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<sst xmlns="http://schemas.openxmlformats.org/spreadsheetml/2006/main" count="3" uniqueCount="3">
  <si>
    <t>CONTENEDOR</t>
  </si>
  <si>
    <t>CABECERA d</t>
  </si>
  <si>
    <t>CABECERA 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</si>
</sst>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"/>
    <numFmt numFmtId="165" formatCode="yyyy-mm-dd"/>
    <numFmt numFmtId="166" formatCode="d/M/yyyy H:mm:ss"/>
    <numFmt numFmtId="167" formatCode="d&quot;/&quot;m&quot;/&quot;yyyy&quot; &quot;h&quot;:&quot;mm"/>
  </numFmts>
  <fonts count="6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u/>
      <color rgb="FF1155CC"/>
      <name val="Arial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3" xfId="0" applyAlignment="1" applyFont="1" applyNumberFormat="1">
      <alignment vertical="bottom"/>
    </xf>
    <xf borderId="0" fillId="0" fontId="1" numFmtId="164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1" numFmtId="165" xfId="0" applyAlignment="1" applyFont="1" applyNumberFormat="1">
      <alignment horizontal="right" vertical="bottom"/>
    </xf>
    <xf borderId="0" fillId="0" fontId="1" numFmtId="165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  <xf borderId="0" fillId="0" fontId="1" numFmtId="166" xfId="0" applyAlignment="1" applyFont="1" applyNumberFormat="1">
      <alignment vertical="bottom"/>
    </xf>
    <xf borderId="0" fillId="0" fontId="3" numFmtId="167" xfId="0" applyAlignment="1" applyFont="1" applyNumberFormat="1">
      <alignment vertical="bottom"/>
    </xf>
    <xf borderId="0" fillId="0" fontId="1" numFmtId="167" xfId="0" applyAlignment="1" applyFont="1" applyNumberFormat="1">
      <alignment vertical="bottom"/>
    </xf>
    <xf borderId="0" fillId="0" fontId="1" numFmtId="166" xfId="0" applyAlignment="1" applyFont="1" applyNumberFormat="1">
      <alignment horizontal="right" vertical="bottom"/>
    </xf>
    <xf borderId="0" fillId="0" fontId="1" numFmtId="49" xfId="0" applyAlignment="1" applyFont="1" applyNumberFormat="1">
      <alignment vertical="bottom"/>
    </xf>
    <xf borderId="0" fillId="0" fontId="4" numFmtId="165" xfId="0" applyFont="1" applyNumberFormat="1"/>
    <xf borderId="0" fillId="0" fontId="4" numFmtId="49" xfId="0" applyFont="1" applyNumberFormat="1"/>
    <xf borderId="0" fillId="0" fontId="4" numFmtId="0" xfId="0" applyFont="1"/>
    <xf borderId="0" fillId="0" fontId="4" numFmtId="3" xfId="0" applyFont="1" applyNumberFormat="1"/>
    <xf borderId="0" fillId="0" fontId="4" numFmtId="164" xfId="0" applyFont="1" applyNumberFormat="1"/>
    <xf borderId="0" fillId="0" fontId="4" numFmtId="166" xfId="0" applyFont="1" applyNumberFormat="1"/>
    <xf borderId="0" fillId="0" fontId="5" numFmtId="167" xfId="0" applyFont="1" applyNumberFormat="1"/>
    <xf borderId="0" fillId="0" fontId="4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drive.google.com/file/d/1PSZ8rvJ0X9hWu34IlzHxDaZTu7-5OxQJ/view?usp=drivesdk" TargetMode="External"/><Relationship Id="rId391" Type="http://schemas.openxmlformats.org/officeDocument/2006/relationships/hyperlink" Target="https://drive.google.com/file/d/1AjBdJUwTmdm78-2Rj-OtnbDbDFtk2hju/view?usp=drivesdk" TargetMode="External"/><Relationship Id="rId390" Type="http://schemas.openxmlformats.org/officeDocument/2006/relationships/hyperlink" Target="https://drive.google.com/file/d/1ozRV5shWSYYFPb3RByg6PzEJ4dF83ubQ/view?usp=drivesdk" TargetMode="External"/><Relationship Id="rId2180" Type="http://schemas.openxmlformats.org/officeDocument/2006/relationships/hyperlink" Target="https://drive.google.com/file/d/1NleGseQuak31PyDy10Aizi_3PhuE7G32/view?usp=drivesdk" TargetMode="External"/><Relationship Id="rId2181" Type="http://schemas.openxmlformats.org/officeDocument/2006/relationships/hyperlink" Target="https://drive.google.com/file/d/1PKSjRn_RPXNa6o7mELQokzzrNAIrMJK1/view?usp=drivesdk" TargetMode="External"/><Relationship Id="rId2182" Type="http://schemas.openxmlformats.org/officeDocument/2006/relationships/hyperlink" Target="https://drive.google.com/file/d/1vvIu9_2RV960SKJt7zOUdYQOtuBGaD_b/view?usp=drivesdk" TargetMode="External"/><Relationship Id="rId2183" Type="http://schemas.openxmlformats.org/officeDocument/2006/relationships/hyperlink" Target="https://drive.google.com/file/d/1M2vBWS-JQrWeqv1MlDSBiz21kseLS4xq/view?usp=drivesdk" TargetMode="External"/><Relationship Id="rId385" Type="http://schemas.openxmlformats.org/officeDocument/2006/relationships/hyperlink" Target="https://drive.google.com/file/d/1BXwKTxxvnzo8Na075srmyjOt99APZrj1/view?usp=drivesdk" TargetMode="External"/><Relationship Id="rId2184" Type="http://schemas.openxmlformats.org/officeDocument/2006/relationships/hyperlink" Target="https://drive.google.com/file/d/1lH42w5Z-0Kzxsw4dxSFSf9m8WZy0oxQJ/view?usp=drivesdk" TargetMode="External"/><Relationship Id="rId384" Type="http://schemas.openxmlformats.org/officeDocument/2006/relationships/hyperlink" Target="https://drive.google.com/file/d/12OeyyCh3JXoTvjzgrQT9LroX9zhkMbfb/view?usp=drivesdk" TargetMode="External"/><Relationship Id="rId2185" Type="http://schemas.openxmlformats.org/officeDocument/2006/relationships/hyperlink" Target="https://drive.google.com/file/d/1cuncxd2zxoANbFyg_u0kayugfBVf9CIu/view?usp=drivesdk" TargetMode="External"/><Relationship Id="rId383" Type="http://schemas.openxmlformats.org/officeDocument/2006/relationships/hyperlink" Target="https://drive.google.com/file/d/1p_zAdCfl_Wo1qYUsLXDRB4wXvAxHV9Ax/view?usp=drivesdk" TargetMode="External"/><Relationship Id="rId2186" Type="http://schemas.openxmlformats.org/officeDocument/2006/relationships/hyperlink" Target="https://drive.google.com/file/d/1AnyrswQ4caX_6Z8p9yv5ZHqgY6o_vtpx/view?usp=drivesdk" TargetMode="External"/><Relationship Id="rId382" Type="http://schemas.openxmlformats.org/officeDocument/2006/relationships/hyperlink" Target="https://drive.google.com/file/d/1xwyDcPqovah-F6tdyat4DX9YDfltMThB/view?usp=drivesdk" TargetMode="External"/><Relationship Id="rId2187" Type="http://schemas.openxmlformats.org/officeDocument/2006/relationships/hyperlink" Target="https://drive.google.com/file/d/17wlKXNC1yuxo3_eiSrWY3giTrw9EmFp8/view?usp=drivesdk" TargetMode="External"/><Relationship Id="rId389" Type="http://schemas.openxmlformats.org/officeDocument/2006/relationships/hyperlink" Target="https://drive.google.com/file/d/1TJxnpMsDZg-LRjrs42dNMNJ_4OpaYzp7/view?usp=drivesdk" TargetMode="External"/><Relationship Id="rId2188" Type="http://schemas.openxmlformats.org/officeDocument/2006/relationships/hyperlink" Target="https://drive.google.com/file/d/1Hg3ebdXDoNSopuKTV6h4lvJLIvEAPfoo/view?usp=drivesdk" TargetMode="External"/><Relationship Id="rId388" Type="http://schemas.openxmlformats.org/officeDocument/2006/relationships/hyperlink" Target="https://drive.google.com/file/d/1NWUx1DugCo9ed5RLGTSdSmHfrq4FBSo6/view?usp=drivesdk" TargetMode="External"/><Relationship Id="rId2189" Type="http://schemas.openxmlformats.org/officeDocument/2006/relationships/hyperlink" Target="https://drive.google.com/file/d/1d_Ls_R0_xvNpNsOh9l-_HBgOEZOvFqGz/view?usp=drivesdk" TargetMode="External"/><Relationship Id="rId387" Type="http://schemas.openxmlformats.org/officeDocument/2006/relationships/hyperlink" Target="https://drive.google.com/file/d/1ogPKhQs6VC2P1YEBqekaOxprOUYTJ2DN/view?usp=drivesdk" TargetMode="External"/><Relationship Id="rId386" Type="http://schemas.openxmlformats.org/officeDocument/2006/relationships/hyperlink" Target="https://drive.google.com/file/d/1jHrWQaaPsG3f6KlahopxzwI7NVE8ZDFc/view?usp=drivesdk" TargetMode="External"/><Relationship Id="rId381" Type="http://schemas.openxmlformats.org/officeDocument/2006/relationships/hyperlink" Target="https://drive.google.com/file/d/1PAWJl_bKfU-Vwwz-WmuH4XbTR__GYz4Q/view?usp=drivesdk" TargetMode="External"/><Relationship Id="rId380" Type="http://schemas.openxmlformats.org/officeDocument/2006/relationships/hyperlink" Target="https://drive.google.com/file/d/1Vv1HgotwPqqRgxe09ocI5Z4f95vqnNFo/view?usp=drivesdk" TargetMode="External"/><Relationship Id="rId379" Type="http://schemas.openxmlformats.org/officeDocument/2006/relationships/hyperlink" Target="https://drive.google.com/file/d/1f4kS7RcsZtUO2O7f6V1H1u-paiTA-tUL/view?usp=drivesdk" TargetMode="External"/><Relationship Id="rId2170" Type="http://schemas.openxmlformats.org/officeDocument/2006/relationships/hyperlink" Target="https://drive.google.com/file/d/1q123mO7g3t8QH-RqGd77eUBBRj5oO9YI/view?usp=drivesdk" TargetMode="External"/><Relationship Id="rId2171" Type="http://schemas.openxmlformats.org/officeDocument/2006/relationships/hyperlink" Target="https://drive.google.com/file/d/1EFFqeAfxyjvv5GjHD1gmNjio0dolIWXG/view?usp=drivesdk" TargetMode="External"/><Relationship Id="rId2172" Type="http://schemas.openxmlformats.org/officeDocument/2006/relationships/hyperlink" Target="https://drive.google.com/file/d/1D66IRnAEWgO06HMNq3LuQAiNyv4Lh_HE/view?usp=drivesdk" TargetMode="External"/><Relationship Id="rId374" Type="http://schemas.openxmlformats.org/officeDocument/2006/relationships/hyperlink" Target="https://drive.google.com/file/d/1qBB1zzr13dGvjLhzWXgZwtGe5GuMb72G/view?usp=drivesdk" TargetMode="External"/><Relationship Id="rId2173" Type="http://schemas.openxmlformats.org/officeDocument/2006/relationships/hyperlink" Target="https://drive.google.com/file/d/13gltN34mGe5ERqqCW9ifU_FVkfYkVDjF/view?usp=drivesdk" TargetMode="External"/><Relationship Id="rId373" Type="http://schemas.openxmlformats.org/officeDocument/2006/relationships/hyperlink" Target="https://drive.google.com/file/d/1wstYuS9L7eVE_52bg1yLfKoAWReHxOs7/view?usp=drivesdk" TargetMode="External"/><Relationship Id="rId2174" Type="http://schemas.openxmlformats.org/officeDocument/2006/relationships/hyperlink" Target="https://drive.google.com/file/d/1EV2tid0XteBIqD3ZdK9V7GTSX1oPBVDb/view?usp=drivesdk" TargetMode="External"/><Relationship Id="rId372" Type="http://schemas.openxmlformats.org/officeDocument/2006/relationships/hyperlink" Target="https://drive.google.com/file/d/12peBmTB7m6nNLfYr1IUcRIY2IV39OHgN/view?usp=drivesdk" TargetMode="External"/><Relationship Id="rId2175" Type="http://schemas.openxmlformats.org/officeDocument/2006/relationships/hyperlink" Target="https://drive.google.com/file/d/1h_xoRNYBT__3IhIbo-2ejsa4x-cFrcEw/view?usp=drivesdk" TargetMode="External"/><Relationship Id="rId371" Type="http://schemas.openxmlformats.org/officeDocument/2006/relationships/hyperlink" Target="https://drive.google.com/file/d/1ECHt1V4d-ZET98DIo4rp1cylm4FZMdNg/view?usp=drivesdk" TargetMode="External"/><Relationship Id="rId2176" Type="http://schemas.openxmlformats.org/officeDocument/2006/relationships/hyperlink" Target="https://drive.google.com/file/d/1AmxGp0MKOhhs-s6U4-r1PuMT1kcZwJGD/view?usp=drivesdk" TargetMode="External"/><Relationship Id="rId378" Type="http://schemas.openxmlformats.org/officeDocument/2006/relationships/hyperlink" Target="https://drive.google.com/file/d/1hKBdYVMBZ5cAS5DfQMqkokbEbvjzopgC/view?usp=drivesdk" TargetMode="External"/><Relationship Id="rId2177" Type="http://schemas.openxmlformats.org/officeDocument/2006/relationships/hyperlink" Target="https://drive.google.com/file/d/1XSvWv-3GyutfMM2IKS5eDaqHy-u2_3ZB/view?usp=drivesdk" TargetMode="External"/><Relationship Id="rId377" Type="http://schemas.openxmlformats.org/officeDocument/2006/relationships/hyperlink" Target="https://drive.google.com/file/d/1zNKxdnDMBSz8OoOr1C0OhXFED5BFdvnq/view?usp=drivesdk" TargetMode="External"/><Relationship Id="rId2178" Type="http://schemas.openxmlformats.org/officeDocument/2006/relationships/hyperlink" Target="https://drive.google.com/file/d/1D93JV2VVj9kxc3-zvvRf1qSsFEkgmhm6/view?usp=drivesdk" TargetMode="External"/><Relationship Id="rId376" Type="http://schemas.openxmlformats.org/officeDocument/2006/relationships/hyperlink" Target="https://drive.google.com/file/d/1Ri-inqq2jxJZlVO8V2FWv5EzsvxDWHba/view?usp=drivesdk" TargetMode="External"/><Relationship Id="rId2179" Type="http://schemas.openxmlformats.org/officeDocument/2006/relationships/hyperlink" Target="https://drive.google.com/file/d/1IJLnmo7GbowdjxMAiqfrp_fddN5Gc-Bz/view?usp=drivesdk" TargetMode="External"/><Relationship Id="rId375" Type="http://schemas.openxmlformats.org/officeDocument/2006/relationships/hyperlink" Target="https://drive.google.com/file/d/1wE79pAiV6S27QuHq7QtjIVF7rUO_Xx6C/view?usp=drivesdk" TargetMode="External"/><Relationship Id="rId2190" Type="http://schemas.openxmlformats.org/officeDocument/2006/relationships/hyperlink" Target="https://drive.google.com/file/d/11vMJLssT5lA1kgo_5W3UlaZUtZC0DDcu/view?usp=drivesdk" TargetMode="External"/><Relationship Id="rId2191" Type="http://schemas.openxmlformats.org/officeDocument/2006/relationships/hyperlink" Target="https://drive.google.com/file/d/1uoDMyPo1oSW1JUMkpHrAQKKbVZafbmel/view?usp=drivesdk" TargetMode="External"/><Relationship Id="rId2192" Type="http://schemas.openxmlformats.org/officeDocument/2006/relationships/hyperlink" Target="https://drive.google.com/file/d/1GNIHbZ3v7yoW3vPTRdjQjqnuSPS5G8Cl/view?usp=drivesdk" TargetMode="External"/><Relationship Id="rId2193" Type="http://schemas.openxmlformats.org/officeDocument/2006/relationships/hyperlink" Target="https://drive.google.com/file/d/1qVP_huG0k3ubBWGnWUFMtQsiLAcbuQFz/view?usp=drivesdk" TargetMode="External"/><Relationship Id="rId2194" Type="http://schemas.openxmlformats.org/officeDocument/2006/relationships/hyperlink" Target="https://drive.google.com/file/d/1Wcz3VA7a2zCXmrmMeO76HguUtTMc7rNK/view?usp=drivesdk" TargetMode="External"/><Relationship Id="rId396" Type="http://schemas.openxmlformats.org/officeDocument/2006/relationships/hyperlink" Target="https://drive.google.com/file/d/1koykSDTz_fJP4w3PMin2trAh5uKtiwZ-/view?usp=drivesdk" TargetMode="External"/><Relationship Id="rId2195" Type="http://schemas.openxmlformats.org/officeDocument/2006/relationships/hyperlink" Target="https://drive.google.com/file/d/1QJxX51Zlv2WP2UOw4gOa3dxcD5Ly0QAb/view?usp=drivesdk" TargetMode="External"/><Relationship Id="rId395" Type="http://schemas.openxmlformats.org/officeDocument/2006/relationships/hyperlink" Target="https://drive.google.com/file/d/1H1ioqLUO7Z53iP2gSzc2WJQaW6v4xoiX/view?usp=drivesdk" TargetMode="External"/><Relationship Id="rId2196" Type="http://schemas.openxmlformats.org/officeDocument/2006/relationships/hyperlink" Target="https://drive.google.com/file/d/1WCCsQBk5ONMfqjqx6AONb4TXTGQhYVVh/view?usp=drivesdk" TargetMode="External"/><Relationship Id="rId394" Type="http://schemas.openxmlformats.org/officeDocument/2006/relationships/hyperlink" Target="https://drive.google.com/file/d/1bevwHeZxtEY1K98hVrlhIBD0s1wB2dI1/view?usp=drivesdk" TargetMode="External"/><Relationship Id="rId2197" Type="http://schemas.openxmlformats.org/officeDocument/2006/relationships/hyperlink" Target="https://drive.google.com/file/d/1lpRkiePpS5t2-fFCTcPwJNm_LYkluP0H/view?usp=drivesdk" TargetMode="External"/><Relationship Id="rId393" Type="http://schemas.openxmlformats.org/officeDocument/2006/relationships/hyperlink" Target="https://drive.google.com/file/d/1Emwfn32NTUdmViZyYYGzPX7g50C1jqm0/view?usp=drivesdk" TargetMode="External"/><Relationship Id="rId2198" Type="http://schemas.openxmlformats.org/officeDocument/2006/relationships/hyperlink" Target="https://drive.google.com/file/d/12C_KvuesO7uiI45hvBLAuz9GNdLOz9jp/view?usp=drivesdk" TargetMode="External"/><Relationship Id="rId2199" Type="http://schemas.openxmlformats.org/officeDocument/2006/relationships/hyperlink" Target="https://drive.google.com/file/d/1QV7gYgUIGa0hKMo1yKh2C_-m3IyL1ALx/view?usp=drivesdk" TargetMode="External"/><Relationship Id="rId399" Type="http://schemas.openxmlformats.org/officeDocument/2006/relationships/hyperlink" Target="https://drive.google.com/file/d/17U9hdsqQb7gDjtLzPLhze5_5MwKlJ7x5/view?usp=drivesdk" TargetMode="External"/><Relationship Id="rId398" Type="http://schemas.openxmlformats.org/officeDocument/2006/relationships/hyperlink" Target="https://drive.google.com/file/d/1fX0woBijYXZKdMiE8r0gIEoH5pdlEeEW/view?usp=drivesdk" TargetMode="External"/><Relationship Id="rId397" Type="http://schemas.openxmlformats.org/officeDocument/2006/relationships/hyperlink" Target="https://drive.google.com/file/d/1WE7oGVup2lWihnatg1tRc3FhkH4-SkXp/view?usp=drivesdk" TargetMode="External"/><Relationship Id="rId1730" Type="http://schemas.openxmlformats.org/officeDocument/2006/relationships/hyperlink" Target="https://drive.google.com/file/d/1_Ct7NXulBktxzACf7lpcTQFuEm1d8qG5/view?usp=drivesdk" TargetMode="External"/><Relationship Id="rId1731" Type="http://schemas.openxmlformats.org/officeDocument/2006/relationships/hyperlink" Target="https://drive.google.com/file/d/1oDetVAsylnExkyP7Gf_idX5VU50oIPlz/view?usp=drivesdk" TargetMode="External"/><Relationship Id="rId1732" Type="http://schemas.openxmlformats.org/officeDocument/2006/relationships/hyperlink" Target="https://drive.google.com/file/d/16qQvYCTeqIcg05ISJFMBgmyO1leWDoiQ/view?usp=drivesdk" TargetMode="External"/><Relationship Id="rId1733" Type="http://schemas.openxmlformats.org/officeDocument/2006/relationships/hyperlink" Target="https://drive.google.com/file/d/17DVcd9sqLKZ_Xgt5OCBIP63yzv7zESqI/view?usp=drivesdk" TargetMode="External"/><Relationship Id="rId1734" Type="http://schemas.openxmlformats.org/officeDocument/2006/relationships/hyperlink" Target="https://drive.google.com/file/d/1sjuynEuhdrrwLLACrcBMgxK1WeBvOy_h/view?usp=drivesdk" TargetMode="External"/><Relationship Id="rId1735" Type="http://schemas.openxmlformats.org/officeDocument/2006/relationships/hyperlink" Target="https://drive.google.com/file/d/1Gng8G4JI4FhUUpEWjHSZKHlH4QnAwsVq/view?usp=drivesdk" TargetMode="External"/><Relationship Id="rId1736" Type="http://schemas.openxmlformats.org/officeDocument/2006/relationships/hyperlink" Target="https://drive.google.com/file/d/1RyS12VDXqUrBSM18AY7lJmEjQDDfV6Nk/view?usp=drivesdk" TargetMode="External"/><Relationship Id="rId1737" Type="http://schemas.openxmlformats.org/officeDocument/2006/relationships/hyperlink" Target="https://drive.google.com/file/d/1qecNpTtQ1mgdlSX0pkRQQ1yIQH3FHLxS/view?usp=drivesdk" TargetMode="External"/><Relationship Id="rId1738" Type="http://schemas.openxmlformats.org/officeDocument/2006/relationships/hyperlink" Target="https://drive.google.com/file/d/1AkMCGUlysO1I8sNP-R1AmhfhPmT98vKE/view?usp=drivesdk" TargetMode="External"/><Relationship Id="rId1739" Type="http://schemas.openxmlformats.org/officeDocument/2006/relationships/hyperlink" Target="https://drive.google.com/file/d/1jPDjPdk0BLLV6asl7af3AIvULsChNQ0X/view?usp=drivesdk" TargetMode="External"/><Relationship Id="rId1720" Type="http://schemas.openxmlformats.org/officeDocument/2006/relationships/hyperlink" Target="https://drive.google.com/file/d/1zi8p4EDJ1Mjaeq_d2xBQ2epL5SwqblGr/view?usp=drivesdk" TargetMode="External"/><Relationship Id="rId1721" Type="http://schemas.openxmlformats.org/officeDocument/2006/relationships/hyperlink" Target="https://drive.google.com/file/d/1ApF5vi6xm7KcmaXsUiApFr-xmkLFTJD0/view?usp=drivesdk" TargetMode="External"/><Relationship Id="rId1722" Type="http://schemas.openxmlformats.org/officeDocument/2006/relationships/hyperlink" Target="https://drive.google.com/file/d/159ErFu8k_hjGPhECSx9jprK_sBwl6f3E/view?usp=drivesdk" TargetMode="External"/><Relationship Id="rId1723" Type="http://schemas.openxmlformats.org/officeDocument/2006/relationships/hyperlink" Target="https://drive.google.com/file/d/1SmNTq03RS29DgS62lN-nlEpaOHNoeHdp/view?usp=drivesdk" TargetMode="External"/><Relationship Id="rId1724" Type="http://schemas.openxmlformats.org/officeDocument/2006/relationships/hyperlink" Target="https://drive.google.com/file/d/1iSl_NVMApTD4HQgA5B6eMomIST9cjW4u/view?usp=drivesdk" TargetMode="External"/><Relationship Id="rId1725" Type="http://schemas.openxmlformats.org/officeDocument/2006/relationships/hyperlink" Target="https://drive.google.com/file/d/1gK4blzmKq_aPf2D6d-N07JCKmlE6Qg8m/view?usp=drivesdk" TargetMode="External"/><Relationship Id="rId1726" Type="http://schemas.openxmlformats.org/officeDocument/2006/relationships/hyperlink" Target="https://drive.google.com/file/d/1LZ8HQLV0PHHOJ4qk2QEhqFCmUtWZ4LEP/view?usp=drivesdk" TargetMode="External"/><Relationship Id="rId1727" Type="http://schemas.openxmlformats.org/officeDocument/2006/relationships/hyperlink" Target="https://drive.google.com/file/d/1rUTwyUL_CTSb_qA63JXWsjKHidKEooG5/view?usp=drivesdk" TargetMode="External"/><Relationship Id="rId1728" Type="http://schemas.openxmlformats.org/officeDocument/2006/relationships/hyperlink" Target="https://drive.google.com/file/d/1nemAmqpaTCek4q7HZa7GqQJqjo2Rsrnp/view?usp=drivesdk" TargetMode="External"/><Relationship Id="rId1729" Type="http://schemas.openxmlformats.org/officeDocument/2006/relationships/hyperlink" Target="https://drive.google.com/file/d/1GQQ0XfYvfPNtmm9WE4y55rFmkCfYgyRs/view?usp=drivesdk" TargetMode="External"/><Relationship Id="rId1752" Type="http://schemas.openxmlformats.org/officeDocument/2006/relationships/hyperlink" Target="https://drive.google.com/file/d/1zd389j1f0eccv40-6cGHj_UoC9ZC5HwL/view?usp=drivesdk" TargetMode="External"/><Relationship Id="rId1753" Type="http://schemas.openxmlformats.org/officeDocument/2006/relationships/hyperlink" Target="https://drive.google.com/file/d/1lLaV7NMwnEoAyKjoj2BAeZbdLkId65MG/view?usp=drivesdk" TargetMode="External"/><Relationship Id="rId1754" Type="http://schemas.openxmlformats.org/officeDocument/2006/relationships/hyperlink" Target="https://drive.google.com/file/d/1V2by7uIeO8bm9-spPKcv0DvEXoId594E/view?usp=drivesdk" TargetMode="External"/><Relationship Id="rId1755" Type="http://schemas.openxmlformats.org/officeDocument/2006/relationships/hyperlink" Target="https://drive.google.com/file/d/1Tz9n2OFMRcc0HSunfM2bItsJmONnn2E6/view?usp=drivesdk" TargetMode="External"/><Relationship Id="rId1756" Type="http://schemas.openxmlformats.org/officeDocument/2006/relationships/hyperlink" Target="https://drive.google.com/file/d/1BL8y7G9nRDAPlfyK6kitB5Uvkip2JZtt/view?usp=drivesdk" TargetMode="External"/><Relationship Id="rId1757" Type="http://schemas.openxmlformats.org/officeDocument/2006/relationships/hyperlink" Target="https://drive.google.com/file/d/1AhccKpP7sFry363Gtl0Ns2Sils0hBaC_/view?usp=drivesdk" TargetMode="External"/><Relationship Id="rId1758" Type="http://schemas.openxmlformats.org/officeDocument/2006/relationships/hyperlink" Target="https://drive.google.com/file/d/1BRZ58gITMf2I2VojiHB7PJaQwnYq2oH2/view?usp=drivesdk" TargetMode="External"/><Relationship Id="rId1759" Type="http://schemas.openxmlformats.org/officeDocument/2006/relationships/hyperlink" Target="https://drive.google.com/file/d/1s5r0DFrdMxGEYiili7VpWogUfq2nUbnZ/view?usp=drivesdk" TargetMode="External"/><Relationship Id="rId1750" Type="http://schemas.openxmlformats.org/officeDocument/2006/relationships/hyperlink" Target="https://drive.google.com/file/d/1mXGO0w77pLTPVoSQW5dKStVZ0N9HKoTm/view?usp=drivesdk" TargetMode="External"/><Relationship Id="rId1751" Type="http://schemas.openxmlformats.org/officeDocument/2006/relationships/hyperlink" Target="https://drive.google.com/file/d/1QoztKEVwfDBPYflERWeqguR2yP0OXsfV/view?usp=drivesdk" TargetMode="External"/><Relationship Id="rId1741" Type="http://schemas.openxmlformats.org/officeDocument/2006/relationships/hyperlink" Target="https://drive.google.com/file/d/1jrvQA6XFQ-K3sQpThy3bnUXGcAqeDyS5/view?usp=drivesdk" TargetMode="External"/><Relationship Id="rId1742" Type="http://schemas.openxmlformats.org/officeDocument/2006/relationships/hyperlink" Target="https://drive.google.com/file/d/1NbWDu2Va_VsXvt4lMS-SRVHzTM3nxBok/view?usp=drivesdk" TargetMode="External"/><Relationship Id="rId1743" Type="http://schemas.openxmlformats.org/officeDocument/2006/relationships/hyperlink" Target="https://drive.google.com/file/d/1TcdF8O5Bj0Irpv2qq5CJM7V-DKJy2c0i/view?usp=drivesdk" TargetMode="External"/><Relationship Id="rId1744" Type="http://schemas.openxmlformats.org/officeDocument/2006/relationships/hyperlink" Target="https://drive.google.com/file/d/1WK7TvRnbU8LJdR60XJKo3umo8YuydeUd/view?usp=drivesdk" TargetMode="External"/><Relationship Id="rId1745" Type="http://schemas.openxmlformats.org/officeDocument/2006/relationships/hyperlink" Target="https://drive.google.com/file/d/14xkam2qsb6U67oENh0OsB6ClflM920yR/view?usp=drivesdk" TargetMode="External"/><Relationship Id="rId1746" Type="http://schemas.openxmlformats.org/officeDocument/2006/relationships/hyperlink" Target="https://drive.google.com/file/d/1jDiofll7m6CQigJ1fwJKFviz6KNGM3VP/view?usp=drivesdk" TargetMode="External"/><Relationship Id="rId1747" Type="http://schemas.openxmlformats.org/officeDocument/2006/relationships/hyperlink" Target="https://drive.google.com/file/d/1yCH_GRCotqU0QSuG66-j3i6L5vC1tkp6/view?usp=drivesdk" TargetMode="External"/><Relationship Id="rId1748" Type="http://schemas.openxmlformats.org/officeDocument/2006/relationships/hyperlink" Target="https://drive.google.com/file/d/1sUXU1tkCbt3qSswtjj2vjMQLuteaRPoQ/view?usp=drivesdk" TargetMode="External"/><Relationship Id="rId1749" Type="http://schemas.openxmlformats.org/officeDocument/2006/relationships/hyperlink" Target="https://drive.google.com/file/d/1d6Yv9ZJSVEszVFiDTQfuqgeTphzQb3Y3/view?usp=drivesdk" TargetMode="External"/><Relationship Id="rId1740" Type="http://schemas.openxmlformats.org/officeDocument/2006/relationships/hyperlink" Target="https://drive.google.com/file/d/1UX3zH6iOLtYgfLdpPWMZvnDQKsJJ2KDC/view?usp=drivesdk" TargetMode="External"/><Relationship Id="rId1710" Type="http://schemas.openxmlformats.org/officeDocument/2006/relationships/hyperlink" Target="https://drive.google.com/file/d/1uv8Cqqu32CjkZdOmdMmDcXIICuy6dTDq/view?usp=drivesdk" TargetMode="External"/><Relationship Id="rId1711" Type="http://schemas.openxmlformats.org/officeDocument/2006/relationships/hyperlink" Target="https://drive.google.com/file/d/10roB_bYNv8V4GZUaXLLJudLjGAkjiI6R/view?usp=drivesdk" TargetMode="External"/><Relationship Id="rId1712" Type="http://schemas.openxmlformats.org/officeDocument/2006/relationships/hyperlink" Target="https://drive.google.com/file/d/1dEwWIFUia0qmCWiVSZuRciHmhB5sC18P/view?usp=drivesdk" TargetMode="External"/><Relationship Id="rId1713" Type="http://schemas.openxmlformats.org/officeDocument/2006/relationships/hyperlink" Target="https://drive.google.com/file/d/1-usduqUGdKYtPrHtCTwzkGeXZHOk_cbr/view?usp=drivesdk" TargetMode="External"/><Relationship Id="rId1714" Type="http://schemas.openxmlformats.org/officeDocument/2006/relationships/hyperlink" Target="https://drive.google.com/file/d/1SSIWLARWa6qFk_6WQDfwMT9UsFNGNhtI/view?usp=drivesdk" TargetMode="External"/><Relationship Id="rId1715" Type="http://schemas.openxmlformats.org/officeDocument/2006/relationships/hyperlink" Target="https://drive.google.com/file/d/1RTcni7Y-X9iXBhopYgYdr4sTBmq0Y7q6/view?usp=drivesdk" TargetMode="External"/><Relationship Id="rId1716" Type="http://schemas.openxmlformats.org/officeDocument/2006/relationships/hyperlink" Target="https://drive.google.com/file/d/1bPkvetUFZgs4Uuv-yUYf9pXqmm9GxjrK/view?usp=drivesdk" TargetMode="External"/><Relationship Id="rId1717" Type="http://schemas.openxmlformats.org/officeDocument/2006/relationships/hyperlink" Target="https://drive.google.com/file/d/1DQ1sGyIO0cyvil-jgwX7XqKOSPPUkCdd/view?usp=drivesdk" TargetMode="External"/><Relationship Id="rId1718" Type="http://schemas.openxmlformats.org/officeDocument/2006/relationships/hyperlink" Target="https://drive.google.com/file/d/134_zq266HoJqUOuW0jZMLAsuctAtVHqv/view?usp=drivesdk" TargetMode="External"/><Relationship Id="rId1719" Type="http://schemas.openxmlformats.org/officeDocument/2006/relationships/hyperlink" Target="https://drive.google.com/file/d/1bO0FcrPw5RTnqdvzAlkx6Wm9RrXAldvA/view?usp=drivesdk" TargetMode="External"/><Relationship Id="rId1700" Type="http://schemas.openxmlformats.org/officeDocument/2006/relationships/hyperlink" Target="https://drive.google.com/file/d/1rsWMWN0PV4Kha1xNP_M67EkocLNlUS5c/view?usp=drivesdk" TargetMode="External"/><Relationship Id="rId1701" Type="http://schemas.openxmlformats.org/officeDocument/2006/relationships/hyperlink" Target="https://drive.google.com/file/d/1uFV9YBsJRmm2IfPAT184_DRkQyVotuHy/view?usp=drivesdk" TargetMode="External"/><Relationship Id="rId1702" Type="http://schemas.openxmlformats.org/officeDocument/2006/relationships/hyperlink" Target="https://drive.google.com/file/d/10FGlZUlmJNjb4NO0Phw8oBGp4CziG0IR/view?usp=drivesdk" TargetMode="External"/><Relationship Id="rId1703" Type="http://schemas.openxmlformats.org/officeDocument/2006/relationships/hyperlink" Target="https://drive.google.com/file/d/1apG6t_Fys6f75jpf66yQ9VCGTb5hl0V6/view?usp=drivesdk" TargetMode="External"/><Relationship Id="rId1704" Type="http://schemas.openxmlformats.org/officeDocument/2006/relationships/hyperlink" Target="https://drive.google.com/file/d/1t6ncxv1Fi023rLTcpIoLKODewpr4jBVI/view?usp=drivesdk" TargetMode="External"/><Relationship Id="rId1705" Type="http://schemas.openxmlformats.org/officeDocument/2006/relationships/hyperlink" Target="https://drive.google.com/file/d/1GenhCbDfcOpc0MMDB0bLROK4z-ftUEog/view?usp=drivesdk" TargetMode="External"/><Relationship Id="rId1706" Type="http://schemas.openxmlformats.org/officeDocument/2006/relationships/hyperlink" Target="https://drive.google.com/file/d/1LexiSNzRk3NGLjHCgCqqyvDET-wkt37N/view?usp=drivesdk" TargetMode="External"/><Relationship Id="rId1707" Type="http://schemas.openxmlformats.org/officeDocument/2006/relationships/hyperlink" Target="https://drive.google.com/file/d/1_Rw9YFxUTj8nc2HGM-WXx7P_8Rlcy5GI/view?usp=drivesdk" TargetMode="External"/><Relationship Id="rId1708" Type="http://schemas.openxmlformats.org/officeDocument/2006/relationships/hyperlink" Target="https://drive.google.com/file/d/1bT0oa7Y-YTKCsq1Nx5B5IUTc7XSbgaQf/view?usp=drivesdk" TargetMode="External"/><Relationship Id="rId1709" Type="http://schemas.openxmlformats.org/officeDocument/2006/relationships/hyperlink" Target="https://drive.google.com/file/d/1Imd4PXauEvwn7IFz1X4Dw0oYfwHnQU7p/view?usp=drivesdk" TargetMode="External"/><Relationship Id="rId40" Type="http://schemas.openxmlformats.org/officeDocument/2006/relationships/hyperlink" Target="https://drive.google.com/file/d/1VbuXmGbTGmn3qm3URTAkSfiJJiHISQzn/view?usp=drivesdk" TargetMode="External"/><Relationship Id="rId3513" Type="http://schemas.openxmlformats.org/officeDocument/2006/relationships/hyperlink" Target="https://drive.google.com/file/d/1Ld3C4f4hEP5a3PbCt1v4vgpMQPyBcxuU/view?usp=drivesdk" TargetMode="External"/><Relationship Id="rId4844" Type="http://schemas.openxmlformats.org/officeDocument/2006/relationships/hyperlink" Target="https://drive.google.com/file/d/16icJ_xEtete6EYrcxEMXx6ITXOWOZ8aB/view?usp=drivesdk" TargetMode="External"/><Relationship Id="rId3512" Type="http://schemas.openxmlformats.org/officeDocument/2006/relationships/hyperlink" Target="https://drive.google.com/file/d/1XVt1SCdtHP8j54BUFvuI04xjVtnMHYrn/view?usp=drivesdk" TargetMode="External"/><Relationship Id="rId4843" Type="http://schemas.openxmlformats.org/officeDocument/2006/relationships/hyperlink" Target="https://drive.google.com/file/d/1rWllKosETTWp0rPbK4HovhkepPXitVgP/view?usp=drivesdk" TargetMode="External"/><Relationship Id="rId42" Type="http://schemas.openxmlformats.org/officeDocument/2006/relationships/hyperlink" Target="https://drive.google.com/file/d/1pbDoN_C8Q6iu07WayTd_kx4hPjl02Gsl/view?usp=drivesdk" TargetMode="External"/><Relationship Id="rId3515" Type="http://schemas.openxmlformats.org/officeDocument/2006/relationships/hyperlink" Target="https://drive.google.com/file/d/1mejqE8EBu1l3Cj7D-CcVFxxnGXzQfGaX/view?usp=drivesdk" TargetMode="External"/><Relationship Id="rId4846" Type="http://schemas.openxmlformats.org/officeDocument/2006/relationships/hyperlink" Target="https://drive.google.com/file/d/1exKWrUzoO2n6v57yFRSIRx2r85OTw8AW/view?usp=drivesdk" TargetMode="External"/><Relationship Id="rId41" Type="http://schemas.openxmlformats.org/officeDocument/2006/relationships/hyperlink" Target="https://drive.google.com/file/d/1mjfSBS8QGG2pY7X8cNjQQs5tkbfDt10z/view?usp=drivesdk" TargetMode="External"/><Relationship Id="rId3514" Type="http://schemas.openxmlformats.org/officeDocument/2006/relationships/hyperlink" Target="https://drive.google.com/file/d/1LJIDjbuLz_tYtT8cOXI-62pZT1aWWFuh/view?usp=drivesdk" TargetMode="External"/><Relationship Id="rId4845" Type="http://schemas.openxmlformats.org/officeDocument/2006/relationships/hyperlink" Target="https://drive.google.com/file/d/13NxnhtU7Lia1cVIHGk2_q6SdsdVrQbDZ/view?usp=drivesdk" TargetMode="External"/><Relationship Id="rId44" Type="http://schemas.openxmlformats.org/officeDocument/2006/relationships/hyperlink" Target="https://drive.google.com/file/d/1eP2DIw16xrSmIZidgfmOmEUaaJ3auY8j/view?usp=drivesdk" TargetMode="External"/><Relationship Id="rId3517" Type="http://schemas.openxmlformats.org/officeDocument/2006/relationships/hyperlink" Target="https://drive.google.com/file/d/1PK1LemwtkxEyy5A81hUl6vUaN1Im3xTR/view?usp=drivesdk" TargetMode="External"/><Relationship Id="rId4848" Type="http://schemas.openxmlformats.org/officeDocument/2006/relationships/hyperlink" Target="https://drive.google.com/file/d/1j_1xkntFxr1GhY0hXxZvSy9Yc2agBa5u/view?usp=drivesdk" TargetMode="External"/><Relationship Id="rId43" Type="http://schemas.openxmlformats.org/officeDocument/2006/relationships/hyperlink" Target="https://drive.google.com/file/d/1GMtjqp81GRrEPl8VR0lM8AnqTAdSxlg0/view?usp=drivesdk" TargetMode="External"/><Relationship Id="rId3516" Type="http://schemas.openxmlformats.org/officeDocument/2006/relationships/hyperlink" Target="https://drive.google.com/file/d/1OLAGQxH4eQgH0kpjZ_-t-NRKJt9fCeEB/view?usp=drivesdk" TargetMode="External"/><Relationship Id="rId4847" Type="http://schemas.openxmlformats.org/officeDocument/2006/relationships/hyperlink" Target="https://drive.google.com/file/d/1eR2dqJEHekHTqwxk452UweE83NBpI-gv/view?usp=drivesdk" TargetMode="External"/><Relationship Id="rId46" Type="http://schemas.openxmlformats.org/officeDocument/2006/relationships/hyperlink" Target="https://drive.google.com/file/d/15_IvN0vfLuPIZRk5XutuM5rlRyfuB-Q-/view?usp=drivesdk" TargetMode="External"/><Relationship Id="rId3519" Type="http://schemas.openxmlformats.org/officeDocument/2006/relationships/hyperlink" Target="https://drive.google.com/file/d/1NohWh_itJrO8WH3UAVWjh0XzpJDrQuWF/view?usp=drivesdk" TargetMode="External"/><Relationship Id="rId45" Type="http://schemas.openxmlformats.org/officeDocument/2006/relationships/hyperlink" Target="https://drive.google.com/file/d/1i0_JorVnFxNNPyfemGkd0IReIXF9GQOo/view?usp=drivesdk" TargetMode="External"/><Relationship Id="rId3518" Type="http://schemas.openxmlformats.org/officeDocument/2006/relationships/hyperlink" Target="https://drive.google.com/file/d/10n9Hz3gdBeW4hr8Wfry0XTgQsUvxKnyf/view?usp=drivesdk" TargetMode="External"/><Relationship Id="rId4849" Type="http://schemas.openxmlformats.org/officeDocument/2006/relationships/hyperlink" Target="https://drive.google.com/file/d/1JG7EuACpg6e2b-bGHU-Dg0cPzkHUD8aj/view?usp=drivesdk" TargetMode="External"/><Relationship Id="rId48" Type="http://schemas.openxmlformats.org/officeDocument/2006/relationships/hyperlink" Target="https://drive.google.com/file/d/112sjyGPezoNyhEwKmS0KobZYCwDadA71/view?usp=drivesdk" TargetMode="External"/><Relationship Id="rId47" Type="http://schemas.openxmlformats.org/officeDocument/2006/relationships/hyperlink" Target="https://drive.google.com/file/d/1wtFg72vLd1AjquFeU7ecuVDW-gSPe-bR/view?usp=drivesdk" TargetMode="External"/><Relationship Id="rId49" Type="http://schemas.openxmlformats.org/officeDocument/2006/relationships/hyperlink" Target="https://drive.google.com/file/d/1De4NDksmjCWGPQ5jUQuvT608Xw86-_MN/view?usp=drivesdk" TargetMode="External"/><Relationship Id="rId4840" Type="http://schemas.openxmlformats.org/officeDocument/2006/relationships/hyperlink" Target="https://drive.google.com/file/d/1mfjquiRDK7VNG_fhhMo8thNei2Obyu5K/view?usp=drivesdk" TargetMode="External"/><Relationship Id="rId3511" Type="http://schemas.openxmlformats.org/officeDocument/2006/relationships/hyperlink" Target="https://drive.google.com/file/d/1EzPWJPUDPZrliKYZzyA4d6Y8aeDFcss_/view?usp=drivesdk" TargetMode="External"/><Relationship Id="rId4842" Type="http://schemas.openxmlformats.org/officeDocument/2006/relationships/hyperlink" Target="https://drive.google.com/file/d/1VqdqPUxqSRH2GU58ovWb_ik7FMFZ1IPK/view?usp=drivesdk" TargetMode="External"/><Relationship Id="rId3510" Type="http://schemas.openxmlformats.org/officeDocument/2006/relationships/hyperlink" Target="https://drive.google.com/file/d/1Jk7d1VTxhOfOzZLn_anJKq8VqMUmu-Do/view?usp=drivesdk" TargetMode="External"/><Relationship Id="rId4841" Type="http://schemas.openxmlformats.org/officeDocument/2006/relationships/hyperlink" Target="https://drive.google.com/file/d/1jM3AY0kYxtaIk4arAxwbZ26SdYLMblcU/view?usp=drivesdk" TargetMode="External"/><Relationship Id="rId3502" Type="http://schemas.openxmlformats.org/officeDocument/2006/relationships/hyperlink" Target="https://drive.google.com/file/d/1mmO3OeQ9oDHpSmR-eoytRgEVDAYeiU8h/view?usp=drivesdk" TargetMode="External"/><Relationship Id="rId4833" Type="http://schemas.openxmlformats.org/officeDocument/2006/relationships/hyperlink" Target="https://drive.google.com/file/d/1ONwryMQcGz_VcmCJNEn20VVYn_0Y6VaM/view?usp=drivesdk" TargetMode="External"/><Relationship Id="rId3501" Type="http://schemas.openxmlformats.org/officeDocument/2006/relationships/hyperlink" Target="https://drive.google.com/file/d/18Jma4hh1rKBUzt3OYeYcGsG7KJw4Ypk4/view?usp=drivesdk" TargetMode="External"/><Relationship Id="rId4832" Type="http://schemas.openxmlformats.org/officeDocument/2006/relationships/hyperlink" Target="https://drive.google.com/file/d/19k4biKgYVK3HSKNzcEZbbrKdAF309aZN/view?usp=drivesdk" TargetMode="External"/><Relationship Id="rId31" Type="http://schemas.openxmlformats.org/officeDocument/2006/relationships/hyperlink" Target="https://drive.google.com/file/d/18vgwyJeSRuKH1Bz3xznjli8sasqbc9ej/view?usp=drivesdk" TargetMode="External"/><Relationship Id="rId3504" Type="http://schemas.openxmlformats.org/officeDocument/2006/relationships/hyperlink" Target="https://drive.google.com/file/d/1qnUQ27TAHEvZ9CAB1qY5fdblGH_6UiFj/view?usp=drivesdk" TargetMode="External"/><Relationship Id="rId4835" Type="http://schemas.openxmlformats.org/officeDocument/2006/relationships/hyperlink" Target="https://drive.google.com/file/d/1RCfROcrZfUjIkxLuAaaTYPy-LTg281Gd/view?usp=drivesdk" TargetMode="External"/><Relationship Id="rId30" Type="http://schemas.openxmlformats.org/officeDocument/2006/relationships/hyperlink" Target="https://drive.google.com/file/d/1M_kotlhKY9brN-6HryLMZTdu4-_B_Eqp/view?usp=drivesdk" TargetMode="External"/><Relationship Id="rId3503" Type="http://schemas.openxmlformats.org/officeDocument/2006/relationships/hyperlink" Target="https://drive.google.com/file/d/1KYCM_56yo0_uY5u-50sSw9XnVwtCvCz5/view?usp=drivesdk" TargetMode="External"/><Relationship Id="rId4834" Type="http://schemas.openxmlformats.org/officeDocument/2006/relationships/hyperlink" Target="https://drive.google.com/file/d/1q2IXfLSgSNdJnVIj1hZIhYXgyXGiJMzK/view?usp=drivesdk" TargetMode="External"/><Relationship Id="rId33" Type="http://schemas.openxmlformats.org/officeDocument/2006/relationships/hyperlink" Target="https://drive.google.com/file/d/1-5xTd-hi9mT693NBj5wd9aLK1tKre0rz/view?usp=drivesdk" TargetMode="External"/><Relationship Id="rId3506" Type="http://schemas.openxmlformats.org/officeDocument/2006/relationships/hyperlink" Target="https://drive.google.com/file/d/1m4bJArzpkHgBkhRHN-MpQTHj0Ym2epjD/view?usp=drivesdk" TargetMode="External"/><Relationship Id="rId4837" Type="http://schemas.openxmlformats.org/officeDocument/2006/relationships/hyperlink" Target="https://drive.google.com/file/d/18cIGYhusahDsSFH-aU7F2tJMiqlPlqoV/view?usp=drivesdk" TargetMode="External"/><Relationship Id="rId32" Type="http://schemas.openxmlformats.org/officeDocument/2006/relationships/hyperlink" Target="https://drive.google.com/file/d/1oMcA74Pz8VLHW_Mv3hSg7HnK3hdfpqXA/view?usp=drivesdk" TargetMode="External"/><Relationship Id="rId3505" Type="http://schemas.openxmlformats.org/officeDocument/2006/relationships/hyperlink" Target="https://drive.google.com/file/d/12kmVYfYvmMHbjsCC-WBD1fu8aLW9Hxe0/view?usp=drivesdk" TargetMode="External"/><Relationship Id="rId4836" Type="http://schemas.openxmlformats.org/officeDocument/2006/relationships/hyperlink" Target="https://drive.google.com/file/d/1KkbfmVrOR5Mt2aiyTfVljt8utlxHIVR4/view?usp=drivesdk" TargetMode="External"/><Relationship Id="rId35" Type="http://schemas.openxmlformats.org/officeDocument/2006/relationships/hyperlink" Target="https://drive.google.com/file/d/1XCuj6P5Fzdsf1SDDwZhnpHPCrtt9047M/view?usp=drivesdk" TargetMode="External"/><Relationship Id="rId3508" Type="http://schemas.openxmlformats.org/officeDocument/2006/relationships/hyperlink" Target="https://drive.google.com/file/d/13h6Y6K1WGJZt-3juZ4bpU6SAPCPJPikN/view?usp=drivesdk" TargetMode="External"/><Relationship Id="rId4839" Type="http://schemas.openxmlformats.org/officeDocument/2006/relationships/hyperlink" Target="https://drive.google.com/file/d/1rFLdf2N_gmXLDMORPRh6BYegT2EZFTry/view?usp=drivesdk" TargetMode="External"/><Relationship Id="rId34" Type="http://schemas.openxmlformats.org/officeDocument/2006/relationships/hyperlink" Target="https://drive.google.com/file/d/1OV1dIAhqTDs5RfoPBlQQE6vfLZmoscKu/view?usp=drivesdk" TargetMode="External"/><Relationship Id="rId3507" Type="http://schemas.openxmlformats.org/officeDocument/2006/relationships/hyperlink" Target="https://drive.google.com/file/d/13MjFXl9hryv0PG2SxdwPziW9jQjEGR5s/view?usp=drivesdk" TargetMode="External"/><Relationship Id="rId4838" Type="http://schemas.openxmlformats.org/officeDocument/2006/relationships/hyperlink" Target="https://drive.google.com/file/d/18RWfGekY4iJ32l7FmgYvXXzWGeqbUSQS/view?usp=drivesdk" TargetMode="External"/><Relationship Id="rId3509" Type="http://schemas.openxmlformats.org/officeDocument/2006/relationships/hyperlink" Target="https://drive.google.com/file/d/1ykAtyOoYoleseEixgz8Z-_aIKLpDaTws/view?usp=drivesdk" TargetMode="External"/><Relationship Id="rId37" Type="http://schemas.openxmlformats.org/officeDocument/2006/relationships/hyperlink" Target="https://drive.google.com/file/d/1bUgAuXmnSK-QLDhwLPFQthTkg8U_1_O8/view?usp=drivesdk" TargetMode="External"/><Relationship Id="rId36" Type="http://schemas.openxmlformats.org/officeDocument/2006/relationships/hyperlink" Target="https://drive.google.com/file/d/1NbtH5qdsBh81MeWvUwaPk5jodV_DFPJK/view?usp=drivesdk" TargetMode="External"/><Relationship Id="rId39" Type="http://schemas.openxmlformats.org/officeDocument/2006/relationships/hyperlink" Target="https://drive.google.com/file/d/19g4nWRAkzErUuy7-f8tgLh-fzqqxAQhN/view?usp=drivesdk" TargetMode="External"/><Relationship Id="rId38" Type="http://schemas.openxmlformats.org/officeDocument/2006/relationships/hyperlink" Target="https://drive.google.com/file/d/1VhLy3Fb3RpmFaFvUkaKdFNB-fvyKZShm/view?usp=drivesdk" TargetMode="External"/><Relationship Id="rId3500" Type="http://schemas.openxmlformats.org/officeDocument/2006/relationships/hyperlink" Target="https://drive.google.com/file/d/1WKsrvZfbQW3dqauU56paG2mOlMnQkRqp/view?usp=drivesdk" TargetMode="External"/><Relationship Id="rId4831" Type="http://schemas.openxmlformats.org/officeDocument/2006/relationships/hyperlink" Target="https://drive.google.com/file/d/18XK9OEFzoaZZMNyJ4wZuB9MgiLsv20zl/view?usp=drivesdk" TargetMode="External"/><Relationship Id="rId4830" Type="http://schemas.openxmlformats.org/officeDocument/2006/relationships/hyperlink" Target="https://drive.google.com/file/d/1P6xycaYCVJIg4Lxk-nvFhgoJv5EFRZ3b/view?usp=drivesdk" TargetMode="External"/><Relationship Id="rId2203" Type="http://schemas.openxmlformats.org/officeDocument/2006/relationships/hyperlink" Target="https://drive.google.com/file/d/1ETKq0ezFrz3ggoRmN5L9cXj3df_ZwcaQ/view?usp=drivesdk" TargetMode="External"/><Relationship Id="rId3535" Type="http://schemas.openxmlformats.org/officeDocument/2006/relationships/hyperlink" Target="https://drive.google.com/file/d/1hj-AqULXrtEQkA2k1-dFC9u3e13ZnA4D/view?usp=drivesdk" TargetMode="External"/><Relationship Id="rId4866" Type="http://schemas.openxmlformats.org/officeDocument/2006/relationships/hyperlink" Target="https://drive.google.com/file/d/18VF6mKavWrp64_AgG5KvcxHy32itURxm/view?usp=drivesdk" TargetMode="External"/><Relationship Id="rId2204" Type="http://schemas.openxmlformats.org/officeDocument/2006/relationships/hyperlink" Target="https://drive.google.com/file/d/1FKIP2czq4oMQY8TTrwb6bGttnGJJRfUK/view?usp=drivesdk" TargetMode="External"/><Relationship Id="rId3534" Type="http://schemas.openxmlformats.org/officeDocument/2006/relationships/hyperlink" Target="https://drive.google.com/file/d/1osy8YmZBTOqCO20taI7FZeqfx0dEn3ML/view?usp=drivesdk" TargetMode="External"/><Relationship Id="rId4865" Type="http://schemas.openxmlformats.org/officeDocument/2006/relationships/hyperlink" Target="https://drive.google.com/file/d/14UnvCLMR6ojrhx3GOWKtu4Ooo2Gk8hvJ/view?usp=drivesdk" TargetMode="External"/><Relationship Id="rId20" Type="http://schemas.openxmlformats.org/officeDocument/2006/relationships/hyperlink" Target="https://drive.google.com/file/d/1JxafZuEXiHS8yJWdZ6MDK9mTj7MO0ekQ/view?usp=drivesdk" TargetMode="External"/><Relationship Id="rId2205" Type="http://schemas.openxmlformats.org/officeDocument/2006/relationships/hyperlink" Target="https://drive.google.com/file/d/1kSfLDqzRolOdo3cnukF7_QV7XuIEXwmd/view?usp=drivesdk" TargetMode="External"/><Relationship Id="rId3537" Type="http://schemas.openxmlformats.org/officeDocument/2006/relationships/hyperlink" Target="https://drive.google.com/file/d/1kAr_5LwYJk4TSU2G5J3nSymZMWZKVOLa/view?usp=drivesdk" TargetMode="External"/><Relationship Id="rId4868" Type="http://schemas.openxmlformats.org/officeDocument/2006/relationships/hyperlink" Target="https://drive.google.com/file/d/1HbBnGkqI6hUhfdwoNraY8YCFu3xbShrz/view?usp=drivesdk" TargetMode="External"/><Relationship Id="rId2206" Type="http://schemas.openxmlformats.org/officeDocument/2006/relationships/hyperlink" Target="https://drive.google.com/file/d/1XgF2okZ55d3cbi-hZ0RvXDlFHTX1mIAY/view?usp=drivesdk" TargetMode="External"/><Relationship Id="rId3536" Type="http://schemas.openxmlformats.org/officeDocument/2006/relationships/hyperlink" Target="https://drive.google.com/file/d/1gGOsi7hBCIjcSYU0_Doy4oWsR-E7pusg/view?usp=drivesdk" TargetMode="External"/><Relationship Id="rId4867" Type="http://schemas.openxmlformats.org/officeDocument/2006/relationships/hyperlink" Target="https://drive.google.com/file/d/1fPDTnpiKsTT6cMsLGm3bgSqRJinTjW-S/view?usp=drivesdk" TargetMode="External"/><Relationship Id="rId22" Type="http://schemas.openxmlformats.org/officeDocument/2006/relationships/hyperlink" Target="https://drive.google.com/file/d/1RAynAOHoRbgXSpWdIpymKVvHKbHejP6_/view?usp=drivesdk" TargetMode="External"/><Relationship Id="rId2207" Type="http://schemas.openxmlformats.org/officeDocument/2006/relationships/hyperlink" Target="https://drive.google.com/file/d/14YiC36a9R4X3U0ys0oj59y_EYIISUffi/view?usp=drivesdk" TargetMode="External"/><Relationship Id="rId3539" Type="http://schemas.openxmlformats.org/officeDocument/2006/relationships/hyperlink" Target="https://drive.google.com/file/d/1g9_E-EO0kkfDpIErw1JSLqmnOjQCRnFX/view?usp=drivesdk" TargetMode="External"/><Relationship Id="rId21" Type="http://schemas.openxmlformats.org/officeDocument/2006/relationships/hyperlink" Target="https://drive.google.com/file/d/1pld6v2Wkd5LN70FilzfCzyhMDh1BZmES/view?usp=drivesdk" TargetMode="External"/><Relationship Id="rId2208" Type="http://schemas.openxmlformats.org/officeDocument/2006/relationships/hyperlink" Target="https://drive.google.com/file/d/1vyzupDtx40f762COvur9EV01lVyxfUuP/view?usp=drivesdk" TargetMode="External"/><Relationship Id="rId3538" Type="http://schemas.openxmlformats.org/officeDocument/2006/relationships/hyperlink" Target="https://drive.google.com/file/d/1UPZxyV3FR3iO2D0ZvxIN45KgiQB1aMJV/view?usp=drivesdk" TargetMode="External"/><Relationship Id="rId4869" Type="http://schemas.openxmlformats.org/officeDocument/2006/relationships/hyperlink" Target="https://drive.google.com/file/d/1htgcYIQT9rh2dPY2VHXxEC1FoxgbGHvx/view?usp=drivesdk" TargetMode="External"/><Relationship Id="rId24" Type="http://schemas.openxmlformats.org/officeDocument/2006/relationships/hyperlink" Target="https://drive.google.com/file/d/1CN5TSjZsKcuq4eGcT6va6uoDbVbLz8rT/view?usp=drivesdk" TargetMode="External"/><Relationship Id="rId2209" Type="http://schemas.openxmlformats.org/officeDocument/2006/relationships/hyperlink" Target="https://drive.google.com/file/d/1yblmIXntGL2ukANnx9MzwLrz6eDwhO5d/view?usp=drivesdk" TargetMode="External"/><Relationship Id="rId23" Type="http://schemas.openxmlformats.org/officeDocument/2006/relationships/hyperlink" Target="https://drive.google.com/file/d/1HeuvGCBMvakESQ9cyD0wz0SD-eoLCDnG/view?usp=drivesdk" TargetMode="External"/><Relationship Id="rId26" Type="http://schemas.openxmlformats.org/officeDocument/2006/relationships/hyperlink" Target="https://drive.google.com/file/d/1jV1OWLMBr-CsW3qEoKHr1GjGf3tWI4Jq/view?usp=drivesdk" TargetMode="External"/><Relationship Id="rId25" Type="http://schemas.openxmlformats.org/officeDocument/2006/relationships/hyperlink" Target="https://drive.google.com/file/d/1t9UsZ3UBSTNHvCl1pm6w0HnUz78O6WYE/view?usp=drivesdk" TargetMode="External"/><Relationship Id="rId28" Type="http://schemas.openxmlformats.org/officeDocument/2006/relationships/hyperlink" Target="https://drive.google.com/file/d/1E1zIljJsYdDu1rO0l0-7zGaJ_8vxKdCL/view?usp=drivesdk" TargetMode="External"/><Relationship Id="rId4860" Type="http://schemas.openxmlformats.org/officeDocument/2006/relationships/hyperlink" Target="https://drive.google.com/file/d/1Yql7LOTzz2-nQ58K9b2iLrNsrdKyZiao/view?usp=drivesdk" TargetMode="External"/><Relationship Id="rId27" Type="http://schemas.openxmlformats.org/officeDocument/2006/relationships/hyperlink" Target="https://drive.google.com/file/d/14mm-EgEkduaHNUD43RWYMWZ8PNDTPjDD/view?usp=drivesdk" TargetMode="External"/><Relationship Id="rId3531" Type="http://schemas.openxmlformats.org/officeDocument/2006/relationships/hyperlink" Target="https://drive.google.com/file/d/1pKL3QMGcPpLTIWwo_iEShPhcbbPtHebS/view?usp=drivesdk" TargetMode="External"/><Relationship Id="rId4862" Type="http://schemas.openxmlformats.org/officeDocument/2006/relationships/hyperlink" Target="https://drive.google.com/file/d/1QG0_ETy2DqMYaCa6dGKN9RTHaON_7PB8/view?usp=drivesdk" TargetMode="External"/><Relationship Id="rId29" Type="http://schemas.openxmlformats.org/officeDocument/2006/relationships/hyperlink" Target="https://drive.google.com/file/d/1MVdJDyHd_YkfwQYKiAFTvULtNpbsVJoV/view?usp=drivesdk" TargetMode="External"/><Relationship Id="rId2200" Type="http://schemas.openxmlformats.org/officeDocument/2006/relationships/hyperlink" Target="https://drive.google.com/file/d/1KYDFeS-IupjA6Xww-h9X6F85d4SFknj0/view?usp=drivesdk" TargetMode="External"/><Relationship Id="rId3530" Type="http://schemas.openxmlformats.org/officeDocument/2006/relationships/hyperlink" Target="https://drive.google.com/file/d/1hmZoFEnHc2P65f5rqPyyLb57EFnm8a5y/view?usp=drivesdk" TargetMode="External"/><Relationship Id="rId4861" Type="http://schemas.openxmlformats.org/officeDocument/2006/relationships/hyperlink" Target="https://drive.google.com/file/d/1tj-lhO91bVzOFoxmer-zYCCHwsvQLbs7/view?usp=drivesdk" TargetMode="External"/><Relationship Id="rId2201" Type="http://schemas.openxmlformats.org/officeDocument/2006/relationships/hyperlink" Target="https://drive.google.com/file/d/1rkvchtNC0JcDOZl1PZ7g4hW9YDWwq1_B/view?usp=drivesdk" TargetMode="External"/><Relationship Id="rId3533" Type="http://schemas.openxmlformats.org/officeDocument/2006/relationships/hyperlink" Target="https://drive.google.com/file/d/1Z21M2-0Y-B_X-C8casUwXKoCRu7RpVAA/view?usp=drivesdk" TargetMode="External"/><Relationship Id="rId4864" Type="http://schemas.openxmlformats.org/officeDocument/2006/relationships/hyperlink" Target="https://drive.google.com/file/d/1uyqZKoaUYUwRbuqkTqGuNAwmipidDAn1/view?usp=drivesdk" TargetMode="External"/><Relationship Id="rId2202" Type="http://schemas.openxmlformats.org/officeDocument/2006/relationships/hyperlink" Target="https://drive.google.com/file/d/1W0TFn_MujSVWHYQ-3M7yHWo7MBGPTvf3/view?usp=drivesdk" TargetMode="External"/><Relationship Id="rId3532" Type="http://schemas.openxmlformats.org/officeDocument/2006/relationships/hyperlink" Target="https://drive.google.com/file/d/1iuXy72ifvSdEHmFSt0N6jw9aYD5tYrZu/view?usp=drivesdk" TargetMode="External"/><Relationship Id="rId4863" Type="http://schemas.openxmlformats.org/officeDocument/2006/relationships/hyperlink" Target="https://drive.google.com/file/d/1FUoTQJEQ-ipIcOxgOe1o1OR6i86oddMw/view?usp=drivesdk" TargetMode="External"/><Relationship Id="rId3524" Type="http://schemas.openxmlformats.org/officeDocument/2006/relationships/hyperlink" Target="https://drive.google.com/file/d/1oEIeHJMBVxRJcBhVT1Bosg1kWLjxacdv/view?usp=drivesdk" TargetMode="External"/><Relationship Id="rId4855" Type="http://schemas.openxmlformats.org/officeDocument/2006/relationships/hyperlink" Target="https://drive.google.com/file/d/1CrAzQ_Nhb_b986JaIeB7zAgvgqxszBV4/view?usp=drivesdk" TargetMode="External"/><Relationship Id="rId3523" Type="http://schemas.openxmlformats.org/officeDocument/2006/relationships/hyperlink" Target="https://drive.google.com/file/d/1adt-Ljria_tV528CeDab5qEhXpcVsHCi/view?usp=drivesdk" TargetMode="External"/><Relationship Id="rId4854" Type="http://schemas.openxmlformats.org/officeDocument/2006/relationships/hyperlink" Target="https://drive.google.com/file/d/1ImnarGyakLYXrXioEPFMY4rN97CkiueY/view?usp=drivesdk" TargetMode="External"/><Relationship Id="rId3526" Type="http://schemas.openxmlformats.org/officeDocument/2006/relationships/hyperlink" Target="https://drive.google.com/file/d/1FB42n7rBLPdZvU3jL8D489maRjj_oZKl/view?usp=drivesdk" TargetMode="External"/><Relationship Id="rId4857" Type="http://schemas.openxmlformats.org/officeDocument/2006/relationships/hyperlink" Target="https://drive.google.com/file/d/1zgCzvd2KQYlE07suUzgyHgcwcmC_lFKh/view?usp=drivesdk" TargetMode="External"/><Relationship Id="rId3525" Type="http://schemas.openxmlformats.org/officeDocument/2006/relationships/hyperlink" Target="https://drive.google.com/file/d/17RWW_pvkUvy4p5VTLaFSXLXTDNJZaq2Q/view?usp=drivesdk" TargetMode="External"/><Relationship Id="rId4856" Type="http://schemas.openxmlformats.org/officeDocument/2006/relationships/hyperlink" Target="https://drive.google.com/file/d/1ilnO9blyt0w4ahyg6l1ogXsB_PeihCo6/view?usp=drivesdk" TargetMode="External"/><Relationship Id="rId11" Type="http://schemas.openxmlformats.org/officeDocument/2006/relationships/hyperlink" Target="https://drive.google.com/file/d/1VZEI7wLMaZljV7rsqxhtVoZXnaRGljve/view?usp=drivesdk" TargetMode="External"/><Relationship Id="rId3528" Type="http://schemas.openxmlformats.org/officeDocument/2006/relationships/hyperlink" Target="https://drive.google.com/file/d/1AZZS_CLpNt6a0wg8wO_hoSC_f5-K7Gl_/view?usp=drivesdk" TargetMode="External"/><Relationship Id="rId4859" Type="http://schemas.openxmlformats.org/officeDocument/2006/relationships/hyperlink" Target="https://drive.google.com/file/d/1Rh7IRJL92DnQnYZE6rN0UmIhaxccL0xf/view?usp=drivesdk" TargetMode="External"/><Relationship Id="rId10" Type="http://schemas.openxmlformats.org/officeDocument/2006/relationships/hyperlink" Target="https://drive.google.com/file/d/1CcUz-Nf6734MOA5BLWJr68swVRxvPcYB/view?usp=drivesdk" TargetMode="External"/><Relationship Id="rId3527" Type="http://schemas.openxmlformats.org/officeDocument/2006/relationships/hyperlink" Target="https://drive.google.com/file/d/1tsoUmvq0hxnx_AGBj9U-LZkGBM0N5ipt/view?usp=drivesdk" TargetMode="External"/><Relationship Id="rId4858" Type="http://schemas.openxmlformats.org/officeDocument/2006/relationships/hyperlink" Target="https://drive.google.com/file/d/1qblpIaAvq4QqPzMGIUNAx2VlZ0bVWu1n/view?usp=drivesdk" TargetMode="External"/><Relationship Id="rId13" Type="http://schemas.openxmlformats.org/officeDocument/2006/relationships/hyperlink" Target="https://drive.google.com/file/d/1tGUj_oUhi3WZaOwV1aMfNe_8hVx6qBr1/view?usp=drivesdk" TargetMode="External"/><Relationship Id="rId12" Type="http://schemas.openxmlformats.org/officeDocument/2006/relationships/hyperlink" Target="https://drive.google.com/file/d/1v6tHs8w3dAlv5RzvE8iCym0AWVLlftFm/view?usp=drivesdk" TargetMode="External"/><Relationship Id="rId3529" Type="http://schemas.openxmlformats.org/officeDocument/2006/relationships/hyperlink" Target="https://drive.google.com/file/d/17IZjsmZaMxQ7r9f02ZFaYVcv-VmR-F3q/view?usp=drivesdk" TargetMode="External"/><Relationship Id="rId15" Type="http://schemas.openxmlformats.org/officeDocument/2006/relationships/hyperlink" Target="https://drive.google.com/file/d/1hMjcA6cDjrx3y8Mk9pz-ijDUn0GztI4L/view?usp=drivesdk" TargetMode="External"/><Relationship Id="rId14" Type="http://schemas.openxmlformats.org/officeDocument/2006/relationships/hyperlink" Target="https://drive.google.com/file/d/1-8RZZ67aglPKjbaqxp6f_BiT5JfIaQ9C/view?usp=drivesdk" TargetMode="External"/><Relationship Id="rId17" Type="http://schemas.openxmlformats.org/officeDocument/2006/relationships/hyperlink" Target="https://drive.google.com/file/d/1La6Sav70KNNQC4Ux64YTf58BzL3Pokst/view?usp=drivesdk" TargetMode="External"/><Relationship Id="rId16" Type="http://schemas.openxmlformats.org/officeDocument/2006/relationships/hyperlink" Target="https://drive.google.com/file/d/1mvD3Gabfjl3t5YUIm-f128DPmLW0MqqK/view?usp=drivesdk" TargetMode="External"/><Relationship Id="rId19" Type="http://schemas.openxmlformats.org/officeDocument/2006/relationships/hyperlink" Target="https://drive.google.com/file/d/1LBBgP7JmmQZugiz0LDMYuNv1v5b2afsl/view?usp=drivesdk" TargetMode="External"/><Relationship Id="rId3520" Type="http://schemas.openxmlformats.org/officeDocument/2006/relationships/hyperlink" Target="https://drive.google.com/file/d/1zUgCqTZJo_fZ0GU5r8hMs6TkC5DLBVS7/view?usp=drivesdk" TargetMode="External"/><Relationship Id="rId4851" Type="http://schemas.openxmlformats.org/officeDocument/2006/relationships/hyperlink" Target="https://drive.google.com/file/d/18H2gfo7KvqzOHFfFzaTnioTbkkgZ669D/view?usp=drivesdk" TargetMode="External"/><Relationship Id="rId18" Type="http://schemas.openxmlformats.org/officeDocument/2006/relationships/hyperlink" Target="https://drive.google.com/file/d/1QbHbRagU-H00YYGBmHaK1iUJPZCCX8PZ/view?usp=drivesdk" TargetMode="External"/><Relationship Id="rId4850" Type="http://schemas.openxmlformats.org/officeDocument/2006/relationships/hyperlink" Target="https://drive.google.com/file/d/1L67dM8G233PSTrc65s9oM0HSZ-0GbXzX/view?usp=drivesdk" TargetMode="External"/><Relationship Id="rId3522" Type="http://schemas.openxmlformats.org/officeDocument/2006/relationships/hyperlink" Target="https://drive.google.com/file/d/1DD5TvmkBzkQdPhLzJ8VOrB8VkePJi9KS/view?usp=drivesdk" TargetMode="External"/><Relationship Id="rId4853" Type="http://schemas.openxmlformats.org/officeDocument/2006/relationships/hyperlink" Target="https://drive.google.com/file/d/1ldcRHzIfytw1vs_NnZJZVB_eCvXYa73M/view?usp=drivesdk" TargetMode="External"/><Relationship Id="rId3521" Type="http://schemas.openxmlformats.org/officeDocument/2006/relationships/hyperlink" Target="https://drive.google.com/file/d/1-R72kUKVA_MCDtlVY0eiGT0fiNQ9xV4r/view?usp=drivesdk" TargetMode="External"/><Relationship Id="rId4852" Type="http://schemas.openxmlformats.org/officeDocument/2006/relationships/hyperlink" Target="https://drive.google.com/file/d/1rEKDnMovmkTGVj9MXCtHZNFsmPl3qhs2/view?usp=drivesdk" TargetMode="External"/><Relationship Id="rId84" Type="http://schemas.openxmlformats.org/officeDocument/2006/relationships/hyperlink" Target="https://drive.google.com/file/d/1WD7G4Zjax5soGrwFELJ_yeimxRvoAatx/view?usp=drivesdk" TargetMode="External"/><Relationship Id="rId1774" Type="http://schemas.openxmlformats.org/officeDocument/2006/relationships/hyperlink" Target="https://drive.google.com/file/d/1-jNFzf5bpn1uXWnkmuUyHySJcndy1X6j/view?usp=drivesdk" TargetMode="External"/><Relationship Id="rId4800" Type="http://schemas.openxmlformats.org/officeDocument/2006/relationships/hyperlink" Target="https://drive.google.com/file/d/1k4l-sNSz76pAZsm9kUtYCoD5oSQRlsbR/view?usp=drivesdk" TargetMode="External"/><Relationship Id="rId83" Type="http://schemas.openxmlformats.org/officeDocument/2006/relationships/hyperlink" Target="https://drive.google.com/file/d/1oVXL3cpR515p1pYNQBQilrhpQOjJDJo4/view?usp=drivesdk" TargetMode="External"/><Relationship Id="rId1775" Type="http://schemas.openxmlformats.org/officeDocument/2006/relationships/hyperlink" Target="https://drive.google.com/file/d/1ynzvXeMqOLa3kMey3syY94OfD-jM0A-_/view?usp=drivesdk" TargetMode="External"/><Relationship Id="rId86" Type="http://schemas.openxmlformats.org/officeDocument/2006/relationships/hyperlink" Target="https://drive.google.com/file/d/1gaptERP7E0zUWH6McreVNFn2pxuMPyuz/view?usp=drivesdk" TargetMode="External"/><Relationship Id="rId1776" Type="http://schemas.openxmlformats.org/officeDocument/2006/relationships/hyperlink" Target="https://drive.google.com/file/d/1H5jRbs92n1sOJRQrrasMmy8xVrtPdJtl/view?usp=drivesdk" TargetMode="External"/><Relationship Id="rId4802" Type="http://schemas.openxmlformats.org/officeDocument/2006/relationships/hyperlink" Target="https://drive.google.com/file/d/1gdMn-Au03ibLlnbwlX-ZxHJ8_-p_KrSb/view?usp=drivesdk" TargetMode="External"/><Relationship Id="rId85" Type="http://schemas.openxmlformats.org/officeDocument/2006/relationships/hyperlink" Target="https://drive.google.com/file/d/1ZkgbL4x6wjFA8jYv53YkFliM26nUYQFj/view?usp=drivesdk" TargetMode="External"/><Relationship Id="rId1777" Type="http://schemas.openxmlformats.org/officeDocument/2006/relationships/hyperlink" Target="https://drive.google.com/file/d/1HnM0d9P9NrGDECd-ApUasvP9iaIHkh6X/view?usp=drivesdk" TargetMode="External"/><Relationship Id="rId4801" Type="http://schemas.openxmlformats.org/officeDocument/2006/relationships/hyperlink" Target="https://drive.google.com/file/d/1mpjtIhgex3lOpXc80mGQLx0F_1PP1UyJ/view?usp=drivesdk" TargetMode="External"/><Relationship Id="rId88" Type="http://schemas.openxmlformats.org/officeDocument/2006/relationships/hyperlink" Target="https://drive.google.com/file/d/1xrW5gfETHC0JqVlKdImxEBe5MUgI7D9o/view?usp=drivesdk" TargetMode="External"/><Relationship Id="rId1778" Type="http://schemas.openxmlformats.org/officeDocument/2006/relationships/hyperlink" Target="https://drive.google.com/file/d/1Jkt2nqUeTMMazIWS4dvPK0PdbEhREJHz/view?usp=drivesdk" TargetMode="External"/><Relationship Id="rId4804" Type="http://schemas.openxmlformats.org/officeDocument/2006/relationships/hyperlink" Target="https://drive.google.com/file/d/13X1810DyRemkN8dFP3rvAcbLkSeadqKx/view?usp=drivesdk" TargetMode="External"/><Relationship Id="rId87" Type="http://schemas.openxmlformats.org/officeDocument/2006/relationships/hyperlink" Target="https://drive.google.com/file/d/1bE7XLf0mYUbF7Isl1FuO0O-tPG7u5cwv/view?usp=drivesdk" TargetMode="External"/><Relationship Id="rId1779" Type="http://schemas.openxmlformats.org/officeDocument/2006/relationships/hyperlink" Target="https://drive.google.com/file/d/12cIFiaPlIXhcJc9rCdjz_dolqBgYcIBl/view?usp=drivesdk" TargetMode="External"/><Relationship Id="rId4803" Type="http://schemas.openxmlformats.org/officeDocument/2006/relationships/hyperlink" Target="https://drive.google.com/file/d/1UQ7yFMVHR_lxod-lLpSkQOnQZXXhiJAe/view?usp=drivesdk" TargetMode="External"/><Relationship Id="rId4806" Type="http://schemas.openxmlformats.org/officeDocument/2006/relationships/hyperlink" Target="https://drive.google.com/file/d/1cAiDI9CH2NsQcrfPXfXJuuyegunnedas/view?usp=drivesdk" TargetMode="External"/><Relationship Id="rId89" Type="http://schemas.openxmlformats.org/officeDocument/2006/relationships/hyperlink" Target="https://drive.google.com/file/d/15cjLTDaVJVekMO6fTzIwczasFIrfspsR/view?usp=drivesdk" TargetMode="External"/><Relationship Id="rId4805" Type="http://schemas.openxmlformats.org/officeDocument/2006/relationships/hyperlink" Target="https://drive.google.com/file/d/1YoUZ7jRfohjWCtyosd4Y8HJXMI0LH9hK/view?usp=drivesdk" TargetMode="External"/><Relationship Id="rId4808" Type="http://schemas.openxmlformats.org/officeDocument/2006/relationships/hyperlink" Target="https://drive.google.com/file/d/18SodNO6tvWimucesacjkXKlihl2lVwro/view?usp=drivesdk" TargetMode="External"/><Relationship Id="rId4807" Type="http://schemas.openxmlformats.org/officeDocument/2006/relationships/hyperlink" Target="https://drive.google.com/file/d/1N7KyCd6r-gv6gPQ8toni_jsUuqea_J7e/view?usp=drivesdk" TargetMode="External"/><Relationship Id="rId4809" Type="http://schemas.openxmlformats.org/officeDocument/2006/relationships/hyperlink" Target="https://drive.google.com/file/d/13huihQSD9NRYC_8wJrlj2POZuq8DjtJ0/view?usp=drivesdk" TargetMode="External"/><Relationship Id="rId80" Type="http://schemas.openxmlformats.org/officeDocument/2006/relationships/hyperlink" Target="https://drive.google.com/file/d/1dWRKZfVWKxkUoEZwrK7VNbZPfgx70G7O/view?usp=drivesdk" TargetMode="External"/><Relationship Id="rId82" Type="http://schemas.openxmlformats.org/officeDocument/2006/relationships/hyperlink" Target="https://drive.google.com/file/d/1RCJJW9cBMuGgQmqPqElq7cByRX249HhC/view?usp=drivesdk" TargetMode="External"/><Relationship Id="rId81" Type="http://schemas.openxmlformats.org/officeDocument/2006/relationships/hyperlink" Target="https://drive.google.com/file/d/1aWs1n7NFGVthncRsrjdWqDFIdOUTv7Yc/view?usp=drivesdk" TargetMode="External"/><Relationship Id="rId1770" Type="http://schemas.openxmlformats.org/officeDocument/2006/relationships/hyperlink" Target="https://drive.google.com/file/d/1ZwbaimefiafkYMeSdzfhRz_aPcbTI-q-/view?usp=drivesdk" TargetMode="External"/><Relationship Id="rId1771" Type="http://schemas.openxmlformats.org/officeDocument/2006/relationships/hyperlink" Target="https://drive.google.com/file/d/1iBRhqDPf7bl9V0KnUT-O13aiKrU6_-i3/view?usp=drivesdk" TargetMode="External"/><Relationship Id="rId1772" Type="http://schemas.openxmlformats.org/officeDocument/2006/relationships/hyperlink" Target="https://drive.google.com/file/d/1CEdr39-kHyvsOwVKizQstDbd4JQB5NXJ/view?usp=drivesdk" TargetMode="External"/><Relationship Id="rId1773" Type="http://schemas.openxmlformats.org/officeDocument/2006/relationships/hyperlink" Target="https://drive.google.com/file/d/1uBq4IERv3oqYC2NBmql0AhoHr5b8HYUn/view?usp=drivesdk" TargetMode="External"/><Relationship Id="rId73" Type="http://schemas.openxmlformats.org/officeDocument/2006/relationships/hyperlink" Target="https://drive.google.com/file/d/1Msa3-j2y5V8a7neIudl7Dn_VCNZJ70n3/view?usp=drivesdk" TargetMode="External"/><Relationship Id="rId1763" Type="http://schemas.openxmlformats.org/officeDocument/2006/relationships/hyperlink" Target="https://drive.google.com/file/d/16xiKf7h5I0L6IYNrIvZ1UjrxjONhMC3u/view?usp=drivesdk" TargetMode="External"/><Relationship Id="rId72" Type="http://schemas.openxmlformats.org/officeDocument/2006/relationships/hyperlink" Target="https://drive.google.com/file/d/1sfCKs6whLLUVL6wNEFxFIszYMO0tyMo9/view?usp=drivesdk" TargetMode="External"/><Relationship Id="rId1764" Type="http://schemas.openxmlformats.org/officeDocument/2006/relationships/hyperlink" Target="https://drive.google.com/file/d/1-isZzJ5F1eQU65PjxEETNStq3aPIsm63/view?usp=drivesdk" TargetMode="External"/><Relationship Id="rId75" Type="http://schemas.openxmlformats.org/officeDocument/2006/relationships/hyperlink" Target="https://drive.google.com/file/d/1pTf7wk15oaJX26vYo79dZpIOdGXjz6Q8/view?usp=drivesdk" TargetMode="External"/><Relationship Id="rId1765" Type="http://schemas.openxmlformats.org/officeDocument/2006/relationships/hyperlink" Target="https://drive.google.com/file/d/1ijSqcRC43csREIIq6Ca3pHMb4MsRZEPR/view?usp=drivesdk" TargetMode="External"/><Relationship Id="rId74" Type="http://schemas.openxmlformats.org/officeDocument/2006/relationships/hyperlink" Target="https://drive.google.com/file/d/1J8rBcir8esXrBT9M6QWMBWsN0VOwtUbL/view?usp=drivesdk" TargetMode="External"/><Relationship Id="rId1766" Type="http://schemas.openxmlformats.org/officeDocument/2006/relationships/hyperlink" Target="https://drive.google.com/file/d/1KnCdSLzpiSOaKzuEIXA6snOGUm_oyHuD/view?usp=drivesdk" TargetMode="External"/><Relationship Id="rId77" Type="http://schemas.openxmlformats.org/officeDocument/2006/relationships/hyperlink" Target="https://drive.google.com/file/d/1LGx-hj864vLoq59v_amRA9oc_ow_L6D-/view?usp=drivesdk" TargetMode="External"/><Relationship Id="rId1767" Type="http://schemas.openxmlformats.org/officeDocument/2006/relationships/hyperlink" Target="https://drive.google.com/file/d/11NbhO2NnGz4H-ky6KQ_S_daSJuc3sGtQ/view?usp=drivesdk" TargetMode="External"/><Relationship Id="rId76" Type="http://schemas.openxmlformats.org/officeDocument/2006/relationships/hyperlink" Target="https://drive.google.com/file/d/1l2C1yA46b6ncqVL6l8Fa2JVShNeo0Ryv/view?usp=drivesdk" TargetMode="External"/><Relationship Id="rId1768" Type="http://schemas.openxmlformats.org/officeDocument/2006/relationships/hyperlink" Target="https://drive.google.com/file/d/13It2--wo6CkZZKCV_gudw7IpUomT_LY-/view?usp=drivesdk" TargetMode="External"/><Relationship Id="rId79" Type="http://schemas.openxmlformats.org/officeDocument/2006/relationships/hyperlink" Target="https://drive.google.com/file/d/1CXvmzjnAGhwfksH6wdR2dYH91ugdM0pJ/view?usp=drivesdk" TargetMode="External"/><Relationship Id="rId1769" Type="http://schemas.openxmlformats.org/officeDocument/2006/relationships/hyperlink" Target="https://drive.google.com/file/d/1EUwcpRvrtJ4kpAl8tKDA35WzZ_e4jqwf/view?usp=drivesdk" TargetMode="External"/><Relationship Id="rId78" Type="http://schemas.openxmlformats.org/officeDocument/2006/relationships/hyperlink" Target="https://drive.google.com/file/d/1fOTg8A_oralU2MO3czie0jcwW_hAoQ7-/view?usp=drivesdk" TargetMode="External"/><Relationship Id="rId71" Type="http://schemas.openxmlformats.org/officeDocument/2006/relationships/hyperlink" Target="https://drive.google.com/file/d/1O9QUOvrTC7YZEXu5DJpJOt3Q-EL-2n_c/view?usp=drivesdk" TargetMode="External"/><Relationship Id="rId70" Type="http://schemas.openxmlformats.org/officeDocument/2006/relationships/hyperlink" Target="https://drive.google.com/file/d/1nUJo6YBO0S-viIWVdr2pypXW9Ti1zzKj/view?usp=drivesdk" TargetMode="External"/><Relationship Id="rId1760" Type="http://schemas.openxmlformats.org/officeDocument/2006/relationships/hyperlink" Target="https://drive.google.com/file/d/1rDh051rblI_hGU9Em6UvfMyS6x0E8B_T/view?usp=drivesdk" TargetMode="External"/><Relationship Id="rId1761" Type="http://schemas.openxmlformats.org/officeDocument/2006/relationships/hyperlink" Target="https://drive.google.com/file/d/1gsYkIOU7Sk_ozC9-miEeyYzX7YD6W7lf/view?usp=drivesdk" TargetMode="External"/><Relationship Id="rId1762" Type="http://schemas.openxmlformats.org/officeDocument/2006/relationships/hyperlink" Target="https://drive.google.com/file/d/1WDP9OmAFfUFrc6NWSA-hTwqhMR2SO6xX/view?usp=drivesdk" TargetMode="External"/><Relationship Id="rId62" Type="http://schemas.openxmlformats.org/officeDocument/2006/relationships/hyperlink" Target="https://drive.google.com/file/d/13FUeVbPyTAyLps1yVeHd17PS4UiRWxXX/view?usp=drivesdk" TargetMode="External"/><Relationship Id="rId1796" Type="http://schemas.openxmlformats.org/officeDocument/2006/relationships/hyperlink" Target="https://drive.google.com/file/d/1X5YBnSnzVY4pNHRC260EMTtnZnDKcXim/view?usp=drivesdk" TargetMode="External"/><Relationship Id="rId4822" Type="http://schemas.openxmlformats.org/officeDocument/2006/relationships/hyperlink" Target="https://drive.google.com/file/d/1-HHmLzeHmhbo_9PYy2H76GuyBye3_dYG/view?usp=drivesdk" TargetMode="External"/><Relationship Id="rId61" Type="http://schemas.openxmlformats.org/officeDocument/2006/relationships/hyperlink" Target="https://drive.google.com/file/d/1d1DF2XKNGiQEY0bQDZ-YkgyHLjaukPVO/view?usp=drivesdk" TargetMode="External"/><Relationship Id="rId1797" Type="http://schemas.openxmlformats.org/officeDocument/2006/relationships/hyperlink" Target="https://drive.google.com/file/d/1XWnktfLJQcsII-9cmzWsDwrcm4iao-7C/view?usp=drivesdk" TargetMode="External"/><Relationship Id="rId4821" Type="http://schemas.openxmlformats.org/officeDocument/2006/relationships/hyperlink" Target="https://drive.google.com/file/d/1WknSlEgHVXJwLp8cm8g-HFy7A7ULeZAX/view?usp=drivesdk" TargetMode="External"/><Relationship Id="rId64" Type="http://schemas.openxmlformats.org/officeDocument/2006/relationships/hyperlink" Target="https://drive.google.com/file/d/1Ea1rz_Kr-IE51dKHM2-ktgdU9t2oPKgG/view?usp=drivesdk" TargetMode="External"/><Relationship Id="rId1798" Type="http://schemas.openxmlformats.org/officeDocument/2006/relationships/hyperlink" Target="https://drive.google.com/file/d/13_AexvjngzJZ3uiPk1EZ6kjLGtm5D3WB/view?usp=drivesdk" TargetMode="External"/><Relationship Id="rId4824" Type="http://schemas.openxmlformats.org/officeDocument/2006/relationships/hyperlink" Target="https://drive.google.com/file/d/1bNXpkLBk6gPxiYjGaItWmazHUMeUdDci/view?usp=drivesdk" TargetMode="External"/><Relationship Id="rId63" Type="http://schemas.openxmlformats.org/officeDocument/2006/relationships/hyperlink" Target="https://drive.google.com/file/d/1g97oz8mHL2Tdldg6sarFz5Ru89IVA6Rx/view?usp=drivesdk" TargetMode="External"/><Relationship Id="rId1799" Type="http://schemas.openxmlformats.org/officeDocument/2006/relationships/hyperlink" Target="https://drive.google.com/file/d/15yW2UjnuN1TJDs7A_E4BGSeUO5rHPU80/view?usp=drivesdk" TargetMode="External"/><Relationship Id="rId4823" Type="http://schemas.openxmlformats.org/officeDocument/2006/relationships/hyperlink" Target="https://drive.google.com/file/d/1CXt-iQRbmgFnV8qBQNJWOkX7C1_sAdVN/view?usp=drivesdk" TargetMode="External"/><Relationship Id="rId66" Type="http://schemas.openxmlformats.org/officeDocument/2006/relationships/hyperlink" Target="https://drive.google.com/file/d/1_cQLetYcmojUFmYpKz9sTpFTiiKf8aEb/view?usp=drivesdk" TargetMode="External"/><Relationship Id="rId4826" Type="http://schemas.openxmlformats.org/officeDocument/2006/relationships/hyperlink" Target="https://drive.google.com/file/d/1X-TmZmQcD4PQX8sHA44SEA-cKk_Tz8MG/view?usp=drivesdk" TargetMode="External"/><Relationship Id="rId65" Type="http://schemas.openxmlformats.org/officeDocument/2006/relationships/hyperlink" Target="https://drive.google.com/file/d/1S7tbVsoyBrfoJP3XENGVzMD_BPEw0JMK/view?usp=drivesdk" TargetMode="External"/><Relationship Id="rId4825" Type="http://schemas.openxmlformats.org/officeDocument/2006/relationships/hyperlink" Target="https://drive.google.com/file/d/1WF5AyWgXJSZ6vG_ZHGD8Jbbo2VuJ0i2I/view?usp=drivesdk" TargetMode="External"/><Relationship Id="rId68" Type="http://schemas.openxmlformats.org/officeDocument/2006/relationships/hyperlink" Target="https://drive.google.com/file/d/1FOtn8Z9mip8k_kswfowhBJ--3FHCOpgB/view?usp=drivesdk" TargetMode="External"/><Relationship Id="rId4828" Type="http://schemas.openxmlformats.org/officeDocument/2006/relationships/hyperlink" Target="https://drive.google.com/file/d/1DMY0C0Tw2zRqM948mMNyNMKdmJ5bhZTq/view?usp=drivesdk" TargetMode="External"/><Relationship Id="rId67" Type="http://schemas.openxmlformats.org/officeDocument/2006/relationships/hyperlink" Target="https://drive.google.com/file/d/1T1lxDDsvKTEYZp4cw8ItT0_gahaUyM_A/view?usp=drivesdk" TargetMode="External"/><Relationship Id="rId4827" Type="http://schemas.openxmlformats.org/officeDocument/2006/relationships/hyperlink" Target="https://drive.google.com/file/d/1cua81ugztflxDE8yQuD-9U_Ch3ZUkm5o/view?usp=drivesdk" TargetMode="External"/><Relationship Id="rId4829" Type="http://schemas.openxmlformats.org/officeDocument/2006/relationships/hyperlink" Target="https://drive.google.com/file/d/1-3RL3mV-i1-DbZaaplvS4C4If1uGFZRY/view?usp=drivesdk" TargetMode="External"/><Relationship Id="rId60" Type="http://schemas.openxmlformats.org/officeDocument/2006/relationships/hyperlink" Target="https://drive.google.com/file/d/10siFTyYgLMKCAIdyM7EHelvC-ixyBoSX/view?usp=drivesdk" TargetMode="External"/><Relationship Id="rId69" Type="http://schemas.openxmlformats.org/officeDocument/2006/relationships/hyperlink" Target="https://drive.google.com/file/d/1tPDT-otaL1u6pXpi0KJBvErylubW3h7v/view?usp=drivesdk" TargetMode="External"/><Relationship Id="rId1790" Type="http://schemas.openxmlformats.org/officeDocument/2006/relationships/hyperlink" Target="https://drive.google.com/file/d/16kU8Tgvf1dXTC5JojrtbGYjixsqKS0xy/view?usp=drivesdk" TargetMode="External"/><Relationship Id="rId1791" Type="http://schemas.openxmlformats.org/officeDocument/2006/relationships/hyperlink" Target="https://drive.google.com/file/d/1hEZJMLsT2-U2YmJM0wlbSzQSydtZ2Slz/view?usp=drivesdk" TargetMode="External"/><Relationship Id="rId1792" Type="http://schemas.openxmlformats.org/officeDocument/2006/relationships/hyperlink" Target="https://drive.google.com/file/d/1zgA-NhN4KJNnBt0m7vC8enQyOZ39Dtx2/view?usp=drivesdk" TargetMode="External"/><Relationship Id="rId1793" Type="http://schemas.openxmlformats.org/officeDocument/2006/relationships/hyperlink" Target="https://drive.google.com/file/d/1_bruz2QFlS3KoiNG9NXUbmi9v_KsTLK4/view?usp=drivesdk" TargetMode="External"/><Relationship Id="rId1794" Type="http://schemas.openxmlformats.org/officeDocument/2006/relationships/hyperlink" Target="https://drive.google.com/file/d/1Nd-UmBchmw2OidUahDLlhaEAH1AajNZ_/view?usp=drivesdk" TargetMode="External"/><Relationship Id="rId4820" Type="http://schemas.openxmlformats.org/officeDocument/2006/relationships/hyperlink" Target="https://drive.google.com/file/d/1fgmqARPPbqCK6qH4CQZMO8BkgmxJtYA3/view?usp=drivesdk" TargetMode="External"/><Relationship Id="rId1795" Type="http://schemas.openxmlformats.org/officeDocument/2006/relationships/hyperlink" Target="https://drive.google.com/file/d/10vtJ2DkBdDoActD3kQ7PahUyJQFKR8W1/view?usp=drivesdk" TargetMode="External"/><Relationship Id="rId51" Type="http://schemas.openxmlformats.org/officeDocument/2006/relationships/hyperlink" Target="https://drive.google.com/file/d/10JKbTJo8yqiHGW_dSPqmUE3TfZfM1OE-/view?usp=drivesdk" TargetMode="External"/><Relationship Id="rId1785" Type="http://schemas.openxmlformats.org/officeDocument/2006/relationships/hyperlink" Target="https://drive.google.com/file/d/1Tye_xMeAYDmfgobZvOnMoAxns1cmxgtC/view?usp=drivesdk" TargetMode="External"/><Relationship Id="rId4811" Type="http://schemas.openxmlformats.org/officeDocument/2006/relationships/hyperlink" Target="https://drive.google.com/file/d/1sTGxyjYPmAqiFgmGr7e6I5iiJ2O5kmeM/view?usp=drivesdk" TargetMode="External"/><Relationship Id="rId50" Type="http://schemas.openxmlformats.org/officeDocument/2006/relationships/hyperlink" Target="https://drive.google.com/file/d/1HxNA8m9pZ4eID3GWdG0AIdEbFHBsDpzR/view?usp=drivesdk" TargetMode="External"/><Relationship Id="rId1786" Type="http://schemas.openxmlformats.org/officeDocument/2006/relationships/hyperlink" Target="https://drive.google.com/file/d/1YtWhy957k0IngLJikUsjz5GHuuWdungg/view?usp=drivesdk" TargetMode="External"/><Relationship Id="rId4810" Type="http://schemas.openxmlformats.org/officeDocument/2006/relationships/hyperlink" Target="https://drive.google.com/file/d/1_StVQypUs3VZ_76YUq6v80g5X2Xs6zFe/view?usp=drivesdk" TargetMode="External"/><Relationship Id="rId53" Type="http://schemas.openxmlformats.org/officeDocument/2006/relationships/hyperlink" Target="https://drive.google.com/file/d/11pnMuH3RlItGQQmLiA2UJ-lJMEPIRnLo/view?usp=drivesdk" TargetMode="External"/><Relationship Id="rId1787" Type="http://schemas.openxmlformats.org/officeDocument/2006/relationships/hyperlink" Target="https://drive.google.com/file/d/1PtfprbguqI1P4728ReKzk0CeIIHJP0nT/view?usp=drivesdk" TargetMode="External"/><Relationship Id="rId4813" Type="http://schemas.openxmlformats.org/officeDocument/2006/relationships/hyperlink" Target="https://drive.google.com/file/d/1hDM49cWY-mJMzoM7VXt1nympVesAdAqA/view?usp=drivesdk" TargetMode="External"/><Relationship Id="rId52" Type="http://schemas.openxmlformats.org/officeDocument/2006/relationships/hyperlink" Target="https://drive.google.com/file/d/1-QCSfzvEe0x4fX9Tv_2swaavQdY8wbfT/view?usp=drivesdk" TargetMode="External"/><Relationship Id="rId1788" Type="http://schemas.openxmlformats.org/officeDocument/2006/relationships/hyperlink" Target="https://drive.google.com/file/d/1hYKJWYjECUEA4BguLYe5YRmFVBO73pqm/view?usp=drivesdk" TargetMode="External"/><Relationship Id="rId4812" Type="http://schemas.openxmlformats.org/officeDocument/2006/relationships/hyperlink" Target="https://drive.google.com/file/d/1PKbF2ez_EA7yCrN1r_OK1iHsBx1_A1qD/view?usp=drivesdk" TargetMode="External"/><Relationship Id="rId55" Type="http://schemas.openxmlformats.org/officeDocument/2006/relationships/hyperlink" Target="https://drive.google.com/file/d/1KchO7Zg0pKKC9CSic4SfGCxXu9solQl5/view?usp=drivesdk" TargetMode="External"/><Relationship Id="rId1789" Type="http://schemas.openxmlformats.org/officeDocument/2006/relationships/hyperlink" Target="https://drive.google.com/file/d/1q8sQEd-Mlcb6tV-CqQKxvVx7tYWChyDS/view?usp=drivesdk" TargetMode="External"/><Relationship Id="rId4815" Type="http://schemas.openxmlformats.org/officeDocument/2006/relationships/hyperlink" Target="https://drive.google.com/file/d/1Ci6LymTap8vZ8LjAJuWjWweI4MnkA1Ps/view?usp=drivesdk" TargetMode="External"/><Relationship Id="rId54" Type="http://schemas.openxmlformats.org/officeDocument/2006/relationships/hyperlink" Target="https://drive.google.com/file/d/1JOZDSK9p4UImFWuxf9Zs9vDVyvt7GlpJ/view?usp=drivesdk" TargetMode="External"/><Relationship Id="rId4814" Type="http://schemas.openxmlformats.org/officeDocument/2006/relationships/hyperlink" Target="https://drive.google.com/file/d/1iVB0bcWXod4Hfa2FxGRJGtKwCxENLTDn/view?usp=drivesdk" TargetMode="External"/><Relationship Id="rId57" Type="http://schemas.openxmlformats.org/officeDocument/2006/relationships/hyperlink" Target="https://drive.google.com/file/d/1PMf0uqYEtdPLO6HJliraDYC5TxNttFTv/view?usp=drivesdk" TargetMode="External"/><Relationship Id="rId4817" Type="http://schemas.openxmlformats.org/officeDocument/2006/relationships/hyperlink" Target="https://drive.google.com/file/d/1jLBi7P4bgyBG1OLPN5E1vtKQgL5KE33Y/view?usp=drivesdk" TargetMode="External"/><Relationship Id="rId56" Type="http://schemas.openxmlformats.org/officeDocument/2006/relationships/hyperlink" Target="https://drive.google.com/file/d/1It_QxT_VfuP2Gfpjggl-jt2m5F8kbAWe/view?usp=drivesdk" TargetMode="External"/><Relationship Id="rId4816" Type="http://schemas.openxmlformats.org/officeDocument/2006/relationships/hyperlink" Target="https://drive.google.com/file/d/1k24M1T_s1PV_nnWM9IG-aJPkEIDOqA3p/view?usp=drivesdk" TargetMode="External"/><Relationship Id="rId4819" Type="http://schemas.openxmlformats.org/officeDocument/2006/relationships/hyperlink" Target="https://drive.google.com/file/d/1JLOUcrER3O3ZdIU0FTbRic7aYU5pmq0A/view?usp=drivesdk" TargetMode="External"/><Relationship Id="rId4818" Type="http://schemas.openxmlformats.org/officeDocument/2006/relationships/hyperlink" Target="https://drive.google.com/file/d/1aG73PL6s3t31-AH5mLokw3P6q4DkyLIn/view?usp=drivesdk" TargetMode="External"/><Relationship Id="rId59" Type="http://schemas.openxmlformats.org/officeDocument/2006/relationships/hyperlink" Target="https://drive.google.com/file/d/1tgrwMrIZj7l4aQqHzm0kdQbzeUC2qtrH/view?usp=drivesdk" TargetMode="External"/><Relationship Id="rId58" Type="http://schemas.openxmlformats.org/officeDocument/2006/relationships/hyperlink" Target="https://drive.google.com/file/d/1bKgAjCUnwaIuJ0uqoBv5Rnn9PwwiXSBq/view?usp=drivesdk" TargetMode="External"/><Relationship Id="rId1780" Type="http://schemas.openxmlformats.org/officeDocument/2006/relationships/hyperlink" Target="https://drive.google.com/file/d/1qviJtUybpO1FRcztZ9ui-mK-CcfZ1Zgc/view?usp=drivesdk" TargetMode="External"/><Relationship Id="rId1781" Type="http://schemas.openxmlformats.org/officeDocument/2006/relationships/hyperlink" Target="https://drive.google.com/file/d/1VbDEI_7p1dsPrv7hLm0dI2OwQzfXcdpE/view?usp=drivesdk" TargetMode="External"/><Relationship Id="rId1782" Type="http://schemas.openxmlformats.org/officeDocument/2006/relationships/hyperlink" Target="https://drive.google.com/file/d/11r316vVZEFVrCBYF_Rbg9TGn9njC3TJm/view?usp=drivesdk" TargetMode="External"/><Relationship Id="rId1783" Type="http://schemas.openxmlformats.org/officeDocument/2006/relationships/hyperlink" Target="https://drive.google.com/file/d/1bIs0i8V7BlS0qDZ8lPZnvxGNEOgAX7Um/view?usp=drivesdk" TargetMode="External"/><Relationship Id="rId1784" Type="http://schemas.openxmlformats.org/officeDocument/2006/relationships/hyperlink" Target="https://drive.google.com/file/d/1wjYDq0gog2SbuYAYcdNZ5U3Nk4RollcV/view?usp=drivesdk" TargetMode="External"/><Relationship Id="rId2269" Type="http://schemas.openxmlformats.org/officeDocument/2006/relationships/hyperlink" Target="https://drive.google.com/file/d/1B2RLUnV1atj0DqCPQXXNMToa_q2PM7iF/view?usp=drivesdk" TargetMode="External"/><Relationship Id="rId349" Type="http://schemas.openxmlformats.org/officeDocument/2006/relationships/hyperlink" Target="https://drive.google.com/file/d/1Ye6E3p9hEqU-70CLNlRQjSMGdi3reGhY/view?usp=drivesdk" TargetMode="External"/><Relationship Id="rId348" Type="http://schemas.openxmlformats.org/officeDocument/2006/relationships/hyperlink" Target="https://drive.google.com/file/d/14rdmriGbvY5NOszUefCfCA1Zf-Sa3BA7/view?usp=drivesdk" TargetMode="External"/><Relationship Id="rId347" Type="http://schemas.openxmlformats.org/officeDocument/2006/relationships/hyperlink" Target="https://drive.google.com/file/d/1Eo-BKF51dX6d3WDYVHKIUUHHQkP5xL-V/view?usp=drivesdk" TargetMode="External"/><Relationship Id="rId346" Type="http://schemas.openxmlformats.org/officeDocument/2006/relationships/hyperlink" Target="https://drive.google.com/file/d/1IOZQpBwPW74pO0XcvnWOHKgeyoNGOTKj/view?usp=drivesdk" TargetMode="External"/><Relationship Id="rId3591" Type="http://schemas.openxmlformats.org/officeDocument/2006/relationships/hyperlink" Target="https://drive.google.com/file/d/1Y71y2IROlTxeDXrbXH5etH_u4C8xXhmB/view?usp=drivesdk" TargetMode="External"/><Relationship Id="rId2260" Type="http://schemas.openxmlformats.org/officeDocument/2006/relationships/hyperlink" Target="https://drive.google.com/file/d/11s0p_BN45Nwk2dXBmdmfAeAp6eH_AFZA/view?usp=drivesdk" TargetMode="External"/><Relationship Id="rId3590" Type="http://schemas.openxmlformats.org/officeDocument/2006/relationships/hyperlink" Target="https://drive.google.com/file/d/1k1uDYQZ5dtgvrlVncuEsuhm416aeLbDW/view?usp=drivesdk" TargetMode="External"/><Relationship Id="rId341" Type="http://schemas.openxmlformats.org/officeDocument/2006/relationships/hyperlink" Target="https://drive.google.com/file/d/14uNrZnI9nIsxrFRSCql0UWDf4yjvSXki/view?usp=drivesdk" TargetMode="External"/><Relationship Id="rId2261" Type="http://schemas.openxmlformats.org/officeDocument/2006/relationships/hyperlink" Target="https://drive.google.com/file/d/1sEtyWHPyTjlZke65LOzoMFcdSpVLIPWt/view?usp=drivesdk" TargetMode="External"/><Relationship Id="rId3593" Type="http://schemas.openxmlformats.org/officeDocument/2006/relationships/hyperlink" Target="https://drive.google.com/file/d/1Hj9KOF6nmxAMKDPjnk3s0Qmb8ly1DaOv/view?usp=drivesdk" TargetMode="External"/><Relationship Id="rId340" Type="http://schemas.openxmlformats.org/officeDocument/2006/relationships/hyperlink" Target="https://drive.google.com/file/d/1GthqHBVqxOAZDUq9GkGN7ln3efoK8QUE/view?usp=drivesdk" TargetMode="External"/><Relationship Id="rId2262" Type="http://schemas.openxmlformats.org/officeDocument/2006/relationships/hyperlink" Target="https://drive.google.com/file/d/1qW55qFJSn0arO6FJnx4HH1XG-OXazEjg/view?usp=drivesdk" TargetMode="External"/><Relationship Id="rId3592" Type="http://schemas.openxmlformats.org/officeDocument/2006/relationships/hyperlink" Target="https://drive.google.com/file/d/1fV2Tm2sOW16cjOoXPG0tOx-0Ljh4AiTV/view?usp=drivesdk" TargetMode="External"/><Relationship Id="rId2263" Type="http://schemas.openxmlformats.org/officeDocument/2006/relationships/hyperlink" Target="https://drive.google.com/file/d/1FsmkR5NSYHtfWb7pBfQTHGWoBfg__Kfe/view?usp=drivesdk" TargetMode="External"/><Relationship Id="rId3595" Type="http://schemas.openxmlformats.org/officeDocument/2006/relationships/hyperlink" Target="https://drive.google.com/file/d/1GoS52mIF0GdHtZBewMkCSneCYVHRyRbs/view?usp=drivesdk" TargetMode="External"/><Relationship Id="rId2264" Type="http://schemas.openxmlformats.org/officeDocument/2006/relationships/hyperlink" Target="https://drive.google.com/file/d/1zzljtGr0kYhuqfv-e_zqpbUf3Cato47H/view?usp=drivesdk" TargetMode="External"/><Relationship Id="rId3594" Type="http://schemas.openxmlformats.org/officeDocument/2006/relationships/hyperlink" Target="https://drive.google.com/file/d/1Z33EqKUhgHI0qBv8dBAF62v7rWni6RWX/view?usp=drivesdk" TargetMode="External"/><Relationship Id="rId345" Type="http://schemas.openxmlformats.org/officeDocument/2006/relationships/hyperlink" Target="https://drive.google.com/file/d/16DvK4JxKSPxGoZAkiksZC2UZfmRE2HRP/view?usp=drivesdk" TargetMode="External"/><Relationship Id="rId2265" Type="http://schemas.openxmlformats.org/officeDocument/2006/relationships/hyperlink" Target="https://drive.google.com/file/d/1vDmEn59tb4hs37wkgXTPVEeqOo03K0QV/view?usp=drivesdk" TargetMode="External"/><Relationship Id="rId3597" Type="http://schemas.openxmlformats.org/officeDocument/2006/relationships/hyperlink" Target="https://drive.google.com/file/d/1UV0pXGu6103xpub_88WDz-KluAGjIbqW/view?usp=drivesdk" TargetMode="External"/><Relationship Id="rId344" Type="http://schemas.openxmlformats.org/officeDocument/2006/relationships/hyperlink" Target="https://drive.google.com/file/d/1fyfQTx-36hsC_AqH0F0jt7wOww9bRZ5_/view?usp=drivesdk" TargetMode="External"/><Relationship Id="rId2266" Type="http://schemas.openxmlformats.org/officeDocument/2006/relationships/hyperlink" Target="https://drive.google.com/file/d/1pb9j47D0efYyYAYCR7bEyi_MwUs1DPJc/view?usp=drivesdk" TargetMode="External"/><Relationship Id="rId3596" Type="http://schemas.openxmlformats.org/officeDocument/2006/relationships/hyperlink" Target="https://drive.google.com/file/d/1M3l-Ui2O_jKvR2AIKksZtYD8QTamxx-9/view?usp=drivesdk" TargetMode="External"/><Relationship Id="rId343" Type="http://schemas.openxmlformats.org/officeDocument/2006/relationships/hyperlink" Target="https://drive.google.com/file/d/1qfW_y7EWmFGAYPazs3E4x-iJLdy8Zpet/view?usp=drivesdk" TargetMode="External"/><Relationship Id="rId2267" Type="http://schemas.openxmlformats.org/officeDocument/2006/relationships/hyperlink" Target="https://drive.google.com/file/d/13lkuxiJpy4dO85203Wtp1YbVSTPNXtRp/view?usp=drivesdk" TargetMode="External"/><Relationship Id="rId3599" Type="http://schemas.openxmlformats.org/officeDocument/2006/relationships/hyperlink" Target="https://drive.google.com/file/d/1kFei9ogtDpQug8QJGDpQ8B0rY3qj7s4w/view?usp=drivesdk" TargetMode="External"/><Relationship Id="rId342" Type="http://schemas.openxmlformats.org/officeDocument/2006/relationships/hyperlink" Target="https://drive.google.com/file/d/1nG16_TA-U5VDlMVrY8U-M0R-qlq0_rx7/view?usp=drivesdk" TargetMode="External"/><Relationship Id="rId2268" Type="http://schemas.openxmlformats.org/officeDocument/2006/relationships/hyperlink" Target="https://drive.google.com/file/d/1kKoygeoR7QjCOAZc8MKBC9EHy-xbJ7Ky/view?usp=drivesdk" TargetMode="External"/><Relationship Id="rId3598" Type="http://schemas.openxmlformats.org/officeDocument/2006/relationships/hyperlink" Target="https://drive.google.com/file/d/1rKSZlxw3ZXwGxFPZO3EUgjoKPXl-c6XV/view?usp=drivesdk" TargetMode="External"/><Relationship Id="rId2258" Type="http://schemas.openxmlformats.org/officeDocument/2006/relationships/hyperlink" Target="https://drive.google.com/file/d/1-Y8GvQ0Sy7vXwSy3NY3MdQnDhCUB6OVr/view?usp=drivesdk" TargetMode="External"/><Relationship Id="rId2259" Type="http://schemas.openxmlformats.org/officeDocument/2006/relationships/hyperlink" Target="https://drive.google.com/file/d/1J-gQMTp0dZ6_Mg8AL_Ks9rRGb84R-vHM/view?usp=drivesdk" TargetMode="External"/><Relationship Id="rId3589" Type="http://schemas.openxmlformats.org/officeDocument/2006/relationships/hyperlink" Target="https://drive.google.com/file/d/1WcjDE1Wf8RmSEKyN7Ht7fgjOYoiKiE43/view?usp=drivesdk" TargetMode="External"/><Relationship Id="rId338" Type="http://schemas.openxmlformats.org/officeDocument/2006/relationships/hyperlink" Target="https://drive.google.com/file/d/1wlvcjNsUJPucOg79rMVgPQnia3IeCk-v/view?usp=drivesdk" TargetMode="External"/><Relationship Id="rId337" Type="http://schemas.openxmlformats.org/officeDocument/2006/relationships/hyperlink" Target="https://drive.google.com/file/d/1U84QSMNxhkQsqprovnKmpQiPtpZL3ARk/view?usp=drivesdk" TargetMode="External"/><Relationship Id="rId336" Type="http://schemas.openxmlformats.org/officeDocument/2006/relationships/hyperlink" Target="https://drive.google.com/file/d/1yFf6ReFX7SiEFFzbJO7XDm3GIlXFNPMj/view?usp=drivesdk" TargetMode="External"/><Relationship Id="rId335" Type="http://schemas.openxmlformats.org/officeDocument/2006/relationships/hyperlink" Target="https://drive.google.com/file/d/10XZATL-Vel7i_91L7m6sZ8f7uCgIkzBt/view?usp=drivesdk" TargetMode="External"/><Relationship Id="rId3580" Type="http://schemas.openxmlformats.org/officeDocument/2006/relationships/hyperlink" Target="https://drive.google.com/file/d/1QVDMdoZBqvQI1N_uSTLxGDcXUY5GRTeK/view?usp=drivesdk" TargetMode="External"/><Relationship Id="rId339" Type="http://schemas.openxmlformats.org/officeDocument/2006/relationships/hyperlink" Target="https://drive.google.com/file/d/1HEKLMjHHy_Fdnza8IvCTRl5U8-lfA3Wv/view?usp=drivesdk" TargetMode="External"/><Relationship Id="rId330" Type="http://schemas.openxmlformats.org/officeDocument/2006/relationships/hyperlink" Target="https://drive.google.com/file/d/1Xhnf9sZ7yeOY71R1cEXnuRYpZYaHbXCB/view?usp=drivesdk" TargetMode="External"/><Relationship Id="rId2250" Type="http://schemas.openxmlformats.org/officeDocument/2006/relationships/hyperlink" Target="https://drive.google.com/file/d/1c2Is9731SR24mKSJwo23ICBBOOQYSr7G/view?usp=drivesdk" TargetMode="External"/><Relationship Id="rId3582" Type="http://schemas.openxmlformats.org/officeDocument/2006/relationships/hyperlink" Target="https://drive.google.com/file/d/1LOhpkGvd1CaCu8ubsdcOyVqWd_VKyVmJ/view?usp=drivesdk" TargetMode="External"/><Relationship Id="rId2251" Type="http://schemas.openxmlformats.org/officeDocument/2006/relationships/hyperlink" Target="https://drive.google.com/file/d/1_pktnphOnB2ozyLGcJondWofThjspm9s/view?usp=drivesdk" TargetMode="External"/><Relationship Id="rId3581" Type="http://schemas.openxmlformats.org/officeDocument/2006/relationships/hyperlink" Target="https://drive.google.com/file/d/1bfjHZEApigPhfGHAqjjS2v71AgAHjutI/view?usp=drivesdk" TargetMode="External"/><Relationship Id="rId2252" Type="http://schemas.openxmlformats.org/officeDocument/2006/relationships/hyperlink" Target="https://drive.google.com/file/d/1zhOYO8NDf6YjlMpmLdRqz7O-t_nKGplv/view?usp=drivesdk" TargetMode="External"/><Relationship Id="rId3584" Type="http://schemas.openxmlformats.org/officeDocument/2006/relationships/hyperlink" Target="https://drive.google.com/file/d/1sXYclJBVVYId6mh8xoMXKjTpHj7R6Ycj/view?usp=drivesdk" TargetMode="External"/><Relationship Id="rId2253" Type="http://schemas.openxmlformats.org/officeDocument/2006/relationships/hyperlink" Target="https://drive.google.com/file/d/1ibp2kZ0zei2XEi9v9nOrC3eJfKnM5Bt9/view?usp=drivesdk" TargetMode="External"/><Relationship Id="rId3583" Type="http://schemas.openxmlformats.org/officeDocument/2006/relationships/hyperlink" Target="https://drive.google.com/file/d/1MEF0emjo4lmlDKzLubCSL22fOFo33xJ5/view?usp=drivesdk" TargetMode="External"/><Relationship Id="rId334" Type="http://schemas.openxmlformats.org/officeDocument/2006/relationships/hyperlink" Target="https://drive.google.com/file/d/1-CEptkpbN-MGAExuHdUnCzxtf3v1fWzq/view?usp=drivesdk" TargetMode="External"/><Relationship Id="rId2254" Type="http://schemas.openxmlformats.org/officeDocument/2006/relationships/hyperlink" Target="https://drive.google.com/file/d/1Vk_A1sKwvlbc6mKuq6iOSaeZoQqON_p4/view?usp=drivesdk" TargetMode="External"/><Relationship Id="rId3586" Type="http://schemas.openxmlformats.org/officeDocument/2006/relationships/hyperlink" Target="https://drive.google.com/file/d/1UyvU39w6oHk2kh8O8R5SmBF4hJlKVxd0/view?usp=drivesdk" TargetMode="External"/><Relationship Id="rId333" Type="http://schemas.openxmlformats.org/officeDocument/2006/relationships/hyperlink" Target="https://drive.google.com/file/d/1NYMoel9UeBgkfvihk96V6SkjOU6o4psP/view?usp=drivesdk" TargetMode="External"/><Relationship Id="rId2255" Type="http://schemas.openxmlformats.org/officeDocument/2006/relationships/hyperlink" Target="https://drive.google.com/file/d/1QohfHOewurk0-R4BHTylbhvB_nrA7PM9/view?usp=drivesdk" TargetMode="External"/><Relationship Id="rId3585" Type="http://schemas.openxmlformats.org/officeDocument/2006/relationships/hyperlink" Target="https://drive.google.com/file/d/1aspkgzxbGE2GAD-hY0i3IC-DbEkrFR3N/view?usp=drivesdk" TargetMode="External"/><Relationship Id="rId332" Type="http://schemas.openxmlformats.org/officeDocument/2006/relationships/hyperlink" Target="https://drive.google.com/file/d/1sMn1XrAqeIqFBe6UsEPRdYfRpyZPUh4Y/view?usp=drivesdk" TargetMode="External"/><Relationship Id="rId2256" Type="http://schemas.openxmlformats.org/officeDocument/2006/relationships/hyperlink" Target="https://drive.google.com/file/d/1FhygsYt_k8oZBI5Z4VL4x57R38LQOgo0/view?usp=drivesdk" TargetMode="External"/><Relationship Id="rId3588" Type="http://schemas.openxmlformats.org/officeDocument/2006/relationships/hyperlink" Target="https://drive.google.com/file/d/1LGjirO3bz_-VHKMAFqH7jBZIQNsPs_YG/view?usp=drivesdk" TargetMode="External"/><Relationship Id="rId331" Type="http://schemas.openxmlformats.org/officeDocument/2006/relationships/hyperlink" Target="https://drive.google.com/file/d/1fJ5fgl24nAgOI4mrp-GGvPJBzZftvL9N/view?usp=drivesdk" TargetMode="External"/><Relationship Id="rId2257" Type="http://schemas.openxmlformats.org/officeDocument/2006/relationships/hyperlink" Target="https://drive.google.com/file/d/1CGPXNv5CqkE6ODOpQ4o7kjwGEH4_vEDA/view?usp=drivesdk" TargetMode="External"/><Relationship Id="rId3587" Type="http://schemas.openxmlformats.org/officeDocument/2006/relationships/hyperlink" Target="https://drive.google.com/file/d/1HMpg5L18_5sPWAIW3Nu5oXGl1cR6Nm95/view?usp=drivesdk" TargetMode="External"/><Relationship Id="rId370" Type="http://schemas.openxmlformats.org/officeDocument/2006/relationships/hyperlink" Target="https://drive.google.com/file/d/1ALtBFYnrWbeK9cJ2DdRsNvORKOiAddlR/view?usp=drivesdk" TargetMode="External"/><Relationship Id="rId369" Type="http://schemas.openxmlformats.org/officeDocument/2006/relationships/hyperlink" Target="https://drive.google.com/file/d/1iXKCJVyDQMyRK3kAoMLw7PKhSJtf3Kok/view?usp=drivesdk" TargetMode="External"/><Relationship Id="rId368" Type="http://schemas.openxmlformats.org/officeDocument/2006/relationships/hyperlink" Target="https://drive.google.com/file/d/1H2XmJ9fh8-BZE7jFbMdOJWxhadWbJhEh/view?usp=drivesdk" TargetMode="External"/><Relationship Id="rId2280" Type="http://schemas.openxmlformats.org/officeDocument/2006/relationships/hyperlink" Target="https://drive.google.com/file/d/1s8qi5bOab8OmJc7QKleGj0sSXSAm2xpv/view?usp=drivesdk" TargetMode="External"/><Relationship Id="rId2281" Type="http://schemas.openxmlformats.org/officeDocument/2006/relationships/hyperlink" Target="https://drive.google.com/file/d/1HK6TkwTSZWz5Dwn_X9cjqUIInJmGRXDO/view?usp=drivesdk" TargetMode="External"/><Relationship Id="rId2282" Type="http://schemas.openxmlformats.org/officeDocument/2006/relationships/hyperlink" Target="https://drive.google.com/file/d/1qcsa42SXyeGBF3rKqVJlxqNPUmL9dGn5/view?usp=drivesdk" TargetMode="External"/><Relationship Id="rId363" Type="http://schemas.openxmlformats.org/officeDocument/2006/relationships/hyperlink" Target="https://drive.google.com/file/d/1o7SlI0Yu8plzBvIl1JgWPgIhAkaXbq0S/view?usp=drivesdk" TargetMode="External"/><Relationship Id="rId2283" Type="http://schemas.openxmlformats.org/officeDocument/2006/relationships/hyperlink" Target="https://drive.google.com/file/d/1PEGZB1nAuzjK6qBZ96HvNfan1NMOoXJN/view?usp=drivesdk" TargetMode="External"/><Relationship Id="rId362" Type="http://schemas.openxmlformats.org/officeDocument/2006/relationships/hyperlink" Target="https://drive.google.com/file/d/1mZW-wqqObHF5KeXZLssJBFDH2pvSekxe/view?usp=drivesdk" TargetMode="External"/><Relationship Id="rId2284" Type="http://schemas.openxmlformats.org/officeDocument/2006/relationships/hyperlink" Target="https://drive.google.com/file/d/1iqxOg6D5k2wx0Uq0nQzxdDB1hreMccuQ/view?usp=drivesdk" TargetMode="External"/><Relationship Id="rId361" Type="http://schemas.openxmlformats.org/officeDocument/2006/relationships/hyperlink" Target="https://drive.google.com/file/d/1GBFE3_09NHWsNdUtic1toByadab1F44R/view?usp=drivesdk" TargetMode="External"/><Relationship Id="rId2285" Type="http://schemas.openxmlformats.org/officeDocument/2006/relationships/hyperlink" Target="https://drive.google.com/file/d/1b60U1D4cvAWqhr6NKbdFaf0hHEDBfuLf/view?usp=drivesdk" TargetMode="External"/><Relationship Id="rId360" Type="http://schemas.openxmlformats.org/officeDocument/2006/relationships/hyperlink" Target="https://drive.google.com/file/d/1d4QU5a3rRoLRH5NfYzvMDCBbL4j0w39g/view?usp=drivesdk" TargetMode="External"/><Relationship Id="rId2286" Type="http://schemas.openxmlformats.org/officeDocument/2006/relationships/hyperlink" Target="https://drive.google.com/file/d/120BdRF_zzUKLBk-Cl8BXpFKIpmcabLrA/view?usp=drivesdk" TargetMode="External"/><Relationship Id="rId367" Type="http://schemas.openxmlformats.org/officeDocument/2006/relationships/hyperlink" Target="https://drive.google.com/file/d/1QaNsivvNuJUH48u_hWkedRnVCZdlAki4/view?usp=drivesdk" TargetMode="External"/><Relationship Id="rId2287" Type="http://schemas.openxmlformats.org/officeDocument/2006/relationships/hyperlink" Target="https://drive.google.com/file/d/1LPYIgkgg9XQQ-1WBmUZ-GN9B_xQ8FTlN/view?usp=drivesdk" TargetMode="External"/><Relationship Id="rId366" Type="http://schemas.openxmlformats.org/officeDocument/2006/relationships/hyperlink" Target="https://drive.google.com/file/d/1JUXxJCqobZAaXSX0ILmfdyXuNqOKIqES/view?usp=drivesdk" TargetMode="External"/><Relationship Id="rId2288" Type="http://schemas.openxmlformats.org/officeDocument/2006/relationships/hyperlink" Target="https://drive.google.com/file/d/1i1AozNWlNFsBvHEuwS7_4jVbaAvLTUJP/view?usp=drivesdk" TargetMode="External"/><Relationship Id="rId365" Type="http://schemas.openxmlformats.org/officeDocument/2006/relationships/hyperlink" Target="https://drive.google.com/file/d/1orw_ADbToG-XgcINNmc9pQsix28Kj9iV/view?usp=drivesdk" TargetMode="External"/><Relationship Id="rId2289" Type="http://schemas.openxmlformats.org/officeDocument/2006/relationships/hyperlink" Target="https://drive.google.com/file/d/1m7SoMCangfGG_RCY5GP9l_q9f5-CeshE/view?usp=drivesdk" TargetMode="External"/><Relationship Id="rId364" Type="http://schemas.openxmlformats.org/officeDocument/2006/relationships/hyperlink" Target="https://drive.google.com/file/d/1jwZ1uP1MqWnaOxYZOSzXUpA2i9lejGi6/view?usp=drivesdk" TargetMode="External"/><Relationship Id="rId95" Type="http://schemas.openxmlformats.org/officeDocument/2006/relationships/hyperlink" Target="https://drive.google.com/file/d/1oPHPI4B6GWvUnaueIHxhjJXU9CnyDe4v/view?usp=drivesdk" TargetMode="External"/><Relationship Id="rId94" Type="http://schemas.openxmlformats.org/officeDocument/2006/relationships/hyperlink" Target="https://drive.google.com/file/d/1BRilnMwlMXcox6lKMZHHRfMWrUTyngSx/view?usp=drivesdk" TargetMode="External"/><Relationship Id="rId97" Type="http://schemas.openxmlformats.org/officeDocument/2006/relationships/hyperlink" Target="https://drive.google.com/file/d/1bCsXTZ1y0UUj4QWXA1-XD1nGG4cU4K1p/view?usp=drivesdk" TargetMode="External"/><Relationship Id="rId96" Type="http://schemas.openxmlformats.org/officeDocument/2006/relationships/hyperlink" Target="https://drive.google.com/file/d/1hZB0CY_9g8VseY_AvjkfLhm7aAdbmexL/view?usp=drivesdk" TargetMode="External"/><Relationship Id="rId99" Type="http://schemas.openxmlformats.org/officeDocument/2006/relationships/hyperlink" Target="https://drive.google.com/file/d/1UcTgCxTYH7acByJTbLMbjQAq_MJ4qun8/view?usp=drivesdk" TargetMode="External"/><Relationship Id="rId98" Type="http://schemas.openxmlformats.org/officeDocument/2006/relationships/hyperlink" Target="https://drive.google.com/file/d/1N32xbAkH4tC95W9Nz8qUXIiThWLysDwl/view?usp=drivesdk" TargetMode="External"/><Relationship Id="rId91" Type="http://schemas.openxmlformats.org/officeDocument/2006/relationships/hyperlink" Target="https://drive.google.com/file/d/1Gs8mpjvYxWvM_kvYnasqIP6iZXt5fV6h/view?usp=drivesdk" TargetMode="External"/><Relationship Id="rId90" Type="http://schemas.openxmlformats.org/officeDocument/2006/relationships/hyperlink" Target="https://drive.google.com/file/d/15EjgnYWnPC2w8C6bZrd_zvC7YbYN8qvY/view?usp=drivesdk" TargetMode="External"/><Relationship Id="rId93" Type="http://schemas.openxmlformats.org/officeDocument/2006/relationships/hyperlink" Target="https://drive.google.com/file/d/1pyDAKex1DmZUGKdjim_n903QO5OroRt5/view?usp=drivesdk" TargetMode="External"/><Relationship Id="rId92" Type="http://schemas.openxmlformats.org/officeDocument/2006/relationships/hyperlink" Target="https://drive.google.com/file/d/1H-uwp5FmgNzYxB478fsFBzeS-L8VZVCA/view?usp=drivesdk" TargetMode="External"/><Relationship Id="rId359" Type="http://schemas.openxmlformats.org/officeDocument/2006/relationships/hyperlink" Target="https://drive.google.com/file/d/1AhlVc8ZhLl4OgyTtAVLsS9Esx4Fxvlat/view?usp=drivesdk" TargetMode="External"/><Relationship Id="rId358" Type="http://schemas.openxmlformats.org/officeDocument/2006/relationships/hyperlink" Target="https://drive.google.com/file/d/1zZDJSimojk_0VIaCKFGTH4H71VfTFz_I/view?usp=drivesdk" TargetMode="External"/><Relationship Id="rId357" Type="http://schemas.openxmlformats.org/officeDocument/2006/relationships/hyperlink" Target="https://drive.google.com/file/d/1oPXIp9SJQ-XgjFg3FOypjVL5Z-MCvT9F/view?usp=drivesdk" TargetMode="External"/><Relationship Id="rId2270" Type="http://schemas.openxmlformats.org/officeDocument/2006/relationships/hyperlink" Target="https://drive.google.com/file/d/1W-uks5wTUWSd5kFBScYz9c9v7e7i2xRM/view?usp=drivesdk" TargetMode="External"/><Relationship Id="rId2271" Type="http://schemas.openxmlformats.org/officeDocument/2006/relationships/hyperlink" Target="https://drive.google.com/file/d/1gvy3vuF7I8o-KC4SpZx-XgC2zCjMrlRr/view?usp=drivesdk" TargetMode="External"/><Relationship Id="rId352" Type="http://schemas.openxmlformats.org/officeDocument/2006/relationships/hyperlink" Target="https://drive.google.com/file/d/1i2UqVsvmJiHUt7_T403pz_Z63obhA3CI/view?usp=drivesdk" TargetMode="External"/><Relationship Id="rId2272" Type="http://schemas.openxmlformats.org/officeDocument/2006/relationships/hyperlink" Target="https://drive.google.com/file/d/1YRAUg7ugCO7k4CpPi13-4G99WkdQiOh-/view?usp=drivesdk" TargetMode="External"/><Relationship Id="rId351" Type="http://schemas.openxmlformats.org/officeDocument/2006/relationships/hyperlink" Target="https://drive.google.com/file/d/1jjSHuUBsOsTqrFk-kVA31HR6QzHu3qLv/view?usp=drivesdk" TargetMode="External"/><Relationship Id="rId2273" Type="http://schemas.openxmlformats.org/officeDocument/2006/relationships/hyperlink" Target="https://drive.google.com/file/d/1jvPnY45jS6B4Suwe1gNUq_gEMigLcKDY/view?usp=drivesdk" TargetMode="External"/><Relationship Id="rId350" Type="http://schemas.openxmlformats.org/officeDocument/2006/relationships/hyperlink" Target="https://drive.google.com/file/d/1BF-vzQH5t0vyRjovVHZVblQm4ga3RJI3/view?usp=drivesdk" TargetMode="External"/><Relationship Id="rId2274" Type="http://schemas.openxmlformats.org/officeDocument/2006/relationships/hyperlink" Target="https://drive.google.com/file/d/1FC0VSEkUfWNJLe1xd1FrKXOPTGFecU8g/view?usp=drivesdk" TargetMode="External"/><Relationship Id="rId2275" Type="http://schemas.openxmlformats.org/officeDocument/2006/relationships/hyperlink" Target="https://drive.google.com/file/d/1JVgz-BJhDKsHiLo-Mlw0-CJzuQheXRfC/view?usp=drivesdk" TargetMode="External"/><Relationship Id="rId356" Type="http://schemas.openxmlformats.org/officeDocument/2006/relationships/hyperlink" Target="https://drive.google.com/file/d/1f4jujI2kcD5ES0ZehlVK0YCg-YDrc3Qh/view?usp=drivesdk" TargetMode="External"/><Relationship Id="rId2276" Type="http://schemas.openxmlformats.org/officeDocument/2006/relationships/hyperlink" Target="https://drive.google.com/file/d/1wRqccLohwkY_pYfNf5WBeenHrtukaivq/view?usp=drivesdk" TargetMode="External"/><Relationship Id="rId355" Type="http://schemas.openxmlformats.org/officeDocument/2006/relationships/hyperlink" Target="https://drive.google.com/file/d/1Gb3CjG-VZNubK-d8mdBY915vXohDX9P7/view?usp=drivesdk" TargetMode="External"/><Relationship Id="rId2277" Type="http://schemas.openxmlformats.org/officeDocument/2006/relationships/hyperlink" Target="https://drive.google.com/file/d/1A3qh9zK7FtR2FcU5Nkbl05bReWQ_5cUf/view?usp=drivesdk" TargetMode="External"/><Relationship Id="rId354" Type="http://schemas.openxmlformats.org/officeDocument/2006/relationships/hyperlink" Target="https://drive.google.com/file/d/1seuXUGROzve8voEAI8PMGYYDKQS3r-qu/view?usp=drivesdk" TargetMode="External"/><Relationship Id="rId2278" Type="http://schemas.openxmlformats.org/officeDocument/2006/relationships/hyperlink" Target="https://drive.google.com/file/d/1yiujwjQDhRS0f2rr7Jkor_n8JF3SSEFj/view?usp=drivesdk" TargetMode="External"/><Relationship Id="rId353" Type="http://schemas.openxmlformats.org/officeDocument/2006/relationships/hyperlink" Target="https://drive.google.com/file/d/1hoMOfKSPpB86Ia6DhOXrofp0HjrAZn6u/view?usp=drivesdk" TargetMode="External"/><Relationship Id="rId2279" Type="http://schemas.openxmlformats.org/officeDocument/2006/relationships/hyperlink" Target="https://drive.google.com/file/d/1-ols-wxiqqyFqJjYodxpAZ2eSu3W6krN/view?usp=drivesdk" TargetMode="External"/><Relationship Id="rId2225" Type="http://schemas.openxmlformats.org/officeDocument/2006/relationships/hyperlink" Target="https://drive.google.com/file/d/1AtRNoFtqDaNe0BwbRtn0RXwdcC33_1_k/view?usp=drivesdk" TargetMode="External"/><Relationship Id="rId3557" Type="http://schemas.openxmlformats.org/officeDocument/2006/relationships/hyperlink" Target="https://drive.google.com/file/d/1a-Z2QnUAgIsCOGcMNP9xWJryFoU62FnH/view?usp=drivesdk" TargetMode="External"/><Relationship Id="rId4888" Type="http://schemas.openxmlformats.org/officeDocument/2006/relationships/hyperlink" Target="https://drive.google.com/file/d/1dRteo2HXIQu96y-aLC5BLKiizwDzCAO0/view?usp=drivesdk" TargetMode="External"/><Relationship Id="rId2226" Type="http://schemas.openxmlformats.org/officeDocument/2006/relationships/hyperlink" Target="https://drive.google.com/file/d/1UtGUr-qwBucTRpvyOMmyCiXETBlouDYN/view?usp=drivesdk" TargetMode="External"/><Relationship Id="rId3556" Type="http://schemas.openxmlformats.org/officeDocument/2006/relationships/hyperlink" Target="https://drive.google.com/file/d/1wTa7HAT1r5ZCAapWRCIZxS9PtsyPheOy/view?usp=drivesdk" TargetMode="External"/><Relationship Id="rId4887" Type="http://schemas.openxmlformats.org/officeDocument/2006/relationships/hyperlink" Target="https://drive.google.com/file/d/18igqeCzbpflzmjcTWrmGhesCcKfXV9fh/view?usp=drivesdk" TargetMode="External"/><Relationship Id="rId2227" Type="http://schemas.openxmlformats.org/officeDocument/2006/relationships/hyperlink" Target="https://drive.google.com/file/d/1OuhXevyCNXvYA_b87X1yevSHyzd4t0jD/view?usp=drivesdk" TargetMode="External"/><Relationship Id="rId3559" Type="http://schemas.openxmlformats.org/officeDocument/2006/relationships/hyperlink" Target="https://drive.google.com/file/d/10gb-7sPeVVEmfUs8yznQcOZf_8nE3Pze/view?usp=drivesdk" TargetMode="External"/><Relationship Id="rId2228" Type="http://schemas.openxmlformats.org/officeDocument/2006/relationships/hyperlink" Target="https://drive.google.com/file/d/1q8TWlg7VlvRtHd_JsXE4FSj-NDcWFx61/view?usp=drivesdk" TargetMode="External"/><Relationship Id="rId3558" Type="http://schemas.openxmlformats.org/officeDocument/2006/relationships/hyperlink" Target="https://drive.google.com/file/d/1U01wIFbUKtgDn8n_EY1mP-eno9oWB2qc/view?usp=drivesdk" TargetMode="External"/><Relationship Id="rId4889" Type="http://schemas.openxmlformats.org/officeDocument/2006/relationships/hyperlink" Target="https://drive.google.com/file/d/1FxvyyBmBtIO-hxKJpCLMZKS_KWW0NvVY/view?usp=drivesdk" TargetMode="External"/><Relationship Id="rId2229" Type="http://schemas.openxmlformats.org/officeDocument/2006/relationships/hyperlink" Target="https://drive.google.com/file/d/1zMl0cKGDivM270s9aXNWMyNRFIFwwHc9/view?usp=drivesdk" TargetMode="External"/><Relationship Id="rId305" Type="http://schemas.openxmlformats.org/officeDocument/2006/relationships/hyperlink" Target="https://drive.google.com/file/d/1R5L-T9Ob2bbtab3dM9niMyWNYwm6wl4o/view?usp=drivesdk" TargetMode="External"/><Relationship Id="rId304" Type="http://schemas.openxmlformats.org/officeDocument/2006/relationships/hyperlink" Target="https://drive.google.com/file/d/1o0EHAaIaBiI9OBLboknoOgB8UuP3pKnZ/view?usp=drivesdk" TargetMode="External"/><Relationship Id="rId303" Type="http://schemas.openxmlformats.org/officeDocument/2006/relationships/hyperlink" Target="https://drive.google.com/file/d/1pbZVeQwes9PCm9BwzhsLv33-khNPx6e9/view?usp=drivesdk" TargetMode="External"/><Relationship Id="rId302" Type="http://schemas.openxmlformats.org/officeDocument/2006/relationships/hyperlink" Target="https://drive.google.com/file/d/1uFmzqmNkHHrAn_Nd-kdwA1gyYwrsLLMt/view?usp=drivesdk" TargetMode="External"/><Relationship Id="rId309" Type="http://schemas.openxmlformats.org/officeDocument/2006/relationships/hyperlink" Target="https://drive.google.com/file/d/1OE4aRjkSUa8dJczVpzVHxgOH4q5OUqjo/view?usp=drivesdk" TargetMode="External"/><Relationship Id="rId308" Type="http://schemas.openxmlformats.org/officeDocument/2006/relationships/hyperlink" Target="https://drive.google.com/file/d/1By15ziHe7uTucGBf3dLM1qY8mcmS9MJg/view?usp=drivesdk" TargetMode="External"/><Relationship Id="rId307" Type="http://schemas.openxmlformats.org/officeDocument/2006/relationships/hyperlink" Target="https://drive.google.com/file/d/1A9VmA6NJv18GmGVRSBRoDBqUOoR8IZ0Y/view?usp=drivesdk" TargetMode="External"/><Relationship Id="rId306" Type="http://schemas.openxmlformats.org/officeDocument/2006/relationships/hyperlink" Target="https://drive.google.com/file/d/1Kpnd_gDKzldW1t3Mw7Ao_QDL5ka1CctW/view?usp=drivesdk" TargetMode="External"/><Relationship Id="rId4880" Type="http://schemas.openxmlformats.org/officeDocument/2006/relationships/hyperlink" Target="https://drive.google.com/file/d/1SBFhl93KUbcaacI6gjyYjzRJQn-xbAth/view?usp=drivesdk" TargetMode="External"/><Relationship Id="rId3551" Type="http://schemas.openxmlformats.org/officeDocument/2006/relationships/hyperlink" Target="https://drive.google.com/file/d/1VBXt1Ttf__hsfRUzTj54wf8klhNVTu-P/view?usp=drivesdk" TargetMode="External"/><Relationship Id="rId4882" Type="http://schemas.openxmlformats.org/officeDocument/2006/relationships/hyperlink" Target="https://drive.google.com/file/d/1q9qfcFqont-tR_xT5R_tlVglUILcHtxj/view?usp=drivesdk" TargetMode="External"/><Relationship Id="rId2220" Type="http://schemas.openxmlformats.org/officeDocument/2006/relationships/hyperlink" Target="https://drive.google.com/file/d/1veLibJ0b5XRGtYKbdBTxLtb2h8LB-wZk/view?usp=drivesdk" TargetMode="External"/><Relationship Id="rId3550" Type="http://schemas.openxmlformats.org/officeDocument/2006/relationships/hyperlink" Target="https://drive.google.com/file/d/1Czd_96HvflzcPN_jyvJNGl05008gQOuE/view?usp=drivesdk" TargetMode="External"/><Relationship Id="rId4881" Type="http://schemas.openxmlformats.org/officeDocument/2006/relationships/hyperlink" Target="https://drive.google.com/file/d/17wLzOyjr9g-BQvV-kw_8xn5IfkQiODQh/view?usp=drivesdk" TargetMode="External"/><Relationship Id="rId301" Type="http://schemas.openxmlformats.org/officeDocument/2006/relationships/hyperlink" Target="https://drive.google.com/file/d/1YPpqRuQkRz0fKDU9W1Y0XuhRa0IINpkC/view?usp=drivesdk" TargetMode="External"/><Relationship Id="rId2221" Type="http://schemas.openxmlformats.org/officeDocument/2006/relationships/hyperlink" Target="https://drive.google.com/file/d/1MoQ7X4x7k_3fmRUUeiXqfzWrxWxfKaM2/view?usp=drivesdk" TargetMode="External"/><Relationship Id="rId3553" Type="http://schemas.openxmlformats.org/officeDocument/2006/relationships/hyperlink" Target="https://drive.google.com/file/d/19X_EKKKS6CrATpxtaJiTQ15N6Il_TBjl/view?usp=drivesdk" TargetMode="External"/><Relationship Id="rId4884" Type="http://schemas.openxmlformats.org/officeDocument/2006/relationships/hyperlink" Target="https://drive.google.com/file/d/1mo0T8uCialtc0qWAnk4j7PS-G-FYMc_f/view?usp=drivesdk" TargetMode="External"/><Relationship Id="rId300" Type="http://schemas.openxmlformats.org/officeDocument/2006/relationships/hyperlink" Target="https://drive.google.com/file/d/1aKD_xPZ4XIG2HDnZKUNmumnfNFs1LAoM/view?usp=drivesdk" TargetMode="External"/><Relationship Id="rId2222" Type="http://schemas.openxmlformats.org/officeDocument/2006/relationships/hyperlink" Target="https://drive.google.com/file/d/1kOybi5bgM2Cp6y_15JQiD5LAM7Hn8NrQ/view?usp=drivesdk" TargetMode="External"/><Relationship Id="rId3552" Type="http://schemas.openxmlformats.org/officeDocument/2006/relationships/hyperlink" Target="https://drive.google.com/file/d/1DNgJaVubNlmL-CUtJFDjVw3VrtNr-u7_/view?usp=drivesdk" TargetMode="External"/><Relationship Id="rId4883" Type="http://schemas.openxmlformats.org/officeDocument/2006/relationships/hyperlink" Target="https://drive.google.com/file/d/1EtyfnO_MRD4Vwe1IP_7QjNY107I5EQ-A/view?usp=drivesdk" TargetMode="External"/><Relationship Id="rId2223" Type="http://schemas.openxmlformats.org/officeDocument/2006/relationships/hyperlink" Target="https://drive.google.com/file/d/1mkOMENzNnLGBL9k56d1M6T9PJlufZ2_p/view?usp=drivesdk" TargetMode="External"/><Relationship Id="rId3555" Type="http://schemas.openxmlformats.org/officeDocument/2006/relationships/hyperlink" Target="https://drive.google.com/file/d/1iYnzU087h-b0OByMeVsip6xVKmtJx1Au/view?usp=drivesdk" TargetMode="External"/><Relationship Id="rId4886" Type="http://schemas.openxmlformats.org/officeDocument/2006/relationships/hyperlink" Target="https://drive.google.com/file/d/11yaoith1NxwkPZa7T9Mq7PyGupZAczz7/view?usp=drivesdk" TargetMode="External"/><Relationship Id="rId2224" Type="http://schemas.openxmlformats.org/officeDocument/2006/relationships/hyperlink" Target="https://drive.google.com/file/d/1jxWeGFheQkqUSR_Z3-s2mqlrprc9CSWD/view?usp=drivesdk" TargetMode="External"/><Relationship Id="rId3554" Type="http://schemas.openxmlformats.org/officeDocument/2006/relationships/hyperlink" Target="https://drive.google.com/file/d/19bTVXyo3iV_ZM93_4T6xaiRG8E50MeRG/view?usp=drivesdk" TargetMode="External"/><Relationship Id="rId4885" Type="http://schemas.openxmlformats.org/officeDocument/2006/relationships/hyperlink" Target="https://drive.google.com/file/d/1lw9yVQKDIssJiFihlG2ItFGixYORy-5O/view?usp=drivesdk" TargetMode="External"/><Relationship Id="rId2214" Type="http://schemas.openxmlformats.org/officeDocument/2006/relationships/hyperlink" Target="https://drive.google.com/file/d/1_vfZJ2Djo711l_BqfUzCSnhF4NpVZSb3/view?usp=drivesdk" TargetMode="External"/><Relationship Id="rId3546" Type="http://schemas.openxmlformats.org/officeDocument/2006/relationships/hyperlink" Target="https://drive.google.com/file/d/1py0gGFClhWLoHG0YDu34KgKZSFsW2ZEG/view?usp=drivesdk" TargetMode="External"/><Relationship Id="rId4877" Type="http://schemas.openxmlformats.org/officeDocument/2006/relationships/hyperlink" Target="https://drive.google.com/file/d/1SJuqWtT3TrMaeXSBkdZuv35uDGMv9yEV/view?usp=drivesdk" TargetMode="External"/><Relationship Id="rId2215" Type="http://schemas.openxmlformats.org/officeDocument/2006/relationships/hyperlink" Target="https://drive.google.com/file/d/10RHW6N5GgBSTdGMAq2TjfpXR8N9r5yo-/view?usp=drivesdk" TargetMode="External"/><Relationship Id="rId3545" Type="http://schemas.openxmlformats.org/officeDocument/2006/relationships/hyperlink" Target="https://drive.google.com/file/d/14hHGU_Zrd8iKhyXQYFZidZdyveNYCRS4/view?usp=drivesdk" TargetMode="External"/><Relationship Id="rId4876" Type="http://schemas.openxmlformats.org/officeDocument/2006/relationships/hyperlink" Target="https://drive.google.com/file/d/19Z7kCLIPD7d9ym-WsF_yVXJEl0IQERfS/view?usp=drivesdk" TargetMode="External"/><Relationship Id="rId2216" Type="http://schemas.openxmlformats.org/officeDocument/2006/relationships/hyperlink" Target="https://drive.google.com/file/d/1dMXQVgeqi18-Hgs0_NPW45L3D2CT5XaI/view?usp=drivesdk" TargetMode="External"/><Relationship Id="rId3548" Type="http://schemas.openxmlformats.org/officeDocument/2006/relationships/hyperlink" Target="https://drive.google.com/file/d/1ieLTOfswDFMSQUtZvbcJb-N_46NsFfYW/view?usp=drivesdk" TargetMode="External"/><Relationship Id="rId4879" Type="http://schemas.openxmlformats.org/officeDocument/2006/relationships/hyperlink" Target="https://drive.google.com/file/d/1iPathPB_NLY2lUdP6ipBQ372VoT29ZNS/view?usp=drivesdk" TargetMode="External"/><Relationship Id="rId2217" Type="http://schemas.openxmlformats.org/officeDocument/2006/relationships/hyperlink" Target="https://drive.google.com/file/d/1aa8YDL94bEE2w9DZeEGWBkO2lBpNa429/view?usp=drivesdk" TargetMode="External"/><Relationship Id="rId3547" Type="http://schemas.openxmlformats.org/officeDocument/2006/relationships/hyperlink" Target="https://drive.google.com/file/d/1zIPCXvLMeAQ7T7UvyB0N0KN5X336rW3o/view?usp=drivesdk" TargetMode="External"/><Relationship Id="rId4878" Type="http://schemas.openxmlformats.org/officeDocument/2006/relationships/hyperlink" Target="https://drive.google.com/file/d/1HdxJDO5JNTYnOgy69jZ80z-l78PeFFkL/view?usp=drivesdk" TargetMode="External"/><Relationship Id="rId2218" Type="http://schemas.openxmlformats.org/officeDocument/2006/relationships/hyperlink" Target="https://drive.google.com/file/d/1izG9TT1jWXM9WBaziLseIjQiS-GJqfun/view?usp=drivesdk" TargetMode="External"/><Relationship Id="rId2219" Type="http://schemas.openxmlformats.org/officeDocument/2006/relationships/hyperlink" Target="https://drive.google.com/file/d/10gr9fLKXUg8EAip_aP5UzYcBxSFcHH_J/view?usp=drivesdk" TargetMode="External"/><Relationship Id="rId3549" Type="http://schemas.openxmlformats.org/officeDocument/2006/relationships/hyperlink" Target="https://drive.google.com/file/d/1QZv5BqDfMnys39dxH17R2UlVfOBFjqqw/view?usp=drivesdk" TargetMode="External"/><Relationship Id="rId3540" Type="http://schemas.openxmlformats.org/officeDocument/2006/relationships/hyperlink" Target="https://drive.google.com/file/d/17TlOW2f4vJspTO4UGYWgcXuQfNeVLAFJ/view?usp=drivesdk" TargetMode="External"/><Relationship Id="rId4871" Type="http://schemas.openxmlformats.org/officeDocument/2006/relationships/hyperlink" Target="https://drive.google.com/file/d/1Ugl75KC2EC7gGAES60mZ80Qj0vgURtqj/view?usp=drivesdk" TargetMode="External"/><Relationship Id="rId4870" Type="http://schemas.openxmlformats.org/officeDocument/2006/relationships/hyperlink" Target="https://drive.google.com/file/d/14KevWhboDsvt5DYkQyuNQ2rnIwgzbtg4/view?usp=drivesdk" TargetMode="External"/><Relationship Id="rId2210" Type="http://schemas.openxmlformats.org/officeDocument/2006/relationships/hyperlink" Target="https://drive.google.com/file/d/1cqhDRKB6waDBAWRCFgHC_DOVxAeP83-1/view?usp=drivesdk" TargetMode="External"/><Relationship Id="rId3542" Type="http://schemas.openxmlformats.org/officeDocument/2006/relationships/hyperlink" Target="https://drive.google.com/file/d/1T0gvGaaI5tASdb6YwDVAi3HKQzkEf1FT/view?usp=drivesdk" TargetMode="External"/><Relationship Id="rId4873" Type="http://schemas.openxmlformats.org/officeDocument/2006/relationships/hyperlink" Target="https://drive.google.com/file/d/1XXceVX70FZR5Ca0Jdc8k55PwBFFq_qwj/view?usp=drivesdk" TargetMode="External"/><Relationship Id="rId2211" Type="http://schemas.openxmlformats.org/officeDocument/2006/relationships/hyperlink" Target="https://drive.google.com/file/d/1BWj_-GMRzeC-Wei89YffWyFA_b3HoNci/view?usp=drivesdk" TargetMode="External"/><Relationship Id="rId3541" Type="http://schemas.openxmlformats.org/officeDocument/2006/relationships/hyperlink" Target="https://drive.google.com/file/d/1gYA4KK4iVIBlkx_tZg58w__r0rm8UPhX/view?usp=drivesdk" TargetMode="External"/><Relationship Id="rId4872" Type="http://schemas.openxmlformats.org/officeDocument/2006/relationships/hyperlink" Target="https://drive.google.com/file/d/1Qxe62UXFTR7xbHXOtKmRCjud1EjpuIVQ/view?usp=drivesdk" TargetMode="External"/><Relationship Id="rId2212" Type="http://schemas.openxmlformats.org/officeDocument/2006/relationships/hyperlink" Target="https://drive.google.com/file/d/1sJKEGCZ_ox4GIx3RSlAJWsGpE1EecYEc/view?usp=drivesdk" TargetMode="External"/><Relationship Id="rId3544" Type="http://schemas.openxmlformats.org/officeDocument/2006/relationships/hyperlink" Target="https://drive.google.com/file/d/13Ns9LCTcmqmCXW_LD0204Ii719WcXCyG/view?usp=drivesdk" TargetMode="External"/><Relationship Id="rId4875" Type="http://schemas.openxmlformats.org/officeDocument/2006/relationships/hyperlink" Target="https://drive.google.com/file/d/1HqccY94wqoWvsO5BVJliY5T5G4TUrN0m/view?usp=drivesdk" TargetMode="External"/><Relationship Id="rId2213" Type="http://schemas.openxmlformats.org/officeDocument/2006/relationships/hyperlink" Target="https://drive.google.com/file/d/10VX3YLIHqnLClCT3dHTPewkt2VAiVFjN/view?usp=drivesdk" TargetMode="External"/><Relationship Id="rId3543" Type="http://schemas.openxmlformats.org/officeDocument/2006/relationships/hyperlink" Target="https://drive.google.com/file/d/16FtGh4a8BMVvsGc6kuX1ZITZ-5_FZmQD/view?usp=drivesdk" TargetMode="External"/><Relationship Id="rId4874" Type="http://schemas.openxmlformats.org/officeDocument/2006/relationships/hyperlink" Target="https://drive.google.com/file/d/1UNwW9aYh7W8GzyUdZhf_5lMrN43sUSlR/view?usp=drivesdk" TargetMode="External"/><Relationship Id="rId2247" Type="http://schemas.openxmlformats.org/officeDocument/2006/relationships/hyperlink" Target="https://drive.google.com/file/d/1Wwv_V0DBHRN1Qdw8xVrfuvu8n89rMD85/view?usp=drivesdk" TargetMode="External"/><Relationship Id="rId3579" Type="http://schemas.openxmlformats.org/officeDocument/2006/relationships/hyperlink" Target="https://drive.google.com/file/d/1LJnwhQ5lKpRDUqGm2zV4YAIrLeoNaBG6/view?usp=drivesdk" TargetMode="External"/><Relationship Id="rId2248" Type="http://schemas.openxmlformats.org/officeDocument/2006/relationships/hyperlink" Target="https://drive.google.com/file/d/1NuN-hDx1byOPurtKDS2vIMwlYlPmH64Q/view?usp=drivesdk" TargetMode="External"/><Relationship Id="rId3578" Type="http://schemas.openxmlformats.org/officeDocument/2006/relationships/hyperlink" Target="https://drive.google.com/file/d/1iPGKFUh2r4MRtwJgb2chJ_8qw1WLFYn5/view?usp=drivesdk" TargetMode="External"/><Relationship Id="rId2249" Type="http://schemas.openxmlformats.org/officeDocument/2006/relationships/hyperlink" Target="https://drive.google.com/file/d/1B2lXmiSiDtU8TymTaGNMULS_dKYZVVhq/view?usp=drivesdk" TargetMode="External"/><Relationship Id="rId327" Type="http://schemas.openxmlformats.org/officeDocument/2006/relationships/hyperlink" Target="https://drive.google.com/file/d/15yYkXttHsmS3EwW7YkKwIQLVgV6WFjLS/view?usp=drivesdk" TargetMode="External"/><Relationship Id="rId326" Type="http://schemas.openxmlformats.org/officeDocument/2006/relationships/hyperlink" Target="https://drive.google.com/file/d/1mIuFr_KPFp9ManmgL36NfCBWCUkSgWoo/view?usp=drivesdk" TargetMode="External"/><Relationship Id="rId325" Type="http://schemas.openxmlformats.org/officeDocument/2006/relationships/hyperlink" Target="https://drive.google.com/file/d/1S8ZZpNXgLSQ7s59USDKWyH2VPABUQg9w/view?usp=drivesdk" TargetMode="External"/><Relationship Id="rId324" Type="http://schemas.openxmlformats.org/officeDocument/2006/relationships/hyperlink" Target="https://drive.google.com/file/d/1zzFMO1e_TrdwZ7uZCW3m0eT0fj00BLJ6/view?usp=drivesdk" TargetMode="External"/><Relationship Id="rId329" Type="http://schemas.openxmlformats.org/officeDocument/2006/relationships/hyperlink" Target="https://drive.google.com/file/d/1-VnR8yUDWmXzzlEYFyqhfWtc76FozZLs/view?usp=drivesdk" TargetMode="External"/><Relationship Id="rId328" Type="http://schemas.openxmlformats.org/officeDocument/2006/relationships/hyperlink" Target="https://drive.google.com/file/d/16SVOVZl0_fSYzUuZ3EXUTTIg6pXX5rfG/view?usp=drivesdk" TargetMode="External"/><Relationship Id="rId3571" Type="http://schemas.openxmlformats.org/officeDocument/2006/relationships/hyperlink" Target="https://drive.google.com/file/d/1BywzzJ11bv4aLut6Q6Yq678WHn1ONOtg/view?usp=drivesdk" TargetMode="External"/><Relationship Id="rId2240" Type="http://schemas.openxmlformats.org/officeDocument/2006/relationships/hyperlink" Target="https://drive.google.com/file/d/1P7WON9ZVoMZUzl8Gm0NSUih_yDBUB2n6/view?usp=drivesdk" TargetMode="External"/><Relationship Id="rId3570" Type="http://schemas.openxmlformats.org/officeDocument/2006/relationships/hyperlink" Target="https://drive.google.com/file/d/1KFdwLhS4kR4j8wVzIGaGHp4boFF-8xAT/view?usp=drivesdk" TargetMode="External"/><Relationship Id="rId2241" Type="http://schemas.openxmlformats.org/officeDocument/2006/relationships/hyperlink" Target="https://drive.google.com/file/d/1gbY9JRfORUh2OPSoqMPBXR28VZaNmXCy/view?usp=drivesdk" TargetMode="External"/><Relationship Id="rId3573" Type="http://schemas.openxmlformats.org/officeDocument/2006/relationships/hyperlink" Target="https://drive.google.com/file/d/1_c9R5l8I2WnbPZO3tQbwJmzDyTRPoawp/view?usp=drivesdk" TargetMode="External"/><Relationship Id="rId2242" Type="http://schemas.openxmlformats.org/officeDocument/2006/relationships/hyperlink" Target="https://drive.google.com/file/d/1gi0GJbIlkJjEv-XYL11jwkExnbHzdQNs/view?usp=drivesdk" TargetMode="External"/><Relationship Id="rId3572" Type="http://schemas.openxmlformats.org/officeDocument/2006/relationships/hyperlink" Target="https://drive.google.com/file/d/1rrVy2a01t31KFDEwZoHalubkW9mFivfl/view?usp=drivesdk" TargetMode="External"/><Relationship Id="rId323" Type="http://schemas.openxmlformats.org/officeDocument/2006/relationships/hyperlink" Target="https://drive.google.com/file/d/1yfg8Nv05dU2PMUCK3-j1IFcrO2EdSIOG/view?usp=drivesdk" TargetMode="External"/><Relationship Id="rId2243" Type="http://schemas.openxmlformats.org/officeDocument/2006/relationships/hyperlink" Target="https://drive.google.com/file/d/1LK93tOCPQN8dsQxxTt9Cp2TXvJW0Msdl/view?usp=drivesdk" TargetMode="External"/><Relationship Id="rId3575" Type="http://schemas.openxmlformats.org/officeDocument/2006/relationships/hyperlink" Target="https://drive.google.com/file/d/13DGz9UNlg1SWO1JT1NWeo80idOPhDGnw/view?usp=drivesdk" TargetMode="External"/><Relationship Id="rId322" Type="http://schemas.openxmlformats.org/officeDocument/2006/relationships/hyperlink" Target="https://drive.google.com/file/d/1O9tbsbMFgAb2SjDArYTStjCz7zmZ6Xn6/view?usp=drivesdk" TargetMode="External"/><Relationship Id="rId2244" Type="http://schemas.openxmlformats.org/officeDocument/2006/relationships/hyperlink" Target="https://drive.google.com/file/d/1mCGN_KB4xdYmEOS9Qyq6SVN-xlNjgARR/view?usp=drivesdk" TargetMode="External"/><Relationship Id="rId3574" Type="http://schemas.openxmlformats.org/officeDocument/2006/relationships/hyperlink" Target="https://drive.google.com/file/d/14gft0skL8Y-TfvDV4w9Bt3HAU0szlmwG/view?usp=drivesdk" TargetMode="External"/><Relationship Id="rId321" Type="http://schemas.openxmlformats.org/officeDocument/2006/relationships/hyperlink" Target="https://drive.google.com/file/d/1nFfDQ9-6Sir6CtzQx5M6HdZn-yQ2Q2Nz/view?usp=drivesdk" TargetMode="External"/><Relationship Id="rId2245" Type="http://schemas.openxmlformats.org/officeDocument/2006/relationships/hyperlink" Target="https://drive.google.com/file/d/1yQARLzZDKTNVaFvFla_C9bDUPoOMhXiR/view?usp=drivesdk" TargetMode="External"/><Relationship Id="rId3577" Type="http://schemas.openxmlformats.org/officeDocument/2006/relationships/hyperlink" Target="https://drive.google.com/file/d/14KYRF71WuG4r3JyFwXzOtP3IZr8eejSQ/view?usp=drivesdk" TargetMode="External"/><Relationship Id="rId320" Type="http://schemas.openxmlformats.org/officeDocument/2006/relationships/hyperlink" Target="https://drive.google.com/file/d/14df4EWauV1k0DcIjU9ZiBq_txU6ojeHk/view?usp=drivesdk" TargetMode="External"/><Relationship Id="rId2246" Type="http://schemas.openxmlformats.org/officeDocument/2006/relationships/hyperlink" Target="https://drive.google.com/file/d/1McbhQedTFuTPu42i9TaUukp3KUHefcuW/view?usp=drivesdk" TargetMode="External"/><Relationship Id="rId3576" Type="http://schemas.openxmlformats.org/officeDocument/2006/relationships/hyperlink" Target="https://drive.google.com/file/d/1_2QQ0xb1rrqQtMEqT3Eive2qb_nrwVDk/view?usp=drivesdk" TargetMode="External"/><Relationship Id="rId2236" Type="http://schemas.openxmlformats.org/officeDocument/2006/relationships/hyperlink" Target="https://drive.google.com/file/d/13wdz6hC7CIcF1vshbJJro7pY3Y0uYM_9/view?usp=drivesdk" TargetMode="External"/><Relationship Id="rId3568" Type="http://schemas.openxmlformats.org/officeDocument/2006/relationships/hyperlink" Target="https://drive.google.com/file/d/1s6woSyr5q6r1vEOD8i5x79TAyXCi67TN/view?usp=drivesdk" TargetMode="External"/><Relationship Id="rId4899" Type="http://schemas.openxmlformats.org/officeDocument/2006/relationships/hyperlink" Target="https://drive.google.com/file/d/1Z17O7WcVs80JDXEGUF2lz3yHb1GDsXj-/view?usp=drivesdk" TargetMode="External"/><Relationship Id="rId2237" Type="http://schemas.openxmlformats.org/officeDocument/2006/relationships/hyperlink" Target="https://drive.google.com/file/d/1btzjUQm2Wlnebe2-vAuWz-jm46wlpRpc/view?usp=drivesdk" TargetMode="External"/><Relationship Id="rId3567" Type="http://schemas.openxmlformats.org/officeDocument/2006/relationships/hyperlink" Target="https://drive.google.com/file/d/1q4pTq7J1MHGGbNJIA7okstsEuzWWcWZc/view?usp=drivesdk" TargetMode="External"/><Relationship Id="rId4898" Type="http://schemas.openxmlformats.org/officeDocument/2006/relationships/hyperlink" Target="https://drive.google.com/file/d/1jmgkr4Z6rOSFxJUYA5qVo9riRVx8kylB/view?usp=drivesdk" TargetMode="External"/><Relationship Id="rId2238" Type="http://schemas.openxmlformats.org/officeDocument/2006/relationships/hyperlink" Target="https://drive.google.com/file/d/1F4bHO3O1SxfJoPtLVX4vcpsF4_k_9SUF/view?usp=drivesdk" TargetMode="External"/><Relationship Id="rId2239" Type="http://schemas.openxmlformats.org/officeDocument/2006/relationships/hyperlink" Target="https://drive.google.com/file/d/1fddy75Zl-4xWs3qJEccIaED6LyTqaQbw/view?usp=drivesdk" TargetMode="External"/><Relationship Id="rId3569" Type="http://schemas.openxmlformats.org/officeDocument/2006/relationships/hyperlink" Target="https://drive.google.com/file/d/1xSyB6QRAKkNhd7NHJkNTIhBppLqcsjn7/view?usp=drivesdk" TargetMode="External"/><Relationship Id="rId316" Type="http://schemas.openxmlformats.org/officeDocument/2006/relationships/hyperlink" Target="https://drive.google.com/file/d/1nvkiMrz8vqfeddX9Xq6QNb2YhUxypcHE/view?usp=drivesdk" TargetMode="External"/><Relationship Id="rId315" Type="http://schemas.openxmlformats.org/officeDocument/2006/relationships/hyperlink" Target="https://drive.google.com/file/d/1cNe_NLJ7k8A-bGgc53jc6D2mjTR5zkHh/view?usp=drivesdk" TargetMode="External"/><Relationship Id="rId314" Type="http://schemas.openxmlformats.org/officeDocument/2006/relationships/hyperlink" Target="https://drive.google.com/file/d/1yf3N2vHg78Qfssr4DLCgqP66GuvJfpSe/view?usp=drivesdk" TargetMode="External"/><Relationship Id="rId313" Type="http://schemas.openxmlformats.org/officeDocument/2006/relationships/hyperlink" Target="https://drive.google.com/file/d/1bu1ihRf6MYS18Z1D_wvns_JZwMT9T3QJ/view?usp=drivesdk" TargetMode="External"/><Relationship Id="rId319" Type="http://schemas.openxmlformats.org/officeDocument/2006/relationships/hyperlink" Target="https://drive.google.com/file/d/19JPjnC0Z77Z8rfxxkZ1IYtmViVz85Zpy/view?usp=drivesdk" TargetMode="External"/><Relationship Id="rId318" Type="http://schemas.openxmlformats.org/officeDocument/2006/relationships/hyperlink" Target="https://drive.google.com/file/d/19zJCUx6umpnLRnz-avAqHUwPb8FMzVKM/view?usp=drivesdk" TargetMode="External"/><Relationship Id="rId317" Type="http://schemas.openxmlformats.org/officeDocument/2006/relationships/hyperlink" Target="https://drive.google.com/file/d/1uVm-KGSZLRFqQQqh6r-_XyWRlbTmvtlx/view?usp=drivesdk" TargetMode="External"/><Relationship Id="rId3560" Type="http://schemas.openxmlformats.org/officeDocument/2006/relationships/hyperlink" Target="https://drive.google.com/file/d/1uATMosqwZkVfudYVW4XeGESzUchNI11P/view?usp=drivesdk" TargetMode="External"/><Relationship Id="rId4891" Type="http://schemas.openxmlformats.org/officeDocument/2006/relationships/hyperlink" Target="https://drive.google.com/file/d/19cszQ28VXZjcXNm0sxZ7_-jUUTPSPc22/view?usp=drivesdk" TargetMode="External"/><Relationship Id="rId4890" Type="http://schemas.openxmlformats.org/officeDocument/2006/relationships/hyperlink" Target="https://drive.google.com/file/d/1geDiT3ZLgjfFvEO_aqIOc5PT5S4y6KGU/view?usp=drivesdk" TargetMode="External"/><Relationship Id="rId2230" Type="http://schemas.openxmlformats.org/officeDocument/2006/relationships/hyperlink" Target="https://drive.google.com/file/d/1qO2uWQvB34owpBp8gxrFyKNVyr4f8cZK/view?usp=drivesdk" TargetMode="External"/><Relationship Id="rId3562" Type="http://schemas.openxmlformats.org/officeDocument/2006/relationships/hyperlink" Target="https://drive.google.com/file/d/157BaENQGDcHA1gKkbtCtZvQYsJioQZ6w/view?usp=drivesdk" TargetMode="External"/><Relationship Id="rId4893" Type="http://schemas.openxmlformats.org/officeDocument/2006/relationships/hyperlink" Target="https://drive.google.com/file/d/1WSzOkkFASZz8a2VIXWXFxPNLwLpKCwJx/view?usp=drivesdk" TargetMode="External"/><Relationship Id="rId2231" Type="http://schemas.openxmlformats.org/officeDocument/2006/relationships/hyperlink" Target="https://drive.google.com/file/d/1g5Kf2K3pl-IfHNjeSZTBv2Jy6l960lKY/view?usp=drivesdk" TargetMode="External"/><Relationship Id="rId3561" Type="http://schemas.openxmlformats.org/officeDocument/2006/relationships/hyperlink" Target="https://drive.google.com/file/d/1ByhCcKSaUqc6bZ1FU0GFriTFC3LT2bST/view?usp=drivesdk" TargetMode="External"/><Relationship Id="rId4892" Type="http://schemas.openxmlformats.org/officeDocument/2006/relationships/hyperlink" Target="https://drive.google.com/file/d/1pbX9X2JgWBi-RxrwSdlR70zESyKmmZOi/view?usp=drivesdk" TargetMode="External"/><Relationship Id="rId312" Type="http://schemas.openxmlformats.org/officeDocument/2006/relationships/hyperlink" Target="https://drive.google.com/file/d/12OLRND8vZ75RosE22iovwyK9zaAJyYfd/view?usp=drivesdk" TargetMode="External"/><Relationship Id="rId2232" Type="http://schemas.openxmlformats.org/officeDocument/2006/relationships/hyperlink" Target="https://drive.google.com/file/d/1nS5LSGI6olBIZv4XHW6KzxPne_dSwwf2/view?usp=drivesdk" TargetMode="External"/><Relationship Id="rId3564" Type="http://schemas.openxmlformats.org/officeDocument/2006/relationships/hyperlink" Target="https://drive.google.com/file/d/1XdH0vtJ2lABnWNljPbv-lGeB7Ms4YjTt/view?usp=drivesdk" TargetMode="External"/><Relationship Id="rId4895" Type="http://schemas.openxmlformats.org/officeDocument/2006/relationships/hyperlink" Target="https://drive.google.com/file/d/1bLFsZDmVNcwMXrd0sKe49T3J0-xiRnQx/view?usp=drivesdk" TargetMode="External"/><Relationship Id="rId311" Type="http://schemas.openxmlformats.org/officeDocument/2006/relationships/hyperlink" Target="https://drive.google.com/file/d/1mj6npwhjQuvMdcseECEyb4_SO2E7R1HT/view?usp=drivesdk" TargetMode="External"/><Relationship Id="rId2233" Type="http://schemas.openxmlformats.org/officeDocument/2006/relationships/hyperlink" Target="https://drive.google.com/file/d/1pJw8L_dC4q2lWgLAIdSFhN63kKIFy4wY/view?usp=drivesdk" TargetMode="External"/><Relationship Id="rId3563" Type="http://schemas.openxmlformats.org/officeDocument/2006/relationships/hyperlink" Target="https://drive.google.com/file/d/1kTY6C84FKt3YvGo56zfvbvNa4aTwx0hQ/view?usp=drivesdk" TargetMode="External"/><Relationship Id="rId4894" Type="http://schemas.openxmlformats.org/officeDocument/2006/relationships/hyperlink" Target="https://drive.google.com/file/d/1Eo5jwJC2OCkuXMgagKRgALbLOgQh1l7T/view?usp=drivesdk" TargetMode="External"/><Relationship Id="rId310" Type="http://schemas.openxmlformats.org/officeDocument/2006/relationships/hyperlink" Target="https://drive.google.com/file/d/1PYcGWJFwOJ2QtzoNMf4XI1iCecUFAQbg/view?usp=drivesdk" TargetMode="External"/><Relationship Id="rId2234" Type="http://schemas.openxmlformats.org/officeDocument/2006/relationships/hyperlink" Target="https://drive.google.com/file/d/17XPYoTPOGEXSXodR70AkEjz362s1WrnC/view?usp=drivesdk" TargetMode="External"/><Relationship Id="rId3566" Type="http://schemas.openxmlformats.org/officeDocument/2006/relationships/hyperlink" Target="https://drive.google.com/file/d/1CVHvwCvf7ZEh3zMgmMPxuSg5CJa6h7R7/view?usp=drivesdk" TargetMode="External"/><Relationship Id="rId4897" Type="http://schemas.openxmlformats.org/officeDocument/2006/relationships/hyperlink" Target="https://drive.google.com/file/d/1bq3bqA7AxPZhOkXb_UTgfLinezFGWeN8/view?usp=drivesdk" TargetMode="External"/><Relationship Id="rId2235" Type="http://schemas.openxmlformats.org/officeDocument/2006/relationships/hyperlink" Target="https://drive.google.com/file/d/18yFSBmsv3R5UccjQ7bnE6L3Q15RgCxXp/view?usp=drivesdk" TargetMode="External"/><Relationship Id="rId3565" Type="http://schemas.openxmlformats.org/officeDocument/2006/relationships/hyperlink" Target="https://drive.google.com/file/d/12Hu9dYDrBYiafumW9wONmCLA91jLsdTn/view?usp=drivesdk" TargetMode="External"/><Relationship Id="rId4896" Type="http://schemas.openxmlformats.org/officeDocument/2006/relationships/hyperlink" Target="https://drive.google.com/file/d/1We4vLRtQ4EVTxieaEsV4CG8YPkBVVBw8/view?usp=drivesdk" TargetMode="External"/><Relationship Id="rId4040" Type="http://schemas.openxmlformats.org/officeDocument/2006/relationships/hyperlink" Target="https://drive.google.com/file/d/1nSO_9XHwD0qslA7GRuEpc9Ap4tj38BdT/view?usp=drivesdk" TargetMode="External"/><Relationship Id="rId4042" Type="http://schemas.openxmlformats.org/officeDocument/2006/relationships/hyperlink" Target="https://drive.google.com/file/d/1ktaG_6vkYYUGP842VyES2vO8sz_69qEb/view?usp=drivesdk" TargetMode="External"/><Relationship Id="rId4041" Type="http://schemas.openxmlformats.org/officeDocument/2006/relationships/hyperlink" Target="https://drive.google.com/file/d/1aflHBjmm7gU0l8agU7liHLl7srSbcbSM/view?usp=drivesdk" TargetMode="External"/><Relationship Id="rId4044" Type="http://schemas.openxmlformats.org/officeDocument/2006/relationships/hyperlink" Target="https://drive.google.com/file/d/1AsD9aG2WUeT-sI_Po0_kcjXxj68sePmK/view?usp=drivesdk" TargetMode="External"/><Relationship Id="rId4043" Type="http://schemas.openxmlformats.org/officeDocument/2006/relationships/hyperlink" Target="https://drive.google.com/file/d/1Ss8MwKCK2xNjUprPHVwSxMDb64dCzZjE/view?usp=drivesdk" TargetMode="External"/><Relationship Id="rId4046" Type="http://schemas.openxmlformats.org/officeDocument/2006/relationships/hyperlink" Target="https://drive.google.com/file/d/18Iap6EPC-f3M-K4TdG0CuqjrIFBDL-Vp/view?usp=drivesdk" TargetMode="External"/><Relationship Id="rId4045" Type="http://schemas.openxmlformats.org/officeDocument/2006/relationships/hyperlink" Target="https://drive.google.com/file/d/1k6p34bbcI2Tyj_NqPexaWixP1HQHBGGr/view?usp=drivesdk" TargetMode="External"/><Relationship Id="rId4048" Type="http://schemas.openxmlformats.org/officeDocument/2006/relationships/hyperlink" Target="https://drive.google.com/file/d/1HUPPeQyd61LGuKZLTZ6VBCWCwIuJ7pZr/view?usp=drivesdk" TargetMode="External"/><Relationship Id="rId4047" Type="http://schemas.openxmlformats.org/officeDocument/2006/relationships/hyperlink" Target="https://drive.google.com/file/d/15nUuCQXRuNrH4FPiguFQjFzlgGceqRzI/view?usp=drivesdk" TargetMode="External"/><Relationship Id="rId4049" Type="http://schemas.openxmlformats.org/officeDocument/2006/relationships/hyperlink" Target="https://drive.google.com/file/d/1VAeppJEYeqSSrafkb1Y6SAATTI8zlHTp/view?usp=drivesdk" TargetMode="External"/><Relationship Id="rId4031" Type="http://schemas.openxmlformats.org/officeDocument/2006/relationships/hyperlink" Target="https://drive.google.com/file/d/1FkLFILOZMjAAHAUtHL2qGu4hJKBXeBam/view?usp=drivesdk" TargetMode="External"/><Relationship Id="rId4030" Type="http://schemas.openxmlformats.org/officeDocument/2006/relationships/hyperlink" Target="https://drive.google.com/file/d/16-HN4G9X1G2LQ1mmOuA_zZptWgab6dlh/view?usp=drivesdk" TargetMode="External"/><Relationship Id="rId297" Type="http://schemas.openxmlformats.org/officeDocument/2006/relationships/hyperlink" Target="https://drive.google.com/file/d/1HxeFz61Gza29eJKttJGHfCRm6K9gsnvT/view?usp=drivesdk" TargetMode="External"/><Relationship Id="rId4033" Type="http://schemas.openxmlformats.org/officeDocument/2006/relationships/hyperlink" Target="https://drive.google.com/file/d/1NM45LFvD5uHunH8qsgM4mqkYPU5s-Nh9/view?usp=drivesdk" TargetMode="External"/><Relationship Id="rId296" Type="http://schemas.openxmlformats.org/officeDocument/2006/relationships/hyperlink" Target="https://drive.google.com/file/d/1wLZCnZj6UzNdjMyrjbo1eBkOk4gmPb7A/view?usp=drivesdk" TargetMode="External"/><Relationship Id="rId4032" Type="http://schemas.openxmlformats.org/officeDocument/2006/relationships/hyperlink" Target="https://drive.google.com/file/d/1yIIMfZa0Odv6NkqE2F8p0UpBsftxkHl_/view?usp=drivesdk" TargetMode="External"/><Relationship Id="rId295" Type="http://schemas.openxmlformats.org/officeDocument/2006/relationships/hyperlink" Target="https://drive.google.com/file/d/1e_0SgEw5Xr-CZ-o-BDEXHxRzh9OUhQ5h/view?usp=drivesdk" TargetMode="External"/><Relationship Id="rId4035" Type="http://schemas.openxmlformats.org/officeDocument/2006/relationships/hyperlink" Target="https://drive.google.com/file/d/1EZzxNNo1f1UR-PT3n_7mTl1djUfaifOi/view?usp=drivesdk" TargetMode="External"/><Relationship Id="rId294" Type="http://schemas.openxmlformats.org/officeDocument/2006/relationships/hyperlink" Target="https://drive.google.com/file/d/1QR-qK0TDikqIDXan5jm8v82cJm72acfK/view?usp=drivesdk" TargetMode="External"/><Relationship Id="rId4034" Type="http://schemas.openxmlformats.org/officeDocument/2006/relationships/hyperlink" Target="https://drive.google.com/file/d/12y-WkqL3TAxi2FfrCY5KMuTXpf_qDIxw/view?usp=drivesdk" TargetMode="External"/><Relationship Id="rId4037" Type="http://schemas.openxmlformats.org/officeDocument/2006/relationships/hyperlink" Target="https://drive.google.com/file/d/17ybAB1qnKJQy51-jbW_nZ1O0_QxUPRue/view?usp=drivesdk" TargetMode="External"/><Relationship Id="rId4036" Type="http://schemas.openxmlformats.org/officeDocument/2006/relationships/hyperlink" Target="https://drive.google.com/file/d/1WQY_WJOYoCHUBQy7De6WMnzc38PXuk6m/view?usp=drivesdk" TargetMode="External"/><Relationship Id="rId299" Type="http://schemas.openxmlformats.org/officeDocument/2006/relationships/hyperlink" Target="https://drive.google.com/file/d/1bl2-etTpuSWZfmw3t1pU48c0jDBmJBVi/view?usp=drivesdk" TargetMode="External"/><Relationship Id="rId4039" Type="http://schemas.openxmlformats.org/officeDocument/2006/relationships/hyperlink" Target="https://drive.google.com/file/d/1iLdoeibYtAPnPdw-xqH6Rbgx4pwMcI22/view?usp=drivesdk" TargetMode="External"/><Relationship Id="rId298" Type="http://schemas.openxmlformats.org/officeDocument/2006/relationships/hyperlink" Target="https://drive.google.com/file/d/1MhyWJEypB2-Eo2ontX60oVCDeih1QqFy/view?usp=drivesdk" TargetMode="External"/><Relationship Id="rId4038" Type="http://schemas.openxmlformats.org/officeDocument/2006/relationships/hyperlink" Target="https://drive.google.com/file/d/1RiUKeu5FzYOnIbEp28pr0maBT2-J89pc/view?usp=drivesdk" TargetMode="External"/><Relationship Id="rId4060" Type="http://schemas.openxmlformats.org/officeDocument/2006/relationships/hyperlink" Target="https://drive.google.com/file/d/1CjLYSjrux_J2CsY0q4-yPg7aRf1uWl_g/view?usp=drivesdk" TargetMode="External"/><Relationship Id="rId4062" Type="http://schemas.openxmlformats.org/officeDocument/2006/relationships/hyperlink" Target="https://drive.google.com/file/d/1WcRt3KBpWr72eeNbHV15x4MHRcTgaYtA/view?usp=drivesdk" TargetMode="External"/><Relationship Id="rId4061" Type="http://schemas.openxmlformats.org/officeDocument/2006/relationships/hyperlink" Target="https://drive.google.com/file/d/1-Ja8GV1FgU7yPdNqeaff7VS2B7_3iGI9/view?usp=drivesdk" TargetMode="External"/><Relationship Id="rId4064" Type="http://schemas.openxmlformats.org/officeDocument/2006/relationships/hyperlink" Target="https://drive.google.com/file/d/15jnMVEPXrCwlNIVgZCPyTVA9B5kJ3mZ-/view?usp=drivesdk" TargetMode="External"/><Relationship Id="rId4063" Type="http://schemas.openxmlformats.org/officeDocument/2006/relationships/hyperlink" Target="https://drive.google.com/file/d/1VRRisRDnewA-8VCmzEroXkPEKSsBIIwk/view?usp=drivesdk" TargetMode="External"/><Relationship Id="rId4066" Type="http://schemas.openxmlformats.org/officeDocument/2006/relationships/hyperlink" Target="https://drive.google.com/file/d/18-ZEolmH95PB9hW5CNOi6EnohQLxBs8t/view?usp=drivesdk" TargetMode="External"/><Relationship Id="rId4065" Type="http://schemas.openxmlformats.org/officeDocument/2006/relationships/hyperlink" Target="https://drive.google.com/file/d/1u9XOMimQr6znPiv-VRRfOIgPV7MtfsW8/view?usp=drivesdk" TargetMode="External"/><Relationship Id="rId4068" Type="http://schemas.openxmlformats.org/officeDocument/2006/relationships/hyperlink" Target="https://drive.google.com/file/d/1AEcXNPAViFNqNSxwMpALlLU4sNHc-ek7/view?usp=drivesdk" TargetMode="External"/><Relationship Id="rId4067" Type="http://schemas.openxmlformats.org/officeDocument/2006/relationships/hyperlink" Target="https://drive.google.com/file/d/15ONGbhSR0gtq44zdWAEurggwiqZOsHWb/view?usp=drivesdk" TargetMode="External"/><Relationship Id="rId4069" Type="http://schemas.openxmlformats.org/officeDocument/2006/relationships/hyperlink" Target="https://drive.google.com/file/d/1z4XTGJr7s3xXvip5DkAdGFQiklamyMrK/view?usp=drivesdk" TargetMode="External"/><Relationship Id="rId4051" Type="http://schemas.openxmlformats.org/officeDocument/2006/relationships/hyperlink" Target="https://drive.google.com/file/d/17f6PLaOvYPUsOrXfku1XPKOXiZYmgo72/view?usp=drivesdk" TargetMode="External"/><Relationship Id="rId4050" Type="http://schemas.openxmlformats.org/officeDocument/2006/relationships/hyperlink" Target="https://drive.google.com/file/d/1DHrVYt7wBqFvkBbb2d6NpPdT0WLqWmb7/view?usp=drivesdk" TargetMode="External"/><Relationship Id="rId4053" Type="http://schemas.openxmlformats.org/officeDocument/2006/relationships/hyperlink" Target="https://drive.google.com/file/d/17UBrJu-cT1SkhOBtZIiXYCSp4Ip93xcY/view?usp=drivesdk" TargetMode="External"/><Relationship Id="rId4052" Type="http://schemas.openxmlformats.org/officeDocument/2006/relationships/hyperlink" Target="https://drive.google.com/file/d/1IdeTzqTujT0BgexHO0ASSsTBx79mJtl_/view?usp=drivesdk" TargetMode="External"/><Relationship Id="rId4055" Type="http://schemas.openxmlformats.org/officeDocument/2006/relationships/hyperlink" Target="https://drive.google.com/file/d/1SxM9Lx_QDA__LyQ9M45LfHbyf7QC7mrO/view?usp=drivesdk" TargetMode="External"/><Relationship Id="rId4054" Type="http://schemas.openxmlformats.org/officeDocument/2006/relationships/hyperlink" Target="https://drive.google.com/file/d/1UAOzyOGPpjdlxvuwJTlT_98qsPLYzXzr/view?usp=drivesdk" TargetMode="External"/><Relationship Id="rId4057" Type="http://schemas.openxmlformats.org/officeDocument/2006/relationships/hyperlink" Target="https://drive.google.com/file/d/16ix_iNs8fcKBhGwcLQaT0mlxNFo2EKq8/view?usp=drivesdk" TargetMode="External"/><Relationship Id="rId4056" Type="http://schemas.openxmlformats.org/officeDocument/2006/relationships/hyperlink" Target="https://drive.google.com/file/d/1ePcuqo4mcqSpRBJjH5sbjG4_ZNZ-7RlB/view?usp=drivesdk" TargetMode="External"/><Relationship Id="rId4059" Type="http://schemas.openxmlformats.org/officeDocument/2006/relationships/hyperlink" Target="https://drive.google.com/file/d/1meCy5gzs1Xw7jBXB-QVHvqZbkHkokIj9/view?usp=drivesdk" TargetMode="External"/><Relationship Id="rId4058" Type="http://schemas.openxmlformats.org/officeDocument/2006/relationships/hyperlink" Target="https://drive.google.com/file/d/1vqxojWrYKfwrPGpImrB7lMJZlsIbXFWF/view?usp=drivesdk" TargetMode="External"/><Relationship Id="rId4008" Type="http://schemas.openxmlformats.org/officeDocument/2006/relationships/hyperlink" Target="https://drive.google.com/file/d/1Loql20rAzSUYV44bcGqdQGxcLn8SMcbX/view?usp=drivesdk" TargetMode="External"/><Relationship Id="rId4007" Type="http://schemas.openxmlformats.org/officeDocument/2006/relationships/hyperlink" Target="https://drive.google.com/file/d/1j4ZCWnd4BUeCnWkusbVpPtdL5KiGGCmn/view?usp=drivesdk" TargetMode="External"/><Relationship Id="rId4009" Type="http://schemas.openxmlformats.org/officeDocument/2006/relationships/hyperlink" Target="https://drive.google.com/file/d/1Qpc-QqDm64Sc2WC_ya-jngcsKSacJ2-j/view?usp=drivesdk" TargetMode="External"/><Relationship Id="rId271" Type="http://schemas.openxmlformats.org/officeDocument/2006/relationships/hyperlink" Target="https://drive.google.com/file/d/1JZ2CQh0ns1Ivfbs--2z-DNb9MnZgHy7O/view?usp=drivesdk" TargetMode="External"/><Relationship Id="rId270" Type="http://schemas.openxmlformats.org/officeDocument/2006/relationships/hyperlink" Target="https://drive.google.com/file/d/1HBVc88RacaAegG06gID8AC_5C5tVYOdY/view?usp=drivesdk" TargetMode="External"/><Relationship Id="rId269" Type="http://schemas.openxmlformats.org/officeDocument/2006/relationships/hyperlink" Target="https://drive.google.com/file/d/1J_drpz79NszL7gQVdu5Bi3E0MwpKN1MP/view?usp=drivesdk" TargetMode="External"/><Relationship Id="rId264" Type="http://schemas.openxmlformats.org/officeDocument/2006/relationships/hyperlink" Target="https://drive.google.com/file/d/1VnygREfPEwGm0Gl3mgdNC_TWXi_9Vkx0/view?usp=drivesdk" TargetMode="External"/><Relationship Id="rId4000" Type="http://schemas.openxmlformats.org/officeDocument/2006/relationships/hyperlink" Target="https://drive.google.com/file/d/16hAQPIRYnFkqtvX4oIPWWbOLe42eTsRa/view?usp=drivesdk" TargetMode="External"/><Relationship Id="rId263" Type="http://schemas.openxmlformats.org/officeDocument/2006/relationships/hyperlink" Target="https://drive.google.com/file/d/1oBc7e1Uo3GLwR_whms7u_aONT-aG6Atw/view?usp=drivesdk" TargetMode="External"/><Relationship Id="rId262" Type="http://schemas.openxmlformats.org/officeDocument/2006/relationships/hyperlink" Target="https://drive.google.com/file/d/1j2W9dhoVNrm8PBgiHrBkCYuwRcsk5bef/view?usp=drivesdk" TargetMode="External"/><Relationship Id="rId4002" Type="http://schemas.openxmlformats.org/officeDocument/2006/relationships/hyperlink" Target="https://drive.google.com/file/d/1JQ5d4txU83CdMunKPtYbmX8w64--7K2G/view?usp=drivesdk" TargetMode="External"/><Relationship Id="rId261" Type="http://schemas.openxmlformats.org/officeDocument/2006/relationships/hyperlink" Target="https://drive.google.com/file/d/1vxdkAauMAjoFEwJMhIpSvbF81BcgvbVH/view?usp=drivesdk" TargetMode="External"/><Relationship Id="rId4001" Type="http://schemas.openxmlformats.org/officeDocument/2006/relationships/hyperlink" Target="https://drive.google.com/file/d/1R6-sLPCO4lKMk7SrD14v7IOkK4kJcz_e/view?usp=drivesdk" TargetMode="External"/><Relationship Id="rId268" Type="http://schemas.openxmlformats.org/officeDocument/2006/relationships/hyperlink" Target="https://drive.google.com/file/d/1wkwTVBQjzvqY52YhFHx9L5JLXwS20WiP/view?usp=drivesdk" TargetMode="External"/><Relationship Id="rId4004" Type="http://schemas.openxmlformats.org/officeDocument/2006/relationships/hyperlink" Target="https://drive.google.com/file/d/16hdSKMjAP8teFviw4_BDuMHMc-AK09uI/view?usp=drivesdk" TargetMode="External"/><Relationship Id="rId267" Type="http://schemas.openxmlformats.org/officeDocument/2006/relationships/hyperlink" Target="https://drive.google.com/file/d/1sVdsd_mQZVSER25BSn4e54IMk36KN_oU/view?usp=drivesdk" TargetMode="External"/><Relationship Id="rId4003" Type="http://schemas.openxmlformats.org/officeDocument/2006/relationships/hyperlink" Target="https://drive.google.com/file/d/1OaOrQlpicgUJVtemzEi6vi6kmwQfMqeK/view?usp=drivesdk" TargetMode="External"/><Relationship Id="rId266" Type="http://schemas.openxmlformats.org/officeDocument/2006/relationships/hyperlink" Target="https://drive.google.com/file/d/1JgSYn6omh6zkUg1b5BKAoQxcdRCZdVVK/view?usp=drivesdk" TargetMode="External"/><Relationship Id="rId4006" Type="http://schemas.openxmlformats.org/officeDocument/2006/relationships/hyperlink" Target="https://drive.google.com/file/d/1HcjF0gniNguHIvPSVnFoF0c0E0GlDF7o/view?usp=drivesdk" TargetMode="External"/><Relationship Id="rId265" Type="http://schemas.openxmlformats.org/officeDocument/2006/relationships/hyperlink" Target="https://drive.google.com/file/d/1kN_x9ClBWkbXgk0_xschVLH8kQVo2l-6/view?usp=drivesdk" TargetMode="External"/><Relationship Id="rId4005" Type="http://schemas.openxmlformats.org/officeDocument/2006/relationships/hyperlink" Target="https://drive.google.com/file/d/18xABynaaznVTIDKcl2MBumxM-RfqeFeS/view?usp=drivesdk" TargetMode="External"/><Relationship Id="rId260" Type="http://schemas.openxmlformats.org/officeDocument/2006/relationships/hyperlink" Target="https://drive.google.com/file/d/14dQ56XNdkLHFF_ZnhzTLHRQ6mHgUJz79/view?usp=drivesdk" TargetMode="External"/><Relationship Id="rId259" Type="http://schemas.openxmlformats.org/officeDocument/2006/relationships/hyperlink" Target="https://drive.google.com/file/d/1DDiggibc8R8rjw7mFk-0dV1EFqYzLNzB/view?usp=drivesdk" TargetMode="External"/><Relationship Id="rId258" Type="http://schemas.openxmlformats.org/officeDocument/2006/relationships/hyperlink" Target="https://drive.google.com/file/d/1yhEZqGEfGdzD-Xp31ZZWGNdZdoDt9bcb/view?usp=drivesdk" TargetMode="External"/><Relationship Id="rId2290" Type="http://schemas.openxmlformats.org/officeDocument/2006/relationships/hyperlink" Target="https://drive.google.com/file/d/1euOATqQUp_MCJtX6zYeNpe73sA9trsIX/view?usp=drivesdk" TargetMode="External"/><Relationship Id="rId2291" Type="http://schemas.openxmlformats.org/officeDocument/2006/relationships/hyperlink" Target="https://drive.google.com/file/d/1ZLaveGelzm_4H43Vf7acZCcK6oFdBAvb/view?usp=drivesdk" TargetMode="External"/><Relationship Id="rId2292" Type="http://schemas.openxmlformats.org/officeDocument/2006/relationships/hyperlink" Target="https://drive.google.com/file/d/1kVNxi-lbZ4J3o0uuRjdyYn8MXJvf0dLl/view?usp=drivesdk" TargetMode="External"/><Relationship Id="rId2293" Type="http://schemas.openxmlformats.org/officeDocument/2006/relationships/hyperlink" Target="https://drive.google.com/file/d/1mVW1mQ-nCnZYEqAf0X-7cDEEkpR9whWA/view?usp=drivesdk" TargetMode="External"/><Relationship Id="rId253" Type="http://schemas.openxmlformats.org/officeDocument/2006/relationships/hyperlink" Target="https://drive.google.com/file/d/1dA1WbJ-LXOBN4hjnnoDfJb63V6V9dMcy/view?usp=drivesdk" TargetMode="External"/><Relationship Id="rId2294" Type="http://schemas.openxmlformats.org/officeDocument/2006/relationships/hyperlink" Target="https://drive.google.com/file/d/1fwIoMS_F_suQjGmP0YAcZIRN95InKyj-/view?usp=drivesdk" TargetMode="External"/><Relationship Id="rId252" Type="http://schemas.openxmlformats.org/officeDocument/2006/relationships/hyperlink" Target="https://drive.google.com/file/d/1SmriFQ684UDFHvo61yjmxuyHbQPikl1o/view?usp=drivesdk" TargetMode="External"/><Relationship Id="rId2295" Type="http://schemas.openxmlformats.org/officeDocument/2006/relationships/hyperlink" Target="https://drive.google.com/file/d/1ycXC1KPi7rcTWPlBRzT6EojPbcUj4SI1/view?usp=drivesdk" TargetMode="External"/><Relationship Id="rId251" Type="http://schemas.openxmlformats.org/officeDocument/2006/relationships/hyperlink" Target="https://drive.google.com/file/d/1KzxSqNAiinTX7TSWfpv6Vg0_IzBOjnXl/view?usp=drivesdk" TargetMode="External"/><Relationship Id="rId2296" Type="http://schemas.openxmlformats.org/officeDocument/2006/relationships/hyperlink" Target="https://drive.google.com/file/d/12BvLqselodrY6iIyD2bE6V-rhcL9SXD1/view?usp=drivesdk" TargetMode="External"/><Relationship Id="rId250" Type="http://schemas.openxmlformats.org/officeDocument/2006/relationships/hyperlink" Target="https://drive.google.com/file/d/1HoSPbNzzvctRHks3JaJsL_eCfUfeHerJ/view?usp=drivesdk" TargetMode="External"/><Relationship Id="rId2297" Type="http://schemas.openxmlformats.org/officeDocument/2006/relationships/hyperlink" Target="https://drive.google.com/file/d/158Qe7nHK0-HS_b6z7v448ugUGJpbF4_R/view?usp=drivesdk" TargetMode="External"/><Relationship Id="rId257" Type="http://schemas.openxmlformats.org/officeDocument/2006/relationships/hyperlink" Target="https://drive.google.com/file/d/1SDZZeAu49sfscx8hV3Kz75tN9RgAOqhG/view?usp=drivesdk" TargetMode="External"/><Relationship Id="rId2298" Type="http://schemas.openxmlformats.org/officeDocument/2006/relationships/hyperlink" Target="https://drive.google.com/file/d/1E2ug-ELpZNGSfq0o-qxCGU6St0PBix3z/view?usp=drivesdk" TargetMode="External"/><Relationship Id="rId256" Type="http://schemas.openxmlformats.org/officeDocument/2006/relationships/hyperlink" Target="https://drive.google.com/file/d/1yYFNpahAkZFg02s0RbSUvF9Whl3zZbHf/view?usp=drivesdk" TargetMode="External"/><Relationship Id="rId2299" Type="http://schemas.openxmlformats.org/officeDocument/2006/relationships/hyperlink" Target="https://drive.google.com/file/d/1fTnEH3eRbV3w-F9vziGqO7UYtTfNgzt0/view?usp=drivesdk" TargetMode="External"/><Relationship Id="rId255" Type="http://schemas.openxmlformats.org/officeDocument/2006/relationships/hyperlink" Target="https://drive.google.com/file/d/1554nTVMCJP65gyaDsfGs9Hqq09B2e7AH/view?usp=drivesdk" TargetMode="External"/><Relationship Id="rId254" Type="http://schemas.openxmlformats.org/officeDocument/2006/relationships/hyperlink" Target="https://drive.google.com/file/d/1rPh7inwE2VQ-QFQagBoCH4a-PW9E2Wln/view?usp=drivesdk" TargetMode="External"/><Relationship Id="rId4029" Type="http://schemas.openxmlformats.org/officeDocument/2006/relationships/hyperlink" Target="https://drive.google.com/file/d/1uQbbGldh6uLhV7_4JPjwkQIofngulLgp/view?usp=drivesdk" TargetMode="External"/><Relationship Id="rId293" Type="http://schemas.openxmlformats.org/officeDocument/2006/relationships/hyperlink" Target="https://drive.google.com/file/d/1prLbWnh3X_poyZFgyMhOGmy8O4VM6I-o/view?usp=drivesdk" TargetMode="External"/><Relationship Id="rId292" Type="http://schemas.openxmlformats.org/officeDocument/2006/relationships/hyperlink" Target="https://drive.google.com/file/d/1CttDFUKGIDZDQROl3zOTcMIqpExRRFiC/view?usp=drivesdk" TargetMode="External"/><Relationship Id="rId291" Type="http://schemas.openxmlformats.org/officeDocument/2006/relationships/hyperlink" Target="https://drive.google.com/file/d/1nENp0tvQ2Y4i10E-3TcQTTVmaPqvIm1T/view?usp=drivesdk" TargetMode="External"/><Relationship Id="rId290" Type="http://schemas.openxmlformats.org/officeDocument/2006/relationships/hyperlink" Target="https://drive.google.com/file/d/18IEl_v2gkorYqMVDQeT3SvSfdvAIEEJ5/view?usp=drivesdk" TargetMode="External"/><Relationship Id="rId4020" Type="http://schemas.openxmlformats.org/officeDocument/2006/relationships/hyperlink" Target="https://drive.google.com/file/d/141SbqZrSX8VsHrus1tM8J6uIprH0-e48/view?usp=drivesdk" TargetMode="External"/><Relationship Id="rId286" Type="http://schemas.openxmlformats.org/officeDocument/2006/relationships/hyperlink" Target="https://drive.google.com/file/d/1d7vOMnZ4vG-C_0R69APeCDe_Xm_qhGyG/view?usp=drivesdk" TargetMode="External"/><Relationship Id="rId4022" Type="http://schemas.openxmlformats.org/officeDocument/2006/relationships/hyperlink" Target="https://drive.google.com/file/d/1RPDlJ7so4ebChkj5p_y9cQX2azbhwmnm/view?usp=drivesdk" TargetMode="External"/><Relationship Id="rId285" Type="http://schemas.openxmlformats.org/officeDocument/2006/relationships/hyperlink" Target="https://drive.google.com/file/d/1h5DBVh6cchtzNJWaKSE0ObHyJATXKXKD/view?usp=drivesdk" TargetMode="External"/><Relationship Id="rId4021" Type="http://schemas.openxmlformats.org/officeDocument/2006/relationships/hyperlink" Target="https://drive.google.com/file/d/1pb1-PGarikjtRjOuEgnCSZiIcF-dfXCU/view?usp=drivesdk" TargetMode="External"/><Relationship Id="rId284" Type="http://schemas.openxmlformats.org/officeDocument/2006/relationships/hyperlink" Target="https://drive.google.com/file/d/11fv2nIwHCwOP5HUvvBTZ0QeSmfdPbsDL/view?usp=drivesdk" TargetMode="External"/><Relationship Id="rId4024" Type="http://schemas.openxmlformats.org/officeDocument/2006/relationships/hyperlink" Target="https://drive.google.com/file/d/1kdArEWJu9CkmYOGsXd0flsOEOEItE_aT/view?usp=drivesdk" TargetMode="External"/><Relationship Id="rId283" Type="http://schemas.openxmlformats.org/officeDocument/2006/relationships/hyperlink" Target="https://drive.google.com/file/d/125LC7ewMxlPaYk1YyD46jLhQU30dlRoC/view?usp=drivesdk" TargetMode="External"/><Relationship Id="rId4023" Type="http://schemas.openxmlformats.org/officeDocument/2006/relationships/hyperlink" Target="https://drive.google.com/file/d/1b6d5SUTWbCLS5zkSP3UzwRoQ6iBoM4Iq/view?usp=drivesdk" TargetMode="External"/><Relationship Id="rId4026" Type="http://schemas.openxmlformats.org/officeDocument/2006/relationships/hyperlink" Target="https://drive.google.com/file/d/1BeQaABEgjlGojjEoySJEdPhFqpQljmJT/view?usp=drivesdk" TargetMode="External"/><Relationship Id="rId289" Type="http://schemas.openxmlformats.org/officeDocument/2006/relationships/hyperlink" Target="https://drive.google.com/file/d/1Xcnr727lBcOVcJc3WPFn2WRC_pz8iXc0/view?usp=drivesdk" TargetMode="External"/><Relationship Id="rId4025" Type="http://schemas.openxmlformats.org/officeDocument/2006/relationships/hyperlink" Target="https://drive.google.com/file/d/1KiC7G0ittmhVWe1xZ2bVo6yXl1PmdDSG/view?usp=drivesdk" TargetMode="External"/><Relationship Id="rId288" Type="http://schemas.openxmlformats.org/officeDocument/2006/relationships/hyperlink" Target="https://drive.google.com/file/d/1YfbnfAt6F2u7YgkXwb6qFNXorSY-RU6J/view?usp=drivesdk" TargetMode="External"/><Relationship Id="rId4028" Type="http://schemas.openxmlformats.org/officeDocument/2006/relationships/hyperlink" Target="https://drive.google.com/file/d/1fQJUbBYCWcjS4awK9N7_t111glwXwVDH/view?usp=drivesdk" TargetMode="External"/><Relationship Id="rId287" Type="http://schemas.openxmlformats.org/officeDocument/2006/relationships/hyperlink" Target="https://drive.google.com/file/d/1SHKLxx7OgR1wvT9N0cvuEX9IrezSHpTR/view?usp=drivesdk" TargetMode="External"/><Relationship Id="rId4027" Type="http://schemas.openxmlformats.org/officeDocument/2006/relationships/hyperlink" Target="https://drive.google.com/file/d/1swv7RPJRp33uvhLiINHld1fzaZmE3CmU/view?usp=drivesdk" TargetMode="External"/><Relationship Id="rId4019" Type="http://schemas.openxmlformats.org/officeDocument/2006/relationships/hyperlink" Target="https://drive.google.com/file/d/143prnID5-YJbDtFStHGTotMpyb9fMU68/view?usp=drivesdk" TargetMode="External"/><Relationship Id="rId4018" Type="http://schemas.openxmlformats.org/officeDocument/2006/relationships/hyperlink" Target="https://drive.google.com/file/d/1eSPv8dw7fP8OH-mRk171KzWpE5F1acTB/view?usp=drivesdk" TargetMode="External"/><Relationship Id="rId282" Type="http://schemas.openxmlformats.org/officeDocument/2006/relationships/hyperlink" Target="https://drive.google.com/file/d/1q7JU0qlLuimVYiWLNHJe61NvxObTAEAL/view?usp=drivesdk" TargetMode="External"/><Relationship Id="rId281" Type="http://schemas.openxmlformats.org/officeDocument/2006/relationships/hyperlink" Target="https://drive.google.com/file/d/1fPJg5bXKwImCrgagIAqxeNlv3tSGZYZl/view?usp=drivesdk" TargetMode="External"/><Relationship Id="rId280" Type="http://schemas.openxmlformats.org/officeDocument/2006/relationships/hyperlink" Target="https://drive.google.com/file/d/1lV-9JUPepiOXVJPrYLhqOAkBU-OVIkut/view?usp=drivesdk" TargetMode="External"/><Relationship Id="rId275" Type="http://schemas.openxmlformats.org/officeDocument/2006/relationships/hyperlink" Target="https://drive.google.com/file/d/1O-g3LNr3o2RSXjYw8IFbUaDWJ2j1uWTA/view?usp=drivesdk" TargetMode="External"/><Relationship Id="rId4011" Type="http://schemas.openxmlformats.org/officeDocument/2006/relationships/hyperlink" Target="https://drive.google.com/file/d/1TQJSG6BmUT574BuUW9D62h6PVrHYds1a/view?usp=drivesdk" TargetMode="External"/><Relationship Id="rId274" Type="http://schemas.openxmlformats.org/officeDocument/2006/relationships/hyperlink" Target="https://drive.google.com/file/d/1LCCjJDpUraCHR_Owg2KuCFx49u5dUBYj/view?usp=drivesdk" TargetMode="External"/><Relationship Id="rId4010" Type="http://schemas.openxmlformats.org/officeDocument/2006/relationships/hyperlink" Target="https://drive.google.com/file/d/1rv2M198b-6kdtqPgF2K37QaagkrJ2TSz/view?usp=drivesdk" TargetMode="External"/><Relationship Id="rId273" Type="http://schemas.openxmlformats.org/officeDocument/2006/relationships/hyperlink" Target="https://drive.google.com/file/d/1bSwAgCEm6pZPtRUk1nWTToO1ad-wfMUl/view?usp=drivesdk" TargetMode="External"/><Relationship Id="rId4013" Type="http://schemas.openxmlformats.org/officeDocument/2006/relationships/hyperlink" Target="https://drive.google.com/file/d/1E4CKv-330obOTTOm1wbjJ582m1eJe9Hy/view?usp=drivesdk" TargetMode="External"/><Relationship Id="rId272" Type="http://schemas.openxmlformats.org/officeDocument/2006/relationships/hyperlink" Target="https://drive.google.com/file/d/13yFDIWUmZeSthhJJTUknghGaMK2lRs0m/view?usp=drivesdk" TargetMode="External"/><Relationship Id="rId4012" Type="http://schemas.openxmlformats.org/officeDocument/2006/relationships/hyperlink" Target="https://drive.google.com/file/d/1TXsJ2swxv8C0cZPslG1zvg2vQQe4fBvr/view?usp=drivesdk" TargetMode="External"/><Relationship Id="rId279" Type="http://schemas.openxmlformats.org/officeDocument/2006/relationships/hyperlink" Target="https://drive.google.com/file/d/1TSdEjCS5G1USMqLdxw2Fa2wvlT65W1hg/view?usp=drivesdk" TargetMode="External"/><Relationship Id="rId4015" Type="http://schemas.openxmlformats.org/officeDocument/2006/relationships/hyperlink" Target="https://drive.google.com/file/d/1UWNU8APtxrYl9O_zA-rncF_iHlUrs7Dq/view?usp=drivesdk" TargetMode="External"/><Relationship Id="rId278" Type="http://schemas.openxmlformats.org/officeDocument/2006/relationships/hyperlink" Target="https://drive.google.com/file/d/1QUmHGNxfewCvtInulKbG8OwOo6KBHyk5/view?usp=drivesdk" TargetMode="External"/><Relationship Id="rId4014" Type="http://schemas.openxmlformats.org/officeDocument/2006/relationships/hyperlink" Target="https://drive.google.com/file/d/1W-3ASPueoyXqmAj9nCkuK59NupLwf5wH/view?usp=drivesdk" TargetMode="External"/><Relationship Id="rId277" Type="http://schemas.openxmlformats.org/officeDocument/2006/relationships/hyperlink" Target="https://drive.google.com/file/d/1LI-XTrGVR0vC4LgaxR63kBzhZFBigQyt/view?usp=drivesdk" TargetMode="External"/><Relationship Id="rId4017" Type="http://schemas.openxmlformats.org/officeDocument/2006/relationships/hyperlink" Target="https://drive.google.com/file/d/1OFtesFq_0krFtAZQoYipn5q3HuWWP9Zc/view?usp=drivesdk" TargetMode="External"/><Relationship Id="rId276" Type="http://schemas.openxmlformats.org/officeDocument/2006/relationships/hyperlink" Target="https://drive.google.com/file/d/1G4dpoFM6l48Pi9Sb3COBaPT4_d8ViPVi/view?usp=drivesdk" TargetMode="External"/><Relationship Id="rId4016" Type="http://schemas.openxmlformats.org/officeDocument/2006/relationships/hyperlink" Target="https://drive.google.com/file/d/153PU9rs2nZR4hKGWWxWQWlk4uDaKyr3h/view?usp=drivesdk" TargetMode="External"/><Relationship Id="rId1851" Type="http://schemas.openxmlformats.org/officeDocument/2006/relationships/hyperlink" Target="https://drive.google.com/file/d/1WpLuT2Ut6inyCshU-0s0FYPmbjpu9e9j/view?usp=drivesdk" TargetMode="External"/><Relationship Id="rId1852" Type="http://schemas.openxmlformats.org/officeDocument/2006/relationships/hyperlink" Target="https://drive.google.com/file/d/1-xE6BVEyEQiNbMmcXoLWwpD6twsAfWY3/view?usp=drivesdk" TargetMode="External"/><Relationship Id="rId1853" Type="http://schemas.openxmlformats.org/officeDocument/2006/relationships/hyperlink" Target="https://drive.google.com/file/d/1D7QHrb0IL97-mWnA9fE72loyTFkjUuoZ/view?usp=drivesdk" TargetMode="External"/><Relationship Id="rId1854" Type="http://schemas.openxmlformats.org/officeDocument/2006/relationships/hyperlink" Target="https://drive.google.com/file/d/1fVScQPzTFu1C858DjWavmqXu7E9CjhjA/view?usp=drivesdk" TargetMode="External"/><Relationship Id="rId1855" Type="http://schemas.openxmlformats.org/officeDocument/2006/relationships/hyperlink" Target="https://drive.google.com/file/d/1qqv24z6nYegl8UutHIcpDJwgLsmsrmAh/view?usp=drivesdk" TargetMode="External"/><Relationship Id="rId1856" Type="http://schemas.openxmlformats.org/officeDocument/2006/relationships/hyperlink" Target="https://drive.google.com/file/d/1Px1iptiMCpdqQORqZ7CWdPJN1-mMdMHX/view?usp=drivesdk" TargetMode="External"/><Relationship Id="rId1857" Type="http://schemas.openxmlformats.org/officeDocument/2006/relationships/hyperlink" Target="https://drive.google.com/file/d/1Z3CU_DI81q5rDOYUCh4qglTj1qsDKusH/view?usp=drivesdk" TargetMode="External"/><Relationship Id="rId1858" Type="http://schemas.openxmlformats.org/officeDocument/2006/relationships/hyperlink" Target="https://drive.google.com/file/d/12H_pydmiylyLjy3NUj5qQTlclJqVRP5Y/view?usp=drivesdk" TargetMode="External"/><Relationship Id="rId1859" Type="http://schemas.openxmlformats.org/officeDocument/2006/relationships/hyperlink" Target="https://drive.google.com/file/d/19sFg9SG11dpOv6HG9UAp8VeqDCmbvjPT/view?usp=drivesdk" TargetMode="External"/><Relationship Id="rId1850" Type="http://schemas.openxmlformats.org/officeDocument/2006/relationships/hyperlink" Target="https://drive.google.com/file/d/1W4nX8_s7v7eE5MSXWwZNEikeCNfmjcaK/view?usp=drivesdk" TargetMode="External"/><Relationship Id="rId1840" Type="http://schemas.openxmlformats.org/officeDocument/2006/relationships/hyperlink" Target="https://drive.google.com/file/d/1tpsZB3NlVvn-FcaLF72vT5A7zVpuwHkj/view?usp=drivesdk" TargetMode="External"/><Relationship Id="rId1841" Type="http://schemas.openxmlformats.org/officeDocument/2006/relationships/hyperlink" Target="https://drive.google.com/file/d/19Ed3JU0hfdzTvchKvjNb5j1VwCMhLXbt/view?usp=drivesdk" TargetMode="External"/><Relationship Id="rId1842" Type="http://schemas.openxmlformats.org/officeDocument/2006/relationships/hyperlink" Target="https://drive.google.com/file/d/11BcIC2u1Zu2tvK5G6XedQNk4zzrvgOLm/view?usp=drivesdk" TargetMode="External"/><Relationship Id="rId1843" Type="http://schemas.openxmlformats.org/officeDocument/2006/relationships/hyperlink" Target="https://drive.google.com/file/d/1cj7S35mOFzvnh6qc5rS1WqFouJVISuRA/view?usp=drivesdk" TargetMode="External"/><Relationship Id="rId1844" Type="http://schemas.openxmlformats.org/officeDocument/2006/relationships/hyperlink" Target="https://drive.google.com/file/d/16CpqHhM8OQEqYNYT6fi4ffoCs77rdzZv/view?usp=drivesdk" TargetMode="External"/><Relationship Id="rId1845" Type="http://schemas.openxmlformats.org/officeDocument/2006/relationships/hyperlink" Target="https://drive.google.com/file/d/170BBZIQYY1f6X2DasXkqfUv_D_Aei0-v/view?usp=drivesdk" TargetMode="External"/><Relationship Id="rId1846" Type="http://schemas.openxmlformats.org/officeDocument/2006/relationships/hyperlink" Target="https://drive.google.com/file/d/1P5fLvzxaKZOBrUV4v0xB8MfLtDKpF-LD/view?usp=drivesdk" TargetMode="External"/><Relationship Id="rId1847" Type="http://schemas.openxmlformats.org/officeDocument/2006/relationships/hyperlink" Target="https://drive.google.com/file/d/1ZQC8cGA7iZUtH9BVQxK14IC3qAzVQQZ0/view?usp=drivesdk" TargetMode="External"/><Relationship Id="rId1848" Type="http://schemas.openxmlformats.org/officeDocument/2006/relationships/hyperlink" Target="https://drive.google.com/file/d/1EtaaXOrzaAcv9FY9LD1uDlcdlVL4r9C5/view?usp=drivesdk" TargetMode="External"/><Relationship Id="rId1849" Type="http://schemas.openxmlformats.org/officeDocument/2006/relationships/hyperlink" Target="https://drive.google.com/file/d/1C7oU-QNECIr5jG3KfuQFeg0mfguVs0tK/view?usp=drivesdk" TargetMode="External"/><Relationship Id="rId1873" Type="http://schemas.openxmlformats.org/officeDocument/2006/relationships/hyperlink" Target="https://drive.google.com/file/d/1v5LRYibt2JLu1cffTZ5JGjQJzIibxBp0/view?usp=drivesdk" TargetMode="External"/><Relationship Id="rId1874" Type="http://schemas.openxmlformats.org/officeDocument/2006/relationships/hyperlink" Target="https://drive.google.com/file/d/1W7LGxVAw8N807SPhLKC0hrCa6SxiEknh/view?usp=drivesdk" TargetMode="External"/><Relationship Id="rId1875" Type="http://schemas.openxmlformats.org/officeDocument/2006/relationships/hyperlink" Target="https://drive.google.com/file/d/1pUDAvYTkWm6OsNpYF7QMV2dX-b0cvZWn/view?usp=drivesdk" TargetMode="External"/><Relationship Id="rId4901" Type="http://schemas.openxmlformats.org/officeDocument/2006/relationships/hyperlink" Target="https://drive.google.com/file/d/18pxVZN57S6-WVly2WumOsX5zSgUaaQ1v/view?usp=drivesdk" TargetMode="External"/><Relationship Id="rId1876" Type="http://schemas.openxmlformats.org/officeDocument/2006/relationships/hyperlink" Target="https://drive.google.com/file/d/1u9KAVhEVWTIFK5KzO7nspx6gRGVdDxZH/view?usp=drivesdk" TargetMode="External"/><Relationship Id="rId4900" Type="http://schemas.openxmlformats.org/officeDocument/2006/relationships/hyperlink" Target="https://drive.google.com/file/d/1DWGDmGK89ebzGBEIHB7AhZ4UqO7EyCJ2/view?usp=drivesdk" TargetMode="External"/><Relationship Id="rId1877" Type="http://schemas.openxmlformats.org/officeDocument/2006/relationships/hyperlink" Target="https://drive.google.com/file/d/12zyIuSFZONN-AfeWjwz7Ds1b6gKNamdK/view?usp=drivesdk" TargetMode="External"/><Relationship Id="rId4903" Type="http://schemas.openxmlformats.org/officeDocument/2006/relationships/hyperlink" Target="https://drive.google.com/file/d/1b08mAh8ptyofYkHBNVpiqXjXtBl_IZQy/view?usp=drivesdk" TargetMode="External"/><Relationship Id="rId1878" Type="http://schemas.openxmlformats.org/officeDocument/2006/relationships/hyperlink" Target="https://drive.google.com/file/d/1qK_4Qr03Qv2VmQIDC-bC1BHJKTmTDl8W/view?usp=drivesdk" TargetMode="External"/><Relationship Id="rId4902" Type="http://schemas.openxmlformats.org/officeDocument/2006/relationships/hyperlink" Target="https://drive.google.com/file/d/1o9XDITTHomS_outYjZMeni7M0mLDIFy5/view?usp=drivesdk" TargetMode="External"/><Relationship Id="rId1879" Type="http://schemas.openxmlformats.org/officeDocument/2006/relationships/hyperlink" Target="https://drive.google.com/file/d/1YF7pIy4vzkZHmUQVYOcFFu-AOSKywZEO/view?usp=drivesdk" TargetMode="External"/><Relationship Id="rId4905" Type="http://schemas.openxmlformats.org/officeDocument/2006/relationships/hyperlink" Target="https://drive.google.com/file/d/1Cwrja7SwUA2dUVBOiBjEcvfox9-_yrkW/view?usp=drivesdk" TargetMode="External"/><Relationship Id="rId4904" Type="http://schemas.openxmlformats.org/officeDocument/2006/relationships/hyperlink" Target="https://drive.google.com/file/d/1wHjtZcd53slvgD9gceZr7D47loJSEzNB/view?usp=drivesdk" TargetMode="External"/><Relationship Id="rId4907" Type="http://schemas.openxmlformats.org/officeDocument/2006/relationships/hyperlink" Target="https://drive.google.com/file/d/1N6Dg0iDWnSyynclH3sJSkwKjcbGho1pi/view?usp=drivesdk" TargetMode="External"/><Relationship Id="rId4906" Type="http://schemas.openxmlformats.org/officeDocument/2006/relationships/hyperlink" Target="https://drive.google.com/file/d/1VCDdviSYsMhrSdZLP5tiABkM_3-vPMwL/view?usp=drivesdk" TargetMode="External"/><Relationship Id="rId4909" Type="http://schemas.openxmlformats.org/officeDocument/2006/relationships/hyperlink" Target="https://drive.google.com/file/d/1Pd9-hgGUOIJYem7vWmvgoox9jVUNAl6r/view?usp=drivesdk" TargetMode="External"/><Relationship Id="rId4908" Type="http://schemas.openxmlformats.org/officeDocument/2006/relationships/hyperlink" Target="https://drive.google.com/file/d/1QJUZ8MgM8OTMOBvIhQ8lfmm_LfIiF5bm/view?usp=drivesdk" TargetMode="External"/><Relationship Id="rId1870" Type="http://schemas.openxmlformats.org/officeDocument/2006/relationships/hyperlink" Target="https://drive.google.com/file/d/19iJn5YDeLR75x8I2WhSjCa01AQZb_wpK/view?usp=drivesdk" TargetMode="External"/><Relationship Id="rId1871" Type="http://schemas.openxmlformats.org/officeDocument/2006/relationships/hyperlink" Target="https://drive.google.com/file/d/1j4DzHDKt4veXvIN9_gaIeqa0V30_5LXg/view?usp=drivesdk" TargetMode="External"/><Relationship Id="rId1872" Type="http://schemas.openxmlformats.org/officeDocument/2006/relationships/hyperlink" Target="https://drive.google.com/file/d/1gSOHQY9j6SzdwzTzDRvmBHNLrhakgIwT/view?usp=drivesdk" TargetMode="External"/><Relationship Id="rId1862" Type="http://schemas.openxmlformats.org/officeDocument/2006/relationships/hyperlink" Target="https://drive.google.com/file/d/1entvaX22aFS5sG24hRJYLhf7nzkLTVFG/view?usp=drivesdk" TargetMode="External"/><Relationship Id="rId1863" Type="http://schemas.openxmlformats.org/officeDocument/2006/relationships/hyperlink" Target="https://drive.google.com/file/d/1ZebatqMq4gsWPWrqfqsdbnUa4G2C54ny/view?usp=drivesdk" TargetMode="External"/><Relationship Id="rId1864" Type="http://schemas.openxmlformats.org/officeDocument/2006/relationships/hyperlink" Target="https://drive.google.com/file/d/1sXJY8WjDBCCB6IYLYhS-EHHQQ4Q99NDk/view?usp=drivesdk" TargetMode="External"/><Relationship Id="rId1865" Type="http://schemas.openxmlformats.org/officeDocument/2006/relationships/hyperlink" Target="https://drive.google.com/file/d/18PKXIts6HXuEsgH960OydlEBak7V3iTc/view?usp=drivesdk" TargetMode="External"/><Relationship Id="rId1866" Type="http://schemas.openxmlformats.org/officeDocument/2006/relationships/hyperlink" Target="https://drive.google.com/file/d/1umOMNZF6AF3GuMD2-RZxY_fxS-HfT3xp/view?usp=drivesdk" TargetMode="External"/><Relationship Id="rId1867" Type="http://schemas.openxmlformats.org/officeDocument/2006/relationships/hyperlink" Target="https://drive.google.com/file/d/16XggjCTCtkOZisyM63Nzv2JLNcOgxOt2/view?usp=drivesdk" TargetMode="External"/><Relationship Id="rId1868" Type="http://schemas.openxmlformats.org/officeDocument/2006/relationships/hyperlink" Target="https://drive.google.com/file/d/138pEXAzcsjrytbL1MiyMgmneNlzkFqUB/view?usp=drivesdk" TargetMode="External"/><Relationship Id="rId1869" Type="http://schemas.openxmlformats.org/officeDocument/2006/relationships/hyperlink" Target="https://drive.google.com/file/d/1WHqX3D-PQwf7VaM_1-cyfx2LL-9wh50r/view?usp=drivesdk" TargetMode="External"/><Relationship Id="rId1860" Type="http://schemas.openxmlformats.org/officeDocument/2006/relationships/hyperlink" Target="https://drive.google.com/file/d/1EqfjzZ46yvY4A2NCnl8g8iL_nfRjdJlp/view?usp=drivesdk" TargetMode="External"/><Relationship Id="rId1861" Type="http://schemas.openxmlformats.org/officeDocument/2006/relationships/hyperlink" Target="https://drive.google.com/file/d/1BIGaxMDFaSWq5C0HUFZ5hanBSNS_KCkF/view?usp=drivesdk" TargetMode="External"/><Relationship Id="rId1810" Type="http://schemas.openxmlformats.org/officeDocument/2006/relationships/hyperlink" Target="https://drive.google.com/file/d/1pcW4tluRkDw2qfmaDgCQNXtSgWrP_g1Y/view?usp=drivesdk" TargetMode="External"/><Relationship Id="rId1811" Type="http://schemas.openxmlformats.org/officeDocument/2006/relationships/hyperlink" Target="https://drive.google.com/file/d/1RzIOWyH4yo5o-N943uIBssng18AyNbVY/view?usp=drivesdk" TargetMode="External"/><Relationship Id="rId1812" Type="http://schemas.openxmlformats.org/officeDocument/2006/relationships/hyperlink" Target="https://drive.google.com/file/d/1nupo8OzqZ7HkCnGesnESNphl67mxjEFF/view?usp=drivesdk" TargetMode="External"/><Relationship Id="rId1813" Type="http://schemas.openxmlformats.org/officeDocument/2006/relationships/hyperlink" Target="https://drive.google.com/file/d/1hnzTYAGKvsyGE9qsIwhV32Vx6xG9hUR_/view?usp=drivesdk" TargetMode="External"/><Relationship Id="rId1814" Type="http://schemas.openxmlformats.org/officeDocument/2006/relationships/hyperlink" Target="https://drive.google.com/file/d/1cAKy86OvgR9ht_P8VnhGTTicfuhI4jje/view?usp=drivesdk" TargetMode="External"/><Relationship Id="rId1815" Type="http://schemas.openxmlformats.org/officeDocument/2006/relationships/hyperlink" Target="https://drive.google.com/file/d/1uNI4fLY1H6uYoF6RJOlw3ucw3fv67Dxs/view?usp=drivesdk" TargetMode="External"/><Relationship Id="rId1816" Type="http://schemas.openxmlformats.org/officeDocument/2006/relationships/hyperlink" Target="https://drive.google.com/file/d/1Ae76NvAUm9Kw2v-VD48jrU_NHDiym32o/view?usp=drivesdk" TargetMode="External"/><Relationship Id="rId1817" Type="http://schemas.openxmlformats.org/officeDocument/2006/relationships/hyperlink" Target="https://drive.google.com/file/d/1VOQYU-6mYDkCCQUVNz0NUuydufTqlUkg/view?usp=drivesdk" TargetMode="External"/><Relationship Id="rId1818" Type="http://schemas.openxmlformats.org/officeDocument/2006/relationships/hyperlink" Target="https://drive.google.com/file/d/1ydQj1I678R8qfb8fFtNBokDVmVwt1DYn/view?usp=drivesdk" TargetMode="External"/><Relationship Id="rId1819" Type="http://schemas.openxmlformats.org/officeDocument/2006/relationships/hyperlink" Target="https://drive.google.com/file/d/1oT9ZUTfrGfcF3DjZm4N_2SaX40qYixEN/view?usp=drivesdk" TargetMode="External"/><Relationship Id="rId4080" Type="http://schemas.openxmlformats.org/officeDocument/2006/relationships/hyperlink" Target="https://drive.google.com/file/d/1l1jGJBZOjCPEEJp_rXwR7J_YbXHRbZnk/view?usp=drivesdk" TargetMode="External"/><Relationship Id="rId4082" Type="http://schemas.openxmlformats.org/officeDocument/2006/relationships/hyperlink" Target="https://drive.google.com/file/d/1mz0LRmDj_PRYYX3QHH_qClsNIbvLC0m8/view?usp=drivesdk" TargetMode="External"/><Relationship Id="rId4081" Type="http://schemas.openxmlformats.org/officeDocument/2006/relationships/hyperlink" Target="https://drive.google.com/file/d/16Tj7efBIKzHhqSvDo00eYo-Vimd_EJyf/view?usp=drivesdk" TargetMode="External"/><Relationship Id="rId4084" Type="http://schemas.openxmlformats.org/officeDocument/2006/relationships/hyperlink" Target="https://drive.google.com/file/d/1ZrczEmT3ExgppTrl4xSV_LHVCqX4_NDw/view?usp=drivesdk" TargetMode="External"/><Relationship Id="rId4083" Type="http://schemas.openxmlformats.org/officeDocument/2006/relationships/hyperlink" Target="https://drive.google.com/file/d/10q1qY_qv6GUhxCu0l9qQRhXBbioWwi9O/view?usp=drivesdk" TargetMode="External"/><Relationship Id="rId4086" Type="http://schemas.openxmlformats.org/officeDocument/2006/relationships/hyperlink" Target="https://drive.google.com/file/d/1Jl30lamFOZvkNIWtONEB6ANgJkwEbAXj/view?usp=drivesdk" TargetMode="External"/><Relationship Id="rId4085" Type="http://schemas.openxmlformats.org/officeDocument/2006/relationships/hyperlink" Target="https://drive.google.com/file/d/1-kkg96ZHKwoDEwHhqXuNsmgR1I_474JG/view?usp=drivesdk" TargetMode="External"/><Relationship Id="rId4088" Type="http://schemas.openxmlformats.org/officeDocument/2006/relationships/hyperlink" Target="https://drive.google.com/file/d/1FBJCur5wW-uFNBjnYvnyosv7J_JOJ2wF/view?usp=drivesdk" TargetMode="External"/><Relationship Id="rId4087" Type="http://schemas.openxmlformats.org/officeDocument/2006/relationships/hyperlink" Target="https://drive.google.com/file/d/1JP8WyspveQz0c6Sjru48Q5w3LuXItvWG/view?usp=drivesdk" TargetMode="External"/><Relationship Id="rId4089" Type="http://schemas.openxmlformats.org/officeDocument/2006/relationships/hyperlink" Target="https://drive.google.com/file/d/1IVcIbq8t56yq6f88NTAnxiE_ecbVFMQ2/view?usp=drivesdk" TargetMode="External"/><Relationship Id="rId1800" Type="http://schemas.openxmlformats.org/officeDocument/2006/relationships/hyperlink" Target="https://drive.google.com/file/d/104-iK3d8U8R1KLqx1-tpzmTMmiJGLj4e/view?usp=drivesdk" TargetMode="External"/><Relationship Id="rId1801" Type="http://schemas.openxmlformats.org/officeDocument/2006/relationships/hyperlink" Target="https://drive.google.com/file/d/1lr1vPqdbl45U7CO6Z0xi08ipdYzJO-U_/view?usp=drivesdk" TargetMode="External"/><Relationship Id="rId1802" Type="http://schemas.openxmlformats.org/officeDocument/2006/relationships/hyperlink" Target="https://drive.google.com/file/d/1Z5iwUEt8CYDkZKJz99oRIBLvS_mqmN04/view?usp=drivesdk" TargetMode="External"/><Relationship Id="rId1803" Type="http://schemas.openxmlformats.org/officeDocument/2006/relationships/hyperlink" Target="https://drive.google.com/file/d/1viO3dnr4i9m-dIxk1DJ0A9cW-6Ri9LMJ/view?usp=drivesdk" TargetMode="External"/><Relationship Id="rId1804" Type="http://schemas.openxmlformats.org/officeDocument/2006/relationships/hyperlink" Target="https://drive.google.com/file/d/1q3n-fNe8iumphji9QzP9oXccz_GgauV-/view?usp=drivesdk" TargetMode="External"/><Relationship Id="rId1805" Type="http://schemas.openxmlformats.org/officeDocument/2006/relationships/hyperlink" Target="https://drive.google.com/file/d/1tVBY-ND8NDHfrnS89zaDTzkk7lL_Biy1/view?usp=drivesdk" TargetMode="External"/><Relationship Id="rId1806" Type="http://schemas.openxmlformats.org/officeDocument/2006/relationships/hyperlink" Target="https://drive.google.com/file/d/1AsFm3yoW5eNFUw01qoaZPUrsa-ZSjnDD/view?usp=drivesdk" TargetMode="External"/><Relationship Id="rId1807" Type="http://schemas.openxmlformats.org/officeDocument/2006/relationships/hyperlink" Target="https://drive.google.com/file/d/17E02DkDLG9-P_0dDo9bBSPI3fIb7qnRZ/view?usp=drivesdk" TargetMode="External"/><Relationship Id="rId1808" Type="http://schemas.openxmlformats.org/officeDocument/2006/relationships/hyperlink" Target="https://drive.google.com/file/d/1r8B3K0WZXeAZ_9JxMvpqM_eHuV_IW7mD/view?usp=drivesdk" TargetMode="External"/><Relationship Id="rId1809" Type="http://schemas.openxmlformats.org/officeDocument/2006/relationships/hyperlink" Target="https://drive.google.com/file/d/1gFT81yPiVap851XdzIr5Yw4wn8MxCqks/view?usp=drivesdk" TargetMode="External"/><Relationship Id="rId4071" Type="http://schemas.openxmlformats.org/officeDocument/2006/relationships/hyperlink" Target="https://drive.google.com/file/d/1meM-rP7W6iYl2Ub8SSCuZBT91r-VMOoN/view?usp=drivesdk" TargetMode="External"/><Relationship Id="rId4070" Type="http://schemas.openxmlformats.org/officeDocument/2006/relationships/hyperlink" Target="https://drive.google.com/file/d/1dEkkFuo6nJxM_hrxafXccFVX8V-GBqwl/view?usp=drivesdk" TargetMode="External"/><Relationship Id="rId4073" Type="http://schemas.openxmlformats.org/officeDocument/2006/relationships/hyperlink" Target="https://drive.google.com/file/d/1nsjrMwpHwos-BfzlOUmuUWunzb_6kwTO/view?usp=drivesdk" TargetMode="External"/><Relationship Id="rId4072" Type="http://schemas.openxmlformats.org/officeDocument/2006/relationships/hyperlink" Target="https://drive.google.com/file/d/1lgmAz8-myKAuBz2US96bt_LvMp0-UOOu/view?usp=drivesdk" TargetMode="External"/><Relationship Id="rId4075" Type="http://schemas.openxmlformats.org/officeDocument/2006/relationships/hyperlink" Target="https://drive.google.com/file/d/1egkl4Sk3C_DBagNIppV8Q1KU1OR7mvzZ/view?usp=drivesdk" TargetMode="External"/><Relationship Id="rId4074" Type="http://schemas.openxmlformats.org/officeDocument/2006/relationships/hyperlink" Target="https://drive.google.com/file/d/1PWDig8xoBgEPgcSPwPBbUmkkQ5aIiw4J/view?usp=drivesdk" TargetMode="External"/><Relationship Id="rId4077" Type="http://schemas.openxmlformats.org/officeDocument/2006/relationships/hyperlink" Target="https://drive.google.com/file/d/1lRD6Qc7DLX5VDBsEcqLwTsvJk45iAuL9/view?usp=drivesdk" TargetMode="External"/><Relationship Id="rId4076" Type="http://schemas.openxmlformats.org/officeDocument/2006/relationships/hyperlink" Target="https://drive.google.com/file/d/1B7bk5iZ3JJZgHo-a9m2K2ABgL7FYvaQf/view?usp=drivesdk" TargetMode="External"/><Relationship Id="rId4079" Type="http://schemas.openxmlformats.org/officeDocument/2006/relationships/hyperlink" Target="https://drive.google.com/file/d/11m6LEtB6gb2jKdjNbZiMHLi9DJRHVwg0/view?usp=drivesdk" TargetMode="External"/><Relationship Id="rId4078" Type="http://schemas.openxmlformats.org/officeDocument/2006/relationships/hyperlink" Target="https://drive.google.com/file/d/1Tea2g-nGkshze6A57oxduKx8XGa5gsO1/view?usp=drivesdk" TargetMode="External"/><Relationship Id="rId1830" Type="http://schemas.openxmlformats.org/officeDocument/2006/relationships/hyperlink" Target="https://drive.google.com/file/d/1tRce_morMMbOx3bsS-i1JqtulB7xbKFs/view?usp=drivesdk" TargetMode="External"/><Relationship Id="rId1831" Type="http://schemas.openxmlformats.org/officeDocument/2006/relationships/hyperlink" Target="https://drive.google.com/file/d/19GXfVAkgHGhhMieSz4Q2rqMhHzgvfSby/view?usp=drivesdk" TargetMode="External"/><Relationship Id="rId1832" Type="http://schemas.openxmlformats.org/officeDocument/2006/relationships/hyperlink" Target="https://drive.google.com/file/d/1-lBGsXKP_TMjrw3dGtm91Ucmth2Iky8V/view?usp=drivesdk" TargetMode="External"/><Relationship Id="rId1833" Type="http://schemas.openxmlformats.org/officeDocument/2006/relationships/hyperlink" Target="https://drive.google.com/file/d/1uz0Tu7tgnqsJZer4Wj3uHfng7t6LxPcG/view?usp=drivesdk" TargetMode="External"/><Relationship Id="rId1834" Type="http://schemas.openxmlformats.org/officeDocument/2006/relationships/hyperlink" Target="https://drive.google.com/file/d/16hvJ2RtcPa-BYYZXY3X__5vyukgqpN3U/view?usp=drivesdk" TargetMode="External"/><Relationship Id="rId1835" Type="http://schemas.openxmlformats.org/officeDocument/2006/relationships/hyperlink" Target="https://drive.google.com/file/d/16EeSxUqAcJigFfe19YlQlBor_rJnTnz1/view?usp=drivesdk" TargetMode="External"/><Relationship Id="rId1836" Type="http://schemas.openxmlformats.org/officeDocument/2006/relationships/hyperlink" Target="https://drive.google.com/file/d/1wXnqAP0WH1vDiFycbf2gK4aAoVj6Owsl/view?usp=drivesdk" TargetMode="External"/><Relationship Id="rId1837" Type="http://schemas.openxmlformats.org/officeDocument/2006/relationships/hyperlink" Target="https://drive.google.com/file/d/1jf5LRDDU493Ass9JIWY2lfy_59CQh9F0/view?usp=drivesdk" TargetMode="External"/><Relationship Id="rId1838" Type="http://schemas.openxmlformats.org/officeDocument/2006/relationships/hyperlink" Target="https://drive.google.com/file/d/1IbkjuUzj4aLb4KlmB3HCLa5qyZHLo3PL/view?usp=drivesdk" TargetMode="External"/><Relationship Id="rId1839" Type="http://schemas.openxmlformats.org/officeDocument/2006/relationships/hyperlink" Target="https://drive.google.com/file/d/1FGIoNs2vZBXkBT6t05hD22VolE3fmCAf/view?usp=drivesdk" TargetMode="External"/><Relationship Id="rId1820" Type="http://schemas.openxmlformats.org/officeDocument/2006/relationships/hyperlink" Target="https://drive.google.com/file/d/1J8Samxqhe4-SqDI8A1A-P5PNIN6ychXM/view?usp=drivesdk" TargetMode="External"/><Relationship Id="rId1821" Type="http://schemas.openxmlformats.org/officeDocument/2006/relationships/hyperlink" Target="https://drive.google.com/file/d/1aRNokGprrl3QkFlwrcj0tgiWVWM8IbSr/view?usp=drivesdk" TargetMode="External"/><Relationship Id="rId1822" Type="http://schemas.openxmlformats.org/officeDocument/2006/relationships/hyperlink" Target="https://drive.google.com/file/d/1Tzn2GIp7CHYDfoSfT3kVFh-q-ym2NqIA/view?usp=drivesdk" TargetMode="External"/><Relationship Id="rId1823" Type="http://schemas.openxmlformats.org/officeDocument/2006/relationships/hyperlink" Target="https://drive.google.com/file/d/1usZlGgReFj817ZdXqfVehtZUFLV5_HR7/view?usp=drivesdk" TargetMode="External"/><Relationship Id="rId1824" Type="http://schemas.openxmlformats.org/officeDocument/2006/relationships/hyperlink" Target="https://drive.google.com/file/d/1ixORQgYgQeA0Fk2rR6HAmmHaJ62QZb4w/view?usp=drivesdk" TargetMode="External"/><Relationship Id="rId1825" Type="http://schemas.openxmlformats.org/officeDocument/2006/relationships/hyperlink" Target="https://drive.google.com/file/d/1Yo-za3m230JuVXM8OPNQGA6-kcU0dwbE/view?usp=drivesdk" TargetMode="External"/><Relationship Id="rId1826" Type="http://schemas.openxmlformats.org/officeDocument/2006/relationships/hyperlink" Target="https://drive.google.com/file/d/1KWuHywWbvyJBzC1VgyZyck7FZnZzR-uK/view?usp=drivesdk" TargetMode="External"/><Relationship Id="rId1827" Type="http://schemas.openxmlformats.org/officeDocument/2006/relationships/hyperlink" Target="https://drive.google.com/file/d/1AKXA9oVk7QeIfYiZKXULpJ7BYWBRYgHu/view?usp=drivesdk" TargetMode="External"/><Relationship Id="rId1828" Type="http://schemas.openxmlformats.org/officeDocument/2006/relationships/hyperlink" Target="https://drive.google.com/file/d/1gi_wsSVS4Bg1rmeJRGTmm5K0YcCChFml/view?usp=drivesdk" TargetMode="External"/><Relationship Id="rId1829" Type="http://schemas.openxmlformats.org/officeDocument/2006/relationships/hyperlink" Target="https://drive.google.com/file/d/1VHQmqCErVpxRKRRtLetB_XPLre5Xerbf/view?usp=drivesdk" TargetMode="External"/><Relationship Id="rId4091" Type="http://schemas.openxmlformats.org/officeDocument/2006/relationships/hyperlink" Target="https://drive.google.com/file/d/1VjP9ixcTFNtZ-SS_4MCd9GknGPRzOR5y/view?usp=drivesdk" TargetMode="External"/><Relationship Id="rId4090" Type="http://schemas.openxmlformats.org/officeDocument/2006/relationships/hyperlink" Target="https://drive.google.com/file/d/1l-conxqC-xL3PRijZ2OhK_Cf-qiARHRG/view?usp=drivesdk" TargetMode="External"/><Relationship Id="rId4093" Type="http://schemas.openxmlformats.org/officeDocument/2006/relationships/hyperlink" Target="https://drive.google.com/file/d/1pREG391iuV2d7IlM_k-sIOJAsT82LUcN/view?usp=drivesdk" TargetMode="External"/><Relationship Id="rId4092" Type="http://schemas.openxmlformats.org/officeDocument/2006/relationships/hyperlink" Target="https://drive.google.com/file/d/1G428-Zl5Kr8Ede_4pSvaQB5XYcVfH9kb/view?usp=drivesdk" TargetMode="External"/><Relationship Id="rId4095" Type="http://schemas.openxmlformats.org/officeDocument/2006/relationships/hyperlink" Target="https://drive.google.com/file/d/1Dxxhv3P-shJHHsNzP3508oFspDc3K_L8/view?usp=drivesdk" TargetMode="External"/><Relationship Id="rId4094" Type="http://schemas.openxmlformats.org/officeDocument/2006/relationships/hyperlink" Target="https://drive.google.com/file/d/192wu_XKJA3Rlt6PO1ENK5OO7FQDKl1Zg/view?usp=drivesdk" TargetMode="External"/><Relationship Id="rId4097" Type="http://schemas.openxmlformats.org/officeDocument/2006/relationships/hyperlink" Target="https://drive.google.com/file/d/1qlX2r52MKD5xO8Dm4Ixy1lCWpvdiMcz0/view?usp=drivesdk" TargetMode="External"/><Relationship Id="rId4096" Type="http://schemas.openxmlformats.org/officeDocument/2006/relationships/hyperlink" Target="https://drive.google.com/file/d/16BzwvclAmL6KBHKlZlNkj5U9QGvkglbr/view?usp=drivesdk" TargetMode="External"/><Relationship Id="rId4099" Type="http://schemas.openxmlformats.org/officeDocument/2006/relationships/hyperlink" Target="https://drive.google.com/file/d/1Cg0kGUur8F0EyTl1rP39fwhQmptCNNzw/view?usp=drivesdk" TargetMode="External"/><Relationship Id="rId4098" Type="http://schemas.openxmlformats.org/officeDocument/2006/relationships/hyperlink" Target="https://drive.google.com/file/d/1a66WlK4oAjO6quvB1G0fDLWCu9cr4qw8/view?usp=drivesdk" TargetMode="External"/><Relationship Id="rId2302" Type="http://schemas.openxmlformats.org/officeDocument/2006/relationships/hyperlink" Target="https://drive.google.com/file/d/1qsMfaVxUT3rR4yIcadlj5x9m33AOT92T/view?usp=drivesdk" TargetMode="External"/><Relationship Id="rId3634" Type="http://schemas.openxmlformats.org/officeDocument/2006/relationships/hyperlink" Target="https://drive.google.com/file/d/15pM_iVdq0YTa5iBSnL9iRVTmrVEJlAEg/view?usp=drivesdk" TargetMode="External"/><Relationship Id="rId4965" Type="http://schemas.openxmlformats.org/officeDocument/2006/relationships/hyperlink" Target="https://drive.google.com/file/d/1sYnixma2MXYjMKteyNBVuv5Wd0z11LZo/view?usp=drivesdk" TargetMode="External"/><Relationship Id="rId2303" Type="http://schemas.openxmlformats.org/officeDocument/2006/relationships/hyperlink" Target="https://drive.google.com/file/d/1h6QjAllsXyzV44egrI-tVtbrzDohu1ur/view?usp=drivesdk" TargetMode="External"/><Relationship Id="rId3633" Type="http://schemas.openxmlformats.org/officeDocument/2006/relationships/hyperlink" Target="https://drive.google.com/file/d/1RiZh5uYd9EAd8IBu6bZGpKs8DZQ0ZYUo/view?usp=drivesdk" TargetMode="External"/><Relationship Id="rId4964" Type="http://schemas.openxmlformats.org/officeDocument/2006/relationships/hyperlink" Target="https://drive.google.com/file/d/1lp3fAuonbpwKh0H3p4QjdbHQF8xTFHqB/view?usp=drivesdk" TargetMode="External"/><Relationship Id="rId2304" Type="http://schemas.openxmlformats.org/officeDocument/2006/relationships/hyperlink" Target="https://drive.google.com/file/d/1M2GBr0DfAicfu9H3Imm_s56i2PoflvNI/view?usp=drivesdk" TargetMode="External"/><Relationship Id="rId3636" Type="http://schemas.openxmlformats.org/officeDocument/2006/relationships/hyperlink" Target="https://drive.google.com/file/d/1820mspkwDTGZTtzNjyH8Iv6VrM-BqnaD/view?usp=drivesdk" TargetMode="External"/><Relationship Id="rId4967" Type="http://schemas.openxmlformats.org/officeDocument/2006/relationships/hyperlink" Target="https://drive.google.com/file/d/1SRTk4lX7PRfipu9gECF2ERjanlgii1gj/view?usp=drivesdk" TargetMode="External"/><Relationship Id="rId2305" Type="http://schemas.openxmlformats.org/officeDocument/2006/relationships/hyperlink" Target="https://drive.google.com/file/d/1SoYS2gBPS-Q5nuicH1TjL5xcwHWTd1wH/view?usp=drivesdk" TargetMode="External"/><Relationship Id="rId3635" Type="http://schemas.openxmlformats.org/officeDocument/2006/relationships/hyperlink" Target="https://drive.google.com/file/d/1Mytov7MOxY0c42KxLa-P6eoFiRReNIOV/view?usp=drivesdk" TargetMode="External"/><Relationship Id="rId4966" Type="http://schemas.openxmlformats.org/officeDocument/2006/relationships/hyperlink" Target="https://drive.google.com/file/d/13sQpy5uEomAVC9zoiULsGZc-kXE_vyNN/view?usp=drivesdk" TargetMode="External"/><Relationship Id="rId2306" Type="http://schemas.openxmlformats.org/officeDocument/2006/relationships/hyperlink" Target="https://drive.google.com/file/d/13hKkWcVYdTIf3aofAwaFDJmRkzcjjge4/view?usp=drivesdk" TargetMode="External"/><Relationship Id="rId3638" Type="http://schemas.openxmlformats.org/officeDocument/2006/relationships/hyperlink" Target="https://drive.google.com/file/d/1obexY1QgswhoKPHV3as6DD_BQUca4r_V/view?usp=drivesdk" TargetMode="External"/><Relationship Id="rId4969" Type="http://schemas.openxmlformats.org/officeDocument/2006/relationships/hyperlink" Target="https://drive.google.com/file/d/1L9QSQfPkc5xLdCGWsI5p4p5OltORY31r/view?usp=drivesdk" TargetMode="External"/><Relationship Id="rId2307" Type="http://schemas.openxmlformats.org/officeDocument/2006/relationships/hyperlink" Target="https://drive.google.com/file/d/1FkT2FWLZW0bgqx3FXruKuAKD6F2MBKOa/view?usp=drivesdk" TargetMode="External"/><Relationship Id="rId3637" Type="http://schemas.openxmlformats.org/officeDocument/2006/relationships/hyperlink" Target="https://drive.google.com/file/d/1untOxL0cbGWm6kW2BJSK2Es_MK26qpTt/view?usp=drivesdk" TargetMode="External"/><Relationship Id="rId4968" Type="http://schemas.openxmlformats.org/officeDocument/2006/relationships/hyperlink" Target="https://drive.google.com/file/d/18EfvBT1h5fs3EwOfoFV_CdsW3J0VQfH7/view?usp=drivesdk" TargetMode="External"/><Relationship Id="rId2308" Type="http://schemas.openxmlformats.org/officeDocument/2006/relationships/hyperlink" Target="https://drive.google.com/file/d/16laHxtjL2z23Rf6QfZH6KyIpMHqMSAP1/view?usp=drivesdk" TargetMode="External"/><Relationship Id="rId2309" Type="http://schemas.openxmlformats.org/officeDocument/2006/relationships/hyperlink" Target="https://drive.google.com/file/d/1njgrhYZexls7-FuqjAtldEdt69Odw5Zd/view?usp=drivesdk" TargetMode="External"/><Relationship Id="rId3639" Type="http://schemas.openxmlformats.org/officeDocument/2006/relationships/hyperlink" Target="https://drive.google.com/file/d/10aGUnPz4rlUGHy8diSsf0cPjm0J_WHQG/view?usp=drivesdk" TargetMode="External"/><Relationship Id="rId3630" Type="http://schemas.openxmlformats.org/officeDocument/2006/relationships/hyperlink" Target="https://drive.google.com/file/d/1u3OimnQQk1NfHy7F3F1_sP8M_8xF7Csy/view?usp=drivesdk" TargetMode="External"/><Relationship Id="rId4961" Type="http://schemas.openxmlformats.org/officeDocument/2006/relationships/hyperlink" Target="https://drive.google.com/file/d/1t6AqH0K_7_pfBk4ENXaLKNjqU0F8hT13/view?usp=drivesdk" TargetMode="External"/><Relationship Id="rId4960" Type="http://schemas.openxmlformats.org/officeDocument/2006/relationships/hyperlink" Target="https://drive.google.com/file/d/1qW4faMcHu2h_snMoGwj8MrEoUL9dpnNG/view?usp=drivesdk" TargetMode="External"/><Relationship Id="rId2300" Type="http://schemas.openxmlformats.org/officeDocument/2006/relationships/hyperlink" Target="https://drive.google.com/file/d/1YXZ3V-WRlJl6lwc3IC2nvu1K2KCKv5DY/view?usp=drivesdk" TargetMode="External"/><Relationship Id="rId3632" Type="http://schemas.openxmlformats.org/officeDocument/2006/relationships/hyperlink" Target="https://drive.google.com/file/d/1fSm_dOS8fBw5SfuJjUW6IMY9CBfsScRf/view?usp=drivesdk" TargetMode="External"/><Relationship Id="rId4963" Type="http://schemas.openxmlformats.org/officeDocument/2006/relationships/hyperlink" Target="https://drive.google.com/file/d/1htuktriK5fWSaBUnBFiPjY8wlIb-sLKW/view?usp=drivesdk" TargetMode="External"/><Relationship Id="rId2301" Type="http://schemas.openxmlformats.org/officeDocument/2006/relationships/hyperlink" Target="https://drive.google.com/file/d/1hUUS_dnwYNkzHS7kb7ket8xPj0aY9wf2/view?usp=drivesdk" TargetMode="External"/><Relationship Id="rId3631" Type="http://schemas.openxmlformats.org/officeDocument/2006/relationships/hyperlink" Target="https://drive.google.com/file/d/1lds4Fl8z4At_tQj71XYlWISrgv2LCFWo/view?usp=drivesdk" TargetMode="External"/><Relationship Id="rId4962" Type="http://schemas.openxmlformats.org/officeDocument/2006/relationships/hyperlink" Target="https://drive.google.com/file/d/1eErNg2GFt1yo03WnkgBAE9dLVxHKk4hR/view?usp=drivesdk" TargetMode="External"/><Relationship Id="rId3623" Type="http://schemas.openxmlformats.org/officeDocument/2006/relationships/hyperlink" Target="https://drive.google.com/file/d/1rUanjKIHLT97LAGhqJxTGnCL44zfJY_j/view?usp=drivesdk" TargetMode="External"/><Relationship Id="rId4954" Type="http://schemas.openxmlformats.org/officeDocument/2006/relationships/hyperlink" Target="https://drive.google.com/file/d/1Fz291mp_p-Qa452rFFMYbeY2gXGKCpwV/view?usp=drivesdk" TargetMode="External"/><Relationship Id="rId3622" Type="http://schemas.openxmlformats.org/officeDocument/2006/relationships/hyperlink" Target="https://drive.google.com/file/d/1lhFVgr9MdOYdiWDGByqo9NphYhE3a7zi/view?usp=drivesdk" TargetMode="External"/><Relationship Id="rId4953" Type="http://schemas.openxmlformats.org/officeDocument/2006/relationships/hyperlink" Target="https://drive.google.com/file/d/1flS_4_iFPHd0i8nsPszSW-tX7-QBq-lt/view?usp=drivesdk" TargetMode="External"/><Relationship Id="rId3625" Type="http://schemas.openxmlformats.org/officeDocument/2006/relationships/hyperlink" Target="https://drive.google.com/file/d/1hMLlfEPTCPob1CLzVLsgssjtSKYMV2EZ/view?usp=drivesdk" TargetMode="External"/><Relationship Id="rId4956" Type="http://schemas.openxmlformats.org/officeDocument/2006/relationships/hyperlink" Target="https://drive.google.com/file/d/1rVnl0_e5VURtuoR9FIFjKJ-UbOLdnwod/view?usp=drivesdk" TargetMode="External"/><Relationship Id="rId3624" Type="http://schemas.openxmlformats.org/officeDocument/2006/relationships/hyperlink" Target="https://drive.google.com/file/d/1_73SmCWfJHeCWtWZegbxiCWslsDCwZcw/view?usp=drivesdk" TargetMode="External"/><Relationship Id="rId4955" Type="http://schemas.openxmlformats.org/officeDocument/2006/relationships/hyperlink" Target="https://drive.google.com/file/d/1mhHUtTyr-rPJb458tLJ75ljKTbs56sAy/view?usp=drivesdk" TargetMode="External"/><Relationship Id="rId3627" Type="http://schemas.openxmlformats.org/officeDocument/2006/relationships/hyperlink" Target="https://drive.google.com/file/d/11Ve953w_DWEEXQUS3nb47FRmElm9cgB2/view?usp=drivesdk" TargetMode="External"/><Relationship Id="rId4958" Type="http://schemas.openxmlformats.org/officeDocument/2006/relationships/hyperlink" Target="https://drive.google.com/file/d/1-tXBJcFdbp5pSpCN-tkhysLkbUZ04h1y/view?usp=drivesdk" TargetMode="External"/><Relationship Id="rId3626" Type="http://schemas.openxmlformats.org/officeDocument/2006/relationships/hyperlink" Target="https://drive.google.com/file/d/1W-i1lPQkEse7JfeqIJP6AbNi2lrM4dPF/view?usp=drivesdk" TargetMode="External"/><Relationship Id="rId4957" Type="http://schemas.openxmlformats.org/officeDocument/2006/relationships/hyperlink" Target="https://drive.google.com/file/d/1nvIcrvk6EivhLOYJGJuNv_o-hNCEakzv/view?usp=drivesdk" TargetMode="External"/><Relationship Id="rId3629" Type="http://schemas.openxmlformats.org/officeDocument/2006/relationships/hyperlink" Target="https://drive.google.com/file/d/1g1H7qMRCO4_aERysKHON84YwT3l9dJY2/view?usp=drivesdk" TargetMode="External"/><Relationship Id="rId3628" Type="http://schemas.openxmlformats.org/officeDocument/2006/relationships/hyperlink" Target="https://drive.google.com/file/d/1qj6fewnMf8UUR2q5nZ2oDx5jATxBH-lj/view?usp=drivesdk" TargetMode="External"/><Relationship Id="rId4959" Type="http://schemas.openxmlformats.org/officeDocument/2006/relationships/hyperlink" Target="https://drive.google.com/file/d/1-SgjlxazB00ZiIzQmMondSkuZFZ4zjqv/view?usp=drivesdk" TargetMode="External"/><Relationship Id="rId4950" Type="http://schemas.openxmlformats.org/officeDocument/2006/relationships/hyperlink" Target="https://drive.google.com/file/d/1wvkVv86_uj1hcRBpBrzj0TlNsmZoMrRO/view?usp=drivesdk" TargetMode="External"/><Relationship Id="rId3621" Type="http://schemas.openxmlformats.org/officeDocument/2006/relationships/hyperlink" Target="https://drive.google.com/file/d/1YEl7NxmuFXB-6-M3Mrv6KqhtlfUgT4es/view?usp=drivesdk" TargetMode="External"/><Relationship Id="rId4952" Type="http://schemas.openxmlformats.org/officeDocument/2006/relationships/hyperlink" Target="https://drive.google.com/file/d/1ZU5Ac3usFzSvq7AfC3p-ArwZuvNCkL70/view?usp=drivesdk" TargetMode="External"/><Relationship Id="rId3620" Type="http://schemas.openxmlformats.org/officeDocument/2006/relationships/hyperlink" Target="https://drive.google.com/file/d/12FwVCFzs1cn1CcZVxYxY5uCcLAiBQkFF/view?usp=drivesdk" TargetMode="External"/><Relationship Id="rId4951" Type="http://schemas.openxmlformats.org/officeDocument/2006/relationships/hyperlink" Target="https://drive.google.com/file/d/1oC_39qWsacumeTOBuEp5tjAO_KXkc0PB/view?usp=drivesdk" TargetMode="External"/><Relationship Id="rId2324" Type="http://schemas.openxmlformats.org/officeDocument/2006/relationships/hyperlink" Target="https://drive.google.com/file/d/1fVeu2yAAAAOGYND61i9TE8JjkdPj1n1w/view?usp=drivesdk" TargetMode="External"/><Relationship Id="rId3656" Type="http://schemas.openxmlformats.org/officeDocument/2006/relationships/hyperlink" Target="https://drive.google.com/file/d/1KeGUxtdR4UmfTH3wYhGYvT8mUK0EkJiu/view?usp=drivesdk" TargetMode="External"/><Relationship Id="rId4987" Type="http://schemas.openxmlformats.org/officeDocument/2006/relationships/hyperlink" Target="https://drive.google.com/file/d/1NYvaSVdVQcOFA11oDcff_bwUhg3PUiJH/view?usp=drivesdk" TargetMode="External"/><Relationship Id="rId2325" Type="http://schemas.openxmlformats.org/officeDocument/2006/relationships/hyperlink" Target="https://drive.google.com/file/d/1ClalImkDus734XkjqS7FQVImznIcrRMi/view?usp=drivesdk" TargetMode="External"/><Relationship Id="rId3655" Type="http://schemas.openxmlformats.org/officeDocument/2006/relationships/hyperlink" Target="https://drive.google.com/file/d/16KVzz421xMPO2abqYHe3vp2l_fwNpMug/view?usp=drivesdk" TargetMode="External"/><Relationship Id="rId4986" Type="http://schemas.openxmlformats.org/officeDocument/2006/relationships/hyperlink" Target="https://drive.google.com/file/d/1YrwdKI8JOiST4aKmZ1J5a6eHLlqtKcxs/view?usp=drivesdk" TargetMode="External"/><Relationship Id="rId2326" Type="http://schemas.openxmlformats.org/officeDocument/2006/relationships/hyperlink" Target="https://drive.google.com/file/d/1r66xRglbEpkiwwFcw-3rl7bZmQpFDOv_/view?usp=drivesdk" TargetMode="External"/><Relationship Id="rId3658" Type="http://schemas.openxmlformats.org/officeDocument/2006/relationships/hyperlink" Target="https://drive.google.com/file/d/16HYCjwbZY23a4ROtkRsNCQagspwvpHt8/view?usp=drivesdk" TargetMode="External"/><Relationship Id="rId4989" Type="http://schemas.openxmlformats.org/officeDocument/2006/relationships/hyperlink" Target="https://drive.google.com/file/d/1RKVoDQZGLDzfJDTCX1HItVAcsFqaXHTk/view?usp=drivesdk" TargetMode="External"/><Relationship Id="rId2327" Type="http://schemas.openxmlformats.org/officeDocument/2006/relationships/hyperlink" Target="https://drive.google.com/file/d/1w3N9C853EklUwDvisevRIBQDFNR_3rHz/view?usp=drivesdk" TargetMode="External"/><Relationship Id="rId3657" Type="http://schemas.openxmlformats.org/officeDocument/2006/relationships/hyperlink" Target="https://drive.google.com/file/d/1Wqi1dm3ztuBRSrlLIBtN-D2ElMBzxwCx/view?usp=drivesdk" TargetMode="External"/><Relationship Id="rId4988" Type="http://schemas.openxmlformats.org/officeDocument/2006/relationships/hyperlink" Target="https://drive.google.com/file/d/1owKsAVFrhhoQ7Z5HbgWzoRzMpKjpQ0C-/view?usp=drivesdk" TargetMode="External"/><Relationship Id="rId2328" Type="http://schemas.openxmlformats.org/officeDocument/2006/relationships/hyperlink" Target="https://drive.google.com/file/d/1IyLk60eAUV3oSnyyj5zwZLE_AeDTGCdg/view?usp=drivesdk" TargetMode="External"/><Relationship Id="rId2329" Type="http://schemas.openxmlformats.org/officeDocument/2006/relationships/hyperlink" Target="https://drive.google.com/file/d/1Wiam79_l_-Bs0XQz080DcDbJuw09rh11/view?usp=drivesdk" TargetMode="External"/><Relationship Id="rId3659" Type="http://schemas.openxmlformats.org/officeDocument/2006/relationships/hyperlink" Target="https://drive.google.com/file/d/1AsyDKSQyTk1HL0z73V1DhTG75ugelPlU/view?usp=drivesdk" TargetMode="External"/><Relationship Id="rId3650" Type="http://schemas.openxmlformats.org/officeDocument/2006/relationships/hyperlink" Target="https://drive.google.com/file/d/1shA6ZRD8bHEen8FzLrpHl37y9tj4C-lE/view?usp=drivesdk" TargetMode="External"/><Relationship Id="rId4981" Type="http://schemas.openxmlformats.org/officeDocument/2006/relationships/hyperlink" Target="https://drive.google.com/file/d/1TQBuMXRoqgL7X2KDxDRYKM-T0DaOyosD/view?usp=drivesdk" TargetMode="External"/><Relationship Id="rId4980" Type="http://schemas.openxmlformats.org/officeDocument/2006/relationships/hyperlink" Target="https://drive.google.com/file/d/1p8XhKM92up72GTK2BTRXZyietAeF_6-X/view?usp=drivesdk" TargetMode="External"/><Relationship Id="rId2320" Type="http://schemas.openxmlformats.org/officeDocument/2006/relationships/hyperlink" Target="https://drive.google.com/file/d/1gWdDjfmahYjjAgAGoiS5xqyIXDmxEeS_/view?usp=drivesdk" TargetMode="External"/><Relationship Id="rId3652" Type="http://schemas.openxmlformats.org/officeDocument/2006/relationships/hyperlink" Target="https://drive.google.com/file/d/1uP-Sq5OK_5XgzYlf9ordWFmvaauSMvpg/view?usp=drivesdk" TargetMode="External"/><Relationship Id="rId4983" Type="http://schemas.openxmlformats.org/officeDocument/2006/relationships/hyperlink" Target="https://drive.google.com/file/d/1uBGcwRI1SJ9HU7V4toyv_MOEpLc0mo7Z/view?usp=drivesdk" TargetMode="External"/><Relationship Id="rId2321" Type="http://schemas.openxmlformats.org/officeDocument/2006/relationships/hyperlink" Target="https://drive.google.com/file/d/15mqZxFSg9JkRMg7nqpskROi1O5Fv6uG2/view?usp=drivesdk" TargetMode="External"/><Relationship Id="rId3651" Type="http://schemas.openxmlformats.org/officeDocument/2006/relationships/hyperlink" Target="https://drive.google.com/file/d/1fdmaVLwyRuBdz_cD-xH3XQ4MhQIORTPy/view?usp=drivesdk" TargetMode="External"/><Relationship Id="rId4982" Type="http://schemas.openxmlformats.org/officeDocument/2006/relationships/hyperlink" Target="https://drive.google.com/file/d/1MOCh1awUmwigwgqrt20goYhc3PnenY-v/view?usp=drivesdk" TargetMode="External"/><Relationship Id="rId2322" Type="http://schemas.openxmlformats.org/officeDocument/2006/relationships/hyperlink" Target="https://drive.google.com/file/d/12DXT-ThPyzBfjJHmkLBzjlp3CW1axcQz/view?usp=drivesdk" TargetMode="External"/><Relationship Id="rId3654" Type="http://schemas.openxmlformats.org/officeDocument/2006/relationships/hyperlink" Target="https://drive.google.com/file/d/13YpMz--PimRfc1J-T6h1Or9ACcACPo7n/view?usp=drivesdk" TargetMode="External"/><Relationship Id="rId4985" Type="http://schemas.openxmlformats.org/officeDocument/2006/relationships/hyperlink" Target="https://drive.google.com/file/d/1PbXSo_a1RyKr8ns7Y1DM0E4-SMxjhI9q/view?usp=drivesdk" TargetMode="External"/><Relationship Id="rId2323" Type="http://schemas.openxmlformats.org/officeDocument/2006/relationships/hyperlink" Target="https://drive.google.com/file/d/13zexq89dU7yMVSAVDqIlndkqEy0kmfaA/view?usp=drivesdk" TargetMode="External"/><Relationship Id="rId3653" Type="http://schemas.openxmlformats.org/officeDocument/2006/relationships/hyperlink" Target="https://drive.google.com/file/d/1YPHdwU_Zy7D2ddCV80tBcvxiW8826ufT/view?usp=drivesdk" TargetMode="External"/><Relationship Id="rId4984" Type="http://schemas.openxmlformats.org/officeDocument/2006/relationships/hyperlink" Target="https://drive.google.com/file/d/1wbWI_LBTkzxl2jXybzS9_7RH4l3o1RqA/view?usp=drivesdk" TargetMode="External"/><Relationship Id="rId2313" Type="http://schemas.openxmlformats.org/officeDocument/2006/relationships/hyperlink" Target="https://drive.google.com/file/d/1IElJm6c1k7RQK1J_aGQAz0BqiSzmjYYc/view?usp=drivesdk" TargetMode="External"/><Relationship Id="rId3645" Type="http://schemas.openxmlformats.org/officeDocument/2006/relationships/hyperlink" Target="https://drive.google.com/file/d/1_GARksB0OwfuZRUk1EenXWIdSvL3480e/view?usp=drivesdk" TargetMode="External"/><Relationship Id="rId4976" Type="http://schemas.openxmlformats.org/officeDocument/2006/relationships/hyperlink" Target="https://drive.google.com/file/d/15DPP-2TbPMY1_wAtyrirk46ONe70ImJJ/view?usp=drivesdk" TargetMode="External"/><Relationship Id="rId2314" Type="http://schemas.openxmlformats.org/officeDocument/2006/relationships/hyperlink" Target="https://drive.google.com/file/d/1H2TXIVFbzy4B3DE6Pb1H3sJ3t_wbYVIW/view?usp=drivesdk" TargetMode="External"/><Relationship Id="rId3644" Type="http://schemas.openxmlformats.org/officeDocument/2006/relationships/hyperlink" Target="https://drive.google.com/file/d/1dllDmfA2iA1YckQEyCpgXHuX7shDUrdS/view?usp=drivesdk" TargetMode="External"/><Relationship Id="rId4975" Type="http://schemas.openxmlformats.org/officeDocument/2006/relationships/hyperlink" Target="https://drive.google.com/file/d/129QUtW896vKS9MqGT-bfkJB_1gc6o_mx/view?usp=drivesdk" TargetMode="External"/><Relationship Id="rId2315" Type="http://schemas.openxmlformats.org/officeDocument/2006/relationships/hyperlink" Target="https://drive.google.com/file/d/1rnqSZQ18H9wJL8pMyqV2AKqMXVHGqZQI/view?usp=drivesdk" TargetMode="External"/><Relationship Id="rId3647" Type="http://schemas.openxmlformats.org/officeDocument/2006/relationships/hyperlink" Target="https://drive.google.com/file/d/1QBMsNyOZi4G4q0xd7jNMxFBaHJwPz-2V/view?usp=drivesdk" TargetMode="External"/><Relationship Id="rId4978" Type="http://schemas.openxmlformats.org/officeDocument/2006/relationships/hyperlink" Target="https://drive.google.com/file/d/1-and4ZDjNz8G4orCCcGLXpneCxBaTVfa/view?usp=drivesdk" TargetMode="External"/><Relationship Id="rId2316" Type="http://schemas.openxmlformats.org/officeDocument/2006/relationships/hyperlink" Target="https://drive.google.com/file/d/1FM9CzcGzoCssJRNeGWk3Wvr7PmDLFXL-/view?usp=drivesdk" TargetMode="External"/><Relationship Id="rId3646" Type="http://schemas.openxmlformats.org/officeDocument/2006/relationships/hyperlink" Target="https://drive.google.com/file/d/11qPw6jWk3PSCuWRhFFBRtcrTy2iec3Kn/view?usp=drivesdk" TargetMode="External"/><Relationship Id="rId4977" Type="http://schemas.openxmlformats.org/officeDocument/2006/relationships/hyperlink" Target="https://drive.google.com/file/d/1kijygPCMLduEUNcSNqC0h1VPBFQL1Gjp/view?usp=drivesdk" TargetMode="External"/><Relationship Id="rId2317" Type="http://schemas.openxmlformats.org/officeDocument/2006/relationships/hyperlink" Target="https://drive.google.com/file/d/180ZWproIWQUc2ePmDolVT1L1thwxErk3/view?usp=drivesdk" TargetMode="External"/><Relationship Id="rId3649" Type="http://schemas.openxmlformats.org/officeDocument/2006/relationships/hyperlink" Target="https://drive.google.com/file/d/14ABLWxlnDt2jaWyL0czQT6WXv8zReUXu/view?usp=drivesdk" TargetMode="External"/><Relationship Id="rId2318" Type="http://schemas.openxmlformats.org/officeDocument/2006/relationships/hyperlink" Target="https://drive.google.com/file/d/1b5wHDij2mDGKg8SEAGB7vlld0v5ObGGX/view?usp=drivesdk" TargetMode="External"/><Relationship Id="rId3648" Type="http://schemas.openxmlformats.org/officeDocument/2006/relationships/hyperlink" Target="https://drive.google.com/file/d/11zanViVhWwqgdhc3TiDlHx01GyTTOwPy/view?usp=drivesdk" TargetMode="External"/><Relationship Id="rId4979" Type="http://schemas.openxmlformats.org/officeDocument/2006/relationships/hyperlink" Target="https://drive.google.com/file/d/11cXgifcW2_1ULlicJIaQk2oTFzx1qIYx/view?usp=drivesdk" TargetMode="External"/><Relationship Id="rId2319" Type="http://schemas.openxmlformats.org/officeDocument/2006/relationships/hyperlink" Target="https://drive.google.com/file/d/1PXeWho8I4ZcXktuK6jEw-IRpUMdF5s4B/view?usp=drivesdk" TargetMode="External"/><Relationship Id="rId4970" Type="http://schemas.openxmlformats.org/officeDocument/2006/relationships/hyperlink" Target="https://drive.google.com/file/d/1bVSNtl1TCvTCkwK0j84jWQrNJKD-UHFJ/view?usp=drivesdk" TargetMode="External"/><Relationship Id="rId3641" Type="http://schemas.openxmlformats.org/officeDocument/2006/relationships/hyperlink" Target="https://drive.google.com/file/d/1QkLMdeVGxU0ug_4EaHTjkUeEfPQZ39Sm/view?usp=drivesdk" TargetMode="External"/><Relationship Id="rId4972" Type="http://schemas.openxmlformats.org/officeDocument/2006/relationships/hyperlink" Target="https://drive.google.com/file/d/1e3mq-r7zcOamwMe9I77Kgt6BqkOTA49A/view?usp=drivesdk" TargetMode="External"/><Relationship Id="rId2310" Type="http://schemas.openxmlformats.org/officeDocument/2006/relationships/hyperlink" Target="https://drive.google.com/file/d/19sAzDCu9r2rQeNveGg9Kv_a9ntQERAOq/view?usp=drivesdk" TargetMode="External"/><Relationship Id="rId3640" Type="http://schemas.openxmlformats.org/officeDocument/2006/relationships/hyperlink" Target="https://drive.google.com/file/d/1rd4W2soXXm6UyMrMl_F1pU2Bb0OARxaQ/view?usp=drivesdk" TargetMode="External"/><Relationship Id="rId4971" Type="http://schemas.openxmlformats.org/officeDocument/2006/relationships/hyperlink" Target="https://drive.google.com/file/d/1ylkrYhrD6TF5UYs8h0-TjOty6ri_FiBm/view?usp=drivesdk" TargetMode="External"/><Relationship Id="rId2311" Type="http://schemas.openxmlformats.org/officeDocument/2006/relationships/hyperlink" Target="https://drive.google.com/file/d/11SLUMT4oGw07k6kWiP5aHbeQ0kKaU0za/view?usp=drivesdk" TargetMode="External"/><Relationship Id="rId3643" Type="http://schemas.openxmlformats.org/officeDocument/2006/relationships/hyperlink" Target="https://drive.google.com/file/d/1NxVXqFGg7wLn9rPd4NAOfzBZ8m2Rnk_4/view?usp=drivesdk" TargetMode="External"/><Relationship Id="rId4974" Type="http://schemas.openxmlformats.org/officeDocument/2006/relationships/hyperlink" Target="https://drive.google.com/file/d/1qflcZnNALHnsxXezS33X5SVcatIAB1XI/view?usp=drivesdk" TargetMode="External"/><Relationship Id="rId2312" Type="http://schemas.openxmlformats.org/officeDocument/2006/relationships/hyperlink" Target="https://drive.google.com/file/d/1ko1-RRD5qRduTilWJhnjaYe1W5c7xatm/view?usp=drivesdk" TargetMode="External"/><Relationship Id="rId3642" Type="http://schemas.openxmlformats.org/officeDocument/2006/relationships/hyperlink" Target="https://drive.google.com/file/d/1TcT5ETU1Q1u-aknfO6DweI99dU1LlNIz/view?usp=drivesdk" TargetMode="External"/><Relationship Id="rId4973" Type="http://schemas.openxmlformats.org/officeDocument/2006/relationships/hyperlink" Target="https://drive.google.com/file/d/1ooVcW-0O2a14AcEprMbOA9jPdndjbK19/view?usp=drivesdk" TargetMode="External"/><Relationship Id="rId1895" Type="http://schemas.openxmlformats.org/officeDocument/2006/relationships/hyperlink" Target="https://drive.google.com/file/d/1b5Pjw5sSce29igsgYCm7DE952S159dTB/view?usp=drivesdk" TargetMode="External"/><Relationship Id="rId4921" Type="http://schemas.openxmlformats.org/officeDocument/2006/relationships/hyperlink" Target="https://drive.google.com/file/d/1WqUuhX1WgNe4cYYmkqzlZ6PiSuIXXXkn/view?usp=drivesdk" TargetMode="External"/><Relationship Id="rId1896" Type="http://schemas.openxmlformats.org/officeDocument/2006/relationships/hyperlink" Target="https://drive.google.com/file/d/13KECynzU6kEuyD7egBSYvKfkQcxMbfB-/view?usp=drivesdk" TargetMode="External"/><Relationship Id="rId4920" Type="http://schemas.openxmlformats.org/officeDocument/2006/relationships/hyperlink" Target="https://drive.google.com/file/d/1YWa3cS9LRMeX2d52VSaSx09BhLgp4hxl/view?usp=drivesdk" TargetMode="External"/><Relationship Id="rId1897" Type="http://schemas.openxmlformats.org/officeDocument/2006/relationships/hyperlink" Target="https://drive.google.com/file/d/1gubal5UvdjMqC8v2aOrfWU_gFrS1VZD5/view?usp=drivesdk" TargetMode="External"/><Relationship Id="rId4923" Type="http://schemas.openxmlformats.org/officeDocument/2006/relationships/hyperlink" Target="https://drive.google.com/file/d/1DPgCPeRXX13LLZtTsq7UZ7WWabvwfBgI/view?usp=drivesdk" TargetMode="External"/><Relationship Id="rId1898" Type="http://schemas.openxmlformats.org/officeDocument/2006/relationships/hyperlink" Target="https://drive.google.com/file/d/1-xG6FWIQB2Jj_Wt2a-ChrDN9vWSCl6xf/view?usp=drivesdk" TargetMode="External"/><Relationship Id="rId4922" Type="http://schemas.openxmlformats.org/officeDocument/2006/relationships/hyperlink" Target="https://drive.google.com/file/d/1YL72Q0plVlWvMpRwHju0PyZ6C6T-iDgJ/view?usp=drivesdk" TargetMode="External"/><Relationship Id="rId1899" Type="http://schemas.openxmlformats.org/officeDocument/2006/relationships/hyperlink" Target="https://drive.google.com/file/d/1COtwe6Rs4Ky7viyM-dUWdv2nj5wVJAZf/view?usp=drivesdk" TargetMode="External"/><Relationship Id="rId4925" Type="http://schemas.openxmlformats.org/officeDocument/2006/relationships/hyperlink" Target="https://drive.google.com/file/d/18hKR3ypIi2Me1uT9ETZxXz1MxbdKIrB0/view?usp=drivesdk" TargetMode="External"/><Relationship Id="rId4924" Type="http://schemas.openxmlformats.org/officeDocument/2006/relationships/hyperlink" Target="https://drive.google.com/file/d/1Ta94GLm5-eBsVa25BpdrQZ6iuDkWrWEH/view?usp=drivesdk" TargetMode="External"/><Relationship Id="rId4927" Type="http://schemas.openxmlformats.org/officeDocument/2006/relationships/hyperlink" Target="https://drive.google.com/file/d/1zF6EQkLKrfQNYJpJJV48LY5Emj-Lzf0p/view?usp=drivesdk" TargetMode="External"/><Relationship Id="rId4926" Type="http://schemas.openxmlformats.org/officeDocument/2006/relationships/hyperlink" Target="https://drive.google.com/file/d/1BAhPpPFoHvH0bKgiXXtKdxGnCDYcHn70/view?usp=drivesdk" TargetMode="External"/><Relationship Id="rId4929" Type="http://schemas.openxmlformats.org/officeDocument/2006/relationships/hyperlink" Target="https://drive.google.com/file/d/1m_J6hvEnNyy_Vmoj1JCIE9ypkHzTc_Cu/view?usp=drivesdk" TargetMode="External"/><Relationship Id="rId4928" Type="http://schemas.openxmlformats.org/officeDocument/2006/relationships/hyperlink" Target="https://drive.google.com/file/d/1h2ztcdU9LFyDDsY-47Tw6MeoPR5UTM6_/view?usp=drivesdk" TargetMode="External"/><Relationship Id="rId1890" Type="http://schemas.openxmlformats.org/officeDocument/2006/relationships/hyperlink" Target="https://drive.google.com/file/d/19ii5Mj3Y7uEHyElziM0oX24PUlNlkxsS/view?usp=drivesdk" TargetMode="External"/><Relationship Id="rId1891" Type="http://schemas.openxmlformats.org/officeDocument/2006/relationships/hyperlink" Target="https://drive.google.com/file/d/1tcKgT-83JWHSCXuMQc6QKkybrQEzaVVp/view?usp=drivesdk" TargetMode="External"/><Relationship Id="rId1892" Type="http://schemas.openxmlformats.org/officeDocument/2006/relationships/hyperlink" Target="https://drive.google.com/file/d/1RiPcNUJU0kcNcfxnSmso6QBqJJSFuFiZ/view?usp=drivesdk" TargetMode="External"/><Relationship Id="rId1893" Type="http://schemas.openxmlformats.org/officeDocument/2006/relationships/hyperlink" Target="https://drive.google.com/file/d/1xvrIQpdWeDvVJghIucIK4ijKifRw3gVF/view?usp=drivesdk" TargetMode="External"/><Relationship Id="rId1894" Type="http://schemas.openxmlformats.org/officeDocument/2006/relationships/hyperlink" Target="https://drive.google.com/file/d/13ldLGylzb34bx_fsGG_SGr6rXny1HIcn/view?usp=drivesdk" TargetMode="External"/><Relationship Id="rId1884" Type="http://schemas.openxmlformats.org/officeDocument/2006/relationships/hyperlink" Target="https://drive.google.com/file/d/1x_pLJrgOP3rMnHc2p208J4SAETmcpdho/view?usp=drivesdk" TargetMode="External"/><Relationship Id="rId4910" Type="http://schemas.openxmlformats.org/officeDocument/2006/relationships/hyperlink" Target="https://drive.google.com/file/d/1p6BNFBDmQZD3Ch_IP5DbCfC08T5HQEFo/view?usp=drivesdk" TargetMode="External"/><Relationship Id="rId1885" Type="http://schemas.openxmlformats.org/officeDocument/2006/relationships/hyperlink" Target="https://drive.google.com/file/d/1Rdm-jYZWRGEeoiAwY2wClJWaZiPumJ80/view?usp=drivesdk" TargetMode="External"/><Relationship Id="rId1886" Type="http://schemas.openxmlformats.org/officeDocument/2006/relationships/hyperlink" Target="https://drive.google.com/file/d/13oxeWjrDQVlR-oQYc0ISBibG3lR5_Ifg/view?usp=drivesdk" TargetMode="External"/><Relationship Id="rId4912" Type="http://schemas.openxmlformats.org/officeDocument/2006/relationships/hyperlink" Target="https://drive.google.com/file/d/14GaYJFtUpWU6Ohel6LQ4NR0X8RA1I9ce/view?usp=drivesdk" TargetMode="External"/><Relationship Id="rId1887" Type="http://schemas.openxmlformats.org/officeDocument/2006/relationships/hyperlink" Target="https://drive.google.com/file/d/1pv9SQeamzsvBUQumJ0hsxRyCXprVQ_E2/view?usp=drivesdk" TargetMode="External"/><Relationship Id="rId4911" Type="http://schemas.openxmlformats.org/officeDocument/2006/relationships/hyperlink" Target="https://drive.google.com/file/d/1hwwlhwHqoMbX4-_QKO38xkbSgo4hqT-X/view?usp=drivesdk" TargetMode="External"/><Relationship Id="rId1888" Type="http://schemas.openxmlformats.org/officeDocument/2006/relationships/hyperlink" Target="https://drive.google.com/file/d/16KziFZCfrDLNfPUlbnawdl2BBVWU_7Ly/view?usp=drivesdk" TargetMode="External"/><Relationship Id="rId4914" Type="http://schemas.openxmlformats.org/officeDocument/2006/relationships/hyperlink" Target="https://drive.google.com/file/d/1ztg5SeFkGGx6y4e6zm9GkUPP-h9FjtSQ/view?usp=drivesdk" TargetMode="External"/><Relationship Id="rId1889" Type="http://schemas.openxmlformats.org/officeDocument/2006/relationships/hyperlink" Target="https://drive.google.com/file/d/12fKyGmmpt7Vyo1HHg1QsC6xZFODUttBp/view?usp=drivesdk" TargetMode="External"/><Relationship Id="rId4913" Type="http://schemas.openxmlformats.org/officeDocument/2006/relationships/hyperlink" Target="https://drive.google.com/file/d/1ZEcn44LCLs2j979OKHJrhjEaAjHguvhc/view?usp=drivesdk" TargetMode="External"/><Relationship Id="rId4916" Type="http://schemas.openxmlformats.org/officeDocument/2006/relationships/hyperlink" Target="https://drive.google.com/file/d/1yd_WFtHvg0dftshbzLM2fhvYbjdfrfOW/view?usp=drivesdk" TargetMode="External"/><Relationship Id="rId4915" Type="http://schemas.openxmlformats.org/officeDocument/2006/relationships/hyperlink" Target="https://drive.google.com/file/d/1WiQjYaJhytXz-KMj59jVA_ocymRN94sM/view?usp=drivesdk" TargetMode="External"/><Relationship Id="rId4918" Type="http://schemas.openxmlformats.org/officeDocument/2006/relationships/hyperlink" Target="https://drive.google.com/file/d/1KLj4o_Z3wQTbmdSxBIlTkj3jX1lzSPIZ/view?usp=drivesdk" TargetMode="External"/><Relationship Id="rId4917" Type="http://schemas.openxmlformats.org/officeDocument/2006/relationships/hyperlink" Target="https://drive.google.com/file/d/1p_YV0rZGSqo9q8qc_L11wF6SO7fi773y/view?usp=drivesdk" TargetMode="External"/><Relationship Id="rId4919" Type="http://schemas.openxmlformats.org/officeDocument/2006/relationships/hyperlink" Target="https://drive.google.com/file/d/1lgG_AXZKavdWm_WOL2ezsgJGrsT-HFYK/view?usp=drivesdk" TargetMode="External"/><Relationship Id="rId1880" Type="http://schemas.openxmlformats.org/officeDocument/2006/relationships/hyperlink" Target="https://drive.google.com/file/d/1lx-CY2yr2KOZ04JH3_sAt5B-I0VSuLif/view?usp=drivesdk" TargetMode="External"/><Relationship Id="rId1881" Type="http://schemas.openxmlformats.org/officeDocument/2006/relationships/hyperlink" Target="https://drive.google.com/file/d/11IbzK4SAckXGV4meeww7oEogRlY61eUJ/view?usp=drivesdk" TargetMode="External"/><Relationship Id="rId1882" Type="http://schemas.openxmlformats.org/officeDocument/2006/relationships/hyperlink" Target="https://drive.google.com/file/d/1iLTRCue-EPEYdAjKlUdDrGIZrhtvj2wZ/view?usp=drivesdk" TargetMode="External"/><Relationship Id="rId1883" Type="http://schemas.openxmlformats.org/officeDocument/2006/relationships/hyperlink" Target="https://drive.google.com/file/d/1_x49a0-qcVFaCp3M1CFK1qAr3cRzpvCh/view?usp=drivesdk" TargetMode="External"/><Relationship Id="rId3612" Type="http://schemas.openxmlformats.org/officeDocument/2006/relationships/hyperlink" Target="https://drive.google.com/file/d/19C_mUBQeIpp-8J43MaD7gHLx7HARecGC/view?usp=drivesdk" TargetMode="External"/><Relationship Id="rId4943" Type="http://schemas.openxmlformats.org/officeDocument/2006/relationships/hyperlink" Target="https://drive.google.com/file/d/131whlcqbaxVq-DckFFYl2Wz6omsO7rho/view?usp=drivesdk" TargetMode="External"/><Relationship Id="rId3611" Type="http://schemas.openxmlformats.org/officeDocument/2006/relationships/hyperlink" Target="https://drive.google.com/file/d/1Wj3soPGgpH-e1B2-6afn3WqTBByuKbiS/view?usp=drivesdk" TargetMode="External"/><Relationship Id="rId4942" Type="http://schemas.openxmlformats.org/officeDocument/2006/relationships/hyperlink" Target="https://drive.google.com/file/d/1qwuw5xVTFWroFOm6z7rwD_EtsyuZsHJs/view?usp=drivesdk" TargetMode="External"/><Relationship Id="rId3614" Type="http://schemas.openxmlformats.org/officeDocument/2006/relationships/hyperlink" Target="https://drive.google.com/file/d/16aVNOEtvvdmyTTGy0CXaF1wxG4WOsXj0/view?usp=drivesdk" TargetMode="External"/><Relationship Id="rId4945" Type="http://schemas.openxmlformats.org/officeDocument/2006/relationships/hyperlink" Target="https://drive.google.com/file/d/1fyPTnWaXhdLCMwfTjMbRzk6oRrtA57OT/view?usp=drivesdk" TargetMode="External"/><Relationship Id="rId3613" Type="http://schemas.openxmlformats.org/officeDocument/2006/relationships/hyperlink" Target="https://drive.google.com/file/d/19mbWI002rWrgC1kDFRMkUVUGqalOWffD/view?usp=drivesdk" TargetMode="External"/><Relationship Id="rId4944" Type="http://schemas.openxmlformats.org/officeDocument/2006/relationships/hyperlink" Target="https://drive.google.com/file/d/10mI0B12Xd-tTzRJ7XbR-wKvFegUWBM0-/view?usp=drivesdk" TargetMode="External"/><Relationship Id="rId3616" Type="http://schemas.openxmlformats.org/officeDocument/2006/relationships/hyperlink" Target="https://drive.google.com/file/d/1l5eWokYygq0CZKsxUUqwa1RkhSDVYhPf/view?usp=drivesdk" TargetMode="External"/><Relationship Id="rId4947" Type="http://schemas.openxmlformats.org/officeDocument/2006/relationships/hyperlink" Target="https://drive.google.com/file/d/1PPOmTyo-O6mKUt4HD3KxE8PKxbDAHYPq/view?usp=drivesdk" TargetMode="External"/><Relationship Id="rId3615" Type="http://schemas.openxmlformats.org/officeDocument/2006/relationships/hyperlink" Target="https://drive.google.com/file/d/1HRALv3jcAF2TVj4j-wqhsfE6UvCySfAU/view?usp=drivesdk" TargetMode="External"/><Relationship Id="rId4946" Type="http://schemas.openxmlformats.org/officeDocument/2006/relationships/hyperlink" Target="https://drive.google.com/file/d/1ewl8E268zVXttUJlnlJrh6Vx8CdAGn_Q/view?usp=drivesdk" TargetMode="External"/><Relationship Id="rId3618" Type="http://schemas.openxmlformats.org/officeDocument/2006/relationships/hyperlink" Target="https://drive.google.com/file/d/1111gUecBGNgUyCSDKchmUKB6ACwGXkuK/view?usp=drivesdk" TargetMode="External"/><Relationship Id="rId4949" Type="http://schemas.openxmlformats.org/officeDocument/2006/relationships/hyperlink" Target="https://drive.google.com/file/d/10qrfSI6el5Rp2NClK8mQRBN2-92NFPzA/view?usp=drivesdk" TargetMode="External"/><Relationship Id="rId3617" Type="http://schemas.openxmlformats.org/officeDocument/2006/relationships/hyperlink" Target="https://drive.google.com/file/d/17ps20HEDG2JgxMxlQmL2FIaK9oU1siCB/view?usp=drivesdk" TargetMode="External"/><Relationship Id="rId4948" Type="http://schemas.openxmlformats.org/officeDocument/2006/relationships/hyperlink" Target="https://drive.google.com/file/d/1_79nuBkjh_-Hr5hGNg-nW6ppe5rwzXkg/view?usp=drivesdk" TargetMode="External"/><Relationship Id="rId3619" Type="http://schemas.openxmlformats.org/officeDocument/2006/relationships/hyperlink" Target="https://drive.google.com/file/d/1-Di5ZNNkogqc4yoAruFnlPNYwUTRZRBe/view?usp=drivesdk" TargetMode="External"/><Relationship Id="rId3610" Type="http://schemas.openxmlformats.org/officeDocument/2006/relationships/hyperlink" Target="https://drive.google.com/file/d/1PptNKRWKer_6EJLANZZbpkM0f1b3oeeE/view?usp=drivesdk" TargetMode="External"/><Relationship Id="rId4941" Type="http://schemas.openxmlformats.org/officeDocument/2006/relationships/hyperlink" Target="https://drive.google.com/file/d/1YDw7TitptcQNDkeNTifQmaUuZ4bxF60P/view?usp=drivesdk" TargetMode="External"/><Relationship Id="rId4940" Type="http://schemas.openxmlformats.org/officeDocument/2006/relationships/hyperlink" Target="https://drive.google.com/file/d/1X4eCjXNxi_PRagEPB0DGLw0wKxYSxcKU/view?usp=drivesdk" TargetMode="External"/><Relationship Id="rId3601" Type="http://schemas.openxmlformats.org/officeDocument/2006/relationships/hyperlink" Target="https://drive.google.com/file/d/1UySNW3AFeWNlptzJ94agfRCUCOIZBG-N/view?usp=drivesdk" TargetMode="External"/><Relationship Id="rId4932" Type="http://schemas.openxmlformats.org/officeDocument/2006/relationships/hyperlink" Target="https://drive.google.com/file/d/1zVVmKF1graXaMaSx7Hwj3xgeZcJz6VfA/view?usp=drivesdk" TargetMode="External"/><Relationship Id="rId3600" Type="http://schemas.openxmlformats.org/officeDocument/2006/relationships/hyperlink" Target="https://drive.google.com/file/d/1IHcRgIR-GOgUYczNWFUwODI1sYmv_GAM/view?usp=drivesdk" TargetMode="External"/><Relationship Id="rId4931" Type="http://schemas.openxmlformats.org/officeDocument/2006/relationships/hyperlink" Target="https://drive.google.com/file/d/1LDy6-ajiDh5gV4kb2slB7hnyPEhiT9te/view?usp=drivesdk" TargetMode="External"/><Relationship Id="rId3603" Type="http://schemas.openxmlformats.org/officeDocument/2006/relationships/hyperlink" Target="https://drive.google.com/file/d/1AQhR4NkzYwZc8oJPCtn6SWir4hAzsDVr/view?usp=drivesdk" TargetMode="External"/><Relationship Id="rId4934" Type="http://schemas.openxmlformats.org/officeDocument/2006/relationships/hyperlink" Target="https://drive.google.com/file/d/1Onr_TBwTdCN1pI74ICm1J0O3MO8EFRZE/view?usp=drivesdk" TargetMode="External"/><Relationship Id="rId3602" Type="http://schemas.openxmlformats.org/officeDocument/2006/relationships/hyperlink" Target="https://drive.google.com/file/d/1MRUidSFvTNK0VYuIcnfANVkQM7sCIRBN/view?usp=drivesdk" TargetMode="External"/><Relationship Id="rId4933" Type="http://schemas.openxmlformats.org/officeDocument/2006/relationships/hyperlink" Target="https://drive.google.com/file/d/1Lfqk5a-tmrOHYB2SiQeslfo28oW_kzWX/view?usp=drivesdk" TargetMode="External"/><Relationship Id="rId3605" Type="http://schemas.openxmlformats.org/officeDocument/2006/relationships/hyperlink" Target="https://drive.google.com/file/d/1eKuWcky31av88W42l5rIP8MiouuyVKTp/view?usp=drivesdk" TargetMode="External"/><Relationship Id="rId4936" Type="http://schemas.openxmlformats.org/officeDocument/2006/relationships/hyperlink" Target="https://drive.google.com/file/d/183icFhdxmfJAxZeZeMhI4feV_A1719gC/view?usp=drivesdk" TargetMode="External"/><Relationship Id="rId3604" Type="http://schemas.openxmlformats.org/officeDocument/2006/relationships/hyperlink" Target="https://drive.google.com/file/d/129IDOR4SmOPR-W2Fo9wu7a5uqXKKB7O3/view?usp=drivesdk" TargetMode="External"/><Relationship Id="rId4935" Type="http://schemas.openxmlformats.org/officeDocument/2006/relationships/hyperlink" Target="https://drive.google.com/file/d/1Jd06JYe9ZQ7S-5U99YkeU4gRacEWWjuB/view?usp=drivesdk" TargetMode="External"/><Relationship Id="rId3607" Type="http://schemas.openxmlformats.org/officeDocument/2006/relationships/hyperlink" Target="https://drive.google.com/file/d/1fvTS5CZ2ylvJJjGRa9YgsjE98dTEp2MI/view?usp=drivesdk" TargetMode="External"/><Relationship Id="rId4938" Type="http://schemas.openxmlformats.org/officeDocument/2006/relationships/hyperlink" Target="https://drive.google.com/file/d/18hAn6Zl54MB9Vd9Pqux2_ImOQc3MYx3z/view?usp=drivesdk" TargetMode="External"/><Relationship Id="rId3606" Type="http://schemas.openxmlformats.org/officeDocument/2006/relationships/hyperlink" Target="https://drive.google.com/file/d/1hraWM8u2KKeXlgR3prsjswKKMieD42NW/view?usp=drivesdk" TargetMode="External"/><Relationship Id="rId4937" Type="http://schemas.openxmlformats.org/officeDocument/2006/relationships/hyperlink" Target="https://drive.google.com/file/d/1TqM4nF3Xdd8xBIvDxRBJ9WaZPSCLhLh5/view?usp=drivesdk" TargetMode="External"/><Relationship Id="rId3609" Type="http://schemas.openxmlformats.org/officeDocument/2006/relationships/hyperlink" Target="https://drive.google.com/file/d/11hFDsZo9fknPP4VjkHIp8IKBGA-c16-u/view?usp=drivesdk" TargetMode="External"/><Relationship Id="rId3608" Type="http://schemas.openxmlformats.org/officeDocument/2006/relationships/hyperlink" Target="https://drive.google.com/file/d/16zKSZZvaD8ntxYoEOkoGEzLPM1iZAwja/view?usp=drivesdk" TargetMode="External"/><Relationship Id="rId4939" Type="http://schemas.openxmlformats.org/officeDocument/2006/relationships/hyperlink" Target="https://drive.google.com/file/d/1dv-YaNwkN8GMOmwbkYZcC2Ix0bXpKUjL/view?usp=drivesdk" TargetMode="External"/><Relationship Id="rId4930" Type="http://schemas.openxmlformats.org/officeDocument/2006/relationships/hyperlink" Target="https://drive.google.com/file/d/1_l-SXv5WT_8fUiMZ89CMLDWoV4IHDpS8/view?usp=drivesdk" TargetMode="External"/><Relationship Id="rId1059" Type="http://schemas.openxmlformats.org/officeDocument/2006/relationships/hyperlink" Target="https://drive.google.com/file/d/1GEBzZtz17VL9Uso4avp3sqKLQEvtAqhc/view?usp=drivesdk" TargetMode="External"/><Relationship Id="rId228" Type="http://schemas.openxmlformats.org/officeDocument/2006/relationships/hyperlink" Target="https://drive.google.com/file/d/1JK9g6fUmF05xqpoCY722afuAaa0hd1Uo/view?usp=drivesdk" TargetMode="External"/><Relationship Id="rId227" Type="http://schemas.openxmlformats.org/officeDocument/2006/relationships/hyperlink" Target="https://drive.google.com/file/d/1pAjTsvGNUFoMtkBUEPpCC6RiBlinUGX6/view?usp=drivesdk" TargetMode="External"/><Relationship Id="rId226" Type="http://schemas.openxmlformats.org/officeDocument/2006/relationships/hyperlink" Target="https://drive.google.com/file/d/1Spw1fnh6UKiipAXbhe9BqusCnGUs9InB/view?usp=drivesdk" TargetMode="External"/><Relationship Id="rId225" Type="http://schemas.openxmlformats.org/officeDocument/2006/relationships/hyperlink" Target="https://drive.google.com/file/d/1GIci31PMB038-W14lP-_cPP6qfWRbR7w/view?usp=drivesdk" TargetMode="External"/><Relationship Id="rId2380" Type="http://schemas.openxmlformats.org/officeDocument/2006/relationships/hyperlink" Target="https://drive.google.com/file/d/1AYw09l8pLuRU9h5LFElf4OR0C73TFe-r/view?usp=drivesdk" TargetMode="External"/><Relationship Id="rId229" Type="http://schemas.openxmlformats.org/officeDocument/2006/relationships/hyperlink" Target="https://drive.google.com/file/d/1nr_BkQyCoiKcHCMk_XIbRjAL68XCvLA4/view?usp=drivesdk" TargetMode="External"/><Relationship Id="rId1050" Type="http://schemas.openxmlformats.org/officeDocument/2006/relationships/hyperlink" Target="https://drive.google.com/file/d/1TxlPKy67n4c_afVfqsgpLZjSFJApo06H/view?usp=drivesdk" TargetMode="External"/><Relationship Id="rId2381" Type="http://schemas.openxmlformats.org/officeDocument/2006/relationships/hyperlink" Target="https://drive.google.com/file/d/1FcWpvUFfz9i97R4GIa45MVGbMtozoIcJ/view?usp=drivesdk" TargetMode="External"/><Relationship Id="rId220" Type="http://schemas.openxmlformats.org/officeDocument/2006/relationships/hyperlink" Target="https://drive.google.com/file/d/11pOXHH7OpqZ9CSq46aBJt-C6NU3VP5Dd/view?usp=drivesdk" TargetMode="External"/><Relationship Id="rId1051" Type="http://schemas.openxmlformats.org/officeDocument/2006/relationships/hyperlink" Target="https://drive.google.com/file/d/1ppxHPXbHCvgnuNJQCv8BPVB6TJI0TPBN/view?usp=drivesdk" TargetMode="External"/><Relationship Id="rId2382" Type="http://schemas.openxmlformats.org/officeDocument/2006/relationships/hyperlink" Target="https://drive.google.com/file/d/1qzEm93HzGJjdXK7XBVa3i3klwryTiw0H/view?usp=drivesdk" TargetMode="External"/><Relationship Id="rId1052" Type="http://schemas.openxmlformats.org/officeDocument/2006/relationships/hyperlink" Target="https://drive.google.com/file/d/1ojrsywYLQ-JU70C5vW0MFTm22m4zllvH/view?usp=drivesdk" TargetMode="External"/><Relationship Id="rId2383" Type="http://schemas.openxmlformats.org/officeDocument/2006/relationships/hyperlink" Target="https://drive.google.com/file/d/1kEW7HaiiB6gzOKux3mpcG8_CK7AP3ltb/view?usp=drivesdk" TargetMode="External"/><Relationship Id="rId1053" Type="http://schemas.openxmlformats.org/officeDocument/2006/relationships/hyperlink" Target="https://drive.google.com/file/d/1r1eB5NKa-XM-LkH65nXdu9ANJ2drVWOY/view?usp=drivesdk" TargetMode="External"/><Relationship Id="rId2384" Type="http://schemas.openxmlformats.org/officeDocument/2006/relationships/hyperlink" Target="https://drive.google.com/file/d/1JGiBLIGeSDf0haCwR2fK1rphPTCda7sp/view?usp=drivesdk" TargetMode="External"/><Relationship Id="rId1054" Type="http://schemas.openxmlformats.org/officeDocument/2006/relationships/hyperlink" Target="https://drive.google.com/file/d/10DFAe2Vqsdy8pU2WH73h2_g6VMUZ3vlO/view?usp=drivesdk" TargetMode="External"/><Relationship Id="rId2385" Type="http://schemas.openxmlformats.org/officeDocument/2006/relationships/hyperlink" Target="https://drive.google.com/file/d/1bxI-Vkjq3R-r9HseTfZU9qTZ3bXLgELi/view?usp=drivesdk" TargetMode="External"/><Relationship Id="rId224" Type="http://schemas.openxmlformats.org/officeDocument/2006/relationships/hyperlink" Target="https://drive.google.com/file/d/1qK9zSLp-j6aFOwUWrA8n34Aa9qyUtr7E/view?usp=drivesdk" TargetMode="External"/><Relationship Id="rId1055" Type="http://schemas.openxmlformats.org/officeDocument/2006/relationships/hyperlink" Target="https://drive.google.com/file/d/10Ngh-1KIw6GHsk0kOBeEGxgq4khjzZsJ/view?usp=drivesdk" TargetMode="External"/><Relationship Id="rId2386" Type="http://schemas.openxmlformats.org/officeDocument/2006/relationships/hyperlink" Target="https://drive.google.com/file/d/19GpemPvMSUuDqmGudp9AsL_Fm3yXPIHd/view?usp=drivesdk" TargetMode="External"/><Relationship Id="rId223" Type="http://schemas.openxmlformats.org/officeDocument/2006/relationships/hyperlink" Target="https://drive.google.com/file/d/1n19kEHVmFei-Qmett_oesuQ2_xC1ZKRK/view?usp=drivesdk" TargetMode="External"/><Relationship Id="rId1056" Type="http://schemas.openxmlformats.org/officeDocument/2006/relationships/hyperlink" Target="https://drive.google.com/file/d/1u8eywmIoVqBggEL4P_A_QzlaoZ00mvhB/view?usp=drivesdk" TargetMode="External"/><Relationship Id="rId2387" Type="http://schemas.openxmlformats.org/officeDocument/2006/relationships/hyperlink" Target="https://drive.google.com/file/d/1h5PTppv7-I9VtW-mdoRG6BMgkGhYZRwu/view?usp=drivesdk" TargetMode="External"/><Relationship Id="rId222" Type="http://schemas.openxmlformats.org/officeDocument/2006/relationships/hyperlink" Target="https://drive.google.com/file/d/1f6Ofz1gBsVDKxOf1Mum7d7cwBBh2XYjj/view?usp=drivesdk" TargetMode="External"/><Relationship Id="rId1057" Type="http://schemas.openxmlformats.org/officeDocument/2006/relationships/hyperlink" Target="https://drive.google.com/file/d/1VFQ-Rrl6ilZktCdmkXsQPQ9lzNmpZkBi/view?usp=drivesdk" TargetMode="External"/><Relationship Id="rId2388" Type="http://schemas.openxmlformats.org/officeDocument/2006/relationships/hyperlink" Target="https://drive.google.com/file/d/1QZn0EPzjIqmn-LBhGYDKtSmOQxoxshCT/view?usp=drivesdk" TargetMode="External"/><Relationship Id="rId221" Type="http://schemas.openxmlformats.org/officeDocument/2006/relationships/hyperlink" Target="https://drive.google.com/file/d/1yXVLV97U2MfnFZ-kOOFTlagqn9kmn8hc/view?usp=drivesdk" TargetMode="External"/><Relationship Id="rId1058" Type="http://schemas.openxmlformats.org/officeDocument/2006/relationships/hyperlink" Target="https://drive.google.com/file/d/1xO86J2QutJ7etSjVz_t8cAafbaCcCFAf/view?usp=drivesdk" TargetMode="External"/><Relationship Id="rId2389" Type="http://schemas.openxmlformats.org/officeDocument/2006/relationships/hyperlink" Target="https://drive.google.com/file/d/1-d38z5rj45_wMEAwXiuxNeGOyRQvpQMT/view?usp=drivesdk" TargetMode="External"/><Relationship Id="rId1048" Type="http://schemas.openxmlformats.org/officeDocument/2006/relationships/hyperlink" Target="https://drive.google.com/file/d/1by2zTO8yN6nROPTs3Ms_wqN-NGoflxoC/view?usp=drivesdk" TargetMode="External"/><Relationship Id="rId2379" Type="http://schemas.openxmlformats.org/officeDocument/2006/relationships/hyperlink" Target="https://drive.google.com/file/d/17uw57YjFf6etnkAte_c7jJYXqKoPFW4h/view?usp=drivesdk" TargetMode="External"/><Relationship Id="rId1049" Type="http://schemas.openxmlformats.org/officeDocument/2006/relationships/hyperlink" Target="https://drive.google.com/file/d/114zxTwwK6mqsGnX2Xw85cIY6Byv_lLO-/view?usp=drivesdk" TargetMode="External"/><Relationship Id="rId217" Type="http://schemas.openxmlformats.org/officeDocument/2006/relationships/hyperlink" Target="https://drive.google.com/file/d/1VILevR1fkNbOXrB7bqHURq8Unm1_ZEDB/view?usp=drivesdk" TargetMode="External"/><Relationship Id="rId216" Type="http://schemas.openxmlformats.org/officeDocument/2006/relationships/hyperlink" Target="https://drive.google.com/file/d/1thjtNdeZQYzEmqHoTT0CEeQVSzbuDwSa/view?usp=drivesdk" TargetMode="External"/><Relationship Id="rId215" Type="http://schemas.openxmlformats.org/officeDocument/2006/relationships/hyperlink" Target="https://drive.google.com/file/d/1Sl10OL8ecZzz9_OMhdRm8L6TAvNYmFgl/view?usp=drivesdk" TargetMode="External"/><Relationship Id="rId214" Type="http://schemas.openxmlformats.org/officeDocument/2006/relationships/hyperlink" Target="https://drive.google.com/file/d/1SY93JyK-pXLCkB31wrN-kVnaEb4bZB1u/view?usp=drivesdk" TargetMode="External"/><Relationship Id="rId219" Type="http://schemas.openxmlformats.org/officeDocument/2006/relationships/hyperlink" Target="https://drive.google.com/file/d/1F99biHUx4y9cPr57MZX1bzWqxUY-DMeG/view?usp=drivesdk" TargetMode="External"/><Relationship Id="rId218" Type="http://schemas.openxmlformats.org/officeDocument/2006/relationships/hyperlink" Target="https://drive.google.com/file/d/1467uTrWsd9k7_YNC225rQFckjhccidVS/view?usp=drivesdk" TargetMode="External"/><Relationship Id="rId2370" Type="http://schemas.openxmlformats.org/officeDocument/2006/relationships/hyperlink" Target="https://drive.google.com/file/d/1uilG8_Hf8DdHii7yWewKWH7plAVvh0IF/view?usp=drivesdk" TargetMode="External"/><Relationship Id="rId1040" Type="http://schemas.openxmlformats.org/officeDocument/2006/relationships/hyperlink" Target="https://drive.google.com/file/d/1jC3cCU1RD_tLkSrvrCi8_-2IqNeEDsOt/view?usp=drivesdk" TargetMode="External"/><Relationship Id="rId2371" Type="http://schemas.openxmlformats.org/officeDocument/2006/relationships/hyperlink" Target="https://drive.google.com/file/d/19kLPQzPY9BPF7QDYwGYWxQBzNwmvzL1Q/view?usp=drivesdk" TargetMode="External"/><Relationship Id="rId1041" Type="http://schemas.openxmlformats.org/officeDocument/2006/relationships/hyperlink" Target="https://drive.google.com/file/d/1QvvGqj6UAkx16-EPP52yPayPFt3idnfH/view?usp=drivesdk" TargetMode="External"/><Relationship Id="rId2372" Type="http://schemas.openxmlformats.org/officeDocument/2006/relationships/hyperlink" Target="https://drive.google.com/file/d/1NZgraD7Td_3U7xKGE-m41ekPlZ-pLX71/view?usp=drivesdk" TargetMode="External"/><Relationship Id="rId1042" Type="http://schemas.openxmlformats.org/officeDocument/2006/relationships/hyperlink" Target="https://drive.google.com/file/d/1morPsCD73UugLwD326rqi3uKvvv_Ehya/view?usp=drivesdk" TargetMode="External"/><Relationship Id="rId2373" Type="http://schemas.openxmlformats.org/officeDocument/2006/relationships/hyperlink" Target="https://drive.google.com/file/d/1ds2BvoOhQ9H7gSX02-ztAdvY4V7vqBMi/view?usp=drivesdk" TargetMode="External"/><Relationship Id="rId1043" Type="http://schemas.openxmlformats.org/officeDocument/2006/relationships/hyperlink" Target="https://drive.google.com/file/d/1haXsPf2XDmeKs-BEoPASINfaz5yNtral/view?usp=drivesdk" TargetMode="External"/><Relationship Id="rId2374" Type="http://schemas.openxmlformats.org/officeDocument/2006/relationships/hyperlink" Target="https://drive.google.com/file/d/1K2hKTucp1GGv-_oyrfWpN4GTvpQ6kiXj/view?usp=drivesdk" TargetMode="External"/><Relationship Id="rId213" Type="http://schemas.openxmlformats.org/officeDocument/2006/relationships/hyperlink" Target="https://drive.google.com/file/d/1u4Q0HBw8WvDhJKdqBTJB_VlyP7H8zq95/view?usp=drivesdk" TargetMode="External"/><Relationship Id="rId1044" Type="http://schemas.openxmlformats.org/officeDocument/2006/relationships/hyperlink" Target="https://drive.google.com/file/d/1oZCvyP2MeYtRss1jcEuD6ogGyucMcb3b/view?usp=drivesdk" TargetMode="External"/><Relationship Id="rId2375" Type="http://schemas.openxmlformats.org/officeDocument/2006/relationships/hyperlink" Target="https://drive.google.com/file/d/1NJ4XHy0wBM0TXMsTbXMf9UwCCUD3tSd0/view?usp=drivesdk" TargetMode="External"/><Relationship Id="rId212" Type="http://schemas.openxmlformats.org/officeDocument/2006/relationships/hyperlink" Target="https://drive.google.com/file/d/1UZ29LzUL0QaYiVbnRtBgSq2Df56na78p/view?usp=drivesdk" TargetMode="External"/><Relationship Id="rId1045" Type="http://schemas.openxmlformats.org/officeDocument/2006/relationships/hyperlink" Target="https://drive.google.com/file/d/1uyMcIm9m-6DF5p0tQNKVkh99tXnu5VIl/view?usp=drivesdk" TargetMode="External"/><Relationship Id="rId2376" Type="http://schemas.openxmlformats.org/officeDocument/2006/relationships/hyperlink" Target="https://drive.google.com/file/d/12JEWwUibL-Ttccs7PV-FTHK59m5ulb5J/view?usp=drivesdk" TargetMode="External"/><Relationship Id="rId211" Type="http://schemas.openxmlformats.org/officeDocument/2006/relationships/hyperlink" Target="https://drive.google.com/file/d/1Gn0cmEMfjgBOl1VSSR7KI8iXrIW2N6hs/view?usp=drivesdk" TargetMode="External"/><Relationship Id="rId1046" Type="http://schemas.openxmlformats.org/officeDocument/2006/relationships/hyperlink" Target="https://drive.google.com/file/d/1KhpEotPccwMqBHYp0_4wOqkvkL9JSL1U/view?usp=drivesdk" TargetMode="External"/><Relationship Id="rId2377" Type="http://schemas.openxmlformats.org/officeDocument/2006/relationships/hyperlink" Target="https://drive.google.com/file/d/1sU0x1AVOnTwpiydYsQ9GJnTkuQ2DcMx8/view?usp=drivesdk" TargetMode="External"/><Relationship Id="rId210" Type="http://schemas.openxmlformats.org/officeDocument/2006/relationships/hyperlink" Target="https://drive.google.com/file/d/1ut1mYfcWO4SoiJ38Wi39RTm20PVVEAXM/view?usp=drivesdk" TargetMode="External"/><Relationship Id="rId1047" Type="http://schemas.openxmlformats.org/officeDocument/2006/relationships/hyperlink" Target="https://drive.google.com/file/d/1AbTF5f1G03MTvzwy5eeAC1vvaWVGL_Ni/view?usp=drivesdk" TargetMode="External"/><Relationship Id="rId2378" Type="http://schemas.openxmlformats.org/officeDocument/2006/relationships/hyperlink" Target="https://drive.google.com/file/d/1emBDof7YWChoJlqSNdt3Ivq3_27gCtM3/view?usp=drivesdk" TargetMode="External"/><Relationship Id="rId4107" Type="http://schemas.openxmlformats.org/officeDocument/2006/relationships/hyperlink" Target="https://drive.google.com/file/d/1aTRC8hCTHUqVg-nPKZGVq6IJbm74kXbr/view?usp=drivesdk" TargetMode="External"/><Relationship Id="rId4106" Type="http://schemas.openxmlformats.org/officeDocument/2006/relationships/hyperlink" Target="https://drive.google.com/file/d/1DdQsHh9h7GBhR5yy-crQwTQpoPUA24Fy/view?usp=drivesdk" TargetMode="External"/><Relationship Id="rId4109" Type="http://schemas.openxmlformats.org/officeDocument/2006/relationships/hyperlink" Target="https://drive.google.com/file/d/1JIFAs3DNm4vWMNHyk5MfyvJnQuxHpq_F/view?usp=drivesdk" TargetMode="External"/><Relationship Id="rId4108" Type="http://schemas.openxmlformats.org/officeDocument/2006/relationships/hyperlink" Target="https://drive.google.com/file/d/1aRi9A_ljBdb3M5Q1AOa-hRfQWG9BOXY2/view?usp=drivesdk" TargetMode="External"/><Relationship Id="rId249" Type="http://schemas.openxmlformats.org/officeDocument/2006/relationships/hyperlink" Target="https://drive.google.com/file/d/1-VH3f9-HhMiyz755QsUD4Txx2iYD8iAc/view?usp=drivesdk" TargetMode="External"/><Relationship Id="rId248" Type="http://schemas.openxmlformats.org/officeDocument/2006/relationships/hyperlink" Target="https://drive.google.com/file/d/18ioo3Jz4cKqb1ThGOUi2uUU8DEbHQimD/view?usp=drivesdk" TargetMode="External"/><Relationship Id="rId247" Type="http://schemas.openxmlformats.org/officeDocument/2006/relationships/hyperlink" Target="https://drive.google.com/file/d/1OfOoUOep80qvtmkksJD1ZXaA4J09GwUI/view?usp=drivesdk" TargetMode="External"/><Relationship Id="rId1070" Type="http://schemas.openxmlformats.org/officeDocument/2006/relationships/hyperlink" Target="https://drive.google.com/file/d/1cHfyQ9yDIT6IMBEyqyX_HXkjS_UJ6FEV/view?usp=drivesdk" TargetMode="External"/><Relationship Id="rId1071" Type="http://schemas.openxmlformats.org/officeDocument/2006/relationships/hyperlink" Target="https://drive.google.com/file/d/1yBFeZtDuHBNpRDYcuDoeqy0zbSLlFIlb/view?usp=drivesdk" TargetMode="External"/><Relationship Id="rId1072" Type="http://schemas.openxmlformats.org/officeDocument/2006/relationships/hyperlink" Target="https://drive.google.com/file/d/1CWfG_5bSLTC7ihADmHGA1MPGDF-3C7eO/view?usp=drivesdk" TargetMode="External"/><Relationship Id="rId242" Type="http://schemas.openxmlformats.org/officeDocument/2006/relationships/hyperlink" Target="https://drive.google.com/file/d/1_8PF0Vt2zKcYAOPbI7rd4ucg_0G3FrYy/view?usp=drivesdk" TargetMode="External"/><Relationship Id="rId1073" Type="http://schemas.openxmlformats.org/officeDocument/2006/relationships/hyperlink" Target="https://drive.google.com/file/d/1-iZfzH2fHX0FQtjHxUDa_mh_Vjn7l67J/view?usp=drivesdk" TargetMode="External"/><Relationship Id="rId241" Type="http://schemas.openxmlformats.org/officeDocument/2006/relationships/hyperlink" Target="https://drive.google.com/file/d/1u98WgQNJoU7gSd1zEpekRKyp2UBmrdK8/view?usp=drivesdk" TargetMode="External"/><Relationship Id="rId1074" Type="http://schemas.openxmlformats.org/officeDocument/2006/relationships/hyperlink" Target="https://drive.google.com/file/d/196SmI0QwfmzMS_4vSrdiG2oxzVSIoIzt/view?usp=drivesdk" TargetMode="External"/><Relationship Id="rId240" Type="http://schemas.openxmlformats.org/officeDocument/2006/relationships/hyperlink" Target="https://drive.google.com/file/d/1WfiiYhOJlShO8L0qXTzOCtYUC0K_Fa-P/view?usp=drivesdk" TargetMode="External"/><Relationship Id="rId1075" Type="http://schemas.openxmlformats.org/officeDocument/2006/relationships/hyperlink" Target="https://drive.google.com/file/d/16Nn5eilDidoR-YagemVBl_7ysT-J47XQ/view?usp=drivesdk" TargetMode="External"/><Relationship Id="rId4101" Type="http://schemas.openxmlformats.org/officeDocument/2006/relationships/hyperlink" Target="https://drive.google.com/file/d/1LsJOWvRAmqJhgo-HYK0BKYgVKKpeP4ot/view?usp=drivesdk" TargetMode="External"/><Relationship Id="rId1076" Type="http://schemas.openxmlformats.org/officeDocument/2006/relationships/hyperlink" Target="https://drive.google.com/file/d/1HqLtcK_0UQsnX3bzbl8L6PytyG7o1z4Z/view?usp=drivesdk" TargetMode="External"/><Relationship Id="rId4100" Type="http://schemas.openxmlformats.org/officeDocument/2006/relationships/hyperlink" Target="https://drive.google.com/file/d/1lnKwcyqAWd5-PvPPmuFK1bg2Md_YwiSN/view?usp=drivesdk" TargetMode="External"/><Relationship Id="rId246" Type="http://schemas.openxmlformats.org/officeDocument/2006/relationships/hyperlink" Target="https://drive.google.com/file/d/1VV6ixjZiSCMt270EJb-fTYJCO9G6N-7E/view?usp=drivesdk" TargetMode="External"/><Relationship Id="rId1077" Type="http://schemas.openxmlformats.org/officeDocument/2006/relationships/hyperlink" Target="https://drive.google.com/file/d/1a5hbniaPx_k0xI6adSbMocvdTf9IahqP/view?usp=drivesdk" TargetMode="External"/><Relationship Id="rId4103" Type="http://schemas.openxmlformats.org/officeDocument/2006/relationships/hyperlink" Target="https://drive.google.com/file/d/1fmwLf1oRU8bp_rWcQQJl4TvjkADc8CEm/view?usp=drivesdk" TargetMode="External"/><Relationship Id="rId245" Type="http://schemas.openxmlformats.org/officeDocument/2006/relationships/hyperlink" Target="https://drive.google.com/file/d/1Gzv1pRzOb3C0cYdslgsKgnOJG7l-xxpR/view?usp=drivesdk" TargetMode="External"/><Relationship Id="rId1078" Type="http://schemas.openxmlformats.org/officeDocument/2006/relationships/hyperlink" Target="https://drive.google.com/file/d/1ISjpkTQuOtVA4eORB1zb3kePW9ky6zpM/view?usp=drivesdk" TargetMode="External"/><Relationship Id="rId4102" Type="http://schemas.openxmlformats.org/officeDocument/2006/relationships/hyperlink" Target="https://drive.google.com/file/d/1gxwxnG3w2aOvRTTeScYSyvz0XUL5tZ0w/view?usp=drivesdk" TargetMode="External"/><Relationship Id="rId244" Type="http://schemas.openxmlformats.org/officeDocument/2006/relationships/hyperlink" Target="https://drive.google.com/file/d/1HH_7VY9nvS_TpcPLweF0Z3nXmDukQS1B/view?usp=drivesdk" TargetMode="External"/><Relationship Id="rId1079" Type="http://schemas.openxmlformats.org/officeDocument/2006/relationships/hyperlink" Target="https://drive.google.com/file/d/1p45xIH_cYZHGGhuJLCdrcNRVv-nxDf7s/view?usp=drivesdk" TargetMode="External"/><Relationship Id="rId4105" Type="http://schemas.openxmlformats.org/officeDocument/2006/relationships/hyperlink" Target="https://drive.google.com/file/d/1VQbvcFpFLY8QggmO7-3T5080i8ND4M6w/view?usp=drivesdk" TargetMode="External"/><Relationship Id="rId243" Type="http://schemas.openxmlformats.org/officeDocument/2006/relationships/hyperlink" Target="https://drive.google.com/file/d/15TMImOH7yJpiDqso1AWPEGSrtJNgyKO3/view?usp=drivesdk" TargetMode="External"/><Relationship Id="rId4104" Type="http://schemas.openxmlformats.org/officeDocument/2006/relationships/hyperlink" Target="https://drive.google.com/file/d/1Lbqaqu1-oZn10UQfdmYvNbrAlqsuMAo_/view?usp=drivesdk" TargetMode="External"/><Relationship Id="rId239" Type="http://schemas.openxmlformats.org/officeDocument/2006/relationships/hyperlink" Target="https://drive.google.com/file/d/1rRciGzYQqphrEUhT13jhfx2DDL0PLMfc/view?usp=drivesdk" TargetMode="External"/><Relationship Id="rId238" Type="http://schemas.openxmlformats.org/officeDocument/2006/relationships/hyperlink" Target="https://drive.google.com/file/d/1fb7sCqVKwdYz5rW_J3yJhIU6u9QlHM7r/view?usp=drivesdk" TargetMode="External"/><Relationship Id="rId237" Type="http://schemas.openxmlformats.org/officeDocument/2006/relationships/hyperlink" Target="https://drive.google.com/file/d/132k2ZR6M-z1BSFSto8Rd6RCyUk_jRTQN/view?usp=drivesdk" TargetMode="External"/><Relationship Id="rId236" Type="http://schemas.openxmlformats.org/officeDocument/2006/relationships/hyperlink" Target="https://drive.google.com/file/d/1yJsqthUFIdip51MourqP0_T-Z-MtvM2q/view?usp=drivesdk" TargetMode="External"/><Relationship Id="rId2390" Type="http://schemas.openxmlformats.org/officeDocument/2006/relationships/hyperlink" Target="https://drive.google.com/file/d/1I7FHV9Ny0hjWpH7KXexx2UhoHS11SiAG/view?usp=drivesdk" TargetMode="External"/><Relationship Id="rId1060" Type="http://schemas.openxmlformats.org/officeDocument/2006/relationships/hyperlink" Target="https://drive.google.com/file/d/1_VH4VhsLbF83lKORxa4nbrmjGAu8rPbc/view?usp=drivesdk" TargetMode="External"/><Relationship Id="rId2391" Type="http://schemas.openxmlformats.org/officeDocument/2006/relationships/hyperlink" Target="https://drive.google.com/file/d/1lD3ptYLtj5vWWOQxiNEDhL441-Pq4lex/view?usp=drivesdk" TargetMode="External"/><Relationship Id="rId1061" Type="http://schemas.openxmlformats.org/officeDocument/2006/relationships/hyperlink" Target="https://drive.google.com/file/d/1c5PbWyAJWLxU8LZHIXPrQN1hvhbHnDUr/view?usp=drivesdk" TargetMode="External"/><Relationship Id="rId2392" Type="http://schemas.openxmlformats.org/officeDocument/2006/relationships/hyperlink" Target="https://drive.google.com/file/d/1nXbBEIHDKhaw34kMI8ZEZJPx3OYixxUp/view?usp=drivesdk" TargetMode="External"/><Relationship Id="rId231" Type="http://schemas.openxmlformats.org/officeDocument/2006/relationships/hyperlink" Target="https://drive.google.com/file/d/1LXXc2X0dnsXmHhqzvFhFTueBkrb03f3Z/view?usp=drivesdk" TargetMode="External"/><Relationship Id="rId1062" Type="http://schemas.openxmlformats.org/officeDocument/2006/relationships/hyperlink" Target="https://drive.google.com/file/d/1Z93xQz9KVUGHm_E9U8yqkjqj327AZgph/view?usp=drivesdk" TargetMode="External"/><Relationship Id="rId2393" Type="http://schemas.openxmlformats.org/officeDocument/2006/relationships/hyperlink" Target="https://drive.google.com/file/d/1Fx7MUzN5xMYMvmWGUVzHijIGUWsMzZe5/view?usp=drivesdk" TargetMode="External"/><Relationship Id="rId230" Type="http://schemas.openxmlformats.org/officeDocument/2006/relationships/hyperlink" Target="https://drive.google.com/file/d/1fyTnfpTdyZ0MIbymL9JykeZanEyW33fU/view?usp=drivesdk" TargetMode="External"/><Relationship Id="rId1063" Type="http://schemas.openxmlformats.org/officeDocument/2006/relationships/hyperlink" Target="https://drive.google.com/file/d/13mkazXM_LqGuHihuStHwOno-HNNnTT6d/view?usp=drivesdk" TargetMode="External"/><Relationship Id="rId2394" Type="http://schemas.openxmlformats.org/officeDocument/2006/relationships/hyperlink" Target="https://drive.google.com/file/d/1qE5dwEht_TYke34OCmOkpkWmvGPHHjuc/view?usp=drivesdk" TargetMode="External"/><Relationship Id="rId1064" Type="http://schemas.openxmlformats.org/officeDocument/2006/relationships/hyperlink" Target="https://drive.google.com/file/d/1JYdPLdp7KkB9LJ3iIWvSQ1c3F0CFlLvw/view?usp=drivesdk" TargetMode="External"/><Relationship Id="rId2395" Type="http://schemas.openxmlformats.org/officeDocument/2006/relationships/hyperlink" Target="https://drive.google.com/file/d/1jfXwH9dwkZO0uLTUgtxUBIhI33qeAPVm/view?usp=drivesdk" TargetMode="External"/><Relationship Id="rId1065" Type="http://schemas.openxmlformats.org/officeDocument/2006/relationships/hyperlink" Target="https://drive.google.com/file/d/1jdUI5xAwyuVtDkkUnSEVsQaVwxqZfY-Q/view?usp=drivesdk" TargetMode="External"/><Relationship Id="rId2396" Type="http://schemas.openxmlformats.org/officeDocument/2006/relationships/hyperlink" Target="https://drive.google.com/file/d/10PYOd_mjVH6xTjtXHRsCkrPkb5afzp-y/view?usp=drivesdk" TargetMode="External"/><Relationship Id="rId235" Type="http://schemas.openxmlformats.org/officeDocument/2006/relationships/hyperlink" Target="https://drive.google.com/file/d/1zWV1GdEWCbTwEY1Owi8TJZiq8-zEkLKV/view?usp=drivesdk" TargetMode="External"/><Relationship Id="rId1066" Type="http://schemas.openxmlformats.org/officeDocument/2006/relationships/hyperlink" Target="https://drive.google.com/file/d/16AialI4dpsU4kaBZZKtR8zvw8_mpX8U3/view?usp=drivesdk" TargetMode="External"/><Relationship Id="rId2397" Type="http://schemas.openxmlformats.org/officeDocument/2006/relationships/hyperlink" Target="https://drive.google.com/file/d/1Fpj2gfxUrWIShkwyGMARDA3e-U3VooUt/view?usp=drivesdk" TargetMode="External"/><Relationship Id="rId234" Type="http://schemas.openxmlformats.org/officeDocument/2006/relationships/hyperlink" Target="https://drive.google.com/file/d/1bLI_w55bGopZJBQE2qMHH3vLLEQ0F9DD/view?usp=drivesdk" TargetMode="External"/><Relationship Id="rId1067" Type="http://schemas.openxmlformats.org/officeDocument/2006/relationships/hyperlink" Target="https://drive.google.com/file/d/15yHgkCc61BEAUAyPfgqC8F8R4EgFVVIW/view?usp=drivesdk" TargetMode="External"/><Relationship Id="rId2398" Type="http://schemas.openxmlformats.org/officeDocument/2006/relationships/hyperlink" Target="https://drive.google.com/file/d/1A9lnN7hyHK86zJbNuJKONHoiytuXok4a/view?usp=drivesdk" TargetMode="External"/><Relationship Id="rId233" Type="http://schemas.openxmlformats.org/officeDocument/2006/relationships/hyperlink" Target="https://drive.google.com/file/d/1LvcfLaaDFPQBWGY5Ee7v8KtR8iE4Euhe/view?usp=drivesdk" TargetMode="External"/><Relationship Id="rId1068" Type="http://schemas.openxmlformats.org/officeDocument/2006/relationships/hyperlink" Target="https://drive.google.com/file/d/1ElMZZ5dnpzpYdymSGb_X_WD13SgMDEGV/view?usp=drivesdk" TargetMode="External"/><Relationship Id="rId2399" Type="http://schemas.openxmlformats.org/officeDocument/2006/relationships/hyperlink" Target="https://drive.google.com/file/d/1rBA66ignxPWZ2JLdsY_GxNf17nXTxsYT/view?usp=drivesdk" TargetMode="External"/><Relationship Id="rId232" Type="http://schemas.openxmlformats.org/officeDocument/2006/relationships/hyperlink" Target="https://drive.google.com/file/d/1x1SpDOHDf8CSYfR1WsbQyqaSjtVXVUk8/view?usp=drivesdk" TargetMode="External"/><Relationship Id="rId1069" Type="http://schemas.openxmlformats.org/officeDocument/2006/relationships/hyperlink" Target="https://drive.google.com/file/d/1lcl0j_um1GQBEvN2mAkCeQJDRfshN3fL/view?usp=drivesdk" TargetMode="External"/><Relationship Id="rId1015" Type="http://schemas.openxmlformats.org/officeDocument/2006/relationships/hyperlink" Target="https://drive.google.com/file/d/1jAcEtfbLGGnUZ43mNGefUJxaiBon4uRw/view?usp=drivesdk" TargetMode="External"/><Relationship Id="rId2346" Type="http://schemas.openxmlformats.org/officeDocument/2006/relationships/hyperlink" Target="https://drive.google.com/file/d/1aPr409NiWX2aqgHmEcOMeDKm_5krz8kA/view?usp=drivesdk" TargetMode="External"/><Relationship Id="rId3678" Type="http://schemas.openxmlformats.org/officeDocument/2006/relationships/hyperlink" Target="https://drive.google.com/file/d/1lrLxN2AIkar-KJCm6_zlGUyT9n-4CVPj/view?usp=drivesdk" TargetMode="External"/><Relationship Id="rId1016" Type="http://schemas.openxmlformats.org/officeDocument/2006/relationships/hyperlink" Target="https://drive.google.com/file/d/1zbpabpXx1Xst6MxvKhiwyDfbDdHZhIlJ/view?usp=drivesdk" TargetMode="External"/><Relationship Id="rId2347" Type="http://schemas.openxmlformats.org/officeDocument/2006/relationships/hyperlink" Target="https://drive.google.com/file/d/1Itiae8wQZq1gs8SUYOrTcEn0vokOGz3N/view?usp=drivesdk" TargetMode="External"/><Relationship Id="rId3677" Type="http://schemas.openxmlformats.org/officeDocument/2006/relationships/hyperlink" Target="https://drive.google.com/file/d/1VJ_MJtEUSVBMMzZuT-EUvL_2-340-SUe/view?usp=drivesdk" TargetMode="External"/><Relationship Id="rId1017" Type="http://schemas.openxmlformats.org/officeDocument/2006/relationships/hyperlink" Target="https://drive.google.com/file/d/1-K8SKXo93irIBtqTKPjpxr49ng5YGD0H/view?usp=drivesdk" TargetMode="External"/><Relationship Id="rId2348" Type="http://schemas.openxmlformats.org/officeDocument/2006/relationships/hyperlink" Target="https://drive.google.com/file/d/1ex8matEnKpiLZpLQPbDGUpa9Dp3zL4yv/view?usp=drivesdk" TargetMode="External"/><Relationship Id="rId1018" Type="http://schemas.openxmlformats.org/officeDocument/2006/relationships/hyperlink" Target="https://drive.google.com/file/d/1nd715yb_8ehr-0rTsyVzPxIR1Kuzd1Wn/view?usp=drivesdk" TargetMode="External"/><Relationship Id="rId2349" Type="http://schemas.openxmlformats.org/officeDocument/2006/relationships/hyperlink" Target="https://drive.google.com/file/d/1a-aL0GuidFq9dMRXLSVVxWpDwot2_0Cx/view?usp=drivesdk" TargetMode="External"/><Relationship Id="rId3679" Type="http://schemas.openxmlformats.org/officeDocument/2006/relationships/hyperlink" Target="https://drive.google.com/file/d/143nTglbIlV-Im99KepCuVE0NHi2YYkpH/view?usp=drivesdk" TargetMode="External"/><Relationship Id="rId1019" Type="http://schemas.openxmlformats.org/officeDocument/2006/relationships/hyperlink" Target="https://drive.google.com/file/d/1Jpmasb69_fAkxRNIzAHtI3EDIAfOBUI7/view?usp=drivesdk" TargetMode="External"/><Relationship Id="rId3670" Type="http://schemas.openxmlformats.org/officeDocument/2006/relationships/hyperlink" Target="https://drive.google.com/file/d/1c1mukaXTA9gurkjheZ5beZRHxoc6znvq/view?usp=drivesdk" TargetMode="External"/><Relationship Id="rId2340" Type="http://schemas.openxmlformats.org/officeDocument/2006/relationships/hyperlink" Target="https://drive.google.com/file/d/1vsUZTPywjGL4Z591BUbVFAG1M2TdaWw2/view?usp=drivesdk" TargetMode="External"/><Relationship Id="rId3672" Type="http://schemas.openxmlformats.org/officeDocument/2006/relationships/hyperlink" Target="https://drive.google.com/file/d/1wyo-h3MtYwJHSJuP7Z73tddyi_I7l8uR/view?usp=drivesdk" TargetMode="External"/><Relationship Id="rId1010" Type="http://schemas.openxmlformats.org/officeDocument/2006/relationships/hyperlink" Target="https://drive.google.com/file/d/1Ph0TaF2nxWJRq_2FPxRuKTxjKcEjiMpd/view?usp=drivesdk" TargetMode="External"/><Relationship Id="rId2341" Type="http://schemas.openxmlformats.org/officeDocument/2006/relationships/hyperlink" Target="https://drive.google.com/file/d/1B3PbOT05bY7ZHJm-P4ikMAxo6zL_6_2H/view?usp=drivesdk" TargetMode="External"/><Relationship Id="rId3671" Type="http://schemas.openxmlformats.org/officeDocument/2006/relationships/hyperlink" Target="https://drive.google.com/file/d/1hsjVtv6tqLZphdiHoECYsk1nDHkonT_k/view?usp=drivesdk" TargetMode="External"/><Relationship Id="rId1011" Type="http://schemas.openxmlformats.org/officeDocument/2006/relationships/hyperlink" Target="https://drive.google.com/file/d/19uK_44dD_tb8zvpfKhV9ScNNDc1gy7w_/view?usp=drivesdk" TargetMode="External"/><Relationship Id="rId2342" Type="http://schemas.openxmlformats.org/officeDocument/2006/relationships/hyperlink" Target="https://drive.google.com/file/d/1MTqZz_b4IYUX1LPkIPvG-sYe3oKs7XHj/view?usp=drivesdk" TargetMode="External"/><Relationship Id="rId3674" Type="http://schemas.openxmlformats.org/officeDocument/2006/relationships/hyperlink" Target="https://drive.google.com/file/d/1H3f3uIvwuOf77Ikb9JY3ZQxT2NjvHX6p/view?usp=drivesdk" TargetMode="External"/><Relationship Id="rId1012" Type="http://schemas.openxmlformats.org/officeDocument/2006/relationships/hyperlink" Target="https://drive.google.com/file/d/1vkYsGqOqg7F14jv9-ZMbqfKHszy_o5sR/view?usp=drivesdk" TargetMode="External"/><Relationship Id="rId2343" Type="http://schemas.openxmlformats.org/officeDocument/2006/relationships/hyperlink" Target="https://drive.google.com/file/d/1kYtqflEXeLLDJz0yZu4QU9ZI5WfDUiG4/view?usp=drivesdk" TargetMode="External"/><Relationship Id="rId3673" Type="http://schemas.openxmlformats.org/officeDocument/2006/relationships/hyperlink" Target="https://drive.google.com/file/d/1__UmYcDarfM1aH0jgrLgQ6ONAmryQWdv/view?usp=drivesdk" TargetMode="External"/><Relationship Id="rId1013" Type="http://schemas.openxmlformats.org/officeDocument/2006/relationships/hyperlink" Target="https://drive.google.com/file/d/1gkEdBDuc6ri-inw-KHSlQEQrGQStdoGk/view?usp=drivesdk" TargetMode="External"/><Relationship Id="rId2344" Type="http://schemas.openxmlformats.org/officeDocument/2006/relationships/hyperlink" Target="https://drive.google.com/file/d/16beAVR1VqT4QRik2I_FfHYEXUJdWZbFR/view?usp=drivesdk" TargetMode="External"/><Relationship Id="rId3676" Type="http://schemas.openxmlformats.org/officeDocument/2006/relationships/hyperlink" Target="https://drive.google.com/file/d/11z812bOBmNd7GLZomFa414f0DXZhWufX/view?usp=drivesdk" TargetMode="External"/><Relationship Id="rId1014" Type="http://schemas.openxmlformats.org/officeDocument/2006/relationships/hyperlink" Target="https://drive.google.com/file/d/17rCiRa-0mQmNHI0DFd3zd6q6SQ41drXB/view?usp=drivesdk" TargetMode="External"/><Relationship Id="rId2345" Type="http://schemas.openxmlformats.org/officeDocument/2006/relationships/hyperlink" Target="https://drive.google.com/file/d/1ib4NlMad3kRqW34T0uZdUBeTGQr_IKGk/view?usp=drivesdk" TargetMode="External"/><Relationship Id="rId3675" Type="http://schemas.openxmlformats.org/officeDocument/2006/relationships/hyperlink" Target="https://drive.google.com/file/d/1LYCZ5VADCMZ7aOOctDJwjg3VyoYZhoEa/view?usp=drivesdk" TargetMode="External"/><Relationship Id="rId1004" Type="http://schemas.openxmlformats.org/officeDocument/2006/relationships/hyperlink" Target="https://drive.google.com/file/d/1ftXTG2_hvDNZp7LOyjJYaT58Fr2Rr-Yw/view?usp=drivesdk" TargetMode="External"/><Relationship Id="rId2335" Type="http://schemas.openxmlformats.org/officeDocument/2006/relationships/hyperlink" Target="https://drive.google.com/file/d/1WK3qPNq7FuUWIE-PYcz0yVidCeTknXpD/view?usp=drivesdk" TargetMode="External"/><Relationship Id="rId3667" Type="http://schemas.openxmlformats.org/officeDocument/2006/relationships/hyperlink" Target="https://drive.google.com/file/d/13EoC8hIgyNjYFLlnzEvVGTGXxTxUeEtC/view?usp=drivesdk" TargetMode="External"/><Relationship Id="rId4998" Type="http://schemas.openxmlformats.org/officeDocument/2006/relationships/hyperlink" Target="https://drive.google.com/file/d/11xcxtUujvbPYRq2hHRRs6B37Cz3A7-sn/view?usp=drivesdk" TargetMode="External"/><Relationship Id="rId1005" Type="http://schemas.openxmlformats.org/officeDocument/2006/relationships/hyperlink" Target="https://drive.google.com/file/d/1KqmfnD-LPlfAxioTq2T-oUtC9X6xgu4Q/view?usp=drivesdk" TargetMode="External"/><Relationship Id="rId2336" Type="http://schemas.openxmlformats.org/officeDocument/2006/relationships/hyperlink" Target="https://drive.google.com/file/d/1OQd2ibu0Id9juOcnjH03t1-P7arKuLeT/view?usp=drivesdk" TargetMode="External"/><Relationship Id="rId3666" Type="http://schemas.openxmlformats.org/officeDocument/2006/relationships/hyperlink" Target="https://drive.google.com/file/d/1qQdaGy-izDCoW0vZMkwG2xPObUF8-lfC/view?usp=drivesdk" TargetMode="External"/><Relationship Id="rId4997" Type="http://schemas.openxmlformats.org/officeDocument/2006/relationships/hyperlink" Target="https://drive.google.com/file/d/1dP0JDceRTEyeuVO03y85Fl9s8QQNaeWA/view?usp=drivesdk" TargetMode="External"/><Relationship Id="rId1006" Type="http://schemas.openxmlformats.org/officeDocument/2006/relationships/hyperlink" Target="https://drive.google.com/file/d/1eDOQ9uLQZ5EsRrJtJx1yf6QazEVJegIl/view?usp=drivesdk" TargetMode="External"/><Relationship Id="rId2337" Type="http://schemas.openxmlformats.org/officeDocument/2006/relationships/hyperlink" Target="https://drive.google.com/file/d/1wxI0qfSmVP4uluWNsRDtg2_CYNxSLUGe/view?usp=drivesdk" TargetMode="External"/><Relationship Id="rId3669" Type="http://schemas.openxmlformats.org/officeDocument/2006/relationships/hyperlink" Target="https://drive.google.com/file/d/1xQjeJHs-S4wmyUgmRgwSaVg0w7IrSSZM/view?usp=drivesdk" TargetMode="External"/><Relationship Id="rId1007" Type="http://schemas.openxmlformats.org/officeDocument/2006/relationships/hyperlink" Target="https://drive.google.com/file/d/1FLuIAbpHSqVHgb4K6Ttgp2p5n8JIBhqg/view?usp=drivesdk" TargetMode="External"/><Relationship Id="rId2338" Type="http://schemas.openxmlformats.org/officeDocument/2006/relationships/hyperlink" Target="https://drive.google.com/file/d/1rrFI7SaZKzixzTN_-plBEe-5PVPauOvf/view?usp=drivesdk" TargetMode="External"/><Relationship Id="rId3668" Type="http://schemas.openxmlformats.org/officeDocument/2006/relationships/hyperlink" Target="https://drive.google.com/file/d/10iJ2yA9mDw23iUm7JDu35BC2hFreAPo4/view?usp=drivesdk" TargetMode="External"/><Relationship Id="rId4999" Type="http://schemas.openxmlformats.org/officeDocument/2006/relationships/hyperlink" Target="https://drive.google.com/file/d/1udwz7FRTejmRdWhIMYRPq1yjYcxkKD2s/view?usp=drivesdk" TargetMode="External"/><Relationship Id="rId1008" Type="http://schemas.openxmlformats.org/officeDocument/2006/relationships/hyperlink" Target="https://drive.google.com/file/d/1zwqtUvwvUZRcKU3vfVBShcWPcuxYZ8_P/view?usp=drivesdk" TargetMode="External"/><Relationship Id="rId2339" Type="http://schemas.openxmlformats.org/officeDocument/2006/relationships/hyperlink" Target="https://drive.google.com/file/d/1If6RQHCO4VHRM5qJ8AJalVm72RIjKzZQ/view?usp=drivesdk" TargetMode="External"/><Relationship Id="rId1009" Type="http://schemas.openxmlformats.org/officeDocument/2006/relationships/hyperlink" Target="https://drive.google.com/file/d/1IAqH0yT7ByR6kLBrJo0WMiUJl-iDnplk/view?usp=drivesdk" TargetMode="External"/><Relationship Id="rId4990" Type="http://schemas.openxmlformats.org/officeDocument/2006/relationships/hyperlink" Target="https://drive.google.com/file/d/17nAoxLMb2yK_zPy4JfqmRdbND4N19DKD/view?usp=drivesdk" TargetMode="External"/><Relationship Id="rId3661" Type="http://schemas.openxmlformats.org/officeDocument/2006/relationships/hyperlink" Target="https://drive.google.com/file/d/1VzhuVXdi5rHdOrktqXWebC49r6MxtXDx/view?usp=drivesdk" TargetMode="External"/><Relationship Id="rId4992" Type="http://schemas.openxmlformats.org/officeDocument/2006/relationships/hyperlink" Target="https://drive.google.com/file/d/1luevSl4qCl--6tj3Ikb5MZvBjhfUuW8l/view?usp=drivesdk" TargetMode="External"/><Relationship Id="rId2330" Type="http://schemas.openxmlformats.org/officeDocument/2006/relationships/hyperlink" Target="https://drive.google.com/file/d/1LD4O3EKD3tjiXVXj98uypJKNex-Hoxjl/view?usp=drivesdk" TargetMode="External"/><Relationship Id="rId3660" Type="http://schemas.openxmlformats.org/officeDocument/2006/relationships/hyperlink" Target="https://drive.google.com/file/d/15y_aoCSa9UnT6Dwm-8I1b5dIkGqfzaI8/view?usp=drivesdk" TargetMode="External"/><Relationship Id="rId4991" Type="http://schemas.openxmlformats.org/officeDocument/2006/relationships/hyperlink" Target="https://drive.google.com/file/d/1S2E4eONValgT3Rv_G9bdPoYceeJJc2Od/view?usp=drivesdk" TargetMode="External"/><Relationship Id="rId1000" Type="http://schemas.openxmlformats.org/officeDocument/2006/relationships/hyperlink" Target="https://drive.google.com/file/d/1KnjjfWoQdU9b32Ypwmz8CQcxqgH25GvD/view?usp=drivesdk" TargetMode="External"/><Relationship Id="rId2331" Type="http://schemas.openxmlformats.org/officeDocument/2006/relationships/hyperlink" Target="https://drive.google.com/file/d/1oIzHcNw8UHuP_QUYGQxQQ5v0lfD2h7kE/view?usp=drivesdk" TargetMode="External"/><Relationship Id="rId3663" Type="http://schemas.openxmlformats.org/officeDocument/2006/relationships/hyperlink" Target="https://drive.google.com/file/d/1lKx-Es03MaFJ4ZmfSKwvv0zzHQKbPgTT/view?usp=drivesdk" TargetMode="External"/><Relationship Id="rId4994" Type="http://schemas.openxmlformats.org/officeDocument/2006/relationships/hyperlink" Target="https://drive.google.com/file/d/1vcdJiELeabjW7oX7GTIi8gMKzOf3hnJC/view?usp=drivesdk" TargetMode="External"/><Relationship Id="rId1001" Type="http://schemas.openxmlformats.org/officeDocument/2006/relationships/hyperlink" Target="https://drive.google.com/file/d/1yDZrguNr7c-6Jy6wQh3texYNZ1x5O7Bm/view?usp=drivesdk" TargetMode="External"/><Relationship Id="rId2332" Type="http://schemas.openxmlformats.org/officeDocument/2006/relationships/hyperlink" Target="https://drive.google.com/file/d/1gwVanKS4WJ9V3s-MmlhoZ5fjUgoSqvVT/view?usp=drivesdk" TargetMode="External"/><Relationship Id="rId3662" Type="http://schemas.openxmlformats.org/officeDocument/2006/relationships/hyperlink" Target="https://drive.google.com/file/d/1FdGLmZ_kw_hGoU5-wIZgdfs4Gkacig_2/view?usp=drivesdk" TargetMode="External"/><Relationship Id="rId4993" Type="http://schemas.openxmlformats.org/officeDocument/2006/relationships/hyperlink" Target="https://drive.google.com/file/d/1sac82J-VCADa9yzDfvO0S2OnS93mvuuL/view?usp=drivesdk" TargetMode="External"/><Relationship Id="rId1002" Type="http://schemas.openxmlformats.org/officeDocument/2006/relationships/hyperlink" Target="https://drive.google.com/file/d/1ErTMtg7N-wAnune_dVQHIwpqpSUIfaCm/view?usp=drivesdk" TargetMode="External"/><Relationship Id="rId2333" Type="http://schemas.openxmlformats.org/officeDocument/2006/relationships/hyperlink" Target="https://drive.google.com/file/d/1d_Yeu891R4dD0eIYwVIR7aTLN1gvcu9d/view?usp=drivesdk" TargetMode="External"/><Relationship Id="rId3665" Type="http://schemas.openxmlformats.org/officeDocument/2006/relationships/hyperlink" Target="https://drive.google.com/file/d/1RxeIuZlJpqE4Sy9PAfzee_SpOSpv7H3v/view?usp=drivesdk" TargetMode="External"/><Relationship Id="rId4996" Type="http://schemas.openxmlformats.org/officeDocument/2006/relationships/hyperlink" Target="https://drive.google.com/file/d/1RTwvnTSCJDbYbGHOHb7vA60IpGx8-SsI/view?usp=drivesdk" TargetMode="External"/><Relationship Id="rId1003" Type="http://schemas.openxmlformats.org/officeDocument/2006/relationships/hyperlink" Target="https://drive.google.com/file/d/1MORt6q__s1jTiVyG1UEEqW645St24lEx/view?usp=drivesdk" TargetMode="External"/><Relationship Id="rId2334" Type="http://schemas.openxmlformats.org/officeDocument/2006/relationships/hyperlink" Target="https://drive.google.com/file/d/15h13SDfIaT5Nh-3Im5G5VlOueEA2G-YB/view?usp=drivesdk" TargetMode="External"/><Relationship Id="rId3664" Type="http://schemas.openxmlformats.org/officeDocument/2006/relationships/hyperlink" Target="https://drive.google.com/file/d/1CoIVIgW4kyuHVQiSAbWGw1uSrzCSIc8i/view?usp=drivesdk" TargetMode="External"/><Relationship Id="rId4995" Type="http://schemas.openxmlformats.org/officeDocument/2006/relationships/hyperlink" Target="https://drive.google.com/file/d/1iqiUp8B3h9OCADvuznGf2XiGrOevDypx/view?usp=drivesdk" TargetMode="External"/><Relationship Id="rId1037" Type="http://schemas.openxmlformats.org/officeDocument/2006/relationships/hyperlink" Target="https://drive.google.com/file/d/1EP_WWWXlSxfTQiomYatOH7G8FnnO6SPD/view?usp=drivesdk" TargetMode="External"/><Relationship Id="rId2368" Type="http://schemas.openxmlformats.org/officeDocument/2006/relationships/hyperlink" Target="https://drive.google.com/file/d/199YR1fw3BukmTjxODcLr4y1gddVckIrK/view?usp=drivesdk" TargetMode="External"/><Relationship Id="rId1038" Type="http://schemas.openxmlformats.org/officeDocument/2006/relationships/hyperlink" Target="https://drive.google.com/file/d/1ufRSM8fxhF78S9UMokJzyscBVL94YveD/view?usp=drivesdk" TargetMode="External"/><Relationship Id="rId2369" Type="http://schemas.openxmlformats.org/officeDocument/2006/relationships/hyperlink" Target="https://drive.google.com/file/d/1svYU468ksBav5rzY9AmniBwcLv9PKQrg/view?usp=drivesdk" TargetMode="External"/><Relationship Id="rId3699" Type="http://schemas.openxmlformats.org/officeDocument/2006/relationships/hyperlink" Target="https://drive.google.com/file/d/15PYPVYWMOQ1osRcEnXHbHJt-KIt-BO09/view?usp=drivesdk" TargetMode="External"/><Relationship Id="rId1039" Type="http://schemas.openxmlformats.org/officeDocument/2006/relationships/hyperlink" Target="https://drive.google.com/file/d/17XQZUBzf_6b4c48is7AxUc96ijptDHRP/view?usp=drivesdk" TargetMode="External"/><Relationship Id="rId206" Type="http://schemas.openxmlformats.org/officeDocument/2006/relationships/hyperlink" Target="https://drive.google.com/file/d/1pxBKi50OQhhUd3rcvYQA4W9LjdcRcBK2/view?usp=drivesdk" TargetMode="External"/><Relationship Id="rId205" Type="http://schemas.openxmlformats.org/officeDocument/2006/relationships/hyperlink" Target="https://drive.google.com/file/d/1BYws5rZk2Sb0QPk4KAyH5p8OX1qukEUX/view?usp=drivesdk" TargetMode="External"/><Relationship Id="rId204" Type="http://schemas.openxmlformats.org/officeDocument/2006/relationships/hyperlink" Target="https://drive.google.com/file/d/1_ADMMdvGFnqQraPoVlHwwZWLUWuQpnG9/view?usp=drivesdk" TargetMode="External"/><Relationship Id="rId203" Type="http://schemas.openxmlformats.org/officeDocument/2006/relationships/hyperlink" Target="https://drive.google.com/file/d/1UTPtWLosvA9x8u8YE9mpO0PYkLINJ3IF/view?usp=drivesdk" TargetMode="External"/><Relationship Id="rId209" Type="http://schemas.openxmlformats.org/officeDocument/2006/relationships/hyperlink" Target="https://drive.google.com/file/d/1viWstBAVVRbV2QaANRpGbwo-SzL-aIRi/view?usp=drivesdk" TargetMode="External"/><Relationship Id="rId208" Type="http://schemas.openxmlformats.org/officeDocument/2006/relationships/hyperlink" Target="https://drive.google.com/file/d/1tkMffRUu63C-z1yTFrQ0sNqRQt_HmETk/view?usp=drivesdk" TargetMode="External"/><Relationship Id="rId3690" Type="http://schemas.openxmlformats.org/officeDocument/2006/relationships/hyperlink" Target="https://drive.google.com/file/d/1SG_RmVaD7sjGzOvrMyl5mJIDMV0TBvQV/view?usp=drivesdk" TargetMode="External"/><Relationship Id="rId207" Type="http://schemas.openxmlformats.org/officeDocument/2006/relationships/hyperlink" Target="https://drive.google.com/file/d/1qqkI1--BGkBmZn1V3J0UvBWOFgdAjAYA/view?usp=drivesdk" TargetMode="External"/><Relationship Id="rId2360" Type="http://schemas.openxmlformats.org/officeDocument/2006/relationships/hyperlink" Target="https://drive.google.com/file/d/1JOgBHtGY_F0qIAlaokcP4_BBay4yDHwv/view?usp=drivesdk" TargetMode="External"/><Relationship Id="rId3692" Type="http://schemas.openxmlformats.org/officeDocument/2006/relationships/hyperlink" Target="https://drive.google.com/file/d/1DmgQhHhes8JgRbD-u20lAm6xUJ3I9Fsi/view?usp=drivesdk" TargetMode="External"/><Relationship Id="rId1030" Type="http://schemas.openxmlformats.org/officeDocument/2006/relationships/hyperlink" Target="https://drive.google.com/file/d/1mLGcx0BaI938DSia4emLsabgkxcS_2-W/view?usp=drivesdk" TargetMode="External"/><Relationship Id="rId2361" Type="http://schemas.openxmlformats.org/officeDocument/2006/relationships/hyperlink" Target="https://drive.google.com/file/d/1c-1yx43I3ESCxSpbufj4xs0ViK2eeu9V/view?usp=drivesdk" TargetMode="External"/><Relationship Id="rId3691" Type="http://schemas.openxmlformats.org/officeDocument/2006/relationships/hyperlink" Target="https://drive.google.com/file/d/12UYGIoqQ2P1c6ZQfgY8v0Zmfcg1rkvKv/view?usp=drivesdk" TargetMode="External"/><Relationship Id="rId1031" Type="http://schemas.openxmlformats.org/officeDocument/2006/relationships/hyperlink" Target="https://drive.google.com/file/d/1aVuo-YTtKGZqS9dzkbzdyXICdwJbG5u5/view?usp=drivesdk" TargetMode="External"/><Relationship Id="rId2362" Type="http://schemas.openxmlformats.org/officeDocument/2006/relationships/hyperlink" Target="https://drive.google.com/file/d/1haJbeAMhGtbFOCb4lz5t19oYaF1RShhm/view?usp=drivesdk" TargetMode="External"/><Relationship Id="rId3694" Type="http://schemas.openxmlformats.org/officeDocument/2006/relationships/hyperlink" Target="https://drive.google.com/file/d/1Hpm6Lr-noJTIoQ3ZvoeBYifpQPm1yH8X/view?usp=drivesdk" TargetMode="External"/><Relationship Id="rId1032" Type="http://schemas.openxmlformats.org/officeDocument/2006/relationships/hyperlink" Target="https://drive.google.com/file/d/1-hljWm7QOtRzzHn9Rk2FWdBpUfAUKvuN/view?usp=drivesdk" TargetMode="External"/><Relationship Id="rId2363" Type="http://schemas.openxmlformats.org/officeDocument/2006/relationships/hyperlink" Target="https://drive.google.com/file/d/1hUsGgHYA9EvUCUE6FkXHovaGPbQA9JpC/view?usp=drivesdk" TargetMode="External"/><Relationship Id="rId3693" Type="http://schemas.openxmlformats.org/officeDocument/2006/relationships/hyperlink" Target="https://drive.google.com/file/d/1fDlr6Z4R9CtzQAXqxrxoWXz67Daxp7zl/view?usp=drivesdk" TargetMode="External"/><Relationship Id="rId202" Type="http://schemas.openxmlformats.org/officeDocument/2006/relationships/hyperlink" Target="https://drive.google.com/file/d/1S0zNtdao1d-cemVbVtPTgqwAO6Kpmcko/view?usp=drivesdk" TargetMode="External"/><Relationship Id="rId1033" Type="http://schemas.openxmlformats.org/officeDocument/2006/relationships/hyperlink" Target="https://drive.google.com/file/d/1UZItQLSHh-WbzZiPwNBVxWoxKeBKnyv5/view?usp=drivesdk" TargetMode="External"/><Relationship Id="rId2364" Type="http://schemas.openxmlformats.org/officeDocument/2006/relationships/hyperlink" Target="https://drive.google.com/file/d/1V1FBQbx0UHTT8tEX4UPE5F0zKszMFsOF/view?usp=drivesdk" TargetMode="External"/><Relationship Id="rId3696" Type="http://schemas.openxmlformats.org/officeDocument/2006/relationships/hyperlink" Target="https://drive.google.com/file/d/1jC5oXKV-zAWZ8086UnDJi_wWbRZ2wOOZ/view?usp=drivesdk" TargetMode="External"/><Relationship Id="rId201" Type="http://schemas.openxmlformats.org/officeDocument/2006/relationships/hyperlink" Target="https://drive.google.com/file/d/1mRYqXwaAl74OWiCWKBhTLhFDX2NT6l2t/view?usp=drivesdk" TargetMode="External"/><Relationship Id="rId1034" Type="http://schemas.openxmlformats.org/officeDocument/2006/relationships/hyperlink" Target="https://drive.google.com/file/d/1jjrj-kHpmquZOsQve-DFxbyWZs7FEFV0/view?usp=drivesdk" TargetMode="External"/><Relationship Id="rId2365" Type="http://schemas.openxmlformats.org/officeDocument/2006/relationships/hyperlink" Target="https://drive.google.com/file/d/1VWHobvB6B-obdR9EpFoaorIV4499C9pf/view?usp=drivesdk" TargetMode="External"/><Relationship Id="rId3695" Type="http://schemas.openxmlformats.org/officeDocument/2006/relationships/hyperlink" Target="https://drive.google.com/file/d/12uZwW5dqafB--L3GbUKXjLdtIg7zZgfP/view?usp=drivesdk" TargetMode="External"/><Relationship Id="rId200" Type="http://schemas.openxmlformats.org/officeDocument/2006/relationships/hyperlink" Target="https://drive.google.com/file/d/1WcVzbEAZiJZufgfnSFd40R56YbtidruN/view?usp=drivesdk" TargetMode="External"/><Relationship Id="rId1035" Type="http://schemas.openxmlformats.org/officeDocument/2006/relationships/hyperlink" Target="https://drive.google.com/file/d/1xWpUwDWIfC-OY7QjJ5PHkeg7ZQvtMbau/view?usp=drivesdk" TargetMode="External"/><Relationship Id="rId2366" Type="http://schemas.openxmlformats.org/officeDocument/2006/relationships/hyperlink" Target="https://drive.google.com/file/d/1ZL30siWs_hEMK-E9-k9vk3ADqXBdlZCi/view?usp=drivesdk" TargetMode="External"/><Relationship Id="rId3698" Type="http://schemas.openxmlformats.org/officeDocument/2006/relationships/hyperlink" Target="https://drive.google.com/file/d/1OQeBiz7cjjmS-_aFhW30DEQlHWBXfke6/view?usp=drivesdk" TargetMode="External"/><Relationship Id="rId1036" Type="http://schemas.openxmlformats.org/officeDocument/2006/relationships/hyperlink" Target="https://drive.google.com/file/d/1j8Fe88Mey7jwYYfUo72L61PDEoY0HnaU/view?usp=drivesdk" TargetMode="External"/><Relationship Id="rId2367" Type="http://schemas.openxmlformats.org/officeDocument/2006/relationships/hyperlink" Target="https://drive.google.com/file/d/1ST4YvzGTLdERaErDR5dHW1AvyRc4vPQg/view?usp=drivesdk" TargetMode="External"/><Relationship Id="rId3697" Type="http://schemas.openxmlformats.org/officeDocument/2006/relationships/hyperlink" Target="https://drive.google.com/file/d/1bGZcRNpqZsxfD7200bjUKpM1IsP4lca_/view?usp=drivesdk" TargetMode="External"/><Relationship Id="rId1026" Type="http://schemas.openxmlformats.org/officeDocument/2006/relationships/hyperlink" Target="https://drive.google.com/file/d/1Rpdcny1vn8MpiqoYT8T3Rg-reb0oEok3/view?usp=drivesdk" TargetMode="External"/><Relationship Id="rId2357" Type="http://schemas.openxmlformats.org/officeDocument/2006/relationships/hyperlink" Target="https://drive.google.com/file/d/1SooMbFZE8hhWnVeHkvVd1PR4aCC7ZnVE/view?usp=drivesdk" TargetMode="External"/><Relationship Id="rId3689" Type="http://schemas.openxmlformats.org/officeDocument/2006/relationships/hyperlink" Target="https://drive.google.com/file/d/1p4Zm1xgiUOZo_7kHfl-pmYiuZzcKLpcL/view?usp=drivesdk" TargetMode="External"/><Relationship Id="rId1027" Type="http://schemas.openxmlformats.org/officeDocument/2006/relationships/hyperlink" Target="https://drive.google.com/file/d/1lEUVE1870vggBmcdMLU2WPsv3oJ8TDxj/view?usp=drivesdk" TargetMode="External"/><Relationship Id="rId2358" Type="http://schemas.openxmlformats.org/officeDocument/2006/relationships/hyperlink" Target="https://drive.google.com/file/d/1qfUA1SQSRKtQf3mmMzKwpJkhmaaNDjry/view?usp=drivesdk" TargetMode="External"/><Relationship Id="rId3688" Type="http://schemas.openxmlformats.org/officeDocument/2006/relationships/hyperlink" Target="https://drive.google.com/file/d/1Nzwy7XXznLq6Jo4l3kkj6hbbW-_CQosb/view?usp=drivesdk" TargetMode="External"/><Relationship Id="rId1028" Type="http://schemas.openxmlformats.org/officeDocument/2006/relationships/hyperlink" Target="https://drive.google.com/file/d/1ezTohhte0fQk-H_dmoD3WCN3p1vSAVAg/view?usp=drivesdk" TargetMode="External"/><Relationship Id="rId2359" Type="http://schemas.openxmlformats.org/officeDocument/2006/relationships/hyperlink" Target="https://drive.google.com/file/d/1w_gaFOyntQ8DG2haLSicxmStmbuPMa3X/view?usp=drivesdk" TargetMode="External"/><Relationship Id="rId1029" Type="http://schemas.openxmlformats.org/officeDocument/2006/relationships/hyperlink" Target="https://drive.google.com/file/d/1eEbLDyT1DivJlwe1-KiYJfkgQSdETg9e/view?usp=drivesdk" TargetMode="External"/><Relationship Id="rId3681" Type="http://schemas.openxmlformats.org/officeDocument/2006/relationships/hyperlink" Target="https://drive.google.com/file/d/1MmCHAfNw8JzZQ6Yl-jeUXgdJy_15oAd5/view?usp=drivesdk" TargetMode="External"/><Relationship Id="rId2350" Type="http://schemas.openxmlformats.org/officeDocument/2006/relationships/hyperlink" Target="https://drive.google.com/file/d/11NIriMGZtC-1uJEz-GEFfUWSr8FZZEqH/view?usp=drivesdk" TargetMode="External"/><Relationship Id="rId3680" Type="http://schemas.openxmlformats.org/officeDocument/2006/relationships/hyperlink" Target="https://drive.google.com/file/d/1TPvALGb0Ela2J03_qCr4PPyBsqiR6dpQ/view?usp=drivesdk" TargetMode="External"/><Relationship Id="rId1020" Type="http://schemas.openxmlformats.org/officeDocument/2006/relationships/hyperlink" Target="https://drive.google.com/file/d/18MzHrLDpZCf_VTg7kV2k4npuxCAOiI2n/view?usp=drivesdk" TargetMode="External"/><Relationship Id="rId2351" Type="http://schemas.openxmlformats.org/officeDocument/2006/relationships/hyperlink" Target="https://drive.google.com/file/d/1ZwQTDY0fAlMdEYzZ5LlxWW0ukDd_zfy9/view?usp=drivesdk" TargetMode="External"/><Relationship Id="rId3683" Type="http://schemas.openxmlformats.org/officeDocument/2006/relationships/hyperlink" Target="https://drive.google.com/file/d/1Wv51yKz1FFfbiwbNSCj247KGU6INukJn/view?usp=drivesdk" TargetMode="External"/><Relationship Id="rId1021" Type="http://schemas.openxmlformats.org/officeDocument/2006/relationships/hyperlink" Target="https://drive.google.com/file/d/1Ms38IejRAAoOFqoxNVHns283ItFmTpQ5/view?usp=drivesdk" TargetMode="External"/><Relationship Id="rId2352" Type="http://schemas.openxmlformats.org/officeDocument/2006/relationships/hyperlink" Target="https://drive.google.com/file/d/15l2TUN5Nh4CFGsGCloZuIGlUQ-IWDnbk/view?usp=drivesdk" TargetMode="External"/><Relationship Id="rId3682" Type="http://schemas.openxmlformats.org/officeDocument/2006/relationships/hyperlink" Target="https://drive.google.com/file/d/17sGTjKRABn-SuVZpTGraCJFY5suqKk9K/view?usp=drivesdk" TargetMode="External"/><Relationship Id="rId1022" Type="http://schemas.openxmlformats.org/officeDocument/2006/relationships/hyperlink" Target="https://drive.google.com/file/d/1EM9iACksw0c2KUWwGjPZuy5kFPBH5oen/view?usp=drivesdk" TargetMode="External"/><Relationship Id="rId2353" Type="http://schemas.openxmlformats.org/officeDocument/2006/relationships/hyperlink" Target="https://drive.google.com/file/d/1z2dvs6P809Fp7zl3AlXewXSzLugXGAHA/view?usp=drivesdk" TargetMode="External"/><Relationship Id="rId3685" Type="http://schemas.openxmlformats.org/officeDocument/2006/relationships/hyperlink" Target="https://drive.google.com/file/d/1ExBwr1YTaUtTwWDRsmkfoOO6IuHS9tVd/view?usp=drivesdk" TargetMode="External"/><Relationship Id="rId1023" Type="http://schemas.openxmlformats.org/officeDocument/2006/relationships/hyperlink" Target="https://drive.google.com/file/d/1XOmSh9Ohw4BWsiJ2nLHCjkWVLWxrS2Cw/view?usp=drivesdk" TargetMode="External"/><Relationship Id="rId2354" Type="http://schemas.openxmlformats.org/officeDocument/2006/relationships/hyperlink" Target="https://drive.google.com/file/d/1XQlggOM3xifyIhbHlTGu28XNpS2FpPqR/view?usp=drivesdk" TargetMode="External"/><Relationship Id="rId3684" Type="http://schemas.openxmlformats.org/officeDocument/2006/relationships/hyperlink" Target="https://drive.google.com/file/d/1gQsBm95Zk-5zgFsLzmROeZsFnDek2ypk/view?usp=drivesdk" TargetMode="External"/><Relationship Id="rId1024" Type="http://schemas.openxmlformats.org/officeDocument/2006/relationships/hyperlink" Target="https://drive.google.com/file/d/1XPifk_aXVeuss81_BtUZ5gLgDhuh2ut0/view?usp=drivesdk" TargetMode="External"/><Relationship Id="rId2355" Type="http://schemas.openxmlformats.org/officeDocument/2006/relationships/hyperlink" Target="https://drive.google.com/file/d/1jf9gS1HFGy3A_Yq8gdr-MkwqA7bBd7vp/view?usp=drivesdk" TargetMode="External"/><Relationship Id="rId3687" Type="http://schemas.openxmlformats.org/officeDocument/2006/relationships/hyperlink" Target="https://drive.google.com/file/d/1qSLA4IJ1eOOFsTinMIvHGPetFtesUJL6/view?usp=drivesdk" TargetMode="External"/><Relationship Id="rId1025" Type="http://schemas.openxmlformats.org/officeDocument/2006/relationships/hyperlink" Target="https://drive.google.com/file/d/13HDekgwedAsMy2vAQ-WsBiGgwk0SeQ8f/view?usp=drivesdk" TargetMode="External"/><Relationship Id="rId2356" Type="http://schemas.openxmlformats.org/officeDocument/2006/relationships/hyperlink" Target="https://drive.google.com/file/d/1lOVuzhacFQIaV6f1QiIE0JZ0LtVu7J-2/view?usp=drivesdk" TargetMode="External"/><Relationship Id="rId3686" Type="http://schemas.openxmlformats.org/officeDocument/2006/relationships/hyperlink" Target="https://drive.google.com/file/d/1omHviEV8Iz2PtZ7EnWuedG8gcP3jkPNn/view?usp=drivesdk" TargetMode="External"/><Relationship Id="rId4161" Type="http://schemas.openxmlformats.org/officeDocument/2006/relationships/hyperlink" Target="https://drive.google.com/file/d/19NXW3Ijt2GPUWMNGL1PTkgczgBDBVGVt/view?usp=drivesdk" TargetMode="External"/><Relationship Id="rId4160" Type="http://schemas.openxmlformats.org/officeDocument/2006/relationships/hyperlink" Target="https://drive.google.com/file/d/1_jxsTXW7JeXKZ8edN1tlFHRKTJoJRzlr/view?usp=drivesdk" TargetMode="External"/><Relationship Id="rId4163" Type="http://schemas.openxmlformats.org/officeDocument/2006/relationships/hyperlink" Target="https://drive.google.com/file/d/1JigVMvMNTYhRMkIR6tCyqpyZlr6c6fg8/view?usp=drivesdk" TargetMode="External"/><Relationship Id="rId4162" Type="http://schemas.openxmlformats.org/officeDocument/2006/relationships/hyperlink" Target="https://drive.google.com/file/d/1gIiJ_1NhqdI2P0o2MLWnFJx4ffFISzEw/view?usp=drivesdk" TargetMode="External"/><Relationship Id="rId4165" Type="http://schemas.openxmlformats.org/officeDocument/2006/relationships/hyperlink" Target="https://drive.google.com/file/d/1tYSC2PLNuLm-o0Bmgti5W_gEo7kurUQD/view?usp=drivesdk" TargetMode="External"/><Relationship Id="rId4164" Type="http://schemas.openxmlformats.org/officeDocument/2006/relationships/hyperlink" Target="https://drive.google.com/file/d/1rMlJ1msNkz3-uKkSKdKNPlVeVchK5_Hz/view?usp=drivesdk" TargetMode="External"/><Relationship Id="rId4167" Type="http://schemas.openxmlformats.org/officeDocument/2006/relationships/hyperlink" Target="https://drive.google.com/file/d/1FIPcUnqGOIJlIOYft_eI0g0lhfQGl0po/view?usp=drivesdk" TargetMode="External"/><Relationship Id="rId4166" Type="http://schemas.openxmlformats.org/officeDocument/2006/relationships/hyperlink" Target="https://drive.google.com/file/d/1VG-DBNmvpH_Ha0WbXty0UpsNPeGnuax6/view?usp=drivesdk" TargetMode="External"/><Relationship Id="rId4169" Type="http://schemas.openxmlformats.org/officeDocument/2006/relationships/hyperlink" Target="https://drive.google.com/file/d/1_unIAYVJ01ykvuH_V1d0I_61BWDvGOMw/view?usp=drivesdk" TargetMode="External"/><Relationship Id="rId4168" Type="http://schemas.openxmlformats.org/officeDocument/2006/relationships/hyperlink" Target="https://drive.google.com/file/d/1WaIJUWTvqTrNJoEQmi1mk_hygkEAK7Zd/view?usp=drivesdk" TargetMode="External"/><Relationship Id="rId4150" Type="http://schemas.openxmlformats.org/officeDocument/2006/relationships/hyperlink" Target="https://drive.google.com/file/d/1HZVA3himnpqeNlFLdI1i-nVqHOqdLch9/view?usp=drivesdk" TargetMode="External"/><Relationship Id="rId4152" Type="http://schemas.openxmlformats.org/officeDocument/2006/relationships/hyperlink" Target="https://drive.google.com/file/d/1GzXfcwW0RfieybSYL8Bjd305t6zF4dnh/view?usp=drivesdk" TargetMode="External"/><Relationship Id="rId4151" Type="http://schemas.openxmlformats.org/officeDocument/2006/relationships/hyperlink" Target="https://drive.google.com/file/d/1cRAND567pBZs0NPbqHfAngwN1KbRqLZf/view?usp=drivesdk" TargetMode="External"/><Relationship Id="rId4154" Type="http://schemas.openxmlformats.org/officeDocument/2006/relationships/hyperlink" Target="https://drive.google.com/file/d/1twvyWHWn9U39zm7S-ZFVR9FspvNXt4_Q/view?usp=drivesdk" TargetMode="External"/><Relationship Id="rId4153" Type="http://schemas.openxmlformats.org/officeDocument/2006/relationships/hyperlink" Target="https://drive.google.com/file/d/16PvgEmuZLPzMlhEVxxqBbRsusrC2wsCy/view?usp=drivesdk" TargetMode="External"/><Relationship Id="rId4156" Type="http://schemas.openxmlformats.org/officeDocument/2006/relationships/hyperlink" Target="https://drive.google.com/file/d/1PWEooqF6roKwe5Sj_rpwwARlXFSVDhD8/view?usp=drivesdk" TargetMode="External"/><Relationship Id="rId4155" Type="http://schemas.openxmlformats.org/officeDocument/2006/relationships/hyperlink" Target="https://drive.google.com/file/d/1zxm23cx3ZRqlrFiLKtI4uNmGS4YXoExM/view?usp=drivesdk" TargetMode="External"/><Relationship Id="rId4158" Type="http://schemas.openxmlformats.org/officeDocument/2006/relationships/hyperlink" Target="https://drive.google.com/file/d/1gXVS-mfIKl7yvnd9QVdjM2en4_nGd-MN/view?usp=drivesdk" TargetMode="External"/><Relationship Id="rId4157" Type="http://schemas.openxmlformats.org/officeDocument/2006/relationships/hyperlink" Target="https://drive.google.com/file/d/1BuPfQVnyEgHfNUugJmDzumbQlJdANGOe/view?usp=drivesdk" TargetMode="External"/><Relationship Id="rId4159" Type="http://schemas.openxmlformats.org/officeDocument/2006/relationships/hyperlink" Target="https://drive.google.com/file/d/1VRIJZrmeEE3tKbmhaM6i0V4MPHfJnRre/view?usp=drivesdk" TargetMode="External"/><Relationship Id="rId1910" Type="http://schemas.openxmlformats.org/officeDocument/2006/relationships/hyperlink" Target="https://drive.google.com/file/d/1NisvMZCXD2JCK6rFpdVTEYMtXqj1GmcW/view?usp=drivesdk" TargetMode="External"/><Relationship Id="rId1911" Type="http://schemas.openxmlformats.org/officeDocument/2006/relationships/hyperlink" Target="https://drive.google.com/file/d/1aNHYRMmIapRpJay7NiW-KJE-iQLLbDJq/view?usp=drivesdk" TargetMode="External"/><Relationship Id="rId1912" Type="http://schemas.openxmlformats.org/officeDocument/2006/relationships/hyperlink" Target="https://drive.google.com/file/d/1aNBkRddPpoFLFzM4A7XGCJb-7a0rkVnB/view?usp=drivesdk" TargetMode="External"/><Relationship Id="rId1913" Type="http://schemas.openxmlformats.org/officeDocument/2006/relationships/hyperlink" Target="https://drive.google.com/file/d/1bpFCoO2ARhzbGNyXdSEL6kRljmlkFhG7/view?usp=drivesdk" TargetMode="External"/><Relationship Id="rId1914" Type="http://schemas.openxmlformats.org/officeDocument/2006/relationships/hyperlink" Target="https://drive.google.com/file/d/1_lIcRoHI5NDflio_9XYiCOuVXqTNlU5p/view?usp=drivesdk" TargetMode="External"/><Relationship Id="rId1915" Type="http://schemas.openxmlformats.org/officeDocument/2006/relationships/hyperlink" Target="https://drive.google.com/file/d/1RJZDUl_Wy4RI5wUJjKgC-lFUnbfazK-U/view?usp=drivesdk" TargetMode="External"/><Relationship Id="rId1916" Type="http://schemas.openxmlformats.org/officeDocument/2006/relationships/hyperlink" Target="https://drive.google.com/file/d/1jhcS9RtIFSpKX5KIUF5HO5DWASdf2kpM/view?usp=drivesdk" TargetMode="External"/><Relationship Id="rId1917" Type="http://schemas.openxmlformats.org/officeDocument/2006/relationships/hyperlink" Target="https://drive.google.com/file/d/1bkp8mgvBF2So5pIG7eZ4kAh3lM58Zyyx/view?usp=drivesdk" TargetMode="External"/><Relationship Id="rId1918" Type="http://schemas.openxmlformats.org/officeDocument/2006/relationships/hyperlink" Target="https://drive.google.com/file/d/1N4tvg1euorTFPEuSrR77DQUJiaojUVpY/view?usp=drivesdk" TargetMode="External"/><Relationship Id="rId1919" Type="http://schemas.openxmlformats.org/officeDocument/2006/relationships/hyperlink" Target="https://drive.google.com/file/d/1f8_Wr9iDbJXkjMhpeJ1YjeRQEhy38v8-/view?usp=drivesdk" TargetMode="External"/><Relationship Id="rId4181" Type="http://schemas.openxmlformats.org/officeDocument/2006/relationships/hyperlink" Target="https://drive.google.com/file/d/1-VxpKDOiXxGfp1I0fUswTHlZqWU4_Be7/view?usp=drivesdk" TargetMode="External"/><Relationship Id="rId4180" Type="http://schemas.openxmlformats.org/officeDocument/2006/relationships/hyperlink" Target="https://drive.google.com/file/d/1rZP3dzsIEQKXqkzPRte8DGVrdcfQVUhD/view?usp=drivesdk" TargetMode="External"/><Relationship Id="rId4183" Type="http://schemas.openxmlformats.org/officeDocument/2006/relationships/hyperlink" Target="https://drive.google.com/file/d/1yUHJ-xbh5y9BA05QI_msdFXos1gWCX7Q/view?usp=drivesdk" TargetMode="External"/><Relationship Id="rId4182" Type="http://schemas.openxmlformats.org/officeDocument/2006/relationships/hyperlink" Target="https://drive.google.com/file/d/1AwvK5qfe9Bac12pLWRcq-T4eGyBxs0Tq/view?usp=drivesdk" TargetMode="External"/><Relationship Id="rId4185" Type="http://schemas.openxmlformats.org/officeDocument/2006/relationships/hyperlink" Target="https://drive.google.com/file/d/1HD0li0vKCsQBahaXo9BZk_o0s9G19H1Q/view?usp=drivesdk" TargetMode="External"/><Relationship Id="rId4184" Type="http://schemas.openxmlformats.org/officeDocument/2006/relationships/hyperlink" Target="https://drive.google.com/file/d/1oykki7XSU2X9iqIPqlOohzmkRNg1lczH/view?usp=drivesdk" TargetMode="External"/><Relationship Id="rId4187" Type="http://schemas.openxmlformats.org/officeDocument/2006/relationships/hyperlink" Target="https://drive.google.com/file/d/1LJPX1Ga6hyqmTYPVje_hk6ooWiqqtm6J/view?usp=drivesdk" TargetMode="External"/><Relationship Id="rId4186" Type="http://schemas.openxmlformats.org/officeDocument/2006/relationships/hyperlink" Target="https://drive.google.com/file/d/1IxmnORsNU2AIVPhnYF2d8ePjxRa_lbAh/view?usp=drivesdk" TargetMode="External"/><Relationship Id="rId4189" Type="http://schemas.openxmlformats.org/officeDocument/2006/relationships/hyperlink" Target="https://drive.google.com/file/d/1eiV2oF7oN7yQfMM-euoTrCGmXuEOVyjt/view?usp=drivesdk" TargetMode="External"/><Relationship Id="rId4188" Type="http://schemas.openxmlformats.org/officeDocument/2006/relationships/hyperlink" Target="https://drive.google.com/file/d/1fN-vPocqnW0NAgQMeKkWQh7pEoPWgbfc/view?usp=drivesdk" TargetMode="External"/><Relationship Id="rId1900" Type="http://schemas.openxmlformats.org/officeDocument/2006/relationships/hyperlink" Target="https://drive.google.com/file/d/15frDMCeQYcy-WrHfde7pyCBWCpevi6K2/view?usp=drivesdk" TargetMode="External"/><Relationship Id="rId1901" Type="http://schemas.openxmlformats.org/officeDocument/2006/relationships/hyperlink" Target="https://drive.google.com/file/d/1j5mWQ_cN4PMBDUAtc0SYb3K1oBO72x5n/view?usp=drivesdk" TargetMode="External"/><Relationship Id="rId1902" Type="http://schemas.openxmlformats.org/officeDocument/2006/relationships/hyperlink" Target="https://drive.google.com/file/d/1UvoB145ubWR1fzhXsrdiE5ihp6NFXVS9/view?usp=drivesdk" TargetMode="External"/><Relationship Id="rId1903" Type="http://schemas.openxmlformats.org/officeDocument/2006/relationships/hyperlink" Target="https://drive.google.com/file/d/1H1rVjPFfFVksyubxVzc0lONfd-4zJYRe/view?usp=drivesdk" TargetMode="External"/><Relationship Id="rId1904" Type="http://schemas.openxmlformats.org/officeDocument/2006/relationships/hyperlink" Target="https://drive.google.com/file/d/1Bf7Q_QgeEPZ6tv9hwcf1RD25C1k7Qbf7/view?usp=drivesdk" TargetMode="External"/><Relationship Id="rId1905" Type="http://schemas.openxmlformats.org/officeDocument/2006/relationships/hyperlink" Target="https://drive.google.com/file/d/1hx3S77d9VRNej8myyO2RzZHb2aXhDq9D/view?usp=drivesdk" TargetMode="External"/><Relationship Id="rId1906" Type="http://schemas.openxmlformats.org/officeDocument/2006/relationships/hyperlink" Target="https://drive.google.com/file/d/1npq3z5go3Hvz7Ll4ldSifCXdDcn31xKe/view?usp=drivesdk" TargetMode="External"/><Relationship Id="rId1907" Type="http://schemas.openxmlformats.org/officeDocument/2006/relationships/hyperlink" Target="https://drive.google.com/file/d/1uczcXGuTLZvZaJIa4OMqXA5dM5ND-rk9/view?usp=drivesdk" TargetMode="External"/><Relationship Id="rId1908" Type="http://schemas.openxmlformats.org/officeDocument/2006/relationships/hyperlink" Target="https://drive.google.com/file/d/1jbYQYlmq_WPLrJ3epOTkzqC_Y3skJ4mC/view?usp=drivesdk" TargetMode="External"/><Relationship Id="rId1909" Type="http://schemas.openxmlformats.org/officeDocument/2006/relationships/hyperlink" Target="https://drive.google.com/file/d/1JwBq0tSvGaaEuAb0Z0Ue-3yzyoqsVAA-/view?usp=drivesdk" TargetMode="External"/><Relationship Id="rId4170" Type="http://schemas.openxmlformats.org/officeDocument/2006/relationships/hyperlink" Target="https://drive.google.com/file/d/1csP9ReHc9vEfD9OqzTjxYGikoiApHILd/view?usp=drivesdk" TargetMode="External"/><Relationship Id="rId4172" Type="http://schemas.openxmlformats.org/officeDocument/2006/relationships/hyperlink" Target="https://drive.google.com/file/d/1ZL9lo98KNc5Z95ZEgpJ01Wv6ZeE9WK1-/view?usp=drivesdk" TargetMode="External"/><Relationship Id="rId4171" Type="http://schemas.openxmlformats.org/officeDocument/2006/relationships/hyperlink" Target="https://drive.google.com/file/d/1-iFliubm2EneH7Wb5lU2QC8Tqx_OVX9U/view?usp=drivesdk" TargetMode="External"/><Relationship Id="rId4174" Type="http://schemas.openxmlformats.org/officeDocument/2006/relationships/hyperlink" Target="https://drive.google.com/file/d/1O8ANwxtsfsb-r7nE_wcBsh9nGrvb4g9d/view?usp=drivesdk" TargetMode="External"/><Relationship Id="rId4173" Type="http://schemas.openxmlformats.org/officeDocument/2006/relationships/hyperlink" Target="https://drive.google.com/file/d/1k_tItCZGwuYS4mn1gm9gtAddbC35R-SB/view?usp=drivesdk" TargetMode="External"/><Relationship Id="rId4176" Type="http://schemas.openxmlformats.org/officeDocument/2006/relationships/hyperlink" Target="https://drive.google.com/file/d/1Vlgp0SY7uhB2ASlU13xE_F-2eiihs0kV/view?usp=drivesdk" TargetMode="External"/><Relationship Id="rId4175" Type="http://schemas.openxmlformats.org/officeDocument/2006/relationships/hyperlink" Target="https://drive.google.com/file/d/1KSjNX1-uedHVRZMqPZ_pRr-dy7TUcjlQ/view?usp=drivesdk" TargetMode="External"/><Relationship Id="rId4178" Type="http://schemas.openxmlformats.org/officeDocument/2006/relationships/hyperlink" Target="https://drive.google.com/file/d/1hl_XypgIjYZnvZqnU3KgjI0Axaxx9bMF/view?usp=drivesdk" TargetMode="External"/><Relationship Id="rId4177" Type="http://schemas.openxmlformats.org/officeDocument/2006/relationships/hyperlink" Target="https://drive.google.com/file/d/1aHRcRIthKZrivDzYhY9dWTkvaPLsEELU/view?usp=drivesdk" TargetMode="External"/><Relationship Id="rId4179" Type="http://schemas.openxmlformats.org/officeDocument/2006/relationships/hyperlink" Target="https://drive.google.com/file/d/1j4GLHcoA3IGtVRxmhqz-SbaGnnGZpP2I/view?usp=drivesdk" TargetMode="External"/><Relationship Id="rId4129" Type="http://schemas.openxmlformats.org/officeDocument/2006/relationships/hyperlink" Target="https://drive.google.com/file/d/1I1dbY3_F9AXx5bEODWGdNUYyJMnKOzph/view?usp=drivesdk" TargetMode="External"/><Relationship Id="rId4128" Type="http://schemas.openxmlformats.org/officeDocument/2006/relationships/hyperlink" Target="https://drive.google.com/file/d/1A9u72CSehSf-ikWBFdOfCa8Qxgvbx_C3/view?usp=drivesdk" TargetMode="External"/><Relationship Id="rId1090" Type="http://schemas.openxmlformats.org/officeDocument/2006/relationships/hyperlink" Target="https://drive.google.com/file/d/1tI6ELlvZ4NFaY8co8Pp9T1ZpUGCVhVPD/view?usp=drivesdk" TargetMode="External"/><Relationship Id="rId1091" Type="http://schemas.openxmlformats.org/officeDocument/2006/relationships/hyperlink" Target="https://drive.google.com/file/d/1h7c26cj008jVtCMyDwarG053O6DsLpiI/view?usp=drivesdk" TargetMode="External"/><Relationship Id="rId1092" Type="http://schemas.openxmlformats.org/officeDocument/2006/relationships/hyperlink" Target="https://drive.google.com/file/d/159AQ6zGPvBiehg3s3qe2TcD0K2gF2FQR/view?usp=drivesdk" TargetMode="External"/><Relationship Id="rId1093" Type="http://schemas.openxmlformats.org/officeDocument/2006/relationships/hyperlink" Target="https://drive.google.com/file/d/1GkEJAsC1Ia1ILWaKgS-hBi3GjsWZEDAw/view?usp=drivesdk" TargetMode="External"/><Relationship Id="rId1094" Type="http://schemas.openxmlformats.org/officeDocument/2006/relationships/hyperlink" Target="https://drive.google.com/file/d/1FWw9Vgu84-HMRGpefqni5JVkB4JCltkL/view?usp=drivesdk" TargetMode="External"/><Relationship Id="rId1095" Type="http://schemas.openxmlformats.org/officeDocument/2006/relationships/hyperlink" Target="https://drive.google.com/file/d/1qH2QguqnFWVI2y4JwQG8r0RtYSsAXaJr/view?usp=drivesdk" TargetMode="External"/><Relationship Id="rId4121" Type="http://schemas.openxmlformats.org/officeDocument/2006/relationships/hyperlink" Target="https://drive.google.com/file/d/18Qf1WsMtQXhZfNx84mx7qQF2Z-q4qcAW/view?usp=drivesdk" TargetMode="External"/><Relationship Id="rId1096" Type="http://schemas.openxmlformats.org/officeDocument/2006/relationships/hyperlink" Target="https://drive.google.com/file/d/15gXzzfRTk028ch36rTJDj9my6m6SRSRY/view?usp=drivesdk" TargetMode="External"/><Relationship Id="rId4120" Type="http://schemas.openxmlformats.org/officeDocument/2006/relationships/hyperlink" Target="https://drive.google.com/file/d/1A1Y5hF_bcYKDltbAytXo9obIYfaSrwKO/view?usp=drivesdk" TargetMode="External"/><Relationship Id="rId1097" Type="http://schemas.openxmlformats.org/officeDocument/2006/relationships/hyperlink" Target="https://drive.google.com/file/d/1NAdaecTYri3PFQCU3jF2ev8NSiX2KQl1/view?usp=drivesdk" TargetMode="External"/><Relationship Id="rId4123" Type="http://schemas.openxmlformats.org/officeDocument/2006/relationships/hyperlink" Target="https://drive.google.com/file/d/1rKrxUBDWaKYP8GL0qTlC9ZYjvBsHrjWK/view?usp=drivesdk" TargetMode="External"/><Relationship Id="rId1098" Type="http://schemas.openxmlformats.org/officeDocument/2006/relationships/hyperlink" Target="https://drive.google.com/file/d/1f-8GQ_g2sffwkMAVxruA_C_hBwARfoLC/view?usp=drivesdk" TargetMode="External"/><Relationship Id="rId4122" Type="http://schemas.openxmlformats.org/officeDocument/2006/relationships/hyperlink" Target="https://drive.google.com/file/d/1aCdMhDNIrxSPKgw-r9iJDK8ThhouuHOl/view?usp=drivesdk" TargetMode="External"/><Relationship Id="rId1099" Type="http://schemas.openxmlformats.org/officeDocument/2006/relationships/hyperlink" Target="https://drive.google.com/file/d/19YZ7GMjyx0zvPOBPFLK0xK37U37LPHpk/view?usp=drivesdk" TargetMode="External"/><Relationship Id="rId4125" Type="http://schemas.openxmlformats.org/officeDocument/2006/relationships/hyperlink" Target="https://drive.google.com/file/d/1xGCNiRHTwI8Oh5OCTAOWhUYAWSgwyttJ/view?usp=drivesdk" TargetMode="External"/><Relationship Id="rId4124" Type="http://schemas.openxmlformats.org/officeDocument/2006/relationships/hyperlink" Target="https://drive.google.com/file/d/175HgwUFZcjxGl1b-QL8JABwBdOICOSx2/view?usp=drivesdk" TargetMode="External"/><Relationship Id="rId4127" Type="http://schemas.openxmlformats.org/officeDocument/2006/relationships/hyperlink" Target="https://drive.google.com/file/d/1oXEW_lzJStZnQ1JpXtXbd6S5ZA6NXhfs/view?usp=drivesdk" TargetMode="External"/><Relationship Id="rId4126" Type="http://schemas.openxmlformats.org/officeDocument/2006/relationships/hyperlink" Target="https://drive.google.com/file/d/1ANOF2fjgL88UgNT0zgEYRWE_ykTYoj7S/view?usp=drivesdk" TargetMode="External"/><Relationship Id="rId4118" Type="http://schemas.openxmlformats.org/officeDocument/2006/relationships/hyperlink" Target="https://drive.google.com/file/d/18G3g4vPvKWUm-vZLwCfpQMm1ZzHhgyJq/view?usp=drivesdk" TargetMode="External"/><Relationship Id="rId4117" Type="http://schemas.openxmlformats.org/officeDocument/2006/relationships/hyperlink" Target="https://drive.google.com/file/d/1DMg_iUY7KQS6djYFMM0AMbvIQxjJkeEV/view?usp=drivesdk" TargetMode="External"/><Relationship Id="rId4119" Type="http://schemas.openxmlformats.org/officeDocument/2006/relationships/hyperlink" Target="https://drive.google.com/file/d/10RsvqS8imrs9e3q8nqj5g6lCNdBGQZtX/view?usp=drivesdk" TargetMode="External"/><Relationship Id="rId1080" Type="http://schemas.openxmlformats.org/officeDocument/2006/relationships/hyperlink" Target="https://drive.google.com/file/d/1gWPW2N1gWoDN7xS2-x1rhSqoJJ5GJkBD/view?usp=drivesdk" TargetMode="External"/><Relationship Id="rId1081" Type="http://schemas.openxmlformats.org/officeDocument/2006/relationships/hyperlink" Target="https://drive.google.com/file/d/1VDo5pz4MNPjeZZIlNq1-wX14bVVY41GH/view?usp=drivesdk" TargetMode="External"/><Relationship Id="rId1082" Type="http://schemas.openxmlformats.org/officeDocument/2006/relationships/hyperlink" Target="https://drive.google.com/file/d/1MknjJ5gJCfvMBAnVJ0WJUmuNFwvS0CgR/view?usp=drivesdk" TargetMode="External"/><Relationship Id="rId1083" Type="http://schemas.openxmlformats.org/officeDocument/2006/relationships/hyperlink" Target="https://drive.google.com/file/d/1pbgJP4yznWTIFLdiTFBc_9HJqFYnKMlR/view?usp=drivesdk" TargetMode="External"/><Relationship Id="rId1084" Type="http://schemas.openxmlformats.org/officeDocument/2006/relationships/hyperlink" Target="https://drive.google.com/file/d/1lAFPjtV0_dNQZGsTygxZNhT2M9bISJ3r/view?usp=drivesdk" TargetMode="External"/><Relationship Id="rId4110" Type="http://schemas.openxmlformats.org/officeDocument/2006/relationships/hyperlink" Target="https://drive.google.com/file/d/17YBWvgtHotZ3uIRafRYDmEdP6__HhrOi/view?usp=drivesdk" TargetMode="External"/><Relationship Id="rId1085" Type="http://schemas.openxmlformats.org/officeDocument/2006/relationships/hyperlink" Target="https://drive.google.com/file/d/1gasyZko_4TinaLJUbZUWGPDVBubY2PA7/view?usp=drivesdk" TargetMode="External"/><Relationship Id="rId1086" Type="http://schemas.openxmlformats.org/officeDocument/2006/relationships/hyperlink" Target="https://drive.google.com/file/d/1eYnn4W6W_IIAj6FQjO3RhqSZd7WgKgut/view?usp=drivesdk" TargetMode="External"/><Relationship Id="rId4112" Type="http://schemas.openxmlformats.org/officeDocument/2006/relationships/hyperlink" Target="https://drive.google.com/file/d/1y_Fd2Zl3dKP4iMDbzrnZTCmdennns8Qc/view?usp=drivesdk" TargetMode="External"/><Relationship Id="rId1087" Type="http://schemas.openxmlformats.org/officeDocument/2006/relationships/hyperlink" Target="https://drive.google.com/file/d/1JAUPJiw-VMpqz3Q2rcF0LHStpYoLz5jW/view?usp=drivesdk" TargetMode="External"/><Relationship Id="rId4111" Type="http://schemas.openxmlformats.org/officeDocument/2006/relationships/hyperlink" Target="https://drive.google.com/file/d/10jjJTz_2b6HARFgiTQMJOb9DPTbaj9Xh/view?usp=drivesdk" TargetMode="External"/><Relationship Id="rId1088" Type="http://schemas.openxmlformats.org/officeDocument/2006/relationships/hyperlink" Target="https://drive.google.com/file/d/1c1g7KrywDpPilV2LxcIrJ5sxAKvlsHsD/view?usp=drivesdk" TargetMode="External"/><Relationship Id="rId4114" Type="http://schemas.openxmlformats.org/officeDocument/2006/relationships/hyperlink" Target="https://drive.google.com/file/d/1R4xmK5WDYd8ub_lLlTCym2yGwEcJDFR2/view?usp=drivesdk" TargetMode="External"/><Relationship Id="rId1089" Type="http://schemas.openxmlformats.org/officeDocument/2006/relationships/hyperlink" Target="https://drive.google.com/file/d/1naFLTU2hMGqvGRJ_Tx-l47V3a884V4EE/view?usp=drivesdk" TargetMode="External"/><Relationship Id="rId4113" Type="http://schemas.openxmlformats.org/officeDocument/2006/relationships/hyperlink" Target="https://drive.google.com/file/d/1PeXhnoqBnJjqJ2Xu2mPlzncxkqtgNOPR/view?usp=drivesdk" TargetMode="External"/><Relationship Id="rId4116" Type="http://schemas.openxmlformats.org/officeDocument/2006/relationships/hyperlink" Target="https://drive.google.com/file/d/1AaQ-5Y4K2knsPl4xgAcE2Qde1jXOIS9Z/view?usp=drivesdk" TargetMode="External"/><Relationship Id="rId4115" Type="http://schemas.openxmlformats.org/officeDocument/2006/relationships/hyperlink" Target="https://drive.google.com/file/d/1nILVjOvqUmTjJA5WaONpggot11wiVAfH/view?usp=drivesdk" TargetMode="External"/><Relationship Id="rId4141" Type="http://schemas.openxmlformats.org/officeDocument/2006/relationships/hyperlink" Target="https://drive.google.com/file/d/1FZgfrScIqcE0atbcpw_AF6EAFZ5_YT-q/view?usp=drivesdk" TargetMode="External"/><Relationship Id="rId4140" Type="http://schemas.openxmlformats.org/officeDocument/2006/relationships/hyperlink" Target="https://drive.google.com/file/d/1F3r3yM1f7cCVn_DxHQ8Jtl60iIBP_lbD/view?usp=drivesdk" TargetMode="External"/><Relationship Id="rId4143" Type="http://schemas.openxmlformats.org/officeDocument/2006/relationships/hyperlink" Target="https://drive.google.com/file/d/18JZEpoN2SaHc5wRcOOJTWada7uP5aF4F/view?usp=drivesdk" TargetMode="External"/><Relationship Id="rId4142" Type="http://schemas.openxmlformats.org/officeDocument/2006/relationships/hyperlink" Target="https://drive.google.com/file/d/1AnZuPhzldiUzYzhwSZdFCulnc-A9_WAA/view?usp=drivesdk" TargetMode="External"/><Relationship Id="rId4145" Type="http://schemas.openxmlformats.org/officeDocument/2006/relationships/hyperlink" Target="https://drive.google.com/file/d/1ENIdOCvk1Lc_yHhGw5sJobFhVezUT9uu/view?usp=drivesdk" TargetMode="External"/><Relationship Id="rId4144" Type="http://schemas.openxmlformats.org/officeDocument/2006/relationships/hyperlink" Target="https://drive.google.com/file/d/1-muXmBQoycFtbA7PljgoCNg2VbJvad36/view?usp=drivesdk" TargetMode="External"/><Relationship Id="rId4147" Type="http://schemas.openxmlformats.org/officeDocument/2006/relationships/hyperlink" Target="https://drive.google.com/file/d/1VJVeSlnwJFrS7ECRDL2dZphJskHkt0vJ/view?usp=drivesdk" TargetMode="External"/><Relationship Id="rId4146" Type="http://schemas.openxmlformats.org/officeDocument/2006/relationships/hyperlink" Target="https://drive.google.com/file/d/1K2M5MUT_9XQ2XyWvdYmXJnc9grOWzUWB/view?usp=drivesdk" TargetMode="External"/><Relationship Id="rId4149" Type="http://schemas.openxmlformats.org/officeDocument/2006/relationships/hyperlink" Target="https://drive.google.com/file/d/17tzQvHBpw80K5vrEmcGebOOYg4wOD3P5/view?usp=drivesdk" TargetMode="External"/><Relationship Id="rId4148" Type="http://schemas.openxmlformats.org/officeDocument/2006/relationships/hyperlink" Target="https://drive.google.com/file/d/1VMFrwZ2_zoO7sgIpbiWSdK4wgxull_Dy/view?usp=drivesdk" TargetMode="External"/><Relationship Id="rId4139" Type="http://schemas.openxmlformats.org/officeDocument/2006/relationships/hyperlink" Target="https://drive.google.com/file/d/15F_weMqE12F5edALgdarxRF6F5xnG5KG/view?usp=drivesdk" TargetMode="External"/><Relationship Id="rId4130" Type="http://schemas.openxmlformats.org/officeDocument/2006/relationships/hyperlink" Target="https://drive.google.com/file/d/1CLjJznZnY2xq9Phxc9YpKEOV3khFtzro/view?usp=drivesdk" TargetMode="External"/><Relationship Id="rId4132" Type="http://schemas.openxmlformats.org/officeDocument/2006/relationships/hyperlink" Target="https://drive.google.com/file/d/1FyE6e0DHNqbHiiC0_6sxH5IgyMB8aca1/view?usp=drivesdk" TargetMode="External"/><Relationship Id="rId4131" Type="http://schemas.openxmlformats.org/officeDocument/2006/relationships/hyperlink" Target="https://drive.google.com/file/d/1KeJqqjEGug3cKVPpTprI7YLJoC7pIQpI/view?usp=drivesdk" TargetMode="External"/><Relationship Id="rId4134" Type="http://schemas.openxmlformats.org/officeDocument/2006/relationships/hyperlink" Target="https://drive.google.com/file/d/1pCTGd9sXVOYOIZSzkRSxHnz6tEhYlHnB/view?usp=drivesdk" TargetMode="External"/><Relationship Id="rId4133" Type="http://schemas.openxmlformats.org/officeDocument/2006/relationships/hyperlink" Target="https://drive.google.com/file/d/1rD2prmd5WCqIe9_WFT_SS6RiLBoaQrOw/view?usp=drivesdk" TargetMode="External"/><Relationship Id="rId4136" Type="http://schemas.openxmlformats.org/officeDocument/2006/relationships/hyperlink" Target="https://drive.google.com/file/d/13AJIfEdeLIskJ-c5Xu__RDT87CLxG719/view?usp=drivesdk" TargetMode="External"/><Relationship Id="rId4135" Type="http://schemas.openxmlformats.org/officeDocument/2006/relationships/hyperlink" Target="https://drive.google.com/file/d/1MlhX_pdZgIT6XGAeks9NXPNEcZ14thJx/view?usp=drivesdk" TargetMode="External"/><Relationship Id="rId4138" Type="http://schemas.openxmlformats.org/officeDocument/2006/relationships/hyperlink" Target="https://drive.google.com/file/d/1EEU0tWnzdo5MXnNBAfJVYmOmlO7vkeHY/view?usp=drivesdk" TargetMode="External"/><Relationship Id="rId4137" Type="http://schemas.openxmlformats.org/officeDocument/2006/relationships/hyperlink" Target="https://drive.google.com/file/d/1l9Pn5hEeoL9VkVl_dWxrpJs9g1oY-8Fx/view?usp=drivesdk" TargetMode="External"/><Relationship Id="rId1972" Type="http://schemas.openxmlformats.org/officeDocument/2006/relationships/hyperlink" Target="https://drive.google.com/file/d/1ZMFlZbDI-YQ5fsX5DVTAFQOeDm2DOVBE/view?usp=drivesdk" TargetMode="External"/><Relationship Id="rId1973" Type="http://schemas.openxmlformats.org/officeDocument/2006/relationships/hyperlink" Target="https://drive.google.com/file/d/1l1S10TOGpoycq2LaqIaK526ntXkbKlbu/view?usp=drivesdk" TargetMode="External"/><Relationship Id="rId1974" Type="http://schemas.openxmlformats.org/officeDocument/2006/relationships/hyperlink" Target="https://drive.google.com/file/d/1E12CjzKvDQPeDbGl-gGCfelpAfGqKPFV/view?usp=drivesdk" TargetMode="External"/><Relationship Id="rId1975" Type="http://schemas.openxmlformats.org/officeDocument/2006/relationships/hyperlink" Target="https://drive.google.com/file/d/1pe4dAo6lz8LRZPauyvwECS2UffD0qlv7/view?usp=drivesdk" TargetMode="External"/><Relationship Id="rId1976" Type="http://schemas.openxmlformats.org/officeDocument/2006/relationships/hyperlink" Target="https://drive.google.com/file/d/1KPLtqqRfe77-9Zfw3_lyeahSZ7lZeMi2/view?usp=drivesdk" TargetMode="External"/><Relationship Id="rId1977" Type="http://schemas.openxmlformats.org/officeDocument/2006/relationships/hyperlink" Target="https://drive.google.com/file/d/1mQI3qTQAXTJHRB3KUFbtoSBEB-H4kEa4/view?usp=drivesdk" TargetMode="External"/><Relationship Id="rId1978" Type="http://schemas.openxmlformats.org/officeDocument/2006/relationships/hyperlink" Target="https://drive.google.com/file/d/1GKsxeZsIB0E7pEvH2td8rUfc16nqVbNl/view?usp=drivesdk" TargetMode="External"/><Relationship Id="rId1979" Type="http://schemas.openxmlformats.org/officeDocument/2006/relationships/hyperlink" Target="https://drive.google.com/file/d/1vqEiyRXaXFZ9mSaBJDcvtbiTHz-4eCBW/view?usp=drivesdk" TargetMode="External"/><Relationship Id="rId1970" Type="http://schemas.openxmlformats.org/officeDocument/2006/relationships/hyperlink" Target="https://drive.google.com/file/d/1jjLkiBCUK5MqYcmpWayWBuIdnDEms1vL/view?usp=drivesdk" TargetMode="External"/><Relationship Id="rId1971" Type="http://schemas.openxmlformats.org/officeDocument/2006/relationships/hyperlink" Target="https://drive.google.com/file/d/104RUWT4JDZ3gzlUtepVBSSdJX09a6jT6/view?usp=drivesdk" TargetMode="External"/><Relationship Id="rId1961" Type="http://schemas.openxmlformats.org/officeDocument/2006/relationships/hyperlink" Target="https://drive.google.com/file/d/1sH1OSKvUAKVlTLcBnf2zMDk2_gDpqlsU/view?usp=drivesdk" TargetMode="External"/><Relationship Id="rId1962" Type="http://schemas.openxmlformats.org/officeDocument/2006/relationships/hyperlink" Target="https://drive.google.com/file/d/18Q4DpDLEOI2KqGmGaKSINCIJokTaBtTb/view?usp=drivesdk" TargetMode="External"/><Relationship Id="rId1963" Type="http://schemas.openxmlformats.org/officeDocument/2006/relationships/hyperlink" Target="https://drive.google.com/file/d/1Lw-uT8oj9mj9xrX5KV1wdKfd9SCF-aQZ/view?usp=drivesdk" TargetMode="External"/><Relationship Id="rId1964" Type="http://schemas.openxmlformats.org/officeDocument/2006/relationships/hyperlink" Target="https://drive.google.com/file/d/1l5g6FFJFCqAkRlKDKh_KfnMbdSMkhnMG/view?usp=drivesdk" TargetMode="External"/><Relationship Id="rId1965" Type="http://schemas.openxmlformats.org/officeDocument/2006/relationships/hyperlink" Target="https://drive.google.com/file/d/188QOhrXTy7dOI7sS6lohjCCQPZCgXpkB/view?usp=drivesdk" TargetMode="External"/><Relationship Id="rId1966" Type="http://schemas.openxmlformats.org/officeDocument/2006/relationships/hyperlink" Target="https://drive.google.com/file/d/1Tj9YDOslX8EXrZny_TRe5t4nYfMbExNf/view?usp=drivesdk" TargetMode="External"/><Relationship Id="rId1967" Type="http://schemas.openxmlformats.org/officeDocument/2006/relationships/hyperlink" Target="https://drive.google.com/file/d/19ZCXxKIQu65pMoJYdAFLK_V8itCJzSh7/view?usp=drivesdk" TargetMode="External"/><Relationship Id="rId1968" Type="http://schemas.openxmlformats.org/officeDocument/2006/relationships/hyperlink" Target="https://drive.google.com/file/d/1DW4NrDcgu5DeFFFODH43aSAHn-4V3Vxn/view?usp=drivesdk" TargetMode="External"/><Relationship Id="rId1969" Type="http://schemas.openxmlformats.org/officeDocument/2006/relationships/hyperlink" Target="https://drive.google.com/file/d/1RbO04DTI2Fq9mWkzN_z1PEGS9semMftJ/view?usp=drivesdk" TargetMode="External"/><Relationship Id="rId1960" Type="http://schemas.openxmlformats.org/officeDocument/2006/relationships/hyperlink" Target="https://drive.google.com/file/d/1WJdQ3S4tkQMv1D-rko2PYAEQDE839Q2u/view?usp=drivesdk" TargetMode="External"/><Relationship Id="rId1994" Type="http://schemas.openxmlformats.org/officeDocument/2006/relationships/hyperlink" Target="https://drive.google.com/file/d/1lQqizzawZO0XWMFGfqK8Rv8wyR5OQx49/view?usp=drivesdk" TargetMode="External"/><Relationship Id="rId1995" Type="http://schemas.openxmlformats.org/officeDocument/2006/relationships/hyperlink" Target="https://drive.google.com/file/d/1zG1FufPeztIMSZk1AMLf8Hz7bxaKIHF8/view?usp=drivesdk" TargetMode="External"/><Relationship Id="rId1996" Type="http://schemas.openxmlformats.org/officeDocument/2006/relationships/hyperlink" Target="https://drive.google.com/file/d/1FCyQaR4-t9m4fbZBfid5oFiw0UHbuq6j/view?usp=drivesdk" TargetMode="External"/><Relationship Id="rId1997" Type="http://schemas.openxmlformats.org/officeDocument/2006/relationships/hyperlink" Target="https://drive.google.com/file/d/1kl46zTNoiBTcuLPow9Hr-zG5X3DYp6qQ/view?usp=drivesdk" TargetMode="External"/><Relationship Id="rId1998" Type="http://schemas.openxmlformats.org/officeDocument/2006/relationships/hyperlink" Target="https://drive.google.com/file/d/1gmk5c3VFdsP418eLsBCCuyCDSCbZ3alZ/view?usp=drivesdk" TargetMode="External"/><Relationship Id="rId1999" Type="http://schemas.openxmlformats.org/officeDocument/2006/relationships/hyperlink" Target="https://drive.google.com/file/d/1Evcu6v5oiy1LSC4t6MUQ2BGNEMcYbbO5/view?usp=drivesdk" TargetMode="External"/><Relationship Id="rId1990" Type="http://schemas.openxmlformats.org/officeDocument/2006/relationships/hyperlink" Target="https://drive.google.com/file/d/1SdI5A6cUzclbI-F-QsCbmGifFo5Swmxa/view?usp=drivesdk" TargetMode="External"/><Relationship Id="rId1991" Type="http://schemas.openxmlformats.org/officeDocument/2006/relationships/hyperlink" Target="https://drive.google.com/file/d/1zTxDs4nw3nNnkzdycJqzRiKgt9Ucvmal/view?usp=drivesdk" TargetMode="External"/><Relationship Id="rId1992" Type="http://schemas.openxmlformats.org/officeDocument/2006/relationships/hyperlink" Target="https://drive.google.com/file/d/1qzXBmqbPHnJxsy-QHylVS0FQ7aLEVC9O/view?usp=drivesdk" TargetMode="External"/><Relationship Id="rId1993" Type="http://schemas.openxmlformats.org/officeDocument/2006/relationships/hyperlink" Target="https://drive.google.com/file/d/1TFV2AZ0Y2mXo4xgixNPPdJH1EyNqngH0/view?usp=drivesdk" TargetMode="External"/><Relationship Id="rId1983" Type="http://schemas.openxmlformats.org/officeDocument/2006/relationships/hyperlink" Target="https://drive.google.com/file/d/1Nx9EVqu0k9Vp4kcoFZswbPc_NgK0khQ9/view?usp=drivesdk" TargetMode="External"/><Relationship Id="rId1984" Type="http://schemas.openxmlformats.org/officeDocument/2006/relationships/hyperlink" Target="https://drive.google.com/file/d/1ekfMvwCpgOr9AYCylNMEKPasbgzfcvgD/view?usp=drivesdk" TargetMode="External"/><Relationship Id="rId1985" Type="http://schemas.openxmlformats.org/officeDocument/2006/relationships/hyperlink" Target="https://drive.google.com/file/d/1_OPucoLSSjlYcAILp3nKg5MIu1C-dPvs/view?usp=drivesdk" TargetMode="External"/><Relationship Id="rId1986" Type="http://schemas.openxmlformats.org/officeDocument/2006/relationships/hyperlink" Target="https://drive.google.com/file/d/1O_SevIIsU2LBNV0eOwgLmT5x14Ww-wpe/view?usp=drivesdk" TargetMode="External"/><Relationship Id="rId1987" Type="http://schemas.openxmlformats.org/officeDocument/2006/relationships/hyperlink" Target="https://drive.google.com/file/d/1sKmcMZmw1p_7B8hxELHk3rj9jn8WxcHM/view?usp=drivesdk" TargetMode="External"/><Relationship Id="rId1988" Type="http://schemas.openxmlformats.org/officeDocument/2006/relationships/hyperlink" Target="https://drive.google.com/file/d/1e0YYzpjXy4W2jjG7MgBy5wLOOS_cmCap/view?usp=drivesdk" TargetMode="External"/><Relationship Id="rId1989" Type="http://schemas.openxmlformats.org/officeDocument/2006/relationships/hyperlink" Target="https://drive.google.com/file/d/1-oHOTIC52V6TFraRiaw7w4bNKcP7eBR5/view?usp=drivesdk" TargetMode="External"/><Relationship Id="rId1980" Type="http://schemas.openxmlformats.org/officeDocument/2006/relationships/hyperlink" Target="https://drive.google.com/file/d/1GtFv64Qqy-6qpUBMepudHp7wjLsLw-Fw/view?usp=drivesdk" TargetMode="External"/><Relationship Id="rId1981" Type="http://schemas.openxmlformats.org/officeDocument/2006/relationships/hyperlink" Target="https://drive.google.com/file/d/1xKOi0WepsoSOPE4Pfdqj_zjpjh7NJAa-/view?usp=drivesdk" TargetMode="External"/><Relationship Id="rId1982" Type="http://schemas.openxmlformats.org/officeDocument/2006/relationships/hyperlink" Target="https://drive.google.com/file/d/11uydf4gas-1fRvQeg73FSwnbQHnM9WGd/view?usp=drivesdk" TargetMode="External"/><Relationship Id="rId1930" Type="http://schemas.openxmlformats.org/officeDocument/2006/relationships/hyperlink" Target="https://drive.google.com/file/d/1On1YPWLgfEGK1MPWF7S6VuBos-uc7ftO/view?usp=drivesdk" TargetMode="External"/><Relationship Id="rId1931" Type="http://schemas.openxmlformats.org/officeDocument/2006/relationships/hyperlink" Target="https://drive.google.com/file/d/1ixb7nkqom_GxJSgVybWEknd7_fTrDjva/view?usp=drivesdk" TargetMode="External"/><Relationship Id="rId1932" Type="http://schemas.openxmlformats.org/officeDocument/2006/relationships/hyperlink" Target="https://drive.google.com/file/d/1VpDB5rHobwHfq1fkfyepcc5R3PwXabfr/view?usp=drivesdk" TargetMode="External"/><Relationship Id="rId1933" Type="http://schemas.openxmlformats.org/officeDocument/2006/relationships/hyperlink" Target="https://drive.google.com/file/d/1pqR0QbFzwGkeE7hsdTH88tDj3jH9JP3_/view?usp=drivesdk" TargetMode="External"/><Relationship Id="rId1934" Type="http://schemas.openxmlformats.org/officeDocument/2006/relationships/hyperlink" Target="https://drive.google.com/file/d/1HNMJ2tq8vTxdR8aDQkZo6FYibPQtuxVe/view?usp=drivesdk" TargetMode="External"/><Relationship Id="rId1935" Type="http://schemas.openxmlformats.org/officeDocument/2006/relationships/hyperlink" Target="https://drive.google.com/file/d/1nYllrLDKYQ45VFos_UVibUEurE9krypr/view?usp=drivesdk" TargetMode="External"/><Relationship Id="rId1936" Type="http://schemas.openxmlformats.org/officeDocument/2006/relationships/hyperlink" Target="https://drive.google.com/file/d/1BE4BEAWFg6P5I24SLqrXNjP8HF1QFx55/view?usp=drivesdk" TargetMode="External"/><Relationship Id="rId1937" Type="http://schemas.openxmlformats.org/officeDocument/2006/relationships/hyperlink" Target="https://drive.google.com/file/d/1oR0sqm3WIjXWwYOZ1dxg3q_vijDTNPh0/view?usp=drivesdk" TargetMode="External"/><Relationship Id="rId1938" Type="http://schemas.openxmlformats.org/officeDocument/2006/relationships/hyperlink" Target="https://drive.google.com/file/d/1M3RLXzbfFfB9rOK1pAi0NBPuW3d1NOkv/view?usp=drivesdk" TargetMode="External"/><Relationship Id="rId1939" Type="http://schemas.openxmlformats.org/officeDocument/2006/relationships/hyperlink" Target="https://drive.google.com/file/d/1qlLd8QYvTMMUqbLNHYAUp08Ui1DfVxvE/view?usp=drivesdk" TargetMode="External"/><Relationship Id="rId1920" Type="http://schemas.openxmlformats.org/officeDocument/2006/relationships/hyperlink" Target="https://drive.google.com/file/d/1TbtiuOprJH_W82SU2y9NPIGWvMXdVRKj/view?usp=drivesdk" TargetMode="External"/><Relationship Id="rId1921" Type="http://schemas.openxmlformats.org/officeDocument/2006/relationships/hyperlink" Target="https://drive.google.com/file/d/1eMUkk7Iq7V06gcI3iDRFPNAExX5v960m/view?usp=drivesdk" TargetMode="External"/><Relationship Id="rId1922" Type="http://schemas.openxmlformats.org/officeDocument/2006/relationships/hyperlink" Target="https://drive.google.com/file/d/1kQP90GIg_sr0dvJlmnaeyfuphXce7hNp/view?usp=drivesdk" TargetMode="External"/><Relationship Id="rId1923" Type="http://schemas.openxmlformats.org/officeDocument/2006/relationships/hyperlink" Target="https://drive.google.com/file/d/1zCqtrY1Pxz_CR8QCXuwrHDrZnZUSZcZ2/view?usp=drivesdk" TargetMode="External"/><Relationship Id="rId1924" Type="http://schemas.openxmlformats.org/officeDocument/2006/relationships/hyperlink" Target="https://drive.google.com/file/d/1sayGsWZxiCdycruL7SV-fIY0pNZ2je72/view?usp=drivesdk" TargetMode="External"/><Relationship Id="rId1925" Type="http://schemas.openxmlformats.org/officeDocument/2006/relationships/hyperlink" Target="https://drive.google.com/file/d/19XhUcr-wlGoF2UPfZWQ_kcEnlpO55nb7/view?usp=drivesdk" TargetMode="External"/><Relationship Id="rId1926" Type="http://schemas.openxmlformats.org/officeDocument/2006/relationships/hyperlink" Target="https://drive.google.com/file/d/1Y2pwfCVTJLnzmxrntZuGHMW30X4RbUia/view?usp=drivesdk" TargetMode="External"/><Relationship Id="rId1927" Type="http://schemas.openxmlformats.org/officeDocument/2006/relationships/hyperlink" Target="https://drive.google.com/file/d/1LrixjIaeUmQXQtycfn0bDqWG7yTuIT1i/view?usp=drivesdk" TargetMode="External"/><Relationship Id="rId1928" Type="http://schemas.openxmlformats.org/officeDocument/2006/relationships/hyperlink" Target="https://drive.google.com/file/d/12luiQvimTHvHm-iW3Wk6ZCs6l9CBgVJ8/view?usp=drivesdk" TargetMode="External"/><Relationship Id="rId1929" Type="http://schemas.openxmlformats.org/officeDocument/2006/relationships/hyperlink" Target="https://drive.google.com/file/d/1ffcyuH5_ilCP1xS-FJ_ydHmaC1zByjd4/view?usp=drivesdk" TargetMode="External"/><Relationship Id="rId4190" Type="http://schemas.openxmlformats.org/officeDocument/2006/relationships/hyperlink" Target="https://drive.google.com/file/d/1HkI9OyBIrzbxCr0hZQMjOglUV47fVwv4/view?usp=drivesdk" TargetMode="External"/><Relationship Id="rId4192" Type="http://schemas.openxmlformats.org/officeDocument/2006/relationships/hyperlink" Target="https://drive.google.com/file/d/1o1l7NkS52lrL8yf0Y_DuiYpQPFv46wC0/view?usp=drivesdk" TargetMode="External"/><Relationship Id="rId4191" Type="http://schemas.openxmlformats.org/officeDocument/2006/relationships/hyperlink" Target="https://drive.google.com/file/d/1rqjIGbr2pR9Bh_em48N3l4pHaFCGNZT3/view?usp=drivesdk" TargetMode="External"/><Relationship Id="rId4194" Type="http://schemas.openxmlformats.org/officeDocument/2006/relationships/hyperlink" Target="https://drive.google.com/file/d/1mtQPvLNkhY4-wMtdOI3zP0iQIUpGYPvP/view?usp=drivesdk" TargetMode="External"/><Relationship Id="rId4193" Type="http://schemas.openxmlformats.org/officeDocument/2006/relationships/hyperlink" Target="https://drive.google.com/file/d/1Xv1uHhUB5VkGh51BCV8WC_q7MR8Zm3tA/view?usp=drivesdk" TargetMode="External"/><Relationship Id="rId4196" Type="http://schemas.openxmlformats.org/officeDocument/2006/relationships/hyperlink" Target="https://drive.google.com/file/d/1k9wHD7kw3lqqcPIfpXt_8ln-1n7k0fTU/view?usp=drivesdk" TargetMode="External"/><Relationship Id="rId4195" Type="http://schemas.openxmlformats.org/officeDocument/2006/relationships/hyperlink" Target="https://drive.google.com/file/d/1ntVzclvD4UnMVhnVj1O6ajUmYg20jQGw/view?usp=drivesdk" TargetMode="External"/><Relationship Id="rId4198" Type="http://schemas.openxmlformats.org/officeDocument/2006/relationships/hyperlink" Target="https://drive.google.com/file/d/1twgSJVVvVdtTrsmsZcJNX2iz1uldUPnI/view?usp=drivesdk" TargetMode="External"/><Relationship Id="rId4197" Type="http://schemas.openxmlformats.org/officeDocument/2006/relationships/hyperlink" Target="https://drive.google.com/file/d/1KbdeQETlGxDukhT3QRHY_SVCo_6ESZaH/view?usp=drivesdk" TargetMode="External"/><Relationship Id="rId4199" Type="http://schemas.openxmlformats.org/officeDocument/2006/relationships/hyperlink" Target="https://drive.google.com/file/d/18jwKsemxHncx-RHQpXd7m4ZX5tgHHSIP/view?usp=drivesdk" TargetMode="External"/><Relationship Id="rId1950" Type="http://schemas.openxmlformats.org/officeDocument/2006/relationships/hyperlink" Target="https://drive.google.com/file/d/1b1cV5z42eq8zAe7zEawLmf9SeAiC4HDZ/view?usp=drivesdk" TargetMode="External"/><Relationship Id="rId1951" Type="http://schemas.openxmlformats.org/officeDocument/2006/relationships/hyperlink" Target="https://drive.google.com/file/d/1hjYwAllv3uEqJhfVVPIIpGsKIVq6evkd/view?usp=drivesdk" TargetMode="External"/><Relationship Id="rId1952" Type="http://schemas.openxmlformats.org/officeDocument/2006/relationships/hyperlink" Target="https://drive.google.com/file/d/1EJKOcE5yW9Mn8XJjX8dZA0ahCe9nKl9O/view?usp=drivesdk" TargetMode="External"/><Relationship Id="rId1953" Type="http://schemas.openxmlformats.org/officeDocument/2006/relationships/hyperlink" Target="https://drive.google.com/file/d/167e6brSkolPKNw8-MsysX6K1M_vzyGZr/view?usp=drivesdk" TargetMode="External"/><Relationship Id="rId1954" Type="http://schemas.openxmlformats.org/officeDocument/2006/relationships/hyperlink" Target="https://drive.google.com/file/d/1DdeEn51igBoTxDDzWlfmE5YSyQUUFHe0/view?usp=drivesdk" TargetMode="External"/><Relationship Id="rId1955" Type="http://schemas.openxmlformats.org/officeDocument/2006/relationships/hyperlink" Target="https://drive.google.com/file/d/1PHwU5k5BzhRj3vTZ2_WSkSMzSQGj-ErM/view?usp=drivesdk" TargetMode="External"/><Relationship Id="rId1956" Type="http://schemas.openxmlformats.org/officeDocument/2006/relationships/hyperlink" Target="https://drive.google.com/file/d/18K3jeHZb2CjoWT4NdTbpbR4k5EHDSIYI/view?usp=drivesdk" TargetMode="External"/><Relationship Id="rId1957" Type="http://schemas.openxmlformats.org/officeDocument/2006/relationships/hyperlink" Target="https://drive.google.com/file/d/1M5XdiOTAdQuPhNWcgX_XNWJ6vxIu2z7d/view?usp=drivesdk" TargetMode="External"/><Relationship Id="rId1958" Type="http://schemas.openxmlformats.org/officeDocument/2006/relationships/hyperlink" Target="https://drive.google.com/file/d/10Ad7xS84D33OD_zExXb_kSscrUS-zsyT/view?usp=drivesdk" TargetMode="External"/><Relationship Id="rId1959" Type="http://schemas.openxmlformats.org/officeDocument/2006/relationships/hyperlink" Target="https://drive.google.com/file/d/1wZ10-xm--zQj_pxK-y74gm5qf5aHV662/view?usp=drivesdk" TargetMode="External"/><Relationship Id="rId1940" Type="http://schemas.openxmlformats.org/officeDocument/2006/relationships/hyperlink" Target="https://drive.google.com/file/d/1kgAb6SCujUJ7hHToJ3MuxBP4kFSKM7i0/view?usp=drivesdk" TargetMode="External"/><Relationship Id="rId1941" Type="http://schemas.openxmlformats.org/officeDocument/2006/relationships/hyperlink" Target="https://drive.google.com/file/d/1PiIwnt2ACCBtaklOmatXQKTLeheLgnLj/view?usp=drivesdk" TargetMode="External"/><Relationship Id="rId1942" Type="http://schemas.openxmlformats.org/officeDocument/2006/relationships/hyperlink" Target="https://drive.google.com/file/d/10nsuzOLJQ6-OOZt-0CjW9Vjcj7WiPADg/view?usp=drivesdk" TargetMode="External"/><Relationship Id="rId1943" Type="http://schemas.openxmlformats.org/officeDocument/2006/relationships/hyperlink" Target="https://drive.google.com/file/d/139DZqGQJesgJ4jpFjfRskyXelU62UdY-/view?usp=drivesdk" TargetMode="External"/><Relationship Id="rId1944" Type="http://schemas.openxmlformats.org/officeDocument/2006/relationships/hyperlink" Target="https://drive.google.com/file/d/1RMxYVzZAoX_329-8hMfns2K7K4R8cb8n/view?usp=drivesdk" TargetMode="External"/><Relationship Id="rId1945" Type="http://schemas.openxmlformats.org/officeDocument/2006/relationships/hyperlink" Target="https://drive.google.com/file/d/1bLGHFPLIVwLrf6o0T3Keyw4dvkUuZvqZ/view?usp=drivesdk" TargetMode="External"/><Relationship Id="rId1946" Type="http://schemas.openxmlformats.org/officeDocument/2006/relationships/hyperlink" Target="https://drive.google.com/file/d/1AqZ95XraQ-tP6QQ2tLyj5V5INJcwQNQv/view?usp=drivesdk" TargetMode="External"/><Relationship Id="rId1947" Type="http://schemas.openxmlformats.org/officeDocument/2006/relationships/hyperlink" Target="https://drive.google.com/file/d/1cAdyZknlUMCWooMCqPXMDKEmRRL3MF-1/view?usp=drivesdk" TargetMode="External"/><Relationship Id="rId1948" Type="http://schemas.openxmlformats.org/officeDocument/2006/relationships/hyperlink" Target="https://drive.google.com/file/d/1PrghWfv1VNCl4WS9BTfc122cl13lbYye/view?usp=drivesdk" TargetMode="External"/><Relationship Id="rId1949" Type="http://schemas.openxmlformats.org/officeDocument/2006/relationships/hyperlink" Target="https://drive.google.com/file/d/1OXUyakb4HKG__UZ75yNGOO1KmGRqDcJG/view?usp=drivesdk" TargetMode="External"/><Relationship Id="rId2423" Type="http://schemas.openxmlformats.org/officeDocument/2006/relationships/hyperlink" Target="https://drive.google.com/file/d/13QkzM9QTXD4miliJMRhEg8-2idatM8wt/view?usp=drivesdk" TargetMode="External"/><Relationship Id="rId3755" Type="http://schemas.openxmlformats.org/officeDocument/2006/relationships/hyperlink" Target="https://drive.google.com/file/d/1Wx5kXVtZ_vkVWiAkCyyOJYOW9SlVqEF-/view?usp=drivesdk" TargetMode="External"/><Relationship Id="rId2424" Type="http://schemas.openxmlformats.org/officeDocument/2006/relationships/hyperlink" Target="https://drive.google.com/file/d/1l9dW-eOneKq_cXrqEzFt82be0t7_SFFY/view?usp=drivesdk" TargetMode="External"/><Relationship Id="rId3754" Type="http://schemas.openxmlformats.org/officeDocument/2006/relationships/hyperlink" Target="https://drive.google.com/file/d/1N86sm-dDgBgp3pT1U-m5mNdY_jMOl6Qp/view?usp=drivesdk" TargetMode="External"/><Relationship Id="rId2425" Type="http://schemas.openxmlformats.org/officeDocument/2006/relationships/hyperlink" Target="https://drive.google.com/file/d/1PF04Ur1bJI7s5M4zR53tzOPrnO25mej2/view?usp=drivesdk" TargetMode="External"/><Relationship Id="rId3757" Type="http://schemas.openxmlformats.org/officeDocument/2006/relationships/hyperlink" Target="https://drive.google.com/file/d/1iFcPRynHnjJJ_NguCajg17Pes0DxYvdF/view?usp=drivesdk" TargetMode="External"/><Relationship Id="rId2426" Type="http://schemas.openxmlformats.org/officeDocument/2006/relationships/hyperlink" Target="https://drive.google.com/file/d/1OGPKWlzWqFqT401WMRkgPTOneWm7gDE7/view?usp=drivesdk" TargetMode="External"/><Relationship Id="rId3756" Type="http://schemas.openxmlformats.org/officeDocument/2006/relationships/hyperlink" Target="https://drive.google.com/file/d/1tsNnNSZLINN5xZ2-6VOgTd0w2AawUSAo/view?usp=drivesdk" TargetMode="External"/><Relationship Id="rId2427" Type="http://schemas.openxmlformats.org/officeDocument/2006/relationships/hyperlink" Target="https://drive.google.com/file/d/1wFRsIxI9hYX86mNKs2l1xU4JZHE6SpWP/view?usp=drivesdk" TargetMode="External"/><Relationship Id="rId3759" Type="http://schemas.openxmlformats.org/officeDocument/2006/relationships/hyperlink" Target="https://drive.google.com/file/d/1nQU-Uk6sp6K5MhzDkDOyGLfvkMOKJ5j-/view?usp=drivesdk" TargetMode="External"/><Relationship Id="rId2428" Type="http://schemas.openxmlformats.org/officeDocument/2006/relationships/hyperlink" Target="https://drive.google.com/file/d/1FJYbrpcoj4TAffPia_Koijk9_-T9EDnp/view?usp=drivesdk" TargetMode="External"/><Relationship Id="rId3758" Type="http://schemas.openxmlformats.org/officeDocument/2006/relationships/hyperlink" Target="https://drive.google.com/file/d/1KCH2AvrWTpxApvKFwV3XBvYbEXRX5teC/view?usp=drivesdk" TargetMode="External"/><Relationship Id="rId2429" Type="http://schemas.openxmlformats.org/officeDocument/2006/relationships/hyperlink" Target="https://drive.google.com/file/d/1Mw_P4N6nN7mpJqYisV_LTNeTUAlQHCfL/view?usp=drivesdk" TargetMode="External"/><Relationship Id="rId509" Type="http://schemas.openxmlformats.org/officeDocument/2006/relationships/hyperlink" Target="https://drive.google.com/file/d/16AxXurtSeCwgay83IJeN3jSikrQBdrS9/view?usp=drivesdk" TargetMode="External"/><Relationship Id="rId508" Type="http://schemas.openxmlformats.org/officeDocument/2006/relationships/hyperlink" Target="https://drive.google.com/file/d/1G2bCrA75RvNhlclNEnUQZAIMu6Lu1jy3/view?usp=drivesdk" TargetMode="External"/><Relationship Id="rId503" Type="http://schemas.openxmlformats.org/officeDocument/2006/relationships/hyperlink" Target="https://drive.google.com/file/d/1snTMl4Sr7b9zj9-z-rcg9dUcMCy-WY6d/view?usp=drivesdk" TargetMode="External"/><Relationship Id="rId502" Type="http://schemas.openxmlformats.org/officeDocument/2006/relationships/hyperlink" Target="https://drive.google.com/file/d/1JJzeWNry6vlf97VXl6oddJKt-9qlFtAJ/view?usp=drivesdk" TargetMode="External"/><Relationship Id="rId501" Type="http://schemas.openxmlformats.org/officeDocument/2006/relationships/hyperlink" Target="https://drive.google.com/file/d/1SYTDytkZ7jmbBIzVdPhB3myKO92gSOPe/view?usp=drivesdk" TargetMode="External"/><Relationship Id="rId500" Type="http://schemas.openxmlformats.org/officeDocument/2006/relationships/hyperlink" Target="https://drive.google.com/file/d/1yQ7CGEj6gyUAHrNJ7YQ-9mYIpG-Ae_8k/view?usp=drivesdk" TargetMode="External"/><Relationship Id="rId507" Type="http://schemas.openxmlformats.org/officeDocument/2006/relationships/hyperlink" Target="https://drive.google.com/file/d/1Pn3bz7Gj94wcSSH7HI3bqaAsW-gFgmwe/view?usp=drivesdk" TargetMode="External"/><Relationship Id="rId506" Type="http://schemas.openxmlformats.org/officeDocument/2006/relationships/hyperlink" Target="https://drive.google.com/file/d/1-A9MHfQSId4lQDTsV5foIFK_toyWsbkE/view?usp=drivesdk" TargetMode="External"/><Relationship Id="rId505" Type="http://schemas.openxmlformats.org/officeDocument/2006/relationships/hyperlink" Target="https://drive.google.com/file/d/1RtegZhIFRbtuEKkz7Bf4PZJ7cD5_ac1m/view?usp=drivesdk" TargetMode="External"/><Relationship Id="rId504" Type="http://schemas.openxmlformats.org/officeDocument/2006/relationships/hyperlink" Target="https://drive.google.com/file/d/1mg6cfMtPImJCVhAfoRx2x9684jdb8rjl/view?usp=drivesdk" TargetMode="External"/><Relationship Id="rId3751" Type="http://schemas.openxmlformats.org/officeDocument/2006/relationships/hyperlink" Target="https://drive.google.com/file/d/1FjPl2piIzAV2gHcjp9oaR9P9_bAIbK5z/view?usp=drivesdk" TargetMode="External"/><Relationship Id="rId2420" Type="http://schemas.openxmlformats.org/officeDocument/2006/relationships/hyperlink" Target="https://drive.google.com/file/d/1EQVsV1DtEvD1L_TQzq4GzmjCEm-0omGS/view?usp=drivesdk" TargetMode="External"/><Relationship Id="rId3750" Type="http://schemas.openxmlformats.org/officeDocument/2006/relationships/hyperlink" Target="https://drive.google.com/file/d/1s5bUGTt_I4wqQumulc5E7apaueDUDwdO/view?usp=drivesdk" TargetMode="External"/><Relationship Id="rId2421" Type="http://schemas.openxmlformats.org/officeDocument/2006/relationships/hyperlink" Target="https://drive.google.com/file/d/1XppeGVAVKFRB0RdP1CIfeR7yKd9SiJbK/view?usp=drivesdk" TargetMode="External"/><Relationship Id="rId3753" Type="http://schemas.openxmlformats.org/officeDocument/2006/relationships/hyperlink" Target="https://drive.google.com/file/d/19YeyBzIameMYnBGI4tMiwUAcomCtmF-7/view?usp=drivesdk" TargetMode="External"/><Relationship Id="rId2422" Type="http://schemas.openxmlformats.org/officeDocument/2006/relationships/hyperlink" Target="https://drive.google.com/file/d/1BCrsmkj2SHNujR8Krd2QgvygXl7uJMK8/view?usp=drivesdk" TargetMode="External"/><Relationship Id="rId3752" Type="http://schemas.openxmlformats.org/officeDocument/2006/relationships/hyperlink" Target="https://drive.google.com/file/d/1jPr3VWHf-bPFCl76yO4ftmus6LJI9oIA/view?usp=drivesdk" TargetMode="External"/><Relationship Id="rId2412" Type="http://schemas.openxmlformats.org/officeDocument/2006/relationships/hyperlink" Target="https://drive.google.com/file/d/1t9F63Bgnse6bOvyAxUR3xl5QhcE6Efl_/view?usp=drivesdk" TargetMode="External"/><Relationship Id="rId3744" Type="http://schemas.openxmlformats.org/officeDocument/2006/relationships/hyperlink" Target="https://drive.google.com/file/d/1XOZXJ-ZWdeYy_gW0CB55_rP8iq4IcGMO/view?usp=drivesdk" TargetMode="External"/><Relationship Id="rId2413" Type="http://schemas.openxmlformats.org/officeDocument/2006/relationships/hyperlink" Target="https://drive.google.com/file/d/17w6DiARtrwvaIyhDph46sNJW5OVydxo9/view?usp=drivesdk" TargetMode="External"/><Relationship Id="rId3743" Type="http://schemas.openxmlformats.org/officeDocument/2006/relationships/hyperlink" Target="https://drive.google.com/file/d/1pq1Os2EdW-1ytuMH03o4-JWqPqKnwAlD/view?usp=drivesdk" TargetMode="External"/><Relationship Id="rId2414" Type="http://schemas.openxmlformats.org/officeDocument/2006/relationships/hyperlink" Target="https://drive.google.com/file/d/1rsIOJ2V0hJhbgtfAKeni5ChYroXHj2H_/view?usp=drivesdk" TargetMode="External"/><Relationship Id="rId3746" Type="http://schemas.openxmlformats.org/officeDocument/2006/relationships/hyperlink" Target="https://drive.google.com/file/d/1p0pIMRXwUBSSHqkI-8x27NYmtldcQZBw/view?usp=drivesdk" TargetMode="External"/><Relationship Id="rId2415" Type="http://schemas.openxmlformats.org/officeDocument/2006/relationships/hyperlink" Target="https://drive.google.com/file/d/18SFSg4EfzgUv2D7raxHjY8IQ8xP5FgIo/view?usp=drivesdk" TargetMode="External"/><Relationship Id="rId3745" Type="http://schemas.openxmlformats.org/officeDocument/2006/relationships/hyperlink" Target="https://drive.google.com/file/d/1oKMcxpcnXPUZdJ48zvw-Q6VeZ0xVM84U/view?usp=drivesdk" TargetMode="External"/><Relationship Id="rId2416" Type="http://schemas.openxmlformats.org/officeDocument/2006/relationships/hyperlink" Target="https://drive.google.com/file/d/1U6MutoQCwugUY0xOYqotYCHbbZfw7ORR/view?usp=drivesdk" TargetMode="External"/><Relationship Id="rId3748" Type="http://schemas.openxmlformats.org/officeDocument/2006/relationships/hyperlink" Target="https://drive.google.com/file/d/1aqhFJMNO69_a1fEX61X1ksQPKGcmc7K2/view?usp=drivesdk" TargetMode="External"/><Relationship Id="rId2417" Type="http://schemas.openxmlformats.org/officeDocument/2006/relationships/hyperlink" Target="https://drive.google.com/file/d/1N4JWYvM_J9rOuzUGWCSq5kX9m3K6N9c8/view?usp=drivesdk" TargetMode="External"/><Relationship Id="rId3747" Type="http://schemas.openxmlformats.org/officeDocument/2006/relationships/hyperlink" Target="https://drive.google.com/file/d/1LfUr4BXDWwmxZtoplxlYXZMH_YN5eC0N/view?usp=drivesdk" TargetMode="External"/><Relationship Id="rId2418" Type="http://schemas.openxmlformats.org/officeDocument/2006/relationships/hyperlink" Target="https://drive.google.com/file/d/1yhAEIEFhFWFuteCcDP5suEzbhZqUQynh/view?usp=drivesdk" TargetMode="External"/><Relationship Id="rId2419" Type="http://schemas.openxmlformats.org/officeDocument/2006/relationships/hyperlink" Target="https://drive.google.com/file/d/1BIQhvLyDvrpgjWLwbrOjRB-X_ZyY4slN/view?usp=drivesdk" TargetMode="External"/><Relationship Id="rId3749" Type="http://schemas.openxmlformats.org/officeDocument/2006/relationships/hyperlink" Target="https://drive.google.com/file/d/1LbZvPNEww3883ypN8sqjARx-GY7kDAz7/view?usp=drivesdk" TargetMode="External"/><Relationship Id="rId3740" Type="http://schemas.openxmlformats.org/officeDocument/2006/relationships/hyperlink" Target="https://drive.google.com/file/d/1S5D4Ui8Q962mOuy3a9uVfgaHI0Xhzt-G/view?usp=drivesdk" TargetMode="External"/><Relationship Id="rId2410" Type="http://schemas.openxmlformats.org/officeDocument/2006/relationships/hyperlink" Target="https://drive.google.com/file/d/1EBt6lPWK39HwZ5ailUoJPcMHL8Vu4ygA/view?usp=drivesdk" TargetMode="External"/><Relationship Id="rId3742" Type="http://schemas.openxmlformats.org/officeDocument/2006/relationships/hyperlink" Target="https://drive.google.com/file/d/1SiNA87LdHF0P_X3NoiO6MsdJhxGstMUP/view?usp=drivesdk" TargetMode="External"/><Relationship Id="rId2411" Type="http://schemas.openxmlformats.org/officeDocument/2006/relationships/hyperlink" Target="https://drive.google.com/file/d/1hQ3qT9EyX2b9gNuHGj34ItaB0DCmjH_t/view?usp=drivesdk" TargetMode="External"/><Relationship Id="rId3741" Type="http://schemas.openxmlformats.org/officeDocument/2006/relationships/hyperlink" Target="https://drive.google.com/file/d/1iQ_xUtJWjlsK54f-qImB0RRidoRrAdWX/view?usp=drivesdk" TargetMode="External"/><Relationship Id="rId1114" Type="http://schemas.openxmlformats.org/officeDocument/2006/relationships/hyperlink" Target="https://drive.google.com/file/d/1Qt82W7zDyzZGPkbPOfvYscWdlj1XxTfe/view?usp=drivesdk" TargetMode="External"/><Relationship Id="rId2445" Type="http://schemas.openxmlformats.org/officeDocument/2006/relationships/hyperlink" Target="https://drive.google.com/file/d/1q63xmjZty9ahnMqRMHfEe1_rRbQYhw6o/view?usp=drivesdk" TargetMode="External"/><Relationship Id="rId3777" Type="http://schemas.openxmlformats.org/officeDocument/2006/relationships/hyperlink" Target="https://drive.google.com/file/d/1DioxY_8CVZstLurMuQxKRc150SFjywuU/view?usp=drivesdk" TargetMode="External"/><Relationship Id="rId1115" Type="http://schemas.openxmlformats.org/officeDocument/2006/relationships/hyperlink" Target="https://drive.google.com/file/d/1RSIgrLdSXcuNzYM22xYppoQ4dYsDwzZV/view?usp=drivesdk" TargetMode="External"/><Relationship Id="rId2446" Type="http://schemas.openxmlformats.org/officeDocument/2006/relationships/hyperlink" Target="https://drive.google.com/file/d/1Q4wUYiWO6Z9G03vt5leT-Fo5--dS71O0/view?usp=drivesdk" TargetMode="External"/><Relationship Id="rId3776" Type="http://schemas.openxmlformats.org/officeDocument/2006/relationships/hyperlink" Target="https://drive.google.com/file/d/1T_V690OmUrWtu2zSWgsTvz6GbBLl9wb0/view?usp=drivesdk" TargetMode="External"/><Relationship Id="rId1116" Type="http://schemas.openxmlformats.org/officeDocument/2006/relationships/hyperlink" Target="https://drive.google.com/file/d/16gHu5pSjc4wS4YGfR8-6Jbd4bLXMSVdN/view?usp=drivesdk" TargetMode="External"/><Relationship Id="rId2447" Type="http://schemas.openxmlformats.org/officeDocument/2006/relationships/hyperlink" Target="https://drive.google.com/file/d/1kY7Ow2R4Mwm_pJnSJKzrAxg3tk8TZDtk/view?usp=drivesdk" TargetMode="External"/><Relationship Id="rId3779" Type="http://schemas.openxmlformats.org/officeDocument/2006/relationships/hyperlink" Target="https://drive.google.com/file/d/1_74gsAqO22zEe92ROkiOobjcAwBtmMpn/view?usp=drivesdk" TargetMode="External"/><Relationship Id="rId1117" Type="http://schemas.openxmlformats.org/officeDocument/2006/relationships/hyperlink" Target="https://drive.google.com/file/d/1sNNbhL_ePqKZCjGejVQoX_ZZs6otizWn/view?usp=drivesdk" TargetMode="External"/><Relationship Id="rId2448" Type="http://schemas.openxmlformats.org/officeDocument/2006/relationships/hyperlink" Target="https://drive.google.com/file/d/1RMy40BfdlM6zrzEHkGRSoR22g8kwZQvx/view?usp=drivesdk" TargetMode="External"/><Relationship Id="rId3778" Type="http://schemas.openxmlformats.org/officeDocument/2006/relationships/hyperlink" Target="https://drive.google.com/file/d/1U6TdtaFDUzUlHTRQN7jvz-TLuSGcGG4r/view?usp=drivesdk" TargetMode="External"/><Relationship Id="rId1118" Type="http://schemas.openxmlformats.org/officeDocument/2006/relationships/hyperlink" Target="https://drive.google.com/file/d/1YWexfF9SNDs6D0K1IsV8tTtZgowaYoBl/view?usp=drivesdk" TargetMode="External"/><Relationship Id="rId2449" Type="http://schemas.openxmlformats.org/officeDocument/2006/relationships/hyperlink" Target="https://drive.google.com/file/d/1mGNmLaXTP-Diu7dF9R5LP-3-IWSxWEw8/view?usp=drivesdk" TargetMode="External"/><Relationship Id="rId1119" Type="http://schemas.openxmlformats.org/officeDocument/2006/relationships/hyperlink" Target="https://drive.google.com/file/d/1q283wQTuQ9hX3T0LPkRm-Rp_kWALOhqb/view?usp=drivesdk" TargetMode="External"/><Relationship Id="rId525" Type="http://schemas.openxmlformats.org/officeDocument/2006/relationships/hyperlink" Target="https://drive.google.com/file/d/15EKpwlkkl7u8mO1AS_CVPv92eIGnI-N0/view?usp=drivesdk" TargetMode="External"/><Relationship Id="rId524" Type="http://schemas.openxmlformats.org/officeDocument/2006/relationships/hyperlink" Target="https://drive.google.com/file/d/1OswNveEyn_N1wapFU0fcSZDBmTQUrsx0/view?usp=drivesdk" TargetMode="External"/><Relationship Id="rId523" Type="http://schemas.openxmlformats.org/officeDocument/2006/relationships/hyperlink" Target="https://drive.google.com/file/d/1Z2MXX1CDQKNpCY66evAONKlkKkyKyN5x/view?usp=drivesdk" TargetMode="External"/><Relationship Id="rId522" Type="http://schemas.openxmlformats.org/officeDocument/2006/relationships/hyperlink" Target="https://drive.google.com/file/d/1Qd39UXzyg5Q1jTvxE5yukdsDRlfNXFea/view?usp=drivesdk" TargetMode="External"/><Relationship Id="rId529" Type="http://schemas.openxmlformats.org/officeDocument/2006/relationships/hyperlink" Target="https://drive.google.com/file/d/1WEU25nGjdoxN0cm2vmLp5_gIG2ezsSxr/view?usp=drivesdk" TargetMode="External"/><Relationship Id="rId528" Type="http://schemas.openxmlformats.org/officeDocument/2006/relationships/hyperlink" Target="https://drive.google.com/file/d/1zUBexItqRFyW3amYCLXP-PkILlOZT_LT/view?usp=drivesdk" TargetMode="External"/><Relationship Id="rId527" Type="http://schemas.openxmlformats.org/officeDocument/2006/relationships/hyperlink" Target="https://drive.google.com/file/d/1oPfMHW4tiRyA_ZT6kH1Ayv-jOaB7nl_P/view?usp=drivesdk" TargetMode="External"/><Relationship Id="rId526" Type="http://schemas.openxmlformats.org/officeDocument/2006/relationships/hyperlink" Target="https://drive.google.com/file/d/1yJ2tSZQ1kO3-G9XGvtkoImitpJ2262J5/view?usp=drivesdk" TargetMode="External"/><Relationship Id="rId3771" Type="http://schemas.openxmlformats.org/officeDocument/2006/relationships/hyperlink" Target="https://drive.google.com/file/d/1LwSag0bA0wkLGOmUmqBfEtY14spuooCa/view?usp=drivesdk" TargetMode="External"/><Relationship Id="rId2440" Type="http://schemas.openxmlformats.org/officeDocument/2006/relationships/hyperlink" Target="https://drive.google.com/file/d/1tRJmmviNflTQTuUlKA78aLcVfa6m5SjO/view?usp=drivesdk" TargetMode="External"/><Relationship Id="rId3770" Type="http://schemas.openxmlformats.org/officeDocument/2006/relationships/hyperlink" Target="https://drive.google.com/file/d/1UUXGkKy-wdsFSyD2GO24H3AvQLBqZA-w/view?usp=drivesdk" TargetMode="External"/><Relationship Id="rId521" Type="http://schemas.openxmlformats.org/officeDocument/2006/relationships/hyperlink" Target="https://drive.google.com/file/d/1JmdOuO5hItEUGquX-P6UIJCl7vQNwpz2/view?usp=drivesdk" TargetMode="External"/><Relationship Id="rId1110" Type="http://schemas.openxmlformats.org/officeDocument/2006/relationships/hyperlink" Target="https://drive.google.com/file/d/1lWGf-qkB_GCTB51K1-RxbOlMyvpidlRQ/view?usp=drivesdk" TargetMode="External"/><Relationship Id="rId2441" Type="http://schemas.openxmlformats.org/officeDocument/2006/relationships/hyperlink" Target="https://drive.google.com/file/d/1ksw9WYygNWWeZv1JoHisBOUR7I6w7Y8Y/view?usp=drivesdk" TargetMode="External"/><Relationship Id="rId3773" Type="http://schemas.openxmlformats.org/officeDocument/2006/relationships/hyperlink" Target="https://drive.google.com/file/d/1WXFtBVZKO2rrYirVcdqTjucnYonnoU8J/view?usp=drivesdk" TargetMode="External"/><Relationship Id="rId520" Type="http://schemas.openxmlformats.org/officeDocument/2006/relationships/hyperlink" Target="https://drive.google.com/file/d/10D5U7GPwYSHX5rVICQQv9RmOwvyeUhcT/view?usp=drivesdk" TargetMode="External"/><Relationship Id="rId1111" Type="http://schemas.openxmlformats.org/officeDocument/2006/relationships/hyperlink" Target="https://drive.google.com/file/d/1b6tE5IHStzOggmXjIO32i9NL2glpVLfD/view?usp=drivesdk" TargetMode="External"/><Relationship Id="rId2442" Type="http://schemas.openxmlformats.org/officeDocument/2006/relationships/hyperlink" Target="https://drive.google.com/file/d/1JISxpMnZymhA72xzeTOCcpHogbbSbgLg/view?usp=drivesdk" TargetMode="External"/><Relationship Id="rId3772" Type="http://schemas.openxmlformats.org/officeDocument/2006/relationships/hyperlink" Target="https://drive.google.com/file/d/18ZBBQTTi-7xoFDrqwq_xsPlZDpuU3BEG/view?usp=drivesdk" TargetMode="External"/><Relationship Id="rId1112" Type="http://schemas.openxmlformats.org/officeDocument/2006/relationships/hyperlink" Target="https://drive.google.com/file/d/1pZ765iZeC2EoPlRDCKDz_GWBxQFqm8Kb/view?usp=drivesdk" TargetMode="External"/><Relationship Id="rId2443" Type="http://schemas.openxmlformats.org/officeDocument/2006/relationships/hyperlink" Target="https://drive.google.com/file/d/1VW2Mct_PRoZtmGK6u_jHciiY7uszXVYV/view?usp=drivesdk" TargetMode="External"/><Relationship Id="rId3775" Type="http://schemas.openxmlformats.org/officeDocument/2006/relationships/hyperlink" Target="https://drive.google.com/file/d/1hHG22UEpnln3Ch2smdaXphQdaX7CL-7g/view?usp=drivesdk" TargetMode="External"/><Relationship Id="rId1113" Type="http://schemas.openxmlformats.org/officeDocument/2006/relationships/hyperlink" Target="https://drive.google.com/file/d/1yvW8h1Uy-8aWHkT4-cafBaZZ9ulBaiXa/view?usp=drivesdk" TargetMode="External"/><Relationship Id="rId2444" Type="http://schemas.openxmlformats.org/officeDocument/2006/relationships/hyperlink" Target="https://drive.google.com/file/d/19fpEk97dXjgsP0879ExuX7kihrxUPT8s/view?usp=drivesdk" TargetMode="External"/><Relationship Id="rId3774" Type="http://schemas.openxmlformats.org/officeDocument/2006/relationships/hyperlink" Target="https://drive.google.com/file/d/1g6mfi5mby_Ru-2T2_EMjFlI-UXUfoULG/view?usp=drivesdk" TargetMode="External"/><Relationship Id="rId1103" Type="http://schemas.openxmlformats.org/officeDocument/2006/relationships/hyperlink" Target="https://drive.google.com/file/d/1hhQhDovnQIFLI1m7AxAeFyYIKgo8WYAI/view?usp=drivesdk" TargetMode="External"/><Relationship Id="rId2434" Type="http://schemas.openxmlformats.org/officeDocument/2006/relationships/hyperlink" Target="https://drive.google.com/file/d/1BEmQpHpf0W5fFONaxOpCIEUTo-FvMfKg/view?usp=drivesdk" TargetMode="External"/><Relationship Id="rId3766" Type="http://schemas.openxmlformats.org/officeDocument/2006/relationships/hyperlink" Target="https://drive.google.com/file/d/1ATgoHQyJfa5z1BMRZwEfRnqdRNo64Qlw/view?usp=drivesdk" TargetMode="External"/><Relationship Id="rId1104" Type="http://schemas.openxmlformats.org/officeDocument/2006/relationships/hyperlink" Target="https://drive.google.com/file/d/1DUJ6JWT-rqVqKtKaTYpWeOPJ7vfhSuFO/view?usp=drivesdk" TargetMode="External"/><Relationship Id="rId2435" Type="http://schemas.openxmlformats.org/officeDocument/2006/relationships/hyperlink" Target="https://drive.google.com/file/d/1v-o8IinMKtQCi3fOpeCFFTM7NOTHp104/view?usp=drivesdk" TargetMode="External"/><Relationship Id="rId3765" Type="http://schemas.openxmlformats.org/officeDocument/2006/relationships/hyperlink" Target="https://drive.google.com/file/d/1yFr1ss0yuv2nsdt96Q5iyIsItmBwCBDe/view?usp=drivesdk" TargetMode="External"/><Relationship Id="rId1105" Type="http://schemas.openxmlformats.org/officeDocument/2006/relationships/hyperlink" Target="https://drive.google.com/file/d/1W0ZnSXnVLOZu-k7iHwsPqGLawZGqfHOY/view?usp=drivesdk" TargetMode="External"/><Relationship Id="rId2436" Type="http://schemas.openxmlformats.org/officeDocument/2006/relationships/hyperlink" Target="https://drive.google.com/file/d/1mf8wBF6HSRbNr1M0XmKZuXNYt_wzm2kg/view?usp=drivesdk" TargetMode="External"/><Relationship Id="rId3768" Type="http://schemas.openxmlformats.org/officeDocument/2006/relationships/hyperlink" Target="https://drive.google.com/file/d/19xS2VxlzUQRe4L2mrfdVwgjXgcpRqatE/view?usp=drivesdk" TargetMode="External"/><Relationship Id="rId1106" Type="http://schemas.openxmlformats.org/officeDocument/2006/relationships/hyperlink" Target="https://drive.google.com/file/d/1n_OX1xC9_d_LVXe_ym-6_l6RuuXxg2TA/view?usp=drivesdk" TargetMode="External"/><Relationship Id="rId2437" Type="http://schemas.openxmlformats.org/officeDocument/2006/relationships/hyperlink" Target="https://drive.google.com/file/d/1msc5NWqkokjSAxURBJ_eTn6CLf_WJYYY/view?usp=drivesdk" TargetMode="External"/><Relationship Id="rId3767" Type="http://schemas.openxmlformats.org/officeDocument/2006/relationships/hyperlink" Target="https://drive.google.com/file/d/1hbExNFZxzSGkGlRUzbALSntHPqYjsnZP/view?usp=drivesdk" TargetMode="External"/><Relationship Id="rId1107" Type="http://schemas.openxmlformats.org/officeDocument/2006/relationships/hyperlink" Target="https://drive.google.com/file/d/12N0TJ8L9RpP8hzie68fpSe5pCf2optcD/view?usp=drivesdk" TargetMode="External"/><Relationship Id="rId2438" Type="http://schemas.openxmlformats.org/officeDocument/2006/relationships/hyperlink" Target="https://drive.google.com/file/d/1lh2adsc_bXr46a9cxWbClajSb_y8rM9b/view?usp=drivesdk" TargetMode="External"/><Relationship Id="rId1108" Type="http://schemas.openxmlformats.org/officeDocument/2006/relationships/hyperlink" Target="https://drive.google.com/file/d/12cxl8LD1NITHVqLT4dtBLhlglVAv7U_R/view?usp=drivesdk" TargetMode="External"/><Relationship Id="rId2439" Type="http://schemas.openxmlformats.org/officeDocument/2006/relationships/hyperlink" Target="https://drive.google.com/file/d/1qjhJb3mbZwM26UWnQtidBzw4bO_bnK_f/view?usp=drivesdk" TargetMode="External"/><Relationship Id="rId3769" Type="http://schemas.openxmlformats.org/officeDocument/2006/relationships/hyperlink" Target="https://drive.google.com/file/d/1gezRuv600rs0AJJeXdyfUtVpcCTF_Msx/view?usp=drivesdk" TargetMode="External"/><Relationship Id="rId1109" Type="http://schemas.openxmlformats.org/officeDocument/2006/relationships/hyperlink" Target="https://drive.google.com/file/d/1p4lvHirAzvmWJfTS9XLqF2s-xZ49R7-6/view?usp=drivesdk" TargetMode="External"/><Relationship Id="rId519" Type="http://schemas.openxmlformats.org/officeDocument/2006/relationships/hyperlink" Target="https://drive.google.com/file/d/1vMCM6Fuv2QHb3xpH6q0TnCVtiEB1urL3/view?usp=drivesdk" TargetMode="External"/><Relationship Id="rId514" Type="http://schemas.openxmlformats.org/officeDocument/2006/relationships/hyperlink" Target="https://drive.google.com/file/d/1yDyZz-5DlsGEUXVzF69um-Gpg2i3_NVC/view?usp=drivesdk" TargetMode="External"/><Relationship Id="rId513" Type="http://schemas.openxmlformats.org/officeDocument/2006/relationships/hyperlink" Target="https://drive.google.com/file/d/1WYsKBDTkcfkU1ZjHeW0MqRW1rIk349EM/view?usp=drivesdk" TargetMode="External"/><Relationship Id="rId512" Type="http://schemas.openxmlformats.org/officeDocument/2006/relationships/hyperlink" Target="https://drive.google.com/file/d/1fdjt6fkycS8a5qVga__EaiFLkqUwMzje/view?usp=drivesdk" TargetMode="External"/><Relationship Id="rId511" Type="http://schemas.openxmlformats.org/officeDocument/2006/relationships/hyperlink" Target="https://drive.google.com/file/d/1E-dXvhx5YleC7kzq9U6VXEFCyFG-AW5N/view?usp=drivesdk" TargetMode="External"/><Relationship Id="rId518" Type="http://schemas.openxmlformats.org/officeDocument/2006/relationships/hyperlink" Target="https://drive.google.com/file/d/1rVNFXks33cdoegXH-j6nsy1Du4mFSEVb/view?usp=drivesdk" TargetMode="External"/><Relationship Id="rId517" Type="http://schemas.openxmlformats.org/officeDocument/2006/relationships/hyperlink" Target="https://drive.google.com/file/d/1p-R8UfAtD2Nt-2wBmPatCx5i9L9ZxZ3r/view?usp=drivesdk" TargetMode="External"/><Relationship Id="rId516" Type="http://schemas.openxmlformats.org/officeDocument/2006/relationships/hyperlink" Target="https://drive.google.com/file/d/1dlqa3RI6ktUGtx8DyH008D6zYywRyhx_/view?usp=drivesdk" TargetMode="External"/><Relationship Id="rId515" Type="http://schemas.openxmlformats.org/officeDocument/2006/relationships/hyperlink" Target="https://drive.google.com/file/d/1HyoLSCXXGAgyFsPUy5TGjjCX-sng-Bhz/view?usp=drivesdk" TargetMode="External"/><Relationship Id="rId3760" Type="http://schemas.openxmlformats.org/officeDocument/2006/relationships/hyperlink" Target="https://drive.google.com/file/d/1QQDhb7m8dYz2PZM-OwSde2Bv6qXmUMiE/view?usp=drivesdk" TargetMode="External"/><Relationship Id="rId510" Type="http://schemas.openxmlformats.org/officeDocument/2006/relationships/hyperlink" Target="https://drive.google.com/file/d/1kDTvyMWI210VGa3MtLlkDG-XI9eYpISy/view?usp=drivesdk" TargetMode="External"/><Relationship Id="rId2430" Type="http://schemas.openxmlformats.org/officeDocument/2006/relationships/hyperlink" Target="https://drive.google.com/file/d/1wsAbtJh_FzYleKaYmq3N0gQEie-bA3j9/view?usp=drivesdk" TargetMode="External"/><Relationship Id="rId3762" Type="http://schemas.openxmlformats.org/officeDocument/2006/relationships/hyperlink" Target="https://drive.google.com/file/d/1R8n84Ybl7AYNSupoU4OL8X8TYwTbC5iA/view?usp=drivesdk" TargetMode="External"/><Relationship Id="rId1100" Type="http://schemas.openxmlformats.org/officeDocument/2006/relationships/hyperlink" Target="https://drive.google.com/file/d/1QchzjeRevGc93B6XwUUl3h8-qJhz8zBD/view?usp=drivesdk" TargetMode="External"/><Relationship Id="rId2431" Type="http://schemas.openxmlformats.org/officeDocument/2006/relationships/hyperlink" Target="https://drive.google.com/file/d/14U48cKhVJuDLi5ft1i6oubrye-mEELsx/view?usp=drivesdk" TargetMode="External"/><Relationship Id="rId3761" Type="http://schemas.openxmlformats.org/officeDocument/2006/relationships/hyperlink" Target="https://drive.google.com/file/d/1ENoOEv_S6-_ejLi0VyhRST_tFefoEdot/view?usp=drivesdk" TargetMode="External"/><Relationship Id="rId1101" Type="http://schemas.openxmlformats.org/officeDocument/2006/relationships/hyperlink" Target="https://drive.google.com/file/d/1olcEyHDwXiBO3LxAFPAlpLDr0a8_xkwS/view?usp=drivesdk" TargetMode="External"/><Relationship Id="rId2432" Type="http://schemas.openxmlformats.org/officeDocument/2006/relationships/hyperlink" Target="https://drive.google.com/file/d/1W5VDxpMquHUwjJIUWUL6Nkvqp7c19SCK/view?usp=drivesdk" TargetMode="External"/><Relationship Id="rId3764" Type="http://schemas.openxmlformats.org/officeDocument/2006/relationships/hyperlink" Target="https://drive.google.com/file/d/1Y1XLuZN4qORWIuqDY4DhIFV_LM5qJOsW/view?usp=drivesdk" TargetMode="External"/><Relationship Id="rId1102" Type="http://schemas.openxmlformats.org/officeDocument/2006/relationships/hyperlink" Target="https://drive.google.com/file/d/13cHepJgDAhStSQlJFOpgZ9NRcp4yf6pX/view?usp=drivesdk" TargetMode="External"/><Relationship Id="rId2433" Type="http://schemas.openxmlformats.org/officeDocument/2006/relationships/hyperlink" Target="https://drive.google.com/file/d/1r93tdtxerC4qp4ak5nHoG61w0bl481Gp/view?usp=drivesdk" TargetMode="External"/><Relationship Id="rId3763" Type="http://schemas.openxmlformats.org/officeDocument/2006/relationships/hyperlink" Target="https://drive.google.com/file/d/1OYEip4uy7advjVAcOTD5JD9xgQC99KxJ/view?usp=drivesdk" TargetMode="External"/><Relationship Id="rId3711" Type="http://schemas.openxmlformats.org/officeDocument/2006/relationships/hyperlink" Target="https://drive.google.com/file/d/1aJVakMAWTsuL9Lw-Ods_6JKbByamUC6Y/view?usp=drivesdk" TargetMode="External"/><Relationship Id="rId3710" Type="http://schemas.openxmlformats.org/officeDocument/2006/relationships/hyperlink" Target="https://drive.google.com/file/d/1asfAnbnZOU9Vc9YJMRdWLGwrimByZXlJ/view?usp=drivesdk" TargetMode="External"/><Relationship Id="rId3713" Type="http://schemas.openxmlformats.org/officeDocument/2006/relationships/hyperlink" Target="https://drive.google.com/file/d/13pR-HHMSU4YOGB_Sfp4a_VnW9f0n2nge/view?usp=drivesdk" TargetMode="External"/><Relationship Id="rId3712" Type="http://schemas.openxmlformats.org/officeDocument/2006/relationships/hyperlink" Target="https://drive.google.com/file/d/1zUDgDazji0dFEqGRUcq8i8E-KPTl45Oa/view?usp=drivesdk" TargetMode="External"/><Relationship Id="rId3715" Type="http://schemas.openxmlformats.org/officeDocument/2006/relationships/hyperlink" Target="https://drive.google.com/file/d/1M29qZa3oFDD_1sDfta3vs68eG3ySB8o_/view?usp=drivesdk" TargetMode="External"/><Relationship Id="rId3714" Type="http://schemas.openxmlformats.org/officeDocument/2006/relationships/hyperlink" Target="https://drive.google.com/file/d/1elxW1yFhGAl42Ux-UFTuqHMPCINEp9jB/view?usp=drivesdk" TargetMode="External"/><Relationship Id="rId3717" Type="http://schemas.openxmlformats.org/officeDocument/2006/relationships/hyperlink" Target="https://drive.google.com/file/d/1TCcpmVhVkrNG32iZdD9UA81seI-KlLP6/view?usp=drivesdk" TargetMode="External"/><Relationship Id="rId3716" Type="http://schemas.openxmlformats.org/officeDocument/2006/relationships/hyperlink" Target="https://drive.google.com/file/d/1mPxQhEJqQZGARFv3hT70ZdYV9nY5SJPs/view?usp=drivesdk" TargetMode="External"/><Relationship Id="rId3719" Type="http://schemas.openxmlformats.org/officeDocument/2006/relationships/hyperlink" Target="https://drive.google.com/file/d/1ddQwqp2tFOAWu_FwpMo6ZijnES8LawiA/view?usp=drivesdk" TargetMode="External"/><Relationship Id="rId3718" Type="http://schemas.openxmlformats.org/officeDocument/2006/relationships/hyperlink" Target="https://drive.google.com/file/d/1FT4aXx8L2LLNBjqh9aGuUk-BYvlux23c/view?usp=drivesdk" TargetMode="External"/><Relationship Id="rId3700" Type="http://schemas.openxmlformats.org/officeDocument/2006/relationships/hyperlink" Target="https://drive.google.com/file/d/1WSvaxLzQxjnbnQKmazwyrp2_E1OcDqzS/view?usp=drivesdk" TargetMode="External"/><Relationship Id="rId3702" Type="http://schemas.openxmlformats.org/officeDocument/2006/relationships/hyperlink" Target="https://drive.google.com/file/d/11EZqxRBFJXOOPx6cJnhc5y6KooXrsmjw/view?usp=drivesdk" TargetMode="External"/><Relationship Id="rId3701" Type="http://schemas.openxmlformats.org/officeDocument/2006/relationships/hyperlink" Target="https://drive.google.com/file/d/1C_2DtA6qyNmIpyXNiiujb5f3wk6yRKdj/view?usp=drivesdk" TargetMode="External"/><Relationship Id="rId3704" Type="http://schemas.openxmlformats.org/officeDocument/2006/relationships/hyperlink" Target="https://drive.google.com/file/d/1fWkDWkx-_ZtQ-8wCjaq0IjnbG97OXPLC/view?usp=drivesdk" TargetMode="External"/><Relationship Id="rId3703" Type="http://schemas.openxmlformats.org/officeDocument/2006/relationships/hyperlink" Target="https://drive.google.com/file/d/1FbkclMXUp7iclVOFrSrjHKbwTujFsp8M/view?usp=drivesdk" TargetMode="External"/><Relationship Id="rId3706" Type="http://schemas.openxmlformats.org/officeDocument/2006/relationships/hyperlink" Target="https://drive.google.com/file/d/1x1ItDwSkyHcANrjqDtoHZvDawh1cdQhU/view?usp=drivesdk" TargetMode="External"/><Relationship Id="rId3705" Type="http://schemas.openxmlformats.org/officeDocument/2006/relationships/hyperlink" Target="https://drive.google.com/file/d/1NU6YFbPiRxYsN3jVN7hQClQH5Js8s8PF/view?usp=drivesdk" TargetMode="External"/><Relationship Id="rId3708" Type="http://schemas.openxmlformats.org/officeDocument/2006/relationships/hyperlink" Target="https://drive.google.com/file/d/1bdbL8n5nIXLJqaUfWRdf7qCoH5TiGCBH/view?usp=drivesdk" TargetMode="External"/><Relationship Id="rId3707" Type="http://schemas.openxmlformats.org/officeDocument/2006/relationships/hyperlink" Target="https://drive.google.com/file/d/1QOuDs8aZJNs76wXN8V7e2W669BMUoA81/view?usp=drivesdk" TargetMode="External"/><Relationship Id="rId3709" Type="http://schemas.openxmlformats.org/officeDocument/2006/relationships/hyperlink" Target="https://drive.google.com/file/d/1Wbh9BEN_6_ckSwuopxwby7syAhx8Gjdm/view?usp=drivesdk" TargetMode="External"/><Relationship Id="rId2401" Type="http://schemas.openxmlformats.org/officeDocument/2006/relationships/hyperlink" Target="https://drive.google.com/file/d/1b3vSK1LG30uwqpocsZMYprKuYI9gpZPI/view?usp=drivesdk" TargetMode="External"/><Relationship Id="rId3733" Type="http://schemas.openxmlformats.org/officeDocument/2006/relationships/hyperlink" Target="https://drive.google.com/file/d/1QJDW8YN2PJEM5bW0PZ5umyOg0IRsyDd0/view?usp=drivesdk" TargetMode="External"/><Relationship Id="rId2402" Type="http://schemas.openxmlformats.org/officeDocument/2006/relationships/hyperlink" Target="https://drive.google.com/file/d/13Sfpr2KPijGC6XA4IfUcps5D8yf52z-r/view?usp=drivesdk" TargetMode="External"/><Relationship Id="rId3732" Type="http://schemas.openxmlformats.org/officeDocument/2006/relationships/hyperlink" Target="https://drive.google.com/file/d/1QcR00BN0UVh_sxT61prWMsBIlymQ2cNZ/view?usp=drivesdk" TargetMode="External"/><Relationship Id="rId2403" Type="http://schemas.openxmlformats.org/officeDocument/2006/relationships/hyperlink" Target="https://drive.google.com/file/d/1dhALf8tdEXnH8llZW8cIOr8VSxcBYO_4/view?usp=drivesdk" TargetMode="External"/><Relationship Id="rId3735" Type="http://schemas.openxmlformats.org/officeDocument/2006/relationships/hyperlink" Target="https://drive.google.com/file/d/1TBkmkE2hqV_54nKhD6cNz9QOhAf0aovU/view?usp=drivesdk" TargetMode="External"/><Relationship Id="rId2404" Type="http://schemas.openxmlformats.org/officeDocument/2006/relationships/hyperlink" Target="https://drive.google.com/file/d/1XX_RncJwt9qkmHYunM9BXQcj38_XVdni/view?usp=drivesdk" TargetMode="External"/><Relationship Id="rId3734" Type="http://schemas.openxmlformats.org/officeDocument/2006/relationships/hyperlink" Target="https://drive.google.com/file/d/171DxGxym_RW0I5XqWvMX27EDcPbXNOhg/view?usp=drivesdk" TargetMode="External"/><Relationship Id="rId2405" Type="http://schemas.openxmlformats.org/officeDocument/2006/relationships/hyperlink" Target="https://drive.google.com/file/d/1EmNKFtBtuGbmOZuj4qmiOk0BLyb6S5g8/view?usp=drivesdk" TargetMode="External"/><Relationship Id="rId3737" Type="http://schemas.openxmlformats.org/officeDocument/2006/relationships/hyperlink" Target="https://drive.google.com/file/d/1M6Z0p3OjwJRtwMrGeJXXBkGQGWaf3H0d/view?usp=drivesdk" TargetMode="External"/><Relationship Id="rId2406" Type="http://schemas.openxmlformats.org/officeDocument/2006/relationships/hyperlink" Target="https://drive.google.com/file/d/1ZUoUdDzdHL6Y7UyJ1MI_HHiodeW-Eui_/view?usp=drivesdk" TargetMode="External"/><Relationship Id="rId3736" Type="http://schemas.openxmlformats.org/officeDocument/2006/relationships/hyperlink" Target="https://drive.google.com/file/d/1DimderjnXfYLHoRTy3CdT5es6vC4Hi2T/view?usp=drivesdk" TargetMode="External"/><Relationship Id="rId2407" Type="http://schemas.openxmlformats.org/officeDocument/2006/relationships/hyperlink" Target="https://drive.google.com/file/d/17T--hrV5-IJFkXo0FxZbtqf9phHV0WK4/view?usp=drivesdk" TargetMode="External"/><Relationship Id="rId3739" Type="http://schemas.openxmlformats.org/officeDocument/2006/relationships/hyperlink" Target="https://drive.google.com/file/d/1mPE2ZBQkTPbfEjO8vhXteZV_cyX-8DB_/view?usp=drivesdk" TargetMode="External"/><Relationship Id="rId2408" Type="http://schemas.openxmlformats.org/officeDocument/2006/relationships/hyperlink" Target="https://drive.google.com/file/d/1hN5rB5El05v1gD7_LSwNWpLOm_IQ_OyD/view?usp=drivesdk" TargetMode="External"/><Relationship Id="rId3738" Type="http://schemas.openxmlformats.org/officeDocument/2006/relationships/hyperlink" Target="https://drive.google.com/file/d/1z4oMb0HmzdHM1m0Q5Ogiy9K-f_GNh-dB/view?usp=drivesdk" TargetMode="External"/><Relationship Id="rId2409" Type="http://schemas.openxmlformats.org/officeDocument/2006/relationships/hyperlink" Target="https://drive.google.com/file/d/1nUz-9SYbeWr0gkt7yr6VaZUSaogbCXsK/view?usp=drivesdk" TargetMode="External"/><Relationship Id="rId3731" Type="http://schemas.openxmlformats.org/officeDocument/2006/relationships/hyperlink" Target="https://drive.google.com/file/d/1Tt4l50XQZ_YFUMzTs6Np2D7hwZzbGQ2Q/view?usp=drivesdk" TargetMode="External"/><Relationship Id="rId2400" Type="http://schemas.openxmlformats.org/officeDocument/2006/relationships/hyperlink" Target="https://drive.google.com/file/d/1zQ2qWbxXMgZdFhMv0cfMqba27Qa2wzd0/view?usp=drivesdk" TargetMode="External"/><Relationship Id="rId3730" Type="http://schemas.openxmlformats.org/officeDocument/2006/relationships/hyperlink" Target="https://drive.google.com/file/d/1i-QjZsxykflcUNBR_LwdtDsnowQ6MrCH/view?usp=drivesdk" TargetMode="External"/><Relationship Id="rId3722" Type="http://schemas.openxmlformats.org/officeDocument/2006/relationships/hyperlink" Target="https://drive.google.com/file/d/1ktmsBMuSy64w7TMq35XitdEWFCk5tGYT/view?usp=drivesdk" TargetMode="External"/><Relationship Id="rId3721" Type="http://schemas.openxmlformats.org/officeDocument/2006/relationships/hyperlink" Target="https://drive.google.com/file/d/19g9Zip-d5RNM2A7WllV03Af-AIB_GVgD/view?usp=drivesdk" TargetMode="External"/><Relationship Id="rId3724" Type="http://schemas.openxmlformats.org/officeDocument/2006/relationships/hyperlink" Target="https://drive.google.com/file/d/1JLjUbZ_i1P42iHybbrfB7lM6kqIZqTp5/view?usp=drivesdk" TargetMode="External"/><Relationship Id="rId3723" Type="http://schemas.openxmlformats.org/officeDocument/2006/relationships/hyperlink" Target="https://drive.google.com/file/d/1XhWgz9WsCL3c4T04mVc_1ik8MmgAyppe/view?usp=drivesdk" TargetMode="External"/><Relationship Id="rId3726" Type="http://schemas.openxmlformats.org/officeDocument/2006/relationships/hyperlink" Target="https://drive.google.com/file/d/1pXr_x6yAV2XorirroC41ZgepFdzCnaV4/view?usp=drivesdk" TargetMode="External"/><Relationship Id="rId3725" Type="http://schemas.openxmlformats.org/officeDocument/2006/relationships/hyperlink" Target="https://drive.google.com/file/d/1mQye-DsMqEQQ0w2cnnz9JhGcNBeeaD7k/view?usp=drivesdk" TargetMode="External"/><Relationship Id="rId3728" Type="http://schemas.openxmlformats.org/officeDocument/2006/relationships/hyperlink" Target="https://drive.google.com/file/d/1j-xVcg4f0MOY9SYOU-2uyqzMAYCyAFSM/view?usp=drivesdk" TargetMode="External"/><Relationship Id="rId3727" Type="http://schemas.openxmlformats.org/officeDocument/2006/relationships/hyperlink" Target="https://drive.google.com/file/d/10h_Ek34rWdyYBwvWuly1TGL93N29vbZp/view?usp=drivesdk" TargetMode="External"/><Relationship Id="rId3729" Type="http://schemas.openxmlformats.org/officeDocument/2006/relationships/hyperlink" Target="https://drive.google.com/file/d/1LjRBDTuk_1GRiT7zDQ3Hum4cNiq3z06K/view?usp=drivesdk" TargetMode="External"/><Relationship Id="rId3720" Type="http://schemas.openxmlformats.org/officeDocument/2006/relationships/hyperlink" Target="https://drive.google.com/file/d/1DmuwUkT04ySCKLZY5-sJj-emsqM2Q5Gy/view?usp=drivesdk" TargetMode="External"/><Relationship Id="rId4206" Type="http://schemas.openxmlformats.org/officeDocument/2006/relationships/hyperlink" Target="https://drive.google.com/file/d/1cNcksPA72L84DdNEvqCUF_IIFxCYmn1c/view?usp=drivesdk" TargetMode="External"/><Relationship Id="rId4205" Type="http://schemas.openxmlformats.org/officeDocument/2006/relationships/hyperlink" Target="https://drive.google.com/file/d/15L4zwTacHBC8dzqYEYNvFRjYnJ92KTLs/view?usp=drivesdk" TargetMode="External"/><Relationship Id="rId4208" Type="http://schemas.openxmlformats.org/officeDocument/2006/relationships/hyperlink" Target="https://drive.google.com/file/d/1XmaJm_6jhmlKF3IkMp1BZJ3D_DpbFH6X/view?usp=drivesdk" TargetMode="External"/><Relationship Id="rId4207" Type="http://schemas.openxmlformats.org/officeDocument/2006/relationships/hyperlink" Target="https://drive.google.com/file/d/17fDLIRBTeW3e851fieEbuJLssK7yFBwM/view?usp=drivesdk" TargetMode="External"/><Relationship Id="rId590" Type="http://schemas.openxmlformats.org/officeDocument/2006/relationships/hyperlink" Target="https://drive.google.com/file/d/1Q4TTajvcYGVtzRSAe7v_lItVJpyK3U54/view?usp=drivesdk" TargetMode="External"/><Relationship Id="rId4209" Type="http://schemas.openxmlformats.org/officeDocument/2006/relationships/hyperlink" Target="https://drive.google.com/file/d/1oSR_ocWLD7nQeCYOX4kMU-1YCskC1Waf/view?usp=drivesdk" TargetMode="External"/><Relationship Id="rId589" Type="http://schemas.openxmlformats.org/officeDocument/2006/relationships/hyperlink" Target="https://drive.google.com/file/d/1jutbFwjc2DR7clsnW3PfDJQB1SowjnvH/view?usp=drivesdk" TargetMode="External"/><Relationship Id="rId588" Type="http://schemas.openxmlformats.org/officeDocument/2006/relationships/hyperlink" Target="https://drive.google.com/file/d/1NdiIrwWVzMwDsugnTuaixWP66jTZ19X3/view?usp=drivesdk" TargetMode="External"/><Relationship Id="rId1170" Type="http://schemas.openxmlformats.org/officeDocument/2006/relationships/hyperlink" Target="https://drive.google.com/file/d/1jAvXjXEnFaB92Dbr9mKJscnn2ahtoT9M/view?usp=drivesdk" TargetMode="External"/><Relationship Id="rId1171" Type="http://schemas.openxmlformats.org/officeDocument/2006/relationships/hyperlink" Target="https://drive.google.com/file/d/11tCUdzAoz1cYEZvXMYevTLwmhtmNo4dd/view?usp=drivesdk" TargetMode="External"/><Relationship Id="rId583" Type="http://schemas.openxmlformats.org/officeDocument/2006/relationships/hyperlink" Target="https://drive.google.com/file/d/1zzxREsG_rZ0aMFzqNSSpoXzp3GAufxDi/view?usp=drivesdk" TargetMode="External"/><Relationship Id="rId1172" Type="http://schemas.openxmlformats.org/officeDocument/2006/relationships/hyperlink" Target="https://drive.google.com/file/d/1q1SGJMvuiSZhQ5TI0gEC7F07mNHoczeK/view?usp=drivesdk" TargetMode="External"/><Relationship Id="rId582" Type="http://schemas.openxmlformats.org/officeDocument/2006/relationships/hyperlink" Target="https://drive.google.com/file/d/1UT3SNj3xMu2o7pnT2lba3RttW-SIFjSl/view?usp=drivesdk" TargetMode="External"/><Relationship Id="rId1173" Type="http://schemas.openxmlformats.org/officeDocument/2006/relationships/hyperlink" Target="https://drive.google.com/file/d/1Oc26WlhgXKF2z8v6jtsycLfAcMEQut7f/view?usp=drivesdk" TargetMode="External"/><Relationship Id="rId581" Type="http://schemas.openxmlformats.org/officeDocument/2006/relationships/hyperlink" Target="https://drive.google.com/file/d/14LtzC7zxQclMa3u_0np-elNqmnCG4qRX/view?usp=drivesdk" TargetMode="External"/><Relationship Id="rId1174" Type="http://schemas.openxmlformats.org/officeDocument/2006/relationships/hyperlink" Target="https://drive.google.com/file/d/1OLPUDi6BVSzjvc7HUrRs9CGoNmUNLB44/view?usp=drivesdk" TargetMode="External"/><Relationship Id="rId4200" Type="http://schemas.openxmlformats.org/officeDocument/2006/relationships/hyperlink" Target="https://drive.google.com/file/d/1AfBKKt3mH5PS7EFCqvwXCobq_7ETDQWV/view?usp=drivesdk" TargetMode="External"/><Relationship Id="rId580" Type="http://schemas.openxmlformats.org/officeDocument/2006/relationships/hyperlink" Target="https://drive.google.com/file/d/1hZtCH7YQQpxOe_Sj3Qte_LkSrr6y2-5a/view?usp=drivesdk" TargetMode="External"/><Relationship Id="rId1175" Type="http://schemas.openxmlformats.org/officeDocument/2006/relationships/hyperlink" Target="https://drive.google.com/file/d/1tQId0CYLCZ0eaMG5-Z6nf1UT-ggxQl26/view?usp=drivesdk" TargetMode="External"/><Relationship Id="rId587" Type="http://schemas.openxmlformats.org/officeDocument/2006/relationships/hyperlink" Target="https://drive.google.com/file/d/1TOg7_gCRLUeWl1GoS92NtMJpiF8f8kZZ/view?usp=drivesdk" TargetMode="External"/><Relationship Id="rId1176" Type="http://schemas.openxmlformats.org/officeDocument/2006/relationships/hyperlink" Target="https://drive.google.com/file/d/1v-1LtA5edetZx8CwrZfYuhuSD7MY0riM/view?usp=drivesdk" TargetMode="External"/><Relationship Id="rId4202" Type="http://schemas.openxmlformats.org/officeDocument/2006/relationships/hyperlink" Target="https://drive.google.com/file/d/1vY91vFPoYLuJ9LkEyyNITmZo5NDz9UAt/view?usp=drivesdk" TargetMode="External"/><Relationship Id="rId586" Type="http://schemas.openxmlformats.org/officeDocument/2006/relationships/hyperlink" Target="https://drive.google.com/file/d/1DYr5SMni2he-J0qBmRiDAf13GldqZcS2/view?usp=drivesdk" TargetMode="External"/><Relationship Id="rId1177" Type="http://schemas.openxmlformats.org/officeDocument/2006/relationships/hyperlink" Target="https://drive.google.com/file/d/1St3uZIj1_WKT5Q3erX9buS_0Hqd1JoGF/view?usp=drivesdk" TargetMode="External"/><Relationship Id="rId4201" Type="http://schemas.openxmlformats.org/officeDocument/2006/relationships/hyperlink" Target="https://drive.google.com/file/d/1kyFNalX6JiA5dlF8N0OeV7fXZS6SD8l_/view?usp=drivesdk" TargetMode="External"/><Relationship Id="rId585" Type="http://schemas.openxmlformats.org/officeDocument/2006/relationships/hyperlink" Target="https://drive.google.com/file/d/1MQaC4X1Ajn1dYSBIfI3RyTuGuOrRTgUT/view?usp=drivesdk" TargetMode="External"/><Relationship Id="rId1178" Type="http://schemas.openxmlformats.org/officeDocument/2006/relationships/hyperlink" Target="https://drive.google.com/file/d/1reNvy8-S26eKfpwCVCxrr0NPC5fCHh6i/view?usp=drivesdk" TargetMode="External"/><Relationship Id="rId4204" Type="http://schemas.openxmlformats.org/officeDocument/2006/relationships/hyperlink" Target="https://drive.google.com/file/d/1Q-hoC2MT79C44NNnh8AwGG29TK9Quuqf/view?usp=drivesdk" TargetMode="External"/><Relationship Id="rId584" Type="http://schemas.openxmlformats.org/officeDocument/2006/relationships/hyperlink" Target="https://drive.google.com/file/d/1IM6I6M_pMmqWBOTVMcQVyvWYQFaRswt6/view?usp=drivesdk" TargetMode="External"/><Relationship Id="rId1179" Type="http://schemas.openxmlformats.org/officeDocument/2006/relationships/hyperlink" Target="https://drive.google.com/file/d/1NN3uHD3KkAnbn9bsdiwZ1jyISWE-z_71/view?usp=drivesdk" TargetMode="External"/><Relationship Id="rId4203" Type="http://schemas.openxmlformats.org/officeDocument/2006/relationships/hyperlink" Target="https://drive.google.com/file/d/1ir5BmJviLhmYDG5LcGXfjgUbz7j_hOiT/view?usp=drivesdk" TargetMode="External"/><Relationship Id="rId1169" Type="http://schemas.openxmlformats.org/officeDocument/2006/relationships/hyperlink" Target="https://drive.google.com/file/d/1bkhZNzhQWtgoEYMdvJ01zCSSVp1VbDBx/view?usp=drivesdk" TargetMode="External"/><Relationship Id="rId579" Type="http://schemas.openxmlformats.org/officeDocument/2006/relationships/hyperlink" Target="https://drive.google.com/file/d/16_PmX7e77J77VagF5OvulHsoVg7rbfaM/view?usp=drivesdk" TargetMode="External"/><Relationship Id="rId578" Type="http://schemas.openxmlformats.org/officeDocument/2006/relationships/hyperlink" Target="https://drive.google.com/file/d/1Uyyh9KFOZ6Kaey-GaNhW86QD-lQc52mN/view?usp=drivesdk" TargetMode="External"/><Relationship Id="rId577" Type="http://schemas.openxmlformats.org/officeDocument/2006/relationships/hyperlink" Target="https://drive.google.com/file/d/1-fcmdvzmnzwjiJi5uUhKReLbJPb1oHFP/view?usp=drivesdk" TargetMode="External"/><Relationship Id="rId2490" Type="http://schemas.openxmlformats.org/officeDocument/2006/relationships/hyperlink" Target="https://drive.google.com/file/d/1wBXWBjp7mgapNafC-5IuRZIJdYJ_X7FK/view?usp=drivesdk" TargetMode="External"/><Relationship Id="rId1160" Type="http://schemas.openxmlformats.org/officeDocument/2006/relationships/hyperlink" Target="https://drive.google.com/file/d/1I4eV7CNwgqVEBCU1saBzDC5VZUT3tGm6/view?usp=drivesdk" TargetMode="External"/><Relationship Id="rId2491" Type="http://schemas.openxmlformats.org/officeDocument/2006/relationships/hyperlink" Target="https://drive.google.com/file/d/1h1yzRXFIiycu9wPW7as4rXt8PqZ5mK22/view?usp=drivesdk" TargetMode="External"/><Relationship Id="rId572" Type="http://schemas.openxmlformats.org/officeDocument/2006/relationships/hyperlink" Target="https://drive.google.com/file/d/1BnadjEkV_ZKVKhSx5B79j3WAxAQJTxuI/view?usp=drivesdk" TargetMode="External"/><Relationship Id="rId1161" Type="http://schemas.openxmlformats.org/officeDocument/2006/relationships/hyperlink" Target="https://drive.google.com/file/d/1BO6BH4NJM2Jr1_gwoKydWs1Qn1mj84oT/view?usp=drivesdk" TargetMode="External"/><Relationship Id="rId2492" Type="http://schemas.openxmlformats.org/officeDocument/2006/relationships/hyperlink" Target="https://drive.google.com/file/d/1nBXcx3pV4wkHjqpoKLBX5VTp13wwFJ8n/view?usp=drivesdk" TargetMode="External"/><Relationship Id="rId571" Type="http://schemas.openxmlformats.org/officeDocument/2006/relationships/hyperlink" Target="https://drive.google.com/file/d/18h6H5MaTWlXBvVvpug57g1mtqinaTX-j/view?usp=drivesdk" TargetMode="External"/><Relationship Id="rId1162" Type="http://schemas.openxmlformats.org/officeDocument/2006/relationships/hyperlink" Target="https://drive.google.com/file/d/18beQ_dJUPbesWZKl2u5IWUjK5Y5WBKzP/view?usp=drivesdk" TargetMode="External"/><Relationship Id="rId2493" Type="http://schemas.openxmlformats.org/officeDocument/2006/relationships/hyperlink" Target="https://drive.google.com/file/d/1oimnkZN5SF8qq2s1JbAGQtmyjx-KlRB9/view?usp=drivesdk" TargetMode="External"/><Relationship Id="rId570" Type="http://schemas.openxmlformats.org/officeDocument/2006/relationships/hyperlink" Target="https://drive.google.com/file/d/1revALI_Qw4HK5EuHmE7Xk4R2dV-h60uU/view?usp=drivesdk" TargetMode="External"/><Relationship Id="rId1163" Type="http://schemas.openxmlformats.org/officeDocument/2006/relationships/hyperlink" Target="https://drive.google.com/file/d/1PvoTzeykl-C4TYFJyqZuacX3e0tnHbwx/view?usp=drivesdk" TargetMode="External"/><Relationship Id="rId2494" Type="http://schemas.openxmlformats.org/officeDocument/2006/relationships/hyperlink" Target="https://drive.google.com/file/d/1W69Z1mwGKn9sdEKMYEy02YIZ-shrVtFt/view?usp=drivesdk" TargetMode="External"/><Relationship Id="rId1164" Type="http://schemas.openxmlformats.org/officeDocument/2006/relationships/hyperlink" Target="https://drive.google.com/file/d/1L1vMVZnegmwI4DL2wKPRml3MEF7kFS3h/view?usp=drivesdk" TargetMode="External"/><Relationship Id="rId2495" Type="http://schemas.openxmlformats.org/officeDocument/2006/relationships/hyperlink" Target="https://drive.google.com/file/d/1pzHP7Bp61yzXJqesH7ctMaa4De2KLcsZ/view?usp=drivesdk" TargetMode="External"/><Relationship Id="rId576" Type="http://schemas.openxmlformats.org/officeDocument/2006/relationships/hyperlink" Target="https://drive.google.com/file/d/1N4zP-7c-XI1P9PgiuK9OZ6zrT0wppyA8/view?usp=drivesdk" TargetMode="External"/><Relationship Id="rId1165" Type="http://schemas.openxmlformats.org/officeDocument/2006/relationships/hyperlink" Target="https://drive.google.com/file/d/1Ib5CSwju2jD5V0cS2StF6SLHzODCu2a2/view?usp=drivesdk" TargetMode="External"/><Relationship Id="rId2496" Type="http://schemas.openxmlformats.org/officeDocument/2006/relationships/hyperlink" Target="https://drive.google.com/file/d/1aM7X5lS8iOt6YlEFOv5iPy0HDxdmzGui/view?usp=drivesdk" TargetMode="External"/><Relationship Id="rId575" Type="http://schemas.openxmlformats.org/officeDocument/2006/relationships/hyperlink" Target="https://drive.google.com/file/d/1fnMNE7ZCVWkzGlNpGdTxAH6TpMqqWd8A/view?usp=drivesdk" TargetMode="External"/><Relationship Id="rId1166" Type="http://schemas.openxmlformats.org/officeDocument/2006/relationships/hyperlink" Target="https://drive.google.com/file/d/1w0GpUgZBU4UzEj0aQ5FR8k1j8KCeY2nw/view?usp=drivesdk" TargetMode="External"/><Relationship Id="rId2497" Type="http://schemas.openxmlformats.org/officeDocument/2006/relationships/hyperlink" Target="https://drive.google.com/file/d/1T_PNeZ_J69RjQzUIOxOdEzCseBhExRNd/view?usp=drivesdk" TargetMode="External"/><Relationship Id="rId574" Type="http://schemas.openxmlformats.org/officeDocument/2006/relationships/hyperlink" Target="https://drive.google.com/file/d/1Or1LpoknbS-Irme5_TRdsDbKH3gNKznW/view?usp=drivesdk" TargetMode="External"/><Relationship Id="rId1167" Type="http://schemas.openxmlformats.org/officeDocument/2006/relationships/hyperlink" Target="https://drive.google.com/file/d/10HXcr0IeZHFm4TeSoFO6chbl12Van88M/view?usp=drivesdk" TargetMode="External"/><Relationship Id="rId2498" Type="http://schemas.openxmlformats.org/officeDocument/2006/relationships/hyperlink" Target="https://drive.google.com/file/d/1mY5K8l9WLYZqLD_DXZtRTgd4ARlQaEqr/view?usp=drivesdk" TargetMode="External"/><Relationship Id="rId573" Type="http://schemas.openxmlformats.org/officeDocument/2006/relationships/hyperlink" Target="https://drive.google.com/file/d/177uuzRu5kL-2PacIHD1iIXJ6M_Kd06-M/view?usp=drivesdk" TargetMode="External"/><Relationship Id="rId1168" Type="http://schemas.openxmlformats.org/officeDocument/2006/relationships/hyperlink" Target="https://drive.google.com/file/d/1f4gjGcwfa2R3pyT9FwQcpyMGpQjjylgr/view?usp=drivesdk" TargetMode="External"/><Relationship Id="rId2499" Type="http://schemas.openxmlformats.org/officeDocument/2006/relationships/hyperlink" Target="https://drive.google.com/file/d/1cFU9RwUQQIPYchMzo1Y0Z_pkXS0OCBMr/view?usp=drivesdk" TargetMode="External"/><Relationship Id="rId4228" Type="http://schemas.openxmlformats.org/officeDocument/2006/relationships/hyperlink" Target="https://drive.google.com/file/d/12VPuOndF-4YaBa9AdYKgwFJzauJyFf44/view?usp=drivesdk" TargetMode="External"/><Relationship Id="rId4227" Type="http://schemas.openxmlformats.org/officeDocument/2006/relationships/hyperlink" Target="https://drive.google.com/file/d/1b_xlqdO9lfPSLwPQO2LBYMYbvzrcKLAH/view?usp=drivesdk" TargetMode="External"/><Relationship Id="rId4229" Type="http://schemas.openxmlformats.org/officeDocument/2006/relationships/hyperlink" Target="https://drive.google.com/file/d/160pd7K1-8Oj7TnZAtsNmHb4t4xC8SVz8/view?usp=drivesdk" TargetMode="External"/><Relationship Id="rId1190" Type="http://schemas.openxmlformats.org/officeDocument/2006/relationships/hyperlink" Target="https://drive.google.com/file/d/1pIcbtb5zWxgUiso7cUmcHM1FYFSjxiEt/view?usp=drivesdk" TargetMode="External"/><Relationship Id="rId1191" Type="http://schemas.openxmlformats.org/officeDocument/2006/relationships/hyperlink" Target="https://drive.google.com/file/d/1kXCNLCxn3-Ks99ouz36fYuh625RGsR-v/view?usp=drivesdk" TargetMode="External"/><Relationship Id="rId1192" Type="http://schemas.openxmlformats.org/officeDocument/2006/relationships/hyperlink" Target="https://drive.google.com/file/d/1H0E70--Vweztt8bM5CIuXYHpNgrdpcMW/view?usp=drivesdk" TargetMode="External"/><Relationship Id="rId1193" Type="http://schemas.openxmlformats.org/officeDocument/2006/relationships/hyperlink" Target="https://drive.google.com/file/d/1vBFaJAkZlHudEzg3vCGFl6iyE1sKogGK/view?usp=drivesdk" TargetMode="External"/><Relationship Id="rId1194" Type="http://schemas.openxmlformats.org/officeDocument/2006/relationships/hyperlink" Target="https://drive.google.com/file/d/1X7hdsleSJObNuGnpr5obRQsXO_vNENFr/view?usp=drivesdk" TargetMode="External"/><Relationship Id="rId4220" Type="http://schemas.openxmlformats.org/officeDocument/2006/relationships/hyperlink" Target="https://drive.google.com/file/d/1lshhbMO-pHtKddyfewEC-eArhfIXbdEE/view?usp=drivesdk" TargetMode="External"/><Relationship Id="rId1195" Type="http://schemas.openxmlformats.org/officeDocument/2006/relationships/hyperlink" Target="https://drive.google.com/file/d/1v1I8nc31XrMAzKludF6BoalsIqdKuoa-/view?usp=drivesdk" TargetMode="External"/><Relationship Id="rId1196" Type="http://schemas.openxmlformats.org/officeDocument/2006/relationships/hyperlink" Target="https://drive.google.com/file/d/1J3OdOBSnSDu5nZLg6D_N_4AKw1ojzW5A/view?usp=drivesdk" TargetMode="External"/><Relationship Id="rId4222" Type="http://schemas.openxmlformats.org/officeDocument/2006/relationships/hyperlink" Target="https://drive.google.com/file/d/1hDVTirC_Wk3F6nN09LnbD5uTK353oXwi/view?usp=drivesdk" TargetMode="External"/><Relationship Id="rId1197" Type="http://schemas.openxmlformats.org/officeDocument/2006/relationships/hyperlink" Target="https://drive.google.com/file/d/1tiRuL7H_ABAac2zhdJWcupLYe3d8y_rd/view?usp=drivesdk" TargetMode="External"/><Relationship Id="rId4221" Type="http://schemas.openxmlformats.org/officeDocument/2006/relationships/hyperlink" Target="https://drive.google.com/file/d/1g6-VD8c2D6QDiY9Cyrh7UhJ6cdaIcJ-W/view?usp=drivesdk" TargetMode="External"/><Relationship Id="rId1198" Type="http://schemas.openxmlformats.org/officeDocument/2006/relationships/hyperlink" Target="https://drive.google.com/file/d/1O5mtqTEMkF6YXrGAQx70zEdU6_DDlAN3/view?usp=drivesdk" TargetMode="External"/><Relationship Id="rId4224" Type="http://schemas.openxmlformats.org/officeDocument/2006/relationships/hyperlink" Target="https://drive.google.com/file/d/1ovjA00PM4KC2obuREirk06EYDHIpupK0/view?usp=drivesdk" TargetMode="External"/><Relationship Id="rId1199" Type="http://schemas.openxmlformats.org/officeDocument/2006/relationships/hyperlink" Target="https://drive.google.com/file/d/1qKNxWkjP8KFi0qGwMlS0FEVqTvvaSiZ9/view?usp=drivesdk" TargetMode="External"/><Relationship Id="rId4223" Type="http://schemas.openxmlformats.org/officeDocument/2006/relationships/hyperlink" Target="https://drive.google.com/file/d/18f_PV15TSWBsjPn7sZ9M4hx4PjNjBg0_/view?usp=drivesdk" TargetMode="External"/><Relationship Id="rId4226" Type="http://schemas.openxmlformats.org/officeDocument/2006/relationships/hyperlink" Target="https://drive.google.com/file/d/1OCs8bo32aFSx5D1okAYOPb7syFxE-vV-/view?usp=drivesdk" TargetMode="External"/><Relationship Id="rId4225" Type="http://schemas.openxmlformats.org/officeDocument/2006/relationships/hyperlink" Target="https://drive.google.com/file/d/1H8s-Nc-dU89IEqfzSorwbbY2hxpzP_0I/view?usp=drivesdk" TargetMode="External"/><Relationship Id="rId4217" Type="http://schemas.openxmlformats.org/officeDocument/2006/relationships/hyperlink" Target="https://drive.google.com/file/d/1I4eHI7Royal8aaI4xh4-iMtsAt_nJjA9/view?usp=drivesdk" TargetMode="External"/><Relationship Id="rId4216" Type="http://schemas.openxmlformats.org/officeDocument/2006/relationships/hyperlink" Target="https://drive.google.com/file/d/13A6El6mf-Zv0meLHj8uh_sPK5E1buOhr/view?usp=drivesdk" TargetMode="External"/><Relationship Id="rId4219" Type="http://schemas.openxmlformats.org/officeDocument/2006/relationships/hyperlink" Target="https://drive.google.com/file/d/1M8fJzaBHXoyYWWfH70BewTvmN1MsaF-B/view?usp=drivesdk" TargetMode="External"/><Relationship Id="rId4218" Type="http://schemas.openxmlformats.org/officeDocument/2006/relationships/hyperlink" Target="https://drive.google.com/file/d/1LV1f1AQqihds9xgKDTMSRGL9OI_C4-CU/view?usp=drivesdk" TargetMode="External"/><Relationship Id="rId599" Type="http://schemas.openxmlformats.org/officeDocument/2006/relationships/hyperlink" Target="https://drive.google.com/file/d/1n3oSJ8WqBc0l06zLMhdnlOnUDyryYZOv/view?usp=drivesdk" TargetMode="External"/><Relationship Id="rId1180" Type="http://schemas.openxmlformats.org/officeDocument/2006/relationships/hyperlink" Target="https://drive.google.com/file/d/1TeCgfnVOKR9QLGHjOwhPjODYnHlxPm-F/view?usp=drivesdk" TargetMode="External"/><Relationship Id="rId1181" Type="http://schemas.openxmlformats.org/officeDocument/2006/relationships/hyperlink" Target="https://drive.google.com/file/d/12gx2khtYN0cxGVtz8BCrYmJdHBvxnUYL/view?usp=drivesdk" TargetMode="External"/><Relationship Id="rId1182" Type="http://schemas.openxmlformats.org/officeDocument/2006/relationships/hyperlink" Target="https://drive.google.com/file/d/1Vo1esW-qs0y3C2FiZSpGpkbk9YpVvb1R/view?usp=drivesdk" TargetMode="External"/><Relationship Id="rId594" Type="http://schemas.openxmlformats.org/officeDocument/2006/relationships/hyperlink" Target="https://drive.google.com/file/d/1hUBGOiieYOOgx1CUD5ZXDg88l0vI0P0d/view?usp=drivesdk" TargetMode="External"/><Relationship Id="rId1183" Type="http://schemas.openxmlformats.org/officeDocument/2006/relationships/hyperlink" Target="https://drive.google.com/file/d/1hPLOLeiucrGrv9WW8aKrZafeTFEMNZpj/view?usp=drivesdk" TargetMode="External"/><Relationship Id="rId593" Type="http://schemas.openxmlformats.org/officeDocument/2006/relationships/hyperlink" Target="https://drive.google.com/file/d/1TAWTWk8m8oled_U93BYYsSRCUBVSsep5/view?usp=drivesdk" TargetMode="External"/><Relationship Id="rId1184" Type="http://schemas.openxmlformats.org/officeDocument/2006/relationships/hyperlink" Target="https://drive.google.com/file/d/1ZGgpfjT5_tRh6CxYMTH3D-rMTmujKJWx/view?usp=drivesdk" TargetMode="External"/><Relationship Id="rId592" Type="http://schemas.openxmlformats.org/officeDocument/2006/relationships/hyperlink" Target="https://drive.google.com/file/d/1lctyXAJjIQxyI2Iq0LV___aAdClmb-CU/view?usp=drivesdk" TargetMode="External"/><Relationship Id="rId1185" Type="http://schemas.openxmlformats.org/officeDocument/2006/relationships/hyperlink" Target="https://drive.google.com/file/d/1ej9Wbat1l1-N2HmN695NhEFLrXSlbDGB/view?usp=drivesdk" TargetMode="External"/><Relationship Id="rId4211" Type="http://schemas.openxmlformats.org/officeDocument/2006/relationships/hyperlink" Target="https://drive.google.com/file/d/1Tb_SeD_aIZhk7yVDTavSwShzIayxDjeW/view?usp=drivesdk" TargetMode="External"/><Relationship Id="rId591" Type="http://schemas.openxmlformats.org/officeDocument/2006/relationships/hyperlink" Target="https://drive.google.com/file/d/19pOkFc703BmkBO2r8Szr30fnl_WUs4nN/view?usp=drivesdk" TargetMode="External"/><Relationship Id="rId1186" Type="http://schemas.openxmlformats.org/officeDocument/2006/relationships/hyperlink" Target="https://drive.google.com/file/d/1MWjcry6omD-WwsQYVm_rg6MlBHNk-1GE/view?usp=drivesdk" TargetMode="External"/><Relationship Id="rId4210" Type="http://schemas.openxmlformats.org/officeDocument/2006/relationships/hyperlink" Target="https://drive.google.com/file/d/10eyoyNyX-jdM0OU65MnsaBUAhQt0-yRk/view?usp=drivesdk" TargetMode="External"/><Relationship Id="rId598" Type="http://schemas.openxmlformats.org/officeDocument/2006/relationships/hyperlink" Target="https://drive.google.com/file/d/1eAWQ7eON7tunevT-x0oui1EWTRx8LgDW/view?usp=drivesdk" TargetMode="External"/><Relationship Id="rId1187" Type="http://schemas.openxmlformats.org/officeDocument/2006/relationships/hyperlink" Target="https://drive.google.com/file/d/1dPTH9_uNfJ5qaQblALGhbcgZWeZAmh83/view?usp=drivesdk" TargetMode="External"/><Relationship Id="rId4213" Type="http://schemas.openxmlformats.org/officeDocument/2006/relationships/hyperlink" Target="https://drive.google.com/file/d/1XWkHhSqxbBtzVWEiHMoQwPaI74G0ofSS/view?usp=drivesdk" TargetMode="External"/><Relationship Id="rId597" Type="http://schemas.openxmlformats.org/officeDocument/2006/relationships/hyperlink" Target="https://drive.google.com/file/d/1AeapNTjb3DBjlWbcD9Jd9DuZRAM5m39U/view?usp=drivesdk" TargetMode="External"/><Relationship Id="rId1188" Type="http://schemas.openxmlformats.org/officeDocument/2006/relationships/hyperlink" Target="https://drive.google.com/file/d/1myBoyyuz8pl4a5UlmFP2oqYy5cRMY2Wc/view?usp=drivesdk" TargetMode="External"/><Relationship Id="rId4212" Type="http://schemas.openxmlformats.org/officeDocument/2006/relationships/hyperlink" Target="https://drive.google.com/file/d/1OQyYLOv6TOuwqUKwbpEqBTSh90YsG5Ef/view?usp=drivesdk" TargetMode="External"/><Relationship Id="rId596" Type="http://schemas.openxmlformats.org/officeDocument/2006/relationships/hyperlink" Target="https://drive.google.com/file/d/1V4yk7q7CdplzcG4oW6kExsPQJqfmeU_P/view?usp=drivesdk" TargetMode="External"/><Relationship Id="rId1189" Type="http://schemas.openxmlformats.org/officeDocument/2006/relationships/hyperlink" Target="https://drive.google.com/file/d/1R9LbR_c6lvF1bH9naZm7F7udr7nByNMc/view?usp=drivesdk" TargetMode="External"/><Relationship Id="rId4215" Type="http://schemas.openxmlformats.org/officeDocument/2006/relationships/hyperlink" Target="https://drive.google.com/file/d/1BNgneICQBkpqCQs3R_IfQW3gtw0yqpGA/view?usp=drivesdk" TargetMode="External"/><Relationship Id="rId595" Type="http://schemas.openxmlformats.org/officeDocument/2006/relationships/hyperlink" Target="https://drive.google.com/file/d/1Mfx68wMLsdKXMR-2llHng1zCpSebJlzB/view?usp=drivesdk" TargetMode="External"/><Relationship Id="rId4214" Type="http://schemas.openxmlformats.org/officeDocument/2006/relationships/hyperlink" Target="https://drive.google.com/file/d/1KrVsYJsm0-wLc3wJsGQ2q6H6qwCfyKLh/view?usp=drivesdk" TargetMode="External"/><Relationship Id="rId1136" Type="http://schemas.openxmlformats.org/officeDocument/2006/relationships/hyperlink" Target="https://drive.google.com/file/d/1X24u7FFWOEOgSo8tsBHru5_4tLNxFEN5/view?usp=drivesdk" TargetMode="External"/><Relationship Id="rId2467" Type="http://schemas.openxmlformats.org/officeDocument/2006/relationships/hyperlink" Target="https://drive.google.com/file/d/1qwBE_OwpzPE9NQpSEdBVwC0f2F2pBc6s/view?usp=drivesdk" TargetMode="External"/><Relationship Id="rId3799" Type="http://schemas.openxmlformats.org/officeDocument/2006/relationships/hyperlink" Target="https://drive.google.com/file/d/1dvWuG18lCpebtvrX0GyVdnDbiJ6NHcju/view?usp=drivesdk" TargetMode="External"/><Relationship Id="rId1137" Type="http://schemas.openxmlformats.org/officeDocument/2006/relationships/hyperlink" Target="https://drive.google.com/file/d/1_awx7llm9Ehy3YydkHRiQikueEjIxval/view?usp=drivesdk" TargetMode="External"/><Relationship Id="rId2468" Type="http://schemas.openxmlformats.org/officeDocument/2006/relationships/hyperlink" Target="https://drive.google.com/file/d/1ENAbw2Ne6iz-Fg1s0IBXy4TQCQlzGIZF/view?usp=drivesdk" TargetMode="External"/><Relationship Id="rId3798" Type="http://schemas.openxmlformats.org/officeDocument/2006/relationships/hyperlink" Target="https://drive.google.com/file/d/1hWTuBzqpD2f1uoGu1KMOV7TzaHbqnNIZ/view?usp=drivesdk" TargetMode="External"/><Relationship Id="rId1138" Type="http://schemas.openxmlformats.org/officeDocument/2006/relationships/hyperlink" Target="https://drive.google.com/file/d/1CxJGSV1lLMFA7c_xfbgZAXgYbRW5Mrc4/view?usp=drivesdk" TargetMode="External"/><Relationship Id="rId2469" Type="http://schemas.openxmlformats.org/officeDocument/2006/relationships/hyperlink" Target="https://drive.google.com/file/d/14zct-P9yUvF1LpLJxGHi6OYyP2_-jznP/view?usp=drivesdk" TargetMode="External"/><Relationship Id="rId1139" Type="http://schemas.openxmlformats.org/officeDocument/2006/relationships/hyperlink" Target="https://drive.google.com/file/d/1kdAfh7jBH0ENI-LZmSWrhl93_3Kec0Ls/view?usp=drivesdk" TargetMode="External"/><Relationship Id="rId547" Type="http://schemas.openxmlformats.org/officeDocument/2006/relationships/hyperlink" Target="https://drive.google.com/file/d/1AGy5IuRf-kLXS5O-ZbmJvSgkqMwK6Fgo/view?usp=drivesdk" TargetMode="External"/><Relationship Id="rId546" Type="http://schemas.openxmlformats.org/officeDocument/2006/relationships/hyperlink" Target="https://drive.google.com/file/d/18_wbmR3-Qpv0yo_DRjbELNxE9jBaiHFQ/view?usp=drivesdk" TargetMode="External"/><Relationship Id="rId545" Type="http://schemas.openxmlformats.org/officeDocument/2006/relationships/hyperlink" Target="https://drive.google.com/file/d/1aAnq4xX9-qTRUCU719lvHuKelSjn_4Iv/view?usp=drivesdk" TargetMode="External"/><Relationship Id="rId544" Type="http://schemas.openxmlformats.org/officeDocument/2006/relationships/hyperlink" Target="https://drive.google.com/file/d/1SCEVpWp8PspVYVtHC2gnvQ5V0mfUkhKW/view?usp=drivesdk" TargetMode="External"/><Relationship Id="rId549" Type="http://schemas.openxmlformats.org/officeDocument/2006/relationships/hyperlink" Target="https://drive.google.com/file/d/1wYsQb1VvzNqE431OrKTKN288U4wDYgx5/view?usp=drivesdk" TargetMode="External"/><Relationship Id="rId548" Type="http://schemas.openxmlformats.org/officeDocument/2006/relationships/hyperlink" Target="https://drive.google.com/file/d/10fRso1O84xlohqHhwywxaIIshAPJgUPD/view?usp=drivesdk" TargetMode="External"/><Relationship Id="rId3791" Type="http://schemas.openxmlformats.org/officeDocument/2006/relationships/hyperlink" Target="https://drive.google.com/file/d/1vbkERPw7ikSwHO-NqiaLGMEcWJ3cmmJ5/view?usp=drivesdk" TargetMode="External"/><Relationship Id="rId2460" Type="http://schemas.openxmlformats.org/officeDocument/2006/relationships/hyperlink" Target="https://drive.google.com/file/d/1RPI3BWuI7U_KmWb-p7hNaUlQV2_PXyzr/view?usp=drivesdk" TargetMode="External"/><Relationship Id="rId3790" Type="http://schemas.openxmlformats.org/officeDocument/2006/relationships/hyperlink" Target="https://drive.google.com/file/d/1X40UTOD0dL0YvGQUyg6ON-KNCLI5FeTA/view?usp=drivesdk" TargetMode="External"/><Relationship Id="rId1130" Type="http://schemas.openxmlformats.org/officeDocument/2006/relationships/hyperlink" Target="https://drive.google.com/file/d/1kP5fxLeivMTPIVy7OlT_v2rKuzpCYS2W/view?usp=drivesdk" TargetMode="External"/><Relationship Id="rId2461" Type="http://schemas.openxmlformats.org/officeDocument/2006/relationships/hyperlink" Target="https://drive.google.com/file/d/1asc8G7mqf1fxPa39fErRijOylaMMI5po/view?usp=drivesdk" TargetMode="External"/><Relationship Id="rId3793" Type="http://schemas.openxmlformats.org/officeDocument/2006/relationships/hyperlink" Target="https://drive.google.com/file/d/1m03W9IF2Zxpdh3KivYU-4yMCKGUiGwfS/view?usp=drivesdk" TargetMode="External"/><Relationship Id="rId1131" Type="http://schemas.openxmlformats.org/officeDocument/2006/relationships/hyperlink" Target="https://drive.google.com/file/d/1xqdLTvJQfJJZ8GgpYVoUHHarxHV1PVFG/view?usp=drivesdk" TargetMode="External"/><Relationship Id="rId2462" Type="http://schemas.openxmlformats.org/officeDocument/2006/relationships/hyperlink" Target="https://drive.google.com/file/d/1wjAsI49k5K2ZuGqSX7MOCa0LyCVCZSGT/view?usp=drivesdk" TargetMode="External"/><Relationship Id="rId3792" Type="http://schemas.openxmlformats.org/officeDocument/2006/relationships/hyperlink" Target="https://drive.google.com/file/d/1Nz10x5oc66RF6AGW95r74RQyaT6ioFqS/view?usp=drivesdk" TargetMode="External"/><Relationship Id="rId543" Type="http://schemas.openxmlformats.org/officeDocument/2006/relationships/hyperlink" Target="https://drive.google.com/file/d/1A7qRRizAnpnT0zZ5gAkBckHZHxweErzd/view?usp=drivesdk" TargetMode="External"/><Relationship Id="rId1132" Type="http://schemas.openxmlformats.org/officeDocument/2006/relationships/hyperlink" Target="https://drive.google.com/file/d/1t6Z7pfjupbXcSANkxLlKUlGx1x3__WyT/view?usp=drivesdk" TargetMode="External"/><Relationship Id="rId2463" Type="http://schemas.openxmlformats.org/officeDocument/2006/relationships/hyperlink" Target="https://drive.google.com/file/d/1OyxKr4v007xmzVedFXTPGuxJVpq40wHJ/view?usp=drivesdk" TargetMode="External"/><Relationship Id="rId3795" Type="http://schemas.openxmlformats.org/officeDocument/2006/relationships/hyperlink" Target="https://drive.google.com/file/d/1dVNSnLF7aYPwSrGg9JaxckOycHVif4Qy/view?usp=drivesdk" TargetMode="External"/><Relationship Id="rId542" Type="http://schemas.openxmlformats.org/officeDocument/2006/relationships/hyperlink" Target="https://drive.google.com/file/d/1MbS_5qR5g0h2ja75mgxgOy8XAjxRXxFr/view?usp=drivesdk" TargetMode="External"/><Relationship Id="rId1133" Type="http://schemas.openxmlformats.org/officeDocument/2006/relationships/hyperlink" Target="https://drive.google.com/file/d/1uSovLDRU7zlcHbHUaP1_fpyE7pLM3C9X/view?usp=drivesdk" TargetMode="External"/><Relationship Id="rId2464" Type="http://schemas.openxmlformats.org/officeDocument/2006/relationships/hyperlink" Target="https://drive.google.com/file/d/1j07Ox8MpR6vtNF-jv2-CBClkrryN69BT/view?usp=drivesdk" TargetMode="External"/><Relationship Id="rId3794" Type="http://schemas.openxmlformats.org/officeDocument/2006/relationships/hyperlink" Target="https://drive.google.com/file/d/1qS5JBmwGcIgh7ouTqvTQFpZcuQgX0Fc0/view?usp=drivesdk" TargetMode="External"/><Relationship Id="rId541" Type="http://schemas.openxmlformats.org/officeDocument/2006/relationships/hyperlink" Target="https://drive.google.com/file/d/1ZQpl-Q_FXs_lT1xsoTvdhtOVdmrAESoD/view?usp=drivesdk" TargetMode="External"/><Relationship Id="rId1134" Type="http://schemas.openxmlformats.org/officeDocument/2006/relationships/hyperlink" Target="https://drive.google.com/file/d/1Vh7-wyKG21XX-cltQjJpOr3kQPKfP4kG/view?usp=drivesdk" TargetMode="External"/><Relationship Id="rId2465" Type="http://schemas.openxmlformats.org/officeDocument/2006/relationships/hyperlink" Target="https://drive.google.com/file/d/1OkVZmZKj78nBvQbBF7Tb3KirF8vniw50/view?usp=drivesdk" TargetMode="External"/><Relationship Id="rId3797" Type="http://schemas.openxmlformats.org/officeDocument/2006/relationships/hyperlink" Target="https://drive.google.com/file/d/1Ayh9Vi_rZy-U56abd3lyLZf2r9p2iMPY/view?usp=drivesdk" TargetMode="External"/><Relationship Id="rId540" Type="http://schemas.openxmlformats.org/officeDocument/2006/relationships/hyperlink" Target="https://drive.google.com/file/d/1MOaCO0Zk38h83sZaUxaxeCpS0oNyfthr/view?usp=drivesdk" TargetMode="External"/><Relationship Id="rId1135" Type="http://schemas.openxmlformats.org/officeDocument/2006/relationships/hyperlink" Target="https://drive.google.com/file/d/1J7iLBSk0-1jA26PK54JP9JnX7e9in4Pk/view?usp=drivesdk" TargetMode="External"/><Relationship Id="rId2466" Type="http://schemas.openxmlformats.org/officeDocument/2006/relationships/hyperlink" Target="https://drive.google.com/file/d/1_INutSCYkHSY3dIE8y_aZQy7z5lDxP0T/view?usp=drivesdk" TargetMode="External"/><Relationship Id="rId3796" Type="http://schemas.openxmlformats.org/officeDocument/2006/relationships/hyperlink" Target="https://drive.google.com/file/d/1RG55v0s2jRMegQXuac794IQPAtYhObof/view?usp=drivesdk" TargetMode="External"/><Relationship Id="rId1125" Type="http://schemas.openxmlformats.org/officeDocument/2006/relationships/hyperlink" Target="https://drive.google.com/file/d/1O4_02ACUo-utr1G2ts0GuqrLqDP_a6ao/view?usp=drivesdk" TargetMode="External"/><Relationship Id="rId2456" Type="http://schemas.openxmlformats.org/officeDocument/2006/relationships/hyperlink" Target="https://drive.google.com/file/d/1pkdwxBxXQ1KFU6lePu0fm0FMvGTEr_6q/view?usp=drivesdk" TargetMode="External"/><Relationship Id="rId3788" Type="http://schemas.openxmlformats.org/officeDocument/2006/relationships/hyperlink" Target="https://drive.google.com/file/d/1hE-1k_C3SC1SfZZB7oColWRB5ZwGvF_K/view?usp=drivesdk" TargetMode="External"/><Relationship Id="rId1126" Type="http://schemas.openxmlformats.org/officeDocument/2006/relationships/hyperlink" Target="https://drive.google.com/file/d/1icmyNXDUbs1LGeU62vvz7NfJZDUeGk-D/view?usp=drivesdk" TargetMode="External"/><Relationship Id="rId2457" Type="http://schemas.openxmlformats.org/officeDocument/2006/relationships/hyperlink" Target="https://drive.google.com/file/d/1KlQWkDQaPdX73tN_tpMTRd1-OYGNlnSv/view?usp=drivesdk" TargetMode="External"/><Relationship Id="rId3787" Type="http://schemas.openxmlformats.org/officeDocument/2006/relationships/hyperlink" Target="https://drive.google.com/file/d/1JVHlP6XHiB62w1jSe5d_Dd6BQKUlJoHR/view?usp=drivesdk" TargetMode="External"/><Relationship Id="rId1127" Type="http://schemas.openxmlformats.org/officeDocument/2006/relationships/hyperlink" Target="https://drive.google.com/file/d/1RHvr179FsG7-pQX2duo1IqLNzpOJgvxs/view?usp=drivesdk" TargetMode="External"/><Relationship Id="rId2458" Type="http://schemas.openxmlformats.org/officeDocument/2006/relationships/hyperlink" Target="https://drive.google.com/file/d/1PCov-yXcRhZXjMufAklMgVy5UKl1SF6h/view?usp=drivesdk" TargetMode="External"/><Relationship Id="rId1128" Type="http://schemas.openxmlformats.org/officeDocument/2006/relationships/hyperlink" Target="https://drive.google.com/file/d/1DgvKR1mpIqCJ7O09_bbu_U_k9Ejis-GI/view?usp=drivesdk" TargetMode="External"/><Relationship Id="rId2459" Type="http://schemas.openxmlformats.org/officeDocument/2006/relationships/hyperlink" Target="https://drive.google.com/file/d/1D9cCDCfqPMJLbu20heuexCA8FEQzh-7D/view?usp=drivesdk" TargetMode="External"/><Relationship Id="rId3789" Type="http://schemas.openxmlformats.org/officeDocument/2006/relationships/hyperlink" Target="https://drive.google.com/file/d/1OoT2AfLD0jII3Qgz2bhHDD6lbGG8aYRW/view?usp=drivesdk" TargetMode="External"/><Relationship Id="rId1129" Type="http://schemas.openxmlformats.org/officeDocument/2006/relationships/hyperlink" Target="https://drive.google.com/file/d/1kYNuaBsCG64ELGWlyGN4eETjcA-gnzSR/view?usp=drivesdk" TargetMode="External"/><Relationship Id="rId536" Type="http://schemas.openxmlformats.org/officeDocument/2006/relationships/hyperlink" Target="https://drive.google.com/file/d/1j8uf5F_QlAhiApWLeCzcyixLxyEHf2Mo/view?usp=drivesdk" TargetMode="External"/><Relationship Id="rId535" Type="http://schemas.openxmlformats.org/officeDocument/2006/relationships/hyperlink" Target="https://drive.google.com/file/d/1YRXWha5fsfxNbp_IXFM86w5u8t_hcEtY/view?usp=drivesdk" TargetMode="External"/><Relationship Id="rId534" Type="http://schemas.openxmlformats.org/officeDocument/2006/relationships/hyperlink" Target="https://drive.google.com/file/d/1EZMgph8HkZEPr_0MPtc6tyuRMSPm9_zG/view?usp=drivesdk" TargetMode="External"/><Relationship Id="rId533" Type="http://schemas.openxmlformats.org/officeDocument/2006/relationships/hyperlink" Target="https://drive.google.com/file/d/1ixHAmKkF2GCBl-s7_PLJM7rIMKYC5M7j/view?usp=drivesdk" TargetMode="External"/><Relationship Id="rId539" Type="http://schemas.openxmlformats.org/officeDocument/2006/relationships/hyperlink" Target="https://drive.google.com/file/d/1aU0bfw-bFaZ77-f0EXpa9AIujx2iOF4q/view?usp=drivesdk" TargetMode="External"/><Relationship Id="rId538" Type="http://schemas.openxmlformats.org/officeDocument/2006/relationships/hyperlink" Target="https://drive.google.com/file/d/1o6GAqxE0I6s7LKByspunSd1xqR8oI55r/view?usp=drivesdk" TargetMode="External"/><Relationship Id="rId537" Type="http://schemas.openxmlformats.org/officeDocument/2006/relationships/hyperlink" Target="https://drive.google.com/file/d/1DGywjruaptGGvgRTeEeMxX5pN_7NdA79/view?usp=drivesdk" TargetMode="External"/><Relationship Id="rId3780" Type="http://schemas.openxmlformats.org/officeDocument/2006/relationships/hyperlink" Target="https://drive.google.com/file/d/1jwA04RK6PR38ptOB4ieItuVefKkmOJz6/view?usp=drivesdk" TargetMode="External"/><Relationship Id="rId2450" Type="http://schemas.openxmlformats.org/officeDocument/2006/relationships/hyperlink" Target="https://drive.google.com/file/d/1p60YKEhiCpnmLclTHhLyJhcseLsVKjym/view?usp=drivesdk" TargetMode="External"/><Relationship Id="rId3782" Type="http://schemas.openxmlformats.org/officeDocument/2006/relationships/hyperlink" Target="https://drive.google.com/file/d/1oK2mbOHy1KpEIJD9p_MjPQj67UfI7wm_/view?usp=drivesdk" TargetMode="External"/><Relationship Id="rId1120" Type="http://schemas.openxmlformats.org/officeDocument/2006/relationships/hyperlink" Target="https://drive.google.com/file/d/1HYxBc51TnEHmv_9H5xw2VRbTuVYnC08B/view?usp=drivesdk" TargetMode="External"/><Relationship Id="rId2451" Type="http://schemas.openxmlformats.org/officeDocument/2006/relationships/hyperlink" Target="https://drive.google.com/file/d/18r-T_CWFh0mAH7urmEyE-Y_8Xb55BUdj/view?usp=drivesdk" TargetMode="External"/><Relationship Id="rId3781" Type="http://schemas.openxmlformats.org/officeDocument/2006/relationships/hyperlink" Target="https://drive.google.com/file/d/1wr6askhwUHK8pA1m5yGVSa9JRFcfPz0Z/view?usp=drivesdk" TargetMode="External"/><Relationship Id="rId532" Type="http://schemas.openxmlformats.org/officeDocument/2006/relationships/hyperlink" Target="https://drive.google.com/file/d/1Kx2zBKyKD2w-byf3LyicGMb91Q4ByeA5/view?usp=drivesdk" TargetMode="External"/><Relationship Id="rId1121" Type="http://schemas.openxmlformats.org/officeDocument/2006/relationships/hyperlink" Target="https://drive.google.com/file/d/1SWC3lTuIgctH8CD3qWCzR5Y0xAZFw9YA/view?usp=drivesdk" TargetMode="External"/><Relationship Id="rId2452" Type="http://schemas.openxmlformats.org/officeDocument/2006/relationships/hyperlink" Target="https://drive.google.com/file/d/1vDvsBpzcKV8TADITaEW8fRwq0JrACTMN/view?usp=drivesdk" TargetMode="External"/><Relationship Id="rId3784" Type="http://schemas.openxmlformats.org/officeDocument/2006/relationships/hyperlink" Target="https://drive.google.com/file/d/1xZtrbdzoNlm_QooFQvostb6j_DEUzyP4/view?usp=drivesdk" TargetMode="External"/><Relationship Id="rId531" Type="http://schemas.openxmlformats.org/officeDocument/2006/relationships/hyperlink" Target="https://drive.google.com/file/d/1jt4PfeneD5Sfo7TnzwwyRynnydDGcK6s/view?usp=drivesdk" TargetMode="External"/><Relationship Id="rId1122" Type="http://schemas.openxmlformats.org/officeDocument/2006/relationships/hyperlink" Target="https://drive.google.com/file/d/1yaS1R3sd9NJvT99TxrJWzosAc0E8Zu5e/view?usp=drivesdk" TargetMode="External"/><Relationship Id="rId2453" Type="http://schemas.openxmlformats.org/officeDocument/2006/relationships/hyperlink" Target="https://drive.google.com/file/d/1eqrAeZTtW7JJ5klDY9ARjGPwoXVXLRlh/view?usp=drivesdk" TargetMode="External"/><Relationship Id="rId3783" Type="http://schemas.openxmlformats.org/officeDocument/2006/relationships/hyperlink" Target="https://drive.google.com/file/d/1Q4dfxwDghfiORr8hDWb4jKzGOVnPiDPy/view?usp=drivesdk" TargetMode="External"/><Relationship Id="rId530" Type="http://schemas.openxmlformats.org/officeDocument/2006/relationships/hyperlink" Target="https://drive.google.com/file/d/1at0B1NKZF47wC3KBkon-rR3N14Akdm9J/view?usp=drivesdk" TargetMode="External"/><Relationship Id="rId1123" Type="http://schemas.openxmlformats.org/officeDocument/2006/relationships/hyperlink" Target="https://drive.google.com/file/d/1hSSxUa3wPpdUuq4_q3sfFPYZoSno9WYP/view?usp=drivesdk" TargetMode="External"/><Relationship Id="rId2454" Type="http://schemas.openxmlformats.org/officeDocument/2006/relationships/hyperlink" Target="https://drive.google.com/file/d/1TXfUZW4zpWLK0fWDvWeN6Ij3JPjGOzp1/view?usp=drivesdk" TargetMode="External"/><Relationship Id="rId3786" Type="http://schemas.openxmlformats.org/officeDocument/2006/relationships/hyperlink" Target="https://drive.google.com/file/d/15POxZjBbOPMFhx1bxAnf1Jo5ucGAp9XK/view?usp=drivesdk" TargetMode="External"/><Relationship Id="rId1124" Type="http://schemas.openxmlformats.org/officeDocument/2006/relationships/hyperlink" Target="https://drive.google.com/file/d/1DfhINjximjde7dubXv2c2-TecDoUW-mX/view?usp=drivesdk" TargetMode="External"/><Relationship Id="rId2455" Type="http://schemas.openxmlformats.org/officeDocument/2006/relationships/hyperlink" Target="https://drive.google.com/file/d/1vzocvVw97e49hFwYkEm0V-nAuv-bJG7n/view?usp=drivesdk" TargetMode="External"/><Relationship Id="rId3785" Type="http://schemas.openxmlformats.org/officeDocument/2006/relationships/hyperlink" Target="https://drive.google.com/file/d/1KjGBetmcAs1Z_uzu4C0MhBKP1DkS9-HW/view?usp=drivesdk" TargetMode="External"/><Relationship Id="rId1158" Type="http://schemas.openxmlformats.org/officeDocument/2006/relationships/hyperlink" Target="https://drive.google.com/file/d/15lLu-pPs5HkeXVffpkGB1GpuKrEFDYvs/view?usp=drivesdk" TargetMode="External"/><Relationship Id="rId2489" Type="http://schemas.openxmlformats.org/officeDocument/2006/relationships/hyperlink" Target="https://drive.google.com/file/d/1QkO8B8tVou1aWZQIOX6qDv4IWjTB6c9h/view?usp=drivesdk" TargetMode="External"/><Relationship Id="rId1159" Type="http://schemas.openxmlformats.org/officeDocument/2006/relationships/hyperlink" Target="https://drive.google.com/file/d/1KTCYj3OY2S9ZeZ8NeAx9NpvE0MYLcLOH/view?usp=drivesdk" TargetMode="External"/><Relationship Id="rId569" Type="http://schemas.openxmlformats.org/officeDocument/2006/relationships/hyperlink" Target="https://drive.google.com/file/d/1Rpr5njdbYwhAX3tvuflbFFF2Jd3NhsOs/view?usp=drivesdk" TargetMode="External"/><Relationship Id="rId568" Type="http://schemas.openxmlformats.org/officeDocument/2006/relationships/hyperlink" Target="https://drive.google.com/file/d/1frY4aM2RQBTMWFkh9vWYLr8vkj_iWyqS/view?usp=drivesdk" TargetMode="External"/><Relationship Id="rId567" Type="http://schemas.openxmlformats.org/officeDocument/2006/relationships/hyperlink" Target="https://drive.google.com/file/d/1gxLHWGmXGhTcp3tP0eXSZKGP9J2WxzMs/view?usp=drivesdk" TargetMode="External"/><Relationship Id="rId566" Type="http://schemas.openxmlformats.org/officeDocument/2006/relationships/hyperlink" Target="https://drive.google.com/file/d/1PNF_KTbwX9j_zoSLgblyH4hHkX8Bh3RV/view?usp=drivesdk" TargetMode="External"/><Relationship Id="rId2480" Type="http://schemas.openxmlformats.org/officeDocument/2006/relationships/hyperlink" Target="https://drive.google.com/file/d/10Sq6PAQZ29FUjciA8DmGTcEKF3JQL9T6/view?usp=drivesdk" TargetMode="External"/><Relationship Id="rId561" Type="http://schemas.openxmlformats.org/officeDocument/2006/relationships/hyperlink" Target="https://drive.google.com/file/d/1FajK2H_slMniaTHp3vluN84jaBjbOwO-/view?usp=drivesdk" TargetMode="External"/><Relationship Id="rId1150" Type="http://schemas.openxmlformats.org/officeDocument/2006/relationships/hyperlink" Target="https://drive.google.com/file/d/1bdkxAAJ7n_YDY1ttamJdajzCvzeCovA6/view?usp=drivesdk" TargetMode="External"/><Relationship Id="rId2481" Type="http://schemas.openxmlformats.org/officeDocument/2006/relationships/hyperlink" Target="https://drive.google.com/file/d/11HIzhxFn3Hqzh_xT1dFJUq28pigm4MJN/view?usp=drivesdk" TargetMode="External"/><Relationship Id="rId560" Type="http://schemas.openxmlformats.org/officeDocument/2006/relationships/hyperlink" Target="https://drive.google.com/file/d/1KCznOIL_2vCxEXgjqUdyXmU6mnQaiZoL/view?usp=drivesdk" TargetMode="External"/><Relationship Id="rId1151" Type="http://schemas.openxmlformats.org/officeDocument/2006/relationships/hyperlink" Target="https://drive.google.com/file/d/1JDmTCTMGPZg1MCQY6E-Fyjd9DSwgLiRa/view?usp=drivesdk" TargetMode="External"/><Relationship Id="rId2482" Type="http://schemas.openxmlformats.org/officeDocument/2006/relationships/hyperlink" Target="https://drive.google.com/file/d/1yOMYc6yoXfokz-YAkXSy0IuuztZbQfiw/view?usp=drivesdk" TargetMode="External"/><Relationship Id="rId1152" Type="http://schemas.openxmlformats.org/officeDocument/2006/relationships/hyperlink" Target="https://drive.google.com/file/d/1nm6t94W8QupSB3K4zlOgmNWxfqmh3O-7/view?usp=drivesdk" TargetMode="External"/><Relationship Id="rId2483" Type="http://schemas.openxmlformats.org/officeDocument/2006/relationships/hyperlink" Target="https://drive.google.com/file/d/1OVKUoAbv-SVBf2eoEFk0RBNezKdSrvYH/view?usp=drivesdk" TargetMode="External"/><Relationship Id="rId1153" Type="http://schemas.openxmlformats.org/officeDocument/2006/relationships/hyperlink" Target="https://drive.google.com/file/d/1bIM-CLKh7wR2LvcbC1YWWur5IP7szFSL/view?usp=drivesdk" TargetMode="External"/><Relationship Id="rId2484" Type="http://schemas.openxmlformats.org/officeDocument/2006/relationships/hyperlink" Target="https://drive.google.com/file/d/1_FMcKChJmEv294IZiTVtp1kWdK_F3GXu/view?usp=drivesdk" TargetMode="External"/><Relationship Id="rId565" Type="http://schemas.openxmlformats.org/officeDocument/2006/relationships/hyperlink" Target="https://drive.google.com/file/d/1ta7K6gFMmuA6EoChkXuTGjTvHGl443rq/view?usp=drivesdk" TargetMode="External"/><Relationship Id="rId1154" Type="http://schemas.openxmlformats.org/officeDocument/2006/relationships/hyperlink" Target="https://drive.google.com/file/d/1ZeJwz13bLFwoxS2dVBHJiUbdZXTU3jTQ/view?usp=drivesdk" TargetMode="External"/><Relationship Id="rId2485" Type="http://schemas.openxmlformats.org/officeDocument/2006/relationships/hyperlink" Target="https://drive.google.com/file/d/1AGX_GOvLQLVxkB-ASMZuaIlB5Q8R0kBp/view?usp=drivesdk" TargetMode="External"/><Relationship Id="rId564" Type="http://schemas.openxmlformats.org/officeDocument/2006/relationships/hyperlink" Target="https://drive.google.com/file/d/18J-_3K8I77fj9CSIljByhQTUb-wce8OE/view?usp=drivesdk" TargetMode="External"/><Relationship Id="rId1155" Type="http://schemas.openxmlformats.org/officeDocument/2006/relationships/hyperlink" Target="https://drive.google.com/file/d/1MNiqMsepF_BDqsj0gatPX7qPtk4ab6I5/view?usp=drivesdk" TargetMode="External"/><Relationship Id="rId2486" Type="http://schemas.openxmlformats.org/officeDocument/2006/relationships/hyperlink" Target="https://drive.google.com/file/d/1wjXj6crndXh3N5CiQp5BPYq1M-JjzwL1/view?usp=drivesdk" TargetMode="External"/><Relationship Id="rId563" Type="http://schemas.openxmlformats.org/officeDocument/2006/relationships/hyperlink" Target="https://drive.google.com/file/d/18wy3sVAGiy0xeDsbYQ3BF5xIdrTFaDZR/view?usp=drivesdk" TargetMode="External"/><Relationship Id="rId1156" Type="http://schemas.openxmlformats.org/officeDocument/2006/relationships/hyperlink" Target="https://drive.google.com/file/d/1OHMn7SzQKA0sUzUaTu-qnw5RU2Yt9gOo/view?usp=drivesdk" TargetMode="External"/><Relationship Id="rId2487" Type="http://schemas.openxmlformats.org/officeDocument/2006/relationships/hyperlink" Target="https://drive.google.com/file/d/15wBONNr_a46R__AdPjrkhT4MiMsA_ehE/view?usp=drivesdk" TargetMode="External"/><Relationship Id="rId562" Type="http://schemas.openxmlformats.org/officeDocument/2006/relationships/hyperlink" Target="https://drive.google.com/file/d/1albygsdOvJoNUtDT3MszyskfH6hyOMaW/view?usp=drivesdk" TargetMode="External"/><Relationship Id="rId1157" Type="http://schemas.openxmlformats.org/officeDocument/2006/relationships/hyperlink" Target="https://drive.google.com/file/d/13avOfbQbLfP1nwQsqi_PqzzzDOEeES8F/view?usp=drivesdk" TargetMode="External"/><Relationship Id="rId2488" Type="http://schemas.openxmlformats.org/officeDocument/2006/relationships/hyperlink" Target="https://drive.google.com/file/d/1Wq4CFRzO0zk7GITerAArhCMUCebJg-kC/view?usp=drivesdk" TargetMode="External"/><Relationship Id="rId1147" Type="http://schemas.openxmlformats.org/officeDocument/2006/relationships/hyperlink" Target="https://drive.google.com/file/d/1b0aJBE75KwtLbFq7nufPsj4539FUx3oo/view?usp=drivesdk" TargetMode="External"/><Relationship Id="rId2478" Type="http://schemas.openxmlformats.org/officeDocument/2006/relationships/hyperlink" Target="https://drive.google.com/file/d/1JsrHTD1CH6ldQB5iYAdQyAlSb1bOawE8/view?usp=drivesdk" TargetMode="External"/><Relationship Id="rId1148" Type="http://schemas.openxmlformats.org/officeDocument/2006/relationships/hyperlink" Target="https://drive.google.com/file/d/15TjPYvmvtkksrB2Wq-29bM3kSn6RFn-Y/view?usp=drivesdk" TargetMode="External"/><Relationship Id="rId2479" Type="http://schemas.openxmlformats.org/officeDocument/2006/relationships/hyperlink" Target="https://drive.google.com/file/d/1HmGZzA7AZXgDPZ1JJ32-OVR1iTKuda1h/view?usp=drivesdk" TargetMode="External"/><Relationship Id="rId1149" Type="http://schemas.openxmlformats.org/officeDocument/2006/relationships/hyperlink" Target="https://drive.google.com/file/d/1bOIOMxMSOGQvjGvmUbxnLfZHSovfX8_a/view?usp=drivesdk" TargetMode="External"/><Relationship Id="rId558" Type="http://schemas.openxmlformats.org/officeDocument/2006/relationships/hyperlink" Target="https://drive.google.com/file/d/1UP_zhHHhrFAVDRdreYJoVj_RnM9d1ujM/view?usp=drivesdk" TargetMode="External"/><Relationship Id="rId557" Type="http://schemas.openxmlformats.org/officeDocument/2006/relationships/hyperlink" Target="https://drive.google.com/file/d/1gFZJsmMOlFM7W9mn40tUjx9nPDOLPyQW/view?usp=drivesdk" TargetMode="External"/><Relationship Id="rId556" Type="http://schemas.openxmlformats.org/officeDocument/2006/relationships/hyperlink" Target="https://drive.google.com/file/d/1t4Y7F-y5HVqMg2SYt2wuDa9wIfYquDrC/view?usp=drivesdk" TargetMode="External"/><Relationship Id="rId555" Type="http://schemas.openxmlformats.org/officeDocument/2006/relationships/hyperlink" Target="https://drive.google.com/file/d/1pM2K_4UIfiY2K_1nU-UL3ylj_Y1tuDSP/view?usp=drivesdk" TargetMode="External"/><Relationship Id="rId559" Type="http://schemas.openxmlformats.org/officeDocument/2006/relationships/hyperlink" Target="https://drive.google.com/file/d/1TWhGuVLerUKg-IQBFPBPPri4WUojiWdG/view?usp=drivesdk" TargetMode="External"/><Relationship Id="rId550" Type="http://schemas.openxmlformats.org/officeDocument/2006/relationships/hyperlink" Target="https://drive.google.com/file/d/1nDoImrCGIDf02SSz9qVlvnHMAacoEIA2/view?usp=drivesdk" TargetMode="External"/><Relationship Id="rId2470" Type="http://schemas.openxmlformats.org/officeDocument/2006/relationships/hyperlink" Target="https://drive.google.com/file/d/14jR4ptuGHmQamqWWK0ZIq0PQIOddq4Nn/view?usp=drivesdk" TargetMode="External"/><Relationship Id="rId1140" Type="http://schemas.openxmlformats.org/officeDocument/2006/relationships/hyperlink" Target="https://drive.google.com/file/d/18-Cz2Q0Xg2r4FzaueI29wCAjo83Z-w-1/view?usp=drivesdk" TargetMode="External"/><Relationship Id="rId2471" Type="http://schemas.openxmlformats.org/officeDocument/2006/relationships/hyperlink" Target="https://drive.google.com/file/d/1l7yfpCTUjSumHjQJBPmzG0Uaa-ctmuah/view?usp=drivesdk" TargetMode="External"/><Relationship Id="rId1141" Type="http://schemas.openxmlformats.org/officeDocument/2006/relationships/hyperlink" Target="https://drive.google.com/file/d/1whcuZ8dmQUxELISOQE2LMhKfWVnBXvrX/view?usp=drivesdk" TargetMode="External"/><Relationship Id="rId2472" Type="http://schemas.openxmlformats.org/officeDocument/2006/relationships/hyperlink" Target="https://drive.google.com/file/d/1URcz0VlxLXrRUFRl6Qzx-rkGo9mbVwbj/view?usp=drivesdk" TargetMode="External"/><Relationship Id="rId1142" Type="http://schemas.openxmlformats.org/officeDocument/2006/relationships/hyperlink" Target="https://drive.google.com/file/d/1E5qhDB9WvCtVXyy5s7gwCmt5-Wy7Mu5y/view?usp=drivesdk" TargetMode="External"/><Relationship Id="rId2473" Type="http://schemas.openxmlformats.org/officeDocument/2006/relationships/hyperlink" Target="https://drive.google.com/file/d/181euetTrq7aobAJQLRBf09T4UGDZjrx8/view?usp=drivesdk" TargetMode="External"/><Relationship Id="rId554" Type="http://schemas.openxmlformats.org/officeDocument/2006/relationships/hyperlink" Target="https://drive.google.com/file/d/1xvubEGrqC7YnckH2aIgCGHWQP0pYzXdg/view?usp=drivesdk" TargetMode="External"/><Relationship Id="rId1143" Type="http://schemas.openxmlformats.org/officeDocument/2006/relationships/hyperlink" Target="https://drive.google.com/file/d/1n6PhwuQG6lm3hhFcBEkTLSeshNwPg27B/view?usp=drivesdk" TargetMode="External"/><Relationship Id="rId2474" Type="http://schemas.openxmlformats.org/officeDocument/2006/relationships/hyperlink" Target="https://drive.google.com/file/d/1JjjYH1wcMkcdpaTd7Reh1PzY54yMNLpj/view?usp=drivesdk" TargetMode="External"/><Relationship Id="rId553" Type="http://schemas.openxmlformats.org/officeDocument/2006/relationships/hyperlink" Target="https://drive.google.com/file/d/1ukVkPNZpQQdsczLIFHfrhn-jeC1_I-pg/view?usp=drivesdk" TargetMode="External"/><Relationship Id="rId1144" Type="http://schemas.openxmlformats.org/officeDocument/2006/relationships/hyperlink" Target="https://drive.google.com/file/d/1YzNw57QRUYccSyGvRwJ4GBGYbgb2hB2T/view?usp=drivesdk" TargetMode="External"/><Relationship Id="rId2475" Type="http://schemas.openxmlformats.org/officeDocument/2006/relationships/hyperlink" Target="https://drive.google.com/file/d/1VjtWADigPlhADMLMyhwNq4wND_PeEQmR/view?usp=drivesdk" TargetMode="External"/><Relationship Id="rId552" Type="http://schemas.openxmlformats.org/officeDocument/2006/relationships/hyperlink" Target="https://drive.google.com/file/d/1Vik0HBQAnuDcZLhdPoJEHsHEpOpE_vHZ/view?usp=drivesdk" TargetMode="External"/><Relationship Id="rId1145" Type="http://schemas.openxmlformats.org/officeDocument/2006/relationships/hyperlink" Target="https://drive.google.com/file/d/177G2a0sD4CjPO7S9RdHXgQSdXxKtrjPp/view?usp=drivesdk" TargetMode="External"/><Relationship Id="rId2476" Type="http://schemas.openxmlformats.org/officeDocument/2006/relationships/hyperlink" Target="https://drive.google.com/file/d/1N8mjkvDORNySmOXsr2ZOMQz4CF33k9x8/view?usp=drivesdk" TargetMode="External"/><Relationship Id="rId551" Type="http://schemas.openxmlformats.org/officeDocument/2006/relationships/hyperlink" Target="https://drive.google.com/file/d/1EFrCKa2_9R56iNBSjc1CQlJ9E5C6p0Z2/view?usp=drivesdk" TargetMode="External"/><Relationship Id="rId1146" Type="http://schemas.openxmlformats.org/officeDocument/2006/relationships/hyperlink" Target="https://drive.google.com/file/d/1EV9dQBLvvfnf7Bt3Io8G5-m8ppj1ZwaF/view?usp=drivesdk" TargetMode="External"/><Relationship Id="rId2477" Type="http://schemas.openxmlformats.org/officeDocument/2006/relationships/hyperlink" Target="https://drive.google.com/file/d/1YvhEGJnOyzbmnRmN8FqUDTSCPJUeR2fR/view?usp=drivesdk" TargetMode="External"/><Relationship Id="rId4280" Type="http://schemas.openxmlformats.org/officeDocument/2006/relationships/hyperlink" Target="https://drive.google.com/file/d/11KRK8f2dLJimVavz6YPIYQZM4e-U6yoD/view?usp=drivesdk" TargetMode="External"/><Relationship Id="rId4282" Type="http://schemas.openxmlformats.org/officeDocument/2006/relationships/hyperlink" Target="https://drive.google.com/file/d/1IvcGCSu-IpGBYWqHcpajffMKQNfDui4k/view?usp=drivesdk" TargetMode="External"/><Relationship Id="rId4281" Type="http://schemas.openxmlformats.org/officeDocument/2006/relationships/hyperlink" Target="https://drive.google.com/file/d/1PwF8TuHv3UzM2yQJ-IktTQE1D4OHCMGM/view?usp=drivesdk" TargetMode="External"/><Relationship Id="rId4284" Type="http://schemas.openxmlformats.org/officeDocument/2006/relationships/hyperlink" Target="https://drive.google.com/file/d/1TI38Pru68E8Fvd4YqTxnfaW6voj5pukO/view?usp=drivesdk" TargetMode="External"/><Relationship Id="rId4283" Type="http://schemas.openxmlformats.org/officeDocument/2006/relationships/hyperlink" Target="https://drive.google.com/file/d/1H2wWlPEm4IgE3nED087aivJmQswJR8l4/view?usp=drivesdk" TargetMode="External"/><Relationship Id="rId4286" Type="http://schemas.openxmlformats.org/officeDocument/2006/relationships/hyperlink" Target="https://drive.google.com/file/d/1fCVxhMWMAB5RA8KphhOqRMV1i1lU19BT/view?usp=drivesdk" TargetMode="External"/><Relationship Id="rId4285" Type="http://schemas.openxmlformats.org/officeDocument/2006/relationships/hyperlink" Target="https://drive.google.com/file/d/1P2vlaYvJEkr9YqEdmbSy0OcCLSkM9vcQ/view?usp=drivesdk" TargetMode="External"/><Relationship Id="rId4288" Type="http://schemas.openxmlformats.org/officeDocument/2006/relationships/hyperlink" Target="https://drive.google.com/file/d/1U6QdYIdsMvwUiAkutpPJszFRfwrIJBDf/view?usp=drivesdk" TargetMode="External"/><Relationship Id="rId4287" Type="http://schemas.openxmlformats.org/officeDocument/2006/relationships/hyperlink" Target="https://drive.google.com/file/d/1tGsxfbpfHrg_KgklzsxapuoCUr3pO2cn/view?usp=drivesdk" TargetMode="External"/><Relationship Id="rId4289" Type="http://schemas.openxmlformats.org/officeDocument/2006/relationships/hyperlink" Target="https://drive.google.com/file/d/1vJtuPwh5hx-J75KS6_5LUdft6w4MxEAu/view?usp=drivesdk" TargetMode="External"/><Relationship Id="rId4271" Type="http://schemas.openxmlformats.org/officeDocument/2006/relationships/hyperlink" Target="https://drive.google.com/file/d/19pGTGALKoYvHIJt4UoEMeode9dM-zwp_/view?usp=drivesdk" TargetMode="External"/><Relationship Id="rId4270" Type="http://schemas.openxmlformats.org/officeDocument/2006/relationships/hyperlink" Target="https://drive.google.com/file/d/1ByWUEtT5IPkMWpvq4KQVqtJvJ5nQ2Fxx/view?usp=drivesdk" TargetMode="External"/><Relationship Id="rId4273" Type="http://schemas.openxmlformats.org/officeDocument/2006/relationships/hyperlink" Target="https://drive.google.com/file/d/1snG2wLxj97QYlNesmoqT2OezB0QgnkVX/view?usp=drivesdk" TargetMode="External"/><Relationship Id="rId4272" Type="http://schemas.openxmlformats.org/officeDocument/2006/relationships/hyperlink" Target="https://drive.google.com/file/d/1LibAWfz13Hx-A_Df2-KdLQVsvsDE0WEF/view?usp=drivesdk" TargetMode="External"/><Relationship Id="rId4275" Type="http://schemas.openxmlformats.org/officeDocument/2006/relationships/hyperlink" Target="https://drive.google.com/file/d/1B5gA7SNzMp5ltRLTrlDmTJfzrET5xrMd/view?usp=drivesdk" TargetMode="External"/><Relationship Id="rId4274" Type="http://schemas.openxmlformats.org/officeDocument/2006/relationships/hyperlink" Target="https://drive.google.com/file/d/1K5dTb_VdxWk7wlnRZ2JzoWnfessR46PJ/view?usp=drivesdk" TargetMode="External"/><Relationship Id="rId4277" Type="http://schemas.openxmlformats.org/officeDocument/2006/relationships/hyperlink" Target="https://drive.google.com/file/d/10aHtaUNnw4bzaYEHVY6FFWuvIe6WqHno/view?usp=drivesdk" TargetMode="External"/><Relationship Id="rId4276" Type="http://schemas.openxmlformats.org/officeDocument/2006/relationships/hyperlink" Target="https://drive.google.com/file/d/1rM4TK45_DGWVqDEtB3bwn8_nT-p5AWml/view?usp=drivesdk" TargetMode="External"/><Relationship Id="rId4279" Type="http://schemas.openxmlformats.org/officeDocument/2006/relationships/hyperlink" Target="https://drive.google.com/file/d/1A0Vc8VrhQybwGElx2ZbuP9BCaRauawQR/view?usp=drivesdk" TargetMode="External"/><Relationship Id="rId4278" Type="http://schemas.openxmlformats.org/officeDocument/2006/relationships/hyperlink" Target="https://drive.google.com/file/d/1Qoe_7HrzOZkzrS6X6rhQ4BJnqWjHGFwe/view?usp=drivesdk" TargetMode="External"/><Relationship Id="rId4291" Type="http://schemas.openxmlformats.org/officeDocument/2006/relationships/hyperlink" Target="https://drive.google.com/file/d/1EUGYkTrU1toLR1p16iz78254Mw2QSP-s/view?usp=drivesdk" TargetMode="External"/><Relationship Id="rId4290" Type="http://schemas.openxmlformats.org/officeDocument/2006/relationships/hyperlink" Target="https://drive.google.com/file/d/1WN9fFEbSi72em6pFPDMl3r9dCQgC0ZX7/view?usp=drivesdk" TargetMode="External"/><Relationship Id="rId4293" Type="http://schemas.openxmlformats.org/officeDocument/2006/relationships/hyperlink" Target="https://drive.google.com/file/d/1J14mUyc-gkT4EZyHcJpxi0GiMZTLoPVx/view?usp=drivesdk" TargetMode="External"/><Relationship Id="rId4292" Type="http://schemas.openxmlformats.org/officeDocument/2006/relationships/hyperlink" Target="https://drive.google.com/file/d/1oD1eypaQN-yJrzHPub9RplC_NzsrwGc-/view?usp=drivesdk" TargetMode="External"/><Relationship Id="rId4295" Type="http://schemas.openxmlformats.org/officeDocument/2006/relationships/hyperlink" Target="https://drive.google.com/file/d/1fvK7HE4M3o7a39-S_JHfdx9kb6r8RZNK/view?usp=drivesdk" TargetMode="External"/><Relationship Id="rId4294" Type="http://schemas.openxmlformats.org/officeDocument/2006/relationships/hyperlink" Target="https://drive.google.com/file/d/18QWJnA7_ymY0iZ2KnV2MapN-ry2oCyhz/view?usp=drivesdk" TargetMode="External"/><Relationship Id="rId4297" Type="http://schemas.openxmlformats.org/officeDocument/2006/relationships/hyperlink" Target="https://drive.google.com/file/d/1IKmGwaXNzdgAa7jOvrr7DBOPIurEB15a/view?usp=drivesdk" TargetMode="External"/><Relationship Id="rId4296" Type="http://schemas.openxmlformats.org/officeDocument/2006/relationships/hyperlink" Target="https://drive.google.com/file/d/1JNkrUp2Kj42DcBCtEz6sNrpVtBZy43XS/view?usp=drivesdk" TargetMode="External"/><Relationship Id="rId4299" Type="http://schemas.openxmlformats.org/officeDocument/2006/relationships/hyperlink" Target="https://drive.google.com/file/d/15lix1MtvJcO-o6TVJCsJ_mECmHQSxNui/view?usp=drivesdk" TargetMode="External"/><Relationship Id="rId4298" Type="http://schemas.openxmlformats.org/officeDocument/2006/relationships/hyperlink" Target="https://drive.google.com/file/d/1s5wInPIi0vDIjwU-Y5IXTbdO4-TIEJ1C/view?usp=drivesdk" TargetMode="External"/><Relationship Id="rId4249" Type="http://schemas.openxmlformats.org/officeDocument/2006/relationships/hyperlink" Target="https://drive.google.com/file/d/18E_PJmR2xEl13O9_rmPQMQQK5eNEKmu-/view?usp=drivesdk" TargetMode="External"/><Relationship Id="rId4240" Type="http://schemas.openxmlformats.org/officeDocument/2006/relationships/hyperlink" Target="https://drive.google.com/file/d/19LaoBRBEhh-Yr9sZYKL7l67wXd69hgFj/view?usp=drivesdk" TargetMode="External"/><Relationship Id="rId4242" Type="http://schemas.openxmlformats.org/officeDocument/2006/relationships/hyperlink" Target="https://drive.google.com/file/d/12p2Sp2qBcbpu5rFvKo9FN2YS4v2pX_nD/view?usp=drivesdk" TargetMode="External"/><Relationship Id="rId4241" Type="http://schemas.openxmlformats.org/officeDocument/2006/relationships/hyperlink" Target="https://drive.google.com/file/d/1UW585vEIhf78jj4BwxNxVKO0my4I8n6N/view?usp=drivesdk" TargetMode="External"/><Relationship Id="rId4244" Type="http://schemas.openxmlformats.org/officeDocument/2006/relationships/hyperlink" Target="https://drive.google.com/file/d/1YYO4dbP8syRRDyZh-xlfWOh4BnhFySl_/view?usp=drivesdk" TargetMode="External"/><Relationship Id="rId4243" Type="http://schemas.openxmlformats.org/officeDocument/2006/relationships/hyperlink" Target="https://drive.google.com/file/d/1RkwI1ikeTSN9SIY4Wme0-ni39V5IWMY2/view?usp=drivesdk" TargetMode="External"/><Relationship Id="rId4246" Type="http://schemas.openxmlformats.org/officeDocument/2006/relationships/hyperlink" Target="https://drive.google.com/file/d/1BCcW590Lkx7Sln8Z_xY1QSAoBGqfpwZ5/view?usp=drivesdk" TargetMode="External"/><Relationship Id="rId4245" Type="http://schemas.openxmlformats.org/officeDocument/2006/relationships/hyperlink" Target="https://drive.google.com/file/d/1E3OrvYaRPY16L56OaUomcuHtrukCzD0o/view?usp=drivesdk" TargetMode="External"/><Relationship Id="rId4248" Type="http://schemas.openxmlformats.org/officeDocument/2006/relationships/hyperlink" Target="https://drive.google.com/file/d/1ZSJdRFvrmIAa6O7ub9y8QiaItGTw3Juw/view?usp=drivesdk" TargetMode="External"/><Relationship Id="rId4247" Type="http://schemas.openxmlformats.org/officeDocument/2006/relationships/hyperlink" Target="https://drive.google.com/file/d/1h19cy6OB-kGP4B5IURRb8zwERF3FtjHW/view?usp=drivesdk" TargetMode="External"/><Relationship Id="rId4239" Type="http://schemas.openxmlformats.org/officeDocument/2006/relationships/hyperlink" Target="https://drive.google.com/file/d/1DUh4fFks4PAnGjlU5JaLWCintgihMt91/view?usp=drivesdk" TargetMode="External"/><Relationship Id="rId4238" Type="http://schemas.openxmlformats.org/officeDocument/2006/relationships/hyperlink" Target="https://drive.google.com/file/d/1S_paN-4449wnXaR1z4tTVr6GxW3PRb4L/view?usp=drivesdk" TargetMode="External"/><Relationship Id="rId495" Type="http://schemas.openxmlformats.org/officeDocument/2006/relationships/hyperlink" Target="https://drive.google.com/file/d/1BtYUmUQKB6DAzvZxphMpgAuWB-Pg_1vL/view?usp=drivesdk" TargetMode="External"/><Relationship Id="rId4231" Type="http://schemas.openxmlformats.org/officeDocument/2006/relationships/hyperlink" Target="https://drive.google.com/file/d/1dJfMjWJ9DC-DZ4B4DJWRsI5D65HfrwX5/view?usp=drivesdk" TargetMode="External"/><Relationship Id="rId494" Type="http://schemas.openxmlformats.org/officeDocument/2006/relationships/hyperlink" Target="https://drive.google.com/file/d/1OIhi_0sgIu6GlbcHfPjGBJ3QqgauXWL9/view?usp=drivesdk" TargetMode="External"/><Relationship Id="rId4230" Type="http://schemas.openxmlformats.org/officeDocument/2006/relationships/hyperlink" Target="https://drive.google.com/file/d/1X_o1ugdp5ZswVe_k5Sqxy5a672Dv0nEb/view?usp=drivesdk" TargetMode="External"/><Relationship Id="rId493" Type="http://schemas.openxmlformats.org/officeDocument/2006/relationships/hyperlink" Target="https://drive.google.com/file/d/1aLEYWBy-SUA0Cvq-4Zsf1lOK-EUE-4w6/view?usp=drivesdk" TargetMode="External"/><Relationship Id="rId4233" Type="http://schemas.openxmlformats.org/officeDocument/2006/relationships/hyperlink" Target="https://drive.google.com/file/d/1gs-qxr9htpmnIc3RAlVUeKHB-LWBl3ik/view?usp=drivesdk" TargetMode="External"/><Relationship Id="rId492" Type="http://schemas.openxmlformats.org/officeDocument/2006/relationships/hyperlink" Target="https://drive.google.com/file/d/1WVxOzcxQwZ1g_1Hmer-z2Plhs3GYCkSV/view?usp=drivesdk" TargetMode="External"/><Relationship Id="rId4232" Type="http://schemas.openxmlformats.org/officeDocument/2006/relationships/hyperlink" Target="https://drive.google.com/file/d/1o-xXMSXKBmLMj8NsdDd0TSdkF3qZAy9Q/view?usp=drivesdk" TargetMode="External"/><Relationship Id="rId499" Type="http://schemas.openxmlformats.org/officeDocument/2006/relationships/hyperlink" Target="https://drive.google.com/file/d/1UeT89aXaz-e4YhGdbyhS1Mbk5SUM6N5p/view?usp=drivesdk" TargetMode="External"/><Relationship Id="rId4235" Type="http://schemas.openxmlformats.org/officeDocument/2006/relationships/hyperlink" Target="https://drive.google.com/file/d/1WC_DqHriRYSJaBTC71UnjSw9ElXfr0sT/view?usp=drivesdk" TargetMode="External"/><Relationship Id="rId498" Type="http://schemas.openxmlformats.org/officeDocument/2006/relationships/hyperlink" Target="https://drive.google.com/file/d/14p782YU4-AE-mEUol2RndYfh6dL6TB1x/view?usp=drivesdk" TargetMode="External"/><Relationship Id="rId4234" Type="http://schemas.openxmlformats.org/officeDocument/2006/relationships/hyperlink" Target="https://drive.google.com/file/d/1iwT84izMj7Ua-InecCJcGU08liSQAq0W/view?usp=drivesdk" TargetMode="External"/><Relationship Id="rId497" Type="http://schemas.openxmlformats.org/officeDocument/2006/relationships/hyperlink" Target="https://drive.google.com/file/d/17KyqyfSplov2h83BOshSu7kGor0RwOKY/view?usp=drivesdk" TargetMode="External"/><Relationship Id="rId4237" Type="http://schemas.openxmlformats.org/officeDocument/2006/relationships/hyperlink" Target="https://drive.google.com/file/d/1tC3rm3R92aX_kKyUGb_dnmYwFYl9gHS-/view?usp=drivesdk" TargetMode="External"/><Relationship Id="rId496" Type="http://schemas.openxmlformats.org/officeDocument/2006/relationships/hyperlink" Target="https://drive.google.com/file/d/1LyikL7Hy-bVMwgcYxwSxMt50wzqqrqi3/view?usp=drivesdk" TargetMode="External"/><Relationship Id="rId4236" Type="http://schemas.openxmlformats.org/officeDocument/2006/relationships/hyperlink" Target="https://drive.google.com/file/d/1G87EI11Jw2deWEvB8ych6SQeVL9z_2MY/view?usp=drivesdk" TargetMode="External"/><Relationship Id="rId4260" Type="http://schemas.openxmlformats.org/officeDocument/2006/relationships/hyperlink" Target="https://drive.google.com/file/d/1wl3fEoKpX9LeqH9ASOYzx-t8B66OVQet/view?usp=drivesdk" TargetMode="External"/><Relationship Id="rId4262" Type="http://schemas.openxmlformats.org/officeDocument/2006/relationships/hyperlink" Target="https://drive.google.com/file/d/1HgdgwVBc6PZt6fKPLPqXUS5SyMobCdpi/view?usp=drivesdk" TargetMode="External"/><Relationship Id="rId4261" Type="http://schemas.openxmlformats.org/officeDocument/2006/relationships/hyperlink" Target="https://drive.google.com/file/d/1HILMIpvgsqO3QeiE0xKbUaaT-_vUpOoe/view?usp=drivesdk" TargetMode="External"/><Relationship Id="rId4264" Type="http://schemas.openxmlformats.org/officeDocument/2006/relationships/hyperlink" Target="https://drive.google.com/file/d/1VUrTOsfYCced5-WpjBInT94aZ69z6kke/view?usp=drivesdk" TargetMode="External"/><Relationship Id="rId4263" Type="http://schemas.openxmlformats.org/officeDocument/2006/relationships/hyperlink" Target="https://drive.google.com/file/d/1nOm09QmDq4BJsEP0cliFwoAhP-HcN8BW/view?usp=drivesdk" TargetMode="External"/><Relationship Id="rId4266" Type="http://schemas.openxmlformats.org/officeDocument/2006/relationships/hyperlink" Target="https://drive.google.com/file/d/1xQJsRnGP1v1JcoHgG0G25NI3PduzChhV/view?usp=drivesdk" TargetMode="External"/><Relationship Id="rId4265" Type="http://schemas.openxmlformats.org/officeDocument/2006/relationships/hyperlink" Target="https://drive.google.com/file/d/1NEYNgYJBDYLuZVjGtne-MIdLD-0Spzky/view?usp=drivesdk" TargetMode="External"/><Relationship Id="rId4268" Type="http://schemas.openxmlformats.org/officeDocument/2006/relationships/hyperlink" Target="https://drive.google.com/file/d/1EzYQQcuHd1jw1RWqZZVQoajJBMAA9Mkl/view?usp=drivesdk" TargetMode="External"/><Relationship Id="rId4267" Type="http://schemas.openxmlformats.org/officeDocument/2006/relationships/hyperlink" Target="https://drive.google.com/file/d/1xX_3uDzIlxvx_YZMmXlBjNfwAAZBrtDR/view?usp=drivesdk" TargetMode="External"/><Relationship Id="rId4269" Type="http://schemas.openxmlformats.org/officeDocument/2006/relationships/hyperlink" Target="https://drive.google.com/file/d/1k_jBf7irf_3_biaMgqwdKmSGPEdQ61IG/view?usp=drivesdk" TargetMode="External"/><Relationship Id="rId4251" Type="http://schemas.openxmlformats.org/officeDocument/2006/relationships/hyperlink" Target="https://drive.google.com/file/d/1uXfSw6P0CzGUeJJg3CRL1Z6Ae6guEyII/view?usp=drivesdk" TargetMode="External"/><Relationship Id="rId4250" Type="http://schemas.openxmlformats.org/officeDocument/2006/relationships/hyperlink" Target="https://drive.google.com/file/d/1ZxdsW4Hiob1f881AZFp63Qnwo6gqgDD_/view?usp=drivesdk" TargetMode="External"/><Relationship Id="rId4253" Type="http://schemas.openxmlformats.org/officeDocument/2006/relationships/hyperlink" Target="https://drive.google.com/file/d/131Q47XJbbHnbDQZiCC9ZlFJWfreQVYoj/view?usp=drivesdk" TargetMode="External"/><Relationship Id="rId4252" Type="http://schemas.openxmlformats.org/officeDocument/2006/relationships/hyperlink" Target="https://drive.google.com/file/d/1oGO-gMvsbHaoypKqnGsyHj7lbVE4Lp9n/view?usp=drivesdk" TargetMode="External"/><Relationship Id="rId4255" Type="http://schemas.openxmlformats.org/officeDocument/2006/relationships/hyperlink" Target="https://drive.google.com/file/d/1s2b7_Dohg1SqYLUTEiY72ZJBeYmJeNCK/view?usp=drivesdk" TargetMode="External"/><Relationship Id="rId4254" Type="http://schemas.openxmlformats.org/officeDocument/2006/relationships/hyperlink" Target="https://drive.google.com/file/d/1zQLjrLoMArk1QBK_h4eCrMZSDeP9o3zf/view?usp=drivesdk" TargetMode="External"/><Relationship Id="rId4257" Type="http://schemas.openxmlformats.org/officeDocument/2006/relationships/hyperlink" Target="https://drive.google.com/file/d/1AFKDn6em9NPzgXszEpw8V0Y9ETSzXpoS/view?usp=drivesdk" TargetMode="External"/><Relationship Id="rId4256" Type="http://schemas.openxmlformats.org/officeDocument/2006/relationships/hyperlink" Target="https://drive.google.com/file/d/1bXEMxbny8KFQlU9k1oIt_kkBg0j-6nrQ/view?usp=drivesdk" TargetMode="External"/><Relationship Id="rId4259" Type="http://schemas.openxmlformats.org/officeDocument/2006/relationships/hyperlink" Target="https://drive.google.com/file/d/1yHayBbT38ccjIfuLDmWmU0hbCQxStzlI/view?usp=drivesdk" TargetMode="External"/><Relationship Id="rId4258" Type="http://schemas.openxmlformats.org/officeDocument/2006/relationships/hyperlink" Target="https://drive.google.com/file/d/1oh8OtXpHWt6snjCnh5lQTvTp7_F-b_ig/view?usp=drivesdk" TargetMode="External"/><Relationship Id="rId3810" Type="http://schemas.openxmlformats.org/officeDocument/2006/relationships/hyperlink" Target="https://drive.google.com/file/d/1niUVt521bqakYkU-bQSUhn8Eo50KcKnT/view?usp=drivesdk" TargetMode="External"/><Relationship Id="rId3812" Type="http://schemas.openxmlformats.org/officeDocument/2006/relationships/hyperlink" Target="https://drive.google.com/file/d/1tQRierGIEobOtEcTV3AHgduU4Xxz340o/view?usp=drivesdk" TargetMode="External"/><Relationship Id="rId3811" Type="http://schemas.openxmlformats.org/officeDocument/2006/relationships/hyperlink" Target="https://drive.google.com/file/d/1H4_tg8mHu7TOwPmT9B_93iK1RHKbbgvq/view?usp=drivesdk" TargetMode="External"/><Relationship Id="rId3814" Type="http://schemas.openxmlformats.org/officeDocument/2006/relationships/hyperlink" Target="https://drive.google.com/file/d/1RQ2-g0fdLh7ihaVP0pa98LH5KA1CPciU/view?usp=drivesdk" TargetMode="External"/><Relationship Id="rId3813" Type="http://schemas.openxmlformats.org/officeDocument/2006/relationships/hyperlink" Target="https://drive.google.com/file/d/1YqCLGf77uigy_U92tWs65xWIiIk1Mva1/view?usp=drivesdk" TargetMode="External"/><Relationship Id="rId3816" Type="http://schemas.openxmlformats.org/officeDocument/2006/relationships/hyperlink" Target="https://drive.google.com/file/d/1Wa1ZJ6MWy8W5dqRYJhtW6EnB_YgBb--P/view?usp=drivesdk" TargetMode="External"/><Relationship Id="rId3815" Type="http://schemas.openxmlformats.org/officeDocument/2006/relationships/hyperlink" Target="https://drive.google.com/file/d/1bxJrAatSutBpFxOBC_0tiji2rQY6Sahh/view?usp=drivesdk" TargetMode="External"/><Relationship Id="rId3818" Type="http://schemas.openxmlformats.org/officeDocument/2006/relationships/hyperlink" Target="https://drive.google.com/file/d/1Vbt5SLsftZBMjMNDcLnanZHKs0iws3oo/view?usp=drivesdk" TargetMode="External"/><Relationship Id="rId3817" Type="http://schemas.openxmlformats.org/officeDocument/2006/relationships/hyperlink" Target="https://drive.google.com/file/d/1m7OW9ZzTH3jevXKmtT2BDv7O0RAfibj4/view?usp=drivesdk" TargetMode="External"/><Relationship Id="rId3819" Type="http://schemas.openxmlformats.org/officeDocument/2006/relationships/hyperlink" Target="https://drive.google.com/file/d/1hOJYrMGf5Uw3wmgkHhjf1PVEVA8gDp0_/view?usp=drivesdk" TargetMode="External"/><Relationship Id="rId3801" Type="http://schemas.openxmlformats.org/officeDocument/2006/relationships/hyperlink" Target="https://drive.google.com/file/d/1_G0zcWRpRSKP4cSRU_meyActFElpt4g0/view?usp=drivesdk" TargetMode="External"/><Relationship Id="rId3800" Type="http://schemas.openxmlformats.org/officeDocument/2006/relationships/hyperlink" Target="https://drive.google.com/file/d/1n2RZgzOdl0W7BUwNIQacOg4wFE5AvB0s/view?usp=drivesdk" TargetMode="External"/><Relationship Id="rId3803" Type="http://schemas.openxmlformats.org/officeDocument/2006/relationships/hyperlink" Target="https://drive.google.com/file/d/1-1gM02OEpju1i-neSAKCuGQRF8z_8YCn/view?usp=drivesdk" TargetMode="External"/><Relationship Id="rId3802" Type="http://schemas.openxmlformats.org/officeDocument/2006/relationships/hyperlink" Target="https://drive.google.com/file/d/1jKdx6X64DmMzal7RKdVWZTcUYtgP-zzh/view?usp=drivesdk" TargetMode="External"/><Relationship Id="rId3805" Type="http://schemas.openxmlformats.org/officeDocument/2006/relationships/hyperlink" Target="https://drive.google.com/file/d/1sZ6pnliTlh8XzmcoZsSBPUIMEMJ9GyLe/view?usp=drivesdk" TargetMode="External"/><Relationship Id="rId3804" Type="http://schemas.openxmlformats.org/officeDocument/2006/relationships/hyperlink" Target="https://drive.google.com/file/d/10dcKbJ-7h0Y-nsPc4stk3I7laffCwHGC/view?usp=drivesdk" TargetMode="External"/><Relationship Id="rId3807" Type="http://schemas.openxmlformats.org/officeDocument/2006/relationships/hyperlink" Target="https://drive.google.com/file/d/1lt6JVRbFngtGZ3wGCCyK5pp7VP8Hqf-x/view?usp=drivesdk" TargetMode="External"/><Relationship Id="rId3806" Type="http://schemas.openxmlformats.org/officeDocument/2006/relationships/hyperlink" Target="https://drive.google.com/file/d/1tKZSY2Nb7ZSyAC5NoRrtcvf-l5Ohg0mK/view?usp=drivesdk" TargetMode="External"/><Relationship Id="rId3809" Type="http://schemas.openxmlformats.org/officeDocument/2006/relationships/hyperlink" Target="https://drive.google.com/file/d/1CKHt3zPqyswr3zBN8W8se_XaXRwjox1q/view?usp=drivesdk" TargetMode="External"/><Relationship Id="rId3808" Type="http://schemas.openxmlformats.org/officeDocument/2006/relationships/hyperlink" Target="https://drive.google.com/file/d/1KmZHXfj_7RQ9cFCBYF5AhrzNOJykLmps/view?usp=drivesdk" TargetMode="External"/><Relationship Id="rId1213" Type="http://schemas.openxmlformats.org/officeDocument/2006/relationships/hyperlink" Target="https://drive.google.com/file/d/1pL4urnQmwGEkiZTB7aNeFDPISHczO6EQ/view?usp=drivesdk" TargetMode="External"/><Relationship Id="rId2544" Type="http://schemas.openxmlformats.org/officeDocument/2006/relationships/hyperlink" Target="https://drive.google.com/file/d/1yEJ_rj4w-g_RBSjx35at817-3PstiIch/view?usp=drivesdk" TargetMode="External"/><Relationship Id="rId3876" Type="http://schemas.openxmlformats.org/officeDocument/2006/relationships/hyperlink" Target="https://drive.google.com/file/d/1OGM92X1DkL1UJSpfg8aLC_hY-899Pn_c/view?usp=drivesdk" TargetMode="External"/><Relationship Id="rId1214" Type="http://schemas.openxmlformats.org/officeDocument/2006/relationships/hyperlink" Target="https://drive.google.com/file/d/100BLUYQlG9GXMV482ybe4dAtjjHDxwcc/view?usp=drivesdk" TargetMode="External"/><Relationship Id="rId2545" Type="http://schemas.openxmlformats.org/officeDocument/2006/relationships/hyperlink" Target="https://drive.google.com/file/d/1QQky3JmC5hqi1P-5JP9jMAn9V1qQjfF5/view?usp=drivesdk" TargetMode="External"/><Relationship Id="rId3875" Type="http://schemas.openxmlformats.org/officeDocument/2006/relationships/hyperlink" Target="https://drive.google.com/file/d/1PVKi0HqMesDrOaDQQC-SdoyoY6H7gwWg/view?usp=drivesdk" TargetMode="External"/><Relationship Id="rId1215" Type="http://schemas.openxmlformats.org/officeDocument/2006/relationships/hyperlink" Target="https://drive.google.com/file/d/1lYOeXUQaFn7Gf7WcWdtXxh7rkYIK_9Lv/view?usp=drivesdk" TargetMode="External"/><Relationship Id="rId2546" Type="http://schemas.openxmlformats.org/officeDocument/2006/relationships/hyperlink" Target="https://drive.google.com/file/d/17sPsdkIIPJP2oH0ZyS5eJ81FdQHlyRgE/view?usp=drivesdk" TargetMode="External"/><Relationship Id="rId3878" Type="http://schemas.openxmlformats.org/officeDocument/2006/relationships/hyperlink" Target="https://drive.google.com/file/d/1Ia39wyfwf5uM_VjeGiv_xliA30xrpo1j/view?usp=drivesdk" TargetMode="External"/><Relationship Id="rId1216" Type="http://schemas.openxmlformats.org/officeDocument/2006/relationships/hyperlink" Target="https://drive.google.com/file/d/1yBrBRbKlBMtPuJtgrPAaNIclem8ROtFB/view?usp=drivesdk" TargetMode="External"/><Relationship Id="rId2547" Type="http://schemas.openxmlformats.org/officeDocument/2006/relationships/hyperlink" Target="https://drive.google.com/file/d/12cmht3hwAw3A3MDzLQYjwvaplZaY0Rz0/view?usp=drivesdk" TargetMode="External"/><Relationship Id="rId3877" Type="http://schemas.openxmlformats.org/officeDocument/2006/relationships/hyperlink" Target="https://drive.google.com/file/d/1AodgnDymZJoLaVGyffjbqVpVgFrbV6Fl/view?usp=drivesdk" TargetMode="External"/><Relationship Id="rId1217" Type="http://schemas.openxmlformats.org/officeDocument/2006/relationships/hyperlink" Target="https://drive.google.com/file/d/1x_RY-L0t3LYAYZZPOI7sPzenFGnkM-y6/view?usp=drivesdk" TargetMode="External"/><Relationship Id="rId2548" Type="http://schemas.openxmlformats.org/officeDocument/2006/relationships/hyperlink" Target="https://drive.google.com/file/d/10u8xL2K6reXqqynwynyT-Lj_RfmYF6vA/view?usp=drivesdk" TargetMode="External"/><Relationship Id="rId1218" Type="http://schemas.openxmlformats.org/officeDocument/2006/relationships/hyperlink" Target="https://drive.google.com/file/d/1_p4ixSjMFYkNFSg5DQvXreHuWHTXXkNJ/view?usp=drivesdk" TargetMode="External"/><Relationship Id="rId2549" Type="http://schemas.openxmlformats.org/officeDocument/2006/relationships/hyperlink" Target="https://drive.google.com/file/d/1MTFIkIJjlIDRDo20WnudbzQz7QiS2eXX/view?usp=drivesdk" TargetMode="External"/><Relationship Id="rId3879" Type="http://schemas.openxmlformats.org/officeDocument/2006/relationships/hyperlink" Target="https://drive.google.com/file/d/1VD2eOmmxrWOMAhZM9ZptQhpdSlhTe4zT/view?usp=drivesdk" TargetMode="External"/><Relationship Id="rId1219" Type="http://schemas.openxmlformats.org/officeDocument/2006/relationships/hyperlink" Target="https://drive.google.com/file/d/1VfcS-az1S1jFufdC5CDvr08KdaydIMQ0/view?usp=drivesdk" TargetMode="External"/><Relationship Id="rId3870" Type="http://schemas.openxmlformats.org/officeDocument/2006/relationships/hyperlink" Target="https://drive.google.com/file/d/1_bnqKJmc3tuvStsWM4pNjXF3JepB4xL4/view?usp=drivesdk" TargetMode="External"/><Relationship Id="rId2540" Type="http://schemas.openxmlformats.org/officeDocument/2006/relationships/hyperlink" Target="https://drive.google.com/file/d/1UrUaQ7NwCqmpTKbn4XUHJ7K1nYjjxPje/view?usp=drivesdk" TargetMode="External"/><Relationship Id="rId3872" Type="http://schemas.openxmlformats.org/officeDocument/2006/relationships/hyperlink" Target="https://drive.google.com/file/d/1kJJSpA5zyAZ-8E2t2pbL2ZHhCo2YPe1y/view?usp=drivesdk" TargetMode="External"/><Relationship Id="rId1210" Type="http://schemas.openxmlformats.org/officeDocument/2006/relationships/hyperlink" Target="https://drive.google.com/file/d/1THR4Y5FVCVQaILAnTtmSzOyqvOCX0JK1/view?usp=drivesdk" TargetMode="External"/><Relationship Id="rId2541" Type="http://schemas.openxmlformats.org/officeDocument/2006/relationships/hyperlink" Target="https://drive.google.com/file/d/1c0fnlTZeSLltUGZr40-cT9TyvWGoYrmc/view?usp=drivesdk" TargetMode="External"/><Relationship Id="rId3871" Type="http://schemas.openxmlformats.org/officeDocument/2006/relationships/hyperlink" Target="https://drive.google.com/file/d/1aFxgZhMZ4KzVD7pxBFJBqDKgExUlxjxp/view?usp=drivesdk" TargetMode="External"/><Relationship Id="rId1211" Type="http://schemas.openxmlformats.org/officeDocument/2006/relationships/hyperlink" Target="https://drive.google.com/file/d/1GNwXx06HeNg-a3gi2DTQy1_fjm5SMZkW/view?usp=drivesdk" TargetMode="External"/><Relationship Id="rId2542" Type="http://schemas.openxmlformats.org/officeDocument/2006/relationships/hyperlink" Target="https://drive.google.com/file/d/1Jo0tOTR-UIYFi_TxOQUAbp1X3GCjGSCU/view?usp=drivesdk" TargetMode="External"/><Relationship Id="rId3874" Type="http://schemas.openxmlformats.org/officeDocument/2006/relationships/hyperlink" Target="https://drive.google.com/file/d/1y0G4nO37EUBSv9hLjl9U4jmZUJY6Erhw/view?usp=drivesdk" TargetMode="External"/><Relationship Id="rId1212" Type="http://schemas.openxmlformats.org/officeDocument/2006/relationships/hyperlink" Target="https://drive.google.com/file/d/1KXpOmZQFWMm15VH3pABQc_KiCIXOkXwh/view?usp=drivesdk" TargetMode="External"/><Relationship Id="rId2543" Type="http://schemas.openxmlformats.org/officeDocument/2006/relationships/hyperlink" Target="https://drive.google.com/file/d/1ubjCzSPmwyEsvp8Cw_pVVlUX-OFrt-yY/view?usp=drivesdk" TargetMode="External"/><Relationship Id="rId3873" Type="http://schemas.openxmlformats.org/officeDocument/2006/relationships/hyperlink" Target="https://drive.google.com/file/d/1hgv916-FiPIxZ55ga1LISFpGRi2Z0dhm/view?usp=drivesdk" TargetMode="External"/><Relationship Id="rId1202" Type="http://schemas.openxmlformats.org/officeDocument/2006/relationships/hyperlink" Target="https://drive.google.com/file/d/19w9jyt3uzICeYuqXLrs03LgHfYfRJgXc/view?usp=drivesdk" TargetMode="External"/><Relationship Id="rId2533" Type="http://schemas.openxmlformats.org/officeDocument/2006/relationships/hyperlink" Target="https://drive.google.com/file/d/1dFlU678evMFA6SwNfiLGHJWuPKBGLIrd/view?usp=drivesdk" TargetMode="External"/><Relationship Id="rId3865" Type="http://schemas.openxmlformats.org/officeDocument/2006/relationships/hyperlink" Target="https://drive.google.com/file/d/1r-moKZC6b-Bl_noO2u82Pww0a1tea7U5/view?usp=drivesdk" TargetMode="External"/><Relationship Id="rId1203" Type="http://schemas.openxmlformats.org/officeDocument/2006/relationships/hyperlink" Target="https://drive.google.com/file/d/1q7UVrQjDbrQuKTDK3PQYakGnNWtS7pzg/view?usp=drivesdk" TargetMode="External"/><Relationship Id="rId2534" Type="http://schemas.openxmlformats.org/officeDocument/2006/relationships/hyperlink" Target="https://drive.google.com/file/d/1wPXl05_OnkA-l4qcIVgjcFRKpRM4Nk2s/view?usp=drivesdk" TargetMode="External"/><Relationship Id="rId3864" Type="http://schemas.openxmlformats.org/officeDocument/2006/relationships/hyperlink" Target="https://drive.google.com/file/d/1Bhh6vLaQwgSENZOH4Ai_FCjoAGTW2XnL/view?usp=drivesdk" TargetMode="External"/><Relationship Id="rId1204" Type="http://schemas.openxmlformats.org/officeDocument/2006/relationships/hyperlink" Target="https://drive.google.com/file/d/1uEqoPD1OktpojmPz15inUgPTYEQ2TKU7/view?usp=drivesdk" TargetMode="External"/><Relationship Id="rId2535" Type="http://schemas.openxmlformats.org/officeDocument/2006/relationships/hyperlink" Target="https://drive.google.com/file/d/1kvxaiF-kgtmFD6OcP3O_k116Uq-3cCu8/view?usp=drivesdk" TargetMode="External"/><Relationship Id="rId3867" Type="http://schemas.openxmlformats.org/officeDocument/2006/relationships/hyperlink" Target="https://drive.google.com/file/d/1es0PIwWsZHfAb_3GYchmHNvr_eJpvQKv/view?usp=drivesdk" TargetMode="External"/><Relationship Id="rId1205" Type="http://schemas.openxmlformats.org/officeDocument/2006/relationships/hyperlink" Target="https://drive.google.com/file/d/1ruVrjCVIWmDqbMje4rWAvPXec2s_w_eE/view?usp=drivesdk" TargetMode="External"/><Relationship Id="rId2536" Type="http://schemas.openxmlformats.org/officeDocument/2006/relationships/hyperlink" Target="https://drive.google.com/file/d/14M9tGOGA1FwsSDxbM-4SJ3IwUfZ8-Krl/view?usp=drivesdk" TargetMode="External"/><Relationship Id="rId3866" Type="http://schemas.openxmlformats.org/officeDocument/2006/relationships/hyperlink" Target="https://drive.google.com/file/d/1Opojle2pRg_mWivee6JYbn9zeLRt4wkB/view?usp=drivesdk" TargetMode="External"/><Relationship Id="rId1206" Type="http://schemas.openxmlformats.org/officeDocument/2006/relationships/hyperlink" Target="https://drive.google.com/file/d/1Op8vfkR-pUZP4ujvevxYOheOZ7zuMEPA/view?usp=drivesdk" TargetMode="External"/><Relationship Id="rId2537" Type="http://schemas.openxmlformats.org/officeDocument/2006/relationships/hyperlink" Target="https://drive.google.com/file/d/1aqGzfOB0MP5jpB_KmLvnkIS9mauVqTVx/view?usp=drivesdk" TargetMode="External"/><Relationship Id="rId3869" Type="http://schemas.openxmlformats.org/officeDocument/2006/relationships/hyperlink" Target="https://drive.google.com/file/d/1Ha3Puirz4-sVpQoCbyjuJa9aLw1RAhoI/view?usp=drivesdk" TargetMode="External"/><Relationship Id="rId1207" Type="http://schemas.openxmlformats.org/officeDocument/2006/relationships/hyperlink" Target="https://drive.google.com/file/d/1o17pVE3u6lPNDGRstk6BdZUQqqeRFXQc/view?usp=drivesdk" TargetMode="External"/><Relationship Id="rId2538" Type="http://schemas.openxmlformats.org/officeDocument/2006/relationships/hyperlink" Target="https://drive.google.com/file/d/1e1JeMpUZk-3V1afh7IzdcDyFMgUoUi39/view?usp=drivesdk" TargetMode="External"/><Relationship Id="rId3868" Type="http://schemas.openxmlformats.org/officeDocument/2006/relationships/hyperlink" Target="https://drive.google.com/file/d/1BWkzD5d-sIecXGV0PwZZzFAP9G0ut9Sc/view?usp=drivesdk" TargetMode="External"/><Relationship Id="rId1208" Type="http://schemas.openxmlformats.org/officeDocument/2006/relationships/hyperlink" Target="https://drive.google.com/file/d/1uMuB31rNX7FOsdI4M9kX-J7QxofAJD3Z/view?usp=drivesdk" TargetMode="External"/><Relationship Id="rId2539" Type="http://schemas.openxmlformats.org/officeDocument/2006/relationships/hyperlink" Target="https://drive.google.com/file/d/1K87tO4e4qitvRw8rc7Y3esG5kgFHKirQ/view?usp=drivesdk" TargetMode="External"/><Relationship Id="rId1209" Type="http://schemas.openxmlformats.org/officeDocument/2006/relationships/hyperlink" Target="https://drive.google.com/file/d/18GBj-SG16OW8ls_RF6oBt6o8sh4GSbMj/view?usp=drivesdk" TargetMode="External"/><Relationship Id="rId3861" Type="http://schemas.openxmlformats.org/officeDocument/2006/relationships/hyperlink" Target="https://drive.google.com/file/d/1Fptz-dERQmwh28uUPHpj0zd0B751cL79/view?usp=drivesdk" TargetMode="External"/><Relationship Id="rId2530" Type="http://schemas.openxmlformats.org/officeDocument/2006/relationships/hyperlink" Target="https://drive.google.com/file/d/1-DD13-vN0JgO35HsWmIP4fOtbCh0hUmp/view?usp=drivesdk" TargetMode="External"/><Relationship Id="rId3860" Type="http://schemas.openxmlformats.org/officeDocument/2006/relationships/hyperlink" Target="https://drive.google.com/file/d/1h_a-HCGbApCzN8QdrKcK_NRaaQXhnZcz/view?usp=drivesdk" TargetMode="External"/><Relationship Id="rId1200" Type="http://schemas.openxmlformats.org/officeDocument/2006/relationships/hyperlink" Target="https://drive.google.com/file/d/10jYLUTsr3ng6ePWq1uyKoBRO2L8yWyXY/view?usp=drivesdk" TargetMode="External"/><Relationship Id="rId2531" Type="http://schemas.openxmlformats.org/officeDocument/2006/relationships/hyperlink" Target="https://drive.google.com/file/d/1DoECrgNiNQaCB8xCWkN9RbRI74Algqw3/view?usp=drivesdk" TargetMode="External"/><Relationship Id="rId3863" Type="http://schemas.openxmlformats.org/officeDocument/2006/relationships/hyperlink" Target="https://drive.google.com/file/d/1M6lIyB3DwRzWaVJoS4ngoPprJW_Rjhkr/view?usp=drivesdk" TargetMode="External"/><Relationship Id="rId1201" Type="http://schemas.openxmlformats.org/officeDocument/2006/relationships/hyperlink" Target="https://drive.google.com/file/d/1G0ZBvryq1k2kngO6DM7w2SXBXC9ES3WG/view?usp=drivesdk" TargetMode="External"/><Relationship Id="rId2532" Type="http://schemas.openxmlformats.org/officeDocument/2006/relationships/hyperlink" Target="https://drive.google.com/file/d/1N6EZfB4ONDuQ0OQMg3a6f0jBO0LaZ_Ee/view?usp=drivesdk" TargetMode="External"/><Relationship Id="rId3862" Type="http://schemas.openxmlformats.org/officeDocument/2006/relationships/hyperlink" Target="https://drive.google.com/file/d/1C6Cne9_pvN5FpUyqcv5Oq3G5hNjn9cfV/view?usp=drivesdk" TargetMode="External"/><Relationship Id="rId1235" Type="http://schemas.openxmlformats.org/officeDocument/2006/relationships/hyperlink" Target="https://drive.google.com/file/d/1moqpYyO_pfGrH-p3cwshSmi7G6weOFv2/view?usp=drivesdk" TargetMode="External"/><Relationship Id="rId2566" Type="http://schemas.openxmlformats.org/officeDocument/2006/relationships/hyperlink" Target="https://drive.google.com/file/d/1PbrjXCs3uxDlWCOF03NH3FTuA3WbE8F4/view?usp=drivesdk" TargetMode="External"/><Relationship Id="rId3898" Type="http://schemas.openxmlformats.org/officeDocument/2006/relationships/hyperlink" Target="https://drive.google.com/file/d/1Ti77O7Mz0gdGXBwIQMl-_L1MTqySO0sz/view?usp=drivesdk" TargetMode="External"/><Relationship Id="rId1236" Type="http://schemas.openxmlformats.org/officeDocument/2006/relationships/hyperlink" Target="https://drive.google.com/file/d/1QhtfOl2a9V-n70ikyeyDnOFWU3bXOArg/view?usp=drivesdk" TargetMode="External"/><Relationship Id="rId2567" Type="http://schemas.openxmlformats.org/officeDocument/2006/relationships/hyperlink" Target="https://drive.google.com/file/d/1OEzOkBxn9l70IoICtYg4nKB5f8ManMLG/view?usp=drivesdk" TargetMode="External"/><Relationship Id="rId3897" Type="http://schemas.openxmlformats.org/officeDocument/2006/relationships/hyperlink" Target="https://drive.google.com/file/d/1E2Y6jkycN4iVPGbzpBNnqdzy-n9_6jSl/view?usp=drivesdk" TargetMode="External"/><Relationship Id="rId1237" Type="http://schemas.openxmlformats.org/officeDocument/2006/relationships/hyperlink" Target="https://drive.google.com/file/d/1kTTKEzCSDf8dnSnMKstSLoP_lgAZu_xJ/view?usp=drivesdk" TargetMode="External"/><Relationship Id="rId2568" Type="http://schemas.openxmlformats.org/officeDocument/2006/relationships/hyperlink" Target="https://drive.google.com/file/d/16TvYduu3Cc32VmRf0J3QT8G8DnpqCWkX/view?usp=drivesdk" TargetMode="External"/><Relationship Id="rId1238" Type="http://schemas.openxmlformats.org/officeDocument/2006/relationships/hyperlink" Target="https://drive.google.com/file/d/1_3tP-yKpVPLXqgbbDlusgU_sjLsIPYUg/view?usp=drivesdk" TargetMode="External"/><Relationship Id="rId2569" Type="http://schemas.openxmlformats.org/officeDocument/2006/relationships/hyperlink" Target="https://drive.google.com/file/d/1MIbfvAW606prxPHpbRpdPZnIBWQNiqrX/view?usp=drivesdk" TargetMode="External"/><Relationship Id="rId3899" Type="http://schemas.openxmlformats.org/officeDocument/2006/relationships/hyperlink" Target="https://drive.google.com/file/d/1hCdHPlz736thdN-NAKDVmt2q5wwQ0DMH/view?usp=drivesdk" TargetMode="External"/><Relationship Id="rId1239" Type="http://schemas.openxmlformats.org/officeDocument/2006/relationships/hyperlink" Target="https://drive.google.com/file/d/1gWwfsmibrltA867V87KN_Lcndu-W18PA/view?usp=drivesdk" TargetMode="External"/><Relationship Id="rId409" Type="http://schemas.openxmlformats.org/officeDocument/2006/relationships/hyperlink" Target="https://drive.google.com/file/d/1HIzRXXH2xueHrwYhbvmhzN_H7OCil52w/view?usp=drivesdk" TargetMode="External"/><Relationship Id="rId404" Type="http://schemas.openxmlformats.org/officeDocument/2006/relationships/hyperlink" Target="https://drive.google.com/file/d/13QWLWxqTTQcxV20_4WzwNqLEgOtuBejO/view?usp=drivesdk" TargetMode="External"/><Relationship Id="rId403" Type="http://schemas.openxmlformats.org/officeDocument/2006/relationships/hyperlink" Target="https://drive.google.com/file/d/1aWstkqsGUqsK_BdYh2wrFx0bE61R_NKH/view?usp=drivesdk" TargetMode="External"/><Relationship Id="rId402" Type="http://schemas.openxmlformats.org/officeDocument/2006/relationships/hyperlink" Target="https://drive.google.com/file/d/1pteqNZ7TVOf8QXbtuTGxZdoZVFFpenth/view?usp=drivesdk" TargetMode="External"/><Relationship Id="rId401" Type="http://schemas.openxmlformats.org/officeDocument/2006/relationships/hyperlink" Target="https://drive.google.com/file/d/1L2a5wbnZAOuOZmwH55iISOBBvfHr8EV9/view?usp=drivesdk" TargetMode="External"/><Relationship Id="rId408" Type="http://schemas.openxmlformats.org/officeDocument/2006/relationships/hyperlink" Target="https://drive.google.com/file/d/1XEyW6S6-3Hrnt12PwiVSr3ARSt7xmEQE/view?usp=drivesdk" TargetMode="External"/><Relationship Id="rId407" Type="http://schemas.openxmlformats.org/officeDocument/2006/relationships/hyperlink" Target="https://drive.google.com/file/d/1T0HGsb8uM9RebwJIickrRvEvkupW3IDR/view?usp=drivesdk" TargetMode="External"/><Relationship Id="rId406" Type="http://schemas.openxmlformats.org/officeDocument/2006/relationships/hyperlink" Target="https://drive.google.com/file/d/14-TSKpeT9Qkx105wQKbd-8NRKKaVbEl2/view?usp=drivesdk" TargetMode="External"/><Relationship Id="rId405" Type="http://schemas.openxmlformats.org/officeDocument/2006/relationships/hyperlink" Target="https://drive.google.com/file/d/1cjsMBPYGk4lN8vaoUpOaTR2xUaEmjuEs/view?usp=drivesdk" TargetMode="External"/><Relationship Id="rId3890" Type="http://schemas.openxmlformats.org/officeDocument/2006/relationships/hyperlink" Target="https://drive.google.com/file/d/1nsdBxE5FWQQH_q2IjSlRaXuiSNtx6VuK/view?usp=drivesdk" TargetMode="External"/><Relationship Id="rId2560" Type="http://schemas.openxmlformats.org/officeDocument/2006/relationships/hyperlink" Target="https://drive.google.com/file/d/1vfATj_3tH6aVK1ppvVCYxYrYYcrwTlYn/view?usp=drivesdk" TargetMode="External"/><Relationship Id="rId3892" Type="http://schemas.openxmlformats.org/officeDocument/2006/relationships/hyperlink" Target="https://drive.google.com/file/d/1q6GHZhnUG0xOD4fq3fh3E52vE0SyikOl/view?usp=drivesdk" TargetMode="External"/><Relationship Id="rId1230" Type="http://schemas.openxmlformats.org/officeDocument/2006/relationships/hyperlink" Target="https://drive.google.com/file/d/1fCPN1WKlDpSn5VhgvELGIeAWyGLGLfkd/view?usp=drivesdk" TargetMode="External"/><Relationship Id="rId2561" Type="http://schemas.openxmlformats.org/officeDocument/2006/relationships/hyperlink" Target="https://drive.google.com/file/d/1M7qV1Bt4dfZAGVS8UWWq-yWyRIRZo1iP/view?usp=drivesdk" TargetMode="External"/><Relationship Id="rId3891" Type="http://schemas.openxmlformats.org/officeDocument/2006/relationships/hyperlink" Target="https://drive.google.com/file/d/1G2xXGkzC_-8guNxMJNZSaFsjx-Hqatvc/view?usp=drivesdk" TargetMode="External"/><Relationship Id="rId400" Type="http://schemas.openxmlformats.org/officeDocument/2006/relationships/hyperlink" Target="https://drive.google.com/file/d/1YvSdpwMznOiRE4kq-eFQ1vSTt19YMBgy/view?usp=drivesdk" TargetMode="External"/><Relationship Id="rId1231" Type="http://schemas.openxmlformats.org/officeDocument/2006/relationships/hyperlink" Target="https://drive.google.com/file/d/1nAymiKc8JO4UTOqYz8lcSZfbHZJp_-__/view?usp=drivesdk" TargetMode="External"/><Relationship Id="rId2562" Type="http://schemas.openxmlformats.org/officeDocument/2006/relationships/hyperlink" Target="https://drive.google.com/file/d/16md5aPVjiAssJQH8X_hiE2q8R44bAS-4/view?usp=drivesdk" TargetMode="External"/><Relationship Id="rId3894" Type="http://schemas.openxmlformats.org/officeDocument/2006/relationships/hyperlink" Target="https://drive.google.com/file/d/1B0_fpHqH-8aAh_CTQ7l1GMHV4rKq0hp-/view?usp=drivesdk" TargetMode="External"/><Relationship Id="rId1232" Type="http://schemas.openxmlformats.org/officeDocument/2006/relationships/hyperlink" Target="https://drive.google.com/file/d/1qCUlY_1tJhJyUxyzfL8rLpYGNra5rvpR/view?usp=drivesdk" TargetMode="External"/><Relationship Id="rId2563" Type="http://schemas.openxmlformats.org/officeDocument/2006/relationships/hyperlink" Target="https://drive.google.com/file/d/16y7C3d2ql73jAymNRVmLDTMDp3H3tlYY/view?usp=drivesdk" TargetMode="External"/><Relationship Id="rId3893" Type="http://schemas.openxmlformats.org/officeDocument/2006/relationships/hyperlink" Target="https://drive.google.com/file/d/1Hk4FtNz6MaYvLoDAilSzQqFSSJ5Fn9NM/view?usp=drivesdk" TargetMode="External"/><Relationship Id="rId1233" Type="http://schemas.openxmlformats.org/officeDocument/2006/relationships/hyperlink" Target="https://drive.google.com/file/d/1AtJARp9IV6IJUYrNeMyD_iN3GsPB_F9x/view?usp=drivesdk" TargetMode="External"/><Relationship Id="rId2564" Type="http://schemas.openxmlformats.org/officeDocument/2006/relationships/hyperlink" Target="https://drive.google.com/file/d/1LcQZRz0CbuKSh3b0AyMCaY48ioL9afSC/view?usp=drivesdk" TargetMode="External"/><Relationship Id="rId3896" Type="http://schemas.openxmlformats.org/officeDocument/2006/relationships/hyperlink" Target="https://drive.google.com/file/d/1DrdVvpwHKEfAjmUM3fqS_-vwRY-Kr4Cc/view?usp=drivesdk" TargetMode="External"/><Relationship Id="rId1234" Type="http://schemas.openxmlformats.org/officeDocument/2006/relationships/hyperlink" Target="https://drive.google.com/file/d/16xShvOh5xFBgcuq1u6CHw0Xin76kpRM6/view?usp=drivesdk" TargetMode="External"/><Relationship Id="rId2565" Type="http://schemas.openxmlformats.org/officeDocument/2006/relationships/hyperlink" Target="https://drive.google.com/file/d/1tZNyGwpgqbceVNrjEWZ9zawjU9-evcUE/view?usp=drivesdk" TargetMode="External"/><Relationship Id="rId3895" Type="http://schemas.openxmlformats.org/officeDocument/2006/relationships/hyperlink" Target="https://drive.google.com/file/d/1EDC99LfpDW99fzATRguzaR9S_089kQ5s/view?usp=drivesdk" TargetMode="External"/><Relationship Id="rId1224" Type="http://schemas.openxmlformats.org/officeDocument/2006/relationships/hyperlink" Target="https://drive.google.com/file/d/1plTr-K7qsfX6_-ed5r8ZQdbxmqoA-K8M/view?usp=drivesdk" TargetMode="External"/><Relationship Id="rId2555" Type="http://schemas.openxmlformats.org/officeDocument/2006/relationships/hyperlink" Target="https://drive.google.com/file/d/1cuRXNLZYu7ThPe3vn_RL2v5ZCxnjQclB/view?usp=drivesdk" TargetMode="External"/><Relationship Id="rId3887" Type="http://schemas.openxmlformats.org/officeDocument/2006/relationships/hyperlink" Target="https://drive.google.com/file/d/1c_Vpo-hUe-vR9D_rkuM-o5aPqXTrczT_/view?usp=drivesdk" TargetMode="External"/><Relationship Id="rId1225" Type="http://schemas.openxmlformats.org/officeDocument/2006/relationships/hyperlink" Target="https://drive.google.com/file/d/1kyin5RdSWom3W-64RnWfnth3EgtUdL_w/view?usp=drivesdk" TargetMode="External"/><Relationship Id="rId2556" Type="http://schemas.openxmlformats.org/officeDocument/2006/relationships/hyperlink" Target="https://drive.google.com/file/d/1Dz4iQK-WWTg_j3Xo6DmzpjPJ7M-Qkrfb/view?usp=drivesdk" TargetMode="External"/><Relationship Id="rId3886" Type="http://schemas.openxmlformats.org/officeDocument/2006/relationships/hyperlink" Target="https://drive.google.com/file/d/1FprvtajhGAKIEH52xeC96rTj3Y-NdQOa/view?usp=drivesdk" TargetMode="External"/><Relationship Id="rId1226" Type="http://schemas.openxmlformats.org/officeDocument/2006/relationships/hyperlink" Target="https://drive.google.com/file/d/1sDaY9eMcns-qRVmljJmRK-BSY9fjLEnk/view?usp=drivesdk" TargetMode="External"/><Relationship Id="rId2557" Type="http://schemas.openxmlformats.org/officeDocument/2006/relationships/hyperlink" Target="https://drive.google.com/file/d/1OiRKCiPjlQDg3bsC90CpzPqeuj8b2CI0/view?usp=drivesdk" TargetMode="External"/><Relationship Id="rId3889" Type="http://schemas.openxmlformats.org/officeDocument/2006/relationships/hyperlink" Target="https://drive.google.com/file/d/1Azffjd8YVbyxJ_N-vqDWPJte-DhZseI3/view?usp=drivesdk" TargetMode="External"/><Relationship Id="rId1227" Type="http://schemas.openxmlformats.org/officeDocument/2006/relationships/hyperlink" Target="https://drive.google.com/file/d/1LbUK-vU97AwfIe3QReAqBojIDlYeu88n/view?usp=drivesdk" TargetMode="External"/><Relationship Id="rId2558" Type="http://schemas.openxmlformats.org/officeDocument/2006/relationships/hyperlink" Target="https://drive.google.com/file/d/1XsBgz9XLzoAjmpB_4LK1RnXAwTxwbpLv/view?usp=drivesdk" TargetMode="External"/><Relationship Id="rId3888" Type="http://schemas.openxmlformats.org/officeDocument/2006/relationships/hyperlink" Target="https://drive.google.com/file/d/1qlmKmkNM1W7kkYv7kHEW2kG-PLaT87Bx/view?usp=drivesdk" TargetMode="External"/><Relationship Id="rId1228" Type="http://schemas.openxmlformats.org/officeDocument/2006/relationships/hyperlink" Target="https://drive.google.com/file/d/1lYMPPf95-oJxizUnaXpPkBK6u2SmD1tz/view?usp=drivesdk" TargetMode="External"/><Relationship Id="rId2559" Type="http://schemas.openxmlformats.org/officeDocument/2006/relationships/hyperlink" Target="https://drive.google.com/file/d/1ilvZ09oRLZPTX5Uvnaj7Pmr78MCY8lxU/view?usp=drivesdk" TargetMode="External"/><Relationship Id="rId1229" Type="http://schemas.openxmlformats.org/officeDocument/2006/relationships/hyperlink" Target="https://drive.google.com/file/d/1Jdz_wqYFRrXNnbHxfeoGAciwESjInWid/view?usp=drivesdk" TargetMode="External"/><Relationship Id="rId3881" Type="http://schemas.openxmlformats.org/officeDocument/2006/relationships/hyperlink" Target="https://drive.google.com/file/d/19onP2Jyq2jua9S0myZ8MQ33P3uI4e10e/view?usp=drivesdk" TargetMode="External"/><Relationship Id="rId2550" Type="http://schemas.openxmlformats.org/officeDocument/2006/relationships/hyperlink" Target="https://drive.google.com/file/d/1qitODeDzHPy1am7gQTxGS_oYV_gocWeA/view?usp=drivesdk" TargetMode="External"/><Relationship Id="rId3880" Type="http://schemas.openxmlformats.org/officeDocument/2006/relationships/hyperlink" Target="https://drive.google.com/file/d/1mJBDMR198byHyvWQRBN2szRwEb_ppTYG/view?usp=drivesdk" TargetMode="External"/><Relationship Id="rId1220" Type="http://schemas.openxmlformats.org/officeDocument/2006/relationships/hyperlink" Target="https://drive.google.com/file/d/1GNvdZAviyVlMdE2npJ18UYwQeRPYlb8s/view?usp=drivesdk" TargetMode="External"/><Relationship Id="rId2551" Type="http://schemas.openxmlformats.org/officeDocument/2006/relationships/hyperlink" Target="https://drive.google.com/file/d/1ej5PKEwDLeS6attDWY0jbhO-toSfv9zs/view?usp=drivesdk" TargetMode="External"/><Relationship Id="rId3883" Type="http://schemas.openxmlformats.org/officeDocument/2006/relationships/hyperlink" Target="https://drive.google.com/file/d/1dnhyqYJU_myQl4b4-bqb3TrltOAWIDP2/view?usp=drivesdk" TargetMode="External"/><Relationship Id="rId1221" Type="http://schemas.openxmlformats.org/officeDocument/2006/relationships/hyperlink" Target="https://drive.google.com/file/d/17mTlZZ2aimkq57GJHpiRLy1yUm95UKz3/view?usp=drivesdk" TargetMode="External"/><Relationship Id="rId2552" Type="http://schemas.openxmlformats.org/officeDocument/2006/relationships/hyperlink" Target="https://drive.google.com/file/d/1Pzn8uJmTC-YGPxIuu40UH42gi9nAEmyl/view?usp=drivesdk" TargetMode="External"/><Relationship Id="rId3882" Type="http://schemas.openxmlformats.org/officeDocument/2006/relationships/hyperlink" Target="https://drive.google.com/file/d/1LuWIEFBNMcILmHnlvVtLkBcb4P5XCNhL/view?usp=drivesdk" TargetMode="External"/><Relationship Id="rId1222" Type="http://schemas.openxmlformats.org/officeDocument/2006/relationships/hyperlink" Target="https://drive.google.com/file/d/1sLKasFyttwomOFKvYpn8PTlmCPEwAixj/view?usp=drivesdk" TargetMode="External"/><Relationship Id="rId2553" Type="http://schemas.openxmlformats.org/officeDocument/2006/relationships/hyperlink" Target="https://drive.google.com/file/d/1J5kbRGUL0wlMjzZVchrqE6D9LaKtmO26/view?usp=drivesdk" TargetMode="External"/><Relationship Id="rId3885" Type="http://schemas.openxmlformats.org/officeDocument/2006/relationships/hyperlink" Target="https://drive.google.com/file/d/19npKgTyFIQu-IoHD5353Bj0wNnb1zUlJ/view?usp=drivesdk" TargetMode="External"/><Relationship Id="rId1223" Type="http://schemas.openxmlformats.org/officeDocument/2006/relationships/hyperlink" Target="https://drive.google.com/file/d/1BexopmGBfDYUOA30me-Z6P6P4234Nu0X/view?usp=drivesdk" TargetMode="External"/><Relationship Id="rId2554" Type="http://schemas.openxmlformats.org/officeDocument/2006/relationships/hyperlink" Target="https://drive.google.com/file/d/1-7i6lbgApiXgC3ZNLJtRrNC-iJ6OHQxK/view?usp=drivesdk" TargetMode="External"/><Relationship Id="rId3884" Type="http://schemas.openxmlformats.org/officeDocument/2006/relationships/hyperlink" Target="https://drive.google.com/file/d/1NQ7RKquT-MaNVBL9XwevScXLKl-aSE-3/view?usp=drivesdk" TargetMode="External"/><Relationship Id="rId2500" Type="http://schemas.openxmlformats.org/officeDocument/2006/relationships/hyperlink" Target="https://drive.google.com/file/d/1r8--CTWJrpRrujfyMPRC-uzuBY1V97pG/view?usp=drivesdk" TargetMode="External"/><Relationship Id="rId3832" Type="http://schemas.openxmlformats.org/officeDocument/2006/relationships/hyperlink" Target="https://drive.google.com/file/d/154WUyfFFeAuriQ3XgxHJQANRC9_bRspj/view?usp=drivesdk" TargetMode="External"/><Relationship Id="rId2501" Type="http://schemas.openxmlformats.org/officeDocument/2006/relationships/hyperlink" Target="https://drive.google.com/file/d/18eTBRZOQOYHHq6NmlMHHaY_l-gTqXUfP/view?usp=drivesdk" TargetMode="External"/><Relationship Id="rId3831" Type="http://schemas.openxmlformats.org/officeDocument/2006/relationships/hyperlink" Target="https://drive.google.com/file/d/1cmF4wkNsRRoRpJDWnUPXGte7D2GeZ0hs/view?usp=drivesdk" TargetMode="External"/><Relationship Id="rId2502" Type="http://schemas.openxmlformats.org/officeDocument/2006/relationships/hyperlink" Target="https://drive.google.com/file/d/1tLXesuLsZLcmrA5-xs2UW9U-e0Kkdy-0/view?usp=drivesdk" TargetMode="External"/><Relationship Id="rId3834" Type="http://schemas.openxmlformats.org/officeDocument/2006/relationships/hyperlink" Target="https://drive.google.com/file/d/1N18v_k1FK6vlKw0Q93C2Wh01Gc_dyqd8/view?usp=drivesdk" TargetMode="External"/><Relationship Id="rId2503" Type="http://schemas.openxmlformats.org/officeDocument/2006/relationships/hyperlink" Target="https://drive.google.com/file/d/1YIymMYCyD2BwQ425btXPX4etg_G6rdkh/view?usp=drivesdk" TargetMode="External"/><Relationship Id="rId3833" Type="http://schemas.openxmlformats.org/officeDocument/2006/relationships/hyperlink" Target="https://drive.google.com/file/d/1qWF-JWzvgMITx1CY9qO85m_-dmRyN1Q8/view?usp=drivesdk" TargetMode="External"/><Relationship Id="rId2504" Type="http://schemas.openxmlformats.org/officeDocument/2006/relationships/hyperlink" Target="https://drive.google.com/file/d/1kC8iWzre5MUI8YaKha76ZIZzC3OlqZkj/view?usp=drivesdk" TargetMode="External"/><Relationship Id="rId3836" Type="http://schemas.openxmlformats.org/officeDocument/2006/relationships/hyperlink" Target="https://drive.google.com/file/d/18Zm20g1yF7ESVRi7AEM-bqpMzHFk0DkZ/view?usp=drivesdk" TargetMode="External"/><Relationship Id="rId2505" Type="http://schemas.openxmlformats.org/officeDocument/2006/relationships/hyperlink" Target="https://drive.google.com/file/d/1pjRZZR6RcvlAef3qrQExMgAaEmfnOcVA/view?usp=drivesdk" TargetMode="External"/><Relationship Id="rId3835" Type="http://schemas.openxmlformats.org/officeDocument/2006/relationships/hyperlink" Target="https://drive.google.com/file/d/1paRr3uAuKeHQwW0hvtLfEWEOAK83J72E/view?usp=drivesdk" TargetMode="External"/><Relationship Id="rId2506" Type="http://schemas.openxmlformats.org/officeDocument/2006/relationships/hyperlink" Target="https://drive.google.com/file/d/1Zy-vHeRzcp2eysGtSgrm008ww268wMWg/view?usp=drivesdk" TargetMode="External"/><Relationship Id="rId3838" Type="http://schemas.openxmlformats.org/officeDocument/2006/relationships/hyperlink" Target="https://drive.google.com/file/d/1jDPvKXU69SnHURLLAJxN94vxMZ79ZshI/view?usp=drivesdk" TargetMode="External"/><Relationship Id="rId2507" Type="http://schemas.openxmlformats.org/officeDocument/2006/relationships/hyperlink" Target="https://drive.google.com/file/d/1EJPmfPhbWlihspPxaEL4-D2PwaRzCXYQ/view?usp=drivesdk" TargetMode="External"/><Relationship Id="rId3837" Type="http://schemas.openxmlformats.org/officeDocument/2006/relationships/hyperlink" Target="https://drive.google.com/file/d/1EVYN_6qk90D8xwJRJsZMi-wQiIbs-ytO/view?usp=drivesdk" TargetMode="External"/><Relationship Id="rId2508" Type="http://schemas.openxmlformats.org/officeDocument/2006/relationships/hyperlink" Target="https://drive.google.com/file/d/1EWvMD-vvM5xLJLmK8CdbdchP2fVG7qCx/view?usp=drivesdk" TargetMode="External"/><Relationship Id="rId2509" Type="http://schemas.openxmlformats.org/officeDocument/2006/relationships/hyperlink" Target="https://drive.google.com/file/d/1AefLXsqqsf0BHKT-c_YzreB0sTNkiNu2/view?usp=drivesdk" TargetMode="External"/><Relationship Id="rId3839" Type="http://schemas.openxmlformats.org/officeDocument/2006/relationships/hyperlink" Target="https://drive.google.com/file/d/1f_1UkTAgCd8jBuKtVqxix76p8ExhnWyf/view?usp=drivesdk" TargetMode="External"/><Relationship Id="rId3830" Type="http://schemas.openxmlformats.org/officeDocument/2006/relationships/hyperlink" Target="https://drive.google.com/file/d/1OTSLLDsqHU3kYaZYJ5-9kORtWc2nMyWK/view?usp=drivesdk" TargetMode="External"/><Relationship Id="rId3821" Type="http://schemas.openxmlformats.org/officeDocument/2006/relationships/hyperlink" Target="https://drive.google.com/file/d/1Eank3T-nL7HpRpk1i_Z4lfMUC2j6Cq4z/view?usp=drivesdk" TargetMode="External"/><Relationship Id="rId3820" Type="http://schemas.openxmlformats.org/officeDocument/2006/relationships/hyperlink" Target="https://drive.google.com/file/d/1mUCcOWY5iPHloQwsAWik9g2h0d5Vg9Pq/view?usp=drivesdk" TargetMode="External"/><Relationship Id="rId3823" Type="http://schemas.openxmlformats.org/officeDocument/2006/relationships/hyperlink" Target="https://drive.google.com/file/d/1YZ0uf3EATulnWlFj2d8DYyNVbrBQXH7S/view?usp=drivesdk" TargetMode="External"/><Relationship Id="rId3822" Type="http://schemas.openxmlformats.org/officeDocument/2006/relationships/hyperlink" Target="https://drive.google.com/file/d/1FSIrkeMKpVNSiRBmlO7m7ARA956si5w3/view?usp=drivesdk" TargetMode="External"/><Relationship Id="rId3825" Type="http://schemas.openxmlformats.org/officeDocument/2006/relationships/hyperlink" Target="https://drive.google.com/file/d/1y0vSyhgef7lVQzu6ZKQMLJSoQ7iVCBOh/view?usp=drivesdk" TargetMode="External"/><Relationship Id="rId3824" Type="http://schemas.openxmlformats.org/officeDocument/2006/relationships/hyperlink" Target="https://drive.google.com/file/d/1frYPO8HaneY5g3e0sLZtGJHH2fK3ocTa/view?usp=drivesdk" TargetMode="External"/><Relationship Id="rId3827" Type="http://schemas.openxmlformats.org/officeDocument/2006/relationships/hyperlink" Target="https://drive.google.com/file/d/1mP2wVzA1NU8xKAR-ORc2tL66pVpKHn6d/view?usp=drivesdk" TargetMode="External"/><Relationship Id="rId3826" Type="http://schemas.openxmlformats.org/officeDocument/2006/relationships/hyperlink" Target="https://drive.google.com/file/d/1P-GDoGaMksyEPVrrpMuIjWpcsPz78QiR/view?usp=drivesdk" TargetMode="External"/><Relationship Id="rId3829" Type="http://schemas.openxmlformats.org/officeDocument/2006/relationships/hyperlink" Target="https://drive.google.com/file/d/1Sv6ckvDqqP3oPHjlpxZcOfUGA7XxbhUP/view?usp=drivesdk" TargetMode="External"/><Relationship Id="rId3828" Type="http://schemas.openxmlformats.org/officeDocument/2006/relationships/hyperlink" Target="https://drive.google.com/file/d/1U8EdN0qbTHWY1QvGqCLChoAfe2w3uxux/view?usp=drivesdk" TargetMode="External"/><Relationship Id="rId2522" Type="http://schemas.openxmlformats.org/officeDocument/2006/relationships/hyperlink" Target="https://drive.google.com/file/d/1ArYyJh_QEq3fdNf_0czAp9Ec2guWP8N9/view?usp=drivesdk" TargetMode="External"/><Relationship Id="rId3854" Type="http://schemas.openxmlformats.org/officeDocument/2006/relationships/hyperlink" Target="https://drive.google.com/file/d/1oxFpSXzW2lU5h_vUyxDgON5xMJdqH7sQ/view?usp=drivesdk" TargetMode="External"/><Relationship Id="rId2523" Type="http://schemas.openxmlformats.org/officeDocument/2006/relationships/hyperlink" Target="https://drive.google.com/file/d/1TMjQCTwq0_uqh0DU0NHz3bgorgx4NA8j/view?usp=drivesdk" TargetMode="External"/><Relationship Id="rId3853" Type="http://schemas.openxmlformats.org/officeDocument/2006/relationships/hyperlink" Target="https://drive.google.com/file/d/1jow6V2FZBZ9IXMy4L0iUV6u-waJFI49A/view?usp=drivesdk" TargetMode="External"/><Relationship Id="rId2524" Type="http://schemas.openxmlformats.org/officeDocument/2006/relationships/hyperlink" Target="https://drive.google.com/file/d/1qZgY6OutOTO53WyEf_cC8hucH2pRW1Jz/view?usp=drivesdk" TargetMode="External"/><Relationship Id="rId3856" Type="http://schemas.openxmlformats.org/officeDocument/2006/relationships/hyperlink" Target="https://drive.google.com/file/d/1mcmNVEAhjPHDiBLmRJeFP-5zsDSil4ry/view?usp=drivesdk" TargetMode="External"/><Relationship Id="rId2525" Type="http://schemas.openxmlformats.org/officeDocument/2006/relationships/hyperlink" Target="https://drive.google.com/file/d/1Xo46UjRrsZW6Yqy8CbQjU_rHwwPbSjm4/view?usp=drivesdk" TargetMode="External"/><Relationship Id="rId3855" Type="http://schemas.openxmlformats.org/officeDocument/2006/relationships/hyperlink" Target="https://drive.google.com/file/d/16fcPBAWrQZK8rhAqGSlU2S-kseHLHjfq/view?usp=drivesdk" TargetMode="External"/><Relationship Id="rId2526" Type="http://schemas.openxmlformats.org/officeDocument/2006/relationships/hyperlink" Target="https://drive.google.com/file/d/1rMmdPakZmZ7J2Rq8gW--iOAQjsfj1-xA/view?usp=drivesdk" TargetMode="External"/><Relationship Id="rId3858" Type="http://schemas.openxmlformats.org/officeDocument/2006/relationships/hyperlink" Target="https://drive.google.com/file/d/106iAsouq-f7d8oaR-MSbhhJNuCzTi3ec/view?usp=drivesdk" TargetMode="External"/><Relationship Id="rId2527" Type="http://schemas.openxmlformats.org/officeDocument/2006/relationships/hyperlink" Target="https://drive.google.com/file/d/1viTug6wMwP-MFe55u8jhMtE9IluWeozu/view?usp=drivesdk" TargetMode="External"/><Relationship Id="rId3857" Type="http://schemas.openxmlformats.org/officeDocument/2006/relationships/hyperlink" Target="https://drive.google.com/file/d/1nyL81UK5XaifBoD03vQfnr84oooIZMvB/view?usp=drivesdk" TargetMode="External"/><Relationship Id="rId2528" Type="http://schemas.openxmlformats.org/officeDocument/2006/relationships/hyperlink" Target="https://drive.google.com/file/d/1489xSro5jRsYO94fNthNReQ4AYSyKWDC/view?usp=drivesdk" TargetMode="External"/><Relationship Id="rId2529" Type="http://schemas.openxmlformats.org/officeDocument/2006/relationships/hyperlink" Target="https://drive.google.com/file/d/1iox_RjcUrf4wbn1MsqFcIntqHFV7HJGD/view?usp=drivesdk" TargetMode="External"/><Relationship Id="rId3859" Type="http://schemas.openxmlformats.org/officeDocument/2006/relationships/hyperlink" Target="https://drive.google.com/file/d/1a5QZPbW1nnUM8vAXm3yVjWseHMEugp1B/view?usp=drivesdk" TargetMode="External"/><Relationship Id="rId3850" Type="http://schemas.openxmlformats.org/officeDocument/2006/relationships/hyperlink" Target="https://drive.google.com/file/d/1kYJD7vs8BzSj4ByBS1taPK2A-0JEfCHc/view?usp=drivesdk" TargetMode="External"/><Relationship Id="rId2520" Type="http://schemas.openxmlformats.org/officeDocument/2006/relationships/hyperlink" Target="https://drive.google.com/file/d/10vG_4EcFDFN_cHCY8NUqJ1DKaS7Mch0r/view?usp=drivesdk" TargetMode="External"/><Relationship Id="rId3852" Type="http://schemas.openxmlformats.org/officeDocument/2006/relationships/hyperlink" Target="https://drive.google.com/file/d/1T3rGIUKvx0gLcHqo7R0vvqDUnyCpASA0/view?usp=drivesdk" TargetMode="External"/><Relationship Id="rId2521" Type="http://schemas.openxmlformats.org/officeDocument/2006/relationships/hyperlink" Target="https://drive.google.com/file/d/13gmn-dzR4AbyWNg9IdrrmX8Eo0cgaRb9/view?usp=drivesdk" TargetMode="External"/><Relationship Id="rId3851" Type="http://schemas.openxmlformats.org/officeDocument/2006/relationships/hyperlink" Target="https://drive.google.com/file/d/14quVDD10o5_F-v-6YMD1nW13QblrNWrv/view?usp=drivesdk" TargetMode="External"/><Relationship Id="rId2511" Type="http://schemas.openxmlformats.org/officeDocument/2006/relationships/hyperlink" Target="https://drive.google.com/file/d/1CQNuBXhEL8IIDQFc8eAUVdUZPS6Mb-HK/view?usp=drivesdk" TargetMode="External"/><Relationship Id="rId3843" Type="http://schemas.openxmlformats.org/officeDocument/2006/relationships/hyperlink" Target="https://drive.google.com/file/d/1oygugEqH6RJFnUDiq5mCKKNzFirh28gW/view?usp=drivesdk" TargetMode="External"/><Relationship Id="rId2512" Type="http://schemas.openxmlformats.org/officeDocument/2006/relationships/hyperlink" Target="https://drive.google.com/file/d/1Ie5r3Qns-CLfkW1uwMvd8eUX7koKTlr7/view?usp=drivesdk" TargetMode="External"/><Relationship Id="rId3842" Type="http://schemas.openxmlformats.org/officeDocument/2006/relationships/hyperlink" Target="https://drive.google.com/file/d/1tSqXsbSyIK9e6KAcXU0R8cJ6kyg25c_b/view?usp=drivesdk" TargetMode="External"/><Relationship Id="rId2513" Type="http://schemas.openxmlformats.org/officeDocument/2006/relationships/hyperlink" Target="https://drive.google.com/file/d/1UkVZLEi8Kg_IQmf4lsCLK08fMyPe74kJ/view?usp=drivesdk" TargetMode="External"/><Relationship Id="rId3845" Type="http://schemas.openxmlformats.org/officeDocument/2006/relationships/hyperlink" Target="https://drive.google.com/file/d/1ztOFRQIesMgCTluSeQF6Kf-4HmAG55z7/view?usp=drivesdk" TargetMode="External"/><Relationship Id="rId2514" Type="http://schemas.openxmlformats.org/officeDocument/2006/relationships/hyperlink" Target="https://drive.google.com/file/d/1QNsAXWlJDc8uhkDsKESbdrtAYrCNijIU/view?usp=drivesdk" TargetMode="External"/><Relationship Id="rId3844" Type="http://schemas.openxmlformats.org/officeDocument/2006/relationships/hyperlink" Target="https://drive.google.com/file/d/1vVF6aGb0CdZdYw3H4J01UtADqbIsBZoB/view?usp=drivesdk" TargetMode="External"/><Relationship Id="rId2515" Type="http://schemas.openxmlformats.org/officeDocument/2006/relationships/hyperlink" Target="https://drive.google.com/file/d/1ENYMd39v8RIz0bQmLA6d5Hvke3oPithD/view?usp=drivesdk" TargetMode="External"/><Relationship Id="rId3847" Type="http://schemas.openxmlformats.org/officeDocument/2006/relationships/hyperlink" Target="https://drive.google.com/file/d/10TdJtGBbDnaCRqn50wIU0-IdOjsCVUQh/view?usp=drivesdk" TargetMode="External"/><Relationship Id="rId2516" Type="http://schemas.openxmlformats.org/officeDocument/2006/relationships/hyperlink" Target="https://drive.google.com/file/d/1MJ8Pky8EkOm5KJuUuVbp0m1sd6-Pz_4T/view?usp=drivesdk" TargetMode="External"/><Relationship Id="rId3846" Type="http://schemas.openxmlformats.org/officeDocument/2006/relationships/hyperlink" Target="https://drive.google.com/file/d/1IOV2JeWvsH8Bl2GBvDcMjGCzG75L8YaL/view?usp=drivesdk" TargetMode="External"/><Relationship Id="rId2517" Type="http://schemas.openxmlformats.org/officeDocument/2006/relationships/hyperlink" Target="https://drive.google.com/file/d/1l7mPqN_V4r7WJI_Uk-R3gk2lI0YM63uC/view?usp=drivesdk" TargetMode="External"/><Relationship Id="rId3849" Type="http://schemas.openxmlformats.org/officeDocument/2006/relationships/hyperlink" Target="https://drive.google.com/file/d/1twUUzo5YpUa5n3JlBZuL50RyyYHLIQmm/view?usp=drivesdk" TargetMode="External"/><Relationship Id="rId2518" Type="http://schemas.openxmlformats.org/officeDocument/2006/relationships/hyperlink" Target="https://drive.google.com/file/d/1o3EL4faWcW4GVsTbovoTUfZTvbNcH0kO/view?usp=drivesdk" TargetMode="External"/><Relationship Id="rId3848" Type="http://schemas.openxmlformats.org/officeDocument/2006/relationships/hyperlink" Target="https://drive.google.com/file/d/1tMk-kx5MJ2YHVsxiY7zUGCA1Ji0_JtE2/view?usp=drivesdk" TargetMode="External"/><Relationship Id="rId2519" Type="http://schemas.openxmlformats.org/officeDocument/2006/relationships/hyperlink" Target="https://drive.google.com/file/d/1gErIICkkephJYJKscc71nOswo2UcNGc7/view?usp=drivesdk" TargetMode="External"/><Relationship Id="rId3841" Type="http://schemas.openxmlformats.org/officeDocument/2006/relationships/hyperlink" Target="https://drive.google.com/file/d/1MuZ7Zam2EXv_6slq_-wxaorfZ_VsddIQ/view?usp=drivesdk" TargetMode="External"/><Relationship Id="rId2510" Type="http://schemas.openxmlformats.org/officeDocument/2006/relationships/hyperlink" Target="https://drive.google.com/file/d/1jVqxw9riMe95Psrtn77QU-yeoa0po-Te/view?usp=drivesdk" TargetMode="External"/><Relationship Id="rId3840" Type="http://schemas.openxmlformats.org/officeDocument/2006/relationships/hyperlink" Target="https://drive.google.com/file/d/1Tbs9NPsXP1NkQKy7prt7tGMjAlvh4Gyv/view?usp=drivesdk" TargetMode="External"/><Relationship Id="rId4327" Type="http://schemas.openxmlformats.org/officeDocument/2006/relationships/hyperlink" Target="https://drive.google.com/file/d/1CYSLLRaXccHG94Cx3m01QaqKXfMooqaC/view?usp=drivesdk" TargetMode="External"/><Relationship Id="rId4326" Type="http://schemas.openxmlformats.org/officeDocument/2006/relationships/hyperlink" Target="https://drive.google.com/file/d/10wr6Ze7DfmWCZ4eKQQ9lax1ps4jOkGB3/view?usp=drivesdk" TargetMode="External"/><Relationship Id="rId4329" Type="http://schemas.openxmlformats.org/officeDocument/2006/relationships/hyperlink" Target="https://drive.google.com/file/d/1WCYuVxkUcqAlZgnPs3xyatpq0Ebqi8Rk/view?usp=drivesdk" TargetMode="External"/><Relationship Id="rId4328" Type="http://schemas.openxmlformats.org/officeDocument/2006/relationships/hyperlink" Target="https://drive.google.com/file/d/1AhiR--W3T46ZBg512GWLOQ4wusLKXhYl/view?usp=drivesdk" TargetMode="External"/><Relationship Id="rId469" Type="http://schemas.openxmlformats.org/officeDocument/2006/relationships/hyperlink" Target="https://drive.google.com/file/d/136zvGjL0zLGiF3mW6rhgpNsFgjMvxG9x/view?usp=drivesdk" TargetMode="External"/><Relationship Id="rId468" Type="http://schemas.openxmlformats.org/officeDocument/2006/relationships/hyperlink" Target="https://drive.google.com/file/d/1F7Ezrm9AgV1d_L1UzAVSRtS0sT6w6sop/view?usp=drivesdk" TargetMode="External"/><Relationship Id="rId467" Type="http://schemas.openxmlformats.org/officeDocument/2006/relationships/hyperlink" Target="https://drive.google.com/file/d/1qILMeUNLYMWPDE-FEj4z6ldgfWqzZLRy/view?usp=drivesdk" TargetMode="External"/><Relationship Id="rId1290" Type="http://schemas.openxmlformats.org/officeDocument/2006/relationships/hyperlink" Target="https://drive.google.com/file/d/1oCh16rNVpDVIGzffiWv3VAbFEw7HJIGG/view?usp=drivesdk" TargetMode="External"/><Relationship Id="rId1291" Type="http://schemas.openxmlformats.org/officeDocument/2006/relationships/hyperlink" Target="https://drive.google.com/file/d/1qaCmVJBop2or-2aGNBMk6VfwNSIF31Rt/view?usp=drivesdk" TargetMode="External"/><Relationship Id="rId1292" Type="http://schemas.openxmlformats.org/officeDocument/2006/relationships/hyperlink" Target="https://drive.google.com/file/d/19BneFdtSL8UHqVW4u4QUh417EaflnS87/view?usp=drivesdk" TargetMode="External"/><Relationship Id="rId462" Type="http://schemas.openxmlformats.org/officeDocument/2006/relationships/hyperlink" Target="https://drive.google.com/file/d/1rZhZZ-LMijWK0W_JtNsPpVFbUTlYnXcp/view?usp=drivesdk" TargetMode="External"/><Relationship Id="rId1293" Type="http://schemas.openxmlformats.org/officeDocument/2006/relationships/hyperlink" Target="https://drive.google.com/file/d/1phLZ3j3Ee6M3nWGhQtVDDWzPR-U-58j8/view?usp=drivesdk" TargetMode="External"/><Relationship Id="rId461" Type="http://schemas.openxmlformats.org/officeDocument/2006/relationships/hyperlink" Target="https://drive.google.com/file/d/1H5ZYe5Ye4U80NQcrwEFrCC1xISfIpbj1/view?usp=drivesdk" TargetMode="External"/><Relationship Id="rId1294" Type="http://schemas.openxmlformats.org/officeDocument/2006/relationships/hyperlink" Target="https://drive.google.com/file/d/1KQNNZ6aX08yBnD7sEHDFXD-gh_SDrWJH/view?usp=drivesdk" TargetMode="External"/><Relationship Id="rId460" Type="http://schemas.openxmlformats.org/officeDocument/2006/relationships/hyperlink" Target="https://drive.google.com/file/d/1OwOWPZLAQ3QBcWTl3HbBrGwDXYcVhn7i/view?usp=drivesdk" TargetMode="External"/><Relationship Id="rId1295" Type="http://schemas.openxmlformats.org/officeDocument/2006/relationships/hyperlink" Target="https://drive.google.com/file/d/1GvSvly5PNjZPtKj6BAp_2TPD8biKK8SQ/view?usp=drivesdk" TargetMode="External"/><Relationship Id="rId4321" Type="http://schemas.openxmlformats.org/officeDocument/2006/relationships/hyperlink" Target="https://drive.google.com/file/d/1JQOM_rkssdpan2YVE_ZZUT5bkWK_C76H/view?usp=drivesdk" TargetMode="External"/><Relationship Id="rId1296" Type="http://schemas.openxmlformats.org/officeDocument/2006/relationships/hyperlink" Target="https://drive.google.com/file/d/1RtvOZPZ_JOicjfzn_I4xDhpYhN3psIxZ/view?usp=drivesdk" TargetMode="External"/><Relationship Id="rId4320" Type="http://schemas.openxmlformats.org/officeDocument/2006/relationships/hyperlink" Target="https://drive.google.com/file/d/1M9tAYHFu8i-WX4OlU8s5kUme5YlkoQz7/view?usp=drivesdk" TargetMode="External"/><Relationship Id="rId466" Type="http://schemas.openxmlformats.org/officeDocument/2006/relationships/hyperlink" Target="https://drive.google.com/file/d/1S3uLpeIii4bNmqeAUhhyejam6zhS9xcF/view?usp=drivesdk" TargetMode="External"/><Relationship Id="rId1297" Type="http://schemas.openxmlformats.org/officeDocument/2006/relationships/hyperlink" Target="https://drive.google.com/file/d/1B9xfZ1VH7QEKfL1neDjKvJFDJR5e0vp7/view?usp=drivesdk" TargetMode="External"/><Relationship Id="rId4323" Type="http://schemas.openxmlformats.org/officeDocument/2006/relationships/hyperlink" Target="https://drive.google.com/file/d/1U0mrBJC0p_uHsH1CqtJeq3CpTxKyh0WQ/view?usp=drivesdk" TargetMode="External"/><Relationship Id="rId465" Type="http://schemas.openxmlformats.org/officeDocument/2006/relationships/hyperlink" Target="https://drive.google.com/file/d/116ICMnxHGBBD-NrM_LE-zTbwt1wett7t/view?usp=drivesdk" TargetMode="External"/><Relationship Id="rId1298" Type="http://schemas.openxmlformats.org/officeDocument/2006/relationships/hyperlink" Target="https://drive.google.com/file/d/1BG-AkKRHrBDIU_0OWaMnztuOjW3_rhXE/view?usp=drivesdk" TargetMode="External"/><Relationship Id="rId4322" Type="http://schemas.openxmlformats.org/officeDocument/2006/relationships/hyperlink" Target="https://drive.google.com/file/d/1GN12w4RtQrDwCflIDV0y94-w4Wk5UQkM/view?usp=drivesdk" TargetMode="External"/><Relationship Id="rId464" Type="http://schemas.openxmlformats.org/officeDocument/2006/relationships/hyperlink" Target="https://drive.google.com/file/d/1caUQsvGGceQuX_5HlD0IUdG-MEM8J-e5/view?usp=drivesdk" TargetMode="External"/><Relationship Id="rId1299" Type="http://schemas.openxmlformats.org/officeDocument/2006/relationships/hyperlink" Target="https://drive.google.com/file/d/1NENIC-saySmsOY2EJA-78dDYhE6glJnM/view?usp=drivesdk" TargetMode="External"/><Relationship Id="rId4325" Type="http://schemas.openxmlformats.org/officeDocument/2006/relationships/hyperlink" Target="https://drive.google.com/file/d/1GnNIyNaIibT36sdLK6uc5TVQHa_Cfqz6/view?usp=drivesdk" TargetMode="External"/><Relationship Id="rId463" Type="http://schemas.openxmlformats.org/officeDocument/2006/relationships/hyperlink" Target="https://drive.google.com/file/d/1HhFKuYnznm6a_t_zuhtpYcfmckTXMmGB/view?usp=drivesdk" TargetMode="External"/><Relationship Id="rId4324" Type="http://schemas.openxmlformats.org/officeDocument/2006/relationships/hyperlink" Target="https://drive.google.com/file/d/1d7tzR-g6usTCT6Amj1X6_E8tRTf9dC4a/view?usp=drivesdk" TargetMode="External"/><Relationship Id="rId4316" Type="http://schemas.openxmlformats.org/officeDocument/2006/relationships/hyperlink" Target="https://drive.google.com/file/d/1wOwUaj6Xx_EPD5naKTqyvrt-Br-e_nk-/view?usp=drivesdk" TargetMode="External"/><Relationship Id="rId4315" Type="http://schemas.openxmlformats.org/officeDocument/2006/relationships/hyperlink" Target="https://drive.google.com/file/d/14mU4yj3WqJE8P8g5LP4zm3KZoHzmjUUq/view?usp=drivesdk" TargetMode="External"/><Relationship Id="rId4318" Type="http://schemas.openxmlformats.org/officeDocument/2006/relationships/hyperlink" Target="https://drive.google.com/file/d/1HbBoUS0vYK8RPLG23UnLCeeDGZpRNpJs/view?usp=drivesdk" TargetMode="External"/><Relationship Id="rId4317" Type="http://schemas.openxmlformats.org/officeDocument/2006/relationships/hyperlink" Target="https://drive.google.com/file/d/1l759lt3zwjV0idtjoM5x6N4mn_akfEHT/view?usp=drivesdk" TargetMode="External"/><Relationship Id="rId4319" Type="http://schemas.openxmlformats.org/officeDocument/2006/relationships/hyperlink" Target="https://drive.google.com/file/d/1-kJwr0paiwKtqFsMSBTvWzUMNDCHwbhQ/view?usp=drivesdk" TargetMode="External"/><Relationship Id="rId459" Type="http://schemas.openxmlformats.org/officeDocument/2006/relationships/hyperlink" Target="https://drive.google.com/file/d/1HSuRWslKbUE01AXfsYYbB12p_gNImVoN/view?usp=drivesdk" TargetMode="External"/><Relationship Id="rId458" Type="http://schemas.openxmlformats.org/officeDocument/2006/relationships/hyperlink" Target="https://drive.google.com/file/d/1JxADf3NvHLz47kxx47AyXnmh-uJJYKqK/view?usp=drivesdk" TargetMode="External"/><Relationship Id="rId457" Type="http://schemas.openxmlformats.org/officeDocument/2006/relationships/hyperlink" Target="https://drive.google.com/file/d/1KrWAv98JEerdagJtoRazbOXVYlGO979U/view?usp=drivesdk" TargetMode="External"/><Relationship Id="rId456" Type="http://schemas.openxmlformats.org/officeDocument/2006/relationships/hyperlink" Target="https://drive.google.com/file/d/1oSMpmvUxA2TaqVAG9D8-PapBC1s6y58_/view?usp=drivesdk" TargetMode="External"/><Relationship Id="rId1280" Type="http://schemas.openxmlformats.org/officeDocument/2006/relationships/hyperlink" Target="https://drive.google.com/file/d/1emkGWF0FTiaDgZwajfqMOvDQVwYUYF1Y/view?usp=drivesdk" TargetMode="External"/><Relationship Id="rId1281" Type="http://schemas.openxmlformats.org/officeDocument/2006/relationships/hyperlink" Target="https://drive.google.com/file/d/1PWIOco3vbdLN_SKDVOEZJncoXuciWQYA/view?usp=drivesdk" TargetMode="External"/><Relationship Id="rId451" Type="http://schemas.openxmlformats.org/officeDocument/2006/relationships/hyperlink" Target="https://drive.google.com/file/d/1rwk40-WpD5DCnNi6-29Lf2kIVAtviIFK/view?usp=drivesdk" TargetMode="External"/><Relationship Id="rId1282" Type="http://schemas.openxmlformats.org/officeDocument/2006/relationships/hyperlink" Target="https://drive.google.com/file/d/1Yk3c07UrRddfDbGx9LEfuT-aiw3HHhHO/view?usp=drivesdk" TargetMode="External"/><Relationship Id="rId450" Type="http://schemas.openxmlformats.org/officeDocument/2006/relationships/hyperlink" Target="https://drive.google.com/file/d/1X1VwGgMWTlGNzcmNyYSvwVe0rV9QV2uR/view?usp=drivesdk" TargetMode="External"/><Relationship Id="rId1283" Type="http://schemas.openxmlformats.org/officeDocument/2006/relationships/hyperlink" Target="https://drive.google.com/file/d/1f7pGtyWj94G4_-UwO53yccQ87akzxx2V/view?usp=drivesdk" TargetMode="External"/><Relationship Id="rId1284" Type="http://schemas.openxmlformats.org/officeDocument/2006/relationships/hyperlink" Target="https://drive.google.com/file/d/1U6ymUmsY1rqwXXmVLbwh484xN3QigrjT/view?usp=drivesdk" TargetMode="External"/><Relationship Id="rId4310" Type="http://schemas.openxmlformats.org/officeDocument/2006/relationships/hyperlink" Target="https://drive.google.com/file/d/1FUV6cAlyLVXisN3DWFIsApy8mSfWg-0F/view?usp=drivesdk" TargetMode="External"/><Relationship Id="rId1285" Type="http://schemas.openxmlformats.org/officeDocument/2006/relationships/hyperlink" Target="https://drive.google.com/file/d/1k1k4qCNZe3yLSJ0yHDslHBTzhod3xxD4/view?usp=drivesdk" TargetMode="External"/><Relationship Id="rId455" Type="http://schemas.openxmlformats.org/officeDocument/2006/relationships/hyperlink" Target="https://drive.google.com/file/d/1EIankLXTEdk_oN5ielskq0jB6_mzN_WY/view?usp=drivesdk" TargetMode="External"/><Relationship Id="rId1286" Type="http://schemas.openxmlformats.org/officeDocument/2006/relationships/hyperlink" Target="https://drive.google.com/file/d/1xpgBQcWijfkMGJj-oiFgJEYuwHslnBB4/view?usp=drivesdk" TargetMode="External"/><Relationship Id="rId4312" Type="http://schemas.openxmlformats.org/officeDocument/2006/relationships/hyperlink" Target="https://drive.google.com/file/d/1aDkor8fG1g7-2T99cHCGOqgY29T6JAnm/view?usp=drivesdk" TargetMode="External"/><Relationship Id="rId454" Type="http://schemas.openxmlformats.org/officeDocument/2006/relationships/hyperlink" Target="https://drive.google.com/file/d/1lyxgx1b0JPqAlKaxoAJQzWrbkQ1PZEtZ/view?usp=drivesdk" TargetMode="External"/><Relationship Id="rId1287" Type="http://schemas.openxmlformats.org/officeDocument/2006/relationships/hyperlink" Target="https://drive.google.com/file/d/1c8Qy6RIQ3KMdA4qlKDeoaUn5TxsN-Hk2/view?usp=drivesdk" TargetMode="External"/><Relationship Id="rId4311" Type="http://schemas.openxmlformats.org/officeDocument/2006/relationships/hyperlink" Target="https://drive.google.com/file/d/1tme292JV9sBElxoFgh_Vrb9E5JGgII1T/view?usp=drivesdk" TargetMode="External"/><Relationship Id="rId453" Type="http://schemas.openxmlformats.org/officeDocument/2006/relationships/hyperlink" Target="https://drive.google.com/file/d/14kfSmZK2fWL2NSPtYHyevLyhvdOTIrAp/view?usp=drivesdk" TargetMode="External"/><Relationship Id="rId1288" Type="http://schemas.openxmlformats.org/officeDocument/2006/relationships/hyperlink" Target="https://drive.google.com/file/d/1mcTgeyPWBBAw43Q5BBSeKu854LRySmAP/view?usp=drivesdk" TargetMode="External"/><Relationship Id="rId4314" Type="http://schemas.openxmlformats.org/officeDocument/2006/relationships/hyperlink" Target="https://drive.google.com/file/d/1XBfYUIZuMkJorV1PMCQzPztfyEO0fM3u/view?usp=drivesdk" TargetMode="External"/><Relationship Id="rId452" Type="http://schemas.openxmlformats.org/officeDocument/2006/relationships/hyperlink" Target="https://drive.google.com/file/d/1AEuRAWSpITEme8tmu3YMeuEal7u0fj6H/view?usp=drivesdk" TargetMode="External"/><Relationship Id="rId1289" Type="http://schemas.openxmlformats.org/officeDocument/2006/relationships/hyperlink" Target="https://drive.google.com/file/d/15GWjEMkbMGz7FBKW8_KJT0BaBTaVr3FL/view?usp=drivesdk" TargetMode="External"/><Relationship Id="rId4313" Type="http://schemas.openxmlformats.org/officeDocument/2006/relationships/hyperlink" Target="https://drive.google.com/file/d/1kVizejYZ2bVm57uM2Myg52Rq8E1QRxts/view?usp=drivesdk" TargetMode="External"/><Relationship Id="rId3018" Type="http://schemas.openxmlformats.org/officeDocument/2006/relationships/hyperlink" Target="https://drive.google.com/file/d/1PQZC-iH5ScdvqQawDHvi6QZgRxuavs22/view?usp=drivesdk" TargetMode="External"/><Relationship Id="rId4349" Type="http://schemas.openxmlformats.org/officeDocument/2006/relationships/hyperlink" Target="https://drive.google.com/file/d/1XOCxsngKusD7iSazaL7laX3bZObSuu-7/view?usp=drivesdk" TargetMode="External"/><Relationship Id="rId3017" Type="http://schemas.openxmlformats.org/officeDocument/2006/relationships/hyperlink" Target="https://drive.google.com/file/d/12M29BE1Lx3lgorb4j0Dz6lzz4jKwWenJ/view?usp=drivesdk" TargetMode="External"/><Relationship Id="rId4348" Type="http://schemas.openxmlformats.org/officeDocument/2006/relationships/hyperlink" Target="https://drive.google.com/file/d/1x5p08gOCZ5gdnjg0h2HpcjOfOFHt_D2M/view?usp=drivesdk" TargetMode="External"/><Relationship Id="rId3019" Type="http://schemas.openxmlformats.org/officeDocument/2006/relationships/hyperlink" Target="https://drive.google.com/file/d/1HKCVhtQRTwTmEL-Qgni9QgFZ5BUS5-Qe/view?usp=drivesdk" TargetMode="External"/><Relationship Id="rId491" Type="http://schemas.openxmlformats.org/officeDocument/2006/relationships/hyperlink" Target="https://drive.google.com/file/d/1M_9p00Urlrd57iBthPePzsdwPmZfw_0U/view?usp=drivesdk" TargetMode="External"/><Relationship Id="rId490" Type="http://schemas.openxmlformats.org/officeDocument/2006/relationships/hyperlink" Target="https://drive.google.com/file/d/1ullGmpTrW3hrNYg8bMaGHgtyCetbmdpU/view?usp=drivesdk" TargetMode="External"/><Relationship Id="rId489" Type="http://schemas.openxmlformats.org/officeDocument/2006/relationships/hyperlink" Target="https://drive.google.com/file/d/1vi7VMqMG8ka1Q-ZuPBuFBjyFN7lavPsG/view?usp=drivesdk" TargetMode="External"/><Relationship Id="rId484" Type="http://schemas.openxmlformats.org/officeDocument/2006/relationships/hyperlink" Target="https://drive.google.com/file/d/1ubqM4VZUub5sK7d3Drk3lBmK7G_EzrR8/view?usp=drivesdk" TargetMode="External"/><Relationship Id="rId3010" Type="http://schemas.openxmlformats.org/officeDocument/2006/relationships/hyperlink" Target="https://drive.google.com/file/d/1vPoDc6UfypvAlDKNYT101hV8MEJ04rj4/view?usp=drivesdk" TargetMode="External"/><Relationship Id="rId4341" Type="http://schemas.openxmlformats.org/officeDocument/2006/relationships/hyperlink" Target="https://drive.google.com/file/d/1qdUHDpsuj6HT-Y7rOwkN42SmeZNi06tX/view?usp=drivesdk" TargetMode="External"/><Relationship Id="rId483" Type="http://schemas.openxmlformats.org/officeDocument/2006/relationships/hyperlink" Target="https://drive.google.com/file/d/1xDtvrsmjuHLweEt1Lja-KR0RWxKRDQiT/view?usp=drivesdk" TargetMode="External"/><Relationship Id="rId4340" Type="http://schemas.openxmlformats.org/officeDocument/2006/relationships/hyperlink" Target="https://drive.google.com/file/d/1W6564h9HEWHMl2bAydgzoee4fAiB8bnX/view?usp=drivesdk" TargetMode="External"/><Relationship Id="rId482" Type="http://schemas.openxmlformats.org/officeDocument/2006/relationships/hyperlink" Target="https://drive.google.com/file/d/1ErB7kQfIUw9unrEINw6oF687-bqz4Xp3/view?usp=drivesdk" TargetMode="External"/><Relationship Id="rId3012" Type="http://schemas.openxmlformats.org/officeDocument/2006/relationships/hyperlink" Target="https://drive.google.com/file/d/1uGzMK8II-JvnVJI2FINi2nYco3Uub2ne/view?usp=drivesdk" TargetMode="External"/><Relationship Id="rId4343" Type="http://schemas.openxmlformats.org/officeDocument/2006/relationships/hyperlink" Target="https://drive.google.com/file/d/1hoYqEFXXLAj8aqmvo1H_raS5Yz3lTJ3t/view?usp=drivesdk" TargetMode="External"/><Relationship Id="rId481" Type="http://schemas.openxmlformats.org/officeDocument/2006/relationships/hyperlink" Target="https://drive.google.com/file/d/1EiBfXh07YkDg74-Mx809WoFTDKMsM1jx/view?usp=drivesdk" TargetMode="External"/><Relationship Id="rId3011" Type="http://schemas.openxmlformats.org/officeDocument/2006/relationships/hyperlink" Target="https://drive.google.com/file/d/1mZvK57MXstEqhINb_pigrXPYOPSwtZ5Z/view?usp=drivesdk" TargetMode="External"/><Relationship Id="rId4342" Type="http://schemas.openxmlformats.org/officeDocument/2006/relationships/hyperlink" Target="https://drive.google.com/file/d/1tVA43oPtKpV13yKo5NRaMyBa04L8X6Uo/view?usp=drivesdk" TargetMode="External"/><Relationship Id="rId488" Type="http://schemas.openxmlformats.org/officeDocument/2006/relationships/hyperlink" Target="https://drive.google.com/file/d/1Ed5zRUAdeOWUSoHjdRLyASRB1VxVC6Fa/view?usp=drivesdk" TargetMode="External"/><Relationship Id="rId3014" Type="http://schemas.openxmlformats.org/officeDocument/2006/relationships/hyperlink" Target="https://drive.google.com/file/d/17JIFiIVeHTagofxcM2gS69u4nP7RKR9S/view?usp=drivesdk" TargetMode="External"/><Relationship Id="rId4345" Type="http://schemas.openxmlformats.org/officeDocument/2006/relationships/hyperlink" Target="https://drive.google.com/file/d/13ojF9wWGMYI78OIaYXGxLigGFmdpk3ux/view?usp=drivesdk" TargetMode="External"/><Relationship Id="rId487" Type="http://schemas.openxmlformats.org/officeDocument/2006/relationships/hyperlink" Target="https://drive.google.com/file/d/1oqEe2QXK6_XReEPjAto3tI8kUjnWv44v/view?usp=drivesdk" TargetMode="External"/><Relationship Id="rId3013" Type="http://schemas.openxmlformats.org/officeDocument/2006/relationships/hyperlink" Target="https://drive.google.com/file/d/1AEfLHLKkI1cZBvpySk08ol8iRmW7Vc6t/view?usp=drivesdk" TargetMode="External"/><Relationship Id="rId4344" Type="http://schemas.openxmlformats.org/officeDocument/2006/relationships/hyperlink" Target="https://drive.google.com/file/d/1sB454thJyao04WoQQ1RG7iTvYkYmIYsY/view?usp=drivesdk" TargetMode="External"/><Relationship Id="rId486" Type="http://schemas.openxmlformats.org/officeDocument/2006/relationships/hyperlink" Target="https://drive.google.com/file/d/1yBSqTihOr0BgEJVtf6pBgHiDMk-EZzlG/view?usp=drivesdk" TargetMode="External"/><Relationship Id="rId3016" Type="http://schemas.openxmlformats.org/officeDocument/2006/relationships/hyperlink" Target="https://drive.google.com/file/d/1TN5xs8_wf6YRBiAhvxmLnGizbofK2u9K/view?usp=drivesdk" TargetMode="External"/><Relationship Id="rId4347" Type="http://schemas.openxmlformats.org/officeDocument/2006/relationships/hyperlink" Target="https://drive.google.com/file/d/1PmnF9nTp6ACzH9ZG5Il44lj8-MUC3if2/view?usp=drivesdk" TargetMode="External"/><Relationship Id="rId485" Type="http://schemas.openxmlformats.org/officeDocument/2006/relationships/hyperlink" Target="https://drive.google.com/file/d/1ahvQHqQaKlF8aP7PlyXYGSrcQG-lftcK/view?usp=drivesdk" TargetMode="External"/><Relationship Id="rId3015" Type="http://schemas.openxmlformats.org/officeDocument/2006/relationships/hyperlink" Target="https://drive.google.com/file/d/1ZOADdAAbi3SsaDwYnc8wZ9K5OtGW_vFl/view?usp=drivesdk" TargetMode="External"/><Relationship Id="rId4346" Type="http://schemas.openxmlformats.org/officeDocument/2006/relationships/hyperlink" Target="https://drive.google.com/file/d/1RxmJ3HQn50vrmVIyRhocYlIXU2EN6Ypk/view?usp=drivesdk" TargetMode="External"/><Relationship Id="rId3007" Type="http://schemas.openxmlformats.org/officeDocument/2006/relationships/hyperlink" Target="https://drive.google.com/file/d/1ro0i8Hf2h3J0FafcUSNfL6Nhtx-GdJ4R/view?usp=drivesdk" TargetMode="External"/><Relationship Id="rId4338" Type="http://schemas.openxmlformats.org/officeDocument/2006/relationships/hyperlink" Target="https://drive.google.com/file/d/1LWHngrhtqC1nZlOQOrgKwqF1L-SiUrUq/view?usp=drivesdk" TargetMode="External"/><Relationship Id="rId3006" Type="http://schemas.openxmlformats.org/officeDocument/2006/relationships/hyperlink" Target="https://drive.google.com/file/d/1Zx6F7pbSkr3rtaJWnNrl0pUuB6-WDoKt/view?usp=drivesdk" TargetMode="External"/><Relationship Id="rId4337" Type="http://schemas.openxmlformats.org/officeDocument/2006/relationships/hyperlink" Target="https://drive.google.com/file/d/1IZ2u13hV50HntTb8sQsiNC1dm33e9d9t/view?usp=drivesdk" TargetMode="External"/><Relationship Id="rId3009" Type="http://schemas.openxmlformats.org/officeDocument/2006/relationships/hyperlink" Target="https://drive.google.com/file/d/1zXE5SHAsC5GDkli0kuY4H4hG9qjaRqmo/view?usp=drivesdk" TargetMode="External"/><Relationship Id="rId3008" Type="http://schemas.openxmlformats.org/officeDocument/2006/relationships/hyperlink" Target="https://drive.google.com/file/d/1izMkDCw3eloND1BHaRZzwihu58ruh-IQ/view?usp=drivesdk" TargetMode="External"/><Relationship Id="rId4339" Type="http://schemas.openxmlformats.org/officeDocument/2006/relationships/hyperlink" Target="https://drive.google.com/file/d/1ma95HTpVf31YYEdFUd7vdF-MG54lZrex/view?usp=drivesdk" TargetMode="External"/><Relationship Id="rId480" Type="http://schemas.openxmlformats.org/officeDocument/2006/relationships/hyperlink" Target="https://drive.google.com/file/d/1PrfPsKBxUhROm8Cm6IBY1f-qodtVTVqa/view?usp=drivesdk" TargetMode="External"/><Relationship Id="rId479" Type="http://schemas.openxmlformats.org/officeDocument/2006/relationships/hyperlink" Target="https://drive.google.com/file/d/1pr601J_n6uuJko5-Jc8lr-Yy1FRvZkPv/view?usp=drivesdk" TargetMode="External"/><Relationship Id="rId478" Type="http://schemas.openxmlformats.org/officeDocument/2006/relationships/hyperlink" Target="https://drive.google.com/file/d/1FcWM-4ThGQXk6YPB8BA9cVYzjvnYMXa5/view?usp=drivesdk" TargetMode="External"/><Relationship Id="rId473" Type="http://schemas.openxmlformats.org/officeDocument/2006/relationships/hyperlink" Target="https://drive.google.com/file/d/1EFBrC9dGc1Cye9AJ1aG1zoIVwpmTh6Ks/view?usp=drivesdk" TargetMode="External"/><Relationship Id="rId4330" Type="http://schemas.openxmlformats.org/officeDocument/2006/relationships/hyperlink" Target="https://drive.google.com/file/d/11QW9ZnI1VY3jdTUIVxlDlQH_bPhYiOYF/view?usp=drivesdk" TargetMode="External"/><Relationship Id="rId472" Type="http://schemas.openxmlformats.org/officeDocument/2006/relationships/hyperlink" Target="https://drive.google.com/file/d/172WYhaNGYFFob9vWSeZRAiggGvGisZiX/view?usp=drivesdk" TargetMode="External"/><Relationship Id="rId471" Type="http://schemas.openxmlformats.org/officeDocument/2006/relationships/hyperlink" Target="https://drive.google.com/file/d/1QgF0btgCSQNaE1uSWcyXSwzVEhy0tjuh/view?usp=drivesdk" TargetMode="External"/><Relationship Id="rId3001" Type="http://schemas.openxmlformats.org/officeDocument/2006/relationships/hyperlink" Target="https://drive.google.com/file/d/1b08AeFWEOsKv1Fpjs00Lojm-UOFKTZhs/view?usp=drivesdk" TargetMode="External"/><Relationship Id="rId4332" Type="http://schemas.openxmlformats.org/officeDocument/2006/relationships/hyperlink" Target="https://drive.google.com/file/d/1ViOHd0fbcT0FyQCgSiqxO44kn_psntrL/view?usp=drivesdk" TargetMode="External"/><Relationship Id="rId470" Type="http://schemas.openxmlformats.org/officeDocument/2006/relationships/hyperlink" Target="https://drive.google.com/file/d/1Eb5mjGymEj1w_Ers4CVknVcckLzxhrVI/view?usp=drivesdk" TargetMode="External"/><Relationship Id="rId3000" Type="http://schemas.openxmlformats.org/officeDocument/2006/relationships/hyperlink" Target="https://drive.google.com/file/d/1j3_dhjpRM1If0kM9KYnx6XPO6ZPoDP6F/view?usp=drivesdk" TargetMode="External"/><Relationship Id="rId4331" Type="http://schemas.openxmlformats.org/officeDocument/2006/relationships/hyperlink" Target="https://drive.google.com/file/d/1PMYrI2hOviLEw4TIF4_dQFxS0lPMCwk3/view?usp=drivesdk" TargetMode="External"/><Relationship Id="rId477" Type="http://schemas.openxmlformats.org/officeDocument/2006/relationships/hyperlink" Target="https://drive.google.com/file/d/1O3RvOB7VnQ2Z4qYYkICwZIvcQUVIMr4H/view?usp=drivesdk" TargetMode="External"/><Relationship Id="rId3003" Type="http://schemas.openxmlformats.org/officeDocument/2006/relationships/hyperlink" Target="https://drive.google.com/file/d/1OBWjVZ23HhSUnbMr5JheiNO_1iwmbu2l/view?usp=drivesdk" TargetMode="External"/><Relationship Id="rId4334" Type="http://schemas.openxmlformats.org/officeDocument/2006/relationships/hyperlink" Target="https://drive.google.com/file/d/1U41Du_sgKuCuoz6sQyb39EZxWMlCASJZ/view?usp=drivesdk" TargetMode="External"/><Relationship Id="rId476" Type="http://schemas.openxmlformats.org/officeDocument/2006/relationships/hyperlink" Target="https://drive.google.com/file/d/1iS-GE4wlB9YpAWwd49gvT50b-hRKdD0h/view?usp=drivesdk" TargetMode="External"/><Relationship Id="rId3002" Type="http://schemas.openxmlformats.org/officeDocument/2006/relationships/hyperlink" Target="https://drive.google.com/file/d/1nkORFmXiFeleXYVTeA-XWC5jd-KvxyOD/view?usp=drivesdk" TargetMode="External"/><Relationship Id="rId4333" Type="http://schemas.openxmlformats.org/officeDocument/2006/relationships/hyperlink" Target="https://drive.google.com/file/d/1MqhIS37z02YzZfbMaSLzQEJ4fOUHdGvV/view?usp=drivesdk" TargetMode="External"/><Relationship Id="rId475" Type="http://schemas.openxmlformats.org/officeDocument/2006/relationships/hyperlink" Target="https://drive.google.com/file/d/1mydIHxXH4T2WCW3olfE_78xvg69xKVz8/view?usp=drivesdk" TargetMode="External"/><Relationship Id="rId3005" Type="http://schemas.openxmlformats.org/officeDocument/2006/relationships/hyperlink" Target="https://drive.google.com/file/d/1rOaGfnPFhuP8SdZ1spwkQ2H3P-rT5ro_/view?usp=drivesdk" TargetMode="External"/><Relationship Id="rId4336" Type="http://schemas.openxmlformats.org/officeDocument/2006/relationships/hyperlink" Target="https://drive.google.com/file/d/1d4yfCfeLXWtFHs5JZocEJKxitNl3fvJc/view?usp=drivesdk" TargetMode="External"/><Relationship Id="rId474" Type="http://schemas.openxmlformats.org/officeDocument/2006/relationships/hyperlink" Target="https://drive.google.com/file/d/1tJDKKeibt67aeSUUJ1uGoWerYU5z1KiL/view?usp=drivesdk" TargetMode="External"/><Relationship Id="rId3004" Type="http://schemas.openxmlformats.org/officeDocument/2006/relationships/hyperlink" Target="https://drive.google.com/file/d/1Y31Wskym43fEAwx6m_62UcBKqbPekXYs/view?usp=drivesdk" TargetMode="External"/><Relationship Id="rId4335" Type="http://schemas.openxmlformats.org/officeDocument/2006/relationships/hyperlink" Target="https://drive.google.com/file/d/171lVO3bBerkSN_6AOPNX9pkmIu__WBLg/view?usp=drivesdk" TargetMode="External"/><Relationship Id="rId1257" Type="http://schemas.openxmlformats.org/officeDocument/2006/relationships/hyperlink" Target="https://drive.google.com/file/d/1roO-RAe9vc3B7fG8A-Vi5KNfSYikmgSp/view?usp=drivesdk" TargetMode="External"/><Relationship Id="rId2588" Type="http://schemas.openxmlformats.org/officeDocument/2006/relationships/hyperlink" Target="https://drive.google.com/file/d/1u133LG9oVQgtVf5H6O9KoPSce6ftSZH9/view?usp=drivesdk" TargetMode="External"/><Relationship Id="rId1258" Type="http://schemas.openxmlformats.org/officeDocument/2006/relationships/hyperlink" Target="https://drive.google.com/file/d/1XOLxeyp-yMxXKX0f-YkcWh9inpiowlvy/view?usp=drivesdk" TargetMode="External"/><Relationship Id="rId2589" Type="http://schemas.openxmlformats.org/officeDocument/2006/relationships/hyperlink" Target="https://drive.google.com/file/d/1aqu91QsFPRIZjkkcu1HOm4KHSFg4Gqw2/view?usp=drivesdk" TargetMode="External"/><Relationship Id="rId1259" Type="http://schemas.openxmlformats.org/officeDocument/2006/relationships/hyperlink" Target="https://drive.google.com/file/d/1HZJgvzD-ei9lNXbKt2no898KD7GrC3Z8/view?usp=drivesdk" TargetMode="External"/><Relationship Id="rId426" Type="http://schemas.openxmlformats.org/officeDocument/2006/relationships/hyperlink" Target="https://drive.google.com/file/d/1J8oo-8W1A5G7diaTRop9KUzSqIpL59Ai/view?usp=drivesdk" TargetMode="External"/><Relationship Id="rId425" Type="http://schemas.openxmlformats.org/officeDocument/2006/relationships/hyperlink" Target="https://drive.google.com/file/d/1_WsCR2csuQ36OPNg--I9RkRZ4lj8N35Q/view?usp=drivesdk" TargetMode="External"/><Relationship Id="rId424" Type="http://schemas.openxmlformats.org/officeDocument/2006/relationships/hyperlink" Target="https://drive.google.com/file/d/1U-EMvjBPKZRL0yHON_ZOVxzzEuNoEWFb/view?usp=drivesdk" TargetMode="External"/><Relationship Id="rId423" Type="http://schemas.openxmlformats.org/officeDocument/2006/relationships/hyperlink" Target="https://drive.google.com/file/d/1eCPfIzoCFRSRO7Hc7MA4pwPQxnHen9u-/view?usp=drivesdk" TargetMode="External"/><Relationship Id="rId429" Type="http://schemas.openxmlformats.org/officeDocument/2006/relationships/hyperlink" Target="https://drive.google.com/file/d/14jtsLZqG3Rp2rjO8-lyzsBVIVu8pRUBd/view?usp=drivesdk" TargetMode="External"/><Relationship Id="rId428" Type="http://schemas.openxmlformats.org/officeDocument/2006/relationships/hyperlink" Target="https://drive.google.com/file/d/1n2Qx8UeGfaFnJpQ5sIa7bjosECHQTnU_/view?usp=drivesdk" TargetMode="External"/><Relationship Id="rId427" Type="http://schemas.openxmlformats.org/officeDocument/2006/relationships/hyperlink" Target="https://drive.google.com/file/d/1e2FgAJJbOC6hJa9nfUpmMeTaSmPFQP_T/view?usp=drivesdk" TargetMode="External"/><Relationship Id="rId2580" Type="http://schemas.openxmlformats.org/officeDocument/2006/relationships/hyperlink" Target="https://drive.google.com/file/d/1p97nrl5LotXkPAKTCI4ZUSiFod4zVonJ/view?usp=drivesdk" TargetMode="External"/><Relationship Id="rId1250" Type="http://schemas.openxmlformats.org/officeDocument/2006/relationships/hyperlink" Target="https://drive.google.com/file/d/1Adz5kOBpM64tFLnvLLGFXHR5SLxxEUEc/view?usp=drivesdk" TargetMode="External"/><Relationship Id="rId2581" Type="http://schemas.openxmlformats.org/officeDocument/2006/relationships/hyperlink" Target="https://drive.google.com/file/d/1JMJJ3FTU5nUUIaIUHzIfZmEj68cjjpDB/view?usp=drivesdk" TargetMode="External"/><Relationship Id="rId1251" Type="http://schemas.openxmlformats.org/officeDocument/2006/relationships/hyperlink" Target="https://drive.google.com/file/d/1oXNsFvf5yZCW9F-a6ceAppikFunxAWkl/view?usp=drivesdk" TargetMode="External"/><Relationship Id="rId2582" Type="http://schemas.openxmlformats.org/officeDocument/2006/relationships/hyperlink" Target="https://drive.google.com/file/d/1-Qa1ITwPkuQiRgmgG0Fc6nQyTa3PZ4je/view?usp=drivesdk" TargetMode="External"/><Relationship Id="rId1252" Type="http://schemas.openxmlformats.org/officeDocument/2006/relationships/hyperlink" Target="https://drive.google.com/file/d/1oOqhN2x4rWogHiyew3toWi_wI9bH1L-S/view?usp=drivesdk" TargetMode="External"/><Relationship Id="rId2583" Type="http://schemas.openxmlformats.org/officeDocument/2006/relationships/hyperlink" Target="https://drive.google.com/file/d/1j2KEGWZ4iTpg5ZNPJUYnQ7PN_O2Uv_E2/view?usp=drivesdk" TargetMode="External"/><Relationship Id="rId422" Type="http://schemas.openxmlformats.org/officeDocument/2006/relationships/hyperlink" Target="https://drive.google.com/file/d/1WHLgE5FQwpWVpY9XBptVHiIXGwtvTaTl/view?usp=drivesdk" TargetMode="External"/><Relationship Id="rId1253" Type="http://schemas.openxmlformats.org/officeDocument/2006/relationships/hyperlink" Target="https://drive.google.com/file/d/18duKuG1Q7fPX4vjGT3MJHpFbBNQdHf0J/view?usp=drivesdk" TargetMode="External"/><Relationship Id="rId2584" Type="http://schemas.openxmlformats.org/officeDocument/2006/relationships/hyperlink" Target="https://drive.google.com/file/d/1NH7mFLPKJ0aNu1mNgfq8NKR4TU2kcQv7/view?usp=drivesdk" TargetMode="External"/><Relationship Id="rId421" Type="http://schemas.openxmlformats.org/officeDocument/2006/relationships/hyperlink" Target="https://drive.google.com/file/d/1pMTbTadFbiCGYLbG7bqimehlb-R3UVb9/view?usp=drivesdk" TargetMode="External"/><Relationship Id="rId1254" Type="http://schemas.openxmlformats.org/officeDocument/2006/relationships/hyperlink" Target="https://drive.google.com/file/d/1Gf-kFGDP4y6E2WM6exAiBurfClQLo0Mm/view?usp=drivesdk" TargetMode="External"/><Relationship Id="rId2585" Type="http://schemas.openxmlformats.org/officeDocument/2006/relationships/hyperlink" Target="https://drive.google.com/file/d/1xdUmGarAkdHrwUYeGbYn8wi_CjwB9aHJ/view?usp=drivesdk" TargetMode="External"/><Relationship Id="rId420" Type="http://schemas.openxmlformats.org/officeDocument/2006/relationships/hyperlink" Target="https://drive.google.com/file/d/1uqUbbbQkC-u0eru1dSga72SgKJ9a64Db/view?usp=drivesdk" TargetMode="External"/><Relationship Id="rId1255" Type="http://schemas.openxmlformats.org/officeDocument/2006/relationships/hyperlink" Target="https://drive.google.com/file/d/1P2Wm9z5cWwmEPeazKV2p5K-avpRr_Son/view?usp=drivesdk" TargetMode="External"/><Relationship Id="rId2586" Type="http://schemas.openxmlformats.org/officeDocument/2006/relationships/hyperlink" Target="https://drive.google.com/file/d/1LMGLKvRzHhpdYiPuyMcOllejAAuReNKE/view?usp=drivesdk" TargetMode="External"/><Relationship Id="rId1256" Type="http://schemas.openxmlformats.org/officeDocument/2006/relationships/hyperlink" Target="https://drive.google.com/file/d/1DFqs-2gt7bowg2x35lBTNzM-LlEMYTtg/view?usp=drivesdk" TargetMode="External"/><Relationship Id="rId2587" Type="http://schemas.openxmlformats.org/officeDocument/2006/relationships/hyperlink" Target="https://drive.google.com/file/d/1oBMUvhcDxPUgE_Vxibn5rKaDTu82HU6I/view?usp=drivesdk" TargetMode="External"/><Relationship Id="rId1246" Type="http://schemas.openxmlformats.org/officeDocument/2006/relationships/hyperlink" Target="https://drive.google.com/file/d/1_eb4cME496hU_NIgakfkIv5CNtI5hXj4/view?usp=drivesdk" TargetMode="External"/><Relationship Id="rId2577" Type="http://schemas.openxmlformats.org/officeDocument/2006/relationships/hyperlink" Target="https://drive.google.com/file/d/1jTXfdhFOv978-bCzgiB1zAUij2APCJm_/view?usp=drivesdk" TargetMode="External"/><Relationship Id="rId1247" Type="http://schemas.openxmlformats.org/officeDocument/2006/relationships/hyperlink" Target="https://drive.google.com/file/d/1bxcIyCgKOq9HdA98HKdHyv-NH0tgYAYm/view?usp=drivesdk" TargetMode="External"/><Relationship Id="rId2578" Type="http://schemas.openxmlformats.org/officeDocument/2006/relationships/hyperlink" Target="https://drive.google.com/file/d/1KIc00PLSIuHnWhnskWw8Gl301IhkAIl6/view?usp=drivesdk" TargetMode="External"/><Relationship Id="rId1248" Type="http://schemas.openxmlformats.org/officeDocument/2006/relationships/hyperlink" Target="https://drive.google.com/file/d/1pswXMua8XfSzD4KETLNnRjzngYIG2LOO/view?usp=drivesdk" TargetMode="External"/><Relationship Id="rId2579" Type="http://schemas.openxmlformats.org/officeDocument/2006/relationships/hyperlink" Target="https://drive.google.com/file/d/1csJu2cmueyeakIl3T911zrwfkhUpTwPm/view?usp=drivesdk" TargetMode="External"/><Relationship Id="rId1249" Type="http://schemas.openxmlformats.org/officeDocument/2006/relationships/hyperlink" Target="https://drive.google.com/file/d/18b81EmXz4As5OZRoQPNdM8iIuwfIr7bA/view?usp=drivesdk" TargetMode="External"/><Relationship Id="rId415" Type="http://schemas.openxmlformats.org/officeDocument/2006/relationships/hyperlink" Target="https://drive.google.com/file/d/1S_FxfAYx0sMbkoCmVHR7QFHa9l5qJYOV/view?usp=drivesdk" TargetMode="External"/><Relationship Id="rId414" Type="http://schemas.openxmlformats.org/officeDocument/2006/relationships/hyperlink" Target="https://drive.google.com/file/d/1iyX8JYDu6v2t_RtI9ke6gnQUcA2MK09p/view?usp=drivesdk" TargetMode="External"/><Relationship Id="rId413" Type="http://schemas.openxmlformats.org/officeDocument/2006/relationships/hyperlink" Target="https://drive.google.com/file/d/1BVgYuf_qmlwE-A2Cnjrcek4GoubOrch1/view?usp=drivesdk" TargetMode="External"/><Relationship Id="rId412" Type="http://schemas.openxmlformats.org/officeDocument/2006/relationships/hyperlink" Target="https://drive.google.com/file/d/1gZfa2z1UZcjZQL1nLmQWnMcx1z1DKjGc/view?usp=drivesdk" TargetMode="External"/><Relationship Id="rId419" Type="http://schemas.openxmlformats.org/officeDocument/2006/relationships/hyperlink" Target="https://drive.google.com/file/d/1K8iYiwFZeINmruQInEJAqdLPd4X_JVL0/view?usp=drivesdk" TargetMode="External"/><Relationship Id="rId418" Type="http://schemas.openxmlformats.org/officeDocument/2006/relationships/hyperlink" Target="https://drive.google.com/file/d/1o98IVWOBRF3kF94cO3yzP_kK1mVOd36y/view?usp=drivesdk" TargetMode="External"/><Relationship Id="rId417" Type="http://schemas.openxmlformats.org/officeDocument/2006/relationships/hyperlink" Target="https://drive.google.com/file/d/1bIBiaHRoP7U2BJtPR-EYa9clVqIqSQpM/view?usp=drivesdk" TargetMode="External"/><Relationship Id="rId416" Type="http://schemas.openxmlformats.org/officeDocument/2006/relationships/hyperlink" Target="https://drive.google.com/file/d/1uBqKEDsqqmWiOITslMfLWTVfV-_bbqyh/view?usp=drivesdk" TargetMode="External"/><Relationship Id="rId2570" Type="http://schemas.openxmlformats.org/officeDocument/2006/relationships/hyperlink" Target="https://drive.google.com/file/d/1ACUFRxYS4lILcMyMlDCd01TPAel3-VLB/view?usp=drivesdk" TargetMode="External"/><Relationship Id="rId1240" Type="http://schemas.openxmlformats.org/officeDocument/2006/relationships/hyperlink" Target="https://drive.google.com/file/d/1yzKwDbjzEiUr3QLldxwosNZC-QbTcOYU/view?usp=drivesdk" TargetMode="External"/><Relationship Id="rId2571" Type="http://schemas.openxmlformats.org/officeDocument/2006/relationships/hyperlink" Target="https://drive.google.com/file/d/1fIxnX8MP9quA81Eh5vMNE_geDUQuwJL2/view?usp=drivesdk" TargetMode="External"/><Relationship Id="rId1241" Type="http://schemas.openxmlformats.org/officeDocument/2006/relationships/hyperlink" Target="https://drive.google.com/file/d/1k7r0-IjgdaRxOXWS_OWnlPZ_ZVyalIQd/view?usp=drivesdk" TargetMode="External"/><Relationship Id="rId2572" Type="http://schemas.openxmlformats.org/officeDocument/2006/relationships/hyperlink" Target="https://drive.google.com/file/d/1tbQyvUPxYz2homyFYlBnH1i2GTtl7JrU/view?usp=drivesdk" TargetMode="External"/><Relationship Id="rId411" Type="http://schemas.openxmlformats.org/officeDocument/2006/relationships/hyperlink" Target="https://drive.google.com/file/d/1jc4ai09kkSv6pWqTUoV_5CbxOGnRtvlV/view?usp=drivesdk" TargetMode="External"/><Relationship Id="rId1242" Type="http://schemas.openxmlformats.org/officeDocument/2006/relationships/hyperlink" Target="https://drive.google.com/file/d/1wXZaGsdd1uB2qiUyZsRj4c1vgnHgr9nX/view?usp=drivesdk" TargetMode="External"/><Relationship Id="rId2573" Type="http://schemas.openxmlformats.org/officeDocument/2006/relationships/hyperlink" Target="https://drive.google.com/file/d/15r58dyNwVTy_4_E2vhJlroPLkMOHEI_Q/view?usp=drivesdk" TargetMode="External"/><Relationship Id="rId410" Type="http://schemas.openxmlformats.org/officeDocument/2006/relationships/hyperlink" Target="https://drive.google.com/file/d/11fEuqxoNHBx9MUJm5CsgGEUAT_huyoNQ/view?usp=drivesdk" TargetMode="External"/><Relationship Id="rId1243" Type="http://schemas.openxmlformats.org/officeDocument/2006/relationships/hyperlink" Target="https://drive.google.com/file/d/1kVwgGUff1xrVOioJg6ko88t2vzxeo-H9/view?usp=drivesdk" TargetMode="External"/><Relationship Id="rId2574" Type="http://schemas.openxmlformats.org/officeDocument/2006/relationships/hyperlink" Target="https://drive.google.com/file/d/16MEPxxAk4Rhx0cQ72x0v8lNjb3lS_lCT/view?usp=drivesdk" TargetMode="External"/><Relationship Id="rId1244" Type="http://schemas.openxmlformats.org/officeDocument/2006/relationships/hyperlink" Target="https://drive.google.com/file/d/1XBczpoYkUmnAgPBi2jCcXdyDgJC-NQW3/view?usp=drivesdk" TargetMode="External"/><Relationship Id="rId2575" Type="http://schemas.openxmlformats.org/officeDocument/2006/relationships/hyperlink" Target="https://drive.google.com/file/d/1RjnOM4zcJ9DDjDEnE7B4mEAnobbmtXIo/view?usp=drivesdk" TargetMode="External"/><Relationship Id="rId1245" Type="http://schemas.openxmlformats.org/officeDocument/2006/relationships/hyperlink" Target="https://drive.google.com/file/d/1vHAzmoWOx-HW63tyZ0_mU5rFedYqKhfy/view?usp=drivesdk" TargetMode="External"/><Relationship Id="rId2576" Type="http://schemas.openxmlformats.org/officeDocument/2006/relationships/hyperlink" Target="https://drive.google.com/file/d/1U2_nlHAox-sd-CHg23DWLdbnrf9r2GCv/view?usp=drivesdk" TargetMode="External"/><Relationship Id="rId1279" Type="http://schemas.openxmlformats.org/officeDocument/2006/relationships/hyperlink" Target="https://drive.google.com/file/d/1RMvMUHTLeAEYEjw9IbaI9-lJzFc6JGHM/view?usp=drivesdk" TargetMode="External"/><Relationship Id="rId4305" Type="http://schemas.openxmlformats.org/officeDocument/2006/relationships/hyperlink" Target="https://drive.google.com/file/d/1vMBeSrDemuxigTr2fhewc74e8SP1ekvJ/view?usp=drivesdk" TargetMode="External"/><Relationship Id="rId4304" Type="http://schemas.openxmlformats.org/officeDocument/2006/relationships/hyperlink" Target="https://drive.google.com/file/d/1p3Jzqa8RdOFXz-dJGQ8bn0BsO5Wb2XCk/view?usp=drivesdk" TargetMode="External"/><Relationship Id="rId4307" Type="http://schemas.openxmlformats.org/officeDocument/2006/relationships/hyperlink" Target="https://drive.google.com/file/d/1kkMzuwREwXY8ao5_aFFCXla4FtCruzQx/view?usp=drivesdk" TargetMode="External"/><Relationship Id="rId4306" Type="http://schemas.openxmlformats.org/officeDocument/2006/relationships/hyperlink" Target="https://drive.google.com/file/d/1OLO_svjoszSw0uPrBwmHPsL5vehRcwWQ/view?usp=drivesdk" TargetMode="External"/><Relationship Id="rId4309" Type="http://schemas.openxmlformats.org/officeDocument/2006/relationships/hyperlink" Target="https://drive.google.com/file/d/134nh8IVuvHS022JldDGdn4hObSp_RUkL/view?usp=drivesdk" TargetMode="External"/><Relationship Id="rId4308" Type="http://schemas.openxmlformats.org/officeDocument/2006/relationships/hyperlink" Target="https://drive.google.com/file/d/1SZM6EC8ZIaTMPTq6WBaLggHzv99VtnmB/view?usp=drivesdk" TargetMode="External"/><Relationship Id="rId448" Type="http://schemas.openxmlformats.org/officeDocument/2006/relationships/hyperlink" Target="https://drive.google.com/file/d/1Ot2Cx1ElMXf6LBElyPHsTW8vvSspqgd2/view?usp=drivesdk" TargetMode="External"/><Relationship Id="rId447" Type="http://schemas.openxmlformats.org/officeDocument/2006/relationships/hyperlink" Target="https://drive.google.com/file/d/1rhVmXlP9EBDL2piedluGWtpNRw34EIFj/view?usp=drivesdk" TargetMode="External"/><Relationship Id="rId446" Type="http://schemas.openxmlformats.org/officeDocument/2006/relationships/hyperlink" Target="https://drive.google.com/file/d/1qgw0e_vb-h_nc4xA8QAoT3whuw2WKMny/view?usp=drivesdk" TargetMode="External"/><Relationship Id="rId445" Type="http://schemas.openxmlformats.org/officeDocument/2006/relationships/hyperlink" Target="https://drive.google.com/file/d/1stnVTyAlmKVHgVBqHviaMzD4suacg8u1/view?usp=drivesdk" TargetMode="External"/><Relationship Id="rId449" Type="http://schemas.openxmlformats.org/officeDocument/2006/relationships/hyperlink" Target="https://drive.google.com/file/d/10OFgx-tlfjj-ijbj3tYOZTTLDlHawTJc/view?usp=drivesdk" TargetMode="External"/><Relationship Id="rId1270" Type="http://schemas.openxmlformats.org/officeDocument/2006/relationships/hyperlink" Target="https://drive.google.com/file/d/1I92E-stRxgBWpfrVU6D3oai48sYQgLM8/view?usp=drivesdk" TargetMode="External"/><Relationship Id="rId440" Type="http://schemas.openxmlformats.org/officeDocument/2006/relationships/hyperlink" Target="https://drive.google.com/file/d/1kx_dzvw2xohsJHBcg9afJZzDaHD0Xviy/view?usp=drivesdk" TargetMode="External"/><Relationship Id="rId1271" Type="http://schemas.openxmlformats.org/officeDocument/2006/relationships/hyperlink" Target="https://drive.google.com/file/d/1AVor9j-OI6xPeDeUwR_mIorN3LE05cVT/view?usp=drivesdk" TargetMode="External"/><Relationship Id="rId1272" Type="http://schemas.openxmlformats.org/officeDocument/2006/relationships/hyperlink" Target="https://drive.google.com/file/d/1oCpgFGnSr1f6H2IcBpqmkDaWo7Ko6CQi/view?usp=drivesdk" TargetMode="External"/><Relationship Id="rId1273" Type="http://schemas.openxmlformats.org/officeDocument/2006/relationships/hyperlink" Target="https://drive.google.com/file/d/12Kpn83IjJN6R2-xEhjQ_9dHrch7Mz_bx/view?usp=drivesdk" TargetMode="External"/><Relationship Id="rId1274" Type="http://schemas.openxmlformats.org/officeDocument/2006/relationships/hyperlink" Target="https://drive.google.com/file/d/1df8JVsBG-gfT_nANoiChplmjgCjxepZj/view?usp=drivesdk" TargetMode="External"/><Relationship Id="rId444" Type="http://schemas.openxmlformats.org/officeDocument/2006/relationships/hyperlink" Target="https://drive.google.com/file/d/1XphJ6WTpDlP8F7Tb5L17tLcvKY7Z7XlS/view?usp=drivesdk" TargetMode="External"/><Relationship Id="rId1275" Type="http://schemas.openxmlformats.org/officeDocument/2006/relationships/hyperlink" Target="https://drive.google.com/file/d/1X7BWAT2WFMzBHleOCtxoprDQf5cpISsR/view?usp=drivesdk" TargetMode="External"/><Relationship Id="rId4301" Type="http://schemas.openxmlformats.org/officeDocument/2006/relationships/hyperlink" Target="https://drive.google.com/file/d/1dXj6PcnaJtRkfio2KP9cLhy_F27uz6WB/view?usp=drivesdk" TargetMode="External"/><Relationship Id="rId443" Type="http://schemas.openxmlformats.org/officeDocument/2006/relationships/hyperlink" Target="https://drive.google.com/file/d/1EFh9z9TKKkK8eoRHbIiLufBRwU6aqP9w/view?usp=drivesdk" TargetMode="External"/><Relationship Id="rId1276" Type="http://schemas.openxmlformats.org/officeDocument/2006/relationships/hyperlink" Target="https://drive.google.com/file/d/1IYQCNKmQuGSIMsLGZA3qTmYQWUzwCOye/view?usp=drivesdk" TargetMode="External"/><Relationship Id="rId4300" Type="http://schemas.openxmlformats.org/officeDocument/2006/relationships/hyperlink" Target="https://drive.google.com/file/d/1DPiPvAKRALR9NfmNlA9iVzQvVRsK8QCI/view?usp=drivesdk" TargetMode="External"/><Relationship Id="rId442" Type="http://schemas.openxmlformats.org/officeDocument/2006/relationships/hyperlink" Target="https://drive.google.com/file/d/1l6wZEINI5xL_5bbu2RXUIuiZ7HKbz0Me/view?usp=drivesdk" TargetMode="External"/><Relationship Id="rId1277" Type="http://schemas.openxmlformats.org/officeDocument/2006/relationships/hyperlink" Target="https://drive.google.com/file/d/1TU1Bbqq3w-zBKwmPJhcASXAPBiw5ltIO/view?usp=drivesdk" TargetMode="External"/><Relationship Id="rId4303" Type="http://schemas.openxmlformats.org/officeDocument/2006/relationships/hyperlink" Target="https://drive.google.com/file/d/11uuRxA7i-7_SSWCzzDdE_ph20cBbf95C/view?usp=drivesdk" TargetMode="External"/><Relationship Id="rId441" Type="http://schemas.openxmlformats.org/officeDocument/2006/relationships/hyperlink" Target="https://drive.google.com/file/d/1Lo3CxPDIj0r3C00PWiwO0EeMWHIsV7GW/view?usp=drivesdk" TargetMode="External"/><Relationship Id="rId1278" Type="http://schemas.openxmlformats.org/officeDocument/2006/relationships/hyperlink" Target="https://drive.google.com/file/d/1kMByDMLe-ZEaZQq2na9akyDJ_c9m8P8F/view?usp=drivesdk" TargetMode="External"/><Relationship Id="rId4302" Type="http://schemas.openxmlformats.org/officeDocument/2006/relationships/hyperlink" Target="https://drive.google.com/file/d/1S38D03ZqJNivPHvCO4n7ks4DGpUYWKX2/view?usp=drivesdk" TargetMode="External"/><Relationship Id="rId1268" Type="http://schemas.openxmlformats.org/officeDocument/2006/relationships/hyperlink" Target="https://drive.google.com/file/d/1jON3D2A6z_buBaSEUwQ_NIypiyi36UWW/view?usp=drivesdk" TargetMode="External"/><Relationship Id="rId2599" Type="http://schemas.openxmlformats.org/officeDocument/2006/relationships/hyperlink" Target="https://drive.google.com/file/d/1yq-xuW3fbH5EbrwmU-qwMcUvcyuPuDvH/view?usp=drivesdk" TargetMode="External"/><Relationship Id="rId1269" Type="http://schemas.openxmlformats.org/officeDocument/2006/relationships/hyperlink" Target="https://drive.google.com/file/d/1lFHTQt3QyMctEibcROGbvklsBgDRBmrp/view?usp=drivesdk" TargetMode="External"/><Relationship Id="rId437" Type="http://schemas.openxmlformats.org/officeDocument/2006/relationships/hyperlink" Target="https://drive.google.com/file/d/11ASDeMYqAHehvIMn-jHaKc2GxJuaFLOq/view?usp=drivesdk" TargetMode="External"/><Relationship Id="rId436" Type="http://schemas.openxmlformats.org/officeDocument/2006/relationships/hyperlink" Target="https://drive.google.com/file/d/1IE_Z2SZrEpz2G1kUvQKNRpN4Cr1lb2jx/view?usp=drivesdk" TargetMode="External"/><Relationship Id="rId435" Type="http://schemas.openxmlformats.org/officeDocument/2006/relationships/hyperlink" Target="https://drive.google.com/file/d/1Mg7OYsv2Ky4uMqmXG2JlZCycxzBAb82O/view?usp=drivesdk" TargetMode="External"/><Relationship Id="rId434" Type="http://schemas.openxmlformats.org/officeDocument/2006/relationships/hyperlink" Target="https://drive.google.com/file/d/19nVnIJgWoSUvvZb9HpuYaZadUQQB15AY/view?usp=drivesdk" TargetMode="External"/><Relationship Id="rId439" Type="http://schemas.openxmlformats.org/officeDocument/2006/relationships/hyperlink" Target="https://drive.google.com/file/d/1exKsbciGxuc6rdhKuO52aGU2WO9ZvaVF/view?usp=drivesdk" TargetMode="External"/><Relationship Id="rId438" Type="http://schemas.openxmlformats.org/officeDocument/2006/relationships/hyperlink" Target="https://drive.google.com/file/d/1afH9_X13QXT7EkLkNq-WGF1BbO69h7SP/view?usp=drivesdk" TargetMode="External"/><Relationship Id="rId2590" Type="http://schemas.openxmlformats.org/officeDocument/2006/relationships/hyperlink" Target="https://drive.google.com/file/d/1f22MA9E3d9cp0bHLIx0flpIYhk0X9WH3/view?usp=drivesdk" TargetMode="External"/><Relationship Id="rId1260" Type="http://schemas.openxmlformats.org/officeDocument/2006/relationships/hyperlink" Target="https://drive.google.com/file/d/1_becuAyFleTXtbgkLVDzngwcB9HPBHz7/view?usp=drivesdk" TargetMode="External"/><Relationship Id="rId2591" Type="http://schemas.openxmlformats.org/officeDocument/2006/relationships/hyperlink" Target="https://drive.google.com/file/d/1jjvsK1ySccJpnQyXIWNe5YtywjFt0RFk/view?usp=drivesdk" TargetMode="External"/><Relationship Id="rId1261" Type="http://schemas.openxmlformats.org/officeDocument/2006/relationships/hyperlink" Target="https://drive.google.com/file/d/1Y-GPyYO3TBfcZNFNscmt5QG4IGLzAFdX/view?usp=drivesdk" TargetMode="External"/><Relationship Id="rId2592" Type="http://schemas.openxmlformats.org/officeDocument/2006/relationships/hyperlink" Target="https://drive.google.com/file/d/1y8dxpsq0JbR7F_BL7MzinAppcCU261S8/view?usp=drivesdk" TargetMode="External"/><Relationship Id="rId1262" Type="http://schemas.openxmlformats.org/officeDocument/2006/relationships/hyperlink" Target="https://drive.google.com/file/d/1uYjv9ZqmYxx3CqPxiQgkSu3G4aCC-2P9/view?usp=drivesdk" TargetMode="External"/><Relationship Id="rId2593" Type="http://schemas.openxmlformats.org/officeDocument/2006/relationships/hyperlink" Target="https://drive.google.com/file/d/1UkOvHOooXu41jrFZTCPlb_U5EIBskY_S/view?usp=drivesdk" TargetMode="External"/><Relationship Id="rId1263" Type="http://schemas.openxmlformats.org/officeDocument/2006/relationships/hyperlink" Target="https://drive.google.com/file/d/1H1kNiam05GQNYJIJyML9zdCxKPYAFghs/view?usp=drivesdk" TargetMode="External"/><Relationship Id="rId2594" Type="http://schemas.openxmlformats.org/officeDocument/2006/relationships/hyperlink" Target="https://drive.google.com/file/d/1JEiXmn3kYsI_iEvdbpMfsd3dqbMLAo4T/view?usp=drivesdk" TargetMode="External"/><Relationship Id="rId433" Type="http://schemas.openxmlformats.org/officeDocument/2006/relationships/hyperlink" Target="https://drive.google.com/file/d/1lv-Fp08lWZGV64xXxfzot9K0tfxCaJ2v/view?usp=drivesdk" TargetMode="External"/><Relationship Id="rId1264" Type="http://schemas.openxmlformats.org/officeDocument/2006/relationships/hyperlink" Target="https://drive.google.com/file/d/1hr8foRgq7rWOUvxdHINtkWttZtTFtTl4/view?usp=drivesdk" TargetMode="External"/><Relationship Id="rId2595" Type="http://schemas.openxmlformats.org/officeDocument/2006/relationships/hyperlink" Target="https://drive.google.com/file/d/1TRwHz5sXuu3WrPjCh7FaaNRlerlxrxmo/view?usp=drivesdk" TargetMode="External"/><Relationship Id="rId432" Type="http://schemas.openxmlformats.org/officeDocument/2006/relationships/hyperlink" Target="https://drive.google.com/file/d/13tiBNrFLJyc54YDZ9W5zRAaiiJ0h_23r/view?usp=drivesdk" TargetMode="External"/><Relationship Id="rId1265" Type="http://schemas.openxmlformats.org/officeDocument/2006/relationships/hyperlink" Target="https://drive.google.com/file/d/1zCi-jvgveY63bHuA14KeWrbJkoPNCWdb/view?usp=drivesdk" TargetMode="External"/><Relationship Id="rId2596" Type="http://schemas.openxmlformats.org/officeDocument/2006/relationships/hyperlink" Target="https://drive.google.com/file/d/1bLo7Up5SGuOPj3KuddYGpD4CBUlKsnMP/view?usp=drivesdk" TargetMode="External"/><Relationship Id="rId431" Type="http://schemas.openxmlformats.org/officeDocument/2006/relationships/hyperlink" Target="https://drive.google.com/file/d/12kayfvbQNTFss_R30hIpYK9iCd4r0ATh/view?usp=drivesdk" TargetMode="External"/><Relationship Id="rId1266" Type="http://schemas.openxmlformats.org/officeDocument/2006/relationships/hyperlink" Target="https://drive.google.com/file/d/1SevjWNkcrP3nbLf4koE_p4ojEZ5J0mIl/view?usp=drivesdk" TargetMode="External"/><Relationship Id="rId2597" Type="http://schemas.openxmlformats.org/officeDocument/2006/relationships/hyperlink" Target="https://drive.google.com/file/d/1ZL3h4HIxmL2hcdvIZvBSTbePqHJxYEr9/view?usp=drivesdk" TargetMode="External"/><Relationship Id="rId430" Type="http://schemas.openxmlformats.org/officeDocument/2006/relationships/hyperlink" Target="https://drive.google.com/file/d/1eFgynRmkgqDfYwqu_7FEOnJiypr_hIRl/view?usp=drivesdk" TargetMode="External"/><Relationship Id="rId1267" Type="http://schemas.openxmlformats.org/officeDocument/2006/relationships/hyperlink" Target="https://drive.google.com/file/d/1Dz-7GurQg9M5vmzN1nQ70GHph6X2a44w/view?usp=drivesdk" TargetMode="External"/><Relationship Id="rId2598" Type="http://schemas.openxmlformats.org/officeDocument/2006/relationships/hyperlink" Target="https://drive.google.com/file/d/1FSTqio-aZRdUPXa3bT7ERjC5IBTj2jTK/view?usp=drivesdk" TargetMode="External"/><Relationship Id="rId3070" Type="http://schemas.openxmlformats.org/officeDocument/2006/relationships/hyperlink" Target="https://drive.google.com/file/d/1GRgSobj9_yqh_HJbTgff8sv2aoEk62Ng/view?usp=drivesdk" TargetMode="External"/><Relationship Id="rId3072" Type="http://schemas.openxmlformats.org/officeDocument/2006/relationships/hyperlink" Target="https://drive.google.com/file/d/1LgcbdurJdFwO_Y5N_EZxP18YwJ39Vti8/view?usp=drivesdk" TargetMode="External"/><Relationship Id="rId3071" Type="http://schemas.openxmlformats.org/officeDocument/2006/relationships/hyperlink" Target="https://drive.google.com/file/d/1sVoMy7R3LxVqa3E1YWVNsH_cSIy6fUKe/view?usp=drivesdk" TargetMode="External"/><Relationship Id="rId3074" Type="http://schemas.openxmlformats.org/officeDocument/2006/relationships/hyperlink" Target="https://drive.google.com/file/d/1ZCn46pv1AQCjbj9zRz3Z1KE1o7PbxVbl/view?usp=drivesdk" TargetMode="External"/><Relationship Id="rId3073" Type="http://schemas.openxmlformats.org/officeDocument/2006/relationships/hyperlink" Target="https://drive.google.com/file/d/1MOAqlJr-2TboNExH5e3Ae5a8O0iFP5rb/view?usp=drivesdk" TargetMode="External"/><Relationship Id="rId3076" Type="http://schemas.openxmlformats.org/officeDocument/2006/relationships/hyperlink" Target="https://drive.google.com/file/d/186nhlEZw5kLIkyC3V7SpvOMl7r8Q37OZ/view?usp=drivesdk" TargetMode="External"/><Relationship Id="rId3075" Type="http://schemas.openxmlformats.org/officeDocument/2006/relationships/hyperlink" Target="https://drive.google.com/file/d/18-ZE26KhK1UkCj4pVNwFS2gXo9b0M-9K/view?usp=drivesdk" TargetMode="External"/><Relationship Id="rId3078" Type="http://schemas.openxmlformats.org/officeDocument/2006/relationships/hyperlink" Target="https://drive.google.com/file/d/1xbv4bZADdneeN6LMAz-iQ_-jZo3eUB_G/view?usp=drivesdk" TargetMode="External"/><Relationship Id="rId3077" Type="http://schemas.openxmlformats.org/officeDocument/2006/relationships/hyperlink" Target="https://drive.google.com/file/d/1jcW4aEHND0dhbXo0OlMw14MrGGCTdEO8/view?usp=drivesdk" TargetMode="External"/><Relationship Id="rId3079" Type="http://schemas.openxmlformats.org/officeDocument/2006/relationships/hyperlink" Target="https://drive.google.com/file/d/1XQ3B62JGnf7HXyXMz59KcTJjPMpYR_q4/view?usp=drivesdk" TargetMode="External"/><Relationship Id="rId4390" Type="http://schemas.openxmlformats.org/officeDocument/2006/relationships/hyperlink" Target="https://drive.google.com/file/d/1xUkJarcFlmkSzgPz5lZoxS90TJEAFGuD/view?usp=drivesdk" TargetMode="External"/><Relationship Id="rId3061" Type="http://schemas.openxmlformats.org/officeDocument/2006/relationships/hyperlink" Target="https://drive.google.com/file/d/1mpSkWNXLjjpLLl9jV966Ue5_HslFu7Ut/view?usp=drivesdk" TargetMode="External"/><Relationship Id="rId4392" Type="http://schemas.openxmlformats.org/officeDocument/2006/relationships/hyperlink" Target="https://drive.google.com/file/d/15cz-6qjjV1CiupbOX6P-boXWDlO2Jc-X/view?usp=drivesdk" TargetMode="External"/><Relationship Id="rId3060" Type="http://schemas.openxmlformats.org/officeDocument/2006/relationships/hyperlink" Target="https://drive.google.com/file/d/1RsUcFtTdkJ-y4i1EDNP1N8A_8OaOrIfh/view?usp=drivesdk" TargetMode="External"/><Relationship Id="rId4391" Type="http://schemas.openxmlformats.org/officeDocument/2006/relationships/hyperlink" Target="https://drive.google.com/file/d/1TuT-xYu2q_1Rgly5EgeuXGrKaOnlqI7K/view?usp=drivesdk" TargetMode="External"/><Relationship Id="rId3063" Type="http://schemas.openxmlformats.org/officeDocument/2006/relationships/hyperlink" Target="https://drive.google.com/file/d/1kaZGkZIySzdiDMxywz2QgwuVnGWyJp7K/view?usp=drivesdk" TargetMode="External"/><Relationship Id="rId4394" Type="http://schemas.openxmlformats.org/officeDocument/2006/relationships/hyperlink" Target="https://drive.google.com/file/d/1pnuz7QaqKwp8-T7dYklcEgrScFAYQ3Kr/view?usp=drivesdk" TargetMode="External"/><Relationship Id="rId3062" Type="http://schemas.openxmlformats.org/officeDocument/2006/relationships/hyperlink" Target="https://drive.google.com/file/d/1mkroN1Nc95eoWKnZ2BPLscwGWhus5EWb/view?usp=drivesdk" TargetMode="External"/><Relationship Id="rId4393" Type="http://schemas.openxmlformats.org/officeDocument/2006/relationships/hyperlink" Target="https://drive.google.com/file/d/1-Q6WFgt2Jb96W04_lBsphTB71Z2QkrUd/view?usp=drivesdk" TargetMode="External"/><Relationship Id="rId3065" Type="http://schemas.openxmlformats.org/officeDocument/2006/relationships/hyperlink" Target="https://drive.google.com/file/d/1Wobz5zxIIT-8sfOAAhi25HjkVAmL9k8b/view?usp=drivesdk" TargetMode="External"/><Relationship Id="rId4396" Type="http://schemas.openxmlformats.org/officeDocument/2006/relationships/hyperlink" Target="https://drive.google.com/file/d/1swJbHJi8LtsjiXEqxPDkgHJl_xZm5mR2/view?usp=drivesdk" TargetMode="External"/><Relationship Id="rId3064" Type="http://schemas.openxmlformats.org/officeDocument/2006/relationships/hyperlink" Target="https://drive.google.com/file/d/1NnGJ40lUdCUdoqhEl0XNGWYrkWQMhWUe/view?usp=drivesdk" TargetMode="External"/><Relationship Id="rId4395" Type="http://schemas.openxmlformats.org/officeDocument/2006/relationships/hyperlink" Target="https://drive.google.com/file/d/1abzGY-MmtEWtsDvCV8sXs_OJ-pEXRSCW/view?usp=drivesdk" TargetMode="External"/><Relationship Id="rId3067" Type="http://schemas.openxmlformats.org/officeDocument/2006/relationships/hyperlink" Target="https://drive.google.com/file/d/1HoqFu3soRP9J_91nYJbYlVAyxCdx938X/view?usp=drivesdk" TargetMode="External"/><Relationship Id="rId4398" Type="http://schemas.openxmlformats.org/officeDocument/2006/relationships/hyperlink" Target="https://drive.google.com/file/d/1AnvuN__NGN-jXxAsUk28qr7weqDn0sJV/view?usp=drivesdk" TargetMode="External"/><Relationship Id="rId3066" Type="http://schemas.openxmlformats.org/officeDocument/2006/relationships/hyperlink" Target="https://drive.google.com/file/d/1i4f21f-GV66LmAjvwDtyJRZIunjydnug/view?usp=drivesdk" TargetMode="External"/><Relationship Id="rId4397" Type="http://schemas.openxmlformats.org/officeDocument/2006/relationships/hyperlink" Target="https://drive.google.com/file/d/1KO1E3DAu9Ekz2pYvvB8t29OAbzFaFKbu/view?usp=drivesdk" TargetMode="External"/><Relationship Id="rId3069" Type="http://schemas.openxmlformats.org/officeDocument/2006/relationships/hyperlink" Target="https://drive.google.com/file/d/1HLyy-q6upW5YM6abFtptts6WwqmHGGZN/view?usp=drivesdk" TargetMode="External"/><Relationship Id="rId3068" Type="http://schemas.openxmlformats.org/officeDocument/2006/relationships/hyperlink" Target="https://drive.google.com/file/d/1fQjVolI7f4b7Y9x7Uwa5bQjeIi_9JAE5/view?usp=drivesdk" TargetMode="External"/><Relationship Id="rId4399" Type="http://schemas.openxmlformats.org/officeDocument/2006/relationships/hyperlink" Target="https://drive.google.com/file/d/1npqn8SHEwyJB-yIyfOha_acypGgGJfb-/view?usp=drivesdk" TargetMode="External"/><Relationship Id="rId3090" Type="http://schemas.openxmlformats.org/officeDocument/2006/relationships/hyperlink" Target="https://drive.google.com/file/d/1x4YQfVkZDHY1_MFZCPg6iFXP74IQ7ORR/view?usp=drivesdk" TargetMode="External"/><Relationship Id="rId3092" Type="http://schemas.openxmlformats.org/officeDocument/2006/relationships/hyperlink" Target="https://drive.google.com/file/d/1FExgtN8WdvexEBaGqjJpnjeCXTyUmE9k/view?usp=drivesdk" TargetMode="External"/><Relationship Id="rId3091" Type="http://schemas.openxmlformats.org/officeDocument/2006/relationships/hyperlink" Target="https://drive.google.com/file/d/14KHnpWdPN2xfFXs6JVDPnPXv_EtDFiQN/view?usp=drivesdk" TargetMode="External"/><Relationship Id="rId3094" Type="http://schemas.openxmlformats.org/officeDocument/2006/relationships/hyperlink" Target="https://drive.google.com/file/d/1ux-j_64BFfzF5n2_-FNudUFUkxtmnu6M/view?usp=drivesdk" TargetMode="External"/><Relationship Id="rId3093" Type="http://schemas.openxmlformats.org/officeDocument/2006/relationships/hyperlink" Target="https://drive.google.com/file/d/1BlwJrGbaxWKWi_ylkyllnA8tn2eBDmLa/view?usp=drivesdk" TargetMode="External"/><Relationship Id="rId3096" Type="http://schemas.openxmlformats.org/officeDocument/2006/relationships/hyperlink" Target="https://drive.google.com/file/d/1tMff2eMQNcXNMG49J617UtkyiHWmGW1q/view?usp=drivesdk" TargetMode="External"/><Relationship Id="rId3095" Type="http://schemas.openxmlformats.org/officeDocument/2006/relationships/hyperlink" Target="https://drive.google.com/file/d/184zWso1TppP-DrY8JcHOqqCBICmIctdn/view?usp=drivesdk" TargetMode="External"/><Relationship Id="rId3098" Type="http://schemas.openxmlformats.org/officeDocument/2006/relationships/hyperlink" Target="https://drive.google.com/file/d/1DLkLwH7lQ6v21_tQ_NrLj2-NOsHWbK1C/view?usp=drivesdk" TargetMode="External"/><Relationship Id="rId3097" Type="http://schemas.openxmlformats.org/officeDocument/2006/relationships/hyperlink" Target="https://drive.google.com/file/d/18RlakM9xojyqEQ76f0G28Nnp17bX_Uz7/view?usp=drivesdk" TargetMode="External"/><Relationship Id="rId3099" Type="http://schemas.openxmlformats.org/officeDocument/2006/relationships/hyperlink" Target="https://drive.google.com/file/d/1mfxGDTz7pZ2zbIneaE44G4UwcGGJdWD7/view?usp=drivesdk" TargetMode="External"/><Relationship Id="rId3081" Type="http://schemas.openxmlformats.org/officeDocument/2006/relationships/hyperlink" Target="https://drive.google.com/file/d/1vn6_2VM1bcVcrRr2vO3qEeuJK5R9Xyvf/view?usp=drivesdk" TargetMode="External"/><Relationship Id="rId3080" Type="http://schemas.openxmlformats.org/officeDocument/2006/relationships/hyperlink" Target="https://drive.google.com/file/d/1RQbAb3t0PLW2cCCPT2mWDL_6mjh9iN3f/view?usp=drivesdk" TargetMode="External"/><Relationship Id="rId3083" Type="http://schemas.openxmlformats.org/officeDocument/2006/relationships/hyperlink" Target="https://drive.google.com/file/d/1UB8uMiVns4QCe3lUucLaC89Yl3rWx7NB/view?usp=drivesdk" TargetMode="External"/><Relationship Id="rId3082" Type="http://schemas.openxmlformats.org/officeDocument/2006/relationships/hyperlink" Target="https://drive.google.com/file/d/1ylVjaSEQvPWSWv5p-Jx265cyg1jQJbQZ/view?usp=drivesdk" TargetMode="External"/><Relationship Id="rId3085" Type="http://schemas.openxmlformats.org/officeDocument/2006/relationships/hyperlink" Target="https://drive.google.com/file/d/1eBKnnr5U4uSb7_gV6WMUrl9eBmeNYQm8/view?usp=drivesdk" TargetMode="External"/><Relationship Id="rId3084" Type="http://schemas.openxmlformats.org/officeDocument/2006/relationships/hyperlink" Target="https://drive.google.com/file/d/1rvm0HCY5B5AwrgsPDpmzguBc0RyL2wBO/view?usp=drivesdk" TargetMode="External"/><Relationship Id="rId3087" Type="http://schemas.openxmlformats.org/officeDocument/2006/relationships/hyperlink" Target="https://drive.google.com/file/d/19Oq-TMZaALiJSPjx-wUDDmWJi0JNTNF0/view?usp=drivesdk" TargetMode="External"/><Relationship Id="rId3086" Type="http://schemas.openxmlformats.org/officeDocument/2006/relationships/hyperlink" Target="https://drive.google.com/file/d/1muXa9kIIANmLRbVtlWJsjcJ2WFcA9_PM/view?usp=drivesdk" TargetMode="External"/><Relationship Id="rId3089" Type="http://schemas.openxmlformats.org/officeDocument/2006/relationships/hyperlink" Target="https://drive.google.com/file/d/1TPvMgQYzE6IX8UFc-4nQQwoS6306H-tU/view?usp=drivesdk" TargetMode="External"/><Relationship Id="rId3088" Type="http://schemas.openxmlformats.org/officeDocument/2006/relationships/hyperlink" Target="https://drive.google.com/file/d/1wiJt2CUDGcK925f2nzb9mQZ19Rzltkzb/view?usp=drivesdk" TargetMode="External"/><Relationship Id="rId3039" Type="http://schemas.openxmlformats.org/officeDocument/2006/relationships/hyperlink" Target="https://drive.google.com/file/d/1LepuBzt0ev2xba9NtV1TdImnkBPRrh4Z/view?usp=drivesdk" TargetMode="External"/><Relationship Id="rId1" Type="http://schemas.openxmlformats.org/officeDocument/2006/relationships/hyperlink" Target="https://drive.google.com/file/d/13np0raItOlrKL7Wa3rezTNqgfvDYcKDo/view?usp=drivesdk" TargetMode="External"/><Relationship Id="rId2" Type="http://schemas.openxmlformats.org/officeDocument/2006/relationships/hyperlink" Target="https://drive.google.com/file/d/1OKY5cQU5dZdnfXgfn2mZDB-T_BX5cj8I/view?usp=drivesdk" TargetMode="External"/><Relationship Id="rId3" Type="http://schemas.openxmlformats.org/officeDocument/2006/relationships/hyperlink" Target="https://drive.google.com/file/d/14toznC05VIQvqOo9HY5ygEjoyMemy9ge/view?usp=drivesdk" TargetMode="External"/><Relationship Id="rId4" Type="http://schemas.openxmlformats.org/officeDocument/2006/relationships/hyperlink" Target="https://drive.google.com/file/d/1F1_ehl7FvpNlsZ8ltb2IYqxaQQ5NrR05/view?usp=drivesdk" TargetMode="External"/><Relationship Id="rId3030" Type="http://schemas.openxmlformats.org/officeDocument/2006/relationships/hyperlink" Target="https://drive.google.com/file/d/1vzHjWwWLODLNoUVW1FVvLiacUxXA5qOi/view?usp=drivesdk" TargetMode="External"/><Relationship Id="rId4361" Type="http://schemas.openxmlformats.org/officeDocument/2006/relationships/hyperlink" Target="https://drive.google.com/file/d/1cqCo9zjwyO3ZsFqIrI8m_U9fDQXaroW8/view?usp=drivesdk" TargetMode="External"/><Relationship Id="rId4360" Type="http://schemas.openxmlformats.org/officeDocument/2006/relationships/hyperlink" Target="https://drive.google.com/file/d/1x8n4Ldx4Sa3009IHl1ioGlQ95DVxx9vz/view?usp=drivesdk" TargetMode="External"/><Relationship Id="rId9" Type="http://schemas.openxmlformats.org/officeDocument/2006/relationships/hyperlink" Target="https://drive.google.com/file/d/1cV7IE8C0eQD6otyRxs4NLW3DJdryxFMP/view?usp=drivesdk" TargetMode="External"/><Relationship Id="rId3032" Type="http://schemas.openxmlformats.org/officeDocument/2006/relationships/hyperlink" Target="https://drive.google.com/file/d/1RqLU_SA7E9Lk0wXgIcx45qlINpEk-gDK/view?usp=drivesdk" TargetMode="External"/><Relationship Id="rId4363" Type="http://schemas.openxmlformats.org/officeDocument/2006/relationships/hyperlink" Target="https://drive.google.com/file/d/1fgZ6G-J0z0WjR5eS7ap4ihl-5gjVd_aO/view?usp=drivesdk" TargetMode="External"/><Relationship Id="rId3031" Type="http://schemas.openxmlformats.org/officeDocument/2006/relationships/hyperlink" Target="https://drive.google.com/file/d/15SUH6m-HAjeCEcxOswC-7phA7bG55S4I/view?usp=drivesdk" TargetMode="External"/><Relationship Id="rId4362" Type="http://schemas.openxmlformats.org/officeDocument/2006/relationships/hyperlink" Target="https://drive.google.com/file/d/1zvVWLXi1Ztk_8XDKsWtR7fKmNnKQUDUn/view?usp=drivesdk" TargetMode="External"/><Relationship Id="rId3034" Type="http://schemas.openxmlformats.org/officeDocument/2006/relationships/hyperlink" Target="https://drive.google.com/file/d/1HYWP_j4jFpoM41bPsJXxS8BDQfrpWyjo/view?usp=drivesdk" TargetMode="External"/><Relationship Id="rId4365" Type="http://schemas.openxmlformats.org/officeDocument/2006/relationships/hyperlink" Target="https://drive.google.com/file/d/1vl_JBDYExpF36ccRd-BCuvNT8YpHkD9C/view?usp=drivesdk" TargetMode="External"/><Relationship Id="rId3033" Type="http://schemas.openxmlformats.org/officeDocument/2006/relationships/hyperlink" Target="https://drive.google.com/file/d/1WCxid47CFFsnPr6m2MJYHZxULwxGBQyS/view?usp=drivesdk" TargetMode="External"/><Relationship Id="rId4364" Type="http://schemas.openxmlformats.org/officeDocument/2006/relationships/hyperlink" Target="https://drive.google.com/file/d/1U12a3KQhFavIAUjureRDynZkVe1KWCIF/view?usp=drivesdk" TargetMode="External"/><Relationship Id="rId5" Type="http://schemas.openxmlformats.org/officeDocument/2006/relationships/hyperlink" Target="https://drive.google.com/file/d/1Vvz51Netp_1B0Jz5G10oQmtyJk2F_krz/view?usp=drivesdk" TargetMode="External"/><Relationship Id="rId3036" Type="http://schemas.openxmlformats.org/officeDocument/2006/relationships/hyperlink" Target="https://drive.google.com/file/d/1pG6_PPkUhvx87IykQQKzAd4E5_MWr9HQ/view?usp=drivesdk" TargetMode="External"/><Relationship Id="rId4367" Type="http://schemas.openxmlformats.org/officeDocument/2006/relationships/hyperlink" Target="https://drive.google.com/file/d/1duDrDPYCdi1QBtZtPER2QMpdmkxqVNAZ/view?usp=drivesdk" TargetMode="External"/><Relationship Id="rId6" Type="http://schemas.openxmlformats.org/officeDocument/2006/relationships/hyperlink" Target="https://drive.google.com/file/d/1i30gPHVrjn-oueptLgvFSZsigZueCQ26/view?usp=drivesdk" TargetMode="External"/><Relationship Id="rId3035" Type="http://schemas.openxmlformats.org/officeDocument/2006/relationships/hyperlink" Target="https://drive.google.com/file/d/1tBe8AK_hwKDFrhnhAxMrLHR5S5STRIvI/view?usp=drivesdk" TargetMode="External"/><Relationship Id="rId4366" Type="http://schemas.openxmlformats.org/officeDocument/2006/relationships/hyperlink" Target="https://drive.google.com/file/d/1L-r4iuCwPJwI8ZEdZwd1wrxcXY9DeYli/view?usp=drivesdk" TargetMode="External"/><Relationship Id="rId7" Type="http://schemas.openxmlformats.org/officeDocument/2006/relationships/hyperlink" Target="https://drive.google.com/file/d/1-9O2QHYwCeVyLPL8w3r7tfZG_sspGLGK/view?usp=drivesdk" TargetMode="External"/><Relationship Id="rId3038" Type="http://schemas.openxmlformats.org/officeDocument/2006/relationships/hyperlink" Target="https://drive.google.com/file/d/1sixH3HUGX4uWOlfQVWrH1JIzaNT4br3x/view?usp=drivesdk" TargetMode="External"/><Relationship Id="rId4369" Type="http://schemas.openxmlformats.org/officeDocument/2006/relationships/hyperlink" Target="https://drive.google.com/file/d/1pzrHOXCq77fNzG34UowSr2NWiLV_rql5/view?usp=drivesdk" TargetMode="External"/><Relationship Id="rId8" Type="http://schemas.openxmlformats.org/officeDocument/2006/relationships/hyperlink" Target="https://drive.google.com/file/d/1F35qAOGLkiCXnheDuiOeAVANnkZA9Q65/view?usp=drivesdk" TargetMode="External"/><Relationship Id="rId3037" Type="http://schemas.openxmlformats.org/officeDocument/2006/relationships/hyperlink" Target="https://drive.google.com/file/d/1pT7MfCC7ZKL7YXh4pScmij7nmteeLBRK/view?usp=drivesdk" TargetMode="External"/><Relationship Id="rId4368" Type="http://schemas.openxmlformats.org/officeDocument/2006/relationships/hyperlink" Target="https://drive.google.com/file/d/1npvPAawe4dS8eZ_c_UzYRnYCuS9WEhxs/view?usp=drivesdk" TargetMode="External"/><Relationship Id="rId3029" Type="http://schemas.openxmlformats.org/officeDocument/2006/relationships/hyperlink" Target="https://drive.google.com/file/d/1nFNpv16c87PgJRUPvDu5ceH26zE-I4Cv/view?usp=drivesdk" TargetMode="External"/><Relationship Id="rId3028" Type="http://schemas.openxmlformats.org/officeDocument/2006/relationships/hyperlink" Target="https://drive.google.com/file/d/1658C8Sea_G24D4VpLSYNL-GE_hMwHNqu/view?usp=drivesdk" TargetMode="External"/><Relationship Id="rId4359" Type="http://schemas.openxmlformats.org/officeDocument/2006/relationships/hyperlink" Target="https://drive.google.com/file/d/13orm8eQLCmx5skfUdA6vBQIhC_iM4QBS/view?usp=drivesdk" TargetMode="External"/><Relationship Id="rId4350" Type="http://schemas.openxmlformats.org/officeDocument/2006/relationships/hyperlink" Target="https://drive.google.com/file/d/158XNm3FK6DWmSHypJqO8fqkmZ2BPTa5_/view?usp=drivesdk" TargetMode="External"/><Relationship Id="rId3021" Type="http://schemas.openxmlformats.org/officeDocument/2006/relationships/hyperlink" Target="https://drive.google.com/file/d/1NOoBguYOw-j3FmhcY-6UZdESy-6QFen6/view?usp=drivesdk" TargetMode="External"/><Relationship Id="rId4352" Type="http://schemas.openxmlformats.org/officeDocument/2006/relationships/hyperlink" Target="https://drive.google.com/file/d/1yLeKH_3T0e4saFCQns7a5fQXpetgLHBM/view?usp=drivesdk" TargetMode="External"/><Relationship Id="rId3020" Type="http://schemas.openxmlformats.org/officeDocument/2006/relationships/hyperlink" Target="https://drive.google.com/file/d/1fhBDHDC_2B-GuUpJrTOs-qltKgyT9CZ_/view?usp=drivesdk" TargetMode="External"/><Relationship Id="rId4351" Type="http://schemas.openxmlformats.org/officeDocument/2006/relationships/hyperlink" Target="https://drive.google.com/file/d/15hqLn1SOXfFmyDo6wW50QBnsEAufqlAG/view?usp=drivesdk" TargetMode="External"/><Relationship Id="rId3023" Type="http://schemas.openxmlformats.org/officeDocument/2006/relationships/hyperlink" Target="https://drive.google.com/file/d/1lmDF00yCkxYZKELzQo-Gakl1VZPEx7Gg/view?usp=drivesdk" TargetMode="External"/><Relationship Id="rId4354" Type="http://schemas.openxmlformats.org/officeDocument/2006/relationships/hyperlink" Target="https://drive.google.com/file/d/16RahtZ0TtaBDpH_7isvUQ6jbhLLLzh9D/view?usp=drivesdk" TargetMode="External"/><Relationship Id="rId3022" Type="http://schemas.openxmlformats.org/officeDocument/2006/relationships/hyperlink" Target="https://drive.google.com/file/d/1aAL-EgV61aAGUXM3Zb7sT6Kh9Dte1WaY/view?usp=drivesdk" TargetMode="External"/><Relationship Id="rId4353" Type="http://schemas.openxmlformats.org/officeDocument/2006/relationships/hyperlink" Target="https://drive.google.com/file/d/1VqFnj7VezdMddZbBNSYouzILBx4-4r6H/view?usp=drivesdk" TargetMode="External"/><Relationship Id="rId3025" Type="http://schemas.openxmlformats.org/officeDocument/2006/relationships/hyperlink" Target="https://drive.google.com/file/d/1z-Vokcc6rSl0VwVYFziycdgdCzA0NfC4/view?usp=drivesdk" TargetMode="External"/><Relationship Id="rId4356" Type="http://schemas.openxmlformats.org/officeDocument/2006/relationships/hyperlink" Target="https://drive.google.com/file/d/1mDmvFVZ7DRkav5iP08R8fJ97XXvCAKEP/view?usp=drivesdk" TargetMode="External"/><Relationship Id="rId3024" Type="http://schemas.openxmlformats.org/officeDocument/2006/relationships/hyperlink" Target="https://drive.google.com/file/d/1jKm1dWTpfMwx55nfPimlxo8twApyAeFw/view?usp=drivesdk" TargetMode="External"/><Relationship Id="rId4355" Type="http://schemas.openxmlformats.org/officeDocument/2006/relationships/hyperlink" Target="https://drive.google.com/file/d/1fqLwedpRG77gNUqDbzMXDJf046AcMknY/view?usp=drivesdk" TargetMode="External"/><Relationship Id="rId3027" Type="http://schemas.openxmlformats.org/officeDocument/2006/relationships/hyperlink" Target="https://drive.google.com/file/d/1qP20TiUU1YDVesnGx0no74XcPLvrimBp/view?usp=drivesdk" TargetMode="External"/><Relationship Id="rId4358" Type="http://schemas.openxmlformats.org/officeDocument/2006/relationships/hyperlink" Target="https://drive.google.com/file/d/10_tzyS2Ae60dPe6Ol5YBXJvibEzGz0gh/view?usp=drivesdk" TargetMode="External"/><Relationship Id="rId3026" Type="http://schemas.openxmlformats.org/officeDocument/2006/relationships/hyperlink" Target="https://drive.google.com/file/d/1zldfFbAQLOkVJCnkFiSrt-Gi3LpeT5ik/view?usp=drivesdk" TargetMode="External"/><Relationship Id="rId4357" Type="http://schemas.openxmlformats.org/officeDocument/2006/relationships/hyperlink" Target="https://drive.google.com/file/d/1BGOOIMBXuuXXuU-zYZa4SxtNyaoLlpzS/view?usp=drivesdk" TargetMode="External"/><Relationship Id="rId3050" Type="http://schemas.openxmlformats.org/officeDocument/2006/relationships/hyperlink" Target="https://drive.google.com/file/d/1rTp5XmxkxJBsv-28MysTuCb4Q3T6Pp42/view?usp=drivesdk" TargetMode="External"/><Relationship Id="rId4381" Type="http://schemas.openxmlformats.org/officeDocument/2006/relationships/hyperlink" Target="https://drive.google.com/file/d/1cqfQluxZ0MXN8-NWJ-EppAkU74ORUovG/view?usp=drivesdk" TargetMode="External"/><Relationship Id="rId4380" Type="http://schemas.openxmlformats.org/officeDocument/2006/relationships/hyperlink" Target="https://drive.google.com/file/d/19ZEDK9kY8MCNTraBHCpFZqpDFN1cw4L_/view?usp=drivesdk" TargetMode="External"/><Relationship Id="rId3052" Type="http://schemas.openxmlformats.org/officeDocument/2006/relationships/hyperlink" Target="https://drive.google.com/file/d/1Hi9DISJAPngPCsg5MO5jHRqCJxlpAYSV/view?usp=drivesdk" TargetMode="External"/><Relationship Id="rId4383" Type="http://schemas.openxmlformats.org/officeDocument/2006/relationships/hyperlink" Target="https://drive.google.com/file/d/1iYguwQD6Ls3JRJw0xUf6Eer8KlIfk9UL/view?usp=drivesdk" TargetMode="External"/><Relationship Id="rId3051" Type="http://schemas.openxmlformats.org/officeDocument/2006/relationships/hyperlink" Target="https://drive.google.com/file/d/1hc8n2JUR-jT6y-2-MuDR0wjRWPZwCygc/view?usp=drivesdk" TargetMode="External"/><Relationship Id="rId4382" Type="http://schemas.openxmlformats.org/officeDocument/2006/relationships/hyperlink" Target="https://drive.google.com/file/d/1tvv5J5GESYD1nLR859AAGiGFlGlSZeTU/view?usp=drivesdk" TargetMode="External"/><Relationship Id="rId3054" Type="http://schemas.openxmlformats.org/officeDocument/2006/relationships/hyperlink" Target="https://drive.google.com/file/d/1mWLYrR-2Omg7V4r3k4xoFSS5o9SBsdUW/view?usp=drivesdk" TargetMode="External"/><Relationship Id="rId4385" Type="http://schemas.openxmlformats.org/officeDocument/2006/relationships/hyperlink" Target="https://drive.google.com/file/d/16sj8fAslolIvVnqsAREctfl5kIp3peLw/view?usp=drivesdk" TargetMode="External"/><Relationship Id="rId3053" Type="http://schemas.openxmlformats.org/officeDocument/2006/relationships/hyperlink" Target="https://drive.google.com/file/d/1P2NuulZ5HOKQK95bnLng2heRQCxLl_GA/view?usp=drivesdk" TargetMode="External"/><Relationship Id="rId4384" Type="http://schemas.openxmlformats.org/officeDocument/2006/relationships/hyperlink" Target="https://drive.google.com/file/d/1lFSvHBjJN-NM1ZxqCeB9yb1c76iUf873/view?usp=drivesdk" TargetMode="External"/><Relationship Id="rId3056" Type="http://schemas.openxmlformats.org/officeDocument/2006/relationships/hyperlink" Target="https://drive.google.com/file/d/1HDUuraOJp5mB9tSFYwj9tCV-PW-w7OeV/view?usp=drivesdk" TargetMode="External"/><Relationship Id="rId4387" Type="http://schemas.openxmlformats.org/officeDocument/2006/relationships/hyperlink" Target="https://drive.google.com/file/d/1wwLenmfM9S2kFw76x9iF2ppppxMWa5nG/view?usp=drivesdk" TargetMode="External"/><Relationship Id="rId3055" Type="http://schemas.openxmlformats.org/officeDocument/2006/relationships/hyperlink" Target="https://drive.google.com/file/d/1vJ25PwpwCB_nAMjV0KPEx9Xh2BdehwHp/view?usp=drivesdk" TargetMode="External"/><Relationship Id="rId4386" Type="http://schemas.openxmlformats.org/officeDocument/2006/relationships/hyperlink" Target="https://drive.google.com/file/d/1v9_PvCE7Dp9APDYfnzyr_oWro3BNlkfu/view?usp=drivesdk" TargetMode="External"/><Relationship Id="rId3058" Type="http://schemas.openxmlformats.org/officeDocument/2006/relationships/hyperlink" Target="https://drive.google.com/file/d/1PNHUz1l_27uq5atBJmbgW4A3YkX98PZX/view?usp=drivesdk" TargetMode="External"/><Relationship Id="rId4389" Type="http://schemas.openxmlformats.org/officeDocument/2006/relationships/hyperlink" Target="https://drive.google.com/file/d/1ogZbptp4_deCW9qMfBHNY9JkRhXga8UN/view?usp=drivesdk" TargetMode="External"/><Relationship Id="rId3057" Type="http://schemas.openxmlformats.org/officeDocument/2006/relationships/hyperlink" Target="https://drive.google.com/file/d/1Lxw8lXEjg8OBGJzx3A9y1xR_LbHmJk3Z/view?usp=drivesdk" TargetMode="External"/><Relationship Id="rId4388" Type="http://schemas.openxmlformats.org/officeDocument/2006/relationships/hyperlink" Target="https://drive.google.com/file/d/1ur017O297uhLGS_TAhhtR18ge0nvivz-/view?usp=drivesdk" TargetMode="External"/><Relationship Id="rId3059" Type="http://schemas.openxmlformats.org/officeDocument/2006/relationships/hyperlink" Target="https://drive.google.com/file/d/1P3qspYJpjzCnwVqerU0w1SEXlTWDI2r4/view?usp=drivesdk" TargetMode="External"/><Relationship Id="rId4370" Type="http://schemas.openxmlformats.org/officeDocument/2006/relationships/hyperlink" Target="https://drive.google.com/file/d/1OuZ7-Hw1fdvF_KgPIgdobmd3XNK2QGxO/view?usp=drivesdk" TargetMode="External"/><Relationship Id="rId3041" Type="http://schemas.openxmlformats.org/officeDocument/2006/relationships/hyperlink" Target="https://drive.google.com/file/d/1tsiXUSNnRGd4FqO4le23SVk3Kzp1nurl/view?usp=drivesdk" TargetMode="External"/><Relationship Id="rId4372" Type="http://schemas.openxmlformats.org/officeDocument/2006/relationships/hyperlink" Target="https://drive.google.com/file/d/1TSayY_oWRU46-IltpJA9B4bpww3GrS-c/view?usp=drivesdk" TargetMode="External"/><Relationship Id="rId3040" Type="http://schemas.openxmlformats.org/officeDocument/2006/relationships/hyperlink" Target="https://drive.google.com/file/d/1g7Z00juA_Q2gGns5inj8OPAp715YdJ8o/view?usp=drivesdk" TargetMode="External"/><Relationship Id="rId4371" Type="http://schemas.openxmlformats.org/officeDocument/2006/relationships/hyperlink" Target="https://drive.google.com/file/d/1s1LhnJzN5aEfzhth4uE0_qd9LvNQ_7Ru/view?usp=drivesdk" TargetMode="External"/><Relationship Id="rId3043" Type="http://schemas.openxmlformats.org/officeDocument/2006/relationships/hyperlink" Target="https://drive.google.com/file/d/1I9yUGvCTdSvJDOCwgWqxn-OUb7eeFFgJ/view?usp=drivesdk" TargetMode="External"/><Relationship Id="rId4374" Type="http://schemas.openxmlformats.org/officeDocument/2006/relationships/hyperlink" Target="https://drive.google.com/file/d/1wNLKfZJxyhdZ1ZDXuapWlI-Y-N01ubvb/view?usp=drivesdk" TargetMode="External"/><Relationship Id="rId3042" Type="http://schemas.openxmlformats.org/officeDocument/2006/relationships/hyperlink" Target="https://drive.google.com/file/d/1LL3T-p1xC4IlaUyWRgfiovVARqnwKiKG/view?usp=drivesdk" TargetMode="External"/><Relationship Id="rId4373" Type="http://schemas.openxmlformats.org/officeDocument/2006/relationships/hyperlink" Target="https://drive.google.com/file/d/1NHl-Hf1t35QhT3AwfFlp2XHjxcFNTvWW/view?usp=drivesdk" TargetMode="External"/><Relationship Id="rId3045" Type="http://schemas.openxmlformats.org/officeDocument/2006/relationships/hyperlink" Target="https://drive.google.com/file/d/1Yf8MmlcxMA2jcDNcI-IdUz0OlIS_7GQV/view?usp=drivesdk" TargetMode="External"/><Relationship Id="rId4376" Type="http://schemas.openxmlformats.org/officeDocument/2006/relationships/hyperlink" Target="https://drive.google.com/file/d/1NTX1bnv1hlRHPzSFxGLUZK_e0RFApFga/view?usp=drivesdk" TargetMode="External"/><Relationship Id="rId3044" Type="http://schemas.openxmlformats.org/officeDocument/2006/relationships/hyperlink" Target="https://drive.google.com/file/d/1x8t5M9F7gnFWftx9rErS_dHknWEyjG9v/view?usp=drivesdk" TargetMode="External"/><Relationship Id="rId4375" Type="http://schemas.openxmlformats.org/officeDocument/2006/relationships/hyperlink" Target="https://drive.google.com/file/d/18lIDM_FVGARWIYWtT8eAKQT7rXpb4VNK/view?usp=drivesdk" TargetMode="External"/><Relationship Id="rId3047" Type="http://schemas.openxmlformats.org/officeDocument/2006/relationships/hyperlink" Target="https://drive.google.com/file/d/1V6ULi32lSSdapZPMmqeUlXQvVwGzcF-E/view?usp=drivesdk" TargetMode="External"/><Relationship Id="rId4378" Type="http://schemas.openxmlformats.org/officeDocument/2006/relationships/hyperlink" Target="https://drive.google.com/file/d/1ErxKIui32IlJpg2j0KDFxyHDnrKP7iZB/view?usp=drivesdk" TargetMode="External"/><Relationship Id="rId3046" Type="http://schemas.openxmlformats.org/officeDocument/2006/relationships/hyperlink" Target="https://drive.google.com/file/d/1zbGc8PaMRptkchEuzJOTXoVOp5rBfZH3/view?usp=drivesdk" TargetMode="External"/><Relationship Id="rId4377" Type="http://schemas.openxmlformats.org/officeDocument/2006/relationships/hyperlink" Target="https://drive.google.com/file/d/15IotK06IvFEnQkAdMiJOmCkk_8kWcOqK/view?usp=drivesdk" TargetMode="External"/><Relationship Id="rId3049" Type="http://schemas.openxmlformats.org/officeDocument/2006/relationships/hyperlink" Target="https://drive.google.com/file/d/1lVn0_nv0f8OIFrWQv8viVg3yJy4aUfk5/view?usp=drivesdk" TargetMode="External"/><Relationship Id="rId3048" Type="http://schemas.openxmlformats.org/officeDocument/2006/relationships/hyperlink" Target="https://drive.google.com/file/d/1FhQfyyfypLdhzKX_ZSZo7SYXbt8y8rAn/view?usp=drivesdk" TargetMode="External"/><Relationship Id="rId4379" Type="http://schemas.openxmlformats.org/officeDocument/2006/relationships/hyperlink" Target="https://drive.google.com/file/d/1jTKdKu5AZJuaf1tpzIcYNpzoz9gY6EIT/view?usp=drivesdk" TargetMode="External"/><Relationship Id="rId3911" Type="http://schemas.openxmlformats.org/officeDocument/2006/relationships/hyperlink" Target="https://drive.google.com/file/d/1EJJK32VP0SD0balfw-GINcP07CfRDsjz/view?usp=drivesdk" TargetMode="External"/><Relationship Id="rId3910" Type="http://schemas.openxmlformats.org/officeDocument/2006/relationships/hyperlink" Target="https://drive.google.com/file/d/1MiRL_XAFPJ154hEPF0sbayufL8i7-PgU/view?usp=drivesdk" TargetMode="External"/><Relationship Id="rId3913" Type="http://schemas.openxmlformats.org/officeDocument/2006/relationships/hyperlink" Target="https://drive.google.com/file/d/1UdiHq3SC5b7zjEbPJqAIv5R6xnzWmWn5/view?usp=drivesdk" TargetMode="External"/><Relationship Id="rId3912" Type="http://schemas.openxmlformats.org/officeDocument/2006/relationships/hyperlink" Target="https://drive.google.com/file/d/1iPLRyTCP5hTWYRTmpakmzmuei7ubtsnn/view?usp=drivesdk" TargetMode="External"/><Relationship Id="rId3915" Type="http://schemas.openxmlformats.org/officeDocument/2006/relationships/hyperlink" Target="https://drive.google.com/file/d/1-f9YlgXZ70FinBbeulfafKL0Ou6nVgvg/view?usp=drivesdk" TargetMode="External"/><Relationship Id="rId3914" Type="http://schemas.openxmlformats.org/officeDocument/2006/relationships/hyperlink" Target="https://drive.google.com/file/d/10qlXImREdbjAXJm5H9GmNapIiwfUhQ_S/view?usp=drivesdk" TargetMode="External"/><Relationship Id="rId3917" Type="http://schemas.openxmlformats.org/officeDocument/2006/relationships/hyperlink" Target="https://drive.google.com/file/d/17nFtRPAghlimaCLTsoHkoWpv7_eQjmZ1/view?usp=drivesdk" TargetMode="External"/><Relationship Id="rId3916" Type="http://schemas.openxmlformats.org/officeDocument/2006/relationships/hyperlink" Target="https://drive.google.com/file/d/1jm9Pe2BR6VuM2GzPX6xFwzJqFkbbsCCD/view?usp=drivesdk" TargetMode="External"/><Relationship Id="rId3919" Type="http://schemas.openxmlformats.org/officeDocument/2006/relationships/hyperlink" Target="https://drive.google.com/file/d/1xnKaLKNrS3rp6Q8TZyClHdL_-3WSsDGS/view?usp=drivesdk" TargetMode="External"/><Relationship Id="rId3918" Type="http://schemas.openxmlformats.org/officeDocument/2006/relationships/hyperlink" Target="https://drive.google.com/file/d/1Tb0Oii12XllnB9xfDY71t3HE9urdo-Vz/view?usp=drivesdk" TargetMode="External"/><Relationship Id="rId3900" Type="http://schemas.openxmlformats.org/officeDocument/2006/relationships/hyperlink" Target="https://drive.google.com/file/d/1z2vMQRSa-TdInUVUQTJKxV1Ty6uYlV9_/view?usp=drivesdk" TargetMode="External"/><Relationship Id="rId3902" Type="http://schemas.openxmlformats.org/officeDocument/2006/relationships/hyperlink" Target="https://drive.google.com/file/d/1O_cckPy03DVTkOTiI2uj07kSE1iFoQ1i/view?usp=drivesdk" TargetMode="External"/><Relationship Id="rId3901" Type="http://schemas.openxmlformats.org/officeDocument/2006/relationships/hyperlink" Target="https://drive.google.com/file/d/1VcYPXpCHi8OSAXM7Djq6grp_8r-pDRoQ/view?usp=drivesdk" TargetMode="External"/><Relationship Id="rId3904" Type="http://schemas.openxmlformats.org/officeDocument/2006/relationships/hyperlink" Target="https://drive.google.com/file/d/1TNOf5Z4vV-IKilI1LEINulDNZS89A3e-/view?usp=drivesdk" TargetMode="External"/><Relationship Id="rId3903" Type="http://schemas.openxmlformats.org/officeDocument/2006/relationships/hyperlink" Target="https://drive.google.com/file/d/165cRX897GIDCr8f6eaSgFYVZ_oQ3nZG4/view?usp=drivesdk" TargetMode="External"/><Relationship Id="rId3906" Type="http://schemas.openxmlformats.org/officeDocument/2006/relationships/hyperlink" Target="https://drive.google.com/file/d/1rmE6jOnkHh5hsuZcy5Du2zcElkVFicvL/view?usp=drivesdk" TargetMode="External"/><Relationship Id="rId3905" Type="http://schemas.openxmlformats.org/officeDocument/2006/relationships/hyperlink" Target="https://drive.google.com/file/d/1kgkgKm9aR4PWvbh16x9BFh67ImFe_zS5/view?usp=drivesdk" TargetMode="External"/><Relationship Id="rId3908" Type="http://schemas.openxmlformats.org/officeDocument/2006/relationships/hyperlink" Target="https://drive.google.com/file/d/1XexuavAlFY0FodJ3PTuRH315jrd6bWyH/view?usp=drivesdk" TargetMode="External"/><Relationship Id="rId3907" Type="http://schemas.openxmlformats.org/officeDocument/2006/relationships/hyperlink" Target="https://drive.google.com/file/d/1DaEhsOlEHbbt4FAE6wXmWcRXSOEi7c55/view?usp=drivesdk" TargetMode="External"/><Relationship Id="rId3909" Type="http://schemas.openxmlformats.org/officeDocument/2006/relationships/hyperlink" Target="https://drive.google.com/file/d/1OCUcPngRpmyRjGKByZ3eEA_ELfE2ue1t/view?usp=drivesdk" TargetMode="External"/><Relationship Id="rId3931" Type="http://schemas.openxmlformats.org/officeDocument/2006/relationships/hyperlink" Target="https://drive.google.com/file/d/13QPUEj1r8sdpa0whIZRfCPF8YQ3eEmGu/view?usp=drivesdk" TargetMode="External"/><Relationship Id="rId2600" Type="http://schemas.openxmlformats.org/officeDocument/2006/relationships/hyperlink" Target="https://drive.google.com/file/d/1Y-7FecQ4q5tv1w_H7wbDuTVzeqfeEz7z/view?usp=drivesdk" TargetMode="External"/><Relationship Id="rId3930" Type="http://schemas.openxmlformats.org/officeDocument/2006/relationships/hyperlink" Target="https://drive.google.com/file/d/1eYCcEYPyyQhIgD9q79BABahzJEGeJHuI/view?usp=drivesdk" TargetMode="External"/><Relationship Id="rId2601" Type="http://schemas.openxmlformats.org/officeDocument/2006/relationships/hyperlink" Target="https://drive.google.com/file/d/1yi6boMZT_2F1LQ9illuwZfa3UaZdMOrF/view?usp=drivesdk" TargetMode="External"/><Relationship Id="rId3933" Type="http://schemas.openxmlformats.org/officeDocument/2006/relationships/hyperlink" Target="https://drive.google.com/file/d/1irJlL9WAXUISbscDn1AV3LX8HBc3amrB/view?usp=drivesdk" TargetMode="External"/><Relationship Id="rId2602" Type="http://schemas.openxmlformats.org/officeDocument/2006/relationships/hyperlink" Target="https://drive.google.com/file/d/1WPlqX5cTR7tMg8V5jgZc08vAQ57axtc5/view?usp=drivesdk" TargetMode="External"/><Relationship Id="rId3932" Type="http://schemas.openxmlformats.org/officeDocument/2006/relationships/hyperlink" Target="https://drive.google.com/file/d/1u9WYzKhNXHUktEFOOD-82ilHao17Qc-C/view?usp=drivesdk" TargetMode="External"/><Relationship Id="rId2603" Type="http://schemas.openxmlformats.org/officeDocument/2006/relationships/hyperlink" Target="https://drive.google.com/file/d/19MLGoAGhYPS4auwKaC30iwABDjkjRtUb/view?usp=drivesdk" TargetMode="External"/><Relationship Id="rId3935" Type="http://schemas.openxmlformats.org/officeDocument/2006/relationships/hyperlink" Target="https://drive.google.com/file/d/1wJJsDuR_rmQPbLUQgVpc0TGCGW4BNOxb/view?usp=drivesdk" TargetMode="External"/><Relationship Id="rId2604" Type="http://schemas.openxmlformats.org/officeDocument/2006/relationships/hyperlink" Target="https://drive.google.com/file/d/1L9Kw8YB8TzfaMvp3UYZKtjYWasq75Esd/view?usp=drivesdk" TargetMode="External"/><Relationship Id="rId3934" Type="http://schemas.openxmlformats.org/officeDocument/2006/relationships/hyperlink" Target="https://drive.google.com/file/d/1C9vqYZj9BZiZFLnNFfAsp8_ZzWeDGiW8/view?usp=drivesdk" TargetMode="External"/><Relationship Id="rId2605" Type="http://schemas.openxmlformats.org/officeDocument/2006/relationships/hyperlink" Target="https://drive.google.com/file/d/1enlM58a7Tm9zv9XAQwlEy1yMYgkQb1ne/view?usp=drivesdk" TargetMode="External"/><Relationship Id="rId3937" Type="http://schemas.openxmlformats.org/officeDocument/2006/relationships/hyperlink" Target="https://drive.google.com/file/d/198paWqkFelw4J_nQLreXa8UDels6VxGI/view?usp=drivesdk" TargetMode="External"/><Relationship Id="rId2606" Type="http://schemas.openxmlformats.org/officeDocument/2006/relationships/hyperlink" Target="https://drive.google.com/file/d/1CIHXIh5tnYRe2m0sv9J8GWehFH0A4mmX/view?usp=drivesdk" TargetMode="External"/><Relationship Id="rId3936" Type="http://schemas.openxmlformats.org/officeDocument/2006/relationships/hyperlink" Target="https://drive.google.com/file/d/1fNudVrPa3gXJlWxIE1UT1LP-s8W0MZM8/view?usp=drivesdk" TargetMode="External"/><Relationship Id="rId808" Type="http://schemas.openxmlformats.org/officeDocument/2006/relationships/hyperlink" Target="https://drive.google.com/file/d/1p7AH3YyxPByboQBVzJAy27VuD9u4Ut6u/view?usp=drivesdk" TargetMode="External"/><Relationship Id="rId2607" Type="http://schemas.openxmlformats.org/officeDocument/2006/relationships/hyperlink" Target="https://drive.google.com/file/d/1NXIid0AaTgCXyN7ZnKcXOkwz1jA1hULp/view?usp=drivesdk" TargetMode="External"/><Relationship Id="rId3939" Type="http://schemas.openxmlformats.org/officeDocument/2006/relationships/hyperlink" Target="https://drive.google.com/file/d/1LBCtru9bDQjmbYxan9VO2GsqKGVjXoM9/view?usp=drivesdk" TargetMode="External"/><Relationship Id="rId807" Type="http://schemas.openxmlformats.org/officeDocument/2006/relationships/hyperlink" Target="https://drive.google.com/file/d/1jdnjcMqDCd-IJZsGPjLC3K-vkqy5dk9S/view?usp=drivesdk" TargetMode="External"/><Relationship Id="rId2608" Type="http://schemas.openxmlformats.org/officeDocument/2006/relationships/hyperlink" Target="https://drive.google.com/file/d/1gXWzSPyumJ0VNu6kRWAwe1lyriD3JLAm/view?usp=drivesdk" TargetMode="External"/><Relationship Id="rId3938" Type="http://schemas.openxmlformats.org/officeDocument/2006/relationships/hyperlink" Target="https://drive.google.com/file/d/1FYVkvqs25oLSHcV0mm9tpebu5gUHSFU9/view?usp=drivesdk" TargetMode="External"/><Relationship Id="rId806" Type="http://schemas.openxmlformats.org/officeDocument/2006/relationships/hyperlink" Target="https://drive.google.com/file/d/1ZIBShhs8f-rb0FAW0i9o9L2mSmK-5m4y/view?usp=drivesdk" TargetMode="External"/><Relationship Id="rId2609" Type="http://schemas.openxmlformats.org/officeDocument/2006/relationships/hyperlink" Target="https://drive.google.com/file/d/1ziqR6ClhtqRFSlU97J6Ufj214Lf9bS9h/view?usp=drivesdk" TargetMode="External"/><Relationship Id="rId805" Type="http://schemas.openxmlformats.org/officeDocument/2006/relationships/hyperlink" Target="https://drive.google.com/file/d/1A8Lgn78JxepfjFSJRgt7J-RsG-NOtDv7/view?usp=drivesdk" TargetMode="External"/><Relationship Id="rId809" Type="http://schemas.openxmlformats.org/officeDocument/2006/relationships/hyperlink" Target="https://drive.google.com/file/d/1B5emIv5IiVTKIx5RVH-wfBICdcWycJBG/view?usp=drivesdk" TargetMode="External"/><Relationship Id="rId800" Type="http://schemas.openxmlformats.org/officeDocument/2006/relationships/hyperlink" Target="https://drive.google.com/file/d/169Uq8njbOKHOXUN2tKpdQtAFSIB91RS8/view?usp=drivesdk" TargetMode="External"/><Relationship Id="rId804" Type="http://schemas.openxmlformats.org/officeDocument/2006/relationships/hyperlink" Target="https://drive.google.com/file/d/1npnmwtl34maIVGq5WUu5qfsI1ZG6mROY/view?usp=drivesdk" TargetMode="External"/><Relationship Id="rId803" Type="http://schemas.openxmlformats.org/officeDocument/2006/relationships/hyperlink" Target="https://drive.google.com/file/d/1folMZkPL03m4ZOYhBSh4JfXl0XcMKnK_/view?usp=drivesdk" TargetMode="External"/><Relationship Id="rId802" Type="http://schemas.openxmlformats.org/officeDocument/2006/relationships/hyperlink" Target="https://drive.google.com/file/d/1BZw5CdIcyPapiXcKeLIw__IGUsXrokjK/view?usp=drivesdk" TargetMode="External"/><Relationship Id="rId801" Type="http://schemas.openxmlformats.org/officeDocument/2006/relationships/hyperlink" Target="https://drive.google.com/file/d/1ITewyqPnUE5YQMQ4UezUlakpTvuVWMi5/view?usp=drivesdk" TargetMode="External"/><Relationship Id="rId3920" Type="http://schemas.openxmlformats.org/officeDocument/2006/relationships/hyperlink" Target="https://drive.google.com/file/d/19hHobawU4q0ftbxRDqr_6QtSbSilR1t0/view?usp=drivesdk" TargetMode="External"/><Relationship Id="rId3922" Type="http://schemas.openxmlformats.org/officeDocument/2006/relationships/hyperlink" Target="https://drive.google.com/file/d/1f2V9x_WUZ66NaMAxriESMg9IDFDxqisN/view?usp=drivesdk" TargetMode="External"/><Relationship Id="rId3921" Type="http://schemas.openxmlformats.org/officeDocument/2006/relationships/hyperlink" Target="https://drive.google.com/file/d/1cKgWk14ydD0aUUMVViyKJUOmD3M0LnwT/view?usp=drivesdk" TargetMode="External"/><Relationship Id="rId3924" Type="http://schemas.openxmlformats.org/officeDocument/2006/relationships/hyperlink" Target="https://drive.google.com/file/d/1NPwfwxdKxuHSfFqk9KWqrnjoNK5H_IuE/view?usp=drivesdk" TargetMode="External"/><Relationship Id="rId3923" Type="http://schemas.openxmlformats.org/officeDocument/2006/relationships/hyperlink" Target="https://drive.google.com/file/d/1MbFDPsHcuDbpG4fqMB9q2_fkad9y6irT/view?usp=drivesdk" TargetMode="External"/><Relationship Id="rId3926" Type="http://schemas.openxmlformats.org/officeDocument/2006/relationships/hyperlink" Target="https://drive.google.com/file/d/1CM1Lvw-McOohjEXFI3R46cNxXXFjMYWX/view?usp=drivesdk" TargetMode="External"/><Relationship Id="rId3925" Type="http://schemas.openxmlformats.org/officeDocument/2006/relationships/hyperlink" Target="https://drive.google.com/file/d/1YHulJwJCZMw5O6grq4_TEqJO6XKv9GRf/view?usp=drivesdk" TargetMode="External"/><Relationship Id="rId3928" Type="http://schemas.openxmlformats.org/officeDocument/2006/relationships/hyperlink" Target="https://drive.google.com/file/d/1E4ItGpvxvHE9sDt7CtNQ-KfsibYXmGJ7/view?usp=drivesdk" TargetMode="External"/><Relationship Id="rId3927" Type="http://schemas.openxmlformats.org/officeDocument/2006/relationships/hyperlink" Target="https://drive.google.com/file/d/1f9voJUazyPoyPa5mkLtQwg9yphWrfXFA/view?usp=drivesdk" TargetMode="External"/><Relationship Id="rId3929" Type="http://schemas.openxmlformats.org/officeDocument/2006/relationships/hyperlink" Target="https://drive.google.com/file/d/15HvNWw-LRDtMkf7-DtdWdukLBw-vTdI_/view?usp=drivesdk" TargetMode="External"/><Relationship Id="rId1334" Type="http://schemas.openxmlformats.org/officeDocument/2006/relationships/hyperlink" Target="https://drive.google.com/file/d/1U02OSQbCdvjqFLaQPsMPn60Trton3vKs/view?usp=drivesdk" TargetMode="External"/><Relationship Id="rId2665" Type="http://schemas.openxmlformats.org/officeDocument/2006/relationships/hyperlink" Target="https://drive.google.com/file/d/1dMhSArLf2UjZS1DiBGHm6hvmIw3P6yjH/view?usp=drivesdk" TargetMode="External"/><Relationship Id="rId3997" Type="http://schemas.openxmlformats.org/officeDocument/2006/relationships/hyperlink" Target="https://drive.google.com/file/d/1WC0yRHQ2aR52MbySMHYiRnahv_rEdy0i/view?usp=drivesdk" TargetMode="External"/><Relationship Id="rId1335" Type="http://schemas.openxmlformats.org/officeDocument/2006/relationships/hyperlink" Target="https://drive.google.com/file/d/1RAllTjRoySi4eAH46EuO6d5a4vzxtbOJ/view?usp=drivesdk" TargetMode="External"/><Relationship Id="rId2666" Type="http://schemas.openxmlformats.org/officeDocument/2006/relationships/hyperlink" Target="https://drive.google.com/file/d/1kZKirCgQxyArpW0tVCQdi_DGKKjV8Y08/view?usp=drivesdk" TargetMode="External"/><Relationship Id="rId3996" Type="http://schemas.openxmlformats.org/officeDocument/2006/relationships/hyperlink" Target="https://drive.google.com/file/d/1HVcRv2sNuY-8ku9hPdkX-CPqtSdYH5wY/view?usp=drivesdk" TargetMode="External"/><Relationship Id="rId1336" Type="http://schemas.openxmlformats.org/officeDocument/2006/relationships/hyperlink" Target="https://drive.google.com/file/d/17g_jg23ofaQ1ekT9A2WOo6fJ3pCag3N4/view?usp=drivesdk" TargetMode="External"/><Relationship Id="rId2667" Type="http://schemas.openxmlformats.org/officeDocument/2006/relationships/hyperlink" Target="https://drive.google.com/file/d/1jTOi-9mFN8o4ChVLt_7O0UP4Y0-Zinjs/view?usp=drivesdk" TargetMode="External"/><Relationship Id="rId3999" Type="http://schemas.openxmlformats.org/officeDocument/2006/relationships/hyperlink" Target="https://drive.google.com/file/d/1w7L0pCH1uwtg_M5qVSGU0P94BidCoDGZ/view?usp=drivesdk" TargetMode="External"/><Relationship Id="rId1337" Type="http://schemas.openxmlformats.org/officeDocument/2006/relationships/hyperlink" Target="https://drive.google.com/file/d/1kh_Cb4teHrWy2LDi8IEkXyafC-x3XDN-/view?usp=drivesdk" TargetMode="External"/><Relationship Id="rId2668" Type="http://schemas.openxmlformats.org/officeDocument/2006/relationships/hyperlink" Target="https://drive.google.com/file/d/1LGFVOJnCdNhXw-2d9lK02tPAzQ1nwl7g/view?usp=drivesdk" TargetMode="External"/><Relationship Id="rId3998" Type="http://schemas.openxmlformats.org/officeDocument/2006/relationships/hyperlink" Target="https://drive.google.com/file/d/1P2Elu488zHt9WL14hV84FUoNZTVbC0A8/view?usp=drivesdk" TargetMode="External"/><Relationship Id="rId1338" Type="http://schemas.openxmlformats.org/officeDocument/2006/relationships/hyperlink" Target="https://drive.google.com/file/d/1TRtsZnmekf3nOv2xCok2l4wKIQQrTIvm/view?usp=drivesdk" TargetMode="External"/><Relationship Id="rId2669" Type="http://schemas.openxmlformats.org/officeDocument/2006/relationships/hyperlink" Target="https://drive.google.com/file/d/11RzFjXGDiwk6ko-FYfC9pDTHkn9Ms_Xj/view?usp=drivesdk" TargetMode="External"/><Relationship Id="rId1339" Type="http://schemas.openxmlformats.org/officeDocument/2006/relationships/hyperlink" Target="https://drive.google.com/file/d/1ZVSBZUvHKfcjBvSF8zT9Bxnh4JddEgfU/view?usp=drivesdk" TargetMode="External"/><Relationship Id="rId745" Type="http://schemas.openxmlformats.org/officeDocument/2006/relationships/hyperlink" Target="https://drive.google.com/file/d/16AQkU7wcWF8JENpJhCSeFKPv94e9oNuo/view?usp=drivesdk" TargetMode="External"/><Relationship Id="rId744" Type="http://schemas.openxmlformats.org/officeDocument/2006/relationships/hyperlink" Target="https://drive.google.com/file/d/17AE3CnlrHFUAjv_tTdAcZpJ0LqHkeB2J/view?usp=drivesdk" TargetMode="External"/><Relationship Id="rId743" Type="http://schemas.openxmlformats.org/officeDocument/2006/relationships/hyperlink" Target="https://drive.google.com/file/d/1IUQy4yS635KFWHzuzfAwyhhQmOHohfwD/view?usp=drivesdk" TargetMode="External"/><Relationship Id="rId742" Type="http://schemas.openxmlformats.org/officeDocument/2006/relationships/hyperlink" Target="https://drive.google.com/file/d/1tOO7Vh5CQQJbJOMYg1yIthOJciaXZMkS/view?usp=drivesdk" TargetMode="External"/><Relationship Id="rId749" Type="http://schemas.openxmlformats.org/officeDocument/2006/relationships/hyperlink" Target="https://drive.google.com/file/d/1traJ8qklqxe8D1KLk7SegPsGbafpmwZO/view?usp=drivesdk" TargetMode="External"/><Relationship Id="rId748" Type="http://schemas.openxmlformats.org/officeDocument/2006/relationships/hyperlink" Target="https://drive.google.com/file/d/1-SFYddfq2Xf7AhFC1dykSjKP14eABXrA/view?usp=drivesdk" TargetMode="External"/><Relationship Id="rId747" Type="http://schemas.openxmlformats.org/officeDocument/2006/relationships/hyperlink" Target="https://drive.google.com/file/d/1hDnRnBdekvIyLOcO-vgi8zDjmVxQT1sF/view?usp=drivesdk" TargetMode="External"/><Relationship Id="rId746" Type="http://schemas.openxmlformats.org/officeDocument/2006/relationships/hyperlink" Target="https://drive.google.com/file/d/1JCBGgJl6jG172uFCV2r7w8DQkqj2iqzt/view?usp=drivesdk" TargetMode="External"/><Relationship Id="rId3991" Type="http://schemas.openxmlformats.org/officeDocument/2006/relationships/hyperlink" Target="https://drive.google.com/file/d/1HTDS-nO4K0fFlUKfFphQSIAFXHJkJ4Jv/view?usp=drivesdk" TargetMode="External"/><Relationship Id="rId2660" Type="http://schemas.openxmlformats.org/officeDocument/2006/relationships/hyperlink" Target="https://drive.google.com/file/d/1soqsC8y804xGxCGXLdpI-Fx7wtH3bwnm/view?usp=drivesdk" TargetMode="External"/><Relationship Id="rId3990" Type="http://schemas.openxmlformats.org/officeDocument/2006/relationships/hyperlink" Target="https://drive.google.com/file/d/1JW2y-P8TvCrJLHlYsXiYmADRW8JeD012/view?usp=drivesdk" TargetMode="External"/><Relationship Id="rId741" Type="http://schemas.openxmlformats.org/officeDocument/2006/relationships/hyperlink" Target="https://drive.google.com/file/d/1mMNgLaEgfYFLmO2DtY91uUmDjgOQexo_/view?usp=drivesdk" TargetMode="External"/><Relationship Id="rId1330" Type="http://schemas.openxmlformats.org/officeDocument/2006/relationships/hyperlink" Target="https://drive.google.com/file/d/15qzx9-g7p86dOBrVIkBXsos1Fmq_Bv37/view?usp=drivesdk" TargetMode="External"/><Relationship Id="rId2661" Type="http://schemas.openxmlformats.org/officeDocument/2006/relationships/hyperlink" Target="https://drive.google.com/file/d/16zbhf95k7sHeRU4a77nXk2nELqBk4KCn/view?usp=drivesdk" TargetMode="External"/><Relationship Id="rId3993" Type="http://schemas.openxmlformats.org/officeDocument/2006/relationships/hyperlink" Target="https://drive.google.com/file/d/1yoBWdTbO-uCFV1iHgn0XC-txYz3I8wmD/view?usp=drivesdk" TargetMode="External"/><Relationship Id="rId740" Type="http://schemas.openxmlformats.org/officeDocument/2006/relationships/hyperlink" Target="https://drive.google.com/file/d/1ScUl9u6oKLPPWZwOhtmqfC3H6-2z-6ty/view?usp=drivesdk" TargetMode="External"/><Relationship Id="rId1331" Type="http://schemas.openxmlformats.org/officeDocument/2006/relationships/hyperlink" Target="https://drive.google.com/file/d/1x0W2A_QE_T87BumoVgDasTbq8_9PuJcZ/view?usp=drivesdk" TargetMode="External"/><Relationship Id="rId2662" Type="http://schemas.openxmlformats.org/officeDocument/2006/relationships/hyperlink" Target="https://drive.google.com/file/d/1HL7HLmd0BcWO91aK7Q_9wcugNA2Sh0xQ/view?usp=drivesdk" TargetMode="External"/><Relationship Id="rId3992" Type="http://schemas.openxmlformats.org/officeDocument/2006/relationships/hyperlink" Target="https://drive.google.com/file/d/1YVnEtfvEzlnaA_1ypx_gbJ9OdQarGEXE/view?usp=drivesdk" TargetMode="External"/><Relationship Id="rId1332" Type="http://schemas.openxmlformats.org/officeDocument/2006/relationships/hyperlink" Target="https://drive.google.com/file/d/1-I4afFu-0-iVHCVBva5Yc2DHpRLd3P5r/view?usp=drivesdk" TargetMode="External"/><Relationship Id="rId2663" Type="http://schemas.openxmlformats.org/officeDocument/2006/relationships/hyperlink" Target="https://drive.google.com/file/d/1Jewe4TRixj-RWXRwBrW2xfYt-B-hsEQS/view?usp=drivesdk" TargetMode="External"/><Relationship Id="rId3995" Type="http://schemas.openxmlformats.org/officeDocument/2006/relationships/hyperlink" Target="https://drive.google.com/file/d/1zKd9RLjXN6Ni22Oe32u2Rvg2lVxqOykW/view?usp=drivesdk" TargetMode="External"/><Relationship Id="rId1333" Type="http://schemas.openxmlformats.org/officeDocument/2006/relationships/hyperlink" Target="https://drive.google.com/file/d/1WF8tsNIg0h_fBcjAkZVc11MhgYutIdw5/view?usp=drivesdk" TargetMode="External"/><Relationship Id="rId2664" Type="http://schemas.openxmlformats.org/officeDocument/2006/relationships/hyperlink" Target="https://drive.google.com/file/d/1ihOoS3O0330ssBMJHmhC4FfaFHoLhyKk/view?usp=drivesdk" TargetMode="External"/><Relationship Id="rId3994" Type="http://schemas.openxmlformats.org/officeDocument/2006/relationships/hyperlink" Target="https://drive.google.com/file/d/17ET9kVSFU6dhZGn3dntHblZ4aPsMyJ4Z/view?usp=drivesdk" TargetMode="External"/><Relationship Id="rId1323" Type="http://schemas.openxmlformats.org/officeDocument/2006/relationships/hyperlink" Target="https://drive.google.com/file/d/1ktDiLcyuB3Urk4lLAy6a4QO7L51hWFfj/view?usp=drivesdk" TargetMode="External"/><Relationship Id="rId2654" Type="http://schemas.openxmlformats.org/officeDocument/2006/relationships/hyperlink" Target="https://drive.google.com/file/d/1sfp5NGjKPLmJ8NCpiU--UsHqWGjZ417O/view?usp=drivesdk" TargetMode="External"/><Relationship Id="rId3986" Type="http://schemas.openxmlformats.org/officeDocument/2006/relationships/hyperlink" Target="https://drive.google.com/file/d/1ZiW9Qh-i97AQQfpHR6aiwzgU1hMuIhli/view?usp=drivesdk" TargetMode="External"/><Relationship Id="rId1324" Type="http://schemas.openxmlformats.org/officeDocument/2006/relationships/hyperlink" Target="https://drive.google.com/file/d/1KpNWhT4v7B7kMV1f5dW2hOr6vBG4zISk/view?usp=drivesdk" TargetMode="External"/><Relationship Id="rId2655" Type="http://schemas.openxmlformats.org/officeDocument/2006/relationships/hyperlink" Target="https://drive.google.com/file/d/1K7YXJwNR3rZML15jXqdWaWIx_YPBsqd7/view?usp=drivesdk" TargetMode="External"/><Relationship Id="rId3985" Type="http://schemas.openxmlformats.org/officeDocument/2006/relationships/hyperlink" Target="https://drive.google.com/file/d/129M9A4WjUEdNDRwPPUYoMQP9pBryXl8_/view?usp=drivesdk" TargetMode="External"/><Relationship Id="rId1325" Type="http://schemas.openxmlformats.org/officeDocument/2006/relationships/hyperlink" Target="https://drive.google.com/file/d/1yiwfvP2ZuyWl-41Pi-t5UGMcf0WMALZp/view?usp=drivesdk" TargetMode="External"/><Relationship Id="rId2656" Type="http://schemas.openxmlformats.org/officeDocument/2006/relationships/hyperlink" Target="https://drive.google.com/file/d/1D4Evx3CuqyjPcseJc1Y_HiUFpvFcSlBe/view?usp=drivesdk" TargetMode="External"/><Relationship Id="rId3988" Type="http://schemas.openxmlformats.org/officeDocument/2006/relationships/hyperlink" Target="https://drive.google.com/file/d/1cKUflVFkVGYBkbFXrBd9BReDQUOY2U_E/view?usp=drivesdk" TargetMode="External"/><Relationship Id="rId1326" Type="http://schemas.openxmlformats.org/officeDocument/2006/relationships/hyperlink" Target="https://drive.google.com/file/d/1QN9h1sw_0xDW0jkNGJfgZfabFXgkjZax/view?usp=drivesdk" TargetMode="External"/><Relationship Id="rId2657" Type="http://schemas.openxmlformats.org/officeDocument/2006/relationships/hyperlink" Target="https://drive.google.com/file/d/1mLQgELGBoNruQh-MlCCtiDnAhQDIzDjw/view?usp=drivesdk" TargetMode="External"/><Relationship Id="rId3987" Type="http://schemas.openxmlformats.org/officeDocument/2006/relationships/hyperlink" Target="https://drive.google.com/file/d/11CFk8gPmMBrhMNbip3PeYh63ix2DhxrO/view?usp=drivesdk" TargetMode="External"/><Relationship Id="rId1327" Type="http://schemas.openxmlformats.org/officeDocument/2006/relationships/hyperlink" Target="https://drive.google.com/file/d/19XXLp8GYDtIs3wbOUoSW5OrBzAfPnPBS/view?usp=drivesdk" TargetMode="External"/><Relationship Id="rId2658" Type="http://schemas.openxmlformats.org/officeDocument/2006/relationships/hyperlink" Target="https://drive.google.com/file/d/12qirs4dpl_ix-Thc66bo59kqtjF2Gxbw/view?usp=drivesdk" TargetMode="External"/><Relationship Id="rId1328" Type="http://schemas.openxmlformats.org/officeDocument/2006/relationships/hyperlink" Target="https://drive.google.com/file/d/13ZZ-2KTUha6gpceVxeq10n3Ysm3v2Vpt/view?usp=drivesdk" TargetMode="External"/><Relationship Id="rId2659" Type="http://schemas.openxmlformats.org/officeDocument/2006/relationships/hyperlink" Target="https://drive.google.com/file/d/1DkE0Ph3iAOxKBOC6xQ2bwQXQyu0qpT3W/view?usp=drivesdk" TargetMode="External"/><Relationship Id="rId3989" Type="http://schemas.openxmlformats.org/officeDocument/2006/relationships/hyperlink" Target="https://drive.google.com/file/d/19nEOtkcKCoLtZQ1ApIFnRu0rFFA8QWs9/view?usp=drivesdk" TargetMode="External"/><Relationship Id="rId1329" Type="http://schemas.openxmlformats.org/officeDocument/2006/relationships/hyperlink" Target="https://drive.google.com/file/d/1J-3OokdJLSAoufz8ZHtbE85RwWAfI1RV/view?usp=drivesdk" TargetMode="External"/><Relationship Id="rId739" Type="http://schemas.openxmlformats.org/officeDocument/2006/relationships/hyperlink" Target="https://drive.google.com/file/d/1BUU_ZZ3R89uinIGoyRGRjp0gFr0DoQI1/view?usp=drivesdk" TargetMode="External"/><Relationship Id="rId734" Type="http://schemas.openxmlformats.org/officeDocument/2006/relationships/hyperlink" Target="https://drive.google.com/file/d/1dbL90tNuzkpEsUBmxrBMyAor8Sfo2Rux/view?usp=drivesdk" TargetMode="External"/><Relationship Id="rId733" Type="http://schemas.openxmlformats.org/officeDocument/2006/relationships/hyperlink" Target="https://drive.google.com/file/d/12yDq7gjglqlhEw5HJXzQauCMc0KdK0O7/view?usp=drivesdk" TargetMode="External"/><Relationship Id="rId732" Type="http://schemas.openxmlformats.org/officeDocument/2006/relationships/hyperlink" Target="https://drive.google.com/file/d/1Bc30SiWBjTXYTYLAS2z8TmI1rpvR6b-q/view?usp=drivesdk" TargetMode="External"/><Relationship Id="rId731" Type="http://schemas.openxmlformats.org/officeDocument/2006/relationships/hyperlink" Target="https://drive.google.com/file/d/1LgqNQDw77rtkI3S2wdlTjaEQ3XsDOdSH/view?usp=drivesdk" TargetMode="External"/><Relationship Id="rId738" Type="http://schemas.openxmlformats.org/officeDocument/2006/relationships/hyperlink" Target="https://drive.google.com/file/d/11niGh-pIG4SbrN-P19Tvaj2jWt4HcLeS/view?usp=drivesdk" TargetMode="External"/><Relationship Id="rId737" Type="http://schemas.openxmlformats.org/officeDocument/2006/relationships/hyperlink" Target="https://drive.google.com/file/d/1pCVqHzEtMPC4odxIVAJf0NBXj6qq8yWC/view?usp=drivesdk" TargetMode="External"/><Relationship Id="rId736" Type="http://schemas.openxmlformats.org/officeDocument/2006/relationships/hyperlink" Target="https://drive.google.com/file/d/1Ukqlw1qxU5CiAf4ttNC-oaKSPmeQDGuO/view?usp=drivesdk" TargetMode="External"/><Relationship Id="rId735" Type="http://schemas.openxmlformats.org/officeDocument/2006/relationships/hyperlink" Target="https://drive.google.com/file/d/1le4pzmbTBT8BVcrS0HTt9pqYDOIxzajm/view?usp=drivesdk" TargetMode="External"/><Relationship Id="rId3980" Type="http://schemas.openxmlformats.org/officeDocument/2006/relationships/hyperlink" Target="https://drive.google.com/file/d/1KbTatuoWoz2dG7jIL9A2w6LBNFGNRbPt/view?usp=drivesdk" TargetMode="External"/><Relationship Id="rId730" Type="http://schemas.openxmlformats.org/officeDocument/2006/relationships/hyperlink" Target="https://drive.google.com/file/d/1DQ4hYOU5r_gfBWmyIszJLn_D7kOD4Bd9/view?usp=drivesdk" TargetMode="External"/><Relationship Id="rId2650" Type="http://schemas.openxmlformats.org/officeDocument/2006/relationships/hyperlink" Target="https://drive.google.com/file/d/1j9ERzAw7pH_Xq_AWCwzoskeBTmNhdAKH/view?usp=drivesdk" TargetMode="External"/><Relationship Id="rId3982" Type="http://schemas.openxmlformats.org/officeDocument/2006/relationships/hyperlink" Target="https://drive.google.com/file/d/1dxEMpo2ryFTuHqhz1h-TdcCvcCXnCQV9/view?usp=drivesdk" TargetMode="External"/><Relationship Id="rId1320" Type="http://schemas.openxmlformats.org/officeDocument/2006/relationships/hyperlink" Target="https://drive.google.com/file/d/12GB__Un5cTX2OH5XbIHCp2IUriAWC9G9/view?usp=drivesdk" TargetMode="External"/><Relationship Id="rId2651" Type="http://schemas.openxmlformats.org/officeDocument/2006/relationships/hyperlink" Target="https://drive.google.com/file/d/1XjSy_uYF1acpfq_LM8Sb0m_QxYIPiLpK/view?usp=drivesdk" TargetMode="External"/><Relationship Id="rId3981" Type="http://schemas.openxmlformats.org/officeDocument/2006/relationships/hyperlink" Target="https://drive.google.com/file/d/1nuR5BtCPSoeYoiqJZv5dVOYbCfLjDrHV/view?usp=drivesdk" TargetMode="External"/><Relationship Id="rId1321" Type="http://schemas.openxmlformats.org/officeDocument/2006/relationships/hyperlink" Target="https://drive.google.com/file/d/1d1CH_x2EV_lkeou_i3t4CQmf03vDPjQU/view?usp=drivesdk" TargetMode="External"/><Relationship Id="rId2652" Type="http://schemas.openxmlformats.org/officeDocument/2006/relationships/hyperlink" Target="https://drive.google.com/file/d/1pZS_l6gCl-9tp_zmMLJGs30SCztNQCPe/view?usp=drivesdk" TargetMode="External"/><Relationship Id="rId3984" Type="http://schemas.openxmlformats.org/officeDocument/2006/relationships/hyperlink" Target="https://drive.google.com/file/d/1KmLXU9OFNOLxvb5jkKDiMyv6I6GwzFZa/view?usp=drivesdk" TargetMode="External"/><Relationship Id="rId1322" Type="http://schemas.openxmlformats.org/officeDocument/2006/relationships/hyperlink" Target="https://drive.google.com/file/d/1X4Q6HLjOhqFSYcz50oNTohnJA3aOXtQX/view?usp=drivesdk" TargetMode="External"/><Relationship Id="rId2653" Type="http://schemas.openxmlformats.org/officeDocument/2006/relationships/hyperlink" Target="https://drive.google.com/file/d/1So7dQJDoj-AZ-nCSL1bftksDeWGXriBx/view?usp=drivesdk" TargetMode="External"/><Relationship Id="rId3983" Type="http://schemas.openxmlformats.org/officeDocument/2006/relationships/hyperlink" Target="https://drive.google.com/file/d/1qCy9Bhs0rIel_Z1gZhLoBCZ44BNO4lDw/view?usp=drivesdk" TargetMode="External"/><Relationship Id="rId1356" Type="http://schemas.openxmlformats.org/officeDocument/2006/relationships/hyperlink" Target="https://drive.google.com/file/d/1Yy3LYy6YPah-erfrZHZcZ-wNO70JXuOi/view?usp=drivesdk" TargetMode="External"/><Relationship Id="rId2687" Type="http://schemas.openxmlformats.org/officeDocument/2006/relationships/hyperlink" Target="https://drive.google.com/file/d/1K-Bb3d6sQ17s_IQLpu6FghIShhZ_Nzbq/view?usp=drivesdk" TargetMode="External"/><Relationship Id="rId1357" Type="http://schemas.openxmlformats.org/officeDocument/2006/relationships/hyperlink" Target="https://drive.google.com/file/d/1b97slzlJCnHPus0-QT8E6lYx3_245Qri/view?usp=drivesdk" TargetMode="External"/><Relationship Id="rId2688" Type="http://schemas.openxmlformats.org/officeDocument/2006/relationships/hyperlink" Target="https://drive.google.com/file/d/1H269W2Ts1sEnc-qUlhgjHw7Ad-rMvK70/view?usp=drivesdk" TargetMode="External"/><Relationship Id="rId1358" Type="http://schemas.openxmlformats.org/officeDocument/2006/relationships/hyperlink" Target="https://drive.google.com/file/d/1fE2MDaM3Z_7gEK5OIYPnOzObyInf1oH-/view?usp=drivesdk" TargetMode="External"/><Relationship Id="rId2689" Type="http://schemas.openxmlformats.org/officeDocument/2006/relationships/hyperlink" Target="https://drive.google.com/file/d/1D7oUGnbkciLWGDWn_4-OnaJuiSnagGsy/view?usp=drivesdk" TargetMode="External"/><Relationship Id="rId1359" Type="http://schemas.openxmlformats.org/officeDocument/2006/relationships/hyperlink" Target="https://drive.google.com/file/d/1qDhO9KtRShVtvV-YWZc-7bPb1IYdM33R/view?usp=drivesdk" TargetMode="External"/><Relationship Id="rId767" Type="http://schemas.openxmlformats.org/officeDocument/2006/relationships/hyperlink" Target="https://drive.google.com/file/d/1UQKyTegrrCmKt70u_G_LIZgQEVPE6HjO/view?usp=drivesdk" TargetMode="External"/><Relationship Id="rId766" Type="http://schemas.openxmlformats.org/officeDocument/2006/relationships/hyperlink" Target="https://drive.google.com/file/d/1_QcirkndeeAv_eb68xWaQ6tVVepOXuVd/view?usp=drivesdk" TargetMode="External"/><Relationship Id="rId765" Type="http://schemas.openxmlformats.org/officeDocument/2006/relationships/hyperlink" Target="https://drive.google.com/file/d/1HPrrsOI3FgpJUMlzvgqK_1nUmyDx_hVk/view?usp=drivesdk" TargetMode="External"/><Relationship Id="rId764" Type="http://schemas.openxmlformats.org/officeDocument/2006/relationships/hyperlink" Target="https://drive.google.com/file/d/1ub3-1STFX-N6hsgnkBVexc1CNffRwjXl/view?usp=drivesdk" TargetMode="External"/><Relationship Id="rId769" Type="http://schemas.openxmlformats.org/officeDocument/2006/relationships/hyperlink" Target="https://drive.google.com/file/d/1pyi4jvwZNHgc0y4M-sfjf56IC9UKqhpr/view?usp=drivesdk" TargetMode="External"/><Relationship Id="rId768" Type="http://schemas.openxmlformats.org/officeDocument/2006/relationships/hyperlink" Target="https://drive.google.com/file/d/13q_1IGccMS6YZLioiplbZd9PmM0aefbh/view?usp=drivesdk" TargetMode="External"/><Relationship Id="rId2680" Type="http://schemas.openxmlformats.org/officeDocument/2006/relationships/hyperlink" Target="https://drive.google.com/file/d/1S5DLVe_reUiwmEx48z-KSZ7_OJDQfsI3/view?usp=drivesdk" TargetMode="External"/><Relationship Id="rId1350" Type="http://schemas.openxmlformats.org/officeDocument/2006/relationships/hyperlink" Target="https://drive.google.com/file/d/1ow5SdF8QiRasvtxs7VajZdFDZ5hhIqOK/view?usp=drivesdk" TargetMode="External"/><Relationship Id="rId2681" Type="http://schemas.openxmlformats.org/officeDocument/2006/relationships/hyperlink" Target="https://drive.google.com/file/d/1s9s-NOaSYleK9U7zUgFZ1y0g_UYB8sJG/view?usp=drivesdk" TargetMode="External"/><Relationship Id="rId1351" Type="http://schemas.openxmlformats.org/officeDocument/2006/relationships/hyperlink" Target="https://drive.google.com/file/d/1zER2RNMZrXKWWFc0iAu981TsP2ajjMPi/view?usp=drivesdk" TargetMode="External"/><Relationship Id="rId2682" Type="http://schemas.openxmlformats.org/officeDocument/2006/relationships/hyperlink" Target="https://drive.google.com/file/d/1pDVmTuaF49Zpvx4P5CBLGRBQ2Po76r1h/view?usp=drivesdk" TargetMode="External"/><Relationship Id="rId763" Type="http://schemas.openxmlformats.org/officeDocument/2006/relationships/hyperlink" Target="https://drive.google.com/file/d/1sWpP-5g5OUaFtrpHoKqZBTryxWGPU-TX/view?usp=drivesdk" TargetMode="External"/><Relationship Id="rId1352" Type="http://schemas.openxmlformats.org/officeDocument/2006/relationships/hyperlink" Target="https://drive.google.com/file/d/19MszsR4IN0ma_OF7yk9KAAFEAWOHhzv7/view?usp=drivesdk" TargetMode="External"/><Relationship Id="rId2683" Type="http://schemas.openxmlformats.org/officeDocument/2006/relationships/hyperlink" Target="https://drive.google.com/file/d/1Bm8qFpSXnALfMfTIbSX972gNNCaANRhk/view?usp=drivesdk" TargetMode="External"/><Relationship Id="rId762" Type="http://schemas.openxmlformats.org/officeDocument/2006/relationships/hyperlink" Target="https://drive.google.com/file/d/1Yl96LwfsJhtSLMjIHzE9-nz6rQiHxHW4/view?usp=drivesdk" TargetMode="External"/><Relationship Id="rId1353" Type="http://schemas.openxmlformats.org/officeDocument/2006/relationships/hyperlink" Target="https://drive.google.com/file/d/1xKFmyuFzDv6NwIWdo88L1l8i-YMX_KD9/view?usp=drivesdk" TargetMode="External"/><Relationship Id="rId2684" Type="http://schemas.openxmlformats.org/officeDocument/2006/relationships/hyperlink" Target="https://drive.google.com/file/d/1Y_XgRsjfEBig_L1tE-DnSOLd0-_eJUF_/view?usp=drivesdk" TargetMode="External"/><Relationship Id="rId761" Type="http://schemas.openxmlformats.org/officeDocument/2006/relationships/hyperlink" Target="https://drive.google.com/file/d/18L0r7NCIp8sbNHrGnZW_MwWC98c3FvQ0/view?usp=drivesdk" TargetMode="External"/><Relationship Id="rId1354" Type="http://schemas.openxmlformats.org/officeDocument/2006/relationships/hyperlink" Target="https://drive.google.com/file/d/1jW0aT9cpwljfMVpoMYfOiGSr9Dr7ugwz/view?usp=drivesdk" TargetMode="External"/><Relationship Id="rId2685" Type="http://schemas.openxmlformats.org/officeDocument/2006/relationships/hyperlink" Target="https://drive.google.com/file/d/1dKfXNWkAmP2LQO6U59yHNTWgv7egz3M7/view?usp=drivesdk" TargetMode="External"/><Relationship Id="rId760" Type="http://schemas.openxmlformats.org/officeDocument/2006/relationships/hyperlink" Target="https://drive.google.com/file/d/1sxR4OIm0sLVBVR5cXfbGJHQVXK-2dwTX/view?usp=drivesdk" TargetMode="External"/><Relationship Id="rId1355" Type="http://schemas.openxmlformats.org/officeDocument/2006/relationships/hyperlink" Target="https://drive.google.com/file/d/1zQ8S_AtMdQPhxl_3E-wHyHhR6xueIdS5/view?usp=drivesdk" TargetMode="External"/><Relationship Id="rId2686" Type="http://schemas.openxmlformats.org/officeDocument/2006/relationships/hyperlink" Target="https://drive.google.com/file/d/1Ip6rJzm-FTm7b_LvGt9aRv-foowx8XPT/view?usp=drivesdk" TargetMode="External"/><Relationship Id="rId1345" Type="http://schemas.openxmlformats.org/officeDocument/2006/relationships/hyperlink" Target="https://drive.google.com/file/d/1T3F1QzC0sQWU39o6coHV4q4DPc7S1bJl/view?usp=drivesdk" TargetMode="External"/><Relationship Id="rId2676" Type="http://schemas.openxmlformats.org/officeDocument/2006/relationships/hyperlink" Target="https://drive.google.com/file/d/1RvPjY7H8COv5UZtc3gl5URaZqHOK6UrQ/view?usp=drivesdk" TargetMode="External"/><Relationship Id="rId1346" Type="http://schemas.openxmlformats.org/officeDocument/2006/relationships/hyperlink" Target="https://drive.google.com/file/d/1QymVyAuk0l6KhFseHErcCsGwpie0zbtm/view?usp=drivesdk" TargetMode="External"/><Relationship Id="rId2677" Type="http://schemas.openxmlformats.org/officeDocument/2006/relationships/hyperlink" Target="https://drive.google.com/file/d/1kFOWxJAC36gW9V_QYicwRa9RXIYE5caE/view?usp=drivesdk" TargetMode="External"/><Relationship Id="rId1347" Type="http://schemas.openxmlformats.org/officeDocument/2006/relationships/hyperlink" Target="https://drive.google.com/file/d/1DCwbX5Kg7ADdcVWqGxwdnLWRoeHe21nW/view?usp=drivesdk" TargetMode="External"/><Relationship Id="rId2678" Type="http://schemas.openxmlformats.org/officeDocument/2006/relationships/hyperlink" Target="https://drive.google.com/file/d/1iKKP-uc-S79ZBL5Mtju9nLftzfwMQ4J9/view?usp=drivesdk" TargetMode="External"/><Relationship Id="rId1348" Type="http://schemas.openxmlformats.org/officeDocument/2006/relationships/hyperlink" Target="https://drive.google.com/file/d/1dpJlmP0laKVj5mRBDk-iRjEgZNObmzph/view?usp=drivesdk" TargetMode="External"/><Relationship Id="rId2679" Type="http://schemas.openxmlformats.org/officeDocument/2006/relationships/hyperlink" Target="https://drive.google.com/file/d/1FRYkPUr-GWRrr6bjsvQRQ_WC1u7naA4w/view?usp=drivesdk" TargetMode="External"/><Relationship Id="rId1349" Type="http://schemas.openxmlformats.org/officeDocument/2006/relationships/hyperlink" Target="https://drive.google.com/file/d/14ZFeAsL5iFu2jBF98XcQuUgKrZudgn4g/view?usp=drivesdk" TargetMode="External"/><Relationship Id="rId756" Type="http://schemas.openxmlformats.org/officeDocument/2006/relationships/hyperlink" Target="https://drive.google.com/file/d/1dFg3CGYI7CTXnhbKG7TgLDgGnJ4vhMvM/view?usp=drivesdk" TargetMode="External"/><Relationship Id="rId755" Type="http://schemas.openxmlformats.org/officeDocument/2006/relationships/hyperlink" Target="https://drive.google.com/file/d/1N_3BtomHEYlluUHdSsaYzN-HEqO8-1B_/view?usp=drivesdk" TargetMode="External"/><Relationship Id="rId754" Type="http://schemas.openxmlformats.org/officeDocument/2006/relationships/hyperlink" Target="https://drive.google.com/file/d/1zEzvx41GmXJ_Srvp_xAnzwJbl9iWXkiV/view?usp=drivesdk" TargetMode="External"/><Relationship Id="rId753" Type="http://schemas.openxmlformats.org/officeDocument/2006/relationships/hyperlink" Target="https://drive.google.com/file/d/1gFDBXj3N5CV_-QDnNDMxxk2yK1a2ceKL/view?usp=drivesdk" TargetMode="External"/><Relationship Id="rId759" Type="http://schemas.openxmlformats.org/officeDocument/2006/relationships/hyperlink" Target="https://drive.google.com/file/d/1v1wZ4O2jV_xQoTNso0AzC5-bLLz_ys28/view?usp=drivesdk" TargetMode="External"/><Relationship Id="rId758" Type="http://schemas.openxmlformats.org/officeDocument/2006/relationships/hyperlink" Target="https://drive.google.com/file/d/1Ry7PIgVRCESIcO-kDcyVvokmPh4XqnfY/view?usp=drivesdk" TargetMode="External"/><Relationship Id="rId757" Type="http://schemas.openxmlformats.org/officeDocument/2006/relationships/hyperlink" Target="https://drive.google.com/file/d/1SX_CKnuxgkrK6iwmBIrpX-QuaWxcmC5H/view?usp=drivesdk" TargetMode="External"/><Relationship Id="rId2670" Type="http://schemas.openxmlformats.org/officeDocument/2006/relationships/hyperlink" Target="https://drive.google.com/file/d/1bhFKrWRXRV6GrGyL3Vom81_KZ5TvzZlm/view?usp=drivesdk" TargetMode="External"/><Relationship Id="rId1340" Type="http://schemas.openxmlformats.org/officeDocument/2006/relationships/hyperlink" Target="https://drive.google.com/file/d/1pZyI6SWzRFFTReJ5UKfAUmrQGeHDCPVY/view?usp=drivesdk" TargetMode="External"/><Relationship Id="rId2671" Type="http://schemas.openxmlformats.org/officeDocument/2006/relationships/hyperlink" Target="https://drive.google.com/file/d/15a8oIW3HP7cb8rknMws4C9kLlVhIaVnu/view?usp=drivesdk" TargetMode="External"/><Relationship Id="rId752" Type="http://schemas.openxmlformats.org/officeDocument/2006/relationships/hyperlink" Target="https://drive.google.com/file/d/18ewE0OcSkPQ5Ypbit0Xjw5sXP5uYs5fs/view?usp=drivesdk" TargetMode="External"/><Relationship Id="rId1341" Type="http://schemas.openxmlformats.org/officeDocument/2006/relationships/hyperlink" Target="https://drive.google.com/file/d/1GS3kCpVl8XCvr2E_7HwsSMneSpYjPecB/view?usp=drivesdk" TargetMode="External"/><Relationship Id="rId2672" Type="http://schemas.openxmlformats.org/officeDocument/2006/relationships/hyperlink" Target="https://drive.google.com/file/d/109eWClIp3v7TcjPNi5xv1QXWFTxIhhSP/view?usp=drivesdk" TargetMode="External"/><Relationship Id="rId751" Type="http://schemas.openxmlformats.org/officeDocument/2006/relationships/hyperlink" Target="https://drive.google.com/file/d/11VyraWq0QzrzLe8rEL_-0caMyXTeMjAV/view?usp=drivesdk" TargetMode="External"/><Relationship Id="rId1342" Type="http://schemas.openxmlformats.org/officeDocument/2006/relationships/hyperlink" Target="https://drive.google.com/file/d/1ELnSMhb9_QsQKQFC3S0NEc-DFbtuf687/view?usp=drivesdk" TargetMode="External"/><Relationship Id="rId2673" Type="http://schemas.openxmlformats.org/officeDocument/2006/relationships/hyperlink" Target="https://drive.google.com/file/d/1qywnaQEzWBBJEwQ5S2WkwN8Gl1eklpPG/view?usp=drivesdk" TargetMode="External"/><Relationship Id="rId750" Type="http://schemas.openxmlformats.org/officeDocument/2006/relationships/hyperlink" Target="https://drive.google.com/file/d/1VoVB6wAv7ZIRWYS2fs6LPzecsmhdmKdT/view?usp=drivesdk" TargetMode="External"/><Relationship Id="rId1343" Type="http://schemas.openxmlformats.org/officeDocument/2006/relationships/hyperlink" Target="https://drive.google.com/file/d/1CJDOTAophi54vXw9MoNlvn9PWYcZCMTK/view?usp=drivesdk" TargetMode="External"/><Relationship Id="rId2674" Type="http://schemas.openxmlformats.org/officeDocument/2006/relationships/hyperlink" Target="https://drive.google.com/file/d/1tus6NB3AtALASbFCDpHQeXVNxL6N9RYC/view?usp=drivesdk" TargetMode="External"/><Relationship Id="rId1344" Type="http://schemas.openxmlformats.org/officeDocument/2006/relationships/hyperlink" Target="https://drive.google.com/file/d/1ZSPi6k9Tdv4oTcswGppnZq3LNHqI0FB_/view?usp=drivesdk" TargetMode="External"/><Relationship Id="rId2675" Type="http://schemas.openxmlformats.org/officeDocument/2006/relationships/hyperlink" Target="https://drive.google.com/file/d/1WcoCxbW6V50_Ex1F22QF_leyH0LrXveY/view?usp=drivesdk" TargetMode="External"/><Relationship Id="rId2621" Type="http://schemas.openxmlformats.org/officeDocument/2006/relationships/hyperlink" Target="https://drive.google.com/file/d/1fZDUh5iUQNz3pAYn2-xOiUeDsnF-2iIq/view?usp=drivesdk" TargetMode="External"/><Relationship Id="rId3953" Type="http://schemas.openxmlformats.org/officeDocument/2006/relationships/hyperlink" Target="https://drive.google.com/file/d/141ihHSvxlq1dExZPx3020WYUojQGPyLd/view?usp=drivesdk" TargetMode="External"/><Relationship Id="rId2622" Type="http://schemas.openxmlformats.org/officeDocument/2006/relationships/hyperlink" Target="https://drive.google.com/file/d/1FH9H5WPFcpc56jd4dzr7qjPfoetnYYCd/view?usp=drivesdk" TargetMode="External"/><Relationship Id="rId3952" Type="http://schemas.openxmlformats.org/officeDocument/2006/relationships/hyperlink" Target="https://drive.google.com/file/d/1CzXtLB_l_Fe4_Z465vMVUfIBWokVqWuR/view?usp=drivesdk" TargetMode="External"/><Relationship Id="rId2623" Type="http://schemas.openxmlformats.org/officeDocument/2006/relationships/hyperlink" Target="https://drive.google.com/file/d/1vGMsGCZu-Z0vNDc47bN3FcJchoZOpJQG/view?usp=drivesdk" TargetMode="External"/><Relationship Id="rId3955" Type="http://schemas.openxmlformats.org/officeDocument/2006/relationships/hyperlink" Target="https://drive.google.com/file/d/15fdd1AiDggitBx2e0uHxylyF6dsDEfPY/view?usp=drivesdk" TargetMode="External"/><Relationship Id="rId2624" Type="http://schemas.openxmlformats.org/officeDocument/2006/relationships/hyperlink" Target="https://drive.google.com/file/d/1ttiftnqcS3HzicQEGr02qEicftGmwkfe/view?usp=drivesdk" TargetMode="External"/><Relationship Id="rId3954" Type="http://schemas.openxmlformats.org/officeDocument/2006/relationships/hyperlink" Target="https://drive.google.com/file/d/1vVgIk590pKq5_ZOVVZmd73niTYCie8-V/view?usp=drivesdk" TargetMode="External"/><Relationship Id="rId2625" Type="http://schemas.openxmlformats.org/officeDocument/2006/relationships/hyperlink" Target="https://drive.google.com/file/d/1FXrdzV8InuSEQU2B65nlM6NMihYkVf6p/view?usp=drivesdk" TargetMode="External"/><Relationship Id="rId3957" Type="http://schemas.openxmlformats.org/officeDocument/2006/relationships/hyperlink" Target="https://drive.google.com/file/d/1NMg-d2DbAqPpwOup1mlYm5cljjTkvK62/view?usp=drivesdk" TargetMode="External"/><Relationship Id="rId2626" Type="http://schemas.openxmlformats.org/officeDocument/2006/relationships/hyperlink" Target="https://drive.google.com/file/d/1ZsyOx8W_mePNCAuk1ZpJmBtqjwpXmdY1/view?usp=drivesdk" TargetMode="External"/><Relationship Id="rId3956" Type="http://schemas.openxmlformats.org/officeDocument/2006/relationships/hyperlink" Target="https://drive.google.com/file/d/1dXd5S8jWBAh65WJbB6BUoGnR2TxQvzRC/view?usp=drivesdk" TargetMode="External"/><Relationship Id="rId2627" Type="http://schemas.openxmlformats.org/officeDocument/2006/relationships/hyperlink" Target="https://drive.google.com/file/d/10ND6wURhIiz5FVXAv1eULq4qpYn5knV2/view?usp=drivesdk" TargetMode="External"/><Relationship Id="rId3959" Type="http://schemas.openxmlformats.org/officeDocument/2006/relationships/hyperlink" Target="https://drive.google.com/file/d/1xWMmfaMse7eY3JzeVqFeEVqaCCWzfErm/view?usp=drivesdk" TargetMode="External"/><Relationship Id="rId2628" Type="http://schemas.openxmlformats.org/officeDocument/2006/relationships/hyperlink" Target="https://drive.google.com/file/d/10GtDE3gD925JPQgu9rH2BWpF3UgQuDjC/view?usp=drivesdk" TargetMode="External"/><Relationship Id="rId3958" Type="http://schemas.openxmlformats.org/officeDocument/2006/relationships/hyperlink" Target="https://drive.google.com/file/d/1aJNPpuCMqgyoFziW1Oc-2RYuW7b3-OmM/view?usp=drivesdk" TargetMode="External"/><Relationship Id="rId709" Type="http://schemas.openxmlformats.org/officeDocument/2006/relationships/hyperlink" Target="https://drive.google.com/file/d/1hGAXpy3vE54Fy_7jOZMBCWKCayITL5DP/view?usp=drivesdk" TargetMode="External"/><Relationship Id="rId2629" Type="http://schemas.openxmlformats.org/officeDocument/2006/relationships/hyperlink" Target="https://drive.google.com/file/d/1W4IozqjO41plBff3gmIZQCowgrhiOsJu/view?usp=drivesdk" TargetMode="External"/><Relationship Id="rId708" Type="http://schemas.openxmlformats.org/officeDocument/2006/relationships/hyperlink" Target="https://drive.google.com/file/d/1otljU0wI5hhDLqcuisoRZef2ZcAQmx7r/view?usp=drivesdk" TargetMode="External"/><Relationship Id="rId707" Type="http://schemas.openxmlformats.org/officeDocument/2006/relationships/hyperlink" Target="https://drive.google.com/file/d/1P3c_QJtmTYCbHnY1ngvXE3M5pDrbNzaH/view?usp=drivesdk" TargetMode="External"/><Relationship Id="rId706" Type="http://schemas.openxmlformats.org/officeDocument/2006/relationships/hyperlink" Target="https://drive.google.com/file/d/1yIStELn4EoEhM8fc3l2ehNok7GYHXkZi/view?usp=drivesdk" TargetMode="External"/><Relationship Id="rId701" Type="http://schemas.openxmlformats.org/officeDocument/2006/relationships/hyperlink" Target="https://drive.google.com/file/d/1rRK6GuKIhTGjxB7MgIseObAbfrGuij1D/view?usp=drivesdk" TargetMode="External"/><Relationship Id="rId700" Type="http://schemas.openxmlformats.org/officeDocument/2006/relationships/hyperlink" Target="https://drive.google.com/file/d/1b1Oq6GtCWuQ-HkFRQwi_LOABT59kfDXB/view?usp=drivesdk" TargetMode="External"/><Relationship Id="rId705" Type="http://schemas.openxmlformats.org/officeDocument/2006/relationships/hyperlink" Target="https://drive.google.com/file/d/1DVHscI_T2Ns0sxI2LqaqJd5E74Xl9hzh/view?usp=drivesdk" TargetMode="External"/><Relationship Id="rId704" Type="http://schemas.openxmlformats.org/officeDocument/2006/relationships/hyperlink" Target="https://drive.google.com/file/d/1LavqpHHOckc9YXC6JdO4u0UCG9XpQTLv/view?usp=drivesdk" TargetMode="External"/><Relationship Id="rId703" Type="http://schemas.openxmlformats.org/officeDocument/2006/relationships/hyperlink" Target="https://drive.google.com/file/d/1BymGya3SsnJT8PKPuwD2DvxS2Fwe0Rpl/view?usp=drivesdk" TargetMode="External"/><Relationship Id="rId702" Type="http://schemas.openxmlformats.org/officeDocument/2006/relationships/hyperlink" Target="https://drive.google.com/file/d/1FZrGDscEivmUxxhHOZabjdNncCQw-54W/view?usp=drivesdk" TargetMode="External"/><Relationship Id="rId3951" Type="http://schemas.openxmlformats.org/officeDocument/2006/relationships/hyperlink" Target="https://drive.google.com/file/d/1xPmoTZCZdjCa1Nv_bUdKdkU-nIJOtq7x/view?usp=drivesdk" TargetMode="External"/><Relationship Id="rId2620" Type="http://schemas.openxmlformats.org/officeDocument/2006/relationships/hyperlink" Target="https://drive.google.com/file/d/1phhQG3KdoVr2LXV-KpfdS55gTchB5e2k/view?usp=drivesdk" TargetMode="External"/><Relationship Id="rId3950" Type="http://schemas.openxmlformats.org/officeDocument/2006/relationships/hyperlink" Target="https://drive.google.com/file/d/1nsna7wztKK5IzaWTrIKR0gJqfCf5o9GN/view?usp=drivesdk" TargetMode="External"/><Relationship Id="rId2610" Type="http://schemas.openxmlformats.org/officeDocument/2006/relationships/hyperlink" Target="https://drive.google.com/file/d/1D4oFqj-f4o5H_n36dNdueTDZ7arCyKwc/view?usp=drivesdk" TargetMode="External"/><Relationship Id="rId3942" Type="http://schemas.openxmlformats.org/officeDocument/2006/relationships/hyperlink" Target="https://drive.google.com/file/d/1mTeZLL-wChhkTmOYerDSv4JaVoaqTy3M/view?usp=drivesdk" TargetMode="External"/><Relationship Id="rId2611" Type="http://schemas.openxmlformats.org/officeDocument/2006/relationships/hyperlink" Target="https://drive.google.com/file/d/1EML0VzoCsboEfV00dNlhxvRfRQ4_Gbpm/view?usp=drivesdk" TargetMode="External"/><Relationship Id="rId3941" Type="http://schemas.openxmlformats.org/officeDocument/2006/relationships/hyperlink" Target="https://drive.google.com/file/d/1nKbnV6qIUk9wq-DExdwIV7AW6h3fxHTe/view?usp=drivesdk" TargetMode="External"/><Relationship Id="rId2612" Type="http://schemas.openxmlformats.org/officeDocument/2006/relationships/hyperlink" Target="https://drive.google.com/file/d/1hYB33eKUSyiwcN4ZWowDM3QTWc9NyTjZ/view?usp=drivesdk" TargetMode="External"/><Relationship Id="rId3944" Type="http://schemas.openxmlformats.org/officeDocument/2006/relationships/hyperlink" Target="https://drive.google.com/file/d/1BNKBxBQBLD5UZfCvYdcteoNhRiGPeqak/view?usp=drivesdk" TargetMode="External"/><Relationship Id="rId2613" Type="http://schemas.openxmlformats.org/officeDocument/2006/relationships/hyperlink" Target="https://drive.google.com/file/d/1zOwxQeXn9wof-sBEii1nrA0JpIAgYGXN/view?usp=drivesdk" TargetMode="External"/><Relationship Id="rId3943" Type="http://schemas.openxmlformats.org/officeDocument/2006/relationships/hyperlink" Target="https://drive.google.com/file/d/16QDNpz4P15PHwsDBk8AqQkRLhWBg9ivd/view?usp=drivesdk" TargetMode="External"/><Relationship Id="rId2614" Type="http://schemas.openxmlformats.org/officeDocument/2006/relationships/hyperlink" Target="https://drive.google.com/file/d/1tXxu_UaNVIeUQX_HBOADYyqYvg5bKoVL/view?usp=drivesdk" TargetMode="External"/><Relationship Id="rId3946" Type="http://schemas.openxmlformats.org/officeDocument/2006/relationships/hyperlink" Target="https://drive.google.com/file/d/1gzFjuUC0a9S5EzGV2E0gts-gL3c3Tmkf/view?usp=drivesdk" TargetMode="External"/><Relationship Id="rId2615" Type="http://schemas.openxmlformats.org/officeDocument/2006/relationships/hyperlink" Target="https://drive.google.com/file/d/1xgLfHMEkwNJO0OsNogp1w_XJwF7f99xy/view?usp=drivesdk" TargetMode="External"/><Relationship Id="rId3945" Type="http://schemas.openxmlformats.org/officeDocument/2006/relationships/hyperlink" Target="https://drive.google.com/file/d/12APDPNtRwxTWvF0a9as8jkEP002Ws_51/view?usp=drivesdk" TargetMode="External"/><Relationship Id="rId2616" Type="http://schemas.openxmlformats.org/officeDocument/2006/relationships/hyperlink" Target="https://drive.google.com/file/d/14YmKb3lofgKwr_Wp7SSc-aGbFmKZ0Qw4/view?usp=drivesdk" TargetMode="External"/><Relationship Id="rId3948" Type="http://schemas.openxmlformats.org/officeDocument/2006/relationships/hyperlink" Target="https://drive.google.com/file/d/1oqvyMlKUx2sNZMkVWGFuePWbOQ4ljFWu/view?usp=drivesdk" TargetMode="External"/><Relationship Id="rId2617" Type="http://schemas.openxmlformats.org/officeDocument/2006/relationships/hyperlink" Target="https://drive.google.com/file/d/17_6XRGtW8sFH9ryVQKAK7eCS04HZkK94/view?usp=drivesdk" TargetMode="External"/><Relationship Id="rId3947" Type="http://schemas.openxmlformats.org/officeDocument/2006/relationships/hyperlink" Target="https://drive.google.com/file/d/1ZYzwcPBZYpwqjpSd_ocbbxZVJRlwHcA0/view?usp=drivesdk" TargetMode="External"/><Relationship Id="rId2618" Type="http://schemas.openxmlformats.org/officeDocument/2006/relationships/hyperlink" Target="https://drive.google.com/file/d/11YDcuLbkpojp0GwasJ-vzSsgSagDU-2u/view?usp=drivesdk" TargetMode="External"/><Relationship Id="rId2619" Type="http://schemas.openxmlformats.org/officeDocument/2006/relationships/hyperlink" Target="https://drive.google.com/file/d/11oc-yzxwlmORQd2BC5LJv9mpdu-wjTOv/view?usp=drivesdk" TargetMode="External"/><Relationship Id="rId3949" Type="http://schemas.openxmlformats.org/officeDocument/2006/relationships/hyperlink" Target="https://drive.google.com/file/d/1DU3Jwuzg0ncgBCiBYTbaDSakiwhB5nuc/view?usp=drivesdk" TargetMode="External"/><Relationship Id="rId3940" Type="http://schemas.openxmlformats.org/officeDocument/2006/relationships/hyperlink" Target="https://drive.google.com/file/d/13fnWS2wzvRoxgNKZ4R8CLQawmIdZWNeg/view?usp=drivesdk" TargetMode="External"/><Relationship Id="rId1312" Type="http://schemas.openxmlformats.org/officeDocument/2006/relationships/hyperlink" Target="https://drive.google.com/file/d/1LA3KOkwJNvK35VXtnyqCexlqzib0UsZC/view?usp=drivesdk" TargetMode="External"/><Relationship Id="rId2643" Type="http://schemas.openxmlformats.org/officeDocument/2006/relationships/hyperlink" Target="https://drive.google.com/file/d/1uEwmsPKB0Zmh_lmb4pSRTukB9L8t7gnA/view?usp=drivesdk" TargetMode="External"/><Relationship Id="rId3975" Type="http://schemas.openxmlformats.org/officeDocument/2006/relationships/hyperlink" Target="https://drive.google.com/file/d/197ocXqQIw8SrpX4r-HJsi5WgF4mHHNht/view?usp=drivesdk" TargetMode="External"/><Relationship Id="rId1313" Type="http://schemas.openxmlformats.org/officeDocument/2006/relationships/hyperlink" Target="https://drive.google.com/file/d/1mq-xJp-HED67-b7d8q6GquQA6QSYKBkj/view?usp=drivesdk" TargetMode="External"/><Relationship Id="rId2644" Type="http://schemas.openxmlformats.org/officeDocument/2006/relationships/hyperlink" Target="https://drive.google.com/file/d/1kGnN9XZ1rnujcOYBj9Bf3cemt3sW6x5a/view?usp=drivesdk" TargetMode="External"/><Relationship Id="rId3974" Type="http://schemas.openxmlformats.org/officeDocument/2006/relationships/hyperlink" Target="https://drive.google.com/file/d/1wQar5f2-t3fEfS5WcLOeY9UrVzwDNsIP/view?usp=drivesdk" TargetMode="External"/><Relationship Id="rId1314" Type="http://schemas.openxmlformats.org/officeDocument/2006/relationships/hyperlink" Target="https://drive.google.com/file/d/1S_toc-O7mvj0b0fI5VSO7DmR82X5pE6_/view?usp=drivesdk" TargetMode="External"/><Relationship Id="rId2645" Type="http://schemas.openxmlformats.org/officeDocument/2006/relationships/hyperlink" Target="https://drive.google.com/file/d/1ERabhUp1RyUKEAYw94gI_IAQBsP2KslY/view?usp=drivesdk" TargetMode="External"/><Relationship Id="rId3977" Type="http://schemas.openxmlformats.org/officeDocument/2006/relationships/hyperlink" Target="https://drive.google.com/file/d/11EliVASrJ5lwwX4PxopltAnZCCx2fEmh/view?usp=drivesdk" TargetMode="External"/><Relationship Id="rId1315" Type="http://schemas.openxmlformats.org/officeDocument/2006/relationships/hyperlink" Target="https://drive.google.com/file/d/10ccS56OGkWf6o6qsCWk7l-dq6EVODBXn/view?usp=drivesdk" TargetMode="External"/><Relationship Id="rId2646" Type="http://schemas.openxmlformats.org/officeDocument/2006/relationships/hyperlink" Target="https://drive.google.com/file/d/10TVlLYbm4ap8Fr1VxnHR_Vq4IKkctqtt/view?usp=drivesdk" TargetMode="External"/><Relationship Id="rId3976" Type="http://schemas.openxmlformats.org/officeDocument/2006/relationships/hyperlink" Target="https://drive.google.com/file/d/15AX0VAqFqBrArqIEWfkpaeNXYVaGxMyq/view?usp=drivesdk" TargetMode="External"/><Relationship Id="rId1316" Type="http://schemas.openxmlformats.org/officeDocument/2006/relationships/hyperlink" Target="https://drive.google.com/file/d/1ZHKjRFKTbpAzV_uzXI7hOrJFTAeJkPRp/view?usp=drivesdk" TargetMode="External"/><Relationship Id="rId2647" Type="http://schemas.openxmlformats.org/officeDocument/2006/relationships/hyperlink" Target="https://drive.google.com/file/d/13jDEsa8cR9eWycYnkfIAAYg1LEzb32LM/view?usp=drivesdk" TargetMode="External"/><Relationship Id="rId3979" Type="http://schemas.openxmlformats.org/officeDocument/2006/relationships/hyperlink" Target="https://drive.google.com/file/d/1Thnw-3lPvqqzh4m3UAQSFc2S6GD9sFOe/view?usp=drivesdk" TargetMode="External"/><Relationship Id="rId1317" Type="http://schemas.openxmlformats.org/officeDocument/2006/relationships/hyperlink" Target="https://drive.google.com/file/d/1Non1kFO8q46QKelGXIu6237iAlagnCCT/view?usp=drivesdk" TargetMode="External"/><Relationship Id="rId2648" Type="http://schemas.openxmlformats.org/officeDocument/2006/relationships/hyperlink" Target="https://drive.google.com/file/d/1LMrKcDDLJeqsdvKNECPC9ygMfN8wwGU8/view?usp=drivesdk" TargetMode="External"/><Relationship Id="rId3978" Type="http://schemas.openxmlformats.org/officeDocument/2006/relationships/hyperlink" Target="https://drive.google.com/file/d/1XKYuS-DTfl-Fb8kqWrjAgDfBIg-X-F8K/view?usp=drivesdk" TargetMode="External"/><Relationship Id="rId1318" Type="http://schemas.openxmlformats.org/officeDocument/2006/relationships/hyperlink" Target="https://drive.google.com/file/d/1NlhgvQC0cFOKdqAfIlS2jjHXF1WizFXJ/view?usp=drivesdk" TargetMode="External"/><Relationship Id="rId2649" Type="http://schemas.openxmlformats.org/officeDocument/2006/relationships/hyperlink" Target="https://drive.google.com/file/d/1UPQH1Dda-7M8gb-HhwgJKbRx124FLFac/view?usp=drivesdk" TargetMode="External"/><Relationship Id="rId1319" Type="http://schemas.openxmlformats.org/officeDocument/2006/relationships/hyperlink" Target="https://drive.google.com/file/d/1sv18oyfz9AFEDBUbqcF2MiAq7TouAgyv/view?usp=drivesdk" TargetMode="External"/><Relationship Id="rId729" Type="http://schemas.openxmlformats.org/officeDocument/2006/relationships/hyperlink" Target="https://drive.google.com/file/d/1woazarWSiSPUlLGV3M8TeZmXhKIPUtpx/view?usp=drivesdk" TargetMode="External"/><Relationship Id="rId728" Type="http://schemas.openxmlformats.org/officeDocument/2006/relationships/hyperlink" Target="https://drive.google.com/file/d/1uHhe2GSfrINMSGYiviLKWfi-07govN7x/view?usp=drivesdk" TargetMode="External"/><Relationship Id="rId723" Type="http://schemas.openxmlformats.org/officeDocument/2006/relationships/hyperlink" Target="https://drive.google.com/file/d/1H96iFn7l5mwTIUseVOgjJFScfSfVgzOI/view?usp=drivesdk" TargetMode="External"/><Relationship Id="rId722" Type="http://schemas.openxmlformats.org/officeDocument/2006/relationships/hyperlink" Target="https://drive.google.com/file/d/1FBEXc4mFbP_tedm--2tC5kxeLo5pL-uJ/view?usp=drivesdk" TargetMode="External"/><Relationship Id="rId721" Type="http://schemas.openxmlformats.org/officeDocument/2006/relationships/hyperlink" Target="https://drive.google.com/file/d/1b5gFhkbDKjXZf0YBEtoP5yPQnsxDH8Xj/view?usp=drivesdk" TargetMode="External"/><Relationship Id="rId720" Type="http://schemas.openxmlformats.org/officeDocument/2006/relationships/hyperlink" Target="https://drive.google.com/file/d/1-LyDHZUc2JaVPFiuJH6zF0elBJU0zyO9/view?usp=drivesdk" TargetMode="External"/><Relationship Id="rId727" Type="http://schemas.openxmlformats.org/officeDocument/2006/relationships/hyperlink" Target="https://drive.google.com/file/d/1MvdBRA5zsjtzC8HL9SwGPz0wlTTkhCqj/view?usp=drivesdk" TargetMode="External"/><Relationship Id="rId726" Type="http://schemas.openxmlformats.org/officeDocument/2006/relationships/hyperlink" Target="https://drive.google.com/file/d/1_4BN1c8prpcitzT1dPw1SevM1FGKpdSz/view?usp=drivesdk" TargetMode="External"/><Relationship Id="rId725" Type="http://schemas.openxmlformats.org/officeDocument/2006/relationships/hyperlink" Target="https://drive.google.com/file/d/1vKb9beCezOLRZjP-Hv6e1_r7G7VSp6nc/view?usp=drivesdk" TargetMode="External"/><Relationship Id="rId724" Type="http://schemas.openxmlformats.org/officeDocument/2006/relationships/hyperlink" Target="https://drive.google.com/file/d/1-_iiAmYq76URl4tn5dF0vy5BAdhfZa6A/view?usp=drivesdk" TargetMode="External"/><Relationship Id="rId3971" Type="http://schemas.openxmlformats.org/officeDocument/2006/relationships/hyperlink" Target="https://drive.google.com/file/d/1Xmkf2Nk7UoMnu5UwG75s4yt1wuW2Y02Y/view?usp=drivesdk" TargetMode="External"/><Relationship Id="rId2640" Type="http://schemas.openxmlformats.org/officeDocument/2006/relationships/hyperlink" Target="https://drive.google.com/file/d/1a4lW-AMHA2Q9EP09VMZJRBbLiK7NlE1C/view?usp=drivesdk" TargetMode="External"/><Relationship Id="rId3970" Type="http://schemas.openxmlformats.org/officeDocument/2006/relationships/hyperlink" Target="https://drive.google.com/file/d/1NZNyRBgyv54udJcjXQXhPMWLTUfw08IQ/view?usp=drivesdk" TargetMode="External"/><Relationship Id="rId1310" Type="http://schemas.openxmlformats.org/officeDocument/2006/relationships/hyperlink" Target="https://drive.google.com/file/d/1bRM40PEH44cDXCCjcxage-ulyhRgnsey/view?usp=drivesdk" TargetMode="External"/><Relationship Id="rId2641" Type="http://schemas.openxmlformats.org/officeDocument/2006/relationships/hyperlink" Target="https://drive.google.com/file/d/1MZQfjDunGoEkBael0PoFnmlkdN96FmZc/view?usp=drivesdk" TargetMode="External"/><Relationship Id="rId3973" Type="http://schemas.openxmlformats.org/officeDocument/2006/relationships/hyperlink" Target="https://drive.google.com/file/d/1GeudDdrhShknyaP7BQUXSk_eSRYG0g-N/view?usp=drivesdk" TargetMode="External"/><Relationship Id="rId1311" Type="http://schemas.openxmlformats.org/officeDocument/2006/relationships/hyperlink" Target="https://drive.google.com/file/d/1Lgrs9kh5VvQ50rOD1ISRnbGkGfGvlt-t/view?usp=drivesdk" TargetMode="External"/><Relationship Id="rId2642" Type="http://schemas.openxmlformats.org/officeDocument/2006/relationships/hyperlink" Target="https://drive.google.com/file/d/1Gxfq4vj2_RjPLMViBLWfhjAdlQncVqw8/view?usp=drivesdk" TargetMode="External"/><Relationship Id="rId3972" Type="http://schemas.openxmlformats.org/officeDocument/2006/relationships/hyperlink" Target="https://drive.google.com/file/d/1XuLppWw4zd-ECoYQqFsoeP7CvQziadgC/view?usp=drivesdk" TargetMode="External"/><Relationship Id="rId1301" Type="http://schemas.openxmlformats.org/officeDocument/2006/relationships/hyperlink" Target="https://drive.google.com/file/d/1pSnlL5oPxIfL5ItLqMK9SpxktNYHPRCU/view?usp=drivesdk" TargetMode="External"/><Relationship Id="rId2632" Type="http://schemas.openxmlformats.org/officeDocument/2006/relationships/hyperlink" Target="https://drive.google.com/file/d/1O6zg1XQmv036iW-eCx82BPsdef6zZ2JO/view?usp=drivesdk" TargetMode="External"/><Relationship Id="rId3964" Type="http://schemas.openxmlformats.org/officeDocument/2006/relationships/hyperlink" Target="https://drive.google.com/file/d/10uOIB8fzFmZrx3a3oOvstzcBFLWaDiEg/view?usp=drivesdk" TargetMode="External"/><Relationship Id="rId1302" Type="http://schemas.openxmlformats.org/officeDocument/2006/relationships/hyperlink" Target="https://drive.google.com/file/d/1o-YavsBg9VLqlxQqYSpSX7vB-QyQtCtX/view?usp=drivesdk" TargetMode="External"/><Relationship Id="rId2633" Type="http://schemas.openxmlformats.org/officeDocument/2006/relationships/hyperlink" Target="https://drive.google.com/file/d/1f3mBdzwoaF4nUbkjB9GkJMa1piOkEMwF/view?usp=drivesdk" TargetMode="External"/><Relationship Id="rId3963" Type="http://schemas.openxmlformats.org/officeDocument/2006/relationships/hyperlink" Target="https://drive.google.com/file/d/1E27jGtQgC6MgchU2CAPbuOGT_TjP08WX/view?usp=drivesdk" TargetMode="External"/><Relationship Id="rId1303" Type="http://schemas.openxmlformats.org/officeDocument/2006/relationships/hyperlink" Target="https://drive.google.com/file/d/1NK7bOQIVqPDQEByxNIf9JNnLTuFZXENw/view?usp=drivesdk" TargetMode="External"/><Relationship Id="rId2634" Type="http://schemas.openxmlformats.org/officeDocument/2006/relationships/hyperlink" Target="https://drive.google.com/file/d/1RwST84yuYTuLW2NLus8IEpsiMC_ogpqn/view?usp=drivesdk" TargetMode="External"/><Relationship Id="rId3966" Type="http://schemas.openxmlformats.org/officeDocument/2006/relationships/hyperlink" Target="https://drive.google.com/file/d/1CjFHUWTQVQCfVWWF9NoSmZOSsItLwWcJ/view?usp=drivesdk" TargetMode="External"/><Relationship Id="rId1304" Type="http://schemas.openxmlformats.org/officeDocument/2006/relationships/hyperlink" Target="https://drive.google.com/file/d/1aahsmoq7_wegN-Cr1bSSXrJ_DgQ0a_9o/view?usp=drivesdk" TargetMode="External"/><Relationship Id="rId2635" Type="http://schemas.openxmlformats.org/officeDocument/2006/relationships/hyperlink" Target="https://drive.google.com/file/d/1UgxXGs53cE74y4BrLJkz43yyjyl6F6o-/view?usp=drivesdk" TargetMode="External"/><Relationship Id="rId3965" Type="http://schemas.openxmlformats.org/officeDocument/2006/relationships/hyperlink" Target="https://drive.google.com/file/d/1Km5VJt4Zv93q29GbzrjIu_5L94nKAbYn/view?usp=drivesdk" TargetMode="External"/><Relationship Id="rId1305" Type="http://schemas.openxmlformats.org/officeDocument/2006/relationships/hyperlink" Target="https://drive.google.com/file/d/1GPe_9_y7OpA-KG3d5wDRpy6yvi86cCrO/view?usp=drivesdk" TargetMode="External"/><Relationship Id="rId2636" Type="http://schemas.openxmlformats.org/officeDocument/2006/relationships/hyperlink" Target="https://drive.google.com/file/d/1m0vEsT_Do6T3LhzUnud3xdzfk_xLPmXW/view?usp=drivesdk" TargetMode="External"/><Relationship Id="rId3968" Type="http://schemas.openxmlformats.org/officeDocument/2006/relationships/hyperlink" Target="https://drive.google.com/file/d/10nZJ5IyEjDK84h6OBTFNi0oxCzmJSiQB/view?usp=drivesdk" TargetMode="External"/><Relationship Id="rId1306" Type="http://schemas.openxmlformats.org/officeDocument/2006/relationships/hyperlink" Target="https://drive.google.com/file/d/1p9_YkwzVsrJSKoDxgAUNSQ9E0hP8jPao/view?usp=drivesdk" TargetMode="External"/><Relationship Id="rId2637" Type="http://schemas.openxmlformats.org/officeDocument/2006/relationships/hyperlink" Target="https://drive.google.com/file/d/1Wbatu81_Z4Gyx8oOlP3fJfOWoziGgpEG/view?usp=drivesdk" TargetMode="External"/><Relationship Id="rId3967" Type="http://schemas.openxmlformats.org/officeDocument/2006/relationships/hyperlink" Target="https://drive.google.com/file/d/10VTvaXDWtRlLa4vV-MoAf4c7qpJU7My5/view?usp=drivesdk" TargetMode="External"/><Relationship Id="rId1307" Type="http://schemas.openxmlformats.org/officeDocument/2006/relationships/hyperlink" Target="https://drive.google.com/file/d/1LQHy_hQ7Y3I4R9daMnBjTkup1hblu5hT/view?usp=drivesdk" TargetMode="External"/><Relationship Id="rId2638" Type="http://schemas.openxmlformats.org/officeDocument/2006/relationships/hyperlink" Target="https://drive.google.com/file/d/1ouJPb0rDxyuYWSAmLDeS_edr2K7Ju3XE/view?usp=drivesdk" TargetMode="External"/><Relationship Id="rId1308" Type="http://schemas.openxmlformats.org/officeDocument/2006/relationships/hyperlink" Target="https://drive.google.com/file/d/1GPkEZl8ACtVaurqx2UQp23s3PryjTxJr/view?usp=drivesdk" TargetMode="External"/><Relationship Id="rId2639" Type="http://schemas.openxmlformats.org/officeDocument/2006/relationships/hyperlink" Target="https://drive.google.com/file/d/1vT-qlkWDhk_YdWBn9Wg3Kf36jx0FaB4a/view?usp=drivesdk" TargetMode="External"/><Relationship Id="rId3969" Type="http://schemas.openxmlformats.org/officeDocument/2006/relationships/hyperlink" Target="https://drive.google.com/file/d/1t7NXQPVyiGmNnIqxtgYnu3i2RascBssS/view?usp=drivesdk" TargetMode="External"/><Relationship Id="rId1309" Type="http://schemas.openxmlformats.org/officeDocument/2006/relationships/hyperlink" Target="https://drive.google.com/file/d/1v0czqAvYs6XfE9OPv1JUwmSGT8-lrgoP/view?usp=drivesdk" TargetMode="External"/><Relationship Id="rId719" Type="http://schemas.openxmlformats.org/officeDocument/2006/relationships/hyperlink" Target="https://drive.google.com/file/d/1VOnbvZjUVk-WzsdseYfk7yVStgN69vNU/view?usp=drivesdk" TargetMode="External"/><Relationship Id="rId718" Type="http://schemas.openxmlformats.org/officeDocument/2006/relationships/hyperlink" Target="https://drive.google.com/file/d/1OrDSf2hXAy_mCQjjYFAId1ApYB1XzyjY/view?usp=drivesdk" TargetMode="External"/><Relationship Id="rId717" Type="http://schemas.openxmlformats.org/officeDocument/2006/relationships/hyperlink" Target="https://drive.google.com/file/d/19rlFrn00N0q2-IjwdZ2oB7IuGoz5vNQ7/view?usp=drivesdk" TargetMode="External"/><Relationship Id="rId712" Type="http://schemas.openxmlformats.org/officeDocument/2006/relationships/hyperlink" Target="https://drive.google.com/file/d/1g8zvX1BTusBQ7mBE4IhIN9rGD_OKLHw7/view?usp=drivesdk" TargetMode="External"/><Relationship Id="rId711" Type="http://schemas.openxmlformats.org/officeDocument/2006/relationships/hyperlink" Target="https://drive.google.com/file/d/1_EXrKRsIO00smmnj9m5RCgqD31RRtUNe/view?usp=drivesdk" TargetMode="External"/><Relationship Id="rId710" Type="http://schemas.openxmlformats.org/officeDocument/2006/relationships/hyperlink" Target="https://drive.google.com/file/d/1quXr8uUAlTfBiNk2eOdoS_oA7nWUJlPH/view?usp=drivesdk" TargetMode="External"/><Relationship Id="rId716" Type="http://schemas.openxmlformats.org/officeDocument/2006/relationships/hyperlink" Target="https://drive.google.com/file/d/1ADwa_bxcXE-8EmbuJK2_a4ieTeijHWuM/view?usp=drivesdk" TargetMode="External"/><Relationship Id="rId715" Type="http://schemas.openxmlformats.org/officeDocument/2006/relationships/hyperlink" Target="https://drive.google.com/file/d/1QdNOFZxwvalPVBTLENQmukm2tE5ZsJAx/view?usp=drivesdk" TargetMode="External"/><Relationship Id="rId714" Type="http://schemas.openxmlformats.org/officeDocument/2006/relationships/hyperlink" Target="https://drive.google.com/file/d/1oac1976t-QwWTURytnof5vAWeP5jeA7R/view?usp=drivesdk" TargetMode="External"/><Relationship Id="rId713" Type="http://schemas.openxmlformats.org/officeDocument/2006/relationships/hyperlink" Target="https://drive.google.com/file/d/1Fqoj1gimE7RlLPGAQZp5apDEFZbW7lN5/view?usp=drivesdk" TargetMode="External"/><Relationship Id="rId3960" Type="http://schemas.openxmlformats.org/officeDocument/2006/relationships/hyperlink" Target="https://drive.google.com/file/d/18ZTnh5EYntcRnwcV3bz93cd5h4IuvaUK/view?usp=drivesdk" TargetMode="External"/><Relationship Id="rId2630" Type="http://schemas.openxmlformats.org/officeDocument/2006/relationships/hyperlink" Target="https://drive.google.com/file/d/1_bODSpkJjbFQD3QVA_pnCd83STKrMITU/view?usp=drivesdk" TargetMode="External"/><Relationship Id="rId3962" Type="http://schemas.openxmlformats.org/officeDocument/2006/relationships/hyperlink" Target="https://drive.google.com/file/d/1HnEBBAJ9XwQbCi65XcMf_w-MkHSJfBqH/view?usp=drivesdk" TargetMode="External"/><Relationship Id="rId1300" Type="http://schemas.openxmlformats.org/officeDocument/2006/relationships/hyperlink" Target="https://drive.google.com/file/d/139zsFcZXm6twLmHZucxiezxaWhmZs6sL/view?usp=drivesdk" TargetMode="External"/><Relationship Id="rId2631" Type="http://schemas.openxmlformats.org/officeDocument/2006/relationships/hyperlink" Target="https://drive.google.com/file/d/1upzVEXZa5HQAbIBxh4RTzMxE5jmGjKU3/view?usp=drivesdk" TargetMode="External"/><Relationship Id="rId3961" Type="http://schemas.openxmlformats.org/officeDocument/2006/relationships/hyperlink" Target="https://drive.google.com/file/d/19td_8AdBwvFNuiPSJM-UxYn7n25AKlkC/view?usp=drivesdk" TargetMode="External"/><Relationship Id="rId3117" Type="http://schemas.openxmlformats.org/officeDocument/2006/relationships/hyperlink" Target="https://drive.google.com/file/d/1J4i5DbeUIpkjozEHLbVxzcxIBpUes8zT/view?usp=drivesdk" TargetMode="External"/><Relationship Id="rId4448" Type="http://schemas.openxmlformats.org/officeDocument/2006/relationships/hyperlink" Target="https://drive.google.com/file/d/19xC2D4xa78zS75TPW3hDaDCVChzq-moy/view?usp=drivesdk" TargetMode="External"/><Relationship Id="rId3116" Type="http://schemas.openxmlformats.org/officeDocument/2006/relationships/hyperlink" Target="https://drive.google.com/file/d/1pGrGmmURuyePUedTpaqkHd_-JhQ0LZ4Y/view?usp=drivesdk" TargetMode="External"/><Relationship Id="rId4447" Type="http://schemas.openxmlformats.org/officeDocument/2006/relationships/hyperlink" Target="https://drive.google.com/file/d/1cf2-lQS8ZkSmPCL_VBCG-_SEEJkYYw-o/view?usp=drivesdk" TargetMode="External"/><Relationship Id="rId3119" Type="http://schemas.openxmlformats.org/officeDocument/2006/relationships/hyperlink" Target="https://drive.google.com/file/d/1Asg5DQMCIPwniRcUkFvrPwnJRGKUpqlE/view?usp=drivesdk" TargetMode="External"/><Relationship Id="rId3118" Type="http://schemas.openxmlformats.org/officeDocument/2006/relationships/hyperlink" Target="https://drive.google.com/file/d/1_WTZirhWdO_UD3kkG3m8-yj-S4KlJYwq/view?usp=drivesdk" TargetMode="External"/><Relationship Id="rId4449" Type="http://schemas.openxmlformats.org/officeDocument/2006/relationships/hyperlink" Target="https://drive.google.com/file/d/1VX3ho3WHsH70AsFGhJZm6nNBkwWl35Uy/view?usp=drivesdk" TargetMode="External"/><Relationship Id="rId4440" Type="http://schemas.openxmlformats.org/officeDocument/2006/relationships/hyperlink" Target="https://drive.google.com/file/d/1vRPGAY9VlKVQaGFlghFnzsdOwi-4656F/view?usp=drivesdk" TargetMode="External"/><Relationship Id="rId3111" Type="http://schemas.openxmlformats.org/officeDocument/2006/relationships/hyperlink" Target="https://drive.google.com/file/d/1_UrlLYfg2BlzJR0Z5VYoLRaOjbHxb9YM/view?usp=drivesdk" TargetMode="External"/><Relationship Id="rId4442" Type="http://schemas.openxmlformats.org/officeDocument/2006/relationships/hyperlink" Target="https://drive.google.com/file/d/11oFRbSJREH5-i19sNnDcznIuqnC0NAyB/view?usp=drivesdk" TargetMode="External"/><Relationship Id="rId3110" Type="http://schemas.openxmlformats.org/officeDocument/2006/relationships/hyperlink" Target="https://drive.google.com/file/d/1vmoo4vCjS-1O3DI45hQaqlfkF0yBMrzD/view?usp=drivesdk" TargetMode="External"/><Relationship Id="rId4441" Type="http://schemas.openxmlformats.org/officeDocument/2006/relationships/hyperlink" Target="https://drive.google.com/file/d/1OVJCPBvZxB5igOAkw1UlvgbBJWFMAEDD/view?usp=drivesdk" TargetMode="External"/><Relationship Id="rId3113" Type="http://schemas.openxmlformats.org/officeDocument/2006/relationships/hyperlink" Target="https://drive.google.com/file/d/1aKxnRIUbpQhCVEfAfPafRYYgEW-jOSrr/view?usp=drivesdk" TargetMode="External"/><Relationship Id="rId4444" Type="http://schemas.openxmlformats.org/officeDocument/2006/relationships/hyperlink" Target="https://drive.google.com/file/d/1cXlFTTZqUWgoyyagUqpyKU2M7DYRWs_C/view?usp=drivesdk" TargetMode="External"/><Relationship Id="rId3112" Type="http://schemas.openxmlformats.org/officeDocument/2006/relationships/hyperlink" Target="https://drive.google.com/file/d/17FB5UJb3x4S9Z_S2o4f7uJU1w2QophkG/view?usp=drivesdk" TargetMode="External"/><Relationship Id="rId4443" Type="http://schemas.openxmlformats.org/officeDocument/2006/relationships/hyperlink" Target="https://drive.google.com/file/d/1GUsPtLPkzlHlVPbH1SxnzBewuYrnGHuh/view?usp=drivesdk" TargetMode="External"/><Relationship Id="rId3115" Type="http://schemas.openxmlformats.org/officeDocument/2006/relationships/hyperlink" Target="https://drive.google.com/file/d/1hPD8QvlTk8SY0KAQNa9WQH4sG41m9CmJ/view?usp=drivesdk" TargetMode="External"/><Relationship Id="rId4446" Type="http://schemas.openxmlformats.org/officeDocument/2006/relationships/hyperlink" Target="https://drive.google.com/file/d/1egH0MUtKphzG1keDdi2f_oWdZK31VKO2/view?usp=drivesdk" TargetMode="External"/><Relationship Id="rId3114" Type="http://schemas.openxmlformats.org/officeDocument/2006/relationships/hyperlink" Target="https://drive.google.com/file/d/1atwsIi639DGY6jF57GaFp4bp2nWjbZEg/view?usp=drivesdk" TargetMode="External"/><Relationship Id="rId4445" Type="http://schemas.openxmlformats.org/officeDocument/2006/relationships/hyperlink" Target="https://drive.google.com/file/d/1S_VrLmAqKv7NVi00U6kea_G-BQZTEnWW/view?usp=drivesdk" TargetMode="External"/><Relationship Id="rId3106" Type="http://schemas.openxmlformats.org/officeDocument/2006/relationships/hyperlink" Target="https://drive.google.com/file/d/1MfB6bS2J3rBUKTfIaQksir0mSAp1BpRi/view?usp=drivesdk" TargetMode="External"/><Relationship Id="rId4437" Type="http://schemas.openxmlformats.org/officeDocument/2006/relationships/hyperlink" Target="https://drive.google.com/file/d/1UalbIBGM1-See1XjP7evigX8ZpfAIOT7/view?usp=drivesdk" TargetMode="External"/><Relationship Id="rId3105" Type="http://schemas.openxmlformats.org/officeDocument/2006/relationships/hyperlink" Target="https://drive.google.com/file/d/1ntHQafjjJnzRGdxoBMYy4poRI24YMXNt/view?usp=drivesdk" TargetMode="External"/><Relationship Id="rId4436" Type="http://schemas.openxmlformats.org/officeDocument/2006/relationships/hyperlink" Target="https://drive.google.com/file/d/1Xw8cLRFtoddwPGm7czt_yEaZ3mrdkn3U/view?usp=drivesdk" TargetMode="External"/><Relationship Id="rId3108" Type="http://schemas.openxmlformats.org/officeDocument/2006/relationships/hyperlink" Target="https://drive.google.com/file/d/1FaE9RNYmATEiVsIHV9u_EqkeHBAww4pB/view?usp=drivesdk" TargetMode="External"/><Relationship Id="rId4439" Type="http://schemas.openxmlformats.org/officeDocument/2006/relationships/hyperlink" Target="https://drive.google.com/file/d/1SFxXc1Bi2LU5HinXp5rt4aLA9F4xiVPV/view?usp=drivesdk" TargetMode="External"/><Relationship Id="rId3107" Type="http://schemas.openxmlformats.org/officeDocument/2006/relationships/hyperlink" Target="https://drive.google.com/file/d/1oAC6DUNRigUQCbVJuVFsUXs_i-ye0kYU/view?usp=drivesdk" TargetMode="External"/><Relationship Id="rId4438" Type="http://schemas.openxmlformats.org/officeDocument/2006/relationships/hyperlink" Target="https://drive.google.com/file/d/1cJSwtsCDGoIXfvmO0r_R8PLEfhdgqdXK/view?usp=drivesdk" TargetMode="External"/><Relationship Id="rId3109" Type="http://schemas.openxmlformats.org/officeDocument/2006/relationships/hyperlink" Target="https://drive.google.com/file/d/1GLncSi7QEN-H7V-XYog4ahva8nFkzWPe/view?usp=drivesdk" TargetMode="External"/><Relationship Id="rId3100" Type="http://schemas.openxmlformats.org/officeDocument/2006/relationships/hyperlink" Target="https://drive.google.com/file/d/16t_tFnVsPf9h0pKRo7oE5qbGZS1y8CMn/view?usp=drivesdk" TargetMode="External"/><Relationship Id="rId4431" Type="http://schemas.openxmlformats.org/officeDocument/2006/relationships/hyperlink" Target="https://drive.google.com/file/d/14RXMd1OMKbD4wkb0OPM1mqvrvn3dWIaR/view?usp=drivesdk" TargetMode="External"/><Relationship Id="rId4430" Type="http://schemas.openxmlformats.org/officeDocument/2006/relationships/hyperlink" Target="https://drive.google.com/file/d/1F6Zm7GdHCRBbP0a-zGEF4Pd8a8cEZWwg/view?usp=drivesdk" TargetMode="External"/><Relationship Id="rId3102" Type="http://schemas.openxmlformats.org/officeDocument/2006/relationships/hyperlink" Target="https://drive.google.com/file/d/1UiM6rymanhvSx27g66fCmIM_NS2Tapul/view?usp=drivesdk" TargetMode="External"/><Relationship Id="rId4433" Type="http://schemas.openxmlformats.org/officeDocument/2006/relationships/hyperlink" Target="https://drive.google.com/file/d/17GXvHp-vKg5XHg5A4AXuS5lht45w-PuN/view?usp=drivesdk" TargetMode="External"/><Relationship Id="rId3101" Type="http://schemas.openxmlformats.org/officeDocument/2006/relationships/hyperlink" Target="https://drive.google.com/file/d/1czJdHCV4NLMTNsSCazgFK9-L1WlrQFL5/view?usp=drivesdk" TargetMode="External"/><Relationship Id="rId4432" Type="http://schemas.openxmlformats.org/officeDocument/2006/relationships/hyperlink" Target="https://drive.google.com/file/d/1LuVl-7cAaXWy9p3u74r6DewkuvbjsB-Q/view?usp=drivesdk" TargetMode="External"/><Relationship Id="rId3104" Type="http://schemas.openxmlformats.org/officeDocument/2006/relationships/hyperlink" Target="https://drive.google.com/file/d/1pQGJFk1ivOqgs6CPsBdURj-Kt4QY3k86/view?usp=drivesdk" TargetMode="External"/><Relationship Id="rId4435" Type="http://schemas.openxmlformats.org/officeDocument/2006/relationships/hyperlink" Target="https://drive.google.com/file/d/1JXv2kGTOmX8GYEaDDIsIBpZlSaRodkoP/view?usp=drivesdk" TargetMode="External"/><Relationship Id="rId3103" Type="http://schemas.openxmlformats.org/officeDocument/2006/relationships/hyperlink" Target="https://drive.google.com/file/d/1EPnaibJ7BgIs5YN6utA_QIHs-sHHZAFs/view?usp=drivesdk" TargetMode="External"/><Relationship Id="rId4434" Type="http://schemas.openxmlformats.org/officeDocument/2006/relationships/hyperlink" Target="https://drive.google.com/file/d/1Bp0PJTbk2udcy01GSgNcipzt8E2VcBbJ/view?usp=drivesdk" TargetMode="External"/><Relationship Id="rId3139" Type="http://schemas.openxmlformats.org/officeDocument/2006/relationships/hyperlink" Target="https://drive.google.com/file/d/1ro6amPCejUUiT_9sRXWOGquWESK3nzRU/view?usp=drivesdk" TargetMode="External"/><Relationship Id="rId3138" Type="http://schemas.openxmlformats.org/officeDocument/2006/relationships/hyperlink" Target="https://drive.google.com/file/d/1AhbA0fE5epn_lj_eAP2tgWgncPg5wNmA/view?usp=drivesdk" TargetMode="External"/><Relationship Id="rId4469" Type="http://schemas.openxmlformats.org/officeDocument/2006/relationships/hyperlink" Target="https://drive.google.com/file/d/1xq3Ky87bUbbWIqGLryaMCcVy7xSVszcz/view?usp=drivesdk" TargetMode="External"/><Relationship Id="rId4460" Type="http://schemas.openxmlformats.org/officeDocument/2006/relationships/hyperlink" Target="https://drive.google.com/file/d/1vuAxnqIJT6-h8cGw9-lGM3vBHePBN0d0/view?usp=drivesdk" TargetMode="External"/><Relationship Id="rId3131" Type="http://schemas.openxmlformats.org/officeDocument/2006/relationships/hyperlink" Target="https://drive.google.com/file/d/1QcABlaXgtDcUxKn1x2QuZdv2hm5KZcAT/view?usp=drivesdk" TargetMode="External"/><Relationship Id="rId4462" Type="http://schemas.openxmlformats.org/officeDocument/2006/relationships/hyperlink" Target="https://drive.google.com/file/d/1qB5CRbDRlmCp6mmvbVVzXsX95l84o6tL/view?usp=drivesdk" TargetMode="External"/><Relationship Id="rId3130" Type="http://schemas.openxmlformats.org/officeDocument/2006/relationships/hyperlink" Target="https://drive.google.com/file/d/1C55WYn_VAsAw_RKKgEN1Gw5gvAQzO5Ae/view?usp=drivesdk" TargetMode="External"/><Relationship Id="rId4461" Type="http://schemas.openxmlformats.org/officeDocument/2006/relationships/hyperlink" Target="https://drive.google.com/file/d/1AUUk36t7Frw3QhICQ62jLxOQAX7pjHuC/view?usp=drivesdk" TargetMode="External"/><Relationship Id="rId3133" Type="http://schemas.openxmlformats.org/officeDocument/2006/relationships/hyperlink" Target="https://drive.google.com/file/d/1b-xT_Ip0LCJm0wqpRcZDVfjP8CYgFFr1/view?usp=drivesdk" TargetMode="External"/><Relationship Id="rId4464" Type="http://schemas.openxmlformats.org/officeDocument/2006/relationships/hyperlink" Target="https://drive.google.com/file/d/1Z4zKBzOb0uWSS9z0nlTvVkvDeYRWE6hC/view?usp=drivesdk" TargetMode="External"/><Relationship Id="rId3132" Type="http://schemas.openxmlformats.org/officeDocument/2006/relationships/hyperlink" Target="https://drive.google.com/file/d/1gufIkXk4WXd-ASm8ndDPCorSxul3SZ81/view?usp=drivesdk" TargetMode="External"/><Relationship Id="rId4463" Type="http://schemas.openxmlformats.org/officeDocument/2006/relationships/hyperlink" Target="https://drive.google.com/file/d/1_30oilVeAS1IifsoA4RLQcvbbjLXwp6W/view?usp=drivesdk" TargetMode="External"/><Relationship Id="rId3135" Type="http://schemas.openxmlformats.org/officeDocument/2006/relationships/hyperlink" Target="https://drive.google.com/file/d/1NAIN9u9GBdDJRr-WqtfKVLmmgkpVeEM7/view?usp=drivesdk" TargetMode="External"/><Relationship Id="rId4466" Type="http://schemas.openxmlformats.org/officeDocument/2006/relationships/hyperlink" Target="https://drive.google.com/file/d/1qYbsgirHhMdKVTiw5JE9-Nv5pc4ocZVU/view?usp=drivesdk" TargetMode="External"/><Relationship Id="rId3134" Type="http://schemas.openxmlformats.org/officeDocument/2006/relationships/hyperlink" Target="https://drive.google.com/file/d/1wGVvSJxd8oZxtAn4vTrFrvGOTQ2Te3ig/view?usp=drivesdk" TargetMode="External"/><Relationship Id="rId4465" Type="http://schemas.openxmlformats.org/officeDocument/2006/relationships/hyperlink" Target="https://drive.google.com/file/d/1BiPoHwUQtY2_diBk5f8oDBDNvublwDMH/view?usp=drivesdk" TargetMode="External"/><Relationship Id="rId3137" Type="http://schemas.openxmlformats.org/officeDocument/2006/relationships/hyperlink" Target="https://drive.google.com/file/d/1DODDXy_2sSQ7uyofZ1_6-dww7SlbH1Ds/view?usp=drivesdk" TargetMode="External"/><Relationship Id="rId4468" Type="http://schemas.openxmlformats.org/officeDocument/2006/relationships/hyperlink" Target="https://drive.google.com/file/d/1rt-C9qjzIvaw5VAnv50Sp6nui6Qn6iZv/view?usp=drivesdk" TargetMode="External"/><Relationship Id="rId3136" Type="http://schemas.openxmlformats.org/officeDocument/2006/relationships/hyperlink" Target="https://drive.google.com/file/d/1lWwwdxQKfT0FXBbYn1L-59dHl26laqWV/view?usp=drivesdk" TargetMode="External"/><Relationship Id="rId4467" Type="http://schemas.openxmlformats.org/officeDocument/2006/relationships/hyperlink" Target="https://drive.google.com/file/d/1Lu_mY839_k4SF4hysNowquqHh42zCpR_/view?usp=drivesdk" TargetMode="External"/><Relationship Id="rId3128" Type="http://schemas.openxmlformats.org/officeDocument/2006/relationships/hyperlink" Target="https://drive.google.com/file/d/1qGVfSYhwU9W1WfuS94fcmOnJix1kj-05/view?usp=drivesdk" TargetMode="External"/><Relationship Id="rId4459" Type="http://schemas.openxmlformats.org/officeDocument/2006/relationships/hyperlink" Target="https://drive.google.com/file/d/1eJZ30DE3XY66BJAXEkyu5kIyN1aHeJ5w/view?usp=drivesdk" TargetMode="External"/><Relationship Id="rId3127" Type="http://schemas.openxmlformats.org/officeDocument/2006/relationships/hyperlink" Target="https://drive.google.com/file/d/1z-ndbiSnXyNv5E4ds6OOLvt3TluVESCQ/view?usp=drivesdk" TargetMode="External"/><Relationship Id="rId4458" Type="http://schemas.openxmlformats.org/officeDocument/2006/relationships/hyperlink" Target="https://drive.google.com/file/d/1JB1a78yGGujtJAxEwnSNSqh3quzXXYME/view?usp=drivesdk" TargetMode="External"/><Relationship Id="rId3129" Type="http://schemas.openxmlformats.org/officeDocument/2006/relationships/hyperlink" Target="https://drive.google.com/file/d/1bROM9yIO72x4ltup5SsbMb5gd8Epm2YH/view?usp=drivesdk" TargetMode="External"/><Relationship Id="rId3120" Type="http://schemas.openxmlformats.org/officeDocument/2006/relationships/hyperlink" Target="https://drive.google.com/file/d/1pHcRoTIUpGesYYIexBnIwVDdIsUQSP6j/view?usp=drivesdk" TargetMode="External"/><Relationship Id="rId4451" Type="http://schemas.openxmlformats.org/officeDocument/2006/relationships/hyperlink" Target="https://drive.google.com/file/d/1dDJnVapiEwU5fmCPjJ_me3mQgVAOE6gu/view?usp=drivesdk" TargetMode="External"/><Relationship Id="rId4450" Type="http://schemas.openxmlformats.org/officeDocument/2006/relationships/hyperlink" Target="https://drive.google.com/file/d/1Lku5WSg2GhLHjpsa2F0LTyR6kJ-sJcck/view?usp=drivesdk" TargetMode="External"/><Relationship Id="rId3122" Type="http://schemas.openxmlformats.org/officeDocument/2006/relationships/hyperlink" Target="https://drive.google.com/file/d/1dVyqAji7sLNosS7QGF2jUpdvHxN9VcpW/view?usp=drivesdk" TargetMode="External"/><Relationship Id="rId4453" Type="http://schemas.openxmlformats.org/officeDocument/2006/relationships/hyperlink" Target="https://drive.google.com/file/d/1oQOgwrAuenZkE8Q41lR4o3VJ_umsLRAb/view?usp=drivesdk" TargetMode="External"/><Relationship Id="rId3121" Type="http://schemas.openxmlformats.org/officeDocument/2006/relationships/hyperlink" Target="https://drive.google.com/file/d/1OOzNo5yFFXnlpT20_Xkkn3Cb9p1n_hZC/view?usp=drivesdk" TargetMode="External"/><Relationship Id="rId4452" Type="http://schemas.openxmlformats.org/officeDocument/2006/relationships/hyperlink" Target="https://drive.google.com/file/d/1pVtwPfpt9KQtSI1SbMf9k6CAqIFyjcv-/view?usp=drivesdk" TargetMode="External"/><Relationship Id="rId3124" Type="http://schemas.openxmlformats.org/officeDocument/2006/relationships/hyperlink" Target="https://drive.google.com/file/d/1Ya-Mh2rhxCkYgEtXu-fXgH1yNHze0bEj/view?usp=drivesdk" TargetMode="External"/><Relationship Id="rId4455" Type="http://schemas.openxmlformats.org/officeDocument/2006/relationships/hyperlink" Target="https://drive.google.com/file/d/1o6lhHzL_TEGsEOEADMALeanvG0YII-gI/view?usp=drivesdk" TargetMode="External"/><Relationship Id="rId3123" Type="http://schemas.openxmlformats.org/officeDocument/2006/relationships/hyperlink" Target="https://drive.google.com/file/d/1ujvSLuFEuEceqJkI7rIQZ1JyQO6rMwGc/view?usp=drivesdk" TargetMode="External"/><Relationship Id="rId4454" Type="http://schemas.openxmlformats.org/officeDocument/2006/relationships/hyperlink" Target="https://drive.google.com/file/d/1mTlOfTTCeI80Lj8z0bRQQTb4ikSJPsXk/view?usp=drivesdk" TargetMode="External"/><Relationship Id="rId3126" Type="http://schemas.openxmlformats.org/officeDocument/2006/relationships/hyperlink" Target="https://drive.google.com/file/d/1EGshV8cpxiRSv7GqGAVba5ArKMTnytc_/view?usp=drivesdk" TargetMode="External"/><Relationship Id="rId4457" Type="http://schemas.openxmlformats.org/officeDocument/2006/relationships/hyperlink" Target="https://drive.google.com/file/d/12D2vhkxg8r39Sv2BtUUZbTN0ttQ6i2Dy/view?usp=drivesdk" TargetMode="External"/><Relationship Id="rId3125" Type="http://schemas.openxmlformats.org/officeDocument/2006/relationships/hyperlink" Target="https://drive.google.com/file/d/1wMMZCX0Db-BwXVRReWyalKUIPuee4kHr/view?usp=drivesdk" TargetMode="External"/><Relationship Id="rId4456" Type="http://schemas.openxmlformats.org/officeDocument/2006/relationships/hyperlink" Target="https://drive.google.com/file/d/1pQHsBwcx3lPYvhzyVauzgsw9bSx4yMVt/view?usp=drivesdk" TargetMode="External"/><Relationship Id="rId1378" Type="http://schemas.openxmlformats.org/officeDocument/2006/relationships/hyperlink" Target="https://drive.google.com/file/d/1wEBFQ5jib6EpH9BHKXBh6IbiYVJJy3QP/view?usp=drivesdk" TargetMode="External"/><Relationship Id="rId4404" Type="http://schemas.openxmlformats.org/officeDocument/2006/relationships/hyperlink" Target="https://drive.google.com/file/d/1xj3k5Eb51ZSMocXZr4YmMPrTsU9uv3PT/view?usp=drivesdk" TargetMode="External"/><Relationship Id="rId1379" Type="http://schemas.openxmlformats.org/officeDocument/2006/relationships/hyperlink" Target="https://drive.google.com/file/d/1LkeKE01KrIp919TVAd_6BmlAmQwVt-Wl/view?usp=drivesdk" TargetMode="External"/><Relationship Id="rId4403" Type="http://schemas.openxmlformats.org/officeDocument/2006/relationships/hyperlink" Target="https://drive.google.com/file/d/1Ycbt4IdKmaJ25ruw8MzfLbQRcmofq1l6/view?usp=drivesdk" TargetMode="External"/><Relationship Id="rId4406" Type="http://schemas.openxmlformats.org/officeDocument/2006/relationships/hyperlink" Target="https://drive.google.com/file/d/1y3jSx85EfPKUNtQT7TPwQE4XrhKQNy-C/view?usp=drivesdk" TargetMode="External"/><Relationship Id="rId4405" Type="http://schemas.openxmlformats.org/officeDocument/2006/relationships/hyperlink" Target="https://drive.google.com/file/d/1JsqTIWgDbdHmHv2grFrhytE8Hcado8UX/view?usp=drivesdk" TargetMode="External"/><Relationship Id="rId4408" Type="http://schemas.openxmlformats.org/officeDocument/2006/relationships/hyperlink" Target="https://drive.google.com/file/d/16MFk8iqy3Qs8BqIM4gTo2F8vhITh0cuo/view?usp=drivesdk" TargetMode="External"/><Relationship Id="rId4407" Type="http://schemas.openxmlformats.org/officeDocument/2006/relationships/hyperlink" Target="https://drive.google.com/file/d/1bvafe24Vwb_i_Z1muRlEuBL3TkdeaAgS/view?usp=drivesdk" TargetMode="External"/><Relationship Id="rId4409" Type="http://schemas.openxmlformats.org/officeDocument/2006/relationships/hyperlink" Target="https://drive.google.com/file/d/1PITNMBg3fR3REtIyACHX4PJU_000UcmR/view?usp=drivesdk" TargetMode="External"/><Relationship Id="rId789" Type="http://schemas.openxmlformats.org/officeDocument/2006/relationships/hyperlink" Target="https://drive.google.com/file/d/1ombuKhOWXEDQUZKPzsHWgagPfAeSuPtt/view?usp=drivesdk" TargetMode="External"/><Relationship Id="rId788" Type="http://schemas.openxmlformats.org/officeDocument/2006/relationships/hyperlink" Target="https://drive.google.com/file/d/1hYahoG7aY_gMruo7MWEdmwmyTK9F6UTL/view?usp=drivesdk" TargetMode="External"/><Relationship Id="rId787" Type="http://schemas.openxmlformats.org/officeDocument/2006/relationships/hyperlink" Target="https://drive.google.com/file/d/1uCcE6t71UtFTS_aPeW7Y1uUtbdKcf71O/view?usp=drivesdk" TargetMode="External"/><Relationship Id="rId786" Type="http://schemas.openxmlformats.org/officeDocument/2006/relationships/hyperlink" Target="https://drive.google.com/file/d/1CWYhluUORfvY3WtOV_I853Vrrr8iadpg/view?usp=drivesdk" TargetMode="External"/><Relationship Id="rId781" Type="http://schemas.openxmlformats.org/officeDocument/2006/relationships/hyperlink" Target="https://drive.google.com/file/d/188Aj4ieodCWXq8OiBOAUWCC8iWzBmYjT/view?usp=drivesdk" TargetMode="External"/><Relationship Id="rId1370" Type="http://schemas.openxmlformats.org/officeDocument/2006/relationships/hyperlink" Target="https://drive.google.com/file/d/1b1w0B9EVhRI0UBfq5zb8ngXrJpH6rDMj/view?usp=drivesdk" TargetMode="External"/><Relationship Id="rId780" Type="http://schemas.openxmlformats.org/officeDocument/2006/relationships/hyperlink" Target="https://drive.google.com/file/d/1HfvfHskFF0qWlLcEXqX08Ro8be4LIQsG/view?usp=drivesdk" TargetMode="External"/><Relationship Id="rId1371" Type="http://schemas.openxmlformats.org/officeDocument/2006/relationships/hyperlink" Target="https://drive.google.com/file/d/1ATCj6OdwRwcmPQBOr8c0lq7iESddqyFA/view?usp=drivesdk" TargetMode="External"/><Relationship Id="rId1372" Type="http://schemas.openxmlformats.org/officeDocument/2006/relationships/hyperlink" Target="https://drive.google.com/file/d/1yxbUBmQLLVY8ZkZC4n1AbDNkHQSNF1L3/view?usp=drivesdk" TargetMode="External"/><Relationship Id="rId1373" Type="http://schemas.openxmlformats.org/officeDocument/2006/relationships/hyperlink" Target="https://drive.google.com/file/d/1XgBEWeQYVZgLpBA6xgFCmsX3qbU2cq2a/view?usp=drivesdk" TargetMode="External"/><Relationship Id="rId785" Type="http://schemas.openxmlformats.org/officeDocument/2006/relationships/hyperlink" Target="https://drive.google.com/file/d/1EkkQvPxgZJCZA05VnpHe50a0mhXKN5VP/view?usp=drivesdk" TargetMode="External"/><Relationship Id="rId1374" Type="http://schemas.openxmlformats.org/officeDocument/2006/relationships/hyperlink" Target="https://drive.google.com/file/d/1QkEq-ZqgUoEaEPylqBXGOxDp9x9gIt9i/view?usp=drivesdk" TargetMode="External"/><Relationship Id="rId4400" Type="http://schemas.openxmlformats.org/officeDocument/2006/relationships/hyperlink" Target="https://drive.google.com/file/d/1gBbjqhSTuIpaPLYZB7zqyNbC4s_S-TPK/view?usp=drivesdk" TargetMode="External"/><Relationship Id="rId784" Type="http://schemas.openxmlformats.org/officeDocument/2006/relationships/hyperlink" Target="https://drive.google.com/file/d/1pM0VNf4Z978dm87KcNornrqfzn1ZoH9b/view?usp=drivesdk" TargetMode="External"/><Relationship Id="rId1375" Type="http://schemas.openxmlformats.org/officeDocument/2006/relationships/hyperlink" Target="https://drive.google.com/file/d/1I3v529MMiT_KQYMpsWMakZSMKSZI0_Vh/view?usp=drivesdk" TargetMode="External"/><Relationship Id="rId783" Type="http://schemas.openxmlformats.org/officeDocument/2006/relationships/hyperlink" Target="https://drive.google.com/file/d/1aHSKpPPYZKXp9LqwxJ04hvF0IhtttI4c/view?usp=drivesdk" TargetMode="External"/><Relationship Id="rId1376" Type="http://schemas.openxmlformats.org/officeDocument/2006/relationships/hyperlink" Target="https://drive.google.com/file/d/1D3jMN4nV7xXSP-ykDY_PirbwWykHPClt/view?usp=drivesdk" TargetMode="External"/><Relationship Id="rId4402" Type="http://schemas.openxmlformats.org/officeDocument/2006/relationships/hyperlink" Target="https://drive.google.com/file/d/1tb36SUfDSi2US-l_JdeiaBPFVgYFK9It/view?usp=drivesdk" TargetMode="External"/><Relationship Id="rId782" Type="http://schemas.openxmlformats.org/officeDocument/2006/relationships/hyperlink" Target="https://drive.google.com/file/d/1KS4ZqhwaTNk73-AtTZwXf5d16MUKngm4/view?usp=drivesdk" TargetMode="External"/><Relationship Id="rId1377" Type="http://schemas.openxmlformats.org/officeDocument/2006/relationships/hyperlink" Target="https://drive.google.com/file/d/1mNrzn26ZRdeWV-6GqTCwWqSdhGN_btxF/view?usp=drivesdk" TargetMode="External"/><Relationship Id="rId4401" Type="http://schemas.openxmlformats.org/officeDocument/2006/relationships/hyperlink" Target="https://drive.google.com/file/d/1ZyXGc0O6lzfWWy2PuYMDnqw41ztOTaHs/view?usp=drivesdk" TargetMode="External"/><Relationship Id="rId1367" Type="http://schemas.openxmlformats.org/officeDocument/2006/relationships/hyperlink" Target="https://drive.google.com/file/d/1BracD4J4Prcdz4fiNTfXaIyP2TBiC51N/view?usp=drivesdk" TargetMode="External"/><Relationship Id="rId2698" Type="http://schemas.openxmlformats.org/officeDocument/2006/relationships/hyperlink" Target="https://drive.google.com/file/d/1OGAQiwpxwFYZYXdLuM0sWXRB8BZN9KUo/view?usp=drivesdk" TargetMode="External"/><Relationship Id="rId1368" Type="http://schemas.openxmlformats.org/officeDocument/2006/relationships/hyperlink" Target="https://drive.google.com/file/d/1Ej27lAkS7a2sY6CxaUEw1SKI_VPdoWDR/view?usp=drivesdk" TargetMode="External"/><Relationship Id="rId2699" Type="http://schemas.openxmlformats.org/officeDocument/2006/relationships/hyperlink" Target="https://drive.google.com/file/d/1Spyi_Ke7l4RXmyZdwqf12h4xljBgvE6L/view?usp=drivesdk" TargetMode="External"/><Relationship Id="rId1369" Type="http://schemas.openxmlformats.org/officeDocument/2006/relationships/hyperlink" Target="https://drive.google.com/file/d/1H5mEA-jqVb_yykdN0EQPJlW9ddenqeli/view?usp=drivesdk" TargetMode="External"/><Relationship Id="rId778" Type="http://schemas.openxmlformats.org/officeDocument/2006/relationships/hyperlink" Target="https://drive.google.com/file/d/1EZStb24_rNvnM_mOCDV3s-eobacTkKv8/view?usp=drivesdk" TargetMode="External"/><Relationship Id="rId777" Type="http://schemas.openxmlformats.org/officeDocument/2006/relationships/hyperlink" Target="https://drive.google.com/file/d/1X_EdHA7F0Nhp4tA2TE0s14v_--ymjvqe/view?usp=drivesdk" TargetMode="External"/><Relationship Id="rId776" Type="http://schemas.openxmlformats.org/officeDocument/2006/relationships/hyperlink" Target="https://drive.google.com/file/d/1kJYw3WV4wgtOXWXRbbFzG4rDHGxF7GFr/view?usp=drivesdk" TargetMode="External"/><Relationship Id="rId775" Type="http://schemas.openxmlformats.org/officeDocument/2006/relationships/hyperlink" Target="https://drive.google.com/file/d/1tMq6QX7IiB-zrWBjAE2dEuSEr77RGtAL/view?usp=drivesdk" TargetMode="External"/><Relationship Id="rId779" Type="http://schemas.openxmlformats.org/officeDocument/2006/relationships/hyperlink" Target="https://drive.google.com/file/d/16VM3CmtHJKc1PVSuz85Ry4PsnTq7a3-T/view?usp=drivesdk" TargetMode="External"/><Relationship Id="rId770" Type="http://schemas.openxmlformats.org/officeDocument/2006/relationships/hyperlink" Target="https://drive.google.com/file/d/1bhelu1IR9IP5Y5KeL8_aW8_8VjIMyEpd/view?usp=drivesdk" TargetMode="External"/><Relationship Id="rId2690" Type="http://schemas.openxmlformats.org/officeDocument/2006/relationships/hyperlink" Target="https://drive.google.com/file/d/18Us9cyx9TAoEy9xTTrQ_6LKQ3I6UIgvU/view?usp=drivesdk" TargetMode="External"/><Relationship Id="rId1360" Type="http://schemas.openxmlformats.org/officeDocument/2006/relationships/hyperlink" Target="https://drive.google.com/file/d/1ATIdRwsm1DtY_H3xmGL80ncJD4nsQU7P/view?usp=drivesdk" TargetMode="External"/><Relationship Id="rId2691" Type="http://schemas.openxmlformats.org/officeDocument/2006/relationships/hyperlink" Target="https://drive.google.com/file/d/1kScyVChCmGx42-v_MGTCGLcSRKMOyAqq/view?usp=drivesdk" TargetMode="External"/><Relationship Id="rId1361" Type="http://schemas.openxmlformats.org/officeDocument/2006/relationships/hyperlink" Target="https://drive.google.com/file/d/1VYycqCSAXWrPT9Ei7VnCZIyNLRDjf4Me/view?usp=drivesdk" TargetMode="External"/><Relationship Id="rId2692" Type="http://schemas.openxmlformats.org/officeDocument/2006/relationships/hyperlink" Target="https://drive.google.com/file/d/1YzBskXGCLde7Zh2tFXGNRcoMAsWJGJ6P/view?usp=drivesdk" TargetMode="External"/><Relationship Id="rId1362" Type="http://schemas.openxmlformats.org/officeDocument/2006/relationships/hyperlink" Target="https://drive.google.com/file/d/1AMMOYsu2kEzHnHWQHDwQOdEztczEQ71I/view?usp=drivesdk" TargetMode="External"/><Relationship Id="rId2693" Type="http://schemas.openxmlformats.org/officeDocument/2006/relationships/hyperlink" Target="https://drive.google.com/file/d/1xSSxtVcSYf09sIf1vdwwu38k8f5Rtepp/view?usp=drivesdk" TargetMode="External"/><Relationship Id="rId774" Type="http://schemas.openxmlformats.org/officeDocument/2006/relationships/hyperlink" Target="https://drive.google.com/file/d/1PDswG7ig6XquNrn2ubYC6MotsO_uq_rp/view?usp=drivesdk" TargetMode="External"/><Relationship Id="rId1363" Type="http://schemas.openxmlformats.org/officeDocument/2006/relationships/hyperlink" Target="https://drive.google.com/file/d/13PGK85wiZfO2Xirglcp-d-5Gw6DyScNT/view?usp=drivesdk" TargetMode="External"/><Relationship Id="rId2694" Type="http://schemas.openxmlformats.org/officeDocument/2006/relationships/hyperlink" Target="https://drive.google.com/file/d/1cjA8H4yEGpQ5DihGbBOA9iUFDE40n4K6/view?usp=drivesdk" TargetMode="External"/><Relationship Id="rId773" Type="http://schemas.openxmlformats.org/officeDocument/2006/relationships/hyperlink" Target="https://drive.google.com/file/d/19e3jZ2EAdVH29r3VzHt5KWhWUBWy8hqU/view?usp=drivesdk" TargetMode="External"/><Relationship Id="rId1364" Type="http://schemas.openxmlformats.org/officeDocument/2006/relationships/hyperlink" Target="https://drive.google.com/file/d/17VqM6a6o4qmlz-w30L9NVhMuOO_QiVKI/view?usp=drivesdk" TargetMode="External"/><Relationship Id="rId2695" Type="http://schemas.openxmlformats.org/officeDocument/2006/relationships/hyperlink" Target="https://drive.google.com/file/d/1X6fYbBIdnFrGm1DipB62G5v1hQaL9Cm6/view?usp=drivesdk" TargetMode="External"/><Relationship Id="rId772" Type="http://schemas.openxmlformats.org/officeDocument/2006/relationships/hyperlink" Target="https://drive.google.com/file/d/13IVS28j0NfL0SVu2lZiGYxf8ErT33e_i/view?usp=drivesdk" TargetMode="External"/><Relationship Id="rId1365" Type="http://schemas.openxmlformats.org/officeDocument/2006/relationships/hyperlink" Target="https://drive.google.com/file/d/1dcz0IXXPnjC8dOH_sI93DSdOKPOsFfV8/view?usp=drivesdk" TargetMode="External"/><Relationship Id="rId2696" Type="http://schemas.openxmlformats.org/officeDocument/2006/relationships/hyperlink" Target="https://drive.google.com/file/d/1jeLhsaka2AOIcfALcCM0DOP6lf38iuDi/view?usp=drivesdk" TargetMode="External"/><Relationship Id="rId771" Type="http://schemas.openxmlformats.org/officeDocument/2006/relationships/hyperlink" Target="https://drive.google.com/file/d/11DEo0KcWWnEYDOdP_xHvOXcfspKXeO2q/view?usp=drivesdk" TargetMode="External"/><Relationship Id="rId1366" Type="http://schemas.openxmlformats.org/officeDocument/2006/relationships/hyperlink" Target="https://drive.google.com/file/d/1IkJMLXZdQ8z5CsA0a45-6XkAgmsdJ508/view?usp=drivesdk" TargetMode="External"/><Relationship Id="rId2697" Type="http://schemas.openxmlformats.org/officeDocument/2006/relationships/hyperlink" Target="https://drive.google.com/file/d/1pSTJ-dc8d--fWJi1glVi7VRp-YifSIKd/view?usp=drivesdk" TargetMode="External"/><Relationship Id="rId4426" Type="http://schemas.openxmlformats.org/officeDocument/2006/relationships/hyperlink" Target="https://drive.google.com/file/d/1oTxbav2mbM1pc1psqQGrVTayrHzXXZzB/view?usp=drivesdk" TargetMode="External"/><Relationship Id="rId4425" Type="http://schemas.openxmlformats.org/officeDocument/2006/relationships/hyperlink" Target="https://drive.google.com/file/d/1Gixcqwb7zcCX6vij_M8Wehah3QEgskmV/view?usp=drivesdk" TargetMode="External"/><Relationship Id="rId4428" Type="http://schemas.openxmlformats.org/officeDocument/2006/relationships/hyperlink" Target="https://drive.google.com/file/d/1Lbtuupnn2m0IfQaZPDQ6UP_MQ-A4Kbc0/view?usp=drivesdk" TargetMode="External"/><Relationship Id="rId4427" Type="http://schemas.openxmlformats.org/officeDocument/2006/relationships/hyperlink" Target="https://drive.google.com/file/d/1I692GDyqFBV6Q0ty7UfkRU7pEKcpRYc4/view?usp=drivesdk" TargetMode="External"/><Relationship Id="rId4429" Type="http://schemas.openxmlformats.org/officeDocument/2006/relationships/hyperlink" Target="https://drive.google.com/file/d/14QoVQCE38r1RwZPGoChBVR7zVdAzjMVd/view?usp=drivesdk" TargetMode="External"/><Relationship Id="rId1390" Type="http://schemas.openxmlformats.org/officeDocument/2006/relationships/hyperlink" Target="https://drive.google.com/file/d/1cmWlPZbF_HNT6gcdBISFHRrczq4FDbR2/view?usp=drivesdk" TargetMode="External"/><Relationship Id="rId1391" Type="http://schemas.openxmlformats.org/officeDocument/2006/relationships/hyperlink" Target="https://drive.google.com/file/d/1YIg8IPTFi9C4u7OlWowTFhPge8jx5T8v/view?usp=drivesdk" TargetMode="External"/><Relationship Id="rId1392" Type="http://schemas.openxmlformats.org/officeDocument/2006/relationships/hyperlink" Target="https://drive.google.com/file/d/1hx6z1P_LuP4QsuZ4zSV8VsmmEKg1Trrs/view?usp=drivesdk" TargetMode="External"/><Relationship Id="rId1393" Type="http://schemas.openxmlformats.org/officeDocument/2006/relationships/hyperlink" Target="https://drive.google.com/file/d/1YL1hBPon2j_ugkHXI-jbsMOiDeyeNNL6/view?usp=drivesdk" TargetMode="External"/><Relationship Id="rId1394" Type="http://schemas.openxmlformats.org/officeDocument/2006/relationships/hyperlink" Target="https://drive.google.com/file/d/1VeW5ThMcex9OoRL485NQlt-iJgQBnhTr/view?usp=drivesdk" TargetMode="External"/><Relationship Id="rId4420" Type="http://schemas.openxmlformats.org/officeDocument/2006/relationships/hyperlink" Target="https://drive.google.com/file/d/1d4evvAu6EnyA9uhzoX4d3q3h3FZVJSB_/view?usp=drivesdk" TargetMode="External"/><Relationship Id="rId1395" Type="http://schemas.openxmlformats.org/officeDocument/2006/relationships/hyperlink" Target="https://drive.google.com/file/d/1DL3Fnr8375hClksuMtnnuwW1JttE2fQJ/view?usp=drivesdk" TargetMode="External"/><Relationship Id="rId1396" Type="http://schemas.openxmlformats.org/officeDocument/2006/relationships/hyperlink" Target="https://drive.google.com/file/d/1mvn4v0ZaL3jeRiy_idd2xqB9uYKwK2rF/view?usp=drivesdk" TargetMode="External"/><Relationship Id="rId4422" Type="http://schemas.openxmlformats.org/officeDocument/2006/relationships/hyperlink" Target="https://drive.google.com/file/d/1o8LOTEBSjFt4QMYk-UvLA5BHlAdz3kHw/view?usp=drivesdk" TargetMode="External"/><Relationship Id="rId1397" Type="http://schemas.openxmlformats.org/officeDocument/2006/relationships/hyperlink" Target="https://drive.google.com/file/d/11-PIBpmE4pxsKHsVo5aUQl3aI7SuKQKW/view?usp=drivesdk" TargetMode="External"/><Relationship Id="rId4421" Type="http://schemas.openxmlformats.org/officeDocument/2006/relationships/hyperlink" Target="https://drive.google.com/file/d/1XVGzTMF9CzpCLYANGzjL2gV-yQcDsLXe/view?usp=drivesdk" TargetMode="External"/><Relationship Id="rId1398" Type="http://schemas.openxmlformats.org/officeDocument/2006/relationships/hyperlink" Target="https://drive.google.com/file/d/1JbRNKitw0tCNVAXmIf7UCu7Ydf4GD7iW/view?usp=drivesdk" TargetMode="External"/><Relationship Id="rId4424" Type="http://schemas.openxmlformats.org/officeDocument/2006/relationships/hyperlink" Target="https://drive.google.com/file/d/1hmvfh1i3KAvhh1txxbnnqcVVDiF7esgd/view?usp=drivesdk" TargetMode="External"/><Relationship Id="rId1399" Type="http://schemas.openxmlformats.org/officeDocument/2006/relationships/hyperlink" Target="https://drive.google.com/file/d/1MROfnkDQ9SNYYxLOeCqhI7CDTTGJwW4Q/view?usp=drivesdk" TargetMode="External"/><Relationship Id="rId4423" Type="http://schemas.openxmlformats.org/officeDocument/2006/relationships/hyperlink" Target="https://drive.google.com/file/d/1h3opj65N657x36Of-jg3InwaoVZUZqEb/view?usp=drivesdk" TargetMode="External"/><Relationship Id="rId1389" Type="http://schemas.openxmlformats.org/officeDocument/2006/relationships/hyperlink" Target="https://drive.google.com/file/d/1Bj3XLZHqIEHCipkE9utlYHWOUMVLZpfJ/view?usp=drivesdk" TargetMode="External"/><Relationship Id="rId4415" Type="http://schemas.openxmlformats.org/officeDocument/2006/relationships/hyperlink" Target="https://drive.google.com/file/d/1rHydJa4LyRcqdQJ8DdbK85gcSQg7XCaN/view?usp=drivesdk" TargetMode="External"/><Relationship Id="rId4414" Type="http://schemas.openxmlformats.org/officeDocument/2006/relationships/hyperlink" Target="https://drive.google.com/file/d/1d1WHyLuZvrTzBXUVs0e2j9l4zGIiYGu0/view?usp=drivesdk" TargetMode="External"/><Relationship Id="rId4417" Type="http://schemas.openxmlformats.org/officeDocument/2006/relationships/hyperlink" Target="https://drive.google.com/file/d/1jxjzGozrKh0avvkJmSssFVV2SdcuUTVt/view?usp=drivesdk" TargetMode="External"/><Relationship Id="rId4416" Type="http://schemas.openxmlformats.org/officeDocument/2006/relationships/hyperlink" Target="https://drive.google.com/file/d/1A5AR-8CocsV7BWiETtXLNMNqJTivwCSJ/view?usp=drivesdk" TargetMode="External"/><Relationship Id="rId4419" Type="http://schemas.openxmlformats.org/officeDocument/2006/relationships/hyperlink" Target="https://drive.google.com/file/d/1--1HAh5nnmTt_R4fxxOlm_1zX0is2ZPM/view?usp=drivesdk" TargetMode="External"/><Relationship Id="rId4418" Type="http://schemas.openxmlformats.org/officeDocument/2006/relationships/hyperlink" Target="https://drive.google.com/file/d/1vH-667jban6nMZDvqkuSX4i3OOhkFbm9/view?usp=drivesdk" TargetMode="External"/><Relationship Id="rId799" Type="http://schemas.openxmlformats.org/officeDocument/2006/relationships/hyperlink" Target="https://drive.google.com/file/d/1NkDaZiA4A3jDnkHC1v2RqlsomNmV24Y4/view?usp=drivesdk" TargetMode="External"/><Relationship Id="rId798" Type="http://schemas.openxmlformats.org/officeDocument/2006/relationships/hyperlink" Target="https://drive.google.com/file/d/1qYWeML0b8ljZ1JTNTVhi53rLmSKkUt5V/view?usp=drivesdk" TargetMode="External"/><Relationship Id="rId797" Type="http://schemas.openxmlformats.org/officeDocument/2006/relationships/hyperlink" Target="https://drive.google.com/file/d/1wIOLL4A62efM6SOs7z2SI5THlsDZdM-W/view?usp=drivesdk" TargetMode="External"/><Relationship Id="rId1380" Type="http://schemas.openxmlformats.org/officeDocument/2006/relationships/hyperlink" Target="https://drive.google.com/file/d/1W5glFtfmoXlnh-8zLxI9XDtHcm1LTMOi/view?usp=drivesdk" TargetMode="External"/><Relationship Id="rId792" Type="http://schemas.openxmlformats.org/officeDocument/2006/relationships/hyperlink" Target="https://drive.google.com/file/d/1A9j57hwME75BrPjAhS8WLWT2UaukE4yc/view?usp=drivesdk" TargetMode="External"/><Relationship Id="rId1381" Type="http://schemas.openxmlformats.org/officeDocument/2006/relationships/hyperlink" Target="https://drive.google.com/file/d/1Q9g_RTyEwFaoADeDgXoZ19_kK9r8RHIW/view?usp=drivesdk" TargetMode="External"/><Relationship Id="rId791" Type="http://schemas.openxmlformats.org/officeDocument/2006/relationships/hyperlink" Target="https://drive.google.com/file/d/1zHOBmrh4DdNfd40H96Np2C-enyM02AZG/view?usp=drivesdk" TargetMode="External"/><Relationship Id="rId1382" Type="http://schemas.openxmlformats.org/officeDocument/2006/relationships/hyperlink" Target="https://drive.google.com/file/d/1Kpfjj3MwlHCK7SsyWULWcBaGy6VFIhej/view?usp=drivesdk" TargetMode="External"/><Relationship Id="rId790" Type="http://schemas.openxmlformats.org/officeDocument/2006/relationships/hyperlink" Target="https://drive.google.com/file/d/1ShtS7CKifaRHn8gzcRv36yeLHn9p1hnQ/view?usp=drivesdk" TargetMode="External"/><Relationship Id="rId1383" Type="http://schemas.openxmlformats.org/officeDocument/2006/relationships/hyperlink" Target="https://drive.google.com/file/d/10f8E_vjYFC6g8dSrgei5W9veeWBZSJE7/view?usp=drivesdk" TargetMode="External"/><Relationship Id="rId1384" Type="http://schemas.openxmlformats.org/officeDocument/2006/relationships/hyperlink" Target="https://drive.google.com/file/d/1YX08HHGAwhv3VOC6ZEEQG53RyeKNDNmw/view?usp=drivesdk" TargetMode="External"/><Relationship Id="rId796" Type="http://schemas.openxmlformats.org/officeDocument/2006/relationships/hyperlink" Target="https://drive.google.com/file/d/191ibhdO1ai3zKDJk5jVpuIbGrSvqVm4Q/view?usp=drivesdk" TargetMode="External"/><Relationship Id="rId1385" Type="http://schemas.openxmlformats.org/officeDocument/2006/relationships/hyperlink" Target="https://drive.google.com/file/d/1lZ5nDGn4tgKGDeKSYemHcbup-KBp0CzW/view?usp=drivesdk" TargetMode="External"/><Relationship Id="rId4411" Type="http://schemas.openxmlformats.org/officeDocument/2006/relationships/hyperlink" Target="https://drive.google.com/file/d/1zRB14uvpVWyuNfElGOxKVJRD9dsNODbn/view?usp=drivesdk" TargetMode="External"/><Relationship Id="rId795" Type="http://schemas.openxmlformats.org/officeDocument/2006/relationships/hyperlink" Target="https://drive.google.com/file/d/1gGQO4UZMrYFwIRrDVWma11dDW1NBIcz2/view?usp=drivesdk" TargetMode="External"/><Relationship Id="rId1386" Type="http://schemas.openxmlformats.org/officeDocument/2006/relationships/hyperlink" Target="https://drive.google.com/file/d/1my3X1ogVZ1Ii8Ri_uNIm1icwHdst0I7z/view?usp=drivesdk" TargetMode="External"/><Relationship Id="rId4410" Type="http://schemas.openxmlformats.org/officeDocument/2006/relationships/hyperlink" Target="https://drive.google.com/file/d/14_AxNeEHGUpAN1_eJYsmV_ewt458CtSM/view?usp=drivesdk" TargetMode="External"/><Relationship Id="rId794" Type="http://schemas.openxmlformats.org/officeDocument/2006/relationships/hyperlink" Target="https://drive.google.com/file/d/1DBKaXo5ChR9rATuPNMWRZKXiRYHQdscA/view?usp=drivesdk" TargetMode="External"/><Relationship Id="rId1387" Type="http://schemas.openxmlformats.org/officeDocument/2006/relationships/hyperlink" Target="https://drive.google.com/file/d/1zxDlJakRJ4N594zzc5onGOKS5KtULHQg/view?usp=drivesdk" TargetMode="External"/><Relationship Id="rId4413" Type="http://schemas.openxmlformats.org/officeDocument/2006/relationships/hyperlink" Target="https://drive.google.com/file/d/11Przo1Dsv6urNnu652Y-c7f2H_vHfVzg/view?usp=drivesdk" TargetMode="External"/><Relationship Id="rId793" Type="http://schemas.openxmlformats.org/officeDocument/2006/relationships/hyperlink" Target="https://drive.google.com/file/d/1HAK5E94hNt8cPsTY-TaOj5AxfropICVW/view?usp=drivesdk" TargetMode="External"/><Relationship Id="rId1388" Type="http://schemas.openxmlformats.org/officeDocument/2006/relationships/hyperlink" Target="https://drive.google.com/file/d/1k1pAvRG6xCTHg2q2H_LlDe8arGUmUuhf/view?usp=drivesdk" TargetMode="External"/><Relationship Id="rId4412" Type="http://schemas.openxmlformats.org/officeDocument/2006/relationships/hyperlink" Target="https://drive.google.com/file/d/1Feo3ztOHIz1rQ5gCuZQZSK6FgWNGMGBb/view?usp=drivesdk" TargetMode="External"/><Relationship Id="rId3191" Type="http://schemas.openxmlformats.org/officeDocument/2006/relationships/hyperlink" Target="https://drive.google.com/file/d/16p2t_XmUnhyklAfUVL2eEGYrE_yGGjoW/view?usp=drivesdk" TargetMode="External"/><Relationship Id="rId3190" Type="http://schemas.openxmlformats.org/officeDocument/2006/relationships/hyperlink" Target="https://drive.google.com/file/d/1iLAiXXuL5LAGqbIPdza9JLlYQxs_l4x-/view?usp=drivesdk" TargetMode="External"/><Relationship Id="rId3193" Type="http://schemas.openxmlformats.org/officeDocument/2006/relationships/hyperlink" Target="https://drive.google.com/file/d/1ElTJIMkX1IH4KleNDyBeRwtSddD2tiz-/view?usp=drivesdk" TargetMode="External"/><Relationship Id="rId3192" Type="http://schemas.openxmlformats.org/officeDocument/2006/relationships/hyperlink" Target="https://drive.google.com/file/d/1lsZozs4ekwkgm37Z8m58okrXrviSewyf/view?usp=drivesdk" TargetMode="External"/><Relationship Id="rId3195" Type="http://schemas.openxmlformats.org/officeDocument/2006/relationships/hyperlink" Target="https://drive.google.com/file/d/1CnE15noZ2MGvXYcofFC0hzjaSK4kqTcy/view?usp=drivesdk" TargetMode="External"/><Relationship Id="rId3194" Type="http://schemas.openxmlformats.org/officeDocument/2006/relationships/hyperlink" Target="https://drive.google.com/file/d/1cKODzYNmeGjVsjtAPm7SGuQsJwL-qzWp/view?usp=drivesdk" TargetMode="External"/><Relationship Id="rId3197" Type="http://schemas.openxmlformats.org/officeDocument/2006/relationships/hyperlink" Target="https://drive.google.com/file/d/15NEkV80i7TvDXGseKBQH9vCeP7US35y4/view?usp=drivesdk" TargetMode="External"/><Relationship Id="rId3196" Type="http://schemas.openxmlformats.org/officeDocument/2006/relationships/hyperlink" Target="https://drive.google.com/file/d/11UFHlFMkhyTSWbzyXWlm76MGeTEzzB5x/view?usp=drivesdk" TargetMode="External"/><Relationship Id="rId3199" Type="http://schemas.openxmlformats.org/officeDocument/2006/relationships/hyperlink" Target="https://drive.google.com/file/d/1-eMWYCGefNQjsKj1aP3cMLgSO7-vV-aa/view?usp=drivesdk" TargetMode="External"/><Relationship Id="rId3198" Type="http://schemas.openxmlformats.org/officeDocument/2006/relationships/hyperlink" Target="https://drive.google.com/file/d/1639WrH0gGYGMJkMyJyf_P-EtBkC0Jk7y/view?usp=drivesdk" TargetMode="External"/><Relationship Id="rId3180" Type="http://schemas.openxmlformats.org/officeDocument/2006/relationships/hyperlink" Target="https://drive.google.com/file/d/12VI1_FcUgk5LuglrSLqh9ljEaTZySjR-/view?usp=drivesdk" TargetMode="External"/><Relationship Id="rId3182" Type="http://schemas.openxmlformats.org/officeDocument/2006/relationships/hyperlink" Target="https://drive.google.com/file/d/1KOiOjddhWNbIizlRbSDWRKmUPV0Ztr-O/view?usp=drivesdk" TargetMode="External"/><Relationship Id="rId3181" Type="http://schemas.openxmlformats.org/officeDocument/2006/relationships/hyperlink" Target="https://drive.google.com/file/d/1WYUfV7YtyWXqjNeraE8uO2APhu88DfPd/view?usp=drivesdk" TargetMode="External"/><Relationship Id="rId3184" Type="http://schemas.openxmlformats.org/officeDocument/2006/relationships/hyperlink" Target="https://drive.google.com/file/d/1F7GiJU-kkrbyDWazSG_pqTKN0-Mau4ic/view?usp=drivesdk" TargetMode="External"/><Relationship Id="rId3183" Type="http://schemas.openxmlformats.org/officeDocument/2006/relationships/hyperlink" Target="https://drive.google.com/file/d/1yHxmqBMIuWLOb8IJyr7sxVROd4-jBvVG/view?usp=drivesdk" TargetMode="External"/><Relationship Id="rId3186" Type="http://schemas.openxmlformats.org/officeDocument/2006/relationships/hyperlink" Target="https://drive.google.com/file/d/1Hd1JsBNTxldoNqcqRaXboqvRn7wjc1iQ/view?usp=drivesdk" TargetMode="External"/><Relationship Id="rId3185" Type="http://schemas.openxmlformats.org/officeDocument/2006/relationships/hyperlink" Target="https://drive.google.com/file/d/1FbOVvfuccmOBuIc3XWapIdBPVVdaj4Oy/view?usp=drivesdk" TargetMode="External"/><Relationship Id="rId3188" Type="http://schemas.openxmlformats.org/officeDocument/2006/relationships/hyperlink" Target="https://drive.google.com/file/d/1G7AAJ4KYyqnxcRDLyEyOICnmkKw8Rb_B/view?usp=drivesdk" TargetMode="External"/><Relationship Id="rId3187" Type="http://schemas.openxmlformats.org/officeDocument/2006/relationships/hyperlink" Target="https://drive.google.com/file/d/16JAc1BDhkGfNgy3QLPllxGssossZBM9P/view?usp=drivesdk" TargetMode="External"/><Relationship Id="rId3189" Type="http://schemas.openxmlformats.org/officeDocument/2006/relationships/hyperlink" Target="https://drive.google.com/file/d/1Z46aS3dPZiKTXC1gg3b1xPnv6iNeg2Iv/view?usp=drivesdk" TargetMode="External"/><Relationship Id="rId4480" Type="http://schemas.openxmlformats.org/officeDocument/2006/relationships/hyperlink" Target="https://drive.google.com/file/d/1q_6wCG7I5Rm0YKpMrGilAIx7EgZIs_M9/view?usp=drivesdk" TargetMode="External"/><Relationship Id="rId3151" Type="http://schemas.openxmlformats.org/officeDocument/2006/relationships/hyperlink" Target="https://drive.google.com/file/d/1UJvdy3BDJN6Kk4MSuf1Y3Vysy38xAkEB/view?usp=drivesdk" TargetMode="External"/><Relationship Id="rId4482" Type="http://schemas.openxmlformats.org/officeDocument/2006/relationships/hyperlink" Target="https://drive.google.com/file/d/1A1cbDzRURUdVQu3amFxDwIfzID3ErrZI/view?usp=drivesdk" TargetMode="External"/><Relationship Id="rId3150" Type="http://schemas.openxmlformats.org/officeDocument/2006/relationships/hyperlink" Target="https://drive.google.com/file/d/1lKHofOpk6vZo6OGWTGzMU4z6oji8oD3S/view?usp=drivesdk" TargetMode="External"/><Relationship Id="rId4481" Type="http://schemas.openxmlformats.org/officeDocument/2006/relationships/hyperlink" Target="https://drive.google.com/file/d/1B435w1GohsU6gBapXvduVFDTL2U-G4rl/view?usp=drivesdk" TargetMode="External"/><Relationship Id="rId3153" Type="http://schemas.openxmlformats.org/officeDocument/2006/relationships/hyperlink" Target="https://drive.google.com/file/d/1Qb-nbzHhCN_om8M5xnVJdE-J-4rBax5h/view?usp=drivesdk" TargetMode="External"/><Relationship Id="rId4484" Type="http://schemas.openxmlformats.org/officeDocument/2006/relationships/hyperlink" Target="https://drive.google.com/file/d/1xibXSUjjjzLCsJL-SMPNZueLgGMeTUIy/view?usp=drivesdk" TargetMode="External"/><Relationship Id="rId3152" Type="http://schemas.openxmlformats.org/officeDocument/2006/relationships/hyperlink" Target="https://drive.google.com/file/d/11obEux6RgKEDe7wnqxm3oK6Llpq2qjRQ/view?usp=drivesdk" TargetMode="External"/><Relationship Id="rId4483" Type="http://schemas.openxmlformats.org/officeDocument/2006/relationships/hyperlink" Target="https://drive.google.com/file/d/1rdgWXZ4JM8QEx1x_mEbP0aT7E7Kz5fEV/view?usp=drivesdk" TargetMode="External"/><Relationship Id="rId3155" Type="http://schemas.openxmlformats.org/officeDocument/2006/relationships/hyperlink" Target="https://drive.google.com/file/d/1c6JDzNT8tbX3aELny6gum-RTl-Ee1JKD/view?usp=drivesdk" TargetMode="External"/><Relationship Id="rId4486" Type="http://schemas.openxmlformats.org/officeDocument/2006/relationships/hyperlink" Target="https://drive.google.com/file/d/1A17zzrGL4iU4-pi87Q8_0WC2PUmiocmA/view?usp=drivesdk" TargetMode="External"/><Relationship Id="rId3154" Type="http://schemas.openxmlformats.org/officeDocument/2006/relationships/hyperlink" Target="https://drive.google.com/file/d/1N3oxGoMJdk1Ygk0wxbzxfOp58yUZireu/view?usp=drivesdk" TargetMode="External"/><Relationship Id="rId4485" Type="http://schemas.openxmlformats.org/officeDocument/2006/relationships/hyperlink" Target="https://drive.google.com/file/d/1nGIFgw0tmJtpt6gdnZve9AsFYnUEUTlF/view?usp=drivesdk" TargetMode="External"/><Relationship Id="rId3157" Type="http://schemas.openxmlformats.org/officeDocument/2006/relationships/hyperlink" Target="https://drive.google.com/file/d/1LJhIVSbr19zUN0ammeT7nWbq8g0IMBpG/view?usp=drivesdk" TargetMode="External"/><Relationship Id="rId4488" Type="http://schemas.openxmlformats.org/officeDocument/2006/relationships/hyperlink" Target="https://drive.google.com/file/d/18zBcCyEYYm4PinCncDngAZYeHtf9_rN-/view?usp=drivesdk" TargetMode="External"/><Relationship Id="rId3156" Type="http://schemas.openxmlformats.org/officeDocument/2006/relationships/hyperlink" Target="https://drive.google.com/file/d/16SsTT6YQ6gSBizNNT5_6Gn86E7m5WPRB/view?usp=drivesdk" TargetMode="External"/><Relationship Id="rId4487" Type="http://schemas.openxmlformats.org/officeDocument/2006/relationships/hyperlink" Target="https://drive.google.com/file/d/1woMnpx7m9CKfefqMvmGIah2Rm83M556B/view?usp=drivesdk" TargetMode="External"/><Relationship Id="rId3159" Type="http://schemas.openxmlformats.org/officeDocument/2006/relationships/hyperlink" Target="https://drive.google.com/file/d/1yCJBfOgs63prMiZhphXjNeSnk-GL2Kqw/view?usp=drivesdk" TargetMode="External"/><Relationship Id="rId3158" Type="http://schemas.openxmlformats.org/officeDocument/2006/relationships/hyperlink" Target="https://drive.google.com/file/d/1cUe53gARnfgyl52uGUnPBclgdu1XXlJo/view?usp=drivesdk" TargetMode="External"/><Relationship Id="rId4489" Type="http://schemas.openxmlformats.org/officeDocument/2006/relationships/hyperlink" Target="https://drive.google.com/file/d/1Qf0g8AwFr4L4Ujg0MCIzyEOZjbhnbrrM/view?usp=drivesdk" TargetMode="External"/><Relationship Id="rId3149" Type="http://schemas.openxmlformats.org/officeDocument/2006/relationships/hyperlink" Target="https://drive.google.com/file/d/1ix1dmNJIQ6DMKvwLBmTsjYk2ykFL4csy/view?usp=drivesdk" TargetMode="External"/><Relationship Id="rId3140" Type="http://schemas.openxmlformats.org/officeDocument/2006/relationships/hyperlink" Target="https://drive.google.com/file/d/1afDlGCycvdlZWFQtVE4l_VAPPtkvk730/view?usp=drivesdk" TargetMode="External"/><Relationship Id="rId4471" Type="http://schemas.openxmlformats.org/officeDocument/2006/relationships/hyperlink" Target="https://drive.google.com/file/d/1O412koQ3FsuR5eGANkNYa3ssaxHmaCzD/view?usp=drivesdk" TargetMode="External"/><Relationship Id="rId4470" Type="http://schemas.openxmlformats.org/officeDocument/2006/relationships/hyperlink" Target="https://drive.google.com/file/d/1Stxm_SdsWcj0pGekVwOkUZcQdTlPjZza/view?usp=drivesdk" TargetMode="External"/><Relationship Id="rId3142" Type="http://schemas.openxmlformats.org/officeDocument/2006/relationships/hyperlink" Target="https://drive.google.com/file/d/1hUlZZj2IxR7eMTTVaigp_HrbROE4DMCg/view?usp=drivesdk" TargetMode="External"/><Relationship Id="rId4473" Type="http://schemas.openxmlformats.org/officeDocument/2006/relationships/hyperlink" Target="https://drive.google.com/file/d/12yL4aDvE8T5OOqtdTyeVYeTD0823dAci/view?usp=drivesdk" TargetMode="External"/><Relationship Id="rId3141" Type="http://schemas.openxmlformats.org/officeDocument/2006/relationships/hyperlink" Target="https://drive.google.com/file/d/1WotoopQ6euh8jp381n9Wzdc-asJhJ0aU/view?usp=drivesdk" TargetMode="External"/><Relationship Id="rId4472" Type="http://schemas.openxmlformats.org/officeDocument/2006/relationships/hyperlink" Target="https://drive.google.com/file/d/1ua5Mr6UartrkhjKEdmfsH2qiDY72i32O/view?usp=drivesdk" TargetMode="External"/><Relationship Id="rId3144" Type="http://schemas.openxmlformats.org/officeDocument/2006/relationships/hyperlink" Target="https://drive.google.com/file/d/1rV_ObrO97Et3b6sb5RU03XpSOC-6yBTo/view?usp=drivesdk" TargetMode="External"/><Relationship Id="rId4475" Type="http://schemas.openxmlformats.org/officeDocument/2006/relationships/hyperlink" Target="https://drive.google.com/file/d/1FnQmgMDagfjViI6ngAT9i0nhhtolctmD/view?usp=drivesdk" TargetMode="External"/><Relationship Id="rId3143" Type="http://schemas.openxmlformats.org/officeDocument/2006/relationships/hyperlink" Target="https://drive.google.com/file/d/13G5aGSnew09Qw3m-lMSRG9mNUFOmv1Ky/view?usp=drivesdk" TargetMode="External"/><Relationship Id="rId4474" Type="http://schemas.openxmlformats.org/officeDocument/2006/relationships/hyperlink" Target="https://drive.google.com/file/d/1eHLPIoBPmTP40pcLTHuovFFRNHUDFYub/view?usp=drivesdk" TargetMode="External"/><Relationship Id="rId3146" Type="http://schemas.openxmlformats.org/officeDocument/2006/relationships/hyperlink" Target="https://drive.google.com/file/d/1FiqFvyQ-n_4UTl6oXOqm0oxi34XeZBpL/view?usp=drivesdk" TargetMode="External"/><Relationship Id="rId4477" Type="http://schemas.openxmlformats.org/officeDocument/2006/relationships/hyperlink" Target="https://drive.google.com/file/d/12NxSHobYoCnXU5ooKVEgYXuZ_Jw0lAFL/view?usp=drivesdk" TargetMode="External"/><Relationship Id="rId3145" Type="http://schemas.openxmlformats.org/officeDocument/2006/relationships/hyperlink" Target="https://drive.google.com/file/d/1mjaIQDpJnJpM5rEEhXWaHXg-ONSQoSkU/view?usp=drivesdk" TargetMode="External"/><Relationship Id="rId4476" Type="http://schemas.openxmlformats.org/officeDocument/2006/relationships/hyperlink" Target="https://drive.google.com/file/d/1Ag9OuySCgQzUBeALk8E76ddKHs8mMHtK/view?usp=drivesdk" TargetMode="External"/><Relationship Id="rId3148" Type="http://schemas.openxmlformats.org/officeDocument/2006/relationships/hyperlink" Target="https://drive.google.com/file/d/1F8xJ6vqxHFOjkvnRrpB_JikGcVzAvxnV/view?usp=drivesdk" TargetMode="External"/><Relationship Id="rId4479" Type="http://schemas.openxmlformats.org/officeDocument/2006/relationships/hyperlink" Target="https://drive.google.com/file/d/10KGJYRcTTYSMHbPkEFXDYXyNuQ0P5ZWQ/view?usp=drivesdk" TargetMode="External"/><Relationship Id="rId3147" Type="http://schemas.openxmlformats.org/officeDocument/2006/relationships/hyperlink" Target="https://drive.google.com/file/d/14S3pMNjLGd_5zP4N4N7WGlzWySrQgGds/view?usp=drivesdk" TargetMode="External"/><Relationship Id="rId4478" Type="http://schemas.openxmlformats.org/officeDocument/2006/relationships/hyperlink" Target="https://drive.google.com/file/d/1co6oGLqNqt1rhKxPFTib6Ht-0ltnuy0N/view?usp=drivesdk" TargetMode="External"/><Relationship Id="rId3171" Type="http://schemas.openxmlformats.org/officeDocument/2006/relationships/hyperlink" Target="https://drive.google.com/file/d/1spZVH30_mlKrNX6CZe_VjE23A2eaV6gc/view?usp=drivesdk" TargetMode="External"/><Relationship Id="rId3170" Type="http://schemas.openxmlformats.org/officeDocument/2006/relationships/hyperlink" Target="https://drive.google.com/file/d/1l5QF1A66On2q57ZSJO_dh81DRY4Jz46T/view?usp=drivesdk" TargetMode="External"/><Relationship Id="rId3173" Type="http://schemas.openxmlformats.org/officeDocument/2006/relationships/hyperlink" Target="https://drive.google.com/file/d/1fl_UuYUdKUWM7ZB-fXF1W6P7AStF6DJR/view?usp=drivesdk" TargetMode="External"/><Relationship Id="rId3172" Type="http://schemas.openxmlformats.org/officeDocument/2006/relationships/hyperlink" Target="https://drive.google.com/file/d/1m6VdahhwJgTh3c4bQMLKtrUi10vPgKY2/view?usp=drivesdk" TargetMode="External"/><Relationship Id="rId3175" Type="http://schemas.openxmlformats.org/officeDocument/2006/relationships/hyperlink" Target="https://drive.google.com/file/d/1WRb7d2S3gop1BgizzjjigU9SWRXZihsv/view?usp=drivesdk" TargetMode="External"/><Relationship Id="rId3174" Type="http://schemas.openxmlformats.org/officeDocument/2006/relationships/hyperlink" Target="https://drive.google.com/file/d/1ugHpXxblqO00deo_KhcySZK20IlCYCvG/view?usp=drivesdk" TargetMode="External"/><Relationship Id="rId3177" Type="http://schemas.openxmlformats.org/officeDocument/2006/relationships/hyperlink" Target="https://drive.google.com/file/d/1u6McYZoL58A9dzKaQ-Mq_hk_HdClNnN0/view?usp=drivesdk" TargetMode="External"/><Relationship Id="rId3176" Type="http://schemas.openxmlformats.org/officeDocument/2006/relationships/hyperlink" Target="https://drive.google.com/file/d/1y04cOqm3DMgzbkPwdNLbPd0ELDqy1WF-/view?usp=drivesdk" TargetMode="External"/><Relationship Id="rId3179" Type="http://schemas.openxmlformats.org/officeDocument/2006/relationships/hyperlink" Target="https://drive.google.com/file/d/1c_07H9IGD3aOD9EvY4zjunMLKCCYKVEW/view?usp=drivesdk" TargetMode="External"/><Relationship Id="rId3178" Type="http://schemas.openxmlformats.org/officeDocument/2006/relationships/hyperlink" Target="https://drive.google.com/file/d/1prALe24O6ZCdzhADJSiYib7F3EttCTe1/view?usp=drivesdk" TargetMode="External"/><Relationship Id="rId3160" Type="http://schemas.openxmlformats.org/officeDocument/2006/relationships/hyperlink" Target="https://drive.google.com/file/d/1EzqYKfvz935e3woBSlxsTNVQIx8ZKrVT/view?usp=drivesdk" TargetMode="External"/><Relationship Id="rId4491" Type="http://schemas.openxmlformats.org/officeDocument/2006/relationships/hyperlink" Target="https://drive.google.com/file/d/1-niH3ftRtChgUBOP6RBi0hwLAjiyTDk3/view?usp=drivesdk" TargetMode="External"/><Relationship Id="rId4490" Type="http://schemas.openxmlformats.org/officeDocument/2006/relationships/hyperlink" Target="https://drive.google.com/file/d/1yeS9T2WNdfvaQtrWi9vPTdIfjVCDBATR/view?usp=drivesdk" TargetMode="External"/><Relationship Id="rId3162" Type="http://schemas.openxmlformats.org/officeDocument/2006/relationships/hyperlink" Target="https://drive.google.com/file/d/1LNU4OCDwUxtQRdKnLAoLG9U_UIoHeLKt/view?usp=drivesdk" TargetMode="External"/><Relationship Id="rId4493" Type="http://schemas.openxmlformats.org/officeDocument/2006/relationships/hyperlink" Target="https://drive.google.com/file/d/1cPfvAzntzvh-UDhBd7V7SQf_3ZQ9SmRw/view?usp=drivesdk" TargetMode="External"/><Relationship Id="rId3161" Type="http://schemas.openxmlformats.org/officeDocument/2006/relationships/hyperlink" Target="https://drive.google.com/file/d/1lg8099SfTw1i1UIaRjmUnkfeJKZ7Ck6P/view?usp=drivesdk" TargetMode="External"/><Relationship Id="rId4492" Type="http://schemas.openxmlformats.org/officeDocument/2006/relationships/hyperlink" Target="https://drive.google.com/file/d/1K5wak5ymKrx8e5NCJamDBkc_al7kaoGf/view?usp=drivesdk" TargetMode="External"/><Relationship Id="rId3164" Type="http://schemas.openxmlformats.org/officeDocument/2006/relationships/hyperlink" Target="https://drive.google.com/file/d/1eox3RgihTYFb1kg35MMvaPOC99o_wNvb/view?usp=drivesdk" TargetMode="External"/><Relationship Id="rId4495" Type="http://schemas.openxmlformats.org/officeDocument/2006/relationships/hyperlink" Target="https://drive.google.com/file/d/1bM8mdrKPHD0iXuQ8iMkQ6gyjHlqgRXdq/view?usp=drivesdk" TargetMode="External"/><Relationship Id="rId3163" Type="http://schemas.openxmlformats.org/officeDocument/2006/relationships/hyperlink" Target="https://drive.google.com/file/d/1L-dudaqc2nbaAuExiZq5HMkY1aGZZXvE/view?usp=drivesdk" TargetMode="External"/><Relationship Id="rId4494" Type="http://schemas.openxmlformats.org/officeDocument/2006/relationships/hyperlink" Target="https://drive.google.com/file/d/1mvqpArIlpBwjJay6DZFcfBB8j5lziUWU/view?usp=drivesdk" TargetMode="External"/><Relationship Id="rId3166" Type="http://schemas.openxmlformats.org/officeDocument/2006/relationships/hyperlink" Target="https://drive.google.com/file/d/1hFHBChwLuVp5bc93-TEx5mMOuLoL1C7Z/view?usp=drivesdk" TargetMode="External"/><Relationship Id="rId4497" Type="http://schemas.openxmlformats.org/officeDocument/2006/relationships/hyperlink" Target="https://drive.google.com/file/d/1PEYr0j5CFtWG7VHX3UjVW81k_rlNjemr/view?usp=drivesdk" TargetMode="External"/><Relationship Id="rId3165" Type="http://schemas.openxmlformats.org/officeDocument/2006/relationships/hyperlink" Target="https://drive.google.com/file/d/1W8RD-ppPHhJzhXQXCZMlIX8b4uQ3PS8A/view?usp=drivesdk" TargetMode="External"/><Relationship Id="rId4496" Type="http://schemas.openxmlformats.org/officeDocument/2006/relationships/hyperlink" Target="https://drive.google.com/file/d/1WX_XYbbi3KK0UbYhjL3z2XaQ7oIDfPEk/view?usp=drivesdk" TargetMode="External"/><Relationship Id="rId3168" Type="http://schemas.openxmlformats.org/officeDocument/2006/relationships/hyperlink" Target="https://drive.google.com/file/d/1zC_EuZIhRGx6YjR6zbakU5L2MEA0o_O-/view?usp=drivesdk" TargetMode="External"/><Relationship Id="rId4499" Type="http://schemas.openxmlformats.org/officeDocument/2006/relationships/hyperlink" Target="https://drive.google.com/file/d/133Wb4OmZ5lnQrk1Z83jJYf5NafewK58E/view?usp=drivesdk" TargetMode="External"/><Relationship Id="rId3167" Type="http://schemas.openxmlformats.org/officeDocument/2006/relationships/hyperlink" Target="https://drive.google.com/file/d/198IK2yfFu0qDBX2iem5TD2BMu1gql-US/view?usp=drivesdk" TargetMode="External"/><Relationship Id="rId4498" Type="http://schemas.openxmlformats.org/officeDocument/2006/relationships/hyperlink" Target="https://drive.google.com/file/d/1ZWrVsWQUxjDjBQPzlyniZj-f7sdEJqAE/view?usp=drivesdk" TargetMode="External"/><Relationship Id="rId3169" Type="http://schemas.openxmlformats.org/officeDocument/2006/relationships/hyperlink" Target="https://drive.google.com/file/d/1gNTI7OBLYT96QbCjU-buiWieOJibsnu5/view?usp=drivesdk" TargetMode="External"/><Relationship Id="rId2700" Type="http://schemas.openxmlformats.org/officeDocument/2006/relationships/hyperlink" Target="https://drive.google.com/file/d/1UMbAQ5lI5nXFaOfPhHLebAyyPkZZF3DA/view?usp=drivesdk" TargetMode="External"/><Relationship Id="rId2701" Type="http://schemas.openxmlformats.org/officeDocument/2006/relationships/hyperlink" Target="https://drive.google.com/file/d/1yiMPok0XznPShETvDkS-0PvAaD-RO17r/view?usp=drivesdk" TargetMode="External"/><Relationship Id="rId2702" Type="http://schemas.openxmlformats.org/officeDocument/2006/relationships/hyperlink" Target="https://drive.google.com/file/d/1rPsS37tk9p5IvGqT1ecwj-oPmBP-0LDO/view?usp=drivesdk" TargetMode="External"/><Relationship Id="rId2703" Type="http://schemas.openxmlformats.org/officeDocument/2006/relationships/hyperlink" Target="https://drive.google.com/file/d/1moPORRY1-cyJZGf_299ua0GJ6vb4ZTb6/view?usp=drivesdk" TargetMode="External"/><Relationship Id="rId2704" Type="http://schemas.openxmlformats.org/officeDocument/2006/relationships/hyperlink" Target="https://drive.google.com/file/d/1dw1EpRuIUr2cJpTg_FYxkhcx2rMEhFQ7/view?usp=drivesdk" TargetMode="External"/><Relationship Id="rId2705" Type="http://schemas.openxmlformats.org/officeDocument/2006/relationships/hyperlink" Target="https://drive.google.com/file/d/1sxvpSU4vJtk55LS0oPRm2eVD244U6clC/view?usp=drivesdk" TargetMode="External"/><Relationship Id="rId2706" Type="http://schemas.openxmlformats.org/officeDocument/2006/relationships/hyperlink" Target="https://drive.google.com/file/d/1j4ZGPneaGxWJp32_IzanxPVgQXroMjQA/view?usp=drivesdk" TargetMode="External"/><Relationship Id="rId2707" Type="http://schemas.openxmlformats.org/officeDocument/2006/relationships/hyperlink" Target="https://drive.google.com/file/d/15boyecByv-TO2wiARtv_6p73cto0zYNb/view?usp=drivesdk" TargetMode="External"/><Relationship Id="rId2708" Type="http://schemas.openxmlformats.org/officeDocument/2006/relationships/hyperlink" Target="https://drive.google.com/file/d/1agYlkSbBAgjZ5H0ibchxHb-OXlllzGlH/view?usp=drivesdk" TargetMode="External"/><Relationship Id="rId2709" Type="http://schemas.openxmlformats.org/officeDocument/2006/relationships/hyperlink" Target="https://drive.google.com/file/d/1CuCTBXDxf_GNNyI8TkNWeQ8D3qXLE7EE/view?usp=drivesdk" TargetMode="External"/><Relationship Id="rId2720" Type="http://schemas.openxmlformats.org/officeDocument/2006/relationships/hyperlink" Target="https://drive.google.com/file/d/1TGSZ33JhfOxidJiwAPe5871H0jTWqEST/view?usp=drivesdk" TargetMode="External"/><Relationship Id="rId2721" Type="http://schemas.openxmlformats.org/officeDocument/2006/relationships/hyperlink" Target="https://drive.google.com/file/d/1z-42h2qUjMwT88DGRQ3Dmb7IdAIUQV49/view?usp=drivesdk" TargetMode="External"/><Relationship Id="rId2722" Type="http://schemas.openxmlformats.org/officeDocument/2006/relationships/hyperlink" Target="https://drive.google.com/file/d/13G4ccrfrn5Zo8StoTFwqyy2msLfJZfAD/view?usp=drivesdk" TargetMode="External"/><Relationship Id="rId2723" Type="http://schemas.openxmlformats.org/officeDocument/2006/relationships/hyperlink" Target="https://drive.google.com/file/d/1d0iSLWEtDXexNPvXKTpVBpRZrZAC8YZe/view?usp=drivesdk" TargetMode="External"/><Relationship Id="rId2724" Type="http://schemas.openxmlformats.org/officeDocument/2006/relationships/hyperlink" Target="https://drive.google.com/file/d/1dVe5a6RLF6dcF9I96-DNFDZPSgzq5hed/view?usp=drivesdk" TargetMode="External"/><Relationship Id="rId2725" Type="http://schemas.openxmlformats.org/officeDocument/2006/relationships/hyperlink" Target="https://drive.google.com/file/d/1NQhr_zWIgW19k3RU4n_oURBuoL1c_vGH/view?usp=drivesdk" TargetMode="External"/><Relationship Id="rId2726" Type="http://schemas.openxmlformats.org/officeDocument/2006/relationships/hyperlink" Target="https://drive.google.com/file/d/1N0v7FEM0aOITEKaorVnhdYszuFWGsJ2r/view?usp=drivesdk" TargetMode="External"/><Relationship Id="rId2727" Type="http://schemas.openxmlformats.org/officeDocument/2006/relationships/hyperlink" Target="https://drive.google.com/file/d/1RgecYgBOLu9l90mEUfwL00Fa70WCTFvV/view?usp=drivesdk" TargetMode="External"/><Relationship Id="rId2728" Type="http://schemas.openxmlformats.org/officeDocument/2006/relationships/hyperlink" Target="https://drive.google.com/file/d/1Xj3XNM0SFmys6Pi1hhSao8itgg-xtT9i/view?usp=drivesdk" TargetMode="External"/><Relationship Id="rId2729" Type="http://schemas.openxmlformats.org/officeDocument/2006/relationships/hyperlink" Target="https://drive.google.com/file/d/1GvN7jFcbs3hGVZts9fT-KfGYujg4YrtH/view?usp=drivesdk" TargetMode="External"/><Relationship Id="rId2710" Type="http://schemas.openxmlformats.org/officeDocument/2006/relationships/hyperlink" Target="https://drive.google.com/file/d/1Dib5ZfRKKGXLilbLTLo2ORFJn9WYw9XY/view?usp=drivesdk" TargetMode="External"/><Relationship Id="rId2711" Type="http://schemas.openxmlformats.org/officeDocument/2006/relationships/hyperlink" Target="https://drive.google.com/file/d/1L1Y0RiHTcZqRVhg1bmiAl9qTjgoDb59L/view?usp=drivesdk" TargetMode="External"/><Relationship Id="rId2712" Type="http://schemas.openxmlformats.org/officeDocument/2006/relationships/hyperlink" Target="https://drive.google.com/file/d/1TrW7G4WuDtq-LB3kHT3dh5RcUNgAu3Bw/view?usp=drivesdk" TargetMode="External"/><Relationship Id="rId2713" Type="http://schemas.openxmlformats.org/officeDocument/2006/relationships/hyperlink" Target="https://drive.google.com/file/d/1hUTVfPnMAXLPbFrbR7MXoNaBsnSF-mfJ/view?usp=drivesdk" TargetMode="External"/><Relationship Id="rId2714" Type="http://schemas.openxmlformats.org/officeDocument/2006/relationships/hyperlink" Target="https://drive.google.com/file/d/1uqf6A44AESWqB0vGP3Z4lnzCTcX_OG53/view?usp=drivesdk" TargetMode="External"/><Relationship Id="rId2715" Type="http://schemas.openxmlformats.org/officeDocument/2006/relationships/hyperlink" Target="https://drive.google.com/file/d/1xEAKoWeZxC7f4BECNb2ZQHdmgl_Z80Jc/view?usp=drivesdk" TargetMode="External"/><Relationship Id="rId2716" Type="http://schemas.openxmlformats.org/officeDocument/2006/relationships/hyperlink" Target="https://drive.google.com/file/d/1KqSe0CkwigC1e_ISI8oCRccFJDgDI0uE/view?usp=drivesdk" TargetMode="External"/><Relationship Id="rId2717" Type="http://schemas.openxmlformats.org/officeDocument/2006/relationships/hyperlink" Target="https://drive.google.com/file/d/13FbtkVUuRMAEw8GOofoiB2iBoR4K_nHR/view?usp=drivesdk" TargetMode="External"/><Relationship Id="rId2718" Type="http://schemas.openxmlformats.org/officeDocument/2006/relationships/hyperlink" Target="https://drive.google.com/file/d/12MTgVFJapSIFZ0l7Rp1NDX4RLC4RENUB/view?usp=drivesdk" TargetMode="External"/><Relationship Id="rId2719" Type="http://schemas.openxmlformats.org/officeDocument/2006/relationships/hyperlink" Target="https://drive.google.com/file/d/19bvldJme_NpP3PmWWG271CD90RHsyOyS/view?usp=drivesdk" TargetMode="External"/><Relationship Id="rId1455" Type="http://schemas.openxmlformats.org/officeDocument/2006/relationships/hyperlink" Target="https://drive.google.com/file/d/1g2vV9HCHjY8jrAXaDrFyWrUYb2pYUlA4/view?usp=drivesdk" TargetMode="External"/><Relationship Id="rId2786" Type="http://schemas.openxmlformats.org/officeDocument/2006/relationships/hyperlink" Target="https://drive.google.com/file/d/1Wbb4v0dAv4ybDP8JUKmbxaioRVIlHzyV/view?usp=drivesdk" TargetMode="External"/><Relationship Id="rId1456" Type="http://schemas.openxmlformats.org/officeDocument/2006/relationships/hyperlink" Target="https://drive.google.com/file/d/1fZqMK-N8Dsb76jdojWgX0kDlGH0Q6N79/view?usp=drivesdk" TargetMode="External"/><Relationship Id="rId2787" Type="http://schemas.openxmlformats.org/officeDocument/2006/relationships/hyperlink" Target="https://drive.google.com/file/d/1Q1ecDV-yPrsJyKTKxlkd7Dda24wkgQS-/view?usp=drivesdk" TargetMode="External"/><Relationship Id="rId1457" Type="http://schemas.openxmlformats.org/officeDocument/2006/relationships/hyperlink" Target="https://drive.google.com/file/d/1g3FGbvu19fu43tVBav9oAUg890vjmKHj/view?usp=drivesdk" TargetMode="External"/><Relationship Id="rId2788" Type="http://schemas.openxmlformats.org/officeDocument/2006/relationships/hyperlink" Target="https://drive.google.com/file/d/1OhLojRzxanUeaq3iVN6rHn4L6AaiCrKb/view?usp=drivesdk" TargetMode="External"/><Relationship Id="rId1458" Type="http://schemas.openxmlformats.org/officeDocument/2006/relationships/hyperlink" Target="https://drive.google.com/file/d/1nuUO-f0eV9iqaKm9hF7eFpnhZ5yHPcNz/view?usp=drivesdk" TargetMode="External"/><Relationship Id="rId2789" Type="http://schemas.openxmlformats.org/officeDocument/2006/relationships/hyperlink" Target="https://drive.google.com/file/d/1QUTeSRTeES_yTVStVBRk5deNXeQ9PyZW/view?usp=drivesdk" TargetMode="External"/><Relationship Id="rId1459" Type="http://schemas.openxmlformats.org/officeDocument/2006/relationships/hyperlink" Target="https://drive.google.com/file/d/1ft9fyEdkMfzR1w1IVVL_jv9yaaUciOaA/view?usp=drivesdk" TargetMode="External"/><Relationship Id="rId629" Type="http://schemas.openxmlformats.org/officeDocument/2006/relationships/hyperlink" Target="https://drive.google.com/file/d/1mukPRG7HJ4Djv7kIyTk1zk4mYKjTw_if/view?usp=drivesdk" TargetMode="External"/><Relationship Id="rId624" Type="http://schemas.openxmlformats.org/officeDocument/2006/relationships/hyperlink" Target="https://drive.google.com/file/d/1ohwzao2li656eDneWouJCEaZK7O3P9D7/view?usp=drivesdk" TargetMode="External"/><Relationship Id="rId623" Type="http://schemas.openxmlformats.org/officeDocument/2006/relationships/hyperlink" Target="https://drive.google.com/file/d/1BzOUrlKukbIaizAVlK4TMKd1aSmzNslS/view?usp=drivesdk" TargetMode="External"/><Relationship Id="rId622" Type="http://schemas.openxmlformats.org/officeDocument/2006/relationships/hyperlink" Target="https://drive.google.com/file/d/1A5W-u6tlYuHpV6jGELlz1H3I-7izwTNt/view?usp=drivesdk" TargetMode="External"/><Relationship Id="rId621" Type="http://schemas.openxmlformats.org/officeDocument/2006/relationships/hyperlink" Target="https://drive.google.com/file/d/1S6BbJqee8mBlm_qbKEuMlkcsL9pm4uUk/view?usp=drivesdk" TargetMode="External"/><Relationship Id="rId628" Type="http://schemas.openxmlformats.org/officeDocument/2006/relationships/hyperlink" Target="https://drive.google.com/file/d/1NIeseoGJ76ozr8Ano_OymHI9JNo4VQ_l/view?usp=drivesdk" TargetMode="External"/><Relationship Id="rId627" Type="http://schemas.openxmlformats.org/officeDocument/2006/relationships/hyperlink" Target="https://drive.google.com/file/d/1mIbkBr7MKZNQb5th9Xp5ybAPSYIPHPNJ/view?usp=drivesdk" TargetMode="External"/><Relationship Id="rId626" Type="http://schemas.openxmlformats.org/officeDocument/2006/relationships/hyperlink" Target="https://drive.google.com/file/d/1E2V3_qZW0Pouw6u-9j_uXx2gKXVq8m9w/view?usp=drivesdk" TargetMode="External"/><Relationship Id="rId625" Type="http://schemas.openxmlformats.org/officeDocument/2006/relationships/hyperlink" Target="https://drive.google.com/file/d/1H39v_STNTvfuO5nmiWqmj1z0EWaQ5WM-/view?usp=drivesdk" TargetMode="External"/><Relationship Id="rId2780" Type="http://schemas.openxmlformats.org/officeDocument/2006/relationships/hyperlink" Target="https://drive.google.com/file/d/18lUMmErJUwkr-xRF_oMIk6QMt_aSE7Zy/view?usp=drivesdk" TargetMode="External"/><Relationship Id="rId1450" Type="http://schemas.openxmlformats.org/officeDocument/2006/relationships/hyperlink" Target="https://drive.google.com/file/d/1z1sgHVqJ0-88tuyU-aTdciIx-7JTGhGe/view?usp=drivesdk" TargetMode="External"/><Relationship Id="rId2781" Type="http://schemas.openxmlformats.org/officeDocument/2006/relationships/hyperlink" Target="https://drive.google.com/file/d/1cVu812dY3ThVMeW_N2ysbagR7QqlAoUF/view?usp=drivesdk" TargetMode="External"/><Relationship Id="rId620" Type="http://schemas.openxmlformats.org/officeDocument/2006/relationships/hyperlink" Target="https://drive.google.com/file/d/1Eam6iqvacb6qQ-lZ75XO7juzwJ8F4rGa/view?usp=drivesdk" TargetMode="External"/><Relationship Id="rId1451" Type="http://schemas.openxmlformats.org/officeDocument/2006/relationships/hyperlink" Target="https://drive.google.com/file/d/1tqENyxTDEU5wOFV1zMoR2BRk2LrhICyr/view?usp=drivesdk" TargetMode="External"/><Relationship Id="rId2782" Type="http://schemas.openxmlformats.org/officeDocument/2006/relationships/hyperlink" Target="https://drive.google.com/file/d/1AFWmgAmVZgkySu0oxcBIp2oAmAnx1GkP/view?usp=drivesdk" TargetMode="External"/><Relationship Id="rId1452" Type="http://schemas.openxmlformats.org/officeDocument/2006/relationships/hyperlink" Target="https://drive.google.com/file/d/1xYwG71uV4XOijZblUXDRABqkk57aSXOz/view?usp=drivesdk" TargetMode="External"/><Relationship Id="rId2783" Type="http://schemas.openxmlformats.org/officeDocument/2006/relationships/hyperlink" Target="https://drive.google.com/file/d/1Rc7dZv2omlyiuupgh70AZplk_AYdHaXi/view?usp=drivesdk" TargetMode="External"/><Relationship Id="rId1453" Type="http://schemas.openxmlformats.org/officeDocument/2006/relationships/hyperlink" Target="https://drive.google.com/file/d/1ibLHwu691XOm0ebUNSWBjhajO0YUI75c/view?usp=drivesdk" TargetMode="External"/><Relationship Id="rId2784" Type="http://schemas.openxmlformats.org/officeDocument/2006/relationships/hyperlink" Target="https://drive.google.com/file/d/1NTQ2BOgUQXRpR_0tQStTYjqeEkVKihLY/view?usp=drivesdk" TargetMode="External"/><Relationship Id="rId1454" Type="http://schemas.openxmlformats.org/officeDocument/2006/relationships/hyperlink" Target="https://drive.google.com/file/d/1sUDuQDoGtP9iegCsMSt1LjMtmZyJS16t/view?usp=drivesdk" TargetMode="External"/><Relationship Id="rId2785" Type="http://schemas.openxmlformats.org/officeDocument/2006/relationships/hyperlink" Target="https://drive.google.com/file/d/1En7tKumzUC-WMlfichRq1dHlcutC8cAM/view?usp=drivesdk" TargetMode="External"/><Relationship Id="rId1444" Type="http://schemas.openxmlformats.org/officeDocument/2006/relationships/hyperlink" Target="https://drive.google.com/file/d/1MQRkpOxRL0rnbEl3YGA_T7WeAarkwo0t/view?usp=drivesdk" TargetMode="External"/><Relationship Id="rId2775" Type="http://schemas.openxmlformats.org/officeDocument/2006/relationships/hyperlink" Target="https://drive.google.com/file/d/1Mq5oK_geBIUPIzsfwD0i2E54nLrUoEYE/view?usp=drivesdk" TargetMode="External"/><Relationship Id="rId1445" Type="http://schemas.openxmlformats.org/officeDocument/2006/relationships/hyperlink" Target="https://drive.google.com/file/d/1g2hRwI8Qq4r_M_9JHoYwbd8BiMQISJEH/view?usp=drivesdk" TargetMode="External"/><Relationship Id="rId2776" Type="http://schemas.openxmlformats.org/officeDocument/2006/relationships/hyperlink" Target="https://drive.google.com/file/d/1HdWLt6jbPc4Xa5pNQZFPTW6GpEnMEdtZ/view?usp=drivesdk" TargetMode="External"/><Relationship Id="rId1446" Type="http://schemas.openxmlformats.org/officeDocument/2006/relationships/hyperlink" Target="https://drive.google.com/file/d/1d5jqMCPMRdxn7E8HqLHzVcqOsx_KMAJH/view?usp=drivesdk" TargetMode="External"/><Relationship Id="rId2777" Type="http://schemas.openxmlformats.org/officeDocument/2006/relationships/hyperlink" Target="https://drive.google.com/file/d/1VLA9m1pYIh5AabkdS5JVSYM8Gay_hDAv/view?usp=drivesdk" TargetMode="External"/><Relationship Id="rId1447" Type="http://schemas.openxmlformats.org/officeDocument/2006/relationships/hyperlink" Target="https://drive.google.com/file/d/1PX7WpQSpWFoZ02AVpTF3fAn0-0xEXuMQ/view?usp=drivesdk" TargetMode="External"/><Relationship Id="rId2778" Type="http://schemas.openxmlformats.org/officeDocument/2006/relationships/hyperlink" Target="https://drive.google.com/file/d/1DXu5xJbMXSHmEcWUCQIeIi2JC5NbMHht/view?usp=drivesdk" TargetMode="External"/><Relationship Id="rId1448" Type="http://schemas.openxmlformats.org/officeDocument/2006/relationships/hyperlink" Target="https://drive.google.com/file/d/14fWO9YqZX8Urc9V2u_NjfKJGKvqj1h5o/view?usp=drivesdk" TargetMode="External"/><Relationship Id="rId2779" Type="http://schemas.openxmlformats.org/officeDocument/2006/relationships/hyperlink" Target="https://drive.google.com/file/d/1PnjDK2JiU0YBwoas27o2fGCRp91RetIg/view?usp=drivesdk" TargetMode="External"/><Relationship Id="rId1449" Type="http://schemas.openxmlformats.org/officeDocument/2006/relationships/hyperlink" Target="https://drive.google.com/file/d/1ZrvgqV_vN6D5_ahdW8uWCQJAe6OoYlFO/view?usp=drivesdk" TargetMode="External"/><Relationship Id="rId619" Type="http://schemas.openxmlformats.org/officeDocument/2006/relationships/hyperlink" Target="https://drive.google.com/file/d/1tAcDe3RPa8bhibM-3TmKFbWEp8OTXV9b/view?usp=drivesdk" TargetMode="External"/><Relationship Id="rId618" Type="http://schemas.openxmlformats.org/officeDocument/2006/relationships/hyperlink" Target="https://drive.google.com/file/d/1CiRKlYBA5DUEuqcVdzM9dDCz0iXy_IeQ/view?usp=drivesdk" TargetMode="External"/><Relationship Id="rId613" Type="http://schemas.openxmlformats.org/officeDocument/2006/relationships/hyperlink" Target="https://drive.google.com/file/d/1C0k26gtIsnlO_DUphd9bRh86EkgjxH_Q/view?usp=drivesdk" TargetMode="External"/><Relationship Id="rId612" Type="http://schemas.openxmlformats.org/officeDocument/2006/relationships/hyperlink" Target="https://drive.google.com/file/d/1gGTHbvc63X2zd4kgb69Mp0nj8LqWCY9q/view?usp=drivesdk" TargetMode="External"/><Relationship Id="rId611" Type="http://schemas.openxmlformats.org/officeDocument/2006/relationships/hyperlink" Target="https://drive.google.com/file/d/1iLyZ0y-1DgBru0sxYYF_GMpRYuz4s3FD/view?usp=drivesdk" TargetMode="External"/><Relationship Id="rId610" Type="http://schemas.openxmlformats.org/officeDocument/2006/relationships/hyperlink" Target="https://drive.google.com/file/d/1Gr4HqCQbN4rNJnBDHBORVbJuGIYbUEN8/view?usp=drivesdk" TargetMode="External"/><Relationship Id="rId617" Type="http://schemas.openxmlformats.org/officeDocument/2006/relationships/hyperlink" Target="https://drive.google.com/file/d/1r87Oe9JkqZOf63Lr85vxlx-gF1CbOWNu/view?usp=drivesdk" TargetMode="External"/><Relationship Id="rId616" Type="http://schemas.openxmlformats.org/officeDocument/2006/relationships/hyperlink" Target="https://drive.google.com/file/d/1exJpQIBsosryjVr723hwVYF17EiiYJcD/view?usp=drivesdk" TargetMode="External"/><Relationship Id="rId615" Type="http://schemas.openxmlformats.org/officeDocument/2006/relationships/hyperlink" Target="https://drive.google.com/file/d/18YWVTCVGQLrrJUBl6Hv53SJSTgXykz65/view?usp=drivesdk" TargetMode="External"/><Relationship Id="rId614" Type="http://schemas.openxmlformats.org/officeDocument/2006/relationships/hyperlink" Target="https://drive.google.com/file/d/1TcTG9oZ8x6Z8j-Xxk_ZKN5JeXnWQHdmP/view?usp=drivesdk" TargetMode="External"/><Relationship Id="rId2770" Type="http://schemas.openxmlformats.org/officeDocument/2006/relationships/hyperlink" Target="https://drive.google.com/file/d/1vf5s8ZP9MLafeMSeygM_Kw_c__LGR4yM/view?usp=drivesdk" TargetMode="External"/><Relationship Id="rId1440" Type="http://schemas.openxmlformats.org/officeDocument/2006/relationships/hyperlink" Target="https://drive.google.com/file/d/1OhY8lI3YAujoUohvFG6I8CbWVOeplJWw/view?usp=drivesdk" TargetMode="External"/><Relationship Id="rId2771" Type="http://schemas.openxmlformats.org/officeDocument/2006/relationships/hyperlink" Target="https://drive.google.com/file/d/13kXMP5sNt3CBjYM6aqwKYHdW9ajaLs7j/view?usp=drivesdk" TargetMode="External"/><Relationship Id="rId1441" Type="http://schemas.openxmlformats.org/officeDocument/2006/relationships/hyperlink" Target="https://drive.google.com/file/d/158_AjS96t-tHJc15eScQyzTfutV61qTz/view?usp=drivesdk" TargetMode="External"/><Relationship Id="rId2772" Type="http://schemas.openxmlformats.org/officeDocument/2006/relationships/hyperlink" Target="https://drive.google.com/file/d/1MHXHgJ-CTyK_J3vCCcdHUq3Z7Wnk92TV/view?usp=drivesdk" TargetMode="External"/><Relationship Id="rId1442" Type="http://schemas.openxmlformats.org/officeDocument/2006/relationships/hyperlink" Target="https://drive.google.com/file/d/1nycYfP_E5c_HTUAIDFvhy8aQsfck3pi3/view?usp=drivesdk" TargetMode="External"/><Relationship Id="rId2773" Type="http://schemas.openxmlformats.org/officeDocument/2006/relationships/hyperlink" Target="https://drive.google.com/file/d/1E4WgVEUNiTSOj8sVRyE5JzhcJbI5z8D9/view?usp=drivesdk" TargetMode="External"/><Relationship Id="rId1443" Type="http://schemas.openxmlformats.org/officeDocument/2006/relationships/hyperlink" Target="https://drive.google.com/file/d/1xN6lanennSiga_ec5zOq_SQqi4M5KngN/view?usp=drivesdk" TargetMode="External"/><Relationship Id="rId2774" Type="http://schemas.openxmlformats.org/officeDocument/2006/relationships/hyperlink" Target="https://drive.google.com/file/d/1-M2zfsYEjiifH2Vpe4mEWUsLMGg5zS0j/view?usp=drivesdk" TargetMode="External"/><Relationship Id="rId1477" Type="http://schemas.openxmlformats.org/officeDocument/2006/relationships/hyperlink" Target="https://drive.google.com/file/d/1g8qp8CfzX1KNlNF4qN1yz60XGu3yET0X/view?usp=drivesdk" TargetMode="External"/><Relationship Id="rId4503" Type="http://schemas.openxmlformats.org/officeDocument/2006/relationships/hyperlink" Target="https://drive.google.com/file/d/1QM__cGdgDiq0ln8sCKk4KKzuuiASSl_Y/view?usp=drivesdk" TargetMode="External"/><Relationship Id="rId1478" Type="http://schemas.openxmlformats.org/officeDocument/2006/relationships/hyperlink" Target="https://drive.google.com/file/d/1kjtvshRoiameFptV6HGKFf5uaCl45_2H/view?usp=drivesdk" TargetMode="External"/><Relationship Id="rId4502" Type="http://schemas.openxmlformats.org/officeDocument/2006/relationships/hyperlink" Target="https://drive.google.com/file/d/1xduFkBCsagcn82jrI2a19wQ2NEqYI3qL/view?usp=drivesdk" TargetMode="External"/><Relationship Id="rId1479" Type="http://schemas.openxmlformats.org/officeDocument/2006/relationships/hyperlink" Target="https://drive.google.com/file/d/1fR8Cwl6FUoRqq1WBu2BxJEhpOY06J93X/view?usp=drivesdk" TargetMode="External"/><Relationship Id="rId4505" Type="http://schemas.openxmlformats.org/officeDocument/2006/relationships/hyperlink" Target="https://drive.google.com/file/d/1KUaLsKHVlaBxYOn3YEFqDwTx530h_CnC/view?usp=drivesdk" TargetMode="External"/><Relationship Id="rId4504" Type="http://schemas.openxmlformats.org/officeDocument/2006/relationships/hyperlink" Target="https://drive.google.com/file/d/17kPbWxpPNzBm5viiXSsokELyLAXxr4O9/view?usp=drivesdk" TargetMode="External"/><Relationship Id="rId4507" Type="http://schemas.openxmlformats.org/officeDocument/2006/relationships/hyperlink" Target="https://drive.google.com/file/d/11807ngZd5ErzBMzkCjFyp74LJZfOYwVC/view?usp=drivesdk" TargetMode="External"/><Relationship Id="rId4506" Type="http://schemas.openxmlformats.org/officeDocument/2006/relationships/hyperlink" Target="https://drive.google.com/file/d/10hA2L2wN1TABlzb-4seha3tecFo-8WhM/view?usp=drivesdk" TargetMode="External"/><Relationship Id="rId4509" Type="http://schemas.openxmlformats.org/officeDocument/2006/relationships/hyperlink" Target="https://drive.google.com/file/d/14gTgB5b3KT1Pb5B0qUrXDHwlU9AxpaH-/view?usp=drivesdk" TargetMode="External"/><Relationship Id="rId4508" Type="http://schemas.openxmlformats.org/officeDocument/2006/relationships/hyperlink" Target="https://drive.google.com/file/d/14sfcamKL183xPIfGUngU8ZYU4o-he9b7/view?usp=drivesdk" TargetMode="External"/><Relationship Id="rId646" Type="http://schemas.openxmlformats.org/officeDocument/2006/relationships/hyperlink" Target="https://drive.google.com/file/d/1cxN51OFJm53qM6CgoEBi6EIL4bNg3R8N/view?usp=drivesdk" TargetMode="External"/><Relationship Id="rId645" Type="http://schemas.openxmlformats.org/officeDocument/2006/relationships/hyperlink" Target="https://drive.google.com/file/d/1kcZzklFpZlLuUH271qV6OQODeHnrTCWd/view?usp=drivesdk" TargetMode="External"/><Relationship Id="rId644" Type="http://schemas.openxmlformats.org/officeDocument/2006/relationships/hyperlink" Target="https://drive.google.com/file/d/1SbEk79XLzqonuq_fRTJEZA2Z7Oi5Qcey/view?usp=drivesdk" TargetMode="External"/><Relationship Id="rId643" Type="http://schemas.openxmlformats.org/officeDocument/2006/relationships/hyperlink" Target="https://drive.google.com/file/d/1DuazoxxZVQTRjk1NSsYnLJBOedB-iSBL/view?usp=drivesdk" TargetMode="External"/><Relationship Id="rId649" Type="http://schemas.openxmlformats.org/officeDocument/2006/relationships/hyperlink" Target="https://drive.google.com/file/d/1xZcuiJ1XjKrZPU1wi0sg6gQhc4_VkIOr/view?usp=drivesdk" TargetMode="External"/><Relationship Id="rId648" Type="http://schemas.openxmlformats.org/officeDocument/2006/relationships/hyperlink" Target="https://drive.google.com/file/d/1HTom_877hlLdkoanXM5u0nMrNu8zCJnH/view?usp=drivesdk" TargetMode="External"/><Relationship Id="rId647" Type="http://schemas.openxmlformats.org/officeDocument/2006/relationships/hyperlink" Target="https://drive.google.com/file/d/1WtEicPrUHJDMJ2KOn9EYqfqKnLzddbL2/view?usp=drivesdk" TargetMode="External"/><Relationship Id="rId1470" Type="http://schemas.openxmlformats.org/officeDocument/2006/relationships/hyperlink" Target="https://drive.google.com/file/d/15LUySxPHDSjNLDFyg0UW-MxngLvhIrTb/view?usp=drivesdk" TargetMode="External"/><Relationship Id="rId1471" Type="http://schemas.openxmlformats.org/officeDocument/2006/relationships/hyperlink" Target="https://drive.google.com/file/d/1u1uDfc1xIYwYhGj-_F4l658shOuGEaki/view?usp=drivesdk" TargetMode="External"/><Relationship Id="rId1472" Type="http://schemas.openxmlformats.org/officeDocument/2006/relationships/hyperlink" Target="https://drive.google.com/file/d/15iyNuGerGtDK4rv_bnT7FgjOekONTZmN/view?usp=drivesdk" TargetMode="External"/><Relationship Id="rId642" Type="http://schemas.openxmlformats.org/officeDocument/2006/relationships/hyperlink" Target="https://drive.google.com/file/d/1_15QES8XQvGyjXHdW762uCXXCJXqXlb1/view?usp=drivesdk" TargetMode="External"/><Relationship Id="rId1473" Type="http://schemas.openxmlformats.org/officeDocument/2006/relationships/hyperlink" Target="https://drive.google.com/file/d/1Z-ESw0t51lL7emurTVxJdYloUqoc2LWe/view?usp=drivesdk" TargetMode="External"/><Relationship Id="rId641" Type="http://schemas.openxmlformats.org/officeDocument/2006/relationships/hyperlink" Target="https://drive.google.com/file/d/1Fw-0jrL6L7X7Jjg-PIJiHrbmg0teihdI/view?usp=drivesdk" TargetMode="External"/><Relationship Id="rId1474" Type="http://schemas.openxmlformats.org/officeDocument/2006/relationships/hyperlink" Target="https://drive.google.com/file/d/12KMsggNqISEFrfxobibA4DiDoFGdDNaP/view?usp=drivesdk" TargetMode="External"/><Relationship Id="rId640" Type="http://schemas.openxmlformats.org/officeDocument/2006/relationships/hyperlink" Target="https://drive.google.com/file/d/1HKiiQ7KQ7TEe-VaWlVVNVgHw9YGeCgSH/view?usp=drivesdk" TargetMode="External"/><Relationship Id="rId1475" Type="http://schemas.openxmlformats.org/officeDocument/2006/relationships/hyperlink" Target="https://drive.google.com/file/d/1SHAVcW3z0lecDKaWWq0v6ZN6RA6dZH71/view?usp=drivesdk" TargetMode="External"/><Relationship Id="rId4501" Type="http://schemas.openxmlformats.org/officeDocument/2006/relationships/hyperlink" Target="https://drive.google.com/file/d/142KqCMrrYzJnpxtvLagKnBvANMHhKYfu/view?usp=drivesdk" TargetMode="External"/><Relationship Id="rId1476" Type="http://schemas.openxmlformats.org/officeDocument/2006/relationships/hyperlink" Target="https://drive.google.com/file/d/1Kqs5BIYAtmPgfk_dRDK-MZfwtwg5FPbD/view?usp=drivesdk" TargetMode="External"/><Relationship Id="rId4500" Type="http://schemas.openxmlformats.org/officeDocument/2006/relationships/hyperlink" Target="https://drive.google.com/file/d/1SqlI5SJegq3rwH7ijEw57yCNMkFPvNUi/view?usp=drivesdk" TargetMode="External"/><Relationship Id="rId1466" Type="http://schemas.openxmlformats.org/officeDocument/2006/relationships/hyperlink" Target="https://drive.google.com/file/d/1tQvTk99kqXKN2IZTEMdOd6li9HwHszCm/view?usp=drivesdk" TargetMode="External"/><Relationship Id="rId2797" Type="http://schemas.openxmlformats.org/officeDocument/2006/relationships/hyperlink" Target="https://drive.google.com/file/d/1meoY3Tzt_3iyCnZF85zirAsp65hY-S5F/view?usp=drivesdk" TargetMode="External"/><Relationship Id="rId1467" Type="http://schemas.openxmlformats.org/officeDocument/2006/relationships/hyperlink" Target="https://drive.google.com/file/d/15MBiiWCQWgrenGFNnIQln43nqOSVp2H4/view?usp=drivesdk" TargetMode="External"/><Relationship Id="rId2798" Type="http://schemas.openxmlformats.org/officeDocument/2006/relationships/hyperlink" Target="https://drive.google.com/file/d/1vuXh6b7nbAoXRCODTMnmNLYnW3CH-b5y/view?usp=drivesdk" TargetMode="External"/><Relationship Id="rId1468" Type="http://schemas.openxmlformats.org/officeDocument/2006/relationships/hyperlink" Target="https://drive.google.com/file/d/1r9oVlLbhtd2MTWAErSON81A3l_jSx-e1/view?usp=drivesdk" TargetMode="External"/><Relationship Id="rId2799" Type="http://schemas.openxmlformats.org/officeDocument/2006/relationships/hyperlink" Target="https://drive.google.com/file/d/16HXx5VzV48XTIXv9U7-ZgV8FSzlQ8HiK/view?usp=drivesdk" TargetMode="External"/><Relationship Id="rId1469" Type="http://schemas.openxmlformats.org/officeDocument/2006/relationships/hyperlink" Target="https://drive.google.com/file/d/1Cu3bxqJL2FuO7j9lvAYkh0Qxb94y7fwP/view?usp=drivesdk" TargetMode="External"/><Relationship Id="rId635" Type="http://schemas.openxmlformats.org/officeDocument/2006/relationships/hyperlink" Target="https://drive.google.com/file/d/1UovHSKnnw7KNEKUFhbKMc1NqeGiAhF9O/view?usp=drivesdk" TargetMode="External"/><Relationship Id="rId634" Type="http://schemas.openxmlformats.org/officeDocument/2006/relationships/hyperlink" Target="https://drive.google.com/file/d/1JSS3eeVlI5f2G7H8qcEkt3Rc7FgrNQxD/view?usp=drivesdk" TargetMode="External"/><Relationship Id="rId633" Type="http://schemas.openxmlformats.org/officeDocument/2006/relationships/hyperlink" Target="https://drive.google.com/file/d/1hjBqpU6_Vb3ew_p_wHaDQz6cAKmva32Q/view?usp=drivesdk" TargetMode="External"/><Relationship Id="rId632" Type="http://schemas.openxmlformats.org/officeDocument/2006/relationships/hyperlink" Target="https://drive.google.com/file/d/1Z0rUzbviwsbXwTHbg_YZJJXId434auD3/view?usp=drivesdk" TargetMode="External"/><Relationship Id="rId639" Type="http://schemas.openxmlformats.org/officeDocument/2006/relationships/hyperlink" Target="https://drive.google.com/file/d/1h5NWXXvWLxplguJYiyw1xynAReWsJSKl/view?usp=drivesdk" TargetMode="External"/><Relationship Id="rId638" Type="http://schemas.openxmlformats.org/officeDocument/2006/relationships/hyperlink" Target="https://drive.google.com/file/d/1r10syE6aiDUlMiNZCZPArVnFVGMHEMFk/view?usp=drivesdk" TargetMode="External"/><Relationship Id="rId637" Type="http://schemas.openxmlformats.org/officeDocument/2006/relationships/hyperlink" Target="https://drive.google.com/file/d/1NKV5KyFJHnNhUCSMHoer8m9LPVv7syKm/view?usp=drivesdk" TargetMode="External"/><Relationship Id="rId636" Type="http://schemas.openxmlformats.org/officeDocument/2006/relationships/hyperlink" Target="https://drive.google.com/file/d/1sWgTvfjN49FExcVmeMBX3MbISvU4FSGy/view?usp=drivesdk" TargetMode="External"/><Relationship Id="rId2790" Type="http://schemas.openxmlformats.org/officeDocument/2006/relationships/hyperlink" Target="https://drive.google.com/file/d/1ipQaeZpKQecEja2mI-hQhv4KMD4zpGxG/view?usp=drivesdk" TargetMode="External"/><Relationship Id="rId1460" Type="http://schemas.openxmlformats.org/officeDocument/2006/relationships/hyperlink" Target="https://drive.google.com/file/d/1PADGNEKczfxd5rN5BAsfHU_RY979E8fq/view?usp=drivesdk" TargetMode="External"/><Relationship Id="rId2791" Type="http://schemas.openxmlformats.org/officeDocument/2006/relationships/hyperlink" Target="https://drive.google.com/file/d/1kvvQXcKqlz9RU1xSgJvisucma2O10_ru/view?usp=drivesdk" TargetMode="External"/><Relationship Id="rId1461" Type="http://schemas.openxmlformats.org/officeDocument/2006/relationships/hyperlink" Target="https://drive.google.com/file/d/1OrWXJ5aE0_c7CFp-F6_3oxcMCMr3mYAT/view?usp=drivesdk" TargetMode="External"/><Relationship Id="rId2792" Type="http://schemas.openxmlformats.org/officeDocument/2006/relationships/hyperlink" Target="https://drive.google.com/file/d/1nqNgEmE6Lheg2tsGPTnifGTMApDYPuPC/view?usp=drivesdk" TargetMode="External"/><Relationship Id="rId631" Type="http://schemas.openxmlformats.org/officeDocument/2006/relationships/hyperlink" Target="https://drive.google.com/file/d/1tm1hStY-hj6dJ9UUWFe9sj1Ss-1vfWj9/view?usp=drivesdk" TargetMode="External"/><Relationship Id="rId1462" Type="http://schemas.openxmlformats.org/officeDocument/2006/relationships/hyperlink" Target="https://drive.google.com/file/d/1z937nCQvkPg7NBZAqpghGSWH77s-Fb3N/view?usp=drivesdk" TargetMode="External"/><Relationship Id="rId2793" Type="http://schemas.openxmlformats.org/officeDocument/2006/relationships/hyperlink" Target="https://drive.google.com/file/d/1Dbmp6yS_QswZwEnnJvgH7_n5UszC6j8k/view?usp=drivesdk" TargetMode="External"/><Relationship Id="rId630" Type="http://schemas.openxmlformats.org/officeDocument/2006/relationships/hyperlink" Target="https://drive.google.com/file/d/1YOvvJll4Lm3sE2eVHoM3oQ7aK55OQxYx/view?usp=drivesdk" TargetMode="External"/><Relationship Id="rId1463" Type="http://schemas.openxmlformats.org/officeDocument/2006/relationships/hyperlink" Target="https://drive.google.com/file/d/1i6UnZdf2HsKxOjMZkzIX-vo_iCBZkNua/view?usp=drivesdk" TargetMode="External"/><Relationship Id="rId2794" Type="http://schemas.openxmlformats.org/officeDocument/2006/relationships/hyperlink" Target="https://drive.google.com/file/d/1YagwpRcxzyPU7-yWQrjmTEetB7I_oPQR/view?usp=drivesdk" TargetMode="External"/><Relationship Id="rId1464" Type="http://schemas.openxmlformats.org/officeDocument/2006/relationships/hyperlink" Target="https://drive.google.com/file/d/1N4Y3LId-7WIt9mRKzl9bZHuRTAlL3fdr/view?usp=drivesdk" TargetMode="External"/><Relationship Id="rId2795" Type="http://schemas.openxmlformats.org/officeDocument/2006/relationships/hyperlink" Target="https://drive.google.com/file/d/1bsmFawmOx4mwBgqbdC_6_eJUMAYkb5Ys/view?usp=drivesdk" TargetMode="External"/><Relationship Id="rId1465" Type="http://schemas.openxmlformats.org/officeDocument/2006/relationships/hyperlink" Target="https://drive.google.com/file/d/15zi2lPUOptJx0ftpg0V-K8KF5GWeDDVY/view?usp=drivesdk" TargetMode="External"/><Relationship Id="rId2796" Type="http://schemas.openxmlformats.org/officeDocument/2006/relationships/hyperlink" Target="https://drive.google.com/file/d/1z2MKKziUBHXj9-vAeaakUNbIVzJoB8kR/view?usp=drivesdk" TargetMode="External"/><Relationship Id="rId1411" Type="http://schemas.openxmlformats.org/officeDocument/2006/relationships/hyperlink" Target="https://drive.google.com/file/d/1oQqAOoFaD-FaPAHM8rQSsBDbOXYT2wyS/view?usp=drivesdk" TargetMode="External"/><Relationship Id="rId2742" Type="http://schemas.openxmlformats.org/officeDocument/2006/relationships/hyperlink" Target="https://drive.google.com/file/d/1qFy4FijlyjL5VBp-e278gCJQgt3jSMEj/view?usp=drivesdk" TargetMode="External"/><Relationship Id="rId1412" Type="http://schemas.openxmlformats.org/officeDocument/2006/relationships/hyperlink" Target="https://drive.google.com/file/d/1zuQTrI4syWSc0MOa7UkUS6YyTBVnetuY/view?usp=drivesdk" TargetMode="External"/><Relationship Id="rId2743" Type="http://schemas.openxmlformats.org/officeDocument/2006/relationships/hyperlink" Target="https://drive.google.com/file/d/1PnoSalpUTA7PrKcTvCQXTvN2glDqo2T6/view?usp=drivesdk" TargetMode="External"/><Relationship Id="rId1413" Type="http://schemas.openxmlformats.org/officeDocument/2006/relationships/hyperlink" Target="https://drive.google.com/file/d/1hDjT8jMTzcJDP3o_Rr2ThODRxN4YIssQ/view?usp=drivesdk" TargetMode="External"/><Relationship Id="rId2744" Type="http://schemas.openxmlformats.org/officeDocument/2006/relationships/hyperlink" Target="https://drive.google.com/file/d/15Cp9mPtPcOjKQz2EGI1IfX30OWCdQM_6/view?usp=drivesdk" TargetMode="External"/><Relationship Id="rId1414" Type="http://schemas.openxmlformats.org/officeDocument/2006/relationships/hyperlink" Target="https://drive.google.com/file/d/1UC2qEoVCXMRobOW8Vn6_52WRYaVMxPJX/view?usp=drivesdk" TargetMode="External"/><Relationship Id="rId2745" Type="http://schemas.openxmlformats.org/officeDocument/2006/relationships/hyperlink" Target="https://drive.google.com/file/d/1-kC-9bQzR2PdGVueJgFoeU8-28IrFfZg/view?usp=drivesdk" TargetMode="External"/><Relationship Id="rId1415" Type="http://schemas.openxmlformats.org/officeDocument/2006/relationships/hyperlink" Target="https://drive.google.com/file/d/1ry68v2DlYNy0iH0Xid0wRJK7BvZstTGL/view?usp=drivesdk" TargetMode="External"/><Relationship Id="rId2746" Type="http://schemas.openxmlformats.org/officeDocument/2006/relationships/hyperlink" Target="https://drive.google.com/file/d/107SkhalzdeKjQnCnSj8D0f_aoFE1BD5l/view?usp=drivesdk" TargetMode="External"/><Relationship Id="rId1416" Type="http://schemas.openxmlformats.org/officeDocument/2006/relationships/hyperlink" Target="https://drive.google.com/file/d/1spRCDyTB6MgrMe5pLaiLNy8l_OdlrEXE/view?usp=drivesdk" TargetMode="External"/><Relationship Id="rId2747" Type="http://schemas.openxmlformats.org/officeDocument/2006/relationships/hyperlink" Target="https://drive.google.com/file/d/15h3nclyCpEuxCaQhiBhupV09VAQH6pAL/view?usp=drivesdk" TargetMode="External"/><Relationship Id="rId1417" Type="http://schemas.openxmlformats.org/officeDocument/2006/relationships/hyperlink" Target="https://drive.google.com/file/d/1ihU_oJW7z64M-9jzwuo2sMVt_qa1MhfM/view?usp=drivesdk" TargetMode="External"/><Relationship Id="rId2748" Type="http://schemas.openxmlformats.org/officeDocument/2006/relationships/hyperlink" Target="https://drive.google.com/file/d/1HZdNZYpMnF-Jb-xvXOS_P7Tfp6nzp_We/view?usp=drivesdk" TargetMode="External"/><Relationship Id="rId1418" Type="http://schemas.openxmlformats.org/officeDocument/2006/relationships/hyperlink" Target="https://drive.google.com/file/d/1Lilmljj3hcnLbamV_4fsS_VhgChQs9pt/view?usp=drivesdk" TargetMode="External"/><Relationship Id="rId2749" Type="http://schemas.openxmlformats.org/officeDocument/2006/relationships/hyperlink" Target="https://drive.google.com/file/d/1RKFRbw7sWh823u17qAlDZ50vhbhseI1z/view?usp=drivesdk" TargetMode="External"/><Relationship Id="rId1419" Type="http://schemas.openxmlformats.org/officeDocument/2006/relationships/hyperlink" Target="https://drive.google.com/file/d/1M9jzdlGT16HCP3lqh-K1hMua7XGXIuMm/view?usp=drivesdk" TargetMode="External"/><Relationship Id="rId2740" Type="http://schemas.openxmlformats.org/officeDocument/2006/relationships/hyperlink" Target="https://drive.google.com/file/d/1I1eRa4RrCqnYsbgecPPyk6qP9y_YWSAf/view?usp=drivesdk" TargetMode="External"/><Relationship Id="rId1410" Type="http://schemas.openxmlformats.org/officeDocument/2006/relationships/hyperlink" Target="https://drive.google.com/file/d/1p6FpDySGv2OoOp2ojmjhlO43FKwQ29QI/view?usp=drivesdk" TargetMode="External"/><Relationship Id="rId2741" Type="http://schemas.openxmlformats.org/officeDocument/2006/relationships/hyperlink" Target="https://drive.google.com/file/d/1oy7yz-Zu9H858j0CY057GG9r-JqV8Fon/view?usp=drivesdk" TargetMode="External"/><Relationship Id="rId1400" Type="http://schemas.openxmlformats.org/officeDocument/2006/relationships/hyperlink" Target="https://drive.google.com/file/d/1-WAp3QGhj_rwoKWaC_IXQYJ1N-KS9lRU/view?usp=drivesdk" TargetMode="External"/><Relationship Id="rId2731" Type="http://schemas.openxmlformats.org/officeDocument/2006/relationships/hyperlink" Target="https://drive.google.com/file/d/1e-V5wey3jCzYJlQsInVoeHK6123FLfhM/view?usp=drivesdk" TargetMode="External"/><Relationship Id="rId1401" Type="http://schemas.openxmlformats.org/officeDocument/2006/relationships/hyperlink" Target="https://drive.google.com/file/d/14ZSDMAMn_x-zO0wqdQRMlgI0Nd_7UQht/view?usp=drivesdk" TargetMode="External"/><Relationship Id="rId2732" Type="http://schemas.openxmlformats.org/officeDocument/2006/relationships/hyperlink" Target="https://drive.google.com/file/d/1IMeTryTcjUVXwsEKBphvUut9qbGq6vg9/view?usp=drivesdk" TargetMode="External"/><Relationship Id="rId1402" Type="http://schemas.openxmlformats.org/officeDocument/2006/relationships/hyperlink" Target="https://drive.google.com/file/d/1j84Ocwlf7EejmXAzA2kutP42AKbAHrNk/view?usp=drivesdk" TargetMode="External"/><Relationship Id="rId2733" Type="http://schemas.openxmlformats.org/officeDocument/2006/relationships/hyperlink" Target="https://drive.google.com/file/d/1XZprMXFLGVgp4h9_3-XBETZ9ZVXfJm3M/view?usp=drivesdk" TargetMode="External"/><Relationship Id="rId1403" Type="http://schemas.openxmlformats.org/officeDocument/2006/relationships/hyperlink" Target="https://drive.google.com/file/d/13YRwoFMfHZTQFgnjwV7_4YVee38KWMW-/view?usp=drivesdk" TargetMode="External"/><Relationship Id="rId2734" Type="http://schemas.openxmlformats.org/officeDocument/2006/relationships/hyperlink" Target="https://drive.google.com/file/d/1z1K03GEv8QLYldqYP_Xb9EKMZ_bGbavt/view?usp=drivesdk" TargetMode="External"/><Relationship Id="rId1404" Type="http://schemas.openxmlformats.org/officeDocument/2006/relationships/hyperlink" Target="https://drive.google.com/file/d/15ZQumNhOfqLrYdQT-EatVVO9yueTrjcJ/view?usp=drivesdk" TargetMode="External"/><Relationship Id="rId2735" Type="http://schemas.openxmlformats.org/officeDocument/2006/relationships/hyperlink" Target="https://drive.google.com/file/d/17AzHwVUqJsylmR4UMok4zBGtdman-kax/view?usp=drivesdk" TargetMode="External"/><Relationship Id="rId1405" Type="http://schemas.openxmlformats.org/officeDocument/2006/relationships/hyperlink" Target="https://drive.google.com/file/d/1XRBcybHiE8E1SKbWjoh9XU6LQnTZMb8D/view?usp=drivesdk" TargetMode="External"/><Relationship Id="rId2736" Type="http://schemas.openxmlformats.org/officeDocument/2006/relationships/hyperlink" Target="https://drive.google.com/file/d/1BKAKVPYkhZDnxcxIVrQImY1mtGxeOYuG/view?usp=drivesdk" TargetMode="External"/><Relationship Id="rId1406" Type="http://schemas.openxmlformats.org/officeDocument/2006/relationships/hyperlink" Target="https://drive.google.com/file/d/1RkPkNJ1SlLgOOLnxF6NQ88lw0MNY_2Ev/view?usp=drivesdk" TargetMode="External"/><Relationship Id="rId2737" Type="http://schemas.openxmlformats.org/officeDocument/2006/relationships/hyperlink" Target="https://drive.google.com/file/d/1L8G9grYyFjGyteV16xs7JW77i5mwriW7/view?usp=drivesdk" TargetMode="External"/><Relationship Id="rId1407" Type="http://schemas.openxmlformats.org/officeDocument/2006/relationships/hyperlink" Target="https://drive.google.com/file/d/1Rz-ZOv19xs2InS6v-htJwb1oMexgn0OU/view?usp=drivesdk" TargetMode="External"/><Relationship Id="rId2738" Type="http://schemas.openxmlformats.org/officeDocument/2006/relationships/hyperlink" Target="https://drive.google.com/file/d/1vD-qVL1cUdtV_y2NlD_Dh-g1GUADpTzr/view?usp=drivesdk" TargetMode="External"/><Relationship Id="rId1408" Type="http://schemas.openxmlformats.org/officeDocument/2006/relationships/hyperlink" Target="https://drive.google.com/file/d/1fQOLiyRoCr_Lc7EG6h8s1JU9v0ZtLCrK/view?usp=drivesdk" TargetMode="External"/><Relationship Id="rId2739" Type="http://schemas.openxmlformats.org/officeDocument/2006/relationships/hyperlink" Target="https://drive.google.com/file/d/1u_7ARbI45tBSL9hO9Rg0QOGIG9nJSuUJ/view?usp=drivesdk" TargetMode="External"/><Relationship Id="rId1409" Type="http://schemas.openxmlformats.org/officeDocument/2006/relationships/hyperlink" Target="https://drive.google.com/file/d/1EWzmZ3c3sMSLhoN324TmcPtZFVzQhhb2/view?usp=drivesdk" TargetMode="External"/><Relationship Id="rId2730" Type="http://schemas.openxmlformats.org/officeDocument/2006/relationships/hyperlink" Target="https://drive.google.com/file/d/18rdQrw5yqmx6CHsUCXwU4cydI1JZ5aNm/view?usp=drivesdk" TargetMode="External"/><Relationship Id="rId1433" Type="http://schemas.openxmlformats.org/officeDocument/2006/relationships/hyperlink" Target="https://drive.google.com/file/d/1nOQ_7Lw6IbwgJkDrce-7UErkudS0xGTl/view?usp=drivesdk" TargetMode="External"/><Relationship Id="rId2764" Type="http://schemas.openxmlformats.org/officeDocument/2006/relationships/hyperlink" Target="https://drive.google.com/file/d/1fHib2Xk2__Zh0DHEIGfmbnEl7EmpFDaL/view?usp=drivesdk" TargetMode="External"/><Relationship Id="rId1434" Type="http://schemas.openxmlformats.org/officeDocument/2006/relationships/hyperlink" Target="https://drive.google.com/file/d/1OCwKVUNtxspkPOXSI4qLSlCFbhJnS0pk/view?usp=drivesdk" TargetMode="External"/><Relationship Id="rId2765" Type="http://schemas.openxmlformats.org/officeDocument/2006/relationships/hyperlink" Target="https://drive.google.com/file/d/1A6jnEAOT77brhNmyLnWwWg3qSedHNOTt/view?usp=drivesdk" TargetMode="External"/><Relationship Id="rId1435" Type="http://schemas.openxmlformats.org/officeDocument/2006/relationships/hyperlink" Target="https://drive.google.com/file/d/1d7HwfsZ2dbXOryWE-Q-nN-qtDjbjKuaz/view?usp=drivesdk" TargetMode="External"/><Relationship Id="rId2766" Type="http://schemas.openxmlformats.org/officeDocument/2006/relationships/hyperlink" Target="https://drive.google.com/file/d/1kRH-R57ZuakPW2MNnL7Qu1BgFVlUGwwQ/view?usp=drivesdk" TargetMode="External"/><Relationship Id="rId1436" Type="http://schemas.openxmlformats.org/officeDocument/2006/relationships/hyperlink" Target="https://drive.google.com/file/d/1RiqXx0rNOQiZOgz1wvHUUbFreP-aAdgr/view?usp=drivesdk" TargetMode="External"/><Relationship Id="rId2767" Type="http://schemas.openxmlformats.org/officeDocument/2006/relationships/hyperlink" Target="https://drive.google.com/file/d/1WLS2V7fg-y-A6ZPHPHN8jJMUrdQKOlo8/view?usp=drivesdk" TargetMode="External"/><Relationship Id="rId1437" Type="http://schemas.openxmlformats.org/officeDocument/2006/relationships/hyperlink" Target="https://drive.google.com/file/d/15bHj8RQnB7TruwQq8Adt4OGdY9k9heKg/view?usp=drivesdk" TargetMode="External"/><Relationship Id="rId2768" Type="http://schemas.openxmlformats.org/officeDocument/2006/relationships/hyperlink" Target="https://drive.google.com/file/d/1CT2s-cBjieQS2HGqve59065fyooKeFY_/view?usp=drivesdk" TargetMode="External"/><Relationship Id="rId1438" Type="http://schemas.openxmlformats.org/officeDocument/2006/relationships/hyperlink" Target="https://drive.google.com/file/d/1fKj0Mg-2oxLTvBgwHD12ixwTQZ3Fgdke/view?usp=drivesdk" TargetMode="External"/><Relationship Id="rId2769" Type="http://schemas.openxmlformats.org/officeDocument/2006/relationships/hyperlink" Target="https://drive.google.com/file/d/1Hp3ZfrsktKXAdxm3yBI9kEoHNcGtV46N/view?usp=drivesdk" TargetMode="External"/><Relationship Id="rId1439" Type="http://schemas.openxmlformats.org/officeDocument/2006/relationships/hyperlink" Target="https://drive.google.com/file/d/1EBLHSyFTYtwKqPuIMGio5pg93i7CbS93/view?usp=drivesdk" TargetMode="External"/><Relationship Id="rId609" Type="http://schemas.openxmlformats.org/officeDocument/2006/relationships/hyperlink" Target="https://drive.google.com/file/d/1vfEs5DMDSKrxDayvf7tAQm5uxKU0xwur/view?usp=drivesdk" TargetMode="External"/><Relationship Id="rId608" Type="http://schemas.openxmlformats.org/officeDocument/2006/relationships/hyperlink" Target="https://drive.google.com/file/d/1raeJud1rOJYnYStFLowojm5jVWqVYZHl/view?usp=drivesdk" TargetMode="External"/><Relationship Id="rId607" Type="http://schemas.openxmlformats.org/officeDocument/2006/relationships/hyperlink" Target="https://drive.google.com/file/d/1sC-3YAIfwq6QTX8vn6yzsHzZN6JykMai/view?usp=drivesdk" TargetMode="External"/><Relationship Id="rId602" Type="http://schemas.openxmlformats.org/officeDocument/2006/relationships/hyperlink" Target="https://drive.google.com/file/d/1NfSpwuZCNFBoc6z3SuLp2eDft0GLIMTg/view?usp=drivesdk" TargetMode="External"/><Relationship Id="rId601" Type="http://schemas.openxmlformats.org/officeDocument/2006/relationships/hyperlink" Target="https://drive.google.com/file/d/1eMlZoyuzdlm3BxJt0jpxxmvpWtZd4ep0/view?usp=drivesdk" TargetMode="External"/><Relationship Id="rId600" Type="http://schemas.openxmlformats.org/officeDocument/2006/relationships/hyperlink" Target="https://drive.google.com/file/d/1UbhB1vHz99WzOvKuniKKsqjOWXwkIu7x/view?usp=drivesdk" TargetMode="External"/><Relationship Id="rId606" Type="http://schemas.openxmlformats.org/officeDocument/2006/relationships/hyperlink" Target="https://drive.google.com/file/d/1JkgWppiv82zthj6oFKKz3jbnryii7Tvo/view?usp=drivesdk" TargetMode="External"/><Relationship Id="rId605" Type="http://schemas.openxmlformats.org/officeDocument/2006/relationships/hyperlink" Target="https://drive.google.com/file/d/11gdMKMW96C-IpFhY95U2P8zoFXM6cHTR/view?usp=drivesdk" TargetMode="External"/><Relationship Id="rId604" Type="http://schemas.openxmlformats.org/officeDocument/2006/relationships/hyperlink" Target="https://drive.google.com/file/d/1c05Po2hzFH-Z80FMQGavwCAxhpCVIgFx/view?usp=drivesdk" TargetMode="External"/><Relationship Id="rId603" Type="http://schemas.openxmlformats.org/officeDocument/2006/relationships/hyperlink" Target="https://drive.google.com/file/d/1z72p3pyLg6VyEWVVfW6uG0F1vI17mqci/view?usp=drivesdk" TargetMode="External"/><Relationship Id="rId2760" Type="http://schemas.openxmlformats.org/officeDocument/2006/relationships/hyperlink" Target="https://drive.google.com/file/d/1ApZ1u9pBOW2LunDLTp3Hna1Qm3uNvI6m/view?usp=drivesdk" TargetMode="External"/><Relationship Id="rId1430" Type="http://schemas.openxmlformats.org/officeDocument/2006/relationships/hyperlink" Target="https://drive.google.com/file/d/1Bb1pc-CyqvgDG9BwvDRJwE9HWNUl2dPa/view?usp=drivesdk" TargetMode="External"/><Relationship Id="rId2761" Type="http://schemas.openxmlformats.org/officeDocument/2006/relationships/hyperlink" Target="https://drive.google.com/file/d/1pvIG5HHI8Sp2RECvG_NsSxKQpnwv7BLC/view?usp=drivesdk" TargetMode="External"/><Relationship Id="rId1431" Type="http://schemas.openxmlformats.org/officeDocument/2006/relationships/hyperlink" Target="https://drive.google.com/file/d/1m7xV_xM7c96o33mLCW1inMRcP60j4v3d/view?usp=drivesdk" TargetMode="External"/><Relationship Id="rId2762" Type="http://schemas.openxmlformats.org/officeDocument/2006/relationships/hyperlink" Target="https://drive.google.com/file/d/1HgQjRdr2tE-SRw3_azxbH6ToJGLE_uCX/view?usp=drivesdk" TargetMode="External"/><Relationship Id="rId1432" Type="http://schemas.openxmlformats.org/officeDocument/2006/relationships/hyperlink" Target="https://drive.google.com/file/d/1iwUPG73yD4T-NcrSmtVu5T3GuH7JbWN-/view?usp=drivesdk" TargetMode="External"/><Relationship Id="rId2763" Type="http://schemas.openxmlformats.org/officeDocument/2006/relationships/hyperlink" Target="https://drive.google.com/file/d/1Y6GjyapYAM1vnUvAjcqnQIZFXbzjDoPE/view?usp=drivesdk" TargetMode="External"/><Relationship Id="rId1422" Type="http://schemas.openxmlformats.org/officeDocument/2006/relationships/hyperlink" Target="https://drive.google.com/file/d/1XHj4sipm9AzO9QFgP1cDsbo_tZqNGi51/view?usp=drivesdk" TargetMode="External"/><Relationship Id="rId2753" Type="http://schemas.openxmlformats.org/officeDocument/2006/relationships/hyperlink" Target="https://drive.google.com/file/d/1kH-jIrhGBTbHFeRdkV8k2mgMtrHoQ4pY/view?usp=drivesdk" TargetMode="External"/><Relationship Id="rId1423" Type="http://schemas.openxmlformats.org/officeDocument/2006/relationships/hyperlink" Target="https://drive.google.com/file/d/13wXD3hU48aNM7pYE5bIfDYCE_NdGF_Zs/view?usp=drivesdk" TargetMode="External"/><Relationship Id="rId2754" Type="http://schemas.openxmlformats.org/officeDocument/2006/relationships/hyperlink" Target="https://drive.google.com/file/d/1r34ET_XGfB3iSK05Gq2p6A6Xk3tPZmec/view?usp=drivesdk" TargetMode="External"/><Relationship Id="rId1424" Type="http://schemas.openxmlformats.org/officeDocument/2006/relationships/hyperlink" Target="https://drive.google.com/file/d/1_ASq4yETmLC9BsnWjieeEBwortRkS88b/view?usp=drivesdk" TargetMode="External"/><Relationship Id="rId2755" Type="http://schemas.openxmlformats.org/officeDocument/2006/relationships/hyperlink" Target="https://drive.google.com/file/d/1y70T3blmDi7uEIbDwzA8AQBI5S-Go0OA/view?usp=drivesdk" TargetMode="External"/><Relationship Id="rId1425" Type="http://schemas.openxmlformats.org/officeDocument/2006/relationships/hyperlink" Target="https://drive.google.com/file/d/11IoJs2lLlmugM3jpga6tr_AjFV0p4sT1/view?usp=drivesdk" TargetMode="External"/><Relationship Id="rId2756" Type="http://schemas.openxmlformats.org/officeDocument/2006/relationships/hyperlink" Target="https://drive.google.com/file/d/1nmC6oyBAU24Sh8Aw47WPpPeSYeEb7H4K/view?usp=drivesdk" TargetMode="External"/><Relationship Id="rId1426" Type="http://schemas.openxmlformats.org/officeDocument/2006/relationships/hyperlink" Target="https://drive.google.com/file/d/10nEhZxp_fNSsQGrE1Ya8T8AzF5Gh3qhg/view?usp=drivesdk" TargetMode="External"/><Relationship Id="rId2757" Type="http://schemas.openxmlformats.org/officeDocument/2006/relationships/hyperlink" Target="https://drive.google.com/file/d/1JTGXN03eWJwGPRzju1-jVj3iLcExnp4I/view?usp=drivesdk" TargetMode="External"/><Relationship Id="rId1427" Type="http://schemas.openxmlformats.org/officeDocument/2006/relationships/hyperlink" Target="https://drive.google.com/file/d/1mHC2JyhnvyiG9Uyg2Vj9b6eYiLnSNTXf/view?usp=drivesdk" TargetMode="External"/><Relationship Id="rId2758" Type="http://schemas.openxmlformats.org/officeDocument/2006/relationships/hyperlink" Target="https://drive.google.com/file/d/1JwfdqoZrP2_nn13L1U9g89qKrwZvV_Tk/view?usp=drivesdk" TargetMode="External"/><Relationship Id="rId1428" Type="http://schemas.openxmlformats.org/officeDocument/2006/relationships/hyperlink" Target="https://drive.google.com/file/d/1v3rtXyNSKgyRDUUBbTzFWhq9I20btwnc/view?usp=drivesdk" TargetMode="External"/><Relationship Id="rId2759" Type="http://schemas.openxmlformats.org/officeDocument/2006/relationships/hyperlink" Target="https://drive.google.com/file/d/1kutTMykv91nvukEzgIQX-E6cnIjXSCnY/view?usp=drivesdk" TargetMode="External"/><Relationship Id="rId1429" Type="http://schemas.openxmlformats.org/officeDocument/2006/relationships/hyperlink" Target="https://drive.google.com/file/d/1ItZjwWoDFFPBT8dFofoIVDtOiPDNmOSq/view?usp=drivesdk" TargetMode="External"/><Relationship Id="rId2750" Type="http://schemas.openxmlformats.org/officeDocument/2006/relationships/hyperlink" Target="https://drive.google.com/file/d/1SR88rwsGj9rQ4f8tR-8dCRWeG1Qo9h9r/view?usp=drivesdk" TargetMode="External"/><Relationship Id="rId1420" Type="http://schemas.openxmlformats.org/officeDocument/2006/relationships/hyperlink" Target="https://drive.google.com/file/d/1NkD9EmE7VXGn0GCtOedANTxXm305LUst/view?usp=drivesdk" TargetMode="External"/><Relationship Id="rId2751" Type="http://schemas.openxmlformats.org/officeDocument/2006/relationships/hyperlink" Target="https://drive.google.com/file/d/1D446_LF3WyiRRYVGXfts7wqslQsxAEzk/view?usp=drivesdk" TargetMode="External"/><Relationship Id="rId1421" Type="http://schemas.openxmlformats.org/officeDocument/2006/relationships/hyperlink" Target="https://drive.google.com/file/d/1Qpd1fdXYlj11vxX13U48iaA84DcMhSRH/view?usp=drivesdk" TargetMode="External"/><Relationship Id="rId2752" Type="http://schemas.openxmlformats.org/officeDocument/2006/relationships/hyperlink" Target="https://drive.google.com/file/d/1PVm9C7oFDu0LeUvXHkVVdQ4SFHxYw8Xp/view?usp=drivesdk" TargetMode="External"/><Relationship Id="rId3238" Type="http://schemas.openxmlformats.org/officeDocument/2006/relationships/hyperlink" Target="https://drive.google.com/file/d/16xWLAY4tW3viFejmpFVKc_eBvvKlL_YE/view?usp=drivesdk" TargetMode="External"/><Relationship Id="rId4569" Type="http://schemas.openxmlformats.org/officeDocument/2006/relationships/hyperlink" Target="https://drive.google.com/file/d/1ES3XryRZknDg4P0QbRYaThG2mzgq7XZN/view?usp=drivesdk" TargetMode="External"/><Relationship Id="rId3237" Type="http://schemas.openxmlformats.org/officeDocument/2006/relationships/hyperlink" Target="https://drive.google.com/file/d/1ivATbn0mJunOKpInqvnIH3lPihf-tXY6/view?usp=drivesdk" TargetMode="External"/><Relationship Id="rId4568" Type="http://schemas.openxmlformats.org/officeDocument/2006/relationships/hyperlink" Target="https://drive.google.com/file/d/16-NIkkc_ULBYlhey0FBzpPjr61L1o5Kx/view?usp=drivesdk" TargetMode="External"/><Relationship Id="rId3239" Type="http://schemas.openxmlformats.org/officeDocument/2006/relationships/hyperlink" Target="https://drive.google.com/file/d/1WYfgvdAnAiCqo8TgIXH7TO6HsgFHfi4L/view?usp=drivesdk" TargetMode="External"/><Relationship Id="rId3230" Type="http://schemas.openxmlformats.org/officeDocument/2006/relationships/hyperlink" Target="https://drive.google.com/file/d/1ZLiM1dcOHVs4Gx7CBm9_Q6Qft3bT-0IG/view?usp=drivesdk" TargetMode="External"/><Relationship Id="rId4561" Type="http://schemas.openxmlformats.org/officeDocument/2006/relationships/hyperlink" Target="https://drive.google.com/file/d/1KThnwCQS-jnb9nZ1JmB2va5_8yQHSBSX/view?usp=drivesdk" TargetMode="External"/><Relationship Id="rId4560" Type="http://schemas.openxmlformats.org/officeDocument/2006/relationships/hyperlink" Target="https://drive.google.com/file/d/1JnvtQJoZkClcbcxPB8P_28FflYh38gls/view?usp=drivesdk" TargetMode="External"/><Relationship Id="rId3232" Type="http://schemas.openxmlformats.org/officeDocument/2006/relationships/hyperlink" Target="https://drive.google.com/file/d/1p4NHQucNjH8MDgqV_djzhxpV-19QVfx2/view?usp=drivesdk" TargetMode="External"/><Relationship Id="rId4563" Type="http://schemas.openxmlformats.org/officeDocument/2006/relationships/hyperlink" Target="https://drive.google.com/file/d/10oY6PYl27xXhIPDBs1ekyvGoA5XHu8UU/view?usp=drivesdk" TargetMode="External"/><Relationship Id="rId3231" Type="http://schemas.openxmlformats.org/officeDocument/2006/relationships/hyperlink" Target="https://drive.google.com/file/d/1haA_5CS9VEsyODn0ajORXNxcAqKfcW4s/view?usp=drivesdk" TargetMode="External"/><Relationship Id="rId4562" Type="http://schemas.openxmlformats.org/officeDocument/2006/relationships/hyperlink" Target="https://drive.google.com/file/d/1_GLlPkZel7z_x4Ux43LMHpYjjAFcmEU7/view?usp=drivesdk" TargetMode="External"/><Relationship Id="rId3234" Type="http://schemas.openxmlformats.org/officeDocument/2006/relationships/hyperlink" Target="https://drive.google.com/file/d/1lPjFtDt-980da7BDmyTLvHNnItWUDTEC/view?usp=drivesdk" TargetMode="External"/><Relationship Id="rId4565" Type="http://schemas.openxmlformats.org/officeDocument/2006/relationships/hyperlink" Target="https://drive.google.com/file/d/1QYC78haFGlIO1tDW_y8X5YGNnhRzjenP/view?usp=drivesdk" TargetMode="External"/><Relationship Id="rId3233" Type="http://schemas.openxmlformats.org/officeDocument/2006/relationships/hyperlink" Target="https://drive.google.com/file/d/1tMd3Jx2jefCirXrrycBmnP4gCrFoH-HT/view?usp=drivesdk" TargetMode="External"/><Relationship Id="rId4564" Type="http://schemas.openxmlformats.org/officeDocument/2006/relationships/hyperlink" Target="https://drive.google.com/file/d/1-Je_6T4V_ABq1QCemMco7GZ8mdP0P_Yf/view?usp=drivesdk" TargetMode="External"/><Relationship Id="rId3236" Type="http://schemas.openxmlformats.org/officeDocument/2006/relationships/hyperlink" Target="https://drive.google.com/file/d/1ap3s9q5tPiCOviRydua1_tAkbRm1s4tq/view?usp=drivesdk" TargetMode="External"/><Relationship Id="rId4567" Type="http://schemas.openxmlformats.org/officeDocument/2006/relationships/hyperlink" Target="https://drive.google.com/file/d/1Wqw9yYRh__OFX4z2ChZsl_QqtT4S7eCy/view?usp=drivesdk" TargetMode="External"/><Relationship Id="rId3235" Type="http://schemas.openxmlformats.org/officeDocument/2006/relationships/hyperlink" Target="https://drive.google.com/file/d/1r7_K6KzgvO-iLtbLEpGOKZQtU59Zoynm/view?usp=drivesdk" TargetMode="External"/><Relationship Id="rId4566" Type="http://schemas.openxmlformats.org/officeDocument/2006/relationships/hyperlink" Target="https://drive.google.com/file/d/1CWcP6ZDoeFyiHe8teo3gYLn_vAGdH6lv/view?usp=drivesdk" TargetMode="External"/><Relationship Id="rId3227" Type="http://schemas.openxmlformats.org/officeDocument/2006/relationships/hyperlink" Target="https://drive.google.com/file/d/1IEZgrtIj4HfLmBwhr1CzuSrrriHqt1PJ/view?usp=drivesdk" TargetMode="External"/><Relationship Id="rId4558" Type="http://schemas.openxmlformats.org/officeDocument/2006/relationships/hyperlink" Target="https://drive.google.com/file/d/1jtzVlT8mkayq3HohtFlxF0CKh23mWHGq/view?usp=drivesdk" TargetMode="External"/><Relationship Id="rId3226" Type="http://schemas.openxmlformats.org/officeDocument/2006/relationships/hyperlink" Target="https://drive.google.com/file/d/1_zSfpHUx2T1DC7MPO4FXKuGvTO-ZcomH/view?usp=drivesdk" TargetMode="External"/><Relationship Id="rId4557" Type="http://schemas.openxmlformats.org/officeDocument/2006/relationships/hyperlink" Target="https://drive.google.com/file/d/1eomn6qtZXIY090oH25h3V1z1q2_Oka9B/view?usp=drivesdk" TargetMode="External"/><Relationship Id="rId3229" Type="http://schemas.openxmlformats.org/officeDocument/2006/relationships/hyperlink" Target="https://drive.google.com/file/d/1nSGxLZ-QjmzZXre74-hZPLA-xIEG-uPr/view?usp=drivesdk" TargetMode="External"/><Relationship Id="rId3228" Type="http://schemas.openxmlformats.org/officeDocument/2006/relationships/hyperlink" Target="https://drive.google.com/file/d/1cFwYKx43HfRt00nAmDLt31VSWBZh8uNH/view?usp=drivesdk" TargetMode="External"/><Relationship Id="rId4559" Type="http://schemas.openxmlformats.org/officeDocument/2006/relationships/hyperlink" Target="https://drive.google.com/file/d/1zMdzVwrGyVRBK7hPhYR81lynSxhyrSpM/view?usp=drivesdk" TargetMode="External"/><Relationship Id="rId699" Type="http://schemas.openxmlformats.org/officeDocument/2006/relationships/hyperlink" Target="https://drive.google.com/file/d/1iljrmB26_zgchGqQt6UyUJgVt42Zl-j_/view?usp=drivesdk" TargetMode="External"/><Relationship Id="rId698" Type="http://schemas.openxmlformats.org/officeDocument/2006/relationships/hyperlink" Target="https://drive.google.com/file/d/1XjPc_4ZQy_MHvxbZ45L4tNK5uaifPzrO/view?usp=drivesdk" TargetMode="External"/><Relationship Id="rId693" Type="http://schemas.openxmlformats.org/officeDocument/2006/relationships/hyperlink" Target="https://drive.google.com/file/d/1szplSZ43SIiGLiTkQvAgGG_Ue2hBWgwB/view?usp=drivesdk" TargetMode="External"/><Relationship Id="rId4550" Type="http://schemas.openxmlformats.org/officeDocument/2006/relationships/hyperlink" Target="https://drive.google.com/file/d/1H5ChyQhmMtG5WBIdIZajl-5S3f765l_w/view?usp=drivesdk" TargetMode="External"/><Relationship Id="rId692" Type="http://schemas.openxmlformats.org/officeDocument/2006/relationships/hyperlink" Target="https://drive.google.com/file/d/1nMa67YAJuKEzqiKg2i69c29HylXaoHRW/view?usp=drivesdk" TargetMode="External"/><Relationship Id="rId691" Type="http://schemas.openxmlformats.org/officeDocument/2006/relationships/hyperlink" Target="https://drive.google.com/file/d/1FxLxQPrL9NEfqe7TYM01Zwfq_-4ibvwA/view?usp=drivesdk" TargetMode="External"/><Relationship Id="rId3221" Type="http://schemas.openxmlformats.org/officeDocument/2006/relationships/hyperlink" Target="https://drive.google.com/file/d/1_MqOIhiGDFDssAsaVfLWUPu10KMevBEK/view?usp=drivesdk" TargetMode="External"/><Relationship Id="rId4552" Type="http://schemas.openxmlformats.org/officeDocument/2006/relationships/hyperlink" Target="https://drive.google.com/file/d/1Nhg3XpMLvDcfNPMtShImzMo7Q-YgbQEy/view?usp=drivesdk" TargetMode="External"/><Relationship Id="rId690" Type="http://schemas.openxmlformats.org/officeDocument/2006/relationships/hyperlink" Target="https://drive.google.com/file/d/1pzPGiKDIdSMX7erO7_PVgoFtf5gqvu3_/view?usp=drivesdk" TargetMode="External"/><Relationship Id="rId3220" Type="http://schemas.openxmlformats.org/officeDocument/2006/relationships/hyperlink" Target="https://drive.google.com/file/d/1eXdMhicIFzNEaC6h7xp-RvEYyZe2-TkF/view?usp=drivesdk" TargetMode="External"/><Relationship Id="rId4551" Type="http://schemas.openxmlformats.org/officeDocument/2006/relationships/hyperlink" Target="https://drive.google.com/file/d/1flWJ7bzBkrdw_i8hTkiHLXgW4gbBELwc/view?usp=drivesdk" TargetMode="External"/><Relationship Id="rId697" Type="http://schemas.openxmlformats.org/officeDocument/2006/relationships/hyperlink" Target="https://drive.google.com/file/d/1VGEY2YprsP0KHm4ox7JZY8dGMtO9C0zM/view?usp=drivesdk" TargetMode="External"/><Relationship Id="rId3223" Type="http://schemas.openxmlformats.org/officeDocument/2006/relationships/hyperlink" Target="https://drive.google.com/file/d/1S3WFtmVOHRu4xaqQjDRuke3vD4lx3O4U/view?usp=drivesdk" TargetMode="External"/><Relationship Id="rId4554" Type="http://schemas.openxmlformats.org/officeDocument/2006/relationships/hyperlink" Target="https://drive.google.com/file/d/1LQFQwhEPfztDNojLeg_BuHXviQJwazf2/view?usp=drivesdk" TargetMode="External"/><Relationship Id="rId696" Type="http://schemas.openxmlformats.org/officeDocument/2006/relationships/hyperlink" Target="https://drive.google.com/file/d/1NFVRwiKFPxpISn6TSCmTFtqWi2vcF-KH/view?usp=drivesdk" TargetMode="External"/><Relationship Id="rId3222" Type="http://schemas.openxmlformats.org/officeDocument/2006/relationships/hyperlink" Target="https://drive.google.com/file/d/1EUwIVWrh7235bTbu7jl0CT9SZtGThd-a/view?usp=drivesdk" TargetMode="External"/><Relationship Id="rId4553" Type="http://schemas.openxmlformats.org/officeDocument/2006/relationships/hyperlink" Target="https://drive.google.com/file/d/15DR1ALtDISXY_LC-Xb8W0k45YoMczsf0/view?usp=drivesdk" TargetMode="External"/><Relationship Id="rId695" Type="http://schemas.openxmlformats.org/officeDocument/2006/relationships/hyperlink" Target="https://drive.google.com/file/d/1EtqRrPGaH59-65qgA1Ilrh6r8DXgx5GF/view?usp=drivesdk" TargetMode="External"/><Relationship Id="rId3225" Type="http://schemas.openxmlformats.org/officeDocument/2006/relationships/hyperlink" Target="https://drive.google.com/file/d/1nyRj_72O1-de_DBXIwBu0rgrG1DZ2mbO/view?usp=drivesdk" TargetMode="External"/><Relationship Id="rId4556" Type="http://schemas.openxmlformats.org/officeDocument/2006/relationships/hyperlink" Target="https://drive.google.com/file/d/1c1XhuXaXAuWSh6VSJJIITeui1oVjD1Dv/view?usp=drivesdk" TargetMode="External"/><Relationship Id="rId694" Type="http://schemas.openxmlformats.org/officeDocument/2006/relationships/hyperlink" Target="https://drive.google.com/file/d/1NZWQUoTF5zHa9q7y8Os8lv7KhzmnNVdx/view?usp=drivesdk" TargetMode="External"/><Relationship Id="rId3224" Type="http://schemas.openxmlformats.org/officeDocument/2006/relationships/hyperlink" Target="https://drive.google.com/file/d/1I0VwopWBAYiPMP6Yi4UVtNkWZ-DnreRV/view?usp=drivesdk" TargetMode="External"/><Relationship Id="rId4555" Type="http://schemas.openxmlformats.org/officeDocument/2006/relationships/hyperlink" Target="https://drive.google.com/file/d/1ylopsSxLQOgtMHL3ZtXX5k2aN067t7tK/view?usp=drivesdk" TargetMode="External"/><Relationship Id="rId3259" Type="http://schemas.openxmlformats.org/officeDocument/2006/relationships/hyperlink" Target="https://drive.google.com/file/d/1ymNS2HRbIzUQr2IGFBQhRF-9sknSUJyl/view?usp=drivesdk" TargetMode="External"/><Relationship Id="rId3250" Type="http://schemas.openxmlformats.org/officeDocument/2006/relationships/hyperlink" Target="https://drive.google.com/file/d/1vwTkJKSe8XRBXXr_fYi6zCqsCLuSwkve/view?usp=drivesdk" TargetMode="External"/><Relationship Id="rId4581" Type="http://schemas.openxmlformats.org/officeDocument/2006/relationships/hyperlink" Target="https://drive.google.com/file/d/1Om11Y-IEyPM0lkCGGrrsAcI7lffKt9Pu/view?usp=drivesdk" TargetMode="External"/><Relationship Id="rId4580" Type="http://schemas.openxmlformats.org/officeDocument/2006/relationships/hyperlink" Target="https://drive.google.com/file/d/1iWdmPQjUyGl4QZYhIehSlazHH3-_F06v/view?usp=drivesdk" TargetMode="External"/><Relationship Id="rId3252" Type="http://schemas.openxmlformats.org/officeDocument/2006/relationships/hyperlink" Target="https://drive.google.com/file/d/14fubtZWk15DZozC7fOnI2FfowdbRtzRW/view?usp=drivesdk" TargetMode="External"/><Relationship Id="rId4583" Type="http://schemas.openxmlformats.org/officeDocument/2006/relationships/hyperlink" Target="https://drive.google.com/file/d/1iu9Eqbf1EoK2OSyAS9usRms4SJ2w53wQ/view?usp=drivesdk" TargetMode="External"/><Relationship Id="rId3251" Type="http://schemas.openxmlformats.org/officeDocument/2006/relationships/hyperlink" Target="https://drive.google.com/file/d/1Ve8ZxlhTRlY6Zp_1kyJUVXywWgH9uzbX/view?usp=drivesdk" TargetMode="External"/><Relationship Id="rId4582" Type="http://schemas.openxmlformats.org/officeDocument/2006/relationships/hyperlink" Target="https://drive.google.com/file/d/1-AwySwgn_-9fr4GelEaz8TWmzwdbsr4q/view?usp=drivesdk" TargetMode="External"/><Relationship Id="rId3254" Type="http://schemas.openxmlformats.org/officeDocument/2006/relationships/hyperlink" Target="https://drive.google.com/file/d/1Cy_4TsjGEJza8d-jvsI_kKd6YOnNbgwu/view?usp=drivesdk" TargetMode="External"/><Relationship Id="rId4585" Type="http://schemas.openxmlformats.org/officeDocument/2006/relationships/hyperlink" Target="https://drive.google.com/file/d/1J-gBQ73oD_miLr752-uqCHQsXELidNIp/view?usp=drivesdk" TargetMode="External"/><Relationship Id="rId3253" Type="http://schemas.openxmlformats.org/officeDocument/2006/relationships/hyperlink" Target="https://drive.google.com/file/d/1O17_X5cYvCHrEqgxdLDTzpgMnleRE9k4/view?usp=drivesdk" TargetMode="External"/><Relationship Id="rId4584" Type="http://schemas.openxmlformats.org/officeDocument/2006/relationships/hyperlink" Target="https://drive.google.com/file/d/1IYytrWVxY_eZosrZaOpjxAa6fGVzh9zz/view?usp=drivesdk" TargetMode="External"/><Relationship Id="rId3256" Type="http://schemas.openxmlformats.org/officeDocument/2006/relationships/hyperlink" Target="https://drive.google.com/file/d/1HtMx8rjun1N76oSytAtwBtDb-eYWucLF/view?usp=drivesdk" TargetMode="External"/><Relationship Id="rId4587" Type="http://schemas.openxmlformats.org/officeDocument/2006/relationships/hyperlink" Target="https://drive.google.com/file/d/1pxwoidSPjNvt7XgGPujfIYPv7fjpDrSf/view?usp=drivesdk" TargetMode="External"/><Relationship Id="rId3255" Type="http://schemas.openxmlformats.org/officeDocument/2006/relationships/hyperlink" Target="https://drive.google.com/file/d/1051X_C5qwhBxhAQOXesPid6HyilZ_qhL/view?usp=drivesdk" TargetMode="External"/><Relationship Id="rId4586" Type="http://schemas.openxmlformats.org/officeDocument/2006/relationships/hyperlink" Target="https://drive.google.com/file/d/1XIPuoMQW0ZNSz2rLLBhoVTLo3Hfb9KZY/view?usp=drivesdk" TargetMode="External"/><Relationship Id="rId3258" Type="http://schemas.openxmlformats.org/officeDocument/2006/relationships/hyperlink" Target="https://drive.google.com/file/d/186a2xumyDtUwaspdbmPsCW7S-yZSyw5U/view?usp=drivesdk" TargetMode="External"/><Relationship Id="rId4589" Type="http://schemas.openxmlformats.org/officeDocument/2006/relationships/hyperlink" Target="https://drive.google.com/file/d/1ZaZRpphlQ4s9BWaEsjpmFP47Gsdovi0P/view?usp=drivesdk" TargetMode="External"/><Relationship Id="rId3257" Type="http://schemas.openxmlformats.org/officeDocument/2006/relationships/hyperlink" Target="https://drive.google.com/file/d/1A4iuF32eT7wJw8pBmpeK5Z5W4ZMWebVG/view?usp=drivesdk" TargetMode="External"/><Relationship Id="rId4588" Type="http://schemas.openxmlformats.org/officeDocument/2006/relationships/hyperlink" Target="https://drive.google.com/file/d/1xCKNCNUnddJPh8UegzDxCWJpvLDw6Dww/view?usp=drivesdk" TargetMode="External"/><Relationship Id="rId3249" Type="http://schemas.openxmlformats.org/officeDocument/2006/relationships/hyperlink" Target="https://drive.google.com/file/d/1XiQ1mnXaGgAGcJzov-3mlu3AAL4XklNC/view?usp=drivesdk" TargetMode="External"/><Relationship Id="rId3248" Type="http://schemas.openxmlformats.org/officeDocument/2006/relationships/hyperlink" Target="https://drive.google.com/file/d/1JdzCT57cVtXr8cjQffdREliPZWqutSk9/view?usp=drivesdk" TargetMode="External"/><Relationship Id="rId4579" Type="http://schemas.openxmlformats.org/officeDocument/2006/relationships/hyperlink" Target="https://drive.google.com/file/d/1KrQ3lrpKAG55Q3UBfg9s9CI5CkOsmnk2/view?usp=drivesdk" TargetMode="External"/><Relationship Id="rId4570" Type="http://schemas.openxmlformats.org/officeDocument/2006/relationships/hyperlink" Target="https://drive.google.com/file/d/1gdY3qh26E-Xof3ZuOTJAvJx1y-_Fm-OJ/view?usp=drivesdk" TargetMode="External"/><Relationship Id="rId3241" Type="http://schemas.openxmlformats.org/officeDocument/2006/relationships/hyperlink" Target="https://drive.google.com/file/d/1YEACePyNsxoxNmI7hNwuc-n5t9ufSvvy/view?usp=drivesdk" TargetMode="External"/><Relationship Id="rId4572" Type="http://schemas.openxmlformats.org/officeDocument/2006/relationships/hyperlink" Target="https://drive.google.com/file/d/1bqpO_uMMgbzWf3wnwwPQuGPwxfGzuP5F/view?usp=drivesdk" TargetMode="External"/><Relationship Id="rId3240" Type="http://schemas.openxmlformats.org/officeDocument/2006/relationships/hyperlink" Target="https://drive.google.com/file/d/1F--6-bPJF-0mruA_itFB59DJUKjw4rau/view?usp=drivesdk" TargetMode="External"/><Relationship Id="rId4571" Type="http://schemas.openxmlformats.org/officeDocument/2006/relationships/hyperlink" Target="https://drive.google.com/file/d/1WO5GXV-or-HNblU36SnvZ7HE8Ly8wKyG/view?usp=drivesdk" TargetMode="External"/><Relationship Id="rId3243" Type="http://schemas.openxmlformats.org/officeDocument/2006/relationships/hyperlink" Target="https://drive.google.com/file/d/1ZnH70Ai_qrQyOdP4vZGyz8bM9h2mHVsZ/view?usp=drivesdk" TargetMode="External"/><Relationship Id="rId4574" Type="http://schemas.openxmlformats.org/officeDocument/2006/relationships/hyperlink" Target="https://drive.google.com/file/d/1dmzXN9Jjnsn1qJdVMWTlsC1R0BUS0H-5/view?usp=drivesdk" TargetMode="External"/><Relationship Id="rId3242" Type="http://schemas.openxmlformats.org/officeDocument/2006/relationships/hyperlink" Target="https://drive.google.com/file/d/1X7-XSaJBBWXXF7j3zkyRIvvxorHg8D5j/view?usp=drivesdk" TargetMode="External"/><Relationship Id="rId4573" Type="http://schemas.openxmlformats.org/officeDocument/2006/relationships/hyperlink" Target="https://drive.google.com/file/d/1ogRXwXMYHJkp2vc7N0R0ZWVbBvXW2_5I/view?usp=drivesdk" TargetMode="External"/><Relationship Id="rId3245" Type="http://schemas.openxmlformats.org/officeDocument/2006/relationships/hyperlink" Target="https://drive.google.com/file/d/1Giwx4XLVeNw5Mq6QIVr-RgWDWPfQebEc/view?usp=drivesdk" TargetMode="External"/><Relationship Id="rId4576" Type="http://schemas.openxmlformats.org/officeDocument/2006/relationships/hyperlink" Target="https://drive.google.com/file/d/14CLV-8gSDF1i1ggDeRWEnee7zuWM-pVZ/view?usp=drivesdk" TargetMode="External"/><Relationship Id="rId3244" Type="http://schemas.openxmlformats.org/officeDocument/2006/relationships/hyperlink" Target="https://drive.google.com/file/d/1R0HBh96QO-mFmIQ9A3tbsSQXA9XN-bss/view?usp=drivesdk" TargetMode="External"/><Relationship Id="rId4575" Type="http://schemas.openxmlformats.org/officeDocument/2006/relationships/hyperlink" Target="https://drive.google.com/file/d/1CB4iYf47xp8Hod3LaWxywFmraFjdUt9l/view?usp=drivesdk" TargetMode="External"/><Relationship Id="rId3247" Type="http://schemas.openxmlformats.org/officeDocument/2006/relationships/hyperlink" Target="https://drive.google.com/file/d/1WMBeShmxu4yDKEjWKpOvFKxvGx70oqoQ/view?usp=drivesdk" TargetMode="External"/><Relationship Id="rId4578" Type="http://schemas.openxmlformats.org/officeDocument/2006/relationships/hyperlink" Target="https://drive.google.com/file/d/1JP2AM43T5Z_Y0Wfs4aUNDPAnwAGmK5vt/view?usp=drivesdk" TargetMode="External"/><Relationship Id="rId3246" Type="http://schemas.openxmlformats.org/officeDocument/2006/relationships/hyperlink" Target="https://drive.google.com/file/d/1VdXsDzrershHp0X0bmRaNzEnm13Cr2DR/view?usp=drivesdk" TargetMode="External"/><Relationship Id="rId4577" Type="http://schemas.openxmlformats.org/officeDocument/2006/relationships/hyperlink" Target="https://drive.google.com/file/d/1HTI6t-WJRPDil5pVpRUOwkPYbPVT_bMd/view?usp=drivesdk" TargetMode="External"/><Relationship Id="rId1499" Type="http://schemas.openxmlformats.org/officeDocument/2006/relationships/hyperlink" Target="https://drive.google.com/file/d/10ClYDoF9MgSqzVYoDZoTr7srV8BPySyL/view?usp=drivesdk" TargetMode="External"/><Relationship Id="rId4525" Type="http://schemas.openxmlformats.org/officeDocument/2006/relationships/hyperlink" Target="https://drive.google.com/file/d/1X9Eae-PB_na39d_EsAIhTf56OtnDd_4t/view?usp=drivesdk" TargetMode="External"/><Relationship Id="rId4524" Type="http://schemas.openxmlformats.org/officeDocument/2006/relationships/hyperlink" Target="https://drive.google.com/file/d/1DVqEmmD3GK7NduXzLqn4MKXhJ_npyHYp/view?usp=drivesdk" TargetMode="External"/><Relationship Id="rId4527" Type="http://schemas.openxmlformats.org/officeDocument/2006/relationships/hyperlink" Target="https://drive.google.com/file/d/1uaefKl5Uu1N04HYA4Laj8Hx3PtXbrrAh/view?usp=drivesdk" TargetMode="External"/><Relationship Id="rId4526" Type="http://schemas.openxmlformats.org/officeDocument/2006/relationships/hyperlink" Target="https://drive.google.com/file/d/1VlipxQDR8ZvekbkNAvJVoSZN38bE0O5u/view?usp=drivesdk" TargetMode="External"/><Relationship Id="rId4529" Type="http://schemas.openxmlformats.org/officeDocument/2006/relationships/hyperlink" Target="https://drive.google.com/file/d/1ULbFS5qYvdiUsFGCtMdM72uVkFYDkz-V/view?usp=drivesdk" TargetMode="External"/><Relationship Id="rId4528" Type="http://schemas.openxmlformats.org/officeDocument/2006/relationships/hyperlink" Target="https://drive.google.com/file/d/10e5GuwxRE2QDmy2ZMI_M7gG-_wXNRjDv/view?usp=drivesdk" TargetMode="External"/><Relationship Id="rId668" Type="http://schemas.openxmlformats.org/officeDocument/2006/relationships/hyperlink" Target="https://drive.google.com/file/d/13mNMHYjYrPGZGW5rruDzzTCwfC6StAtc/view?usp=drivesdk" TargetMode="External"/><Relationship Id="rId667" Type="http://schemas.openxmlformats.org/officeDocument/2006/relationships/hyperlink" Target="https://drive.google.com/file/d/1ZYKZYcUB8g81NA7Nrbz55oO_8QekyYAs/view?usp=drivesdk" TargetMode="External"/><Relationship Id="rId666" Type="http://schemas.openxmlformats.org/officeDocument/2006/relationships/hyperlink" Target="https://drive.google.com/file/d/1wflOWrxhVElOvlqeKXFzS9LFZ25KuBhX/view?usp=drivesdk" TargetMode="External"/><Relationship Id="rId665" Type="http://schemas.openxmlformats.org/officeDocument/2006/relationships/hyperlink" Target="https://drive.google.com/file/d/13xThqEzyaak_xiGY4TydQ0bohOZKLW_5/view?usp=drivesdk" TargetMode="External"/><Relationship Id="rId669" Type="http://schemas.openxmlformats.org/officeDocument/2006/relationships/hyperlink" Target="https://drive.google.com/file/d/14rSmDNpaMm3a7EJkHmPWv0SB6qYmOao7/view?usp=drivesdk" TargetMode="External"/><Relationship Id="rId1490" Type="http://schemas.openxmlformats.org/officeDocument/2006/relationships/hyperlink" Target="https://drive.google.com/file/d/1smb2aCzES758XwanV9RIXUBCxfL59crc/view?usp=drivesdk" TargetMode="External"/><Relationship Id="rId660" Type="http://schemas.openxmlformats.org/officeDocument/2006/relationships/hyperlink" Target="https://drive.google.com/file/d/1Fs7nKUsPNTuCT-4w6rbyYP95wOVNNopN/view?usp=drivesdk" TargetMode="External"/><Relationship Id="rId1491" Type="http://schemas.openxmlformats.org/officeDocument/2006/relationships/hyperlink" Target="https://drive.google.com/file/d/1DX6ellFB1n6lYl4K9ShKgHruazyiHs3T/view?usp=drivesdk" TargetMode="External"/><Relationship Id="rId1492" Type="http://schemas.openxmlformats.org/officeDocument/2006/relationships/hyperlink" Target="https://drive.google.com/file/d/14MOSn-QKgDGPD2SDla3hHxWtkQ3F8Jsk/view?usp=drivesdk" TargetMode="External"/><Relationship Id="rId1493" Type="http://schemas.openxmlformats.org/officeDocument/2006/relationships/hyperlink" Target="https://drive.google.com/file/d/1Ix3MvTHBNinVaV-MVQUX-w_YgtMg2aeF/view?usp=drivesdk" TargetMode="External"/><Relationship Id="rId1494" Type="http://schemas.openxmlformats.org/officeDocument/2006/relationships/hyperlink" Target="https://drive.google.com/file/d/1vbIIolx8GF4DH718MKU5f_tCLFDBdtTQ/view?usp=drivesdk" TargetMode="External"/><Relationship Id="rId664" Type="http://schemas.openxmlformats.org/officeDocument/2006/relationships/hyperlink" Target="https://drive.google.com/file/d/1ggrNkQH5cvQ1VpsS37izyCPaB-3m1gdg/view?usp=drivesdk" TargetMode="External"/><Relationship Id="rId1495" Type="http://schemas.openxmlformats.org/officeDocument/2006/relationships/hyperlink" Target="https://drive.google.com/file/d/1Qdiym749nLhG1rcznla2fCUxBHjW7GXT/view?usp=drivesdk" TargetMode="External"/><Relationship Id="rId4521" Type="http://schemas.openxmlformats.org/officeDocument/2006/relationships/hyperlink" Target="https://drive.google.com/file/d/13uSpbF7f1qORfkIaIElgjoPV3i311y4O/view?usp=drivesdk" TargetMode="External"/><Relationship Id="rId663" Type="http://schemas.openxmlformats.org/officeDocument/2006/relationships/hyperlink" Target="https://drive.google.com/file/d/1ANs3En5AbJMTOSrs3qPRy-ZGIrIGzDyN/view?usp=drivesdk" TargetMode="External"/><Relationship Id="rId1496" Type="http://schemas.openxmlformats.org/officeDocument/2006/relationships/hyperlink" Target="https://drive.google.com/file/d/1IqTgxHQd4XE9kpJzB1nuJp9GJut4m7go/view?usp=drivesdk" TargetMode="External"/><Relationship Id="rId4520" Type="http://schemas.openxmlformats.org/officeDocument/2006/relationships/hyperlink" Target="https://drive.google.com/file/d/1yXQSqEK8fZmnydxroNI45gg6sIZPYz3w/view?usp=drivesdk" TargetMode="External"/><Relationship Id="rId662" Type="http://schemas.openxmlformats.org/officeDocument/2006/relationships/hyperlink" Target="https://drive.google.com/file/d/1Olh9up1KfGsrwQNdcEiT4DiNJKjMRrYn/view?usp=drivesdk" TargetMode="External"/><Relationship Id="rId1497" Type="http://schemas.openxmlformats.org/officeDocument/2006/relationships/hyperlink" Target="https://drive.google.com/file/d/1ye3ByGUcZCsGux1wW0xOqar2ky0-30rV/view?usp=drivesdk" TargetMode="External"/><Relationship Id="rId4523" Type="http://schemas.openxmlformats.org/officeDocument/2006/relationships/hyperlink" Target="https://drive.google.com/file/d/1xzgeqX9E9OLisstFIGu_msg8UI0poBWW/view?usp=drivesdk" TargetMode="External"/><Relationship Id="rId661" Type="http://schemas.openxmlformats.org/officeDocument/2006/relationships/hyperlink" Target="https://drive.google.com/file/d/1LlayZjDIUL2MPQiEUdZ2dr-FmIvWGbpc/view?usp=drivesdk" TargetMode="External"/><Relationship Id="rId1498" Type="http://schemas.openxmlformats.org/officeDocument/2006/relationships/hyperlink" Target="https://drive.google.com/file/d/1NWgZ--QSpJN6rJy4BI-ZZf8coMGo_71-/view?usp=drivesdk" TargetMode="External"/><Relationship Id="rId4522" Type="http://schemas.openxmlformats.org/officeDocument/2006/relationships/hyperlink" Target="https://drive.google.com/file/d/1EgCKv0UpL1LV-p0g15tyoTEIaUwKhf9d/view?usp=drivesdk" TargetMode="External"/><Relationship Id="rId1488" Type="http://schemas.openxmlformats.org/officeDocument/2006/relationships/hyperlink" Target="https://drive.google.com/file/d/1zUwDY9QRcV7ZE92guqhyhaAPjZy0lrpP/view?usp=drivesdk" TargetMode="External"/><Relationship Id="rId4514" Type="http://schemas.openxmlformats.org/officeDocument/2006/relationships/hyperlink" Target="https://drive.google.com/file/d/1LmaGJ0ilPefZdC1aqJ9q5wb6UNp_HHun/view?usp=drivesdk" TargetMode="External"/><Relationship Id="rId1489" Type="http://schemas.openxmlformats.org/officeDocument/2006/relationships/hyperlink" Target="https://drive.google.com/file/d/1H4o-bxBH5NF_XEGEJuBpmxnGzPYFLRVc/view?usp=drivesdk" TargetMode="External"/><Relationship Id="rId4513" Type="http://schemas.openxmlformats.org/officeDocument/2006/relationships/hyperlink" Target="https://drive.google.com/file/d/1z928VYPm-00lLYXig1q3sa_RdJItGafW/view?usp=drivesdk" TargetMode="External"/><Relationship Id="rId4516" Type="http://schemas.openxmlformats.org/officeDocument/2006/relationships/hyperlink" Target="https://drive.google.com/file/d/1Xl7rXpACeyRfP3l8T-L11t4hqgjZMrvJ/view?usp=drivesdk" TargetMode="External"/><Relationship Id="rId4515" Type="http://schemas.openxmlformats.org/officeDocument/2006/relationships/hyperlink" Target="https://drive.google.com/file/d/1R6FYHsrPoZBC-cyR8LKM5L_J1ENb5syY/view?usp=drivesdk" TargetMode="External"/><Relationship Id="rId4518" Type="http://schemas.openxmlformats.org/officeDocument/2006/relationships/hyperlink" Target="https://drive.google.com/file/d/17ZgWlatfytAixBIpg8GnJyGUL4rT6vv1/view?usp=drivesdk" TargetMode="External"/><Relationship Id="rId4517" Type="http://schemas.openxmlformats.org/officeDocument/2006/relationships/hyperlink" Target="https://drive.google.com/file/d/1at7NtjIBcJiy_Kk4Bip3B-8NA2L2dYbN/view?usp=drivesdk" TargetMode="External"/><Relationship Id="rId4519" Type="http://schemas.openxmlformats.org/officeDocument/2006/relationships/hyperlink" Target="https://drive.google.com/file/d/1u_nu0Kt0SEttxUZOBcoy33JoI3dWv0zB/view?usp=drivesdk" TargetMode="External"/><Relationship Id="rId657" Type="http://schemas.openxmlformats.org/officeDocument/2006/relationships/hyperlink" Target="https://drive.google.com/file/d/1taGf26ce9yUugUUUwJyFopvftOS2YcNF/view?usp=drivesdk" TargetMode="External"/><Relationship Id="rId656" Type="http://schemas.openxmlformats.org/officeDocument/2006/relationships/hyperlink" Target="https://drive.google.com/file/d/1ljzeCMj1kBvjpRa-5h2QFdpy4aN2HqVj/view?usp=drivesdk" TargetMode="External"/><Relationship Id="rId655" Type="http://schemas.openxmlformats.org/officeDocument/2006/relationships/hyperlink" Target="https://drive.google.com/file/d/1U8-__ejGJeC1MrVud6L1dLC6gKvM0sgE/view?usp=drivesdk" TargetMode="External"/><Relationship Id="rId654" Type="http://schemas.openxmlformats.org/officeDocument/2006/relationships/hyperlink" Target="https://drive.google.com/file/d/14AEHkrRE8BWe_WMavy_29ElM_3scsf1a/view?usp=drivesdk" TargetMode="External"/><Relationship Id="rId659" Type="http://schemas.openxmlformats.org/officeDocument/2006/relationships/hyperlink" Target="https://drive.google.com/file/d/1tgmcGKuKQhO6gfy5hwavHOBxjevqvvhp/view?usp=drivesdk" TargetMode="External"/><Relationship Id="rId658" Type="http://schemas.openxmlformats.org/officeDocument/2006/relationships/hyperlink" Target="https://drive.google.com/file/d/159ZAV1RdH1viKPOJhOqWL7x5_3fTSVlp/view?usp=drivesdk" TargetMode="External"/><Relationship Id="rId1480" Type="http://schemas.openxmlformats.org/officeDocument/2006/relationships/hyperlink" Target="https://drive.google.com/file/d/1w3yqQtr35Wn1iDVheASxaK4ff0GeRSuH/view?usp=drivesdk" TargetMode="External"/><Relationship Id="rId1481" Type="http://schemas.openxmlformats.org/officeDocument/2006/relationships/hyperlink" Target="https://drive.google.com/file/d/1xmEeVt7ok5PE1fkvAWsRUaLznS3MHhFE/view?usp=drivesdk" TargetMode="External"/><Relationship Id="rId1482" Type="http://schemas.openxmlformats.org/officeDocument/2006/relationships/hyperlink" Target="https://drive.google.com/file/d/1cCRcFFvddHrHJZx_lz2EBJn2fq6xwXA8/view?usp=drivesdk" TargetMode="External"/><Relationship Id="rId1483" Type="http://schemas.openxmlformats.org/officeDocument/2006/relationships/hyperlink" Target="https://drive.google.com/file/d/1vOUzEXa42CK45IqkVl0P4yRuu_qQP9Hs/view?usp=drivesdk" TargetMode="External"/><Relationship Id="rId653" Type="http://schemas.openxmlformats.org/officeDocument/2006/relationships/hyperlink" Target="https://drive.google.com/file/d/1GvyIuWFOeYPVnAeEzde21cT4rXfi-1Dl/view?usp=drivesdk" TargetMode="External"/><Relationship Id="rId1484" Type="http://schemas.openxmlformats.org/officeDocument/2006/relationships/hyperlink" Target="https://drive.google.com/file/d/1qPfY66DzwPEZOEwPSXTHRphkYCmiBR7O/view?usp=drivesdk" TargetMode="External"/><Relationship Id="rId4510" Type="http://schemas.openxmlformats.org/officeDocument/2006/relationships/hyperlink" Target="https://drive.google.com/file/d/1QQOPckdTgvuVvoQnywOQQo28PQTvxbN4/view?usp=drivesdk" TargetMode="External"/><Relationship Id="rId652" Type="http://schemas.openxmlformats.org/officeDocument/2006/relationships/hyperlink" Target="https://drive.google.com/file/d/12dkyHlVWCNUwlr_p87d800Ooed4wkFAQ/view?usp=drivesdk" TargetMode="External"/><Relationship Id="rId1485" Type="http://schemas.openxmlformats.org/officeDocument/2006/relationships/hyperlink" Target="https://drive.google.com/file/d/1uABdcLUq-zMUqj94nkk4O5wnVykbPAUQ/view?usp=drivesdk" TargetMode="External"/><Relationship Id="rId651" Type="http://schemas.openxmlformats.org/officeDocument/2006/relationships/hyperlink" Target="https://drive.google.com/file/d/1BnYn8EC2esb_Wc1gtHI79hjHMRpKedax/view?usp=drivesdk" TargetMode="External"/><Relationship Id="rId1486" Type="http://schemas.openxmlformats.org/officeDocument/2006/relationships/hyperlink" Target="https://drive.google.com/file/d/1tREvYbIO4RG_ZpMh4jXx-4qdh7lZ4TkY/view?usp=drivesdk" TargetMode="External"/><Relationship Id="rId4512" Type="http://schemas.openxmlformats.org/officeDocument/2006/relationships/hyperlink" Target="https://drive.google.com/file/d/1QFYwZK3AdGxbI6Ch5JLnVszzByRkNZ-s/view?usp=drivesdk" TargetMode="External"/><Relationship Id="rId650" Type="http://schemas.openxmlformats.org/officeDocument/2006/relationships/hyperlink" Target="https://drive.google.com/file/d/1bThOnL26GMkT0xub33eM-U_sMJJFtxUo/view?usp=drivesdk" TargetMode="External"/><Relationship Id="rId1487" Type="http://schemas.openxmlformats.org/officeDocument/2006/relationships/hyperlink" Target="https://drive.google.com/file/d/12NmZHAz7HWLN27dSb0hEvtH_fWAJHJTP/view?usp=drivesdk" TargetMode="External"/><Relationship Id="rId4511" Type="http://schemas.openxmlformats.org/officeDocument/2006/relationships/hyperlink" Target="https://drive.google.com/file/d/1as13wTG-ozri6nitH2MwTu-g4iWW9wq8/view?usp=drivesdk" TargetMode="External"/><Relationship Id="rId3216" Type="http://schemas.openxmlformats.org/officeDocument/2006/relationships/hyperlink" Target="https://drive.google.com/file/d/1hGIBtO2ra6JTX7lDjA33szCLvroTU-v9/view?usp=drivesdk" TargetMode="External"/><Relationship Id="rId4547" Type="http://schemas.openxmlformats.org/officeDocument/2006/relationships/hyperlink" Target="https://drive.google.com/file/d/120Dwo7-NlIl6rg0fL3D8J_-8aQvkw9b9/view?usp=drivesdk" TargetMode="External"/><Relationship Id="rId3215" Type="http://schemas.openxmlformats.org/officeDocument/2006/relationships/hyperlink" Target="https://drive.google.com/file/d/1sCWthA-MYdYru-cgW1LzVxoI-f9CZ_Aq/view?usp=drivesdk" TargetMode="External"/><Relationship Id="rId4546" Type="http://schemas.openxmlformats.org/officeDocument/2006/relationships/hyperlink" Target="https://drive.google.com/file/d/1Ft7q8Q8kYBvCt05nfwAVo2RbSjDlMi2M/view?usp=drivesdk" TargetMode="External"/><Relationship Id="rId3218" Type="http://schemas.openxmlformats.org/officeDocument/2006/relationships/hyperlink" Target="https://drive.google.com/file/d/1tf0vOZ2gC7qomhYbYWpc0l1UALGdqeBb/view?usp=drivesdk" TargetMode="External"/><Relationship Id="rId4549" Type="http://schemas.openxmlformats.org/officeDocument/2006/relationships/hyperlink" Target="https://drive.google.com/file/d/1TcK-B7VJyhmkV7D1esrEP3zQMB2eGYT9/view?usp=drivesdk" TargetMode="External"/><Relationship Id="rId3217" Type="http://schemas.openxmlformats.org/officeDocument/2006/relationships/hyperlink" Target="https://drive.google.com/file/d/16T3ZMQf5nOKv8eypmqVHOvZP_b6KDxtj/view?usp=drivesdk" TargetMode="External"/><Relationship Id="rId4548" Type="http://schemas.openxmlformats.org/officeDocument/2006/relationships/hyperlink" Target="https://drive.google.com/file/d/1ExXAjSg8UDw6UaHv_kkPhrkSkcRfGfX9/view?usp=drivesdk" TargetMode="External"/><Relationship Id="rId3219" Type="http://schemas.openxmlformats.org/officeDocument/2006/relationships/hyperlink" Target="https://drive.google.com/file/d/1pTco3fHSWx2VA1wMI6uuDU6UBKY4t-a2/view?usp=drivesdk" TargetMode="External"/><Relationship Id="rId689" Type="http://schemas.openxmlformats.org/officeDocument/2006/relationships/hyperlink" Target="https://drive.google.com/file/d/12BPSAA1x3SXmMbyTfEaiaFp5BEgX_Uxe/view?usp=drivesdk" TargetMode="External"/><Relationship Id="rId688" Type="http://schemas.openxmlformats.org/officeDocument/2006/relationships/hyperlink" Target="https://drive.google.com/file/d/1dgnsZsIaV1v8v84-nFlJkREJHRV6zeIR/view?usp=drivesdk" TargetMode="External"/><Relationship Id="rId687" Type="http://schemas.openxmlformats.org/officeDocument/2006/relationships/hyperlink" Target="https://drive.google.com/file/d/1BnXIa2nXB7BVYDMJZg8ElAvTlt-wmuAv/view?usp=drivesdk" TargetMode="External"/><Relationship Id="rId682" Type="http://schemas.openxmlformats.org/officeDocument/2006/relationships/hyperlink" Target="https://drive.google.com/file/d/1Ks2ACcn9C37IugyeiDb-kW5Oi-3B18K1/view?usp=drivesdk" TargetMode="External"/><Relationship Id="rId681" Type="http://schemas.openxmlformats.org/officeDocument/2006/relationships/hyperlink" Target="https://drive.google.com/file/d/1XhUs5Mj6s-yiW6m8MAL1O788ZTKQqvpd/view?usp=drivesdk" TargetMode="External"/><Relationship Id="rId680" Type="http://schemas.openxmlformats.org/officeDocument/2006/relationships/hyperlink" Target="https://drive.google.com/file/d/12MnhiD3KGklvWJbxd3KqBcelYo3TTr1C/view?usp=drivesdk" TargetMode="External"/><Relationship Id="rId3210" Type="http://schemas.openxmlformats.org/officeDocument/2006/relationships/hyperlink" Target="https://drive.google.com/file/d/1QYz87jw43YN-tIKM4AuNEuprnqnbKSAv/view?usp=drivesdk" TargetMode="External"/><Relationship Id="rId4541" Type="http://schemas.openxmlformats.org/officeDocument/2006/relationships/hyperlink" Target="https://drive.google.com/file/d/1GUX20T2kMwHIjrFPmi2Gsw7kNSsYeIoq/view?usp=drivesdk" TargetMode="External"/><Relationship Id="rId4540" Type="http://schemas.openxmlformats.org/officeDocument/2006/relationships/hyperlink" Target="https://drive.google.com/file/d/1Xr7OkbtVTuZDypd9rUVZHQlgzziqoxaj/view?usp=drivesdk" TargetMode="External"/><Relationship Id="rId686" Type="http://schemas.openxmlformats.org/officeDocument/2006/relationships/hyperlink" Target="https://drive.google.com/file/d/1kuiJblOLJetBjd19jC7To-J3K1tTIej4/view?usp=drivesdk" TargetMode="External"/><Relationship Id="rId3212" Type="http://schemas.openxmlformats.org/officeDocument/2006/relationships/hyperlink" Target="https://drive.google.com/file/d/1_RAzcGUXDFtDlSoa7OfGjQ7HWBS-gA0l/view?usp=drivesdk" TargetMode="External"/><Relationship Id="rId4543" Type="http://schemas.openxmlformats.org/officeDocument/2006/relationships/hyperlink" Target="https://drive.google.com/file/d/1CrZlRwVzoTDNCg2EzGin549SD8Y8B_qy/view?usp=drivesdk" TargetMode="External"/><Relationship Id="rId685" Type="http://schemas.openxmlformats.org/officeDocument/2006/relationships/hyperlink" Target="https://drive.google.com/file/d/1SCTAbZNkbalo2_Z3RishZrzf-S7IZu_M/view?usp=drivesdk" TargetMode="External"/><Relationship Id="rId3211" Type="http://schemas.openxmlformats.org/officeDocument/2006/relationships/hyperlink" Target="https://drive.google.com/file/d/1lq54UiAASyiULkBJeXUDJqiO0m_moZ0o/view?usp=drivesdk" TargetMode="External"/><Relationship Id="rId4542" Type="http://schemas.openxmlformats.org/officeDocument/2006/relationships/hyperlink" Target="https://drive.google.com/file/d/1CbtdHnj0UnhBEmTG0D007k3scXcaeCMM/view?usp=drivesdk" TargetMode="External"/><Relationship Id="rId684" Type="http://schemas.openxmlformats.org/officeDocument/2006/relationships/hyperlink" Target="https://drive.google.com/file/d/1cRxBPf2TRl7qxqAyL9f56rPK0RfbhPyw/view?usp=drivesdk" TargetMode="External"/><Relationship Id="rId3214" Type="http://schemas.openxmlformats.org/officeDocument/2006/relationships/hyperlink" Target="https://drive.google.com/file/d/1BbNsSrsrzSQKSIetQaFXw-u-5brpOnxF/view?usp=drivesdk" TargetMode="External"/><Relationship Id="rId4545" Type="http://schemas.openxmlformats.org/officeDocument/2006/relationships/hyperlink" Target="https://drive.google.com/file/d/1or0OaF4LfDrFQF0adMgi6FkMiPzrLk-w/view?usp=drivesdk" TargetMode="External"/><Relationship Id="rId683" Type="http://schemas.openxmlformats.org/officeDocument/2006/relationships/hyperlink" Target="https://drive.google.com/file/d/1-bOjwXhwjzpufQazwBMh9pT2lVSkaodh/view?usp=drivesdk" TargetMode="External"/><Relationship Id="rId3213" Type="http://schemas.openxmlformats.org/officeDocument/2006/relationships/hyperlink" Target="https://drive.google.com/file/d/1St1j5EGetZWgcjtBEOKHo6ZPGTE5o-5s/view?usp=drivesdk" TargetMode="External"/><Relationship Id="rId4544" Type="http://schemas.openxmlformats.org/officeDocument/2006/relationships/hyperlink" Target="https://drive.google.com/file/d/1BDZ4At-u12Lc_c0sxIIPQYQePDZQcaDM/view?usp=drivesdk" TargetMode="External"/><Relationship Id="rId3205" Type="http://schemas.openxmlformats.org/officeDocument/2006/relationships/hyperlink" Target="https://drive.google.com/file/d/1i82YtMHTCnwqLfE909Zzg2gnbdVRPpM0/view?usp=drivesdk" TargetMode="External"/><Relationship Id="rId4536" Type="http://schemas.openxmlformats.org/officeDocument/2006/relationships/hyperlink" Target="https://drive.google.com/file/d/19UVWHdUvnLNHpiBUvVljwkEZLGjdLKIC/view?usp=drivesdk" TargetMode="External"/><Relationship Id="rId3204" Type="http://schemas.openxmlformats.org/officeDocument/2006/relationships/hyperlink" Target="https://drive.google.com/file/d/1Yb0Vf2sqDC7bpU6LPdADpJY8kLdd6vEy/view?usp=drivesdk" TargetMode="External"/><Relationship Id="rId4535" Type="http://schemas.openxmlformats.org/officeDocument/2006/relationships/hyperlink" Target="https://drive.google.com/file/d/1He757CGWtkpnJkbsmgn-mCv8YJsw2l7X/view?usp=drivesdk" TargetMode="External"/><Relationship Id="rId3207" Type="http://schemas.openxmlformats.org/officeDocument/2006/relationships/hyperlink" Target="https://drive.google.com/file/d/1mVjar5zfOVi3XxzKlw2g8ce0nz6_Pg2M/view?usp=drivesdk" TargetMode="External"/><Relationship Id="rId4538" Type="http://schemas.openxmlformats.org/officeDocument/2006/relationships/hyperlink" Target="https://drive.google.com/file/d/1g7btY8_rsuGbcZVmRVOrsShS0TPxF02c/view?usp=drivesdk" TargetMode="External"/><Relationship Id="rId3206" Type="http://schemas.openxmlformats.org/officeDocument/2006/relationships/hyperlink" Target="https://drive.google.com/file/d/1EQJRWNvz7KKrD3MKPkrgU7UJMxJHmmbx/view?usp=drivesdk" TargetMode="External"/><Relationship Id="rId4537" Type="http://schemas.openxmlformats.org/officeDocument/2006/relationships/hyperlink" Target="https://drive.google.com/file/d/1e1oYWg9whMtC595V-Yyw3NLvvZCjgE3E/view?usp=drivesdk" TargetMode="External"/><Relationship Id="rId3209" Type="http://schemas.openxmlformats.org/officeDocument/2006/relationships/hyperlink" Target="https://drive.google.com/file/d/1vPpbB9SO_xvy2rFD2dbh_V0T73RD8avs/view?usp=drivesdk" TargetMode="External"/><Relationship Id="rId3208" Type="http://schemas.openxmlformats.org/officeDocument/2006/relationships/hyperlink" Target="https://drive.google.com/file/d/1vNz-0P-cwZ22zpCRBKtBnJ49X_AR95uI/view?usp=drivesdk" TargetMode="External"/><Relationship Id="rId4539" Type="http://schemas.openxmlformats.org/officeDocument/2006/relationships/hyperlink" Target="https://drive.google.com/file/d/1ISrjDSjpW4n3-7Xtm70gJPEgWnv3iXMW/view?usp=drivesdk" TargetMode="External"/><Relationship Id="rId679" Type="http://schemas.openxmlformats.org/officeDocument/2006/relationships/hyperlink" Target="https://drive.google.com/file/d/1sig-bY8GzVdqMot6K-4vUggWRrN7lXXQ/view?usp=drivesdk" TargetMode="External"/><Relationship Id="rId678" Type="http://schemas.openxmlformats.org/officeDocument/2006/relationships/hyperlink" Target="https://drive.google.com/file/d/1DeiZzmiGAQuC3HknAbXCoY8olXWp-HD1/view?usp=drivesdk" TargetMode="External"/><Relationship Id="rId677" Type="http://schemas.openxmlformats.org/officeDocument/2006/relationships/hyperlink" Target="https://drive.google.com/file/d/1vBlJMIMZW4jp0235GVaFVhZodkZ44rU6/view?usp=drivesdk" TargetMode="External"/><Relationship Id="rId676" Type="http://schemas.openxmlformats.org/officeDocument/2006/relationships/hyperlink" Target="https://drive.google.com/file/d/1xer74eXhJSkpj4GfMlGRvYq0TXcGxQJW/view?usp=drivesdk" TargetMode="External"/><Relationship Id="rId671" Type="http://schemas.openxmlformats.org/officeDocument/2006/relationships/hyperlink" Target="https://drive.google.com/file/d/1F6Woda4idj3Lc4BLHOO_lF2ZiAAnihuS/view?usp=drivesdk" TargetMode="External"/><Relationship Id="rId670" Type="http://schemas.openxmlformats.org/officeDocument/2006/relationships/hyperlink" Target="https://drive.google.com/file/d/1EmC5HjgxpmHoMeq9SEwsogzNbjDvYnnV/view?usp=drivesdk" TargetMode="External"/><Relationship Id="rId4530" Type="http://schemas.openxmlformats.org/officeDocument/2006/relationships/hyperlink" Target="https://drive.google.com/file/d/1rSzr_AnlYIcunOQIkrjJWSSL69rL9yo1/view?usp=drivesdk" TargetMode="External"/><Relationship Id="rId675" Type="http://schemas.openxmlformats.org/officeDocument/2006/relationships/hyperlink" Target="https://drive.google.com/file/d/16nHuOnIUFJ-l5C-owdmG6AxiMxLQnbyn/view?usp=drivesdk" TargetMode="External"/><Relationship Id="rId3201" Type="http://schemas.openxmlformats.org/officeDocument/2006/relationships/hyperlink" Target="https://drive.google.com/file/d/1crFV13zDeE_g8ZUtm4gSPP35xL556rEX/view?usp=drivesdk" TargetMode="External"/><Relationship Id="rId4532" Type="http://schemas.openxmlformats.org/officeDocument/2006/relationships/hyperlink" Target="https://drive.google.com/file/d/1OjHp95-PfdFup6E7QpB_JfqrwY42LIh5/view?usp=drivesdk" TargetMode="External"/><Relationship Id="rId674" Type="http://schemas.openxmlformats.org/officeDocument/2006/relationships/hyperlink" Target="https://drive.google.com/file/d/1RaQqV92NVzlKaPGKFsxOPEl_FeroM8hP/view?usp=drivesdk" TargetMode="External"/><Relationship Id="rId3200" Type="http://schemas.openxmlformats.org/officeDocument/2006/relationships/hyperlink" Target="https://drive.google.com/file/d/1IMCAzWzTdPHEhnvZUl8ntskuliYFaT43/view?usp=drivesdk" TargetMode="External"/><Relationship Id="rId4531" Type="http://schemas.openxmlformats.org/officeDocument/2006/relationships/hyperlink" Target="https://drive.google.com/file/d/1T7c_H4E7WGiwQpnsqO983hmSNPUl2uVm/view?usp=drivesdk" TargetMode="External"/><Relationship Id="rId673" Type="http://schemas.openxmlformats.org/officeDocument/2006/relationships/hyperlink" Target="https://drive.google.com/file/d/1qjcs2UVq9g8xkpp5jmAMOUMpsFQ3EOia/view?usp=drivesdk" TargetMode="External"/><Relationship Id="rId3203" Type="http://schemas.openxmlformats.org/officeDocument/2006/relationships/hyperlink" Target="https://drive.google.com/file/d/1vSgcUaJybM9JOd6ikj-1-c5Y5F8Cbunh/view?usp=drivesdk" TargetMode="External"/><Relationship Id="rId4534" Type="http://schemas.openxmlformats.org/officeDocument/2006/relationships/hyperlink" Target="https://drive.google.com/file/d/1RrlHxqq8eu1_uHeKF5Kw4QOlsvFUmV0E/view?usp=drivesdk" TargetMode="External"/><Relationship Id="rId672" Type="http://schemas.openxmlformats.org/officeDocument/2006/relationships/hyperlink" Target="https://drive.google.com/file/d/1a-gFHMD6r4mLt6KxdjiuQFIqNDpUT4SP/view?usp=drivesdk" TargetMode="External"/><Relationship Id="rId3202" Type="http://schemas.openxmlformats.org/officeDocument/2006/relationships/hyperlink" Target="https://drive.google.com/file/d/12EyJ-7m_ce6Mr1PM5DRQEmQqIyzyM4QW/view?usp=drivesdk" TargetMode="External"/><Relationship Id="rId4533" Type="http://schemas.openxmlformats.org/officeDocument/2006/relationships/hyperlink" Target="https://drive.google.com/file/d/1-l7PuHLsgfJ_0S762xb6WrmykvqiD4m_/view?usp=drivesdk" TargetMode="External"/><Relationship Id="rId190" Type="http://schemas.openxmlformats.org/officeDocument/2006/relationships/hyperlink" Target="https://drive.google.com/file/d/1rBNMnjyu5F9ZQWOiCGPcdH5WS13-pSS2/view?usp=drivesdk" TargetMode="External"/><Relationship Id="rId5019" Type="http://schemas.openxmlformats.org/officeDocument/2006/relationships/hyperlink" Target="https://drive.google.com/file/d/1cjy4XWVmeW6NLDKVjA4gbNv_VAIOUpSd/view?usp=drivesdk" TargetMode="External"/><Relationship Id="rId194" Type="http://schemas.openxmlformats.org/officeDocument/2006/relationships/hyperlink" Target="https://drive.google.com/file/d/1l4bRce3qlzQtmAFUHlPSchucBvz5mqzT/view?usp=drivesdk" TargetMode="External"/><Relationship Id="rId193" Type="http://schemas.openxmlformats.org/officeDocument/2006/relationships/hyperlink" Target="https://drive.google.com/file/d/1aAMFFME1jxARD2YimBzAYYhK2vgUorFo/view?usp=drivesdk" TargetMode="External"/><Relationship Id="rId192" Type="http://schemas.openxmlformats.org/officeDocument/2006/relationships/hyperlink" Target="https://drive.google.com/file/d/1XcYxx8c8b9zRvNDysb9PPTImT_C6XR89/view?usp=drivesdk" TargetMode="External"/><Relationship Id="rId191" Type="http://schemas.openxmlformats.org/officeDocument/2006/relationships/hyperlink" Target="https://drive.google.com/file/d/1ZGhQsUNvOVD1gxU-knGPPHagEewtpSHr/view?usp=drivesdk" TargetMode="External"/><Relationship Id="rId5010" Type="http://schemas.openxmlformats.org/officeDocument/2006/relationships/hyperlink" Target="https://drive.google.com/file/d/1iAridaEOkADQ9VEe9m9LvG4aX-_4dElv/view?usp=drivesdk" TargetMode="External"/><Relationship Id="rId187" Type="http://schemas.openxmlformats.org/officeDocument/2006/relationships/hyperlink" Target="https://drive.google.com/file/d/120e_CfsXTdRa1E6_s4hlMsQm7MPVy1lx/view?usp=drivesdk" TargetMode="External"/><Relationship Id="rId5013" Type="http://schemas.openxmlformats.org/officeDocument/2006/relationships/hyperlink" Target="https://drive.google.com/file/d/1M0pgzuelqraEjGkJN0N6gPSrnwvhiZ6d/view?usp=drivesdk" TargetMode="External"/><Relationship Id="rId186" Type="http://schemas.openxmlformats.org/officeDocument/2006/relationships/hyperlink" Target="https://drive.google.com/file/d/19yWDJ6YsXocqxw8T1aMJgj_BCRqOnnBt/view?usp=drivesdk" TargetMode="External"/><Relationship Id="rId5014" Type="http://schemas.openxmlformats.org/officeDocument/2006/relationships/hyperlink" Target="https://drive.google.com/file/d/1FKmqL5XuT4nq3_tbE4Jy0ciGegp-ioVz/view?usp=drivesdk" TargetMode="External"/><Relationship Id="rId185" Type="http://schemas.openxmlformats.org/officeDocument/2006/relationships/hyperlink" Target="https://drive.google.com/file/d/1jbbh10FM3LwA3r43XkdQmwagFTfAGwEa/view?usp=drivesdk" TargetMode="External"/><Relationship Id="rId5011" Type="http://schemas.openxmlformats.org/officeDocument/2006/relationships/hyperlink" Target="https://drive.google.com/file/d/1O2vzrbA6n0qGeLzx0YP2sC4qPj_IGv0Q/view?usp=drivesdk" TargetMode="External"/><Relationship Id="rId184" Type="http://schemas.openxmlformats.org/officeDocument/2006/relationships/hyperlink" Target="https://drive.google.com/file/d/1QF2-DAx2RsuAZ--OipjX6YVUrDd_wDA2/view?usp=drivesdk" TargetMode="External"/><Relationship Id="rId5012" Type="http://schemas.openxmlformats.org/officeDocument/2006/relationships/hyperlink" Target="https://drive.google.com/file/d/1zfqpPZfTCllFtZcVxCDDKU9NjTX2UspH/view?usp=drivesdk" TargetMode="External"/><Relationship Id="rId5017" Type="http://schemas.openxmlformats.org/officeDocument/2006/relationships/hyperlink" Target="https://drive.google.com/file/d/1pPX3xmUhPS8lWoq4Z-GnNGbbrFlTE3bl/view?usp=drivesdk" TargetMode="External"/><Relationship Id="rId5018" Type="http://schemas.openxmlformats.org/officeDocument/2006/relationships/hyperlink" Target="https://drive.google.com/file/d/12Kq_iPxhIPb798kxyuvsCwlSuTS_5zes/view?usp=drivesdk" TargetMode="External"/><Relationship Id="rId189" Type="http://schemas.openxmlformats.org/officeDocument/2006/relationships/hyperlink" Target="https://drive.google.com/file/d/1yw8rXmFnhzsInfzpZ-IDK3KMVcmzw0KA/view?usp=drivesdk" TargetMode="External"/><Relationship Id="rId5015" Type="http://schemas.openxmlformats.org/officeDocument/2006/relationships/hyperlink" Target="https://drive.google.com/file/d/1pdft2KfzZjXS48Qt77Q7K1gI9X_Lrqfd/view?usp=drivesdk" TargetMode="External"/><Relationship Id="rId188" Type="http://schemas.openxmlformats.org/officeDocument/2006/relationships/hyperlink" Target="https://drive.google.com/file/d/1tkQRNAoOrXoZ1ARj-aO3AJpv3CJf5_tI/view?usp=drivesdk" TargetMode="External"/><Relationship Id="rId5016" Type="http://schemas.openxmlformats.org/officeDocument/2006/relationships/hyperlink" Target="https://drive.google.com/file/d/1vJyFFgWy7ilcyO-_0NfB3Y1OHXfBCsAZ/view?usp=drivesdk" TargetMode="External"/><Relationship Id="rId5008" Type="http://schemas.openxmlformats.org/officeDocument/2006/relationships/hyperlink" Target="https://drive.google.com/file/d/1VOVIlwYVNONFp2QpnYabDpENpIiuAMds/view?usp=drivesdk" TargetMode="External"/><Relationship Id="rId5009" Type="http://schemas.openxmlformats.org/officeDocument/2006/relationships/hyperlink" Target="https://drive.google.com/file/d/13A3y0GVxq-Q7-7ItLcG98k75CGwgB80G/view?usp=drivesdk" TargetMode="External"/><Relationship Id="rId183" Type="http://schemas.openxmlformats.org/officeDocument/2006/relationships/hyperlink" Target="https://drive.google.com/file/d/1XOG_9OPlCg5m4xPqPmcV_I24-c_nsHKH/view?usp=drivesdk" TargetMode="External"/><Relationship Id="rId182" Type="http://schemas.openxmlformats.org/officeDocument/2006/relationships/hyperlink" Target="https://drive.google.com/file/d/1x0nisyUs9Qt0GUYXOzJEDwkLmmgNhl2j/view?usp=drivesdk" TargetMode="External"/><Relationship Id="rId181" Type="http://schemas.openxmlformats.org/officeDocument/2006/relationships/hyperlink" Target="https://drive.google.com/file/d/1QCUDtZiTSmRBCXm5Cbq0cVzDbDwADYFV/view?usp=drivesdk" TargetMode="External"/><Relationship Id="rId180" Type="http://schemas.openxmlformats.org/officeDocument/2006/relationships/hyperlink" Target="https://drive.google.com/file/d/1dD_GIouBqNB74sfrG93WopH2qbjMikfq/view?usp=drivesdk" TargetMode="External"/><Relationship Id="rId176" Type="http://schemas.openxmlformats.org/officeDocument/2006/relationships/hyperlink" Target="https://drive.google.com/file/d/1xTgHu0j0kIxOo9jObpGI75Pj26FJIri_/view?usp=drivesdk" TargetMode="External"/><Relationship Id="rId5002" Type="http://schemas.openxmlformats.org/officeDocument/2006/relationships/hyperlink" Target="https://drive.google.com/file/d/13f249ZD7xLIf4FqZHk0CwsqU2kh9MBj-/view?usp=drivesdk" TargetMode="External"/><Relationship Id="rId175" Type="http://schemas.openxmlformats.org/officeDocument/2006/relationships/hyperlink" Target="https://drive.google.com/file/d/1Yl6pQyVQfqPsrtyZXmsL1GT5spsK0SuJ/view?usp=drivesdk" TargetMode="External"/><Relationship Id="rId5003" Type="http://schemas.openxmlformats.org/officeDocument/2006/relationships/hyperlink" Target="https://drive.google.com/file/d/18QsH1j3ZeEYChvi3zV6_0lCUJkL4WS47/view?usp=drivesdk" TargetMode="External"/><Relationship Id="rId174" Type="http://schemas.openxmlformats.org/officeDocument/2006/relationships/hyperlink" Target="https://drive.google.com/file/d/1ETaVOGKwuuY-MFtTm_DMcvZ4FKQ6hEI0/view?usp=drivesdk" TargetMode="External"/><Relationship Id="rId5000" Type="http://schemas.openxmlformats.org/officeDocument/2006/relationships/hyperlink" Target="https://drive.google.com/file/d/1YYrZaeVglogIFXksAO3ZxxcbJADjLN86/view?usp=drivesdk" TargetMode="External"/><Relationship Id="rId173" Type="http://schemas.openxmlformats.org/officeDocument/2006/relationships/hyperlink" Target="https://drive.google.com/file/d/1GRblsLxtp-qFvPnOAQZ6-aCT2yvtjtN_/view?usp=drivesdk" TargetMode="External"/><Relationship Id="rId5001" Type="http://schemas.openxmlformats.org/officeDocument/2006/relationships/hyperlink" Target="https://drive.google.com/file/d/1KMFUT3wxWKivBFFVv5zHh7a37vXEnsk9/view?usp=drivesdk" TargetMode="External"/><Relationship Id="rId5006" Type="http://schemas.openxmlformats.org/officeDocument/2006/relationships/hyperlink" Target="https://drive.google.com/file/d/1ZSRAh7sjKhZcPWbgpXT32nx37hKRTGmJ/view?usp=drivesdk" TargetMode="External"/><Relationship Id="rId179" Type="http://schemas.openxmlformats.org/officeDocument/2006/relationships/hyperlink" Target="https://drive.google.com/file/d/1U3_JTG4kGLsttbQtXUdBg25PTHjbwRgU/view?usp=drivesdk" TargetMode="External"/><Relationship Id="rId5007" Type="http://schemas.openxmlformats.org/officeDocument/2006/relationships/hyperlink" Target="https://drive.google.com/file/d/1CYMXohM9X8AD69g7kdxiysxWbcGeMs5q/view?usp=drivesdk" TargetMode="External"/><Relationship Id="rId178" Type="http://schemas.openxmlformats.org/officeDocument/2006/relationships/hyperlink" Target="https://drive.google.com/file/d/1DQRRGkgBPVoKsoygs-mKiu-Cd4GEKrAb/view?usp=drivesdk" TargetMode="External"/><Relationship Id="rId5004" Type="http://schemas.openxmlformats.org/officeDocument/2006/relationships/hyperlink" Target="https://drive.google.com/file/d/1yKS35arNh6aSGVv0Ts6iq4hc1ByZaP_A/view?usp=drivesdk" TargetMode="External"/><Relationship Id="rId177" Type="http://schemas.openxmlformats.org/officeDocument/2006/relationships/hyperlink" Target="https://drive.google.com/file/d/1JgF8XHH5O4qiHpGsKue818A8AjK_QWOS/view?usp=drivesdk" TargetMode="External"/><Relationship Id="rId5005" Type="http://schemas.openxmlformats.org/officeDocument/2006/relationships/hyperlink" Target="https://drive.google.com/file/d/15ktnSyF5sBajwvFFkGQGQo_qfvYpK4PC/view?usp=drivesdk" TargetMode="External"/><Relationship Id="rId5031" Type="http://schemas.openxmlformats.org/officeDocument/2006/relationships/hyperlink" Target="https://drive.google.com/file/d/1OB6DnRinfYxpPnwgeIQ3gxbB_mP6o99c/view?usp=drivesdk" TargetMode="External"/><Relationship Id="rId5032" Type="http://schemas.openxmlformats.org/officeDocument/2006/relationships/hyperlink" Target="https://drive.google.com/file/d/1ePbZ7Ob9MnFGila8T2y_YhSw16VSBPxW/view?usp=drivesdk" TargetMode="External"/><Relationship Id="rId5030" Type="http://schemas.openxmlformats.org/officeDocument/2006/relationships/hyperlink" Target="https://drive.google.com/file/d/1yDqEOLethPU1DmcHpq9ox3Oqc-3y1XhO/view?usp=drivesdk" TargetMode="External"/><Relationship Id="rId5035" Type="http://schemas.openxmlformats.org/officeDocument/2006/relationships/hyperlink" Target="https://drive.google.com/file/d/1pHccW9aKKXkVrC8rCcs3EJBuaKZqbcYc/view?usp=drivesdk" TargetMode="External"/><Relationship Id="rId5036" Type="http://schemas.openxmlformats.org/officeDocument/2006/relationships/hyperlink" Target="https://drive.google.com/file/d/1cgU6y7X6GcswDVXrtBvjPMOb3EW7mt-c/view?usp=drivesdk" TargetMode="External"/><Relationship Id="rId5033" Type="http://schemas.openxmlformats.org/officeDocument/2006/relationships/hyperlink" Target="https://drive.google.com/file/d/1UxukunKMwvkIsI0QnaJ0dJahPRVz_rHx/view?usp=drivesdk" TargetMode="External"/><Relationship Id="rId5034" Type="http://schemas.openxmlformats.org/officeDocument/2006/relationships/hyperlink" Target="https://drive.google.com/file/d/13qs6lXRu18B2PVRjWfsfJdEyhSspcDar/view?usp=drivesdk" TargetMode="External"/><Relationship Id="rId5039" Type="http://schemas.openxmlformats.org/officeDocument/2006/relationships/hyperlink" Target="https://drive.google.com/file/d/1H38SMm5HxIErRVbrttdUmtU8q9IygDuG/view?usp=drivesdk" TargetMode="External"/><Relationship Id="rId5037" Type="http://schemas.openxmlformats.org/officeDocument/2006/relationships/hyperlink" Target="https://drive.google.com/file/d/10whECmhY97JwK3S6IWJaXTubHil7BPwv/view?usp=drivesdk" TargetMode="External"/><Relationship Id="rId5038" Type="http://schemas.openxmlformats.org/officeDocument/2006/relationships/hyperlink" Target="https://drive.google.com/file/d/16lIxgNO_R8sobxAKfOlQc8B6pgEFGYFK/view?usp=drivesdk" TargetMode="External"/><Relationship Id="rId5020" Type="http://schemas.openxmlformats.org/officeDocument/2006/relationships/hyperlink" Target="https://drive.google.com/file/d/1M1Cr1s5a0imwhmPBaXCLdcZ3FMp0-Itj/view?usp=drivesdk" TargetMode="External"/><Relationship Id="rId5021" Type="http://schemas.openxmlformats.org/officeDocument/2006/relationships/hyperlink" Target="https://drive.google.com/file/d/1id5yUkU-VkpspYO-VnrtFPKGpNLUQHab/view?usp=drivesdk" TargetMode="External"/><Relationship Id="rId198" Type="http://schemas.openxmlformats.org/officeDocument/2006/relationships/hyperlink" Target="https://drive.google.com/file/d/13l9_8OR2UAgBLUgzaINwvrhOZtMO4Fzc/view?usp=drivesdk" TargetMode="External"/><Relationship Id="rId5024" Type="http://schemas.openxmlformats.org/officeDocument/2006/relationships/hyperlink" Target="https://drive.google.com/file/d/1ls9gh64E987cvmb8rYxZN0n-0LTC0sHw/view?usp=drivesdk" TargetMode="External"/><Relationship Id="rId197" Type="http://schemas.openxmlformats.org/officeDocument/2006/relationships/hyperlink" Target="https://drive.google.com/file/d/1K1s-wGRqAaUPt2MXFoangyuJmyNtuJx0/view?usp=drivesdk" TargetMode="External"/><Relationship Id="rId5025" Type="http://schemas.openxmlformats.org/officeDocument/2006/relationships/hyperlink" Target="https://drive.google.com/file/d/10onMFkx983GwPU3EGfBHeBsgt0EzNcaZ/view?usp=drivesdk" TargetMode="External"/><Relationship Id="rId196" Type="http://schemas.openxmlformats.org/officeDocument/2006/relationships/hyperlink" Target="https://drive.google.com/file/d/1ORrP9nRF-fu7rHJ2bEtmLtHsO_BTHr28/view?usp=drivesdk" TargetMode="External"/><Relationship Id="rId5022" Type="http://schemas.openxmlformats.org/officeDocument/2006/relationships/hyperlink" Target="https://drive.google.com/file/d/1JMwq413nUEj73gpiWFvxmqq2SITPOS8w/view?usp=drivesdk" TargetMode="External"/><Relationship Id="rId195" Type="http://schemas.openxmlformats.org/officeDocument/2006/relationships/hyperlink" Target="https://drive.google.com/file/d/1ik8fDvMHx7EmvGwAXX4H9rPeNee120dP/view?usp=drivesdk" TargetMode="External"/><Relationship Id="rId5023" Type="http://schemas.openxmlformats.org/officeDocument/2006/relationships/hyperlink" Target="https://drive.google.com/file/d/1xplgKS_pa6kZgPglk95vp0EcgaamKfUP/view?usp=drivesdk" TargetMode="External"/><Relationship Id="rId5028" Type="http://schemas.openxmlformats.org/officeDocument/2006/relationships/hyperlink" Target="https://drive.google.com/file/d/1Zygy9bLB-nWF0WVyeYrK6RxHrIs9576-/view?usp=drivesdk" TargetMode="External"/><Relationship Id="rId5029" Type="http://schemas.openxmlformats.org/officeDocument/2006/relationships/hyperlink" Target="https://drive.google.com/file/d/1r0YjJ5EnuidA9fEGdvql-QAxllugPH56/view?usp=drivesdk" TargetMode="External"/><Relationship Id="rId5026" Type="http://schemas.openxmlformats.org/officeDocument/2006/relationships/hyperlink" Target="https://drive.google.com/file/d/11LgdHAAZsXEGUkxDB-U6BHXAMUaa1z7D/view?usp=drivesdk" TargetMode="External"/><Relationship Id="rId199" Type="http://schemas.openxmlformats.org/officeDocument/2006/relationships/hyperlink" Target="https://drive.google.com/file/d/1GuNlU5-GS4FSDnaWZYNY6kBleDoSXwIH/view?usp=drivesdk" TargetMode="External"/><Relationship Id="rId5027" Type="http://schemas.openxmlformats.org/officeDocument/2006/relationships/hyperlink" Target="https://drive.google.com/file/d/1wEHAl1ssbp6Nt_Yzazf4zBA1624Pbj4U/view?usp=drivesdk" TargetMode="External"/><Relationship Id="rId150" Type="http://schemas.openxmlformats.org/officeDocument/2006/relationships/hyperlink" Target="https://drive.google.com/file/d/1AiwKymUgpfJhVNXh3eiUwpECZud0L_fp/view?usp=drivesdk" TargetMode="External"/><Relationship Id="rId149" Type="http://schemas.openxmlformats.org/officeDocument/2006/relationships/hyperlink" Target="https://drive.google.com/file/d/1UL1WkgfhoxDomn1zx80osWkKz3cdyLf7/view?usp=drivesdk" TargetMode="External"/><Relationship Id="rId148" Type="http://schemas.openxmlformats.org/officeDocument/2006/relationships/hyperlink" Target="https://drive.google.com/file/d/1vg5om38UGmQlQgWUUUJt47nHRduA-RsZ/view?usp=drivesdk" TargetMode="External"/><Relationship Id="rId3270" Type="http://schemas.openxmlformats.org/officeDocument/2006/relationships/hyperlink" Target="https://drive.google.com/file/d/1CVqGs3w3GDYZ3e5yVdDLgSNpRW7QuWXb/view?usp=drivesdk" TargetMode="External"/><Relationship Id="rId3272" Type="http://schemas.openxmlformats.org/officeDocument/2006/relationships/hyperlink" Target="https://drive.google.com/file/d/1KMVUUgqUCheo3HcoDxMVvRIaGpbFscLz/view?usp=drivesdk" TargetMode="External"/><Relationship Id="rId3271" Type="http://schemas.openxmlformats.org/officeDocument/2006/relationships/hyperlink" Target="https://drive.google.com/file/d/14OZGwoa-9QAJYKBsJu0DGcES4XHpeeRk/view?usp=drivesdk" TargetMode="External"/><Relationship Id="rId143" Type="http://schemas.openxmlformats.org/officeDocument/2006/relationships/hyperlink" Target="https://drive.google.com/file/d/1_SRokRQ3dCceIrF2ho-yX-b0HjzspVU6/view?usp=drivesdk" TargetMode="External"/><Relationship Id="rId3274" Type="http://schemas.openxmlformats.org/officeDocument/2006/relationships/hyperlink" Target="https://drive.google.com/file/d/1jK_qVw6KlB77MjEV3GjEx6dc2ebOPBtW/view?usp=drivesdk" TargetMode="External"/><Relationship Id="rId142" Type="http://schemas.openxmlformats.org/officeDocument/2006/relationships/hyperlink" Target="https://drive.google.com/file/d/1LyCf1oiQASlLEWWvvp1BLrXUMwqLN_ni/view?usp=drivesdk" TargetMode="External"/><Relationship Id="rId3273" Type="http://schemas.openxmlformats.org/officeDocument/2006/relationships/hyperlink" Target="https://drive.google.com/file/d/197XlIFdsJWKdeMsXYKx7RVOKDIEzZnGT/view?usp=drivesdk" TargetMode="External"/><Relationship Id="rId141" Type="http://schemas.openxmlformats.org/officeDocument/2006/relationships/hyperlink" Target="https://drive.google.com/file/d/1zP-t4YWFRPJetJb_GeAq2d1uaLhGKUwM/view?usp=drivesdk" TargetMode="External"/><Relationship Id="rId3276" Type="http://schemas.openxmlformats.org/officeDocument/2006/relationships/hyperlink" Target="https://drive.google.com/file/d/1n2Im9MScaAqaAcNJP4N4xMmqU9MyqTQj/view?usp=drivesdk" TargetMode="External"/><Relationship Id="rId140" Type="http://schemas.openxmlformats.org/officeDocument/2006/relationships/hyperlink" Target="https://drive.google.com/file/d/1nSGM6bpbbPHDM760FlXTcoYq9YV1n2Fd/view?usp=drivesdk" TargetMode="External"/><Relationship Id="rId3275" Type="http://schemas.openxmlformats.org/officeDocument/2006/relationships/hyperlink" Target="https://drive.google.com/file/d/1EHjxFWZFiOqPdh02cy6WFGQJExnY4OBQ/view?usp=drivesdk" TargetMode="External"/><Relationship Id="rId147" Type="http://schemas.openxmlformats.org/officeDocument/2006/relationships/hyperlink" Target="https://drive.google.com/file/d/1W8zrwcVbkeW84SHzuXLC-uzSpXg9l4U6/view?usp=drivesdk" TargetMode="External"/><Relationship Id="rId3278" Type="http://schemas.openxmlformats.org/officeDocument/2006/relationships/hyperlink" Target="https://drive.google.com/file/d/1ulgMdxxci99pC4tmzZvPo7l3CD_hWAFB/view?usp=drivesdk" TargetMode="External"/><Relationship Id="rId146" Type="http://schemas.openxmlformats.org/officeDocument/2006/relationships/hyperlink" Target="https://drive.google.com/file/d/1GDMjApN6lwc96nMNlXI6Zq2vFaVNV87c/view?usp=drivesdk" TargetMode="External"/><Relationship Id="rId3277" Type="http://schemas.openxmlformats.org/officeDocument/2006/relationships/hyperlink" Target="https://drive.google.com/file/d/1pdPxBkXKtxOL47wdyZe87q0lnTE6u28G/view?usp=drivesdk" TargetMode="External"/><Relationship Id="rId145" Type="http://schemas.openxmlformats.org/officeDocument/2006/relationships/hyperlink" Target="https://drive.google.com/file/d/1TdxbRD9oJLhNS0oDm_Azb5q_mTQFMEJm/view?usp=drivesdk" TargetMode="External"/><Relationship Id="rId144" Type="http://schemas.openxmlformats.org/officeDocument/2006/relationships/hyperlink" Target="https://drive.google.com/file/d/1XCAvC2RrvtDIOMXsG9X4U6HpYpSlvsXO/view?usp=drivesdk" TargetMode="External"/><Relationship Id="rId3279" Type="http://schemas.openxmlformats.org/officeDocument/2006/relationships/hyperlink" Target="https://drive.google.com/file/d/1V_sFs5JHPXWczzyUeQTi1z6yJad6X10h/view?usp=drivesdk" TargetMode="External"/><Relationship Id="rId139" Type="http://schemas.openxmlformats.org/officeDocument/2006/relationships/hyperlink" Target="https://drive.google.com/file/d/1s31U9i7VGhupwDejA2SHS7qik-bcaWkq/view?usp=drivesdk" TargetMode="External"/><Relationship Id="rId138" Type="http://schemas.openxmlformats.org/officeDocument/2006/relationships/hyperlink" Target="https://drive.google.com/file/d/1s62fNNXw62EULX8zMSywWhKuZyRA9d_z/view?usp=drivesdk" TargetMode="External"/><Relationship Id="rId137" Type="http://schemas.openxmlformats.org/officeDocument/2006/relationships/hyperlink" Target="https://drive.google.com/file/d/1yf-ZZCYcEhXkb9x7Dyku4psqOnHGNpBT/view?usp=drivesdk" TargetMode="External"/><Relationship Id="rId4590" Type="http://schemas.openxmlformats.org/officeDocument/2006/relationships/hyperlink" Target="https://drive.google.com/file/d/19BLL9i_FGJutoUXAjH4hyW3Vf-ma8cQL/view?usp=drivesdk" TargetMode="External"/><Relationship Id="rId3261" Type="http://schemas.openxmlformats.org/officeDocument/2006/relationships/hyperlink" Target="https://drive.google.com/file/d/1x4J0Q-6BFaJt5VkcJ21rV5PU-HhoDB5U/view?usp=drivesdk" TargetMode="External"/><Relationship Id="rId4592" Type="http://schemas.openxmlformats.org/officeDocument/2006/relationships/hyperlink" Target="https://drive.google.com/file/d/1l9uefwrIjrXMOX47PTPGVqoApy-22a_r/view?usp=drivesdk" TargetMode="External"/><Relationship Id="rId3260" Type="http://schemas.openxmlformats.org/officeDocument/2006/relationships/hyperlink" Target="https://drive.google.com/file/d/181bObLC0_pZt4AiWc62kT7wv0NjT_SRm/view?usp=drivesdk" TargetMode="External"/><Relationship Id="rId4591" Type="http://schemas.openxmlformats.org/officeDocument/2006/relationships/hyperlink" Target="https://drive.google.com/file/d/1gut5hvoDrYClDxuLyJJ9zjwiyWnT87Ds/view?usp=drivesdk" TargetMode="External"/><Relationship Id="rId132" Type="http://schemas.openxmlformats.org/officeDocument/2006/relationships/hyperlink" Target="https://drive.google.com/file/d/1ZCPSVeoYzepFeNcVgGZlP920ex4vR4qK/view?usp=drivesdk" TargetMode="External"/><Relationship Id="rId3263" Type="http://schemas.openxmlformats.org/officeDocument/2006/relationships/hyperlink" Target="https://drive.google.com/file/d/1x4xiwnsD-_1fF-1VkinacejSVbfYaIIg/view?usp=drivesdk" TargetMode="External"/><Relationship Id="rId4594" Type="http://schemas.openxmlformats.org/officeDocument/2006/relationships/hyperlink" Target="https://drive.google.com/file/d/1u5LqqQaXf_OHEuasNLUZk83Cj9ruApig/view?usp=drivesdk" TargetMode="External"/><Relationship Id="rId131" Type="http://schemas.openxmlformats.org/officeDocument/2006/relationships/hyperlink" Target="https://drive.google.com/file/d/1gbNny19gtdorm4oiobDmLXJMrIi_fYlH/view?usp=drivesdk" TargetMode="External"/><Relationship Id="rId3262" Type="http://schemas.openxmlformats.org/officeDocument/2006/relationships/hyperlink" Target="https://drive.google.com/file/d/1wayDDqEjYbdpU27Mx4UT2T0iD3ej8w7D/view?usp=drivesdk" TargetMode="External"/><Relationship Id="rId4593" Type="http://schemas.openxmlformats.org/officeDocument/2006/relationships/hyperlink" Target="https://drive.google.com/file/d/1OA5xxufojPQecRQGuOg2Nsz04IHn7oBt/view?usp=drivesdk" TargetMode="External"/><Relationship Id="rId130" Type="http://schemas.openxmlformats.org/officeDocument/2006/relationships/hyperlink" Target="https://drive.google.com/file/d/14POX4uZXBo_-lGGkKWycioOFnJSeGMKM/view?usp=drivesdk" TargetMode="External"/><Relationship Id="rId3265" Type="http://schemas.openxmlformats.org/officeDocument/2006/relationships/hyperlink" Target="https://drive.google.com/file/d/1NScUYop7D68hMl6g5F40zhvk3h_AW3bF/view?usp=drivesdk" TargetMode="External"/><Relationship Id="rId4596" Type="http://schemas.openxmlformats.org/officeDocument/2006/relationships/hyperlink" Target="https://drive.google.com/file/d/1xEbVg-5pz15VBGzIosblhsdJyyKuvmYa/view?usp=drivesdk" TargetMode="External"/><Relationship Id="rId3264" Type="http://schemas.openxmlformats.org/officeDocument/2006/relationships/hyperlink" Target="https://drive.google.com/file/d/16Bpx8-jjr4UzFnENPolJXsdeCt_Yi3uv/view?usp=drivesdk" TargetMode="External"/><Relationship Id="rId4595" Type="http://schemas.openxmlformats.org/officeDocument/2006/relationships/hyperlink" Target="https://drive.google.com/file/d/1dVfqZvVRT0heVQNJzP8pkKhRO3VR1ZEV/view?usp=drivesdk" TargetMode="External"/><Relationship Id="rId136" Type="http://schemas.openxmlformats.org/officeDocument/2006/relationships/hyperlink" Target="https://drive.google.com/file/d/1K-wSEKnKpqvrUsG3IrAnUwussVRjhGpQ/view?usp=drivesdk" TargetMode="External"/><Relationship Id="rId3267" Type="http://schemas.openxmlformats.org/officeDocument/2006/relationships/hyperlink" Target="https://drive.google.com/file/d/1jdeCa8QmpEa904h_X1tCT3enhtK8UC5A/view?usp=drivesdk" TargetMode="External"/><Relationship Id="rId4598" Type="http://schemas.openxmlformats.org/officeDocument/2006/relationships/hyperlink" Target="https://drive.google.com/file/d/10Yl912_bXZ3imryjqxG0mkG5TpzDJiTj/view?usp=drivesdk" TargetMode="External"/><Relationship Id="rId135" Type="http://schemas.openxmlformats.org/officeDocument/2006/relationships/hyperlink" Target="https://drive.google.com/file/d/1CEyxkrVrBbWbF8jwHXB9F4JW_pIV_w28/view?usp=drivesdk" TargetMode="External"/><Relationship Id="rId3266" Type="http://schemas.openxmlformats.org/officeDocument/2006/relationships/hyperlink" Target="https://drive.google.com/file/d/1e8Ujoq4GnzbVVwV0az7jUgcFErODsRuc/view?usp=drivesdk" TargetMode="External"/><Relationship Id="rId4597" Type="http://schemas.openxmlformats.org/officeDocument/2006/relationships/hyperlink" Target="https://drive.google.com/file/d/1jZ3RckCfwryCS05X1E4uZyOD4k5I5Jly/view?usp=drivesdk" TargetMode="External"/><Relationship Id="rId134" Type="http://schemas.openxmlformats.org/officeDocument/2006/relationships/hyperlink" Target="https://drive.google.com/file/d/1n_30ZHgnOVyVpwslyruu7liiKgpbtbyZ/view?usp=drivesdk" TargetMode="External"/><Relationship Id="rId3269" Type="http://schemas.openxmlformats.org/officeDocument/2006/relationships/hyperlink" Target="https://drive.google.com/file/d/1N7HYL2FNK2-0s-DifyaXAqWv2zBioorx/view?usp=drivesdk" TargetMode="External"/><Relationship Id="rId133" Type="http://schemas.openxmlformats.org/officeDocument/2006/relationships/hyperlink" Target="https://drive.google.com/file/d/1n2YDe_fBPpMFFLwFqS_M9ZygxYF6o4Gf/view?usp=drivesdk" TargetMode="External"/><Relationship Id="rId3268" Type="http://schemas.openxmlformats.org/officeDocument/2006/relationships/hyperlink" Target="https://drive.google.com/file/d/16SL_aAgyf96Kt5ZhQFnyEII7mneIantc/view?usp=drivesdk" TargetMode="External"/><Relationship Id="rId4599" Type="http://schemas.openxmlformats.org/officeDocument/2006/relationships/hyperlink" Target="https://drive.google.com/file/d/1q-onPEX_Hh4tfxEX6dHCa9zWpCtho3VA/view?usp=drivesdk" TargetMode="External"/><Relationship Id="rId172" Type="http://schemas.openxmlformats.org/officeDocument/2006/relationships/hyperlink" Target="https://drive.google.com/file/d/1SV4e3SBA3qxfc2MnrCG2HwDgO2RHjyPz/view?usp=drivesdk" TargetMode="External"/><Relationship Id="rId171" Type="http://schemas.openxmlformats.org/officeDocument/2006/relationships/hyperlink" Target="https://drive.google.com/file/d/1-RlIUGrP0AsKMYiXXyub3YSVxvkavhWP/view?usp=drivesdk" TargetMode="External"/><Relationship Id="rId170" Type="http://schemas.openxmlformats.org/officeDocument/2006/relationships/hyperlink" Target="https://drive.google.com/file/d/19LBDGFroWkeXfRpMTC_henC_1Yr-Pu1D/view?usp=drivesdk" TargetMode="External"/><Relationship Id="rId3290" Type="http://schemas.openxmlformats.org/officeDocument/2006/relationships/hyperlink" Target="https://drive.google.com/file/d/1StFZ7cO1xpmSVe7eXryffDDxp9B8X0Tw/view?usp=drivesdk" TargetMode="External"/><Relationship Id="rId3292" Type="http://schemas.openxmlformats.org/officeDocument/2006/relationships/hyperlink" Target="https://drive.google.com/file/d/1xs-SMqetvcZot2bXf-QoOUgDMgYTDBsM/view?usp=drivesdk" TargetMode="External"/><Relationship Id="rId3291" Type="http://schemas.openxmlformats.org/officeDocument/2006/relationships/hyperlink" Target="https://drive.google.com/file/d/1ntiSB-ENYgQzmCAAOxmIFMUfd-fZPJZI/view?usp=drivesdk" TargetMode="External"/><Relationship Id="rId3294" Type="http://schemas.openxmlformats.org/officeDocument/2006/relationships/hyperlink" Target="https://drive.google.com/file/d/1Ai1sUY5yVonbYFdg-gmoub9r4Pi096nh/view?usp=drivesdk" TargetMode="External"/><Relationship Id="rId3293" Type="http://schemas.openxmlformats.org/officeDocument/2006/relationships/hyperlink" Target="https://drive.google.com/file/d/1cVLU7MhV_bPGq2yKMjauczIgZoIt2Cn7/view?usp=drivesdk" TargetMode="External"/><Relationship Id="rId165" Type="http://schemas.openxmlformats.org/officeDocument/2006/relationships/hyperlink" Target="https://drive.google.com/file/d/1mtI3BbS5K5rR9LLVVvL9TxsuJSKvzbVX/view?usp=drivesdk" TargetMode="External"/><Relationship Id="rId3296" Type="http://schemas.openxmlformats.org/officeDocument/2006/relationships/hyperlink" Target="https://drive.google.com/file/d/1rzclaZEMTf2lsIJYNOAjw6DHR5Nu3pGW/view?usp=drivesdk" TargetMode="External"/><Relationship Id="rId164" Type="http://schemas.openxmlformats.org/officeDocument/2006/relationships/hyperlink" Target="https://drive.google.com/file/d/1x4xlNCsCEwxxtPHbLuiqgjqpnjbplfvw/view?usp=drivesdk" TargetMode="External"/><Relationship Id="rId3295" Type="http://schemas.openxmlformats.org/officeDocument/2006/relationships/hyperlink" Target="https://drive.google.com/file/d/1VunXXY8MmzCN3XGGDRc-MY5hToHRv6BT/view?usp=drivesdk" TargetMode="External"/><Relationship Id="rId163" Type="http://schemas.openxmlformats.org/officeDocument/2006/relationships/hyperlink" Target="https://drive.google.com/file/d/1PLAUtXfMwqvZ6C63iinX23aJDSoPB5DV/view?usp=drivesdk" TargetMode="External"/><Relationship Id="rId3298" Type="http://schemas.openxmlformats.org/officeDocument/2006/relationships/hyperlink" Target="https://drive.google.com/file/d/1vVEScJYnpMnMA2B35NBym5sTGNCk1_qn/view?usp=drivesdk" TargetMode="External"/><Relationship Id="rId162" Type="http://schemas.openxmlformats.org/officeDocument/2006/relationships/hyperlink" Target="https://drive.google.com/file/d/1aEJ6yp04QEvCKraSdcb5iWCNOBg09rKy/view?usp=drivesdk" TargetMode="External"/><Relationship Id="rId3297" Type="http://schemas.openxmlformats.org/officeDocument/2006/relationships/hyperlink" Target="https://drive.google.com/file/d/17jpjeaIZfOwKoOJk3Qn8vGCArAPR8GOn/view?usp=drivesdk" TargetMode="External"/><Relationship Id="rId169" Type="http://schemas.openxmlformats.org/officeDocument/2006/relationships/hyperlink" Target="https://drive.google.com/file/d/1dZwh5-yF1ItLT9EwXc7J4faltChI2dbP/view?usp=drivesdk" TargetMode="External"/><Relationship Id="rId168" Type="http://schemas.openxmlformats.org/officeDocument/2006/relationships/hyperlink" Target="https://drive.google.com/file/d/14jqcR5wYvAcEotHD0uFuZkwQtMcBJJ5s/view?usp=drivesdk" TargetMode="External"/><Relationship Id="rId3299" Type="http://schemas.openxmlformats.org/officeDocument/2006/relationships/hyperlink" Target="https://drive.google.com/file/d/1xT8Kwsxe9A9QckBUmTDR_bHSvoC52YcK/view?usp=drivesdk" TargetMode="External"/><Relationship Id="rId167" Type="http://schemas.openxmlformats.org/officeDocument/2006/relationships/hyperlink" Target="https://drive.google.com/file/d/1D_lHWuAynZsIdsdyltEwmIjCgYwho82o/view?usp=drivesdk" TargetMode="External"/><Relationship Id="rId166" Type="http://schemas.openxmlformats.org/officeDocument/2006/relationships/hyperlink" Target="https://drive.google.com/file/d/19KyQOqKJ7fzPPfoZ5XLv9c2Dze4RrfSq/view?usp=drivesdk" TargetMode="External"/><Relationship Id="rId161" Type="http://schemas.openxmlformats.org/officeDocument/2006/relationships/hyperlink" Target="https://drive.google.com/file/d/1uKuXxZGV-ubZhvDPn09uVcwGrDZTflxA/view?usp=drivesdk" TargetMode="External"/><Relationship Id="rId160" Type="http://schemas.openxmlformats.org/officeDocument/2006/relationships/hyperlink" Target="https://drive.google.com/file/d/1yewyAviZ0qvQTMWY9ElxWhnSFwoMdRay/view?usp=drivesdk" TargetMode="External"/><Relationship Id="rId159" Type="http://schemas.openxmlformats.org/officeDocument/2006/relationships/hyperlink" Target="https://drive.google.com/file/d/1xNLQbp7un2-vfpFW8xT6EC0roAzJjyKg/view?usp=drivesdk" TargetMode="External"/><Relationship Id="rId3281" Type="http://schemas.openxmlformats.org/officeDocument/2006/relationships/hyperlink" Target="https://drive.google.com/file/d/1OZjB-ygk16rL1x2zyp1LvepbOniJsBWz/view?usp=drivesdk" TargetMode="External"/><Relationship Id="rId3280" Type="http://schemas.openxmlformats.org/officeDocument/2006/relationships/hyperlink" Target="https://drive.google.com/file/d/1RgIHXSMlmfV9uN_ZMi-MOqNaMGVO1Gu2/view?usp=drivesdk" TargetMode="External"/><Relationship Id="rId3283" Type="http://schemas.openxmlformats.org/officeDocument/2006/relationships/hyperlink" Target="https://drive.google.com/file/d/12-2O13cZ5DOQtBCkNuamSHBkn7eok8V4/view?usp=drivesdk" TargetMode="External"/><Relationship Id="rId3282" Type="http://schemas.openxmlformats.org/officeDocument/2006/relationships/hyperlink" Target="https://drive.google.com/file/d/1k37w85QI5HWFqMXB27FyvxnyOB0jfMDZ/view?usp=drivesdk" TargetMode="External"/><Relationship Id="rId154" Type="http://schemas.openxmlformats.org/officeDocument/2006/relationships/hyperlink" Target="https://drive.google.com/file/d/1cPCkowBK7eUJ0VBk8OyXypOO9Bf_i_va/view?usp=drivesdk" TargetMode="External"/><Relationship Id="rId3285" Type="http://schemas.openxmlformats.org/officeDocument/2006/relationships/hyperlink" Target="https://drive.google.com/file/d/1V0J_WyKP829CL2m0WUkNawXFnGZyBZHz/view?usp=drivesdk" TargetMode="External"/><Relationship Id="rId153" Type="http://schemas.openxmlformats.org/officeDocument/2006/relationships/hyperlink" Target="https://drive.google.com/file/d/1EK8xBqZQMWFYWG9fXHRiCvHQNCD0ZN5b/view?usp=drivesdk" TargetMode="External"/><Relationship Id="rId3284" Type="http://schemas.openxmlformats.org/officeDocument/2006/relationships/hyperlink" Target="https://drive.google.com/file/d/1_nRzsWIAZIMvdzXWJmIBht1-Eiz5cObN/view?usp=drivesdk" TargetMode="External"/><Relationship Id="rId152" Type="http://schemas.openxmlformats.org/officeDocument/2006/relationships/hyperlink" Target="https://drive.google.com/file/d/1myqqgmfSecDaCFPpie3I1Kcwbssyftyr/view?usp=drivesdk" TargetMode="External"/><Relationship Id="rId3287" Type="http://schemas.openxmlformats.org/officeDocument/2006/relationships/hyperlink" Target="https://drive.google.com/file/d/1Cs-w4IXUe7zWg7wHT0YnE8HoionpVK6-/view?usp=drivesdk" TargetMode="External"/><Relationship Id="rId151" Type="http://schemas.openxmlformats.org/officeDocument/2006/relationships/hyperlink" Target="https://drive.google.com/file/d/1FlJfzE3MW8Ud9LiaBNr4JSfprVjKXenq/view?usp=drivesdk" TargetMode="External"/><Relationship Id="rId3286" Type="http://schemas.openxmlformats.org/officeDocument/2006/relationships/hyperlink" Target="https://drive.google.com/file/d/1kBpR0vFGQ7aTpS1Po6V6Cemtax6Ez2y7/view?usp=drivesdk" TargetMode="External"/><Relationship Id="rId158" Type="http://schemas.openxmlformats.org/officeDocument/2006/relationships/hyperlink" Target="https://drive.google.com/file/d/1Q7orh3x_7-3Khyw0fIVG2HyUqYnZDgEu/view?usp=drivesdk" TargetMode="External"/><Relationship Id="rId3289" Type="http://schemas.openxmlformats.org/officeDocument/2006/relationships/hyperlink" Target="https://drive.google.com/file/d/1jlzYtmOudcWvLtK0MdYv7r9Z5gtMi9no/view?usp=drivesdk" TargetMode="External"/><Relationship Id="rId157" Type="http://schemas.openxmlformats.org/officeDocument/2006/relationships/hyperlink" Target="https://drive.google.com/file/d/1uCLYvuaLpqoUmL7EpNt1U5y7p0XAGK1m/view?usp=drivesdk" TargetMode="External"/><Relationship Id="rId3288" Type="http://schemas.openxmlformats.org/officeDocument/2006/relationships/hyperlink" Target="https://drive.google.com/file/d/1-b59vkM-fRkRbrPAYyx5zuFzNS4bFogB/view?usp=drivesdk" TargetMode="External"/><Relationship Id="rId156" Type="http://schemas.openxmlformats.org/officeDocument/2006/relationships/hyperlink" Target="https://drive.google.com/file/d/1a71cz1ur5Os-K32SdQdzVwx0YfH1R_YZ/view?usp=drivesdk" TargetMode="External"/><Relationship Id="rId155" Type="http://schemas.openxmlformats.org/officeDocument/2006/relationships/hyperlink" Target="https://drive.google.com/file/d/1Zc5nyoQ-zlvhBfL2JXxMQ1N6v0aksNbP/view?usp=drivesdk" TargetMode="External"/><Relationship Id="rId2820" Type="http://schemas.openxmlformats.org/officeDocument/2006/relationships/hyperlink" Target="https://drive.google.com/file/d/1ULPzHSqMkt0X62eaDvgkhi8Y1HfbGv6Q/view?usp=drivesdk" TargetMode="External"/><Relationship Id="rId2821" Type="http://schemas.openxmlformats.org/officeDocument/2006/relationships/hyperlink" Target="https://drive.google.com/file/d/1-pRu4kNjided39_4BqpQW-ZYvhmx31oZ/view?usp=drivesdk" TargetMode="External"/><Relationship Id="rId2822" Type="http://schemas.openxmlformats.org/officeDocument/2006/relationships/hyperlink" Target="https://drive.google.com/file/d/1ZIqMH-m72o5Oaq3ldhugzeFBLcFnXqf6/view?usp=drivesdk" TargetMode="External"/><Relationship Id="rId2823" Type="http://schemas.openxmlformats.org/officeDocument/2006/relationships/hyperlink" Target="https://drive.google.com/file/d/1o7FnRi4ZMeucrYAJiPeaQ5LWpNXnIu9F/view?usp=drivesdk" TargetMode="External"/><Relationship Id="rId2824" Type="http://schemas.openxmlformats.org/officeDocument/2006/relationships/hyperlink" Target="https://drive.google.com/file/d/1xpAdEBbnRv_BjMlZNGqJZharbvGlDz3T/view?usp=drivesdk" TargetMode="External"/><Relationship Id="rId2825" Type="http://schemas.openxmlformats.org/officeDocument/2006/relationships/hyperlink" Target="https://drive.google.com/file/d/1NEH-aGq5UtLkHkZBzG0IIczyTGK8ZKoy/view?usp=drivesdk" TargetMode="External"/><Relationship Id="rId2826" Type="http://schemas.openxmlformats.org/officeDocument/2006/relationships/hyperlink" Target="https://drive.google.com/file/d/1MvSG8SN1VJbkEAn56qR2-b5Tzeo5pZZq/view?usp=drivesdk" TargetMode="External"/><Relationship Id="rId2827" Type="http://schemas.openxmlformats.org/officeDocument/2006/relationships/hyperlink" Target="https://drive.google.com/file/d/1ZA9IaYlwoRWBbRogbpkt94j2IdtCFsZd/view?usp=drivesdk" TargetMode="External"/><Relationship Id="rId2828" Type="http://schemas.openxmlformats.org/officeDocument/2006/relationships/hyperlink" Target="https://drive.google.com/file/d/1XXD_8JaU1vliRGhwaUS7xuSJjv6zg8Zo/view?usp=drivesdk" TargetMode="External"/><Relationship Id="rId2829" Type="http://schemas.openxmlformats.org/officeDocument/2006/relationships/hyperlink" Target="https://drive.google.com/file/d/17MW2xkaV2EbAMUbPsrxOsyaVeueKvpPM/view?usp=drivesdk" TargetMode="External"/><Relationship Id="rId5093" Type="http://schemas.openxmlformats.org/officeDocument/2006/relationships/hyperlink" Target="https://drive.google.com/file/d/1pKkxVRnEdaqJ9-dFija6HpVHRcGsP-fR/view?usp=drivesdk" TargetMode="External"/><Relationship Id="rId5094" Type="http://schemas.openxmlformats.org/officeDocument/2006/relationships/hyperlink" Target="https://drive.google.com/file/d/1Bxn1qpHy2lMfdDQ67p7U78YGk4nxw1s4/view?usp=drivesdk" TargetMode="External"/><Relationship Id="rId5091" Type="http://schemas.openxmlformats.org/officeDocument/2006/relationships/hyperlink" Target="https://drive.google.com/file/d/1uJ5uWa7sjTbwZ8hYWa_Jt-vH_iyrse7G/view?usp=drivesdk" TargetMode="External"/><Relationship Id="rId5092" Type="http://schemas.openxmlformats.org/officeDocument/2006/relationships/hyperlink" Target="https://drive.google.com/file/d/1nhPIRlC20ZmJK2OQdfPNrn9O-Oe4Mj7R/view?usp=drivesdk" TargetMode="External"/><Relationship Id="rId5097" Type="http://schemas.openxmlformats.org/officeDocument/2006/relationships/hyperlink" Target="https://drive.google.com/file/d/1uqyJBEtlTjIzD0-mEcOWim_xr5bg4qzV/view?usp=drivesdk" TargetMode="External"/><Relationship Id="rId5098" Type="http://schemas.openxmlformats.org/officeDocument/2006/relationships/hyperlink" Target="https://drive.google.com/file/d/1WQEuVrDcIIGXFXm3D9nY6fV40dYqJotm/view?usp=drivesdk" TargetMode="External"/><Relationship Id="rId5095" Type="http://schemas.openxmlformats.org/officeDocument/2006/relationships/hyperlink" Target="https://drive.google.com/file/d/17C5CLtsm-SP7sWz43r2N3-WfuBkegx1I/view?usp=drivesdk" TargetMode="External"/><Relationship Id="rId5096" Type="http://schemas.openxmlformats.org/officeDocument/2006/relationships/hyperlink" Target="https://drive.google.com/file/d/1G-ax1CoecHeo4mnd9uheNMTkZTHENGQc/view?usp=drivesdk" TargetMode="External"/><Relationship Id="rId5099" Type="http://schemas.openxmlformats.org/officeDocument/2006/relationships/hyperlink" Target="https://drive.google.com/file/d/1CZPzr5Gb4dYQKl23X0SBgeASKNjlXN4M/view?usp=drivesdk" TargetMode="External"/><Relationship Id="rId2810" Type="http://schemas.openxmlformats.org/officeDocument/2006/relationships/hyperlink" Target="https://drive.google.com/file/d/1rjVNcQdFx4WcDcIk1QOcvts7Lk23qCpg/view?usp=drivesdk" TargetMode="External"/><Relationship Id="rId2811" Type="http://schemas.openxmlformats.org/officeDocument/2006/relationships/hyperlink" Target="https://drive.google.com/file/d/1ofJ5ntAP2rDCUPHlt2_CB8DYREH44qIr/view?usp=drivesdk" TargetMode="External"/><Relationship Id="rId2812" Type="http://schemas.openxmlformats.org/officeDocument/2006/relationships/hyperlink" Target="https://drive.google.com/file/d/1Pdrq58Z0r96D8BITmf3LWhfMeZUFtvw-/view?usp=drivesdk" TargetMode="External"/><Relationship Id="rId2813" Type="http://schemas.openxmlformats.org/officeDocument/2006/relationships/hyperlink" Target="https://drive.google.com/file/d/1CtZYg6FIrYeed4tbv7KhGayw-TujTj-k/view?usp=drivesdk" TargetMode="External"/><Relationship Id="rId2814" Type="http://schemas.openxmlformats.org/officeDocument/2006/relationships/hyperlink" Target="https://drive.google.com/file/d/1T5cHChaq4J7YPs-C9IeU9mpbZpNUIL5C/view?usp=drivesdk" TargetMode="External"/><Relationship Id="rId2815" Type="http://schemas.openxmlformats.org/officeDocument/2006/relationships/hyperlink" Target="https://drive.google.com/file/d/1phIB5reKzBWFBSu9DjuKE5oI3M_DwimL/view?usp=drivesdk" TargetMode="External"/><Relationship Id="rId2816" Type="http://schemas.openxmlformats.org/officeDocument/2006/relationships/hyperlink" Target="https://drive.google.com/file/d/1mHI0kKsBvJS771FP_vHnIznlYC1s2a6Z/view?usp=drivesdk" TargetMode="External"/><Relationship Id="rId2817" Type="http://schemas.openxmlformats.org/officeDocument/2006/relationships/hyperlink" Target="https://drive.google.com/file/d/1y282Pjkvwges1IXCXj5bi7l8odIrl2wO/view?usp=drivesdk" TargetMode="External"/><Relationship Id="rId2818" Type="http://schemas.openxmlformats.org/officeDocument/2006/relationships/hyperlink" Target="https://drive.google.com/file/d/1Z9ZuMmnn3TFzWf1f8SArGG5kTtbCUYgv/view?usp=drivesdk" TargetMode="External"/><Relationship Id="rId2819" Type="http://schemas.openxmlformats.org/officeDocument/2006/relationships/hyperlink" Target="https://drive.google.com/file/d/16hUn4fvYICXazeuaoLfHi4-ctf2-BmFh/view?usp=drivesdk" TargetMode="External"/><Relationship Id="rId5090" Type="http://schemas.openxmlformats.org/officeDocument/2006/relationships/hyperlink" Target="https://drive.google.com/file/d/1ZPf76Iye9ihsi0J1AWq5i38Q6zxdUz1-/view?usp=drivesdk" TargetMode="External"/><Relationship Id="rId5082" Type="http://schemas.openxmlformats.org/officeDocument/2006/relationships/hyperlink" Target="https://drive.google.com/file/d/1GzmrbTEMi1Ct2sDnre0CH2s_xlrnw-52/view?usp=drivesdk" TargetMode="External"/><Relationship Id="rId5083" Type="http://schemas.openxmlformats.org/officeDocument/2006/relationships/hyperlink" Target="https://drive.google.com/file/d/153wn0WVlW_FZUxScqASeODXT8lNPfZJj/view?usp=drivesdk" TargetMode="External"/><Relationship Id="rId5080" Type="http://schemas.openxmlformats.org/officeDocument/2006/relationships/hyperlink" Target="https://drive.google.com/file/d/1TkhRDHmM0Nqgb9lDEqJXD0-Me7FJGhrO/view?usp=drivesdk" TargetMode="External"/><Relationship Id="rId5081" Type="http://schemas.openxmlformats.org/officeDocument/2006/relationships/hyperlink" Target="https://drive.google.com/file/d/1NTk1TZLUla6cQEhmbzWE03E_mGxK7R8w/view?usp=drivesdk" TargetMode="External"/><Relationship Id="rId5086" Type="http://schemas.openxmlformats.org/officeDocument/2006/relationships/hyperlink" Target="https://drive.google.com/file/d/1hzDP1XHZsZQ2Q9cI-z10FLkEBa94SgNZ/view?usp=drivesdk" TargetMode="External"/><Relationship Id="rId5087" Type="http://schemas.openxmlformats.org/officeDocument/2006/relationships/hyperlink" Target="https://drive.google.com/file/d/136p-5PEwm53_WV0kE6cSQnAT8-17GR43/view?usp=drivesdk" TargetMode="External"/><Relationship Id="rId5084" Type="http://schemas.openxmlformats.org/officeDocument/2006/relationships/hyperlink" Target="https://drive.google.com/file/d/1MZhJY7-yOsx7oDk071O_rU2ILb3J45Og/view?usp=drivesdk" TargetMode="External"/><Relationship Id="rId5085" Type="http://schemas.openxmlformats.org/officeDocument/2006/relationships/hyperlink" Target="https://drive.google.com/file/d/1lNTWHbvDoKe_43QpeCQUcU6KBy3JR0ih/view?usp=drivesdk" TargetMode="External"/><Relationship Id="rId5088" Type="http://schemas.openxmlformats.org/officeDocument/2006/relationships/hyperlink" Target="https://drive.google.com/file/d/1NiEck2uzihVTrxLXB0lLUjPL-IfGYtAH/view?usp=drivesdk" TargetMode="External"/><Relationship Id="rId5089" Type="http://schemas.openxmlformats.org/officeDocument/2006/relationships/hyperlink" Target="https://drive.google.com/file/d/15xy6ZWTC-drgHkhgyHn_FinHF1il0IyL/view?usp=drivesdk" TargetMode="External"/><Relationship Id="rId1510" Type="http://schemas.openxmlformats.org/officeDocument/2006/relationships/hyperlink" Target="https://drive.google.com/file/d/1Qbuc-_uqONDCFbiWHWh9ycLm938ypsbs/view?usp=drivesdk" TargetMode="External"/><Relationship Id="rId2841" Type="http://schemas.openxmlformats.org/officeDocument/2006/relationships/hyperlink" Target="https://drive.google.com/file/d/1toCDkeJr4bquQvg-exWDkYEUz0ci7XEW/view?usp=drivesdk" TargetMode="External"/><Relationship Id="rId1511" Type="http://schemas.openxmlformats.org/officeDocument/2006/relationships/hyperlink" Target="https://drive.google.com/file/d/1_hR9Rs9qAqwaxFrgsIblBgiHos3QnoFi/view?usp=drivesdk" TargetMode="External"/><Relationship Id="rId2842" Type="http://schemas.openxmlformats.org/officeDocument/2006/relationships/hyperlink" Target="https://drive.google.com/file/d/1qrN0ON9212Fg3W0RUr8pijM1d0mmx5Du/view?usp=drivesdk" TargetMode="External"/><Relationship Id="rId1512" Type="http://schemas.openxmlformats.org/officeDocument/2006/relationships/hyperlink" Target="https://drive.google.com/file/d/1UN48YD50ZA6EgxJQK2PpL9eiMFS58gKG/view?usp=drivesdk" TargetMode="External"/><Relationship Id="rId2843" Type="http://schemas.openxmlformats.org/officeDocument/2006/relationships/hyperlink" Target="https://drive.google.com/file/d/1BkuGSBgQhHFrZ_14fKd2wx0xhDiPjrqH/view?usp=drivesdk" TargetMode="External"/><Relationship Id="rId1513" Type="http://schemas.openxmlformats.org/officeDocument/2006/relationships/hyperlink" Target="https://drive.google.com/file/d/1I1G6YiBKvdR4V9v1YFQaFSLNaubD_rD_/view?usp=drivesdk" TargetMode="External"/><Relationship Id="rId2844" Type="http://schemas.openxmlformats.org/officeDocument/2006/relationships/hyperlink" Target="https://drive.google.com/file/d/1Q_oYvEPAAmaOpPKgE3Y0DwekEmuQTHPo/view?usp=drivesdk" TargetMode="External"/><Relationship Id="rId1514" Type="http://schemas.openxmlformats.org/officeDocument/2006/relationships/hyperlink" Target="https://drive.google.com/file/d/1fSJe8FsfLmVnzjDl0DQO7gfWd8hxJfSR/view?usp=drivesdk" TargetMode="External"/><Relationship Id="rId2845" Type="http://schemas.openxmlformats.org/officeDocument/2006/relationships/hyperlink" Target="https://drive.google.com/file/d/1R_6VOUi-pw9nau0iyIS4tiqpdFNwpqjt/view?usp=drivesdk" TargetMode="External"/><Relationship Id="rId1515" Type="http://schemas.openxmlformats.org/officeDocument/2006/relationships/hyperlink" Target="https://drive.google.com/file/d/16YJOURV5sBaVwOQiwln0rbMMzcYBB6TL/view?usp=drivesdk" TargetMode="External"/><Relationship Id="rId2846" Type="http://schemas.openxmlformats.org/officeDocument/2006/relationships/hyperlink" Target="https://drive.google.com/file/d/1yuLRoYY-0N0XAUb_TR50QJIhxijhVXdO/view?usp=drivesdk" TargetMode="External"/><Relationship Id="rId1516" Type="http://schemas.openxmlformats.org/officeDocument/2006/relationships/hyperlink" Target="https://drive.google.com/file/d/1ud7wMrqpkNTtZkNGa16Pqar3Txx7iBvw/view?usp=drivesdk" TargetMode="External"/><Relationship Id="rId2847" Type="http://schemas.openxmlformats.org/officeDocument/2006/relationships/hyperlink" Target="https://drive.google.com/file/d/1VhjM5UOY7tC91dPe8kbCEf1gHDPbXfDn/view?usp=drivesdk" TargetMode="External"/><Relationship Id="rId1517" Type="http://schemas.openxmlformats.org/officeDocument/2006/relationships/hyperlink" Target="https://drive.google.com/file/d/16PqwfsiPj8Ef4ds52Qb4FOy-GtWu36MA/view?usp=drivesdk" TargetMode="External"/><Relationship Id="rId2848" Type="http://schemas.openxmlformats.org/officeDocument/2006/relationships/hyperlink" Target="https://drive.google.com/file/d/1x7zDD68Luf3wROIREpHRudpIymQ-iEyT/view?usp=drivesdk" TargetMode="External"/><Relationship Id="rId1518" Type="http://schemas.openxmlformats.org/officeDocument/2006/relationships/hyperlink" Target="https://drive.google.com/file/d/10ypFsPIxSzDb3_GHl-LsWc-wDzHppODe/view?usp=drivesdk" TargetMode="External"/><Relationship Id="rId2849" Type="http://schemas.openxmlformats.org/officeDocument/2006/relationships/hyperlink" Target="https://drive.google.com/file/d/1LpUDqT3UkP_vdUFqTUpmVqOqRNy_IE4Q/view?usp=drivesdk" TargetMode="External"/><Relationship Id="rId1519" Type="http://schemas.openxmlformats.org/officeDocument/2006/relationships/hyperlink" Target="https://drive.google.com/file/d/1SddjfOVWNgZS34ckHPkT9_MYIAvigibT/view?usp=drivesdk" TargetMode="External"/><Relationship Id="rId2840" Type="http://schemas.openxmlformats.org/officeDocument/2006/relationships/hyperlink" Target="https://drive.google.com/file/d/1ftWJMn4HxSxVAdg3PdXm4qym-AoFz6Rx/view?usp=drivesdk" TargetMode="External"/><Relationship Id="rId2830" Type="http://schemas.openxmlformats.org/officeDocument/2006/relationships/hyperlink" Target="https://drive.google.com/file/d/1yB2qSJE-o4xR5DCapR6y73RDorKt8oOg/view?usp=drivesdk" TargetMode="External"/><Relationship Id="rId1500" Type="http://schemas.openxmlformats.org/officeDocument/2006/relationships/hyperlink" Target="https://drive.google.com/file/d/1yow6_GpDKQTh5sEu-H1bp3eq4xizco59/view?usp=drivesdk" TargetMode="External"/><Relationship Id="rId2831" Type="http://schemas.openxmlformats.org/officeDocument/2006/relationships/hyperlink" Target="https://drive.google.com/file/d/1UIqUwjL9umdAxhOjYJGqvv7QPHCRVnG5/view?usp=drivesdk" TargetMode="External"/><Relationship Id="rId1501" Type="http://schemas.openxmlformats.org/officeDocument/2006/relationships/hyperlink" Target="https://drive.google.com/file/d/1nb7vk5kpPnwY_HQccecCWF5MlO4-pqOV/view?usp=drivesdk" TargetMode="External"/><Relationship Id="rId2832" Type="http://schemas.openxmlformats.org/officeDocument/2006/relationships/hyperlink" Target="https://drive.google.com/file/d/1PPKZC8uubKGOVnwCM0kCu1Ay72O8V72y/view?usp=drivesdk" TargetMode="External"/><Relationship Id="rId1502" Type="http://schemas.openxmlformats.org/officeDocument/2006/relationships/hyperlink" Target="https://drive.google.com/file/d/1LSh0XqZgkzxuaOlDN8V3I53wEc208mam/view?usp=drivesdk" TargetMode="External"/><Relationship Id="rId2833" Type="http://schemas.openxmlformats.org/officeDocument/2006/relationships/hyperlink" Target="https://drive.google.com/file/d/1w9v2nIjaoq17IYQGthq_jfF0GkMOccfG/view?usp=drivesdk" TargetMode="External"/><Relationship Id="rId1503" Type="http://schemas.openxmlformats.org/officeDocument/2006/relationships/hyperlink" Target="https://drive.google.com/file/d/1MNyMN_AufhCfF1LdtgW12TJTGfFqTdmF/view?usp=drivesdk" TargetMode="External"/><Relationship Id="rId2834" Type="http://schemas.openxmlformats.org/officeDocument/2006/relationships/hyperlink" Target="https://drive.google.com/file/d/1f3EEM6EOw5c2kgb1E-nWIcc2h2euXKLe/view?usp=drivesdk" TargetMode="External"/><Relationship Id="rId1504" Type="http://schemas.openxmlformats.org/officeDocument/2006/relationships/hyperlink" Target="https://drive.google.com/file/d/1hUwgHLkUVg2luT-VpLCOJ0hwPgvPEmlZ/view?usp=drivesdk" TargetMode="External"/><Relationship Id="rId2835" Type="http://schemas.openxmlformats.org/officeDocument/2006/relationships/hyperlink" Target="https://drive.google.com/file/d/1UNRnXQv5x_dZQnNDZetHNY6hoYsaPJ16/view?usp=drivesdk" TargetMode="External"/><Relationship Id="rId1505" Type="http://schemas.openxmlformats.org/officeDocument/2006/relationships/hyperlink" Target="https://drive.google.com/file/d/1unmy6198Qcsc35T_Z6Y7Y_FNz4p5YRSh/view?usp=drivesdk" TargetMode="External"/><Relationship Id="rId2836" Type="http://schemas.openxmlformats.org/officeDocument/2006/relationships/hyperlink" Target="https://drive.google.com/file/d/12BwdhUZtQszA8qUAUIpcGmeP8_YzvqbS/view?usp=drivesdk" TargetMode="External"/><Relationship Id="rId1506" Type="http://schemas.openxmlformats.org/officeDocument/2006/relationships/hyperlink" Target="https://drive.google.com/file/d/1IApZswhFrbZQCSbd_eh2WaAgiERXMC-D/view?usp=drivesdk" TargetMode="External"/><Relationship Id="rId2837" Type="http://schemas.openxmlformats.org/officeDocument/2006/relationships/hyperlink" Target="https://drive.google.com/file/d/1VMOmNsqVOs7Wl0NG3MhAZG802XQLoNWQ/view?usp=drivesdk" TargetMode="External"/><Relationship Id="rId1507" Type="http://schemas.openxmlformats.org/officeDocument/2006/relationships/hyperlink" Target="https://drive.google.com/file/d/1-r_IzAEJ8eqDVPiJgTJ33_naaYJBCfRU/view?usp=drivesdk" TargetMode="External"/><Relationship Id="rId2838" Type="http://schemas.openxmlformats.org/officeDocument/2006/relationships/hyperlink" Target="https://drive.google.com/file/d/1yF5wWSpIzdbroAsoMxwe8DHbPzHQMXF-/view?usp=drivesdk" TargetMode="External"/><Relationship Id="rId1508" Type="http://schemas.openxmlformats.org/officeDocument/2006/relationships/hyperlink" Target="https://drive.google.com/file/d/1HdQjKNdIlBgDKrSz_jSFav1ZLvwTZcyQ/view?usp=drivesdk" TargetMode="External"/><Relationship Id="rId2839" Type="http://schemas.openxmlformats.org/officeDocument/2006/relationships/hyperlink" Target="https://drive.google.com/file/d/1P99EJVvc34iOK7XzQAIIFPrQEL8phzMp/view?usp=drivesdk" TargetMode="External"/><Relationship Id="rId1509" Type="http://schemas.openxmlformats.org/officeDocument/2006/relationships/hyperlink" Target="https://drive.google.com/file/d/1VB_ko5beLjftxKj9oh7QBr0FO4JYByaH/view?usp=drivesdk" TargetMode="External"/><Relationship Id="rId5050" Type="http://schemas.openxmlformats.org/officeDocument/2006/relationships/hyperlink" Target="https://drive.google.com/file/d/1j07ICvRo-glF5iXGnReHlW-0keIbxfHd/view?usp=drivesdk" TargetMode="External"/><Relationship Id="rId5053" Type="http://schemas.openxmlformats.org/officeDocument/2006/relationships/hyperlink" Target="https://drive.google.com/file/d/1OFNnl1GPGyEmukvs1JlHWHaO6mHIgDE1/view?usp=drivesdk" TargetMode="External"/><Relationship Id="rId5054" Type="http://schemas.openxmlformats.org/officeDocument/2006/relationships/hyperlink" Target="https://drive.google.com/file/d/150d-j_LoEEM9X7AdpK3sfwaoe0cdPaTI/view?usp=drivesdk" TargetMode="External"/><Relationship Id="rId5051" Type="http://schemas.openxmlformats.org/officeDocument/2006/relationships/hyperlink" Target="https://drive.google.com/file/d/1CZdJHIlMeLs9BiEXwJeH7BCxQke71UcC/view?usp=drivesdk" TargetMode="External"/><Relationship Id="rId5052" Type="http://schemas.openxmlformats.org/officeDocument/2006/relationships/hyperlink" Target="https://drive.google.com/file/d/18QD05zUIeJzz-urT4Xn4UxgwU3dqTp30/view?usp=drivesdk" TargetMode="External"/><Relationship Id="rId5057" Type="http://schemas.openxmlformats.org/officeDocument/2006/relationships/hyperlink" Target="https://drive.google.com/file/d/1Hr8j-Nmy1AfABKQIsXnNOfGgvkDWKpP3/view?usp=drivesdk" TargetMode="External"/><Relationship Id="rId5058" Type="http://schemas.openxmlformats.org/officeDocument/2006/relationships/hyperlink" Target="https://drive.google.com/file/d/1RiY_2K4sEER6fgSGx-sMwxJxr4R_NSC8/view?usp=drivesdk" TargetMode="External"/><Relationship Id="rId5055" Type="http://schemas.openxmlformats.org/officeDocument/2006/relationships/hyperlink" Target="https://drive.google.com/file/d/1C3M0zV6akvY0i53bXFcMPr0fIo0I_qSX/view?usp=drivesdk" TargetMode="External"/><Relationship Id="rId5056" Type="http://schemas.openxmlformats.org/officeDocument/2006/relationships/hyperlink" Target="https://drive.google.com/file/d/1u2wNculy4fpkIf5g8V_8h00Cv4PLTfj1/view?usp=drivesdk" TargetMode="External"/><Relationship Id="rId5059" Type="http://schemas.openxmlformats.org/officeDocument/2006/relationships/hyperlink" Target="https://drive.google.com/file/d/1w_RDDreRZL_iDN9koud3Z2u3IgR5Ia54/view?usp=drivesdk" TargetMode="External"/><Relationship Id="rId5042" Type="http://schemas.openxmlformats.org/officeDocument/2006/relationships/hyperlink" Target="https://drive.google.com/file/d/19l7f1eMz4pxNr2dP7MTrueV8ulwLG_tt/view?usp=drivesdk" TargetMode="External"/><Relationship Id="rId5043" Type="http://schemas.openxmlformats.org/officeDocument/2006/relationships/hyperlink" Target="https://drive.google.com/file/d/1pavURb9RwW9bzRxkij9jzsnO4gZXzdM3/view?usp=drivesdk" TargetMode="External"/><Relationship Id="rId5040" Type="http://schemas.openxmlformats.org/officeDocument/2006/relationships/hyperlink" Target="https://drive.google.com/file/d/12uzUHBl8tpArVddNA0NGIb-ChlyEq1vQ/view?usp=drivesdk" TargetMode="External"/><Relationship Id="rId5041" Type="http://schemas.openxmlformats.org/officeDocument/2006/relationships/hyperlink" Target="https://drive.google.com/file/d/1-fNEQzsgdiNrc-2XUNFeo5NIGUmYnZNH/view?usp=drivesdk" TargetMode="External"/><Relationship Id="rId5046" Type="http://schemas.openxmlformats.org/officeDocument/2006/relationships/hyperlink" Target="https://drive.google.com/file/d/1y3_9-ngk4z8hVZbbJKt5-ghz4a_lfBg9/view?usp=drivesdk" TargetMode="External"/><Relationship Id="rId5047" Type="http://schemas.openxmlformats.org/officeDocument/2006/relationships/hyperlink" Target="https://drive.google.com/file/d/1ddhV673cKg-yTGqGR8I8ufv-ly6dXHuT/view?usp=drivesdk" TargetMode="External"/><Relationship Id="rId5044" Type="http://schemas.openxmlformats.org/officeDocument/2006/relationships/hyperlink" Target="https://drive.google.com/file/d/1DXSHEWoMjbk94KsFhJqefQRlyAvR0cBU/view?usp=drivesdk" TargetMode="External"/><Relationship Id="rId5045" Type="http://schemas.openxmlformats.org/officeDocument/2006/relationships/hyperlink" Target="https://drive.google.com/file/d/1MlaGFzd4-U6QpXDWc0VV8w8jUZOZChuV/view?usp=drivesdk" TargetMode="External"/><Relationship Id="rId5048" Type="http://schemas.openxmlformats.org/officeDocument/2006/relationships/hyperlink" Target="https://drive.google.com/file/d/111eQtoPPo5oL9TmT0K4EkmO37vfv5VkP/view?usp=drivesdk" TargetMode="External"/><Relationship Id="rId5049" Type="http://schemas.openxmlformats.org/officeDocument/2006/relationships/hyperlink" Target="https://drive.google.com/file/d/1ZUxgmLZ1lcs8VdifEmbPULpxM7fxkZ_A/view?usp=drivesdk" TargetMode="External"/><Relationship Id="rId2800" Type="http://schemas.openxmlformats.org/officeDocument/2006/relationships/hyperlink" Target="https://drive.google.com/file/d/1Egzteq8AsKPJnoRkM3vKCKCnaV3id4CN/view?usp=drivesdk" TargetMode="External"/><Relationship Id="rId2801" Type="http://schemas.openxmlformats.org/officeDocument/2006/relationships/hyperlink" Target="https://drive.google.com/file/d/106TGRKeUKlnNTK76cjxE20IIWOz2U64x/view?usp=drivesdk" TargetMode="External"/><Relationship Id="rId2802" Type="http://schemas.openxmlformats.org/officeDocument/2006/relationships/hyperlink" Target="https://drive.google.com/file/d/1q0awumCNjkd9lr6UJRHd0y__Jckx7Yx7/view?usp=drivesdk" TargetMode="External"/><Relationship Id="rId2803" Type="http://schemas.openxmlformats.org/officeDocument/2006/relationships/hyperlink" Target="https://drive.google.com/file/d/1soMKojxUHCFQpxPc1NOfvxBOHmQl1gjn/view?usp=drivesdk" TargetMode="External"/><Relationship Id="rId2804" Type="http://schemas.openxmlformats.org/officeDocument/2006/relationships/hyperlink" Target="https://drive.google.com/file/d/1oSw04O8CPkpOG4PnWv7M4LEczApgJjH2/view?usp=drivesdk" TargetMode="External"/><Relationship Id="rId2805" Type="http://schemas.openxmlformats.org/officeDocument/2006/relationships/hyperlink" Target="https://drive.google.com/file/d/1pyPzOckfv-gxz5xYloYUcqrI-RXtVCKO/view?usp=drivesdk" TargetMode="External"/><Relationship Id="rId2806" Type="http://schemas.openxmlformats.org/officeDocument/2006/relationships/hyperlink" Target="https://drive.google.com/file/d/12zUBGaEO4FuH2Ks-P9hgBm-b_6Z8KvcO/view?usp=drivesdk" TargetMode="External"/><Relationship Id="rId2807" Type="http://schemas.openxmlformats.org/officeDocument/2006/relationships/hyperlink" Target="https://drive.google.com/file/d/1Dt5o5PXLR7QdMg7DW0Zw4xkLE-3T0FLk/view?usp=drivesdk" TargetMode="External"/><Relationship Id="rId2808" Type="http://schemas.openxmlformats.org/officeDocument/2006/relationships/hyperlink" Target="https://drive.google.com/file/d/1yobrb57CNxsYxWXvJWMN0gI0LAbT_d8H/view?usp=drivesdk" TargetMode="External"/><Relationship Id="rId2809" Type="http://schemas.openxmlformats.org/officeDocument/2006/relationships/hyperlink" Target="https://drive.google.com/file/d/1S5qpF1YCwNaJdiLgztFNxQH3eu6jso-O/view?usp=drivesdk" TargetMode="External"/><Relationship Id="rId5071" Type="http://schemas.openxmlformats.org/officeDocument/2006/relationships/hyperlink" Target="https://drive.google.com/file/d/1h9i-NnINjSe9UY_7ae9YVP_0gRHjI9dd/view?usp=drivesdk" TargetMode="External"/><Relationship Id="rId5072" Type="http://schemas.openxmlformats.org/officeDocument/2006/relationships/hyperlink" Target="https://drive.google.com/file/d/1reM1f97Jwl-3GwpFhy40tFl1vNJ13tgm/view?usp=drivesdk" TargetMode="External"/><Relationship Id="rId5070" Type="http://schemas.openxmlformats.org/officeDocument/2006/relationships/hyperlink" Target="https://drive.google.com/file/d/1GgXy86ZmX4gfhKT4PapFLbnwun7COfgw/view?usp=drivesdk" TargetMode="External"/><Relationship Id="rId5075" Type="http://schemas.openxmlformats.org/officeDocument/2006/relationships/hyperlink" Target="https://drive.google.com/file/d/17WGVSw_XMY3YES0Xl70Vw_YXfRQ3_Jlj/view?usp=drivesdk" TargetMode="External"/><Relationship Id="rId5076" Type="http://schemas.openxmlformats.org/officeDocument/2006/relationships/hyperlink" Target="https://drive.google.com/file/d/1-8pdTkzC5ikRY3dtW5IF5CcYMtu4bzxg/view?usp=drivesdk" TargetMode="External"/><Relationship Id="rId5073" Type="http://schemas.openxmlformats.org/officeDocument/2006/relationships/hyperlink" Target="https://drive.google.com/file/d/1CdMb8njAGdhCfsp-1PKJb3xu9JdqtvDD/view?usp=drivesdk" TargetMode="External"/><Relationship Id="rId5074" Type="http://schemas.openxmlformats.org/officeDocument/2006/relationships/hyperlink" Target="https://drive.google.com/file/d/1I8DwyznmUg8QuR6UGxQzYf0cD1DtoOtH/view?usp=drivesdk" TargetMode="External"/><Relationship Id="rId5079" Type="http://schemas.openxmlformats.org/officeDocument/2006/relationships/hyperlink" Target="https://drive.google.com/file/d/1RKoAJCb-EwLQVnYbaXuti_okdY2XFKRN/view?usp=drivesdk" TargetMode="External"/><Relationship Id="rId5077" Type="http://schemas.openxmlformats.org/officeDocument/2006/relationships/hyperlink" Target="https://drive.google.com/file/d/1ERAXncwbUkkw4j8GCLjsPpSZANYR7Tcg/view?usp=drivesdk" TargetMode="External"/><Relationship Id="rId5078" Type="http://schemas.openxmlformats.org/officeDocument/2006/relationships/hyperlink" Target="https://drive.google.com/file/d/1lUH1VE5cYUDkkemiDPBstDKIqQbIO2rA/view?usp=drivesdk" TargetMode="External"/><Relationship Id="rId5060" Type="http://schemas.openxmlformats.org/officeDocument/2006/relationships/hyperlink" Target="https://drive.google.com/file/d/1aqyo2gYXBVhkDnEKk37L4FCRaQ5Fq_-_/view?usp=drivesdk" TargetMode="External"/><Relationship Id="rId5061" Type="http://schemas.openxmlformats.org/officeDocument/2006/relationships/hyperlink" Target="https://drive.google.com/file/d/1AtrYniiasALc8GhCyNpIetW-jFuozHlK/view?usp=drivesdk" TargetMode="External"/><Relationship Id="rId5064" Type="http://schemas.openxmlformats.org/officeDocument/2006/relationships/hyperlink" Target="https://drive.google.com/file/d/1TLBTzb5t9miz0SSCnG0zaTe3nW7Utw5a/view?usp=drivesdk" TargetMode="External"/><Relationship Id="rId5065" Type="http://schemas.openxmlformats.org/officeDocument/2006/relationships/hyperlink" Target="https://drive.google.com/file/d/1xAfguHY66dvtVqfIsEzwegu0w-oOjNVh/view?usp=drivesdk" TargetMode="External"/><Relationship Id="rId5062" Type="http://schemas.openxmlformats.org/officeDocument/2006/relationships/hyperlink" Target="https://drive.google.com/file/d/1nDNCPFi6tSnLes1OXZh_MXndIqi5DfOr/view?usp=drivesdk" TargetMode="External"/><Relationship Id="rId5063" Type="http://schemas.openxmlformats.org/officeDocument/2006/relationships/hyperlink" Target="https://drive.google.com/file/d/1s12SdC_WwwMe-M03-BBUv8e-gdXIXnP8/view?usp=drivesdk" TargetMode="External"/><Relationship Id="rId5068" Type="http://schemas.openxmlformats.org/officeDocument/2006/relationships/hyperlink" Target="https://drive.google.com/file/d/10Xbm-O5dCKriTp2Tfw0QueN5jGVD4oVa/view?usp=drivesdk" TargetMode="External"/><Relationship Id="rId5069" Type="http://schemas.openxmlformats.org/officeDocument/2006/relationships/hyperlink" Target="https://drive.google.com/file/d/1mK05xoV9uh-WslPPUx3z2HzS99hpDcwe/view?usp=drivesdk" TargetMode="External"/><Relationship Id="rId5066" Type="http://schemas.openxmlformats.org/officeDocument/2006/relationships/hyperlink" Target="https://drive.google.com/file/d/1508DjXqIxFwfeLOSQTVJi-6uD6SWEo2f/view?usp=drivesdk" TargetMode="External"/><Relationship Id="rId5067" Type="http://schemas.openxmlformats.org/officeDocument/2006/relationships/hyperlink" Target="https://drive.google.com/file/d/1zFFYWZM44_VyZS7yuEiisxuwQDGeOSPo/view?usp=drivesdk" TargetMode="External"/><Relationship Id="rId1576" Type="http://schemas.openxmlformats.org/officeDocument/2006/relationships/hyperlink" Target="https://drive.google.com/file/d/15xk1U44cSxGV7v5GYhjxclNLhOxb9i9r/view?usp=drivesdk" TargetMode="External"/><Relationship Id="rId4602" Type="http://schemas.openxmlformats.org/officeDocument/2006/relationships/hyperlink" Target="https://drive.google.com/file/d/1kv-V4tCayMH3eRGyXap4aT8iKNtAYCIP/view?usp=drivesdk" TargetMode="External"/><Relationship Id="rId1577" Type="http://schemas.openxmlformats.org/officeDocument/2006/relationships/hyperlink" Target="https://drive.google.com/file/d/1IIpK6IJxYlJlfcDFjEYBqwO8o9KATvPY/view?usp=drivesdk" TargetMode="External"/><Relationship Id="rId4601" Type="http://schemas.openxmlformats.org/officeDocument/2006/relationships/hyperlink" Target="https://drive.google.com/file/d/1cOHaevIflhCujrRAt6DaiCp3n9Q6e5H3/view?usp=drivesdk" TargetMode="External"/><Relationship Id="rId1578" Type="http://schemas.openxmlformats.org/officeDocument/2006/relationships/hyperlink" Target="https://drive.google.com/file/d/1FpdZnz3VGi1Xqk7Urbu2FuuFDGK1GI68/view?usp=drivesdk" TargetMode="External"/><Relationship Id="rId4604" Type="http://schemas.openxmlformats.org/officeDocument/2006/relationships/hyperlink" Target="https://drive.google.com/file/d/1y71pPQmIQ41eUQBE7pnayHqYGz5PPhZw/view?usp=drivesdk" TargetMode="External"/><Relationship Id="rId1579" Type="http://schemas.openxmlformats.org/officeDocument/2006/relationships/hyperlink" Target="https://drive.google.com/file/d/1-ZdeMTLp1LDIBwrgJoTEX2skVZ6w4hQt/view?usp=drivesdk" TargetMode="External"/><Relationship Id="rId4603" Type="http://schemas.openxmlformats.org/officeDocument/2006/relationships/hyperlink" Target="https://drive.google.com/file/d/1TQPz-vyZKAIXDSrLEMdBBRW-O2GWANtV/view?usp=drivesdk" TargetMode="External"/><Relationship Id="rId4606" Type="http://schemas.openxmlformats.org/officeDocument/2006/relationships/hyperlink" Target="https://drive.google.com/file/d/1ukAKK5r9mARIXLeJeITXJVMnIIxKfM8w/view?usp=drivesdk" TargetMode="External"/><Relationship Id="rId4605" Type="http://schemas.openxmlformats.org/officeDocument/2006/relationships/hyperlink" Target="https://drive.google.com/file/d/1RNQcGgGWjZwFQngl107eeBi45Dy_YwGw/view?usp=drivesdk" TargetMode="External"/><Relationship Id="rId4608" Type="http://schemas.openxmlformats.org/officeDocument/2006/relationships/hyperlink" Target="https://drive.google.com/file/d/1-RD0n4R7XypmbradBAmJRfIy_NOD3B64/view?usp=drivesdk" TargetMode="External"/><Relationship Id="rId4607" Type="http://schemas.openxmlformats.org/officeDocument/2006/relationships/hyperlink" Target="https://drive.google.com/file/d/1wZF9bcek1tnKQlQYdkh3ArjRN9UeINFy/view?usp=drivesdk" TargetMode="External"/><Relationship Id="rId4609" Type="http://schemas.openxmlformats.org/officeDocument/2006/relationships/hyperlink" Target="https://drive.google.com/file/d/12vipdT8Gz3w94Pg5dhCdHHX4VLtopeFG/view?usp=drivesdk" TargetMode="External"/><Relationship Id="rId987" Type="http://schemas.openxmlformats.org/officeDocument/2006/relationships/hyperlink" Target="https://drive.google.com/file/d/1dC8WZ7oqWU42d5xBmCRMJzS8dzZpOQXV/view?usp=drivesdk" TargetMode="External"/><Relationship Id="rId986" Type="http://schemas.openxmlformats.org/officeDocument/2006/relationships/hyperlink" Target="https://drive.google.com/file/d/1ntc2uTWvDYPbBG1c1yl5yxePrfF3oT2z/view?usp=drivesdk" TargetMode="External"/><Relationship Id="rId985" Type="http://schemas.openxmlformats.org/officeDocument/2006/relationships/hyperlink" Target="https://drive.google.com/file/d/1umetAsQXhate69LeV6bok8NirN4GtIJb/view?usp=drivesdk" TargetMode="External"/><Relationship Id="rId984" Type="http://schemas.openxmlformats.org/officeDocument/2006/relationships/hyperlink" Target="https://drive.google.com/file/d/1vDeOEaipWsZlKPO9jp_GXNApmJXnQ_8D/view?usp=drivesdk" TargetMode="External"/><Relationship Id="rId989" Type="http://schemas.openxmlformats.org/officeDocument/2006/relationships/hyperlink" Target="https://drive.google.com/file/d/1d-4foEQEfVGcGSOwLFm4KakJx0J4Bb_l/view?usp=drivesdk" TargetMode="External"/><Relationship Id="rId988" Type="http://schemas.openxmlformats.org/officeDocument/2006/relationships/hyperlink" Target="https://drive.google.com/file/d/10EDd9unkO_I8f1N4GE9R60OTq9LGbzaa/view?usp=drivesdk" TargetMode="External"/><Relationship Id="rId1570" Type="http://schemas.openxmlformats.org/officeDocument/2006/relationships/hyperlink" Target="https://drive.google.com/file/d/1_wIUSXymT9u_Knc42VGDakM03N26wwvK/view?usp=drivesdk" TargetMode="External"/><Relationship Id="rId1571" Type="http://schemas.openxmlformats.org/officeDocument/2006/relationships/hyperlink" Target="https://drive.google.com/file/d/1XQd9X9K6_eBm8s3spoENDLD4fAkNptpc/view?usp=drivesdk" TargetMode="External"/><Relationship Id="rId983" Type="http://schemas.openxmlformats.org/officeDocument/2006/relationships/hyperlink" Target="https://drive.google.com/file/d/1gQAPx2lRtgqVWc-oEgVOD_ahE641FKxo/view?usp=drivesdk" TargetMode="External"/><Relationship Id="rId1572" Type="http://schemas.openxmlformats.org/officeDocument/2006/relationships/hyperlink" Target="https://drive.google.com/file/d/1LKRVjuV2BiM7UUYlW6YnEiW_DizZO_BZ/view?usp=drivesdk" TargetMode="External"/><Relationship Id="rId982" Type="http://schemas.openxmlformats.org/officeDocument/2006/relationships/hyperlink" Target="https://drive.google.com/file/d/1UpWmCyB9Jt0W_TNgEmgoMf7uVGc_c-3-/view?usp=drivesdk" TargetMode="External"/><Relationship Id="rId1573" Type="http://schemas.openxmlformats.org/officeDocument/2006/relationships/hyperlink" Target="https://drive.google.com/file/d/1UY3aTzCp9nwIm4dLHinnkfj5utbVbo1T/view?usp=drivesdk" TargetMode="External"/><Relationship Id="rId981" Type="http://schemas.openxmlformats.org/officeDocument/2006/relationships/hyperlink" Target="https://drive.google.com/file/d/12DnIubyCWk-swKB_9BXsC-gDToBqwLJ2/view?usp=drivesdk" TargetMode="External"/><Relationship Id="rId1574" Type="http://schemas.openxmlformats.org/officeDocument/2006/relationships/hyperlink" Target="https://drive.google.com/file/d/17WKrvmKUCMYD0Ze8QGIvT9QwoiYBNXei/view?usp=drivesdk" TargetMode="External"/><Relationship Id="rId4600" Type="http://schemas.openxmlformats.org/officeDocument/2006/relationships/hyperlink" Target="https://drive.google.com/file/d/1-9FndRIu5gr0NBouImAmeWSmkwQjtOs5/view?usp=drivesdk" TargetMode="External"/><Relationship Id="rId980" Type="http://schemas.openxmlformats.org/officeDocument/2006/relationships/hyperlink" Target="https://drive.google.com/file/d/1l__LFGJ5Aoppe2qZS07wQSCTLdFkoJKn/view?usp=drivesdk" TargetMode="External"/><Relationship Id="rId1575" Type="http://schemas.openxmlformats.org/officeDocument/2006/relationships/hyperlink" Target="https://drive.google.com/file/d/1yxxQCuw-qM8n2T6TcWxA9ZS49_OcZqns/view?usp=drivesdk" TargetMode="External"/><Relationship Id="rId1565" Type="http://schemas.openxmlformats.org/officeDocument/2006/relationships/hyperlink" Target="https://drive.google.com/file/d/1Fuxibz1mzTI9NDOzPKlzRn4qTth9f0H9/view?usp=drivesdk" TargetMode="External"/><Relationship Id="rId2896" Type="http://schemas.openxmlformats.org/officeDocument/2006/relationships/hyperlink" Target="https://drive.google.com/file/d/1yo9Ib-XDU4mYcSXwXRvkddQHbwXtljdo/view?usp=drivesdk" TargetMode="External"/><Relationship Id="rId1566" Type="http://schemas.openxmlformats.org/officeDocument/2006/relationships/hyperlink" Target="https://drive.google.com/file/d/1r5j9pxV9NU5x7WM_A4-xqDt6deosTNWU/view?usp=drivesdk" TargetMode="External"/><Relationship Id="rId2897" Type="http://schemas.openxmlformats.org/officeDocument/2006/relationships/hyperlink" Target="https://drive.google.com/file/d/11KW5E-an5ox5diXZgXZ43tz3Snn-MRnk/view?usp=drivesdk" TargetMode="External"/><Relationship Id="rId1567" Type="http://schemas.openxmlformats.org/officeDocument/2006/relationships/hyperlink" Target="https://drive.google.com/file/d/1NIooW3SArh59-Y3eFNrd8W0KPSI7_-RN/view?usp=drivesdk" TargetMode="External"/><Relationship Id="rId2898" Type="http://schemas.openxmlformats.org/officeDocument/2006/relationships/hyperlink" Target="https://drive.google.com/file/d/1qISurPbKK1V7n7Am7I-1XdANjPcP3ozC/view?usp=drivesdk" TargetMode="External"/><Relationship Id="rId1568" Type="http://schemas.openxmlformats.org/officeDocument/2006/relationships/hyperlink" Target="https://drive.google.com/file/d/1MFGFnHMf-VvlcdjmZ0eMErwdh8B6pf4k/view?usp=drivesdk" TargetMode="External"/><Relationship Id="rId2899" Type="http://schemas.openxmlformats.org/officeDocument/2006/relationships/hyperlink" Target="https://drive.google.com/file/d/1mbtmXTUBL9yACiucCNiZ92mh7kexLozO/view?usp=drivesdk" TargetMode="External"/><Relationship Id="rId1569" Type="http://schemas.openxmlformats.org/officeDocument/2006/relationships/hyperlink" Target="https://drive.google.com/file/d/1bZSDV4G49Zwz8ps_8fiEX5Prb19xHaPF/view?usp=drivesdk" TargetMode="External"/><Relationship Id="rId976" Type="http://schemas.openxmlformats.org/officeDocument/2006/relationships/hyperlink" Target="https://drive.google.com/file/d/1Y-fqmORrHmdiGk-7u5wPGDWmT1jrz2z8/view?usp=drivesdk" TargetMode="External"/><Relationship Id="rId975" Type="http://schemas.openxmlformats.org/officeDocument/2006/relationships/hyperlink" Target="https://drive.google.com/file/d/1Io8FMZk2UBPDNdoqNTf4XbSi2hJebPMH/view?usp=drivesdk" TargetMode="External"/><Relationship Id="rId974" Type="http://schemas.openxmlformats.org/officeDocument/2006/relationships/hyperlink" Target="https://drive.google.com/file/d/1z54WMWQagRSTYLGlV_Rt6Gmx7vgbJwk2/view?usp=drivesdk" TargetMode="External"/><Relationship Id="rId973" Type="http://schemas.openxmlformats.org/officeDocument/2006/relationships/hyperlink" Target="https://drive.google.com/file/d/1kb7uCZDIPdditvuV4kJaY2iqec1kb-ba/view?usp=drivesdk" TargetMode="External"/><Relationship Id="rId979" Type="http://schemas.openxmlformats.org/officeDocument/2006/relationships/hyperlink" Target="https://drive.google.com/file/d/1RIoWSOVet93eKFopApkjQJQot1XPR7du/view?usp=drivesdk" TargetMode="External"/><Relationship Id="rId978" Type="http://schemas.openxmlformats.org/officeDocument/2006/relationships/hyperlink" Target="https://drive.google.com/file/d/15CFStAUg7dFcHnY2WLRqA377eyJajaJT/view?usp=drivesdk" TargetMode="External"/><Relationship Id="rId977" Type="http://schemas.openxmlformats.org/officeDocument/2006/relationships/hyperlink" Target="https://drive.google.com/file/d/1z3cE3N64Y18m-6p651XXGO6mDhKwSUWI/view?usp=drivesdk" TargetMode="External"/><Relationship Id="rId2890" Type="http://schemas.openxmlformats.org/officeDocument/2006/relationships/hyperlink" Target="https://drive.google.com/file/d/15nKKZ4RYnJpL9k9DQKw_ROTLJ1CS6j-p/view?usp=drivesdk" TargetMode="External"/><Relationship Id="rId1560" Type="http://schemas.openxmlformats.org/officeDocument/2006/relationships/hyperlink" Target="https://drive.google.com/file/d/1P4rqm6oxeI6WGBM5IsBA8g7ZMexUbnx6/view?usp=drivesdk" TargetMode="External"/><Relationship Id="rId2891" Type="http://schemas.openxmlformats.org/officeDocument/2006/relationships/hyperlink" Target="https://drive.google.com/file/d/1GZx4_TepRnY5E7qspkqKiwqWh41dut8I/view?usp=drivesdk" TargetMode="External"/><Relationship Id="rId972" Type="http://schemas.openxmlformats.org/officeDocument/2006/relationships/hyperlink" Target="https://drive.google.com/file/d/1cFvjJTOVU5ZM5gD7t9ri1ibPJ17Vd8OX/view?usp=drivesdk" TargetMode="External"/><Relationship Id="rId1561" Type="http://schemas.openxmlformats.org/officeDocument/2006/relationships/hyperlink" Target="https://drive.google.com/file/d/1uEAMlRy1G8HZoKo4RXaAibAMz4MiGxH9/view?usp=drivesdk" TargetMode="External"/><Relationship Id="rId2892" Type="http://schemas.openxmlformats.org/officeDocument/2006/relationships/hyperlink" Target="https://drive.google.com/file/d/1-GJ04tlk3dGEhgq8Qiyt_ZZvkTXNoV1_/view?usp=drivesdk" TargetMode="External"/><Relationship Id="rId971" Type="http://schemas.openxmlformats.org/officeDocument/2006/relationships/hyperlink" Target="https://drive.google.com/file/d/1gPpYNbLKlJZzWIcEwgNymYx21N84HYsI/view?usp=drivesdk" TargetMode="External"/><Relationship Id="rId1562" Type="http://schemas.openxmlformats.org/officeDocument/2006/relationships/hyperlink" Target="https://drive.google.com/file/d/1qPpd458KjeLOV-qQrDmWXlQJGkk8u0hY/view?usp=drivesdk" TargetMode="External"/><Relationship Id="rId2893" Type="http://schemas.openxmlformats.org/officeDocument/2006/relationships/hyperlink" Target="https://drive.google.com/file/d/1Fdz2_TbtWgztaiA_73tMqT_v0PVAM6eA/view?usp=drivesdk" TargetMode="External"/><Relationship Id="rId970" Type="http://schemas.openxmlformats.org/officeDocument/2006/relationships/hyperlink" Target="https://drive.google.com/file/d/1wnFxgAiPHqZl4BWdlFBhmqjVyiyDSJO8/view?usp=drivesdk" TargetMode="External"/><Relationship Id="rId1563" Type="http://schemas.openxmlformats.org/officeDocument/2006/relationships/hyperlink" Target="https://drive.google.com/file/d/1M9OllWf1BwGjX7GTXLc8ta2F-wVHr_NX/view?usp=drivesdk" TargetMode="External"/><Relationship Id="rId2894" Type="http://schemas.openxmlformats.org/officeDocument/2006/relationships/hyperlink" Target="https://drive.google.com/file/d/1zmUV05PA7NmabmzfdKcZxAn6lKMmwjyE/view?usp=drivesdk" TargetMode="External"/><Relationship Id="rId1564" Type="http://schemas.openxmlformats.org/officeDocument/2006/relationships/hyperlink" Target="https://drive.google.com/file/d/16Qr5e-YVmv4jaymXoPpv5bQ7qlA-zl8Y/view?usp=drivesdk" TargetMode="External"/><Relationship Id="rId2895" Type="http://schemas.openxmlformats.org/officeDocument/2006/relationships/hyperlink" Target="https://drive.google.com/file/d/1Ui-45ZpPWXPAx3feXQHCnCeA5BevuaY9/view?usp=drivesdk" TargetMode="External"/><Relationship Id="rId1598" Type="http://schemas.openxmlformats.org/officeDocument/2006/relationships/hyperlink" Target="https://drive.google.com/file/d/1be6B5ljbp46Wxb60lSqVxghNlKS0EIOk/view?usp=drivesdk" TargetMode="External"/><Relationship Id="rId4624" Type="http://schemas.openxmlformats.org/officeDocument/2006/relationships/hyperlink" Target="https://drive.google.com/file/d/1sNAly-z9xUCB6fwlRTd1wBFGgkQErMg0/view?usp=drivesdk" TargetMode="External"/><Relationship Id="rId1599" Type="http://schemas.openxmlformats.org/officeDocument/2006/relationships/hyperlink" Target="https://drive.google.com/file/d/1XQD_OpF8lMpS0dmZiOdYMw7agHeEnLBG/view?usp=drivesdk" TargetMode="External"/><Relationship Id="rId4623" Type="http://schemas.openxmlformats.org/officeDocument/2006/relationships/hyperlink" Target="https://drive.google.com/file/d/1hXUGC1LpU-EMqEPnBrBmJnk2N70LCIfD/view?usp=drivesdk" TargetMode="External"/><Relationship Id="rId4626" Type="http://schemas.openxmlformats.org/officeDocument/2006/relationships/hyperlink" Target="https://drive.google.com/file/d/1OFrs8kLfQWgPp_B_BPuXIIi7Avisa5Zi/view?usp=drivesdk" TargetMode="External"/><Relationship Id="rId4625" Type="http://schemas.openxmlformats.org/officeDocument/2006/relationships/hyperlink" Target="https://drive.google.com/file/d/1vLFBPr0eU8gTMUXZVJ6HUf7MGX92O51E/view?usp=drivesdk" TargetMode="External"/><Relationship Id="rId4628" Type="http://schemas.openxmlformats.org/officeDocument/2006/relationships/hyperlink" Target="https://drive.google.com/file/d/1l84HSgUVTJp727xs4gNSEPTJFMQbzB2p/view?usp=drivesdk" TargetMode="External"/><Relationship Id="rId4627" Type="http://schemas.openxmlformats.org/officeDocument/2006/relationships/hyperlink" Target="https://drive.google.com/file/d/1pWZaFYsWE0jjM_QKaXe3m2WSifpJbeDt/view?usp=drivesdk" TargetMode="External"/><Relationship Id="rId4629" Type="http://schemas.openxmlformats.org/officeDocument/2006/relationships/hyperlink" Target="https://drive.google.com/file/d/1KBFM1vZ5i0HT_r_GQnOKwcLknCWHCi2q/view?usp=drivesdk" TargetMode="External"/><Relationship Id="rId1590" Type="http://schemas.openxmlformats.org/officeDocument/2006/relationships/hyperlink" Target="https://drive.google.com/file/d/1T7134VlBlVARRDCJh9qhXasvEnMxyTUx/view?usp=drivesdk" TargetMode="External"/><Relationship Id="rId1591" Type="http://schemas.openxmlformats.org/officeDocument/2006/relationships/hyperlink" Target="https://drive.google.com/file/d/1QfI9PS1csjXoVrnpOVdZNaqveTceJw9s/view?usp=drivesdk" TargetMode="External"/><Relationship Id="rId1592" Type="http://schemas.openxmlformats.org/officeDocument/2006/relationships/hyperlink" Target="https://drive.google.com/file/d/10HOUaq4PlSEBdFbh6oR35bjULIgPiZhy/view?usp=drivesdk" TargetMode="External"/><Relationship Id="rId1593" Type="http://schemas.openxmlformats.org/officeDocument/2006/relationships/hyperlink" Target="https://drive.google.com/file/d/1spVTGBHwaxSyd5a_hUBvP582noP4zuc5/view?usp=drivesdk" TargetMode="External"/><Relationship Id="rId1594" Type="http://schemas.openxmlformats.org/officeDocument/2006/relationships/hyperlink" Target="https://drive.google.com/file/d/11-bWPs3h5cz4ffaZtSv4mKEk0Hl3uM4D/view?usp=drivesdk" TargetMode="External"/><Relationship Id="rId4620" Type="http://schemas.openxmlformats.org/officeDocument/2006/relationships/hyperlink" Target="https://drive.google.com/file/d/1VY3cltorkKebVBHh4-m2QOFIU1cl3UEP/view?usp=drivesdk" TargetMode="External"/><Relationship Id="rId1595" Type="http://schemas.openxmlformats.org/officeDocument/2006/relationships/hyperlink" Target="https://drive.google.com/file/d/1-tlVitb8ENIE7wAVp4P6s7fRb9ECieIG/view?usp=drivesdk" TargetMode="External"/><Relationship Id="rId1596" Type="http://schemas.openxmlformats.org/officeDocument/2006/relationships/hyperlink" Target="https://drive.google.com/file/d/1YVSwv6YupxeX-8OGw9I4AaIvUdeGYxiE/view?usp=drivesdk" TargetMode="External"/><Relationship Id="rId4622" Type="http://schemas.openxmlformats.org/officeDocument/2006/relationships/hyperlink" Target="https://drive.google.com/file/d/1THGAsWPPNdb9oEfK4cPE1HYq3vuEl9fb/view?usp=drivesdk" TargetMode="External"/><Relationship Id="rId1597" Type="http://schemas.openxmlformats.org/officeDocument/2006/relationships/hyperlink" Target="https://drive.google.com/file/d/1qZ7IzFSFkk9p3EYUoYLlm4CVxCNK3Hco/view?usp=drivesdk" TargetMode="External"/><Relationship Id="rId4621" Type="http://schemas.openxmlformats.org/officeDocument/2006/relationships/hyperlink" Target="https://drive.google.com/file/d/1w-GPjhx4AlKD9Le3XHo_KTH4rVjQc6Z_/view?usp=drivesdk" TargetMode="External"/><Relationship Id="rId1587" Type="http://schemas.openxmlformats.org/officeDocument/2006/relationships/hyperlink" Target="https://drive.google.com/file/d/1c9aNe2Lgv9zbgltTKGHRbOsrHjkP7rPV/view?usp=drivesdk" TargetMode="External"/><Relationship Id="rId4613" Type="http://schemas.openxmlformats.org/officeDocument/2006/relationships/hyperlink" Target="https://drive.google.com/file/d/1Hj4VmE-nlSPkbDWFCZcbPLiLHhhDSnRJ/view?usp=drivesdk" TargetMode="External"/><Relationship Id="rId1588" Type="http://schemas.openxmlformats.org/officeDocument/2006/relationships/hyperlink" Target="https://drive.google.com/file/d/11gnTugRomX3GvF7lm1MgVmXJ1jZh1gN8/view?usp=drivesdk" TargetMode="External"/><Relationship Id="rId4612" Type="http://schemas.openxmlformats.org/officeDocument/2006/relationships/hyperlink" Target="https://drive.google.com/file/d/1RhWryAxdqRlXf54CXaPvVnomj6DXAA5T/view?usp=drivesdk" TargetMode="External"/><Relationship Id="rId1589" Type="http://schemas.openxmlformats.org/officeDocument/2006/relationships/hyperlink" Target="https://drive.google.com/file/d/14PxSNeeump1e32jLVW0w_ilin-VqpwEH/view?usp=drivesdk" TargetMode="External"/><Relationship Id="rId4615" Type="http://schemas.openxmlformats.org/officeDocument/2006/relationships/hyperlink" Target="https://drive.google.com/file/d/1pEMk8DVZEkht_YiKJdywmtwqe5vifqDa/view?usp=drivesdk" TargetMode="External"/><Relationship Id="rId4614" Type="http://schemas.openxmlformats.org/officeDocument/2006/relationships/hyperlink" Target="https://drive.google.com/file/d/1HKmjm4GCLm0GHHISbhQ2ozKSn5i-Z7sA/view?usp=drivesdk" TargetMode="External"/><Relationship Id="rId4617" Type="http://schemas.openxmlformats.org/officeDocument/2006/relationships/hyperlink" Target="https://drive.google.com/file/d/1dzJMLIM54_jHMYkNDbaMKt-bHh83nOPn/view?usp=drivesdk" TargetMode="External"/><Relationship Id="rId4616" Type="http://schemas.openxmlformats.org/officeDocument/2006/relationships/hyperlink" Target="https://drive.google.com/file/d/1OY6fpvpSt8_etrkc-UZtis0X19MlztdC/view?usp=drivesdk" TargetMode="External"/><Relationship Id="rId4619" Type="http://schemas.openxmlformats.org/officeDocument/2006/relationships/hyperlink" Target="https://drive.google.com/file/d/10xhp3WlrXtyfTGZY1k4TGQTmF4fvggMl/view?usp=drivesdk" TargetMode="External"/><Relationship Id="rId4618" Type="http://schemas.openxmlformats.org/officeDocument/2006/relationships/hyperlink" Target="https://drive.google.com/file/d/1ZGm8Ub8vSDEMl2To6MF_QU2AfTSXU5ME/view?usp=drivesdk" TargetMode="External"/><Relationship Id="rId998" Type="http://schemas.openxmlformats.org/officeDocument/2006/relationships/hyperlink" Target="https://drive.google.com/file/d/1_p-ycoK6Z3ONytemo1ZHJdLvqJ5W4aKr/view?usp=drivesdk" TargetMode="External"/><Relationship Id="rId997" Type="http://schemas.openxmlformats.org/officeDocument/2006/relationships/hyperlink" Target="https://drive.google.com/file/d/1ajmsSMgR3iZTzBRs45tIiba2y0vVB-Og/view?usp=drivesdk" TargetMode="External"/><Relationship Id="rId996" Type="http://schemas.openxmlformats.org/officeDocument/2006/relationships/hyperlink" Target="https://drive.google.com/file/d/1fgmJwb5zY8t_A2uad2cwE9iF-vtlA0DA/view?usp=drivesdk" TargetMode="External"/><Relationship Id="rId995" Type="http://schemas.openxmlformats.org/officeDocument/2006/relationships/hyperlink" Target="https://drive.google.com/file/d/15pLWWNt2jvhfivNe_flwWqk1lMWeZYoN/view?usp=drivesdk" TargetMode="External"/><Relationship Id="rId999" Type="http://schemas.openxmlformats.org/officeDocument/2006/relationships/hyperlink" Target="https://drive.google.com/file/d/13Jz3QTGaJRXDzfWvxSuiIXQLEiNqC_yd/view?usp=drivesdk" TargetMode="External"/><Relationship Id="rId990" Type="http://schemas.openxmlformats.org/officeDocument/2006/relationships/hyperlink" Target="https://drive.google.com/file/d/1Sjzr1yLWSFCeS1eViy02Qhe6n-Xt_cQl/view?usp=drivesdk" TargetMode="External"/><Relationship Id="rId1580" Type="http://schemas.openxmlformats.org/officeDocument/2006/relationships/hyperlink" Target="https://drive.google.com/file/d/1_55ZtO8OUOMbmAzU1MeY3d1yI33z4j9r/view?usp=drivesdk" TargetMode="External"/><Relationship Id="rId1581" Type="http://schemas.openxmlformats.org/officeDocument/2006/relationships/hyperlink" Target="https://drive.google.com/file/d/1mLBGmQ7EuZcG2Wn_bksMsR72tgjRtyfv/view?usp=drivesdk" TargetMode="External"/><Relationship Id="rId1582" Type="http://schemas.openxmlformats.org/officeDocument/2006/relationships/hyperlink" Target="https://drive.google.com/file/d/1NBGasoY644hiBPNiRElJTCfsqramv6z9/view?usp=drivesdk" TargetMode="External"/><Relationship Id="rId994" Type="http://schemas.openxmlformats.org/officeDocument/2006/relationships/hyperlink" Target="https://drive.google.com/file/d/18vbE_QNF_LaRBrtTWaRfdO8xgfAbhM2m/view?usp=drivesdk" TargetMode="External"/><Relationship Id="rId1583" Type="http://schemas.openxmlformats.org/officeDocument/2006/relationships/hyperlink" Target="https://drive.google.com/file/d/1WIXpsUh2-WC0RlUeSPLllkmw9jIJahW9/view?usp=drivesdk" TargetMode="External"/><Relationship Id="rId993" Type="http://schemas.openxmlformats.org/officeDocument/2006/relationships/hyperlink" Target="https://drive.google.com/file/d/1M10uIM1PFa3KbZsCmdjarUjJm26VzX9Z/view?usp=drivesdk" TargetMode="External"/><Relationship Id="rId1584" Type="http://schemas.openxmlformats.org/officeDocument/2006/relationships/hyperlink" Target="https://drive.google.com/file/d/12vuDStdqP7k5fQELAvB2EFWAl5O0sJJr/view?usp=drivesdk" TargetMode="External"/><Relationship Id="rId992" Type="http://schemas.openxmlformats.org/officeDocument/2006/relationships/hyperlink" Target="https://drive.google.com/file/d/17yV4091BLGrT3Wdus5HC41E0HpIWabpR/view?usp=drivesdk" TargetMode="External"/><Relationship Id="rId1585" Type="http://schemas.openxmlformats.org/officeDocument/2006/relationships/hyperlink" Target="https://drive.google.com/file/d/1bllZ9WqF0YXzlnlu8LoYluJtEJ_LdCUU/view?usp=drivesdk" TargetMode="External"/><Relationship Id="rId4611" Type="http://schemas.openxmlformats.org/officeDocument/2006/relationships/hyperlink" Target="https://drive.google.com/file/d/1G2v_rLZ5TqJE1162L3_ZmlQO0fTpBRUP/view?usp=drivesdk" TargetMode="External"/><Relationship Id="rId991" Type="http://schemas.openxmlformats.org/officeDocument/2006/relationships/hyperlink" Target="https://drive.google.com/file/d/1zr-xm3fuFLUbQigXcQXzoNUh9ZeT1WLL/view?usp=drivesdk" TargetMode="External"/><Relationship Id="rId1586" Type="http://schemas.openxmlformats.org/officeDocument/2006/relationships/hyperlink" Target="https://drive.google.com/file/d/1QVhqbiVRuJKS8r6IU_IaEf5QQfuDmSkl/view?usp=drivesdk" TargetMode="External"/><Relationship Id="rId4610" Type="http://schemas.openxmlformats.org/officeDocument/2006/relationships/hyperlink" Target="https://drive.google.com/file/d/1E5soWMg2soqfL1eAcEykkpPk5m6Awl9Y/view?usp=drivesdk" TargetMode="External"/><Relationship Id="rId1532" Type="http://schemas.openxmlformats.org/officeDocument/2006/relationships/hyperlink" Target="https://drive.google.com/file/d/1iUp1uU8odcr69vSvqVrDl8efiMmyg7yZ/view?usp=drivesdk" TargetMode="External"/><Relationship Id="rId2863" Type="http://schemas.openxmlformats.org/officeDocument/2006/relationships/hyperlink" Target="https://drive.google.com/file/d/1vlYFAU-LPM8OhHb6NFyvFh9cAKqSSUbL/view?usp=drivesdk" TargetMode="External"/><Relationship Id="rId1533" Type="http://schemas.openxmlformats.org/officeDocument/2006/relationships/hyperlink" Target="https://drive.google.com/file/d/1torbvB2Nc0FIhsuIhQjq57s2e6a-ngfO/view?usp=drivesdk" TargetMode="External"/><Relationship Id="rId2864" Type="http://schemas.openxmlformats.org/officeDocument/2006/relationships/hyperlink" Target="https://drive.google.com/file/d/15Zi-3ATQxe3Hckn3vKyMI7FzdPD-hqWl/view?usp=drivesdk" TargetMode="External"/><Relationship Id="rId1534" Type="http://schemas.openxmlformats.org/officeDocument/2006/relationships/hyperlink" Target="https://drive.google.com/file/d/1liyjQchwH-0ZBJuAbPa0x5CQss0XuJTe/view?usp=drivesdk" TargetMode="External"/><Relationship Id="rId2865" Type="http://schemas.openxmlformats.org/officeDocument/2006/relationships/hyperlink" Target="https://drive.google.com/file/d/1UoEriMk6BxJxEE1FLByyOTvRXVOjqTZb/view?usp=drivesdk" TargetMode="External"/><Relationship Id="rId1535" Type="http://schemas.openxmlformats.org/officeDocument/2006/relationships/hyperlink" Target="https://drive.google.com/file/d/1ihMzDv3VHLK6XGciSpn3ghhbnOtMkD-m/view?usp=drivesdk" TargetMode="External"/><Relationship Id="rId2866" Type="http://schemas.openxmlformats.org/officeDocument/2006/relationships/hyperlink" Target="https://drive.google.com/file/d/1757JXfyMyXSqyNejQZBL2BSrqbAfmDO6/view?usp=drivesdk" TargetMode="External"/><Relationship Id="rId1536" Type="http://schemas.openxmlformats.org/officeDocument/2006/relationships/hyperlink" Target="https://drive.google.com/file/d/1hobRu3v5USXlm_iSosGx20Md8XaOdPxD/view?usp=drivesdk" TargetMode="External"/><Relationship Id="rId2867" Type="http://schemas.openxmlformats.org/officeDocument/2006/relationships/hyperlink" Target="https://drive.google.com/file/d/1w8ak_7wVk0gsMd0gQPf92C1pYzRPUktb/view?usp=drivesdk" TargetMode="External"/><Relationship Id="rId1537" Type="http://schemas.openxmlformats.org/officeDocument/2006/relationships/hyperlink" Target="https://drive.google.com/file/d/1MTWPxMdFqI1jHL-u_bmd-q0U5bKEPpXZ/view?usp=drivesdk" TargetMode="External"/><Relationship Id="rId2868" Type="http://schemas.openxmlformats.org/officeDocument/2006/relationships/hyperlink" Target="https://drive.google.com/file/d/1wxV34N4EuvPVP-zSMtLrPLH1KiyOHahw/view?usp=drivesdk" TargetMode="External"/><Relationship Id="rId1538" Type="http://schemas.openxmlformats.org/officeDocument/2006/relationships/hyperlink" Target="https://drive.google.com/file/d/1PweXA3m3t75WxuEmE5x7alH18mPg_Xn_/view?usp=drivesdk" TargetMode="External"/><Relationship Id="rId2869" Type="http://schemas.openxmlformats.org/officeDocument/2006/relationships/hyperlink" Target="https://drive.google.com/file/d/13JfrF6EuJW8hj1JWvfRGLwHXhNFjv5H7/view?usp=drivesdk" TargetMode="External"/><Relationship Id="rId1539" Type="http://schemas.openxmlformats.org/officeDocument/2006/relationships/hyperlink" Target="https://drive.google.com/file/d/1hlYBo-QjmTY14tEWJ4NGJyF1OvzGAetG/view?usp=drivesdk" TargetMode="External"/><Relationship Id="rId949" Type="http://schemas.openxmlformats.org/officeDocument/2006/relationships/hyperlink" Target="https://drive.google.com/file/d/1s3jK0TX_Sn_Jkvm_4DLSU2CJ0ErjhFeC/view?usp=drivesdk" TargetMode="External"/><Relationship Id="rId948" Type="http://schemas.openxmlformats.org/officeDocument/2006/relationships/hyperlink" Target="https://drive.google.com/file/d/1Ms6t-sRN3q9y2TaUwBwsH9RipwvpbyqF/view?usp=drivesdk" TargetMode="External"/><Relationship Id="rId943" Type="http://schemas.openxmlformats.org/officeDocument/2006/relationships/hyperlink" Target="https://drive.google.com/file/d/1vHjFplA0yI4u3MtmZIJhhqA9LAQXiHY5/view?usp=drivesdk" TargetMode="External"/><Relationship Id="rId942" Type="http://schemas.openxmlformats.org/officeDocument/2006/relationships/hyperlink" Target="https://drive.google.com/file/d/1SXniu5lZ45FfQKhZhDzhgeK-fbP7C_S6/view?usp=drivesdk" TargetMode="External"/><Relationship Id="rId941" Type="http://schemas.openxmlformats.org/officeDocument/2006/relationships/hyperlink" Target="https://drive.google.com/file/d/16TT4R8h1lVQXxupMRgYS9pbVic3KOlAk/view?usp=drivesdk" TargetMode="External"/><Relationship Id="rId940" Type="http://schemas.openxmlformats.org/officeDocument/2006/relationships/hyperlink" Target="https://drive.google.com/file/d/1O9aTDf4fLqeGpK9dOSw4UnJ9JeocWRpH/view?usp=drivesdk" TargetMode="External"/><Relationship Id="rId947" Type="http://schemas.openxmlformats.org/officeDocument/2006/relationships/hyperlink" Target="https://drive.google.com/file/d/1iIwyOEiVP_s7GKfXnXpN9lV4XbElTcjF/view?usp=drivesdk" TargetMode="External"/><Relationship Id="rId946" Type="http://schemas.openxmlformats.org/officeDocument/2006/relationships/hyperlink" Target="https://drive.google.com/file/d/1f3aYfctSEkm68fnYQHZXZqMNocEQ9pII/view?usp=drivesdk" TargetMode="External"/><Relationship Id="rId945" Type="http://schemas.openxmlformats.org/officeDocument/2006/relationships/hyperlink" Target="https://drive.google.com/file/d/1aPsPv4DN5rr5PkfI-Qwi2wT2P8YLIJej/view?usp=drivesdk" TargetMode="External"/><Relationship Id="rId944" Type="http://schemas.openxmlformats.org/officeDocument/2006/relationships/hyperlink" Target="https://drive.google.com/file/d/1NbKG4U4BgSfzz0tSMCtxIbinE5Rj2Crm/view?usp=drivesdk" TargetMode="External"/><Relationship Id="rId2860" Type="http://schemas.openxmlformats.org/officeDocument/2006/relationships/hyperlink" Target="https://drive.google.com/file/d/1ZYF5Dr8qdR9_bNjGEAgp1azSERZWAfF0/view?usp=drivesdk" TargetMode="External"/><Relationship Id="rId1530" Type="http://schemas.openxmlformats.org/officeDocument/2006/relationships/hyperlink" Target="https://drive.google.com/file/d/1Qh-LhpDY2mrzKEHH_qVqC6Of7op9iWWl/view?usp=drivesdk" TargetMode="External"/><Relationship Id="rId2861" Type="http://schemas.openxmlformats.org/officeDocument/2006/relationships/hyperlink" Target="https://drive.google.com/file/d/10yOLCDE1RBmwj9NeaBSCGlus4BgRdZRv/view?usp=drivesdk" TargetMode="External"/><Relationship Id="rId1531" Type="http://schemas.openxmlformats.org/officeDocument/2006/relationships/hyperlink" Target="https://drive.google.com/file/d/1EJyi8ebbN6skxQyUIkYGy1lIFglwCtay/view?usp=drivesdk" TargetMode="External"/><Relationship Id="rId2862" Type="http://schemas.openxmlformats.org/officeDocument/2006/relationships/hyperlink" Target="https://drive.google.com/file/d/1pc_pBIZbinOFIY24FpdThFWqwDv803-_/view?usp=drivesdk" TargetMode="External"/><Relationship Id="rId1521" Type="http://schemas.openxmlformats.org/officeDocument/2006/relationships/hyperlink" Target="https://drive.google.com/file/d/19Rp-Y2VeusqkQToi8yztpiQ_-mn5lmCo/view?usp=drivesdk" TargetMode="External"/><Relationship Id="rId2852" Type="http://schemas.openxmlformats.org/officeDocument/2006/relationships/hyperlink" Target="https://drive.google.com/file/d/1Sz7FDFZOKRuA3adJzLPQVYYFcz5lKNYj/view?usp=drivesdk" TargetMode="External"/><Relationship Id="rId1522" Type="http://schemas.openxmlformats.org/officeDocument/2006/relationships/hyperlink" Target="https://drive.google.com/file/d/1K5Dy1C1RBOqhAwKxHYeR-8fUOL75r2fz/view?usp=drivesdk" TargetMode="External"/><Relationship Id="rId2853" Type="http://schemas.openxmlformats.org/officeDocument/2006/relationships/hyperlink" Target="https://drive.google.com/file/d/1gKuYRj4Yfd4HHYlNl4yDjiqVKD8hehDQ/view?usp=drivesdk" TargetMode="External"/><Relationship Id="rId1523" Type="http://schemas.openxmlformats.org/officeDocument/2006/relationships/hyperlink" Target="https://drive.google.com/file/d/17kQ3Mx-83SJHWXWvWpTCAuwps5GXJ8xf/view?usp=drivesdk" TargetMode="External"/><Relationship Id="rId2854" Type="http://schemas.openxmlformats.org/officeDocument/2006/relationships/hyperlink" Target="https://drive.google.com/file/d/1DlQY2kdOi4MAQDOonZ_fPWgMeA9NrkQP/view?usp=drivesdk" TargetMode="External"/><Relationship Id="rId1524" Type="http://schemas.openxmlformats.org/officeDocument/2006/relationships/hyperlink" Target="https://drive.google.com/file/d/1XZRavxniW0gGgZLxkfjqsulkNXqZZi-T/view?usp=drivesdk" TargetMode="External"/><Relationship Id="rId2855" Type="http://schemas.openxmlformats.org/officeDocument/2006/relationships/hyperlink" Target="https://drive.google.com/file/d/1Fc78y68j0LnjD5RHBNV7CXKu4qXohW7h/view?usp=drivesdk" TargetMode="External"/><Relationship Id="rId1525" Type="http://schemas.openxmlformats.org/officeDocument/2006/relationships/hyperlink" Target="https://drive.google.com/file/d/1dbdmY1hA2XcKCsx74sZW3V_lb0hKqdB7/view?usp=drivesdk" TargetMode="External"/><Relationship Id="rId2856" Type="http://schemas.openxmlformats.org/officeDocument/2006/relationships/hyperlink" Target="https://drive.google.com/file/d/1BRhffgz2cLQECFrdaFFSWDWJeBdDOdtY/view?usp=drivesdk" TargetMode="External"/><Relationship Id="rId1526" Type="http://schemas.openxmlformats.org/officeDocument/2006/relationships/hyperlink" Target="https://drive.google.com/file/d/1rECoM_cHktSXYJ_WIPcB_Qsf1BptwJpS/view?usp=drivesdk" TargetMode="External"/><Relationship Id="rId2857" Type="http://schemas.openxmlformats.org/officeDocument/2006/relationships/hyperlink" Target="https://drive.google.com/file/d/13v5tvUXh5SCVIn53B9gRD9vXNtrkNkl-/view?usp=drivesdk" TargetMode="External"/><Relationship Id="rId1527" Type="http://schemas.openxmlformats.org/officeDocument/2006/relationships/hyperlink" Target="https://drive.google.com/file/d/1Fz6C_dytYIYxR20tgjM8m5SqsttbDWa5/view?usp=drivesdk" TargetMode="External"/><Relationship Id="rId2858" Type="http://schemas.openxmlformats.org/officeDocument/2006/relationships/hyperlink" Target="https://drive.google.com/file/d/1OPNAfbXcUpuhB5gCvSpSW2qr89RuxFPY/view?usp=drivesdk" TargetMode="External"/><Relationship Id="rId1528" Type="http://schemas.openxmlformats.org/officeDocument/2006/relationships/hyperlink" Target="https://drive.google.com/file/d/1OAXCiBeq7e9GC7FDYmCC2lMI_odrZdaK/view?usp=drivesdk" TargetMode="External"/><Relationship Id="rId2859" Type="http://schemas.openxmlformats.org/officeDocument/2006/relationships/hyperlink" Target="https://drive.google.com/file/d/1h-b3pV-AFG_pNnV2k8fvXjhnKYbvMVo1/view?usp=drivesdk" TargetMode="External"/><Relationship Id="rId1529" Type="http://schemas.openxmlformats.org/officeDocument/2006/relationships/hyperlink" Target="https://drive.google.com/file/d/1i5PzdFCeW2l0E2ERiaIt_eX3VlHqgpx4/view?usp=drivesdk" TargetMode="External"/><Relationship Id="rId939" Type="http://schemas.openxmlformats.org/officeDocument/2006/relationships/hyperlink" Target="https://drive.google.com/file/d/1Hb25hGD8R9bvTzuD9JfDka4kT_hx_n1s/view?usp=drivesdk" TargetMode="External"/><Relationship Id="rId938" Type="http://schemas.openxmlformats.org/officeDocument/2006/relationships/hyperlink" Target="https://drive.google.com/file/d/1WNA4ei00j5lyK59nMWMh-2174yddIJGM/view?usp=drivesdk" TargetMode="External"/><Relationship Id="rId937" Type="http://schemas.openxmlformats.org/officeDocument/2006/relationships/hyperlink" Target="https://drive.google.com/file/d/18Sn3MC8EFOTkc6SRsryG7hlgm2yNyRGu/view?usp=drivesdk" TargetMode="External"/><Relationship Id="rId932" Type="http://schemas.openxmlformats.org/officeDocument/2006/relationships/hyperlink" Target="https://drive.google.com/file/d/1NL1y0aP65LuD9GwX6DECAhVajISokIGf/view?usp=drivesdk" TargetMode="External"/><Relationship Id="rId931" Type="http://schemas.openxmlformats.org/officeDocument/2006/relationships/hyperlink" Target="https://drive.google.com/file/d/1XKcB-FpNft8KF01L_8BnzUV5-nSX979i/view?usp=drivesdk" TargetMode="External"/><Relationship Id="rId930" Type="http://schemas.openxmlformats.org/officeDocument/2006/relationships/hyperlink" Target="https://drive.google.com/file/d/1GuUFFIAhcHxINWxVj4jrdVzT7Q1DfBLE/view?usp=drivesdk" TargetMode="External"/><Relationship Id="rId936" Type="http://schemas.openxmlformats.org/officeDocument/2006/relationships/hyperlink" Target="https://drive.google.com/file/d/1xTUTrr0173_ccKDm5Fxx-53U1yf8pfWL/view?usp=drivesdk" TargetMode="External"/><Relationship Id="rId935" Type="http://schemas.openxmlformats.org/officeDocument/2006/relationships/hyperlink" Target="https://drive.google.com/file/d/1E1oRnD9fK_Htsqzgj4p5kYCDtb-VGjiY/view?usp=drivesdk" TargetMode="External"/><Relationship Id="rId934" Type="http://schemas.openxmlformats.org/officeDocument/2006/relationships/hyperlink" Target="https://drive.google.com/file/d/1myi-INObjfnblAM09778-WFMbA_Jg0q5/view?usp=drivesdk" TargetMode="External"/><Relationship Id="rId933" Type="http://schemas.openxmlformats.org/officeDocument/2006/relationships/hyperlink" Target="https://drive.google.com/file/d/1A4PMBNgDUsm5aNwwx3ee7ZtPhG75iZcI/view?usp=drivesdk" TargetMode="External"/><Relationship Id="rId2850" Type="http://schemas.openxmlformats.org/officeDocument/2006/relationships/hyperlink" Target="https://drive.google.com/file/d/1HhEmL-PUvuI5FHApDqGcA10NpVoL21gI/view?usp=drivesdk" TargetMode="External"/><Relationship Id="rId1520" Type="http://schemas.openxmlformats.org/officeDocument/2006/relationships/hyperlink" Target="https://drive.google.com/file/d/10gRPw-sSDydqpqC7fAjzKHSM2s3XH8yb/view?usp=drivesdk" TargetMode="External"/><Relationship Id="rId2851" Type="http://schemas.openxmlformats.org/officeDocument/2006/relationships/hyperlink" Target="https://drive.google.com/file/d/1-jLcgjjUeo-Y-h24AdpEM7F06aD32EM9/view?usp=drivesdk" TargetMode="External"/><Relationship Id="rId1554" Type="http://schemas.openxmlformats.org/officeDocument/2006/relationships/hyperlink" Target="https://drive.google.com/file/d/1cqiY9f42zH5ACt8CbonDe8_1ljXV8uM0/view?usp=drivesdk" TargetMode="External"/><Relationship Id="rId2885" Type="http://schemas.openxmlformats.org/officeDocument/2006/relationships/hyperlink" Target="https://drive.google.com/file/d/1-iDLhwSfYBvEMUsPZMehzv0nowMAol95/view?usp=drivesdk" TargetMode="External"/><Relationship Id="rId1555" Type="http://schemas.openxmlformats.org/officeDocument/2006/relationships/hyperlink" Target="https://drive.google.com/file/d/1_mRYGEcEpXjP-s3iFU6n4kJQ6hgtRXAf/view?usp=drivesdk" TargetMode="External"/><Relationship Id="rId2886" Type="http://schemas.openxmlformats.org/officeDocument/2006/relationships/hyperlink" Target="https://drive.google.com/file/d/1Z4wKnQURRayLcAV9g7lQ4LvZwwEc8vme/view?usp=drivesdk" TargetMode="External"/><Relationship Id="rId1556" Type="http://schemas.openxmlformats.org/officeDocument/2006/relationships/hyperlink" Target="https://drive.google.com/file/d/1Ut1Ay40foCfDtCfsdVu7iw8MzlKaHbUr/view?usp=drivesdk" TargetMode="External"/><Relationship Id="rId2887" Type="http://schemas.openxmlformats.org/officeDocument/2006/relationships/hyperlink" Target="https://drive.google.com/file/d/1Xn2HtV7dSgQIPm5V0OQdkL4fnlV5lAZC/view?usp=drivesdk" TargetMode="External"/><Relationship Id="rId1557" Type="http://schemas.openxmlformats.org/officeDocument/2006/relationships/hyperlink" Target="https://drive.google.com/file/d/1HyLJ4OgOcHuSMtRRzoyE0hgL_iY6hs4i/view?usp=drivesdk" TargetMode="External"/><Relationship Id="rId2888" Type="http://schemas.openxmlformats.org/officeDocument/2006/relationships/hyperlink" Target="https://drive.google.com/file/d/1MxL0HE66biv0jYargY74rwi80LTA1OBG/view?usp=drivesdk" TargetMode="External"/><Relationship Id="rId1558" Type="http://schemas.openxmlformats.org/officeDocument/2006/relationships/hyperlink" Target="https://drive.google.com/file/d/1nKP5C6nr6PWQN0mVn_O79wLoQs-ww_xk/view?usp=drivesdk" TargetMode="External"/><Relationship Id="rId2889" Type="http://schemas.openxmlformats.org/officeDocument/2006/relationships/hyperlink" Target="https://drive.google.com/file/d/1Z4JXWCj7LncCdG22qCkwRjoyDuVfZ7Mq/view?usp=drivesdk" TargetMode="External"/><Relationship Id="rId1559" Type="http://schemas.openxmlformats.org/officeDocument/2006/relationships/hyperlink" Target="https://drive.google.com/file/d/1OJPnzMBZEm5T9-Zs-7NYBUbZB7mRchuB/view?usp=drivesdk" TargetMode="External"/><Relationship Id="rId965" Type="http://schemas.openxmlformats.org/officeDocument/2006/relationships/hyperlink" Target="https://drive.google.com/file/d/1HBcl9GtxMLTyat_fHKoSDKQXHrPZIeSY/view?usp=drivesdk" TargetMode="External"/><Relationship Id="rId964" Type="http://schemas.openxmlformats.org/officeDocument/2006/relationships/hyperlink" Target="https://drive.google.com/file/d/1-uqBXPFf5vDuYIQ1Ru3rQM-0igZxrMQh/view?usp=drivesdk" TargetMode="External"/><Relationship Id="rId963" Type="http://schemas.openxmlformats.org/officeDocument/2006/relationships/hyperlink" Target="https://drive.google.com/file/d/1unA0EJeJ4oEAIAgRaEtHPzS9bmkfU06d/view?usp=drivesdk" TargetMode="External"/><Relationship Id="rId962" Type="http://schemas.openxmlformats.org/officeDocument/2006/relationships/hyperlink" Target="https://drive.google.com/file/d/1nlQe3Gx93fEu1ni11s9MASI55iUvwc4t/view?usp=drivesdk" TargetMode="External"/><Relationship Id="rId969" Type="http://schemas.openxmlformats.org/officeDocument/2006/relationships/hyperlink" Target="https://drive.google.com/file/d/17RILJ8Kp3aXjsrD9EWJj5rKzpmj_WScI/view?usp=drivesdk" TargetMode="External"/><Relationship Id="rId968" Type="http://schemas.openxmlformats.org/officeDocument/2006/relationships/hyperlink" Target="https://drive.google.com/file/d/16fIQtMCIuoLazr7WDbfbMWl0_ec5XyiY/view?usp=drivesdk" TargetMode="External"/><Relationship Id="rId967" Type="http://schemas.openxmlformats.org/officeDocument/2006/relationships/hyperlink" Target="https://drive.google.com/file/d/172zAjuO0TuzgZTkp5PqYm29Jzoo-9DMY/view?usp=drivesdk" TargetMode="External"/><Relationship Id="rId966" Type="http://schemas.openxmlformats.org/officeDocument/2006/relationships/hyperlink" Target="https://drive.google.com/file/d/1L2r3oYGC-yHwiy-p-P2Apba3DccVh9oX/view?usp=drivesdk" TargetMode="External"/><Relationship Id="rId2880" Type="http://schemas.openxmlformats.org/officeDocument/2006/relationships/hyperlink" Target="https://drive.google.com/file/d/1ASy5Ijj19JVxK69-UEmgUCII9eGagaWN/view?usp=drivesdk" TargetMode="External"/><Relationship Id="rId961" Type="http://schemas.openxmlformats.org/officeDocument/2006/relationships/hyperlink" Target="https://drive.google.com/file/d/10csPVdORv2XQ8mczXS2OEWh4mNuVdD5U/view?usp=drivesdk" TargetMode="External"/><Relationship Id="rId1550" Type="http://schemas.openxmlformats.org/officeDocument/2006/relationships/hyperlink" Target="https://drive.google.com/file/d/1QG7Y5Fmv7otyHYLQLM15bggpB0H8dpos/view?usp=drivesdk" TargetMode="External"/><Relationship Id="rId2881" Type="http://schemas.openxmlformats.org/officeDocument/2006/relationships/hyperlink" Target="https://drive.google.com/file/d/1JwTpbx5LewEGmpAzwfHZfdr5aXRuAtKA/view?usp=drivesdk" TargetMode="External"/><Relationship Id="rId960" Type="http://schemas.openxmlformats.org/officeDocument/2006/relationships/hyperlink" Target="https://drive.google.com/file/d/1gGAF_VWiBwStxSZfYWEwIATekQ9F19q3/view?usp=drivesdk" TargetMode="External"/><Relationship Id="rId1551" Type="http://schemas.openxmlformats.org/officeDocument/2006/relationships/hyperlink" Target="https://drive.google.com/file/d/1UWKthwWSBAazxkTfi9LDk9o2AhCkhi_S/view?usp=drivesdk" TargetMode="External"/><Relationship Id="rId2882" Type="http://schemas.openxmlformats.org/officeDocument/2006/relationships/hyperlink" Target="https://drive.google.com/file/d/1WH1eTUOrIlNT_25uXe11jOatZzbF4TTi/view?usp=drivesdk" TargetMode="External"/><Relationship Id="rId1552" Type="http://schemas.openxmlformats.org/officeDocument/2006/relationships/hyperlink" Target="https://drive.google.com/file/d/17GlGe7_RGXyFaArL9TiBU9MEsevDG111/view?usp=drivesdk" TargetMode="External"/><Relationship Id="rId2883" Type="http://schemas.openxmlformats.org/officeDocument/2006/relationships/hyperlink" Target="https://drive.google.com/file/d/1b4MeYS4qGy_AzBUIK-TgvRzlgBNgh-uj/view?usp=drivesdk" TargetMode="External"/><Relationship Id="rId1553" Type="http://schemas.openxmlformats.org/officeDocument/2006/relationships/hyperlink" Target="https://drive.google.com/file/d/14axjq1iTta8_4AR6xwVamICmBCsBoX4O/view?usp=drivesdk" TargetMode="External"/><Relationship Id="rId2884" Type="http://schemas.openxmlformats.org/officeDocument/2006/relationships/hyperlink" Target="https://drive.google.com/file/d/11hgTiGnOIAPhjP5wM6wo_EN06reBwagp/view?usp=drivesdk" TargetMode="External"/><Relationship Id="rId1543" Type="http://schemas.openxmlformats.org/officeDocument/2006/relationships/hyperlink" Target="https://drive.google.com/file/d/1pAq_f-JGnYr8XhKTwIJ_jsvzb-MZiVtn/view?usp=drivesdk" TargetMode="External"/><Relationship Id="rId2874" Type="http://schemas.openxmlformats.org/officeDocument/2006/relationships/hyperlink" Target="https://drive.google.com/file/d/1xmxAzQzGZWScabUGW6SEprd-v7ss99h-/view?usp=drivesdk" TargetMode="External"/><Relationship Id="rId1544" Type="http://schemas.openxmlformats.org/officeDocument/2006/relationships/hyperlink" Target="https://drive.google.com/file/d/1YO2V0uFTlr-Jkk-6aJscKbKrQtKD5YQc/view?usp=drivesdk" TargetMode="External"/><Relationship Id="rId2875" Type="http://schemas.openxmlformats.org/officeDocument/2006/relationships/hyperlink" Target="https://drive.google.com/file/d/171zGFRYxjRJp2PWfqgc7t35_ssQf90Kv/view?usp=drivesdk" TargetMode="External"/><Relationship Id="rId1545" Type="http://schemas.openxmlformats.org/officeDocument/2006/relationships/hyperlink" Target="https://drive.google.com/file/d/13yuThHdfPudYhlJ_qe0R-HrG64M7Sc1e/view?usp=drivesdk" TargetMode="External"/><Relationship Id="rId2876" Type="http://schemas.openxmlformats.org/officeDocument/2006/relationships/hyperlink" Target="https://drive.google.com/file/d/1w757yPShSD3hl9AW9TzCih6sRfEbl-jy/view?usp=drivesdk" TargetMode="External"/><Relationship Id="rId1546" Type="http://schemas.openxmlformats.org/officeDocument/2006/relationships/hyperlink" Target="https://drive.google.com/file/d/1tu9G6Q3V6L9Q4z7ktl9C12_DgeFaw9c9/view?usp=drivesdk" TargetMode="External"/><Relationship Id="rId2877" Type="http://schemas.openxmlformats.org/officeDocument/2006/relationships/hyperlink" Target="https://drive.google.com/file/d/1_CXduVNzLHD5OPMNeBOlNpAb0mw-IZqk/view?usp=drivesdk" TargetMode="External"/><Relationship Id="rId1547" Type="http://schemas.openxmlformats.org/officeDocument/2006/relationships/hyperlink" Target="https://drive.google.com/file/d/1wiVrn9gXgapCjpb7smmE5hY1f7VWZo7K/view?usp=drivesdk" TargetMode="External"/><Relationship Id="rId2878" Type="http://schemas.openxmlformats.org/officeDocument/2006/relationships/hyperlink" Target="https://drive.google.com/file/d/1Q2uLe3YB3pxjJRR48l6-5gbqjD_hZmmm/view?usp=drivesdk" TargetMode="External"/><Relationship Id="rId1548" Type="http://schemas.openxmlformats.org/officeDocument/2006/relationships/hyperlink" Target="https://drive.google.com/file/d/1tA098RFP45mU5B9rJ1aX7JTkFpl6eGqD/view?usp=drivesdk" TargetMode="External"/><Relationship Id="rId2879" Type="http://schemas.openxmlformats.org/officeDocument/2006/relationships/hyperlink" Target="https://drive.google.com/file/d/1udPErXMvJjz5tFPypZ5-uEPDrlBFOqHV/view?usp=drivesdk" TargetMode="External"/><Relationship Id="rId1549" Type="http://schemas.openxmlformats.org/officeDocument/2006/relationships/hyperlink" Target="https://drive.google.com/file/d/1MDuFz_8H1rbtyN6ZHWnYpxVzTHrFgVVT/view?usp=drivesdk" TargetMode="External"/><Relationship Id="rId959" Type="http://schemas.openxmlformats.org/officeDocument/2006/relationships/hyperlink" Target="https://drive.google.com/file/d/1MPEMQ59X2eBmw_LZCowlK5abAx5xLgaF/view?usp=drivesdk" TargetMode="External"/><Relationship Id="rId954" Type="http://schemas.openxmlformats.org/officeDocument/2006/relationships/hyperlink" Target="https://drive.google.com/file/d/1D9ubLFIsX9bg9hlMueO_2QMgI4C-aoCT/view?usp=drivesdk" TargetMode="External"/><Relationship Id="rId953" Type="http://schemas.openxmlformats.org/officeDocument/2006/relationships/hyperlink" Target="https://drive.google.com/file/d/1sc-KSqihCpIM74EpC5YQj2P0ZOZmhFxp/view?usp=drivesdk" TargetMode="External"/><Relationship Id="rId952" Type="http://schemas.openxmlformats.org/officeDocument/2006/relationships/hyperlink" Target="https://drive.google.com/file/d/1mqp82UMsLalumnLJHbAqamtkz-4B8Kh5/view?usp=drivesdk" TargetMode="External"/><Relationship Id="rId951" Type="http://schemas.openxmlformats.org/officeDocument/2006/relationships/hyperlink" Target="https://drive.google.com/file/d/1gwgOc2s-DShH00MVNfXW7lXOIevlIm2H/view?usp=drivesdk" TargetMode="External"/><Relationship Id="rId958" Type="http://schemas.openxmlformats.org/officeDocument/2006/relationships/hyperlink" Target="https://drive.google.com/file/d/1joUqJg-ITccYa7_nuAZk6QmXFoHvIRXO/view?usp=drivesdk" TargetMode="External"/><Relationship Id="rId957" Type="http://schemas.openxmlformats.org/officeDocument/2006/relationships/hyperlink" Target="https://drive.google.com/file/d/170ur2SNCsBvKvVYWgPO8sODwNx9pzrPg/view?usp=drivesdk" TargetMode="External"/><Relationship Id="rId956" Type="http://schemas.openxmlformats.org/officeDocument/2006/relationships/hyperlink" Target="https://drive.google.com/file/d/1NPBO3Njfqk7ION64osicn06ImdUNyZs3/view?usp=drivesdk" TargetMode="External"/><Relationship Id="rId955" Type="http://schemas.openxmlformats.org/officeDocument/2006/relationships/hyperlink" Target="https://drive.google.com/file/d/1Rdi5HtN4rnrPHQws3S27y_iT66WuB7AC/view?usp=drivesdk" TargetMode="External"/><Relationship Id="rId950" Type="http://schemas.openxmlformats.org/officeDocument/2006/relationships/hyperlink" Target="https://drive.google.com/file/d/1UQOLcfpCfRqvBa2UI3Rrqrc2Vw4Lq5sI/view?usp=drivesdk" TargetMode="External"/><Relationship Id="rId2870" Type="http://schemas.openxmlformats.org/officeDocument/2006/relationships/hyperlink" Target="https://drive.google.com/file/d/1lZk7I1QfxNCjXH2rYjHvsvyPXy--GL70/view?usp=drivesdk" TargetMode="External"/><Relationship Id="rId1540" Type="http://schemas.openxmlformats.org/officeDocument/2006/relationships/hyperlink" Target="https://drive.google.com/file/d/1-xW1H5pFUxZnIdvzdK1APOfnpFvU2eBd/view?usp=drivesdk" TargetMode="External"/><Relationship Id="rId2871" Type="http://schemas.openxmlformats.org/officeDocument/2006/relationships/hyperlink" Target="https://drive.google.com/file/d/1LJFll7aq6ueRXwW9nYYGbl7_MiF07arT/view?usp=drivesdk" TargetMode="External"/><Relationship Id="rId1541" Type="http://schemas.openxmlformats.org/officeDocument/2006/relationships/hyperlink" Target="https://drive.google.com/file/d/19xPgTvLY6kAwlW0iHYW5oqcUXCnpuYqB/view?usp=drivesdk" TargetMode="External"/><Relationship Id="rId2872" Type="http://schemas.openxmlformats.org/officeDocument/2006/relationships/hyperlink" Target="https://drive.google.com/file/d/1TIeYpIu1vFNcGa_ItHnDuEdsLzn6s6_e/view?usp=drivesdk" TargetMode="External"/><Relationship Id="rId1542" Type="http://schemas.openxmlformats.org/officeDocument/2006/relationships/hyperlink" Target="https://drive.google.com/file/d/1c9ghdvbVaADc0oaneCf3lWkr1vVdtzPZ/view?usp=drivesdk" TargetMode="External"/><Relationship Id="rId2873" Type="http://schemas.openxmlformats.org/officeDocument/2006/relationships/hyperlink" Target="https://drive.google.com/file/d/1Q3qJZsvg2jpQ3NJfG0cW8GvNnKagbvJO/view?usp=drivesdk" TargetMode="External"/><Relationship Id="rId2027" Type="http://schemas.openxmlformats.org/officeDocument/2006/relationships/hyperlink" Target="https://drive.google.com/file/d/1ERqnCNmVunM7ppHZgbICg_MoBLsei9Mc/view?usp=drivesdk" TargetMode="External"/><Relationship Id="rId3359" Type="http://schemas.openxmlformats.org/officeDocument/2006/relationships/hyperlink" Target="https://drive.google.com/file/d/1kpOuGUqN0LAo5zZy0iBMNoQm-SKkfl40/view?usp=drivesdk" TargetMode="External"/><Relationship Id="rId2028" Type="http://schemas.openxmlformats.org/officeDocument/2006/relationships/hyperlink" Target="https://drive.google.com/file/d/16JjM4p_J9zXWfX1muZyto5XNqWREd9lh/view?usp=drivesdk" TargetMode="External"/><Relationship Id="rId3358" Type="http://schemas.openxmlformats.org/officeDocument/2006/relationships/hyperlink" Target="https://drive.google.com/file/d/1-ebREMqhKYSqhfTTZHn14IGAk00r708P/view?usp=drivesdk" TargetMode="External"/><Relationship Id="rId4689" Type="http://schemas.openxmlformats.org/officeDocument/2006/relationships/hyperlink" Target="https://drive.google.com/file/d/16WdT5ywrNh91txxYM-sk-ZUDZKQ8NhD-/view?usp=drivesdk" TargetMode="External"/><Relationship Id="rId2029" Type="http://schemas.openxmlformats.org/officeDocument/2006/relationships/hyperlink" Target="https://drive.google.com/file/d/1Tq3rkqRS_vBMrNnIvEUdo_KD54AJwKqn/view?usp=drivesdk" TargetMode="External"/><Relationship Id="rId107" Type="http://schemas.openxmlformats.org/officeDocument/2006/relationships/hyperlink" Target="https://drive.google.com/file/d/1-UGyk8eQemIxFZ5JQLJhXm0lAlCSDyUc/view?usp=drivesdk" TargetMode="External"/><Relationship Id="rId106" Type="http://schemas.openxmlformats.org/officeDocument/2006/relationships/hyperlink" Target="https://drive.google.com/file/d/1GH9d57RqLYZgU3hrTPJ6Knm6biZ8grSe/view?usp=drivesdk" TargetMode="External"/><Relationship Id="rId105" Type="http://schemas.openxmlformats.org/officeDocument/2006/relationships/hyperlink" Target="https://drive.google.com/file/d/16fMTYnV07xECRYOFnfveY_arrTxR7CI1/view?usp=drivesdk" TargetMode="External"/><Relationship Id="rId104" Type="http://schemas.openxmlformats.org/officeDocument/2006/relationships/hyperlink" Target="https://drive.google.com/file/d/1wB5psVodM2DscBj4nV4APZ_BAvj_5vLV/view?usp=drivesdk" TargetMode="External"/><Relationship Id="rId109" Type="http://schemas.openxmlformats.org/officeDocument/2006/relationships/hyperlink" Target="https://drive.google.com/file/d/1Qe7lxkjHf0nLjiwGkQm7l1gr2xJO2BkR/view?usp=drivesdk" TargetMode="External"/><Relationship Id="rId4680" Type="http://schemas.openxmlformats.org/officeDocument/2006/relationships/hyperlink" Target="https://drive.google.com/file/d/1VqYaxqkn-GA6FzDsKz6oNpQfxFgZnPGN/view?usp=drivesdk" TargetMode="External"/><Relationship Id="rId108" Type="http://schemas.openxmlformats.org/officeDocument/2006/relationships/hyperlink" Target="https://drive.google.com/file/d/1vJpOq_q0oOnXJiM3hURwiuiTFR04KNsH/view?usp=drivesdk" TargetMode="External"/><Relationship Id="rId3351" Type="http://schemas.openxmlformats.org/officeDocument/2006/relationships/hyperlink" Target="https://drive.google.com/file/d/171cqJZQREY3a0P2gTI6NjvpTfvWX0thE/view?usp=drivesdk" TargetMode="External"/><Relationship Id="rId4682" Type="http://schemas.openxmlformats.org/officeDocument/2006/relationships/hyperlink" Target="https://drive.google.com/file/d/19v7r-maV4Hls42ppgkURjrYxmPPo7hrE/view?usp=drivesdk" TargetMode="External"/><Relationship Id="rId2020" Type="http://schemas.openxmlformats.org/officeDocument/2006/relationships/hyperlink" Target="https://drive.google.com/file/d/1yiducfZqgCOwD3qHCOEUYzpiybdlb5yO/view?usp=drivesdk" TargetMode="External"/><Relationship Id="rId3350" Type="http://schemas.openxmlformats.org/officeDocument/2006/relationships/hyperlink" Target="https://drive.google.com/file/d/1-fp3YHqsAcbdF-t3zBBvk-qNaTtDDWkF/view?usp=drivesdk" TargetMode="External"/><Relationship Id="rId4681" Type="http://schemas.openxmlformats.org/officeDocument/2006/relationships/hyperlink" Target="https://drive.google.com/file/d/15YlRfNH4i8CrMMuVZ68Ud8Ya0OR0zkjL/view?usp=drivesdk" TargetMode="External"/><Relationship Id="rId2021" Type="http://schemas.openxmlformats.org/officeDocument/2006/relationships/hyperlink" Target="https://drive.google.com/file/d/19_wi5D8_366ybBNGJ0clutA4dV5y2qcT/view?usp=drivesdk" TargetMode="External"/><Relationship Id="rId3353" Type="http://schemas.openxmlformats.org/officeDocument/2006/relationships/hyperlink" Target="https://drive.google.com/file/d/1ZIJGdy7oqKsi5ocgav9T5wZdUS3oDDys/view?usp=drivesdk" TargetMode="External"/><Relationship Id="rId4684" Type="http://schemas.openxmlformats.org/officeDocument/2006/relationships/hyperlink" Target="https://drive.google.com/file/d/18BnuOwuJym0H3pY79--AGJXwwnVFEiuX/view?usp=drivesdk" TargetMode="External"/><Relationship Id="rId2022" Type="http://schemas.openxmlformats.org/officeDocument/2006/relationships/hyperlink" Target="https://drive.google.com/file/d/1zF4pVmZcP0P4w3OP9r4R3HnKik22er4G/view?usp=drivesdk" TargetMode="External"/><Relationship Id="rId3352" Type="http://schemas.openxmlformats.org/officeDocument/2006/relationships/hyperlink" Target="https://drive.google.com/file/d/14tRsRknZdfd22pLKmhuycdpukQ9lUCVj/view?usp=drivesdk" TargetMode="External"/><Relationship Id="rId4683" Type="http://schemas.openxmlformats.org/officeDocument/2006/relationships/hyperlink" Target="https://drive.google.com/file/d/1thPhWQ3bNEJQ9Ij-rEpX-PpLoCD-rmuK/view?usp=drivesdk" TargetMode="External"/><Relationship Id="rId103" Type="http://schemas.openxmlformats.org/officeDocument/2006/relationships/hyperlink" Target="https://drive.google.com/file/d/19dMAFB8mYS-FfAUtRztOjpLHAM_Gy3OF/view?usp=drivesdk" TargetMode="External"/><Relationship Id="rId2023" Type="http://schemas.openxmlformats.org/officeDocument/2006/relationships/hyperlink" Target="https://drive.google.com/file/d/1iXre4ONp3re_nThv9qIE-kmmn68bbpPY/view?usp=drivesdk" TargetMode="External"/><Relationship Id="rId3355" Type="http://schemas.openxmlformats.org/officeDocument/2006/relationships/hyperlink" Target="https://drive.google.com/file/d/1AyhZ4uAWxNxL-2EI_M0dpop4yWOzh7nR/view?usp=drivesdk" TargetMode="External"/><Relationship Id="rId4686" Type="http://schemas.openxmlformats.org/officeDocument/2006/relationships/hyperlink" Target="https://drive.google.com/file/d/1oyI2hlDjd2uSoKSX6mHpyRVlTRjsWBLq/view?usp=drivesdk" TargetMode="External"/><Relationship Id="rId102" Type="http://schemas.openxmlformats.org/officeDocument/2006/relationships/hyperlink" Target="https://drive.google.com/file/d/172Mhx3vePliGvFRs3fx1T5710I0E54p8/view?usp=drivesdk" TargetMode="External"/><Relationship Id="rId2024" Type="http://schemas.openxmlformats.org/officeDocument/2006/relationships/hyperlink" Target="https://drive.google.com/file/d/1gyoPaHwnYVuNN63wAPiUn50bQQDLN5wJ/view?usp=drivesdk" TargetMode="External"/><Relationship Id="rId3354" Type="http://schemas.openxmlformats.org/officeDocument/2006/relationships/hyperlink" Target="https://drive.google.com/file/d/1oPTVInbvIK1Yt7L7LXQ3C5BMH0kkM6Vx/view?usp=drivesdk" TargetMode="External"/><Relationship Id="rId4685" Type="http://schemas.openxmlformats.org/officeDocument/2006/relationships/hyperlink" Target="https://drive.google.com/file/d/1wdE94bhzJrAEStqT1F8Ae1_4REz36326/view?usp=drivesdk" TargetMode="External"/><Relationship Id="rId101" Type="http://schemas.openxmlformats.org/officeDocument/2006/relationships/hyperlink" Target="https://drive.google.com/file/d/1aKzQYtlsV1lEd-utw4ioIKT9nSS7xHVu/view?usp=drivesdk" TargetMode="External"/><Relationship Id="rId2025" Type="http://schemas.openxmlformats.org/officeDocument/2006/relationships/hyperlink" Target="https://drive.google.com/file/d/1EBIIG-eDKx8_1b-KmiREFhqAeHDHRGVz/view?usp=drivesdk" TargetMode="External"/><Relationship Id="rId3357" Type="http://schemas.openxmlformats.org/officeDocument/2006/relationships/hyperlink" Target="https://drive.google.com/file/d/1m5D76SFokSK2Dwd1AHlvFc8fSVQ_r6L5/view?usp=drivesdk" TargetMode="External"/><Relationship Id="rId4688" Type="http://schemas.openxmlformats.org/officeDocument/2006/relationships/hyperlink" Target="https://drive.google.com/file/d/1tTM0cIPYmkV0iwfS0jLh2TeqQnJBGsw3/view?usp=drivesdk" TargetMode="External"/><Relationship Id="rId100" Type="http://schemas.openxmlformats.org/officeDocument/2006/relationships/hyperlink" Target="https://drive.google.com/file/d/1zXkgrAR9ekbHMXeTqiX7iv5pPNDUkL0r/view?usp=drivesdk" TargetMode="External"/><Relationship Id="rId2026" Type="http://schemas.openxmlformats.org/officeDocument/2006/relationships/hyperlink" Target="https://drive.google.com/file/d/1jqq3Own4u1B0oYkZq7d4T1bh4rVAALAw/view?usp=drivesdk" TargetMode="External"/><Relationship Id="rId3356" Type="http://schemas.openxmlformats.org/officeDocument/2006/relationships/hyperlink" Target="https://drive.google.com/file/d/1ItqqgDl9mfy1JEKuykvRrfy5n3Xq6ey5/view?usp=drivesdk" TargetMode="External"/><Relationship Id="rId4687" Type="http://schemas.openxmlformats.org/officeDocument/2006/relationships/hyperlink" Target="https://drive.google.com/file/d/1ovTHGQIihgVK5u9TsISBAwFGf1d3a7lU/view?usp=drivesdk" TargetMode="External"/><Relationship Id="rId2016" Type="http://schemas.openxmlformats.org/officeDocument/2006/relationships/hyperlink" Target="https://drive.google.com/file/d/122-j_LEXJ0pM7qGVY8EwQEWVsiz1dIpj/view?usp=drivesdk" TargetMode="External"/><Relationship Id="rId3348" Type="http://schemas.openxmlformats.org/officeDocument/2006/relationships/hyperlink" Target="https://drive.google.com/file/d/1ey6_2h6LwKhAFoz7KPka5XMoToJMdzM4/view?usp=drivesdk" TargetMode="External"/><Relationship Id="rId4679" Type="http://schemas.openxmlformats.org/officeDocument/2006/relationships/hyperlink" Target="https://drive.google.com/file/d/1hcDRT-aidS6LvmkRGqs7JzHqXiW4Kyoo/view?usp=drivesdk" TargetMode="External"/><Relationship Id="rId2017" Type="http://schemas.openxmlformats.org/officeDocument/2006/relationships/hyperlink" Target="https://drive.google.com/file/d/1TkipszzlJwHgRMCyJQ03z92O9-ZVY2A1/view?usp=drivesdk" TargetMode="External"/><Relationship Id="rId3347" Type="http://schemas.openxmlformats.org/officeDocument/2006/relationships/hyperlink" Target="https://drive.google.com/file/d/1UL3-jaP2erS7R_pRO5L8MGqJppEgdJF4/view?usp=drivesdk" TargetMode="External"/><Relationship Id="rId4678" Type="http://schemas.openxmlformats.org/officeDocument/2006/relationships/hyperlink" Target="https://drive.google.com/file/d/1_qJTDV8h1E4BtWf7uBH0K7RLs6coK6HA/view?usp=drivesdk" TargetMode="External"/><Relationship Id="rId2018" Type="http://schemas.openxmlformats.org/officeDocument/2006/relationships/hyperlink" Target="https://drive.google.com/file/d/15GPlSKmtuhY52Fq6mlw8TekB7jnr__24/view?usp=drivesdk" TargetMode="External"/><Relationship Id="rId2019" Type="http://schemas.openxmlformats.org/officeDocument/2006/relationships/hyperlink" Target="https://drive.google.com/file/d/1D3OrywkToKCFkuWr9xN0kfjPOBDvKRoP/view?usp=drivesdk" TargetMode="External"/><Relationship Id="rId3349" Type="http://schemas.openxmlformats.org/officeDocument/2006/relationships/hyperlink" Target="https://drive.google.com/file/d/1QINYOBLSLA5HSN2EspHXZB8PtXLg9QOl/view?usp=drivesdk" TargetMode="External"/><Relationship Id="rId3340" Type="http://schemas.openxmlformats.org/officeDocument/2006/relationships/hyperlink" Target="https://drive.google.com/file/d/1HrZ9RHIQMwakbiiacfYQNOI9jW9cTF4U/view?usp=drivesdk" TargetMode="External"/><Relationship Id="rId4671" Type="http://schemas.openxmlformats.org/officeDocument/2006/relationships/hyperlink" Target="https://drive.google.com/file/d/1uGIKAt8yF2_qN8aSs7LujAKS2BcXy8kw/view?usp=drivesdk" TargetMode="External"/><Relationship Id="rId4670" Type="http://schemas.openxmlformats.org/officeDocument/2006/relationships/hyperlink" Target="https://drive.google.com/file/d/1GWDZORefSw5jHlptDrQyROaut6G9iIH5/view?usp=drivesdk" TargetMode="External"/><Relationship Id="rId2010" Type="http://schemas.openxmlformats.org/officeDocument/2006/relationships/hyperlink" Target="https://drive.google.com/file/d/1Bbp4sXWXgQwyiAD55P-Wk5FI1T8S5faM/view?usp=drivesdk" TargetMode="External"/><Relationship Id="rId3342" Type="http://schemas.openxmlformats.org/officeDocument/2006/relationships/hyperlink" Target="https://drive.google.com/file/d/1L12puj3M2zh8ES1_t-fKv7QvoKSYWS5e/view?usp=drivesdk" TargetMode="External"/><Relationship Id="rId4673" Type="http://schemas.openxmlformats.org/officeDocument/2006/relationships/hyperlink" Target="https://drive.google.com/file/d/1d0YXcELE4tc6xWjKdLR6JdRiXU8m6LaO/view?usp=drivesdk" TargetMode="External"/><Relationship Id="rId2011" Type="http://schemas.openxmlformats.org/officeDocument/2006/relationships/hyperlink" Target="https://drive.google.com/file/d/1K1_PQnAVnP6ZkGDEBf5Z-nQYuOJ1yf6v/view?usp=drivesdk" TargetMode="External"/><Relationship Id="rId3341" Type="http://schemas.openxmlformats.org/officeDocument/2006/relationships/hyperlink" Target="https://drive.google.com/file/d/1iU4SnBKgEla7RQQZnQBKmS419AmRXLD8/view?usp=drivesdk" TargetMode="External"/><Relationship Id="rId4672" Type="http://schemas.openxmlformats.org/officeDocument/2006/relationships/hyperlink" Target="https://drive.google.com/file/d/1BELguQiTiV-1nYdENLpFaNi3XncxIl9Z/view?usp=drivesdk" TargetMode="External"/><Relationship Id="rId2012" Type="http://schemas.openxmlformats.org/officeDocument/2006/relationships/hyperlink" Target="https://drive.google.com/file/d/1zIDRzmpySwZHN_MrygYiYesaSaRk-wJW/view?usp=drivesdk" TargetMode="External"/><Relationship Id="rId3344" Type="http://schemas.openxmlformats.org/officeDocument/2006/relationships/hyperlink" Target="https://drive.google.com/file/d/1z4TsWw0NROAEbY_5-lq5AEqeode5wwI4/view?usp=drivesdk" TargetMode="External"/><Relationship Id="rId4675" Type="http://schemas.openxmlformats.org/officeDocument/2006/relationships/hyperlink" Target="https://drive.google.com/file/d/1ReJbtr4XRV6owfyBb_A0-tZpt74f2ohu/view?usp=drivesdk" TargetMode="External"/><Relationship Id="rId2013" Type="http://schemas.openxmlformats.org/officeDocument/2006/relationships/hyperlink" Target="https://drive.google.com/file/d/1-6kmg5q4HA70wABhKY1jn5mkBs5neeUJ/view?usp=drivesdk" TargetMode="External"/><Relationship Id="rId3343" Type="http://schemas.openxmlformats.org/officeDocument/2006/relationships/hyperlink" Target="https://drive.google.com/file/d/1MmumA0tT0bi7UscbmF2qw9GpaOh9_t-l/view?usp=drivesdk" TargetMode="External"/><Relationship Id="rId4674" Type="http://schemas.openxmlformats.org/officeDocument/2006/relationships/hyperlink" Target="https://drive.google.com/file/d/1fMPqJAt9COMNBDII9TSQT_4cUwnKeMRb/view?usp=drivesdk" TargetMode="External"/><Relationship Id="rId2014" Type="http://schemas.openxmlformats.org/officeDocument/2006/relationships/hyperlink" Target="https://drive.google.com/file/d/1Dm8K3s83Q16mC6PNZ9iFNmlmab6hZP2Q/view?usp=drivesdk" TargetMode="External"/><Relationship Id="rId3346" Type="http://schemas.openxmlformats.org/officeDocument/2006/relationships/hyperlink" Target="https://drive.google.com/file/d/1Qqhl_bRoQgvFlnX8i3siNX05aeidejoz/view?usp=drivesdk" TargetMode="External"/><Relationship Id="rId4677" Type="http://schemas.openxmlformats.org/officeDocument/2006/relationships/hyperlink" Target="https://drive.google.com/file/d/1jZojH8H7IkscAdOqKw_4kq9TTpbwDgrV/view?usp=drivesdk" TargetMode="External"/><Relationship Id="rId2015" Type="http://schemas.openxmlformats.org/officeDocument/2006/relationships/hyperlink" Target="https://drive.google.com/file/d/1CLnxoSo1MZZosqX3tLU0QMTCbsyuxHaM/view?usp=drivesdk" TargetMode="External"/><Relationship Id="rId3345" Type="http://schemas.openxmlformats.org/officeDocument/2006/relationships/hyperlink" Target="https://drive.google.com/file/d/1nti3rZf11HACvtRtYZIm661dZqfRimTl/view?usp=drivesdk" TargetMode="External"/><Relationship Id="rId4676" Type="http://schemas.openxmlformats.org/officeDocument/2006/relationships/hyperlink" Target="https://drive.google.com/file/d/1ViZr0CMBJrZwzq2aNVBKwxVa4XbTBWXQ/view?usp=drivesdk" TargetMode="External"/><Relationship Id="rId2049" Type="http://schemas.openxmlformats.org/officeDocument/2006/relationships/hyperlink" Target="https://drive.google.com/file/d/15r9c-US6R-dCI-u6_pOvkcxTYPLKgLqi/view?usp=drivesdk" TargetMode="External"/><Relationship Id="rId129" Type="http://schemas.openxmlformats.org/officeDocument/2006/relationships/hyperlink" Target="https://drive.google.com/file/d/1sXvMTfQZj7BHiwNJX1jcbTktwZQBETxe/view?usp=drivesdk" TargetMode="External"/><Relationship Id="rId128" Type="http://schemas.openxmlformats.org/officeDocument/2006/relationships/hyperlink" Target="https://drive.google.com/file/d/1-82pQHgpTYozvliuVhP3VCk-RYgTN-5v/view?usp=drivesdk" TargetMode="External"/><Relationship Id="rId127" Type="http://schemas.openxmlformats.org/officeDocument/2006/relationships/hyperlink" Target="https://drive.google.com/file/d/1pQubWs7lJYOyzXFwsB6-t0oLUQYQ39wJ/view?usp=drivesdk" TargetMode="External"/><Relationship Id="rId126" Type="http://schemas.openxmlformats.org/officeDocument/2006/relationships/hyperlink" Target="https://drive.google.com/file/d/1al8C0yOTGPxt_bd1ETZMckmh_2EIoeBK/view?usp=drivesdk" TargetMode="External"/><Relationship Id="rId3371" Type="http://schemas.openxmlformats.org/officeDocument/2006/relationships/hyperlink" Target="https://drive.google.com/file/d/1-qPMhnuazD7Wd1UGm2huxZpRxkbEDgKo/view?usp=drivesdk" TargetMode="External"/><Relationship Id="rId2040" Type="http://schemas.openxmlformats.org/officeDocument/2006/relationships/hyperlink" Target="https://drive.google.com/file/d/12ilAvmGfwvOYcxMqpVnzR71ul7B8RlKh/view?usp=drivesdk" TargetMode="External"/><Relationship Id="rId3370" Type="http://schemas.openxmlformats.org/officeDocument/2006/relationships/hyperlink" Target="https://drive.google.com/file/d/1-GUqx46LtXhOmDEia2rU-_3N0dVMsjjg/view?usp=drivesdk" TargetMode="External"/><Relationship Id="rId121" Type="http://schemas.openxmlformats.org/officeDocument/2006/relationships/hyperlink" Target="https://drive.google.com/file/d/1esybpi1-ciu_hLcCQzNAIAha7HdvCx1n/view?usp=drivesdk" TargetMode="External"/><Relationship Id="rId2041" Type="http://schemas.openxmlformats.org/officeDocument/2006/relationships/hyperlink" Target="https://drive.google.com/file/d/18thoHr7_XZvMBPONY_0OmGwBARktM22t/view?usp=drivesdk" TargetMode="External"/><Relationship Id="rId3373" Type="http://schemas.openxmlformats.org/officeDocument/2006/relationships/hyperlink" Target="https://drive.google.com/file/d/1fpMXmLlAe3zpW9q9rNn88kooOkL9kY93/view?usp=drivesdk" TargetMode="External"/><Relationship Id="rId120" Type="http://schemas.openxmlformats.org/officeDocument/2006/relationships/hyperlink" Target="https://drive.google.com/file/d/1W64HKTRc-B_5_Aj2wvasYe1qqqsjSiwk/view?usp=drivesdk" TargetMode="External"/><Relationship Id="rId2042" Type="http://schemas.openxmlformats.org/officeDocument/2006/relationships/hyperlink" Target="https://drive.google.com/file/d/1FO2Fv9FECUPaGTuFKauUZJTnwZGV3qxq/view?usp=drivesdk" TargetMode="External"/><Relationship Id="rId3372" Type="http://schemas.openxmlformats.org/officeDocument/2006/relationships/hyperlink" Target="https://drive.google.com/file/d/1JZkqpXjZ2CrSYzbkarQaYkIoWR6XLitw/view?usp=drivesdk" TargetMode="External"/><Relationship Id="rId2043" Type="http://schemas.openxmlformats.org/officeDocument/2006/relationships/hyperlink" Target="https://drive.google.com/file/d/1-piBfE61bFmsXsmI1ZyVBCn8A0Qz6eS_/view?usp=drivesdk" TargetMode="External"/><Relationship Id="rId3375" Type="http://schemas.openxmlformats.org/officeDocument/2006/relationships/hyperlink" Target="https://drive.google.com/file/d/1y7phy5EQ6hpRYHiP162L2RvKMqRtL2TD/view?usp=drivesdk" TargetMode="External"/><Relationship Id="rId2044" Type="http://schemas.openxmlformats.org/officeDocument/2006/relationships/hyperlink" Target="https://drive.google.com/file/d/14VvqJ_Ft9bKqqriT8yuNhRonnN3omqzC/view?usp=drivesdk" TargetMode="External"/><Relationship Id="rId3374" Type="http://schemas.openxmlformats.org/officeDocument/2006/relationships/hyperlink" Target="https://drive.google.com/file/d/1mDSmTHrxhO7JlYYpXdWwqR-EKiBZxRwe/view?usp=drivesdk" TargetMode="External"/><Relationship Id="rId125" Type="http://schemas.openxmlformats.org/officeDocument/2006/relationships/hyperlink" Target="https://drive.google.com/file/d/1zF5fxMSkFSigAVLRm7YoLUyC77d-G0px/view?usp=drivesdk" TargetMode="External"/><Relationship Id="rId2045" Type="http://schemas.openxmlformats.org/officeDocument/2006/relationships/hyperlink" Target="https://drive.google.com/file/d/1ZaA3rVupYvCzUE6gCseUsYP1-OBZ9GZD/view?usp=drivesdk" TargetMode="External"/><Relationship Id="rId3377" Type="http://schemas.openxmlformats.org/officeDocument/2006/relationships/hyperlink" Target="https://drive.google.com/file/d/1HenxXmTaG8HWVlPylN1O0Ul5tC_F3njP/view?usp=drivesdk" TargetMode="External"/><Relationship Id="rId124" Type="http://schemas.openxmlformats.org/officeDocument/2006/relationships/hyperlink" Target="https://drive.google.com/file/d/1_igfbBk6npYlm9XF5VRC4V92AEsm1UhM/view?usp=drivesdk" TargetMode="External"/><Relationship Id="rId2046" Type="http://schemas.openxmlformats.org/officeDocument/2006/relationships/hyperlink" Target="https://drive.google.com/file/d/1pCH8J8mLhueixy7g3dhf9_u5I582N8nA/view?usp=drivesdk" TargetMode="External"/><Relationship Id="rId3376" Type="http://schemas.openxmlformats.org/officeDocument/2006/relationships/hyperlink" Target="https://drive.google.com/file/d/1icn20ko0h4zwEYVSeu1DTJqOuTalbIqF/view?usp=drivesdk" TargetMode="External"/><Relationship Id="rId123" Type="http://schemas.openxmlformats.org/officeDocument/2006/relationships/hyperlink" Target="https://drive.google.com/file/d/1x6b1nsyW5jhwLFrz3Dom_P49NDzcsYMz/view?usp=drivesdk" TargetMode="External"/><Relationship Id="rId2047" Type="http://schemas.openxmlformats.org/officeDocument/2006/relationships/hyperlink" Target="https://drive.google.com/file/d/1evsWcBlcLdQrkG5QdiQGR5_Ipd25iIDW/view?usp=drivesdk" TargetMode="External"/><Relationship Id="rId3379" Type="http://schemas.openxmlformats.org/officeDocument/2006/relationships/hyperlink" Target="https://drive.google.com/file/d/1-Lop-n18tef-41aqoWrfDJTSErsxTqqt/view?usp=drivesdk" TargetMode="External"/><Relationship Id="rId122" Type="http://schemas.openxmlformats.org/officeDocument/2006/relationships/hyperlink" Target="https://drive.google.com/file/d/1jJ44bjYXtlAFyOC4lVfgKAo4WdVcxMIO/view?usp=drivesdk" TargetMode="External"/><Relationship Id="rId2048" Type="http://schemas.openxmlformats.org/officeDocument/2006/relationships/hyperlink" Target="https://drive.google.com/file/d/1cIms707G086aya8uqZtTMYt0jkgr9uUb/view?usp=drivesdk" TargetMode="External"/><Relationship Id="rId3378" Type="http://schemas.openxmlformats.org/officeDocument/2006/relationships/hyperlink" Target="https://drive.google.com/file/d/1AVt_bdIWeSzmZvysptmIH1Us-JYGtxgZ/view?usp=drivesdk" TargetMode="External"/><Relationship Id="rId2038" Type="http://schemas.openxmlformats.org/officeDocument/2006/relationships/hyperlink" Target="https://drive.google.com/file/d/19G58vSuNJbcdFAR54gBozQDeQJ2gxylh/view?usp=drivesdk" TargetMode="External"/><Relationship Id="rId2039" Type="http://schemas.openxmlformats.org/officeDocument/2006/relationships/hyperlink" Target="https://drive.google.com/file/d/13HCEHVLph7KY5wzLFIJ6llxx3o6WizIn/view?usp=drivesdk" TargetMode="External"/><Relationship Id="rId3369" Type="http://schemas.openxmlformats.org/officeDocument/2006/relationships/hyperlink" Target="https://drive.google.com/file/d/184hSUHUIsEiRbaAjMXM7DP_PWOec8C7D/view?usp=drivesdk" TargetMode="External"/><Relationship Id="rId118" Type="http://schemas.openxmlformats.org/officeDocument/2006/relationships/hyperlink" Target="https://drive.google.com/file/d/1moZkueX44AeEgb1mgVqbfleDGuDYX7vW/view?usp=drivesdk" TargetMode="External"/><Relationship Id="rId117" Type="http://schemas.openxmlformats.org/officeDocument/2006/relationships/hyperlink" Target="https://drive.google.com/file/d/1fdC-mO6-hCqr43566x8LQQNB1eA7xWL4/view?usp=drivesdk" TargetMode="External"/><Relationship Id="rId116" Type="http://schemas.openxmlformats.org/officeDocument/2006/relationships/hyperlink" Target="https://drive.google.com/file/d/1XMckZeOi0cV9z6ZgYstFp5DCKfXc7IwP/view?usp=drivesdk" TargetMode="External"/><Relationship Id="rId115" Type="http://schemas.openxmlformats.org/officeDocument/2006/relationships/hyperlink" Target="https://drive.google.com/file/d/1tFg8de3poWMtA__BVamM4A4K0_BCfdxh/view?usp=drivesdk" TargetMode="External"/><Relationship Id="rId3360" Type="http://schemas.openxmlformats.org/officeDocument/2006/relationships/hyperlink" Target="https://drive.google.com/file/d/19fydqT0jsisg1EycEqYkAaZHep-izefe/view?usp=drivesdk" TargetMode="External"/><Relationship Id="rId4691" Type="http://schemas.openxmlformats.org/officeDocument/2006/relationships/hyperlink" Target="https://drive.google.com/file/d/1a4kPjqBbp2f0mO0AUqjas4pA8EghR807/view?usp=drivesdk" TargetMode="External"/><Relationship Id="rId119" Type="http://schemas.openxmlformats.org/officeDocument/2006/relationships/hyperlink" Target="https://drive.google.com/file/d/1XXmuhdHxsevvrKeTuUH_WWha7038702t/view?usp=drivesdk" TargetMode="External"/><Relationship Id="rId4690" Type="http://schemas.openxmlformats.org/officeDocument/2006/relationships/hyperlink" Target="https://drive.google.com/file/d/1fsbOpZtMOPOvY4ZhSOT8mpiH3aB7RvVn/view?usp=drivesdk" TargetMode="External"/><Relationship Id="rId110" Type="http://schemas.openxmlformats.org/officeDocument/2006/relationships/hyperlink" Target="https://drive.google.com/file/d/1DInO7-qxZaNdxyjwWUJvV1j3HLcxixLF/view?usp=drivesdk" TargetMode="External"/><Relationship Id="rId2030" Type="http://schemas.openxmlformats.org/officeDocument/2006/relationships/hyperlink" Target="https://drive.google.com/file/d/1Uvklvk2DN84UHwFIMVYw_jWoVhq4lS2p/view?usp=drivesdk" TargetMode="External"/><Relationship Id="rId3362" Type="http://schemas.openxmlformats.org/officeDocument/2006/relationships/hyperlink" Target="https://drive.google.com/file/d/1nquJEcZ61ID4QtaE9dwfwpkuxFkZRsXS/view?usp=drivesdk" TargetMode="External"/><Relationship Id="rId4693" Type="http://schemas.openxmlformats.org/officeDocument/2006/relationships/hyperlink" Target="https://drive.google.com/file/d/1pw011-fjRayCiezWL-frMjo4A8FS1RKe/view?usp=drivesdk" TargetMode="External"/><Relationship Id="rId2031" Type="http://schemas.openxmlformats.org/officeDocument/2006/relationships/hyperlink" Target="https://drive.google.com/file/d/1jhadQjieA0XkB-oswCCK187P2TeaQu52/view?usp=drivesdk" TargetMode="External"/><Relationship Id="rId3361" Type="http://schemas.openxmlformats.org/officeDocument/2006/relationships/hyperlink" Target="https://drive.google.com/file/d/1D5XRZmUag1K0kSeg33fZ0ABE8LBVg8_V/view?usp=drivesdk" TargetMode="External"/><Relationship Id="rId4692" Type="http://schemas.openxmlformats.org/officeDocument/2006/relationships/hyperlink" Target="https://drive.google.com/file/d/1Ayr75BFKyO1WArwrES2WIiVE7LKaW1Ed/view?usp=drivesdk" TargetMode="External"/><Relationship Id="rId2032" Type="http://schemas.openxmlformats.org/officeDocument/2006/relationships/hyperlink" Target="https://drive.google.com/file/d/11tZ5QyltjtHASi8YZvBjMsijR11wu3Zk/view?usp=drivesdk" TargetMode="External"/><Relationship Id="rId3364" Type="http://schemas.openxmlformats.org/officeDocument/2006/relationships/hyperlink" Target="https://drive.google.com/file/d/1C436uQ1hawVSawP-uC_7m7m-U0XmIS2z/view?usp=drivesdk" TargetMode="External"/><Relationship Id="rId4695" Type="http://schemas.openxmlformats.org/officeDocument/2006/relationships/hyperlink" Target="https://drive.google.com/file/d/1P_4ybCKfvInECymt2DLwTNSMDV9jNwOp/view?usp=drivesdk" TargetMode="External"/><Relationship Id="rId2033" Type="http://schemas.openxmlformats.org/officeDocument/2006/relationships/hyperlink" Target="https://drive.google.com/file/d/1c5RlT9fuAOXA7Wp9Bh-IX8iB-Cn5DooZ/view?usp=drivesdk" TargetMode="External"/><Relationship Id="rId3363" Type="http://schemas.openxmlformats.org/officeDocument/2006/relationships/hyperlink" Target="https://drive.google.com/file/d/1Tbg1z89d7_oU-3zXdsj-aNz1n9Pri88b/view?usp=drivesdk" TargetMode="External"/><Relationship Id="rId4694" Type="http://schemas.openxmlformats.org/officeDocument/2006/relationships/hyperlink" Target="https://drive.google.com/file/d/1yLNBYRSgr_gtsFn-S7Fk6vCuUO8GBguX/view?usp=drivesdk" TargetMode="External"/><Relationship Id="rId114" Type="http://schemas.openxmlformats.org/officeDocument/2006/relationships/hyperlink" Target="https://drive.google.com/file/d/16geKpxdrfNv25LjpkSBRWn2zqCbZKprm/view?usp=drivesdk" TargetMode="External"/><Relationship Id="rId2034" Type="http://schemas.openxmlformats.org/officeDocument/2006/relationships/hyperlink" Target="https://drive.google.com/file/d/17S36Mw47wAGlzX1bZLLR3J7LiWd7vlhE/view?usp=drivesdk" TargetMode="External"/><Relationship Id="rId3366" Type="http://schemas.openxmlformats.org/officeDocument/2006/relationships/hyperlink" Target="https://drive.google.com/file/d/1ULpvf979oLAiS9RKKPDKkPng7ixpC2nl/view?usp=drivesdk" TargetMode="External"/><Relationship Id="rId4697" Type="http://schemas.openxmlformats.org/officeDocument/2006/relationships/hyperlink" Target="https://drive.google.com/file/d/1Az6FReBt5OGz6qQPDERivO3Y1ru0hYLi/view?usp=drivesdk" TargetMode="External"/><Relationship Id="rId113" Type="http://schemas.openxmlformats.org/officeDocument/2006/relationships/hyperlink" Target="https://drive.google.com/file/d/16hnP-ECJrf6jPAL9F76kr_tT_JzAnmzW/view?usp=drivesdk" TargetMode="External"/><Relationship Id="rId2035" Type="http://schemas.openxmlformats.org/officeDocument/2006/relationships/hyperlink" Target="https://drive.google.com/file/d/1O1qp7LPnMJO3_AJd-DUaeODu8QOa4Bh3/view?usp=drivesdk" TargetMode="External"/><Relationship Id="rId3365" Type="http://schemas.openxmlformats.org/officeDocument/2006/relationships/hyperlink" Target="https://drive.google.com/file/d/1_T0v-F0-PlAEzNSxbF9a92n3yfq2tM8C/view?usp=drivesdk" TargetMode="External"/><Relationship Id="rId4696" Type="http://schemas.openxmlformats.org/officeDocument/2006/relationships/hyperlink" Target="https://drive.google.com/file/d/1J5sBAWqq567fYAYLFl9xUxslf2GOiWyA/view?usp=drivesdk" TargetMode="External"/><Relationship Id="rId112" Type="http://schemas.openxmlformats.org/officeDocument/2006/relationships/hyperlink" Target="https://drive.google.com/file/d/1Nzs878mKh6e3-lx-DOchOACKfNfxRmX6/view?usp=drivesdk" TargetMode="External"/><Relationship Id="rId2036" Type="http://schemas.openxmlformats.org/officeDocument/2006/relationships/hyperlink" Target="https://drive.google.com/file/d/181L91RiT4_GHj0cWkte1qElvGKrhNj4S/view?usp=drivesdk" TargetMode="External"/><Relationship Id="rId3368" Type="http://schemas.openxmlformats.org/officeDocument/2006/relationships/hyperlink" Target="https://drive.google.com/file/d/1ld_l3MyhIch-zkuXzyWEnoGTpftvOkZ9/view?usp=drivesdk" TargetMode="External"/><Relationship Id="rId4699" Type="http://schemas.openxmlformats.org/officeDocument/2006/relationships/hyperlink" Target="https://drive.google.com/file/d/1F2-WSGSVi_-LMhY_ZJXgzTYU5HmTfeGG/view?usp=drivesdk" TargetMode="External"/><Relationship Id="rId111" Type="http://schemas.openxmlformats.org/officeDocument/2006/relationships/hyperlink" Target="https://drive.google.com/file/d/1gmtcNnwLLY54flHa2_B3LY4_wmmsTzwY/view?usp=drivesdk" TargetMode="External"/><Relationship Id="rId2037" Type="http://schemas.openxmlformats.org/officeDocument/2006/relationships/hyperlink" Target="https://drive.google.com/file/d/1REbOOTCcJgw_eM5Tx0PpNU9ondw5w23I/view?usp=drivesdk" TargetMode="External"/><Relationship Id="rId3367" Type="http://schemas.openxmlformats.org/officeDocument/2006/relationships/hyperlink" Target="https://drive.google.com/file/d/1XvPlIHEO-sqRm034sbBreEZ--waNr3S0/view?usp=drivesdk" TargetMode="External"/><Relationship Id="rId4698" Type="http://schemas.openxmlformats.org/officeDocument/2006/relationships/hyperlink" Target="https://drive.google.com/file/d/1Ctehw24FJIMzvpK4KKv0y0t3okkxpinE/view?usp=drivesdk" TargetMode="External"/><Relationship Id="rId3315" Type="http://schemas.openxmlformats.org/officeDocument/2006/relationships/hyperlink" Target="https://drive.google.com/file/d/1XKMm-YeN_SK3hgAiuUWkg1zAoYnpm1X5/view?usp=drivesdk" TargetMode="External"/><Relationship Id="rId4646" Type="http://schemas.openxmlformats.org/officeDocument/2006/relationships/hyperlink" Target="https://drive.google.com/file/d/12iV6p3xcyRUGgGf5KyBoE-r9EPTyBVZu/view?usp=drivesdk" TargetMode="External"/><Relationship Id="rId3314" Type="http://schemas.openxmlformats.org/officeDocument/2006/relationships/hyperlink" Target="https://drive.google.com/file/d/1FAH173zNcO4kzbdpSsQfS2iu8uKhQynJ/view?usp=drivesdk" TargetMode="External"/><Relationship Id="rId4645" Type="http://schemas.openxmlformats.org/officeDocument/2006/relationships/hyperlink" Target="https://drive.google.com/file/d/1-gZVfrEl5WQzwFXChC3EolYeJiJiFdWV/view?usp=drivesdk" TargetMode="External"/><Relationship Id="rId3317" Type="http://schemas.openxmlformats.org/officeDocument/2006/relationships/hyperlink" Target="https://drive.google.com/file/d/1oIo2x6-S3AahzJvmkUx-iFJ7ITrl_bWa/view?usp=drivesdk" TargetMode="External"/><Relationship Id="rId4648" Type="http://schemas.openxmlformats.org/officeDocument/2006/relationships/hyperlink" Target="https://drive.google.com/file/d/11qLU14XW4zuoVzJ0KJ95ag-H5O0nptvZ/view?usp=drivesdk" TargetMode="External"/><Relationship Id="rId3316" Type="http://schemas.openxmlformats.org/officeDocument/2006/relationships/hyperlink" Target="https://drive.google.com/file/d/1yXO0R1aQpy7hkuKrYkV7_SMQUU_IhCrI/view?usp=drivesdk" TargetMode="External"/><Relationship Id="rId4647" Type="http://schemas.openxmlformats.org/officeDocument/2006/relationships/hyperlink" Target="https://drive.google.com/file/d/1h25Ldjc_-SYXJY6HImJNGZn4EdpNCa0k/view?usp=drivesdk" TargetMode="External"/><Relationship Id="rId3319" Type="http://schemas.openxmlformats.org/officeDocument/2006/relationships/hyperlink" Target="https://drive.google.com/file/d/1aGIpZwjjsDHPUR7azRnvYybji3Emoq-_/view?usp=drivesdk" TargetMode="External"/><Relationship Id="rId3318" Type="http://schemas.openxmlformats.org/officeDocument/2006/relationships/hyperlink" Target="https://drive.google.com/file/d/1O8_vPacvFovF9Vbk2_4X-wudJcCH_Cvd/view?usp=drivesdk" TargetMode="External"/><Relationship Id="rId4649" Type="http://schemas.openxmlformats.org/officeDocument/2006/relationships/hyperlink" Target="https://drive.google.com/file/d/18v34Lzc_O8l9TLJ9RDvd9tj6hCXP0ELw/view?usp=drivesdk" TargetMode="External"/><Relationship Id="rId4640" Type="http://schemas.openxmlformats.org/officeDocument/2006/relationships/hyperlink" Target="https://drive.google.com/file/d/1Y_czfIRgF5xx0fluwrrY7eMSPxmIDFBS/view?usp=drivesdk" TargetMode="External"/><Relationship Id="rId3311" Type="http://schemas.openxmlformats.org/officeDocument/2006/relationships/hyperlink" Target="https://drive.google.com/file/d/1StVzS4crxWAq3tWjul4AxkMkFpSbjy6T/view?usp=drivesdk" TargetMode="External"/><Relationship Id="rId4642" Type="http://schemas.openxmlformats.org/officeDocument/2006/relationships/hyperlink" Target="https://drive.google.com/file/d/1QoLhDV85Hny15xEw5i42nl2_T11eTWA1/view?usp=drivesdk" TargetMode="External"/><Relationship Id="rId3310" Type="http://schemas.openxmlformats.org/officeDocument/2006/relationships/hyperlink" Target="https://drive.google.com/file/d/1CC4CH2W2miyqSPU5tQP2rsf3fZYMWsL1/view?usp=drivesdk" TargetMode="External"/><Relationship Id="rId4641" Type="http://schemas.openxmlformats.org/officeDocument/2006/relationships/hyperlink" Target="https://drive.google.com/file/d/1mjSq9WrZpmvHAO5V1_CjnAUKVkAvQX6y/view?usp=drivesdk" TargetMode="External"/><Relationship Id="rId3313" Type="http://schemas.openxmlformats.org/officeDocument/2006/relationships/hyperlink" Target="https://drive.google.com/file/d/1LbTOG3OJ2vYZTB2XLvzAJw5asqEfZCIT/view?usp=drivesdk" TargetMode="External"/><Relationship Id="rId4644" Type="http://schemas.openxmlformats.org/officeDocument/2006/relationships/hyperlink" Target="https://drive.google.com/file/d/1uONmyyIr5sKYb5w4K9aU18LmtLx6djfv/view?usp=drivesdk" TargetMode="External"/><Relationship Id="rId3312" Type="http://schemas.openxmlformats.org/officeDocument/2006/relationships/hyperlink" Target="https://drive.google.com/file/d/1LOpIwhxIrbh6-OOeLKqAzQRSgUPS7YzE/view?usp=drivesdk" TargetMode="External"/><Relationship Id="rId4643" Type="http://schemas.openxmlformats.org/officeDocument/2006/relationships/hyperlink" Target="https://drive.google.com/file/d/1de3iqyQhCWkBNBx4STGDzMV3eoqDm93k/view?usp=drivesdk" TargetMode="External"/><Relationship Id="rId3304" Type="http://schemas.openxmlformats.org/officeDocument/2006/relationships/hyperlink" Target="https://drive.google.com/file/d/1sFgKswAPj8TvmSFvkj1goIl48gRhiI0s/view?usp=drivesdk" TargetMode="External"/><Relationship Id="rId4635" Type="http://schemas.openxmlformats.org/officeDocument/2006/relationships/hyperlink" Target="https://drive.google.com/file/d/1ud9WGu2sX5rWJ-_59K4p3d6wiOOeKD7_/view?usp=drivesdk" TargetMode="External"/><Relationship Id="rId3303" Type="http://schemas.openxmlformats.org/officeDocument/2006/relationships/hyperlink" Target="https://drive.google.com/file/d/1WNtZTnjj_xjYbwKK_hLHTur894gZBbDM/view?usp=drivesdk" TargetMode="External"/><Relationship Id="rId4634" Type="http://schemas.openxmlformats.org/officeDocument/2006/relationships/hyperlink" Target="https://drive.google.com/file/d/1hlscITv5hQBxqPxKV4te_T7uG838zEGC/view?usp=drivesdk" TargetMode="External"/><Relationship Id="rId3306" Type="http://schemas.openxmlformats.org/officeDocument/2006/relationships/hyperlink" Target="https://drive.google.com/file/d/13SAO-BMZvLRyaoZL92zD6Zm80RClp567/view?usp=drivesdk" TargetMode="External"/><Relationship Id="rId4637" Type="http://schemas.openxmlformats.org/officeDocument/2006/relationships/hyperlink" Target="https://drive.google.com/file/d/1p5-U86I9gZ0oVw4unKqQUuIUf0LWo6Gl/view?usp=drivesdk" TargetMode="External"/><Relationship Id="rId3305" Type="http://schemas.openxmlformats.org/officeDocument/2006/relationships/hyperlink" Target="https://drive.google.com/file/d/132S1LBB5W8ItmFsJ9a0jBnIEAbjSu37A/view?usp=drivesdk" TargetMode="External"/><Relationship Id="rId4636" Type="http://schemas.openxmlformats.org/officeDocument/2006/relationships/hyperlink" Target="https://drive.google.com/file/d/1jGQo42lA6YPVcBH-PdZmiAmyaYCpyHqQ/view?usp=drivesdk" TargetMode="External"/><Relationship Id="rId3308" Type="http://schemas.openxmlformats.org/officeDocument/2006/relationships/hyperlink" Target="https://drive.google.com/file/d/179QRnS5KR1Dr4MSsf4F2h2DTyF9Jpgr5/view?usp=drivesdk" TargetMode="External"/><Relationship Id="rId4639" Type="http://schemas.openxmlformats.org/officeDocument/2006/relationships/hyperlink" Target="https://drive.google.com/file/d/1EO1j572t7BAa3_qrU5Bp56GCps5O7ZhB/view?usp=drivesdk" TargetMode="External"/><Relationship Id="rId3307" Type="http://schemas.openxmlformats.org/officeDocument/2006/relationships/hyperlink" Target="https://drive.google.com/file/d/1ZuBDfTMA4V7eIU0Axhz4Fshbe_8pZ-sK/view?usp=drivesdk" TargetMode="External"/><Relationship Id="rId4638" Type="http://schemas.openxmlformats.org/officeDocument/2006/relationships/hyperlink" Target="https://drive.google.com/file/d/1Yrbjt2baL72IGCN2kgYmjjo1OEy5KfqF/view?usp=drivesdk" TargetMode="External"/><Relationship Id="rId3309" Type="http://schemas.openxmlformats.org/officeDocument/2006/relationships/hyperlink" Target="https://drive.google.com/file/d/1Fb2NoTBgz1mRvz4yukTm8A-DStGh2kJ2/view?usp=drivesdk" TargetMode="External"/><Relationship Id="rId3300" Type="http://schemas.openxmlformats.org/officeDocument/2006/relationships/hyperlink" Target="https://drive.google.com/file/d/1Lge5q1rumsXnpbKqOeS1n_CffvRI0SSz/view?usp=drivesdk" TargetMode="External"/><Relationship Id="rId4631" Type="http://schemas.openxmlformats.org/officeDocument/2006/relationships/hyperlink" Target="https://drive.google.com/file/d/1TABB-c5gNPdun-NmDQlQ0BLnKGx7PcfW/view?usp=drivesdk" TargetMode="External"/><Relationship Id="rId4630" Type="http://schemas.openxmlformats.org/officeDocument/2006/relationships/hyperlink" Target="https://drive.google.com/file/d/1-xNO-Iq7GucXKk895LLb0RlgvIU45J1-/view?usp=drivesdk" TargetMode="External"/><Relationship Id="rId3302" Type="http://schemas.openxmlformats.org/officeDocument/2006/relationships/hyperlink" Target="https://drive.google.com/file/d/1yL-2KYZdBETOACp8M2aYxaKD89xhyCIf/view?usp=drivesdk" TargetMode="External"/><Relationship Id="rId4633" Type="http://schemas.openxmlformats.org/officeDocument/2006/relationships/hyperlink" Target="https://drive.google.com/file/d/1PuXE2oI06E0ooD21vNiOUq_nPnZtC0U1/view?usp=drivesdk" TargetMode="External"/><Relationship Id="rId3301" Type="http://schemas.openxmlformats.org/officeDocument/2006/relationships/hyperlink" Target="https://drive.google.com/file/d/1xZqWt_6u4ayP-AMww8FOsvJsx5CnOfQ-/view?usp=drivesdk" TargetMode="External"/><Relationship Id="rId4632" Type="http://schemas.openxmlformats.org/officeDocument/2006/relationships/hyperlink" Target="https://drive.google.com/file/d/1K2g0CqagCCRijiBofO2Met2MlLpQgG2B/view?usp=drivesdk" TargetMode="External"/><Relationship Id="rId2005" Type="http://schemas.openxmlformats.org/officeDocument/2006/relationships/hyperlink" Target="https://drive.google.com/file/d/1Rm6Y9wx_hSIQ7tO-VB9L1oa9lpvMrfmS/view?usp=drivesdk" TargetMode="External"/><Relationship Id="rId3337" Type="http://schemas.openxmlformats.org/officeDocument/2006/relationships/hyperlink" Target="https://drive.google.com/file/d/1GkdSjiBiK__9rRDC1t--PEcfcjIlT4yI/view?usp=drivesdk" TargetMode="External"/><Relationship Id="rId4668" Type="http://schemas.openxmlformats.org/officeDocument/2006/relationships/hyperlink" Target="https://drive.google.com/file/d/1kS5fWDTHi3c-ZfS1wEY6i4c6Oo-9uu36/view?usp=drivesdk" TargetMode="External"/><Relationship Id="rId2006" Type="http://schemas.openxmlformats.org/officeDocument/2006/relationships/hyperlink" Target="https://drive.google.com/file/d/1DpLmzFNSnl_wdtYPt5KZgI35xwcBAVIr/view?usp=drivesdk" TargetMode="External"/><Relationship Id="rId3336" Type="http://schemas.openxmlformats.org/officeDocument/2006/relationships/hyperlink" Target="https://drive.google.com/file/d/1hbJuooiitzmCqXDXIdAuD36qWj3BdC0M/view?usp=drivesdk" TargetMode="External"/><Relationship Id="rId4667" Type="http://schemas.openxmlformats.org/officeDocument/2006/relationships/hyperlink" Target="https://drive.google.com/file/d/11iCadIxLv-XNr4zvYtQLU2ussGqcmHAx/view?usp=drivesdk" TargetMode="External"/><Relationship Id="rId2007" Type="http://schemas.openxmlformats.org/officeDocument/2006/relationships/hyperlink" Target="https://drive.google.com/file/d/1H_5CW3h5gZRsrXhV5cWysXLmVPNs0y_8/view?usp=drivesdk" TargetMode="External"/><Relationship Id="rId3339" Type="http://schemas.openxmlformats.org/officeDocument/2006/relationships/hyperlink" Target="https://drive.google.com/file/d/1LTzm8imyVhikPEKOxWmT3UNMukHCj1Hf/view?usp=drivesdk" TargetMode="External"/><Relationship Id="rId2008" Type="http://schemas.openxmlformats.org/officeDocument/2006/relationships/hyperlink" Target="https://drive.google.com/file/d/1ajvsNaSWLp5bPsBPb30Jo20_kk2Upg9u/view?usp=drivesdk" TargetMode="External"/><Relationship Id="rId3338" Type="http://schemas.openxmlformats.org/officeDocument/2006/relationships/hyperlink" Target="https://drive.google.com/file/d/1ATsQdpLJhyOF2X155v8PBNSuQHoQ995m/view?usp=drivesdk" TargetMode="External"/><Relationship Id="rId4669" Type="http://schemas.openxmlformats.org/officeDocument/2006/relationships/hyperlink" Target="https://drive.google.com/file/d/1tpUlA4Kl83WWrbfOzd3Tpu6iEj1d_npS/view?usp=drivesdk" TargetMode="External"/><Relationship Id="rId2009" Type="http://schemas.openxmlformats.org/officeDocument/2006/relationships/hyperlink" Target="https://drive.google.com/file/d/1MbPTdzIh36SHJ9B4yqCezUOpaGRsCUDe/view?usp=drivesdk" TargetMode="External"/><Relationship Id="rId4660" Type="http://schemas.openxmlformats.org/officeDocument/2006/relationships/hyperlink" Target="https://drive.google.com/file/d/1Z7AGsbTwCPf8_M5pbrTny89KogbqUN58/view?usp=drivesdk" TargetMode="External"/><Relationship Id="rId3331" Type="http://schemas.openxmlformats.org/officeDocument/2006/relationships/hyperlink" Target="https://drive.google.com/file/d/1CDw23CNYON1KFKzRDVNpoQu9Y4-r-7BE/view?usp=drivesdk" TargetMode="External"/><Relationship Id="rId4662" Type="http://schemas.openxmlformats.org/officeDocument/2006/relationships/hyperlink" Target="https://drive.google.com/file/d/1cmUnqNWHryZptQfG2e0eN9Cs5FP7_0k-/view?usp=drivesdk" TargetMode="External"/><Relationship Id="rId2000" Type="http://schemas.openxmlformats.org/officeDocument/2006/relationships/hyperlink" Target="https://drive.google.com/file/d/1F79UjCaEC4inbOrrEFLzauz_rnaAQxM0/view?usp=drivesdk" TargetMode="External"/><Relationship Id="rId3330" Type="http://schemas.openxmlformats.org/officeDocument/2006/relationships/hyperlink" Target="https://drive.google.com/file/d/16QeRw3JHRIDMm6zR9-QcxfqytiPOCSSz/view?usp=drivesdk" TargetMode="External"/><Relationship Id="rId4661" Type="http://schemas.openxmlformats.org/officeDocument/2006/relationships/hyperlink" Target="https://drive.google.com/file/d/1sYz6yhOkJ5gaKKigd4eeoiVInz4Zjxp3/view?usp=drivesdk" TargetMode="External"/><Relationship Id="rId2001" Type="http://schemas.openxmlformats.org/officeDocument/2006/relationships/hyperlink" Target="https://drive.google.com/file/d/1Pur2LdEjMUPY55JE7HE3fH8waJIopKWP/view?usp=drivesdk" TargetMode="External"/><Relationship Id="rId3333" Type="http://schemas.openxmlformats.org/officeDocument/2006/relationships/hyperlink" Target="https://drive.google.com/file/d/1Xh7_GGMzpU3F67ZpV7yz44QANJtAQBkH/view?usp=drivesdk" TargetMode="External"/><Relationship Id="rId4664" Type="http://schemas.openxmlformats.org/officeDocument/2006/relationships/hyperlink" Target="https://drive.google.com/file/d/1zlRH0hed8sjfLxY15Vo9c46xHiicpQN1/view?usp=drivesdk" TargetMode="External"/><Relationship Id="rId2002" Type="http://schemas.openxmlformats.org/officeDocument/2006/relationships/hyperlink" Target="https://drive.google.com/file/d/1izgXhvF9hAiH7Z9-ErWepUVxEFCSxK8h/view?usp=drivesdk" TargetMode="External"/><Relationship Id="rId3332" Type="http://schemas.openxmlformats.org/officeDocument/2006/relationships/hyperlink" Target="https://drive.google.com/file/d/1nUob1nWQAqkIZ9UPTlvC2ABG9GM6zWu4/view?usp=drivesdk" TargetMode="External"/><Relationship Id="rId4663" Type="http://schemas.openxmlformats.org/officeDocument/2006/relationships/hyperlink" Target="https://drive.google.com/file/d/1XHnk7szU1GQIk17tn0hAGGemo6k0lbmv/view?usp=drivesdk" TargetMode="External"/><Relationship Id="rId2003" Type="http://schemas.openxmlformats.org/officeDocument/2006/relationships/hyperlink" Target="https://drive.google.com/file/d/1HgQNmC8gm4Aat8oaI2hRzbX80GJJ7RQy/view?usp=drivesdk" TargetMode="External"/><Relationship Id="rId3335" Type="http://schemas.openxmlformats.org/officeDocument/2006/relationships/hyperlink" Target="https://drive.google.com/file/d/1HbewA0oZvYINvYUxSAo2QWe_toS8hddn/view?usp=drivesdk" TargetMode="External"/><Relationship Id="rId4666" Type="http://schemas.openxmlformats.org/officeDocument/2006/relationships/hyperlink" Target="https://drive.google.com/file/d/1lvMcKVfIa1j72jdZbkqJ7Ci-M7u_jrQu/view?usp=drivesdk" TargetMode="External"/><Relationship Id="rId2004" Type="http://schemas.openxmlformats.org/officeDocument/2006/relationships/hyperlink" Target="https://drive.google.com/file/d/1guSKxuM9dm1ajMqnq8CXRmpQMT1LB96C/view?usp=drivesdk" TargetMode="External"/><Relationship Id="rId3334" Type="http://schemas.openxmlformats.org/officeDocument/2006/relationships/hyperlink" Target="https://drive.google.com/file/d/1hxgFMeMbGcVRTTFuh_vmmnEcW6Q1Uxnh/view?usp=drivesdk" TargetMode="External"/><Relationship Id="rId4665" Type="http://schemas.openxmlformats.org/officeDocument/2006/relationships/hyperlink" Target="https://drive.google.com/file/d/1uiwr51y1Ft-_ewJ0Na2yeNRm2ydDjP5K/view?usp=drivesdk" TargetMode="External"/><Relationship Id="rId3326" Type="http://schemas.openxmlformats.org/officeDocument/2006/relationships/hyperlink" Target="https://drive.google.com/file/d/1xRbaFwAZSgJpd3UZSlcZzQTN4fEZJZE-/view?usp=drivesdk" TargetMode="External"/><Relationship Id="rId4657" Type="http://schemas.openxmlformats.org/officeDocument/2006/relationships/hyperlink" Target="https://drive.google.com/file/d/1MVIECRfuZ1PtXyTTwLvDiJzC-RrdHdSg/view?usp=drivesdk" TargetMode="External"/><Relationship Id="rId3325" Type="http://schemas.openxmlformats.org/officeDocument/2006/relationships/hyperlink" Target="https://drive.google.com/file/d/1yd1CAvkVLaA9_6kvU3MxGdza9-hHEDrZ/view?usp=drivesdk" TargetMode="External"/><Relationship Id="rId4656" Type="http://schemas.openxmlformats.org/officeDocument/2006/relationships/hyperlink" Target="https://drive.google.com/file/d/1FZ_axrf8pgmhgjn0xIXxl2Z-lHtU_p4Q/view?usp=drivesdk" TargetMode="External"/><Relationship Id="rId3328" Type="http://schemas.openxmlformats.org/officeDocument/2006/relationships/hyperlink" Target="https://drive.google.com/file/d/1Sg56RJLQjpX3dASTF-8SqUi8-kXThjth/view?usp=drivesdk" TargetMode="External"/><Relationship Id="rId4659" Type="http://schemas.openxmlformats.org/officeDocument/2006/relationships/hyperlink" Target="https://drive.google.com/file/d/1yKDSzFCGrA7FpILllBPLGwgw753S8V9z/view?usp=drivesdk" TargetMode="External"/><Relationship Id="rId3327" Type="http://schemas.openxmlformats.org/officeDocument/2006/relationships/hyperlink" Target="https://drive.google.com/file/d/1q_dni9Wp7pfeM9EApYLg10INixSRuZnu/view?usp=drivesdk" TargetMode="External"/><Relationship Id="rId4658" Type="http://schemas.openxmlformats.org/officeDocument/2006/relationships/hyperlink" Target="https://drive.google.com/file/d/1eIcU596l1s0U54nBnjOmQzPsYZJsFvMs/view?usp=drivesdk" TargetMode="External"/><Relationship Id="rId3329" Type="http://schemas.openxmlformats.org/officeDocument/2006/relationships/hyperlink" Target="https://drive.google.com/file/d/1FGQLYVyv_ASWE8blr0GDzpjO7x4CpZb8/view?usp=drivesdk" TargetMode="External"/><Relationship Id="rId3320" Type="http://schemas.openxmlformats.org/officeDocument/2006/relationships/hyperlink" Target="https://drive.google.com/file/d/1F1ZeETSvdtk7tCyMUX-L6W1b_Qf1nU2U/view?usp=drivesdk" TargetMode="External"/><Relationship Id="rId4651" Type="http://schemas.openxmlformats.org/officeDocument/2006/relationships/hyperlink" Target="https://drive.google.com/file/d/1KOmW1egPtgN5HK16zJdMvmfQtohKTc8t/view?usp=drivesdk" TargetMode="External"/><Relationship Id="rId4650" Type="http://schemas.openxmlformats.org/officeDocument/2006/relationships/hyperlink" Target="https://drive.google.com/file/d/1iKc7CRT5wh_uHHE8BlHk0mEo65y7pqzs/view?usp=drivesdk" TargetMode="External"/><Relationship Id="rId3322" Type="http://schemas.openxmlformats.org/officeDocument/2006/relationships/hyperlink" Target="https://drive.google.com/file/d/1LUXApA_SQK-1dsftvKQyZEEDGJb3uZ7E/view?usp=drivesdk" TargetMode="External"/><Relationship Id="rId4653" Type="http://schemas.openxmlformats.org/officeDocument/2006/relationships/hyperlink" Target="https://drive.google.com/file/d/1DqMvArvkC956dXxj2_LTxRC_wgiM3ysE/view?usp=drivesdk" TargetMode="External"/><Relationship Id="rId3321" Type="http://schemas.openxmlformats.org/officeDocument/2006/relationships/hyperlink" Target="https://drive.google.com/file/d/1wSJuJSNVNra9AgHgQpx0kC8LdNfvf8v3/view?usp=drivesdk" TargetMode="External"/><Relationship Id="rId4652" Type="http://schemas.openxmlformats.org/officeDocument/2006/relationships/hyperlink" Target="https://drive.google.com/file/d/1BNiYfCKGrwjhx4UFMNBHCHtA-mnH7yF-/view?usp=drivesdk" TargetMode="External"/><Relationship Id="rId3324" Type="http://schemas.openxmlformats.org/officeDocument/2006/relationships/hyperlink" Target="https://drive.google.com/file/d/1YmJg3opWaZqp0rxVWzhXBnbkfsCtZ78b/view?usp=drivesdk" TargetMode="External"/><Relationship Id="rId4655" Type="http://schemas.openxmlformats.org/officeDocument/2006/relationships/hyperlink" Target="https://drive.google.com/file/d/1BqdICdUcjFd0xHx_q15SUBHfd-QNoVMg/view?usp=drivesdk" TargetMode="External"/><Relationship Id="rId3323" Type="http://schemas.openxmlformats.org/officeDocument/2006/relationships/hyperlink" Target="https://drive.google.com/file/d/1EuKt_hmW1K8N-hJWNYDJ_58vo-IUCodL/view?usp=drivesdk" TargetMode="External"/><Relationship Id="rId4654" Type="http://schemas.openxmlformats.org/officeDocument/2006/relationships/hyperlink" Target="https://drive.google.com/file/d/14c10VuMChoXgdj4xgQfP_mvwI98c_IOa/view?usp=drivesdk" TargetMode="External"/><Relationship Id="rId2090" Type="http://schemas.openxmlformats.org/officeDocument/2006/relationships/hyperlink" Target="https://drive.google.com/file/d/16NyjnoiZMC-ubWoGVBf22vAc6zrLUwLc/view?usp=drivesdk" TargetMode="External"/><Relationship Id="rId2091" Type="http://schemas.openxmlformats.org/officeDocument/2006/relationships/hyperlink" Target="https://drive.google.com/file/d/1kcvkWj1WgbviE7lCjAcazqBoGvZ8Qh8-/view?usp=drivesdk" TargetMode="External"/><Relationship Id="rId2092" Type="http://schemas.openxmlformats.org/officeDocument/2006/relationships/hyperlink" Target="https://drive.google.com/file/d/1QZcjMZrgLORJQtIMni2IsUcv7Jw5WH2X/view?usp=drivesdk" TargetMode="External"/><Relationship Id="rId2093" Type="http://schemas.openxmlformats.org/officeDocument/2006/relationships/hyperlink" Target="https://drive.google.com/file/d/1IlxjgediMAyQGnxD2ELwBEqtUULSJ4MB/view?usp=drivesdk" TargetMode="External"/><Relationship Id="rId2094" Type="http://schemas.openxmlformats.org/officeDocument/2006/relationships/hyperlink" Target="https://drive.google.com/file/d/1kFK0iioRFoEb5qc4tZNKFSf0o137ASWZ/view?usp=drivesdk" TargetMode="External"/><Relationship Id="rId2095" Type="http://schemas.openxmlformats.org/officeDocument/2006/relationships/hyperlink" Target="https://drive.google.com/file/d/1ewVNdl4AgYsKRxYQ4kGfX3iBr8en0dcc/view?usp=drivesdk" TargetMode="External"/><Relationship Id="rId2096" Type="http://schemas.openxmlformats.org/officeDocument/2006/relationships/hyperlink" Target="https://drive.google.com/file/d/1SxI6o5syOemEb5gnvdZaNoeYHDmBTf7M/view?usp=drivesdk" TargetMode="External"/><Relationship Id="rId2097" Type="http://schemas.openxmlformats.org/officeDocument/2006/relationships/hyperlink" Target="https://drive.google.com/file/d/1Onkcig_Y1vB7GwqLI2xMEol_cl37WP43/view?usp=drivesdk" TargetMode="External"/><Relationship Id="rId2098" Type="http://schemas.openxmlformats.org/officeDocument/2006/relationships/hyperlink" Target="https://drive.google.com/file/d/1jMkXoK_O1DAntoEnF4anYv8VtFK0y7ot/view?usp=drivesdk" TargetMode="External"/><Relationship Id="rId2099" Type="http://schemas.openxmlformats.org/officeDocument/2006/relationships/hyperlink" Target="https://drive.google.com/file/d/1O_F_lKSv17GPKF3mOIqCFHTnK07qfChW/view?usp=drivesdk" TargetMode="External"/><Relationship Id="rId3391" Type="http://schemas.openxmlformats.org/officeDocument/2006/relationships/hyperlink" Target="https://drive.google.com/file/d/15LOKdnveqDZxeIyyiWuHl_cqcWGe727R/view?usp=drivesdk" TargetMode="External"/><Relationship Id="rId2060" Type="http://schemas.openxmlformats.org/officeDocument/2006/relationships/hyperlink" Target="https://drive.google.com/file/d/1ONTuxAsn601ho7unkS39rhJy9TQS0ojd/view?usp=drivesdk" TargetMode="External"/><Relationship Id="rId3390" Type="http://schemas.openxmlformats.org/officeDocument/2006/relationships/hyperlink" Target="https://drive.google.com/file/d/1Mc7vk6-u7AHOB6tnMK1Iuqs_9rqRXQOB/view?usp=drivesdk" TargetMode="External"/><Relationship Id="rId2061" Type="http://schemas.openxmlformats.org/officeDocument/2006/relationships/hyperlink" Target="https://drive.google.com/file/d/1qtN8vhcSO12CKE0J0mTERyViShCFKCiP/view?usp=drivesdk" TargetMode="External"/><Relationship Id="rId3393" Type="http://schemas.openxmlformats.org/officeDocument/2006/relationships/hyperlink" Target="https://drive.google.com/file/d/1nFmIQ8R3_eOW5px-1shzWgX4opCJNe2v/view?usp=drivesdk" TargetMode="External"/><Relationship Id="rId2062" Type="http://schemas.openxmlformats.org/officeDocument/2006/relationships/hyperlink" Target="https://drive.google.com/file/d/1dToDKmBowSp6RBX9oBB7FdJqJoftszFh/view?usp=drivesdk" TargetMode="External"/><Relationship Id="rId3392" Type="http://schemas.openxmlformats.org/officeDocument/2006/relationships/hyperlink" Target="https://drive.google.com/file/d/16ZsBMqIxJR8YMcoi5uYrq6sT4_4TzYKH/view?usp=drivesdk" TargetMode="External"/><Relationship Id="rId2063" Type="http://schemas.openxmlformats.org/officeDocument/2006/relationships/hyperlink" Target="https://drive.google.com/file/d/1Cw0MXwO_iywCinYbXAa_8Ts7UYVisD2w/view?usp=drivesdk" TargetMode="External"/><Relationship Id="rId3395" Type="http://schemas.openxmlformats.org/officeDocument/2006/relationships/hyperlink" Target="https://drive.google.com/file/d/1uhdWr0pUPm0JMWam9obEChiJyVgtQmIA/view?usp=drivesdk" TargetMode="External"/><Relationship Id="rId2064" Type="http://schemas.openxmlformats.org/officeDocument/2006/relationships/hyperlink" Target="https://drive.google.com/file/d/1nC4YnDTR06UAlJzALWm-bR_IZZ9__h3V/view?usp=drivesdk" TargetMode="External"/><Relationship Id="rId3394" Type="http://schemas.openxmlformats.org/officeDocument/2006/relationships/hyperlink" Target="https://drive.google.com/file/d/14y3P50XKkBl31s6DaC7tn5zmzi4r_CnV/view?usp=drivesdk" TargetMode="External"/><Relationship Id="rId2065" Type="http://schemas.openxmlformats.org/officeDocument/2006/relationships/hyperlink" Target="https://drive.google.com/file/d/1uO6RGwp0VrIXJuzGA5ZdvC5SVQLy67jy/view?usp=drivesdk" TargetMode="External"/><Relationship Id="rId3397" Type="http://schemas.openxmlformats.org/officeDocument/2006/relationships/hyperlink" Target="https://drive.google.com/file/d/1c8ea6-Qgow3UI_8YPvFnrjs1gVmsL8qQ/view?usp=drivesdk" TargetMode="External"/><Relationship Id="rId2066" Type="http://schemas.openxmlformats.org/officeDocument/2006/relationships/hyperlink" Target="https://drive.google.com/file/d/1UgTxhqv9J_WTVDlDx7GhRtuNSMcaCcYb/view?usp=drivesdk" TargetMode="External"/><Relationship Id="rId3396" Type="http://schemas.openxmlformats.org/officeDocument/2006/relationships/hyperlink" Target="https://drive.google.com/file/d/1LCpE37WAePmTEofBpw30hC9oNr9aJShK/view?usp=drivesdk" TargetMode="External"/><Relationship Id="rId2067" Type="http://schemas.openxmlformats.org/officeDocument/2006/relationships/hyperlink" Target="https://drive.google.com/file/d/124V5eqJTUYz-fxYqdvHuXCoC1jWEbjDs/view?usp=drivesdk" TargetMode="External"/><Relationship Id="rId3399" Type="http://schemas.openxmlformats.org/officeDocument/2006/relationships/hyperlink" Target="https://drive.google.com/file/d/1cKioHWm7ekB8Y3wh3W0MwfPPUXy3WG6n/view?usp=drivesdk" TargetMode="External"/><Relationship Id="rId2068" Type="http://schemas.openxmlformats.org/officeDocument/2006/relationships/hyperlink" Target="https://drive.google.com/file/d/1oSZXvi6J3fYZVa4DiGq1AC9TtNJlhi-A/view?usp=drivesdk" TargetMode="External"/><Relationship Id="rId3398" Type="http://schemas.openxmlformats.org/officeDocument/2006/relationships/hyperlink" Target="https://drive.google.com/file/d/1d65Uzn95kQ00W59zfw9SDAaJMOmqND0c/view?usp=drivesdk" TargetMode="External"/><Relationship Id="rId2069" Type="http://schemas.openxmlformats.org/officeDocument/2006/relationships/hyperlink" Target="https://drive.google.com/file/d/1-lqYqUpIvw_r9OBXR9C-VyURv8DI0Ud2/view?usp=drivesdk" TargetMode="External"/><Relationship Id="rId3380" Type="http://schemas.openxmlformats.org/officeDocument/2006/relationships/hyperlink" Target="https://drive.google.com/file/d/1gq6Mw4b2bv3_YhBdMzCidAb_aGC_btpA/view?usp=drivesdk" TargetMode="External"/><Relationship Id="rId2050" Type="http://schemas.openxmlformats.org/officeDocument/2006/relationships/hyperlink" Target="https://drive.google.com/file/d/1I-c2_mNcVznQNE1QPV3OL7HD7lcSxdvP/view?usp=drivesdk" TargetMode="External"/><Relationship Id="rId3382" Type="http://schemas.openxmlformats.org/officeDocument/2006/relationships/hyperlink" Target="https://drive.google.com/file/d/1sTBdRYD8VoBrT8InHkASQ44KWmpR9E0_/view?usp=drivesdk" TargetMode="External"/><Relationship Id="rId2051" Type="http://schemas.openxmlformats.org/officeDocument/2006/relationships/hyperlink" Target="https://drive.google.com/file/d/1ZETBf5V6N3gN1N1xNzWigabQCV4rCCN4/view?usp=drivesdk" TargetMode="External"/><Relationship Id="rId3381" Type="http://schemas.openxmlformats.org/officeDocument/2006/relationships/hyperlink" Target="https://drive.google.com/file/d/1uwN9rva7im-JzBQBPoee8mryXEut_-Cw/view?usp=drivesdk" TargetMode="External"/><Relationship Id="rId2052" Type="http://schemas.openxmlformats.org/officeDocument/2006/relationships/hyperlink" Target="https://drive.google.com/file/d/11_ojxbFrMmsk8GaZ02WdIjks4Q_n2lWC/view?usp=drivesdk" TargetMode="External"/><Relationship Id="rId3384" Type="http://schemas.openxmlformats.org/officeDocument/2006/relationships/hyperlink" Target="https://drive.google.com/file/d/1xGQwrtbNexZJSUrDzppH_traWjquSzN5/view?usp=drivesdk" TargetMode="External"/><Relationship Id="rId2053" Type="http://schemas.openxmlformats.org/officeDocument/2006/relationships/hyperlink" Target="https://drive.google.com/file/d/1DDZ3wrsldRtopPksuQlicWRY-ASXD1uf/view?usp=drivesdk" TargetMode="External"/><Relationship Id="rId3383" Type="http://schemas.openxmlformats.org/officeDocument/2006/relationships/hyperlink" Target="https://drive.google.com/file/d/1zdufyjLEW_xD-phJp_AIuZE_isq1NyQ8/view?usp=drivesdk" TargetMode="External"/><Relationship Id="rId2054" Type="http://schemas.openxmlformats.org/officeDocument/2006/relationships/hyperlink" Target="https://drive.google.com/file/d/1dVF_V_IztVNH2uqbMuviqG-D9O8qoWtI/view?usp=drivesdk" TargetMode="External"/><Relationship Id="rId3386" Type="http://schemas.openxmlformats.org/officeDocument/2006/relationships/hyperlink" Target="https://drive.google.com/file/d/1lErKzmwvCHFTSoWi0qR66U2WqbembJ5G/view?usp=drivesdk" TargetMode="External"/><Relationship Id="rId2055" Type="http://schemas.openxmlformats.org/officeDocument/2006/relationships/hyperlink" Target="https://drive.google.com/file/d/1R51URo4oGh98fJ7hsLj5hOXJO_PDKO9k/view?usp=drivesdk" TargetMode="External"/><Relationship Id="rId3385" Type="http://schemas.openxmlformats.org/officeDocument/2006/relationships/hyperlink" Target="https://drive.google.com/file/d/1wN6Hke2af3sUWhiox_0DH_4uyfkbuMuQ/view?usp=drivesdk" TargetMode="External"/><Relationship Id="rId2056" Type="http://schemas.openxmlformats.org/officeDocument/2006/relationships/hyperlink" Target="https://drive.google.com/file/d/1Yd2WPbvEAhCRnq0RFZNqbm2WJ-gWOvNp/view?usp=drivesdk" TargetMode="External"/><Relationship Id="rId3388" Type="http://schemas.openxmlformats.org/officeDocument/2006/relationships/hyperlink" Target="https://drive.google.com/file/d/1gtsgEQUBMBSQMpkiM_tOhbwDzLt2Zkr5/view?usp=drivesdk" TargetMode="External"/><Relationship Id="rId2057" Type="http://schemas.openxmlformats.org/officeDocument/2006/relationships/hyperlink" Target="https://drive.google.com/file/d/1WnNjQOUgB86U2UxnjfLRhC193fdFuttA/view?usp=drivesdk" TargetMode="External"/><Relationship Id="rId3387" Type="http://schemas.openxmlformats.org/officeDocument/2006/relationships/hyperlink" Target="https://drive.google.com/file/d/1efMWrkfraVKlSbAQNuyddlu1AoOrBhrZ/view?usp=drivesdk" TargetMode="External"/><Relationship Id="rId2058" Type="http://schemas.openxmlformats.org/officeDocument/2006/relationships/hyperlink" Target="https://drive.google.com/file/d/1qgPZwrixkF2LFpXLPLi_af1f8YiQ1TnW/view?usp=drivesdk" TargetMode="External"/><Relationship Id="rId2059" Type="http://schemas.openxmlformats.org/officeDocument/2006/relationships/hyperlink" Target="https://drive.google.com/file/d/1nPTIegfKZo-cSTjX_akXTkJ-ILZbA-uC/view?usp=drivesdk" TargetMode="External"/><Relationship Id="rId3389" Type="http://schemas.openxmlformats.org/officeDocument/2006/relationships/hyperlink" Target="https://drive.google.com/file/d/1e9TsQGruj7esx00rfLPI6oW_KeEa3er1/view?usp=drivesdk" TargetMode="External"/><Relationship Id="rId2080" Type="http://schemas.openxmlformats.org/officeDocument/2006/relationships/hyperlink" Target="https://drive.google.com/file/d/1ewb3yMxoUqnYfPLZPNvlumTwOhP8E4_E/view?usp=drivesdk" TargetMode="External"/><Relationship Id="rId2081" Type="http://schemas.openxmlformats.org/officeDocument/2006/relationships/hyperlink" Target="https://drive.google.com/file/d/1rX639b-dgsM_Fxj9DUDvuF95a4fsw0Xy/view?usp=drivesdk" TargetMode="External"/><Relationship Id="rId2082" Type="http://schemas.openxmlformats.org/officeDocument/2006/relationships/hyperlink" Target="https://drive.google.com/file/d/1t_I0rVu-L3yw74Q0wBQnxSNOfYLriKjp/view?usp=drivesdk" TargetMode="External"/><Relationship Id="rId2083" Type="http://schemas.openxmlformats.org/officeDocument/2006/relationships/hyperlink" Target="https://drive.google.com/file/d/1Ipp0e7abRB46ZSkdvLG1ldKr9CFKajRM/view?usp=drivesdk" TargetMode="External"/><Relationship Id="rId2084" Type="http://schemas.openxmlformats.org/officeDocument/2006/relationships/hyperlink" Target="https://drive.google.com/file/d/1CYZp-xq6RRyh4asJBKdKUg_Q-ms5i1DW/view?usp=drivesdk" TargetMode="External"/><Relationship Id="rId2085" Type="http://schemas.openxmlformats.org/officeDocument/2006/relationships/hyperlink" Target="https://drive.google.com/file/d/1qCqflCn2_MR-2VOxNN_s7GfZTse4iUv_/view?usp=drivesdk" TargetMode="External"/><Relationship Id="rId5112" Type="http://schemas.openxmlformats.org/officeDocument/2006/relationships/hyperlink" Target="https://drive.google.com/file/d/1qOmoxP0RyWt_-FPDWhQcyRSezOWTJeXj/view?usp=drivesdk" TargetMode="External"/><Relationship Id="rId2086" Type="http://schemas.openxmlformats.org/officeDocument/2006/relationships/hyperlink" Target="https://drive.google.com/file/d/1UmQxUCQj8cxKyza_EYIkXCK6fam5Gcon/view?usp=drivesdk" TargetMode="External"/><Relationship Id="rId5113" Type="http://schemas.openxmlformats.org/officeDocument/2006/relationships/hyperlink" Target="https://drive.google.com/file/d/1ILe8GHrWeDwAZ6nIcRgd85dOYIZB5uVL/view?usp=drivesdk" TargetMode="External"/><Relationship Id="rId2087" Type="http://schemas.openxmlformats.org/officeDocument/2006/relationships/hyperlink" Target="https://drive.google.com/file/d/1KzAec6KyyUoz6ujNZPjNIUhY1030uiMa/view?usp=drivesdk" TargetMode="External"/><Relationship Id="rId5110" Type="http://schemas.openxmlformats.org/officeDocument/2006/relationships/hyperlink" Target="https://drive.google.com/file/d/1hjPNWDd5-zk96LhsRzjZ62lQ-tb1uWuX/view?usp=drivesdk" TargetMode="External"/><Relationship Id="rId2088" Type="http://schemas.openxmlformats.org/officeDocument/2006/relationships/hyperlink" Target="https://drive.google.com/file/d/1gD4_7v5dwSqait495muokMbkFs6B6oGR/view?usp=drivesdk" TargetMode="External"/><Relationship Id="rId5111" Type="http://schemas.openxmlformats.org/officeDocument/2006/relationships/hyperlink" Target="https://drive.google.com/file/d/1dtZyekgF74Oe6i-TkaDYaiyhP34xz_8K/view?usp=drivesdk" TargetMode="External"/><Relationship Id="rId2089" Type="http://schemas.openxmlformats.org/officeDocument/2006/relationships/hyperlink" Target="https://drive.google.com/file/d/1XDxpfVPZBQlzw6Ij6qOMUeY5vOkRCFjL/view?usp=drivesdk" TargetMode="External"/><Relationship Id="rId5116" Type="http://schemas.openxmlformats.org/officeDocument/2006/relationships/drawing" Target="../drawings/drawing1.xml"/><Relationship Id="rId5114" Type="http://schemas.openxmlformats.org/officeDocument/2006/relationships/hyperlink" Target="https://drive.google.com/file/d/1ykPlRU_GbreAnA_dsEDQoy_FJiOUC1ut/view?usp=drivesdk" TargetMode="External"/><Relationship Id="rId5115" Type="http://schemas.openxmlformats.org/officeDocument/2006/relationships/hyperlink" Target="https://drive.google.com/file/d/1Vo4byL9PNZ-YclwVlussS96wdJsg-t8d/view?usp=drivesdk" TargetMode="External"/><Relationship Id="rId5109" Type="http://schemas.openxmlformats.org/officeDocument/2006/relationships/hyperlink" Target="https://drive.google.com/file/d/1_ICapgqFP0jKzmerxLohk13Wug239ZjQ/view?usp=drivesdk" TargetMode="External"/><Relationship Id="rId5107" Type="http://schemas.openxmlformats.org/officeDocument/2006/relationships/hyperlink" Target="https://drive.google.com/file/d/1NyxLLvWpi1Ao54Ay9tYylMTGPAcXN1I7/view?usp=drivesdk" TargetMode="External"/><Relationship Id="rId5108" Type="http://schemas.openxmlformats.org/officeDocument/2006/relationships/hyperlink" Target="https://drive.google.com/file/d/1n73mi0HwaQYfQqou_7j645BBEpGdpJlf/view?usp=drivesdk" TargetMode="External"/><Relationship Id="rId2070" Type="http://schemas.openxmlformats.org/officeDocument/2006/relationships/hyperlink" Target="https://drive.google.com/file/d/1Xe2_SAVI3Grvm5hgEqk3qtCPYGYL8MjJ/view?usp=drivesdk" TargetMode="External"/><Relationship Id="rId2071" Type="http://schemas.openxmlformats.org/officeDocument/2006/relationships/hyperlink" Target="https://drive.google.com/file/d/1ZCG9SjbPMkZHg6n0-4Yd7J9YHf2LjUW9/view?usp=drivesdk" TargetMode="External"/><Relationship Id="rId2072" Type="http://schemas.openxmlformats.org/officeDocument/2006/relationships/hyperlink" Target="https://drive.google.com/file/d/1T7pRu_rs_ixdU4ids6oh6vfhT1zB9zKD/view?usp=drivesdk" TargetMode="External"/><Relationship Id="rId2073" Type="http://schemas.openxmlformats.org/officeDocument/2006/relationships/hyperlink" Target="https://drive.google.com/file/d/1rPyWJ8RKci0JOVLyJQrqzfQ6B4mjC5jO/view?usp=drivesdk" TargetMode="External"/><Relationship Id="rId2074" Type="http://schemas.openxmlformats.org/officeDocument/2006/relationships/hyperlink" Target="https://drive.google.com/file/d/1sbmH9oGjy4BYvs2polMudNd610Tufm37/view?usp=drivesdk" TargetMode="External"/><Relationship Id="rId5101" Type="http://schemas.openxmlformats.org/officeDocument/2006/relationships/hyperlink" Target="https://drive.google.com/file/d/1_RNHZlBFPTenTt80FCAkJZHMiYtO0KOw/view?usp=drivesdk" TargetMode="External"/><Relationship Id="rId2075" Type="http://schemas.openxmlformats.org/officeDocument/2006/relationships/hyperlink" Target="https://drive.google.com/file/d/1bmHk-Bo03k7Mz10Mqvv-hR-sN1dRqTLr/view?usp=drivesdk" TargetMode="External"/><Relationship Id="rId5102" Type="http://schemas.openxmlformats.org/officeDocument/2006/relationships/hyperlink" Target="https://drive.google.com/file/d/1pu6qVm_9mtBgluViPOXQ26p8DTUwrPde/view?usp=drivesdk" TargetMode="External"/><Relationship Id="rId2076" Type="http://schemas.openxmlformats.org/officeDocument/2006/relationships/hyperlink" Target="https://drive.google.com/file/d/1_rqcT-eqtP6rMuqZ6prxIFFRWNZUbvh3/view?usp=drivesdk" TargetMode="External"/><Relationship Id="rId2077" Type="http://schemas.openxmlformats.org/officeDocument/2006/relationships/hyperlink" Target="https://drive.google.com/file/d/1kibWlCNdKIhl1zji1Z_tMuAR34X9FdRq/view?usp=drivesdk" TargetMode="External"/><Relationship Id="rId5100" Type="http://schemas.openxmlformats.org/officeDocument/2006/relationships/hyperlink" Target="https://drive.google.com/file/d/1kXIPDQpP9H4k_ipMvgRGBVSHgzp92XUQ/view?usp=drivesdk" TargetMode="External"/><Relationship Id="rId2078" Type="http://schemas.openxmlformats.org/officeDocument/2006/relationships/hyperlink" Target="https://drive.google.com/file/d/1NGlQ7bTJXHWlaXPRldD-oGnxjr0yp76D/view?usp=drivesdk" TargetMode="External"/><Relationship Id="rId5105" Type="http://schemas.openxmlformats.org/officeDocument/2006/relationships/hyperlink" Target="https://drive.google.com/file/d/1rOyvDCHcEYjzd7mt7OCxezDjoGip0BXC/view?usp=drivesdk" TargetMode="External"/><Relationship Id="rId2079" Type="http://schemas.openxmlformats.org/officeDocument/2006/relationships/hyperlink" Target="https://drive.google.com/file/d/1GhBBiUuqlLma-JbxV2WDvr18XuFqkK1y/view?usp=drivesdk" TargetMode="External"/><Relationship Id="rId5106" Type="http://schemas.openxmlformats.org/officeDocument/2006/relationships/hyperlink" Target="https://drive.google.com/file/d/1gpGOm4Rl53G34N60dxzaBEmNf08HKMO1/view?usp=drivesdk" TargetMode="External"/><Relationship Id="rId5103" Type="http://schemas.openxmlformats.org/officeDocument/2006/relationships/hyperlink" Target="https://drive.google.com/file/d/12wxDJBuUzM1zjMLyPy8d_Ta_JMM_DpO9/view?usp=drivesdk" TargetMode="External"/><Relationship Id="rId5104" Type="http://schemas.openxmlformats.org/officeDocument/2006/relationships/hyperlink" Target="https://drive.google.com/file/d/1jfUUyxnQxBkaKalO0HxBDCk9VAfDsBCe/view?usp=drivesdk" TargetMode="External"/><Relationship Id="rId2940" Type="http://schemas.openxmlformats.org/officeDocument/2006/relationships/hyperlink" Target="https://drive.google.com/file/d/1TiiFoKxPLuHS0l1uPmL6Ap93vHBuNYVt/view?usp=drivesdk" TargetMode="External"/><Relationship Id="rId1610" Type="http://schemas.openxmlformats.org/officeDocument/2006/relationships/hyperlink" Target="https://drive.google.com/file/d/1j6T5Y0SYrzWnuJ3HBDgvgLeIfWNG7Hz2/view?usp=drivesdk" TargetMode="External"/><Relationship Id="rId2941" Type="http://schemas.openxmlformats.org/officeDocument/2006/relationships/hyperlink" Target="https://drive.google.com/file/d/1BndpjhW7SuOOadTchFXPRwjET84Llrq6/view?usp=drivesdk" TargetMode="External"/><Relationship Id="rId1611" Type="http://schemas.openxmlformats.org/officeDocument/2006/relationships/hyperlink" Target="https://drive.google.com/file/d/1tKiP_V_ChabszA4iq7o0LghjBWuLCYXI/view?usp=drivesdk" TargetMode="External"/><Relationship Id="rId2942" Type="http://schemas.openxmlformats.org/officeDocument/2006/relationships/hyperlink" Target="https://drive.google.com/file/d/1HtsqaXj8Uu1ghAvuayqfMDch0pFXbaqH/view?usp=drivesdk" TargetMode="External"/><Relationship Id="rId1612" Type="http://schemas.openxmlformats.org/officeDocument/2006/relationships/hyperlink" Target="https://drive.google.com/file/d/105BztPFTl-CEzJxwVLV82uuEzPRHXcB9/view?usp=drivesdk" TargetMode="External"/><Relationship Id="rId2943" Type="http://schemas.openxmlformats.org/officeDocument/2006/relationships/hyperlink" Target="https://drive.google.com/file/d/1u9DcxtWheqUtt81vxQAeblkYbfuYvsIq/view?usp=drivesdk" TargetMode="External"/><Relationship Id="rId1613" Type="http://schemas.openxmlformats.org/officeDocument/2006/relationships/hyperlink" Target="https://drive.google.com/file/d/1xRW0lTGwgr1LEELjI-bTYopCZwviWiCd/view?usp=drivesdk" TargetMode="External"/><Relationship Id="rId2944" Type="http://schemas.openxmlformats.org/officeDocument/2006/relationships/hyperlink" Target="https://drive.google.com/file/d/1Pkb3-D2n05LEsLzlzLUygpaHRQUaJKel/view?usp=drivesdk" TargetMode="External"/><Relationship Id="rId1614" Type="http://schemas.openxmlformats.org/officeDocument/2006/relationships/hyperlink" Target="https://drive.google.com/file/d/1VeANorTa6NH58XN7nB4TyF29wMPxXex9/view?usp=drivesdk" TargetMode="External"/><Relationship Id="rId2945" Type="http://schemas.openxmlformats.org/officeDocument/2006/relationships/hyperlink" Target="https://drive.google.com/file/d/1GnaSg9DqsEsGOsLJSmCU1ZZBZ0tEQ6Mm/view?usp=drivesdk" TargetMode="External"/><Relationship Id="rId1615" Type="http://schemas.openxmlformats.org/officeDocument/2006/relationships/hyperlink" Target="https://drive.google.com/file/d/1PmTYpGmCXtt5s9VyCUWzeeP_Up4zTNWR/view?usp=drivesdk" TargetMode="External"/><Relationship Id="rId2946" Type="http://schemas.openxmlformats.org/officeDocument/2006/relationships/hyperlink" Target="https://drive.google.com/file/d/15eolGZExsPXiD86qQFUdNxYwFOlOisaV/view?usp=drivesdk" TargetMode="External"/><Relationship Id="rId1616" Type="http://schemas.openxmlformats.org/officeDocument/2006/relationships/hyperlink" Target="https://drive.google.com/file/d/1Zh4WURKTq8AXs_Fllha49Q4HgB0AUi1E/view?usp=drivesdk" TargetMode="External"/><Relationship Id="rId2947" Type="http://schemas.openxmlformats.org/officeDocument/2006/relationships/hyperlink" Target="https://drive.google.com/file/d/1agk44gJhP0_lvlmNxbHEpNo8mduDiAaK/view?usp=drivesdk" TargetMode="External"/><Relationship Id="rId907" Type="http://schemas.openxmlformats.org/officeDocument/2006/relationships/hyperlink" Target="https://drive.google.com/file/d/1E59XZaqMdLCn4xiqZHU04oFEFmmM3un0/view?usp=drivesdk" TargetMode="External"/><Relationship Id="rId1617" Type="http://schemas.openxmlformats.org/officeDocument/2006/relationships/hyperlink" Target="https://drive.google.com/file/d/1D03SafYs_X4gxNPBg_XA7T8BIBdnLwl_/view?usp=drivesdk" TargetMode="External"/><Relationship Id="rId2948" Type="http://schemas.openxmlformats.org/officeDocument/2006/relationships/hyperlink" Target="https://drive.google.com/file/d/1s7BzPdY_9tpK_mi70bMlXOyjkPTjNUV2/view?usp=drivesdk" TargetMode="External"/><Relationship Id="rId906" Type="http://schemas.openxmlformats.org/officeDocument/2006/relationships/hyperlink" Target="https://drive.google.com/file/d/1LtNjzQx07AAS4o8M63i4CDmmTS9U07hd/view?usp=drivesdk" TargetMode="External"/><Relationship Id="rId1618" Type="http://schemas.openxmlformats.org/officeDocument/2006/relationships/hyperlink" Target="https://drive.google.com/file/d/1xvLyhJsu-Of1kQUwwHM4TllwfIj6KbuV/view?usp=drivesdk" TargetMode="External"/><Relationship Id="rId2949" Type="http://schemas.openxmlformats.org/officeDocument/2006/relationships/hyperlink" Target="https://drive.google.com/file/d/1mXMPyssMIkbsmHkpb4ddFf5E3-HnhdEl/view?usp=drivesdk" TargetMode="External"/><Relationship Id="rId905" Type="http://schemas.openxmlformats.org/officeDocument/2006/relationships/hyperlink" Target="https://drive.google.com/file/d/1zYH8p6aPceWnRpkEAB8tVwzHvloSSFqJ/view?usp=drivesdk" TargetMode="External"/><Relationship Id="rId1619" Type="http://schemas.openxmlformats.org/officeDocument/2006/relationships/hyperlink" Target="https://drive.google.com/file/d/1MudrbbQyTEu2FfSbhxadNM8207L8HfBB/view?usp=drivesdk" TargetMode="External"/><Relationship Id="rId904" Type="http://schemas.openxmlformats.org/officeDocument/2006/relationships/hyperlink" Target="https://drive.google.com/file/d/1-lU6IgqvY67LulbOR015GIJ5X6mjswy2/view?usp=drivesdk" TargetMode="External"/><Relationship Id="rId909" Type="http://schemas.openxmlformats.org/officeDocument/2006/relationships/hyperlink" Target="https://drive.google.com/file/d/1ICLvZOYjgBZgJ0CTNemeYrReVAIkpbAC/view?usp=drivesdk" TargetMode="External"/><Relationship Id="rId908" Type="http://schemas.openxmlformats.org/officeDocument/2006/relationships/hyperlink" Target="https://drive.google.com/file/d/1Hut69JTRbO2bF7cCG2z1v6IFMzyGMCfF/view?usp=drivesdk" TargetMode="External"/><Relationship Id="rId903" Type="http://schemas.openxmlformats.org/officeDocument/2006/relationships/hyperlink" Target="https://drive.google.com/file/d/1DqGsv6Ocp11YzSeeLukaMvYGmDo2Xu1g/view?usp=drivesdk" TargetMode="External"/><Relationship Id="rId902" Type="http://schemas.openxmlformats.org/officeDocument/2006/relationships/hyperlink" Target="https://drive.google.com/file/d/137O94l8HvpOQarpywO505nbIl2fVtUQN/view?usp=drivesdk" TargetMode="External"/><Relationship Id="rId901" Type="http://schemas.openxmlformats.org/officeDocument/2006/relationships/hyperlink" Target="https://drive.google.com/file/d/1pLvYx6bpopqxhKMjkHW3N5iK7RXO1AkW/view?usp=drivesdk" TargetMode="External"/><Relationship Id="rId900" Type="http://schemas.openxmlformats.org/officeDocument/2006/relationships/hyperlink" Target="https://drive.google.com/file/d/1uyjOCRXBxxjIr8fbYO7LfKYNaBOeK4Lz/view?usp=drivesdk" TargetMode="External"/><Relationship Id="rId2930" Type="http://schemas.openxmlformats.org/officeDocument/2006/relationships/hyperlink" Target="https://drive.google.com/file/d/1Q2SPX3CRELnCrc3vsv16U3t9J4lLwp_T/view?usp=drivesdk" TargetMode="External"/><Relationship Id="rId1600" Type="http://schemas.openxmlformats.org/officeDocument/2006/relationships/hyperlink" Target="https://drive.google.com/file/d/1HZN3y14HFjB4X3IfJdnO3Kb1fraSTjZK/view?usp=drivesdk" TargetMode="External"/><Relationship Id="rId2931" Type="http://schemas.openxmlformats.org/officeDocument/2006/relationships/hyperlink" Target="https://drive.google.com/file/d/1BxbDFCeqp5-J_bJsYw2ZvdLTznbQgaYM/view?usp=drivesdk" TargetMode="External"/><Relationship Id="rId1601" Type="http://schemas.openxmlformats.org/officeDocument/2006/relationships/hyperlink" Target="https://drive.google.com/file/d/1zcH7hMeMcny9pN9PJ0HP27QH-1Nio7cQ/view?usp=drivesdk" TargetMode="External"/><Relationship Id="rId2932" Type="http://schemas.openxmlformats.org/officeDocument/2006/relationships/hyperlink" Target="https://drive.google.com/file/d/1XRzJuFsu-6jTQVtD3VixXKom0ukag8FT/view?usp=drivesdk" TargetMode="External"/><Relationship Id="rId1602" Type="http://schemas.openxmlformats.org/officeDocument/2006/relationships/hyperlink" Target="https://drive.google.com/file/d/1MRbdmq1jY7gp6sD_dKz7BOaPtX5bxLmV/view?usp=drivesdk" TargetMode="External"/><Relationship Id="rId2933" Type="http://schemas.openxmlformats.org/officeDocument/2006/relationships/hyperlink" Target="https://drive.google.com/file/d/1AORzGg0wXVlqj6pspw9tRWw9VI0F2bcU/view?usp=drivesdk" TargetMode="External"/><Relationship Id="rId1603" Type="http://schemas.openxmlformats.org/officeDocument/2006/relationships/hyperlink" Target="https://drive.google.com/file/d/1J7UDM6YSZRgKx2-U3nQl9-1cGs2NvPXK/view?usp=drivesdk" TargetMode="External"/><Relationship Id="rId2934" Type="http://schemas.openxmlformats.org/officeDocument/2006/relationships/hyperlink" Target="https://drive.google.com/file/d/1CvWNTOsJeLzb6VsIopWyCW0UOVh0X9V3/view?usp=drivesdk" TargetMode="External"/><Relationship Id="rId1604" Type="http://schemas.openxmlformats.org/officeDocument/2006/relationships/hyperlink" Target="https://drive.google.com/file/d/1xba7UvwtW4Oeve6FjvFj03sLX1ul1EYl/view?usp=drivesdk" TargetMode="External"/><Relationship Id="rId2935" Type="http://schemas.openxmlformats.org/officeDocument/2006/relationships/hyperlink" Target="https://drive.google.com/file/d/1kGaFO1gB0IwsxkYcZRGd7whM-JSncRbd/view?usp=drivesdk" TargetMode="External"/><Relationship Id="rId1605" Type="http://schemas.openxmlformats.org/officeDocument/2006/relationships/hyperlink" Target="https://drive.google.com/file/d/1Py_3EXPeJgwX8SpZUv94qcfKA2n8yt7W/view?usp=drivesdk" TargetMode="External"/><Relationship Id="rId2936" Type="http://schemas.openxmlformats.org/officeDocument/2006/relationships/hyperlink" Target="https://drive.google.com/file/d/17SdxwUUS6yI1kw57sXzL3ZQNO4agP3jd/view?usp=drivesdk" TargetMode="External"/><Relationship Id="rId1606" Type="http://schemas.openxmlformats.org/officeDocument/2006/relationships/hyperlink" Target="https://drive.google.com/file/d/1teVpSpjArJK-bMFq46MAwS9MNCluQkVP/view?usp=drivesdk" TargetMode="External"/><Relationship Id="rId2937" Type="http://schemas.openxmlformats.org/officeDocument/2006/relationships/hyperlink" Target="https://drive.google.com/file/d/1K5Mg_tZMv6mgx4omA8B8zVwgMx2z-3cA/view?usp=drivesdk" TargetMode="External"/><Relationship Id="rId1607" Type="http://schemas.openxmlformats.org/officeDocument/2006/relationships/hyperlink" Target="https://drive.google.com/file/d/1AsUKtF6ZnMRdhtiB8LQJpshn1fspOJTg/view?usp=drivesdk" TargetMode="External"/><Relationship Id="rId2938" Type="http://schemas.openxmlformats.org/officeDocument/2006/relationships/hyperlink" Target="https://drive.google.com/file/d/1sdoSi9GQvxE9vouLUbUld5U-lK6nTsUO/view?usp=drivesdk" TargetMode="External"/><Relationship Id="rId1608" Type="http://schemas.openxmlformats.org/officeDocument/2006/relationships/hyperlink" Target="https://drive.google.com/file/d/1wUe1Bp66r8Rc3ueSSynonN0ZL7rwz7eb/view?usp=drivesdk" TargetMode="External"/><Relationship Id="rId2939" Type="http://schemas.openxmlformats.org/officeDocument/2006/relationships/hyperlink" Target="https://drive.google.com/file/d/1wwptGyZNQMlMeDbfDuKOGUXIL7Pnj6T-/view?usp=drivesdk" TargetMode="External"/><Relationship Id="rId1609" Type="http://schemas.openxmlformats.org/officeDocument/2006/relationships/hyperlink" Target="https://drive.google.com/file/d/1FCNzcqFcNV3Ui2eIVrPOUEeLix49FBBW/view?usp=drivesdk" TargetMode="External"/><Relationship Id="rId1631" Type="http://schemas.openxmlformats.org/officeDocument/2006/relationships/hyperlink" Target="https://drive.google.com/file/d/1mnVxGxCIHsdnnl66s8gBpTxQrgRG9QBd/view?usp=drivesdk" TargetMode="External"/><Relationship Id="rId2962" Type="http://schemas.openxmlformats.org/officeDocument/2006/relationships/hyperlink" Target="https://drive.google.com/file/d/1lPXfDrjf_TSplPa8b4I9Se-bQavN1eta/view?usp=drivesdk" TargetMode="External"/><Relationship Id="rId1632" Type="http://schemas.openxmlformats.org/officeDocument/2006/relationships/hyperlink" Target="https://drive.google.com/file/d/1L2YxHfTTt4cQF6iyyevsZTAUEExndFU8/view?usp=drivesdk" TargetMode="External"/><Relationship Id="rId2963" Type="http://schemas.openxmlformats.org/officeDocument/2006/relationships/hyperlink" Target="https://drive.google.com/file/d/157hlTlSfcMfNVEi0MRs3Kkrn-xJue9sB/view?usp=drivesdk" TargetMode="External"/><Relationship Id="rId1633" Type="http://schemas.openxmlformats.org/officeDocument/2006/relationships/hyperlink" Target="https://drive.google.com/file/d/1-7GkdrEGgUmYa1Y9jJ_xy7ilHsywW55Z/view?usp=drivesdk" TargetMode="External"/><Relationship Id="rId2964" Type="http://schemas.openxmlformats.org/officeDocument/2006/relationships/hyperlink" Target="https://drive.google.com/file/d/1EocjQAiqo4Cim-gx2jJqUKyWpDpRS54_/view?usp=drivesdk" TargetMode="External"/><Relationship Id="rId1634" Type="http://schemas.openxmlformats.org/officeDocument/2006/relationships/hyperlink" Target="https://drive.google.com/file/d/15fb8hYp2wwtTSCPT93xIA5gSpq560rpL/view?usp=drivesdk" TargetMode="External"/><Relationship Id="rId2965" Type="http://schemas.openxmlformats.org/officeDocument/2006/relationships/hyperlink" Target="https://drive.google.com/file/d/1Z1k47CcqHt8fimSnwwULSuxufA_HiaFq/view?usp=drivesdk" TargetMode="External"/><Relationship Id="rId1635" Type="http://schemas.openxmlformats.org/officeDocument/2006/relationships/hyperlink" Target="https://drive.google.com/file/d/1JIocOMANGKYFWyF-kCE35PV91BBZfF2x/view?usp=drivesdk" TargetMode="External"/><Relationship Id="rId2966" Type="http://schemas.openxmlformats.org/officeDocument/2006/relationships/hyperlink" Target="https://drive.google.com/file/d/1JFz6GWo9kSgXx9RAKB7yOJQedeCFVsmT/view?usp=drivesdk" TargetMode="External"/><Relationship Id="rId1636" Type="http://schemas.openxmlformats.org/officeDocument/2006/relationships/hyperlink" Target="https://drive.google.com/file/d/1hX2pXbIlQhNh94vzNDyZp53eeFAaMPtr/view?usp=drivesdk" TargetMode="External"/><Relationship Id="rId2967" Type="http://schemas.openxmlformats.org/officeDocument/2006/relationships/hyperlink" Target="https://drive.google.com/file/d/1RyaK6NWRvphrjsBW_BlAtwecwTpxss0d/view?usp=drivesdk" TargetMode="External"/><Relationship Id="rId1637" Type="http://schemas.openxmlformats.org/officeDocument/2006/relationships/hyperlink" Target="https://drive.google.com/file/d/1sl0ap5QrWJNMNg3th7lbERDa4HfjD2Fa/view?usp=drivesdk" TargetMode="External"/><Relationship Id="rId2968" Type="http://schemas.openxmlformats.org/officeDocument/2006/relationships/hyperlink" Target="https://drive.google.com/file/d/1bnHFYCz3dZJT_ZfAkFgY0SQYpmifQjG5/view?usp=drivesdk" TargetMode="External"/><Relationship Id="rId1638" Type="http://schemas.openxmlformats.org/officeDocument/2006/relationships/hyperlink" Target="https://drive.google.com/file/d/12Jqa2oHxQ8dFveb8O8J92zzcAgTRvPPX/view?usp=drivesdk" TargetMode="External"/><Relationship Id="rId2969" Type="http://schemas.openxmlformats.org/officeDocument/2006/relationships/hyperlink" Target="https://drive.google.com/file/d/19HFluf3X9npnWs_5JLJqKLaVGmiNR46F/view?usp=drivesdk" TargetMode="External"/><Relationship Id="rId929" Type="http://schemas.openxmlformats.org/officeDocument/2006/relationships/hyperlink" Target="https://drive.google.com/file/d/1QC6zoq7aMrWaHhYCKxx1WwdhoIL_-2b3/view?usp=drivesdk" TargetMode="External"/><Relationship Id="rId1639" Type="http://schemas.openxmlformats.org/officeDocument/2006/relationships/hyperlink" Target="https://drive.google.com/file/d/1nyj2zNXelbG4iD9sgPib2tRUiCoqWfm_/view?usp=drivesdk" TargetMode="External"/><Relationship Id="rId928" Type="http://schemas.openxmlformats.org/officeDocument/2006/relationships/hyperlink" Target="https://drive.google.com/file/d/1_XKPTjdMSKnPTIDrnCKkmjAXJZ18SGD6/view?usp=drivesdk" TargetMode="External"/><Relationship Id="rId927" Type="http://schemas.openxmlformats.org/officeDocument/2006/relationships/hyperlink" Target="https://drive.google.com/file/d/1vvCOq3ZFT9mDv7UdPn0qd6TwluyOhAcT/view?usp=drivesdk" TargetMode="External"/><Relationship Id="rId926" Type="http://schemas.openxmlformats.org/officeDocument/2006/relationships/hyperlink" Target="https://drive.google.com/file/d/1yoyGspgxiUonReSqoAlissT0JbRmvo7r/view?usp=drivesdk" TargetMode="External"/><Relationship Id="rId921" Type="http://schemas.openxmlformats.org/officeDocument/2006/relationships/hyperlink" Target="https://drive.google.com/file/d/1_ePUVXK3i73qRURqGhu9HPvqBYHFn-Cs/view?usp=drivesdk" TargetMode="External"/><Relationship Id="rId920" Type="http://schemas.openxmlformats.org/officeDocument/2006/relationships/hyperlink" Target="https://drive.google.com/file/d/1W_-ACRK_-k_C4IipZOQMFS-_nK5PY8oU/view?usp=drivesdk" TargetMode="External"/><Relationship Id="rId925" Type="http://schemas.openxmlformats.org/officeDocument/2006/relationships/hyperlink" Target="https://drive.google.com/file/d/1AUvHN1osa4vjdTuqe-Rdk2nlq29EhNFk/view?usp=drivesdk" TargetMode="External"/><Relationship Id="rId924" Type="http://schemas.openxmlformats.org/officeDocument/2006/relationships/hyperlink" Target="https://drive.google.com/file/d/1ySiW0GLYj7CAqSbHAcwgQYp2BMu9s7Y3/view?usp=drivesdk" TargetMode="External"/><Relationship Id="rId923" Type="http://schemas.openxmlformats.org/officeDocument/2006/relationships/hyperlink" Target="https://drive.google.com/file/d/1gyRVGfRBajC2Ly0CQE8fhUBoONdnCzm5/view?usp=drivesdk" TargetMode="External"/><Relationship Id="rId922" Type="http://schemas.openxmlformats.org/officeDocument/2006/relationships/hyperlink" Target="https://drive.google.com/file/d/1hTi9qIkCzT7chFDKifNms4z8PVA4dk5E/view?usp=drivesdk" TargetMode="External"/><Relationship Id="rId2960" Type="http://schemas.openxmlformats.org/officeDocument/2006/relationships/hyperlink" Target="https://drive.google.com/file/d/13LKx8ecpafyYksVudTP1nObV8XzeAQpF/view?usp=drivesdk" TargetMode="External"/><Relationship Id="rId1630" Type="http://schemas.openxmlformats.org/officeDocument/2006/relationships/hyperlink" Target="https://drive.google.com/file/d/1nb10bhYBypzXcK8mZ-emNhx9XCuj-VZ4/view?usp=drivesdk" TargetMode="External"/><Relationship Id="rId2961" Type="http://schemas.openxmlformats.org/officeDocument/2006/relationships/hyperlink" Target="https://drive.google.com/file/d/1IX8pIYIDxTIwUISe--I4Ck8A1Uo9B25L/view?usp=drivesdk" TargetMode="External"/><Relationship Id="rId1620" Type="http://schemas.openxmlformats.org/officeDocument/2006/relationships/hyperlink" Target="https://drive.google.com/file/d/1PwlbPyqGjZQtP_ROc166LHdC50gStyq7/view?usp=drivesdk" TargetMode="External"/><Relationship Id="rId2951" Type="http://schemas.openxmlformats.org/officeDocument/2006/relationships/hyperlink" Target="https://drive.google.com/file/d/1N4Tt9DZtK7ZQ3LBNzHDZ1vOjt-wHUHJ1/view?usp=drivesdk" TargetMode="External"/><Relationship Id="rId1621" Type="http://schemas.openxmlformats.org/officeDocument/2006/relationships/hyperlink" Target="https://drive.google.com/file/d/1mFYCNkpwG0MXTbkL5i0OPi9R-yk5gQZ_/view?usp=drivesdk" TargetMode="External"/><Relationship Id="rId2952" Type="http://schemas.openxmlformats.org/officeDocument/2006/relationships/hyperlink" Target="https://drive.google.com/file/d/1ztSX9ePb7LcaXmSMwNM9A1F3KARGZKbK/view?usp=drivesdk" TargetMode="External"/><Relationship Id="rId1622" Type="http://schemas.openxmlformats.org/officeDocument/2006/relationships/hyperlink" Target="https://drive.google.com/file/d/184mvR4MW1-xlHsttI0qkKYOF0QbiNvmU/view?usp=drivesdk" TargetMode="External"/><Relationship Id="rId2953" Type="http://schemas.openxmlformats.org/officeDocument/2006/relationships/hyperlink" Target="https://drive.google.com/file/d/1VtkgXu4xfmV7lCMyXXoImcKrBQYRz7ZH/view?usp=drivesdk" TargetMode="External"/><Relationship Id="rId1623" Type="http://schemas.openxmlformats.org/officeDocument/2006/relationships/hyperlink" Target="https://drive.google.com/file/d/15BNx6RMVfb6VcoGEIKHN1dPC9OJf2Wtq/view?usp=drivesdk" TargetMode="External"/><Relationship Id="rId2954" Type="http://schemas.openxmlformats.org/officeDocument/2006/relationships/hyperlink" Target="https://drive.google.com/file/d/13FYPAyvgwp3O7pQSTC2gR9GmwWMLrTO2/view?usp=drivesdk" TargetMode="External"/><Relationship Id="rId1624" Type="http://schemas.openxmlformats.org/officeDocument/2006/relationships/hyperlink" Target="https://drive.google.com/file/d/1OFKsvNJf2TWMhGOSFQ3h8GJmHMBe1kj8/view?usp=drivesdk" TargetMode="External"/><Relationship Id="rId2955" Type="http://schemas.openxmlformats.org/officeDocument/2006/relationships/hyperlink" Target="https://drive.google.com/file/d/1ZKITldSelHbu3Q0Wsrle-SF8_L-c1-RF/view?usp=drivesdk" TargetMode="External"/><Relationship Id="rId1625" Type="http://schemas.openxmlformats.org/officeDocument/2006/relationships/hyperlink" Target="https://drive.google.com/file/d/1-IyiWGv6kVPzH4VmympCLuuQgzUbPY59/view?usp=drivesdk" TargetMode="External"/><Relationship Id="rId2956" Type="http://schemas.openxmlformats.org/officeDocument/2006/relationships/hyperlink" Target="https://drive.google.com/file/d/1vysV8m55oY5nj65SgX1GA63f7mGb1m9q/view?usp=drivesdk" TargetMode="External"/><Relationship Id="rId1626" Type="http://schemas.openxmlformats.org/officeDocument/2006/relationships/hyperlink" Target="https://drive.google.com/file/d/1yUy5skvYmLzHr6uecjH4FoXBMIa509i-/view?usp=drivesdk" TargetMode="External"/><Relationship Id="rId2957" Type="http://schemas.openxmlformats.org/officeDocument/2006/relationships/hyperlink" Target="https://drive.google.com/file/d/12eccUbk7wZ6o3nkhtXEpsSf5X3gwVMqS/view?usp=drivesdk" TargetMode="External"/><Relationship Id="rId1627" Type="http://schemas.openxmlformats.org/officeDocument/2006/relationships/hyperlink" Target="https://drive.google.com/file/d/1bbp-v1y5Q6BXcIdNigpS86GzqJrDQyJv/view?usp=drivesdk" TargetMode="External"/><Relationship Id="rId2958" Type="http://schemas.openxmlformats.org/officeDocument/2006/relationships/hyperlink" Target="https://drive.google.com/file/d/1koCBLDYWhgyYk-AH12s0KEG8BfY41amx/view?usp=drivesdk" TargetMode="External"/><Relationship Id="rId918" Type="http://schemas.openxmlformats.org/officeDocument/2006/relationships/hyperlink" Target="https://drive.google.com/file/d/1lqMmjda4grCluuhqG9DnecybWOvV4q_I/view?usp=drivesdk" TargetMode="External"/><Relationship Id="rId1628" Type="http://schemas.openxmlformats.org/officeDocument/2006/relationships/hyperlink" Target="https://drive.google.com/file/d/1w8tmC_vJiKp8HC5inzTLWTL4cH9EkqyU/view?usp=drivesdk" TargetMode="External"/><Relationship Id="rId2959" Type="http://schemas.openxmlformats.org/officeDocument/2006/relationships/hyperlink" Target="https://drive.google.com/file/d/1juKmzxzHBDlTDIrgFysDns8PGzFPTEbf/view?usp=drivesdk" TargetMode="External"/><Relationship Id="rId917" Type="http://schemas.openxmlformats.org/officeDocument/2006/relationships/hyperlink" Target="https://drive.google.com/file/d/1EgWOMnSfi-CBLaBngogDIaLIjL1XYUJG/view?usp=drivesdk" TargetMode="External"/><Relationship Id="rId1629" Type="http://schemas.openxmlformats.org/officeDocument/2006/relationships/hyperlink" Target="https://drive.google.com/file/d/1I7ftVsq5E5l51aAW794E1mCJdafy5_rH/view?usp=drivesdk" TargetMode="External"/><Relationship Id="rId916" Type="http://schemas.openxmlformats.org/officeDocument/2006/relationships/hyperlink" Target="https://drive.google.com/file/d/1DtqBRZg2YEDRdRnvRcviq-_iTWZGAtDU/view?usp=drivesdk" TargetMode="External"/><Relationship Id="rId915" Type="http://schemas.openxmlformats.org/officeDocument/2006/relationships/hyperlink" Target="https://drive.google.com/file/d/103fmh-F-Ks4dfQhaQvBxksdU6T4kmn0Q/view?usp=drivesdk" TargetMode="External"/><Relationship Id="rId919" Type="http://schemas.openxmlformats.org/officeDocument/2006/relationships/hyperlink" Target="https://drive.google.com/file/d/1qcZkZDSfqWibxw3nC1aM5qwZ_cd3ZJgf/view?usp=drivesdk" TargetMode="External"/><Relationship Id="rId910" Type="http://schemas.openxmlformats.org/officeDocument/2006/relationships/hyperlink" Target="https://drive.google.com/file/d/1-WbPLif210cZnAGktCNJhPRQTebMf8h_/view?usp=drivesdk" TargetMode="External"/><Relationship Id="rId914" Type="http://schemas.openxmlformats.org/officeDocument/2006/relationships/hyperlink" Target="https://drive.google.com/file/d/11-q6ZZzG9EXkB6ckG38e9nDGkZLU8Y5s/view?usp=drivesdk" TargetMode="External"/><Relationship Id="rId913" Type="http://schemas.openxmlformats.org/officeDocument/2006/relationships/hyperlink" Target="https://drive.google.com/file/d/1Q37aUyuic_sjL8T5My3x8bFxfYgpbM3O/view?usp=drivesdk" TargetMode="External"/><Relationship Id="rId912" Type="http://schemas.openxmlformats.org/officeDocument/2006/relationships/hyperlink" Target="https://drive.google.com/file/d/1t7wrO5zSTjOpU3nJnAR6gaRMeCD1mA1B/view?usp=drivesdk" TargetMode="External"/><Relationship Id="rId911" Type="http://schemas.openxmlformats.org/officeDocument/2006/relationships/hyperlink" Target="https://drive.google.com/file/d/1ts4GQRfxLrcIrjq7wAoGilg_QX95HhYT/view?usp=drivesdk" TargetMode="External"/><Relationship Id="rId2950" Type="http://schemas.openxmlformats.org/officeDocument/2006/relationships/hyperlink" Target="https://drive.google.com/file/d/1DbXXG9hynePpjDo0--7qLQRzOBGyF62C/view?usp=drivesdk" TargetMode="External"/><Relationship Id="rId2900" Type="http://schemas.openxmlformats.org/officeDocument/2006/relationships/hyperlink" Target="https://drive.google.com/file/d/15wwyzLudsAObG7mCkG2ip4InqPAG0IP2/view?usp=drivesdk" TargetMode="External"/><Relationship Id="rId2901" Type="http://schemas.openxmlformats.org/officeDocument/2006/relationships/hyperlink" Target="https://drive.google.com/file/d/16UggYBj-l0Za6hY6T7hLv9HpKTBzIuRK/view?usp=drivesdk" TargetMode="External"/><Relationship Id="rId2902" Type="http://schemas.openxmlformats.org/officeDocument/2006/relationships/hyperlink" Target="https://drive.google.com/file/d/1dBSo2ps4sx2J7-jCxDGHpMy6oxBuZlCt/view?usp=drivesdk" TargetMode="External"/><Relationship Id="rId2903" Type="http://schemas.openxmlformats.org/officeDocument/2006/relationships/hyperlink" Target="https://drive.google.com/file/d/1pw8UwIlh0a2Msp2_pPrKSKpHiqlnLA90/view?usp=drivesdk" TargetMode="External"/><Relationship Id="rId2904" Type="http://schemas.openxmlformats.org/officeDocument/2006/relationships/hyperlink" Target="https://drive.google.com/file/d/1WM0Q7k72jwrwd2WQegep9ZNu6dsd9rHj/view?usp=drivesdk" TargetMode="External"/><Relationship Id="rId2905" Type="http://schemas.openxmlformats.org/officeDocument/2006/relationships/hyperlink" Target="https://drive.google.com/file/d/15zBHtOeU6wDAfbXK51ZQRtlczhkEtJmb/view?usp=drivesdk" TargetMode="External"/><Relationship Id="rId2906" Type="http://schemas.openxmlformats.org/officeDocument/2006/relationships/hyperlink" Target="https://drive.google.com/file/d/1TkBwZ_EY_Aec-LJV9KefPNOh6TmsKt9M/view?usp=drivesdk" TargetMode="External"/><Relationship Id="rId2907" Type="http://schemas.openxmlformats.org/officeDocument/2006/relationships/hyperlink" Target="https://drive.google.com/file/d/1Fe57fHD3KLPd3OS65gKrp3jOyKCHxxbS/view?usp=drivesdk" TargetMode="External"/><Relationship Id="rId2908" Type="http://schemas.openxmlformats.org/officeDocument/2006/relationships/hyperlink" Target="https://drive.google.com/file/d/1xfAuVO35Jl74BypvQrlBQjJ_QssypoKc/view?usp=drivesdk" TargetMode="External"/><Relationship Id="rId2909" Type="http://schemas.openxmlformats.org/officeDocument/2006/relationships/hyperlink" Target="https://drive.google.com/file/d/1_bYilw4s3CBVBN-KvXQTXxvJSKsrZi3r/view?usp=drivesdk" TargetMode="External"/><Relationship Id="rId2920" Type="http://schemas.openxmlformats.org/officeDocument/2006/relationships/hyperlink" Target="https://drive.google.com/file/d/1yVF_jdK1aRlaRk8_f_FD59yEjYRH9thO/view?usp=drivesdk" TargetMode="External"/><Relationship Id="rId2921" Type="http://schemas.openxmlformats.org/officeDocument/2006/relationships/hyperlink" Target="https://drive.google.com/file/d/1Aax0noQJgYdtk8FhsZWbf6XdmkbvzO-E/view?usp=drivesdk" TargetMode="External"/><Relationship Id="rId2922" Type="http://schemas.openxmlformats.org/officeDocument/2006/relationships/hyperlink" Target="https://drive.google.com/file/d/1EPS3XoI6Ut6mCtjZGQbsAqvgbbxxjvpk/view?usp=drivesdk" TargetMode="External"/><Relationship Id="rId2923" Type="http://schemas.openxmlformats.org/officeDocument/2006/relationships/hyperlink" Target="https://drive.google.com/file/d/18JFqObP84pFzu3PYjP_oj1H7MA82kC7b/view?usp=drivesdk" TargetMode="External"/><Relationship Id="rId2924" Type="http://schemas.openxmlformats.org/officeDocument/2006/relationships/hyperlink" Target="https://drive.google.com/file/d/1bLSuZYvJ5QvEl_TSgbFwqnZsbqJXcX-6/view?usp=drivesdk" TargetMode="External"/><Relationship Id="rId2925" Type="http://schemas.openxmlformats.org/officeDocument/2006/relationships/hyperlink" Target="https://drive.google.com/file/d/1OXmqpPdO1BgHoDRQ0q9esmkoxcMH80_V/view?usp=drivesdk" TargetMode="External"/><Relationship Id="rId2926" Type="http://schemas.openxmlformats.org/officeDocument/2006/relationships/hyperlink" Target="https://drive.google.com/file/d/1oFDGESMTtKErF-rP8d8OH-fV1yzkkwjB/view?usp=drivesdk" TargetMode="External"/><Relationship Id="rId2927" Type="http://schemas.openxmlformats.org/officeDocument/2006/relationships/hyperlink" Target="https://drive.google.com/file/d/1rTgigRDwRhCMmkZF9vPuOlv-S8GO2tQB/view?usp=drivesdk" TargetMode="External"/><Relationship Id="rId2928" Type="http://schemas.openxmlformats.org/officeDocument/2006/relationships/hyperlink" Target="https://drive.google.com/file/d/1hvDsqsfl0hFb3IViOY-j46g2tB_6kHqa/view?usp=drivesdk" TargetMode="External"/><Relationship Id="rId2929" Type="http://schemas.openxmlformats.org/officeDocument/2006/relationships/hyperlink" Target="https://drive.google.com/file/d/1c6q3Gye53xlo7_sCm1-q_IbDFpp6FuZv/view?usp=drivesdk" TargetMode="External"/><Relationship Id="rId2910" Type="http://schemas.openxmlformats.org/officeDocument/2006/relationships/hyperlink" Target="https://drive.google.com/file/d/1fTTQHRIZH9lP6I2wFBm5pIQsXV1OK9yw/view?usp=drivesdk" TargetMode="External"/><Relationship Id="rId2911" Type="http://schemas.openxmlformats.org/officeDocument/2006/relationships/hyperlink" Target="https://drive.google.com/file/d/12UbBpzahRtqH1_cEsIaYCmDujE8fL6EW/view?usp=drivesdk" TargetMode="External"/><Relationship Id="rId2912" Type="http://schemas.openxmlformats.org/officeDocument/2006/relationships/hyperlink" Target="https://drive.google.com/file/d/1G0Z8jKSYA5QeKsFiFqAwf9hPNPcMQGBx/view?usp=drivesdk" TargetMode="External"/><Relationship Id="rId2913" Type="http://schemas.openxmlformats.org/officeDocument/2006/relationships/hyperlink" Target="https://drive.google.com/file/d/1kT2VxC7SoG9kfruiajVHhySLeYNHSPYC/view?usp=drivesdk" TargetMode="External"/><Relationship Id="rId2914" Type="http://schemas.openxmlformats.org/officeDocument/2006/relationships/hyperlink" Target="https://drive.google.com/file/d/1wkQT6y2ZbDtZ3Q3ytXRALoCj6xSI2dug/view?usp=drivesdk" TargetMode="External"/><Relationship Id="rId2915" Type="http://schemas.openxmlformats.org/officeDocument/2006/relationships/hyperlink" Target="https://drive.google.com/file/d/1equHyQ7QlZFPR5lmFNgJGIQdZn26cojw/view?usp=drivesdk" TargetMode="External"/><Relationship Id="rId2916" Type="http://schemas.openxmlformats.org/officeDocument/2006/relationships/hyperlink" Target="https://drive.google.com/file/d/1OpEJ6yR6GqGE-JEEUZGxrZVWMgPjmcqf/view?usp=drivesdk" TargetMode="External"/><Relationship Id="rId2917" Type="http://schemas.openxmlformats.org/officeDocument/2006/relationships/hyperlink" Target="https://drive.google.com/file/d/1a4-x-hnWsVb58WLoJlTvwYIHHj3ic5V5/view?usp=drivesdk" TargetMode="External"/><Relationship Id="rId2918" Type="http://schemas.openxmlformats.org/officeDocument/2006/relationships/hyperlink" Target="https://drive.google.com/file/d/1u-dmlbHNC_B2lxdI421aTeMOIzPVI8AZ/view?usp=drivesdk" TargetMode="External"/><Relationship Id="rId2919" Type="http://schemas.openxmlformats.org/officeDocument/2006/relationships/hyperlink" Target="https://drive.google.com/file/d/13m70WVxIyPKwLGBrhc4Azr5K0VM62lJE/view?usp=drivesdk" TargetMode="External"/><Relationship Id="rId1697" Type="http://schemas.openxmlformats.org/officeDocument/2006/relationships/hyperlink" Target="https://drive.google.com/file/d/1yYTeVMJv8Bp60Z8Z5Nhkpxiud3_HKdmN/view?usp=drivesdk" TargetMode="External"/><Relationship Id="rId4723" Type="http://schemas.openxmlformats.org/officeDocument/2006/relationships/hyperlink" Target="https://drive.google.com/file/d/1pW63j6asPI9f3NmGgrIf1cJM55GwmelP/view?usp=drivesdk" TargetMode="External"/><Relationship Id="rId1698" Type="http://schemas.openxmlformats.org/officeDocument/2006/relationships/hyperlink" Target="https://drive.google.com/file/d/1-R6Nt4mp4548SEvDZdkpwS9nNEXowz2J/view?usp=drivesdk" TargetMode="External"/><Relationship Id="rId4722" Type="http://schemas.openxmlformats.org/officeDocument/2006/relationships/hyperlink" Target="https://drive.google.com/file/d/1TOgEBDFAcRW9CiPqqYNZRiEwNEzdIn28/view?usp=drivesdk" TargetMode="External"/><Relationship Id="rId1699" Type="http://schemas.openxmlformats.org/officeDocument/2006/relationships/hyperlink" Target="https://drive.google.com/file/d/1V4GMEs4bJ5UO8fIok48Hl9SKCXsxp99a/view?usp=drivesdk" TargetMode="External"/><Relationship Id="rId4725" Type="http://schemas.openxmlformats.org/officeDocument/2006/relationships/hyperlink" Target="https://drive.google.com/file/d/14a9q_5Y2V3FZ9haoSnbv_lvqWK4hTvGA/view?usp=drivesdk" TargetMode="External"/><Relationship Id="rId4724" Type="http://schemas.openxmlformats.org/officeDocument/2006/relationships/hyperlink" Target="https://drive.google.com/file/d/1aK_F_OkzdGG5TskbRz5WogjRg9OP4xAb/view?usp=drivesdk" TargetMode="External"/><Relationship Id="rId4727" Type="http://schemas.openxmlformats.org/officeDocument/2006/relationships/hyperlink" Target="https://drive.google.com/file/d/1xTdoUylERLwUVDuuMpeFtp3t7xPHrIbO/view?usp=drivesdk" TargetMode="External"/><Relationship Id="rId4726" Type="http://schemas.openxmlformats.org/officeDocument/2006/relationships/hyperlink" Target="https://drive.google.com/file/d/1o8OD1Ox2GZMxEaGfsR13lMa_acLpq4C0/view?usp=drivesdk" TargetMode="External"/><Relationship Id="rId4729" Type="http://schemas.openxmlformats.org/officeDocument/2006/relationships/hyperlink" Target="https://drive.google.com/file/d/19SEOKczyB27bRiEKr4gDkEhcuINnnvoY/view?usp=drivesdk" TargetMode="External"/><Relationship Id="rId4728" Type="http://schemas.openxmlformats.org/officeDocument/2006/relationships/hyperlink" Target="https://drive.google.com/file/d/1eWMZM9yaoLzsjfobGjhgq4Wd5UmIXPq7/view?usp=drivesdk" TargetMode="External"/><Relationship Id="rId866" Type="http://schemas.openxmlformats.org/officeDocument/2006/relationships/hyperlink" Target="https://drive.google.com/file/d/1u1GZ-9MTeApVelMo2TfC_30acXb3U88n/view?usp=drivesdk" TargetMode="External"/><Relationship Id="rId865" Type="http://schemas.openxmlformats.org/officeDocument/2006/relationships/hyperlink" Target="https://drive.google.com/file/d/1yyjyEPhrPdClVcaJCcYckwg1WH3KoSuR/view?usp=drivesdk" TargetMode="External"/><Relationship Id="rId864" Type="http://schemas.openxmlformats.org/officeDocument/2006/relationships/hyperlink" Target="https://drive.google.com/file/d/1qgNZ_zkSWLV3ZsQl5R2QNWI44yvUs6PF/view?usp=drivesdk" TargetMode="External"/><Relationship Id="rId863" Type="http://schemas.openxmlformats.org/officeDocument/2006/relationships/hyperlink" Target="https://drive.google.com/file/d/1o09JgW1u1IrEjDwaED0kS0yXG2kr5vhU/view?usp=drivesdk" TargetMode="External"/><Relationship Id="rId869" Type="http://schemas.openxmlformats.org/officeDocument/2006/relationships/hyperlink" Target="https://drive.google.com/file/d/1WJzFiwtODTLifXXA0r-uTihSFUThfhrO/view?usp=drivesdk" TargetMode="External"/><Relationship Id="rId868" Type="http://schemas.openxmlformats.org/officeDocument/2006/relationships/hyperlink" Target="https://drive.google.com/file/d/1wO5ICK8apXkbDTMRpK7t7TntFJUTNpIr/view?usp=drivesdk" TargetMode="External"/><Relationship Id="rId867" Type="http://schemas.openxmlformats.org/officeDocument/2006/relationships/hyperlink" Target="https://drive.google.com/file/d/1e5kSNDqExPD3DIo5W0MnHy5wW7mZzhGK/view?usp=drivesdk" TargetMode="External"/><Relationship Id="rId1690" Type="http://schemas.openxmlformats.org/officeDocument/2006/relationships/hyperlink" Target="https://drive.google.com/file/d/1bL39-5p5zim5QXbWSVCB8AtZP5OrVEcv/view?usp=drivesdk" TargetMode="External"/><Relationship Id="rId1691" Type="http://schemas.openxmlformats.org/officeDocument/2006/relationships/hyperlink" Target="https://drive.google.com/file/d/1VH8jqIP974th1EL_5tvFGhy9QC9JUe1L/view?usp=drivesdk" TargetMode="External"/><Relationship Id="rId1692" Type="http://schemas.openxmlformats.org/officeDocument/2006/relationships/hyperlink" Target="https://drive.google.com/file/d/13Rg3Z7pIkr-D2N2SL7Yyjp9OXIveFkoD/view?usp=drivesdk" TargetMode="External"/><Relationship Id="rId862" Type="http://schemas.openxmlformats.org/officeDocument/2006/relationships/hyperlink" Target="https://drive.google.com/file/d/1S2iylk4_ldZQzCogXgHlQAMEX0cOtgvL/view?usp=drivesdk" TargetMode="External"/><Relationship Id="rId1693" Type="http://schemas.openxmlformats.org/officeDocument/2006/relationships/hyperlink" Target="https://drive.google.com/file/d/12aLlTLX0NGULErDhfLcvpWy-brgxzpYh/view?usp=drivesdk" TargetMode="External"/><Relationship Id="rId861" Type="http://schemas.openxmlformats.org/officeDocument/2006/relationships/hyperlink" Target="https://drive.google.com/file/d/1wLeXqFCiiQIyklDcFcZjfXkQ4vznn20o/view?usp=drivesdk" TargetMode="External"/><Relationship Id="rId1694" Type="http://schemas.openxmlformats.org/officeDocument/2006/relationships/hyperlink" Target="https://drive.google.com/file/d/1qIEf44vFcGnDWhAa80KhCWfVBDFH7YWy/view?usp=drivesdk" TargetMode="External"/><Relationship Id="rId860" Type="http://schemas.openxmlformats.org/officeDocument/2006/relationships/hyperlink" Target="https://drive.google.com/file/d/1egCZl0fFe7-Mn8HSeSDfF9lLApnzvcMK/view?usp=drivesdk" TargetMode="External"/><Relationship Id="rId1695" Type="http://schemas.openxmlformats.org/officeDocument/2006/relationships/hyperlink" Target="https://drive.google.com/file/d/19Lk1ALZIWJPp_nPS-A4qdMmFizl0-TVc/view?usp=drivesdk" TargetMode="External"/><Relationship Id="rId4721" Type="http://schemas.openxmlformats.org/officeDocument/2006/relationships/hyperlink" Target="https://drive.google.com/file/d/1MWUQ8i3NaGjZV0klEvpl2e2gr594KMbm/view?usp=drivesdk" TargetMode="External"/><Relationship Id="rId1696" Type="http://schemas.openxmlformats.org/officeDocument/2006/relationships/hyperlink" Target="https://drive.google.com/file/d/1Vy5XCzlAGwi2k7rHlDX_BdkHJgTHboKk/view?usp=drivesdk" TargetMode="External"/><Relationship Id="rId4720" Type="http://schemas.openxmlformats.org/officeDocument/2006/relationships/hyperlink" Target="https://drive.google.com/file/d/1TCRqQ1oNitAQcStUtW6rGM_CGlY9e5D5/view?usp=drivesdk" TargetMode="External"/><Relationship Id="rId1686" Type="http://schemas.openxmlformats.org/officeDocument/2006/relationships/hyperlink" Target="https://drive.google.com/file/d/1GRsrEPpT1A9qbiORZ-4FOUMo0nrw0GuH/view?usp=drivesdk" TargetMode="External"/><Relationship Id="rId4712" Type="http://schemas.openxmlformats.org/officeDocument/2006/relationships/hyperlink" Target="https://drive.google.com/file/d/16whX8BOz0laIuGWxA41IPHmHuZjXUgAq/view?usp=drivesdk" TargetMode="External"/><Relationship Id="rId1687" Type="http://schemas.openxmlformats.org/officeDocument/2006/relationships/hyperlink" Target="https://drive.google.com/file/d/1ydVxz7zBowZ92johZUw7F8eKbJqe_LkV/view?usp=drivesdk" TargetMode="External"/><Relationship Id="rId4711" Type="http://schemas.openxmlformats.org/officeDocument/2006/relationships/hyperlink" Target="https://drive.google.com/file/d/1W5wLEZTeel2vIXSLMX5XQUYdQGDMkfSD/view?usp=drivesdk" TargetMode="External"/><Relationship Id="rId1688" Type="http://schemas.openxmlformats.org/officeDocument/2006/relationships/hyperlink" Target="https://drive.google.com/file/d/1m5efL7eq2Yxjx4WxGsQiI19JFG5l2S_j/view?usp=drivesdk" TargetMode="External"/><Relationship Id="rId4714" Type="http://schemas.openxmlformats.org/officeDocument/2006/relationships/hyperlink" Target="https://drive.google.com/file/d/1DHneFFHQMrT3tvBZg8RQ6naTdJD-lk6R/view?usp=drivesdk" TargetMode="External"/><Relationship Id="rId1689" Type="http://schemas.openxmlformats.org/officeDocument/2006/relationships/hyperlink" Target="https://drive.google.com/file/d/10CDgj9kmDy39lL0YNjCmvai9kelPhL8c/view?usp=drivesdk" TargetMode="External"/><Relationship Id="rId4713" Type="http://schemas.openxmlformats.org/officeDocument/2006/relationships/hyperlink" Target="https://drive.google.com/file/d/1GFkqOu01If7_Fcje-t6Y_SFOMxPRnHfP/view?usp=drivesdk" TargetMode="External"/><Relationship Id="rId4716" Type="http://schemas.openxmlformats.org/officeDocument/2006/relationships/hyperlink" Target="https://drive.google.com/file/d/1-VicZf4b2QWrPUIk772aanGzPq5j1daN/view?usp=drivesdk" TargetMode="External"/><Relationship Id="rId4715" Type="http://schemas.openxmlformats.org/officeDocument/2006/relationships/hyperlink" Target="https://drive.google.com/file/d/15tTn5j86aa8BpA1bB0EAjQzz7rqatyEx/view?usp=drivesdk" TargetMode="External"/><Relationship Id="rId4718" Type="http://schemas.openxmlformats.org/officeDocument/2006/relationships/hyperlink" Target="https://drive.google.com/file/d/1ZrO8BBMt8SB0tcnd1JA0NY3Mt_W3mw4z/view?usp=drivesdk" TargetMode="External"/><Relationship Id="rId4717" Type="http://schemas.openxmlformats.org/officeDocument/2006/relationships/hyperlink" Target="https://drive.google.com/file/d/1HkJl5LpshQUs512KGpp-I7AtLC7NWS7X/view?usp=drivesdk" TargetMode="External"/><Relationship Id="rId4719" Type="http://schemas.openxmlformats.org/officeDocument/2006/relationships/hyperlink" Target="https://drive.google.com/file/d/1CSk95HZKnS02i75tdLtReA5fLMYLphtb/view?usp=drivesdk" TargetMode="External"/><Relationship Id="rId855" Type="http://schemas.openxmlformats.org/officeDocument/2006/relationships/hyperlink" Target="https://drive.google.com/file/d/1KtgT_ZyvEYdEj3PPlQE0cTsXa6plHecg/view?usp=drivesdk" TargetMode="External"/><Relationship Id="rId854" Type="http://schemas.openxmlformats.org/officeDocument/2006/relationships/hyperlink" Target="https://drive.google.com/file/d/1cfF7g6uuo74V6lAwK_NhXvKUcK9r7y5d/view?usp=drivesdk" TargetMode="External"/><Relationship Id="rId853" Type="http://schemas.openxmlformats.org/officeDocument/2006/relationships/hyperlink" Target="https://drive.google.com/file/d/1QG90N-ZdipJv9-2lqMYk2mOaTffmzAAY/view?usp=drivesdk" TargetMode="External"/><Relationship Id="rId852" Type="http://schemas.openxmlformats.org/officeDocument/2006/relationships/hyperlink" Target="https://drive.google.com/file/d/1x2wsr8_Tm1jowE1KJayb8-KJnoHfqm5H/view?usp=drivesdk" TargetMode="External"/><Relationship Id="rId859" Type="http://schemas.openxmlformats.org/officeDocument/2006/relationships/hyperlink" Target="https://drive.google.com/file/d/1RbKobVBM5Jk7bH90kY4QMmBbTNcj4f6N/view?usp=drivesdk" TargetMode="External"/><Relationship Id="rId858" Type="http://schemas.openxmlformats.org/officeDocument/2006/relationships/hyperlink" Target="https://drive.google.com/file/d/1jYBES5mF3EylBp7KSoTbCdUqvHJZ5hOF/view?usp=drivesdk" TargetMode="External"/><Relationship Id="rId857" Type="http://schemas.openxmlformats.org/officeDocument/2006/relationships/hyperlink" Target="https://drive.google.com/file/d/1Jpz5ul6H-hO3dGFdcjEWHyYLkG4N0VZo/view?usp=drivesdk" TargetMode="External"/><Relationship Id="rId856" Type="http://schemas.openxmlformats.org/officeDocument/2006/relationships/hyperlink" Target="https://drive.google.com/file/d/1kxbQxsOtCaOElVjvfuPg75ZahOTw9JbC/view?usp=drivesdk" TargetMode="External"/><Relationship Id="rId1680" Type="http://schemas.openxmlformats.org/officeDocument/2006/relationships/hyperlink" Target="https://drive.google.com/file/d/1VRXWuG1ETnxBqLYu9od4UOF24EzVXOy9/view?usp=drivesdk" TargetMode="External"/><Relationship Id="rId1681" Type="http://schemas.openxmlformats.org/officeDocument/2006/relationships/hyperlink" Target="https://drive.google.com/file/d/1HQRJiToGcB2ojNpAW5GiiJDyIPWDsG8j/view?usp=drivesdk" TargetMode="External"/><Relationship Id="rId851" Type="http://schemas.openxmlformats.org/officeDocument/2006/relationships/hyperlink" Target="https://drive.google.com/file/d/1Hadozl1fvzi06Ew53MoEeaRQB1JkdoN0/view?usp=drivesdk" TargetMode="External"/><Relationship Id="rId1682" Type="http://schemas.openxmlformats.org/officeDocument/2006/relationships/hyperlink" Target="https://drive.google.com/file/d/1TLOCfqxZs_hJiJkorcICdZ7l0z6xYZPd/view?usp=drivesdk" TargetMode="External"/><Relationship Id="rId850" Type="http://schemas.openxmlformats.org/officeDocument/2006/relationships/hyperlink" Target="https://drive.google.com/file/d/1ykFJQHXD_YRy6D4c-U0t849eQ0ZVziBV/view?usp=drivesdk" TargetMode="External"/><Relationship Id="rId1683" Type="http://schemas.openxmlformats.org/officeDocument/2006/relationships/hyperlink" Target="https://drive.google.com/file/d/1VLrw6SMeom_48m6r4al11A0s0vFwH7Vp/view?usp=drivesdk" TargetMode="External"/><Relationship Id="rId1684" Type="http://schemas.openxmlformats.org/officeDocument/2006/relationships/hyperlink" Target="https://drive.google.com/file/d/1E7l6SyVC_1HCNmx0GUkTf9bknOiWPx3N/view?usp=drivesdk" TargetMode="External"/><Relationship Id="rId4710" Type="http://schemas.openxmlformats.org/officeDocument/2006/relationships/hyperlink" Target="https://drive.google.com/file/d/1yQYN5s41VLSEdkLkXi6iOCj08y3MrujK/view?usp=drivesdk" TargetMode="External"/><Relationship Id="rId1685" Type="http://schemas.openxmlformats.org/officeDocument/2006/relationships/hyperlink" Target="https://drive.google.com/file/d/1qrK6U4wYMGftfHtdp0eJc_gPWEuyq5gO/view?usp=drivesdk" TargetMode="External"/><Relationship Id="rId3414" Type="http://schemas.openxmlformats.org/officeDocument/2006/relationships/hyperlink" Target="https://drive.google.com/file/d/1vqrGfZlV9FJ46KhlUn9gdSxzWODAWjrw/view?usp=drivesdk" TargetMode="External"/><Relationship Id="rId4745" Type="http://schemas.openxmlformats.org/officeDocument/2006/relationships/hyperlink" Target="https://drive.google.com/file/d/10N4kW2UHAWa83HxQfyQ9ogqWRDFUntNt/view?usp=drivesdk" TargetMode="External"/><Relationship Id="rId3413" Type="http://schemas.openxmlformats.org/officeDocument/2006/relationships/hyperlink" Target="https://drive.google.com/file/d/1z8mMs76guQu-CAtOKCb2rBIEYoNhgAvU/view?usp=drivesdk" TargetMode="External"/><Relationship Id="rId4744" Type="http://schemas.openxmlformats.org/officeDocument/2006/relationships/hyperlink" Target="https://drive.google.com/file/d/1_F4fQ0w27J1GXRUYnK89QW3UD7fsCRDE/view?usp=drivesdk" TargetMode="External"/><Relationship Id="rId3416" Type="http://schemas.openxmlformats.org/officeDocument/2006/relationships/hyperlink" Target="https://drive.google.com/file/d/1OgvndMUg8StEEvy1dpcsRUMkdWYcFRjt/view?usp=drivesdk" TargetMode="External"/><Relationship Id="rId4747" Type="http://schemas.openxmlformats.org/officeDocument/2006/relationships/hyperlink" Target="https://drive.google.com/file/d/1Qyb5ZRQGjdtTWDnQlhxQ2tcTYe5Roh5A/view?usp=drivesdk" TargetMode="External"/><Relationship Id="rId3415" Type="http://schemas.openxmlformats.org/officeDocument/2006/relationships/hyperlink" Target="https://drive.google.com/file/d/18IR45PEbwAW3vZanEx52K5iNyPX6fsQM/view?usp=drivesdk" TargetMode="External"/><Relationship Id="rId4746" Type="http://schemas.openxmlformats.org/officeDocument/2006/relationships/hyperlink" Target="https://drive.google.com/file/d/1cdLvoJSErwU-8dzdpKCPA4_W3ewuP-xH/view?usp=drivesdk" TargetMode="External"/><Relationship Id="rId3418" Type="http://schemas.openxmlformats.org/officeDocument/2006/relationships/hyperlink" Target="https://drive.google.com/file/d/1r-df0cHPAavZAOGpdRB5pYAaWLjqZ1lV/view?usp=drivesdk" TargetMode="External"/><Relationship Id="rId4749" Type="http://schemas.openxmlformats.org/officeDocument/2006/relationships/hyperlink" Target="https://drive.google.com/file/d/1aKxx8RPZO3R1iNI3r5GA4oWOnmlssm6s/view?usp=drivesdk" TargetMode="External"/><Relationship Id="rId3417" Type="http://schemas.openxmlformats.org/officeDocument/2006/relationships/hyperlink" Target="https://drive.google.com/file/d/1tWsqBziY-jDaTSCebEuWFAg7EdgWc6Va/view?usp=drivesdk" TargetMode="External"/><Relationship Id="rId4748" Type="http://schemas.openxmlformats.org/officeDocument/2006/relationships/hyperlink" Target="https://drive.google.com/file/d/1O6ev4z56y2t2hNG76hKHFt0eHfGZtkPN/view?usp=drivesdk" TargetMode="External"/><Relationship Id="rId3419" Type="http://schemas.openxmlformats.org/officeDocument/2006/relationships/hyperlink" Target="https://drive.google.com/file/d/1tm_lwoyopqfFBgHGxtOGkb55CYDqAG-w/view?usp=drivesdk" TargetMode="External"/><Relationship Id="rId888" Type="http://schemas.openxmlformats.org/officeDocument/2006/relationships/hyperlink" Target="https://drive.google.com/file/d/1tNrAxyiGAEXUNkVX1BbJUf9WoBCuZQzW/view?usp=drivesdk" TargetMode="External"/><Relationship Id="rId887" Type="http://schemas.openxmlformats.org/officeDocument/2006/relationships/hyperlink" Target="https://drive.google.com/file/d/1n-0nREUOYpDrf3nAbszTjMz49RPTliHu/view?usp=drivesdk" TargetMode="External"/><Relationship Id="rId886" Type="http://schemas.openxmlformats.org/officeDocument/2006/relationships/hyperlink" Target="https://drive.google.com/file/d/1G4wxIR4RyL4jg8_0Xblv186jfpNQkQ5p/view?usp=drivesdk" TargetMode="External"/><Relationship Id="rId885" Type="http://schemas.openxmlformats.org/officeDocument/2006/relationships/hyperlink" Target="https://drive.google.com/file/d/1gAERht4WC-xUyAWWVx7ZkmbT613eIjUM/view?usp=drivesdk" TargetMode="External"/><Relationship Id="rId889" Type="http://schemas.openxmlformats.org/officeDocument/2006/relationships/hyperlink" Target="https://drive.google.com/file/d/1ZH4b3XCN99d1hxM9CK6y-If33ePJWsnN/view?usp=drivesdk" TargetMode="External"/><Relationship Id="rId880" Type="http://schemas.openxmlformats.org/officeDocument/2006/relationships/hyperlink" Target="https://drive.google.com/file/d/1TpDvrbrTByyhhFuqGE_u22_h5rNIapcZ/view?usp=drivesdk" TargetMode="External"/><Relationship Id="rId884" Type="http://schemas.openxmlformats.org/officeDocument/2006/relationships/hyperlink" Target="https://drive.google.com/file/d/1lrk_Bc4dmzJFl8dydWbqkGdwKWBAneLM/view?usp=drivesdk" TargetMode="External"/><Relationship Id="rId3410" Type="http://schemas.openxmlformats.org/officeDocument/2006/relationships/hyperlink" Target="https://drive.google.com/file/d/10QAlOqhGxS5xIwFRXSeORFjO7Zgg1fUa/view?usp=drivesdk" TargetMode="External"/><Relationship Id="rId4741" Type="http://schemas.openxmlformats.org/officeDocument/2006/relationships/hyperlink" Target="https://drive.google.com/file/d/1NYpVVFlxEbqfR7iaIDNrfJE6X5fefJEt/view?usp=drivesdk" TargetMode="External"/><Relationship Id="rId883" Type="http://schemas.openxmlformats.org/officeDocument/2006/relationships/hyperlink" Target="https://drive.google.com/file/d/16MDNcDY-Br22p-RKJN5Chb0RO-h1mWHK/view?usp=drivesdk" TargetMode="External"/><Relationship Id="rId4740" Type="http://schemas.openxmlformats.org/officeDocument/2006/relationships/hyperlink" Target="https://drive.google.com/file/d/1ArfswNbRBw1gmZYk5VcxqVv6GCgxfNCn/view?usp=drivesdk" TargetMode="External"/><Relationship Id="rId882" Type="http://schemas.openxmlformats.org/officeDocument/2006/relationships/hyperlink" Target="https://drive.google.com/file/d/1YjbAkbWsKY1vB-yl2X1aoKvgMKJBzOdz/view?usp=drivesdk" TargetMode="External"/><Relationship Id="rId3412" Type="http://schemas.openxmlformats.org/officeDocument/2006/relationships/hyperlink" Target="https://drive.google.com/file/d/1ZCqB4wgHFlpXsCApVDmuY-mchb-rtuVM/view?usp=drivesdk" TargetMode="External"/><Relationship Id="rId4743" Type="http://schemas.openxmlformats.org/officeDocument/2006/relationships/hyperlink" Target="https://drive.google.com/file/d/1iYYiHWPfQJvTY1QY4CVLSvrowXepKy9q/view?usp=drivesdk" TargetMode="External"/><Relationship Id="rId881" Type="http://schemas.openxmlformats.org/officeDocument/2006/relationships/hyperlink" Target="https://drive.google.com/file/d/1LXK2hLDeFWIDM0c3ueI_2Terz7s71vdW/view?usp=drivesdk" TargetMode="External"/><Relationship Id="rId3411" Type="http://schemas.openxmlformats.org/officeDocument/2006/relationships/hyperlink" Target="https://drive.google.com/file/d/1HARBPCnYHkOiyGS8JYqQOJkKpe7rmIoa/view?usp=drivesdk" TargetMode="External"/><Relationship Id="rId4742" Type="http://schemas.openxmlformats.org/officeDocument/2006/relationships/hyperlink" Target="https://drive.google.com/file/d/1Do9uV_vTWBcTuud13X9uwuuqggnP5WYo/view?usp=drivesdk" TargetMode="External"/><Relationship Id="rId3403" Type="http://schemas.openxmlformats.org/officeDocument/2006/relationships/hyperlink" Target="https://drive.google.com/file/d/1FPkgEUGoePjUUwKYumkVjrCl4SEdernA/view?usp=drivesdk" TargetMode="External"/><Relationship Id="rId4734" Type="http://schemas.openxmlformats.org/officeDocument/2006/relationships/hyperlink" Target="https://drive.google.com/file/d/1X4rDrohFJlVfdpmXjHgb0ipgq3KlYs4q/view?usp=drivesdk" TargetMode="External"/><Relationship Id="rId3402" Type="http://schemas.openxmlformats.org/officeDocument/2006/relationships/hyperlink" Target="https://drive.google.com/file/d/1VqK_yAczZtDg_r1k2oUjlq5ac0Q-Z9rd/view?usp=drivesdk" TargetMode="External"/><Relationship Id="rId4733" Type="http://schemas.openxmlformats.org/officeDocument/2006/relationships/hyperlink" Target="https://drive.google.com/file/d/1vO9ncEi7JvJHJqgVnNJtc8Xh0Opom7BR/view?usp=drivesdk" TargetMode="External"/><Relationship Id="rId3405" Type="http://schemas.openxmlformats.org/officeDocument/2006/relationships/hyperlink" Target="https://drive.google.com/file/d/1bn0U0RDV74Wh_TbnpOsjQ9F8jbgmP-WC/view?usp=drivesdk" TargetMode="External"/><Relationship Id="rId4736" Type="http://schemas.openxmlformats.org/officeDocument/2006/relationships/hyperlink" Target="https://drive.google.com/file/d/1bn1FaBzYNutFCVgjV2PQ0lu_k8WdWSSR/view?usp=drivesdk" TargetMode="External"/><Relationship Id="rId3404" Type="http://schemas.openxmlformats.org/officeDocument/2006/relationships/hyperlink" Target="https://drive.google.com/file/d/1ZL7wQRtovqvJyfl5-X5uoMJmtM-WjnoM/view?usp=drivesdk" TargetMode="External"/><Relationship Id="rId4735" Type="http://schemas.openxmlformats.org/officeDocument/2006/relationships/hyperlink" Target="https://drive.google.com/file/d/1Eqi4Lmi3XwWBF5bVq4WBf8sMUIGqbWDt/view?usp=drivesdk" TargetMode="External"/><Relationship Id="rId3407" Type="http://schemas.openxmlformats.org/officeDocument/2006/relationships/hyperlink" Target="https://drive.google.com/file/d/1q_5rONWcUIaUKvzorf05KhBzGmfOi0Ft/view?usp=drivesdk" TargetMode="External"/><Relationship Id="rId4738" Type="http://schemas.openxmlformats.org/officeDocument/2006/relationships/hyperlink" Target="https://drive.google.com/file/d/1LKbD3PQFGfu8HItr2D4pvxlxfaFJThj2/view?usp=drivesdk" TargetMode="External"/><Relationship Id="rId3406" Type="http://schemas.openxmlformats.org/officeDocument/2006/relationships/hyperlink" Target="https://drive.google.com/file/d/1KKptDtVUF_HHvt_AlJnrjcmrw4z5rxwV/view?usp=drivesdk" TargetMode="External"/><Relationship Id="rId4737" Type="http://schemas.openxmlformats.org/officeDocument/2006/relationships/hyperlink" Target="https://drive.google.com/file/d/1RkquQf9iRLL7dpVwmOGufvJ1VQT2POYa/view?usp=drivesdk" TargetMode="External"/><Relationship Id="rId3409" Type="http://schemas.openxmlformats.org/officeDocument/2006/relationships/hyperlink" Target="https://drive.google.com/file/d/1sPBaPOuhgm_ebzyW502q7h5D_SNPOCDE/view?usp=drivesdk" TargetMode="External"/><Relationship Id="rId3408" Type="http://schemas.openxmlformats.org/officeDocument/2006/relationships/hyperlink" Target="https://drive.google.com/file/d/1LPVH7JX4hIJF1Lqu4TTW3edFGrx1GHFW/view?usp=drivesdk" TargetMode="External"/><Relationship Id="rId4739" Type="http://schemas.openxmlformats.org/officeDocument/2006/relationships/hyperlink" Target="https://drive.google.com/file/d/1gileLd_lzctXXWslanRWL73axSc4_PWu/view?usp=drivesdk" TargetMode="External"/><Relationship Id="rId877" Type="http://schemas.openxmlformats.org/officeDocument/2006/relationships/hyperlink" Target="https://drive.google.com/file/d/14s2-eAaWhh1cffaZHyUITJ1P3S203gD_/view?usp=drivesdk" TargetMode="External"/><Relationship Id="rId876" Type="http://schemas.openxmlformats.org/officeDocument/2006/relationships/hyperlink" Target="https://drive.google.com/file/d/1T3JEzWK4lagHvpeY5TGWnSBccFHOen65/view?usp=drivesdk" TargetMode="External"/><Relationship Id="rId875" Type="http://schemas.openxmlformats.org/officeDocument/2006/relationships/hyperlink" Target="https://drive.google.com/file/d/1rDIM64Gpn7YBrXWemMXZkWlSJ2655cN2/view?usp=drivesdk" TargetMode="External"/><Relationship Id="rId874" Type="http://schemas.openxmlformats.org/officeDocument/2006/relationships/hyperlink" Target="https://drive.google.com/file/d/1yD9SJBlTY8Gs_ncar2jYPs0885aKvHqI/view?usp=drivesdk" TargetMode="External"/><Relationship Id="rId879" Type="http://schemas.openxmlformats.org/officeDocument/2006/relationships/hyperlink" Target="https://drive.google.com/file/d/1D6SjkmCcz7SNrja0TaCTphLOKYszhxBj/view?usp=drivesdk" TargetMode="External"/><Relationship Id="rId878" Type="http://schemas.openxmlformats.org/officeDocument/2006/relationships/hyperlink" Target="https://drive.google.com/file/d/1syEH1tbf4oxQe20-zo55vDEEHpTh2l92/view?usp=drivesdk" TargetMode="External"/><Relationship Id="rId873" Type="http://schemas.openxmlformats.org/officeDocument/2006/relationships/hyperlink" Target="https://drive.google.com/file/d/1QaMDw7zasVfZeoYXccqEevgaVS8zlbCJ/view?usp=drivesdk" TargetMode="External"/><Relationship Id="rId4730" Type="http://schemas.openxmlformats.org/officeDocument/2006/relationships/hyperlink" Target="https://drive.google.com/file/d/1SLz_Bqoo7WaFjs6uzSwAi5BDla7lrU9M/view?usp=drivesdk" TargetMode="External"/><Relationship Id="rId872" Type="http://schemas.openxmlformats.org/officeDocument/2006/relationships/hyperlink" Target="https://drive.google.com/file/d/1OGRX8BNeDbChKxtZcIWwADRLVNMYbekK/view?usp=drivesdk" TargetMode="External"/><Relationship Id="rId871" Type="http://schemas.openxmlformats.org/officeDocument/2006/relationships/hyperlink" Target="https://drive.google.com/file/d/1Y3gZPrfainbyVXNkmRdbb3gUCQegWaM5/view?usp=drivesdk" TargetMode="External"/><Relationship Id="rId3401" Type="http://schemas.openxmlformats.org/officeDocument/2006/relationships/hyperlink" Target="https://drive.google.com/file/d/1z1h0qUBfgUdVXBU70fw6OxCs8AdhgUlV/view?usp=drivesdk" TargetMode="External"/><Relationship Id="rId4732" Type="http://schemas.openxmlformats.org/officeDocument/2006/relationships/hyperlink" Target="https://drive.google.com/file/d/1vMdrTov_e0EV7cWSTilNanaj38eubPo0/view?usp=drivesdk" TargetMode="External"/><Relationship Id="rId870" Type="http://schemas.openxmlformats.org/officeDocument/2006/relationships/hyperlink" Target="https://drive.google.com/file/d/1VD6IABvMEbAKUXR-3cpmTIbH9Pxu1wtM/view?usp=drivesdk" TargetMode="External"/><Relationship Id="rId3400" Type="http://schemas.openxmlformats.org/officeDocument/2006/relationships/hyperlink" Target="https://drive.google.com/file/d/1eNv66XTwDB1qGmSkclD-Jd-fluwjdkZQ/view?usp=drivesdk" TargetMode="External"/><Relationship Id="rId4731" Type="http://schemas.openxmlformats.org/officeDocument/2006/relationships/hyperlink" Target="https://drive.google.com/file/d/1RsiRYXbHyKrNmSfm2YrFDu-_z9IiAs90/view?usp=drivesdk" TargetMode="External"/><Relationship Id="rId1653" Type="http://schemas.openxmlformats.org/officeDocument/2006/relationships/hyperlink" Target="https://drive.google.com/file/d/1-OJp4OHlJVQQni3FSIv8nvcrmPr_jvI3/view?usp=drivesdk" TargetMode="External"/><Relationship Id="rId2984" Type="http://schemas.openxmlformats.org/officeDocument/2006/relationships/hyperlink" Target="https://drive.google.com/file/d/1eSAVEZOUf1zJ-2BArex7fmGXqYz2lfU3/view?usp=drivesdk" TargetMode="External"/><Relationship Id="rId1654" Type="http://schemas.openxmlformats.org/officeDocument/2006/relationships/hyperlink" Target="https://drive.google.com/file/d/11kJ5l8nA9OeW0gFhO02obk4n95kricCh/view?usp=drivesdk" TargetMode="External"/><Relationship Id="rId2985" Type="http://schemas.openxmlformats.org/officeDocument/2006/relationships/hyperlink" Target="https://drive.google.com/file/d/1m90lOKsTYLbLj6aPd0spI2qBKLCdXl79/view?usp=drivesdk" TargetMode="External"/><Relationship Id="rId1655" Type="http://schemas.openxmlformats.org/officeDocument/2006/relationships/hyperlink" Target="https://drive.google.com/file/d/1V3AXS2kcKLLoXVEEjenZ0G_ea525kDjv/view?usp=drivesdk" TargetMode="External"/><Relationship Id="rId2986" Type="http://schemas.openxmlformats.org/officeDocument/2006/relationships/hyperlink" Target="https://drive.google.com/file/d/1t9e_VGqpop-AaNVAXFcgeocXppr_WeNU/view?usp=drivesdk" TargetMode="External"/><Relationship Id="rId1656" Type="http://schemas.openxmlformats.org/officeDocument/2006/relationships/hyperlink" Target="https://drive.google.com/file/d/1SZ2GaZ_8pEF2A7ECq_iGVczqrZScHUPW/view?usp=drivesdk" TargetMode="External"/><Relationship Id="rId2987" Type="http://schemas.openxmlformats.org/officeDocument/2006/relationships/hyperlink" Target="https://drive.google.com/file/d/1At5uNuqWXJO9R6LpTmKbOCNJi47ESUIs/view?usp=drivesdk" TargetMode="External"/><Relationship Id="rId1657" Type="http://schemas.openxmlformats.org/officeDocument/2006/relationships/hyperlink" Target="https://drive.google.com/file/d/1m9pMvS6Iv5qkCuxGMlOZjPQdRKTbmIvu/view?usp=drivesdk" TargetMode="External"/><Relationship Id="rId2988" Type="http://schemas.openxmlformats.org/officeDocument/2006/relationships/hyperlink" Target="https://drive.google.com/file/d/1J-jGleOyR5tgZ8Clm_h4_HvvW-HHAT2A/view?usp=drivesdk" TargetMode="External"/><Relationship Id="rId1658" Type="http://schemas.openxmlformats.org/officeDocument/2006/relationships/hyperlink" Target="https://drive.google.com/file/d/1_7LD8ak_nAjF8Uo9oyNfaUS4vbI7TcAT/view?usp=drivesdk" TargetMode="External"/><Relationship Id="rId2989" Type="http://schemas.openxmlformats.org/officeDocument/2006/relationships/hyperlink" Target="https://drive.google.com/file/d/1pKSzeFWQNiOT_H4iDI_emImckNC_GsrJ/view?usp=drivesdk" TargetMode="External"/><Relationship Id="rId1659" Type="http://schemas.openxmlformats.org/officeDocument/2006/relationships/hyperlink" Target="https://drive.google.com/file/d/15vXRwGA1BdJmLtattgBKwn4PFz4GSeiY/view?usp=drivesdk" TargetMode="External"/><Relationship Id="rId829" Type="http://schemas.openxmlformats.org/officeDocument/2006/relationships/hyperlink" Target="https://drive.google.com/file/d/1DUOo2QzqgMOljhkUyl2V7aGoQnoLydWk/view?usp=drivesdk" TargetMode="External"/><Relationship Id="rId828" Type="http://schemas.openxmlformats.org/officeDocument/2006/relationships/hyperlink" Target="https://drive.google.com/file/d/1e-EatNz1QfCmBk73LoqP3CIC8T4F0MUK/view?usp=drivesdk" TargetMode="External"/><Relationship Id="rId827" Type="http://schemas.openxmlformats.org/officeDocument/2006/relationships/hyperlink" Target="https://drive.google.com/file/d/1QXUQcdYnY7ZdeV1yEe5-bzjkA-ciB6tN/view?usp=drivesdk" TargetMode="External"/><Relationship Id="rId822" Type="http://schemas.openxmlformats.org/officeDocument/2006/relationships/hyperlink" Target="https://drive.google.com/file/d/1e_mbMCLv5oTMEkTdgno6MTFk_5mKv1H0/view?usp=drivesdk" TargetMode="External"/><Relationship Id="rId821" Type="http://schemas.openxmlformats.org/officeDocument/2006/relationships/hyperlink" Target="https://drive.google.com/file/d/11HA7BGFZLb6BWBaZ0m19IRk8Uo8Qp3L-/view?usp=drivesdk" TargetMode="External"/><Relationship Id="rId820" Type="http://schemas.openxmlformats.org/officeDocument/2006/relationships/hyperlink" Target="https://drive.google.com/file/d/1Kjd2fRK7EGqrQzoff9Rr6QhbX8Qb2RAR/view?usp=drivesdk" TargetMode="External"/><Relationship Id="rId826" Type="http://schemas.openxmlformats.org/officeDocument/2006/relationships/hyperlink" Target="https://drive.google.com/file/d/1Po4CVWCVLLbwvwXlHlkIjLCYZ8gbVvQB/view?usp=drivesdk" TargetMode="External"/><Relationship Id="rId825" Type="http://schemas.openxmlformats.org/officeDocument/2006/relationships/hyperlink" Target="https://drive.google.com/file/d/12Z7naEMPoTdzZDAmTWg_3BKOdu6yPMMc/view?usp=drivesdk" TargetMode="External"/><Relationship Id="rId824" Type="http://schemas.openxmlformats.org/officeDocument/2006/relationships/hyperlink" Target="https://drive.google.com/file/d/1soTTX-gQtOxkvi1b1A86Onb4RPyQPjNE/view?usp=drivesdk" TargetMode="External"/><Relationship Id="rId823" Type="http://schemas.openxmlformats.org/officeDocument/2006/relationships/hyperlink" Target="https://drive.google.com/file/d/1s2amxxokVS3HO5Z4Br7fTJJblmrsEXl6/view?usp=drivesdk" TargetMode="External"/><Relationship Id="rId2980" Type="http://schemas.openxmlformats.org/officeDocument/2006/relationships/hyperlink" Target="https://drive.google.com/file/d/1pDIXJHZoCY-Yjr12rl5kJIH-3Gki9fv9/view?usp=drivesdk" TargetMode="External"/><Relationship Id="rId1650" Type="http://schemas.openxmlformats.org/officeDocument/2006/relationships/hyperlink" Target="https://drive.google.com/file/d/1enHkhga-8OHBhIh92TmIKz8h5w2R8lYS/view?usp=drivesdk" TargetMode="External"/><Relationship Id="rId2981" Type="http://schemas.openxmlformats.org/officeDocument/2006/relationships/hyperlink" Target="https://drive.google.com/file/d/1RYypyKSewH2UeBkLdkG6TBejcuzro5lA/view?usp=drivesdk" TargetMode="External"/><Relationship Id="rId1651" Type="http://schemas.openxmlformats.org/officeDocument/2006/relationships/hyperlink" Target="https://drive.google.com/file/d/1dDa2HBaBf8o4R9fAfTxGqQmCN6Zk1xCm/view?usp=drivesdk" TargetMode="External"/><Relationship Id="rId2982" Type="http://schemas.openxmlformats.org/officeDocument/2006/relationships/hyperlink" Target="https://drive.google.com/file/d/1x-1Hk4BmczwzXzAiySiX9GNrOd1RzkaC/view?usp=drivesdk" TargetMode="External"/><Relationship Id="rId1652" Type="http://schemas.openxmlformats.org/officeDocument/2006/relationships/hyperlink" Target="https://drive.google.com/file/d/1uXFz_k_MF7VBR39nxd_WC_-3HYGXpgX4/view?usp=drivesdk" TargetMode="External"/><Relationship Id="rId2983" Type="http://schemas.openxmlformats.org/officeDocument/2006/relationships/hyperlink" Target="https://drive.google.com/file/d/1tUTyDMr_dkJkCWjRl0o52Zs_8BENwYXm/view?usp=drivesdk" TargetMode="External"/><Relationship Id="rId1642" Type="http://schemas.openxmlformats.org/officeDocument/2006/relationships/hyperlink" Target="https://drive.google.com/file/d/18Jqb6M4FqzWhtsuA_sMP3ugUtsrGe0xM/view?usp=drivesdk" TargetMode="External"/><Relationship Id="rId2973" Type="http://schemas.openxmlformats.org/officeDocument/2006/relationships/hyperlink" Target="https://drive.google.com/file/d/1Za4ATIrX-P7PdNMAj-fW3To989kN3Mfj/view?usp=drivesdk" TargetMode="External"/><Relationship Id="rId1643" Type="http://schemas.openxmlformats.org/officeDocument/2006/relationships/hyperlink" Target="https://drive.google.com/file/d/1HzAoKhqpqA63fBzvZFRRwmyf6crg2zfJ/view?usp=drivesdk" TargetMode="External"/><Relationship Id="rId2974" Type="http://schemas.openxmlformats.org/officeDocument/2006/relationships/hyperlink" Target="https://drive.google.com/file/d/1LzmK0geoC9eDFsIDn3hSExxll2Zve9Dh/view?usp=drivesdk" TargetMode="External"/><Relationship Id="rId1644" Type="http://schemas.openxmlformats.org/officeDocument/2006/relationships/hyperlink" Target="https://drive.google.com/file/d/1M9Rjpzf0B6twFtPkyUdgrosTv2xoKRiR/view?usp=drivesdk" TargetMode="External"/><Relationship Id="rId2975" Type="http://schemas.openxmlformats.org/officeDocument/2006/relationships/hyperlink" Target="https://drive.google.com/file/d/1lCth2xdX2MfUmzPQ0MEh8QjG2AlHU7Z8/view?usp=drivesdk" TargetMode="External"/><Relationship Id="rId1645" Type="http://schemas.openxmlformats.org/officeDocument/2006/relationships/hyperlink" Target="https://drive.google.com/file/d/1q1lJEAbKA59yP3AGYTC763zJka9mkyzO/view?usp=drivesdk" TargetMode="External"/><Relationship Id="rId2976" Type="http://schemas.openxmlformats.org/officeDocument/2006/relationships/hyperlink" Target="https://drive.google.com/file/d/14ZVbsoArwk1iVbEAEX1ntf9pf1maHcQW/view?usp=drivesdk" TargetMode="External"/><Relationship Id="rId1646" Type="http://schemas.openxmlformats.org/officeDocument/2006/relationships/hyperlink" Target="https://drive.google.com/file/d/1VnC8itjVZMay78UYTrPR0xdF6vwC1beK/view?usp=drivesdk" TargetMode="External"/><Relationship Id="rId2977" Type="http://schemas.openxmlformats.org/officeDocument/2006/relationships/hyperlink" Target="https://drive.google.com/file/d/1qGR7ao979tL5xWCFwBbEef4Hnm6a4X2I/view?usp=drivesdk" TargetMode="External"/><Relationship Id="rId1647" Type="http://schemas.openxmlformats.org/officeDocument/2006/relationships/hyperlink" Target="https://drive.google.com/file/d/10GX67Wpu5PsSqYFG0v0wFoW7awR0LnrB/view?usp=drivesdk" TargetMode="External"/><Relationship Id="rId2978" Type="http://schemas.openxmlformats.org/officeDocument/2006/relationships/hyperlink" Target="https://drive.google.com/file/d/18otnJ-PgvBGm-dyNnREikjZ5HRdMuIMl/view?usp=drivesdk" TargetMode="External"/><Relationship Id="rId1648" Type="http://schemas.openxmlformats.org/officeDocument/2006/relationships/hyperlink" Target="https://drive.google.com/file/d/1K57V8PbJi9PPhJJthAQpaAdrtbGLMStm/view?usp=drivesdk" TargetMode="External"/><Relationship Id="rId2979" Type="http://schemas.openxmlformats.org/officeDocument/2006/relationships/hyperlink" Target="https://drive.google.com/file/d/1noUC7f5YUdTLirCw_4V0eSO5zd2zikbC/view?usp=drivesdk" TargetMode="External"/><Relationship Id="rId1649" Type="http://schemas.openxmlformats.org/officeDocument/2006/relationships/hyperlink" Target="https://drive.google.com/file/d/1_l-Z409fe_zfVEd8cDpXDbmb9LHVJ-Og/view?usp=drivesdk" TargetMode="External"/><Relationship Id="rId819" Type="http://schemas.openxmlformats.org/officeDocument/2006/relationships/hyperlink" Target="https://drive.google.com/file/d/1NaorsiKG-5JeQ4O9ltJxbvpxk4_1jniM/view?usp=drivesdk" TargetMode="External"/><Relationship Id="rId818" Type="http://schemas.openxmlformats.org/officeDocument/2006/relationships/hyperlink" Target="https://drive.google.com/file/d/1KWq95T45jlXV3bA8OFjGd6OiheqYRDLv/view?usp=drivesdk" TargetMode="External"/><Relationship Id="rId817" Type="http://schemas.openxmlformats.org/officeDocument/2006/relationships/hyperlink" Target="https://drive.google.com/file/d/1ut6M512CCjCmO3J0Hgg1ZSLpA7-00zTk/view?usp=drivesdk" TargetMode="External"/><Relationship Id="rId816" Type="http://schemas.openxmlformats.org/officeDocument/2006/relationships/hyperlink" Target="https://drive.google.com/file/d/1o_kP0k4KKAugePbIbHToB4YIPWrZX_JQ/view?usp=drivesdk" TargetMode="External"/><Relationship Id="rId811" Type="http://schemas.openxmlformats.org/officeDocument/2006/relationships/hyperlink" Target="https://drive.google.com/file/d/1D4z0vWIWaQQV5aIlB_PMFr_DtxhiW_z_/view?usp=drivesdk" TargetMode="External"/><Relationship Id="rId810" Type="http://schemas.openxmlformats.org/officeDocument/2006/relationships/hyperlink" Target="https://drive.google.com/file/d/1yUHhUXE8GF5pwd_dyIi8oOl3EjQ3MNsQ/view?usp=drivesdk" TargetMode="External"/><Relationship Id="rId815" Type="http://schemas.openxmlformats.org/officeDocument/2006/relationships/hyperlink" Target="https://drive.google.com/file/d/1x5aektv20R54B2AKvSjqpiPEo4Tr51op/view?usp=drivesdk" TargetMode="External"/><Relationship Id="rId814" Type="http://schemas.openxmlformats.org/officeDocument/2006/relationships/hyperlink" Target="https://drive.google.com/file/d/1qqXzujoHGKi5uQ9RDgcYD3onKJIBh7aA/view?usp=drivesdk" TargetMode="External"/><Relationship Id="rId813" Type="http://schemas.openxmlformats.org/officeDocument/2006/relationships/hyperlink" Target="https://drive.google.com/file/d/1LijERIC0z6X4ik7k7OQov_k0IF6pqulO/view?usp=drivesdk" TargetMode="External"/><Relationship Id="rId812" Type="http://schemas.openxmlformats.org/officeDocument/2006/relationships/hyperlink" Target="https://drive.google.com/file/d/1bNxdPoJn8clas8mlkYkR1wr1eR5CbJip/view?usp=drivesdk" TargetMode="External"/><Relationship Id="rId2970" Type="http://schemas.openxmlformats.org/officeDocument/2006/relationships/hyperlink" Target="https://drive.google.com/file/d/1gOYCCv8b0EK2lopowFV-iTYBTNd40V13/view?usp=drivesdk" TargetMode="External"/><Relationship Id="rId1640" Type="http://schemas.openxmlformats.org/officeDocument/2006/relationships/hyperlink" Target="https://drive.google.com/file/d/1M4MYYnuy9lJ492IldEGs4zN8BGk5aBHJ/view?usp=drivesdk" TargetMode="External"/><Relationship Id="rId2971" Type="http://schemas.openxmlformats.org/officeDocument/2006/relationships/hyperlink" Target="https://drive.google.com/file/d/1VPJfsgFz1JWvX42iKTY0aKMpQsISt7uL/view?usp=drivesdk" TargetMode="External"/><Relationship Id="rId1641" Type="http://schemas.openxmlformats.org/officeDocument/2006/relationships/hyperlink" Target="https://drive.google.com/file/d/1zqp2e6PJG91DJAi5QAxDM3kN-Nr8TwB4/view?usp=drivesdk" TargetMode="External"/><Relationship Id="rId2972" Type="http://schemas.openxmlformats.org/officeDocument/2006/relationships/hyperlink" Target="https://drive.google.com/file/d/1I5mSiItgCXGpAO2rMlmiewLOU7C2ASn5/view?usp=drivesdk" TargetMode="External"/><Relationship Id="rId1675" Type="http://schemas.openxmlformats.org/officeDocument/2006/relationships/hyperlink" Target="https://drive.google.com/file/d/1jDDKrkhTgcV90lqp2nkjhTWvM8zbcLNX/view?usp=drivesdk" TargetMode="External"/><Relationship Id="rId4701" Type="http://schemas.openxmlformats.org/officeDocument/2006/relationships/hyperlink" Target="https://drive.google.com/file/d/119myznUWb9wmKNg9oDjfA04QSUkI2q5k/view?usp=drivesdk" TargetMode="External"/><Relationship Id="rId1676" Type="http://schemas.openxmlformats.org/officeDocument/2006/relationships/hyperlink" Target="https://drive.google.com/file/d/18Ibh7aZ9TQ9ZGOPKbp47YkEL6ELkQ1bW/view?usp=drivesdk" TargetMode="External"/><Relationship Id="rId4700" Type="http://schemas.openxmlformats.org/officeDocument/2006/relationships/hyperlink" Target="https://drive.google.com/file/d/10KgtjimllKqlhPX1a9ZsJZ_PNvyCCmZL/view?usp=drivesdk" TargetMode="External"/><Relationship Id="rId1677" Type="http://schemas.openxmlformats.org/officeDocument/2006/relationships/hyperlink" Target="https://drive.google.com/file/d/1OnHgox3kMax8oi31457kAz5iqNQtux-K/view?usp=drivesdk" TargetMode="External"/><Relationship Id="rId4703" Type="http://schemas.openxmlformats.org/officeDocument/2006/relationships/hyperlink" Target="https://drive.google.com/file/d/1r-0cfjytrqr4wIBHUy_moii7PL8w6rI4/view?usp=drivesdk" TargetMode="External"/><Relationship Id="rId1678" Type="http://schemas.openxmlformats.org/officeDocument/2006/relationships/hyperlink" Target="https://drive.google.com/file/d/1t7Apn8b1GC0a49hYhQKkCNebLV6SY5Up/view?usp=drivesdk" TargetMode="External"/><Relationship Id="rId4702" Type="http://schemas.openxmlformats.org/officeDocument/2006/relationships/hyperlink" Target="https://drive.google.com/file/d/1b4h0NQF_b9sP0c7H6zLNb5W4r4XPoRgM/view?usp=drivesdk" TargetMode="External"/><Relationship Id="rId1679" Type="http://schemas.openxmlformats.org/officeDocument/2006/relationships/hyperlink" Target="https://drive.google.com/file/d/1e8WIniOWsu-xbj9lXx3NvYlrjESnwxUG/view?usp=drivesdk" TargetMode="External"/><Relationship Id="rId4705" Type="http://schemas.openxmlformats.org/officeDocument/2006/relationships/hyperlink" Target="https://drive.google.com/file/d/1mtv_U12qEwDYZP1wDLc85ZEWjmVywKcy/view?usp=drivesdk" TargetMode="External"/><Relationship Id="rId4704" Type="http://schemas.openxmlformats.org/officeDocument/2006/relationships/hyperlink" Target="https://drive.google.com/file/d/1TCjXyHJH2hINgA82QZ2696iQJUAW1YW7/view?usp=drivesdk" TargetMode="External"/><Relationship Id="rId4707" Type="http://schemas.openxmlformats.org/officeDocument/2006/relationships/hyperlink" Target="https://drive.google.com/file/d/11R1KA2gUDzZvAOLQrBJQTV96hC-xZE4U/view?usp=drivesdk" TargetMode="External"/><Relationship Id="rId4706" Type="http://schemas.openxmlformats.org/officeDocument/2006/relationships/hyperlink" Target="https://drive.google.com/file/d/1rMcEqupM7vHZP1kWzOTcBjPISpzad07a/view?usp=drivesdk" TargetMode="External"/><Relationship Id="rId4709" Type="http://schemas.openxmlformats.org/officeDocument/2006/relationships/hyperlink" Target="https://drive.google.com/file/d/1-Mlziwy-0ZGefHzHLfBTGdXu6E2KW5yc/view?usp=drivesdk" TargetMode="External"/><Relationship Id="rId4708" Type="http://schemas.openxmlformats.org/officeDocument/2006/relationships/hyperlink" Target="https://drive.google.com/file/d/1v-tCj6AfRGuokIpHdXZzY1372C8z4n67/view?usp=drivesdk" TargetMode="External"/><Relationship Id="rId849" Type="http://schemas.openxmlformats.org/officeDocument/2006/relationships/hyperlink" Target="https://drive.google.com/file/d/10qmVmlcWrb0d0U2-GFx5wBA8aBvQll2_/view?usp=drivesdk" TargetMode="External"/><Relationship Id="rId844" Type="http://schemas.openxmlformats.org/officeDocument/2006/relationships/hyperlink" Target="https://drive.google.com/file/d/1qMy05LJ_usCbFbi3-0CIkBSO6h9opIQA/view?usp=drivesdk" TargetMode="External"/><Relationship Id="rId843" Type="http://schemas.openxmlformats.org/officeDocument/2006/relationships/hyperlink" Target="https://drive.google.com/file/d/1JEaiPQ7fCU89sK9w7nN5A2mjW1yeK4yK/view?usp=drivesdk" TargetMode="External"/><Relationship Id="rId842" Type="http://schemas.openxmlformats.org/officeDocument/2006/relationships/hyperlink" Target="https://drive.google.com/file/d/1tcvUngIHUqasNBJ5ypIZAElxxLjOFl01/view?usp=drivesdk" TargetMode="External"/><Relationship Id="rId841" Type="http://schemas.openxmlformats.org/officeDocument/2006/relationships/hyperlink" Target="https://drive.google.com/file/d/1ZSfK6cSoEUawAQOM1-kvId7XUEraZLgR/view?usp=drivesdk" TargetMode="External"/><Relationship Id="rId848" Type="http://schemas.openxmlformats.org/officeDocument/2006/relationships/hyperlink" Target="https://drive.google.com/file/d/1nC-7cSGOoAxo4qZdc4xPFvuAulNXQgUU/view?usp=drivesdk" TargetMode="External"/><Relationship Id="rId847" Type="http://schemas.openxmlformats.org/officeDocument/2006/relationships/hyperlink" Target="https://drive.google.com/file/d/1fkxiGwpAhCBHo8e2disk2xipGAdyLeq9/view?usp=drivesdk" TargetMode="External"/><Relationship Id="rId846" Type="http://schemas.openxmlformats.org/officeDocument/2006/relationships/hyperlink" Target="https://drive.google.com/file/d/1oj_v_SGXgXUyOCSsTvmDcbmdO1GAGpVW/view?usp=drivesdk" TargetMode="External"/><Relationship Id="rId845" Type="http://schemas.openxmlformats.org/officeDocument/2006/relationships/hyperlink" Target="https://drive.google.com/file/d/1SaUwIInSQ5p6vkGfzVki_DYreUODaZw0/view?usp=drivesdk" TargetMode="External"/><Relationship Id="rId1670" Type="http://schemas.openxmlformats.org/officeDocument/2006/relationships/hyperlink" Target="https://drive.google.com/file/d/1AuAFb_VEKjh_rEmz7w5moRS2TKj2jlfX/view?usp=drivesdk" TargetMode="External"/><Relationship Id="rId840" Type="http://schemas.openxmlformats.org/officeDocument/2006/relationships/hyperlink" Target="https://drive.google.com/file/d/1FdeA7x3vy_CJqd9fM10dtrVs2QgRipQl/view?usp=drivesdk" TargetMode="External"/><Relationship Id="rId1671" Type="http://schemas.openxmlformats.org/officeDocument/2006/relationships/hyperlink" Target="https://drive.google.com/file/d/11t3gW2no6rhJ8LW0KErrcVtXWjYZJ_sN/view?usp=drivesdk" TargetMode="External"/><Relationship Id="rId1672" Type="http://schemas.openxmlformats.org/officeDocument/2006/relationships/hyperlink" Target="https://drive.google.com/file/d/1DVT7BJhaZIYEzKegmhasvnO9DpQ-kMoT/view?usp=drivesdk" TargetMode="External"/><Relationship Id="rId1673" Type="http://schemas.openxmlformats.org/officeDocument/2006/relationships/hyperlink" Target="https://drive.google.com/file/d/1QWNul7F0fgwI2EE2nMPp4YgGKAVGISWE/view?usp=drivesdk" TargetMode="External"/><Relationship Id="rId1674" Type="http://schemas.openxmlformats.org/officeDocument/2006/relationships/hyperlink" Target="https://drive.google.com/file/d/1Hv9_eJTMEWDn5sUhBfIIp9ZsVGO6JTek/view?usp=drivesdk" TargetMode="External"/><Relationship Id="rId1664" Type="http://schemas.openxmlformats.org/officeDocument/2006/relationships/hyperlink" Target="https://drive.google.com/file/d/1BqLvzJCLq3mtWJQWXRyId6zgjw9ntODI/view?usp=drivesdk" TargetMode="External"/><Relationship Id="rId2995" Type="http://schemas.openxmlformats.org/officeDocument/2006/relationships/hyperlink" Target="https://drive.google.com/file/d/17prkbb6ByUCk7ATF_XPFQcHnGSogKPrk/view?usp=drivesdk" TargetMode="External"/><Relationship Id="rId1665" Type="http://schemas.openxmlformats.org/officeDocument/2006/relationships/hyperlink" Target="https://drive.google.com/file/d/1sPitf37o2RfC3AS6uuQXqHV6YP7yMf7d/view?usp=drivesdk" TargetMode="External"/><Relationship Id="rId2996" Type="http://schemas.openxmlformats.org/officeDocument/2006/relationships/hyperlink" Target="https://drive.google.com/file/d/1RBrhINYiFjiFCMa6oMB-YNON1Bq7dD-t/view?usp=drivesdk" TargetMode="External"/><Relationship Id="rId1666" Type="http://schemas.openxmlformats.org/officeDocument/2006/relationships/hyperlink" Target="https://drive.google.com/file/d/1Gx64fai5aCr6h31dU6dUm-eZy4lJvIzU/view?usp=drivesdk" TargetMode="External"/><Relationship Id="rId2997" Type="http://schemas.openxmlformats.org/officeDocument/2006/relationships/hyperlink" Target="https://drive.google.com/file/d/1HxkIooX2Uo0wEZsDUqzb7xlgqZw5qebW/view?usp=drivesdk" TargetMode="External"/><Relationship Id="rId1667" Type="http://schemas.openxmlformats.org/officeDocument/2006/relationships/hyperlink" Target="https://drive.google.com/file/d/12tp3VTadzqfFhSyY79ddigJkBKWzk53Q/view?usp=drivesdk" TargetMode="External"/><Relationship Id="rId2998" Type="http://schemas.openxmlformats.org/officeDocument/2006/relationships/hyperlink" Target="https://drive.google.com/file/d/1MBJvRlevcaOPCxt13YRKUo_aPOlE0iSU/view?usp=drivesdk" TargetMode="External"/><Relationship Id="rId1668" Type="http://schemas.openxmlformats.org/officeDocument/2006/relationships/hyperlink" Target="https://drive.google.com/file/d/1rG136z86rzjrOG7j4pjQC-OswBqWSR5O/view?usp=drivesdk" TargetMode="External"/><Relationship Id="rId2999" Type="http://schemas.openxmlformats.org/officeDocument/2006/relationships/hyperlink" Target="https://drive.google.com/file/d/1CdulDTj6NRISR2YRtzBYhubz07lKkuT0/view?usp=drivesdk" TargetMode="External"/><Relationship Id="rId1669" Type="http://schemas.openxmlformats.org/officeDocument/2006/relationships/hyperlink" Target="https://drive.google.com/file/d/1yNJLT5qS-vQ-AdnRbndb4T1lZJRWOgMv/view?usp=drivesdk" TargetMode="External"/><Relationship Id="rId839" Type="http://schemas.openxmlformats.org/officeDocument/2006/relationships/hyperlink" Target="https://drive.google.com/file/d/1AwlvdG9nLm9RGbt2mxw6x5GGFFt29yMD/view?usp=drivesdk" TargetMode="External"/><Relationship Id="rId838" Type="http://schemas.openxmlformats.org/officeDocument/2006/relationships/hyperlink" Target="https://drive.google.com/file/d/1LE0Um2wXm31yXCgCqknEWJIJ0YnalQJs/view?usp=drivesdk" TargetMode="External"/><Relationship Id="rId833" Type="http://schemas.openxmlformats.org/officeDocument/2006/relationships/hyperlink" Target="https://drive.google.com/file/d/1HiVLDRmw5vEDAgCL2qXvFbFiySmLS6P8/view?usp=drivesdk" TargetMode="External"/><Relationship Id="rId832" Type="http://schemas.openxmlformats.org/officeDocument/2006/relationships/hyperlink" Target="https://drive.google.com/file/d/1OARMMbV6xO08zrk1E45YaKabSv-CSExC/view?usp=drivesdk" TargetMode="External"/><Relationship Id="rId831" Type="http://schemas.openxmlformats.org/officeDocument/2006/relationships/hyperlink" Target="https://drive.google.com/file/d/1U2vSh9I0uf1s0wltXoTX2AIJ3iazkd_N/view?usp=drivesdk" TargetMode="External"/><Relationship Id="rId830" Type="http://schemas.openxmlformats.org/officeDocument/2006/relationships/hyperlink" Target="https://drive.google.com/file/d/1EFNZpV6BYUIlVwNN0vmwBSJa-Gqmx3rX/view?usp=drivesdk" TargetMode="External"/><Relationship Id="rId837" Type="http://schemas.openxmlformats.org/officeDocument/2006/relationships/hyperlink" Target="https://drive.google.com/file/d/1JpkJqAVj7lMQHVOlOjKbbjkwSIfoHiJ7/view?usp=drivesdk" TargetMode="External"/><Relationship Id="rId836" Type="http://schemas.openxmlformats.org/officeDocument/2006/relationships/hyperlink" Target="https://drive.google.com/file/d/1vKY8rKWRMNJZXKJ2XW9JAtU9cOJBngXh/view?usp=drivesdk" TargetMode="External"/><Relationship Id="rId835" Type="http://schemas.openxmlformats.org/officeDocument/2006/relationships/hyperlink" Target="https://drive.google.com/file/d/1lRvnfn9cq1o0GlvcDoUVFtIzfYHqOCdl/view?usp=drivesdk" TargetMode="External"/><Relationship Id="rId834" Type="http://schemas.openxmlformats.org/officeDocument/2006/relationships/hyperlink" Target="https://drive.google.com/file/d/1dlunMMBxvzGQMA87YuIbomFp7Aa52-UE/view?usp=drivesdk" TargetMode="External"/><Relationship Id="rId2990" Type="http://schemas.openxmlformats.org/officeDocument/2006/relationships/hyperlink" Target="https://drive.google.com/file/d/1gKTytdHP9-EfKT6C4gY7A5NVE3Tu9K9B/view?usp=drivesdk" TargetMode="External"/><Relationship Id="rId1660" Type="http://schemas.openxmlformats.org/officeDocument/2006/relationships/hyperlink" Target="https://drive.google.com/file/d/18hF2ERG0LN14xeZT8p0BltMxCvCzCyuI/view?usp=drivesdk" TargetMode="External"/><Relationship Id="rId2991" Type="http://schemas.openxmlformats.org/officeDocument/2006/relationships/hyperlink" Target="https://drive.google.com/file/d/1MmS6Jis8IJKD5MPM5Jh1-XxE42PjfFdM/view?usp=drivesdk" TargetMode="External"/><Relationship Id="rId1661" Type="http://schemas.openxmlformats.org/officeDocument/2006/relationships/hyperlink" Target="https://drive.google.com/file/d/1NacTcPRY9sVv1GIoKM_zjqrVwOu_ffTL/view?usp=drivesdk" TargetMode="External"/><Relationship Id="rId2992" Type="http://schemas.openxmlformats.org/officeDocument/2006/relationships/hyperlink" Target="https://drive.google.com/file/d/1Izd0UFNFT7DfHp4jGeA13y0VMKNlGtPH/view?usp=drivesdk" TargetMode="External"/><Relationship Id="rId1662" Type="http://schemas.openxmlformats.org/officeDocument/2006/relationships/hyperlink" Target="https://drive.google.com/file/d/1KoJXFegpSi47EaOgrUOHc_V28RPTi2Qx/view?usp=drivesdk" TargetMode="External"/><Relationship Id="rId2993" Type="http://schemas.openxmlformats.org/officeDocument/2006/relationships/hyperlink" Target="https://drive.google.com/file/d/1SRqYwOL7GAMovY85jn-WwLx2CMGPwYXT/view?usp=drivesdk" TargetMode="External"/><Relationship Id="rId1663" Type="http://schemas.openxmlformats.org/officeDocument/2006/relationships/hyperlink" Target="https://drive.google.com/file/d/10lwptsFUl-lQFYdH9z6iLRmuqwZQryjg/view?usp=drivesdk" TargetMode="External"/><Relationship Id="rId2994" Type="http://schemas.openxmlformats.org/officeDocument/2006/relationships/hyperlink" Target="https://drive.google.com/file/d/1jFTX2aqJM_D95lXBPE8S8ngGNjDNN0SY/view?usp=drivesdk" TargetMode="External"/><Relationship Id="rId2148" Type="http://schemas.openxmlformats.org/officeDocument/2006/relationships/hyperlink" Target="https://drive.google.com/file/d/1dLrR_VhQ9a4-y6mL4OZRXkjlpJoS7FGe/view?usp=drivesdk" TargetMode="External"/><Relationship Id="rId2149" Type="http://schemas.openxmlformats.org/officeDocument/2006/relationships/hyperlink" Target="https://drive.google.com/file/d/1llcu0yNxfDLZH2OxQMtt5NKSEtVryCie/view?usp=drivesdk" TargetMode="External"/><Relationship Id="rId3479" Type="http://schemas.openxmlformats.org/officeDocument/2006/relationships/hyperlink" Target="https://drive.google.com/file/d/1gADGDHsMdItpw68HDaGrGkvwUYv4cZNz/view?usp=drivesdk" TargetMode="External"/><Relationship Id="rId3470" Type="http://schemas.openxmlformats.org/officeDocument/2006/relationships/hyperlink" Target="https://drive.google.com/file/d/1Cbtjwwi0iAst0Yfd3VwBMq-5M5lZcAOj/view?usp=drivesdk" TargetMode="External"/><Relationship Id="rId2140" Type="http://schemas.openxmlformats.org/officeDocument/2006/relationships/hyperlink" Target="https://drive.google.com/file/d/1n0ook7JSfE47S33hmUCJK1Mt1uM3NL78/view?usp=drivesdk" TargetMode="External"/><Relationship Id="rId3472" Type="http://schemas.openxmlformats.org/officeDocument/2006/relationships/hyperlink" Target="https://drive.google.com/file/d/1PgqX0pnOmk_2Iy7Oo0kUF953P2laPpH-/view?usp=drivesdk" TargetMode="External"/><Relationship Id="rId2141" Type="http://schemas.openxmlformats.org/officeDocument/2006/relationships/hyperlink" Target="https://drive.google.com/file/d/1yopbQpTO6Hm4Jlv4DVPxemrSh7xqGEOa/view?usp=drivesdk" TargetMode="External"/><Relationship Id="rId3471" Type="http://schemas.openxmlformats.org/officeDocument/2006/relationships/hyperlink" Target="https://drive.google.com/file/d/1sqtsGbSsz80u62D5wTsCOsV6ayhsvGGn/view?usp=drivesdk" TargetMode="External"/><Relationship Id="rId2142" Type="http://schemas.openxmlformats.org/officeDocument/2006/relationships/hyperlink" Target="https://drive.google.com/file/d/1fL9X9BDVjLo5f-4LLKObvOR1ieVkZdIX/view?usp=drivesdk" TargetMode="External"/><Relationship Id="rId3474" Type="http://schemas.openxmlformats.org/officeDocument/2006/relationships/hyperlink" Target="https://drive.google.com/file/d/1ykY7ebvPg0OmzLkoiReX6FQ1zihpq_6D/view?usp=drivesdk" TargetMode="External"/><Relationship Id="rId2143" Type="http://schemas.openxmlformats.org/officeDocument/2006/relationships/hyperlink" Target="https://drive.google.com/file/d/1eW2LLhWdUCZHnXdjlI1QFyb8zSLVOkJQ/view?usp=drivesdk" TargetMode="External"/><Relationship Id="rId3473" Type="http://schemas.openxmlformats.org/officeDocument/2006/relationships/hyperlink" Target="https://drive.google.com/file/d/1TIThTmPtVoIwk875IiqCkHrQ5TljRgqk/view?usp=drivesdk" TargetMode="External"/><Relationship Id="rId2144" Type="http://schemas.openxmlformats.org/officeDocument/2006/relationships/hyperlink" Target="https://drive.google.com/file/d/1HprI_zOyMw_zXps6qOSPRNszFLcuLHiZ/view?usp=drivesdk" TargetMode="External"/><Relationship Id="rId3476" Type="http://schemas.openxmlformats.org/officeDocument/2006/relationships/hyperlink" Target="https://drive.google.com/file/d/1M2EEmnk_4EogDDIEmx1q60z0_5C13Dxe/view?usp=drivesdk" TargetMode="External"/><Relationship Id="rId2145" Type="http://schemas.openxmlformats.org/officeDocument/2006/relationships/hyperlink" Target="https://drive.google.com/file/d/1nS0MKwTfaULDJ1OtcZlSK5qOl_eRm9i8/view?usp=drivesdk" TargetMode="External"/><Relationship Id="rId3475" Type="http://schemas.openxmlformats.org/officeDocument/2006/relationships/hyperlink" Target="https://drive.google.com/file/d/11RB53QYlyXsjHJ8-cpubAHvc3P8H-P8s/view?usp=drivesdk" TargetMode="External"/><Relationship Id="rId2146" Type="http://schemas.openxmlformats.org/officeDocument/2006/relationships/hyperlink" Target="https://drive.google.com/file/d/1TjLjCWG6OCUncGwPpKGHlfiLN5bBe-Z3/view?usp=drivesdk" TargetMode="External"/><Relationship Id="rId3478" Type="http://schemas.openxmlformats.org/officeDocument/2006/relationships/hyperlink" Target="https://drive.google.com/file/d/1gjjs8tvYOFXgmFPkDbvXROpBvEHV9joY/view?usp=drivesdk" TargetMode="External"/><Relationship Id="rId2147" Type="http://schemas.openxmlformats.org/officeDocument/2006/relationships/hyperlink" Target="https://drive.google.com/file/d/1jCPCe83pB2vH9QqgNI8CiRcgDIA1I3qS/view?usp=drivesdk" TargetMode="External"/><Relationship Id="rId3477" Type="http://schemas.openxmlformats.org/officeDocument/2006/relationships/hyperlink" Target="https://drive.google.com/file/d/18JLX2S-xpuEPBXjDU1Z2dfvuHSeyJoPW/view?usp=drivesdk" TargetMode="External"/><Relationship Id="rId2137" Type="http://schemas.openxmlformats.org/officeDocument/2006/relationships/hyperlink" Target="https://drive.google.com/file/d/1gMh8JjRgvlFJ9TaPVJeJXx4yqr321oF4/view?usp=drivesdk" TargetMode="External"/><Relationship Id="rId3469" Type="http://schemas.openxmlformats.org/officeDocument/2006/relationships/hyperlink" Target="https://drive.google.com/file/d/1dhl1Y1ysGGxMkY92IkWbnETwT5csDQE3/view?usp=drivesdk" TargetMode="External"/><Relationship Id="rId2138" Type="http://schemas.openxmlformats.org/officeDocument/2006/relationships/hyperlink" Target="https://drive.google.com/file/d/1biAbNszh3UdTM2yO3kEeo5b_M0rb6O6q/view?usp=drivesdk" TargetMode="External"/><Relationship Id="rId3468" Type="http://schemas.openxmlformats.org/officeDocument/2006/relationships/hyperlink" Target="https://drive.google.com/file/d/1c_W1LErBdsEi6ntP37MgUACWuJOKhGb6/view?usp=drivesdk" TargetMode="External"/><Relationship Id="rId4799" Type="http://schemas.openxmlformats.org/officeDocument/2006/relationships/hyperlink" Target="https://drive.google.com/file/d/1TEXenV_i3IwIA_kVYfvBquhzPrE0nmqE/view?usp=drivesdk" TargetMode="External"/><Relationship Id="rId2139" Type="http://schemas.openxmlformats.org/officeDocument/2006/relationships/hyperlink" Target="https://drive.google.com/file/d/1kl2twYYHcjuTGln5qRaz-VSKlpr6neGP/view?usp=drivesdk" TargetMode="External"/><Relationship Id="rId4790" Type="http://schemas.openxmlformats.org/officeDocument/2006/relationships/hyperlink" Target="https://drive.google.com/file/d/1hAd1b8gSxilyNZQeXaQOGnT8PtCej6Z8/view?usp=drivesdk" TargetMode="External"/><Relationship Id="rId3461" Type="http://schemas.openxmlformats.org/officeDocument/2006/relationships/hyperlink" Target="https://drive.google.com/file/d/13QicLNTm3fBcMkm6M9nGthgS1VdiHc2S/view?usp=drivesdk" TargetMode="External"/><Relationship Id="rId4792" Type="http://schemas.openxmlformats.org/officeDocument/2006/relationships/hyperlink" Target="https://drive.google.com/file/d/1zSWbFOrH6l05VbYTSTM1lnkbid4B9MeS/view?usp=drivesdk" TargetMode="External"/><Relationship Id="rId2130" Type="http://schemas.openxmlformats.org/officeDocument/2006/relationships/hyperlink" Target="https://drive.google.com/file/d/1XjwzonqcJyOKPC9qiWxM6hgMFuDvixE7/view?usp=drivesdk" TargetMode="External"/><Relationship Id="rId3460" Type="http://schemas.openxmlformats.org/officeDocument/2006/relationships/hyperlink" Target="https://drive.google.com/file/d/1G8WaJcKYnpQ3SBwukl-Cqm2_zgfU0Uz1/view?usp=drivesdk" TargetMode="External"/><Relationship Id="rId4791" Type="http://schemas.openxmlformats.org/officeDocument/2006/relationships/hyperlink" Target="https://drive.google.com/file/d/1lITk4dnc_le437pS1-Vau15y4QhEOysB/view?usp=drivesdk" TargetMode="External"/><Relationship Id="rId2131" Type="http://schemas.openxmlformats.org/officeDocument/2006/relationships/hyperlink" Target="https://drive.google.com/file/d/1bRGVxpVHGaSXQiPDZ99cPsfXm5WcOX5a/view?usp=drivesdk" TargetMode="External"/><Relationship Id="rId3463" Type="http://schemas.openxmlformats.org/officeDocument/2006/relationships/hyperlink" Target="https://drive.google.com/file/d/1UBexb9b5lv-ESdT6rMKj8O1G2Yx_SUj7/view?usp=drivesdk" TargetMode="External"/><Relationship Id="rId4794" Type="http://schemas.openxmlformats.org/officeDocument/2006/relationships/hyperlink" Target="https://drive.google.com/file/d/1nuVGCoIriNMR6q8K4IrhGJDm9Hcj8Ex5/view?usp=drivesdk" TargetMode="External"/><Relationship Id="rId2132" Type="http://schemas.openxmlformats.org/officeDocument/2006/relationships/hyperlink" Target="https://drive.google.com/file/d/1HPVoN9DzEmb6DOoGlv9aOIE2JbG8shEU/view?usp=drivesdk" TargetMode="External"/><Relationship Id="rId3462" Type="http://schemas.openxmlformats.org/officeDocument/2006/relationships/hyperlink" Target="https://drive.google.com/file/d/17qNqWnXte3S7W0T2YzD2uX6R7xaJSFAj/view?usp=drivesdk" TargetMode="External"/><Relationship Id="rId4793" Type="http://schemas.openxmlformats.org/officeDocument/2006/relationships/hyperlink" Target="https://drive.google.com/file/d/1NzsLiMRgiRGH5z6LMXtn71deXxcctglb/view?usp=drivesdk" TargetMode="External"/><Relationship Id="rId2133" Type="http://schemas.openxmlformats.org/officeDocument/2006/relationships/hyperlink" Target="https://drive.google.com/file/d/1qFG1se7V1JPItCtCDL5hu1ab6ohPSAwb/view?usp=drivesdk" TargetMode="External"/><Relationship Id="rId3465" Type="http://schemas.openxmlformats.org/officeDocument/2006/relationships/hyperlink" Target="https://drive.google.com/file/d/1QVrqXBX-0IKtqWcDfUlBTnvA87r7W33e/view?usp=drivesdk" TargetMode="External"/><Relationship Id="rId4796" Type="http://schemas.openxmlformats.org/officeDocument/2006/relationships/hyperlink" Target="https://drive.google.com/file/d/1iyP-KlpgHSIUgX_4sDj5P6cKim1sQow6/view?usp=drivesdk" TargetMode="External"/><Relationship Id="rId2134" Type="http://schemas.openxmlformats.org/officeDocument/2006/relationships/hyperlink" Target="https://drive.google.com/file/d/1PqMtNPBNNh_NILyZ5AJ-bHVqJu5DYmAD/view?usp=drivesdk" TargetMode="External"/><Relationship Id="rId3464" Type="http://schemas.openxmlformats.org/officeDocument/2006/relationships/hyperlink" Target="https://drive.google.com/file/d/119n3faxKMyvtHb6zk8Kq7S7U_bIHQwno/view?usp=drivesdk" TargetMode="External"/><Relationship Id="rId4795" Type="http://schemas.openxmlformats.org/officeDocument/2006/relationships/hyperlink" Target="https://drive.google.com/file/d/1tcA0FSmVWTxLckB2D_0gK_HKdDNORoKk/view?usp=drivesdk" TargetMode="External"/><Relationship Id="rId2135" Type="http://schemas.openxmlformats.org/officeDocument/2006/relationships/hyperlink" Target="https://drive.google.com/file/d/15yDyuri92yEJ696ZfYq_vFxQcZKgtVa-/view?usp=drivesdk" TargetMode="External"/><Relationship Id="rId3467" Type="http://schemas.openxmlformats.org/officeDocument/2006/relationships/hyperlink" Target="https://drive.google.com/file/d/1YIsM-iAq0Z0pg_a2VkUS08VFNHEew3P5/view?usp=drivesdk" TargetMode="External"/><Relationship Id="rId4798" Type="http://schemas.openxmlformats.org/officeDocument/2006/relationships/hyperlink" Target="https://drive.google.com/file/d/1v8mLrPxvWBBKtvSBiB-lV6jiPbnJNXaI/view?usp=drivesdk" TargetMode="External"/><Relationship Id="rId2136" Type="http://schemas.openxmlformats.org/officeDocument/2006/relationships/hyperlink" Target="https://drive.google.com/file/d/1WwE1pMUXoxnozEWDJyl3oIzGmGoX1Zjc/view?usp=drivesdk" TargetMode="External"/><Relationship Id="rId3466" Type="http://schemas.openxmlformats.org/officeDocument/2006/relationships/hyperlink" Target="https://drive.google.com/file/d/1TP7MmMfQ9e33Vb7e6MxRcw3lTKb9WOdc/view?usp=drivesdk" TargetMode="External"/><Relationship Id="rId4797" Type="http://schemas.openxmlformats.org/officeDocument/2006/relationships/hyperlink" Target="https://drive.google.com/file/d/1hG_FNGt8Vb0xey4so1M6AO3_yOHM1wj2/view?usp=drivesdk" TargetMode="External"/><Relationship Id="rId3490" Type="http://schemas.openxmlformats.org/officeDocument/2006/relationships/hyperlink" Target="https://drive.google.com/file/d/1dyU0lhfKU-VFvWqul0uugoIgR_1olgvf/view?usp=drivesdk" TargetMode="External"/><Relationship Id="rId2160" Type="http://schemas.openxmlformats.org/officeDocument/2006/relationships/hyperlink" Target="https://drive.google.com/file/d/1cj3AJuWGsB-RZdEXrZY8hnMK5x--734F/view?usp=drivesdk" TargetMode="External"/><Relationship Id="rId3492" Type="http://schemas.openxmlformats.org/officeDocument/2006/relationships/hyperlink" Target="https://drive.google.com/file/d/1Oquif0bVc9y8DG7AjECYOKeiBdTsKQCE/view?usp=drivesdk" TargetMode="External"/><Relationship Id="rId2161" Type="http://schemas.openxmlformats.org/officeDocument/2006/relationships/hyperlink" Target="https://drive.google.com/file/d/1zz-zbsUkp7pLPceYFQh--JZJf50jqto8/view?usp=drivesdk" TargetMode="External"/><Relationship Id="rId3491" Type="http://schemas.openxmlformats.org/officeDocument/2006/relationships/hyperlink" Target="https://drive.google.com/file/d/1PoPjP5TT-Xx3Vdn-vriBvmBJfZxtZJ0t/view?usp=drivesdk" TargetMode="External"/><Relationship Id="rId2162" Type="http://schemas.openxmlformats.org/officeDocument/2006/relationships/hyperlink" Target="https://drive.google.com/file/d/1iWSCLjQIF4gGqlKRc5FmCi5f0ArvA63d/view?usp=drivesdk" TargetMode="External"/><Relationship Id="rId3494" Type="http://schemas.openxmlformats.org/officeDocument/2006/relationships/hyperlink" Target="https://drive.google.com/file/d/101l1Ry1RgiYwOEunc0snCPcWYc2Fn8_E/view?usp=drivesdk" TargetMode="External"/><Relationship Id="rId2163" Type="http://schemas.openxmlformats.org/officeDocument/2006/relationships/hyperlink" Target="https://drive.google.com/file/d/1VhjTo2cElkf_gKaSOAckYTwM1D0Jgwn_/view?usp=drivesdk" TargetMode="External"/><Relationship Id="rId3493" Type="http://schemas.openxmlformats.org/officeDocument/2006/relationships/hyperlink" Target="https://drive.google.com/file/d/1oJMXQ7lstZSGA5IQPY_cdZF15DNVXEZI/view?usp=drivesdk" TargetMode="External"/><Relationship Id="rId2164" Type="http://schemas.openxmlformats.org/officeDocument/2006/relationships/hyperlink" Target="https://drive.google.com/file/d/1kMwqnOtRBSXUD503Wk5S61GpxObURonD/view?usp=drivesdk" TargetMode="External"/><Relationship Id="rId3496" Type="http://schemas.openxmlformats.org/officeDocument/2006/relationships/hyperlink" Target="https://drive.google.com/file/d/1mBwrSQOdwrKtpYVudeqWTdL-bcIszHQB/view?usp=drivesdk" TargetMode="External"/><Relationship Id="rId2165" Type="http://schemas.openxmlformats.org/officeDocument/2006/relationships/hyperlink" Target="https://drive.google.com/file/d/1WsQUYwzhulgQPYgDesixLhDY7spZCaat/view?usp=drivesdk" TargetMode="External"/><Relationship Id="rId3495" Type="http://schemas.openxmlformats.org/officeDocument/2006/relationships/hyperlink" Target="https://drive.google.com/file/d/11hgWVs5w8et1vrLfZwuiIfSP2R6WKant/view?usp=drivesdk" TargetMode="External"/><Relationship Id="rId2166" Type="http://schemas.openxmlformats.org/officeDocument/2006/relationships/hyperlink" Target="https://drive.google.com/file/d/1N30Org-N1Hqh1N3w1vP6dt3vV1Tw_lcP/view?usp=drivesdk" TargetMode="External"/><Relationship Id="rId3498" Type="http://schemas.openxmlformats.org/officeDocument/2006/relationships/hyperlink" Target="https://drive.google.com/file/d/1DB1QXkt37w9zWt9JTQ6TWpCiO4o3HM9n/view?usp=drivesdk" TargetMode="External"/><Relationship Id="rId2167" Type="http://schemas.openxmlformats.org/officeDocument/2006/relationships/hyperlink" Target="https://drive.google.com/file/d/1klqsmed3lJK8_HxGsiP9y7AlMnhwQsAl/view?usp=drivesdk" TargetMode="External"/><Relationship Id="rId3497" Type="http://schemas.openxmlformats.org/officeDocument/2006/relationships/hyperlink" Target="https://drive.google.com/file/d/1i7BTO21dLlRgfYBVaCh6GXIHukZGWfPV/view?usp=drivesdk" TargetMode="External"/><Relationship Id="rId2168" Type="http://schemas.openxmlformats.org/officeDocument/2006/relationships/hyperlink" Target="https://drive.google.com/file/d/1QDm36UJ32Mzk5XSmgxACru1IGHznWv2f/view?usp=drivesdk" TargetMode="External"/><Relationship Id="rId2169" Type="http://schemas.openxmlformats.org/officeDocument/2006/relationships/hyperlink" Target="https://drive.google.com/file/d/1m8cG_ojjW3Dhfn9ZoeQnjzOee8g2EiFm/view?usp=drivesdk" TargetMode="External"/><Relationship Id="rId3499" Type="http://schemas.openxmlformats.org/officeDocument/2006/relationships/hyperlink" Target="https://drive.google.com/file/d/1n28c3WkTJo-pTq3d2iiZ_Po1qXK6wl2j/view?usp=drivesdk" TargetMode="External"/><Relationship Id="rId2159" Type="http://schemas.openxmlformats.org/officeDocument/2006/relationships/hyperlink" Target="https://drive.google.com/file/d/1bzqs4SwwXCsO_4LTJsQFbbKuzM151gup/view?usp=drivesdk" TargetMode="External"/><Relationship Id="rId3481" Type="http://schemas.openxmlformats.org/officeDocument/2006/relationships/hyperlink" Target="https://drive.google.com/file/d/1ctsO4ZrJ-Fz42ApkN8ouOANFu66N6A9V/view?usp=drivesdk" TargetMode="External"/><Relationship Id="rId2150" Type="http://schemas.openxmlformats.org/officeDocument/2006/relationships/hyperlink" Target="https://drive.google.com/file/d/1T2YLhc_YI5BsI7E-QyevIGyIiiOFTSMu/view?usp=drivesdk" TargetMode="External"/><Relationship Id="rId3480" Type="http://schemas.openxmlformats.org/officeDocument/2006/relationships/hyperlink" Target="https://drive.google.com/file/d/1Q0lnkZfOpugmmxYnV5BGmOCOVd53Wlgq/view?usp=drivesdk" TargetMode="External"/><Relationship Id="rId2151" Type="http://schemas.openxmlformats.org/officeDocument/2006/relationships/hyperlink" Target="https://drive.google.com/file/d/1cMwDGOj1Q0rZZf4pRhSr0tgyRFPX5r9r/view?usp=drivesdk" TargetMode="External"/><Relationship Id="rId3483" Type="http://schemas.openxmlformats.org/officeDocument/2006/relationships/hyperlink" Target="https://drive.google.com/file/d/17YLg0TSU3I-v5uAJ0ORBnOdgxyk9tX2U/view?usp=drivesdk" TargetMode="External"/><Relationship Id="rId2152" Type="http://schemas.openxmlformats.org/officeDocument/2006/relationships/hyperlink" Target="https://drive.google.com/file/d/1RC4fA-KW6fheNfZ30IAm-8oRC2B2IzLu/view?usp=drivesdk" TargetMode="External"/><Relationship Id="rId3482" Type="http://schemas.openxmlformats.org/officeDocument/2006/relationships/hyperlink" Target="https://drive.google.com/file/d/1HCwVw_ko_K7OpUL2QsV6-ZhKn7SRXMP_/view?usp=drivesdk" TargetMode="External"/><Relationship Id="rId2153" Type="http://schemas.openxmlformats.org/officeDocument/2006/relationships/hyperlink" Target="https://drive.google.com/file/d/1XJYWJHRtTH7jzNcQCNFbSmXQ_MYWmX2W/view?usp=drivesdk" TargetMode="External"/><Relationship Id="rId3485" Type="http://schemas.openxmlformats.org/officeDocument/2006/relationships/hyperlink" Target="https://drive.google.com/file/d/1j44ID-31iqAo6Bg_3XgcXLMiSy7EzQae/view?usp=drivesdk" TargetMode="External"/><Relationship Id="rId2154" Type="http://schemas.openxmlformats.org/officeDocument/2006/relationships/hyperlink" Target="https://drive.google.com/file/d/1tp3zbLJQHJRPamdW2lH7FGBc14tDe68e/view?usp=drivesdk" TargetMode="External"/><Relationship Id="rId3484" Type="http://schemas.openxmlformats.org/officeDocument/2006/relationships/hyperlink" Target="https://drive.google.com/file/d/11zvQZwsLn0NrUE9OtTketMiCuOn_IvlG/view?usp=drivesdk" TargetMode="External"/><Relationship Id="rId2155" Type="http://schemas.openxmlformats.org/officeDocument/2006/relationships/hyperlink" Target="https://drive.google.com/file/d/1GJxGMM_cg7LpvKMD_7OGfg3zI-JiSsbb/view?usp=drivesdk" TargetMode="External"/><Relationship Id="rId3487" Type="http://schemas.openxmlformats.org/officeDocument/2006/relationships/hyperlink" Target="https://drive.google.com/file/d/1vEOUNA5BVFsuCD6nIPoU8P2aTl4UthWr/view?usp=drivesdk" TargetMode="External"/><Relationship Id="rId2156" Type="http://schemas.openxmlformats.org/officeDocument/2006/relationships/hyperlink" Target="https://drive.google.com/file/d/1H-OUkNbJvHSjWJlBXy-u-b9UnsY3dTlW/view?usp=drivesdk" TargetMode="External"/><Relationship Id="rId3486" Type="http://schemas.openxmlformats.org/officeDocument/2006/relationships/hyperlink" Target="https://drive.google.com/file/d/1ncrhedGRwnFy_wtP7AquQVWEYHkh4mqC/view?usp=drivesdk" TargetMode="External"/><Relationship Id="rId2157" Type="http://schemas.openxmlformats.org/officeDocument/2006/relationships/hyperlink" Target="https://drive.google.com/file/d/1fijMjiUO2bLmhFN8oVQl6iLaJRyz5jtR/view?usp=drivesdk" TargetMode="External"/><Relationship Id="rId3489" Type="http://schemas.openxmlformats.org/officeDocument/2006/relationships/hyperlink" Target="https://drive.google.com/file/d/1w-W3o4N3OUR62QMwyoJUt5TXkhS-aL5c/view?usp=drivesdk" TargetMode="External"/><Relationship Id="rId2158" Type="http://schemas.openxmlformats.org/officeDocument/2006/relationships/hyperlink" Target="https://drive.google.com/file/d/18fFscHkg2228BqCvlWNhvagveOEnlU2T/view?usp=drivesdk" TargetMode="External"/><Relationship Id="rId3488" Type="http://schemas.openxmlformats.org/officeDocument/2006/relationships/hyperlink" Target="https://drive.google.com/file/d/1e1COtjaXsQlkiw_5POJvIN04A5OgVTs-/view?usp=drivesdk" TargetMode="External"/><Relationship Id="rId2104" Type="http://schemas.openxmlformats.org/officeDocument/2006/relationships/hyperlink" Target="https://drive.google.com/file/d/1FPHAF_UFGJlLeA3CgCi7tdgfslPMoNaY/view?usp=drivesdk" TargetMode="External"/><Relationship Id="rId3436" Type="http://schemas.openxmlformats.org/officeDocument/2006/relationships/hyperlink" Target="https://drive.google.com/file/d/1K8cFgTh873BMpzS14v66QqVxVEncAsE9/view?usp=drivesdk" TargetMode="External"/><Relationship Id="rId4767" Type="http://schemas.openxmlformats.org/officeDocument/2006/relationships/hyperlink" Target="https://drive.google.com/file/d/1b82GnHzj0am5nQ4D9rFlqkou6XLsPJ64/view?usp=drivesdk" TargetMode="External"/><Relationship Id="rId2105" Type="http://schemas.openxmlformats.org/officeDocument/2006/relationships/hyperlink" Target="https://drive.google.com/file/d/1RsTd5E8a00I_wviLz-FfE8FBoYVCdtb6/view?usp=drivesdk" TargetMode="External"/><Relationship Id="rId3435" Type="http://schemas.openxmlformats.org/officeDocument/2006/relationships/hyperlink" Target="https://drive.google.com/file/d/1XJopFP2BYxbI2nIOjhSZrmbvX8Xmc7A0/view?usp=drivesdk" TargetMode="External"/><Relationship Id="rId4766" Type="http://schemas.openxmlformats.org/officeDocument/2006/relationships/hyperlink" Target="https://drive.google.com/file/d/1b0geamHSvxAK16MmDL8K4k4wwHxSXKfx/view?usp=drivesdk" TargetMode="External"/><Relationship Id="rId2106" Type="http://schemas.openxmlformats.org/officeDocument/2006/relationships/hyperlink" Target="https://drive.google.com/file/d/1VvjR5DpONI247zR7o04q5iSLUgn45Css/view?usp=drivesdk" TargetMode="External"/><Relationship Id="rId3438" Type="http://schemas.openxmlformats.org/officeDocument/2006/relationships/hyperlink" Target="https://drive.google.com/file/d/1aKsRz-ARyddpO-_e_BYHUsI9kN9OrVhf/view?usp=drivesdk" TargetMode="External"/><Relationship Id="rId4769" Type="http://schemas.openxmlformats.org/officeDocument/2006/relationships/hyperlink" Target="https://drive.google.com/file/d/1zHKzHzuWQ60B1NQRxWy2CLJe9sHqHSNW/view?usp=drivesdk" TargetMode="External"/><Relationship Id="rId2107" Type="http://schemas.openxmlformats.org/officeDocument/2006/relationships/hyperlink" Target="https://drive.google.com/file/d/1BXS8B6RvVZ60UDgnJtfn551rb3Za9Uao/view?usp=drivesdk" TargetMode="External"/><Relationship Id="rId3437" Type="http://schemas.openxmlformats.org/officeDocument/2006/relationships/hyperlink" Target="https://drive.google.com/file/d/1rTgor3XCFKv-6RWk86w-W0Qx8lqxv9WK/view?usp=drivesdk" TargetMode="External"/><Relationship Id="rId4768" Type="http://schemas.openxmlformats.org/officeDocument/2006/relationships/hyperlink" Target="https://drive.google.com/file/d/198ruDdjEIX0iW-_sVuTgkn-mP_GFTCQu/view?usp=drivesdk" TargetMode="External"/><Relationship Id="rId2108" Type="http://schemas.openxmlformats.org/officeDocument/2006/relationships/hyperlink" Target="https://drive.google.com/file/d/1e7LyYY5Vs0V3zRJF14p2xFgXjzSAqDe1/view?usp=drivesdk" TargetMode="External"/><Relationship Id="rId2109" Type="http://schemas.openxmlformats.org/officeDocument/2006/relationships/hyperlink" Target="https://drive.google.com/file/d/1xksMJTqxvGfirpI-OfIidRz74ihXaNSv/view?usp=drivesdk" TargetMode="External"/><Relationship Id="rId3439" Type="http://schemas.openxmlformats.org/officeDocument/2006/relationships/hyperlink" Target="https://drive.google.com/file/d/1Qgj4YK7fPWUaG0kVGOuedITkK2hFWU9J/view?usp=drivesdk" TargetMode="External"/><Relationship Id="rId3430" Type="http://schemas.openxmlformats.org/officeDocument/2006/relationships/hyperlink" Target="https://drive.google.com/file/d/1JkVnfN2b0ufigHqa368cbq3o1oGzzZQE/view?usp=drivesdk" TargetMode="External"/><Relationship Id="rId4761" Type="http://schemas.openxmlformats.org/officeDocument/2006/relationships/hyperlink" Target="https://drive.google.com/file/d/1wPD7IUpGoXKZxSTu6UPDPCX1rKO3uKr8/view?usp=drivesdk" TargetMode="External"/><Relationship Id="rId4760" Type="http://schemas.openxmlformats.org/officeDocument/2006/relationships/hyperlink" Target="https://drive.google.com/file/d/12JbXSjqT6iihvbenOCTtomSFnCipTo-U/view?usp=drivesdk" TargetMode="External"/><Relationship Id="rId2100" Type="http://schemas.openxmlformats.org/officeDocument/2006/relationships/hyperlink" Target="https://drive.google.com/file/d/188ea5cBfwEAxAlSQOKc9j72lqll_DZ9Y/view?usp=drivesdk" TargetMode="External"/><Relationship Id="rId3432" Type="http://schemas.openxmlformats.org/officeDocument/2006/relationships/hyperlink" Target="https://drive.google.com/file/d/1DYxST5GYTokDCqCr3bhOgOFC75G5F87K/view?usp=drivesdk" TargetMode="External"/><Relationship Id="rId4763" Type="http://schemas.openxmlformats.org/officeDocument/2006/relationships/hyperlink" Target="https://drive.google.com/file/d/1X6QQb-2M9-GmNaJytDQk11K2WeHXLfVh/view?usp=drivesdk" TargetMode="External"/><Relationship Id="rId2101" Type="http://schemas.openxmlformats.org/officeDocument/2006/relationships/hyperlink" Target="https://drive.google.com/file/d/1qYxYo9n9ymOW_eVTEvzzFUt26HnKGKQ2/view?usp=drivesdk" TargetMode="External"/><Relationship Id="rId3431" Type="http://schemas.openxmlformats.org/officeDocument/2006/relationships/hyperlink" Target="https://drive.google.com/file/d/1e_Lc_69kLs1OANJpGL9OBo5xe63k8dmG/view?usp=drivesdk" TargetMode="External"/><Relationship Id="rId4762" Type="http://schemas.openxmlformats.org/officeDocument/2006/relationships/hyperlink" Target="https://drive.google.com/file/d/1MRtpzQptm416FG-vtjvMtGj8xXZHaq8U/view?usp=drivesdk" TargetMode="External"/><Relationship Id="rId2102" Type="http://schemas.openxmlformats.org/officeDocument/2006/relationships/hyperlink" Target="https://drive.google.com/file/d/1Rug7H4ZJBNT5JL8vWuSk8LRy74bahZLO/view?usp=drivesdk" TargetMode="External"/><Relationship Id="rId3434" Type="http://schemas.openxmlformats.org/officeDocument/2006/relationships/hyperlink" Target="https://drive.google.com/file/d/1otrkebZPpeCVAJ21Kt7b2luiWbgVAEPC/view?usp=drivesdk" TargetMode="External"/><Relationship Id="rId4765" Type="http://schemas.openxmlformats.org/officeDocument/2006/relationships/hyperlink" Target="https://drive.google.com/file/d/1h4G02WgEAywTvwKjIvtxfg5WoQvCXLm2/view?usp=drivesdk" TargetMode="External"/><Relationship Id="rId2103" Type="http://schemas.openxmlformats.org/officeDocument/2006/relationships/hyperlink" Target="https://drive.google.com/file/d/1Xd2yJ5gJTv2QOf3DrfIvFk-oo3jzqGNR/view?usp=drivesdk" TargetMode="External"/><Relationship Id="rId3433" Type="http://schemas.openxmlformats.org/officeDocument/2006/relationships/hyperlink" Target="https://drive.google.com/file/d/1gdN8SXXcPSbSoZlAMIclSEVWEbigSQ4h/view?usp=drivesdk" TargetMode="External"/><Relationship Id="rId4764" Type="http://schemas.openxmlformats.org/officeDocument/2006/relationships/hyperlink" Target="https://drive.google.com/file/d/1q2GFUMy-cSpmVcLz00ojKeHZelQScg3E/view?usp=drivesdk" TargetMode="External"/><Relationship Id="rId3425" Type="http://schemas.openxmlformats.org/officeDocument/2006/relationships/hyperlink" Target="https://drive.google.com/file/d/1BBGihbyXkXdYXWDrMp0h5HOKGcA405lg/view?usp=drivesdk" TargetMode="External"/><Relationship Id="rId4756" Type="http://schemas.openxmlformats.org/officeDocument/2006/relationships/hyperlink" Target="https://drive.google.com/file/d/1CPYBCqxbfyiOfFnXtINNATnuIhwoSCu6/view?usp=drivesdk" TargetMode="External"/><Relationship Id="rId3424" Type="http://schemas.openxmlformats.org/officeDocument/2006/relationships/hyperlink" Target="https://drive.google.com/file/d/1WkdtEZyiawdERJXbYNKz6Lhl163EU6nk/view?usp=drivesdk" TargetMode="External"/><Relationship Id="rId4755" Type="http://schemas.openxmlformats.org/officeDocument/2006/relationships/hyperlink" Target="https://drive.google.com/file/d/1wPyrww6xo-lAF1ZSzDhU8Cy17sulam9Y/view?usp=drivesdk" TargetMode="External"/><Relationship Id="rId3427" Type="http://schemas.openxmlformats.org/officeDocument/2006/relationships/hyperlink" Target="https://drive.google.com/file/d/1L-1p0if8sAnOJJOatZwyime3MlyptFNE/view?usp=drivesdk" TargetMode="External"/><Relationship Id="rId4758" Type="http://schemas.openxmlformats.org/officeDocument/2006/relationships/hyperlink" Target="https://drive.google.com/file/d/1KNiA0yy4UKNi48dAPkEWYc8kzN3ro614/view?usp=drivesdk" TargetMode="External"/><Relationship Id="rId3426" Type="http://schemas.openxmlformats.org/officeDocument/2006/relationships/hyperlink" Target="https://drive.google.com/file/d/1ajrOp-4VO2nR0TFwUjqnE2c_6I39iiLE/view?usp=drivesdk" TargetMode="External"/><Relationship Id="rId4757" Type="http://schemas.openxmlformats.org/officeDocument/2006/relationships/hyperlink" Target="https://drive.google.com/file/d/12qWzHZUu_2jxdgMCdDoT4XlLYXEy6E6S/view?usp=drivesdk" TargetMode="External"/><Relationship Id="rId3429" Type="http://schemas.openxmlformats.org/officeDocument/2006/relationships/hyperlink" Target="https://drive.google.com/file/d/1tb9xSqONz9GUhMs6-rdC9iUtDvf8-EI9/view?usp=drivesdk" TargetMode="External"/><Relationship Id="rId3428" Type="http://schemas.openxmlformats.org/officeDocument/2006/relationships/hyperlink" Target="https://drive.google.com/file/d/1cQLHNjAq8AISwljiTSb8JlQhbfiLTZ7N/view?usp=drivesdk" TargetMode="External"/><Relationship Id="rId4759" Type="http://schemas.openxmlformats.org/officeDocument/2006/relationships/hyperlink" Target="https://drive.google.com/file/d/1jblBCBBansouWLMb5461k2HFt-aZv9K2/view?usp=drivesdk" TargetMode="External"/><Relationship Id="rId899" Type="http://schemas.openxmlformats.org/officeDocument/2006/relationships/hyperlink" Target="https://drive.google.com/file/d/16aE8DM-aaSpj1SyTpVU_2nQ94T4i0N7j/view?usp=drivesdk" TargetMode="External"/><Relationship Id="rId898" Type="http://schemas.openxmlformats.org/officeDocument/2006/relationships/hyperlink" Target="https://drive.google.com/file/d/1_M5CM-ua30ZOuWLAjRqQG-iIlYybp_zp/view?usp=drivesdk" TargetMode="External"/><Relationship Id="rId897" Type="http://schemas.openxmlformats.org/officeDocument/2006/relationships/hyperlink" Target="https://drive.google.com/file/d/1Tj4NzW2dc0C8YENp1wBgxgGzj569KJHA/view?usp=drivesdk" TargetMode="External"/><Relationship Id="rId896" Type="http://schemas.openxmlformats.org/officeDocument/2006/relationships/hyperlink" Target="https://drive.google.com/file/d/1lBZpVqC8VlHNmVJRdYhAqqcHJ4AkfSdB/view?usp=drivesdk" TargetMode="External"/><Relationship Id="rId891" Type="http://schemas.openxmlformats.org/officeDocument/2006/relationships/hyperlink" Target="https://drive.google.com/file/d/1i8YD22WwMAja7RwIq0NEaWjVx_9RDSrz/view?usp=drivesdk" TargetMode="External"/><Relationship Id="rId890" Type="http://schemas.openxmlformats.org/officeDocument/2006/relationships/hyperlink" Target="https://drive.google.com/file/d/1mFGDSiIxHztZWtqP3NjAGr5utpYfRvw6/view?usp=drivesdk" TargetMode="External"/><Relationship Id="rId4750" Type="http://schemas.openxmlformats.org/officeDocument/2006/relationships/hyperlink" Target="https://drive.google.com/file/d/1mqg6M45_jJ91vJfXIqvRYpdLu0K1AfUc/view?usp=drivesdk" TargetMode="External"/><Relationship Id="rId895" Type="http://schemas.openxmlformats.org/officeDocument/2006/relationships/hyperlink" Target="https://drive.google.com/file/d/1ShXesd34lafswFvccBJwyb0yF4noSYfC/view?usp=drivesdk" TargetMode="External"/><Relationship Id="rId3421" Type="http://schemas.openxmlformats.org/officeDocument/2006/relationships/hyperlink" Target="https://drive.google.com/file/d/1Bx67pMt_liBs_eM72VMNBS1LrAEBG2LY/view?usp=drivesdk" TargetMode="External"/><Relationship Id="rId4752" Type="http://schemas.openxmlformats.org/officeDocument/2006/relationships/hyperlink" Target="https://drive.google.com/file/d/12JgbFs3RmWf6VRTcSLCOqitEqLQwpQTp/view?usp=drivesdk" TargetMode="External"/><Relationship Id="rId894" Type="http://schemas.openxmlformats.org/officeDocument/2006/relationships/hyperlink" Target="https://drive.google.com/file/d/19WrMZ0-lNWpryoM6Aex11yTDDjtUOeK3/view?usp=drivesdk" TargetMode="External"/><Relationship Id="rId3420" Type="http://schemas.openxmlformats.org/officeDocument/2006/relationships/hyperlink" Target="https://drive.google.com/file/d/1fc7LN3ecvRxUzcovA9K9Xq3_dCBxiCdh/view?usp=drivesdk" TargetMode="External"/><Relationship Id="rId4751" Type="http://schemas.openxmlformats.org/officeDocument/2006/relationships/hyperlink" Target="https://drive.google.com/file/d/1Y31255BBzoP2QIoMwYw-Dp4F9WY5fztU/view?usp=drivesdk" TargetMode="External"/><Relationship Id="rId893" Type="http://schemas.openxmlformats.org/officeDocument/2006/relationships/hyperlink" Target="https://drive.google.com/file/d/1tTP53VNMoTPtDEw3MMJciIdz1T8t_kjL/view?usp=drivesdk" TargetMode="External"/><Relationship Id="rId3423" Type="http://schemas.openxmlformats.org/officeDocument/2006/relationships/hyperlink" Target="https://drive.google.com/file/d/1gtIH6XzUaLufWU4f7lQf4IRW4JKogBUq/view?usp=drivesdk" TargetMode="External"/><Relationship Id="rId4754" Type="http://schemas.openxmlformats.org/officeDocument/2006/relationships/hyperlink" Target="https://drive.google.com/file/d/1tBonsed1mka_xS6ojgSD8qDAiitGSVU4/view?usp=drivesdk" TargetMode="External"/><Relationship Id="rId892" Type="http://schemas.openxmlformats.org/officeDocument/2006/relationships/hyperlink" Target="https://drive.google.com/file/d/1Ve1qcJD_1TFgNFpwI8-jndc6CcZb5wpn/view?usp=drivesdk" TargetMode="External"/><Relationship Id="rId3422" Type="http://schemas.openxmlformats.org/officeDocument/2006/relationships/hyperlink" Target="https://drive.google.com/file/d/1iX6FKFhZ8OUptF3eol69lQS5Ay2pLsRu/view?usp=drivesdk" TargetMode="External"/><Relationship Id="rId4753" Type="http://schemas.openxmlformats.org/officeDocument/2006/relationships/hyperlink" Target="https://drive.google.com/file/d/1vLENi7SBD7Rh8JJmRqvIM0KNjA9GmD7o/view?usp=drivesdk" TargetMode="External"/><Relationship Id="rId2126" Type="http://schemas.openxmlformats.org/officeDocument/2006/relationships/hyperlink" Target="https://drive.google.com/file/d/1EUIr3v6aoWUzm7UcS_SqSLj51UG7zsq6/view?usp=drivesdk" TargetMode="External"/><Relationship Id="rId3458" Type="http://schemas.openxmlformats.org/officeDocument/2006/relationships/hyperlink" Target="https://drive.google.com/file/d/1TXbUDhQlf26kxZlGag5umSVDI4ZNnmeP/view?usp=drivesdk" TargetMode="External"/><Relationship Id="rId4789" Type="http://schemas.openxmlformats.org/officeDocument/2006/relationships/hyperlink" Target="https://drive.google.com/file/d/1Yhpkd2TCojXz6N4n3QHOwOGeIj05dhr1/view?usp=drivesdk" TargetMode="External"/><Relationship Id="rId2127" Type="http://schemas.openxmlformats.org/officeDocument/2006/relationships/hyperlink" Target="https://drive.google.com/file/d/1Wyn5kqc9jyK1__lXtT5qSyr18oZkIVB1/view?usp=drivesdk" TargetMode="External"/><Relationship Id="rId3457" Type="http://schemas.openxmlformats.org/officeDocument/2006/relationships/hyperlink" Target="https://drive.google.com/file/d/1n6TXWVH1iJNJG8eOhYwNbepihgQSeNIb/view?usp=drivesdk" TargetMode="External"/><Relationship Id="rId4788" Type="http://schemas.openxmlformats.org/officeDocument/2006/relationships/hyperlink" Target="https://drive.google.com/file/d/1f4uuB45ZempLhH4DkMsCwXfextsu-EC5/view?usp=drivesdk" TargetMode="External"/><Relationship Id="rId2128" Type="http://schemas.openxmlformats.org/officeDocument/2006/relationships/hyperlink" Target="https://drive.google.com/file/d/1yPtwJFI2GPmK1RCP0E4Z3B-VCn6ZORMA/view?usp=drivesdk" TargetMode="External"/><Relationship Id="rId2129" Type="http://schemas.openxmlformats.org/officeDocument/2006/relationships/hyperlink" Target="https://drive.google.com/file/d/1BVKlrwlsTR5iZfDBVGOzOB32JWmxImFU/view?usp=drivesdk" TargetMode="External"/><Relationship Id="rId3459" Type="http://schemas.openxmlformats.org/officeDocument/2006/relationships/hyperlink" Target="https://drive.google.com/file/d/1cIZalMHnac-2HVl9c3_u9ZhEghNwFUgN/view?usp=drivesdk" TargetMode="External"/><Relationship Id="rId3450" Type="http://schemas.openxmlformats.org/officeDocument/2006/relationships/hyperlink" Target="https://drive.google.com/file/d/1yW56Sf92KelKETNzYj45PXdrJjnkgaze/view?usp=drivesdk" TargetMode="External"/><Relationship Id="rId4781" Type="http://schemas.openxmlformats.org/officeDocument/2006/relationships/hyperlink" Target="https://drive.google.com/file/d/1V9f1HKEl2Muh5j9vm5w1Ze_4wwba3MlB/view?usp=drivesdk" TargetMode="External"/><Relationship Id="rId4780" Type="http://schemas.openxmlformats.org/officeDocument/2006/relationships/hyperlink" Target="https://drive.google.com/file/d/17DzMTE-L3XWnfo1pYic4YdsEsOaahCkA/view?usp=drivesdk" TargetMode="External"/><Relationship Id="rId2120" Type="http://schemas.openxmlformats.org/officeDocument/2006/relationships/hyperlink" Target="https://drive.google.com/file/d/1TbpG_beHg1hbAmebwhNlhQRjD5hHPdFL/view?usp=drivesdk" TargetMode="External"/><Relationship Id="rId3452" Type="http://schemas.openxmlformats.org/officeDocument/2006/relationships/hyperlink" Target="https://drive.google.com/file/d/1UIWEBSeX35yf16aAkEAKUwaLr82btr8Z/view?usp=drivesdk" TargetMode="External"/><Relationship Id="rId4783" Type="http://schemas.openxmlformats.org/officeDocument/2006/relationships/hyperlink" Target="https://drive.google.com/file/d/1qbCom99E1I8V6ZZdPZSE8Mx1SroroTQk/view?usp=drivesdk" TargetMode="External"/><Relationship Id="rId2121" Type="http://schemas.openxmlformats.org/officeDocument/2006/relationships/hyperlink" Target="https://drive.google.com/file/d/1L2NT6eqBTgXbz64bVO8FkwcaVdVyXHUO/view?usp=drivesdk" TargetMode="External"/><Relationship Id="rId3451" Type="http://schemas.openxmlformats.org/officeDocument/2006/relationships/hyperlink" Target="https://drive.google.com/file/d/1g24veW7CCg5KzRxDTFMZmT4Ie9mF7cap/view?usp=drivesdk" TargetMode="External"/><Relationship Id="rId4782" Type="http://schemas.openxmlformats.org/officeDocument/2006/relationships/hyperlink" Target="https://drive.google.com/file/d/1hmS2O8ke6TkPyKTo1mgz1d2R4IgoLhQ6/view?usp=drivesdk" TargetMode="External"/><Relationship Id="rId2122" Type="http://schemas.openxmlformats.org/officeDocument/2006/relationships/hyperlink" Target="https://drive.google.com/file/d/1zN4UHwp-gjXCmYrGL1LRgT_MGjnNKBfp/view?usp=drivesdk" TargetMode="External"/><Relationship Id="rId3454" Type="http://schemas.openxmlformats.org/officeDocument/2006/relationships/hyperlink" Target="https://drive.google.com/file/d/1MXqacxJdHEqd0odKJqAWL7ebLLAbzhxr/view?usp=drivesdk" TargetMode="External"/><Relationship Id="rId4785" Type="http://schemas.openxmlformats.org/officeDocument/2006/relationships/hyperlink" Target="https://drive.google.com/file/d/1n5JucsDgtwsh-wa_IMO9dtir4xkAa6Gy/view?usp=drivesdk" TargetMode="External"/><Relationship Id="rId2123" Type="http://schemas.openxmlformats.org/officeDocument/2006/relationships/hyperlink" Target="https://drive.google.com/file/d/1XqrlVIUagpMkolTgOeH6G9nEf_rveUty/view?usp=drivesdk" TargetMode="External"/><Relationship Id="rId3453" Type="http://schemas.openxmlformats.org/officeDocument/2006/relationships/hyperlink" Target="https://drive.google.com/file/d/1tp_BJoR2tA4aRALbMJEl7Qljj-Z45h14/view?usp=drivesdk" TargetMode="External"/><Relationship Id="rId4784" Type="http://schemas.openxmlformats.org/officeDocument/2006/relationships/hyperlink" Target="https://drive.google.com/file/d/1AQmcwcgj0XKDjjzYRdwDOTsh9FZYDMK5/view?usp=drivesdk" TargetMode="External"/><Relationship Id="rId2124" Type="http://schemas.openxmlformats.org/officeDocument/2006/relationships/hyperlink" Target="https://drive.google.com/file/d/1ygvwkes2Yzw_VVPq7_Ea2CIhYUdPhKuv/view?usp=drivesdk" TargetMode="External"/><Relationship Id="rId3456" Type="http://schemas.openxmlformats.org/officeDocument/2006/relationships/hyperlink" Target="https://drive.google.com/file/d/1u-sSC1hc-oarkprvVbKZy_dcD41_62rL/view?usp=drivesdk" TargetMode="External"/><Relationship Id="rId4787" Type="http://schemas.openxmlformats.org/officeDocument/2006/relationships/hyperlink" Target="https://drive.google.com/file/d/1xdRHFyEICxrmjynMQutiQiQtlqdpLOrv/view?usp=drivesdk" TargetMode="External"/><Relationship Id="rId2125" Type="http://schemas.openxmlformats.org/officeDocument/2006/relationships/hyperlink" Target="https://drive.google.com/file/d/1NNewcWywut_puQ_A_HKp6GoI25MrU336/view?usp=drivesdk" TargetMode="External"/><Relationship Id="rId3455" Type="http://schemas.openxmlformats.org/officeDocument/2006/relationships/hyperlink" Target="https://drive.google.com/file/d/1S16Ld1fqt5llHcV6a5MIun-v4B_K_NKP/view?usp=drivesdk" TargetMode="External"/><Relationship Id="rId4786" Type="http://schemas.openxmlformats.org/officeDocument/2006/relationships/hyperlink" Target="https://drive.google.com/file/d/1xQhfEbhDoAt3bhOQtQ0Blayy8ZiHrc3q/view?usp=drivesdk" TargetMode="External"/><Relationship Id="rId2115" Type="http://schemas.openxmlformats.org/officeDocument/2006/relationships/hyperlink" Target="https://drive.google.com/file/d/1U84IDLQtVatWXHtbCMpUtJJlv9C5-XAf/view?usp=drivesdk" TargetMode="External"/><Relationship Id="rId3447" Type="http://schemas.openxmlformats.org/officeDocument/2006/relationships/hyperlink" Target="https://drive.google.com/file/d/1OZuwWeYr-kS-X_yctOF1h-zbzi-sgeCk/view?usp=drivesdk" TargetMode="External"/><Relationship Id="rId4778" Type="http://schemas.openxmlformats.org/officeDocument/2006/relationships/hyperlink" Target="https://drive.google.com/file/d/1AIxi6F6hE07MR5nhldoQmrE7zr1TIbD2/view?usp=drivesdk" TargetMode="External"/><Relationship Id="rId2116" Type="http://schemas.openxmlformats.org/officeDocument/2006/relationships/hyperlink" Target="https://drive.google.com/file/d/1oH3D_9wxVh8oPhuqBHALlpA3MbVgNFee/view?usp=drivesdk" TargetMode="External"/><Relationship Id="rId3446" Type="http://schemas.openxmlformats.org/officeDocument/2006/relationships/hyperlink" Target="https://drive.google.com/file/d/1iGT_qInrJwDE3GnkYRs2pyWTQ4VOzlyU/view?usp=drivesdk" TargetMode="External"/><Relationship Id="rId4777" Type="http://schemas.openxmlformats.org/officeDocument/2006/relationships/hyperlink" Target="https://drive.google.com/file/d/1aV_N86RQuhrge0wT0oOpPsZeXedCWL1E/view?usp=drivesdk" TargetMode="External"/><Relationship Id="rId2117" Type="http://schemas.openxmlformats.org/officeDocument/2006/relationships/hyperlink" Target="https://drive.google.com/file/d/18eBF_Sm-g8Bp8cyEKWuG5glIIVKZaQip/view?usp=drivesdk" TargetMode="External"/><Relationship Id="rId3449" Type="http://schemas.openxmlformats.org/officeDocument/2006/relationships/hyperlink" Target="https://drive.google.com/file/d/1Ven3OkPPKaKWktpnKiqoGWNlrjz3EQ72/view?usp=drivesdk" TargetMode="External"/><Relationship Id="rId2118" Type="http://schemas.openxmlformats.org/officeDocument/2006/relationships/hyperlink" Target="https://drive.google.com/file/d/1fkGTLVxmkVaS6YDseap_O2nBBd-jRdsW/view?usp=drivesdk" TargetMode="External"/><Relationship Id="rId3448" Type="http://schemas.openxmlformats.org/officeDocument/2006/relationships/hyperlink" Target="https://drive.google.com/file/d/1rPuk0Wz7ZwHajsaVEE0K05PvH0Gjqfxo/view?usp=drivesdk" TargetMode="External"/><Relationship Id="rId4779" Type="http://schemas.openxmlformats.org/officeDocument/2006/relationships/hyperlink" Target="https://drive.google.com/file/d/1Xnp-BTRjISPbxQkQickWv3CeJAqK1WMw/view?usp=drivesdk" TargetMode="External"/><Relationship Id="rId2119" Type="http://schemas.openxmlformats.org/officeDocument/2006/relationships/hyperlink" Target="https://drive.google.com/file/d/1XgyDZ8GkcN04sjTf7sXtqzd8a4PJ2HYC/view?usp=drivesdk" TargetMode="External"/><Relationship Id="rId4770" Type="http://schemas.openxmlformats.org/officeDocument/2006/relationships/hyperlink" Target="https://drive.google.com/file/d/1rKW_cv1fvwe0cZXCs1r2ert6RYpvPCuT/view?usp=drivesdk" TargetMode="External"/><Relationship Id="rId3441" Type="http://schemas.openxmlformats.org/officeDocument/2006/relationships/hyperlink" Target="https://drive.google.com/file/d/1Kg0BuVMkmdCzw13blOHY-SVA173IY36L/view?usp=drivesdk" TargetMode="External"/><Relationship Id="rId4772" Type="http://schemas.openxmlformats.org/officeDocument/2006/relationships/hyperlink" Target="https://drive.google.com/file/d/1ZBBu807DnsLSr5O4uhNiYd8RGLrWSn6e/view?usp=drivesdk" TargetMode="External"/><Relationship Id="rId2110" Type="http://schemas.openxmlformats.org/officeDocument/2006/relationships/hyperlink" Target="https://drive.google.com/file/d/1N04vSoMJc6m10NJ1S1XW8z7ngyHBplOS/view?usp=drivesdk" TargetMode="External"/><Relationship Id="rId3440" Type="http://schemas.openxmlformats.org/officeDocument/2006/relationships/hyperlink" Target="https://drive.google.com/file/d/1yD5M22fda72f6_QOBvTf3M05h15k3jw4/view?usp=drivesdk" TargetMode="External"/><Relationship Id="rId4771" Type="http://schemas.openxmlformats.org/officeDocument/2006/relationships/hyperlink" Target="https://drive.google.com/file/d/1xYx4CGIKep2j4tMLTgY0f40X9K_pUeZ0/view?usp=drivesdk" TargetMode="External"/><Relationship Id="rId2111" Type="http://schemas.openxmlformats.org/officeDocument/2006/relationships/hyperlink" Target="https://drive.google.com/file/d/1M7bA6UjBi362er4rauztelPfv9jo5eyN/view?usp=drivesdk" TargetMode="External"/><Relationship Id="rId3443" Type="http://schemas.openxmlformats.org/officeDocument/2006/relationships/hyperlink" Target="https://drive.google.com/file/d/1kSPVMCGVnPTGlcQi5X2jM82SPeCWwA__/view?usp=drivesdk" TargetMode="External"/><Relationship Id="rId4774" Type="http://schemas.openxmlformats.org/officeDocument/2006/relationships/hyperlink" Target="https://drive.google.com/file/d/18XoB9BFdJoKtZ8NFrFfGyXaXwD6DpD03/view?usp=drivesdk" TargetMode="External"/><Relationship Id="rId2112" Type="http://schemas.openxmlformats.org/officeDocument/2006/relationships/hyperlink" Target="https://drive.google.com/file/d/1T6GLMNWJq6qnKigrVAugoqoNtu6LiMa3/view?usp=drivesdk" TargetMode="External"/><Relationship Id="rId3442" Type="http://schemas.openxmlformats.org/officeDocument/2006/relationships/hyperlink" Target="https://drive.google.com/file/d/1AQ8w3_jDG_gwdlQ8Eaprggf4viM8FXfS/view?usp=drivesdk" TargetMode="External"/><Relationship Id="rId4773" Type="http://schemas.openxmlformats.org/officeDocument/2006/relationships/hyperlink" Target="https://drive.google.com/file/d/18FE92J_j-LT5HIG0m1PdbKpLtXcRO6_U/view?usp=drivesdk" TargetMode="External"/><Relationship Id="rId2113" Type="http://schemas.openxmlformats.org/officeDocument/2006/relationships/hyperlink" Target="https://drive.google.com/file/d/1RRAdVfI1ytHeEEfKSlAl-Pl5D0wFl_Qb/view?usp=drivesdk" TargetMode="External"/><Relationship Id="rId3445" Type="http://schemas.openxmlformats.org/officeDocument/2006/relationships/hyperlink" Target="https://drive.google.com/file/d/1HFnPRwdXm0n-vyX89c268ZbpBTDpBmbS/view?usp=drivesdk" TargetMode="External"/><Relationship Id="rId4776" Type="http://schemas.openxmlformats.org/officeDocument/2006/relationships/hyperlink" Target="https://drive.google.com/file/d/1NfzmiEoz6dIpstu-k1j6YsJ_CzjeNl8m/view?usp=drivesdk" TargetMode="External"/><Relationship Id="rId2114" Type="http://schemas.openxmlformats.org/officeDocument/2006/relationships/hyperlink" Target="https://drive.google.com/file/d/1tGVYwkL-qxkW21HmguD80x5Q4vgtPtQe/view?usp=drivesdk" TargetMode="External"/><Relationship Id="rId3444" Type="http://schemas.openxmlformats.org/officeDocument/2006/relationships/hyperlink" Target="https://drive.google.com/file/d/17EAE-ZXQJ3XJywCV5Gn8HiJhzdwGgS1C/view?usp=drivesdk" TargetMode="External"/><Relationship Id="rId4775" Type="http://schemas.openxmlformats.org/officeDocument/2006/relationships/hyperlink" Target="https://drive.google.com/file/d/1TetoK-EpOy2kE8oarLHdCPwfpO12xLrx/view?usp=drivesd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IFERROR(__xludf.DUMMYFUNCTION("IMPORTRANGE(""https://docs.google.com/spreadsheets/d/1TyoW3maLK9V7Ez8FX5yO9K1TT1TtaT5O5Faqtaabwd0/edit#gid=1657928218"",""Relación Entregas!X1:AO10221"")"),"")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>
      <c r="A2" s="1" t="str">
        <f>IFERROR(__xludf.DUMMYFUNCTION("""COMPUTED_VALUE"""),"Fecha Reparto")</f>
        <v>Fecha Reparto</v>
      </c>
      <c r="B2" s="1" t="str">
        <f>IFERROR(__xludf.DUMMYFUNCTION("""COMPUTED_VALUE"""),"Domiciliaro")</f>
        <v>Domiciliaro</v>
      </c>
      <c r="C2" s="1" t="str">
        <f>IFERROR(__xludf.DUMMYFUNCTION("""COMPUTED_VALUE"""),"Destino")</f>
        <v>Destino</v>
      </c>
      <c r="D2" s="1" t="str">
        <f>IFERROR(__xludf.DUMMYFUNCTION("""COMPUTED_VALUE"""),"Origen")</f>
        <v>Origen</v>
      </c>
      <c r="E2" s="1" t="str">
        <f>IFERROR(__xludf.DUMMYFUNCTION("""COMPUTED_VALUE"""),"Emprededor")</f>
        <v>Emprededor</v>
      </c>
      <c r="F2" s="1" t="str">
        <f>IFERROR(__xludf.DUMMYFUNCTION("""COMPUTED_VALUE"""),"Dirección")</f>
        <v>Dirección</v>
      </c>
      <c r="G2" s="1" t="str">
        <f>IFERROR(__xludf.DUMMYFUNCTION("""COMPUTED_VALUE"""),"Destinatario")</f>
        <v>Destinatario</v>
      </c>
      <c r="H2" s="2" t="str">
        <f>IFERROR(__xludf.DUMMYFUNCTION("""COMPUTED_VALUE"""),"ID _ Pedido")</f>
        <v>ID _ Pedido</v>
      </c>
      <c r="I2" s="2" t="str">
        <f>IFERROR(__xludf.DUMMYFUNCTION("""COMPUTED_VALUE"""),"Alto")</f>
        <v>Alto</v>
      </c>
      <c r="J2" s="2" t="str">
        <f>IFERROR(__xludf.DUMMYFUNCTION("""COMPUTED_VALUE"""),"Ancho")</f>
        <v>Ancho</v>
      </c>
      <c r="K2" s="2" t="str">
        <f>IFERROR(__xludf.DUMMYFUNCTION("""COMPUTED_VALUE"""),"Largo")</f>
        <v>Largo</v>
      </c>
      <c r="L2" s="1" t="str">
        <f>IFERROR(__xludf.DUMMYFUNCTION("""COMPUTED_VALUE"""),"Celular")</f>
        <v>Celular</v>
      </c>
      <c r="M2" s="1" t="str">
        <f>IFERROR(__xludf.DUMMYFUNCTION("""COMPUTED_VALUE"""),"x")</f>
        <v>x</v>
      </c>
      <c r="N2" s="3" t="str">
        <f>IFERROR(__xludf.DUMMYFUNCTION("""COMPUTED_VALUE"""),"Valor")</f>
        <v>Valor</v>
      </c>
      <c r="O2" s="1" t="str">
        <f>IFERROR(__xludf.DUMMYFUNCTION("""COMPUTED_VALUE"""),"VLR TOT")</f>
        <v>VLR TOT</v>
      </c>
      <c r="P2" s="3" t="str">
        <f>IFERROR(__xludf.DUMMYFUNCTION("""COMPUTED_VALUE"""),"Entregas")</f>
        <v>Entregas</v>
      </c>
      <c r="Q2" s="1" t="str">
        <f>IFERROR(__xludf.DUMMYFUNCTION("""COMPUTED_VALUE"""),"FECHA / HORA ENTREGA")</f>
        <v>FECHA / HORA ENTREGA</v>
      </c>
      <c r="R2" s="1" t="str">
        <f>IFERROR(__xludf.DUMMYFUNCTION("""COMPUTED_VALUE"""),"REGISTRO")</f>
        <v>REGISTRO</v>
      </c>
      <c r="S2" s="1" t="s">
        <v>0</v>
      </c>
      <c r="T2" s="1" t="s">
        <v>1</v>
      </c>
      <c r="U2" s="1" t="s">
        <v>2</v>
      </c>
      <c r="V2" s="1"/>
      <c r="W2" s="1"/>
      <c r="X2" s="4" t="str">
        <f>IFERROR(__xludf.DUMMYFUNCTION("IMPORTRANGE(""https://docs.google.com/spreadsheets/d/1ADLd3ntFTm5C8v-muWt7hm7aKoXMv5DTeMbuuaPGAvU/edit?gid=800275484#gid=800275484"",""Asignación Cont!R3:AA22550"")"),"#REF!")</f>
        <v>#REF!</v>
      </c>
      <c r="Y2" s="4"/>
      <c r="Z2" s="4"/>
      <c r="AA2" s="4"/>
      <c r="AB2" s="4"/>
      <c r="AC2" s="4"/>
      <c r="AD2" s="4"/>
      <c r="AE2" s="4"/>
      <c r="AF2" s="4"/>
      <c r="AG2" s="4"/>
      <c r="AH2" s="4" t="str">
        <f t="shared" ref="AH2:AH265" si="1">X2</f>
        <v>#REF!</v>
      </c>
      <c r="AI2" s="4" t="str">
        <f>IFERROR(__xludf.DUMMYFUNCTION("IMPORTRANGE(""https://docs.google.com/spreadsheets/d/1ADLd3ntFTm5C8v-muWt7hm7aKoXMv5DTeMbuuaPGAvU/edit?gid=800275484#gid=800275484"",""Asignación Cont!P3:P22550"")"),"#REF!")</f>
        <v>#REF!</v>
      </c>
    </row>
    <row r="3">
      <c r="A3" s="5">
        <f>IFERROR(__xludf.DUMMYFUNCTION("""COMPUTED_VALUE"""),44995.0)</f>
        <v>44995</v>
      </c>
      <c r="B3" s="1"/>
      <c r="C3" s="6" t="str">
        <f>IFERROR(__xludf.DUMMYFUNCTION("""COMPUTED_VALUE"""),"BOGOTÁ")</f>
        <v>BOGOTÁ</v>
      </c>
      <c r="D3" s="6" t="str">
        <f>IFERROR(__xludf.DUMMYFUNCTION("""COMPUTED_VALUE"""),"MEDELLÍN")</f>
        <v>MEDELLÍN</v>
      </c>
      <c r="E3" s="6" t="str">
        <f>IFERROR(__xludf.DUMMYFUNCTION("""COMPUTED_VALUE"""),"AREPAS LA MARY")</f>
        <v>AREPAS LA MARY</v>
      </c>
      <c r="F3" s="1" t="str">
        <f>IFERROR(__xludf.DUMMYFUNCTION("""COMPUTED_VALUE"""),"calle 182 # 45 -85 / aticos de la sabana 3")</f>
        <v>calle 182 # 45 -85 / aticos de la sabana 3</v>
      </c>
      <c r="G3" s="6" t="str">
        <f>IFERROR(__xludf.DUMMYFUNCTION("""COMPUTED_VALUE"""),"valeria martinez")</f>
        <v>valeria martinez</v>
      </c>
      <c r="H3" s="7">
        <f>IFERROR(__xludf.DUMMYFUNCTION("""COMPUTED_VALUE"""),8734.0)</f>
        <v>8734</v>
      </c>
      <c r="I3" s="7">
        <f>IFERROR(__xludf.DUMMYFUNCTION("""COMPUTED_VALUE"""),89.0)</f>
        <v>89</v>
      </c>
      <c r="J3" s="7">
        <f>IFERROR(__xludf.DUMMYFUNCTION("""COMPUTED_VALUE"""),1.0)</f>
        <v>1</v>
      </c>
      <c r="K3" s="7">
        <f>IFERROR(__xludf.DUMMYFUNCTION("""COMPUTED_VALUE"""),10.0)</f>
        <v>10</v>
      </c>
      <c r="L3" s="8">
        <f>IFERROR(__xludf.DUMMYFUNCTION("""COMPUTED_VALUE"""),3.002877718E9)</f>
        <v>3002877718</v>
      </c>
      <c r="M3" s="9" t="str">
        <f>IFERROR(__xludf.DUMMYFUNCTION("""COMPUTED_VALUE"""),"#REF!")</f>
        <v>#REF!</v>
      </c>
      <c r="N3" s="3" t="str">
        <f>IFERROR(__xludf.DUMMYFUNCTION("""COMPUTED_VALUE"""),"")</f>
        <v/>
      </c>
      <c r="O3" s="3" t="str">
        <f>IFERROR(__xludf.DUMMYFUNCTION("""COMPUTED_VALUE"""),"")</f>
        <v/>
      </c>
      <c r="P3" s="9" t="b">
        <f>IFERROR(__xludf.DUMMYFUNCTION("""COMPUTED_VALUE"""),FALSE)</f>
        <v>0</v>
      </c>
      <c r="Q3" s="10" t="str">
        <f>IFERROR(__xludf.DUMMYFUNCTION("""COMPUTED_VALUE"""),"")</f>
        <v/>
      </c>
      <c r="R3" s="11" t="str">
        <f>IFERROR(__xludf.DUMMYFUNCTION("""COMPUTED_VALUE"""),"https://drive.google.com/file/d/13np0raItOlrKL7Wa3rezTNqgfvDYcKDo/view?usp=drivesdk")</f>
        <v>https://drive.google.com/file/d/13np0raItOlrKL7Wa3rezTNqgfvDYcKDo/view?usp=drivesdk</v>
      </c>
      <c r="S3" s="1" t="str">
        <f t="shared" ref="S3:S265" si="2">IFERROR(VLOOKUP(H3,Z:AG,8,0),"")</f>
        <v/>
      </c>
      <c r="T3" s="1" t="str">
        <f t="shared" ref="T3:T265" si="3">IFERROR(VLOOKUP(H3,Z:AH,9,0),"")</f>
        <v/>
      </c>
      <c r="U3" s="1" t="str">
        <f t="shared" ref="U3:U265" si="4">IFERROR(VLOOKUP(H3,Z:AI,10,0),"")</f>
        <v/>
      </c>
      <c r="V3" s="1"/>
      <c r="W3" s="1"/>
      <c r="X3" s="1"/>
      <c r="Y3" s="1"/>
      <c r="Z3" s="8"/>
      <c r="AA3" s="1"/>
      <c r="AB3" s="1"/>
      <c r="AC3" s="1"/>
      <c r="AD3" s="1"/>
      <c r="AE3" s="1"/>
      <c r="AF3" s="1"/>
      <c r="AG3" s="1"/>
      <c r="AH3" s="1" t="str">
        <f t="shared" si="1"/>
        <v/>
      </c>
      <c r="AI3" s="1"/>
    </row>
    <row r="4">
      <c r="A4" s="5">
        <f>IFERROR(__xludf.DUMMYFUNCTION("""COMPUTED_VALUE"""),44995.0)</f>
        <v>44995</v>
      </c>
      <c r="B4" s="1"/>
      <c r="C4" s="6" t="str">
        <f>IFERROR(__xludf.DUMMYFUNCTION("""COMPUTED_VALUE"""),"BOGOTÁ")</f>
        <v>BOGOTÁ</v>
      </c>
      <c r="D4" s="6" t="str">
        <f>IFERROR(__xludf.DUMMYFUNCTION("""COMPUTED_VALUE"""),"MEDELLÍN")</f>
        <v>MEDELLÍN</v>
      </c>
      <c r="E4" s="6" t="str">
        <f>IFERROR(__xludf.DUMMYFUNCTION("""COMPUTED_VALUE"""),"AREPAS LA MARY")</f>
        <v>AREPAS LA MARY</v>
      </c>
      <c r="F4" s="1" t="str">
        <f>IFERROR(__xludf.DUMMYFUNCTION("""COMPUTED_VALUE"""),"CRA 13 # 93-13 LOCAL 103 / LOCAL 103")</f>
        <v>CRA 13 # 93-13 LOCAL 103 / LOCAL 103</v>
      </c>
      <c r="G4" s="6" t="str">
        <f>IFERROR(__xludf.DUMMYFUNCTION("""COMPUTED_VALUE"""),"HEALING FOODS")</f>
        <v>HEALING FOODS</v>
      </c>
      <c r="H4" s="7">
        <f>IFERROR(__xludf.DUMMYFUNCTION("""COMPUTED_VALUE"""),8732.0)</f>
        <v>8732</v>
      </c>
      <c r="I4" s="7">
        <f>IFERROR(__xludf.DUMMYFUNCTION("""COMPUTED_VALUE"""),89.0)</f>
        <v>89</v>
      </c>
      <c r="J4" s="7">
        <f>IFERROR(__xludf.DUMMYFUNCTION("""COMPUTED_VALUE"""),1.0)</f>
        <v>1</v>
      </c>
      <c r="K4" s="7">
        <f>IFERROR(__xludf.DUMMYFUNCTION("""COMPUTED_VALUE"""),10.0)</f>
        <v>10</v>
      </c>
      <c r="L4" s="8">
        <f>IFERROR(__xludf.DUMMYFUNCTION("""COMPUTED_VALUE"""),3.142647408E9)</f>
        <v>3142647408</v>
      </c>
      <c r="M4" s="9" t="str">
        <f>IFERROR(__xludf.DUMMYFUNCTION("""COMPUTED_VALUE"""),"#REF!")</f>
        <v>#REF!</v>
      </c>
      <c r="N4" s="3" t="str">
        <f>IFERROR(__xludf.DUMMYFUNCTION("""COMPUTED_VALUE"""),"")</f>
        <v/>
      </c>
      <c r="O4" s="3" t="str">
        <f>IFERROR(__xludf.DUMMYFUNCTION("""COMPUTED_VALUE"""),"")</f>
        <v/>
      </c>
      <c r="P4" s="9" t="b">
        <f>IFERROR(__xludf.DUMMYFUNCTION("""COMPUTED_VALUE"""),FALSE)</f>
        <v>0</v>
      </c>
      <c r="Q4" s="10" t="str">
        <f>IFERROR(__xludf.DUMMYFUNCTION("""COMPUTED_VALUE"""),"")</f>
        <v/>
      </c>
      <c r="R4" s="11" t="str">
        <f>IFERROR(__xludf.DUMMYFUNCTION("""COMPUTED_VALUE"""),"https://drive.google.com/file/d/1OKY5cQU5dZdnfXgfn2mZDB-T_BX5cj8I/view?usp=drivesdk")</f>
        <v>https://drive.google.com/file/d/1OKY5cQU5dZdnfXgfn2mZDB-T_BX5cj8I/view?usp=drivesdk</v>
      </c>
      <c r="S4" s="1" t="str">
        <f t="shared" si="2"/>
        <v/>
      </c>
      <c r="T4" s="1" t="str">
        <f t="shared" si="3"/>
        <v/>
      </c>
      <c r="U4" s="1" t="str">
        <f t="shared" si="4"/>
        <v/>
      </c>
      <c r="V4" s="1"/>
      <c r="W4" s="1"/>
      <c r="X4" s="1"/>
      <c r="Y4" s="1"/>
      <c r="Z4" s="8"/>
      <c r="AA4" s="1"/>
      <c r="AB4" s="1"/>
      <c r="AC4" s="1"/>
      <c r="AD4" s="1"/>
      <c r="AE4" s="1"/>
      <c r="AF4" s="1"/>
      <c r="AG4" s="1"/>
      <c r="AH4" s="1" t="str">
        <f t="shared" si="1"/>
        <v/>
      </c>
      <c r="AI4" s="1"/>
    </row>
    <row r="5">
      <c r="A5" s="5">
        <f>IFERROR(__xludf.DUMMYFUNCTION("""COMPUTED_VALUE"""),44995.0)</f>
        <v>44995</v>
      </c>
      <c r="B5" s="1"/>
      <c r="C5" s="6" t="str">
        <f>IFERROR(__xludf.DUMMYFUNCTION("""COMPUTED_VALUE"""),"BOGOTÁ")</f>
        <v>BOGOTÁ</v>
      </c>
      <c r="D5" s="6" t="str">
        <f>IFERROR(__xludf.DUMMYFUNCTION("""COMPUTED_VALUE"""),"MEDELLÍN")</f>
        <v>MEDELLÍN</v>
      </c>
      <c r="E5" s="6" t="str">
        <f>IFERROR(__xludf.DUMMYFUNCTION("""COMPUTED_VALUE"""),"AREPAS LA MARY")</f>
        <v>AREPAS LA MARY</v>
      </c>
      <c r="F5" s="1" t="str">
        <f>IFERROR(__xludf.DUMMYFUNCTION("""COMPUTED_VALUE"""),"cra 24 B # 20 -04 sur / multifamiliares alfonso lopez bloque 12 apto 101")</f>
        <v>cra 24 B # 20 -04 sur / multifamiliares alfonso lopez bloque 12 apto 101</v>
      </c>
      <c r="G5" s="6" t="str">
        <f>IFERROR(__xludf.DUMMYFUNCTION("""COMPUTED_VALUE"""),"yenny verdugo")</f>
        <v>yenny verdugo</v>
      </c>
      <c r="H5" s="7">
        <f>IFERROR(__xludf.DUMMYFUNCTION("""COMPUTED_VALUE"""),8733.0)</f>
        <v>8733</v>
      </c>
      <c r="I5" s="7">
        <f>IFERROR(__xludf.DUMMYFUNCTION("""COMPUTED_VALUE"""),89.0)</f>
        <v>89</v>
      </c>
      <c r="J5" s="7">
        <f>IFERROR(__xludf.DUMMYFUNCTION("""COMPUTED_VALUE"""),1.0)</f>
        <v>1</v>
      </c>
      <c r="K5" s="7">
        <f>IFERROR(__xludf.DUMMYFUNCTION("""COMPUTED_VALUE"""),10.0)</f>
        <v>10</v>
      </c>
      <c r="L5" s="8">
        <f>IFERROR(__xludf.DUMMYFUNCTION("""COMPUTED_VALUE"""),3.115046691E9)</f>
        <v>3115046691</v>
      </c>
      <c r="M5" s="9" t="str">
        <f>IFERROR(__xludf.DUMMYFUNCTION("""COMPUTED_VALUE"""),"#REF!")</f>
        <v>#REF!</v>
      </c>
      <c r="N5" s="3" t="str">
        <f>IFERROR(__xludf.DUMMYFUNCTION("""COMPUTED_VALUE"""),"")</f>
        <v/>
      </c>
      <c r="O5" s="3" t="str">
        <f>IFERROR(__xludf.DUMMYFUNCTION("""COMPUTED_VALUE"""),"")</f>
        <v/>
      </c>
      <c r="P5" s="9" t="b">
        <f>IFERROR(__xludf.DUMMYFUNCTION("""COMPUTED_VALUE"""),FALSE)</f>
        <v>0</v>
      </c>
      <c r="Q5" s="10" t="str">
        <f>IFERROR(__xludf.DUMMYFUNCTION("""COMPUTED_VALUE"""),"")</f>
        <v/>
      </c>
      <c r="R5" s="11" t="str">
        <f>IFERROR(__xludf.DUMMYFUNCTION("""COMPUTED_VALUE"""),"https://drive.google.com/file/d/14toznC05VIQvqOo9HY5ygEjoyMemy9ge/view?usp=drivesdk")</f>
        <v>https://drive.google.com/file/d/14toznC05VIQvqOo9HY5ygEjoyMemy9ge/view?usp=drivesdk</v>
      </c>
      <c r="S5" s="1" t="str">
        <f t="shared" si="2"/>
        <v/>
      </c>
      <c r="T5" s="1" t="str">
        <f t="shared" si="3"/>
        <v/>
      </c>
      <c r="U5" s="1" t="str">
        <f t="shared" si="4"/>
        <v/>
      </c>
      <c r="V5" s="1"/>
      <c r="W5" s="1"/>
      <c r="X5" s="1"/>
      <c r="Y5" s="1"/>
      <c r="Z5" s="8"/>
      <c r="AA5" s="1"/>
      <c r="AB5" s="1"/>
      <c r="AC5" s="1"/>
      <c r="AD5" s="1"/>
      <c r="AE5" s="1"/>
      <c r="AF5" s="1"/>
      <c r="AG5" s="1"/>
      <c r="AH5" s="1" t="str">
        <f t="shared" si="1"/>
        <v/>
      </c>
      <c r="AI5" s="1"/>
    </row>
    <row r="6">
      <c r="A6" s="5">
        <f>IFERROR(__xludf.DUMMYFUNCTION("""COMPUTED_VALUE"""),44995.0)</f>
        <v>44995</v>
      </c>
      <c r="B6" s="1"/>
      <c r="C6" s="6" t="str">
        <f>IFERROR(__xludf.DUMMYFUNCTION("""COMPUTED_VALUE"""),"BOGOTÁ")</f>
        <v>BOGOTÁ</v>
      </c>
      <c r="D6" s="6" t="str">
        <f>IFERROR(__xludf.DUMMYFUNCTION("""COMPUTED_VALUE"""),"MEDELLÍN")</f>
        <v>MEDELLÍN</v>
      </c>
      <c r="E6" s="6" t="str">
        <f>IFERROR(__xludf.DUMMYFUNCTION("""COMPUTED_VALUE"""),"Baby Chef")</f>
        <v>Baby Chef</v>
      </c>
      <c r="F6" s="1" t="str">
        <f>IFERROR(__xludf.DUMMYFUNCTION("""COMPUTED_VALUE"""),"Calle 1 #24 - 70 Torre 27 Apto 404 / Conjunto Natura - ciudadela la prosperidad  / Madrid.")</f>
        <v>Calle 1 #24 - 70 Torre 27 Apto 404 / Conjunto Natura - ciudadela la prosperidad  / Madrid.</v>
      </c>
      <c r="G6" s="6" t="str">
        <f>IFERROR(__xludf.DUMMYFUNCTION("""COMPUTED_VALUE"""),"Lina Giseth Veloza Pachón  ( Bogotà - madrid)")</f>
        <v>Lina Giseth Veloza Pachón  ( Bogotà - madrid)</v>
      </c>
      <c r="H6" s="7">
        <f>IFERROR(__xludf.DUMMYFUNCTION("""COMPUTED_VALUE"""),8747.0)</f>
        <v>8747</v>
      </c>
      <c r="I6" s="7">
        <f>IFERROR(__xludf.DUMMYFUNCTION("""COMPUTED_VALUE"""),8.0)</f>
        <v>8</v>
      </c>
      <c r="J6" s="7">
        <f>IFERROR(__xludf.DUMMYFUNCTION("""COMPUTED_VALUE"""),16.0)</f>
        <v>16</v>
      </c>
      <c r="K6" s="7">
        <f>IFERROR(__xludf.DUMMYFUNCTION("""COMPUTED_VALUE"""),20.0)</f>
        <v>20</v>
      </c>
      <c r="L6" s="8">
        <f>IFERROR(__xludf.DUMMYFUNCTION("""COMPUTED_VALUE"""),3.123534247E9)</f>
        <v>3123534247</v>
      </c>
      <c r="M6" s="9" t="str">
        <f>IFERROR(__xludf.DUMMYFUNCTION("""COMPUTED_VALUE"""),"#REF!")</f>
        <v>#REF!</v>
      </c>
      <c r="N6" s="3" t="str">
        <f>IFERROR(__xludf.DUMMYFUNCTION("""COMPUTED_VALUE"""),"")</f>
        <v/>
      </c>
      <c r="O6" s="3" t="str">
        <f>IFERROR(__xludf.DUMMYFUNCTION("""COMPUTED_VALUE"""),"")</f>
        <v/>
      </c>
      <c r="P6" s="9" t="b">
        <f>IFERROR(__xludf.DUMMYFUNCTION("""COMPUTED_VALUE"""),FALSE)</f>
        <v>0</v>
      </c>
      <c r="Q6" s="10" t="str">
        <f>IFERROR(__xludf.DUMMYFUNCTION("""COMPUTED_VALUE"""),"")</f>
        <v/>
      </c>
      <c r="R6" s="11" t="str">
        <f>IFERROR(__xludf.DUMMYFUNCTION("""COMPUTED_VALUE"""),"https://drive.google.com/file/d/1F1_ehl7FvpNlsZ8ltb2IYqxaQQ5NrR05/view?usp=drivesdk")</f>
        <v>https://drive.google.com/file/d/1F1_ehl7FvpNlsZ8ltb2IYqxaQQ5NrR05/view?usp=drivesdk</v>
      </c>
      <c r="S6" s="1" t="str">
        <f t="shared" si="2"/>
        <v/>
      </c>
      <c r="T6" s="1" t="str">
        <f t="shared" si="3"/>
        <v/>
      </c>
      <c r="U6" s="1" t="str">
        <f t="shared" si="4"/>
        <v/>
      </c>
      <c r="V6" s="1"/>
      <c r="W6" s="1"/>
      <c r="X6" s="1"/>
      <c r="Y6" s="1"/>
      <c r="Z6" s="8"/>
      <c r="AA6" s="1"/>
      <c r="AB6" s="1"/>
      <c r="AC6" s="1"/>
      <c r="AD6" s="1"/>
      <c r="AE6" s="1"/>
      <c r="AF6" s="1"/>
      <c r="AG6" s="1"/>
      <c r="AH6" s="1" t="str">
        <f t="shared" si="1"/>
        <v/>
      </c>
      <c r="AI6" s="1"/>
    </row>
    <row r="7">
      <c r="A7" s="5">
        <f>IFERROR(__xludf.DUMMYFUNCTION("""COMPUTED_VALUE"""),44995.0)</f>
        <v>44995</v>
      </c>
      <c r="B7" s="1"/>
      <c r="C7" s="6" t="str">
        <f>IFERROR(__xludf.DUMMYFUNCTION("""COMPUTED_VALUE"""),"BOGOTÁ")</f>
        <v>BOGOTÁ</v>
      </c>
      <c r="D7" s="6" t="str">
        <f>IFERROR(__xludf.DUMMYFUNCTION("""COMPUTED_VALUE"""),"MEDELLÍN")</f>
        <v>MEDELLÍN</v>
      </c>
      <c r="E7" s="6" t="str">
        <f>IFERROR(__xludf.DUMMYFUNCTION("""COMPUTED_VALUE"""),"Baby Chef")</f>
        <v>Baby Chef</v>
      </c>
      <c r="F7" s="1" t="str">
        <f>IFERROR(__xludf.DUMMYFUNCTION("""COMPUTED_VALUE"""),"Calle 129 no. 56 c - 22  / apto 303 b  / bogota")</f>
        <v>Calle 129 no. 56 c - 22  / apto 303 b  / bogota</v>
      </c>
      <c r="G7" s="6" t="str">
        <f>IFERROR(__xludf.DUMMYFUNCTION("""COMPUTED_VALUE"""),"Lorena Sanchez")</f>
        <v>Lorena Sanchez</v>
      </c>
      <c r="H7" s="7">
        <f>IFERROR(__xludf.DUMMYFUNCTION("""COMPUTED_VALUE"""),8746.0)</f>
        <v>8746</v>
      </c>
      <c r="I7" s="7">
        <f>IFERROR(__xludf.DUMMYFUNCTION("""COMPUTED_VALUE"""),8.0)</f>
        <v>8</v>
      </c>
      <c r="J7" s="7">
        <f>IFERROR(__xludf.DUMMYFUNCTION("""COMPUTED_VALUE"""),16.0)</f>
        <v>16</v>
      </c>
      <c r="K7" s="7">
        <f>IFERROR(__xludf.DUMMYFUNCTION("""COMPUTED_VALUE"""),20.0)</f>
        <v>20</v>
      </c>
      <c r="L7" s="8">
        <f>IFERROR(__xludf.DUMMYFUNCTION("""COMPUTED_VALUE"""),3.174322927E9)</f>
        <v>3174322927</v>
      </c>
      <c r="M7" s="9" t="str">
        <f>IFERROR(__xludf.DUMMYFUNCTION("""COMPUTED_VALUE"""),"#REF!")</f>
        <v>#REF!</v>
      </c>
      <c r="N7" s="3" t="str">
        <f>IFERROR(__xludf.DUMMYFUNCTION("""COMPUTED_VALUE"""),"")</f>
        <v/>
      </c>
      <c r="O7" s="3" t="str">
        <f>IFERROR(__xludf.DUMMYFUNCTION("""COMPUTED_VALUE"""),"")</f>
        <v/>
      </c>
      <c r="P7" s="9" t="b">
        <f>IFERROR(__xludf.DUMMYFUNCTION("""COMPUTED_VALUE"""),FALSE)</f>
        <v>0</v>
      </c>
      <c r="Q7" s="10" t="str">
        <f>IFERROR(__xludf.DUMMYFUNCTION("""COMPUTED_VALUE"""),"")</f>
        <v/>
      </c>
      <c r="R7" s="11" t="str">
        <f>IFERROR(__xludf.DUMMYFUNCTION("""COMPUTED_VALUE"""),"https://drive.google.com/file/d/1Vvz51Netp_1B0Jz5G10oQmtyJk2F_krz/view?usp=drivesdk")</f>
        <v>https://drive.google.com/file/d/1Vvz51Netp_1B0Jz5G10oQmtyJk2F_krz/view?usp=drivesdk</v>
      </c>
      <c r="S7" s="1" t="str">
        <f t="shared" si="2"/>
        <v/>
      </c>
      <c r="T7" s="1" t="str">
        <f t="shared" si="3"/>
        <v/>
      </c>
      <c r="U7" s="1" t="str">
        <f t="shared" si="4"/>
        <v/>
      </c>
      <c r="V7" s="1"/>
      <c r="W7" s="1"/>
      <c r="X7" s="1"/>
      <c r="Y7" s="1"/>
      <c r="Z7" s="8"/>
      <c r="AA7" s="1"/>
      <c r="AB7" s="1"/>
      <c r="AC7" s="1"/>
      <c r="AD7" s="1"/>
      <c r="AE7" s="1"/>
      <c r="AF7" s="1"/>
      <c r="AG7" s="1"/>
      <c r="AH7" s="1" t="str">
        <f t="shared" si="1"/>
        <v/>
      </c>
      <c r="AI7" s="1"/>
    </row>
    <row r="8">
      <c r="A8" s="5">
        <f>IFERROR(__xludf.DUMMYFUNCTION("""COMPUTED_VALUE"""),44995.0)</f>
        <v>44995</v>
      </c>
      <c r="B8" s="1"/>
      <c r="C8" s="6" t="str">
        <f>IFERROR(__xludf.DUMMYFUNCTION("""COMPUTED_VALUE"""),"BOGOTÁ")</f>
        <v>BOGOTÁ</v>
      </c>
      <c r="D8" s="6" t="str">
        <f>IFERROR(__xludf.DUMMYFUNCTION("""COMPUTED_VALUE"""),"MEDELLÍN")</f>
        <v>MEDELLÍN</v>
      </c>
      <c r="E8" s="6" t="str">
        <f>IFERROR(__xludf.DUMMYFUNCTION("""COMPUTED_VALUE"""),"Baby Chef")</f>
        <v>Baby Chef</v>
      </c>
      <c r="F8" s="1" t="str">
        <f>IFERROR(__xludf.DUMMYFUNCTION("""COMPUTED_VALUE"""),"Calle 78b no 120-49 reserva de granada 3 torre 1 apt 202 / Gran granda barrio / Gran granda barrio")</f>
        <v>Calle 78b no 120-49 reserva de granada 3 torre 1 apt 202 / Gran granda barrio / Gran granda barrio</v>
      </c>
      <c r="G8" s="6" t="str">
        <f>IFERROR(__xludf.DUMMYFUNCTION("""COMPUTED_VALUE"""),"July marcela cajamarca")</f>
        <v>July marcela cajamarca</v>
      </c>
      <c r="H8" s="7">
        <f>IFERROR(__xludf.DUMMYFUNCTION("""COMPUTED_VALUE"""),8748.0)</f>
        <v>8748</v>
      </c>
      <c r="I8" s="7">
        <f>IFERROR(__xludf.DUMMYFUNCTION("""COMPUTED_VALUE"""),8.0)</f>
        <v>8</v>
      </c>
      <c r="J8" s="7">
        <f>IFERROR(__xludf.DUMMYFUNCTION("""COMPUTED_VALUE"""),16.0)</f>
        <v>16</v>
      </c>
      <c r="K8" s="7">
        <f>IFERROR(__xludf.DUMMYFUNCTION("""COMPUTED_VALUE"""),20.0)</f>
        <v>20</v>
      </c>
      <c r="L8" s="8">
        <f>IFERROR(__xludf.DUMMYFUNCTION("""COMPUTED_VALUE"""),3.114884682E9)</f>
        <v>3114884682</v>
      </c>
      <c r="M8" s="9" t="str">
        <f>IFERROR(__xludf.DUMMYFUNCTION("""COMPUTED_VALUE"""),"#REF!")</f>
        <v>#REF!</v>
      </c>
      <c r="N8" s="3" t="str">
        <f>IFERROR(__xludf.DUMMYFUNCTION("""COMPUTED_VALUE"""),"")</f>
        <v/>
      </c>
      <c r="O8" s="3" t="str">
        <f>IFERROR(__xludf.DUMMYFUNCTION("""COMPUTED_VALUE"""),"")</f>
        <v/>
      </c>
      <c r="P8" s="9" t="b">
        <f>IFERROR(__xludf.DUMMYFUNCTION("""COMPUTED_VALUE"""),FALSE)</f>
        <v>0</v>
      </c>
      <c r="Q8" s="10" t="str">
        <f>IFERROR(__xludf.DUMMYFUNCTION("""COMPUTED_VALUE"""),"")</f>
        <v/>
      </c>
      <c r="R8" s="11" t="str">
        <f>IFERROR(__xludf.DUMMYFUNCTION("""COMPUTED_VALUE"""),"https://drive.google.com/file/d/1i30gPHVrjn-oueptLgvFSZsigZueCQ26/view?usp=drivesdk")</f>
        <v>https://drive.google.com/file/d/1i30gPHVrjn-oueptLgvFSZsigZueCQ26/view?usp=drivesdk</v>
      </c>
      <c r="S8" s="1" t="str">
        <f t="shared" si="2"/>
        <v/>
      </c>
      <c r="T8" s="1" t="str">
        <f t="shared" si="3"/>
        <v/>
      </c>
      <c r="U8" s="1" t="str">
        <f t="shared" si="4"/>
        <v/>
      </c>
      <c r="V8" s="1"/>
      <c r="W8" s="1"/>
      <c r="X8" s="1"/>
      <c r="Y8" s="1"/>
      <c r="Z8" s="8"/>
      <c r="AA8" s="1"/>
      <c r="AB8" s="1"/>
      <c r="AC8" s="1"/>
      <c r="AD8" s="1"/>
      <c r="AE8" s="1"/>
      <c r="AF8" s="1"/>
      <c r="AG8" s="1"/>
      <c r="AH8" s="1" t="str">
        <f t="shared" si="1"/>
        <v/>
      </c>
      <c r="AI8" s="1"/>
    </row>
    <row r="9">
      <c r="A9" s="5">
        <f>IFERROR(__xludf.DUMMYFUNCTION("""COMPUTED_VALUE"""),44995.0)</f>
        <v>44995</v>
      </c>
      <c r="B9" s="1"/>
      <c r="C9" s="6" t="str">
        <f>IFERROR(__xludf.DUMMYFUNCTION("""COMPUTED_VALUE"""),"BOGOTÁ")</f>
        <v>BOGOTÁ</v>
      </c>
      <c r="D9" s="6" t="str">
        <f>IFERROR(__xludf.DUMMYFUNCTION("""COMPUTED_VALUE"""),"MEDELLÍN")</f>
        <v>MEDELLÍN</v>
      </c>
      <c r="E9" s="6" t="str">
        <f>IFERROR(__xludf.DUMMYFUNCTION("""COMPUTED_VALUE"""),"Lácteos El Pino SAS")</f>
        <v>Lácteos El Pino SAS</v>
      </c>
      <c r="F9" s="1" t="str">
        <f>IFERROR(__xludf.DUMMYFUNCTION("""COMPUTED_VALUE"""),"CALLE 109 #15-85 RESTAURANTE ANGUS AZUL / ENTREGAR ADMINISTRADOR")</f>
        <v>CALLE 109 #15-85 RESTAURANTE ANGUS AZUL / ENTREGAR ADMINISTRADOR</v>
      </c>
      <c r="G9" s="6" t="str">
        <f>IFERROR(__xludf.DUMMYFUNCTION("""COMPUTED_VALUE"""),"ANGUS AZUL")</f>
        <v>ANGUS AZUL</v>
      </c>
      <c r="H9" s="7">
        <f>IFERROR(__xludf.DUMMYFUNCTION("""COMPUTED_VALUE"""),8726.0)</f>
        <v>8726</v>
      </c>
      <c r="I9" s="7">
        <f>IFERROR(__xludf.DUMMYFUNCTION("""COMPUTED_VALUE"""),9.0)</f>
        <v>9</v>
      </c>
      <c r="J9" s="7">
        <f>IFERROR(__xludf.DUMMYFUNCTION("""COMPUTED_VALUE"""),25.0)</f>
        <v>25</v>
      </c>
      <c r="K9" s="7">
        <f>IFERROR(__xludf.DUMMYFUNCTION("""COMPUTED_VALUE"""),33.0)</f>
        <v>33</v>
      </c>
      <c r="L9" s="1"/>
      <c r="M9" s="9" t="str">
        <f>IFERROR(__xludf.DUMMYFUNCTION("""COMPUTED_VALUE"""),"#REF!")</f>
        <v>#REF!</v>
      </c>
      <c r="N9" s="3" t="str">
        <f>IFERROR(__xludf.DUMMYFUNCTION("""COMPUTED_VALUE"""),"")</f>
        <v/>
      </c>
      <c r="O9" s="3" t="str">
        <f>IFERROR(__xludf.DUMMYFUNCTION("""COMPUTED_VALUE"""),"")</f>
        <v/>
      </c>
      <c r="P9" s="9" t="b">
        <f>IFERROR(__xludf.DUMMYFUNCTION("""COMPUTED_VALUE"""),FALSE)</f>
        <v>0</v>
      </c>
      <c r="Q9" s="10" t="str">
        <f>IFERROR(__xludf.DUMMYFUNCTION("""COMPUTED_VALUE"""),"")</f>
        <v/>
      </c>
      <c r="R9" s="11" t="str">
        <f>IFERROR(__xludf.DUMMYFUNCTION("""COMPUTED_VALUE"""),"https://drive.google.com/file/d/1-9O2QHYwCeVyLPL8w3r7tfZG_sspGLGK/view?usp=drivesdk")</f>
        <v>https://drive.google.com/file/d/1-9O2QHYwCeVyLPL8w3r7tfZG_sspGLGK/view?usp=drivesdk</v>
      </c>
      <c r="S9" s="1" t="str">
        <f t="shared" si="2"/>
        <v/>
      </c>
      <c r="T9" s="1" t="str">
        <f t="shared" si="3"/>
        <v/>
      </c>
      <c r="U9" s="1" t="str">
        <f t="shared" si="4"/>
        <v/>
      </c>
      <c r="V9" s="1"/>
      <c r="W9" s="1"/>
      <c r="X9" s="1"/>
      <c r="Y9" s="1"/>
      <c r="Z9" s="8"/>
      <c r="AA9" s="1"/>
      <c r="AB9" s="1"/>
      <c r="AC9" s="1"/>
      <c r="AD9" s="1"/>
      <c r="AE9" s="1"/>
      <c r="AF9" s="1"/>
      <c r="AG9" s="1"/>
      <c r="AH9" s="1" t="str">
        <f t="shared" si="1"/>
        <v/>
      </c>
      <c r="AI9" s="1"/>
    </row>
    <row r="10">
      <c r="A10" s="5">
        <f>IFERROR(__xludf.DUMMYFUNCTION("""COMPUTED_VALUE"""),44995.0)</f>
        <v>44995</v>
      </c>
      <c r="B10" s="1"/>
      <c r="C10" s="6" t="str">
        <f>IFERROR(__xludf.DUMMYFUNCTION("""COMPUTED_VALUE"""),"BOGOTÁ")</f>
        <v>BOGOTÁ</v>
      </c>
      <c r="D10" s="6" t="str">
        <f>IFERROR(__xludf.DUMMYFUNCTION("""COMPUTED_VALUE"""),"MEDELLÍN")</f>
        <v>MEDELLÍN</v>
      </c>
      <c r="E10" s="6" t="str">
        <f>IFERROR(__xludf.DUMMYFUNCTION("""COMPUTED_VALUE"""),"Magda")</f>
        <v>Magda</v>
      </c>
      <c r="F10" s="1" t="str">
        <f>IFERROR(__xludf.DUMMYFUNCTION("""COMPUTED_VALUE"""),"Calle 71a # 14a22/26 / Cocinas ocultas / San felipe")</f>
        <v>Calle 71a # 14a22/26 / Cocinas ocultas / San felipe</v>
      </c>
      <c r="G10" s="6" t="str">
        <f>IFERROR(__xludf.DUMMYFUNCTION("""COMPUTED_VALUE"""),"Andrés Hernández / Heladería Magda")</f>
        <v>Andrés Hernández / Heladería Magda</v>
      </c>
      <c r="H10" s="7">
        <f>IFERROR(__xludf.DUMMYFUNCTION("""COMPUTED_VALUE"""),8753.0)</f>
        <v>8753</v>
      </c>
      <c r="I10" s="7">
        <f>IFERROR(__xludf.DUMMYFUNCTION("""COMPUTED_VALUE"""),55.0)</f>
        <v>55</v>
      </c>
      <c r="J10" s="7">
        <f>IFERROR(__xludf.DUMMYFUNCTION("""COMPUTED_VALUE"""),45.0)</f>
        <v>45</v>
      </c>
      <c r="K10" s="7">
        <f>IFERROR(__xludf.DUMMYFUNCTION("""COMPUTED_VALUE"""),29.0)</f>
        <v>29</v>
      </c>
      <c r="L10" s="8">
        <f>IFERROR(__xludf.DUMMYFUNCTION("""COMPUTED_VALUE"""),3.214229567E9)</f>
        <v>3214229567</v>
      </c>
      <c r="M10" s="9" t="str">
        <f>IFERROR(__xludf.DUMMYFUNCTION("""COMPUTED_VALUE"""),"#REF!")</f>
        <v>#REF!</v>
      </c>
      <c r="N10" s="3" t="str">
        <f>IFERROR(__xludf.DUMMYFUNCTION("""COMPUTED_VALUE"""),"")</f>
        <v/>
      </c>
      <c r="O10" s="3" t="str">
        <f>IFERROR(__xludf.DUMMYFUNCTION("""COMPUTED_VALUE"""),"")</f>
        <v/>
      </c>
      <c r="P10" s="9" t="b">
        <f>IFERROR(__xludf.DUMMYFUNCTION("""COMPUTED_VALUE"""),FALSE)</f>
        <v>0</v>
      </c>
      <c r="Q10" s="10" t="str">
        <f>IFERROR(__xludf.DUMMYFUNCTION("""COMPUTED_VALUE"""),"")</f>
        <v/>
      </c>
      <c r="R10" s="12" t="str">
        <f>IFERROR(__xludf.DUMMYFUNCTION("""COMPUTED_VALUE"""),"")</f>
        <v/>
      </c>
      <c r="S10" s="1" t="str">
        <f t="shared" si="2"/>
        <v/>
      </c>
      <c r="T10" s="1" t="str">
        <f t="shared" si="3"/>
        <v/>
      </c>
      <c r="U10" s="1" t="str">
        <f t="shared" si="4"/>
        <v/>
      </c>
      <c r="V10" s="1"/>
      <c r="W10" s="1"/>
      <c r="X10" s="1"/>
      <c r="Y10" s="1"/>
      <c r="Z10" s="8"/>
      <c r="AA10" s="1"/>
      <c r="AB10" s="1"/>
      <c r="AC10" s="1"/>
      <c r="AD10" s="1"/>
      <c r="AE10" s="1"/>
      <c r="AF10" s="1"/>
      <c r="AG10" s="1"/>
      <c r="AH10" s="1" t="str">
        <f t="shared" si="1"/>
        <v/>
      </c>
      <c r="AI10" s="1"/>
    </row>
    <row r="11">
      <c r="A11" s="5">
        <f>IFERROR(__xludf.DUMMYFUNCTION("""COMPUTED_VALUE"""),44995.0)</f>
        <v>44995</v>
      </c>
      <c r="B11" s="1"/>
      <c r="C11" s="6" t="str">
        <f>IFERROR(__xludf.DUMMYFUNCTION("""COMPUTED_VALUE"""),"BOGOTÁ")</f>
        <v>BOGOTÁ</v>
      </c>
      <c r="D11" s="6" t="str">
        <f>IFERROR(__xludf.DUMMYFUNCTION("""COMPUTED_VALUE"""),"MEDELLÍN")</f>
        <v>MEDELLÍN</v>
      </c>
      <c r="E11" s="6" t="str">
        <f>IFERROR(__xludf.DUMMYFUNCTION("""COMPUTED_VALUE"""),"Moloso S.A.S")</f>
        <v>Moloso S.A.S</v>
      </c>
      <c r="F11" s="1" t="str">
        <f>IFERROR(__xludf.DUMMYFUNCTION("""COMPUTED_VALUE"""),"CALLE 138 # 57 - 38 TORRE 3 / APTO 401")</f>
        <v>CALLE 138 # 57 - 38 TORRE 3 / APTO 401</v>
      </c>
      <c r="G11" s="6" t="str">
        <f>IFERROR(__xludf.DUMMYFUNCTION("""COMPUTED_VALUE"""),"DAVID PULIDO ROMERO")</f>
        <v>DAVID PULIDO ROMERO</v>
      </c>
      <c r="H11" s="7">
        <f>IFERROR(__xludf.DUMMYFUNCTION("""COMPUTED_VALUE"""),8723.0)</f>
        <v>8723</v>
      </c>
      <c r="I11" s="7">
        <f>IFERROR(__xludf.DUMMYFUNCTION("""COMPUTED_VALUE"""),17.0)</f>
        <v>17</v>
      </c>
      <c r="J11" s="7">
        <f>IFERROR(__xludf.DUMMYFUNCTION("""COMPUTED_VALUE"""),15.0)</f>
        <v>15</v>
      </c>
      <c r="K11" s="7">
        <f>IFERROR(__xludf.DUMMYFUNCTION("""COMPUTED_VALUE"""),28.0)</f>
        <v>28</v>
      </c>
      <c r="L11" s="8">
        <f>IFERROR(__xludf.DUMMYFUNCTION("""COMPUTED_VALUE"""),3.053165403E9)</f>
        <v>3053165403</v>
      </c>
      <c r="M11" s="9" t="str">
        <f>IFERROR(__xludf.DUMMYFUNCTION("""COMPUTED_VALUE"""),"#REF!")</f>
        <v>#REF!</v>
      </c>
      <c r="N11" s="3" t="str">
        <f>IFERROR(__xludf.DUMMYFUNCTION("""COMPUTED_VALUE"""),"")</f>
        <v/>
      </c>
      <c r="O11" s="3" t="str">
        <f>IFERROR(__xludf.DUMMYFUNCTION("""COMPUTED_VALUE"""),"")</f>
        <v/>
      </c>
      <c r="P11" s="9" t="b">
        <f>IFERROR(__xludf.DUMMYFUNCTION("""COMPUTED_VALUE"""),FALSE)</f>
        <v>0</v>
      </c>
      <c r="Q11" s="10" t="str">
        <f>IFERROR(__xludf.DUMMYFUNCTION("""COMPUTED_VALUE"""),"")</f>
        <v/>
      </c>
      <c r="R11" s="11" t="str">
        <f>IFERROR(__xludf.DUMMYFUNCTION("""COMPUTED_VALUE"""),"https://drive.google.com/file/d/1F35qAOGLkiCXnheDuiOeAVANnkZA9Q65/view?usp=drivesdk")</f>
        <v>https://drive.google.com/file/d/1F35qAOGLkiCXnheDuiOeAVANnkZA9Q65/view?usp=drivesdk</v>
      </c>
      <c r="S11" s="1" t="str">
        <f t="shared" si="2"/>
        <v/>
      </c>
      <c r="T11" s="1" t="str">
        <f t="shared" si="3"/>
        <v/>
      </c>
      <c r="U11" s="1" t="str">
        <f t="shared" si="4"/>
        <v/>
      </c>
      <c r="V11" s="1"/>
      <c r="W11" s="1"/>
      <c r="X11" s="1"/>
      <c r="Y11" s="1"/>
      <c r="Z11" s="8"/>
      <c r="AA11" s="1"/>
      <c r="AB11" s="1"/>
      <c r="AC11" s="1"/>
      <c r="AD11" s="1"/>
      <c r="AE11" s="1"/>
      <c r="AF11" s="1"/>
      <c r="AG11" s="1"/>
      <c r="AH11" s="1" t="str">
        <f t="shared" si="1"/>
        <v/>
      </c>
      <c r="AI11" s="1"/>
    </row>
    <row r="12">
      <c r="A12" s="5">
        <f>IFERROR(__xludf.DUMMYFUNCTION("""COMPUTED_VALUE"""),44995.0)</f>
        <v>44995</v>
      </c>
      <c r="B12" s="1"/>
      <c r="C12" s="6" t="str">
        <f>IFERROR(__xludf.DUMMYFUNCTION("""COMPUTED_VALUE"""),"BOGOTÁ")</f>
        <v>BOGOTÁ</v>
      </c>
      <c r="D12" s="6" t="str">
        <f>IFERROR(__xludf.DUMMYFUNCTION("""COMPUTED_VALUE"""),"MEDELLÍN")</f>
        <v>MEDELLÍN</v>
      </c>
      <c r="E12" s="6" t="str">
        <f>IFERROR(__xludf.DUMMYFUNCTION("""COMPUTED_VALUE"""),"Moloso S.A.S")</f>
        <v>Moloso S.A.S</v>
      </c>
      <c r="F12" s="1" t="str">
        <f>IFERROR(__xludf.DUMMYFUNCTION("""COMPUTED_VALUE"""),"CL 23C 69B 56 / APTO 804 TORRE 4 CONJUNTO ALBORARIA")</f>
        <v>CL 23C 69B 56 / APTO 804 TORRE 4 CONJUNTO ALBORARIA</v>
      </c>
      <c r="G12" s="6" t="str">
        <f>IFERROR(__xludf.DUMMYFUNCTION("""COMPUTED_VALUE"""),"CLAUDIA LILIANA SANCHEZ FINO")</f>
        <v>CLAUDIA LILIANA SANCHEZ FINO</v>
      </c>
      <c r="H12" s="7">
        <f>IFERROR(__xludf.DUMMYFUNCTION("""COMPUTED_VALUE"""),8724.0)</f>
        <v>8724</v>
      </c>
      <c r="I12" s="7">
        <f>IFERROR(__xludf.DUMMYFUNCTION("""COMPUTED_VALUE"""),17.0)</f>
        <v>17</v>
      </c>
      <c r="J12" s="7">
        <f>IFERROR(__xludf.DUMMYFUNCTION("""COMPUTED_VALUE"""),15.0)</f>
        <v>15</v>
      </c>
      <c r="K12" s="7">
        <f>IFERROR(__xludf.DUMMYFUNCTION("""COMPUTED_VALUE"""),28.0)</f>
        <v>28</v>
      </c>
      <c r="L12" s="1" t="str">
        <f>IFERROR(__xludf.DUMMYFUNCTION("""COMPUTED_VALUE"""),"313 2626232")</f>
        <v>313 2626232</v>
      </c>
      <c r="M12" s="9" t="str">
        <f>IFERROR(__xludf.DUMMYFUNCTION("""COMPUTED_VALUE"""),"#REF!")</f>
        <v>#REF!</v>
      </c>
      <c r="N12" s="3" t="str">
        <f>IFERROR(__xludf.DUMMYFUNCTION("""COMPUTED_VALUE"""),"")</f>
        <v/>
      </c>
      <c r="O12" s="3" t="str">
        <f>IFERROR(__xludf.DUMMYFUNCTION("""COMPUTED_VALUE"""),"")</f>
        <v/>
      </c>
      <c r="P12" s="9" t="b">
        <f>IFERROR(__xludf.DUMMYFUNCTION("""COMPUTED_VALUE"""),TRUE)</f>
        <v>1</v>
      </c>
      <c r="Q12" s="13">
        <f>IFERROR(__xludf.DUMMYFUNCTION("""COMPUTED_VALUE"""),44998.79078938658)</f>
        <v>44998.79079</v>
      </c>
      <c r="R12" s="11" t="str">
        <f>IFERROR(__xludf.DUMMYFUNCTION("""COMPUTED_VALUE"""),"https://drive.google.com/file/d/1cV7IE8C0eQD6otyRxs4NLW3DJdryxFMP/view?usp=drivesdk")</f>
        <v>https://drive.google.com/file/d/1cV7IE8C0eQD6otyRxs4NLW3DJdryxFMP/view?usp=drivesdk</v>
      </c>
      <c r="S12" s="1" t="str">
        <f t="shared" si="2"/>
        <v/>
      </c>
      <c r="T12" s="1" t="str">
        <f t="shared" si="3"/>
        <v/>
      </c>
      <c r="U12" s="1" t="str">
        <f t="shared" si="4"/>
        <v/>
      </c>
      <c r="V12" s="1"/>
      <c r="W12" s="1"/>
      <c r="X12" s="1"/>
      <c r="Y12" s="1"/>
      <c r="Z12" s="8"/>
      <c r="AA12" s="1"/>
      <c r="AB12" s="1"/>
      <c r="AC12" s="1"/>
      <c r="AD12" s="1"/>
      <c r="AE12" s="1"/>
      <c r="AF12" s="1"/>
      <c r="AG12" s="1"/>
      <c r="AH12" s="1" t="str">
        <f t="shared" si="1"/>
        <v/>
      </c>
      <c r="AI12" s="1"/>
    </row>
    <row r="13">
      <c r="A13" s="5">
        <f>IFERROR(__xludf.DUMMYFUNCTION("""COMPUTED_VALUE"""),44995.0)</f>
        <v>44995</v>
      </c>
      <c r="B13" s="1"/>
      <c r="C13" s="6" t="str">
        <f>IFERROR(__xludf.DUMMYFUNCTION("""COMPUTED_VALUE"""),"BOGOTÁ")</f>
        <v>BOGOTÁ</v>
      </c>
      <c r="D13" s="6" t="str">
        <f>IFERROR(__xludf.DUMMYFUNCTION("""COMPUTED_VALUE"""),"MEDELLÍN")</f>
        <v>MEDELLÍN</v>
      </c>
      <c r="E13" s="6" t="str">
        <f>IFERROR(__xludf.DUMMYFUNCTION("""COMPUTED_VALUE"""),"Rambla")</f>
        <v>Rambla</v>
      </c>
      <c r="F13" s="1" t="str">
        <f>IFERROR(__xludf.DUMMYFUNCTION("""COMPUTED_VALUE"""),"Av Cra 7 # 115-60. Local D340. Plaza de Flores. CC Hacienda Santa Barbara  / na / na")</f>
        <v>Av Cra 7 # 115-60. Local D340. Plaza de Flores. CC Hacienda Santa Barbara  / na / na</v>
      </c>
      <c r="G13" s="6" t="str">
        <f>IFERROR(__xludf.DUMMYFUNCTION("""COMPUTED_VALUE"""),"MerkaOrganico Bogota")</f>
        <v>MerkaOrganico Bogota</v>
      </c>
      <c r="H13" s="7">
        <f>IFERROR(__xludf.DUMMYFUNCTION("""COMPUTED_VALUE"""),8739.0)</f>
        <v>8739</v>
      </c>
      <c r="I13" s="7">
        <f>IFERROR(__xludf.DUMMYFUNCTION("""COMPUTED_VALUE"""),22.0)</f>
        <v>22</v>
      </c>
      <c r="J13" s="7">
        <f>IFERROR(__xludf.DUMMYFUNCTION("""COMPUTED_VALUE"""),25.0)</f>
        <v>25</v>
      </c>
      <c r="K13" s="7">
        <f>IFERROR(__xludf.DUMMYFUNCTION("""COMPUTED_VALUE"""),28.0)</f>
        <v>28</v>
      </c>
      <c r="L13" s="8">
        <f>IFERROR(__xludf.DUMMYFUNCTION("""COMPUTED_VALUE"""),3.214690579E9)</f>
        <v>3214690579</v>
      </c>
      <c r="M13" s="9" t="str">
        <f>IFERROR(__xludf.DUMMYFUNCTION("""COMPUTED_VALUE"""),"#REF!")</f>
        <v>#REF!</v>
      </c>
      <c r="N13" s="3" t="str">
        <f>IFERROR(__xludf.DUMMYFUNCTION("""COMPUTED_VALUE"""),"")</f>
        <v/>
      </c>
      <c r="O13" s="3" t="str">
        <f>IFERROR(__xludf.DUMMYFUNCTION("""COMPUTED_VALUE"""),"")</f>
        <v/>
      </c>
      <c r="P13" s="9" t="b">
        <f>IFERROR(__xludf.DUMMYFUNCTION("""COMPUTED_VALUE"""),FALSE)</f>
        <v>0</v>
      </c>
      <c r="Q13" s="10" t="str">
        <f>IFERROR(__xludf.DUMMYFUNCTION("""COMPUTED_VALUE"""),"")</f>
        <v/>
      </c>
      <c r="R13" s="11" t="str">
        <f>IFERROR(__xludf.DUMMYFUNCTION("""COMPUTED_VALUE"""),"https://drive.google.com/file/d/1CcUz-Nf6734MOA5BLWJr68swVRxvPcYB/view?usp=drivesdk")</f>
        <v>https://drive.google.com/file/d/1CcUz-Nf6734MOA5BLWJr68swVRxvPcYB/view?usp=drivesdk</v>
      </c>
      <c r="S13" s="1" t="str">
        <f t="shared" si="2"/>
        <v/>
      </c>
      <c r="T13" s="1" t="str">
        <f t="shared" si="3"/>
        <v/>
      </c>
      <c r="U13" s="1" t="str">
        <f t="shared" si="4"/>
        <v/>
      </c>
      <c r="V13" s="1"/>
      <c r="W13" s="1"/>
      <c r="X13" s="1"/>
      <c r="Y13" s="1"/>
      <c r="Z13" s="8"/>
      <c r="AA13" s="1"/>
      <c r="AB13" s="1"/>
      <c r="AC13" s="1"/>
      <c r="AD13" s="1"/>
      <c r="AE13" s="1"/>
      <c r="AF13" s="1"/>
      <c r="AG13" s="1"/>
      <c r="AH13" s="1" t="str">
        <f t="shared" si="1"/>
        <v/>
      </c>
      <c r="AI13" s="1"/>
    </row>
    <row r="14">
      <c r="A14" s="5">
        <f>IFERROR(__xludf.DUMMYFUNCTION("""COMPUTED_VALUE"""),44995.0)</f>
        <v>44995</v>
      </c>
      <c r="B14" s="1"/>
      <c r="C14" s="6" t="str">
        <f>IFERROR(__xludf.DUMMYFUNCTION("""COMPUTED_VALUE"""),"BOGOTÁ")</f>
        <v>BOGOTÁ</v>
      </c>
      <c r="D14" s="6" t="str">
        <f>IFERROR(__xludf.DUMMYFUNCTION("""COMPUTED_VALUE"""),"MEDELLÍN")</f>
        <v>MEDELLÍN</v>
      </c>
      <c r="E14" s="6" t="str">
        <f>IFERROR(__xludf.DUMMYFUNCTION("""COMPUTED_VALUE"""),"Rambla")</f>
        <v>Rambla</v>
      </c>
      <c r="F14" s="1" t="str">
        <f>IFERROR(__xludf.DUMMYFUNCTION("""COMPUTED_VALUE"""),"Calle 24 # 80B -82 - Modelia / na / na")</f>
        <v>Calle 24 # 80B -82 - Modelia / na / na</v>
      </c>
      <c r="G14" s="6" t="str">
        <f>IFERROR(__xludf.DUMMYFUNCTION("""COMPUTED_VALUE"""),"Mercado Origenes - Yeimy Alexandra Garzón")</f>
        <v>Mercado Origenes - Yeimy Alexandra Garzón</v>
      </c>
      <c r="H14" s="7">
        <f>IFERROR(__xludf.DUMMYFUNCTION("""COMPUTED_VALUE"""),8740.0)</f>
        <v>8740</v>
      </c>
      <c r="I14" s="7">
        <f>IFERROR(__xludf.DUMMYFUNCTION("""COMPUTED_VALUE"""),22.0)</f>
        <v>22</v>
      </c>
      <c r="J14" s="7">
        <f>IFERROR(__xludf.DUMMYFUNCTION("""COMPUTED_VALUE"""),25.0)</f>
        <v>25</v>
      </c>
      <c r="K14" s="7">
        <f>IFERROR(__xludf.DUMMYFUNCTION("""COMPUTED_VALUE"""),28.0)</f>
        <v>28</v>
      </c>
      <c r="L14" s="8">
        <f>IFERROR(__xludf.DUMMYFUNCTION("""COMPUTED_VALUE"""),3.136299043E9)</f>
        <v>3136299043</v>
      </c>
      <c r="M14" s="9" t="str">
        <f>IFERROR(__xludf.DUMMYFUNCTION("""COMPUTED_VALUE"""),"#REF!")</f>
        <v>#REF!</v>
      </c>
      <c r="N14" s="3" t="str">
        <f>IFERROR(__xludf.DUMMYFUNCTION("""COMPUTED_VALUE"""),"")</f>
        <v/>
      </c>
      <c r="O14" s="3" t="str">
        <f>IFERROR(__xludf.DUMMYFUNCTION("""COMPUTED_VALUE"""),"")</f>
        <v/>
      </c>
      <c r="P14" s="9" t="b">
        <f>IFERROR(__xludf.DUMMYFUNCTION("""COMPUTED_VALUE"""),FALSE)</f>
        <v>0</v>
      </c>
      <c r="Q14" s="10" t="str">
        <f>IFERROR(__xludf.DUMMYFUNCTION("""COMPUTED_VALUE"""),"")</f>
        <v/>
      </c>
      <c r="R14" s="11" t="str">
        <f>IFERROR(__xludf.DUMMYFUNCTION("""COMPUTED_VALUE"""),"https://drive.google.com/file/d/1VZEI7wLMaZljV7rsqxhtVoZXnaRGljve/view?usp=drivesdk")</f>
        <v>https://drive.google.com/file/d/1VZEI7wLMaZljV7rsqxhtVoZXnaRGljve/view?usp=drivesdk</v>
      </c>
      <c r="S14" s="1" t="str">
        <f t="shared" si="2"/>
        <v/>
      </c>
      <c r="T14" s="1" t="str">
        <f t="shared" si="3"/>
        <v/>
      </c>
      <c r="U14" s="1" t="str">
        <f t="shared" si="4"/>
        <v/>
      </c>
      <c r="V14" s="1"/>
      <c r="W14" s="1"/>
      <c r="X14" s="1"/>
      <c r="Y14" s="1"/>
      <c r="Z14" s="8"/>
      <c r="AA14" s="1"/>
      <c r="AB14" s="1"/>
      <c r="AC14" s="1"/>
      <c r="AD14" s="1"/>
      <c r="AE14" s="1"/>
      <c r="AF14" s="1"/>
      <c r="AG14" s="1"/>
      <c r="AH14" s="1" t="str">
        <f t="shared" si="1"/>
        <v/>
      </c>
      <c r="AI14" s="1"/>
    </row>
    <row r="15">
      <c r="A15" s="5">
        <f>IFERROR(__xludf.DUMMYFUNCTION("""COMPUTED_VALUE"""),44995.0)</f>
        <v>44995</v>
      </c>
      <c r="B15" s="1"/>
      <c r="C15" s="6" t="str">
        <f>IFERROR(__xludf.DUMMYFUNCTION("""COMPUTED_VALUE"""),"BOGOTÁ")</f>
        <v>BOGOTÁ</v>
      </c>
      <c r="D15" s="6" t="str">
        <f>IFERROR(__xludf.DUMMYFUNCTION("""COMPUTED_VALUE"""),"MEDELLÍN")</f>
        <v>MEDELLÍN</v>
      </c>
      <c r="E15" s="6" t="str">
        <f>IFERROR(__xludf.DUMMYFUNCTION("""COMPUTED_VALUE"""),"Rambla")</f>
        <v>Rambla</v>
      </c>
      <c r="F15" s="1" t="str">
        <f>IFERROR(__xludf.DUMMYFUNCTION("""COMPUTED_VALUE"""),"Calle 3 # 19-307 torre 3 apto 404 Conjunto park place Barrio el tejar Cajica- cundinamarca / na / na")</f>
        <v>Calle 3 # 19-307 torre 3 apto 404 Conjunto park place Barrio el tejar Cajica- cundinamarca / na / na</v>
      </c>
      <c r="G15" s="6" t="str">
        <f>IFERROR(__xludf.DUMMYFUNCTION("""COMPUTED_VALUE"""),"Monica Mora Cajica")</f>
        <v>Monica Mora Cajica</v>
      </c>
      <c r="H15" s="7">
        <f>IFERROR(__xludf.DUMMYFUNCTION("""COMPUTED_VALUE"""),8741.0)</f>
        <v>8741</v>
      </c>
      <c r="I15" s="7">
        <f>IFERROR(__xludf.DUMMYFUNCTION("""COMPUTED_VALUE"""),22.0)</f>
        <v>22</v>
      </c>
      <c r="J15" s="7">
        <f>IFERROR(__xludf.DUMMYFUNCTION("""COMPUTED_VALUE"""),25.0)</f>
        <v>25</v>
      </c>
      <c r="K15" s="7">
        <f>IFERROR(__xludf.DUMMYFUNCTION("""COMPUTED_VALUE"""),28.0)</f>
        <v>28</v>
      </c>
      <c r="L15" s="8">
        <f>IFERROR(__xludf.DUMMYFUNCTION("""COMPUTED_VALUE"""),3.118572752E9)</f>
        <v>3118572752</v>
      </c>
      <c r="M15" s="9" t="str">
        <f>IFERROR(__xludf.DUMMYFUNCTION("""COMPUTED_VALUE"""),"#REF!")</f>
        <v>#REF!</v>
      </c>
      <c r="N15" s="3" t="str">
        <f>IFERROR(__xludf.DUMMYFUNCTION("""COMPUTED_VALUE"""),"")</f>
        <v/>
      </c>
      <c r="O15" s="3" t="str">
        <f>IFERROR(__xludf.DUMMYFUNCTION("""COMPUTED_VALUE"""),"")</f>
        <v/>
      </c>
      <c r="P15" s="9" t="b">
        <f>IFERROR(__xludf.DUMMYFUNCTION("""COMPUTED_VALUE"""),FALSE)</f>
        <v>0</v>
      </c>
      <c r="Q15" s="10" t="str">
        <f>IFERROR(__xludf.DUMMYFUNCTION("""COMPUTED_VALUE"""),"")</f>
        <v/>
      </c>
      <c r="R15" s="11" t="str">
        <f>IFERROR(__xludf.DUMMYFUNCTION("""COMPUTED_VALUE"""),"https://drive.google.com/file/d/1v6tHs8w3dAlv5RzvE8iCym0AWVLlftFm/view?usp=drivesdk")</f>
        <v>https://drive.google.com/file/d/1v6tHs8w3dAlv5RzvE8iCym0AWVLlftFm/view?usp=drivesdk</v>
      </c>
      <c r="S15" s="1" t="str">
        <f t="shared" si="2"/>
        <v/>
      </c>
      <c r="T15" s="1" t="str">
        <f t="shared" si="3"/>
        <v/>
      </c>
      <c r="U15" s="1" t="str">
        <f t="shared" si="4"/>
        <v/>
      </c>
      <c r="V15" s="1"/>
      <c r="W15" s="1"/>
      <c r="X15" s="1"/>
      <c r="Y15" s="1"/>
      <c r="Z15" s="8"/>
      <c r="AA15" s="1"/>
      <c r="AB15" s="1"/>
      <c r="AC15" s="1"/>
      <c r="AD15" s="1"/>
      <c r="AE15" s="1"/>
      <c r="AF15" s="1"/>
      <c r="AG15" s="1"/>
      <c r="AH15" s="1" t="str">
        <f t="shared" si="1"/>
        <v/>
      </c>
      <c r="AI15" s="1"/>
    </row>
    <row r="16">
      <c r="A16" s="5">
        <f>IFERROR(__xludf.DUMMYFUNCTION("""COMPUTED_VALUE"""),44995.0)</f>
        <v>44995</v>
      </c>
      <c r="B16" s="1"/>
      <c r="C16" s="6" t="str">
        <f>IFERROR(__xludf.DUMMYFUNCTION("""COMPUTED_VALUE"""),"BOGOTÁ")</f>
        <v>BOGOTÁ</v>
      </c>
      <c r="D16" s="6" t="str">
        <f>IFERROR(__xludf.DUMMYFUNCTION("""COMPUTED_VALUE"""),"MEDELLÍN")</f>
        <v>MEDELLÍN</v>
      </c>
      <c r="E16" s="6" t="str">
        <f>IFERROR(__xludf.DUMMYFUNCTION("""COMPUTED_VALUE"""),"Rambla")</f>
        <v>Rambla</v>
      </c>
      <c r="F16" s="1" t="str">
        <f>IFERROR(__xludf.DUMMYFUNCTION("""COMPUTED_VALUE"""),"Calle 77 # 9-20 apto 204 / na / na")</f>
        <v>Calle 77 # 9-20 apto 204 / na / na</v>
      </c>
      <c r="G16" s="6" t="str">
        <f>IFERROR(__xludf.DUMMYFUNCTION("""COMPUTED_VALUE"""),"Carolina León")</f>
        <v>Carolina León</v>
      </c>
      <c r="H16" s="7">
        <f>IFERROR(__xludf.DUMMYFUNCTION("""COMPUTED_VALUE"""),8744.0)</f>
        <v>8744</v>
      </c>
      <c r="I16" s="7">
        <f>IFERROR(__xludf.DUMMYFUNCTION("""COMPUTED_VALUE"""),22.0)</f>
        <v>22</v>
      </c>
      <c r="J16" s="7">
        <f>IFERROR(__xludf.DUMMYFUNCTION("""COMPUTED_VALUE"""),25.0)</f>
        <v>25</v>
      </c>
      <c r="K16" s="7">
        <f>IFERROR(__xludf.DUMMYFUNCTION("""COMPUTED_VALUE"""),28.0)</f>
        <v>28</v>
      </c>
      <c r="L16" s="8">
        <f>IFERROR(__xludf.DUMMYFUNCTION("""COMPUTED_VALUE"""),3.164698482E9)</f>
        <v>3164698482</v>
      </c>
      <c r="M16" s="9" t="str">
        <f>IFERROR(__xludf.DUMMYFUNCTION("""COMPUTED_VALUE"""),"#REF!")</f>
        <v>#REF!</v>
      </c>
      <c r="N16" s="3" t="str">
        <f>IFERROR(__xludf.DUMMYFUNCTION("""COMPUTED_VALUE"""),"")</f>
        <v/>
      </c>
      <c r="O16" s="3" t="str">
        <f>IFERROR(__xludf.DUMMYFUNCTION("""COMPUTED_VALUE"""),"")</f>
        <v/>
      </c>
      <c r="P16" s="9" t="b">
        <f>IFERROR(__xludf.DUMMYFUNCTION("""COMPUTED_VALUE"""),FALSE)</f>
        <v>0</v>
      </c>
      <c r="Q16" s="10" t="str">
        <f>IFERROR(__xludf.DUMMYFUNCTION("""COMPUTED_VALUE"""),"")</f>
        <v/>
      </c>
      <c r="R16" s="11" t="str">
        <f>IFERROR(__xludf.DUMMYFUNCTION("""COMPUTED_VALUE"""),"https://drive.google.com/file/d/1tGUj_oUhi3WZaOwV1aMfNe_8hVx6qBr1/view?usp=drivesdk")</f>
        <v>https://drive.google.com/file/d/1tGUj_oUhi3WZaOwV1aMfNe_8hVx6qBr1/view?usp=drivesdk</v>
      </c>
      <c r="S16" s="1" t="str">
        <f t="shared" si="2"/>
        <v/>
      </c>
      <c r="T16" s="1" t="str">
        <f t="shared" si="3"/>
        <v/>
      </c>
      <c r="U16" s="1" t="str">
        <f t="shared" si="4"/>
        <v/>
      </c>
      <c r="V16" s="1"/>
      <c r="W16" s="1"/>
      <c r="X16" s="1"/>
      <c r="Y16" s="1"/>
      <c r="Z16" s="8"/>
      <c r="AA16" s="1"/>
      <c r="AB16" s="1"/>
      <c r="AC16" s="1"/>
      <c r="AD16" s="1"/>
      <c r="AE16" s="1"/>
      <c r="AF16" s="1"/>
      <c r="AG16" s="1"/>
      <c r="AH16" s="1" t="str">
        <f t="shared" si="1"/>
        <v/>
      </c>
      <c r="AI16" s="1"/>
    </row>
    <row r="17">
      <c r="A17" s="5">
        <f>IFERROR(__xludf.DUMMYFUNCTION("""COMPUTED_VALUE"""),44995.0)</f>
        <v>44995</v>
      </c>
      <c r="B17" s="1"/>
      <c r="C17" s="6" t="str">
        <f>IFERROR(__xludf.DUMMYFUNCTION("""COMPUTED_VALUE"""),"BOGOTÁ")</f>
        <v>BOGOTÁ</v>
      </c>
      <c r="D17" s="6" t="str">
        <f>IFERROR(__xludf.DUMMYFUNCTION("""COMPUTED_VALUE"""),"MEDELLÍN")</f>
        <v>MEDELLÍN</v>
      </c>
      <c r="E17" s="6" t="str">
        <f>IFERROR(__xludf.DUMMYFUNCTION("""COMPUTED_VALUE"""),"Rambla")</f>
        <v>Rambla</v>
      </c>
      <c r="F17" s="1" t="str">
        <f>IFERROR(__xludf.DUMMYFUNCTION("""COMPUTED_VALUE"""),"Calle 95# 71-11 bloque 1 apto 801 parque central Pontevedra 3  / na / na")</f>
        <v>Calle 95# 71-11 bloque 1 apto 801 parque central Pontevedra 3  / na / na</v>
      </c>
      <c r="G17" s="6" t="str">
        <f>IFERROR(__xludf.DUMMYFUNCTION("""COMPUTED_VALUE"""),"Marcela Delgado")</f>
        <v>Marcela Delgado</v>
      </c>
      <c r="H17" s="7">
        <f>IFERROR(__xludf.DUMMYFUNCTION("""COMPUTED_VALUE"""),8757.0)</f>
        <v>8757</v>
      </c>
      <c r="I17" s="7">
        <f>IFERROR(__xludf.DUMMYFUNCTION("""COMPUTED_VALUE"""),12.0)</f>
        <v>12</v>
      </c>
      <c r="J17" s="7">
        <f>IFERROR(__xludf.DUMMYFUNCTION("""COMPUTED_VALUE"""),13.0)</f>
        <v>13</v>
      </c>
      <c r="K17" s="7">
        <f>IFERROR(__xludf.DUMMYFUNCTION("""COMPUTED_VALUE"""),15.0)</f>
        <v>15</v>
      </c>
      <c r="L17" s="8">
        <f>IFERROR(__xludf.DUMMYFUNCTION("""COMPUTED_VALUE"""),3.16691461E9)</f>
        <v>3166914610</v>
      </c>
      <c r="M17" s="9" t="str">
        <f>IFERROR(__xludf.DUMMYFUNCTION("""COMPUTED_VALUE"""),"#REF!")</f>
        <v>#REF!</v>
      </c>
      <c r="N17" s="3" t="str">
        <f>IFERROR(__xludf.DUMMYFUNCTION("""COMPUTED_VALUE"""),"")</f>
        <v/>
      </c>
      <c r="O17" s="3" t="str">
        <f>IFERROR(__xludf.DUMMYFUNCTION("""COMPUTED_VALUE"""),"")</f>
        <v/>
      </c>
      <c r="P17" s="9" t="b">
        <f>IFERROR(__xludf.DUMMYFUNCTION("""COMPUTED_VALUE"""),FALSE)</f>
        <v>0</v>
      </c>
      <c r="Q17" s="10" t="str">
        <f>IFERROR(__xludf.DUMMYFUNCTION("""COMPUTED_VALUE"""),"")</f>
        <v/>
      </c>
      <c r="R17" s="11" t="str">
        <f>IFERROR(__xludf.DUMMYFUNCTION("""COMPUTED_VALUE"""),"https://drive.google.com/file/d/1-8RZZ67aglPKjbaqxp6f_BiT5JfIaQ9C/view?usp=drivesdk")</f>
        <v>https://drive.google.com/file/d/1-8RZZ67aglPKjbaqxp6f_BiT5JfIaQ9C/view?usp=drivesdk</v>
      </c>
      <c r="S17" s="1" t="str">
        <f t="shared" si="2"/>
        <v/>
      </c>
      <c r="T17" s="1" t="str">
        <f t="shared" si="3"/>
        <v/>
      </c>
      <c r="U17" s="1" t="str">
        <f t="shared" si="4"/>
        <v/>
      </c>
      <c r="V17" s="1"/>
      <c r="W17" s="1"/>
      <c r="X17" s="1"/>
      <c r="Y17" s="1"/>
      <c r="Z17" s="8"/>
      <c r="AA17" s="1"/>
      <c r="AB17" s="1"/>
      <c r="AC17" s="1"/>
      <c r="AD17" s="1"/>
      <c r="AE17" s="1"/>
      <c r="AF17" s="1"/>
      <c r="AG17" s="1"/>
      <c r="AH17" s="1" t="str">
        <f t="shared" si="1"/>
        <v/>
      </c>
      <c r="AI17" s="1"/>
    </row>
    <row r="18">
      <c r="A18" s="5">
        <f>IFERROR(__xludf.DUMMYFUNCTION("""COMPUTED_VALUE"""),44995.0)</f>
        <v>44995</v>
      </c>
      <c r="B18" s="1"/>
      <c r="C18" s="6" t="str">
        <f>IFERROR(__xludf.DUMMYFUNCTION("""COMPUTED_VALUE"""),"BOGOTÁ")</f>
        <v>BOGOTÁ</v>
      </c>
      <c r="D18" s="6" t="str">
        <f>IFERROR(__xludf.DUMMYFUNCTION("""COMPUTED_VALUE"""),"MEDELLÍN")</f>
        <v>MEDELLÍN</v>
      </c>
      <c r="E18" s="6" t="str">
        <f>IFERROR(__xludf.DUMMYFUNCTION("""COMPUTED_VALUE"""),"Rambla")</f>
        <v>Rambla</v>
      </c>
      <c r="F18" s="1" t="str">
        <f>IFERROR(__xludf.DUMMYFUNCTION("""COMPUTED_VALUE"""),"Carrera 12c #151-35 interior 10 apartamento 201, Bogotá, barrio cedritos,  / na / na")</f>
        <v>Carrera 12c #151-35 interior 10 apartamento 201, Bogotá, barrio cedritos,  / na / na</v>
      </c>
      <c r="G18" s="6" t="str">
        <f>IFERROR(__xludf.DUMMYFUNCTION("""COMPUTED_VALUE"""),"Margehrita Omarini")</f>
        <v>Margehrita Omarini</v>
      </c>
      <c r="H18" s="7">
        <f>IFERROR(__xludf.DUMMYFUNCTION("""COMPUTED_VALUE"""),8742.0)</f>
        <v>8742</v>
      </c>
      <c r="I18" s="7">
        <f>IFERROR(__xludf.DUMMYFUNCTION("""COMPUTED_VALUE"""),22.0)</f>
        <v>22</v>
      </c>
      <c r="J18" s="7">
        <f>IFERROR(__xludf.DUMMYFUNCTION("""COMPUTED_VALUE"""),25.0)</f>
        <v>25</v>
      </c>
      <c r="K18" s="7">
        <f>IFERROR(__xludf.DUMMYFUNCTION("""COMPUTED_VALUE"""),28.0)</f>
        <v>28</v>
      </c>
      <c r="L18" s="8">
        <f>IFERROR(__xludf.DUMMYFUNCTION("""COMPUTED_VALUE"""),3.102977449E9)</f>
        <v>3102977449</v>
      </c>
      <c r="M18" s="9" t="str">
        <f>IFERROR(__xludf.DUMMYFUNCTION("""COMPUTED_VALUE"""),"#REF!")</f>
        <v>#REF!</v>
      </c>
      <c r="N18" s="3" t="str">
        <f>IFERROR(__xludf.DUMMYFUNCTION("""COMPUTED_VALUE"""),"")</f>
        <v/>
      </c>
      <c r="O18" s="3" t="str">
        <f>IFERROR(__xludf.DUMMYFUNCTION("""COMPUTED_VALUE"""),"")</f>
        <v/>
      </c>
      <c r="P18" s="9" t="b">
        <f>IFERROR(__xludf.DUMMYFUNCTION("""COMPUTED_VALUE"""),FALSE)</f>
        <v>0</v>
      </c>
      <c r="Q18" s="10" t="str">
        <f>IFERROR(__xludf.DUMMYFUNCTION("""COMPUTED_VALUE"""),"")</f>
        <v/>
      </c>
      <c r="R18" s="11" t="str">
        <f>IFERROR(__xludf.DUMMYFUNCTION("""COMPUTED_VALUE"""),"https://drive.google.com/file/d/1hMjcA6cDjrx3y8Mk9pz-ijDUn0GztI4L/view?usp=drivesdk")</f>
        <v>https://drive.google.com/file/d/1hMjcA6cDjrx3y8Mk9pz-ijDUn0GztI4L/view?usp=drivesdk</v>
      </c>
      <c r="S18" s="1" t="str">
        <f t="shared" si="2"/>
        <v/>
      </c>
      <c r="T18" s="1" t="str">
        <f t="shared" si="3"/>
        <v/>
      </c>
      <c r="U18" s="1" t="str">
        <f t="shared" si="4"/>
        <v/>
      </c>
      <c r="V18" s="1"/>
      <c r="W18" s="1"/>
      <c r="X18" s="1"/>
      <c r="Y18" s="1"/>
      <c r="Z18" s="8"/>
      <c r="AA18" s="1"/>
      <c r="AB18" s="1"/>
      <c r="AC18" s="1"/>
      <c r="AD18" s="1"/>
      <c r="AE18" s="1"/>
      <c r="AF18" s="1"/>
      <c r="AG18" s="1"/>
      <c r="AH18" s="1" t="str">
        <f t="shared" si="1"/>
        <v/>
      </c>
      <c r="AI18" s="1"/>
    </row>
    <row r="19">
      <c r="A19" s="5">
        <f>IFERROR(__xludf.DUMMYFUNCTION("""COMPUTED_VALUE"""),44995.0)</f>
        <v>44995</v>
      </c>
      <c r="B19" s="1"/>
      <c r="C19" s="6" t="str">
        <f>IFERROR(__xludf.DUMMYFUNCTION("""COMPUTED_VALUE"""),"BOGOTÁ")</f>
        <v>BOGOTÁ</v>
      </c>
      <c r="D19" s="6" t="str">
        <f>IFERROR(__xludf.DUMMYFUNCTION("""COMPUTED_VALUE"""),"MEDELLÍN")</f>
        <v>MEDELLÍN</v>
      </c>
      <c r="E19" s="6" t="str">
        <f>IFERROR(__xludf.DUMMYFUNCTION("""COMPUTED_VALUE"""),"Rambla")</f>
        <v>Rambla</v>
      </c>
      <c r="F19" s="1" t="str">
        <f>IFERROR(__xludf.DUMMYFUNCTION("""COMPUTED_VALUE"""),"CLL 109 N° 18 - 36 / na / na")</f>
        <v>CLL 109 N° 18 - 36 / na / na</v>
      </c>
      <c r="G19" s="6" t="str">
        <f>IFERROR(__xludf.DUMMYFUNCTION("""COMPUTED_VALUE"""),"Gastronomy 109")</f>
        <v>Gastronomy 109</v>
      </c>
      <c r="H19" s="7">
        <f>IFERROR(__xludf.DUMMYFUNCTION("""COMPUTED_VALUE"""),8736.0)</f>
        <v>8736</v>
      </c>
      <c r="I19" s="7">
        <f>IFERROR(__xludf.DUMMYFUNCTION("""COMPUTED_VALUE"""),22.0)</f>
        <v>22</v>
      </c>
      <c r="J19" s="7">
        <f>IFERROR(__xludf.DUMMYFUNCTION("""COMPUTED_VALUE"""),25.0)</f>
        <v>25</v>
      </c>
      <c r="K19" s="7">
        <f>IFERROR(__xludf.DUMMYFUNCTION("""COMPUTED_VALUE"""),28.0)</f>
        <v>28</v>
      </c>
      <c r="L19" s="8">
        <f>IFERROR(__xludf.DUMMYFUNCTION("""COMPUTED_VALUE"""),3.214690579E9)</f>
        <v>3214690579</v>
      </c>
      <c r="M19" s="9" t="str">
        <f>IFERROR(__xludf.DUMMYFUNCTION("""COMPUTED_VALUE"""),"#REF!")</f>
        <v>#REF!</v>
      </c>
      <c r="N19" s="3" t="str">
        <f>IFERROR(__xludf.DUMMYFUNCTION("""COMPUTED_VALUE"""),"")</f>
        <v/>
      </c>
      <c r="O19" s="3" t="str">
        <f>IFERROR(__xludf.DUMMYFUNCTION("""COMPUTED_VALUE"""),"")</f>
        <v/>
      </c>
      <c r="P19" s="9" t="b">
        <f>IFERROR(__xludf.DUMMYFUNCTION("""COMPUTED_VALUE"""),FALSE)</f>
        <v>0</v>
      </c>
      <c r="Q19" s="10" t="str">
        <f>IFERROR(__xludf.DUMMYFUNCTION("""COMPUTED_VALUE"""),"")</f>
        <v/>
      </c>
      <c r="R19" s="11" t="str">
        <f>IFERROR(__xludf.DUMMYFUNCTION("""COMPUTED_VALUE"""),"https://drive.google.com/file/d/1mvD3Gabfjl3t5YUIm-f128DPmLW0MqqK/view?usp=drivesdk")</f>
        <v>https://drive.google.com/file/d/1mvD3Gabfjl3t5YUIm-f128DPmLW0MqqK/view?usp=drivesdk</v>
      </c>
      <c r="S19" s="1" t="str">
        <f t="shared" si="2"/>
        <v/>
      </c>
      <c r="T19" s="1" t="str">
        <f t="shared" si="3"/>
        <v/>
      </c>
      <c r="U19" s="1" t="str">
        <f t="shared" si="4"/>
        <v/>
      </c>
      <c r="V19" s="1"/>
      <c r="W19" s="1"/>
      <c r="X19" s="1"/>
      <c r="Y19" s="1"/>
      <c r="Z19" s="8"/>
      <c r="AA19" s="1"/>
      <c r="AB19" s="1"/>
      <c r="AC19" s="1"/>
      <c r="AD19" s="1"/>
      <c r="AE19" s="1"/>
      <c r="AF19" s="1"/>
      <c r="AG19" s="1"/>
      <c r="AH19" s="1" t="str">
        <f t="shared" si="1"/>
        <v/>
      </c>
      <c r="AI19" s="1"/>
    </row>
    <row r="20">
      <c r="A20" s="5">
        <f>IFERROR(__xludf.DUMMYFUNCTION("""COMPUTED_VALUE"""),44995.0)</f>
        <v>44995</v>
      </c>
      <c r="B20" s="1"/>
      <c r="C20" s="6" t="str">
        <f>IFERROR(__xludf.DUMMYFUNCTION("""COMPUTED_VALUE"""),"BOGOTÁ")</f>
        <v>BOGOTÁ</v>
      </c>
      <c r="D20" s="6" t="str">
        <f>IFERROR(__xludf.DUMMYFUNCTION("""COMPUTED_VALUE"""),"MEDELLÍN")</f>
        <v>MEDELLÍN</v>
      </c>
      <c r="E20" s="6" t="str">
        <f>IFERROR(__xludf.DUMMYFUNCTION("""COMPUTED_VALUE"""),"Rambla")</f>
        <v>Rambla</v>
      </c>
      <c r="F20" s="1" t="str">
        <f>IFERROR(__xludf.DUMMYFUNCTION("""COMPUTED_VALUE"""),"CLL 72 # 15 - 22  / na / na")</f>
        <v>CLL 72 # 15 - 22  / na / na</v>
      </c>
      <c r="G20" s="6" t="str">
        <f>IFERROR(__xludf.DUMMYFUNCTION("""COMPUTED_VALUE"""),"Gastronomy Rosales")</f>
        <v>Gastronomy Rosales</v>
      </c>
      <c r="H20" s="7">
        <f>IFERROR(__xludf.DUMMYFUNCTION("""COMPUTED_VALUE"""),8737.0)</f>
        <v>8737</v>
      </c>
      <c r="I20" s="7">
        <f>IFERROR(__xludf.DUMMYFUNCTION("""COMPUTED_VALUE"""),22.0)</f>
        <v>22</v>
      </c>
      <c r="J20" s="7">
        <f>IFERROR(__xludf.DUMMYFUNCTION("""COMPUTED_VALUE"""),25.0)</f>
        <v>25</v>
      </c>
      <c r="K20" s="7">
        <f>IFERROR(__xludf.DUMMYFUNCTION("""COMPUTED_VALUE"""),28.0)</f>
        <v>28</v>
      </c>
      <c r="L20" s="8">
        <f>IFERROR(__xludf.DUMMYFUNCTION("""COMPUTED_VALUE"""),3.214690579E9)</f>
        <v>3214690579</v>
      </c>
      <c r="M20" s="9" t="str">
        <f>IFERROR(__xludf.DUMMYFUNCTION("""COMPUTED_VALUE"""),"#REF!")</f>
        <v>#REF!</v>
      </c>
      <c r="N20" s="3" t="str">
        <f>IFERROR(__xludf.DUMMYFUNCTION("""COMPUTED_VALUE"""),"")</f>
        <v/>
      </c>
      <c r="O20" s="3" t="str">
        <f>IFERROR(__xludf.DUMMYFUNCTION("""COMPUTED_VALUE"""),"")</f>
        <v/>
      </c>
      <c r="P20" s="9" t="b">
        <f>IFERROR(__xludf.DUMMYFUNCTION("""COMPUTED_VALUE"""),FALSE)</f>
        <v>0</v>
      </c>
      <c r="Q20" s="10" t="str">
        <f>IFERROR(__xludf.DUMMYFUNCTION("""COMPUTED_VALUE"""),"")</f>
        <v/>
      </c>
      <c r="R20" s="11" t="str">
        <f>IFERROR(__xludf.DUMMYFUNCTION("""COMPUTED_VALUE"""),"https://drive.google.com/file/d/1La6Sav70KNNQC4Ux64YTf58BzL3Pokst/view?usp=drivesdk")</f>
        <v>https://drive.google.com/file/d/1La6Sav70KNNQC4Ux64YTf58BzL3Pokst/view?usp=drivesdk</v>
      </c>
      <c r="S20" s="1" t="str">
        <f t="shared" si="2"/>
        <v/>
      </c>
      <c r="T20" s="1" t="str">
        <f t="shared" si="3"/>
        <v/>
      </c>
      <c r="U20" s="1" t="str">
        <f t="shared" si="4"/>
        <v/>
      </c>
      <c r="V20" s="1"/>
      <c r="W20" s="1"/>
      <c r="X20" s="1"/>
      <c r="Y20" s="1"/>
      <c r="Z20" s="8"/>
      <c r="AA20" s="1"/>
      <c r="AB20" s="1"/>
      <c r="AC20" s="1"/>
      <c r="AD20" s="1"/>
      <c r="AE20" s="1"/>
      <c r="AF20" s="1"/>
      <c r="AG20" s="1"/>
      <c r="AH20" s="1" t="str">
        <f t="shared" si="1"/>
        <v/>
      </c>
      <c r="AI20" s="1"/>
    </row>
    <row r="21">
      <c r="A21" s="5">
        <f>IFERROR(__xludf.DUMMYFUNCTION("""COMPUTED_VALUE"""),44995.0)</f>
        <v>44995</v>
      </c>
      <c r="B21" s="1"/>
      <c r="C21" s="6" t="str">
        <f>IFERROR(__xludf.DUMMYFUNCTION("""COMPUTED_VALUE"""),"BOGOTÁ")</f>
        <v>BOGOTÁ</v>
      </c>
      <c r="D21" s="6" t="str">
        <f>IFERROR(__xludf.DUMMYFUNCTION("""COMPUTED_VALUE"""),"MEDELLÍN")</f>
        <v>MEDELLÍN</v>
      </c>
      <c r="E21" s="6" t="str">
        <f>IFERROR(__xludf.DUMMYFUNCTION("""COMPUTED_VALUE"""),"Rambla")</f>
        <v>Rambla</v>
      </c>
      <c r="F21" s="1" t="str">
        <f>IFERROR(__xludf.DUMMYFUNCTION("""COMPUTED_VALUE"""),"CRA 13 N° 93b – 51 LOCAL 2     / na / na")</f>
        <v>CRA 13 N° 93b – 51 LOCAL 2     / na / na</v>
      </c>
      <c r="G21" s="6" t="str">
        <f>IFERROR(__xludf.DUMMYFUNCTION("""COMPUTED_VALUE"""),"Gastronomy Parque 93")</f>
        <v>Gastronomy Parque 93</v>
      </c>
      <c r="H21" s="7">
        <f>IFERROR(__xludf.DUMMYFUNCTION("""COMPUTED_VALUE"""),8735.0)</f>
        <v>8735</v>
      </c>
      <c r="I21" s="7">
        <f>IFERROR(__xludf.DUMMYFUNCTION("""COMPUTED_VALUE"""),22.0)</f>
        <v>22</v>
      </c>
      <c r="J21" s="7">
        <f>IFERROR(__xludf.DUMMYFUNCTION("""COMPUTED_VALUE"""),25.0)</f>
        <v>25</v>
      </c>
      <c r="K21" s="7">
        <f>IFERROR(__xludf.DUMMYFUNCTION("""COMPUTED_VALUE"""),28.0)</f>
        <v>28</v>
      </c>
      <c r="L21" s="8">
        <f>IFERROR(__xludf.DUMMYFUNCTION("""COMPUTED_VALUE"""),3.214690579E9)</f>
        <v>3214690579</v>
      </c>
      <c r="M21" s="9" t="str">
        <f>IFERROR(__xludf.DUMMYFUNCTION("""COMPUTED_VALUE"""),"#REF!")</f>
        <v>#REF!</v>
      </c>
      <c r="N21" s="3" t="str">
        <f>IFERROR(__xludf.DUMMYFUNCTION("""COMPUTED_VALUE"""),"")</f>
        <v/>
      </c>
      <c r="O21" s="3" t="str">
        <f>IFERROR(__xludf.DUMMYFUNCTION("""COMPUTED_VALUE"""),"")</f>
        <v/>
      </c>
      <c r="P21" s="9" t="b">
        <f>IFERROR(__xludf.DUMMYFUNCTION("""COMPUTED_VALUE"""),FALSE)</f>
        <v>0</v>
      </c>
      <c r="Q21" s="10" t="str">
        <f>IFERROR(__xludf.DUMMYFUNCTION("""COMPUTED_VALUE"""),"")</f>
        <v/>
      </c>
      <c r="R21" s="12" t="str">
        <f>IFERROR(__xludf.DUMMYFUNCTION("""COMPUTED_VALUE"""),"")</f>
        <v/>
      </c>
      <c r="S21" s="1" t="str">
        <f t="shared" si="2"/>
        <v/>
      </c>
      <c r="T21" s="1" t="str">
        <f t="shared" si="3"/>
        <v/>
      </c>
      <c r="U21" s="1" t="str">
        <f t="shared" si="4"/>
        <v/>
      </c>
      <c r="V21" s="1"/>
      <c r="W21" s="1"/>
      <c r="X21" s="1"/>
      <c r="Y21" s="1"/>
      <c r="Z21" s="8"/>
      <c r="AA21" s="1"/>
      <c r="AB21" s="1"/>
      <c r="AC21" s="1"/>
      <c r="AD21" s="1"/>
      <c r="AE21" s="1"/>
      <c r="AF21" s="1"/>
      <c r="AG21" s="1"/>
      <c r="AH21" s="1" t="str">
        <f t="shared" si="1"/>
        <v/>
      </c>
      <c r="AI21" s="1"/>
    </row>
    <row r="22">
      <c r="A22" s="5">
        <f>IFERROR(__xludf.DUMMYFUNCTION("""COMPUTED_VALUE"""),44995.0)</f>
        <v>44995</v>
      </c>
      <c r="B22" s="1"/>
      <c r="C22" s="6" t="str">
        <f>IFERROR(__xludf.DUMMYFUNCTION("""COMPUTED_VALUE"""),"BOGOTÁ")</f>
        <v>BOGOTÁ</v>
      </c>
      <c r="D22" s="6" t="str">
        <f>IFERROR(__xludf.DUMMYFUNCTION("""COMPUTED_VALUE"""),"MEDELLÍN")</f>
        <v>MEDELLÍN</v>
      </c>
      <c r="E22" s="6" t="str">
        <f>IFERROR(__xludf.DUMMYFUNCTION("""COMPUTED_VALUE"""),"Rambla")</f>
        <v>Rambla</v>
      </c>
      <c r="F22" s="1" t="str">
        <f>IFERROR(__xludf.DUMMYFUNCTION("""COMPUTED_VALUE"""),"Cra 21 # 169 30  - Encargada Claudia Rodriguez / na / na")</f>
        <v>Cra 21 # 169 30  - Encargada Claudia Rodriguez / na / na</v>
      </c>
      <c r="G22" s="6" t="str">
        <f>IFERROR(__xludf.DUMMYFUNCTION("""COMPUTED_VALUE"""),"Fitcook - Mary Mendez")</f>
        <v>Fitcook - Mary Mendez</v>
      </c>
      <c r="H22" s="7">
        <f>IFERROR(__xludf.DUMMYFUNCTION("""COMPUTED_VALUE"""),8743.0)</f>
        <v>8743</v>
      </c>
      <c r="I22" s="7">
        <f>IFERROR(__xludf.DUMMYFUNCTION("""COMPUTED_VALUE"""),22.0)</f>
        <v>22</v>
      </c>
      <c r="J22" s="7">
        <f>IFERROR(__xludf.DUMMYFUNCTION("""COMPUTED_VALUE"""),25.0)</f>
        <v>25</v>
      </c>
      <c r="K22" s="7">
        <f>IFERROR(__xludf.DUMMYFUNCTION("""COMPUTED_VALUE"""),28.0)</f>
        <v>28</v>
      </c>
      <c r="L22" s="8">
        <f>IFERROR(__xludf.DUMMYFUNCTION("""COMPUTED_VALUE"""),3.505306579E9)</f>
        <v>3505306579</v>
      </c>
      <c r="M22" s="9" t="str">
        <f>IFERROR(__xludf.DUMMYFUNCTION("""COMPUTED_VALUE"""),"#REF!")</f>
        <v>#REF!</v>
      </c>
      <c r="N22" s="3" t="str">
        <f>IFERROR(__xludf.DUMMYFUNCTION("""COMPUTED_VALUE"""),"")</f>
        <v/>
      </c>
      <c r="O22" s="3" t="str">
        <f>IFERROR(__xludf.DUMMYFUNCTION("""COMPUTED_VALUE"""),"")</f>
        <v/>
      </c>
      <c r="P22" s="9" t="b">
        <f>IFERROR(__xludf.DUMMYFUNCTION("""COMPUTED_VALUE"""),FALSE)</f>
        <v>0</v>
      </c>
      <c r="Q22" s="10" t="str">
        <f>IFERROR(__xludf.DUMMYFUNCTION("""COMPUTED_VALUE"""),"")</f>
        <v/>
      </c>
      <c r="R22" s="11" t="str">
        <f>IFERROR(__xludf.DUMMYFUNCTION("""COMPUTED_VALUE"""),"https://drive.google.com/file/d/1QbHbRagU-H00YYGBmHaK1iUJPZCCX8PZ/view?usp=drivesdk")</f>
        <v>https://drive.google.com/file/d/1QbHbRagU-H00YYGBmHaK1iUJPZCCX8PZ/view?usp=drivesdk</v>
      </c>
      <c r="S22" s="1" t="str">
        <f t="shared" si="2"/>
        <v/>
      </c>
      <c r="T22" s="1" t="str">
        <f t="shared" si="3"/>
        <v/>
      </c>
      <c r="U22" s="1" t="str">
        <f t="shared" si="4"/>
        <v/>
      </c>
      <c r="V22" s="1"/>
      <c r="W22" s="1"/>
      <c r="X22" s="1"/>
      <c r="Y22" s="1"/>
      <c r="Z22" s="8"/>
      <c r="AA22" s="1"/>
      <c r="AB22" s="1"/>
      <c r="AC22" s="1"/>
      <c r="AD22" s="1"/>
      <c r="AE22" s="1"/>
      <c r="AF22" s="1"/>
      <c r="AG22" s="1"/>
      <c r="AH22" s="1" t="str">
        <f t="shared" si="1"/>
        <v/>
      </c>
      <c r="AI22" s="1"/>
    </row>
    <row r="23">
      <c r="A23" s="5">
        <f>IFERROR(__xludf.DUMMYFUNCTION("""COMPUTED_VALUE"""),44995.0)</f>
        <v>44995</v>
      </c>
      <c r="B23" s="1"/>
      <c r="C23" s="6" t="str">
        <f>IFERROR(__xludf.DUMMYFUNCTION("""COMPUTED_VALUE"""),"BOGOTÁ")</f>
        <v>BOGOTÁ</v>
      </c>
      <c r="D23" s="6" t="str">
        <f>IFERROR(__xludf.DUMMYFUNCTION("""COMPUTED_VALUE"""),"MEDELLÍN")</f>
        <v>MEDELLÍN</v>
      </c>
      <c r="E23" s="6" t="str">
        <f>IFERROR(__xludf.DUMMYFUNCTION("""COMPUTED_VALUE"""),"Rambla")</f>
        <v>Rambla</v>
      </c>
      <c r="F23" s="1" t="str">
        <f>IFERROR(__xludf.DUMMYFUNCTION("""COMPUTED_VALUE"""),"Cra 7 N° 124 - 97 Local 5 / na / na")</f>
        <v>Cra 7 N° 124 - 97 Local 5 / na / na</v>
      </c>
      <c r="G23" s="6" t="str">
        <f>IFERROR(__xludf.DUMMYFUNCTION("""COMPUTED_VALUE"""),"Gastronomy Usaquen")</f>
        <v>Gastronomy Usaquen</v>
      </c>
      <c r="H23" s="7">
        <f>IFERROR(__xludf.DUMMYFUNCTION("""COMPUTED_VALUE"""),8738.0)</f>
        <v>8738</v>
      </c>
      <c r="I23" s="7">
        <f>IFERROR(__xludf.DUMMYFUNCTION("""COMPUTED_VALUE"""),22.0)</f>
        <v>22</v>
      </c>
      <c r="J23" s="7">
        <f>IFERROR(__xludf.DUMMYFUNCTION("""COMPUTED_VALUE"""),25.0)</f>
        <v>25</v>
      </c>
      <c r="K23" s="7">
        <f>IFERROR(__xludf.DUMMYFUNCTION("""COMPUTED_VALUE"""),28.0)</f>
        <v>28</v>
      </c>
      <c r="L23" s="8">
        <f>IFERROR(__xludf.DUMMYFUNCTION("""COMPUTED_VALUE"""),3.214690579E9)</f>
        <v>3214690579</v>
      </c>
      <c r="M23" s="9" t="str">
        <f>IFERROR(__xludf.DUMMYFUNCTION("""COMPUTED_VALUE"""),"#REF!")</f>
        <v>#REF!</v>
      </c>
      <c r="N23" s="3" t="str">
        <f>IFERROR(__xludf.DUMMYFUNCTION("""COMPUTED_VALUE"""),"")</f>
        <v/>
      </c>
      <c r="O23" s="3" t="str">
        <f>IFERROR(__xludf.DUMMYFUNCTION("""COMPUTED_VALUE"""),"")</f>
        <v/>
      </c>
      <c r="P23" s="9" t="b">
        <f>IFERROR(__xludf.DUMMYFUNCTION("""COMPUTED_VALUE"""),FALSE)</f>
        <v>0</v>
      </c>
      <c r="Q23" s="10" t="str">
        <f>IFERROR(__xludf.DUMMYFUNCTION("""COMPUTED_VALUE"""),"")</f>
        <v/>
      </c>
      <c r="R23" s="11" t="str">
        <f>IFERROR(__xludf.DUMMYFUNCTION("""COMPUTED_VALUE"""),"https://drive.google.com/file/d/1LBBgP7JmmQZugiz0LDMYuNv1v5b2afsl/view?usp=drivesdk")</f>
        <v>https://drive.google.com/file/d/1LBBgP7JmmQZugiz0LDMYuNv1v5b2afsl/view?usp=drivesdk</v>
      </c>
      <c r="S23" s="1" t="str">
        <f t="shared" si="2"/>
        <v/>
      </c>
      <c r="T23" s="1" t="str">
        <f t="shared" si="3"/>
        <v/>
      </c>
      <c r="U23" s="1" t="str">
        <f t="shared" si="4"/>
        <v/>
      </c>
      <c r="V23" s="1"/>
      <c r="W23" s="1"/>
      <c r="X23" s="1"/>
      <c r="Y23" s="1"/>
      <c r="Z23" s="8"/>
      <c r="AA23" s="1"/>
      <c r="AB23" s="1"/>
      <c r="AC23" s="1"/>
      <c r="AD23" s="1"/>
      <c r="AE23" s="1"/>
      <c r="AF23" s="1"/>
      <c r="AG23" s="1"/>
      <c r="AH23" s="1" t="str">
        <f t="shared" si="1"/>
        <v/>
      </c>
      <c r="AI23" s="1"/>
    </row>
    <row r="24">
      <c r="A24" s="5">
        <f>IFERROR(__xludf.DUMMYFUNCTION("""COMPUTED_VALUE"""),44995.0)</f>
        <v>44995</v>
      </c>
      <c r="B24" s="1"/>
      <c r="C24" s="6" t="str">
        <f>IFERROR(__xludf.DUMMYFUNCTION("""COMPUTED_VALUE"""),"CALI")</f>
        <v>CALI</v>
      </c>
      <c r="D24" s="6" t="str">
        <f>IFERROR(__xludf.DUMMYFUNCTION("""COMPUTED_VALUE"""),"BOGOTÁ")</f>
        <v>BOGOTÁ</v>
      </c>
      <c r="E24" s="6" t="str">
        <f>IFERROR(__xludf.DUMMYFUNCTION("""COMPUTED_VALUE"""),"Renata")</f>
        <v>Renata</v>
      </c>
      <c r="F24" s="1" t="str">
        <f>IFERROR(__xludf.DUMMYFUNCTION("""COMPUTED_VALUE"""),"Carrera 3#3a-83 / Patio 34 food containers -restaurante  / San Fernando")</f>
        <v>Carrera 3#3a-83 / Patio 34 food containers -restaurante  / San Fernando</v>
      </c>
      <c r="G24" s="6" t="str">
        <f>IFERROR(__xludf.DUMMYFUNCTION("""COMPUTED_VALUE"""),"Retaco sas")</f>
        <v>Retaco sas</v>
      </c>
      <c r="H24" s="7">
        <f>IFERROR(__xludf.DUMMYFUNCTION("""COMPUTED_VALUE"""),8749.0)</f>
        <v>8749</v>
      </c>
      <c r="I24" s="7">
        <f>IFERROR(__xludf.DUMMYFUNCTION("""COMPUTED_VALUE"""),100.0)</f>
        <v>100</v>
      </c>
      <c r="J24" s="7">
        <f>IFERROR(__xludf.DUMMYFUNCTION("""COMPUTED_VALUE"""),10.0)</f>
        <v>10</v>
      </c>
      <c r="K24" s="7">
        <f>IFERROR(__xludf.DUMMYFUNCTION("""COMPUTED_VALUE"""),5909085.0)</f>
        <v>5909085</v>
      </c>
      <c r="L24" s="8">
        <f>IFERROR(__xludf.DUMMYFUNCTION("""COMPUTED_VALUE"""),3.144720976E9)</f>
        <v>3144720976</v>
      </c>
      <c r="M24" s="9" t="str">
        <f>IFERROR(__xludf.DUMMYFUNCTION("""COMPUTED_VALUE"""),"#REF!")</f>
        <v>#REF!</v>
      </c>
      <c r="N24" s="3" t="str">
        <f>IFERROR(__xludf.DUMMYFUNCTION("""COMPUTED_VALUE"""),"")</f>
        <v/>
      </c>
      <c r="O24" s="3" t="str">
        <f>IFERROR(__xludf.DUMMYFUNCTION("""COMPUTED_VALUE"""),"")</f>
        <v/>
      </c>
      <c r="P24" s="9" t="b">
        <f>IFERROR(__xludf.DUMMYFUNCTION("""COMPUTED_VALUE"""),FALSE)</f>
        <v>0</v>
      </c>
      <c r="Q24" s="10" t="str">
        <f>IFERROR(__xludf.DUMMYFUNCTION("""COMPUTED_VALUE"""),"")</f>
        <v/>
      </c>
      <c r="R24" s="12" t="str">
        <f>IFERROR(__xludf.DUMMYFUNCTION("""COMPUTED_VALUE"""),"")</f>
        <v/>
      </c>
      <c r="S24" s="1" t="str">
        <f t="shared" si="2"/>
        <v/>
      </c>
      <c r="T24" s="1" t="str">
        <f t="shared" si="3"/>
        <v/>
      </c>
      <c r="U24" s="1" t="str">
        <f t="shared" si="4"/>
        <v/>
      </c>
      <c r="V24" s="1"/>
      <c r="W24" s="1"/>
      <c r="X24" s="1"/>
      <c r="Y24" s="1"/>
      <c r="Z24" s="8"/>
      <c r="AA24" s="1"/>
      <c r="AB24" s="1"/>
      <c r="AC24" s="1"/>
      <c r="AD24" s="1"/>
      <c r="AE24" s="1"/>
      <c r="AF24" s="1"/>
      <c r="AG24" s="1"/>
      <c r="AH24" s="1" t="str">
        <f t="shared" si="1"/>
        <v/>
      </c>
      <c r="AI24" s="1"/>
    </row>
    <row r="25">
      <c r="A25" s="5">
        <f>IFERROR(__xludf.DUMMYFUNCTION("""COMPUTED_VALUE"""),44995.0)</f>
        <v>44995</v>
      </c>
      <c r="B25" s="1"/>
      <c r="C25" s="6" t="str">
        <f>IFERROR(__xludf.DUMMYFUNCTION("""COMPUTED_VALUE"""),"GIRARDOT")</f>
        <v>GIRARDOT</v>
      </c>
      <c r="D25" s="6" t="str">
        <f>IFERROR(__xludf.DUMMYFUNCTION("""COMPUTED_VALUE"""),"BOGOTÁ")</f>
        <v>BOGOTÁ</v>
      </c>
      <c r="E25" s="6" t="str">
        <f>IFERROR(__xludf.DUMMYFUNCTION("""COMPUTED_VALUE"""),"Coffit")</f>
        <v>Coffit</v>
      </c>
      <c r="F25" s="1" t="str">
        <f>IFERROR(__xludf.DUMMYFUNCTION("""COMPUTED_VALUE"""),"carrera 9 n 19-53 local 107 edificio rafael díaz  / diagonal glorieta el leon  / glorieta leon")</f>
        <v>carrera 9 n 19-53 local 107 edificio rafael díaz  / diagonal glorieta el leon  / glorieta leon</v>
      </c>
      <c r="G25" s="6" t="str">
        <f>IFERROR(__xludf.DUMMYFUNCTION("""COMPUTED_VALUE"""),"coffit market")</f>
        <v>coffit market</v>
      </c>
      <c r="H25" s="7">
        <f>IFERROR(__xludf.DUMMYFUNCTION("""COMPUTED_VALUE"""),8731.0)</f>
        <v>8731</v>
      </c>
      <c r="I25" s="7">
        <f>IFERROR(__xludf.DUMMYFUNCTION("""COMPUTED_VALUE"""),55.0)</f>
        <v>55</v>
      </c>
      <c r="J25" s="7">
        <f>IFERROR(__xludf.DUMMYFUNCTION("""COMPUTED_VALUE"""),45.0)</f>
        <v>45</v>
      </c>
      <c r="K25" s="2" t="str">
        <f>IFERROR(__xludf.DUMMYFUNCTION("""COMPUTED_VALUE"""),"52.5")</f>
        <v>52.5</v>
      </c>
      <c r="L25" s="8">
        <f>IFERROR(__xludf.DUMMYFUNCTION("""COMPUTED_VALUE"""),3.166279434E9)</f>
        <v>3166279434</v>
      </c>
      <c r="M25" s="9" t="str">
        <f>IFERROR(__xludf.DUMMYFUNCTION("""COMPUTED_VALUE"""),"#REF!")</f>
        <v>#REF!</v>
      </c>
      <c r="N25" s="3" t="str">
        <f>IFERROR(__xludf.DUMMYFUNCTION("""COMPUTED_VALUE"""),"")</f>
        <v/>
      </c>
      <c r="O25" s="3" t="str">
        <f>IFERROR(__xludf.DUMMYFUNCTION("""COMPUTED_VALUE"""),"")</f>
        <v/>
      </c>
      <c r="P25" s="9" t="b">
        <f>IFERROR(__xludf.DUMMYFUNCTION("""COMPUTED_VALUE"""),FALSE)</f>
        <v>0</v>
      </c>
      <c r="Q25" s="10" t="str">
        <f>IFERROR(__xludf.DUMMYFUNCTION("""COMPUTED_VALUE"""),"")</f>
        <v/>
      </c>
      <c r="R25" s="12" t="str">
        <f>IFERROR(__xludf.DUMMYFUNCTION("""COMPUTED_VALUE"""),"")</f>
        <v/>
      </c>
      <c r="S25" s="1" t="str">
        <f t="shared" si="2"/>
        <v/>
      </c>
      <c r="T25" s="1" t="str">
        <f t="shared" si="3"/>
        <v/>
      </c>
      <c r="U25" s="1" t="str">
        <f t="shared" si="4"/>
        <v/>
      </c>
      <c r="V25" s="1"/>
      <c r="W25" s="1"/>
      <c r="X25" s="1"/>
      <c r="Y25" s="1"/>
      <c r="Z25" s="8"/>
      <c r="AA25" s="1"/>
      <c r="AB25" s="1"/>
      <c r="AC25" s="1"/>
      <c r="AD25" s="1"/>
      <c r="AE25" s="1"/>
      <c r="AF25" s="1"/>
      <c r="AG25" s="1"/>
      <c r="AH25" s="1" t="str">
        <f t="shared" si="1"/>
        <v/>
      </c>
      <c r="AI25" s="1"/>
    </row>
    <row r="26">
      <c r="A26" s="5">
        <f>IFERROR(__xludf.DUMMYFUNCTION("""COMPUTED_VALUE"""),44995.0)</f>
        <v>44995</v>
      </c>
      <c r="B26" s="1"/>
      <c r="C26" s="6" t="str">
        <f>IFERROR(__xludf.DUMMYFUNCTION("""COMPUTED_VALUE"""),"MEDELLÍN")</f>
        <v>MEDELLÍN</v>
      </c>
      <c r="D26" s="6" t="str">
        <f>IFERROR(__xludf.DUMMYFUNCTION("""COMPUTED_VALUE"""),"BOGOTÁ")</f>
        <v>BOGOTÁ</v>
      </c>
      <c r="E26" s="6" t="str">
        <f>IFERROR(__xludf.DUMMYFUNCTION("""COMPUTED_VALUE"""),"50 Gr Alfajores")</f>
        <v>50 Gr Alfajores</v>
      </c>
      <c r="F26" s="1" t="str">
        <f>IFERROR(__xludf.DUMMYFUNCTION("""COMPUTED_VALUE"""),"Calle 64 # 76a-29 / Apto 1105 - Torre 2 - unidad Ónix  / Medellín")</f>
        <v>Calle 64 # 76a-29 / Apto 1105 - Torre 2 - unidad Ónix  / Medellín</v>
      </c>
      <c r="G26" s="6" t="str">
        <f>IFERROR(__xludf.DUMMYFUNCTION("""COMPUTED_VALUE"""),"Juan Diego foronda")</f>
        <v>Juan Diego foronda</v>
      </c>
      <c r="H26" s="7">
        <f>IFERROR(__xludf.DUMMYFUNCTION("""COMPUTED_VALUE"""),8745.0)</f>
        <v>8745</v>
      </c>
      <c r="I26" s="7">
        <f>IFERROR(__xludf.DUMMYFUNCTION("""COMPUTED_VALUE"""),5.0)</f>
        <v>5</v>
      </c>
      <c r="J26" s="7">
        <f>IFERROR(__xludf.DUMMYFUNCTION("""COMPUTED_VALUE"""),19.0)</f>
        <v>19</v>
      </c>
      <c r="K26" s="7">
        <f>IFERROR(__xludf.DUMMYFUNCTION("""COMPUTED_VALUE"""),19.0)</f>
        <v>19</v>
      </c>
      <c r="L26" s="8">
        <f>IFERROR(__xludf.DUMMYFUNCTION("""COMPUTED_VALUE"""),3.166252262E9)</f>
        <v>3166252262</v>
      </c>
      <c r="M26" s="9" t="str">
        <f>IFERROR(__xludf.DUMMYFUNCTION("""COMPUTED_VALUE"""),"#REF!")</f>
        <v>#REF!</v>
      </c>
      <c r="N26" s="3" t="str">
        <f>IFERROR(__xludf.DUMMYFUNCTION("""COMPUTED_VALUE"""),"")</f>
        <v/>
      </c>
      <c r="O26" s="3" t="str">
        <f>IFERROR(__xludf.DUMMYFUNCTION("""COMPUTED_VALUE"""),"")</f>
        <v/>
      </c>
      <c r="P26" s="9" t="b">
        <f>IFERROR(__xludf.DUMMYFUNCTION("""COMPUTED_VALUE"""),FALSE)</f>
        <v>0</v>
      </c>
      <c r="Q26" s="10" t="str">
        <f>IFERROR(__xludf.DUMMYFUNCTION("""COMPUTED_VALUE"""),"")</f>
        <v/>
      </c>
      <c r="R26" s="11" t="str">
        <f>IFERROR(__xludf.DUMMYFUNCTION("""COMPUTED_VALUE"""),"https://drive.google.com/file/d/1JxafZuEXiHS8yJWdZ6MDK9mTj7MO0ekQ/view?usp=drivesdk")</f>
        <v>https://drive.google.com/file/d/1JxafZuEXiHS8yJWdZ6MDK9mTj7MO0ekQ/view?usp=drivesdk</v>
      </c>
      <c r="S26" s="1" t="str">
        <f t="shared" si="2"/>
        <v/>
      </c>
      <c r="T26" s="1" t="str">
        <f t="shared" si="3"/>
        <v/>
      </c>
      <c r="U26" s="1" t="str">
        <f t="shared" si="4"/>
        <v/>
      </c>
      <c r="V26" s="1"/>
      <c r="W26" s="1"/>
      <c r="X26" s="1"/>
      <c r="Y26" s="1"/>
      <c r="Z26" s="8"/>
      <c r="AA26" s="1"/>
      <c r="AB26" s="1"/>
      <c r="AC26" s="1"/>
      <c r="AD26" s="1"/>
      <c r="AE26" s="1"/>
      <c r="AF26" s="1"/>
      <c r="AG26" s="1"/>
      <c r="AH26" s="1" t="str">
        <f t="shared" si="1"/>
        <v/>
      </c>
      <c r="AI26" s="1"/>
    </row>
    <row r="27">
      <c r="A27" s="5">
        <f>IFERROR(__xludf.DUMMYFUNCTION("""COMPUTED_VALUE"""),44995.0)</f>
        <v>44995</v>
      </c>
      <c r="B27" s="1"/>
      <c r="C27" s="6" t="str">
        <f>IFERROR(__xludf.DUMMYFUNCTION("""COMPUTED_VALUE"""),"MEDELLÍN")</f>
        <v>MEDELLÍN</v>
      </c>
      <c r="D27" s="6" t="str">
        <f>IFERROR(__xludf.DUMMYFUNCTION("""COMPUTED_VALUE"""),"BOGOTÁ")</f>
        <v>BOGOTÁ</v>
      </c>
      <c r="E27" s="6" t="str">
        <f>IFERROR(__xludf.DUMMYFUNCTION("""COMPUTED_VALUE"""),"Evamazzita")</f>
        <v>Evamazzita</v>
      </c>
      <c r="F27" s="1" t="str">
        <f>IFERROR(__xludf.DUMMYFUNCTION("""COMPUTED_VALUE"""),"CRA 15 BA No. 34D- 44  / INT 201  / BUENOS AIRES")</f>
        <v>CRA 15 BA No. 34D- 44  / INT 201  / BUENOS AIRES</v>
      </c>
      <c r="G27" s="6" t="str">
        <f>IFERROR(__xludf.DUMMYFUNCTION("""COMPUTED_VALUE"""),"DANIELA BEDOYA BLANDON")</f>
        <v>DANIELA BEDOYA BLANDON</v>
      </c>
      <c r="H27" s="7">
        <f>IFERROR(__xludf.DUMMYFUNCTION("""COMPUTED_VALUE"""),8727.0)</f>
        <v>8727</v>
      </c>
      <c r="I27" s="7">
        <f>IFERROR(__xludf.DUMMYFUNCTION("""COMPUTED_VALUE"""),16.0)</f>
        <v>16</v>
      </c>
      <c r="J27" s="7">
        <f>IFERROR(__xludf.DUMMYFUNCTION("""COMPUTED_VALUE"""),38.0)</f>
        <v>38</v>
      </c>
      <c r="K27" s="7">
        <f>IFERROR(__xludf.DUMMYFUNCTION("""COMPUTED_VALUE"""),44.0)</f>
        <v>44</v>
      </c>
      <c r="L27" s="8">
        <f>IFERROR(__xludf.DUMMYFUNCTION("""COMPUTED_VALUE"""),3.14672822E9)</f>
        <v>3146728220</v>
      </c>
      <c r="M27" s="9" t="str">
        <f>IFERROR(__xludf.DUMMYFUNCTION("""COMPUTED_VALUE"""),"#REF!")</f>
        <v>#REF!</v>
      </c>
      <c r="N27" s="3" t="str">
        <f>IFERROR(__xludf.DUMMYFUNCTION("""COMPUTED_VALUE"""),"")</f>
        <v/>
      </c>
      <c r="O27" s="3" t="str">
        <f>IFERROR(__xludf.DUMMYFUNCTION("""COMPUTED_VALUE"""),"")</f>
        <v/>
      </c>
      <c r="P27" s="9" t="b">
        <f>IFERROR(__xludf.DUMMYFUNCTION("""COMPUTED_VALUE"""),FALSE)</f>
        <v>0</v>
      </c>
      <c r="Q27" s="10" t="str">
        <f>IFERROR(__xludf.DUMMYFUNCTION("""COMPUTED_VALUE"""),"")</f>
        <v/>
      </c>
      <c r="R27" s="11" t="str">
        <f>IFERROR(__xludf.DUMMYFUNCTION("""COMPUTED_VALUE"""),"https://drive.google.com/file/d/1pld6v2Wkd5LN70FilzfCzyhMDh1BZmES/view?usp=drivesdk")</f>
        <v>https://drive.google.com/file/d/1pld6v2Wkd5LN70FilzfCzyhMDh1BZmES/view?usp=drivesdk</v>
      </c>
      <c r="S27" s="1" t="str">
        <f t="shared" si="2"/>
        <v/>
      </c>
      <c r="T27" s="1" t="str">
        <f t="shared" si="3"/>
        <v/>
      </c>
      <c r="U27" s="1" t="str">
        <f t="shared" si="4"/>
        <v/>
      </c>
      <c r="V27" s="1"/>
      <c r="W27" s="1"/>
      <c r="X27" s="1"/>
      <c r="Y27" s="1"/>
      <c r="Z27" s="8"/>
      <c r="AA27" s="1"/>
      <c r="AB27" s="1"/>
      <c r="AC27" s="1"/>
      <c r="AD27" s="1"/>
      <c r="AE27" s="1"/>
      <c r="AF27" s="1"/>
      <c r="AG27" s="1"/>
      <c r="AH27" s="1" t="str">
        <f t="shared" si="1"/>
        <v/>
      </c>
      <c r="AI27" s="1"/>
    </row>
    <row r="28">
      <c r="A28" s="5">
        <f>IFERROR(__xludf.DUMMYFUNCTION("""COMPUTED_VALUE"""),44995.0)</f>
        <v>44995</v>
      </c>
      <c r="B28" s="1"/>
      <c r="C28" s="6" t="str">
        <f>IFERROR(__xludf.DUMMYFUNCTION("""COMPUTED_VALUE"""),"MEDELLÍN")</f>
        <v>MEDELLÍN</v>
      </c>
      <c r="D28" s="6" t="str">
        <f>IFERROR(__xludf.DUMMYFUNCTION("""COMPUTED_VALUE"""),"BOGOTÁ")</f>
        <v>BOGOTÁ</v>
      </c>
      <c r="E28" s="6" t="str">
        <f>IFERROR(__xludf.DUMMYFUNCTION("""COMPUTED_VALUE"""),"MAI ALIMENTOS S.A.S")</f>
        <v>MAI ALIMENTOS S.A.S</v>
      </c>
      <c r="F28" s="1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8" s="6" t="str">
        <f>IFERROR(__xludf.DUMMYFUNCTION("""COMPUTED_VALUE"""),"Novaventas - Medellin")</f>
        <v>Novaventas - Medellin</v>
      </c>
      <c r="H28" s="7">
        <f>IFERROR(__xludf.DUMMYFUNCTION("""COMPUTED_VALUE"""),8622.0)</f>
        <v>8622</v>
      </c>
      <c r="I28" s="7">
        <f>IFERROR(__xludf.DUMMYFUNCTION("""COMPUTED_VALUE"""),35.0)</f>
        <v>35</v>
      </c>
      <c r="J28" s="7">
        <f>IFERROR(__xludf.DUMMYFUNCTION("""COMPUTED_VALUE"""),17.0)</f>
        <v>17</v>
      </c>
      <c r="K28" s="7">
        <f>IFERROR(__xludf.DUMMYFUNCTION("""COMPUTED_VALUE"""),13.0)</f>
        <v>13</v>
      </c>
      <c r="L28" s="8">
        <f>IFERROR(__xludf.DUMMYFUNCTION("""COMPUTED_VALUE"""),3.187351593E9)</f>
        <v>3187351593</v>
      </c>
      <c r="M28" s="9" t="str">
        <f>IFERROR(__xludf.DUMMYFUNCTION("""COMPUTED_VALUE"""),"#REF!")</f>
        <v>#REF!</v>
      </c>
      <c r="N28" s="3" t="str">
        <f>IFERROR(__xludf.DUMMYFUNCTION("""COMPUTED_VALUE"""),"")</f>
        <v/>
      </c>
      <c r="O28" s="3" t="str">
        <f>IFERROR(__xludf.DUMMYFUNCTION("""COMPUTED_VALUE"""),"")</f>
        <v/>
      </c>
      <c r="P28" s="9" t="b">
        <f>IFERROR(__xludf.DUMMYFUNCTION("""COMPUTED_VALUE"""),FALSE)</f>
        <v>0</v>
      </c>
      <c r="Q28" s="10" t="str">
        <f>IFERROR(__xludf.DUMMYFUNCTION("""COMPUTED_VALUE"""),"")</f>
        <v/>
      </c>
      <c r="R28" s="12" t="str">
        <f>IFERROR(__xludf.DUMMYFUNCTION("""COMPUTED_VALUE"""),"")</f>
        <v/>
      </c>
      <c r="S28" s="1" t="str">
        <f t="shared" si="2"/>
        <v/>
      </c>
      <c r="T28" s="1" t="str">
        <f t="shared" si="3"/>
        <v/>
      </c>
      <c r="U28" s="1" t="str">
        <f t="shared" si="4"/>
        <v/>
      </c>
      <c r="V28" s="1"/>
      <c r="W28" s="1"/>
      <c r="X28" s="1"/>
      <c r="Y28" s="1"/>
      <c r="Z28" s="8"/>
      <c r="AA28" s="1"/>
      <c r="AB28" s="1"/>
      <c r="AC28" s="1"/>
      <c r="AD28" s="1"/>
      <c r="AE28" s="1"/>
      <c r="AF28" s="1"/>
      <c r="AG28" s="1"/>
      <c r="AH28" s="1" t="str">
        <f t="shared" si="1"/>
        <v/>
      </c>
      <c r="AI28" s="1"/>
    </row>
    <row r="29">
      <c r="A29" s="5">
        <f>IFERROR(__xludf.DUMMYFUNCTION("""COMPUTED_VALUE"""),44995.0)</f>
        <v>44995</v>
      </c>
      <c r="B29" s="1"/>
      <c r="C29" s="6" t="str">
        <f>IFERROR(__xludf.DUMMYFUNCTION("""COMPUTED_VALUE"""),"MEDELLÍN")</f>
        <v>MEDELLÍN</v>
      </c>
      <c r="D29" s="6" t="str">
        <f>IFERROR(__xludf.DUMMYFUNCTION("""COMPUTED_VALUE"""),"BOGOTÁ")</f>
        <v>BOGOTÁ</v>
      </c>
      <c r="E29" s="6" t="str">
        <f>IFERROR(__xludf.DUMMYFUNCTION("""COMPUTED_VALUE"""),"Pan de Waffle")</f>
        <v>Pan de Waffle</v>
      </c>
      <c r="F29" s="1" t="str">
        <f>IFERROR(__xludf.DUMMYFUNCTION("""COMPUTED_VALUE"""),"Calle 80 sur # 45 - 51 Apto 3206 Sabaneta, Antioquia / Calle 80 sur # 45 - 51 Apto 3206 Sabaneta, Antioquia / Calle 80 sur # 45 - 51 Apto 3206 Sabaneta, Antioquia")</f>
        <v>Calle 80 sur # 45 - 51 Apto 3206 Sabaneta, Antioquia / Calle 80 sur # 45 - 51 Apto 3206 Sabaneta, Antioquia / Calle 80 sur # 45 - 51 Apto 3206 Sabaneta, Antioquia</v>
      </c>
      <c r="G29" s="6" t="str">
        <f>IFERROR(__xludf.DUMMYFUNCTION("""COMPUTED_VALUE"""),"MANUELA QUINCENO")</f>
        <v>MANUELA QUINCENO</v>
      </c>
      <c r="H29" s="7">
        <f>IFERROR(__xludf.DUMMYFUNCTION("""COMPUTED_VALUE"""),8759.0)</f>
        <v>8759</v>
      </c>
      <c r="I29" s="7">
        <f>IFERROR(__xludf.DUMMYFUNCTION("""COMPUTED_VALUE"""),100.0)</f>
        <v>100</v>
      </c>
      <c r="J29" s="7">
        <f>IFERROR(__xludf.DUMMYFUNCTION("""COMPUTED_VALUE"""),10.0)</f>
        <v>10</v>
      </c>
      <c r="K29" s="7">
        <f>IFERROR(__xludf.DUMMYFUNCTION("""COMPUTED_VALUE"""),4.0)</f>
        <v>4</v>
      </c>
      <c r="L29" s="8">
        <f>IFERROR(__xludf.DUMMYFUNCTION("""COMPUTED_VALUE"""),3.10524766E9)</f>
        <v>3105247660</v>
      </c>
      <c r="M29" s="9" t="str">
        <f>IFERROR(__xludf.DUMMYFUNCTION("""COMPUTED_VALUE"""),"#REF!")</f>
        <v>#REF!</v>
      </c>
      <c r="N29" s="3" t="str">
        <f>IFERROR(__xludf.DUMMYFUNCTION("""COMPUTED_VALUE"""),"")</f>
        <v/>
      </c>
      <c r="O29" s="3" t="str">
        <f>IFERROR(__xludf.DUMMYFUNCTION("""COMPUTED_VALUE"""),"")</f>
        <v/>
      </c>
      <c r="P29" s="9" t="b">
        <f>IFERROR(__xludf.DUMMYFUNCTION("""COMPUTED_VALUE"""),FALSE)</f>
        <v>0</v>
      </c>
      <c r="Q29" s="10" t="str">
        <f>IFERROR(__xludf.DUMMYFUNCTION("""COMPUTED_VALUE"""),"")</f>
        <v/>
      </c>
      <c r="R29" s="11" t="str">
        <f>IFERROR(__xludf.DUMMYFUNCTION("""COMPUTED_VALUE"""),"https://drive.google.com/file/d/1RAynAOHoRbgXSpWdIpymKVvHKbHejP6_/view?usp=drivesdk")</f>
        <v>https://drive.google.com/file/d/1RAynAOHoRbgXSpWdIpymKVvHKbHejP6_/view?usp=drivesdk</v>
      </c>
      <c r="S29" s="1" t="str">
        <f t="shared" si="2"/>
        <v/>
      </c>
      <c r="T29" s="1" t="str">
        <f t="shared" si="3"/>
        <v/>
      </c>
      <c r="U29" s="1" t="str">
        <f t="shared" si="4"/>
        <v/>
      </c>
      <c r="V29" s="1"/>
      <c r="W29" s="1"/>
      <c r="X29" s="1"/>
      <c r="Y29" s="1"/>
      <c r="Z29" s="8"/>
      <c r="AA29" s="1"/>
      <c r="AB29" s="1"/>
      <c r="AC29" s="1"/>
      <c r="AD29" s="1"/>
      <c r="AE29" s="1"/>
      <c r="AF29" s="1"/>
      <c r="AG29" s="1"/>
      <c r="AH29" s="1" t="str">
        <f t="shared" si="1"/>
        <v/>
      </c>
      <c r="AI29" s="1"/>
    </row>
    <row r="30">
      <c r="A30" s="5">
        <f>IFERROR(__xludf.DUMMYFUNCTION("""COMPUTED_VALUE"""),44995.0)</f>
        <v>44995</v>
      </c>
      <c r="B30" s="1"/>
      <c r="C30" s="6" t="str">
        <f>IFERROR(__xludf.DUMMYFUNCTION("""COMPUTED_VALUE"""),"MEDELLÍN")</f>
        <v>MEDELLÍN</v>
      </c>
      <c r="D30" s="6" t="str">
        <f>IFERROR(__xludf.DUMMYFUNCTION("""COMPUTED_VALUE"""),"BOGOTÁ")</f>
        <v>BOGOTÁ</v>
      </c>
      <c r="E30" s="6" t="str">
        <f>IFERROR(__xludf.DUMMYFUNCTION("""COMPUTED_VALUE"""),"Renata Medellín")</f>
        <v>Renata Medellín</v>
      </c>
      <c r="F30" s="1" t="str">
        <f>IFERROR(__xludf.DUMMYFUNCTION("""COMPUTED_VALUE"""),"Cartera 31d#9-43 / Restaurante  / Provenza l")</f>
        <v>Cartera 31d#9-43 / Restaurante  / Provenza l</v>
      </c>
      <c r="G30" s="6" t="str">
        <f>IFERROR(__xludf.DUMMYFUNCTION("""COMPUTED_VALUE"""),"Front y back hospitality group")</f>
        <v>Front y back hospitality group</v>
      </c>
      <c r="H30" s="7">
        <f>IFERROR(__xludf.DUMMYFUNCTION("""COMPUTED_VALUE"""),8750.0)</f>
        <v>8750</v>
      </c>
      <c r="I30" s="7">
        <f>IFERROR(__xludf.DUMMYFUNCTION("""COMPUTED_VALUE"""),100.0)</f>
        <v>100</v>
      </c>
      <c r="J30" s="7">
        <f>IFERROR(__xludf.DUMMYFUNCTION("""COMPUTED_VALUE"""),10.0)</f>
        <v>10</v>
      </c>
      <c r="K30" s="7">
        <f>IFERROR(__xludf.DUMMYFUNCTION("""COMPUTED_VALUE"""),460971.0)</f>
        <v>460971</v>
      </c>
      <c r="L30" s="8">
        <f>IFERROR(__xludf.DUMMYFUNCTION("""COMPUTED_VALUE"""),3.104047368E9)</f>
        <v>3104047368</v>
      </c>
      <c r="M30" s="9" t="str">
        <f>IFERROR(__xludf.DUMMYFUNCTION("""COMPUTED_VALUE"""),"#REF!")</f>
        <v>#REF!</v>
      </c>
      <c r="N30" s="3" t="str">
        <f>IFERROR(__xludf.DUMMYFUNCTION("""COMPUTED_VALUE"""),"")</f>
        <v/>
      </c>
      <c r="O30" s="3" t="str">
        <f>IFERROR(__xludf.DUMMYFUNCTION("""COMPUTED_VALUE"""),"")</f>
        <v/>
      </c>
      <c r="P30" s="9" t="b">
        <f>IFERROR(__xludf.DUMMYFUNCTION("""COMPUTED_VALUE"""),FALSE)</f>
        <v>0</v>
      </c>
      <c r="Q30" s="10" t="str">
        <f>IFERROR(__xludf.DUMMYFUNCTION("""COMPUTED_VALUE"""),"")</f>
        <v/>
      </c>
      <c r="R30" s="12" t="str">
        <f>IFERROR(__xludf.DUMMYFUNCTION("""COMPUTED_VALUE"""),"")</f>
        <v/>
      </c>
      <c r="S30" s="1" t="str">
        <f t="shared" si="2"/>
        <v/>
      </c>
      <c r="T30" s="1" t="str">
        <f t="shared" si="3"/>
        <v/>
      </c>
      <c r="U30" s="1" t="str">
        <f t="shared" si="4"/>
        <v/>
      </c>
      <c r="V30" s="1"/>
      <c r="W30" s="1"/>
      <c r="X30" s="1"/>
      <c r="Y30" s="1"/>
      <c r="Z30" s="8"/>
      <c r="AA30" s="1"/>
      <c r="AB30" s="1"/>
      <c r="AC30" s="1"/>
      <c r="AD30" s="1"/>
      <c r="AE30" s="1"/>
      <c r="AF30" s="1"/>
      <c r="AG30" s="1"/>
      <c r="AH30" s="1" t="str">
        <f t="shared" si="1"/>
        <v/>
      </c>
      <c r="AI30" s="1"/>
    </row>
    <row r="31">
      <c r="A31" s="5">
        <f>IFERROR(__xludf.DUMMYFUNCTION("""COMPUTED_VALUE"""),44995.0)</f>
        <v>44995</v>
      </c>
      <c r="B31" s="1"/>
      <c r="C31" s="6" t="str">
        <f>IFERROR(__xludf.DUMMYFUNCTION("""COMPUTED_VALUE"""),"NEIVA")</f>
        <v>NEIVA</v>
      </c>
      <c r="D31" s="6" t="str">
        <f>IFERROR(__xludf.DUMMYFUNCTION("""COMPUTED_VALUE"""),"BOGOTÁ")</f>
        <v>BOGOTÁ</v>
      </c>
      <c r="E31" s="6" t="str">
        <f>IFERROR(__xludf.DUMMYFUNCTION("""COMPUTED_VALUE"""),"Loomifoods")</f>
        <v>Loomifoods</v>
      </c>
      <c r="F31" s="1" t="str">
        <f>IFERROR(__xludf.DUMMYFUNCTION("""COMPUTED_VALUE"""),"Calle 8 no. 8 - 62 / Altico / Fit Station Neiva")</f>
        <v>Calle 8 no. 8 - 62 / Altico / Fit Station Neiva</v>
      </c>
      <c r="G31" s="6" t="str">
        <f>IFERROR(__xludf.DUMMYFUNCTION("""COMPUTED_VALUE"""),"Jessica Basto")</f>
        <v>Jessica Basto</v>
      </c>
      <c r="H31" s="7">
        <f>IFERROR(__xludf.DUMMYFUNCTION("""COMPUTED_VALUE"""),8574.0)</f>
        <v>8574</v>
      </c>
      <c r="I31" s="7">
        <f>IFERROR(__xludf.DUMMYFUNCTION("""COMPUTED_VALUE"""),10.0)</f>
        <v>10</v>
      </c>
      <c r="J31" s="7">
        <f>IFERROR(__xludf.DUMMYFUNCTION("""COMPUTED_VALUE"""),10.0)</f>
        <v>10</v>
      </c>
      <c r="K31" s="7">
        <f>IFERROR(__xludf.DUMMYFUNCTION("""COMPUTED_VALUE"""),10.0)</f>
        <v>10</v>
      </c>
      <c r="L31" s="8">
        <f>IFERROR(__xludf.DUMMYFUNCTION("""COMPUTED_VALUE"""),3.108884455E9)</f>
        <v>3108884455</v>
      </c>
      <c r="M31" s="9" t="str">
        <f>IFERROR(__xludf.DUMMYFUNCTION("""COMPUTED_VALUE"""),"#REF!")</f>
        <v>#REF!</v>
      </c>
      <c r="N31" s="3" t="str">
        <f>IFERROR(__xludf.DUMMYFUNCTION("""COMPUTED_VALUE"""),"")</f>
        <v/>
      </c>
      <c r="O31" s="3" t="str">
        <f>IFERROR(__xludf.DUMMYFUNCTION("""COMPUTED_VALUE"""),"")</f>
        <v/>
      </c>
      <c r="P31" s="9" t="b">
        <f>IFERROR(__xludf.DUMMYFUNCTION("""COMPUTED_VALUE"""),FALSE)</f>
        <v>0</v>
      </c>
      <c r="Q31" s="10" t="str">
        <f>IFERROR(__xludf.DUMMYFUNCTION("""COMPUTED_VALUE"""),"")</f>
        <v/>
      </c>
      <c r="R31" s="12" t="str">
        <f>IFERROR(__xludf.DUMMYFUNCTION("""COMPUTED_VALUE"""),"")</f>
        <v/>
      </c>
      <c r="S31" s="1" t="str">
        <f t="shared" si="2"/>
        <v/>
      </c>
      <c r="T31" s="1" t="str">
        <f t="shared" si="3"/>
        <v/>
      </c>
      <c r="U31" s="1" t="str">
        <f t="shared" si="4"/>
        <v/>
      </c>
      <c r="V31" s="1"/>
      <c r="W31" s="1"/>
      <c r="X31" s="1"/>
      <c r="Y31" s="1"/>
      <c r="Z31" s="8"/>
      <c r="AA31" s="1"/>
      <c r="AB31" s="1"/>
      <c r="AC31" s="1"/>
      <c r="AD31" s="1"/>
      <c r="AE31" s="1"/>
      <c r="AF31" s="1"/>
      <c r="AG31" s="1"/>
      <c r="AH31" s="1" t="str">
        <f t="shared" si="1"/>
        <v/>
      </c>
      <c r="AI31" s="1"/>
    </row>
    <row r="32">
      <c r="A32" s="5">
        <f>IFERROR(__xludf.DUMMYFUNCTION("""COMPUTED_VALUE"""),44995.0)</f>
        <v>44995</v>
      </c>
      <c r="B32" s="1"/>
      <c r="C32" s="6" t="str">
        <f>IFERROR(__xludf.DUMMYFUNCTION("""COMPUTED_VALUE"""),"PIEDECUESTA")</f>
        <v>PIEDECUESTA</v>
      </c>
      <c r="D32" s="6" t="str">
        <f>IFERROR(__xludf.DUMMYFUNCTION("""COMPUTED_VALUE"""),"BOGOTÁ")</f>
        <v>BOGOTÁ</v>
      </c>
      <c r="E32" s="6" t="str">
        <f>IFERROR(__xludf.DUMMYFUNCTION("""COMPUTED_VALUE"""),"Ins. Alimento Vital")</f>
        <v>Ins. Alimento Vital</v>
      </c>
      <c r="F32" s="1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32" s="6" t="str">
        <f>IFERROR(__xludf.DUMMYFUNCTION("""COMPUTED_VALUE"""),"LORENA GRANADOS BARCO")</f>
        <v>LORENA GRANADOS BARCO</v>
      </c>
      <c r="H32" s="7">
        <f>IFERROR(__xludf.DUMMYFUNCTION("""COMPUTED_VALUE"""),8729.0)</f>
        <v>8729</v>
      </c>
      <c r="I32" s="7">
        <f>IFERROR(__xludf.DUMMYFUNCTION("""COMPUTED_VALUE"""),21.0)</f>
        <v>21</v>
      </c>
      <c r="J32" s="7">
        <f>IFERROR(__xludf.DUMMYFUNCTION("""COMPUTED_VALUE"""),50.0)</f>
        <v>50</v>
      </c>
      <c r="K32" s="7">
        <f>IFERROR(__xludf.DUMMYFUNCTION("""COMPUTED_VALUE"""),30.0)</f>
        <v>30</v>
      </c>
      <c r="L32" s="8">
        <f>IFERROR(__xludf.DUMMYFUNCTION("""COMPUTED_VALUE"""),3.003286319E9)</f>
        <v>3003286319</v>
      </c>
      <c r="M32" s="9" t="str">
        <f>IFERROR(__xludf.DUMMYFUNCTION("""COMPUTED_VALUE"""),"#REF!")</f>
        <v>#REF!</v>
      </c>
      <c r="N32" s="3" t="str">
        <f>IFERROR(__xludf.DUMMYFUNCTION("""COMPUTED_VALUE"""),"")</f>
        <v/>
      </c>
      <c r="O32" s="3" t="str">
        <f>IFERROR(__xludf.DUMMYFUNCTION("""COMPUTED_VALUE"""),"")</f>
        <v/>
      </c>
      <c r="P32" s="9" t="b">
        <f>IFERROR(__xludf.DUMMYFUNCTION("""COMPUTED_VALUE"""),FALSE)</f>
        <v>0</v>
      </c>
      <c r="Q32" s="10" t="str">
        <f>IFERROR(__xludf.DUMMYFUNCTION("""COMPUTED_VALUE"""),"")</f>
        <v/>
      </c>
      <c r="R32" s="12" t="str">
        <f>IFERROR(__xludf.DUMMYFUNCTION("""COMPUTED_VALUE"""),"")</f>
        <v/>
      </c>
      <c r="S32" s="1" t="str">
        <f t="shared" si="2"/>
        <v/>
      </c>
      <c r="T32" s="1" t="str">
        <f t="shared" si="3"/>
        <v/>
      </c>
      <c r="U32" s="1" t="str">
        <f t="shared" si="4"/>
        <v/>
      </c>
      <c r="V32" s="1"/>
      <c r="W32" s="1"/>
      <c r="X32" s="1"/>
      <c r="Y32" s="1"/>
      <c r="Z32" s="8"/>
      <c r="AA32" s="1"/>
      <c r="AB32" s="1"/>
      <c r="AC32" s="1"/>
      <c r="AD32" s="1"/>
      <c r="AE32" s="1"/>
      <c r="AF32" s="1"/>
      <c r="AG32" s="1"/>
      <c r="AH32" s="1" t="str">
        <f t="shared" si="1"/>
        <v/>
      </c>
      <c r="AI32" s="1"/>
    </row>
    <row r="33">
      <c r="A33" s="1" t="str">
        <f>IFERROR(__xludf.DUMMYFUNCTION("""COMPUTED_VALUE"""),"")</f>
        <v/>
      </c>
      <c r="B33" s="1" t="str">
        <f>IFERROR(__xludf.DUMMYFUNCTION("""COMPUTED_VALUE"""),"")</f>
        <v/>
      </c>
      <c r="C33" s="1" t="str">
        <f>IFERROR(__xludf.DUMMYFUNCTION("""COMPUTED_VALUE"""),"")</f>
        <v/>
      </c>
      <c r="D33" s="1" t="str">
        <f>IFERROR(__xludf.DUMMYFUNCTION("""COMPUTED_VALUE"""),"")</f>
        <v/>
      </c>
      <c r="E33" s="1" t="str">
        <f>IFERROR(__xludf.DUMMYFUNCTION("""COMPUTED_VALUE"""),"")</f>
        <v/>
      </c>
      <c r="F33" s="1" t="str">
        <f>IFERROR(__xludf.DUMMYFUNCTION("""COMPUTED_VALUE"""),"")</f>
        <v/>
      </c>
      <c r="G33" s="1" t="str">
        <f>IFERROR(__xludf.DUMMYFUNCTION("""COMPUTED_VALUE"""),"")</f>
        <v/>
      </c>
      <c r="H33" s="1" t="str">
        <f>IFERROR(__xludf.DUMMYFUNCTION("""COMPUTED_VALUE"""),"")</f>
        <v/>
      </c>
      <c r="I33" s="1" t="str">
        <f>IFERROR(__xludf.DUMMYFUNCTION("""COMPUTED_VALUE"""),"")</f>
        <v/>
      </c>
      <c r="J33" s="1" t="str">
        <f>IFERROR(__xludf.DUMMYFUNCTION("""COMPUTED_VALUE"""),"")</f>
        <v/>
      </c>
      <c r="K33" s="1" t="str">
        <f>IFERROR(__xludf.DUMMYFUNCTION("""COMPUTED_VALUE"""),"")</f>
        <v/>
      </c>
      <c r="L33" s="1" t="str">
        <f>IFERROR(__xludf.DUMMYFUNCTION("""COMPUTED_VALUE"""),"")</f>
        <v/>
      </c>
      <c r="M33" s="1" t="str">
        <f>IFERROR(__xludf.DUMMYFUNCTION("""COMPUTED_VALUE"""),"")</f>
        <v/>
      </c>
      <c r="N33" s="1" t="str">
        <f>IFERROR(__xludf.DUMMYFUNCTION("""COMPUTED_VALUE"""),"")</f>
        <v/>
      </c>
      <c r="O33" s="1" t="str">
        <f>IFERROR(__xludf.DUMMYFUNCTION("""COMPUTED_VALUE"""),"")</f>
        <v/>
      </c>
      <c r="P33" s="1" t="str">
        <f>IFERROR(__xludf.DUMMYFUNCTION("""COMPUTED_VALUE"""),"")</f>
        <v/>
      </c>
      <c r="Q33" s="1" t="str">
        <f>IFERROR(__xludf.DUMMYFUNCTION("""COMPUTED_VALUE"""),"")</f>
        <v/>
      </c>
      <c r="R33" s="1" t="str">
        <f>IFERROR(__xludf.DUMMYFUNCTION("""COMPUTED_VALUE"""),"")</f>
        <v/>
      </c>
      <c r="S33" s="1" t="str">
        <f t="shared" si="2"/>
        <v/>
      </c>
      <c r="T33" s="1" t="str">
        <f t="shared" si="3"/>
        <v/>
      </c>
      <c r="U33" s="1" t="str">
        <f t="shared" si="4"/>
        <v/>
      </c>
      <c r="V33" s="1"/>
      <c r="W33" s="1"/>
      <c r="X33" s="1"/>
      <c r="Y33" s="1"/>
      <c r="Z33" s="8"/>
      <c r="AA33" s="1"/>
      <c r="AB33" s="1"/>
      <c r="AC33" s="1"/>
      <c r="AD33" s="1"/>
      <c r="AE33" s="1"/>
      <c r="AF33" s="1"/>
      <c r="AG33" s="1"/>
      <c r="AH33" s="1" t="str">
        <f t="shared" si="1"/>
        <v/>
      </c>
      <c r="AI33" s="1"/>
    </row>
    <row r="34">
      <c r="A34" s="5">
        <f>IFERROR(__xludf.DUMMYFUNCTION("""COMPUTED_VALUE"""),44995.0)</f>
        <v>44995</v>
      </c>
      <c r="B34" s="14" t="str">
        <f>IFERROR(__xludf.DUMMYFUNCTION("""COMPUTED_VALUE"""),"Envia")</f>
        <v>Envia</v>
      </c>
      <c r="C34" s="6" t="str">
        <f>IFERROR(__xludf.DUMMYFUNCTION("""COMPUTED_VALUE"""),"CALI")</f>
        <v>CALI</v>
      </c>
      <c r="D34" s="6" t="str">
        <f>IFERROR(__xludf.DUMMYFUNCTION("""COMPUTED_VALUE"""),"BOGOTÁ")</f>
        <v>BOGOTÁ</v>
      </c>
      <c r="E34" s="6" t="str">
        <f>IFERROR(__xludf.DUMMYFUNCTION("""COMPUTED_VALUE"""),"Viral Brands")</f>
        <v>Viral Brands</v>
      </c>
      <c r="F34" s="1" t="str">
        <f>IFERROR(__xludf.DUMMYFUNCTION("""COMPUTED_VALUE"""),"Avenida 5a N 25n 39  / Cocinas 8y 9 / Barrio San Vicente")</f>
        <v>Avenida 5a N 25n 39  / Cocinas 8y 9 / Barrio San Vicente</v>
      </c>
      <c r="G34" s="6" t="str">
        <f>IFERROR(__xludf.DUMMYFUNCTION("""COMPUTED_VALUE"""),"Liz Gámez")</f>
        <v>Liz Gámez</v>
      </c>
      <c r="H34" s="7">
        <f>IFERROR(__xludf.DUMMYFUNCTION("""COMPUTED_VALUE"""),8756.0)</f>
        <v>8756</v>
      </c>
      <c r="I34" s="7">
        <f>IFERROR(__xludf.DUMMYFUNCTION("""COMPUTED_VALUE"""),55.0)</f>
        <v>55</v>
      </c>
      <c r="J34" s="7">
        <f>IFERROR(__xludf.DUMMYFUNCTION("""COMPUTED_VALUE"""),45.0)</f>
        <v>45</v>
      </c>
      <c r="K34" s="7">
        <f>IFERROR(__xludf.DUMMYFUNCTION("""COMPUTED_VALUE"""),52.0)</f>
        <v>52</v>
      </c>
      <c r="L34" s="8">
        <f>IFERROR(__xludf.DUMMYFUNCTION("""COMPUTED_VALUE"""),3.218280504E9)</f>
        <v>3218280504</v>
      </c>
      <c r="M34" s="9" t="str">
        <f>IFERROR(__xludf.DUMMYFUNCTION("""COMPUTED_VALUE"""),"#REF!")</f>
        <v>#REF!</v>
      </c>
      <c r="N34" s="1"/>
      <c r="O34" s="3" t="str">
        <f>IFERROR(__xludf.DUMMYFUNCTION("""COMPUTED_VALUE"""),"")</f>
        <v/>
      </c>
      <c r="P34" s="9" t="b">
        <f>IFERROR(__xludf.DUMMYFUNCTION("""COMPUTED_VALUE"""),FALSE)</f>
        <v>0</v>
      </c>
      <c r="Q34" s="10" t="str">
        <f>IFERROR(__xludf.DUMMYFUNCTION("""COMPUTED_VALUE"""),"")</f>
        <v/>
      </c>
      <c r="R34" s="12" t="str">
        <f>IFERROR(__xludf.DUMMYFUNCTION("""COMPUTED_VALUE"""),"")</f>
        <v/>
      </c>
      <c r="S34" s="1" t="str">
        <f t="shared" si="2"/>
        <v/>
      </c>
      <c r="T34" s="1" t="str">
        <f t="shared" si="3"/>
        <v/>
      </c>
      <c r="U34" s="1" t="str">
        <f t="shared" si="4"/>
        <v/>
      </c>
      <c r="V34" s="1"/>
      <c r="W34" s="1"/>
      <c r="X34" s="1"/>
      <c r="Y34" s="1"/>
      <c r="Z34" s="8"/>
      <c r="AA34" s="1"/>
      <c r="AB34" s="1"/>
      <c r="AC34" s="1"/>
      <c r="AD34" s="1"/>
      <c r="AE34" s="1"/>
      <c r="AF34" s="1"/>
      <c r="AG34" s="1"/>
      <c r="AH34" s="1" t="str">
        <f t="shared" si="1"/>
        <v/>
      </c>
      <c r="AI34" s="1"/>
    </row>
    <row r="35">
      <c r="A35" s="1" t="str">
        <f>IFERROR(__xludf.DUMMYFUNCTION("""COMPUTED_VALUE"""),"")</f>
        <v/>
      </c>
      <c r="B35" s="1" t="str">
        <f>IFERROR(__xludf.DUMMYFUNCTION("""COMPUTED_VALUE"""),"")</f>
        <v/>
      </c>
      <c r="C35" s="1" t="str">
        <f>IFERROR(__xludf.DUMMYFUNCTION("""COMPUTED_VALUE"""),"")</f>
        <v/>
      </c>
      <c r="D35" s="1" t="str">
        <f>IFERROR(__xludf.DUMMYFUNCTION("""COMPUTED_VALUE"""),"")</f>
        <v/>
      </c>
      <c r="E35" s="1" t="str">
        <f>IFERROR(__xludf.DUMMYFUNCTION("""COMPUTED_VALUE"""),"")</f>
        <v/>
      </c>
      <c r="F35" s="1" t="str">
        <f>IFERROR(__xludf.DUMMYFUNCTION("""COMPUTED_VALUE"""),"")</f>
        <v/>
      </c>
      <c r="G35" s="1" t="str">
        <f>IFERROR(__xludf.DUMMYFUNCTION("""COMPUTED_VALUE"""),"")</f>
        <v/>
      </c>
      <c r="H35" s="1" t="str">
        <f>IFERROR(__xludf.DUMMYFUNCTION("""COMPUTED_VALUE"""),"")</f>
        <v/>
      </c>
      <c r="I35" s="1" t="str">
        <f>IFERROR(__xludf.DUMMYFUNCTION("""COMPUTED_VALUE"""),"")</f>
        <v/>
      </c>
      <c r="J35" s="1" t="str">
        <f>IFERROR(__xludf.DUMMYFUNCTION("""COMPUTED_VALUE"""),"")</f>
        <v/>
      </c>
      <c r="K35" s="1" t="str">
        <f>IFERROR(__xludf.DUMMYFUNCTION("""COMPUTED_VALUE"""),"")</f>
        <v/>
      </c>
      <c r="L35" s="1" t="str">
        <f>IFERROR(__xludf.DUMMYFUNCTION("""COMPUTED_VALUE"""),"")</f>
        <v/>
      </c>
      <c r="M35" s="1" t="str">
        <f>IFERROR(__xludf.DUMMYFUNCTION("""COMPUTED_VALUE"""),"")</f>
        <v/>
      </c>
      <c r="N35" s="1" t="str">
        <f>IFERROR(__xludf.DUMMYFUNCTION("""COMPUTED_VALUE"""),"")</f>
        <v/>
      </c>
      <c r="O35" s="1" t="str">
        <f>IFERROR(__xludf.DUMMYFUNCTION("""COMPUTED_VALUE"""),"")</f>
        <v/>
      </c>
      <c r="P35" s="1" t="str">
        <f>IFERROR(__xludf.DUMMYFUNCTION("""COMPUTED_VALUE"""),"")</f>
        <v/>
      </c>
      <c r="Q35" s="1" t="str">
        <f>IFERROR(__xludf.DUMMYFUNCTION("""COMPUTED_VALUE"""),"")</f>
        <v/>
      </c>
      <c r="R35" s="1" t="str">
        <f>IFERROR(__xludf.DUMMYFUNCTION("""COMPUTED_VALUE"""),"")</f>
        <v/>
      </c>
      <c r="S35" s="1" t="str">
        <f t="shared" si="2"/>
        <v/>
      </c>
      <c r="T35" s="1" t="str">
        <f t="shared" si="3"/>
        <v/>
      </c>
      <c r="U35" s="1" t="str">
        <f t="shared" si="4"/>
        <v/>
      </c>
      <c r="V35" s="1"/>
      <c r="W35" s="1"/>
      <c r="X35" s="1"/>
      <c r="Y35" s="1"/>
      <c r="Z35" s="8"/>
      <c r="AA35" s="1"/>
      <c r="AB35" s="1"/>
      <c r="AC35" s="1"/>
      <c r="AD35" s="1"/>
      <c r="AE35" s="1"/>
      <c r="AF35" s="1"/>
      <c r="AG35" s="1"/>
      <c r="AH35" s="1" t="str">
        <f t="shared" si="1"/>
        <v/>
      </c>
      <c r="AI35" s="1"/>
    </row>
    <row r="36">
      <c r="A36" s="5">
        <f>IFERROR(__xludf.DUMMYFUNCTION("""COMPUTED_VALUE"""),44996.0)</f>
        <v>44996</v>
      </c>
      <c r="B36" s="14" t="str">
        <f>IFERROR(__xludf.DUMMYFUNCTION("""COMPUTED_VALUE"""),"Envia")</f>
        <v>Envia</v>
      </c>
      <c r="C36" s="6" t="str">
        <f>IFERROR(__xludf.DUMMYFUNCTION("""COMPUTED_VALUE"""),"RIONEGRO")</f>
        <v>RIONEGRO</v>
      </c>
      <c r="D36" s="6" t="str">
        <f>IFERROR(__xludf.DUMMYFUNCTION("""COMPUTED_VALUE"""),"BOGOTÁ")</f>
        <v>BOGOTÁ</v>
      </c>
      <c r="E36" s="6" t="str">
        <f>IFERROR(__xludf.DUMMYFUNCTION("""COMPUTED_VALUE"""),"Ins. Alimento Vital")</f>
        <v>Ins. Alimento Vital</v>
      </c>
      <c r="F36" s="1" t="str">
        <f>IFERROR(__xludf.DUMMYFUNCTION("""COMPUTED_VALUE"""),"CR 51 C 13 A 79 RIONEGRO ANTIOQUIA / APTOS CANTO, AP 406 EN T2 / CIUDAD RIONEGRO ANTIOQUIA")</f>
        <v>CR 51 C 13 A 79 RIONEGRO ANTIOQUIA / APTOS CANTO, AP 406 EN T2 / CIUDAD RIONEGRO ANTIOQUIA</v>
      </c>
      <c r="G36" s="6" t="str">
        <f>IFERROR(__xludf.DUMMYFUNCTION("""COMPUTED_VALUE"""),"SARAY ISABEL ARTEAGA CARDONA")</f>
        <v>SARAY ISABEL ARTEAGA CARDONA</v>
      </c>
      <c r="H36" s="7">
        <f>IFERROR(__xludf.DUMMYFUNCTION("""COMPUTED_VALUE"""),8728.0)</f>
        <v>8728</v>
      </c>
      <c r="I36" s="7">
        <f>IFERROR(__xludf.DUMMYFUNCTION("""COMPUTED_VALUE"""),21.0)</f>
        <v>21</v>
      </c>
      <c r="J36" s="7">
        <f>IFERROR(__xludf.DUMMYFUNCTION("""COMPUTED_VALUE"""),50.0)</f>
        <v>50</v>
      </c>
      <c r="K36" s="7">
        <f>IFERROR(__xludf.DUMMYFUNCTION("""COMPUTED_VALUE"""),30.0)</f>
        <v>30</v>
      </c>
      <c r="L36" s="8">
        <f>IFERROR(__xludf.DUMMYFUNCTION("""COMPUTED_VALUE"""),3.503616257E9)</f>
        <v>3503616257</v>
      </c>
      <c r="M36" s="9" t="str">
        <f>IFERROR(__xludf.DUMMYFUNCTION("""COMPUTED_VALUE"""),"#REF!")</f>
        <v>#REF!</v>
      </c>
      <c r="N36" s="1"/>
      <c r="O36" s="3" t="str">
        <f>IFERROR(__xludf.DUMMYFUNCTION("""COMPUTED_VALUE"""),"")</f>
        <v/>
      </c>
      <c r="P36" s="9" t="b">
        <f>IFERROR(__xludf.DUMMYFUNCTION("""COMPUTED_VALUE"""),FALSE)</f>
        <v>0</v>
      </c>
      <c r="Q36" s="10" t="str">
        <f>IFERROR(__xludf.DUMMYFUNCTION("""COMPUTED_VALUE"""),"")</f>
        <v/>
      </c>
      <c r="R36" s="12" t="str">
        <f>IFERROR(__xludf.DUMMYFUNCTION("""COMPUTED_VALUE"""),"")</f>
        <v/>
      </c>
      <c r="S36" s="1" t="str">
        <f t="shared" si="2"/>
        <v/>
      </c>
      <c r="T36" s="1" t="str">
        <f t="shared" si="3"/>
        <v/>
      </c>
      <c r="U36" s="1" t="str">
        <f t="shared" si="4"/>
        <v/>
      </c>
      <c r="V36" s="1"/>
      <c r="W36" s="1"/>
      <c r="X36" s="1"/>
      <c r="Y36" s="1"/>
      <c r="Z36" s="8"/>
      <c r="AA36" s="1"/>
      <c r="AB36" s="1"/>
      <c r="AC36" s="1"/>
      <c r="AD36" s="1"/>
      <c r="AE36" s="1"/>
      <c r="AF36" s="1"/>
      <c r="AG36" s="1"/>
      <c r="AH36" s="1" t="str">
        <f t="shared" si="1"/>
        <v/>
      </c>
      <c r="AI36" s="1"/>
    </row>
    <row r="37">
      <c r="A37" s="1" t="str">
        <f>IFERROR(__xludf.DUMMYFUNCTION("""COMPUTED_VALUE"""),"")</f>
        <v/>
      </c>
      <c r="B37" s="1" t="str">
        <f>IFERROR(__xludf.DUMMYFUNCTION("""COMPUTED_VALUE"""),"")</f>
        <v/>
      </c>
      <c r="C37" s="1" t="str">
        <f>IFERROR(__xludf.DUMMYFUNCTION("""COMPUTED_VALUE"""),"")</f>
        <v/>
      </c>
      <c r="D37" s="1" t="str">
        <f>IFERROR(__xludf.DUMMYFUNCTION("""COMPUTED_VALUE"""),"")</f>
        <v/>
      </c>
      <c r="E37" s="1" t="str">
        <f>IFERROR(__xludf.DUMMYFUNCTION("""COMPUTED_VALUE"""),"")</f>
        <v/>
      </c>
      <c r="F37" s="1" t="str">
        <f>IFERROR(__xludf.DUMMYFUNCTION("""COMPUTED_VALUE"""),"")</f>
        <v/>
      </c>
      <c r="G37" s="1" t="str">
        <f>IFERROR(__xludf.DUMMYFUNCTION("""COMPUTED_VALUE"""),"")</f>
        <v/>
      </c>
      <c r="H37" s="1" t="str">
        <f>IFERROR(__xludf.DUMMYFUNCTION("""COMPUTED_VALUE"""),"")</f>
        <v/>
      </c>
      <c r="I37" s="1" t="str">
        <f>IFERROR(__xludf.DUMMYFUNCTION("""COMPUTED_VALUE"""),"")</f>
        <v/>
      </c>
      <c r="J37" s="1" t="str">
        <f>IFERROR(__xludf.DUMMYFUNCTION("""COMPUTED_VALUE"""),"")</f>
        <v/>
      </c>
      <c r="K37" s="1" t="str">
        <f>IFERROR(__xludf.DUMMYFUNCTION("""COMPUTED_VALUE"""),"")</f>
        <v/>
      </c>
      <c r="L37" s="1" t="str">
        <f>IFERROR(__xludf.DUMMYFUNCTION("""COMPUTED_VALUE"""),"")</f>
        <v/>
      </c>
      <c r="M37" s="1" t="str">
        <f>IFERROR(__xludf.DUMMYFUNCTION("""COMPUTED_VALUE"""),"")</f>
        <v/>
      </c>
      <c r="N37" s="1" t="str">
        <f>IFERROR(__xludf.DUMMYFUNCTION("""COMPUTED_VALUE"""),"")</f>
        <v/>
      </c>
      <c r="O37" s="1" t="str">
        <f>IFERROR(__xludf.DUMMYFUNCTION("""COMPUTED_VALUE"""),"")</f>
        <v/>
      </c>
      <c r="P37" s="1" t="str">
        <f>IFERROR(__xludf.DUMMYFUNCTION("""COMPUTED_VALUE"""),"")</f>
        <v/>
      </c>
      <c r="Q37" s="1" t="str">
        <f>IFERROR(__xludf.DUMMYFUNCTION("""COMPUTED_VALUE"""),"")</f>
        <v/>
      </c>
      <c r="R37" s="1" t="str">
        <f>IFERROR(__xludf.DUMMYFUNCTION("""COMPUTED_VALUE"""),"")</f>
        <v/>
      </c>
      <c r="S37" s="1" t="str">
        <f t="shared" si="2"/>
        <v/>
      </c>
      <c r="T37" s="1" t="str">
        <f t="shared" si="3"/>
        <v/>
      </c>
      <c r="U37" s="1" t="str">
        <f t="shared" si="4"/>
        <v/>
      </c>
      <c r="V37" s="1"/>
      <c r="W37" s="1"/>
      <c r="X37" s="1"/>
      <c r="Y37" s="1"/>
      <c r="Z37" s="8"/>
      <c r="AA37" s="1"/>
      <c r="AB37" s="1"/>
      <c r="AC37" s="1"/>
      <c r="AD37" s="1"/>
      <c r="AE37" s="1"/>
      <c r="AF37" s="1"/>
      <c r="AG37" s="1"/>
      <c r="AH37" s="1" t="str">
        <f t="shared" si="1"/>
        <v/>
      </c>
      <c r="AI37" s="1"/>
    </row>
    <row r="38">
      <c r="A38" s="5">
        <f>IFERROR(__xludf.DUMMYFUNCTION("""COMPUTED_VALUE"""),44999.0)</f>
        <v>44999</v>
      </c>
      <c r="B38" s="1"/>
      <c r="C38" s="6" t="str">
        <f>IFERROR(__xludf.DUMMYFUNCTION("""COMPUTED_VALUE"""),"MEDELLÍN")</f>
        <v>MEDELLÍN</v>
      </c>
      <c r="D38" s="6" t="str">
        <f>IFERROR(__xludf.DUMMYFUNCTION("""COMPUTED_VALUE"""),"BOGOTÁ")</f>
        <v>BOGOTÁ</v>
      </c>
      <c r="E38" s="6" t="str">
        <f>IFERROR(__xludf.DUMMYFUNCTION("""COMPUTED_VALUE"""),"Loomifoods")</f>
        <v>Loomifoods</v>
      </c>
      <c r="F38" s="1" t="str">
        <f>IFERROR(__xludf.DUMMYFUNCTION("""COMPUTED_VALUE"""),"Calle 5 no. 25 - 115 / Edificio Amsterdam / Torre 1, Apto 1801")</f>
        <v>Calle 5 no. 25 - 115 / Edificio Amsterdam / Torre 1, Apto 1801</v>
      </c>
      <c r="G38" s="6" t="str">
        <f>IFERROR(__xludf.DUMMYFUNCTION("""COMPUTED_VALUE"""),"Laura Manuela Jaramillo")</f>
        <v>Laura Manuela Jaramillo</v>
      </c>
      <c r="H38" s="7">
        <f>IFERROR(__xludf.DUMMYFUNCTION("""COMPUTED_VALUE"""),8844.0)</f>
        <v>8844</v>
      </c>
      <c r="I38" s="7">
        <f>IFERROR(__xludf.DUMMYFUNCTION("""COMPUTED_VALUE"""),10.0)</f>
        <v>10</v>
      </c>
      <c r="J38" s="7">
        <f>IFERROR(__xludf.DUMMYFUNCTION("""COMPUTED_VALUE"""),20.0)</f>
        <v>20</v>
      </c>
      <c r="K38" s="7">
        <f>IFERROR(__xludf.DUMMYFUNCTION("""COMPUTED_VALUE"""),20.0)</f>
        <v>20</v>
      </c>
      <c r="L38" s="8">
        <f>IFERROR(__xludf.DUMMYFUNCTION("""COMPUTED_VALUE"""),3.218166743E9)</f>
        <v>3218166743</v>
      </c>
      <c r="M38" s="9" t="str">
        <f>IFERROR(__xludf.DUMMYFUNCTION("""COMPUTED_VALUE"""),"#REF!")</f>
        <v>#REF!</v>
      </c>
      <c r="N38" s="3" t="str">
        <f>IFERROR(__xludf.DUMMYFUNCTION("""COMPUTED_VALUE"""),"")</f>
        <v/>
      </c>
      <c r="O38" s="3" t="str">
        <f>IFERROR(__xludf.DUMMYFUNCTION("""COMPUTED_VALUE"""),"")</f>
        <v/>
      </c>
      <c r="P38" s="9" t="b">
        <f>IFERROR(__xludf.DUMMYFUNCTION("""COMPUTED_VALUE"""),FALSE)</f>
        <v>0</v>
      </c>
      <c r="Q38" s="10" t="str">
        <f>IFERROR(__xludf.DUMMYFUNCTION("""COMPUTED_VALUE"""),"")</f>
        <v/>
      </c>
      <c r="R38" s="11" t="str">
        <f>IFERROR(__xludf.DUMMYFUNCTION("""COMPUTED_VALUE"""),"https://drive.google.com/file/d/1HeuvGCBMvakESQ9cyD0wz0SD-eoLCDnG/view?usp=drivesdk")</f>
        <v>https://drive.google.com/file/d/1HeuvGCBMvakESQ9cyD0wz0SD-eoLCDnG/view?usp=drivesdk</v>
      </c>
      <c r="S38" s="1" t="str">
        <f t="shared" si="2"/>
        <v/>
      </c>
      <c r="T38" s="1" t="str">
        <f t="shared" si="3"/>
        <v/>
      </c>
      <c r="U38" s="1" t="str">
        <f t="shared" si="4"/>
        <v/>
      </c>
      <c r="V38" s="1"/>
      <c r="W38" s="1"/>
      <c r="X38" s="1"/>
      <c r="Y38" s="1"/>
      <c r="Z38" s="8"/>
      <c r="AA38" s="1"/>
      <c r="AB38" s="1"/>
      <c r="AC38" s="1"/>
      <c r="AD38" s="1"/>
      <c r="AE38" s="1"/>
      <c r="AF38" s="1"/>
      <c r="AG38" s="1"/>
      <c r="AH38" s="1" t="str">
        <f t="shared" si="1"/>
        <v/>
      </c>
      <c r="AI38" s="1"/>
    </row>
    <row r="39">
      <c r="A39" s="5">
        <f>IFERROR(__xludf.DUMMYFUNCTION("""COMPUTED_VALUE"""),44999.0)</f>
        <v>44999</v>
      </c>
      <c r="B39" s="1"/>
      <c r="C39" s="6" t="str">
        <f>IFERROR(__xludf.DUMMYFUNCTION("""COMPUTED_VALUE"""),"MEDELLÍN")</f>
        <v>MEDELLÍN</v>
      </c>
      <c r="D39" s="6" t="str">
        <f>IFERROR(__xludf.DUMMYFUNCTION("""COMPUTED_VALUE"""),"BOGOTÁ")</f>
        <v>BOGOTÁ</v>
      </c>
      <c r="E39" s="6" t="str">
        <f>IFERROR(__xludf.DUMMYFUNCTION("""COMPUTED_VALUE"""),"Mochi")</f>
        <v>Mochi</v>
      </c>
      <c r="F39" s="1" t="str">
        <f>IFERROR(__xludf.DUMMYFUNCTION("""COMPUTED_VALUE"""),"CR 48 32B SUR 139 envigado / viva / viva")</f>
        <v>CR 48 32B SUR 139 envigado / viva / viva</v>
      </c>
      <c r="G39" s="6" t="str">
        <f>IFERROR(__xludf.DUMMYFUNCTION("""COMPUTED_VALUE"""),"Gabriela Fernandez")</f>
        <v>Gabriela Fernandez</v>
      </c>
      <c r="H39" s="7">
        <f>IFERROR(__xludf.DUMMYFUNCTION("""COMPUTED_VALUE"""),8857.0)</f>
        <v>8857</v>
      </c>
      <c r="I39" s="7">
        <f>IFERROR(__xludf.DUMMYFUNCTION("""COMPUTED_VALUE"""),275.0)</f>
        <v>275</v>
      </c>
      <c r="J39" s="7">
        <f>IFERROR(__xludf.DUMMYFUNCTION("""COMPUTED_VALUE"""),45.0)</f>
        <v>45</v>
      </c>
      <c r="K39" s="2" t="str">
        <f>IFERROR(__xludf.DUMMYFUNCTION("""COMPUTED_VALUE"""),"52.5")</f>
        <v>52.5</v>
      </c>
      <c r="L39" s="8">
        <f>IFERROR(__xludf.DUMMYFUNCTION("""COMPUTED_VALUE"""),3.243948988E9)</f>
        <v>3243948988</v>
      </c>
      <c r="M39" s="9" t="str">
        <f>IFERROR(__xludf.DUMMYFUNCTION("""COMPUTED_VALUE"""),"#REF!")</f>
        <v>#REF!</v>
      </c>
      <c r="N39" s="3" t="str">
        <f>IFERROR(__xludf.DUMMYFUNCTION("""COMPUTED_VALUE"""),"")</f>
        <v/>
      </c>
      <c r="O39" s="3" t="str">
        <f>IFERROR(__xludf.DUMMYFUNCTION("""COMPUTED_VALUE"""),"")</f>
        <v/>
      </c>
      <c r="P39" s="9" t="b">
        <f>IFERROR(__xludf.DUMMYFUNCTION("""COMPUTED_VALUE"""),TRUE)</f>
        <v>1</v>
      </c>
      <c r="Q39" s="13">
        <f>IFERROR(__xludf.DUMMYFUNCTION("""COMPUTED_VALUE"""),44999.616612314814)</f>
        <v>44999.61661</v>
      </c>
      <c r="R39" s="12" t="str">
        <f>IFERROR(__xludf.DUMMYFUNCTION("""COMPUTED_VALUE"""),"")</f>
        <v/>
      </c>
      <c r="S39" s="1" t="str">
        <f t="shared" si="2"/>
        <v/>
      </c>
      <c r="T39" s="1" t="str">
        <f t="shared" si="3"/>
        <v/>
      </c>
      <c r="U39" s="1" t="str">
        <f t="shared" si="4"/>
        <v/>
      </c>
      <c r="V39" s="1"/>
      <c r="W39" s="1"/>
      <c r="X39" s="1"/>
      <c r="Y39" s="1"/>
      <c r="Z39" s="8"/>
      <c r="AA39" s="1"/>
      <c r="AB39" s="1"/>
      <c r="AC39" s="1"/>
      <c r="AD39" s="1"/>
      <c r="AE39" s="1"/>
      <c r="AF39" s="1"/>
      <c r="AG39" s="1"/>
      <c r="AH39" s="1" t="str">
        <f t="shared" si="1"/>
        <v/>
      </c>
      <c r="AI39" s="1"/>
    </row>
    <row r="40">
      <c r="A40" s="1" t="str">
        <f>IFERROR(__xludf.DUMMYFUNCTION("""COMPUTED_VALUE"""),"")</f>
        <v/>
      </c>
      <c r="B40" s="1" t="str">
        <f>IFERROR(__xludf.DUMMYFUNCTION("""COMPUTED_VALUE"""),"")</f>
        <v/>
      </c>
      <c r="C40" s="1" t="str">
        <f>IFERROR(__xludf.DUMMYFUNCTION("""COMPUTED_VALUE"""),"")</f>
        <v/>
      </c>
      <c r="D40" s="1" t="str">
        <f>IFERROR(__xludf.DUMMYFUNCTION("""COMPUTED_VALUE"""),"")</f>
        <v/>
      </c>
      <c r="E40" s="1" t="str">
        <f>IFERROR(__xludf.DUMMYFUNCTION("""COMPUTED_VALUE"""),"")</f>
        <v/>
      </c>
      <c r="F40" s="1" t="str">
        <f>IFERROR(__xludf.DUMMYFUNCTION("""COMPUTED_VALUE"""),"")</f>
        <v/>
      </c>
      <c r="G40" s="1" t="str">
        <f>IFERROR(__xludf.DUMMYFUNCTION("""COMPUTED_VALUE"""),"")</f>
        <v/>
      </c>
      <c r="H40" s="1" t="str">
        <f>IFERROR(__xludf.DUMMYFUNCTION("""COMPUTED_VALUE"""),"")</f>
        <v/>
      </c>
      <c r="I40" s="1" t="str">
        <f>IFERROR(__xludf.DUMMYFUNCTION("""COMPUTED_VALUE"""),"")</f>
        <v/>
      </c>
      <c r="J40" s="1" t="str">
        <f>IFERROR(__xludf.DUMMYFUNCTION("""COMPUTED_VALUE"""),"")</f>
        <v/>
      </c>
      <c r="K40" s="1" t="str">
        <f>IFERROR(__xludf.DUMMYFUNCTION("""COMPUTED_VALUE"""),"")</f>
        <v/>
      </c>
      <c r="L40" s="1" t="str">
        <f>IFERROR(__xludf.DUMMYFUNCTION("""COMPUTED_VALUE"""),"")</f>
        <v/>
      </c>
      <c r="M40" s="1" t="str">
        <f>IFERROR(__xludf.DUMMYFUNCTION("""COMPUTED_VALUE"""),"")</f>
        <v/>
      </c>
      <c r="N40" s="1" t="str">
        <f>IFERROR(__xludf.DUMMYFUNCTION("""COMPUTED_VALUE"""),"")</f>
        <v/>
      </c>
      <c r="O40" s="1" t="str">
        <f>IFERROR(__xludf.DUMMYFUNCTION("""COMPUTED_VALUE"""),"")</f>
        <v/>
      </c>
      <c r="P40" s="1" t="str">
        <f>IFERROR(__xludf.DUMMYFUNCTION("""COMPUTED_VALUE"""),"")</f>
        <v/>
      </c>
      <c r="Q40" s="1" t="str">
        <f>IFERROR(__xludf.DUMMYFUNCTION("""COMPUTED_VALUE"""),"")</f>
        <v/>
      </c>
      <c r="R40" s="1" t="str">
        <f>IFERROR(__xludf.DUMMYFUNCTION("""COMPUTED_VALUE"""),"")</f>
        <v/>
      </c>
      <c r="S40" s="1" t="str">
        <f t="shared" si="2"/>
        <v/>
      </c>
      <c r="T40" s="1" t="str">
        <f t="shared" si="3"/>
        <v/>
      </c>
      <c r="U40" s="1" t="str">
        <f t="shared" si="4"/>
        <v/>
      </c>
      <c r="V40" s="1"/>
      <c r="W40" s="1"/>
      <c r="X40" s="1"/>
      <c r="Y40" s="1"/>
      <c r="Z40" s="8"/>
      <c r="AA40" s="1"/>
      <c r="AB40" s="1"/>
      <c r="AC40" s="1"/>
      <c r="AD40" s="1"/>
      <c r="AE40" s="1"/>
      <c r="AF40" s="1"/>
      <c r="AG40" s="1"/>
      <c r="AH40" s="1" t="str">
        <f t="shared" si="1"/>
        <v/>
      </c>
      <c r="AI40" s="1"/>
    </row>
    <row r="41">
      <c r="A41" s="5">
        <f>IFERROR(__xludf.DUMMYFUNCTION("""COMPUTED_VALUE"""),44999.0)</f>
        <v>44999</v>
      </c>
      <c r="B41" s="14" t="str">
        <f>IFERROR(__xludf.DUMMYFUNCTION("""COMPUTED_VALUE"""),"Andrés Felipe Castillo Muñoz")</f>
        <v>Andrés Felipe Castillo Muñoz</v>
      </c>
      <c r="C41" s="6" t="str">
        <f>IFERROR(__xludf.DUMMYFUNCTION("""COMPUTED_VALUE"""),"CALI")</f>
        <v>CALI</v>
      </c>
      <c r="D41" s="6" t="str">
        <f>IFERROR(__xludf.DUMMYFUNCTION("""COMPUTED_VALUE"""),"BOGOTÁ")</f>
        <v>BOGOTÁ</v>
      </c>
      <c r="E41" s="6" t="str">
        <f>IFERROR(__xludf.DUMMYFUNCTION("""COMPUTED_VALUE"""),"Top Spun")</f>
        <v>Top Spun</v>
      </c>
      <c r="F41" s="1" t="str">
        <f>IFERROR(__xludf.DUMMYFUNCTION("""COMPUTED_VALUE"""),"Avenida 7 A Norte # 56-128 /  Edificio Torres de Menga. Apto 202 Torre 1 / Menga. Cali")</f>
        <v>Avenida 7 A Norte # 56-128 /  Edificio Torres de Menga. Apto 202 Torre 1 / Menga. Cali</v>
      </c>
      <c r="G41" s="6" t="str">
        <f>IFERROR(__xludf.DUMMYFUNCTION("""COMPUTED_VALUE"""),"Angela Duque")</f>
        <v>Angela Duque</v>
      </c>
      <c r="H41" s="7">
        <f>IFERROR(__xludf.DUMMYFUNCTION("""COMPUTED_VALUE"""),8792.0)</f>
        <v>8792</v>
      </c>
      <c r="I41" s="7">
        <f>IFERROR(__xludf.DUMMYFUNCTION("""COMPUTED_VALUE"""),20.0)</f>
        <v>20</v>
      </c>
      <c r="J41" s="7">
        <f>IFERROR(__xludf.DUMMYFUNCTION("""COMPUTED_VALUE"""),10.0)</f>
        <v>10</v>
      </c>
      <c r="K41" s="7">
        <f>IFERROR(__xludf.DUMMYFUNCTION("""COMPUTED_VALUE"""),40.0)</f>
        <v>40</v>
      </c>
      <c r="L41" s="8">
        <f>IFERROR(__xludf.DUMMYFUNCTION("""COMPUTED_VALUE"""),3.17367049E9)</f>
        <v>3173670490</v>
      </c>
      <c r="M41" s="9" t="str">
        <f>IFERROR(__xludf.DUMMYFUNCTION("""COMPUTED_VALUE"""),"#REF!")</f>
        <v>#REF!</v>
      </c>
      <c r="N41" s="1"/>
      <c r="O41" s="3" t="str">
        <f>IFERROR(__xludf.DUMMYFUNCTION("""COMPUTED_VALUE"""),"")</f>
        <v/>
      </c>
      <c r="P41" s="9" t="b">
        <f>IFERROR(__xludf.DUMMYFUNCTION("""COMPUTED_VALUE"""),FALSE)</f>
        <v>0</v>
      </c>
      <c r="Q41" s="10" t="str">
        <f>IFERROR(__xludf.DUMMYFUNCTION("""COMPUTED_VALUE"""),"")</f>
        <v/>
      </c>
      <c r="R41" s="11" t="str">
        <f>IFERROR(__xludf.DUMMYFUNCTION("""COMPUTED_VALUE"""),"https://drive.google.com/file/d/1CN5TSjZsKcuq4eGcT6va6uoDbVbLz8rT/view?usp=drivesdk")</f>
        <v>https://drive.google.com/file/d/1CN5TSjZsKcuq4eGcT6va6uoDbVbLz8rT/view?usp=drivesdk</v>
      </c>
      <c r="S41" s="1" t="str">
        <f t="shared" si="2"/>
        <v/>
      </c>
      <c r="T41" s="1" t="str">
        <f t="shared" si="3"/>
        <v/>
      </c>
      <c r="U41" s="1" t="str">
        <f t="shared" si="4"/>
        <v/>
      </c>
      <c r="V41" s="1"/>
      <c r="W41" s="1"/>
      <c r="X41" s="1"/>
      <c r="Y41" s="1"/>
      <c r="Z41" s="8"/>
      <c r="AA41" s="1"/>
      <c r="AB41" s="1"/>
      <c r="AC41" s="1"/>
      <c r="AD41" s="1"/>
      <c r="AE41" s="1"/>
      <c r="AF41" s="1"/>
      <c r="AG41" s="1"/>
      <c r="AH41" s="1" t="str">
        <f t="shared" si="1"/>
        <v/>
      </c>
      <c r="AI41" s="1"/>
    </row>
    <row r="42">
      <c r="A42" s="1" t="str">
        <f>IFERROR(__xludf.DUMMYFUNCTION("""COMPUTED_VALUE"""),"")</f>
        <v/>
      </c>
      <c r="B42" s="1" t="str">
        <f>IFERROR(__xludf.DUMMYFUNCTION("""COMPUTED_VALUE"""),"")</f>
        <v/>
      </c>
      <c r="C42" s="1" t="str">
        <f>IFERROR(__xludf.DUMMYFUNCTION("""COMPUTED_VALUE"""),"")</f>
        <v/>
      </c>
      <c r="D42" s="1" t="str">
        <f>IFERROR(__xludf.DUMMYFUNCTION("""COMPUTED_VALUE"""),"")</f>
        <v/>
      </c>
      <c r="E42" s="1" t="str">
        <f>IFERROR(__xludf.DUMMYFUNCTION("""COMPUTED_VALUE"""),"")</f>
        <v/>
      </c>
      <c r="F42" s="1" t="str">
        <f>IFERROR(__xludf.DUMMYFUNCTION("""COMPUTED_VALUE"""),"")</f>
        <v/>
      </c>
      <c r="G42" s="1" t="str">
        <f>IFERROR(__xludf.DUMMYFUNCTION("""COMPUTED_VALUE"""),"")</f>
        <v/>
      </c>
      <c r="H42" s="1" t="str">
        <f>IFERROR(__xludf.DUMMYFUNCTION("""COMPUTED_VALUE"""),"")</f>
        <v/>
      </c>
      <c r="I42" s="1" t="str">
        <f>IFERROR(__xludf.DUMMYFUNCTION("""COMPUTED_VALUE"""),"")</f>
        <v/>
      </c>
      <c r="J42" s="1" t="str">
        <f>IFERROR(__xludf.DUMMYFUNCTION("""COMPUTED_VALUE"""),"")</f>
        <v/>
      </c>
      <c r="K42" s="1" t="str">
        <f>IFERROR(__xludf.DUMMYFUNCTION("""COMPUTED_VALUE"""),"")</f>
        <v/>
      </c>
      <c r="L42" s="1" t="str">
        <f>IFERROR(__xludf.DUMMYFUNCTION("""COMPUTED_VALUE"""),"")</f>
        <v/>
      </c>
      <c r="M42" s="1" t="str">
        <f>IFERROR(__xludf.DUMMYFUNCTION("""COMPUTED_VALUE"""),"")</f>
        <v/>
      </c>
      <c r="N42" s="1" t="str">
        <f>IFERROR(__xludf.DUMMYFUNCTION("""COMPUTED_VALUE"""),"")</f>
        <v/>
      </c>
      <c r="O42" s="1" t="str">
        <f>IFERROR(__xludf.DUMMYFUNCTION("""COMPUTED_VALUE"""),"")</f>
        <v/>
      </c>
      <c r="P42" s="1" t="str">
        <f>IFERROR(__xludf.DUMMYFUNCTION("""COMPUTED_VALUE"""),"")</f>
        <v/>
      </c>
      <c r="Q42" s="1" t="str">
        <f>IFERROR(__xludf.DUMMYFUNCTION("""COMPUTED_VALUE"""),"")</f>
        <v/>
      </c>
      <c r="R42" s="1" t="str">
        <f>IFERROR(__xludf.DUMMYFUNCTION("""COMPUTED_VALUE"""),"")</f>
        <v/>
      </c>
      <c r="S42" s="1" t="str">
        <f t="shared" si="2"/>
        <v/>
      </c>
      <c r="T42" s="1" t="str">
        <f t="shared" si="3"/>
        <v/>
      </c>
      <c r="U42" s="1" t="str">
        <f t="shared" si="4"/>
        <v/>
      </c>
      <c r="V42" s="1"/>
      <c r="W42" s="1"/>
      <c r="X42" s="1"/>
      <c r="Y42" s="1"/>
      <c r="Z42" s="8"/>
      <c r="AA42" s="1"/>
      <c r="AB42" s="1"/>
      <c r="AC42" s="1"/>
      <c r="AD42" s="1"/>
      <c r="AE42" s="1"/>
      <c r="AF42" s="1"/>
      <c r="AG42" s="1"/>
      <c r="AH42" s="1" t="str">
        <f t="shared" si="1"/>
        <v/>
      </c>
      <c r="AI42" s="1"/>
    </row>
    <row r="43">
      <c r="A43" s="5">
        <f>IFERROR(__xludf.DUMMYFUNCTION("""COMPUTED_VALUE"""),44999.0)</f>
        <v>44999</v>
      </c>
      <c r="B43" s="14" t="str">
        <f>IFERROR(__xludf.DUMMYFUNCTION("""COMPUTED_VALUE"""),"Deivi Alejandro Quintero Corrales")</f>
        <v>Deivi Alejandro Quintero Corrales</v>
      </c>
      <c r="C43" s="6" t="str">
        <f>IFERROR(__xludf.DUMMYFUNCTION("""COMPUTED_VALUE"""),"ARMENIA")</f>
        <v>ARMENIA</v>
      </c>
      <c r="D43" s="6" t="str">
        <f>IFERROR(__xludf.DUMMYFUNCTION("""COMPUTED_VALUE"""),"BOGOTÁ")</f>
        <v>BOGOTÁ</v>
      </c>
      <c r="E43" s="6" t="str">
        <f>IFERROR(__xludf.DUMMYFUNCTION("""COMPUTED_VALUE"""),"Asociacion Agropecuaria Juana Maria")</f>
        <v>Asociacion Agropecuaria Juana Maria</v>
      </c>
      <c r="F43" s="1" t="str">
        <f>IFERROR(__xludf.DUMMYFUNCTION("""COMPUTED_VALUE"""),"Cra 16 # 16-21 local 14")</f>
        <v>Cra 16 # 16-21 local 14</v>
      </c>
      <c r="G43" s="6" t="str">
        <f>IFERROR(__xludf.DUMMYFUNCTION("""COMPUTED_VALUE"""),"Leidy Natalia Parra Gomez")</f>
        <v>Leidy Natalia Parra Gomez</v>
      </c>
      <c r="H43" s="7">
        <f>IFERROR(__xludf.DUMMYFUNCTION("""COMPUTED_VALUE"""),8790.0)</f>
        <v>8790</v>
      </c>
      <c r="I43" s="7">
        <f>IFERROR(__xludf.DUMMYFUNCTION("""COMPUTED_VALUE"""),16.0)</f>
        <v>16</v>
      </c>
      <c r="J43" s="7">
        <f>IFERROR(__xludf.DUMMYFUNCTION("""COMPUTED_VALUE"""),34.0)</f>
        <v>34</v>
      </c>
      <c r="K43" s="7">
        <f>IFERROR(__xludf.DUMMYFUNCTION("""COMPUTED_VALUE"""),25.0)</f>
        <v>25</v>
      </c>
      <c r="L43" s="8">
        <f>IFERROR(__xludf.DUMMYFUNCTION("""COMPUTED_VALUE"""),3.024454573E9)</f>
        <v>3024454573</v>
      </c>
      <c r="M43" s="9" t="str">
        <f>IFERROR(__xludf.DUMMYFUNCTION("""COMPUTED_VALUE"""),"#REF!")</f>
        <v>#REF!</v>
      </c>
      <c r="N43" s="1"/>
      <c r="O43" s="3" t="str">
        <f>IFERROR(__xludf.DUMMYFUNCTION("""COMPUTED_VALUE"""),"")</f>
        <v/>
      </c>
      <c r="P43" s="9" t="b">
        <f>IFERROR(__xludf.DUMMYFUNCTION("""COMPUTED_VALUE"""),FALSE)</f>
        <v>0</v>
      </c>
      <c r="Q43" s="10" t="str">
        <f>IFERROR(__xludf.DUMMYFUNCTION("""COMPUTED_VALUE"""),"")</f>
        <v/>
      </c>
      <c r="R43" s="12" t="str">
        <f>IFERROR(__xludf.DUMMYFUNCTION("""COMPUTED_VALUE"""),"")</f>
        <v/>
      </c>
      <c r="S43" s="1" t="str">
        <f t="shared" si="2"/>
        <v/>
      </c>
      <c r="T43" s="1" t="str">
        <f t="shared" si="3"/>
        <v/>
      </c>
      <c r="U43" s="1" t="str">
        <f t="shared" si="4"/>
        <v/>
      </c>
      <c r="V43" s="1"/>
      <c r="W43" s="1"/>
      <c r="X43" s="1"/>
      <c r="Y43" s="1"/>
      <c r="Z43" s="8"/>
      <c r="AA43" s="1"/>
      <c r="AB43" s="1"/>
      <c r="AC43" s="1"/>
      <c r="AD43" s="1"/>
      <c r="AE43" s="1"/>
      <c r="AF43" s="1"/>
      <c r="AG43" s="1"/>
      <c r="AH43" s="1" t="str">
        <f t="shared" si="1"/>
        <v/>
      </c>
      <c r="AI43" s="1"/>
    </row>
    <row r="44">
      <c r="A44" s="5">
        <f>IFERROR(__xludf.DUMMYFUNCTION("""COMPUTED_VALUE"""),44999.0)</f>
        <v>44999</v>
      </c>
      <c r="B44" s="14" t="str">
        <f>IFERROR(__xludf.DUMMYFUNCTION("""COMPUTED_VALUE"""),"Deivi Alejandro Quintero Corrales")</f>
        <v>Deivi Alejandro Quintero Corrales</v>
      </c>
      <c r="C44" s="6" t="str">
        <f>IFERROR(__xludf.DUMMYFUNCTION("""COMPUTED_VALUE"""),"ARMENIA")</f>
        <v>ARMENIA</v>
      </c>
      <c r="D44" s="6" t="str">
        <f>IFERROR(__xludf.DUMMYFUNCTION("""COMPUTED_VALUE"""),"BOGOTÁ")</f>
        <v>BOGOTÁ</v>
      </c>
      <c r="E44" s="6" t="str">
        <f>IFERROR(__xludf.DUMMYFUNCTION("""COMPUTED_VALUE"""),"Asociacion Agropecuaria Juana Maria")</f>
        <v>Asociacion Agropecuaria Juana Maria</v>
      </c>
      <c r="F44" s="1" t="str">
        <f>IFERROR(__xludf.DUMMYFUNCTION("""COMPUTED_VALUE"""),"URBANIZACION ENTREVERDES MANZANA 8 CASA 7")</f>
        <v>URBANIZACION ENTREVERDES MANZANA 8 CASA 7</v>
      </c>
      <c r="G44" s="6" t="str">
        <f>IFERROR(__xludf.DUMMYFUNCTION("""COMPUTED_VALUE"""),"Claudia Castillo")</f>
        <v>Claudia Castillo</v>
      </c>
      <c r="H44" s="7">
        <f>IFERROR(__xludf.DUMMYFUNCTION("""COMPUTED_VALUE"""),8784.0)</f>
        <v>8784</v>
      </c>
      <c r="I44" s="7">
        <f>IFERROR(__xludf.DUMMYFUNCTION("""COMPUTED_VALUE"""),21.0)</f>
        <v>21</v>
      </c>
      <c r="J44" s="7">
        <f>IFERROR(__xludf.DUMMYFUNCTION("""COMPUTED_VALUE"""),37.0)</f>
        <v>37</v>
      </c>
      <c r="K44" s="7">
        <f>IFERROR(__xludf.DUMMYFUNCTION("""COMPUTED_VALUE"""),30.0)</f>
        <v>30</v>
      </c>
      <c r="L44" s="8">
        <f>IFERROR(__xludf.DUMMYFUNCTION("""COMPUTED_VALUE"""),3.20804821E9)</f>
        <v>3208048210</v>
      </c>
      <c r="M44" s="9" t="str">
        <f>IFERROR(__xludf.DUMMYFUNCTION("""COMPUTED_VALUE"""),"#REF!")</f>
        <v>#REF!</v>
      </c>
      <c r="N44" s="1"/>
      <c r="O44" s="3" t="str">
        <f>IFERROR(__xludf.DUMMYFUNCTION("""COMPUTED_VALUE"""),"")</f>
        <v/>
      </c>
      <c r="P44" s="9" t="b">
        <f>IFERROR(__xludf.DUMMYFUNCTION("""COMPUTED_VALUE"""),FALSE)</f>
        <v>0</v>
      </c>
      <c r="Q44" s="10" t="str">
        <f>IFERROR(__xludf.DUMMYFUNCTION("""COMPUTED_VALUE"""),"")</f>
        <v/>
      </c>
      <c r="R44" s="12" t="str">
        <f>IFERROR(__xludf.DUMMYFUNCTION("""COMPUTED_VALUE"""),"")</f>
        <v/>
      </c>
      <c r="S44" s="1" t="str">
        <f t="shared" si="2"/>
        <v/>
      </c>
      <c r="T44" s="1" t="str">
        <f t="shared" si="3"/>
        <v/>
      </c>
      <c r="U44" s="1" t="str">
        <f t="shared" si="4"/>
        <v/>
      </c>
      <c r="V44" s="1"/>
      <c r="W44" s="1"/>
      <c r="X44" s="1"/>
      <c r="Y44" s="1"/>
      <c r="Z44" s="8"/>
      <c r="AA44" s="1"/>
      <c r="AB44" s="1"/>
      <c r="AC44" s="1"/>
      <c r="AD44" s="1"/>
      <c r="AE44" s="1"/>
      <c r="AF44" s="1"/>
      <c r="AG44" s="1"/>
      <c r="AH44" s="1" t="str">
        <f t="shared" si="1"/>
        <v/>
      </c>
      <c r="AI44" s="1"/>
    </row>
    <row r="45">
      <c r="A45" s="5">
        <f>IFERROR(__xludf.DUMMYFUNCTION("""COMPUTED_VALUE"""),44999.0)</f>
        <v>44999</v>
      </c>
      <c r="B45" s="14" t="str">
        <f>IFERROR(__xludf.DUMMYFUNCTION("""COMPUTED_VALUE"""),"Deivi Alejandro Quintero Corrales")</f>
        <v>Deivi Alejandro Quintero Corrales</v>
      </c>
      <c r="C45" s="6" t="str">
        <f>IFERROR(__xludf.DUMMYFUNCTION("""COMPUTED_VALUE"""),"PEREIRA")</f>
        <v>PEREIRA</v>
      </c>
      <c r="D45" s="6" t="str">
        <f>IFERROR(__xludf.DUMMYFUNCTION("""COMPUTED_VALUE"""),"BOGOTÁ")</f>
        <v>BOGOTÁ</v>
      </c>
      <c r="E45" s="6" t="str">
        <f>IFERROR(__xludf.DUMMYFUNCTION("""COMPUTED_VALUE"""),"Coobake")</f>
        <v>Coobake</v>
      </c>
      <c r="F45" s="1" t="str">
        <f>IFERROR(__xludf.DUMMYFUNCTION("""COMPUTED_VALUE"""),"Envía Pereira  / Envía Pereira  / Envía Pereira")</f>
        <v>Envía Pereira  / Envía Pereira  / Envía Pereira</v>
      </c>
      <c r="G45" s="6" t="str">
        <f>IFERROR(__xludf.DUMMYFUNCTION("""COMPUTED_VALUE"""),"Walter Galindo")</f>
        <v>Walter Galindo</v>
      </c>
      <c r="H45" s="7">
        <f>IFERROR(__xludf.DUMMYFUNCTION("""COMPUTED_VALUE"""),8828.0)</f>
        <v>8828</v>
      </c>
      <c r="I45" s="7">
        <f>IFERROR(__xludf.DUMMYFUNCTION("""COMPUTED_VALUE"""),24.0)</f>
        <v>24</v>
      </c>
      <c r="J45" s="7">
        <f>IFERROR(__xludf.DUMMYFUNCTION("""COMPUTED_VALUE"""),45077.0)</f>
        <v>45077</v>
      </c>
      <c r="K45" s="7">
        <f>IFERROR(__xludf.DUMMYFUNCTION("""COMPUTED_VALUE"""),25.0)</f>
        <v>25</v>
      </c>
      <c r="L45" s="8">
        <f>IFERROR(__xludf.DUMMYFUNCTION("""COMPUTED_VALUE"""),3.10415762E9)</f>
        <v>3104157620</v>
      </c>
      <c r="M45" s="9" t="str">
        <f>IFERROR(__xludf.DUMMYFUNCTION("""COMPUTED_VALUE"""),"#REF!")</f>
        <v>#REF!</v>
      </c>
      <c r="N45" s="1"/>
      <c r="O45" s="3" t="str">
        <f>IFERROR(__xludf.DUMMYFUNCTION("""COMPUTED_VALUE"""),"")</f>
        <v/>
      </c>
      <c r="P45" s="9" t="b">
        <f>IFERROR(__xludf.DUMMYFUNCTION("""COMPUTED_VALUE"""),FALSE)</f>
        <v>0</v>
      </c>
      <c r="Q45" s="10" t="str">
        <f>IFERROR(__xludf.DUMMYFUNCTION("""COMPUTED_VALUE"""),"")</f>
        <v/>
      </c>
      <c r="R45" s="12" t="str">
        <f>IFERROR(__xludf.DUMMYFUNCTION("""COMPUTED_VALUE"""),"")</f>
        <v/>
      </c>
      <c r="S45" s="1" t="str">
        <f t="shared" si="2"/>
        <v/>
      </c>
      <c r="T45" s="1" t="str">
        <f t="shared" si="3"/>
        <v/>
      </c>
      <c r="U45" s="1" t="str">
        <f t="shared" si="4"/>
        <v/>
      </c>
      <c r="V45" s="1"/>
      <c r="W45" s="1"/>
      <c r="X45" s="1"/>
      <c r="Y45" s="1"/>
      <c r="Z45" s="8"/>
      <c r="AA45" s="1"/>
      <c r="AB45" s="1"/>
      <c r="AC45" s="1"/>
      <c r="AD45" s="1"/>
      <c r="AE45" s="1"/>
      <c r="AF45" s="1"/>
      <c r="AG45" s="1"/>
      <c r="AH45" s="1" t="str">
        <f t="shared" si="1"/>
        <v/>
      </c>
      <c r="AI45" s="1"/>
    </row>
    <row r="46">
      <c r="A46" s="5">
        <f>IFERROR(__xludf.DUMMYFUNCTION("""COMPUTED_VALUE"""),44999.0)</f>
        <v>44999</v>
      </c>
      <c r="B46" s="14" t="str">
        <f>IFERROR(__xludf.DUMMYFUNCTION("""COMPUTED_VALUE"""),"Deivi Alejandro Quintero Corrales")</f>
        <v>Deivi Alejandro Quintero Corrales</v>
      </c>
      <c r="C46" s="6" t="str">
        <f>IFERROR(__xludf.DUMMYFUNCTION("""COMPUTED_VALUE"""),"PEREIRA")</f>
        <v>PEREIRA</v>
      </c>
      <c r="D46" s="6" t="str">
        <f>IFERROR(__xludf.DUMMYFUNCTION("""COMPUTED_VALUE"""),"BOGOTÁ")</f>
        <v>BOGOTÁ</v>
      </c>
      <c r="E46" s="6" t="str">
        <f>IFERROR(__xludf.DUMMYFUNCTION("""COMPUTED_VALUE"""),"Pan de Waffle")</f>
        <v>Pan de Waffle</v>
      </c>
      <c r="F46" s="1" t="str">
        <f>IFERROR(__xludf.DUMMYFUNCTION("""COMPUTED_VALUE"""),"Av. De las Americas Mercasa, zp 17 Bodega 2 - Pereira / Av. De las Americas Mercasa, zp 17 Bodega 2 - Pereira / Av. De las Americas Mercasa, zp 17 Bodega 2 - Pereira")</f>
        <v>Av. De las Americas Mercasa, zp 17 Bodega 2 - Pereira / Av. De las Americas Mercasa, zp 17 Bodega 2 - Pereira / Av. De las Americas Mercasa, zp 17 Bodega 2 - Pereira</v>
      </c>
      <c r="G46" s="6" t="str">
        <f>IFERROR(__xludf.DUMMYFUNCTION("""COMPUTED_VALUE"""),"EL ORIGEN")</f>
        <v>EL ORIGEN</v>
      </c>
      <c r="H46" s="7">
        <f>IFERROR(__xludf.DUMMYFUNCTION("""COMPUTED_VALUE"""),8836.0)</f>
        <v>8836</v>
      </c>
      <c r="I46" s="7">
        <f>IFERROR(__xludf.DUMMYFUNCTION("""COMPUTED_VALUE"""),100.0)</f>
        <v>100</v>
      </c>
      <c r="J46" s="7">
        <f>IFERROR(__xludf.DUMMYFUNCTION("""COMPUTED_VALUE"""),10.0)</f>
        <v>10</v>
      </c>
      <c r="K46" s="2" t="str">
        <f>IFERROR(__xludf.DUMMYFUNCTION("""COMPUTED_VALUE"""),"0.7")</f>
        <v>0.7</v>
      </c>
      <c r="L46" s="8">
        <f>IFERROR(__xludf.DUMMYFUNCTION("""COMPUTED_VALUE"""),3.184341572E9)</f>
        <v>3184341572</v>
      </c>
      <c r="M46" s="9" t="str">
        <f>IFERROR(__xludf.DUMMYFUNCTION("""COMPUTED_VALUE"""),"#REF!")</f>
        <v>#REF!</v>
      </c>
      <c r="N46" s="1"/>
      <c r="O46" s="3" t="str">
        <f>IFERROR(__xludf.DUMMYFUNCTION("""COMPUTED_VALUE"""),"")</f>
        <v/>
      </c>
      <c r="P46" s="9" t="b">
        <f>IFERROR(__xludf.DUMMYFUNCTION("""COMPUTED_VALUE"""),FALSE)</f>
        <v>0</v>
      </c>
      <c r="Q46" s="10" t="str">
        <f>IFERROR(__xludf.DUMMYFUNCTION("""COMPUTED_VALUE"""),"")</f>
        <v/>
      </c>
      <c r="R46" s="11" t="str">
        <f>IFERROR(__xludf.DUMMYFUNCTION("""COMPUTED_VALUE"""),"https://drive.google.com/file/d/1t9UsZ3UBSTNHvCl1pm6w0HnUz78O6WYE/view?usp=drivesdk")</f>
        <v>https://drive.google.com/file/d/1t9UsZ3UBSTNHvCl1pm6w0HnUz78O6WYE/view?usp=drivesdk</v>
      </c>
      <c r="S46" s="1" t="str">
        <f t="shared" si="2"/>
        <v/>
      </c>
      <c r="T46" s="1" t="str">
        <f t="shared" si="3"/>
        <v/>
      </c>
      <c r="U46" s="1" t="str">
        <f t="shared" si="4"/>
        <v/>
      </c>
      <c r="V46" s="1"/>
      <c r="W46" s="1"/>
      <c r="X46" s="1"/>
      <c r="Y46" s="1"/>
      <c r="Z46" s="8"/>
      <c r="AA46" s="1"/>
      <c r="AB46" s="1"/>
      <c r="AC46" s="1"/>
      <c r="AD46" s="1"/>
      <c r="AE46" s="1"/>
      <c r="AF46" s="1"/>
      <c r="AG46" s="1"/>
      <c r="AH46" s="1" t="str">
        <f t="shared" si="1"/>
        <v/>
      </c>
      <c r="AI46" s="1"/>
    </row>
    <row r="47">
      <c r="A47" s="5">
        <f>IFERROR(__xludf.DUMMYFUNCTION("""COMPUTED_VALUE"""),44999.0)</f>
        <v>44999</v>
      </c>
      <c r="B47" s="14" t="str">
        <f>IFERROR(__xludf.DUMMYFUNCTION("""COMPUTED_VALUE"""),"Deivi Alejandro Quintero Corrales")</f>
        <v>Deivi Alejandro Quintero Corrales</v>
      </c>
      <c r="C47" s="6" t="str">
        <f>IFERROR(__xludf.DUMMYFUNCTION("""COMPUTED_VALUE"""),"PEREIRA")</f>
        <v>PEREIRA</v>
      </c>
      <c r="D47" s="6" t="str">
        <f>IFERROR(__xludf.DUMMYFUNCTION("""COMPUTED_VALUE"""),"BOGOTÁ")</f>
        <v>BOGOTÁ</v>
      </c>
      <c r="E47" s="6" t="str">
        <f>IFERROR(__xludf.DUMMYFUNCTION("""COMPUTED_VALUE"""),"Pan de Waffle")</f>
        <v>Pan de Waffle</v>
      </c>
      <c r="F47" s="1" t="str">
        <f>IFERROR(__xludf.DUMMYFUNCTION("""COMPUTED_VALUE"""),"Carrera 14 # 12 - 55 / Carrera 14 # 12 - 55 / Carrera 14 # 12 - 55")</f>
        <v>Carrera 14 # 12 - 55 / Carrera 14 # 12 - 55 / Carrera 14 # 12 - 55</v>
      </c>
      <c r="G47" s="6" t="str">
        <f>IFERROR(__xludf.DUMMYFUNCTION("""COMPUTED_VALUE"""),"VITA ECO MARKET")</f>
        <v>VITA ECO MARKET</v>
      </c>
      <c r="H47" s="7">
        <f>IFERROR(__xludf.DUMMYFUNCTION("""COMPUTED_VALUE"""),8837.0)</f>
        <v>8837</v>
      </c>
      <c r="I47" s="7">
        <f>IFERROR(__xludf.DUMMYFUNCTION("""COMPUTED_VALUE"""),100.0)</f>
        <v>100</v>
      </c>
      <c r="J47" s="7">
        <f>IFERROR(__xludf.DUMMYFUNCTION("""COMPUTED_VALUE"""),10.0)</f>
        <v>10</v>
      </c>
      <c r="K47" s="7">
        <f>IFERROR(__xludf.DUMMYFUNCTION("""COMPUTED_VALUE"""),35.0)</f>
        <v>35</v>
      </c>
      <c r="L47" s="8">
        <f>IFERROR(__xludf.DUMMYFUNCTION("""COMPUTED_VALUE"""),3.215501948E9)</f>
        <v>3215501948</v>
      </c>
      <c r="M47" s="9" t="str">
        <f>IFERROR(__xludf.DUMMYFUNCTION("""COMPUTED_VALUE"""),"#REF!")</f>
        <v>#REF!</v>
      </c>
      <c r="N47" s="1"/>
      <c r="O47" s="3" t="str">
        <f>IFERROR(__xludf.DUMMYFUNCTION("""COMPUTED_VALUE"""),"")</f>
        <v/>
      </c>
      <c r="P47" s="9" t="b">
        <f>IFERROR(__xludf.DUMMYFUNCTION("""COMPUTED_VALUE"""),FALSE)</f>
        <v>0</v>
      </c>
      <c r="Q47" s="10" t="str">
        <f>IFERROR(__xludf.DUMMYFUNCTION("""COMPUTED_VALUE"""),"")</f>
        <v/>
      </c>
      <c r="R47" s="11" t="str">
        <f>IFERROR(__xludf.DUMMYFUNCTION("""COMPUTED_VALUE"""),"https://drive.google.com/file/d/1jV1OWLMBr-CsW3qEoKHr1GjGf3tWI4Jq/view?usp=drivesdk")</f>
        <v>https://drive.google.com/file/d/1jV1OWLMBr-CsW3qEoKHr1GjGf3tWI4Jq/view?usp=drivesdk</v>
      </c>
      <c r="S47" s="1" t="str">
        <f t="shared" si="2"/>
        <v/>
      </c>
      <c r="T47" s="1" t="str">
        <f t="shared" si="3"/>
        <v/>
      </c>
      <c r="U47" s="1" t="str">
        <f t="shared" si="4"/>
        <v/>
      </c>
      <c r="V47" s="1"/>
      <c r="W47" s="1"/>
      <c r="X47" s="1"/>
      <c r="Y47" s="1"/>
      <c r="Z47" s="8"/>
      <c r="AA47" s="1"/>
      <c r="AB47" s="1"/>
      <c r="AC47" s="1"/>
      <c r="AD47" s="1"/>
      <c r="AE47" s="1"/>
      <c r="AF47" s="1"/>
      <c r="AG47" s="1"/>
      <c r="AH47" s="1" t="str">
        <f t="shared" si="1"/>
        <v/>
      </c>
      <c r="AI47" s="1"/>
    </row>
    <row r="48">
      <c r="A48" s="5">
        <f>IFERROR(__xludf.DUMMYFUNCTION("""COMPUTED_VALUE"""),44999.0)</f>
        <v>44999</v>
      </c>
      <c r="B48" s="14" t="str">
        <f>IFERROR(__xludf.DUMMYFUNCTION("""COMPUTED_VALUE"""),"Deivi Alejandro Quintero Corrales")</f>
        <v>Deivi Alejandro Quintero Corrales</v>
      </c>
      <c r="C48" s="6" t="str">
        <f>IFERROR(__xludf.DUMMYFUNCTION("""COMPUTED_VALUE"""),"PEREIRA")</f>
        <v>PEREIRA</v>
      </c>
      <c r="D48" s="6" t="str">
        <f>IFERROR(__xludf.DUMMYFUNCTION("""COMPUTED_VALUE"""),"MEDELLÍN")</f>
        <v>MEDELLÍN</v>
      </c>
      <c r="E48" s="6" t="str">
        <f>IFERROR(__xludf.DUMMYFUNCTION("""COMPUTED_VALUE"""),"AREPAS LA MARY")</f>
        <v>AREPAS LA MARY</v>
      </c>
      <c r="F48" s="1" t="str">
        <f>IFERROR(__xludf.DUMMYFUNCTION("""COMPUTED_VALUE"""),"CALLE 14 # 14-15")</f>
        <v>CALLE 14 # 14-15</v>
      </c>
      <c r="G48" s="6" t="str">
        <f>IFERROR(__xludf.DUMMYFUNCTION("""COMPUTED_VALUE"""),"MAJANA FIT TIENDA 1")</f>
        <v>MAJANA FIT TIENDA 1</v>
      </c>
      <c r="H48" s="7">
        <f>IFERROR(__xludf.DUMMYFUNCTION("""COMPUTED_VALUE"""),8845.0)</f>
        <v>8845</v>
      </c>
      <c r="I48" s="7">
        <f>IFERROR(__xludf.DUMMYFUNCTION("""COMPUTED_VALUE"""),89.0)</f>
        <v>89</v>
      </c>
      <c r="J48" s="7">
        <f>IFERROR(__xludf.DUMMYFUNCTION("""COMPUTED_VALUE"""),1.0)</f>
        <v>1</v>
      </c>
      <c r="K48" s="7">
        <f>IFERROR(__xludf.DUMMYFUNCTION("""COMPUTED_VALUE"""),10.0)</f>
        <v>10</v>
      </c>
      <c r="L48" s="1"/>
      <c r="M48" s="9" t="str">
        <f>IFERROR(__xludf.DUMMYFUNCTION("""COMPUTED_VALUE"""),"#REF!")</f>
        <v>#REF!</v>
      </c>
      <c r="N48" s="1"/>
      <c r="O48" s="3" t="str">
        <f>IFERROR(__xludf.DUMMYFUNCTION("""COMPUTED_VALUE"""),"")</f>
        <v/>
      </c>
      <c r="P48" s="9" t="b">
        <f>IFERROR(__xludf.DUMMYFUNCTION("""COMPUTED_VALUE"""),FALSE)</f>
        <v>0</v>
      </c>
      <c r="Q48" s="10" t="str">
        <f>IFERROR(__xludf.DUMMYFUNCTION("""COMPUTED_VALUE"""),"")</f>
        <v/>
      </c>
      <c r="R48" s="11" t="str">
        <f>IFERROR(__xludf.DUMMYFUNCTION("""COMPUTED_VALUE"""),"https://drive.google.com/file/d/14mm-EgEkduaHNUD43RWYMWZ8PNDTPjDD/view?usp=drivesdk")</f>
        <v>https://drive.google.com/file/d/14mm-EgEkduaHNUD43RWYMWZ8PNDTPjDD/view?usp=drivesdk</v>
      </c>
      <c r="S48" s="1" t="str">
        <f t="shared" si="2"/>
        <v/>
      </c>
      <c r="T48" s="1" t="str">
        <f t="shared" si="3"/>
        <v/>
      </c>
      <c r="U48" s="1" t="str">
        <f t="shared" si="4"/>
        <v/>
      </c>
      <c r="V48" s="1"/>
      <c r="W48" s="1"/>
      <c r="X48" s="1"/>
      <c r="Y48" s="1"/>
      <c r="Z48" s="8"/>
      <c r="AA48" s="1"/>
      <c r="AB48" s="1"/>
      <c r="AC48" s="1"/>
      <c r="AD48" s="1"/>
      <c r="AE48" s="1"/>
      <c r="AF48" s="1"/>
      <c r="AG48" s="1"/>
      <c r="AH48" s="1" t="str">
        <f t="shared" si="1"/>
        <v/>
      </c>
      <c r="AI48" s="1"/>
    </row>
    <row r="49">
      <c r="A49" s="5">
        <f>IFERROR(__xludf.DUMMYFUNCTION("""COMPUTED_VALUE"""),44999.0)</f>
        <v>44999</v>
      </c>
      <c r="B49" s="14" t="str">
        <f>IFERROR(__xludf.DUMMYFUNCTION("""COMPUTED_VALUE"""),"Deivi Alejandro Quintero Corrales")</f>
        <v>Deivi Alejandro Quintero Corrales</v>
      </c>
      <c r="C49" s="6" t="str">
        <f>IFERROR(__xludf.DUMMYFUNCTION("""COMPUTED_VALUE"""),"PEREIRA")</f>
        <v>PEREIRA</v>
      </c>
      <c r="D49" s="6" t="str">
        <f>IFERROR(__xludf.DUMMYFUNCTION("""COMPUTED_VALUE"""),"MEDELLÍN")</f>
        <v>MEDELLÍN</v>
      </c>
      <c r="E49" s="6" t="str">
        <f>IFERROR(__xludf.DUMMYFUNCTION("""COMPUTED_VALUE"""),"AREPAS LA MARY")</f>
        <v>AREPAS LA MARY</v>
      </c>
      <c r="F49" s="1" t="str">
        <f>IFERROR(__xludf.DUMMYFUNCTION("""COMPUTED_VALUE"""),"kilometro 4 via cerritos entrada 1 / unidad piedras blancas apto 101 torre 1")</f>
        <v>kilometro 4 via cerritos entrada 1 / unidad piedras blancas apto 101 torre 1</v>
      </c>
      <c r="G49" s="6" t="str">
        <f>IFERROR(__xludf.DUMMYFUNCTION("""COMPUTED_VALUE"""),"esperanza castaño")</f>
        <v>esperanza castaño</v>
      </c>
      <c r="H49" s="7">
        <f>IFERROR(__xludf.DUMMYFUNCTION("""COMPUTED_VALUE"""),8846.0)</f>
        <v>8846</v>
      </c>
      <c r="I49" s="7">
        <f>IFERROR(__xludf.DUMMYFUNCTION("""COMPUTED_VALUE"""),89.0)</f>
        <v>89</v>
      </c>
      <c r="J49" s="7">
        <f>IFERROR(__xludf.DUMMYFUNCTION("""COMPUTED_VALUE"""),1.0)</f>
        <v>1</v>
      </c>
      <c r="K49" s="7">
        <f>IFERROR(__xludf.DUMMYFUNCTION("""COMPUTED_VALUE"""),10.0)</f>
        <v>10</v>
      </c>
      <c r="L49" s="8">
        <f>IFERROR(__xludf.DUMMYFUNCTION("""COMPUTED_VALUE"""),3.146452424E9)</f>
        <v>3146452424</v>
      </c>
      <c r="M49" s="9" t="str">
        <f>IFERROR(__xludf.DUMMYFUNCTION("""COMPUTED_VALUE"""),"#REF!")</f>
        <v>#REF!</v>
      </c>
      <c r="N49" s="1"/>
      <c r="O49" s="3" t="str">
        <f>IFERROR(__xludf.DUMMYFUNCTION("""COMPUTED_VALUE"""),"")</f>
        <v/>
      </c>
      <c r="P49" s="9" t="b">
        <f>IFERROR(__xludf.DUMMYFUNCTION("""COMPUTED_VALUE"""),FALSE)</f>
        <v>0</v>
      </c>
      <c r="Q49" s="10" t="str">
        <f>IFERROR(__xludf.DUMMYFUNCTION("""COMPUTED_VALUE"""),"")</f>
        <v/>
      </c>
      <c r="R49" s="11" t="str">
        <f>IFERROR(__xludf.DUMMYFUNCTION("""COMPUTED_VALUE"""),"https://drive.google.com/file/d/1E1zIljJsYdDu1rO0l0-7zGaJ_8vxKdCL/view?usp=drivesdk")</f>
        <v>https://drive.google.com/file/d/1E1zIljJsYdDu1rO0l0-7zGaJ_8vxKdCL/view?usp=drivesdk</v>
      </c>
      <c r="S49" s="1" t="str">
        <f t="shared" si="2"/>
        <v/>
      </c>
      <c r="T49" s="1" t="str">
        <f t="shared" si="3"/>
        <v/>
      </c>
      <c r="U49" s="1" t="str">
        <f t="shared" si="4"/>
        <v/>
      </c>
      <c r="V49" s="1"/>
      <c r="W49" s="1"/>
      <c r="X49" s="1"/>
      <c r="Y49" s="1"/>
      <c r="Z49" s="8"/>
      <c r="AA49" s="1"/>
      <c r="AB49" s="1"/>
      <c r="AC49" s="1"/>
      <c r="AD49" s="1"/>
      <c r="AE49" s="1"/>
      <c r="AF49" s="1"/>
      <c r="AG49" s="1"/>
      <c r="AH49" s="1" t="str">
        <f t="shared" si="1"/>
        <v/>
      </c>
      <c r="AI49" s="1"/>
    </row>
    <row r="50">
      <c r="A50" s="5">
        <f>IFERROR(__xludf.DUMMYFUNCTION("""COMPUTED_VALUE"""),44999.0)</f>
        <v>44999</v>
      </c>
      <c r="B50" s="14" t="str">
        <f>IFERROR(__xludf.DUMMYFUNCTION("""COMPUTED_VALUE"""),"Deivi Alejandro Quintero Corrales")</f>
        <v>Deivi Alejandro Quintero Corrales</v>
      </c>
      <c r="C50" s="6" t="str">
        <f>IFERROR(__xludf.DUMMYFUNCTION("""COMPUTED_VALUE"""),"PEREIRA")</f>
        <v>PEREIRA</v>
      </c>
      <c r="D50" s="6" t="str">
        <f>IFERROR(__xludf.DUMMYFUNCTION("""COMPUTED_VALUE"""),"MEDELLÍN")</f>
        <v>MEDELLÍN</v>
      </c>
      <c r="E50" s="6" t="str">
        <f>IFERROR(__xludf.DUMMYFUNCTION("""COMPUTED_VALUE"""),"Baby Chef")</f>
        <v>Baby Chef</v>
      </c>
      <c r="F50" s="1" t="str">
        <f>IFERROR(__xludf.DUMMYFUNCTION("""COMPUTED_VALUE"""),"Calle 70 no 25 - 36 brrio cuba consultorio medico dr francisco duran pereira  / pereira  / pereira")</f>
        <v>Calle 70 no 25 - 36 brrio cuba consultorio medico dr francisco duran pereira  / pereira  / pereira</v>
      </c>
      <c r="G50" s="6" t="str">
        <f>IFERROR(__xludf.DUMMYFUNCTION("""COMPUTED_VALUE"""),"Lina Marcela Cardona")</f>
        <v>Lina Marcela Cardona</v>
      </c>
      <c r="H50" s="7">
        <f>IFERROR(__xludf.DUMMYFUNCTION("""COMPUTED_VALUE"""),8826.0)</f>
        <v>8826</v>
      </c>
      <c r="I50" s="7">
        <f>IFERROR(__xludf.DUMMYFUNCTION("""COMPUTED_VALUE"""),8.0)</f>
        <v>8</v>
      </c>
      <c r="J50" s="7">
        <f>IFERROR(__xludf.DUMMYFUNCTION("""COMPUTED_VALUE"""),16.0)</f>
        <v>16</v>
      </c>
      <c r="K50" s="7">
        <f>IFERROR(__xludf.DUMMYFUNCTION("""COMPUTED_VALUE"""),20.0)</f>
        <v>20</v>
      </c>
      <c r="L50" s="8">
        <f>IFERROR(__xludf.DUMMYFUNCTION("""COMPUTED_VALUE"""),3.113291551E9)</f>
        <v>3113291551</v>
      </c>
      <c r="M50" s="9" t="str">
        <f>IFERROR(__xludf.DUMMYFUNCTION("""COMPUTED_VALUE"""),"#REF!")</f>
        <v>#REF!</v>
      </c>
      <c r="N50" s="1"/>
      <c r="O50" s="3" t="str">
        <f>IFERROR(__xludf.DUMMYFUNCTION("""COMPUTED_VALUE"""),"")</f>
        <v/>
      </c>
      <c r="P50" s="9" t="b">
        <f>IFERROR(__xludf.DUMMYFUNCTION("""COMPUTED_VALUE"""),FALSE)</f>
        <v>0</v>
      </c>
      <c r="Q50" s="10" t="str">
        <f>IFERROR(__xludf.DUMMYFUNCTION("""COMPUTED_VALUE"""),"")</f>
        <v/>
      </c>
      <c r="R50" s="11" t="str">
        <f>IFERROR(__xludf.DUMMYFUNCTION("""COMPUTED_VALUE"""),"https://drive.google.com/file/d/1MVdJDyHd_YkfwQYKiAFTvULtNpbsVJoV/view?usp=drivesdk")</f>
        <v>https://drive.google.com/file/d/1MVdJDyHd_YkfwQYKiAFTvULtNpbsVJoV/view?usp=drivesdk</v>
      </c>
      <c r="S50" s="1" t="str">
        <f t="shared" si="2"/>
        <v/>
      </c>
      <c r="T50" s="1" t="str">
        <f t="shared" si="3"/>
        <v/>
      </c>
      <c r="U50" s="1" t="str">
        <f t="shared" si="4"/>
        <v/>
      </c>
      <c r="V50" s="1"/>
      <c r="W50" s="1"/>
      <c r="X50" s="1"/>
      <c r="Y50" s="1"/>
      <c r="Z50" s="8"/>
      <c r="AA50" s="1"/>
      <c r="AB50" s="1"/>
      <c r="AC50" s="1"/>
      <c r="AD50" s="1"/>
      <c r="AE50" s="1"/>
      <c r="AF50" s="1"/>
      <c r="AG50" s="1"/>
      <c r="AH50" s="1" t="str">
        <f t="shared" si="1"/>
        <v/>
      </c>
      <c r="AI50" s="1"/>
    </row>
    <row r="51">
      <c r="A51" s="1" t="str">
        <f>IFERROR(__xludf.DUMMYFUNCTION("""COMPUTED_VALUE"""),"")</f>
        <v/>
      </c>
      <c r="B51" s="1" t="str">
        <f>IFERROR(__xludf.DUMMYFUNCTION("""COMPUTED_VALUE"""),"")</f>
        <v/>
      </c>
      <c r="C51" s="1" t="str">
        <f>IFERROR(__xludf.DUMMYFUNCTION("""COMPUTED_VALUE"""),"")</f>
        <v/>
      </c>
      <c r="D51" s="1" t="str">
        <f>IFERROR(__xludf.DUMMYFUNCTION("""COMPUTED_VALUE"""),"")</f>
        <v/>
      </c>
      <c r="E51" s="1" t="str">
        <f>IFERROR(__xludf.DUMMYFUNCTION("""COMPUTED_VALUE"""),"")</f>
        <v/>
      </c>
      <c r="F51" s="1" t="str">
        <f>IFERROR(__xludf.DUMMYFUNCTION("""COMPUTED_VALUE"""),"")</f>
        <v/>
      </c>
      <c r="G51" s="1" t="str">
        <f>IFERROR(__xludf.DUMMYFUNCTION("""COMPUTED_VALUE"""),"")</f>
        <v/>
      </c>
      <c r="H51" s="1" t="str">
        <f>IFERROR(__xludf.DUMMYFUNCTION("""COMPUTED_VALUE"""),"")</f>
        <v/>
      </c>
      <c r="I51" s="1" t="str">
        <f>IFERROR(__xludf.DUMMYFUNCTION("""COMPUTED_VALUE"""),"")</f>
        <v/>
      </c>
      <c r="J51" s="1" t="str">
        <f>IFERROR(__xludf.DUMMYFUNCTION("""COMPUTED_VALUE"""),"")</f>
        <v/>
      </c>
      <c r="K51" s="1" t="str">
        <f>IFERROR(__xludf.DUMMYFUNCTION("""COMPUTED_VALUE"""),"")</f>
        <v/>
      </c>
      <c r="L51" s="1" t="str">
        <f>IFERROR(__xludf.DUMMYFUNCTION("""COMPUTED_VALUE"""),"")</f>
        <v/>
      </c>
      <c r="M51" s="1" t="str">
        <f>IFERROR(__xludf.DUMMYFUNCTION("""COMPUTED_VALUE"""),"")</f>
        <v/>
      </c>
      <c r="N51" s="1" t="str">
        <f>IFERROR(__xludf.DUMMYFUNCTION("""COMPUTED_VALUE"""),"")</f>
        <v/>
      </c>
      <c r="O51" s="1" t="str">
        <f>IFERROR(__xludf.DUMMYFUNCTION("""COMPUTED_VALUE"""),"")</f>
        <v/>
      </c>
      <c r="P51" s="1" t="str">
        <f>IFERROR(__xludf.DUMMYFUNCTION("""COMPUTED_VALUE"""),"")</f>
        <v/>
      </c>
      <c r="Q51" s="1" t="str">
        <f>IFERROR(__xludf.DUMMYFUNCTION("""COMPUTED_VALUE"""),"")</f>
        <v/>
      </c>
      <c r="R51" s="1" t="str">
        <f>IFERROR(__xludf.DUMMYFUNCTION("""COMPUTED_VALUE"""),"")</f>
        <v/>
      </c>
      <c r="S51" s="1" t="str">
        <f t="shared" si="2"/>
        <v/>
      </c>
      <c r="T51" s="1" t="str">
        <f t="shared" si="3"/>
        <v/>
      </c>
      <c r="U51" s="1" t="str">
        <f t="shared" si="4"/>
        <v/>
      </c>
      <c r="V51" s="1"/>
      <c r="W51" s="1"/>
      <c r="X51" s="1"/>
      <c r="Y51" s="1"/>
      <c r="Z51" s="8"/>
      <c r="AA51" s="1"/>
      <c r="AB51" s="1"/>
      <c r="AC51" s="1"/>
      <c r="AD51" s="1"/>
      <c r="AE51" s="1"/>
      <c r="AF51" s="1"/>
      <c r="AG51" s="1"/>
      <c r="AH51" s="1" t="str">
        <f t="shared" si="1"/>
        <v/>
      </c>
      <c r="AI51" s="1"/>
    </row>
    <row r="52">
      <c r="A52" s="5">
        <f>IFERROR(__xludf.DUMMYFUNCTION("""COMPUTED_VALUE"""),44999.0)</f>
        <v>44999</v>
      </c>
      <c r="B52" s="14" t="str">
        <f>IFERROR(__xludf.DUMMYFUNCTION("""COMPUTED_VALUE"""),"Duvan Gabriel Alvarez Giron")</f>
        <v>Duvan Gabriel Alvarez Giron</v>
      </c>
      <c r="C52" s="6" t="str">
        <f>IFERROR(__xludf.DUMMYFUNCTION("""COMPUTED_VALUE"""),"FLORIDABLANCA")</f>
        <v>FLORIDABLANCA</v>
      </c>
      <c r="D52" s="6" t="str">
        <f>IFERROR(__xludf.DUMMYFUNCTION("""COMPUTED_VALUE"""),"BOGOTÁ")</f>
        <v>BOGOTÁ</v>
      </c>
      <c r="E52" s="6" t="str">
        <f>IFERROR(__xludf.DUMMYFUNCTION("""COMPUTED_VALUE"""),"Asociacion Agropecuaria Juana Maria")</f>
        <v>Asociacion Agropecuaria Juana Maria</v>
      </c>
      <c r="F52" s="1" t="str">
        <f>IFERROR(__xludf.DUMMYFUNCTION("""COMPUTED_VALUE"""),"Calle 19 #11-37 Guanatá FLORIDABLANCA")</f>
        <v>Calle 19 #11-37 Guanatá FLORIDABLANCA</v>
      </c>
      <c r="G52" s="6" t="str">
        <f>IFERROR(__xludf.DUMMYFUNCTION("""COMPUTED_VALUE"""),"Claudia Gonzalez")</f>
        <v>Claudia Gonzalez</v>
      </c>
      <c r="H52" s="7">
        <f>IFERROR(__xludf.DUMMYFUNCTION("""COMPUTED_VALUE"""),8788.0)</f>
        <v>8788</v>
      </c>
      <c r="I52" s="7">
        <f>IFERROR(__xludf.DUMMYFUNCTION("""COMPUTED_VALUE"""),28.0)</f>
        <v>28</v>
      </c>
      <c r="J52" s="7">
        <f>IFERROR(__xludf.DUMMYFUNCTION("""COMPUTED_VALUE"""),37.0)</f>
        <v>37</v>
      </c>
      <c r="K52" s="7">
        <f>IFERROR(__xludf.DUMMYFUNCTION("""COMPUTED_VALUE"""),27.0)</f>
        <v>27</v>
      </c>
      <c r="L52" s="8">
        <f>IFERROR(__xludf.DUMMYFUNCTION("""COMPUTED_VALUE"""),3.002802001E9)</f>
        <v>3002802001</v>
      </c>
      <c r="M52" s="9" t="str">
        <f>IFERROR(__xludf.DUMMYFUNCTION("""COMPUTED_VALUE"""),"#REF!")</f>
        <v>#REF!</v>
      </c>
      <c r="N52" s="1"/>
      <c r="O52" s="3" t="str">
        <f>IFERROR(__xludf.DUMMYFUNCTION("""COMPUTED_VALUE"""),"")</f>
        <v/>
      </c>
      <c r="P52" s="9" t="b">
        <f>IFERROR(__xludf.DUMMYFUNCTION("""COMPUTED_VALUE"""),TRUE)</f>
        <v>1</v>
      </c>
      <c r="Q52" s="13">
        <f>IFERROR(__xludf.DUMMYFUNCTION("""COMPUTED_VALUE"""),44999.50952732639)</f>
        <v>44999.50953</v>
      </c>
      <c r="R52" s="12" t="str">
        <f>IFERROR(__xludf.DUMMYFUNCTION("""COMPUTED_VALUE"""),"")</f>
        <v/>
      </c>
      <c r="S52" s="1" t="str">
        <f t="shared" si="2"/>
        <v/>
      </c>
      <c r="T52" s="1" t="str">
        <f t="shared" si="3"/>
        <v/>
      </c>
      <c r="U52" s="1" t="str">
        <f t="shared" si="4"/>
        <v/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 t="str">
        <f t="shared" si="1"/>
        <v/>
      </c>
      <c r="AI52" s="1"/>
    </row>
    <row r="53">
      <c r="A53" s="5">
        <f>IFERROR(__xludf.DUMMYFUNCTION("""COMPUTED_VALUE"""),44999.0)</f>
        <v>44999</v>
      </c>
      <c r="B53" s="14" t="str">
        <f>IFERROR(__xludf.DUMMYFUNCTION("""COMPUTED_VALUE"""),"Duvan Gabriel Alvarez Giron")</f>
        <v>Duvan Gabriel Alvarez Giron</v>
      </c>
      <c r="C53" s="6" t="str">
        <f>IFERROR(__xludf.DUMMYFUNCTION("""COMPUTED_VALUE"""),"FLORIDABLANCA")</f>
        <v>FLORIDABLANCA</v>
      </c>
      <c r="D53" s="6" t="str">
        <f>IFERROR(__xludf.DUMMYFUNCTION("""COMPUTED_VALUE"""),"BOGOTÁ")</f>
        <v>BOGOTÁ</v>
      </c>
      <c r="E53" s="6" t="str">
        <f>IFERROR(__xludf.DUMMYFUNCTION("""COMPUTED_VALUE"""),"Lunchy Kids")</f>
        <v>Lunchy Kids</v>
      </c>
      <c r="F53" s="1" t="str">
        <f>IFERROR(__xludf.DUMMYFUNCTION("""COMPUTED_VALUE"""),"Cra 26 #37-32  / Conjunto san Diego. Torre 2. Apto 902  / Floridablanca")</f>
        <v>Cra 26 #37-32  / Conjunto san Diego. Torre 2. Apto 902  / Floridablanca</v>
      </c>
      <c r="G53" s="6" t="str">
        <f>IFERROR(__xludf.DUMMYFUNCTION("""COMPUTED_VALUE"""),"Sandra Ortiz Serrano")</f>
        <v>Sandra Ortiz Serrano</v>
      </c>
      <c r="H53" s="7">
        <f>IFERROR(__xludf.DUMMYFUNCTION("""COMPUTED_VALUE"""),8795.0)</f>
        <v>8795</v>
      </c>
      <c r="I53" s="7">
        <f>IFERROR(__xludf.DUMMYFUNCTION("""COMPUTED_VALUE"""),17.0)</f>
        <v>17</v>
      </c>
      <c r="J53" s="7">
        <f>IFERROR(__xludf.DUMMYFUNCTION("""COMPUTED_VALUE"""),28.0)</f>
        <v>28</v>
      </c>
      <c r="K53" s="7">
        <f>IFERROR(__xludf.DUMMYFUNCTION("""COMPUTED_VALUE"""),5.0)</f>
        <v>5</v>
      </c>
      <c r="L53" s="8">
        <f>IFERROR(__xludf.DUMMYFUNCTION("""COMPUTED_VALUE"""),3.202716734E9)</f>
        <v>3202716734</v>
      </c>
      <c r="M53" s="9" t="str">
        <f>IFERROR(__xludf.DUMMYFUNCTION("""COMPUTED_VALUE"""),"#REF!")</f>
        <v>#REF!</v>
      </c>
      <c r="N53" s="1"/>
      <c r="O53" s="3" t="str">
        <f>IFERROR(__xludf.DUMMYFUNCTION("""COMPUTED_VALUE"""),"")</f>
        <v/>
      </c>
      <c r="P53" s="9" t="b">
        <f>IFERROR(__xludf.DUMMYFUNCTION("""COMPUTED_VALUE"""),TRUE)</f>
        <v>1</v>
      </c>
      <c r="Q53" s="13">
        <f>IFERROR(__xludf.DUMMYFUNCTION("""COMPUTED_VALUE"""),44999.50599546296)</f>
        <v>44999.506</v>
      </c>
      <c r="R53" s="12" t="str">
        <f>IFERROR(__xludf.DUMMYFUNCTION("""COMPUTED_VALUE"""),"")</f>
        <v/>
      </c>
      <c r="S53" s="1" t="str">
        <f t="shared" si="2"/>
        <v/>
      </c>
      <c r="T53" s="1" t="str">
        <f t="shared" si="3"/>
        <v/>
      </c>
      <c r="U53" s="1" t="str">
        <f t="shared" si="4"/>
        <v/>
      </c>
      <c r="V53" s="1"/>
      <c r="W53" s="1"/>
      <c r="X53" s="1"/>
      <c r="Y53" s="1"/>
      <c r="Z53" s="8"/>
      <c r="AA53" s="1"/>
      <c r="AB53" s="1"/>
      <c r="AC53" s="1"/>
      <c r="AD53" s="1"/>
      <c r="AE53" s="1"/>
      <c r="AF53" s="1"/>
      <c r="AG53" s="1"/>
      <c r="AH53" s="1" t="str">
        <f t="shared" si="1"/>
        <v/>
      </c>
      <c r="AI53" s="1"/>
    </row>
    <row r="54">
      <c r="A54" s="5">
        <f>IFERROR(__xludf.DUMMYFUNCTION("""COMPUTED_VALUE"""),44999.0)</f>
        <v>44999</v>
      </c>
      <c r="B54" s="14" t="str">
        <f>IFERROR(__xludf.DUMMYFUNCTION("""COMPUTED_VALUE"""),"Duvan Gabriel Alvarez Giron")</f>
        <v>Duvan Gabriel Alvarez Giron</v>
      </c>
      <c r="C54" s="6" t="str">
        <f>IFERROR(__xludf.DUMMYFUNCTION("""COMPUTED_VALUE"""),"IBAGUÉ")</f>
        <v>IBAGUÉ</v>
      </c>
      <c r="D54" s="6" t="str">
        <f>IFERROR(__xludf.DUMMYFUNCTION("""COMPUTED_VALUE"""),"BOGOTÁ")</f>
        <v>BOGOTÁ</v>
      </c>
      <c r="E54" s="6" t="str">
        <f>IFERROR(__xludf.DUMMYFUNCTION("""COMPUTED_VALUE"""),"Evamazzita")</f>
        <v>Evamazzita</v>
      </c>
      <c r="F54" s="1" t="str">
        <f>IFERROR(__xludf.DUMMYFUNCTION("""COMPUTED_VALUE"""),"CARRERA 11 A # 35 - 62 / N/A / BARRIO GAITÁN PARTE ALTA")</f>
        <v>CARRERA 11 A # 35 - 62 / N/A / BARRIO GAITÁN PARTE ALTA</v>
      </c>
      <c r="G54" s="6" t="str">
        <f>IFERROR(__xludf.DUMMYFUNCTION("""COMPUTED_VALUE"""),"JORGE BERNARDO TORRES")</f>
        <v>JORGE BERNARDO TORRES</v>
      </c>
      <c r="H54" s="7">
        <f>IFERROR(__xludf.DUMMYFUNCTION("""COMPUTED_VALUE"""),8802.0)</f>
        <v>8802</v>
      </c>
      <c r="I54" s="7">
        <f>IFERROR(__xludf.DUMMYFUNCTION("""COMPUTED_VALUE"""),15.0)</f>
        <v>15</v>
      </c>
      <c r="J54" s="7">
        <f>IFERROR(__xludf.DUMMYFUNCTION("""COMPUTED_VALUE"""),29.0)</f>
        <v>29</v>
      </c>
      <c r="K54" s="7">
        <f>IFERROR(__xludf.DUMMYFUNCTION("""COMPUTED_VALUE"""),33.0)</f>
        <v>33</v>
      </c>
      <c r="L54" s="8">
        <f>IFERROR(__xludf.DUMMYFUNCTION("""COMPUTED_VALUE"""),3.144530156E9)</f>
        <v>3144530156</v>
      </c>
      <c r="M54" s="9" t="str">
        <f>IFERROR(__xludf.DUMMYFUNCTION("""COMPUTED_VALUE"""),"#REF!")</f>
        <v>#REF!</v>
      </c>
      <c r="N54" s="1"/>
      <c r="O54" s="3" t="str">
        <f>IFERROR(__xludf.DUMMYFUNCTION("""COMPUTED_VALUE"""),"")</f>
        <v/>
      </c>
      <c r="P54" s="9" t="b">
        <f>IFERROR(__xludf.DUMMYFUNCTION("""COMPUTED_VALUE"""),TRUE)</f>
        <v>1</v>
      </c>
      <c r="Q54" s="13">
        <f>IFERROR(__xludf.DUMMYFUNCTION("""COMPUTED_VALUE"""),44999.59559827547)</f>
        <v>44999.5956</v>
      </c>
      <c r="R54" s="11" t="str">
        <f>IFERROR(__xludf.DUMMYFUNCTION("""COMPUTED_VALUE"""),"https://drive.google.com/file/d/1M_kotlhKY9brN-6HryLMZTdu4-_B_Eqp/view?usp=drivesdk")</f>
        <v>https://drive.google.com/file/d/1M_kotlhKY9brN-6HryLMZTdu4-_B_Eqp/view?usp=drivesdk</v>
      </c>
      <c r="S54" s="1" t="str">
        <f t="shared" si="2"/>
        <v/>
      </c>
      <c r="T54" s="1" t="str">
        <f t="shared" si="3"/>
        <v/>
      </c>
      <c r="U54" s="1" t="str">
        <f t="shared" si="4"/>
        <v/>
      </c>
      <c r="V54" s="1"/>
      <c r="W54" s="1"/>
      <c r="X54" s="1"/>
      <c r="Y54" s="1"/>
      <c r="Z54" s="8"/>
      <c r="AA54" s="1"/>
      <c r="AB54" s="1"/>
      <c r="AC54" s="1"/>
      <c r="AD54" s="1"/>
      <c r="AE54" s="1"/>
      <c r="AF54" s="1"/>
      <c r="AG54" s="1"/>
      <c r="AH54" s="1" t="str">
        <f t="shared" si="1"/>
        <v/>
      </c>
      <c r="AI54" s="1"/>
    </row>
    <row r="55">
      <c r="A55" s="1" t="str">
        <f>IFERROR(__xludf.DUMMYFUNCTION("""COMPUTED_VALUE"""),"")</f>
        <v/>
      </c>
      <c r="B55" s="1" t="str">
        <f>IFERROR(__xludf.DUMMYFUNCTION("""COMPUTED_VALUE"""),"")</f>
        <v/>
      </c>
      <c r="C55" s="1" t="str">
        <f>IFERROR(__xludf.DUMMYFUNCTION("""COMPUTED_VALUE"""),"")</f>
        <v/>
      </c>
      <c r="D55" s="1" t="str">
        <f>IFERROR(__xludf.DUMMYFUNCTION("""COMPUTED_VALUE"""),"")</f>
        <v/>
      </c>
      <c r="E55" s="1" t="str">
        <f>IFERROR(__xludf.DUMMYFUNCTION("""COMPUTED_VALUE"""),"")</f>
        <v/>
      </c>
      <c r="F55" s="1" t="str">
        <f>IFERROR(__xludf.DUMMYFUNCTION("""COMPUTED_VALUE"""),"")</f>
        <v/>
      </c>
      <c r="G55" s="1" t="str">
        <f>IFERROR(__xludf.DUMMYFUNCTION("""COMPUTED_VALUE"""),"")</f>
        <v/>
      </c>
      <c r="H55" s="1" t="str">
        <f>IFERROR(__xludf.DUMMYFUNCTION("""COMPUTED_VALUE"""),"")</f>
        <v/>
      </c>
      <c r="I55" s="1" t="str">
        <f>IFERROR(__xludf.DUMMYFUNCTION("""COMPUTED_VALUE"""),"")</f>
        <v/>
      </c>
      <c r="J55" s="1" t="str">
        <f>IFERROR(__xludf.DUMMYFUNCTION("""COMPUTED_VALUE"""),"")</f>
        <v/>
      </c>
      <c r="K55" s="1" t="str">
        <f>IFERROR(__xludf.DUMMYFUNCTION("""COMPUTED_VALUE"""),"")</f>
        <v/>
      </c>
      <c r="L55" s="1" t="str">
        <f>IFERROR(__xludf.DUMMYFUNCTION("""COMPUTED_VALUE"""),"")</f>
        <v/>
      </c>
      <c r="M55" s="1" t="str">
        <f>IFERROR(__xludf.DUMMYFUNCTION("""COMPUTED_VALUE"""),"")</f>
        <v/>
      </c>
      <c r="N55" s="1" t="str">
        <f>IFERROR(__xludf.DUMMYFUNCTION("""COMPUTED_VALUE"""),"")</f>
        <v/>
      </c>
      <c r="O55" s="1" t="str">
        <f>IFERROR(__xludf.DUMMYFUNCTION("""COMPUTED_VALUE"""),"")</f>
        <v/>
      </c>
      <c r="P55" s="1" t="str">
        <f>IFERROR(__xludf.DUMMYFUNCTION("""COMPUTED_VALUE"""),"")</f>
        <v/>
      </c>
      <c r="Q55" s="1" t="str">
        <f>IFERROR(__xludf.DUMMYFUNCTION("""COMPUTED_VALUE"""),"")</f>
        <v/>
      </c>
      <c r="R55" s="1" t="str">
        <f>IFERROR(__xludf.DUMMYFUNCTION("""COMPUTED_VALUE"""),"")</f>
        <v/>
      </c>
      <c r="S55" s="1" t="str">
        <f t="shared" si="2"/>
        <v/>
      </c>
      <c r="T55" s="1" t="str">
        <f t="shared" si="3"/>
        <v/>
      </c>
      <c r="U55" s="1" t="str">
        <f t="shared" si="4"/>
        <v/>
      </c>
      <c r="V55" s="1"/>
      <c r="W55" s="1"/>
      <c r="X55" s="1"/>
      <c r="Y55" s="1"/>
      <c r="Z55" s="8"/>
      <c r="AA55" s="1"/>
      <c r="AB55" s="1"/>
      <c r="AC55" s="1"/>
      <c r="AD55" s="1"/>
      <c r="AE55" s="1"/>
      <c r="AF55" s="1"/>
      <c r="AG55" s="1"/>
      <c r="AH55" s="1" t="str">
        <f t="shared" si="1"/>
        <v/>
      </c>
      <c r="AI55" s="1"/>
    </row>
    <row r="56">
      <c r="A56" s="5">
        <f>IFERROR(__xludf.DUMMYFUNCTION("""COMPUTED_VALUE"""),44999.0)</f>
        <v>44999</v>
      </c>
      <c r="B56" s="14" t="str">
        <f>IFERROR(__xludf.DUMMYFUNCTION("""COMPUTED_VALUE"""),"Envia")</f>
        <v>Envia</v>
      </c>
      <c r="C56" s="6" t="str">
        <f>IFERROR(__xludf.DUMMYFUNCTION("""COMPUTED_VALUE"""),"BOGOTÁ")</f>
        <v>BOGOTÁ</v>
      </c>
      <c r="D56" s="6" t="str">
        <f>IFERROR(__xludf.DUMMYFUNCTION("""COMPUTED_VALUE"""),"MEDELLÍN")</f>
        <v>MEDELLÍN</v>
      </c>
      <c r="E56" s="6" t="str">
        <f>IFERROR(__xludf.DUMMYFUNCTION("""COMPUTED_VALUE"""),"Helados swip")</f>
        <v>Helados swip</v>
      </c>
      <c r="F56" s="1" t="str">
        <f>IFERROR(__xludf.DUMMYFUNCTION("""COMPUTED_VALUE"""),"CALLE 140 # 13-50 / FIT MARKET TIENDA 140 / FIT MARKET 140")</f>
        <v>CALLE 140 # 13-50 / FIT MARKET TIENDA 140 / FIT MARKET 140</v>
      </c>
      <c r="G56" s="6" t="str">
        <f>IFERROR(__xludf.DUMMYFUNCTION("""COMPUTED_VALUE"""),"FIT MARKET TIENDA 140")</f>
        <v>FIT MARKET TIENDA 140</v>
      </c>
      <c r="H56" s="7">
        <f>IFERROR(__xludf.DUMMYFUNCTION("""COMPUTED_VALUE"""),8825.0)</f>
        <v>8825</v>
      </c>
      <c r="I56" s="7">
        <f>IFERROR(__xludf.DUMMYFUNCTION("""COMPUTED_VALUE"""),10.0)</f>
        <v>10</v>
      </c>
      <c r="J56" s="7">
        <f>IFERROR(__xludf.DUMMYFUNCTION("""COMPUTED_VALUE"""),100.0)</f>
        <v>100</v>
      </c>
      <c r="K56" s="7">
        <f>IFERROR(__xludf.DUMMYFUNCTION("""COMPUTED_VALUE"""),70.0)</f>
        <v>70</v>
      </c>
      <c r="L56" s="8">
        <f>IFERROR(__xludf.DUMMYFUNCTION("""COMPUTED_VALUE"""),3.184646644E9)</f>
        <v>3184646644</v>
      </c>
      <c r="M56" s="9" t="str">
        <f>IFERROR(__xludf.DUMMYFUNCTION("""COMPUTED_VALUE"""),"#REF!")</f>
        <v>#REF!</v>
      </c>
      <c r="N56" s="1"/>
      <c r="O56" s="3" t="str">
        <f>IFERROR(__xludf.DUMMYFUNCTION("""COMPUTED_VALUE"""),"")</f>
        <v/>
      </c>
      <c r="P56" s="9" t="b">
        <f>IFERROR(__xludf.DUMMYFUNCTION("""COMPUTED_VALUE"""),TRUE)</f>
        <v>1</v>
      </c>
      <c r="Q56" s="13">
        <f>IFERROR(__xludf.DUMMYFUNCTION("""COMPUTED_VALUE"""),44999.893160266205)</f>
        <v>44999.89316</v>
      </c>
      <c r="R56" s="12" t="str">
        <f>IFERROR(__xludf.DUMMYFUNCTION("""COMPUTED_VALUE"""),"")</f>
        <v/>
      </c>
      <c r="S56" s="1" t="str">
        <f t="shared" si="2"/>
        <v/>
      </c>
      <c r="T56" s="1" t="str">
        <f t="shared" si="3"/>
        <v/>
      </c>
      <c r="U56" s="1" t="str">
        <f t="shared" si="4"/>
        <v/>
      </c>
      <c r="V56" s="1"/>
      <c r="W56" s="1"/>
      <c r="X56" s="1"/>
      <c r="Y56" s="1"/>
      <c r="Z56" s="8"/>
      <c r="AA56" s="1"/>
      <c r="AB56" s="1"/>
      <c r="AC56" s="1"/>
      <c r="AD56" s="1"/>
      <c r="AE56" s="1"/>
      <c r="AF56" s="1"/>
      <c r="AG56" s="1"/>
      <c r="AH56" s="1" t="str">
        <f t="shared" si="1"/>
        <v/>
      </c>
      <c r="AI56" s="1"/>
    </row>
    <row r="57">
      <c r="A57" s="5">
        <f>IFERROR(__xludf.DUMMYFUNCTION("""COMPUTED_VALUE"""),44999.0)</f>
        <v>44999</v>
      </c>
      <c r="B57" s="14" t="str">
        <f>IFERROR(__xludf.DUMMYFUNCTION("""COMPUTED_VALUE"""),"Envia")</f>
        <v>Envia</v>
      </c>
      <c r="C57" s="6" t="str">
        <f>IFERROR(__xludf.DUMMYFUNCTION("""COMPUTED_VALUE"""),"BOGOTÁ")</f>
        <v>BOGOTÁ</v>
      </c>
      <c r="D57" s="6" t="str">
        <f>IFERROR(__xludf.DUMMYFUNCTION("""COMPUTED_VALUE"""),"MEDELLÍN")</f>
        <v>MEDELLÍN</v>
      </c>
      <c r="E57" s="6" t="str">
        <f>IFERROR(__xludf.DUMMYFUNCTION("""COMPUTED_VALUE"""),"Helados swip")</f>
        <v>Helados swip</v>
      </c>
      <c r="F57" s="1" t="str">
        <f>IFERROR(__xludf.DUMMYFUNCTION("""COMPUTED_VALUE"""),"CALLE 90 # 13-23  / LOCAL 2 / FIT MARKET BOGOTA TIENDA 90")</f>
        <v>CALLE 90 # 13-23  / LOCAL 2 / FIT MARKET BOGOTA TIENDA 90</v>
      </c>
      <c r="G57" s="6" t="str">
        <f>IFERROR(__xludf.DUMMYFUNCTION("""COMPUTED_VALUE"""),"FIT MARKET BOGOTA TIENDA 90")</f>
        <v>FIT MARKET BOGOTA TIENDA 90</v>
      </c>
      <c r="H57" s="7">
        <f>IFERROR(__xludf.DUMMYFUNCTION("""COMPUTED_VALUE"""),8823.0)</f>
        <v>8823</v>
      </c>
      <c r="I57" s="7">
        <f>IFERROR(__xludf.DUMMYFUNCTION("""COMPUTED_VALUE"""),10.0)</f>
        <v>10</v>
      </c>
      <c r="J57" s="7">
        <f>IFERROR(__xludf.DUMMYFUNCTION("""COMPUTED_VALUE"""),100.0)</f>
        <v>100</v>
      </c>
      <c r="K57" s="7">
        <f>IFERROR(__xludf.DUMMYFUNCTION("""COMPUTED_VALUE"""),70.0)</f>
        <v>70</v>
      </c>
      <c r="L57" s="8">
        <f>IFERROR(__xludf.DUMMYFUNCTION("""COMPUTED_VALUE"""),3.154237527E9)</f>
        <v>3154237527</v>
      </c>
      <c r="M57" s="9" t="str">
        <f>IFERROR(__xludf.DUMMYFUNCTION("""COMPUTED_VALUE"""),"#REF!")</f>
        <v>#REF!</v>
      </c>
      <c r="N57" s="1"/>
      <c r="O57" s="3" t="str">
        <f>IFERROR(__xludf.DUMMYFUNCTION("""COMPUTED_VALUE"""),"")</f>
        <v/>
      </c>
      <c r="P57" s="9" t="b">
        <f>IFERROR(__xludf.DUMMYFUNCTION("""COMPUTED_VALUE"""),TRUE)</f>
        <v>1</v>
      </c>
      <c r="Q57" s="13">
        <f>IFERROR(__xludf.DUMMYFUNCTION("""COMPUTED_VALUE"""),44999.59868915509)</f>
        <v>44999.59869</v>
      </c>
      <c r="R57" s="12" t="str">
        <f>IFERROR(__xludf.DUMMYFUNCTION("""COMPUTED_VALUE"""),"")</f>
        <v/>
      </c>
      <c r="S57" s="1" t="str">
        <f t="shared" si="2"/>
        <v/>
      </c>
      <c r="T57" s="1" t="str">
        <f t="shared" si="3"/>
        <v/>
      </c>
      <c r="U57" s="1" t="str">
        <f t="shared" si="4"/>
        <v/>
      </c>
      <c r="V57" s="1"/>
      <c r="W57" s="1"/>
      <c r="X57" s="1"/>
      <c r="Y57" s="1"/>
      <c r="Z57" s="8"/>
      <c r="AA57" s="1"/>
      <c r="AB57" s="1"/>
      <c r="AC57" s="1"/>
      <c r="AD57" s="1"/>
      <c r="AE57" s="1"/>
      <c r="AF57" s="1"/>
      <c r="AG57" s="1"/>
      <c r="AH57" s="1" t="str">
        <f t="shared" si="1"/>
        <v/>
      </c>
      <c r="AI57" s="1"/>
    </row>
    <row r="58">
      <c r="A58" s="5">
        <f>IFERROR(__xludf.DUMMYFUNCTION("""COMPUTED_VALUE"""),44999.0)</f>
        <v>44999</v>
      </c>
      <c r="B58" s="14" t="str">
        <f>IFERROR(__xludf.DUMMYFUNCTION("""COMPUTED_VALUE"""),"Envia")</f>
        <v>Envia</v>
      </c>
      <c r="C58" s="6" t="str">
        <f>IFERROR(__xludf.DUMMYFUNCTION("""COMPUTED_VALUE"""),"CALI")</f>
        <v>CALI</v>
      </c>
      <c r="D58" s="6" t="str">
        <f>IFERROR(__xludf.DUMMYFUNCTION("""COMPUTED_VALUE"""),"BOGOTÁ")</f>
        <v>BOGOTÁ</v>
      </c>
      <c r="E58" s="6" t="str">
        <f>IFERROR(__xludf.DUMMYFUNCTION("""COMPUTED_VALUE"""),"Top Spun")</f>
        <v>Top Spun</v>
      </c>
      <c r="F58" s="1" t="str">
        <f>IFERROR(__xludf.DUMMYFUNCTION("""COMPUTED_VALUE"""),"Carrera 127 # 22A-60 / Casa 2 / Pance")</f>
        <v>Carrera 127 # 22A-60 / Casa 2 / Pance</v>
      </c>
      <c r="G58" s="6" t="str">
        <f>IFERROR(__xludf.DUMMYFUNCTION("""COMPUTED_VALUE"""),"Maria andrea chamat")</f>
        <v>Maria andrea chamat</v>
      </c>
      <c r="H58" s="7">
        <f>IFERROR(__xludf.DUMMYFUNCTION("""COMPUTED_VALUE"""),8776.0)</f>
        <v>8776</v>
      </c>
      <c r="I58" s="7">
        <f>IFERROR(__xludf.DUMMYFUNCTION("""COMPUTED_VALUE"""),20.0)</f>
        <v>20</v>
      </c>
      <c r="J58" s="7">
        <f>IFERROR(__xludf.DUMMYFUNCTION("""COMPUTED_VALUE"""),10.0)</f>
        <v>10</v>
      </c>
      <c r="K58" s="7">
        <f>IFERROR(__xludf.DUMMYFUNCTION("""COMPUTED_VALUE"""),40.0)</f>
        <v>40</v>
      </c>
      <c r="L58" s="8">
        <f>IFERROR(__xludf.DUMMYFUNCTION("""COMPUTED_VALUE"""),3.113766349E9)</f>
        <v>3113766349</v>
      </c>
      <c r="M58" s="9" t="str">
        <f>IFERROR(__xludf.DUMMYFUNCTION("""COMPUTED_VALUE"""),"#REF!")</f>
        <v>#REF!</v>
      </c>
      <c r="N58" s="1"/>
      <c r="O58" s="3" t="str">
        <f>IFERROR(__xludf.DUMMYFUNCTION("""COMPUTED_VALUE"""),"")</f>
        <v/>
      </c>
      <c r="P58" s="9" t="b">
        <f>IFERROR(__xludf.DUMMYFUNCTION("""COMPUTED_VALUE"""),TRUE)</f>
        <v>1</v>
      </c>
      <c r="Q58" s="13">
        <f>IFERROR(__xludf.DUMMYFUNCTION("""COMPUTED_VALUE"""),44999.59767365741)</f>
        <v>44999.59767</v>
      </c>
      <c r="R58" s="11" t="str">
        <f>IFERROR(__xludf.DUMMYFUNCTION("""COMPUTED_VALUE"""),"https://drive.google.com/file/d/18vgwyJeSRuKH1Bz3xznjli8sasqbc9ej/view?usp=drivesdk")</f>
        <v>https://drive.google.com/file/d/18vgwyJeSRuKH1Bz3xznjli8sasqbc9ej/view?usp=drivesdk</v>
      </c>
      <c r="S58" s="1" t="str">
        <f t="shared" si="2"/>
        <v/>
      </c>
      <c r="T58" s="1" t="str">
        <f t="shared" si="3"/>
        <v/>
      </c>
      <c r="U58" s="1" t="str">
        <f t="shared" si="4"/>
        <v/>
      </c>
      <c r="V58" s="1"/>
      <c r="W58" s="1"/>
      <c r="X58" s="1"/>
      <c r="Y58" s="1"/>
      <c r="Z58" s="8"/>
      <c r="AA58" s="1"/>
      <c r="AB58" s="1"/>
      <c r="AC58" s="1"/>
      <c r="AD58" s="1"/>
      <c r="AE58" s="1"/>
      <c r="AF58" s="1"/>
      <c r="AG58" s="1"/>
      <c r="AH58" s="1" t="str">
        <f t="shared" si="1"/>
        <v/>
      </c>
      <c r="AI58" s="1"/>
    </row>
    <row r="59">
      <c r="A59" s="5">
        <f>IFERROR(__xludf.DUMMYFUNCTION("""COMPUTED_VALUE"""),44999.0)</f>
        <v>44999</v>
      </c>
      <c r="B59" s="14" t="str">
        <f>IFERROR(__xludf.DUMMYFUNCTION("""COMPUTED_VALUE"""),"Envia")</f>
        <v>Envia</v>
      </c>
      <c r="C59" s="6" t="str">
        <f>IFERROR(__xludf.DUMMYFUNCTION("""COMPUTED_VALUE"""),"IBAGUÉ")</f>
        <v>IBAGUÉ</v>
      </c>
      <c r="D59" s="6" t="str">
        <f>IFERROR(__xludf.DUMMYFUNCTION("""COMPUTED_VALUE"""),"BOGOTÁ")</f>
        <v>BOGOTÁ</v>
      </c>
      <c r="E59" s="6" t="str">
        <f>IFERROR(__xludf.DUMMYFUNCTION("""COMPUTED_VALUE"""),"Asociacion Agropecuaria Juana Maria")</f>
        <v>Asociacion Agropecuaria Juana Maria</v>
      </c>
      <c r="F59" s="1" t="str">
        <f>IFERROR(__xludf.DUMMYFUNCTION("""COMPUTED_VALUE"""),"Calle 93 # 7 Sur-90 torre 8 apto 102 Conjunto Residencial Altagracia")</f>
        <v>Calle 93 # 7 Sur-90 torre 8 apto 102 Conjunto Residencial Altagracia</v>
      </c>
      <c r="G59" s="6" t="str">
        <f>IFERROR(__xludf.DUMMYFUNCTION("""COMPUTED_VALUE"""),"Mariam Yasmin Murillo Rubio")</f>
        <v>Mariam Yasmin Murillo Rubio</v>
      </c>
      <c r="H59" s="7">
        <f>IFERROR(__xludf.DUMMYFUNCTION("""COMPUTED_VALUE"""),8780.0)</f>
        <v>8780</v>
      </c>
      <c r="I59" s="7">
        <f>IFERROR(__xludf.DUMMYFUNCTION("""COMPUTED_VALUE"""),21.0)</f>
        <v>21</v>
      </c>
      <c r="J59" s="7">
        <f>IFERROR(__xludf.DUMMYFUNCTION("""COMPUTED_VALUE"""),37.0)</f>
        <v>37</v>
      </c>
      <c r="K59" s="7">
        <f>IFERROR(__xludf.DUMMYFUNCTION("""COMPUTED_VALUE"""),30.0)</f>
        <v>30</v>
      </c>
      <c r="L59" s="8">
        <f>IFERROR(__xludf.DUMMYFUNCTION("""COMPUTED_VALUE"""),3.105789664E9)</f>
        <v>3105789664</v>
      </c>
      <c r="M59" s="9" t="str">
        <f>IFERROR(__xludf.DUMMYFUNCTION("""COMPUTED_VALUE"""),"#REF!")</f>
        <v>#REF!</v>
      </c>
      <c r="N59" s="1"/>
      <c r="O59" s="3" t="str">
        <f>IFERROR(__xludf.DUMMYFUNCTION("""COMPUTED_VALUE"""),"")</f>
        <v/>
      </c>
      <c r="P59" s="9" t="b">
        <f>IFERROR(__xludf.DUMMYFUNCTION("""COMPUTED_VALUE"""),TRUE)</f>
        <v>1</v>
      </c>
      <c r="Q59" s="13">
        <f>IFERROR(__xludf.DUMMYFUNCTION("""COMPUTED_VALUE"""),44999.63916664352)</f>
        <v>44999.63917</v>
      </c>
      <c r="R59" s="11" t="str">
        <f>IFERROR(__xludf.DUMMYFUNCTION("""COMPUTED_VALUE"""),"https://drive.google.com/file/d/1oMcA74Pz8VLHW_Mv3hSg7HnK3hdfpqXA/view?usp=drivesdk")</f>
        <v>https://drive.google.com/file/d/1oMcA74Pz8VLHW_Mv3hSg7HnK3hdfpqXA/view?usp=drivesdk</v>
      </c>
      <c r="S59" s="1" t="str">
        <f t="shared" si="2"/>
        <v/>
      </c>
      <c r="T59" s="1" t="str">
        <f t="shared" si="3"/>
        <v/>
      </c>
      <c r="U59" s="1" t="str">
        <f t="shared" si="4"/>
        <v/>
      </c>
      <c r="V59" s="1"/>
      <c r="W59" s="1"/>
      <c r="X59" s="1"/>
      <c r="Y59" s="1"/>
      <c r="Z59" s="8"/>
      <c r="AA59" s="1"/>
      <c r="AB59" s="1"/>
      <c r="AC59" s="1"/>
      <c r="AD59" s="1"/>
      <c r="AE59" s="1"/>
      <c r="AF59" s="1"/>
      <c r="AG59" s="1"/>
      <c r="AH59" s="1" t="str">
        <f t="shared" si="1"/>
        <v/>
      </c>
      <c r="AI59" s="1"/>
    </row>
    <row r="60">
      <c r="A60" s="5">
        <f>IFERROR(__xludf.DUMMYFUNCTION("""COMPUTED_VALUE"""),44999.0)</f>
        <v>44999</v>
      </c>
      <c r="B60" s="14" t="str">
        <f>IFERROR(__xludf.DUMMYFUNCTION("""COMPUTED_VALUE"""),"Envia")</f>
        <v>Envia</v>
      </c>
      <c r="C60" s="6" t="str">
        <f>IFERROR(__xludf.DUMMYFUNCTION("""COMPUTED_VALUE"""),"IBAGUÉ")</f>
        <v>IBAGUÉ</v>
      </c>
      <c r="D60" s="6" t="str">
        <f>IFERROR(__xludf.DUMMYFUNCTION("""COMPUTED_VALUE"""),"BOGOTÁ")</f>
        <v>BOGOTÁ</v>
      </c>
      <c r="E60" s="6" t="str">
        <f>IFERROR(__xludf.DUMMYFUNCTION("""COMPUTED_VALUE"""),"Frambascolombia sas")</f>
        <v>Frambascolombia sas</v>
      </c>
      <c r="F60" s="1" t="str">
        <f>IFERROR(__xludf.DUMMYFUNCTION("""COMPUTED_VALUE"""),"Cra 14 # 75A-29 Local 5
")</f>
        <v>Cra 14 # 75A-29 Local 5
</v>
      </c>
      <c r="G60" s="6" t="str">
        <f>IFERROR(__xludf.DUMMYFUNCTION("""COMPUTED_VALUE"""),"Daniela Tatiana Lopez Arbelaez")</f>
        <v>Daniela Tatiana Lopez Arbelaez</v>
      </c>
      <c r="H60" s="7">
        <f>IFERROR(__xludf.DUMMYFUNCTION("""COMPUTED_VALUE"""),8730.0)</f>
        <v>8730</v>
      </c>
      <c r="I60" s="7">
        <f>IFERROR(__xludf.DUMMYFUNCTION("""COMPUTED_VALUE"""),11.0)</f>
        <v>11</v>
      </c>
      <c r="J60" s="7">
        <f>IFERROR(__xludf.DUMMYFUNCTION("""COMPUTED_VALUE"""),9.0)</f>
        <v>9</v>
      </c>
      <c r="K60" s="7">
        <f>IFERROR(__xludf.DUMMYFUNCTION("""COMPUTED_VALUE"""),9.0)</f>
        <v>9</v>
      </c>
      <c r="L60" s="8">
        <f>IFERROR(__xludf.DUMMYFUNCTION("""COMPUTED_VALUE"""),3.177002909E9)</f>
        <v>3177002909</v>
      </c>
      <c r="M60" s="9" t="str">
        <f>IFERROR(__xludf.DUMMYFUNCTION("""COMPUTED_VALUE"""),"#REF!")</f>
        <v>#REF!</v>
      </c>
      <c r="N60" s="1"/>
      <c r="O60" s="3" t="str">
        <f>IFERROR(__xludf.DUMMYFUNCTION("""COMPUTED_VALUE"""),"")</f>
        <v/>
      </c>
      <c r="P60" s="9" t="b">
        <f>IFERROR(__xludf.DUMMYFUNCTION("""COMPUTED_VALUE"""),TRUE)</f>
        <v>1</v>
      </c>
      <c r="Q60" s="13">
        <f>IFERROR(__xludf.DUMMYFUNCTION("""COMPUTED_VALUE"""),44999.63917833334)</f>
        <v>44999.63918</v>
      </c>
      <c r="R60" s="12" t="str">
        <f>IFERROR(__xludf.DUMMYFUNCTION("""COMPUTED_VALUE"""),"")</f>
        <v/>
      </c>
      <c r="S60" s="1" t="str">
        <f t="shared" si="2"/>
        <v/>
      </c>
      <c r="T60" s="1" t="str">
        <f t="shared" si="3"/>
        <v/>
      </c>
      <c r="U60" s="1" t="str">
        <f t="shared" si="4"/>
        <v/>
      </c>
      <c r="V60" s="1"/>
      <c r="W60" s="1"/>
      <c r="X60" s="1"/>
      <c r="Y60" s="1"/>
      <c r="Z60" s="8"/>
      <c r="AA60" s="1"/>
      <c r="AB60" s="1"/>
      <c r="AC60" s="1"/>
      <c r="AD60" s="1"/>
      <c r="AE60" s="1"/>
      <c r="AF60" s="1"/>
      <c r="AG60" s="1"/>
      <c r="AH60" s="1" t="str">
        <f t="shared" si="1"/>
        <v/>
      </c>
      <c r="AI60" s="1"/>
    </row>
    <row r="61">
      <c r="A61" s="5">
        <f>IFERROR(__xludf.DUMMYFUNCTION("""COMPUTED_VALUE"""),44999.0)</f>
        <v>44999</v>
      </c>
      <c r="B61" s="14" t="str">
        <f>IFERROR(__xludf.DUMMYFUNCTION("""COMPUTED_VALUE"""),"Envia")</f>
        <v>Envia</v>
      </c>
      <c r="C61" s="6" t="str">
        <f>IFERROR(__xludf.DUMMYFUNCTION("""COMPUTED_VALUE"""),"MANIZALES")</f>
        <v>MANIZALES</v>
      </c>
      <c r="D61" s="6" t="str">
        <f>IFERROR(__xludf.DUMMYFUNCTION("""COMPUTED_VALUE"""),"MEDELLÍN")</f>
        <v>MEDELLÍN</v>
      </c>
      <c r="E61" s="6" t="str">
        <f>IFERROR(__xludf.DUMMYFUNCTION("""COMPUTED_VALUE"""),"Todo Bufala")</f>
        <v>Todo Bufala</v>
      </c>
      <c r="F61" s="1" t="str">
        <f>IFERROR(__xludf.DUMMYFUNCTION("""COMPUTED_VALUE"""),"cRA 24A #59-67 / Local 1 porta esrella / barrio la estrella")</f>
        <v>cRA 24A #59-67 / Local 1 porta esrella / barrio la estrella</v>
      </c>
      <c r="G61" s="6" t="str">
        <f>IFERROR(__xludf.DUMMYFUNCTION("""COMPUTED_VALUE"""),"SEBASTIAN PEREZ")</f>
        <v>SEBASTIAN PEREZ</v>
      </c>
      <c r="H61" s="7">
        <f>IFERROR(__xludf.DUMMYFUNCTION("""COMPUTED_VALUE"""),8764.0)</f>
        <v>8764</v>
      </c>
      <c r="I61" s="7">
        <f>IFERROR(__xludf.DUMMYFUNCTION("""COMPUTED_VALUE"""),20.0)</f>
        <v>20</v>
      </c>
      <c r="J61" s="7">
        <f>IFERROR(__xludf.DUMMYFUNCTION("""COMPUTED_VALUE"""),30.0)</f>
        <v>30</v>
      </c>
      <c r="K61" s="7">
        <f>IFERROR(__xludf.DUMMYFUNCTION("""COMPUTED_VALUE"""),40.0)</f>
        <v>40</v>
      </c>
      <c r="L61" s="8">
        <f>IFERROR(__xludf.DUMMYFUNCTION("""COMPUTED_VALUE"""),3.106974621E9)</f>
        <v>3106974621</v>
      </c>
      <c r="M61" s="9" t="str">
        <f>IFERROR(__xludf.DUMMYFUNCTION("""COMPUTED_VALUE"""),"#REF!")</f>
        <v>#REF!</v>
      </c>
      <c r="N61" s="1"/>
      <c r="O61" s="3" t="str">
        <f>IFERROR(__xludf.DUMMYFUNCTION("""COMPUTED_VALUE"""),"")</f>
        <v/>
      </c>
      <c r="P61" s="9" t="b">
        <f>IFERROR(__xludf.DUMMYFUNCTION("""COMPUTED_VALUE"""),TRUE)</f>
        <v>1</v>
      </c>
      <c r="Q61" s="13">
        <f>IFERROR(__xludf.DUMMYFUNCTION("""COMPUTED_VALUE"""),44999.598291875)</f>
        <v>44999.59829</v>
      </c>
      <c r="R61" s="12" t="str">
        <f>IFERROR(__xludf.DUMMYFUNCTION("""COMPUTED_VALUE"""),"")</f>
        <v/>
      </c>
      <c r="S61" s="1" t="str">
        <f t="shared" si="2"/>
        <v/>
      </c>
      <c r="T61" s="1" t="str">
        <f t="shared" si="3"/>
        <v/>
      </c>
      <c r="U61" s="1" t="str">
        <f t="shared" si="4"/>
        <v/>
      </c>
      <c r="V61" s="1"/>
      <c r="W61" s="1"/>
      <c r="X61" s="1"/>
      <c r="Y61" s="1"/>
      <c r="Z61" s="8"/>
      <c r="AA61" s="1"/>
      <c r="AB61" s="1"/>
      <c r="AC61" s="1"/>
      <c r="AD61" s="1"/>
      <c r="AE61" s="1"/>
      <c r="AF61" s="1"/>
      <c r="AG61" s="1"/>
      <c r="AH61" s="1" t="str">
        <f t="shared" si="1"/>
        <v/>
      </c>
      <c r="AI61" s="1"/>
    </row>
    <row r="62">
      <c r="A62" s="5">
        <f>IFERROR(__xludf.DUMMYFUNCTION("""COMPUTED_VALUE"""),44999.0)</f>
        <v>44999</v>
      </c>
      <c r="B62" s="14" t="str">
        <f>IFERROR(__xludf.DUMMYFUNCTION("""COMPUTED_VALUE"""),"Envia")</f>
        <v>Envia</v>
      </c>
      <c r="C62" s="6" t="str">
        <f>IFERROR(__xludf.DUMMYFUNCTION("""COMPUTED_VALUE"""),"MANIZALES")</f>
        <v>MANIZALES</v>
      </c>
      <c r="D62" s="6" t="str">
        <f>IFERROR(__xludf.DUMMYFUNCTION("""COMPUTED_VALUE"""),"MEDELLÍN")</f>
        <v>MEDELLÍN</v>
      </c>
      <c r="E62" s="6" t="str">
        <f>IFERROR(__xludf.DUMMYFUNCTION("""COMPUTED_VALUE"""),"Todo Bufala")</f>
        <v>Todo Bufala</v>
      </c>
      <c r="F62" s="1" t="str">
        <f>IFERROR(__xludf.DUMMYFUNCTION("""COMPUTED_VALUE"""),"cRA 24A #59-67 / local 1 porta estrella / Barrio la estrellaa")</f>
        <v>cRA 24A #59-67 / local 1 porta estrella / Barrio la estrellaa</v>
      </c>
      <c r="G62" s="6" t="str">
        <f>IFERROR(__xludf.DUMMYFUNCTION("""COMPUTED_VALUE"""),"SEBASTIAN PEREZ")</f>
        <v>SEBASTIAN PEREZ</v>
      </c>
      <c r="H62" s="7">
        <f>IFERROR(__xludf.DUMMYFUNCTION("""COMPUTED_VALUE"""),8765.0)</f>
        <v>8765</v>
      </c>
      <c r="I62" s="7">
        <f>IFERROR(__xludf.DUMMYFUNCTION("""COMPUTED_VALUE"""),20.0)</f>
        <v>20</v>
      </c>
      <c r="J62" s="7">
        <f>IFERROR(__xludf.DUMMYFUNCTION("""COMPUTED_VALUE"""),30.0)</f>
        <v>30</v>
      </c>
      <c r="K62" s="7">
        <f>IFERROR(__xludf.DUMMYFUNCTION("""COMPUTED_VALUE"""),40.0)</f>
        <v>40</v>
      </c>
      <c r="L62" s="8">
        <f>IFERROR(__xludf.DUMMYFUNCTION("""COMPUTED_VALUE"""),3.106974621E9)</f>
        <v>3106974621</v>
      </c>
      <c r="M62" s="9" t="str">
        <f>IFERROR(__xludf.DUMMYFUNCTION("""COMPUTED_VALUE"""),"#REF!")</f>
        <v>#REF!</v>
      </c>
      <c r="N62" s="1"/>
      <c r="O62" s="3" t="str">
        <f>IFERROR(__xludf.DUMMYFUNCTION("""COMPUTED_VALUE"""),"")</f>
        <v/>
      </c>
      <c r="P62" s="9" t="b">
        <f>IFERROR(__xludf.DUMMYFUNCTION("""COMPUTED_VALUE"""),TRUE)</f>
        <v>1</v>
      </c>
      <c r="Q62" s="13">
        <f>IFERROR(__xludf.DUMMYFUNCTION("""COMPUTED_VALUE"""),44999.59835078704)</f>
        <v>44999.59835</v>
      </c>
      <c r="R62" s="12" t="str">
        <f>IFERROR(__xludf.DUMMYFUNCTION("""COMPUTED_VALUE"""),"")</f>
        <v/>
      </c>
      <c r="S62" s="1" t="str">
        <f t="shared" si="2"/>
        <v/>
      </c>
      <c r="T62" s="1" t="str">
        <f t="shared" si="3"/>
        <v/>
      </c>
      <c r="U62" s="1" t="str">
        <f t="shared" si="4"/>
        <v/>
      </c>
      <c r="V62" s="1"/>
      <c r="W62" s="1"/>
      <c r="X62" s="1"/>
      <c r="Y62" s="1"/>
      <c r="Z62" s="8"/>
      <c r="AA62" s="1"/>
      <c r="AB62" s="1"/>
      <c r="AC62" s="1"/>
      <c r="AD62" s="1"/>
      <c r="AE62" s="1"/>
      <c r="AF62" s="1"/>
      <c r="AG62" s="1"/>
      <c r="AH62" s="1" t="str">
        <f t="shared" si="1"/>
        <v/>
      </c>
      <c r="AI62" s="1"/>
    </row>
    <row r="63">
      <c r="A63" s="5">
        <f>IFERROR(__xludf.DUMMYFUNCTION("""COMPUTED_VALUE"""),44999.0)</f>
        <v>44999</v>
      </c>
      <c r="B63" s="14" t="str">
        <f>IFERROR(__xludf.DUMMYFUNCTION("""COMPUTED_VALUE"""),"Envia")</f>
        <v>Envia</v>
      </c>
      <c r="C63" s="6" t="str">
        <f>IFERROR(__xludf.DUMMYFUNCTION("""COMPUTED_VALUE"""),"MEDELLÍN")</f>
        <v>MEDELLÍN</v>
      </c>
      <c r="D63" s="6" t="str">
        <f>IFERROR(__xludf.DUMMYFUNCTION("""COMPUTED_VALUE"""),"BOGOTÁ")</f>
        <v>BOGOTÁ</v>
      </c>
      <c r="E63" s="6" t="str">
        <f>IFERROR(__xludf.DUMMYFUNCTION("""COMPUTED_VALUE"""),"Asociacion Agropecuaria Juana Maria")</f>
        <v>Asociacion Agropecuaria Juana Maria</v>
      </c>
      <c r="F63" s="1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63" s="6" t="str">
        <f>IFERROR(__xludf.DUMMYFUNCTION("""COMPUTED_VALUE"""),"Jennifer Sanchez Blandon")</f>
        <v>Jennifer Sanchez Blandon</v>
      </c>
      <c r="H63" s="7">
        <f>IFERROR(__xludf.DUMMYFUNCTION("""COMPUTED_VALUE"""),8785.0)</f>
        <v>8785</v>
      </c>
      <c r="I63" s="7">
        <f>IFERROR(__xludf.DUMMYFUNCTION("""COMPUTED_VALUE"""),12.0)</f>
        <v>12</v>
      </c>
      <c r="J63" s="7">
        <f>IFERROR(__xludf.DUMMYFUNCTION("""COMPUTED_VALUE"""),37.0)</f>
        <v>37</v>
      </c>
      <c r="K63" s="7">
        <f>IFERROR(__xludf.DUMMYFUNCTION("""COMPUTED_VALUE"""),24.0)</f>
        <v>24</v>
      </c>
      <c r="L63" s="8">
        <f>IFERROR(__xludf.DUMMYFUNCTION("""COMPUTED_VALUE"""),3.016937674E9)</f>
        <v>3016937674</v>
      </c>
      <c r="M63" s="9" t="str">
        <f>IFERROR(__xludf.DUMMYFUNCTION("""COMPUTED_VALUE"""),"#REF!")</f>
        <v>#REF!</v>
      </c>
      <c r="N63" s="1"/>
      <c r="O63" s="3" t="str">
        <f>IFERROR(__xludf.DUMMYFUNCTION("""COMPUTED_VALUE"""),"")</f>
        <v/>
      </c>
      <c r="P63" s="9" t="b">
        <f>IFERROR(__xludf.DUMMYFUNCTION("""COMPUTED_VALUE"""),TRUE)</f>
        <v>1</v>
      </c>
      <c r="Q63" s="13">
        <f>IFERROR(__xludf.DUMMYFUNCTION("""COMPUTED_VALUE"""),44999.600491273144)</f>
        <v>44999.60049</v>
      </c>
      <c r="R63" s="11" t="str">
        <f>IFERROR(__xludf.DUMMYFUNCTION("""COMPUTED_VALUE"""),"https://drive.google.com/file/d/1-5xTd-hi9mT693NBj5wd9aLK1tKre0rz/view?usp=drivesdk")</f>
        <v>https://drive.google.com/file/d/1-5xTd-hi9mT693NBj5wd9aLK1tKre0rz/view?usp=drivesdk</v>
      </c>
      <c r="S63" s="1" t="str">
        <f t="shared" si="2"/>
        <v/>
      </c>
      <c r="T63" s="1" t="str">
        <f t="shared" si="3"/>
        <v/>
      </c>
      <c r="U63" s="1" t="str">
        <f t="shared" si="4"/>
        <v/>
      </c>
      <c r="V63" s="1"/>
      <c r="W63" s="1"/>
      <c r="X63" s="1"/>
      <c r="Y63" s="1"/>
      <c r="Z63" s="8"/>
      <c r="AA63" s="1"/>
      <c r="AB63" s="1"/>
      <c r="AC63" s="1"/>
      <c r="AD63" s="1"/>
      <c r="AE63" s="1"/>
      <c r="AF63" s="1"/>
      <c r="AG63" s="1"/>
      <c r="AH63" s="1" t="str">
        <f t="shared" si="1"/>
        <v/>
      </c>
      <c r="AI63" s="1"/>
    </row>
    <row r="64">
      <c r="A64" s="5">
        <f>IFERROR(__xludf.DUMMYFUNCTION("""COMPUTED_VALUE"""),44999.0)</f>
        <v>44999</v>
      </c>
      <c r="B64" s="14" t="str">
        <f>IFERROR(__xludf.DUMMYFUNCTION("""COMPUTED_VALUE"""),"Envia")</f>
        <v>Envia</v>
      </c>
      <c r="C64" s="6" t="str">
        <f>IFERROR(__xludf.DUMMYFUNCTION("""COMPUTED_VALUE"""),"MEDELLÍN")</f>
        <v>MEDELLÍN</v>
      </c>
      <c r="D64" s="6" t="str">
        <f>IFERROR(__xludf.DUMMYFUNCTION("""COMPUTED_VALUE"""),"BOGOTÁ")</f>
        <v>BOGOTÁ</v>
      </c>
      <c r="E64" s="6" t="str">
        <f>IFERROR(__xludf.DUMMYFUNCTION("""COMPUTED_VALUE"""),"Asociacion Agropecuaria Juana Maria")</f>
        <v>Asociacion Agropecuaria Juana Maria</v>
      </c>
      <c r="F64" s="1" t="str">
        <f>IFERROR(__xludf.DUMMYFUNCTION("""COMPUTED_VALUE"""),"Cra 82C # 30A-100 apto 1202 urbanizacion Torres de Vicuña Belen los Alpes")</f>
        <v>Cra 82C # 30A-100 apto 1202 urbanizacion Torres de Vicuña Belen los Alpes</v>
      </c>
      <c r="G64" s="6" t="str">
        <f>IFERROR(__xludf.DUMMYFUNCTION("""COMPUTED_VALUE"""),"Gloria Moreno")</f>
        <v>Gloria Moreno</v>
      </c>
      <c r="H64" s="7">
        <f>IFERROR(__xludf.DUMMYFUNCTION("""COMPUTED_VALUE"""),8781.0)</f>
        <v>8781</v>
      </c>
      <c r="I64" s="7">
        <f>IFERROR(__xludf.DUMMYFUNCTION("""COMPUTED_VALUE"""),16.0)</f>
        <v>16</v>
      </c>
      <c r="J64" s="7">
        <f>IFERROR(__xludf.DUMMYFUNCTION("""COMPUTED_VALUE"""),34.0)</f>
        <v>34</v>
      </c>
      <c r="K64" s="7">
        <f>IFERROR(__xludf.DUMMYFUNCTION("""COMPUTED_VALUE"""),25.0)</f>
        <v>25</v>
      </c>
      <c r="L64" s="8">
        <f>IFERROR(__xludf.DUMMYFUNCTION("""COMPUTED_VALUE"""),3.162544201E9)</f>
        <v>3162544201</v>
      </c>
      <c r="M64" s="9" t="str">
        <f>IFERROR(__xludf.DUMMYFUNCTION("""COMPUTED_VALUE"""),"#REF!")</f>
        <v>#REF!</v>
      </c>
      <c r="N64" s="1"/>
      <c r="O64" s="3" t="str">
        <f>IFERROR(__xludf.DUMMYFUNCTION("""COMPUTED_VALUE"""),"")</f>
        <v/>
      </c>
      <c r="P64" s="9" t="b">
        <f>IFERROR(__xludf.DUMMYFUNCTION("""COMPUTED_VALUE"""),TRUE)</f>
        <v>1</v>
      </c>
      <c r="Q64" s="13">
        <f>IFERROR(__xludf.DUMMYFUNCTION("""COMPUTED_VALUE"""),44999.59566072917)</f>
        <v>44999.59566</v>
      </c>
      <c r="R64" s="11" t="str">
        <f>IFERROR(__xludf.DUMMYFUNCTION("""COMPUTED_VALUE"""),"https://drive.google.com/file/d/1OV1dIAhqTDs5RfoPBlQQE6vfLZmoscKu/view?usp=drivesdk")</f>
        <v>https://drive.google.com/file/d/1OV1dIAhqTDs5RfoPBlQQE6vfLZmoscKu/view?usp=drivesdk</v>
      </c>
      <c r="S64" s="1" t="str">
        <f t="shared" si="2"/>
        <v/>
      </c>
      <c r="T64" s="1" t="str">
        <f t="shared" si="3"/>
        <v/>
      </c>
      <c r="U64" s="1" t="str">
        <f t="shared" si="4"/>
        <v/>
      </c>
      <c r="V64" s="1"/>
      <c r="W64" s="1"/>
      <c r="X64" s="1"/>
      <c r="Y64" s="1"/>
      <c r="Z64" s="8"/>
      <c r="AA64" s="1"/>
      <c r="AB64" s="1"/>
      <c r="AC64" s="1"/>
      <c r="AD64" s="1"/>
      <c r="AE64" s="1"/>
      <c r="AF64" s="1"/>
      <c r="AG64" s="1"/>
      <c r="AH64" s="1" t="str">
        <f t="shared" si="1"/>
        <v/>
      </c>
      <c r="AI64" s="1"/>
    </row>
    <row r="65">
      <c r="A65" s="5">
        <f>IFERROR(__xludf.DUMMYFUNCTION("""COMPUTED_VALUE"""),44999.0)</f>
        <v>44999</v>
      </c>
      <c r="B65" s="14" t="str">
        <f>IFERROR(__xludf.DUMMYFUNCTION("""COMPUTED_VALUE"""),"Envia")</f>
        <v>Envia</v>
      </c>
      <c r="C65" s="6" t="str">
        <f>IFERROR(__xludf.DUMMYFUNCTION("""COMPUTED_VALUE"""),"MEDELLÍN")</f>
        <v>MEDELLÍN</v>
      </c>
      <c r="D65" s="6" t="str">
        <f>IFERROR(__xludf.DUMMYFUNCTION("""COMPUTED_VALUE"""),"BOGOTÁ")</f>
        <v>BOGOTÁ</v>
      </c>
      <c r="E65" s="6" t="str">
        <f>IFERROR(__xludf.DUMMYFUNCTION("""COMPUTED_VALUE"""),"Evamazzita")</f>
        <v>Evamazzita</v>
      </c>
      <c r="F65" s="1" t="str">
        <f>IFERROR(__xludf.DUMMYFUNCTION("""COMPUTED_VALUE"""),"CALLE 27D SUR No. 28 - 80  / APTO 1006 CONJUNTO CORALES DE LA ABADIA  / ENVIGADO")</f>
        <v>CALLE 27D SUR No. 28 - 80  / APTO 1006 CONJUNTO CORALES DE LA ABADIA  / ENVIGADO</v>
      </c>
      <c r="G65" s="6" t="str">
        <f>IFERROR(__xludf.DUMMYFUNCTION("""COMPUTED_VALUE"""),"LORENA CADENA")</f>
        <v>LORENA CADENA</v>
      </c>
      <c r="H65" s="7">
        <f>IFERROR(__xludf.DUMMYFUNCTION("""COMPUTED_VALUE"""),8817.0)</f>
        <v>8817</v>
      </c>
      <c r="I65" s="7">
        <f>IFERROR(__xludf.DUMMYFUNCTION("""COMPUTED_VALUE"""),22.0)</f>
        <v>22</v>
      </c>
      <c r="J65" s="7">
        <f>IFERROR(__xludf.DUMMYFUNCTION("""COMPUTED_VALUE"""),24.0)</f>
        <v>24</v>
      </c>
      <c r="K65" s="7">
        <f>IFERROR(__xludf.DUMMYFUNCTION("""COMPUTED_VALUE"""),21.0)</f>
        <v>21</v>
      </c>
      <c r="L65" s="8">
        <f>IFERROR(__xludf.DUMMYFUNCTION("""COMPUTED_VALUE"""),3.005682349E9)</f>
        <v>3005682349</v>
      </c>
      <c r="M65" s="9" t="str">
        <f>IFERROR(__xludf.DUMMYFUNCTION("""COMPUTED_VALUE"""),"#REF!")</f>
        <v>#REF!</v>
      </c>
      <c r="N65" s="1"/>
      <c r="O65" s="3" t="str">
        <f>IFERROR(__xludf.DUMMYFUNCTION("""COMPUTED_VALUE"""),"")</f>
        <v/>
      </c>
      <c r="P65" s="9" t="b">
        <f>IFERROR(__xludf.DUMMYFUNCTION("""COMPUTED_VALUE"""),TRUE)</f>
        <v>1</v>
      </c>
      <c r="Q65" s="13">
        <f>IFERROR(__xludf.DUMMYFUNCTION("""COMPUTED_VALUE"""),44999.60026490741)</f>
        <v>44999.60026</v>
      </c>
      <c r="R65" s="11" t="str">
        <f>IFERROR(__xludf.DUMMYFUNCTION("""COMPUTED_VALUE"""),"https://drive.google.com/file/d/1XCuj6P5Fzdsf1SDDwZhnpHPCrtt9047M/view?usp=drivesdk")</f>
        <v>https://drive.google.com/file/d/1XCuj6P5Fzdsf1SDDwZhnpHPCrtt9047M/view?usp=drivesdk</v>
      </c>
      <c r="S65" s="1" t="str">
        <f t="shared" si="2"/>
        <v/>
      </c>
      <c r="T65" s="1" t="str">
        <f t="shared" si="3"/>
        <v/>
      </c>
      <c r="U65" s="1" t="str">
        <f t="shared" si="4"/>
        <v/>
      </c>
      <c r="V65" s="1"/>
      <c r="W65" s="1"/>
      <c r="X65" s="1"/>
      <c r="Y65" s="1"/>
      <c r="Z65" s="8"/>
      <c r="AA65" s="1"/>
      <c r="AB65" s="1"/>
      <c r="AC65" s="1"/>
      <c r="AD65" s="1"/>
      <c r="AE65" s="1"/>
      <c r="AF65" s="1"/>
      <c r="AG65" s="1"/>
      <c r="AH65" s="1" t="str">
        <f t="shared" si="1"/>
        <v/>
      </c>
      <c r="AI65" s="1"/>
    </row>
    <row r="66">
      <c r="A66" s="5">
        <f>IFERROR(__xludf.DUMMYFUNCTION("""COMPUTED_VALUE"""),44999.0)</f>
        <v>44999</v>
      </c>
      <c r="B66" s="14" t="str">
        <f>IFERROR(__xludf.DUMMYFUNCTION("""COMPUTED_VALUE"""),"Envia")</f>
        <v>Envia</v>
      </c>
      <c r="C66" s="6" t="str">
        <f>IFERROR(__xludf.DUMMYFUNCTION("""COMPUTED_VALUE"""),"MEDELLÍN")</f>
        <v>MEDELLÍN</v>
      </c>
      <c r="D66" s="6" t="str">
        <f>IFERROR(__xludf.DUMMYFUNCTION("""COMPUTED_VALUE"""),"BOGOTÁ")</f>
        <v>BOGOTÁ</v>
      </c>
      <c r="E66" s="6" t="str">
        <f>IFERROR(__xludf.DUMMYFUNCTION("""COMPUTED_VALUE"""),"Evamazzita")</f>
        <v>Evamazzita</v>
      </c>
      <c r="F66" s="1" t="str">
        <f>IFERROR(__xludf.DUMMYFUNCTION("""COMPUTED_VALUE"""),"CALLE 40C SUR No. 42 - 28  / BARRIO EL DORADO CASA PRIMER PISO / ENVIGADO")</f>
        <v>CALLE 40C SUR No. 42 - 28  / BARRIO EL DORADO CASA PRIMER PISO / ENVIGADO</v>
      </c>
      <c r="G66" s="6" t="str">
        <f>IFERROR(__xludf.DUMMYFUNCTION("""COMPUTED_VALUE"""),"LIZETH ARANGO")</f>
        <v>LIZETH ARANGO</v>
      </c>
      <c r="H66" s="7">
        <f>IFERROR(__xludf.DUMMYFUNCTION("""COMPUTED_VALUE"""),8816.0)</f>
        <v>8816</v>
      </c>
      <c r="I66" s="7">
        <f>IFERROR(__xludf.DUMMYFUNCTION("""COMPUTED_VALUE"""),20.0)</f>
        <v>20</v>
      </c>
      <c r="J66" s="7">
        <f>IFERROR(__xludf.DUMMYFUNCTION("""COMPUTED_VALUE"""),18.0)</f>
        <v>18</v>
      </c>
      <c r="K66" s="7">
        <f>IFERROR(__xludf.DUMMYFUNCTION("""COMPUTED_VALUE"""),22.0)</f>
        <v>22</v>
      </c>
      <c r="L66" s="8">
        <f>IFERROR(__xludf.DUMMYFUNCTION("""COMPUTED_VALUE"""),3.152227165E9)</f>
        <v>3152227165</v>
      </c>
      <c r="M66" s="9" t="str">
        <f>IFERROR(__xludf.DUMMYFUNCTION("""COMPUTED_VALUE"""),"#REF!")</f>
        <v>#REF!</v>
      </c>
      <c r="N66" s="1"/>
      <c r="O66" s="3" t="str">
        <f>IFERROR(__xludf.DUMMYFUNCTION("""COMPUTED_VALUE"""),"")</f>
        <v/>
      </c>
      <c r="P66" s="9" t="b">
        <f>IFERROR(__xludf.DUMMYFUNCTION("""COMPUTED_VALUE"""),TRUE)</f>
        <v>1</v>
      </c>
      <c r="Q66" s="13">
        <f>IFERROR(__xludf.DUMMYFUNCTION("""COMPUTED_VALUE"""),44999.505274201394)</f>
        <v>44999.50527</v>
      </c>
      <c r="R66" s="11" t="str">
        <f>IFERROR(__xludf.DUMMYFUNCTION("""COMPUTED_VALUE"""),"https://drive.google.com/file/d/1NbtH5qdsBh81MeWvUwaPk5jodV_DFPJK/view?usp=drivesdk")</f>
        <v>https://drive.google.com/file/d/1NbtH5qdsBh81MeWvUwaPk5jodV_DFPJK/view?usp=drivesdk</v>
      </c>
      <c r="S66" s="1" t="str">
        <f t="shared" si="2"/>
        <v/>
      </c>
      <c r="T66" s="1" t="str">
        <f t="shared" si="3"/>
        <v/>
      </c>
      <c r="U66" s="1" t="str">
        <f t="shared" si="4"/>
        <v/>
      </c>
      <c r="V66" s="1"/>
      <c r="W66" s="1"/>
      <c r="X66" s="1"/>
      <c r="Y66" s="1"/>
      <c r="Z66" s="8"/>
      <c r="AA66" s="1"/>
      <c r="AB66" s="1"/>
      <c r="AC66" s="1"/>
      <c r="AD66" s="1"/>
      <c r="AE66" s="1"/>
      <c r="AF66" s="1"/>
      <c r="AG66" s="1"/>
      <c r="AH66" s="1" t="str">
        <f t="shared" si="1"/>
        <v/>
      </c>
      <c r="AI66" s="1"/>
    </row>
    <row r="67">
      <c r="A67" s="5">
        <f>IFERROR(__xludf.DUMMYFUNCTION("""COMPUTED_VALUE"""),44999.0)</f>
        <v>44999</v>
      </c>
      <c r="B67" s="14" t="str">
        <f>IFERROR(__xludf.DUMMYFUNCTION("""COMPUTED_VALUE"""),"Envia")</f>
        <v>Envia</v>
      </c>
      <c r="C67" s="6" t="str">
        <f>IFERROR(__xludf.DUMMYFUNCTION("""COMPUTED_VALUE"""),"MEDELLÍN")</f>
        <v>MEDELLÍN</v>
      </c>
      <c r="D67" s="6" t="str">
        <f>IFERROR(__xludf.DUMMYFUNCTION("""COMPUTED_VALUE"""),"BOGOTÁ")</f>
        <v>BOGOTÁ</v>
      </c>
      <c r="E67" s="6" t="str">
        <f>IFERROR(__xludf.DUMMYFUNCTION("""COMPUTED_VALUE"""),"Frambascolombia sas")</f>
        <v>Frambascolombia sas</v>
      </c>
      <c r="F67" s="1" t="str">
        <f>IFERROR(__xludf.DUMMYFUNCTION("""COMPUTED_VALUE"""),"Cl. 16 #55-129")</f>
        <v>Cl. 16 #55-129</v>
      </c>
      <c r="G67" s="6" t="str">
        <f>IFERROR(__xludf.DUMMYFUNCTION("""COMPUTED_VALUE"""),"PikNPak Medellín")</f>
        <v>PikNPak Medellín</v>
      </c>
      <c r="H67" s="7">
        <f>IFERROR(__xludf.DUMMYFUNCTION("""COMPUTED_VALUE"""),8582.0)</f>
        <v>8582</v>
      </c>
      <c r="I67" s="2" t="str">
        <f>IFERROR(__xludf.DUMMYFUNCTION("""COMPUTED_VALUE"""),"52.5")</f>
        <v>52.5</v>
      </c>
      <c r="J67" s="7">
        <f>IFERROR(__xludf.DUMMYFUNCTION("""COMPUTED_VALUE"""),45.0)</f>
        <v>45</v>
      </c>
      <c r="K67" s="7">
        <f>IFERROR(__xludf.DUMMYFUNCTION("""COMPUTED_VALUE"""),55.0)</f>
        <v>55</v>
      </c>
      <c r="L67" s="1" t="str">
        <f>IFERROR(__xludf.DUMMYFUNCTION("""COMPUTED_VALUE"""),"321 4229567")</f>
        <v>321 4229567</v>
      </c>
      <c r="M67" s="9" t="str">
        <f>IFERROR(__xludf.DUMMYFUNCTION("""COMPUTED_VALUE"""),"#REF!")</f>
        <v>#REF!</v>
      </c>
      <c r="N67" s="1"/>
      <c r="O67" s="3" t="str">
        <f>IFERROR(__xludf.DUMMYFUNCTION("""COMPUTED_VALUE"""),"")</f>
        <v/>
      </c>
      <c r="P67" s="9" t="b">
        <f>IFERROR(__xludf.DUMMYFUNCTION("""COMPUTED_VALUE"""),TRUE)</f>
        <v>1</v>
      </c>
      <c r="Q67" s="13">
        <f>IFERROR(__xludf.DUMMYFUNCTION("""COMPUTED_VALUE"""),44999.600465462965)</f>
        <v>44999.60047</v>
      </c>
      <c r="R67" s="12" t="str">
        <f>IFERROR(__xludf.DUMMYFUNCTION("""COMPUTED_VALUE"""),"")</f>
        <v/>
      </c>
      <c r="S67" s="1" t="str">
        <f t="shared" si="2"/>
        <v/>
      </c>
      <c r="T67" s="1" t="str">
        <f t="shared" si="3"/>
        <v/>
      </c>
      <c r="U67" s="1" t="str">
        <f t="shared" si="4"/>
        <v/>
      </c>
      <c r="V67" s="1"/>
      <c r="W67" s="1"/>
      <c r="X67" s="1"/>
      <c r="Y67" s="1"/>
      <c r="Z67" s="8"/>
      <c r="AA67" s="1"/>
      <c r="AB67" s="1"/>
      <c r="AC67" s="1"/>
      <c r="AD67" s="1"/>
      <c r="AE67" s="1"/>
      <c r="AF67" s="1"/>
      <c r="AG67" s="1"/>
      <c r="AH67" s="1" t="str">
        <f t="shared" si="1"/>
        <v/>
      </c>
      <c r="AI67" s="1"/>
    </row>
    <row r="68">
      <c r="A68" s="5">
        <f>IFERROR(__xludf.DUMMYFUNCTION("""COMPUTED_VALUE"""),44999.0)</f>
        <v>44999</v>
      </c>
      <c r="B68" s="14" t="str">
        <f>IFERROR(__xludf.DUMMYFUNCTION("""COMPUTED_VALUE"""),"Envia")</f>
        <v>Envia</v>
      </c>
      <c r="C68" s="6" t="str">
        <f>IFERROR(__xludf.DUMMYFUNCTION("""COMPUTED_VALUE"""),"MEDELLÍN")</f>
        <v>MEDELLÍN</v>
      </c>
      <c r="D68" s="6" t="str">
        <f>IFERROR(__xludf.DUMMYFUNCTION("""COMPUTED_VALUE"""),"BOGOTÁ")</f>
        <v>BOGOTÁ</v>
      </c>
      <c r="E68" s="6" t="str">
        <f>IFERROR(__xludf.DUMMYFUNCTION("""COMPUTED_VALUE"""),"Lunchy Kids")</f>
        <v>Lunchy Kids</v>
      </c>
      <c r="F68" s="1" t="str">
        <f>IFERROR(__xludf.DUMMYFUNCTION("""COMPUTED_VALUE"""),"Calle 40c Sur # 42-28 / Casa 1er piso . / Envigado")</f>
        <v>Calle 40c Sur # 42-28 / Casa 1er piso . / Envigado</v>
      </c>
      <c r="G68" s="6" t="str">
        <f>IFERROR(__xludf.DUMMYFUNCTION("""COMPUTED_VALUE"""),"Lizeth Arango")</f>
        <v>Lizeth Arango</v>
      </c>
      <c r="H68" s="7">
        <f>IFERROR(__xludf.DUMMYFUNCTION("""COMPUTED_VALUE"""),8770.0)</f>
        <v>8770</v>
      </c>
      <c r="I68" s="7">
        <f>IFERROR(__xludf.DUMMYFUNCTION("""COMPUTED_VALUE"""),10.0)</f>
        <v>10</v>
      </c>
      <c r="J68" s="7">
        <f>IFERROR(__xludf.DUMMYFUNCTION("""COMPUTED_VALUE"""),20.0)</f>
        <v>20</v>
      </c>
      <c r="K68" s="7">
        <f>IFERROR(__xludf.DUMMYFUNCTION("""COMPUTED_VALUE"""),5.0)</f>
        <v>5</v>
      </c>
      <c r="L68" s="8">
        <f>IFERROR(__xludf.DUMMYFUNCTION("""COMPUTED_VALUE"""),3.152227165E9)</f>
        <v>3152227165</v>
      </c>
      <c r="M68" s="9" t="str">
        <f>IFERROR(__xludf.DUMMYFUNCTION("""COMPUTED_VALUE"""),"#REF!")</f>
        <v>#REF!</v>
      </c>
      <c r="N68" s="1"/>
      <c r="O68" s="3" t="str">
        <f>IFERROR(__xludf.DUMMYFUNCTION("""COMPUTED_VALUE"""),"")</f>
        <v/>
      </c>
      <c r="P68" s="9" t="b">
        <f>IFERROR(__xludf.DUMMYFUNCTION("""COMPUTED_VALUE"""),FALSE)</f>
        <v>0</v>
      </c>
      <c r="Q68" s="10" t="str">
        <f>IFERROR(__xludf.DUMMYFUNCTION("""COMPUTED_VALUE"""),"")</f>
        <v/>
      </c>
      <c r="R68" s="11" t="str">
        <f>IFERROR(__xludf.DUMMYFUNCTION("""COMPUTED_VALUE"""),"https://drive.google.com/file/d/1bUgAuXmnSK-QLDhwLPFQthTkg8U_1_O8/view?usp=drivesdk")</f>
        <v>https://drive.google.com/file/d/1bUgAuXmnSK-QLDhwLPFQthTkg8U_1_O8/view?usp=drivesdk</v>
      </c>
      <c r="S68" s="1" t="str">
        <f t="shared" si="2"/>
        <v/>
      </c>
      <c r="T68" s="1" t="str">
        <f t="shared" si="3"/>
        <v/>
      </c>
      <c r="U68" s="1" t="str">
        <f t="shared" si="4"/>
        <v/>
      </c>
      <c r="V68" s="1"/>
      <c r="W68" s="1"/>
      <c r="X68" s="1"/>
      <c r="Y68" s="1"/>
      <c r="Z68" s="8"/>
      <c r="AA68" s="1"/>
      <c r="AB68" s="1"/>
      <c r="AC68" s="1"/>
      <c r="AD68" s="1"/>
      <c r="AE68" s="1"/>
      <c r="AF68" s="1"/>
      <c r="AG68" s="1"/>
      <c r="AH68" s="1" t="str">
        <f t="shared" si="1"/>
        <v/>
      </c>
      <c r="AI68" s="1"/>
    </row>
    <row r="69">
      <c r="A69" s="5">
        <f>IFERROR(__xludf.DUMMYFUNCTION("""COMPUTED_VALUE"""),44999.0)</f>
        <v>44999</v>
      </c>
      <c r="B69" s="14" t="str">
        <f>IFERROR(__xludf.DUMMYFUNCTION("""COMPUTED_VALUE"""),"Envia")</f>
        <v>Envia</v>
      </c>
      <c r="C69" s="6" t="str">
        <f>IFERROR(__xludf.DUMMYFUNCTION("""COMPUTED_VALUE"""),"MEDELLÍN")</f>
        <v>MEDELLÍN</v>
      </c>
      <c r="D69" s="6" t="str">
        <f>IFERROR(__xludf.DUMMYFUNCTION("""COMPUTED_VALUE"""),"BOGOTÁ")</f>
        <v>BOGOTÁ</v>
      </c>
      <c r="E69" s="6" t="str">
        <f>IFERROR(__xludf.DUMMYFUNCTION("""COMPUTED_VALUE"""),"Lunchy Kids")</f>
        <v>Lunchy Kids</v>
      </c>
      <c r="F69" s="1" t="str">
        <f>IFERROR(__xludf.DUMMYFUNCTION("""COMPUTED_VALUE"""),"Calle 57 # 69-27  / Torre 5. Apto 837  / Bello")</f>
        <v>Calle 57 # 69-27  / Torre 5. Apto 837  / Bello</v>
      </c>
      <c r="G69" s="6" t="str">
        <f>IFERROR(__xludf.DUMMYFUNCTION("""COMPUTED_VALUE"""),"Maricela Osorio Naranjo")</f>
        <v>Maricela Osorio Naranjo</v>
      </c>
      <c r="H69" s="7">
        <f>IFERROR(__xludf.DUMMYFUNCTION("""COMPUTED_VALUE"""),8769.0)</f>
        <v>8769</v>
      </c>
      <c r="I69" s="7">
        <f>IFERROR(__xludf.DUMMYFUNCTION("""COMPUTED_VALUE"""),10.0)</f>
        <v>10</v>
      </c>
      <c r="J69" s="7">
        <f>IFERROR(__xludf.DUMMYFUNCTION("""COMPUTED_VALUE"""),20.0)</f>
        <v>20</v>
      </c>
      <c r="K69" s="7">
        <f>IFERROR(__xludf.DUMMYFUNCTION("""COMPUTED_VALUE"""),5.0)</f>
        <v>5</v>
      </c>
      <c r="L69" s="8">
        <f>IFERROR(__xludf.DUMMYFUNCTION("""COMPUTED_VALUE"""),3.053424045E9)</f>
        <v>3053424045</v>
      </c>
      <c r="M69" s="9" t="str">
        <f>IFERROR(__xludf.DUMMYFUNCTION("""COMPUTED_VALUE"""),"#REF!")</f>
        <v>#REF!</v>
      </c>
      <c r="N69" s="1"/>
      <c r="O69" s="3" t="str">
        <f>IFERROR(__xludf.DUMMYFUNCTION("""COMPUTED_VALUE"""),"")</f>
        <v/>
      </c>
      <c r="P69" s="9" t="b">
        <f>IFERROR(__xludf.DUMMYFUNCTION("""COMPUTED_VALUE"""),FALSE)</f>
        <v>0</v>
      </c>
      <c r="Q69" s="10" t="str">
        <f>IFERROR(__xludf.DUMMYFUNCTION("""COMPUTED_VALUE"""),"")</f>
        <v/>
      </c>
      <c r="R69" s="11" t="str">
        <f>IFERROR(__xludf.DUMMYFUNCTION("""COMPUTED_VALUE"""),"https://drive.google.com/file/d/1VhLy3Fb3RpmFaFvUkaKdFNB-fvyKZShm/view?usp=drivesdk")</f>
        <v>https://drive.google.com/file/d/1VhLy3Fb3RpmFaFvUkaKdFNB-fvyKZShm/view?usp=drivesdk</v>
      </c>
      <c r="S69" s="1" t="str">
        <f t="shared" si="2"/>
        <v/>
      </c>
      <c r="T69" s="1" t="str">
        <f t="shared" si="3"/>
        <v/>
      </c>
      <c r="U69" s="1" t="str">
        <f t="shared" si="4"/>
        <v/>
      </c>
      <c r="V69" s="1"/>
      <c r="W69" s="1"/>
      <c r="X69" s="1"/>
      <c r="Y69" s="1"/>
      <c r="Z69" s="8"/>
      <c r="AA69" s="1"/>
      <c r="AB69" s="1"/>
      <c r="AC69" s="1"/>
      <c r="AD69" s="1"/>
      <c r="AE69" s="1"/>
      <c r="AF69" s="1"/>
      <c r="AG69" s="1"/>
      <c r="AH69" s="1" t="str">
        <f t="shared" si="1"/>
        <v/>
      </c>
      <c r="AI69" s="1"/>
    </row>
    <row r="70">
      <c r="A70" s="5">
        <f>IFERROR(__xludf.DUMMYFUNCTION("""COMPUTED_VALUE"""),44999.0)</f>
        <v>44999</v>
      </c>
      <c r="B70" s="14" t="str">
        <f>IFERROR(__xludf.DUMMYFUNCTION("""COMPUTED_VALUE"""),"Envia")</f>
        <v>Envia</v>
      </c>
      <c r="C70" s="6" t="str">
        <f>IFERROR(__xludf.DUMMYFUNCTION("""COMPUTED_VALUE"""),"MEDELLÍN")</f>
        <v>MEDELLÍN</v>
      </c>
      <c r="D70" s="6" t="str">
        <f>IFERROR(__xludf.DUMMYFUNCTION("""COMPUTED_VALUE"""),"BOGOTÁ")</f>
        <v>BOGOTÁ</v>
      </c>
      <c r="E70" s="6" t="str">
        <f>IFERROR(__xludf.DUMMYFUNCTION("""COMPUTED_VALUE"""),"Top Spun")</f>
        <v>Top Spun</v>
      </c>
      <c r="F70" s="1" t="str">
        <f>IFERROR(__xludf.DUMMYFUNCTION("""COMPUTED_VALUE"""),"calle 25 c sur # 45-27 / , edificio manantial apartamento 1008 / Envigado")</f>
        <v>calle 25 c sur # 45-27 / , edificio manantial apartamento 1008 / Envigado</v>
      </c>
      <c r="G70" s="6" t="str">
        <f>IFERROR(__xludf.DUMMYFUNCTION("""COMPUTED_VALUE"""),"nikol contecha")</f>
        <v>nikol contecha</v>
      </c>
      <c r="H70" s="7">
        <f>IFERROR(__xludf.DUMMYFUNCTION("""COMPUTED_VALUE"""),8806.0)</f>
        <v>8806</v>
      </c>
      <c r="I70" s="7">
        <f>IFERROR(__xludf.DUMMYFUNCTION("""COMPUTED_VALUE"""),20.0)</f>
        <v>20</v>
      </c>
      <c r="J70" s="7">
        <f>IFERROR(__xludf.DUMMYFUNCTION("""COMPUTED_VALUE"""),10.0)</f>
        <v>10</v>
      </c>
      <c r="K70" s="7">
        <f>IFERROR(__xludf.DUMMYFUNCTION("""COMPUTED_VALUE"""),40.0)</f>
        <v>40</v>
      </c>
      <c r="L70" s="8">
        <f>IFERROR(__xludf.DUMMYFUNCTION("""COMPUTED_VALUE"""),3.022805509E9)</f>
        <v>3022805509</v>
      </c>
      <c r="M70" s="9" t="str">
        <f>IFERROR(__xludf.DUMMYFUNCTION("""COMPUTED_VALUE"""),"#REF!")</f>
        <v>#REF!</v>
      </c>
      <c r="N70" s="1"/>
      <c r="O70" s="3" t="str">
        <f>IFERROR(__xludf.DUMMYFUNCTION("""COMPUTED_VALUE"""),"")</f>
        <v/>
      </c>
      <c r="P70" s="9" t="b">
        <f>IFERROR(__xludf.DUMMYFUNCTION("""COMPUTED_VALUE"""),FALSE)</f>
        <v>0</v>
      </c>
      <c r="Q70" s="10" t="str">
        <f>IFERROR(__xludf.DUMMYFUNCTION("""COMPUTED_VALUE"""),"")</f>
        <v/>
      </c>
      <c r="R70" s="11" t="str">
        <f>IFERROR(__xludf.DUMMYFUNCTION("""COMPUTED_VALUE"""),"https://drive.google.com/file/d/19g4nWRAkzErUuy7-f8tgLh-fzqqxAQhN/view?usp=drivesdk")</f>
        <v>https://drive.google.com/file/d/19g4nWRAkzErUuy7-f8tgLh-fzqqxAQhN/view?usp=drivesdk</v>
      </c>
      <c r="S70" s="1" t="str">
        <f t="shared" si="2"/>
        <v/>
      </c>
      <c r="T70" s="1" t="str">
        <f t="shared" si="3"/>
        <v/>
      </c>
      <c r="U70" s="1" t="str">
        <f t="shared" si="4"/>
        <v/>
      </c>
      <c r="V70" s="1"/>
      <c r="W70" s="1"/>
      <c r="X70" s="1"/>
      <c r="Y70" s="1"/>
      <c r="Z70" s="8"/>
      <c r="AA70" s="1"/>
      <c r="AB70" s="1"/>
      <c r="AC70" s="1"/>
      <c r="AD70" s="1"/>
      <c r="AE70" s="1"/>
      <c r="AF70" s="1"/>
      <c r="AG70" s="1"/>
      <c r="AH70" s="1" t="str">
        <f t="shared" si="1"/>
        <v/>
      </c>
      <c r="AI70" s="1"/>
    </row>
    <row r="71">
      <c r="A71" s="1" t="str">
        <f>IFERROR(__xludf.DUMMYFUNCTION("""COMPUTED_VALUE"""),"")</f>
        <v/>
      </c>
      <c r="B71" s="1" t="str">
        <f>IFERROR(__xludf.DUMMYFUNCTION("""COMPUTED_VALUE"""),"")</f>
        <v/>
      </c>
      <c r="C71" s="1" t="str">
        <f>IFERROR(__xludf.DUMMYFUNCTION("""COMPUTED_VALUE"""),"")</f>
        <v/>
      </c>
      <c r="D71" s="1" t="str">
        <f>IFERROR(__xludf.DUMMYFUNCTION("""COMPUTED_VALUE"""),"")</f>
        <v/>
      </c>
      <c r="E71" s="1" t="str">
        <f>IFERROR(__xludf.DUMMYFUNCTION("""COMPUTED_VALUE"""),"")</f>
        <v/>
      </c>
      <c r="F71" s="1" t="str">
        <f>IFERROR(__xludf.DUMMYFUNCTION("""COMPUTED_VALUE"""),"")</f>
        <v/>
      </c>
      <c r="G71" s="1" t="str">
        <f>IFERROR(__xludf.DUMMYFUNCTION("""COMPUTED_VALUE"""),"")</f>
        <v/>
      </c>
      <c r="H71" s="1" t="str">
        <f>IFERROR(__xludf.DUMMYFUNCTION("""COMPUTED_VALUE"""),"")</f>
        <v/>
      </c>
      <c r="I71" s="1" t="str">
        <f>IFERROR(__xludf.DUMMYFUNCTION("""COMPUTED_VALUE"""),"")</f>
        <v/>
      </c>
      <c r="J71" s="1" t="str">
        <f>IFERROR(__xludf.DUMMYFUNCTION("""COMPUTED_VALUE"""),"")</f>
        <v/>
      </c>
      <c r="K71" s="1" t="str">
        <f>IFERROR(__xludf.DUMMYFUNCTION("""COMPUTED_VALUE"""),"")</f>
        <v/>
      </c>
      <c r="L71" s="1" t="str">
        <f>IFERROR(__xludf.DUMMYFUNCTION("""COMPUTED_VALUE"""),"")</f>
        <v/>
      </c>
      <c r="M71" s="1" t="str">
        <f>IFERROR(__xludf.DUMMYFUNCTION("""COMPUTED_VALUE"""),"")</f>
        <v/>
      </c>
      <c r="N71" s="1" t="str">
        <f>IFERROR(__xludf.DUMMYFUNCTION("""COMPUTED_VALUE"""),"")</f>
        <v/>
      </c>
      <c r="O71" s="1" t="str">
        <f>IFERROR(__xludf.DUMMYFUNCTION("""COMPUTED_VALUE"""),"")</f>
        <v/>
      </c>
      <c r="P71" s="1" t="str">
        <f>IFERROR(__xludf.DUMMYFUNCTION("""COMPUTED_VALUE"""),"")</f>
        <v/>
      </c>
      <c r="Q71" s="1" t="str">
        <f>IFERROR(__xludf.DUMMYFUNCTION("""COMPUTED_VALUE"""),"")</f>
        <v/>
      </c>
      <c r="R71" s="1" t="str">
        <f>IFERROR(__xludf.DUMMYFUNCTION("""COMPUTED_VALUE"""),"")</f>
        <v/>
      </c>
      <c r="S71" s="1" t="str">
        <f t="shared" si="2"/>
        <v/>
      </c>
      <c r="T71" s="1" t="str">
        <f t="shared" si="3"/>
        <v/>
      </c>
      <c r="U71" s="1" t="str">
        <f t="shared" si="4"/>
        <v/>
      </c>
      <c r="V71" s="1"/>
      <c r="W71" s="1"/>
      <c r="X71" s="1"/>
      <c r="Y71" s="1"/>
      <c r="Z71" s="8"/>
      <c r="AA71" s="1"/>
      <c r="AB71" s="1"/>
      <c r="AC71" s="1"/>
      <c r="AD71" s="1"/>
      <c r="AE71" s="1"/>
      <c r="AF71" s="1"/>
      <c r="AG71" s="1"/>
      <c r="AH71" s="1" t="str">
        <f t="shared" si="1"/>
        <v/>
      </c>
      <c r="AI71" s="1"/>
    </row>
    <row r="72">
      <c r="A72" s="5">
        <f>IFERROR(__xludf.DUMMYFUNCTION("""COMPUTED_VALUE"""),44999.0)</f>
        <v>44999</v>
      </c>
      <c r="B72" s="14" t="str">
        <f>IFERROR(__xludf.DUMMYFUNCTION("""COMPUTED_VALUE"""),"Jesus Manuel Herrera Medina ")</f>
        <v>Jesus Manuel Herrera Medina </v>
      </c>
      <c r="C72" s="6" t="str">
        <f>IFERROR(__xludf.DUMMYFUNCTION("""COMPUTED_VALUE"""),"BUCARAMANGA")</f>
        <v>BUCARAMANGA</v>
      </c>
      <c r="D72" s="6" t="str">
        <f>IFERROR(__xludf.DUMMYFUNCTION("""COMPUTED_VALUE"""),"BOGOTÁ")</f>
        <v>BOGOTÁ</v>
      </c>
      <c r="E72" s="6" t="str">
        <f>IFERROR(__xludf.DUMMYFUNCTION("""COMPUTED_VALUE"""),"Ins. Alimento Vital")</f>
        <v>Ins. Alimento Vital</v>
      </c>
      <c r="F72" s="1" t="str">
        <f>IFERROR(__xludf.DUMMYFUNCTION("""COMPUTED_VALUE"""),"CRA 29 #45-45  / OFICINA 710, EDIFICIO METROPOLITAN / EDIFICIO METROPOLITAN")</f>
        <v>CRA 29 #45-45  / OFICINA 710, EDIFICIO METROPOLITAN / EDIFICIO METROPOLITAN</v>
      </c>
      <c r="G72" s="6" t="str">
        <f>IFERROR(__xludf.DUMMYFUNCTION("""COMPUTED_VALUE"""),"MARIA CLAUDIA SANCHEZ MONTILLA")</f>
        <v>MARIA CLAUDIA SANCHEZ MONTILLA</v>
      </c>
      <c r="H72" s="7">
        <f>IFERROR(__xludf.DUMMYFUNCTION("""COMPUTED_VALUE"""),8850.0)</f>
        <v>8850</v>
      </c>
      <c r="I72" s="7">
        <f>IFERROR(__xludf.DUMMYFUNCTION("""COMPUTED_VALUE"""),100.0)</f>
        <v>100</v>
      </c>
      <c r="J72" s="7">
        <f>IFERROR(__xludf.DUMMYFUNCTION("""COMPUTED_VALUE"""),10.0)</f>
        <v>10</v>
      </c>
      <c r="K72" s="7">
        <f>IFERROR(__xludf.DUMMYFUNCTION("""COMPUTED_VALUE"""),12.0)</f>
        <v>12</v>
      </c>
      <c r="L72" s="8">
        <f>IFERROR(__xludf.DUMMYFUNCTION("""COMPUTED_VALUE"""),3.176584292E9)</f>
        <v>3176584292</v>
      </c>
      <c r="M72" s="9" t="str">
        <f>IFERROR(__xludf.DUMMYFUNCTION("""COMPUTED_VALUE"""),"#REF!")</f>
        <v>#REF!</v>
      </c>
      <c r="N72" s="1"/>
      <c r="O72" s="3" t="str">
        <f>IFERROR(__xludf.DUMMYFUNCTION("""COMPUTED_VALUE"""),"")</f>
        <v/>
      </c>
      <c r="P72" s="9" t="b">
        <f>IFERROR(__xludf.DUMMYFUNCTION("""COMPUTED_VALUE"""),FALSE)</f>
        <v>0</v>
      </c>
      <c r="Q72" s="10" t="str">
        <f>IFERROR(__xludf.DUMMYFUNCTION("""COMPUTED_VALUE"""),"")</f>
        <v/>
      </c>
      <c r="R72" s="11" t="str">
        <f>IFERROR(__xludf.DUMMYFUNCTION("""COMPUTED_VALUE"""),"https://drive.google.com/file/d/1VbuXmGbTGmn3qm3URTAkSfiJJiHISQzn/view?usp=drivesdk")</f>
        <v>https://drive.google.com/file/d/1VbuXmGbTGmn3qm3URTAkSfiJJiHISQzn/view?usp=drivesdk</v>
      </c>
      <c r="S72" s="1" t="str">
        <f t="shared" si="2"/>
        <v/>
      </c>
      <c r="T72" s="1" t="str">
        <f t="shared" si="3"/>
        <v/>
      </c>
      <c r="U72" s="1" t="str">
        <f t="shared" si="4"/>
        <v/>
      </c>
      <c r="V72" s="1"/>
      <c r="W72" s="1"/>
      <c r="X72" s="1"/>
      <c r="Y72" s="1"/>
      <c r="Z72" s="8"/>
      <c r="AA72" s="1"/>
      <c r="AB72" s="1"/>
      <c r="AC72" s="1"/>
      <c r="AD72" s="1"/>
      <c r="AE72" s="1"/>
      <c r="AF72" s="1"/>
      <c r="AG72" s="1"/>
      <c r="AH72" s="1" t="str">
        <f t="shared" si="1"/>
        <v/>
      </c>
      <c r="AI72" s="1"/>
    </row>
    <row r="73">
      <c r="A73" s="5">
        <f>IFERROR(__xludf.DUMMYFUNCTION("""COMPUTED_VALUE"""),44999.0)</f>
        <v>44999</v>
      </c>
      <c r="B73" s="14" t="str">
        <f>IFERROR(__xludf.DUMMYFUNCTION("""COMPUTED_VALUE"""),"Jesus Manuel Herrera Medina ")</f>
        <v>Jesus Manuel Herrera Medina </v>
      </c>
      <c r="C73" s="6" t="str">
        <f>IFERROR(__xludf.DUMMYFUNCTION("""COMPUTED_VALUE"""),"BUCARAMANGA")</f>
        <v>BUCARAMANGA</v>
      </c>
      <c r="D73" s="6" t="str">
        <f>IFERROR(__xludf.DUMMYFUNCTION("""COMPUTED_VALUE"""),"BOGOTÁ")</f>
        <v>BOGOTÁ</v>
      </c>
      <c r="E73" s="6" t="str">
        <f>IFERROR(__xludf.DUMMYFUNCTION("""COMPUTED_VALUE"""),"Top Spun")</f>
        <v>Top Spun</v>
      </c>
      <c r="F73" s="1" t="str">
        <f>IFERROR(__xludf.DUMMYFUNCTION("""COMPUTED_VALUE"""),"Cra 39 No.42-54 / Apto 1302, Solarium / Bucaramanga")</f>
        <v>Cra 39 No.42-54 / Apto 1302, Solarium / Bucaramanga</v>
      </c>
      <c r="G73" s="6" t="str">
        <f>IFERROR(__xludf.DUMMYFUNCTION("""COMPUTED_VALUE"""),"Gladys Bolívar Velásquez")</f>
        <v>Gladys Bolívar Velásquez</v>
      </c>
      <c r="H73" s="7">
        <f>IFERROR(__xludf.DUMMYFUNCTION("""COMPUTED_VALUE"""),8777.0)</f>
        <v>8777</v>
      </c>
      <c r="I73" s="7">
        <f>IFERROR(__xludf.DUMMYFUNCTION("""COMPUTED_VALUE"""),20.0)</f>
        <v>20</v>
      </c>
      <c r="J73" s="7">
        <f>IFERROR(__xludf.DUMMYFUNCTION("""COMPUTED_VALUE"""),10.0)</f>
        <v>10</v>
      </c>
      <c r="K73" s="7">
        <f>IFERROR(__xludf.DUMMYFUNCTION("""COMPUTED_VALUE"""),40.0)</f>
        <v>40</v>
      </c>
      <c r="L73" s="8">
        <f>IFERROR(__xludf.DUMMYFUNCTION("""COMPUTED_VALUE"""),3.156036027E9)</f>
        <v>3156036027</v>
      </c>
      <c r="M73" s="9" t="str">
        <f>IFERROR(__xludf.DUMMYFUNCTION("""COMPUTED_VALUE"""),"#REF!")</f>
        <v>#REF!</v>
      </c>
      <c r="N73" s="1"/>
      <c r="O73" s="3" t="str">
        <f>IFERROR(__xludf.DUMMYFUNCTION("""COMPUTED_VALUE"""),"")</f>
        <v/>
      </c>
      <c r="P73" s="9" t="b">
        <f>IFERROR(__xludf.DUMMYFUNCTION("""COMPUTED_VALUE"""),FALSE)</f>
        <v>0</v>
      </c>
      <c r="Q73" s="10" t="str">
        <f>IFERROR(__xludf.DUMMYFUNCTION("""COMPUTED_VALUE"""),"")</f>
        <v/>
      </c>
      <c r="R73" s="11" t="str">
        <f>IFERROR(__xludf.DUMMYFUNCTION("""COMPUTED_VALUE"""),"https://drive.google.com/file/d/1mjfSBS8QGG2pY7X8cNjQQs5tkbfDt10z/view?usp=drivesdk")</f>
        <v>https://drive.google.com/file/d/1mjfSBS8QGG2pY7X8cNjQQs5tkbfDt10z/view?usp=drivesdk</v>
      </c>
      <c r="S73" s="1" t="str">
        <f t="shared" si="2"/>
        <v/>
      </c>
      <c r="T73" s="1" t="str">
        <f t="shared" si="3"/>
        <v/>
      </c>
      <c r="U73" s="1" t="str">
        <f t="shared" si="4"/>
        <v/>
      </c>
      <c r="V73" s="1"/>
      <c r="W73" s="1"/>
      <c r="X73" s="1"/>
      <c r="Y73" s="1"/>
      <c r="Z73" s="8"/>
      <c r="AA73" s="1"/>
      <c r="AB73" s="1"/>
      <c r="AC73" s="1"/>
      <c r="AD73" s="1"/>
      <c r="AE73" s="1"/>
      <c r="AF73" s="1"/>
      <c r="AG73" s="1"/>
      <c r="AH73" s="1" t="str">
        <f t="shared" si="1"/>
        <v/>
      </c>
      <c r="AI73" s="1"/>
    </row>
    <row r="74">
      <c r="A74" s="5">
        <f>IFERROR(__xludf.DUMMYFUNCTION("""COMPUTED_VALUE"""),44999.0)</f>
        <v>44999</v>
      </c>
      <c r="B74" s="14" t="str">
        <f>IFERROR(__xludf.DUMMYFUNCTION("""COMPUTED_VALUE"""),"Jesus Manuel Herrera Medina ")</f>
        <v>Jesus Manuel Herrera Medina </v>
      </c>
      <c r="C74" s="6" t="str">
        <f>IFERROR(__xludf.DUMMYFUNCTION("""COMPUTED_VALUE"""),"BUCARAMANGA")</f>
        <v>BUCARAMANGA</v>
      </c>
      <c r="D74" s="6" t="str">
        <f>IFERROR(__xludf.DUMMYFUNCTION("""COMPUTED_VALUE"""),"MEDELLÍN")</f>
        <v>MEDELLÍN</v>
      </c>
      <c r="E74" s="6" t="str">
        <f>IFERROR(__xludf.DUMMYFUNCTION("""COMPUTED_VALUE"""),"AREPAS LA MARY")</f>
        <v>AREPAS LA MARY</v>
      </c>
      <c r="F74" s="1" t="str">
        <f>IFERROR(__xludf.DUMMYFUNCTION("""COMPUTED_VALUE"""),"calle 34 # 22-46 / edificio picasso cubismo t2 apto 604")</f>
        <v>calle 34 # 22-46 / edificio picasso cubismo t2 apto 604</v>
      </c>
      <c r="G74" s="6" t="str">
        <f>IFERROR(__xludf.DUMMYFUNCTION("""COMPUTED_VALUE"""),"PANERA BUCARAMANGA")</f>
        <v>PANERA BUCARAMANGA</v>
      </c>
      <c r="H74" s="7">
        <f>IFERROR(__xludf.DUMMYFUNCTION("""COMPUTED_VALUE"""),8839.0)</f>
        <v>8839</v>
      </c>
      <c r="I74" s="7">
        <f>IFERROR(__xludf.DUMMYFUNCTION("""COMPUTED_VALUE"""),89.0)</f>
        <v>89</v>
      </c>
      <c r="J74" s="7">
        <f>IFERROR(__xludf.DUMMYFUNCTION("""COMPUTED_VALUE"""),1.0)</f>
        <v>1</v>
      </c>
      <c r="K74" s="7">
        <f>IFERROR(__xludf.DUMMYFUNCTION("""COMPUTED_VALUE"""),10.0)</f>
        <v>10</v>
      </c>
      <c r="L74" s="8">
        <f>IFERROR(__xludf.DUMMYFUNCTION("""COMPUTED_VALUE"""),3.213260509E9)</f>
        <v>3213260509</v>
      </c>
      <c r="M74" s="9" t="str">
        <f>IFERROR(__xludf.DUMMYFUNCTION("""COMPUTED_VALUE"""),"#REF!")</f>
        <v>#REF!</v>
      </c>
      <c r="N74" s="1"/>
      <c r="O74" s="3" t="str">
        <f>IFERROR(__xludf.DUMMYFUNCTION("""COMPUTED_VALUE"""),"")</f>
        <v/>
      </c>
      <c r="P74" s="9" t="b">
        <f>IFERROR(__xludf.DUMMYFUNCTION("""COMPUTED_VALUE"""),FALSE)</f>
        <v>0</v>
      </c>
      <c r="Q74" s="10" t="str">
        <f>IFERROR(__xludf.DUMMYFUNCTION("""COMPUTED_VALUE"""),"")</f>
        <v/>
      </c>
      <c r="R74" s="12" t="str">
        <f>IFERROR(__xludf.DUMMYFUNCTION("""COMPUTED_VALUE"""),"")</f>
        <v/>
      </c>
      <c r="S74" s="1" t="str">
        <f t="shared" si="2"/>
        <v/>
      </c>
      <c r="T74" s="1" t="str">
        <f t="shared" si="3"/>
        <v/>
      </c>
      <c r="U74" s="1" t="str">
        <f t="shared" si="4"/>
        <v/>
      </c>
      <c r="V74" s="1"/>
      <c r="W74" s="1"/>
      <c r="X74" s="1"/>
      <c r="Y74" s="1"/>
      <c r="Z74" s="8"/>
      <c r="AA74" s="1"/>
      <c r="AB74" s="1"/>
      <c r="AC74" s="1"/>
      <c r="AD74" s="1"/>
      <c r="AE74" s="1"/>
      <c r="AF74" s="1"/>
      <c r="AG74" s="1"/>
      <c r="AH74" s="1" t="str">
        <f t="shared" si="1"/>
        <v/>
      </c>
      <c r="AI74" s="1"/>
    </row>
    <row r="75">
      <c r="A75" s="5">
        <f>IFERROR(__xludf.DUMMYFUNCTION("""COMPUTED_VALUE"""),44999.0)</f>
        <v>44999</v>
      </c>
      <c r="B75" s="14" t="str">
        <f>IFERROR(__xludf.DUMMYFUNCTION("""COMPUTED_VALUE"""),"Jesus Manuel Herrera Medina ")</f>
        <v>Jesus Manuel Herrera Medina </v>
      </c>
      <c r="C75" s="6" t="str">
        <f>IFERROR(__xludf.DUMMYFUNCTION("""COMPUTED_VALUE"""),"BUCARAMANGA")</f>
        <v>BUCARAMANGA</v>
      </c>
      <c r="D75" s="6" t="str">
        <f>IFERROR(__xludf.DUMMYFUNCTION("""COMPUTED_VALUE"""),"MEDELLÍN")</f>
        <v>MEDELLÍN</v>
      </c>
      <c r="E75" s="6" t="str">
        <f>IFERROR(__xludf.DUMMYFUNCTION("""COMPUTED_VALUE"""),"AREPAS LA MARY")</f>
        <v>AREPAS LA MARY</v>
      </c>
      <c r="F75" s="1" t="str">
        <f>IFERROR(__xludf.DUMMYFUNCTION("""COMPUTED_VALUE"""),"calle 59 n 9 a -96 / oficina de envia")</f>
        <v>calle 59 n 9 a -96 / oficina de envia</v>
      </c>
      <c r="G75" s="6" t="str">
        <f>IFERROR(__xludf.DUMMYFUNCTION("""COMPUTED_VALUE"""),"andrea luna")</f>
        <v>andrea luna</v>
      </c>
      <c r="H75" s="7">
        <f>IFERROR(__xludf.DUMMYFUNCTION("""COMPUTED_VALUE"""),8841.0)</f>
        <v>8841</v>
      </c>
      <c r="I75" s="7">
        <f>IFERROR(__xludf.DUMMYFUNCTION("""COMPUTED_VALUE"""),89.0)</f>
        <v>89</v>
      </c>
      <c r="J75" s="7">
        <f>IFERROR(__xludf.DUMMYFUNCTION("""COMPUTED_VALUE"""),1.0)</f>
        <v>1</v>
      </c>
      <c r="K75" s="7">
        <f>IFERROR(__xludf.DUMMYFUNCTION("""COMPUTED_VALUE"""),10.0)</f>
        <v>10</v>
      </c>
      <c r="L75" s="1"/>
      <c r="M75" s="9" t="str">
        <f>IFERROR(__xludf.DUMMYFUNCTION("""COMPUTED_VALUE"""),"#REF!")</f>
        <v>#REF!</v>
      </c>
      <c r="N75" s="1"/>
      <c r="O75" s="3" t="str">
        <f>IFERROR(__xludf.DUMMYFUNCTION("""COMPUTED_VALUE"""),"")</f>
        <v/>
      </c>
      <c r="P75" s="9" t="b">
        <f>IFERROR(__xludf.DUMMYFUNCTION("""COMPUTED_VALUE"""),FALSE)</f>
        <v>0</v>
      </c>
      <c r="Q75" s="10" t="str">
        <f>IFERROR(__xludf.DUMMYFUNCTION("""COMPUTED_VALUE"""),"")</f>
        <v/>
      </c>
      <c r="R75" s="11" t="str">
        <f>IFERROR(__xludf.DUMMYFUNCTION("""COMPUTED_VALUE"""),"https://drive.google.com/file/d/1pbDoN_C8Q6iu07WayTd_kx4hPjl02Gsl/view?usp=drivesdk")</f>
        <v>https://drive.google.com/file/d/1pbDoN_C8Q6iu07WayTd_kx4hPjl02Gsl/view?usp=drivesdk</v>
      </c>
      <c r="S75" s="1" t="str">
        <f t="shared" si="2"/>
        <v/>
      </c>
      <c r="T75" s="1" t="str">
        <f t="shared" si="3"/>
        <v/>
      </c>
      <c r="U75" s="1" t="str">
        <f t="shared" si="4"/>
        <v/>
      </c>
      <c r="V75" s="1"/>
      <c r="W75" s="1"/>
      <c r="X75" s="1"/>
      <c r="Y75" s="1"/>
      <c r="Z75" s="8"/>
      <c r="AA75" s="1"/>
      <c r="AB75" s="1"/>
      <c r="AC75" s="1"/>
      <c r="AD75" s="1"/>
      <c r="AE75" s="1"/>
      <c r="AF75" s="1"/>
      <c r="AG75" s="1"/>
      <c r="AH75" s="1" t="str">
        <f t="shared" si="1"/>
        <v/>
      </c>
      <c r="AI75" s="1"/>
    </row>
    <row r="76">
      <c r="A76" s="5">
        <f>IFERROR(__xludf.DUMMYFUNCTION("""COMPUTED_VALUE"""),44999.0)</f>
        <v>44999</v>
      </c>
      <c r="B76" s="14" t="str">
        <f>IFERROR(__xludf.DUMMYFUNCTION("""COMPUTED_VALUE"""),"Jesus Manuel Herrera Medina ")</f>
        <v>Jesus Manuel Herrera Medina </v>
      </c>
      <c r="C76" s="6" t="str">
        <f>IFERROR(__xludf.DUMMYFUNCTION("""COMPUTED_VALUE"""),"BUCARAMANGA")</f>
        <v>BUCARAMANGA</v>
      </c>
      <c r="D76" s="6" t="str">
        <f>IFERROR(__xludf.DUMMYFUNCTION("""COMPUTED_VALUE"""),"MEDELLÍN")</f>
        <v>MEDELLÍN</v>
      </c>
      <c r="E76" s="6" t="str">
        <f>IFERROR(__xludf.DUMMYFUNCTION("""COMPUTED_VALUE"""),"Rambla")</f>
        <v>Rambla</v>
      </c>
      <c r="F76" s="1" t="str">
        <f>IFERROR(__xludf.DUMMYFUNCTION("""COMPUTED_VALUE"""),"CR 36 52 45 LC 2 BRR CABECERA / na / na")</f>
        <v>CR 36 52 45 LC 2 BRR CABECERA / na / na</v>
      </c>
      <c r="G76" s="6" t="str">
        <f>IFERROR(__xludf.DUMMYFUNCTION("""COMPUTED_VALUE"""),"oliveta")</f>
        <v>oliveta</v>
      </c>
      <c r="H76" s="7">
        <f>IFERROR(__xludf.DUMMYFUNCTION("""COMPUTED_VALUE"""),8860.0)</f>
        <v>8860</v>
      </c>
      <c r="I76" s="7">
        <f>IFERROR(__xludf.DUMMYFUNCTION("""COMPUTED_VALUE"""),26.0)</f>
        <v>26</v>
      </c>
      <c r="J76" s="7">
        <f>IFERROR(__xludf.DUMMYFUNCTION("""COMPUTED_VALUE"""),30.0)</f>
        <v>30</v>
      </c>
      <c r="K76" s="7">
        <f>IFERROR(__xludf.DUMMYFUNCTION("""COMPUTED_VALUE"""),33.0)</f>
        <v>33</v>
      </c>
      <c r="L76" s="8">
        <f>IFERROR(__xludf.DUMMYFUNCTION("""COMPUTED_VALUE"""),3.043874601E9)</f>
        <v>3043874601</v>
      </c>
      <c r="M76" s="9" t="str">
        <f>IFERROR(__xludf.DUMMYFUNCTION("""COMPUTED_VALUE"""),"#REF!")</f>
        <v>#REF!</v>
      </c>
      <c r="N76" s="1"/>
      <c r="O76" s="3" t="str">
        <f>IFERROR(__xludf.DUMMYFUNCTION("""COMPUTED_VALUE"""),"")</f>
        <v/>
      </c>
      <c r="P76" s="9" t="b">
        <f>IFERROR(__xludf.DUMMYFUNCTION("""COMPUTED_VALUE"""),FALSE)</f>
        <v>0</v>
      </c>
      <c r="Q76" s="10" t="str">
        <f>IFERROR(__xludf.DUMMYFUNCTION("""COMPUTED_VALUE"""),"")</f>
        <v/>
      </c>
      <c r="R76" s="11" t="str">
        <f>IFERROR(__xludf.DUMMYFUNCTION("""COMPUTED_VALUE"""),"https://drive.google.com/file/d/1GMtjqp81GRrEPl8VR0lM8AnqTAdSxlg0/view?usp=drivesdk")</f>
        <v>https://drive.google.com/file/d/1GMtjqp81GRrEPl8VR0lM8AnqTAdSxlg0/view?usp=drivesdk</v>
      </c>
      <c r="S76" s="1" t="str">
        <f t="shared" si="2"/>
        <v/>
      </c>
      <c r="T76" s="1" t="str">
        <f t="shared" si="3"/>
        <v/>
      </c>
      <c r="U76" s="1" t="str">
        <f t="shared" si="4"/>
        <v/>
      </c>
      <c r="V76" s="1"/>
      <c r="W76" s="1"/>
      <c r="X76" s="1"/>
      <c r="Y76" s="1"/>
      <c r="Z76" s="8"/>
      <c r="AA76" s="1"/>
      <c r="AB76" s="1"/>
      <c r="AC76" s="1"/>
      <c r="AD76" s="1"/>
      <c r="AE76" s="1"/>
      <c r="AF76" s="1"/>
      <c r="AG76" s="1"/>
      <c r="AH76" s="1" t="str">
        <f t="shared" si="1"/>
        <v/>
      </c>
      <c r="AI76" s="1"/>
    </row>
    <row r="77">
      <c r="A77" s="5">
        <f>IFERROR(__xludf.DUMMYFUNCTION("""COMPUTED_VALUE"""),44999.0)</f>
        <v>44999</v>
      </c>
      <c r="B77" s="14" t="str">
        <f>IFERROR(__xludf.DUMMYFUNCTION("""COMPUTED_VALUE"""),"Jesus Manuel Herrera Medina ")</f>
        <v>Jesus Manuel Herrera Medina </v>
      </c>
      <c r="C77" s="6" t="str">
        <f>IFERROR(__xludf.DUMMYFUNCTION("""COMPUTED_VALUE"""),"PEREIRA")</f>
        <v>PEREIRA</v>
      </c>
      <c r="D77" s="6" t="str">
        <f>IFERROR(__xludf.DUMMYFUNCTION("""COMPUTED_VALUE"""),"MEDELLÍN")</f>
        <v>MEDELLÍN</v>
      </c>
      <c r="E77" s="6" t="str">
        <f>IFERROR(__xludf.DUMMYFUNCTION("""COMPUTED_VALUE"""),"Rambla")</f>
        <v>Rambla</v>
      </c>
      <c r="F77" s="1" t="str">
        <f>IFERROR(__xludf.DUMMYFUNCTION("""COMPUTED_VALUE"""),"AV 30 DE AGOSTO 48 175 BRR MARAYA / na / na")</f>
        <v>AV 30 DE AGOSTO 48 175 BRR MARAYA / na / na</v>
      </c>
      <c r="G77" s="6" t="str">
        <f>IFERROR(__xludf.DUMMYFUNCTION("""COMPUTED_VALUE"""),"mandarin")</f>
        <v>mandarin</v>
      </c>
      <c r="H77" s="7">
        <f>IFERROR(__xludf.DUMMYFUNCTION("""COMPUTED_VALUE"""),8861.0)</f>
        <v>8861</v>
      </c>
      <c r="I77" s="7">
        <f>IFERROR(__xludf.DUMMYFUNCTION("""COMPUTED_VALUE"""),20.0)</f>
        <v>20</v>
      </c>
      <c r="J77" s="7">
        <f>IFERROR(__xludf.DUMMYFUNCTION("""COMPUTED_VALUE"""),22.0)</f>
        <v>22</v>
      </c>
      <c r="K77" s="7">
        <f>IFERROR(__xludf.DUMMYFUNCTION("""COMPUTED_VALUE"""),24.0)</f>
        <v>24</v>
      </c>
      <c r="L77" s="8">
        <f>IFERROR(__xludf.DUMMYFUNCTION("""COMPUTED_VALUE"""),3.008423006E9)</f>
        <v>3008423006</v>
      </c>
      <c r="M77" s="9" t="str">
        <f>IFERROR(__xludf.DUMMYFUNCTION("""COMPUTED_VALUE"""),"#REF!")</f>
        <v>#REF!</v>
      </c>
      <c r="N77" s="1"/>
      <c r="O77" s="3" t="str">
        <f>IFERROR(__xludf.DUMMYFUNCTION("""COMPUTED_VALUE"""),"")</f>
        <v/>
      </c>
      <c r="P77" s="9" t="b">
        <f>IFERROR(__xludf.DUMMYFUNCTION("""COMPUTED_VALUE"""),TRUE)</f>
        <v>1</v>
      </c>
      <c r="Q77" s="13">
        <f>IFERROR(__xludf.DUMMYFUNCTION("""COMPUTED_VALUE"""),44999.65593395833)</f>
        <v>44999.65593</v>
      </c>
      <c r="R77" s="11" t="str">
        <f>IFERROR(__xludf.DUMMYFUNCTION("""COMPUTED_VALUE"""),"https://drive.google.com/file/d/1eP2DIw16xrSmIZidgfmOmEUaaJ3auY8j/view?usp=drivesdk")</f>
        <v>https://drive.google.com/file/d/1eP2DIw16xrSmIZidgfmOmEUaaJ3auY8j/view?usp=drivesdk</v>
      </c>
      <c r="S77" s="1" t="str">
        <f t="shared" si="2"/>
        <v/>
      </c>
      <c r="T77" s="1" t="str">
        <f t="shared" si="3"/>
        <v/>
      </c>
      <c r="U77" s="1" t="str">
        <f t="shared" si="4"/>
        <v/>
      </c>
      <c r="V77" s="1"/>
      <c r="W77" s="1"/>
      <c r="X77" s="1"/>
      <c r="Y77" s="1"/>
      <c r="Z77" s="8"/>
      <c r="AA77" s="1"/>
      <c r="AB77" s="1"/>
      <c r="AC77" s="1"/>
      <c r="AD77" s="1"/>
      <c r="AE77" s="1"/>
      <c r="AF77" s="1"/>
      <c r="AG77" s="1"/>
      <c r="AH77" s="1" t="str">
        <f t="shared" si="1"/>
        <v/>
      </c>
      <c r="AI77" s="1"/>
    </row>
    <row r="78">
      <c r="A78" s="5">
        <f>IFERROR(__xludf.DUMMYFUNCTION("""COMPUTED_VALUE"""),44999.0)</f>
        <v>44999</v>
      </c>
      <c r="B78" s="14" t="str">
        <f>IFERROR(__xludf.DUMMYFUNCTION("""COMPUTED_VALUE"""),"Jesus Manuel Herrera Medina ")</f>
        <v>Jesus Manuel Herrera Medina </v>
      </c>
      <c r="C78" s="6" t="str">
        <f>IFERROR(__xludf.DUMMYFUNCTION("""COMPUTED_VALUE"""),"PEREIRA")</f>
        <v>PEREIRA</v>
      </c>
      <c r="D78" s="6" t="str">
        <f>IFERROR(__xludf.DUMMYFUNCTION("""COMPUTED_VALUE"""),"MEDELLÍN")</f>
        <v>MEDELLÍN</v>
      </c>
      <c r="E78" s="6" t="str">
        <f>IFERROR(__xludf.DUMMYFUNCTION("""COMPUTED_VALUE"""),"Todo Bufala")</f>
        <v>Todo Bufala</v>
      </c>
      <c r="F78" s="1" t="str">
        <f>IFERROR(__xludf.DUMMYFUNCTION("""COMPUTED_VALUE"""),"Cra 14 N 12-55 / circunvalar / circunvalar")</f>
        <v>Cra 14 N 12-55 / circunvalar / circunvalar</v>
      </c>
      <c r="G78" s="6" t="str">
        <f>IFERROR(__xludf.DUMMYFUNCTION("""COMPUTED_VALUE"""),"Elkin Oswaldo Davila Alzate")</f>
        <v>Elkin Oswaldo Davila Alzate</v>
      </c>
      <c r="H78" s="7">
        <f>IFERROR(__xludf.DUMMYFUNCTION("""COMPUTED_VALUE"""),8758.0)</f>
        <v>8758</v>
      </c>
      <c r="I78" s="7">
        <f>IFERROR(__xludf.DUMMYFUNCTION("""COMPUTED_VALUE"""),13.0)</f>
        <v>13</v>
      </c>
      <c r="J78" s="7">
        <f>IFERROR(__xludf.DUMMYFUNCTION("""COMPUTED_VALUE"""),30.0)</f>
        <v>30</v>
      </c>
      <c r="K78" s="7">
        <f>IFERROR(__xludf.DUMMYFUNCTION("""COMPUTED_VALUE"""),40.0)</f>
        <v>40</v>
      </c>
      <c r="L78" s="8">
        <f>IFERROR(__xludf.DUMMYFUNCTION("""COMPUTED_VALUE"""),3.14645528E9)</f>
        <v>3146455280</v>
      </c>
      <c r="M78" s="9" t="str">
        <f>IFERROR(__xludf.DUMMYFUNCTION("""COMPUTED_VALUE"""),"#REF!")</f>
        <v>#REF!</v>
      </c>
      <c r="N78" s="1"/>
      <c r="O78" s="3" t="str">
        <f>IFERROR(__xludf.DUMMYFUNCTION("""COMPUTED_VALUE"""),"")</f>
        <v/>
      </c>
      <c r="P78" s="9" t="b">
        <f>IFERROR(__xludf.DUMMYFUNCTION("""COMPUTED_VALUE"""),TRUE)</f>
        <v>1</v>
      </c>
      <c r="Q78" s="13">
        <f>IFERROR(__xludf.DUMMYFUNCTION("""COMPUTED_VALUE"""),44999.65594483796)</f>
        <v>44999.65594</v>
      </c>
      <c r="R78" s="11" t="str">
        <f>IFERROR(__xludf.DUMMYFUNCTION("""COMPUTED_VALUE"""),"https://drive.google.com/file/d/1i0_JorVnFxNNPyfemGkd0IReIXF9GQOo/view?usp=drivesdk")</f>
        <v>https://drive.google.com/file/d/1i0_JorVnFxNNPyfemGkd0IReIXF9GQOo/view?usp=drivesdk</v>
      </c>
      <c r="S78" s="1" t="str">
        <f t="shared" si="2"/>
        <v/>
      </c>
      <c r="T78" s="1" t="str">
        <f t="shared" si="3"/>
        <v/>
      </c>
      <c r="U78" s="1" t="str">
        <f t="shared" si="4"/>
        <v/>
      </c>
      <c r="V78" s="1"/>
      <c r="W78" s="1"/>
      <c r="X78" s="1"/>
      <c r="Y78" s="1"/>
      <c r="Z78" s="8"/>
      <c r="AA78" s="1"/>
      <c r="AB78" s="1"/>
      <c r="AC78" s="1"/>
      <c r="AD78" s="1"/>
      <c r="AE78" s="1"/>
      <c r="AF78" s="1"/>
      <c r="AG78" s="1"/>
      <c r="AH78" s="1" t="str">
        <f t="shared" si="1"/>
        <v/>
      </c>
      <c r="AI78" s="1"/>
    </row>
    <row r="79">
      <c r="A79" s="1" t="str">
        <f>IFERROR(__xludf.DUMMYFUNCTION("""COMPUTED_VALUE"""),"")</f>
        <v/>
      </c>
      <c r="B79" s="1" t="str">
        <f>IFERROR(__xludf.DUMMYFUNCTION("""COMPUTED_VALUE"""),"")</f>
        <v/>
      </c>
      <c r="C79" s="1" t="str">
        <f>IFERROR(__xludf.DUMMYFUNCTION("""COMPUTED_VALUE"""),"")</f>
        <v/>
      </c>
      <c r="D79" s="1" t="str">
        <f>IFERROR(__xludf.DUMMYFUNCTION("""COMPUTED_VALUE"""),"")</f>
        <v/>
      </c>
      <c r="E79" s="1" t="str">
        <f>IFERROR(__xludf.DUMMYFUNCTION("""COMPUTED_VALUE"""),"")</f>
        <v/>
      </c>
      <c r="F79" s="1" t="str">
        <f>IFERROR(__xludf.DUMMYFUNCTION("""COMPUTED_VALUE"""),"")</f>
        <v/>
      </c>
      <c r="G79" s="1" t="str">
        <f>IFERROR(__xludf.DUMMYFUNCTION("""COMPUTED_VALUE"""),"")</f>
        <v/>
      </c>
      <c r="H79" s="1" t="str">
        <f>IFERROR(__xludf.DUMMYFUNCTION("""COMPUTED_VALUE"""),"")</f>
        <v/>
      </c>
      <c r="I79" s="1" t="str">
        <f>IFERROR(__xludf.DUMMYFUNCTION("""COMPUTED_VALUE"""),"")</f>
        <v/>
      </c>
      <c r="J79" s="1" t="str">
        <f>IFERROR(__xludf.DUMMYFUNCTION("""COMPUTED_VALUE"""),"")</f>
        <v/>
      </c>
      <c r="K79" s="1" t="str">
        <f>IFERROR(__xludf.DUMMYFUNCTION("""COMPUTED_VALUE"""),"")</f>
        <v/>
      </c>
      <c r="L79" s="1" t="str">
        <f>IFERROR(__xludf.DUMMYFUNCTION("""COMPUTED_VALUE"""),"")</f>
        <v/>
      </c>
      <c r="M79" s="1" t="str">
        <f>IFERROR(__xludf.DUMMYFUNCTION("""COMPUTED_VALUE"""),"")</f>
        <v/>
      </c>
      <c r="N79" s="1" t="str">
        <f>IFERROR(__xludf.DUMMYFUNCTION("""COMPUTED_VALUE"""),"")</f>
        <v/>
      </c>
      <c r="O79" s="1" t="str">
        <f>IFERROR(__xludf.DUMMYFUNCTION("""COMPUTED_VALUE"""),"")</f>
        <v/>
      </c>
      <c r="P79" s="1" t="str">
        <f>IFERROR(__xludf.DUMMYFUNCTION("""COMPUTED_VALUE"""),"")</f>
        <v/>
      </c>
      <c r="Q79" s="1" t="str">
        <f>IFERROR(__xludf.DUMMYFUNCTION("""COMPUTED_VALUE"""),"")</f>
        <v/>
      </c>
      <c r="R79" s="1" t="str">
        <f>IFERROR(__xludf.DUMMYFUNCTION("""COMPUTED_VALUE"""),"")</f>
        <v/>
      </c>
      <c r="S79" s="1" t="str">
        <f t="shared" si="2"/>
        <v/>
      </c>
      <c r="T79" s="1" t="str">
        <f t="shared" si="3"/>
        <v/>
      </c>
      <c r="U79" s="1" t="str">
        <f t="shared" si="4"/>
        <v/>
      </c>
      <c r="V79" s="1"/>
      <c r="W79" s="1"/>
      <c r="X79" s="1"/>
      <c r="Y79" s="1"/>
      <c r="Z79" s="8"/>
      <c r="AA79" s="1"/>
      <c r="AB79" s="1"/>
      <c r="AC79" s="1"/>
      <c r="AD79" s="1"/>
      <c r="AE79" s="1"/>
      <c r="AF79" s="1"/>
      <c r="AG79" s="1"/>
      <c r="AH79" s="1" t="str">
        <f t="shared" si="1"/>
        <v/>
      </c>
      <c r="AI79" s="1"/>
    </row>
    <row r="80">
      <c r="A80" s="5">
        <f>IFERROR(__xludf.DUMMYFUNCTION("""COMPUTED_VALUE"""),44999.0)</f>
        <v>44999</v>
      </c>
      <c r="B80" s="14" t="str">
        <f>IFERROR(__xludf.DUMMYFUNCTION("""COMPUTED_VALUE"""),"Jhon Anderson Ceballos Hernandez")</f>
        <v>Jhon Anderson Ceballos Hernandez</v>
      </c>
      <c r="C80" s="6" t="str">
        <f>IFERROR(__xludf.DUMMYFUNCTION("""COMPUTED_VALUE"""),"MANIZALES")</f>
        <v>MANIZALES</v>
      </c>
      <c r="D80" s="6" t="str">
        <f>IFERROR(__xludf.DUMMYFUNCTION("""COMPUTED_VALUE"""),"BOGOTÁ")</f>
        <v>BOGOTÁ</v>
      </c>
      <c r="E80" s="6" t="str">
        <f>IFERROR(__xludf.DUMMYFUNCTION("""COMPUTED_VALUE"""),"Blond &amp; This")</f>
        <v>Blond &amp; This</v>
      </c>
      <c r="F80" s="1" t="str">
        <f>IFERROR(__xludf.DUMMYFUNCTION("""COMPUTED_VALUE"""),"Calle 22 # 22-26  /  edificio del comercio oficina 1206  / mzles")</f>
        <v>Calle 22 # 22-26  /  edificio del comercio oficina 1206  / mzles</v>
      </c>
      <c r="G80" s="6" t="str">
        <f>IFERROR(__xludf.DUMMYFUNCTION("""COMPUTED_VALUE"""),"Martha Luz zuluaga")</f>
        <v>Martha Luz zuluaga</v>
      </c>
      <c r="H80" s="7">
        <f>IFERROR(__xludf.DUMMYFUNCTION("""COMPUTED_VALUE"""),8853.0)</f>
        <v>8853</v>
      </c>
      <c r="I80" s="7">
        <f>IFERROR(__xludf.DUMMYFUNCTION("""COMPUTED_VALUE"""),28.0)</f>
        <v>28</v>
      </c>
      <c r="J80" s="7">
        <f>IFERROR(__xludf.DUMMYFUNCTION("""COMPUTED_VALUE"""),26.0)</f>
        <v>26</v>
      </c>
      <c r="K80" s="7">
        <f>IFERROR(__xludf.DUMMYFUNCTION("""COMPUTED_VALUE"""),30.0)</f>
        <v>30</v>
      </c>
      <c r="L80" s="8">
        <f>IFERROR(__xludf.DUMMYFUNCTION("""COMPUTED_VALUE"""),3.216296861E9)</f>
        <v>3216296861</v>
      </c>
      <c r="M80" s="9" t="str">
        <f>IFERROR(__xludf.DUMMYFUNCTION("""COMPUTED_VALUE"""),"#REF!")</f>
        <v>#REF!</v>
      </c>
      <c r="N80" s="1"/>
      <c r="O80" s="3" t="str">
        <f>IFERROR(__xludf.DUMMYFUNCTION("""COMPUTED_VALUE"""),"")</f>
        <v/>
      </c>
      <c r="P80" s="9" t="b">
        <f>IFERROR(__xludf.DUMMYFUNCTION("""COMPUTED_VALUE"""),TRUE)</f>
        <v>1</v>
      </c>
      <c r="Q80" s="13">
        <f>IFERROR(__xludf.DUMMYFUNCTION("""COMPUTED_VALUE"""),44999.65617962963)</f>
        <v>44999.65618</v>
      </c>
      <c r="R80" s="12" t="str">
        <f>IFERROR(__xludf.DUMMYFUNCTION("""COMPUTED_VALUE"""),"")</f>
        <v/>
      </c>
      <c r="S80" s="1" t="str">
        <f t="shared" si="2"/>
        <v/>
      </c>
      <c r="T80" s="1" t="str">
        <f t="shared" si="3"/>
        <v/>
      </c>
      <c r="U80" s="1" t="str">
        <f t="shared" si="4"/>
        <v/>
      </c>
      <c r="V80" s="1"/>
      <c r="W80" s="1"/>
      <c r="X80" s="1"/>
      <c r="Y80" s="1"/>
      <c r="Z80" s="8"/>
      <c r="AA80" s="1"/>
      <c r="AB80" s="1"/>
      <c r="AC80" s="1"/>
      <c r="AD80" s="1"/>
      <c r="AE80" s="1"/>
      <c r="AF80" s="1"/>
      <c r="AG80" s="1"/>
      <c r="AH80" s="1" t="str">
        <f t="shared" si="1"/>
        <v/>
      </c>
      <c r="AI80" s="1"/>
    </row>
    <row r="81">
      <c r="A81" s="5">
        <f>IFERROR(__xludf.DUMMYFUNCTION("""COMPUTED_VALUE"""),44999.0)</f>
        <v>44999</v>
      </c>
      <c r="B81" s="14" t="str">
        <f>IFERROR(__xludf.DUMMYFUNCTION("""COMPUTED_VALUE"""),"Jhon Anderson Ceballos Hernandez")</f>
        <v>Jhon Anderson Ceballos Hernandez</v>
      </c>
      <c r="C81" s="6" t="str">
        <f>IFERROR(__xludf.DUMMYFUNCTION("""COMPUTED_VALUE"""),"MANIZALES")</f>
        <v>MANIZALES</v>
      </c>
      <c r="D81" s="6" t="str">
        <f>IFERROR(__xludf.DUMMYFUNCTION("""COMPUTED_VALUE"""),"BOGOTÁ")</f>
        <v>BOGOTÁ</v>
      </c>
      <c r="E81" s="6" t="str">
        <f>IFERROR(__xludf.DUMMYFUNCTION("""COMPUTED_VALUE"""),"Blond &amp; This")</f>
        <v>Blond &amp; This</v>
      </c>
      <c r="F81" s="1" t="str">
        <f>IFERROR(__xludf.DUMMYFUNCTION("""COMPUTED_VALUE"""),"Cra 30 # 93 A-00 /  Conjunto Cerrado San Marcel  / Casa 6C")</f>
        <v>Cra 30 # 93 A-00 /  Conjunto Cerrado San Marcel  / Casa 6C</v>
      </c>
      <c r="G81" s="6" t="str">
        <f>IFERROR(__xludf.DUMMYFUNCTION("""COMPUTED_VALUE"""),"Emilia González")</f>
        <v>Emilia González</v>
      </c>
      <c r="H81" s="7">
        <f>IFERROR(__xludf.DUMMYFUNCTION("""COMPUTED_VALUE"""),8854.0)</f>
        <v>8854</v>
      </c>
      <c r="I81" s="7">
        <f>IFERROR(__xludf.DUMMYFUNCTION("""COMPUTED_VALUE"""),31.0)</f>
        <v>31</v>
      </c>
      <c r="J81" s="7">
        <f>IFERROR(__xludf.DUMMYFUNCTION("""COMPUTED_VALUE"""),26.0)</f>
        <v>26</v>
      </c>
      <c r="K81" s="7">
        <f>IFERROR(__xludf.DUMMYFUNCTION("""COMPUTED_VALUE"""),30.0)</f>
        <v>30</v>
      </c>
      <c r="L81" s="8">
        <f>IFERROR(__xludf.DUMMYFUNCTION("""COMPUTED_VALUE"""),3.156062955E9)</f>
        <v>3156062955</v>
      </c>
      <c r="M81" s="9" t="str">
        <f>IFERROR(__xludf.DUMMYFUNCTION("""COMPUTED_VALUE"""),"#REF!")</f>
        <v>#REF!</v>
      </c>
      <c r="N81" s="1"/>
      <c r="O81" s="3" t="str">
        <f>IFERROR(__xludf.DUMMYFUNCTION("""COMPUTED_VALUE"""),"")</f>
        <v/>
      </c>
      <c r="P81" s="9" t="b">
        <f>IFERROR(__xludf.DUMMYFUNCTION("""COMPUTED_VALUE"""),TRUE)</f>
        <v>1</v>
      </c>
      <c r="Q81" s="13">
        <f>IFERROR(__xludf.DUMMYFUNCTION("""COMPUTED_VALUE"""),44999.61392033564)</f>
        <v>44999.61392</v>
      </c>
      <c r="R81" s="12" t="str">
        <f>IFERROR(__xludf.DUMMYFUNCTION("""COMPUTED_VALUE"""),"")</f>
        <v/>
      </c>
      <c r="S81" s="1" t="str">
        <f t="shared" si="2"/>
        <v/>
      </c>
      <c r="T81" s="1" t="str">
        <f t="shared" si="3"/>
        <v/>
      </c>
      <c r="U81" s="1" t="str">
        <f t="shared" si="4"/>
        <v/>
      </c>
      <c r="V81" s="1"/>
      <c r="W81" s="1"/>
      <c r="X81" s="1"/>
      <c r="Y81" s="1"/>
      <c r="Z81" s="8"/>
      <c r="AA81" s="1"/>
      <c r="AB81" s="1"/>
      <c r="AC81" s="1"/>
      <c r="AD81" s="1"/>
      <c r="AE81" s="1"/>
      <c r="AF81" s="1"/>
      <c r="AG81" s="1"/>
      <c r="AH81" s="1" t="str">
        <f t="shared" si="1"/>
        <v/>
      </c>
      <c r="AI81" s="1"/>
    </row>
    <row r="82">
      <c r="A82" s="5">
        <f>IFERROR(__xludf.DUMMYFUNCTION("""COMPUTED_VALUE"""),44999.0)</f>
        <v>44999</v>
      </c>
      <c r="B82" s="14" t="str">
        <f>IFERROR(__xludf.DUMMYFUNCTION("""COMPUTED_VALUE"""),"Jhon Anderson Ceballos Hernandez")</f>
        <v>Jhon Anderson Ceballos Hernandez</v>
      </c>
      <c r="C82" s="6" t="str">
        <f>IFERROR(__xludf.DUMMYFUNCTION("""COMPUTED_VALUE"""),"MANIZALES")</f>
        <v>MANIZALES</v>
      </c>
      <c r="D82" s="6" t="str">
        <f>IFERROR(__xludf.DUMMYFUNCTION("""COMPUTED_VALUE"""),"BOGOTÁ")</f>
        <v>BOGOTÁ</v>
      </c>
      <c r="E82" s="6" t="str">
        <f>IFERROR(__xludf.DUMMYFUNCTION("""COMPUTED_VALUE"""),"Blond &amp; This")</f>
        <v>Blond &amp; This</v>
      </c>
      <c r="F82" s="1" t="str">
        <f>IFERROR(__xludf.DUMMYFUNCTION("""COMPUTED_VALUE"""),"Kra 23 n 73/86 / restaurante la farfalla / milan")</f>
        <v>Kra 23 n 73/86 / restaurante la farfalla / milan</v>
      </c>
      <c r="G82" s="6" t="str">
        <f>IFERROR(__xludf.DUMMYFUNCTION("""COMPUTED_VALUE"""),"Omaira Lopez")</f>
        <v>Omaira Lopez</v>
      </c>
      <c r="H82" s="7">
        <f>IFERROR(__xludf.DUMMYFUNCTION("""COMPUTED_VALUE"""),8852.0)</f>
        <v>8852</v>
      </c>
      <c r="I82" s="7">
        <f>IFERROR(__xludf.DUMMYFUNCTION("""COMPUTED_VALUE"""),14.0)</f>
        <v>14</v>
      </c>
      <c r="J82" s="7">
        <f>IFERROR(__xludf.DUMMYFUNCTION("""COMPUTED_VALUE"""),26.0)</f>
        <v>26</v>
      </c>
      <c r="K82" s="7">
        <f>IFERROR(__xludf.DUMMYFUNCTION("""COMPUTED_VALUE"""),30.0)</f>
        <v>30</v>
      </c>
      <c r="L82" s="8">
        <f>IFERROR(__xludf.DUMMYFUNCTION("""COMPUTED_VALUE"""),3.10421678E9)</f>
        <v>3104216780</v>
      </c>
      <c r="M82" s="9" t="str">
        <f>IFERROR(__xludf.DUMMYFUNCTION("""COMPUTED_VALUE"""),"#REF!")</f>
        <v>#REF!</v>
      </c>
      <c r="N82" s="1"/>
      <c r="O82" s="3" t="str">
        <f>IFERROR(__xludf.DUMMYFUNCTION("""COMPUTED_VALUE"""),"")</f>
        <v/>
      </c>
      <c r="P82" s="9" t="b">
        <f>IFERROR(__xludf.DUMMYFUNCTION("""COMPUTED_VALUE"""),TRUE)</f>
        <v>1</v>
      </c>
      <c r="Q82" s="13">
        <f>IFERROR(__xludf.DUMMYFUNCTION("""COMPUTED_VALUE"""),44999.61371173611)</f>
        <v>44999.61371</v>
      </c>
      <c r="R82" s="12" t="str">
        <f>IFERROR(__xludf.DUMMYFUNCTION("""COMPUTED_VALUE"""),"")</f>
        <v/>
      </c>
      <c r="S82" s="1" t="str">
        <f t="shared" si="2"/>
        <v/>
      </c>
      <c r="T82" s="1" t="str">
        <f t="shared" si="3"/>
        <v/>
      </c>
      <c r="U82" s="1" t="str">
        <f t="shared" si="4"/>
        <v/>
      </c>
      <c r="V82" s="1"/>
      <c r="W82" s="1"/>
      <c r="X82" s="1"/>
      <c r="Y82" s="1"/>
      <c r="Z82" s="8"/>
      <c r="AA82" s="1"/>
      <c r="AB82" s="1"/>
      <c r="AC82" s="1"/>
      <c r="AD82" s="1"/>
      <c r="AE82" s="1"/>
      <c r="AF82" s="1"/>
      <c r="AG82" s="1"/>
      <c r="AH82" s="1" t="str">
        <f t="shared" si="1"/>
        <v/>
      </c>
      <c r="AI82" s="1"/>
    </row>
    <row r="83">
      <c r="A83" s="5">
        <f>IFERROR(__xludf.DUMMYFUNCTION("""COMPUTED_VALUE"""),44999.0)</f>
        <v>44999</v>
      </c>
      <c r="B83" s="14" t="str">
        <f>IFERROR(__xludf.DUMMYFUNCTION("""COMPUTED_VALUE"""),"Jhon Anderson Ceballos Hernandez")</f>
        <v>Jhon Anderson Ceballos Hernandez</v>
      </c>
      <c r="C83" s="6" t="str">
        <f>IFERROR(__xludf.DUMMYFUNCTION("""COMPUTED_VALUE"""),"MANIZALES")</f>
        <v>MANIZALES</v>
      </c>
      <c r="D83" s="6" t="str">
        <f>IFERROR(__xludf.DUMMYFUNCTION("""COMPUTED_VALUE"""),"BOGOTÁ")</f>
        <v>BOGOTÁ</v>
      </c>
      <c r="E83" s="6" t="str">
        <f>IFERROR(__xludf.DUMMYFUNCTION("""COMPUTED_VALUE"""),"Ins. Alimento Vital")</f>
        <v>Ins. Alimento Vital</v>
      </c>
      <c r="F83" s="1" t="str">
        <f>IFERROR(__xludf.DUMMYFUNCTION("""COMPUTED_VALUE"""),"CL 3 C 22 16 / CL 3 C 22 16 / BARRIO LOS ALCAZARES")</f>
        <v>CL 3 C 22 16 / CL 3 C 22 16 / BARRIO LOS ALCAZARES</v>
      </c>
      <c r="G83" s="6" t="str">
        <f>IFERROR(__xludf.DUMMYFUNCTION("""COMPUTED_VALUE"""),"LAURA GARCIA QUICENO")</f>
        <v>LAURA GARCIA QUICENO</v>
      </c>
      <c r="H83" s="7">
        <f>IFERROR(__xludf.DUMMYFUNCTION("""COMPUTED_VALUE"""),8797.0)</f>
        <v>8797</v>
      </c>
      <c r="I83" s="7">
        <f>IFERROR(__xludf.DUMMYFUNCTION("""COMPUTED_VALUE"""),100.0)</f>
        <v>100</v>
      </c>
      <c r="J83" s="7">
        <f>IFERROR(__xludf.DUMMYFUNCTION("""COMPUTED_VALUE"""),10.0)</f>
        <v>10</v>
      </c>
      <c r="K83" s="7">
        <f>IFERROR(__xludf.DUMMYFUNCTION("""COMPUTED_VALUE"""),9.0)</f>
        <v>9</v>
      </c>
      <c r="L83" s="8">
        <f>IFERROR(__xludf.DUMMYFUNCTION("""COMPUTED_VALUE"""),3.113181129E9)</f>
        <v>3113181129</v>
      </c>
      <c r="M83" s="9" t="str">
        <f>IFERROR(__xludf.DUMMYFUNCTION("""COMPUTED_VALUE"""),"#REF!")</f>
        <v>#REF!</v>
      </c>
      <c r="N83" s="1"/>
      <c r="O83" s="3" t="str">
        <f>IFERROR(__xludf.DUMMYFUNCTION("""COMPUTED_VALUE"""),"")</f>
        <v/>
      </c>
      <c r="P83" s="9" t="b">
        <f>IFERROR(__xludf.DUMMYFUNCTION("""COMPUTED_VALUE"""),TRUE)</f>
        <v>1</v>
      </c>
      <c r="Q83" s="13">
        <f>IFERROR(__xludf.DUMMYFUNCTION("""COMPUTED_VALUE"""),44999.491523715275)</f>
        <v>44999.49152</v>
      </c>
      <c r="R83" s="12" t="str">
        <f>IFERROR(__xludf.DUMMYFUNCTION("""COMPUTED_VALUE"""),"")</f>
        <v/>
      </c>
      <c r="S83" s="1" t="str">
        <f t="shared" si="2"/>
        <v/>
      </c>
      <c r="T83" s="1" t="str">
        <f t="shared" si="3"/>
        <v/>
      </c>
      <c r="U83" s="1" t="str">
        <f t="shared" si="4"/>
        <v/>
      </c>
      <c r="V83" s="1"/>
      <c r="W83" s="1"/>
      <c r="X83" s="1"/>
      <c r="Y83" s="1"/>
      <c r="Z83" s="8"/>
      <c r="AA83" s="1"/>
      <c r="AB83" s="1"/>
      <c r="AC83" s="1"/>
      <c r="AD83" s="1"/>
      <c r="AE83" s="1"/>
      <c r="AF83" s="1"/>
      <c r="AG83" s="1"/>
      <c r="AH83" s="1" t="str">
        <f t="shared" si="1"/>
        <v/>
      </c>
      <c r="AI83" s="1"/>
    </row>
    <row r="84">
      <c r="A84" s="5">
        <f>IFERROR(__xludf.DUMMYFUNCTION("""COMPUTED_VALUE"""),44999.0)</f>
        <v>44999</v>
      </c>
      <c r="B84" s="14" t="str">
        <f>IFERROR(__xludf.DUMMYFUNCTION("""COMPUTED_VALUE"""),"Jhon Anderson Ceballos Hernandez")</f>
        <v>Jhon Anderson Ceballos Hernandez</v>
      </c>
      <c r="C84" s="6" t="str">
        <f>IFERROR(__xludf.DUMMYFUNCTION("""COMPUTED_VALUE"""),"MANIZALES")</f>
        <v>MANIZALES</v>
      </c>
      <c r="D84" s="6" t="str">
        <f>IFERROR(__xludf.DUMMYFUNCTION("""COMPUTED_VALUE"""),"BOGOTÁ")</f>
        <v>BOGOTÁ</v>
      </c>
      <c r="E84" s="6" t="str">
        <f>IFERROR(__xludf.DUMMYFUNCTION("""COMPUTED_VALUE"""),"Loomifoods")</f>
        <v>Loomifoods</v>
      </c>
      <c r="F84" s="1" t="str">
        <f>IFERROR(__xludf.DUMMYFUNCTION("""COMPUTED_VALUE"""),"Calle 85 no. 25 - 120 / Reserva de Hungría / Torre 5, Apto 1402")</f>
        <v>Calle 85 no. 25 - 120 / Reserva de Hungría / Torre 5, Apto 1402</v>
      </c>
      <c r="G84" s="6" t="str">
        <f>IFERROR(__xludf.DUMMYFUNCTION("""COMPUTED_VALUE"""),"Manuela Giraldo")</f>
        <v>Manuela Giraldo</v>
      </c>
      <c r="H84" s="7">
        <f>IFERROR(__xludf.DUMMYFUNCTION("""COMPUTED_VALUE"""),8843.0)</f>
        <v>8843</v>
      </c>
      <c r="I84" s="7">
        <f>IFERROR(__xludf.DUMMYFUNCTION("""COMPUTED_VALUE"""),20.0)</f>
        <v>20</v>
      </c>
      <c r="J84" s="7">
        <f>IFERROR(__xludf.DUMMYFUNCTION("""COMPUTED_VALUE"""),10.0)</f>
        <v>10</v>
      </c>
      <c r="K84" s="7">
        <f>IFERROR(__xludf.DUMMYFUNCTION("""COMPUTED_VALUE"""),16.0)</f>
        <v>16</v>
      </c>
      <c r="L84" s="8">
        <f>IFERROR(__xludf.DUMMYFUNCTION("""COMPUTED_VALUE"""),3.128320753E9)</f>
        <v>3128320753</v>
      </c>
      <c r="M84" s="9" t="str">
        <f>IFERROR(__xludf.DUMMYFUNCTION("""COMPUTED_VALUE"""),"#REF!")</f>
        <v>#REF!</v>
      </c>
      <c r="N84" s="1"/>
      <c r="O84" s="3" t="str">
        <f>IFERROR(__xludf.DUMMYFUNCTION("""COMPUTED_VALUE"""),"")</f>
        <v/>
      </c>
      <c r="P84" s="9" t="b">
        <f>IFERROR(__xludf.DUMMYFUNCTION("""COMPUTED_VALUE"""),TRUE)</f>
        <v>1</v>
      </c>
      <c r="Q84" s="13">
        <f>IFERROR(__xludf.DUMMYFUNCTION("""COMPUTED_VALUE"""),44999.49164140046)</f>
        <v>44999.49164</v>
      </c>
      <c r="R84" s="12" t="str">
        <f>IFERROR(__xludf.DUMMYFUNCTION("""COMPUTED_VALUE"""),"")</f>
        <v/>
      </c>
      <c r="S84" s="1" t="str">
        <f t="shared" si="2"/>
        <v/>
      </c>
      <c r="T84" s="1" t="str">
        <f t="shared" si="3"/>
        <v/>
      </c>
      <c r="U84" s="1" t="str">
        <f t="shared" si="4"/>
        <v/>
      </c>
      <c r="V84" s="1"/>
      <c r="W84" s="1"/>
      <c r="X84" s="1"/>
      <c r="Y84" s="1"/>
      <c r="Z84" s="8"/>
      <c r="AA84" s="1"/>
      <c r="AB84" s="1"/>
      <c r="AC84" s="1"/>
      <c r="AD84" s="1"/>
      <c r="AE84" s="1"/>
      <c r="AF84" s="1"/>
      <c r="AG84" s="1"/>
      <c r="AH84" s="1" t="str">
        <f t="shared" si="1"/>
        <v/>
      </c>
      <c r="AI84" s="1"/>
    </row>
    <row r="85">
      <c r="A85" s="5">
        <f>IFERROR(__xludf.DUMMYFUNCTION("""COMPUTED_VALUE"""),44999.0)</f>
        <v>44999</v>
      </c>
      <c r="B85" s="14" t="str">
        <f>IFERROR(__xludf.DUMMYFUNCTION("""COMPUTED_VALUE"""),"Jhon Anderson Ceballos Hernandez")</f>
        <v>Jhon Anderson Ceballos Hernandez</v>
      </c>
      <c r="C85" s="6" t="str">
        <f>IFERROR(__xludf.DUMMYFUNCTION("""COMPUTED_VALUE"""),"MANIZALES")</f>
        <v>MANIZALES</v>
      </c>
      <c r="D85" s="6" t="str">
        <f>IFERROR(__xludf.DUMMYFUNCTION("""COMPUTED_VALUE"""),"MEDELLÍN")</f>
        <v>MEDELLÍN</v>
      </c>
      <c r="E85" s="6" t="str">
        <f>IFERROR(__xludf.DUMMYFUNCTION("""COMPUTED_VALUE"""),"Baby Chef")</f>
        <v>Baby Chef</v>
      </c>
      <c r="F85" s="1" t="str">
        <f>IFERROR(__xludf.DUMMYFUNCTION("""COMPUTED_VALUE"""),"Cll 71 no. 1 - 516 conjunto valles de la florida casa 165  / barrio la florida villa maria caldas  / manizales - caldas")</f>
        <v>Cll 71 no. 1 - 516 conjunto valles de la florida casa 165  / barrio la florida villa maria caldas  / manizales - caldas</v>
      </c>
      <c r="G85" s="6" t="str">
        <f>IFERROR(__xludf.DUMMYFUNCTION("""COMPUTED_VALUE"""),"Isabel Cristina Carmona")</f>
        <v>Isabel Cristina Carmona</v>
      </c>
      <c r="H85" s="7">
        <f>IFERROR(__xludf.DUMMYFUNCTION("""COMPUTED_VALUE"""),8827.0)</f>
        <v>8827</v>
      </c>
      <c r="I85" s="7">
        <f>IFERROR(__xludf.DUMMYFUNCTION("""COMPUTED_VALUE"""),8.0)</f>
        <v>8</v>
      </c>
      <c r="J85" s="7">
        <f>IFERROR(__xludf.DUMMYFUNCTION("""COMPUTED_VALUE"""),16.0)</f>
        <v>16</v>
      </c>
      <c r="K85" s="7">
        <f>IFERROR(__xludf.DUMMYFUNCTION("""COMPUTED_VALUE"""),20.0)</f>
        <v>20</v>
      </c>
      <c r="L85" s="8">
        <f>IFERROR(__xludf.DUMMYFUNCTION("""COMPUTED_VALUE"""),3.017890649E9)</f>
        <v>3017890649</v>
      </c>
      <c r="M85" s="9" t="str">
        <f>IFERROR(__xludf.DUMMYFUNCTION("""COMPUTED_VALUE"""),"#REF!")</f>
        <v>#REF!</v>
      </c>
      <c r="N85" s="1"/>
      <c r="O85" s="3" t="str">
        <f>IFERROR(__xludf.DUMMYFUNCTION("""COMPUTED_VALUE"""),"")</f>
        <v/>
      </c>
      <c r="P85" s="9" t="b">
        <f>IFERROR(__xludf.DUMMYFUNCTION("""COMPUTED_VALUE"""),TRUE)</f>
        <v>1</v>
      </c>
      <c r="Q85" s="13">
        <f>IFERROR(__xludf.DUMMYFUNCTION("""COMPUTED_VALUE"""),44999.65619381944)</f>
        <v>44999.65619</v>
      </c>
      <c r="R85" s="12" t="str">
        <f>IFERROR(__xludf.DUMMYFUNCTION("""COMPUTED_VALUE"""),"")</f>
        <v/>
      </c>
      <c r="S85" s="1" t="str">
        <f t="shared" si="2"/>
        <v/>
      </c>
      <c r="T85" s="1" t="str">
        <f t="shared" si="3"/>
        <v/>
      </c>
      <c r="U85" s="1" t="str">
        <f t="shared" si="4"/>
        <v/>
      </c>
      <c r="V85" s="1"/>
      <c r="W85" s="1"/>
      <c r="X85" s="1"/>
      <c r="Y85" s="1"/>
      <c r="Z85" s="8"/>
      <c r="AA85" s="1"/>
      <c r="AB85" s="1"/>
      <c r="AC85" s="1"/>
      <c r="AD85" s="1"/>
      <c r="AE85" s="1"/>
      <c r="AF85" s="1"/>
      <c r="AG85" s="1"/>
      <c r="AH85" s="1" t="str">
        <f t="shared" si="1"/>
        <v/>
      </c>
      <c r="AI85" s="1"/>
    </row>
    <row r="86">
      <c r="A86" s="5">
        <f>IFERROR(__xludf.DUMMYFUNCTION("""COMPUTED_VALUE"""),44999.0)</f>
        <v>44999</v>
      </c>
      <c r="B86" s="14" t="str">
        <f>IFERROR(__xludf.DUMMYFUNCTION("""COMPUTED_VALUE"""),"Jhon Anderson Ceballos Hernandez")</f>
        <v>Jhon Anderson Ceballos Hernandez</v>
      </c>
      <c r="C86" s="6" t="str">
        <f>IFERROR(__xludf.DUMMYFUNCTION("""COMPUTED_VALUE"""),"MANIZALES")</f>
        <v>MANIZALES</v>
      </c>
      <c r="D86" s="6" t="str">
        <f>IFERROR(__xludf.DUMMYFUNCTION("""COMPUTED_VALUE"""),"MEDELLÍN")</f>
        <v>MEDELLÍN</v>
      </c>
      <c r="E86" s="6" t="str">
        <f>IFERROR(__xludf.DUMMYFUNCTION("""COMPUTED_VALUE"""),"Carnicos Fricar")</f>
        <v>Carnicos Fricar</v>
      </c>
      <c r="F86" s="1" t="str">
        <f>IFERROR(__xludf.DUMMYFUNCTION("""COMPUTED_VALUE"""),"Calle 65 B #42-48 / torre 2 , apartamento 402 / Manizales")</f>
        <v>Calle 65 B #42-48 / torre 2 , apartamento 402 / Manizales</v>
      </c>
      <c r="G86" s="6" t="str">
        <f>IFERROR(__xludf.DUMMYFUNCTION("""COMPUTED_VALUE"""),"Angela Maria Correa")</f>
        <v>Angela Maria Correa</v>
      </c>
      <c r="H86" s="7">
        <f>IFERROR(__xludf.DUMMYFUNCTION("""COMPUTED_VALUE"""),8859.0)</f>
        <v>8859</v>
      </c>
      <c r="I86" s="7">
        <f>IFERROR(__xludf.DUMMYFUNCTION("""COMPUTED_VALUE"""),15.0)</f>
        <v>15</v>
      </c>
      <c r="J86" s="7">
        <f>IFERROR(__xludf.DUMMYFUNCTION("""COMPUTED_VALUE"""),10.0)</f>
        <v>10</v>
      </c>
      <c r="K86" s="7">
        <f>IFERROR(__xludf.DUMMYFUNCTION("""COMPUTED_VALUE"""),10.0)</f>
        <v>10</v>
      </c>
      <c r="L86" s="8">
        <f>IFERROR(__xludf.DUMMYFUNCTION("""COMPUTED_VALUE"""),3.128177203E9)</f>
        <v>3128177203</v>
      </c>
      <c r="M86" s="9" t="str">
        <f>IFERROR(__xludf.DUMMYFUNCTION("""COMPUTED_VALUE"""),"#REF!")</f>
        <v>#REF!</v>
      </c>
      <c r="N86" s="1"/>
      <c r="O86" s="3" t="str">
        <f>IFERROR(__xludf.DUMMYFUNCTION("""COMPUTED_VALUE"""),"")</f>
        <v/>
      </c>
      <c r="P86" s="9" t="b">
        <f>IFERROR(__xludf.DUMMYFUNCTION("""COMPUTED_VALUE"""),TRUE)</f>
        <v>1</v>
      </c>
      <c r="Q86" s="13">
        <f>IFERROR(__xludf.DUMMYFUNCTION("""COMPUTED_VALUE"""),44999.65620982639)</f>
        <v>44999.65621</v>
      </c>
      <c r="R86" s="12" t="str">
        <f>IFERROR(__xludf.DUMMYFUNCTION("""COMPUTED_VALUE"""),"")</f>
        <v/>
      </c>
      <c r="S86" s="1" t="str">
        <f t="shared" si="2"/>
        <v/>
      </c>
      <c r="T86" s="1" t="str">
        <f t="shared" si="3"/>
        <v/>
      </c>
      <c r="U86" s="1" t="str">
        <f t="shared" si="4"/>
        <v/>
      </c>
      <c r="V86" s="1"/>
      <c r="W86" s="1"/>
      <c r="X86" s="1"/>
      <c r="Y86" s="1"/>
      <c r="Z86" s="8"/>
      <c r="AA86" s="1"/>
      <c r="AB86" s="1"/>
      <c r="AC86" s="1"/>
      <c r="AD86" s="1"/>
      <c r="AE86" s="1"/>
      <c r="AF86" s="1"/>
      <c r="AG86" s="1"/>
      <c r="AH86" s="1" t="str">
        <f t="shared" si="1"/>
        <v/>
      </c>
      <c r="AI86" s="1"/>
    </row>
    <row r="87">
      <c r="A87" s="5">
        <f>IFERROR(__xludf.DUMMYFUNCTION("""COMPUTED_VALUE"""),44999.0)</f>
        <v>44999</v>
      </c>
      <c r="B87" s="14" t="str">
        <f>IFERROR(__xludf.DUMMYFUNCTION("""COMPUTED_VALUE"""),"Jhon Anderson Ceballos Hernandez")</f>
        <v>Jhon Anderson Ceballos Hernandez</v>
      </c>
      <c r="C87" s="6" t="str">
        <f>IFERROR(__xludf.DUMMYFUNCTION("""COMPUTED_VALUE"""),"MANIZALES")</f>
        <v>MANIZALES</v>
      </c>
      <c r="D87" s="6" t="str">
        <f>IFERROR(__xludf.DUMMYFUNCTION("""COMPUTED_VALUE"""),"MEDELLÍN")</f>
        <v>MEDELLÍN</v>
      </c>
      <c r="E87" s="6" t="str">
        <f>IFERROR(__xludf.DUMMYFUNCTION("""COMPUTED_VALUE"""),"Limona")</f>
        <v>Limona</v>
      </c>
      <c r="F87" s="1" t="str">
        <f>IFERROR(__xludf.DUMMYFUNCTION("""COMPUTED_VALUE"""),"Calle 59 # 1 - 119 / Local 1 Mercafit Express La Florida  / Villamaria")</f>
        <v>Calle 59 # 1 - 119 / Local 1 Mercafit Express La Florida  / Villamaria</v>
      </c>
      <c r="G87" s="6" t="str">
        <f>IFERROR(__xludf.DUMMYFUNCTION("""COMPUTED_VALUE"""),"Cristhian Suarez")</f>
        <v>Cristhian Suarez</v>
      </c>
      <c r="H87" s="7">
        <f>IFERROR(__xludf.DUMMYFUNCTION("""COMPUTED_VALUE"""),8840.0)</f>
        <v>8840</v>
      </c>
      <c r="I87" s="7">
        <f>IFERROR(__xludf.DUMMYFUNCTION("""COMPUTED_VALUE"""),34.0)</f>
        <v>34</v>
      </c>
      <c r="J87" s="7">
        <f>IFERROR(__xludf.DUMMYFUNCTION("""COMPUTED_VALUE"""),15.0)</f>
        <v>15</v>
      </c>
      <c r="K87" s="7">
        <f>IFERROR(__xludf.DUMMYFUNCTION("""COMPUTED_VALUE"""),25.0)</f>
        <v>25</v>
      </c>
      <c r="L87" s="8">
        <f>IFERROR(__xludf.DUMMYFUNCTION("""COMPUTED_VALUE"""),3.123114035E9)</f>
        <v>3123114035</v>
      </c>
      <c r="M87" s="9" t="str">
        <f>IFERROR(__xludf.DUMMYFUNCTION("""COMPUTED_VALUE"""),"#REF!")</f>
        <v>#REF!</v>
      </c>
      <c r="N87" s="1"/>
      <c r="O87" s="3" t="str">
        <f>IFERROR(__xludf.DUMMYFUNCTION("""COMPUTED_VALUE"""),"")</f>
        <v/>
      </c>
      <c r="P87" s="9" t="b">
        <f>IFERROR(__xludf.DUMMYFUNCTION("""COMPUTED_VALUE"""),TRUE)</f>
        <v>1</v>
      </c>
      <c r="Q87" s="13">
        <f>IFERROR(__xludf.DUMMYFUNCTION("""COMPUTED_VALUE"""),44999.65715010416)</f>
        <v>44999.65715</v>
      </c>
      <c r="R87" s="12" t="str">
        <f>IFERROR(__xludf.DUMMYFUNCTION("""COMPUTED_VALUE"""),"")</f>
        <v/>
      </c>
      <c r="S87" s="1" t="str">
        <f t="shared" si="2"/>
        <v/>
      </c>
      <c r="T87" s="1" t="str">
        <f t="shared" si="3"/>
        <v/>
      </c>
      <c r="U87" s="1" t="str">
        <f t="shared" si="4"/>
        <v/>
      </c>
      <c r="V87" s="1"/>
      <c r="W87" s="1"/>
      <c r="X87" s="1"/>
      <c r="Y87" s="1"/>
      <c r="Z87" s="8"/>
      <c r="AA87" s="1"/>
      <c r="AB87" s="1"/>
      <c r="AC87" s="1"/>
      <c r="AD87" s="1"/>
      <c r="AE87" s="1"/>
      <c r="AF87" s="1"/>
      <c r="AG87" s="1"/>
      <c r="AH87" s="1" t="str">
        <f t="shared" si="1"/>
        <v/>
      </c>
      <c r="AI87" s="1"/>
    </row>
    <row r="88">
      <c r="A88" s="5">
        <f>IFERROR(__xludf.DUMMYFUNCTION("""COMPUTED_VALUE"""),44999.0)</f>
        <v>44999</v>
      </c>
      <c r="B88" s="14" t="str">
        <f>IFERROR(__xludf.DUMMYFUNCTION("""COMPUTED_VALUE"""),"Jhon Anderson Ceballos Hernandez")</f>
        <v>Jhon Anderson Ceballos Hernandez</v>
      </c>
      <c r="C88" s="6" t="str">
        <f>IFERROR(__xludf.DUMMYFUNCTION("""COMPUTED_VALUE"""),"MANIZALES")</f>
        <v>MANIZALES</v>
      </c>
      <c r="D88" s="6" t="str">
        <f>IFERROR(__xludf.DUMMYFUNCTION("""COMPUTED_VALUE"""),"MEDELLÍN")</f>
        <v>MEDELLÍN</v>
      </c>
      <c r="E88" s="6" t="str">
        <f>IFERROR(__xludf.DUMMYFUNCTION("""COMPUTED_VALUE"""),"Todo Bufala")</f>
        <v>Todo Bufala</v>
      </c>
      <c r="F88" s="1" t="str">
        <f>IFERROR(__xludf.DUMMYFUNCTION("""COMPUTED_VALUE"""),"arrera 24A#59-67 / local 1 Porta Estrella  / barrio la estrella")</f>
        <v>arrera 24A#59-67 / local 1 Porta Estrella  / barrio la estrella</v>
      </c>
      <c r="G88" s="6" t="str">
        <f>IFERROR(__xludf.DUMMYFUNCTION("""COMPUTED_VALUE"""),"SEBASTIAN PEREZ")</f>
        <v>SEBASTIAN PEREZ</v>
      </c>
      <c r="H88" s="7">
        <f>IFERROR(__xludf.DUMMYFUNCTION("""COMPUTED_VALUE"""),8754.0)</f>
        <v>8754</v>
      </c>
      <c r="I88" s="7">
        <f>IFERROR(__xludf.DUMMYFUNCTION("""COMPUTED_VALUE"""),20.0)</f>
        <v>20</v>
      </c>
      <c r="J88" s="7">
        <f>IFERROR(__xludf.DUMMYFUNCTION("""COMPUTED_VALUE"""),30.0)</f>
        <v>30</v>
      </c>
      <c r="K88" s="7">
        <f>IFERROR(__xludf.DUMMYFUNCTION("""COMPUTED_VALUE"""),40.0)</f>
        <v>40</v>
      </c>
      <c r="L88" s="8">
        <f>IFERROR(__xludf.DUMMYFUNCTION("""COMPUTED_VALUE"""),3.106974621E9)</f>
        <v>3106974621</v>
      </c>
      <c r="M88" s="9" t="str">
        <f>IFERROR(__xludf.DUMMYFUNCTION("""COMPUTED_VALUE"""),"#REF!")</f>
        <v>#REF!</v>
      </c>
      <c r="N88" s="1"/>
      <c r="O88" s="3" t="str">
        <f>IFERROR(__xludf.DUMMYFUNCTION("""COMPUTED_VALUE"""),"")</f>
        <v/>
      </c>
      <c r="P88" s="9" t="b">
        <f>IFERROR(__xludf.DUMMYFUNCTION("""COMPUTED_VALUE"""),TRUE)</f>
        <v>1</v>
      </c>
      <c r="Q88" s="13">
        <f>IFERROR(__xludf.DUMMYFUNCTION("""COMPUTED_VALUE"""),44999.65623119213)</f>
        <v>44999.65623</v>
      </c>
      <c r="R88" s="12" t="str">
        <f>IFERROR(__xludf.DUMMYFUNCTION("""COMPUTED_VALUE"""),"")</f>
        <v/>
      </c>
      <c r="S88" s="1" t="str">
        <f t="shared" si="2"/>
        <v/>
      </c>
      <c r="T88" s="1" t="str">
        <f t="shared" si="3"/>
        <v/>
      </c>
      <c r="U88" s="1" t="str">
        <f t="shared" si="4"/>
        <v/>
      </c>
      <c r="V88" s="1"/>
      <c r="W88" s="1"/>
      <c r="X88" s="1"/>
      <c r="Y88" s="1"/>
      <c r="Z88" s="8"/>
      <c r="AA88" s="1"/>
      <c r="AB88" s="1"/>
      <c r="AC88" s="1"/>
      <c r="AD88" s="1"/>
      <c r="AE88" s="1"/>
      <c r="AF88" s="1"/>
      <c r="AG88" s="1"/>
      <c r="AH88" s="1" t="str">
        <f t="shared" si="1"/>
        <v/>
      </c>
      <c r="AI88" s="1"/>
    </row>
    <row r="89">
      <c r="A89" s="5">
        <f>IFERROR(__xludf.DUMMYFUNCTION("""COMPUTED_VALUE"""),44999.0)</f>
        <v>44999</v>
      </c>
      <c r="B89" s="14" t="str">
        <f>IFERROR(__xludf.DUMMYFUNCTION("""COMPUTED_VALUE"""),"Jhon Anderson Ceballos Hernandez")</f>
        <v>Jhon Anderson Ceballos Hernandez</v>
      </c>
      <c r="C89" s="6" t="str">
        <f>IFERROR(__xludf.DUMMYFUNCTION("""COMPUTED_VALUE"""),"MANIZALES")</f>
        <v>MANIZALES</v>
      </c>
      <c r="D89" s="6" t="str">
        <f>IFERROR(__xludf.DUMMYFUNCTION("""COMPUTED_VALUE"""),"MEDELLÍN")</f>
        <v>MEDELLÍN</v>
      </c>
      <c r="E89" s="6" t="str">
        <f>IFERROR(__xludf.DUMMYFUNCTION("""COMPUTED_VALUE"""),"Todo Bufala")</f>
        <v>Todo Bufala</v>
      </c>
      <c r="F89" s="1" t="str">
        <f>IFERROR(__xludf.DUMMYFUNCTION("""COMPUTED_VALUE"""),"carrera 24A#59-67 /  local 1 Porta Estrella / Barrio la estrella")</f>
        <v>carrera 24A#59-67 /  local 1 Porta Estrella / Barrio la estrella</v>
      </c>
      <c r="G89" s="6" t="str">
        <f>IFERROR(__xludf.DUMMYFUNCTION("""COMPUTED_VALUE"""),"SEBASTIAN PEREZ")</f>
        <v>SEBASTIAN PEREZ</v>
      </c>
      <c r="H89" s="7">
        <f>IFERROR(__xludf.DUMMYFUNCTION("""COMPUTED_VALUE"""),8755.0)</f>
        <v>8755</v>
      </c>
      <c r="I89" s="7">
        <f>IFERROR(__xludf.DUMMYFUNCTION("""COMPUTED_VALUE"""),20.0)</f>
        <v>20</v>
      </c>
      <c r="J89" s="7">
        <f>IFERROR(__xludf.DUMMYFUNCTION("""COMPUTED_VALUE"""),30.0)</f>
        <v>30</v>
      </c>
      <c r="K89" s="7">
        <f>IFERROR(__xludf.DUMMYFUNCTION("""COMPUTED_VALUE"""),40.0)</f>
        <v>40</v>
      </c>
      <c r="L89" s="8">
        <f>IFERROR(__xludf.DUMMYFUNCTION("""COMPUTED_VALUE"""),3.106974621E9)</f>
        <v>3106974621</v>
      </c>
      <c r="M89" s="9" t="str">
        <f>IFERROR(__xludf.DUMMYFUNCTION("""COMPUTED_VALUE"""),"#REF!")</f>
        <v>#REF!</v>
      </c>
      <c r="N89" s="1"/>
      <c r="O89" s="3" t="str">
        <f>IFERROR(__xludf.DUMMYFUNCTION("""COMPUTED_VALUE"""),"")</f>
        <v/>
      </c>
      <c r="P89" s="9" t="b">
        <f>IFERROR(__xludf.DUMMYFUNCTION("""COMPUTED_VALUE"""),TRUE)</f>
        <v>1</v>
      </c>
      <c r="Q89" s="13">
        <f>IFERROR(__xludf.DUMMYFUNCTION("""COMPUTED_VALUE"""),44999.6562400463)</f>
        <v>44999.65624</v>
      </c>
      <c r="R89" s="12" t="str">
        <f>IFERROR(__xludf.DUMMYFUNCTION("""COMPUTED_VALUE"""),"")</f>
        <v/>
      </c>
      <c r="S89" s="1" t="str">
        <f t="shared" si="2"/>
        <v/>
      </c>
      <c r="T89" s="1" t="str">
        <f t="shared" si="3"/>
        <v/>
      </c>
      <c r="U89" s="1" t="str">
        <f t="shared" si="4"/>
        <v/>
      </c>
      <c r="V89" s="1"/>
      <c r="W89" s="1"/>
      <c r="X89" s="1"/>
      <c r="Y89" s="1"/>
      <c r="Z89" s="8"/>
      <c r="AA89" s="1"/>
      <c r="AB89" s="1"/>
      <c r="AC89" s="1"/>
      <c r="AD89" s="1"/>
      <c r="AE89" s="1"/>
      <c r="AF89" s="1"/>
      <c r="AG89" s="1"/>
      <c r="AH89" s="1" t="str">
        <f t="shared" si="1"/>
        <v/>
      </c>
      <c r="AI89" s="1"/>
    </row>
    <row r="90">
      <c r="A90" s="5">
        <f>IFERROR(__xludf.DUMMYFUNCTION("""COMPUTED_VALUE"""),44999.0)</f>
        <v>44999</v>
      </c>
      <c r="B90" s="14" t="str">
        <f>IFERROR(__xludf.DUMMYFUNCTION("""COMPUTED_VALUE"""),"Jhon Anderson Ceballos Hernandez")</f>
        <v>Jhon Anderson Ceballos Hernandez</v>
      </c>
      <c r="C90" s="6" t="str">
        <f>IFERROR(__xludf.DUMMYFUNCTION("""COMPUTED_VALUE"""),"MANIZALES")</f>
        <v>MANIZALES</v>
      </c>
      <c r="D90" s="6" t="str">
        <f>IFERROR(__xludf.DUMMYFUNCTION("""COMPUTED_VALUE"""),"MEDELLÍN")</f>
        <v>MEDELLÍN</v>
      </c>
      <c r="E90" s="6" t="str">
        <f>IFERROR(__xludf.DUMMYFUNCTION("""COMPUTED_VALUE"""),"Todo Bufala")</f>
        <v>Todo Bufala</v>
      </c>
      <c r="F90" s="1" t="str">
        <f>IFERROR(__xludf.DUMMYFUNCTION("""COMPUTED_VALUE"""),"Cr  26a No 67-33 / edificio Alicante II apto 303  / Manizales")</f>
        <v>Cr  26a No 67-33 / edificio Alicante II apto 303  / Manizales</v>
      </c>
      <c r="G90" s="6" t="str">
        <f>IFERROR(__xludf.DUMMYFUNCTION("""COMPUTED_VALUE"""),"Claudia María Agudelo Velez")</f>
        <v>Claudia María Agudelo Velez</v>
      </c>
      <c r="H90" s="7">
        <f>IFERROR(__xludf.DUMMYFUNCTION("""COMPUTED_VALUE"""),8773.0)</f>
        <v>8773</v>
      </c>
      <c r="I90" s="7">
        <f>IFERROR(__xludf.DUMMYFUNCTION("""COMPUTED_VALUE"""),9.0)</f>
        <v>9</v>
      </c>
      <c r="J90" s="7">
        <f>IFERROR(__xludf.DUMMYFUNCTION("""COMPUTED_VALUE"""),30.0)</f>
        <v>30</v>
      </c>
      <c r="K90" s="7">
        <f>IFERROR(__xludf.DUMMYFUNCTION("""COMPUTED_VALUE"""),40.0)</f>
        <v>40</v>
      </c>
      <c r="L90" s="8">
        <f>IFERROR(__xludf.DUMMYFUNCTION("""COMPUTED_VALUE"""),3.113412327E9)</f>
        <v>3113412327</v>
      </c>
      <c r="M90" s="9" t="str">
        <f>IFERROR(__xludf.DUMMYFUNCTION("""COMPUTED_VALUE"""),"#REF!")</f>
        <v>#REF!</v>
      </c>
      <c r="N90" s="1"/>
      <c r="O90" s="3" t="str">
        <f>IFERROR(__xludf.DUMMYFUNCTION("""COMPUTED_VALUE"""),"")</f>
        <v/>
      </c>
      <c r="P90" s="9" t="b">
        <f>IFERROR(__xludf.DUMMYFUNCTION("""COMPUTED_VALUE"""),FALSE)</f>
        <v>0</v>
      </c>
      <c r="Q90" s="10" t="str">
        <f>IFERROR(__xludf.DUMMYFUNCTION("""COMPUTED_VALUE"""),"")</f>
        <v/>
      </c>
      <c r="R90" s="12" t="str">
        <f>IFERROR(__xludf.DUMMYFUNCTION("""COMPUTED_VALUE"""),"")</f>
        <v/>
      </c>
      <c r="S90" s="1" t="str">
        <f t="shared" si="2"/>
        <v/>
      </c>
      <c r="T90" s="1" t="str">
        <f t="shared" si="3"/>
        <v/>
      </c>
      <c r="U90" s="1" t="str">
        <f t="shared" si="4"/>
        <v/>
      </c>
      <c r="V90" s="1"/>
      <c r="W90" s="1"/>
      <c r="X90" s="1"/>
      <c r="Y90" s="1"/>
      <c r="Z90" s="8"/>
      <c r="AA90" s="1"/>
      <c r="AB90" s="1"/>
      <c r="AC90" s="1"/>
      <c r="AD90" s="1"/>
      <c r="AE90" s="1"/>
      <c r="AF90" s="1"/>
      <c r="AG90" s="1"/>
      <c r="AH90" s="1" t="str">
        <f t="shared" si="1"/>
        <v/>
      </c>
      <c r="AI90" s="1"/>
    </row>
    <row r="91">
      <c r="A91" s="5">
        <f>IFERROR(__xludf.DUMMYFUNCTION("""COMPUTED_VALUE"""),44999.0)</f>
        <v>44999</v>
      </c>
      <c r="B91" s="14" t="str">
        <f>IFERROR(__xludf.DUMMYFUNCTION("""COMPUTED_VALUE"""),"Jhon Anderson Ceballos Hernandez")</f>
        <v>Jhon Anderson Ceballos Hernandez</v>
      </c>
      <c r="C91" s="6" t="str">
        <f>IFERROR(__xludf.DUMMYFUNCTION("""COMPUTED_VALUE"""),"MEDELLÍN")</f>
        <v>MEDELLÍN</v>
      </c>
      <c r="D91" s="6" t="str">
        <f>IFERROR(__xludf.DUMMYFUNCTION("""COMPUTED_VALUE"""),"BOGOTÁ")</f>
        <v>BOGOTÁ</v>
      </c>
      <c r="E91" s="6" t="str">
        <f>IFERROR(__xludf.DUMMYFUNCTION("""COMPUTED_VALUE"""),"Ventura Productos Arg")</f>
        <v>Ventura Productos Arg</v>
      </c>
      <c r="F91" s="1" t="str">
        <f>IFERROR(__xludf.DUMMYFUNCTION("""COMPUTED_VALUE"""),"Circular 73b #38-35 / Edificio Alamos del Parque Apto 402")</f>
        <v>Circular 73b #38-35 / Edificio Alamos del Parque Apto 402</v>
      </c>
      <c r="G91" s="6" t="str">
        <f>IFERROR(__xludf.DUMMYFUNCTION("""COMPUTED_VALUE"""),"Mariana Montoya")</f>
        <v>Mariana Montoya</v>
      </c>
      <c r="H91" s="7">
        <f>IFERROR(__xludf.DUMMYFUNCTION("""COMPUTED_VALUE"""),8772.0)</f>
        <v>8772</v>
      </c>
      <c r="I91" s="7">
        <f>IFERROR(__xludf.DUMMYFUNCTION("""COMPUTED_VALUE"""),22.0)</f>
        <v>22</v>
      </c>
      <c r="J91" s="7">
        <f>IFERROR(__xludf.DUMMYFUNCTION("""COMPUTED_VALUE"""),17.0)</f>
        <v>17</v>
      </c>
      <c r="K91" s="7">
        <f>IFERROR(__xludf.DUMMYFUNCTION("""COMPUTED_VALUE"""),8.0)</f>
        <v>8</v>
      </c>
      <c r="L91" s="8">
        <f>IFERROR(__xludf.DUMMYFUNCTION("""COMPUTED_VALUE"""),3.104708656E9)</f>
        <v>3104708656</v>
      </c>
      <c r="M91" s="9" t="str">
        <f>IFERROR(__xludf.DUMMYFUNCTION("""COMPUTED_VALUE"""),"#REF!")</f>
        <v>#REF!</v>
      </c>
      <c r="N91" s="1"/>
      <c r="O91" s="3" t="str">
        <f>IFERROR(__xludf.DUMMYFUNCTION("""COMPUTED_VALUE"""),"")</f>
        <v/>
      </c>
      <c r="P91" s="9" t="b">
        <f>IFERROR(__xludf.DUMMYFUNCTION("""COMPUTED_VALUE"""),FALSE)</f>
        <v>0</v>
      </c>
      <c r="Q91" s="10" t="str">
        <f>IFERROR(__xludf.DUMMYFUNCTION("""COMPUTED_VALUE"""),"")</f>
        <v/>
      </c>
      <c r="R91" s="11" t="str">
        <f>IFERROR(__xludf.DUMMYFUNCTION("""COMPUTED_VALUE"""),"https://drive.google.com/file/d/15_IvN0vfLuPIZRk5XutuM5rlRyfuB-Q-/view?usp=drivesdk")</f>
        <v>https://drive.google.com/file/d/15_IvN0vfLuPIZRk5XutuM5rlRyfuB-Q-/view?usp=drivesdk</v>
      </c>
      <c r="S91" s="1" t="str">
        <f t="shared" si="2"/>
        <v/>
      </c>
      <c r="T91" s="1" t="str">
        <f t="shared" si="3"/>
        <v/>
      </c>
      <c r="U91" s="1" t="str">
        <f t="shared" si="4"/>
        <v/>
      </c>
      <c r="V91" s="1"/>
      <c r="W91" s="1"/>
      <c r="X91" s="1"/>
      <c r="Y91" s="1"/>
      <c r="Z91" s="8"/>
      <c r="AA91" s="1"/>
      <c r="AB91" s="1"/>
      <c r="AC91" s="1"/>
      <c r="AD91" s="1"/>
      <c r="AE91" s="1"/>
      <c r="AF91" s="1"/>
      <c r="AG91" s="1"/>
      <c r="AH91" s="1" t="str">
        <f t="shared" si="1"/>
        <v/>
      </c>
      <c r="AI91" s="1"/>
    </row>
    <row r="92">
      <c r="A92" s="5">
        <f>IFERROR(__xludf.DUMMYFUNCTION("""COMPUTED_VALUE"""),44999.0)</f>
        <v>44999</v>
      </c>
      <c r="B92" s="14" t="str">
        <f>IFERROR(__xludf.DUMMYFUNCTION("""COMPUTED_VALUE"""),"Jhon Anderson Ceballos Hernandez")</f>
        <v>Jhon Anderson Ceballos Hernandez</v>
      </c>
      <c r="C92" s="6" t="str">
        <f>IFERROR(__xludf.DUMMYFUNCTION("""COMPUTED_VALUE"""),"TUNJA")</f>
        <v>TUNJA</v>
      </c>
      <c r="D92" s="6" t="str">
        <f>IFERROR(__xludf.DUMMYFUNCTION("""COMPUTED_VALUE"""),"BOGOTÁ")</f>
        <v>BOGOTÁ</v>
      </c>
      <c r="E92" s="6" t="str">
        <f>IFERROR(__xludf.DUMMYFUNCTION("""COMPUTED_VALUE"""),"Evamazzita")</f>
        <v>Evamazzita</v>
      </c>
      <c r="F92" s="1" t="str">
        <f>IFERROR(__xludf.DUMMYFUNCTION("""COMPUTED_VALUE"""),"Diagonal 66A # 4-20  / N/A / Barrio Los Muiscas")</f>
        <v>Diagonal 66A # 4-20  / N/A / Barrio Los Muiscas</v>
      </c>
      <c r="G92" s="6" t="str">
        <f>IFERROR(__xludf.DUMMYFUNCTION("""COMPUTED_VALUE"""),"MERY YOLIMA URIBE RIOS")</f>
        <v>MERY YOLIMA URIBE RIOS</v>
      </c>
      <c r="H92" s="7">
        <f>IFERROR(__xludf.DUMMYFUNCTION("""COMPUTED_VALUE"""),8810.0)</f>
        <v>8810</v>
      </c>
      <c r="I92" s="7">
        <f>IFERROR(__xludf.DUMMYFUNCTION("""COMPUTED_VALUE"""),7.0)</f>
        <v>7</v>
      </c>
      <c r="J92" s="7">
        <f>IFERROR(__xludf.DUMMYFUNCTION("""COMPUTED_VALUE"""),20.0)</f>
        <v>20</v>
      </c>
      <c r="K92" s="7">
        <f>IFERROR(__xludf.DUMMYFUNCTION("""COMPUTED_VALUE"""),12.0)</f>
        <v>12</v>
      </c>
      <c r="L92" s="8">
        <f>IFERROR(__xludf.DUMMYFUNCTION("""COMPUTED_VALUE"""),3.102399974E9)</f>
        <v>3102399974</v>
      </c>
      <c r="M92" s="9" t="str">
        <f>IFERROR(__xludf.DUMMYFUNCTION("""COMPUTED_VALUE"""),"#REF!")</f>
        <v>#REF!</v>
      </c>
      <c r="N92" s="1"/>
      <c r="O92" s="3" t="str">
        <f>IFERROR(__xludf.DUMMYFUNCTION("""COMPUTED_VALUE"""),"")</f>
        <v/>
      </c>
      <c r="P92" s="9" t="b">
        <f>IFERROR(__xludf.DUMMYFUNCTION("""COMPUTED_VALUE"""),FALSE)</f>
        <v>0</v>
      </c>
      <c r="Q92" s="10" t="str">
        <f>IFERROR(__xludf.DUMMYFUNCTION("""COMPUTED_VALUE"""),"")</f>
        <v/>
      </c>
      <c r="R92" s="12" t="str">
        <f>IFERROR(__xludf.DUMMYFUNCTION("""COMPUTED_VALUE"""),"")</f>
        <v/>
      </c>
      <c r="S92" s="1" t="str">
        <f t="shared" si="2"/>
        <v/>
      </c>
      <c r="T92" s="1" t="str">
        <f t="shared" si="3"/>
        <v/>
      </c>
      <c r="U92" s="1" t="str">
        <f t="shared" si="4"/>
        <v/>
      </c>
      <c r="V92" s="1"/>
      <c r="W92" s="1"/>
      <c r="X92" s="1"/>
      <c r="Y92" s="1"/>
      <c r="Z92" s="8"/>
      <c r="AA92" s="1"/>
      <c r="AB92" s="1"/>
      <c r="AC92" s="1"/>
      <c r="AD92" s="1"/>
      <c r="AE92" s="1"/>
      <c r="AF92" s="1"/>
      <c r="AG92" s="1"/>
      <c r="AH92" s="1" t="str">
        <f t="shared" si="1"/>
        <v/>
      </c>
      <c r="AI92" s="1"/>
    </row>
    <row r="93">
      <c r="A93" s="1" t="str">
        <f>IFERROR(__xludf.DUMMYFUNCTION("""COMPUTED_VALUE"""),"")</f>
        <v/>
      </c>
      <c r="B93" s="1" t="str">
        <f>IFERROR(__xludf.DUMMYFUNCTION("""COMPUTED_VALUE"""),"")</f>
        <v/>
      </c>
      <c r="C93" s="1" t="str">
        <f>IFERROR(__xludf.DUMMYFUNCTION("""COMPUTED_VALUE"""),"")</f>
        <v/>
      </c>
      <c r="D93" s="1" t="str">
        <f>IFERROR(__xludf.DUMMYFUNCTION("""COMPUTED_VALUE"""),"")</f>
        <v/>
      </c>
      <c r="E93" s="1" t="str">
        <f>IFERROR(__xludf.DUMMYFUNCTION("""COMPUTED_VALUE"""),"")</f>
        <v/>
      </c>
      <c r="F93" s="1" t="str">
        <f>IFERROR(__xludf.DUMMYFUNCTION("""COMPUTED_VALUE"""),"")</f>
        <v/>
      </c>
      <c r="G93" s="1" t="str">
        <f>IFERROR(__xludf.DUMMYFUNCTION("""COMPUTED_VALUE"""),"")</f>
        <v/>
      </c>
      <c r="H93" s="1" t="str">
        <f>IFERROR(__xludf.DUMMYFUNCTION("""COMPUTED_VALUE"""),"")</f>
        <v/>
      </c>
      <c r="I93" s="1" t="str">
        <f>IFERROR(__xludf.DUMMYFUNCTION("""COMPUTED_VALUE"""),"")</f>
        <v/>
      </c>
      <c r="J93" s="1" t="str">
        <f>IFERROR(__xludf.DUMMYFUNCTION("""COMPUTED_VALUE"""),"")</f>
        <v/>
      </c>
      <c r="K93" s="1" t="str">
        <f>IFERROR(__xludf.DUMMYFUNCTION("""COMPUTED_VALUE"""),"")</f>
        <v/>
      </c>
      <c r="L93" s="1" t="str">
        <f>IFERROR(__xludf.DUMMYFUNCTION("""COMPUTED_VALUE"""),"")</f>
        <v/>
      </c>
      <c r="M93" s="1" t="str">
        <f>IFERROR(__xludf.DUMMYFUNCTION("""COMPUTED_VALUE"""),"")</f>
        <v/>
      </c>
      <c r="N93" s="1" t="str">
        <f>IFERROR(__xludf.DUMMYFUNCTION("""COMPUTED_VALUE"""),"")</f>
        <v/>
      </c>
      <c r="O93" s="1" t="str">
        <f>IFERROR(__xludf.DUMMYFUNCTION("""COMPUTED_VALUE"""),"")</f>
        <v/>
      </c>
      <c r="P93" s="1" t="str">
        <f>IFERROR(__xludf.DUMMYFUNCTION("""COMPUTED_VALUE"""),"")</f>
        <v/>
      </c>
      <c r="Q93" s="1" t="str">
        <f>IFERROR(__xludf.DUMMYFUNCTION("""COMPUTED_VALUE"""),"")</f>
        <v/>
      </c>
      <c r="R93" s="1" t="str">
        <f>IFERROR(__xludf.DUMMYFUNCTION("""COMPUTED_VALUE"""),"")</f>
        <v/>
      </c>
      <c r="S93" s="1" t="str">
        <f t="shared" si="2"/>
        <v/>
      </c>
      <c r="T93" s="1" t="str">
        <f t="shared" si="3"/>
        <v/>
      </c>
      <c r="U93" s="1" t="str">
        <f t="shared" si="4"/>
        <v/>
      </c>
      <c r="V93" s="1"/>
      <c r="W93" s="1"/>
      <c r="X93" s="1"/>
      <c r="Y93" s="1"/>
      <c r="Z93" s="8"/>
      <c r="AA93" s="1"/>
      <c r="AB93" s="1"/>
      <c r="AC93" s="1"/>
      <c r="AD93" s="1"/>
      <c r="AE93" s="1"/>
      <c r="AF93" s="1"/>
      <c r="AG93" s="1"/>
      <c r="AH93" s="1" t="str">
        <f t="shared" si="1"/>
        <v/>
      </c>
      <c r="AI93" s="1"/>
    </row>
    <row r="94">
      <c r="A94" s="5">
        <f>IFERROR(__xludf.DUMMYFUNCTION("""COMPUTED_VALUE"""),44999.0)</f>
        <v>44999</v>
      </c>
      <c r="B94" s="14" t="str">
        <f>IFERROR(__xludf.DUMMYFUNCTION("""COMPUTED_VALUE"""),"Johan Alexander Escobar Arroyo ")</f>
        <v>Johan Alexander Escobar Arroyo </v>
      </c>
      <c r="C94" s="6" t="str">
        <f>IFERROR(__xludf.DUMMYFUNCTION("""COMPUTED_VALUE"""),"CALI")</f>
        <v>CALI</v>
      </c>
      <c r="D94" s="6" t="str">
        <f>IFERROR(__xludf.DUMMYFUNCTION("""COMPUTED_VALUE"""),"BOGOTÁ")</f>
        <v>BOGOTÁ</v>
      </c>
      <c r="E94" s="6" t="str">
        <f>IFERROR(__xludf.DUMMYFUNCTION("""COMPUTED_VALUE"""),"Chocao")</f>
        <v>Chocao</v>
      </c>
      <c r="F94" s="1" t="str">
        <f>IFERROR(__xludf.DUMMYFUNCTION("""COMPUTED_VALUE"""),"Calle 51norte #3in-08B  / Heladeria pop lover la flora  / La flora")</f>
        <v>Calle 51norte #3in-08B  / Heladeria pop lover la flora  / La flora</v>
      </c>
      <c r="G94" s="6" t="str">
        <f>IFERROR(__xludf.DUMMYFUNCTION("""COMPUTED_VALUE"""),"Pop lovers")</f>
        <v>Pop lovers</v>
      </c>
      <c r="H94" s="7">
        <f>IFERROR(__xludf.DUMMYFUNCTION("""COMPUTED_VALUE"""),8847.0)</f>
        <v>8847</v>
      </c>
      <c r="I94" s="7">
        <f>IFERROR(__xludf.DUMMYFUNCTION("""COMPUTED_VALUE"""),29.0)</f>
        <v>29</v>
      </c>
      <c r="J94" s="7">
        <f>IFERROR(__xludf.DUMMYFUNCTION("""COMPUTED_VALUE"""),16.0)</f>
        <v>16</v>
      </c>
      <c r="K94" s="7">
        <f>IFERROR(__xludf.DUMMYFUNCTION("""COMPUTED_VALUE"""),28.0)</f>
        <v>28</v>
      </c>
      <c r="L94" s="8">
        <f>IFERROR(__xludf.DUMMYFUNCTION("""COMPUTED_VALUE"""),3.192525211E9)</f>
        <v>3192525211</v>
      </c>
      <c r="M94" s="9" t="str">
        <f>IFERROR(__xludf.DUMMYFUNCTION("""COMPUTED_VALUE"""),"#REF!")</f>
        <v>#REF!</v>
      </c>
      <c r="N94" s="1"/>
      <c r="O94" s="3" t="str">
        <f>IFERROR(__xludf.DUMMYFUNCTION("""COMPUTED_VALUE"""),"")</f>
        <v/>
      </c>
      <c r="P94" s="9" t="b">
        <f>IFERROR(__xludf.DUMMYFUNCTION("""COMPUTED_VALUE"""),FALSE)</f>
        <v>0</v>
      </c>
      <c r="Q94" s="10" t="str">
        <f>IFERROR(__xludf.DUMMYFUNCTION("""COMPUTED_VALUE"""),"")</f>
        <v/>
      </c>
      <c r="R94" s="11" t="str">
        <f>IFERROR(__xludf.DUMMYFUNCTION("""COMPUTED_VALUE"""),"https://drive.google.com/file/d/1wtFg72vLd1AjquFeU7ecuVDW-gSPe-bR/view?usp=drivesdk")</f>
        <v>https://drive.google.com/file/d/1wtFg72vLd1AjquFeU7ecuVDW-gSPe-bR/view?usp=drivesdk</v>
      </c>
      <c r="S94" s="1" t="str">
        <f t="shared" si="2"/>
        <v/>
      </c>
      <c r="T94" s="1" t="str">
        <f t="shared" si="3"/>
        <v/>
      </c>
      <c r="U94" s="1" t="str">
        <f t="shared" si="4"/>
        <v/>
      </c>
      <c r="V94" s="1"/>
      <c r="W94" s="1"/>
      <c r="X94" s="1"/>
      <c r="Y94" s="1"/>
      <c r="Z94" s="8"/>
      <c r="AA94" s="1"/>
      <c r="AB94" s="1"/>
      <c r="AC94" s="1"/>
      <c r="AD94" s="1"/>
      <c r="AE94" s="1"/>
      <c r="AF94" s="1"/>
      <c r="AG94" s="1"/>
      <c r="AH94" s="1" t="str">
        <f t="shared" si="1"/>
        <v/>
      </c>
      <c r="AI94" s="1"/>
    </row>
    <row r="95">
      <c r="A95" s="5">
        <f>IFERROR(__xludf.DUMMYFUNCTION("""COMPUTED_VALUE"""),44999.0)</f>
        <v>44999</v>
      </c>
      <c r="B95" s="14" t="str">
        <f>IFERROR(__xludf.DUMMYFUNCTION("""COMPUTED_VALUE"""),"Johan Alexander Escobar Arroyo ")</f>
        <v>Johan Alexander Escobar Arroyo </v>
      </c>
      <c r="C95" s="6" t="str">
        <f>IFERROR(__xludf.DUMMYFUNCTION("""COMPUTED_VALUE"""),"CALI")</f>
        <v>CALI</v>
      </c>
      <c r="D95" s="6" t="str">
        <f>IFERROR(__xludf.DUMMYFUNCTION("""COMPUTED_VALUE"""),"BOGOTÁ")</f>
        <v>BOGOTÁ</v>
      </c>
      <c r="E95" s="6" t="str">
        <f>IFERROR(__xludf.DUMMYFUNCTION("""COMPUTED_VALUE"""),"Evamazzita")</f>
        <v>Evamazzita</v>
      </c>
      <c r="F95" s="1" t="str">
        <f>IFERROR(__xludf.DUMMYFUNCTION("""COMPUTED_VALUE"""),"Calle 13 A # 37-31  / apto 402 D Unidad Residencial Alambra 3  / Barrio El Dorado")</f>
        <v>Calle 13 A # 37-31  / apto 402 D Unidad Residencial Alambra 3  / Barrio El Dorado</v>
      </c>
      <c r="G95" s="6" t="str">
        <f>IFERROR(__xludf.DUMMYFUNCTION("""COMPUTED_VALUE"""),"AURA SANCHEZ")</f>
        <v>AURA SANCHEZ</v>
      </c>
      <c r="H95" s="7">
        <f>IFERROR(__xludf.DUMMYFUNCTION("""COMPUTED_VALUE"""),8808.0)</f>
        <v>8808</v>
      </c>
      <c r="I95" s="7">
        <f>IFERROR(__xludf.DUMMYFUNCTION("""COMPUTED_VALUE"""),3.0)</f>
        <v>3</v>
      </c>
      <c r="J95" s="7">
        <f>IFERROR(__xludf.DUMMYFUNCTION("""COMPUTED_VALUE"""),20.0)</f>
        <v>20</v>
      </c>
      <c r="K95" s="7">
        <f>IFERROR(__xludf.DUMMYFUNCTION("""COMPUTED_VALUE"""),15.0)</f>
        <v>15</v>
      </c>
      <c r="L95" s="8">
        <f>IFERROR(__xludf.DUMMYFUNCTION("""COMPUTED_VALUE"""),3.127255718E9)</f>
        <v>3127255718</v>
      </c>
      <c r="M95" s="9" t="str">
        <f>IFERROR(__xludf.DUMMYFUNCTION("""COMPUTED_VALUE"""),"#REF!")</f>
        <v>#REF!</v>
      </c>
      <c r="N95" s="1"/>
      <c r="O95" s="3" t="str">
        <f>IFERROR(__xludf.DUMMYFUNCTION("""COMPUTED_VALUE"""),"")</f>
        <v/>
      </c>
      <c r="P95" s="9" t="b">
        <f>IFERROR(__xludf.DUMMYFUNCTION("""COMPUTED_VALUE"""),FALSE)</f>
        <v>0</v>
      </c>
      <c r="Q95" s="10" t="str">
        <f>IFERROR(__xludf.DUMMYFUNCTION("""COMPUTED_VALUE"""),"")</f>
        <v/>
      </c>
      <c r="R95" s="11" t="str">
        <f>IFERROR(__xludf.DUMMYFUNCTION("""COMPUTED_VALUE"""),"https://drive.google.com/file/d/112sjyGPezoNyhEwKmS0KobZYCwDadA71/view?usp=drivesdk")</f>
        <v>https://drive.google.com/file/d/112sjyGPezoNyhEwKmS0KobZYCwDadA71/view?usp=drivesdk</v>
      </c>
      <c r="S95" s="1" t="str">
        <f t="shared" si="2"/>
        <v/>
      </c>
      <c r="T95" s="1" t="str">
        <f t="shared" si="3"/>
        <v/>
      </c>
      <c r="U95" s="1" t="str">
        <f t="shared" si="4"/>
        <v/>
      </c>
      <c r="V95" s="1"/>
      <c r="W95" s="1"/>
      <c r="X95" s="1"/>
      <c r="Y95" s="1"/>
      <c r="Z95" s="8"/>
      <c r="AA95" s="1"/>
      <c r="AB95" s="1"/>
      <c r="AC95" s="1"/>
      <c r="AD95" s="1"/>
      <c r="AE95" s="1"/>
      <c r="AF95" s="1"/>
      <c r="AG95" s="1"/>
      <c r="AH95" s="1" t="str">
        <f t="shared" si="1"/>
        <v/>
      </c>
      <c r="AI95" s="1"/>
    </row>
    <row r="96">
      <c r="A96" s="5">
        <f>IFERROR(__xludf.DUMMYFUNCTION("""COMPUTED_VALUE"""),44999.0)</f>
        <v>44999</v>
      </c>
      <c r="B96" s="14" t="str">
        <f>IFERROR(__xludf.DUMMYFUNCTION("""COMPUTED_VALUE"""),"Johan Alexander Escobar Arroyo ")</f>
        <v>Johan Alexander Escobar Arroyo </v>
      </c>
      <c r="C96" s="6" t="str">
        <f>IFERROR(__xludf.DUMMYFUNCTION("""COMPUTED_VALUE"""),"CALI")</f>
        <v>CALI</v>
      </c>
      <c r="D96" s="6" t="str">
        <f>IFERROR(__xludf.DUMMYFUNCTION("""COMPUTED_VALUE"""),"BOGOTÁ")</f>
        <v>BOGOTÁ</v>
      </c>
      <c r="E96" s="6" t="str">
        <f>IFERROR(__xludf.DUMMYFUNCTION("""COMPUTED_VALUE"""),"Evamazzita")</f>
        <v>Evamazzita</v>
      </c>
      <c r="F96" s="1" t="str">
        <f>IFERROR(__xludf.DUMMYFUNCTION("""COMPUTED_VALUE"""),"CALLE 44 No. 113 - 39  / APTO 505 TORRE C LAGOS DE LA BOCHA  / BARRIO BOCHALEMA")</f>
        <v>CALLE 44 No. 113 - 39  / APTO 505 TORRE C LAGOS DE LA BOCHA  / BARRIO BOCHALEMA</v>
      </c>
      <c r="G96" s="6" t="str">
        <f>IFERROR(__xludf.DUMMYFUNCTION("""COMPUTED_VALUE"""),"ALEXANDRA BARONA")</f>
        <v>ALEXANDRA BARONA</v>
      </c>
      <c r="H96" s="7">
        <f>IFERROR(__xludf.DUMMYFUNCTION("""COMPUTED_VALUE"""),8805.0)</f>
        <v>8805</v>
      </c>
      <c r="I96" s="7">
        <f>IFERROR(__xludf.DUMMYFUNCTION("""COMPUTED_VALUE"""),3.0)</f>
        <v>3</v>
      </c>
      <c r="J96" s="7">
        <f>IFERROR(__xludf.DUMMYFUNCTION("""COMPUTED_VALUE"""),20.0)</f>
        <v>20</v>
      </c>
      <c r="K96" s="7">
        <f>IFERROR(__xludf.DUMMYFUNCTION("""COMPUTED_VALUE"""),15.0)</f>
        <v>15</v>
      </c>
      <c r="L96" s="8">
        <f>IFERROR(__xludf.DUMMYFUNCTION("""COMPUTED_VALUE"""),3.044916743E9)</f>
        <v>3044916743</v>
      </c>
      <c r="M96" s="9" t="str">
        <f>IFERROR(__xludf.DUMMYFUNCTION("""COMPUTED_VALUE"""),"#REF!")</f>
        <v>#REF!</v>
      </c>
      <c r="N96" s="1"/>
      <c r="O96" s="3" t="str">
        <f>IFERROR(__xludf.DUMMYFUNCTION("""COMPUTED_VALUE"""),"")</f>
        <v/>
      </c>
      <c r="P96" s="9" t="b">
        <f>IFERROR(__xludf.DUMMYFUNCTION("""COMPUTED_VALUE"""),FALSE)</f>
        <v>0</v>
      </c>
      <c r="Q96" s="10" t="str">
        <f>IFERROR(__xludf.DUMMYFUNCTION("""COMPUTED_VALUE"""),"")</f>
        <v/>
      </c>
      <c r="R96" s="11" t="str">
        <f>IFERROR(__xludf.DUMMYFUNCTION("""COMPUTED_VALUE"""),"https://drive.google.com/file/d/1De4NDksmjCWGPQ5jUQuvT608Xw86-_MN/view?usp=drivesdk")</f>
        <v>https://drive.google.com/file/d/1De4NDksmjCWGPQ5jUQuvT608Xw86-_MN/view?usp=drivesdk</v>
      </c>
      <c r="S96" s="1" t="str">
        <f t="shared" si="2"/>
        <v/>
      </c>
      <c r="T96" s="1" t="str">
        <f t="shared" si="3"/>
        <v/>
      </c>
      <c r="U96" s="1" t="str">
        <f t="shared" si="4"/>
        <v/>
      </c>
      <c r="V96" s="1"/>
      <c r="W96" s="1"/>
      <c r="X96" s="1"/>
      <c r="Y96" s="1"/>
      <c r="Z96" s="8"/>
      <c r="AA96" s="1"/>
      <c r="AB96" s="1"/>
      <c r="AC96" s="1"/>
      <c r="AD96" s="1"/>
      <c r="AE96" s="1"/>
      <c r="AF96" s="1"/>
      <c r="AG96" s="1"/>
      <c r="AH96" s="1" t="str">
        <f t="shared" si="1"/>
        <v/>
      </c>
      <c r="AI96" s="1"/>
    </row>
    <row r="97">
      <c r="A97" s="5">
        <f>IFERROR(__xludf.DUMMYFUNCTION("""COMPUTED_VALUE"""),44999.0)</f>
        <v>44999</v>
      </c>
      <c r="B97" s="14" t="str">
        <f>IFERROR(__xludf.DUMMYFUNCTION("""COMPUTED_VALUE"""),"Johan Alexander Escobar Arroyo ")</f>
        <v>Johan Alexander Escobar Arroyo </v>
      </c>
      <c r="C97" s="6" t="str">
        <f>IFERROR(__xludf.DUMMYFUNCTION("""COMPUTED_VALUE"""),"CALI")</f>
        <v>CALI</v>
      </c>
      <c r="D97" s="6" t="str">
        <f>IFERROR(__xludf.DUMMYFUNCTION("""COMPUTED_VALUE"""),"BOGOTÁ")</f>
        <v>BOGOTÁ</v>
      </c>
      <c r="E97" s="6" t="str">
        <f>IFERROR(__xludf.DUMMYFUNCTION("""COMPUTED_VALUE"""),"Evamazzita")</f>
        <v>Evamazzita</v>
      </c>
      <c r="F97" s="1" t="str">
        <f>IFERROR(__xludf.DUMMYFUNCTION("""COMPUTED_VALUE"""),"Calle 44 norte #4n66  / N/A / La flora")</f>
        <v>Calle 44 norte #4n66  / N/A / La flora</v>
      </c>
      <c r="G97" s="6" t="str">
        <f>IFERROR(__xludf.DUMMYFUNCTION("""COMPUTED_VALUE"""),"ALEJANDRA PEREA")</f>
        <v>ALEJANDRA PEREA</v>
      </c>
      <c r="H97" s="7">
        <f>IFERROR(__xludf.DUMMYFUNCTION("""COMPUTED_VALUE"""),8809.0)</f>
        <v>8809</v>
      </c>
      <c r="I97" s="7">
        <f>IFERROR(__xludf.DUMMYFUNCTION("""COMPUTED_VALUE"""),3.0)</f>
        <v>3</v>
      </c>
      <c r="J97" s="7">
        <f>IFERROR(__xludf.DUMMYFUNCTION("""COMPUTED_VALUE"""),15.0)</f>
        <v>15</v>
      </c>
      <c r="K97" s="7">
        <f>IFERROR(__xludf.DUMMYFUNCTION("""COMPUTED_VALUE"""),20.0)</f>
        <v>20</v>
      </c>
      <c r="L97" s="8">
        <f>IFERROR(__xludf.DUMMYFUNCTION("""COMPUTED_VALUE"""),3.167524522E9)</f>
        <v>3167524522</v>
      </c>
      <c r="M97" s="9" t="str">
        <f>IFERROR(__xludf.DUMMYFUNCTION("""COMPUTED_VALUE"""),"#REF!")</f>
        <v>#REF!</v>
      </c>
      <c r="N97" s="1"/>
      <c r="O97" s="3" t="str">
        <f>IFERROR(__xludf.DUMMYFUNCTION("""COMPUTED_VALUE"""),"")</f>
        <v/>
      </c>
      <c r="P97" s="9" t="b">
        <f>IFERROR(__xludf.DUMMYFUNCTION("""COMPUTED_VALUE"""),FALSE)</f>
        <v>0</v>
      </c>
      <c r="Q97" s="10" t="str">
        <f>IFERROR(__xludf.DUMMYFUNCTION("""COMPUTED_VALUE"""),"")</f>
        <v/>
      </c>
      <c r="R97" s="11" t="str">
        <f>IFERROR(__xludf.DUMMYFUNCTION("""COMPUTED_VALUE"""),"https://drive.google.com/file/d/1HxNA8m9pZ4eID3GWdG0AIdEbFHBsDpzR/view?usp=drivesdk")</f>
        <v>https://drive.google.com/file/d/1HxNA8m9pZ4eID3GWdG0AIdEbFHBsDpzR/view?usp=drivesdk</v>
      </c>
      <c r="S97" s="1" t="str">
        <f t="shared" si="2"/>
        <v/>
      </c>
      <c r="T97" s="1" t="str">
        <f t="shared" si="3"/>
        <v/>
      </c>
      <c r="U97" s="1" t="str">
        <f t="shared" si="4"/>
        <v/>
      </c>
      <c r="V97" s="1"/>
      <c r="W97" s="1"/>
      <c r="X97" s="1"/>
      <c r="Y97" s="1"/>
      <c r="Z97" s="8"/>
      <c r="AA97" s="1"/>
      <c r="AB97" s="1"/>
      <c r="AC97" s="1"/>
      <c r="AD97" s="1"/>
      <c r="AE97" s="1"/>
      <c r="AF97" s="1"/>
      <c r="AG97" s="1"/>
      <c r="AH97" s="1" t="str">
        <f t="shared" si="1"/>
        <v/>
      </c>
      <c r="AI97" s="1"/>
    </row>
    <row r="98">
      <c r="A98" s="5">
        <f>IFERROR(__xludf.DUMMYFUNCTION("""COMPUTED_VALUE"""),44999.0)</f>
        <v>44999</v>
      </c>
      <c r="B98" s="14" t="str">
        <f>IFERROR(__xludf.DUMMYFUNCTION("""COMPUTED_VALUE"""),"Johan Alexander Escobar Arroyo ")</f>
        <v>Johan Alexander Escobar Arroyo </v>
      </c>
      <c r="C98" s="6" t="str">
        <f>IFERROR(__xludf.DUMMYFUNCTION("""COMPUTED_VALUE"""),"CALI")</f>
        <v>CALI</v>
      </c>
      <c r="D98" s="6" t="str">
        <f>IFERROR(__xludf.DUMMYFUNCTION("""COMPUTED_VALUE"""),"BOGOTÁ")</f>
        <v>BOGOTÁ</v>
      </c>
      <c r="E98" s="6" t="str">
        <f>IFERROR(__xludf.DUMMYFUNCTION("""COMPUTED_VALUE"""),"Evamazzita")</f>
        <v>Evamazzita</v>
      </c>
      <c r="F98" s="1" t="str">
        <f>IFERROR(__xludf.DUMMYFUNCTION("""COMPUTED_VALUE"""),"CALLE 62 No. 2E1 - 69  / APTO 201  / GUAYACANES")</f>
        <v>CALLE 62 No. 2E1 - 69  / APTO 201  / GUAYACANES</v>
      </c>
      <c r="G98" s="6" t="str">
        <f>IFERROR(__xludf.DUMMYFUNCTION("""COMPUTED_VALUE"""),"WILLMARIS CABARCAS")</f>
        <v>WILLMARIS CABARCAS</v>
      </c>
      <c r="H98" s="7">
        <f>IFERROR(__xludf.DUMMYFUNCTION("""COMPUTED_VALUE"""),8807.0)</f>
        <v>8807</v>
      </c>
      <c r="I98" s="7">
        <f>IFERROR(__xludf.DUMMYFUNCTION("""COMPUTED_VALUE"""),10.0)</f>
        <v>10</v>
      </c>
      <c r="J98" s="7">
        <f>IFERROR(__xludf.DUMMYFUNCTION("""COMPUTED_VALUE"""),18.0)</f>
        <v>18</v>
      </c>
      <c r="K98" s="7">
        <f>IFERROR(__xludf.DUMMYFUNCTION("""COMPUTED_VALUE"""),22.0)</f>
        <v>22</v>
      </c>
      <c r="L98" s="8">
        <f>IFERROR(__xludf.DUMMYFUNCTION("""COMPUTED_VALUE"""),3.022719424E9)</f>
        <v>3022719424</v>
      </c>
      <c r="M98" s="9" t="str">
        <f>IFERROR(__xludf.DUMMYFUNCTION("""COMPUTED_VALUE"""),"#REF!")</f>
        <v>#REF!</v>
      </c>
      <c r="N98" s="1"/>
      <c r="O98" s="3" t="str">
        <f>IFERROR(__xludf.DUMMYFUNCTION("""COMPUTED_VALUE"""),"")</f>
        <v/>
      </c>
      <c r="P98" s="9" t="b">
        <f>IFERROR(__xludf.DUMMYFUNCTION("""COMPUTED_VALUE"""),TRUE)</f>
        <v>1</v>
      </c>
      <c r="Q98" s="13">
        <f>IFERROR(__xludf.DUMMYFUNCTION("""COMPUTED_VALUE"""),44999.601034629624)</f>
        <v>44999.60103</v>
      </c>
      <c r="R98" s="11" t="str">
        <f>IFERROR(__xludf.DUMMYFUNCTION("""COMPUTED_VALUE"""),"https://drive.google.com/file/d/10JKbTJo8yqiHGW_dSPqmUE3TfZfM1OE-/view?usp=drivesdk")</f>
        <v>https://drive.google.com/file/d/10JKbTJo8yqiHGW_dSPqmUE3TfZfM1OE-/view?usp=drivesdk</v>
      </c>
      <c r="S98" s="1" t="str">
        <f t="shared" si="2"/>
        <v/>
      </c>
      <c r="T98" s="1" t="str">
        <f t="shared" si="3"/>
        <v/>
      </c>
      <c r="U98" s="1" t="str">
        <f t="shared" si="4"/>
        <v/>
      </c>
      <c r="V98" s="1"/>
      <c r="W98" s="1"/>
      <c r="X98" s="1"/>
      <c r="Y98" s="1"/>
      <c r="Z98" s="8"/>
      <c r="AA98" s="1"/>
      <c r="AB98" s="1"/>
      <c r="AC98" s="1"/>
      <c r="AD98" s="1"/>
      <c r="AE98" s="1"/>
      <c r="AF98" s="1"/>
      <c r="AG98" s="1"/>
      <c r="AH98" s="1" t="str">
        <f t="shared" si="1"/>
        <v/>
      </c>
      <c r="AI98" s="1"/>
    </row>
    <row r="99">
      <c r="A99" s="5">
        <f>IFERROR(__xludf.DUMMYFUNCTION("""COMPUTED_VALUE"""),44999.0)</f>
        <v>44999</v>
      </c>
      <c r="B99" s="14" t="str">
        <f>IFERROR(__xludf.DUMMYFUNCTION("""COMPUTED_VALUE"""),"Johan Alexander Escobar Arroyo ")</f>
        <v>Johan Alexander Escobar Arroyo </v>
      </c>
      <c r="C99" s="6" t="str">
        <f>IFERROR(__xludf.DUMMYFUNCTION("""COMPUTED_VALUE"""),"CALI")</f>
        <v>CALI</v>
      </c>
      <c r="D99" s="6" t="str">
        <f>IFERROR(__xludf.DUMMYFUNCTION("""COMPUTED_VALUE"""),"BOGOTÁ")</f>
        <v>BOGOTÁ</v>
      </c>
      <c r="E99" s="6" t="str">
        <f>IFERROR(__xludf.DUMMYFUNCTION("""COMPUTED_VALUE"""),"Evamazzita")</f>
        <v>Evamazzita</v>
      </c>
      <c r="F99" s="1" t="str">
        <f>IFERROR(__xludf.DUMMYFUNCTION("""COMPUTED_VALUE"""),"CRA 46C No. 55A - 15  / N/A / BARRIO CIUDAD CORDOBA")</f>
        <v>CRA 46C No. 55A - 15  / N/A / BARRIO CIUDAD CORDOBA</v>
      </c>
      <c r="G99" s="6" t="str">
        <f>IFERROR(__xludf.DUMMYFUNCTION("""COMPUTED_VALUE"""),"CLAUDIA CANTERO")</f>
        <v>CLAUDIA CANTERO</v>
      </c>
      <c r="H99" s="7">
        <f>IFERROR(__xludf.DUMMYFUNCTION("""COMPUTED_VALUE"""),8803.0)</f>
        <v>8803</v>
      </c>
      <c r="I99" s="7">
        <f>IFERROR(__xludf.DUMMYFUNCTION("""COMPUTED_VALUE"""),3.0)</f>
        <v>3</v>
      </c>
      <c r="J99" s="7">
        <f>IFERROR(__xludf.DUMMYFUNCTION("""COMPUTED_VALUE"""),20.0)</f>
        <v>20</v>
      </c>
      <c r="K99" s="7">
        <f>IFERROR(__xludf.DUMMYFUNCTION("""COMPUTED_VALUE"""),15.0)</f>
        <v>15</v>
      </c>
      <c r="L99" s="8">
        <f>IFERROR(__xludf.DUMMYFUNCTION("""COMPUTED_VALUE"""),3.176248548E9)</f>
        <v>3176248548</v>
      </c>
      <c r="M99" s="9" t="str">
        <f>IFERROR(__xludf.DUMMYFUNCTION("""COMPUTED_VALUE"""),"#REF!")</f>
        <v>#REF!</v>
      </c>
      <c r="N99" s="1"/>
      <c r="O99" s="3" t="str">
        <f>IFERROR(__xludf.DUMMYFUNCTION("""COMPUTED_VALUE"""),"")</f>
        <v/>
      </c>
      <c r="P99" s="9" t="b">
        <f>IFERROR(__xludf.DUMMYFUNCTION("""COMPUTED_VALUE"""),FALSE)</f>
        <v>0</v>
      </c>
      <c r="Q99" s="10" t="str">
        <f>IFERROR(__xludf.DUMMYFUNCTION("""COMPUTED_VALUE"""),"")</f>
        <v/>
      </c>
      <c r="R99" s="11" t="str">
        <f>IFERROR(__xludf.DUMMYFUNCTION("""COMPUTED_VALUE"""),"https://drive.google.com/file/d/1-QCSfzvEe0x4fX9Tv_2swaavQdY8wbfT/view?usp=drivesdk")</f>
        <v>https://drive.google.com/file/d/1-QCSfzvEe0x4fX9Tv_2swaavQdY8wbfT/view?usp=drivesdk</v>
      </c>
      <c r="S99" s="1" t="str">
        <f t="shared" si="2"/>
        <v/>
      </c>
      <c r="T99" s="1" t="str">
        <f t="shared" si="3"/>
        <v/>
      </c>
      <c r="U99" s="1" t="str">
        <f t="shared" si="4"/>
        <v/>
      </c>
      <c r="V99" s="1"/>
      <c r="W99" s="1"/>
      <c r="X99" s="1"/>
      <c r="Y99" s="1"/>
      <c r="Z99" s="8"/>
      <c r="AA99" s="1"/>
      <c r="AB99" s="1"/>
      <c r="AC99" s="1"/>
      <c r="AD99" s="1"/>
      <c r="AE99" s="1"/>
      <c r="AF99" s="1"/>
      <c r="AG99" s="1"/>
      <c r="AH99" s="1" t="str">
        <f t="shared" si="1"/>
        <v/>
      </c>
      <c r="AI99" s="1"/>
    </row>
    <row r="100">
      <c r="A100" s="5">
        <f>IFERROR(__xludf.DUMMYFUNCTION("""COMPUTED_VALUE"""),44999.0)</f>
        <v>44999</v>
      </c>
      <c r="B100" s="14" t="str">
        <f>IFERROR(__xludf.DUMMYFUNCTION("""COMPUTED_VALUE"""),"Johan Alexander Escobar Arroyo ")</f>
        <v>Johan Alexander Escobar Arroyo </v>
      </c>
      <c r="C100" s="6" t="str">
        <f>IFERROR(__xludf.DUMMYFUNCTION("""COMPUTED_VALUE"""),"CALI")</f>
        <v>CALI</v>
      </c>
      <c r="D100" s="6" t="str">
        <f>IFERROR(__xludf.DUMMYFUNCTION("""COMPUTED_VALUE"""),"BOGOTÁ")</f>
        <v>BOGOTÁ</v>
      </c>
      <c r="E100" s="6" t="str">
        <f>IFERROR(__xludf.DUMMYFUNCTION("""COMPUTED_VALUE"""),"Evamazzita")</f>
        <v>Evamazzita</v>
      </c>
      <c r="F100" s="1" t="str">
        <f>IFERROR(__xludf.DUMMYFUNCTION("""COMPUTED_VALUE"""),"cra 89# 18-61  / casa 81  / villas de san joaquin 1")</f>
        <v>cra 89# 18-61  / casa 81  / villas de san joaquin 1</v>
      </c>
      <c r="G100" s="6" t="str">
        <f>IFERROR(__xludf.DUMMYFUNCTION("""COMPUTED_VALUE"""),"TATIANA GONZALEZ")</f>
        <v>TATIANA GONZALEZ</v>
      </c>
      <c r="H100" s="7">
        <f>IFERROR(__xludf.DUMMYFUNCTION("""COMPUTED_VALUE"""),8804.0)</f>
        <v>8804</v>
      </c>
      <c r="I100" s="7">
        <f>IFERROR(__xludf.DUMMYFUNCTION("""COMPUTED_VALUE"""),3.0)</f>
        <v>3</v>
      </c>
      <c r="J100" s="7">
        <f>IFERROR(__xludf.DUMMYFUNCTION("""COMPUTED_VALUE"""),20.0)</f>
        <v>20</v>
      </c>
      <c r="K100" s="7">
        <f>IFERROR(__xludf.DUMMYFUNCTION("""COMPUTED_VALUE"""),15.0)</f>
        <v>15</v>
      </c>
      <c r="L100" s="8">
        <f>IFERROR(__xludf.DUMMYFUNCTION("""COMPUTED_VALUE"""),3.104643005E9)</f>
        <v>3104643005</v>
      </c>
      <c r="M100" s="9" t="str">
        <f>IFERROR(__xludf.DUMMYFUNCTION("""COMPUTED_VALUE"""),"#REF!")</f>
        <v>#REF!</v>
      </c>
      <c r="N100" s="1"/>
      <c r="O100" s="3" t="str">
        <f>IFERROR(__xludf.DUMMYFUNCTION("""COMPUTED_VALUE"""),"")</f>
        <v/>
      </c>
      <c r="P100" s="9" t="b">
        <f>IFERROR(__xludf.DUMMYFUNCTION("""COMPUTED_VALUE"""),FALSE)</f>
        <v>0</v>
      </c>
      <c r="Q100" s="10" t="str">
        <f>IFERROR(__xludf.DUMMYFUNCTION("""COMPUTED_VALUE"""),"")</f>
        <v/>
      </c>
      <c r="R100" s="11" t="str">
        <f>IFERROR(__xludf.DUMMYFUNCTION("""COMPUTED_VALUE"""),"https://drive.google.com/file/d/11pnMuH3RlItGQQmLiA2UJ-lJMEPIRnLo/view?usp=drivesdk")</f>
        <v>https://drive.google.com/file/d/11pnMuH3RlItGQQmLiA2UJ-lJMEPIRnLo/view?usp=drivesdk</v>
      </c>
      <c r="S100" s="1" t="str">
        <f t="shared" si="2"/>
        <v/>
      </c>
      <c r="T100" s="1" t="str">
        <f t="shared" si="3"/>
        <v/>
      </c>
      <c r="U100" s="1" t="str">
        <f t="shared" si="4"/>
        <v/>
      </c>
      <c r="V100" s="1"/>
      <c r="W100" s="1"/>
      <c r="X100" s="1"/>
      <c r="Y100" s="1"/>
      <c r="Z100" s="8"/>
      <c r="AA100" s="1"/>
      <c r="AB100" s="1"/>
      <c r="AC100" s="1"/>
      <c r="AD100" s="1"/>
      <c r="AE100" s="1"/>
      <c r="AF100" s="1"/>
      <c r="AG100" s="1"/>
      <c r="AH100" s="1" t="str">
        <f t="shared" si="1"/>
        <v/>
      </c>
      <c r="AI100" s="1"/>
    </row>
    <row r="101">
      <c r="A101" s="5">
        <f>IFERROR(__xludf.DUMMYFUNCTION("""COMPUTED_VALUE"""),44999.0)</f>
        <v>44999</v>
      </c>
      <c r="B101" s="14" t="str">
        <f>IFERROR(__xludf.DUMMYFUNCTION("""COMPUTED_VALUE"""),"Johan Alexander Escobar Arroyo ")</f>
        <v>Johan Alexander Escobar Arroyo </v>
      </c>
      <c r="C101" s="6" t="str">
        <f>IFERROR(__xludf.DUMMYFUNCTION("""COMPUTED_VALUE"""),"CALI")</f>
        <v>CALI</v>
      </c>
      <c r="D101" s="6" t="str">
        <f>IFERROR(__xludf.DUMMYFUNCTION("""COMPUTED_VALUE"""),"BOGOTÁ")</f>
        <v>BOGOTÁ</v>
      </c>
      <c r="E101" s="6" t="str">
        <f>IFERROR(__xludf.DUMMYFUNCTION("""COMPUTED_VALUE"""),"Frambascolombia sas")</f>
        <v>Frambascolombia sas</v>
      </c>
      <c r="F101" s="1" t="str">
        <f>IFERROR(__xludf.DUMMYFUNCTION("""COMPUTED_VALUE"""),"Av 5a Nte. # 25n18")</f>
        <v>Av 5a Nte. # 25n18</v>
      </c>
      <c r="G101" s="6" t="str">
        <f>IFERROR(__xludf.DUMMYFUNCTION("""COMPUTED_VALUE"""),"PikNPak Cali")</f>
        <v>PikNPak Cali</v>
      </c>
      <c r="H101" s="7">
        <f>IFERROR(__xludf.DUMMYFUNCTION("""COMPUTED_VALUE"""),8581.0)</f>
        <v>8581</v>
      </c>
      <c r="I101" s="2" t="str">
        <f>IFERROR(__xludf.DUMMYFUNCTION("""COMPUTED_VALUE"""),"52.5")</f>
        <v>52.5</v>
      </c>
      <c r="J101" s="7">
        <f>IFERROR(__xludf.DUMMYFUNCTION("""COMPUTED_VALUE"""),45.0)</f>
        <v>45</v>
      </c>
      <c r="K101" s="7">
        <f>IFERROR(__xludf.DUMMYFUNCTION("""COMPUTED_VALUE"""),55.0)</f>
        <v>55</v>
      </c>
      <c r="L101" s="1" t="str">
        <f>IFERROR(__xludf.DUMMYFUNCTION("""COMPUTED_VALUE"""),"321 4229567")</f>
        <v>321 4229567</v>
      </c>
      <c r="M101" s="9" t="str">
        <f>IFERROR(__xludf.DUMMYFUNCTION("""COMPUTED_VALUE"""),"#REF!")</f>
        <v>#REF!</v>
      </c>
      <c r="N101" s="1"/>
      <c r="O101" s="3" t="str">
        <f>IFERROR(__xludf.DUMMYFUNCTION("""COMPUTED_VALUE"""),"")</f>
        <v/>
      </c>
      <c r="P101" s="9" t="b">
        <f>IFERROR(__xludf.DUMMYFUNCTION("""COMPUTED_VALUE"""),FALSE)</f>
        <v>0</v>
      </c>
      <c r="Q101" s="10" t="str">
        <f>IFERROR(__xludf.DUMMYFUNCTION("""COMPUTED_VALUE"""),"")</f>
        <v/>
      </c>
      <c r="R101" s="12" t="str">
        <f>IFERROR(__xludf.DUMMYFUNCTION("""COMPUTED_VALUE"""),"")</f>
        <v/>
      </c>
      <c r="S101" s="1" t="str">
        <f t="shared" si="2"/>
        <v/>
      </c>
      <c r="T101" s="1" t="str">
        <f t="shared" si="3"/>
        <v/>
      </c>
      <c r="U101" s="1" t="str">
        <f t="shared" si="4"/>
        <v/>
      </c>
      <c r="V101" s="1"/>
      <c r="W101" s="1"/>
      <c r="X101" s="1"/>
      <c r="Y101" s="1"/>
      <c r="Z101" s="8"/>
      <c r="AA101" s="1"/>
      <c r="AB101" s="1"/>
      <c r="AC101" s="1"/>
      <c r="AD101" s="1"/>
      <c r="AE101" s="1"/>
      <c r="AF101" s="1"/>
      <c r="AG101" s="1"/>
      <c r="AH101" s="1" t="str">
        <f t="shared" si="1"/>
        <v/>
      </c>
      <c r="AI101" s="1"/>
    </row>
    <row r="102">
      <c r="A102" s="5">
        <f>IFERROR(__xludf.DUMMYFUNCTION("""COMPUTED_VALUE"""),44999.0)</f>
        <v>44999</v>
      </c>
      <c r="B102" s="14" t="str">
        <f>IFERROR(__xludf.DUMMYFUNCTION("""COMPUTED_VALUE"""),"Johan Alexander Escobar Arroyo ")</f>
        <v>Johan Alexander Escobar Arroyo </v>
      </c>
      <c r="C102" s="6" t="str">
        <f>IFERROR(__xludf.DUMMYFUNCTION("""COMPUTED_VALUE"""),"CALI")</f>
        <v>CALI</v>
      </c>
      <c r="D102" s="6" t="str">
        <f>IFERROR(__xludf.DUMMYFUNCTION("""COMPUTED_VALUE"""),"BOGOTÁ")</f>
        <v>BOGOTÁ</v>
      </c>
      <c r="E102" s="6" t="str">
        <f>IFERROR(__xludf.DUMMYFUNCTION("""COMPUTED_VALUE"""),"Frubits")</f>
        <v>Frubits</v>
      </c>
      <c r="F102" s="1" t="str">
        <f>IFERROR(__xludf.DUMMYFUNCTION("""COMPUTED_VALUE"""),"Carrera 3 oeste Nro 9-198 apto 808A Edificio Altos de Árboleda  / Carrera 3 oeste Nro 9-198 apto 808A Edificio Altos de Árboleda  / Carrera 3 oeste Nro 9-198 apto 808A Edificio Altos de Árboleda")</f>
        <v>Carrera 3 oeste Nro 9-198 apto 808A Edificio Altos de Árboleda  / Carrera 3 oeste Nro 9-198 apto 808A Edificio Altos de Árboleda  / Carrera 3 oeste Nro 9-198 apto 808A Edificio Altos de Árboleda</v>
      </c>
      <c r="G102" s="6" t="str">
        <f>IFERROR(__xludf.DUMMYFUNCTION("""COMPUTED_VALUE"""),"Nicolas Arcos")</f>
        <v>Nicolas Arcos</v>
      </c>
      <c r="H102" s="7">
        <f>IFERROR(__xludf.DUMMYFUNCTION("""COMPUTED_VALUE"""),8775.0)</f>
        <v>8775</v>
      </c>
      <c r="I102" s="7">
        <f>IFERROR(__xludf.DUMMYFUNCTION("""COMPUTED_VALUE"""),100.0)</f>
        <v>100</v>
      </c>
      <c r="J102" s="7">
        <f>IFERROR(__xludf.DUMMYFUNCTION("""COMPUTED_VALUE"""),10.0)</f>
        <v>10</v>
      </c>
      <c r="K102" s="7">
        <f>IFERROR(__xludf.DUMMYFUNCTION("""COMPUTED_VALUE"""),12.0)</f>
        <v>12</v>
      </c>
      <c r="L102" s="8">
        <f>IFERROR(__xludf.DUMMYFUNCTION("""COMPUTED_VALUE"""),3.146164919E9)</f>
        <v>3146164919</v>
      </c>
      <c r="M102" s="9" t="str">
        <f>IFERROR(__xludf.DUMMYFUNCTION("""COMPUTED_VALUE"""),"#REF!")</f>
        <v>#REF!</v>
      </c>
      <c r="N102" s="1"/>
      <c r="O102" s="3" t="str">
        <f>IFERROR(__xludf.DUMMYFUNCTION("""COMPUTED_VALUE"""),"")</f>
        <v/>
      </c>
      <c r="P102" s="9" t="b">
        <f>IFERROR(__xludf.DUMMYFUNCTION("""COMPUTED_VALUE"""),FALSE)</f>
        <v>0</v>
      </c>
      <c r="Q102" s="10" t="str">
        <f>IFERROR(__xludf.DUMMYFUNCTION("""COMPUTED_VALUE"""),"")</f>
        <v/>
      </c>
      <c r="R102" s="11" t="str">
        <f>IFERROR(__xludf.DUMMYFUNCTION("""COMPUTED_VALUE"""),"https://drive.google.com/file/d/1JOZDSK9p4UImFWuxf9Zs9vDVyvt7GlpJ/view?usp=drivesdk")</f>
        <v>https://drive.google.com/file/d/1JOZDSK9p4UImFWuxf9Zs9vDVyvt7GlpJ/view?usp=drivesdk</v>
      </c>
      <c r="S102" s="1" t="str">
        <f t="shared" si="2"/>
        <v/>
      </c>
      <c r="T102" s="1" t="str">
        <f t="shared" si="3"/>
        <v/>
      </c>
      <c r="U102" s="1" t="str">
        <f t="shared" si="4"/>
        <v/>
      </c>
      <c r="V102" s="1"/>
      <c r="W102" s="1"/>
      <c r="X102" s="1"/>
      <c r="Y102" s="1"/>
      <c r="Z102" s="8"/>
      <c r="AA102" s="1"/>
      <c r="AB102" s="1"/>
      <c r="AC102" s="1"/>
      <c r="AD102" s="1"/>
      <c r="AE102" s="1"/>
      <c r="AF102" s="1"/>
      <c r="AG102" s="1"/>
      <c r="AH102" s="1" t="str">
        <f t="shared" si="1"/>
        <v/>
      </c>
      <c r="AI102" s="1"/>
    </row>
    <row r="103">
      <c r="A103" s="5">
        <f>IFERROR(__xludf.DUMMYFUNCTION("""COMPUTED_VALUE"""),44999.0)</f>
        <v>44999</v>
      </c>
      <c r="B103" s="14" t="str">
        <f>IFERROR(__xludf.DUMMYFUNCTION("""COMPUTED_VALUE"""),"Johan Alexander Escobar Arroyo ")</f>
        <v>Johan Alexander Escobar Arroyo </v>
      </c>
      <c r="C103" s="6" t="str">
        <f>IFERROR(__xludf.DUMMYFUNCTION("""COMPUTED_VALUE"""),"CALI")</f>
        <v>CALI</v>
      </c>
      <c r="D103" s="6" t="str">
        <f>IFERROR(__xludf.DUMMYFUNCTION("""COMPUTED_VALUE"""),"BOGOTÁ")</f>
        <v>BOGOTÁ</v>
      </c>
      <c r="E103" s="6" t="str">
        <f>IFERROR(__xludf.DUMMYFUNCTION("""COMPUTED_VALUE"""),"Ser Fit")</f>
        <v>Ser Fit</v>
      </c>
      <c r="F103" s="1" t="str">
        <f>IFERROR(__xludf.DUMMYFUNCTION("""COMPUTED_VALUE"""),"Av 4 norte 7 - 96 centro comercial centenario cali valle / Local 129 / Centro comercial centenario cali valle")</f>
        <v>Av 4 norte 7 - 96 centro comercial centenario cali valle / Local 129 / Centro comercial centenario cali valle</v>
      </c>
      <c r="G103" s="6" t="str">
        <f>IFERROR(__xludf.DUMMYFUNCTION("""COMPUTED_VALUE"""),"Vitafitnnes")</f>
        <v>Vitafitnnes</v>
      </c>
      <c r="H103" s="7">
        <f>IFERROR(__xludf.DUMMYFUNCTION("""COMPUTED_VALUE"""),8800.0)</f>
        <v>8800</v>
      </c>
      <c r="I103" s="7">
        <f>IFERROR(__xludf.DUMMYFUNCTION("""COMPUTED_VALUE"""),5.0)</f>
        <v>5</v>
      </c>
      <c r="J103" s="7">
        <f>IFERROR(__xludf.DUMMYFUNCTION("""COMPUTED_VALUE"""),5.0)</f>
        <v>5</v>
      </c>
      <c r="K103" s="7">
        <f>IFERROR(__xludf.DUMMYFUNCTION("""COMPUTED_VALUE"""),15.0)</f>
        <v>15</v>
      </c>
      <c r="L103" s="8">
        <f>IFERROR(__xludf.DUMMYFUNCTION("""COMPUTED_VALUE"""),3.20443232E9)</f>
        <v>3204432320</v>
      </c>
      <c r="M103" s="9" t="str">
        <f>IFERROR(__xludf.DUMMYFUNCTION("""COMPUTED_VALUE"""),"#REF!")</f>
        <v>#REF!</v>
      </c>
      <c r="N103" s="1"/>
      <c r="O103" s="3" t="str">
        <f>IFERROR(__xludf.DUMMYFUNCTION("""COMPUTED_VALUE"""),"")</f>
        <v/>
      </c>
      <c r="P103" s="9" t="b">
        <f>IFERROR(__xludf.DUMMYFUNCTION("""COMPUTED_VALUE"""),FALSE)</f>
        <v>0</v>
      </c>
      <c r="Q103" s="10" t="str">
        <f>IFERROR(__xludf.DUMMYFUNCTION("""COMPUTED_VALUE"""),"")</f>
        <v/>
      </c>
      <c r="R103" s="11" t="str">
        <f>IFERROR(__xludf.DUMMYFUNCTION("""COMPUTED_VALUE"""),"https://drive.google.com/file/d/1KchO7Zg0pKKC9CSic4SfGCxXu9solQl5/view?usp=drivesdk")</f>
        <v>https://drive.google.com/file/d/1KchO7Zg0pKKC9CSic4SfGCxXu9solQl5/view?usp=drivesdk</v>
      </c>
      <c r="S103" s="1" t="str">
        <f t="shared" si="2"/>
        <v/>
      </c>
      <c r="T103" s="1" t="str">
        <f t="shared" si="3"/>
        <v/>
      </c>
      <c r="U103" s="1" t="str">
        <f t="shared" si="4"/>
        <v/>
      </c>
      <c r="V103" s="1"/>
      <c r="W103" s="1"/>
      <c r="X103" s="1"/>
      <c r="Y103" s="1"/>
      <c r="Z103" s="8"/>
      <c r="AA103" s="1"/>
      <c r="AB103" s="1"/>
      <c r="AC103" s="1"/>
      <c r="AD103" s="1"/>
      <c r="AE103" s="1"/>
      <c r="AF103" s="1"/>
      <c r="AG103" s="1"/>
      <c r="AH103" s="1" t="str">
        <f t="shared" si="1"/>
        <v/>
      </c>
      <c r="AI103" s="1"/>
    </row>
    <row r="104">
      <c r="A104" s="5">
        <f>IFERROR(__xludf.DUMMYFUNCTION("""COMPUTED_VALUE"""),44999.0)</f>
        <v>44999</v>
      </c>
      <c r="B104" s="14" t="str">
        <f>IFERROR(__xludf.DUMMYFUNCTION("""COMPUTED_VALUE"""),"Johan Alexander Escobar Arroyo ")</f>
        <v>Johan Alexander Escobar Arroyo </v>
      </c>
      <c r="C104" s="6" t="str">
        <f>IFERROR(__xludf.DUMMYFUNCTION("""COMPUTED_VALUE"""),"IBAGUÉ")</f>
        <v>IBAGUÉ</v>
      </c>
      <c r="D104" s="6" t="str">
        <f>IFERROR(__xludf.DUMMYFUNCTION("""COMPUTED_VALUE"""),"BOGOTÁ")</f>
        <v>BOGOTÁ</v>
      </c>
      <c r="E104" s="6" t="str">
        <f>IFERROR(__xludf.DUMMYFUNCTION("""COMPUTED_VALUE"""),"Lunchy Kids")</f>
        <v>Lunchy Kids</v>
      </c>
      <c r="F104" s="1" t="str">
        <f>IFERROR(__xludf.DUMMYFUNCTION("""COMPUTED_VALUE"""),"Mz A Casa 30 / Piso tres. Cerca la usi de Ricaurte. / Albania 2")</f>
        <v>Mz A Casa 30 / Piso tres. Cerca la usi de Ricaurte. / Albania 2</v>
      </c>
      <c r="G104" s="6" t="str">
        <f>IFERROR(__xludf.DUMMYFUNCTION("""COMPUTED_VALUE"""),"Naida Vivas")</f>
        <v>Naida Vivas</v>
      </c>
      <c r="H104" s="7">
        <f>IFERROR(__xludf.DUMMYFUNCTION("""COMPUTED_VALUE"""),8768.0)</f>
        <v>8768</v>
      </c>
      <c r="I104" s="7">
        <f>IFERROR(__xludf.DUMMYFUNCTION("""COMPUTED_VALUE"""),18.0)</f>
        <v>18</v>
      </c>
      <c r="J104" s="7">
        <f>IFERROR(__xludf.DUMMYFUNCTION("""COMPUTED_VALUE"""),30.0)</f>
        <v>30</v>
      </c>
      <c r="K104" s="7">
        <f>IFERROR(__xludf.DUMMYFUNCTION("""COMPUTED_VALUE"""),38.0)</f>
        <v>38</v>
      </c>
      <c r="L104" s="8">
        <f>IFERROR(__xludf.DUMMYFUNCTION("""COMPUTED_VALUE"""),3.016304201E9)</f>
        <v>3016304201</v>
      </c>
      <c r="M104" s="9" t="str">
        <f>IFERROR(__xludf.DUMMYFUNCTION("""COMPUTED_VALUE"""),"#REF!")</f>
        <v>#REF!</v>
      </c>
      <c r="N104" s="1"/>
      <c r="O104" s="3" t="str">
        <f>IFERROR(__xludf.DUMMYFUNCTION("""COMPUTED_VALUE"""),"")</f>
        <v/>
      </c>
      <c r="P104" s="9" t="b">
        <f>IFERROR(__xludf.DUMMYFUNCTION("""COMPUTED_VALUE"""),TRUE)</f>
        <v>1</v>
      </c>
      <c r="Q104" s="13">
        <f>IFERROR(__xludf.DUMMYFUNCTION("""COMPUTED_VALUE"""),44999.65652496528)</f>
        <v>44999.65652</v>
      </c>
      <c r="R104" s="11" t="str">
        <f>IFERROR(__xludf.DUMMYFUNCTION("""COMPUTED_VALUE"""),"https://drive.google.com/file/d/1It_QxT_VfuP2Gfpjggl-jt2m5F8kbAWe/view?usp=drivesdk")</f>
        <v>https://drive.google.com/file/d/1It_QxT_VfuP2Gfpjggl-jt2m5F8kbAWe/view?usp=drivesdk</v>
      </c>
      <c r="S104" s="1" t="str">
        <f t="shared" si="2"/>
        <v/>
      </c>
      <c r="T104" s="1" t="str">
        <f t="shared" si="3"/>
        <v/>
      </c>
      <c r="U104" s="1" t="str">
        <f t="shared" si="4"/>
        <v/>
      </c>
      <c r="V104" s="1"/>
      <c r="W104" s="1"/>
      <c r="X104" s="1"/>
      <c r="Y104" s="1"/>
      <c r="Z104" s="8"/>
      <c r="AA104" s="1"/>
      <c r="AB104" s="1"/>
      <c r="AC104" s="1"/>
      <c r="AD104" s="1"/>
      <c r="AE104" s="1"/>
      <c r="AF104" s="1"/>
      <c r="AG104" s="1"/>
      <c r="AH104" s="1" t="str">
        <f t="shared" si="1"/>
        <v/>
      </c>
      <c r="AI104" s="1"/>
    </row>
    <row r="105">
      <c r="A105" s="5">
        <f>IFERROR(__xludf.DUMMYFUNCTION("""COMPUTED_VALUE"""),44999.0)</f>
        <v>44999</v>
      </c>
      <c r="B105" s="14" t="str">
        <f>IFERROR(__xludf.DUMMYFUNCTION("""COMPUTED_VALUE"""),"Johan Alexander Escobar Arroyo ")</f>
        <v>Johan Alexander Escobar Arroyo </v>
      </c>
      <c r="C105" s="6" t="str">
        <f>IFERROR(__xludf.DUMMYFUNCTION("""COMPUTED_VALUE"""),"IBAGUÉ")</f>
        <v>IBAGUÉ</v>
      </c>
      <c r="D105" s="6" t="str">
        <f>IFERROR(__xludf.DUMMYFUNCTION("""COMPUTED_VALUE"""),"BOGOTÁ")</f>
        <v>BOGOTÁ</v>
      </c>
      <c r="E105" s="6" t="str">
        <f>IFERROR(__xludf.DUMMYFUNCTION("""COMPUTED_VALUE"""),"Mochi")</f>
        <v>Mochi</v>
      </c>
      <c r="F105" s="1" t="str">
        <f>IFERROR(__xludf.DUMMYFUNCTION("""COMPUTED_VALUE"""),"CL 60 12 224 / centro comercial  / centro comercial")</f>
        <v>CL 60 12 224 / centro comercial  / centro comercial</v>
      </c>
      <c r="G105" s="6" t="str">
        <f>IFERROR(__xludf.DUMMYFUNCTION("""COMPUTED_VALUE"""),"Diego")</f>
        <v>Diego</v>
      </c>
      <c r="H105" s="7">
        <f>IFERROR(__xludf.DUMMYFUNCTION("""COMPUTED_VALUE"""),8856.0)</f>
        <v>8856</v>
      </c>
      <c r="I105" s="7">
        <f>IFERROR(__xludf.DUMMYFUNCTION("""COMPUTED_VALUE"""),55.0)</f>
        <v>55</v>
      </c>
      <c r="J105" s="7">
        <f>IFERROR(__xludf.DUMMYFUNCTION("""COMPUTED_VALUE"""),45.0)</f>
        <v>45</v>
      </c>
      <c r="K105" s="2" t="str">
        <f>IFERROR(__xludf.DUMMYFUNCTION("""COMPUTED_VALUE"""),"52.5")</f>
        <v>52.5</v>
      </c>
      <c r="L105" s="8">
        <f>IFERROR(__xludf.DUMMYFUNCTION("""COMPUTED_VALUE"""),3.152686881E9)</f>
        <v>3152686881</v>
      </c>
      <c r="M105" s="9" t="str">
        <f>IFERROR(__xludf.DUMMYFUNCTION("""COMPUTED_VALUE"""),"#REF!")</f>
        <v>#REF!</v>
      </c>
      <c r="N105" s="1"/>
      <c r="O105" s="3" t="str">
        <f>IFERROR(__xludf.DUMMYFUNCTION("""COMPUTED_VALUE"""),"")</f>
        <v/>
      </c>
      <c r="P105" s="9" t="b">
        <f>IFERROR(__xludf.DUMMYFUNCTION("""COMPUTED_VALUE"""),TRUE)</f>
        <v>1</v>
      </c>
      <c r="Q105" s="13">
        <f>IFERROR(__xludf.DUMMYFUNCTION("""COMPUTED_VALUE"""),44999.65653684028)</f>
        <v>44999.65654</v>
      </c>
      <c r="R105" s="12" t="str">
        <f>IFERROR(__xludf.DUMMYFUNCTION("""COMPUTED_VALUE"""),"")</f>
        <v/>
      </c>
      <c r="S105" s="1" t="str">
        <f t="shared" si="2"/>
        <v/>
      </c>
      <c r="T105" s="1" t="str">
        <f t="shared" si="3"/>
        <v/>
      </c>
      <c r="U105" s="1" t="str">
        <f t="shared" si="4"/>
        <v/>
      </c>
      <c r="V105" s="1"/>
      <c r="W105" s="1"/>
      <c r="X105" s="1"/>
      <c r="Y105" s="1"/>
      <c r="Z105" s="8"/>
      <c r="AA105" s="1"/>
      <c r="AB105" s="1"/>
      <c r="AC105" s="1"/>
      <c r="AD105" s="1"/>
      <c r="AE105" s="1"/>
      <c r="AF105" s="1"/>
      <c r="AG105" s="1"/>
      <c r="AH105" s="1" t="str">
        <f t="shared" si="1"/>
        <v/>
      </c>
      <c r="AI105" s="1"/>
    </row>
    <row r="106">
      <c r="A106" s="1" t="str">
        <f>IFERROR(__xludf.DUMMYFUNCTION("""COMPUTED_VALUE"""),"")</f>
        <v/>
      </c>
      <c r="B106" s="1" t="str">
        <f>IFERROR(__xludf.DUMMYFUNCTION("""COMPUTED_VALUE"""),"")</f>
        <v/>
      </c>
      <c r="C106" s="1" t="str">
        <f>IFERROR(__xludf.DUMMYFUNCTION("""COMPUTED_VALUE"""),"")</f>
        <v/>
      </c>
      <c r="D106" s="1" t="str">
        <f>IFERROR(__xludf.DUMMYFUNCTION("""COMPUTED_VALUE"""),"")</f>
        <v/>
      </c>
      <c r="E106" s="1" t="str">
        <f>IFERROR(__xludf.DUMMYFUNCTION("""COMPUTED_VALUE"""),"")</f>
        <v/>
      </c>
      <c r="F106" s="1" t="str">
        <f>IFERROR(__xludf.DUMMYFUNCTION("""COMPUTED_VALUE"""),"")</f>
        <v/>
      </c>
      <c r="G106" s="1" t="str">
        <f>IFERROR(__xludf.DUMMYFUNCTION("""COMPUTED_VALUE"""),"")</f>
        <v/>
      </c>
      <c r="H106" s="1" t="str">
        <f>IFERROR(__xludf.DUMMYFUNCTION("""COMPUTED_VALUE"""),"")</f>
        <v/>
      </c>
      <c r="I106" s="1" t="str">
        <f>IFERROR(__xludf.DUMMYFUNCTION("""COMPUTED_VALUE"""),"")</f>
        <v/>
      </c>
      <c r="J106" s="1" t="str">
        <f>IFERROR(__xludf.DUMMYFUNCTION("""COMPUTED_VALUE"""),"")</f>
        <v/>
      </c>
      <c r="K106" s="1" t="str">
        <f>IFERROR(__xludf.DUMMYFUNCTION("""COMPUTED_VALUE"""),"")</f>
        <v/>
      </c>
      <c r="L106" s="1" t="str">
        <f>IFERROR(__xludf.DUMMYFUNCTION("""COMPUTED_VALUE"""),"")</f>
        <v/>
      </c>
      <c r="M106" s="1" t="str">
        <f>IFERROR(__xludf.DUMMYFUNCTION("""COMPUTED_VALUE"""),"")</f>
        <v/>
      </c>
      <c r="N106" s="1" t="str">
        <f>IFERROR(__xludf.DUMMYFUNCTION("""COMPUTED_VALUE"""),"")</f>
        <v/>
      </c>
      <c r="O106" s="1" t="str">
        <f>IFERROR(__xludf.DUMMYFUNCTION("""COMPUTED_VALUE"""),"")</f>
        <v/>
      </c>
      <c r="P106" s="1" t="str">
        <f>IFERROR(__xludf.DUMMYFUNCTION("""COMPUTED_VALUE"""),"")</f>
        <v/>
      </c>
      <c r="Q106" s="1" t="str">
        <f>IFERROR(__xludf.DUMMYFUNCTION("""COMPUTED_VALUE"""),"")</f>
        <v/>
      </c>
      <c r="R106" s="1" t="str">
        <f>IFERROR(__xludf.DUMMYFUNCTION("""COMPUTED_VALUE"""),"")</f>
        <v/>
      </c>
      <c r="S106" s="1" t="str">
        <f t="shared" si="2"/>
        <v/>
      </c>
      <c r="T106" s="1" t="str">
        <f t="shared" si="3"/>
        <v/>
      </c>
      <c r="U106" s="1" t="str">
        <f t="shared" si="4"/>
        <v/>
      </c>
      <c r="V106" s="1"/>
      <c r="W106" s="1"/>
      <c r="X106" s="1"/>
      <c r="Y106" s="1"/>
      <c r="Z106" s="8"/>
      <c r="AA106" s="1"/>
      <c r="AB106" s="1"/>
      <c r="AC106" s="1"/>
      <c r="AD106" s="1"/>
      <c r="AE106" s="1"/>
      <c r="AF106" s="1"/>
      <c r="AG106" s="1"/>
      <c r="AH106" s="1" t="str">
        <f t="shared" si="1"/>
        <v/>
      </c>
      <c r="AI106" s="1"/>
    </row>
    <row r="107">
      <c r="A107" s="5">
        <f>IFERROR(__xludf.DUMMYFUNCTION("""COMPUTED_VALUE"""),44999.0)</f>
        <v>44999</v>
      </c>
      <c r="B107" s="14" t="str">
        <f>IFERROR(__xludf.DUMMYFUNCTION("""COMPUTED_VALUE"""),"Jonathan Steven Taborda")</f>
        <v>Jonathan Steven Taborda</v>
      </c>
      <c r="C107" s="6" t="str">
        <f>IFERROR(__xludf.DUMMYFUNCTION("""COMPUTED_VALUE"""),"BOGOTÁ")</f>
        <v>BOGOTÁ</v>
      </c>
      <c r="D107" s="6" t="str">
        <f>IFERROR(__xludf.DUMMYFUNCTION("""COMPUTED_VALUE"""),"MEDELLÍN")</f>
        <v>MEDELLÍN</v>
      </c>
      <c r="E107" s="6" t="str">
        <f>IFERROR(__xludf.DUMMYFUNCTION("""COMPUTED_VALUE"""),"Helados swip")</f>
        <v>Helados swip</v>
      </c>
      <c r="F107" s="1" t="str">
        <f>IFERROR(__xludf.DUMMYFUNCTION("""COMPUTED_VALUE"""),"CALLE 71 # 4-55  / FIT MARKET TIENDA 71  / ROSALES")</f>
        <v>CALLE 71 # 4-55  / FIT MARKET TIENDA 71  / ROSALES</v>
      </c>
      <c r="G107" s="6" t="str">
        <f>IFERROR(__xludf.DUMMYFUNCTION("""COMPUTED_VALUE"""),"FIT MARKET TIENDA 71")</f>
        <v>FIT MARKET TIENDA 71</v>
      </c>
      <c r="H107" s="7">
        <f>IFERROR(__xludf.DUMMYFUNCTION("""COMPUTED_VALUE"""),8824.0)</f>
        <v>8824</v>
      </c>
      <c r="I107" s="7">
        <f>IFERROR(__xludf.DUMMYFUNCTION("""COMPUTED_VALUE"""),10.0)</f>
        <v>10</v>
      </c>
      <c r="J107" s="7">
        <f>IFERROR(__xludf.DUMMYFUNCTION("""COMPUTED_VALUE"""),100.0)</f>
        <v>100</v>
      </c>
      <c r="K107" s="7">
        <f>IFERROR(__xludf.DUMMYFUNCTION("""COMPUTED_VALUE"""),70.0)</f>
        <v>70</v>
      </c>
      <c r="L107" s="8">
        <f>IFERROR(__xludf.DUMMYFUNCTION("""COMPUTED_VALUE"""),3.232200591E9)</f>
        <v>3232200591</v>
      </c>
      <c r="M107" s="9" t="str">
        <f>IFERROR(__xludf.DUMMYFUNCTION("""COMPUTED_VALUE"""),"#REF!")</f>
        <v>#REF!</v>
      </c>
      <c r="N107" s="1"/>
      <c r="O107" s="3" t="str">
        <f>IFERROR(__xludf.DUMMYFUNCTION("""COMPUTED_VALUE"""),"")</f>
        <v/>
      </c>
      <c r="P107" s="9" t="b">
        <f>IFERROR(__xludf.DUMMYFUNCTION("""COMPUTED_VALUE"""),FALSE)</f>
        <v>0</v>
      </c>
      <c r="Q107" s="10" t="str">
        <f>IFERROR(__xludf.DUMMYFUNCTION("""COMPUTED_VALUE"""),"")</f>
        <v/>
      </c>
      <c r="R107" s="12" t="str">
        <f>IFERROR(__xludf.DUMMYFUNCTION("""COMPUTED_VALUE"""),"")</f>
        <v/>
      </c>
      <c r="S107" s="1" t="str">
        <f t="shared" si="2"/>
        <v/>
      </c>
      <c r="T107" s="1" t="str">
        <f t="shared" si="3"/>
        <v/>
      </c>
      <c r="U107" s="1" t="str">
        <f t="shared" si="4"/>
        <v/>
      </c>
      <c r="V107" s="1"/>
      <c r="W107" s="1"/>
      <c r="X107" s="1"/>
      <c r="Y107" s="1"/>
      <c r="Z107" s="8"/>
      <c r="AA107" s="1"/>
      <c r="AB107" s="1"/>
      <c r="AC107" s="1"/>
      <c r="AD107" s="1"/>
      <c r="AE107" s="1"/>
      <c r="AF107" s="1"/>
      <c r="AG107" s="1"/>
      <c r="AH107" s="1" t="str">
        <f t="shared" si="1"/>
        <v/>
      </c>
      <c r="AI107" s="1"/>
    </row>
    <row r="108">
      <c r="A108" s="5">
        <f>IFERROR(__xludf.DUMMYFUNCTION("""COMPUTED_VALUE"""),44999.0)</f>
        <v>44999</v>
      </c>
      <c r="B108" s="14" t="str">
        <f>IFERROR(__xludf.DUMMYFUNCTION("""COMPUTED_VALUE"""),"Jonathan Steven Taborda")</f>
        <v>Jonathan Steven Taborda</v>
      </c>
      <c r="C108" s="6" t="str">
        <f>IFERROR(__xludf.DUMMYFUNCTION("""COMPUTED_VALUE"""),"BOGOTÁ")</f>
        <v>BOGOTÁ</v>
      </c>
      <c r="D108" s="6" t="str">
        <f>IFERROR(__xludf.DUMMYFUNCTION("""COMPUTED_VALUE"""),"MEDELLÍN")</f>
        <v>MEDELLÍN</v>
      </c>
      <c r="E108" s="6" t="str">
        <f>IFERROR(__xludf.DUMMYFUNCTION("""COMPUTED_VALUE"""),"Puro Verde")</f>
        <v>Puro Verde</v>
      </c>
      <c r="F108" s="1" t="str">
        <f>IFERROR(__xludf.DUMMYFUNCTION("""COMPUTED_VALUE"""),"AV CRA 15 # 90-20. / LOCAL 109 / BARRIO CHICO")</f>
        <v>AV CRA 15 # 90-20. / LOCAL 109 / BARRIO CHICO</v>
      </c>
      <c r="G108" s="6" t="str">
        <f>IFERROR(__xludf.DUMMYFUNCTION("""COMPUTED_VALUE"""),"DANDO CUERDA")</f>
        <v>DANDO CUERDA</v>
      </c>
      <c r="H108" s="7">
        <f>IFERROR(__xludf.DUMMYFUNCTION("""COMPUTED_VALUE"""),8848.0)</f>
        <v>8848</v>
      </c>
      <c r="I108" s="7">
        <f>IFERROR(__xludf.DUMMYFUNCTION("""COMPUTED_VALUE"""),55.0)</f>
        <v>55</v>
      </c>
      <c r="J108" s="7">
        <f>IFERROR(__xludf.DUMMYFUNCTION("""COMPUTED_VALUE"""),45.0)</f>
        <v>45</v>
      </c>
      <c r="K108" s="2" t="str">
        <f>IFERROR(__xludf.DUMMYFUNCTION("""COMPUTED_VALUE"""),"52.5")</f>
        <v>52.5</v>
      </c>
      <c r="L108" s="8">
        <f>IFERROR(__xludf.DUMMYFUNCTION("""COMPUTED_VALUE"""),3.163816691E9)</f>
        <v>3163816691</v>
      </c>
      <c r="M108" s="9" t="str">
        <f>IFERROR(__xludf.DUMMYFUNCTION("""COMPUTED_VALUE"""),"#REF!")</f>
        <v>#REF!</v>
      </c>
      <c r="N108" s="1"/>
      <c r="O108" s="3" t="str">
        <f>IFERROR(__xludf.DUMMYFUNCTION("""COMPUTED_VALUE"""),"")</f>
        <v/>
      </c>
      <c r="P108" s="9" t="b">
        <f>IFERROR(__xludf.DUMMYFUNCTION("""COMPUTED_VALUE"""),FALSE)</f>
        <v>0</v>
      </c>
      <c r="Q108" s="10" t="str">
        <f>IFERROR(__xludf.DUMMYFUNCTION("""COMPUTED_VALUE"""),"")</f>
        <v/>
      </c>
      <c r="R108" s="12" t="str">
        <f>IFERROR(__xludf.DUMMYFUNCTION("""COMPUTED_VALUE"""),"")</f>
        <v/>
      </c>
      <c r="S108" s="1" t="str">
        <f t="shared" si="2"/>
        <v/>
      </c>
      <c r="T108" s="1" t="str">
        <f t="shared" si="3"/>
        <v/>
      </c>
      <c r="U108" s="1" t="str">
        <f t="shared" si="4"/>
        <v/>
      </c>
      <c r="V108" s="1"/>
      <c r="W108" s="1"/>
      <c r="X108" s="1"/>
      <c r="Y108" s="1"/>
      <c r="Z108" s="8"/>
      <c r="AA108" s="1"/>
      <c r="AB108" s="1"/>
      <c r="AC108" s="1"/>
      <c r="AD108" s="1"/>
      <c r="AE108" s="1"/>
      <c r="AF108" s="1"/>
      <c r="AG108" s="1"/>
      <c r="AH108" s="1" t="str">
        <f t="shared" si="1"/>
        <v/>
      </c>
      <c r="AI108" s="1"/>
    </row>
    <row r="109">
      <c r="A109" s="1" t="str">
        <f>IFERROR(__xludf.DUMMYFUNCTION("""COMPUTED_VALUE"""),"")</f>
        <v/>
      </c>
      <c r="B109" s="1" t="str">
        <f>IFERROR(__xludf.DUMMYFUNCTION("""COMPUTED_VALUE"""),"")</f>
        <v/>
      </c>
      <c r="C109" s="1" t="str">
        <f>IFERROR(__xludf.DUMMYFUNCTION("""COMPUTED_VALUE"""),"")</f>
        <v/>
      </c>
      <c r="D109" s="1" t="str">
        <f>IFERROR(__xludf.DUMMYFUNCTION("""COMPUTED_VALUE"""),"")</f>
        <v/>
      </c>
      <c r="E109" s="1" t="str">
        <f>IFERROR(__xludf.DUMMYFUNCTION("""COMPUTED_VALUE"""),"")</f>
        <v/>
      </c>
      <c r="F109" s="1" t="str">
        <f>IFERROR(__xludf.DUMMYFUNCTION("""COMPUTED_VALUE"""),"")</f>
        <v/>
      </c>
      <c r="G109" s="1" t="str">
        <f>IFERROR(__xludf.DUMMYFUNCTION("""COMPUTED_VALUE"""),"")</f>
        <v/>
      </c>
      <c r="H109" s="1" t="str">
        <f>IFERROR(__xludf.DUMMYFUNCTION("""COMPUTED_VALUE"""),"")</f>
        <v/>
      </c>
      <c r="I109" s="1" t="str">
        <f>IFERROR(__xludf.DUMMYFUNCTION("""COMPUTED_VALUE"""),"")</f>
        <v/>
      </c>
      <c r="J109" s="1" t="str">
        <f>IFERROR(__xludf.DUMMYFUNCTION("""COMPUTED_VALUE"""),"")</f>
        <v/>
      </c>
      <c r="K109" s="1" t="str">
        <f>IFERROR(__xludf.DUMMYFUNCTION("""COMPUTED_VALUE"""),"")</f>
        <v/>
      </c>
      <c r="L109" s="1" t="str">
        <f>IFERROR(__xludf.DUMMYFUNCTION("""COMPUTED_VALUE"""),"")</f>
        <v/>
      </c>
      <c r="M109" s="1" t="str">
        <f>IFERROR(__xludf.DUMMYFUNCTION("""COMPUTED_VALUE"""),"")</f>
        <v/>
      </c>
      <c r="N109" s="1" t="str">
        <f>IFERROR(__xludf.DUMMYFUNCTION("""COMPUTED_VALUE"""),"")</f>
        <v/>
      </c>
      <c r="O109" s="1" t="str">
        <f>IFERROR(__xludf.DUMMYFUNCTION("""COMPUTED_VALUE"""),"")</f>
        <v/>
      </c>
      <c r="P109" s="1" t="str">
        <f>IFERROR(__xludf.DUMMYFUNCTION("""COMPUTED_VALUE"""),"")</f>
        <v/>
      </c>
      <c r="Q109" s="1" t="str">
        <f>IFERROR(__xludf.DUMMYFUNCTION("""COMPUTED_VALUE"""),"")</f>
        <v/>
      </c>
      <c r="R109" s="1" t="str">
        <f>IFERROR(__xludf.DUMMYFUNCTION("""COMPUTED_VALUE"""),"")</f>
        <v/>
      </c>
      <c r="S109" s="1" t="str">
        <f t="shared" si="2"/>
        <v/>
      </c>
      <c r="T109" s="1" t="str">
        <f t="shared" si="3"/>
        <v/>
      </c>
      <c r="U109" s="1" t="str">
        <f t="shared" si="4"/>
        <v/>
      </c>
      <c r="V109" s="1"/>
      <c r="W109" s="1"/>
      <c r="X109" s="1"/>
      <c r="Y109" s="1"/>
      <c r="Z109" s="8"/>
      <c r="AA109" s="1"/>
      <c r="AB109" s="1"/>
      <c r="AC109" s="1"/>
      <c r="AD109" s="1"/>
      <c r="AE109" s="1"/>
      <c r="AF109" s="1"/>
      <c r="AG109" s="1"/>
      <c r="AH109" s="1" t="str">
        <f t="shared" si="1"/>
        <v/>
      </c>
      <c r="AI109" s="1"/>
    </row>
    <row r="110">
      <c r="A110" s="5">
        <f>IFERROR(__xludf.DUMMYFUNCTION("""COMPUTED_VALUE"""),44999.0)</f>
        <v>44999</v>
      </c>
      <c r="B110" s="14" t="str">
        <f>IFERROR(__xludf.DUMMYFUNCTION("""COMPUTED_VALUE"""),"Sebastian Restrepo Martinez ")</f>
        <v>Sebastian Restrepo Martinez </v>
      </c>
      <c r="C110" s="6" t="str">
        <f>IFERROR(__xludf.DUMMYFUNCTION("""COMPUTED_VALUE"""),"MEDELLÍN")</f>
        <v>MEDELLÍN</v>
      </c>
      <c r="D110" s="6" t="str">
        <f>IFERROR(__xludf.DUMMYFUNCTION("""COMPUTED_VALUE"""),"BOGOTÁ")</f>
        <v>BOGOTÁ</v>
      </c>
      <c r="E110" s="6" t="str">
        <f>IFERROR(__xludf.DUMMYFUNCTION("""COMPUTED_VALUE"""),"Asociacion Agropecuaria Juana Maria")</f>
        <v>Asociacion Agropecuaria Juana Maria</v>
      </c>
      <c r="F110" s="1" t="str">
        <f>IFERROR(__xludf.DUMMYFUNCTION("""COMPUTED_VALUE"""),"CALLE 33AA # 78ª-124 APTO 301 EDIFICIO ONTARIO LAURELES")</f>
        <v>CALLE 33AA # 78ª-124 APTO 301 EDIFICIO ONTARIO LAURELES</v>
      </c>
      <c r="G110" s="6" t="str">
        <f>IFERROR(__xludf.DUMMYFUNCTION("""COMPUTED_VALUE"""),"Yuliana Lopez")</f>
        <v>Yuliana Lopez</v>
      </c>
      <c r="H110" s="7">
        <f>IFERROR(__xludf.DUMMYFUNCTION("""COMPUTED_VALUE"""),8786.0)</f>
        <v>8786</v>
      </c>
      <c r="I110" s="7">
        <f>IFERROR(__xludf.DUMMYFUNCTION("""COMPUTED_VALUE"""),21.0)</f>
        <v>21</v>
      </c>
      <c r="J110" s="7">
        <f>IFERROR(__xludf.DUMMYFUNCTION("""COMPUTED_VALUE"""),37.0)</f>
        <v>37</v>
      </c>
      <c r="K110" s="7">
        <f>IFERROR(__xludf.DUMMYFUNCTION("""COMPUTED_VALUE"""),30.0)</f>
        <v>30</v>
      </c>
      <c r="L110" s="8">
        <f>IFERROR(__xludf.DUMMYFUNCTION("""COMPUTED_VALUE"""),3.136078393E9)</f>
        <v>3136078393</v>
      </c>
      <c r="M110" s="9" t="str">
        <f>IFERROR(__xludf.DUMMYFUNCTION("""COMPUTED_VALUE"""),"#REF!")</f>
        <v>#REF!</v>
      </c>
      <c r="N110" s="1"/>
      <c r="O110" s="3" t="str">
        <f>IFERROR(__xludf.DUMMYFUNCTION("""COMPUTED_VALUE"""),"")</f>
        <v/>
      </c>
      <c r="P110" s="9" t="b">
        <f>IFERROR(__xludf.DUMMYFUNCTION("""COMPUTED_VALUE"""),FALSE)</f>
        <v>0</v>
      </c>
      <c r="Q110" s="10" t="str">
        <f>IFERROR(__xludf.DUMMYFUNCTION("""COMPUTED_VALUE"""),"")</f>
        <v/>
      </c>
      <c r="R110" s="12" t="str">
        <f>IFERROR(__xludf.DUMMYFUNCTION("""COMPUTED_VALUE"""),"")</f>
        <v/>
      </c>
      <c r="S110" s="1" t="str">
        <f t="shared" si="2"/>
        <v/>
      </c>
      <c r="T110" s="1" t="str">
        <f t="shared" si="3"/>
        <v/>
      </c>
      <c r="U110" s="1" t="str">
        <f t="shared" si="4"/>
        <v/>
      </c>
      <c r="V110" s="1"/>
      <c r="W110" s="1"/>
      <c r="X110" s="1"/>
      <c r="Y110" s="1"/>
      <c r="Z110" s="8"/>
      <c r="AA110" s="1"/>
      <c r="AB110" s="1"/>
      <c r="AC110" s="1"/>
      <c r="AD110" s="1"/>
      <c r="AE110" s="1"/>
      <c r="AF110" s="1"/>
      <c r="AG110" s="1"/>
      <c r="AH110" s="1" t="str">
        <f t="shared" si="1"/>
        <v/>
      </c>
      <c r="AI110" s="1"/>
    </row>
    <row r="111">
      <c r="A111" s="5">
        <f>IFERROR(__xludf.DUMMYFUNCTION("""COMPUTED_VALUE"""),44999.0)</f>
        <v>44999</v>
      </c>
      <c r="B111" s="14" t="str">
        <f>IFERROR(__xludf.DUMMYFUNCTION("""COMPUTED_VALUE"""),"Sebastian Restrepo Martinez ")</f>
        <v>Sebastian Restrepo Martinez </v>
      </c>
      <c r="C111" s="6" t="str">
        <f>IFERROR(__xludf.DUMMYFUNCTION("""COMPUTED_VALUE"""),"MEDELLÍN")</f>
        <v>MEDELLÍN</v>
      </c>
      <c r="D111" s="6" t="str">
        <f>IFERROR(__xludf.DUMMYFUNCTION("""COMPUTED_VALUE"""),"BOGOTÁ")</f>
        <v>BOGOTÁ</v>
      </c>
      <c r="E111" s="6" t="str">
        <f>IFERROR(__xludf.DUMMYFUNCTION("""COMPUTED_VALUE"""),"Asociacion Agropecuaria Juana Maria")</f>
        <v>Asociacion Agropecuaria Juana Maria</v>
      </c>
      <c r="F111" s="1" t="str">
        <f>IFERROR(__xludf.DUMMYFUNCTION("""COMPUTED_VALUE"""),"CALLE 33AA # 78ª-124 APTO 301 EDIFICIO ONTARIO LAURELES")</f>
        <v>CALLE 33AA # 78ª-124 APTO 301 EDIFICIO ONTARIO LAURELES</v>
      </c>
      <c r="G111" s="6" t="str">
        <f>IFERROR(__xludf.DUMMYFUNCTION("""COMPUTED_VALUE"""),"Yuliana Lopez")</f>
        <v>Yuliana Lopez</v>
      </c>
      <c r="H111" s="7">
        <f>IFERROR(__xludf.DUMMYFUNCTION("""COMPUTED_VALUE"""),8787.0)</f>
        <v>8787</v>
      </c>
      <c r="I111" s="7">
        <f>IFERROR(__xludf.DUMMYFUNCTION("""COMPUTED_VALUE"""),12.0)</f>
        <v>12</v>
      </c>
      <c r="J111" s="7">
        <f>IFERROR(__xludf.DUMMYFUNCTION("""COMPUTED_VALUE"""),37.0)</f>
        <v>37</v>
      </c>
      <c r="K111" s="7">
        <f>IFERROR(__xludf.DUMMYFUNCTION("""COMPUTED_VALUE"""),20.0)</f>
        <v>20</v>
      </c>
      <c r="L111" s="8">
        <f>IFERROR(__xludf.DUMMYFUNCTION("""COMPUTED_VALUE"""),3.136078393E9)</f>
        <v>3136078393</v>
      </c>
      <c r="M111" s="9" t="str">
        <f>IFERROR(__xludf.DUMMYFUNCTION("""COMPUTED_VALUE"""),"#REF!")</f>
        <v>#REF!</v>
      </c>
      <c r="N111" s="1"/>
      <c r="O111" s="3" t="str">
        <f>IFERROR(__xludf.DUMMYFUNCTION("""COMPUTED_VALUE"""),"")</f>
        <v/>
      </c>
      <c r="P111" s="9" t="b">
        <f>IFERROR(__xludf.DUMMYFUNCTION("""COMPUTED_VALUE"""),FALSE)</f>
        <v>0</v>
      </c>
      <c r="Q111" s="10" t="str">
        <f>IFERROR(__xludf.DUMMYFUNCTION("""COMPUTED_VALUE"""),"")</f>
        <v/>
      </c>
      <c r="R111" s="12" t="str">
        <f>IFERROR(__xludf.DUMMYFUNCTION("""COMPUTED_VALUE"""),"")</f>
        <v/>
      </c>
      <c r="S111" s="1" t="str">
        <f t="shared" si="2"/>
        <v/>
      </c>
      <c r="T111" s="1" t="str">
        <f t="shared" si="3"/>
        <v/>
      </c>
      <c r="U111" s="1" t="str">
        <f t="shared" si="4"/>
        <v/>
      </c>
      <c r="V111" s="1"/>
      <c r="W111" s="1"/>
      <c r="X111" s="1"/>
      <c r="Y111" s="1"/>
      <c r="Z111" s="8"/>
      <c r="AA111" s="1"/>
      <c r="AB111" s="1"/>
      <c r="AC111" s="1"/>
      <c r="AD111" s="1"/>
      <c r="AE111" s="1"/>
      <c r="AF111" s="1"/>
      <c r="AG111" s="1"/>
      <c r="AH111" s="1" t="str">
        <f t="shared" si="1"/>
        <v/>
      </c>
      <c r="AI111" s="1"/>
    </row>
    <row r="112">
      <c r="A112" s="5">
        <f>IFERROR(__xludf.DUMMYFUNCTION("""COMPUTED_VALUE"""),44999.0)</f>
        <v>44999</v>
      </c>
      <c r="B112" s="14" t="str">
        <f>IFERROR(__xludf.DUMMYFUNCTION("""COMPUTED_VALUE"""),"Sebastian Restrepo Martinez ")</f>
        <v>Sebastian Restrepo Martinez </v>
      </c>
      <c r="C112" s="6" t="str">
        <f>IFERROR(__xludf.DUMMYFUNCTION("""COMPUTED_VALUE"""),"MEDELLÍN")</f>
        <v>MEDELLÍN</v>
      </c>
      <c r="D112" s="6" t="str">
        <f>IFERROR(__xludf.DUMMYFUNCTION("""COMPUTED_VALUE"""),"BOGOTÁ")</f>
        <v>BOGOTÁ</v>
      </c>
      <c r="E112" s="6" t="str">
        <f>IFERROR(__xludf.DUMMYFUNCTION("""COMPUTED_VALUE"""),"Asociacion Agropecuaria Juana Maria")</f>
        <v>Asociacion Agropecuaria Juana Maria</v>
      </c>
      <c r="F112" s="1" t="str">
        <f>IFERROR(__xludf.DUMMYFUNCTION("""COMPUTED_VALUE"""),"Carrera 15 BA # 30D-44 int 201")</f>
        <v>Carrera 15 BA # 30D-44 int 201</v>
      </c>
      <c r="G112" s="6" t="str">
        <f>IFERROR(__xludf.DUMMYFUNCTION("""COMPUTED_VALUE"""),"Daniela Bedoya Blandon")</f>
        <v>Daniela Bedoya Blandon</v>
      </c>
      <c r="H112" s="7">
        <f>IFERROR(__xludf.DUMMYFUNCTION("""COMPUTED_VALUE"""),8782.0)</f>
        <v>8782</v>
      </c>
      <c r="I112" s="7">
        <f>IFERROR(__xludf.DUMMYFUNCTION("""COMPUTED_VALUE"""),28.0)</f>
        <v>28</v>
      </c>
      <c r="J112" s="7">
        <f>IFERROR(__xludf.DUMMYFUNCTION("""COMPUTED_VALUE"""),37.0)</f>
        <v>37</v>
      </c>
      <c r="K112" s="7">
        <f>IFERROR(__xludf.DUMMYFUNCTION("""COMPUTED_VALUE"""),27.0)</f>
        <v>27</v>
      </c>
      <c r="L112" s="8">
        <f>IFERROR(__xludf.DUMMYFUNCTION("""COMPUTED_VALUE"""),3.14672822E9)</f>
        <v>3146728220</v>
      </c>
      <c r="M112" s="9" t="str">
        <f>IFERROR(__xludf.DUMMYFUNCTION("""COMPUTED_VALUE"""),"#REF!")</f>
        <v>#REF!</v>
      </c>
      <c r="N112" s="1"/>
      <c r="O112" s="3" t="str">
        <f>IFERROR(__xludf.DUMMYFUNCTION("""COMPUTED_VALUE"""),"")</f>
        <v/>
      </c>
      <c r="P112" s="9" t="b">
        <f>IFERROR(__xludf.DUMMYFUNCTION("""COMPUTED_VALUE"""),FALSE)</f>
        <v>0</v>
      </c>
      <c r="Q112" s="10" t="str">
        <f>IFERROR(__xludf.DUMMYFUNCTION("""COMPUTED_VALUE"""),"")</f>
        <v/>
      </c>
      <c r="R112" s="12" t="str">
        <f>IFERROR(__xludf.DUMMYFUNCTION("""COMPUTED_VALUE"""),"")</f>
        <v/>
      </c>
      <c r="S112" s="1" t="str">
        <f t="shared" si="2"/>
        <v/>
      </c>
      <c r="T112" s="1" t="str">
        <f t="shared" si="3"/>
        <v/>
      </c>
      <c r="U112" s="1" t="str">
        <f t="shared" si="4"/>
        <v/>
      </c>
      <c r="V112" s="1"/>
      <c r="W112" s="1"/>
      <c r="X112" s="1"/>
      <c r="Y112" s="1"/>
      <c r="Z112" s="8"/>
      <c r="AA112" s="1"/>
      <c r="AB112" s="1"/>
      <c r="AC112" s="1"/>
      <c r="AD112" s="1"/>
      <c r="AE112" s="1"/>
      <c r="AF112" s="1"/>
      <c r="AG112" s="1"/>
      <c r="AH112" s="1" t="str">
        <f t="shared" si="1"/>
        <v/>
      </c>
      <c r="AI112" s="1"/>
    </row>
    <row r="113">
      <c r="A113" s="5">
        <f>IFERROR(__xludf.DUMMYFUNCTION("""COMPUTED_VALUE"""),44999.0)</f>
        <v>44999</v>
      </c>
      <c r="B113" s="14" t="str">
        <f>IFERROR(__xludf.DUMMYFUNCTION("""COMPUTED_VALUE"""),"Sebastian Restrepo Martinez ")</f>
        <v>Sebastian Restrepo Martinez </v>
      </c>
      <c r="C113" s="6" t="str">
        <f>IFERROR(__xludf.DUMMYFUNCTION("""COMPUTED_VALUE"""),"MEDELLÍN")</f>
        <v>MEDELLÍN</v>
      </c>
      <c r="D113" s="6" t="str">
        <f>IFERROR(__xludf.DUMMYFUNCTION("""COMPUTED_VALUE"""),"BOGOTÁ")</f>
        <v>BOGOTÁ</v>
      </c>
      <c r="E113" s="6" t="str">
        <f>IFERROR(__xludf.DUMMYFUNCTION("""COMPUTED_VALUE"""),"Asociacion Agropecuaria Juana Maria")</f>
        <v>Asociacion Agropecuaria Juana Maria</v>
      </c>
      <c r="F113" s="1" t="str">
        <f>IFERROR(__xludf.DUMMYFUNCTION("""COMPUTED_VALUE"""),"Carrera 15 BA # 30D-44 int 201")</f>
        <v>Carrera 15 BA # 30D-44 int 201</v>
      </c>
      <c r="G113" s="6" t="str">
        <f>IFERROR(__xludf.DUMMYFUNCTION("""COMPUTED_VALUE"""),"Daniela Bedoya Blandon")</f>
        <v>Daniela Bedoya Blandon</v>
      </c>
      <c r="H113" s="7">
        <f>IFERROR(__xludf.DUMMYFUNCTION("""COMPUTED_VALUE"""),8783.0)</f>
        <v>8783</v>
      </c>
      <c r="I113" s="7">
        <f>IFERROR(__xludf.DUMMYFUNCTION("""COMPUTED_VALUE"""),21.0)</f>
        <v>21</v>
      </c>
      <c r="J113" s="7">
        <f>IFERROR(__xludf.DUMMYFUNCTION("""COMPUTED_VALUE"""),37.0)</f>
        <v>37</v>
      </c>
      <c r="K113" s="7">
        <f>IFERROR(__xludf.DUMMYFUNCTION("""COMPUTED_VALUE"""),30.0)</f>
        <v>30</v>
      </c>
      <c r="L113" s="8">
        <f>IFERROR(__xludf.DUMMYFUNCTION("""COMPUTED_VALUE"""),3.14672822E9)</f>
        <v>3146728220</v>
      </c>
      <c r="M113" s="9" t="str">
        <f>IFERROR(__xludf.DUMMYFUNCTION("""COMPUTED_VALUE"""),"#REF!")</f>
        <v>#REF!</v>
      </c>
      <c r="N113" s="1"/>
      <c r="O113" s="3" t="str">
        <f>IFERROR(__xludf.DUMMYFUNCTION("""COMPUTED_VALUE"""),"")</f>
        <v/>
      </c>
      <c r="P113" s="9" t="b">
        <f>IFERROR(__xludf.DUMMYFUNCTION("""COMPUTED_VALUE"""),FALSE)</f>
        <v>0</v>
      </c>
      <c r="Q113" s="10" t="str">
        <f>IFERROR(__xludf.DUMMYFUNCTION("""COMPUTED_VALUE"""),"")</f>
        <v/>
      </c>
      <c r="R113" s="12" t="str">
        <f>IFERROR(__xludf.DUMMYFUNCTION("""COMPUTED_VALUE"""),"")</f>
        <v/>
      </c>
      <c r="S113" s="1" t="str">
        <f t="shared" si="2"/>
        <v/>
      </c>
      <c r="T113" s="1" t="str">
        <f t="shared" si="3"/>
        <v/>
      </c>
      <c r="U113" s="1" t="str">
        <f t="shared" si="4"/>
        <v/>
      </c>
      <c r="V113" s="1"/>
      <c r="W113" s="1"/>
      <c r="X113" s="1"/>
      <c r="Y113" s="1"/>
      <c r="Z113" s="8"/>
      <c r="AA113" s="1"/>
      <c r="AB113" s="1"/>
      <c r="AC113" s="1"/>
      <c r="AD113" s="1"/>
      <c r="AE113" s="1"/>
      <c r="AF113" s="1"/>
      <c r="AG113" s="1"/>
      <c r="AH113" s="1" t="str">
        <f t="shared" si="1"/>
        <v/>
      </c>
      <c r="AI113" s="1"/>
    </row>
    <row r="114">
      <c r="A114" s="5">
        <f>IFERROR(__xludf.DUMMYFUNCTION("""COMPUTED_VALUE"""),44999.0)</f>
        <v>44999</v>
      </c>
      <c r="B114" s="14" t="str">
        <f>IFERROR(__xludf.DUMMYFUNCTION("""COMPUTED_VALUE"""),"Sebastian Restrepo Martinez ")</f>
        <v>Sebastian Restrepo Martinez </v>
      </c>
      <c r="C114" s="6" t="str">
        <f>IFERROR(__xludf.DUMMYFUNCTION("""COMPUTED_VALUE"""),"MEDELLÍN")</f>
        <v>MEDELLÍN</v>
      </c>
      <c r="D114" s="6" t="str">
        <f>IFERROR(__xludf.DUMMYFUNCTION("""COMPUTED_VALUE"""),"BOGOTÁ")</f>
        <v>BOGOTÁ</v>
      </c>
      <c r="E114" s="6" t="str">
        <f>IFERROR(__xludf.DUMMYFUNCTION("""COMPUTED_VALUE"""),"Blond &amp; This")</f>
        <v>Blond &amp; This</v>
      </c>
      <c r="F114" s="1" t="str">
        <f>IFERROR(__xludf.DUMMYFUNCTION("""COMPUTED_VALUE"""),"Calle 18 # 43G-90  / dificio Bosque del Río, apto 714 torre 2 - Medellín / medellin")</f>
        <v>Calle 18 # 43G-90  / dificio Bosque del Río, apto 714 torre 2 - Medellín / medellin</v>
      </c>
      <c r="G114" s="6" t="str">
        <f>IFERROR(__xludf.DUMMYFUNCTION("""COMPUTED_VALUE"""),"Maria Antonia Montoya Cano")</f>
        <v>Maria Antonia Montoya Cano</v>
      </c>
      <c r="H114" s="7">
        <f>IFERROR(__xludf.DUMMYFUNCTION("""COMPUTED_VALUE"""),8851.0)</f>
        <v>8851</v>
      </c>
      <c r="I114" s="7">
        <f>IFERROR(__xludf.DUMMYFUNCTION("""COMPUTED_VALUE"""),7.0)</f>
        <v>7</v>
      </c>
      <c r="J114" s="7">
        <f>IFERROR(__xludf.DUMMYFUNCTION("""COMPUTED_VALUE"""),26.0)</f>
        <v>26</v>
      </c>
      <c r="K114" s="7">
        <f>IFERROR(__xludf.DUMMYFUNCTION("""COMPUTED_VALUE"""),30.0)</f>
        <v>30</v>
      </c>
      <c r="L114" s="8">
        <f>IFERROR(__xludf.DUMMYFUNCTION("""COMPUTED_VALUE"""),3.045231345E9)</f>
        <v>3045231345</v>
      </c>
      <c r="M114" s="9" t="str">
        <f>IFERROR(__xludf.DUMMYFUNCTION("""COMPUTED_VALUE"""),"#REF!")</f>
        <v>#REF!</v>
      </c>
      <c r="N114" s="1"/>
      <c r="O114" s="3" t="str">
        <f>IFERROR(__xludf.DUMMYFUNCTION("""COMPUTED_VALUE"""),"")</f>
        <v/>
      </c>
      <c r="P114" s="9" t="b">
        <f>IFERROR(__xludf.DUMMYFUNCTION("""COMPUTED_VALUE"""),FALSE)</f>
        <v>0</v>
      </c>
      <c r="Q114" s="10" t="str">
        <f>IFERROR(__xludf.DUMMYFUNCTION("""COMPUTED_VALUE"""),"")</f>
        <v/>
      </c>
      <c r="R114" s="11" t="str">
        <f>IFERROR(__xludf.DUMMYFUNCTION("""COMPUTED_VALUE"""),"https://drive.google.com/file/d/1PMf0uqYEtdPLO6HJliraDYC5TxNttFTv/view?usp=drivesdk")</f>
        <v>https://drive.google.com/file/d/1PMf0uqYEtdPLO6HJliraDYC5TxNttFTv/view?usp=drivesdk</v>
      </c>
      <c r="S114" s="1" t="str">
        <f t="shared" si="2"/>
        <v/>
      </c>
      <c r="T114" s="1" t="str">
        <f t="shared" si="3"/>
        <v/>
      </c>
      <c r="U114" s="1" t="str">
        <f t="shared" si="4"/>
        <v/>
      </c>
      <c r="V114" s="1"/>
      <c r="W114" s="1"/>
      <c r="X114" s="1"/>
      <c r="Y114" s="1"/>
      <c r="Z114" s="8"/>
      <c r="AA114" s="1"/>
      <c r="AB114" s="1"/>
      <c r="AC114" s="1"/>
      <c r="AD114" s="1"/>
      <c r="AE114" s="1"/>
      <c r="AF114" s="1"/>
      <c r="AG114" s="1"/>
      <c r="AH114" s="1" t="str">
        <f t="shared" si="1"/>
        <v/>
      </c>
      <c r="AI114" s="1"/>
    </row>
    <row r="115">
      <c r="A115" s="5">
        <f>IFERROR(__xludf.DUMMYFUNCTION("""COMPUTED_VALUE"""),44999.0)</f>
        <v>44999</v>
      </c>
      <c r="B115" s="14" t="str">
        <f>IFERROR(__xludf.DUMMYFUNCTION("""COMPUTED_VALUE"""),"Sebastian Restrepo Martinez ")</f>
        <v>Sebastian Restrepo Martinez </v>
      </c>
      <c r="C115" s="6" t="str">
        <f>IFERROR(__xludf.DUMMYFUNCTION("""COMPUTED_VALUE"""),"MEDELLÍN")</f>
        <v>MEDELLÍN</v>
      </c>
      <c r="D115" s="6" t="str">
        <f>IFERROR(__xludf.DUMMYFUNCTION("""COMPUTED_VALUE"""),"BOGOTÁ")</f>
        <v>BOGOTÁ</v>
      </c>
      <c r="E115" s="6" t="str">
        <f>IFERROR(__xludf.DUMMYFUNCTION("""COMPUTED_VALUE"""),"Evamazzita")</f>
        <v>Evamazzita</v>
      </c>
      <c r="F115" s="1" t="str">
        <f>IFERROR(__xludf.DUMMYFUNCTION("""COMPUTED_VALUE"""),"AV. 35 # 64-77   / Quitasol / BELLO")</f>
        <v>AV. 35 # 64-77   / Quitasol / BELLO</v>
      </c>
      <c r="G115" s="6" t="str">
        <f>IFERROR(__xludf.DUMMYFUNCTION("""COMPUTED_VALUE"""),"ERIKA CEBALLOS")</f>
        <v>ERIKA CEBALLOS</v>
      </c>
      <c r="H115" s="7">
        <f>IFERROR(__xludf.DUMMYFUNCTION("""COMPUTED_VALUE"""),8813.0)</f>
        <v>8813</v>
      </c>
      <c r="I115" s="7">
        <f>IFERROR(__xludf.DUMMYFUNCTION("""COMPUTED_VALUE"""),3.0)</f>
        <v>3</v>
      </c>
      <c r="J115" s="7">
        <f>IFERROR(__xludf.DUMMYFUNCTION("""COMPUTED_VALUE"""),20.0)</f>
        <v>20</v>
      </c>
      <c r="K115" s="7">
        <f>IFERROR(__xludf.DUMMYFUNCTION("""COMPUTED_VALUE"""),15.0)</f>
        <v>15</v>
      </c>
      <c r="L115" s="8">
        <f>IFERROR(__xludf.DUMMYFUNCTION("""COMPUTED_VALUE"""),3.206135304E9)</f>
        <v>3206135304</v>
      </c>
      <c r="M115" s="9" t="str">
        <f>IFERROR(__xludf.DUMMYFUNCTION("""COMPUTED_VALUE"""),"#REF!")</f>
        <v>#REF!</v>
      </c>
      <c r="N115" s="1"/>
      <c r="O115" s="3" t="str">
        <f>IFERROR(__xludf.DUMMYFUNCTION("""COMPUTED_VALUE"""),"")</f>
        <v/>
      </c>
      <c r="P115" s="9" t="b">
        <f>IFERROR(__xludf.DUMMYFUNCTION("""COMPUTED_VALUE"""),FALSE)</f>
        <v>0</v>
      </c>
      <c r="Q115" s="10" t="str">
        <f>IFERROR(__xludf.DUMMYFUNCTION("""COMPUTED_VALUE"""),"")</f>
        <v/>
      </c>
      <c r="R115" s="11" t="str">
        <f>IFERROR(__xludf.DUMMYFUNCTION("""COMPUTED_VALUE"""),"https://drive.google.com/file/d/1bKgAjCUnwaIuJ0uqoBv5Rnn9PwwiXSBq/view?usp=drivesdk")</f>
        <v>https://drive.google.com/file/d/1bKgAjCUnwaIuJ0uqoBv5Rnn9PwwiXSBq/view?usp=drivesdk</v>
      </c>
      <c r="S115" s="1" t="str">
        <f t="shared" si="2"/>
        <v/>
      </c>
      <c r="T115" s="1" t="str">
        <f t="shared" si="3"/>
        <v/>
      </c>
      <c r="U115" s="1" t="str">
        <f t="shared" si="4"/>
        <v/>
      </c>
      <c r="V115" s="1"/>
      <c r="W115" s="1"/>
      <c r="X115" s="1"/>
      <c r="Y115" s="1"/>
      <c r="Z115" s="8"/>
      <c r="AA115" s="1"/>
      <c r="AB115" s="1"/>
      <c r="AC115" s="1"/>
      <c r="AD115" s="1"/>
      <c r="AE115" s="1"/>
      <c r="AF115" s="1"/>
      <c r="AG115" s="1"/>
      <c r="AH115" s="1" t="str">
        <f t="shared" si="1"/>
        <v/>
      </c>
      <c r="AI115" s="1"/>
    </row>
    <row r="116">
      <c r="A116" s="5">
        <f>IFERROR(__xludf.DUMMYFUNCTION("""COMPUTED_VALUE"""),44999.0)</f>
        <v>44999</v>
      </c>
      <c r="B116" s="14" t="str">
        <f>IFERROR(__xludf.DUMMYFUNCTION("""COMPUTED_VALUE"""),"Sebastian Restrepo Martinez ")</f>
        <v>Sebastian Restrepo Martinez </v>
      </c>
      <c r="C116" s="6" t="str">
        <f>IFERROR(__xludf.DUMMYFUNCTION("""COMPUTED_VALUE"""),"MEDELLÍN")</f>
        <v>MEDELLÍN</v>
      </c>
      <c r="D116" s="6" t="str">
        <f>IFERROR(__xludf.DUMMYFUNCTION("""COMPUTED_VALUE"""),"BOGOTÁ")</f>
        <v>BOGOTÁ</v>
      </c>
      <c r="E116" s="6" t="str">
        <f>IFERROR(__xludf.DUMMYFUNCTION("""COMPUTED_VALUE"""),"Evamazzita")</f>
        <v>Evamazzita</v>
      </c>
      <c r="F116" s="1" t="str">
        <f>IFERROR(__xludf.DUMMYFUNCTION("""COMPUTED_VALUE"""),"Calle 49B N 64B -15  / Edificio Suramericana N6 Apto 1202 / N/A")</f>
        <v>Calle 49B N 64B -15  / Edificio Suramericana N6 Apto 1202 / N/A</v>
      </c>
      <c r="G116" s="6" t="str">
        <f>IFERROR(__xludf.DUMMYFUNCTION("""COMPUTED_VALUE"""),"LEIDY MESA GIL")</f>
        <v>LEIDY MESA GIL</v>
      </c>
      <c r="H116" s="7">
        <f>IFERROR(__xludf.DUMMYFUNCTION("""COMPUTED_VALUE"""),8820.0)</f>
        <v>8820</v>
      </c>
      <c r="I116" s="7">
        <f>IFERROR(__xludf.DUMMYFUNCTION("""COMPUTED_VALUE"""),10.0)</f>
        <v>10</v>
      </c>
      <c r="J116" s="7">
        <f>IFERROR(__xludf.DUMMYFUNCTION("""COMPUTED_VALUE"""),18.0)</f>
        <v>18</v>
      </c>
      <c r="K116" s="7">
        <f>IFERROR(__xludf.DUMMYFUNCTION("""COMPUTED_VALUE"""),22.0)</f>
        <v>22</v>
      </c>
      <c r="L116" s="8">
        <f>IFERROR(__xludf.DUMMYFUNCTION("""COMPUTED_VALUE"""),3.11370081E9)</f>
        <v>3113700810</v>
      </c>
      <c r="M116" s="9" t="str">
        <f>IFERROR(__xludf.DUMMYFUNCTION("""COMPUTED_VALUE"""),"#REF!")</f>
        <v>#REF!</v>
      </c>
      <c r="N116" s="1"/>
      <c r="O116" s="3" t="str">
        <f>IFERROR(__xludf.DUMMYFUNCTION("""COMPUTED_VALUE"""),"")</f>
        <v/>
      </c>
      <c r="P116" s="9" t="b">
        <f>IFERROR(__xludf.DUMMYFUNCTION("""COMPUTED_VALUE"""),FALSE)</f>
        <v>0</v>
      </c>
      <c r="Q116" s="10" t="str">
        <f>IFERROR(__xludf.DUMMYFUNCTION("""COMPUTED_VALUE"""),"")</f>
        <v/>
      </c>
      <c r="R116" s="11" t="str">
        <f>IFERROR(__xludf.DUMMYFUNCTION("""COMPUTED_VALUE"""),"https://drive.google.com/file/d/1tgrwMrIZj7l4aQqHzm0kdQbzeUC2qtrH/view?usp=drivesdk")</f>
        <v>https://drive.google.com/file/d/1tgrwMrIZj7l4aQqHzm0kdQbzeUC2qtrH/view?usp=drivesdk</v>
      </c>
      <c r="S116" s="1" t="str">
        <f t="shared" si="2"/>
        <v/>
      </c>
      <c r="T116" s="1" t="str">
        <f t="shared" si="3"/>
        <v/>
      </c>
      <c r="U116" s="1" t="str">
        <f t="shared" si="4"/>
        <v/>
      </c>
      <c r="V116" s="1"/>
      <c r="W116" s="1"/>
      <c r="X116" s="1"/>
      <c r="Y116" s="1"/>
      <c r="Z116" s="8"/>
      <c r="AA116" s="1"/>
      <c r="AB116" s="1"/>
      <c r="AC116" s="1"/>
      <c r="AD116" s="1"/>
      <c r="AE116" s="1"/>
      <c r="AF116" s="1"/>
      <c r="AG116" s="1"/>
      <c r="AH116" s="1" t="str">
        <f t="shared" si="1"/>
        <v/>
      </c>
      <c r="AI116" s="1"/>
    </row>
    <row r="117">
      <c r="A117" s="5">
        <f>IFERROR(__xludf.DUMMYFUNCTION("""COMPUTED_VALUE"""),44999.0)</f>
        <v>44999</v>
      </c>
      <c r="B117" s="14" t="str">
        <f>IFERROR(__xludf.DUMMYFUNCTION("""COMPUTED_VALUE"""),"Sebastian Restrepo Martinez ")</f>
        <v>Sebastian Restrepo Martinez </v>
      </c>
      <c r="C117" s="6" t="str">
        <f>IFERROR(__xludf.DUMMYFUNCTION("""COMPUTED_VALUE"""),"MEDELLÍN")</f>
        <v>MEDELLÍN</v>
      </c>
      <c r="D117" s="6" t="str">
        <f>IFERROR(__xludf.DUMMYFUNCTION("""COMPUTED_VALUE"""),"BOGOTÁ")</f>
        <v>BOGOTÁ</v>
      </c>
      <c r="E117" s="6" t="str">
        <f>IFERROR(__xludf.DUMMYFUNCTION("""COMPUTED_VALUE"""),"Evamazzita")</f>
        <v>Evamazzita</v>
      </c>
      <c r="F117" s="1" t="str">
        <f>IFERROR(__xludf.DUMMYFUNCTION("""COMPUTED_VALUE"""),"calle 75 sur # 47-27  / apto 1002 , edificio puerto Madero  / SABANETA - calle larga")</f>
        <v>calle 75 sur # 47-27  / apto 1002 , edificio puerto Madero  / SABANETA - calle larga</v>
      </c>
      <c r="G117" s="6" t="str">
        <f>IFERROR(__xludf.DUMMYFUNCTION("""COMPUTED_VALUE"""),"ANGELA TREJOS")</f>
        <v>ANGELA TREJOS</v>
      </c>
      <c r="H117" s="7">
        <f>IFERROR(__xludf.DUMMYFUNCTION("""COMPUTED_VALUE"""),8821.0)</f>
        <v>8821</v>
      </c>
      <c r="I117" s="7">
        <f>IFERROR(__xludf.DUMMYFUNCTION("""COMPUTED_VALUE"""),3.0)</f>
        <v>3</v>
      </c>
      <c r="J117" s="7">
        <f>IFERROR(__xludf.DUMMYFUNCTION("""COMPUTED_VALUE"""),20.0)</f>
        <v>20</v>
      </c>
      <c r="K117" s="7">
        <f>IFERROR(__xludf.DUMMYFUNCTION("""COMPUTED_VALUE"""),15.0)</f>
        <v>15</v>
      </c>
      <c r="L117" s="8">
        <f>IFERROR(__xludf.DUMMYFUNCTION("""COMPUTED_VALUE"""),3.206748172E9)</f>
        <v>3206748172</v>
      </c>
      <c r="M117" s="9" t="str">
        <f>IFERROR(__xludf.DUMMYFUNCTION("""COMPUTED_VALUE"""),"#REF!")</f>
        <v>#REF!</v>
      </c>
      <c r="N117" s="1"/>
      <c r="O117" s="3" t="str">
        <f>IFERROR(__xludf.DUMMYFUNCTION("""COMPUTED_VALUE"""),"")</f>
        <v/>
      </c>
      <c r="P117" s="9" t="b">
        <f>IFERROR(__xludf.DUMMYFUNCTION("""COMPUTED_VALUE"""),FALSE)</f>
        <v>0</v>
      </c>
      <c r="Q117" s="10" t="str">
        <f>IFERROR(__xludf.DUMMYFUNCTION("""COMPUTED_VALUE"""),"")</f>
        <v/>
      </c>
      <c r="R117" s="11" t="str">
        <f>IFERROR(__xludf.DUMMYFUNCTION("""COMPUTED_VALUE"""),"https://drive.google.com/file/d/10siFTyYgLMKCAIdyM7EHelvC-ixyBoSX/view?usp=drivesdk")</f>
        <v>https://drive.google.com/file/d/10siFTyYgLMKCAIdyM7EHelvC-ixyBoSX/view?usp=drivesdk</v>
      </c>
      <c r="S117" s="1" t="str">
        <f t="shared" si="2"/>
        <v/>
      </c>
      <c r="T117" s="1" t="str">
        <f t="shared" si="3"/>
        <v/>
      </c>
      <c r="U117" s="1" t="str">
        <f t="shared" si="4"/>
        <v/>
      </c>
      <c r="V117" s="1"/>
      <c r="W117" s="1"/>
      <c r="X117" s="1"/>
      <c r="Y117" s="1"/>
      <c r="Z117" s="8"/>
      <c r="AA117" s="1"/>
      <c r="AB117" s="1"/>
      <c r="AC117" s="1"/>
      <c r="AD117" s="1"/>
      <c r="AE117" s="1"/>
      <c r="AF117" s="1"/>
      <c r="AG117" s="1"/>
      <c r="AH117" s="1" t="str">
        <f t="shared" si="1"/>
        <v/>
      </c>
      <c r="AI117" s="1"/>
    </row>
    <row r="118">
      <c r="A118" s="5">
        <f>IFERROR(__xludf.DUMMYFUNCTION("""COMPUTED_VALUE"""),44999.0)</f>
        <v>44999</v>
      </c>
      <c r="B118" s="14" t="str">
        <f>IFERROR(__xludf.DUMMYFUNCTION("""COMPUTED_VALUE"""),"Sebastian Restrepo Martinez ")</f>
        <v>Sebastian Restrepo Martinez </v>
      </c>
      <c r="C118" s="6" t="str">
        <f>IFERROR(__xludf.DUMMYFUNCTION("""COMPUTED_VALUE"""),"MEDELLÍN")</f>
        <v>MEDELLÍN</v>
      </c>
      <c r="D118" s="6" t="str">
        <f>IFERROR(__xludf.DUMMYFUNCTION("""COMPUTED_VALUE"""),"BOGOTÁ")</f>
        <v>BOGOTÁ</v>
      </c>
      <c r="E118" s="6" t="str">
        <f>IFERROR(__xludf.DUMMYFUNCTION("""COMPUTED_VALUE"""),"Evamazzita")</f>
        <v>Evamazzita</v>
      </c>
      <c r="F118" s="1" t="str">
        <f>IFERROR(__xludf.DUMMYFUNCTION("""COMPUTED_VALUE"""),"CALLE 83 B # 57 88  / PRIMER PISO  / ITAGÜÍ - VIVIENDAS DEL SUR")</f>
        <v>CALLE 83 B # 57 88  / PRIMER PISO  / ITAGÜÍ - VIVIENDAS DEL SUR</v>
      </c>
      <c r="G118" s="6" t="str">
        <f>IFERROR(__xludf.DUMMYFUNCTION("""COMPUTED_VALUE"""),"JUSTINE COLORADO GUTIERREZ")</f>
        <v>JUSTINE COLORADO GUTIERREZ</v>
      </c>
      <c r="H118" s="7">
        <f>IFERROR(__xludf.DUMMYFUNCTION("""COMPUTED_VALUE"""),8818.0)</f>
        <v>8818</v>
      </c>
      <c r="I118" s="7">
        <f>IFERROR(__xludf.DUMMYFUNCTION("""COMPUTED_VALUE"""),3.0)</f>
        <v>3</v>
      </c>
      <c r="J118" s="7">
        <f>IFERROR(__xludf.DUMMYFUNCTION("""COMPUTED_VALUE"""),20.0)</f>
        <v>20</v>
      </c>
      <c r="K118" s="7">
        <f>IFERROR(__xludf.DUMMYFUNCTION("""COMPUTED_VALUE"""),15.0)</f>
        <v>15</v>
      </c>
      <c r="L118" s="8">
        <f>IFERROR(__xludf.DUMMYFUNCTION("""COMPUTED_VALUE"""),3.146532342E9)</f>
        <v>3146532342</v>
      </c>
      <c r="M118" s="9" t="str">
        <f>IFERROR(__xludf.DUMMYFUNCTION("""COMPUTED_VALUE"""),"#REF!")</f>
        <v>#REF!</v>
      </c>
      <c r="N118" s="1"/>
      <c r="O118" s="3" t="str">
        <f>IFERROR(__xludf.DUMMYFUNCTION("""COMPUTED_VALUE"""),"")</f>
        <v/>
      </c>
      <c r="P118" s="9" t="b">
        <f>IFERROR(__xludf.DUMMYFUNCTION("""COMPUTED_VALUE"""),FALSE)</f>
        <v>0</v>
      </c>
      <c r="Q118" s="10" t="str">
        <f>IFERROR(__xludf.DUMMYFUNCTION("""COMPUTED_VALUE"""),"")</f>
        <v/>
      </c>
      <c r="R118" s="11" t="str">
        <f>IFERROR(__xludf.DUMMYFUNCTION("""COMPUTED_VALUE"""),"https://drive.google.com/file/d/1d1DF2XKNGiQEY0bQDZ-YkgyHLjaukPVO/view?usp=drivesdk")</f>
        <v>https://drive.google.com/file/d/1d1DF2XKNGiQEY0bQDZ-YkgyHLjaukPVO/view?usp=drivesdk</v>
      </c>
      <c r="S118" s="1" t="str">
        <f t="shared" si="2"/>
        <v/>
      </c>
      <c r="T118" s="1" t="str">
        <f t="shared" si="3"/>
        <v/>
      </c>
      <c r="U118" s="1" t="str">
        <f t="shared" si="4"/>
        <v/>
      </c>
      <c r="V118" s="1"/>
      <c r="W118" s="1"/>
      <c r="X118" s="1"/>
      <c r="Y118" s="1"/>
      <c r="Z118" s="8"/>
      <c r="AA118" s="1"/>
      <c r="AB118" s="1"/>
      <c r="AC118" s="1"/>
      <c r="AD118" s="1"/>
      <c r="AE118" s="1"/>
      <c r="AF118" s="1"/>
      <c r="AG118" s="1"/>
      <c r="AH118" s="1" t="str">
        <f t="shared" si="1"/>
        <v/>
      </c>
      <c r="AI118" s="1"/>
    </row>
    <row r="119">
      <c r="A119" s="5">
        <f>IFERROR(__xludf.DUMMYFUNCTION("""COMPUTED_VALUE"""),44999.0)</f>
        <v>44999</v>
      </c>
      <c r="B119" s="14" t="str">
        <f>IFERROR(__xludf.DUMMYFUNCTION("""COMPUTED_VALUE"""),"Sebastian Restrepo Martinez ")</f>
        <v>Sebastian Restrepo Martinez </v>
      </c>
      <c r="C119" s="6" t="str">
        <f>IFERROR(__xludf.DUMMYFUNCTION("""COMPUTED_VALUE"""),"MEDELLÍN")</f>
        <v>MEDELLÍN</v>
      </c>
      <c r="D119" s="6" t="str">
        <f>IFERROR(__xludf.DUMMYFUNCTION("""COMPUTED_VALUE"""),"BOGOTÁ")</f>
        <v>BOGOTÁ</v>
      </c>
      <c r="E119" s="6" t="str">
        <f>IFERROR(__xludf.DUMMYFUNCTION("""COMPUTED_VALUE"""),"Evamazzita")</f>
        <v>Evamazzita</v>
      </c>
      <c r="F119" s="1" t="str">
        <f>IFERROR(__xludf.DUMMYFUNCTION("""COMPUTED_VALUE"""),"CARRERA 25 A # 38 D SUR - 111  / URBANIZACIÓN CASTELLI TORRE 2 APTO. 312 / ENVIGADO")</f>
        <v>CARRERA 25 A # 38 D SUR - 111  / URBANIZACIÓN CASTELLI TORRE 2 APTO. 312 / ENVIGADO</v>
      </c>
      <c r="G119" s="6" t="str">
        <f>IFERROR(__xludf.DUMMYFUNCTION("""COMPUTED_VALUE"""),"JULIANA CHICA")</f>
        <v>JULIANA CHICA</v>
      </c>
      <c r="H119" s="7">
        <f>IFERROR(__xludf.DUMMYFUNCTION("""COMPUTED_VALUE"""),8814.0)</f>
        <v>8814</v>
      </c>
      <c r="I119" s="7">
        <f>IFERROR(__xludf.DUMMYFUNCTION("""COMPUTED_VALUE"""),3.0)</f>
        <v>3</v>
      </c>
      <c r="J119" s="7">
        <f>IFERROR(__xludf.DUMMYFUNCTION("""COMPUTED_VALUE"""),20.0)</f>
        <v>20</v>
      </c>
      <c r="K119" s="7">
        <f>IFERROR(__xludf.DUMMYFUNCTION("""COMPUTED_VALUE"""),15.0)</f>
        <v>15</v>
      </c>
      <c r="L119" s="8">
        <f>IFERROR(__xludf.DUMMYFUNCTION("""COMPUTED_VALUE"""),3.2187153E9)</f>
        <v>3218715300</v>
      </c>
      <c r="M119" s="9" t="str">
        <f>IFERROR(__xludf.DUMMYFUNCTION("""COMPUTED_VALUE"""),"#REF!")</f>
        <v>#REF!</v>
      </c>
      <c r="N119" s="1"/>
      <c r="O119" s="3" t="str">
        <f>IFERROR(__xludf.DUMMYFUNCTION("""COMPUTED_VALUE"""),"")</f>
        <v/>
      </c>
      <c r="P119" s="9" t="b">
        <f>IFERROR(__xludf.DUMMYFUNCTION("""COMPUTED_VALUE"""),TRUE)</f>
        <v>1</v>
      </c>
      <c r="Q119" s="13">
        <f>IFERROR(__xludf.DUMMYFUNCTION("""COMPUTED_VALUE"""),44999.638187916666)</f>
        <v>44999.63819</v>
      </c>
      <c r="R119" s="11" t="str">
        <f>IFERROR(__xludf.DUMMYFUNCTION("""COMPUTED_VALUE"""),"https://drive.google.com/file/d/13FUeVbPyTAyLps1yVeHd17PS4UiRWxXX/view?usp=drivesdk")</f>
        <v>https://drive.google.com/file/d/13FUeVbPyTAyLps1yVeHd17PS4UiRWxXX/view?usp=drivesdk</v>
      </c>
      <c r="S119" s="1" t="str">
        <f t="shared" si="2"/>
        <v/>
      </c>
      <c r="T119" s="1" t="str">
        <f t="shared" si="3"/>
        <v/>
      </c>
      <c r="U119" s="1" t="str">
        <f t="shared" si="4"/>
        <v/>
      </c>
      <c r="V119" s="1"/>
      <c r="W119" s="1"/>
      <c r="X119" s="1"/>
      <c r="Y119" s="1"/>
      <c r="Z119" s="8"/>
      <c r="AA119" s="1"/>
      <c r="AB119" s="1"/>
      <c r="AC119" s="1"/>
      <c r="AD119" s="1"/>
      <c r="AE119" s="1"/>
      <c r="AF119" s="1"/>
      <c r="AG119" s="1"/>
      <c r="AH119" s="1" t="str">
        <f t="shared" si="1"/>
        <v/>
      </c>
      <c r="AI119" s="1"/>
    </row>
    <row r="120">
      <c r="A120" s="5">
        <f>IFERROR(__xludf.DUMMYFUNCTION("""COMPUTED_VALUE"""),44999.0)</f>
        <v>44999</v>
      </c>
      <c r="B120" s="14" t="str">
        <f>IFERROR(__xludf.DUMMYFUNCTION("""COMPUTED_VALUE"""),"Sebastian Restrepo Martinez ")</f>
        <v>Sebastian Restrepo Martinez </v>
      </c>
      <c r="C120" s="6" t="str">
        <f>IFERROR(__xludf.DUMMYFUNCTION("""COMPUTED_VALUE"""),"MEDELLÍN")</f>
        <v>MEDELLÍN</v>
      </c>
      <c r="D120" s="6" t="str">
        <f>IFERROR(__xludf.DUMMYFUNCTION("""COMPUTED_VALUE"""),"BOGOTÁ")</f>
        <v>BOGOTÁ</v>
      </c>
      <c r="E120" s="6" t="str">
        <f>IFERROR(__xludf.DUMMYFUNCTION("""COMPUTED_VALUE"""),"Evamazzita")</f>
        <v>Evamazzita</v>
      </c>
      <c r="F120" s="1" t="str">
        <f>IFERROR(__xludf.DUMMYFUNCTION("""COMPUTED_VALUE"""),"Cll 101D # 63 d 45  / int 201   / Barrio belalcazar sector caribia")</f>
        <v>Cll 101D # 63 d 45  / int 201   / Barrio belalcazar sector caribia</v>
      </c>
      <c r="G120" s="6" t="str">
        <f>IFERROR(__xludf.DUMMYFUNCTION("""COMPUTED_VALUE"""),"LEIDY JULIANA CORREA TORRES")</f>
        <v>LEIDY JULIANA CORREA TORRES</v>
      </c>
      <c r="H120" s="7">
        <f>IFERROR(__xludf.DUMMYFUNCTION("""COMPUTED_VALUE"""),8819.0)</f>
        <v>8819</v>
      </c>
      <c r="I120" s="7">
        <f>IFERROR(__xludf.DUMMYFUNCTION("""COMPUTED_VALUE"""),3.0)</f>
        <v>3</v>
      </c>
      <c r="J120" s="7">
        <f>IFERROR(__xludf.DUMMYFUNCTION("""COMPUTED_VALUE"""),20.0)</f>
        <v>20</v>
      </c>
      <c r="K120" s="7">
        <f>IFERROR(__xludf.DUMMYFUNCTION("""COMPUTED_VALUE"""),15.0)</f>
        <v>15</v>
      </c>
      <c r="L120" s="8">
        <f>IFERROR(__xludf.DUMMYFUNCTION("""COMPUTED_VALUE"""),3.023089427E9)</f>
        <v>3023089427</v>
      </c>
      <c r="M120" s="9" t="str">
        <f>IFERROR(__xludf.DUMMYFUNCTION("""COMPUTED_VALUE"""),"#REF!")</f>
        <v>#REF!</v>
      </c>
      <c r="N120" s="1"/>
      <c r="O120" s="3" t="str">
        <f>IFERROR(__xludf.DUMMYFUNCTION("""COMPUTED_VALUE"""),"")</f>
        <v/>
      </c>
      <c r="P120" s="9" t="b">
        <f>IFERROR(__xludf.DUMMYFUNCTION("""COMPUTED_VALUE"""),FALSE)</f>
        <v>0</v>
      </c>
      <c r="Q120" s="10" t="str">
        <f>IFERROR(__xludf.DUMMYFUNCTION("""COMPUTED_VALUE"""),"")</f>
        <v/>
      </c>
      <c r="R120" s="11" t="str">
        <f>IFERROR(__xludf.DUMMYFUNCTION("""COMPUTED_VALUE"""),"https://drive.google.com/file/d/1g97oz8mHL2Tdldg6sarFz5Ru89IVA6Rx/view?usp=drivesdk")</f>
        <v>https://drive.google.com/file/d/1g97oz8mHL2Tdldg6sarFz5Ru89IVA6Rx/view?usp=drivesdk</v>
      </c>
      <c r="S120" s="1" t="str">
        <f t="shared" si="2"/>
        <v/>
      </c>
      <c r="T120" s="1" t="str">
        <f t="shared" si="3"/>
        <v/>
      </c>
      <c r="U120" s="1" t="str">
        <f t="shared" si="4"/>
        <v/>
      </c>
      <c r="V120" s="1"/>
      <c r="W120" s="1"/>
      <c r="X120" s="1"/>
      <c r="Y120" s="1"/>
      <c r="Z120" s="8"/>
      <c r="AA120" s="1"/>
      <c r="AB120" s="1"/>
      <c r="AC120" s="1"/>
      <c r="AD120" s="1"/>
      <c r="AE120" s="1"/>
      <c r="AF120" s="1"/>
      <c r="AG120" s="1"/>
      <c r="AH120" s="1" t="str">
        <f t="shared" si="1"/>
        <v/>
      </c>
      <c r="AI120" s="1"/>
    </row>
    <row r="121">
      <c r="A121" s="5">
        <f>IFERROR(__xludf.DUMMYFUNCTION("""COMPUTED_VALUE"""),44999.0)</f>
        <v>44999</v>
      </c>
      <c r="B121" s="14" t="str">
        <f>IFERROR(__xludf.DUMMYFUNCTION("""COMPUTED_VALUE"""),"Sebastian Restrepo Martinez ")</f>
        <v>Sebastian Restrepo Martinez </v>
      </c>
      <c r="C121" s="6" t="str">
        <f>IFERROR(__xludf.DUMMYFUNCTION("""COMPUTED_VALUE"""),"MEDELLÍN")</f>
        <v>MEDELLÍN</v>
      </c>
      <c r="D121" s="6" t="str">
        <f>IFERROR(__xludf.DUMMYFUNCTION("""COMPUTED_VALUE"""),"BOGOTÁ")</f>
        <v>BOGOTÁ</v>
      </c>
      <c r="E121" s="6" t="str">
        <f>IFERROR(__xludf.DUMMYFUNCTION("""COMPUTED_VALUE"""),"Evamazzita")</f>
        <v>Evamazzita</v>
      </c>
      <c r="F121" s="1" t="str">
        <f>IFERROR(__xludf.DUMMYFUNCTION("""COMPUTED_VALUE"""),"Cr 27 AA # 36 sur 160   / Nativo Arena, apto 1209  / ENVIGADO - Loma del chocho, al frente del colegio Cumbres")</f>
        <v>Cr 27 AA # 36 sur 160   / Nativo Arena, apto 1209  / ENVIGADO - Loma del chocho, al frente del colegio Cumbres</v>
      </c>
      <c r="G121" s="6" t="str">
        <f>IFERROR(__xludf.DUMMYFUNCTION("""COMPUTED_VALUE"""),"DIANA MACIA")</f>
        <v>DIANA MACIA</v>
      </c>
      <c r="H121" s="7">
        <f>IFERROR(__xludf.DUMMYFUNCTION("""COMPUTED_VALUE"""),8815.0)</f>
        <v>8815</v>
      </c>
      <c r="I121" s="7">
        <f>IFERROR(__xludf.DUMMYFUNCTION("""COMPUTED_VALUE"""),3.0)</f>
        <v>3</v>
      </c>
      <c r="J121" s="7">
        <f>IFERROR(__xludf.DUMMYFUNCTION("""COMPUTED_VALUE"""),20.0)</f>
        <v>20</v>
      </c>
      <c r="K121" s="7">
        <f>IFERROR(__xludf.DUMMYFUNCTION("""COMPUTED_VALUE"""),15.0)</f>
        <v>15</v>
      </c>
      <c r="L121" s="8">
        <f>IFERROR(__xludf.DUMMYFUNCTION("""COMPUTED_VALUE"""),3.16742218E9)</f>
        <v>3167422180</v>
      </c>
      <c r="M121" s="9" t="str">
        <f>IFERROR(__xludf.DUMMYFUNCTION("""COMPUTED_VALUE"""),"#REF!")</f>
        <v>#REF!</v>
      </c>
      <c r="N121" s="1"/>
      <c r="O121" s="3" t="str">
        <f>IFERROR(__xludf.DUMMYFUNCTION("""COMPUTED_VALUE"""),"")</f>
        <v/>
      </c>
      <c r="P121" s="9" t="b">
        <f>IFERROR(__xludf.DUMMYFUNCTION("""COMPUTED_VALUE"""),FALSE)</f>
        <v>0</v>
      </c>
      <c r="Q121" s="10" t="str">
        <f>IFERROR(__xludf.DUMMYFUNCTION("""COMPUTED_VALUE"""),"")</f>
        <v/>
      </c>
      <c r="R121" s="11" t="str">
        <f>IFERROR(__xludf.DUMMYFUNCTION("""COMPUTED_VALUE"""),"https://drive.google.com/file/d/1Ea1rz_Kr-IE51dKHM2-ktgdU9t2oPKgG/view?usp=drivesdk")</f>
        <v>https://drive.google.com/file/d/1Ea1rz_Kr-IE51dKHM2-ktgdU9t2oPKgG/view?usp=drivesdk</v>
      </c>
      <c r="S121" s="1" t="str">
        <f t="shared" si="2"/>
        <v/>
      </c>
      <c r="T121" s="1" t="str">
        <f t="shared" si="3"/>
        <v/>
      </c>
      <c r="U121" s="1" t="str">
        <f t="shared" si="4"/>
        <v/>
      </c>
      <c r="V121" s="1"/>
      <c r="W121" s="1"/>
      <c r="X121" s="1"/>
      <c r="Y121" s="1"/>
      <c r="Z121" s="8"/>
      <c r="AA121" s="1"/>
      <c r="AB121" s="1"/>
      <c r="AC121" s="1"/>
      <c r="AD121" s="1"/>
      <c r="AE121" s="1"/>
      <c r="AF121" s="1"/>
      <c r="AG121" s="1"/>
      <c r="AH121" s="1" t="str">
        <f t="shared" si="1"/>
        <v/>
      </c>
      <c r="AI121" s="1"/>
    </row>
    <row r="122">
      <c r="A122" s="5">
        <f>IFERROR(__xludf.DUMMYFUNCTION("""COMPUTED_VALUE"""),44999.0)</f>
        <v>44999</v>
      </c>
      <c r="B122" s="14" t="str">
        <f>IFERROR(__xludf.DUMMYFUNCTION("""COMPUTED_VALUE"""),"Sebastian Restrepo Martinez ")</f>
        <v>Sebastian Restrepo Martinez </v>
      </c>
      <c r="C122" s="6" t="str">
        <f>IFERROR(__xludf.DUMMYFUNCTION("""COMPUTED_VALUE"""),"MEDELLÍN")</f>
        <v>MEDELLÍN</v>
      </c>
      <c r="D122" s="6" t="str">
        <f>IFERROR(__xludf.DUMMYFUNCTION("""COMPUTED_VALUE"""),"BOGOTÁ")</f>
        <v>BOGOTÁ</v>
      </c>
      <c r="E122" s="6" t="str">
        <f>IFERROR(__xludf.DUMMYFUNCTION("""COMPUTED_VALUE"""),"Evamazzita")</f>
        <v>Evamazzita</v>
      </c>
      <c r="F122" s="1" t="str">
        <f>IFERROR(__xludf.DUMMYFUNCTION("""COMPUTED_VALUE"""),"CRA 15 BA No. 34D- 44  / INT 201 /  BUENOS AIRES")</f>
        <v>CRA 15 BA No. 34D- 44  / INT 201 /  BUENOS AIRES</v>
      </c>
      <c r="G122" s="6" t="str">
        <f>IFERROR(__xludf.DUMMYFUNCTION("""COMPUTED_VALUE"""),"DANIELA BEDOYA BLANDON")</f>
        <v>DANIELA BEDOYA BLANDON</v>
      </c>
      <c r="H122" s="7">
        <f>IFERROR(__xludf.DUMMYFUNCTION("""COMPUTED_VALUE"""),8822.0)</f>
        <v>8822</v>
      </c>
      <c r="I122" s="7">
        <f>IFERROR(__xludf.DUMMYFUNCTION("""COMPUTED_VALUE"""),22.0)</f>
        <v>22</v>
      </c>
      <c r="J122" s="7">
        <f>IFERROR(__xludf.DUMMYFUNCTION("""COMPUTED_VALUE"""),40.0)</f>
        <v>40</v>
      </c>
      <c r="K122" s="7">
        <f>IFERROR(__xludf.DUMMYFUNCTION("""COMPUTED_VALUE"""),17.0)</f>
        <v>17</v>
      </c>
      <c r="L122" s="8">
        <f>IFERROR(__xludf.DUMMYFUNCTION("""COMPUTED_VALUE"""),3.14672822E9)</f>
        <v>3146728220</v>
      </c>
      <c r="M122" s="9" t="str">
        <f>IFERROR(__xludf.DUMMYFUNCTION("""COMPUTED_VALUE"""),"#REF!")</f>
        <v>#REF!</v>
      </c>
      <c r="N122" s="1"/>
      <c r="O122" s="3" t="str">
        <f>IFERROR(__xludf.DUMMYFUNCTION("""COMPUTED_VALUE"""),"")</f>
        <v/>
      </c>
      <c r="P122" s="9" t="b">
        <f>IFERROR(__xludf.DUMMYFUNCTION("""COMPUTED_VALUE"""),FALSE)</f>
        <v>0</v>
      </c>
      <c r="Q122" s="10" t="str">
        <f>IFERROR(__xludf.DUMMYFUNCTION("""COMPUTED_VALUE"""),"")</f>
        <v/>
      </c>
      <c r="R122" s="11" t="str">
        <f>IFERROR(__xludf.DUMMYFUNCTION("""COMPUTED_VALUE"""),"https://drive.google.com/file/d/1S7tbVsoyBrfoJP3XENGVzMD_BPEw0JMK/view?usp=drivesdk")</f>
        <v>https://drive.google.com/file/d/1S7tbVsoyBrfoJP3XENGVzMD_BPEw0JMK/view?usp=drivesdk</v>
      </c>
      <c r="S122" s="1" t="str">
        <f t="shared" si="2"/>
        <v/>
      </c>
      <c r="T122" s="1" t="str">
        <f t="shared" si="3"/>
        <v/>
      </c>
      <c r="U122" s="1" t="str">
        <f t="shared" si="4"/>
        <v/>
      </c>
      <c r="V122" s="1"/>
      <c r="W122" s="1"/>
      <c r="X122" s="1"/>
      <c r="Y122" s="1"/>
      <c r="Z122" s="8"/>
      <c r="AA122" s="1"/>
      <c r="AB122" s="1"/>
      <c r="AC122" s="1"/>
      <c r="AD122" s="1"/>
      <c r="AE122" s="1"/>
      <c r="AF122" s="1"/>
      <c r="AG122" s="1"/>
      <c r="AH122" s="1" t="str">
        <f t="shared" si="1"/>
        <v/>
      </c>
      <c r="AI122" s="1"/>
    </row>
    <row r="123">
      <c r="A123" s="5">
        <f>IFERROR(__xludf.DUMMYFUNCTION("""COMPUTED_VALUE"""),44999.0)</f>
        <v>44999</v>
      </c>
      <c r="B123" s="14" t="str">
        <f>IFERROR(__xludf.DUMMYFUNCTION("""COMPUTED_VALUE"""),"Sebastian Restrepo Martinez ")</f>
        <v>Sebastian Restrepo Martinez </v>
      </c>
      <c r="C123" s="6" t="str">
        <f>IFERROR(__xludf.DUMMYFUNCTION("""COMPUTED_VALUE"""),"MEDELLÍN")</f>
        <v>MEDELLÍN</v>
      </c>
      <c r="D123" s="6" t="str">
        <f>IFERROR(__xludf.DUMMYFUNCTION("""COMPUTED_VALUE"""),"BOGOTÁ")</f>
        <v>BOGOTÁ</v>
      </c>
      <c r="E123" s="6" t="str">
        <f>IFERROR(__xludf.DUMMYFUNCTION("""COMPUTED_VALUE"""),"Evamazzita")</f>
        <v>Evamazzita</v>
      </c>
      <c r="F123" s="1" t="str">
        <f>IFERROR(__xludf.DUMMYFUNCTION("""COMPUTED_VALUE"""),"Cra 49b #26b-50.  / Unidad Ciudad central apto 924  / BELLO - Barrio madera")</f>
        <v>Cra 49b #26b-50.  / Unidad Ciudad central apto 924  / BELLO - Barrio madera</v>
      </c>
      <c r="G123" s="6" t="str">
        <f>IFERROR(__xludf.DUMMYFUNCTION("""COMPUTED_VALUE"""),"GENESIS ABACHE")</f>
        <v>GENESIS ABACHE</v>
      </c>
      <c r="H123" s="7">
        <f>IFERROR(__xludf.DUMMYFUNCTION("""COMPUTED_VALUE"""),8811.0)</f>
        <v>8811</v>
      </c>
      <c r="I123" s="7">
        <f>IFERROR(__xludf.DUMMYFUNCTION("""COMPUTED_VALUE"""),3.0)</f>
        <v>3</v>
      </c>
      <c r="J123" s="7">
        <f>IFERROR(__xludf.DUMMYFUNCTION("""COMPUTED_VALUE"""),20.0)</f>
        <v>20</v>
      </c>
      <c r="K123" s="7">
        <f>IFERROR(__xludf.DUMMYFUNCTION("""COMPUTED_VALUE"""),15.0)</f>
        <v>15</v>
      </c>
      <c r="L123" s="8">
        <f>IFERROR(__xludf.DUMMYFUNCTION("""COMPUTED_VALUE"""),3.042479672E9)</f>
        <v>3042479672</v>
      </c>
      <c r="M123" s="9" t="str">
        <f>IFERROR(__xludf.DUMMYFUNCTION("""COMPUTED_VALUE"""),"#REF!")</f>
        <v>#REF!</v>
      </c>
      <c r="N123" s="1"/>
      <c r="O123" s="3" t="str">
        <f>IFERROR(__xludf.DUMMYFUNCTION("""COMPUTED_VALUE"""),"")</f>
        <v/>
      </c>
      <c r="P123" s="9" t="b">
        <f>IFERROR(__xludf.DUMMYFUNCTION("""COMPUTED_VALUE"""),FALSE)</f>
        <v>0</v>
      </c>
      <c r="Q123" s="10" t="str">
        <f>IFERROR(__xludf.DUMMYFUNCTION("""COMPUTED_VALUE"""),"")</f>
        <v/>
      </c>
      <c r="R123" s="11" t="str">
        <f>IFERROR(__xludf.DUMMYFUNCTION("""COMPUTED_VALUE"""),"https://drive.google.com/file/d/1_cQLetYcmojUFmYpKz9sTpFTiiKf8aEb/view?usp=drivesdk")</f>
        <v>https://drive.google.com/file/d/1_cQLetYcmojUFmYpKz9sTpFTiiKf8aEb/view?usp=drivesdk</v>
      </c>
      <c r="S123" s="1" t="str">
        <f t="shared" si="2"/>
        <v/>
      </c>
      <c r="T123" s="1" t="str">
        <f t="shared" si="3"/>
        <v/>
      </c>
      <c r="U123" s="1" t="str">
        <f t="shared" si="4"/>
        <v/>
      </c>
      <c r="V123" s="1"/>
      <c r="W123" s="1"/>
      <c r="X123" s="1"/>
      <c r="Y123" s="1"/>
      <c r="Z123" s="8"/>
      <c r="AA123" s="1"/>
      <c r="AB123" s="1"/>
      <c r="AC123" s="1"/>
      <c r="AD123" s="1"/>
      <c r="AE123" s="1"/>
      <c r="AF123" s="1"/>
      <c r="AG123" s="1"/>
      <c r="AH123" s="1" t="str">
        <f t="shared" si="1"/>
        <v/>
      </c>
      <c r="AI123" s="1"/>
    </row>
    <row r="124">
      <c r="A124" s="5">
        <f>IFERROR(__xludf.DUMMYFUNCTION("""COMPUTED_VALUE"""),44999.0)</f>
        <v>44999</v>
      </c>
      <c r="B124" s="14" t="str">
        <f>IFERROR(__xludf.DUMMYFUNCTION("""COMPUTED_VALUE"""),"Sebastian Restrepo Martinez ")</f>
        <v>Sebastian Restrepo Martinez </v>
      </c>
      <c r="C124" s="6" t="str">
        <f>IFERROR(__xludf.DUMMYFUNCTION("""COMPUTED_VALUE"""),"MEDELLÍN")</f>
        <v>MEDELLÍN</v>
      </c>
      <c r="D124" s="6" t="str">
        <f>IFERROR(__xludf.DUMMYFUNCTION("""COMPUTED_VALUE"""),"BOGOTÁ")</f>
        <v>BOGOTÁ</v>
      </c>
      <c r="E124" s="6" t="str">
        <f>IFERROR(__xludf.DUMMYFUNCTION("""COMPUTED_VALUE"""),"Evamazzita")</f>
        <v>Evamazzita</v>
      </c>
      <c r="F124" s="1" t="str">
        <f>IFERROR(__xludf.DUMMYFUNCTION("""COMPUTED_VALUE"""),"Cra 58 # 60-14  / apto 302  / BELLO - buenos aires")</f>
        <v>Cra 58 # 60-14  / apto 302  / BELLO - buenos aires</v>
      </c>
      <c r="G124" s="6" t="str">
        <f>IFERROR(__xludf.DUMMYFUNCTION("""COMPUTED_VALUE"""),"ALEJANDRA MARCELA PEREZ RAMIREZ")</f>
        <v>ALEJANDRA MARCELA PEREZ RAMIREZ</v>
      </c>
      <c r="H124" s="7">
        <f>IFERROR(__xludf.DUMMYFUNCTION("""COMPUTED_VALUE"""),8812.0)</f>
        <v>8812</v>
      </c>
      <c r="I124" s="7">
        <f>IFERROR(__xludf.DUMMYFUNCTION("""COMPUTED_VALUE"""),3.0)</f>
        <v>3</v>
      </c>
      <c r="J124" s="7">
        <f>IFERROR(__xludf.DUMMYFUNCTION("""COMPUTED_VALUE"""),20.0)</f>
        <v>20</v>
      </c>
      <c r="K124" s="7">
        <f>IFERROR(__xludf.DUMMYFUNCTION("""COMPUTED_VALUE"""),15.0)</f>
        <v>15</v>
      </c>
      <c r="L124" s="8">
        <f>IFERROR(__xludf.DUMMYFUNCTION("""COMPUTED_VALUE"""),3.136858024E9)</f>
        <v>3136858024</v>
      </c>
      <c r="M124" s="9" t="str">
        <f>IFERROR(__xludf.DUMMYFUNCTION("""COMPUTED_VALUE"""),"#REF!")</f>
        <v>#REF!</v>
      </c>
      <c r="N124" s="1"/>
      <c r="O124" s="3" t="str">
        <f>IFERROR(__xludf.DUMMYFUNCTION("""COMPUTED_VALUE"""),"")</f>
        <v/>
      </c>
      <c r="P124" s="9" t="b">
        <f>IFERROR(__xludf.DUMMYFUNCTION("""COMPUTED_VALUE"""),FALSE)</f>
        <v>0</v>
      </c>
      <c r="Q124" s="10" t="str">
        <f>IFERROR(__xludf.DUMMYFUNCTION("""COMPUTED_VALUE"""),"")</f>
        <v/>
      </c>
      <c r="R124" s="11" t="str">
        <f>IFERROR(__xludf.DUMMYFUNCTION("""COMPUTED_VALUE"""),"https://drive.google.com/file/d/1T1lxDDsvKTEYZp4cw8ItT0_gahaUyM_A/view?usp=drivesdk")</f>
        <v>https://drive.google.com/file/d/1T1lxDDsvKTEYZp4cw8ItT0_gahaUyM_A/view?usp=drivesdk</v>
      </c>
      <c r="S124" s="1" t="str">
        <f t="shared" si="2"/>
        <v/>
      </c>
      <c r="T124" s="1" t="str">
        <f t="shared" si="3"/>
        <v/>
      </c>
      <c r="U124" s="1" t="str">
        <f t="shared" si="4"/>
        <v/>
      </c>
      <c r="V124" s="1"/>
      <c r="W124" s="1"/>
      <c r="X124" s="1"/>
      <c r="Y124" s="1"/>
      <c r="Z124" s="8"/>
      <c r="AA124" s="1"/>
      <c r="AB124" s="1"/>
      <c r="AC124" s="1"/>
      <c r="AD124" s="1"/>
      <c r="AE124" s="1"/>
      <c r="AF124" s="1"/>
      <c r="AG124" s="1"/>
      <c r="AH124" s="1" t="str">
        <f t="shared" si="1"/>
        <v/>
      </c>
      <c r="AI124" s="1"/>
    </row>
    <row r="125">
      <c r="A125" s="5">
        <f>IFERROR(__xludf.DUMMYFUNCTION("""COMPUTED_VALUE"""),44999.0)</f>
        <v>44999</v>
      </c>
      <c r="B125" s="14" t="str">
        <f>IFERROR(__xludf.DUMMYFUNCTION("""COMPUTED_VALUE"""),"Sebastian Restrepo Martinez ")</f>
        <v>Sebastian Restrepo Martinez </v>
      </c>
      <c r="C125" s="6" t="str">
        <f>IFERROR(__xludf.DUMMYFUNCTION("""COMPUTED_VALUE"""),"MEDELLÍN")</f>
        <v>MEDELLÍN</v>
      </c>
      <c r="D125" s="6" t="str">
        <f>IFERROR(__xludf.DUMMYFUNCTION("""COMPUTED_VALUE"""),"BOGOTÁ")</f>
        <v>BOGOTÁ</v>
      </c>
      <c r="E125" s="6" t="str">
        <f>IFERROR(__xludf.DUMMYFUNCTION("""COMPUTED_VALUE"""),"Ins. Alimento Vital")</f>
        <v>Ins. Alimento Vital</v>
      </c>
      <c r="F125" s="1" t="str">
        <f>IFERROR(__xludf.DUMMYFUNCTION("""COMPUTED_VALUE"""),"AV. 74B # 39B 142 / CASA NEGRA 2 PISO / BARRIO LAURELES")</f>
        <v>AV. 74B # 39B 142 / CASA NEGRA 2 PISO / BARRIO LAURELES</v>
      </c>
      <c r="G125" s="6" t="str">
        <f>IFERROR(__xludf.DUMMYFUNCTION("""COMPUTED_VALUE"""),"REPUBLICA INDEPENDIENTE")</f>
        <v>REPUBLICA INDEPENDIENTE</v>
      </c>
      <c r="H125" s="7">
        <f>IFERROR(__xludf.DUMMYFUNCTION("""COMPUTED_VALUE"""),8799.0)</f>
        <v>8799</v>
      </c>
      <c r="I125" s="7">
        <f>IFERROR(__xludf.DUMMYFUNCTION("""COMPUTED_VALUE"""),55.0)</f>
        <v>55</v>
      </c>
      <c r="J125" s="7">
        <f>IFERROR(__xludf.DUMMYFUNCTION("""COMPUTED_VALUE"""),45.0)</f>
        <v>45</v>
      </c>
      <c r="K125" s="2" t="str">
        <f>IFERROR(__xludf.DUMMYFUNCTION("""COMPUTED_VALUE"""),"52.5")</f>
        <v>52.5</v>
      </c>
      <c r="L125" s="8">
        <f>IFERROR(__xludf.DUMMYFUNCTION("""COMPUTED_VALUE"""),3.102324682E9)</f>
        <v>3102324682</v>
      </c>
      <c r="M125" s="9" t="str">
        <f>IFERROR(__xludf.DUMMYFUNCTION("""COMPUTED_VALUE"""),"#REF!")</f>
        <v>#REF!</v>
      </c>
      <c r="N125" s="1"/>
      <c r="O125" s="3" t="str">
        <f>IFERROR(__xludf.DUMMYFUNCTION("""COMPUTED_VALUE"""),"")</f>
        <v/>
      </c>
      <c r="P125" s="9" t="b">
        <f>IFERROR(__xludf.DUMMYFUNCTION("""COMPUTED_VALUE"""),FALSE)</f>
        <v>0</v>
      </c>
      <c r="Q125" s="10" t="str">
        <f>IFERROR(__xludf.DUMMYFUNCTION("""COMPUTED_VALUE"""),"")</f>
        <v/>
      </c>
      <c r="R125" s="12" t="str">
        <f>IFERROR(__xludf.DUMMYFUNCTION("""COMPUTED_VALUE"""),"")</f>
        <v/>
      </c>
      <c r="S125" s="1" t="str">
        <f t="shared" si="2"/>
        <v/>
      </c>
      <c r="T125" s="1" t="str">
        <f t="shared" si="3"/>
        <v/>
      </c>
      <c r="U125" s="1" t="str">
        <f t="shared" si="4"/>
        <v/>
      </c>
      <c r="V125" s="1"/>
      <c r="W125" s="1"/>
      <c r="X125" s="1"/>
      <c r="Y125" s="1"/>
      <c r="Z125" s="8"/>
      <c r="AA125" s="1"/>
      <c r="AB125" s="1"/>
      <c r="AC125" s="1"/>
      <c r="AD125" s="1"/>
      <c r="AE125" s="1"/>
      <c r="AF125" s="1"/>
      <c r="AG125" s="1"/>
      <c r="AH125" s="1" t="str">
        <f t="shared" si="1"/>
        <v/>
      </c>
      <c r="AI125" s="1"/>
    </row>
    <row r="126">
      <c r="A126" s="5">
        <f>IFERROR(__xludf.DUMMYFUNCTION("""COMPUTED_VALUE"""),44999.0)</f>
        <v>44999</v>
      </c>
      <c r="B126" s="14" t="str">
        <f>IFERROR(__xludf.DUMMYFUNCTION("""COMPUTED_VALUE"""),"Sebastian Restrepo Martinez ")</f>
        <v>Sebastian Restrepo Martinez </v>
      </c>
      <c r="C126" s="6" t="str">
        <f>IFERROR(__xludf.DUMMYFUNCTION("""COMPUTED_VALUE"""),"MEDELLÍN")</f>
        <v>MEDELLÍN</v>
      </c>
      <c r="D126" s="6" t="str">
        <f>IFERROR(__xludf.DUMMYFUNCTION("""COMPUTED_VALUE"""),"BOGOTÁ")</f>
        <v>BOGOTÁ</v>
      </c>
      <c r="E126" s="6" t="str">
        <f>IFERROR(__xludf.DUMMYFUNCTION("""COMPUTED_VALUE"""),"Loomifoods")</f>
        <v>Loomifoods</v>
      </c>
      <c r="F126" s="1" t="str">
        <f>IFERROR(__xludf.DUMMYFUNCTION("""COMPUTED_VALUE"""),"Cra 15 BA no. 34D - 44 / Interior 201 / Medellin")</f>
        <v>Cra 15 BA no. 34D - 44 / Interior 201 / Medellin</v>
      </c>
      <c r="G126" s="6" t="str">
        <f>IFERROR(__xludf.DUMMYFUNCTION("""COMPUTED_VALUE"""),"Daniela Bedoya")</f>
        <v>Daniela Bedoya</v>
      </c>
      <c r="H126" s="7">
        <f>IFERROR(__xludf.DUMMYFUNCTION("""COMPUTED_VALUE"""),8842.0)</f>
        <v>8842</v>
      </c>
      <c r="I126" s="7">
        <f>IFERROR(__xludf.DUMMYFUNCTION("""COMPUTED_VALUE"""),20.0)</f>
        <v>20</v>
      </c>
      <c r="J126" s="7">
        <f>IFERROR(__xludf.DUMMYFUNCTION("""COMPUTED_VALUE"""),10.0)</f>
        <v>10</v>
      </c>
      <c r="K126" s="7">
        <f>IFERROR(__xludf.DUMMYFUNCTION("""COMPUTED_VALUE"""),16.0)</f>
        <v>16</v>
      </c>
      <c r="L126" s="8">
        <f>IFERROR(__xludf.DUMMYFUNCTION("""COMPUTED_VALUE"""),3.14672822E9)</f>
        <v>3146728220</v>
      </c>
      <c r="M126" s="9" t="str">
        <f>IFERROR(__xludf.DUMMYFUNCTION("""COMPUTED_VALUE"""),"#REF!")</f>
        <v>#REF!</v>
      </c>
      <c r="N126" s="1"/>
      <c r="O126" s="3" t="str">
        <f>IFERROR(__xludf.DUMMYFUNCTION("""COMPUTED_VALUE"""),"")</f>
        <v/>
      </c>
      <c r="P126" s="9" t="b">
        <f>IFERROR(__xludf.DUMMYFUNCTION("""COMPUTED_VALUE"""),FALSE)</f>
        <v>0</v>
      </c>
      <c r="Q126" s="10" t="str">
        <f>IFERROR(__xludf.DUMMYFUNCTION("""COMPUTED_VALUE"""),"")</f>
        <v/>
      </c>
      <c r="R126" s="12" t="str">
        <f>IFERROR(__xludf.DUMMYFUNCTION("""COMPUTED_VALUE"""),"")</f>
        <v/>
      </c>
      <c r="S126" s="1" t="str">
        <f t="shared" si="2"/>
        <v/>
      </c>
      <c r="T126" s="1" t="str">
        <f t="shared" si="3"/>
        <v/>
      </c>
      <c r="U126" s="1" t="str">
        <f t="shared" si="4"/>
        <v/>
      </c>
      <c r="V126" s="1"/>
      <c r="W126" s="1"/>
      <c r="X126" s="1"/>
      <c r="Y126" s="1"/>
      <c r="Z126" s="8"/>
      <c r="AA126" s="1"/>
      <c r="AB126" s="1"/>
      <c r="AC126" s="1"/>
      <c r="AD126" s="1"/>
      <c r="AE126" s="1"/>
      <c r="AF126" s="1"/>
      <c r="AG126" s="1"/>
      <c r="AH126" s="1" t="str">
        <f t="shared" si="1"/>
        <v/>
      </c>
      <c r="AI126" s="1"/>
    </row>
    <row r="127">
      <c r="A127" s="5">
        <f>IFERROR(__xludf.DUMMYFUNCTION("""COMPUTED_VALUE"""),44999.0)</f>
        <v>44999</v>
      </c>
      <c r="B127" s="14" t="str">
        <f>IFERROR(__xludf.DUMMYFUNCTION("""COMPUTED_VALUE"""),"Sebastian Restrepo Martinez ")</f>
        <v>Sebastian Restrepo Martinez </v>
      </c>
      <c r="C127" s="6" t="str">
        <f>IFERROR(__xludf.DUMMYFUNCTION("""COMPUTED_VALUE"""),"MEDELLÍN")</f>
        <v>MEDELLÍN</v>
      </c>
      <c r="D127" s="6" t="str">
        <f>IFERROR(__xludf.DUMMYFUNCTION("""COMPUTED_VALUE"""),"BOGOTÁ")</f>
        <v>BOGOTÁ</v>
      </c>
      <c r="E127" s="6" t="str">
        <f>IFERROR(__xludf.DUMMYFUNCTION("""COMPUTED_VALUE"""),"Lunchy Kids")</f>
        <v>Lunchy Kids</v>
      </c>
      <c r="F127" s="1" t="str">
        <f>IFERROR(__xludf.DUMMYFUNCTION("""COMPUTED_VALUE"""),"Calle 33C # 88A - 93  / Urbanización Laureles. Apto 714. Torre 4 / Medellin")</f>
        <v>Calle 33C # 88A - 93  / Urbanización Laureles. Apto 714. Torre 4 / Medellin</v>
      </c>
      <c r="G127" s="6" t="str">
        <f>IFERROR(__xludf.DUMMYFUNCTION("""COMPUTED_VALUE"""),"Catalina Mesa González")</f>
        <v>Catalina Mesa González</v>
      </c>
      <c r="H127" s="7">
        <f>IFERROR(__xludf.DUMMYFUNCTION("""COMPUTED_VALUE"""),8771.0)</f>
        <v>8771</v>
      </c>
      <c r="I127" s="7">
        <f>IFERROR(__xludf.DUMMYFUNCTION("""COMPUTED_VALUE"""),15.0)</f>
        <v>15</v>
      </c>
      <c r="J127" s="7">
        <f>IFERROR(__xludf.DUMMYFUNCTION("""COMPUTED_VALUE"""),28.0)</f>
        <v>28</v>
      </c>
      <c r="K127" s="7">
        <f>IFERROR(__xludf.DUMMYFUNCTION("""COMPUTED_VALUE"""),6.0)</f>
        <v>6</v>
      </c>
      <c r="L127" s="8">
        <f>IFERROR(__xludf.DUMMYFUNCTION("""COMPUTED_VALUE"""),3.122960237E9)</f>
        <v>3122960237</v>
      </c>
      <c r="M127" s="9" t="str">
        <f>IFERROR(__xludf.DUMMYFUNCTION("""COMPUTED_VALUE"""),"#REF!")</f>
        <v>#REF!</v>
      </c>
      <c r="N127" s="1"/>
      <c r="O127" s="3" t="str">
        <f>IFERROR(__xludf.DUMMYFUNCTION("""COMPUTED_VALUE"""),"")</f>
        <v/>
      </c>
      <c r="P127" s="9" t="b">
        <f>IFERROR(__xludf.DUMMYFUNCTION("""COMPUTED_VALUE"""),FALSE)</f>
        <v>0</v>
      </c>
      <c r="Q127" s="10" t="str">
        <f>IFERROR(__xludf.DUMMYFUNCTION("""COMPUTED_VALUE"""),"")</f>
        <v/>
      </c>
      <c r="R127" s="11" t="str">
        <f>IFERROR(__xludf.DUMMYFUNCTION("""COMPUTED_VALUE"""),"https://drive.google.com/file/d/1FOtn8Z9mip8k_kswfowhBJ--3FHCOpgB/view?usp=drivesdk")</f>
        <v>https://drive.google.com/file/d/1FOtn8Z9mip8k_kswfowhBJ--3FHCOpgB/view?usp=drivesdk</v>
      </c>
      <c r="S127" s="1" t="str">
        <f t="shared" si="2"/>
        <v/>
      </c>
      <c r="T127" s="1" t="str">
        <f t="shared" si="3"/>
        <v/>
      </c>
      <c r="U127" s="1" t="str">
        <f t="shared" si="4"/>
        <v/>
      </c>
      <c r="V127" s="1"/>
      <c r="W127" s="1"/>
      <c r="X127" s="1"/>
      <c r="Y127" s="1"/>
      <c r="Z127" s="8"/>
      <c r="AA127" s="1"/>
      <c r="AB127" s="1"/>
      <c r="AC127" s="1"/>
      <c r="AD127" s="1"/>
      <c r="AE127" s="1"/>
      <c r="AF127" s="1"/>
      <c r="AG127" s="1"/>
      <c r="AH127" s="1" t="str">
        <f t="shared" si="1"/>
        <v/>
      </c>
      <c r="AI127" s="1"/>
    </row>
    <row r="128">
      <c r="A128" s="5">
        <f>IFERROR(__xludf.DUMMYFUNCTION("""COMPUTED_VALUE"""),44999.0)</f>
        <v>44999</v>
      </c>
      <c r="B128" s="14" t="str">
        <f>IFERROR(__xludf.DUMMYFUNCTION("""COMPUTED_VALUE"""),"Sebastian Restrepo Martinez ")</f>
        <v>Sebastian Restrepo Martinez </v>
      </c>
      <c r="C128" s="6" t="str">
        <f>IFERROR(__xludf.DUMMYFUNCTION("""COMPUTED_VALUE"""),"MEDELLÍN")</f>
        <v>MEDELLÍN</v>
      </c>
      <c r="D128" s="6" t="str">
        <f>IFERROR(__xludf.DUMMYFUNCTION("""COMPUTED_VALUE"""),"BOGOTÁ")</f>
        <v>BOGOTÁ</v>
      </c>
      <c r="E128" s="6" t="str">
        <f>IFERROR(__xludf.DUMMYFUNCTION("""COMPUTED_VALUE"""),"Lunchy Kids")</f>
        <v>Lunchy Kids</v>
      </c>
      <c r="F128" s="1" t="str">
        <f>IFERROR(__xludf.DUMMYFUNCTION("""COMPUTED_VALUE"""),"Calle 7 # 80-119  / Sendero de los bernal . Apto 1502  / Medellin")</f>
        <v>Calle 7 # 80-119  / Sendero de los bernal . Apto 1502  / Medellin</v>
      </c>
      <c r="G128" s="6" t="str">
        <f>IFERROR(__xludf.DUMMYFUNCTION("""COMPUTED_VALUE"""),"Alejandra Bonilla")</f>
        <v>Alejandra Bonilla</v>
      </c>
      <c r="H128" s="7">
        <f>IFERROR(__xludf.DUMMYFUNCTION("""COMPUTED_VALUE"""),8766.0)</f>
        <v>8766</v>
      </c>
      <c r="I128" s="7">
        <f>IFERROR(__xludf.DUMMYFUNCTION("""COMPUTED_VALUE"""),18.0)</f>
        <v>18</v>
      </c>
      <c r="J128" s="7">
        <f>IFERROR(__xludf.DUMMYFUNCTION("""COMPUTED_VALUE"""),28.0)</f>
        <v>28</v>
      </c>
      <c r="K128" s="7">
        <f>IFERROR(__xludf.DUMMYFUNCTION("""COMPUTED_VALUE"""),19.0)</f>
        <v>19</v>
      </c>
      <c r="L128" s="8">
        <f>IFERROR(__xludf.DUMMYFUNCTION("""COMPUTED_VALUE"""),3.166204995E9)</f>
        <v>3166204995</v>
      </c>
      <c r="M128" s="9" t="str">
        <f>IFERROR(__xludf.DUMMYFUNCTION("""COMPUTED_VALUE"""),"#REF!")</f>
        <v>#REF!</v>
      </c>
      <c r="N128" s="1"/>
      <c r="O128" s="3" t="str">
        <f>IFERROR(__xludf.DUMMYFUNCTION("""COMPUTED_VALUE"""),"")</f>
        <v/>
      </c>
      <c r="P128" s="9" t="b">
        <f>IFERROR(__xludf.DUMMYFUNCTION("""COMPUTED_VALUE"""),FALSE)</f>
        <v>0</v>
      </c>
      <c r="Q128" s="10" t="str">
        <f>IFERROR(__xludf.DUMMYFUNCTION("""COMPUTED_VALUE"""),"")</f>
        <v/>
      </c>
      <c r="R128" s="11" t="str">
        <f>IFERROR(__xludf.DUMMYFUNCTION("""COMPUTED_VALUE"""),"https://drive.google.com/file/d/1tPDT-otaL1u6pXpi0KJBvErylubW3h7v/view?usp=drivesdk")</f>
        <v>https://drive.google.com/file/d/1tPDT-otaL1u6pXpi0KJBvErylubW3h7v/view?usp=drivesdk</v>
      </c>
      <c r="S128" s="1" t="str">
        <f t="shared" si="2"/>
        <v/>
      </c>
      <c r="T128" s="1" t="str">
        <f t="shared" si="3"/>
        <v/>
      </c>
      <c r="U128" s="1" t="str">
        <f t="shared" si="4"/>
        <v/>
      </c>
      <c r="V128" s="1"/>
      <c r="W128" s="1"/>
      <c r="X128" s="1"/>
      <c r="Y128" s="1"/>
      <c r="Z128" s="8"/>
      <c r="AA128" s="1"/>
      <c r="AB128" s="1"/>
      <c r="AC128" s="1"/>
      <c r="AD128" s="1"/>
      <c r="AE128" s="1"/>
      <c r="AF128" s="1"/>
      <c r="AG128" s="1"/>
      <c r="AH128" s="1" t="str">
        <f t="shared" si="1"/>
        <v/>
      </c>
      <c r="AI128" s="1"/>
    </row>
    <row r="129">
      <c r="A129" s="5">
        <f>IFERROR(__xludf.DUMMYFUNCTION("""COMPUTED_VALUE"""),44999.0)</f>
        <v>44999</v>
      </c>
      <c r="B129" s="14" t="str">
        <f>IFERROR(__xludf.DUMMYFUNCTION("""COMPUTED_VALUE"""),"Sebastian Restrepo Martinez ")</f>
        <v>Sebastian Restrepo Martinez </v>
      </c>
      <c r="C129" s="6" t="str">
        <f>IFERROR(__xludf.DUMMYFUNCTION("""COMPUTED_VALUE"""),"MEDELLÍN")</f>
        <v>MEDELLÍN</v>
      </c>
      <c r="D129" s="6" t="str">
        <f>IFERROR(__xludf.DUMMYFUNCTION("""COMPUTED_VALUE"""),"BOGOTÁ")</f>
        <v>BOGOTÁ</v>
      </c>
      <c r="E129" s="6" t="str">
        <f>IFERROR(__xludf.DUMMYFUNCTION("""COMPUTED_VALUE"""),"Lunchy Kids")</f>
        <v>Lunchy Kids</v>
      </c>
      <c r="F129" s="1" t="str">
        <f>IFERROR(__xludf.DUMMYFUNCTION("""COMPUTED_VALUE"""),"Calle 75ab sur # 52d-332  / Ceiba Verde vivo. Apto 3008  / Itagui")</f>
        <v>Calle 75ab sur # 52d-332  / Ceiba Verde vivo. Apto 3008  / Itagui</v>
      </c>
      <c r="G129" s="6" t="str">
        <f>IFERROR(__xludf.DUMMYFUNCTION("""COMPUTED_VALUE"""),"Jerutsa Catalina Orjuela")</f>
        <v>Jerutsa Catalina Orjuela</v>
      </c>
      <c r="H129" s="7">
        <f>IFERROR(__xludf.DUMMYFUNCTION("""COMPUTED_VALUE"""),8794.0)</f>
        <v>8794</v>
      </c>
      <c r="I129" s="7">
        <f>IFERROR(__xludf.DUMMYFUNCTION("""COMPUTED_VALUE"""),15.0)</f>
        <v>15</v>
      </c>
      <c r="J129" s="7">
        <f>IFERROR(__xludf.DUMMYFUNCTION("""COMPUTED_VALUE"""),23.0)</f>
        <v>23</v>
      </c>
      <c r="K129" s="7">
        <f>IFERROR(__xludf.DUMMYFUNCTION("""COMPUTED_VALUE"""),6.0)</f>
        <v>6</v>
      </c>
      <c r="L129" s="8">
        <f>IFERROR(__xludf.DUMMYFUNCTION("""COMPUTED_VALUE"""),3.017274432E9)</f>
        <v>3017274432</v>
      </c>
      <c r="M129" s="9" t="str">
        <f>IFERROR(__xludf.DUMMYFUNCTION("""COMPUTED_VALUE"""),"#REF!")</f>
        <v>#REF!</v>
      </c>
      <c r="N129" s="1"/>
      <c r="O129" s="3" t="str">
        <f>IFERROR(__xludf.DUMMYFUNCTION("""COMPUTED_VALUE"""),"")</f>
        <v/>
      </c>
      <c r="P129" s="9" t="b">
        <f>IFERROR(__xludf.DUMMYFUNCTION("""COMPUTED_VALUE"""),FALSE)</f>
        <v>0</v>
      </c>
      <c r="Q129" s="10" t="str">
        <f>IFERROR(__xludf.DUMMYFUNCTION("""COMPUTED_VALUE"""),"")</f>
        <v/>
      </c>
      <c r="R129" s="11" t="str">
        <f>IFERROR(__xludf.DUMMYFUNCTION("""COMPUTED_VALUE"""),"https://drive.google.com/file/d/1nUJo6YBO0S-viIWVdr2pypXW9Ti1zzKj/view?usp=drivesdk")</f>
        <v>https://drive.google.com/file/d/1nUJo6YBO0S-viIWVdr2pypXW9Ti1zzKj/view?usp=drivesdk</v>
      </c>
      <c r="S129" s="1" t="str">
        <f t="shared" si="2"/>
        <v/>
      </c>
      <c r="T129" s="1" t="str">
        <f t="shared" si="3"/>
        <v/>
      </c>
      <c r="U129" s="1" t="str">
        <f t="shared" si="4"/>
        <v/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 t="str">
        <f t="shared" si="1"/>
        <v/>
      </c>
      <c r="AI129" s="1"/>
    </row>
    <row r="130">
      <c r="A130" s="5">
        <f>IFERROR(__xludf.DUMMYFUNCTION("""COMPUTED_VALUE"""),44999.0)</f>
        <v>44999</v>
      </c>
      <c r="B130" s="14" t="str">
        <f>IFERROR(__xludf.DUMMYFUNCTION("""COMPUTED_VALUE"""),"Sebastian Restrepo Martinez ")</f>
        <v>Sebastian Restrepo Martinez </v>
      </c>
      <c r="C130" s="6" t="str">
        <f>IFERROR(__xludf.DUMMYFUNCTION("""COMPUTED_VALUE"""),"MEDELLÍN")</f>
        <v>MEDELLÍN</v>
      </c>
      <c r="D130" s="6" t="str">
        <f>IFERROR(__xludf.DUMMYFUNCTION("""COMPUTED_VALUE"""),"BOGOTÁ")</f>
        <v>BOGOTÁ</v>
      </c>
      <c r="E130" s="6" t="str">
        <f>IFERROR(__xludf.DUMMYFUNCTION("""COMPUTED_VALUE"""),"Lunchy Kids")</f>
        <v>Lunchy Kids</v>
      </c>
      <c r="F130" s="1" t="str">
        <f>IFERROR(__xludf.DUMMYFUNCTION("""COMPUTED_VALUE"""),"Cra 25A # 38D Sur - 111 / Urbanización Castelli - Torre 2 - Apto 312  / Envigado")</f>
        <v>Cra 25A # 38D Sur - 111 / Urbanización Castelli - Torre 2 - Apto 312  / Envigado</v>
      </c>
      <c r="G130" s="6" t="str">
        <f>IFERROR(__xludf.DUMMYFUNCTION("""COMPUTED_VALUE"""),"Juliana Chica Marin")</f>
        <v>Juliana Chica Marin</v>
      </c>
      <c r="H130" s="7">
        <f>IFERROR(__xludf.DUMMYFUNCTION("""COMPUTED_VALUE"""),8767.0)</f>
        <v>8767</v>
      </c>
      <c r="I130" s="7">
        <f>IFERROR(__xludf.DUMMYFUNCTION("""COMPUTED_VALUE"""),10.0)</f>
        <v>10</v>
      </c>
      <c r="J130" s="7">
        <f>IFERROR(__xludf.DUMMYFUNCTION("""COMPUTED_VALUE"""),22.0)</f>
        <v>22</v>
      </c>
      <c r="K130" s="7">
        <f>IFERROR(__xludf.DUMMYFUNCTION("""COMPUTED_VALUE"""),3.0)</f>
        <v>3</v>
      </c>
      <c r="L130" s="8">
        <f>IFERROR(__xludf.DUMMYFUNCTION("""COMPUTED_VALUE"""),3.2187153E9)</f>
        <v>3218715300</v>
      </c>
      <c r="M130" s="9" t="str">
        <f>IFERROR(__xludf.DUMMYFUNCTION("""COMPUTED_VALUE"""),"#REF!")</f>
        <v>#REF!</v>
      </c>
      <c r="N130" s="1"/>
      <c r="O130" s="3" t="str">
        <f>IFERROR(__xludf.DUMMYFUNCTION("""COMPUTED_VALUE"""),"")</f>
        <v/>
      </c>
      <c r="P130" s="9" t="b">
        <f>IFERROR(__xludf.DUMMYFUNCTION("""COMPUTED_VALUE"""),FALSE)</f>
        <v>0</v>
      </c>
      <c r="Q130" s="10" t="str">
        <f>IFERROR(__xludf.DUMMYFUNCTION("""COMPUTED_VALUE"""),"")</f>
        <v/>
      </c>
      <c r="R130" s="11" t="str">
        <f>IFERROR(__xludf.DUMMYFUNCTION("""COMPUTED_VALUE"""),"https://drive.google.com/file/d/1O9QUOvrTC7YZEXu5DJpJOt3Q-EL-2n_c/view?usp=drivesdk")</f>
        <v>https://drive.google.com/file/d/1O9QUOvrTC7YZEXu5DJpJOt3Q-EL-2n_c/view?usp=drivesdk</v>
      </c>
      <c r="S130" s="1" t="str">
        <f t="shared" si="2"/>
        <v/>
      </c>
      <c r="T130" s="1" t="str">
        <f t="shared" si="3"/>
        <v/>
      </c>
      <c r="U130" s="1" t="str">
        <f t="shared" si="4"/>
        <v/>
      </c>
      <c r="V130" s="1"/>
      <c r="W130" s="1"/>
      <c r="X130" s="1"/>
      <c r="Y130" s="1"/>
      <c r="Z130" s="8"/>
      <c r="AA130" s="1"/>
      <c r="AB130" s="1"/>
      <c r="AC130" s="1"/>
      <c r="AD130" s="1"/>
      <c r="AE130" s="1"/>
      <c r="AF130" s="1"/>
      <c r="AG130" s="1"/>
      <c r="AH130" s="1" t="str">
        <f t="shared" si="1"/>
        <v/>
      </c>
      <c r="AI130" s="1"/>
    </row>
    <row r="131">
      <c r="A131" s="5">
        <f>IFERROR(__xludf.DUMMYFUNCTION("""COMPUTED_VALUE"""),44999.0)</f>
        <v>44999</v>
      </c>
      <c r="B131" s="14" t="str">
        <f>IFERROR(__xludf.DUMMYFUNCTION("""COMPUTED_VALUE"""),"Sebastian Restrepo Martinez ")</f>
        <v>Sebastian Restrepo Martinez </v>
      </c>
      <c r="C131" s="6" t="str">
        <f>IFERROR(__xludf.DUMMYFUNCTION("""COMPUTED_VALUE"""),"MEDELLÍN")</f>
        <v>MEDELLÍN</v>
      </c>
      <c r="D131" s="6" t="str">
        <f>IFERROR(__xludf.DUMMYFUNCTION("""COMPUTED_VALUE"""),"BOGOTÁ")</f>
        <v>BOGOTÁ</v>
      </c>
      <c r="E131" s="6" t="str">
        <f>IFERROR(__xludf.DUMMYFUNCTION("""COMPUTED_VALUE"""),"MAI ALIMENTOS S.A.S")</f>
        <v>MAI ALIMENTOS S.A.S</v>
      </c>
      <c r="F131" s="1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131" s="6" t="str">
        <f>IFERROR(__xludf.DUMMYFUNCTION("""COMPUTED_VALUE"""),"Novaventas - Medellin")</f>
        <v>Novaventas - Medellin</v>
      </c>
      <c r="H131" s="7">
        <f>IFERROR(__xludf.DUMMYFUNCTION("""COMPUTED_VALUE"""),8761.0)</f>
        <v>8761</v>
      </c>
      <c r="I131" s="7">
        <f>IFERROR(__xludf.DUMMYFUNCTION("""COMPUTED_VALUE"""),35.0)</f>
        <v>35</v>
      </c>
      <c r="J131" s="7">
        <f>IFERROR(__xludf.DUMMYFUNCTION("""COMPUTED_VALUE"""),17.0)</f>
        <v>17</v>
      </c>
      <c r="K131" s="7">
        <f>IFERROR(__xludf.DUMMYFUNCTION("""COMPUTED_VALUE"""),13.0)</f>
        <v>13</v>
      </c>
      <c r="L131" s="8">
        <f>IFERROR(__xludf.DUMMYFUNCTION("""COMPUTED_VALUE"""),3.187351593E9)</f>
        <v>3187351593</v>
      </c>
      <c r="M131" s="9" t="str">
        <f>IFERROR(__xludf.DUMMYFUNCTION("""COMPUTED_VALUE"""),"#REF!")</f>
        <v>#REF!</v>
      </c>
      <c r="N131" s="1"/>
      <c r="O131" s="3" t="str">
        <f>IFERROR(__xludf.DUMMYFUNCTION("""COMPUTED_VALUE"""),"")</f>
        <v/>
      </c>
      <c r="P131" s="9" t="b">
        <f>IFERROR(__xludf.DUMMYFUNCTION("""COMPUTED_VALUE"""),FALSE)</f>
        <v>0</v>
      </c>
      <c r="Q131" s="10" t="str">
        <f>IFERROR(__xludf.DUMMYFUNCTION("""COMPUTED_VALUE"""),"")</f>
        <v/>
      </c>
      <c r="R131" s="12" t="str">
        <f>IFERROR(__xludf.DUMMYFUNCTION("""COMPUTED_VALUE"""),"")</f>
        <v/>
      </c>
      <c r="S131" s="1" t="str">
        <f t="shared" si="2"/>
        <v/>
      </c>
      <c r="T131" s="1" t="str">
        <f t="shared" si="3"/>
        <v/>
      </c>
      <c r="U131" s="1" t="str">
        <f t="shared" si="4"/>
        <v/>
      </c>
      <c r="V131" s="1"/>
      <c r="W131" s="1"/>
      <c r="X131" s="1"/>
      <c r="Y131" s="1"/>
      <c r="Z131" s="8"/>
      <c r="AA131" s="1"/>
      <c r="AB131" s="1"/>
      <c r="AC131" s="1"/>
      <c r="AD131" s="1"/>
      <c r="AE131" s="1"/>
      <c r="AF131" s="1"/>
      <c r="AG131" s="1"/>
      <c r="AH131" s="1" t="str">
        <f t="shared" si="1"/>
        <v/>
      </c>
      <c r="AI131" s="1"/>
    </row>
    <row r="132">
      <c r="A132" s="5">
        <f>IFERROR(__xludf.DUMMYFUNCTION("""COMPUTED_VALUE"""),44999.0)</f>
        <v>44999</v>
      </c>
      <c r="B132" s="14" t="str">
        <f>IFERROR(__xludf.DUMMYFUNCTION("""COMPUTED_VALUE"""),"Sebastian Restrepo Martinez ")</f>
        <v>Sebastian Restrepo Martinez </v>
      </c>
      <c r="C132" s="6" t="str">
        <f>IFERROR(__xludf.DUMMYFUNCTION("""COMPUTED_VALUE"""),"MEDELLÍN")</f>
        <v>MEDELLÍN</v>
      </c>
      <c r="D132" s="6" t="str">
        <f>IFERROR(__xludf.DUMMYFUNCTION("""COMPUTED_VALUE"""),"BOGOTÁ")</f>
        <v>BOGOTÁ</v>
      </c>
      <c r="E132" s="6" t="str">
        <f>IFERROR(__xludf.DUMMYFUNCTION("""COMPUTED_VALUE"""),"Pan de Waffle")</f>
        <v>Pan de Waffle</v>
      </c>
      <c r="F132" s="1" t="str">
        <f>IFERROR(__xludf.DUMMYFUNCTION("""COMPUTED_VALUE"""),"KM 17 VIA Las Palmas Mall Indiana LOCAL 122  / KM 17 VIA Las Palmas Mall Indiana LOCAL 122  / KM 17 VIA Las Palmas Mall Indiana LOCAL 122")</f>
        <v>KM 17 VIA Las Palmas Mall Indiana LOCAL 122  / KM 17 VIA Las Palmas Mall Indiana LOCAL 122  / KM 17 VIA Las Palmas Mall Indiana LOCAL 122</v>
      </c>
      <c r="G132" s="6" t="str">
        <f>IFERROR(__xludf.DUMMYFUNCTION("""COMPUTED_VALUE"""),"CONSCIENCIA DEL SER . ESPIRITU DE TIERRA")</f>
        <v>CONSCIENCIA DEL SER . ESPIRITU DE TIERRA</v>
      </c>
      <c r="H132" s="7">
        <f>IFERROR(__xludf.DUMMYFUNCTION("""COMPUTED_VALUE"""),8838.0)</f>
        <v>8838</v>
      </c>
      <c r="I132" s="7">
        <f>IFERROR(__xludf.DUMMYFUNCTION("""COMPUTED_VALUE"""),100.0)</f>
        <v>100</v>
      </c>
      <c r="J132" s="7">
        <f>IFERROR(__xludf.DUMMYFUNCTION("""COMPUTED_VALUE"""),10.0)</f>
        <v>10</v>
      </c>
      <c r="K132" s="7">
        <f>IFERROR(__xludf.DUMMYFUNCTION("""COMPUTED_VALUE"""),45115.0)</f>
        <v>45115</v>
      </c>
      <c r="L132" s="8">
        <f>IFERROR(__xludf.DUMMYFUNCTION("""COMPUTED_VALUE"""),3.20865425E9)</f>
        <v>3208654250</v>
      </c>
      <c r="M132" s="9" t="str">
        <f>IFERROR(__xludf.DUMMYFUNCTION("""COMPUTED_VALUE"""),"#REF!")</f>
        <v>#REF!</v>
      </c>
      <c r="N132" s="1"/>
      <c r="O132" s="3" t="str">
        <f>IFERROR(__xludf.DUMMYFUNCTION("""COMPUTED_VALUE"""),"")</f>
        <v/>
      </c>
      <c r="P132" s="9" t="b">
        <f>IFERROR(__xludf.DUMMYFUNCTION("""COMPUTED_VALUE"""),FALSE)</f>
        <v>0</v>
      </c>
      <c r="Q132" s="10" t="str">
        <f>IFERROR(__xludf.DUMMYFUNCTION("""COMPUTED_VALUE"""),"")</f>
        <v/>
      </c>
      <c r="R132" s="11" t="str">
        <f>IFERROR(__xludf.DUMMYFUNCTION("""COMPUTED_VALUE"""),"https://drive.google.com/file/d/1sfCKs6whLLUVL6wNEFxFIszYMO0tyMo9/view?usp=drivesdk")</f>
        <v>https://drive.google.com/file/d/1sfCKs6whLLUVL6wNEFxFIszYMO0tyMo9/view?usp=drivesdk</v>
      </c>
      <c r="S132" s="1" t="str">
        <f t="shared" si="2"/>
        <v/>
      </c>
      <c r="T132" s="1" t="str">
        <f t="shared" si="3"/>
        <v/>
      </c>
      <c r="U132" s="1" t="str">
        <f t="shared" si="4"/>
        <v/>
      </c>
      <c r="V132" s="1"/>
      <c r="W132" s="1"/>
      <c r="X132" s="1"/>
      <c r="Y132" s="1"/>
      <c r="Z132" s="8"/>
      <c r="AA132" s="1"/>
      <c r="AB132" s="1"/>
      <c r="AC132" s="1"/>
      <c r="AD132" s="1"/>
      <c r="AE132" s="1"/>
      <c r="AF132" s="1"/>
      <c r="AG132" s="1"/>
      <c r="AH132" s="1" t="str">
        <f t="shared" si="1"/>
        <v/>
      </c>
      <c r="AI132" s="1"/>
    </row>
    <row r="133">
      <c r="A133" s="5">
        <f>IFERROR(__xludf.DUMMYFUNCTION("""COMPUTED_VALUE"""),44999.0)</f>
        <v>44999</v>
      </c>
      <c r="B133" s="14" t="str">
        <f>IFERROR(__xludf.DUMMYFUNCTION("""COMPUTED_VALUE"""),"Sebastian Restrepo Martinez ")</f>
        <v>Sebastian Restrepo Martinez </v>
      </c>
      <c r="C133" s="6" t="str">
        <f>IFERROR(__xludf.DUMMYFUNCTION("""COMPUTED_VALUE"""),"MEDELLÍN")</f>
        <v>MEDELLÍN</v>
      </c>
      <c r="D133" s="6" t="str">
        <f>IFERROR(__xludf.DUMMYFUNCTION("""COMPUTED_VALUE"""),"BOGOTÁ")</f>
        <v>BOGOTÁ</v>
      </c>
      <c r="E133" s="6" t="str">
        <f>IFERROR(__xludf.DUMMYFUNCTION("""COMPUTED_VALUE"""),"Spirulina Fresca")</f>
        <v>Spirulina Fresca</v>
      </c>
      <c r="F133" s="1" t="str">
        <f>IFERROR(__xludf.DUMMYFUNCTION("""COMPUTED_VALUE"""),"Calle 37 B Sur # 27 D- 44. Apartamento 509. Conjunto Rosedal. Loma de las Brujas, Envigado / Apto 509 / Loma las Brujas")</f>
        <v>Calle 37 B Sur # 27 D- 44. Apartamento 509. Conjunto Rosedal. Loma de las Brujas, Envigado / Apto 509 / Loma las Brujas</v>
      </c>
      <c r="G133" s="6" t="str">
        <f>IFERROR(__xludf.DUMMYFUNCTION("""COMPUTED_VALUE"""),"Camilo Charria")</f>
        <v>Camilo Charria</v>
      </c>
      <c r="H133" s="7">
        <f>IFERROR(__xludf.DUMMYFUNCTION("""COMPUTED_VALUE"""),8760.0)</f>
        <v>8760</v>
      </c>
      <c r="I133" s="7">
        <f>IFERROR(__xludf.DUMMYFUNCTION("""COMPUTED_VALUE"""),25.0)</f>
        <v>25</v>
      </c>
      <c r="J133" s="7">
        <f>IFERROR(__xludf.DUMMYFUNCTION("""COMPUTED_VALUE"""),25.0)</f>
        <v>25</v>
      </c>
      <c r="K133" s="7">
        <f>IFERROR(__xludf.DUMMYFUNCTION("""COMPUTED_VALUE"""),40.0)</f>
        <v>40</v>
      </c>
      <c r="L133" s="8">
        <f>IFERROR(__xludf.DUMMYFUNCTION("""COMPUTED_VALUE"""),3.208856948E9)</f>
        <v>3208856948</v>
      </c>
      <c r="M133" s="9" t="str">
        <f>IFERROR(__xludf.DUMMYFUNCTION("""COMPUTED_VALUE"""),"#REF!")</f>
        <v>#REF!</v>
      </c>
      <c r="N133" s="1"/>
      <c r="O133" s="3" t="str">
        <f>IFERROR(__xludf.DUMMYFUNCTION("""COMPUTED_VALUE"""),"")</f>
        <v/>
      </c>
      <c r="P133" s="9" t="b">
        <f>IFERROR(__xludf.DUMMYFUNCTION("""COMPUTED_VALUE"""),FALSE)</f>
        <v>0</v>
      </c>
      <c r="Q133" s="10" t="str">
        <f>IFERROR(__xludf.DUMMYFUNCTION("""COMPUTED_VALUE"""),"")</f>
        <v/>
      </c>
      <c r="R133" s="12" t="str">
        <f>IFERROR(__xludf.DUMMYFUNCTION("""COMPUTED_VALUE"""),"")</f>
        <v/>
      </c>
      <c r="S133" s="1" t="str">
        <f t="shared" si="2"/>
        <v/>
      </c>
      <c r="T133" s="1" t="str">
        <f t="shared" si="3"/>
        <v/>
      </c>
      <c r="U133" s="1" t="str">
        <f t="shared" si="4"/>
        <v/>
      </c>
      <c r="V133" s="1"/>
      <c r="W133" s="1"/>
      <c r="X133" s="1"/>
      <c r="Y133" s="1"/>
      <c r="Z133" s="8"/>
      <c r="AA133" s="1"/>
      <c r="AB133" s="1"/>
      <c r="AC133" s="1"/>
      <c r="AD133" s="1"/>
      <c r="AE133" s="1"/>
      <c r="AF133" s="1"/>
      <c r="AG133" s="1"/>
      <c r="AH133" s="1" t="str">
        <f t="shared" si="1"/>
        <v/>
      </c>
      <c r="AI133" s="1"/>
    </row>
    <row r="134">
      <c r="A134" s="5">
        <f>IFERROR(__xludf.DUMMYFUNCTION("""COMPUTED_VALUE"""),44999.0)</f>
        <v>44999</v>
      </c>
      <c r="B134" s="14" t="str">
        <f>IFERROR(__xludf.DUMMYFUNCTION("""COMPUTED_VALUE"""),"Sebastian Restrepo Martinez ")</f>
        <v>Sebastian Restrepo Martinez </v>
      </c>
      <c r="C134" s="6" t="str">
        <f>IFERROR(__xludf.DUMMYFUNCTION("""COMPUTED_VALUE"""),"MEDELLÍN")</f>
        <v>MEDELLÍN</v>
      </c>
      <c r="D134" s="6" t="str">
        <f>IFERROR(__xludf.DUMMYFUNCTION("""COMPUTED_VALUE"""),"BOGOTÁ")</f>
        <v>BOGOTÁ</v>
      </c>
      <c r="E134" s="6" t="str">
        <f>IFERROR(__xludf.DUMMYFUNCTION("""COMPUTED_VALUE"""),"Sticky Snacks")</f>
        <v>Sticky Snacks</v>
      </c>
      <c r="F134" s="1" t="str">
        <f>IFERROR(__xludf.DUMMYFUNCTION("""COMPUTED_VALUE"""),"Calle 30 A # 83B-38 - MEDELLÍN ANTIOQUIA  / Apto 111 torre 3 / -")</f>
        <v>Calle 30 A # 83B-38 - MEDELLÍN ANTIOQUIA  / Apto 111 torre 3 / -</v>
      </c>
      <c r="G134" s="6" t="str">
        <f>IFERROR(__xludf.DUMMYFUNCTION("""COMPUTED_VALUE"""),"SANTIAGO ARANGO URIBE")</f>
        <v>SANTIAGO ARANGO URIBE</v>
      </c>
      <c r="H134" s="7">
        <f>IFERROR(__xludf.DUMMYFUNCTION("""COMPUTED_VALUE"""),8796.0)</f>
        <v>8796</v>
      </c>
      <c r="I134" s="7">
        <f>IFERROR(__xludf.DUMMYFUNCTION("""COMPUTED_VALUE"""),23.0)</f>
        <v>23</v>
      </c>
      <c r="J134" s="7">
        <f>IFERROR(__xludf.DUMMYFUNCTION("""COMPUTED_VALUE"""),25.0)</f>
        <v>25</v>
      </c>
      <c r="K134" s="7">
        <f>IFERROR(__xludf.DUMMYFUNCTION("""COMPUTED_VALUE"""),37.0)</f>
        <v>37</v>
      </c>
      <c r="L134" s="8">
        <f>IFERROR(__xludf.DUMMYFUNCTION("""COMPUTED_VALUE"""),3.0529815E9)</f>
        <v>3052981500</v>
      </c>
      <c r="M134" s="9" t="str">
        <f>IFERROR(__xludf.DUMMYFUNCTION("""COMPUTED_VALUE"""),"#REF!")</f>
        <v>#REF!</v>
      </c>
      <c r="N134" s="1"/>
      <c r="O134" s="3" t="str">
        <f>IFERROR(__xludf.DUMMYFUNCTION("""COMPUTED_VALUE"""),"")</f>
        <v/>
      </c>
      <c r="P134" s="9" t="b">
        <f>IFERROR(__xludf.DUMMYFUNCTION("""COMPUTED_VALUE"""),FALSE)</f>
        <v>0</v>
      </c>
      <c r="Q134" s="10" t="str">
        <f>IFERROR(__xludf.DUMMYFUNCTION("""COMPUTED_VALUE"""),"")</f>
        <v/>
      </c>
      <c r="R134" s="11" t="str">
        <f>IFERROR(__xludf.DUMMYFUNCTION("""COMPUTED_VALUE"""),"https://drive.google.com/file/d/1Msa3-j2y5V8a7neIudl7Dn_VCNZJ70n3/view?usp=drivesdk")</f>
        <v>https://drive.google.com/file/d/1Msa3-j2y5V8a7neIudl7Dn_VCNZJ70n3/view?usp=drivesdk</v>
      </c>
      <c r="S134" s="1" t="str">
        <f t="shared" si="2"/>
        <v/>
      </c>
      <c r="T134" s="1" t="str">
        <f t="shared" si="3"/>
        <v/>
      </c>
      <c r="U134" s="1" t="str">
        <f t="shared" si="4"/>
        <v/>
      </c>
      <c r="V134" s="1"/>
      <c r="W134" s="1"/>
      <c r="X134" s="1"/>
      <c r="Y134" s="1"/>
      <c r="Z134" s="8"/>
      <c r="AA134" s="1"/>
      <c r="AB134" s="1"/>
      <c r="AC134" s="1"/>
      <c r="AD134" s="1"/>
      <c r="AE134" s="1"/>
      <c r="AF134" s="1"/>
      <c r="AG134" s="1"/>
      <c r="AH134" s="1" t="str">
        <f t="shared" si="1"/>
        <v/>
      </c>
      <c r="AI134" s="1"/>
    </row>
    <row r="135">
      <c r="A135" s="5">
        <f>IFERROR(__xludf.DUMMYFUNCTION("""COMPUTED_VALUE"""),44999.0)</f>
        <v>44999</v>
      </c>
      <c r="B135" s="14" t="str">
        <f>IFERROR(__xludf.DUMMYFUNCTION("""COMPUTED_VALUE"""),"Sebastian Restrepo Martinez ")</f>
        <v>Sebastian Restrepo Martinez </v>
      </c>
      <c r="C135" s="6" t="str">
        <f>IFERROR(__xludf.DUMMYFUNCTION("""COMPUTED_VALUE"""),"MEDELLÍN")</f>
        <v>MEDELLÍN</v>
      </c>
      <c r="D135" s="6" t="str">
        <f>IFERROR(__xludf.DUMMYFUNCTION("""COMPUTED_VALUE"""),"BOGOTÁ")</f>
        <v>BOGOTÁ</v>
      </c>
      <c r="E135" s="6" t="str">
        <f>IFERROR(__xludf.DUMMYFUNCTION("""COMPUTED_VALUE"""),"Top Spun")</f>
        <v>Top Spun</v>
      </c>
      <c r="F135" s="1" t="str">
        <f>IFERROR(__xludf.DUMMYFUNCTION("""COMPUTED_VALUE"""),"Calle 29 #41-98 / apto 706 / El edificio se llama poblado de San Diego queda en la loma de San Julián")</f>
        <v>Calle 29 #41-98 / apto 706 / El edificio se llama poblado de San Diego queda en la loma de San Julián</v>
      </c>
      <c r="G135" s="6" t="str">
        <f>IFERROR(__xludf.DUMMYFUNCTION("""COMPUTED_VALUE"""),"Catalina López Barbosa")</f>
        <v>Catalina López Barbosa</v>
      </c>
      <c r="H135" s="7">
        <f>IFERROR(__xludf.DUMMYFUNCTION("""COMPUTED_VALUE"""),8778.0)</f>
        <v>8778</v>
      </c>
      <c r="I135" s="7">
        <f>IFERROR(__xludf.DUMMYFUNCTION("""COMPUTED_VALUE"""),20.0)</f>
        <v>20</v>
      </c>
      <c r="J135" s="7">
        <f>IFERROR(__xludf.DUMMYFUNCTION("""COMPUTED_VALUE"""),40.0)</f>
        <v>40</v>
      </c>
      <c r="K135" s="7">
        <f>IFERROR(__xludf.DUMMYFUNCTION("""COMPUTED_VALUE"""),10.0)</f>
        <v>10</v>
      </c>
      <c r="L135" s="8">
        <f>IFERROR(__xludf.DUMMYFUNCTION("""COMPUTED_VALUE"""),3.007876063E9)</f>
        <v>3007876063</v>
      </c>
      <c r="M135" s="9" t="str">
        <f>IFERROR(__xludf.DUMMYFUNCTION("""COMPUTED_VALUE"""),"#REF!")</f>
        <v>#REF!</v>
      </c>
      <c r="N135" s="1"/>
      <c r="O135" s="3" t="str">
        <f>IFERROR(__xludf.DUMMYFUNCTION("""COMPUTED_VALUE"""),"")</f>
        <v/>
      </c>
      <c r="P135" s="9" t="b">
        <f>IFERROR(__xludf.DUMMYFUNCTION("""COMPUTED_VALUE"""),FALSE)</f>
        <v>0</v>
      </c>
      <c r="Q135" s="10" t="str">
        <f>IFERROR(__xludf.DUMMYFUNCTION("""COMPUTED_VALUE"""),"")</f>
        <v/>
      </c>
      <c r="R135" s="11" t="str">
        <f>IFERROR(__xludf.DUMMYFUNCTION("""COMPUTED_VALUE"""),"https://drive.google.com/file/d/1J8rBcir8esXrBT9M6QWMBWsN0VOwtUbL/view?usp=drivesdk")</f>
        <v>https://drive.google.com/file/d/1J8rBcir8esXrBT9M6QWMBWsN0VOwtUbL/view?usp=drivesdk</v>
      </c>
      <c r="S135" s="1" t="str">
        <f t="shared" si="2"/>
        <v/>
      </c>
      <c r="T135" s="1" t="str">
        <f t="shared" si="3"/>
        <v/>
      </c>
      <c r="U135" s="1" t="str">
        <f t="shared" si="4"/>
        <v/>
      </c>
      <c r="V135" s="1"/>
      <c r="W135" s="1"/>
      <c r="X135" s="1"/>
      <c r="Y135" s="1"/>
      <c r="Z135" s="8"/>
      <c r="AA135" s="1"/>
      <c r="AB135" s="1"/>
      <c r="AC135" s="1"/>
      <c r="AD135" s="1"/>
      <c r="AE135" s="1"/>
      <c r="AF135" s="1"/>
      <c r="AG135" s="1"/>
      <c r="AH135" s="1" t="str">
        <f t="shared" si="1"/>
        <v/>
      </c>
      <c r="AI135" s="1"/>
    </row>
    <row r="136">
      <c r="A136" s="5">
        <f>IFERROR(__xludf.DUMMYFUNCTION("""COMPUTED_VALUE"""),44999.0)</f>
        <v>44999</v>
      </c>
      <c r="B136" s="14" t="str">
        <f>IFERROR(__xludf.DUMMYFUNCTION("""COMPUTED_VALUE"""),"Sebastian Restrepo Martinez ")</f>
        <v>Sebastian Restrepo Martinez </v>
      </c>
      <c r="C136" s="6" t="str">
        <f>IFERROR(__xludf.DUMMYFUNCTION("""COMPUTED_VALUE"""),"MEDELLÍN")</f>
        <v>MEDELLÍN</v>
      </c>
      <c r="D136" s="6" t="str">
        <f>IFERROR(__xludf.DUMMYFUNCTION("""COMPUTED_VALUE"""),"BOGOTÁ")</f>
        <v>BOGOTÁ</v>
      </c>
      <c r="E136" s="6" t="str">
        <f>IFERROR(__xludf.DUMMYFUNCTION("""COMPUTED_VALUE"""),"Top Spun")</f>
        <v>Top Spun</v>
      </c>
      <c r="F136" s="1" t="str">
        <f>IFERROR(__xludf.DUMMYFUNCTION("""COMPUTED_VALUE"""),"Circular 74#39B 68 / Torre Laureles  / Barrio Laureles")</f>
        <v>Circular 74#39B 68 / Torre Laureles  / Barrio Laureles</v>
      </c>
      <c r="G136" s="6" t="str">
        <f>IFERROR(__xludf.DUMMYFUNCTION("""COMPUTED_VALUE"""),"Lilibeth  Seohanes")</f>
        <v>Lilibeth  Seohanes</v>
      </c>
      <c r="H136" s="7">
        <f>IFERROR(__xludf.DUMMYFUNCTION("""COMPUTED_VALUE"""),8798.0)</f>
        <v>8798</v>
      </c>
      <c r="I136" s="7">
        <f>IFERROR(__xludf.DUMMYFUNCTION("""COMPUTED_VALUE"""),20.0)</f>
        <v>20</v>
      </c>
      <c r="J136" s="7">
        <f>IFERROR(__xludf.DUMMYFUNCTION("""COMPUTED_VALUE"""),10.0)</f>
        <v>10</v>
      </c>
      <c r="K136" s="7">
        <f>IFERROR(__xludf.DUMMYFUNCTION("""COMPUTED_VALUE"""),40.0)</f>
        <v>40</v>
      </c>
      <c r="L136" s="8">
        <f>IFERROR(__xludf.DUMMYFUNCTION("""COMPUTED_VALUE"""),3.108399454E9)</f>
        <v>3108399454</v>
      </c>
      <c r="M136" s="9" t="str">
        <f>IFERROR(__xludf.DUMMYFUNCTION("""COMPUTED_VALUE"""),"#REF!")</f>
        <v>#REF!</v>
      </c>
      <c r="N136" s="1"/>
      <c r="O136" s="3" t="str">
        <f>IFERROR(__xludf.DUMMYFUNCTION("""COMPUTED_VALUE"""),"")</f>
        <v/>
      </c>
      <c r="P136" s="9" t="b">
        <f>IFERROR(__xludf.DUMMYFUNCTION("""COMPUTED_VALUE"""),FALSE)</f>
        <v>0</v>
      </c>
      <c r="Q136" s="10" t="str">
        <f>IFERROR(__xludf.DUMMYFUNCTION("""COMPUTED_VALUE"""),"")</f>
        <v/>
      </c>
      <c r="R136" s="11" t="str">
        <f>IFERROR(__xludf.DUMMYFUNCTION("""COMPUTED_VALUE"""),"https://drive.google.com/file/d/1pTf7wk15oaJX26vYo79dZpIOdGXjz6Q8/view?usp=drivesdk")</f>
        <v>https://drive.google.com/file/d/1pTf7wk15oaJX26vYo79dZpIOdGXjz6Q8/view?usp=drivesdk</v>
      </c>
      <c r="S136" s="1" t="str">
        <f t="shared" si="2"/>
        <v/>
      </c>
      <c r="T136" s="1" t="str">
        <f t="shared" si="3"/>
        <v/>
      </c>
      <c r="U136" s="1" t="str">
        <f t="shared" si="4"/>
        <v/>
      </c>
      <c r="V136" s="1"/>
      <c r="W136" s="1"/>
      <c r="X136" s="1"/>
      <c r="Y136" s="1"/>
      <c r="Z136" s="8"/>
      <c r="AA136" s="1"/>
      <c r="AB136" s="1"/>
      <c r="AC136" s="1"/>
      <c r="AD136" s="1"/>
      <c r="AE136" s="1"/>
      <c r="AF136" s="1"/>
      <c r="AG136" s="1"/>
      <c r="AH136" s="1" t="str">
        <f t="shared" si="1"/>
        <v/>
      </c>
      <c r="AI136" s="1"/>
    </row>
    <row r="137">
      <c r="A137" s="5">
        <f>IFERROR(__xludf.DUMMYFUNCTION("""COMPUTED_VALUE"""),44999.0)</f>
        <v>44999</v>
      </c>
      <c r="B137" s="14" t="str">
        <f>IFERROR(__xludf.DUMMYFUNCTION("""COMPUTED_VALUE"""),"Sebastian Restrepo Martinez ")</f>
        <v>Sebastian Restrepo Martinez </v>
      </c>
      <c r="C137" s="6" t="str">
        <f>IFERROR(__xludf.DUMMYFUNCTION("""COMPUTED_VALUE"""),"MEDELLÍN")</f>
        <v>MEDELLÍN</v>
      </c>
      <c r="D137" s="6" t="str">
        <f>IFERROR(__xludf.DUMMYFUNCTION("""COMPUTED_VALUE"""),"BOGOTÁ")</f>
        <v>BOGOTÁ</v>
      </c>
      <c r="E137" s="6" t="str">
        <f>IFERROR(__xludf.DUMMYFUNCTION("""COMPUTED_VALUE"""),"Top Spun")</f>
        <v>Top Spun</v>
      </c>
      <c r="F137" s="1" t="str">
        <f>IFERROR(__xludf.DUMMYFUNCTION("""COMPUTED_VALUE"""),"Cr 35 N 15B-143 / piso 4 Oficina Nivel Edificio 35 Palms / Barrio Palmas edificio al lado del Carulla de Av Palmas")</f>
        <v>Cr 35 N 15B-143 / piso 4 Oficina Nivel Edificio 35 Palms / Barrio Palmas edificio al lado del Carulla de Av Palmas</v>
      </c>
      <c r="G137" s="6" t="str">
        <f>IFERROR(__xludf.DUMMYFUNCTION("""COMPUTED_VALUE"""),"María Camila Arbeláez")</f>
        <v>María Camila Arbeláez</v>
      </c>
      <c r="H137" s="7">
        <f>IFERROR(__xludf.DUMMYFUNCTION("""COMPUTED_VALUE"""),8779.0)</f>
        <v>8779</v>
      </c>
      <c r="I137" s="7">
        <f>IFERROR(__xludf.DUMMYFUNCTION("""COMPUTED_VALUE"""),20.0)</f>
        <v>20</v>
      </c>
      <c r="J137" s="7">
        <f>IFERROR(__xludf.DUMMYFUNCTION("""COMPUTED_VALUE"""),10.0)</f>
        <v>10</v>
      </c>
      <c r="K137" s="7">
        <f>IFERROR(__xludf.DUMMYFUNCTION("""COMPUTED_VALUE"""),40.0)</f>
        <v>40</v>
      </c>
      <c r="L137" s="8">
        <f>IFERROR(__xludf.DUMMYFUNCTION("""COMPUTED_VALUE"""),3.16877122E9)</f>
        <v>3168771220</v>
      </c>
      <c r="M137" s="9" t="str">
        <f>IFERROR(__xludf.DUMMYFUNCTION("""COMPUTED_VALUE"""),"#REF!")</f>
        <v>#REF!</v>
      </c>
      <c r="N137" s="1"/>
      <c r="O137" s="3" t="str">
        <f>IFERROR(__xludf.DUMMYFUNCTION("""COMPUTED_VALUE"""),"")</f>
        <v/>
      </c>
      <c r="P137" s="9" t="b">
        <f>IFERROR(__xludf.DUMMYFUNCTION("""COMPUTED_VALUE"""),FALSE)</f>
        <v>0</v>
      </c>
      <c r="Q137" s="10" t="str">
        <f>IFERROR(__xludf.DUMMYFUNCTION("""COMPUTED_VALUE"""),"")</f>
        <v/>
      </c>
      <c r="R137" s="11" t="str">
        <f>IFERROR(__xludf.DUMMYFUNCTION("""COMPUTED_VALUE"""),"https://drive.google.com/file/d/1l2C1yA46b6ncqVL6l8Fa2JVShNeo0Ryv/view?usp=drivesdk")</f>
        <v>https://drive.google.com/file/d/1l2C1yA46b6ncqVL6l8Fa2JVShNeo0Ryv/view?usp=drivesdk</v>
      </c>
      <c r="S137" s="1" t="str">
        <f t="shared" si="2"/>
        <v/>
      </c>
      <c r="T137" s="1" t="str">
        <f t="shared" si="3"/>
        <v/>
      </c>
      <c r="U137" s="1" t="str">
        <f t="shared" si="4"/>
        <v/>
      </c>
      <c r="V137" s="1"/>
      <c r="W137" s="1"/>
      <c r="X137" s="1"/>
      <c r="Y137" s="1"/>
      <c r="Z137" s="8"/>
      <c r="AA137" s="1"/>
      <c r="AB137" s="1"/>
      <c r="AC137" s="1"/>
      <c r="AD137" s="1"/>
      <c r="AE137" s="1"/>
      <c r="AF137" s="1"/>
      <c r="AG137" s="1"/>
      <c r="AH137" s="1" t="str">
        <f t="shared" si="1"/>
        <v/>
      </c>
      <c r="AI137" s="1"/>
    </row>
    <row r="138">
      <c r="A138" s="1" t="str">
        <f>IFERROR(__xludf.DUMMYFUNCTION("""COMPUTED_VALUE"""),"")</f>
        <v/>
      </c>
      <c r="B138" s="1" t="str">
        <f>IFERROR(__xludf.DUMMYFUNCTION("""COMPUTED_VALUE"""),"")</f>
        <v/>
      </c>
      <c r="C138" s="1" t="str">
        <f>IFERROR(__xludf.DUMMYFUNCTION("""COMPUTED_VALUE"""),"")</f>
        <v/>
      </c>
      <c r="D138" s="1" t="str">
        <f>IFERROR(__xludf.DUMMYFUNCTION("""COMPUTED_VALUE"""),"")</f>
        <v/>
      </c>
      <c r="E138" s="1" t="str">
        <f>IFERROR(__xludf.DUMMYFUNCTION("""COMPUTED_VALUE"""),"")</f>
        <v/>
      </c>
      <c r="F138" s="1" t="str">
        <f>IFERROR(__xludf.DUMMYFUNCTION("""COMPUTED_VALUE"""),"")</f>
        <v/>
      </c>
      <c r="G138" s="1" t="str">
        <f>IFERROR(__xludf.DUMMYFUNCTION("""COMPUTED_VALUE"""),"")</f>
        <v/>
      </c>
      <c r="H138" s="1" t="str">
        <f>IFERROR(__xludf.DUMMYFUNCTION("""COMPUTED_VALUE"""),"")</f>
        <v/>
      </c>
      <c r="I138" s="1" t="str">
        <f>IFERROR(__xludf.DUMMYFUNCTION("""COMPUTED_VALUE"""),"")</f>
        <v/>
      </c>
      <c r="J138" s="1" t="str">
        <f>IFERROR(__xludf.DUMMYFUNCTION("""COMPUTED_VALUE"""),"")</f>
        <v/>
      </c>
      <c r="K138" s="1" t="str">
        <f>IFERROR(__xludf.DUMMYFUNCTION("""COMPUTED_VALUE"""),"")</f>
        <v/>
      </c>
      <c r="L138" s="1" t="str">
        <f>IFERROR(__xludf.DUMMYFUNCTION("""COMPUTED_VALUE"""),"")</f>
        <v/>
      </c>
      <c r="M138" s="1" t="str">
        <f>IFERROR(__xludf.DUMMYFUNCTION("""COMPUTED_VALUE"""),"")</f>
        <v/>
      </c>
      <c r="N138" s="1" t="str">
        <f>IFERROR(__xludf.DUMMYFUNCTION("""COMPUTED_VALUE"""),"")</f>
        <v/>
      </c>
      <c r="O138" s="1" t="str">
        <f>IFERROR(__xludf.DUMMYFUNCTION("""COMPUTED_VALUE"""),"")</f>
        <v/>
      </c>
      <c r="P138" s="1" t="str">
        <f>IFERROR(__xludf.DUMMYFUNCTION("""COMPUTED_VALUE"""),"")</f>
        <v/>
      </c>
      <c r="Q138" s="1" t="str">
        <f>IFERROR(__xludf.DUMMYFUNCTION("""COMPUTED_VALUE"""),"")</f>
        <v/>
      </c>
      <c r="R138" s="1" t="str">
        <f>IFERROR(__xludf.DUMMYFUNCTION("""COMPUTED_VALUE"""),"")</f>
        <v/>
      </c>
      <c r="S138" s="1" t="str">
        <f t="shared" si="2"/>
        <v/>
      </c>
      <c r="T138" s="1" t="str">
        <f t="shared" si="3"/>
        <v/>
      </c>
      <c r="U138" s="1" t="str">
        <f t="shared" si="4"/>
        <v/>
      </c>
      <c r="V138" s="1"/>
      <c r="W138" s="1"/>
      <c r="X138" s="1"/>
      <c r="Y138" s="1"/>
      <c r="Z138" s="8"/>
      <c r="AA138" s="1"/>
      <c r="AB138" s="1"/>
      <c r="AC138" s="1"/>
      <c r="AD138" s="1"/>
      <c r="AE138" s="1"/>
      <c r="AF138" s="1"/>
      <c r="AG138" s="1"/>
      <c r="AH138" s="1" t="str">
        <f t="shared" si="1"/>
        <v/>
      </c>
      <c r="AI138" s="1"/>
    </row>
    <row r="139">
      <c r="A139" s="5">
        <f>IFERROR(__xludf.DUMMYFUNCTION("""COMPUTED_VALUE"""),45000.0)</f>
        <v>45000</v>
      </c>
      <c r="B139" s="1"/>
      <c r="C139" s="6" t="str">
        <f>IFERROR(__xludf.DUMMYFUNCTION("""COMPUTED_VALUE"""),"MONTERIA")</f>
        <v>MONTERIA</v>
      </c>
      <c r="D139" s="6" t="str">
        <f>IFERROR(__xludf.DUMMYFUNCTION("""COMPUTED_VALUE"""),"BOGOTÁ")</f>
        <v>BOGOTÁ</v>
      </c>
      <c r="E139" s="6" t="str">
        <f>IFERROR(__xludf.DUMMYFUNCTION("""COMPUTED_VALUE"""),"Asociacion Agropecuaria Juana Maria")</f>
        <v>Asociacion Agropecuaria Juana Maria</v>
      </c>
      <c r="F139" s="1" t="str">
        <f>IFERROR(__xludf.DUMMYFUNCTION("""COMPUTED_VALUE"""),"Cra 14A #54-23 Barrio Monte Verde")</f>
        <v>Cra 14A #54-23 Barrio Monte Verde</v>
      </c>
      <c r="G139" s="6" t="str">
        <f>IFERROR(__xludf.DUMMYFUNCTION("""COMPUTED_VALUE"""),"Emilia Miranda")</f>
        <v>Emilia Miranda</v>
      </c>
      <c r="H139" s="7">
        <f>IFERROR(__xludf.DUMMYFUNCTION("""COMPUTED_VALUE"""),8789.0)</f>
        <v>8789</v>
      </c>
      <c r="I139" s="7">
        <f>IFERROR(__xludf.DUMMYFUNCTION("""COMPUTED_VALUE"""),17.0)</f>
        <v>17</v>
      </c>
      <c r="J139" s="7">
        <f>IFERROR(__xludf.DUMMYFUNCTION("""COMPUTED_VALUE"""),37.0)</f>
        <v>37</v>
      </c>
      <c r="K139" s="7">
        <f>IFERROR(__xludf.DUMMYFUNCTION("""COMPUTED_VALUE"""),28.0)</f>
        <v>28</v>
      </c>
      <c r="L139" s="8">
        <f>IFERROR(__xludf.DUMMYFUNCTION("""COMPUTED_VALUE"""),3.113438505E9)</f>
        <v>3113438505</v>
      </c>
      <c r="M139" s="9" t="str">
        <f>IFERROR(__xludf.DUMMYFUNCTION("""COMPUTED_VALUE"""),"#REF!")</f>
        <v>#REF!</v>
      </c>
      <c r="N139" s="3" t="str">
        <f>IFERROR(__xludf.DUMMYFUNCTION("""COMPUTED_VALUE"""),"")</f>
        <v/>
      </c>
      <c r="O139" s="3" t="str">
        <f>IFERROR(__xludf.DUMMYFUNCTION("""COMPUTED_VALUE"""),"")</f>
        <v/>
      </c>
      <c r="P139" s="9" t="b">
        <f>IFERROR(__xludf.DUMMYFUNCTION("""COMPUTED_VALUE"""),FALSE)</f>
        <v>0</v>
      </c>
      <c r="Q139" s="10" t="str">
        <f>IFERROR(__xludf.DUMMYFUNCTION("""COMPUTED_VALUE"""),"")</f>
        <v/>
      </c>
      <c r="R139" s="12" t="str">
        <f>IFERROR(__xludf.DUMMYFUNCTION("""COMPUTED_VALUE"""),"")</f>
        <v/>
      </c>
      <c r="S139" s="1" t="str">
        <f t="shared" si="2"/>
        <v/>
      </c>
      <c r="T139" s="1" t="str">
        <f t="shared" si="3"/>
        <v/>
      </c>
      <c r="U139" s="1" t="str">
        <f t="shared" si="4"/>
        <v/>
      </c>
      <c r="V139" s="1"/>
      <c r="W139" s="1"/>
      <c r="X139" s="1"/>
      <c r="Y139" s="1"/>
      <c r="Z139" s="8"/>
      <c r="AA139" s="1"/>
      <c r="AB139" s="1"/>
      <c r="AC139" s="1"/>
      <c r="AD139" s="1"/>
      <c r="AE139" s="1"/>
      <c r="AF139" s="1"/>
      <c r="AG139" s="1"/>
      <c r="AH139" s="1" t="str">
        <f t="shared" si="1"/>
        <v/>
      </c>
      <c r="AI139" s="1"/>
    </row>
    <row r="140">
      <c r="A140" s="1" t="str">
        <f>IFERROR(__xludf.DUMMYFUNCTION("""COMPUTED_VALUE"""),"")</f>
        <v/>
      </c>
      <c r="B140" s="1" t="str">
        <f>IFERROR(__xludf.DUMMYFUNCTION("""COMPUTED_VALUE"""),"")</f>
        <v/>
      </c>
      <c r="C140" s="1" t="str">
        <f>IFERROR(__xludf.DUMMYFUNCTION("""COMPUTED_VALUE"""),"")</f>
        <v/>
      </c>
      <c r="D140" s="1" t="str">
        <f>IFERROR(__xludf.DUMMYFUNCTION("""COMPUTED_VALUE"""),"")</f>
        <v/>
      </c>
      <c r="E140" s="1" t="str">
        <f>IFERROR(__xludf.DUMMYFUNCTION("""COMPUTED_VALUE"""),"")</f>
        <v/>
      </c>
      <c r="F140" s="1" t="str">
        <f>IFERROR(__xludf.DUMMYFUNCTION("""COMPUTED_VALUE"""),"")</f>
        <v/>
      </c>
      <c r="G140" s="1" t="str">
        <f>IFERROR(__xludf.DUMMYFUNCTION("""COMPUTED_VALUE"""),"")</f>
        <v/>
      </c>
      <c r="H140" s="1" t="str">
        <f>IFERROR(__xludf.DUMMYFUNCTION("""COMPUTED_VALUE"""),"")</f>
        <v/>
      </c>
      <c r="I140" s="1" t="str">
        <f>IFERROR(__xludf.DUMMYFUNCTION("""COMPUTED_VALUE"""),"")</f>
        <v/>
      </c>
      <c r="J140" s="1" t="str">
        <f>IFERROR(__xludf.DUMMYFUNCTION("""COMPUTED_VALUE"""),"")</f>
        <v/>
      </c>
      <c r="K140" s="1" t="str">
        <f>IFERROR(__xludf.DUMMYFUNCTION("""COMPUTED_VALUE"""),"")</f>
        <v/>
      </c>
      <c r="L140" s="1" t="str">
        <f>IFERROR(__xludf.DUMMYFUNCTION("""COMPUTED_VALUE"""),"")</f>
        <v/>
      </c>
      <c r="M140" s="1" t="str">
        <f>IFERROR(__xludf.DUMMYFUNCTION("""COMPUTED_VALUE"""),"")</f>
        <v/>
      </c>
      <c r="N140" s="1" t="str">
        <f>IFERROR(__xludf.DUMMYFUNCTION("""COMPUTED_VALUE"""),"")</f>
        <v/>
      </c>
      <c r="O140" s="1" t="str">
        <f>IFERROR(__xludf.DUMMYFUNCTION("""COMPUTED_VALUE"""),"")</f>
        <v/>
      </c>
      <c r="P140" s="1" t="str">
        <f>IFERROR(__xludf.DUMMYFUNCTION("""COMPUTED_VALUE"""),"")</f>
        <v/>
      </c>
      <c r="Q140" s="1" t="str">
        <f>IFERROR(__xludf.DUMMYFUNCTION("""COMPUTED_VALUE"""),"")</f>
        <v/>
      </c>
      <c r="R140" s="1" t="str">
        <f>IFERROR(__xludf.DUMMYFUNCTION("""COMPUTED_VALUE"""),"")</f>
        <v/>
      </c>
      <c r="S140" s="1" t="str">
        <f t="shared" si="2"/>
        <v/>
      </c>
      <c r="T140" s="1" t="str">
        <f t="shared" si="3"/>
        <v/>
      </c>
      <c r="U140" s="1" t="str">
        <f t="shared" si="4"/>
        <v/>
      </c>
      <c r="V140" s="1"/>
      <c r="W140" s="1"/>
      <c r="X140" s="1"/>
      <c r="Y140" s="1"/>
      <c r="Z140" s="8"/>
      <c r="AA140" s="1"/>
      <c r="AB140" s="1"/>
      <c r="AC140" s="1"/>
      <c r="AD140" s="1"/>
      <c r="AE140" s="1"/>
      <c r="AF140" s="1"/>
      <c r="AG140" s="1"/>
      <c r="AH140" s="1" t="str">
        <f t="shared" si="1"/>
        <v/>
      </c>
      <c r="AI140" s="1"/>
    </row>
    <row r="141">
      <c r="A141" s="5">
        <f>IFERROR(__xludf.DUMMYFUNCTION("""COMPUTED_VALUE"""),45000.0)</f>
        <v>45000</v>
      </c>
      <c r="B141" s="14" t="str">
        <f>IFERROR(__xludf.DUMMYFUNCTION("""COMPUTED_VALUE"""),"Envia")</f>
        <v>Envia</v>
      </c>
      <c r="C141" s="6" t="str">
        <f>IFERROR(__xludf.DUMMYFUNCTION("""COMPUTED_VALUE"""),"BOGOTÁ")</f>
        <v>BOGOTÁ</v>
      </c>
      <c r="D141" s="6" t="str">
        <f>IFERROR(__xludf.DUMMYFUNCTION("""COMPUTED_VALUE"""),"MEDELLÍN")</f>
        <v>MEDELLÍN</v>
      </c>
      <c r="E141" s="6" t="str">
        <f>IFERROR(__xludf.DUMMYFUNCTION("""COMPUTED_VALUE"""),"Toledales")</f>
        <v>Toledales</v>
      </c>
      <c r="F141" s="1" t="str">
        <f>IFERROR(__xludf.DUMMYFUNCTION("""COMPUTED_VALUE"""),"Cr 12 86 17 Apto 803 parque la cabrera chapinero  / Apto 803  / Chapinero")</f>
        <v>Cr 12 86 17 Apto 803 parque la cabrera chapinero  / Apto 803  / Chapinero</v>
      </c>
      <c r="G141" s="6" t="str">
        <f>IFERROR(__xludf.DUMMYFUNCTION("""COMPUTED_VALUE"""),"Soraya Kishtwari")</f>
        <v>Soraya Kishtwari</v>
      </c>
      <c r="H141" s="7">
        <f>IFERROR(__xludf.DUMMYFUNCTION("""COMPUTED_VALUE"""),8864.0)</f>
        <v>8864</v>
      </c>
      <c r="I141" s="7">
        <f>IFERROR(__xludf.DUMMYFUNCTION("""COMPUTED_VALUE"""),5.0)</f>
        <v>5</v>
      </c>
      <c r="J141" s="7">
        <f>IFERROR(__xludf.DUMMYFUNCTION("""COMPUTED_VALUE"""),15.0)</f>
        <v>15</v>
      </c>
      <c r="K141" s="7">
        <f>IFERROR(__xludf.DUMMYFUNCTION("""COMPUTED_VALUE"""),10.0)</f>
        <v>10</v>
      </c>
      <c r="L141" s="8">
        <f>IFERROR(__xludf.DUMMYFUNCTION("""COMPUTED_VALUE"""),3.185170592E9)</f>
        <v>3185170592</v>
      </c>
      <c r="M141" s="9" t="str">
        <f>IFERROR(__xludf.DUMMYFUNCTION("""COMPUTED_VALUE"""),"#REF!")</f>
        <v>#REF!</v>
      </c>
      <c r="N141" s="1"/>
      <c r="O141" s="3" t="str">
        <f>IFERROR(__xludf.DUMMYFUNCTION("""COMPUTED_VALUE"""),"")</f>
        <v/>
      </c>
      <c r="P141" s="9" t="b">
        <f>IFERROR(__xludf.DUMMYFUNCTION("""COMPUTED_VALUE"""),TRUE)</f>
        <v>1</v>
      </c>
      <c r="Q141" s="13">
        <f>IFERROR(__xludf.DUMMYFUNCTION("""COMPUTED_VALUE"""),45001.727274351855)</f>
        <v>45001.72727</v>
      </c>
      <c r="R141" s="11" t="str">
        <f>IFERROR(__xludf.DUMMYFUNCTION("""COMPUTED_VALUE"""),"https://drive.google.com/file/d/1LGx-hj864vLoq59v_amRA9oc_ow_L6D-/view?usp=drivesdk")</f>
        <v>https://drive.google.com/file/d/1LGx-hj864vLoq59v_amRA9oc_ow_L6D-/view?usp=drivesdk</v>
      </c>
      <c r="S141" s="1" t="str">
        <f t="shared" si="2"/>
        <v/>
      </c>
      <c r="T141" s="1" t="str">
        <f t="shared" si="3"/>
        <v/>
      </c>
      <c r="U141" s="1" t="str">
        <f t="shared" si="4"/>
        <v/>
      </c>
      <c r="V141" s="1"/>
      <c r="W141" s="1"/>
      <c r="X141" s="1"/>
      <c r="Y141" s="1"/>
      <c r="Z141" s="8"/>
      <c r="AA141" s="1"/>
      <c r="AB141" s="1"/>
      <c r="AC141" s="1"/>
      <c r="AD141" s="1"/>
      <c r="AE141" s="1"/>
      <c r="AF141" s="1"/>
      <c r="AG141" s="1"/>
      <c r="AH141" s="1" t="str">
        <f t="shared" si="1"/>
        <v/>
      </c>
      <c r="AI141" s="1"/>
    </row>
    <row r="142">
      <c r="A142" s="5">
        <f>IFERROR(__xludf.DUMMYFUNCTION("""COMPUTED_VALUE"""),45000.0)</f>
        <v>45000</v>
      </c>
      <c r="B142" s="14" t="str">
        <f>IFERROR(__xludf.DUMMYFUNCTION("""COMPUTED_VALUE"""),"Envia")</f>
        <v>Envia</v>
      </c>
      <c r="C142" s="6" t="str">
        <f>IFERROR(__xludf.DUMMYFUNCTION("""COMPUTED_VALUE"""),"BOGOTÁ")</f>
        <v>BOGOTÁ</v>
      </c>
      <c r="D142" s="6" t="str">
        <f>IFERROR(__xludf.DUMMYFUNCTION("""COMPUTED_VALUE"""),"MEDELLÍN")</f>
        <v>MEDELLÍN</v>
      </c>
      <c r="E142" s="6" t="str">
        <f>IFERROR(__xludf.DUMMYFUNCTION("""COMPUTED_VALUE"""),"Toledales")</f>
        <v>Toledales</v>
      </c>
      <c r="F142" s="1" t="str">
        <f>IFERROR(__xludf.DUMMYFUNCTION("""COMPUTED_VALUE"""),"Cra. 12 #86-17 / parque de la cabrera,torre B ,apto 308 / chapinero bogota")</f>
        <v>Cra. 12 #86-17 / parque de la cabrera,torre B ,apto 308 / chapinero bogota</v>
      </c>
      <c r="G142" s="6" t="str">
        <f>IFERROR(__xludf.DUMMYFUNCTION("""COMPUTED_VALUE"""),"Soraya Kishtwari canals")</f>
        <v>Soraya Kishtwari canals</v>
      </c>
      <c r="H142" s="7">
        <f>IFERROR(__xludf.DUMMYFUNCTION("""COMPUTED_VALUE"""),8763.0)</f>
        <v>8763</v>
      </c>
      <c r="I142" s="7">
        <f>IFERROR(__xludf.DUMMYFUNCTION("""COMPUTED_VALUE"""),5.0)</f>
        <v>5</v>
      </c>
      <c r="J142" s="7">
        <f>IFERROR(__xludf.DUMMYFUNCTION("""COMPUTED_VALUE"""),10.0)</f>
        <v>10</v>
      </c>
      <c r="K142" s="7">
        <f>IFERROR(__xludf.DUMMYFUNCTION("""COMPUTED_VALUE"""),15.0)</f>
        <v>15</v>
      </c>
      <c r="L142" s="8">
        <f>IFERROR(__xludf.DUMMYFUNCTION("""COMPUTED_VALUE"""),3.185170592E9)</f>
        <v>3185170592</v>
      </c>
      <c r="M142" s="9" t="str">
        <f>IFERROR(__xludf.DUMMYFUNCTION("""COMPUTED_VALUE"""),"#REF!")</f>
        <v>#REF!</v>
      </c>
      <c r="N142" s="1"/>
      <c r="O142" s="3" t="str">
        <f>IFERROR(__xludf.DUMMYFUNCTION("""COMPUTED_VALUE"""),"")</f>
        <v/>
      </c>
      <c r="P142" s="9" t="b">
        <f>IFERROR(__xludf.DUMMYFUNCTION("""COMPUTED_VALUE"""),TRUE)</f>
        <v>1</v>
      </c>
      <c r="Q142" s="13">
        <f>IFERROR(__xludf.DUMMYFUNCTION("""COMPUTED_VALUE"""),45000.64464280092)</f>
        <v>45000.64464</v>
      </c>
      <c r="R142" s="11" t="str">
        <f>IFERROR(__xludf.DUMMYFUNCTION("""COMPUTED_VALUE"""),"https://drive.google.com/file/d/1fOTg8A_oralU2MO3czie0jcwW_hAoQ7-/view?usp=drivesdk")</f>
        <v>https://drive.google.com/file/d/1fOTg8A_oralU2MO3czie0jcwW_hAoQ7-/view?usp=drivesdk</v>
      </c>
      <c r="S142" s="1" t="str">
        <f t="shared" si="2"/>
        <v/>
      </c>
      <c r="T142" s="1" t="str">
        <f t="shared" si="3"/>
        <v/>
      </c>
      <c r="U142" s="1" t="str">
        <f t="shared" si="4"/>
        <v/>
      </c>
      <c r="V142" s="1"/>
      <c r="W142" s="1"/>
      <c r="X142" s="1"/>
      <c r="Y142" s="1"/>
      <c r="Z142" s="8"/>
      <c r="AA142" s="1"/>
      <c r="AB142" s="1"/>
      <c r="AC142" s="1"/>
      <c r="AD142" s="1"/>
      <c r="AE142" s="1"/>
      <c r="AF142" s="1"/>
      <c r="AG142" s="1"/>
      <c r="AH142" s="1" t="str">
        <f t="shared" si="1"/>
        <v/>
      </c>
      <c r="AI142" s="1"/>
    </row>
    <row r="143">
      <c r="A143" s="5">
        <f>IFERROR(__xludf.DUMMYFUNCTION("""COMPUTED_VALUE"""),45000.0)</f>
        <v>45000</v>
      </c>
      <c r="B143" s="14" t="str">
        <f>IFERROR(__xludf.DUMMYFUNCTION("""COMPUTED_VALUE"""),"Envia")</f>
        <v>Envia</v>
      </c>
      <c r="C143" s="6" t="str">
        <f>IFERROR(__xludf.DUMMYFUNCTION("""COMPUTED_VALUE"""),"CALI")</f>
        <v>CALI</v>
      </c>
      <c r="D143" s="6" t="str">
        <f>IFERROR(__xludf.DUMMYFUNCTION("""COMPUTED_VALUE"""),"MEDELLÍN")</f>
        <v>MEDELLÍN</v>
      </c>
      <c r="E143" s="6" t="str">
        <f>IFERROR(__xludf.DUMMYFUNCTION("""COMPUTED_VALUE"""),"Baby Chef")</f>
        <v>Baby Chef</v>
      </c>
      <c r="F143" s="1" t="str">
        <f>IFERROR(__xludf.DUMMYFUNCTION("""COMPUTED_VALUE"""),"Carrera 29a # 25-54 barrio el jardín piso 2  / Barrio el jardín segundo piso  / Cali")</f>
        <v>Carrera 29a # 25-54 barrio el jardín piso 2  / Barrio el jardín segundo piso  / Cali</v>
      </c>
      <c r="G143" s="6" t="str">
        <f>IFERROR(__xludf.DUMMYFUNCTION("""COMPUTED_VALUE"""),"Angelica Molina")</f>
        <v>Angelica Molina</v>
      </c>
      <c r="H143" s="7">
        <f>IFERROR(__xludf.DUMMYFUNCTION("""COMPUTED_VALUE"""),8867.0)</f>
        <v>8867</v>
      </c>
      <c r="I143" s="7">
        <f>IFERROR(__xludf.DUMMYFUNCTION("""COMPUTED_VALUE"""),10.0)</f>
        <v>10</v>
      </c>
      <c r="J143" s="7">
        <f>IFERROR(__xludf.DUMMYFUNCTION("""COMPUTED_VALUE"""),20.0)</f>
        <v>20</v>
      </c>
      <c r="K143" s="7">
        <f>IFERROR(__xludf.DUMMYFUNCTION("""COMPUTED_VALUE"""),20.0)</f>
        <v>20</v>
      </c>
      <c r="L143" s="8">
        <f>IFERROR(__xludf.DUMMYFUNCTION("""COMPUTED_VALUE"""),3.162755457E9)</f>
        <v>3162755457</v>
      </c>
      <c r="M143" s="9" t="str">
        <f>IFERROR(__xludf.DUMMYFUNCTION("""COMPUTED_VALUE"""),"#REF!")</f>
        <v>#REF!</v>
      </c>
      <c r="N143" s="1"/>
      <c r="O143" s="3" t="str">
        <f>IFERROR(__xludf.DUMMYFUNCTION("""COMPUTED_VALUE"""),"")</f>
        <v/>
      </c>
      <c r="P143" s="9" t="b">
        <f>IFERROR(__xludf.DUMMYFUNCTION("""COMPUTED_VALUE"""),TRUE)</f>
        <v>1</v>
      </c>
      <c r="Q143" s="13">
        <f>IFERROR(__xludf.DUMMYFUNCTION("""COMPUTED_VALUE"""),45000.73973494213)</f>
        <v>45000.73973</v>
      </c>
      <c r="R143" s="11" t="str">
        <f>IFERROR(__xludf.DUMMYFUNCTION("""COMPUTED_VALUE"""),"https://drive.google.com/file/d/1CXvmzjnAGhwfksH6wdR2dYH91ugdM0pJ/view?usp=drivesdk")</f>
        <v>https://drive.google.com/file/d/1CXvmzjnAGhwfksH6wdR2dYH91ugdM0pJ/view?usp=drivesdk</v>
      </c>
      <c r="S143" s="1" t="str">
        <f t="shared" si="2"/>
        <v/>
      </c>
      <c r="T143" s="1" t="str">
        <f t="shared" si="3"/>
        <v/>
      </c>
      <c r="U143" s="1" t="str">
        <f t="shared" si="4"/>
        <v/>
      </c>
      <c r="V143" s="1"/>
      <c r="W143" s="1"/>
      <c r="X143" s="1"/>
      <c r="Y143" s="1"/>
      <c r="Z143" s="8"/>
      <c r="AA143" s="1"/>
      <c r="AB143" s="1"/>
      <c r="AC143" s="1"/>
      <c r="AD143" s="1"/>
      <c r="AE143" s="1"/>
      <c r="AF143" s="1"/>
      <c r="AG143" s="1"/>
      <c r="AH143" s="1" t="str">
        <f t="shared" si="1"/>
        <v/>
      </c>
      <c r="AI143" s="1"/>
    </row>
    <row r="144">
      <c r="A144" s="5">
        <f>IFERROR(__xludf.DUMMYFUNCTION("""COMPUTED_VALUE"""),45000.0)</f>
        <v>45000</v>
      </c>
      <c r="B144" s="14" t="str">
        <f>IFERROR(__xludf.DUMMYFUNCTION("""COMPUTED_VALUE"""),"Envia")</f>
        <v>Envia</v>
      </c>
      <c r="C144" s="6" t="str">
        <f>IFERROR(__xludf.DUMMYFUNCTION("""COMPUTED_VALUE"""),"CALI")</f>
        <v>CALI</v>
      </c>
      <c r="D144" s="6" t="str">
        <f>IFERROR(__xludf.DUMMYFUNCTION("""COMPUTED_VALUE"""),"MEDELLÍN")</f>
        <v>MEDELLÍN</v>
      </c>
      <c r="E144" s="6" t="str">
        <f>IFERROR(__xludf.DUMMYFUNCTION("""COMPUTED_VALUE"""),"Puro Verde")</f>
        <v>Puro Verde</v>
      </c>
      <c r="F144" s="1" t="str">
        <f>IFERROR(__xludf.DUMMYFUNCTION("""COMPUTED_VALUE"""),"CRA 98 # 48-38.  / APTO 206. TORRE 1. UNIDAD SAN RAFAEL / BARRIO VALLE DE LILI")</f>
        <v>CRA 98 # 48-38.  / APTO 206. TORRE 1. UNIDAD SAN RAFAEL / BARRIO VALLE DE LILI</v>
      </c>
      <c r="G144" s="6" t="str">
        <f>IFERROR(__xludf.DUMMYFUNCTION("""COMPUTED_VALUE"""),"MARIA CAMILA BAENA")</f>
        <v>MARIA CAMILA BAENA</v>
      </c>
      <c r="H144" s="7">
        <f>IFERROR(__xludf.DUMMYFUNCTION("""COMPUTED_VALUE"""),8849.0)</f>
        <v>8849</v>
      </c>
      <c r="I144" s="7">
        <f>IFERROR(__xludf.DUMMYFUNCTION("""COMPUTED_VALUE"""),12.0)</f>
        <v>12</v>
      </c>
      <c r="J144" s="7">
        <f>IFERROR(__xludf.DUMMYFUNCTION("""COMPUTED_VALUE"""),18.0)</f>
        <v>18</v>
      </c>
      <c r="K144" s="7">
        <f>IFERROR(__xludf.DUMMYFUNCTION("""COMPUTED_VALUE"""),45.0)</f>
        <v>45</v>
      </c>
      <c r="L144" s="8">
        <f>IFERROR(__xludf.DUMMYFUNCTION("""COMPUTED_VALUE"""),3.137492014E9)</f>
        <v>3137492014</v>
      </c>
      <c r="M144" s="9" t="str">
        <f>IFERROR(__xludf.DUMMYFUNCTION("""COMPUTED_VALUE"""),"#REF!")</f>
        <v>#REF!</v>
      </c>
      <c r="N144" s="1"/>
      <c r="O144" s="3" t="str">
        <f>IFERROR(__xludf.DUMMYFUNCTION("""COMPUTED_VALUE"""),"")</f>
        <v/>
      </c>
      <c r="P144" s="9" t="b">
        <f>IFERROR(__xludf.DUMMYFUNCTION("""COMPUTED_VALUE"""),TRUE)</f>
        <v>1</v>
      </c>
      <c r="Q144" s="13">
        <f>IFERROR(__xludf.DUMMYFUNCTION("""COMPUTED_VALUE"""),45000.739722303246)</f>
        <v>45000.73972</v>
      </c>
      <c r="R144" s="11" t="str">
        <f>IFERROR(__xludf.DUMMYFUNCTION("""COMPUTED_VALUE"""),"https://drive.google.com/file/d/1dWRKZfVWKxkUoEZwrK7VNbZPfgx70G7O/view?usp=drivesdk")</f>
        <v>https://drive.google.com/file/d/1dWRKZfVWKxkUoEZwrK7VNbZPfgx70G7O/view?usp=drivesdk</v>
      </c>
      <c r="S144" s="1" t="str">
        <f t="shared" si="2"/>
        <v/>
      </c>
      <c r="T144" s="1" t="str">
        <f t="shared" si="3"/>
        <v/>
      </c>
      <c r="U144" s="1" t="str">
        <f t="shared" si="4"/>
        <v/>
      </c>
      <c r="V144" s="1"/>
      <c r="W144" s="1"/>
      <c r="X144" s="1"/>
      <c r="Y144" s="1"/>
      <c r="Z144" s="8"/>
      <c r="AA144" s="1"/>
      <c r="AB144" s="1"/>
      <c r="AC144" s="1"/>
      <c r="AD144" s="1"/>
      <c r="AE144" s="1"/>
      <c r="AF144" s="1"/>
      <c r="AG144" s="1"/>
      <c r="AH144" s="1" t="str">
        <f t="shared" si="1"/>
        <v/>
      </c>
      <c r="AI144" s="1"/>
    </row>
    <row r="145">
      <c r="A145" s="5">
        <f>IFERROR(__xludf.DUMMYFUNCTION("""COMPUTED_VALUE"""),45000.0)</f>
        <v>45000</v>
      </c>
      <c r="B145" s="14" t="str">
        <f>IFERROR(__xludf.DUMMYFUNCTION("""COMPUTED_VALUE"""),"Envia")</f>
        <v>Envia</v>
      </c>
      <c r="C145" s="6" t="str">
        <f>IFERROR(__xludf.DUMMYFUNCTION("""COMPUTED_VALUE"""),"CALI")</f>
        <v>CALI</v>
      </c>
      <c r="D145" s="6" t="str">
        <f>IFERROR(__xludf.DUMMYFUNCTION("""COMPUTED_VALUE"""),"MEDELLÍN")</f>
        <v>MEDELLÍN</v>
      </c>
      <c r="E145" s="6" t="str">
        <f>IFERROR(__xludf.DUMMYFUNCTION("""COMPUTED_VALUE"""),"Rambla")</f>
        <v>Rambla</v>
      </c>
      <c r="F145" s="1" t="str">
        <f>IFERROR(__xludf.DUMMYFUNCTION("""COMPUTED_VALUE"""),"Cra 100 #15 a -61 Local 104 / NA / NA")</f>
        <v>Cra 100 #15 a -61 Local 104 / NA / NA</v>
      </c>
      <c r="G145" s="6" t="str">
        <f>IFERROR(__xludf.DUMMYFUNCTION("""COMPUTED_VALUE"""),"NUTRILIGHT AVENTURA")</f>
        <v>NUTRILIGHT AVENTURA</v>
      </c>
      <c r="H145" s="7">
        <f>IFERROR(__xludf.DUMMYFUNCTION("""COMPUTED_VALUE"""),8883.0)</f>
        <v>8883</v>
      </c>
      <c r="I145" s="7">
        <f>IFERROR(__xludf.DUMMYFUNCTION("""COMPUTED_VALUE"""),26.0)</f>
        <v>26</v>
      </c>
      <c r="J145" s="7">
        <f>IFERROR(__xludf.DUMMYFUNCTION("""COMPUTED_VALUE"""),23.0)</f>
        <v>23</v>
      </c>
      <c r="K145" s="7">
        <f>IFERROR(__xludf.DUMMYFUNCTION("""COMPUTED_VALUE"""),23.0)</f>
        <v>23</v>
      </c>
      <c r="L145" s="8">
        <f>IFERROR(__xludf.DUMMYFUNCTION("""COMPUTED_VALUE"""),3.146112262E9)</f>
        <v>3146112262</v>
      </c>
      <c r="M145" s="9" t="str">
        <f>IFERROR(__xludf.DUMMYFUNCTION("""COMPUTED_VALUE"""),"#REF!")</f>
        <v>#REF!</v>
      </c>
      <c r="N145" s="1"/>
      <c r="O145" s="3" t="str">
        <f>IFERROR(__xludf.DUMMYFUNCTION("""COMPUTED_VALUE"""),"")</f>
        <v/>
      </c>
      <c r="P145" s="9" t="b">
        <f>IFERROR(__xludf.DUMMYFUNCTION("""COMPUTED_VALUE"""),TRUE)</f>
        <v>1</v>
      </c>
      <c r="Q145" s="13">
        <f>IFERROR(__xludf.DUMMYFUNCTION("""COMPUTED_VALUE"""),45000.64134353009)</f>
        <v>45000.64134</v>
      </c>
      <c r="R145" s="11" t="str">
        <f>IFERROR(__xludf.DUMMYFUNCTION("""COMPUTED_VALUE"""),"https://drive.google.com/file/d/1aWs1n7NFGVthncRsrjdWqDFIdOUTv7Yc/view?usp=drivesdk")</f>
        <v>https://drive.google.com/file/d/1aWs1n7NFGVthncRsrjdWqDFIdOUTv7Yc/view?usp=drivesdk</v>
      </c>
      <c r="S145" s="1" t="str">
        <f t="shared" si="2"/>
        <v/>
      </c>
      <c r="T145" s="1" t="str">
        <f t="shared" si="3"/>
        <v/>
      </c>
      <c r="U145" s="1" t="str">
        <f t="shared" si="4"/>
        <v/>
      </c>
      <c r="V145" s="1"/>
      <c r="W145" s="1"/>
      <c r="X145" s="1"/>
      <c r="Y145" s="1"/>
      <c r="Z145" s="8"/>
      <c r="AA145" s="1"/>
      <c r="AB145" s="1"/>
      <c r="AC145" s="1"/>
      <c r="AD145" s="1"/>
      <c r="AE145" s="1"/>
      <c r="AF145" s="1"/>
      <c r="AG145" s="1"/>
      <c r="AH145" s="1" t="str">
        <f t="shared" si="1"/>
        <v/>
      </c>
      <c r="AI145" s="1"/>
    </row>
    <row r="146">
      <c r="A146" s="5">
        <f>IFERROR(__xludf.DUMMYFUNCTION("""COMPUTED_VALUE"""),45000.0)</f>
        <v>45000</v>
      </c>
      <c r="B146" s="14" t="str">
        <f>IFERROR(__xludf.DUMMYFUNCTION("""COMPUTED_VALUE"""),"Envia")</f>
        <v>Envia</v>
      </c>
      <c r="C146" s="6" t="str">
        <f>IFERROR(__xludf.DUMMYFUNCTION("""COMPUTED_VALUE"""),"CALI")</f>
        <v>CALI</v>
      </c>
      <c r="D146" s="6" t="str">
        <f>IFERROR(__xludf.DUMMYFUNCTION("""COMPUTED_VALUE"""),"MEDELLÍN")</f>
        <v>MEDELLÍN</v>
      </c>
      <c r="E146" s="6" t="str">
        <f>IFERROR(__xludf.DUMMYFUNCTION("""COMPUTED_VALUE"""),"Todo Bufala")</f>
        <v>Todo Bufala</v>
      </c>
      <c r="F146" s="1" t="str">
        <f>IFERROR(__xludf.DUMMYFUNCTION("""COMPUTED_VALUE"""),"Calle 51 norte #4 BN -72 / Del Huerto Pizzeria / B la flora")</f>
        <v>Calle 51 norte #4 BN -72 / Del Huerto Pizzeria / B la flora</v>
      </c>
      <c r="G146" s="6" t="str">
        <f>IFERROR(__xludf.DUMMYFUNCTION("""COMPUTED_VALUE"""),"Eduardo Rodriguez")</f>
        <v>Eduardo Rodriguez</v>
      </c>
      <c r="H146" s="7">
        <f>IFERROR(__xludf.DUMMYFUNCTION("""COMPUTED_VALUE"""),8858.0)</f>
        <v>8858</v>
      </c>
      <c r="I146" s="7">
        <f>IFERROR(__xludf.DUMMYFUNCTION("""COMPUTED_VALUE"""),20.0)</f>
        <v>20</v>
      </c>
      <c r="J146" s="7">
        <f>IFERROR(__xludf.DUMMYFUNCTION("""COMPUTED_VALUE"""),30.0)</f>
        <v>30</v>
      </c>
      <c r="K146" s="7">
        <f>IFERROR(__xludf.DUMMYFUNCTION("""COMPUTED_VALUE"""),40.0)</f>
        <v>40</v>
      </c>
      <c r="L146" s="8">
        <f>IFERROR(__xludf.DUMMYFUNCTION("""COMPUTED_VALUE"""),3.104919761E9)</f>
        <v>3104919761</v>
      </c>
      <c r="M146" s="9" t="str">
        <f>IFERROR(__xludf.DUMMYFUNCTION("""COMPUTED_VALUE"""),"#REF!")</f>
        <v>#REF!</v>
      </c>
      <c r="N146" s="1"/>
      <c r="O146" s="3" t="str">
        <f>IFERROR(__xludf.DUMMYFUNCTION("""COMPUTED_VALUE"""),"")</f>
        <v/>
      </c>
      <c r="P146" s="9" t="b">
        <f>IFERROR(__xludf.DUMMYFUNCTION("""COMPUTED_VALUE"""),TRUE)</f>
        <v>1</v>
      </c>
      <c r="Q146" s="13">
        <f>IFERROR(__xludf.DUMMYFUNCTION("""COMPUTED_VALUE"""),45000.64134353009)</f>
        <v>45000.64134</v>
      </c>
      <c r="R146" s="12" t="str">
        <f>IFERROR(__xludf.DUMMYFUNCTION("""COMPUTED_VALUE"""),"")</f>
        <v/>
      </c>
      <c r="S146" s="1" t="str">
        <f t="shared" si="2"/>
        <v/>
      </c>
      <c r="T146" s="1" t="str">
        <f t="shared" si="3"/>
        <v/>
      </c>
      <c r="U146" s="1" t="str">
        <f t="shared" si="4"/>
        <v/>
      </c>
      <c r="V146" s="1"/>
      <c r="W146" s="1"/>
      <c r="X146" s="1"/>
      <c r="Y146" s="1"/>
      <c r="Z146" s="8"/>
      <c r="AA146" s="1"/>
      <c r="AB146" s="1"/>
      <c r="AC146" s="1"/>
      <c r="AD146" s="1"/>
      <c r="AE146" s="1"/>
      <c r="AF146" s="1"/>
      <c r="AG146" s="1"/>
      <c r="AH146" s="1" t="str">
        <f t="shared" si="1"/>
        <v/>
      </c>
      <c r="AI146" s="1"/>
    </row>
    <row r="147">
      <c r="A147" s="5">
        <f>IFERROR(__xludf.DUMMYFUNCTION("""COMPUTED_VALUE"""),45000.0)</f>
        <v>45000</v>
      </c>
      <c r="B147" s="14" t="str">
        <f>IFERROR(__xludf.DUMMYFUNCTION("""COMPUTED_VALUE"""),"Envia")</f>
        <v>Envia</v>
      </c>
      <c r="C147" s="6" t="str">
        <f>IFERROR(__xludf.DUMMYFUNCTION("""COMPUTED_VALUE"""),"CÚCUTA")</f>
        <v>CÚCUTA</v>
      </c>
      <c r="D147" s="6" t="str">
        <f>IFERROR(__xludf.DUMMYFUNCTION("""COMPUTED_VALUE"""),"MEDELLÍN")</f>
        <v>MEDELLÍN</v>
      </c>
      <c r="E147" s="6" t="str">
        <f>IFERROR(__xludf.DUMMYFUNCTION("""COMPUTED_VALUE"""),"Momo Tea S.A.S Gabriel Echavarría")</f>
        <v>Momo Tea S.A.S Gabriel Echavarría</v>
      </c>
      <c r="F147" s="1" t="str">
        <f>IFERROR(__xludf.DUMMYFUNCTION("""COMPUTED_VALUE"""),"CL 11 N 16 E 35 / CA B 1")</f>
        <v>CL 11 N 16 E 35 / CA B 1</v>
      </c>
      <c r="G147" s="6" t="str">
        <f>IFERROR(__xludf.DUMMYFUNCTION("""COMPUTED_VALUE"""),"Gabriel Echavarría")</f>
        <v>Gabriel Echavarría</v>
      </c>
      <c r="H147" s="7">
        <f>IFERROR(__xludf.DUMMYFUNCTION("""COMPUTED_VALUE"""),8829.0)</f>
        <v>8829</v>
      </c>
      <c r="I147" s="7">
        <f>IFERROR(__xludf.DUMMYFUNCTION("""COMPUTED_VALUE"""),38.0)</f>
        <v>38</v>
      </c>
      <c r="J147" s="7">
        <f>IFERROR(__xludf.DUMMYFUNCTION("""COMPUTED_VALUE"""),38.0)</f>
        <v>38</v>
      </c>
      <c r="K147" s="7">
        <f>IFERROR(__xludf.DUMMYFUNCTION("""COMPUTED_VALUE"""),20.0)</f>
        <v>20</v>
      </c>
      <c r="L147" s="8">
        <f>IFERROR(__xludf.DUMMYFUNCTION("""COMPUTED_VALUE"""),3.017909548E9)</f>
        <v>3017909548</v>
      </c>
      <c r="M147" s="9" t="str">
        <f>IFERROR(__xludf.DUMMYFUNCTION("""COMPUTED_VALUE"""),"#REF!")</f>
        <v>#REF!</v>
      </c>
      <c r="N147" s="1"/>
      <c r="O147" s="3" t="str">
        <f>IFERROR(__xludf.DUMMYFUNCTION("""COMPUTED_VALUE"""),"")</f>
        <v/>
      </c>
      <c r="P147" s="9" t="b">
        <f>IFERROR(__xludf.DUMMYFUNCTION("""COMPUTED_VALUE"""),TRUE)</f>
        <v>1</v>
      </c>
      <c r="Q147" s="13">
        <f>IFERROR(__xludf.DUMMYFUNCTION("""COMPUTED_VALUE"""),45000.64134353009)</f>
        <v>45000.64134</v>
      </c>
      <c r="R147" s="12" t="str">
        <f>IFERROR(__xludf.DUMMYFUNCTION("""COMPUTED_VALUE"""),"")</f>
        <v/>
      </c>
      <c r="S147" s="1" t="str">
        <f t="shared" si="2"/>
        <v/>
      </c>
      <c r="T147" s="1" t="str">
        <f t="shared" si="3"/>
        <v/>
      </c>
      <c r="U147" s="1" t="str">
        <f t="shared" si="4"/>
        <v/>
      </c>
      <c r="V147" s="1"/>
      <c r="W147" s="1"/>
      <c r="X147" s="1"/>
      <c r="Y147" s="1"/>
      <c r="Z147" s="8"/>
      <c r="AA147" s="1"/>
      <c r="AB147" s="1"/>
      <c r="AC147" s="1"/>
      <c r="AD147" s="1"/>
      <c r="AE147" s="1"/>
      <c r="AF147" s="1"/>
      <c r="AG147" s="1"/>
      <c r="AH147" s="1" t="str">
        <f t="shared" si="1"/>
        <v/>
      </c>
      <c r="AI147" s="1"/>
    </row>
    <row r="148">
      <c r="A148" s="5">
        <f>IFERROR(__xludf.DUMMYFUNCTION("""COMPUTED_VALUE"""),45000.0)</f>
        <v>45000</v>
      </c>
      <c r="B148" s="14" t="str">
        <f>IFERROR(__xludf.DUMMYFUNCTION("""COMPUTED_VALUE"""),"Envia")</f>
        <v>Envia</v>
      </c>
      <c r="C148" s="6" t="str">
        <f>IFERROR(__xludf.DUMMYFUNCTION("""COMPUTED_VALUE"""),"CÚCUTA")</f>
        <v>CÚCUTA</v>
      </c>
      <c r="D148" s="6" t="str">
        <f>IFERROR(__xludf.DUMMYFUNCTION("""COMPUTED_VALUE"""),"MEDELLÍN")</f>
        <v>MEDELLÍN</v>
      </c>
      <c r="E148" s="6" t="str">
        <f>IFERROR(__xludf.DUMMYFUNCTION("""COMPUTED_VALUE"""),"Momo Tea S.A.S Gabriel Echavarría")</f>
        <v>Momo Tea S.A.S Gabriel Echavarría</v>
      </c>
      <c r="F148" s="1" t="str">
        <f>IFERROR(__xludf.DUMMYFUNCTION("""COMPUTED_VALUE"""),"CL 11 N 16 E 35 / CA B 1")</f>
        <v>CL 11 N 16 E 35 / CA B 1</v>
      </c>
      <c r="G148" s="6" t="str">
        <f>IFERROR(__xludf.DUMMYFUNCTION("""COMPUTED_VALUE"""),"Gabriel Echavarría")</f>
        <v>Gabriel Echavarría</v>
      </c>
      <c r="H148" s="7">
        <f>IFERROR(__xludf.DUMMYFUNCTION("""COMPUTED_VALUE"""),8830.0)</f>
        <v>8830</v>
      </c>
      <c r="I148" s="2" t="str">
        <f>IFERROR(__xludf.DUMMYFUNCTION("""COMPUTED_VALUE"""),"34.5")</f>
        <v>34.5</v>
      </c>
      <c r="J148" s="7">
        <f>IFERROR(__xludf.DUMMYFUNCTION("""COMPUTED_VALUE"""),54.0)</f>
        <v>54</v>
      </c>
      <c r="K148" s="7">
        <f>IFERROR(__xludf.DUMMYFUNCTION("""COMPUTED_VALUE"""),26.0)</f>
        <v>26</v>
      </c>
      <c r="L148" s="8">
        <f>IFERROR(__xludf.DUMMYFUNCTION("""COMPUTED_VALUE"""),3.017909548E9)</f>
        <v>3017909548</v>
      </c>
      <c r="M148" s="9" t="str">
        <f>IFERROR(__xludf.DUMMYFUNCTION("""COMPUTED_VALUE"""),"#REF!")</f>
        <v>#REF!</v>
      </c>
      <c r="N148" s="1"/>
      <c r="O148" s="3" t="str">
        <f>IFERROR(__xludf.DUMMYFUNCTION("""COMPUTED_VALUE"""),"")</f>
        <v/>
      </c>
      <c r="P148" s="9" t="b">
        <f>IFERROR(__xludf.DUMMYFUNCTION("""COMPUTED_VALUE"""),TRUE)</f>
        <v>1</v>
      </c>
      <c r="Q148" s="13">
        <f>IFERROR(__xludf.DUMMYFUNCTION("""COMPUTED_VALUE"""),45000.64134353009)</f>
        <v>45000.64134</v>
      </c>
      <c r="R148" s="12" t="str">
        <f>IFERROR(__xludf.DUMMYFUNCTION("""COMPUTED_VALUE"""),"")</f>
        <v/>
      </c>
      <c r="S148" s="1" t="str">
        <f t="shared" si="2"/>
        <v/>
      </c>
      <c r="T148" s="1" t="str">
        <f t="shared" si="3"/>
        <v/>
      </c>
      <c r="U148" s="1" t="str">
        <f t="shared" si="4"/>
        <v/>
      </c>
      <c r="V148" s="1"/>
      <c r="W148" s="1"/>
      <c r="X148" s="1"/>
      <c r="Y148" s="1"/>
      <c r="Z148" s="8"/>
      <c r="AA148" s="1"/>
      <c r="AB148" s="1"/>
      <c r="AC148" s="1"/>
      <c r="AD148" s="1"/>
      <c r="AE148" s="1"/>
      <c r="AF148" s="1"/>
      <c r="AG148" s="1"/>
      <c r="AH148" s="1" t="str">
        <f t="shared" si="1"/>
        <v/>
      </c>
      <c r="AI148" s="1"/>
    </row>
    <row r="149">
      <c r="A149" s="5">
        <f>IFERROR(__xludf.DUMMYFUNCTION("""COMPUTED_VALUE"""),45000.0)</f>
        <v>45000</v>
      </c>
      <c r="B149" s="14" t="str">
        <f>IFERROR(__xludf.DUMMYFUNCTION("""COMPUTED_VALUE"""),"Envia")</f>
        <v>Envia</v>
      </c>
      <c r="C149" s="6" t="str">
        <f>IFERROR(__xludf.DUMMYFUNCTION("""COMPUTED_VALUE"""),"CÚCUTA")</f>
        <v>CÚCUTA</v>
      </c>
      <c r="D149" s="6" t="str">
        <f>IFERROR(__xludf.DUMMYFUNCTION("""COMPUTED_VALUE"""),"MEDELLÍN")</f>
        <v>MEDELLÍN</v>
      </c>
      <c r="E149" s="6" t="str">
        <f>IFERROR(__xludf.DUMMYFUNCTION("""COMPUTED_VALUE"""),"Momo Tea S.A.S Gabriel Echavarría")</f>
        <v>Momo Tea S.A.S Gabriel Echavarría</v>
      </c>
      <c r="F149" s="1" t="str">
        <f>IFERROR(__xludf.DUMMYFUNCTION("""COMPUTED_VALUE"""),"CL 11 N 16 E 35 / CA B 1")</f>
        <v>CL 11 N 16 E 35 / CA B 1</v>
      </c>
      <c r="G149" s="6" t="str">
        <f>IFERROR(__xludf.DUMMYFUNCTION("""COMPUTED_VALUE"""),"Gabriel Echavarría")</f>
        <v>Gabriel Echavarría</v>
      </c>
      <c r="H149" s="7">
        <f>IFERROR(__xludf.DUMMYFUNCTION("""COMPUTED_VALUE"""),8831.0)</f>
        <v>8831</v>
      </c>
      <c r="I149" s="7">
        <f>IFERROR(__xludf.DUMMYFUNCTION("""COMPUTED_VALUE"""),24.0)</f>
        <v>24</v>
      </c>
      <c r="J149" s="7">
        <f>IFERROR(__xludf.DUMMYFUNCTION("""COMPUTED_VALUE"""),3.0)</f>
        <v>3</v>
      </c>
      <c r="K149" s="7">
        <f>IFERROR(__xludf.DUMMYFUNCTION("""COMPUTED_VALUE"""),26.0)</f>
        <v>26</v>
      </c>
      <c r="L149" s="8">
        <f>IFERROR(__xludf.DUMMYFUNCTION("""COMPUTED_VALUE"""),3.017909548E9)</f>
        <v>3017909548</v>
      </c>
      <c r="M149" s="9" t="str">
        <f>IFERROR(__xludf.DUMMYFUNCTION("""COMPUTED_VALUE"""),"#REF!")</f>
        <v>#REF!</v>
      </c>
      <c r="N149" s="1"/>
      <c r="O149" s="3" t="str">
        <f>IFERROR(__xludf.DUMMYFUNCTION("""COMPUTED_VALUE"""),"")</f>
        <v/>
      </c>
      <c r="P149" s="9" t="b">
        <f>IFERROR(__xludf.DUMMYFUNCTION("""COMPUTED_VALUE"""),TRUE)</f>
        <v>1</v>
      </c>
      <c r="Q149" s="13">
        <f>IFERROR(__xludf.DUMMYFUNCTION("""COMPUTED_VALUE"""),45000.641357685185)</f>
        <v>45000.64136</v>
      </c>
      <c r="R149" s="12" t="str">
        <f>IFERROR(__xludf.DUMMYFUNCTION("""COMPUTED_VALUE"""),"")</f>
        <v/>
      </c>
      <c r="S149" s="1" t="str">
        <f t="shared" si="2"/>
        <v/>
      </c>
      <c r="T149" s="1" t="str">
        <f t="shared" si="3"/>
        <v/>
      </c>
      <c r="U149" s="1" t="str">
        <f t="shared" si="4"/>
        <v/>
      </c>
      <c r="V149" s="1"/>
      <c r="W149" s="1"/>
      <c r="X149" s="1"/>
      <c r="Y149" s="1"/>
      <c r="Z149" s="8"/>
      <c r="AA149" s="1"/>
      <c r="AB149" s="1"/>
      <c r="AC149" s="1"/>
      <c r="AD149" s="1"/>
      <c r="AE149" s="1"/>
      <c r="AF149" s="1"/>
      <c r="AG149" s="1"/>
      <c r="AH149" s="1" t="str">
        <f t="shared" si="1"/>
        <v/>
      </c>
      <c r="AI149" s="1"/>
    </row>
    <row r="150">
      <c r="A150" s="5">
        <f>IFERROR(__xludf.DUMMYFUNCTION("""COMPUTED_VALUE"""),45000.0)</f>
        <v>45000</v>
      </c>
      <c r="B150" s="14" t="str">
        <f>IFERROR(__xludf.DUMMYFUNCTION("""COMPUTED_VALUE"""),"Envia")</f>
        <v>Envia</v>
      </c>
      <c r="C150" s="6" t="str">
        <f>IFERROR(__xludf.DUMMYFUNCTION("""COMPUTED_VALUE"""),"CÚCUTA")</f>
        <v>CÚCUTA</v>
      </c>
      <c r="D150" s="6" t="str">
        <f>IFERROR(__xludf.DUMMYFUNCTION("""COMPUTED_VALUE"""),"MEDELLÍN")</f>
        <v>MEDELLÍN</v>
      </c>
      <c r="E150" s="6" t="str">
        <f>IFERROR(__xludf.DUMMYFUNCTION("""COMPUTED_VALUE"""),"Momo Tea S.A.S Gabriel Echavarría")</f>
        <v>Momo Tea S.A.S Gabriel Echavarría</v>
      </c>
      <c r="F150" s="1" t="str">
        <f>IFERROR(__xludf.DUMMYFUNCTION("""COMPUTED_VALUE"""),"CL 11 N 16 E 35 / CA B 1")</f>
        <v>CL 11 N 16 E 35 / CA B 1</v>
      </c>
      <c r="G150" s="6" t="str">
        <f>IFERROR(__xludf.DUMMYFUNCTION("""COMPUTED_VALUE"""),"Gabriel Echavarría")</f>
        <v>Gabriel Echavarría</v>
      </c>
      <c r="H150" s="7">
        <f>IFERROR(__xludf.DUMMYFUNCTION("""COMPUTED_VALUE"""),8832.0)</f>
        <v>8832</v>
      </c>
      <c r="I150" s="7">
        <f>IFERROR(__xludf.DUMMYFUNCTION("""COMPUTED_VALUE"""),19.0)</f>
        <v>19</v>
      </c>
      <c r="J150" s="7">
        <f>IFERROR(__xludf.DUMMYFUNCTION("""COMPUTED_VALUE"""),11.0)</f>
        <v>11</v>
      </c>
      <c r="K150" s="7">
        <f>IFERROR(__xludf.DUMMYFUNCTION("""COMPUTED_VALUE"""),32.0)</f>
        <v>32</v>
      </c>
      <c r="L150" s="8">
        <f>IFERROR(__xludf.DUMMYFUNCTION("""COMPUTED_VALUE"""),3.017909548E9)</f>
        <v>3017909548</v>
      </c>
      <c r="M150" s="9" t="str">
        <f>IFERROR(__xludf.DUMMYFUNCTION("""COMPUTED_VALUE"""),"#REF!")</f>
        <v>#REF!</v>
      </c>
      <c r="N150" s="1"/>
      <c r="O150" s="3" t="str">
        <f>IFERROR(__xludf.DUMMYFUNCTION("""COMPUTED_VALUE"""),"")</f>
        <v/>
      </c>
      <c r="P150" s="9" t="b">
        <f>IFERROR(__xludf.DUMMYFUNCTION("""COMPUTED_VALUE"""),TRUE)</f>
        <v>1</v>
      </c>
      <c r="Q150" s="13">
        <f>IFERROR(__xludf.DUMMYFUNCTION("""COMPUTED_VALUE"""),45000.641357685185)</f>
        <v>45000.64136</v>
      </c>
      <c r="R150" s="12" t="str">
        <f>IFERROR(__xludf.DUMMYFUNCTION("""COMPUTED_VALUE"""),"")</f>
        <v/>
      </c>
      <c r="S150" s="1" t="str">
        <f t="shared" si="2"/>
        <v/>
      </c>
      <c r="T150" s="1" t="str">
        <f t="shared" si="3"/>
        <v/>
      </c>
      <c r="U150" s="1" t="str">
        <f t="shared" si="4"/>
        <v/>
      </c>
      <c r="V150" s="1"/>
      <c r="W150" s="1"/>
      <c r="X150" s="1"/>
      <c r="Y150" s="1"/>
      <c r="Z150" s="8"/>
      <c r="AA150" s="1"/>
      <c r="AB150" s="1"/>
      <c r="AC150" s="1"/>
      <c r="AD150" s="1"/>
      <c r="AE150" s="1"/>
      <c r="AF150" s="1"/>
      <c r="AG150" s="1"/>
      <c r="AH150" s="1" t="str">
        <f t="shared" si="1"/>
        <v/>
      </c>
      <c r="AI150" s="1"/>
    </row>
    <row r="151">
      <c r="A151" s="5">
        <f>IFERROR(__xludf.DUMMYFUNCTION("""COMPUTED_VALUE"""),45000.0)</f>
        <v>45000</v>
      </c>
      <c r="B151" s="14" t="str">
        <f>IFERROR(__xludf.DUMMYFUNCTION("""COMPUTED_VALUE"""),"Envia")</f>
        <v>Envia</v>
      </c>
      <c r="C151" s="6" t="str">
        <f>IFERROR(__xludf.DUMMYFUNCTION("""COMPUTED_VALUE"""),"CÚCUTA")</f>
        <v>CÚCUTA</v>
      </c>
      <c r="D151" s="6" t="str">
        <f>IFERROR(__xludf.DUMMYFUNCTION("""COMPUTED_VALUE"""),"MEDELLÍN")</f>
        <v>MEDELLÍN</v>
      </c>
      <c r="E151" s="6" t="str">
        <f>IFERROR(__xludf.DUMMYFUNCTION("""COMPUTED_VALUE"""),"Momo Tea S.A.S Gabriel Echavarría")</f>
        <v>Momo Tea S.A.S Gabriel Echavarría</v>
      </c>
      <c r="F151" s="1" t="str">
        <f>IFERROR(__xludf.DUMMYFUNCTION("""COMPUTED_VALUE"""),"CL 11 N 16 E 35 / CA B 1")</f>
        <v>CL 11 N 16 E 35 / CA B 1</v>
      </c>
      <c r="G151" s="6" t="str">
        <f>IFERROR(__xludf.DUMMYFUNCTION("""COMPUTED_VALUE"""),"Gabriel Echavarría")</f>
        <v>Gabriel Echavarría</v>
      </c>
      <c r="H151" s="7">
        <f>IFERROR(__xludf.DUMMYFUNCTION("""COMPUTED_VALUE"""),8833.0)</f>
        <v>8833</v>
      </c>
      <c r="I151" s="7">
        <f>IFERROR(__xludf.DUMMYFUNCTION("""COMPUTED_VALUE"""),17.0)</f>
        <v>17</v>
      </c>
      <c r="J151" s="7">
        <f>IFERROR(__xludf.DUMMYFUNCTION("""COMPUTED_VALUE"""),17.0)</f>
        <v>17</v>
      </c>
      <c r="K151" s="7">
        <f>IFERROR(__xludf.DUMMYFUNCTION("""COMPUTED_VALUE"""),23.0)</f>
        <v>23</v>
      </c>
      <c r="L151" s="8">
        <f>IFERROR(__xludf.DUMMYFUNCTION("""COMPUTED_VALUE"""),3.017909548E9)</f>
        <v>3017909548</v>
      </c>
      <c r="M151" s="9" t="str">
        <f>IFERROR(__xludf.DUMMYFUNCTION("""COMPUTED_VALUE"""),"#REF!")</f>
        <v>#REF!</v>
      </c>
      <c r="N151" s="1"/>
      <c r="O151" s="3" t="str">
        <f>IFERROR(__xludf.DUMMYFUNCTION("""COMPUTED_VALUE"""),"")</f>
        <v/>
      </c>
      <c r="P151" s="9" t="b">
        <f>IFERROR(__xludf.DUMMYFUNCTION("""COMPUTED_VALUE"""),TRUE)</f>
        <v>1</v>
      </c>
      <c r="Q151" s="13">
        <f>IFERROR(__xludf.DUMMYFUNCTION("""COMPUTED_VALUE"""),45000.64134353009)</f>
        <v>45000.64134</v>
      </c>
      <c r="R151" s="12" t="str">
        <f>IFERROR(__xludf.DUMMYFUNCTION("""COMPUTED_VALUE"""),"")</f>
        <v/>
      </c>
      <c r="S151" s="1" t="str">
        <f t="shared" si="2"/>
        <v/>
      </c>
      <c r="T151" s="1" t="str">
        <f t="shared" si="3"/>
        <v/>
      </c>
      <c r="U151" s="1" t="str">
        <f t="shared" si="4"/>
        <v/>
      </c>
      <c r="V151" s="1"/>
      <c r="W151" s="1"/>
      <c r="X151" s="1"/>
      <c r="Y151" s="1"/>
      <c r="Z151" s="8"/>
      <c r="AA151" s="1"/>
      <c r="AB151" s="1"/>
      <c r="AC151" s="1"/>
      <c r="AD151" s="1"/>
      <c r="AE151" s="1"/>
      <c r="AF151" s="1"/>
      <c r="AG151" s="1"/>
      <c r="AH151" s="1" t="str">
        <f t="shared" si="1"/>
        <v/>
      </c>
      <c r="AI151" s="1"/>
    </row>
    <row r="152">
      <c r="A152" s="5">
        <f>IFERROR(__xludf.DUMMYFUNCTION("""COMPUTED_VALUE"""),45000.0)</f>
        <v>45000</v>
      </c>
      <c r="B152" s="14" t="str">
        <f>IFERROR(__xludf.DUMMYFUNCTION("""COMPUTED_VALUE"""),"Envia")</f>
        <v>Envia</v>
      </c>
      <c r="C152" s="6" t="str">
        <f>IFERROR(__xludf.DUMMYFUNCTION("""COMPUTED_VALUE"""),"CÚCUTA")</f>
        <v>CÚCUTA</v>
      </c>
      <c r="D152" s="6" t="str">
        <f>IFERROR(__xludf.DUMMYFUNCTION("""COMPUTED_VALUE"""),"MEDELLÍN")</f>
        <v>MEDELLÍN</v>
      </c>
      <c r="E152" s="6" t="str">
        <f>IFERROR(__xludf.DUMMYFUNCTION("""COMPUTED_VALUE"""),"Momo Tea S.A.S Gabriel Echavarría")</f>
        <v>Momo Tea S.A.S Gabriel Echavarría</v>
      </c>
      <c r="F152" s="1" t="str">
        <f>IFERROR(__xludf.DUMMYFUNCTION("""COMPUTED_VALUE"""),"CL 11 N 16 E 35 / CA B 1")</f>
        <v>CL 11 N 16 E 35 / CA B 1</v>
      </c>
      <c r="G152" s="6" t="str">
        <f>IFERROR(__xludf.DUMMYFUNCTION("""COMPUTED_VALUE"""),"Gabriel Echavarría")</f>
        <v>Gabriel Echavarría</v>
      </c>
      <c r="H152" s="7">
        <f>IFERROR(__xludf.DUMMYFUNCTION("""COMPUTED_VALUE"""),8834.0)</f>
        <v>8834</v>
      </c>
      <c r="I152" s="7">
        <f>IFERROR(__xludf.DUMMYFUNCTION("""COMPUTED_VALUE"""),33.0)</f>
        <v>33</v>
      </c>
      <c r="J152" s="7">
        <f>IFERROR(__xludf.DUMMYFUNCTION("""COMPUTED_VALUE"""),13.0)</f>
        <v>13</v>
      </c>
      <c r="K152" s="7">
        <f>IFERROR(__xludf.DUMMYFUNCTION("""COMPUTED_VALUE"""),20.0)</f>
        <v>20</v>
      </c>
      <c r="L152" s="8">
        <f>IFERROR(__xludf.DUMMYFUNCTION("""COMPUTED_VALUE"""),3.017909548E9)</f>
        <v>3017909548</v>
      </c>
      <c r="M152" s="9" t="str">
        <f>IFERROR(__xludf.DUMMYFUNCTION("""COMPUTED_VALUE"""),"#REF!")</f>
        <v>#REF!</v>
      </c>
      <c r="N152" s="1"/>
      <c r="O152" s="3" t="str">
        <f>IFERROR(__xludf.DUMMYFUNCTION("""COMPUTED_VALUE"""),"")</f>
        <v/>
      </c>
      <c r="P152" s="9" t="b">
        <f>IFERROR(__xludf.DUMMYFUNCTION("""COMPUTED_VALUE"""),TRUE)</f>
        <v>1</v>
      </c>
      <c r="Q152" s="13">
        <f>IFERROR(__xludf.DUMMYFUNCTION("""COMPUTED_VALUE"""),45001.364650902775)</f>
        <v>45001.36465</v>
      </c>
      <c r="R152" s="12" t="str">
        <f>IFERROR(__xludf.DUMMYFUNCTION("""COMPUTED_VALUE"""),"")</f>
        <v/>
      </c>
      <c r="S152" s="1" t="str">
        <f t="shared" si="2"/>
        <v/>
      </c>
      <c r="T152" s="1" t="str">
        <f t="shared" si="3"/>
        <v/>
      </c>
      <c r="U152" s="1" t="str">
        <f t="shared" si="4"/>
        <v/>
      </c>
      <c r="V152" s="1"/>
      <c r="W152" s="1"/>
      <c r="X152" s="1"/>
      <c r="Y152" s="1"/>
      <c r="Z152" s="8"/>
      <c r="AA152" s="1"/>
      <c r="AB152" s="1"/>
      <c r="AC152" s="1"/>
      <c r="AD152" s="1"/>
      <c r="AE152" s="1"/>
      <c r="AF152" s="1"/>
      <c r="AG152" s="1"/>
      <c r="AH152" s="1" t="str">
        <f t="shared" si="1"/>
        <v/>
      </c>
      <c r="AI152" s="1"/>
    </row>
    <row r="153">
      <c r="A153" s="5">
        <f>IFERROR(__xludf.DUMMYFUNCTION("""COMPUTED_VALUE"""),45000.0)</f>
        <v>45000</v>
      </c>
      <c r="B153" s="14" t="str">
        <f>IFERROR(__xludf.DUMMYFUNCTION("""COMPUTED_VALUE"""),"Envia")</f>
        <v>Envia</v>
      </c>
      <c r="C153" s="6" t="str">
        <f>IFERROR(__xludf.DUMMYFUNCTION("""COMPUTED_VALUE"""),"MEDELLÍN")</f>
        <v>MEDELLÍN</v>
      </c>
      <c r="D153" s="6" t="str">
        <f>IFERROR(__xludf.DUMMYFUNCTION("""COMPUTED_VALUE"""),"CALI")</f>
        <v>CALI</v>
      </c>
      <c r="E153" s="6" t="str">
        <f>IFERROR(__xludf.DUMMYFUNCTION("""COMPUTED_VALUE"""),"Sabor Típico")</f>
        <v>Sabor Típico</v>
      </c>
      <c r="F153" s="1" t="str">
        <f>IFERROR(__xludf.DUMMYFUNCTION("""COMPUTED_VALUE"""),"Calle 65B # 86 - 08  Urbanización Villas De Robledal Casa 82  / Barrio: Robledo Parque / Barrio: Robledo Parque")</f>
        <v>Calle 65B # 86 - 08  Urbanización Villas De Robledal Casa 82  / Barrio: Robledo Parque / Barrio: Robledo Parque</v>
      </c>
      <c r="G153" s="6" t="str">
        <f>IFERROR(__xludf.DUMMYFUNCTION("""COMPUTED_VALUE"""),"Luisa Fernanda Sierra")</f>
        <v>Luisa Fernanda Sierra</v>
      </c>
      <c r="H153" s="7">
        <f>IFERROR(__xludf.DUMMYFUNCTION("""COMPUTED_VALUE"""),8865.0)</f>
        <v>8865</v>
      </c>
      <c r="I153" s="7">
        <f>IFERROR(__xludf.DUMMYFUNCTION("""COMPUTED_VALUE"""),9.0)</f>
        <v>9</v>
      </c>
      <c r="J153" s="7">
        <f>IFERROR(__xludf.DUMMYFUNCTION("""COMPUTED_VALUE"""),30.0)</f>
        <v>30</v>
      </c>
      <c r="K153" s="7">
        <f>IFERROR(__xludf.DUMMYFUNCTION("""COMPUTED_VALUE"""),22.0)</f>
        <v>22</v>
      </c>
      <c r="L153" s="8">
        <f>IFERROR(__xludf.DUMMYFUNCTION("""COMPUTED_VALUE"""),3.014584446E9)</f>
        <v>3014584446</v>
      </c>
      <c r="M153" s="9" t="str">
        <f>IFERROR(__xludf.DUMMYFUNCTION("""COMPUTED_VALUE"""),"#REF!")</f>
        <v>#REF!</v>
      </c>
      <c r="N153" s="1"/>
      <c r="O153" s="3" t="str">
        <f>IFERROR(__xludf.DUMMYFUNCTION("""COMPUTED_VALUE"""),"")</f>
        <v/>
      </c>
      <c r="P153" s="9" t="b">
        <f>IFERROR(__xludf.DUMMYFUNCTION("""COMPUTED_VALUE"""),FALSE)</f>
        <v>0</v>
      </c>
      <c r="Q153" s="10" t="str">
        <f>IFERROR(__xludf.DUMMYFUNCTION("""COMPUTED_VALUE"""),"")</f>
        <v/>
      </c>
      <c r="R153" s="11" t="str">
        <f>IFERROR(__xludf.DUMMYFUNCTION("""COMPUTED_VALUE"""),"https://drive.google.com/file/d/1RCJJW9cBMuGgQmqPqElq7cByRX249HhC/view?usp=drivesdk")</f>
        <v>https://drive.google.com/file/d/1RCJJW9cBMuGgQmqPqElq7cByRX249HhC/view?usp=drivesdk</v>
      </c>
      <c r="S153" s="1" t="str">
        <f t="shared" si="2"/>
        <v/>
      </c>
      <c r="T153" s="1" t="str">
        <f t="shared" si="3"/>
        <v/>
      </c>
      <c r="U153" s="1" t="str">
        <f t="shared" si="4"/>
        <v/>
      </c>
      <c r="V153" s="1"/>
      <c r="W153" s="1"/>
      <c r="X153" s="1"/>
      <c r="Y153" s="1"/>
      <c r="Z153" s="8"/>
      <c r="AA153" s="1"/>
      <c r="AB153" s="1"/>
      <c r="AC153" s="1"/>
      <c r="AD153" s="1"/>
      <c r="AE153" s="1"/>
      <c r="AF153" s="1"/>
      <c r="AG153" s="1"/>
      <c r="AH153" s="1" t="str">
        <f t="shared" si="1"/>
        <v/>
      </c>
      <c r="AI153" s="1"/>
    </row>
    <row r="154">
      <c r="A154" s="5">
        <f>IFERROR(__xludf.DUMMYFUNCTION("""COMPUTED_VALUE"""),45000.0)</f>
        <v>45000</v>
      </c>
      <c r="B154" s="14" t="str">
        <f>IFERROR(__xludf.DUMMYFUNCTION("""COMPUTED_VALUE"""),"Envia")</f>
        <v>Envia</v>
      </c>
      <c r="C154" s="6" t="str">
        <f>IFERROR(__xludf.DUMMYFUNCTION("""COMPUTED_VALUE"""),"MONTERIA")</f>
        <v>MONTERIA</v>
      </c>
      <c r="D154" s="6" t="str">
        <f>IFERROR(__xludf.DUMMYFUNCTION("""COMPUTED_VALUE"""),"BOGOTÁ")</f>
        <v>BOGOTÁ</v>
      </c>
      <c r="E154" s="6" t="str">
        <f>IFERROR(__xludf.DUMMYFUNCTION("""COMPUTED_VALUE"""),"Evamazzita")</f>
        <v>Evamazzita</v>
      </c>
      <c r="F154" s="1" t="str">
        <f>IFERROR(__xludf.DUMMYFUNCTION("""COMPUTED_VALUE"""),"CRA 14A No. 54 . 23  / N/A / BARRIO MONTEVERDE")</f>
        <v>CRA 14A No. 54 . 23  / N/A / BARRIO MONTEVERDE</v>
      </c>
      <c r="G154" s="6" t="str">
        <f>IFERROR(__xludf.DUMMYFUNCTION("""COMPUTED_VALUE"""),"EMILIA MIRANDA")</f>
        <v>EMILIA MIRANDA</v>
      </c>
      <c r="H154" s="7">
        <f>IFERROR(__xludf.DUMMYFUNCTION("""COMPUTED_VALUE"""),8801.0)</f>
        <v>8801</v>
      </c>
      <c r="I154" s="7">
        <f>IFERROR(__xludf.DUMMYFUNCTION("""COMPUTED_VALUE"""),21.0)</f>
        <v>21</v>
      </c>
      <c r="J154" s="7">
        <f>IFERROR(__xludf.DUMMYFUNCTION("""COMPUTED_VALUE"""),29.0)</f>
        <v>29</v>
      </c>
      <c r="K154" s="7">
        <f>IFERROR(__xludf.DUMMYFUNCTION("""COMPUTED_VALUE"""),22.0)</f>
        <v>22</v>
      </c>
      <c r="L154" s="8">
        <f>IFERROR(__xludf.DUMMYFUNCTION("""COMPUTED_VALUE"""),3.113438505E9)</f>
        <v>3113438505</v>
      </c>
      <c r="M154" s="9" t="str">
        <f>IFERROR(__xludf.DUMMYFUNCTION("""COMPUTED_VALUE"""),"#REF!")</f>
        <v>#REF!</v>
      </c>
      <c r="N154" s="1"/>
      <c r="O154" s="3" t="str">
        <f>IFERROR(__xludf.DUMMYFUNCTION("""COMPUTED_VALUE"""),"")</f>
        <v/>
      </c>
      <c r="P154" s="9" t="b">
        <f>IFERROR(__xludf.DUMMYFUNCTION("""COMPUTED_VALUE"""),TRUE)</f>
        <v>1</v>
      </c>
      <c r="Q154" s="13">
        <f>IFERROR(__xludf.DUMMYFUNCTION("""COMPUTED_VALUE"""),45000.73975658565)</f>
        <v>45000.73976</v>
      </c>
      <c r="R154" s="12" t="str">
        <f>IFERROR(__xludf.DUMMYFUNCTION("""COMPUTED_VALUE"""),"")</f>
        <v/>
      </c>
      <c r="S154" s="1" t="str">
        <f t="shared" si="2"/>
        <v/>
      </c>
      <c r="T154" s="1" t="str">
        <f t="shared" si="3"/>
        <v/>
      </c>
      <c r="U154" s="1" t="str">
        <f t="shared" si="4"/>
        <v/>
      </c>
      <c r="V154" s="1"/>
      <c r="W154" s="1"/>
      <c r="X154" s="1"/>
      <c r="Y154" s="1"/>
      <c r="Z154" s="8"/>
      <c r="AA154" s="1"/>
      <c r="AB154" s="1"/>
      <c r="AC154" s="1"/>
      <c r="AD154" s="1"/>
      <c r="AE154" s="1"/>
      <c r="AF154" s="1"/>
      <c r="AG154" s="1"/>
      <c r="AH154" s="1" t="str">
        <f t="shared" si="1"/>
        <v/>
      </c>
      <c r="AI154" s="1"/>
    </row>
    <row r="155">
      <c r="A155" s="1" t="str">
        <f>IFERROR(__xludf.DUMMYFUNCTION("""COMPUTED_VALUE"""),"")</f>
        <v/>
      </c>
      <c r="B155" s="1" t="str">
        <f>IFERROR(__xludf.DUMMYFUNCTION("""COMPUTED_VALUE"""),"")</f>
        <v/>
      </c>
      <c r="C155" s="1" t="str">
        <f>IFERROR(__xludf.DUMMYFUNCTION("""COMPUTED_VALUE"""),"")</f>
        <v/>
      </c>
      <c r="D155" s="1" t="str">
        <f>IFERROR(__xludf.DUMMYFUNCTION("""COMPUTED_VALUE"""),"")</f>
        <v/>
      </c>
      <c r="E155" s="1" t="str">
        <f>IFERROR(__xludf.DUMMYFUNCTION("""COMPUTED_VALUE"""),"")</f>
        <v/>
      </c>
      <c r="F155" s="1" t="str">
        <f>IFERROR(__xludf.DUMMYFUNCTION("""COMPUTED_VALUE"""),"")</f>
        <v/>
      </c>
      <c r="G155" s="1" t="str">
        <f>IFERROR(__xludf.DUMMYFUNCTION("""COMPUTED_VALUE"""),"")</f>
        <v/>
      </c>
      <c r="H155" s="1" t="str">
        <f>IFERROR(__xludf.DUMMYFUNCTION("""COMPUTED_VALUE"""),"")</f>
        <v/>
      </c>
      <c r="I155" s="1" t="str">
        <f>IFERROR(__xludf.DUMMYFUNCTION("""COMPUTED_VALUE"""),"")</f>
        <v/>
      </c>
      <c r="J155" s="1" t="str">
        <f>IFERROR(__xludf.DUMMYFUNCTION("""COMPUTED_VALUE"""),"")</f>
        <v/>
      </c>
      <c r="K155" s="1" t="str">
        <f>IFERROR(__xludf.DUMMYFUNCTION("""COMPUTED_VALUE"""),"")</f>
        <v/>
      </c>
      <c r="L155" s="1" t="str">
        <f>IFERROR(__xludf.DUMMYFUNCTION("""COMPUTED_VALUE"""),"")</f>
        <v/>
      </c>
      <c r="M155" s="1" t="str">
        <f>IFERROR(__xludf.DUMMYFUNCTION("""COMPUTED_VALUE"""),"")</f>
        <v/>
      </c>
      <c r="N155" s="1" t="str">
        <f>IFERROR(__xludf.DUMMYFUNCTION("""COMPUTED_VALUE"""),"")</f>
        <v/>
      </c>
      <c r="O155" s="1" t="str">
        <f>IFERROR(__xludf.DUMMYFUNCTION("""COMPUTED_VALUE"""),"")</f>
        <v/>
      </c>
      <c r="P155" s="1" t="str">
        <f>IFERROR(__xludf.DUMMYFUNCTION("""COMPUTED_VALUE"""),"")</f>
        <v/>
      </c>
      <c r="Q155" s="1" t="str">
        <f>IFERROR(__xludf.DUMMYFUNCTION("""COMPUTED_VALUE"""),"")</f>
        <v/>
      </c>
      <c r="R155" s="1" t="str">
        <f>IFERROR(__xludf.DUMMYFUNCTION("""COMPUTED_VALUE"""),"")</f>
        <v/>
      </c>
      <c r="S155" s="1" t="str">
        <f t="shared" si="2"/>
        <v/>
      </c>
      <c r="T155" s="1" t="str">
        <f t="shared" si="3"/>
        <v/>
      </c>
      <c r="U155" s="1" t="str">
        <f t="shared" si="4"/>
        <v/>
      </c>
      <c r="V155" s="1"/>
      <c r="W155" s="1"/>
      <c r="X155" s="1"/>
      <c r="Y155" s="1"/>
      <c r="Z155" s="8"/>
      <c r="AA155" s="1"/>
      <c r="AB155" s="1"/>
      <c r="AC155" s="1"/>
      <c r="AD155" s="1"/>
      <c r="AE155" s="1"/>
      <c r="AF155" s="1"/>
      <c r="AG155" s="1"/>
      <c r="AH155" s="1" t="str">
        <f t="shared" si="1"/>
        <v/>
      </c>
      <c r="AI155" s="1"/>
    </row>
    <row r="156">
      <c r="A156" s="5">
        <f>IFERROR(__xludf.DUMMYFUNCTION("""COMPUTED_VALUE"""),45000.0)</f>
        <v>45000</v>
      </c>
      <c r="B156" s="14" t="str">
        <f>IFERROR(__xludf.DUMMYFUNCTION("""COMPUTED_VALUE"""),"Jeison Rubiano")</f>
        <v>Jeison Rubiano</v>
      </c>
      <c r="C156" s="6" t="str">
        <f>IFERROR(__xludf.DUMMYFUNCTION("""COMPUTED_VALUE"""),"BOGOTÁ")</f>
        <v>BOGOTÁ</v>
      </c>
      <c r="D156" s="6" t="str">
        <f>IFERROR(__xludf.DUMMYFUNCTION("""COMPUTED_VALUE"""),"BARRANQUILLA")</f>
        <v>BARRANQUILLA</v>
      </c>
      <c r="E156" s="6" t="str">
        <f>IFERROR(__xludf.DUMMYFUNCTION("""COMPUTED_VALUE"""),"Espejo Askar")</f>
        <v>Espejo Askar</v>
      </c>
      <c r="F156" s="1" t="str">
        <f>IFERROR(__xludf.DUMMYFUNCTION("""COMPUTED_VALUE"""),"Calle 47A Sur # 28-64 / bodega / barrio claret")</f>
        <v>Calle 47A Sur # 28-64 / bodega / barrio claret</v>
      </c>
      <c r="G156" s="6" t="str">
        <f>IFERROR(__xludf.DUMMYFUNCTION("""COMPUTED_VALUE"""),"Carolina")</f>
        <v>Carolina</v>
      </c>
      <c r="H156" s="7">
        <f>IFERROR(__xludf.DUMMYFUNCTION("""COMPUTED_VALUE"""),8863.0)</f>
        <v>8863</v>
      </c>
      <c r="I156" s="7">
        <f>IFERROR(__xludf.DUMMYFUNCTION("""COMPUTED_VALUE"""),25.0)</f>
        <v>25</v>
      </c>
      <c r="J156" s="7">
        <f>IFERROR(__xludf.DUMMYFUNCTION("""COMPUTED_VALUE"""),25.0)</f>
        <v>25</v>
      </c>
      <c r="K156" s="7">
        <f>IFERROR(__xludf.DUMMYFUNCTION("""COMPUTED_VALUE"""),40.0)</f>
        <v>40</v>
      </c>
      <c r="L156" s="8">
        <f>IFERROR(__xludf.DUMMYFUNCTION("""COMPUTED_VALUE"""),3.164689555E9)</f>
        <v>3164689555</v>
      </c>
      <c r="M156" s="9" t="str">
        <f>IFERROR(__xludf.DUMMYFUNCTION("""COMPUTED_VALUE"""),"#REF!")</f>
        <v>#REF!</v>
      </c>
      <c r="N156" s="1"/>
      <c r="O156" s="3" t="str">
        <f>IFERROR(__xludf.DUMMYFUNCTION("""COMPUTED_VALUE"""),"")</f>
        <v/>
      </c>
      <c r="P156" s="9" t="b">
        <f>IFERROR(__xludf.DUMMYFUNCTION("""COMPUTED_VALUE"""),FALSE)</f>
        <v>0</v>
      </c>
      <c r="Q156" s="10" t="str">
        <f>IFERROR(__xludf.DUMMYFUNCTION("""COMPUTED_VALUE"""),"")</f>
        <v/>
      </c>
      <c r="R156" s="12" t="str">
        <f>IFERROR(__xludf.DUMMYFUNCTION("""COMPUTED_VALUE"""),"")</f>
        <v/>
      </c>
      <c r="S156" s="1" t="str">
        <f t="shared" si="2"/>
        <v/>
      </c>
      <c r="T156" s="1" t="str">
        <f t="shared" si="3"/>
        <v/>
      </c>
      <c r="U156" s="1" t="str">
        <f t="shared" si="4"/>
        <v/>
      </c>
      <c r="V156" s="1"/>
      <c r="W156" s="1"/>
      <c r="X156" s="1"/>
      <c r="Y156" s="1"/>
      <c r="Z156" s="8"/>
      <c r="AA156" s="1"/>
      <c r="AB156" s="1"/>
      <c r="AC156" s="1"/>
      <c r="AD156" s="1"/>
      <c r="AE156" s="1"/>
      <c r="AF156" s="1"/>
      <c r="AG156" s="1"/>
      <c r="AH156" s="1" t="str">
        <f t="shared" si="1"/>
        <v/>
      </c>
      <c r="AI156" s="1"/>
    </row>
    <row r="157">
      <c r="A157" s="5">
        <f>IFERROR(__xludf.DUMMYFUNCTION("""COMPUTED_VALUE"""),45000.0)</f>
        <v>45000</v>
      </c>
      <c r="B157" s="14" t="str">
        <f>IFERROR(__xludf.DUMMYFUNCTION("""COMPUTED_VALUE"""),"Jeison Rubiano")</f>
        <v>Jeison Rubiano</v>
      </c>
      <c r="C157" s="6" t="str">
        <f>IFERROR(__xludf.DUMMYFUNCTION("""COMPUTED_VALUE"""),"BOGOTÁ")</f>
        <v>BOGOTÁ</v>
      </c>
      <c r="D157" s="6" t="str">
        <f>IFERROR(__xludf.DUMMYFUNCTION("""COMPUTED_VALUE"""),"MEDELLÍN")</f>
        <v>MEDELLÍN</v>
      </c>
      <c r="E157" s="6" t="str">
        <f>IFERROR(__xludf.DUMMYFUNCTION("""COMPUTED_VALUE"""),"Baby Chef")</f>
        <v>Baby Chef</v>
      </c>
      <c r="F157" s="1" t="str">
        <f>IFERROR(__xludf.DUMMYFUNCTION("""COMPUTED_VALUE"""),"CALLE 75 # 69-29  / Las ferias  / bogota")</f>
        <v>CALLE 75 # 69-29  / Las ferias  / bogota</v>
      </c>
      <c r="G157" s="6" t="str">
        <f>IFERROR(__xludf.DUMMYFUNCTION("""COMPUTED_VALUE"""),"Milena Giraldo Munar")</f>
        <v>Milena Giraldo Munar</v>
      </c>
      <c r="H157" s="7">
        <f>IFERROR(__xludf.DUMMYFUNCTION("""COMPUTED_VALUE"""),8875.0)</f>
        <v>8875</v>
      </c>
      <c r="I157" s="7">
        <f>IFERROR(__xludf.DUMMYFUNCTION("""COMPUTED_VALUE"""),8.0)</f>
        <v>8</v>
      </c>
      <c r="J157" s="7">
        <f>IFERROR(__xludf.DUMMYFUNCTION("""COMPUTED_VALUE"""),16.0)</f>
        <v>16</v>
      </c>
      <c r="K157" s="7">
        <f>IFERROR(__xludf.DUMMYFUNCTION("""COMPUTED_VALUE"""),20.0)</f>
        <v>20</v>
      </c>
      <c r="L157" s="8">
        <f>IFERROR(__xludf.DUMMYFUNCTION("""COMPUTED_VALUE"""),3.143681152E9)</f>
        <v>3143681152</v>
      </c>
      <c r="M157" s="9" t="str">
        <f>IFERROR(__xludf.DUMMYFUNCTION("""COMPUTED_VALUE"""),"#REF!")</f>
        <v>#REF!</v>
      </c>
      <c r="N157" s="1"/>
      <c r="O157" s="3" t="str">
        <f>IFERROR(__xludf.DUMMYFUNCTION("""COMPUTED_VALUE"""),"")</f>
        <v/>
      </c>
      <c r="P157" s="9" t="b">
        <f>IFERROR(__xludf.DUMMYFUNCTION("""COMPUTED_VALUE"""),FALSE)</f>
        <v>0</v>
      </c>
      <c r="Q157" s="10" t="str">
        <f>IFERROR(__xludf.DUMMYFUNCTION("""COMPUTED_VALUE"""),"")</f>
        <v/>
      </c>
      <c r="R157" s="11" t="str">
        <f>IFERROR(__xludf.DUMMYFUNCTION("""COMPUTED_VALUE"""),"https://drive.google.com/file/d/1oVXL3cpR515p1pYNQBQilrhpQOjJDJo4/view?usp=drivesdk")</f>
        <v>https://drive.google.com/file/d/1oVXL3cpR515p1pYNQBQilrhpQOjJDJo4/view?usp=drivesdk</v>
      </c>
      <c r="S157" s="1" t="str">
        <f t="shared" si="2"/>
        <v/>
      </c>
      <c r="T157" s="1" t="str">
        <f t="shared" si="3"/>
        <v/>
      </c>
      <c r="U157" s="1" t="str">
        <f t="shared" si="4"/>
        <v/>
      </c>
      <c r="V157" s="1"/>
      <c r="W157" s="1"/>
      <c r="X157" s="1"/>
      <c r="Y157" s="1"/>
      <c r="Z157" s="8"/>
      <c r="AA157" s="1"/>
      <c r="AB157" s="1"/>
      <c r="AC157" s="1"/>
      <c r="AD157" s="1"/>
      <c r="AE157" s="1"/>
      <c r="AF157" s="1"/>
      <c r="AG157" s="1"/>
      <c r="AH157" s="1" t="str">
        <f t="shared" si="1"/>
        <v/>
      </c>
      <c r="AI157" s="1"/>
    </row>
    <row r="158">
      <c r="A158" s="5">
        <f>IFERROR(__xludf.DUMMYFUNCTION("""COMPUTED_VALUE"""),45000.0)</f>
        <v>45000</v>
      </c>
      <c r="B158" s="14" t="str">
        <f>IFERROR(__xludf.DUMMYFUNCTION("""COMPUTED_VALUE"""),"Jeison Rubiano")</f>
        <v>Jeison Rubiano</v>
      </c>
      <c r="C158" s="6" t="str">
        <f>IFERROR(__xludf.DUMMYFUNCTION("""COMPUTED_VALUE"""),"BOGOTÁ")</f>
        <v>BOGOTÁ</v>
      </c>
      <c r="D158" s="6" t="str">
        <f>IFERROR(__xludf.DUMMYFUNCTION("""COMPUTED_VALUE"""),"MEDELLÍN")</f>
        <v>MEDELLÍN</v>
      </c>
      <c r="E158" s="6" t="str">
        <f>IFERROR(__xludf.DUMMYFUNCTION("""COMPUTED_VALUE"""),"Baby Chef")</f>
        <v>Baby Chef</v>
      </c>
      <c r="F158" s="1" t="str">
        <f>IFERROR(__xludf.DUMMYFUNCTION("""COMPUTED_VALUE"""),"Carrera 8 no 75 - 19  / 301 / Bogota")</f>
        <v>Carrera 8 no 75 - 19  / 301 / Bogota</v>
      </c>
      <c r="G158" s="6" t="str">
        <f>IFERROR(__xludf.DUMMYFUNCTION("""COMPUTED_VALUE"""),"Juliana Raigosa")</f>
        <v>Juliana Raigosa</v>
      </c>
      <c r="H158" s="7">
        <f>IFERROR(__xludf.DUMMYFUNCTION("""COMPUTED_VALUE"""),8872.0)</f>
        <v>8872</v>
      </c>
      <c r="I158" s="7">
        <f>IFERROR(__xludf.DUMMYFUNCTION("""COMPUTED_VALUE"""),8.0)</f>
        <v>8</v>
      </c>
      <c r="J158" s="7">
        <f>IFERROR(__xludf.DUMMYFUNCTION("""COMPUTED_VALUE"""),16.0)</f>
        <v>16</v>
      </c>
      <c r="K158" s="7">
        <f>IFERROR(__xludf.DUMMYFUNCTION("""COMPUTED_VALUE"""),20.0)</f>
        <v>20</v>
      </c>
      <c r="L158" s="8">
        <f>IFERROR(__xludf.DUMMYFUNCTION("""COMPUTED_VALUE"""),3.003485924E9)</f>
        <v>3003485924</v>
      </c>
      <c r="M158" s="9" t="str">
        <f>IFERROR(__xludf.DUMMYFUNCTION("""COMPUTED_VALUE"""),"#REF!")</f>
        <v>#REF!</v>
      </c>
      <c r="N158" s="1"/>
      <c r="O158" s="3" t="str">
        <f>IFERROR(__xludf.DUMMYFUNCTION("""COMPUTED_VALUE"""),"")</f>
        <v/>
      </c>
      <c r="P158" s="9" t="b">
        <f>IFERROR(__xludf.DUMMYFUNCTION("""COMPUTED_VALUE"""),FALSE)</f>
        <v>0</v>
      </c>
      <c r="Q158" s="10" t="str">
        <f>IFERROR(__xludf.DUMMYFUNCTION("""COMPUTED_VALUE"""),"")</f>
        <v/>
      </c>
      <c r="R158" s="11" t="str">
        <f>IFERROR(__xludf.DUMMYFUNCTION("""COMPUTED_VALUE"""),"https://drive.google.com/file/d/1WD7G4Zjax5soGrwFELJ_yeimxRvoAatx/view?usp=drivesdk")</f>
        <v>https://drive.google.com/file/d/1WD7G4Zjax5soGrwFELJ_yeimxRvoAatx/view?usp=drivesdk</v>
      </c>
      <c r="S158" s="1" t="str">
        <f t="shared" si="2"/>
        <v/>
      </c>
      <c r="T158" s="1" t="str">
        <f t="shared" si="3"/>
        <v/>
      </c>
      <c r="U158" s="1" t="str">
        <f t="shared" si="4"/>
        <v/>
      </c>
      <c r="V158" s="1"/>
      <c r="W158" s="1"/>
      <c r="X158" s="1"/>
      <c r="Y158" s="1"/>
      <c r="Z158" s="8"/>
      <c r="AA158" s="1"/>
      <c r="AB158" s="1"/>
      <c r="AC158" s="1"/>
      <c r="AD158" s="1"/>
      <c r="AE158" s="1"/>
      <c r="AF158" s="1"/>
      <c r="AG158" s="1"/>
      <c r="AH158" s="1" t="str">
        <f t="shared" si="1"/>
        <v/>
      </c>
      <c r="AI158" s="1"/>
    </row>
    <row r="159">
      <c r="A159" s="5">
        <f>IFERROR(__xludf.DUMMYFUNCTION("""COMPUTED_VALUE"""),45000.0)</f>
        <v>45000</v>
      </c>
      <c r="B159" s="14" t="str">
        <f>IFERROR(__xludf.DUMMYFUNCTION("""COMPUTED_VALUE"""),"Jeison Rubiano")</f>
        <v>Jeison Rubiano</v>
      </c>
      <c r="C159" s="6" t="str">
        <f>IFERROR(__xludf.DUMMYFUNCTION("""COMPUTED_VALUE"""),"BOGOTÁ")</f>
        <v>BOGOTÁ</v>
      </c>
      <c r="D159" s="6" t="str">
        <f>IFERROR(__xludf.DUMMYFUNCTION("""COMPUTED_VALUE"""),"MEDELLÍN")</f>
        <v>MEDELLÍN</v>
      </c>
      <c r="E159" s="6" t="str">
        <f>IFERROR(__xludf.DUMMYFUNCTION("""COMPUTED_VALUE"""),"Felicidad Bakery Bogotá")</f>
        <v>Felicidad Bakery Bogotá</v>
      </c>
      <c r="F159" s="1" t="str">
        <f>IFERROR(__xludf.DUMMYFUNCTION("""COMPUTED_VALUE"""),"Calle 92 15 62 / Edificio centro chico local 103 / Chico")</f>
        <v>Calle 92 15 62 / Edificio centro chico local 103 / Chico</v>
      </c>
      <c r="G159" s="6" t="str">
        <f>IFERROR(__xludf.DUMMYFUNCTION("""COMPUTED_VALUE"""),"Camilo Hernandez")</f>
        <v>Camilo Hernandez</v>
      </c>
      <c r="H159" s="7">
        <f>IFERROR(__xludf.DUMMYFUNCTION("""COMPUTED_VALUE"""),8881.0)</f>
        <v>8881</v>
      </c>
      <c r="I159" s="7">
        <f>IFERROR(__xludf.DUMMYFUNCTION("""COMPUTED_VALUE"""),100.0)</f>
        <v>100</v>
      </c>
      <c r="J159" s="7">
        <f>IFERROR(__xludf.DUMMYFUNCTION("""COMPUTED_VALUE"""),10.0)</f>
        <v>10</v>
      </c>
      <c r="K159" s="2" t="str">
        <f>IFERROR(__xludf.DUMMYFUNCTION("""COMPUTED_VALUE"""),"34.4")</f>
        <v>34.4</v>
      </c>
      <c r="L159" s="8">
        <f>IFERROR(__xludf.DUMMYFUNCTION("""COMPUTED_VALUE"""),3.013527163E9)</f>
        <v>3013527163</v>
      </c>
      <c r="M159" s="9" t="str">
        <f>IFERROR(__xludf.DUMMYFUNCTION("""COMPUTED_VALUE"""),"#REF!")</f>
        <v>#REF!</v>
      </c>
      <c r="N159" s="1"/>
      <c r="O159" s="3" t="str">
        <f>IFERROR(__xludf.DUMMYFUNCTION("""COMPUTED_VALUE"""),"")</f>
        <v/>
      </c>
      <c r="P159" s="9" t="b">
        <f>IFERROR(__xludf.DUMMYFUNCTION("""COMPUTED_VALUE"""),FALSE)</f>
        <v>0</v>
      </c>
      <c r="Q159" s="10" t="str">
        <f>IFERROR(__xludf.DUMMYFUNCTION("""COMPUTED_VALUE"""),"")</f>
        <v/>
      </c>
      <c r="R159" s="11" t="str">
        <f>IFERROR(__xludf.DUMMYFUNCTION("""COMPUTED_VALUE"""),"https://drive.google.com/file/d/1ZkgbL4x6wjFA8jYv53YkFliM26nUYQFj/view?usp=drivesdk")</f>
        <v>https://drive.google.com/file/d/1ZkgbL4x6wjFA8jYv53YkFliM26nUYQFj/view?usp=drivesdk</v>
      </c>
      <c r="S159" s="1" t="str">
        <f t="shared" si="2"/>
        <v/>
      </c>
      <c r="T159" s="1" t="str">
        <f t="shared" si="3"/>
        <v/>
      </c>
      <c r="U159" s="1" t="str">
        <f t="shared" si="4"/>
        <v/>
      </c>
      <c r="V159" s="1"/>
      <c r="W159" s="1"/>
      <c r="X159" s="1"/>
      <c r="Y159" s="1"/>
      <c r="Z159" s="8"/>
      <c r="AA159" s="1"/>
      <c r="AB159" s="1"/>
      <c r="AC159" s="1"/>
      <c r="AD159" s="1"/>
      <c r="AE159" s="1"/>
      <c r="AF159" s="1"/>
      <c r="AG159" s="1"/>
      <c r="AH159" s="1" t="str">
        <f t="shared" si="1"/>
        <v/>
      </c>
      <c r="AI159" s="1"/>
    </row>
    <row r="160">
      <c r="A160" s="5">
        <f>IFERROR(__xludf.DUMMYFUNCTION("""COMPUTED_VALUE"""),45000.0)</f>
        <v>45000</v>
      </c>
      <c r="B160" s="14" t="str">
        <f>IFERROR(__xludf.DUMMYFUNCTION("""COMPUTED_VALUE"""),"Jeison Rubiano")</f>
        <v>Jeison Rubiano</v>
      </c>
      <c r="C160" s="6" t="str">
        <f>IFERROR(__xludf.DUMMYFUNCTION("""COMPUTED_VALUE"""),"BOGOTÁ")</f>
        <v>BOGOTÁ</v>
      </c>
      <c r="D160" s="6" t="str">
        <f>IFERROR(__xludf.DUMMYFUNCTION("""COMPUTED_VALUE"""),"MEDELLÍN")</f>
        <v>MEDELLÍN</v>
      </c>
      <c r="E160" s="6" t="str">
        <f>IFERROR(__xludf.DUMMYFUNCTION("""COMPUTED_VALUE"""),"Lácteos El Pino SAS")</f>
        <v>Lácteos El Pino SAS</v>
      </c>
      <c r="F160" s="1" t="str">
        <f>IFERROR(__xludf.DUMMYFUNCTION("""COMPUTED_VALUE"""),"CALLE 93# 18 -81 / ENTREGAR EN EL LOCAL")</f>
        <v>CALLE 93# 18 -81 / ENTREGAR EN EL LOCAL</v>
      </c>
      <c r="G160" s="6" t="str">
        <f>IFERROR(__xludf.DUMMYFUNCTION("""COMPUTED_VALUE"""),"KIM")</f>
        <v>KIM</v>
      </c>
      <c r="H160" s="7">
        <f>IFERROR(__xludf.DUMMYFUNCTION("""COMPUTED_VALUE"""),8866.0)</f>
        <v>8866</v>
      </c>
      <c r="I160" s="7">
        <f>IFERROR(__xludf.DUMMYFUNCTION("""COMPUTED_VALUE"""),33.0)</f>
        <v>33</v>
      </c>
      <c r="J160" s="7">
        <f>IFERROR(__xludf.DUMMYFUNCTION("""COMPUTED_VALUE"""),22.0)</f>
        <v>22</v>
      </c>
      <c r="K160" s="7">
        <f>IFERROR(__xludf.DUMMYFUNCTION("""COMPUTED_VALUE"""),36.0)</f>
        <v>36</v>
      </c>
      <c r="L160" s="1"/>
      <c r="M160" s="9" t="str">
        <f>IFERROR(__xludf.DUMMYFUNCTION("""COMPUTED_VALUE"""),"#REF!")</f>
        <v>#REF!</v>
      </c>
      <c r="N160" s="1"/>
      <c r="O160" s="3" t="str">
        <f>IFERROR(__xludf.DUMMYFUNCTION("""COMPUTED_VALUE"""),"")</f>
        <v/>
      </c>
      <c r="P160" s="9" t="b">
        <f>IFERROR(__xludf.DUMMYFUNCTION("""COMPUTED_VALUE"""),FALSE)</f>
        <v>0</v>
      </c>
      <c r="Q160" s="10" t="str">
        <f>IFERROR(__xludf.DUMMYFUNCTION("""COMPUTED_VALUE"""),"")</f>
        <v/>
      </c>
      <c r="R160" s="11" t="str">
        <f>IFERROR(__xludf.DUMMYFUNCTION("""COMPUTED_VALUE"""),"https://drive.google.com/file/d/1gaptERP7E0zUWH6McreVNFn2pxuMPyuz/view?usp=drivesdk")</f>
        <v>https://drive.google.com/file/d/1gaptERP7E0zUWH6McreVNFn2pxuMPyuz/view?usp=drivesdk</v>
      </c>
      <c r="S160" s="1" t="str">
        <f t="shared" si="2"/>
        <v/>
      </c>
      <c r="T160" s="1" t="str">
        <f t="shared" si="3"/>
        <v/>
      </c>
      <c r="U160" s="1" t="str">
        <f t="shared" si="4"/>
        <v/>
      </c>
      <c r="V160" s="1"/>
      <c r="W160" s="1"/>
      <c r="X160" s="1"/>
      <c r="Y160" s="1"/>
      <c r="Z160" s="8"/>
      <c r="AA160" s="1"/>
      <c r="AB160" s="1"/>
      <c r="AC160" s="1"/>
      <c r="AD160" s="1"/>
      <c r="AE160" s="1"/>
      <c r="AF160" s="1"/>
      <c r="AG160" s="1"/>
      <c r="AH160" s="1" t="str">
        <f t="shared" si="1"/>
        <v/>
      </c>
      <c r="AI160" s="1"/>
    </row>
    <row r="161">
      <c r="A161" s="1" t="str">
        <f>IFERROR(__xludf.DUMMYFUNCTION("""COMPUTED_VALUE"""),"")</f>
        <v/>
      </c>
      <c r="B161" s="1" t="str">
        <f>IFERROR(__xludf.DUMMYFUNCTION("""COMPUTED_VALUE"""),"")</f>
        <v/>
      </c>
      <c r="C161" s="1" t="str">
        <f>IFERROR(__xludf.DUMMYFUNCTION("""COMPUTED_VALUE"""),"")</f>
        <v/>
      </c>
      <c r="D161" s="1" t="str">
        <f>IFERROR(__xludf.DUMMYFUNCTION("""COMPUTED_VALUE"""),"")</f>
        <v/>
      </c>
      <c r="E161" s="1" t="str">
        <f>IFERROR(__xludf.DUMMYFUNCTION("""COMPUTED_VALUE"""),"")</f>
        <v/>
      </c>
      <c r="F161" s="1" t="str">
        <f>IFERROR(__xludf.DUMMYFUNCTION("""COMPUTED_VALUE"""),"")</f>
        <v/>
      </c>
      <c r="G161" s="1" t="str">
        <f>IFERROR(__xludf.DUMMYFUNCTION("""COMPUTED_VALUE"""),"")</f>
        <v/>
      </c>
      <c r="H161" s="1" t="str">
        <f>IFERROR(__xludf.DUMMYFUNCTION("""COMPUTED_VALUE"""),"")</f>
        <v/>
      </c>
      <c r="I161" s="1" t="str">
        <f>IFERROR(__xludf.DUMMYFUNCTION("""COMPUTED_VALUE"""),"")</f>
        <v/>
      </c>
      <c r="J161" s="1" t="str">
        <f>IFERROR(__xludf.DUMMYFUNCTION("""COMPUTED_VALUE"""),"")</f>
        <v/>
      </c>
      <c r="K161" s="1" t="str">
        <f>IFERROR(__xludf.DUMMYFUNCTION("""COMPUTED_VALUE"""),"")</f>
        <v/>
      </c>
      <c r="L161" s="1" t="str">
        <f>IFERROR(__xludf.DUMMYFUNCTION("""COMPUTED_VALUE"""),"")</f>
        <v/>
      </c>
      <c r="M161" s="1" t="str">
        <f>IFERROR(__xludf.DUMMYFUNCTION("""COMPUTED_VALUE"""),"")</f>
        <v/>
      </c>
      <c r="N161" s="1" t="str">
        <f>IFERROR(__xludf.DUMMYFUNCTION("""COMPUTED_VALUE"""),"")</f>
        <v/>
      </c>
      <c r="O161" s="1" t="str">
        <f>IFERROR(__xludf.DUMMYFUNCTION("""COMPUTED_VALUE"""),"")</f>
        <v/>
      </c>
      <c r="P161" s="1" t="str">
        <f>IFERROR(__xludf.DUMMYFUNCTION("""COMPUTED_VALUE"""),"")</f>
        <v/>
      </c>
      <c r="Q161" s="1" t="str">
        <f>IFERROR(__xludf.DUMMYFUNCTION("""COMPUTED_VALUE"""),"")</f>
        <v/>
      </c>
      <c r="R161" s="1" t="str">
        <f>IFERROR(__xludf.DUMMYFUNCTION("""COMPUTED_VALUE"""),"")</f>
        <v/>
      </c>
      <c r="S161" s="1" t="str">
        <f t="shared" si="2"/>
        <v/>
      </c>
      <c r="T161" s="1" t="str">
        <f t="shared" si="3"/>
        <v/>
      </c>
      <c r="U161" s="1" t="str">
        <f t="shared" si="4"/>
        <v/>
      </c>
      <c r="V161" s="1"/>
      <c r="W161" s="1"/>
      <c r="X161" s="1"/>
      <c r="Y161" s="1"/>
      <c r="Z161" s="8"/>
      <c r="AA161" s="1"/>
      <c r="AB161" s="1"/>
      <c r="AC161" s="1"/>
      <c r="AD161" s="1"/>
      <c r="AE161" s="1"/>
      <c r="AF161" s="1"/>
      <c r="AG161" s="1"/>
      <c r="AH161" s="1" t="str">
        <f t="shared" si="1"/>
        <v/>
      </c>
      <c r="AI161" s="1"/>
    </row>
    <row r="162">
      <c r="A162" s="5">
        <f>IFERROR(__xludf.DUMMYFUNCTION("""COMPUTED_VALUE"""),45000.0)</f>
        <v>45000</v>
      </c>
      <c r="B162" s="14" t="str">
        <f>IFERROR(__xludf.DUMMYFUNCTION("""COMPUTED_VALUE"""),"Johan Alexander Escobar Arroyo ")</f>
        <v>Johan Alexander Escobar Arroyo </v>
      </c>
      <c r="C162" s="6" t="str">
        <f>IFERROR(__xludf.DUMMYFUNCTION("""COMPUTED_VALUE"""),"CALI")</f>
        <v>CALI</v>
      </c>
      <c r="D162" s="6" t="str">
        <f>IFERROR(__xludf.DUMMYFUNCTION("""COMPUTED_VALUE"""),"MEDELLÍN")</f>
        <v>MEDELLÍN</v>
      </c>
      <c r="E162" s="6" t="str">
        <f>IFERROR(__xludf.DUMMYFUNCTION("""COMPUTED_VALUE"""),"Baby Chef")</f>
        <v>Baby Chef</v>
      </c>
      <c r="F162" s="1" t="str">
        <f>IFERROR(__xludf.DUMMYFUNCTION("""COMPUTED_VALUE"""),"Calle 12 A  oeste no. 2 b - 124  / alado del edificio monjuic  / cali")</f>
        <v>Calle 12 A  oeste no. 2 b - 124  / alado del edificio monjuic  / cali</v>
      </c>
      <c r="G162" s="6" t="str">
        <f>IFERROR(__xludf.DUMMYFUNCTION("""COMPUTED_VALUE"""),"Daniela Tejada")</f>
        <v>Daniela Tejada</v>
      </c>
      <c r="H162" s="7">
        <f>IFERROR(__xludf.DUMMYFUNCTION("""COMPUTED_VALUE"""),8868.0)</f>
        <v>8868</v>
      </c>
      <c r="I162" s="7">
        <f>IFERROR(__xludf.DUMMYFUNCTION("""COMPUTED_VALUE"""),8.0)</f>
        <v>8</v>
      </c>
      <c r="J162" s="7">
        <f>IFERROR(__xludf.DUMMYFUNCTION("""COMPUTED_VALUE"""),16.0)</f>
        <v>16</v>
      </c>
      <c r="K162" s="7">
        <f>IFERROR(__xludf.DUMMYFUNCTION("""COMPUTED_VALUE"""),20.0)</f>
        <v>20</v>
      </c>
      <c r="L162" s="8">
        <f>IFERROR(__xludf.DUMMYFUNCTION("""COMPUTED_VALUE"""),3.17423547E9)</f>
        <v>3174235470</v>
      </c>
      <c r="M162" s="9" t="str">
        <f>IFERROR(__xludf.DUMMYFUNCTION("""COMPUTED_VALUE"""),"#REF!")</f>
        <v>#REF!</v>
      </c>
      <c r="N162" s="1"/>
      <c r="O162" s="3" t="str">
        <f>IFERROR(__xludf.DUMMYFUNCTION("""COMPUTED_VALUE"""),"")</f>
        <v/>
      </c>
      <c r="P162" s="9" t="b">
        <f>IFERROR(__xludf.DUMMYFUNCTION("""COMPUTED_VALUE"""),FALSE)</f>
        <v>0</v>
      </c>
      <c r="Q162" s="10" t="str">
        <f>IFERROR(__xludf.DUMMYFUNCTION("""COMPUTED_VALUE"""),"")</f>
        <v/>
      </c>
      <c r="R162" s="11" t="str">
        <f>IFERROR(__xludf.DUMMYFUNCTION("""COMPUTED_VALUE"""),"https://drive.google.com/file/d/1bE7XLf0mYUbF7Isl1FuO0O-tPG7u5cwv/view?usp=drivesdk")</f>
        <v>https://drive.google.com/file/d/1bE7XLf0mYUbF7Isl1FuO0O-tPG7u5cwv/view?usp=drivesdk</v>
      </c>
      <c r="S162" s="1" t="str">
        <f t="shared" si="2"/>
        <v/>
      </c>
      <c r="T162" s="1" t="str">
        <f t="shared" si="3"/>
        <v/>
      </c>
      <c r="U162" s="1" t="str">
        <f t="shared" si="4"/>
        <v/>
      </c>
      <c r="V162" s="1"/>
      <c r="W162" s="1"/>
      <c r="X162" s="1"/>
      <c r="Y162" s="1"/>
      <c r="Z162" s="8"/>
      <c r="AA162" s="1"/>
      <c r="AB162" s="1"/>
      <c r="AC162" s="1"/>
      <c r="AD162" s="1"/>
      <c r="AE162" s="1"/>
      <c r="AF162" s="1"/>
      <c r="AG162" s="1"/>
      <c r="AH162" s="1" t="str">
        <f t="shared" si="1"/>
        <v/>
      </c>
      <c r="AI162" s="1"/>
    </row>
    <row r="163">
      <c r="A163" s="5">
        <f>IFERROR(__xludf.DUMMYFUNCTION("""COMPUTED_VALUE"""),45000.0)</f>
        <v>45000</v>
      </c>
      <c r="B163" s="14" t="str">
        <f>IFERROR(__xludf.DUMMYFUNCTION("""COMPUTED_VALUE"""),"Johan Alexander Escobar Arroyo ")</f>
        <v>Johan Alexander Escobar Arroyo </v>
      </c>
      <c r="C163" s="6" t="str">
        <f>IFERROR(__xludf.DUMMYFUNCTION("""COMPUTED_VALUE"""),"CALI")</f>
        <v>CALI</v>
      </c>
      <c r="D163" s="6" t="str">
        <f>IFERROR(__xludf.DUMMYFUNCTION("""COMPUTED_VALUE"""),"MEDELLÍN")</f>
        <v>MEDELLÍN</v>
      </c>
      <c r="E163" s="6" t="str">
        <f>IFERROR(__xludf.DUMMYFUNCTION("""COMPUTED_VALUE"""),"Baby Chef")</f>
        <v>Baby Chef</v>
      </c>
      <c r="F163" s="1" t="str">
        <f>IFERROR(__xludf.DUMMYFUNCTION("""COMPUTED_VALUE"""),"Carrera 1 oeste no 17 - 77  / Apto 702, torre 2 molinos de santa teresita  / Cali")</f>
        <v>Carrera 1 oeste no 17 - 77  / Apto 702, torre 2 molinos de santa teresita  / Cali</v>
      </c>
      <c r="G163" s="6" t="str">
        <f>IFERROR(__xludf.DUMMYFUNCTION("""COMPUTED_VALUE"""),"Ana Carolina Garcia")</f>
        <v>Ana Carolina Garcia</v>
      </c>
      <c r="H163" s="7">
        <f>IFERROR(__xludf.DUMMYFUNCTION("""COMPUTED_VALUE"""),8869.0)</f>
        <v>8869</v>
      </c>
      <c r="I163" s="7">
        <f>IFERROR(__xludf.DUMMYFUNCTION("""COMPUTED_VALUE"""),8.0)</f>
        <v>8</v>
      </c>
      <c r="J163" s="7">
        <f>IFERROR(__xludf.DUMMYFUNCTION("""COMPUTED_VALUE"""),16.0)</f>
        <v>16</v>
      </c>
      <c r="K163" s="7">
        <f>IFERROR(__xludf.DUMMYFUNCTION("""COMPUTED_VALUE"""),20.0)</f>
        <v>20</v>
      </c>
      <c r="L163" s="8">
        <f>IFERROR(__xludf.DUMMYFUNCTION("""COMPUTED_VALUE"""),3.193496818E9)</f>
        <v>3193496818</v>
      </c>
      <c r="M163" s="9" t="str">
        <f>IFERROR(__xludf.DUMMYFUNCTION("""COMPUTED_VALUE"""),"#REF!")</f>
        <v>#REF!</v>
      </c>
      <c r="N163" s="1"/>
      <c r="O163" s="3" t="str">
        <f>IFERROR(__xludf.DUMMYFUNCTION("""COMPUTED_VALUE"""),"")</f>
        <v/>
      </c>
      <c r="P163" s="9" t="b">
        <f>IFERROR(__xludf.DUMMYFUNCTION("""COMPUTED_VALUE"""),FALSE)</f>
        <v>0</v>
      </c>
      <c r="Q163" s="10" t="str">
        <f>IFERROR(__xludf.DUMMYFUNCTION("""COMPUTED_VALUE"""),"")</f>
        <v/>
      </c>
      <c r="R163" s="11" t="str">
        <f>IFERROR(__xludf.DUMMYFUNCTION("""COMPUTED_VALUE"""),"https://drive.google.com/file/d/1xrW5gfETHC0JqVlKdImxEBe5MUgI7D9o/view?usp=drivesdk")</f>
        <v>https://drive.google.com/file/d/1xrW5gfETHC0JqVlKdImxEBe5MUgI7D9o/view?usp=drivesdk</v>
      </c>
      <c r="S163" s="1" t="str">
        <f t="shared" si="2"/>
        <v/>
      </c>
      <c r="T163" s="1" t="str">
        <f t="shared" si="3"/>
        <v/>
      </c>
      <c r="U163" s="1" t="str">
        <f t="shared" si="4"/>
        <v/>
      </c>
      <c r="V163" s="1"/>
      <c r="W163" s="1"/>
      <c r="X163" s="1"/>
      <c r="Y163" s="1"/>
      <c r="Z163" s="8"/>
      <c r="AA163" s="1"/>
      <c r="AB163" s="1"/>
      <c r="AC163" s="1"/>
      <c r="AD163" s="1"/>
      <c r="AE163" s="1"/>
      <c r="AF163" s="1"/>
      <c r="AG163" s="1"/>
      <c r="AH163" s="1" t="str">
        <f t="shared" si="1"/>
        <v/>
      </c>
      <c r="AI163" s="1"/>
    </row>
    <row r="164">
      <c r="A164" s="5">
        <f>IFERROR(__xludf.DUMMYFUNCTION("""COMPUTED_VALUE"""),45000.0)</f>
        <v>45000</v>
      </c>
      <c r="B164" s="14" t="str">
        <f>IFERROR(__xludf.DUMMYFUNCTION("""COMPUTED_VALUE"""),"Johan Alexander Escobar Arroyo ")</f>
        <v>Johan Alexander Escobar Arroyo </v>
      </c>
      <c r="C164" s="6" t="str">
        <f>IFERROR(__xludf.DUMMYFUNCTION("""COMPUTED_VALUE"""),"CALI")</f>
        <v>CALI</v>
      </c>
      <c r="D164" s="6" t="str">
        <f>IFERROR(__xludf.DUMMYFUNCTION("""COMPUTED_VALUE"""),"MEDELLÍN")</f>
        <v>MEDELLÍN</v>
      </c>
      <c r="E164" s="6" t="str">
        <f>IFERROR(__xludf.DUMMYFUNCTION("""COMPUTED_VALUE"""),"Baby Chef")</f>
        <v>Baby Chef</v>
      </c>
      <c r="F164" s="1" t="str">
        <f>IFERROR(__xludf.DUMMYFUNCTION("""COMPUTED_VALUE"""),"carrera 97 BIS # 58-50  / CONJUNTO NACAR B TORRE 5 apto 204  / CONJUNTO NACAR B TORRE 5 apto 204")</f>
        <v>carrera 97 BIS # 58-50  / CONJUNTO NACAR B TORRE 5 apto 204  / CONJUNTO NACAR B TORRE 5 apto 204</v>
      </c>
      <c r="G164" s="6" t="str">
        <f>IFERROR(__xludf.DUMMYFUNCTION("""COMPUTED_VALUE"""),"Angee Arguello Cali")</f>
        <v>Angee Arguello Cali</v>
      </c>
      <c r="H164" s="7">
        <f>IFERROR(__xludf.DUMMYFUNCTION("""COMPUTED_VALUE"""),8870.0)</f>
        <v>8870</v>
      </c>
      <c r="I164" s="7">
        <f>IFERROR(__xludf.DUMMYFUNCTION("""COMPUTED_VALUE"""),10.0)</f>
        <v>10</v>
      </c>
      <c r="J164" s="7">
        <f>IFERROR(__xludf.DUMMYFUNCTION("""COMPUTED_VALUE"""),20.0)</f>
        <v>20</v>
      </c>
      <c r="K164" s="7">
        <f>IFERROR(__xludf.DUMMYFUNCTION("""COMPUTED_VALUE"""),20.0)</f>
        <v>20</v>
      </c>
      <c r="L164" s="8">
        <f>IFERROR(__xludf.DUMMYFUNCTION("""COMPUTED_VALUE"""),3.117998044E9)</f>
        <v>3117998044</v>
      </c>
      <c r="M164" s="9" t="str">
        <f>IFERROR(__xludf.DUMMYFUNCTION("""COMPUTED_VALUE"""),"#REF!")</f>
        <v>#REF!</v>
      </c>
      <c r="N164" s="1"/>
      <c r="O164" s="3" t="str">
        <f>IFERROR(__xludf.DUMMYFUNCTION("""COMPUTED_VALUE"""),"")</f>
        <v/>
      </c>
      <c r="P164" s="9" t="b">
        <f>IFERROR(__xludf.DUMMYFUNCTION("""COMPUTED_VALUE"""),FALSE)</f>
        <v>0</v>
      </c>
      <c r="Q164" s="10" t="str">
        <f>IFERROR(__xludf.DUMMYFUNCTION("""COMPUTED_VALUE"""),"")</f>
        <v/>
      </c>
      <c r="R164" s="11" t="str">
        <f>IFERROR(__xludf.DUMMYFUNCTION("""COMPUTED_VALUE"""),"https://drive.google.com/file/d/15cjLTDaVJVekMO6fTzIwczasFIrfspsR/view?usp=drivesdk")</f>
        <v>https://drive.google.com/file/d/15cjLTDaVJVekMO6fTzIwczasFIrfspsR/view?usp=drivesdk</v>
      </c>
      <c r="S164" s="1" t="str">
        <f t="shared" si="2"/>
        <v/>
      </c>
      <c r="T164" s="1" t="str">
        <f t="shared" si="3"/>
        <v/>
      </c>
      <c r="U164" s="1" t="str">
        <f t="shared" si="4"/>
        <v/>
      </c>
      <c r="V164" s="1"/>
      <c r="W164" s="1"/>
      <c r="X164" s="1"/>
      <c r="Y164" s="1"/>
      <c r="Z164" s="8"/>
      <c r="AA164" s="1"/>
      <c r="AB164" s="1"/>
      <c r="AC164" s="1"/>
      <c r="AD164" s="1"/>
      <c r="AE164" s="1"/>
      <c r="AF164" s="1"/>
      <c r="AG164" s="1"/>
      <c r="AH164" s="1" t="str">
        <f t="shared" si="1"/>
        <v/>
      </c>
      <c r="AI164" s="1"/>
    </row>
    <row r="165">
      <c r="A165" s="5">
        <f>IFERROR(__xludf.DUMMYFUNCTION("""COMPUTED_VALUE"""),45000.0)</f>
        <v>45000</v>
      </c>
      <c r="B165" s="14" t="str">
        <f>IFERROR(__xludf.DUMMYFUNCTION("""COMPUTED_VALUE"""),"Johan Alexander Escobar Arroyo ")</f>
        <v>Johan Alexander Escobar Arroyo </v>
      </c>
      <c r="C165" s="6" t="str">
        <f>IFERROR(__xludf.DUMMYFUNCTION("""COMPUTED_VALUE"""),"CALI")</f>
        <v>CALI</v>
      </c>
      <c r="D165" s="6" t="str">
        <f>IFERROR(__xludf.DUMMYFUNCTION("""COMPUTED_VALUE"""),"MEDELLÍN")</f>
        <v>MEDELLÍN</v>
      </c>
      <c r="E165" s="6" t="str">
        <f>IFERROR(__xludf.DUMMYFUNCTION("""COMPUTED_VALUE"""),"JD Bufala")</f>
        <v>JD Bufala</v>
      </c>
      <c r="F165" s="1" t="str">
        <f>IFERROR(__xludf.DUMMYFUNCTION("""COMPUTED_VALUE"""),"Call51norte #4bn72 / Delhuertopizzeria  / La flora")</f>
        <v>Call51norte #4bn72 / Delhuertopizzeria  / La flora</v>
      </c>
      <c r="G165" s="6" t="str">
        <f>IFERROR(__xludf.DUMMYFUNCTION("""COMPUTED_VALUE"""),"Javier Rodríguez")</f>
        <v>Javier Rodríguez</v>
      </c>
      <c r="H165" s="7">
        <f>IFERROR(__xludf.DUMMYFUNCTION("""COMPUTED_VALUE"""),8878.0)</f>
        <v>8878</v>
      </c>
      <c r="I165" s="7">
        <f>IFERROR(__xludf.DUMMYFUNCTION("""COMPUTED_VALUE"""),82.0)</f>
        <v>82</v>
      </c>
      <c r="J165" s="7">
        <f>IFERROR(__xludf.DUMMYFUNCTION("""COMPUTED_VALUE"""),28.0)</f>
        <v>28</v>
      </c>
      <c r="K165" s="7">
        <f>IFERROR(__xludf.DUMMYFUNCTION("""COMPUTED_VALUE"""),40.0)</f>
        <v>40</v>
      </c>
      <c r="L165" s="8">
        <f>IFERROR(__xludf.DUMMYFUNCTION("""COMPUTED_VALUE"""),3.104919761E9)</f>
        <v>3104919761</v>
      </c>
      <c r="M165" s="9" t="str">
        <f>IFERROR(__xludf.DUMMYFUNCTION("""COMPUTED_VALUE"""),"#REF!")</f>
        <v>#REF!</v>
      </c>
      <c r="N165" s="1"/>
      <c r="O165" s="3" t="str">
        <f>IFERROR(__xludf.DUMMYFUNCTION("""COMPUTED_VALUE"""),"")</f>
        <v/>
      </c>
      <c r="P165" s="9" t="b">
        <f>IFERROR(__xludf.DUMMYFUNCTION("""COMPUTED_VALUE"""),FALSE)</f>
        <v>0</v>
      </c>
      <c r="Q165" s="10" t="str">
        <f>IFERROR(__xludf.DUMMYFUNCTION("""COMPUTED_VALUE"""),"")</f>
        <v/>
      </c>
      <c r="R165" s="12" t="str">
        <f>IFERROR(__xludf.DUMMYFUNCTION("""COMPUTED_VALUE"""),"")</f>
        <v/>
      </c>
      <c r="S165" s="1" t="str">
        <f t="shared" si="2"/>
        <v/>
      </c>
      <c r="T165" s="1" t="str">
        <f t="shared" si="3"/>
        <v/>
      </c>
      <c r="U165" s="1" t="str">
        <f t="shared" si="4"/>
        <v/>
      </c>
      <c r="V165" s="1"/>
      <c r="W165" s="1"/>
      <c r="X165" s="1"/>
      <c r="Y165" s="1"/>
      <c r="Z165" s="8"/>
      <c r="AA165" s="1"/>
      <c r="AB165" s="1"/>
      <c r="AC165" s="1"/>
      <c r="AD165" s="1"/>
      <c r="AE165" s="1"/>
      <c r="AF165" s="1"/>
      <c r="AG165" s="1"/>
      <c r="AH165" s="1" t="str">
        <f t="shared" si="1"/>
        <v/>
      </c>
      <c r="AI165" s="1"/>
    </row>
    <row r="166">
      <c r="A166" s="5">
        <f>IFERROR(__xludf.DUMMYFUNCTION("""COMPUTED_VALUE"""),45000.0)</f>
        <v>45000</v>
      </c>
      <c r="B166" s="14" t="str">
        <f>IFERROR(__xludf.DUMMYFUNCTION("""COMPUTED_VALUE"""),"Johan Alexander Escobar Arroyo ")</f>
        <v>Johan Alexander Escobar Arroyo </v>
      </c>
      <c r="C166" s="6" t="str">
        <f>IFERROR(__xludf.DUMMYFUNCTION("""COMPUTED_VALUE"""),"CALI")</f>
        <v>CALI</v>
      </c>
      <c r="D166" s="6" t="str">
        <f>IFERROR(__xludf.DUMMYFUNCTION("""COMPUTED_VALUE"""),"MEDELLÍN")</f>
        <v>MEDELLÍN</v>
      </c>
      <c r="E166" s="6" t="str">
        <f>IFERROR(__xludf.DUMMYFUNCTION("""COMPUTED_VALUE"""),"Moloso S.A.S")</f>
        <v>Moloso S.A.S</v>
      </c>
      <c r="F166" s="1" t="str">
        <f>IFERROR(__xludf.DUMMYFUNCTION("""COMPUTED_VALUE"""),"CL 14 NORTE 9 25 / APT 302")</f>
        <v>CL 14 NORTE 9 25 / APT 302</v>
      </c>
      <c r="G166" s="6" t="str">
        <f>IFERROR(__xludf.DUMMYFUNCTION("""COMPUTED_VALUE"""),"LAURA MURILLO QUIROGA")</f>
        <v>LAURA MURILLO QUIROGA</v>
      </c>
      <c r="H166" s="7">
        <f>IFERROR(__xludf.DUMMYFUNCTION("""COMPUTED_VALUE"""),8880.0)</f>
        <v>8880</v>
      </c>
      <c r="I166" s="7">
        <f>IFERROR(__xludf.DUMMYFUNCTION("""COMPUTED_VALUE"""),17.0)</f>
        <v>17</v>
      </c>
      <c r="J166" s="7">
        <f>IFERROR(__xludf.DUMMYFUNCTION("""COMPUTED_VALUE"""),15.0)</f>
        <v>15</v>
      </c>
      <c r="K166" s="7">
        <f>IFERROR(__xludf.DUMMYFUNCTION("""COMPUTED_VALUE"""),28.0)</f>
        <v>28</v>
      </c>
      <c r="L166" s="1" t="str">
        <f>IFERROR(__xludf.DUMMYFUNCTION("""COMPUTED_VALUE"""),"318 6345255")</f>
        <v>318 6345255</v>
      </c>
      <c r="M166" s="9" t="str">
        <f>IFERROR(__xludf.DUMMYFUNCTION("""COMPUTED_VALUE"""),"#REF!")</f>
        <v>#REF!</v>
      </c>
      <c r="N166" s="1"/>
      <c r="O166" s="3" t="str">
        <f>IFERROR(__xludf.DUMMYFUNCTION("""COMPUTED_VALUE"""),"")</f>
        <v/>
      </c>
      <c r="P166" s="9" t="b">
        <f>IFERROR(__xludf.DUMMYFUNCTION("""COMPUTED_VALUE"""),FALSE)</f>
        <v>0</v>
      </c>
      <c r="Q166" s="10" t="str">
        <f>IFERROR(__xludf.DUMMYFUNCTION("""COMPUTED_VALUE"""),"")</f>
        <v/>
      </c>
      <c r="R166" s="11" t="str">
        <f>IFERROR(__xludf.DUMMYFUNCTION("""COMPUTED_VALUE"""),"https://drive.google.com/file/d/15EjgnYWnPC2w8C6bZrd_zvC7YbYN8qvY/view?usp=drivesdk")</f>
        <v>https://drive.google.com/file/d/15EjgnYWnPC2w8C6bZrd_zvC7YbYN8qvY/view?usp=drivesdk</v>
      </c>
      <c r="S166" s="1" t="str">
        <f t="shared" si="2"/>
        <v/>
      </c>
      <c r="T166" s="1" t="str">
        <f t="shared" si="3"/>
        <v/>
      </c>
      <c r="U166" s="1" t="str">
        <f t="shared" si="4"/>
        <v/>
      </c>
      <c r="V166" s="1"/>
      <c r="W166" s="1"/>
      <c r="X166" s="1"/>
      <c r="Y166" s="1"/>
      <c r="Z166" s="8"/>
      <c r="AA166" s="1"/>
      <c r="AB166" s="1"/>
      <c r="AC166" s="1"/>
      <c r="AD166" s="1"/>
      <c r="AE166" s="1"/>
      <c r="AF166" s="1"/>
      <c r="AG166" s="1"/>
      <c r="AH166" s="1" t="str">
        <f t="shared" si="1"/>
        <v/>
      </c>
      <c r="AI166" s="1"/>
    </row>
    <row r="167">
      <c r="A167" s="5">
        <f>IFERROR(__xludf.DUMMYFUNCTION("""COMPUTED_VALUE"""),45000.0)</f>
        <v>45000</v>
      </c>
      <c r="B167" s="14" t="str">
        <f>IFERROR(__xludf.DUMMYFUNCTION("""COMPUTED_VALUE"""),"Johan Alexander Escobar Arroyo ")</f>
        <v>Johan Alexander Escobar Arroyo </v>
      </c>
      <c r="C167" s="6" t="str">
        <f>IFERROR(__xludf.DUMMYFUNCTION("""COMPUTED_VALUE"""),"CÚCUTA")</f>
        <v>CÚCUTA</v>
      </c>
      <c r="D167" s="6" t="str">
        <f>IFERROR(__xludf.DUMMYFUNCTION("""COMPUTED_VALUE"""),"MEDELLÍN")</f>
        <v>MEDELLÍN</v>
      </c>
      <c r="E167" s="6" t="str">
        <f>IFERROR(__xludf.DUMMYFUNCTION("""COMPUTED_VALUE"""),"Momo Tea S.A.S Gabriel Echavarría")</f>
        <v>Momo Tea S.A.S Gabriel Echavarría</v>
      </c>
      <c r="F167" s="1" t="str">
        <f>IFERROR(__xludf.DUMMYFUNCTION("""COMPUTED_VALUE"""),"CL 11 N 16 E 35 / CA B 1")</f>
        <v>CL 11 N 16 E 35 / CA B 1</v>
      </c>
      <c r="G167" s="6" t="str">
        <f>IFERROR(__xludf.DUMMYFUNCTION("""COMPUTED_VALUE"""),"Gabriel Echavarría")</f>
        <v>Gabriel Echavarría</v>
      </c>
      <c r="H167" s="7">
        <f>IFERROR(__xludf.DUMMYFUNCTION("""COMPUTED_VALUE"""),8835.0)</f>
        <v>8835</v>
      </c>
      <c r="I167" s="7">
        <f>IFERROR(__xludf.DUMMYFUNCTION("""COMPUTED_VALUE"""),63.0)</f>
        <v>63</v>
      </c>
      <c r="J167" s="7">
        <f>IFERROR(__xludf.DUMMYFUNCTION("""COMPUTED_VALUE"""),10.0)</f>
        <v>10</v>
      </c>
      <c r="K167" s="7">
        <f>IFERROR(__xludf.DUMMYFUNCTION("""COMPUTED_VALUE"""),9.0)</f>
        <v>9</v>
      </c>
      <c r="L167" s="8">
        <f>IFERROR(__xludf.DUMMYFUNCTION("""COMPUTED_VALUE"""),3.017909548E9)</f>
        <v>3017909548</v>
      </c>
      <c r="M167" s="9" t="str">
        <f>IFERROR(__xludf.DUMMYFUNCTION("""COMPUTED_VALUE"""),"#REF!")</f>
        <v>#REF!</v>
      </c>
      <c r="N167" s="1"/>
      <c r="O167" s="3" t="str">
        <f>IFERROR(__xludf.DUMMYFUNCTION("""COMPUTED_VALUE"""),"")</f>
        <v/>
      </c>
      <c r="P167" s="9" t="b">
        <f>IFERROR(__xludf.DUMMYFUNCTION("""COMPUTED_VALUE"""),FALSE)</f>
        <v>0</v>
      </c>
      <c r="Q167" s="10" t="str">
        <f>IFERROR(__xludf.DUMMYFUNCTION("""COMPUTED_VALUE"""),"")</f>
        <v/>
      </c>
      <c r="R167" s="12" t="str">
        <f>IFERROR(__xludf.DUMMYFUNCTION("""COMPUTED_VALUE"""),"")</f>
        <v/>
      </c>
      <c r="S167" s="1" t="str">
        <f t="shared" si="2"/>
        <v/>
      </c>
      <c r="T167" s="1" t="str">
        <f t="shared" si="3"/>
        <v/>
      </c>
      <c r="U167" s="1" t="str">
        <f t="shared" si="4"/>
        <v/>
      </c>
      <c r="V167" s="1"/>
      <c r="W167" s="1"/>
      <c r="X167" s="1"/>
      <c r="Y167" s="1"/>
      <c r="Z167" s="8"/>
      <c r="AA167" s="1"/>
      <c r="AB167" s="1"/>
      <c r="AC167" s="1"/>
      <c r="AD167" s="1"/>
      <c r="AE167" s="1"/>
      <c r="AF167" s="1"/>
      <c r="AG167" s="1"/>
      <c r="AH167" s="1" t="str">
        <f t="shared" si="1"/>
        <v/>
      </c>
      <c r="AI167" s="1"/>
    </row>
    <row r="168">
      <c r="A168" s="5">
        <f>IFERROR(__xludf.DUMMYFUNCTION("""COMPUTED_VALUE"""),45000.0)</f>
        <v>45000</v>
      </c>
      <c r="B168" s="14" t="str">
        <f>IFERROR(__xludf.DUMMYFUNCTION("""COMPUTED_VALUE"""),"Johan Alexander Escobar Arroyo ")</f>
        <v>Johan Alexander Escobar Arroyo </v>
      </c>
      <c r="C168" s="6" t="str">
        <f>IFERROR(__xludf.DUMMYFUNCTION("""COMPUTED_VALUE"""),"PEREIRA")</f>
        <v>PEREIRA</v>
      </c>
      <c r="D168" s="6" t="str">
        <f>IFERROR(__xludf.DUMMYFUNCTION("""COMPUTED_VALUE"""),"MEDELLÍN")</f>
        <v>MEDELLÍN</v>
      </c>
      <c r="E168" s="6" t="str">
        <f>IFERROR(__xludf.DUMMYFUNCTION("""COMPUTED_VALUE"""),"AREPAS LA MARY")</f>
        <v>AREPAS LA MARY</v>
      </c>
      <c r="F168" s="1" t="str">
        <f>IFERROR(__xludf.DUMMYFUNCTION("""COMPUTED_VALUE"""),"cra 21 # 35-68 / conjunto metropolitan apto 1202 torre 1 avenida los molinos")</f>
        <v>cra 21 # 35-68 / conjunto metropolitan apto 1202 torre 1 avenida los molinos</v>
      </c>
      <c r="G168" s="6" t="str">
        <f>IFERROR(__xludf.DUMMYFUNCTION("""COMPUTED_VALUE"""),"DELEIFIT")</f>
        <v>DELEIFIT</v>
      </c>
      <c r="H168" s="7">
        <f>IFERROR(__xludf.DUMMYFUNCTION("""COMPUTED_VALUE"""),8882.0)</f>
        <v>8882</v>
      </c>
      <c r="I168" s="7">
        <f>IFERROR(__xludf.DUMMYFUNCTION("""COMPUTED_VALUE"""),10.0)</f>
        <v>10</v>
      </c>
      <c r="J168" s="7">
        <f>IFERROR(__xludf.DUMMYFUNCTION("""COMPUTED_VALUE"""),30.0)</f>
        <v>30</v>
      </c>
      <c r="K168" s="7">
        <f>IFERROR(__xludf.DUMMYFUNCTION("""COMPUTED_VALUE"""),100.0)</f>
        <v>100</v>
      </c>
      <c r="L168" s="8">
        <f>IFERROR(__xludf.DUMMYFUNCTION("""COMPUTED_VALUE"""),3.158883399E9)</f>
        <v>3158883399</v>
      </c>
      <c r="M168" s="9" t="str">
        <f>IFERROR(__xludf.DUMMYFUNCTION("""COMPUTED_VALUE"""),"#REF!")</f>
        <v>#REF!</v>
      </c>
      <c r="N168" s="1"/>
      <c r="O168" s="3" t="str">
        <f>IFERROR(__xludf.DUMMYFUNCTION("""COMPUTED_VALUE"""),"")</f>
        <v/>
      </c>
      <c r="P168" s="9" t="b">
        <f>IFERROR(__xludf.DUMMYFUNCTION("""COMPUTED_VALUE"""),FALSE)</f>
        <v>0</v>
      </c>
      <c r="Q168" s="10" t="str">
        <f>IFERROR(__xludf.DUMMYFUNCTION("""COMPUTED_VALUE"""),"")</f>
        <v/>
      </c>
      <c r="R168" s="12" t="str">
        <f>IFERROR(__xludf.DUMMYFUNCTION("""COMPUTED_VALUE"""),"")</f>
        <v/>
      </c>
      <c r="S168" s="1" t="str">
        <f t="shared" si="2"/>
        <v/>
      </c>
      <c r="T168" s="1" t="str">
        <f t="shared" si="3"/>
        <v/>
      </c>
      <c r="U168" s="1" t="str">
        <f t="shared" si="4"/>
        <v/>
      </c>
      <c r="V168" s="1"/>
      <c r="W168" s="1"/>
      <c r="X168" s="1"/>
      <c r="Y168" s="1"/>
      <c r="Z168" s="8"/>
      <c r="AA168" s="1"/>
      <c r="AB168" s="1"/>
      <c r="AC168" s="1"/>
      <c r="AD168" s="1"/>
      <c r="AE168" s="1"/>
      <c r="AF168" s="1"/>
      <c r="AG168" s="1"/>
      <c r="AH168" s="1" t="str">
        <f t="shared" si="1"/>
        <v/>
      </c>
      <c r="AI168" s="1"/>
    </row>
    <row r="169">
      <c r="A169" s="1" t="str">
        <f>IFERROR(__xludf.DUMMYFUNCTION("""COMPUTED_VALUE"""),"")</f>
        <v/>
      </c>
      <c r="B169" s="1" t="str">
        <f>IFERROR(__xludf.DUMMYFUNCTION("""COMPUTED_VALUE"""),"")</f>
        <v/>
      </c>
      <c r="C169" s="1" t="str">
        <f>IFERROR(__xludf.DUMMYFUNCTION("""COMPUTED_VALUE"""),"")</f>
        <v/>
      </c>
      <c r="D169" s="1" t="str">
        <f>IFERROR(__xludf.DUMMYFUNCTION("""COMPUTED_VALUE"""),"")</f>
        <v/>
      </c>
      <c r="E169" s="1" t="str">
        <f>IFERROR(__xludf.DUMMYFUNCTION("""COMPUTED_VALUE"""),"")</f>
        <v/>
      </c>
      <c r="F169" s="1" t="str">
        <f>IFERROR(__xludf.DUMMYFUNCTION("""COMPUTED_VALUE"""),"")</f>
        <v/>
      </c>
      <c r="G169" s="1" t="str">
        <f>IFERROR(__xludf.DUMMYFUNCTION("""COMPUTED_VALUE"""),"")</f>
        <v/>
      </c>
      <c r="H169" s="1" t="str">
        <f>IFERROR(__xludf.DUMMYFUNCTION("""COMPUTED_VALUE"""),"")</f>
        <v/>
      </c>
      <c r="I169" s="1" t="str">
        <f>IFERROR(__xludf.DUMMYFUNCTION("""COMPUTED_VALUE"""),"")</f>
        <v/>
      </c>
      <c r="J169" s="1" t="str">
        <f>IFERROR(__xludf.DUMMYFUNCTION("""COMPUTED_VALUE"""),"")</f>
        <v/>
      </c>
      <c r="K169" s="1" t="str">
        <f>IFERROR(__xludf.DUMMYFUNCTION("""COMPUTED_VALUE"""),"")</f>
        <v/>
      </c>
      <c r="L169" s="1" t="str">
        <f>IFERROR(__xludf.DUMMYFUNCTION("""COMPUTED_VALUE"""),"")</f>
        <v/>
      </c>
      <c r="M169" s="1" t="str">
        <f>IFERROR(__xludf.DUMMYFUNCTION("""COMPUTED_VALUE"""),"")</f>
        <v/>
      </c>
      <c r="N169" s="1" t="str">
        <f>IFERROR(__xludf.DUMMYFUNCTION("""COMPUTED_VALUE"""),"")</f>
        <v/>
      </c>
      <c r="O169" s="1" t="str">
        <f>IFERROR(__xludf.DUMMYFUNCTION("""COMPUTED_VALUE"""),"")</f>
        <v/>
      </c>
      <c r="P169" s="1" t="str">
        <f>IFERROR(__xludf.DUMMYFUNCTION("""COMPUTED_VALUE"""),"")</f>
        <v/>
      </c>
      <c r="Q169" s="1" t="str">
        <f>IFERROR(__xludf.DUMMYFUNCTION("""COMPUTED_VALUE"""),"")</f>
        <v/>
      </c>
      <c r="R169" s="1" t="str">
        <f>IFERROR(__xludf.DUMMYFUNCTION("""COMPUTED_VALUE"""),"")</f>
        <v/>
      </c>
      <c r="S169" s="1" t="str">
        <f t="shared" si="2"/>
        <v/>
      </c>
      <c r="T169" s="1" t="str">
        <f t="shared" si="3"/>
        <v/>
      </c>
      <c r="U169" s="1" t="str">
        <f t="shared" si="4"/>
        <v/>
      </c>
      <c r="V169" s="1"/>
      <c r="W169" s="1"/>
      <c r="X169" s="1"/>
      <c r="Y169" s="1"/>
      <c r="Z169" s="8"/>
      <c r="AA169" s="1"/>
      <c r="AB169" s="1"/>
      <c r="AC169" s="1"/>
      <c r="AD169" s="1"/>
      <c r="AE169" s="1"/>
      <c r="AF169" s="1"/>
      <c r="AG169" s="1"/>
      <c r="AH169" s="1" t="str">
        <f t="shared" si="1"/>
        <v/>
      </c>
      <c r="AI169" s="1"/>
    </row>
    <row r="170">
      <c r="A170" s="5">
        <f>IFERROR(__xludf.DUMMYFUNCTION("""COMPUTED_VALUE"""),45000.0)</f>
        <v>45000</v>
      </c>
      <c r="B170" s="14" t="str">
        <f>IFERROR(__xludf.DUMMYFUNCTION("""COMPUTED_VALUE"""),"Luis Miguel Ramirez Morales")</f>
        <v>Luis Miguel Ramirez Morales</v>
      </c>
      <c r="C170" s="6" t="str">
        <f>IFERROR(__xludf.DUMMYFUNCTION("""COMPUTED_VALUE"""),"BOGOTÁ")</f>
        <v>BOGOTÁ</v>
      </c>
      <c r="D170" s="6" t="str">
        <f>IFERROR(__xludf.DUMMYFUNCTION("""COMPUTED_VALUE"""),"MANIZALES")</f>
        <v>MANIZALES</v>
      </c>
      <c r="E170" s="6" t="str">
        <f>IFERROR(__xludf.DUMMYFUNCTION("""COMPUTED_VALUE"""),"Congelados Típicos")</f>
        <v>Congelados Típicos</v>
      </c>
      <c r="F170" s="1" t="str">
        <f>IFERROR(__xludf.DUMMYFUNCTION("""COMPUTED_VALUE"""),"Carrera 16 No 93A - 21 / Apto 405  / Chapinero / Barrio Chicó Norte")</f>
        <v>Carrera 16 No 93A - 21 / Apto 405  / Chapinero / Barrio Chicó Norte</v>
      </c>
      <c r="G170" s="6" t="str">
        <f>IFERROR(__xludf.DUMMYFUNCTION("""COMPUTED_VALUE"""),"Nicolás Zuñiga")</f>
        <v>Nicolás Zuñiga</v>
      </c>
      <c r="H170" s="7">
        <f>IFERROR(__xludf.DUMMYFUNCTION("""COMPUTED_VALUE"""),8877.0)</f>
        <v>8877</v>
      </c>
      <c r="I170" s="7">
        <f>IFERROR(__xludf.DUMMYFUNCTION("""COMPUTED_VALUE"""),20.0)</f>
        <v>20</v>
      </c>
      <c r="J170" s="7">
        <f>IFERROR(__xludf.DUMMYFUNCTION("""COMPUTED_VALUE"""),25.0)</f>
        <v>25</v>
      </c>
      <c r="K170" s="7">
        <f>IFERROR(__xludf.DUMMYFUNCTION("""COMPUTED_VALUE"""),50.0)</f>
        <v>50</v>
      </c>
      <c r="L170" s="8">
        <f>IFERROR(__xludf.DUMMYFUNCTION("""COMPUTED_VALUE"""),3.164418251E9)</f>
        <v>3164418251</v>
      </c>
      <c r="M170" s="9" t="str">
        <f>IFERROR(__xludf.DUMMYFUNCTION("""COMPUTED_VALUE"""),"#REF!")</f>
        <v>#REF!</v>
      </c>
      <c r="N170" s="1"/>
      <c r="O170" s="3" t="str">
        <f>IFERROR(__xludf.DUMMYFUNCTION("""COMPUTED_VALUE"""),"")</f>
        <v/>
      </c>
      <c r="P170" s="9" t="b">
        <f>IFERROR(__xludf.DUMMYFUNCTION("""COMPUTED_VALUE"""),FALSE)</f>
        <v>0</v>
      </c>
      <c r="Q170" s="10" t="str">
        <f>IFERROR(__xludf.DUMMYFUNCTION("""COMPUTED_VALUE"""),"")</f>
        <v/>
      </c>
      <c r="R170" s="11" t="str">
        <f>IFERROR(__xludf.DUMMYFUNCTION("""COMPUTED_VALUE"""),"https://drive.google.com/file/d/1Gs8mpjvYxWvM_kvYnasqIP6iZXt5fV6h/view?usp=drivesdk")</f>
        <v>https://drive.google.com/file/d/1Gs8mpjvYxWvM_kvYnasqIP6iZXt5fV6h/view?usp=drivesdk</v>
      </c>
      <c r="S170" s="1" t="str">
        <f t="shared" si="2"/>
        <v/>
      </c>
      <c r="T170" s="1" t="str">
        <f t="shared" si="3"/>
        <v/>
      </c>
      <c r="U170" s="1" t="str">
        <f t="shared" si="4"/>
        <v/>
      </c>
      <c r="V170" s="1"/>
      <c r="W170" s="1"/>
      <c r="X170" s="1"/>
      <c r="Y170" s="1"/>
      <c r="Z170" s="8"/>
      <c r="AA170" s="1"/>
      <c r="AB170" s="1"/>
      <c r="AC170" s="1"/>
      <c r="AD170" s="1"/>
      <c r="AE170" s="1"/>
      <c r="AF170" s="1"/>
      <c r="AG170" s="1"/>
      <c r="AH170" s="1" t="str">
        <f t="shared" si="1"/>
        <v/>
      </c>
      <c r="AI170" s="1"/>
    </row>
    <row r="171">
      <c r="A171" s="5">
        <f>IFERROR(__xludf.DUMMYFUNCTION("""COMPUTED_VALUE"""),45000.0)</f>
        <v>45000</v>
      </c>
      <c r="B171" s="14" t="str">
        <f>IFERROR(__xludf.DUMMYFUNCTION("""COMPUTED_VALUE"""),"Luis Miguel Ramirez Morales")</f>
        <v>Luis Miguel Ramirez Morales</v>
      </c>
      <c r="C171" s="6" t="str">
        <f>IFERROR(__xludf.DUMMYFUNCTION("""COMPUTED_VALUE"""),"BOGOTÁ")</f>
        <v>BOGOTÁ</v>
      </c>
      <c r="D171" s="6" t="str">
        <f>IFERROR(__xludf.DUMMYFUNCTION("""COMPUTED_VALUE"""),"MEDELLÍN")</f>
        <v>MEDELLÍN</v>
      </c>
      <c r="E171" s="6" t="str">
        <f>IFERROR(__xludf.DUMMYFUNCTION("""COMPUTED_VALUE"""),"Baby Chef")</f>
        <v>Baby Chef</v>
      </c>
      <c r="F171" s="1" t="str">
        <f>IFERROR(__xludf.DUMMYFUNCTION("""COMPUTED_VALUE"""),"Carrera 17, 173 - 52, torre 5 apto 1601 / conjunto moraika barrio alameda, bogota  / conjunto moraika barrio alameda, bogota")</f>
        <v>Carrera 17, 173 - 52, torre 5 apto 1601 / conjunto moraika barrio alameda, bogota  / conjunto moraika barrio alameda, bogota</v>
      </c>
      <c r="G171" s="6" t="str">
        <f>IFERROR(__xludf.DUMMYFUNCTION("""COMPUTED_VALUE"""),"Natalia Buitrago - bogota")</f>
        <v>Natalia Buitrago - bogota</v>
      </c>
      <c r="H171" s="7">
        <f>IFERROR(__xludf.DUMMYFUNCTION("""COMPUTED_VALUE"""),8874.0)</f>
        <v>8874</v>
      </c>
      <c r="I171" s="7">
        <f>IFERROR(__xludf.DUMMYFUNCTION("""COMPUTED_VALUE"""),8.0)</f>
        <v>8</v>
      </c>
      <c r="J171" s="7">
        <f>IFERROR(__xludf.DUMMYFUNCTION("""COMPUTED_VALUE"""),16.0)</f>
        <v>16</v>
      </c>
      <c r="K171" s="7">
        <f>IFERROR(__xludf.DUMMYFUNCTION("""COMPUTED_VALUE"""),20.0)</f>
        <v>20</v>
      </c>
      <c r="L171" s="8">
        <f>IFERROR(__xludf.DUMMYFUNCTION("""COMPUTED_VALUE"""),3.208996417E9)</f>
        <v>3208996417</v>
      </c>
      <c r="M171" s="9" t="str">
        <f>IFERROR(__xludf.DUMMYFUNCTION("""COMPUTED_VALUE"""),"#REF!")</f>
        <v>#REF!</v>
      </c>
      <c r="N171" s="1"/>
      <c r="O171" s="3" t="str">
        <f>IFERROR(__xludf.DUMMYFUNCTION("""COMPUTED_VALUE"""),"")</f>
        <v/>
      </c>
      <c r="P171" s="9" t="b">
        <f>IFERROR(__xludf.DUMMYFUNCTION("""COMPUTED_VALUE"""),FALSE)</f>
        <v>0</v>
      </c>
      <c r="Q171" s="10" t="str">
        <f>IFERROR(__xludf.DUMMYFUNCTION("""COMPUTED_VALUE"""),"")</f>
        <v/>
      </c>
      <c r="R171" s="11" t="str">
        <f>IFERROR(__xludf.DUMMYFUNCTION("""COMPUTED_VALUE"""),"https://drive.google.com/file/d/1H-uwp5FmgNzYxB478fsFBzeS-L8VZVCA/view?usp=drivesdk")</f>
        <v>https://drive.google.com/file/d/1H-uwp5FmgNzYxB478fsFBzeS-L8VZVCA/view?usp=drivesdk</v>
      </c>
      <c r="S171" s="1" t="str">
        <f t="shared" si="2"/>
        <v/>
      </c>
      <c r="T171" s="1" t="str">
        <f t="shared" si="3"/>
        <v/>
      </c>
      <c r="U171" s="1" t="str">
        <f t="shared" si="4"/>
        <v/>
      </c>
      <c r="V171" s="1"/>
      <c r="W171" s="1"/>
      <c r="X171" s="1"/>
      <c r="Y171" s="1"/>
      <c r="Z171" s="8"/>
      <c r="AA171" s="1"/>
      <c r="AB171" s="1"/>
      <c r="AC171" s="1"/>
      <c r="AD171" s="1"/>
      <c r="AE171" s="1"/>
      <c r="AF171" s="1"/>
      <c r="AG171" s="1"/>
      <c r="AH171" s="1" t="str">
        <f t="shared" si="1"/>
        <v/>
      </c>
      <c r="AI171" s="1"/>
    </row>
    <row r="172">
      <c r="A172" s="5">
        <f>IFERROR(__xludf.DUMMYFUNCTION("""COMPUTED_VALUE"""),45000.0)</f>
        <v>45000</v>
      </c>
      <c r="B172" s="14" t="str">
        <f>IFERROR(__xludf.DUMMYFUNCTION("""COMPUTED_VALUE"""),"Luis Miguel Ramirez Morales")</f>
        <v>Luis Miguel Ramirez Morales</v>
      </c>
      <c r="C172" s="6" t="str">
        <f>IFERROR(__xludf.DUMMYFUNCTION("""COMPUTED_VALUE"""),"BOGOTÁ")</f>
        <v>BOGOTÁ</v>
      </c>
      <c r="D172" s="6" t="str">
        <f>IFERROR(__xludf.DUMMYFUNCTION("""COMPUTED_VALUE"""),"MEDELLÍN")</f>
        <v>MEDELLÍN</v>
      </c>
      <c r="E172" s="6" t="str">
        <f>IFERROR(__xludf.DUMMYFUNCTION("""COMPUTED_VALUE"""),"Baby Chef")</f>
        <v>Baby Chef</v>
      </c>
      <c r="F172" s="1" t="str">
        <f>IFERROR(__xludf.DUMMYFUNCTION("""COMPUTED_VALUE"""),"Cra 136 A no 151 B - 52  / Torre 7 apto 503  / bogota")</f>
        <v>Cra 136 A no 151 B - 52  / Torre 7 apto 503  / bogota</v>
      </c>
      <c r="G172" s="6" t="str">
        <f>IFERROR(__xludf.DUMMYFUNCTION("""COMPUTED_VALUE"""),"Claudia Gutierrez")</f>
        <v>Claudia Gutierrez</v>
      </c>
      <c r="H172" s="7">
        <f>IFERROR(__xludf.DUMMYFUNCTION("""COMPUTED_VALUE"""),8873.0)</f>
        <v>8873</v>
      </c>
      <c r="I172" s="7">
        <f>IFERROR(__xludf.DUMMYFUNCTION("""COMPUTED_VALUE"""),8.0)</f>
        <v>8</v>
      </c>
      <c r="J172" s="7">
        <f>IFERROR(__xludf.DUMMYFUNCTION("""COMPUTED_VALUE"""),16.0)</f>
        <v>16</v>
      </c>
      <c r="K172" s="7">
        <f>IFERROR(__xludf.DUMMYFUNCTION("""COMPUTED_VALUE"""),20.0)</f>
        <v>20</v>
      </c>
      <c r="L172" s="8">
        <f>IFERROR(__xludf.DUMMYFUNCTION("""COMPUTED_VALUE"""),3.114786927E9)</f>
        <v>3114786927</v>
      </c>
      <c r="M172" s="9" t="str">
        <f>IFERROR(__xludf.DUMMYFUNCTION("""COMPUTED_VALUE"""),"#REF!")</f>
        <v>#REF!</v>
      </c>
      <c r="N172" s="1"/>
      <c r="O172" s="3" t="str">
        <f>IFERROR(__xludf.DUMMYFUNCTION("""COMPUTED_VALUE"""),"")</f>
        <v/>
      </c>
      <c r="P172" s="9" t="b">
        <f>IFERROR(__xludf.DUMMYFUNCTION("""COMPUTED_VALUE"""),FALSE)</f>
        <v>0</v>
      </c>
      <c r="Q172" s="10" t="str">
        <f>IFERROR(__xludf.DUMMYFUNCTION("""COMPUTED_VALUE"""),"")</f>
        <v/>
      </c>
      <c r="R172" s="11" t="str">
        <f>IFERROR(__xludf.DUMMYFUNCTION("""COMPUTED_VALUE"""),"https://drive.google.com/file/d/1pyDAKex1DmZUGKdjim_n903QO5OroRt5/view?usp=drivesdk")</f>
        <v>https://drive.google.com/file/d/1pyDAKex1DmZUGKdjim_n903QO5OroRt5/view?usp=drivesdk</v>
      </c>
      <c r="S172" s="1" t="str">
        <f t="shared" si="2"/>
        <v/>
      </c>
      <c r="T172" s="1" t="str">
        <f t="shared" si="3"/>
        <v/>
      </c>
      <c r="U172" s="1" t="str">
        <f t="shared" si="4"/>
        <v/>
      </c>
      <c r="V172" s="1"/>
      <c r="W172" s="1"/>
      <c r="X172" s="1"/>
      <c r="Y172" s="1"/>
      <c r="Z172" s="8"/>
      <c r="AA172" s="1"/>
      <c r="AB172" s="1"/>
      <c r="AC172" s="1"/>
      <c r="AD172" s="1"/>
      <c r="AE172" s="1"/>
      <c r="AF172" s="1"/>
      <c r="AG172" s="1"/>
      <c r="AH172" s="1" t="str">
        <f t="shared" si="1"/>
        <v/>
      </c>
      <c r="AI172" s="1"/>
    </row>
    <row r="173">
      <c r="A173" s="5">
        <f>IFERROR(__xludf.DUMMYFUNCTION("""COMPUTED_VALUE"""),45000.0)</f>
        <v>45000</v>
      </c>
      <c r="B173" s="14" t="str">
        <f>IFERROR(__xludf.DUMMYFUNCTION("""COMPUTED_VALUE"""),"Luis Miguel Ramirez Morales")</f>
        <v>Luis Miguel Ramirez Morales</v>
      </c>
      <c r="C173" s="6" t="str">
        <f>IFERROR(__xludf.DUMMYFUNCTION("""COMPUTED_VALUE"""),"BOGOTÁ")</f>
        <v>BOGOTÁ</v>
      </c>
      <c r="D173" s="6" t="str">
        <f>IFERROR(__xludf.DUMMYFUNCTION("""COMPUTED_VALUE"""),"MEDELLÍN")</f>
        <v>MEDELLÍN</v>
      </c>
      <c r="E173" s="6" t="str">
        <f>IFERROR(__xludf.DUMMYFUNCTION("""COMPUTED_VALUE"""),"Moloso S.A.S")</f>
        <v>Moloso S.A.S</v>
      </c>
      <c r="F173" s="1" t="str">
        <f>IFERROR(__xludf.DUMMYFUNCTION("""COMPUTED_VALUE"""),"CRA 55 149 09 / CONJUNTO MONTECARLO 3 CASA 16")</f>
        <v>CRA 55 149 09 / CONJUNTO MONTECARLO 3 CASA 16</v>
      </c>
      <c r="G173" s="6" t="str">
        <f>IFERROR(__xludf.DUMMYFUNCTION("""COMPUTED_VALUE"""),"CLAUDIA ADRIANA GARCIA FINO")</f>
        <v>CLAUDIA ADRIANA GARCIA FINO</v>
      </c>
      <c r="H173" s="7">
        <f>IFERROR(__xludf.DUMMYFUNCTION("""COMPUTED_VALUE"""),8879.0)</f>
        <v>8879</v>
      </c>
      <c r="I173" s="7">
        <f>IFERROR(__xludf.DUMMYFUNCTION("""COMPUTED_VALUE"""),17.0)</f>
        <v>17</v>
      </c>
      <c r="J173" s="7">
        <f>IFERROR(__xludf.DUMMYFUNCTION("""COMPUTED_VALUE"""),15.0)</f>
        <v>15</v>
      </c>
      <c r="K173" s="7">
        <f>IFERROR(__xludf.DUMMYFUNCTION("""COMPUTED_VALUE"""),28.0)</f>
        <v>28</v>
      </c>
      <c r="L173" s="1" t="str">
        <f>IFERROR(__xludf.DUMMYFUNCTION("""COMPUTED_VALUE"""),"313 2628813")</f>
        <v>313 2628813</v>
      </c>
      <c r="M173" s="9" t="str">
        <f>IFERROR(__xludf.DUMMYFUNCTION("""COMPUTED_VALUE"""),"#REF!")</f>
        <v>#REF!</v>
      </c>
      <c r="N173" s="1"/>
      <c r="O173" s="3" t="str">
        <f>IFERROR(__xludf.DUMMYFUNCTION("""COMPUTED_VALUE"""),"")</f>
        <v/>
      </c>
      <c r="P173" s="9" t="b">
        <f>IFERROR(__xludf.DUMMYFUNCTION("""COMPUTED_VALUE"""),FALSE)</f>
        <v>0</v>
      </c>
      <c r="Q173" s="10" t="str">
        <f>IFERROR(__xludf.DUMMYFUNCTION("""COMPUTED_VALUE"""),"")</f>
        <v/>
      </c>
      <c r="R173" s="11" t="str">
        <f>IFERROR(__xludf.DUMMYFUNCTION("""COMPUTED_VALUE"""),"https://drive.google.com/file/d/1BRilnMwlMXcox6lKMZHHRfMWrUTyngSx/view?usp=drivesdk")</f>
        <v>https://drive.google.com/file/d/1BRilnMwlMXcox6lKMZHHRfMWrUTyngSx/view?usp=drivesdk</v>
      </c>
      <c r="S173" s="1" t="str">
        <f t="shared" si="2"/>
        <v/>
      </c>
      <c r="T173" s="1" t="str">
        <f t="shared" si="3"/>
        <v/>
      </c>
      <c r="U173" s="1" t="str">
        <f t="shared" si="4"/>
        <v/>
      </c>
      <c r="V173" s="1"/>
      <c r="W173" s="1"/>
      <c r="X173" s="1"/>
      <c r="Y173" s="1"/>
      <c r="Z173" s="8"/>
      <c r="AA173" s="1"/>
      <c r="AB173" s="1"/>
      <c r="AC173" s="1"/>
      <c r="AD173" s="1"/>
      <c r="AE173" s="1"/>
      <c r="AF173" s="1"/>
      <c r="AG173" s="1"/>
      <c r="AH173" s="1" t="str">
        <f t="shared" si="1"/>
        <v/>
      </c>
      <c r="AI173" s="1"/>
    </row>
    <row r="174">
      <c r="A174" s="5">
        <f>IFERROR(__xludf.DUMMYFUNCTION("""COMPUTED_VALUE"""),45000.0)</f>
        <v>45000</v>
      </c>
      <c r="B174" s="14" t="str">
        <f>IFERROR(__xludf.DUMMYFUNCTION("""COMPUTED_VALUE"""),"Luis Miguel Ramirez Morales")</f>
        <v>Luis Miguel Ramirez Morales</v>
      </c>
      <c r="C174" s="6" t="str">
        <f>IFERROR(__xludf.DUMMYFUNCTION("""COMPUTED_VALUE"""),"BOGOTÁ")</f>
        <v>BOGOTÁ</v>
      </c>
      <c r="D174" s="6" t="str">
        <f>IFERROR(__xludf.DUMMYFUNCTION("""COMPUTED_VALUE"""),"MEDELLÍN")</f>
        <v>MEDELLÍN</v>
      </c>
      <c r="E174" s="6" t="str">
        <f>IFERROR(__xludf.DUMMYFUNCTION("""COMPUTED_VALUE"""),"Panki Waffle")</f>
        <v>Panki Waffle</v>
      </c>
      <c r="F174" s="1" t="str">
        <f>IFERROR(__xludf.DUMMYFUNCTION("""COMPUTED_VALUE"""),"Cra 13 No. 152-80 / Torre1 Apto205  / Edif. Reserva Entrecedros. Barrio Cedritos")</f>
        <v>Cra 13 No. 152-80 / Torre1 Apto205  / Edif. Reserva Entrecedros. Barrio Cedritos</v>
      </c>
      <c r="G174" s="6" t="str">
        <f>IFERROR(__xludf.DUMMYFUNCTION("""COMPUTED_VALUE"""),"Shirley Elena Peña Osorio")</f>
        <v>Shirley Elena Peña Osorio</v>
      </c>
      <c r="H174" s="7">
        <f>IFERROR(__xludf.DUMMYFUNCTION("""COMPUTED_VALUE"""),8888.0)</f>
        <v>8888</v>
      </c>
      <c r="I174" s="7">
        <f>IFERROR(__xludf.DUMMYFUNCTION("""COMPUTED_VALUE"""),13.0)</f>
        <v>13</v>
      </c>
      <c r="J174" s="7">
        <f>IFERROR(__xludf.DUMMYFUNCTION("""COMPUTED_VALUE"""),22.0)</f>
        <v>22</v>
      </c>
      <c r="K174" s="7">
        <f>IFERROR(__xludf.DUMMYFUNCTION("""COMPUTED_VALUE"""),27.0)</f>
        <v>27</v>
      </c>
      <c r="L174" s="8">
        <f>IFERROR(__xludf.DUMMYFUNCTION("""COMPUTED_VALUE"""),3.128433749E9)</f>
        <v>3128433749</v>
      </c>
      <c r="M174" s="9" t="str">
        <f>IFERROR(__xludf.DUMMYFUNCTION("""COMPUTED_VALUE"""),"#REF!")</f>
        <v>#REF!</v>
      </c>
      <c r="N174" s="1"/>
      <c r="O174" s="3" t="str">
        <f>IFERROR(__xludf.DUMMYFUNCTION("""COMPUTED_VALUE"""),"")</f>
        <v/>
      </c>
      <c r="P174" s="9" t="b">
        <f>IFERROR(__xludf.DUMMYFUNCTION("""COMPUTED_VALUE"""),FALSE)</f>
        <v>0</v>
      </c>
      <c r="Q174" s="10" t="str">
        <f>IFERROR(__xludf.DUMMYFUNCTION("""COMPUTED_VALUE"""),"")</f>
        <v/>
      </c>
      <c r="R174" s="11" t="str">
        <f>IFERROR(__xludf.DUMMYFUNCTION("""COMPUTED_VALUE"""),"https://drive.google.com/file/d/1oPHPI4B6GWvUnaueIHxhjJXU9CnyDe4v/view?usp=drivesdk")</f>
        <v>https://drive.google.com/file/d/1oPHPI4B6GWvUnaueIHxhjJXU9CnyDe4v/view?usp=drivesdk</v>
      </c>
      <c r="S174" s="1" t="str">
        <f t="shared" si="2"/>
        <v/>
      </c>
      <c r="T174" s="1" t="str">
        <f t="shared" si="3"/>
        <v/>
      </c>
      <c r="U174" s="1" t="str">
        <f t="shared" si="4"/>
        <v/>
      </c>
      <c r="V174" s="1"/>
      <c r="W174" s="1"/>
      <c r="X174" s="1"/>
      <c r="Y174" s="1"/>
      <c r="Z174" s="8"/>
      <c r="AA174" s="1"/>
      <c r="AB174" s="1"/>
      <c r="AC174" s="1"/>
      <c r="AD174" s="1"/>
      <c r="AE174" s="1"/>
      <c r="AF174" s="1"/>
      <c r="AG174" s="1"/>
      <c r="AH174" s="1" t="str">
        <f t="shared" si="1"/>
        <v/>
      </c>
      <c r="AI174" s="1"/>
    </row>
    <row r="175">
      <c r="A175" s="5">
        <f>IFERROR(__xludf.DUMMYFUNCTION("""COMPUTED_VALUE"""),45000.0)</f>
        <v>45000</v>
      </c>
      <c r="B175" s="14" t="str">
        <f>IFERROR(__xludf.DUMMYFUNCTION("""COMPUTED_VALUE"""),"Luis Miguel Ramirez Morales")</f>
        <v>Luis Miguel Ramirez Morales</v>
      </c>
      <c r="C175" s="6" t="str">
        <f>IFERROR(__xludf.DUMMYFUNCTION("""COMPUTED_VALUE"""),"BOGOTÁ")</f>
        <v>BOGOTÁ</v>
      </c>
      <c r="D175" s="6" t="str">
        <f>IFERROR(__xludf.DUMMYFUNCTION("""COMPUTED_VALUE"""),"MEDELLÍN")</f>
        <v>MEDELLÍN</v>
      </c>
      <c r="E175" s="6" t="str">
        <f>IFERROR(__xludf.DUMMYFUNCTION("""COMPUTED_VALUE"""),"Todo Bufala")</f>
        <v>Todo Bufala</v>
      </c>
      <c r="F175" s="1" t="str">
        <f>IFERROR(__xludf.DUMMYFUNCTION("""COMPUTED_VALUE"""),"Transversal 72 a n 44 g 09 sur / Bodega Sumeind SAS / Delo las kenedy")</f>
        <v>Transversal 72 a n 44 g 09 sur / Bodega Sumeind SAS / Delo las kenedy</v>
      </c>
      <c r="G175" s="6" t="str">
        <f>IFERROR(__xludf.DUMMYFUNCTION("""COMPUTED_VALUE"""),"Angie Tapia Lozano")</f>
        <v>Angie Tapia Lozano</v>
      </c>
      <c r="H175" s="7">
        <f>IFERROR(__xludf.DUMMYFUNCTION("""COMPUTED_VALUE"""),8774.0)</f>
        <v>8774</v>
      </c>
      <c r="I175" s="7">
        <f>IFERROR(__xludf.DUMMYFUNCTION("""COMPUTED_VALUE"""),13.0)</f>
        <v>13</v>
      </c>
      <c r="J175" s="7">
        <f>IFERROR(__xludf.DUMMYFUNCTION("""COMPUTED_VALUE"""),30.0)</f>
        <v>30</v>
      </c>
      <c r="K175" s="7">
        <f>IFERROR(__xludf.DUMMYFUNCTION("""COMPUTED_VALUE"""),40.0)</f>
        <v>40</v>
      </c>
      <c r="L175" s="8">
        <f>IFERROR(__xludf.DUMMYFUNCTION("""COMPUTED_VALUE"""),3.138065979E9)</f>
        <v>3138065979</v>
      </c>
      <c r="M175" s="9" t="str">
        <f>IFERROR(__xludf.DUMMYFUNCTION("""COMPUTED_VALUE"""),"#REF!")</f>
        <v>#REF!</v>
      </c>
      <c r="N175" s="1"/>
      <c r="O175" s="3" t="str">
        <f>IFERROR(__xludf.DUMMYFUNCTION("""COMPUTED_VALUE"""),"")</f>
        <v/>
      </c>
      <c r="P175" s="9" t="b">
        <f>IFERROR(__xludf.DUMMYFUNCTION("""COMPUTED_VALUE"""),FALSE)</f>
        <v>0</v>
      </c>
      <c r="Q175" s="10" t="str">
        <f>IFERROR(__xludf.DUMMYFUNCTION("""COMPUTED_VALUE"""),"")</f>
        <v/>
      </c>
      <c r="R175" s="11" t="str">
        <f>IFERROR(__xludf.DUMMYFUNCTION("""COMPUTED_VALUE"""),"https://drive.google.com/file/d/1hZB0CY_9g8VseY_AvjkfLhm7aAdbmexL/view?usp=drivesdk")</f>
        <v>https://drive.google.com/file/d/1hZB0CY_9g8VseY_AvjkfLhm7aAdbmexL/view?usp=drivesdk</v>
      </c>
      <c r="S175" s="1" t="str">
        <f t="shared" si="2"/>
        <v/>
      </c>
      <c r="T175" s="1" t="str">
        <f t="shared" si="3"/>
        <v/>
      </c>
      <c r="U175" s="1" t="str">
        <f t="shared" si="4"/>
        <v/>
      </c>
      <c r="V175" s="1"/>
      <c r="W175" s="1"/>
      <c r="X175" s="1"/>
      <c r="Y175" s="1"/>
      <c r="Z175" s="8"/>
      <c r="AA175" s="1"/>
      <c r="AB175" s="1"/>
      <c r="AC175" s="1"/>
      <c r="AD175" s="1"/>
      <c r="AE175" s="1"/>
      <c r="AF175" s="1"/>
      <c r="AG175" s="1"/>
      <c r="AH175" s="1" t="str">
        <f t="shared" si="1"/>
        <v/>
      </c>
      <c r="AI175" s="1"/>
    </row>
    <row r="176">
      <c r="A176" s="5">
        <f>IFERROR(__xludf.DUMMYFUNCTION("""COMPUTED_VALUE"""),45000.0)</f>
        <v>45000</v>
      </c>
      <c r="B176" s="14" t="str">
        <f>IFERROR(__xludf.DUMMYFUNCTION("""COMPUTED_VALUE"""),"Luis Miguel Ramirez Morales")</f>
        <v>Luis Miguel Ramirez Morales</v>
      </c>
      <c r="C176" s="6" t="str">
        <f>IFERROR(__xludf.DUMMYFUNCTION("""COMPUTED_VALUE"""),"MONTERIA")</f>
        <v>MONTERIA</v>
      </c>
      <c r="D176" s="6" t="str">
        <f>IFERROR(__xludf.DUMMYFUNCTION("""COMPUTED_VALUE"""),"BOGOTÁ")</f>
        <v>BOGOTÁ</v>
      </c>
      <c r="E176" s="6" t="str">
        <f>IFERROR(__xludf.DUMMYFUNCTION("""COMPUTED_VALUE"""),"Top Spun")</f>
        <v>Top Spun</v>
      </c>
      <c r="F176" s="1" t="str">
        <f>IFERROR(__xludf.DUMMYFUNCTION("""COMPUTED_VALUE"""),"Av 1ra n. 32_26  / centro (almacén veterinario mi corral) / Monteria")</f>
        <v>Av 1ra n. 32_26  / centro (almacén veterinario mi corral) / Monteria</v>
      </c>
      <c r="G176" s="6" t="str">
        <f>IFERROR(__xludf.DUMMYFUNCTION("""COMPUTED_VALUE"""),"Ana Mercedes León lenes")</f>
        <v>Ana Mercedes León lenes</v>
      </c>
      <c r="H176" s="7">
        <f>IFERROR(__xludf.DUMMYFUNCTION("""COMPUTED_VALUE"""),8793.0)</f>
        <v>8793</v>
      </c>
      <c r="I176" s="7">
        <f>IFERROR(__xludf.DUMMYFUNCTION("""COMPUTED_VALUE"""),20.0)</f>
        <v>20</v>
      </c>
      <c r="J176" s="7">
        <f>IFERROR(__xludf.DUMMYFUNCTION("""COMPUTED_VALUE"""),10.0)</f>
        <v>10</v>
      </c>
      <c r="K176" s="7">
        <f>IFERROR(__xludf.DUMMYFUNCTION("""COMPUTED_VALUE"""),40.0)</f>
        <v>40</v>
      </c>
      <c r="L176" s="8">
        <f>IFERROR(__xludf.DUMMYFUNCTION("""COMPUTED_VALUE"""),3.116647347E9)</f>
        <v>3116647347</v>
      </c>
      <c r="M176" s="9" t="str">
        <f>IFERROR(__xludf.DUMMYFUNCTION("""COMPUTED_VALUE"""),"#REF!")</f>
        <v>#REF!</v>
      </c>
      <c r="N176" s="1"/>
      <c r="O176" s="3" t="str">
        <f>IFERROR(__xludf.DUMMYFUNCTION("""COMPUTED_VALUE"""),"")</f>
        <v/>
      </c>
      <c r="P176" s="9" t="b">
        <f>IFERROR(__xludf.DUMMYFUNCTION("""COMPUTED_VALUE"""),TRUE)</f>
        <v>1</v>
      </c>
      <c r="Q176" s="13">
        <f>IFERROR(__xludf.DUMMYFUNCTION("""COMPUTED_VALUE"""),45001.72773210648)</f>
        <v>45001.72773</v>
      </c>
      <c r="R176" s="12" t="str">
        <f>IFERROR(__xludf.DUMMYFUNCTION("""COMPUTED_VALUE"""),"")</f>
        <v/>
      </c>
      <c r="S176" s="1" t="str">
        <f t="shared" si="2"/>
        <v/>
      </c>
      <c r="T176" s="1" t="str">
        <f t="shared" si="3"/>
        <v/>
      </c>
      <c r="U176" s="1" t="str">
        <f t="shared" si="4"/>
        <v/>
      </c>
      <c r="V176" s="1"/>
      <c r="W176" s="1"/>
      <c r="X176" s="1"/>
      <c r="Y176" s="1"/>
      <c r="Z176" s="8"/>
      <c r="AA176" s="1"/>
      <c r="AB176" s="1"/>
      <c r="AC176" s="1"/>
      <c r="AD176" s="1"/>
      <c r="AE176" s="1"/>
      <c r="AF176" s="1"/>
      <c r="AG176" s="1"/>
      <c r="AH176" s="1" t="str">
        <f t="shared" si="1"/>
        <v/>
      </c>
      <c r="AI176" s="1"/>
    </row>
    <row r="177">
      <c r="A177" s="1" t="str">
        <f>IFERROR(__xludf.DUMMYFUNCTION("""COMPUTED_VALUE"""),"")</f>
        <v/>
      </c>
      <c r="B177" s="1" t="str">
        <f>IFERROR(__xludf.DUMMYFUNCTION("""COMPUTED_VALUE"""),"")</f>
        <v/>
      </c>
      <c r="C177" s="1" t="str">
        <f>IFERROR(__xludf.DUMMYFUNCTION("""COMPUTED_VALUE"""),"")</f>
        <v/>
      </c>
      <c r="D177" s="1" t="str">
        <f>IFERROR(__xludf.DUMMYFUNCTION("""COMPUTED_VALUE"""),"")</f>
        <v/>
      </c>
      <c r="E177" s="1" t="str">
        <f>IFERROR(__xludf.DUMMYFUNCTION("""COMPUTED_VALUE"""),"")</f>
        <v/>
      </c>
      <c r="F177" s="1" t="str">
        <f>IFERROR(__xludf.DUMMYFUNCTION("""COMPUTED_VALUE"""),"")</f>
        <v/>
      </c>
      <c r="G177" s="1" t="str">
        <f>IFERROR(__xludf.DUMMYFUNCTION("""COMPUTED_VALUE"""),"")</f>
        <v/>
      </c>
      <c r="H177" s="1" t="str">
        <f>IFERROR(__xludf.DUMMYFUNCTION("""COMPUTED_VALUE"""),"")</f>
        <v/>
      </c>
      <c r="I177" s="1" t="str">
        <f>IFERROR(__xludf.DUMMYFUNCTION("""COMPUTED_VALUE"""),"")</f>
        <v/>
      </c>
      <c r="J177" s="1" t="str">
        <f>IFERROR(__xludf.DUMMYFUNCTION("""COMPUTED_VALUE"""),"")</f>
        <v/>
      </c>
      <c r="K177" s="1" t="str">
        <f>IFERROR(__xludf.DUMMYFUNCTION("""COMPUTED_VALUE"""),"")</f>
        <v/>
      </c>
      <c r="L177" s="1" t="str">
        <f>IFERROR(__xludf.DUMMYFUNCTION("""COMPUTED_VALUE"""),"")</f>
        <v/>
      </c>
      <c r="M177" s="1" t="str">
        <f>IFERROR(__xludf.DUMMYFUNCTION("""COMPUTED_VALUE"""),"")</f>
        <v/>
      </c>
      <c r="N177" s="1" t="str">
        <f>IFERROR(__xludf.DUMMYFUNCTION("""COMPUTED_VALUE"""),"")</f>
        <v/>
      </c>
      <c r="O177" s="1" t="str">
        <f>IFERROR(__xludf.DUMMYFUNCTION("""COMPUTED_VALUE"""),"")</f>
        <v/>
      </c>
      <c r="P177" s="1" t="str">
        <f>IFERROR(__xludf.DUMMYFUNCTION("""COMPUTED_VALUE"""),"")</f>
        <v/>
      </c>
      <c r="Q177" s="1" t="str">
        <f>IFERROR(__xludf.DUMMYFUNCTION("""COMPUTED_VALUE"""),"")</f>
        <v/>
      </c>
      <c r="R177" s="1" t="str">
        <f>IFERROR(__xludf.DUMMYFUNCTION("""COMPUTED_VALUE"""),"")</f>
        <v/>
      </c>
      <c r="S177" s="1" t="str">
        <f t="shared" si="2"/>
        <v/>
      </c>
      <c r="T177" s="1" t="str">
        <f t="shared" si="3"/>
        <v/>
      </c>
      <c r="U177" s="1" t="str">
        <f t="shared" si="4"/>
        <v/>
      </c>
      <c r="V177" s="1"/>
      <c r="W177" s="1"/>
      <c r="X177" s="1"/>
      <c r="Y177" s="1"/>
      <c r="Z177" s="8"/>
      <c r="AA177" s="1"/>
      <c r="AB177" s="1"/>
      <c r="AC177" s="1"/>
      <c r="AD177" s="1"/>
      <c r="AE177" s="1"/>
      <c r="AF177" s="1"/>
      <c r="AG177" s="1"/>
      <c r="AH177" s="1" t="str">
        <f t="shared" si="1"/>
        <v/>
      </c>
      <c r="AI177" s="1"/>
    </row>
    <row r="178">
      <c r="A178" s="5">
        <f>IFERROR(__xludf.DUMMYFUNCTION("""COMPUTED_VALUE"""),45001.0)</f>
        <v>45001</v>
      </c>
      <c r="B178" s="14" t="str">
        <f>IFERROR(__xludf.DUMMYFUNCTION("""COMPUTED_VALUE"""),"David Sanmartin Bello")</f>
        <v>David Sanmartin Bello</v>
      </c>
      <c r="C178" s="6" t="str">
        <f>IFERROR(__xludf.DUMMYFUNCTION("""COMPUTED_VALUE"""),"CARTAGENA")</f>
        <v>CARTAGENA</v>
      </c>
      <c r="D178" s="6" t="str">
        <f>IFERROR(__xludf.DUMMYFUNCTION("""COMPUTED_VALUE"""),"BOGOTÁ")</f>
        <v>BOGOTÁ</v>
      </c>
      <c r="E178" s="6" t="str">
        <f>IFERROR(__xludf.DUMMYFUNCTION("""COMPUTED_VALUE"""),"Evamazzita")</f>
        <v>Evamazzita</v>
      </c>
      <c r="F178" s="1" t="str">
        <f>IFERROR(__xludf.DUMMYFUNCTION("""COMPUTED_VALUE"""),"Carrera 21 #28-83  / edificio la isla - apartamento 301  / Barrio manga")</f>
        <v>Carrera 21 #28-83  / edificio la isla - apartamento 301  / Barrio manga</v>
      </c>
      <c r="G178" s="6" t="str">
        <f>IFERROR(__xludf.DUMMYFUNCTION("""COMPUTED_VALUE"""),"ALISON PEÑALOZA")</f>
        <v>ALISON PEÑALOZA</v>
      </c>
      <c r="H178" s="7">
        <f>IFERROR(__xludf.DUMMYFUNCTION("""COMPUTED_VALUE"""),8871.0)</f>
        <v>8871</v>
      </c>
      <c r="I178" s="7">
        <f>IFERROR(__xludf.DUMMYFUNCTION("""COMPUTED_VALUE"""),6.0)</f>
        <v>6</v>
      </c>
      <c r="J178" s="7">
        <f>IFERROR(__xludf.DUMMYFUNCTION("""COMPUTED_VALUE"""),16.0)</f>
        <v>16</v>
      </c>
      <c r="K178" s="7">
        <f>IFERROR(__xludf.DUMMYFUNCTION("""COMPUTED_VALUE"""),20.0)</f>
        <v>20</v>
      </c>
      <c r="L178" s="8">
        <f>IFERROR(__xludf.DUMMYFUNCTION("""COMPUTED_VALUE"""),3.105853274E9)</f>
        <v>3105853274</v>
      </c>
      <c r="M178" s="9" t="str">
        <f>IFERROR(__xludf.DUMMYFUNCTION("""COMPUTED_VALUE"""),"#REF!")</f>
        <v>#REF!</v>
      </c>
      <c r="N178" s="1"/>
      <c r="O178" s="3" t="str">
        <f>IFERROR(__xludf.DUMMYFUNCTION("""COMPUTED_VALUE"""),"")</f>
        <v/>
      </c>
      <c r="P178" s="9" t="b">
        <f>IFERROR(__xludf.DUMMYFUNCTION("""COMPUTED_VALUE"""),TRUE)</f>
        <v>1</v>
      </c>
      <c r="Q178" s="13">
        <f>IFERROR(__xludf.DUMMYFUNCTION("""COMPUTED_VALUE"""),45001.51459752315)</f>
        <v>45001.5146</v>
      </c>
      <c r="R178" s="12" t="str">
        <f>IFERROR(__xludf.DUMMYFUNCTION("""COMPUTED_VALUE"""),"")</f>
        <v/>
      </c>
      <c r="S178" s="1" t="str">
        <f t="shared" si="2"/>
        <v/>
      </c>
      <c r="T178" s="1" t="str">
        <f t="shared" si="3"/>
        <v/>
      </c>
      <c r="U178" s="1" t="str">
        <f t="shared" si="4"/>
        <v/>
      </c>
      <c r="V178" s="1"/>
      <c r="W178" s="1"/>
      <c r="X178" s="1"/>
      <c r="Y178" s="1"/>
      <c r="Z178" s="8"/>
      <c r="AA178" s="1"/>
      <c r="AB178" s="1"/>
      <c r="AC178" s="1"/>
      <c r="AD178" s="1"/>
      <c r="AE178" s="1"/>
      <c r="AF178" s="1"/>
      <c r="AG178" s="1"/>
      <c r="AH178" s="1" t="str">
        <f t="shared" si="1"/>
        <v/>
      </c>
      <c r="AI178" s="1"/>
    </row>
    <row r="179">
      <c r="A179" s="5">
        <f>IFERROR(__xludf.DUMMYFUNCTION("""COMPUTED_VALUE"""),45001.0)</f>
        <v>45001</v>
      </c>
      <c r="B179" s="14" t="str">
        <f>IFERROR(__xludf.DUMMYFUNCTION("""COMPUTED_VALUE"""),"David Sanmartin Bello")</f>
        <v>David Sanmartin Bello</v>
      </c>
      <c r="C179" s="6" t="str">
        <f>IFERROR(__xludf.DUMMYFUNCTION("""COMPUTED_VALUE"""),"CARTAGENA")</f>
        <v>CARTAGENA</v>
      </c>
      <c r="D179" s="6" t="str">
        <f>IFERROR(__xludf.DUMMYFUNCTION("""COMPUTED_VALUE"""),"BOGOTÁ")</f>
        <v>BOGOTÁ</v>
      </c>
      <c r="E179" s="6" t="str">
        <f>IFERROR(__xludf.DUMMYFUNCTION("""COMPUTED_VALUE"""),"Selva Carioca")</f>
        <v>Selva Carioca</v>
      </c>
      <c r="F179" s="1" t="str">
        <f>IFERROR(__xludf.DUMMYFUNCTION("""COMPUTED_VALUE"""),"Cra 20 # 24-156 / Edificio Luna del Mar, apto 27E / Manga")</f>
        <v>Cra 20 # 24-156 / Edificio Luna del Mar, apto 27E / Manga</v>
      </c>
      <c r="G179" s="6" t="str">
        <f>IFERROR(__xludf.DUMMYFUNCTION("""COMPUTED_VALUE"""),"Daniela Garcia")</f>
        <v>Daniela Garcia</v>
      </c>
      <c r="H179" s="7">
        <f>IFERROR(__xludf.DUMMYFUNCTION("""COMPUTED_VALUE"""),8575.0)</f>
        <v>8575</v>
      </c>
      <c r="I179" s="7">
        <f>IFERROR(__xludf.DUMMYFUNCTION("""COMPUTED_VALUE"""),20.0)</f>
        <v>20</v>
      </c>
      <c r="J179" s="7">
        <f>IFERROR(__xludf.DUMMYFUNCTION("""COMPUTED_VALUE"""),20.0)</f>
        <v>20</v>
      </c>
      <c r="K179" s="7">
        <f>IFERROR(__xludf.DUMMYFUNCTION("""COMPUTED_VALUE"""),20.0)</f>
        <v>20</v>
      </c>
      <c r="L179" s="8">
        <f>IFERROR(__xludf.DUMMYFUNCTION("""COMPUTED_VALUE"""),1.2015588376E10)</f>
        <v>12015588376</v>
      </c>
      <c r="M179" s="9" t="str">
        <f>IFERROR(__xludf.DUMMYFUNCTION("""COMPUTED_VALUE"""),"#REF!")</f>
        <v>#REF!</v>
      </c>
      <c r="N179" s="1"/>
      <c r="O179" s="3" t="str">
        <f>IFERROR(__xludf.DUMMYFUNCTION("""COMPUTED_VALUE"""),"")</f>
        <v/>
      </c>
      <c r="P179" s="1"/>
      <c r="Q179" s="10" t="str">
        <f>IFERROR(__xludf.DUMMYFUNCTION("""COMPUTED_VALUE"""),"")</f>
        <v/>
      </c>
      <c r="R179" s="12" t="str">
        <f>IFERROR(__xludf.DUMMYFUNCTION("""COMPUTED_VALUE"""),"")</f>
        <v/>
      </c>
      <c r="S179" s="1" t="str">
        <f t="shared" si="2"/>
        <v/>
      </c>
      <c r="T179" s="1" t="str">
        <f t="shared" si="3"/>
        <v/>
      </c>
      <c r="U179" s="1" t="str">
        <f t="shared" si="4"/>
        <v/>
      </c>
      <c r="V179" s="1"/>
      <c r="W179" s="1"/>
      <c r="X179" s="1"/>
      <c r="Y179" s="1"/>
      <c r="Z179" s="8"/>
      <c r="AA179" s="1"/>
      <c r="AB179" s="1"/>
      <c r="AC179" s="1"/>
      <c r="AD179" s="1"/>
      <c r="AE179" s="1"/>
      <c r="AF179" s="1"/>
      <c r="AG179" s="1"/>
      <c r="AH179" s="1" t="str">
        <f t="shared" si="1"/>
        <v/>
      </c>
      <c r="AI179" s="1"/>
    </row>
    <row r="180">
      <c r="A180" s="5">
        <f>IFERROR(__xludf.DUMMYFUNCTION("""COMPUTED_VALUE"""),45001.0)</f>
        <v>45001</v>
      </c>
      <c r="B180" s="14" t="str">
        <f>IFERROR(__xludf.DUMMYFUNCTION("""COMPUTED_VALUE"""),"David Sanmartin Bello")</f>
        <v>David Sanmartin Bello</v>
      </c>
      <c r="C180" s="6" t="str">
        <f>IFERROR(__xludf.DUMMYFUNCTION("""COMPUTED_VALUE"""),"MEDELLÍN")</f>
        <v>MEDELLÍN</v>
      </c>
      <c r="D180" s="6" t="str">
        <f>IFERROR(__xludf.DUMMYFUNCTION("""COMPUTED_VALUE"""),"BOGOTÁ")</f>
        <v>BOGOTÁ</v>
      </c>
      <c r="E180" s="6" t="str">
        <f>IFERROR(__xludf.DUMMYFUNCTION("""COMPUTED_VALUE"""),"SISU PARTNERS SAS")</f>
        <v>SISU PARTNERS SAS</v>
      </c>
      <c r="F180" s="1" t="str">
        <f>IFERROR(__xludf.DUMMYFUNCTION("""COMPUTED_VALUE"""),"Carrera 34 no. 7-86 / Local Mary &amp; George")</f>
        <v>Carrera 34 no. 7-86 / Local Mary &amp; George</v>
      </c>
      <c r="G180" s="6" t="str">
        <f>IFERROR(__xludf.DUMMYFUNCTION("""COMPUTED_VALUE"""),"Maria Paulina Pérez")</f>
        <v>Maria Paulina Pérez</v>
      </c>
      <c r="H180" s="7">
        <f>IFERROR(__xludf.DUMMYFUNCTION("""COMPUTED_VALUE"""),8891.0)</f>
        <v>8891</v>
      </c>
      <c r="I180" s="2" t="str">
        <f>IFERROR(__xludf.DUMMYFUNCTION("""COMPUTED_VALUE"""),"52.5")</f>
        <v>52.5</v>
      </c>
      <c r="J180" s="7">
        <f>IFERROR(__xludf.DUMMYFUNCTION("""COMPUTED_VALUE"""),45.0)</f>
        <v>45</v>
      </c>
      <c r="K180" s="7">
        <f>IFERROR(__xludf.DUMMYFUNCTION("""COMPUTED_VALUE"""),55.0)</f>
        <v>55</v>
      </c>
      <c r="L180" s="8">
        <f>IFERROR(__xludf.DUMMYFUNCTION("""COMPUTED_VALUE"""),3.182186058E9)</f>
        <v>3182186058</v>
      </c>
      <c r="M180" s="9" t="str">
        <f>IFERROR(__xludf.DUMMYFUNCTION("""COMPUTED_VALUE"""),"#REF!")</f>
        <v>#REF!</v>
      </c>
      <c r="N180" s="1"/>
      <c r="O180" s="3" t="str">
        <f>IFERROR(__xludf.DUMMYFUNCTION("""COMPUTED_VALUE"""),"")</f>
        <v/>
      </c>
      <c r="P180" s="9" t="b">
        <f>IFERROR(__xludf.DUMMYFUNCTION("""COMPUTED_VALUE"""),TRUE)</f>
        <v>1</v>
      </c>
      <c r="Q180" s="13">
        <f>IFERROR(__xludf.DUMMYFUNCTION("""COMPUTED_VALUE"""),45001.72773211806)</f>
        <v>45001.72773</v>
      </c>
      <c r="R180" s="12" t="str">
        <f>IFERROR(__xludf.DUMMYFUNCTION("""COMPUTED_VALUE"""),"")</f>
        <v/>
      </c>
      <c r="S180" s="1" t="str">
        <f t="shared" si="2"/>
        <v/>
      </c>
      <c r="T180" s="1" t="str">
        <f t="shared" si="3"/>
        <v/>
      </c>
      <c r="U180" s="1" t="str">
        <f t="shared" si="4"/>
        <v/>
      </c>
      <c r="V180" s="1"/>
      <c r="W180" s="1"/>
      <c r="X180" s="1"/>
      <c r="Y180" s="1"/>
      <c r="Z180" s="8"/>
      <c r="AA180" s="1"/>
      <c r="AB180" s="1"/>
      <c r="AC180" s="1"/>
      <c r="AD180" s="1"/>
      <c r="AE180" s="1"/>
      <c r="AF180" s="1"/>
      <c r="AG180" s="1"/>
      <c r="AH180" s="1" t="str">
        <f t="shared" si="1"/>
        <v/>
      </c>
      <c r="AI180" s="1"/>
    </row>
    <row r="181">
      <c r="A181" s="1" t="str">
        <f>IFERROR(__xludf.DUMMYFUNCTION("""COMPUTED_VALUE"""),"")</f>
        <v/>
      </c>
      <c r="B181" s="1" t="str">
        <f>IFERROR(__xludf.DUMMYFUNCTION("""COMPUTED_VALUE"""),"")</f>
        <v/>
      </c>
      <c r="C181" s="1" t="str">
        <f>IFERROR(__xludf.DUMMYFUNCTION("""COMPUTED_VALUE"""),"")</f>
        <v/>
      </c>
      <c r="D181" s="1" t="str">
        <f>IFERROR(__xludf.DUMMYFUNCTION("""COMPUTED_VALUE"""),"")</f>
        <v/>
      </c>
      <c r="E181" s="1" t="str">
        <f>IFERROR(__xludf.DUMMYFUNCTION("""COMPUTED_VALUE"""),"")</f>
        <v/>
      </c>
      <c r="F181" s="1" t="str">
        <f>IFERROR(__xludf.DUMMYFUNCTION("""COMPUTED_VALUE"""),"")</f>
        <v/>
      </c>
      <c r="G181" s="1" t="str">
        <f>IFERROR(__xludf.DUMMYFUNCTION("""COMPUTED_VALUE"""),"")</f>
        <v/>
      </c>
      <c r="H181" s="1" t="str">
        <f>IFERROR(__xludf.DUMMYFUNCTION("""COMPUTED_VALUE"""),"")</f>
        <v/>
      </c>
      <c r="I181" s="1" t="str">
        <f>IFERROR(__xludf.DUMMYFUNCTION("""COMPUTED_VALUE"""),"")</f>
        <v/>
      </c>
      <c r="J181" s="1" t="str">
        <f>IFERROR(__xludf.DUMMYFUNCTION("""COMPUTED_VALUE"""),"")</f>
        <v/>
      </c>
      <c r="K181" s="1" t="str">
        <f>IFERROR(__xludf.DUMMYFUNCTION("""COMPUTED_VALUE"""),"")</f>
        <v/>
      </c>
      <c r="L181" s="1" t="str">
        <f>IFERROR(__xludf.DUMMYFUNCTION("""COMPUTED_VALUE"""),"")</f>
        <v/>
      </c>
      <c r="M181" s="1" t="str">
        <f>IFERROR(__xludf.DUMMYFUNCTION("""COMPUTED_VALUE"""),"")</f>
        <v/>
      </c>
      <c r="N181" s="1" t="str">
        <f>IFERROR(__xludf.DUMMYFUNCTION("""COMPUTED_VALUE"""),"")</f>
        <v/>
      </c>
      <c r="O181" s="1" t="str">
        <f>IFERROR(__xludf.DUMMYFUNCTION("""COMPUTED_VALUE"""),"")</f>
        <v/>
      </c>
      <c r="P181" s="1" t="str">
        <f>IFERROR(__xludf.DUMMYFUNCTION("""COMPUTED_VALUE"""),"")</f>
        <v/>
      </c>
      <c r="Q181" s="1" t="str">
        <f>IFERROR(__xludf.DUMMYFUNCTION("""COMPUTED_VALUE"""),"")</f>
        <v/>
      </c>
      <c r="R181" s="1" t="str">
        <f>IFERROR(__xludf.DUMMYFUNCTION("""COMPUTED_VALUE"""),"")</f>
        <v/>
      </c>
      <c r="S181" s="1" t="str">
        <f t="shared" si="2"/>
        <v/>
      </c>
      <c r="T181" s="1" t="str">
        <f t="shared" si="3"/>
        <v/>
      </c>
      <c r="U181" s="1" t="str">
        <f t="shared" si="4"/>
        <v/>
      </c>
      <c r="V181" s="1"/>
      <c r="W181" s="1"/>
      <c r="X181" s="1"/>
      <c r="Y181" s="1"/>
      <c r="Z181" s="8"/>
      <c r="AA181" s="1"/>
      <c r="AB181" s="1"/>
      <c r="AC181" s="1"/>
      <c r="AD181" s="1"/>
      <c r="AE181" s="1"/>
      <c r="AF181" s="1"/>
      <c r="AG181" s="1"/>
      <c r="AH181" s="1" t="str">
        <f t="shared" si="1"/>
        <v/>
      </c>
      <c r="AI181" s="1"/>
    </row>
    <row r="182">
      <c r="A182" s="5">
        <f>IFERROR(__xludf.DUMMYFUNCTION("""COMPUTED_VALUE"""),45001.0)</f>
        <v>45001</v>
      </c>
      <c r="B182" s="14" t="str">
        <f>IFERROR(__xludf.DUMMYFUNCTION("""COMPUTED_VALUE"""),"Envia")</f>
        <v>Envia</v>
      </c>
      <c r="C182" s="6" t="str">
        <f>IFERROR(__xludf.DUMMYFUNCTION("""COMPUTED_VALUE"""),"BARRANQUILLA")</f>
        <v>BARRANQUILLA</v>
      </c>
      <c r="D182" s="6" t="str">
        <f>IFERROR(__xludf.DUMMYFUNCTION("""COMPUTED_VALUE"""),"BOGOTÁ")</f>
        <v>BOGOTÁ</v>
      </c>
      <c r="E182" s="6" t="str">
        <f>IFERROR(__xludf.DUMMYFUNCTION("""COMPUTED_VALUE"""),"Mochi")</f>
        <v>Mochi</v>
      </c>
      <c r="F182" s="1" t="str">
        <f>IFERROR(__xludf.DUMMYFUNCTION("""COMPUTED_VALUE"""),"CRA 51B 87 50 / VIVA / VIVA")</f>
        <v>CRA 51B 87 50 / VIVA / VIVA</v>
      </c>
      <c r="G182" s="6" t="str">
        <f>IFERROR(__xludf.DUMMYFUNCTION("""COMPUTED_VALUE"""),"MARIA CAMILA")</f>
        <v>MARIA CAMILA</v>
      </c>
      <c r="H182" s="7">
        <f>IFERROR(__xludf.DUMMYFUNCTION("""COMPUTED_VALUE"""),8903.0)</f>
        <v>8903</v>
      </c>
      <c r="I182" s="7">
        <f>IFERROR(__xludf.DUMMYFUNCTION("""COMPUTED_VALUE"""),110.0)</f>
        <v>110</v>
      </c>
      <c r="J182" s="7">
        <f>IFERROR(__xludf.DUMMYFUNCTION("""COMPUTED_VALUE"""),45.0)</f>
        <v>45</v>
      </c>
      <c r="K182" s="2" t="str">
        <f>IFERROR(__xludf.DUMMYFUNCTION("""COMPUTED_VALUE"""),"52.5")</f>
        <v>52.5</v>
      </c>
      <c r="L182" s="8">
        <f>IFERROR(__xludf.DUMMYFUNCTION("""COMPUTED_VALUE"""),3.016026252E9)</f>
        <v>3016026252</v>
      </c>
      <c r="M182" s="9" t="str">
        <f>IFERROR(__xludf.DUMMYFUNCTION("""COMPUTED_VALUE"""),"#REF!")</f>
        <v>#REF!</v>
      </c>
      <c r="N182" s="1"/>
      <c r="O182" s="3" t="str">
        <f>IFERROR(__xludf.DUMMYFUNCTION("""COMPUTED_VALUE"""),"")</f>
        <v/>
      </c>
      <c r="P182" s="9" t="b">
        <f>IFERROR(__xludf.DUMMYFUNCTION("""COMPUTED_VALUE"""),TRUE)</f>
        <v>1</v>
      </c>
      <c r="Q182" s="13">
        <f>IFERROR(__xludf.DUMMYFUNCTION("""COMPUTED_VALUE"""),45001.59435262732)</f>
        <v>45001.59435</v>
      </c>
      <c r="R182" s="12" t="str">
        <f>IFERROR(__xludf.DUMMYFUNCTION("""COMPUTED_VALUE"""),"")</f>
        <v/>
      </c>
      <c r="S182" s="1" t="str">
        <f t="shared" si="2"/>
        <v/>
      </c>
      <c r="T182" s="1" t="str">
        <f t="shared" si="3"/>
        <v/>
      </c>
      <c r="U182" s="1" t="str">
        <f t="shared" si="4"/>
        <v/>
      </c>
      <c r="V182" s="1"/>
      <c r="W182" s="1"/>
      <c r="X182" s="1"/>
      <c r="Y182" s="1"/>
      <c r="Z182" s="8"/>
      <c r="AA182" s="1"/>
      <c r="AB182" s="1"/>
      <c r="AC182" s="1"/>
      <c r="AD182" s="1"/>
      <c r="AE182" s="1"/>
      <c r="AF182" s="1"/>
      <c r="AG182" s="1"/>
      <c r="AH182" s="1" t="str">
        <f t="shared" si="1"/>
        <v/>
      </c>
      <c r="AI182" s="1"/>
    </row>
    <row r="183">
      <c r="A183" s="5">
        <f>IFERROR(__xludf.DUMMYFUNCTION("""COMPUTED_VALUE"""),45001.0)</f>
        <v>45001</v>
      </c>
      <c r="B183" s="14" t="str">
        <f>IFERROR(__xludf.DUMMYFUNCTION("""COMPUTED_VALUE"""),"Envia")</f>
        <v>Envia</v>
      </c>
      <c r="C183" s="6" t="str">
        <f>IFERROR(__xludf.DUMMYFUNCTION("""COMPUTED_VALUE"""),"BOGOTÁ")</f>
        <v>BOGOTÁ</v>
      </c>
      <c r="D183" s="6" t="str">
        <f>IFERROR(__xludf.DUMMYFUNCTION("""COMPUTED_VALUE"""),"CALI")</f>
        <v>CALI</v>
      </c>
      <c r="E183" s="6" t="str">
        <f>IFERROR(__xludf.DUMMYFUNCTION("""COMPUTED_VALUE"""),"Natalia Carreño")</f>
        <v>Natalia Carreño</v>
      </c>
      <c r="F183" s="1" t="str">
        <f>IFERROR(__xludf.DUMMYFUNCTION("""COMPUTED_VALUE"""),"Cra 27 no 70-83 / Casa / Casa curuba")</f>
        <v>Cra 27 no 70-83 / Casa / Casa curuba</v>
      </c>
      <c r="G183" s="6" t="str">
        <f>IFERROR(__xludf.DUMMYFUNCTION("""COMPUTED_VALUE"""),"Natalia carreno")</f>
        <v>Natalia carreno</v>
      </c>
      <c r="H183" s="7">
        <f>IFERROR(__xludf.DUMMYFUNCTION("""COMPUTED_VALUE"""),8889.0)</f>
        <v>8889</v>
      </c>
      <c r="I183" s="7">
        <f>IFERROR(__xludf.DUMMYFUNCTION("""COMPUTED_VALUE"""),35.0)</f>
        <v>35</v>
      </c>
      <c r="J183" s="7">
        <f>IFERROR(__xludf.DUMMYFUNCTION("""COMPUTED_VALUE"""),50.0)</f>
        <v>50</v>
      </c>
      <c r="K183" s="7">
        <f>IFERROR(__xludf.DUMMYFUNCTION("""COMPUTED_VALUE"""),50.0)</f>
        <v>50</v>
      </c>
      <c r="L183" s="8">
        <f>IFERROR(__xludf.DUMMYFUNCTION("""COMPUTED_VALUE"""),3.11561131E9)</f>
        <v>3115611310</v>
      </c>
      <c r="M183" s="9" t="str">
        <f>IFERROR(__xludf.DUMMYFUNCTION("""COMPUTED_VALUE"""),"#REF!")</f>
        <v>#REF!</v>
      </c>
      <c r="N183" s="1"/>
      <c r="O183" s="3" t="str">
        <f>IFERROR(__xludf.DUMMYFUNCTION("""COMPUTED_VALUE"""),"")</f>
        <v/>
      </c>
      <c r="P183" s="9" t="b">
        <f>IFERROR(__xludf.DUMMYFUNCTION("""COMPUTED_VALUE"""),TRUE)</f>
        <v>1</v>
      </c>
      <c r="Q183" s="13">
        <f>IFERROR(__xludf.DUMMYFUNCTION("""COMPUTED_VALUE"""),45001.69959568287)</f>
        <v>45001.6996</v>
      </c>
      <c r="R183" s="12" t="str">
        <f>IFERROR(__xludf.DUMMYFUNCTION("""COMPUTED_VALUE"""),"")</f>
        <v/>
      </c>
      <c r="S183" s="1" t="str">
        <f t="shared" si="2"/>
        <v/>
      </c>
      <c r="T183" s="1" t="str">
        <f t="shared" si="3"/>
        <v/>
      </c>
      <c r="U183" s="1" t="str">
        <f t="shared" si="4"/>
        <v/>
      </c>
      <c r="V183" s="1"/>
      <c r="W183" s="1"/>
      <c r="X183" s="1"/>
      <c r="Y183" s="1"/>
      <c r="Z183" s="8"/>
      <c r="AA183" s="1"/>
      <c r="AB183" s="1"/>
      <c r="AC183" s="1"/>
      <c r="AD183" s="1"/>
      <c r="AE183" s="1"/>
      <c r="AF183" s="1"/>
      <c r="AG183" s="1"/>
      <c r="AH183" s="1" t="str">
        <f t="shared" si="1"/>
        <v/>
      </c>
      <c r="AI183" s="1"/>
    </row>
    <row r="184">
      <c r="A184" s="5">
        <f>IFERROR(__xludf.DUMMYFUNCTION("""COMPUTED_VALUE"""),45001.0)</f>
        <v>45001</v>
      </c>
      <c r="B184" s="14" t="str">
        <f>IFERROR(__xludf.DUMMYFUNCTION("""COMPUTED_VALUE"""),"Envia")</f>
        <v>Envia</v>
      </c>
      <c r="C184" s="6" t="str">
        <f>IFERROR(__xludf.DUMMYFUNCTION("""COMPUTED_VALUE"""),"BUCARAMANGA")</f>
        <v>BUCARAMANGA</v>
      </c>
      <c r="D184" s="6" t="str">
        <f>IFERROR(__xludf.DUMMYFUNCTION("""COMPUTED_VALUE"""),"BOGOTÁ")</f>
        <v>BOGOTÁ</v>
      </c>
      <c r="E184" s="6" t="str">
        <f>IFERROR(__xludf.DUMMYFUNCTION("""COMPUTED_VALUE"""),"Evamazzita")</f>
        <v>Evamazzita</v>
      </c>
      <c r="F184" s="1" t="str">
        <f>IFERROR(__xludf.DUMMYFUNCTION("""COMPUTED_VALUE"""),"CARRERA 20 # 7 - 11 / N/A / BARRIO COMUNEROS")</f>
        <v>CARRERA 20 # 7 - 11 / N/A / BARRIO COMUNEROS</v>
      </c>
      <c r="G184" s="6" t="str">
        <f>IFERROR(__xludf.DUMMYFUNCTION("""COMPUTED_VALUE"""),"MARIO JOSÉ CORTÉS PARADA")</f>
        <v>MARIO JOSÉ CORTÉS PARADA</v>
      </c>
      <c r="H184" s="7">
        <f>IFERROR(__xludf.DUMMYFUNCTION("""COMPUTED_VALUE"""),8915.0)</f>
        <v>8915</v>
      </c>
      <c r="I184" s="7">
        <f>IFERROR(__xludf.DUMMYFUNCTION("""COMPUTED_VALUE"""),20.0)</f>
        <v>20</v>
      </c>
      <c r="J184" s="7">
        <f>IFERROR(__xludf.DUMMYFUNCTION("""COMPUTED_VALUE"""),38.0)</f>
        <v>38</v>
      </c>
      <c r="K184" s="7">
        <f>IFERROR(__xludf.DUMMYFUNCTION("""COMPUTED_VALUE"""),23.0)</f>
        <v>23</v>
      </c>
      <c r="L184" s="8">
        <f>IFERROR(__xludf.DUMMYFUNCTION("""COMPUTED_VALUE"""),3.123394474E9)</f>
        <v>3123394474</v>
      </c>
      <c r="M184" s="9" t="str">
        <f>IFERROR(__xludf.DUMMYFUNCTION("""COMPUTED_VALUE"""),"#REF!")</f>
        <v>#REF!</v>
      </c>
      <c r="N184" s="1"/>
      <c r="O184" s="3" t="str">
        <f>IFERROR(__xludf.DUMMYFUNCTION("""COMPUTED_VALUE"""),"")</f>
        <v/>
      </c>
      <c r="P184" s="9" t="b">
        <f>IFERROR(__xludf.DUMMYFUNCTION("""COMPUTED_VALUE"""),TRUE)</f>
        <v>1</v>
      </c>
      <c r="Q184" s="13">
        <f>IFERROR(__xludf.DUMMYFUNCTION("""COMPUTED_VALUE"""),45001.44116577547)</f>
        <v>45001.44117</v>
      </c>
      <c r="R184" s="12" t="str">
        <f>IFERROR(__xludf.DUMMYFUNCTION("""COMPUTED_VALUE"""),"")</f>
        <v/>
      </c>
      <c r="S184" s="1" t="str">
        <f t="shared" si="2"/>
        <v/>
      </c>
      <c r="T184" s="1" t="str">
        <f t="shared" si="3"/>
        <v/>
      </c>
      <c r="U184" s="1" t="str">
        <f t="shared" si="4"/>
        <v/>
      </c>
      <c r="V184" s="1"/>
      <c r="W184" s="1"/>
      <c r="X184" s="1"/>
      <c r="Y184" s="1"/>
      <c r="Z184" s="8"/>
      <c r="AA184" s="1"/>
      <c r="AB184" s="1"/>
      <c r="AC184" s="1"/>
      <c r="AD184" s="1"/>
      <c r="AE184" s="1"/>
      <c r="AF184" s="1"/>
      <c r="AG184" s="1"/>
      <c r="AH184" s="1" t="str">
        <f t="shared" si="1"/>
        <v/>
      </c>
      <c r="AI184" s="1"/>
    </row>
    <row r="185">
      <c r="A185" s="5">
        <f>IFERROR(__xludf.DUMMYFUNCTION("""COMPUTED_VALUE"""),45001.0)</f>
        <v>45001</v>
      </c>
      <c r="B185" s="14" t="str">
        <f>IFERROR(__xludf.DUMMYFUNCTION("""COMPUTED_VALUE"""),"Envia")</f>
        <v>Envia</v>
      </c>
      <c r="C185" s="6" t="str">
        <f>IFERROR(__xludf.DUMMYFUNCTION("""COMPUTED_VALUE"""),"CARTAGENA")</f>
        <v>CARTAGENA</v>
      </c>
      <c r="D185" s="6" t="str">
        <f>IFERROR(__xludf.DUMMYFUNCTION("""COMPUTED_VALUE"""),"BOGOTÁ")</f>
        <v>BOGOTÁ</v>
      </c>
      <c r="E185" s="6" t="str">
        <f>IFERROR(__xludf.DUMMYFUNCTION("""COMPUTED_VALUE"""),"Mochi")</f>
        <v>Mochi</v>
      </c>
      <c r="F185" s="1" t="str">
        <f>IFERROR(__xludf.DUMMYFUNCTION("""COMPUTED_VALUE"""),"CRA 11 39 21 / SERREZUELA / SERREZUELA")</f>
        <v>CRA 11 39 21 / SERREZUELA / SERREZUELA</v>
      </c>
      <c r="G185" s="6" t="str">
        <f>IFERROR(__xludf.DUMMYFUNCTION("""COMPUTED_VALUE"""),"maRIA CAMILA")</f>
        <v>maRIA CAMILA</v>
      </c>
      <c r="H185" s="7">
        <f>IFERROR(__xludf.DUMMYFUNCTION("""COMPUTED_VALUE"""),8904.0)</f>
        <v>8904</v>
      </c>
      <c r="I185" s="7">
        <f>IFERROR(__xludf.DUMMYFUNCTION("""COMPUTED_VALUE"""),110.0)</f>
        <v>110</v>
      </c>
      <c r="J185" s="7">
        <f>IFERROR(__xludf.DUMMYFUNCTION("""COMPUTED_VALUE"""),45.0)</f>
        <v>45</v>
      </c>
      <c r="K185" s="2" t="str">
        <f>IFERROR(__xludf.DUMMYFUNCTION("""COMPUTED_VALUE"""),"52.5")</f>
        <v>52.5</v>
      </c>
      <c r="L185" s="8">
        <f>IFERROR(__xludf.DUMMYFUNCTION("""COMPUTED_VALUE"""),3.016026252E9)</f>
        <v>3016026252</v>
      </c>
      <c r="M185" s="9" t="str">
        <f>IFERROR(__xludf.DUMMYFUNCTION("""COMPUTED_VALUE"""),"#REF!")</f>
        <v>#REF!</v>
      </c>
      <c r="N185" s="1"/>
      <c r="O185" s="3" t="str">
        <f>IFERROR(__xludf.DUMMYFUNCTION("""COMPUTED_VALUE"""),"")</f>
        <v/>
      </c>
      <c r="P185" s="9" t="b">
        <f>IFERROR(__xludf.DUMMYFUNCTION("""COMPUTED_VALUE"""),TRUE)</f>
        <v>1</v>
      </c>
      <c r="Q185" s="13">
        <f>IFERROR(__xludf.DUMMYFUNCTION("""COMPUTED_VALUE"""),45001.67348571759)</f>
        <v>45001.67349</v>
      </c>
      <c r="R185" s="12" t="str">
        <f>IFERROR(__xludf.DUMMYFUNCTION("""COMPUTED_VALUE"""),"")</f>
        <v/>
      </c>
      <c r="S185" s="1" t="str">
        <f t="shared" si="2"/>
        <v/>
      </c>
      <c r="T185" s="1" t="str">
        <f t="shared" si="3"/>
        <v/>
      </c>
      <c r="U185" s="1" t="str">
        <f t="shared" si="4"/>
        <v/>
      </c>
      <c r="V185" s="1"/>
      <c r="W185" s="1"/>
      <c r="X185" s="1"/>
      <c r="Y185" s="1"/>
      <c r="Z185" s="8"/>
      <c r="AA185" s="1"/>
      <c r="AB185" s="1"/>
      <c r="AC185" s="1"/>
      <c r="AD185" s="1"/>
      <c r="AE185" s="1"/>
      <c r="AF185" s="1"/>
      <c r="AG185" s="1"/>
      <c r="AH185" s="1" t="str">
        <f t="shared" si="1"/>
        <v/>
      </c>
      <c r="AI185" s="1"/>
    </row>
    <row r="186">
      <c r="A186" s="5">
        <f>IFERROR(__xludf.DUMMYFUNCTION("""COMPUTED_VALUE"""),45001.0)</f>
        <v>45001</v>
      </c>
      <c r="B186" s="14" t="str">
        <f>IFERROR(__xludf.DUMMYFUNCTION("""COMPUTED_VALUE"""),"Envia")</f>
        <v>Envia</v>
      </c>
      <c r="C186" s="6" t="str">
        <f>IFERROR(__xludf.DUMMYFUNCTION("""COMPUTED_VALUE"""),"CARTAGENA")</f>
        <v>CARTAGENA</v>
      </c>
      <c r="D186" s="6" t="str">
        <f>IFERROR(__xludf.DUMMYFUNCTION("""COMPUTED_VALUE"""),"BOGOTÁ")</f>
        <v>BOGOTÁ</v>
      </c>
      <c r="E186" s="6" t="str">
        <f>IFERROR(__xludf.DUMMYFUNCTION("""COMPUTED_VALUE"""),"Top Spun")</f>
        <v>Top Spun</v>
      </c>
      <c r="F186" s="1" t="str">
        <f>IFERROR(__xludf.DUMMYFUNCTION("""COMPUTED_VALUE"""),"Km 8 serena del mar. / Conjunto cavana. Torre 10 apto 301 / Cartagena de Indias")</f>
        <v>Km 8 serena del mar. / Conjunto cavana. Torre 10 apto 301 / Cartagena de Indias</v>
      </c>
      <c r="G186" s="6" t="str">
        <f>IFERROR(__xludf.DUMMYFUNCTION("""COMPUTED_VALUE"""),"Laura Melón")</f>
        <v>Laura Melón</v>
      </c>
      <c r="H186" s="7">
        <f>IFERROR(__xludf.DUMMYFUNCTION("""COMPUTED_VALUE"""),8876.0)</f>
        <v>8876</v>
      </c>
      <c r="I186" s="7">
        <f>IFERROR(__xludf.DUMMYFUNCTION("""COMPUTED_VALUE"""),20.0)</f>
        <v>20</v>
      </c>
      <c r="J186" s="7">
        <f>IFERROR(__xludf.DUMMYFUNCTION("""COMPUTED_VALUE"""),10.0)</f>
        <v>10</v>
      </c>
      <c r="K186" s="7">
        <f>IFERROR(__xludf.DUMMYFUNCTION("""COMPUTED_VALUE"""),40.0)</f>
        <v>40</v>
      </c>
      <c r="L186" s="8">
        <f>IFERROR(__xludf.DUMMYFUNCTION("""COMPUTED_VALUE"""),3.002021173E9)</f>
        <v>3002021173</v>
      </c>
      <c r="M186" s="9" t="str">
        <f>IFERROR(__xludf.DUMMYFUNCTION("""COMPUTED_VALUE"""),"#REF!")</f>
        <v>#REF!</v>
      </c>
      <c r="N186" s="1"/>
      <c r="O186" s="3" t="str">
        <f>IFERROR(__xludf.DUMMYFUNCTION("""COMPUTED_VALUE"""),"")</f>
        <v/>
      </c>
      <c r="P186" s="9" t="b">
        <f>IFERROR(__xludf.DUMMYFUNCTION("""COMPUTED_VALUE"""),TRUE)</f>
        <v>1</v>
      </c>
      <c r="Q186" s="13">
        <f>IFERROR(__xludf.DUMMYFUNCTION("""COMPUTED_VALUE"""),45001.67348571759)</f>
        <v>45001.67349</v>
      </c>
      <c r="R186" s="12" t="str">
        <f>IFERROR(__xludf.DUMMYFUNCTION("""COMPUTED_VALUE"""),"")</f>
        <v/>
      </c>
      <c r="S186" s="1" t="str">
        <f t="shared" si="2"/>
        <v/>
      </c>
      <c r="T186" s="1" t="str">
        <f t="shared" si="3"/>
        <v/>
      </c>
      <c r="U186" s="1" t="str">
        <f t="shared" si="4"/>
        <v/>
      </c>
      <c r="V186" s="1"/>
      <c r="W186" s="1"/>
      <c r="X186" s="1"/>
      <c r="Y186" s="1"/>
      <c r="Z186" s="8"/>
      <c r="AA186" s="1"/>
      <c r="AB186" s="1"/>
      <c r="AC186" s="1"/>
      <c r="AD186" s="1"/>
      <c r="AE186" s="1"/>
      <c r="AF186" s="1"/>
      <c r="AG186" s="1"/>
      <c r="AH186" s="1" t="str">
        <f t="shared" si="1"/>
        <v/>
      </c>
      <c r="AI186" s="1"/>
    </row>
    <row r="187">
      <c r="A187" s="5">
        <f>IFERROR(__xludf.DUMMYFUNCTION("""COMPUTED_VALUE"""),45001.0)</f>
        <v>45001</v>
      </c>
      <c r="B187" s="14" t="str">
        <f>IFERROR(__xludf.DUMMYFUNCTION("""COMPUTED_VALUE"""),"Envia")</f>
        <v>Envia</v>
      </c>
      <c r="C187" s="6" t="str">
        <f>IFERROR(__xludf.DUMMYFUNCTION("""COMPUTED_VALUE"""),"CARTAGENA")</f>
        <v>CARTAGENA</v>
      </c>
      <c r="D187" s="6" t="str">
        <f>IFERROR(__xludf.DUMMYFUNCTION("""COMPUTED_VALUE"""),"MEDELLÍN")</f>
        <v>MEDELLÍN</v>
      </c>
      <c r="E187" s="6" t="str">
        <f>IFERROR(__xludf.DUMMYFUNCTION("""COMPUTED_VALUE"""),"Rambla")</f>
        <v>Rambla</v>
      </c>
      <c r="F187" s="1" t="str">
        <f>IFERROR(__xludf.DUMMYFUNCTION("""COMPUTED_VALUE"""),"CALLE 6 #20 CC LA ESTANCIA LC 1 10 BRR  CASTILLO GRANDE  / na / na")</f>
        <v>CALLE 6 #20 CC LA ESTANCIA LC 1 10 BRR  CASTILLO GRANDE  / na / na</v>
      </c>
      <c r="G187" s="6" t="str">
        <f>IFERROR(__xludf.DUMMYFUNCTION("""COMPUTED_VALUE"""),"Cocofit Mercado Saludable S.A.S")</f>
        <v>Cocofit Mercado Saludable S.A.S</v>
      </c>
      <c r="H187" s="7">
        <f>IFERROR(__xludf.DUMMYFUNCTION("""COMPUTED_VALUE"""),8886.0)</f>
        <v>8886</v>
      </c>
      <c r="I187" s="7">
        <f>IFERROR(__xludf.DUMMYFUNCTION("""COMPUTED_VALUE"""),45.0)</f>
        <v>45</v>
      </c>
      <c r="J187" s="7">
        <f>IFERROR(__xludf.DUMMYFUNCTION("""COMPUTED_VALUE"""),34.0)</f>
        <v>34</v>
      </c>
      <c r="K187" s="7">
        <f>IFERROR(__xludf.DUMMYFUNCTION("""COMPUTED_VALUE"""),34.0)</f>
        <v>34</v>
      </c>
      <c r="L187" s="8">
        <f>IFERROR(__xludf.DUMMYFUNCTION("""COMPUTED_VALUE"""),3.135781119E9)</f>
        <v>3135781119</v>
      </c>
      <c r="M187" s="9" t="str">
        <f>IFERROR(__xludf.DUMMYFUNCTION("""COMPUTED_VALUE"""),"#REF!")</f>
        <v>#REF!</v>
      </c>
      <c r="N187" s="1"/>
      <c r="O187" s="3" t="str">
        <f>IFERROR(__xludf.DUMMYFUNCTION("""COMPUTED_VALUE"""),"")</f>
        <v/>
      </c>
      <c r="P187" s="9" t="b">
        <f>IFERROR(__xludf.DUMMYFUNCTION("""COMPUTED_VALUE"""),TRUE)</f>
        <v>1</v>
      </c>
      <c r="Q187" s="13">
        <f>IFERROR(__xludf.DUMMYFUNCTION("""COMPUTED_VALUE"""),45001.67348571759)</f>
        <v>45001.67349</v>
      </c>
      <c r="R187" s="12" t="str">
        <f>IFERROR(__xludf.DUMMYFUNCTION("""COMPUTED_VALUE"""),"")</f>
        <v/>
      </c>
      <c r="S187" s="1" t="str">
        <f t="shared" si="2"/>
        <v/>
      </c>
      <c r="T187" s="1" t="str">
        <f t="shared" si="3"/>
        <v/>
      </c>
      <c r="U187" s="1" t="str">
        <f t="shared" si="4"/>
        <v/>
      </c>
      <c r="V187" s="1"/>
      <c r="W187" s="1"/>
      <c r="X187" s="1"/>
      <c r="Y187" s="1"/>
      <c r="Z187" s="8"/>
      <c r="AA187" s="1"/>
      <c r="AB187" s="1"/>
      <c r="AC187" s="1"/>
      <c r="AD187" s="1"/>
      <c r="AE187" s="1"/>
      <c r="AF187" s="1"/>
      <c r="AG187" s="1"/>
      <c r="AH187" s="1" t="str">
        <f t="shared" si="1"/>
        <v/>
      </c>
      <c r="AI187" s="1"/>
    </row>
    <row r="188">
      <c r="A188" s="5">
        <f>IFERROR(__xludf.DUMMYFUNCTION("""COMPUTED_VALUE"""),45001.0)</f>
        <v>45001</v>
      </c>
      <c r="B188" s="14" t="str">
        <f>IFERROR(__xludf.DUMMYFUNCTION("""COMPUTED_VALUE"""),"Envia")</f>
        <v>Envia</v>
      </c>
      <c r="C188" s="6" t="str">
        <f>IFERROR(__xludf.DUMMYFUNCTION("""COMPUTED_VALUE"""),"MEDELLÍN")</f>
        <v>MEDELLÍN</v>
      </c>
      <c r="D188" s="6" t="str">
        <f>IFERROR(__xludf.DUMMYFUNCTION("""COMPUTED_VALUE"""),"BOGOTÁ")</f>
        <v>BOGOTÁ</v>
      </c>
      <c r="E188" s="6" t="str">
        <f>IFERROR(__xludf.DUMMYFUNCTION("""COMPUTED_VALUE"""),"Forever Dog")</f>
        <v>Forever Dog</v>
      </c>
      <c r="F188" s="1" t="str">
        <f>IFERROR(__xludf.DUMMYFUNCTION("""COMPUTED_VALUE"""),"Calle 36 sur #27-10 / apto 9615 torre 3 / unidad residencial entreparques")</f>
        <v>Calle 36 sur #27-10 / apto 9615 torre 3 / unidad residencial entreparques</v>
      </c>
      <c r="G188" s="6" t="str">
        <f>IFERROR(__xludf.DUMMYFUNCTION("""COMPUTED_VALUE"""),"Alejandra Maya")</f>
        <v>Alejandra Maya</v>
      </c>
      <c r="H188" s="7">
        <f>IFERROR(__xludf.DUMMYFUNCTION("""COMPUTED_VALUE"""),8919.0)</f>
        <v>8919</v>
      </c>
      <c r="I188" s="7">
        <f>IFERROR(__xludf.DUMMYFUNCTION("""COMPUTED_VALUE"""),10.0)</f>
        <v>10</v>
      </c>
      <c r="J188" s="7">
        <f>IFERROR(__xludf.DUMMYFUNCTION("""COMPUTED_VALUE"""),100.0)</f>
        <v>100</v>
      </c>
      <c r="K188" s="7">
        <f>IFERROR(__xludf.DUMMYFUNCTION("""COMPUTED_VALUE"""),30.0)</f>
        <v>30</v>
      </c>
      <c r="L188" s="8">
        <f>IFERROR(__xludf.DUMMYFUNCTION("""COMPUTED_VALUE"""),3.016427229E9)</f>
        <v>3016427229</v>
      </c>
      <c r="M188" s="9" t="str">
        <f>IFERROR(__xludf.DUMMYFUNCTION("""COMPUTED_VALUE"""),"#REF!")</f>
        <v>#REF!</v>
      </c>
      <c r="N188" s="1"/>
      <c r="O188" s="3" t="str">
        <f>IFERROR(__xludf.DUMMYFUNCTION("""COMPUTED_VALUE"""),"")</f>
        <v/>
      </c>
      <c r="P188" s="9" t="b">
        <f>IFERROR(__xludf.DUMMYFUNCTION("""COMPUTED_VALUE"""),TRUE)</f>
        <v>1</v>
      </c>
      <c r="Q188" s="13">
        <f>IFERROR(__xludf.DUMMYFUNCTION("""COMPUTED_VALUE"""),45001.487190914355)</f>
        <v>45001.48719</v>
      </c>
      <c r="R188" s="12" t="str">
        <f>IFERROR(__xludf.DUMMYFUNCTION("""COMPUTED_VALUE"""),"")</f>
        <v/>
      </c>
      <c r="S188" s="1" t="str">
        <f t="shared" si="2"/>
        <v/>
      </c>
      <c r="T188" s="1" t="str">
        <f t="shared" si="3"/>
        <v/>
      </c>
      <c r="U188" s="1" t="str">
        <f t="shared" si="4"/>
        <v/>
      </c>
      <c r="V188" s="1"/>
      <c r="W188" s="1"/>
      <c r="X188" s="1"/>
      <c r="Y188" s="1"/>
      <c r="Z188" s="8"/>
      <c r="AA188" s="1"/>
      <c r="AB188" s="1"/>
      <c r="AC188" s="1"/>
      <c r="AD188" s="1"/>
      <c r="AE188" s="1"/>
      <c r="AF188" s="1"/>
      <c r="AG188" s="1"/>
      <c r="AH188" s="1" t="str">
        <f t="shared" si="1"/>
        <v/>
      </c>
      <c r="AI188" s="1"/>
    </row>
    <row r="189">
      <c r="A189" s="5">
        <f>IFERROR(__xludf.DUMMYFUNCTION("""COMPUTED_VALUE"""),45001.0)</f>
        <v>45001</v>
      </c>
      <c r="B189" s="14" t="str">
        <f>IFERROR(__xludf.DUMMYFUNCTION("""COMPUTED_VALUE"""),"Envia")</f>
        <v>Envia</v>
      </c>
      <c r="C189" s="6" t="str">
        <f>IFERROR(__xludf.DUMMYFUNCTION("""COMPUTED_VALUE"""),"MEDELLÍN")</f>
        <v>MEDELLÍN</v>
      </c>
      <c r="D189" s="6" t="str">
        <f>IFERROR(__xludf.DUMMYFUNCTION("""COMPUTED_VALUE"""),"BOGOTÁ")</f>
        <v>BOGOTÁ</v>
      </c>
      <c r="E189" s="6" t="str">
        <f>IFERROR(__xludf.DUMMYFUNCTION("""COMPUTED_VALUE"""),"Forever Dog")</f>
        <v>Forever Dog</v>
      </c>
      <c r="F189" s="1" t="str">
        <f>IFERROR(__xludf.DUMMYFUNCTION("""COMPUTED_VALUE"""),"Cra 28 # 37B Sur - 51 / Edf. Torre San Miguel Apto 501 / Envigado, Barrio Loma de las Brujas")</f>
        <v>Cra 28 # 37B Sur - 51 / Edf. Torre San Miguel Apto 501 / Envigado, Barrio Loma de las Brujas</v>
      </c>
      <c r="G189" s="6" t="str">
        <f>IFERROR(__xludf.DUMMYFUNCTION("""COMPUTED_VALUE"""),"Dustin Torres")</f>
        <v>Dustin Torres</v>
      </c>
      <c r="H189" s="7">
        <f>IFERROR(__xludf.DUMMYFUNCTION("""COMPUTED_VALUE"""),8918.0)</f>
        <v>8918</v>
      </c>
      <c r="I189" s="7">
        <f>IFERROR(__xludf.DUMMYFUNCTION("""COMPUTED_VALUE"""),10.0)</f>
        <v>10</v>
      </c>
      <c r="J189" s="7">
        <f>IFERROR(__xludf.DUMMYFUNCTION("""COMPUTED_VALUE"""),100.0)</f>
        <v>100</v>
      </c>
      <c r="K189" s="7">
        <f>IFERROR(__xludf.DUMMYFUNCTION("""COMPUTED_VALUE"""),30.0)</f>
        <v>30</v>
      </c>
      <c r="L189" s="8">
        <f>IFERROR(__xludf.DUMMYFUNCTION("""COMPUTED_VALUE"""),3.013390836E9)</f>
        <v>3013390836</v>
      </c>
      <c r="M189" s="9" t="str">
        <f>IFERROR(__xludf.DUMMYFUNCTION("""COMPUTED_VALUE"""),"#REF!")</f>
        <v>#REF!</v>
      </c>
      <c r="N189" s="1"/>
      <c r="O189" s="3" t="str">
        <f>IFERROR(__xludf.DUMMYFUNCTION("""COMPUTED_VALUE"""),"")</f>
        <v/>
      </c>
      <c r="P189" s="9" t="b">
        <f>IFERROR(__xludf.DUMMYFUNCTION("""COMPUTED_VALUE"""),TRUE)</f>
        <v>1</v>
      </c>
      <c r="Q189" s="13">
        <f>IFERROR(__xludf.DUMMYFUNCTION("""COMPUTED_VALUE"""),45001.612649166666)</f>
        <v>45001.61265</v>
      </c>
      <c r="R189" s="12" t="str">
        <f>IFERROR(__xludf.DUMMYFUNCTION("""COMPUTED_VALUE"""),"")</f>
        <v/>
      </c>
      <c r="S189" s="1" t="str">
        <f t="shared" si="2"/>
        <v/>
      </c>
      <c r="T189" s="1" t="str">
        <f t="shared" si="3"/>
        <v/>
      </c>
      <c r="U189" s="1" t="str">
        <f t="shared" si="4"/>
        <v/>
      </c>
      <c r="V189" s="1"/>
      <c r="W189" s="1"/>
      <c r="X189" s="1"/>
      <c r="Y189" s="1"/>
      <c r="Z189" s="8"/>
      <c r="AA189" s="1"/>
      <c r="AB189" s="1"/>
      <c r="AC189" s="1"/>
      <c r="AD189" s="1"/>
      <c r="AE189" s="1"/>
      <c r="AF189" s="1"/>
      <c r="AG189" s="1"/>
      <c r="AH189" s="1" t="str">
        <f t="shared" si="1"/>
        <v/>
      </c>
      <c r="AI189" s="1"/>
    </row>
    <row r="190">
      <c r="A190" s="5">
        <f>IFERROR(__xludf.DUMMYFUNCTION("""COMPUTED_VALUE"""),45001.0)</f>
        <v>45001</v>
      </c>
      <c r="B190" s="14" t="str">
        <f>IFERROR(__xludf.DUMMYFUNCTION("""COMPUTED_VALUE"""),"Envia")</f>
        <v>Envia</v>
      </c>
      <c r="C190" s="6" t="str">
        <f>IFERROR(__xludf.DUMMYFUNCTION("""COMPUTED_VALUE"""),"NEIVA")</f>
        <v>NEIVA</v>
      </c>
      <c r="D190" s="6" t="str">
        <f>IFERROR(__xludf.DUMMYFUNCTION("""COMPUTED_VALUE"""),"BOGOTÁ")</f>
        <v>BOGOTÁ</v>
      </c>
      <c r="E190" s="6" t="str">
        <f>IFERROR(__xludf.DUMMYFUNCTION("""COMPUTED_VALUE"""),"Evamazzita")</f>
        <v>Evamazzita</v>
      </c>
      <c r="F190" s="1" t="str">
        <f>IFERROR(__xludf.DUMMYFUNCTION("""COMPUTED_VALUE"""),"AVENIDA 26 No. 27 - 94  / CONJUNTO RESIDENCIAL SANTA LUCÍA- TORRE 2 APTO 204  / BARRIO LAS GRANJAS")</f>
        <v>AVENIDA 26 No. 27 - 94  / CONJUNTO RESIDENCIAL SANTA LUCÍA- TORRE 2 APTO 204  / BARRIO LAS GRANJAS</v>
      </c>
      <c r="G190" s="6" t="str">
        <f>IFERROR(__xludf.DUMMYFUNCTION("""COMPUTED_VALUE"""),"ANA MARIA SANTOFIMIO MENDEZ")</f>
        <v>ANA MARIA SANTOFIMIO MENDEZ</v>
      </c>
      <c r="H190" s="7">
        <f>IFERROR(__xludf.DUMMYFUNCTION("""COMPUTED_VALUE"""),8900.0)</f>
        <v>8900</v>
      </c>
      <c r="I190" s="7">
        <f>IFERROR(__xludf.DUMMYFUNCTION("""COMPUTED_VALUE"""),10.0)</f>
        <v>10</v>
      </c>
      <c r="J190" s="7">
        <f>IFERROR(__xludf.DUMMYFUNCTION("""COMPUTED_VALUE"""),18.0)</f>
        <v>18</v>
      </c>
      <c r="K190" s="7">
        <f>IFERROR(__xludf.DUMMYFUNCTION("""COMPUTED_VALUE"""),22.0)</f>
        <v>22</v>
      </c>
      <c r="L190" s="8">
        <f>IFERROR(__xludf.DUMMYFUNCTION("""COMPUTED_VALUE"""),3.214676999E9)</f>
        <v>3214676999</v>
      </c>
      <c r="M190" s="9" t="str">
        <f>IFERROR(__xludf.DUMMYFUNCTION("""COMPUTED_VALUE"""),"#REF!")</f>
        <v>#REF!</v>
      </c>
      <c r="N190" s="1"/>
      <c r="O190" s="3" t="str">
        <f>IFERROR(__xludf.DUMMYFUNCTION("""COMPUTED_VALUE"""),"")</f>
        <v/>
      </c>
      <c r="P190" s="9" t="b">
        <f>IFERROR(__xludf.DUMMYFUNCTION("""COMPUTED_VALUE"""),TRUE)</f>
        <v>1</v>
      </c>
      <c r="Q190" s="13">
        <f>IFERROR(__xludf.DUMMYFUNCTION("""COMPUTED_VALUE"""),45001.51859225694)</f>
        <v>45001.51859</v>
      </c>
      <c r="R190" s="12" t="str">
        <f>IFERROR(__xludf.DUMMYFUNCTION("""COMPUTED_VALUE"""),"")</f>
        <v/>
      </c>
      <c r="S190" s="1" t="str">
        <f t="shared" si="2"/>
        <v/>
      </c>
      <c r="T190" s="1" t="str">
        <f t="shared" si="3"/>
        <v/>
      </c>
      <c r="U190" s="1" t="str">
        <f t="shared" si="4"/>
        <v/>
      </c>
      <c r="V190" s="1"/>
      <c r="W190" s="1"/>
      <c r="X190" s="1"/>
      <c r="Y190" s="1"/>
      <c r="Z190" s="8"/>
      <c r="AA190" s="1"/>
      <c r="AB190" s="1"/>
      <c r="AC190" s="1"/>
      <c r="AD190" s="1"/>
      <c r="AE190" s="1"/>
      <c r="AF190" s="1"/>
      <c r="AG190" s="1"/>
      <c r="AH190" s="1" t="str">
        <f t="shared" si="1"/>
        <v/>
      </c>
      <c r="AI190" s="1"/>
    </row>
    <row r="191">
      <c r="A191" s="5">
        <f>IFERROR(__xludf.DUMMYFUNCTION("""COMPUTED_VALUE"""),45001.0)</f>
        <v>45001</v>
      </c>
      <c r="B191" s="14" t="str">
        <f>IFERROR(__xludf.DUMMYFUNCTION("""COMPUTED_VALUE"""),"Envia")</f>
        <v>Envia</v>
      </c>
      <c r="C191" s="6" t="str">
        <f>IFERROR(__xludf.DUMMYFUNCTION("""COMPUTED_VALUE"""),"PEREIRA")</f>
        <v>PEREIRA</v>
      </c>
      <c r="D191" s="6" t="str">
        <f>IFERROR(__xludf.DUMMYFUNCTION("""COMPUTED_VALUE"""),"BOGOTÁ")</f>
        <v>BOGOTÁ</v>
      </c>
      <c r="E191" s="6" t="str">
        <f>IFERROR(__xludf.DUMMYFUNCTION("""COMPUTED_VALUE"""),"Ins. Alimento Vital")</f>
        <v>Ins. Alimento Vital</v>
      </c>
      <c r="F191" s="1" t="str">
        <f>IFERROR(__xludf.DUMMYFUNCTION("""COMPUTED_VALUE"""),"CR 5 #18- 43 / EDIFICIO CHALJUB / BARRIO URIBE")</f>
        <v>CR 5 #18- 43 / EDIFICIO CHALJUB / BARRIO URIBE</v>
      </c>
      <c r="G191" s="6" t="str">
        <f>IFERROR(__xludf.DUMMYFUNCTION("""COMPUTED_VALUE"""),"CHALJUB")</f>
        <v>CHALJUB</v>
      </c>
      <c r="H191" s="7">
        <f>IFERROR(__xludf.DUMMYFUNCTION("""COMPUTED_VALUE"""),8905.0)</f>
        <v>8905</v>
      </c>
      <c r="I191" s="7">
        <f>IFERROR(__xludf.DUMMYFUNCTION("""COMPUTED_VALUE"""),55.0)</f>
        <v>55</v>
      </c>
      <c r="J191" s="7">
        <f>IFERROR(__xludf.DUMMYFUNCTION("""COMPUTED_VALUE"""),45.0)</f>
        <v>45</v>
      </c>
      <c r="K191" s="2" t="str">
        <f>IFERROR(__xludf.DUMMYFUNCTION("""COMPUTED_VALUE"""),"52.5")</f>
        <v>52.5</v>
      </c>
      <c r="L191" s="8">
        <f>IFERROR(__xludf.DUMMYFUNCTION("""COMPUTED_VALUE"""),3.113678687E9)</f>
        <v>3113678687</v>
      </c>
      <c r="M191" s="9" t="str">
        <f>IFERROR(__xludf.DUMMYFUNCTION("""COMPUTED_VALUE"""),"#REF!")</f>
        <v>#REF!</v>
      </c>
      <c r="N191" s="1"/>
      <c r="O191" s="3" t="str">
        <f>IFERROR(__xludf.DUMMYFUNCTION("""COMPUTED_VALUE"""),"")</f>
        <v/>
      </c>
      <c r="P191" s="9" t="b">
        <f>IFERROR(__xludf.DUMMYFUNCTION("""COMPUTED_VALUE"""),TRUE)</f>
        <v>1</v>
      </c>
      <c r="Q191" s="13">
        <f>IFERROR(__xludf.DUMMYFUNCTION("""COMPUTED_VALUE"""),45001.69959568287)</f>
        <v>45001.6996</v>
      </c>
      <c r="R191" s="12" t="str">
        <f>IFERROR(__xludf.DUMMYFUNCTION("""COMPUTED_VALUE"""),"")</f>
        <v/>
      </c>
      <c r="S191" s="1" t="str">
        <f t="shared" si="2"/>
        <v/>
      </c>
      <c r="T191" s="1" t="str">
        <f t="shared" si="3"/>
        <v/>
      </c>
      <c r="U191" s="1" t="str">
        <f t="shared" si="4"/>
        <v/>
      </c>
      <c r="V191" s="1"/>
      <c r="W191" s="1"/>
      <c r="X191" s="1"/>
      <c r="Y191" s="1"/>
      <c r="Z191" s="8"/>
      <c r="AA191" s="1"/>
      <c r="AB191" s="1"/>
      <c r="AC191" s="1"/>
      <c r="AD191" s="1"/>
      <c r="AE191" s="1"/>
      <c r="AF191" s="1"/>
      <c r="AG191" s="1"/>
      <c r="AH191" s="1" t="str">
        <f t="shared" si="1"/>
        <v/>
      </c>
      <c r="AI191" s="1"/>
    </row>
    <row r="192">
      <c r="A192" s="5">
        <f>IFERROR(__xludf.DUMMYFUNCTION("""COMPUTED_VALUE"""),45001.0)</f>
        <v>45001</v>
      </c>
      <c r="B192" s="14" t="str">
        <f>IFERROR(__xludf.DUMMYFUNCTION("""COMPUTED_VALUE"""),"Envia")</f>
        <v>Envia</v>
      </c>
      <c r="C192" s="6" t="str">
        <f>IFERROR(__xludf.DUMMYFUNCTION("""COMPUTED_VALUE"""),"POPAYAN")</f>
        <v>POPAYAN</v>
      </c>
      <c r="D192" s="6" t="str">
        <f>IFERROR(__xludf.DUMMYFUNCTION("""COMPUTED_VALUE"""),"BOGOTÁ")</f>
        <v>BOGOTÁ</v>
      </c>
      <c r="E192" s="6" t="str">
        <f>IFERROR(__xludf.DUMMYFUNCTION("""COMPUTED_VALUE"""),"Evamazzita")</f>
        <v>Evamazzita</v>
      </c>
      <c r="F192" s="1" t="str">
        <f>IFERROR(__xludf.DUMMYFUNCTION("""COMPUTED_VALUE"""),"CRA 6 # 27N - 58  / LOCAL 1  - VIVEA MERCADO SALUDABLE / BARRIO LOS HOYOS")</f>
        <v>CRA 6 # 27N - 58  / LOCAL 1  - VIVEA MERCADO SALUDABLE / BARRIO LOS HOYOS</v>
      </c>
      <c r="G192" s="6" t="str">
        <f>IFERROR(__xludf.DUMMYFUNCTION("""COMPUTED_VALUE"""),"VIVIANA ANDREA CHAMORRO YANZA")</f>
        <v>VIVIANA ANDREA CHAMORRO YANZA</v>
      </c>
      <c r="H192" s="7">
        <f>IFERROR(__xludf.DUMMYFUNCTION("""COMPUTED_VALUE"""),8916.0)</f>
        <v>8916</v>
      </c>
      <c r="I192" s="7">
        <f>IFERROR(__xludf.DUMMYFUNCTION("""COMPUTED_VALUE"""),19.0)</f>
        <v>19</v>
      </c>
      <c r="J192" s="7">
        <f>IFERROR(__xludf.DUMMYFUNCTION("""COMPUTED_VALUE"""),23.0)</f>
        <v>23</v>
      </c>
      <c r="K192" s="7">
        <f>IFERROR(__xludf.DUMMYFUNCTION("""COMPUTED_VALUE"""),25.0)</f>
        <v>25</v>
      </c>
      <c r="L192" s="8">
        <f>IFERROR(__xludf.DUMMYFUNCTION("""COMPUTED_VALUE"""),3.122971002E9)</f>
        <v>3122971002</v>
      </c>
      <c r="M192" s="9" t="str">
        <f>IFERROR(__xludf.DUMMYFUNCTION("""COMPUTED_VALUE"""),"#REF!")</f>
        <v>#REF!</v>
      </c>
      <c r="N192" s="1"/>
      <c r="O192" s="3" t="str">
        <f>IFERROR(__xludf.DUMMYFUNCTION("""COMPUTED_VALUE"""),"")</f>
        <v/>
      </c>
      <c r="P192" s="9" t="b">
        <f>IFERROR(__xludf.DUMMYFUNCTION("""COMPUTED_VALUE"""),TRUE)</f>
        <v>1</v>
      </c>
      <c r="Q192" s="13">
        <f>IFERROR(__xludf.DUMMYFUNCTION("""COMPUTED_VALUE"""),45001.69959568287)</f>
        <v>45001.6996</v>
      </c>
      <c r="R192" s="12" t="str">
        <f>IFERROR(__xludf.DUMMYFUNCTION("""COMPUTED_VALUE"""),"")</f>
        <v/>
      </c>
      <c r="S192" s="1" t="str">
        <f t="shared" si="2"/>
        <v/>
      </c>
      <c r="T192" s="1" t="str">
        <f t="shared" si="3"/>
        <v/>
      </c>
      <c r="U192" s="1" t="str">
        <f t="shared" si="4"/>
        <v/>
      </c>
      <c r="V192" s="1"/>
      <c r="W192" s="1"/>
      <c r="X192" s="1"/>
      <c r="Y192" s="1"/>
      <c r="Z192" s="8"/>
      <c r="AA192" s="1"/>
      <c r="AB192" s="1"/>
      <c r="AC192" s="1"/>
      <c r="AD192" s="1"/>
      <c r="AE192" s="1"/>
      <c r="AF192" s="1"/>
      <c r="AG192" s="1"/>
      <c r="AH192" s="1" t="str">
        <f t="shared" si="1"/>
        <v/>
      </c>
      <c r="AI192" s="1"/>
    </row>
    <row r="193">
      <c r="A193" s="5">
        <f>IFERROR(__xludf.DUMMYFUNCTION("""COMPUTED_VALUE"""),45001.0)</f>
        <v>45001</v>
      </c>
      <c r="B193" s="14" t="str">
        <f>IFERROR(__xludf.DUMMYFUNCTION("""COMPUTED_VALUE"""),"Envia")</f>
        <v>Envia</v>
      </c>
      <c r="C193" s="6" t="str">
        <f>IFERROR(__xludf.DUMMYFUNCTION("""COMPUTED_VALUE"""),"SINCELEJO")</f>
        <v>SINCELEJO</v>
      </c>
      <c r="D193" s="6" t="str">
        <f>IFERROR(__xludf.DUMMYFUNCTION("""COMPUTED_VALUE"""),"MEDELLÍN")</f>
        <v>MEDELLÍN</v>
      </c>
      <c r="E193" s="6" t="str">
        <f>IFERROR(__xludf.DUMMYFUNCTION("""COMPUTED_VALUE"""),"Rambla")</f>
        <v>Rambla</v>
      </c>
      <c r="F193" s="1" t="str">
        <f>IFERROR(__xludf.DUMMYFUNCTION("""COMPUTED_VALUE"""),"calle 32 #33 -119 local 101 cc living mall brr vene / na / na")</f>
        <v>calle 32 #33 -119 local 101 cc living mall brr vene / na / na</v>
      </c>
      <c r="G193" s="6" t="str">
        <f>IFERROR(__xludf.DUMMYFUNCTION("""COMPUTED_VALUE"""),"Oliva sincelejo")</f>
        <v>Oliva sincelejo</v>
      </c>
      <c r="H193" s="7">
        <f>IFERROR(__xludf.DUMMYFUNCTION("""COMPUTED_VALUE"""),8884.0)</f>
        <v>8884</v>
      </c>
      <c r="I193" s="7">
        <f>IFERROR(__xludf.DUMMYFUNCTION("""COMPUTED_VALUE"""),40.0)</f>
        <v>40</v>
      </c>
      <c r="J193" s="7">
        <f>IFERROR(__xludf.DUMMYFUNCTION("""COMPUTED_VALUE"""),33.0)</f>
        <v>33</v>
      </c>
      <c r="K193" s="7">
        <f>IFERROR(__xludf.DUMMYFUNCTION("""COMPUTED_VALUE"""),33.0)</f>
        <v>33</v>
      </c>
      <c r="L193" s="8">
        <f>IFERROR(__xludf.DUMMYFUNCTION("""COMPUTED_VALUE"""),3.012581546E9)</f>
        <v>3012581546</v>
      </c>
      <c r="M193" s="9" t="str">
        <f>IFERROR(__xludf.DUMMYFUNCTION("""COMPUTED_VALUE"""),"#REF!")</f>
        <v>#REF!</v>
      </c>
      <c r="N193" s="1"/>
      <c r="O193" s="3" t="str">
        <f>IFERROR(__xludf.DUMMYFUNCTION("""COMPUTED_VALUE"""),"")</f>
        <v/>
      </c>
      <c r="P193" s="9" t="b">
        <f>IFERROR(__xludf.DUMMYFUNCTION("""COMPUTED_VALUE"""),TRUE)</f>
        <v>1</v>
      </c>
      <c r="Q193" s="13">
        <f>IFERROR(__xludf.DUMMYFUNCTION("""COMPUTED_VALUE"""),45001.46912173611)</f>
        <v>45001.46912</v>
      </c>
      <c r="R193" s="12" t="str">
        <f>IFERROR(__xludf.DUMMYFUNCTION("""COMPUTED_VALUE"""),"")</f>
        <v/>
      </c>
      <c r="S193" s="1" t="str">
        <f t="shared" si="2"/>
        <v/>
      </c>
      <c r="T193" s="1" t="str">
        <f t="shared" si="3"/>
        <v/>
      </c>
      <c r="U193" s="1" t="str">
        <f t="shared" si="4"/>
        <v/>
      </c>
      <c r="V193" s="1"/>
      <c r="W193" s="1"/>
      <c r="X193" s="1"/>
      <c r="Y193" s="1"/>
      <c r="Z193" s="8"/>
      <c r="AA193" s="1"/>
      <c r="AB193" s="1"/>
      <c r="AC193" s="1"/>
      <c r="AD193" s="1"/>
      <c r="AE193" s="1"/>
      <c r="AF193" s="1"/>
      <c r="AG193" s="1"/>
      <c r="AH193" s="1" t="str">
        <f t="shared" si="1"/>
        <v/>
      </c>
      <c r="AI193" s="1"/>
    </row>
    <row r="194">
      <c r="A194" s="5">
        <f>IFERROR(__xludf.DUMMYFUNCTION("""COMPUTED_VALUE"""),45001.0)</f>
        <v>45001</v>
      </c>
      <c r="B194" s="14" t="str">
        <f>IFERROR(__xludf.DUMMYFUNCTION("""COMPUTED_VALUE"""),"Envia")</f>
        <v>Envia</v>
      </c>
      <c r="C194" s="6" t="str">
        <f>IFERROR(__xludf.DUMMYFUNCTION("""COMPUTED_VALUE"""),"TULUÁ")</f>
        <v>TULUÁ</v>
      </c>
      <c r="D194" s="6" t="str">
        <f>IFERROR(__xludf.DUMMYFUNCTION("""COMPUTED_VALUE"""),"BOGOTÁ")</f>
        <v>BOGOTÁ</v>
      </c>
      <c r="E194" s="6" t="str">
        <f>IFERROR(__xludf.DUMMYFUNCTION("""COMPUTED_VALUE"""),"Evamazzita")</f>
        <v>Evamazzita</v>
      </c>
      <c r="F194" s="1" t="str">
        <f>IFERROR(__xludf.DUMMYFUNCTION("""COMPUTED_VALUE"""),"Calle 30 No 34 37  / N/A / Barrio victoria")</f>
        <v>Calle 30 No 34 37  / N/A / Barrio victoria</v>
      </c>
      <c r="G194" s="6" t="str">
        <f>IFERROR(__xludf.DUMMYFUNCTION("""COMPUTED_VALUE"""),"MARIA ANGELICA HERNANDEZ")</f>
        <v>MARIA ANGELICA HERNANDEZ</v>
      </c>
      <c r="H194" s="7">
        <f>IFERROR(__xludf.DUMMYFUNCTION("""COMPUTED_VALUE"""),8912.0)</f>
        <v>8912</v>
      </c>
      <c r="I194" s="7">
        <f>IFERROR(__xludf.DUMMYFUNCTION("""COMPUTED_VALUE"""),3.0)</f>
        <v>3</v>
      </c>
      <c r="J194" s="7">
        <f>IFERROR(__xludf.DUMMYFUNCTION("""COMPUTED_VALUE"""),20.0)</f>
        <v>20</v>
      </c>
      <c r="K194" s="7">
        <f>IFERROR(__xludf.DUMMYFUNCTION("""COMPUTED_VALUE"""),15.0)</f>
        <v>15</v>
      </c>
      <c r="L194" s="8">
        <f>IFERROR(__xludf.DUMMYFUNCTION("""COMPUTED_VALUE"""),3.057079152E9)</f>
        <v>3057079152</v>
      </c>
      <c r="M194" s="9" t="str">
        <f>IFERROR(__xludf.DUMMYFUNCTION("""COMPUTED_VALUE"""),"#REF!")</f>
        <v>#REF!</v>
      </c>
      <c r="N194" s="1"/>
      <c r="O194" s="3" t="str">
        <f>IFERROR(__xludf.DUMMYFUNCTION("""COMPUTED_VALUE"""),"")</f>
        <v/>
      </c>
      <c r="P194" s="9" t="b">
        <f>IFERROR(__xludf.DUMMYFUNCTION("""COMPUTED_VALUE"""),TRUE)</f>
        <v>1</v>
      </c>
      <c r="Q194" s="13">
        <f>IFERROR(__xludf.DUMMYFUNCTION("""COMPUTED_VALUE"""),45001.72773211806)</f>
        <v>45001.72773</v>
      </c>
      <c r="R194" s="11" t="str">
        <f>IFERROR(__xludf.DUMMYFUNCTION("""COMPUTED_VALUE"""),"https://drive.google.com/file/d/1bCsXTZ1y0UUj4QWXA1-XD1nGG4cU4K1p/view?usp=drivesdk")</f>
        <v>https://drive.google.com/file/d/1bCsXTZ1y0UUj4QWXA1-XD1nGG4cU4K1p/view?usp=drivesdk</v>
      </c>
      <c r="S194" s="1" t="str">
        <f t="shared" si="2"/>
        <v/>
      </c>
      <c r="T194" s="1" t="str">
        <f t="shared" si="3"/>
        <v/>
      </c>
      <c r="U194" s="1" t="str">
        <f t="shared" si="4"/>
        <v/>
      </c>
      <c r="V194" s="1"/>
      <c r="W194" s="1"/>
      <c r="X194" s="1"/>
      <c r="Y194" s="1"/>
      <c r="Z194" s="8"/>
      <c r="AA194" s="1"/>
      <c r="AB194" s="1"/>
      <c r="AC194" s="1"/>
      <c r="AD194" s="1"/>
      <c r="AE194" s="1"/>
      <c r="AF194" s="1"/>
      <c r="AG194" s="1"/>
      <c r="AH194" s="1" t="str">
        <f t="shared" si="1"/>
        <v/>
      </c>
      <c r="AI194" s="1"/>
    </row>
    <row r="195">
      <c r="A195" s="5">
        <f>IFERROR(__xludf.DUMMYFUNCTION("""COMPUTED_VALUE"""),45001.0)</f>
        <v>45001</v>
      </c>
      <c r="B195" s="14" t="str">
        <f>IFERROR(__xludf.DUMMYFUNCTION("""COMPUTED_VALUE"""),"Envia")</f>
        <v>Envia</v>
      </c>
      <c r="C195" s="6" t="str">
        <f>IFERROR(__xludf.DUMMYFUNCTION("""COMPUTED_VALUE"""),"VILLAVICENCIO")</f>
        <v>VILLAVICENCIO</v>
      </c>
      <c r="D195" s="6" t="str">
        <f>IFERROR(__xludf.DUMMYFUNCTION("""COMPUTED_VALUE"""),"MEDELLÍN")</f>
        <v>MEDELLÍN</v>
      </c>
      <c r="E195" s="6" t="str">
        <f>IFERROR(__xludf.DUMMYFUNCTION("""COMPUTED_VALUE"""),"Rambla")</f>
        <v>Rambla</v>
      </c>
      <c r="F195" s="1" t="str">
        <f>IFERROR(__xludf.DUMMYFUNCTION("""COMPUTED_VALUE"""),"Calle 15 número 44 116 Hotel casa corona Local 5 Barrio el buque Villavicencio meta / na / na")</f>
        <v>Calle 15 número 44 116 Hotel casa corona Local 5 Barrio el buque Villavicencio meta / na / na</v>
      </c>
      <c r="G195" s="6" t="str">
        <f>IFERROR(__xludf.DUMMYFUNCTION("""COMPUTED_VALUE"""),"Sana tentacion")</f>
        <v>Sana tentacion</v>
      </c>
      <c r="H195" s="7">
        <f>IFERROR(__xludf.DUMMYFUNCTION("""COMPUTED_VALUE"""),8885.0)</f>
        <v>8885</v>
      </c>
      <c r="I195" s="7">
        <f>IFERROR(__xludf.DUMMYFUNCTION("""COMPUTED_VALUE"""),30.0)</f>
        <v>30</v>
      </c>
      <c r="J195" s="7">
        <f>IFERROR(__xludf.DUMMYFUNCTION("""COMPUTED_VALUE"""),32.0)</f>
        <v>32</v>
      </c>
      <c r="K195" s="7">
        <f>IFERROR(__xludf.DUMMYFUNCTION("""COMPUTED_VALUE"""),23.0)</f>
        <v>23</v>
      </c>
      <c r="L195" s="8">
        <f>IFERROR(__xludf.DUMMYFUNCTION("""COMPUTED_VALUE"""),3.008383044E9)</f>
        <v>3008383044</v>
      </c>
      <c r="M195" s="9" t="str">
        <f>IFERROR(__xludf.DUMMYFUNCTION("""COMPUTED_VALUE"""),"#REF!")</f>
        <v>#REF!</v>
      </c>
      <c r="N195" s="1"/>
      <c r="O195" s="3" t="str">
        <f>IFERROR(__xludf.DUMMYFUNCTION("""COMPUTED_VALUE"""),"")</f>
        <v/>
      </c>
      <c r="P195" s="9" t="b">
        <f>IFERROR(__xludf.DUMMYFUNCTION("""COMPUTED_VALUE"""),FALSE)</f>
        <v>0</v>
      </c>
      <c r="Q195" s="10" t="str">
        <f>IFERROR(__xludf.DUMMYFUNCTION("""COMPUTED_VALUE"""),"")</f>
        <v/>
      </c>
      <c r="R195" s="12" t="str">
        <f>IFERROR(__xludf.DUMMYFUNCTION("""COMPUTED_VALUE"""),"")</f>
        <v/>
      </c>
      <c r="S195" s="1" t="str">
        <f t="shared" si="2"/>
        <v/>
      </c>
      <c r="T195" s="1" t="str">
        <f t="shared" si="3"/>
        <v/>
      </c>
      <c r="U195" s="1" t="str">
        <f t="shared" si="4"/>
        <v/>
      </c>
      <c r="V195" s="1"/>
      <c r="W195" s="1"/>
      <c r="X195" s="1"/>
      <c r="Y195" s="1"/>
      <c r="Z195" s="8"/>
      <c r="AA195" s="1"/>
      <c r="AB195" s="1"/>
      <c r="AC195" s="1"/>
      <c r="AD195" s="1"/>
      <c r="AE195" s="1"/>
      <c r="AF195" s="1"/>
      <c r="AG195" s="1"/>
      <c r="AH195" s="1" t="str">
        <f t="shared" si="1"/>
        <v/>
      </c>
      <c r="AI195" s="1"/>
    </row>
    <row r="196">
      <c r="A196" s="1" t="str">
        <f>IFERROR(__xludf.DUMMYFUNCTION("""COMPUTED_VALUE"""),"")</f>
        <v/>
      </c>
      <c r="B196" s="1" t="str">
        <f>IFERROR(__xludf.DUMMYFUNCTION("""COMPUTED_VALUE"""),"")</f>
        <v/>
      </c>
      <c r="C196" s="1" t="str">
        <f>IFERROR(__xludf.DUMMYFUNCTION("""COMPUTED_VALUE"""),"")</f>
        <v/>
      </c>
      <c r="D196" s="1" t="str">
        <f>IFERROR(__xludf.DUMMYFUNCTION("""COMPUTED_VALUE"""),"")</f>
        <v/>
      </c>
      <c r="E196" s="1" t="str">
        <f>IFERROR(__xludf.DUMMYFUNCTION("""COMPUTED_VALUE"""),"")</f>
        <v/>
      </c>
      <c r="F196" s="1" t="str">
        <f>IFERROR(__xludf.DUMMYFUNCTION("""COMPUTED_VALUE"""),"")</f>
        <v/>
      </c>
      <c r="G196" s="1" t="str">
        <f>IFERROR(__xludf.DUMMYFUNCTION("""COMPUTED_VALUE"""),"")</f>
        <v/>
      </c>
      <c r="H196" s="1" t="str">
        <f>IFERROR(__xludf.DUMMYFUNCTION("""COMPUTED_VALUE"""),"")</f>
        <v/>
      </c>
      <c r="I196" s="1" t="str">
        <f>IFERROR(__xludf.DUMMYFUNCTION("""COMPUTED_VALUE"""),"")</f>
        <v/>
      </c>
      <c r="J196" s="1" t="str">
        <f>IFERROR(__xludf.DUMMYFUNCTION("""COMPUTED_VALUE"""),"")</f>
        <v/>
      </c>
      <c r="K196" s="1" t="str">
        <f>IFERROR(__xludf.DUMMYFUNCTION("""COMPUTED_VALUE"""),"")</f>
        <v/>
      </c>
      <c r="L196" s="1" t="str">
        <f>IFERROR(__xludf.DUMMYFUNCTION("""COMPUTED_VALUE"""),"")</f>
        <v/>
      </c>
      <c r="M196" s="1" t="str">
        <f>IFERROR(__xludf.DUMMYFUNCTION("""COMPUTED_VALUE"""),"")</f>
        <v/>
      </c>
      <c r="N196" s="1" t="str">
        <f>IFERROR(__xludf.DUMMYFUNCTION("""COMPUTED_VALUE"""),"")</f>
        <v/>
      </c>
      <c r="O196" s="1" t="str">
        <f>IFERROR(__xludf.DUMMYFUNCTION("""COMPUTED_VALUE"""),"")</f>
        <v/>
      </c>
      <c r="P196" s="1" t="str">
        <f>IFERROR(__xludf.DUMMYFUNCTION("""COMPUTED_VALUE"""),"")</f>
        <v/>
      </c>
      <c r="Q196" s="1" t="str">
        <f>IFERROR(__xludf.DUMMYFUNCTION("""COMPUTED_VALUE"""),"")</f>
        <v/>
      </c>
      <c r="R196" s="1" t="str">
        <f>IFERROR(__xludf.DUMMYFUNCTION("""COMPUTED_VALUE"""),"")</f>
        <v/>
      </c>
      <c r="S196" s="1" t="str">
        <f t="shared" si="2"/>
        <v/>
      </c>
      <c r="T196" s="1" t="str">
        <f t="shared" si="3"/>
        <v/>
      </c>
      <c r="U196" s="1" t="str">
        <f t="shared" si="4"/>
        <v/>
      </c>
      <c r="V196" s="1"/>
      <c r="W196" s="1"/>
      <c r="X196" s="1"/>
      <c r="Y196" s="1"/>
      <c r="Z196" s="8"/>
      <c r="AA196" s="1"/>
      <c r="AB196" s="1"/>
      <c r="AC196" s="1"/>
      <c r="AD196" s="1"/>
      <c r="AE196" s="1"/>
      <c r="AF196" s="1"/>
      <c r="AG196" s="1"/>
      <c r="AH196" s="1" t="str">
        <f t="shared" si="1"/>
        <v/>
      </c>
      <c r="AI196" s="1"/>
    </row>
    <row r="197">
      <c r="A197" s="5">
        <f>IFERROR(__xludf.DUMMYFUNCTION("""COMPUTED_VALUE"""),45001.0)</f>
        <v>45001</v>
      </c>
      <c r="B197" s="14" t="str">
        <f>IFERROR(__xludf.DUMMYFUNCTION("""COMPUTED_VALUE"""),"Johan Alexander Escobar Arroyo ")</f>
        <v>Johan Alexander Escobar Arroyo </v>
      </c>
      <c r="C197" s="6" t="str">
        <f>IFERROR(__xludf.DUMMYFUNCTION("""COMPUTED_VALUE"""),"CALI")</f>
        <v>CALI</v>
      </c>
      <c r="D197" s="6" t="str">
        <f>IFERROR(__xludf.DUMMYFUNCTION("""COMPUTED_VALUE"""),"BOGOTÁ")</f>
        <v>BOGOTÁ</v>
      </c>
      <c r="E197" s="6" t="str">
        <f>IFERROR(__xludf.DUMMYFUNCTION("""COMPUTED_VALUE"""),"Ins. Alimento Vital")</f>
        <v>Ins. Alimento Vital</v>
      </c>
      <c r="F197" s="1" t="str">
        <f>IFERROR(__xludf.DUMMYFUNCTION("""COMPUTED_VALUE"""),"CLL 34N # 2BN 33 / CLL 34N # 2BN 33 / BARRIO SAN VICENTE")</f>
        <v>CLL 34N # 2BN 33 / CLL 34N # 2BN 33 / BARRIO SAN VICENTE</v>
      </c>
      <c r="G197" s="6" t="str">
        <f>IFERROR(__xludf.DUMMYFUNCTION("""COMPUTED_VALUE"""),"VELOCITY")</f>
        <v>VELOCITY</v>
      </c>
      <c r="H197" s="7">
        <f>IFERROR(__xludf.DUMMYFUNCTION("""COMPUTED_VALUE"""),8906.0)</f>
        <v>8906</v>
      </c>
      <c r="I197" s="7">
        <f>IFERROR(__xludf.DUMMYFUNCTION("""COMPUTED_VALUE"""),55.0)</f>
        <v>55</v>
      </c>
      <c r="J197" s="7">
        <f>IFERROR(__xludf.DUMMYFUNCTION("""COMPUTED_VALUE"""),45.0)</f>
        <v>45</v>
      </c>
      <c r="K197" s="2" t="str">
        <f>IFERROR(__xludf.DUMMYFUNCTION("""COMPUTED_VALUE"""),"52.5")</f>
        <v>52.5</v>
      </c>
      <c r="L197" s="8">
        <f>IFERROR(__xludf.DUMMYFUNCTION("""COMPUTED_VALUE"""),3.117591055E9)</f>
        <v>3117591055</v>
      </c>
      <c r="M197" s="9" t="str">
        <f>IFERROR(__xludf.DUMMYFUNCTION("""COMPUTED_VALUE"""),"#REF!")</f>
        <v>#REF!</v>
      </c>
      <c r="N197" s="1"/>
      <c r="O197" s="3" t="str">
        <f>IFERROR(__xludf.DUMMYFUNCTION("""COMPUTED_VALUE"""),"")</f>
        <v/>
      </c>
      <c r="P197" s="9" t="b">
        <f>IFERROR(__xludf.DUMMYFUNCTION("""COMPUTED_VALUE"""),FALSE)</f>
        <v>0</v>
      </c>
      <c r="Q197" s="10" t="str">
        <f>IFERROR(__xludf.DUMMYFUNCTION("""COMPUTED_VALUE"""),"")</f>
        <v/>
      </c>
      <c r="R197" s="12" t="str">
        <f>IFERROR(__xludf.DUMMYFUNCTION("""COMPUTED_VALUE"""),"")</f>
        <v/>
      </c>
      <c r="S197" s="1" t="str">
        <f t="shared" si="2"/>
        <v/>
      </c>
      <c r="T197" s="1" t="str">
        <f t="shared" si="3"/>
        <v/>
      </c>
      <c r="U197" s="1" t="str">
        <f t="shared" si="4"/>
        <v/>
      </c>
      <c r="V197" s="1"/>
      <c r="W197" s="1"/>
      <c r="X197" s="1"/>
      <c r="Y197" s="1"/>
      <c r="Z197" s="8"/>
      <c r="AA197" s="1"/>
      <c r="AB197" s="1"/>
      <c r="AC197" s="1"/>
      <c r="AD197" s="1"/>
      <c r="AE197" s="1"/>
      <c r="AF197" s="1"/>
      <c r="AG197" s="1"/>
      <c r="AH197" s="1" t="str">
        <f t="shared" si="1"/>
        <v/>
      </c>
      <c r="AI197" s="1"/>
    </row>
    <row r="198">
      <c r="A198" s="5">
        <f>IFERROR(__xludf.DUMMYFUNCTION("""COMPUTED_VALUE"""),45001.0)</f>
        <v>45001</v>
      </c>
      <c r="B198" s="14" t="str">
        <f>IFERROR(__xludf.DUMMYFUNCTION("""COMPUTED_VALUE"""),"Johan Alexander Escobar Arroyo ")</f>
        <v>Johan Alexander Escobar Arroyo </v>
      </c>
      <c r="C198" s="6" t="str">
        <f>IFERROR(__xludf.DUMMYFUNCTION("""COMPUTED_VALUE"""),"TULUÁ")</f>
        <v>TULUÁ</v>
      </c>
      <c r="D198" s="6" t="str">
        <f>IFERROR(__xludf.DUMMYFUNCTION("""COMPUTED_VALUE"""),"BOGOTÁ")</f>
        <v>BOGOTÁ</v>
      </c>
      <c r="E198" s="6" t="str">
        <f>IFERROR(__xludf.DUMMYFUNCTION("""COMPUTED_VALUE"""),"Evamazzita")</f>
        <v>Evamazzita</v>
      </c>
      <c r="F198" s="1" t="str">
        <f>IFERROR(__xludf.DUMMYFUNCTION("""COMPUTED_VALUE"""),"Calle 45#25D-15   / N/A / Nuevo principe")</f>
        <v>Calle 45#25D-15   / N/A / Nuevo principe</v>
      </c>
      <c r="G198" s="6" t="str">
        <f>IFERROR(__xludf.DUMMYFUNCTION("""COMPUTED_VALUE"""),"LUISA FERNANDA MAYA")</f>
        <v>LUISA FERNANDA MAYA</v>
      </c>
      <c r="H198" s="7">
        <f>IFERROR(__xludf.DUMMYFUNCTION("""COMPUTED_VALUE"""),8909.0)</f>
        <v>8909</v>
      </c>
      <c r="I198" s="7">
        <f>IFERROR(__xludf.DUMMYFUNCTION("""COMPUTED_VALUE"""),3.0)</f>
        <v>3</v>
      </c>
      <c r="J198" s="7">
        <f>IFERROR(__xludf.DUMMYFUNCTION("""COMPUTED_VALUE"""),20.0)</f>
        <v>20</v>
      </c>
      <c r="K198" s="7">
        <f>IFERROR(__xludf.DUMMYFUNCTION("""COMPUTED_VALUE"""),15.0)</f>
        <v>15</v>
      </c>
      <c r="L198" s="8">
        <f>IFERROR(__xludf.DUMMYFUNCTION("""COMPUTED_VALUE"""),3.173725191E9)</f>
        <v>3173725191</v>
      </c>
      <c r="M198" s="9" t="str">
        <f>IFERROR(__xludf.DUMMYFUNCTION("""COMPUTED_VALUE"""),"#REF!")</f>
        <v>#REF!</v>
      </c>
      <c r="N198" s="1"/>
      <c r="O198" s="3" t="str">
        <f>IFERROR(__xludf.DUMMYFUNCTION("""COMPUTED_VALUE"""),"")</f>
        <v/>
      </c>
      <c r="P198" s="9" t="b">
        <f>IFERROR(__xludf.DUMMYFUNCTION("""COMPUTED_VALUE"""),FALSE)</f>
        <v>0</v>
      </c>
      <c r="Q198" s="10" t="str">
        <f>IFERROR(__xludf.DUMMYFUNCTION("""COMPUTED_VALUE"""),"")</f>
        <v/>
      </c>
      <c r="R198" s="11" t="str">
        <f>IFERROR(__xludf.DUMMYFUNCTION("""COMPUTED_VALUE"""),"https://drive.google.com/file/d/1N32xbAkH4tC95W9Nz8qUXIiThWLysDwl/view?usp=drivesdk")</f>
        <v>https://drive.google.com/file/d/1N32xbAkH4tC95W9Nz8qUXIiThWLysDwl/view?usp=drivesdk</v>
      </c>
      <c r="S198" s="1" t="str">
        <f t="shared" si="2"/>
        <v/>
      </c>
      <c r="T198" s="1" t="str">
        <f t="shared" si="3"/>
        <v/>
      </c>
      <c r="U198" s="1" t="str">
        <f t="shared" si="4"/>
        <v/>
      </c>
      <c r="V198" s="1"/>
      <c r="W198" s="1"/>
      <c r="X198" s="1"/>
      <c r="Y198" s="1"/>
      <c r="Z198" s="8"/>
      <c r="AA198" s="1"/>
      <c r="AB198" s="1"/>
      <c r="AC198" s="1"/>
      <c r="AD198" s="1"/>
      <c r="AE198" s="1"/>
      <c r="AF198" s="1"/>
      <c r="AG198" s="1"/>
      <c r="AH198" s="1" t="str">
        <f t="shared" si="1"/>
        <v/>
      </c>
      <c r="AI198" s="1"/>
    </row>
    <row r="199">
      <c r="A199" s="5">
        <f>IFERROR(__xludf.DUMMYFUNCTION("""COMPUTED_VALUE"""),45001.0)</f>
        <v>45001</v>
      </c>
      <c r="B199" s="14" t="str">
        <f>IFERROR(__xludf.DUMMYFUNCTION("""COMPUTED_VALUE"""),"Johan Alexander Escobar Arroyo ")</f>
        <v>Johan Alexander Escobar Arroyo </v>
      </c>
      <c r="C199" s="6" t="str">
        <f>IFERROR(__xludf.DUMMYFUNCTION("""COMPUTED_VALUE"""),"TULUÁ")</f>
        <v>TULUÁ</v>
      </c>
      <c r="D199" s="6" t="str">
        <f>IFERROR(__xludf.DUMMYFUNCTION("""COMPUTED_VALUE"""),"BOGOTÁ")</f>
        <v>BOGOTÁ</v>
      </c>
      <c r="E199" s="6" t="str">
        <f>IFERROR(__xludf.DUMMYFUNCTION("""COMPUTED_VALUE"""),"Evamazzita")</f>
        <v>Evamazzita</v>
      </c>
      <c r="F199" s="1" t="str">
        <f>IFERROR(__xludf.DUMMYFUNCTION("""COMPUTED_VALUE"""),"Carrera 24 A #44-19   / N/A / Nuevo Príncipe")</f>
        <v>Carrera 24 A #44-19   / N/A / Nuevo Príncipe</v>
      </c>
      <c r="G199" s="6" t="str">
        <f>IFERROR(__xludf.DUMMYFUNCTION("""COMPUTED_VALUE"""),"ADRIANA DIAZ TORRALBA")</f>
        <v>ADRIANA DIAZ TORRALBA</v>
      </c>
      <c r="H199" s="7">
        <f>IFERROR(__xludf.DUMMYFUNCTION("""COMPUTED_VALUE"""),8910.0)</f>
        <v>8910</v>
      </c>
      <c r="I199" s="7">
        <f>IFERROR(__xludf.DUMMYFUNCTION("""COMPUTED_VALUE"""),3.0)</f>
        <v>3</v>
      </c>
      <c r="J199" s="7">
        <f>IFERROR(__xludf.DUMMYFUNCTION("""COMPUTED_VALUE"""),15.0)</f>
        <v>15</v>
      </c>
      <c r="K199" s="7">
        <f>IFERROR(__xludf.DUMMYFUNCTION("""COMPUTED_VALUE"""),20.0)</f>
        <v>20</v>
      </c>
      <c r="L199" s="8">
        <f>IFERROR(__xludf.DUMMYFUNCTION("""COMPUTED_VALUE"""),3.104421129E9)</f>
        <v>3104421129</v>
      </c>
      <c r="M199" s="9" t="str">
        <f>IFERROR(__xludf.DUMMYFUNCTION("""COMPUTED_VALUE"""),"#REF!")</f>
        <v>#REF!</v>
      </c>
      <c r="N199" s="1"/>
      <c r="O199" s="3" t="str">
        <f>IFERROR(__xludf.DUMMYFUNCTION("""COMPUTED_VALUE"""),"")</f>
        <v/>
      </c>
      <c r="P199" s="9" t="b">
        <f>IFERROR(__xludf.DUMMYFUNCTION("""COMPUTED_VALUE"""),FALSE)</f>
        <v>0</v>
      </c>
      <c r="Q199" s="10" t="str">
        <f>IFERROR(__xludf.DUMMYFUNCTION("""COMPUTED_VALUE"""),"")</f>
        <v/>
      </c>
      <c r="R199" s="11" t="str">
        <f>IFERROR(__xludf.DUMMYFUNCTION("""COMPUTED_VALUE"""),"https://drive.google.com/file/d/1UcTgCxTYH7acByJTbLMbjQAq_MJ4qun8/view?usp=drivesdk")</f>
        <v>https://drive.google.com/file/d/1UcTgCxTYH7acByJTbLMbjQAq_MJ4qun8/view?usp=drivesdk</v>
      </c>
      <c r="S199" s="1" t="str">
        <f t="shared" si="2"/>
        <v/>
      </c>
      <c r="T199" s="1" t="str">
        <f t="shared" si="3"/>
        <v/>
      </c>
      <c r="U199" s="1" t="str">
        <f t="shared" si="4"/>
        <v/>
      </c>
      <c r="V199" s="1"/>
      <c r="W199" s="1"/>
      <c r="X199" s="1"/>
      <c r="Y199" s="1"/>
      <c r="Z199" s="8"/>
      <c r="AA199" s="1"/>
      <c r="AB199" s="1"/>
      <c r="AC199" s="1"/>
      <c r="AD199" s="1"/>
      <c r="AE199" s="1"/>
      <c r="AF199" s="1"/>
      <c r="AG199" s="1"/>
      <c r="AH199" s="1" t="str">
        <f t="shared" si="1"/>
        <v/>
      </c>
      <c r="AI199" s="1"/>
    </row>
    <row r="200">
      <c r="A200" s="5">
        <f>IFERROR(__xludf.DUMMYFUNCTION("""COMPUTED_VALUE"""),45001.0)</f>
        <v>45001</v>
      </c>
      <c r="B200" s="14" t="str">
        <f>IFERROR(__xludf.DUMMYFUNCTION("""COMPUTED_VALUE"""),"Johan Alexander Escobar Arroyo ")</f>
        <v>Johan Alexander Escobar Arroyo </v>
      </c>
      <c r="C200" s="6" t="str">
        <f>IFERROR(__xludf.DUMMYFUNCTION("""COMPUTED_VALUE"""),"TULUÁ")</f>
        <v>TULUÁ</v>
      </c>
      <c r="D200" s="6" t="str">
        <f>IFERROR(__xludf.DUMMYFUNCTION("""COMPUTED_VALUE"""),"BOGOTÁ")</f>
        <v>BOGOTÁ</v>
      </c>
      <c r="E200" s="6" t="str">
        <f>IFERROR(__xludf.DUMMYFUNCTION("""COMPUTED_VALUE"""),"Evamazzita")</f>
        <v>Evamazzita</v>
      </c>
      <c r="F200" s="1" t="str">
        <f>IFERROR(__xludf.DUMMYFUNCTION("""COMPUTED_VALUE"""),"Cra 33 # 21 -57  / esquina   / Barrio Alvernia")</f>
        <v>Cra 33 # 21 -57  / esquina   / Barrio Alvernia</v>
      </c>
      <c r="G200" s="6" t="str">
        <f>IFERROR(__xludf.DUMMYFUNCTION("""COMPUTED_VALUE"""),"DIANA CAROLINA MOLINA VALENCIA")</f>
        <v>DIANA CAROLINA MOLINA VALENCIA</v>
      </c>
      <c r="H200" s="7">
        <f>IFERROR(__xludf.DUMMYFUNCTION("""COMPUTED_VALUE"""),8908.0)</f>
        <v>8908</v>
      </c>
      <c r="I200" s="7">
        <f>IFERROR(__xludf.DUMMYFUNCTION("""COMPUTED_VALUE"""),14.0)</f>
        <v>14</v>
      </c>
      <c r="J200" s="7">
        <f>IFERROR(__xludf.DUMMYFUNCTION("""COMPUTED_VALUE"""),37.0)</f>
        <v>37</v>
      </c>
      <c r="K200" s="7">
        <f>IFERROR(__xludf.DUMMYFUNCTION("""COMPUTED_VALUE"""),23.0)</f>
        <v>23</v>
      </c>
      <c r="L200" s="8">
        <f>IFERROR(__xludf.DUMMYFUNCTION("""COMPUTED_VALUE"""),3.104417918E9)</f>
        <v>3104417918</v>
      </c>
      <c r="M200" s="9" t="str">
        <f>IFERROR(__xludf.DUMMYFUNCTION("""COMPUTED_VALUE"""),"#REF!")</f>
        <v>#REF!</v>
      </c>
      <c r="N200" s="1"/>
      <c r="O200" s="3" t="str">
        <f>IFERROR(__xludf.DUMMYFUNCTION("""COMPUTED_VALUE"""),"")</f>
        <v/>
      </c>
      <c r="P200" s="9" t="b">
        <f>IFERROR(__xludf.DUMMYFUNCTION("""COMPUTED_VALUE"""),FALSE)</f>
        <v>0</v>
      </c>
      <c r="Q200" s="10" t="str">
        <f>IFERROR(__xludf.DUMMYFUNCTION("""COMPUTED_VALUE"""),"")</f>
        <v/>
      </c>
      <c r="R200" s="11" t="str">
        <f>IFERROR(__xludf.DUMMYFUNCTION("""COMPUTED_VALUE"""),"https://drive.google.com/file/d/1zXkgrAR9ekbHMXeTqiX7iv5pPNDUkL0r/view?usp=drivesdk")</f>
        <v>https://drive.google.com/file/d/1zXkgrAR9ekbHMXeTqiX7iv5pPNDUkL0r/view?usp=drivesdk</v>
      </c>
      <c r="S200" s="1" t="str">
        <f t="shared" si="2"/>
        <v/>
      </c>
      <c r="T200" s="1" t="str">
        <f t="shared" si="3"/>
        <v/>
      </c>
      <c r="U200" s="1" t="str">
        <f t="shared" si="4"/>
        <v/>
      </c>
      <c r="V200" s="1"/>
      <c r="W200" s="1"/>
      <c r="X200" s="1"/>
      <c r="Y200" s="1"/>
      <c r="Z200" s="8"/>
      <c r="AA200" s="1"/>
      <c r="AB200" s="1"/>
      <c r="AC200" s="1"/>
      <c r="AD200" s="1"/>
      <c r="AE200" s="1"/>
      <c r="AF200" s="1"/>
      <c r="AG200" s="1"/>
      <c r="AH200" s="1" t="str">
        <f t="shared" si="1"/>
        <v/>
      </c>
      <c r="AI200" s="1"/>
    </row>
    <row r="201">
      <c r="A201" s="5">
        <f>IFERROR(__xludf.DUMMYFUNCTION("""COMPUTED_VALUE"""),45001.0)</f>
        <v>45001</v>
      </c>
      <c r="B201" s="14" t="str">
        <f>IFERROR(__xludf.DUMMYFUNCTION("""COMPUTED_VALUE"""),"Johan Alexander Escobar Arroyo ")</f>
        <v>Johan Alexander Escobar Arroyo </v>
      </c>
      <c r="C201" s="6" t="str">
        <f>IFERROR(__xludf.DUMMYFUNCTION("""COMPUTED_VALUE"""),"TULUÁ")</f>
        <v>TULUÁ</v>
      </c>
      <c r="D201" s="6" t="str">
        <f>IFERROR(__xludf.DUMMYFUNCTION("""COMPUTED_VALUE"""),"BOGOTÁ")</f>
        <v>BOGOTÁ</v>
      </c>
      <c r="E201" s="6" t="str">
        <f>IFERROR(__xludf.DUMMYFUNCTION("""COMPUTED_VALUE"""),"Evamazzita")</f>
        <v>Evamazzita</v>
      </c>
      <c r="F201" s="1" t="str">
        <f>IFERROR(__xludf.DUMMYFUNCTION("""COMPUTED_VALUE"""),"parque de Versalles  / apto 403 torre b / PARQUE DE VERSALLES")</f>
        <v>parque de Versalles  / apto 403 torre b / PARQUE DE VERSALLES</v>
      </c>
      <c r="G201" s="6" t="str">
        <f>IFERROR(__xludf.DUMMYFUNCTION("""COMPUTED_VALUE"""),"JULIANA CRUZ")</f>
        <v>JULIANA CRUZ</v>
      </c>
      <c r="H201" s="7">
        <f>IFERROR(__xludf.DUMMYFUNCTION("""COMPUTED_VALUE"""),8911.0)</f>
        <v>8911</v>
      </c>
      <c r="I201" s="7">
        <f>IFERROR(__xludf.DUMMYFUNCTION("""COMPUTED_VALUE"""),3.0)</f>
        <v>3</v>
      </c>
      <c r="J201" s="7">
        <f>IFERROR(__xludf.DUMMYFUNCTION("""COMPUTED_VALUE"""),20.0)</f>
        <v>20</v>
      </c>
      <c r="K201" s="7">
        <f>IFERROR(__xludf.DUMMYFUNCTION("""COMPUTED_VALUE"""),15.0)</f>
        <v>15</v>
      </c>
      <c r="L201" s="8">
        <f>IFERROR(__xludf.DUMMYFUNCTION("""COMPUTED_VALUE"""),3.165247891E9)</f>
        <v>3165247891</v>
      </c>
      <c r="M201" s="9" t="str">
        <f>IFERROR(__xludf.DUMMYFUNCTION("""COMPUTED_VALUE"""),"#REF!")</f>
        <v>#REF!</v>
      </c>
      <c r="N201" s="1"/>
      <c r="O201" s="3" t="str">
        <f>IFERROR(__xludf.DUMMYFUNCTION("""COMPUTED_VALUE"""),"")</f>
        <v/>
      </c>
      <c r="P201" s="9" t="b">
        <f>IFERROR(__xludf.DUMMYFUNCTION("""COMPUTED_VALUE"""),FALSE)</f>
        <v>0</v>
      </c>
      <c r="Q201" s="10" t="str">
        <f>IFERROR(__xludf.DUMMYFUNCTION("""COMPUTED_VALUE"""),"")</f>
        <v/>
      </c>
      <c r="R201" s="11" t="str">
        <f>IFERROR(__xludf.DUMMYFUNCTION("""COMPUTED_VALUE"""),"https://drive.google.com/file/d/1aKzQYtlsV1lEd-utw4ioIKT9nSS7xHVu/view?usp=drivesdk")</f>
        <v>https://drive.google.com/file/d/1aKzQYtlsV1lEd-utw4ioIKT9nSS7xHVu/view?usp=drivesdk</v>
      </c>
      <c r="S201" s="1" t="str">
        <f t="shared" si="2"/>
        <v/>
      </c>
      <c r="T201" s="1" t="str">
        <f t="shared" si="3"/>
        <v/>
      </c>
      <c r="U201" s="1" t="str">
        <f t="shared" si="4"/>
        <v/>
      </c>
      <c r="V201" s="1"/>
      <c r="W201" s="1"/>
      <c r="X201" s="1"/>
      <c r="Y201" s="1"/>
      <c r="Z201" s="8"/>
      <c r="AA201" s="1"/>
      <c r="AB201" s="1"/>
      <c r="AC201" s="1"/>
      <c r="AD201" s="1"/>
      <c r="AE201" s="1"/>
      <c r="AF201" s="1"/>
      <c r="AG201" s="1"/>
      <c r="AH201" s="1" t="str">
        <f t="shared" si="1"/>
        <v/>
      </c>
      <c r="AI201" s="1"/>
    </row>
    <row r="202">
      <c r="A202" s="1" t="str">
        <f>IFERROR(__xludf.DUMMYFUNCTION("""COMPUTED_VALUE"""),"")</f>
        <v/>
      </c>
      <c r="B202" s="1" t="str">
        <f>IFERROR(__xludf.DUMMYFUNCTION("""COMPUTED_VALUE"""),"")</f>
        <v/>
      </c>
      <c r="C202" s="1" t="str">
        <f>IFERROR(__xludf.DUMMYFUNCTION("""COMPUTED_VALUE"""),"")</f>
        <v/>
      </c>
      <c r="D202" s="1" t="str">
        <f>IFERROR(__xludf.DUMMYFUNCTION("""COMPUTED_VALUE"""),"")</f>
        <v/>
      </c>
      <c r="E202" s="1" t="str">
        <f>IFERROR(__xludf.DUMMYFUNCTION("""COMPUTED_VALUE"""),"")</f>
        <v/>
      </c>
      <c r="F202" s="1" t="str">
        <f>IFERROR(__xludf.DUMMYFUNCTION("""COMPUTED_VALUE"""),"")</f>
        <v/>
      </c>
      <c r="G202" s="1" t="str">
        <f>IFERROR(__xludf.DUMMYFUNCTION("""COMPUTED_VALUE"""),"")</f>
        <v/>
      </c>
      <c r="H202" s="1" t="str">
        <f>IFERROR(__xludf.DUMMYFUNCTION("""COMPUTED_VALUE"""),"")</f>
        <v/>
      </c>
      <c r="I202" s="1" t="str">
        <f>IFERROR(__xludf.DUMMYFUNCTION("""COMPUTED_VALUE"""),"")</f>
        <v/>
      </c>
      <c r="J202" s="1" t="str">
        <f>IFERROR(__xludf.DUMMYFUNCTION("""COMPUTED_VALUE"""),"")</f>
        <v/>
      </c>
      <c r="K202" s="1" t="str">
        <f>IFERROR(__xludf.DUMMYFUNCTION("""COMPUTED_VALUE"""),"")</f>
        <v/>
      </c>
      <c r="L202" s="1" t="str">
        <f>IFERROR(__xludf.DUMMYFUNCTION("""COMPUTED_VALUE"""),"")</f>
        <v/>
      </c>
      <c r="M202" s="1" t="str">
        <f>IFERROR(__xludf.DUMMYFUNCTION("""COMPUTED_VALUE"""),"")</f>
        <v/>
      </c>
      <c r="N202" s="1" t="str">
        <f>IFERROR(__xludf.DUMMYFUNCTION("""COMPUTED_VALUE"""),"")</f>
        <v/>
      </c>
      <c r="O202" s="1" t="str">
        <f>IFERROR(__xludf.DUMMYFUNCTION("""COMPUTED_VALUE"""),"")</f>
        <v/>
      </c>
      <c r="P202" s="1" t="str">
        <f>IFERROR(__xludf.DUMMYFUNCTION("""COMPUTED_VALUE"""),"")</f>
        <v/>
      </c>
      <c r="Q202" s="1" t="str">
        <f>IFERROR(__xludf.DUMMYFUNCTION("""COMPUTED_VALUE"""),"")</f>
        <v/>
      </c>
      <c r="R202" s="1" t="str">
        <f>IFERROR(__xludf.DUMMYFUNCTION("""COMPUTED_VALUE"""),"")</f>
        <v/>
      </c>
      <c r="S202" s="1" t="str">
        <f t="shared" si="2"/>
        <v/>
      </c>
      <c r="T202" s="1" t="str">
        <f t="shared" si="3"/>
        <v/>
      </c>
      <c r="U202" s="1" t="str">
        <f t="shared" si="4"/>
        <v/>
      </c>
      <c r="V202" s="1"/>
      <c r="W202" s="1"/>
      <c r="X202" s="1"/>
      <c r="Y202" s="1"/>
      <c r="Z202" s="8"/>
      <c r="AA202" s="1"/>
      <c r="AB202" s="1"/>
      <c r="AC202" s="1"/>
      <c r="AD202" s="1"/>
      <c r="AE202" s="1"/>
      <c r="AF202" s="1"/>
      <c r="AG202" s="1"/>
      <c r="AH202" s="1" t="str">
        <f t="shared" si="1"/>
        <v/>
      </c>
      <c r="AI202" s="1"/>
    </row>
    <row r="203">
      <c r="A203" s="5">
        <f>IFERROR(__xludf.DUMMYFUNCTION("""COMPUTED_VALUE"""),45001.0)</f>
        <v>45001</v>
      </c>
      <c r="B203" s="14" t="str">
        <f>IFERROR(__xludf.DUMMYFUNCTION("""COMPUTED_VALUE"""),"Julian Calderon Rodriguez ")</f>
        <v>Julian Calderon Rodriguez </v>
      </c>
      <c r="C203" s="6" t="str">
        <f>IFERROR(__xludf.DUMMYFUNCTION("""COMPUTED_VALUE"""),"NEIVA")</f>
        <v>NEIVA</v>
      </c>
      <c r="D203" s="6" t="str">
        <f>IFERROR(__xludf.DUMMYFUNCTION("""COMPUTED_VALUE"""),"BOGOTÁ")</f>
        <v>BOGOTÁ</v>
      </c>
      <c r="E203" s="6" t="str">
        <f>IFERROR(__xludf.DUMMYFUNCTION("""COMPUTED_VALUE"""),"Evamazzita")</f>
        <v>Evamazzita</v>
      </c>
      <c r="F203" s="1" t="str">
        <f>IFERROR(__xludf.DUMMYFUNCTION("""COMPUTED_VALUE"""),"Calle 58b # 22-55  / N/A / San Valentín del norte")</f>
        <v>Calle 58b # 22-55  / N/A / San Valentín del norte</v>
      </c>
      <c r="G203" s="6" t="str">
        <f>IFERROR(__xludf.DUMMYFUNCTION("""COMPUTED_VALUE"""),"ANGIE KATHERINE AVILEZ")</f>
        <v>ANGIE KATHERINE AVILEZ</v>
      </c>
      <c r="H203" s="7">
        <f>IFERROR(__xludf.DUMMYFUNCTION("""COMPUTED_VALUE"""),8901.0)</f>
        <v>8901</v>
      </c>
      <c r="I203" s="7">
        <f>IFERROR(__xludf.DUMMYFUNCTION("""COMPUTED_VALUE"""),3.0)</f>
        <v>3</v>
      </c>
      <c r="J203" s="7">
        <f>IFERROR(__xludf.DUMMYFUNCTION("""COMPUTED_VALUE"""),20.0)</f>
        <v>20</v>
      </c>
      <c r="K203" s="7">
        <f>IFERROR(__xludf.DUMMYFUNCTION("""COMPUTED_VALUE"""),15.0)</f>
        <v>15</v>
      </c>
      <c r="L203" s="8">
        <f>IFERROR(__xludf.DUMMYFUNCTION("""COMPUTED_VALUE"""),3.046790541E9)</f>
        <v>3046790541</v>
      </c>
      <c r="M203" s="9" t="str">
        <f>IFERROR(__xludf.DUMMYFUNCTION("""COMPUTED_VALUE"""),"#REF!")</f>
        <v>#REF!</v>
      </c>
      <c r="N203" s="1"/>
      <c r="O203" s="3" t="str">
        <f>IFERROR(__xludf.DUMMYFUNCTION("""COMPUTED_VALUE"""),"")</f>
        <v/>
      </c>
      <c r="P203" s="9" t="b">
        <f>IFERROR(__xludf.DUMMYFUNCTION("""COMPUTED_VALUE"""),TRUE)</f>
        <v>1</v>
      </c>
      <c r="Q203" s="13">
        <f>IFERROR(__xludf.DUMMYFUNCTION("""COMPUTED_VALUE"""),45001.472291412036)</f>
        <v>45001.47229</v>
      </c>
      <c r="R203" s="12" t="str">
        <f>IFERROR(__xludf.DUMMYFUNCTION("""COMPUTED_VALUE"""),"")</f>
        <v/>
      </c>
      <c r="S203" s="1" t="str">
        <f t="shared" si="2"/>
        <v/>
      </c>
      <c r="T203" s="1" t="str">
        <f t="shared" si="3"/>
        <v/>
      </c>
      <c r="U203" s="1" t="str">
        <f t="shared" si="4"/>
        <v/>
      </c>
      <c r="V203" s="1"/>
      <c r="W203" s="1"/>
      <c r="X203" s="1"/>
      <c r="Y203" s="1"/>
      <c r="Z203" s="8"/>
      <c r="AA203" s="1"/>
      <c r="AB203" s="1"/>
      <c r="AC203" s="1"/>
      <c r="AD203" s="1"/>
      <c r="AE203" s="1"/>
      <c r="AF203" s="1"/>
      <c r="AG203" s="1"/>
      <c r="AH203" s="1" t="str">
        <f t="shared" si="1"/>
        <v/>
      </c>
      <c r="AI203" s="1"/>
    </row>
    <row r="204">
      <c r="A204" s="5">
        <f>IFERROR(__xludf.DUMMYFUNCTION("""COMPUTED_VALUE"""),45001.0)</f>
        <v>45001</v>
      </c>
      <c r="B204" s="14" t="str">
        <f>IFERROR(__xludf.DUMMYFUNCTION("""COMPUTED_VALUE"""),"Julian Calderon Rodriguez ")</f>
        <v>Julian Calderon Rodriguez </v>
      </c>
      <c r="C204" s="6" t="str">
        <f>IFERROR(__xludf.DUMMYFUNCTION("""COMPUTED_VALUE"""),"VILLAVICENCIO")</f>
        <v>VILLAVICENCIO</v>
      </c>
      <c r="D204" s="6" t="str">
        <f>IFERROR(__xludf.DUMMYFUNCTION("""COMPUTED_VALUE"""),"BOGOTÁ")</f>
        <v>BOGOTÁ</v>
      </c>
      <c r="E204" s="6" t="str">
        <f>IFERROR(__xludf.DUMMYFUNCTION("""COMPUTED_VALUE"""),"Asociacion Agropecuaria Juana Maria")</f>
        <v>Asociacion Agropecuaria Juana Maria</v>
      </c>
      <c r="F204" s="1" t="str">
        <f>IFERROR(__xludf.DUMMYFUNCTION("""COMPUTED_VALUE"""),"Cra 19 # 2A -61 Condominio Portal del Molino Manzana A Casa 4a Barrio Hacaritama")</f>
        <v>Cra 19 # 2A -61 Condominio Portal del Molino Manzana A Casa 4a Barrio Hacaritama</v>
      </c>
      <c r="G204" s="6" t="str">
        <f>IFERROR(__xludf.DUMMYFUNCTION("""COMPUTED_VALUE"""),"Ludy Elena Guatibonza Rengifo")</f>
        <v>Ludy Elena Guatibonza Rengifo</v>
      </c>
      <c r="H204" s="7">
        <f>IFERROR(__xludf.DUMMYFUNCTION("""COMPUTED_VALUE"""),8791.0)</f>
        <v>8791</v>
      </c>
      <c r="I204" s="7">
        <f>IFERROR(__xludf.DUMMYFUNCTION("""COMPUTED_VALUE"""),25.0)</f>
        <v>25</v>
      </c>
      <c r="J204" s="7">
        <f>IFERROR(__xludf.DUMMYFUNCTION("""COMPUTED_VALUE"""),18.0)</f>
        <v>18</v>
      </c>
      <c r="K204" s="7">
        <f>IFERROR(__xludf.DUMMYFUNCTION("""COMPUTED_VALUE"""),3.0)</f>
        <v>3</v>
      </c>
      <c r="L204" s="8">
        <f>IFERROR(__xludf.DUMMYFUNCTION("""COMPUTED_VALUE"""),3.112379695E9)</f>
        <v>3112379695</v>
      </c>
      <c r="M204" s="9" t="str">
        <f>IFERROR(__xludf.DUMMYFUNCTION("""COMPUTED_VALUE"""),"#REF!")</f>
        <v>#REF!</v>
      </c>
      <c r="N204" s="1"/>
      <c r="O204" s="3" t="str">
        <f>IFERROR(__xludf.DUMMYFUNCTION("""COMPUTED_VALUE"""),"")</f>
        <v/>
      </c>
      <c r="P204" s="9" t="b">
        <f>IFERROR(__xludf.DUMMYFUNCTION("""COMPUTED_VALUE"""),TRUE)</f>
        <v>1</v>
      </c>
      <c r="Q204" s="13">
        <f>IFERROR(__xludf.DUMMYFUNCTION("""COMPUTED_VALUE"""),45001.69959568287)</f>
        <v>45001.6996</v>
      </c>
      <c r="R204" s="12" t="str">
        <f>IFERROR(__xludf.DUMMYFUNCTION("""COMPUTED_VALUE"""),"")</f>
        <v/>
      </c>
      <c r="S204" s="1" t="str">
        <f t="shared" si="2"/>
        <v/>
      </c>
      <c r="T204" s="1" t="str">
        <f t="shared" si="3"/>
        <v/>
      </c>
      <c r="U204" s="1" t="str">
        <f t="shared" si="4"/>
        <v/>
      </c>
      <c r="V204" s="1"/>
      <c r="W204" s="1"/>
      <c r="X204" s="1"/>
      <c r="Y204" s="1"/>
      <c r="Z204" s="8"/>
      <c r="AA204" s="1"/>
      <c r="AB204" s="1"/>
      <c r="AC204" s="1"/>
      <c r="AD204" s="1"/>
      <c r="AE204" s="1"/>
      <c r="AF204" s="1"/>
      <c r="AG204" s="1"/>
      <c r="AH204" s="1" t="str">
        <f t="shared" si="1"/>
        <v/>
      </c>
      <c r="AI204" s="1"/>
    </row>
    <row r="205">
      <c r="A205" s="5">
        <f>IFERROR(__xludf.DUMMYFUNCTION("""COMPUTED_VALUE"""),45001.0)</f>
        <v>45001</v>
      </c>
      <c r="B205" s="14" t="str">
        <f>IFERROR(__xludf.DUMMYFUNCTION("""COMPUTED_VALUE"""),"Julian Calderon Rodriguez ")</f>
        <v>Julian Calderon Rodriguez </v>
      </c>
      <c r="C205" s="6" t="str">
        <f>IFERROR(__xludf.DUMMYFUNCTION("""COMPUTED_VALUE"""),"VILLAVICENCIO")</f>
        <v>VILLAVICENCIO</v>
      </c>
      <c r="D205" s="6" t="str">
        <f>IFERROR(__xludf.DUMMYFUNCTION("""COMPUTED_VALUE"""),"BOGOTÁ")</f>
        <v>BOGOTÁ</v>
      </c>
      <c r="E205" s="6" t="str">
        <f>IFERROR(__xludf.DUMMYFUNCTION("""COMPUTED_VALUE"""),"Evamazzita")</f>
        <v>Evamazzita</v>
      </c>
      <c r="F205" s="1" t="str">
        <f>IFERROR(__xludf.DUMMYFUNCTION("""COMPUTED_VALUE"""),"Cra 19 D # 22-15  / N/A / Barrio urbanización Macarena")</f>
        <v>Cra 19 D # 22-15  / N/A / Barrio urbanización Macarena</v>
      </c>
      <c r="G205" s="6" t="str">
        <f>IFERROR(__xludf.DUMMYFUNCTION("""COMPUTED_VALUE"""),"MARIA SARMIENTO")</f>
        <v>MARIA SARMIENTO</v>
      </c>
      <c r="H205" s="7">
        <f>IFERROR(__xludf.DUMMYFUNCTION("""COMPUTED_VALUE"""),8899.0)</f>
        <v>8899</v>
      </c>
      <c r="I205" s="7">
        <f>IFERROR(__xludf.DUMMYFUNCTION("""COMPUTED_VALUE"""),10.0)</f>
        <v>10</v>
      </c>
      <c r="J205" s="7">
        <f>IFERROR(__xludf.DUMMYFUNCTION("""COMPUTED_VALUE"""),18.0)</f>
        <v>18</v>
      </c>
      <c r="K205" s="7">
        <f>IFERROR(__xludf.DUMMYFUNCTION("""COMPUTED_VALUE"""),22.0)</f>
        <v>22</v>
      </c>
      <c r="L205" s="8">
        <f>IFERROR(__xludf.DUMMYFUNCTION("""COMPUTED_VALUE"""),3.173537967E9)</f>
        <v>3173537967</v>
      </c>
      <c r="M205" s="9" t="str">
        <f>IFERROR(__xludf.DUMMYFUNCTION("""COMPUTED_VALUE"""),"#REF!")</f>
        <v>#REF!</v>
      </c>
      <c r="N205" s="1"/>
      <c r="O205" s="3" t="str">
        <f>IFERROR(__xludf.DUMMYFUNCTION("""COMPUTED_VALUE"""),"")</f>
        <v/>
      </c>
      <c r="P205" s="9" t="b">
        <f>IFERROR(__xludf.DUMMYFUNCTION("""COMPUTED_VALUE"""),TRUE)</f>
        <v>1</v>
      </c>
      <c r="Q205" s="13">
        <f>IFERROR(__xludf.DUMMYFUNCTION("""COMPUTED_VALUE"""),45001.504153622685)</f>
        <v>45001.50415</v>
      </c>
      <c r="R205" s="12" t="str">
        <f>IFERROR(__xludf.DUMMYFUNCTION("""COMPUTED_VALUE"""),"")</f>
        <v/>
      </c>
      <c r="S205" s="1" t="str">
        <f t="shared" si="2"/>
        <v/>
      </c>
      <c r="T205" s="1" t="str">
        <f t="shared" si="3"/>
        <v/>
      </c>
      <c r="U205" s="1" t="str">
        <f t="shared" si="4"/>
        <v/>
      </c>
      <c r="V205" s="1"/>
      <c r="W205" s="1"/>
      <c r="X205" s="1"/>
      <c r="Y205" s="1"/>
      <c r="Z205" s="8"/>
      <c r="AA205" s="1"/>
      <c r="AB205" s="1"/>
      <c r="AC205" s="1"/>
      <c r="AD205" s="1"/>
      <c r="AE205" s="1"/>
      <c r="AF205" s="1"/>
      <c r="AG205" s="1"/>
      <c r="AH205" s="1" t="str">
        <f t="shared" si="1"/>
        <v/>
      </c>
      <c r="AI205" s="1"/>
    </row>
    <row r="206">
      <c r="A206" s="5">
        <f>IFERROR(__xludf.DUMMYFUNCTION("""COMPUTED_VALUE"""),45001.0)</f>
        <v>45001</v>
      </c>
      <c r="B206" s="14" t="str">
        <f>IFERROR(__xludf.DUMMYFUNCTION("""COMPUTED_VALUE"""),"Julian Calderon Rodriguez ")</f>
        <v>Julian Calderon Rodriguez </v>
      </c>
      <c r="C206" s="6" t="str">
        <f>IFERROR(__xludf.DUMMYFUNCTION("""COMPUTED_VALUE"""),"VILLAVICENCIO")</f>
        <v>VILLAVICENCIO</v>
      </c>
      <c r="D206" s="6" t="str">
        <f>IFERROR(__xludf.DUMMYFUNCTION("""COMPUTED_VALUE"""),"BOGOTÁ")</f>
        <v>BOGOTÁ</v>
      </c>
      <c r="E206" s="6" t="str">
        <f>IFERROR(__xludf.DUMMYFUNCTION("""COMPUTED_VALUE"""),"Evamazzita")</f>
        <v>Evamazzita</v>
      </c>
      <c r="F206" s="1" t="str">
        <f>IFERROR(__xludf.DUMMYFUNCTION("""COMPUTED_VALUE"""),"Cra 34a No.34a 86   / Barrio Barzal   / Casa de reja blanca por favor timbrar")</f>
        <v>Cra 34a No.34a 86   / Barrio Barzal   / Casa de reja blanca por favor timbrar</v>
      </c>
      <c r="G206" s="6" t="str">
        <f>IFERROR(__xludf.DUMMYFUNCTION("""COMPUTED_VALUE"""),"ANGELA MARIA RUEDA")</f>
        <v>ANGELA MARIA RUEDA</v>
      </c>
      <c r="H206" s="7">
        <f>IFERROR(__xludf.DUMMYFUNCTION("""COMPUTED_VALUE"""),8898.0)</f>
        <v>8898</v>
      </c>
      <c r="I206" s="7">
        <f>IFERROR(__xludf.DUMMYFUNCTION("""COMPUTED_VALUE"""),10.0)</f>
        <v>10</v>
      </c>
      <c r="J206" s="7">
        <f>IFERROR(__xludf.DUMMYFUNCTION("""COMPUTED_VALUE"""),18.0)</f>
        <v>18</v>
      </c>
      <c r="K206" s="7">
        <f>IFERROR(__xludf.DUMMYFUNCTION("""COMPUTED_VALUE"""),22.0)</f>
        <v>22</v>
      </c>
      <c r="L206" s="8">
        <f>IFERROR(__xludf.DUMMYFUNCTION("""COMPUTED_VALUE"""),3.184017714E9)</f>
        <v>3184017714</v>
      </c>
      <c r="M206" s="9" t="str">
        <f>IFERROR(__xludf.DUMMYFUNCTION("""COMPUTED_VALUE"""),"#REF!")</f>
        <v>#REF!</v>
      </c>
      <c r="N206" s="1"/>
      <c r="O206" s="3" t="str">
        <f>IFERROR(__xludf.DUMMYFUNCTION("""COMPUTED_VALUE"""),"")</f>
        <v/>
      </c>
      <c r="P206" s="1"/>
      <c r="Q206" s="10" t="str">
        <f>IFERROR(__xludf.DUMMYFUNCTION("""COMPUTED_VALUE"""),"")</f>
        <v/>
      </c>
      <c r="R206" s="12" t="str">
        <f>IFERROR(__xludf.DUMMYFUNCTION("""COMPUTED_VALUE"""),"")</f>
        <v/>
      </c>
      <c r="S206" s="1" t="str">
        <f t="shared" si="2"/>
        <v/>
      </c>
      <c r="T206" s="1" t="str">
        <f t="shared" si="3"/>
        <v/>
      </c>
      <c r="U206" s="1" t="str">
        <f t="shared" si="4"/>
        <v/>
      </c>
      <c r="V206" s="1"/>
      <c r="W206" s="1"/>
      <c r="X206" s="1"/>
      <c r="Y206" s="1"/>
      <c r="Z206" s="8"/>
      <c r="AA206" s="1"/>
      <c r="AB206" s="1"/>
      <c r="AC206" s="1"/>
      <c r="AD206" s="1"/>
      <c r="AE206" s="1"/>
      <c r="AF206" s="1"/>
      <c r="AG206" s="1"/>
      <c r="AH206" s="1" t="str">
        <f t="shared" si="1"/>
        <v/>
      </c>
      <c r="AI206" s="1"/>
    </row>
    <row r="207">
      <c r="A207" s="1" t="str">
        <f>IFERROR(__xludf.DUMMYFUNCTION("""COMPUTED_VALUE"""),"")</f>
        <v/>
      </c>
      <c r="B207" s="1" t="str">
        <f>IFERROR(__xludf.DUMMYFUNCTION("""COMPUTED_VALUE"""),"")</f>
        <v/>
      </c>
      <c r="C207" s="1" t="str">
        <f>IFERROR(__xludf.DUMMYFUNCTION("""COMPUTED_VALUE"""),"")</f>
        <v/>
      </c>
      <c r="D207" s="1" t="str">
        <f>IFERROR(__xludf.DUMMYFUNCTION("""COMPUTED_VALUE"""),"")</f>
        <v/>
      </c>
      <c r="E207" s="1" t="str">
        <f>IFERROR(__xludf.DUMMYFUNCTION("""COMPUTED_VALUE"""),"")</f>
        <v/>
      </c>
      <c r="F207" s="1" t="str">
        <f>IFERROR(__xludf.DUMMYFUNCTION("""COMPUTED_VALUE"""),"")</f>
        <v/>
      </c>
      <c r="G207" s="1" t="str">
        <f>IFERROR(__xludf.DUMMYFUNCTION("""COMPUTED_VALUE"""),"")</f>
        <v/>
      </c>
      <c r="H207" s="1" t="str">
        <f>IFERROR(__xludf.DUMMYFUNCTION("""COMPUTED_VALUE"""),"")</f>
        <v/>
      </c>
      <c r="I207" s="1" t="str">
        <f>IFERROR(__xludf.DUMMYFUNCTION("""COMPUTED_VALUE"""),"")</f>
        <v/>
      </c>
      <c r="J207" s="1" t="str">
        <f>IFERROR(__xludf.DUMMYFUNCTION("""COMPUTED_VALUE"""),"")</f>
        <v/>
      </c>
      <c r="K207" s="1" t="str">
        <f>IFERROR(__xludf.DUMMYFUNCTION("""COMPUTED_VALUE"""),"")</f>
        <v/>
      </c>
      <c r="L207" s="1" t="str">
        <f>IFERROR(__xludf.DUMMYFUNCTION("""COMPUTED_VALUE"""),"")</f>
        <v/>
      </c>
      <c r="M207" s="1" t="str">
        <f>IFERROR(__xludf.DUMMYFUNCTION("""COMPUTED_VALUE"""),"")</f>
        <v/>
      </c>
      <c r="N207" s="1" t="str">
        <f>IFERROR(__xludf.DUMMYFUNCTION("""COMPUTED_VALUE"""),"")</f>
        <v/>
      </c>
      <c r="O207" s="1" t="str">
        <f>IFERROR(__xludf.DUMMYFUNCTION("""COMPUTED_VALUE"""),"")</f>
        <v/>
      </c>
      <c r="P207" s="1" t="str">
        <f>IFERROR(__xludf.DUMMYFUNCTION("""COMPUTED_VALUE"""),"")</f>
        <v/>
      </c>
      <c r="Q207" s="1" t="str">
        <f>IFERROR(__xludf.DUMMYFUNCTION("""COMPUTED_VALUE"""),"")</f>
        <v/>
      </c>
      <c r="R207" s="1" t="str">
        <f>IFERROR(__xludf.DUMMYFUNCTION("""COMPUTED_VALUE"""),"")</f>
        <v/>
      </c>
      <c r="S207" s="1" t="str">
        <f t="shared" si="2"/>
        <v/>
      </c>
      <c r="T207" s="1" t="str">
        <f t="shared" si="3"/>
        <v/>
      </c>
      <c r="U207" s="1" t="str">
        <f t="shared" si="4"/>
        <v/>
      </c>
      <c r="V207" s="1"/>
      <c r="W207" s="1"/>
      <c r="X207" s="1"/>
      <c r="Y207" s="1"/>
      <c r="Z207" s="8"/>
      <c r="AA207" s="1"/>
      <c r="AB207" s="1"/>
      <c r="AC207" s="1"/>
      <c r="AD207" s="1"/>
      <c r="AE207" s="1"/>
      <c r="AF207" s="1"/>
      <c r="AG207" s="1"/>
      <c r="AH207" s="1" t="str">
        <f t="shared" si="1"/>
        <v/>
      </c>
      <c r="AI207" s="1"/>
    </row>
    <row r="208">
      <c r="A208" s="5">
        <f>IFERROR(__xludf.DUMMYFUNCTION("""COMPUTED_VALUE"""),45002.0)</f>
        <v>45002</v>
      </c>
      <c r="B208" s="1"/>
      <c r="C208" s="6" t="str">
        <f>IFERROR(__xludf.DUMMYFUNCTION("""COMPUTED_VALUE"""),"BARRANQUILLA")</f>
        <v>BARRANQUILLA</v>
      </c>
      <c r="D208" s="6" t="str">
        <f>IFERROR(__xludf.DUMMYFUNCTION("""COMPUTED_VALUE"""),"BOGOTÁ")</f>
        <v>BOGOTÁ</v>
      </c>
      <c r="E208" s="6" t="str">
        <f>IFERROR(__xludf.DUMMYFUNCTION("""COMPUTED_VALUE"""),"Evamazzita")</f>
        <v>Evamazzita</v>
      </c>
      <c r="F208" s="1" t="str">
        <f>IFERROR(__xludf.DUMMYFUNCTION("""COMPUTED_VALUE"""),"CALLE 77 # 21 B - 35 / N/A / BARRIO NUEVA COLOMBIA")</f>
        <v>CALLE 77 # 21 B - 35 / N/A / BARRIO NUEVA COLOMBIA</v>
      </c>
      <c r="G208" s="6" t="str">
        <f>IFERROR(__xludf.DUMMYFUNCTION("""COMPUTED_VALUE"""),"MARYI FONTALVO HERNANDEZ")</f>
        <v>MARYI FONTALVO HERNANDEZ</v>
      </c>
      <c r="H208" s="7">
        <f>IFERROR(__xludf.DUMMYFUNCTION("""COMPUTED_VALUE"""),8914.0)</f>
        <v>8914</v>
      </c>
      <c r="I208" s="7">
        <f>IFERROR(__xludf.DUMMYFUNCTION("""COMPUTED_VALUE"""),6.0)</f>
        <v>6</v>
      </c>
      <c r="J208" s="7">
        <f>IFERROR(__xludf.DUMMYFUNCTION("""COMPUTED_VALUE"""),22.0)</f>
        <v>22</v>
      </c>
      <c r="K208" s="7">
        <f>IFERROR(__xludf.DUMMYFUNCTION("""COMPUTED_VALUE"""),14.0)</f>
        <v>14</v>
      </c>
      <c r="L208" s="8">
        <f>IFERROR(__xludf.DUMMYFUNCTION("""COMPUTED_VALUE"""),3.222855168E9)</f>
        <v>3222855168</v>
      </c>
      <c r="M208" s="9" t="str">
        <f>IFERROR(__xludf.DUMMYFUNCTION("""COMPUTED_VALUE"""),"#REF!")</f>
        <v>#REF!</v>
      </c>
      <c r="N208" s="3" t="str">
        <f>IFERROR(__xludf.DUMMYFUNCTION("""COMPUTED_VALUE"""),"")</f>
        <v/>
      </c>
      <c r="O208" s="3" t="str">
        <f>IFERROR(__xludf.DUMMYFUNCTION("""COMPUTED_VALUE"""),"")</f>
        <v/>
      </c>
      <c r="P208" s="9" t="b">
        <f>IFERROR(__xludf.DUMMYFUNCTION("""COMPUTED_VALUE"""),FALSE)</f>
        <v>0</v>
      </c>
      <c r="Q208" s="10" t="str">
        <f>IFERROR(__xludf.DUMMYFUNCTION("""COMPUTED_VALUE"""),"")</f>
        <v/>
      </c>
      <c r="R208" s="12" t="str">
        <f>IFERROR(__xludf.DUMMYFUNCTION("""COMPUTED_VALUE"""),"")</f>
        <v/>
      </c>
      <c r="S208" s="1" t="str">
        <f t="shared" si="2"/>
        <v/>
      </c>
      <c r="T208" s="1" t="str">
        <f t="shared" si="3"/>
        <v/>
      </c>
      <c r="U208" s="1" t="str">
        <f t="shared" si="4"/>
        <v/>
      </c>
      <c r="V208" s="1"/>
      <c r="W208" s="1"/>
      <c r="X208" s="1"/>
      <c r="Y208" s="1"/>
      <c r="Z208" s="8"/>
      <c r="AA208" s="1"/>
      <c r="AB208" s="1"/>
      <c r="AC208" s="1"/>
      <c r="AD208" s="1"/>
      <c r="AE208" s="1"/>
      <c r="AF208" s="1"/>
      <c r="AG208" s="1"/>
      <c r="AH208" s="1" t="str">
        <f t="shared" si="1"/>
        <v/>
      </c>
      <c r="AI208" s="1"/>
    </row>
    <row r="209">
      <c r="A209" s="5">
        <f>IFERROR(__xludf.DUMMYFUNCTION("""COMPUTED_VALUE"""),45002.0)</f>
        <v>45002</v>
      </c>
      <c r="B209" s="1"/>
      <c r="C209" s="6" t="str">
        <f>IFERROR(__xludf.DUMMYFUNCTION("""COMPUTED_VALUE"""),"BARRANQUILLA")</f>
        <v>BARRANQUILLA</v>
      </c>
      <c r="D209" s="6" t="str">
        <f>IFERROR(__xludf.DUMMYFUNCTION("""COMPUTED_VALUE"""),"BOGOTÁ")</f>
        <v>BOGOTÁ</v>
      </c>
      <c r="E209" s="6" t="str">
        <f>IFERROR(__xludf.DUMMYFUNCTION("""COMPUTED_VALUE"""),"Frambascolombia sas")</f>
        <v>Frambascolombia sas</v>
      </c>
      <c r="F209" s="1" t="str">
        <f>IFERROR(__xludf.DUMMYFUNCTION("""COMPUTED_VALUE"""),"Cra. 53 # 68-55")</f>
        <v>Cra. 53 # 68-55</v>
      </c>
      <c r="G209" s="6" t="str">
        <f>IFERROR(__xludf.DUMMYFUNCTION("""COMPUTED_VALUE"""),"PikNPak Barranquilla")</f>
        <v>PikNPak Barranquilla</v>
      </c>
      <c r="H209" s="7">
        <f>IFERROR(__xludf.DUMMYFUNCTION("""COMPUTED_VALUE"""),8583.0)</f>
        <v>8583</v>
      </c>
      <c r="I209" s="2" t="str">
        <f>IFERROR(__xludf.DUMMYFUNCTION("""COMPUTED_VALUE"""),"52.5")</f>
        <v>52.5</v>
      </c>
      <c r="J209" s="7">
        <f>IFERROR(__xludf.DUMMYFUNCTION("""COMPUTED_VALUE"""),45.0)</f>
        <v>45</v>
      </c>
      <c r="K209" s="7">
        <f>IFERROR(__xludf.DUMMYFUNCTION("""COMPUTED_VALUE"""),55.0)</f>
        <v>55</v>
      </c>
      <c r="L209" s="1" t="str">
        <f>IFERROR(__xludf.DUMMYFUNCTION("""COMPUTED_VALUE"""),"321 4229567")</f>
        <v>321 4229567</v>
      </c>
      <c r="M209" s="9" t="str">
        <f>IFERROR(__xludf.DUMMYFUNCTION("""COMPUTED_VALUE"""),"#REF!")</f>
        <v>#REF!</v>
      </c>
      <c r="N209" s="3" t="str">
        <f>IFERROR(__xludf.DUMMYFUNCTION("""COMPUTED_VALUE"""),"")</f>
        <v/>
      </c>
      <c r="O209" s="3" t="str">
        <f>IFERROR(__xludf.DUMMYFUNCTION("""COMPUTED_VALUE"""),"")</f>
        <v/>
      </c>
      <c r="P209" s="9" t="b">
        <f>IFERROR(__xludf.DUMMYFUNCTION("""COMPUTED_VALUE"""),FALSE)</f>
        <v>0</v>
      </c>
      <c r="Q209" s="10" t="str">
        <f>IFERROR(__xludf.DUMMYFUNCTION("""COMPUTED_VALUE"""),"")</f>
        <v/>
      </c>
      <c r="R209" s="12" t="str">
        <f>IFERROR(__xludf.DUMMYFUNCTION("""COMPUTED_VALUE"""),"")</f>
        <v/>
      </c>
      <c r="S209" s="1" t="str">
        <f t="shared" si="2"/>
        <v/>
      </c>
      <c r="T209" s="1" t="str">
        <f t="shared" si="3"/>
        <v/>
      </c>
      <c r="U209" s="1" t="str">
        <f t="shared" si="4"/>
        <v/>
      </c>
      <c r="V209" s="1"/>
      <c r="W209" s="1"/>
      <c r="X209" s="1"/>
      <c r="Y209" s="1"/>
      <c r="Z209" s="8"/>
      <c r="AA209" s="1"/>
      <c r="AB209" s="1"/>
      <c r="AC209" s="1"/>
      <c r="AD209" s="1"/>
      <c r="AE209" s="1"/>
      <c r="AF209" s="1"/>
      <c r="AG209" s="1"/>
      <c r="AH209" s="1" t="str">
        <f t="shared" si="1"/>
        <v/>
      </c>
      <c r="AI209" s="1"/>
    </row>
    <row r="210">
      <c r="A210" s="5">
        <f>IFERROR(__xludf.DUMMYFUNCTION("""COMPUTED_VALUE"""),45002.0)</f>
        <v>45002</v>
      </c>
      <c r="B210" s="1"/>
      <c r="C210" s="6" t="str">
        <f>IFERROR(__xludf.DUMMYFUNCTION("""COMPUTED_VALUE"""),"BOGOTÁ")</f>
        <v>BOGOTÁ</v>
      </c>
      <c r="D210" s="6" t="str">
        <f>IFERROR(__xludf.DUMMYFUNCTION("""COMPUTED_VALUE"""),"MEDELLÍN")</f>
        <v>MEDELLÍN</v>
      </c>
      <c r="E210" s="6" t="str">
        <f>IFERROR(__xludf.DUMMYFUNCTION("""COMPUTED_VALUE"""),"AREPAS LA MARY")</f>
        <v>AREPAS LA MARY</v>
      </c>
      <c r="F210" s="1" t="str">
        <f>IFERROR(__xludf.DUMMYFUNCTION("""COMPUTED_VALUE"""),"cra 8 a # 97 -07 / country octava")</f>
        <v>cra 8 a # 97 -07 / country octava</v>
      </c>
      <c r="G210" s="6" t="str">
        <f>IFERROR(__xludf.DUMMYFUNCTION("""COMPUTED_VALUE"""),"nicole gazzera")</f>
        <v>nicole gazzera</v>
      </c>
      <c r="H210" s="7">
        <f>IFERROR(__xludf.DUMMYFUNCTION("""COMPUTED_VALUE"""),8939.0)</f>
        <v>8939</v>
      </c>
      <c r="I210" s="7">
        <f>IFERROR(__xludf.DUMMYFUNCTION("""COMPUTED_VALUE"""),89.0)</f>
        <v>89</v>
      </c>
      <c r="J210" s="7">
        <f>IFERROR(__xludf.DUMMYFUNCTION("""COMPUTED_VALUE"""),1.0)</f>
        <v>1</v>
      </c>
      <c r="K210" s="7">
        <f>IFERROR(__xludf.DUMMYFUNCTION("""COMPUTED_VALUE"""),10.0)</f>
        <v>10</v>
      </c>
      <c r="L210" s="8">
        <f>IFERROR(__xludf.DUMMYFUNCTION("""COMPUTED_VALUE"""),3.136937631E9)</f>
        <v>3136937631</v>
      </c>
      <c r="M210" s="9" t="str">
        <f>IFERROR(__xludf.DUMMYFUNCTION("""COMPUTED_VALUE"""),"#REF!")</f>
        <v>#REF!</v>
      </c>
      <c r="N210" s="3" t="str">
        <f>IFERROR(__xludf.DUMMYFUNCTION("""COMPUTED_VALUE"""),"")</f>
        <v/>
      </c>
      <c r="O210" s="3" t="str">
        <f>IFERROR(__xludf.DUMMYFUNCTION("""COMPUTED_VALUE"""),"")</f>
        <v/>
      </c>
      <c r="P210" s="9" t="b">
        <f>IFERROR(__xludf.DUMMYFUNCTION("""COMPUTED_VALUE"""),FALSE)</f>
        <v>0</v>
      </c>
      <c r="Q210" s="10" t="str">
        <f>IFERROR(__xludf.DUMMYFUNCTION("""COMPUTED_VALUE"""),"")</f>
        <v/>
      </c>
      <c r="R210" s="11" t="str">
        <f>IFERROR(__xludf.DUMMYFUNCTION("""COMPUTED_VALUE"""),"https://drive.google.com/file/d/172Mhx3vePliGvFRs3fx1T5710I0E54p8/view?usp=drivesdk")</f>
        <v>https://drive.google.com/file/d/172Mhx3vePliGvFRs3fx1T5710I0E54p8/view?usp=drivesdk</v>
      </c>
      <c r="S210" s="1" t="str">
        <f t="shared" si="2"/>
        <v/>
      </c>
      <c r="T210" s="1" t="str">
        <f t="shared" si="3"/>
        <v/>
      </c>
      <c r="U210" s="1" t="str">
        <f t="shared" si="4"/>
        <v/>
      </c>
      <c r="V210" s="1"/>
      <c r="W210" s="1"/>
      <c r="X210" s="1"/>
      <c r="Y210" s="1"/>
      <c r="Z210" s="8"/>
      <c r="AA210" s="1"/>
      <c r="AB210" s="1"/>
      <c r="AC210" s="1"/>
      <c r="AD210" s="1"/>
      <c r="AE210" s="1"/>
      <c r="AF210" s="1"/>
      <c r="AG210" s="1"/>
      <c r="AH210" s="1" t="str">
        <f t="shared" si="1"/>
        <v/>
      </c>
      <c r="AI210" s="1"/>
    </row>
    <row r="211">
      <c r="A211" s="5">
        <f>IFERROR(__xludf.DUMMYFUNCTION("""COMPUTED_VALUE"""),45002.0)</f>
        <v>45002</v>
      </c>
      <c r="B211" s="1"/>
      <c r="C211" s="6" t="str">
        <f>IFERROR(__xludf.DUMMYFUNCTION("""COMPUTED_VALUE"""),"BOGOTÁ")</f>
        <v>BOGOTÁ</v>
      </c>
      <c r="D211" s="6" t="str">
        <f>IFERROR(__xludf.DUMMYFUNCTION("""COMPUTED_VALUE"""),"MEDELLÍN")</f>
        <v>MEDELLÍN</v>
      </c>
      <c r="E211" s="6" t="str">
        <f>IFERROR(__xludf.DUMMYFUNCTION("""COMPUTED_VALUE"""),"Magda")</f>
        <v>Magda</v>
      </c>
      <c r="F211" s="1" t="str">
        <f>IFERROR(__xludf.DUMMYFUNCTION("""COMPUTED_VALUE"""),"Calle 71a # 14a22/26 / Cocinas ocultas / San Felipe")</f>
        <v>Calle 71a # 14a22/26 / Cocinas ocultas / San Felipe</v>
      </c>
      <c r="G211" s="6" t="str">
        <f>IFERROR(__xludf.DUMMYFUNCTION("""COMPUTED_VALUE"""),"Andrés Hernández / Heladería Magda")</f>
        <v>Andrés Hernández / Heladería Magda</v>
      </c>
      <c r="H211" s="7">
        <f>IFERROR(__xludf.DUMMYFUNCTION("""COMPUTED_VALUE"""),8957.0)</f>
        <v>8957</v>
      </c>
      <c r="I211" s="7">
        <f>IFERROR(__xludf.DUMMYFUNCTION("""COMPUTED_VALUE"""),55.0)</f>
        <v>55</v>
      </c>
      <c r="J211" s="7">
        <f>IFERROR(__xludf.DUMMYFUNCTION("""COMPUTED_VALUE"""),45.0)</f>
        <v>45</v>
      </c>
      <c r="K211" s="7">
        <f>IFERROR(__xludf.DUMMYFUNCTION("""COMPUTED_VALUE"""),29.0)</f>
        <v>29</v>
      </c>
      <c r="L211" s="8">
        <f>IFERROR(__xludf.DUMMYFUNCTION("""COMPUTED_VALUE"""),3.163816691E9)</f>
        <v>3163816691</v>
      </c>
      <c r="M211" s="9" t="str">
        <f>IFERROR(__xludf.DUMMYFUNCTION("""COMPUTED_VALUE"""),"#REF!")</f>
        <v>#REF!</v>
      </c>
      <c r="N211" s="3" t="str">
        <f>IFERROR(__xludf.DUMMYFUNCTION("""COMPUTED_VALUE"""),"")</f>
        <v/>
      </c>
      <c r="O211" s="3" t="str">
        <f>IFERROR(__xludf.DUMMYFUNCTION("""COMPUTED_VALUE"""),"")</f>
        <v/>
      </c>
      <c r="P211" s="9" t="b">
        <f>IFERROR(__xludf.DUMMYFUNCTION("""COMPUTED_VALUE"""),FALSE)</f>
        <v>0</v>
      </c>
      <c r="Q211" s="10" t="str">
        <f>IFERROR(__xludf.DUMMYFUNCTION("""COMPUTED_VALUE"""),"")</f>
        <v/>
      </c>
      <c r="R211" s="12" t="str">
        <f>IFERROR(__xludf.DUMMYFUNCTION("""COMPUTED_VALUE"""),"")</f>
        <v/>
      </c>
      <c r="S211" s="1" t="str">
        <f t="shared" si="2"/>
        <v/>
      </c>
      <c r="T211" s="1" t="str">
        <f t="shared" si="3"/>
        <v/>
      </c>
      <c r="U211" s="1" t="str">
        <f t="shared" si="4"/>
        <v/>
      </c>
      <c r="V211" s="1"/>
      <c r="W211" s="1"/>
      <c r="X211" s="1"/>
      <c r="Y211" s="1"/>
      <c r="Z211" s="8"/>
      <c r="AA211" s="1"/>
      <c r="AB211" s="1"/>
      <c r="AC211" s="1"/>
      <c r="AD211" s="1"/>
      <c r="AE211" s="1"/>
      <c r="AF211" s="1"/>
      <c r="AG211" s="1"/>
      <c r="AH211" s="1" t="str">
        <f t="shared" si="1"/>
        <v/>
      </c>
      <c r="AI211" s="1"/>
    </row>
    <row r="212">
      <c r="A212" s="5">
        <f>IFERROR(__xludf.DUMMYFUNCTION("""COMPUTED_VALUE"""),45002.0)</f>
        <v>45002</v>
      </c>
      <c r="B212" s="1"/>
      <c r="C212" s="6" t="str">
        <f>IFERROR(__xludf.DUMMYFUNCTION("""COMPUTED_VALUE"""),"CÚCUTA")</f>
        <v>CÚCUTA</v>
      </c>
      <c r="D212" s="6" t="str">
        <f>IFERROR(__xludf.DUMMYFUNCTION("""COMPUTED_VALUE"""),"MEDELLÍN")</f>
        <v>MEDELLÍN</v>
      </c>
      <c r="E212" s="6" t="str">
        <f>IFERROR(__xludf.DUMMYFUNCTION("""COMPUTED_VALUE"""),"Rambla")</f>
        <v>Rambla</v>
      </c>
      <c r="F212" s="1" t="str">
        <f>IFERROR(__xludf.DUMMYFUNCTION("""COMPUTED_VALUE"""),"Av 11e # 1-35 av guaimaral barrio quinta oriental local 3 / na / na")</f>
        <v>Av 11e # 1-35 av guaimaral barrio quinta oriental local 3 / na / na</v>
      </c>
      <c r="G212" s="6" t="str">
        <f>IFERROR(__xludf.DUMMYFUNCTION("""COMPUTED_VALUE"""),"Vitalfit")</f>
        <v>Vitalfit</v>
      </c>
      <c r="H212" s="7">
        <f>IFERROR(__xludf.DUMMYFUNCTION("""COMPUTED_VALUE"""),8921.0)</f>
        <v>8921</v>
      </c>
      <c r="I212" s="7">
        <f>IFERROR(__xludf.DUMMYFUNCTION("""COMPUTED_VALUE"""),28.0)</f>
        <v>28</v>
      </c>
      <c r="J212" s="7">
        <f>IFERROR(__xludf.DUMMYFUNCTION("""COMPUTED_VALUE"""),31.0)</f>
        <v>31</v>
      </c>
      <c r="K212" s="7">
        <f>IFERROR(__xludf.DUMMYFUNCTION("""COMPUTED_VALUE"""),35.0)</f>
        <v>35</v>
      </c>
      <c r="L212" s="8">
        <f>IFERROR(__xludf.DUMMYFUNCTION("""COMPUTED_VALUE"""),3.01782078E9)</f>
        <v>3017820780</v>
      </c>
      <c r="M212" s="9" t="str">
        <f>IFERROR(__xludf.DUMMYFUNCTION("""COMPUTED_VALUE"""),"#REF!")</f>
        <v>#REF!</v>
      </c>
      <c r="N212" s="3" t="str">
        <f>IFERROR(__xludf.DUMMYFUNCTION("""COMPUTED_VALUE"""),"")</f>
        <v/>
      </c>
      <c r="O212" s="3" t="str">
        <f>IFERROR(__xludf.DUMMYFUNCTION("""COMPUTED_VALUE"""),"")</f>
        <v/>
      </c>
      <c r="P212" s="9" t="b">
        <f>IFERROR(__xludf.DUMMYFUNCTION("""COMPUTED_VALUE"""),FALSE)</f>
        <v>0</v>
      </c>
      <c r="Q212" s="10" t="str">
        <f>IFERROR(__xludf.DUMMYFUNCTION("""COMPUTED_VALUE"""),"")</f>
        <v/>
      </c>
      <c r="R212" s="12" t="str">
        <f>IFERROR(__xludf.DUMMYFUNCTION("""COMPUTED_VALUE"""),"")</f>
        <v/>
      </c>
      <c r="S212" s="1" t="str">
        <f t="shared" si="2"/>
        <v/>
      </c>
      <c r="T212" s="1" t="str">
        <f t="shared" si="3"/>
        <v/>
      </c>
      <c r="U212" s="1" t="str">
        <f t="shared" si="4"/>
        <v/>
      </c>
      <c r="V212" s="1"/>
      <c r="W212" s="1"/>
      <c r="X212" s="1"/>
      <c r="Y212" s="1"/>
      <c r="Z212" s="8"/>
      <c r="AA212" s="1"/>
      <c r="AB212" s="1"/>
      <c r="AC212" s="1"/>
      <c r="AD212" s="1"/>
      <c r="AE212" s="1"/>
      <c r="AF212" s="1"/>
      <c r="AG212" s="1"/>
      <c r="AH212" s="1" t="str">
        <f t="shared" si="1"/>
        <v/>
      </c>
      <c r="AI212" s="1"/>
    </row>
    <row r="213">
      <c r="A213" s="1" t="str">
        <f>IFERROR(__xludf.DUMMYFUNCTION("""COMPUTED_VALUE"""),"")</f>
        <v/>
      </c>
      <c r="B213" s="1" t="str">
        <f>IFERROR(__xludf.DUMMYFUNCTION("""COMPUTED_VALUE"""),"")</f>
        <v/>
      </c>
      <c r="C213" s="1" t="str">
        <f>IFERROR(__xludf.DUMMYFUNCTION("""COMPUTED_VALUE"""),"")</f>
        <v/>
      </c>
      <c r="D213" s="1" t="str">
        <f>IFERROR(__xludf.DUMMYFUNCTION("""COMPUTED_VALUE"""),"")</f>
        <v/>
      </c>
      <c r="E213" s="1" t="str">
        <f>IFERROR(__xludf.DUMMYFUNCTION("""COMPUTED_VALUE"""),"")</f>
        <v/>
      </c>
      <c r="F213" s="1" t="str">
        <f>IFERROR(__xludf.DUMMYFUNCTION("""COMPUTED_VALUE"""),"")</f>
        <v/>
      </c>
      <c r="G213" s="1" t="str">
        <f>IFERROR(__xludf.DUMMYFUNCTION("""COMPUTED_VALUE"""),"")</f>
        <v/>
      </c>
      <c r="H213" s="1" t="str">
        <f>IFERROR(__xludf.DUMMYFUNCTION("""COMPUTED_VALUE"""),"")</f>
        <v/>
      </c>
      <c r="I213" s="1" t="str">
        <f>IFERROR(__xludf.DUMMYFUNCTION("""COMPUTED_VALUE"""),"")</f>
        <v/>
      </c>
      <c r="J213" s="1" t="str">
        <f>IFERROR(__xludf.DUMMYFUNCTION("""COMPUTED_VALUE"""),"")</f>
        <v/>
      </c>
      <c r="K213" s="1" t="str">
        <f>IFERROR(__xludf.DUMMYFUNCTION("""COMPUTED_VALUE"""),"")</f>
        <v/>
      </c>
      <c r="L213" s="1" t="str">
        <f>IFERROR(__xludf.DUMMYFUNCTION("""COMPUTED_VALUE"""),"")</f>
        <v/>
      </c>
      <c r="M213" s="1" t="str">
        <f>IFERROR(__xludf.DUMMYFUNCTION("""COMPUTED_VALUE"""),"")</f>
        <v/>
      </c>
      <c r="N213" s="1" t="str">
        <f>IFERROR(__xludf.DUMMYFUNCTION("""COMPUTED_VALUE"""),"")</f>
        <v/>
      </c>
      <c r="O213" s="1" t="str">
        <f>IFERROR(__xludf.DUMMYFUNCTION("""COMPUTED_VALUE"""),"")</f>
        <v/>
      </c>
      <c r="P213" s="1" t="str">
        <f>IFERROR(__xludf.DUMMYFUNCTION("""COMPUTED_VALUE"""),"")</f>
        <v/>
      </c>
      <c r="Q213" s="1" t="str">
        <f>IFERROR(__xludf.DUMMYFUNCTION("""COMPUTED_VALUE"""),"")</f>
        <v/>
      </c>
      <c r="R213" s="1" t="str">
        <f>IFERROR(__xludf.DUMMYFUNCTION("""COMPUTED_VALUE"""),"")</f>
        <v/>
      </c>
      <c r="S213" s="1" t="str">
        <f t="shared" si="2"/>
        <v/>
      </c>
      <c r="T213" s="1" t="str">
        <f t="shared" si="3"/>
        <v/>
      </c>
      <c r="U213" s="1" t="str">
        <f t="shared" si="4"/>
        <v/>
      </c>
      <c r="V213" s="1"/>
      <c r="W213" s="1"/>
      <c r="X213" s="1"/>
      <c r="Y213" s="1"/>
      <c r="Z213" s="8"/>
      <c r="AA213" s="1"/>
      <c r="AB213" s="1"/>
      <c r="AC213" s="1"/>
      <c r="AD213" s="1"/>
      <c r="AE213" s="1"/>
      <c r="AF213" s="1"/>
      <c r="AG213" s="1"/>
      <c r="AH213" s="1" t="str">
        <f t="shared" si="1"/>
        <v/>
      </c>
      <c r="AI213" s="1"/>
    </row>
    <row r="214">
      <c r="A214" s="5">
        <f>IFERROR(__xludf.DUMMYFUNCTION("""COMPUTED_VALUE"""),45002.0)</f>
        <v>45002</v>
      </c>
      <c r="B214" s="14" t="str">
        <f>IFERROR(__xludf.DUMMYFUNCTION("""COMPUTED_VALUE"""),"Daniel José sandoval gonzalez")</f>
        <v>Daniel José sandoval gonzalez</v>
      </c>
      <c r="C214" s="6" t="str">
        <f>IFERROR(__xludf.DUMMYFUNCTION("""COMPUTED_VALUE"""),"BARRANQUILLA")</f>
        <v>BARRANQUILLA</v>
      </c>
      <c r="D214" s="6" t="str">
        <f>IFERROR(__xludf.DUMMYFUNCTION("""COMPUTED_VALUE"""),"BOGOTÁ")</f>
        <v>BOGOTÁ</v>
      </c>
      <c r="E214" s="6" t="str">
        <f>IFERROR(__xludf.DUMMYFUNCTION("""COMPUTED_VALUE"""),"Frambascolombia sas")</f>
        <v>Frambascolombia sas</v>
      </c>
      <c r="F214" s="1" t="str">
        <f>IFERROR(__xludf.DUMMYFUNCTION("""COMPUTED_VALUE"""),"Cra. 53 # 68-55")</f>
        <v>Cra. 53 # 68-55</v>
      </c>
      <c r="G214" s="6" t="str">
        <f>IFERROR(__xludf.DUMMYFUNCTION("""COMPUTED_VALUE"""),"PikNPak Barranquilla")</f>
        <v>PikNPak Barranquilla</v>
      </c>
      <c r="H214" s="7">
        <f>IFERROR(__xludf.DUMMYFUNCTION("""COMPUTED_VALUE"""),8855.0)</f>
        <v>8855</v>
      </c>
      <c r="I214" s="7">
        <f>IFERROR(__xludf.DUMMYFUNCTION("""COMPUTED_VALUE"""),11.0)</f>
        <v>11</v>
      </c>
      <c r="J214" s="7">
        <f>IFERROR(__xludf.DUMMYFUNCTION("""COMPUTED_VALUE"""),9.0)</f>
        <v>9</v>
      </c>
      <c r="K214" s="7">
        <f>IFERROR(__xludf.DUMMYFUNCTION("""COMPUTED_VALUE"""),9.0)</f>
        <v>9</v>
      </c>
      <c r="L214" s="1" t="str">
        <f>IFERROR(__xludf.DUMMYFUNCTION("""COMPUTED_VALUE"""),"321 4229567")</f>
        <v>321 4229567</v>
      </c>
      <c r="M214" s="9" t="str">
        <f>IFERROR(__xludf.DUMMYFUNCTION("""COMPUTED_VALUE"""),"#REF!")</f>
        <v>#REF!</v>
      </c>
      <c r="N214" s="1"/>
      <c r="O214" s="3" t="str">
        <f>IFERROR(__xludf.DUMMYFUNCTION("""COMPUTED_VALUE"""),"")</f>
        <v/>
      </c>
      <c r="P214" s="9" t="b">
        <f>IFERROR(__xludf.DUMMYFUNCTION("""COMPUTED_VALUE"""),FALSE)</f>
        <v>0</v>
      </c>
      <c r="Q214" s="10" t="str">
        <f>IFERROR(__xludf.DUMMYFUNCTION("""COMPUTED_VALUE"""),"")</f>
        <v/>
      </c>
      <c r="R214" s="12" t="str">
        <f>IFERROR(__xludf.DUMMYFUNCTION("""COMPUTED_VALUE"""),"")</f>
        <v/>
      </c>
      <c r="S214" s="1" t="str">
        <f t="shared" si="2"/>
        <v/>
      </c>
      <c r="T214" s="1" t="str">
        <f t="shared" si="3"/>
        <v/>
      </c>
      <c r="U214" s="1" t="str">
        <f t="shared" si="4"/>
        <v/>
      </c>
      <c r="V214" s="1"/>
      <c r="W214" s="1"/>
      <c r="X214" s="1"/>
      <c r="Y214" s="1"/>
      <c r="Z214" s="8"/>
      <c r="AA214" s="1"/>
      <c r="AB214" s="1"/>
      <c r="AC214" s="1"/>
      <c r="AD214" s="1"/>
      <c r="AE214" s="1"/>
      <c r="AF214" s="1"/>
      <c r="AG214" s="1"/>
      <c r="AH214" s="1" t="str">
        <f t="shared" si="1"/>
        <v/>
      </c>
      <c r="AI214" s="1"/>
    </row>
    <row r="215">
      <c r="A215" s="5">
        <f>IFERROR(__xludf.DUMMYFUNCTION("""COMPUTED_VALUE"""),45002.0)</f>
        <v>45002</v>
      </c>
      <c r="B215" s="14" t="str">
        <f>IFERROR(__xludf.DUMMYFUNCTION("""COMPUTED_VALUE"""),"Daniel José sandoval gonzalez")</f>
        <v>Daniel José sandoval gonzalez</v>
      </c>
      <c r="C215" s="6" t="str">
        <f>IFERROR(__xludf.DUMMYFUNCTION("""COMPUTED_VALUE"""),"BARRANQUILLA")</f>
        <v>BARRANQUILLA</v>
      </c>
      <c r="D215" s="6" t="str">
        <f>IFERROR(__xludf.DUMMYFUNCTION("""COMPUTED_VALUE"""),"BOGOTÁ")</f>
        <v>BOGOTÁ</v>
      </c>
      <c r="E215" s="6" t="str">
        <f>IFERROR(__xludf.DUMMYFUNCTION("""COMPUTED_VALUE"""),"MAI ALIMENTOS S.A.S")</f>
        <v>MAI ALIMENTOS S.A.S</v>
      </c>
      <c r="F215" s="1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215" s="6" t="str">
        <f>IFERROR(__xludf.DUMMYFUNCTION("""COMPUTED_VALUE"""),"Fithub Barranquilla")</f>
        <v>Fithub Barranquilla</v>
      </c>
      <c r="H215" s="7">
        <f>IFERROR(__xludf.DUMMYFUNCTION("""COMPUTED_VALUE"""),8762.0)</f>
        <v>8762</v>
      </c>
      <c r="I215" s="7">
        <f>IFERROR(__xludf.DUMMYFUNCTION("""COMPUTED_VALUE"""),35.0)</f>
        <v>35</v>
      </c>
      <c r="J215" s="7">
        <f>IFERROR(__xludf.DUMMYFUNCTION("""COMPUTED_VALUE"""),17.0)</f>
        <v>17</v>
      </c>
      <c r="K215" s="7">
        <f>IFERROR(__xludf.DUMMYFUNCTION("""COMPUTED_VALUE"""),13.0)</f>
        <v>13</v>
      </c>
      <c r="L215" s="1"/>
      <c r="M215" s="9" t="str">
        <f>IFERROR(__xludf.DUMMYFUNCTION("""COMPUTED_VALUE"""),"#REF!")</f>
        <v>#REF!</v>
      </c>
      <c r="N215" s="1"/>
      <c r="O215" s="3" t="str">
        <f>IFERROR(__xludf.DUMMYFUNCTION("""COMPUTED_VALUE"""),"")</f>
        <v/>
      </c>
      <c r="P215" s="9" t="b">
        <f>IFERROR(__xludf.DUMMYFUNCTION("""COMPUTED_VALUE"""),FALSE)</f>
        <v>0</v>
      </c>
      <c r="Q215" s="10" t="str">
        <f>IFERROR(__xludf.DUMMYFUNCTION("""COMPUTED_VALUE"""),"")</f>
        <v/>
      </c>
      <c r="R215" s="12" t="str">
        <f>IFERROR(__xludf.DUMMYFUNCTION("""COMPUTED_VALUE"""),"")</f>
        <v/>
      </c>
      <c r="S215" s="1" t="str">
        <f t="shared" si="2"/>
        <v/>
      </c>
      <c r="T215" s="1" t="str">
        <f t="shared" si="3"/>
        <v/>
      </c>
      <c r="U215" s="1" t="str">
        <f t="shared" si="4"/>
        <v/>
      </c>
      <c r="V215" s="1"/>
      <c r="W215" s="1"/>
      <c r="X215" s="1"/>
      <c r="Y215" s="1"/>
      <c r="Z215" s="8"/>
      <c r="AA215" s="1"/>
      <c r="AB215" s="1"/>
      <c r="AC215" s="1"/>
      <c r="AD215" s="1"/>
      <c r="AE215" s="1"/>
      <c r="AF215" s="1"/>
      <c r="AG215" s="1"/>
      <c r="AH215" s="1" t="str">
        <f t="shared" si="1"/>
        <v/>
      </c>
      <c r="AI215" s="1"/>
    </row>
    <row r="216">
      <c r="A216" s="5">
        <f>IFERROR(__xludf.DUMMYFUNCTION("""COMPUTED_VALUE"""),45002.0)</f>
        <v>45002</v>
      </c>
      <c r="B216" s="14" t="str">
        <f>IFERROR(__xludf.DUMMYFUNCTION("""COMPUTED_VALUE"""),"Daniel José sandoval gonzalez")</f>
        <v>Daniel José sandoval gonzalez</v>
      </c>
      <c r="C216" s="6" t="str">
        <f>IFERROR(__xludf.DUMMYFUNCTION("""COMPUTED_VALUE"""),"BARRANQUILLA")</f>
        <v>BARRANQUILLA</v>
      </c>
      <c r="D216" s="6" t="str">
        <f>IFERROR(__xludf.DUMMYFUNCTION("""COMPUTED_VALUE"""),"BOGOTÁ")</f>
        <v>BOGOTÁ</v>
      </c>
      <c r="E216" s="6" t="str">
        <f>IFERROR(__xludf.DUMMYFUNCTION("""COMPUTED_VALUE"""),"Top Spun")</f>
        <v>Top Spun</v>
      </c>
      <c r="F216" s="1" t="str">
        <f>IFERROR(__xludf.DUMMYFUNCTION("""COMPUTED_VALUE"""),"Carrera 58 # 86 - 85 /  Edificio Masseba, apto 302 / Barranquilla")</f>
        <v>Carrera 58 # 86 - 85 /  Edificio Masseba, apto 302 / Barranquilla</v>
      </c>
      <c r="G216" s="6" t="str">
        <f>IFERROR(__xludf.DUMMYFUNCTION("""COMPUTED_VALUE"""),"Melissa Osorio")</f>
        <v>Melissa Osorio</v>
      </c>
      <c r="H216" s="7">
        <f>IFERROR(__xludf.DUMMYFUNCTION("""COMPUTED_VALUE"""),8887.0)</f>
        <v>8887</v>
      </c>
      <c r="I216" s="7">
        <f>IFERROR(__xludf.DUMMYFUNCTION("""COMPUTED_VALUE"""),20.0)</f>
        <v>20</v>
      </c>
      <c r="J216" s="7">
        <f>IFERROR(__xludf.DUMMYFUNCTION("""COMPUTED_VALUE"""),10.0)</f>
        <v>10</v>
      </c>
      <c r="K216" s="7">
        <f>IFERROR(__xludf.DUMMYFUNCTION("""COMPUTED_VALUE"""),40.0)</f>
        <v>40</v>
      </c>
      <c r="L216" s="8">
        <f>IFERROR(__xludf.DUMMYFUNCTION("""COMPUTED_VALUE"""),3.002724552E9)</f>
        <v>3002724552</v>
      </c>
      <c r="M216" s="9" t="str">
        <f>IFERROR(__xludf.DUMMYFUNCTION("""COMPUTED_VALUE"""),"#REF!")</f>
        <v>#REF!</v>
      </c>
      <c r="N216" s="1"/>
      <c r="O216" s="3" t="str">
        <f>IFERROR(__xludf.DUMMYFUNCTION("""COMPUTED_VALUE"""),"")</f>
        <v/>
      </c>
      <c r="P216" s="9" t="b">
        <f>IFERROR(__xludf.DUMMYFUNCTION("""COMPUTED_VALUE"""),FALSE)</f>
        <v>0</v>
      </c>
      <c r="Q216" s="10" t="str">
        <f>IFERROR(__xludf.DUMMYFUNCTION("""COMPUTED_VALUE"""),"")</f>
        <v/>
      </c>
      <c r="R216" s="12" t="str">
        <f>IFERROR(__xludf.DUMMYFUNCTION("""COMPUTED_VALUE"""),"")</f>
        <v/>
      </c>
      <c r="S216" s="1" t="str">
        <f t="shared" si="2"/>
        <v/>
      </c>
      <c r="T216" s="1" t="str">
        <f t="shared" si="3"/>
        <v/>
      </c>
      <c r="U216" s="1" t="str">
        <f t="shared" si="4"/>
        <v/>
      </c>
      <c r="V216" s="1"/>
      <c r="W216" s="1"/>
      <c r="X216" s="1"/>
      <c r="Y216" s="1"/>
      <c r="Z216" s="8"/>
      <c r="AA216" s="1"/>
      <c r="AB216" s="1"/>
      <c r="AC216" s="1"/>
      <c r="AD216" s="1"/>
      <c r="AE216" s="1"/>
      <c r="AF216" s="1"/>
      <c r="AG216" s="1"/>
      <c r="AH216" s="1" t="str">
        <f t="shared" si="1"/>
        <v/>
      </c>
      <c r="AI216" s="1"/>
    </row>
    <row r="217">
      <c r="A217" s="5">
        <f>IFERROR(__xludf.DUMMYFUNCTION("""COMPUTED_VALUE"""),45002.0)</f>
        <v>45002</v>
      </c>
      <c r="B217" s="14" t="str">
        <f>IFERROR(__xludf.DUMMYFUNCTION("""COMPUTED_VALUE"""),"Daniel José sandoval gonzalez")</f>
        <v>Daniel José sandoval gonzalez</v>
      </c>
      <c r="C217" s="6" t="str">
        <f>IFERROR(__xludf.DUMMYFUNCTION("""COMPUTED_VALUE"""),"BARRANQUILLA")</f>
        <v>BARRANQUILLA</v>
      </c>
      <c r="D217" s="6" t="str">
        <f>IFERROR(__xludf.DUMMYFUNCTION("""COMPUTED_VALUE"""),"MEDELLÍN")</f>
        <v>MEDELLÍN</v>
      </c>
      <c r="E217" s="6" t="str">
        <f>IFERROR(__xludf.DUMMYFUNCTION("""COMPUTED_VALUE"""),"Moloso S.A.S")</f>
        <v>Moloso S.A.S</v>
      </c>
      <c r="F217" s="1" t="str">
        <f>IFERROR(__xludf.DUMMYFUNCTION("""COMPUTED_VALUE"""),"TRANS 44 102 167 / CONJU. SIERRA. APTO. 939 T5")</f>
        <v>TRANS 44 102 167 / CONJU. SIERRA. APTO. 939 T5</v>
      </c>
      <c r="G217" s="6" t="str">
        <f>IFERROR(__xludf.DUMMYFUNCTION("""COMPUTED_VALUE"""),"MARIANA ORJUELA CHARCÓN")</f>
        <v>MARIANA ORJUELA CHARCÓN</v>
      </c>
      <c r="H217" s="7">
        <f>IFERROR(__xludf.DUMMYFUNCTION("""COMPUTED_VALUE"""),8893.0)</f>
        <v>8893</v>
      </c>
      <c r="I217" s="7">
        <f>IFERROR(__xludf.DUMMYFUNCTION("""COMPUTED_VALUE"""),17.0)</f>
        <v>17</v>
      </c>
      <c r="J217" s="7">
        <f>IFERROR(__xludf.DUMMYFUNCTION("""COMPUTED_VALUE"""),15.0)</f>
        <v>15</v>
      </c>
      <c r="K217" s="7">
        <f>IFERROR(__xludf.DUMMYFUNCTION("""COMPUTED_VALUE"""),28.0)</f>
        <v>28</v>
      </c>
      <c r="L217" s="1" t="str">
        <f>IFERROR(__xludf.DUMMYFUNCTION("""COMPUTED_VALUE"""),"304 5242414")</f>
        <v>304 5242414</v>
      </c>
      <c r="M217" s="9" t="str">
        <f>IFERROR(__xludf.DUMMYFUNCTION("""COMPUTED_VALUE"""),"#REF!")</f>
        <v>#REF!</v>
      </c>
      <c r="N217" s="1"/>
      <c r="O217" s="3" t="str">
        <f>IFERROR(__xludf.DUMMYFUNCTION("""COMPUTED_VALUE"""),"")</f>
        <v/>
      </c>
      <c r="P217" s="9" t="b">
        <f>IFERROR(__xludf.DUMMYFUNCTION("""COMPUTED_VALUE"""),FALSE)</f>
        <v>0</v>
      </c>
      <c r="Q217" s="10" t="str">
        <f>IFERROR(__xludf.DUMMYFUNCTION("""COMPUTED_VALUE"""),"")</f>
        <v/>
      </c>
      <c r="R217" s="12" t="str">
        <f>IFERROR(__xludf.DUMMYFUNCTION("""COMPUTED_VALUE"""),"")</f>
        <v/>
      </c>
      <c r="S217" s="1" t="str">
        <f t="shared" si="2"/>
        <v/>
      </c>
      <c r="T217" s="1" t="str">
        <f t="shared" si="3"/>
        <v/>
      </c>
      <c r="U217" s="1" t="str">
        <f t="shared" si="4"/>
        <v/>
      </c>
      <c r="V217" s="1"/>
      <c r="W217" s="1"/>
      <c r="X217" s="1"/>
      <c r="Y217" s="1"/>
      <c r="Z217" s="8"/>
      <c r="AA217" s="1"/>
      <c r="AB217" s="1"/>
      <c r="AC217" s="1"/>
      <c r="AD217" s="1"/>
      <c r="AE217" s="1"/>
      <c r="AF217" s="1"/>
      <c r="AG217" s="1"/>
      <c r="AH217" s="1" t="str">
        <f t="shared" si="1"/>
        <v/>
      </c>
      <c r="AI217" s="1"/>
    </row>
    <row r="218">
      <c r="A218" s="5">
        <f>IFERROR(__xludf.DUMMYFUNCTION("""COMPUTED_VALUE"""),45002.0)</f>
        <v>45002</v>
      </c>
      <c r="B218" s="14" t="str">
        <f>IFERROR(__xludf.DUMMYFUNCTION("""COMPUTED_VALUE"""),"Daniel José sandoval gonzalez")</f>
        <v>Daniel José sandoval gonzalez</v>
      </c>
      <c r="C218" s="6" t="str">
        <f>IFERROR(__xludf.DUMMYFUNCTION("""COMPUTED_VALUE"""),"BARRANQUILLA")</f>
        <v>BARRANQUILLA</v>
      </c>
      <c r="D218" s="6" t="str">
        <f>IFERROR(__xludf.DUMMYFUNCTION("""COMPUTED_VALUE"""),"MEDELLÍN")</f>
        <v>MEDELLÍN</v>
      </c>
      <c r="E218" s="6" t="str">
        <f>IFERROR(__xludf.DUMMYFUNCTION("""COMPUTED_VALUE"""),"Rambla")</f>
        <v>Rambla</v>
      </c>
      <c r="F218" s="1" t="str">
        <f>IFERROR(__xludf.DUMMYFUNCTION("""COMPUTED_VALUE"""),"CARRERA 74 #76-74 / na / na")</f>
        <v>CARRERA 74 #76-74 / na / na</v>
      </c>
      <c r="G218" s="6" t="str">
        <f>IFERROR(__xludf.DUMMYFUNCTION("""COMPUTED_VALUE"""),"Fit Hub")</f>
        <v>Fit Hub</v>
      </c>
      <c r="H218" s="7">
        <f>IFERROR(__xludf.DUMMYFUNCTION("""COMPUTED_VALUE"""),8920.0)</f>
        <v>8920</v>
      </c>
      <c r="I218" s="7">
        <f>IFERROR(__xludf.DUMMYFUNCTION("""COMPUTED_VALUE"""),23.0)</f>
        <v>23</v>
      </c>
      <c r="J218" s="7">
        <f>IFERROR(__xludf.DUMMYFUNCTION("""COMPUTED_VALUE"""),26.0)</f>
        <v>26</v>
      </c>
      <c r="K218" s="7">
        <f>IFERROR(__xludf.DUMMYFUNCTION("""COMPUTED_VALUE"""),29.0)</f>
        <v>29</v>
      </c>
      <c r="L218" s="8">
        <f>IFERROR(__xludf.DUMMYFUNCTION("""COMPUTED_VALUE"""),3.157039547E9)</f>
        <v>3157039547</v>
      </c>
      <c r="M218" s="9" t="str">
        <f>IFERROR(__xludf.DUMMYFUNCTION("""COMPUTED_VALUE"""),"#REF!")</f>
        <v>#REF!</v>
      </c>
      <c r="N218" s="1"/>
      <c r="O218" s="3" t="str">
        <f>IFERROR(__xludf.DUMMYFUNCTION("""COMPUTED_VALUE"""),"")</f>
        <v/>
      </c>
      <c r="P218" s="9" t="b">
        <f>IFERROR(__xludf.DUMMYFUNCTION("""COMPUTED_VALUE"""),FALSE)</f>
        <v>0</v>
      </c>
      <c r="Q218" s="10" t="str">
        <f>IFERROR(__xludf.DUMMYFUNCTION("""COMPUTED_VALUE"""),"")</f>
        <v/>
      </c>
      <c r="R218" s="12" t="str">
        <f>IFERROR(__xludf.DUMMYFUNCTION("""COMPUTED_VALUE"""),"")</f>
        <v/>
      </c>
      <c r="S218" s="1" t="str">
        <f t="shared" si="2"/>
        <v/>
      </c>
      <c r="T218" s="1" t="str">
        <f t="shared" si="3"/>
        <v/>
      </c>
      <c r="U218" s="1" t="str">
        <f t="shared" si="4"/>
        <v/>
      </c>
      <c r="V218" s="1"/>
      <c r="W218" s="1"/>
      <c r="X218" s="1"/>
      <c r="Y218" s="1"/>
      <c r="Z218" s="8"/>
      <c r="AA218" s="1"/>
      <c r="AB218" s="1"/>
      <c r="AC218" s="1"/>
      <c r="AD218" s="1"/>
      <c r="AE218" s="1"/>
      <c r="AF218" s="1"/>
      <c r="AG218" s="1"/>
      <c r="AH218" s="1" t="str">
        <f t="shared" si="1"/>
        <v/>
      </c>
      <c r="AI218" s="1"/>
    </row>
    <row r="219">
      <c r="A219" s="5">
        <f>IFERROR(__xludf.DUMMYFUNCTION("""COMPUTED_VALUE"""),45002.0)</f>
        <v>45002</v>
      </c>
      <c r="B219" s="14" t="str">
        <f>IFERROR(__xludf.DUMMYFUNCTION("""COMPUTED_VALUE"""),"Daniel José sandoval gonzalez")</f>
        <v>Daniel José sandoval gonzalez</v>
      </c>
      <c r="C219" s="6" t="str">
        <f>IFERROR(__xludf.DUMMYFUNCTION("""COMPUTED_VALUE"""),"BARRANQUILLA")</f>
        <v>BARRANQUILLA</v>
      </c>
      <c r="D219" s="6" t="str">
        <f>IFERROR(__xludf.DUMMYFUNCTION("""COMPUTED_VALUE"""),"MEDELLÍN")</f>
        <v>MEDELLÍN</v>
      </c>
      <c r="E219" s="6" t="str">
        <f>IFERROR(__xludf.DUMMYFUNCTION("""COMPUTED_VALUE"""),"Rambla")</f>
        <v>Rambla</v>
      </c>
      <c r="F219" s="1" t="str">
        <f>IFERROR(__xludf.DUMMYFUNCTION("""COMPUTED_VALUE"""),"Cr 5187-50 en el exito viva Barranquilla / na / na")</f>
        <v>Cr 5187-50 en el exito viva Barranquilla / na / na</v>
      </c>
      <c r="G219" s="6" t="str">
        <f>IFERROR(__xludf.DUMMYFUNCTION("""COMPUTED_VALUE"""),"zonazul")</f>
        <v>zonazul</v>
      </c>
      <c r="H219" s="7">
        <f>IFERROR(__xludf.DUMMYFUNCTION("""COMPUTED_VALUE"""),8922.0)</f>
        <v>8922</v>
      </c>
      <c r="I219" s="7">
        <f>IFERROR(__xludf.DUMMYFUNCTION("""COMPUTED_VALUE"""),27.0)</f>
        <v>27</v>
      </c>
      <c r="J219" s="7">
        <f>IFERROR(__xludf.DUMMYFUNCTION("""COMPUTED_VALUE"""),30.0)</f>
        <v>30</v>
      </c>
      <c r="K219" s="7">
        <f>IFERROR(__xludf.DUMMYFUNCTION("""COMPUTED_VALUE"""),32.0)</f>
        <v>32</v>
      </c>
      <c r="L219" s="8">
        <f>IFERROR(__xludf.DUMMYFUNCTION("""COMPUTED_VALUE"""),3.105626817E9)</f>
        <v>3105626817</v>
      </c>
      <c r="M219" s="9" t="str">
        <f>IFERROR(__xludf.DUMMYFUNCTION("""COMPUTED_VALUE"""),"#REF!")</f>
        <v>#REF!</v>
      </c>
      <c r="N219" s="1"/>
      <c r="O219" s="3" t="str">
        <f>IFERROR(__xludf.DUMMYFUNCTION("""COMPUTED_VALUE"""),"")</f>
        <v/>
      </c>
      <c r="P219" s="9" t="b">
        <f>IFERROR(__xludf.DUMMYFUNCTION("""COMPUTED_VALUE"""),FALSE)</f>
        <v>0</v>
      </c>
      <c r="Q219" s="10" t="str">
        <f>IFERROR(__xludf.DUMMYFUNCTION("""COMPUTED_VALUE"""),"")</f>
        <v/>
      </c>
      <c r="R219" s="12" t="str">
        <f>IFERROR(__xludf.DUMMYFUNCTION("""COMPUTED_VALUE"""),"")</f>
        <v/>
      </c>
      <c r="S219" s="1" t="str">
        <f t="shared" si="2"/>
        <v/>
      </c>
      <c r="T219" s="1" t="str">
        <f t="shared" si="3"/>
        <v/>
      </c>
      <c r="U219" s="1" t="str">
        <f t="shared" si="4"/>
        <v/>
      </c>
      <c r="V219" s="1"/>
      <c r="W219" s="1"/>
      <c r="X219" s="1"/>
      <c r="Y219" s="1"/>
      <c r="Z219" s="8"/>
      <c r="AA219" s="1"/>
      <c r="AB219" s="1"/>
      <c r="AC219" s="1"/>
      <c r="AD219" s="1"/>
      <c r="AE219" s="1"/>
      <c r="AF219" s="1"/>
      <c r="AG219" s="1"/>
      <c r="AH219" s="1" t="str">
        <f t="shared" si="1"/>
        <v/>
      </c>
      <c r="AI219" s="1"/>
    </row>
    <row r="220">
      <c r="A220" s="5">
        <f>IFERROR(__xludf.DUMMYFUNCTION("""COMPUTED_VALUE"""),45002.0)</f>
        <v>45002</v>
      </c>
      <c r="B220" s="14" t="str">
        <f>IFERROR(__xludf.DUMMYFUNCTION("""COMPUTED_VALUE"""),"Daniel José sandoval gonzalez")</f>
        <v>Daniel José sandoval gonzalez</v>
      </c>
      <c r="C220" s="6" t="str">
        <f>IFERROR(__xludf.DUMMYFUNCTION("""COMPUTED_VALUE"""),"MEDELLÍN")</f>
        <v>MEDELLÍN</v>
      </c>
      <c r="D220" s="6" t="str">
        <f>IFERROR(__xludf.DUMMYFUNCTION("""COMPUTED_VALUE"""),"BOGOTÁ")</f>
        <v>BOGOTÁ</v>
      </c>
      <c r="E220" s="6" t="str">
        <f>IFERROR(__xludf.DUMMYFUNCTION("""COMPUTED_VALUE"""),"Viral Brands")</f>
        <v>Viral Brands</v>
      </c>
      <c r="F220" s="1" t="str">
        <f>IFERROR(__xludf.DUMMYFUNCTION("""COMPUTED_VALUE"""),"Calle 1 sur # 29-354 / Al lado de la bodega de rappi / Barría el poblado")</f>
        <v>Calle 1 sur # 29-354 / Al lado de la bodega de rappi / Barría el poblado</v>
      </c>
      <c r="G220" s="6" t="str">
        <f>IFERROR(__xludf.DUMMYFUNCTION("""COMPUTED_VALUE"""),"Santiago Alarcón")</f>
        <v>Santiago Alarcón</v>
      </c>
      <c r="H220" s="7">
        <f>IFERROR(__xludf.DUMMYFUNCTION("""COMPUTED_VALUE"""),8950.0)</f>
        <v>8950</v>
      </c>
      <c r="I220" s="7">
        <f>IFERROR(__xludf.DUMMYFUNCTION("""COMPUTED_VALUE"""),55.0)</f>
        <v>55</v>
      </c>
      <c r="J220" s="7">
        <f>IFERROR(__xludf.DUMMYFUNCTION("""COMPUTED_VALUE"""),45.0)</f>
        <v>45</v>
      </c>
      <c r="K220" s="2" t="str">
        <f>IFERROR(__xludf.DUMMYFUNCTION("""COMPUTED_VALUE"""),"52.5")</f>
        <v>52.5</v>
      </c>
      <c r="L220" s="8">
        <f>IFERROR(__xludf.DUMMYFUNCTION("""COMPUTED_VALUE"""),3.043480219E9)</f>
        <v>3043480219</v>
      </c>
      <c r="M220" s="9" t="str">
        <f>IFERROR(__xludf.DUMMYFUNCTION("""COMPUTED_VALUE"""),"#REF!")</f>
        <v>#REF!</v>
      </c>
      <c r="N220" s="1"/>
      <c r="O220" s="3" t="str">
        <f>IFERROR(__xludf.DUMMYFUNCTION("""COMPUTED_VALUE"""),"")</f>
        <v/>
      </c>
      <c r="P220" s="9" t="b">
        <f>IFERROR(__xludf.DUMMYFUNCTION("""COMPUTED_VALUE"""),FALSE)</f>
        <v>0</v>
      </c>
      <c r="Q220" s="10" t="str">
        <f>IFERROR(__xludf.DUMMYFUNCTION("""COMPUTED_VALUE"""),"")</f>
        <v/>
      </c>
      <c r="R220" s="12" t="str">
        <f>IFERROR(__xludf.DUMMYFUNCTION("""COMPUTED_VALUE"""),"")</f>
        <v/>
      </c>
      <c r="S220" s="1" t="str">
        <f t="shared" si="2"/>
        <v/>
      </c>
      <c r="T220" s="1" t="str">
        <f t="shared" si="3"/>
        <v/>
      </c>
      <c r="U220" s="1" t="str">
        <f t="shared" si="4"/>
        <v/>
      </c>
      <c r="V220" s="1"/>
      <c r="W220" s="1"/>
      <c r="X220" s="1"/>
      <c r="Y220" s="1"/>
      <c r="Z220" s="8"/>
      <c r="AA220" s="1"/>
      <c r="AB220" s="1"/>
      <c r="AC220" s="1"/>
      <c r="AD220" s="1"/>
      <c r="AE220" s="1"/>
      <c r="AF220" s="1"/>
      <c r="AG220" s="1"/>
      <c r="AH220" s="1" t="str">
        <f t="shared" si="1"/>
        <v/>
      </c>
      <c r="AI220" s="1"/>
    </row>
    <row r="221">
      <c r="A221" s="1" t="str">
        <f>IFERROR(__xludf.DUMMYFUNCTION("""COMPUTED_VALUE"""),"")</f>
        <v/>
      </c>
      <c r="B221" s="1" t="str">
        <f>IFERROR(__xludf.DUMMYFUNCTION("""COMPUTED_VALUE"""),"")</f>
        <v/>
      </c>
      <c r="C221" s="1" t="str">
        <f>IFERROR(__xludf.DUMMYFUNCTION("""COMPUTED_VALUE"""),"")</f>
        <v/>
      </c>
      <c r="D221" s="1" t="str">
        <f>IFERROR(__xludf.DUMMYFUNCTION("""COMPUTED_VALUE"""),"")</f>
        <v/>
      </c>
      <c r="E221" s="1" t="str">
        <f>IFERROR(__xludf.DUMMYFUNCTION("""COMPUTED_VALUE"""),"")</f>
        <v/>
      </c>
      <c r="F221" s="1" t="str">
        <f>IFERROR(__xludf.DUMMYFUNCTION("""COMPUTED_VALUE"""),"")</f>
        <v/>
      </c>
      <c r="G221" s="1" t="str">
        <f>IFERROR(__xludf.DUMMYFUNCTION("""COMPUTED_VALUE"""),"")</f>
        <v/>
      </c>
      <c r="H221" s="1" t="str">
        <f>IFERROR(__xludf.DUMMYFUNCTION("""COMPUTED_VALUE"""),"")</f>
        <v/>
      </c>
      <c r="I221" s="1" t="str">
        <f>IFERROR(__xludf.DUMMYFUNCTION("""COMPUTED_VALUE"""),"")</f>
        <v/>
      </c>
      <c r="J221" s="1" t="str">
        <f>IFERROR(__xludf.DUMMYFUNCTION("""COMPUTED_VALUE"""),"")</f>
        <v/>
      </c>
      <c r="K221" s="1" t="str">
        <f>IFERROR(__xludf.DUMMYFUNCTION("""COMPUTED_VALUE"""),"")</f>
        <v/>
      </c>
      <c r="L221" s="1" t="str">
        <f>IFERROR(__xludf.DUMMYFUNCTION("""COMPUTED_VALUE"""),"")</f>
        <v/>
      </c>
      <c r="M221" s="1" t="str">
        <f>IFERROR(__xludf.DUMMYFUNCTION("""COMPUTED_VALUE"""),"")</f>
        <v/>
      </c>
      <c r="N221" s="1" t="str">
        <f>IFERROR(__xludf.DUMMYFUNCTION("""COMPUTED_VALUE"""),"")</f>
        <v/>
      </c>
      <c r="O221" s="1" t="str">
        <f>IFERROR(__xludf.DUMMYFUNCTION("""COMPUTED_VALUE"""),"")</f>
        <v/>
      </c>
      <c r="P221" s="1" t="str">
        <f>IFERROR(__xludf.DUMMYFUNCTION("""COMPUTED_VALUE"""),"")</f>
        <v/>
      </c>
      <c r="Q221" s="1" t="str">
        <f>IFERROR(__xludf.DUMMYFUNCTION("""COMPUTED_VALUE"""),"")</f>
        <v/>
      </c>
      <c r="R221" s="1" t="str">
        <f>IFERROR(__xludf.DUMMYFUNCTION("""COMPUTED_VALUE"""),"")</f>
        <v/>
      </c>
      <c r="S221" s="1" t="str">
        <f t="shared" si="2"/>
        <v/>
      </c>
      <c r="T221" s="1" t="str">
        <f t="shared" si="3"/>
        <v/>
      </c>
      <c r="U221" s="1" t="str">
        <f t="shared" si="4"/>
        <v/>
      </c>
      <c r="V221" s="1"/>
      <c r="W221" s="1"/>
      <c r="X221" s="1"/>
      <c r="Y221" s="1"/>
      <c r="Z221" s="8"/>
      <c r="AA221" s="1"/>
      <c r="AB221" s="1"/>
      <c r="AC221" s="1"/>
      <c r="AD221" s="1"/>
      <c r="AE221" s="1"/>
      <c r="AF221" s="1"/>
      <c r="AG221" s="1"/>
      <c r="AH221" s="1" t="str">
        <f t="shared" si="1"/>
        <v/>
      </c>
      <c r="AI221" s="1"/>
    </row>
    <row r="222">
      <c r="A222" s="5">
        <f>IFERROR(__xludf.DUMMYFUNCTION("""COMPUTED_VALUE"""),45002.0)</f>
        <v>45002</v>
      </c>
      <c r="B222" s="14" t="str">
        <f>IFERROR(__xludf.DUMMYFUNCTION("""COMPUTED_VALUE"""),"Envia")</f>
        <v>Envia</v>
      </c>
      <c r="C222" s="6" t="str">
        <f>IFERROR(__xludf.DUMMYFUNCTION("""COMPUTED_VALUE"""),"ARMENIA")</f>
        <v>ARMENIA</v>
      </c>
      <c r="D222" s="6" t="str">
        <f>IFERROR(__xludf.DUMMYFUNCTION("""COMPUTED_VALUE"""),"BOGOTÁ")</f>
        <v>BOGOTÁ</v>
      </c>
      <c r="E222" s="6" t="str">
        <f>IFERROR(__xludf.DUMMYFUNCTION("""COMPUTED_VALUE"""),"Pan de Waffle")</f>
        <v>Pan de Waffle</v>
      </c>
      <c r="F222" s="1" t="str">
        <f>IFERROR(__xludf.DUMMYFUNCTION("""COMPUTED_VALUE"""),"CL 5 NORTE 18 A 88 CC BAMBUSA LC 32 / CL 5 NORTE 18 A 88 CC BAMBUSA LC 32 / CL 5 NORTE 18 A 88 CC BAMBUSA LC 32")</f>
        <v>CL 5 NORTE 18 A 88 CC BAMBUSA LC 32 / CL 5 NORTE 18 A 88 CC BAMBUSA LC 32 / CL 5 NORTE 18 A 88 CC BAMBUSA LC 32</v>
      </c>
      <c r="G222" s="6" t="str">
        <f>IFERROR(__xludf.DUMMYFUNCTION("""COMPUTED_VALUE"""),"FEEL FIT")</f>
        <v>FEEL FIT</v>
      </c>
      <c r="H222" s="7">
        <f>IFERROR(__xludf.DUMMYFUNCTION("""COMPUTED_VALUE"""),8926.0)</f>
        <v>8926</v>
      </c>
      <c r="I222" s="7">
        <f>IFERROR(__xludf.DUMMYFUNCTION("""COMPUTED_VALUE"""),100.0)</f>
        <v>100</v>
      </c>
      <c r="J222" s="7">
        <f>IFERROR(__xludf.DUMMYFUNCTION("""COMPUTED_VALUE"""),10.0)</f>
        <v>10</v>
      </c>
      <c r="K222" s="2" t="str">
        <f>IFERROR(__xludf.DUMMYFUNCTION("""COMPUTED_VALUE"""),"44.8")</f>
        <v>44.8</v>
      </c>
      <c r="L222" s="8">
        <f>IFERROR(__xludf.DUMMYFUNCTION("""COMPUTED_VALUE"""),3.20865425E9)</f>
        <v>3208654250</v>
      </c>
      <c r="M222" s="9" t="str">
        <f>IFERROR(__xludf.DUMMYFUNCTION("""COMPUTED_VALUE"""),"#REF!")</f>
        <v>#REF!</v>
      </c>
      <c r="N222" s="1"/>
      <c r="O222" s="3" t="str">
        <f>IFERROR(__xludf.DUMMYFUNCTION("""COMPUTED_VALUE"""),"")</f>
        <v/>
      </c>
      <c r="P222" s="9" t="b">
        <f>IFERROR(__xludf.DUMMYFUNCTION("""COMPUTED_VALUE"""),FALSE)</f>
        <v>0</v>
      </c>
      <c r="Q222" s="10" t="str">
        <f>IFERROR(__xludf.DUMMYFUNCTION("""COMPUTED_VALUE"""),"")</f>
        <v/>
      </c>
      <c r="R222" s="12" t="str">
        <f>IFERROR(__xludf.DUMMYFUNCTION("""COMPUTED_VALUE"""),"")</f>
        <v/>
      </c>
      <c r="S222" s="1" t="str">
        <f t="shared" si="2"/>
        <v/>
      </c>
      <c r="T222" s="1" t="str">
        <f t="shared" si="3"/>
        <v/>
      </c>
      <c r="U222" s="1" t="str">
        <f t="shared" si="4"/>
        <v/>
      </c>
      <c r="V222" s="1"/>
      <c r="W222" s="1"/>
      <c r="X222" s="1"/>
      <c r="Y222" s="1"/>
      <c r="Z222" s="8"/>
      <c r="AA222" s="1"/>
      <c r="AB222" s="1"/>
      <c r="AC222" s="1"/>
      <c r="AD222" s="1"/>
      <c r="AE222" s="1"/>
      <c r="AF222" s="1"/>
      <c r="AG222" s="1"/>
      <c r="AH222" s="1" t="str">
        <f t="shared" si="1"/>
        <v/>
      </c>
      <c r="AI222" s="1"/>
    </row>
    <row r="223">
      <c r="A223" s="5">
        <f>IFERROR(__xludf.DUMMYFUNCTION("""COMPUTED_VALUE"""),45002.0)</f>
        <v>45002</v>
      </c>
      <c r="B223" s="14" t="str">
        <f>IFERROR(__xludf.DUMMYFUNCTION("""COMPUTED_VALUE"""),"Envia")</f>
        <v>Envia</v>
      </c>
      <c r="C223" s="6" t="str">
        <f>IFERROR(__xludf.DUMMYFUNCTION("""COMPUTED_VALUE"""),"BARRANQUILLA")</f>
        <v>BARRANQUILLA</v>
      </c>
      <c r="D223" s="6" t="str">
        <f>IFERROR(__xludf.DUMMYFUNCTION("""COMPUTED_VALUE"""),"MEDELLÍN")</f>
        <v>MEDELLÍN</v>
      </c>
      <c r="E223" s="6" t="str">
        <f>IFERROR(__xludf.DUMMYFUNCTION("""COMPUTED_VALUE"""),"Todo Bufala")</f>
        <v>Todo Bufala</v>
      </c>
      <c r="F223" s="1" t="str">
        <f>IFERROR(__xludf.DUMMYFUNCTION("""COMPUTED_VALUE"""),"cra 43 n. 84-74  / entro nutricional local 3 / bARRIO GRANADILLO")</f>
        <v>cra 43 n. 84-74  / entro nutricional local 3 / bARRIO GRANADILLO</v>
      </c>
      <c r="G223" s="6" t="str">
        <f>IFERROR(__xludf.DUMMYFUNCTION("""COMPUTED_VALUE"""),"ELIANA SARMIENTO")</f>
        <v>ELIANA SARMIENTO</v>
      </c>
      <c r="H223" s="7">
        <f>IFERROR(__xludf.DUMMYFUNCTION("""COMPUTED_VALUE"""),8862.0)</f>
        <v>8862</v>
      </c>
      <c r="I223" s="7">
        <f>IFERROR(__xludf.DUMMYFUNCTION("""COMPUTED_VALUE"""),15.0)</f>
        <v>15</v>
      </c>
      <c r="J223" s="7">
        <f>IFERROR(__xludf.DUMMYFUNCTION("""COMPUTED_VALUE"""),30.0)</f>
        <v>30</v>
      </c>
      <c r="K223" s="7">
        <f>IFERROR(__xludf.DUMMYFUNCTION("""COMPUTED_VALUE"""),40.0)</f>
        <v>40</v>
      </c>
      <c r="L223" s="8">
        <f>IFERROR(__xludf.DUMMYFUNCTION("""COMPUTED_VALUE"""),3.226082052E9)</f>
        <v>3226082052</v>
      </c>
      <c r="M223" s="9" t="str">
        <f>IFERROR(__xludf.DUMMYFUNCTION("""COMPUTED_VALUE"""),"#REF!")</f>
        <v>#REF!</v>
      </c>
      <c r="N223" s="1"/>
      <c r="O223" s="3" t="str">
        <f>IFERROR(__xludf.DUMMYFUNCTION("""COMPUTED_VALUE"""),"")</f>
        <v/>
      </c>
      <c r="P223" s="9" t="b">
        <f>IFERROR(__xludf.DUMMYFUNCTION("""COMPUTED_VALUE"""),FALSE)</f>
        <v>0</v>
      </c>
      <c r="Q223" s="10" t="str">
        <f>IFERROR(__xludf.DUMMYFUNCTION("""COMPUTED_VALUE"""),"")</f>
        <v/>
      </c>
      <c r="R223" s="12" t="str">
        <f>IFERROR(__xludf.DUMMYFUNCTION("""COMPUTED_VALUE"""),"")</f>
        <v/>
      </c>
      <c r="S223" s="1" t="str">
        <f t="shared" si="2"/>
        <v/>
      </c>
      <c r="T223" s="1" t="str">
        <f t="shared" si="3"/>
        <v/>
      </c>
      <c r="U223" s="1" t="str">
        <f t="shared" si="4"/>
        <v/>
      </c>
      <c r="V223" s="1"/>
      <c r="W223" s="1"/>
      <c r="X223" s="1"/>
      <c r="Y223" s="1"/>
      <c r="Z223" s="8"/>
      <c r="AA223" s="1"/>
      <c r="AB223" s="1"/>
      <c r="AC223" s="1"/>
      <c r="AD223" s="1"/>
      <c r="AE223" s="1"/>
      <c r="AF223" s="1"/>
      <c r="AG223" s="1"/>
      <c r="AH223" s="1" t="str">
        <f t="shared" si="1"/>
        <v/>
      </c>
      <c r="AI223" s="1"/>
    </row>
    <row r="224">
      <c r="A224" s="5">
        <f>IFERROR(__xludf.DUMMYFUNCTION("""COMPUTED_VALUE"""),45002.0)</f>
        <v>45002</v>
      </c>
      <c r="B224" s="14" t="str">
        <f>IFERROR(__xludf.DUMMYFUNCTION("""COMPUTED_VALUE"""),"Envia")</f>
        <v>Envia</v>
      </c>
      <c r="C224" s="6" t="str">
        <f>IFERROR(__xludf.DUMMYFUNCTION("""COMPUTED_VALUE"""),"BOGOTÁ")</f>
        <v>BOGOTÁ</v>
      </c>
      <c r="D224" s="6" t="str">
        <f>IFERROR(__xludf.DUMMYFUNCTION("""COMPUTED_VALUE"""),"MEDELLÍN")</f>
        <v>MEDELLÍN</v>
      </c>
      <c r="E224" s="6" t="str">
        <f>IFERROR(__xludf.DUMMYFUNCTION("""COMPUTED_VALUE"""),"Baby Chef")</f>
        <v>Baby Chef</v>
      </c>
      <c r="F224" s="1" t="str">
        <f>IFERROR(__xludf.DUMMYFUNCTION("""COMPUTED_VALUE"""),"Calle 77A#77B-74 Apto 506 Edificio Prados de la Granja - recibe:magaly torre / NOTA recibe: Magaly torre .  /  La granja")</f>
        <v>Calle 77A#77B-74 Apto 506 Edificio Prados de la Granja - recibe:magaly torre / NOTA recibe: Magaly torre .  /  La granja</v>
      </c>
      <c r="G224" s="6" t="str">
        <f>IFERROR(__xludf.DUMMYFUNCTION("""COMPUTED_VALUE"""),"Paola andrea buendia torres")</f>
        <v>Paola andrea buendia torres</v>
      </c>
      <c r="H224" s="7">
        <f>IFERROR(__xludf.DUMMYFUNCTION("""COMPUTED_VALUE"""),8952.0)</f>
        <v>8952</v>
      </c>
      <c r="I224" s="7">
        <f>IFERROR(__xludf.DUMMYFUNCTION("""COMPUTED_VALUE"""),8.0)</f>
        <v>8</v>
      </c>
      <c r="J224" s="7">
        <f>IFERROR(__xludf.DUMMYFUNCTION("""COMPUTED_VALUE"""),16.0)</f>
        <v>16</v>
      </c>
      <c r="K224" s="7">
        <f>IFERROR(__xludf.DUMMYFUNCTION("""COMPUTED_VALUE"""),20.0)</f>
        <v>20</v>
      </c>
      <c r="L224" s="8">
        <f>IFERROR(__xludf.DUMMYFUNCTION("""COMPUTED_VALUE"""),3.16832202E9)</f>
        <v>3168322020</v>
      </c>
      <c r="M224" s="9" t="str">
        <f>IFERROR(__xludf.DUMMYFUNCTION("""COMPUTED_VALUE"""),"#REF!")</f>
        <v>#REF!</v>
      </c>
      <c r="N224" s="1"/>
      <c r="O224" s="3" t="str">
        <f>IFERROR(__xludf.DUMMYFUNCTION("""COMPUTED_VALUE"""),"")</f>
        <v/>
      </c>
      <c r="P224" s="9" t="b">
        <f>IFERROR(__xludf.DUMMYFUNCTION("""COMPUTED_VALUE"""),FALSE)</f>
        <v>0</v>
      </c>
      <c r="Q224" s="10" t="str">
        <f>IFERROR(__xludf.DUMMYFUNCTION("""COMPUTED_VALUE"""),"")</f>
        <v/>
      </c>
      <c r="R224" s="12" t="str">
        <f>IFERROR(__xludf.DUMMYFUNCTION("""COMPUTED_VALUE"""),"")</f>
        <v/>
      </c>
      <c r="S224" s="1" t="str">
        <f t="shared" si="2"/>
        <v/>
      </c>
      <c r="T224" s="1" t="str">
        <f t="shared" si="3"/>
        <v/>
      </c>
      <c r="U224" s="1" t="str">
        <f t="shared" si="4"/>
        <v/>
      </c>
      <c r="V224" s="1"/>
      <c r="W224" s="1"/>
      <c r="X224" s="1"/>
      <c r="Y224" s="1"/>
      <c r="Z224" s="8"/>
      <c r="AA224" s="1"/>
      <c r="AB224" s="1"/>
      <c r="AC224" s="1"/>
      <c r="AD224" s="1"/>
      <c r="AE224" s="1"/>
      <c r="AF224" s="1"/>
      <c r="AG224" s="1"/>
      <c r="AH224" s="1" t="str">
        <f t="shared" si="1"/>
        <v/>
      </c>
      <c r="AI224" s="1"/>
    </row>
    <row r="225">
      <c r="A225" s="5">
        <f>IFERROR(__xludf.DUMMYFUNCTION("""COMPUTED_VALUE"""),45002.0)</f>
        <v>45002</v>
      </c>
      <c r="B225" s="14" t="str">
        <f>IFERROR(__xludf.DUMMYFUNCTION("""COMPUTED_VALUE"""),"Envia")</f>
        <v>Envia</v>
      </c>
      <c r="C225" s="6" t="str">
        <f>IFERROR(__xludf.DUMMYFUNCTION("""COMPUTED_VALUE"""),"BOGOTÁ")</f>
        <v>BOGOTÁ</v>
      </c>
      <c r="D225" s="6" t="str">
        <f>IFERROR(__xludf.DUMMYFUNCTION("""COMPUTED_VALUE"""),"MEDELLÍN")</f>
        <v>MEDELLÍN</v>
      </c>
      <c r="E225" s="6" t="str">
        <f>IFERROR(__xludf.DUMMYFUNCTION("""COMPUTED_VALUE"""),"Baby Chef")</f>
        <v>Baby Chef</v>
      </c>
      <c r="F225" s="1" t="str">
        <f>IFERROR(__xludf.DUMMYFUNCTION("""COMPUTED_VALUE"""),"Torre 2 Transversal 77 162 08 Apto 501       111156 BogotÁ Bogotá Colombia / Apto 501  / Torre 2")</f>
        <v>Torre 2 Transversal 77 162 08 Apto 501       111156 BogotÁ Bogotá Colombia / Apto 501  / Torre 2</v>
      </c>
      <c r="G225" s="6" t="str">
        <f>IFERROR(__xludf.DUMMYFUNCTION("""COMPUTED_VALUE"""),"Estefania Molano")</f>
        <v>Estefania Molano</v>
      </c>
      <c r="H225" s="7">
        <f>IFERROR(__xludf.DUMMYFUNCTION("""COMPUTED_VALUE"""),8951.0)</f>
        <v>8951</v>
      </c>
      <c r="I225" s="7">
        <f>IFERROR(__xludf.DUMMYFUNCTION("""COMPUTED_VALUE"""),8.0)</f>
        <v>8</v>
      </c>
      <c r="J225" s="7">
        <f>IFERROR(__xludf.DUMMYFUNCTION("""COMPUTED_VALUE"""),16.0)</f>
        <v>16</v>
      </c>
      <c r="K225" s="7">
        <f>IFERROR(__xludf.DUMMYFUNCTION("""COMPUTED_VALUE"""),20.0)</f>
        <v>20</v>
      </c>
      <c r="L225" s="8">
        <f>IFERROR(__xludf.DUMMYFUNCTION("""COMPUTED_VALUE"""),3.003716553E9)</f>
        <v>3003716553</v>
      </c>
      <c r="M225" s="9" t="str">
        <f>IFERROR(__xludf.DUMMYFUNCTION("""COMPUTED_VALUE"""),"#REF!")</f>
        <v>#REF!</v>
      </c>
      <c r="N225" s="1"/>
      <c r="O225" s="3" t="str">
        <f>IFERROR(__xludf.DUMMYFUNCTION("""COMPUTED_VALUE"""),"")</f>
        <v/>
      </c>
      <c r="P225" s="9" t="b">
        <f>IFERROR(__xludf.DUMMYFUNCTION("""COMPUTED_VALUE"""),FALSE)</f>
        <v>0</v>
      </c>
      <c r="Q225" s="10" t="str">
        <f>IFERROR(__xludf.DUMMYFUNCTION("""COMPUTED_VALUE"""),"")</f>
        <v/>
      </c>
      <c r="R225" s="11" t="str">
        <f>IFERROR(__xludf.DUMMYFUNCTION("""COMPUTED_VALUE"""),"https://drive.google.com/file/d/19dMAFB8mYS-FfAUtRztOjpLHAM_Gy3OF/view?usp=drivesdk")</f>
        <v>https://drive.google.com/file/d/19dMAFB8mYS-FfAUtRztOjpLHAM_Gy3OF/view?usp=drivesdk</v>
      </c>
      <c r="S225" s="1" t="str">
        <f t="shared" si="2"/>
        <v/>
      </c>
      <c r="T225" s="1" t="str">
        <f t="shared" si="3"/>
        <v/>
      </c>
      <c r="U225" s="1" t="str">
        <f t="shared" si="4"/>
        <v/>
      </c>
      <c r="V225" s="1"/>
      <c r="W225" s="1"/>
      <c r="X225" s="1"/>
      <c r="Y225" s="1"/>
      <c r="Z225" s="8"/>
      <c r="AA225" s="1"/>
      <c r="AB225" s="1"/>
      <c r="AC225" s="1"/>
      <c r="AD225" s="1"/>
      <c r="AE225" s="1"/>
      <c r="AF225" s="1"/>
      <c r="AG225" s="1"/>
      <c r="AH225" s="1" t="str">
        <f t="shared" si="1"/>
        <v/>
      </c>
      <c r="AI225" s="1"/>
    </row>
    <row r="226">
      <c r="A226" s="5">
        <f>IFERROR(__xludf.DUMMYFUNCTION("""COMPUTED_VALUE"""),45002.0)</f>
        <v>45002</v>
      </c>
      <c r="B226" s="14" t="str">
        <f>IFERROR(__xludf.DUMMYFUNCTION("""COMPUTED_VALUE"""),"Envia")</f>
        <v>Envia</v>
      </c>
      <c r="C226" s="6" t="str">
        <f>IFERROR(__xludf.DUMMYFUNCTION("""COMPUTED_VALUE"""),"BOGOTÁ")</f>
        <v>BOGOTÁ</v>
      </c>
      <c r="D226" s="6" t="str">
        <f>IFERROR(__xludf.DUMMYFUNCTION("""COMPUTED_VALUE"""),"MEDELLÍN")</f>
        <v>MEDELLÍN</v>
      </c>
      <c r="E226" s="6" t="str">
        <f>IFERROR(__xludf.DUMMYFUNCTION("""COMPUTED_VALUE"""),"Rambla")</f>
        <v>Rambla</v>
      </c>
      <c r="F226" s="1" t="str">
        <f>IFERROR(__xludf.DUMMYFUNCTION("""COMPUTED_VALUE"""),"Cll 8 sur # 39 _34. Ciudad montes / na / na")</f>
        <v>Cll 8 sur # 39 _34. Ciudad montes / na / na</v>
      </c>
      <c r="G226" s="6" t="str">
        <f>IFERROR(__xludf.DUMMYFUNCTION("""COMPUTED_VALUE"""),"Tierra Fértil -Angela Patricia Murcia")</f>
        <v>Tierra Fértil -Angela Patricia Murcia</v>
      </c>
      <c r="H226" s="7">
        <f>IFERROR(__xludf.DUMMYFUNCTION("""COMPUTED_VALUE"""),8944.0)</f>
        <v>8944</v>
      </c>
      <c r="I226" s="7">
        <f>IFERROR(__xludf.DUMMYFUNCTION("""COMPUTED_VALUE"""),26.0)</f>
        <v>26</v>
      </c>
      <c r="J226" s="7">
        <f>IFERROR(__xludf.DUMMYFUNCTION("""COMPUTED_VALUE"""),30.0)</f>
        <v>30</v>
      </c>
      <c r="K226" s="7">
        <f>IFERROR(__xludf.DUMMYFUNCTION("""COMPUTED_VALUE"""),33.0)</f>
        <v>33</v>
      </c>
      <c r="L226" s="8">
        <f>IFERROR(__xludf.DUMMYFUNCTION("""COMPUTED_VALUE"""),3.112876801E9)</f>
        <v>3112876801</v>
      </c>
      <c r="M226" s="9" t="str">
        <f>IFERROR(__xludf.DUMMYFUNCTION("""COMPUTED_VALUE"""),"#REF!")</f>
        <v>#REF!</v>
      </c>
      <c r="N226" s="1"/>
      <c r="O226" s="3" t="str">
        <f>IFERROR(__xludf.DUMMYFUNCTION("""COMPUTED_VALUE"""),"")</f>
        <v/>
      </c>
      <c r="P226" s="9" t="b">
        <f>IFERROR(__xludf.DUMMYFUNCTION("""COMPUTED_VALUE"""),FALSE)</f>
        <v>0</v>
      </c>
      <c r="Q226" s="10" t="str">
        <f>IFERROR(__xludf.DUMMYFUNCTION("""COMPUTED_VALUE"""),"")</f>
        <v/>
      </c>
      <c r="R226" s="11" t="str">
        <f>IFERROR(__xludf.DUMMYFUNCTION("""COMPUTED_VALUE"""),"https://drive.google.com/file/d/1wB5psVodM2DscBj4nV4APZ_BAvj_5vLV/view?usp=drivesdk")</f>
        <v>https://drive.google.com/file/d/1wB5psVodM2DscBj4nV4APZ_BAvj_5vLV/view?usp=drivesdk</v>
      </c>
      <c r="S226" s="1" t="str">
        <f t="shared" si="2"/>
        <v/>
      </c>
      <c r="T226" s="1" t="str">
        <f t="shared" si="3"/>
        <v/>
      </c>
      <c r="U226" s="1" t="str">
        <f t="shared" si="4"/>
        <v/>
      </c>
      <c r="V226" s="1"/>
      <c r="W226" s="1"/>
      <c r="X226" s="1"/>
      <c r="Y226" s="1"/>
      <c r="Z226" s="8"/>
      <c r="AA226" s="1"/>
      <c r="AB226" s="1"/>
      <c r="AC226" s="1"/>
      <c r="AD226" s="1"/>
      <c r="AE226" s="1"/>
      <c r="AF226" s="1"/>
      <c r="AG226" s="1"/>
      <c r="AH226" s="1" t="str">
        <f t="shared" si="1"/>
        <v/>
      </c>
      <c r="AI226" s="1"/>
    </row>
    <row r="227">
      <c r="A227" s="5">
        <f>IFERROR(__xludf.DUMMYFUNCTION("""COMPUTED_VALUE"""),45002.0)</f>
        <v>45002</v>
      </c>
      <c r="B227" s="14" t="str">
        <f>IFERROR(__xludf.DUMMYFUNCTION("""COMPUTED_VALUE"""),"Envia")</f>
        <v>Envia</v>
      </c>
      <c r="C227" s="6" t="str">
        <f>IFERROR(__xludf.DUMMYFUNCTION("""COMPUTED_VALUE"""),"CAJICÁ")</f>
        <v>CAJICÁ</v>
      </c>
      <c r="D227" s="6" t="str">
        <f>IFERROR(__xludf.DUMMYFUNCTION("""COMPUTED_VALUE"""),"MEDELLÍN")</f>
        <v>MEDELLÍN</v>
      </c>
      <c r="E227" s="6" t="str">
        <f>IFERROR(__xludf.DUMMYFUNCTION("""COMPUTED_VALUE"""),"Rambla")</f>
        <v>Rambla</v>
      </c>
      <c r="F227" s="1" t="str">
        <f>IFERROR(__xludf.DUMMYFUNCTION("""COMPUTED_VALUE"""),"Centro Empresarial Belenus local 109 Km 2 Vía Cajicá Chia Chia - Cundinamarca / NA / NA")</f>
        <v>Centro Empresarial Belenus local 109 Km 2 Vía Cajicá Chia Chia - Cundinamarca / NA / NA</v>
      </c>
      <c r="G227" s="6" t="str">
        <f>IFERROR(__xludf.DUMMYFUNCTION("""COMPUTED_VALUE"""),"Vitalmente Cajica - Inversiones Vitalmentefit S.A.S")</f>
        <v>Vitalmente Cajica - Inversiones Vitalmentefit S.A.S</v>
      </c>
      <c r="H227" s="7">
        <f>IFERROR(__xludf.DUMMYFUNCTION("""COMPUTED_VALUE"""),8935.0)</f>
        <v>8935</v>
      </c>
      <c r="I227" s="7">
        <f>IFERROR(__xludf.DUMMYFUNCTION("""COMPUTED_VALUE"""),26.0)</f>
        <v>26</v>
      </c>
      <c r="J227" s="7">
        <f>IFERROR(__xludf.DUMMYFUNCTION("""COMPUTED_VALUE"""),30.0)</f>
        <v>30</v>
      </c>
      <c r="K227" s="7">
        <f>IFERROR(__xludf.DUMMYFUNCTION("""COMPUTED_VALUE"""),33.0)</f>
        <v>33</v>
      </c>
      <c r="L227" s="8">
        <f>IFERROR(__xludf.DUMMYFUNCTION("""COMPUTED_VALUE"""),3.202040407E9)</f>
        <v>3202040407</v>
      </c>
      <c r="M227" s="9" t="str">
        <f>IFERROR(__xludf.DUMMYFUNCTION("""COMPUTED_VALUE"""),"#REF!")</f>
        <v>#REF!</v>
      </c>
      <c r="N227" s="1"/>
      <c r="O227" s="3" t="str">
        <f>IFERROR(__xludf.DUMMYFUNCTION("""COMPUTED_VALUE"""),"")</f>
        <v/>
      </c>
      <c r="P227" s="9" t="b">
        <f>IFERROR(__xludf.DUMMYFUNCTION("""COMPUTED_VALUE"""),FALSE)</f>
        <v>0</v>
      </c>
      <c r="Q227" s="10" t="str">
        <f>IFERROR(__xludf.DUMMYFUNCTION("""COMPUTED_VALUE"""),"")</f>
        <v/>
      </c>
      <c r="R227" s="11" t="str">
        <f>IFERROR(__xludf.DUMMYFUNCTION("""COMPUTED_VALUE"""),"https://drive.google.com/file/d/16fMTYnV07xECRYOFnfveY_arrTxR7CI1/view?usp=drivesdk")</f>
        <v>https://drive.google.com/file/d/16fMTYnV07xECRYOFnfveY_arrTxR7CI1/view?usp=drivesdk</v>
      </c>
      <c r="S227" s="1" t="str">
        <f t="shared" si="2"/>
        <v/>
      </c>
      <c r="T227" s="1" t="str">
        <f t="shared" si="3"/>
        <v/>
      </c>
      <c r="U227" s="1" t="str">
        <f t="shared" si="4"/>
        <v/>
      </c>
      <c r="V227" s="1"/>
      <c r="W227" s="1"/>
      <c r="X227" s="1"/>
      <c r="Y227" s="1"/>
      <c r="Z227" s="8"/>
      <c r="AA227" s="1"/>
      <c r="AB227" s="1"/>
      <c r="AC227" s="1"/>
      <c r="AD227" s="1"/>
      <c r="AE227" s="1"/>
      <c r="AF227" s="1"/>
      <c r="AG227" s="1"/>
      <c r="AH227" s="1" t="str">
        <f t="shared" si="1"/>
        <v/>
      </c>
      <c r="AI227" s="1"/>
    </row>
    <row r="228">
      <c r="A228" s="5">
        <f>IFERROR(__xludf.DUMMYFUNCTION("""COMPUTED_VALUE"""),45002.0)</f>
        <v>45002</v>
      </c>
      <c r="B228" s="14" t="str">
        <f>IFERROR(__xludf.DUMMYFUNCTION("""COMPUTED_VALUE"""),"Envia")</f>
        <v>Envia</v>
      </c>
      <c r="C228" s="6" t="str">
        <f>IFERROR(__xludf.DUMMYFUNCTION("""COMPUTED_VALUE"""),"CALI")</f>
        <v>CALI</v>
      </c>
      <c r="D228" s="6" t="str">
        <f>IFERROR(__xludf.DUMMYFUNCTION("""COMPUTED_VALUE"""),"BOGOTÁ")</f>
        <v>BOGOTÁ</v>
      </c>
      <c r="E228" s="6" t="str">
        <f>IFERROR(__xludf.DUMMYFUNCTION("""COMPUTED_VALUE"""),"Mochi")</f>
        <v>Mochi</v>
      </c>
      <c r="F228" s="1" t="str">
        <f>IFERROR(__xludf.DUMMYFUNCTION("""COMPUTED_VALUE"""),"calle 15norte 9n 16 / granada / granada")</f>
        <v>calle 15norte 9n 16 / granada / granada</v>
      </c>
      <c r="G228" s="6" t="str">
        <f>IFERROR(__xludf.DUMMYFUNCTION("""COMPUTED_VALUE"""),"estefania")</f>
        <v>estefania</v>
      </c>
      <c r="H228" s="7">
        <f>IFERROR(__xludf.DUMMYFUNCTION("""COMPUTED_VALUE"""),8942.0)</f>
        <v>8942</v>
      </c>
      <c r="I228" s="7">
        <f>IFERROR(__xludf.DUMMYFUNCTION("""COMPUTED_VALUE"""),55.0)</f>
        <v>55</v>
      </c>
      <c r="J228" s="7">
        <f>IFERROR(__xludf.DUMMYFUNCTION("""COMPUTED_VALUE"""),45.0)</f>
        <v>45</v>
      </c>
      <c r="K228" s="2" t="str">
        <f>IFERROR(__xludf.DUMMYFUNCTION("""COMPUTED_VALUE"""),"52.5")</f>
        <v>52.5</v>
      </c>
      <c r="L228" s="8">
        <f>IFERROR(__xludf.DUMMYFUNCTION("""COMPUTED_VALUE"""),3.183028598E9)</f>
        <v>3183028598</v>
      </c>
      <c r="M228" s="9" t="str">
        <f>IFERROR(__xludf.DUMMYFUNCTION("""COMPUTED_VALUE"""),"#REF!")</f>
        <v>#REF!</v>
      </c>
      <c r="N228" s="1"/>
      <c r="O228" s="3" t="str">
        <f>IFERROR(__xludf.DUMMYFUNCTION("""COMPUTED_VALUE"""),"")</f>
        <v/>
      </c>
      <c r="P228" s="9" t="b">
        <f>IFERROR(__xludf.DUMMYFUNCTION("""COMPUTED_VALUE"""),FALSE)</f>
        <v>0</v>
      </c>
      <c r="Q228" s="10" t="str">
        <f>IFERROR(__xludf.DUMMYFUNCTION("""COMPUTED_VALUE"""),"")</f>
        <v/>
      </c>
      <c r="R228" s="12" t="str">
        <f>IFERROR(__xludf.DUMMYFUNCTION("""COMPUTED_VALUE"""),"")</f>
        <v/>
      </c>
      <c r="S228" s="1" t="str">
        <f t="shared" si="2"/>
        <v/>
      </c>
      <c r="T228" s="1" t="str">
        <f t="shared" si="3"/>
        <v/>
      </c>
      <c r="U228" s="1" t="str">
        <f t="shared" si="4"/>
        <v/>
      </c>
      <c r="V228" s="1"/>
      <c r="W228" s="1"/>
      <c r="X228" s="1"/>
      <c r="Y228" s="1"/>
      <c r="Z228" s="8"/>
      <c r="AA228" s="1"/>
      <c r="AB228" s="1"/>
      <c r="AC228" s="1"/>
      <c r="AD228" s="1"/>
      <c r="AE228" s="1"/>
      <c r="AF228" s="1"/>
      <c r="AG228" s="1"/>
      <c r="AH228" s="1" t="str">
        <f t="shared" si="1"/>
        <v/>
      </c>
      <c r="AI228" s="1"/>
    </row>
    <row r="229">
      <c r="A229" s="5">
        <f>IFERROR(__xludf.DUMMYFUNCTION("""COMPUTED_VALUE"""),45002.0)</f>
        <v>45002</v>
      </c>
      <c r="B229" s="14" t="str">
        <f>IFERROR(__xludf.DUMMYFUNCTION("""COMPUTED_VALUE"""),"Envia")</f>
        <v>Envia</v>
      </c>
      <c r="C229" s="6" t="str">
        <f>IFERROR(__xludf.DUMMYFUNCTION("""COMPUTED_VALUE"""),"CALI")</f>
        <v>CALI</v>
      </c>
      <c r="D229" s="6" t="str">
        <f>IFERROR(__xludf.DUMMYFUNCTION("""COMPUTED_VALUE"""),"BOGOTÁ")</f>
        <v>BOGOTÁ</v>
      </c>
      <c r="E229" s="6" t="str">
        <f>IFERROR(__xludf.DUMMYFUNCTION("""COMPUTED_VALUE"""),"Renata")</f>
        <v>Renata</v>
      </c>
      <c r="F229" s="1" t="str">
        <f>IFERROR(__xludf.DUMMYFUNCTION("""COMPUTED_VALUE"""),"Carrera 3#3a-83 / Patio 34 food containers -restaurante  / San Fernando")</f>
        <v>Carrera 3#3a-83 / Patio 34 food containers -restaurante  / San Fernando</v>
      </c>
      <c r="G229" s="6" t="str">
        <f>IFERROR(__xludf.DUMMYFUNCTION("""COMPUTED_VALUE"""),"Retaco sas")</f>
        <v>Retaco sas</v>
      </c>
      <c r="H229" s="7">
        <f>IFERROR(__xludf.DUMMYFUNCTION("""COMPUTED_VALUE"""),8931.0)</f>
        <v>8931</v>
      </c>
      <c r="I229" s="7">
        <f>IFERROR(__xludf.DUMMYFUNCTION("""COMPUTED_VALUE"""),90.0)</f>
        <v>90</v>
      </c>
      <c r="J229" s="7">
        <f>IFERROR(__xludf.DUMMYFUNCTION("""COMPUTED_VALUE"""),70.0)</f>
        <v>70</v>
      </c>
      <c r="K229" s="7">
        <f>IFERROR(__xludf.DUMMYFUNCTION("""COMPUTED_VALUE"""),60.0)</f>
        <v>60</v>
      </c>
      <c r="L229" s="8">
        <f>IFERROR(__xludf.DUMMYFUNCTION("""COMPUTED_VALUE"""),3.134720976E9)</f>
        <v>3134720976</v>
      </c>
      <c r="M229" s="9" t="str">
        <f>IFERROR(__xludf.DUMMYFUNCTION("""COMPUTED_VALUE"""),"#REF!")</f>
        <v>#REF!</v>
      </c>
      <c r="N229" s="1"/>
      <c r="O229" s="3" t="str">
        <f>IFERROR(__xludf.DUMMYFUNCTION("""COMPUTED_VALUE"""),"")</f>
        <v/>
      </c>
      <c r="P229" s="9" t="b">
        <f>IFERROR(__xludf.DUMMYFUNCTION("""COMPUTED_VALUE"""),FALSE)</f>
        <v>0</v>
      </c>
      <c r="Q229" s="10" t="str">
        <f>IFERROR(__xludf.DUMMYFUNCTION("""COMPUTED_VALUE"""),"")</f>
        <v/>
      </c>
      <c r="R229" s="12" t="str">
        <f>IFERROR(__xludf.DUMMYFUNCTION("""COMPUTED_VALUE"""),"")</f>
        <v/>
      </c>
      <c r="S229" s="1" t="str">
        <f t="shared" si="2"/>
        <v/>
      </c>
      <c r="T229" s="1" t="str">
        <f t="shared" si="3"/>
        <v/>
      </c>
      <c r="U229" s="1" t="str">
        <f t="shared" si="4"/>
        <v/>
      </c>
      <c r="V229" s="1"/>
      <c r="W229" s="1"/>
      <c r="X229" s="1"/>
      <c r="Y229" s="1"/>
      <c r="Z229" s="8"/>
      <c r="AA229" s="1"/>
      <c r="AB229" s="1"/>
      <c r="AC229" s="1"/>
      <c r="AD229" s="1"/>
      <c r="AE229" s="1"/>
      <c r="AF229" s="1"/>
      <c r="AG229" s="1"/>
      <c r="AH229" s="1" t="str">
        <f t="shared" si="1"/>
        <v/>
      </c>
      <c r="AI229" s="1"/>
    </row>
    <row r="230">
      <c r="A230" s="5">
        <f>IFERROR(__xludf.DUMMYFUNCTION("""COMPUTED_VALUE"""),45002.0)</f>
        <v>45002</v>
      </c>
      <c r="B230" s="14" t="str">
        <f>IFERROR(__xludf.DUMMYFUNCTION("""COMPUTED_VALUE"""),"Envia")</f>
        <v>Envia</v>
      </c>
      <c r="C230" s="6" t="str">
        <f>IFERROR(__xludf.DUMMYFUNCTION("""COMPUTED_VALUE"""),"CALI")</f>
        <v>CALI</v>
      </c>
      <c r="D230" s="6" t="str">
        <f>IFERROR(__xludf.DUMMYFUNCTION("""COMPUTED_VALUE"""),"BOGOTÁ")</f>
        <v>BOGOTÁ</v>
      </c>
      <c r="E230" s="6" t="str">
        <f>IFERROR(__xludf.DUMMYFUNCTION("""COMPUTED_VALUE"""),"Viral Brands")</f>
        <v>Viral Brands</v>
      </c>
      <c r="F230" s="1" t="str">
        <f>IFERROR(__xludf.DUMMYFUNCTION("""COMPUTED_VALUE"""),"Avenida 5a N 25n 39  / Cocinas 8y 9  / Barrio San Vicente")</f>
        <v>Avenida 5a N 25n 39  / Cocinas 8y 9  / Barrio San Vicente</v>
      </c>
      <c r="G230" s="6" t="str">
        <f>IFERROR(__xludf.DUMMYFUNCTION("""COMPUTED_VALUE"""),"Liz Gámez")</f>
        <v>Liz Gámez</v>
      </c>
      <c r="H230" s="7">
        <f>IFERROR(__xludf.DUMMYFUNCTION("""COMPUTED_VALUE"""),8949.0)</f>
        <v>8949</v>
      </c>
      <c r="I230" s="7">
        <f>IFERROR(__xludf.DUMMYFUNCTION("""COMPUTED_VALUE"""),55.0)</f>
        <v>55</v>
      </c>
      <c r="J230" s="7">
        <f>IFERROR(__xludf.DUMMYFUNCTION("""COMPUTED_VALUE"""),45.0)</f>
        <v>45</v>
      </c>
      <c r="K230" s="2" t="str">
        <f>IFERROR(__xludf.DUMMYFUNCTION("""COMPUTED_VALUE"""),"52.5")</f>
        <v>52.5</v>
      </c>
      <c r="L230" s="8">
        <f>IFERROR(__xludf.DUMMYFUNCTION("""COMPUTED_VALUE"""),3.218280504E9)</f>
        <v>3218280504</v>
      </c>
      <c r="M230" s="9" t="str">
        <f>IFERROR(__xludf.DUMMYFUNCTION("""COMPUTED_VALUE"""),"#REF!")</f>
        <v>#REF!</v>
      </c>
      <c r="N230" s="1"/>
      <c r="O230" s="3" t="str">
        <f>IFERROR(__xludf.DUMMYFUNCTION("""COMPUTED_VALUE"""),"")</f>
        <v/>
      </c>
      <c r="P230" s="9" t="b">
        <f>IFERROR(__xludf.DUMMYFUNCTION("""COMPUTED_VALUE"""),FALSE)</f>
        <v>0</v>
      </c>
      <c r="Q230" s="10" t="str">
        <f>IFERROR(__xludf.DUMMYFUNCTION("""COMPUTED_VALUE"""),"")</f>
        <v/>
      </c>
      <c r="R230" s="12" t="str">
        <f>IFERROR(__xludf.DUMMYFUNCTION("""COMPUTED_VALUE"""),"")</f>
        <v/>
      </c>
      <c r="S230" s="1" t="str">
        <f t="shared" si="2"/>
        <v/>
      </c>
      <c r="T230" s="1" t="str">
        <f t="shared" si="3"/>
        <v/>
      </c>
      <c r="U230" s="1" t="str">
        <f t="shared" si="4"/>
        <v/>
      </c>
      <c r="V230" s="1"/>
      <c r="W230" s="1"/>
      <c r="X230" s="1"/>
      <c r="Y230" s="1"/>
      <c r="Z230" s="8"/>
      <c r="AA230" s="1"/>
      <c r="AB230" s="1"/>
      <c r="AC230" s="1"/>
      <c r="AD230" s="1"/>
      <c r="AE230" s="1"/>
      <c r="AF230" s="1"/>
      <c r="AG230" s="1"/>
      <c r="AH230" s="1" t="str">
        <f t="shared" si="1"/>
        <v/>
      </c>
      <c r="AI230" s="1"/>
    </row>
    <row r="231">
      <c r="A231" s="5">
        <f>IFERROR(__xludf.DUMMYFUNCTION("""COMPUTED_VALUE"""),45002.0)</f>
        <v>45002</v>
      </c>
      <c r="B231" s="14" t="str">
        <f>IFERROR(__xludf.DUMMYFUNCTION("""COMPUTED_VALUE"""),"Envia")</f>
        <v>Envia</v>
      </c>
      <c r="C231" s="6" t="str">
        <f>IFERROR(__xludf.DUMMYFUNCTION("""COMPUTED_VALUE"""),"CARTAGENA")</f>
        <v>CARTAGENA</v>
      </c>
      <c r="D231" s="6" t="str">
        <f>IFERROR(__xludf.DUMMYFUNCTION("""COMPUTED_VALUE"""),"BOGOTÁ")</f>
        <v>BOGOTÁ</v>
      </c>
      <c r="E231" s="6" t="str">
        <f>IFERROR(__xludf.DUMMYFUNCTION("""COMPUTED_VALUE"""),"SISU PARTNERS SAS")</f>
        <v>SISU PARTNERS SAS</v>
      </c>
      <c r="F231" s="1" t="str">
        <f>IFERROR(__xludf.DUMMYFUNCTION("""COMPUTED_VALUE"""),"Carrera 7 no. 38-48 local 3 / Local Mary &amp; George")</f>
        <v>Carrera 7 no. 38-48 local 3 / Local Mary &amp; George</v>
      </c>
      <c r="G231" s="6" t="str">
        <f>IFERROR(__xludf.DUMMYFUNCTION("""COMPUTED_VALUE"""),"Carolyne Bailey")</f>
        <v>Carolyne Bailey</v>
      </c>
      <c r="H231" s="7">
        <f>IFERROR(__xludf.DUMMYFUNCTION("""COMPUTED_VALUE"""),8892.0)</f>
        <v>8892</v>
      </c>
      <c r="I231" s="2" t="str">
        <f>IFERROR(__xludf.DUMMYFUNCTION("""COMPUTED_VALUE"""),"52.5")</f>
        <v>52.5</v>
      </c>
      <c r="J231" s="7">
        <f>IFERROR(__xludf.DUMMYFUNCTION("""COMPUTED_VALUE"""),45.0)</f>
        <v>45</v>
      </c>
      <c r="K231" s="7">
        <f>IFERROR(__xludf.DUMMYFUNCTION("""COMPUTED_VALUE"""),55.0)</f>
        <v>55</v>
      </c>
      <c r="L231" s="8">
        <f>IFERROR(__xludf.DUMMYFUNCTION("""COMPUTED_VALUE"""),3.105510381E9)</f>
        <v>3105510381</v>
      </c>
      <c r="M231" s="9" t="str">
        <f>IFERROR(__xludf.DUMMYFUNCTION("""COMPUTED_VALUE"""),"#REF!")</f>
        <v>#REF!</v>
      </c>
      <c r="N231" s="1"/>
      <c r="O231" s="3" t="str">
        <f>IFERROR(__xludf.DUMMYFUNCTION("""COMPUTED_VALUE"""),"")</f>
        <v/>
      </c>
      <c r="P231" s="9" t="b">
        <f>IFERROR(__xludf.DUMMYFUNCTION("""COMPUTED_VALUE"""),FALSE)</f>
        <v>0</v>
      </c>
      <c r="Q231" s="10" t="str">
        <f>IFERROR(__xludf.DUMMYFUNCTION("""COMPUTED_VALUE"""),"")</f>
        <v/>
      </c>
      <c r="R231" s="12" t="str">
        <f>IFERROR(__xludf.DUMMYFUNCTION("""COMPUTED_VALUE"""),"")</f>
        <v/>
      </c>
      <c r="S231" s="1" t="str">
        <f t="shared" si="2"/>
        <v/>
      </c>
      <c r="T231" s="1" t="str">
        <f t="shared" si="3"/>
        <v/>
      </c>
      <c r="U231" s="1" t="str">
        <f t="shared" si="4"/>
        <v/>
      </c>
      <c r="V231" s="1"/>
      <c r="W231" s="1"/>
      <c r="X231" s="1"/>
      <c r="Y231" s="1"/>
      <c r="Z231" s="8"/>
      <c r="AA231" s="1"/>
      <c r="AB231" s="1"/>
      <c r="AC231" s="1"/>
      <c r="AD231" s="1"/>
      <c r="AE231" s="1"/>
      <c r="AF231" s="1"/>
      <c r="AG231" s="1"/>
      <c r="AH231" s="1" t="str">
        <f t="shared" si="1"/>
        <v/>
      </c>
      <c r="AI231" s="1"/>
    </row>
    <row r="232">
      <c r="A232" s="5">
        <f>IFERROR(__xludf.DUMMYFUNCTION("""COMPUTED_VALUE"""),45002.0)</f>
        <v>45002</v>
      </c>
      <c r="B232" s="14" t="str">
        <f>IFERROR(__xludf.DUMMYFUNCTION("""COMPUTED_VALUE"""),"Envia")</f>
        <v>Envia</v>
      </c>
      <c r="C232" s="6" t="str">
        <f>IFERROR(__xludf.DUMMYFUNCTION("""COMPUTED_VALUE"""),"CÚCUTA")</f>
        <v>CÚCUTA</v>
      </c>
      <c r="D232" s="6" t="str">
        <f>IFERROR(__xludf.DUMMYFUNCTION("""COMPUTED_VALUE"""),"BOGOTÁ")</f>
        <v>BOGOTÁ</v>
      </c>
      <c r="E232" s="6" t="str">
        <f>IFERROR(__xludf.DUMMYFUNCTION("""COMPUTED_VALUE"""),"Evamazzita")</f>
        <v>Evamazzita</v>
      </c>
      <c r="F232" s="1" t="str">
        <f>IFERROR(__xludf.DUMMYFUNCTION("""COMPUTED_VALUE"""),"av 11 ae # 11an-81  / conjunto cerrado villas de mediterráneo casa 28  / barrio guaimaral")</f>
        <v>av 11 ae # 11an-81  / conjunto cerrado villas de mediterráneo casa 28  / barrio guaimaral</v>
      </c>
      <c r="G232" s="6" t="str">
        <f>IFERROR(__xludf.DUMMYFUNCTION("""COMPUTED_VALUE"""),"KATHERINE TABORDA")</f>
        <v>KATHERINE TABORDA</v>
      </c>
      <c r="H232" s="7">
        <f>IFERROR(__xludf.DUMMYFUNCTION("""COMPUTED_VALUE"""),8896.0)</f>
        <v>8896</v>
      </c>
      <c r="I232" s="7">
        <f>IFERROR(__xludf.DUMMYFUNCTION("""COMPUTED_VALUE"""),10.0)</f>
        <v>10</v>
      </c>
      <c r="J232" s="7">
        <f>IFERROR(__xludf.DUMMYFUNCTION("""COMPUTED_VALUE"""),18.0)</f>
        <v>18</v>
      </c>
      <c r="K232" s="7">
        <f>IFERROR(__xludf.DUMMYFUNCTION("""COMPUTED_VALUE"""),22.0)</f>
        <v>22</v>
      </c>
      <c r="L232" s="8">
        <f>IFERROR(__xludf.DUMMYFUNCTION("""COMPUTED_VALUE"""),3.155453097E9)</f>
        <v>3155453097</v>
      </c>
      <c r="M232" s="9" t="str">
        <f>IFERROR(__xludf.DUMMYFUNCTION("""COMPUTED_VALUE"""),"#REF!")</f>
        <v>#REF!</v>
      </c>
      <c r="N232" s="1"/>
      <c r="O232" s="3" t="str">
        <f>IFERROR(__xludf.DUMMYFUNCTION("""COMPUTED_VALUE"""),"")</f>
        <v/>
      </c>
      <c r="P232" s="9" t="b">
        <f>IFERROR(__xludf.DUMMYFUNCTION("""COMPUTED_VALUE"""),FALSE)</f>
        <v>0</v>
      </c>
      <c r="Q232" s="10" t="str">
        <f>IFERROR(__xludf.DUMMYFUNCTION("""COMPUTED_VALUE"""),"")</f>
        <v/>
      </c>
      <c r="R232" s="12" t="str">
        <f>IFERROR(__xludf.DUMMYFUNCTION("""COMPUTED_VALUE"""),"")</f>
        <v/>
      </c>
      <c r="S232" s="1" t="str">
        <f t="shared" si="2"/>
        <v/>
      </c>
      <c r="T232" s="1" t="str">
        <f t="shared" si="3"/>
        <v/>
      </c>
      <c r="U232" s="1" t="str">
        <f t="shared" si="4"/>
        <v/>
      </c>
      <c r="V232" s="1"/>
      <c r="W232" s="1"/>
      <c r="X232" s="1"/>
      <c r="Y232" s="1"/>
      <c r="Z232" s="8"/>
      <c r="AA232" s="1"/>
      <c r="AB232" s="1"/>
      <c r="AC232" s="1"/>
      <c r="AD232" s="1"/>
      <c r="AE232" s="1"/>
      <c r="AF232" s="1"/>
      <c r="AG232" s="1"/>
      <c r="AH232" s="1" t="str">
        <f t="shared" si="1"/>
        <v/>
      </c>
      <c r="AI232" s="1"/>
    </row>
    <row r="233">
      <c r="A233" s="5">
        <f>IFERROR(__xludf.DUMMYFUNCTION("""COMPUTED_VALUE"""),45002.0)</f>
        <v>45002</v>
      </c>
      <c r="B233" s="14" t="str">
        <f>IFERROR(__xludf.DUMMYFUNCTION("""COMPUTED_VALUE"""),"Envia")</f>
        <v>Envia</v>
      </c>
      <c r="C233" s="6" t="str">
        <f>IFERROR(__xludf.DUMMYFUNCTION("""COMPUTED_VALUE"""),"CÚCUTA")</f>
        <v>CÚCUTA</v>
      </c>
      <c r="D233" s="6" t="str">
        <f>IFERROR(__xludf.DUMMYFUNCTION("""COMPUTED_VALUE"""),"BOGOTÁ")</f>
        <v>BOGOTÁ</v>
      </c>
      <c r="E233" s="6" t="str">
        <f>IFERROR(__xludf.DUMMYFUNCTION("""COMPUTED_VALUE"""),"Evamazzita")</f>
        <v>Evamazzita</v>
      </c>
      <c r="F233" s="1" t="str">
        <f>IFERROR(__xludf.DUMMYFUNCTION("""COMPUTED_VALUE"""),"Calle 9 # 14 - 21   / N/A / barrio san miguel")</f>
        <v>Calle 9 # 14 - 21   / N/A / barrio san miguel</v>
      </c>
      <c r="G233" s="6" t="str">
        <f>IFERROR(__xludf.DUMMYFUNCTION("""COMPUTED_VALUE"""),"MARIA JOSE DUARTE")</f>
        <v>MARIA JOSE DUARTE</v>
      </c>
      <c r="H233" s="7">
        <f>IFERROR(__xludf.DUMMYFUNCTION("""COMPUTED_VALUE"""),8897.0)</f>
        <v>8897</v>
      </c>
      <c r="I233" s="7">
        <f>IFERROR(__xludf.DUMMYFUNCTION("""COMPUTED_VALUE"""),3.0)</f>
        <v>3</v>
      </c>
      <c r="J233" s="7">
        <f>IFERROR(__xludf.DUMMYFUNCTION("""COMPUTED_VALUE"""),20.0)</f>
        <v>20</v>
      </c>
      <c r="K233" s="7">
        <f>IFERROR(__xludf.DUMMYFUNCTION("""COMPUTED_VALUE"""),15.0)</f>
        <v>15</v>
      </c>
      <c r="L233" s="8">
        <f>IFERROR(__xludf.DUMMYFUNCTION("""COMPUTED_VALUE"""),3.153363574E9)</f>
        <v>3153363574</v>
      </c>
      <c r="M233" s="9" t="str">
        <f>IFERROR(__xludf.DUMMYFUNCTION("""COMPUTED_VALUE"""),"#REF!")</f>
        <v>#REF!</v>
      </c>
      <c r="N233" s="1"/>
      <c r="O233" s="3" t="str">
        <f>IFERROR(__xludf.DUMMYFUNCTION("""COMPUTED_VALUE"""),"")</f>
        <v/>
      </c>
      <c r="P233" s="9" t="b">
        <f>IFERROR(__xludf.DUMMYFUNCTION("""COMPUTED_VALUE"""),FALSE)</f>
        <v>0</v>
      </c>
      <c r="Q233" s="10" t="str">
        <f>IFERROR(__xludf.DUMMYFUNCTION("""COMPUTED_VALUE"""),"")</f>
        <v/>
      </c>
      <c r="R233" s="12" t="str">
        <f>IFERROR(__xludf.DUMMYFUNCTION("""COMPUTED_VALUE"""),"")</f>
        <v/>
      </c>
      <c r="S233" s="1" t="str">
        <f t="shared" si="2"/>
        <v/>
      </c>
      <c r="T233" s="1" t="str">
        <f t="shared" si="3"/>
        <v/>
      </c>
      <c r="U233" s="1" t="str">
        <f t="shared" si="4"/>
        <v/>
      </c>
      <c r="V233" s="1"/>
      <c r="W233" s="1"/>
      <c r="X233" s="1"/>
      <c r="Y233" s="1"/>
      <c r="Z233" s="8"/>
      <c r="AA233" s="1"/>
      <c r="AB233" s="1"/>
      <c r="AC233" s="1"/>
      <c r="AD233" s="1"/>
      <c r="AE233" s="1"/>
      <c r="AF233" s="1"/>
      <c r="AG233" s="1"/>
      <c r="AH233" s="1" t="str">
        <f t="shared" si="1"/>
        <v/>
      </c>
      <c r="AI233" s="1"/>
    </row>
    <row r="234">
      <c r="A234" s="5">
        <f>IFERROR(__xludf.DUMMYFUNCTION("""COMPUTED_VALUE"""),45002.0)</f>
        <v>45002</v>
      </c>
      <c r="B234" s="14" t="str">
        <f>IFERROR(__xludf.DUMMYFUNCTION("""COMPUTED_VALUE"""),"Envia")</f>
        <v>Envia</v>
      </c>
      <c r="C234" s="6" t="str">
        <f>IFERROR(__xludf.DUMMYFUNCTION("""COMPUTED_VALUE"""),"CÚCUTA")</f>
        <v>CÚCUTA</v>
      </c>
      <c r="D234" s="6" t="str">
        <f>IFERROR(__xludf.DUMMYFUNCTION("""COMPUTED_VALUE"""),"MEDELLÍN")</f>
        <v>MEDELLÍN</v>
      </c>
      <c r="E234" s="6" t="str">
        <f>IFERROR(__xludf.DUMMYFUNCTION("""COMPUTED_VALUE"""),"Rambla")</f>
        <v>Rambla</v>
      </c>
      <c r="F234" s="1" t="str">
        <f>IFERROR(__xludf.DUMMYFUNCTION("""COMPUTED_VALUE"""),"Av 11e # 1-35 av guaimaral barrio quinta oriental local 3 / na / na")</f>
        <v>Av 11e # 1-35 av guaimaral barrio quinta oriental local 3 / na / na</v>
      </c>
      <c r="G234" s="6" t="str">
        <f>IFERROR(__xludf.DUMMYFUNCTION("""COMPUTED_VALUE"""),"Vitalfit")</f>
        <v>Vitalfit</v>
      </c>
      <c r="H234" s="7">
        <f>IFERROR(__xludf.DUMMYFUNCTION("""COMPUTED_VALUE"""),8924.0)</f>
        <v>8924</v>
      </c>
      <c r="I234" s="7">
        <f>IFERROR(__xludf.DUMMYFUNCTION("""COMPUTED_VALUE"""),26.0)</f>
        <v>26</v>
      </c>
      <c r="J234" s="7">
        <f>IFERROR(__xludf.DUMMYFUNCTION("""COMPUTED_VALUE"""),30.0)</f>
        <v>30</v>
      </c>
      <c r="K234" s="7">
        <f>IFERROR(__xludf.DUMMYFUNCTION("""COMPUTED_VALUE"""),32.0)</f>
        <v>32</v>
      </c>
      <c r="L234" s="8">
        <f>IFERROR(__xludf.DUMMYFUNCTION("""COMPUTED_VALUE"""),3.01782078E9)</f>
        <v>3017820780</v>
      </c>
      <c r="M234" s="9" t="str">
        <f>IFERROR(__xludf.DUMMYFUNCTION("""COMPUTED_VALUE"""),"#REF!")</f>
        <v>#REF!</v>
      </c>
      <c r="N234" s="1"/>
      <c r="O234" s="3" t="str">
        <f>IFERROR(__xludf.DUMMYFUNCTION("""COMPUTED_VALUE"""),"")</f>
        <v/>
      </c>
      <c r="P234" s="9" t="b">
        <f>IFERROR(__xludf.DUMMYFUNCTION("""COMPUTED_VALUE"""),FALSE)</f>
        <v>0</v>
      </c>
      <c r="Q234" s="10" t="str">
        <f>IFERROR(__xludf.DUMMYFUNCTION("""COMPUTED_VALUE"""),"")</f>
        <v/>
      </c>
      <c r="R234" s="12" t="str">
        <f>IFERROR(__xludf.DUMMYFUNCTION("""COMPUTED_VALUE"""),"")</f>
        <v/>
      </c>
      <c r="S234" s="1" t="str">
        <f t="shared" si="2"/>
        <v/>
      </c>
      <c r="T234" s="1" t="str">
        <f t="shared" si="3"/>
        <v/>
      </c>
      <c r="U234" s="1" t="str">
        <f t="shared" si="4"/>
        <v/>
      </c>
      <c r="V234" s="1"/>
      <c r="W234" s="1"/>
      <c r="X234" s="1"/>
      <c r="Y234" s="1"/>
      <c r="Z234" s="8"/>
      <c r="AA234" s="1"/>
      <c r="AB234" s="1"/>
      <c r="AC234" s="1"/>
      <c r="AD234" s="1"/>
      <c r="AE234" s="1"/>
      <c r="AF234" s="1"/>
      <c r="AG234" s="1"/>
      <c r="AH234" s="1" t="str">
        <f t="shared" si="1"/>
        <v/>
      </c>
      <c r="AI234" s="1"/>
    </row>
    <row r="235">
      <c r="A235" s="5">
        <f>IFERROR(__xludf.DUMMYFUNCTION("""COMPUTED_VALUE"""),45002.0)</f>
        <v>45002</v>
      </c>
      <c r="B235" s="14" t="str">
        <f>IFERROR(__xludf.DUMMYFUNCTION("""COMPUTED_VALUE"""),"Envia")</f>
        <v>Envia</v>
      </c>
      <c r="C235" s="6" t="str">
        <f>IFERROR(__xludf.DUMMYFUNCTION("""COMPUTED_VALUE"""),"CÚCUTA")</f>
        <v>CÚCUTA</v>
      </c>
      <c r="D235" s="6" t="str">
        <f>IFERROR(__xludf.DUMMYFUNCTION("""COMPUTED_VALUE"""),"MEDELLÍN")</f>
        <v>MEDELLÍN</v>
      </c>
      <c r="E235" s="6" t="str">
        <f>IFERROR(__xludf.DUMMYFUNCTION("""COMPUTED_VALUE"""),"Rambla")</f>
        <v>Rambla</v>
      </c>
      <c r="F235" s="1" t="str">
        <f>IFERROR(__xludf.DUMMYFUNCTION("""COMPUTED_VALUE"""),"Av 3e No 6cn-12 ceiba 2 / na / na")</f>
        <v>Av 3e No 6cn-12 ceiba 2 / na / na</v>
      </c>
      <c r="G235" s="6" t="str">
        <f>IFERROR(__xludf.DUMMYFUNCTION("""COMPUTED_VALUE"""),"LA BODEGUITA")</f>
        <v>LA BODEGUITA</v>
      </c>
      <c r="H235" s="7">
        <f>IFERROR(__xludf.DUMMYFUNCTION("""COMPUTED_VALUE"""),8923.0)</f>
        <v>8923</v>
      </c>
      <c r="I235" s="7">
        <f>IFERROR(__xludf.DUMMYFUNCTION("""COMPUTED_VALUE"""),33.0)</f>
        <v>33</v>
      </c>
      <c r="J235" s="7">
        <f>IFERROR(__xludf.DUMMYFUNCTION("""COMPUTED_VALUE"""),36.0)</f>
        <v>36</v>
      </c>
      <c r="K235" s="7">
        <f>IFERROR(__xludf.DUMMYFUNCTION("""COMPUTED_VALUE"""),38.0)</f>
        <v>38</v>
      </c>
      <c r="L235" s="8">
        <f>IFERROR(__xludf.DUMMYFUNCTION("""COMPUTED_VALUE"""),3.00384312E9)</f>
        <v>3003843120</v>
      </c>
      <c r="M235" s="9" t="str">
        <f>IFERROR(__xludf.DUMMYFUNCTION("""COMPUTED_VALUE"""),"#REF!")</f>
        <v>#REF!</v>
      </c>
      <c r="N235" s="1"/>
      <c r="O235" s="3" t="str">
        <f>IFERROR(__xludf.DUMMYFUNCTION("""COMPUTED_VALUE"""),"")</f>
        <v/>
      </c>
      <c r="P235" s="9" t="b">
        <f>IFERROR(__xludf.DUMMYFUNCTION("""COMPUTED_VALUE"""),FALSE)</f>
        <v>0</v>
      </c>
      <c r="Q235" s="10" t="str">
        <f>IFERROR(__xludf.DUMMYFUNCTION("""COMPUTED_VALUE"""),"")</f>
        <v/>
      </c>
      <c r="R235" s="12" t="str">
        <f>IFERROR(__xludf.DUMMYFUNCTION("""COMPUTED_VALUE"""),"")</f>
        <v/>
      </c>
      <c r="S235" s="1" t="str">
        <f t="shared" si="2"/>
        <v/>
      </c>
      <c r="T235" s="1" t="str">
        <f t="shared" si="3"/>
        <v/>
      </c>
      <c r="U235" s="1" t="str">
        <f t="shared" si="4"/>
        <v/>
      </c>
      <c r="V235" s="1"/>
      <c r="W235" s="1"/>
      <c r="X235" s="1"/>
      <c r="Y235" s="1"/>
      <c r="Z235" s="8"/>
      <c r="AA235" s="1"/>
      <c r="AB235" s="1"/>
      <c r="AC235" s="1"/>
      <c r="AD235" s="1"/>
      <c r="AE235" s="1"/>
      <c r="AF235" s="1"/>
      <c r="AG235" s="1"/>
      <c r="AH235" s="1" t="str">
        <f t="shared" si="1"/>
        <v/>
      </c>
      <c r="AI235" s="1"/>
    </row>
    <row r="236">
      <c r="A236" s="5">
        <f>IFERROR(__xludf.DUMMYFUNCTION("""COMPUTED_VALUE"""),45002.0)</f>
        <v>45002</v>
      </c>
      <c r="B236" s="14" t="str">
        <f>IFERROR(__xludf.DUMMYFUNCTION("""COMPUTED_VALUE"""),"Envia")</f>
        <v>Envia</v>
      </c>
      <c r="C236" s="6" t="str">
        <f>IFERROR(__xludf.DUMMYFUNCTION("""COMPUTED_VALUE"""),"IBAGUÉ")</f>
        <v>IBAGUÉ</v>
      </c>
      <c r="D236" s="6" t="str">
        <f>IFERROR(__xludf.DUMMYFUNCTION("""COMPUTED_VALUE"""),"MEDELLÍN")</f>
        <v>MEDELLÍN</v>
      </c>
      <c r="E236" s="6" t="str">
        <f>IFERROR(__xludf.DUMMYFUNCTION("""COMPUTED_VALUE"""),"AREPAS LA MARY")</f>
        <v>AREPAS LA MARY</v>
      </c>
      <c r="F236" s="1" t="str">
        <f>IFERROR(__xludf.DUMMYFUNCTION("""COMPUTED_VALUE"""),"cra 14 # 75 a 29 / local 5 estancia del vergel")</f>
        <v>cra 14 # 75 a 29 / local 5 estancia del vergel</v>
      </c>
      <c r="G236" s="6" t="str">
        <f>IFERROR(__xludf.DUMMYFUNCTION("""COMPUTED_VALUE"""),"soy natural market")</f>
        <v>soy natural market</v>
      </c>
      <c r="H236" s="7">
        <f>IFERROR(__xludf.DUMMYFUNCTION("""COMPUTED_VALUE"""),8941.0)</f>
        <v>8941</v>
      </c>
      <c r="I236" s="7">
        <f>IFERROR(__xludf.DUMMYFUNCTION("""COMPUTED_VALUE"""),10.0)</f>
        <v>10</v>
      </c>
      <c r="J236" s="7">
        <f>IFERROR(__xludf.DUMMYFUNCTION("""COMPUTED_VALUE"""),30.0)</f>
        <v>30</v>
      </c>
      <c r="K236" s="7">
        <f>IFERROR(__xludf.DUMMYFUNCTION("""COMPUTED_VALUE"""),100.0)</f>
        <v>100</v>
      </c>
      <c r="L236" s="8">
        <f>IFERROR(__xludf.DUMMYFUNCTION("""COMPUTED_VALUE"""),3.177002909E9)</f>
        <v>3177002909</v>
      </c>
      <c r="M236" s="9" t="str">
        <f>IFERROR(__xludf.DUMMYFUNCTION("""COMPUTED_VALUE"""),"#REF!")</f>
        <v>#REF!</v>
      </c>
      <c r="N236" s="1"/>
      <c r="O236" s="3" t="str">
        <f>IFERROR(__xludf.DUMMYFUNCTION("""COMPUTED_VALUE"""),"")</f>
        <v/>
      </c>
      <c r="P236" s="9" t="b">
        <f>IFERROR(__xludf.DUMMYFUNCTION("""COMPUTED_VALUE"""),FALSE)</f>
        <v>0</v>
      </c>
      <c r="Q236" s="10" t="str">
        <f>IFERROR(__xludf.DUMMYFUNCTION("""COMPUTED_VALUE"""),"")</f>
        <v/>
      </c>
      <c r="R236" s="12" t="str">
        <f>IFERROR(__xludf.DUMMYFUNCTION("""COMPUTED_VALUE"""),"")</f>
        <v/>
      </c>
      <c r="S236" s="1" t="str">
        <f t="shared" si="2"/>
        <v/>
      </c>
      <c r="T236" s="1" t="str">
        <f t="shared" si="3"/>
        <v/>
      </c>
      <c r="U236" s="1" t="str">
        <f t="shared" si="4"/>
        <v/>
      </c>
      <c r="V236" s="1"/>
      <c r="W236" s="1"/>
      <c r="X236" s="1"/>
      <c r="Y236" s="1"/>
      <c r="Z236" s="8"/>
      <c r="AA236" s="1"/>
      <c r="AB236" s="1"/>
      <c r="AC236" s="1"/>
      <c r="AD236" s="1"/>
      <c r="AE236" s="1"/>
      <c r="AF236" s="1"/>
      <c r="AG236" s="1"/>
      <c r="AH236" s="1" t="str">
        <f t="shared" si="1"/>
        <v/>
      </c>
      <c r="AI236" s="1"/>
    </row>
    <row r="237">
      <c r="A237" s="5">
        <f>IFERROR(__xludf.DUMMYFUNCTION("""COMPUTED_VALUE"""),45002.0)</f>
        <v>45002</v>
      </c>
      <c r="B237" s="14" t="str">
        <f>IFERROR(__xludf.DUMMYFUNCTION("""COMPUTED_VALUE"""),"Envia")</f>
        <v>Envia</v>
      </c>
      <c r="C237" s="6" t="str">
        <f>IFERROR(__xludf.DUMMYFUNCTION("""COMPUTED_VALUE"""),"MEDELLÍN")</f>
        <v>MEDELLÍN</v>
      </c>
      <c r="D237" s="6" t="str">
        <f>IFERROR(__xludf.DUMMYFUNCTION("""COMPUTED_VALUE"""),"BOGOTÁ")</f>
        <v>BOGOTÁ</v>
      </c>
      <c r="E237" s="6" t="str">
        <f>IFERROR(__xludf.DUMMYFUNCTION("""COMPUTED_VALUE"""),"MAI ALIMENTOS S.A.S")</f>
        <v>MAI ALIMENTOS S.A.S</v>
      </c>
      <c r="F237" s="1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37" s="6" t="str">
        <f>IFERROR(__xludf.DUMMYFUNCTION("""COMPUTED_VALUE"""),"Novaventas - Medellin")</f>
        <v>Novaventas - Medellin</v>
      </c>
      <c r="H237" s="7">
        <f>IFERROR(__xludf.DUMMYFUNCTION("""COMPUTED_VALUE"""),8890.0)</f>
        <v>8890</v>
      </c>
      <c r="I237" s="7">
        <f>IFERROR(__xludf.DUMMYFUNCTION("""COMPUTED_VALUE"""),35.0)</f>
        <v>35</v>
      </c>
      <c r="J237" s="7">
        <f>IFERROR(__xludf.DUMMYFUNCTION("""COMPUTED_VALUE"""),17.0)</f>
        <v>17</v>
      </c>
      <c r="K237" s="7">
        <f>IFERROR(__xludf.DUMMYFUNCTION("""COMPUTED_VALUE"""),13.0)</f>
        <v>13</v>
      </c>
      <c r="L237" s="8">
        <f>IFERROR(__xludf.DUMMYFUNCTION("""COMPUTED_VALUE"""),3.187351593E9)</f>
        <v>3187351593</v>
      </c>
      <c r="M237" s="9" t="str">
        <f>IFERROR(__xludf.DUMMYFUNCTION("""COMPUTED_VALUE"""),"#REF!")</f>
        <v>#REF!</v>
      </c>
      <c r="N237" s="1"/>
      <c r="O237" s="3" t="str">
        <f>IFERROR(__xludf.DUMMYFUNCTION("""COMPUTED_VALUE"""),"")</f>
        <v/>
      </c>
      <c r="P237" s="9" t="b">
        <f>IFERROR(__xludf.DUMMYFUNCTION("""COMPUTED_VALUE"""),FALSE)</f>
        <v>0</v>
      </c>
      <c r="Q237" s="10" t="str">
        <f>IFERROR(__xludf.DUMMYFUNCTION("""COMPUTED_VALUE"""),"")</f>
        <v/>
      </c>
      <c r="R237" s="12" t="str">
        <f>IFERROR(__xludf.DUMMYFUNCTION("""COMPUTED_VALUE"""),"")</f>
        <v/>
      </c>
      <c r="S237" s="1" t="str">
        <f t="shared" si="2"/>
        <v/>
      </c>
      <c r="T237" s="1" t="str">
        <f t="shared" si="3"/>
        <v/>
      </c>
      <c r="U237" s="1" t="str">
        <f t="shared" si="4"/>
        <v/>
      </c>
      <c r="V237" s="1"/>
      <c r="W237" s="1"/>
      <c r="X237" s="1"/>
      <c r="Y237" s="1"/>
      <c r="Z237" s="8"/>
      <c r="AA237" s="1"/>
      <c r="AB237" s="1"/>
      <c r="AC237" s="1"/>
      <c r="AD237" s="1"/>
      <c r="AE237" s="1"/>
      <c r="AF237" s="1"/>
      <c r="AG237" s="1"/>
      <c r="AH237" s="1" t="str">
        <f t="shared" si="1"/>
        <v/>
      </c>
      <c r="AI237" s="1"/>
    </row>
    <row r="238">
      <c r="A238" s="5">
        <f>IFERROR(__xludf.DUMMYFUNCTION("""COMPUTED_VALUE"""),45002.0)</f>
        <v>45002</v>
      </c>
      <c r="B238" s="14" t="str">
        <f>IFERROR(__xludf.DUMMYFUNCTION("""COMPUTED_VALUE"""),"Envia")</f>
        <v>Envia</v>
      </c>
      <c r="C238" s="6" t="str">
        <f>IFERROR(__xludf.DUMMYFUNCTION("""COMPUTED_VALUE"""),"MEDELLÍN")</f>
        <v>MEDELLÍN</v>
      </c>
      <c r="D238" s="6" t="str">
        <f>IFERROR(__xludf.DUMMYFUNCTION("""COMPUTED_VALUE"""),"BOGOTÁ")</f>
        <v>BOGOTÁ</v>
      </c>
      <c r="E238" s="6" t="str">
        <f>IFERROR(__xludf.DUMMYFUNCTION("""COMPUTED_VALUE"""),"Pan de Waffle")</f>
        <v>Pan de Waffle</v>
      </c>
      <c r="F238" s="1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238" s="6" t="str">
        <f>IFERROR(__xludf.DUMMYFUNCTION("""COMPUTED_VALUE"""),"VITA INTEGRAL")</f>
        <v>VITA INTEGRAL</v>
      </c>
      <c r="H238" s="7">
        <f>IFERROR(__xludf.DUMMYFUNCTION("""COMPUTED_VALUE"""),8927.0)</f>
        <v>8927</v>
      </c>
      <c r="I238" s="7">
        <f>IFERROR(__xludf.DUMMYFUNCTION("""COMPUTED_VALUE"""),100.0)</f>
        <v>100</v>
      </c>
      <c r="J238" s="7">
        <f>IFERROR(__xludf.DUMMYFUNCTION("""COMPUTED_VALUE"""),10.0)</f>
        <v>10</v>
      </c>
      <c r="K238" s="7">
        <f>IFERROR(__xludf.DUMMYFUNCTION("""COMPUTED_VALUE"""),52.0)</f>
        <v>52</v>
      </c>
      <c r="L238" s="8">
        <f>IFERROR(__xludf.DUMMYFUNCTION("""COMPUTED_VALUE"""),3.20865425E9)</f>
        <v>3208654250</v>
      </c>
      <c r="M238" s="9" t="str">
        <f>IFERROR(__xludf.DUMMYFUNCTION("""COMPUTED_VALUE"""),"#REF!")</f>
        <v>#REF!</v>
      </c>
      <c r="N238" s="1"/>
      <c r="O238" s="3" t="str">
        <f>IFERROR(__xludf.DUMMYFUNCTION("""COMPUTED_VALUE"""),"")</f>
        <v/>
      </c>
      <c r="P238" s="9" t="b">
        <f>IFERROR(__xludf.DUMMYFUNCTION("""COMPUTED_VALUE"""),FALSE)</f>
        <v>0</v>
      </c>
      <c r="Q238" s="10" t="str">
        <f>IFERROR(__xludf.DUMMYFUNCTION("""COMPUTED_VALUE"""),"")</f>
        <v/>
      </c>
      <c r="R238" s="11" t="str">
        <f>IFERROR(__xludf.DUMMYFUNCTION("""COMPUTED_VALUE"""),"https://drive.google.com/file/d/1GH9d57RqLYZgU3hrTPJ6Knm6biZ8grSe/view?usp=drivesdk")</f>
        <v>https://drive.google.com/file/d/1GH9d57RqLYZgU3hrTPJ6Knm6biZ8grSe/view?usp=drivesdk</v>
      </c>
      <c r="S238" s="1" t="str">
        <f t="shared" si="2"/>
        <v/>
      </c>
      <c r="T238" s="1" t="str">
        <f t="shared" si="3"/>
        <v/>
      </c>
      <c r="U238" s="1" t="str">
        <f t="shared" si="4"/>
        <v/>
      </c>
      <c r="V238" s="1"/>
      <c r="W238" s="1"/>
      <c r="X238" s="1"/>
      <c r="Y238" s="1"/>
      <c r="Z238" s="8"/>
      <c r="AA238" s="1"/>
      <c r="AB238" s="1"/>
      <c r="AC238" s="1"/>
      <c r="AD238" s="1"/>
      <c r="AE238" s="1"/>
      <c r="AF238" s="1"/>
      <c r="AG238" s="1"/>
      <c r="AH238" s="1" t="str">
        <f t="shared" si="1"/>
        <v/>
      </c>
      <c r="AI238" s="1"/>
    </row>
    <row r="239">
      <c r="A239" s="5">
        <f>IFERROR(__xludf.DUMMYFUNCTION("""COMPUTED_VALUE"""),45002.0)</f>
        <v>45002</v>
      </c>
      <c r="B239" s="14" t="str">
        <f>IFERROR(__xludf.DUMMYFUNCTION("""COMPUTED_VALUE"""),"Envia")</f>
        <v>Envia</v>
      </c>
      <c r="C239" s="6" t="str">
        <f>IFERROR(__xludf.DUMMYFUNCTION("""COMPUTED_VALUE"""),"MEDELLÍN")</f>
        <v>MEDELLÍN</v>
      </c>
      <c r="D239" s="6" t="str">
        <f>IFERROR(__xludf.DUMMYFUNCTION("""COMPUTED_VALUE"""),"BOGOTÁ")</f>
        <v>BOGOTÁ</v>
      </c>
      <c r="E239" s="6" t="str">
        <f>IFERROR(__xludf.DUMMYFUNCTION("""COMPUTED_VALUE"""),"Renata")</f>
        <v>Renata</v>
      </c>
      <c r="F239" s="1" t="str">
        <f>IFERROR(__xludf.DUMMYFUNCTION("""COMPUTED_VALUE"""),"Carrera 32d#9-43 / Restaurante -selina y cowork  / Provenza")</f>
        <v>Carrera 32d#9-43 / Restaurante -selina y cowork  / Provenza</v>
      </c>
      <c r="G239" s="6" t="str">
        <f>IFERROR(__xludf.DUMMYFUNCTION("""COMPUTED_VALUE"""),"Front y back hospitality group")</f>
        <v>Front y back hospitality group</v>
      </c>
      <c r="H239" s="7">
        <f>IFERROR(__xludf.DUMMYFUNCTION("""COMPUTED_VALUE"""),8932.0)</f>
        <v>8932</v>
      </c>
      <c r="I239" s="7">
        <f>IFERROR(__xludf.DUMMYFUNCTION("""COMPUTED_VALUE"""),90.0)</f>
        <v>90</v>
      </c>
      <c r="J239" s="7">
        <f>IFERROR(__xludf.DUMMYFUNCTION("""COMPUTED_VALUE"""),70.0)</f>
        <v>70</v>
      </c>
      <c r="K239" s="7">
        <f>IFERROR(__xludf.DUMMYFUNCTION("""COMPUTED_VALUE"""),60.0)</f>
        <v>60</v>
      </c>
      <c r="L239" s="8">
        <f>IFERROR(__xludf.DUMMYFUNCTION("""COMPUTED_VALUE"""),3.104047368E9)</f>
        <v>3104047368</v>
      </c>
      <c r="M239" s="9" t="str">
        <f>IFERROR(__xludf.DUMMYFUNCTION("""COMPUTED_VALUE"""),"#REF!")</f>
        <v>#REF!</v>
      </c>
      <c r="N239" s="1"/>
      <c r="O239" s="3" t="str">
        <f>IFERROR(__xludf.DUMMYFUNCTION("""COMPUTED_VALUE"""),"")</f>
        <v/>
      </c>
      <c r="P239" s="9" t="b">
        <f>IFERROR(__xludf.DUMMYFUNCTION("""COMPUTED_VALUE"""),FALSE)</f>
        <v>0</v>
      </c>
      <c r="Q239" s="10" t="str">
        <f>IFERROR(__xludf.DUMMYFUNCTION("""COMPUTED_VALUE"""),"")</f>
        <v/>
      </c>
      <c r="R239" s="12" t="str">
        <f>IFERROR(__xludf.DUMMYFUNCTION("""COMPUTED_VALUE"""),"")</f>
        <v/>
      </c>
      <c r="S239" s="1" t="str">
        <f t="shared" si="2"/>
        <v/>
      </c>
      <c r="T239" s="1" t="str">
        <f t="shared" si="3"/>
        <v/>
      </c>
      <c r="U239" s="1" t="str">
        <f t="shared" si="4"/>
        <v/>
      </c>
      <c r="V239" s="1"/>
      <c r="W239" s="1"/>
      <c r="X239" s="1"/>
      <c r="Y239" s="1"/>
      <c r="Z239" s="8"/>
      <c r="AA239" s="1"/>
      <c r="AB239" s="1"/>
      <c r="AC239" s="1"/>
      <c r="AD239" s="1"/>
      <c r="AE239" s="1"/>
      <c r="AF239" s="1"/>
      <c r="AG239" s="1"/>
      <c r="AH239" s="1" t="str">
        <f t="shared" si="1"/>
        <v/>
      </c>
      <c r="AI239" s="1"/>
    </row>
    <row r="240">
      <c r="A240" s="1" t="str">
        <f>IFERROR(__xludf.DUMMYFUNCTION("""COMPUTED_VALUE"""),"")</f>
        <v/>
      </c>
      <c r="B240" s="1" t="str">
        <f>IFERROR(__xludf.DUMMYFUNCTION("""COMPUTED_VALUE"""),"")</f>
        <v/>
      </c>
      <c r="C240" s="1" t="str">
        <f>IFERROR(__xludf.DUMMYFUNCTION("""COMPUTED_VALUE"""),"")</f>
        <v/>
      </c>
      <c r="D240" s="1" t="str">
        <f>IFERROR(__xludf.DUMMYFUNCTION("""COMPUTED_VALUE"""),"")</f>
        <v/>
      </c>
      <c r="E240" s="1" t="str">
        <f>IFERROR(__xludf.DUMMYFUNCTION("""COMPUTED_VALUE"""),"")</f>
        <v/>
      </c>
      <c r="F240" s="1" t="str">
        <f>IFERROR(__xludf.DUMMYFUNCTION("""COMPUTED_VALUE"""),"")</f>
        <v/>
      </c>
      <c r="G240" s="1" t="str">
        <f>IFERROR(__xludf.DUMMYFUNCTION("""COMPUTED_VALUE"""),"")</f>
        <v/>
      </c>
      <c r="H240" s="1" t="str">
        <f>IFERROR(__xludf.DUMMYFUNCTION("""COMPUTED_VALUE"""),"")</f>
        <v/>
      </c>
      <c r="I240" s="1" t="str">
        <f>IFERROR(__xludf.DUMMYFUNCTION("""COMPUTED_VALUE"""),"")</f>
        <v/>
      </c>
      <c r="J240" s="1" t="str">
        <f>IFERROR(__xludf.DUMMYFUNCTION("""COMPUTED_VALUE"""),"")</f>
        <v/>
      </c>
      <c r="K240" s="1" t="str">
        <f>IFERROR(__xludf.DUMMYFUNCTION("""COMPUTED_VALUE"""),"")</f>
        <v/>
      </c>
      <c r="L240" s="1" t="str">
        <f>IFERROR(__xludf.DUMMYFUNCTION("""COMPUTED_VALUE"""),"")</f>
        <v/>
      </c>
      <c r="M240" s="1" t="str">
        <f>IFERROR(__xludf.DUMMYFUNCTION("""COMPUTED_VALUE"""),"")</f>
        <v/>
      </c>
      <c r="N240" s="1" t="str">
        <f>IFERROR(__xludf.DUMMYFUNCTION("""COMPUTED_VALUE"""),"")</f>
        <v/>
      </c>
      <c r="O240" s="1" t="str">
        <f>IFERROR(__xludf.DUMMYFUNCTION("""COMPUTED_VALUE"""),"")</f>
        <v/>
      </c>
      <c r="P240" s="1" t="str">
        <f>IFERROR(__xludf.DUMMYFUNCTION("""COMPUTED_VALUE"""),"")</f>
        <v/>
      </c>
      <c r="Q240" s="1" t="str">
        <f>IFERROR(__xludf.DUMMYFUNCTION("""COMPUTED_VALUE"""),"")</f>
        <v/>
      </c>
      <c r="R240" s="1" t="str">
        <f>IFERROR(__xludf.DUMMYFUNCTION("""COMPUTED_VALUE"""),"")</f>
        <v/>
      </c>
      <c r="S240" s="1" t="str">
        <f t="shared" si="2"/>
        <v/>
      </c>
      <c r="T240" s="1" t="str">
        <f t="shared" si="3"/>
        <v/>
      </c>
      <c r="U240" s="1" t="str">
        <f t="shared" si="4"/>
        <v/>
      </c>
      <c r="V240" s="1"/>
      <c r="W240" s="1"/>
      <c r="X240" s="1"/>
      <c r="Y240" s="1"/>
      <c r="Z240" s="8"/>
      <c r="AA240" s="1"/>
      <c r="AB240" s="1"/>
      <c r="AC240" s="1"/>
      <c r="AD240" s="1"/>
      <c r="AE240" s="1"/>
      <c r="AF240" s="1"/>
      <c r="AG240" s="1"/>
      <c r="AH240" s="1" t="str">
        <f t="shared" si="1"/>
        <v/>
      </c>
      <c r="AI240" s="1"/>
    </row>
    <row r="241">
      <c r="A241" s="5">
        <f>IFERROR(__xludf.DUMMYFUNCTION("""COMPUTED_VALUE"""),45002.0)</f>
        <v>45002</v>
      </c>
      <c r="B241" s="14" t="str">
        <f>IFERROR(__xludf.DUMMYFUNCTION("""COMPUTED_VALUE"""),"Jeison Rubiano")</f>
        <v>Jeison Rubiano</v>
      </c>
      <c r="C241" s="6" t="str">
        <f>IFERROR(__xludf.DUMMYFUNCTION("""COMPUTED_VALUE"""),"BOGOTÁ")</f>
        <v>BOGOTÁ</v>
      </c>
      <c r="D241" s="6" t="str">
        <f>IFERROR(__xludf.DUMMYFUNCTION("""COMPUTED_VALUE"""),"BARRANQUILLA")</f>
        <v>BARRANQUILLA</v>
      </c>
      <c r="E241" s="6" t="str">
        <f>IFERROR(__xludf.DUMMYFUNCTION("""COMPUTED_VALUE"""),"Mochi")</f>
        <v>Mochi</v>
      </c>
      <c r="F241" s="1" t="str">
        <f>IFERROR(__xludf.DUMMYFUNCTION("""COMPUTED_VALUE"""),"cr 23 69 35 / 7 de agosto / 7 de agosto")</f>
        <v>cr 23 69 35 / 7 de agosto / 7 de agosto</v>
      </c>
      <c r="G241" s="6" t="str">
        <f>IFERROR(__xludf.DUMMYFUNCTION("""COMPUTED_VALUE"""),"Mauricio Mora")</f>
        <v>Mauricio Mora</v>
      </c>
      <c r="H241" s="7">
        <f>IFERROR(__xludf.DUMMYFUNCTION("""COMPUTED_VALUE"""),8947.0)</f>
        <v>8947</v>
      </c>
      <c r="I241" s="7">
        <f>IFERROR(__xludf.DUMMYFUNCTION("""COMPUTED_VALUE"""),55.0)</f>
        <v>55</v>
      </c>
      <c r="J241" s="7">
        <f>IFERROR(__xludf.DUMMYFUNCTION("""COMPUTED_VALUE"""),45.0)</f>
        <v>45</v>
      </c>
      <c r="K241" s="2" t="str">
        <f>IFERROR(__xludf.DUMMYFUNCTION("""COMPUTED_VALUE"""),"52.5")</f>
        <v>52.5</v>
      </c>
      <c r="L241" s="8">
        <f>IFERROR(__xludf.DUMMYFUNCTION("""COMPUTED_VALUE"""),3.115177645E9)</f>
        <v>3115177645</v>
      </c>
      <c r="M241" s="9" t="str">
        <f>IFERROR(__xludf.DUMMYFUNCTION("""COMPUTED_VALUE"""),"#REF!")</f>
        <v>#REF!</v>
      </c>
      <c r="N241" s="1"/>
      <c r="O241" s="3" t="str">
        <f>IFERROR(__xludf.DUMMYFUNCTION("""COMPUTED_VALUE"""),"")</f>
        <v/>
      </c>
      <c r="P241" s="9" t="b">
        <f>IFERROR(__xludf.DUMMYFUNCTION("""COMPUTED_VALUE"""),FALSE)</f>
        <v>0</v>
      </c>
      <c r="Q241" s="10" t="str">
        <f>IFERROR(__xludf.DUMMYFUNCTION("""COMPUTED_VALUE"""),"")</f>
        <v/>
      </c>
      <c r="R241" s="12" t="str">
        <f>IFERROR(__xludf.DUMMYFUNCTION("""COMPUTED_VALUE"""),"")</f>
        <v/>
      </c>
      <c r="S241" s="1" t="str">
        <f t="shared" si="2"/>
        <v/>
      </c>
      <c r="T241" s="1" t="str">
        <f t="shared" si="3"/>
        <v/>
      </c>
      <c r="U241" s="1" t="str">
        <f t="shared" si="4"/>
        <v/>
      </c>
      <c r="V241" s="1"/>
      <c r="W241" s="1"/>
      <c r="X241" s="1"/>
      <c r="Y241" s="1"/>
      <c r="Z241" s="8"/>
      <c r="AA241" s="1"/>
      <c r="AB241" s="1"/>
      <c r="AC241" s="1"/>
      <c r="AD241" s="1"/>
      <c r="AE241" s="1"/>
      <c r="AF241" s="1"/>
      <c r="AG241" s="1"/>
      <c r="AH241" s="1" t="str">
        <f t="shared" si="1"/>
        <v/>
      </c>
      <c r="AI241" s="1"/>
    </row>
    <row r="242">
      <c r="A242" s="5">
        <f>IFERROR(__xludf.DUMMYFUNCTION("""COMPUTED_VALUE"""),45002.0)</f>
        <v>45002</v>
      </c>
      <c r="B242" s="14" t="str">
        <f>IFERROR(__xludf.DUMMYFUNCTION("""COMPUTED_VALUE"""),"Jeison Rubiano")</f>
        <v>Jeison Rubiano</v>
      </c>
      <c r="C242" s="6" t="str">
        <f>IFERROR(__xludf.DUMMYFUNCTION("""COMPUTED_VALUE"""),"BOGOTÁ")</f>
        <v>BOGOTÁ</v>
      </c>
      <c r="D242" s="6" t="str">
        <f>IFERROR(__xludf.DUMMYFUNCTION("""COMPUTED_VALUE"""),"CARTAGENA")</f>
        <v>CARTAGENA</v>
      </c>
      <c r="E242" s="6" t="str">
        <f>IFERROR(__xludf.DUMMYFUNCTION("""COMPUTED_VALUE"""),"Mochi")</f>
        <v>Mochi</v>
      </c>
      <c r="F242" s="1" t="str">
        <f>IFERROR(__xludf.DUMMYFUNCTION("""COMPUTED_VALUE"""),"cr 23 69 35  / 7 deagosto / 7 de agosto")</f>
        <v>cr 23 69 35  / 7 deagosto / 7 de agosto</v>
      </c>
      <c r="G242" s="6" t="str">
        <f>IFERROR(__xludf.DUMMYFUNCTION("""COMPUTED_VALUE"""),"Mauricio Mora")</f>
        <v>Mauricio Mora</v>
      </c>
      <c r="H242" s="7">
        <f>IFERROR(__xludf.DUMMYFUNCTION("""COMPUTED_VALUE"""),8948.0)</f>
        <v>8948</v>
      </c>
      <c r="I242" s="7">
        <f>IFERROR(__xludf.DUMMYFUNCTION("""COMPUTED_VALUE"""),55.0)</f>
        <v>55</v>
      </c>
      <c r="J242" s="7">
        <f>IFERROR(__xludf.DUMMYFUNCTION("""COMPUTED_VALUE"""),45.0)</f>
        <v>45</v>
      </c>
      <c r="K242" s="2" t="str">
        <f>IFERROR(__xludf.DUMMYFUNCTION("""COMPUTED_VALUE"""),"52.5")</f>
        <v>52.5</v>
      </c>
      <c r="L242" s="8">
        <f>IFERROR(__xludf.DUMMYFUNCTION("""COMPUTED_VALUE"""),3.115177645E9)</f>
        <v>3115177645</v>
      </c>
      <c r="M242" s="9" t="str">
        <f>IFERROR(__xludf.DUMMYFUNCTION("""COMPUTED_VALUE"""),"#REF!")</f>
        <v>#REF!</v>
      </c>
      <c r="N242" s="1"/>
      <c r="O242" s="3" t="str">
        <f>IFERROR(__xludf.DUMMYFUNCTION("""COMPUTED_VALUE"""),"")</f>
        <v/>
      </c>
      <c r="P242" s="9" t="b">
        <f>IFERROR(__xludf.DUMMYFUNCTION("""COMPUTED_VALUE"""),FALSE)</f>
        <v>0</v>
      </c>
      <c r="Q242" s="10" t="str">
        <f>IFERROR(__xludf.DUMMYFUNCTION("""COMPUTED_VALUE"""),"")</f>
        <v/>
      </c>
      <c r="R242" s="12" t="str">
        <f>IFERROR(__xludf.DUMMYFUNCTION("""COMPUTED_VALUE"""),"")</f>
        <v/>
      </c>
      <c r="S242" s="1" t="str">
        <f t="shared" si="2"/>
        <v/>
      </c>
      <c r="T242" s="1" t="str">
        <f t="shared" si="3"/>
        <v/>
      </c>
      <c r="U242" s="1" t="str">
        <f t="shared" si="4"/>
        <v/>
      </c>
      <c r="V242" s="1"/>
      <c r="W242" s="1"/>
      <c r="X242" s="1"/>
      <c r="Y242" s="1"/>
      <c r="Z242" s="8"/>
      <c r="AA242" s="1"/>
      <c r="AB242" s="1"/>
      <c r="AC242" s="1"/>
      <c r="AD242" s="1"/>
      <c r="AE242" s="1"/>
      <c r="AF242" s="1"/>
      <c r="AG242" s="1"/>
      <c r="AH242" s="1" t="str">
        <f t="shared" si="1"/>
        <v/>
      </c>
      <c r="AI242" s="1"/>
    </row>
    <row r="243">
      <c r="A243" s="5">
        <f>IFERROR(__xludf.DUMMYFUNCTION("""COMPUTED_VALUE"""),45002.0)</f>
        <v>45002</v>
      </c>
      <c r="B243" s="14" t="str">
        <f>IFERROR(__xludf.DUMMYFUNCTION("""COMPUTED_VALUE"""),"Jeison Rubiano")</f>
        <v>Jeison Rubiano</v>
      </c>
      <c r="C243" s="6" t="str">
        <f>IFERROR(__xludf.DUMMYFUNCTION("""COMPUTED_VALUE"""),"BOGOTÁ")</f>
        <v>BOGOTÁ</v>
      </c>
      <c r="D243" s="6" t="str">
        <f>IFERROR(__xludf.DUMMYFUNCTION("""COMPUTED_VALUE"""),"MEDELLÍN")</f>
        <v>MEDELLÍN</v>
      </c>
      <c r="E243" s="6" t="str">
        <f>IFERROR(__xludf.DUMMYFUNCTION("""COMPUTED_VALUE"""),"AREPAS LA MARY")</f>
        <v>AREPAS LA MARY</v>
      </c>
      <c r="F243" s="1" t="str">
        <f>IFERROR(__xludf.DUMMYFUNCTION("""COMPUTED_VALUE"""),"cra 100 a 73-34 / CASA")</f>
        <v>cra 100 a 73-34 / CASA</v>
      </c>
      <c r="G243" s="6" t="str">
        <f>IFERROR(__xludf.DUMMYFUNCTION("""COMPUTED_VALUE"""),"DIANA PATAQUIVA")</f>
        <v>DIANA PATAQUIVA</v>
      </c>
      <c r="H243" s="7">
        <f>IFERROR(__xludf.DUMMYFUNCTION("""COMPUTED_VALUE"""),8940.0)</f>
        <v>8940</v>
      </c>
      <c r="I243" s="7">
        <f>IFERROR(__xludf.DUMMYFUNCTION("""COMPUTED_VALUE"""),89.0)</f>
        <v>89</v>
      </c>
      <c r="J243" s="7">
        <f>IFERROR(__xludf.DUMMYFUNCTION("""COMPUTED_VALUE"""),1.0)</f>
        <v>1</v>
      </c>
      <c r="K243" s="7">
        <f>IFERROR(__xludf.DUMMYFUNCTION("""COMPUTED_VALUE"""),10.0)</f>
        <v>10</v>
      </c>
      <c r="L243" s="8">
        <f>IFERROR(__xludf.DUMMYFUNCTION("""COMPUTED_VALUE"""),3.017902841E9)</f>
        <v>3017902841</v>
      </c>
      <c r="M243" s="9" t="str">
        <f>IFERROR(__xludf.DUMMYFUNCTION("""COMPUTED_VALUE"""),"#REF!")</f>
        <v>#REF!</v>
      </c>
      <c r="N243" s="1"/>
      <c r="O243" s="3" t="str">
        <f>IFERROR(__xludf.DUMMYFUNCTION("""COMPUTED_VALUE"""),"")</f>
        <v/>
      </c>
      <c r="P243" s="9" t="b">
        <f>IFERROR(__xludf.DUMMYFUNCTION("""COMPUTED_VALUE"""),FALSE)</f>
        <v>0</v>
      </c>
      <c r="Q243" s="10" t="str">
        <f>IFERROR(__xludf.DUMMYFUNCTION("""COMPUTED_VALUE"""),"")</f>
        <v/>
      </c>
      <c r="R243" s="11" t="str">
        <f>IFERROR(__xludf.DUMMYFUNCTION("""COMPUTED_VALUE"""),"https://drive.google.com/file/d/1-UGyk8eQemIxFZ5JQLJhXm0lAlCSDyUc/view?usp=drivesdk")</f>
        <v>https://drive.google.com/file/d/1-UGyk8eQemIxFZ5JQLJhXm0lAlCSDyUc/view?usp=drivesdk</v>
      </c>
      <c r="S243" s="1" t="str">
        <f t="shared" si="2"/>
        <v/>
      </c>
      <c r="T243" s="1" t="str">
        <f t="shared" si="3"/>
        <v/>
      </c>
      <c r="U243" s="1" t="str">
        <f t="shared" si="4"/>
        <v/>
      </c>
      <c r="V243" s="1"/>
      <c r="W243" s="1"/>
      <c r="X243" s="1"/>
      <c r="Y243" s="1"/>
      <c r="Z243" s="8"/>
      <c r="AA243" s="1"/>
      <c r="AB243" s="1"/>
      <c r="AC243" s="1"/>
      <c r="AD243" s="1"/>
      <c r="AE243" s="1"/>
      <c r="AF243" s="1"/>
      <c r="AG243" s="1"/>
      <c r="AH243" s="1" t="str">
        <f t="shared" si="1"/>
        <v/>
      </c>
      <c r="AI243" s="1"/>
    </row>
    <row r="244">
      <c r="A244" s="5">
        <f>IFERROR(__xludf.DUMMYFUNCTION("""COMPUTED_VALUE"""),45002.0)</f>
        <v>45002</v>
      </c>
      <c r="B244" s="14" t="str">
        <f>IFERROR(__xludf.DUMMYFUNCTION("""COMPUTED_VALUE"""),"Jeison Rubiano")</f>
        <v>Jeison Rubiano</v>
      </c>
      <c r="C244" s="6" t="str">
        <f>IFERROR(__xludf.DUMMYFUNCTION("""COMPUTED_VALUE"""),"BOGOTÁ")</f>
        <v>BOGOTÁ</v>
      </c>
      <c r="D244" s="6" t="str">
        <f>IFERROR(__xludf.DUMMYFUNCTION("""COMPUTED_VALUE"""),"MEDELLÍN")</f>
        <v>MEDELLÍN</v>
      </c>
      <c r="E244" s="6" t="str">
        <f>IFERROR(__xludf.DUMMYFUNCTION("""COMPUTED_VALUE"""),"AREPAS LA MARY")</f>
        <v>AREPAS LA MARY</v>
      </c>
      <c r="F244" s="1" t="str">
        <f>IFERROR(__xludf.DUMMYFUNCTION("""COMPUTED_VALUE"""),"CRA 13 # 93-13 LOCAL 103 / LOCAL 103")</f>
        <v>CRA 13 # 93-13 LOCAL 103 / LOCAL 103</v>
      </c>
      <c r="G244" s="6" t="str">
        <f>IFERROR(__xludf.DUMMYFUNCTION("""COMPUTED_VALUE"""),"HEALING FOODS")</f>
        <v>HEALING FOODS</v>
      </c>
      <c r="H244" s="7">
        <f>IFERROR(__xludf.DUMMYFUNCTION("""COMPUTED_VALUE"""),8938.0)</f>
        <v>8938</v>
      </c>
      <c r="I244" s="7">
        <f>IFERROR(__xludf.DUMMYFUNCTION("""COMPUTED_VALUE"""),89.0)</f>
        <v>89</v>
      </c>
      <c r="J244" s="7">
        <f>IFERROR(__xludf.DUMMYFUNCTION("""COMPUTED_VALUE"""),1.0)</f>
        <v>1</v>
      </c>
      <c r="K244" s="7">
        <f>IFERROR(__xludf.DUMMYFUNCTION("""COMPUTED_VALUE"""),10.0)</f>
        <v>10</v>
      </c>
      <c r="L244" s="8">
        <f>IFERROR(__xludf.DUMMYFUNCTION("""COMPUTED_VALUE"""),3.142647408E9)</f>
        <v>3142647408</v>
      </c>
      <c r="M244" s="9" t="str">
        <f>IFERROR(__xludf.DUMMYFUNCTION("""COMPUTED_VALUE"""),"#REF!")</f>
        <v>#REF!</v>
      </c>
      <c r="N244" s="1"/>
      <c r="O244" s="3" t="str">
        <f>IFERROR(__xludf.DUMMYFUNCTION("""COMPUTED_VALUE"""),"")</f>
        <v/>
      </c>
      <c r="P244" s="9" t="b">
        <f>IFERROR(__xludf.DUMMYFUNCTION("""COMPUTED_VALUE"""),FALSE)</f>
        <v>0</v>
      </c>
      <c r="Q244" s="10" t="str">
        <f>IFERROR(__xludf.DUMMYFUNCTION("""COMPUTED_VALUE"""),"")</f>
        <v/>
      </c>
      <c r="R244" s="11" t="str">
        <f>IFERROR(__xludf.DUMMYFUNCTION("""COMPUTED_VALUE"""),"https://drive.google.com/file/d/1vJpOq_q0oOnXJiM3hURwiuiTFR04KNsH/view?usp=drivesdk")</f>
        <v>https://drive.google.com/file/d/1vJpOq_q0oOnXJiM3hURwiuiTFR04KNsH/view?usp=drivesdk</v>
      </c>
      <c r="S244" s="1" t="str">
        <f t="shared" si="2"/>
        <v/>
      </c>
      <c r="T244" s="1" t="str">
        <f t="shared" si="3"/>
        <v/>
      </c>
      <c r="U244" s="1" t="str">
        <f t="shared" si="4"/>
        <v/>
      </c>
      <c r="V244" s="1"/>
      <c r="W244" s="1"/>
      <c r="X244" s="1"/>
      <c r="Y244" s="1"/>
      <c r="Z244" s="8"/>
      <c r="AA244" s="1"/>
      <c r="AB244" s="1"/>
      <c r="AC244" s="1"/>
      <c r="AD244" s="1"/>
      <c r="AE244" s="1"/>
      <c r="AF244" s="1"/>
      <c r="AG244" s="1"/>
      <c r="AH244" s="1" t="str">
        <f t="shared" si="1"/>
        <v/>
      </c>
      <c r="AI244" s="1"/>
    </row>
    <row r="245">
      <c r="A245" s="5">
        <f>IFERROR(__xludf.DUMMYFUNCTION("""COMPUTED_VALUE"""),45002.0)</f>
        <v>45002</v>
      </c>
      <c r="B245" s="14" t="str">
        <f>IFERROR(__xludf.DUMMYFUNCTION("""COMPUTED_VALUE"""),"Jeison Rubiano")</f>
        <v>Jeison Rubiano</v>
      </c>
      <c r="C245" s="6" t="str">
        <f>IFERROR(__xludf.DUMMYFUNCTION("""COMPUTED_VALUE"""),"BOGOTÁ")</f>
        <v>BOGOTÁ</v>
      </c>
      <c r="D245" s="6" t="str">
        <f>IFERROR(__xludf.DUMMYFUNCTION("""COMPUTED_VALUE"""),"MEDELLÍN")</f>
        <v>MEDELLÍN</v>
      </c>
      <c r="E245" s="6" t="str">
        <f>IFERROR(__xludf.DUMMYFUNCTION("""COMPUTED_VALUE"""),"Puro Verde")</f>
        <v>Puro Verde</v>
      </c>
      <c r="F245" s="1" t="str">
        <f>IFERROR(__xludf.DUMMYFUNCTION("""COMPUTED_VALUE"""),"AV CRA 15 # 90-20 / LOCAR 109 / BARRIO CHICO")</f>
        <v>AV CRA 15 # 90-20 / LOCAR 109 / BARRIO CHICO</v>
      </c>
      <c r="G245" s="6" t="str">
        <f>IFERROR(__xludf.DUMMYFUNCTION("""COMPUTED_VALUE"""),"DANDO CUERDA")</f>
        <v>DANDO CUERDA</v>
      </c>
      <c r="H245" s="7">
        <f>IFERROR(__xludf.DUMMYFUNCTION("""COMPUTED_VALUE"""),8954.0)</f>
        <v>8954</v>
      </c>
      <c r="I245" s="7">
        <f>IFERROR(__xludf.DUMMYFUNCTION("""COMPUTED_VALUE"""),55.0)</f>
        <v>55</v>
      </c>
      <c r="J245" s="7">
        <f>IFERROR(__xludf.DUMMYFUNCTION("""COMPUTED_VALUE"""),45.0)</f>
        <v>45</v>
      </c>
      <c r="K245" s="2" t="str">
        <f>IFERROR(__xludf.DUMMYFUNCTION("""COMPUTED_VALUE"""),"52.5")</f>
        <v>52.5</v>
      </c>
      <c r="L245" s="8">
        <f>IFERROR(__xludf.DUMMYFUNCTION("""COMPUTED_VALUE"""),3.163816691E9)</f>
        <v>3163816691</v>
      </c>
      <c r="M245" s="9" t="str">
        <f>IFERROR(__xludf.DUMMYFUNCTION("""COMPUTED_VALUE"""),"#REF!")</f>
        <v>#REF!</v>
      </c>
      <c r="N245" s="1"/>
      <c r="O245" s="3" t="str">
        <f>IFERROR(__xludf.DUMMYFUNCTION("""COMPUTED_VALUE"""),"")</f>
        <v/>
      </c>
      <c r="P245" s="9" t="b">
        <f>IFERROR(__xludf.DUMMYFUNCTION("""COMPUTED_VALUE"""),FALSE)</f>
        <v>0</v>
      </c>
      <c r="Q245" s="10" t="str">
        <f>IFERROR(__xludf.DUMMYFUNCTION("""COMPUTED_VALUE"""),"")</f>
        <v/>
      </c>
      <c r="R245" s="12" t="str">
        <f>IFERROR(__xludf.DUMMYFUNCTION("""COMPUTED_VALUE"""),"")</f>
        <v/>
      </c>
      <c r="S245" s="1" t="str">
        <f t="shared" si="2"/>
        <v/>
      </c>
      <c r="T245" s="1" t="str">
        <f t="shared" si="3"/>
        <v/>
      </c>
      <c r="U245" s="1" t="str">
        <f t="shared" si="4"/>
        <v/>
      </c>
      <c r="V245" s="1"/>
      <c r="W245" s="1"/>
      <c r="X245" s="1"/>
      <c r="Y245" s="1"/>
      <c r="Z245" s="8"/>
      <c r="AA245" s="1"/>
      <c r="AB245" s="1"/>
      <c r="AC245" s="1"/>
      <c r="AD245" s="1"/>
      <c r="AE245" s="1"/>
      <c r="AF245" s="1"/>
      <c r="AG245" s="1"/>
      <c r="AH245" s="1" t="str">
        <f t="shared" si="1"/>
        <v/>
      </c>
      <c r="AI245" s="1"/>
    </row>
    <row r="246">
      <c r="A246" s="5">
        <f>IFERROR(__xludf.DUMMYFUNCTION("""COMPUTED_VALUE"""),45002.0)</f>
        <v>45002</v>
      </c>
      <c r="B246" s="14" t="str">
        <f>IFERROR(__xludf.DUMMYFUNCTION("""COMPUTED_VALUE"""),"Jeison Rubiano")</f>
        <v>Jeison Rubiano</v>
      </c>
      <c r="C246" s="6" t="str">
        <f>IFERROR(__xludf.DUMMYFUNCTION("""COMPUTED_VALUE"""),"BOGOTÁ")</f>
        <v>BOGOTÁ</v>
      </c>
      <c r="D246" s="6" t="str">
        <f>IFERROR(__xludf.DUMMYFUNCTION("""COMPUTED_VALUE"""),"MEDELLÍN")</f>
        <v>MEDELLÍN</v>
      </c>
      <c r="E246" s="6" t="str">
        <f>IFERROR(__xludf.DUMMYFUNCTION("""COMPUTED_VALUE"""),"Rambla")</f>
        <v>Rambla</v>
      </c>
      <c r="F246" s="1" t="str">
        <f>IFERROR(__xludf.DUMMYFUNCTION("""COMPUTED_VALUE"""),"calle 134c # 53b 52 apto 301 casa gris tercer piso. Barrio spring / NA / NA")</f>
        <v>calle 134c # 53b 52 apto 301 casa gris tercer piso. Barrio spring / NA / NA</v>
      </c>
      <c r="G246" s="6" t="str">
        <f>IFERROR(__xludf.DUMMYFUNCTION("""COMPUTED_VALUE"""),"Ana María Ríos Moreno")</f>
        <v>Ana María Ríos Moreno</v>
      </c>
      <c r="H246" s="7">
        <f>IFERROR(__xludf.DUMMYFUNCTION("""COMPUTED_VALUE"""),8936.0)</f>
        <v>8936</v>
      </c>
      <c r="I246" s="7">
        <f>IFERROR(__xludf.DUMMYFUNCTION("""COMPUTED_VALUE"""),26.0)</f>
        <v>26</v>
      </c>
      <c r="J246" s="7">
        <f>IFERROR(__xludf.DUMMYFUNCTION("""COMPUTED_VALUE"""),30.0)</f>
        <v>30</v>
      </c>
      <c r="K246" s="7">
        <f>IFERROR(__xludf.DUMMYFUNCTION("""COMPUTED_VALUE"""),33.0)</f>
        <v>33</v>
      </c>
      <c r="L246" s="8">
        <f>IFERROR(__xludf.DUMMYFUNCTION("""COMPUTED_VALUE"""),3.00661678E9)</f>
        <v>3006616780</v>
      </c>
      <c r="M246" s="9" t="str">
        <f>IFERROR(__xludf.DUMMYFUNCTION("""COMPUTED_VALUE"""),"#REF!")</f>
        <v>#REF!</v>
      </c>
      <c r="N246" s="1"/>
      <c r="O246" s="3" t="str">
        <f>IFERROR(__xludf.DUMMYFUNCTION("""COMPUTED_VALUE"""),"")</f>
        <v/>
      </c>
      <c r="P246" s="9" t="b">
        <f>IFERROR(__xludf.DUMMYFUNCTION("""COMPUTED_VALUE"""),FALSE)</f>
        <v>0</v>
      </c>
      <c r="Q246" s="10" t="str">
        <f>IFERROR(__xludf.DUMMYFUNCTION("""COMPUTED_VALUE"""),"")</f>
        <v/>
      </c>
      <c r="R246" s="11" t="str">
        <f>IFERROR(__xludf.DUMMYFUNCTION("""COMPUTED_VALUE"""),"https://drive.google.com/file/d/1Qe7lxkjHf0nLjiwGkQm7l1gr2xJO2BkR/view?usp=drivesdk")</f>
        <v>https://drive.google.com/file/d/1Qe7lxkjHf0nLjiwGkQm7l1gr2xJO2BkR/view?usp=drivesdk</v>
      </c>
      <c r="S246" s="1" t="str">
        <f t="shared" si="2"/>
        <v/>
      </c>
      <c r="T246" s="1" t="str">
        <f t="shared" si="3"/>
        <v/>
      </c>
      <c r="U246" s="1" t="str">
        <f t="shared" si="4"/>
        <v/>
      </c>
      <c r="V246" s="1"/>
      <c r="W246" s="1"/>
      <c r="X246" s="1"/>
      <c r="Y246" s="1"/>
      <c r="Z246" s="8"/>
      <c r="AA246" s="1"/>
      <c r="AB246" s="1"/>
      <c r="AC246" s="1"/>
      <c r="AD246" s="1"/>
      <c r="AE246" s="1"/>
      <c r="AF246" s="1"/>
      <c r="AG246" s="1"/>
      <c r="AH246" s="1" t="str">
        <f t="shared" si="1"/>
        <v/>
      </c>
      <c r="AI246" s="1"/>
    </row>
    <row r="247">
      <c r="A247" s="5">
        <f>IFERROR(__xludf.DUMMYFUNCTION("""COMPUTED_VALUE"""),45002.0)</f>
        <v>45002</v>
      </c>
      <c r="B247" s="14" t="str">
        <f>IFERROR(__xludf.DUMMYFUNCTION("""COMPUTED_VALUE"""),"Jeison Rubiano")</f>
        <v>Jeison Rubiano</v>
      </c>
      <c r="C247" s="6" t="str">
        <f>IFERROR(__xludf.DUMMYFUNCTION("""COMPUTED_VALUE"""),"BOGOTÁ")</f>
        <v>BOGOTÁ</v>
      </c>
      <c r="D247" s="6" t="str">
        <f>IFERROR(__xludf.DUMMYFUNCTION("""COMPUTED_VALUE"""),"MEDELLÍN")</f>
        <v>MEDELLÍN</v>
      </c>
      <c r="E247" s="6" t="str">
        <f>IFERROR(__xludf.DUMMYFUNCTION("""COMPUTED_VALUE"""),"Rambla")</f>
        <v>Rambla</v>
      </c>
      <c r="F247" s="1" t="str">
        <f>IFERROR(__xludf.DUMMYFUNCTION("""COMPUTED_VALUE"""),"CL 29 6 54 Apto 201. Torre 2 / na / na")</f>
        <v>CL 29 6 54 Apto 201. Torre 2 / na / na</v>
      </c>
      <c r="G247" s="6" t="str">
        <f>IFERROR(__xludf.DUMMYFUNCTION("""COMPUTED_VALUE"""),"Salama")</f>
        <v>Salama</v>
      </c>
      <c r="H247" s="7">
        <f>IFERROR(__xludf.DUMMYFUNCTION("""COMPUTED_VALUE"""),8946.0)</f>
        <v>8946</v>
      </c>
      <c r="I247" s="7">
        <f>IFERROR(__xludf.DUMMYFUNCTION("""COMPUTED_VALUE"""),26.0)</f>
        <v>26</v>
      </c>
      <c r="J247" s="7">
        <f>IFERROR(__xludf.DUMMYFUNCTION("""COMPUTED_VALUE"""),30.0)</f>
        <v>30</v>
      </c>
      <c r="K247" s="7">
        <f>IFERROR(__xludf.DUMMYFUNCTION("""COMPUTED_VALUE"""),33.0)</f>
        <v>33</v>
      </c>
      <c r="L247" s="8">
        <f>IFERROR(__xludf.DUMMYFUNCTION("""COMPUTED_VALUE"""),3.183745233E9)</f>
        <v>3183745233</v>
      </c>
      <c r="M247" s="9" t="str">
        <f>IFERROR(__xludf.DUMMYFUNCTION("""COMPUTED_VALUE"""),"#REF!")</f>
        <v>#REF!</v>
      </c>
      <c r="N247" s="1"/>
      <c r="O247" s="3" t="str">
        <f>IFERROR(__xludf.DUMMYFUNCTION("""COMPUTED_VALUE"""),"")</f>
        <v/>
      </c>
      <c r="P247" s="9" t="b">
        <f>IFERROR(__xludf.DUMMYFUNCTION("""COMPUTED_VALUE"""),FALSE)</f>
        <v>0</v>
      </c>
      <c r="Q247" s="10" t="str">
        <f>IFERROR(__xludf.DUMMYFUNCTION("""COMPUTED_VALUE"""),"")</f>
        <v/>
      </c>
      <c r="R247" s="11" t="str">
        <f>IFERROR(__xludf.DUMMYFUNCTION("""COMPUTED_VALUE"""),"https://drive.google.com/file/d/1DInO7-qxZaNdxyjwWUJvV1j3HLcxixLF/view?usp=drivesdk")</f>
        <v>https://drive.google.com/file/d/1DInO7-qxZaNdxyjwWUJvV1j3HLcxixLF/view?usp=drivesdk</v>
      </c>
      <c r="S247" s="1" t="str">
        <f t="shared" si="2"/>
        <v/>
      </c>
      <c r="T247" s="1" t="str">
        <f t="shared" si="3"/>
        <v/>
      </c>
      <c r="U247" s="1" t="str">
        <f t="shared" si="4"/>
        <v/>
      </c>
      <c r="V247" s="1"/>
      <c r="W247" s="1"/>
      <c r="X247" s="1"/>
      <c r="Y247" s="1"/>
      <c r="Z247" s="8"/>
      <c r="AA247" s="1"/>
      <c r="AB247" s="1"/>
      <c r="AC247" s="1"/>
      <c r="AD247" s="1"/>
      <c r="AE247" s="1"/>
      <c r="AF247" s="1"/>
      <c r="AG247" s="1"/>
      <c r="AH247" s="1" t="str">
        <f t="shared" si="1"/>
        <v/>
      </c>
      <c r="AI247" s="1"/>
    </row>
    <row r="248">
      <c r="A248" s="5">
        <f>IFERROR(__xludf.DUMMYFUNCTION("""COMPUTED_VALUE"""),45002.0)</f>
        <v>45002</v>
      </c>
      <c r="B248" s="14" t="str">
        <f>IFERROR(__xludf.DUMMYFUNCTION("""COMPUTED_VALUE"""),"Jeison Rubiano")</f>
        <v>Jeison Rubiano</v>
      </c>
      <c r="C248" s="6" t="str">
        <f>IFERROR(__xludf.DUMMYFUNCTION("""COMPUTED_VALUE"""),"BOGOTÁ")</f>
        <v>BOGOTÁ</v>
      </c>
      <c r="D248" s="6" t="str">
        <f>IFERROR(__xludf.DUMMYFUNCTION("""COMPUTED_VALUE"""),"MEDELLÍN")</f>
        <v>MEDELLÍN</v>
      </c>
      <c r="E248" s="6" t="str">
        <f>IFERROR(__xludf.DUMMYFUNCTION("""COMPUTED_VALUE"""),"Rambla")</f>
        <v>Rambla</v>
      </c>
      <c r="F248" s="1" t="str">
        <f>IFERROR(__xludf.DUMMYFUNCTION("""COMPUTED_VALUE"""),"Cl. 93a #11-46, Barrio Chicó / NA / NA")</f>
        <v>Cl. 93a #11-46, Barrio Chicó / NA / NA</v>
      </c>
      <c r="G248" s="6" t="str">
        <f>IFERROR(__xludf.DUMMYFUNCTION("""COMPUTED_VALUE"""),"FIT HUB")</f>
        <v>FIT HUB</v>
      </c>
      <c r="H248" s="7">
        <f>IFERROR(__xludf.DUMMYFUNCTION("""COMPUTED_VALUE"""),8934.0)</f>
        <v>8934</v>
      </c>
      <c r="I248" s="7">
        <f>IFERROR(__xludf.DUMMYFUNCTION("""COMPUTED_VALUE"""),26.0)</f>
        <v>26</v>
      </c>
      <c r="J248" s="7">
        <f>IFERROR(__xludf.DUMMYFUNCTION("""COMPUTED_VALUE"""),30.0)</f>
        <v>30</v>
      </c>
      <c r="K248" s="7">
        <f>IFERROR(__xludf.DUMMYFUNCTION("""COMPUTED_VALUE"""),33.0)</f>
        <v>33</v>
      </c>
      <c r="L248" s="8">
        <f>IFERROR(__xludf.DUMMYFUNCTION("""COMPUTED_VALUE"""),3.015447307E9)</f>
        <v>3015447307</v>
      </c>
      <c r="M248" s="9" t="str">
        <f>IFERROR(__xludf.DUMMYFUNCTION("""COMPUTED_VALUE"""),"#REF!")</f>
        <v>#REF!</v>
      </c>
      <c r="N248" s="1"/>
      <c r="O248" s="3" t="str">
        <f>IFERROR(__xludf.DUMMYFUNCTION("""COMPUTED_VALUE"""),"")</f>
        <v/>
      </c>
      <c r="P248" s="9" t="b">
        <f>IFERROR(__xludf.DUMMYFUNCTION("""COMPUTED_VALUE"""),FALSE)</f>
        <v>0</v>
      </c>
      <c r="Q248" s="10" t="str">
        <f>IFERROR(__xludf.DUMMYFUNCTION("""COMPUTED_VALUE"""),"")</f>
        <v/>
      </c>
      <c r="R248" s="11" t="str">
        <f>IFERROR(__xludf.DUMMYFUNCTION("""COMPUTED_VALUE"""),"https://drive.google.com/file/d/1gmtcNnwLLY54flHa2_B3LY4_wmmsTzwY/view?usp=drivesdk")</f>
        <v>https://drive.google.com/file/d/1gmtcNnwLLY54flHa2_B3LY4_wmmsTzwY/view?usp=drivesdk</v>
      </c>
      <c r="S248" s="1" t="str">
        <f t="shared" si="2"/>
        <v/>
      </c>
      <c r="T248" s="1" t="str">
        <f t="shared" si="3"/>
        <v/>
      </c>
      <c r="U248" s="1" t="str">
        <f t="shared" si="4"/>
        <v/>
      </c>
      <c r="V248" s="1"/>
      <c r="W248" s="1"/>
      <c r="X248" s="1"/>
      <c r="Y248" s="1"/>
      <c r="Z248" s="8"/>
      <c r="AA248" s="1"/>
      <c r="AB248" s="1"/>
      <c r="AC248" s="1"/>
      <c r="AD248" s="1"/>
      <c r="AE248" s="1"/>
      <c r="AF248" s="1"/>
      <c r="AG248" s="1"/>
      <c r="AH248" s="1" t="str">
        <f t="shared" si="1"/>
        <v/>
      </c>
      <c r="AI248" s="1"/>
    </row>
    <row r="249">
      <c r="A249" s="1" t="str">
        <f>IFERROR(__xludf.DUMMYFUNCTION("""COMPUTED_VALUE"""),"")</f>
        <v/>
      </c>
      <c r="B249" s="1" t="str">
        <f>IFERROR(__xludf.DUMMYFUNCTION("""COMPUTED_VALUE"""),"")</f>
        <v/>
      </c>
      <c r="C249" s="1" t="str">
        <f>IFERROR(__xludf.DUMMYFUNCTION("""COMPUTED_VALUE"""),"")</f>
        <v/>
      </c>
      <c r="D249" s="1" t="str">
        <f>IFERROR(__xludf.DUMMYFUNCTION("""COMPUTED_VALUE"""),"")</f>
        <v/>
      </c>
      <c r="E249" s="1" t="str">
        <f>IFERROR(__xludf.DUMMYFUNCTION("""COMPUTED_VALUE"""),"")</f>
        <v/>
      </c>
      <c r="F249" s="1" t="str">
        <f>IFERROR(__xludf.DUMMYFUNCTION("""COMPUTED_VALUE"""),"")</f>
        <v/>
      </c>
      <c r="G249" s="1" t="str">
        <f>IFERROR(__xludf.DUMMYFUNCTION("""COMPUTED_VALUE"""),"")</f>
        <v/>
      </c>
      <c r="H249" s="1" t="str">
        <f>IFERROR(__xludf.DUMMYFUNCTION("""COMPUTED_VALUE"""),"")</f>
        <v/>
      </c>
      <c r="I249" s="1" t="str">
        <f>IFERROR(__xludf.DUMMYFUNCTION("""COMPUTED_VALUE"""),"")</f>
        <v/>
      </c>
      <c r="J249" s="1" t="str">
        <f>IFERROR(__xludf.DUMMYFUNCTION("""COMPUTED_VALUE"""),"")</f>
        <v/>
      </c>
      <c r="K249" s="1" t="str">
        <f>IFERROR(__xludf.DUMMYFUNCTION("""COMPUTED_VALUE"""),"")</f>
        <v/>
      </c>
      <c r="L249" s="1" t="str">
        <f>IFERROR(__xludf.DUMMYFUNCTION("""COMPUTED_VALUE"""),"")</f>
        <v/>
      </c>
      <c r="M249" s="1" t="str">
        <f>IFERROR(__xludf.DUMMYFUNCTION("""COMPUTED_VALUE"""),"")</f>
        <v/>
      </c>
      <c r="N249" s="1" t="str">
        <f>IFERROR(__xludf.DUMMYFUNCTION("""COMPUTED_VALUE"""),"")</f>
        <v/>
      </c>
      <c r="O249" s="1" t="str">
        <f>IFERROR(__xludf.DUMMYFUNCTION("""COMPUTED_VALUE"""),"")</f>
        <v/>
      </c>
      <c r="P249" s="1" t="str">
        <f>IFERROR(__xludf.DUMMYFUNCTION("""COMPUTED_VALUE"""),"")</f>
        <v/>
      </c>
      <c r="Q249" s="1" t="str">
        <f>IFERROR(__xludf.DUMMYFUNCTION("""COMPUTED_VALUE"""),"")</f>
        <v/>
      </c>
      <c r="R249" s="1" t="str">
        <f>IFERROR(__xludf.DUMMYFUNCTION("""COMPUTED_VALUE"""),"")</f>
        <v/>
      </c>
      <c r="S249" s="1" t="str">
        <f t="shared" si="2"/>
        <v/>
      </c>
      <c r="T249" s="1" t="str">
        <f t="shared" si="3"/>
        <v/>
      </c>
      <c r="U249" s="1" t="str">
        <f t="shared" si="4"/>
        <v/>
      </c>
      <c r="V249" s="1"/>
      <c r="W249" s="1"/>
      <c r="X249" s="1"/>
      <c r="Y249" s="1"/>
      <c r="Z249" s="8"/>
      <c r="AA249" s="1"/>
      <c r="AB249" s="1"/>
      <c r="AC249" s="1"/>
      <c r="AD249" s="1"/>
      <c r="AE249" s="1"/>
      <c r="AF249" s="1"/>
      <c r="AG249" s="1"/>
      <c r="AH249" s="1" t="str">
        <f t="shared" si="1"/>
        <v/>
      </c>
      <c r="AI249" s="1"/>
    </row>
    <row r="250">
      <c r="A250" s="5">
        <f>IFERROR(__xludf.DUMMYFUNCTION("""COMPUTED_VALUE"""),45002.0)</f>
        <v>45002</v>
      </c>
      <c r="B250" s="14" t="str">
        <f>IFERROR(__xludf.DUMMYFUNCTION("""COMPUTED_VALUE"""),"Lina Gaona")</f>
        <v>Lina Gaona</v>
      </c>
      <c r="C250" s="6" t="str">
        <f>IFERROR(__xludf.DUMMYFUNCTION("""COMPUTED_VALUE"""),"CÚCUTA")</f>
        <v>CÚCUTA</v>
      </c>
      <c r="D250" s="6" t="str">
        <f>IFERROR(__xludf.DUMMYFUNCTION("""COMPUTED_VALUE"""),"BOGOTÁ")</f>
        <v>BOGOTÁ</v>
      </c>
      <c r="E250" s="6" t="str">
        <f>IFERROR(__xludf.DUMMYFUNCTION("""COMPUTED_VALUE"""),"Evamazzita")</f>
        <v>Evamazzita</v>
      </c>
      <c r="F250" s="1" t="str">
        <f>IFERROR(__xludf.DUMMYFUNCTION("""COMPUTED_VALUE"""),"Av 2E # 15A -17  / N/A / Caobos")</f>
        <v>Av 2E # 15A -17  / N/A / Caobos</v>
      </c>
      <c r="G250" s="6" t="str">
        <f>IFERROR(__xludf.DUMMYFUNCTION("""COMPUTED_VALUE"""),"DACCY KARINA LOPEZ MORENO")</f>
        <v>DACCY KARINA LOPEZ MORENO</v>
      </c>
      <c r="H250" s="7">
        <f>IFERROR(__xludf.DUMMYFUNCTION("""COMPUTED_VALUE"""),8917.0)</f>
        <v>8917</v>
      </c>
      <c r="I250" s="7">
        <f>IFERROR(__xludf.DUMMYFUNCTION("""COMPUTED_VALUE"""),21.0)</f>
        <v>21</v>
      </c>
      <c r="J250" s="7">
        <f>IFERROR(__xludf.DUMMYFUNCTION("""COMPUTED_VALUE"""),50.0)</f>
        <v>50</v>
      </c>
      <c r="K250" s="7">
        <f>IFERROR(__xludf.DUMMYFUNCTION("""COMPUTED_VALUE"""),33.0)</f>
        <v>33</v>
      </c>
      <c r="L250" s="8">
        <f>IFERROR(__xludf.DUMMYFUNCTION("""COMPUTED_VALUE"""),3.208615379E9)</f>
        <v>3208615379</v>
      </c>
      <c r="M250" s="9" t="str">
        <f>IFERROR(__xludf.DUMMYFUNCTION("""COMPUTED_VALUE"""),"#REF!")</f>
        <v>#REF!</v>
      </c>
      <c r="N250" s="1"/>
      <c r="O250" s="3" t="str">
        <f>IFERROR(__xludf.DUMMYFUNCTION("""COMPUTED_VALUE"""),"")</f>
        <v/>
      </c>
      <c r="P250" s="9" t="b">
        <f>IFERROR(__xludf.DUMMYFUNCTION("""COMPUTED_VALUE"""),FALSE)</f>
        <v>0</v>
      </c>
      <c r="Q250" s="10" t="str">
        <f>IFERROR(__xludf.DUMMYFUNCTION("""COMPUTED_VALUE"""),"")</f>
        <v/>
      </c>
      <c r="R250" s="12" t="str">
        <f>IFERROR(__xludf.DUMMYFUNCTION("""COMPUTED_VALUE"""),"")</f>
        <v/>
      </c>
      <c r="S250" s="1" t="str">
        <f t="shared" si="2"/>
        <v/>
      </c>
      <c r="T250" s="1" t="str">
        <f t="shared" si="3"/>
        <v/>
      </c>
      <c r="U250" s="1" t="str">
        <f t="shared" si="4"/>
        <v/>
      </c>
      <c r="V250" s="1"/>
      <c r="W250" s="1"/>
      <c r="X250" s="1"/>
      <c r="Y250" s="1"/>
      <c r="Z250" s="8"/>
      <c r="AA250" s="1"/>
      <c r="AB250" s="1"/>
      <c r="AC250" s="1"/>
      <c r="AD250" s="1"/>
      <c r="AE250" s="1"/>
      <c r="AF250" s="1"/>
      <c r="AG250" s="1"/>
      <c r="AH250" s="1" t="str">
        <f t="shared" si="1"/>
        <v/>
      </c>
      <c r="AI250" s="1"/>
    </row>
    <row r="251">
      <c r="A251" s="5">
        <f>IFERROR(__xludf.DUMMYFUNCTION("""COMPUTED_VALUE"""),45002.0)</f>
        <v>45002</v>
      </c>
      <c r="B251" s="14" t="str">
        <f>IFERROR(__xludf.DUMMYFUNCTION("""COMPUTED_VALUE"""),"Lina Gaona")</f>
        <v>Lina Gaona</v>
      </c>
      <c r="C251" s="6" t="str">
        <f>IFERROR(__xludf.DUMMYFUNCTION("""COMPUTED_VALUE"""),"CÚCUTA")</f>
        <v>CÚCUTA</v>
      </c>
      <c r="D251" s="6" t="str">
        <f>IFERROR(__xludf.DUMMYFUNCTION("""COMPUTED_VALUE"""),"BOGOTÁ")</f>
        <v>BOGOTÁ</v>
      </c>
      <c r="E251" s="6" t="str">
        <f>IFERROR(__xludf.DUMMYFUNCTION("""COMPUTED_VALUE"""),"Evamazzita")</f>
        <v>Evamazzita</v>
      </c>
      <c r="F251" s="1" t="str">
        <f>IFERROR(__xludf.DUMMYFUNCTION("""COMPUTED_VALUE"""),"Avenida 7 #12-40  / centro comercial la antigua estrella local H-77  / barrio centro")</f>
        <v>Avenida 7 #12-40  / centro comercial la antigua estrella local H-77  / barrio centro</v>
      </c>
      <c r="G251" s="6" t="str">
        <f>IFERROR(__xludf.DUMMYFUNCTION("""COMPUTED_VALUE"""),"ANYI VANESSA GRIMALDO COLLANTES")</f>
        <v>ANYI VANESSA GRIMALDO COLLANTES</v>
      </c>
      <c r="H251" s="7">
        <f>IFERROR(__xludf.DUMMYFUNCTION("""COMPUTED_VALUE"""),8895.0)</f>
        <v>8895</v>
      </c>
      <c r="I251" s="7">
        <f>IFERROR(__xludf.DUMMYFUNCTION("""COMPUTED_VALUE"""),3.0)</f>
        <v>3</v>
      </c>
      <c r="J251" s="7">
        <f>IFERROR(__xludf.DUMMYFUNCTION("""COMPUTED_VALUE"""),20.0)</f>
        <v>20</v>
      </c>
      <c r="K251" s="7">
        <f>IFERROR(__xludf.DUMMYFUNCTION("""COMPUTED_VALUE"""),15.0)</f>
        <v>15</v>
      </c>
      <c r="L251" s="8">
        <f>IFERROR(__xludf.DUMMYFUNCTION("""COMPUTED_VALUE"""),3.225098669E9)</f>
        <v>3225098669</v>
      </c>
      <c r="M251" s="9" t="str">
        <f>IFERROR(__xludf.DUMMYFUNCTION("""COMPUTED_VALUE"""),"#REF!")</f>
        <v>#REF!</v>
      </c>
      <c r="N251" s="1"/>
      <c r="O251" s="3" t="str">
        <f>IFERROR(__xludf.DUMMYFUNCTION("""COMPUTED_VALUE"""),"")</f>
        <v/>
      </c>
      <c r="P251" s="9" t="b">
        <f>IFERROR(__xludf.DUMMYFUNCTION("""COMPUTED_VALUE"""),FALSE)</f>
        <v>0</v>
      </c>
      <c r="Q251" s="10" t="str">
        <f>IFERROR(__xludf.DUMMYFUNCTION("""COMPUTED_VALUE"""),"")</f>
        <v/>
      </c>
      <c r="R251" s="12" t="str">
        <f>IFERROR(__xludf.DUMMYFUNCTION("""COMPUTED_VALUE"""),"")</f>
        <v/>
      </c>
      <c r="S251" s="1" t="str">
        <f t="shared" si="2"/>
        <v/>
      </c>
      <c r="T251" s="1" t="str">
        <f t="shared" si="3"/>
        <v/>
      </c>
      <c r="U251" s="1" t="str">
        <f t="shared" si="4"/>
        <v/>
      </c>
      <c r="V251" s="1"/>
      <c r="W251" s="1"/>
      <c r="X251" s="1"/>
      <c r="Y251" s="1"/>
      <c r="Z251" s="8"/>
      <c r="AA251" s="1"/>
      <c r="AB251" s="1"/>
      <c r="AC251" s="1"/>
      <c r="AD251" s="1"/>
      <c r="AE251" s="1"/>
      <c r="AF251" s="1"/>
      <c r="AG251" s="1"/>
      <c r="AH251" s="1" t="str">
        <f t="shared" si="1"/>
        <v/>
      </c>
      <c r="AI251" s="1"/>
    </row>
    <row r="252">
      <c r="A252" s="5">
        <f>IFERROR(__xludf.DUMMYFUNCTION("""COMPUTED_VALUE"""),45002.0)</f>
        <v>45002</v>
      </c>
      <c r="B252" s="14" t="str">
        <f>IFERROR(__xludf.DUMMYFUNCTION("""COMPUTED_VALUE"""),"Lina Gaona")</f>
        <v>Lina Gaona</v>
      </c>
      <c r="C252" s="6" t="str">
        <f>IFERROR(__xludf.DUMMYFUNCTION("""COMPUTED_VALUE"""),"CÚCUTA")</f>
        <v>CÚCUTA</v>
      </c>
      <c r="D252" s="6" t="str">
        <f>IFERROR(__xludf.DUMMYFUNCTION("""COMPUTED_VALUE"""),"MEDELLÍN")</f>
        <v>MEDELLÍN</v>
      </c>
      <c r="E252" s="6" t="str">
        <f>IFERROR(__xludf.DUMMYFUNCTION("""COMPUTED_VALUE"""),"AREPAS LA MARY")</f>
        <v>AREPAS LA MARY</v>
      </c>
      <c r="F252" s="1" t="str">
        <f>IFERROR(__xludf.DUMMYFUNCTION("""COMPUTED_VALUE"""),"AV. 11E N.1 35 AV. GUAIMARAL LC 3")</f>
        <v>AV. 11E N.1 35 AV. GUAIMARAL LC 3</v>
      </c>
      <c r="G252" s="6" t="str">
        <f>IFERROR(__xludf.DUMMYFUNCTION("""COMPUTED_VALUE"""),"VITALFIT CUCUTA")</f>
        <v>VITALFIT CUCUTA</v>
      </c>
      <c r="H252" s="7">
        <f>IFERROR(__xludf.DUMMYFUNCTION("""COMPUTED_VALUE"""),8913.0)</f>
        <v>8913</v>
      </c>
      <c r="I252" s="7">
        <f>IFERROR(__xludf.DUMMYFUNCTION("""COMPUTED_VALUE"""),89.0)</f>
        <v>89</v>
      </c>
      <c r="J252" s="7">
        <f>IFERROR(__xludf.DUMMYFUNCTION("""COMPUTED_VALUE"""),1.0)</f>
        <v>1</v>
      </c>
      <c r="K252" s="7">
        <f>IFERROR(__xludf.DUMMYFUNCTION("""COMPUTED_VALUE"""),10.0)</f>
        <v>10</v>
      </c>
      <c r="L252" s="8">
        <f>IFERROR(__xludf.DUMMYFUNCTION("""COMPUTED_VALUE"""),3.01782078E9)</f>
        <v>3017820780</v>
      </c>
      <c r="M252" s="9" t="str">
        <f>IFERROR(__xludf.DUMMYFUNCTION("""COMPUTED_VALUE"""),"#REF!")</f>
        <v>#REF!</v>
      </c>
      <c r="N252" s="1"/>
      <c r="O252" s="3" t="str">
        <f>IFERROR(__xludf.DUMMYFUNCTION("""COMPUTED_VALUE"""),"")</f>
        <v/>
      </c>
      <c r="P252" s="9" t="b">
        <f>IFERROR(__xludf.DUMMYFUNCTION("""COMPUTED_VALUE"""),FALSE)</f>
        <v>0</v>
      </c>
      <c r="Q252" s="10" t="str">
        <f>IFERROR(__xludf.DUMMYFUNCTION("""COMPUTED_VALUE"""),"")</f>
        <v/>
      </c>
      <c r="R252" s="12" t="str">
        <f>IFERROR(__xludf.DUMMYFUNCTION("""COMPUTED_VALUE"""),"")</f>
        <v/>
      </c>
      <c r="S252" s="1" t="str">
        <f t="shared" si="2"/>
        <v/>
      </c>
      <c r="T252" s="1" t="str">
        <f t="shared" si="3"/>
        <v/>
      </c>
      <c r="U252" s="1" t="str">
        <f t="shared" si="4"/>
        <v/>
      </c>
      <c r="V252" s="1"/>
      <c r="W252" s="1"/>
      <c r="X252" s="1"/>
      <c r="Y252" s="1"/>
      <c r="Z252" s="8"/>
      <c r="AA252" s="1"/>
      <c r="AB252" s="1"/>
      <c r="AC252" s="1"/>
      <c r="AD252" s="1"/>
      <c r="AE252" s="1"/>
      <c r="AF252" s="1"/>
      <c r="AG252" s="1"/>
      <c r="AH252" s="1" t="str">
        <f t="shared" si="1"/>
        <v/>
      </c>
      <c r="AI252" s="1"/>
    </row>
    <row r="253">
      <c r="A253" s="5">
        <f>IFERROR(__xludf.DUMMYFUNCTION("""COMPUTED_VALUE"""),45002.0)</f>
        <v>45002</v>
      </c>
      <c r="B253" s="14" t="str">
        <f>IFERROR(__xludf.DUMMYFUNCTION("""COMPUTED_VALUE"""),"Lina Gaona")</f>
        <v>Lina Gaona</v>
      </c>
      <c r="C253" s="6" t="str">
        <f>IFERROR(__xludf.DUMMYFUNCTION("""COMPUTED_VALUE"""),"SANTA MARTA")</f>
        <v>SANTA MARTA</v>
      </c>
      <c r="D253" s="6" t="str">
        <f>IFERROR(__xludf.DUMMYFUNCTION("""COMPUTED_VALUE"""),"MEDELLÍN")</f>
        <v>MEDELLÍN</v>
      </c>
      <c r="E253" s="6" t="str">
        <f>IFERROR(__xludf.DUMMYFUNCTION("""COMPUTED_VALUE"""),"Baby Chef")</f>
        <v>Baby Chef</v>
      </c>
      <c r="F253" s="1" t="str">
        <f>IFERROR(__xludf.DUMMYFUNCTION("""COMPUTED_VALUE"""),"calle 11A No 5 -40 rodadero santa marta / rodadero / rodadero")</f>
        <v>calle 11A No 5 -40 rodadero santa marta / rodadero / rodadero</v>
      </c>
      <c r="G253" s="6" t="str">
        <f>IFERROR(__xludf.DUMMYFUNCTION("""COMPUTED_VALUE"""),"melissa caballero  SANTA MARTA")</f>
        <v>melissa caballero  SANTA MARTA</v>
      </c>
      <c r="H253" s="7">
        <f>IFERROR(__xludf.DUMMYFUNCTION("""COMPUTED_VALUE"""),8907.0)</f>
        <v>8907</v>
      </c>
      <c r="I253" s="7">
        <f>IFERROR(__xludf.DUMMYFUNCTION("""COMPUTED_VALUE"""),10.0)</f>
        <v>10</v>
      </c>
      <c r="J253" s="7">
        <f>IFERROR(__xludf.DUMMYFUNCTION("""COMPUTED_VALUE"""),20.0)</f>
        <v>20</v>
      </c>
      <c r="K253" s="7">
        <f>IFERROR(__xludf.DUMMYFUNCTION("""COMPUTED_VALUE"""),20.0)</f>
        <v>20</v>
      </c>
      <c r="L253" s="8">
        <f>IFERROR(__xludf.DUMMYFUNCTION("""COMPUTED_VALUE"""),3.044614918E9)</f>
        <v>3044614918</v>
      </c>
      <c r="M253" s="9" t="str">
        <f>IFERROR(__xludf.DUMMYFUNCTION("""COMPUTED_VALUE"""),"#REF!")</f>
        <v>#REF!</v>
      </c>
      <c r="N253" s="1"/>
      <c r="O253" s="3" t="str">
        <f>IFERROR(__xludf.DUMMYFUNCTION("""COMPUTED_VALUE"""),"")</f>
        <v/>
      </c>
      <c r="P253" s="9" t="b">
        <f>IFERROR(__xludf.DUMMYFUNCTION("""COMPUTED_VALUE"""),FALSE)</f>
        <v>0</v>
      </c>
      <c r="Q253" s="10" t="str">
        <f>IFERROR(__xludf.DUMMYFUNCTION("""COMPUTED_VALUE"""),"")</f>
        <v/>
      </c>
      <c r="R253" s="12" t="str">
        <f>IFERROR(__xludf.DUMMYFUNCTION("""COMPUTED_VALUE"""),"")</f>
        <v/>
      </c>
      <c r="S253" s="1" t="str">
        <f t="shared" si="2"/>
        <v/>
      </c>
      <c r="T253" s="1" t="str">
        <f t="shared" si="3"/>
        <v/>
      </c>
      <c r="U253" s="1" t="str">
        <f t="shared" si="4"/>
        <v/>
      </c>
      <c r="V253" s="1"/>
      <c r="W253" s="1"/>
      <c r="X253" s="1"/>
      <c r="Y253" s="1"/>
      <c r="Z253" s="8"/>
      <c r="AA253" s="1"/>
      <c r="AB253" s="1"/>
      <c r="AC253" s="1"/>
      <c r="AD253" s="1"/>
      <c r="AE253" s="1"/>
      <c r="AF253" s="1"/>
      <c r="AG253" s="1"/>
      <c r="AH253" s="1" t="str">
        <f t="shared" si="1"/>
        <v/>
      </c>
      <c r="AI253" s="1"/>
    </row>
    <row r="254">
      <c r="A254" s="5">
        <f>IFERROR(__xludf.DUMMYFUNCTION("""COMPUTED_VALUE"""),45002.0)</f>
        <v>45002</v>
      </c>
      <c r="B254" s="14" t="str">
        <f>IFERROR(__xludf.DUMMYFUNCTION("""COMPUTED_VALUE"""),"Lina Gaona")</f>
        <v>Lina Gaona</v>
      </c>
      <c r="C254" s="6" t="str">
        <f>IFERROR(__xludf.DUMMYFUNCTION("""COMPUTED_VALUE"""),"SANTA MARTA")</f>
        <v>SANTA MARTA</v>
      </c>
      <c r="D254" s="6" t="str">
        <f>IFERROR(__xludf.DUMMYFUNCTION("""COMPUTED_VALUE"""),"MEDELLÍN")</f>
        <v>MEDELLÍN</v>
      </c>
      <c r="E254" s="6" t="str">
        <f>IFERROR(__xludf.DUMMYFUNCTION("""COMPUTED_VALUE"""),"Rambla")</f>
        <v>Rambla</v>
      </c>
      <c r="F254" s="1" t="str">
        <f>IFERROR(__xludf.DUMMYFUNCTION("""COMPUTED_VALUE"""),"cra 21 #21-153 local 105 centro comercial plaza jardin / Na  / Na")</f>
        <v>cra 21 #21-153 local 105 centro comercial plaza jardin / Na  / Na</v>
      </c>
      <c r="G254" s="6" t="str">
        <f>IFERROR(__xludf.DUMMYFUNCTION("""COMPUTED_VALUE"""),"Punto saludable")</f>
        <v>Punto saludable</v>
      </c>
      <c r="H254" s="7">
        <f>IFERROR(__xludf.DUMMYFUNCTION("""COMPUTED_VALUE"""),8925.0)</f>
        <v>8925</v>
      </c>
      <c r="I254" s="7">
        <f>IFERROR(__xludf.DUMMYFUNCTION("""COMPUTED_VALUE"""),34.0)</f>
        <v>34</v>
      </c>
      <c r="J254" s="7">
        <f>IFERROR(__xludf.DUMMYFUNCTION("""COMPUTED_VALUE"""),23.0)</f>
        <v>23</v>
      </c>
      <c r="K254" s="7">
        <f>IFERROR(__xludf.DUMMYFUNCTION("""COMPUTED_VALUE"""),23.0)</f>
        <v>23</v>
      </c>
      <c r="L254" s="8">
        <f>IFERROR(__xludf.DUMMYFUNCTION("""COMPUTED_VALUE"""),3.013146331E9)</f>
        <v>3013146331</v>
      </c>
      <c r="M254" s="9" t="str">
        <f>IFERROR(__xludf.DUMMYFUNCTION("""COMPUTED_VALUE"""),"#REF!")</f>
        <v>#REF!</v>
      </c>
      <c r="N254" s="1"/>
      <c r="O254" s="3" t="str">
        <f>IFERROR(__xludf.DUMMYFUNCTION("""COMPUTED_VALUE"""),"")</f>
        <v/>
      </c>
      <c r="P254" s="9" t="b">
        <f>IFERROR(__xludf.DUMMYFUNCTION("""COMPUTED_VALUE"""),FALSE)</f>
        <v>0</v>
      </c>
      <c r="Q254" s="10" t="str">
        <f>IFERROR(__xludf.DUMMYFUNCTION("""COMPUTED_VALUE"""),"")</f>
        <v/>
      </c>
      <c r="R254" s="12" t="str">
        <f>IFERROR(__xludf.DUMMYFUNCTION("""COMPUTED_VALUE"""),"")</f>
        <v/>
      </c>
      <c r="S254" s="1" t="str">
        <f t="shared" si="2"/>
        <v/>
      </c>
      <c r="T254" s="1" t="str">
        <f t="shared" si="3"/>
        <v/>
      </c>
      <c r="U254" s="1" t="str">
        <f t="shared" si="4"/>
        <v/>
      </c>
      <c r="V254" s="1"/>
      <c r="W254" s="1"/>
      <c r="X254" s="1"/>
      <c r="Y254" s="1"/>
      <c r="Z254" s="8"/>
      <c r="AA254" s="1"/>
      <c r="AB254" s="1"/>
      <c r="AC254" s="1"/>
      <c r="AD254" s="1"/>
      <c r="AE254" s="1"/>
      <c r="AF254" s="1"/>
      <c r="AG254" s="1"/>
      <c r="AH254" s="1" t="str">
        <f t="shared" si="1"/>
        <v/>
      </c>
      <c r="AI254" s="1"/>
    </row>
    <row r="255">
      <c r="A255" s="1" t="str">
        <f>IFERROR(__xludf.DUMMYFUNCTION("""COMPUTED_VALUE"""),"")</f>
        <v/>
      </c>
      <c r="B255" s="1" t="str">
        <f>IFERROR(__xludf.DUMMYFUNCTION("""COMPUTED_VALUE"""),"")</f>
        <v/>
      </c>
      <c r="C255" s="1" t="str">
        <f>IFERROR(__xludf.DUMMYFUNCTION("""COMPUTED_VALUE"""),"")</f>
        <v/>
      </c>
      <c r="D255" s="1" t="str">
        <f>IFERROR(__xludf.DUMMYFUNCTION("""COMPUTED_VALUE"""),"")</f>
        <v/>
      </c>
      <c r="E255" s="1" t="str">
        <f>IFERROR(__xludf.DUMMYFUNCTION("""COMPUTED_VALUE"""),"")</f>
        <v/>
      </c>
      <c r="F255" s="1" t="str">
        <f>IFERROR(__xludf.DUMMYFUNCTION("""COMPUTED_VALUE"""),"")</f>
        <v/>
      </c>
      <c r="G255" s="1" t="str">
        <f>IFERROR(__xludf.DUMMYFUNCTION("""COMPUTED_VALUE"""),"")</f>
        <v/>
      </c>
      <c r="H255" s="1" t="str">
        <f>IFERROR(__xludf.DUMMYFUNCTION("""COMPUTED_VALUE"""),"")</f>
        <v/>
      </c>
      <c r="I255" s="1" t="str">
        <f>IFERROR(__xludf.DUMMYFUNCTION("""COMPUTED_VALUE"""),"")</f>
        <v/>
      </c>
      <c r="J255" s="1" t="str">
        <f>IFERROR(__xludf.DUMMYFUNCTION("""COMPUTED_VALUE"""),"")</f>
        <v/>
      </c>
      <c r="K255" s="1" t="str">
        <f>IFERROR(__xludf.DUMMYFUNCTION("""COMPUTED_VALUE"""),"")</f>
        <v/>
      </c>
      <c r="L255" s="1" t="str">
        <f>IFERROR(__xludf.DUMMYFUNCTION("""COMPUTED_VALUE"""),"")</f>
        <v/>
      </c>
      <c r="M255" s="1" t="str">
        <f>IFERROR(__xludf.DUMMYFUNCTION("""COMPUTED_VALUE"""),"")</f>
        <v/>
      </c>
      <c r="N255" s="1" t="str">
        <f>IFERROR(__xludf.DUMMYFUNCTION("""COMPUTED_VALUE"""),"")</f>
        <v/>
      </c>
      <c r="O255" s="1" t="str">
        <f>IFERROR(__xludf.DUMMYFUNCTION("""COMPUTED_VALUE"""),"")</f>
        <v/>
      </c>
      <c r="P255" s="1" t="str">
        <f>IFERROR(__xludf.DUMMYFUNCTION("""COMPUTED_VALUE"""),"")</f>
        <v/>
      </c>
      <c r="Q255" s="1" t="str">
        <f>IFERROR(__xludf.DUMMYFUNCTION("""COMPUTED_VALUE"""),"")</f>
        <v/>
      </c>
      <c r="R255" s="1" t="str">
        <f>IFERROR(__xludf.DUMMYFUNCTION("""COMPUTED_VALUE"""),"")</f>
        <v/>
      </c>
      <c r="S255" s="1" t="str">
        <f t="shared" si="2"/>
        <v/>
      </c>
      <c r="T255" s="1" t="str">
        <f t="shared" si="3"/>
        <v/>
      </c>
      <c r="U255" s="1" t="str">
        <f t="shared" si="4"/>
        <v/>
      </c>
      <c r="V255" s="1"/>
      <c r="W255" s="1"/>
      <c r="X255" s="1"/>
      <c r="Y255" s="1"/>
      <c r="Z255" s="8"/>
      <c r="AA255" s="1"/>
      <c r="AB255" s="1"/>
      <c r="AC255" s="1"/>
      <c r="AD255" s="1"/>
      <c r="AE255" s="1"/>
      <c r="AF255" s="1"/>
      <c r="AG255" s="1"/>
      <c r="AH255" s="1" t="str">
        <f t="shared" si="1"/>
        <v/>
      </c>
      <c r="AI255" s="1"/>
    </row>
    <row r="256">
      <c r="A256" s="5">
        <f>IFERROR(__xludf.DUMMYFUNCTION("""COMPUTED_VALUE"""),45002.0)</f>
        <v>45002</v>
      </c>
      <c r="B256" s="14" t="str">
        <f>IFERROR(__xludf.DUMMYFUNCTION("""COMPUTED_VALUE"""),"Luis Miguel Ramirez Morales")</f>
        <v>Luis Miguel Ramirez Morales</v>
      </c>
      <c r="C256" s="6" t="str">
        <f>IFERROR(__xludf.DUMMYFUNCTION("""COMPUTED_VALUE"""),"BOGOTÁ")</f>
        <v>BOGOTÁ</v>
      </c>
      <c r="D256" s="6" t="str">
        <f>IFERROR(__xludf.DUMMYFUNCTION("""COMPUTED_VALUE"""),"MEDELLÍN")</f>
        <v>MEDELLÍN</v>
      </c>
      <c r="E256" s="6" t="str">
        <f>IFERROR(__xludf.DUMMYFUNCTION("""COMPUTED_VALUE"""),"Rambla")</f>
        <v>Rambla</v>
      </c>
      <c r="F256" s="1" t="str">
        <f>IFERROR(__xludf.DUMMYFUNCTION("""COMPUTED_VALUE"""),"Calle 145 a # 45 a 36  Casa santa helena  / na / na")</f>
        <v>Calle 145 a # 45 a 36  Casa santa helena  / na / na</v>
      </c>
      <c r="G256" s="6" t="str">
        <f>IFERROR(__xludf.DUMMYFUNCTION("""COMPUTED_VALUE"""),"Fit Market")</f>
        <v>Fit Market</v>
      </c>
      <c r="H256" s="7">
        <f>IFERROR(__xludf.DUMMYFUNCTION("""COMPUTED_VALUE"""),8933.0)</f>
        <v>8933</v>
      </c>
      <c r="I256" s="7">
        <f>IFERROR(__xludf.DUMMYFUNCTION("""COMPUTED_VALUE"""),26.0)</f>
        <v>26</v>
      </c>
      <c r="J256" s="7">
        <f>IFERROR(__xludf.DUMMYFUNCTION("""COMPUTED_VALUE"""),30.0)</f>
        <v>30</v>
      </c>
      <c r="K256" s="7">
        <f>IFERROR(__xludf.DUMMYFUNCTION("""COMPUTED_VALUE"""),33.0)</f>
        <v>33</v>
      </c>
      <c r="L256" s="8">
        <f>IFERROR(__xludf.DUMMYFUNCTION("""COMPUTED_VALUE"""),3.183545455E9)</f>
        <v>3183545455</v>
      </c>
      <c r="M256" s="9" t="str">
        <f>IFERROR(__xludf.DUMMYFUNCTION("""COMPUTED_VALUE"""),"#REF!")</f>
        <v>#REF!</v>
      </c>
      <c r="N256" s="1"/>
      <c r="O256" s="3" t="str">
        <f>IFERROR(__xludf.DUMMYFUNCTION("""COMPUTED_VALUE"""),"")</f>
        <v/>
      </c>
      <c r="P256" s="9" t="b">
        <f>IFERROR(__xludf.DUMMYFUNCTION("""COMPUTED_VALUE"""),FALSE)</f>
        <v>0</v>
      </c>
      <c r="Q256" s="10" t="str">
        <f>IFERROR(__xludf.DUMMYFUNCTION("""COMPUTED_VALUE"""),"")</f>
        <v/>
      </c>
      <c r="R256" s="12" t="str">
        <f>IFERROR(__xludf.DUMMYFUNCTION("""COMPUTED_VALUE"""),"")</f>
        <v/>
      </c>
      <c r="S256" s="1" t="str">
        <f t="shared" si="2"/>
        <v/>
      </c>
      <c r="T256" s="1" t="str">
        <f t="shared" si="3"/>
        <v/>
      </c>
      <c r="U256" s="1" t="str">
        <f t="shared" si="4"/>
        <v/>
      </c>
      <c r="V256" s="1"/>
      <c r="W256" s="1"/>
      <c r="X256" s="1"/>
      <c r="Y256" s="1"/>
      <c r="Z256" s="8"/>
      <c r="AA256" s="1"/>
      <c r="AB256" s="1"/>
      <c r="AC256" s="1"/>
      <c r="AD256" s="1"/>
      <c r="AE256" s="1"/>
      <c r="AF256" s="1"/>
      <c r="AG256" s="1"/>
      <c r="AH256" s="1" t="str">
        <f t="shared" si="1"/>
        <v/>
      </c>
      <c r="AI256" s="1"/>
    </row>
    <row r="257">
      <c r="A257" s="5">
        <f>IFERROR(__xludf.DUMMYFUNCTION("""COMPUTED_VALUE"""),45002.0)</f>
        <v>45002</v>
      </c>
      <c r="B257" s="14" t="str">
        <f>IFERROR(__xludf.DUMMYFUNCTION("""COMPUTED_VALUE"""),"Luis Miguel Ramirez Morales")</f>
        <v>Luis Miguel Ramirez Morales</v>
      </c>
      <c r="C257" s="6" t="str">
        <f>IFERROR(__xludf.DUMMYFUNCTION("""COMPUTED_VALUE"""),"BOGOTÁ")</f>
        <v>BOGOTÁ</v>
      </c>
      <c r="D257" s="6" t="str">
        <f>IFERROR(__xludf.DUMMYFUNCTION("""COMPUTED_VALUE"""),"MEDELLÍN")</f>
        <v>MEDELLÍN</v>
      </c>
      <c r="E257" s="6" t="str">
        <f>IFERROR(__xludf.DUMMYFUNCTION("""COMPUTED_VALUE"""),"Rambla")</f>
        <v>Rambla</v>
      </c>
      <c r="F257" s="1" t="str">
        <f>IFERROR(__xludf.DUMMYFUNCTION("""COMPUTED_VALUE"""),"Calle 7 No 1A - 91 Este- Centro Comercial Casa Blanca local 75 Madrid Cundinamarca   / na / na")</f>
        <v>Calle 7 No 1A - 91 Este- Centro Comercial Casa Blanca local 75 Madrid Cundinamarca   / na / na</v>
      </c>
      <c r="G257" s="6" t="str">
        <f>IFERROR(__xludf.DUMMYFUNCTION("""COMPUTED_VALUE"""),"Mecato Natural")</f>
        <v>Mecato Natural</v>
      </c>
      <c r="H257" s="7">
        <f>IFERROR(__xludf.DUMMYFUNCTION("""COMPUTED_VALUE"""),8945.0)</f>
        <v>8945</v>
      </c>
      <c r="I257" s="7">
        <f>IFERROR(__xludf.DUMMYFUNCTION("""COMPUTED_VALUE"""),26.0)</f>
        <v>26</v>
      </c>
      <c r="J257" s="7">
        <f>IFERROR(__xludf.DUMMYFUNCTION("""COMPUTED_VALUE"""),30.0)</f>
        <v>30</v>
      </c>
      <c r="K257" s="7">
        <f>IFERROR(__xludf.DUMMYFUNCTION("""COMPUTED_VALUE"""),33.0)</f>
        <v>33</v>
      </c>
      <c r="L257" s="8">
        <f>IFERROR(__xludf.DUMMYFUNCTION("""COMPUTED_VALUE"""),3.126370098E9)</f>
        <v>3126370098</v>
      </c>
      <c r="M257" s="9" t="str">
        <f>IFERROR(__xludf.DUMMYFUNCTION("""COMPUTED_VALUE"""),"#REF!")</f>
        <v>#REF!</v>
      </c>
      <c r="N257" s="1"/>
      <c r="O257" s="3" t="str">
        <f>IFERROR(__xludf.DUMMYFUNCTION("""COMPUTED_VALUE"""),"")</f>
        <v/>
      </c>
      <c r="P257" s="9" t="b">
        <f>IFERROR(__xludf.DUMMYFUNCTION("""COMPUTED_VALUE"""),FALSE)</f>
        <v>0</v>
      </c>
      <c r="Q257" s="10" t="str">
        <f>IFERROR(__xludf.DUMMYFUNCTION("""COMPUTED_VALUE"""),"")</f>
        <v/>
      </c>
      <c r="R257" s="11" t="str">
        <f>IFERROR(__xludf.DUMMYFUNCTION("""COMPUTED_VALUE"""),"https://drive.google.com/file/d/1Nzs878mKh6e3-lx-DOchOACKfNfxRmX6/view?usp=drivesdk")</f>
        <v>https://drive.google.com/file/d/1Nzs878mKh6e3-lx-DOchOACKfNfxRmX6/view?usp=drivesdk</v>
      </c>
      <c r="S257" s="1" t="str">
        <f t="shared" si="2"/>
        <v/>
      </c>
      <c r="T257" s="1" t="str">
        <f t="shared" si="3"/>
        <v/>
      </c>
      <c r="U257" s="1" t="str">
        <f t="shared" si="4"/>
        <v/>
      </c>
      <c r="V257" s="1"/>
      <c r="W257" s="1"/>
      <c r="X257" s="1"/>
      <c r="Y257" s="1"/>
      <c r="Z257" s="8"/>
      <c r="AA257" s="1"/>
      <c r="AB257" s="1"/>
      <c r="AC257" s="1"/>
      <c r="AD257" s="1"/>
      <c r="AE257" s="1"/>
      <c r="AF257" s="1"/>
      <c r="AG257" s="1"/>
      <c r="AH257" s="1" t="str">
        <f t="shared" si="1"/>
        <v/>
      </c>
      <c r="AI257" s="1"/>
    </row>
    <row r="258">
      <c r="A258" s="5">
        <f>IFERROR(__xludf.DUMMYFUNCTION("""COMPUTED_VALUE"""),45002.0)</f>
        <v>45002</v>
      </c>
      <c r="B258" s="14" t="str">
        <f>IFERROR(__xludf.DUMMYFUNCTION("""COMPUTED_VALUE"""),"Luis Miguel Ramirez Morales")</f>
        <v>Luis Miguel Ramirez Morales</v>
      </c>
      <c r="C258" s="6" t="str">
        <f>IFERROR(__xludf.DUMMYFUNCTION("""COMPUTED_VALUE"""),"BOGOTÁ")</f>
        <v>BOGOTÁ</v>
      </c>
      <c r="D258" s="6" t="str">
        <f>IFERROR(__xludf.DUMMYFUNCTION("""COMPUTED_VALUE"""),"MEDELLÍN")</f>
        <v>MEDELLÍN</v>
      </c>
      <c r="E258" s="6" t="str">
        <f>IFERROR(__xludf.DUMMYFUNCTION("""COMPUTED_VALUE"""),"Rambla")</f>
        <v>Rambla</v>
      </c>
      <c r="F258" s="1" t="str">
        <f>IFERROR(__xludf.DUMMYFUNCTION("""COMPUTED_VALUE"""),"Cl. 93a #11-46, Barrio Chicó / NA / NA")</f>
        <v>Cl. 93a #11-46, Barrio Chicó / NA / NA</v>
      </c>
      <c r="G258" s="6" t="str">
        <f>IFERROR(__xludf.DUMMYFUNCTION("""COMPUTED_VALUE"""),"FIT HUB")</f>
        <v>FIT HUB</v>
      </c>
      <c r="H258" s="7">
        <f>IFERROR(__xludf.DUMMYFUNCTION("""COMPUTED_VALUE"""),8937.0)</f>
        <v>8937</v>
      </c>
      <c r="I258" s="7">
        <f>IFERROR(__xludf.DUMMYFUNCTION("""COMPUTED_VALUE"""),26.0)</f>
        <v>26</v>
      </c>
      <c r="J258" s="7">
        <f>IFERROR(__xludf.DUMMYFUNCTION("""COMPUTED_VALUE"""),30.0)</f>
        <v>30</v>
      </c>
      <c r="K258" s="7">
        <f>IFERROR(__xludf.DUMMYFUNCTION("""COMPUTED_VALUE"""),33.0)</f>
        <v>33</v>
      </c>
      <c r="L258" s="8">
        <f>IFERROR(__xludf.DUMMYFUNCTION("""COMPUTED_VALUE"""),3.015447307E9)</f>
        <v>3015447307</v>
      </c>
      <c r="M258" s="9" t="str">
        <f>IFERROR(__xludf.DUMMYFUNCTION("""COMPUTED_VALUE"""),"#REF!")</f>
        <v>#REF!</v>
      </c>
      <c r="N258" s="1"/>
      <c r="O258" s="3" t="str">
        <f>IFERROR(__xludf.DUMMYFUNCTION("""COMPUTED_VALUE"""),"")</f>
        <v/>
      </c>
      <c r="P258" s="9" t="b">
        <f>IFERROR(__xludf.DUMMYFUNCTION("""COMPUTED_VALUE"""),FALSE)</f>
        <v>0</v>
      </c>
      <c r="Q258" s="10" t="str">
        <f>IFERROR(__xludf.DUMMYFUNCTION("""COMPUTED_VALUE"""),"")</f>
        <v/>
      </c>
      <c r="R258" s="12" t="str">
        <f>IFERROR(__xludf.DUMMYFUNCTION("""COMPUTED_VALUE"""),"")</f>
        <v/>
      </c>
      <c r="S258" s="1" t="str">
        <f t="shared" si="2"/>
        <v/>
      </c>
      <c r="T258" s="1" t="str">
        <f t="shared" si="3"/>
        <v/>
      </c>
      <c r="U258" s="1" t="str">
        <f t="shared" si="4"/>
        <v/>
      </c>
      <c r="V258" s="1"/>
      <c r="W258" s="1"/>
      <c r="X258" s="1"/>
      <c r="Y258" s="1"/>
      <c r="Z258" s="8"/>
      <c r="AA258" s="1"/>
      <c r="AB258" s="1"/>
      <c r="AC258" s="1"/>
      <c r="AD258" s="1"/>
      <c r="AE258" s="1"/>
      <c r="AF258" s="1"/>
      <c r="AG258" s="1"/>
      <c r="AH258" s="1" t="str">
        <f t="shared" si="1"/>
        <v/>
      </c>
      <c r="AI258" s="1"/>
    </row>
    <row r="259">
      <c r="A259" s="1" t="str">
        <f>IFERROR(__xludf.DUMMYFUNCTION("""COMPUTED_VALUE"""),"")</f>
        <v/>
      </c>
      <c r="B259" s="1" t="str">
        <f>IFERROR(__xludf.DUMMYFUNCTION("""COMPUTED_VALUE"""),"")</f>
        <v/>
      </c>
      <c r="C259" s="1" t="str">
        <f>IFERROR(__xludf.DUMMYFUNCTION("""COMPUTED_VALUE"""),"")</f>
        <v/>
      </c>
      <c r="D259" s="1" t="str">
        <f>IFERROR(__xludf.DUMMYFUNCTION("""COMPUTED_VALUE"""),"")</f>
        <v/>
      </c>
      <c r="E259" s="1" t="str">
        <f>IFERROR(__xludf.DUMMYFUNCTION("""COMPUTED_VALUE"""),"")</f>
        <v/>
      </c>
      <c r="F259" s="1" t="str">
        <f>IFERROR(__xludf.DUMMYFUNCTION("""COMPUTED_VALUE"""),"")</f>
        <v/>
      </c>
      <c r="G259" s="1" t="str">
        <f>IFERROR(__xludf.DUMMYFUNCTION("""COMPUTED_VALUE"""),"")</f>
        <v/>
      </c>
      <c r="H259" s="1" t="str">
        <f>IFERROR(__xludf.DUMMYFUNCTION("""COMPUTED_VALUE"""),"")</f>
        <v/>
      </c>
      <c r="I259" s="1" t="str">
        <f>IFERROR(__xludf.DUMMYFUNCTION("""COMPUTED_VALUE"""),"")</f>
        <v/>
      </c>
      <c r="J259" s="1" t="str">
        <f>IFERROR(__xludf.DUMMYFUNCTION("""COMPUTED_VALUE"""),"")</f>
        <v/>
      </c>
      <c r="K259" s="1" t="str">
        <f>IFERROR(__xludf.DUMMYFUNCTION("""COMPUTED_VALUE"""),"")</f>
        <v/>
      </c>
      <c r="L259" s="1" t="str">
        <f>IFERROR(__xludf.DUMMYFUNCTION("""COMPUTED_VALUE"""),"")</f>
        <v/>
      </c>
      <c r="M259" s="1" t="str">
        <f>IFERROR(__xludf.DUMMYFUNCTION("""COMPUTED_VALUE"""),"")</f>
        <v/>
      </c>
      <c r="N259" s="1" t="str">
        <f>IFERROR(__xludf.DUMMYFUNCTION("""COMPUTED_VALUE"""),"")</f>
        <v/>
      </c>
      <c r="O259" s="1" t="str">
        <f>IFERROR(__xludf.DUMMYFUNCTION("""COMPUTED_VALUE"""),"")</f>
        <v/>
      </c>
      <c r="P259" s="1" t="str">
        <f>IFERROR(__xludf.DUMMYFUNCTION("""COMPUTED_VALUE"""),"")</f>
        <v/>
      </c>
      <c r="Q259" s="1" t="str">
        <f>IFERROR(__xludf.DUMMYFUNCTION("""COMPUTED_VALUE"""),"")</f>
        <v/>
      </c>
      <c r="R259" s="1" t="str">
        <f>IFERROR(__xludf.DUMMYFUNCTION("""COMPUTED_VALUE"""),"")</f>
        <v/>
      </c>
      <c r="S259" s="1" t="str">
        <f t="shared" si="2"/>
        <v/>
      </c>
      <c r="T259" s="1" t="str">
        <f t="shared" si="3"/>
        <v/>
      </c>
      <c r="U259" s="1" t="str">
        <f t="shared" si="4"/>
        <v/>
      </c>
      <c r="V259" s="1"/>
      <c r="W259" s="1"/>
      <c r="X259" s="1"/>
      <c r="Y259" s="1"/>
      <c r="Z259" s="8"/>
      <c r="AA259" s="1"/>
      <c r="AB259" s="1"/>
      <c r="AC259" s="1"/>
      <c r="AD259" s="1"/>
      <c r="AE259" s="1"/>
      <c r="AF259" s="1"/>
      <c r="AG259" s="1"/>
      <c r="AH259" s="1" t="str">
        <f t="shared" si="1"/>
        <v/>
      </c>
      <c r="AI259" s="1"/>
    </row>
    <row r="260">
      <c r="A260" s="5">
        <f>IFERROR(__xludf.DUMMYFUNCTION("""COMPUTED_VALUE"""),45002.0)</f>
        <v>45002</v>
      </c>
      <c r="B260" s="14" t="str">
        <f>IFERROR(__xludf.DUMMYFUNCTION("""COMPUTED_VALUE"""),"Orlando Urdaneta Rincon ")</f>
        <v>Orlando Urdaneta Rincon </v>
      </c>
      <c r="C260" s="6" t="str">
        <f>IFERROR(__xludf.DUMMYFUNCTION("""COMPUTED_VALUE"""),"FUSAGASUGÁ")</f>
        <v>FUSAGASUGÁ</v>
      </c>
      <c r="D260" s="6" t="str">
        <f>IFERROR(__xludf.DUMMYFUNCTION("""COMPUTED_VALUE"""),"BOGOTÁ")</f>
        <v>BOGOTÁ</v>
      </c>
      <c r="E260" s="6" t="str">
        <f>IFERROR(__xludf.DUMMYFUNCTION("""COMPUTED_VALUE"""),"Mochi")</f>
        <v>Mochi</v>
      </c>
      <c r="F260" s="1" t="str">
        <f>IFERROR(__xludf.DUMMYFUNCTION("""COMPUTED_VALUE"""),"calle 19 5 34 mirador de la colina / mirador de la colina / Fusacatan")</f>
        <v>calle 19 5 34 mirador de la colina / mirador de la colina / Fusacatan</v>
      </c>
      <c r="G260" s="6" t="str">
        <f>IFERROR(__xludf.DUMMYFUNCTION("""COMPUTED_VALUE"""),"William Gonzale")</f>
        <v>William Gonzale</v>
      </c>
      <c r="H260" s="7">
        <f>IFERROR(__xludf.DUMMYFUNCTION("""COMPUTED_VALUE"""),8943.0)</f>
        <v>8943</v>
      </c>
      <c r="I260" s="7">
        <f>IFERROR(__xludf.DUMMYFUNCTION("""COMPUTED_VALUE"""),55.0)</f>
        <v>55</v>
      </c>
      <c r="J260" s="7">
        <f>IFERROR(__xludf.DUMMYFUNCTION("""COMPUTED_VALUE"""),45.0)</f>
        <v>45</v>
      </c>
      <c r="K260" s="2" t="str">
        <f>IFERROR(__xludf.DUMMYFUNCTION("""COMPUTED_VALUE"""),"52.5")</f>
        <v>52.5</v>
      </c>
      <c r="L260" s="8">
        <f>IFERROR(__xludf.DUMMYFUNCTION("""COMPUTED_VALUE"""),3.143520798E9)</f>
        <v>3143520798</v>
      </c>
      <c r="M260" s="9" t="str">
        <f>IFERROR(__xludf.DUMMYFUNCTION("""COMPUTED_VALUE"""),"#REF!")</f>
        <v>#REF!</v>
      </c>
      <c r="N260" s="1"/>
      <c r="O260" s="3" t="str">
        <f>IFERROR(__xludf.DUMMYFUNCTION("""COMPUTED_VALUE"""),"")</f>
        <v/>
      </c>
      <c r="P260" s="9" t="b">
        <f>IFERROR(__xludf.DUMMYFUNCTION("""COMPUTED_VALUE"""),FALSE)</f>
        <v>0</v>
      </c>
      <c r="Q260" s="10" t="str">
        <f>IFERROR(__xludf.DUMMYFUNCTION("""COMPUTED_VALUE"""),"")</f>
        <v/>
      </c>
      <c r="R260" s="12" t="str">
        <f>IFERROR(__xludf.DUMMYFUNCTION("""COMPUTED_VALUE"""),"")</f>
        <v/>
      </c>
      <c r="S260" s="1" t="str">
        <f t="shared" si="2"/>
        <v/>
      </c>
      <c r="T260" s="1" t="str">
        <f t="shared" si="3"/>
        <v/>
      </c>
      <c r="U260" s="1" t="str">
        <f t="shared" si="4"/>
        <v/>
      </c>
      <c r="V260" s="1"/>
      <c r="W260" s="1"/>
      <c r="X260" s="1"/>
      <c r="Y260" s="1"/>
      <c r="Z260" s="8"/>
      <c r="AA260" s="1"/>
      <c r="AB260" s="1"/>
      <c r="AC260" s="1"/>
      <c r="AD260" s="1"/>
      <c r="AE260" s="1"/>
      <c r="AF260" s="1"/>
      <c r="AG260" s="1"/>
      <c r="AH260" s="1" t="str">
        <f t="shared" si="1"/>
        <v/>
      </c>
      <c r="AI260" s="1"/>
    </row>
    <row r="261">
      <c r="A261" s="5">
        <f>IFERROR(__xludf.DUMMYFUNCTION("""COMPUTED_VALUE"""),45002.0)</f>
        <v>45002</v>
      </c>
      <c r="B261" s="14" t="str">
        <f>IFERROR(__xludf.DUMMYFUNCTION("""COMPUTED_VALUE"""),"Orlando Urdaneta Rincon ")</f>
        <v>Orlando Urdaneta Rincon </v>
      </c>
      <c r="C261" s="6" t="str">
        <f>IFERROR(__xludf.DUMMYFUNCTION("""COMPUTED_VALUE"""),"SANTA MARTA")</f>
        <v>SANTA MARTA</v>
      </c>
      <c r="D261" s="6" t="str">
        <f>IFERROR(__xludf.DUMMYFUNCTION("""COMPUTED_VALUE"""),"BOGOTÁ")</f>
        <v>BOGOTÁ</v>
      </c>
      <c r="E261" s="6" t="str">
        <f>IFERROR(__xludf.DUMMYFUNCTION("""COMPUTED_VALUE"""),"Evamazzita")</f>
        <v>Evamazzita</v>
      </c>
      <c r="F261" s="1" t="str">
        <f>IFERROR(__xludf.DUMMYFUNCTION("""COMPUTED_VALUE"""),"Calle 22 #17-10  / apto 202. Al lado de Envia   / Barrio alcázares")</f>
        <v>Calle 22 #17-10  / apto 202. Al lado de Envia   / Barrio alcázares</v>
      </c>
      <c r="G261" s="6" t="str">
        <f>IFERROR(__xludf.DUMMYFUNCTION("""COMPUTED_VALUE"""),"MARIA ANGELICA RINCON")</f>
        <v>MARIA ANGELICA RINCON</v>
      </c>
      <c r="H261" s="7">
        <f>IFERROR(__xludf.DUMMYFUNCTION("""COMPUTED_VALUE"""),8902.0)</f>
        <v>8902</v>
      </c>
      <c r="I261" s="7">
        <f>IFERROR(__xludf.DUMMYFUNCTION("""COMPUTED_VALUE"""),12.0)</f>
        <v>12</v>
      </c>
      <c r="J261" s="7">
        <f>IFERROR(__xludf.DUMMYFUNCTION("""COMPUTED_VALUE"""),18.0)</f>
        <v>18</v>
      </c>
      <c r="K261" s="7">
        <f>IFERROR(__xludf.DUMMYFUNCTION("""COMPUTED_VALUE"""),21.0)</f>
        <v>21</v>
      </c>
      <c r="L261" s="8">
        <f>IFERROR(__xludf.DUMMYFUNCTION("""COMPUTED_VALUE"""),3.046823353E9)</f>
        <v>3046823353</v>
      </c>
      <c r="M261" s="9" t="str">
        <f>IFERROR(__xludf.DUMMYFUNCTION("""COMPUTED_VALUE"""),"#REF!")</f>
        <v>#REF!</v>
      </c>
      <c r="N261" s="1"/>
      <c r="O261" s="3" t="str">
        <f>IFERROR(__xludf.DUMMYFUNCTION("""COMPUTED_VALUE"""),"")</f>
        <v/>
      </c>
      <c r="P261" s="9" t="b">
        <f>IFERROR(__xludf.DUMMYFUNCTION("""COMPUTED_VALUE"""),FALSE)</f>
        <v>0</v>
      </c>
      <c r="Q261" s="10" t="str">
        <f>IFERROR(__xludf.DUMMYFUNCTION("""COMPUTED_VALUE"""),"")</f>
        <v/>
      </c>
      <c r="R261" s="12" t="str">
        <f>IFERROR(__xludf.DUMMYFUNCTION("""COMPUTED_VALUE"""),"")</f>
        <v/>
      </c>
      <c r="S261" s="1" t="str">
        <f t="shared" si="2"/>
        <v/>
      </c>
      <c r="T261" s="1" t="str">
        <f t="shared" si="3"/>
        <v/>
      </c>
      <c r="U261" s="1" t="str">
        <f t="shared" si="4"/>
        <v/>
      </c>
      <c r="V261" s="1"/>
      <c r="W261" s="1"/>
      <c r="X261" s="1"/>
      <c r="Y261" s="1"/>
      <c r="Z261" s="8"/>
      <c r="AA261" s="1"/>
      <c r="AB261" s="1"/>
      <c r="AC261" s="1"/>
      <c r="AD261" s="1"/>
      <c r="AE261" s="1"/>
      <c r="AF261" s="1"/>
      <c r="AG261" s="1"/>
      <c r="AH261" s="1" t="str">
        <f t="shared" si="1"/>
        <v/>
      </c>
      <c r="AI261" s="1"/>
    </row>
    <row r="262">
      <c r="A262" s="1" t="str">
        <f>IFERROR(__xludf.DUMMYFUNCTION("""COMPUTED_VALUE"""),"")</f>
        <v/>
      </c>
      <c r="B262" s="1" t="str">
        <f>IFERROR(__xludf.DUMMYFUNCTION("""COMPUTED_VALUE"""),"")</f>
        <v/>
      </c>
      <c r="C262" s="1" t="str">
        <f>IFERROR(__xludf.DUMMYFUNCTION("""COMPUTED_VALUE"""),"")</f>
        <v/>
      </c>
      <c r="D262" s="1" t="str">
        <f>IFERROR(__xludf.DUMMYFUNCTION("""COMPUTED_VALUE"""),"")</f>
        <v/>
      </c>
      <c r="E262" s="1" t="str">
        <f>IFERROR(__xludf.DUMMYFUNCTION("""COMPUTED_VALUE"""),"")</f>
        <v/>
      </c>
      <c r="F262" s="1" t="str">
        <f>IFERROR(__xludf.DUMMYFUNCTION("""COMPUTED_VALUE"""),"")</f>
        <v/>
      </c>
      <c r="G262" s="1" t="str">
        <f>IFERROR(__xludf.DUMMYFUNCTION("""COMPUTED_VALUE"""),"")</f>
        <v/>
      </c>
      <c r="H262" s="1" t="str">
        <f>IFERROR(__xludf.DUMMYFUNCTION("""COMPUTED_VALUE"""),"")</f>
        <v/>
      </c>
      <c r="I262" s="1" t="str">
        <f>IFERROR(__xludf.DUMMYFUNCTION("""COMPUTED_VALUE"""),"")</f>
        <v/>
      </c>
      <c r="J262" s="1" t="str">
        <f>IFERROR(__xludf.DUMMYFUNCTION("""COMPUTED_VALUE"""),"")</f>
        <v/>
      </c>
      <c r="K262" s="1" t="str">
        <f>IFERROR(__xludf.DUMMYFUNCTION("""COMPUTED_VALUE"""),"")</f>
        <v/>
      </c>
      <c r="L262" s="1" t="str">
        <f>IFERROR(__xludf.DUMMYFUNCTION("""COMPUTED_VALUE"""),"")</f>
        <v/>
      </c>
      <c r="M262" s="1" t="str">
        <f>IFERROR(__xludf.DUMMYFUNCTION("""COMPUTED_VALUE"""),"")</f>
        <v/>
      </c>
      <c r="N262" s="1" t="str">
        <f>IFERROR(__xludf.DUMMYFUNCTION("""COMPUTED_VALUE"""),"")</f>
        <v/>
      </c>
      <c r="O262" s="1" t="str">
        <f>IFERROR(__xludf.DUMMYFUNCTION("""COMPUTED_VALUE"""),"")</f>
        <v/>
      </c>
      <c r="P262" s="1" t="str">
        <f>IFERROR(__xludf.DUMMYFUNCTION("""COMPUTED_VALUE"""),"")</f>
        <v/>
      </c>
      <c r="Q262" s="1" t="str">
        <f>IFERROR(__xludf.DUMMYFUNCTION("""COMPUTED_VALUE"""),"")</f>
        <v/>
      </c>
      <c r="R262" s="1" t="str">
        <f>IFERROR(__xludf.DUMMYFUNCTION("""COMPUTED_VALUE"""),"")</f>
        <v/>
      </c>
      <c r="S262" s="1" t="str">
        <f t="shared" si="2"/>
        <v/>
      </c>
      <c r="T262" s="1" t="str">
        <f t="shared" si="3"/>
        <v/>
      </c>
      <c r="U262" s="1" t="str">
        <f t="shared" si="4"/>
        <v/>
      </c>
      <c r="V262" s="1"/>
      <c r="W262" s="1"/>
      <c r="X262" s="1"/>
      <c r="Y262" s="1"/>
      <c r="Z262" s="8"/>
      <c r="AA262" s="1"/>
      <c r="AB262" s="1"/>
      <c r="AC262" s="1"/>
      <c r="AD262" s="1"/>
      <c r="AE262" s="1"/>
      <c r="AF262" s="1"/>
      <c r="AG262" s="1"/>
      <c r="AH262" s="1" t="str">
        <f t="shared" si="1"/>
        <v/>
      </c>
      <c r="AI262" s="1"/>
    </row>
    <row r="263">
      <c r="A263" s="5">
        <f>IFERROR(__xludf.DUMMYFUNCTION("""COMPUTED_VALUE"""),45002.0)</f>
        <v>45002</v>
      </c>
      <c r="B263" s="14" t="str">
        <f>IFERROR(__xludf.DUMMYFUNCTION("""COMPUTED_VALUE"""),"Sebastian Restrepo Martinez ")</f>
        <v>Sebastian Restrepo Martinez </v>
      </c>
      <c r="C263" s="6" t="str">
        <f>IFERROR(__xludf.DUMMYFUNCTION("""COMPUTED_VALUE"""),"MEDELLÍN")</f>
        <v>MEDELLÍN</v>
      </c>
      <c r="D263" s="6" t="str">
        <f>IFERROR(__xludf.DUMMYFUNCTION("""COMPUTED_VALUE"""),"BOGOTÁ")</f>
        <v>BOGOTÁ</v>
      </c>
      <c r="E263" s="6" t="str">
        <f>IFERROR(__xludf.DUMMYFUNCTION("""COMPUTED_VALUE"""),"Pan de Waffle")</f>
        <v>Pan de Waffle</v>
      </c>
      <c r="F263" s="1" t="str">
        <f>IFERROR(__xludf.DUMMYFUNCTION("""COMPUTED_VALUE"""),"Carrera 48 # 76d Sur 52, Mall Vegas Plaza Local 114  / Carrera 48 # 76d Sur 52, Mall Vegas Plaza Local 114  / Carrera 48 # 76d Sur 52, Mall Vegas Plaza Local 114")</f>
        <v>Carrera 48 # 76d Sur 52, Mall Vegas Plaza Local 114  / Carrera 48 # 76d Sur 52, Mall Vegas Plaza Local 114  / Carrera 48 # 76d Sur 52, Mall Vegas Plaza Local 114</v>
      </c>
      <c r="G263" s="6" t="str">
        <f>IFERROR(__xludf.DUMMYFUNCTION("""COMPUTED_VALUE"""),"REINAMORA MERCADO SALUDABLE")</f>
        <v>REINAMORA MERCADO SALUDABLE</v>
      </c>
      <c r="H263" s="7">
        <f>IFERROR(__xludf.DUMMYFUNCTION("""COMPUTED_VALUE"""),8928.0)</f>
        <v>8928</v>
      </c>
      <c r="I263" s="7">
        <f>IFERROR(__xludf.DUMMYFUNCTION("""COMPUTED_VALUE"""),40.0)</f>
        <v>40</v>
      </c>
      <c r="J263" s="7">
        <f>IFERROR(__xludf.DUMMYFUNCTION("""COMPUTED_VALUE"""),100.0)</f>
        <v>100</v>
      </c>
      <c r="K263" s="7">
        <f>IFERROR(__xludf.DUMMYFUNCTION("""COMPUTED_VALUE"""),10.0)</f>
        <v>10</v>
      </c>
      <c r="L263" s="8">
        <f>IFERROR(__xludf.DUMMYFUNCTION("""COMPUTED_VALUE"""),3.20865425E9)</f>
        <v>3208654250</v>
      </c>
      <c r="M263" s="9" t="str">
        <f>IFERROR(__xludf.DUMMYFUNCTION("""COMPUTED_VALUE"""),"#REF!")</f>
        <v>#REF!</v>
      </c>
      <c r="N263" s="1"/>
      <c r="O263" s="3" t="str">
        <f>IFERROR(__xludf.DUMMYFUNCTION("""COMPUTED_VALUE"""),"")</f>
        <v/>
      </c>
      <c r="P263" s="9" t="b">
        <f>IFERROR(__xludf.DUMMYFUNCTION("""COMPUTED_VALUE"""),FALSE)</f>
        <v>0</v>
      </c>
      <c r="Q263" s="10" t="str">
        <f>IFERROR(__xludf.DUMMYFUNCTION("""COMPUTED_VALUE"""),"")</f>
        <v/>
      </c>
      <c r="R263" s="12" t="str">
        <f>IFERROR(__xludf.DUMMYFUNCTION("""COMPUTED_VALUE"""),"")</f>
        <v/>
      </c>
      <c r="S263" s="1" t="str">
        <f t="shared" si="2"/>
        <v/>
      </c>
      <c r="T263" s="1" t="str">
        <f t="shared" si="3"/>
        <v/>
      </c>
      <c r="U263" s="1" t="str">
        <f t="shared" si="4"/>
        <v/>
      </c>
      <c r="V263" s="1"/>
      <c r="W263" s="1"/>
      <c r="X263" s="1"/>
      <c r="Y263" s="1"/>
      <c r="Z263" s="8"/>
      <c r="AA263" s="1"/>
      <c r="AB263" s="1"/>
      <c r="AC263" s="1"/>
      <c r="AD263" s="1"/>
      <c r="AE263" s="1"/>
      <c r="AF263" s="1"/>
      <c r="AG263" s="1"/>
      <c r="AH263" s="1" t="str">
        <f t="shared" si="1"/>
        <v/>
      </c>
      <c r="AI263" s="1"/>
    </row>
    <row r="264">
      <c r="A264" s="1" t="str">
        <f>IFERROR(__xludf.DUMMYFUNCTION("""COMPUTED_VALUE"""),"")</f>
        <v/>
      </c>
      <c r="B264" s="1" t="str">
        <f>IFERROR(__xludf.DUMMYFUNCTION("""COMPUTED_VALUE"""),"")</f>
        <v/>
      </c>
      <c r="C264" s="1" t="str">
        <f>IFERROR(__xludf.DUMMYFUNCTION("""COMPUTED_VALUE"""),"")</f>
        <v/>
      </c>
      <c r="D264" s="1" t="str">
        <f>IFERROR(__xludf.DUMMYFUNCTION("""COMPUTED_VALUE"""),"")</f>
        <v/>
      </c>
      <c r="E264" s="1" t="str">
        <f>IFERROR(__xludf.DUMMYFUNCTION("""COMPUTED_VALUE"""),"")</f>
        <v/>
      </c>
      <c r="F264" s="1" t="str">
        <f>IFERROR(__xludf.DUMMYFUNCTION("""COMPUTED_VALUE"""),"")</f>
        <v/>
      </c>
      <c r="G264" s="1" t="str">
        <f>IFERROR(__xludf.DUMMYFUNCTION("""COMPUTED_VALUE"""),"")</f>
        <v/>
      </c>
      <c r="H264" s="1" t="str">
        <f>IFERROR(__xludf.DUMMYFUNCTION("""COMPUTED_VALUE"""),"")</f>
        <v/>
      </c>
      <c r="I264" s="1" t="str">
        <f>IFERROR(__xludf.DUMMYFUNCTION("""COMPUTED_VALUE"""),"")</f>
        <v/>
      </c>
      <c r="J264" s="1" t="str">
        <f>IFERROR(__xludf.DUMMYFUNCTION("""COMPUTED_VALUE"""),"")</f>
        <v/>
      </c>
      <c r="K264" s="1" t="str">
        <f>IFERROR(__xludf.DUMMYFUNCTION("""COMPUTED_VALUE"""),"")</f>
        <v/>
      </c>
      <c r="L264" s="1" t="str">
        <f>IFERROR(__xludf.DUMMYFUNCTION("""COMPUTED_VALUE"""),"")</f>
        <v/>
      </c>
      <c r="M264" s="1" t="str">
        <f>IFERROR(__xludf.DUMMYFUNCTION("""COMPUTED_VALUE"""),"")</f>
        <v/>
      </c>
      <c r="N264" s="1" t="str">
        <f>IFERROR(__xludf.DUMMYFUNCTION("""COMPUTED_VALUE"""),"")</f>
        <v/>
      </c>
      <c r="O264" s="1" t="str">
        <f>IFERROR(__xludf.DUMMYFUNCTION("""COMPUTED_VALUE"""),"")</f>
        <v/>
      </c>
      <c r="P264" s="1" t="str">
        <f>IFERROR(__xludf.DUMMYFUNCTION("""COMPUTED_VALUE"""),"")</f>
        <v/>
      </c>
      <c r="Q264" s="1" t="str">
        <f>IFERROR(__xludf.DUMMYFUNCTION("""COMPUTED_VALUE"""),"")</f>
        <v/>
      </c>
      <c r="R264" s="1" t="str">
        <f>IFERROR(__xludf.DUMMYFUNCTION("""COMPUTED_VALUE"""),"")</f>
        <v/>
      </c>
      <c r="S264" s="1" t="str">
        <f t="shared" si="2"/>
        <v/>
      </c>
      <c r="T264" s="1" t="str">
        <f t="shared" si="3"/>
        <v/>
      </c>
      <c r="U264" s="1" t="str">
        <f t="shared" si="4"/>
        <v/>
      </c>
      <c r="V264" s="1"/>
      <c r="W264" s="1"/>
      <c r="X264" s="1"/>
      <c r="Y264" s="1"/>
      <c r="Z264" s="8"/>
      <c r="AA264" s="1"/>
      <c r="AB264" s="1"/>
      <c r="AC264" s="1"/>
      <c r="AD264" s="1"/>
      <c r="AE264" s="1"/>
      <c r="AF264" s="1"/>
      <c r="AG264" s="1"/>
      <c r="AH264" s="1" t="str">
        <f t="shared" si="1"/>
        <v/>
      </c>
      <c r="AI264" s="1"/>
    </row>
    <row r="265">
      <c r="A265" s="5">
        <f>IFERROR(__xludf.DUMMYFUNCTION("""COMPUTED_VALUE"""),45003.0)</f>
        <v>45003</v>
      </c>
      <c r="B265" s="14" t="str">
        <f>IFERROR(__xludf.DUMMYFUNCTION("""COMPUTED_VALUE"""),"Envia")</f>
        <v>Envia</v>
      </c>
      <c r="C265" s="6" t="str">
        <f>IFERROR(__xludf.DUMMYFUNCTION("""COMPUTED_VALUE"""),"BARRANQUILLA")</f>
        <v>BARRANQUILLA</v>
      </c>
      <c r="D265" s="6" t="str">
        <f>IFERROR(__xludf.DUMMYFUNCTION("""COMPUTED_VALUE"""),"MEDELLÍN")</f>
        <v>MEDELLÍN</v>
      </c>
      <c r="E265" s="6" t="str">
        <f>IFERROR(__xludf.DUMMYFUNCTION("""COMPUTED_VALUE"""),"Magda")</f>
        <v>Magda</v>
      </c>
      <c r="F265" s="1" t="str">
        <f>IFERROR(__xludf.DUMMYFUNCTION("""COMPUTED_VALUE"""),"Cra 53 No. 68-55 / Cocinas ocultas / Alto prado")</f>
        <v>Cra 53 No. 68-55 / Cocinas ocultas / Alto prado</v>
      </c>
      <c r="G265" s="6" t="str">
        <f>IFERROR(__xludf.DUMMYFUNCTION("""COMPUTED_VALUE"""),"María José Cervantes")</f>
        <v>María José Cervantes</v>
      </c>
      <c r="H265" s="7">
        <f>IFERROR(__xludf.DUMMYFUNCTION("""COMPUTED_VALUE"""),8956.0)</f>
        <v>8956</v>
      </c>
      <c r="I265" s="7">
        <f>IFERROR(__xludf.DUMMYFUNCTION("""COMPUTED_VALUE"""),55.0)</f>
        <v>55</v>
      </c>
      <c r="J265" s="7">
        <f>IFERROR(__xludf.DUMMYFUNCTION("""COMPUTED_VALUE"""),45.0)</f>
        <v>45</v>
      </c>
      <c r="K265" s="7">
        <f>IFERROR(__xludf.DUMMYFUNCTION("""COMPUTED_VALUE"""),29.0)</f>
        <v>29</v>
      </c>
      <c r="L265" s="8">
        <f>IFERROR(__xludf.DUMMYFUNCTION("""COMPUTED_VALUE"""),3.163816691E9)</f>
        <v>3163816691</v>
      </c>
      <c r="M265" s="9" t="str">
        <f>IFERROR(__xludf.DUMMYFUNCTION("""COMPUTED_VALUE"""),"#REF!")</f>
        <v>#REF!</v>
      </c>
      <c r="N265" s="1"/>
      <c r="O265" s="3" t="str">
        <f>IFERROR(__xludf.DUMMYFUNCTION("""COMPUTED_VALUE"""),"")</f>
        <v/>
      </c>
      <c r="P265" s="9" t="b">
        <f>IFERROR(__xludf.DUMMYFUNCTION("""COMPUTED_VALUE"""),TRUE)</f>
        <v>1</v>
      </c>
      <c r="Q265" s="13">
        <f>IFERROR(__xludf.DUMMYFUNCTION("""COMPUTED_VALUE"""),45005.75824040509)</f>
        <v>45005.75824</v>
      </c>
      <c r="R265" s="12" t="str">
        <f>IFERROR(__xludf.DUMMYFUNCTION("""COMPUTED_VALUE"""),"")</f>
        <v/>
      </c>
      <c r="S265" s="1" t="str">
        <f t="shared" si="2"/>
        <v/>
      </c>
      <c r="T265" s="1" t="str">
        <f t="shared" si="3"/>
        <v/>
      </c>
      <c r="U265" s="1" t="str">
        <f t="shared" si="4"/>
        <v/>
      </c>
      <c r="V265" s="1"/>
      <c r="W265" s="1"/>
      <c r="X265" s="1"/>
      <c r="Y265" s="1"/>
      <c r="Z265" s="8"/>
      <c r="AA265" s="1"/>
      <c r="AB265" s="1"/>
      <c r="AC265" s="1"/>
      <c r="AD265" s="1"/>
      <c r="AE265" s="1"/>
      <c r="AF265" s="1"/>
      <c r="AG265" s="1"/>
      <c r="AH265" s="1" t="str">
        <f t="shared" si="1"/>
        <v/>
      </c>
      <c r="AI265" s="1"/>
    </row>
    <row r="266">
      <c r="A266" s="15">
        <f>IFERROR(__xludf.DUMMYFUNCTION("""COMPUTED_VALUE"""),45003.0)</f>
        <v>45003</v>
      </c>
      <c r="B266" s="16" t="str">
        <f>IFERROR(__xludf.DUMMYFUNCTION("""COMPUTED_VALUE"""),"Envia")</f>
        <v>Envia</v>
      </c>
      <c r="C266" s="15" t="str">
        <f>IFERROR(__xludf.DUMMYFUNCTION("""COMPUTED_VALUE"""),"MEDELLÍN")</f>
        <v>MEDELLÍN</v>
      </c>
      <c r="D266" s="15" t="str">
        <f>IFERROR(__xludf.DUMMYFUNCTION("""COMPUTED_VALUE"""),"BOGOTÁ")</f>
        <v>BOGOTÁ</v>
      </c>
      <c r="E266" s="15" t="str">
        <f>IFERROR(__xludf.DUMMYFUNCTION("""COMPUTED_VALUE"""),"Ins. Alimento Vital")</f>
        <v>Ins. Alimento Vital</v>
      </c>
      <c r="F266" s="17" t="str">
        <f>IFERROR(__xludf.DUMMYFUNCTION("""COMPUTED_VALUE"""),"AV 74 B # 39 B 142 / CASA NEGRA 2 PISO / BARRIO LAURELES")</f>
        <v>AV 74 B # 39 B 142 / CASA NEGRA 2 PISO / BARRIO LAURELES</v>
      </c>
      <c r="G266" s="15" t="str">
        <f>IFERROR(__xludf.DUMMYFUNCTION("""COMPUTED_VALUE"""),"REPUBLICA INDEPENDIENTE")</f>
        <v>REPUBLICA INDEPENDIENTE</v>
      </c>
      <c r="H266" s="18">
        <f>IFERROR(__xludf.DUMMYFUNCTION("""COMPUTED_VALUE"""),8959.0)</f>
        <v>8959</v>
      </c>
      <c r="I266" s="18">
        <f>IFERROR(__xludf.DUMMYFUNCTION("""COMPUTED_VALUE"""),55.0)</f>
        <v>55</v>
      </c>
      <c r="J266" s="18">
        <f>IFERROR(__xludf.DUMMYFUNCTION("""COMPUTED_VALUE"""),45.0)</f>
        <v>45</v>
      </c>
      <c r="K266" s="18" t="str">
        <f>IFERROR(__xludf.DUMMYFUNCTION("""COMPUTED_VALUE"""),"52.5")</f>
        <v>52.5</v>
      </c>
      <c r="L266" s="17">
        <f>IFERROR(__xludf.DUMMYFUNCTION("""COMPUTED_VALUE"""),3.102324682E9)</f>
        <v>3102324682</v>
      </c>
      <c r="M266" s="17" t="str">
        <f>IFERROR(__xludf.DUMMYFUNCTION("""COMPUTED_VALUE"""),"#REF!")</f>
        <v>#REF!</v>
      </c>
      <c r="N266" s="17"/>
      <c r="O266" s="19" t="str">
        <f>IFERROR(__xludf.DUMMYFUNCTION("""COMPUTED_VALUE"""),"")</f>
        <v/>
      </c>
      <c r="P266" s="17" t="b">
        <f>IFERROR(__xludf.DUMMYFUNCTION("""COMPUTED_VALUE"""),TRUE)</f>
        <v>1</v>
      </c>
      <c r="Q266" s="20">
        <f>IFERROR(__xludf.DUMMYFUNCTION("""COMPUTED_VALUE"""),45005.75824040509)</f>
        <v>45005.75824</v>
      </c>
      <c r="R266" s="21" t="str">
        <f>IFERROR(__xludf.DUMMYFUNCTION("""COMPUTED_VALUE"""),"https://drive.google.com/file/d/16hnP-ECJrf6jPAL9F76kr_tT_JzAnmzW/view?usp=drivesdk")</f>
        <v>https://drive.google.com/file/d/16hnP-ECJrf6jPAL9F76kr_tT_JzAnmzW/view?usp=drivesdk</v>
      </c>
    </row>
    <row r="267">
      <c r="A267" s="15">
        <f>IFERROR(__xludf.DUMMYFUNCTION("""COMPUTED_VALUE"""),45003.0)</f>
        <v>45003</v>
      </c>
      <c r="B267" s="16" t="str">
        <f>IFERROR(__xludf.DUMMYFUNCTION("""COMPUTED_VALUE"""),"Envia")</f>
        <v>Envia</v>
      </c>
      <c r="C267" s="15" t="str">
        <f>IFERROR(__xludf.DUMMYFUNCTION("""COMPUTED_VALUE"""),"SANTA MARTA")</f>
        <v>SANTA MARTA</v>
      </c>
      <c r="D267" s="15" t="str">
        <f>IFERROR(__xludf.DUMMYFUNCTION("""COMPUTED_VALUE"""),"MEDELLÍN")</f>
        <v>MEDELLÍN</v>
      </c>
      <c r="E267" s="15" t="str">
        <f>IFERROR(__xludf.DUMMYFUNCTION("""COMPUTED_VALUE"""),"Magda")</f>
        <v>Magda</v>
      </c>
      <c r="F267" s="17" t="str">
        <f>IFERROR(__xludf.DUMMYFUNCTION("""COMPUTED_VALUE"""),"Calle 22 # 6 - 82 / Local 27 Centro Comercial La 22 / Centro")</f>
        <v>Calle 22 # 6 - 82 / Local 27 Centro Comercial La 22 / Centro</v>
      </c>
      <c r="G267" s="15" t="str">
        <f>IFERROR(__xludf.DUMMYFUNCTION("""COMPUTED_VALUE"""),"Shirley Manjarres")</f>
        <v>Shirley Manjarres</v>
      </c>
      <c r="H267" s="18">
        <f>IFERROR(__xludf.DUMMYFUNCTION("""COMPUTED_VALUE"""),8958.0)</f>
        <v>8958</v>
      </c>
      <c r="I267" s="18">
        <f>IFERROR(__xludf.DUMMYFUNCTION("""COMPUTED_VALUE"""),55.0)</f>
        <v>55</v>
      </c>
      <c r="J267" s="18">
        <f>IFERROR(__xludf.DUMMYFUNCTION("""COMPUTED_VALUE"""),45.0)</f>
        <v>45</v>
      </c>
      <c r="K267" s="18">
        <f>IFERROR(__xludf.DUMMYFUNCTION("""COMPUTED_VALUE"""),29.0)</f>
        <v>29</v>
      </c>
      <c r="L267" s="17">
        <f>IFERROR(__xludf.DUMMYFUNCTION("""COMPUTED_VALUE"""),3.163816691E9)</f>
        <v>3163816691</v>
      </c>
      <c r="M267" s="17" t="str">
        <f>IFERROR(__xludf.DUMMYFUNCTION("""COMPUTED_VALUE"""),"#REF!")</f>
        <v>#REF!</v>
      </c>
      <c r="N267" s="17"/>
      <c r="O267" s="19" t="str">
        <f>IFERROR(__xludf.DUMMYFUNCTION("""COMPUTED_VALUE"""),"")</f>
        <v/>
      </c>
      <c r="P267" s="17" t="b">
        <f>IFERROR(__xludf.DUMMYFUNCTION("""COMPUTED_VALUE"""),FALSE)</f>
        <v>0</v>
      </c>
      <c r="Q267" s="20" t="str">
        <f>IFERROR(__xludf.DUMMYFUNCTION("""COMPUTED_VALUE"""),"")</f>
        <v/>
      </c>
      <c r="R267" s="22" t="str">
        <f>IFERROR(__xludf.DUMMYFUNCTION("""COMPUTED_VALUE"""),"")</f>
        <v/>
      </c>
    </row>
    <row r="268">
      <c r="A268" s="17" t="str">
        <f>IFERROR(__xludf.DUMMYFUNCTION("""COMPUTED_VALUE"""),"")</f>
        <v/>
      </c>
      <c r="B268" s="17" t="str">
        <f>IFERROR(__xludf.DUMMYFUNCTION("""COMPUTED_VALUE"""),"")</f>
        <v/>
      </c>
      <c r="C268" s="17" t="str">
        <f>IFERROR(__xludf.DUMMYFUNCTION("""COMPUTED_VALUE"""),"")</f>
        <v/>
      </c>
      <c r="D268" s="17" t="str">
        <f>IFERROR(__xludf.DUMMYFUNCTION("""COMPUTED_VALUE"""),"")</f>
        <v/>
      </c>
      <c r="E268" s="17" t="str">
        <f>IFERROR(__xludf.DUMMYFUNCTION("""COMPUTED_VALUE"""),"")</f>
        <v/>
      </c>
      <c r="F268" s="17" t="str">
        <f>IFERROR(__xludf.DUMMYFUNCTION("""COMPUTED_VALUE"""),"")</f>
        <v/>
      </c>
      <c r="G268" s="17" t="str">
        <f>IFERROR(__xludf.DUMMYFUNCTION("""COMPUTED_VALUE"""),"")</f>
        <v/>
      </c>
      <c r="H268" s="17" t="str">
        <f>IFERROR(__xludf.DUMMYFUNCTION("""COMPUTED_VALUE"""),"")</f>
        <v/>
      </c>
      <c r="I268" s="17" t="str">
        <f>IFERROR(__xludf.DUMMYFUNCTION("""COMPUTED_VALUE"""),"")</f>
        <v/>
      </c>
      <c r="J268" s="17" t="str">
        <f>IFERROR(__xludf.DUMMYFUNCTION("""COMPUTED_VALUE"""),"")</f>
        <v/>
      </c>
      <c r="K268" s="17" t="str">
        <f>IFERROR(__xludf.DUMMYFUNCTION("""COMPUTED_VALUE"""),"")</f>
        <v/>
      </c>
      <c r="L268" s="17" t="str">
        <f>IFERROR(__xludf.DUMMYFUNCTION("""COMPUTED_VALUE"""),"")</f>
        <v/>
      </c>
      <c r="M268" s="17" t="str">
        <f>IFERROR(__xludf.DUMMYFUNCTION("""COMPUTED_VALUE"""),"")</f>
        <v/>
      </c>
      <c r="N268" s="17" t="str">
        <f>IFERROR(__xludf.DUMMYFUNCTION("""COMPUTED_VALUE"""),"")</f>
        <v/>
      </c>
      <c r="O268" s="17" t="str">
        <f>IFERROR(__xludf.DUMMYFUNCTION("""COMPUTED_VALUE"""),"")</f>
        <v/>
      </c>
      <c r="P268" s="17" t="str">
        <f>IFERROR(__xludf.DUMMYFUNCTION("""COMPUTED_VALUE"""),"")</f>
        <v/>
      </c>
      <c r="Q268" s="17" t="str">
        <f>IFERROR(__xludf.DUMMYFUNCTION("""COMPUTED_VALUE"""),"")</f>
        <v/>
      </c>
      <c r="R268" s="17" t="str">
        <f>IFERROR(__xludf.DUMMYFUNCTION("""COMPUTED_VALUE"""),"")</f>
        <v/>
      </c>
    </row>
    <row r="269">
      <c r="A269" s="15">
        <f>IFERROR(__xludf.DUMMYFUNCTION("""COMPUTED_VALUE"""),45007.0)</f>
        <v>45007</v>
      </c>
      <c r="B269" s="17"/>
      <c r="C269" s="15" t="str">
        <f>IFERROR(__xludf.DUMMYFUNCTION("""COMPUTED_VALUE"""),"MANIZALES")</f>
        <v>MANIZALES</v>
      </c>
      <c r="D269" s="15" t="str">
        <f>IFERROR(__xludf.DUMMYFUNCTION("""COMPUTED_VALUE"""),"MEDELLÍN")</f>
        <v>MEDELLÍN</v>
      </c>
      <c r="E269" s="15" t="str">
        <f>IFERROR(__xludf.DUMMYFUNCTION("""COMPUTED_VALUE"""),"Todo Bufala")</f>
        <v>Todo Bufala</v>
      </c>
      <c r="F269" s="17" t="str">
        <f>IFERROR(__xludf.DUMMYFUNCTION("""COMPUTED_VALUE"""),"24A#59-67  / LOCAL 1 PORRTA ESTRELLA / BARRIO LA ESTRELLA")</f>
        <v>24A#59-67  / LOCAL 1 PORRTA ESTRELLA / BARRIO LA ESTRELLA</v>
      </c>
      <c r="G269" s="15" t="str">
        <f>IFERROR(__xludf.DUMMYFUNCTION("""COMPUTED_VALUE"""),"SEBASTIAN PEREZ")</f>
        <v>SEBASTIAN PEREZ</v>
      </c>
      <c r="H269" s="18">
        <f>IFERROR(__xludf.DUMMYFUNCTION("""COMPUTED_VALUE"""),8980.0)</f>
        <v>8980</v>
      </c>
      <c r="I269" s="18">
        <f>IFERROR(__xludf.DUMMYFUNCTION("""COMPUTED_VALUE"""),20.0)</f>
        <v>20</v>
      </c>
      <c r="J269" s="18">
        <f>IFERROR(__xludf.DUMMYFUNCTION("""COMPUTED_VALUE"""),30.0)</f>
        <v>30</v>
      </c>
      <c r="K269" s="18">
        <f>IFERROR(__xludf.DUMMYFUNCTION("""COMPUTED_VALUE"""),40.0)</f>
        <v>40</v>
      </c>
      <c r="L269" s="17">
        <f>IFERROR(__xludf.DUMMYFUNCTION("""COMPUTED_VALUE"""),3.106974621E9)</f>
        <v>3106974621</v>
      </c>
      <c r="M269" s="17" t="str">
        <f>IFERROR(__xludf.DUMMYFUNCTION("""COMPUTED_VALUE"""),"#REF!")</f>
        <v>#REF!</v>
      </c>
      <c r="N269" s="19" t="str">
        <f>IFERROR(__xludf.DUMMYFUNCTION("""COMPUTED_VALUE"""),"")</f>
        <v/>
      </c>
      <c r="O269" s="19" t="str">
        <f>IFERROR(__xludf.DUMMYFUNCTION("""COMPUTED_VALUE"""),"")</f>
        <v/>
      </c>
      <c r="P269" s="17" t="b">
        <f>IFERROR(__xludf.DUMMYFUNCTION("""COMPUTED_VALUE"""),FALSE)</f>
        <v>0</v>
      </c>
      <c r="Q269" s="20" t="str">
        <f>IFERROR(__xludf.DUMMYFUNCTION("""COMPUTED_VALUE"""),"")</f>
        <v/>
      </c>
      <c r="R269" s="22" t="str">
        <f>IFERROR(__xludf.DUMMYFUNCTION("""COMPUTED_VALUE"""),"")</f>
        <v/>
      </c>
    </row>
    <row r="270">
      <c r="A270" s="15">
        <f>IFERROR(__xludf.DUMMYFUNCTION("""COMPUTED_VALUE"""),45007.0)</f>
        <v>45007</v>
      </c>
      <c r="B270" s="17"/>
      <c r="C270" s="15" t="str">
        <f>IFERROR(__xludf.DUMMYFUNCTION("""COMPUTED_VALUE"""),"MEDELLÍN")</f>
        <v>MEDELLÍN</v>
      </c>
      <c r="D270" s="15" t="str">
        <f>IFERROR(__xludf.DUMMYFUNCTION("""COMPUTED_VALUE"""),"BOGOTÁ")</f>
        <v>BOGOTÁ</v>
      </c>
      <c r="E270" s="15" t="str">
        <f>IFERROR(__xludf.DUMMYFUNCTION("""COMPUTED_VALUE"""),"MAI ALIMENTOS S.A.S")</f>
        <v>MAI ALIMENTOS S.A.S</v>
      </c>
      <c r="F270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70" s="15" t="str">
        <f>IFERROR(__xludf.DUMMYFUNCTION("""COMPUTED_VALUE"""),"Novaventas - Medellin")</f>
        <v>Novaventas - Medellin</v>
      </c>
      <c r="H270" s="18">
        <f>IFERROR(__xludf.DUMMYFUNCTION("""COMPUTED_VALUE"""),8953.0)</f>
        <v>8953</v>
      </c>
      <c r="I270" s="18">
        <f>IFERROR(__xludf.DUMMYFUNCTION("""COMPUTED_VALUE"""),35.0)</f>
        <v>35</v>
      </c>
      <c r="J270" s="18">
        <f>IFERROR(__xludf.DUMMYFUNCTION("""COMPUTED_VALUE"""),17.0)</f>
        <v>17</v>
      </c>
      <c r="K270" s="18">
        <f>IFERROR(__xludf.DUMMYFUNCTION("""COMPUTED_VALUE"""),13.0)</f>
        <v>13</v>
      </c>
      <c r="L270" s="17">
        <f>IFERROR(__xludf.DUMMYFUNCTION("""COMPUTED_VALUE"""),3.187351593E9)</f>
        <v>3187351593</v>
      </c>
      <c r="M270" s="17" t="str">
        <f>IFERROR(__xludf.DUMMYFUNCTION("""COMPUTED_VALUE"""),"#REF!")</f>
        <v>#REF!</v>
      </c>
      <c r="N270" s="19" t="str">
        <f>IFERROR(__xludf.DUMMYFUNCTION("""COMPUTED_VALUE"""),"")</f>
        <v/>
      </c>
      <c r="O270" s="19" t="str">
        <f>IFERROR(__xludf.DUMMYFUNCTION("""COMPUTED_VALUE"""),"")</f>
        <v/>
      </c>
      <c r="P270" s="17" t="b">
        <f>IFERROR(__xludf.DUMMYFUNCTION("""COMPUTED_VALUE"""),FALSE)</f>
        <v>0</v>
      </c>
      <c r="Q270" s="20" t="str">
        <f>IFERROR(__xludf.DUMMYFUNCTION("""COMPUTED_VALUE"""),"")</f>
        <v/>
      </c>
      <c r="R270" s="22" t="str">
        <f>IFERROR(__xludf.DUMMYFUNCTION("""COMPUTED_VALUE"""),"")</f>
        <v/>
      </c>
    </row>
    <row r="271">
      <c r="A271" s="17" t="str">
        <f>IFERROR(__xludf.DUMMYFUNCTION("""COMPUTED_VALUE"""),"")</f>
        <v/>
      </c>
      <c r="B271" s="17" t="str">
        <f>IFERROR(__xludf.DUMMYFUNCTION("""COMPUTED_VALUE"""),"")</f>
        <v/>
      </c>
      <c r="C271" s="17" t="str">
        <f>IFERROR(__xludf.DUMMYFUNCTION("""COMPUTED_VALUE"""),"")</f>
        <v/>
      </c>
      <c r="D271" s="17" t="str">
        <f>IFERROR(__xludf.DUMMYFUNCTION("""COMPUTED_VALUE"""),"")</f>
        <v/>
      </c>
      <c r="E271" s="17" t="str">
        <f>IFERROR(__xludf.DUMMYFUNCTION("""COMPUTED_VALUE"""),"")</f>
        <v/>
      </c>
      <c r="F271" s="17" t="str">
        <f>IFERROR(__xludf.DUMMYFUNCTION("""COMPUTED_VALUE"""),"")</f>
        <v/>
      </c>
      <c r="G271" s="17" t="str">
        <f>IFERROR(__xludf.DUMMYFUNCTION("""COMPUTED_VALUE"""),"")</f>
        <v/>
      </c>
      <c r="H271" s="17" t="str">
        <f>IFERROR(__xludf.DUMMYFUNCTION("""COMPUTED_VALUE"""),"")</f>
        <v/>
      </c>
      <c r="I271" s="17" t="str">
        <f>IFERROR(__xludf.DUMMYFUNCTION("""COMPUTED_VALUE"""),"")</f>
        <v/>
      </c>
      <c r="J271" s="17" t="str">
        <f>IFERROR(__xludf.DUMMYFUNCTION("""COMPUTED_VALUE"""),"")</f>
        <v/>
      </c>
      <c r="K271" s="17" t="str">
        <f>IFERROR(__xludf.DUMMYFUNCTION("""COMPUTED_VALUE"""),"")</f>
        <v/>
      </c>
      <c r="L271" s="17" t="str">
        <f>IFERROR(__xludf.DUMMYFUNCTION("""COMPUTED_VALUE"""),"")</f>
        <v/>
      </c>
      <c r="M271" s="17" t="str">
        <f>IFERROR(__xludf.DUMMYFUNCTION("""COMPUTED_VALUE"""),"")</f>
        <v/>
      </c>
      <c r="N271" s="17" t="str">
        <f>IFERROR(__xludf.DUMMYFUNCTION("""COMPUTED_VALUE"""),"")</f>
        <v/>
      </c>
      <c r="O271" s="17" t="str">
        <f>IFERROR(__xludf.DUMMYFUNCTION("""COMPUTED_VALUE"""),"")</f>
        <v/>
      </c>
      <c r="P271" s="17" t="str">
        <f>IFERROR(__xludf.DUMMYFUNCTION("""COMPUTED_VALUE"""),"")</f>
        <v/>
      </c>
      <c r="Q271" s="17" t="str">
        <f>IFERROR(__xludf.DUMMYFUNCTION("""COMPUTED_VALUE"""),"")</f>
        <v/>
      </c>
      <c r="R271" s="17" t="str">
        <f>IFERROR(__xludf.DUMMYFUNCTION("""COMPUTED_VALUE"""),"")</f>
        <v/>
      </c>
    </row>
    <row r="272">
      <c r="A272" s="15">
        <f>IFERROR(__xludf.DUMMYFUNCTION("""COMPUTED_VALUE"""),45007.0)</f>
        <v>45007</v>
      </c>
      <c r="B272" s="16" t="str">
        <f>IFERROR(__xludf.DUMMYFUNCTION("""COMPUTED_VALUE"""),"Andrés Felipe Castillo Muñoz")</f>
        <v>Andrés Felipe Castillo Muñoz</v>
      </c>
      <c r="C272" s="15" t="str">
        <f>IFERROR(__xludf.DUMMYFUNCTION("""COMPUTED_VALUE"""),"MEDELLÍN")</f>
        <v>MEDELLÍN</v>
      </c>
      <c r="D272" s="15" t="str">
        <f>IFERROR(__xludf.DUMMYFUNCTION("""COMPUTED_VALUE"""),"BOGOTÁ")</f>
        <v>BOGOTÁ</v>
      </c>
      <c r="E272" s="15" t="str">
        <f>IFERROR(__xludf.DUMMYFUNCTION("""COMPUTED_VALUE"""),"Evamazzita")</f>
        <v>Evamazzita</v>
      </c>
      <c r="F272" s="17" t="str">
        <f>IFERROR(__xludf.DUMMYFUNCTION("""COMPUTED_VALUE"""),"CALLE 35 No. 69A - 33 /  SAN GABRIEL / ITAGÜÍ")</f>
        <v>CALLE 35 No. 69A - 33 /  SAN GABRIEL / ITAGÜÍ</v>
      </c>
      <c r="G272" s="15" t="str">
        <f>IFERROR(__xludf.DUMMYFUNCTION("""COMPUTED_VALUE"""),"TATIANA QUINTERO ROJAS")</f>
        <v>TATIANA QUINTERO ROJAS</v>
      </c>
      <c r="H272" s="18">
        <f>IFERROR(__xludf.DUMMYFUNCTION("""COMPUTED_VALUE"""),9024.0)</f>
        <v>9024</v>
      </c>
      <c r="I272" s="18">
        <f>IFERROR(__xludf.DUMMYFUNCTION("""COMPUTED_VALUE"""),10.0)</f>
        <v>10</v>
      </c>
      <c r="J272" s="18">
        <f>IFERROR(__xludf.DUMMYFUNCTION("""COMPUTED_VALUE"""),18.0)</f>
        <v>18</v>
      </c>
      <c r="K272" s="18">
        <f>IFERROR(__xludf.DUMMYFUNCTION("""COMPUTED_VALUE"""),22.0)</f>
        <v>22</v>
      </c>
      <c r="L272" s="17">
        <f>IFERROR(__xludf.DUMMYFUNCTION("""COMPUTED_VALUE"""),3.108485523E9)</f>
        <v>3108485523</v>
      </c>
      <c r="M272" s="17" t="str">
        <f>IFERROR(__xludf.DUMMYFUNCTION("""COMPUTED_VALUE"""),"#REF!")</f>
        <v>#REF!</v>
      </c>
      <c r="N272" s="17"/>
      <c r="O272" s="19" t="str">
        <f>IFERROR(__xludf.DUMMYFUNCTION("""COMPUTED_VALUE"""),"")</f>
        <v/>
      </c>
      <c r="P272" s="17" t="b">
        <f>IFERROR(__xludf.DUMMYFUNCTION("""COMPUTED_VALUE"""),TRUE)</f>
        <v>1</v>
      </c>
      <c r="Q272" s="20">
        <f>IFERROR(__xludf.DUMMYFUNCTION("""COMPUTED_VALUE"""),45007.427487395835)</f>
        <v>45007.42749</v>
      </c>
      <c r="R272" s="22" t="str">
        <f>IFERROR(__xludf.DUMMYFUNCTION("""COMPUTED_VALUE"""),"")</f>
        <v/>
      </c>
    </row>
    <row r="273">
      <c r="A273" s="15">
        <f>IFERROR(__xludf.DUMMYFUNCTION("""COMPUTED_VALUE"""),45007.0)</f>
        <v>45007</v>
      </c>
      <c r="B273" s="16" t="str">
        <f>IFERROR(__xludf.DUMMYFUNCTION("""COMPUTED_VALUE"""),"Andrés Felipe Castillo Muñoz")</f>
        <v>Andrés Felipe Castillo Muñoz</v>
      </c>
      <c r="C273" s="15" t="str">
        <f>IFERROR(__xludf.DUMMYFUNCTION("""COMPUTED_VALUE"""),"MEDELLÍN")</f>
        <v>MEDELLÍN</v>
      </c>
      <c r="D273" s="15" t="str">
        <f>IFERROR(__xludf.DUMMYFUNCTION("""COMPUTED_VALUE"""),"BOGOTÁ")</f>
        <v>BOGOTÁ</v>
      </c>
      <c r="E273" s="15" t="str">
        <f>IFERROR(__xludf.DUMMYFUNCTION("""COMPUTED_VALUE"""),"Evamazzita")</f>
        <v>Evamazzita</v>
      </c>
      <c r="F273" s="17" t="str">
        <f>IFERROR(__xludf.DUMMYFUNCTION("""COMPUTED_VALUE"""),"CALLE 77 SUR No. 35A - 105  / N/A / SABANETA - BARRIO SAN JOSÉ")</f>
        <v>CALLE 77 SUR No. 35A - 105  / N/A / SABANETA - BARRIO SAN JOSÉ</v>
      </c>
      <c r="G273" s="15" t="str">
        <f>IFERROR(__xludf.DUMMYFUNCTION("""COMPUTED_VALUE"""),"PAULA OQUENDO")</f>
        <v>PAULA OQUENDO</v>
      </c>
      <c r="H273" s="18">
        <f>IFERROR(__xludf.DUMMYFUNCTION("""COMPUTED_VALUE"""),9031.0)</f>
        <v>9031</v>
      </c>
      <c r="I273" s="18">
        <f>IFERROR(__xludf.DUMMYFUNCTION("""COMPUTED_VALUE"""),3.0)</f>
        <v>3</v>
      </c>
      <c r="J273" s="18">
        <f>IFERROR(__xludf.DUMMYFUNCTION("""COMPUTED_VALUE"""),20.0)</f>
        <v>20</v>
      </c>
      <c r="K273" s="18">
        <f>IFERROR(__xludf.DUMMYFUNCTION("""COMPUTED_VALUE"""),15.0)</f>
        <v>15</v>
      </c>
      <c r="L273" s="17">
        <f>IFERROR(__xludf.DUMMYFUNCTION("""COMPUTED_VALUE"""),3.164105195E9)</f>
        <v>3164105195</v>
      </c>
      <c r="M273" s="17" t="str">
        <f>IFERROR(__xludf.DUMMYFUNCTION("""COMPUTED_VALUE"""),"#REF!")</f>
        <v>#REF!</v>
      </c>
      <c r="N273" s="17"/>
      <c r="O273" s="19" t="str">
        <f>IFERROR(__xludf.DUMMYFUNCTION("""COMPUTED_VALUE"""),"")</f>
        <v/>
      </c>
      <c r="P273" s="17" t="b">
        <f>IFERROR(__xludf.DUMMYFUNCTION("""COMPUTED_VALUE"""),TRUE)</f>
        <v>1</v>
      </c>
      <c r="Q273" s="20">
        <f>IFERROR(__xludf.DUMMYFUNCTION("""COMPUTED_VALUE"""),45007.811495891205)</f>
        <v>45007.8115</v>
      </c>
      <c r="R273" s="21" t="str">
        <f>IFERROR(__xludf.DUMMYFUNCTION("""COMPUTED_VALUE"""),"https://drive.google.com/file/d/16geKpxdrfNv25LjpkSBRWn2zqCbZKprm/view?usp=drivesdk")</f>
        <v>https://drive.google.com/file/d/16geKpxdrfNv25LjpkSBRWn2zqCbZKprm/view?usp=drivesdk</v>
      </c>
    </row>
    <row r="274">
      <c r="A274" s="15">
        <f>IFERROR(__xludf.DUMMYFUNCTION("""COMPUTED_VALUE"""),45007.0)</f>
        <v>45007</v>
      </c>
      <c r="B274" s="16" t="str">
        <f>IFERROR(__xludf.DUMMYFUNCTION("""COMPUTED_VALUE"""),"Andrés Felipe Castillo Muñoz")</f>
        <v>Andrés Felipe Castillo Muñoz</v>
      </c>
      <c r="C274" s="15" t="str">
        <f>IFERROR(__xludf.DUMMYFUNCTION("""COMPUTED_VALUE"""),"MEDELLÍN")</f>
        <v>MEDELLÍN</v>
      </c>
      <c r="D274" s="15" t="str">
        <f>IFERROR(__xludf.DUMMYFUNCTION("""COMPUTED_VALUE"""),"BOGOTÁ")</f>
        <v>BOGOTÁ</v>
      </c>
      <c r="E274" s="15" t="str">
        <f>IFERROR(__xludf.DUMMYFUNCTION("""COMPUTED_VALUE"""),"Evamazzita")</f>
        <v>Evamazzita</v>
      </c>
      <c r="F274" s="17" t="str">
        <f>IFERROR(__xludf.DUMMYFUNCTION("""COMPUTED_VALUE"""),"Cr 35 # 65 Sur 135   / EDIFICIO DUBLIN apto 2804  / SABANETA - Las lomitas")</f>
        <v>Cr 35 # 65 Sur 135   / EDIFICIO DUBLIN apto 2804  / SABANETA - Las lomitas</v>
      </c>
      <c r="G274" s="15" t="str">
        <f>IFERROR(__xludf.DUMMYFUNCTION("""COMPUTED_VALUE"""),"VANESSA BEDOYA")</f>
        <v>VANESSA BEDOYA</v>
      </c>
      <c r="H274" s="18">
        <f>IFERROR(__xludf.DUMMYFUNCTION("""COMPUTED_VALUE"""),9028.0)</f>
        <v>9028</v>
      </c>
      <c r="I274" s="18">
        <f>IFERROR(__xludf.DUMMYFUNCTION("""COMPUTED_VALUE"""),10.0)</f>
        <v>10</v>
      </c>
      <c r="J274" s="18">
        <f>IFERROR(__xludf.DUMMYFUNCTION("""COMPUTED_VALUE"""),18.0)</f>
        <v>18</v>
      </c>
      <c r="K274" s="18">
        <f>IFERROR(__xludf.DUMMYFUNCTION("""COMPUTED_VALUE"""),22.0)</f>
        <v>22</v>
      </c>
      <c r="L274" s="17">
        <f>IFERROR(__xludf.DUMMYFUNCTION("""COMPUTED_VALUE"""),3.1847212E9)</f>
        <v>3184721200</v>
      </c>
      <c r="M274" s="17" t="str">
        <f>IFERROR(__xludf.DUMMYFUNCTION("""COMPUTED_VALUE"""),"#REF!")</f>
        <v>#REF!</v>
      </c>
      <c r="N274" s="17"/>
      <c r="O274" s="19" t="str">
        <f>IFERROR(__xludf.DUMMYFUNCTION("""COMPUTED_VALUE"""),"")</f>
        <v/>
      </c>
      <c r="P274" s="17" t="b">
        <f>IFERROR(__xludf.DUMMYFUNCTION("""COMPUTED_VALUE"""),TRUE)</f>
        <v>1</v>
      </c>
      <c r="Q274" s="20">
        <f>IFERROR(__xludf.DUMMYFUNCTION("""COMPUTED_VALUE"""),45007.471588009255)</f>
        <v>45007.47159</v>
      </c>
      <c r="R274" s="22" t="str">
        <f>IFERROR(__xludf.DUMMYFUNCTION("""COMPUTED_VALUE"""),"")</f>
        <v/>
      </c>
    </row>
    <row r="275">
      <c r="A275" s="15">
        <f>IFERROR(__xludf.DUMMYFUNCTION("""COMPUTED_VALUE"""),45007.0)</f>
        <v>45007</v>
      </c>
      <c r="B275" s="16" t="str">
        <f>IFERROR(__xludf.DUMMYFUNCTION("""COMPUTED_VALUE"""),"Andrés Felipe Castillo Muñoz")</f>
        <v>Andrés Felipe Castillo Muñoz</v>
      </c>
      <c r="C275" s="15" t="str">
        <f>IFERROR(__xludf.DUMMYFUNCTION("""COMPUTED_VALUE"""),"MEDELLÍN")</f>
        <v>MEDELLÍN</v>
      </c>
      <c r="D275" s="15" t="str">
        <f>IFERROR(__xludf.DUMMYFUNCTION("""COMPUTED_VALUE"""),"BOGOTÁ")</f>
        <v>BOGOTÁ</v>
      </c>
      <c r="E275" s="15" t="str">
        <f>IFERROR(__xludf.DUMMYFUNCTION("""COMPUTED_VALUE"""),"Evamazzita")</f>
        <v>Evamazzita</v>
      </c>
      <c r="F275" s="17" t="str">
        <f>IFERROR(__xludf.DUMMYFUNCTION("""COMPUTED_VALUE"""),"cra 101 B # 31 B 51  / casa primer piso   / Belén las violetas (por la terminal de circular coonatra)")</f>
        <v>cra 101 B # 31 B 51  / casa primer piso   / Belén las violetas (por la terminal de circular coonatra)</v>
      </c>
      <c r="G275" s="15" t="str">
        <f>IFERROR(__xludf.DUMMYFUNCTION("""COMPUTED_VALUE"""),"VALENTINA ALVAREZ USMA")</f>
        <v>VALENTINA ALVAREZ USMA</v>
      </c>
      <c r="H275" s="18">
        <f>IFERROR(__xludf.DUMMYFUNCTION("""COMPUTED_VALUE"""),9025.0)</f>
        <v>9025</v>
      </c>
      <c r="I275" s="18">
        <f>IFERROR(__xludf.DUMMYFUNCTION("""COMPUTED_VALUE"""),10.0)</f>
        <v>10</v>
      </c>
      <c r="J275" s="18">
        <f>IFERROR(__xludf.DUMMYFUNCTION("""COMPUTED_VALUE"""),22.0)</f>
        <v>22</v>
      </c>
      <c r="K275" s="18">
        <f>IFERROR(__xludf.DUMMYFUNCTION("""COMPUTED_VALUE"""),18.0)</f>
        <v>18</v>
      </c>
      <c r="L275" s="17">
        <f>IFERROR(__xludf.DUMMYFUNCTION("""COMPUTED_VALUE"""),3.002113793E9)</f>
        <v>3002113793</v>
      </c>
      <c r="M275" s="17" t="str">
        <f>IFERROR(__xludf.DUMMYFUNCTION("""COMPUTED_VALUE"""),"#REF!")</f>
        <v>#REF!</v>
      </c>
      <c r="N275" s="17"/>
      <c r="O275" s="19" t="str">
        <f>IFERROR(__xludf.DUMMYFUNCTION("""COMPUTED_VALUE"""),"")</f>
        <v/>
      </c>
      <c r="P275" s="17" t="b">
        <f>IFERROR(__xludf.DUMMYFUNCTION("""COMPUTED_VALUE"""),TRUE)</f>
        <v>1</v>
      </c>
      <c r="Q275" s="20">
        <f>IFERROR(__xludf.DUMMYFUNCTION("""COMPUTED_VALUE"""),45007.47130046296)</f>
        <v>45007.4713</v>
      </c>
      <c r="R275" s="22" t="str">
        <f>IFERROR(__xludf.DUMMYFUNCTION("""COMPUTED_VALUE"""),"")</f>
        <v/>
      </c>
    </row>
    <row r="276">
      <c r="A276" s="15">
        <f>IFERROR(__xludf.DUMMYFUNCTION("""COMPUTED_VALUE"""),45007.0)</f>
        <v>45007</v>
      </c>
      <c r="B276" s="16" t="str">
        <f>IFERROR(__xludf.DUMMYFUNCTION("""COMPUTED_VALUE"""),"Andrés Felipe Castillo Muñoz")</f>
        <v>Andrés Felipe Castillo Muñoz</v>
      </c>
      <c r="C276" s="15" t="str">
        <f>IFERROR(__xludf.DUMMYFUNCTION("""COMPUTED_VALUE"""),"MEDELLÍN")</f>
        <v>MEDELLÍN</v>
      </c>
      <c r="D276" s="15" t="str">
        <f>IFERROR(__xludf.DUMMYFUNCTION("""COMPUTED_VALUE"""),"BOGOTÁ")</f>
        <v>BOGOTÁ</v>
      </c>
      <c r="E276" s="15" t="str">
        <f>IFERROR(__xludf.DUMMYFUNCTION("""COMPUTED_VALUE"""),"Loomifoods")</f>
        <v>Loomifoods</v>
      </c>
      <c r="F276" s="17" t="str">
        <f>IFERROR(__xludf.DUMMYFUNCTION("""COMPUTED_VALUE"""),"Cra 15 BA no. 34D - 44 / Interior 201 / Medellin")</f>
        <v>Cra 15 BA no. 34D - 44 / Interior 201 / Medellin</v>
      </c>
      <c r="G276" s="15" t="str">
        <f>IFERROR(__xludf.DUMMYFUNCTION("""COMPUTED_VALUE"""),"Daniela Bedoya")</f>
        <v>Daniela Bedoya</v>
      </c>
      <c r="H276" s="18">
        <f>IFERROR(__xludf.DUMMYFUNCTION("""COMPUTED_VALUE"""),9064.0)</f>
        <v>9064</v>
      </c>
      <c r="I276" s="18">
        <f>IFERROR(__xludf.DUMMYFUNCTION("""COMPUTED_VALUE"""),20.0)</f>
        <v>20</v>
      </c>
      <c r="J276" s="18">
        <f>IFERROR(__xludf.DUMMYFUNCTION("""COMPUTED_VALUE"""),10.0)</f>
        <v>10</v>
      </c>
      <c r="K276" s="18">
        <f>IFERROR(__xludf.DUMMYFUNCTION("""COMPUTED_VALUE"""),16.0)</f>
        <v>16</v>
      </c>
      <c r="L276" s="17">
        <f>IFERROR(__xludf.DUMMYFUNCTION("""COMPUTED_VALUE"""),3.14672822E9)</f>
        <v>3146728220</v>
      </c>
      <c r="M276" s="17" t="str">
        <f>IFERROR(__xludf.DUMMYFUNCTION("""COMPUTED_VALUE"""),"#REF!")</f>
        <v>#REF!</v>
      </c>
      <c r="N276" s="17"/>
      <c r="O276" s="19" t="str">
        <f>IFERROR(__xludf.DUMMYFUNCTION("""COMPUTED_VALUE"""),"")</f>
        <v/>
      </c>
      <c r="P276" s="17" t="b">
        <f>IFERROR(__xludf.DUMMYFUNCTION("""COMPUTED_VALUE"""),TRUE)</f>
        <v>1</v>
      </c>
      <c r="Q276" s="20">
        <f>IFERROR(__xludf.DUMMYFUNCTION("""COMPUTED_VALUE"""),45007.427487395835)</f>
        <v>45007.42749</v>
      </c>
      <c r="R276" s="22" t="str">
        <f>IFERROR(__xludf.DUMMYFUNCTION("""COMPUTED_VALUE"""),"")</f>
        <v/>
      </c>
    </row>
    <row r="277">
      <c r="A277" s="15">
        <f>IFERROR(__xludf.DUMMYFUNCTION("""COMPUTED_VALUE"""),45007.0)</f>
        <v>45007</v>
      </c>
      <c r="B277" s="16" t="str">
        <f>IFERROR(__xludf.DUMMYFUNCTION("""COMPUTED_VALUE"""),"Andrés Felipe Castillo Muñoz")</f>
        <v>Andrés Felipe Castillo Muñoz</v>
      </c>
      <c r="C277" s="15" t="str">
        <f>IFERROR(__xludf.DUMMYFUNCTION("""COMPUTED_VALUE"""),"MEDELLÍN")</f>
        <v>MEDELLÍN</v>
      </c>
      <c r="D277" s="15" t="str">
        <f>IFERROR(__xludf.DUMMYFUNCTION("""COMPUTED_VALUE"""),"BOGOTÁ")</f>
        <v>BOGOTÁ</v>
      </c>
      <c r="E277" s="15" t="str">
        <f>IFERROR(__xludf.DUMMYFUNCTION("""COMPUTED_VALUE"""),"Lunchy Kids")</f>
        <v>Lunchy Kids</v>
      </c>
      <c r="F277" s="17" t="str">
        <f>IFERROR(__xludf.DUMMYFUNCTION("""COMPUTED_VALUE"""),"Cra 46c #80sur - 155. / Urbanización Amonte. Bloque 3. Apto 1724 / Sabaneta")</f>
        <v>Cra 46c #80sur - 155. / Urbanización Amonte. Bloque 3. Apto 1724 / Sabaneta</v>
      </c>
      <c r="G277" s="15" t="str">
        <f>IFERROR(__xludf.DUMMYFUNCTION("""COMPUTED_VALUE"""),"Ana maria Buitrago")</f>
        <v>Ana maria Buitrago</v>
      </c>
      <c r="H277" s="18">
        <f>IFERROR(__xludf.DUMMYFUNCTION("""COMPUTED_VALUE"""),9034.0)</f>
        <v>9034</v>
      </c>
      <c r="I277" s="18">
        <f>IFERROR(__xludf.DUMMYFUNCTION("""COMPUTED_VALUE"""),20.0)</f>
        <v>20</v>
      </c>
      <c r="J277" s="18">
        <f>IFERROR(__xludf.DUMMYFUNCTION("""COMPUTED_VALUE"""),28.0)</f>
        <v>28</v>
      </c>
      <c r="K277" s="18">
        <f>IFERROR(__xludf.DUMMYFUNCTION("""COMPUTED_VALUE"""),7.0)</f>
        <v>7</v>
      </c>
      <c r="L277" s="17">
        <f>IFERROR(__xludf.DUMMYFUNCTION("""COMPUTED_VALUE"""),3.012900984E9)</f>
        <v>3012900984</v>
      </c>
      <c r="M277" s="17" t="str">
        <f>IFERROR(__xludf.DUMMYFUNCTION("""COMPUTED_VALUE"""),"#REF!")</f>
        <v>#REF!</v>
      </c>
      <c r="N277" s="17"/>
      <c r="O277" s="19" t="str">
        <f>IFERROR(__xludf.DUMMYFUNCTION("""COMPUTED_VALUE"""),"")</f>
        <v/>
      </c>
      <c r="P277" s="17" t="b">
        <f>IFERROR(__xludf.DUMMYFUNCTION("""COMPUTED_VALUE"""),TRUE)</f>
        <v>1</v>
      </c>
      <c r="Q277" s="20">
        <f>IFERROR(__xludf.DUMMYFUNCTION("""COMPUTED_VALUE"""),45007.7264533912)</f>
        <v>45007.72645</v>
      </c>
      <c r="R277" s="22" t="str">
        <f>IFERROR(__xludf.DUMMYFUNCTION("""COMPUTED_VALUE"""),"")</f>
        <v/>
      </c>
    </row>
    <row r="278">
      <c r="A278" s="15">
        <f>IFERROR(__xludf.DUMMYFUNCTION("""COMPUTED_VALUE"""),45007.0)</f>
        <v>45007</v>
      </c>
      <c r="B278" s="16" t="str">
        <f>IFERROR(__xludf.DUMMYFUNCTION("""COMPUTED_VALUE"""),"Andrés Felipe Castillo Muñoz")</f>
        <v>Andrés Felipe Castillo Muñoz</v>
      </c>
      <c r="C278" s="15" t="str">
        <f>IFERROR(__xludf.DUMMYFUNCTION("""COMPUTED_VALUE"""),"MEDELLÍN")</f>
        <v>MEDELLÍN</v>
      </c>
      <c r="D278" s="15" t="str">
        <f>IFERROR(__xludf.DUMMYFUNCTION("""COMPUTED_VALUE"""),"BOGOTÁ")</f>
        <v>BOGOTÁ</v>
      </c>
      <c r="E278" s="15" t="str">
        <f>IFERROR(__xludf.DUMMYFUNCTION("""COMPUTED_VALUE"""),"Lunchy Kids")</f>
        <v>Lunchy Kids</v>
      </c>
      <c r="F278" s="17" t="str">
        <f>IFERROR(__xludf.DUMMYFUNCTION("""COMPUTED_VALUE"""),"Cra 67A # 59A - 24. / Urbanización El trapiche. Nucleo 1. Bloque 7.  Apto 303  / Bello")</f>
        <v>Cra 67A # 59A - 24. / Urbanización El trapiche. Nucleo 1. Bloque 7.  Apto 303  / Bello</v>
      </c>
      <c r="G278" s="15" t="str">
        <f>IFERROR(__xludf.DUMMYFUNCTION("""COMPUTED_VALUE"""),"Diana Giraldo Henao")</f>
        <v>Diana Giraldo Henao</v>
      </c>
      <c r="H278" s="18">
        <f>IFERROR(__xludf.DUMMYFUNCTION("""COMPUTED_VALUE"""),9033.0)</f>
        <v>9033</v>
      </c>
      <c r="I278" s="18">
        <f>IFERROR(__xludf.DUMMYFUNCTION("""COMPUTED_VALUE"""),20.0)</f>
        <v>20</v>
      </c>
      <c r="J278" s="18">
        <f>IFERROR(__xludf.DUMMYFUNCTION("""COMPUTED_VALUE"""),28.0)</f>
        <v>28</v>
      </c>
      <c r="K278" s="18">
        <f>IFERROR(__xludf.DUMMYFUNCTION("""COMPUTED_VALUE"""),7.0)</f>
        <v>7</v>
      </c>
      <c r="L278" s="17">
        <f>IFERROR(__xludf.DUMMYFUNCTION("""COMPUTED_VALUE"""),3.002772544E9)</f>
        <v>3002772544</v>
      </c>
      <c r="M278" s="17" t="str">
        <f>IFERROR(__xludf.DUMMYFUNCTION("""COMPUTED_VALUE"""),"#REF!")</f>
        <v>#REF!</v>
      </c>
      <c r="N278" s="17"/>
      <c r="O278" s="19" t="str">
        <f>IFERROR(__xludf.DUMMYFUNCTION("""COMPUTED_VALUE"""),"")</f>
        <v/>
      </c>
      <c r="P278" s="17" t="b">
        <f>IFERROR(__xludf.DUMMYFUNCTION("""COMPUTED_VALUE"""),TRUE)</f>
        <v>1</v>
      </c>
      <c r="Q278" s="20">
        <f>IFERROR(__xludf.DUMMYFUNCTION("""COMPUTED_VALUE"""),45007.68167726852)</f>
        <v>45007.68168</v>
      </c>
      <c r="R278" s="22" t="str">
        <f>IFERROR(__xludf.DUMMYFUNCTION("""COMPUTED_VALUE"""),"")</f>
        <v/>
      </c>
    </row>
    <row r="279">
      <c r="A279" s="15">
        <f>IFERROR(__xludf.DUMMYFUNCTION("""COMPUTED_VALUE"""),45007.0)</f>
        <v>45007</v>
      </c>
      <c r="B279" s="16" t="str">
        <f>IFERROR(__xludf.DUMMYFUNCTION("""COMPUTED_VALUE"""),"Andrés Felipe Castillo Muñoz")</f>
        <v>Andrés Felipe Castillo Muñoz</v>
      </c>
      <c r="C279" s="15" t="str">
        <f>IFERROR(__xludf.DUMMYFUNCTION("""COMPUTED_VALUE"""),"MEDELLÍN")</f>
        <v>MEDELLÍN</v>
      </c>
      <c r="D279" s="15" t="str">
        <f>IFERROR(__xludf.DUMMYFUNCTION("""COMPUTED_VALUE"""),"BOGOTÁ")</f>
        <v>BOGOTÁ</v>
      </c>
      <c r="E279" s="15" t="str">
        <f>IFERROR(__xludf.DUMMYFUNCTION("""COMPUTED_VALUE"""),"Lunchy Kids")</f>
        <v>Lunchy Kids</v>
      </c>
      <c r="F279" s="17" t="str">
        <f>IFERROR(__xludf.DUMMYFUNCTION("""COMPUTED_VALUE"""),"Dg 43 # 34e - 20.  / Unidad residencial Curazao. Torre 5. Apto 1639 / Barrio Alcalá")</f>
        <v>Dg 43 # 34e - 20.  / Unidad residencial Curazao. Torre 5. Apto 1639 / Barrio Alcalá</v>
      </c>
      <c r="G279" s="15" t="str">
        <f>IFERROR(__xludf.DUMMYFUNCTION("""COMPUTED_VALUE"""),"Julissa Anaya Villar")</f>
        <v>Julissa Anaya Villar</v>
      </c>
      <c r="H279" s="18">
        <f>IFERROR(__xludf.DUMMYFUNCTION("""COMPUTED_VALUE"""),8994.0)</f>
        <v>8994</v>
      </c>
      <c r="I279" s="18">
        <f>IFERROR(__xludf.DUMMYFUNCTION("""COMPUTED_VALUE"""),17.0)</f>
        <v>17</v>
      </c>
      <c r="J279" s="18">
        <f>IFERROR(__xludf.DUMMYFUNCTION("""COMPUTED_VALUE"""),38.0)</f>
        <v>38</v>
      </c>
      <c r="K279" s="18">
        <f>IFERROR(__xludf.DUMMYFUNCTION("""COMPUTED_VALUE"""),30.0)</f>
        <v>30</v>
      </c>
      <c r="L279" s="17">
        <f>IFERROR(__xludf.DUMMYFUNCTION("""COMPUTED_VALUE"""),3.104301008E9)</f>
        <v>3104301008</v>
      </c>
      <c r="M279" s="17" t="str">
        <f>IFERROR(__xludf.DUMMYFUNCTION("""COMPUTED_VALUE"""),"#REF!")</f>
        <v>#REF!</v>
      </c>
      <c r="N279" s="17"/>
      <c r="O279" s="19" t="str">
        <f>IFERROR(__xludf.DUMMYFUNCTION("""COMPUTED_VALUE"""),"")</f>
        <v/>
      </c>
      <c r="P279" s="17" t="b">
        <f>IFERROR(__xludf.DUMMYFUNCTION("""COMPUTED_VALUE"""),TRUE)</f>
        <v>1</v>
      </c>
      <c r="Q279" s="20">
        <f>IFERROR(__xludf.DUMMYFUNCTION("""COMPUTED_VALUE"""),45007.47958533565)</f>
        <v>45007.47959</v>
      </c>
      <c r="R279" s="22" t="str">
        <f>IFERROR(__xludf.DUMMYFUNCTION("""COMPUTED_VALUE"""),"")</f>
        <v/>
      </c>
    </row>
    <row r="280">
      <c r="A280" s="15">
        <f>IFERROR(__xludf.DUMMYFUNCTION("""COMPUTED_VALUE"""),45007.0)</f>
        <v>45007</v>
      </c>
      <c r="B280" s="16" t="str">
        <f>IFERROR(__xludf.DUMMYFUNCTION("""COMPUTED_VALUE"""),"Andrés Felipe Castillo Muñoz")</f>
        <v>Andrés Felipe Castillo Muñoz</v>
      </c>
      <c r="C280" s="15" t="str">
        <f>IFERROR(__xludf.DUMMYFUNCTION("""COMPUTED_VALUE"""),"MEDELLÍN")</f>
        <v>MEDELLÍN</v>
      </c>
      <c r="D280" s="15" t="str">
        <f>IFERROR(__xludf.DUMMYFUNCTION("""COMPUTED_VALUE"""),"BOGOTÁ")</f>
        <v>BOGOTÁ</v>
      </c>
      <c r="E280" s="15" t="str">
        <f>IFERROR(__xludf.DUMMYFUNCTION("""COMPUTED_VALUE"""),"Mochi")</f>
        <v>Mochi</v>
      </c>
      <c r="F280" s="17" t="str">
        <f>IFERROR(__xludf.DUMMYFUNCTION("""COMPUTED_VALUE"""),"CR 48 32sur 139 / viva envigado / viva")</f>
        <v>CR 48 32sur 139 / viva envigado / viva</v>
      </c>
      <c r="G280" s="15" t="str">
        <f>IFERROR(__xludf.DUMMYFUNCTION("""COMPUTED_VALUE"""),"Mauricio Mora")</f>
        <v>Mauricio Mora</v>
      </c>
      <c r="H280" s="18">
        <f>IFERROR(__xludf.DUMMYFUNCTION("""COMPUTED_VALUE"""),9061.0)</f>
        <v>9061</v>
      </c>
      <c r="I280" s="18">
        <f>IFERROR(__xludf.DUMMYFUNCTION("""COMPUTED_VALUE"""),330.0)</f>
        <v>330</v>
      </c>
      <c r="J280" s="18">
        <f>IFERROR(__xludf.DUMMYFUNCTION("""COMPUTED_VALUE"""),45.0)</f>
        <v>45</v>
      </c>
      <c r="K280" s="18" t="str">
        <f>IFERROR(__xludf.DUMMYFUNCTION("""COMPUTED_VALUE"""),"52.5")</f>
        <v>52.5</v>
      </c>
      <c r="L280" s="17">
        <f>IFERROR(__xludf.DUMMYFUNCTION("""COMPUTED_VALUE"""),3.115177645E9)</f>
        <v>3115177645</v>
      </c>
      <c r="M280" s="17" t="str">
        <f>IFERROR(__xludf.DUMMYFUNCTION("""COMPUTED_VALUE"""),"#REF!")</f>
        <v>#REF!</v>
      </c>
      <c r="N280" s="17"/>
      <c r="O280" s="19" t="str">
        <f>IFERROR(__xludf.DUMMYFUNCTION("""COMPUTED_VALUE"""),"")</f>
        <v/>
      </c>
      <c r="P280" s="17" t="b">
        <f>IFERROR(__xludf.DUMMYFUNCTION("""COMPUTED_VALUE"""),TRUE)</f>
        <v>1</v>
      </c>
      <c r="Q280" s="20">
        <f>IFERROR(__xludf.DUMMYFUNCTION("""COMPUTED_VALUE"""),45007.68167726852)</f>
        <v>45007.68168</v>
      </c>
      <c r="R280" s="22" t="str">
        <f>IFERROR(__xludf.DUMMYFUNCTION("""COMPUTED_VALUE"""),"")</f>
        <v/>
      </c>
    </row>
    <row r="281">
      <c r="A281" s="15">
        <f>IFERROR(__xludf.DUMMYFUNCTION("""COMPUTED_VALUE"""),45007.0)</f>
        <v>45007</v>
      </c>
      <c r="B281" s="16" t="str">
        <f>IFERROR(__xludf.DUMMYFUNCTION("""COMPUTED_VALUE"""),"Andrés Felipe Castillo Muñoz")</f>
        <v>Andrés Felipe Castillo Muñoz</v>
      </c>
      <c r="C281" s="15" t="str">
        <f>IFERROR(__xludf.DUMMYFUNCTION("""COMPUTED_VALUE"""),"MEDELLÍN")</f>
        <v>MEDELLÍN</v>
      </c>
      <c r="D281" s="15" t="str">
        <f>IFERROR(__xludf.DUMMYFUNCTION("""COMPUTED_VALUE"""),"BOGOTÁ")</f>
        <v>BOGOTÁ</v>
      </c>
      <c r="E281" s="15" t="str">
        <f>IFERROR(__xludf.DUMMYFUNCTION("""COMPUTED_VALUE"""),"Pan de Waffle")</f>
        <v>Pan de Waffle</v>
      </c>
      <c r="F281" s="17" t="str">
        <f>IFERROR(__xludf.DUMMYFUNCTION("""COMPUTED_VALUE"""),"Carrera 39 # 59 - 32 / Carrera 39 # 59 - 32 / Carrera 39 # 59 - 32")</f>
        <v>Carrera 39 # 59 - 32 / Carrera 39 # 59 - 32 / Carrera 39 # 59 - 32</v>
      </c>
      <c r="G281" s="15" t="str">
        <f>IFERROR(__xludf.DUMMYFUNCTION("""COMPUTED_VALUE"""),"FOODOLOGY MEDELLIN")</f>
        <v>FOODOLOGY MEDELLIN</v>
      </c>
      <c r="H281" s="18">
        <f>IFERROR(__xludf.DUMMYFUNCTION("""COMPUTED_VALUE"""),9051.0)</f>
        <v>9051</v>
      </c>
      <c r="I281" s="18">
        <f>IFERROR(__xludf.DUMMYFUNCTION("""COMPUTED_VALUE"""),40.0)</f>
        <v>40</v>
      </c>
      <c r="J281" s="18">
        <f>IFERROR(__xludf.DUMMYFUNCTION("""COMPUTED_VALUE"""),30.0)</f>
        <v>30</v>
      </c>
      <c r="K281" s="18">
        <f>IFERROR(__xludf.DUMMYFUNCTION("""COMPUTED_VALUE"""),40.0)</f>
        <v>40</v>
      </c>
      <c r="L281" s="17">
        <f>IFERROR(__xludf.DUMMYFUNCTION("""COMPUTED_VALUE"""),3.158323233E9)</f>
        <v>3158323233</v>
      </c>
      <c r="M281" s="17" t="str">
        <f>IFERROR(__xludf.DUMMYFUNCTION("""COMPUTED_VALUE"""),"#REF!")</f>
        <v>#REF!</v>
      </c>
      <c r="N281" s="17"/>
      <c r="O281" s="19" t="str">
        <f>IFERROR(__xludf.DUMMYFUNCTION("""COMPUTED_VALUE"""),"")</f>
        <v/>
      </c>
      <c r="P281" s="17" t="b">
        <f>IFERROR(__xludf.DUMMYFUNCTION("""COMPUTED_VALUE"""),FALSE)</f>
        <v>0</v>
      </c>
      <c r="Q281" s="20" t="str">
        <f>IFERROR(__xludf.DUMMYFUNCTION("""COMPUTED_VALUE"""),"")</f>
        <v/>
      </c>
      <c r="R281" s="22" t="str">
        <f>IFERROR(__xludf.DUMMYFUNCTION("""COMPUTED_VALUE"""),"")</f>
        <v/>
      </c>
    </row>
    <row r="282">
      <c r="A282" s="17" t="str">
        <f>IFERROR(__xludf.DUMMYFUNCTION("""COMPUTED_VALUE"""),"")</f>
        <v/>
      </c>
      <c r="B282" s="17" t="str">
        <f>IFERROR(__xludf.DUMMYFUNCTION("""COMPUTED_VALUE"""),"")</f>
        <v/>
      </c>
      <c r="C282" s="17" t="str">
        <f>IFERROR(__xludf.DUMMYFUNCTION("""COMPUTED_VALUE"""),"")</f>
        <v/>
      </c>
      <c r="D282" s="17" t="str">
        <f>IFERROR(__xludf.DUMMYFUNCTION("""COMPUTED_VALUE"""),"")</f>
        <v/>
      </c>
      <c r="E282" s="17" t="str">
        <f>IFERROR(__xludf.DUMMYFUNCTION("""COMPUTED_VALUE"""),"")</f>
        <v/>
      </c>
      <c r="F282" s="17" t="str">
        <f>IFERROR(__xludf.DUMMYFUNCTION("""COMPUTED_VALUE"""),"")</f>
        <v/>
      </c>
      <c r="G282" s="17" t="str">
        <f>IFERROR(__xludf.DUMMYFUNCTION("""COMPUTED_VALUE"""),"")</f>
        <v/>
      </c>
      <c r="H282" s="17" t="str">
        <f>IFERROR(__xludf.DUMMYFUNCTION("""COMPUTED_VALUE"""),"")</f>
        <v/>
      </c>
      <c r="I282" s="17" t="str">
        <f>IFERROR(__xludf.DUMMYFUNCTION("""COMPUTED_VALUE"""),"")</f>
        <v/>
      </c>
      <c r="J282" s="17" t="str">
        <f>IFERROR(__xludf.DUMMYFUNCTION("""COMPUTED_VALUE"""),"")</f>
        <v/>
      </c>
      <c r="K282" s="17" t="str">
        <f>IFERROR(__xludf.DUMMYFUNCTION("""COMPUTED_VALUE"""),"")</f>
        <v/>
      </c>
      <c r="L282" s="17" t="str">
        <f>IFERROR(__xludf.DUMMYFUNCTION("""COMPUTED_VALUE"""),"")</f>
        <v/>
      </c>
      <c r="M282" s="17" t="str">
        <f>IFERROR(__xludf.DUMMYFUNCTION("""COMPUTED_VALUE"""),"")</f>
        <v/>
      </c>
      <c r="N282" s="17" t="str">
        <f>IFERROR(__xludf.DUMMYFUNCTION("""COMPUTED_VALUE"""),"")</f>
        <v/>
      </c>
      <c r="O282" s="17" t="str">
        <f>IFERROR(__xludf.DUMMYFUNCTION("""COMPUTED_VALUE"""),"")</f>
        <v/>
      </c>
      <c r="P282" s="17" t="str">
        <f>IFERROR(__xludf.DUMMYFUNCTION("""COMPUTED_VALUE"""),"")</f>
        <v/>
      </c>
      <c r="Q282" s="17" t="str">
        <f>IFERROR(__xludf.DUMMYFUNCTION("""COMPUTED_VALUE"""),"")</f>
        <v/>
      </c>
      <c r="R282" s="17" t="str">
        <f>IFERROR(__xludf.DUMMYFUNCTION("""COMPUTED_VALUE"""),"")</f>
        <v/>
      </c>
    </row>
    <row r="283">
      <c r="A283" s="15">
        <f>IFERROR(__xludf.DUMMYFUNCTION("""COMPUTED_VALUE"""),45007.0)</f>
        <v>45007</v>
      </c>
      <c r="B283" s="16" t="str">
        <f>IFERROR(__xludf.DUMMYFUNCTION("""COMPUTED_VALUE"""),"Carlos Andres Pirachican Numpaque (Mayerli)")</f>
        <v>Carlos Andres Pirachican Numpaque (Mayerli)</v>
      </c>
      <c r="C283" s="15" t="str">
        <f>IFERROR(__xludf.DUMMYFUNCTION("""COMPUTED_VALUE"""),"MEDELLÍN")</f>
        <v>MEDELLÍN</v>
      </c>
      <c r="D283" s="15" t="str">
        <f>IFERROR(__xludf.DUMMYFUNCTION("""COMPUTED_VALUE"""),"BOGOTÁ")</f>
        <v>BOGOTÁ</v>
      </c>
      <c r="E283" s="15" t="str">
        <f>IFERROR(__xludf.DUMMYFUNCTION("""COMPUTED_VALUE"""),"Top Spun")</f>
        <v>Top Spun</v>
      </c>
      <c r="F283" s="17" t="str">
        <f>IFERROR(__xludf.DUMMYFUNCTION("""COMPUTED_VALUE"""),"Circular 74#39B 68 / Torre Laureles  / Barrio Laureles")</f>
        <v>Circular 74#39B 68 / Torre Laureles  / Barrio Laureles</v>
      </c>
      <c r="G283" s="15" t="str">
        <f>IFERROR(__xludf.DUMMYFUNCTION("""COMPUTED_VALUE"""),"Lilibeth  Seohanes")</f>
        <v>Lilibeth  Seohanes</v>
      </c>
      <c r="H283" s="18">
        <f>IFERROR(__xludf.DUMMYFUNCTION("""COMPUTED_VALUE"""),8964.0)</f>
        <v>8964</v>
      </c>
      <c r="I283" s="18">
        <f>IFERROR(__xludf.DUMMYFUNCTION("""COMPUTED_VALUE"""),20.0)</f>
        <v>20</v>
      </c>
      <c r="J283" s="18">
        <f>IFERROR(__xludf.DUMMYFUNCTION("""COMPUTED_VALUE"""),15.0)</f>
        <v>15</v>
      </c>
      <c r="K283" s="18">
        <f>IFERROR(__xludf.DUMMYFUNCTION("""COMPUTED_VALUE"""),40.0)</f>
        <v>40</v>
      </c>
      <c r="L283" s="17">
        <f>IFERROR(__xludf.DUMMYFUNCTION("""COMPUTED_VALUE"""),3.108399454E9)</f>
        <v>3108399454</v>
      </c>
      <c r="M283" s="17" t="str">
        <f>IFERROR(__xludf.DUMMYFUNCTION("""COMPUTED_VALUE"""),"#REF!")</f>
        <v>#REF!</v>
      </c>
      <c r="N283" s="17"/>
      <c r="O283" s="19" t="str">
        <f>IFERROR(__xludf.DUMMYFUNCTION("""COMPUTED_VALUE"""),"")</f>
        <v/>
      </c>
      <c r="P283" s="17" t="b">
        <f>IFERROR(__xludf.DUMMYFUNCTION("""COMPUTED_VALUE"""),TRUE)</f>
        <v>1</v>
      </c>
      <c r="Q283" s="20">
        <f>IFERROR(__xludf.DUMMYFUNCTION("""COMPUTED_VALUE"""),45007.427487395835)</f>
        <v>45007.42749</v>
      </c>
      <c r="R283" s="22" t="str">
        <f>IFERROR(__xludf.DUMMYFUNCTION("""COMPUTED_VALUE"""),"")</f>
        <v/>
      </c>
    </row>
    <row r="284">
      <c r="A284" s="15">
        <f>IFERROR(__xludf.DUMMYFUNCTION("""COMPUTED_VALUE"""),45007.0)</f>
        <v>45007</v>
      </c>
      <c r="B284" s="16" t="str">
        <f>IFERROR(__xludf.DUMMYFUNCTION("""COMPUTED_VALUE"""),"Carlos Andres Pirachican Numpaque (Mayerli)")</f>
        <v>Carlos Andres Pirachican Numpaque (Mayerli)</v>
      </c>
      <c r="C284" s="15" t="str">
        <f>IFERROR(__xludf.DUMMYFUNCTION("""COMPUTED_VALUE"""),"TUNJA")</f>
        <v>TUNJA</v>
      </c>
      <c r="D284" s="15" t="str">
        <f>IFERROR(__xludf.DUMMYFUNCTION("""COMPUTED_VALUE"""),"BOGOTÁ")</f>
        <v>BOGOTÁ</v>
      </c>
      <c r="E284" s="15" t="str">
        <f>IFERROR(__xludf.DUMMYFUNCTION("""COMPUTED_VALUE"""),"Evamazzita")</f>
        <v>Evamazzita</v>
      </c>
      <c r="F284" s="17" t="str">
        <f>IFERROR(__xludf.DUMMYFUNCTION("""COMPUTED_VALUE"""),"Calle 59 No. 2 este -58  / casa 5 Manzana D  / Condominio Campestre Santa Helena P.H")</f>
        <v>Calle 59 No. 2 este -58  / casa 5 Manzana D  / Condominio Campestre Santa Helena P.H</v>
      </c>
      <c r="G284" s="15" t="str">
        <f>IFERROR(__xludf.DUMMYFUNCTION("""COMPUTED_VALUE"""),"MARIA ALEJANDRA FUENTES ROJAS")</f>
        <v>MARIA ALEJANDRA FUENTES ROJAS</v>
      </c>
      <c r="H284" s="18">
        <f>IFERROR(__xludf.DUMMYFUNCTION("""COMPUTED_VALUE"""),9008.0)</f>
        <v>9008</v>
      </c>
      <c r="I284" s="18">
        <f>IFERROR(__xludf.DUMMYFUNCTION("""COMPUTED_VALUE"""),6.0)</f>
        <v>6</v>
      </c>
      <c r="J284" s="18">
        <f>IFERROR(__xludf.DUMMYFUNCTION("""COMPUTED_VALUE"""),21.0)</f>
        <v>21</v>
      </c>
      <c r="K284" s="18">
        <f>IFERROR(__xludf.DUMMYFUNCTION("""COMPUTED_VALUE"""),14.0)</f>
        <v>14</v>
      </c>
      <c r="L284" s="17">
        <f>IFERROR(__xludf.DUMMYFUNCTION("""COMPUTED_VALUE"""),3.202859097E9)</f>
        <v>3202859097</v>
      </c>
      <c r="M284" s="17" t="str">
        <f>IFERROR(__xludf.DUMMYFUNCTION("""COMPUTED_VALUE"""),"#REF!")</f>
        <v>#REF!</v>
      </c>
      <c r="N284" s="17"/>
      <c r="O284" s="19" t="str">
        <f>IFERROR(__xludf.DUMMYFUNCTION("""COMPUTED_VALUE"""),"")</f>
        <v/>
      </c>
      <c r="P284" s="17" t="b">
        <f>IFERROR(__xludf.DUMMYFUNCTION("""COMPUTED_VALUE"""),TRUE)</f>
        <v>1</v>
      </c>
      <c r="Q284" s="20">
        <f>IFERROR(__xludf.DUMMYFUNCTION("""COMPUTED_VALUE"""),45007.427487395835)</f>
        <v>45007.42749</v>
      </c>
      <c r="R284" s="22" t="str">
        <f>IFERROR(__xludf.DUMMYFUNCTION("""COMPUTED_VALUE"""),"")</f>
        <v/>
      </c>
    </row>
    <row r="285">
      <c r="A285" s="15">
        <f>IFERROR(__xludf.DUMMYFUNCTION("""COMPUTED_VALUE"""),45007.0)</f>
        <v>45007</v>
      </c>
      <c r="B285" s="16" t="str">
        <f>IFERROR(__xludf.DUMMYFUNCTION("""COMPUTED_VALUE"""),"Carlos Andres Pirachican Numpaque (Mayerli)")</f>
        <v>Carlos Andres Pirachican Numpaque (Mayerli)</v>
      </c>
      <c r="C285" s="15" t="str">
        <f>IFERROR(__xludf.DUMMYFUNCTION("""COMPUTED_VALUE"""),"TUNJA")</f>
        <v>TUNJA</v>
      </c>
      <c r="D285" s="15" t="str">
        <f>IFERROR(__xludf.DUMMYFUNCTION("""COMPUTED_VALUE"""),"BOGOTÁ")</f>
        <v>BOGOTÁ</v>
      </c>
      <c r="E285" s="15" t="str">
        <f>IFERROR(__xludf.DUMMYFUNCTION("""COMPUTED_VALUE"""),"Top Spun")</f>
        <v>Top Spun</v>
      </c>
      <c r="F285" s="17" t="str">
        <f>IFERROR(__xludf.DUMMYFUNCTION("""COMPUTED_VALUE"""),"Cra 8# 45a-91 / apto 201 / Barrio Los cristales  Tunja -Boyacá")</f>
        <v>Cra 8# 45a-91 / apto 201 / Barrio Los cristales  Tunja -Boyacá</v>
      </c>
      <c r="G285" s="15" t="str">
        <f>IFERROR(__xludf.DUMMYFUNCTION("""COMPUTED_VALUE"""),"Liliana Cifuentes")</f>
        <v>Liliana Cifuentes</v>
      </c>
      <c r="H285" s="18">
        <f>IFERROR(__xludf.DUMMYFUNCTION("""COMPUTED_VALUE"""),8978.0)</f>
        <v>8978</v>
      </c>
      <c r="I285" s="18">
        <f>IFERROR(__xludf.DUMMYFUNCTION("""COMPUTED_VALUE"""),20.0)</f>
        <v>20</v>
      </c>
      <c r="J285" s="18">
        <f>IFERROR(__xludf.DUMMYFUNCTION("""COMPUTED_VALUE"""),10.0)</f>
        <v>10</v>
      </c>
      <c r="K285" s="18">
        <f>IFERROR(__xludf.DUMMYFUNCTION("""COMPUTED_VALUE"""),40.0)</f>
        <v>40</v>
      </c>
      <c r="L285" s="17">
        <f>IFERROR(__xludf.DUMMYFUNCTION("""COMPUTED_VALUE"""),3.044603065E9)</f>
        <v>3044603065</v>
      </c>
      <c r="M285" s="17" t="str">
        <f>IFERROR(__xludf.DUMMYFUNCTION("""COMPUTED_VALUE"""),"#REF!")</f>
        <v>#REF!</v>
      </c>
      <c r="N285" s="17"/>
      <c r="O285" s="19" t="str">
        <f>IFERROR(__xludf.DUMMYFUNCTION("""COMPUTED_VALUE"""),"")</f>
        <v/>
      </c>
      <c r="P285" s="17" t="b">
        <f>IFERROR(__xludf.DUMMYFUNCTION("""COMPUTED_VALUE"""),FALSE)</f>
        <v>0</v>
      </c>
      <c r="Q285" s="20" t="str">
        <f>IFERROR(__xludf.DUMMYFUNCTION("""COMPUTED_VALUE"""),"")</f>
        <v/>
      </c>
      <c r="R285" s="22" t="str">
        <f>IFERROR(__xludf.DUMMYFUNCTION("""COMPUTED_VALUE"""),"")</f>
        <v/>
      </c>
    </row>
    <row r="286">
      <c r="A286" s="17" t="str">
        <f>IFERROR(__xludf.DUMMYFUNCTION("""COMPUTED_VALUE"""),"")</f>
        <v/>
      </c>
      <c r="B286" s="17" t="str">
        <f>IFERROR(__xludf.DUMMYFUNCTION("""COMPUTED_VALUE"""),"")</f>
        <v/>
      </c>
      <c r="C286" s="17" t="str">
        <f>IFERROR(__xludf.DUMMYFUNCTION("""COMPUTED_VALUE"""),"")</f>
        <v/>
      </c>
      <c r="D286" s="17" t="str">
        <f>IFERROR(__xludf.DUMMYFUNCTION("""COMPUTED_VALUE"""),"")</f>
        <v/>
      </c>
      <c r="E286" s="17" t="str">
        <f>IFERROR(__xludf.DUMMYFUNCTION("""COMPUTED_VALUE"""),"")</f>
        <v/>
      </c>
      <c r="F286" s="17" t="str">
        <f>IFERROR(__xludf.DUMMYFUNCTION("""COMPUTED_VALUE"""),"")</f>
        <v/>
      </c>
      <c r="G286" s="17" t="str">
        <f>IFERROR(__xludf.DUMMYFUNCTION("""COMPUTED_VALUE"""),"")</f>
        <v/>
      </c>
      <c r="H286" s="17" t="str">
        <f>IFERROR(__xludf.DUMMYFUNCTION("""COMPUTED_VALUE"""),"")</f>
        <v/>
      </c>
      <c r="I286" s="17" t="str">
        <f>IFERROR(__xludf.DUMMYFUNCTION("""COMPUTED_VALUE"""),"")</f>
        <v/>
      </c>
      <c r="J286" s="17" t="str">
        <f>IFERROR(__xludf.DUMMYFUNCTION("""COMPUTED_VALUE"""),"")</f>
        <v/>
      </c>
      <c r="K286" s="17" t="str">
        <f>IFERROR(__xludf.DUMMYFUNCTION("""COMPUTED_VALUE"""),"")</f>
        <v/>
      </c>
      <c r="L286" s="17" t="str">
        <f>IFERROR(__xludf.DUMMYFUNCTION("""COMPUTED_VALUE"""),"")</f>
        <v/>
      </c>
      <c r="M286" s="17" t="str">
        <f>IFERROR(__xludf.DUMMYFUNCTION("""COMPUTED_VALUE"""),"")</f>
        <v/>
      </c>
      <c r="N286" s="17" t="str">
        <f>IFERROR(__xludf.DUMMYFUNCTION("""COMPUTED_VALUE"""),"")</f>
        <v/>
      </c>
      <c r="O286" s="17" t="str">
        <f>IFERROR(__xludf.DUMMYFUNCTION("""COMPUTED_VALUE"""),"")</f>
        <v/>
      </c>
      <c r="P286" s="17" t="str">
        <f>IFERROR(__xludf.DUMMYFUNCTION("""COMPUTED_VALUE"""),"")</f>
        <v/>
      </c>
      <c r="Q286" s="17" t="str">
        <f>IFERROR(__xludf.DUMMYFUNCTION("""COMPUTED_VALUE"""),"")</f>
        <v/>
      </c>
      <c r="R286" s="17" t="str">
        <f>IFERROR(__xludf.DUMMYFUNCTION("""COMPUTED_VALUE"""),"")</f>
        <v/>
      </c>
    </row>
    <row r="287">
      <c r="A287" s="15">
        <f>IFERROR(__xludf.DUMMYFUNCTION("""COMPUTED_VALUE"""),45007.0)</f>
        <v>45007</v>
      </c>
      <c r="B287" s="16" t="str">
        <f>IFERROR(__xludf.DUMMYFUNCTION("""COMPUTED_VALUE"""),"Deivi Alejandro Quintero Corrales")</f>
        <v>Deivi Alejandro Quintero Corrales</v>
      </c>
      <c r="C287" s="15" t="str">
        <f>IFERROR(__xludf.DUMMYFUNCTION("""COMPUTED_VALUE"""),"ARMENIA")</f>
        <v>ARMENIA</v>
      </c>
      <c r="D287" s="15" t="str">
        <f>IFERROR(__xludf.DUMMYFUNCTION("""COMPUTED_VALUE"""),"MEDELLÍN")</f>
        <v>MEDELLÍN</v>
      </c>
      <c r="E287" s="15" t="str">
        <f>IFERROR(__xludf.DUMMYFUNCTION("""COMPUTED_VALUE"""),"Rambla")</f>
        <v>Rambla</v>
      </c>
      <c r="F287" s="17" t="str">
        <f>IFERROR(__xludf.DUMMYFUNCTION("""COMPUTED_VALUE"""),"Cra 15 #22 norte 77 ed. Oasis de laureles local 1316 deagonal al teatro de la cruz roja Armenia / na / na")</f>
        <v>Cra 15 #22 norte 77 ed. Oasis de laureles local 1316 deagonal al teatro de la cruz roja Armenia / na / na</v>
      </c>
      <c r="G287" s="15" t="str">
        <f>IFERROR(__xludf.DUMMYFUNCTION("""COMPUTED_VALUE"""),"Tienda Fitness Eco")</f>
        <v>Tienda Fitness Eco</v>
      </c>
      <c r="H287" s="18">
        <f>IFERROR(__xludf.DUMMYFUNCTION("""COMPUTED_VALUE"""),9063.0)</f>
        <v>9063</v>
      </c>
      <c r="I287" s="18">
        <f>IFERROR(__xludf.DUMMYFUNCTION("""COMPUTED_VALUE"""),23.0)</f>
        <v>23</v>
      </c>
      <c r="J287" s="18">
        <f>IFERROR(__xludf.DUMMYFUNCTION("""COMPUTED_VALUE"""),24.0)</f>
        <v>24</v>
      </c>
      <c r="K287" s="18">
        <f>IFERROR(__xludf.DUMMYFUNCTION("""COMPUTED_VALUE"""),27.0)</f>
        <v>27</v>
      </c>
      <c r="L287" s="17">
        <f>IFERROR(__xludf.DUMMYFUNCTION("""COMPUTED_VALUE"""),3.217007417E9)</f>
        <v>3217007417</v>
      </c>
      <c r="M287" s="17" t="str">
        <f>IFERROR(__xludf.DUMMYFUNCTION("""COMPUTED_VALUE"""),"#REF!")</f>
        <v>#REF!</v>
      </c>
      <c r="N287" s="17"/>
      <c r="O287" s="19" t="str">
        <f>IFERROR(__xludf.DUMMYFUNCTION("""COMPUTED_VALUE"""),"")</f>
        <v/>
      </c>
      <c r="P287" s="17" t="b">
        <f>IFERROR(__xludf.DUMMYFUNCTION("""COMPUTED_VALUE"""),TRUE)</f>
        <v>1</v>
      </c>
      <c r="Q287" s="20">
        <f>IFERROR(__xludf.DUMMYFUNCTION("""COMPUTED_VALUE"""),45007.68167726852)</f>
        <v>45007.68168</v>
      </c>
      <c r="R287" s="22" t="str">
        <f>IFERROR(__xludf.DUMMYFUNCTION("""COMPUTED_VALUE"""),"")</f>
        <v/>
      </c>
    </row>
    <row r="288">
      <c r="A288" s="15">
        <f>IFERROR(__xludf.DUMMYFUNCTION("""COMPUTED_VALUE"""),45007.0)</f>
        <v>45007</v>
      </c>
      <c r="B288" s="16" t="str">
        <f>IFERROR(__xludf.DUMMYFUNCTION("""COMPUTED_VALUE"""),"Deivi Alejandro Quintero Corrales")</f>
        <v>Deivi Alejandro Quintero Corrales</v>
      </c>
      <c r="C288" s="15" t="str">
        <f>IFERROR(__xludf.DUMMYFUNCTION("""COMPUTED_VALUE"""),"PEREIRA")</f>
        <v>PEREIRA</v>
      </c>
      <c r="D288" s="15" t="str">
        <f>IFERROR(__xludf.DUMMYFUNCTION("""COMPUTED_VALUE"""),"BOGOTÁ")</f>
        <v>BOGOTÁ</v>
      </c>
      <c r="E288" s="15" t="str">
        <f>IFERROR(__xludf.DUMMYFUNCTION("""COMPUTED_VALUE"""),"Asociacion Agropecuaria Juana Maria")</f>
        <v>Asociacion Agropecuaria Juana Maria</v>
      </c>
      <c r="F288" s="17" t="str">
        <f>IFERROR(__xludf.DUMMYFUNCTION("""COMPUTED_VALUE"""),"Calle 153 # 23 -41 manzana 1 casa 9 sol de Galicia")</f>
        <v>Calle 153 # 23 -41 manzana 1 casa 9 sol de Galicia</v>
      </c>
      <c r="G288" s="15" t="str">
        <f>IFERROR(__xludf.DUMMYFUNCTION("""COMPUTED_VALUE"""),"Paula Andrea Forero")</f>
        <v>Paula Andrea Forero</v>
      </c>
      <c r="H288" s="18">
        <f>IFERROR(__xludf.DUMMYFUNCTION("""COMPUTED_VALUE"""),8991.0)</f>
        <v>8991</v>
      </c>
      <c r="I288" s="18">
        <f>IFERROR(__xludf.DUMMYFUNCTION("""COMPUTED_VALUE"""),21.0)</f>
        <v>21</v>
      </c>
      <c r="J288" s="18">
        <f>IFERROR(__xludf.DUMMYFUNCTION("""COMPUTED_VALUE"""),37.0)</f>
        <v>37</v>
      </c>
      <c r="K288" s="18">
        <f>IFERROR(__xludf.DUMMYFUNCTION("""COMPUTED_VALUE"""),30.0)</f>
        <v>30</v>
      </c>
      <c r="L288" s="17">
        <f>IFERROR(__xludf.DUMMYFUNCTION("""COMPUTED_VALUE"""),3.115760231E9)</f>
        <v>3115760231</v>
      </c>
      <c r="M288" s="17" t="str">
        <f>IFERROR(__xludf.DUMMYFUNCTION("""COMPUTED_VALUE"""),"#REF!")</f>
        <v>#REF!</v>
      </c>
      <c r="N288" s="17"/>
      <c r="O288" s="19" t="str">
        <f>IFERROR(__xludf.DUMMYFUNCTION("""COMPUTED_VALUE"""),"")</f>
        <v/>
      </c>
      <c r="P288" s="17" t="b">
        <f>IFERROR(__xludf.DUMMYFUNCTION("""COMPUTED_VALUE"""),TRUE)</f>
        <v>1</v>
      </c>
      <c r="Q288" s="20">
        <f>IFERROR(__xludf.DUMMYFUNCTION("""COMPUTED_VALUE"""),45007.68167726852)</f>
        <v>45007.68168</v>
      </c>
      <c r="R288" s="22" t="str">
        <f>IFERROR(__xludf.DUMMYFUNCTION("""COMPUTED_VALUE"""),"")</f>
        <v/>
      </c>
    </row>
    <row r="289">
      <c r="A289" s="15">
        <f>IFERROR(__xludf.DUMMYFUNCTION("""COMPUTED_VALUE"""),45007.0)</f>
        <v>45007</v>
      </c>
      <c r="B289" s="16" t="str">
        <f>IFERROR(__xludf.DUMMYFUNCTION("""COMPUTED_VALUE"""),"Deivi Alejandro Quintero Corrales")</f>
        <v>Deivi Alejandro Quintero Corrales</v>
      </c>
      <c r="C289" s="15" t="str">
        <f>IFERROR(__xludf.DUMMYFUNCTION("""COMPUTED_VALUE"""),"PEREIRA")</f>
        <v>PEREIRA</v>
      </c>
      <c r="D289" s="15" t="str">
        <f>IFERROR(__xludf.DUMMYFUNCTION("""COMPUTED_VALUE"""),"BOGOTÁ")</f>
        <v>BOGOTÁ</v>
      </c>
      <c r="E289" s="15" t="str">
        <f>IFERROR(__xludf.DUMMYFUNCTION("""COMPUTED_VALUE"""),"Evamazzita")</f>
        <v>Evamazzita</v>
      </c>
      <c r="F289" s="17" t="str">
        <f>IFERROR(__xludf.DUMMYFUNCTION("""COMPUTED_VALUE"""),"CALLE 153 # 23 - 41  / SOL DE GALICIA MZ 1 CASA 9 / GALICIA")</f>
        <v>CALLE 153 # 23 - 41  / SOL DE GALICIA MZ 1 CASA 9 / GALICIA</v>
      </c>
      <c r="G289" s="15" t="str">
        <f>IFERROR(__xludf.DUMMYFUNCTION("""COMPUTED_VALUE"""),"PAULA FORERO")</f>
        <v>PAULA FORERO</v>
      </c>
      <c r="H289" s="18">
        <f>IFERROR(__xludf.DUMMYFUNCTION("""COMPUTED_VALUE"""),9039.0)</f>
        <v>9039</v>
      </c>
      <c r="I289" s="18">
        <f>IFERROR(__xludf.DUMMYFUNCTION("""COMPUTED_VALUE"""),22.0)</f>
        <v>22</v>
      </c>
      <c r="J289" s="18">
        <f>IFERROR(__xludf.DUMMYFUNCTION("""COMPUTED_VALUE"""),26.0)</f>
        <v>26</v>
      </c>
      <c r="K289" s="18">
        <f>IFERROR(__xludf.DUMMYFUNCTION("""COMPUTED_VALUE"""),16.0)</f>
        <v>16</v>
      </c>
      <c r="L289" s="17">
        <f>IFERROR(__xludf.DUMMYFUNCTION("""COMPUTED_VALUE"""),3.115760231E9)</f>
        <v>3115760231</v>
      </c>
      <c r="M289" s="17" t="str">
        <f>IFERROR(__xludf.DUMMYFUNCTION("""COMPUTED_VALUE"""),"#REF!")</f>
        <v>#REF!</v>
      </c>
      <c r="N289" s="17"/>
      <c r="O289" s="19" t="str">
        <f>IFERROR(__xludf.DUMMYFUNCTION("""COMPUTED_VALUE"""),"")</f>
        <v/>
      </c>
      <c r="P289" s="17" t="b">
        <f>IFERROR(__xludf.DUMMYFUNCTION("""COMPUTED_VALUE"""),TRUE)</f>
        <v>1</v>
      </c>
      <c r="Q289" s="20">
        <f>IFERROR(__xludf.DUMMYFUNCTION("""COMPUTED_VALUE"""),45007.68167726852)</f>
        <v>45007.68168</v>
      </c>
      <c r="R289" s="22" t="str">
        <f>IFERROR(__xludf.DUMMYFUNCTION("""COMPUTED_VALUE"""),"")</f>
        <v/>
      </c>
    </row>
    <row r="290">
      <c r="A290" s="15">
        <f>IFERROR(__xludf.DUMMYFUNCTION("""COMPUTED_VALUE"""),45007.0)</f>
        <v>45007</v>
      </c>
      <c r="B290" s="16" t="str">
        <f>IFERROR(__xludf.DUMMYFUNCTION("""COMPUTED_VALUE"""),"Deivi Alejandro Quintero Corrales")</f>
        <v>Deivi Alejandro Quintero Corrales</v>
      </c>
      <c r="C290" s="15" t="str">
        <f>IFERROR(__xludf.DUMMYFUNCTION("""COMPUTED_VALUE"""),"PEREIRA")</f>
        <v>PEREIRA</v>
      </c>
      <c r="D290" s="15" t="str">
        <f>IFERROR(__xludf.DUMMYFUNCTION("""COMPUTED_VALUE"""),"BOGOTÁ")</f>
        <v>BOGOTÁ</v>
      </c>
      <c r="E290" s="15" t="str">
        <f>IFERROR(__xludf.DUMMYFUNCTION("""COMPUTED_VALUE"""),"Evamazzita")</f>
        <v>Evamazzita</v>
      </c>
      <c r="F290" s="17" t="str">
        <f>IFERROR(__xludf.DUMMYFUNCTION("""COMPUTED_VALUE"""),"LOS CEDROS  / BLOQUE 10A APTO. 503 / BARRIO EL JARDÍN 2 ETAPA")</f>
        <v>LOS CEDROS  / BLOQUE 10A APTO. 503 / BARRIO EL JARDÍN 2 ETAPA</v>
      </c>
      <c r="G290" s="15" t="str">
        <f>IFERROR(__xludf.DUMMYFUNCTION("""COMPUTED_VALUE"""),"SARA RODAS")</f>
        <v>SARA RODAS</v>
      </c>
      <c r="H290" s="18">
        <f>IFERROR(__xludf.DUMMYFUNCTION("""COMPUTED_VALUE"""),9007.0)</f>
        <v>9007</v>
      </c>
      <c r="I290" s="18">
        <f>IFERROR(__xludf.DUMMYFUNCTION("""COMPUTED_VALUE"""),8.0)</f>
        <v>8</v>
      </c>
      <c r="J290" s="18">
        <f>IFERROR(__xludf.DUMMYFUNCTION("""COMPUTED_VALUE"""),17.0)</f>
        <v>17</v>
      </c>
      <c r="K290" s="18">
        <f>IFERROR(__xludf.DUMMYFUNCTION("""COMPUTED_VALUE"""),12.0)</f>
        <v>12</v>
      </c>
      <c r="L290" s="17">
        <f>IFERROR(__xludf.DUMMYFUNCTION("""COMPUTED_VALUE"""),3.135710605E9)</f>
        <v>3135710605</v>
      </c>
      <c r="M290" s="17" t="str">
        <f>IFERROR(__xludf.DUMMYFUNCTION("""COMPUTED_VALUE"""),"#REF!")</f>
        <v>#REF!</v>
      </c>
      <c r="N290" s="17"/>
      <c r="O290" s="19" t="str">
        <f>IFERROR(__xludf.DUMMYFUNCTION("""COMPUTED_VALUE"""),"")</f>
        <v/>
      </c>
      <c r="P290" s="17" t="b">
        <f>IFERROR(__xludf.DUMMYFUNCTION("""COMPUTED_VALUE"""),TRUE)</f>
        <v>1</v>
      </c>
      <c r="Q290" s="20">
        <f>IFERROR(__xludf.DUMMYFUNCTION("""COMPUTED_VALUE"""),45007.68167726852)</f>
        <v>45007.68168</v>
      </c>
      <c r="R290" s="22" t="str">
        <f>IFERROR(__xludf.DUMMYFUNCTION("""COMPUTED_VALUE"""),"")</f>
        <v/>
      </c>
    </row>
    <row r="291">
      <c r="A291" s="15">
        <f>IFERROR(__xludf.DUMMYFUNCTION("""COMPUTED_VALUE"""),45007.0)</f>
        <v>45007</v>
      </c>
      <c r="B291" s="16" t="str">
        <f>IFERROR(__xludf.DUMMYFUNCTION("""COMPUTED_VALUE"""),"Deivi Alejandro Quintero Corrales")</f>
        <v>Deivi Alejandro Quintero Corrales</v>
      </c>
      <c r="C291" s="15" t="str">
        <f>IFERROR(__xludf.DUMMYFUNCTION("""COMPUTED_VALUE"""),"PEREIRA")</f>
        <v>PEREIRA</v>
      </c>
      <c r="D291" s="15" t="str">
        <f>IFERROR(__xludf.DUMMYFUNCTION("""COMPUTED_VALUE"""),"BOGOTÁ")</f>
        <v>BOGOTÁ</v>
      </c>
      <c r="E291" s="15" t="str">
        <f>IFERROR(__xludf.DUMMYFUNCTION("""COMPUTED_VALUE"""),"Lunchy Kids")</f>
        <v>Lunchy Kids</v>
      </c>
      <c r="F291" s="17" t="str">
        <f>IFERROR(__xludf.DUMMYFUNCTION("""COMPUTED_VALUE"""),"Mz 19. Casa 22. / Urbanización  / Colinas del Bosque")</f>
        <v>Mz 19. Casa 22. / Urbanización  / Colinas del Bosque</v>
      </c>
      <c r="G291" s="15" t="str">
        <f>IFERROR(__xludf.DUMMYFUNCTION("""COMPUTED_VALUE"""),"Viviana Jaramillo")</f>
        <v>Viviana Jaramillo</v>
      </c>
      <c r="H291" s="18">
        <f>IFERROR(__xludf.DUMMYFUNCTION("""COMPUTED_VALUE"""),8996.0)</f>
        <v>8996</v>
      </c>
      <c r="I291" s="18">
        <f>IFERROR(__xludf.DUMMYFUNCTION("""COMPUTED_VALUE"""),30.0)</f>
        <v>30</v>
      </c>
      <c r="J291" s="18">
        <f>IFERROR(__xludf.DUMMYFUNCTION("""COMPUTED_VALUE"""),7.0)</f>
        <v>7</v>
      </c>
      <c r="K291" s="18">
        <f>IFERROR(__xludf.DUMMYFUNCTION("""COMPUTED_VALUE"""),30.0)</f>
        <v>30</v>
      </c>
      <c r="L291" s="17">
        <f>IFERROR(__xludf.DUMMYFUNCTION("""COMPUTED_VALUE"""),3.136551321E9)</f>
        <v>3136551321</v>
      </c>
      <c r="M291" s="17" t="str">
        <f>IFERROR(__xludf.DUMMYFUNCTION("""COMPUTED_VALUE"""),"#REF!")</f>
        <v>#REF!</v>
      </c>
      <c r="N291" s="17"/>
      <c r="O291" s="19" t="str">
        <f>IFERROR(__xludf.DUMMYFUNCTION("""COMPUTED_VALUE"""),"")</f>
        <v/>
      </c>
      <c r="P291" s="17" t="b">
        <f>IFERROR(__xludf.DUMMYFUNCTION("""COMPUTED_VALUE"""),TRUE)</f>
        <v>1</v>
      </c>
      <c r="Q291" s="20">
        <f>IFERROR(__xludf.DUMMYFUNCTION("""COMPUTED_VALUE"""),45007.68167726852)</f>
        <v>45007.68168</v>
      </c>
      <c r="R291" s="22" t="str">
        <f>IFERROR(__xludf.DUMMYFUNCTION("""COMPUTED_VALUE"""),"")</f>
        <v/>
      </c>
    </row>
    <row r="292">
      <c r="A292" s="15">
        <f>IFERROR(__xludf.DUMMYFUNCTION("""COMPUTED_VALUE"""),45007.0)</f>
        <v>45007</v>
      </c>
      <c r="B292" s="16" t="str">
        <f>IFERROR(__xludf.DUMMYFUNCTION("""COMPUTED_VALUE"""),"Deivi Alejandro Quintero Corrales")</f>
        <v>Deivi Alejandro Quintero Corrales</v>
      </c>
      <c r="C292" s="15" t="str">
        <f>IFERROR(__xludf.DUMMYFUNCTION("""COMPUTED_VALUE"""),"PEREIRA")</f>
        <v>PEREIRA</v>
      </c>
      <c r="D292" s="15" t="str">
        <f>IFERROR(__xludf.DUMMYFUNCTION("""COMPUTED_VALUE"""),"BOGOTÁ")</f>
        <v>BOGOTÁ</v>
      </c>
      <c r="E292" s="15" t="str">
        <f>IFERROR(__xludf.DUMMYFUNCTION("""COMPUTED_VALUE"""),"Pan de Waffle")</f>
        <v>Pan de Waffle</v>
      </c>
      <c r="F292" s="17" t="str">
        <f>IFERROR(__xludf.DUMMYFUNCTION("""COMPUTED_VALUE"""),"Calle 35 # 11 - 41 Local 43 Conjunto Las Garzas  / Calle 35 # 11 - 41 Local 43 Conjunto Las Garzas  / Calle 35 # 11 - 41 Local 43 Conjunto Las Garzas")</f>
        <v>Calle 35 # 11 - 41 Local 43 Conjunto Las Garzas  / Calle 35 # 11 - 41 Local 43 Conjunto Las Garzas  / Calle 35 # 11 - 41 Local 43 Conjunto Las Garzas</v>
      </c>
      <c r="G292" s="15" t="str">
        <f>IFERROR(__xludf.DUMMYFUNCTION("""COMPUTED_VALUE"""),"NATURALE SANTIAGO MARTINEZ")</f>
        <v>NATURALE SANTIAGO MARTINEZ</v>
      </c>
      <c r="H292" s="18">
        <f>IFERROR(__xludf.DUMMYFUNCTION("""COMPUTED_VALUE"""),9054.0)</f>
        <v>9054</v>
      </c>
      <c r="I292" s="18">
        <f>IFERROR(__xludf.DUMMYFUNCTION("""COMPUTED_VALUE"""),40.0)</f>
        <v>40</v>
      </c>
      <c r="J292" s="18">
        <f>IFERROR(__xludf.DUMMYFUNCTION("""COMPUTED_VALUE"""),30.0)</f>
        <v>30</v>
      </c>
      <c r="K292" s="18">
        <f>IFERROR(__xludf.DUMMYFUNCTION("""COMPUTED_VALUE"""),40.0)</f>
        <v>40</v>
      </c>
      <c r="L292" s="17">
        <f>IFERROR(__xludf.DUMMYFUNCTION("""COMPUTED_VALUE"""),3.136850381E9)</f>
        <v>3136850381</v>
      </c>
      <c r="M292" s="17" t="str">
        <f>IFERROR(__xludf.DUMMYFUNCTION("""COMPUTED_VALUE"""),"#REF!")</f>
        <v>#REF!</v>
      </c>
      <c r="N292" s="17"/>
      <c r="O292" s="19" t="str">
        <f>IFERROR(__xludf.DUMMYFUNCTION("""COMPUTED_VALUE"""),"")</f>
        <v/>
      </c>
      <c r="P292" s="17" t="b">
        <f>IFERROR(__xludf.DUMMYFUNCTION("""COMPUTED_VALUE"""),TRUE)</f>
        <v>1</v>
      </c>
      <c r="Q292" s="20">
        <f>IFERROR(__xludf.DUMMYFUNCTION("""COMPUTED_VALUE"""),45007.811495891205)</f>
        <v>45007.8115</v>
      </c>
      <c r="R292" s="22" t="str">
        <f>IFERROR(__xludf.DUMMYFUNCTION("""COMPUTED_VALUE"""),"")</f>
        <v/>
      </c>
    </row>
    <row r="293">
      <c r="A293" s="15">
        <f>IFERROR(__xludf.DUMMYFUNCTION("""COMPUTED_VALUE"""),45007.0)</f>
        <v>45007</v>
      </c>
      <c r="B293" s="16" t="str">
        <f>IFERROR(__xludf.DUMMYFUNCTION("""COMPUTED_VALUE"""),"Deivi Alejandro Quintero Corrales")</f>
        <v>Deivi Alejandro Quintero Corrales</v>
      </c>
      <c r="C293" s="15" t="str">
        <f>IFERROR(__xludf.DUMMYFUNCTION("""COMPUTED_VALUE"""),"PEREIRA")</f>
        <v>PEREIRA</v>
      </c>
      <c r="D293" s="15" t="str">
        <f>IFERROR(__xludf.DUMMYFUNCTION("""COMPUTED_VALUE"""),"MEDELLÍN")</f>
        <v>MEDELLÍN</v>
      </c>
      <c r="E293" s="15" t="str">
        <f>IFERROR(__xludf.DUMMYFUNCTION("""COMPUTED_VALUE"""),"Baby Chef")</f>
        <v>Baby Chef</v>
      </c>
      <c r="F293" s="17" t="str">
        <f>IFERROR(__xludf.DUMMYFUNCTION("""COMPUTED_VALUE"""),"Avenida sur #36A-87 conjunto palma Apartamento 605 57 Pereira Risaralda Colombia / conjunto palma Apartamento 605   / perira")</f>
        <v>Avenida sur #36A-87 conjunto palma Apartamento 605 57 Pereira Risaralda Colombia / conjunto palma Apartamento 605   / perira</v>
      </c>
      <c r="G293" s="15" t="str">
        <f>IFERROR(__xludf.DUMMYFUNCTION("""COMPUTED_VALUE"""),"Jessica Alzate palacio")</f>
        <v>Jessica Alzate palacio</v>
      </c>
      <c r="H293" s="18">
        <f>IFERROR(__xludf.DUMMYFUNCTION("""COMPUTED_VALUE"""),9036.0)</f>
        <v>9036</v>
      </c>
      <c r="I293" s="18">
        <f>IFERROR(__xludf.DUMMYFUNCTION("""COMPUTED_VALUE"""),8.0)</f>
        <v>8</v>
      </c>
      <c r="J293" s="18">
        <f>IFERROR(__xludf.DUMMYFUNCTION("""COMPUTED_VALUE"""),16.0)</f>
        <v>16</v>
      </c>
      <c r="K293" s="18">
        <f>IFERROR(__xludf.DUMMYFUNCTION("""COMPUTED_VALUE"""),20.0)</f>
        <v>20</v>
      </c>
      <c r="L293" s="17">
        <f>IFERROR(__xludf.DUMMYFUNCTION("""COMPUTED_VALUE"""),3.113924059E9)</f>
        <v>3113924059</v>
      </c>
      <c r="M293" s="17" t="str">
        <f>IFERROR(__xludf.DUMMYFUNCTION("""COMPUTED_VALUE"""),"#REF!")</f>
        <v>#REF!</v>
      </c>
      <c r="N293" s="17"/>
      <c r="O293" s="19" t="str">
        <f>IFERROR(__xludf.DUMMYFUNCTION("""COMPUTED_VALUE"""),"")</f>
        <v/>
      </c>
      <c r="P293" s="17" t="b">
        <f>IFERROR(__xludf.DUMMYFUNCTION("""COMPUTED_VALUE"""),TRUE)</f>
        <v>1</v>
      </c>
      <c r="Q293" s="20">
        <f>IFERROR(__xludf.DUMMYFUNCTION("""COMPUTED_VALUE"""),45007.68167726852)</f>
        <v>45007.68168</v>
      </c>
      <c r="R293" s="22" t="str">
        <f>IFERROR(__xludf.DUMMYFUNCTION("""COMPUTED_VALUE"""),"")</f>
        <v/>
      </c>
    </row>
    <row r="294">
      <c r="A294" s="15">
        <f>IFERROR(__xludf.DUMMYFUNCTION("""COMPUTED_VALUE"""),45007.0)</f>
        <v>45007</v>
      </c>
      <c r="B294" s="16" t="str">
        <f>IFERROR(__xludf.DUMMYFUNCTION("""COMPUTED_VALUE"""),"Deivi Alejandro Quintero Corrales")</f>
        <v>Deivi Alejandro Quintero Corrales</v>
      </c>
      <c r="C294" s="15" t="str">
        <f>IFERROR(__xludf.DUMMYFUNCTION("""COMPUTED_VALUE"""),"PEREIRA")</f>
        <v>PEREIRA</v>
      </c>
      <c r="D294" s="15" t="str">
        <f>IFERROR(__xludf.DUMMYFUNCTION("""COMPUTED_VALUE"""),"MEDELLÍN")</f>
        <v>MEDELLÍN</v>
      </c>
      <c r="E294" s="15" t="str">
        <f>IFERROR(__xludf.DUMMYFUNCTION("""COMPUTED_VALUE"""),"Baby Chef")</f>
        <v>Baby Chef</v>
      </c>
      <c r="F294" s="17" t="str">
        <f>IFERROR(__xludf.DUMMYFUNCTION("""COMPUTED_VALUE"""),"Carrera 38 # 86-187 San jose de las villas etapa 5 casa 43 /  San jose de las villas etapa 5 casa 43 / pereira")</f>
        <v>Carrera 38 # 86-187 San jose de las villas etapa 5 casa 43 /  San jose de las villas etapa 5 casa 43 / pereira</v>
      </c>
      <c r="G294" s="15" t="str">
        <f>IFERROR(__xludf.DUMMYFUNCTION("""COMPUTED_VALUE"""),"Alejandra  Lopretto")</f>
        <v>Alejandra  Lopretto</v>
      </c>
      <c r="H294" s="18">
        <f>IFERROR(__xludf.DUMMYFUNCTION("""COMPUTED_VALUE"""),9037.0)</f>
        <v>9037</v>
      </c>
      <c r="I294" s="18">
        <f>IFERROR(__xludf.DUMMYFUNCTION("""COMPUTED_VALUE"""),8.0)</f>
        <v>8</v>
      </c>
      <c r="J294" s="18">
        <f>IFERROR(__xludf.DUMMYFUNCTION("""COMPUTED_VALUE"""),16.0)</f>
        <v>16</v>
      </c>
      <c r="K294" s="18">
        <f>IFERROR(__xludf.DUMMYFUNCTION("""COMPUTED_VALUE"""),20.0)</f>
        <v>20</v>
      </c>
      <c r="L294" s="17">
        <f>IFERROR(__xludf.DUMMYFUNCTION("""COMPUTED_VALUE"""),3.164739227E9)</f>
        <v>3164739227</v>
      </c>
      <c r="M294" s="17" t="str">
        <f>IFERROR(__xludf.DUMMYFUNCTION("""COMPUTED_VALUE"""),"#REF!")</f>
        <v>#REF!</v>
      </c>
      <c r="N294" s="17"/>
      <c r="O294" s="19" t="str">
        <f>IFERROR(__xludf.DUMMYFUNCTION("""COMPUTED_VALUE"""),"")</f>
        <v/>
      </c>
      <c r="P294" s="17" t="b">
        <f>IFERROR(__xludf.DUMMYFUNCTION("""COMPUTED_VALUE"""),TRUE)</f>
        <v>1</v>
      </c>
      <c r="Q294" s="20">
        <f>IFERROR(__xludf.DUMMYFUNCTION("""COMPUTED_VALUE"""),45007.68167726852)</f>
        <v>45007.68168</v>
      </c>
      <c r="R294" s="22" t="str">
        <f>IFERROR(__xludf.DUMMYFUNCTION("""COMPUTED_VALUE"""),"")</f>
        <v/>
      </c>
    </row>
    <row r="295">
      <c r="A295" s="15">
        <f>IFERROR(__xludf.DUMMYFUNCTION("""COMPUTED_VALUE"""),45007.0)</f>
        <v>45007</v>
      </c>
      <c r="B295" s="16" t="str">
        <f>IFERROR(__xludf.DUMMYFUNCTION("""COMPUTED_VALUE"""),"Deivi Alejandro Quintero Corrales")</f>
        <v>Deivi Alejandro Quintero Corrales</v>
      </c>
      <c r="C295" s="15" t="str">
        <f>IFERROR(__xludf.DUMMYFUNCTION("""COMPUTED_VALUE"""),"PEREIRA")</f>
        <v>PEREIRA</v>
      </c>
      <c r="D295" s="15" t="str">
        <f>IFERROR(__xludf.DUMMYFUNCTION("""COMPUTED_VALUE"""),"MEDELLÍN")</f>
        <v>MEDELLÍN</v>
      </c>
      <c r="E295" s="15" t="str">
        <f>IFERROR(__xludf.DUMMYFUNCTION("""COMPUTED_VALUE"""),"Goyo Todo por ellos")</f>
        <v>Goyo Todo por ellos</v>
      </c>
      <c r="F295" s="17" t="str">
        <f>IFERROR(__xludf.DUMMYFUNCTION("""COMPUTED_VALUE"""),"Calle 12 bis #16-18  / Casa hoja Comunidad Consciente  / Barrio Pinares")</f>
        <v>Calle 12 bis #16-18  / Casa hoja Comunidad Consciente  / Barrio Pinares</v>
      </c>
      <c r="G295" s="15" t="str">
        <f>IFERROR(__xludf.DUMMYFUNCTION("""COMPUTED_VALUE"""),"Hector Hernandez")</f>
        <v>Hector Hernandez</v>
      </c>
      <c r="H295" s="18">
        <f>IFERROR(__xludf.DUMMYFUNCTION("""COMPUTED_VALUE"""),9053.0)</f>
        <v>9053</v>
      </c>
      <c r="I295" s="18">
        <f>IFERROR(__xludf.DUMMYFUNCTION("""COMPUTED_VALUE"""),20.0)</f>
        <v>20</v>
      </c>
      <c r="J295" s="18">
        <f>IFERROR(__xludf.DUMMYFUNCTION("""COMPUTED_VALUE"""),20.0)</f>
        <v>20</v>
      </c>
      <c r="K295" s="18">
        <f>IFERROR(__xludf.DUMMYFUNCTION("""COMPUTED_VALUE"""),20.0)</f>
        <v>20</v>
      </c>
      <c r="L295" s="17">
        <f>IFERROR(__xludf.DUMMYFUNCTION("""COMPUTED_VALUE"""),3.18591145E9)</f>
        <v>3185911450</v>
      </c>
      <c r="M295" s="17" t="str">
        <f>IFERROR(__xludf.DUMMYFUNCTION("""COMPUTED_VALUE"""),"#REF!")</f>
        <v>#REF!</v>
      </c>
      <c r="N295" s="17"/>
      <c r="O295" s="19" t="str">
        <f>IFERROR(__xludf.DUMMYFUNCTION("""COMPUTED_VALUE"""),"")</f>
        <v/>
      </c>
      <c r="P295" s="17" t="b">
        <f>IFERROR(__xludf.DUMMYFUNCTION("""COMPUTED_VALUE"""),TRUE)</f>
        <v>1</v>
      </c>
      <c r="Q295" s="20">
        <f>IFERROR(__xludf.DUMMYFUNCTION("""COMPUTED_VALUE"""),45007.68167726852)</f>
        <v>45007.68168</v>
      </c>
      <c r="R295" s="22" t="str">
        <f>IFERROR(__xludf.DUMMYFUNCTION("""COMPUTED_VALUE"""),"")</f>
        <v/>
      </c>
    </row>
    <row r="296">
      <c r="A296" s="15">
        <f>IFERROR(__xludf.DUMMYFUNCTION("""COMPUTED_VALUE"""),45007.0)</f>
        <v>45007</v>
      </c>
      <c r="B296" s="16" t="str">
        <f>IFERROR(__xludf.DUMMYFUNCTION("""COMPUTED_VALUE"""),"Deivi Alejandro Quintero Corrales")</f>
        <v>Deivi Alejandro Quintero Corrales</v>
      </c>
      <c r="C296" s="15" t="str">
        <f>IFERROR(__xludf.DUMMYFUNCTION("""COMPUTED_VALUE"""),"PEREIRA")</f>
        <v>PEREIRA</v>
      </c>
      <c r="D296" s="15" t="str">
        <f>IFERROR(__xludf.DUMMYFUNCTION("""COMPUTED_VALUE"""),"MEDELLÍN")</f>
        <v>MEDELLÍN</v>
      </c>
      <c r="E296" s="15" t="str">
        <f>IFERROR(__xludf.DUMMYFUNCTION("""COMPUTED_VALUE"""),"Goyo Todo por ellos")</f>
        <v>Goyo Todo por ellos</v>
      </c>
      <c r="F296" s="17" t="str">
        <f>IFERROR(__xludf.DUMMYFUNCTION("""COMPUTED_VALUE"""),"Calle 12 bis #16-18 / Casa hoja Comunidad Consciente  / Barrio Pinares")</f>
        <v>Calle 12 bis #16-18 / Casa hoja Comunidad Consciente  / Barrio Pinares</v>
      </c>
      <c r="G296" s="15" t="str">
        <f>IFERROR(__xludf.DUMMYFUNCTION("""COMPUTED_VALUE"""),"Hector Hernandez")</f>
        <v>Hector Hernandez</v>
      </c>
      <c r="H296" s="18">
        <f>IFERROR(__xludf.DUMMYFUNCTION("""COMPUTED_VALUE"""),9056.0)</f>
        <v>9056</v>
      </c>
      <c r="I296" s="18">
        <f>IFERROR(__xludf.DUMMYFUNCTION("""COMPUTED_VALUE"""),20.0)</f>
        <v>20</v>
      </c>
      <c r="J296" s="18">
        <f>IFERROR(__xludf.DUMMYFUNCTION("""COMPUTED_VALUE"""),20.0)</f>
        <v>20</v>
      </c>
      <c r="K296" s="18">
        <f>IFERROR(__xludf.DUMMYFUNCTION("""COMPUTED_VALUE"""),20.0)</f>
        <v>20</v>
      </c>
      <c r="L296" s="17">
        <f>IFERROR(__xludf.DUMMYFUNCTION("""COMPUTED_VALUE"""),3.18591145E9)</f>
        <v>3185911450</v>
      </c>
      <c r="M296" s="17" t="str">
        <f>IFERROR(__xludf.DUMMYFUNCTION("""COMPUTED_VALUE"""),"#REF!")</f>
        <v>#REF!</v>
      </c>
      <c r="N296" s="17"/>
      <c r="O296" s="19" t="str">
        <f>IFERROR(__xludf.DUMMYFUNCTION("""COMPUTED_VALUE"""),"")</f>
        <v/>
      </c>
      <c r="P296" s="17" t="b">
        <f>IFERROR(__xludf.DUMMYFUNCTION("""COMPUTED_VALUE"""),TRUE)</f>
        <v>1</v>
      </c>
      <c r="Q296" s="20">
        <f>IFERROR(__xludf.DUMMYFUNCTION("""COMPUTED_VALUE"""),45007.68167726852)</f>
        <v>45007.68168</v>
      </c>
      <c r="R296" s="22" t="str">
        <f>IFERROR(__xludf.DUMMYFUNCTION("""COMPUTED_VALUE"""),"")</f>
        <v/>
      </c>
    </row>
    <row r="297">
      <c r="A297" s="15">
        <f>IFERROR(__xludf.DUMMYFUNCTION("""COMPUTED_VALUE"""),45007.0)</f>
        <v>45007</v>
      </c>
      <c r="B297" s="16" t="str">
        <f>IFERROR(__xludf.DUMMYFUNCTION("""COMPUTED_VALUE"""),"Deivi Alejandro Quintero Corrales")</f>
        <v>Deivi Alejandro Quintero Corrales</v>
      </c>
      <c r="C297" s="15" t="str">
        <f>IFERROR(__xludf.DUMMYFUNCTION("""COMPUTED_VALUE"""),"PEREIRA")</f>
        <v>PEREIRA</v>
      </c>
      <c r="D297" s="15" t="str">
        <f>IFERROR(__xludf.DUMMYFUNCTION("""COMPUTED_VALUE"""),"MEDELLÍN")</f>
        <v>MEDELLÍN</v>
      </c>
      <c r="E297" s="15" t="str">
        <f>IFERROR(__xludf.DUMMYFUNCTION("""COMPUTED_VALUE"""),"Goyo Todo por ellos")</f>
        <v>Goyo Todo por ellos</v>
      </c>
      <c r="F297" s="17" t="str">
        <f>IFERROR(__xludf.DUMMYFUNCTION("""COMPUTED_VALUE"""),"Calle 12bis #16-18 / Casa Hoja Comunidad Consciente  / Barrio Pinares")</f>
        <v>Calle 12bis #16-18 / Casa Hoja Comunidad Consciente  / Barrio Pinares</v>
      </c>
      <c r="G297" s="15" t="str">
        <f>IFERROR(__xludf.DUMMYFUNCTION("""COMPUTED_VALUE"""),"Hector Hernandez")</f>
        <v>Hector Hernandez</v>
      </c>
      <c r="H297" s="18">
        <f>IFERROR(__xludf.DUMMYFUNCTION("""COMPUTED_VALUE"""),9057.0)</f>
        <v>9057</v>
      </c>
      <c r="I297" s="18">
        <f>IFERROR(__xludf.DUMMYFUNCTION("""COMPUTED_VALUE"""),20.0)</f>
        <v>20</v>
      </c>
      <c r="J297" s="18">
        <f>IFERROR(__xludf.DUMMYFUNCTION("""COMPUTED_VALUE"""),20.0)</f>
        <v>20</v>
      </c>
      <c r="K297" s="18">
        <f>IFERROR(__xludf.DUMMYFUNCTION("""COMPUTED_VALUE"""),20.0)</f>
        <v>20</v>
      </c>
      <c r="L297" s="17">
        <f>IFERROR(__xludf.DUMMYFUNCTION("""COMPUTED_VALUE"""),3.18591145E9)</f>
        <v>3185911450</v>
      </c>
      <c r="M297" s="17" t="str">
        <f>IFERROR(__xludf.DUMMYFUNCTION("""COMPUTED_VALUE"""),"#REF!")</f>
        <v>#REF!</v>
      </c>
      <c r="N297" s="17"/>
      <c r="O297" s="19" t="str">
        <f>IFERROR(__xludf.DUMMYFUNCTION("""COMPUTED_VALUE"""),"")</f>
        <v/>
      </c>
      <c r="P297" s="17" t="b">
        <f>IFERROR(__xludf.DUMMYFUNCTION("""COMPUTED_VALUE"""),TRUE)</f>
        <v>1</v>
      </c>
      <c r="Q297" s="20">
        <f>IFERROR(__xludf.DUMMYFUNCTION("""COMPUTED_VALUE"""),45007.68167726852)</f>
        <v>45007.68168</v>
      </c>
      <c r="R297" s="22" t="str">
        <f>IFERROR(__xludf.DUMMYFUNCTION("""COMPUTED_VALUE"""),"")</f>
        <v/>
      </c>
    </row>
    <row r="298">
      <c r="A298" s="15">
        <f>IFERROR(__xludf.DUMMYFUNCTION("""COMPUTED_VALUE"""),45007.0)</f>
        <v>45007</v>
      </c>
      <c r="B298" s="16" t="str">
        <f>IFERROR(__xludf.DUMMYFUNCTION("""COMPUTED_VALUE"""),"Deivi Alejandro Quintero Corrales")</f>
        <v>Deivi Alejandro Quintero Corrales</v>
      </c>
      <c r="C298" s="15" t="str">
        <f>IFERROR(__xludf.DUMMYFUNCTION("""COMPUTED_VALUE"""),"PEREIRA")</f>
        <v>PEREIRA</v>
      </c>
      <c r="D298" s="15" t="str">
        <f>IFERROR(__xludf.DUMMYFUNCTION("""COMPUTED_VALUE"""),"MEDELLÍN")</f>
        <v>MEDELLÍN</v>
      </c>
      <c r="E298" s="15" t="str">
        <f>IFERROR(__xludf.DUMMYFUNCTION("""COMPUTED_VALUE"""),"Puro Verde")</f>
        <v>Puro Verde</v>
      </c>
      <c r="F298" s="17" t="str">
        <f>IFERROR(__xludf.DUMMYFUNCTION("""COMPUTED_VALUE"""),"AV DE LAS AMERICAS # 49-95.  ENTREGAR 8-12 /2-6 PM / OFICINA DE PROYECCIÓN SOCIAL / UNIVERSIDAD CATOLICA DE PEREIRA.")</f>
        <v>AV DE LAS AMERICAS # 49-95.  ENTREGAR 8-12 /2-6 PM / OFICINA DE PROYECCIÓN SOCIAL / UNIVERSIDAD CATOLICA DE PEREIRA.</v>
      </c>
      <c r="G298" s="15" t="str">
        <f>IFERROR(__xludf.DUMMYFUNCTION("""COMPUTED_VALUE"""),"CLAUDIA MERCEDES GIL GONZALEZ")</f>
        <v>CLAUDIA MERCEDES GIL GONZALEZ</v>
      </c>
      <c r="H298" s="18">
        <f>IFERROR(__xludf.DUMMYFUNCTION("""COMPUTED_VALUE"""),8955.0)</f>
        <v>8955</v>
      </c>
      <c r="I298" s="18">
        <f>IFERROR(__xludf.DUMMYFUNCTION("""COMPUTED_VALUE"""),12.0)</f>
        <v>12</v>
      </c>
      <c r="J298" s="18">
        <f>IFERROR(__xludf.DUMMYFUNCTION("""COMPUTED_VALUE"""),18.0)</f>
        <v>18</v>
      </c>
      <c r="K298" s="18">
        <f>IFERROR(__xludf.DUMMYFUNCTION("""COMPUTED_VALUE"""),45.0)</f>
        <v>45</v>
      </c>
      <c r="L298" s="17">
        <f>IFERROR(__xludf.DUMMYFUNCTION("""COMPUTED_VALUE"""),3.146676419E9)</f>
        <v>3146676419</v>
      </c>
      <c r="M298" s="17" t="str">
        <f>IFERROR(__xludf.DUMMYFUNCTION("""COMPUTED_VALUE"""),"#REF!")</f>
        <v>#REF!</v>
      </c>
      <c r="N298" s="17"/>
      <c r="O298" s="19" t="str">
        <f>IFERROR(__xludf.DUMMYFUNCTION("""COMPUTED_VALUE"""),"")</f>
        <v/>
      </c>
      <c r="P298" s="17" t="b">
        <f>IFERROR(__xludf.DUMMYFUNCTION("""COMPUTED_VALUE"""),FALSE)</f>
        <v>0</v>
      </c>
      <c r="Q298" s="20" t="str">
        <f>IFERROR(__xludf.DUMMYFUNCTION("""COMPUTED_VALUE"""),"")</f>
        <v/>
      </c>
      <c r="R298" s="22" t="str">
        <f>IFERROR(__xludf.DUMMYFUNCTION("""COMPUTED_VALUE"""),"")</f>
        <v/>
      </c>
    </row>
    <row r="299">
      <c r="A299" s="17" t="str">
        <f>IFERROR(__xludf.DUMMYFUNCTION("""COMPUTED_VALUE"""),"")</f>
        <v/>
      </c>
      <c r="B299" s="17" t="str">
        <f>IFERROR(__xludf.DUMMYFUNCTION("""COMPUTED_VALUE"""),"")</f>
        <v/>
      </c>
      <c r="C299" s="17" t="str">
        <f>IFERROR(__xludf.DUMMYFUNCTION("""COMPUTED_VALUE"""),"")</f>
        <v/>
      </c>
      <c r="D299" s="17" t="str">
        <f>IFERROR(__xludf.DUMMYFUNCTION("""COMPUTED_VALUE"""),"")</f>
        <v/>
      </c>
      <c r="E299" s="17" t="str">
        <f>IFERROR(__xludf.DUMMYFUNCTION("""COMPUTED_VALUE"""),"")</f>
        <v/>
      </c>
      <c r="F299" s="17" t="str">
        <f>IFERROR(__xludf.DUMMYFUNCTION("""COMPUTED_VALUE"""),"")</f>
        <v/>
      </c>
      <c r="G299" s="17" t="str">
        <f>IFERROR(__xludf.DUMMYFUNCTION("""COMPUTED_VALUE"""),"")</f>
        <v/>
      </c>
      <c r="H299" s="17" t="str">
        <f>IFERROR(__xludf.DUMMYFUNCTION("""COMPUTED_VALUE"""),"")</f>
        <v/>
      </c>
      <c r="I299" s="17" t="str">
        <f>IFERROR(__xludf.DUMMYFUNCTION("""COMPUTED_VALUE"""),"")</f>
        <v/>
      </c>
      <c r="J299" s="17" t="str">
        <f>IFERROR(__xludf.DUMMYFUNCTION("""COMPUTED_VALUE"""),"")</f>
        <v/>
      </c>
      <c r="K299" s="17" t="str">
        <f>IFERROR(__xludf.DUMMYFUNCTION("""COMPUTED_VALUE"""),"")</f>
        <v/>
      </c>
      <c r="L299" s="17" t="str">
        <f>IFERROR(__xludf.DUMMYFUNCTION("""COMPUTED_VALUE"""),"")</f>
        <v/>
      </c>
      <c r="M299" s="17" t="str">
        <f>IFERROR(__xludf.DUMMYFUNCTION("""COMPUTED_VALUE"""),"")</f>
        <v/>
      </c>
      <c r="N299" s="17" t="str">
        <f>IFERROR(__xludf.DUMMYFUNCTION("""COMPUTED_VALUE"""),"")</f>
        <v/>
      </c>
      <c r="O299" s="17" t="str">
        <f>IFERROR(__xludf.DUMMYFUNCTION("""COMPUTED_VALUE"""),"")</f>
        <v/>
      </c>
      <c r="P299" s="17" t="str">
        <f>IFERROR(__xludf.DUMMYFUNCTION("""COMPUTED_VALUE"""),"")</f>
        <v/>
      </c>
      <c r="Q299" s="17" t="str">
        <f>IFERROR(__xludf.DUMMYFUNCTION("""COMPUTED_VALUE"""),"")</f>
        <v/>
      </c>
      <c r="R299" s="17" t="str">
        <f>IFERROR(__xludf.DUMMYFUNCTION("""COMPUTED_VALUE"""),"")</f>
        <v/>
      </c>
    </row>
    <row r="300">
      <c r="A300" s="15">
        <f>IFERROR(__xludf.DUMMYFUNCTION("""COMPUTED_VALUE"""),45007.0)</f>
        <v>45007</v>
      </c>
      <c r="B300" s="16" t="str">
        <f>IFERROR(__xludf.DUMMYFUNCTION("""COMPUTED_VALUE"""),"Duvan Gabriel Alvarez Giron")</f>
        <v>Duvan Gabriel Alvarez Giron</v>
      </c>
      <c r="C300" s="15" t="str">
        <f>IFERROR(__xludf.DUMMYFUNCTION("""COMPUTED_VALUE"""),"IBAGUÉ")</f>
        <v>IBAGUÉ</v>
      </c>
      <c r="D300" s="15" t="str">
        <f>IFERROR(__xludf.DUMMYFUNCTION("""COMPUTED_VALUE"""),"BOGOTÁ")</f>
        <v>BOGOTÁ</v>
      </c>
      <c r="E300" s="15" t="str">
        <f>IFERROR(__xludf.DUMMYFUNCTION("""COMPUTED_VALUE"""),"Asociacion Agropecuaria Juana Maria")</f>
        <v>Asociacion Agropecuaria Juana Maria</v>
      </c>
      <c r="F300" s="17" t="str">
        <f>IFERROR(__xludf.DUMMYFUNCTION("""COMPUTED_VALUE"""),"Calle 93 # 7 Sur-90 torre 8 apto 102 Conjunto Residencial Altagracia")</f>
        <v>Calle 93 # 7 Sur-90 torre 8 apto 102 Conjunto Residencial Altagracia</v>
      </c>
      <c r="G300" s="15" t="str">
        <f>IFERROR(__xludf.DUMMYFUNCTION("""COMPUTED_VALUE"""),"Mariam Yasmin Murillo Rubio")</f>
        <v>Mariam Yasmin Murillo Rubio</v>
      </c>
      <c r="H300" s="18">
        <f>IFERROR(__xludf.DUMMYFUNCTION("""COMPUTED_VALUE"""),8990.0)</f>
        <v>8990</v>
      </c>
      <c r="I300" s="18">
        <f>IFERROR(__xludf.DUMMYFUNCTION("""COMPUTED_VALUE"""),17.0)</f>
        <v>17</v>
      </c>
      <c r="J300" s="18">
        <f>IFERROR(__xludf.DUMMYFUNCTION("""COMPUTED_VALUE"""),37.0)</f>
        <v>37</v>
      </c>
      <c r="K300" s="18">
        <f>IFERROR(__xludf.DUMMYFUNCTION("""COMPUTED_VALUE"""),28.0)</f>
        <v>28</v>
      </c>
      <c r="L300" s="17">
        <f>IFERROR(__xludf.DUMMYFUNCTION("""COMPUTED_VALUE"""),3.105789664E9)</f>
        <v>3105789664</v>
      </c>
      <c r="M300" s="17" t="str">
        <f>IFERROR(__xludf.DUMMYFUNCTION("""COMPUTED_VALUE"""),"#REF!")</f>
        <v>#REF!</v>
      </c>
      <c r="N300" s="17"/>
      <c r="O300" s="19" t="str">
        <f>IFERROR(__xludf.DUMMYFUNCTION("""COMPUTED_VALUE"""),"")</f>
        <v/>
      </c>
      <c r="P300" s="17" t="b">
        <f>IFERROR(__xludf.DUMMYFUNCTION("""COMPUTED_VALUE"""),FALSE)</f>
        <v>0</v>
      </c>
      <c r="Q300" s="20" t="str">
        <f>IFERROR(__xludf.DUMMYFUNCTION("""COMPUTED_VALUE"""),"")</f>
        <v/>
      </c>
      <c r="R300" s="21" t="str">
        <f>IFERROR(__xludf.DUMMYFUNCTION("""COMPUTED_VALUE"""),"https://drive.google.com/file/d/1tFg8de3poWMtA__BVamM4A4K0_BCfdxh/view?usp=drivesdk")</f>
        <v>https://drive.google.com/file/d/1tFg8de3poWMtA__BVamM4A4K0_BCfdxh/view?usp=drivesdk</v>
      </c>
    </row>
    <row r="301">
      <c r="A301" s="15">
        <f>IFERROR(__xludf.DUMMYFUNCTION("""COMPUTED_VALUE"""),45007.0)</f>
        <v>45007</v>
      </c>
      <c r="B301" s="16" t="str">
        <f>IFERROR(__xludf.DUMMYFUNCTION("""COMPUTED_VALUE"""),"Duvan Gabriel Alvarez Giron")</f>
        <v>Duvan Gabriel Alvarez Giron</v>
      </c>
      <c r="C301" s="15" t="str">
        <f>IFERROR(__xludf.DUMMYFUNCTION("""COMPUTED_VALUE"""),"IBAGUÉ")</f>
        <v>IBAGUÉ</v>
      </c>
      <c r="D301" s="15" t="str">
        <f>IFERROR(__xludf.DUMMYFUNCTION("""COMPUTED_VALUE"""),"BOGOTÁ")</f>
        <v>BOGOTÁ</v>
      </c>
      <c r="E301" s="15" t="str">
        <f>IFERROR(__xludf.DUMMYFUNCTION("""COMPUTED_VALUE"""),"Evamazzita")</f>
        <v>Evamazzita</v>
      </c>
      <c r="F301" s="17" t="str">
        <f>IFERROR(__xludf.DUMMYFUNCTION("""COMPUTED_VALUE"""),"CARRERA 11 A # 35 - 62 / N/A / BARRIO GAITÁN PARTE ALTA")</f>
        <v>CARRERA 11 A # 35 - 62 / N/A / BARRIO GAITÁN PARTE ALTA</v>
      </c>
      <c r="G301" s="15" t="str">
        <f>IFERROR(__xludf.DUMMYFUNCTION("""COMPUTED_VALUE"""),"JORGE BERNARDO TORRES")</f>
        <v>JORGE BERNARDO TORRES</v>
      </c>
      <c r="H301" s="18">
        <f>IFERROR(__xludf.DUMMYFUNCTION("""COMPUTED_VALUE"""),9009.0)</f>
        <v>9009</v>
      </c>
      <c r="I301" s="18">
        <f>IFERROR(__xludf.DUMMYFUNCTION("""COMPUTED_VALUE"""),15.0)</f>
        <v>15</v>
      </c>
      <c r="J301" s="18">
        <f>IFERROR(__xludf.DUMMYFUNCTION("""COMPUTED_VALUE"""),22.0)</f>
        <v>22</v>
      </c>
      <c r="K301" s="18">
        <f>IFERROR(__xludf.DUMMYFUNCTION("""COMPUTED_VALUE"""),22.0)</f>
        <v>22</v>
      </c>
      <c r="L301" s="17">
        <f>IFERROR(__xludf.DUMMYFUNCTION("""COMPUTED_VALUE"""),3.144530156E9)</f>
        <v>3144530156</v>
      </c>
      <c r="M301" s="17" t="str">
        <f>IFERROR(__xludf.DUMMYFUNCTION("""COMPUTED_VALUE"""),"#REF!")</f>
        <v>#REF!</v>
      </c>
      <c r="N301" s="17"/>
      <c r="O301" s="19" t="str">
        <f>IFERROR(__xludf.DUMMYFUNCTION("""COMPUTED_VALUE"""),"")</f>
        <v/>
      </c>
      <c r="P301" s="17" t="b">
        <f>IFERROR(__xludf.DUMMYFUNCTION("""COMPUTED_VALUE"""),FALSE)</f>
        <v>0</v>
      </c>
      <c r="Q301" s="20" t="str">
        <f>IFERROR(__xludf.DUMMYFUNCTION("""COMPUTED_VALUE"""),"")</f>
        <v/>
      </c>
      <c r="R301" s="21" t="str">
        <f>IFERROR(__xludf.DUMMYFUNCTION("""COMPUTED_VALUE"""),"https://drive.google.com/file/d/1XMckZeOi0cV9z6ZgYstFp5DCKfXc7IwP/view?usp=drivesdk")</f>
        <v>https://drive.google.com/file/d/1XMckZeOi0cV9z6ZgYstFp5DCKfXc7IwP/view?usp=drivesdk</v>
      </c>
    </row>
    <row r="302">
      <c r="A302" s="15">
        <f>IFERROR(__xludf.DUMMYFUNCTION("""COMPUTED_VALUE"""),45007.0)</f>
        <v>45007</v>
      </c>
      <c r="B302" s="16" t="str">
        <f>IFERROR(__xludf.DUMMYFUNCTION("""COMPUTED_VALUE"""),"Duvan Gabriel Alvarez Giron")</f>
        <v>Duvan Gabriel Alvarez Giron</v>
      </c>
      <c r="C302" s="15" t="str">
        <f>IFERROR(__xludf.DUMMYFUNCTION("""COMPUTED_VALUE"""),"IBAGUÉ")</f>
        <v>IBAGUÉ</v>
      </c>
      <c r="D302" s="15" t="str">
        <f>IFERROR(__xludf.DUMMYFUNCTION("""COMPUTED_VALUE"""),"BOGOTÁ")</f>
        <v>BOGOTÁ</v>
      </c>
      <c r="E302" s="15" t="str">
        <f>IFERROR(__xludf.DUMMYFUNCTION("""COMPUTED_VALUE"""),"Ins. Alimento Vital")</f>
        <v>Ins. Alimento Vital</v>
      </c>
      <c r="F302" s="17" t="str">
        <f>IFERROR(__xludf.DUMMYFUNCTION("""COMPUTED_VALUE"""),"CASA 4 B MANZANA 4 ALAMEDA LA CAMPIÑA SECTOR CALATAYUD / CASA 4 B MANZANA 4 ALAMEDA LA CAMPIÑA SECTOR CALATAYUD / CASA 4 B MANZANA 4 ALAMEDA LA CAMPIÑA SECTOR CALATAYUD")</f>
        <v>CASA 4 B MANZANA 4 ALAMEDA LA CAMPIÑA SECTOR CALATAYUD / CASA 4 B MANZANA 4 ALAMEDA LA CAMPIÑA SECTOR CALATAYUD / CASA 4 B MANZANA 4 ALAMEDA LA CAMPIÑA SECTOR CALATAYUD</v>
      </c>
      <c r="G302" s="15" t="str">
        <f>IFERROR(__xludf.DUMMYFUNCTION("""COMPUTED_VALUE"""),"JESUS DAVID DELGADO TASCON")</f>
        <v>JESUS DAVID DELGADO TASCON</v>
      </c>
      <c r="H302" s="18">
        <f>IFERROR(__xludf.DUMMYFUNCTION("""COMPUTED_VALUE"""),9002.0)</f>
        <v>9002</v>
      </c>
      <c r="I302" s="18">
        <f>IFERROR(__xludf.DUMMYFUNCTION("""COMPUTED_VALUE"""),100.0)</f>
        <v>100</v>
      </c>
      <c r="J302" s="18">
        <f>IFERROR(__xludf.DUMMYFUNCTION("""COMPUTED_VALUE"""),10.0)</f>
        <v>10</v>
      </c>
      <c r="K302" s="18">
        <f>IFERROR(__xludf.DUMMYFUNCTION("""COMPUTED_VALUE"""),42.0)</f>
        <v>42</v>
      </c>
      <c r="L302" s="17">
        <f>IFERROR(__xludf.DUMMYFUNCTION("""COMPUTED_VALUE"""),3.196515049E9)</f>
        <v>3196515049</v>
      </c>
      <c r="M302" s="17" t="str">
        <f>IFERROR(__xludf.DUMMYFUNCTION("""COMPUTED_VALUE"""),"#REF!")</f>
        <v>#REF!</v>
      </c>
      <c r="N302" s="17"/>
      <c r="O302" s="19" t="str">
        <f>IFERROR(__xludf.DUMMYFUNCTION("""COMPUTED_VALUE"""),"")</f>
        <v/>
      </c>
      <c r="P302" s="17" t="b">
        <f>IFERROR(__xludf.DUMMYFUNCTION("""COMPUTED_VALUE"""),TRUE)</f>
        <v>1</v>
      </c>
      <c r="Q302" s="20">
        <f>IFERROR(__xludf.DUMMYFUNCTION("""COMPUTED_VALUE"""),45007.427487395835)</f>
        <v>45007.42749</v>
      </c>
      <c r="R302" s="22" t="str">
        <f>IFERROR(__xludf.DUMMYFUNCTION("""COMPUTED_VALUE"""),"")</f>
        <v/>
      </c>
    </row>
    <row r="303">
      <c r="A303" s="15">
        <f>IFERROR(__xludf.DUMMYFUNCTION("""COMPUTED_VALUE"""),45007.0)</f>
        <v>45007</v>
      </c>
      <c r="B303" s="16" t="str">
        <f>IFERROR(__xludf.DUMMYFUNCTION("""COMPUTED_VALUE"""),"Duvan Gabriel Alvarez Giron")</f>
        <v>Duvan Gabriel Alvarez Giron</v>
      </c>
      <c r="C303" s="15" t="str">
        <f>IFERROR(__xludf.DUMMYFUNCTION("""COMPUTED_VALUE"""),"IBAGUÉ")</f>
        <v>IBAGUÉ</v>
      </c>
      <c r="D303" s="15" t="str">
        <f>IFERROR(__xludf.DUMMYFUNCTION("""COMPUTED_VALUE"""),"BOGOTÁ")</f>
        <v>BOGOTÁ</v>
      </c>
      <c r="E303" s="15" t="str">
        <f>IFERROR(__xludf.DUMMYFUNCTION("""COMPUTED_VALUE"""),"Lunchy Kids")</f>
        <v>Lunchy Kids</v>
      </c>
      <c r="F303" s="17" t="str">
        <f>IFERROR(__xludf.DUMMYFUNCTION("""COMPUTED_VALUE"""),"Cra 7 #38-63 / Apto 502. Edificio Diamante. Conjunto los Cambulos / Ibagué")</f>
        <v>Cra 7 #38-63 / Apto 502. Edificio Diamante. Conjunto los Cambulos / Ibagué</v>
      </c>
      <c r="G303" s="15" t="str">
        <f>IFERROR(__xludf.DUMMYFUNCTION("""COMPUTED_VALUE"""),"Paola Jaramillo")</f>
        <v>Paola Jaramillo</v>
      </c>
      <c r="H303" s="18">
        <f>IFERROR(__xludf.DUMMYFUNCTION("""COMPUTED_VALUE"""),8998.0)</f>
        <v>8998</v>
      </c>
      <c r="I303" s="18">
        <f>IFERROR(__xludf.DUMMYFUNCTION("""COMPUTED_VALUE"""),22.0)</f>
        <v>22</v>
      </c>
      <c r="J303" s="18">
        <f>IFERROR(__xludf.DUMMYFUNCTION("""COMPUTED_VALUE"""),36.0)</f>
        <v>36</v>
      </c>
      <c r="K303" s="18">
        <f>IFERROR(__xludf.DUMMYFUNCTION("""COMPUTED_VALUE"""),24.0)</f>
        <v>24</v>
      </c>
      <c r="L303" s="17">
        <f>IFERROR(__xludf.DUMMYFUNCTION("""COMPUTED_VALUE"""),3.142207089E9)</f>
        <v>3142207089</v>
      </c>
      <c r="M303" s="17" t="str">
        <f>IFERROR(__xludf.DUMMYFUNCTION("""COMPUTED_VALUE"""),"#REF!")</f>
        <v>#REF!</v>
      </c>
      <c r="N303" s="17"/>
      <c r="O303" s="19" t="str">
        <f>IFERROR(__xludf.DUMMYFUNCTION("""COMPUTED_VALUE"""),"")</f>
        <v/>
      </c>
      <c r="P303" s="17" t="b">
        <f>IFERROR(__xludf.DUMMYFUNCTION("""COMPUTED_VALUE"""),FALSE)</f>
        <v>0</v>
      </c>
      <c r="Q303" s="20" t="str">
        <f>IFERROR(__xludf.DUMMYFUNCTION("""COMPUTED_VALUE"""),"")</f>
        <v/>
      </c>
      <c r="R303" s="21" t="str">
        <f>IFERROR(__xludf.DUMMYFUNCTION("""COMPUTED_VALUE"""),"https://drive.google.com/file/d/1fdC-mO6-hCqr43566x8LQQNB1eA7xWL4/view?usp=drivesdk")</f>
        <v>https://drive.google.com/file/d/1fdC-mO6-hCqr43566x8LQQNB1eA7xWL4/view?usp=drivesdk</v>
      </c>
    </row>
    <row r="304">
      <c r="A304" s="15">
        <f>IFERROR(__xludf.DUMMYFUNCTION("""COMPUTED_VALUE"""),45007.0)</f>
        <v>45007</v>
      </c>
      <c r="B304" s="16" t="str">
        <f>IFERROR(__xludf.DUMMYFUNCTION("""COMPUTED_VALUE"""),"Duvan Gabriel Alvarez Giron")</f>
        <v>Duvan Gabriel Alvarez Giron</v>
      </c>
      <c r="C304" s="15" t="str">
        <f>IFERROR(__xludf.DUMMYFUNCTION("""COMPUTED_VALUE"""),"PIEDECUESTA")</f>
        <v>PIEDECUESTA</v>
      </c>
      <c r="D304" s="15" t="str">
        <f>IFERROR(__xludf.DUMMYFUNCTION("""COMPUTED_VALUE"""),"BOGOTÁ")</f>
        <v>BOGOTÁ</v>
      </c>
      <c r="E304" s="15" t="str">
        <f>IFERROR(__xludf.DUMMYFUNCTION("""COMPUTED_VALUE"""),"Ins. Alimento Vital")</f>
        <v>Ins. Alimento Vital</v>
      </c>
      <c r="F304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304" s="15" t="str">
        <f>IFERROR(__xludf.DUMMYFUNCTION("""COMPUTED_VALUE"""),"LORENA GRANADOS BARCO")</f>
        <v>LORENA GRANADOS BARCO</v>
      </c>
      <c r="H304" s="18">
        <f>IFERROR(__xludf.DUMMYFUNCTION("""COMPUTED_VALUE"""),9022.0)</f>
        <v>9022</v>
      </c>
      <c r="I304" s="18">
        <f>IFERROR(__xludf.DUMMYFUNCTION("""COMPUTED_VALUE"""),100.0)</f>
        <v>100</v>
      </c>
      <c r="J304" s="18">
        <f>IFERROR(__xludf.DUMMYFUNCTION("""COMPUTED_VALUE"""),10.0)</f>
        <v>10</v>
      </c>
      <c r="K304" s="18">
        <f>IFERROR(__xludf.DUMMYFUNCTION("""COMPUTED_VALUE"""),14.0)</f>
        <v>14</v>
      </c>
      <c r="L304" s="17">
        <f>IFERROR(__xludf.DUMMYFUNCTION("""COMPUTED_VALUE"""),3.003286319E9)</f>
        <v>3003286319</v>
      </c>
      <c r="M304" s="17" t="str">
        <f>IFERROR(__xludf.DUMMYFUNCTION("""COMPUTED_VALUE"""),"#REF!")</f>
        <v>#REF!</v>
      </c>
      <c r="N304" s="17"/>
      <c r="O304" s="19" t="str">
        <f>IFERROR(__xludf.DUMMYFUNCTION("""COMPUTED_VALUE"""),"")</f>
        <v/>
      </c>
      <c r="P304" s="17" t="b">
        <f>IFERROR(__xludf.DUMMYFUNCTION("""COMPUTED_VALUE"""),FALSE)</f>
        <v>0</v>
      </c>
      <c r="Q304" s="20" t="str">
        <f>IFERROR(__xludf.DUMMYFUNCTION("""COMPUTED_VALUE"""),"")</f>
        <v/>
      </c>
      <c r="R304" s="22" t="str">
        <f>IFERROR(__xludf.DUMMYFUNCTION("""COMPUTED_VALUE"""),"")</f>
        <v/>
      </c>
    </row>
    <row r="305">
      <c r="A305" s="17" t="str">
        <f>IFERROR(__xludf.DUMMYFUNCTION("""COMPUTED_VALUE"""),"")</f>
        <v/>
      </c>
      <c r="B305" s="17" t="str">
        <f>IFERROR(__xludf.DUMMYFUNCTION("""COMPUTED_VALUE"""),"")</f>
        <v/>
      </c>
      <c r="C305" s="17" t="str">
        <f>IFERROR(__xludf.DUMMYFUNCTION("""COMPUTED_VALUE"""),"")</f>
        <v/>
      </c>
      <c r="D305" s="17" t="str">
        <f>IFERROR(__xludf.DUMMYFUNCTION("""COMPUTED_VALUE"""),"")</f>
        <v/>
      </c>
      <c r="E305" s="17" t="str">
        <f>IFERROR(__xludf.DUMMYFUNCTION("""COMPUTED_VALUE"""),"")</f>
        <v/>
      </c>
      <c r="F305" s="17" t="str">
        <f>IFERROR(__xludf.DUMMYFUNCTION("""COMPUTED_VALUE"""),"")</f>
        <v/>
      </c>
      <c r="G305" s="17" t="str">
        <f>IFERROR(__xludf.DUMMYFUNCTION("""COMPUTED_VALUE"""),"")</f>
        <v/>
      </c>
      <c r="H305" s="17" t="str">
        <f>IFERROR(__xludf.DUMMYFUNCTION("""COMPUTED_VALUE"""),"")</f>
        <v/>
      </c>
      <c r="I305" s="17" t="str">
        <f>IFERROR(__xludf.DUMMYFUNCTION("""COMPUTED_VALUE"""),"")</f>
        <v/>
      </c>
      <c r="J305" s="17" t="str">
        <f>IFERROR(__xludf.DUMMYFUNCTION("""COMPUTED_VALUE"""),"")</f>
        <v/>
      </c>
      <c r="K305" s="17" t="str">
        <f>IFERROR(__xludf.DUMMYFUNCTION("""COMPUTED_VALUE"""),"")</f>
        <v/>
      </c>
      <c r="L305" s="17" t="str">
        <f>IFERROR(__xludf.DUMMYFUNCTION("""COMPUTED_VALUE"""),"")</f>
        <v/>
      </c>
      <c r="M305" s="17" t="str">
        <f>IFERROR(__xludf.DUMMYFUNCTION("""COMPUTED_VALUE"""),"")</f>
        <v/>
      </c>
      <c r="N305" s="17" t="str">
        <f>IFERROR(__xludf.DUMMYFUNCTION("""COMPUTED_VALUE"""),"")</f>
        <v/>
      </c>
      <c r="O305" s="17" t="str">
        <f>IFERROR(__xludf.DUMMYFUNCTION("""COMPUTED_VALUE"""),"")</f>
        <v/>
      </c>
      <c r="P305" s="17" t="str">
        <f>IFERROR(__xludf.DUMMYFUNCTION("""COMPUTED_VALUE"""),"")</f>
        <v/>
      </c>
      <c r="Q305" s="17" t="str">
        <f>IFERROR(__xludf.DUMMYFUNCTION("""COMPUTED_VALUE"""),"")</f>
        <v/>
      </c>
      <c r="R305" s="17" t="str">
        <f>IFERROR(__xludf.DUMMYFUNCTION("""COMPUTED_VALUE"""),"")</f>
        <v/>
      </c>
    </row>
    <row r="306">
      <c r="A306" s="15">
        <f>IFERROR(__xludf.DUMMYFUNCTION("""COMPUTED_VALUE"""),45007.0)</f>
        <v>45007</v>
      </c>
      <c r="B306" s="16" t="str">
        <f>IFERROR(__xludf.DUMMYFUNCTION("""COMPUTED_VALUE"""),"Envia")</f>
        <v>Envia</v>
      </c>
      <c r="C306" s="15" t="str">
        <f>IFERROR(__xludf.DUMMYFUNCTION("""COMPUTED_VALUE"""),"ARMENIA")</f>
        <v>ARMENIA</v>
      </c>
      <c r="D306" s="15" t="str">
        <f>IFERROR(__xludf.DUMMYFUNCTION("""COMPUTED_VALUE"""),"BOGOTÁ")</f>
        <v>BOGOTÁ</v>
      </c>
      <c r="E306" s="15" t="str">
        <f>IFERROR(__xludf.DUMMYFUNCTION("""COMPUTED_VALUE"""),"Evamazzita")</f>
        <v>Evamazzita</v>
      </c>
      <c r="F306" s="17" t="str">
        <f>IFERROR(__xludf.DUMMYFUNCTION("""COMPUTED_VALUE"""),"CALLE 30 # 30 - 11  / N/A / BARRIO QUINDÍO")</f>
        <v>CALLE 30 # 30 - 11  / N/A / BARRIO QUINDÍO</v>
      </c>
      <c r="G306" s="15" t="str">
        <f>IFERROR(__xludf.DUMMYFUNCTION("""COMPUTED_VALUE"""),"YORMARY JIMENEZ")</f>
        <v>YORMARY JIMENEZ</v>
      </c>
      <c r="H306" s="18">
        <f>IFERROR(__xludf.DUMMYFUNCTION("""COMPUTED_VALUE"""),9038.0)</f>
        <v>9038</v>
      </c>
      <c r="I306" s="18">
        <f>IFERROR(__xludf.DUMMYFUNCTION("""COMPUTED_VALUE"""),17.0)</f>
        <v>17</v>
      </c>
      <c r="J306" s="18">
        <f>IFERROR(__xludf.DUMMYFUNCTION("""COMPUTED_VALUE"""),33.0)</f>
        <v>33</v>
      </c>
      <c r="K306" s="18">
        <f>IFERROR(__xludf.DUMMYFUNCTION("""COMPUTED_VALUE"""),19.0)</f>
        <v>19</v>
      </c>
      <c r="L306" s="17">
        <f>IFERROR(__xludf.DUMMYFUNCTION("""COMPUTED_VALUE"""),3.113196178E9)</f>
        <v>3113196178</v>
      </c>
      <c r="M306" s="17" t="str">
        <f>IFERROR(__xludf.DUMMYFUNCTION("""COMPUTED_VALUE"""),"#REF!")</f>
        <v>#REF!</v>
      </c>
      <c r="N306" s="17"/>
      <c r="O306" s="19" t="str">
        <f>IFERROR(__xludf.DUMMYFUNCTION("""COMPUTED_VALUE"""),"")</f>
        <v/>
      </c>
      <c r="P306" s="17" t="b">
        <f>IFERROR(__xludf.DUMMYFUNCTION("""COMPUTED_VALUE"""),TRUE)</f>
        <v>1</v>
      </c>
      <c r="Q306" s="20">
        <f>IFERROR(__xludf.DUMMYFUNCTION("""COMPUTED_VALUE"""),45007.81149590277)</f>
        <v>45007.8115</v>
      </c>
      <c r="R306" s="22" t="str">
        <f>IFERROR(__xludf.DUMMYFUNCTION("""COMPUTED_VALUE"""),"")</f>
        <v/>
      </c>
    </row>
    <row r="307">
      <c r="A307" s="15">
        <f>IFERROR(__xludf.DUMMYFUNCTION("""COMPUTED_VALUE"""),45007.0)</f>
        <v>45007</v>
      </c>
      <c r="B307" s="16" t="str">
        <f>IFERROR(__xludf.DUMMYFUNCTION("""COMPUTED_VALUE"""),"Envia")</f>
        <v>Envia</v>
      </c>
      <c r="C307" s="15" t="str">
        <f>IFERROR(__xludf.DUMMYFUNCTION("""COMPUTED_VALUE"""),"BUCARAMANGA")</f>
        <v>BUCARAMANGA</v>
      </c>
      <c r="D307" s="15" t="str">
        <f>IFERROR(__xludf.DUMMYFUNCTION("""COMPUTED_VALUE"""),"MEDELLÍN")</f>
        <v>MEDELLÍN</v>
      </c>
      <c r="E307" s="15" t="str">
        <f>IFERROR(__xludf.DUMMYFUNCTION("""COMPUTED_VALUE"""),"Puro Verde")</f>
        <v>Puro Verde</v>
      </c>
      <c r="F307" s="17" t="str">
        <f>IFERROR(__xludf.DUMMYFUNCTION("""COMPUTED_VALUE"""),"CALLE 51 # 23-95.  / APTO 405. EDIFICIO BONARDI / BARRIO NUEVOSOTOMAYOR")</f>
        <v>CALLE 51 # 23-95.  / APTO 405. EDIFICIO BONARDI / BARRIO NUEVOSOTOMAYOR</v>
      </c>
      <c r="G307" s="15" t="str">
        <f>IFERROR(__xludf.DUMMYFUNCTION("""COMPUTED_VALUE"""),"SANDRA MILENA RESTREPO")</f>
        <v>SANDRA MILENA RESTREPO</v>
      </c>
      <c r="H307" s="18">
        <f>IFERROR(__xludf.DUMMYFUNCTION("""COMPUTED_VALUE"""),8960.0)</f>
        <v>8960</v>
      </c>
      <c r="I307" s="18">
        <f>IFERROR(__xludf.DUMMYFUNCTION("""COMPUTED_VALUE"""),12.0)</f>
        <v>12</v>
      </c>
      <c r="J307" s="18">
        <f>IFERROR(__xludf.DUMMYFUNCTION("""COMPUTED_VALUE"""),18.0)</f>
        <v>18</v>
      </c>
      <c r="K307" s="18">
        <f>IFERROR(__xludf.DUMMYFUNCTION("""COMPUTED_VALUE"""),45.0)</f>
        <v>45</v>
      </c>
      <c r="L307" s="17">
        <f>IFERROR(__xludf.DUMMYFUNCTION("""COMPUTED_VALUE"""),3.204491255E9)</f>
        <v>3204491255</v>
      </c>
      <c r="M307" s="17" t="str">
        <f>IFERROR(__xludf.DUMMYFUNCTION("""COMPUTED_VALUE"""),"#REF!")</f>
        <v>#REF!</v>
      </c>
      <c r="N307" s="17"/>
      <c r="O307" s="19" t="str">
        <f>IFERROR(__xludf.DUMMYFUNCTION("""COMPUTED_VALUE"""),"")</f>
        <v/>
      </c>
      <c r="P307" s="17" t="b">
        <f>IFERROR(__xludf.DUMMYFUNCTION("""COMPUTED_VALUE"""),TRUE)</f>
        <v>1</v>
      </c>
      <c r="Q307" s="20">
        <f>IFERROR(__xludf.DUMMYFUNCTION("""COMPUTED_VALUE"""),45007.715616643516)</f>
        <v>45007.71562</v>
      </c>
      <c r="R307" s="22" t="str">
        <f>IFERROR(__xludf.DUMMYFUNCTION("""COMPUTED_VALUE"""),"")</f>
        <v/>
      </c>
    </row>
    <row r="308">
      <c r="A308" s="15">
        <f>IFERROR(__xludf.DUMMYFUNCTION("""COMPUTED_VALUE"""),45007.0)</f>
        <v>45007</v>
      </c>
      <c r="B308" s="16" t="str">
        <f>IFERROR(__xludf.DUMMYFUNCTION("""COMPUTED_VALUE"""),"Envia")</f>
        <v>Envia</v>
      </c>
      <c r="C308" s="15" t="str">
        <f>IFERROR(__xludf.DUMMYFUNCTION("""COMPUTED_VALUE"""),"CALI")</f>
        <v>CALI</v>
      </c>
      <c r="D308" s="15" t="str">
        <f>IFERROR(__xludf.DUMMYFUNCTION("""COMPUTED_VALUE"""),"BOGOTÁ")</f>
        <v>BOGOTÁ</v>
      </c>
      <c r="E308" s="15" t="str">
        <f>IFERROR(__xludf.DUMMYFUNCTION("""COMPUTED_VALUE"""),"Pan de Waffle")</f>
        <v>Pan de Waffle</v>
      </c>
      <c r="F308" s="17" t="str">
        <f>IFERROR(__xludf.DUMMYFUNCTION("""COMPUTED_VALUE"""),"Av. 4 oeste # 1 - 55 Cali Edif. Colina del Rio Apto 2102 Torre A / Av. 4 oeste # 1 - 55 Cali Edif. Colina del Rio Apto 2102 Torre A / Av. 4 oeste # 1 - 55 Cali Edif. Colina del Rio Apto 2102 Torre A")</f>
        <v>Av. 4 oeste # 1 - 55 Cali Edif. Colina del Rio Apto 2102 Torre A / Av. 4 oeste # 1 - 55 Cali Edif. Colina del Rio Apto 2102 Torre A / Av. 4 oeste # 1 - 55 Cali Edif. Colina del Rio Apto 2102 Torre A</v>
      </c>
      <c r="G308" s="15" t="str">
        <f>IFERROR(__xludf.DUMMYFUNCTION("""COMPUTED_VALUE"""),"JUANITA SALGADO")</f>
        <v>JUANITA SALGADO</v>
      </c>
      <c r="H308" s="18">
        <f>IFERROR(__xludf.DUMMYFUNCTION("""COMPUTED_VALUE"""),9055.0)</f>
        <v>9055</v>
      </c>
      <c r="I308" s="18">
        <f>IFERROR(__xludf.DUMMYFUNCTION("""COMPUTED_VALUE"""),40.0)</f>
        <v>40</v>
      </c>
      <c r="J308" s="18">
        <f>IFERROR(__xludf.DUMMYFUNCTION("""COMPUTED_VALUE"""),40.0)</f>
        <v>40</v>
      </c>
      <c r="K308" s="18">
        <f>IFERROR(__xludf.DUMMYFUNCTION("""COMPUTED_VALUE"""),40.0)</f>
        <v>40</v>
      </c>
      <c r="L308" s="17">
        <f>IFERROR(__xludf.DUMMYFUNCTION("""COMPUTED_VALUE"""),3.20865425E9)</f>
        <v>3208654250</v>
      </c>
      <c r="M308" s="17" t="str">
        <f>IFERROR(__xludf.DUMMYFUNCTION("""COMPUTED_VALUE"""),"#REF!")</f>
        <v>#REF!</v>
      </c>
      <c r="N308" s="17"/>
      <c r="O308" s="19" t="str">
        <f>IFERROR(__xludf.DUMMYFUNCTION("""COMPUTED_VALUE"""),"")</f>
        <v/>
      </c>
      <c r="P308" s="17" t="b">
        <f>IFERROR(__xludf.DUMMYFUNCTION("""COMPUTED_VALUE"""),TRUE)</f>
        <v>1</v>
      </c>
      <c r="Q308" s="20">
        <f>IFERROR(__xludf.DUMMYFUNCTION("""COMPUTED_VALUE"""),45007.681677280096)</f>
        <v>45007.68168</v>
      </c>
      <c r="R308" s="22" t="str">
        <f>IFERROR(__xludf.DUMMYFUNCTION("""COMPUTED_VALUE"""),"")</f>
        <v/>
      </c>
    </row>
    <row r="309">
      <c r="A309" s="15">
        <f>IFERROR(__xludf.DUMMYFUNCTION("""COMPUTED_VALUE"""),45007.0)</f>
        <v>45007</v>
      </c>
      <c r="B309" s="16" t="str">
        <f>IFERROR(__xludf.DUMMYFUNCTION("""COMPUTED_VALUE"""),"Envia")</f>
        <v>Envia</v>
      </c>
      <c r="C309" s="15" t="str">
        <f>IFERROR(__xludf.DUMMYFUNCTION("""COMPUTED_VALUE"""),"CALI")</f>
        <v>CALI</v>
      </c>
      <c r="D309" s="15" t="str">
        <f>IFERROR(__xludf.DUMMYFUNCTION("""COMPUTED_VALUE"""),"BOGOTÁ")</f>
        <v>BOGOTÁ</v>
      </c>
      <c r="E309" s="15" t="str">
        <f>IFERROR(__xludf.DUMMYFUNCTION("""COMPUTED_VALUE"""),"Pan de Waffle")</f>
        <v>Pan de Waffle</v>
      </c>
      <c r="F309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309" s="15" t="str">
        <f>IFERROR(__xludf.DUMMYFUNCTION("""COMPUTED_VALUE"""),"FOODOLOGY CALI")</f>
        <v>FOODOLOGY CALI</v>
      </c>
      <c r="H309" s="18">
        <f>IFERROR(__xludf.DUMMYFUNCTION("""COMPUTED_VALUE"""),9050.0)</f>
        <v>9050</v>
      </c>
      <c r="I309" s="18">
        <f>IFERROR(__xludf.DUMMYFUNCTION("""COMPUTED_VALUE"""),30.0)</f>
        <v>30</v>
      </c>
      <c r="J309" s="18">
        <f>IFERROR(__xludf.DUMMYFUNCTION("""COMPUTED_VALUE"""),30.0)</f>
        <v>30</v>
      </c>
      <c r="K309" s="18">
        <f>IFERROR(__xludf.DUMMYFUNCTION("""COMPUTED_VALUE"""),30.0)</f>
        <v>30</v>
      </c>
      <c r="L309" s="17">
        <f>IFERROR(__xludf.DUMMYFUNCTION("""COMPUTED_VALUE"""),3.158323233E9)</f>
        <v>3158323233</v>
      </c>
      <c r="M309" s="17" t="str">
        <f>IFERROR(__xludf.DUMMYFUNCTION("""COMPUTED_VALUE"""),"#REF!")</f>
        <v>#REF!</v>
      </c>
      <c r="N309" s="17"/>
      <c r="O309" s="19" t="str">
        <f>IFERROR(__xludf.DUMMYFUNCTION("""COMPUTED_VALUE"""),"")</f>
        <v/>
      </c>
      <c r="P309" s="17" t="b">
        <f>IFERROR(__xludf.DUMMYFUNCTION("""COMPUTED_VALUE"""),TRUE)</f>
        <v>1</v>
      </c>
      <c r="Q309" s="20">
        <f>IFERROR(__xludf.DUMMYFUNCTION("""COMPUTED_VALUE"""),45007.681677280096)</f>
        <v>45007.68168</v>
      </c>
      <c r="R309" s="22" t="str">
        <f>IFERROR(__xludf.DUMMYFUNCTION("""COMPUTED_VALUE"""),"")</f>
        <v/>
      </c>
    </row>
    <row r="310">
      <c r="A310" s="15">
        <f>IFERROR(__xludf.DUMMYFUNCTION("""COMPUTED_VALUE"""),45007.0)</f>
        <v>45007</v>
      </c>
      <c r="B310" s="16" t="str">
        <f>IFERROR(__xludf.DUMMYFUNCTION("""COMPUTED_VALUE"""),"Envia")</f>
        <v>Envia</v>
      </c>
      <c r="C310" s="15" t="str">
        <f>IFERROR(__xludf.DUMMYFUNCTION("""COMPUTED_VALUE"""),"CARTAGO")</f>
        <v>CARTAGO</v>
      </c>
      <c r="D310" s="15" t="str">
        <f>IFERROR(__xludf.DUMMYFUNCTION("""COMPUTED_VALUE"""),"BOGOTÁ")</f>
        <v>BOGOTÁ</v>
      </c>
      <c r="E310" s="15" t="str">
        <f>IFERROR(__xludf.DUMMYFUNCTION("""COMPUTED_VALUE"""),"Pan de Waffle")</f>
        <v>Pan de Waffle</v>
      </c>
      <c r="F310" s="17" t="str">
        <f>IFERROR(__xludf.DUMMYFUNCTION("""COMPUTED_VALUE"""),"Calle 19 # 1-05 norte 2 piso  / Calle 19 # 1-05 norte 2 piso  / Calle 19 # 1-05 norte 2 piso")</f>
        <v>Calle 19 # 1-05 norte 2 piso  / Calle 19 # 1-05 norte 2 piso  / Calle 19 # 1-05 norte 2 piso</v>
      </c>
      <c r="G310" s="15" t="str">
        <f>IFERROR(__xludf.DUMMYFUNCTION("""COMPUTED_VALUE"""),"PERSANO")</f>
        <v>PERSANO</v>
      </c>
      <c r="H310" s="18">
        <f>IFERROR(__xludf.DUMMYFUNCTION("""COMPUTED_VALUE"""),9052.0)</f>
        <v>9052</v>
      </c>
      <c r="I310" s="18">
        <f>IFERROR(__xludf.DUMMYFUNCTION("""COMPUTED_VALUE"""),30.0)</f>
        <v>30</v>
      </c>
      <c r="J310" s="18">
        <f>IFERROR(__xludf.DUMMYFUNCTION("""COMPUTED_VALUE"""),40.0)</f>
        <v>40</v>
      </c>
      <c r="K310" s="18">
        <f>IFERROR(__xludf.DUMMYFUNCTION("""COMPUTED_VALUE"""),30.0)</f>
        <v>30</v>
      </c>
      <c r="L310" s="17">
        <f>IFERROR(__xludf.DUMMYFUNCTION("""COMPUTED_VALUE"""),3.11314146E9)</f>
        <v>3113141460</v>
      </c>
      <c r="M310" s="17" t="str">
        <f>IFERROR(__xludf.DUMMYFUNCTION("""COMPUTED_VALUE"""),"#REF!")</f>
        <v>#REF!</v>
      </c>
      <c r="N310" s="17"/>
      <c r="O310" s="19" t="str">
        <f>IFERROR(__xludf.DUMMYFUNCTION("""COMPUTED_VALUE"""),"")</f>
        <v/>
      </c>
      <c r="P310" s="17" t="b">
        <f>IFERROR(__xludf.DUMMYFUNCTION("""COMPUTED_VALUE"""),TRUE)</f>
        <v>1</v>
      </c>
      <c r="Q310" s="20">
        <f>IFERROR(__xludf.DUMMYFUNCTION("""COMPUTED_VALUE"""),45007.681677280096)</f>
        <v>45007.68168</v>
      </c>
      <c r="R310" s="22" t="str">
        <f>IFERROR(__xludf.DUMMYFUNCTION("""COMPUTED_VALUE"""),"")</f>
        <v/>
      </c>
    </row>
    <row r="311">
      <c r="A311" s="15">
        <f>IFERROR(__xludf.DUMMYFUNCTION("""COMPUTED_VALUE"""),45007.0)</f>
        <v>45007</v>
      </c>
      <c r="B311" s="16" t="str">
        <f>IFERROR(__xludf.DUMMYFUNCTION("""COMPUTED_VALUE"""),"Envia")</f>
        <v>Envia</v>
      </c>
      <c r="C311" s="15" t="str">
        <f>IFERROR(__xludf.DUMMYFUNCTION("""COMPUTED_VALUE"""),"CARTAGO")</f>
        <v>CARTAGO</v>
      </c>
      <c r="D311" s="15" t="str">
        <f>IFERROR(__xludf.DUMMYFUNCTION("""COMPUTED_VALUE"""),"BOGOTÁ")</f>
        <v>BOGOTÁ</v>
      </c>
      <c r="E311" s="15" t="str">
        <f>IFERROR(__xludf.DUMMYFUNCTION("""COMPUTED_VALUE"""),"Pan de Waffle")</f>
        <v>Pan de Waffle</v>
      </c>
      <c r="F311" s="17" t="str">
        <f>IFERROR(__xludf.DUMMYFUNCTION("""COMPUTED_VALUE"""),"CR 4 # 16 107 / CR 4 # 16 107 / CR 4 # 16 107")</f>
        <v>CR 4 # 16 107 / CR 4 # 16 107 / CR 4 # 16 107</v>
      </c>
      <c r="G311" s="15" t="str">
        <f>IFERROR(__xludf.DUMMYFUNCTION("""COMPUTED_VALUE"""),"THE NATURAL CARTAGO")</f>
        <v>THE NATURAL CARTAGO</v>
      </c>
      <c r="H311" s="18">
        <f>IFERROR(__xludf.DUMMYFUNCTION("""COMPUTED_VALUE"""),9048.0)</f>
        <v>9048</v>
      </c>
      <c r="I311" s="18">
        <f>IFERROR(__xludf.DUMMYFUNCTION("""COMPUTED_VALUE"""),40.0)</f>
        <v>40</v>
      </c>
      <c r="J311" s="18">
        <f>IFERROR(__xludf.DUMMYFUNCTION("""COMPUTED_VALUE"""),40.0)</f>
        <v>40</v>
      </c>
      <c r="K311" s="18">
        <f>IFERROR(__xludf.DUMMYFUNCTION("""COMPUTED_VALUE"""),40.0)</f>
        <v>40</v>
      </c>
      <c r="L311" s="17">
        <f>IFERROR(__xludf.DUMMYFUNCTION("""COMPUTED_VALUE"""),3.146025882E9)</f>
        <v>3146025882</v>
      </c>
      <c r="M311" s="17" t="str">
        <f>IFERROR(__xludf.DUMMYFUNCTION("""COMPUTED_VALUE"""),"#REF!")</f>
        <v>#REF!</v>
      </c>
      <c r="N311" s="17"/>
      <c r="O311" s="19" t="str">
        <f>IFERROR(__xludf.DUMMYFUNCTION("""COMPUTED_VALUE"""),"")</f>
        <v/>
      </c>
      <c r="P311" s="17" t="b">
        <f>IFERROR(__xludf.DUMMYFUNCTION("""COMPUTED_VALUE"""),TRUE)</f>
        <v>1</v>
      </c>
      <c r="Q311" s="20">
        <f>IFERROR(__xludf.DUMMYFUNCTION("""COMPUTED_VALUE"""),45007.681677280096)</f>
        <v>45007.68168</v>
      </c>
      <c r="R311" s="22" t="str">
        <f>IFERROR(__xludf.DUMMYFUNCTION("""COMPUTED_VALUE"""),"")</f>
        <v/>
      </c>
    </row>
    <row r="312">
      <c r="A312" s="15">
        <f>IFERROR(__xludf.DUMMYFUNCTION("""COMPUTED_VALUE"""),45007.0)</f>
        <v>45007</v>
      </c>
      <c r="B312" s="16" t="str">
        <f>IFERROR(__xludf.DUMMYFUNCTION("""COMPUTED_VALUE"""),"Envia")</f>
        <v>Envia</v>
      </c>
      <c r="C312" s="15" t="str">
        <f>IFERROR(__xludf.DUMMYFUNCTION("""COMPUTED_VALUE"""),"FLORIDABLANCA")</f>
        <v>FLORIDABLANCA</v>
      </c>
      <c r="D312" s="15" t="str">
        <f>IFERROR(__xludf.DUMMYFUNCTION("""COMPUTED_VALUE"""),"BOGOTÁ")</f>
        <v>BOGOTÁ</v>
      </c>
      <c r="E312" s="15" t="str">
        <f>IFERROR(__xludf.DUMMYFUNCTION("""COMPUTED_VALUE"""),"Asociacion Agropecuaria Juana Maria")</f>
        <v>Asociacion Agropecuaria Juana Maria</v>
      </c>
      <c r="F312" s="17" t="str">
        <f>IFERROR(__xludf.DUMMYFUNCTION("""COMPUTED_VALUE"""),"Calle 19 #11-37 Guanatá FLORIDABLANCA")</f>
        <v>Calle 19 #11-37 Guanatá FLORIDABLANCA</v>
      </c>
      <c r="G312" s="15" t="str">
        <f>IFERROR(__xludf.DUMMYFUNCTION("""COMPUTED_VALUE"""),"Claudia Gonzalez")</f>
        <v>Claudia Gonzalez</v>
      </c>
      <c r="H312" s="18">
        <f>IFERROR(__xludf.DUMMYFUNCTION("""COMPUTED_VALUE"""),8985.0)</f>
        <v>8985</v>
      </c>
      <c r="I312" s="18">
        <f>IFERROR(__xludf.DUMMYFUNCTION("""COMPUTED_VALUE"""),21.0)</f>
        <v>21</v>
      </c>
      <c r="J312" s="18">
        <f>IFERROR(__xludf.DUMMYFUNCTION("""COMPUTED_VALUE"""),37.0)</f>
        <v>37</v>
      </c>
      <c r="K312" s="18">
        <f>IFERROR(__xludf.DUMMYFUNCTION("""COMPUTED_VALUE"""),30.0)</f>
        <v>30</v>
      </c>
      <c r="L312" s="17">
        <f>IFERROR(__xludf.DUMMYFUNCTION("""COMPUTED_VALUE"""),3.002802001E9)</f>
        <v>3002802001</v>
      </c>
      <c r="M312" s="17" t="str">
        <f>IFERROR(__xludf.DUMMYFUNCTION("""COMPUTED_VALUE"""),"#REF!")</f>
        <v>#REF!</v>
      </c>
      <c r="N312" s="17"/>
      <c r="O312" s="19" t="str">
        <f>IFERROR(__xludf.DUMMYFUNCTION("""COMPUTED_VALUE"""),"")</f>
        <v/>
      </c>
      <c r="P312" s="17" t="b">
        <f>IFERROR(__xludf.DUMMYFUNCTION("""COMPUTED_VALUE"""),TRUE)</f>
        <v>1</v>
      </c>
      <c r="Q312" s="20">
        <f>IFERROR(__xludf.DUMMYFUNCTION("""COMPUTED_VALUE"""),45007.69719358796)</f>
        <v>45007.69719</v>
      </c>
      <c r="R312" s="22" t="str">
        <f>IFERROR(__xludf.DUMMYFUNCTION("""COMPUTED_VALUE"""),"")</f>
        <v/>
      </c>
    </row>
    <row r="313">
      <c r="A313" s="15">
        <f>IFERROR(__xludf.DUMMYFUNCTION("""COMPUTED_VALUE"""),45007.0)</f>
        <v>45007</v>
      </c>
      <c r="B313" s="16" t="str">
        <f>IFERROR(__xludf.DUMMYFUNCTION("""COMPUTED_VALUE"""),"Envia")</f>
        <v>Envia</v>
      </c>
      <c r="C313" s="15" t="str">
        <f>IFERROR(__xludf.DUMMYFUNCTION("""COMPUTED_VALUE"""),"IBAGUÉ")</f>
        <v>IBAGUÉ</v>
      </c>
      <c r="D313" s="15" t="str">
        <f>IFERROR(__xludf.DUMMYFUNCTION("""COMPUTED_VALUE"""),"BOGOTÁ")</f>
        <v>BOGOTÁ</v>
      </c>
      <c r="E313" s="15" t="str">
        <f>IFERROR(__xludf.DUMMYFUNCTION("""COMPUTED_VALUE"""),"Frambascolombia sas")</f>
        <v>Frambascolombia sas</v>
      </c>
      <c r="F313" s="17" t="str">
        <f>IFERROR(__xludf.DUMMYFUNCTION("""COMPUTED_VALUE"""),"Calle 10 # 3 - 01 / local 2")</f>
        <v>Calle 10 # 3 - 01 / local 2</v>
      </c>
      <c r="G313" s="15" t="str">
        <f>IFERROR(__xludf.DUMMYFUNCTION("""COMPUTED_VALUE"""),"Jhoanna Catalina Carvajal")</f>
        <v>Jhoanna Catalina Carvajal</v>
      </c>
      <c r="H313" s="18">
        <f>IFERROR(__xludf.DUMMYFUNCTION("""COMPUTED_VALUE"""),8977.0)</f>
        <v>8977</v>
      </c>
      <c r="I313" s="18">
        <f>IFERROR(__xludf.DUMMYFUNCTION("""COMPUTED_VALUE"""),41.0)</f>
        <v>41</v>
      </c>
      <c r="J313" s="18">
        <f>IFERROR(__xludf.DUMMYFUNCTION("""COMPUTED_VALUE"""),33.0)</f>
        <v>33</v>
      </c>
      <c r="K313" s="18">
        <f>IFERROR(__xludf.DUMMYFUNCTION("""COMPUTED_VALUE"""),20.0)</f>
        <v>20</v>
      </c>
      <c r="L313" s="17">
        <f>IFERROR(__xludf.DUMMYFUNCTION("""COMPUTED_VALUE"""),3.177777083E9)</f>
        <v>3177777083</v>
      </c>
      <c r="M313" s="17" t="str">
        <f>IFERROR(__xludf.DUMMYFUNCTION("""COMPUTED_VALUE"""),"#REF!")</f>
        <v>#REF!</v>
      </c>
      <c r="N313" s="17"/>
      <c r="O313" s="19" t="str">
        <f>IFERROR(__xludf.DUMMYFUNCTION("""COMPUTED_VALUE"""),"")</f>
        <v/>
      </c>
      <c r="P313" s="17" t="b">
        <f>IFERROR(__xludf.DUMMYFUNCTION("""COMPUTED_VALUE"""),TRUE)</f>
        <v>1</v>
      </c>
      <c r="Q313" s="20">
        <f>IFERROR(__xludf.DUMMYFUNCTION("""COMPUTED_VALUE"""),45007.681677280096)</f>
        <v>45007.68168</v>
      </c>
      <c r="R313" s="21" t="str">
        <f>IFERROR(__xludf.DUMMYFUNCTION("""COMPUTED_VALUE"""),"https://drive.google.com/file/d/1moZkueX44AeEgb1mgVqbfleDGuDYX7vW/view?usp=drivesdk")</f>
        <v>https://drive.google.com/file/d/1moZkueX44AeEgb1mgVqbfleDGuDYX7vW/view?usp=drivesdk</v>
      </c>
    </row>
    <row r="314">
      <c r="A314" s="15">
        <f>IFERROR(__xludf.DUMMYFUNCTION("""COMPUTED_VALUE"""),45007.0)</f>
        <v>45007</v>
      </c>
      <c r="B314" s="16" t="str">
        <f>IFERROR(__xludf.DUMMYFUNCTION("""COMPUTED_VALUE"""),"Envia")</f>
        <v>Envia</v>
      </c>
      <c r="C314" s="15" t="str">
        <f>IFERROR(__xludf.DUMMYFUNCTION("""COMPUTED_VALUE"""),"IBAGUÉ")</f>
        <v>IBAGUÉ</v>
      </c>
      <c r="D314" s="15" t="str">
        <f>IFERROR(__xludf.DUMMYFUNCTION("""COMPUTED_VALUE"""),"BOGOTÁ")</f>
        <v>BOGOTÁ</v>
      </c>
      <c r="E314" s="15" t="str">
        <f>IFERROR(__xludf.DUMMYFUNCTION("""COMPUTED_VALUE"""),"Pan de Waffle")</f>
        <v>Pan de Waffle</v>
      </c>
      <c r="F314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314" s="15" t="str">
        <f>IFERROR(__xludf.DUMMYFUNCTION("""COMPUTED_VALUE"""),"SOY NATURAL IBAGUE")</f>
        <v>SOY NATURAL IBAGUE</v>
      </c>
      <c r="H314" s="18">
        <f>IFERROR(__xludf.DUMMYFUNCTION("""COMPUTED_VALUE"""),9049.0)</f>
        <v>9049</v>
      </c>
      <c r="I314" s="18">
        <f>IFERROR(__xludf.DUMMYFUNCTION("""COMPUTED_VALUE"""),10.0)</f>
        <v>10</v>
      </c>
      <c r="J314" s="18">
        <f>IFERROR(__xludf.DUMMYFUNCTION("""COMPUTED_VALUE"""),30.0)</f>
        <v>30</v>
      </c>
      <c r="K314" s="18">
        <f>IFERROR(__xludf.DUMMYFUNCTION("""COMPUTED_VALUE"""),30.0)</f>
        <v>30</v>
      </c>
      <c r="L314" s="17">
        <f>IFERROR(__xludf.DUMMYFUNCTION("""COMPUTED_VALUE"""),3.208565148E9)</f>
        <v>3208565148</v>
      </c>
      <c r="M314" s="17" t="str">
        <f>IFERROR(__xludf.DUMMYFUNCTION("""COMPUTED_VALUE"""),"#REF!")</f>
        <v>#REF!</v>
      </c>
      <c r="N314" s="17"/>
      <c r="O314" s="19" t="str">
        <f>IFERROR(__xludf.DUMMYFUNCTION("""COMPUTED_VALUE"""),"")</f>
        <v/>
      </c>
      <c r="P314" s="17" t="b">
        <f>IFERROR(__xludf.DUMMYFUNCTION("""COMPUTED_VALUE"""),TRUE)</f>
        <v>1</v>
      </c>
      <c r="Q314" s="20">
        <f>IFERROR(__xludf.DUMMYFUNCTION("""COMPUTED_VALUE"""),45007.698030694446)</f>
        <v>45007.69803</v>
      </c>
      <c r="R314" s="21" t="str">
        <f>IFERROR(__xludf.DUMMYFUNCTION("""COMPUTED_VALUE"""),"https://drive.google.com/file/d/1XXmuhdHxsevvrKeTuUH_WWha7038702t/view?usp=drivesdk")</f>
        <v>https://drive.google.com/file/d/1XXmuhdHxsevvrKeTuUH_WWha7038702t/view?usp=drivesdk</v>
      </c>
    </row>
    <row r="315">
      <c r="A315" s="15">
        <f>IFERROR(__xludf.DUMMYFUNCTION("""COMPUTED_VALUE"""),45007.0)</f>
        <v>45007</v>
      </c>
      <c r="B315" s="16" t="str">
        <f>IFERROR(__xludf.DUMMYFUNCTION("""COMPUTED_VALUE"""),"Envia")</f>
        <v>Envia</v>
      </c>
      <c r="C315" s="15" t="str">
        <f>IFERROR(__xludf.DUMMYFUNCTION("""COMPUTED_VALUE"""),"MANIZALES")</f>
        <v>MANIZALES</v>
      </c>
      <c r="D315" s="15" t="str">
        <f>IFERROR(__xludf.DUMMYFUNCTION("""COMPUTED_VALUE"""),"BOGOTÁ")</f>
        <v>BOGOTÁ</v>
      </c>
      <c r="E315" s="15" t="str">
        <f>IFERROR(__xludf.DUMMYFUNCTION("""COMPUTED_VALUE"""),"Ins. Alimento Vital")</f>
        <v>Ins. Alimento Vital</v>
      </c>
      <c r="F315" s="17" t="str">
        <f>IFERROR(__xludf.DUMMYFUNCTION("""COMPUTED_VALUE"""),"CR 19 62 A 90 / CASA LA RAMBLA / LA RAMBLA")</f>
        <v>CR 19 62 A 90 / CASA LA RAMBLA / LA RAMBLA</v>
      </c>
      <c r="G315" s="15" t="str">
        <f>IFERROR(__xludf.DUMMYFUNCTION("""COMPUTED_VALUE"""),"JESSICA PAOLA MURCIA HENAO")</f>
        <v>JESSICA PAOLA MURCIA HENAO</v>
      </c>
      <c r="H315" s="18">
        <f>IFERROR(__xludf.DUMMYFUNCTION("""COMPUTED_VALUE"""),9021.0)</f>
        <v>9021</v>
      </c>
      <c r="I315" s="18">
        <f>IFERROR(__xludf.DUMMYFUNCTION("""COMPUTED_VALUE"""),100.0)</f>
        <v>100</v>
      </c>
      <c r="J315" s="18">
        <f>IFERROR(__xludf.DUMMYFUNCTION("""COMPUTED_VALUE"""),10.0)</f>
        <v>10</v>
      </c>
      <c r="K315" s="18">
        <f>IFERROR(__xludf.DUMMYFUNCTION("""COMPUTED_VALUE"""),5.0)</f>
        <v>5</v>
      </c>
      <c r="L315" s="17">
        <f>IFERROR(__xludf.DUMMYFUNCTION("""COMPUTED_VALUE"""),3.226751284E9)</f>
        <v>3226751284</v>
      </c>
      <c r="M315" s="17" t="str">
        <f>IFERROR(__xludf.DUMMYFUNCTION("""COMPUTED_VALUE"""),"#REF!")</f>
        <v>#REF!</v>
      </c>
      <c r="N315" s="17"/>
      <c r="O315" s="19" t="str">
        <f>IFERROR(__xludf.DUMMYFUNCTION("""COMPUTED_VALUE"""),"")</f>
        <v/>
      </c>
      <c r="P315" s="17" t="b">
        <f>IFERROR(__xludf.DUMMYFUNCTION("""COMPUTED_VALUE"""),TRUE)</f>
        <v>1</v>
      </c>
      <c r="Q315" s="20">
        <f>IFERROR(__xludf.DUMMYFUNCTION("""COMPUTED_VALUE"""),45007.707104444446)</f>
        <v>45007.7071</v>
      </c>
      <c r="R315" s="22" t="str">
        <f>IFERROR(__xludf.DUMMYFUNCTION("""COMPUTED_VALUE"""),"")</f>
        <v/>
      </c>
    </row>
    <row r="316">
      <c r="A316" s="15">
        <f>IFERROR(__xludf.DUMMYFUNCTION("""COMPUTED_VALUE"""),45007.0)</f>
        <v>45007</v>
      </c>
      <c r="B316" s="16" t="str">
        <f>IFERROR(__xludf.DUMMYFUNCTION("""COMPUTED_VALUE"""),"Envia")</f>
        <v>Envia</v>
      </c>
      <c r="C316" s="15" t="str">
        <f>IFERROR(__xludf.DUMMYFUNCTION("""COMPUTED_VALUE"""),"MANIZALES")</f>
        <v>MANIZALES</v>
      </c>
      <c r="D316" s="15" t="str">
        <f>IFERROR(__xludf.DUMMYFUNCTION("""COMPUTED_VALUE"""),"MEDELLÍN")</f>
        <v>MEDELLÍN</v>
      </c>
      <c r="E316" s="15" t="str">
        <f>IFERROR(__xludf.DUMMYFUNCTION("""COMPUTED_VALUE"""),"Todo Bufala")</f>
        <v>Todo Bufala</v>
      </c>
      <c r="F316" s="17" t="str">
        <f>IFERROR(__xludf.DUMMYFUNCTION("""COMPUTED_VALUE"""),"Cr24A#59-67  / Local 1 porta estrella / Barrio la estrella")</f>
        <v>Cr24A#59-67  / Local 1 porta estrella / Barrio la estrella</v>
      </c>
      <c r="G316" s="15" t="str">
        <f>IFERROR(__xludf.DUMMYFUNCTION("""COMPUTED_VALUE"""),"SEBASTIAN PEREZ")</f>
        <v>SEBASTIAN PEREZ</v>
      </c>
      <c r="H316" s="18">
        <f>IFERROR(__xludf.DUMMYFUNCTION("""COMPUTED_VALUE"""),8979.0)</f>
        <v>8979</v>
      </c>
      <c r="I316" s="18">
        <f>IFERROR(__xludf.DUMMYFUNCTION("""COMPUTED_VALUE"""),20.0)</f>
        <v>20</v>
      </c>
      <c r="J316" s="18">
        <f>IFERROR(__xludf.DUMMYFUNCTION("""COMPUTED_VALUE"""),30.0)</f>
        <v>30</v>
      </c>
      <c r="K316" s="18">
        <f>IFERROR(__xludf.DUMMYFUNCTION("""COMPUTED_VALUE"""),40.0)</f>
        <v>40</v>
      </c>
      <c r="L316" s="17">
        <f>IFERROR(__xludf.DUMMYFUNCTION("""COMPUTED_VALUE"""),3.106974621E9)</f>
        <v>3106974621</v>
      </c>
      <c r="M316" s="17" t="str">
        <f>IFERROR(__xludf.DUMMYFUNCTION("""COMPUTED_VALUE"""),"#REF!")</f>
        <v>#REF!</v>
      </c>
      <c r="N316" s="17"/>
      <c r="O316" s="19" t="str">
        <f>IFERROR(__xludf.DUMMYFUNCTION("""COMPUTED_VALUE"""),"")</f>
        <v/>
      </c>
      <c r="P316" s="17" t="b">
        <f>IFERROR(__xludf.DUMMYFUNCTION("""COMPUTED_VALUE"""),TRUE)</f>
        <v>1</v>
      </c>
      <c r="Q316" s="20">
        <f>IFERROR(__xludf.DUMMYFUNCTION("""COMPUTED_VALUE"""),45007.7071203588)</f>
        <v>45007.70712</v>
      </c>
      <c r="R316" s="22" t="str">
        <f>IFERROR(__xludf.DUMMYFUNCTION("""COMPUTED_VALUE"""),"")</f>
        <v/>
      </c>
    </row>
    <row r="317">
      <c r="A317" s="15">
        <f>IFERROR(__xludf.DUMMYFUNCTION("""COMPUTED_VALUE"""),45007.0)</f>
        <v>45007</v>
      </c>
      <c r="B317" s="16" t="str">
        <f>IFERROR(__xludf.DUMMYFUNCTION("""COMPUTED_VALUE"""),"Envia")</f>
        <v>Envia</v>
      </c>
      <c r="C317" s="15" t="str">
        <f>IFERROR(__xludf.DUMMYFUNCTION("""COMPUTED_VALUE"""),"MEDELLÍN")</f>
        <v>MEDELLÍN</v>
      </c>
      <c r="D317" s="15" t="str">
        <f>IFERROR(__xludf.DUMMYFUNCTION("""COMPUTED_VALUE"""),"BOGOTÁ")</f>
        <v>BOGOTÁ</v>
      </c>
      <c r="E317" s="15" t="str">
        <f>IFERROR(__xludf.DUMMYFUNCTION("""COMPUTED_VALUE"""),"Asociacion Agropecuaria Juana Maria")</f>
        <v>Asociacion Agropecuaria Juana Maria</v>
      </c>
      <c r="F31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317" s="15" t="str">
        <f>IFERROR(__xludf.DUMMYFUNCTION("""COMPUTED_VALUE"""),"Jennifer Sanchez Blandon")</f>
        <v>Jennifer Sanchez Blandon</v>
      </c>
      <c r="H317" s="18">
        <f>IFERROR(__xludf.DUMMYFUNCTION("""COMPUTED_VALUE"""),8984.0)</f>
        <v>8984</v>
      </c>
      <c r="I317" s="18">
        <f>IFERROR(__xludf.DUMMYFUNCTION("""COMPUTED_VALUE"""),21.0)</f>
        <v>21</v>
      </c>
      <c r="J317" s="18">
        <f>IFERROR(__xludf.DUMMYFUNCTION("""COMPUTED_VALUE"""),37.0)</f>
        <v>37</v>
      </c>
      <c r="K317" s="18">
        <f>IFERROR(__xludf.DUMMYFUNCTION("""COMPUTED_VALUE"""),30.0)</f>
        <v>30</v>
      </c>
      <c r="L317" s="17">
        <f>IFERROR(__xludf.DUMMYFUNCTION("""COMPUTED_VALUE"""),3.016937674E9)</f>
        <v>3016937674</v>
      </c>
      <c r="M317" s="17" t="str">
        <f>IFERROR(__xludf.DUMMYFUNCTION("""COMPUTED_VALUE"""),"#REF!")</f>
        <v>#REF!</v>
      </c>
      <c r="N317" s="17"/>
      <c r="O317" s="19" t="str">
        <f>IFERROR(__xludf.DUMMYFUNCTION("""COMPUTED_VALUE"""),"")</f>
        <v/>
      </c>
      <c r="P317" s="17" t="b">
        <f>IFERROR(__xludf.DUMMYFUNCTION("""COMPUTED_VALUE"""),TRUE)</f>
        <v>1</v>
      </c>
      <c r="Q317" s="20">
        <f>IFERROR(__xludf.DUMMYFUNCTION("""COMPUTED_VALUE"""),45007.681677280096)</f>
        <v>45007.68168</v>
      </c>
      <c r="R317" s="22" t="str">
        <f>IFERROR(__xludf.DUMMYFUNCTION("""COMPUTED_VALUE"""),"")</f>
        <v/>
      </c>
    </row>
    <row r="318">
      <c r="A318" s="15">
        <f>IFERROR(__xludf.DUMMYFUNCTION("""COMPUTED_VALUE"""),45007.0)</f>
        <v>45007</v>
      </c>
      <c r="B318" s="16" t="str">
        <f>IFERROR(__xludf.DUMMYFUNCTION("""COMPUTED_VALUE"""),"Envia")</f>
        <v>Envia</v>
      </c>
      <c r="C318" s="15" t="str">
        <f>IFERROR(__xludf.DUMMYFUNCTION("""COMPUTED_VALUE"""),"MEDELLÍN")</f>
        <v>MEDELLÍN</v>
      </c>
      <c r="D318" s="15" t="str">
        <f>IFERROR(__xludf.DUMMYFUNCTION("""COMPUTED_VALUE"""),"BOGOTÁ")</f>
        <v>BOGOTÁ</v>
      </c>
      <c r="E318" s="15" t="str">
        <f>IFERROR(__xludf.DUMMYFUNCTION("""COMPUTED_VALUE"""),"Asociacion Agropecuaria Juana Maria")</f>
        <v>Asociacion Agropecuaria Juana Maria</v>
      </c>
      <c r="F318" s="17" t="str">
        <f>IFERROR(__xludf.DUMMYFUNCTION("""COMPUTED_VALUE"""),"Cra 82C # 30A-100 apto 1202 urbanizacion Torres de Vicuña Belen los Alpes")</f>
        <v>Cra 82C # 30A-100 apto 1202 urbanizacion Torres de Vicuña Belen los Alpes</v>
      </c>
      <c r="G318" s="15" t="str">
        <f>IFERROR(__xludf.DUMMYFUNCTION("""COMPUTED_VALUE"""),"Gloria Moreno")</f>
        <v>Gloria Moreno</v>
      </c>
      <c r="H318" s="18">
        <f>IFERROR(__xludf.DUMMYFUNCTION("""COMPUTED_VALUE"""),8989.0)</f>
        <v>8989</v>
      </c>
      <c r="I318" s="18">
        <f>IFERROR(__xludf.DUMMYFUNCTION("""COMPUTED_VALUE"""),21.0)</f>
        <v>21</v>
      </c>
      <c r="J318" s="18">
        <f>IFERROR(__xludf.DUMMYFUNCTION("""COMPUTED_VALUE"""),37.0)</f>
        <v>37</v>
      </c>
      <c r="K318" s="18">
        <f>IFERROR(__xludf.DUMMYFUNCTION("""COMPUTED_VALUE"""),30.0)</f>
        <v>30</v>
      </c>
      <c r="L318" s="17">
        <f>IFERROR(__xludf.DUMMYFUNCTION("""COMPUTED_VALUE"""),3.162544201E9)</f>
        <v>3162544201</v>
      </c>
      <c r="M318" s="17" t="str">
        <f>IFERROR(__xludf.DUMMYFUNCTION("""COMPUTED_VALUE"""),"#REF!")</f>
        <v>#REF!</v>
      </c>
      <c r="N318" s="17"/>
      <c r="O318" s="19" t="str">
        <f>IFERROR(__xludf.DUMMYFUNCTION("""COMPUTED_VALUE"""),"")</f>
        <v/>
      </c>
      <c r="P318" s="17" t="b">
        <f>IFERROR(__xludf.DUMMYFUNCTION("""COMPUTED_VALUE"""),TRUE)</f>
        <v>1</v>
      </c>
      <c r="Q318" s="20">
        <f>IFERROR(__xludf.DUMMYFUNCTION("""COMPUTED_VALUE"""),45007.681677280096)</f>
        <v>45007.68168</v>
      </c>
      <c r="R318" s="21" t="str">
        <f>IFERROR(__xludf.DUMMYFUNCTION("""COMPUTED_VALUE"""),"https://drive.google.com/file/d/1W64HKTRc-B_5_Aj2wvasYe1qqqsjSiwk/view?usp=drivesdk")</f>
        <v>https://drive.google.com/file/d/1W64HKTRc-B_5_Aj2wvasYe1qqqsjSiwk/view?usp=drivesdk</v>
      </c>
    </row>
    <row r="319">
      <c r="A319" s="15">
        <f>IFERROR(__xludf.DUMMYFUNCTION("""COMPUTED_VALUE"""),45007.0)</f>
        <v>45007</v>
      </c>
      <c r="B319" s="16" t="str">
        <f>IFERROR(__xludf.DUMMYFUNCTION("""COMPUTED_VALUE"""),"Envia")</f>
        <v>Envia</v>
      </c>
      <c r="C319" s="15" t="str">
        <f>IFERROR(__xludf.DUMMYFUNCTION("""COMPUTED_VALUE"""),"MEDELLÍN")</f>
        <v>MEDELLÍN</v>
      </c>
      <c r="D319" s="15" t="str">
        <f>IFERROR(__xludf.DUMMYFUNCTION("""COMPUTED_VALUE"""),"BOGOTÁ")</f>
        <v>BOGOTÁ</v>
      </c>
      <c r="E319" s="15" t="str">
        <f>IFERROR(__xludf.DUMMYFUNCTION("""COMPUTED_VALUE"""),"Diana Rodriguez")</f>
        <v>Diana Rodriguez</v>
      </c>
      <c r="F319" s="17" t="str">
        <f>IFERROR(__xludf.DUMMYFUNCTION("""COMPUTED_VALUE"""),"Carrera 36 #10a 27 el poblado  / Restaurante Carmen / El Poblado")</f>
        <v>Carrera 36 #10a 27 el poblado  / Restaurante Carmen / El Poblado</v>
      </c>
      <c r="G319" s="15" t="str">
        <f>IFERROR(__xludf.DUMMYFUNCTION("""COMPUTED_VALUE"""),"Diego Jaramillo")</f>
        <v>Diego Jaramillo</v>
      </c>
      <c r="H319" s="18">
        <f>IFERROR(__xludf.DUMMYFUNCTION("""COMPUTED_VALUE"""),8963.0)</f>
        <v>8963</v>
      </c>
      <c r="I319" s="18">
        <f>IFERROR(__xludf.DUMMYFUNCTION("""COMPUTED_VALUE"""),30.0)</f>
        <v>30</v>
      </c>
      <c r="J319" s="18">
        <f>IFERROR(__xludf.DUMMYFUNCTION("""COMPUTED_VALUE"""),30.0)</f>
        <v>30</v>
      </c>
      <c r="K319" s="18">
        <f>IFERROR(__xludf.DUMMYFUNCTION("""COMPUTED_VALUE"""),30.0)</f>
        <v>30</v>
      </c>
      <c r="L319" s="17">
        <f>IFERROR(__xludf.DUMMYFUNCTION("""COMPUTED_VALUE"""),3.105375738E9)</f>
        <v>3105375738</v>
      </c>
      <c r="M319" s="17" t="str">
        <f>IFERROR(__xludf.DUMMYFUNCTION("""COMPUTED_VALUE"""),"#REF!")</f>
        <v>#REF!</v>
      </c>
      <c r="N319" s="17"/>
      <c r="O319" s="19" t="str">
        <f>IFERROR(__xludf.DUMMYFUNCTION("""COMPUTED_VALUE"""),"")</f>
        <v/>
      </c>
      <c r="P319" s="17" t="b">
        <f>IFERROR(__xludf.DUMMYFUNCTION("""COMPUTED_VALUE"""),TRUE)</f>
        <v>1</v>
      </c>
      <c r="Q319" s="20">
        <f>IFERROR(__xludf.DUMMYFUNCTION("""COMPUTED_VALUE"""),45007.681677280096)</f>
        <v>45007.68168</v>
      </c>
      <c r="R319" s="22" t="str">
        <f>IFERROR(__xludf.DUMMYFUNCTION("""COMPUTED_VALUE"""),"")</f>
        <v/>
      </c>
    </row>
    <row r="320">
      <c r="A320" s="15">
        <f>IFERROR(__xludf.DUMMYFUNCTION("""COMPUTED_VALUE"""),45007.0)</f>
        <v>45007</v>
      </c>
      <c r="B320" s="16" t="str">
        <f>IFERROR(__xludf.DUMMYFUNCTION("""COMPUTED_VALUE"""),"Envia")</f>
        <v>Envia</v>
      </c>
      <c r="C320" s="15" t="str">
        <f>IFERROR(__xludf.DUMMYFUNCTION("""COMPUTED_VALUE"""),"MEDELLÍN")</f>
        <v>MEDELLÍN</v>
      </c>
      <c r="D320" s="15" t="str">
        <f>IFERROR(__xludf.DUMMYFUNCTION("""COMPUTED_VALUE"""),"BOGOTÁ")</f>
        <v>BOGOTÁ</v>
      </c>
      <c r="E320" s="15" t="str">
        <f>IFERROR(__xludf.DUMMYFUNCTION("""COMPUTED_VALUE"""),"Evamazzita")</f>
        <v>Evamazzita</v>
      </c>
      <c r="F320" s="17" t="str">
        <f>IFERROR(__xludf.DUMMYFUNCTION("""COMPUTED_VALUE"""),"CLL 29 #57-122  / segundo piso  / CABAÑAS BELLO")</f>
        <v>CLL 29 #57-122  / segundo piso  / CABAÑAS BELLO</v>
      </c>
      <c r="G320" s="15" t="str">
        <f>IFERROR(__xludf.DUMMYFUNCTION("""COMPUTED_VALUE"""),"CAMILA ANDREA PARRA ZULETA")</f>
        <v>CAMILA ANDREA PARRA ZULETA</v>
      </c>
      <c r="H320" s="18">
        <f>IFERROR(__xludf.DUMMYFUNCTION("""COMPUTED_VALUE"""),9018.0)</f>
        <v>9018</v>
      </c>
      <c r="I320" s="18">
        <f>IFERROR(__xludf.DUMMYFUNCTION("""COMPUTED_VALUE"""),3.0)</f>
        <v>3</v>
      </c>
      <c r="J320" s="18">
        <f>IFERROR(__xludf.DUMMYFUNCTION("""COMPUTED_VALUE"""),15.0)</f>
        <v>15</v>
      </c>
      <c r="K320" s="18">
        <f>IFERROR(__xludf.DUMMYFUNCTION("""COMPUTED_VALUE"""),20.0)</f>
        <v>20</v>
      </c>
      <c r="L320" s="17">
        <f>IFERROR(__xludf.DUMMYFUNCTION("""COMPUTED_VALUE"""),3.14397666E9)</f>
        <v>3143976660</v>
      </c>
      <c r="M320" s="17" t="str">
        <f>IFERROR(__xludf.DUMMYFUNCTION("""COMPUTED_VALUE"""),"#REF!")</f>
        <v>#REF!</v>
      </c>
      <c r="N320" s="17"/>
      <c r="O320" s="19" t="str">
        <f>IFERROR(__xludf.DUMMYFUNCTION("""COMPUTED_VALUE"""),"")</f>
        <v/>
      </c>
      <c r="P320" s="17" t="b">
        <f>IFERROR(__xludf.DUMMYFUNCTION("""COMPUTED_VALUE"""),TRUE)</f>
        <v>1</v>
      </c>
      <c r="Q320" s="20">
        <f>IFERROR(__xludf.DUMMYFUNCTION("""COMPUTED_VALUE"""),45007.681677280096)</f>
        <v>45007.68168</v>
      </c>
      <c r="R320" s="21" t="str">
        <f>IFERROR(__xludf.DUMMYFUNCTION("""COMPUTED_VALUE"""),"https://drive.google.com/file/d/1esybpi1-ciu_hLcCQzNAIAha7HdvCx1n/view?usp=drivesdk")</f>
        <v>https://drive.google.com/file/d/1esybpi1-ciu_hLcCQzNAIAha7HdvCx1n/view?usp=drivesdk</v>
      </c>
    </row>
    <row r="321">
      <c r="A321" s="15">
        <f>IFERROR(__xludf.DUMMYFUNCTION("""COMPUTED_VALUE"""),45007.0)</f>
        <v>45007</v>
      </c>
      <c r="B321" s="16" t="str">
        <f>IFERROR(__xludf.DUMMYFUNCTION("""COMPUTED_VALUE"""),"Envia")</f>
        <v>Envia</v>
      </c>
      <c r="C321" s="15" t="str">
        <f>IFERROR(__xludf.DUMMYFUNCTION("""COMPUTED_VALUE"""),"MEDELLÍN")</f>
        <v>MEDELLÍN</v>
      </c>
      <c r="D321" s="15" t="str">
        <f>IFERROR(__xludf.DUMMYFUNCTION("""COMPUTED_VALUE"""),"BOGOTÁ")</f>
        <v>BOGOTÁ</v>
      </c>
      <c r="E321" s="15" t="str">
        <f>IFERROR(__xludf.DUMMYFUNCTION("""COMPUTED_VALUE"""),"Helados Socos")</f>
        <v>Helados Socos</v>
      </c>
      <c r="F321" s="17" t="str">
        <f>IFERROR(__xludf.DUMMYFUNCTION("""COMPUTED_VALUE"""),"Cll 7 sur # 23 - 03  / Jardines de sierralta apto 1501 / Medellín")</f>
        <v>Cll 7 sur # 23 - 03  / Jardines de sierralta apto 1501 / Medellín</v>
      </c>
      <c r="G321" s="15" t="str">
        <f>IFERROR(__xludf.DUMMYFUNCTION("""COMPUTED_VALUE"""),"Nicol Libos")</f>
        <v>Nicol Libos</v>
      </c>
      <c r="H321" s="18">
        <f>IFERROR(__xludf.DUMMYFUNCTION("""COMPUTED_VALUE"""),8930.0)</f>
        <v>8930</v>
      </c>
      <c r="I321" s="18">
        <f>IFERROR(__xludf.DUMMYFUNCTION("""COMPUTED_VALUE"""),10.0)</f>
        <v>10</v>
      </c>
      <c r="J321" s="18">
        <f>IFERROR(__xludf.DUMMYFUNCTION("""COMPUTED_VALUE"""),15.0)</f>
        <v>15</v>
      </c>
      <c r="K321" s="18">
        <f>IFERROR(__xludf.DUMMYFUNCTION("""COMPUTED_VALUE"""),10.0)</f>
        <v>10</v>
      </c>
      <c r="L321" s="17">
        <f>IFERROR(__xludf.DUMMYFUNCTION("""COMPUTED_VALUE"""),3.15392217E9)</f>
        <v>3153922170</v>
      </c>
      <c r="M321" s="17" t="str">
        <f>IFERROR(__xludf.DUMMYFUNCTION("""COMPUTED_VALUE"""),"#REF!")</f>
        <v>#REF!</v>
      </c>
      <c r="N321" s="17"/>
      <c r="O321" s="19" t="str">
        <f>IFERROR(__xludf.DUMMYFUNCTION("""COMPUTED_VALUE"""),"")</f>
        <v/>
      </c>
      <c r="P321" s="17" t="b">
        <f>IFERROR(__xludf.DUMMYFUNCTION("""COMPUTED_VALUE"""),TRUE)</f>
        <v>1</v>
      </c>
      <c r="Q321" s="20">
        <f>IFERROR(__xludf.DUMMYFUNCTION("""COMPUTED_VALUE"""),45007.681677280096)</f>
        <v>45007.68168</v>
      </c>
      <c r="R321" s="22" t="str">
        <f>IFERROR(__xludf.DUMMYFUNCTION("""COMPUTED_VALUE"""),"")</f>
        <v/>
      </c>
    </row>
    <row r="322">
      <c r="A322" s="15">
        <f>IFERROR(__xludf.DUMMYFUNCTION("""COMPUTED_VALUE"""),45007.0)</f>
        <v>45007</v>
      </c>
      <c r="B322" s="16" t="str">
        <f>IFERROR(__xludf.DUMMYFUNCTION("""COMPUTED_VALUE"""),"Envia")</f>
        <v>Envia</v>
      </c>
      <c r="C322" s="15" t="str">
        <f>IFERROR(__xludf.DUMMYFUNCTION("""COMPUTED_VALUE"""),"MEDELLÍN")</f>
        <v>MEDELLÍN</v>
      </c>
      <c r="D322" s="15" t="str">
        <f>IFERROR(__xludf.DUMMYFUNCTION("""COMPUTED_VALUE"""),"BOGOTÁ")</f>
        <v>BOGOTÁ</v>
      </c>
      <c r="E322" s="15" t="str">
        <f>IFERROR(__xludf.DUMMYFUNCTION("""COMPUTED_VALUE"""),"Ins. Alimento Vital")</f>
        <v>Ins. Alimento Vital</v>
      </c>
      <c r="F322" s="17" t="str">
        <f>IFERROR(__xludf.DUMMYFUNCTION("""COMPUTED_VALUE"""),"AV. 74B # 39B 142 / CASA NEGRA 2 PISO / BARRIO LAURELES")</f>
        <v>AV. 74B # 39B 142 / CASA NEGRA 2 PISO / BARRIO LAURELES</v>
      </c>
      <c r="G322" s="15" t="str">
        <f>IFERROR(__xludf.DUMMYFUNCTION("""COMPUTED_VALUE"""),"REPUPLICA INDEPENDIENTE")</f>
        <v>REPUPLICA INDEPENDIENTE</v>
      </c>
      <c r="H322" s="18">
        <f>IFERROR(__xludf.DUMMYFUNCTION("""COMPUTED_VALUE"""),8999.0)</f>
        <v>8999</v>
      </c>
      <c r="I322" s="18">
        <f>IFERROR(__xludf.DUMMYFUNCTION("""COMPUTED_VALUE"""),165.0)</f>
        <v>165</v>
      </c>
      <c r="J322" s="18">
        <f>IFERROR(__xludf.DUMMYFUNCTION("""COMPUTED_VALUE"""),45.0)</f>
        <v>45</v>
      </c>
      <c r="K322" s="18" t="str">
        <f>IFERROR(__xludf.DUMMYFUNCTION("""COMPUTED_VALUE"""),"52.5")</f>
        <v>52.5</v>
      </c>
      <c r="L322" s="17">
        <f>IFERROR(__xludf.DUMMYFUNCTION("""COMPUTED_VALUE"""),3.102324682E9)</f>
        <v>3102324682</v>
      </c>
      <c r="M322" s="17" t="str">
        <f>IFERROR(__xludf.DUMMYFUNCTION("""COMPUTED_VALUE"""),"#REF!")</f>
        <v>#REF!</v>
      </c>
      <c r="N322" s="17"/>
      <c r="O322" s="19" t="str">
        <f>IFERROR(__xludf.DUMMYFUNCTION("""COMPUTED_VALUE"""),"")</f>
        <v/>
      </c>
      <c r="P322" s="17" t="b">
        <f>IFERROR(__xludf.DUMMYFUNCTION("""COMPUTED_VALUE"""),TRUE)</f>
        <v>1</v>
      </c>
      <c r="Q322" s="20">
        <f>IFERROR(__xludf.DUMMYFUNCTION("""COMPUTED_VALUE"""),45007.681677280096)</f>
        <v>45007.68168</v>
      </c>
      <c r="R322" s="22" t="str">
        <f>IFERROR(__xludf.DUMMYFUNCTION("""COMPUTED_VALUE"""),"")</f>
        <v/>
      </c>
    </row>
    <row r="323">
      <c r="A323" s="15">
        <f>IFERROR(__xludf.DUMMYFUNCTION("""COMPUTED_VALUE"""),45007.0)</f>
        <v>45007</v>
      </c>
      <c r="B323" s="16" t="str">
        <f>IFERROR(__xludf.DUMMYFUNCTION("""COMPUTED_VALUE"""),"Envia")</f>
        <v>Envia</v>
      </c>
      <c r="C323" s="15" t="str">
        <f>IFERROR(__xludf.DUMMYFUNCTION("""COMPUTED_VALUE"""),"MEDELLÍN")</f>
        <v>MEDELLÍN</v>
      </c>
      <c r="D323" s="15" t="str">
        <f>IFERROR(__xludf.DUMMYFUNCTION("""COMPUTED_VALUE"""),"BOGOTÁ")</f>
        <v>BOGOTÁ</v>
      </c>
      <c r="E323" s="15" t="str">
        <f>IFERROR(__xludf.DUMMYFUNCTION("""COMPUTED_VALUE"""),"Lunchy Kids")</f>
        <v>Lunchy Kids</v>
      </c>
      <c r="F323" s="17" t="str">
        <f>IFERROR(__xludf.DUMMYFUNCTION("""COMPUTED_VALUE"""),"Calle 28 sur # 27-201  / Edificio Regatta. Apto 1308 / Sector cumbres- envigado")</f>
        <v>Calle 28 sur # 27-201  / Edificio Regatta. Apto 1308 / Sector cumbres- envigado</v>
      </c>
      <c r="G323" s="15" t="str">
        <f>IFERROR(__xludf.DUMMYFUNCTION("""COMPUTED_VALUE"""),"Sara Pelaez monsalve")</f>
        <v>Sara Pelaez monsalve</v>
      </c>
      <c r="H323" s="18">
        <f>IFERROR(__xludf.DUMMYFUNCTION("""COMPUTED_VALUE"""),9035.0)</f>
        <v>9035</v>
      </c>
      <c r="I323" s="18">
        <f>IFERROR(__xludf.DUMMYFUNCTION("""COMPUTED_VALUE"""),10.0)</f>
        <v>10</v>
      </c>
      <c r="J323" s="18">
        <f>IFERROR(__xludf.DUMMYFUNCTION("""COMPUTED_VALUE"""),5.0)</f>
        <v>5</v>
      </c>
      <c r="K323" s="18">
        <f>IFERROR(__xludf.DUMMYFUNCTION("""COMPUTED_VALUE"""),28.0)</f>
        <v>28</v>
      </c>
      <c r="L323" s="17">
        <f>IFERROR(__xludf.DUMMYFUNCTION("""COMPUTED_VALUE"""),3.248896798E9)</f>
        <v>3248896798</v>
      </c>
      <c r="M323" s="17" t="str">
        <f>IFERROR(__xludf.DUMMYFUNCTION("""COMPUTED_VALUE"""),"#REF!")</f>
        <v>#REF!</v>
      </c>
      <c r="N323" s="17"/>
      <c r="O323" s="19" t="str">
        <f>IFERROR(__xludf.DUMMYFUNCTION("""COMPUTED_VALUE"""),"")</f>
        <v/>
      </c>
      <c r="P323" s="17" t="b">
        <f>IFERROR(__xludf.DUMMYFUNCTION("""COMPUTED_VALUE"""),TRUE)</f>
        <v>1</v>
      </c>
      <c r="Q323" s="20">
        <f>IFERROR(__xludf.DUMMYFUNCTION("""COMPUTED_VALUE"""),45007.681677280096)</f>
        <v>45007.68168</v>
      </c>
      <c r="R323" s="22" t="str">
        <f>IFERROR(__xludf.DUMMYFUNCTION("""COMPUTED_VALUE"""),"")</f>
        <v/>
      </c>
    </row>
    <row r="324">
      <c r="A324" s="15">
        <f>IFERROR(__xludf.DUMMYFUNCTION("""COMPUTED_VALUE"""),45007.0)</f>
        <v>45007</v>
      </c>
      <c r="B324" s="16" t="str">
        <f>IFERROR(__xludf.DUMMYFUNCTION("""COMPUTED_VALUE"""),"Envia")</f>
        <v>Envia</v>
      </c>
      <c r="C324" s="15" t="str">
        <f>IFERROR(__xludf.DUMMYFUNCTION("""COMPUTED_VALUE"""),"MEDELLÍN")</f>
        <v>MEDELLÍN</v>
      </c>
      <c r="D324" s="15" t="str">
        <f>IFERROR(__xludf.DUMMYFUNCTION("""COMPUTED_VALUE"""),"BOGOTÁ")</f>
        <v>BOGOTÁ</v>
      </c>
      <c r="E324" s="15" t="str">
        <f>IFERROR(__xludf.DUMMYFUNCTION("""COMPUTED_VALUE"""),"MAI ALIMENTOS S.A.S")</f>
        <v>MAI ALIMENTOS S.A.S</v>
      </c>
      <c r="F324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324" s="15" t="str">
        <f>IFERROR(__xludf.DUMMYFUNCTION("""COMPUTED_VALUE"""),"Novaventas - Medellin")</f>
        <v>Novaventas - Medellin</v>
      </c>
      <c r="H324" s="18">
        <f>IFERROR(__xludf.DUMMYFUNCTION("""COMPUTED_VALUE"""),8993.0)</f>
        <v>8993</v>
      </c>
      <c r="I324" s="18">
        <f>IFERROR(__xludf.DUMMYFUNCTION("""COMPUTED_VALUE"""),35.0)</f>
        <v>35</v>
      </c>
      <c r="J324" s="18">
        <f>IFERROR(__xludf.DUMMYFUNCTION("""COMPUTED_VALUE"""),17.0)</f>
        <v>17</v>
      </c>
      <c r="K324" s="18">
        <f>IFERROR(__xludf.DUMMYFUNCTION("""COMPUTED_VALUE"""),13.0)</f>
        <v>13</v>
      </c>
      <c r="L324" s="17">
        <f>IFERROR(__xludf.DUMMYFUNCTION("""COMPUTED_VALUE"""),3.187351593E9)</f>
        <v>3187351593</v>
      </c>
      <c r="M324" s="17" t="str">
        <f>IFERROR(__xludf.DUMMYFUNCTION("""COMPUTED_VALUE"""),"#REF!")</f>
        <v>#REF!</v>
      </c>
      <c r="N324" s="17"/>
      <c r="O324" s="19" t="str">
        <f>IFERROR(__xludf.DUMMYFUNCTION("""COMPUTED_VALUE"""),"")</f>
        <v/>
      </c>
      <c r="P324" s="17" t="b">
        <f>IFERROR(__xludf.DUMMYFUNCTION("""COMPUTED_VALUE"""),FALSE)</f>
        <v>0</v>
      </c>
      <c r="Q324" s="20" t="str">
        <f>IFERROR(__xludf.DUMMYFUNCTION("""COMPUTED_VALUE"""),"")</f>
        <v/>
      </c>
      <c r="R324" s="22" t="str">
        <f>IFERROR(__xludf.DUMMYFUNCTION("""COMPUTED_VALUE"""),"")</f>
        <v/>
      </c>
    </row>
    <row r="325">
      <c r="A325" s="17" t="str">
        <f>IFERROR(__xludf.DUMMYFUNCTION("""COMPUTED_VALUE"""),"")</f>
        <v/>
      </c>
      <c r="B325" s="17" t="str">
        <f>IFERROR(__xludf.DUMMYFUNCTION("""COMPUTED_VALUE"""),"")</f>
        <v/>
      </c>
      <c r="C325" s="17" t="str">
        <f>IFERROR(__xludf.DUMMYFUNCTION("""COMPUTED_VALUE"""),"")</f>
        <v/>
      </c>
      <c r="D325" s="17" t="str">
        <f>IFERROR(__xludf.DUMMYFUNCTION("""COMPUTED_VALUE"""),"")</f>
        <v/>
      </c>
      <c r="E325" s="17" t="str">
        <f>IFERROR(__xludf.DUMMYFUNCTION("""COMPUTED_VALUE"""),"")</f>
        <v/>
      </c>
      <c r="F325" s="17" t="str">
        <f>IFERROR(__xludf.DUMMYFUNCTION("""COMPUTED_VALUE"""),"")</f>
        <v/>
      </c>
      <c r="G325" s="17" t="str">
        <f>IFERROR(__xludf.DUMMYFUNCTION("""COMPUTED_VALUE"""),"")</f>
        <v/>
      </c>
      <c r="H325" s="17" t="str">
        <f>IFERROR(__xludf.DUMMYFUNCTION("""COMPUTED_VALUE"""),"")</f>
        <v/>
      </c>
      <c r="I325" s="17" t="str">
        <f>IFERROR(__xludf.DUMMYFUNCTION("""COMPUTED_VALUE"""),"")</f>
        <v/>
      </c>
      <c r="J325" s="17" t="str">
        <f>IFERROR(__xludf.DUMMYFUNCTION("""COMPUTED_VALUE"""),"")</f>
        <v/>
      </c>
      <c r="K325" s="17" t="str">
        <f>IFERROR(__xludf.DUMMYFUNCTION("""COMPUTED_VALUE"""),"")</f>
        <v/>
      </c>
      <c r="L325" s="17" t="str">
        <f>IFERROR(__xludf.DUMMYFUNCTION("""COMPUTED_VALUE"""),"")</f>
        <v/>
      </c>
      <c r="M325" s="17" t="str">
        <f>IFERROR(__xludf.DUMMYFUNCTION("""COMPUTED_VALUE"""),"")</f>
        <v/>
      </c>
      <c r="N325" s="17" t="str">
        <f>IFERROR(__xludf.DUMMYFUNCTION("""COMPUTED_VALUE"""),"")</f>
        <v/>
      </c>
      <c r="O325" s="17" t="str">
        <f>IFERROR(__xludf.DUMMYFUNCTION("""COMPUTED_VALUE"""),"")</f>
        <v/>
      </c>
      <c r="P325" s="17" t="str">
        <f>IFERROR(__xludf.DUMMYFUNCTION("""COMPUTED_VALUE"""),"")</f>
        <v/>
      </c>
      <c r="Q325" s="17" t="str">
        <f>IFERROR(__xludf.DUMMYFUNCTION("""COMPUTED_VALUE"""),"")</f>
        <v/>
      </c>
      <c r="R325" s="17" t="str">
        <f>IFERROR(__xludf.DUMMYFUNCTION("""COMPUTED_VALUE"""),"")</f>
        <v/>
      </c>
    </row>
    <row r="326">
      <c r="A326" s="15">
        <f>IFERROR(__xludf.DUMMYFUNCTION("""COMPUTED_VALUE"""),45007.0)</f>
        <v>45007</v>
      </c>
      <c r="B326" s="16" t="str">
        <f>IFERROR(__xludf.DUMMYFUNCTION("""COMPUTED_VALUE"""),"Jesus Manuel Herrera Medina ")</f>
        <v>Jesus Manuel Herrera Medina </v>
      </c>
      <c r="C326" s="15" t="str">
        <f>IFERROR(__xludf.DUMMYFUNCTION("""COMPUTED_VALUE"""),"BUCARAMANGA")</f>
        <v>BUCARAMANGA</v>
      </c>
      <c r="D326" s="15" t="str">
        <f>IFERROR(__xludf.DUMMYFUNCTION("""COMPUTED_VALUE"""),"MEDELLÍN")</f>
        <v>MEDELLÍN</v>
      </c>
      <c r="E326" s="15" t="str">
        <f>IFERROR(__xludf.DUMMYFUNCTION("""COMPUTED_VALUE"""),"AREPAS LA MARY")</f>
        <v>AREPAS LA MARY</v>
      </c>
      <c r="F326" s="17" t="str">
        <f>IFERROR(__xludf.DUMMYFUNCTION("""COMPUTED_VALUE"""),"CALLE 55 # 13 -56 PISO 3")</f>
        <v>CALLE 55 # 13 -56 PISO 3</v>
      </c>
      <c r="G326" s="15" t="str">
        <f>IFERROR(__xludf.DUMMYFUNCTION("""COMPUTED_VALUE"""),"ARANDANO")</f>
        <v>ARANDANO</v>
      </c>
      <c r="H326" s="18">
        <f>IFERROR(__xludf.DUMMYFUNCTION("""COMPUTED_VALUE"""),9004.0)</f>
        <v>9004</v>
      </c>
      <c r="I326" s="18">
        <f>IFERROR(__xludf.DUMMYFUNCTION("""COMPUTED_VALUE"""),89.0)</f>
        <v>89</v>
      </c>
      <c r="J326" s="18">
        <f>IFERROR(__xludf.DUMMYFUNCTION("""COMPUTED_VALUE"""),1.0)</f>
        <v>1</v>
      </c>
      <c r="K326" s="18">
        <f>IFERROR(__xludf.DUMMYFUNCTION("""COMPUTED_VALUE"""),10.0)</f>
        <v>10</v>
      </c>
      <c r="L326" s="17">
        <f>IFERROR(__xludf.DUMMYFUNCTION("""COMPUTED_VALUE"""),3.158600162E9)</f>
        <v>3158600162</v>
      </c>
      <c r="M326" s="17" t="str">
        <f>IFERROR(__xludf.DUMMYFUNCTION("""COMPUTED_VALUE"""),"#REF!")</f>
        <v>#REF!</v>
      </c>
      <c r="N326" s="17"/>
      <c r="O326" s="19" t="str">
        <f>IFERROR(__xludf.DUMMYFUNCTION("""COMPUTED_VALUE"""),"")</f>
        <v/>
      </c>
      <c r="P326" s="17" t="b">
        <f>IFERROR(__xludf.DUMMYFUNCTION("""COMPUTED_VALUE"""),TRUE)</f>
        <v>1</v>
      </c>
      <c r="Q326" s="20">
        <f>IFERROR(__xludf.DUMMYFUNCTION("""COMPUTED_VALUE"""),45007.681677280096)</f>
        <v>45007.68168</v>
      </c>
      <c r="R326" s="22" t="str">
        <f>IFERROR(__xludf.DUMMYFUNCTION("""COMPUTED_VALUE"""),"")</f>
        <v/>
      </c>
    </row>
    <row r="327">
      <c r="A327" s="15">
        <f>IFERROR(__xludf.DUMMYFUNCTION("""COMPUTED_VALUE"""),45007.0)</f>
        <v>45007</v>
      </c>
      <c r="B327" s="16" t="str">
        <f>IFERROR(__xludf.DUMMYFUNCTION("""COMPUTED_VALUE"""),"Jesus Manuel Herrera Medina ")</f>
        <v>Jesus Manuel Herrera Medina </v>
      </c>
      <c r="C327" s="15" t="str">
        <f>IFERROR(__xludf.DUMMYFUNCTION("""COMPUTED_VALUE"""),"FLORIDABLANCA")</f>
        <v>FLORIDABLANCA</v>
      </c>
      <c r="D327" s="15" t="str">
        <f>IFERROR(__xludf.DUMMYFUNCTION("""COMPUTED_VALUE"""),"BOGOTÁ")</f>
        <v>BOGOTÁ</v>
      </c>
      <c r="E327" s="15" t="str">
        <f>IFERROR(__xludf.DUMMYFUNCTION("""COMPUTED_VALUE"""),"Asociacion Agropecuaria Juana Maria")</f>
        <v>Asociacion Agropecuaria Juana Maria</v>
      </c>
      <c r="F327" s="17" t="str">
        <f>IFERROR(__xludf.DUMMYFUNCTION("""COMPUTED_VALUE"""),"Calle 19 #11-37 Guanatá FLORIDABLANCA")</f>
        <v>Calle 19 #11-37 Guanatá FLORIDABLANCA</v>
      </c>
      <c r="G327" s="15" t="str">
        <f>IFERROR(__xludf.DUMMYFUNCTION("""COMPUTED_VALUE"""),"Claudia Gonzalez")</f>
        <v>Claudia Gonzalez</v>
      </c>
      <c r="H327" s="18">
        <f>IFERROR(__xludf.DUMMYFUNCTION("""COMPUTED_VALUE"""),8986.0)</f>
        <v>8986</v>
      </c>
      <c r="I327" s="18">
        <f>IFERROR(__xludf.DUMMYFUNCTION("""COMPUTED_VALUE"""),16.0)</f>
        <v>16</v>
      </c>
      <c r="J327" s="18">
        <f>IFERROR(__xludf.DUMMYFUNCTION("""COMPUTED_VALUE"""),34.0)</f>
        <v>34</v>
      </c>
      <c r="K327" s="18">
        <f>IFERROR(__xludf.DUMMYFUNCTION("""COMPUTED_VALUE"""),25.0)</f>
        <v>25</v>
      </c>
      <c r="L327" s="17">
        <f>IFERROR(__xludf.DUMMYFUNCTION("""COMPUTED_VALUE"""),3.002802001E9)</f>
        <v>3002802001</v>
      </c>
      <c r="M327" s="17" t="str">
        <f>IFERROR(__xludf.DUMMYFUNCTION("""COMPUTED_VALUE"""),"#REF!")</f>
        <v>#REF!</v>
      </c>
      <c r="N327" s="17"/>
      <c r="O327" s="19" t="str">
        <f>IFERROR(__xludf.DUMMYFUNCTION("""COMPUTED_VALUE"""),"")</f>
        <v/>
      </c>
      <c r="P327" s="17" t="b">
        <f>IFERROR(__xludf.DUMMYFUNCTION("""COMPUTED_VALUE"""),TRUE)</f>
        <v>1</v>
      </c>
      <c r="Q327" s="20">
        <f>IFERROR(__xludf.DUMMYFUNCTION("""COMPUTED_VALUE"""),45007.681677280096)</f>
        <v>45007.68168</v>
      </c>
      <c r="R327" s="22" t="str">
        <f>IFERROR(__xludf.DUMMYFUNCTION("""COMPUTED_VALUE"""),"")</f>
        <v/>
      </c>
    </row>
    <row r="328">
      <c r="A328" s="15">
        <f>IFERROR(__xludf.DUMMYFUNCTION("""COMPUTED_VALUE"""),45007.0)</f>
        <v>45007</v>
      </c>
      <c r="B328" s="16" t="str">
        <f>IFERROR(__xludf.DUMMYFUNCTION("""COMPUTED_VALUE"""),"Jesus Manuel Herrera Medina ")</f>
        <v>Jesus Manuel Herrera Medina </v>
      </c>
      <c r="C328" s="15" t="str">
        <f>IFERROR(__xludf.DUMMYFUNCTION("""COMPUTED_VALUE"""),"FLORIDABLANCA")</f>
        <v>FLORIDABLANCA</v>
      </c>
      <c r="D328" s="15" t="str">
        <f>IFERROR(__xludf.DUMMYFUNCTION("""COMPUTED_VALUE"""),"MEDELLÍN")</f>
        <v>MEDELLÍN</v>
      </c>
      <c r="E328" s="15" t="str">
        <f>IFERROR(__xludf.DUMMYFUNCTION("""COMPUTED_VALUE"""),"AREPAS LA MARY")</f>
        <v>AREPAS LA MARY</v>
      </c>
      <c r="F328" s="17" t="str">
        <f>IFERROR(__xludf.DUMMYFUNCTION("""COMPUTED_VALUE"""),"carrera 21 # 26 -83 / conjunto torres del club apto 903")</f>
        <v>carrera 21 # 26 -83 / conjunto torres del club apto 903</v>
      </c>
      <c r="G328" s="15" t="str">
        <f>IFERROR(__xludf.DUMMYFUNCTION("""COMPUTED_VALUE"""),"Diana Ortega")</f>
        <v>Diana Ortega</v>
      </c>
      <c r="H328" s="18">
        <f>IFERROR(__xludf.DUMMYFUNCTION("""COMPUTED_VALUE"""),9005.0)</f>
        <v>9005</v>
      </c>
      <c r="I328" s="18">
        <f>IFERROR(__xludf.DUMMYFUNCTION("""COMPUTED_VALUE"""),89.0)</f>
        <v>89</v>
      </c>
      <c r="J328" s="18">
        <f>IFERROR(__xludf.DUMMYFUNCTION("""COMPUTED_VALUE"""),1.0)</f>
        <v>1</v>
      </c>
      <c r="K328" s="18">
        <f>IFERROR(__xludf.DUMMYFUNCTION("""COMPUTED_VALUE"""),10.0)</f>
        <v>10</v>
      </c>
      <c r="L328" s="17">
        <f>IFERROR(__xludf.DUMMYFUNCTION("""COMPUTED_VALUE"""),3.183455498E9)</f>
        <v>3183455498</v>
      </c>
      <c r="M328" s="17" t="str">
        <f>IFERROR(__xludf.DUMMYFUNCTION("""COMPUTED_VALUE"""),"#REF!")</f>
        <v>#REF!</v>
      </c>
      <c r="N328" s="17"/>
      <c r="O328" s="19" t="str">
        <f>IFERROR(__xludf.DUMMYFUNCTION("""COMPUTED_VALUE"""),"")</f>
        <v/>
      </c>
      <c r="P328" s="17" t="b">
        <f>IFERROR(__xludf.DUMMYFUNCTION("""COMPUTED_VALUE"""),TRUE)</f>
        <v>1</v>
      </c>
      <c r="Q328" s="20">
        <f>IFERROR(__xludf.DUMMYFUNCTION("""COMPUTED_VALUE"""),45007.681677280096)</f>
        <v>45007.68168</v>
      </c>
      <c r="R328" s="22" t="str">
        <f>IFERROR(__xludf.DUMMYFUNCTION("""COMPUTED_VALUE"""),"")</f>
        <v/>
      </c>
    </row>
    <row r="329">
      <c r="A329" s="15">
        <f>IFERROR(__xludf.DUMMYFUNCTION("""COMPUTED_VALUE"""),45007.0)</f>
        <v>45007</v>
      </c>
      <c r="B329" s="16" t="str">
        <f>IFERROR(__xludf.DUMMYFUNCTION("""COMPUTED_VALUE"""),"Jesus Manuel Herrera Medina ")</f>
        <v>Jesus Manuel Herrera Medina </v>
      </c>
      <c r="C329" s="15" t="str">
        <f>IFERROR(__xludf.DUMMYFUNCTION("""COMPUTED_VALUE"""),"PEREIRA")</f>
        <v>PEREIRA</v>
      </c>
      <c r="D329" s="15" t="str">
        <f>IFERROR(__xludf.DUMMYFUNCTION("""COMPUTED_VALUE"""),"MEDELLÍN")</f>
        <v>MEDELLÍN</v>
      </c>
      <c r="E329" s="15" t="str">
        <f>IFERROR(__xludf.DUMMYFUNCTION("""COMPUTED_VALUE"""),"Todo Bufala")</f>
        <v>Todo Bufala</v>
      </c>
      <c r="F329" s="17" t="str">
        <f>IFERROR(__xludf.DUMMYFUNCTION("""COMPUTED_VALUE"""),"Pereira, Cra 14 N 12-55 circunvalar / Pereira, Cra 14 N 12-55 circunvalar / Pereira, Cra 14 N 12-55 circunvalar")</f>
        <v>Pereira, Cra 14 N 12-55 circunvalar / Pereira, Cra 14 N 12-55 circunvalar / Pereira, Cra 14 N 12-55 circunvalar</v>
      </c>
      <c r="G329" s="15" t="str">
        <f>IFERROR(__xludf.DUMMYFUNCTION("""COMPUTED_VALUE"""),"Elkin Oswaldo Davila Alzate")</f>
        <v>Elkin Oswaldo Davila Alzate</v>
      </c>
      <c r="H329" s="18">
        <f>IFERROR(__xludf.DUMMYFUNCTION("""COMPUTED_VALUE"""),8981.0)</f>
        <v>8981</v>
      </c>
      <c r="I329" s="18">
        <f>IFERROR(__xludf.DUMMYFUNCTION("""COMPUTED_VALUE"""),20.0)</f>
        <v>20</v>
      </c>
      <c r="J329" s="18">
        <f>IFERROR(__xludf.DUMMYFUNCTION("""COMPUTED_VALUE"""),30.0)</f>
        <v>30</v>
      </c>
      <c r="K329" s="18">
        <f>IFERROR(__xludf.DUMMYFUNCTION("""COMPUTED_VALUE"""),40.0)</f>
        <v>40</v>
      </c>
      <c r="L329" s="17">
        <f>IFERROR(__xludf.DUMMYFUNCTION("""COMPUTED_VALUE"""),3.14645528E9)</f>
        <v>3146455280</v>
      </c>
      <c r="M329" s="17" t="str">
        <f>IFERROR(__xludf.DUMMYFUNCTION("""COMPUTED_VALUE"""),"#REF!")</f>
        <v>#REF!</v>
      </c>
      <c r="N329" s="17"/>
      <c r="O329" s="19" t="str">
        <f>IFERROR(__xludf.DUMMYFUNCTION("""COMPUTED_VALUE"""),"")</f>
        <v/>
      </c>
      <c r="P329" s="17" t="b">
        <f>IFERROR(__xludf.DUMMYFUNCTION("""COMPUTED_VALUE"""),FALSE)</f>
        <v>0</v>
      </c>
      <c r="Q329" s="20" t="str">
        <f>IFERROR(__xludf.DUMMYFUNCTION("""COMPUTED_VALUE"""),"")</f>
        <v/>
      </c>
      <c r="R329" s="22" t="str">
        <f>IFERROR(__xludf.DUMMYFUNCTION("""COMPUTED_VALUE"""),"")</f>
        <v/>
      </c>
    </row>
    <row r="330">
      <c r="A330" s="17" t="str">
        <f>IFERROR(__xludf.DUMMYFUNCTION("""COMPUTED_VALUE"""),"")</f>
        <v/>
      </c>
      <c r="B330" s="17" t="str">
        <f>IFERROR(__xludf.DUMMYFUNCTION("""COMPUTED_VALUE"""),"")</f>
        <v/>
      </c>
      <c r="C330" s="17" t="str">
        <f>IFERROR(__xludf.DUMMYFUNCTION("""COMPUTED_VALUE"""),"")</f>
        <v/>
      </c>
      <c r="D330" s="17" t="str">
        <f>IFERROR(__xludf.DUMMYFUNCTION("""COMPUTED_VALUE"""),"")</f>
        <v/>
      </c>
      <c r="E330" s="17" t="str">
        <f>IFERROR(__xludf.DUMMYFUNCTION("""COMPUTED_VALUE"""),"")</f>
        <v/>
      </c>
      <c r="F330" s="17" t="str">
        <f>IFERROR(__xludf.DUMMYFUNCTION("""COMPUTED_VALUE"""),"")</f>
        <v/>
      </c>
      <c r="G330" s="17" t="str">
        <f>IFERROR(__xludf.DUMMYFUNCTION("""COMPUTED_VALUE"""),"")</f>
        <v/>
      </c>
      <c r="H330" s="17" t="str">
        <f>IFERROR(__xludf.DUMMYFUNCTION("""COMPUTED_VALUE"""),"")</f>
        <v/>
      </c>
      <c r="I330" s="17" t="str">
        <f>IFERROR(__xludf.DUMMYFUNCTION("""COMPUTED_VALUE"""),"")</f>
        <v/>
      </c>
      <c r="J330" s="17" t="str">
        <f>IFERROR(__xludf.DUMMYFUNCTION("""COMPUTED_VALUE"""),"")</f>
        <v/>
      </c>
      <c r="K330" s="17" t="str">
        <f>IFERROR(__xludf.DUMMYFUNCTION("""COMPUTED_VALUE"""),"")</f>
        <v/>
      </c>
      <c r="L330" s="17" t="str">
        <f>IFERROR(__xludf.DUMMYFUNCTION("""COMPUTED_VALUE"""),"")</f>
        <v/>
      </c>
      <c r="M330" s="17" t="str">
        <f>IFERROR(__xludf.DUMMYFUNCTION("""COMPUTED_VALUE"""),"")</f>
        <v/>
      </c>
      <c r="N330" s="17" t="str">
        <f>IFERROR(__xludf.DUMMYFUNCTION("""COMPUTED_VALUE"""),"")</f>
        <v/>
      </c>
      <c r="O330" s="17" t="str">
        <f>IFERROR(__xludf.DUMMYFUNCTION("""COMPUTED_VALUE"""),"")</f>
        <v/>
      </c>
      <c r="P330" s="17" t="str">
        <f>IFERROR(__xludf.DUMMYFUNCTION("""COMPUTED_VALUE"""),"")</f>
        <v/>
      </c>
      <c r="Q330" s="17" t="str">
        <f>IFERROR(__xludf.DUMMYFUNCTION("""COMPUTED_VALUE"""),"")</f>
        <v/>
      </c>
      <c r="R330" s="17" t="str">
        <f>IFERROR(__xludf.DUMMYFUNCTION("""COMPUTED_VALUE"""),"")</f>
        <v/>
      </c>
    </row>
    <row r="331">
      <c r="A331" s="15">
        <f>IFERROR(__xludf.DUMMYFUNCTION("""COMPUTED_VALUE"""),45007.0)</f>
        <v>45007</v>
      </c>
      <c r="B331" s="16" t="str">
        <f>IFERROR(__xludf.DUMMYFUNCTION("""COMPUTED_VALUE"""),"Jhon Anderson Ceballos Hernandez")</f>
        <v>Jhon Anderson Ceballos Hernandez</v>
      </c>
      <c r="C331" s="15" t="str">
        <f>IFERROR(__xludf.DUMMYFUNCTION("""COMPUTED_VALUE"""),"MANIZALES")</f>
        <v>MANIZALES</v>
      </c>
      <c r="D331" s="15" t="str">
        <f>IFERROR(__xludf.DUMMYFUNCTION("""COMPUTED_VALUE"""),"BOGOTÁ")</f>
        <v>BOGOTÁ</v>
      </c>
      <c r="E331" s="15" t="str">
        <f>IFERROR(__xludf.DUMMYFUNCTION("""COMPUTED_VALUE"""),"Blond &amp; This")</f>
        <v>Blond &amp; This</v>
      </c>
      <c r="F331" s="17" t="str">
        <f>IFERROR(__xludf.DUMMYFUNCTION("""COMPUTED_VALUE"""),"calle22#22-26 / ed. del comercio of 1206 / .")</f>
        <v>calle22#22-26 / ed. del comercio of 1206 / .</v>
      </c>
      <c r="G331" s="15" t="str">
        <f>IFERROR(__xludf.DUMMYFUNCTION("""COMPUTED_VALUE"""),"martha luz zuluaga")</f>
        <v>martha luz zuluaga</v>
      </c>
      <c r="H331" s="18">
        <f>IFERROR(__xludf.DUMMYFUNCTION("""COMPUTED_VALUE"""),9059.0)</f>
        <v>9059</v>
      </c>
      <c r="I331" s="18">
        <f>IFERROR(__xludf.DUMMYFUNCTION("""COMPUTED_VALUE"""),21.0)</f>
        <v>21</v>
      </c>
      <c r="J331" s="18">
        <f>IFERROR(__xludf.DUMMYFUNCTION("""COMPUTED_VALUE"""),26.0)</f>
        <v>26</v>
      </c>
      <c r="K331" s="18">
        <f>IFERROR(__xludf.DUMMYFUNCTION("""COMPUTED_VALUE"""),31.0)</f>
        <v>31</v>
      </c>
      <c r="L331" s="17">
        <f>IFERROR(__xludf.DUMMYFUNCTION("""COMPUTED_VALUE"""),3.216296861E9)</f>
        <v>3216296861</v>
      </c>
      <c r="M331" s="17" t="str">
        <f>IFERROR(__xludf.DUMMYFUNCTION("""COMPUTED_VALUE"""),"#REF!")</f>
        <v>#REF!</v>
      </c>
      <c r="N331" s="17"/>
      <c r="O331" s="19" t="str">
        <f>IFERROR(__xludf.DUMMYFUNCTION("""COMPUTED_VALUE"""),"")</f>
        <v/>
      </c>
      <c r="P331" s="17" t="b">
        <f>IFERROR(__xludf.DUMMYFUNCTION("""COMPUTED_VALUE"""),TRUE)</f>
        <v>1</v>
      </c>
      <c r="Q331" s="20">
        <f>IFERROR(__xludf.DUMMYFUNCTION("""COMPUTED_VALUE"""),45007.681677280096)</f>
        <v>45007.68168</v>
      </c>
      <c r="R331" s="22" t="str">
        <f>IFERROR(__xludf.DUMMYFUNCTION("""COMPUTED_VALUE"""),"")</f>
        <v/>
      </c>
    </row>
    <row r="332">
      <c r="A332" s="15">
        <f>IFERROR(__xludf.DUMMYFUNCTION("""COMPUTED_VALUE"""),45007.0)</f>
        <v>45007</v>
      </c>
      <c r="B332" s="16" t="str">
        <f>IFERROR(__xludf.DUMMYFUNCTION("""COMPUTED_VALUE"""),"Jhon Anderson Ceballos Hernandez")</f>
        <v>Jhon Anderson Ceballos Hernandez</v>
      </c>
      <c r="C332" s="15" t="str">
        <f>IFERROR(__xludf.DUMMYFUNCTION("""COMPUTED_VALUE"""),"MANIZALES")</f>
        <v>MANIZALES</v>
      </c>
      <c r="D332" s="15" t="str">
        <f>IFERROR(__xludf.DUMMYFUNCTION("""COMPUTED_VALUE"""),"BOGOTÁ")</f>
        <v>BOGOTÁ</v>
      </c>
      <c r="E332" s="15" t="str">
        <f>IFERROR(__xludf.DUMMYFUNCTION("""COMPUTED_VALUE"""),"Blond &amp; This")</f>
        <v>Blond &amp; This</v>
      </c>
      <c r="F332" s="17" t="str">
        <f>IFERROR(__xludf.DUMMYFUNCTION("""COMPUTED_VALUE"""),"Kra 23 n 73/86 / La farfalla  / Milan")</f>
        <v>Kra 23 n 73/86 / La farfalla  / Milan</v>
      </c>
      <c r="G332" s="15" t="str">
        <f>IFERROR(__xludf.DUMMYFUNCTION("""COMPUTED_VALUE"""),"Omaira López")</f>
        <v>Omaira López</v>
      </c>
      <c r="H332" s="18">
        <f>IFERROR(__xludf.DUMMYFUNCTION("""COMPUTED_VALUE"""),9058.0)</f>
        <v>9058</v>
      </c>
      <c r="I332" s="18">
        <f>IFERROR(__xludf.DUMMYFUNCTION("""COMPUTED_VALUE"""),14.0)</f>
        <v>14</v>
      </c>
      <c r="J332" s="18">
        <f>IFERROR(__xludf.DUMMYFUNCTION("""COMPUTED_VALUE"""),26.0)</f>
        <v>26</v>
      </c>
      <c r="K332" s="18">
        <f>IFERROR(__xludf.DUMMYFUNCTION("""COMPUTED_VALUE"""),31.0)</f>
        <v>31</v>
      </c>
      <c r="L332" s="17">
        <f>IFERROR(__xludf.DUMMYFUNCTION("""COMPUTED_VALUE"""),3.052748537E9)</f>
        <v>3052748537</v>
      </c>
      <c r="M332" s="17" t="str">
        <f>IFERROR(__xludf.DUMMYFUNCTION("""COMPUTED_VALUE"""),"#REF!")</f>
        <v>#REF!</v>
      </c>
      <c r="N332" s="17"/>
      <c r="O332" s="19" t="str">
        <f>IFERROR(__xludf.DUMMYFUNCTION("""COMPUTED_VALUE"""),"")</f>
        <v/>
      </c>
      <c r="P332" s="17" t="b">
        <f>IFERROR(__xludf.DUMMYFUNCTION("""COMPUTED_VALUE"""),TRUE)</f>
        <v>1</v>
      </c>
      <c r="Q332" s="20">
        <f>IFERROR(__xludf.DUMMYFUNCTION("""COMPUTED_VALUE"""),45007.681677280096)</f>
        <v>45007.68168</v>
      </c>
      <c r="R332" s="22" t="str">
        <f>IFERROR(__xludf.DUMMYFUNCTION("""COMPUTED_VALUE"""),"")</f>
        <v/>
      </c>
    </row>
    <row r="333">
      <c r="A333" s="15">
        <f>IFERROR(__xludf.DUMMYFUNCTION("""COMPUTED_VALUE"""),45007.0)</f>
        <v>45007</v>
      </c>
      <c r="B333" s="16" t="str">
        <f>IFERROR(__xludf.DUMMYFUNCTION("""COMPUTED_VALUE"""),"Jhon Anderson Ceballos Hernandez")</f>
        <v>Jhon Anderson Ceballos Hernandez</v>
      </c>
      <c r="C333" s="15" t="str">
        <f>IFERROR(__xludf.DUMMYFUNCTION("""COMPUTED_VALUE"""),"MANIZALES")</f>
        <v>MANIZALES</v>
      </c>
      <c r="D333" s="15" t="str">
        <f>IFERROR(__xludf.DUMMYFUNCTION("""COMPUTED_VALUE"""),"BOGOTÁ")</f>
        <v>BOGOTÁ</v>
      </c>
      <c r="E333" s="15" t="str">
        <f>IFERROR(__xludf.DUMMYFUNCTION("""COMPUTED_VALUE"""),"Evamazzita")</f>
        <v>Evamazzita</v>
      </c>
      <c r="F333" s="17" t="str">
        <f>IFERROR(__xludf.DUMMYFUNCTION("""COMPUTED_VALUE"""),"cra 10 e # 57 f 45 /  torre 6 apto c3  / Terrazas del Río entrada la cartola")</f>
        <v>cra 10 e # 57 f 45 /  torre 6 apto c3  / Terrazas del Río entrada la cartola</v>
      </c>
      <c r="G333" s="15" t="str">
        <f>IFERROR(__xludf.DUMMYFUNCTION("""COMPUTED_VALUE"""),"KATERINE OROZCO BEDOYA")</f>
        <v>KATERINE OROZCO BEDOYA</v>
      </c>
      <c r="H333" s="18">
        <f>IFERROR(__xludf.DUMMYFUNCTION("""COMPUTED_VALUE"""),9032.0)</f>
        <v>9032</v>
      </c>
      <c r="I333" s="18">
        <f>IFERROR(__xludf.DUMMYFUNCTION("""COMPUTED_VALUE"""),8.0)</f>
        <v>8</v>
      </c>
      <c r="J333" s="18">
        <f>IFERROR(__xludf.DUMMYFUNCTION("""COMPUTED_VALUE"""),13.0)</f>
        <v>13</v>
      </c>
      <c r="K333" s="18">
        <f>IFERROR(__xludf.DUMMYFUNCTION("""COMPUTED_VALUE"""),18.0)</f>
        <v>18</v>
      </c>
      <c r="L333" s="17">
        <f>IFERROR(__xludf.DUMMYFUNCTION("""COMPUTED_VALUE"""),3.113934563E9)</f>
        <v>3113934563</v>
      </c>
      <c r="M333" s="17" t="str">
        <f>IFERROR(__xludf.DUMMYFUNCTION("""COMPUTED_VALUE"""),"#REF!")</f>
        <v>#REF!</v>
      </c>
      <c r="N333" s="17"/>
      <c r="O333" s="19" t="str">
        <f>IFERROR(__xludf.DUMMYFUNCTION("""COMPUTED_VALUE"""),"")</f>
        <v/>
      </c>
      <c r="P333" s="17" t="b">
        <f>IFERROR(__xludf.DUMMYFUNCTION("""COMPUTED_VALUE"""),TRUE)</f>
        <v>1</v>
      </c>
      <c r="Q333" s="20">
        <f>IFERROR(__xludf.DUMMYFUNCTION("""COMPUTED_VALUE"""),45007.681677280096)</f>
        <v>45007.68168</v>
      </c>
      <c r="R333" s="22" t="str">
        <f>IFERROR(__xludf.DUMMYFUNCTION("""COMPUTED_VALUE"""),"")</f>
        <v/>
      </c>
    </row>
    <row r="334">
      <c r="A334" s="15">
        <f>IFERROR(__xludf.DUMMYFUNCTION("""COMPUTED_VALUE"""),45007.0)</f>
        <v>45007</v>
      </c>
      <c r="B334" s="16" t="str">
        <f>IFERROR(__xludf.DUMMYFUNCTION("""COMPUTED_VALUE"""),"Jhon Anderson Ceballos Hernandez")</f>
        <v>Jhon Anderson Ceballos Hernandez</v>
      </c>
      <c r="C334" s="15" t="str">
        <f>IFERROR(__xludf.DUMMYFUNCTION("""COMPUTED_VALUE"""),"TUNJA")</f>
        <v>TUNJA</v>
      </c>
      <c r="D334" s="15" t="str">
        <f>IFERROR(__xludf.DUMMYFUNCTION("""COMPUTED_VALUE"""),"BOGOTÁ")</f>
        <v>BOGOTÁ</v>
      </c>
      <c r="E334" s="15" t="str">
        <f>IFERROR(__xludf.DUMMYFUNCTION("""COMPUTED_VALUE"""),"Top Spun")</f>
        <v>Top Spun</v>
      </c>
      <c r="F334" s="17" t="str">
        <f>IFERROR(__xludf.DUMMYFUNCTION("""COMPUTED_VALUE"""),"cra 1 f # 40-63 / edificio murano apto 805 / Tunja")</f>
        <v>cra 1 f # 40-63 / edificio murano apto 805 / Tunja</v>
      </c>
      <c r="G334" s="15" t="str">
        <f>IFERROR(__xludf.DUMMYFUNCTION("""COMPUTED_VALUE"""),"Sandra Grijalba")</f>
        <v>Sandra Grijalba</v>
      </c>
      <c r="H334" s="18">
        <f>IFERROR(__xludf.DUMMYFUNCTION("""COMPUTED_VALUE"""),8966.0)</f>
        <v>8966</v>
      </c>
      <c r="I334" s="18">
        <f>IFERROR(__xludf.DUMMYFUNCTION("""COMPUTED_VALUE"""),20.0)</f>
        <v>20</v>
      </c>
      <c r="J334" s="18">
        <f>IFERROR(__xludf.DUMMYFUNCTION("""COMPUTED_VALUE"""),40.0)</f>
        <v>40</v>
      </c>
      <c r="K334" s="18">
        <f>IFERROR(__xludf.DUMMYFUNCTION("""COMPUTED_VALUE"""),10.0)</f>
        <v>10</v>
      </c>
      <c r="L334" s="17">
        <f>IFERROR(__xludf.DUMMYFUNCTION("""COMPUTED_VALUE"""),3.207676511E9)</f>
        <v>3207676511</v>
      </c>
      <c r="M334" s="17" t="str">
        <f>IFERROR(__xludf.DUMMYFUNCTION("""COMPUTED_VALUE"""),"#REF!")</f>
        <v>#REF!</v>
      </c>
      <c r="N334" s="17"/>
      <c r="O334" s="19" t="str">
        <f>IFERROR(__xludf.DUMMYFUNCTION("""COMPUTED_VALUE"""),"")</f>
        <v/>
      </c>
      <c r="P334" s="17" t="b">
        <f>IFERROR(__xludf.DUMMYFUNCTION("""COMPUTED_VALUE"""),FALSE)</f>
        <v>0</v>
      </c>
      <c r="Q334" s="20" t="str">
        <f>IFERROR(__xludf.DUMMYFUNCTION("""COMPUTED_VALUE"""),"")</f>
        <v/>
      </c>
      <c r="R334" s="22" t="str">
        <f>IFERROR(__xludf.DUMMYFUNCTION("""COMPUTED_VALUE"""),"")</f>
        <v/>
      </c>
    </row>
    <row r="335">
      <c r="A335" s="17" t="str">
        <f>IFERROR(__xludf.DUMMYFUNCTION("""COMPUTED_VALUE"""),"")</f>
        <v/>
      </c>
      <c r="B335" s="17" t="str">
        <f>IFERROR(__xludf.DUMMYFUNCTION("""COMPUTED_VALUE"""),"")</f>
        <v/>
      </c>
      <c r="C335" s="17" t="str">
        <f>IFERROR(__xludf.DUMMYFUNCTION("""COMPUTED_VALUE"""),"")</f>
        <v/>
      </c>
      <c r="D335" s="17" t="str">
        <f>IFERROR(__xludf.DUMMYFUNCTION("""COMPUTED_VALUE"""),"")</f>
        <v/>
      </c>
      <c r="E335" s="17" t="str">
        <f>IFERROR(__xludf.DUMMYFUNCTION("""COMPUTED_VALUE"""),"")</f>
        <v/>
      </c>
      <c r="F335" s="17" t="str">
        <f>IFERROR(__xludf.DUMMYFUNCTION("""COMPUTED_VALUE"""),"")</f>
        <v/>
      </c>
      <c r="G335" s="17" t="str">
        <f>IFERROR(__xludf.DUMMYFUNCTION("""COMPUTED_VALUE"""),"")</f>
        <v/>
      </c>
      <c r="H335" s="17" t="str">
        <f>IFERROR(__xludf.DUMMYFUNCTION("""COMPUTED_VALUE"""),"")</f>
        <v/>
      </c>
      <c r="I335" s="17" t="str">
        <f>IFERROR(__xludf.DUMMYFUNCTION("""COMPUTED_VALUE"""),"")</f>
        <v/>
      </c>
      <c r="J335" s="17" t="str">
        <f>IFERROR(__xludf.DUMMYFUNCTION("""COMPUTED_VALUE"""),"")</f>
        <v/>
      </c>
      <c r="K335" s="17" t="str">
        <f>IFERROR(__xludf.DUMMYFUNCTION("""COMPUTED_VALUE"""),"")</f>
        <v/>
      </c>
      <c r="L335" s="17" t="str">
        <f>IFERROR(__xludf.DUMMYFUNCTION("""COMPUTED_VALUE"""),"")</f>
        <v/>
      </c>
      <c r="M335" s="17" t="str">
        <f>IFERROR(__xludf.DUMMYFUNCTION("""COMPUTED_VALUE"""),"")</f>
        <v/>
      </c>
      <c r="N335" s="17" t="str">
        <f>IFERROR(__xludf.DUMMYFUNCTION("""COMPUTED_VALUE"""),"")</f>
        <v/>
      </c>
      <c r="O335" s="17" t="str">
        <f>IFERROR(__xludf.DUMMYFUNCTION("""COMPUTED_VALUE"""),"")</f>
        <v/>
      </c>
      <c r="P335" s="17" t="str">
        <f>IFERROR(__xludf.DUMMYFUNCTION("""COMPUTED_VALUE"""),"")</f>
        <v/>
      </c>
      <c r="Q335" s="17" t="str">
        <f>IFERROR(__xludf.DUMMYFUNCTION("""COMPUTED_VALUE"""),"")</f>
        <v/>
      </c>
      <c r="R335" s="17" t="str">
        <f>IFERROR(__xludf.DUMMYFUNCTION("""COMPUTED_VALUE"""),"")</f>
        <v/>
      </c>
    </row>
    <row r="336">
      <c r="A336" s="15">
        <f>IFERROR(__xludf.DUMMYFUNCTION("""COMPUTED_VALUE"""),45007.0)</f>
        <v>45007</v>
      </c>
      <c r="B336" s="16" t="str">
        <f>IFERROR(__xludf.DUMMYFUNCTION("""COMPUTED_VALUE"""),"Johan Alexander Escobar Arroyo ")</f>
        <v>Johan Alexander Escobar Arroyo </v>
      </c>
      <c r="C336" s="15" t="str">
        <f>IFERROR(__xludf.DUMMYFUNCTION("""COMPUTED_VALUE"""),"CALI")</f>
        <v>CALI</v>
      </c>
      <c r="D336" s="15" t="str">
        <f>IFERROR(__xludf.DUMMYFUNCTION("""COMPUTED_VALUE"""),"BOGOTÁ")</f>
        <v>BOGOTÁ</v>
      </c>
      <c r="E336" s="15" t="str">
        <f>IFERROR(__xludf.DUMMYFUNCTION("""COMPUTED_VALUE"""),"Asociacion Agropecuaria Juana Maria")</f>
        <v>Asociacion Agropecuaria Juana Maria</v>
      </c>
      <c r="F336" s="17" t="str">
        <f>IFERROR(__xludf.DUMMYFUNCTION("""COMPUTED_VALUE"""),"Carrera 17B # 33E-33 La Floresta vieja")</f>
        <v>Carrera 17B # 33E-33 La Floresta vieja</v>
      </c>
      <c r="G336" s="15" t="str">
        <f>IFERROR(__xludf.DUMMYFUNCTION("""COMPUTED_VALUE"""),"Johanna acuña  Molina")</f>
        <v>Johanna acuña  Molina</v>
      </c>
      <c r="H336" s="18">
        <f>IFERROR(__xludf.DUMMYFUNCTION("""COMPUTED_VALUE"""),8988.0)</f>
        <v>8988</v>
      </c>
      <c r="I336" s="18">
        <f>IFERROR(__xludf.DUMMYFUNCTION("""COMPUTED_VALUE"""),21.0)</f>
        <v>21</v>
      </c>
      <c r="J336" s="18">
        <f>IFERROR(__xludf.DUMMYFUNCTION("""COMPUTED_VALUE"""),37.0)</f>
        <v>37</v>
      </c>
      <c r="K336" s="18">
        <f>IFERROR(__xludf.DUMMYFUNCTION("""COMPUTED_VALUE"""),30.0)</f>
        <v>30</v>
      </c>
      <c r="L336" s="17">
        <f>IFERROR(__xludf.DUMMYFUNCTION("""COMPUTED_VALUE"""),3.218700343E9)</f>
        <v>3218700343</v>
      </c>
      <c r="M336" s="17" t="str">
        <f>IFERROR(__xludf.DUMMYFUNCTION("""COMPUTED_VALUE"""),"#REF!")</f>
        <v>#REF!</v>
      </c>
      <c r="N336" s="17"/>
      <c r="O336" s="19" t="str">
        <f>IFERROR(__xludf.DUMMYFUNCTION("""COMPUTED_VALUE"""),"")</f>
        <v/>
      </c>
      <c r="P336" s="17" t="b">
        <f>IFERROR(__xludf.DUMMYFUNCTION("""COMPUTED_VALUE"""),TRUE)</f>
        <v>1</v>
      </c>
      <c r="Q336" s="20">
        <f>IFERROR(__xludf.DUMMYFUNCTION("""COMPUTED_VALUE"""),45007.681677280096)</f>
        <v>45007.68168</v>
      </c>
      <c r="R336" s="22" t="str">
        <f>IFERROR(__xludf.DUMMYFUNCTION("""COMPUTED_VALUE"""),"")</f>
        <v/>
      </c>
    </row>
    <row r="337">
      <c r="A337" s="15">
        <f>IFERROR(__xludf.DUMMYFUNCTION("""COMPUTED_VALUE"""),45007.0)</f>
        <v>45007</v>
      </c>
      <c r="B337" s="16" t="str">
        <f>IFERROR(__xludf.DUMMYFUNCTION("""COMPUTED_VALUE"""),"Johan Alexander Escobar Arroyo ")</f>
        <v>Johan Alexander Escobar Arroyo </v>
      </c>
      <c r="C337" s="15" t="str">
        <f>IFERROR(__xludf.DUMMYFUNCTION("""COMPUTED_VALUE"""),"CALI")</f>
        <v>CALI</v>
      </c>
      <c r="D337" s="15" t="str">
        <f>IFERROR(__xludf.DUMMYFUNCTION("""COMPUTED_VALUE"""),"BOGOTÁ")</f>
        <v>BOGOTÁ</v>
      </c>
      <c r="E337" s="15" t="str">
        <f>IFERROR(__xludf.DUMMYFUNCTION("""COMPUTED_VALUE"""),"Evamazzita")</f>
        <v>Evamazzita</v>
      </c>
      <c r="F337" s="17" t="str">
        <f>IFERROR(__xludf.DUMMYFUNCTION("""COMPUTED_VALUE"""),"CALI: CRA 44 No. 13 - 63  / GUABAL RESTAURANTE DRAGON ORIENTAL / SE ENVÍAN DOS CAJAS")</f>
        <v>CALI: CRA 44 No. 13 - 63  / GUABAL RESTAURANTE DRAGON ORIENTAL / SE ENVÍAN DOS CAJAS</v>
      </c>
      <c r="G337" s="15" t="str">
        <f>IFERROR(__xludf.DUMMYFUNCTION("""COMPUTED_VALUE"""),"LINA CARDONA")</f>
        <v>LINA CARDONA</v>
      </c>
      <c r="H337" s="18">
        <f>IFERROR(__xludf.DUMMYFUNCTION("""COMPUTED_VALUE"""),9017.0)</f>
        <v>9017</v>
      </c>
      <c r="I337" s="18">
        <f>IFERROR(__xludf.DUMMYFUNCTION("""COMPUTED_VALUE"""),3.0)</f>
        <v>3</v>
      </c>
      <c r="J337" s="18">
        <f>IFERROR(__xludf.DUMMYFUNCTION("""COMPUTED_VALUE"""),20.0)</f>
        <v>20</v>
      </c>
      <c r="K337" s="18">
        <f>IFERROR(__xludf.DUMMYFUNCTION("""COMPUTED_VALUE"""),15.0)</f>
        <v>15</v>
      </c>
      <c r="L337" s="17">
        <f>IFERROR(__xludf.DUMMYFUNCTION("""COMPUTED_VALUE"""),3.183849217E9)</f>
        <v>3183849217</v>
      </c>
      <c r="M337" s="17" t="str">
        <f>IFERROR(__xludf.DUMMYFUNCTION("""COMPUTED_VALUE"""),"#REF!")</f>
        <v>#REF!</v>
      </c>
      <c r="N337" s="17"/>
      <c r="O337" s="19" t="str">
        <f>IFERROR(__xludf.DUMMYFUNCTION("""COMPUTED_VALUE"""),"")</f>
        <v/>
      </c>
      <c r="P337" s="17" t="b">
        <f>IFERROR(__xludf.DUMMYFUNCTION("""COMPUTED_VALUE"""),TRUE)</f>
        <v>1</v>
      </c>
      <c r="Q337" s="20">
        <f>IFERROR(__xludf.DUMMYFUNCTION("""COMPUTED_VALUE"""),45007.681677280096)</f>
        <v>45007.68168</v>
      </c>
      <c r="R337" s="22" t="str">
        <f>IFERROR(__xludf.DUMMYFUNCTION("""COMPUTED_VALUE"""),"")</f>
        <v/>
      </c>
    </row>
    <row r="338">
      <c r="A338" s="15">
        <f>IFERROR(__xludf.DUMMYFUNCTION("""COMPUTED_VALUE"""),45007.0)</f>
        <v>45007</v>
      </c>
      <c r="B338" s="16" t="str">
        <f>IFERROR(__xludf.DUMMYFUNCTION("""COMPUTED_VALUE"""),"Johan Alexander Escobar Arroyo ")</f>
        <v>Johan Alexander Escobar Arroyo </v>
      </c>
      <c r="C338" s="15" t="str">
        <f>IFERROR(__xludf.DUMMYFUNCTION("""COMPUTED_VALUE"""),"CALI")</f>
        <v>CALI</v>
      </c>
      <c r="D338" s="15" t="str">
        <f>IFERROR(__xludf.DUMMYFUNCTION("""COMPUTED_VALUE"""),"BOGOTÁ")</f>
        <v>BOGOTÁ</v>
      </c>
      <c r="E338" s="15" t="str">
        <f>IFERROR(__xludf.DUMMYFUNCTION("""COMPUTED_VALUE"""),"Evamazzita")</f>
        <v>Evamazzita</v>
      </c>
      <c r="F338" s="17" t="str">
        <f>IFERROR(__xludf.DUMMYFUNCTION("""COMPUTED_VALUE"""),"Calle  20 # 101A-37  / Torre 8 apto 531 unidad residencial mirador de Terrazas / SE ENVÍAN DOS CAJAS")</f>
        <v>Calle  20 # 101A-37  / Torre 8 apto 531 unidad residencial mirador de Terrazas / SE ENVÍAN DOS CAJAS</v>
      </c>
      <c r="G338" s="15" t="str">
        <f>IFERROR(__xludf.DUMMYFUNCTION("""COMPUTED_VALUE"""),"ALEXANDRA ROJAS - CALI")</f>
        <v>ALEXANDRA ROJAS - CALI</v>
      </c>
      <c r="H338" s="18">
        <f>IFERROR(__xludf.DUMMYFUNCTION("""COMPUTED_VALUE"""),9011.0)</f>
        <v>9011</v>
      </c>
      <c r="I338" s="18">
        <f>IFERROR(__xludf.DUMMYFUNCTION("""COMPUTED_VALUE"""),3.0)</f>
        <v>3</v>
      </c>
      <c r="J338" s="18">
        <f>IFERROR(__xludf.DUMMYFUNCTION("""COMPUTED_VALUE"""),20.0)</f>
        <v>20</v>
      </c>
      <c r="K338" s="18">
        <f>IFERROR(__xludf.DUMMYFUNCTION("""COMPUTED_VALUE"""),15.0)</f>
        <v>15</v>
      </c>
      <c r="L338" s="17">
        <f>IFERROR(__xludf.DUMMYFUNCTION("""COMPUTED_VALUE"""),3.166932628E9)</f>
        <v>3166932628</v>
      </c>
      <c r="M338" s="17" t="str">
        <f>IFERROR(__xludf.DUMMYFUNCTION("""COMPUTED_VALUE"""),"#REF!")</f>
        <v>#REF!</v>
      </c>
      <c r="N338" s="17"/>
      <c r="O338" s="19" t="str">
        <f>IFERROR(__xludf.DUMMYFUNCTION("""COMPUTED_VALUE"""),"")</f>
        <v/>
      </c>
      <c r="P338" s="17" t="b">
        <f>IFERROR(__xludf.DUMMYFUNCTION("""COMPUTED_VALUE"""),TRUE)</f>
        <v>1</v>
      </c>
      <c r="Q338" s="20">
        <f>IFERROR(__xludf.DUMMYFUNCTION("""COMPUTED_VALUE"""),45007.681677280096)</f>
        <v>45007.68168</v>
      </c>
      <c r="R338" s="22" t="str">
        <f>IFERROR(__xludf.DUMMYFUNCTION("""COMPUTED_VALUE"""),"")</f>
        <v/>
      </c>
    </row>
    <row r="339">
      <c r="A339" s="15">
        <f>IFERROR(__xludf.DUMMYFUNCTION("""COMPUTED_VALUE"""),45007.0)</f>
        <v>45007</v>
      </c>
      <c r="B339" s="16" t="str">
        <f>IFERROR(__xludf.DUMMYFUNCTION("""COMPUTED_VALUE"""),"Johan Alexander Escobar Arroyo ")</f>
        <v>Johan Alexander Escobar Arroyo </v>
      </c>
      <c r="C339" s="15" t="str">
        <f>IFERROR(__xludf.DUMMYFUNCTION("""COMPUTED_VALUE"""),"CALI")</f>
        <v>CALI</v>
      </c>
      <c r="D339" s="15" t="str">
        <f>IFERROR(__xludf.DUMMYFUNCTION("""COMPUTED_VALUE"""),"BOGOTÁ")</f>
        <v>BOGOTÁ</v>
      </c>
      <c r="E339" s="15" t="str">
        <f>IFERROR(__xludf.DUMMYFUNCTION("""COMPUTED_VALUE"""),"Evamazzita")</f>
        <v>Evamazzita</v>
      </c>
      <c r="F339" s="17" t="str">
        <f>IFERROR(__xludf.DUMMYFUNCTION("""COMPUTED_VALUE"""),"Calle 12 #9-28  / centro comercial Cali 2000 cuarto piso oficina 402 / SE ENVÍAN DOS CAJAS")</f>
        <v>Calle 12 #9-28  / centro comercial Cali 2000 cuarto piso oficina 402 / SE ENVÍAN DOS CAJAS</v>
      </c>
      <c r="G339" s="15" t="str">
        <f>IFERROR(__xludf.DUMMYFUNCTION("""COMPUTED_VALUE"""),"PAOLA ANDREA COLLAZOS")</f>
        <v>PAOLA ANDREA COLLAZOS</v>
      </c>
      <c r="H339" s="18">
        <f>IFERROR(__xludf.DUMMYFUNCTION("""COMPUTED_VALUE"""),9012.0)</f>
        <v>9012</v>
      </c>
      <c r="I339" s="18">
        <f>IFERROR(__xludf.DUMMYFUNCTION("""COMPUTED_VALUE"""),3.0)</f>
        <v>3</v>
      </c>
      <c r="J339" s="18">
        <f>IFERROR(__xludf.DUMMYFUNCTION("""COMPUTED_VALUE"""),20.0)</f>
        <v>20</v>
      </c>
      <c r="K339" s="18">
        <f>IFERROR(__xludf.DUMMYFUNCTION("""COMPUTED_VALUE"""),15.0)</f>
        <v>15</v>
      </c>
      <c r="L339" s="17">
        <f>IFERROR(__xludf.DUMMYFUNCTION("""COMPUTED_VALUE"""),3.206752173E9)</f>
        <v>3206752173</v>
      </c>
      <c r="M339" s="17" t="str">
        <f>IFERROR(__xludf.DUMMYFUNCTION("""COMPUTED_VALUE"""),"#REF!")</f>
        <v>#REF!</v>
      </c>
      <c r="N339" s="17"/>
      <c r="O339" s="19" t="str">
        <f>IFERROR(__xludf.DUMMYFUNCTION("""COMPUTED_VALUE"""),"")</f>
        <v/>
      </c>
      <c r="P339" s="17" t="b">
        <f>IFERROR(__xludf.DUMMYFUNCTION("""COMPUTED_VALUE"""),TRUE)</f>
        <v>1</v>
      </c>
      <c r="Q339" s="20">
        <f>IFERROR(__xludf.DUMMYFUNCTION("""COMPUTED_VALUE"""),45007.681677280096)</f>
        <v>45007.68168</v>
      </c>
      <c r="R339" s="22" t="str">
        <f>IFERROR(__xludf.DUMMYFUNCTION("""COMPUTED_VALUE"""),"")</f>
        <v/>
      </c>
    </row>
    <row r="340">
      <c r="A340" s="15">
        <f>IFERROR(__xludf.DUMMYFUNCTION("""COMPUTED_VALUE"""),45007.0)</f>
        <v>45007</v>
      </c>
      <c r="B340" s="16" t="str">
        <f>IFERROR(__xludf.DUMMYFUNCTION("""COMPUTED_VALUE"""),"Johan Alexander Escobar Arroyo ")</f>
        <v>Johan Alexander Escobar Arroyo </v>
      </c>
      <c r="C340" s="15" t="str">
        <f>IFERROR(__xludf.DUMMYFUNCTION("""COMPUTED_VALUE"""),"CALI")</f>
        <v>CALI</v>
      </c>
      <c r="D340" s="15" t="str">
        <f>IFERROR(__xludf.DUMMYFUNCTION("""COMPUTED_VALUE"""),"BOGOTÁ")</f>
        <v>BOGOTÁ</v>
      </c>
      <c r="E340" s="15" t="str">
        <f>IFERROR(__xludf.DUMMYFUNCTION("""COMPUTED_VALUE"""),"Evamazzita")</f>
        <v>Evamazzita</v>
      </c>
      <c r="F340" s="17" t="str">
        <f>IFERROR(__xludf.DUMMYFUNCTION("""COMPUTED_VALUE"""),"Calle 13b # 37-86  / apto 101 bloque 2 / SE ENVÍAN DOS CAJAS")</f>
        <v>Calle 13b # 37-86  / apto 101 bloque 2 / SE ENVÍAN DOS CAJAS</v>
      </c>
      <c r="G340" s="15" t="str">
        <f>IFERROR(__xludf.DUMMYFUNCTION("""COMPUTED_VALUE"""),"YENI ARISTIZABAL")</f>
        <v>YENI ARISTIZABAL</v>
      </c>
      <c r="H340" s="18">
        <f>IFERROR(__xludf.DUMMYFUNCTION("""COMPUTED_VALUE"""),9013.0)</f>
        <v>9013</v>
      </c>
      <c r="I340" s="18">
        <f>IFERROR(__xludf.DUMMYFUNCTION("""COMPUTED_VALUE"""),10.0)</f>
        <v>10</v>
      </c>
      <c r="J340" s="18">
        <f>IFERROR(__xludf.DUMMYFUNCTION("""COMPUTED_VALUE"""),22.0)</f>
        <v>22</v>
      </c>
      <c r="K340" s="18">
        <f>IFERROR(__xludf.DUMMYFUNCTION("""COMPUTED_VALUE"""),18.0)</f>
        <v>18</v>
      </c>
      <c r="L340" s="17">
        <f>IFERROR(__xludf.DUMMYFUNCTION("""COMPUTED_VALUE"""),3.113816929E9)</f>
        <v>3113816929</v>
      </c>
      <c r="M340" s="17" t="str">
        <f>IFERROR(__xludf.DUMMYFUNCTION("""COMPUTED_VALUE"""),"#REF!")</f>
        <v>#REF!</v>
      </c>
      <c r="N340" s="17"/>
      <c r="O340" s="19" t="str">
        <f>IFERROR(__xludf.DUMMYFUNCTION("""COMPUTED_VALUE"""),"")</f>
        <v/>
      </c>
      <c r="P340" s="17" t="b">
        <f>IFERROR(__xludf.DUMMYFUNCTION("""COMPUTED_VALUE"""),TRUE)</f>
        <v>1</v>
      </c>
      <c r="Q340" s="20">
        <f>IFERROR(__xludf.DUMMYFUNCTION("""COMPUTED_VALUE"""),45007.681677280096)</f>
        <v>45007.68168</v>
      </c>
      <c r="R340" s="22" t="str">
        <f>IFERROR(__xludf.DUMMYFUNCTION("""COMPUTED_VALUE"""),"")</f>
        <v/>
      </c>
    </row>
    <row r="341">
      <c r="A341" s="15">
        <f>IFERROR(__xludf.DUMMYFUNCTION("""COMPUTED_VALUE"""),45007.0)</f>
        <v>45007</v>
      </c>
      <c r="B341" s="16" t="str">
        <f>IFERROR(__xludf.DUMMYFUNCTION("""COMPUTED_VALUE"""),"Johan Alexander Escobar Arroyo ")</f>
        <v>Johan Alexander Escobar Arroyo </v>
      </c>
      <c r="C341" s="15" t="str">
        <f>IFERROR(__xludf.DUMMYFUNCTION("""COMPUTED_VALUE"""),"CALI")</f>
        <v>CALI</v>
      </c>
      <c r="D341" s="15" t="str">
        <f>IFERROR(__xludf.DUMMYFUNCTION("""COMPUTED_VALUE"""),"BOGOTÁ")</f>
        <v>BOGOTÁ</v>
      </c>
      <c r="E341" s="15" t="str">
        <f>IFERROR(__xludf.DUMMYFUNCTION("""COMPUTED_VALUE"""),"Evamazzita")</f>
        <v>Evamazzita</v>
      </c>
      <c r="F341" s="17" t="str">
        <f>IFERROR(__xludf.DUMMYFUNCTION("""COMPUTED_VALUE"""),"CALLE 28 # 86 - 29  / CASAGRANDE DEL SUR I ETAPA / SE ENVÍAN DOS CAJAS")</f>
        <v>CALLE 28 # 86 - 29  / CASAGRANDE DEL SUR I ETAPA / SE ENVÍAN DOS CAJAS</v>
      </c>
      <c r="G341" s="15" t="str">
        <f>IFERROR(__xludf.DUMMYFUNCTION("""COMPUTED_VALUE"""),"CATHERIN OTERO")</f>
        <v>CATHERIN OTERO</v>
      </c>
      <c r="H341" s="18">
        <f>IFERROR(__xludf.DUMMYFUNCTION("""COMPUTED_VALUE"""),9010.0)</f>
        <v>9010</v>
      </c>
      <c r="I341" s="18">
        <f>IFERROR(__xludf.DUMMYFUNCTION("""COMPUTED_VALUE"""),3.0)</f>
        <v>3</v>
      </c>
      <c r="J341" s="18">
        <f>IFERROR(__xludf.DUMMYFUNCTION("""COMPUTED_VALUE"""),20.0)</f>
        <v>20</v>
      </c>
      <c r="K341" s="18">
        <f>IFERROR(__xludf.DUMMYFUNCTION("""COMPUTED_VALUE"""),15.0)</f>
        <v>15</v>
      </c>
      <c r="L341" s="17">
        <f>IFERROR(__xludf.DUMMYFUNCTION("""COMPUTED_VALUE"""),3.212107927E9)</f>
        <v>3212107927</v>
      </c>
      <c r="M341" s="17" t="str">
        <f>IFERROR(__xludf.DUMMYFUNCTION("""COMPUTED_VALUE"""),"#REF!")</f>
        <v>#REF!</v>
      </c>
      <c r="N341" s="17"/>
      <c r="O341" s="19" t="str">
        <f>IFERROR(__xludf.DUMMYFUNCTION("""COMPUTED_VALUE"""),"")</f>
        <v/>
      </c>
      <c r="P341" s="17" t="b">
        <f>IFERROR(__xludf.DUMMYFUNCTION("""COMPUTED_VALUE"""),FALSE)</f>
        <v>0</v>
      </c>
      <c r="Q341" s="20" t="str">
        <f>IFERROR(__xludf.DUMMYFUNCTION("""COMPUTED_VALUE"""),"")</f>
        <v/>
      </c>
      <c r="R341" s="22" t="str">
        <f>IFERROR(__xludf.DUMMYFUNCTION("""COMPUTED_VALUE"""),"")</f>
        <v/>
      </c>
    </row>
    <row r="342">
      <c r="A342" s="15">
        <f>IFERROR(__xludf.DUMMYFUNCTION("""COMPUTED_VALUE"""),45007.0)</f>
        <v>45007</v>
      </c>
      <c r="B342" s="16" t="str">
        <f>IFERROR(__xludf.DUMMYFUNCTION("""COMPUTED_VALUE"""),"Johan Alexander Escobar Arroyo ")</f>
        <v>Johan Alexander Escobar Arroyo </v>
      </c>
      <c r="C342" s="15" t="str">
        <f>IFERROR(__xludf.DUMMYFUNCTION("""COMPUTED_VALUE"""),"CALI")</f>
        <v>CALI</v>
      </c>
      <c r="D342" s="15" t="str">
        <f>IFERROR(__xludf.DUMMYFUNCTION("""COMPUTED_VALUE"""),"BOGOTÁ")</f>
        <v>BOGOTÁ</v>
      </c>
      <c r="E342" s="15" t="str">
        <f>IFERROR(__xludf.DUMMYFUNCTION("""COMPUTED_VALUE"""),"Evamazzita")</f>
        <v>Evamazzita</v>
      </c>
      <c r="F342" s="17" t="str">
        <f>IFERROR(__xludf.DUMMYFUNCTION("""COMPUTED_VALUE"""),"CALLE 37A NORTE No. 4N - 22  / LA FLORA (CASA A LA CALLE) / SE ENVÍAN DOS CAJAS")</f>
        <v>CALLE 37A NORTE No. 4N - 22  / LA FLORA (CASA A LA CALLE) / SE ENVÍAN DOS CAJAS</v>
      </c>
      <c r="G342" s="15" t="str">
        <f>IFERROR(__xludf.DUMMYFUNCTION("""COMPUTED_VALUE"""),"VANESSA ERAZO ROJAS")</f>
        <v>VANESSA ERAZO ROJAS</v>
      </c>
      <c r="H342" s="18">
        <f>IFERROR(__xludf.DUMMYFUNCTION("""COMPUTED_VALUE"""),9016.0)</f>
        <v>9016</v>
      </c>
      <c r="I342" s="18">
        <f>IFERROR(__xludf.DUMMYFUNCTION("""COMPUTED_VALUE"""),3.0)</f>
        <v>3</v>
      </c>
      <c r="J342" s="18">
        <f>IFERROR(__xludf.DUMMYFUNCTION("""COMPUTED_VALUE"""),20.0)</f>
        <v>20</v>
      </c>
      <c r="K342" s="18">
        <f>IFERROR(__xludf.DUMMYFUNCTION("""COMPUTED_VALUE"""),15.0)</f>
        <v>15</v>
      </c>
      <c r="L342" s="17">
        <f>IFERROR(__xludf.DUMMYFUNCTION("""COMPUTED_VALUE"""),3.11671249E9)</f>
        <v>3116712490</v>
      </c>
      <c r="M342" s="17" t="str">
        <f>IFERROR(__xludf.DUMMYFUNCTION("""COMPUTED_VALUE"""),"#REF!")</f>
        <v>#REF!</v>
      </c>
      <c r="N342" s="17"/>
      <c r="O342" s="19" t="str">
        <f>IFERROR(__xludf.DUMMYFUNCTION("""COMPUTED_VALUE"""),"")</f>
        <v/>
      </c>
      <c r="P342" s="17" t="b">
        <f>IFERROR(__xludf.DUMMYFUNCTION("""COMPUTED_VALUE"""),FALSE)</f>
        <v>0</v>
      </c>
      <c r="Q342" s="20" t="str">
        <f>IFERROR(__xludf.DUMMYFUNCTION("""COMPUTED_VALUE"""),"")</f>
        <v/>
      </c>
      <c r="R342" s="21" t="str">
        <f>IFERROR(__xludf.DUMMYFUNCTION("""COMPUTED_VALUE"""),"https://drive.google.com/file/d/1jJ44bjYXtlAFyOC4lVfgKAo4WdVcxMIO/view?usp=drivesdk")</f>
        <v>https://drive.google.com/file/d/1jJ44bjYXtlAFyOC4lVfgKAo4WdVcxMIO/view?usp=drivesdk</v>
      </c>
    </row>
    <row r="343">
      <c r="A343" s="15">
        <f>IFERROR(__xludf.DUMMYFUNCTION("""COMPUTED_VALUE"""),45007.0)</f>
        <v>45007</v>
      </c>
      <c r="B343" s="16" t="str">
        <f>IFERROR(__xludf.DUMMYFUNCTION("""COMPUTED_VALUE"""),"Johan Alexander Escobar Arroyo ")</f>
        <v>Johan Alexander Escobar Arroyo </v>
      </c>
      <c r="C343" s="15" t="str">
        <f>IFERROR(__xludf.DUMMYFUNCTION("""COMPUTED_VALUE"""),"CALI")</f>
        <v>CALI</v>
      </c>
      <c r="D343" s="15" t="str">
        <f>IFERROR(__xludf.DUMMYFUNCTION("""COMPUTED_VALUE"""),"BOGOTÁ")</f>
        <v>BOGOTÁ</v>
      </c>
      <c r="E343" s="15" t="str">
        <f>IFERROR(__xludf.DUMMYFUNCTION("""COMPUTED_VALUE"""),"Evamazzita")</f>
        <v>Evamazzita</v>
      </c>
      <c r="F343" s="17" t="str">
        <f>IFERROR(__xludf.DUMMYFUNCTION("""COMPUTED_VALUE"""),"Carrera 1h #60-40  / tercer piso  Barrio los almendros  / SE ENVÍAN DOS CAJAS")</f>
        <v>Carrera 1h #60-40  / tercer piso  Barrio los almendros  / SE ENVÍAN DOS CAJAS</v>
      </c>
      <c r="G343" s="15" t="str">
        <f>IFERROR(__xludf.DUMMYFUNCTION("""COMPUTED_VALUE"""),"ALEJANDRA MUÑOZ")</f>
        <v>ALEJANDRA MUÑOZ</v>
      </c>
      <c r="H343" s="18">
        <f>IFERROR(__xludf.DUMMYFUNCTION("""COMPUTED_VALUE"""),9015.0)</f>
        <v>9015</v>
      </c>
      <c r="I343" s="18">
        <f>IFERROR(__xludf.DUMMYFUNCTION("""COMPUTED_VALUE"""),3.0)</f>
        <v>3</v>
      </c>
      <c r="J343" s="18">
        <f>IFERROR(__xludf.DUMMYFUNCTION("""COMPUTED_VALUE"""),20.0)</f>
        <v>20</v>
      </c>
      <c r="K343" s="18">
        <f>IFERROR(__xludf.DUMMYFUNCTION("""COMPUTED_VALUE"""),15.0)</f>
        <v>15</v>
      </c>
      <c r="L343" s="17">
        <f>IFERROR(__xludf.DUMMYFUNCTION("""COMPUTED_VALUE"""),3.128408361E9)</f>
        <v>3128408361</v>
      </c>
      <c r="M343" s="17" t="str">
        <f>IFERROR(__xludf.DUMMYFUNCTION("""COMPUTED_VALUE"""),"#REF!")</f>
        <v>#REF!</v>
      </c>
      <c r="N343" s="17"/>
      <c r="O343" s="19" t="str">
        <f>IFERROR(__xludf.DUMMYFUNCTION("""COMPUTED_VALUE"""),"")</f>
        <v/>
      </c>
      <c r="P343" s="17" t="b">
        <f>IFERROR(__xludf.DUMMYFUNCTION("""COMPUTED_VALUE"""),FALSE)</f>
        <v>0</v>
      </c>
      <c r="Q343" s="20" t="str">
        <f>IFERROR(__xludf.DUMMYFUNCTION("""COMPUTED_VALUE"""),"")</f>
        <v/>
      </c>
      <c r="R343" s="21" t="str">
        <f>IFERROR(__xludf.DUMMYFUNCTION("""COMPUTED_VALUE"""),"https://drive.google.com/file/d/1x6b1nsyW5jhwLFrz3Dom_P49NDzcsYMz/view?usp=drivesdk")</f>
        <v>https://drive.google.com/file/d/1x6b1nsyW5jhwLFrz3Dom_P49NDzcsYMz/view?usp=drivesdk</v>
      </c>
    </row>
    <row r="344">
      <c r="A344" s="15">
        <f>IFERROR(__xludf.DUMMYFUNCTION("""COMPUTED_VALUE"""),45007.0)</f>
        <v>45007</v>
      </c>
      <c r="B344" s="16" t="str">
        <f>IFERROR(__xludf.DUMMYFUNCTION("""COMPUTED_VALUE"""),"Johan Alexander Escobar Arroyo ")</f>
        <v>Johan Alexander Escobar Arroyo </v>
      </c>
      <c r="C344" s="15" t="str">
        <f>IFERROR(__xludf.DUMMYFUNCTION("""COMPUTED_VALUE"""),"CALI")</f>
        <v>CALI</v>
      </c>
      <c r="D344" s="15" t="str">
        <f>IFERROR(__xludf.DUMMYFUNCTION("""COMPUTED_VALUE"""),"BOGOTÁ")</f>
        <v>BOGOTÁ</v>
      </c>
      <c r="E344" s="15" t="str">
        <f>IFERROR(__xludf.DUMMYFUNCTION("""COMPUTED_VALUE"""),"Evamazzita")</f>
        <v>Evamazzita</v>
      </c>
      <c r="F344" s="17" t="str">
        <f>IFERROR(__xludf.DUMMYFUNCTION("""COMPUTED_VALUE"""),"Cra 1 # 42-75  (ENTREGAR DE 8 A 12 O DE 1:30 A 5PM) / Barrio popular /  (ENTREGAR DE 8 A 12 O DE 1:30 A 5PM) - SE ENVÍAN DOS CAJAS")</f>
        <v>Cra 1 # 42-75  (ENTREGAR DE 8 A 12 O DE 1:30 A 5PM) / Barrio popular /  (ENTREGAR DE 8 A 12 O DE 1:30 A 5PM) - SE ENVÍAN DOS CAJAS</v>
      </c>
      <c r="G344" s="15" t="str">
        <f>IFERROR(__xludf.DUMMYFUNCTION("""COMPUTED_VALUE"""),"VIRGINIA QUINTERO")</f>
        <v>VIRGINIA QUINTERO</v>
      </c>
      <c r="H344" s="18">
        <f>IFERROR(__xludf.DUMMYFUNCTION("""COMPUTED_VALUE"""),9014.0)</f>
        <v>9014</v>
      </c>
      <c r="I344" s="18">
        <f>IFERROR(__xludf.DUMMYFUNCTION("""COMPUTED_VALUE"""),3.0)</f>
        <v>3</v>
      </c>
      <c r="J344" s="18">
        <f>IFERROR(__xludf.DUMMYFUNCTION("""COMPUTED_VALUE"""),20.0)</f>
        <v>20</v>
      </c>
      <c r="K344" s="18">
        <f>IFERROR(__xludf.DUMMYFUNCTION("""COMPUTED_VALUE"""),15.0)</f>
        <v>15</v>
      </c>
      <c r="L344" s="17">
        <f>IFERROR(__xludf.DUMMYFUNCTION("""COMPUTED_VALUE"""),3.116193937E9)</f>
        <v>3116193937</v>
      </c>
      <c r="M344" s="17" t="str">
        <f>IFERROR(__xludf.DUMMYFUNCTION("""COMPUTED_VALUE"""),"#REF!")</f>
        <v>#REF!</v>
      </c>
      <c r="N344" s="17"/>
      <c r="O344" s="19" t="str">
        <f>IFERROR(__xludf.DUMMYFUNCTION("""COMPUTED_VALUE"""),"")</f>
        <v/>
      </c>
      <c r="P344" s="17" t="b">
        <f>IFERROR(__xludf.DUMMYFUNCTION("""COMPUTED_VALUE"""),TRUE)</f>
        <v>1</v>
      </c>
      <c r="Q344" s="20">
        <f>IFERROR(__xludf.DUMMYFUNCTION("""COMPUTED_VALUE"""),45007.681677280096)</f>
        <v>45007.68168</v>
      </c>
      <c r="R344" s="21" t="str">
        <f>IFERROR(__xludf.DUMMYFUNCTION("""COMPUTED_VALUE"""),"https://drive.google.com/file/d/1_igfbBk6npYlm9XF5VRC4V92AEsm1UhM/view?usp=drivesdk")</f>
        <v>https://drive.google.com/file/d/1_igfbBk6npYlm9XF5VRC4V92AEsm1UhM/view?usp=drivesdk</v>
      </c>
    </row>
    <row r="345">
      <c r="A345" s="15">
        <f>IFERROR(__xludf.DUMMYFUNCTION("""COMPUTED_VALUE"""),45007.0)</f>
        <v>45007</v>
      </c>
      <c r="B345" s="16" t="str">
        <f>IFERROR(__xludf.DUMMYFUNCTION("""COMPUTED_VALUE"""),"Johan Alexander Escobar Arroyo ")</f>
        <v>Johan Alexander Escobar Arroyo </v>
      </c>
      <c r="C345" s="15" t="str">
        <f>IFERROR(__xludf.DUMMYFUNCTION("""COMPUTED_VALUE"""),"CALI")</f>
        <v>CALI</v>
      </c>
      <c r="D345" s="15" t="str">
        <f>IFERROR(__xludf.DUMMYFUNCTION("""COMPUTED_VALUE"""),"BOGOTÁ")</f>
        <v>BOGOTÁ</v>
      </c>
      <c r="E345" s="15" t="str">
        <f>IFERROR(__xludf.DUMMYFUNCTION("""COMPUTED_VALUE"""),"Frubits")</f>
        <v>Frubits</v>
      </c>
      <c r="F345" s="17" t="str">
        <f>IFERROR(__xludf.DUMMYFUNCTION("""COMPUTED_VALUE"""),"Carrera 3 oeste Nro 9-198 apto 808A Edificio Altos de Árboleda  Cali - Valle  / Carrera 3 oeste Nro 9-198 apto 808A Edificio Altos de Árboleda  Cali - Valle  / Carrera 3 oeste Nro 9-198 apto 808A Edificio Altos de Árboleda  Cali - Valle")</f>
        <v>Carrera 3 oeste Nro 9-198 apto 808A Edificio Altos de Árboleda  Cali - Valle  / Carrera 3 oeste Nro 9-198 apto 808A Edificio Altos de Árboleda  Cali - Valle  / Carrera 3 oeste Nro 9-198 apto 808A Edificio Altos de Árboleda  Cali - Valle</v>
      </c>
      <c r="G345" s="15" t="str">
        <f>IFERROR(__xludf.DUMMYFUNCTION("""COMPUTED_VALUE"""),"Nicolas Arcos")</f>
        <v>Nicolas Arcos</v>
      </c>
      <c r="H345" s="18">
        <f>IFERROR(__xludf.DUMMYFUNCTION("""COMPUTED_VALUE"""),9060.0)</f>
        <v>9060</v>
      </c>
      <c r="I345" s="18">
        <f>IFERROR(__xludf.DUMMYFUNCTION("""COMPUTED_VALUE"""),25.0)</f>
        <v>25</v>
      </c>
      <c r="J345" s="18">
        <f>IFERROR(__xludf.DUMMYFUNCTION("""COMPUTED_VALUE"""),25.0)</f>
        <v>25</v>
      </c>
      <c r="K345" s="18">
        <f>IFERROR(__xludf.DUMMYFUNCTION("""COMPUTED_VALUE"""),25.0)</f>
        <v>25</v>
      </c>
      <c r="L345" s="17">
        <f>IFERROR(__xludf.DUMMYFUNCTION("""COMPUTED_VALUE"""),3.146164919E9)</f>
        <v>3146164919</v>
      </c>
      <c r="M345" s="17" t="str">
        <f>IFERROR(__xludf.DUMMYFUNCTION("""COMPUTED_VALUE"""),"#REF!")</f>
        <v>#REF!</v>
      </c>
      <c r="N345" s="17"/>
      <c r="O345" s="19" t="str">
        <f>IFERROR(__xludf.DUMMYFUNCTION("""COMPUTED_VALUE"""),"")</f>
        <v/>
      </c>
      <c r="P345" s="17" t="b">
        <f>IFERROR(__xludf.DUMMYFUNCTION("""COMPUTED_VALUE"""),TRUE)</f>
        <v>1</v>
      </c>
      <c r="Q345" s="20">
        <f>IFERROR(__xludf.DUMMYFUNCTION("""COMPUTED_VALUE"""),45007.681677280096)</f>
        <v>45007.68168</v>
      </c>
      <c r="R345" s="22" t="str">
        <f>IFERROR(__xludf.DUMMYFUNCTION("""COMPUTED_VALUE"""),"")</f>
        <v/>
      </c>
    </row>
    <row r="346">
      <c r="A346" s="15">
        <f>IFERROR(__xludf.DUMMYFUNCTION("""COMPUTED_VALUE"""),45007.0)</f>
        <v>45007</v>
      </c>
      <c r="B346" s="16" t="str">
        <f>IFERROR(__xludf.DUMMYFUNCTION("""COMPUTED_VALUE"""),"Johan Alexander Escobar Arroyo ")</f>
        <v>Johan Alexander Escobar Arroyo </v>
      </c>
      <c r="C346" s="15" t="str">
        <f>IFERROR(__xludf.DUMMYFUNCTION("""COMPUTED_VALUE"""),"CALI")</f>
        <v>CALI</v>
      </c>
      <c r="D346" s="15" t="str">
        <f>IFERROR(__xludf.DUMMYFUNCTION("""COMPUTED_VALUE"""),"BOGOTÁ")</f>
        <v>BOGOTÁ</v>
      </c>
      <c r="E346" s="15" t="str">
        <f>IFERROR(__xludf.DUMMYFUNCTION("""COMPUTED_VALUE"""),"Helados Socos")</f>
        <v>Helados Socos</v>
      </c>
      <c r="F346" s="17" t="str">
        <f>IFERROR(__xludf.DUMMYFUNCTION("""COMPUTED_VALUE"""),"Cra 1 oeste # 11 -31  / Edificio El canelo apto 501 / Barrio Santa Teresita")</f>
        <v>Cra 1 oeste # 11 -31  / Edificio El canelo apto 501 / Barrio Santa Teresita</v>
      </c>
      <c r="G346" s="15" t="str">
        <f>IFERROR(__xludf.DUMMYFUNCTION("""COMPUTED_VALUE"""),"Olga Dorronsoro")</f>
        <v>Olga Dorronsoro</v>
      </c>
      <c r="H346" s="18">
        <f>IFERROR(__xludf.DUMMYFUNCTION("""COMPUTED_VALUE"""),8929.0)</f>
        <v>8929</v>
      </c>
      <c r="I346" s="18">
        <f>IFERROR(__xludf.DUMMYFUNCTION("""COMPUTED_VALUE"""),10.0)</f>
        <v>10</v>
      </c>
      <c r="J346" s="18">
        <f>IFERROR(__xludf.DUMMYFUNCTION("""COMPUTED_VALUE"""),15.0)</f>
        <v>15</v>
      </c>
      <c r="K346" s="18">
        <f>IFERROR(__xludf.DUMMYFUNCTION("""COMPUTED_VALUE"""),10.0)</f>
        <v>10</v>
      </c>
      <c r="L346" s="17">
        <f>IFERROR(__xludf.DUMMYFUNCTION("""COMPUTED_VALUE"""),3.1176404E9)</f>
        <v>3117640400</v>
      </c>
      <c r="M346" s="17" t="str">
        <f>IFERROR(__xludf.DUMMYFUNCTION("""COMPUTED_VALUE"""),"#REF!")</f>
        <v>#REF!</v>
      </c>
      <c r="N346" s="17"/>
      <c r="O346" s="19" t="str">
        <f>IFERROR(__xludf.DUMMYFUNCTION("""COMPUTED_VALUE"""),"")</f>
        <v/>
      </c>
      <c r="P346" s="17" t="b">
        <f>IFERROR(__xludf.DUMMYFUNCTION("""COMPUTED_VALUE"""),TRUE)</f>
        <v>1</v>
      </c>
      <c r="Q346" s="20">
        <f>IFERROR(__xludf.DUMMYFUNCTION("""COMPUTED_VALUE"""),45007.681677280096)</f>
        <v>45007.68168</v>
      </c>
      <c r="R346" s="22" t="str">
        <f>IFERROR(__xludf.DUMMYFUNCTION("""COMPUTED_VALUE"""),"")</f>
        <v/>
      </c>
    </row>
    <row r="347">
      <c r="A347" s="15">
        <f>IFERROR(__xludf.DUMMYFUNCTION("""COMPUTED_VALUE"""),45007.0)</f>
        <v>45007</v>
      </c>
      <c r="B347" s="16" t="str">
        <f>IFERROR(__xludf.DUMMYFUNCTION("""COMPUTED_VALUE"""),"Johan Alexander Escobar Arroyo ")</f>
        <v>Johan Alexander Escobar Arroyo </v>
      </c>
      <c r="C347" s="15" t="str">
        <f>IFERROR(__xludf.DUMMYFUNCTION("""COMPUTED_VALUE"""),"CALI")</f>
        <v>CALI</v>
      </c>
      <c r="D347" s="15" t="str">
        <f>IFERROR(__xludf.DUMMYFUNCTION("""COMPUTED_VALUE"""),"BOGOTÁ")</f>
        <v>BOGOTÁ</v>
      </c>
      <c r="E347" s="15" t="str">
        <f>IFERROR(__xludf.DUMMYFUNCTION("""COMPUTED_VALUE"""),"Ind. Karpos")</f>
        <v>Ind. Karpos</v>
      </c>
      <c r="F347" s="17" t="str">
        <f>IFERROR(__xludf.DUMMYFUNCTION("""COMPUTED_VALUE"""),"Carrera 19a # 45-56, PALMIRA VALLE / B/ Balcones de Altamira / B/ Balcones de Altamira, PALMIRA VALLE")</f>
        <v>Carrera 19a # 45-56, PALMIRA VALLE / B/ Balcones de Altamira / B/ Balcones de Altamira, PALMIRA VALLE</v>
      </c>
      <c r="G347" s="15" t="str">
        <f>IFERROR(__xludf.DUMMYFUNCTION("""COMPUTED_VALUE"""),"JAVIER GALAN")</f>
        <v>JAVIER GALAN</v>
      </c>
      <c r="H347" s="18">
        <f>IFERROR(__xludf.DUMMYFUNCTION("""COMPUTED_VALUE"""),9000.0)</f>
        <v>9000</v>
      </c>
      <c r="I347" s="18">
        <f>IFERROR(__xludf.DUMMYFUNCTION("""COMPUTED_VALUE"""),10.0)</f>
        <v>10</v>
      </c>
      <c r="J347" s="18">
        <f>IFERROR(__xludf.DUMMYFUNCTION("""COMPUTED_VALUE"""),100.0)</f>
        <v>100</v>
      </c>
      <c r="K347" s="18">
        <f>IFERROR(__xludf.DUMMYFUNCTION("""COMPUTED_VALUE"""),18.0)</f>
        <v>18</v>
      </c>
      <c r="L347" s="17">
        <f>IFERROR(__xludf.DUMMYFUNCTION("""COMPUTED_VALUE"""),3.154920766E9)</f>
        <v>3154920766</v>
      </c>
      <c r="M347" s="17" t="str">
        <f>IFERROR(__xludf.DUMMYFUNCTION("""COMPUTED_VALUE"""),"#REF!")</f>
        <v>#REF!</v>
      </c>
      <c r="N347" s="17"/>
      <c r="O347" s="19" t="str">
        <f>IFERROR(__xludf.DUMMYFUNCTION("""COMPUTED_VALUE"""),"")</f>
        <v/>
      </c>
      <c r="P347" s="17" t="b">
        <f>IFERROR(__xludf.DUMMYFUNCTION("""COMPUTED_VALUE"""),TRUE)</f>
        <v>1</v>
      </c>
      <c r="Q347" s="20">
        <f>IFERROR(__xludf.DUMMYFUNCTION("""COMPUTED_VALUE"""),45007.681677280096)</f>
        <v>45007.68168</v>
      </c>
      <c r="R347" s="22" t="str">
        <f>IFERROR(__xludf.DUMMYFUNCTION("""COMPUTED_VALUE"""),"")</f>
        <v/>
      </c>
    </row>
    <row r="348">
      <c r="A348" s="15">
        <f>IFERROR(__xludf.DUMMYFUNCTION("""COMPUTED_VALUE"""),45007.0)</f>
        <v>45007</v>
      </c>
      <c r="B348" s="16" t="str">
        <f>IFERROR(__xludf.DUMMYFUNCTION("""COMPUTED_VALUE"""),"Johan Alexander Escobar Arroyo ")</f>
        <v>Johan Alexander Escobar Arroyo </v>
      </c>
      <c r="C348" s="15" t="str">
        <f>IFERROR(__xludf.DUMMYFUNCTION("""COMPUTED_VALUE"""),"CALI")</f>
        <v>CALI</v>
      </c>
      <c r="D348" s="15" t="str">
        <f>IFERROR(__xludf.DUMMYFUNCTION("""COMPUTED_VALUE"""),"BOGOTÁ")</f>
        <v>BOGOTÁ</v>
      </c>
      <c r="E348" s="15" t="str">
        <f>IFERROR(__xludf.DUMMYFUNCTION("""COMPUTED_VALUE"""),"Lunchy Kids")</f>
        <v>Lunchy Kids</v>
      </c>
      <c r="F348" s="17" t="str">
        <f>IFERROR(__xludf.DUMMYFUNCTION("""COMPUTED_VALUE"""),"Cra 85 # 13b - 89  / Apto 301c . Unidad La cosecha / Barrio Ingenio")</f>
        <v>Cra 85 # 13b - 89  / Apto 301c . Unidad La cosecha / Barrio Ingenio</v>
      </c>
      <c r="G348" s="15" t="str">
        <f>IFERROR(__xludf.DUMMYFUNCTION("""COMPUTED_VALUE"""),"Diana Cruz")</f>
        <v>Diana Cruz</v>
      </c>
      <c r="H348" s="18">
        <f>IFERROR(__xludf.DUMMYFUNCTION("""COMPUTED_VALUE"""),8997.0)</f>
        <v>8997</v>
      </c>
      <c r="I348" s="18">
        <f>IFERROR(__xludf.DUMMYFUNCTION("""COMPUTED_VALUE"""),16.0)</f>
        <v>16</v>
      </c>
      <c r="J348" s="18">
        <f>IFERROR(__xludf.DUMMYFUNCTION("""COMPUTED_VALUE"""),28.0)</f>
        <v>28</v>
      </c>
      <c r="K348" s="18">
        <f>IFERROR(__xludf.DUMMYFUNCTION("""COMPUTED_VALUE"""),7.0)</f>
        <v>7</v>
      </c>
      <c r="L348" s="17">
        <f>IFERROR(__xludf.DUMMYFUNCTION("""COMPUTED_VALUE"""),3.02299956E9)</f>
        <v>3022999560</v>
      </c>
      <c r="M348" s="17" t="str">
        <f>IFERROR(__xludf.DUMMYFUNCTION("""COMPUTED_VALUE"""),"#REF!")</f>
        <v>#REF!</v>
      </c>
      <c r="N348" s="17"/>
      <c r="O348" s="19" t="str">
        <f>IFERROR(__xludf.DUMMYFUNCTION("""COMPUTED_VALUE"""),"")</f>
        <v/>
      </c>
      <c r="P348" s="17" t="b">
        <f>IFERROR(__xludf.DUMMYFUNCTION("""COMPUTED_VALUE"""),TRUE)</f>
        <v>1</v>
      </c>
      <c r="Q348" s="20">
        <f>IFERROR(__xludf.DUMMYFUNCTION("""COMPUTED_VALUE"""),45007.681677280096)</f>
        <v>45007.68168</v>
      </c>
      <c r="R348" s="22" t="str">
        <f>IFERROR(__xludf.DUMMYFUNCTION("""COMPUTED_VALUE"""),"")</f>
        <v/>
      </c>
    </row>
    <row r="349">
      <c r="A349" s="15">
        <f>IFERROR(__xludf.DUMMYFUNCTION("""COMPUTED_VALUE"""),45007.0)</f>
        <v>45007</v>
      </c>
      <c r="B349" s="16" t="str">
        <f>IFERROR(__xludf.DUMMYFUNCTION("""COMPUTED_VALUE"""),"Johan Alexander Escobar Arroyo ")</f>
        <v>Johan Alexander Escobar Arroyo </v>
      </c>
      <c r="C349" s="15" t="str">
        <f>IFERROR(__xludf.DUMMYFUNCTION("""COMPUTED_VALUE"""),"IBAGUÉ")</f>
        <v>IBAGUÉ</v>
      </c>
      <c r="D349" s="15" t="str">
        <f>IFERROR(__xludf.DUMMYFUNCTION("""COMPUTED_VALUE"""),"MEDELLÍN")</f>
        <v>MEDELLÍN</v>
      </c>
      <c r="E349" s="15" t="str">
        <f>IFERROR(__xludf.DUMMYFUNCTION("""COMPUTED_VALUE"""),"Rambla")</f>
        <v>Rambla</v>
      </c>
      <c r="F349" s="17" t="str">
        <f>IFERROR(__xludf.DUMMYFUNCTION("""COMPUTED_VALUE"""),"Cra 14 #75A-29 local 5 estancia del vergel ibague - Tolima / na / na")</f>
        <v>Cra 14 #75A-29 local 5 estancia del vergel ibague - Tolima / na / na</v>
      </c>
      <c r="G349" s="15" t="str">
        <f>IFERROR(__xludf.DUMMYFUNCTION("""COMPUTED_VALUE"""),"Soy Natural market")</f>
        <v>Soy Natural market</v>
      </c>
      <c r="H349" s="18">
        <f>IFERROR(__xludf.DUMMYFUNCTION("""COMPUTED_VALUE"""),9062.0)</f>
        <v>9062</v>
      </c>
      <c r="I349" s="18">
        <f>IFERROR(__xludf.DUMMYFUNCTION("""COMPUTED_VALUE"""),28.0)</f>
        <v>28</v>
      </c>
      <c r="J349" s="18">
        <f>IFERROR(__xludf.DUMMYFUNCTION("""COMPUTED_VALUE"""),30.0)</f>
        <v>30</v>
      </c>
      <c r="K349" s="18">
        <f>IFERROR(__xludf.DUMMYFUNCTION("""COMPUTED_VALUE"""),33.0)</f>
        <v>33</v>
      </c>
      <c r="L349" s="17">
        <f>IFERROR(__xludf.DUMMYFUNCTION("""COMPUTED_VALUE"""),3.177002909E9)</f>
        <v>3177002909</v>
      </c>
      <c r="M349" s="17" t="str">
        <f>IFERROR(__xludf.DUMMYFUNCTION("""COMPUTED_VALUE"""),"#REF!")</f>
        <v>#REF!</v>
      </c>
      <c r="N349" s="17"/>
      <c r="O349" s="19" t="str">
        <f>IFERROR(__xludf.DUMMYFUNCTION("""COMPUTED_VALUE"""),"")</f>
        <v/>
      </c>
      <c r="P349" s="17" t="b">
        <f>IFERROR(__xludf.DUMMYFUNCTION("""COMPUTED_VALUE"""),FALSE)</f>
        <v>0</v>
      </c>
      <c r="Q349" s="20" t="str">
        <f>IFERROR(__xludf.DUMMYFUNCTION("""COMPUTED_VALUE"""),"")</f>
        <v/>
      </c>
      <c r="R349" s="22" t="str">
        <f>IFERROR(__xludf.DUMMYFUNCTION("""COMPUTED_VALUE"""),"")</f>
        <v/>
      </c>
    </row>
    <row r="350">
      <c r="A350" s="15" t="str">
        <f>IFERROR(__xludf.DUMMYFUNCTION("""COMPUTED_VALUE"""),"")</f>
        <v/>
      </c>
      <c r="B350" s="16" t="str">
        <f>IFERROR(__xludf.DUMMYFUNCTION("""COMPUTED_VALUE"""),"")</f>
        <v/>
      </c>
      <c r="C350" s="15" t="str">
        <f>IFERROR(__xludf.DUMMYFUNCTION("""COMPUTED_VALUE"""),"")</f>
        <v/>
      </c>
      <c r="D350" s="15" t="str">
        <f>IFERROR(__xludf.DUMMYFUNCTION("""COMPUTED_VALUE"""),"")</f>
        <v/>
      </c>
      <c r="E350" s="15" t="str">
        <f>IFERROR(__xludf.DUMMYFUNCTION("""COMPUTED_VALUE"""),"")</f>
        <v/>
      </c>
      <c r="F350" s="17" t="str">
        <f>IFERROR(__xludf.DUMMYFUNCTION("""COMPUTED_VALUE"""),"")</f>
        <v/>
      </c>
      <c r="G350" s="15" t="str">
        <f>IFERROR(__xludf.DUMMYFUNCTION("""COMPUTED_VALUE"""),"")</f>
        <v/>
      </c>
      <c r="H350" s="18" t="str">
        <f>IFERROR(__xludf.DUMMYFUNCTION("""COMPUTED_VALUE"""),"")</f>
        <v/>
      </c>
      <c r="I350" s="18" t="str">
        <f>IFERROR(__xludf.DUMMYFUNCTION("""COMPUTED_VALUE"""),"")</f>
        <v/>
      </c>
      <c r="J350" s="18" t="str">
        <f>IFERROR(__xludf.DUMMYFUNCTION("""COMPUTED_VALUE"""),"")</f>
        <v/>
      </c>
      <c r="K350" s="17" t="str">
        <f>IFERROR(__xludf.DUMMYFUNCTION("""COMPUTED_VALUE"""),"")</f>
        <v/>
      </c>
      <c r="L350" s="17" t="str">
        <f>IFERROR(__xludf.DUMMYFUNCTION("""COMPUTED_VALUE"""),"")</f>
        <v/>
      </c>
      <c r="M350" s="17" t="str">
        <f>IFERROR(__xludf.DUMMYFUNCTION("""COMPUTED_VALUE"""),"")</f>
        <v/>
      </c>
      <c r="N350" s="19" t="str">
        <f>IFERROR(__xludf.DUMMYFUNCTION("""COMPUTED_VALUE"""),"")</f>
        <v/>
      </c>
      <c r="O350" s="19" t="str">
        <f>IFERROR(__xludf.DUMMYFUNCTION("""COMPUTED_VALUE"""),"")</f>
        <v/>
      </c>
      <c r="P350" s="17" t="str">
        <f>IFERROR(__xludf.DUMMYFUNCTION("""COMPUTED_VALUE"""),"")</f>
        <v/>
      </c>
      <c r="Q350" s="20" t="str">
        <f>IFERROR(__xludf.DUMMYFUNCTION("""COMPUTED_VALUE"""),"")</f>
        <v/>
      </c>
      <c r="R350" s="22" t="str">
        <f>IFERROR(__xludf.DUMMYFUNCTION("""COMPUTED_VALUE"""),"")</f>
        <v/>
      </c>
    </row>
    <row r="351">
      <c r="A351" s="15">
        <f>IFERROR(__xludf.DUMMYFUNCTION("""COMPUTED_VALUE"""),45007.0)</f>
        <v>45007</v>
      </c>
      <c r="B351" s="16" t="str">
        <f>IFERROR(__xludf.DUMMYFUNCTION("""COMPUTED_VALUE"""),"Sebastian Restrepo Martinez ")</f>
        <v>Sebastian Restrepo Martinez </v>
      </c>
      <c r="C351" s="15" t="str">
        <f>IFERROR(__xludf.DUMMYFUNCTION("""COMPUTED_VALUE"""),"MEDELLÍN")</f>
        <v>MEDELLÍN</v>
      </c>
      <c r="D351" s="15" t="str">
        <f>IFERROR(__xludf.DUMMYFUNCTION("""COMPUTED_VALUE"""),"BOGOTÁ")</f>
        <v>BOGOTÁ</v>
      </c>
      <c r="E351" s="15" t="str">
        <f>IFERROR(__xludf.DUMMYFUNCTION("""COMPUTED_VALUE"""),"Asociacion Agropecuaria Juana Maria")</f>
        <v>Asociacion Agropecuaria Juana Maria</v>
      </c>
      <c r="F351" s="17" t="str">
        <f>IFERROR(__xludf.DUMMYFUNCTION("""COMPUTED_VALUE"""),"Carrera 15 BA # 30D-44 int 201")</f>
        <v>Carrera 15 BA # 30D-44 int 201</v>
      </c>
      <c r="G351" s="15" t="str">
        <f>IFERROR(__xludf.DUMMYFUNCTION("""COMPUTED_VALUE"""),"Daniela Bedoya Blandon")</f>
        <v>Daniela Bedoya Blandon</v>
      </c>
      <c r="H351" s="18">
        <f>IFERROR(__xludf.DUMMYFUNCTION("""COMPUTED_VALUE"""),8987.0)</f>
        <v>8987</v>
      </c>
      <c r="I351" s="18">
        <f>IFERROR(__xludf.DUMMYFUNCTION("""COMPUTED_VALUE"""),21.0)</f>
        <v>21</v>
      </c>
      <c r="J351" s="18">
        <f>IFERROR(__xludf.DUMMYFUNCTION("""COMPUTED_VALUE"""),37.0)</f>
        <v>37</v>
      </c>
      <c r="K351" s="18">
        <f>IFERROR(__xludf.DUMMYFUNCTION("""COMPUTED_VALUE"""),30.0)</f>
        <v>30</v>
      </c>
      <c r="L351" s="17">
        <f>IFERROR(__xludf.DUMMYFUNCTION("""COMPUTED_VALUE"""),3.14672822E9)</f>
        <v>3146728220</v>
      </c>
      <c r="M351" s="17" t="str">
        <f>IFERROR(__xludf.DUMMYFUNCTION("""COMPUTED_VALUE"""),"#REF!")</f>
        <v>#REF!</v>
      </c>
      <c r="N351" s="17"/>
      <c r="O351" s="19" t="str">
        <f>IFERROR(__xludf.DUMMYFUNCTION("""COMPUTED_VALUE"""),"")</f>
        <v/>
      </c>
      <c r="P351" s="17" t="b">
        <f>IFERROR(__xludf.DUMMYFUNCTION("""COMPUTED_VALUE"""),FALSE)</f>
        <v>0</v>
      </c>
      <c r="Q351" s="20" t="str">
        <f>IFERROR(__xludf.DUMMYFUNCTION("""COMPUTED_VALUE"""),"")</f>
        <v/>
      </c>
      <c r="R351" s="22" t="str">
        <f>IFERROR(__xludf.DUMMYFUNCTION("""COMPUTED_VALUE"""),"")</f>
        <v/>
      </c>
    </row>
    <row r="352">
      <c r="A352" s="15">
        <f>IFERROR(__xludf.DUMMYFUNCTION("""COMPUTED_VALUE"""),45007.0)</f>
        <v>45007</v>
      </c>
      <c r="B352" s="16" t="str">
        <f>IFERROR(__xludf.DUMMYFUNCTION("""COMPUTED_VALUE"""),"Sebastian Restrepo Martinez ")</f>
        <v>Sebastian Restrepo Martinez </v>
      </c>
      <c r="C352" s="15" t="str">
        <f>IFERROR(__xludf.DUMMYFUNCTION("""COMPUTED_VALUE"""),"MEDELLÍN")</f>
        <v>MEDELLÍN</v>
      </c>
      <c r="D352" s="15" t="str">
        <f>IFERROR(__xludf.DUMMYFUNCTION("""COMPUTED_VALUE"""),"BOGOTÁ")</f>
        <v>BOGOTÁ</v>
      </c>
      <c r="E352" s="15" t="str">
        <f>IFERROR(__xludf.DUMMYFUNCTION("""COMPUTED_VALUE"""),"Evamazzita")</f>
        <v>Evamazzita</v>
      </c>
      <c r="F352" s="17" t="str">
        <f>IFERROR(__xludf.DUMMYFUNCTION("""COMPUTED_VALUE"""),"(LLAMAR ANTES DE ENTREGAR) calle 38b # 66-25  / apto 301  / (LLAMAR ANTES DE ENTREGAR) ITAGÜÍ - Barrio villa lia- por la glorieta de ditaires")</f>
        <v>(LLAMAR ANTES DE ENTREGAR) calle 38b # 66-25  / apto 301  / (LLAMAR ANTES DE ENTREGAR) ITAGÜÍ - Barrio villa lia- por la glorieta de ditaires</v>
      </c>
      <c r="G352" s="15" t="str">
        <f>IFERROR(__xludf.DUMMYFUNCTION("""COMPUTED_VALUE"""),"MARIA ELENA CONTRERAS MATTOS")</f>
        <v>MARIA ELENA CONTRERAS MATTOS</v>
      </c>
      <c r="H352" s="18">
        <f>IFERROR(__xludf.DUMMYFUNCTION("""COMPUTED_VALUE"""),9023.0)</f>
        <v>9023</v>
      </c>
      <c r="I352" s="18">
        <f>IFERROR(__xludf.DUMMYFUNCTION("""COMPUTED_VALUE"""),10.0)</f>
        <v>10</v>
      </c>
      <c r="J352" s="18">
        <f>IFERROR(__xludf.DUMMYFUNCTION("""COMPUTED_VALUE"""),18.0)</f>
        <v>18</v>
      </c>
      <c r="K352" s="18">
        <f>IFERROR(__xludf.DUMMYFUNCTION("""COMPUTED_VALUE"""),22.0)</f>
        <v>22</v>
      </c>
      <c r="L352" s="17">
        <f>IFERROR(__xludf.DUMMYFUNCTION("""COMPUTED_VALUE"""),3.165204659E9)</f>
        <v>3165204659</v>
      </c>
      <c r="M352" s="17" t="str">
        <f>IFERROR(__xludf.DUMMYFUNCTION("""COMPUTED_VALUE"""),"#REF!")</f>
        <v>#REF!</v>
      </c>
      <c r="N352" s="17"/>
      <c r="O352" s="19" t="str">
        <f>IFERROR(__xludf.DUMMYFUNCTION("""COMPUTED_VALUE"""),"")</f>
        <v/>
      </c>
      <c r="P352" s="17" t="b">
        <f>IFERROR(__xludf.DUMMYFUNCTION("""COMPUTED_VALUE"""),FALSE)</f>
        <v>0</v>
      </c>
      <c r="Q352" s="20" t="str">
        <f>IFERROR(__xludf.DUMMYFUNCTION("""COMPUTED_VALUE"""),"")</f>
        <v/>
      </c>
      <c r="R352" s="21" t="str">
        <f>IFERROR(__xludf.DUMMYFUNCTION("""COMPUTED_VALUE"""),"https://drive.google.com/file/d/1zF5fxMSkFSigAVLRm7YoLUyC77d-G0px/view?usp=drivesdk")</f>
        <v>https://drive.google.com/file/d/1zF5fxMSkFSigAVLRm7YoLUyC77d-G0px/view?usp=drivesdk</v>
      </c>
    </row>
    <row r="353">
      <c r="A353" s="15">
        <f>IFERROR(__xludf.DUMMYFUNCTION("""COMPUTED_VALUE"""),45007.0)</f>
        <v>45007</v>
      </c>
      <c r="B353" s="16" t="str">
        <f>IFERROR(__xludf.DUMMYFUNCTION("""COMPUTED_VALUE"""),"Sebastian Restrepo Martinez ")</f>
        <v>Sebastian Restrepo Martinez </v>
      </c>
      <c r="C353" s="15" t="str">
        <f>IFERROR(__xludf.DUMMYFUNCTION("""COMPUTED_VALUE"""),"MEDELLÍN")</f>
        <v>MEDELLÍN</v>
      </c>
      <c r="D353" s="15" t="str">
        <f>IFERROR(__xludf.DUMMYFUNCTION("""COMPUTED_VALUE"""),"BOGOTÁ")</f>
        <v>BOGOTÁ</v>
      </c>
      <c r="E353" s="15" t="str">
        <f>IFERROR(__xludf.DUMMYFUNCTION("""COMPUTED_VALUE"""),"Evamazzita")</f>
        <v>Evamazzita</v>
      </c>
      <c r="F353" s="17" t="str">
        <f>IFERROR(__xludf.DUMMYFUNCTION("""COMPUTED_VALUE"""),"Av 35b #64-76 / niquia quitasol / BELLO")</f>
        <v>Av 35b #64-76 / niquia quitasol / BELLO</v>
      </c>
      <c r="G353" s="15" t="str">
        <f>IFERROR(__xludf.DUMMYFUNCTION("""COMPUTED_VALUE"""),"GLORIA VANESSA GUISAO OBANDO")</f>
        <v>GLORIA VANESSA GUISAO OBANDO</v>
      </c>
      <c r="H353" s="18">
        <f>IFERROR(__xludf.DUMMYFUNCTION("""COMPUTED_VALUE"""),9019.0)</f>
        <v>9019</v>
      </c>
      <c r="I353" s="18">
        <f>IFERROR(__xludf.DUMMYFUNCTION("""COMPUTED_VALUE"""),3.0)</f>
        <v>3</v>
      </c>
      <c r="J353" s="18">
        <f>IFERROR(__xludf.DUMMYFUNCTION("""COMPUTED_VALUE"""),20.0)</f>
        <v>20</v>
      </c>
      <c r="K353" s="18">
        <f>IFERROR(__xludf.DUMMYFUNCTION("""COMPUTED_VALUE"""),15.0)</f>
        <v>15</v>
      </c>
      <c r="L353" s="17">
        <f>IFERROR(__xludf.DUMMYFUNCTION("""COMPUTED_VALUE"""),3.11621858E9)</f>
        <v>3116218580</v>
      </c>
      <c r="M353" s="17" t="str">
        <f>IFERROR(__xludf.DUMMYFUNCTION("""COMPUTED_VALUE"""),"#REF!")</f>
        <v>#REF!</v>
      </c>
      <c r="N353" s="17"/>
      <c r="O353" s="19" t="str">
        <f>IFERROR(__xludf.DUMMYFUNCTION("""COMPUTED_VALUE"""),"")</f>
        <v/>
      </c>
      <c r="P353" s="17" t="b">
        <f>IFERROR(__xludf.DUMMYFUNCTION("""COMPUTED_VALUE"""),FALSE)</f>
        <v>0</v>
      </c>
      <c r="Q353" s="20" t="str">
        <f>IFERROR(__xludf.DUMMYFUNCTION("""COMPUTED_VALUE"""),"")</f>
        <v/>
      </c>
      <c r="R353" s="21" t="str">
        <f>IFERROR(__xludf.DUMMYFUNCTION("""COMPUTED_VALUE"""),"https://drive.google.com/file/d/1al8C0yOTGPxt_bd1ETZMckmh_2EIoeBK/view?usp=drivesdk")</f>
        <v>https://drive.google.com/file/d/1al8C0yOTGPxt_bd1ETZMckmh_2EIoeBK/view?usp=drivesdk</v>
      </c>
    </row>
    <row r="354">
      <c r="A354" s="15">
        <f>IFERROR(__xludf.DUMMYFUNCTION("""COMPUTED_VALUE"""),45007.0)</f>
        <v>45007</v>
      </c>
      <c r="B354" s="16" t="str">
        <f>IFERROR(__xludf.DUMMYFUNCTION("""COMPUTED_VALUE"""),"Sebastian Restrepo Martinez ")</f>
        <v>Sebastian Restrepo Martinez </v>
      </c>
      <c r="C354" s="15" t="str">
        <f>IFERROR(__xludf.DUMMYFUNCTION("""COMPUTED_VALUE"""),"MEDELLÍN")</f>
        <v>MEDELLÍN</v>
      </c>
      <c r="D354" s="15" t="str">
        <f>IFERROR(__xludf.DUMMYFUNCTION("""COMPUTED_VALUE"""),"BOGOTÁ")</f>
        <v>BOGOTÁ</v>
      </c>
      <c r="E354" s="15" t="str">
        <f>IFERROR(__xludf.DUMMYFUNCTION("""COMPUTED_VALUE"""),"Evamazzita")</f>
        <v>Evamazzita</v>
      </c>
      <c r="F354" s="17" t="str">
        <f>IFERROR(__xludf.DUMMYFUNCTION("""COMPUTED_VALUE"""),"calle 72 sur # 46 cc 21  / SEGUNDO PISO / Sabaneta - entre amigos")</f>
        <v>calle 72 sur # 46 cc 21  / SEGUNDO PISO / Sabaneta - entre amigos</v>
      </c>
      <c r="G354" s="15" t="str">
        <f>IFERROR(__xludf.DUMMYFUNCTION("""COMPUTED_VALUE"""),"ANGELA MOLINA")</f>
        <v>ANGELA MOLINA</v>
      </c>
      <c r="H354" s="18">
        <f>IFERROR(__xludf.DUMMYFUNCTION("""COMPUTED_VALUE"""),9029.0)</f>
        <v>9029</v>
      </c>
      <c r="I354" s="18">
        <f>IFERROR(__xludf.DUMMYFUNCTION("""COMPUTED_VALUE"""),10.0)</f>
        <v>10</v>
      </c>
      <c r="J354" s="18">
        <f>IFERROR(__xludf.DUMMYFUNCTION("""COMPUTED_VALUE"""),18.0)</f>
        <v>18</v>
      </c>
      <c r="K354" s="18">
        <f>IFERROR(__xludf.DUMMYFUNCTION("""COMPUTED_VALUE"""),22.0)</f>
        <v>22</v>
      </c>
      <c r="L354" s="17">
        <f>IFERROR(__xludf.DUMMYFUNCTION("""COMPUTED_VALUE"""),3.043724584E9)</f>
        <v>3043724584</v>
      </c>
      <c r="M354" s="17" t="str">
        <f>IFERROR(__xludf.DUMMYFUNCTION("""COMPUTED_VALUE"""),"#REF!")</f>
        <v>#REF!</v>
      </c>
      <c r="N354" s="17"/>
      <c r="O354" s="19" t="str">
        <f>IFERROR(__xludf.DUMMYFUNCTION("""COMPUTED_VALUE"""),"")</f>
        <v/>
      </c>
      <c r="P354" s="17" t="b">
        <f>IFERROR(__xludf.DUMMYFUNCTION("""COMPUTED_VALUE"""),FALSE)</f>
        <v>0</v>
      </c>
      <c r="Q354" s="20" t="str">
        <f>IFERROR(__xludf.DUMMYFUNCTION("""COMPUTED_VALUE"""),"")</f>
        <v/>
      </c>
      <c r="R354" s="21" t="str">
        <f>IFERROR(__xludf.DUMMYFUNCTION("""COMPUTED_VALUE"""),"https://drive.google.com/file/d/1pQubWs7lJYOyzXFwsB6-t0oLUQYQ39wJ/view?usp=drivesdk")</f>
        <v>https://drive.google.com/file/d/1pQubWs7lJYOyzXFwsB6-t0oLUQYQ39wJ/view?usp=drivesdk</v>
      </c>
    </row>
    <row r="355">
      <c r="A355" s="15">
        <f>IFERROR(__xludf.DUMMYFUNCTION("""COMPUTED_VALUE"""),45007.0)</f>
        <v>45007</v>
      </c>
      <c r="B355" s="16" t="str">
        <f>IFERROR(__xludf.DUMMYFUNCTION("""COMPUTED_VALUE"""),"Sebastian Restrepo Martinez ")</f>
        <v>Sebastian Restrepo Martinez </v>
      </c>
      <c r="C355" s="15" t="str">
        <f>IFERROR(__xludf.DUMMYFUNCTION("""COMPUTED_VALUE"""),"MEDELLÍN")</f>
        <v>MEDELLÍN</v>
      </c>
      <c r="D355" s="15" t="str">
        <f>IFERROR(__xludf.DUMMYFUNCTION("""COMPUTED_VALUE"""),"BOGOTÁ")</f>
        <v>BOGOTÁ</v>
      </c>
      <c r="E355" s="15" t="str">
        <f>IFERROR(__xludf.DUMMYFUNCTION("""COMPUTED_VALUE"""),"Evamazzita")</f>
        <v>Evamazzita</v>
      </c>
      <c r="F355" s="17" t="str">
        <f>IFERROR(__xludf.DUMMYFUNCTION("""COMPUTED_VALUE"""),"Calle 93c #83 a 81  / N/A / Barrio: Robledo Primaveral")</f>
        <v>Calle 93c #83 a 81  / N/A / Barrio: Robledo Primaveral</v>
      </c>
      <c r="G355" s="15" t="str">
        <f>IFERROR(__xludf.DUMMYFUNCTION("""COMPUTED_VALUE"""),"MILENA JARAMILLO ACEVEDO")</f>
        <v>MILENA JARAMILLO ACEVEDO</v>
      </c>
      <c r="H355" s="18">
        <f>IFERROR(__xludf.DUMMYFUNCTION("""COMPUTED_VALUE"""),9026.0)</f>
        <v>9026</v>
      </c>
      <c r="I355" s="18">
        <f>IFERROR(__xludf.DUMMYFUNCTION("""COMPUTED_VALUE"""),3.0)</f>
        <v>3</v>
      </c>
      <c r="J355" s="18">
        <f>IFERROR(__xludf.DUMMYFUNCTION("""COMPUTED_VALUE"""),20.0)</f>
        <v>20</v>
      </c>
      <c r="K355" s="18">
        <f>IFERROR(__xludf.DUMMYFUNCTION("""COMPUTED_VALUE"""),15.0)</f>
        <v>15</v>
      </c>
      <c r="L355" s="17">
        <f>IFERROR(__xludf.DUMMYFUNCTION("""COMPUTED_VALUE"""),3.005579612E9)</f>
        <v>3005579612</v>
      </c>
      <c r="M355" s="17" t="str">
        <f>IFERROR(__xludf.DUMMYFUNCTION("""COMPUTED_VALUE"""),"#REF!")</f>
        <v>#REF!</v>
      </c>
      <c r="N355" s="17"/>
      <c r="O355" s="19" t="str">
        <f>IFERROR(__xludf.DUMMYFUNCTION("""COMPUTED_VALUE"""),"")</f>
        <v/>
      </c>
      <c r="P355" s="17" t="b">
        <f>IFERROR(__xludf.DUMMYFUNCTION("""COMPUTED_VALUE"""),FALSE)</f>
        <v>0</v>
      </c>
      <c r="Q355" s="20" t="str">
        <f>IFERROR(__xludf.DUMMYFUNCTION("""COMPUTED_VALUE"""),"")</f>
        <v/>
      </c>
      <c r="R355" s="21" t="str">
        <f>IFERROR(__xludf.DUMMYFUNCTION("""COMPUTED_VALUE"""),"https://drive.google.com/file/d/1-82pQHgpTYozvliuVhP3VCk-RYgTN-5v/view?usp=drivesdk")</f>
        <v>https://drive.google.com/file/d/1-82pQHgpTYozvliuVhP3VCk-RYgTN-5v/view?usp=drivesdk</v>
      </c>
    </row>
    <row r="356">
      <c r="A356" s="15">
        <f>IFERROR(__xludf.DUMMYFUNCTION("""COMPUTED_VALUE"""),45007.0)</f>
        <v>45007</v>
      </c>
      <c r="B356" s="16" t="str">
        <f>IFERROR(__xludf.DUMMYFUNCTION("""COMPUTED_VALUE"""),"Sebastian Restrepo Martinez ")</f>
        <v>Sebastian Restrepo Martinez </v>
      </c>
      <c r="C356" s="15" t="str">
        <f>IFERROR(__xludf.DUMMYFUNCTION("""COMPUTED_VALUE"""),"MEDELLÍN")</f>
        <v>MEDELLÍN</v>
      </c>
      <c r="D356" s="15" t="str">
        <f>IFERROR(__xludf.DUMMYFUNCTION("""COMPUTED_VALUE"""),"BOGOTÁ")</f>
        <v>BOGOTÁ</v>
      </c>
      <c r="E356" s="15" t="str">
        <f>IFERROR(__xludf.DUMMYFUNCTION("""COMPUTED_VALUE"""),"Evamazzita")</f>
        <v>Evamazzita</v>
      </c>
      <c r="F356" s="17" t="str">
        <f>IFERROR(__xludf.DUMMYFUNCTION("""COMPUTED_VALUE"""),"CARRERA 27 D # 27 SUR - 123  /  URBANIZACION TRENTTO, APTO 1107  / ENVIGADO - LOMA EL ESMERALDAL")</f>
        <v>CARRERA 27 D # 27 SUR - 123  /  URBANIZACION TRENTTO, APTO 1107  / ENVIGADO - LOMA EL ESMERALDAL</v>
      </c>
      <c r="G356" s="15" t="str">
        <f>IFERROR(__xludf.DUMMYFUNCTION("""COMPUTED_VALUE"""),"MARCELA MEJIA BARRIENTOS")</f>
        <v>MARCELA MEJIA BARRIENTOS</v>
      </c>
      <c r="H356" s="18">
        <f>IFERROR(__xludf.DUMMYFUNCTION("""COMPUTED_VALUE"""),9020.0)</f>
        <v>9020</v>
      </c>
      <c r="I356" s="18">
        <f>IFERROR(__xludf.DUMMYFUNCTION("""COMPUTED_VALUE"""),3.0)</f>
        <v>3</v>
      </c>
      <c r="J356" s="18">
        <f>IFERROR(__xludf.DUMMYFUNCTION("""COMPUTED_VALUE"""),20.0)</f>
        <v>20</v>
      </c>
      <c r="K356" s="18">
        <f>IFERROR(__xludf.DUMMYFUNCTION("""COMPUTED_VALUE"""),15.0)</f>
        <v>15</v>
      </c>
      <c r="L356" s="17">
        <f>IFERROR(__xludf.DUMMYFUNCTION("""COMPUTED_VALUE"""),3.113660867E9)</f>
        <v>3113660867</v>
      </c>
      <c r="M356" s="17" t="str">
        <f>IFERROR(__xludf.DUMMYFUNCTION("""COMPUTED_VALUE"""),"#REF!")</f>
        <v>#REF!</v>
      </c>
      <c r="N356" s="17"/>
      <c r="O356" s="19" t="str">
        <f>IFERROR(__xludf.DUMMYFUNCTION("""COMPUTED_VALUE"""),"")</f>
        <v/>
      </c>
      <c r="P356" s="17" t="b">
        <f>IFERROR(__xludf.DUMMYFUNCTION("""COMPUTED_VALUE"""),FALSE)</f>
        <v>0</v>
      </c>
      <c r="Q356" s="20" t="str">
        <f>IFERROR(__xludf.DUMMYFUNCTION("""COMPUTED_VALUE"""),"")</f>
        <v/>
      </c>
      <c r="R356" s="21" t="str">
        <f>IFERROR(__xludf.DUMMYFUNCTION("""COMPUTED_VALUE"""),"https://drive.google.com/file/d/1sXvMTfQZj7BHiwNJX1jcbTktwZQBETxe/view?usp=drivesdk")</f>
        <v>https://drive.google.com/file/d/1sXvMTfQZj7BHiwNJX1jcbTktwZQBETxe/view?usp=drivesdk</v>
      </c>
    </row>
    <row r="357">
      <c r="A357" s="15">
        <f>IFERROR(__xludf.DUMMYFUNCTION("""COMPUTED_VALUE"""),45007.0)</f>
        <v>45007</v>
      </c>
      <c r="B357" s="16" t="str">
        <f>IFERROR(__xludf.DUMMYFUNCTION("""COMPUTED_VALUE"""),"Sebastian Restrepo Martinez ")</f>
        <v>Sebastian Restrepo Martinez </v>
      </c>
      <c r="C357" s="15" t="str">
        <f>IFERROR(__xludf.DUMMYFUNCTION("""COMPUTED_VALUE"""),"MEDELLÍN")</f>
        <v>MEDELLÍN</v>
      </c>
      <c r="D357" s="15" t="str">
        <f>IFERROR(__xludf.DUMMYFUNCTION("""COMPUTED_VALUE"""),"BOGOTÁ")</f>
        <v>BOGOTÁ</v>
      </c>
      <c r="E357" s="15" t="str">
        <f>IFERROR(__xludf.DUMMYFUNCTION("""COMPUTED_VALUE"""),"Evamazzita")</f>
        <v>Evamazzita</v>
      </c>
      <c r="F357" s="17" t="str">
        <f>IFERROR(__xludf.DUMMYFUNCTION("""COMPUTED_VALUE"""),"carrera 46c #80sur-155.  / Apto 2705  / SABANETA - San José")</f>
        <v>carrera 46c #80sur-155.  / Apto 2705  / SABANETA - San José</v>
      </c>
      <c r="G357" s="15" t="str">
        <f>IFERROR(__xludf.DUMMYFUNCTION("""COMPUTED_VALUE"""),"LAURA RUIZ RODRIGUEZ")</f>
        <v>LAURA RUIZ RODRIGUEZ</v>
      </c>
      <c r="H357" s="18">
        <f>IFERROR(__xludf.DUMMYFUNCTION("""COMPUTED_VALUE"""),9030.0)</f>
        <v>9030</v>
      </c>
      <c r="I357" s="18">
        <f>IFERROR(__xludf.DUMMYFUNCTION("""COMPUTED_VALUE"""),3.0)</f>
        <v>3</v>
      </c>
      <c r="J357" s="18">
        <f>IFERROR(__xludf.DUMMYFUNCTION("""COMPUTED_VALUE"""),20.0)</f>
        <v>20</v>
      </c>
      <c r="K357" s="18">
        <f>IFERROR(__xludf.DUMMYFUNCTION("""COMPUTED_VALUE"""),15.0)</f>
        <v>15</v>
      </c>
      <c r="L357" s="17">
        <f>IFERROR(__xludf.DUMMYFUNCTION("""COMPUTED_VALUE"""),3.14795531E9)</f>
        <v>3147955310</v>
      </c>
      <c r="M357" s="17" t="str">
        <f>IFERROR(__xludf.DUMMYFUNCTION("""COMPUTED_VALUE"""),"#REF!")</f>
        <v>#REF!</v>
      </c>
      <c r="N357" s="17"/>
      <c r="O357" s="19" t="str">
        <f>IFERROR(__xludf.DUMMYFUNCTION("""COMPUTED_VALUE"""),"")</f>
        <v/>
      </c>
      <c r="P357" s="17" t="b">
        <f>IFERROR(__xludf.DUMMYFUNCTION("""COMPUTED_VALUE"""),FALSE)</f>
        <v>0</v>
      </c>
      <c r="Q357" s="20" t="str">
        <f>IFERROR(__xludf.DUMMYFUNCTION("""COMPUTED_VALUE"""),"")</f>
        <v/>
      </c>
      <c r="R357" s="21" t="str">
        <f>IFERROR(__xludf.DUMMYFUNCTION("""COMPUTED_VALUE"""),"https://drive.google.com/file/d/14POX4uZXBo_-lGGkKWycioOFnJSeGMKM/view?usp=drivesdk")</f>
        <v>https://drive.google.com/file/d/14POX4uZXBo_-lGGkKWycioOFnJSeGMKM/view?usp=drivesdk</v>
      </c>
    </row>
    <row r="358">
      <c r="A358" s="15">
        <f>IFERROR(__xludf.DUMMYFUNCTION("""COMPUTED_VALUE"""),45007.0)</f>
        <v>45007</v>
      </c>
      <c r="B358" s="16" t="str">
        <f>IFERROR(__xludf.DUMMYFUNCTION("""COMPUTED_VALUE"""),"Sebastian Restrepo Martinez ")</f>
        <v>Sebastian Restrepo Martinez </v>
      </c>
      <c r="C358" s="15" t="str">
        <f>IFERROR(__xludf.DUMMYFUNCTION("""COMPUTED_VALUE"""),"MEDELLÍN")</f>
        <v>MEDELLÍN</v>
      </c>
      <c r="D358" s="15" t="str">
        <f>IFERROR(__xludf.DUMMYFUNCTION("""COMPUTED_VALUE"""),"BOGOTÁ")</f>
        <v>BOGOTÁ</v>
      </c>
      <c r="E358" s="15" t="str">
        <f>IFERROR(__xludf.DUMMYFUNCTION("""COMPUTED_VALUE"""),"Evamazzita")</f>
        <v>Evamazzita</v>
      </c>
      <c r="F358" s="17" t="str">
        <f>IFERROR(__xludf.DUMMYFUNCTION("""COMPUTED_VALUE"""),"Cl 9B sur 79a 221  / apto 606  / Rodeo alto")</f>
        <v>Cl 9B sur 79a 221  / apto 606  / Rodeo alto</v>
      </c>
      <c r="G358" s="15" t="str">
        <f>IFERROR(__xludf.DUMMYFUNCTION("""COMPUTED_VALUE"""),"MANUELA URIBE")</f>
        <v>MANUELA URIBE</v>
      </c>
      <c r="H358" s="18">
        <f>IFERROR(__xludf.DUMMYFUNCTION("""COMPUTED_VALUE"""),9027.0)</f>
        <v>9027</v>
      </c>
      <c r="I358" s="18">
        <f>IFERROR(__xludf.DUMMYFUNCTION("""COMPUTED_VALUE"""),3.0)</f>
        <v>3</v>
      </c>
      <c r="J358" s="18">
        <f>IFERROR(__xludf.DUMMYFUNCTION("""COMPUTED_VALUE"""),20.0)</f>
        <v>20</v>
      </c>
      <c r="K358" s="18">
        <f>IFERROR(__xludf.DUMMYFUNCTION("""COMPUTED_VALUE"""),15.0)</f>
        <v>15</v>
      </c>
      <c r="L358" s="17">
        <f>IFERROR(__xludf.DUMMYFUNCTION("""COMPUTED_VALUE"""),3.232867608E9)</f>
        <v>3232867608</v>
      </c>
      <c r="M358" s="17" t="str">
        <f>IFERROR(__xludf.DUMMYFUNCTION("""COMPUTED_VALUE"""),"#REF!")</f>
        <v>#REF!</v>
      </c>
      <c r="N358" s="17"/>
      <c r="O358" s="19" t="str">
        <f>IFERROR(__xludf.DUMMYFUNCTION("""COMPUTED_VALUE"""),"")</f>
        <v/>
      </c>
      <c r="P358" s="17" t="b">
        <f>IFERROR(__xludf.DUMMYFUNCTION("""COMPUTED_VALUE"""),FALSE)</f>
        <v>0</v>
      </c>
      <c r="Q358" s="20" t="str">
        <f>IFERROR(__xludf.DUMMYFUNCTION("""COMPUTED_VALUE"""),"")</f>
        <v/>
      </c>
      <c r="R358" s="21" t="str">
        <f>IFERROR(__xludf.DUMMYFUNCTION("""COMPUTED_VALUE"""),"https://drive.google.com/file/d/1gbNny19gtdorm4oiobDmLXJMrIi_fYlH/view?usp=drivesdk")</f>
        <v>https://drive.google.com/file/d/1gbNny19gtdorm4oiobDmLXJMrIi_fYlH/view?usp=drivesdk</v>
      </c>
    </row>
    <row r="359">
      <c r="A359" s="15">
        <f>IFERROR(__xludf.DUMMYFUNCTION("""COMPUTED_VALUE"""),45007.0)</f>
        <v>45007</v>
      </c>
      <c r="B359" s="16" t="str">
        <f>IFERROR(__xludf.DUMMYFUNCTION("""COMPUTED_VALUE"""),"Sebastian Restrepo Martinez ")</f>
        <v>Sebastian Restrepo Martinez </v>
      </c>
      <c r="C359" s="15" t="str">
        <f>IFERROR(__xludf.DUMMYFUNCTION("""COMPUTED_VALUE"""),"MEDELLÍN")</f>
        <v>MEDELLÍN</v>
      </c>
      <c r="D359" s="15" t="str">
        <f>IFERROR(__xludf.DUMMYFUNCTION("""COMPUTED_VALUE"""),"BOGOTÁ")</f>
        <v>BOGOTÁ</v>
      </c>
      <c r="E359" s="15" t="str">
        <f>IFERROR(__xludf.DUMMYFUNCTION("""COMPUTED_VALUE"""),"Evamazzita")</f>
        <v>Evamazzita</v>
      </c>
      <c r="F359" s="17" t="str">
        <f>IFERROR(__xludf.DUMMYFUNCTION("""COMPUTED_VALUE"""),"CRA 15 BA No. 34D- 44  / INT 201  / BUENOS AIRES")</f>
        <v>CRA 15 BA No. 34D- 44  / INT 201  / BUENOS AIRES</v>
      </c>
      <c r="G359" s="15" t="str">
        <f>IFERROR(__xludf.DUMMYFUNCTION("""COMPUTED_VALUE"""),"DANIELA BEDOYA BLANDON")</f>
        <v>DANIELA BEDOYA BLANDON</v>
      </c>
      <c r="H359" s="18">
        <f>IFERROR(__xludf.DUMMYFUNCTION("""COMPUTED_VALUE"""),9041.0)</f>
        <v>9041</v>
      </c>
      <c r="I359" s="18">
        <f>IFERROR(__xludf.DUMMYFUNCTION("""COMPUTED_VALUE"""),22.0)</f>
        <v>22</v>
      </c>
      <c r="J359" s="18">
        <f>IFERROR(__xludf.DUMMYFUNCTION("""COMPUTED_VALUE"""),48.0)</f>
        <v>48</v>
      </c>
      <c r="K359" s="18">
        <f>IFERROR(__xludf.DUMMYFUNCTION("""COMPUTED_VALUE"""),35.0)</f>
        <v>35</v>
      </c>
      <c r="L359" s="17">
        <f>IFERROR(__xludf.DUMMYFUNCTION("""COMPUTED_VALUE"""),3.14672822E9)</f>
        <v>3146728220</v>
      </c>
      <c r="M359" s="17" t="str">
        <f>IFERROR(__xludf.DUMMYFUNCTION("""COMPUTED_VALUE"""),"#REF!")</f>
        <v>#REF!</v>
      </c>
      <c r="N359" s="17"/>
      <c r="O359" s="19" t="str">
        <f>IFERROR(__xludf.DUMMYFUNCTION("""COMPUTED_VALUE"""),"")</f>
        <v/>
      </c>
      <c r="P359" s="17" t="b">
        <f>IFERROR(__xludf.DUMMYFUNCTION("""COMPUTED_VALUE"""),FALSE)</f>
        <v>0</v>
      </c>
      <c r="Q359" s="20" t="str">
        <f>IFERROR(__xludf.DUMMYFUNCTION("""COMPUTED_VALUE"""),"")</f>
        <v/>
      </c>
      <c r="R359" s="22" t="str">
        <f>IFERROR(__xludf.DUMMYFUNCTION("""COMPUTED_VALUE"""),"")</f>
        <v/>
      </c>
    </row>
    <row r="360">
      <c r="A360" s="15">
        <f>IFERROR(__xludf.DUMMYFUNCTION("""COMPUTED_VALUE"""),45007.0)</f>
        <v>45007</v>
      </c>
      <c r="B360" s="16" t="str">
        <f>IFERROR(__xludf.DUMMYFUNCTION("""COMPUTED_VALUE"""),"Sebastian Restrepo Martinez ")</f>
        <v>Sebastian Restrepo Martinez </v>
      </c>
      <c r="C360" s="15" t="str">
        <f>IFERROR(__xludf.DUMMYFUNCTION("""COMPUTED_VALUE"""),"MEDELLÍN")</f>
        <v>MEDELLÍN</v>
      </c>
      <c r="D360" s="15" t="str">
        <f>IFERROR(__xludf.DUMMYFUNCTION("""COMPUTED_VALUE"""),"BOGOTÁ")</f>
        <v>BOGOTÁ</v>
      </c>
      <c r="E360" s="15" t="str">
        <f>IFERROR(__xludf.DUMMYFUNCTION("""COMPUTED_VALUE"""),"Evamazzita")</f>
        <v>Evamazzita</v>
      </c>
      <c r="F360" s="17" t="str">
        <f>IFERROR(__xludf.DUMMYFUNCTION("""COMPUTED_VALUE"""),"RECOGE EN CENTRO DE ACOPIO / RECOGE EN CENTRO DE ACOPIO / RECOGE EN CENTRO DE ACOPIO")</f>
        <v>RECOGE EN CENTRO DE ACOPIO / RECOGE EN CENTRO DE ACOPIO / RECOGE EN CENTRO DE ACOPIO</v>
      </c>
      <c r="G360" s="15" t="str">
        <f>IFERROR(__xludf.DUMMYFUNCTION("""COMPUTED_VALUE"""),"ANGELA MARIA GIRALDO")</f>
        <v>ANGELA MARIA GIRALDO</v>
      </c>
      <c r="H360" s="18">
        <f>IFERROR(__xludf.DUMMYFUNCTION("""COMPUTED_VALUE"""),9040.0)</f>
        <v>9040</v>
      </c>
      <c r="I360" s="18">
        <f>IFERROR(__xludf.DUMMYFUNCTION("""COMPUTED_VALUE"""),22.0)</f>
        <v>22</v>
      </c>
      <c r="J360" s="18">
        <f>IFERROR(__xludf.DUMMYFUNCTION("""COMPUTED_VALUE"""),23.0)</f>
        <v>23</v>
      </c>
      <c r="K360" s="18">
        <f>IFERROR(__xludf.DUMMYFUNCTION("""COMPUTED_VALUE"""),38.0)</f>
        <v>38</v>
      </c>
      <c r="L360" s="17">
        <f>IFERROR(__xludf.DUMMYFUNCTION("""COMPUTED_VALUE"""),3.006140932E9)</f>
        <v>3006140932</v>
      </c>
      <c r="M360" s="17" t="str">
        <f>IFERROR(__xludf.DUMMYFUNCTION("""COMPUTED_VALUE"""),"#REF!")</f>
        <v>#REF!</v>
      </c>
      <c r="N360" s="17"/>
      <c r="O360" s="19" t="str">
        <f>IFERROR(__xludf.DUMMYFUNCTION("""COMPUTED_VALUE"""),"")</f>
        <v/>
      </c>
      <c r="P360" s="17" t="b">
        <f>IFERROR(__xludf.DUMMYFUNCTION("""COMPUTED_VALUE"""),FALSE)</f>
        <v>0</v>
      </c>
      <c r="Q360" s="20" t="str">
        <f>IFERROR(__xludf.DUMMYFUNCTION("""COMPUTED_VALUE"""),"")</f>
        <v/>
      </c>
      <c r="R360" s="22" t="str">
        <f>IFERROR(__xludf.DUMMYFUNCTION("""COMPUTED_VALUE"""),"")</f>
        <v/>
      </c>
    </row>
    <row r="361">
      <c r="A361" s="15" t="str">
        <f>IFERROR(__xludf.DUMMYFUNCTION("""COMPUTED_VALUE"""),"")</f>
        <v/>
      </c>
      <c r="B361" s="16" t="str">
        <f>IFERROR(__xludf.DUMMYFUNCTION("""COMPUTED_VALUE"""),"")</f>
        <v/>
      </c>
      <c r="C361" s="15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7" t="str">
        <f>IFERROR(__xludf.DUMMYFUNCTION("""COMPUTED_VALUE"""),"")</f>
        <v/>
      </c>
      <c r="G361" s="15" t="str">
        <f>IFERROR(__xludf.DUMMYFUNCTION("""COMPUTED_VALUE"""),"")</f>
        <v/>
      </c>
      <c r="H361" s="18" t="str">
        <f>IFERROR(__xludf.DUMMYFUNCTION("""COMPUTED_VALUE"""),"")</f>
        <v/>
      </c>
      <c r="I361" s="18" t="str">
        <f>IFERROR(__xludf.DUMMYFUNCTION("""COMPUTED_VALUE"""),"")</f>
        <v/>
      </c>
      <c r="J361" s="18" t="str">
        <f>IFERROR(__xludf.DUMMYFUNCTION("""COMPUTED_VALUE"""),"")</f>
        <v/>
      </c>
      <c r="K361" s="17" t="str">
        <f>IFERROR(__xludf.DUMMYFUNCTION("""COMPUTED_VALUE"""),"")</f>
        <v/>
      </c>
      <c r="L361" s="17" t="str">
        <f>IFERROR(__xludf.DUMMYFUNCTION("""COMPUTED_VALUE"""),"")</f>
        <v/>
      </c>
      <c r="M361" s="17" t="str">
        <f>IFERROR(__xludf.DUMMYFUNCTION("""COMPUTED_VALUE"""),"")</f>
        <v/>
      </c>
      <c r="N361" s="19" t="str">
        <f>IFERROR(__xludf.DUMMYFUNCTION("""COMPUTED_VALUE"""),"")</f>
        <v/>
      </c>
      <c r="O361" s="19" t="str">
        <f>IFERROR(__xludf.DUMMYFUNCTION("""COMPUTED_VALUE"""),"")</f>
        <v/>
      </c>
      <c r="P361" s="17" t="str">
        <f>IFERROR(__xludf.DUMMYFUNCTION("""COMPUTED_VALUE"""),"")</f>
        <v/>
      </c>
      <c r="Q361" s="20" t="str">
        <f>IFERROR(__xludf.DUMMYFUNCTION("""COMPUTED_VALUE"""),"")</f>
        <v/>
      </c>
      <c r="R361" s="22" t="str">
        <f>IFERROR(__xludf.DUMMYFUNCTION("""COMPUTED_VALUE"""),"")</f>
        <v/>
      </c>
    </row>
    <row r="362">
      <c r="A362" s="15">
        <f>IFERROR(__xludf.DUMMYFUNCTION("""COMPUTED_VALUE"""),45008.0)</f>
        <v>45008</v>
      </c>
      <c r="B362" s="17"/>
      <c r="C362" s="15" t="str">
        <f>IFERROR(__xludf.DUMMYFUNCTION("""COMPUTED_VALUE"""),"CARTAGENA")</f>
        <v>CARTAGENA</v>
      </c>
      <c r="D362" s="15" t="str">
        <f>IFERROR(__xludf.DUMMYFUNCTION("""COMPUTED_VALUE"""),"BOGOTÁ")</f>
        <v>BOGOTÁ</v>
      </c>
      <c r="E362" s="15" t="str">
        <f>IFERROR(__xludf.DUMMYFUNCTION("""COMPUTED_VALUE"""),"MAI ALIMENTOS S.A.S")</f>
        <v>MAI ALIMENTOS S.A.S</v>
      </c>
      <c r="F362" s="17" t="str">
        <f>IFERROR(__xludf.DUMMYFUNCTION("""COMPUTED_VALUE"""),"Cra 3 A #31-23 Calle Ricaurte, Centro / Plaza Santa teresa / Restaurante Harry Sasson")</f>
        <v>Cra 3 A #31-23 Calle Ricaurte, Centro / Plaza Santa teresa / Restaurante Harry Sasson</v>
      </c>
      <c r="G362" s="15" t="str">
        <f>IFERROR(__xludf.DUMMYFUNCTION("""COMPUTED_VALUE"""),"Harry Sasson Cartagena")</f>
        <v>Harry Sasson Cartagena</v>
      </c>
      <c r="H362" s="18">
        <f>IFERROR(__xludf.DUMMYFUNCTION("""COMPUTED_VALUE"""),9083.0)</f>
        <v>9083</v>
      </c>
      <c r="I362" s="18">
        <f>IFERROR(__xludf.DUMMYFUNCTION("""COMPUTED_VALUE"""),28.0)</f>
        <v>28</v>
      </c>
      <c r="J362" s="18">
        <f>IFERROR(__xludf.DUMMYFUNCTION("""COMPUTED_VALUE"""),17.0)</f>
        <v>17</v>
      </c>
      <c r="K362" s="18">
        <f>IFERROR(__xludf.DUMMYFUNCTION("""COMPUTED_VALUE"""),13.0)</f>
        <v>13</v>
      </c>
      <c r="L362" s="17">
        <f>IFERROR(__xludf.DUMMYFUNCTION("""COMPUTED_VALUE"""),3.174374246E9)</f>
        <v>3174374246</v>
      </c>
      <c r="M362" s="17" t="str">
        <f>IFERROR(__xludf.DUMMYFUNCTION("""COMPUTED_VALUE"""),"#REF!")</f>
        <v>#REF!</v>
      </c>
      <c r="N362" s="19" t="str">
        <f>IFERROR(__xludf.DUMMYFUNCTION("""COMPUTED_VALUE"""),"")</f>
        <v/>
      </c>
      <c r="O362" s="19" t="str">
        <f>IFERROR(__xludf.DUMMYFUNCTION("""COMPUTED_VALUE"""),"")</f>
        <v/>
      </c>
      <c r="P362" s="17" t="b">
        <f>IFERROR(__xludf.DUMMYFUNCTION("""COMPUTED_VALUE"""),TRUE)</f>
        <v>1</v>
      </c>
      <c r="Q362" s="20">
        <f>IFERROR(__xludf.DUMMYFUNCTION("""COMPUTED_VALUE"""),45008.86629508102)</f>
        <v>45008.8663</v>
      </c>
      <c r="R362" s="22" t="str">
        <f>IFERROR(__xludf.DUMMYFUNCTION("""COMPUTED_VALUE"""),"")</f>
        <v/>
      </c>
    </row>
    <row r="363">
      <c r="A363" s="15" t="str">
        <f>IFERROR(__xludf.DUMMYFUNCTION("""COMPUTED_VALUE"""),"")</f>
        <v/>
      </c>
      <c r="B363" s="16" t="str">
        <f>IFERROR(__xludf.DUMMYFUNCTION("""COMPUTED_VALUE"""),"")</f>
        <v/>
      </c>
      <c r="C363" s="15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7" t="str">
        <f>IFERROR(__xludf.DUMMYFUNCTION("""COMPUTED_VALUE"""),"")</f>
        <v/>
      </c>
      <c r="G363" s="15" t="str">
        <f>IFERROR(__xludf.DUMMYFUNCTION("""COMPUTED_VALUE"""),"")</f>
        <v/>
      </c>
      <c r="H363" s="18" t="str">
        <f>IFERROR(__xludf.DUMMYFUNCTION("""COMPUTED_VALUE"""),"")</f>
        <v/>
      </c>
      <c r="I363" s="18" t="str">
        <f>IFERROR(__xludf.DUMMYFUNCTION("""COMPUTED_VALUE"""),"")</f>
        <v/>
      </c>
      <c r="J363" s="18" t="str">
        <f>IFERROR(__xludf.DUMMYFUNCTION("""COMPUTED_VALUE"""),"")</f>
        <v/>
      </c>
      <c r="K363" s="17" t="str">
        <f>IFERROR(__xludf.DUMMYFUNCTION("""COMPUTED_VALUE"""),"")</f>
        <v/>
      </c>
      <c r="L363" s="17" t="str">
        <f>IFERROR(__xludf.DUMMYFUNCTION("""COMPUTED_VALUE"""),"")</f>
        <v/>
      </c>
      <c r="M363" s="17" t="str">
        <f>IFERROR(__xludf.DUMMYFUNCTION("""COMPUTED_VALUE"""),"")</f>
        <v/>
      </c>
      <c r="N363" s="19" t="str">
        <f>IFERROR(__xludf.DUMMYFUNCTION("""COMPUTED_VALUE"""),"")</f>
        <v/>
      </c>
      <c r="O363" s="19" t="str">
        <f>IFERROR(__xludf.DUMMYFUNCTION("""COMPUTED_VALUE"""),"")</f>
        <v/>
      </c>
      <c r="P363" s="17" t="str">
        <f>IFERROR(__xludf.DUMMYFUNCTION("""COMPUTED_VALUE"""),"")</f>
        <v/>
      </c>
      <c r="Q363" s="20" t="str">
        <f>IFERROR(__xludf.DUMMYFUNCTION("""COMPUTED_VALUE"""),"")</f>
        <v/>
      </c>
      <c r="R363" s="22" t="str">
        <f>IFERROR(__xludf.DUMMYFUNCTION("""COMPUTED_VALUE"""),"")</f>
        <v/>
      </c>
    </row>
    <row r="364">
      <c r="A364" s="15">
        <f>IFERROR(__xludf.DUMMYFUNCTION("""COMPUTED_VALUE"""),45008.0)</f>
        <v>45008</v>
      </c>
      <c r="B364" s="16" t="str">
        <f>IFERROR(__xludf.DUMMYFUNCTION("""COMPUTED_VALUE"""),"Daniel José sandoval gonzalez")</f>
        <v>Daniel José sandoval gonzalez</v>
      </c>
      <c r="C364" s="15" t="str">
        <f>IFERROR(__xludf.DUMMYFUNCTION("""COMPUTED_VALUE"""),"BARRANQUILLA")</f>
        <v>BARRANQUILLA</v>
      </c>
      <c r="D364" s="15" t="str">
        <f>IFERROR(__xludf.DUMMYFUNCTION("""COMPUTED_VALUE"""),"BOGOTÁ")</f>
        <v>BOGOTÁ</v>
      </c>
      <c r="E364" s="15" t="str">
        <f>IFERROR(__xludf.DUMMYFUNCTION("""COMPUTED_VALUE"""),"Lunchy Kids")</f>
        <v>Lunchy Kids</v>
      </c>
      <c r="F364" s="17" t="str">
        <f>IFERROR(__xludf.DUMMYFUNCTION("""COMPUTED_VALUE"""),"Cra 70 #91-35  / Parques del Tivoly. Apto 304. Torre 1 / Villacarolina")</f>
        <v>Cra 70 #91-35  / Parques del Tivoly. Apto 304. Torre 1 / Villacarolina</v>
      </c>
      <c r="G364" s="15" t="str">
        <f>IFERROR(__xludf.DUMMYFUNCTION("""COMPUTED_VALUE"""),"Yoleinis Jinete")</f>
        <v>Yoleinis Jinete</v>
      </c>
      <c r="H364" s="18">
        <f>IFERROR(__xludf.DUMMYFUNCTION("""COMPUTED_VALUE"""),9071.0)</f>
        <v>9071</v>
      </c>
      <c r="I364" s="18">
        <f>IFERROR(__xludf.DUMMYFUNCTION("""COMPUTED_VALUE"""),22.0)</f>
        <v>22</v>
      </c>
      <c r="J364" s="18">
        <f>IFERROR(__xludf.DUMMYFUNCTION("""COMPUTED_VALUE"""),30.0)</f>
        <v>30</v>
      </c>
      <c r="K364" s="18">
        <f>IFERROR(__xludf.DUMMYFUNCTION("""COMPUTED_VALUE"""),10.0)</f>
        <v>10</v>
      </c>
      <c r="L364" s="17">
        <f>IFERROR(__xludf.DUMMYFUNCTION("""COMPUTED_VALUE"""),3.007943686E9)</f>
        <v>3007943686</v>
      </c>
      <c r="M364" s="17" t="str">
        <f>IFERROR(__xludf.DUMMYFUNCTION("""COMPUTED_VALUE"""),"#REF!")</f>
        <v>#REF!</v>
      </c>
      <c r="N364" s="17"/>
      <c r="O364" s="19" t="str">
        <f>IFERROR(__xludf.DUMMYFUNCTION("""COMPUTED_VALUE"""),"")</f>
        <v/>
      </c>
      <c r="P364" s="17" t="b">
        <f>IFERROR(__xludf.DUMMYFUNCTION("""COMPUTED_VALUE"""),TRUE)</f>
        <v>1</v>
      </c>
      <c r="Q364" s="20">
        <f>IFERROR(__xludf.DUMMYFUNCTION("""COMPUTED_VALUE"""),45008.86629508102)</f>
        <v>45008.8663</v>
      </c>
      <c r="R364" s="21" t="str">
        <f>IFERROR(__xludf.DUMMYFUNCTION("""COMPUTED_VALUE"""),"https://drive.google.com/file/d/1ZCPSVeoYzepFeNcVgGZlP920ex4vR4qK/view?usp=drivesdk")</f>
        <v>https://drive.google.com/file/d/1ZCPSVeoYzepFeNcVgGZlP920ex4vR4qK/view?usp=drivesdk</v>
      </c>
    </row>
    <row r="365">
      <c r="A365" s="15">
        <f>IFERROR(__xludf.DUMMYFUNCTION("""COMPUTED_VALUE"""),45008.0)</f>
        <v>45008</v>
      </c>
      <c r="B365" s="16" t="str">
        <f>IFERROR(__xludf.DUMMYFUNCTION("""COMPUTED_VALUE"""),"Daniel José sandoval gonzalez")</f>
        <v>Daniel José sandoval gonzalez</v>
      </c>
      <c r="C365" s="15" t="str">
        <f>IFERROR(__xludf.DUMMYFUNCTION("""COMPUTED_VALUE"""),"MEDELLÍN")</f>
        <v>MEDELLÍN</v>
      </c>
      <c r="D365" s="15" t="str">
        <f>IFERROR(__xludf.DUMMYFUNCTION("""COMPUTED_VALUE"""),"CALI")</f>
        <v>CALI</v>
      </c>
      <c r="E365" s="15" t="str">
        <f>IFERROR(__xludf.DUMMYFUNCTION("""COMPUTED_VALUE"""),"Sabor Típico")</f>
        <v>Sabor Típico</v>
      </c>
      <c r="F365" s="17" t="str">
        <f>IFERROR(__xludf.DUMMYFUNCTION("""COMPUTED_VALUE"""),"Cq. 4 #74-27, Laureles - Estadio / Cq. 4 #74-27, Laureles - Estadio / Cq. 4 #74-27, Laureles - Estadio")</f>
        <v>Cq. 4 #74-27, Laureles - Estadio / Cq. 4 #74-27, Laureles - Estadio / Cq. 4 #74-27, Laureles - Estadio</v>
      </c>
      <c r="G365" s="15" t="str">
        <f>IFERROR(__xludf.DUMMYFUNCTION("""COMPUTED_VALUE"""),"Jotagro Distribuciones")</f>
        <v>Jotagro Distribuciones</v>
      </c>
      <c r="H365" s="18">
        <f>IFERROR(__xludf.DUMMYFUNCTION("""COMPUTED_VALUE"""),9069.0)</f>
        <v>9069</v>
      </c>
      <c r="I365" s="18">
        <f>IFERROR(__xludf.DUMMYFUNCTION("""COMPUTED_VALUE"""),9.0)</f>
        <v>9</v>
      </c>
      <c r="J365" s="18">
        <f>IFERROR(__xludf.DUMMYFUNCTION("""COMPUTED_VALUE"""),30.0)</f>
        <v>30</v>
      </c>
      <c r="K365" s="18">
        <f>IFERROR(__xludf.DUMMYFUNCTION("""COMPUTED_VALUE"""),20.0)</f>
        <v>20</v>
      </c>
      <c r="L365" s="17">
        <f>IFERROR(__xludf.DUMMYFUNCTION("""COMPUTED_VALUE"""),3.117644967E9)</f>
        <v>3117644967</v>
      </c>
      <c r="M365" s="17" t="str">
        <f>IFERROR(__xludf.DUMMYFUNCTION("""COMPUTED_VALUE"""),"#REF!")</f>
        <v>#REF!</v>
      </c>
      <c r="N365" s="17"/>
      <c r="O365" s="19" t="str">
        <f>IFERROR(__xludf.DUMMYFUNCTION("""COMPUTED_VALUE"""),"")</f>
        <v/>
      </c>
      <c r="P365" s="17" t="b">
        <f>IFERROR(__xludf.DUMMYFUNCTION("""COMPUTED_VALUE"""),TRUE)</f>
        <v>1</v>
      </c>
      <c r="Q365" s="20">
        <f>IFERROR(__xludf.DUMMYFUNCTION("""COMPUTED_VALUE"""),45008.86629508102)</f>
        <v>45008.8663</v>
      </c>
      <c r="R365" s="22" t="str">
        <f>IFERROR(__xludf.DUMMYFUNCTION("""COMPUTED_VALUE"""),"")</f>
        <v/>
      </c>
    </row>
    <row r="366">
      <c r="A366" s="15" t="str">
        <f>IFERROR(__xludf.DUMMYFUNCTION("""COMPUTED_VALUE"""),"")</f>
        <v/>
      </c>
      <c r="B366" s="16" t="str">
        <f>IFERROR(__xludf.DUMMYFUNCTION("""COMPUTED_VALUE"""),"")</f>
        <v/>
      </c>
      <c r="C366" s="15" t="str">
        <f>IFERROR(__xludf.DUMMYFUNCTION("""COMPUTED_VALUE"""),"")</f>
        <v/>
      </c>
      <c r="D366" s="15" t="str">
        <f>IFERROR(__xludf.DUMMYFUNCTION("""COMPUTED_VALUE"""),"")</f>
        <v/>
      </c>
      <c r="E366" s="15" t="str">
        <f>IFERROR(__xludf.DUMMYFUNCTION("""COMPUTED_VALUE"""),"")</f>
        <v/>
      </c>
      <c r="F366" s="17" t="str">
        <f>IFERROR(__xludf.DUMMYFUNCTION("""COMPUTED_VALUE"""),"")</f>
        <v/>
      </c>
      <c r="G366" s="15" t="str">
        <f>IFERROR(__xludf.DUMMYFUNCTION("""COMPUTED_VALUE"""),"")</f>
        <v/>
      </c>
      <c r="H366" s="18" t="str">
        <f>IFERROR(__xludf.DUMMYFUNCTION("""COMPUTED_VALUE"""),"")</f>
        <v/>
      </c>
      <c r="I366" s="18" t="str">
        <f>IFERROR(__xludf.DUMMYFUNCTION("""COMPUTED_VALUE"""),"")</f>
        <v/>
      </c>
      <c r="J366" s="18" t="str">
        <f>IFERROR(__xludf.DUMMYFUNCTION("""COMPUTED_VALUE"""),"")</f>
        <v/>
      </c>
      <c r="K366" s="17" t="str">
        <f>IFERROR(__xludf.DUMMYFUNCTION("""COMPUTED_VALUE"""),"")</f>
        <v/>
      </c>
      <c r="L366" s="17" t="str">
        <f>IFERROR(__xludf.DUMMYFUNCTION("""COMPUTED_VALUE"""),"")</f>
        <v/>
      </c>
      <c r="M366" s="17" t="str">
        <f>IFERROR(__xludf.DUMMYFUNCTION("""COMPUTED_VALUE"""),"")</f>
        <v/>
      </c>
      <c r="N366" s="19" t="str">
        <f>IFERROR(__xludf.DUMMYFUNCTION("""COMPUTED_VALUE"""),"")</f>
        <v/>
      </c>
      <c r="O366" s="19" t="str">
        <f>IFERROR(__xludf.DUMMYFUNCTION("""COMPUTED_VALUE"""),"")</f>
        <v/>
      </c>
      <c r="P366" s="17" t="str">
        <f>IFERROR(__xludf.DUMMYFUNCTION("""COMPUTED_VALUE"""),"")</f>
        <v/>
      </c>
      <c r="Q366" s="20" t="str">
        <f>IFERROR(__xludf.DUMMYFUNCTION("""COMPUTED_VALUE"""),"")</f>
        <v/>
      </c>
      <c r="R366" s="22" t="str">
        <f>IFERROR(__xludf.DUMMYFUNCTION("""COMPUTED_VALUE"""),"")</f>
        <v/>
      </c>
    </row>
    <row r="367">
      <c r="A367" s="15">
        <f>IFERROR(__xludf.DUMMYFUNCTION("""COMPUTED_VALUE"""),45008.0)</f>
        <v>45008</v>
      </c>
      <c r="B367" s="16" t="str">
        <f>IFERROR(__xludf.DUMMYFUNCTION("""COMPUTED_VALUE"""),"David Sanmartin Bello")</f>
        <v>David Sanmartin Bello</v>
      </c>
      <c r="C367" s="15" t="str">
        <f>IFERROR(__xludf.DUMMYFUNCTION("""COMPUTED_VALUE"""),"CARTAGENA")</f>
        <v>CARTAGENA</v>
      </c>
      <c r="D367" s="15" t="str">
        <f>IFERROR(__xludf.DUMMYFUNCTION("""COMPUTED_VALUE"""),"BOGOTÁ")</f>
        <v>BOGOTÁ</v>
      </c>
      <c r="E367" s="15" t="str">
        <f>IFERROR(__xludf.DUMMYFUNCTION("""COMPUTED_VALUE"""),"Evamazzita")</f>
        <v>Evamazzita</v>
      </c>
      <c r="F367" s="17" t="str">
        <f>IFERROR(__xludf.DUMMYFUNCTION("""COMPUTED_VALUE"""),"CONDOMINIO CARIOCA  / EDIFICIO IPANEMA TORRE 4 APTO 402 / BARRIO VILLA ESTRELLA")</f>
        <v>CONDOMINIO CARIOCA  / EDIFICIO IPANEMA TORRE 4 APTO 402 / BARRIO VILLA ESTRELLA</v>
      </c>
      <c r="G367" s="15" t="str">
        <f>IFERROR(__xludf.DUMMYFUNCTION("""COMPUTED_VALUE"""),"TAMMY CAROLINA URUETA REBOLLEDO")</f>
        <v>TAMMY CAROLINA URUETA REBOLLEDO</v>
      </c>
      <c r="H367" s="18">
        <f>IFERROR(__xludf.DUMMYFUNCTION("""COMPUTED_VALUE"""),9006.0)</f>
        <v>9006</v>
      </c>
      <c r="I367" s="18">
        <f>IFERROR(__xludf.DUMMYFUNCTION("""COMPUTED_VALUE"""),10.0)</f>
        <v>10</v>
      </c>
      <c r="J367" s="18">
        <f>IFERROR(__xludf.DUMMYFUNCTION("""COMPUTED_VALUE"""),20.0)</f>
        <v>20</v>
      </c>
      <c r="K367" s="18">
        <f>IFERROR(__xludf.DUMMYFUNCTION("""COMPUTED_VALUE"""),13.0)</f>
        <v>13</v>
      </c>
      <c r="L367" s="17">
        <f>IFERROR(__xludf.DUMMYFUNCTION("""COMPUTED_VALUE"""),3.042103443E9)</f>
        <v>3042103443</v>
      </c>
      <c r="M367" s="17" t="str">
        <f>IFERROR(__xludf.DUMMYFUNCTION("""COMPUTED_VALUE"""),"#REF!")</f>
        <v>#REF!</v>
      </c>
      <c r="N367" s="17"/>
      <c r="O367" s="19" t="str">
        <f>IFERROR(__xludf.DUMMYFUNCTION("""COMPUTED_VALUE"""),"")</f>
        <v/>
      </c>
      <c r="P367" s="17" t="b">
        <f>IFERROR(__xludf.DUMMYFUNCTION("""COMPUTED_VALUE"""),TRUE)</f>
        <v>1</v>
      </c>
      <c r="Q367" s="20">
        <f>IFERROR(__xludf.DUMMYFUNCTION("""COMPUTED_VALUE"""),45008.86629508102)</f>
        <v>45008.8663</v>
      </c>
      <c r="R367" s="22" t="str">
        <f>IFERROR(__xludf.DUMMYFUNCTION("""COMPUTED_VALUE"""),"")</f>
        <v/>
      </c>
    </row>
    <row r="368">
      <c r="A368" s="15" t="str">
        <f>IFERROR(__xludf.DUMMYFUNCTION("""COMPUTED_VALUE"""),"")</f>
        <v/>
      </c>
      <c r="B368" s="16" t="str">
        <f>IFERROR(__xludf.DUMMYFUNCTION("""COMPUTED_VALUE"""),"")</f>
        <v/>
      </c>
      <c r="C368" s="15" t="str">
        <f>IFERROR(__xludf.DUMMYFUNCTION("""COMPUTED_VALUE"""),"")</f>
        <v/>
      </c>
      <c r="D368" s="15" t="str">
        <f>IFERROR(__xludf.DUMMYFUNCTION("""COMPUTED_VALUE"""),"")</f>
        <v/>
      </c>
      <c r="E368" s="15" t="str">
        <f>IFERROR(__xludf.DUMMYFUNCTION("""COMPUTED_VALUE"""),"")</f>
        <v/>
      </c>
      <c r="F368" s="17" t="str">
        <f>IFERROR(__xludf.DUMMYFUNCTION("""COMPUTED_VALUE"""),"")</f>
        <v/>
      </c>
      <c r="G368" s="15" t="str">
        <f>IFERROR(__xludf.DUMMYFUNCTION("""COMPUTED_VALUE"""),"")</f>
        <v/>
      </c>
      <c r="H368" s="18" t="str">
        <f>IFERROR(__xludf.DUMMYFUNCTION("""COMPUTED_VALUE"""),"")</f>
        <v/>
      </c>
      <c r="I368" s="18" t="str">
        <f>IFERROR(__xludf.DUMMYFUNCTION("""COMPUTED_VALUE"""),"")</f>
        <v/>
      </c>
      <c r="J368" s="18" t="str">
        <f>IFERROR(__xludf.DUMMYFUNCTION("""COMPUTED_VALUE"""),"")</f>
        <v/>
      </c>
      <c r="K368" s="17" t="str">
        <f>IFERROR(__xludf.DUMMYFUNCTION("""COMPUTED_VALUE"""),"")</f>
        <v/>
      </c>
      <c r="L368" s="17" t="str">
        <f>IFERROR(__xludf.DUMMYFUNCTION("""COMPUTED_VALUE"""),"")</f>
        <v/>
      </c>
      <c r="M368" s="17" t="str">
        <f>IFERROR(__xludf.DUMMYFUNCTION("""COMPUTED_VALUE"""),"")</f>
        <v/>
      </c>
      <c r="N368" s="19" t="str">
        <f>IFERROR(__xludf.DUMMYFUNCTION("""COMPUTED_VALUE"""),"")</f>
        <v/>
      </c>
      <c r="O368" s="19" t="str">
        <f>IFERROR(__xludf.DUMMYFUNCTION("""COMPUTED_VALUE"""),"")</f>
        <v/>
      </c>
      <c r="P368" s="17" t="str">
        <f>IFERROR(__xludf.DUMMYFUNCTION("""COMPUTED_VALUE"""),"")</f>
        <v/>
      </c>
      <c r="Q368" s="20" t="str">
        <f>IFERROR(__xludf.DUMMYFUNCTION("""COMPUTED_VALUE"""),"")</f>
        <v/>
      </c>
      <c r="R368" s="22" t="str">
        <f>IFERROR(__xludf.DUMMYFUNCTION("""COMPUTED_VALUE"""),"")</f>
        <v/>
      </c>
    </row>
    <row r="369">
      <c r="A369" s="15">
        <f>IFERROR(__xludf.DUMMYFUNCTION("""COMPUTED_VALUE"""),45008.0)</f>
        <v>45008</v>
      </c>
      <c r="B369" s="16" t="str">
        <f>IFERROR(__xludf.DUMMYFUNCTION("""COMPUTED_VALUE"""),"Envia")</f>
        <v>Envia</v>
      </c>
      <c r="C369" s="15" t="str">
        <f>IFERROR(__xludf.DUMMYFUNCTION("""COMPUTED_VALUE"""),"BARRANQUILLA")</f>
        <v>BARRANQUILLA</v>
      </c>
      <c r="D369" s="15" t="str">
        <f>IFERROR(__xludf.DUMMYFUNCTION("""COMPUTED_VALUE"""),"BOGOTÁ")</f>
        <v>BOGOTÁ</v>
      </c>
      <c r="E369" s="15" t="str">
        <f>IFERROR(__xludf.DUMMYFUNCTION("""COMPUTED_VALUE"""),"Evamazzita")</f>
        <v>Evamazzita</v>
      </c>
      <c r="F369" s="17" t="str">
        <f>IFERROR(__xludf.DUMMYFUNCTION("""COMPUTED_VALUE"""),"Calle 100# 19sur-40  / edificio coralina torre 7 apto 853 / puerta dorada")</f>
        <v>Calle 100# 19sur-40  / edificio coralina torre 7 apto 853 / puerta dorada</v>
      </c>
      <c r="G369" s="15" t="str">
        <f>IFERROR(__xludf.DUMMYFUNCTION("""COMPUTED_VALUE"""),"TRIANA MILENA PRADO")</f>
        <v>TRIANA MILENA PRADO</v>
      </c>
      <c r="H369" s="18">
        <f>IFERROR(__xludf.DUMMYFUNCTION("""COMPUTED_VALUE"""),9098.0)</f>
        <v>9098</v>
      </c>
      <c r="I369" s="18">
        <f>IFERROR(__xludf.DUMMYFUNCTION("""COMPUTED_VALUE"""),8.0)</f>
        <v>8</v>
      </c>
      <c r="J369" s="18">
        <f>IFERROR(__xludf.DUMMYFUNCTION("""COMPUTED_VALUE"""),13.0)</f>
        <v>13</v>
      </c>
      <c r="K369" s="18">
        <f>IFERROR(__xludf.DUMMYFUNCTION("""COMPUTED_VALUE"""),22.0)</f>
        <v>22</v>
      </c>
      <c r="L369" s="17">
        <f>IFERROR(__xludf.DUMMYFUNCTION("""COMPUTED_VALUE"""),3.006097839E9)</f>
        <v>3006097839</v>
      </c>
      <c r="M369" s="17" t="str">
        <f>IFERROR(__xludf.DUMMYFUNCTION("""COMPUTED_VALUE"""),"#REF!")</f>
        <v>#REF!</v>
      </c>
      <c r="N369" s="17"/>
      <c r="O369" s="19" t="str">
        <f>IFERROR(__xludf.DUMMYFUNCTION("""COMPUTED_VALUE"""),"")</f>
        <v/>
      </c>
      <c r="P369" s="17" t="b">
        <f>IFERROR(__xludf.DUMMYFUNCTION("""COMPUTED_VALUE"""),FALSE)</f>
        <v>0</v>
      </c>
      <c r="Q369" s="20" t="str">
        <f>IFERROR(__xludf.DUMMYFUNCTION("""COMPUTED_VALUE"""),"")</f>
        <v/>
      </c>
      <c r="R369" s="21" t="str">
        <f>IFERROR(__xludf.DUMMYFUNCTION("""COMPUTED_VALUE"""),"https://drive.google.com/file/d/1n2YDe_fBPpMFFLwFqS_M9ZygxYF6o4Gf/view?usp=drivesdk")</f>
        <v>https://drive.google.com/file/d/1n2YDe_fBPpMFFLwFqS_M9ZygxYF6o4Gf/view?usp=drivesdk</v>
      </c>
    </row>
    <row r="370">
      <c r="A370" s="15">
        <f>IFERROR(__xludf.DUMMYFUNCTION("""COMPUTED_VALUE"""),45008.0)</f>
        <v>45008</v>
      </c>
      <c r="B370" s="16" t="str">
        <f>IFERROR(__xludf.DUMMYFUNCTION("""COMPUTED_VALUE"""),"Envia")</f>
        <v>Envia</v>
      </c>
      <c r="C370" s="15" t="str">
        <f>IFERROR(__xludf.DUMMYFUNCTION("""COMPUTED_VALUE"""),"BARRANQUILLA")</f>
        <v>BARRANQUILLA</v>
      </c>
      <c r="D370" s="15" t="str">
        <f>IFERROR(__xludf.DUMMYFUNCTION("""COMPUTED_VALUE"""),"BOGOTÁ")</f>
        <v>BOGOTÁ</v>
      </c>
      <c r="E370" s="15" t="str">
        <f>IFERROR(__xludf.DUMMYFUNCTION("""COMPUTED_VALUE"""),"Pan de Waffle")</f>
        <v>Pan de Waffle</v>
      </c>
      <c r="F370" s="17" t="str">
        <f>IFERROR(__xludf.DUMMYFUNCTION("""COMPUTED_VALUE"""),"CR 53 80 284 LC 8 / CR 53 80 284 LC 8 / CR 53 80 284 LC 8")</f>
        <v>CR 53 80 284 LC 8 / CR 53 80 284 LC 8 / CR 53 80 284 LC 8</v>
      </c>
      <c r="G370" s="15" t="str">
        <f>IFERROR(__xludf.DUMMYFUNCTION("""COMPUTED_VALUE"""),"CORPOFIT")</f>
        <v>CORPOFIT</v>
      </c>
      <c r="H370" s="18">
        <f>IFERROR(__xludf.DUMMYFUNCTION("""COMPUTED_VALUE"""),9101.0)</f>
        <v>9101</v>
      </c>
      <c r="I370" s="18">
        <f>IFERROR(__xludf.DUMMYFUNCTION("""COMPUTED_VALUE"""),40.0)</f>
        <v>40</v>
      </c>
      <c r="J370" s="18">
        <f>IFERROR(__xludf.DUMMYFUNCTION("""COMPUTED_VALUE"""),30.0)</f>
        <v>30</v>
      </c>
      <c r="K370" s="18">
        <f>IFERROR(__xludf.DUMMYFUNCTION("""COMPUTED_VALUE"""),30.0)</f>
        <v>30</v>
      </c>
      <c r="L370" s="17">
        <f>IFERROR(__xludf.DUMMYFUNCTION("""COMPUTED_VALUE"""),3.006125263E9)</f>
        <v>3006125263</v>
      </c>
      <c r="M370" s="17" t="str">
        <f>IFERROR(__xludf.DUMMYFUNCTION("""COMPUTED_VALUE"""),"#REF!")</f>
        <v>#REF!</v>
      </c>
      <c r="N370" s="17"/>
      <c r="O370" s="19" t="str">
        <f>IFERROR(__xludf.DUMMYFUNCTION("""COMPUTED_VALUE"""),"")</f>
        <v/>
      </c>
      <c r="P370" s="17" t="b">
        <f>IFERROR(__xludf.DUMMYFUNCTION("""COMPUTED_VALUE"""),FALSE)</f>
        <v>0</v>
      </c>
      <c r="Q370" s="20" t="str">
        <f>IFERROR(__xludf.DUMMYFUNCTION("""COMPUTED_VALUE"""),"")</f>
        <v/>
      </c>
      <c r="R370" s="22" t="str">
        <f>IFERROR(__xludf.DUMMYFUNCTION("""COMPUTED_VALUE"""),"")</f>
        <v/>
      </c>
    </row>
    <row r="371">
      <c r="A371" s="15">
        <f>IFERROR(__xludf.DUMMYFUNCTION("""COMPUTED_VALUE"""),45008.0)</f>
        <v>45008</v>
      </c>
      <c r="B371" s="16" t="str">
        <f>IFERROR(__xludf.DUMMYFUNCTION("""COMPUTED_VALUE"""),"Envia")</f>
        <v>Envia</v>
      </c>
      <c r="C371" s="15" t="str">
        <f>IFERROR(__xludf.DUMMYFUNCTION("""COMPUTED_VALUE"""),"BOGOTÁ")</f>
        <v>BOGOTÁ</v>
      </c>
      <c r="D371" s="15" t="str">
        <f>IFERROR(__xludf.DUMMYFUNCTION("""COMPUTED_VALUE"""),"MEDELLÍN")</f>
        <v>MEDELLÍN</v>
      </c>
      <c r="E371" s="15" t="str">
        <f>IFERROR(__xludf.DUMMYFUNCTION("""COMPUTED_VALUE"""),"Puro Verde")</f>
        <v>Puro Verde</v>
      </c>
      <c r="F371" s="17" t="str">
        <f>IFERROR(__xludf.DUMMYFUNCTION("""COMPUTED_VALUE"""),"AV CRA 15 # 90-20.  / LOCAL 109 / BARRIO CHICO")</f>
        <v>AV CRA 15 # 90-20.  / LOCAL 109 / BARRIO CHICO</v>
      </c>
      <c r="G371" s="15" t="str">
        <f>IFERROR(__xludf.DUMMYFUNCTION("""COMPUTED_VALUE"""),"DANDO CUERDA")</f>
        <v>DANDO CUERDA</v>
      </c>
      <c r="H371" s="18">
        <f>IFERROR(__xludf.DUMMYFUNCTION("""COMPUTED_VALUE"""),9085.0)</f>
        <v>9085</v>
      </c>
      <c r="I371" s="18">
        <f>IFERROR(__xludf.DUMMYFUNCTION("""COMPUTED_VALUE"""),55.0)</f>
        <v>55</v>
      </c>
      <c r="J371" s="18">
        <f>IFERROR(__xludf.DUMMYFUNCTION("""COMPUTED_VALUE"""),45.0)</f>
        <v>45</v>
      </c>
      <c r="K371" s="18" t="str">
        <f>IFERROR(__xludf.DUMMYFUNCTION("""COMPUTED_VALUE"""),"52.5")</f>
        <v>52.5</v>
      </c>
      <c r="L371" s="17">
        <f>IFERROR(__xludf.DUMMYFUNCTION("""COMPUTED_VALUE"""),3.163816691E9)</f>
        <v>3163816691</v>
      </c>
      <c r="M371" s="17" t="str">
        <f>IFERROR(__xludf.DUMMYFUNCTION("""COMPUTED_VALUE"""),"#REF!")</f>
        <v>#REF!</v>
      </c>
      <c r="N371" s="17"/>
      <c r="O371" s="19" t="str">
        <f>IFERROR(__xludf.DUMMYFUNCTION("""COMPUTED_VALUE"""),"")</f>
        <v/>
      </c>
      <c r="P371" s="17" t="b">
        <f>IFERROR(__xludf.DUMMYFUNCTION("""COMPUTED_VALUE"""),FALSE)</f>
        <v>0</v>
      </c>
      <c r="Q371" s="20" t="str">
        <f>IFERROR(__xludf.DUMMYFUNCTION("""COMPUTED_VALUE"""),"")</f>
        <v/>
      </c>
      <c r="R371" s="22" t="str">
        <f>IFERROR(__xludf.DUMMYFUNCTION("""COMPUTED_VALUE"""),"")</f>
        <v/>
      </c>
    </row>
    <row r="372">
      <c r="A372" s="15">
        <f>IFERROR(__xludf.DUMMYFUNCTION("""COMPUTED_VALUE"""),45008.0)</f>
        <v>45008</v>
      </c>
      <c r="B372" s="16" t="str">
        <f>IFERROR(__xludf.DUMMYFUNCTION("""COMPUTED_VALUE"""),"Envia")</f>
        <v>Envia</v>
      </c>
      <c r="C372" s="15" t="str">
        <f>IFERROR(__xludf.DUMMYFUNCTION("""COMPUTED_VALUE"""),"CARTAGENA")</f>
        <v>CARTAGENA</v>
      </c>
      <c r="D372" s="15" t="str">
        <f>IFERROR(__xludf.DUMMYFUNCTION("""COMPUTED_VALUE"""),"BOGOTÁ")</f>
        <v>BOGOTÁ</v>
      </c>
      <c r="E372" s="15" t="str">
        <f>IFERROR(__xludf.DUMMYFUNCTION("""COMPUTED_VALUE"""),"MAI ALIMENTOS S.A.S")</f>
        <v>MAI ALIMENTOS S.A.S</v>
      </c>
      <c r="F372" s="17" t="str">
        <f>IFERROR(__xludf.DUMMYFUNCTION("""COMPUTED_VALUE"""),"Cra 3 A #31-23 Calle Ricaurte, Centro / Plaza Santa teresa / Restaurante Harry Sasson")</f>
        <v>Cra 3 A #31-23 Calle Ricaurte, Centro / Plaza Santa teresa / Restaurante Harry Sasson</v>
      </c>
      <c r="G372" s="15" t="str">
        <f>IFERROR(__xludf.DUMMYFUNCTION("""COMPUTED_VALUE"""),"Harry Sasson Cartagena")</f>
        <v>Harry Sasson Cartagena</v>
      </c>
      <c r="H372" s="18">
        <f>IFERROR(__xludf.DUMMYFUNCTION("""COMPUTED_VALUE"""),9082.0)</f>
        <v>9082</v>
      </c>
      <c r="I372" s="18">
        <f>IFERROR(__xludf.DUMMYFUNCTION("""COMPUTED_VALUE"""),35.0)</f>
        <v>35</v>
      </c>
      <c r="J372" s="18">
        <f>IFERROR(__xludf.DUMMYFUNCTION("""COMPUTED_VALUE"""),17.0)</f>
        <v>17</v>
      </c>
      <c r="K372" s="18">
        <f>IFERROR(__xludf.DUMMYFUNCTION("""COMPUTED_VALUE"""),13.0)</f>
        <v>13</v>
      </c>
      <c r="L372" s="17">
        <f>IFERROR(__xludf.DUMMYFUNCTION("""COMPUTED_VALUE"""),3.174374246E9)</f>
        <v>3174374246</v>
      </c>
      <c r="M372" s="17" t="str">
        <f>IFERROR(__xludf.DUMMYFUNCTION("""COMPUTED_VALUE"""),"#REF!")</f>
        <v>#REF!</v>
      </c>
      <c r="N372" s="17"/>
      <c r="O372" s="19" t="str">
        <f>IFERROR(__xludf.DUMMYFUNCTION("""COMPUTED_VALUE"""),"")</f>
        <v/>
      </c>
      <c r="P372" s="17" t="b">
        <f>IFERROR(__xludf.DUMMYFUNCTION("""COMPUTED_VALUE"""),TRUE)</f>
        <v>1</v>
      </c>
      <c r="Q372" s="20">
        <f>IFERROR(__xludf.DUMMYFUNCTION("""COMPUTED_VALUE"""),45008.46304959491)</f>
        <v>45008.46305</v>
      </c>
      <c r="R372" s="22" t="str">
        <f>IFERROR(__xludf.DUMMYFUNCTION("""COMPUTED_VALUE"""),"")</f>
        <v/>
      </c>
    </row>
    <row r="373">
      <c r="A373" s="15">
        <f>IFERROR(__xludf.DUMMYFUNCTION("""COMPUTED_VALUE"""),45008.0)</f>
        <v>45008</v>
      </c>
      <c r="B373" s="16" t="str">
        <f>IFERROR(__xludf.DUMMYFUNCTION("""COMPUTED_VALUE"""),"Envia")</f>
        <v>Envia</v>
      </c>
      <c r="C373" s="15" t="str">
        <f>IFERROR(__xludf.DUMMYFUNCTION("""COMPUTED_VALUE"""),"CARTAGENA")</f>
        <v>CARTAGENA</v>
      </c>
      <c r="D373" s="15" t="str">
        <f>IFERROR(__xludf.DUMMYFUNCTION("""COMPUTED_VALUE"""),"BOGOTÁ")</f>
        <v>BOGOTÁ</v>
      </c>
      <c r="E373" s="15" t="str">
        <f>IFERROR(__xludf.DUMMYFUNCTION("""COMPUTED_VALUE"""),"SISU PARTNERS SAS")</f>
        <v>SISU PARTNERS SAS</v>
      </c>
      <c r="F373" s="17" t="str">
        <f>IFERROR(__xludf.DUMMYFUNCTION("""COMPUTED_VALUE"""),"Carrera 7 no. 38-48 local 3 / Local Mary &amp; George")</f>
        <v>Carrera 7 no. 38-48 local 3 / Local Mary &amp; George</v>
      </c>
      <c r="G373" s="15" t="str">
        <f>IFERROR(__xludf.DUMMYFUNCTION("""COMPUTED_VALUE"""),"Carolyne Bailey")</f>
        <v>Carolyne Bailey</v>
      </c>
      <c r="H373" s="18">
        <f>IFERROR(__xludf.DUMMYFUNCTION("""COMPUTED_VALUE"""),9115.0)</f>
        <v>9115</v>
      </c>
      <c r="I373" s="18" t="str">
        <f>IFERROR(__xludf.DUMMYFUNCTION("""COMPUTED_VALUE"""),"52.5")</f>
        <v>52.5</v>
      </c>
      <c r="J373" s="18">
        <f>IFERROR(__xludf.DUMMYFUNCTION("""COMPUTED_VALUE"""),45.0)</f>
        <v>45</v>
      </c>
      <c r="K373" s="18">
        <f>IFERROR(__xludf.DUMMYFUNCTION("""COMPUTED_VALUE"""),55.0)</f>
        <v>55</v>
      </c>
      <c r="L373" s="17">
        <f>IFERROR(__xludf.DUMMYFUNCTION("""COMPUTED_VALUE"""),3.105510381E9)</f>
        <v>3105510381</v>
      </c>
      <c r="M373" s="17" t="str">
        <f>IFERROR(__xludf.DUMMYFUNCTION("""COMPUTED_VALUE"""),"#REF!")</f>
        <v>#REF!</v>
      </c>
      <c r="N373" s="17"/>
      <c r="O373" s="19" t="str">
        <f>IFERROR(__xludf.DUMMYFUNCTION("""COMPUTED_VALUE"""),"")</f>
        <v/>
      </c>
      <c r="P373" s="17" t="b">
        <f>IFERROR(__xludf.DUMMYFUNCTION("""COMPUTED_VALUE"""),FALSE)</f>
        <v>0</v>
      </c>
      <c r="Q373" s="20" t="str">
        <f>IFERROR(__xludf.DUMMYFUNCTION("""COMPUTED_VALUE"""),"")</f>
        <v/>
      </c>
      <c r="R373" s="22" t="str">
        <f>IFERROR(__xludf.DUMMYFUNCTION("""COMPUTED_VALUE"""),"")</f>
        <v/>
      </c>
    </row>
    <row r="374">
      <c r="A374" s="15">
        <f>IFERROR(__xludf.DUMMYFUNCTION("""COMPUTED_VALUE"""),45008.0)</f>
        <v>45008</v>
      </c>
      <c r="B374" s="16" t="str">
        <f>IFERROR(__xludf.DUMMYFUNCTION("""COMPUTED_VALUE"""),"Envia")</f>
        <v>Envia</v>
      </c>
      <c r="C374" s="15" t="str">
        <f>IFERROR(__xludf.DUMMYFUNCTION("""COMPUTED_VALUE"""),"CARTAGENA")</f>
        <v>CARTAGENA</v>
      </c>
      <c r="D374" s="15" t="str">
        <f>IFERROR(__xludf.DUMMYFUNCTION("""COMPUTED_VALUE"""),"MEDELLÍN")</f>
        <v>MEDELLÍN</v>
      </c>
      <c r="E374" s="15" t="str">
        <f>IFERROR(__xludf.DUMMYFUNCTION("""COMPUTED_VALUE"""),"AREPAS LA MARY")</f>
        <v>AREPAS LA MARY</v>
      </c>
      <c r="F374" s="17" t="str">
        <f>IFERROR(__xludf.DUMMYFUNCTION("""COMPUTED_VALUE"""),"CALLE 6 N 4 20 / CENTRO COMERCIAL LA ESTACION")</f>
        <v>CALLE 6 N 4 20 / CENTRO COMERCIAL LA ESTACION</v>
      </c>
      <c r="G374" s="15" t="str">
        <f>IFERROR(__xludf.DUMMYFUNCTION("""COMPUTED_VALUE"""),"COCOFIT MERCADO SALUDABLE")</f>
        <v>COCOFIT MERCADO SALUDABLE</v>
      </c>
      <c r="H374" s="18">
        <f>IFERROR(__xludf.DUMMYFUNCTION("""COMPUTED_VALUE"""),9003.0)</f>
        <v>9003</v>
      </c>
      <c r="I374" s="18">
        <f>IFERROR(__xludf.DUMMYFUNCTION("""COMPUTED_VALUE"""),89.0)</f>
        <v>89</v>
      </c>
      <c r="J374" s="18">
        <f>IFERROR(__xludf.DUMMYFUNCTION("""COMPUTED_VALUE"""),1.0)</f>
        <v>1</v>
      </c>
      <c r="K374" s="18">
        <f>IFERROR(__xludf.DUMMYFUNCTION("""COMPUTED_VALUE"""),10.0)</f>
        <v>10</v>
      </c>
      <c r="L374" s="17"/>
      <c r="M374" s="17" t="str">
        <f>IFERROR(__xludf.DUMMYFUNCTION("""COMPUTED_VALUE"""),"#REF!")</f>
        <v>#REF!</v>
      </c>
      <c r="N374" s="17"/>
      <c r="O374" s="19" t="str">
        <f>IFERROR(__xludf.DUMMYFUNCTION("""COMPUTED_VALUE"""),"")</f>
        <v/>
      </c>
      <c r="P374" s="17" t="b">
        <f>IFERROR(__xludf.DUMMYFUNCTION("""COMPUTED_VALUE"""),TRUE)</f>
        <v>1</v>
      </c>
      <c r="Q374" s="20">
        <f>IFERROR(__xludf.DUMMYFUNCTION("""COMPUTED_VALUE"""),45008.69199583333)</f>
        <v>45008.692</v>
      </c>
      <c r="R374" s="22" t="str">
        <f>IFERROR(__xludf.DUMMYFUNCTION("""COMPUTED_VALUE"""),"")</f>
        <v/>
      </c>
    </row>
    <row r="375">
      <c r="A375" s="15">
        <f>IFERROR(__xludf.DUMMYFUNCTION("""COMPUTED_VALUE"""),45008.0)</f>
        <v>45008</v>
      </c>
      <c r="B375" s="16" t="str">
        <f>IFERROR(__xludf.DUMMYFUNCTION("""COMPUTED_VALUE"""),"Envia")</f>
        <v>Envia</v>
      </c>
      <c r="C375" s="15" t="str">
        <f>IFERROR(__xludf.DUMMYFUNCTION("""COMPUTED_VALUE"""),"CÚCUTA")</f>
        <v>CÚCUTA</v>
      </c>
      <c r="D375" s="15" t="str">
        <f>IFERROR(__xludf.DUMMYFUNCTION("""COMPUTED_VALUE"""),"BOGOTÁ")</f>
        <v>BOGOTÁ</v>
      </c>
      <c r="E375" s="15" t="str">
        <f>IFERROR(__xludf.DUMMYFUNCTION("""COMPUTED_VALUE"""),"Asociacion Agropecuaria Juana Maria")</f>
        <v>Asociacion Agropecuaria Juana Maria</v>
      </c>
      <c r="F375" s="17" t="str">
        <f>IFERROR(__xludf.DUMMYFUNCTION("""COMPUTED_VALUE"""),"AV. 2E # 15 A -17   PISTACHO FIT MARKET BARRIO CAOBOS")</f>
        <v>AV. 2E # 15 A -17   PISTACHO FIT MARKET BARRIO CAOBOS</v>
      </c>
      <c r="G375" s="15" t="str">
        <f>IFERROR(__xludf.DUMMYFUNCTION("""COMPUTED_VALUE"""),"DACCY KARINA LOPEZ")</f>
        <v>DACCY KARINA LOPEZ</v>
      </c>
      <c r="H375" s="18">
        <f>IFERROR(__xludf.DUMMYFUNCTION("""COMPUTED_VALUE"""),8992.0)</f>
        <v>8992</v>
      </c>
      <c r="I375" s="18" t="str">
        <f>IFERROR(__xludf.DUMMYFUNCTION("""COMPUTED_VALUE"""),"52.5")</f>
        <v>52.5</v>
      </c>
      <c r="J375" s="18">
        <f>IFERROR(__xludf.DUMMYFUNCTION("""COMPUTED_VALUE"""),45.0)</f>
        <v>45</v>
      </c>
      <c r="K375" s="18">
        <f>IFERROR(__xludf.DUMMYFUNCTION("""COMPUTED_VALUE"""),55.0)</f>
        <v>55</v>
      </c>
      <c r="L375" s="17">
        <f>IFERROR(__xludf.DUMMYFUNCTION("""COMPUTED_VALUE"""),3.208615379E9)</f>
        <v>3208615379</v>
      </c>
      <c r="M375" s="17" t="str">
        <f>IFERROR(__xludf.DUMMYFUNCTION("""COMPUTED_VALUE"""),"#REF!")</f>
        <v>#REF!</v>
      </c>
      <c r="N375" s="17"/>
      <c r="O375" s="19" t="str">
        <f>IFERROR(__xludf.DUMMYFUNCTION("""COMPUTED_VALUE"""),"")</f>
        <v/>
      </c>
      <c r="P375" s="17" t="b">
        <f>IFERROR(__xludf.DUMMYFUNCTION("""COMPUTED_VALUE"""),TRUE)</f>
        <v>1</v>
      </c>
      <c r="Q375" s="20">
        <f>IFERROR(__xludf.DUMMYFUNCTION("""COMPUTED_VALUE"""),45008.69199583333)</f>
        <v>45008.692</v>
      </c>
      <c r="R375" s="22" t="str">
        <f>IFERROR(__xludf.DUMMYFUNCTION("""COMPUTED_VALUE"""),"")</f>
        <v/>
      </c>
    </row>
    <row r="376">
      <c r="A376" s="15">
        <f>IFERROR(__xludf.DUMMYFUNCTION("""COMPUTED_VALUE"""),45008.0)</f>
        <v>45008</v>
      </c>
      <c r="B376" s="16" t="str">
        <f>IFERROR(__xludf.DUMMYFUNCTION("""COMPUTED_VALUE"""),"Envia")</f>
        <v>Envia</v>
      </c>
      <c r="C376" s="15" t="str">
        <f>IFERROR(__xludf.DUMMYFUNCTION("""COMPUTED_VALUE"""),"CÚCUTA")</f>
        <v>CÚCUTA</v>
      </c>
      <c r="D376" s="15" t="str">
        <f>IFERROR(__xludf.DUMMYFUNCTION("""COMPUTED_VALUE"""),"MEDELLÍN")</f>
        <v>MEDELLÍN</v>
      </c>
      <c r="E376" s="15" t="str">
        <f>IFERROR(__xludf.DUMMYFUNCTION("""COMPUTED_VALUE"""),"Momo Tea S.A.S Gabriel Echavarría")</f>
        <v>Momo Tea S.A.S Gabriel Echavarría</v>
      </c>
      <c r="F376" s="17" t="str">
        <f>IFERROR(__xludf.DUMMYFUNCTION("""COMPUTED_VALUE"""),"CL 11 N 16 E 35 / CA B 1")</f>
        <v>CL 11 N 16 E 35 / CA B 1</v>
      </c>
      <c r="G376" s="15" t="str">
        <f>IFERROR(__xludf.DUMMYFUNCTION("""COMPUTED_VALUE"""),"Gabriel Echavarría")</f>
        <v>Gabriel Echavarría</v>
      </c>
      <c r="H376" s="18">
        <f>IFERROR(__xludf.DUMMYFUNCTION("""COMPUTED_VALUE"""),9042.0)</f>
        <v>9042</v>
      </c>
      <c r="I376" s="18">
        <f>IFERROR(__xludf.DUMMYFUNCTION("""COMPUTED_VALUE"""),38.0)</f>
        <v>38</v>
      </c>
      <c r="J376" s="18">
        <f>IFERROR(__xludf.DUMMYFUNCTION("""COMPUTED_VALUE"""),38.0)</f>
        <v>38</v>
      </c>
      <c r="K376" s="18">
        <f>IFERROR(__xludf.DUMMYFUNCTION("""COMPUTED_VALUE"""),20.0)</f>
        <v>20</v>
      </c>
      <c r="L376" s="17">
        <f>IFERROR(__xludf.DUMMYFUNCTION("""COMPUTED_VALUE"""),3.017909548E9)</f>
        <v>3017909548</v>
      </c>
      <c r="M376" s="17" t="str">
        <f>IFERROR(__xludf.DUMMYFUNCTION("""COMPUTED_VALUE"""),"#REF!")</f>
        <v>#REF!</v>
      </c>
      <c r="N376" s="17"/>
      <c r="O376" s="19" t="str">
        <f>IFERROR(__xludf.DUMMYFUNCTION("""COMPUTED_VALUE"""),"")</f>
        <v/>
      </c>
      <c r="P376" s="17" t="b">
        <f>IFERROR(__xludf.DUMMYFUNCTION("""COMPUTED_VALUE"""),TRUE)</f>
        <v>1</v>
      </c>
      <c r="Q376" s="20">
        <f>IFERROR(__xludf.DUMMYFUNCTION("""COMPUTED_VALUE"""),45008.69199583333)</f>
        <v>45008.692</v>
      </c>
      <c r="R376" s="22" t="str">
        <f>IFERROR(__xludf.DUMMYFUNCTION("""COMPUTED_VALUE"""),"")</f>
        <v/>
      </c>
    </row>
    <row r="377">
      <c r="A377" s="15">
        <f>IFERROR(__xludf.DUMMYFUNCTION("""COMPUTED_VALUE"""),45008.0)</f>
        <v>45008</v>
      </c>
      <c r="B377" s="16" t="str">
        <f>IFERROR(__xludf.DUMMYFUNCTION("""COMPUTED_VALUE"""),"Envia")</f>
        <v>Envia</v>
      </c>
      <c r="C377" s="15" t="str">
        <f>IFERROR(__xludf.DUMMYFUNCTION("""COMPUTED_VALUE"""),"CÚCUTA")</f>
        <v>CÚCUTA</v>
      </c>
      <c r="D377" s="15" t="str">
        <f>IFERROR(__xludf.DUMMYFUNCTION("""COMPUTED_VALUE"""),"MEDELLÍN")</f>
        <v>MEDELLÍN</v>
      </c>
      <c r="E377" s="15" t="str">
        <f>IFERROR(__xludf.DUMMYFUNCTION("""COMPUTED_VALUE"""),"Momo Tea S.A.S Gabriel Echavarría")</f>
        <v>Momo Tea S.A.S Gabriel Echavarría</v>
      </c>
      <c r="F377" s="17" t="str">
        <f>IFERROR(__xludf.DUMMYFUNCTION("""COMPUTED_VALUE"""),"CL 11 N 16 E 35 / CA B 1")</f>
        <v>CL 11 N 16 E 35 / CA B 1</v>
      </c>
      <c r="G377" s="15" t="str">
        <f>IFERROR(__xludf.DUMMYFUNCTION("""COMPUTED_VALUE"""),"Gabriel Echavarría")</f>
        <v>Gabriel Echavarría</v>
      </c>
      <c r="H377" s="18">
        <f>IFERROR(__xludf.DUMMYFUNCTION("""COMPUTED_VALUE"""),9043.0)</f>
        <v>9043</v>
      </c>
      <c r="I377" s="18" t="str">
        <f>IFERROR(__xludf.DUMMYFUNCTION("""COMPUTED_VALUE"""),"34.5")</f>
        <v>34.5</v>
      </c>
      <c r="J377" s="18">
        <f>IFERROR(__xludf.DUMMYFUNCTION("""COMPUTED_VALUE"""),54.0)</f>
        <v>54</v>
      </c>
      <c r="K377" s="18">
        <f>IFERROR(__xludf.DUMMYFUNCTION("""COMPUTED_VALUE"""),26.0)</f>
        <v>26</v>
      </c>
      <c r="L377" s="17">
        <f>IFERROR(__xludf.DUMMYFUNCTION("""COMPUTED_VALUE"""),3.017909548E9)</f>
        <v>3017909548</v>
      </c>
      <c r="M377" s="17" t="str">
        <f>IFERROR(__xludf.DUMMYFUNCTION("""COMPUTED_VALUE"""),"#REF!")</f>
        <v>#REF!</v>
      </c>
      <c r="N377" s="17"/>
      <c r="O377" s="19" t="str">
        <f>IFERROR(__xludf.DUMMYFUNCTION("""COMPUTED_VALUE"""),"")</f>
        <v/>
      </c>
      <c r="P377" s="17" t="b">
        <f>IFERROR(__xludf.DUMMYFUNCTION("""COMPUTED_VALUE"""),TRUE)</f>
        <v>1</v>
      </c>
      <c r="Q377" s="20">
        <f>IFERROR(__xludf.DUMMYFUNCTION("""COMPUTED_VALUE"""),45008.4643587037)</f>
        <v>45008.46436</v>
      </c>
      <c r="R377" s="22" t="str">
        <f>IFERROR(__xludf.DUMMYFUNCTION("""COMPUTED_VALUE"""),"")</f>
        <v/>
      </c>
    </row>
    <row r="378">
      <c r="A378" s="15">
        <f>IFERROR(__xludf.DUMMYFUNCTION("""COMPUTED_VALUE"""),45008.0)</f>
        <v>45008</v>
      </c>
      <c r="B378" s="16" t="str">
        <f>IFERROR(__xludf.DUMMYFUNCTION("""COMPUTED_VALUE"""),"Envia")</f>
        <v>Envia</v>
      </c>
      <c r="C378" s="15" t="str">
        <f>IFERROR(__xludf.DUMMYFUNCTION("""COMPUTED_VALUE"""),"CÚCUTA")</f>
        <v>CÚCUTA</v>
      </c>
      <c r="D378" s="15" t="str">
        <f>IFERROR(__xludf.DUMMYFUNCTION("""COMPUTED_VALUE"""),"MEDELLÍN")</f>
        <v>MEDELLÍN</v>
      </c>
      <c r="E378" s="15" t="str">
        <f>IFERROR(__xludf.DUMMYFUNCTION("""COMPUTED_VALUE"""),"Momo Tea S.A.S Gabriel Echavarría")</f>
        <v>Momo Tea S.A.S Gabriel Echavarría</v>
      </c>
      <c r="F378" s="17" t="str">
        <f>IFERROR(__xludf.DUMMYFUNCTION("""COMPUTED_VALUE"""),"CL 11 N 16 E 35 / CA B 1")</f>
        <v>CL 11 N 16 E 35 / CA B 1</v>
      </c>
      <c r="G378" s="15" t="str">
        <f>IFERROR(__xludf.DUMMYFUNCTION("""COMPUTED_VALUE"""),"Gabriel Echavarría")</f>
        <v>Gabriel Echavarría</v>
      </c>
      <c r="H378" s="18">
        <f>IFERROR(__xludf.DUMMYFUNCTION("""COMPUTED_VALUE"""),9044.0)</f>
        <v>9044</v>
      </c>
      <c r="I378" s="18">
        <f>IFERROR(__xludf.DUMMYFUNCTION("""COMPUTED_VALUE"""),17.0)</f>
        <v>17</v>
      </c>
      <c r="J378" s="18">
        <f>IFERROR(__xludf.DUMMYFUNCTION("""COMPUTED_VALUE"""),17.0)</f>
        <v>17</v>
      </c>
      <c r="K378" s="18">
        <f>IFERROR(__xludf.DUMMYFUNCTION("""COMPUTED_VALUE"""),23.0)</f>
        <v>23</v>
      </c>
      <c r="L378" s="17">
        <f>IFERROR(__xludf.DUMMYFUNCTION("""COMPUTED_VALUE"""),3.017909548E9)</f>
        <v>3017909548</v>
      </c>
      <c r="M378" s="17" t="str">
        <f>IFERROR(__xludf.DUMMYFUNCTION("""COMPUTED_VALUE"""),"#REF!")</f>
        <v>#REF!</v>
      </c>
      <c r="N378" s="17"/>
      <c r="O378" s="19" t="str">
        <f>IFERROR(__xludf.DUMMYFUNCTION("""COMPUTED_VALUE"""),"")</f>
        <v/>
      </c>
      <c r="P378" s="17" t="b">
        <f>IFERROR(__xludf.DUMMYFUNCTION("""COMPUTED_VALUE"""),TRUE)</f>
        <v>1</v>
      </c>
      <c r="Q378" s="20">
        <f>IFERROR(__xludf.DUMMYFUNCTION("""COMPUTED_VALUE"""),45008.73474789352)</f>
        <v>45008.73475</v>
      </c>
      <c r="R378" s="22" t="str">
        <f>IFERROR(__xludf.DUMMYFUNCTION("""COMPUTED_VALUE"""),"")</f>
        <v/>
      </c>
    </row>
    <row r="379">
      <c r="A379" s="15">
        <f>IFERROR(__xludf.DUMMYFUNCTION("""COMPUTED_VALUE"""),45008.0)</f>
        <v>45008</v>
      </c>
      <c r="B379" s="16" t="str">
        <f>IFERROR(__xludf.DUMMYFUNCTION("""COMPUTED_VALUE"""),"Envia")</f>
        <v>Envia</v>
      </c>
      <c r="C379" s="15" t="str">
        <f>IFERROR(__xludf.DUMMYFUNCTION("""COMPUTED_VALUE"""),"CÚCUTA")</f>
        <v>CÚCUTA</v>
      </c>
      <c r="D379" s="15" t="str">
        <f>IFERROR(__xludf.DUMMYFUNCTION("""COMPUTED_VALUE"""),"MEDELLÍN")</f>
        <v>MEDELLÍN</v>
      </c>
      <c r="E379" s="15" t="str">
        <f>IFERROR(__xludf.DUMMYFUNCTION("""COMPUTED_VALUE"""),"Momo Tea S.A.S Gabriel Echavarría")</f>
        <v>Momo Tea S.A.S Gabriel Echavarría</v>
      </c>
      <c r="F379" s="17" t="str">
        <f>IFERROR(__xludf.DUMMYFUNCTION("""COMPUTED_VALUE"""),"CL 11 N 16 E 35 / CA B 1")</f>
        <v>CL 11 N 16 E 35 / CA B 1</v>
      </c>
      <c r="G379" s="15" t="str">
        <f>IFERROR(__xludf.DUMMYFUNCTION("""COMPUTED_VALUE"""),"Gabriel Echavarría")</f>
        <v>Gabriel Echavarría</v>
      </c>
      <c r="H379" s="18">
        <f>IFERROR(__xludf.DUMMYFUNCTION("""COMPUTED_VALUE"""),9045.0)</f>
        <v>9045</v>
      </c>
      <c r="I379" s="18">
        <f>IFERROR(__xludf.DUMMYFUNCTION("""COMPUTED_VALUE"""),13.0)</f>
        <v>13</v>
      </c>
      <c r="J379" s="18">
        <f>IFERROR(__xludf.DUMMYFUNCTION("""COMPUTED_VALUE"""),19.0)</f>
        <v>19</v>
      </c>
      <c r="K379" s="18">
        <f>IFERROR(__xludf.DUMMYFUNCTION("""COMPUTED_VALUE"""),19.0)</f>
        <v>19</v>
      </c>
      <c r="L379" s="17">
        <f>IFERROR(__xludf.DUMMYFUNCTION("""COMPUTED_VALUE"""),3.017909548E9)</f>
        <v>3017909548</v>
      </c>
      <c r="M379" s="17" t="str">
        <f>IFERROR(__xludf.DUMMYFUNCTION("""COMPUTED_VALUE"""),"#REF!")</f>
        <v>#REF!</v>
      </c>
      <c r="N379" s="17"/>
      <c r="O379" s="19" t="str">
        <f>IFERROR(__xludf.DUMMYFUNCTION("""COMPUTED_VALUE"""),"")</f>
        <v/>
      </c>
      <c r="P379" s="17" t="b">
        <f>IFERROR(__xludf.DUMMYFUNCTION("""COMPUTED_VALUE"""),TRUE)</f>
        <v>1</v>
      </c>
      <c r="Q379" s="20">
        <f>IFERROR(__xludf.DUMMYFUNCTION("""COMPUTED_VALUE"""),45008.866295092594)</f>
        <v>45008.8663</v>
      </c>
      <c r="R379" s="22" t="str">
        <f>IFERROR(__xludf.DUMMYFUNCTION("""COMPUTED_VALUE"""),"")</f>
        <v/>
      </c>
    </row>
    <row r="380">
      <c r="A380" s="15">
        <f>IFERROR(__xludf.DUMMYFUNCTION("""COMPUTED_VALUE"""),45008.0)</f>
        <v>45008</v>
      </c>
      <c r="B380" s="16" t="str">
        <f>IFERROR(__xludf.DUMMYFUNCTION("""COMPUTED_VALUE"""),"Envia")</f>
        <v>Envia</v>
      </c>
      <c r="C380" s="15" t="str">
        <f>IFERROR(__xludf.DUMMYFUNCTION("""COMPUTED_VALUE"""),"CÚCUTA")</f>
        <v>CÚCUTA</v>
      </c>
      <c r="D380" s="15" t="str">
        <f>IFERROR(__xludf.DUMMYFUNCTION("""COMPUTED_VALUE"""),"MEDELLÍN")</f>
        <v>MEDELLÍN</v>
      </c>
      <c r="E380" s="15" t="str">
        <f>IFERROR(__xludf.DUMMYFUNCTION("""COMPUTED_VALUE"""),"Momo Tea S.A.S Gabriel Echavarría")</f>
        <v>Momo Tea S.A.S Gabriel Echavarría</v>
      </c>
      <c r="F380" s="17" t="str">
        <f>IFERROR(__xludf.DUMMYFUNCTION("""COMPUTED_VALUE"""),"CL 11 N 16 E 35 / CA B 1")</f>
        <v>CL 11 N 16 E 35 / CA B 1</v>
      </c>
      <c r="G380" s="15" t="str">
        <f>IFERROR(__xludf.DUMMYFUNCTION("""COMPUTED_VALUE"""),"Gabriel Echavarría")</f>
        <v>Gabriel Echavarría</v>
      </c>
      <c r="H380" s="18">
        <f>IFERROR(__xludf.DUMMYFUNCTION("""COMPUTED_VALUE"""),9046.0)</f>
        <v>9046</v>
      </c>
      <c r="I380" s="18">
        <f>IFERROR(__xludf.DUMMYFUNCTION("""COMPUTED_VALUE"""),19.0)</f>
        <v>19</v>
      </c>
      <c r="J380" s="18">
        <f>IFERROR(__xludf.DUMMYFUNCTION("""COMPUTED_VALUE"""),11.0)</f>
        <v>11</v>
      </c>
      <c r="K380" s="18">
        <f>IFERROR(__xludf.DUMMYFUNCTION("""COMPUTED_VALUE"""),32.0)</f>
        <v>32</v>
      </c>
      <c r="L380" s="17">
        <f>IFERROR(__xludf.DUMMYFUNCTION("""COMPUTED_VALUE"""),3.017909548E9)</f>
        <v>3017909548</v>
      </c>
      <c r="M380" s="17" t="str">
        <f>IFERROR(__xludf.DUMMYFUNCTION("""COMPUTED_VALUE"""),"#REF!")</f>
        <v>#REF!</v>
      </c>
      <c r="N380" s="17"/>
      <c r="O380" s="19" t="str">
        <f>IFERROR(__xludf.DUMMYFUNCTION("""COMPUTED_VALUE"""),"")</f>
        <v/>
      </c>
      <c r="P380" s="17" t="b">
        <f>IFERROR(__xludf.DUMMYFUNCTION("""COMPUTED_VALUE"""),TRUE)</f>
        <v>1</v>
      </c>
      <c r="Q380" s="20">
        <f>IFERROR(__xludf.DUMMYFUNCTION("""COMPUTED_VALUE"""),45008.483239050925)</f>
        <v>45008.48324</v>
      </c>
      <c r="R380" s="22" t="str">
        <f>IFERROR(__xludf.DUMMYFUNCTION("""COMPUTED_VALUE"""),"")</f>
        <v/>
      </c>
    </row>
    <row r="381">
      <c r="A381" s="15">
        <f>IFERROR(__xludf.DUMMYFUNCTION("""COMPUTED_VALUE"""),45008.0)</f>
        <v>45008</v>
      </c>
      <c r="B381" s="16" t="str">
        <f>IFERROR(__xludf.DUMMYFUNCTION("""COMPUTED_VALUE"""),"Envia")</f>
        <v>Envia</v>
      </c>
      <c r="C381" s="15" t="str">
        <f>IFERROR(__xludf.DUMMYFUNCTION("""COMPUTED_VALUE"""),"CÚCUTA")</f>
        <v>CÚCUTA</v>
      </c>
      <c r="D381" s="15" t="str">
        <f>IFERROR(__xludf.DUMMYFUNCTION("""COMPUTED_VALUE"""),"MEDELLÍN")</f>
        <v>MEDELLÍN</v>
      </c>
      <c r="E381" s="15" t="str">
        <f>IFERROR(__xludf.DUMMYFUNCTION("""COMPUTED_VALUE"""),"Momo Tea S.A.S Gabriel Echavarría")</f>
        <v>Momo Tea S.A.S Gabriel Echavarría</v>
      </c>
      <c r="F381" s="17" t="str">
        <f>IFERROR(__xludf.DUMMYFUNCTION("""COMPUTED_VALUE"""),"CL 11 N 16 E 35 / CA B 1")</f>
        <v>CL 11 N 16 E 35 / CA B 1</v>
      </c>
      <c r="G381" s="15" t="str">
        <f>IFERROR(__xludf.DUMMYFUNCTION("""COMPUTED_VALUE"""),"Gabriel Echavarría")</f>
        <v>Gabriel Echavarría</v>
      </c>
      <c r="H381" s="18">
        <f>IFERROR(__xludf.DUMMYFUNCTION("""COMPUTED_VALUE"""),9047.0)</f>
        <v>9047</v>
      </c>
      <c r="I381" s="18">
        <f>IFERROR(__xludf.DUMMYFUNCTION("""COMPUTED_VALUE"""),33.0)</f>
        <v>33</v>
      </c>
      <c r="J381" s="18">
        <f>IFERROR(__xludf.DUMMYFUNCTION("""COMPUTED_VALUE"""),13.0)</f>
        <v>13</v>
      </c>
      <c r="K381" s="18">
        <f>IFERROR(__xludf.DUMMYFUNCTION("""COMPUTED_VALUE"""),20.0)</f>
        <v>20</v>
      </c>
      <c r="L381" s="17">
        <f>IFERROR(__xludf.DUMMYFUNCTION("""COMPUTED_VALUE"""),3.017909548E9)</f>
        <v>3017909548</v>
      </c>
      <c r="M381" s="17" t="str">
        <f>IFERROR(__xludf.DUMMYFUNCTION("""COMPUTED_VALUE"""),"#REF!")</f>
        <v>#REF!</v>
      </c>
      <c r="N381" s="17"/>
      <c r="O381" s="19" t="str">
        <f>IFERROR(__xludf.DUMMYFUNCTION("""COMPUTED_VALUE"""),"")</f>
        <v/>
      </c>
      <c r="P381" s="17" t="b">
        <f>IFERROR(__xludf.DUMMYFUNCTION("""COMPUTED_VALUE"""),TRUE)</f>
        <v>1</v>
      </c>
      <c r="Q381" s="20">
        <f>IFERROR(__xludf.DUMMYFUNCTION("""COMPUTED_VALUE"""),45008.69199583333)</f>
        <v>45008.692</v>
      </c>
      <c r="R381" s="22" t="str">
        <f>IFERROR(__xludf.DUMMYFUNCTION("""COMPUTED_VALUE"""),"")</f>
        <v/>
      </c>
    </row>
    <row r="382">
      <c r="A382" s="15">
        <f>IFERROR(__xludf.DUMMYFUNCTION("""COMPUTED_VALUE"""),45008.0)</f>
        <v>45008</v>
      </c>
      <c r="B382" s="16" t="str">
        <f>IFERROR(__xludf.DUMMYFUNCTION("""COMPUTED_VALUE"""),"Envia")</f>
        <v>Envia</v>
      </c>
      <c r="C382" s="15" t="str">
        <f>IFERROR(__xludf.DUMMYFUNCTION("""COMPUTED_VALUE"""),"MEDELLÍN")</f>
        <v>MEDELLÍN</v>
      </c>
      <c r="D382" s="15" t="str">
        <f>IFERROR(__xludf.DUMMYFUNCTION("""COMPUTED_VALUE"""),"BOGOTÁ")</f>
        <v>BOGOTÁ</v>
      </c>
      <c r="E382" s="15" t="str">
        <f>IFERROR(__xludf.DUMMYFUNCTION("""COMPUTED_VALUE"""),"SISU PARTNERS SAS")</f>
        <v>SISU PARTNERS SAS</v>
      </c>
      <c r="F382" s="17" t="str">
        <f>IFERROR(__xludf.DUMMYFUNCTION("""COMPUTED_VALUE"""),"Carrera 34 no. 7-86 / Local Mary &amp; George")</f>
        <v>Carrera 34 no. 7-86 / Local Mary &amp; George</v>
      </c>
      <c r="G382" s="15" t="str">
        <f>IFERROR(__xludf.DUMMYFUNCTION("""COMPUTED_VALUE"""),"Maria Paulina Pérez")</f>
        <v>Maria Paulina Pérez</v>
      </c>
      <c r="H382" s="18">
        <f>IFERROR(__xludf.DUMMYFUNCTION("""COMPUTED_VALUE"""),9114.0)</f>
        <v>9114</v>
      </c>
      <c r="I382" s="18">
        <f>IFERROR(__xludf.DUMMYFUNCTION("""COMPUTED_VALUE"""),29.0)</f>
        <v>29</v>
      </c>
      <c r="J382" s="18">
        <f>IFERROR(__xludf.DUMMYFUNCTION("""COMPUTED_VALUE"""),45.0)</f>
        <v>45</v>
      </c>
      <c r="K382" s="18">
        <f>IFERROR(__xludf.DUMMYFUNCTION("""COMPUTED_VALUE"""),55.0)</f>
        <v>55</v>
      </c>
      <c r="L382" s="17">
        <f>IFERROR(__xludf.DUMMYFUNCTION("""COMPUTED_VALUE"""),3.182186058E9)</f>
        <v>3182186058</v>
      </c>
      <c r="M382" s="17" t="str">
        <f>IFERROR(__xludf.DUMMYFUNCTION("""COMPUTED_VALUE"""),"#REF!")</f>
        <v>#REF!</v>
      </c>
      <c r="N382" s="17"/>
      <c r="O382" s="19" t="str">
        <f>IFERROR(__xludf.DUMMYFUNCTION("""COMPUTED_VALUE"""),"")</f>
        <v/>
      </c>
      <c r="P382" s="17" t="b">
        <f>IFERROR(__xludf.DUMMYFUNCTION("""COMPUTED_VALUE"""),FALSE)</f>
        <v>0</v>
      </c>
      <c r="Q382" s="20" t="str">
        <f>IFERROR(__xludf.DUMMYFUNCTION("""COMPUTED_VALUE"""),"")</f>
        <v/>
      </c>
      <c r="R382" s="22" t="str">
        <f>IFERROR(__xludf.DUMMYFUNCTION("""COMPUTED_VALUE"""),"")</f>
        <v/>
      </c>
    </row>
    <row r="383">
      <c r="A383" s="15">
        <f>IFERROR(__xludf.DUMMYFUNCTION("""COMPUTED_VALUE"""),45008.0)</f>
        <v>45008</v>
      </c>
      <c r="B383" s="16" t="str">
        <f>IFERROR(__xludf.DUMMYFUNCTION("""COMPUTED_VALUE"""),"Envia")</f>
        <v>Envia</v>
      </c>
      <c r="C383" s="15" t="str">
        <f>IFERROR(__xludf.DUMMYFUNCTION("""COMPUTED_VALUE"""),"MONTERIA")</f>
        <v>MONTERIA</v>
      </c>
      <c r="D383" s="15" t="str">
        <f>IFERROR(__xludf.DUMMYFUNCTION("""COMPUTED_VALUE"""),"BOGOTÁ")</f>
        <v>BOGOTÁ</v>
      </c>
      <c r="E383" s="15" t="str">
        <f>IFERROR(__xludf.DUMMYFUNCTION("""COMPUTED_VALUE"""),"Top Spun")</f>
        <v>Top Spun</v>
      </c>
      <c r="F383" s="17" t="str">
        <f>IFERROR(__xludf.DUMMYFUNCTION("""COMPUTED_VALUE"""),"calle 50 # 14c-119 / Edificio Torres de Verona Apto 901 torre 2  / Monteverde")</f>
        <v>calle 50 # 14c-119 / Edificio Torres de Verona Apto 901 torre 2  / Monteverde</v>
      </c>
      <c r="G383" s="15" t="str">
        <f>IFERROR(__xludf.DUMMYFUNCTION("""COMPUTED_VALUE"""),"Yara Vargas Fontanilla")</f>
        <v>Yara Vargas Fontanilla</v>
      </c>
      <c r="H383" s="18">
        <f>IFERROR(__xludf.DUMMYFUNCTION("""COMPUTED_VALUE"""),8965.0)</f>
        <v>8965</v>
      </c>
      <c r="I383" s="18">
        <f>IFERROR(__xludf.DUMMYFUNCTION("""COMPUTED_VALUE"""),20.0)</f>
        <v>20</v>
      </c>
      <c r="J383" s="18">
        <f>IFERROR(__xludf.DUMMYFUNCTION("""COMPUTED_VALUE"""),10.0)</f>
        <v>10</v>
      </c>
      <c r="K383" s="18">
        <f>IFERROR(__xludf.DUMMYFUNCTION("""COMPUTED_VALUE"""),40.0)</f>
        <v>40</v>
      </c>
      <c r="L383" s="17">
        <f>IFERROR(__xludf.DUMMYFUNCTION("""COMPUTED_VALUE"""),3.175901032E9)</f>
        <v>3175901032</v>
      </c>
      <c r="M383" s="17" t="str">
        <f>IFERROR(__xludf.DUMMYFUNCTION("""COMPUTED_VALUE"""),"#REF!")</f>
        <v>#REF!</v>
      </c>
      <c r="N383" s="17"/>
      <c r="O383" s="19" t="str">
        <f>IFERROR(__xludf.DUMMYFUNCTION("""COMPUTED_VALUE"""),"")</f>
        <v/>
      </c>
      <c r="P383" s="17" t="b">
        <f>IFERROR(__xludf.DUMMYFUNCTION("""COMPUTED_VALUE"""),TRUE)</f>
        <v>1</v>
      </c>
      <c r="Q383" s="20">
        <f>IFERROR(__xludf.DUMMYFUNCTION("""COMPUTED_VALUE"""),45008.73460649306)</f>
        <v>45008.73461</v>
      </c>
      <c r="R383" s="22" t="str">
        <f>IFERROR(__xludf.DUMMYFUNCTION("""COMPUTED_VALUE"""),"")</f>
        <v/>
      </c>
    </row>
    <row r="384">
      <c r="A384" s="15" t="str">
        <f>IFERROR(__xludf.DUMMYFUNCTION("""COMPUTED_VALUE"""),"")</f>
        <v/>
      </c>
      <c r="B384" s="16" t="str">
        <f>IFERROR(__xludf.DUMMYFUNCTION("""COMPUTED_VALUE"""),"")</f>
        <v/>
      </c>
      <c r="C384" s="15" t="str">
        <f>IFERROR(__xludf.DUMMYFUNCTION("""COMPUTED_VALUE"""),"")</f>
        <v/>
      </c>
      <c r="D384" s="15" t="str">
        <f>IFERROR(__xludf.DUMMYFUNCTION("""COMPUTED_VALUE"""),"")</f>
        <v/>
      </c>
      <c r="E384" s="15" t="str">
        <f>IFERROR(__xludf.DUMMYFUNCTION("""COMPUTED_VALUE"""),"")</f>
        <v/>
      </c>
      <c r="F384" s="17" t="str">
        <f>IFERROR(__xludf.DUMMYFUNCTION("""COMPUTED_VALUE"""),"")</f>
        <v/>
      </c>
      <c r="G384" s="15" t="str">
        <f>IFERROR(__xludf.DUMMYFUNCTION("""COMPUTED_VALUE"""),"")</f>
        <v/>
      </c>
      <c r="H384" s="18" t="str">
        <f>IFERROR(__xludf.DUMMYFUNCTION("""COMPUTED_VALUE"""),"")</f>
        <v/>
      </c>
      <c r="I384" s="18" t="str">
        <f>IFERROR(__xludf.DUMMYFUNCTION("""COMPUTED_VALUE"""),"")</f>
        <v/>
      </c>
      <c r="J384" s="18" t="str">
        <f>IFERROR(__xludf.DUMMYFUNCTION("""COMPUTED_VALUE"""),"")</f>
        <v/>
      </c>
      <c r="K384" s="17" t="str">
        <f>IFERROR(__xludf.DUMMYFUNCTION("""COMPUTED_VALUE"""),"")</f>
        <v/>
      </c>
      <c r="L384" s="17" t="str">
        <f>IFERROR(__xludf.DUMMYFUNCTION("""COMPUTED_VALUE"""),"")</f>
        <v/>
      </c>
      <c r="M384" s="17" t="str">
        <f>IFERROR(__xludf.DUMMYFUNCTION("""COMPUTED_VALUE"""),"")</f>
        <v/>
      </c>
      <c r="N384" s="19" t="str">
        <f>IFERROR(__xludf.DUMMYFUNCTION("""COMPUTED_VALUE"""),"")</f>
        <v/>
      </c>
      <c r="O384" s="19" t="str">
        <f>IFERROR(__xludf.DUMMYFUNCTION("""COMPUTED_VALUE"""),"")</f>
        <v/>
      </c>
      <c r="P384" s="17" t="str">
        <f>IFERROR(__xludf.DUMMYFUNCTION("""COMPUTED_VALUE"""),"")</f>
        <v/>
      </c>
      <c r="Q384" s="20" t="str">
        <f>IFERROR(__xludf.DUMMYFUNCTION("""COMPUTED_VALUE"""),"")</f>
        <v/>
      </c>
      <c r="R384" s="22" t="str">
        <f>IFERROR(__xludf.DUMMYFUNCTION("""COMPUTED_VALUE"""),"")</f>
        <v/>
      </c>
    </row>
    <row r="385">
      <c r="A385" s="15">
        <f>IFERROR(__xludf.DUMMYFUNCTION("""COMPUTED_VALUE"""),45008.0)</f>
        <v>45008</v>
      </c>
      <c r="B385" s="16" t="str">
        <f>IFERROR(__xludf.DUMMYFUNCTION("""COMPUTED_VALUE"""),"Gustavo Medina Ibañez")</f>
        <v>Gustavo Medina Ibañez</v>
      </c>
      <c r="C385" s="15" t="str">
        <f>IFERROR(__xludf.DUMMYFUNCTION("""COMPUTED_VALUE"""),"YOPAL")</f>
        <v>YOPAL</v>
      </c>
      <c r="D385" s="15" t="str">
        <f>IFERROR(__xludf.DUMMYFUNCTION("""COMPUTED_VALUE"""),"BOGOTÁ")</f>
        <v>BOGOTÁ</v>
      </c>
      <c r="E385" s="15" t="str">
        <f>IFERROR(__xludf.DUMMYFUNCTION("""COMPUTED_VALUE"""),"Evamazzita")</f>
        <v>Evamazzita</v>
      </c>
      <c r="F385" s="17" t="str">
        <f>IFERROR(__xludf.DUMMYFUNCTION("""COMPUTED_VALUE"""),"carrera 24 # 8-72  / N/A / Centro")</f>
        <v>carrera 24 # 8-72  / N/A / Centro</v>
      </c>
      <c r="G385" s="15" t="str">
        <f>IFERROR(__xludf.DUMMYFUNCTION("""COMPUTED_VALUE"""),"SANDRA MARCELA SALAZAR OTALORA")</f>
        <v>SANDRA MARCELA SALAZAR OTALORA</v>
      </c>
      <c r="H385" s="18">
        <f>IFERROR(__xludf.DUMMYFUNCTION("""COMPUTED_VALUE"""),9094.0)</f>
        <v>9094</v>
      </c>
      <c r="I385" s="18">
        <f>IFERROR(__xludf.DUMMYFUNCTION("""COMPUTED_VALUE"""),10.0)</f>
        <v>10</v>
      </c>
      <c r="J385" s="18">
        <f>IFERROR(__xludf.DUMMYFUNCTION("""COMPUTED_VALUE"""),18.0)</f>
        <v>18</v>
      </c>
      <c r="K385" s="18">
        <f>IFERROR(__xludf.DUMMYFUNCTION("""COMPUTED_VALUE"""),22.0)</f>
        <v>22</v>
      </c>
      <c r="L385" s="17">
        <f>IFERROR(__xludf.DUMMYFUNCTION("""COMPUTED_VALUE"""),3.052446646E9)</f>
        <v>3052446646</v>
      </c>
      <c r="M385" s="17" t="str">
        <f>IFERROR(__xludf.DUMMYFUNCTION("""COMPUTED_VALUE"""),"#REF!")</f>
        <v>#REF!</v>
      </c>
      <c r="N385" s="17"/>
      <c r="O385" s="19" t="str">
        <f>IFERROR(__xludf.DUMMYFUNCTION("""COMPUTED_VALUE"""),"")</f>
        <v/>
      </c>
      <c r="P385" s="17" t="b">
        <f>IFERROR(__xludf.DUMMYFUNCTION("""COMPUTED_VALUE"""),TRUE)</f>
        <v>1</v>
      </c>
      <c r="Q385" s="20">
        <f>IFERROR(__xludf.DUMMYFUNCTION("""COMPUTED_VALUE"""),45008.49463583333)</f>
        <v>45008.49464</v>
      </c>
      <c r="R385" s="22" t="str">
        <f>IFERROR(__xludf.DUMMYFUNCTION("""COMPUTED_VALUE"""),"")</f>
        <v/>
      </c>
    </row>
    <row r="386">
      <c r="A386" s="15">
        <f>IFERROR(__xludf.DUMMYFUNCTION("""COMPUTED_VALUE"""),45008.0)</f>
        <v>45008</v>
      </c>
      <c r="B386" s="16" t="str">
        <f>IFERROR(__xludf.DUMMYFUNCTION("""COMPUTED_VALUE"""),"Gustavo Medina Ibañez")</f>
        <v>Gustavo Medina Ibañez</v>
      </c>
      <c r="C386" s="15" t="str">
        <f>IFERROR(__xludf.DUMMYFUNCTION("""COMPUTED_VALUE"""),"YOPAL")</f>
        <v>YOPAL</v>
      </c>
      <c r="D386" s="15" t="str">
        <f>IFERROR(__xludf.DUMMYFUNCTION("""COMPUTED_VALUE"""),"BOGOTÁ")</f>
        <v>BOGOTÁ</v>
      </c>
      <c r="E386" s="15" t="str">
        <f>IFERROR(__xludf.DUMMYFUNCTION("""COMPUTED_VALUE"""),"Evamazzita")</f>
        <v>Evamazzita</v>
      </c>
      <c r="F386" s="17" t="str">
        <f>IFERROR(__xludf.DUMMYFUNCTION("""COMPUTED_VALUE"""),"conjunto caminos de sirivana /  torre B apto 501  / conjunto caminos de sirivana")</f>
        <v>conjunto caminos de sirivana /  torre B apto 501  / conjunto caminos de sirivana</v>
      </c>
      <c r="G386" s="15" t="str">
        <f>IFERROR(__xludf.DUMMYFUNCTION("""COMPUTED_VALUE"""),"LAURA NIÑO")</f>
        <v>LAURA NIÑO</v>
      </c>
      <c r="H386" s="18">
        <f>IFERROR(__xludf.DUMMYFUNCTION("""COMPUTED_VALUE"""),9095.0)</f>
        <v>9095</v>
      </c>
      <c r="I386" s="18">
        <f>IFERROR(__xludf.DUMMYFUNCTION("""COMPUTED_VALUE"""),10.0)</f>
        <v>10</v>
      </c>
      <c r="J386" s="18">
        <f>IFERROR(__xludf.DUMMYFUNCTION("""COMPUTED_VALUE"""),18.0)</f>
        <v>18</v>
      </c>
      <c r="K386" s="18">
        <f>IFERROR(__xludf.DUMMYFUNCTION("""COMPUTED_VALUE"""),22.0)</f>
        <v>22</v>
      </c>
      <c r="L386" s="17">
        <f>IFERROR(__xludf.DUMMYFUNCTION("""COMPUTED_VALUE"""),3.213237349E9)</f>
        <v>3213237349</v>
      </c>
      <c r="M386" s="17" t="str">
        <f>IFERROR(__xludf.DUMMYFUNCTION("""COMPUTED_VALUE"""),"#REF!")</f>
        <v>#REF!</v>
      </c>
      <c r="N386" s="17"/>
      <c r="O386" s="19" t="str">
        <f>IFERROR(__xludf.DUMMYFUNCTION("""COMPUTED_VALUE"""),"")</f>
        <v/>
      </c>
      <c r="P386" s="17" t="b">
        <f>IFERROR(__xludf.DUMMYFUNCTION("""COMPUTED_VALUE"""),TRUE)</f>
        <v>1</v>
      </c>
      <c r="Q386" s="20">
        <f>IFERROR(__xludf.DUMMYFUNCTION("""COMPUTED_VALUE"""),45008.69199583333)</f>
        <v>45008.692</v>
      </c>
      <c r="R386" s="22" t="str">
        <f>IFERROR(__xludf.DUMMYFUNCTION("""COMPUTED_VALUE"""),"")</f>
        <v/>
      </c>
    </row>
    <row r="387">
      <c r="A387" s="15">
        <f>IFERROR(__xludf.DUMMYFUNCTION("""COMPUTED_VALUE"""),45008.0)</f>
        <v>45008</v>
      </c>
      <c r="B387" s="16" t="str">
        <f>IFERROR(__xludf.DUMMYFUNCTION("""COMPUTED_VALUE"""),"Gustavo Medina Ibañez")</f>
        <v>Gustavo Medina Ibañez</v>
      </c>
      <c r="C387" s="15" t="str">
        <f>IFERROR(__xludf.DUMMYFUNCTION("""COMPUTED_VALUE"""),"YOPAL")</f>
        <v>YOPAL</v>
      </c>
      <c r="D387" s="15" t="str">
        <f>IFERROR(__xludf.DUMMYFUNCTION("""COMPUTED_VALUE"""),"BOGOTÁ")</f>
        <v>BOGOTÁ</v>
      </c>
      <c r="E387" s="15" t="str">
        <f>IFERROR(__xludf.DUMMYFUNCTION("""COMPUTED_VALUE"""),"Evamazzita")</f>
        <v>Evamazzita</v>
      </c>
      <c r="F387" s="17" t="str">
        <f>IFERROR(__xludf.DUMMYFUNCTION("""COMPUTED_VALUE"""),"CRA 20 No. 15 - 31  / LOCAL COCHINITOS DEL LLANO  / BARRIO BELLO HORIZONTE")</f>
        <v>CRA 20 No. 15 - 31  / LOCAL COCHINITOS DEL LLANO  / BARRIO BELLO HORIZONTE</v>
      </c>
      <c r="G387" s="15" t="str">
        <f>IFERROR(__xludf.DUMMYFUNCTION("""COMPUTED_VALUE"""),"ANA YORNELLY MATEUS CUBIDES")</f>
        <v>ANA YORNELLY MATEUS CUBIDES</v>
      </c>
      <c r="H387" s="18">
        <f>IFERROR(__xludf.DUMMYFUNCTION("""COMPUTED_VALUE"""),9096.0)</f>
        <v>9096</v>
      </c>
      <c r="I387" s="18">
        <f>IFERROR(__xludf.DUMMYFUNCTION("""COMPUTED_VALUE"""),10.0)</f>
        <v>10</v>
      </c>
      <c r="J387" s="18">
        <f>IFERROR(__xludf.DUMMYFUNCTION("""COMPUTED_VALUE"""),22.0)</f>
        <v>22</v>
      </c>
      <c r="K387" s="18">
        <f>IFERROR(__xludf.DUMMYFUNCTION("""COMPUTED_VALUE"""),18.0)</f>
        <v>18</v>
      </c>
      <c r="L387" s="17">
        <f>IFERROR(__xludf.DUMMYFUNCTION("""COMPUTED_VALUE"""),3.138698155E9)</f>
        <v>3138698155</v>
      </c>
      <c r="M387" s="17" t="str">
        <f>IFERROR(__xludf.DUMMYFUNCTION("""COMPUTED_VALUE"""),"#REF!")</f>
        <v>#REF!</v>
      </c>
      <c r="N387" s="17"/>
      <c r="O387" s="19" t="str">
        <f>IFERROR(__xludf.DUMMYFUNCTION("""COMPUTED_VALUE"""),"")</f>
        <v/>
      </c>
      <c r="P387" s="17" t="b">
        <f>IFERROR(__xludf.DUMMYFUNCTION("""COMPUTED_VALUE"""),TRUE)</f>
        <v>1</v>
      </c>
      <c r="Q387" s="20">
        <f>IFERROR(__xludf.DUMMYFUNCTION("""COMPUTED_VALUE"""),45008.47454814815)</f>
        <v>45008.47455</v>
      </c>
      <c r="R387" s="22" t="str">
        <f>IFERROR(__xludf.DUMMYFUNCTION("""COMPUTED_VALUE"""),"")</f>
        <v/>
      </c>
    </row>
    <row r="388">
      <c r="A388" s="15">
        <f>IFERROR(__xludf.DUMMYFUNCTION("""COMPUTED_VALUE"""),45008.0)</f>
        <v>45008</v>
      </c>
      <c r="B388" s="16" t="str">
        <f>IFERROR(__xludf.DUMMYFUNCTION("""COMPUTED_VALUE"""),"Gustavo Medina Ibañez")</f>
        <v>Gustavo Medina Ibañez</v>
      </c>
      <c r="C388" s="15" t="str">
        <f>IFERROR(__xludf.DUMMYFUNCTION("""COMPUTED_VALUE"""),"YOPAL")</f>
        <v>YOPAL</v>
      </c>
      <c r="D388" s="15" t="str">
        <f>IFERROR(__xludf.DUMMYFUNCTION("""COMPUTED_VALUE"""),"BOGOTÁ")</f>
        <v>BOGOTÁ</v>
      </c>
      <c r="E388" s="15" t="str">
        <f>IFERROR(__xludf.DUMMYFUNCTION("""COMPUTED_VALUE"""),"Evamazzita")</f>
        <v>Evamazzita</v>
      </c>
      <c r="F388" s="17" t="str">
        <f>IFERROR(__xludf.DUMMYFUNCTION("""COMPUTED_VALUE"""),"RECIBE SOL GARCÍA Calle 24#30-149  / Ciudadela comfaboy Bloque 5 apto 203 / RECIBE SOL GARCÍA")</f>
        <v>RECIBE SOL GARCÍA Calle 24#30-149  / Ciudadela comfaboy Bloque 5 apto 203 / RECIBE SOL GARCÍA</v>
      </c>
      <c r="G388" s="15" t="str">
        <f>IFERROR(__xludf.DUMMYFUNCTION("""COMPUTED_VALUE"""),"YINETH IZQUIERDO")</f>
        <v>YINETH IZQUIERDO</v>
      </c>
      <c r="H388" s="18">
        <f>IFERROR(__xludf.DUMMYFUNCTION("""COMPUTED_VALUE"""),9097.0)</f>
        <v>9097</v>
      </c>
      <c r="I388" s="18">
        <f>IFERROR(__xludf.DUMMYFUNCTION("""COMPUTED_VALUE"""),10.0)</f>
        <v>10</v>
      </c>
      <c r="J388" s="18">
        <f>IFERROR(__xludf.DUMMYFUNCTION("""COMPUTED_VALUE"""),18.0)</f>
        <v>18</v>
      </c>
      <c r="K388" s="18">
        <f>IFERROR(__xludf.DUMMYFUNCTION("""COMPUTED_VALUE"""),22.0)</f>
        <v>22</v>
      </c>
      <c r="L388" s="17">
        <f>IFERROR(__xludf.DUMMYFUNCTION("""COMPUTED_VALUE"""),3.124537394E9)</f>
        <v>3124537394</v>
      </c>
      <c r="M388" s="17" t="str">
        <f>IFERROR(__xludf.DUMMYFUNCTION("""COMPUTED_VALUE"""),"#REF!")</f>
        <v>#REF!</v>
      </c>
      <c r="N388" s="17"/>
      <c r="O388" s="19" t="str">
        <f>IFERROR(__xludf.DUMMYFUNCTION("""COMPUTED_VALUE"""),"")</f>
        <v/>
      </c>
      <c r="P388" s="17" t="b">
        <f>IFERROR(__xludf.DUMMYFUNCTION("""COMPUTED_VALUE"""),TRUE)</f>
        <v>1</v>
      </c>
      <c r="Q388" s="20">
        <f>IFERROR(__xludf.DUMMYFUNCTION("""COMPUTED_VALUE"""),45008.533450312505)</f>
        <v>45008.53345</v>
      </c>
      <c r="R388" s="22" t="str">
        <f>IFERROR(__xludf.DUMMYFUNCTION("""COMPUTED_VALUE"""),"")</f>
        <v/>
      </c>
    </row>
    <row r="389">
      <c r="A389" s="15">
        <f>IFERROR(__xludf.DUMMYFUNCTION("""COMPUTED_VALUE"""),45008.0)</f>
        <v>45008</v>
      </c>
      <c r="B389" s="16" t="str">
        <f>IFERROR(__xludf.DUMMYFUNCTION("""COMPUTED_VALUE"""),"Gustavo Medina Ibañez")</f>
        <v>Gustavo Medina Ibañez</v>
      </c>
      <c r="C389" s="15" t="str">
        <f>IFERROR(__xludf.DUMMYFUNCTION("""COMPUTED_VALUE"""),"YOPAL")</f>
        <v>YOPAL</v>
      </c>
      <c r="D389" s="15" t="str">
        <f>IFERROR(__xludf.DUMMYFUNCTION("""COMPUTED_VALUE"""),"BOGOTÁ")</f>
        <v>BOGOTÁ</v>
      </c>
      <c r="E389" s="15" t="str">
        <f>IFERROR(__xludf.DUMMYFUNCTION("""COMPUTED_VALUE"""),"Lunchy Kids")</f>
        <v>Lunchy Kids</v>
      </c>
      <c r="F389" s="17" t="str">
        <f>IFERROR(__xludf.DUMMYFUNCTION("""COMPUTED_VALUE"""),"Calle 24 # 16-18  / Almacén Cauchos y Mangueras del Casanare / Barrio Villa del Prado")</f>
        <v>Calle 24 # 16-18  / Almacén Cauchos y Mangueras del Casanare / Barrio Villa del Prado</v>
      </c>
      <c r="G389" s="15" t="str">
        <f>IFERROR(__xludf.DUMMYFUNCTION("""COMPUTED_VALUE"""),"Catalina Garzón")</f>
        <v>Catalina Garzón</v>
      </c>
      <c r="H389" s="18">
        <f>IFERROR(__xludf.DUMMYFUNCTION("""COMPUTED_VALUE"""),8995.0)</f>
        <v>8995</v>
      </c>
      <c r="I389" s="18">
        <f>IFERROR(__xludf.DUMMYFUNCTION("""COMPUTED_VALUE"""),14.0)</f>
        <v>14</v>
      </c>
      <c r="J389" s="18">
        <f>IFERROR(__xludf.DUMMYFUNCTION("""COMPUTED_VALUE"""),37.0)</f>
        <v>37</v>
      </c>
      <c r="K389" s="18">
        <f>IFERROR(__xludf.DUMMYFUNCTION("""COMPUTED_VALUE"""),22.0)</f>
        <v>22</v>
      </c>
      <c r="L389" s="17">
        <f>IFERROR(__xludf.DUMMYFUNCTION("""COMPUTED_VALUE"""),3.208119462E9)</f>
        <v>3208119462</v>
      </c>
      <c r="M389" s="17" t="str">
        <f>IFERROR(__xludf.DUMMYFUNCTION("""COMPUTED_VALUE"""),"#REF!")</f>
        <v>#REF!</v>
      </c>
      <c r="N389" s="17"/>
      <c r="O389" s="19" t="str">
        <f>IFERROR(__xludf.DUMMYFUNCTION("""COMPUTED_VALUE"""),"")</f>
        <v/>
      </c>
      <c r="P389" s="17" t="b">
        <f>IFERROR(__xludf.DUMMYFUNCTION("""COMPUTED_VALUE"""),TRUE)</f>
        <v>1</v>
      </c>
      <c r="Q389" s="20">
        <f>IFERROR(__xludf.DUMMYFUNCTION("""COMPUTED_VALUE"""),45008.69199583333)</f>
        <v>45008.692</v>
      </c>
      <c r="R389" s="22" t="str">
        <f>IFERROR(__xludf.DUMMYFUNCTION("""COMPUTED_VALUE"""),"")</f>
        <v/>
      </c>
    </row>
    <row r="390">
      <c r="A390" s="15" t="str">
        <f>IFERROR(__xludf.DUMMYFUNCTION("""COMPUTED_VALUE"""),"")</f>
        <v/>
      </c>
      <c r="B390" s="16" t="str">
        <f>IFERROR(__xludf.DUMMYFUNCTION("""COMPUTED_VALUE"""),"")</f>
        <v/>
      </c>
      <c r="C390" s="15" t="str">
        <f>IFERROR(__xludf.DUMMYFUNCTION("""COMPUTED_VALUE"""),"")</f>
        <v/>
      </c>
      <c r="D390" s="15" t="str">
        <f>IFERROR(__xludf.DUMMYFUNCTION("""COMPUTED_VALUE"""),"")</f>
        <v/>
      </c>
      <c r="E390" s="15" t="str">
        <f>IFERROR(__xludf.DUMMYFUNCTION("""COMPUTED_VALUE"""),"")</f>
        <v/>
      </c>
      <c r="F390" s="17" t="str">
        <f>IFERROR(__xludf.DUMMYFUNCTION("""COMPUTED_VALUE"""),"")</f>
        <v/>
      </c>
      <c r="G390" s="15" t="str">
        <f>IFERROR(__xludf.DUMMYFUNCTION("""COMPUTED_VALUE"""),"")</f>
        <v/>
      </c>
      <c r="H390" s="18" t="str">
        <f>IFERROR(__xludf.DUMMYFUNCTION("""COMPUTED_VALUE"""),"")</f>
        <v/>
      </c>
      <c r="I390" s="18" t="str">
        <f>IFERROR(__xludf.DUMMYFUNCTION("""COMPUTED_VALUE"""),"")</f>
        <v/>
      </c>
      <c r="J390" s="18" t="str">
        <f>IFERROR(__xludf.DUMMYFUNCTION("""COMPUTED_VALUE"""),"")</f>
        <v/>
      </c>
      <c r="K390" s="17" t="str">
        <f>IFERROR(__xludf.DUMMYFUNCTION("""COMPUTED_VALUE"""),"")</f>
        <v/>
      </c>
      <c r="L390" s="17" t="str">
        <f>IFERROR(__xludf.DUMMYFUNCTION("""COMPUTED_VALUE"""),"")</f>
        <v/>
      </c>
      <c r="M390" s="17" t="str">
        <f>IFERROR(__xludf.DUMMYFUNCTION("""COMPUTED_VALUE"""),"")</f>
        <v/>
      </c>
      <c r="N390" s="19" t="str">
        <f>IFERROR(__xludf.DUMMYFUNCTION("""COMPUTED_VALUE"""),"")</f>
        <v/>
      </c>
      <c r="O390" s="19" t="str">
        <f>IFERROR(__xludf.DUMMYFUNCTION("""COMPUTED_VALUE"""),"")</f>
        <v/>
      </c>
      <c r="P390" s="17" t="str">
        <f>IFERROR(__xludf.DUMMYFUNCTION("""COMPUTED_VALUE"""),"")</f>
        <v/>
      </c>
      <c r="Q390" s="20" t="str">
        <f>IFERROR(__xludf.DUMMYFUNCTION("""COMPUTED_VALUE"""),"")</f>
        <v/>
      </c>
      <c r="R390" s="22" t="str">
        <f>IFERROR(__xludf.DUMMYFUNCTION("""COMPUTED_VALUE"""),"")</f>
        <v/>
      </c>
    </row>
    <row r="391">
      <c r="A391" s="15">
        <f>IFERROR(__xludf.DUMMYFUNCTION("""COMPUTED_VALUE"""),45008.0)</f>
        <v>45008</v>
      </c>
      <c r="B391" s="16" t="str">
        <f>IFERROR(__xludf.DUMMYFUNCTION("""COMPUTED_VALUE"""),"Jeison Rubiano")</f>
        <v>Jeison Rubiano</v>
      </c>
      <c r="C391" s="15" t="str">
        <f>IFERROR(__xludf.DUMMYFUNCTION("""COMPUTED_VALUE"""),"BOGOTÁ")</f>
        <v>BOGOTÁ</v>
      </c>
      <c r="D391" s="15" t="str">
        <f>IFERROR(__xludf.DUMMYFUNCTION("""COMPUTED_VALUE"""),"MEDELLÍN")</f>
        <v>MEDELLÍN</v>
      </c>
      <c r="E391" s="15" t="str">
        <f>IFERROR(__xludf.DUMMYFUNCTION("""COMPUTED_VALUE"""),"Baby Chef")</f>
        <v>Baby Chef</v>
      </c>
      <c r="F391" s="17" t="str">
        <f>IFERROR(__xludf.DUMMYFUNCTION("""COMPUTED_VALUE"""),"Calle 152 # 56-72 Int 2 apto 202 Bogota   / Calle 152 # 56-72 Int 2 apto 202 Bogota  Bogotá / interior 2 apto 202, conjunto Mazuren 20")</f>
        <v>Calle 152 # 56-72 Int 2 apto 202 Bogota   / Calle 152 # 56-72 Int 2 apto 202 Bogota  Bogotá / interior 2 apto 202, conjunto Mazuren 20</v>
      </c>
      <c r="G391" s="15" t="str">
        <f>IFERROR(__xludf.DUMMYFUNCTION("""COMPUTED_VALUE"""),"Maria Cristina  Bermudez Buelvas")</f>
        <v>Maria Cristina  Bermudez Buelvas</v>
      </c>
      <c r="H391" s="18">
        <f>IFERROR(__xludf.DUMMYFUNCTION("""COMPUTED_VALUE"""),9074.0)</f>
        <v>9074</v>
      </c>
      <c r="I391" s="18">
        <f>IFERROR(__xludf.DUMMYFUNCTION("""COMPUTED_VALUE"""),8.0)</f>
        <v>8</v>
      </c>
      <c r="J391" s="18">
        <f>IFERROR(__xludf.DUMMYFUNCTION("""COMPUTED_VALUE"""),16.0)</f>
        <v>16</v>
      </c>
      <c r="K391" s="18">
        <f>IFERROR(__xludf.DUMMYFUNCTION("""COMPUTED_VALUE"""),20.0)</f>
        <v>20</v>
      </c>
      <c r="L391" s="17">
        <f>IFERROR(__xludf.DUMMYFUNCTION("""COMPUTED_VALUE"""),3.1646822E9)</f>
        <v>3164682200</v>
      </c>
      <c r="M391" s="17" t="str">
        <f>IFERROR(__xludf.DUMMYFUNCTION("""COMPUTED_VALUE"""),"#REF!")</f>
        <v>#REF!</v>
      </c>
      <c r="N391" s="17"/>
      <c r="O391" s="19" t="str">
        <f>IFERROR(__xludf.DUMMYFUNCTION("""COMPUTED_VALUE"""),"")</f>
        <v/>
      </c>
      <c r="P391" s="17" t="b">
        <f>IFERROR(__xludf.DUMMYFUNCTION("""COMPUTED_VALUE"""),FALSE)</f>
        <v>0</v>
      </c>
      <c r="Q391" s="20" t="str">
        <f>IFERROR(__xludf.DUMMYFUNCTION("""COMPUTED_VALUE"""),"")</f>
        <v/>
      </c>
      <c r="R391" s="21" t="str">
        <f>IFERROR(__xludf.DUMMYFUNCTION("""COMPUTED_VALUE"""),"https://drive.google.com/file/d/1n_30ZHgnOVyVpwslyruu7liiKgpbtbyZ/view?usp=drivesdk")</f>
        <v>https://drive.google.com/file/d/1n_30ZHgnOVyVpwslyruu7liiKgpbtbyZ/view?usp=drivesdk</v>
      </c>
    </row>
    <row r="392">
      <c r="A392" s="15">
        <f>IFERROR(__xludf.DUMMYFUNCTION("""COMPUTED_VALUE"""),45008.0)</f>
        <v>45008</v>
      </c>
      <c r="B392" s="16" t="str">
        <f>IFERROR(__xludf.DUMMYFUNCTION("""COMPUTED_VALUE"""),"Jeison Rubiano")</f>
        <v>Jeison Rubiano</v>
      </c>
      <c r="C392" s="15" t="str">
        <f>IFERROR(__xludf.DUMMYFUNCTION("""COMPUTED_VALUE"""),"BOGOTÁ")</f>
        <v>BOGOTÁ</v>
      </c>
      <c r="D392" s="15" t="str">
        <f>IFERROR(__xludf.DUMMYFUNCTION("""COMPUTED_VALUE"""),"MEDELLÍN")</f>
        <v>MEDELLÍN</v>
      </c>
      <c r="E392" s="15" t="str">
        <f>IFERROR(__xludf.DUMMYFUNCTION("""COMPUTED_VALUE"""),"Baby Chef")</f>
        <v>Baby Chef</v>
      </c>
      <c r="F392" s="17" t="str">
        <f>IFERROR(__xludf.DUMMYFUNCTION("""COMPUTED_VALUE"""),"Calle 170 # 69-47 apto 1703 torre 1 / Conjunto residencial baviera / Al lado de jumbo 170 - Por la Boyaca")</f>
        <v>Calle 170 # 69-47 apto 1703 torre 1 / Conjunto residencial baviera / Al lado de jumbo 170 - Por la Boyaca</v>
      </c>
      <c r="G392" s="15" t="str">
        <f>IFERROR(__xludf.DUMMYFUNCTION("""COMPUTED_VALUE"""),"LINDA  ROA")</f>
        <v>LINDA  ROA</v>
      </c>
      <c r="H392" s="18">
        <f>IFERROR(__xludf.DUMMYFUNCTION("""COMPUTED_VALUE"""),9072.0)</f>
        <v>9072</v>
      </c>
      <c r="I392" s="18">
        <f>IFERROR(__xludf.DUMMYFUNCTION("""COMPUTED_VALUE"""),10.0)</f>
        <v>10</v>
      </c>
      <c r="J392" s="18">
        <f>IFERROR(__xludf.DUMMYFUNCTION("""COMPUTED_VALUE"""),25.0)</f>
        <v>25</v>
      </c>
      <c r="K392" s="18">
        <f>IFERROR(__xludf.DUMMYFUNCTION("""COMPUTED_VALUE"""),25.0)</f>
        <v>25</v>
      </c>
      <c r="L392" s="17">
        <f>IFERROR(__xludf.DUMMYFUNCTION("""COMPUTED_VALUE"""),3.156169525E9)</f>
        <v>3156169525</v>
      </c>
      <c r="M392" s="17" t="str">
        <f>IFERROR(__xludf.DUMMYFUNCTION("""COMPUTED_VALUE"""),"#REF!")</f>
        <v>#REF!</v>
      </c>
      <c r="N392" s="17"/>
      <c r="O392" s="19" t="str">
        <f>IFERROR(__xludf.DUMMYFUNCTION("""COMPUTED_VALUE"""),"")</f>
        <v/>
      </c>
      <c r="P392" s="17" t="b">
        <f>IFERROR(__xludf.DUMMYFUNCTION("""COMPUTED_VALUE"""),FALSE)</f>
        <v>0</v>
      </c>
      <c r="Q392" s="20" t="str">
        <f>IFERROR(__xludf.DUMMYFUNCTION("""COMPUTED_VALUE"""),"")</f>
        <v/>
      </c>
      <c r="R392" s="21" t="str">
        <f>IFERROR(__xludf.DUMMYFUNCTION("""COMPUTED_VALUE"""),"https://drive.google.com/file/d/1CEyxkrVrBbWbF8jwHXB9F4JW_pIV_w28/view?usp=drivesdk")</f>
        <v>https://drive.google.com/file/d/1CEyxkrVrBbWbF8jwHXB9F4JW_pIV_w28/view?usp=drivesdk</v>
      </c>
    </row>
    <row r="393">
      <c r="A393" s="15">
        <f>IFERROR(__xludf.DUMMYFUNCTION("""COMPUTED_VALUE"""),45008.0)</f>
        <v>45008</v>
      </c>
      <c r="B393" s="16" t="str">
        <f>IFERROR(__xludf.DUMMYFUNCTION("""COMPUTED_VALUE"""),"Jeison Rubiano")</f>
        <v>Jeison Rubiano</v>
      </c>
      <c r="C393" s="15" t="str">
        <f>IFERROR(__xludf.DUMMYFUNCTION("""COMPUTED_VALUE"""),"BOGOTÁ")</f>
        <v>BOGOTÁ</v>
      </c>
      <c r="D393" s="15" t="str">
        <f>IFERROR(__xludf.DUMMYFUNCTION("""COMPUTED_VALUE"""),"MEDELLÍN")</f>
        <v>MEDELLÍN</v>
      </c>
      <c r="E393" s="15" t="str">
        <f>IFERROR(__xludf.DUMMYFUNCTION("""COMPUTED_VALUE"""),"Baby Chef")</f>
        <v>Baby Chef</v>
      </c>
      <c r="F393" s="17" t="str">
        <f>IFERROR(__xludf.DUMMYFUNCTION("""COMPUTED_VALUE"""),"Carrera 112 abis # 71 c 18 Casa 181 etapa 3 57 Bogotá  / Carrera 112 abis # 71 c 18 Casa 181 etapa 3 57 Bogotá  / Carrera 112 abis # 71 c 18 Casa 181 etapa 3 57 Bogotá")</f>
        <v>Carrera 112 abis # 71 c 18 Casa 181 etapa 3 57 Bogotá  / Carrera 112 abis # 71 c 18 Casa 181 etapa 3 57 Bogotá  / Carrera 112 abis # 71 c 18 Casa 181 etapa 3 57 Bogotá</v>
      </c>
      <c r="G393" s="15" t="str">
        <f>IFERROR(__xludf.DUMMYFUNCTION("""COMPUTED_VALUE"""),"Eliana  Quintero")</f>
        <v>Eliana  Quintero</v>
      </c>
      <c r="H393" s="18">
        <f>IFERROR(__xludf.DUMMYFUNCTION("""COMPUTED_VALUE"""),9073.0)</f>
        <v>9073</v>
      </c>
      <c r="I393" s="18">
        <f>IFERROR(__xludf.DUMMYFUNCTION("""COMPUTED_VALUE"""),8.0)</f>
        <v>8</v>
      </c>
      <c r="J393" s="18">
        <f>IFERROR(__xludf.DUMMYFUNCTION("""COMPUTED_VALUE"""),16.0)</f>
        <v>16</v>
      </c>
      <c r="K393" s="18">
        <f>IFERROR(__xludf.DUMMYFUNCTION("""COMPUTED_VALUE"""),20.0)</f>
        <v>20</v>
      </c>
      <c r="L393" s="17">
        <f>IFERROR(__xludf.DUMMYFUNCTION("""COMPUTED_VALUE"""),3.115470995E9)</f>
        <v>3115470995</v>
      </c>
      <c r="M393" s="17" t="str">
        <f>IFERROR(__xludf.DUMMYFUNCTION("""COMPUTED_VALUE"""),"#REF!")</f>
        <v>#REF!</v>
      </c>
      <c r="N393" s="17"/>
      <c r="O393" s="19" t="str">
        <f>IFERROR(__xludf.DUMMYFUNCTION("""COMPUTED_VALUE"""),"")</f>
        <v/>
      </c>
      <c r="P393" s="17" t="b">
        <f>IFERROR(__xludf.DUMMYFUNCTION("""COMPUTED_VALUE"""),FALSE)</f>
        <v>0</v>
      </c>
      <c r="Q393" s="20" t="str">
        <f>IFERROR(__xludf.DUMMYFUNCTION("""COMPUTED_VALUE"""),"")</f>
        <v/>
      </c>
      <c r="R393" s="21" t="str">
        <f>IFERROR(__xludf.DUMMYFUNCTION("""COMPUTED_VALUE"""),"https://drive.google.com/file/d/1K-wSEKnKpqvrUsG3IrAnUwussVRjhGpQ/view?usp=drivesdk")</f>
        <v>https://drive.google.com/file/d/1K-wSEKnKpqvrUsG3IrAnUwussVRjhGpQ/view?usp=drivesdk</v>
      </c>
    </row>
    <row r="394">
      <c r="A394" s="15">
        <f>IFERROR(__xludf.DUMMYFUNCTION("""COMPUTED_VALUE"""),45008.0)</f>
        <v>45008</v>
      </c>
      <c r="B394" s="16" t="str">
        <f>IFERROR(__xludf.DUMMYFUNCTION("""COMPUTED_VALUE"""),"Jeison Rubiano")</f>
        <v>Jeison Rubiano</v>
      </c>
      <c r="C394" s="15" t="str">
        <f>IFERROR(__xludf.DUMMYFUNCTION("""COMPUTED_VALUE"""),"BOGOTÁ")</f>
        <v>BOGOTÁ</v>
      </c>
      <c r="D394" s="15" t="str">
        <f>IFERROR(__xludf.DUMMYFUNCTION("""COMPUTED_VALUE"""),"MEDELLÍN")</f>
        <v>MEDELLÍN</v>
      </c>
      <c r="E394" s="15" t="str">
        <f>IFERROR(__xludf.DUMMYFUNCTION("""COMPUTED_VALUE"""),"Baby Chef")</f>
        <v>Baby Chef</v>
      </c>
      <c r="F394" s="17" t="str">
        <f>IFERROR(__xludf.DUMMYFUNCTION("""COMPUTED_VALUE"""),"Cra 19A no 89-08 edificio Espacios 501 / Cra 19A no 89-08 edificio Espacios 501 / Cra 19A no 89-08 edificio Espacios 501")</f>
        <v>Cra 19A no 89-08 edificio Espacios 501 / Cra 19A no 89-08 edificio Espacios 501 / Cra 19A no 89-08 edificio Espacios 501</v>
      </c>
      <c r="G394" s="15" t="str">
        <f>IFERROR(__xludf.DUMMYFUNCTION("""COMPUTED_VALUE"""),"JUAN DAVID ECHEVERRI")</f>
        <v>JUAN DAVID ECHEVERRI</v>
      </c>
      <c r="H394" s="18">
        <f>IFERROR(__xludf.DUMMYFUNCTION("""COMPUTED_VALUE"""),9093.0)</f>
        <v>9093</v>
      </c>
      <c r="I394" s="18">
        <f>IFERROR(__xludf.DUMMYFUNCTION("""COMPUTED_VALUE"""),8.0)</f>
        <v>8</v>
      </c>
      <c r="J394" s="18">
        <f>IFERROR(__xludf.DUMMYFUNCTION("""COMPUTED_VALUE"""),16.0)</f>
        <v>16</v>
      </c>
      <c r="K394" s="18">
        <f>IFERROR(__xludf.DUMMYFUNCTION("""COMPUTED_VALUE"""),20.0)</f>
        <v>20</v>
      </c>
      <c r="L394" s="17">
        <f>IFERROR(__xludf.DUMMYFUNCTION("""COMPUTED_VALUE"""),3.104098182E9)</f>
        <v>3104098182</v>
      </c>
      <c r="M394" s="17" t="str">
        <f>IFERROR(__xludf.DUMMYFUNCTION("""COMPUTED_VALUE"""),"#REF!")</f>
        <v>#REF!</v>
      </c>
      <c r="N394" s="17"/>
      <c r="O394" s="19" t="str">
        <f>IFERROR(__xludf.DUMMYFUNCTION("""COMPUTED_VALUE"""),"")</f>
        <v/>
      </c>
      <c r="P394" s="17" t="b">
        <f>IFERROR(__xludf.DUMMYFUNCTION("""COMPUTED_VALUE"""),FALSE)</f>
        <v>0</v>
      </c>
      <c r="Q394" s="20" t="str">
        <f>IFERROR(__xludf.DUMMYFUNCTION("""COMPUTED_VALUE"""),"")</f>
        <v/>
      </c>
      <c r="R394" s="21" t="str">
        <f>IFERROR(__xludf.DUMMYFUNCTION("""COMPUTED_VALUE"""),"https://drive.google.com/file/d/1yf-ZZCYcEhXkb9x7Dyku4psqOnHGNpBT/view?usp=drivesdk")</f>
        <v>https://drive.google.com/file/d/1yf-ZZCYcEhXkb9x7Dyku4psqOnHGNpBT/view?usp=drivesdk</v>
      </c>
    </row>
    <row r="395">
      <c r="A395" s="15">
        <f>IFERROR(__xludf.DUMMYFUNCTION("""COMPUTED_VALUE"""),45008.0)</f>
        <v>45008</v>
      </c>
      <c r="B395" s="16" t="str">
        <f>IFERROR(__xludf.DUMMYFUNCTION("""COMPUTED_VALUE"""),"Jeison Rubiano")</f>
        <v>Jeison Rubiano</v>
      </c>
      <c r="C395" s="15" t="str">
        <f>IFERROR(__xludf.DUMMYFUNCTION("""COMPUTED_VALUE"""),"BOGOTÁ")</f>
        <v>BOGOTÁ</v>
      </c>
      <c r="D395" s="15" t="str">
        <f>IFERROR(__xludf.DUMMYFUNCTION("""COMPUTED_VALUE"""),"MEDELLÍN")</f>
        <v>MEDELLÍN</v>
      </c>
      <c r="E395" s="15" t="str">
        <f>IFERROR(__xludf.DUMMYFUNCTION("""COMPUTED_VALUE"""),"Baby Chef")</f>
        <v>Baby Chef</v>
      </c>
      <c r="F395" s="17" t="str">
        <f>IFERROR(__xludf.DUMMYFUNCTION("""COMPUTED_VALUE"""),"Torre 4 Calle 136 # 56a-18 casa 13 / Torre 4 Calle 136 # 56a-18 casa 13 / Torre 4 Calle 136 # 56a-18 casa 13")</f>
        <v>Torre 4 Calle 136 # 56a-18 casa 13 / Torre 4 Calle 136 # 56a-18 casa 13 / Torre 4 Calle 136 # 56a-18 casa 13</v>
      </c>
      <c r="G395" s="15" t="str">
        <f>IFERROR(__xludf.DUMMYFUNCTION("""COMPUTED_VALUE"""),"lissa Fajardo")</f>
        <v>lissa Fajardo</v>
      </c>
      <c r="H395" s="18">
        <f>IFERROR(__xludf.DUMMYFUNCTION("""COMPUTED_VALUE"""),9084.0)</f>
        <v>9084</v>
      </c>
      <c r="I395" s="18">
        <f>IFERROR(__xludf.DUMMYFUNCTION("""COMPUTED_VALUE"""),8.0)</f>
        <v>8</v>
      </c>
      <c r="J395" s="18">
        <f>IFERROR(__xludf.DUMMYFUNCTION("""COMPUTED_VALUE"""),16.0)</f>
        <v>16</v>
      </c>
      <c r="K395" s="18">
        <f>IFERROR(__xludf.DUMMYFUNCTION("""COMPUTED_VALUE"""),20.0)</f>
        <v>20</v>
      </c>
      <c r="L395" s="17">
        <f>IFERROR(__xludf.DUMMYFUNCTION("""COMPUTED_VALUE"""),3.105616953E9)</f>
        <v>3105616953</v>
      </c>
      <c r="M395" s="17" t="str">
        <f>IFERROR(__xludf.DUMMYFUNCTION("""COMPUTED_VALUE"""),"#REF!")</f>
        <v>#REF!</v>
      </c>
      <c r="N395" s="17"/>
      <c r="O395" s="19" t="str">
        <f>IFERROR(__xludf.DUMMYFUNCTION("""COMPUTED_VALUE"""),"")</f>
        <v/>
      </c>
      <c r="P395" s="17" t="b">
        <f>IFERROR(__xludf.DUMMYFUNCTION("""COMPUTED_VALUE"""),FALSE)</f>
        <v>0</v>
      </c>
      <c r="Q395" s="20" t="str">
        <f>IFERROR(__xludf.DUMMYFUNCTION("""COMPUTED_VALUE"""),"")</f>
        <v/>
      </c>
      <c r="R395" s="21" t="str">
        <f>IFERROR(__xludf.DUMMYFUNCTION("""COMPUTED_VALUE"""),"https://drive.google.com/file/d/1s62fNNXw62EULX8zMSywWhKuZyRA9d_z/view?usp=drivesdk")</f>
        <v>https://drive.google.com/file/d/1s62fNNXw62EULX8zMSywWhKuZyRA9d_z/view?usp=drivesdk</v>
      </c>
    </row>
    <row r="396">
      <c r="A396" s="15">
        <f>IFERROR(__xludf.DUMMYFUNCTION("""COMPUTED_VALUE"""),45008.0)</f>
        <v>45008</v>
      </c>
      <c r="B396" s="16" t="str">
        <f>IFERROR(__xludf.DUMMYFUNCTION("""COMPUTED_VALUE"""),"Jeison Rubiano")</f>
        <v>Jeison Rubiano</v>
      </c>
      <c r="C396" s="15" t="str">
        <f>IFERROR(__xludf.DUMMYFUNCTION("""COMPUTED_VALUE"""),"BOGOTÁ")</f>
        <v>BOGOTÁ</v>
      </c>
      <c r="D396" s="15" t="str">
        <f>IFERROR(__xludf.DUMMYFUNCTION("""COMPUTED_VALUE"""),"MEDELLÍN")</f>
        <v>MEDELLÍN</v>
      </c>
      <c r="E396" s="15" t="str">
        <f>IFERROR(__xludf.DUMMYFUNCTION("""COMPUTED_VALUE"""),"Moloso S.A.S")</f>
        <v>Moloso S.A.S</v>
      </c>
      <c r="F396" s="17" t="str">
        <f>IFERROR(__xludf.DUMMYFUNCTION("""COMPUTED_VALUE"""),"	 CRA 9 BIS 97 06 / APTO 604")</f>
        <v>	 CRA 9 BIS 97 06 / APTO 604</v>
      </c>
      <c r="G396" s="15" t="str">
        <f>IFERROR(__xludf.DUMMYFUNCTION("""COMPUTED_VALUE"""),"MARIA XIMENA GUZMAN DEL CASTILLO")</f>
        <v>MARIA XIMENA GUZMAN DEL CASTILLO</v>
      </c>
      <c r="H396" s="18">
        <f>IFERROR(__xludf.DUMMYFUNCTION("""COMPUTED_VALUE"""),9068.0)</f>
        <v>9068</v>
      </c>
      <c r="I396" s="18">
        <f>IFERROR(__xludf.DUMMYFUNCTION("""COMPUTED_VALUE"""),17.0)</f>
        <v>17</v>
      </c>
      <c r="J396" s="18">
        <f>IFERROR(__xludf.DUMMYFUNCTION("""COMPUTED_VALUE"""),15.0)</f>
        <v>15</v>
      </c>
      <c r="K396" s="18">
        <f>IFERROR(__xludf.DUMMYFUNCTION("""COMPUTED_VALUE"""),28.0)</f>
        <v>28</v>
      </c>
      <c r="L396" s="17" t="str">
        <f>IFERROR(__xludf.DUMMYFUNCTION("""COMPUTED_VALUE"""),"311 2848381")</f>
        <v>311 2848381</v>
      </c>
      <c r="M396" s="17" t="str">
        <f>IFERROR(__xludf.DUMMYFUNCTION("""COMPUTED_VALUE"""),"#REF!")</f>
        <v>#REF!</v>
      </c>
      <c r="N396" s="17"/>
      <c r="O396" s="19" t="str">
        <f>IFERROR(__xludf.DUMMYFUNCTION("""COMPUTED_VALUE"""),"")</f>
        <v/>
      </c>
      <c r="P396" s="17" t="b">
        <f>IFERROR(__xludf.DUMMYFUNCTION("""COMPUTED_VALUE"""),FALSE)</f>
        <v>0</v>
      </c>
      <c r="Q396" s="20" t="str">
        <f>IFERROR(__xludf.DUMMYFUNCTION("""COMPUTED_VALUE"""),"")</f>
        <v/>
      </c>
      <c r="R396" s="21" t="str">
        <f>IFERROR(__xludf.DUMMYFUNCTION("""COMPUTED_VALUE"""),"https://drive.google.com/file/d/1s31U9i7VGhupwDejA2SHS7qik-bcaWkq/view?usp=drivesdk")</f>
        <v>https://drive.google.com/file/d/1s31U9i7VGhupwDejA2SHS7qik-bcaWkq/view?usp=drivesdk</v>
      </c>
    </row>
    <row r="397">
      <c r="A397" s="15">
        <f>IFERROR(__xludf.DUMMYFUNCTION("""COMPUTED_VALUE"""),45008.0)</f>
        <v>45008</v>
      </c>
      <c r="B397" s="16" t="str">
        <f>IFERROR(__xludf.DUMMYFUNCTION("""COMPUTED_VALUE"""),"Jeison Rubiano")</f>
        <v>Jeison Rubiano</v>
      </c>
      <c r="C397" s="15" t="str">
        <f>IFERROR(__xludf.DUMMYFUNCTION("""COMPUTED_VALUE"""),"BOGOTÁ")</f>
        <v>BOGOTÁ</v>
      </c>
      <c r="D397" s="15" t="str">
        <f>IFERROR(__xludf.DUMMYFUNCTION("""COMPUTED_VALUE"""),"MEDELLÍN")</f>
        <v>MEDELLÍN</v>
      </c>
      <c r="E397" s="15" t="str">
        <f>IFERROR(__xludf.DUMMYFUNCTION("""COMPUTED_VALUE"""),"Puro Verde")</f>
        <v>Puro Verde</v>
      </c>
      <c r="F397" s="17" t="str">
        <f>IFERROR(__xludf.DUMMYFUNCTION("""COMPUTED_VALUE"""),"CRA 13 # 42-44.  / OFICINAS DE KOKORIKO / PARQUE 43")</f>
        <v>CRA 13 # 42-44.  / OFICINAS DE KOKORIKO / PARQUE 43</v>
      </c>
      <c r="G397" s="15" t="str">
        <f>IFERROR(__xludf.DUMMYFUNCTION("""COMPUTED_VALUE"""),"LINA SANCHEZ")</f>
        <v>LINA SANCHEZ</v>
      </c>
      <c r="H397" s="18">
        <f>IFERROR(__xludf.DUMMYFUNCTION("""COMPUTED_VALUE"""),8961.0)</f>
        <v>8961</v>
      </c>
      <c r="I397" s="18">
        <f>IFERROR(__xludf.DUMMYFUNCTION("""COMPUTED_VALUE"""),45034.0)</f>
        <v>45034</v>
      </c>
      <c r="J397" s="18" t="str">
        <f>IFERROR(__xludf.DUMMYFUNCTION("""COMPUTED_VALUE"""),"32.2")</f>
        <v>32.2</v>
      </c>
      <c r="K397" s="18" t="str">
        <f>IFERROR(__xludf.DUMMYFUNCTION("""COMPUTED_VALUE"""),"39.4")</f>
        <v>39.4</v>
      </c>
      <c r="L397" s="17">
        <f>IFERROR(__xludf.DUMMYFUNCTION("""COMPUTED_VALUE"""),3.174413962E9)</f>
        <v>3174413962</v>
      </c>
      <c r="M397" s="17" t="str">
        <f>IFERROR(__xludf.DUMMYFUNCTION("""COMPUTED_VALUE"""),"#REF!")</f>
        <v>#REF!</v>
      </c>
      <c r="N397" s="17"/>
      <c r="O397" s="19" t="str">
        <f>IFERROR(__xludf.DUMMYFUNCTION("""COMPUTED_VALUE"""),"")</f>
        <v/>
      </c>
      <c r="P397" s="17" t="b">
        <f>IFERROR(__xludf.DUMMYFUNCTION("""COMPUTED_VALUE"""),FALSE)</f>
        <v>0</v>
      </c>
      <c r="Q397" s="20" t="str">
        <f>IFERROR(__xludf.DUMMYFUNCTION("""COMPUTED_VALUE"""),"")</f>
        <v/>
      </c>
      <c r="R397" s="21" t="str">
        <f>IFERROR(__xludf.DUMMYFUNCTION("""COMPUTED_VALUE"""),"https://drive.google.com/file/d/1nSGM6bpbbPHDM760FlXTcoYq9YV1n2Fd/view?usp=drivesdk")</f>
        <v>https://drive.google.com/file/d/1nSGM6bpbbPHDM760FlXTcoYq9YV1n2Fd/view?usp=drivesdk</v>
      </c>
    </row>
    <row r="398">
      <c r="A398" s="15" t="str">
        <f>IFERROR(__xludf.DUMMYFUNCTION("""COMPUTED_VALUE"""),"")</f>
        <v/>
      </c>
      <c r="B398" s="16" t="str">
        <f>IFERROR(__xludf.DUMMYFUNCTION("""COMPUTED_VALUE"""),"")</f>
        <v/>
      </c>
      <c r="C398" s="15" t="str">
        <f>IFERROR(__xludf.DUMMYFUNCTION("""COMPUTED_VALUE"""),"")</f>
        <v/>
      </c>
      <c r="D398" s="15" t="str">
        <f>IFERROR(__xludf.DUMMYFUNCTION("""COMPUTED_VALUE"""),"")</f>
        <v/>
      </c>
      <c r="E398" s="15" t="str">
        <f>IFERROR(__xludf.DUMMYFUNCTION("""COMPUTED_VALUE"""),"")</f>
        <v/>
      </c>
      <c r="F398" s="17" t="str">
        <f>IFERROR(__xludf.DUMMYFUNCTION("""COMPUTED_VALUE"""),"")</f>
        <v/>
      </c>
      <c r="G398" s="15" t="str">
        <f>IFERROR(__xludf.DUMMYFUNCTION("""COMPUTED_VALUE"""),"")</f>
        <v/>
      </c>
      <c r="H398" s="18" t="str">
        <f>IFERROR(__xludf.DUMMYFUNCTION("""COMPUTED_VALUE"""),"")</f>
        <v/>
      </c>
      <c r="I398" s="18" t="str">
        <f>IFERROR(__xludf.DUMMYFUNCTION("""COMPUTED_VALUE"""),"")</f>
        <v/>
      </c>
      <c r="J398" s="18" t="str">
        <f>IFERROR(__xludf.DUMMYFUNCTION("""COMPUTED_VALUE"""),"")</f>
        <v/>
      </c>
      <c r="K398" s="17" t="str">
        <f>IFERROR(__xludf.DUMMYFUNCTION("""COMPUTED_VALUE"""),"")</f>
        <v/>
      </c>
      <c r="L398" s="17" t="str">
        <f>IFERROR(__xludf.DUMMYFUNCTION("""COMPUTED_VALUE"""),"")</f>
        <v/>
      </c>
      <c r="M398" s="17" t="str">
        <f>IFERROR(__xludf.DUMMYFUNCTION("""COMPUTED_VALUE"""),"")</f>
        <v/>
      </c>
      <c r="N398" s="19" t="str">
        <f>IFERROR(__xludf.DUMMYFUNCTION("""COMPUTED_VALUE"""),"")</f>
        <v/>
      </c>
      <c r="O398" s="19" t="str">
        <f>IFERROR(__xludf.DUMMYFUNCTION("""COMPUTED_VALUE"""),"")</f>
        <v/>
      </c>
      <c r="P398" s="17" t="str">
        <f>IFERROR(__xludf.DUMMYFUNCTION("""COMPUTED_VALUE"""),"")</f>
        <v/>
      </c>
      <c r="Q398" s="20" t="str">
        <f>IFERROR(__xludf.DUMMYFUNCTION("""COMPUTED_VALUE"""),"")</f>
        <v/>
      </c>
      <c r="R398" s="22" t="str">
        <f>IFERROR(__xludf.DUMMYFUNCTION("""COMPUTED_VALUE"""),"")</f>
        <v/>
      </c>
    </row>
    <row r="399">
      <c r="A399" s="15">
        <f>IFERROR(__xludf.DUMMYFUNCTION("""COMPUTED_VALUE"""),45008.0)</f>
        <v>45008</v>
      </c>
      <c r="B399" s="16" t="str">
        <f>IFERROR(__xludf.DUMMYFUNCTION("""COMPUTED_VALUE"""),"Johan Alexander Escobar Arroyo ")</f>
        <v>Johan Alexander Escobar Arroyo </v>
      </c>
      <c r="C399" s="15" t="str">
        <f>IFERROR(__xludf.DUMMYFUNCTION("""COMPUTED_VALUE"""),"CALI")</f>
        <v>CALI</v>
      </c>
      <c r="D399" s="15" t="str">
        <f>IFERROR(__xludf.DUMMYFUNCTION("""COMPUTED_VALUE"""),"MEDELLÍN")</f>
        <v>MEDELLÍN</v>
      </c>
      <c r="E399" s="15" t="str">
        <f>IFERROR(__xludf.DUMMYFUNCTION("""COMPUTED_VALUE"""),"AREPAS LA MARY")</f>
        <v>AREPAS LA MARY</v>
      </c>
      <c r="F399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399" s="15" t="str">
        <f>IFERROR(__xludf.DUMMYFUNCTION("""COMPUTED_VALUE"""),"VITALFINESS CALI")</f>
        <v>VITALFINESS CALI</v>
      </c>
      <c r="H399" s="18">
        <f>IFERROR(__xludf.DUMMYFUNCTION("""COMPUTED_VALUE"""),9087.0)</f>
        <v>9087</v>
      </c>
      <c r="I399" s="18">
        <f>IFERROR(__xludf.DUMMYFUNCTION("""COMPUTED_VALUE"""),89.0)</f>
        <v>89</v>
      </c>
      <c r="J399" s="18">
        <f>IFERROR(__xludf.DUMMYFUNCTION("""COMPUTED_VALUE"""),1.0)</f>
        <v>1</v>
      </c>
      <c r="K399" s="18">
        <f>IFERROR(__xludf.DUMMYFUNCTION("""COMPUTED_VALUE"""),10.0)</f>
        <v>10</v>
      </c>
      <c r="L399" s="17">
        <f>IFERROR(__xludf.DUMMYFUNCTION("""COMPUTED_VALUE"""),3.226925759E9)</f>
        <v>3226925759</v>
      </c>
      <c r="M399" s="17" t="str">
        <f>IFERROR(__xludf.DUMMYFUNCTION("""COMPUTED_VALUE"""),"#REF!")</f>
        <v>#REF!</v>
      </c>
      <c r="N399" s="17"/>
      <c r="O399" s="19" t="str">
        <f>IFERROR(__xludf.DUMMYFUNCTION("""COMPUTED_VALUE"""),"")</f>
        <v/>
      </c>
      <c r="P399" s="17" t="b">
        <f>IFERROR(__xludf.DUMMYFUNCTION("""COMPUTED_VALUE"""),TRUE)</f>
        <v>1</v>
      </c>
      <c r="Q399" s="20">
        <f>IFERROR(__xludf.DUMMYFUNCTION("""COMPUTED_VALUE"""),45008.866295092594)</f>
        <v>45008.8663</v>
      </c>
      <c r="R399" s="22" t="str">
        <f>IFERROR(__xludf.DUMMYFUNCTION("""COMPUTED_VALUE"""),"")</f>
        <v/>
      </c>
    </row>
    <row r="400">
      <c r="A400" s="15">
        <f>IFERROR(__xludf.DUMMYFUNCTION("""COMPUTED_VALUE"""),45008.0)</f>
        <v>45008</v>
      </c>
      <c r="B400" s="16" t="str">
        <f>IFERROR(__xludf.DUMMYFUNCTION("""COMPUTED_VALUE"""),"Johan Alexander Escobar Arroyo ")</f>
        <v>Johan Alexander Escobar Arroyo </v>
      </c>
      <c r="C400" s="15" t="str">
        <f>IFERROR(__xludf.DUMMYFUNCTION("""COMPUTED_VALUE"""),"CALI")</f>
        <v>CALI</v>
      </c>
      <c r="D400" s="15" t="str">
        <f>IFERROR(__xludf.DUMMYFUNCTION("""COMPUTED_VALUE"""),"MEDELLÍN")</f>
        <v>MEDELLÍN</v>
      </c>
      <c r="E400" s="15" t="str">
        <f>IFERROR(__xludf.DUMMYFUNCTION("""COMPUTED_VALUE"""),"Baby Chef")</f>
        <v>Baby Chef</v>
      </c>
      <c r="F400" s="17" t="str">
        <f>IFERROR(__xludf.DUMMYFUNCTION("""COMPUTED_VALUE"""),"Calle 103 # 11-40 Sendero del Polo Club casa P1 / Calle 103 # 11-40 Sendero del Polo Club casa P1 / Calle 103 # 11-40 Sendero del Polo Club casa P1")</f>
        <v>Calle 103 # 11-40 Sendero del Polo Club casa P1 / Calle 103 # 11-40 Sendero del Polo Club casa P1 / Calle 103 # 11-40 Sendero del Polo Club casa P1</v>
      </c>
      <c r="G400" s="15" t="str">
        <f>IFERROR(__xludf.DUMMYFUNCTION("""COMPUTED_VALUE"""),"Johanna Rojas")</f>
        <v>Johanna Rojas</v>
      </c>
      <c r="H400" s="18">
        <f>IFERROR(__xludf.DUMMYFUNCTION("""COMPUTED_VALUE"""),9078.0)</f>
        <v>9078</v>
      </c>
      <c r="I400" s="18">
        <f>IFERROR(__xludf.DUMMYFUNCTION("""COMPUTED_VALUE"""),8.0)</f>
        <v>8</v>
      </c>
      <c r="J400" s="18">
        <f>IFERROR(__xludf.DUMMYFUNCTION("""COMPUTED_VALUE"""),16.0)</f>
        <v>16</v>
      </c>
      <c r="K400" s="18">
        <f>IFERROR(__xludf.DUMMYFUNCTION("""COMPUTED_VALUE"""),20.0)</f>
        <v>20</v>
      </c>
      <c r="L400" s="17">
        <f>IFERROR(__xludf.DUMMYFUNCTION("""COMPUTED_VALUE"""),3.183307191E9)</f>
        <v>3183307191</v>
      </c>
      <c r="M400" s="17" t="str">
        <f>IFERROR(__xludf.DUMMYFUNCTION("""COMPUTED_VALUE"""),"#REF!")</f>
        <v>#REF!</v>
      </c>
      <c r="N400" s="17"/>
      <c r="O400" s="19" t="str">
        <f>IFERROR(__xludf.DUMMYFUNCTION("""COMPUTED_VALUE"""),"")</f>
        <v/>
      </c>
      <c r="P400" s="17" t="b">
        <f>IFERROR(__xludf.DUMMYFUNCTION("""COMPUTED_VALUE"""),FALSE)</f>
        <v>0</v>
      </c>
      <c r="Q400" s="20" t="str">
        <f>IFERROR(__xludf.DUMMYFUNCTION("""COMPUTED_VALUE"""),"")</f>
        <v/>
      </c>
      <c r="R400" s="21" t="str">
        <f>IFERROR(__xludf.DUMMYFUNCTION("""COMPUTED_VALUE"""),"https://drive.google.com/file/d/1zP-t4YWFRPJetJb_GeAq2d1uaLhGKUwM/view?usp=drivesdk")</f>
        <v>https://drive.google.com/file/d/1zP-t4YWFRPJetJb_GeAq2d1uaLhGKUwM/view?usp=drivesdk</v>
      </c>
    </row>
    <row r="401">
      <c r="A401" s="15">
        <f>IFERROR(__xludf.DUMMYFUNCTION("""COMPUTED_VALUE"""),45008.0)</f>
        <v>45008</v>
      </c>
      <c r="B401" s="16" t="str">
        <f>IFERROR(__xludf.DUMMYFUNCTION("""COMPUTED_VALUE"""),"Johan Alexander Escobar Arroyo ")</f>
        <v>Johan Alexander Escobar Arroyo </v>
      </c>
      <c r="C401" s="15" t="str">
        <f>IFERROR(__xludf.DUMMYFUNCTION("""COMPUTED_VALUE"""),"CALI")</f>
        <v>CALI</v>
      </c>
      <c r="D401" s="15" t="str">
        <f>IFERROR(__xludf.DUMMYFUNCTION("""COMPUTED_VALUE"""),"MEDELLÍN")</f>
        <v>MEDELLÍN</v>
      </c>
      <c r="E401" s="15" t="str">
        <f>IFERROR(__xludf.DUMMYFUNCTION("""COMPUTED_VALUE"""),"Baby Chef")</f>
        <v>Baby Chef</v>
      </c>
      <c r="F401" s="17" t="str">
        <f>IFERROR(__xludf.DUMMYFUNCTION("""COMPUTED_VALUE"""),"Calle 24 a oeste # 6-57 piso 3  / Terrón colorado  / Terrón colorado")</f>
        <v>Calle 24 a oeste # 6-57 piso 3  / Terrón colorado  / Terrón colorado</v>
      </c>
      <c r="G401" s="15" t="str">
        <f>IFERROR(__xludf.DUMMYFUNCTION("""COMPUTED_VALUE"""),"Erica johana parra")</f>
        <v>Erica johana parra</v>
      </c>
      <c r="H401" s="18">
        <f>IFERROR(__xludf.DUMMYFUNCTION("""COMPUTED_VALUE"""),9077.0)</f>
        <v>9077</v>
      </c>
      <c r="I401" s="18">
        <f>IFERROR(__xludf.DUMMYFUNCTION("""COMPUTED_VALUE"""),8.0)</f>
        <v>8</v>
      </c>
      <c r="J401" s="18">
        <f>IFERROR(__xludf.DUMMYFUNCTION("""COMPUTED_VALUE"""),16.0)</f>
        <v>16</v>
      </c>
      <c r="K401" s="18">
        <f>IFERROR(__xludf.DUMMYFUNCTION("""COMPUTED_VALUE"""),20.0)</f>
        <v>20</v>
      </c>
      <c r="L401" s="17">
        <f>IFERROR(__xludf.DUMMYFUNCTION("""COMPUTED_VALUE"""),3.003634967E9)</f>
        <v>3003634967</v>
      </c>
      <c r="M401" s="17" t="str">
        <f>IFERROR(__xludf.DUMMYFUNCTION("""COMPUTED_VALUE"""),"#REF!")</f>
        <v>#REF!</v>
      </c>
      <c r="N401" s="17"/>
      <c r="O401" s="19" t="str">
        <f>IFERROR(__xludf.DUMMYFUNCTION("""COMPUTED_VALUE"""),"")</f>
        <v/>
      </c>
      <c r="P401" s="17" t="b">
        <f>IFERROR(__xludf.DUMMYFUNCTION("""COMPUTED_VALUE"""),FALSE)</f>
        <v>0</v>
      </c>
      <c r="Q401" s="20" t="str">
        <f>IFERROR(__xludf.DUMMYFUNCTION("""COMPUTED_VALUE"""),"")</f>
        <v/>
      </c>
      <c r="R401" s="21" t="str">
        <f>IFERROR(__xludf.DUMMYFUNCTION("""COMPUTED_VALUE"""),"https://drive.google.com/file/d/1LyCf1oiQASlLEWWvvp1BLrXUMwqLN_ni/view?usp=drivesdk")</f>
        <v>https://drive.google.com/file/d/1LyCf1oiQASlLEWWvvp1BLrXUMwqLN_ni/view?usp=drivesdk</v>
      </c>
    </row>
    <row r="402">
      <c r="A402" s="15">
        <f>IFERROR(__xludf.DUMMYFUNCTION("""COMPUTED_VALUE"""),45008.0)</f>
        <v>45008</v>
      </c>
      <c r="B402" s="16" t="str">
        <f>IFERROR(__xludf.DUMMYFUNCTION("""COMPUTED_VALUE"""),"Johan Alexander Escobar Arroyo ")</f>
        <v>Johan Alexander Escobar Arroyo </v>
      </c>
      <c r="C402" s="15" t="str">
        <f>IFERROR(__xludf.DUMMYFUNCTION("""COMPUTED_VALUE"""),"CALI")</f>
        <v>CALI</v>
      </c>
      <c r="D402" s="15" t="str">
        <f>IFERROR(__xludf.DUMMYFUNCTION("""COMPUTED_VALUE"""),"MEDELLÍN")</f>
        <v>MEDELLÍN</v>
      </c>
      <c r="E402" s="15" t="str">
        <f>IFERROR(__xludf.DUMMYFUNCTION("""COMPUTED_VALUE"""),"Baby Chef")</f>
        <v>Baby Chef</v>
      </c>
      <c r="F402" s="17" t="str">
        <f>IFERROR(__xludf.DUMMYFUNCTION("""COMPUTED_VALUE"""),"Carrera 4f # 71 -44 Casa , primer piso.  / Carrera 4f # 71 -44 Casa , primer piso. / Carrera 4f # 71 -44 Casa , primer piso.")</f>
        <v>Carrera 4f # 71 -44 Casa , primer piso.  / Carrera 4f # 71 -44 Casa , primer piso. / Carrera 4f # 71 -44 Casa , primer piso.</v>
      </c>
      <c r="G402" s="15" t="str">
        <f>IFERROR(__xludf.DUMMYFUNCTION("""COMPUTED_VALUE"""),"Jennifer Loaiza")</f>
        <v>Jennifer Loaiza</v>
      </c>
      <c r="H402" s="18">
        <f>IFERROR(__xludf.DUMMYFUNCTION("""COMPUTED_VALUE"""),9075.0)</f>
        <v>9075</v>
      </c>
      <c r="I402" s="18">
        <f>IFERROR(__xludf.DUMMYFUNCTION("""COMPUTED_VALUE"""),8.0)</f>
        <v>8</v>
      </c>
      <c r="J402" s="18">
        <f>IFERROR(__xludf.DUMMYFUNCTION("""COMPUTED_VALUE"""),16.0)</f>
        <v>16</v>
      </c>
      <c r="K402" s="18">
        <f>IFERROR(__xludf.DUMMYFUNCTION("""COMPUTED_VALUE"""),20.0)</f>
        <v>20</v>
      </c>
      <c r="L402" s="17">
        <f>IFERROR(__xludf.DUMMYFUNCTION("""COMPUTED_VALUE"""),3.147928506E9)</f>
        <v>3147928506</v>
      </c>
      <c r="M402" s="17" t="str">
        <f>IFERROR(__xludf.DUMMYFUNCTION("""COMPUTED_VALUE"""),"#REF!")</f>
        <v>#REF!</v>
      </c>
      <c r="N402" s="17"/>
      <c r="O402" s="19" t="str">
        <f>IFERROR(__xludf.DUMMYFUNCTION("""COMPUTED_VALUE"""),"")</f>
        <v/>
      </c>
      <c r="P402" s="17" t="b">
        <f>IFERROR(__xludf.DUMMYFUNCTION("""COMPUTED_VALUE"""),FALSE)</f>
        <v>0</v>
      </c>
      <c r="Q402" s="20" t="str">
        <f>IFERROR(__xludf.DUMMYFUNCTION("""COMPUTED_VALUE"""),"")</f>
        <v/>
      </c>
      <c r="R402" s="21" t="str">
        <f>IFERROR(__xludf.DUMMYFUNCTION("""COMPUTED_VALUE"""),"https://drive.google.com/file/d/1_SRokRQ3dCceIrF2ho-yX-b0HjzspVU6/view?usp=drivesdk")</f>
        <v>https://drive.google.com/file/d/1_SRokRQ3dCceIrF2ho-yX-b0HjzspVU6/view?usp=drivesdk</v>
      </c>
    </row>
    <row r="403">
      <c r="A403" s="15">
        <f>IFERROR(__xludf.DUMMYFUNCTION("""COMPUTED_VALUE"""),45008.0)</f>
        <v>45008</v>
      </c>
      <c r="B403" s="16" t="str">
        <f>IFERROR(__xludf.DUMMYFUNCTION("""COMPUTED_VALUE"""),"Johan Alexander Escobar Arroyo ")</f>
        <v>Johan Alexander Escobar Arroyo </v>
      </c>
      <c r="C403" s="15" t="str">
        <f>IFERROR(__xludf.DUMMYFUNCTION("""COMPUTED_VALUE"""),"CALI")</f>
        <v>CALI</v>
      </c>
      <c r="D403" s="15" t="str">
        <f>IFERROR(__xludf.DUMMYFUNCTION("""COMPUTED_VALUE"""),"MEDELLÍN")</f>
        <v>MEDELLÍN</v>
      </c>
      <c r="E403" s="15" t="str">
        <f>IFERROR(__xludf.DUMMYFUNCTION("""COMPUTED_VALUE"""),"Baby Chef")</f>
        <v>Baby Chef</v>
      </c>
      <c r="F403" s="17" t="str">
        <f>IFERROR(__xludf.DUMMYFUNCTION("""COMPUTED_VALUE"""),"Cr 4 Norte #50 N 42 Casa / Cr 4 Norte #50 N 42 Casa / Cr 4 Norte #50 N 42 Casa")</f>
        <v>Cr 4 Norte #50 N 42 Casa / Cr 4 Norte #50 N 42 Casa / Cr 4 Norte #50 N 42 Casa</v>
      </c>
      <c r="G403" s="15" t="str">
        <f>IFERROR(__xludf.DUMMYFUNCTION("""COMPUTED_VALUE"""),"Viviana Gomez")</f>
        <v>Viviana Gomez</v>
      </c>
      <c r="H403" s="18">
        <f>IFERROR(__xludf.DUMMYFUNCTION("""COMPUTED_VALUE"""),9076.0)</f>
        <v>9076</v>
      </c>
      <c r="I403" s="18">
        <f>IFERROR(__xludf.DUMMYFUNCTION("""COMPUTED_VALUE"""),8.0)</f>
        <v>8</v>
      </c>
      <c r="J403" s="18">
        <f>IFERROR(__xludf.DUMMYFUNCTION("""COMPUTED_VALUE"""),16.0)</f>
        <v>16</v>
      </c>
      <c r="K403" s="18">
        <f>IFERROR(__xludf.DUMMYFUNCTION("""COMPUTED_VALUE"""),20.0)</f>
        <v>20</v>
      </c>
      <c r="L403" s="17">
        <f>IFERROR(__xludf.DUMMYFUNCTION("""COMPUTED_VALUE"""),3.128284691E9)</f>
        <v>3128284691</v>
      </c>
      <c r="M403" s="17" t="str">
        <f>IFERROR(__xludf.DUMMYFUNCTION("""COMPUTED_VALUE"""),"#REF!")</f>
        <v>#REF!</v>
      </c>
      <c r="N403" s="17"/>
      <c r="O403" s="19" t="str">
        <f>IFERROR(__xludf.DUMMYFUNCTION("""COMPUTED_VALUE"""),"")</f>
        <v/>
      </c>
      <c r="P403" s="17" t="b">
        <f>IFERROR(__xludf.DUMMYFUNCTION("""COMPUTED_VALUE"""),FALSE)</f>
        <v>0</v>
      </c>
      <c r="Q403" s="20" t="str">
        <f>IFERROR(__xludf.DUMMYFUNCTION("""COMPUTED_VALUE"""),"")</f>
        <v/>
      </c>
      <c r="R403" s="21" t="str">
        <f>IFERROR(__xludf.DUMMYFUNCTION("""COMPUTED_VALUE"""),"https://drive.google.com/file/d/1XCAvC2RrvtDIOMXsG9X4U6HpYpSlvsXO/view?usp=drivesdk")</f>
        <v>https://drive.google.com/file/d/1XCAvC2RrvtDIOMXsG9X4U6HpYpSlvsXO/view?usp=drivesdk</v>
      </c>
    </row>
    <row r="404">
      <c r="A404" s="15">
        <f>IFERROR(__xludf.DUMMYFUNCTION("""COMPUTED_VALUE"""),45008.0)</f>
        <v>45008</v>
      </c>
      <c r="B404" s="16" t="str">
        <f>IFERROR(__xludf.DUMMYFUNCTION("""COMPUTED_VALUE"""),"Johan Alexander Escobar Arroyo ")</f>
        <v>Johan Alexander Escobar Arroyo </v>
      </c>
      <c r="C404" s="15" t="str">
        <f>IFERROR(__xludf.DUMMYFUNCTION("""COMPUTED_VALUE"""),"CALI")</f>
        <v>CALI</v>
      </c>
      <c r="D404" s="15" t="str">
        <f>IFERROR(__xludf.DUMMYFUNCTION("""COMPUTED_VALUE"""),"MEDELLÍN")</f>
        <v>MEDELLÍN</v>
      </c>
      <c r="E404" s="15" t="str">
        <f>IFERROR(__xludf.DUMMYFUNCTION("""COMPUTED_VALUE"""),"Melcochitas")</f>
        <v>Melcochitas</v>
      </c>
      <c r="F404" s="17" t="str">
        <f>IFERROR(__xludf.DUMMYFUNCTION("""COMPUTED_VALUE"""),"Carrera 42 # 8-35 / Los cámbulos / Los cámbulos")</f>
        <v>Carrera 42 # 8-35 / Los cámbulos / Los cámbulos</v>
      </c>
      <c r="G404" s="15" t="str">
        <f>IFERROR(__xludf.DUMMYFUNCTION("""COMPUTED_VALUE"""),"Julio Jiménez")</f>
        <v>Julio Jiménez</v>
      </c>
      <c r="H404" s="18">
        <f>IFERROR(__xludf.DUMMYFUNCTION("""COMPUTED_VALUE"""),9110.0)</f>
        <v>9110</v>
      </c>
      <c r="I404" s="18">
        <f>IFERROR(__xludf.DUMMYFUNCTION("""COMPUTED_VALUE"""),10.0)</f>
        <v>10</v>
      </c>
      <c r="J404" s="18">
        <f>IFERROR(__xludf.DUMMYFUNCTION("""COMPUTED_VALUE"""),33.0)</f>
        <v>33</v>
      </c>
      <c r="K404" s="18">
        <f>IFERROR(__xludf.DUMMYFUNCTION("""COMPUTED_VALUE"""),46.0)</f>
        <v>46</v>
      </c>
      <c r="L404" s="17">
        <f>IFERROR(__xludf.DUMMYFUNCTION("""COMPUTED_VALUE"""),3.105467295E9)</f>
        <v>3105467295</v>
      </c>
      <c r="M404" s="17" t="str">
        <f>IFERROR(__xludf.DUMMYFUNCTION("""COMPUTED_VALUE"""),"#REF!")</f>
        <v>#REF!</v>
      </c>
      <c r="N404" s="17"/>
      <c r="O404" s="19" t="str">
        <f>IFERROR(__xludf.DUMMYFUNCTION("""COMPUTED_VALUE"""),"")</f>
        <v/>
      </c>
      <c r="P404" s="17" t="b">
        <f>IFERROR(__xludf.DUMMYFUNCTION("""COMPUTED_VALUE"""),FALSE)</f>
        <v>0</v>
      </c>
      <c r="Q404" s="20" t="str">
        <f>IFERROR(__xludf.DUMMYFUNCTION("""COMPUTED_VALUE"""),"")</f>
        <v/>
      </c>
      <c r="R404" s="21" t="str">
        <f>IFERROR(__xludf.DUMMYFUNCTION("""COMPUTED_VALUE"""),"https://drive.google.com/file/d/1TdxbRD9oJLhNS0oDm_Azb5q_mTQFMEJm/view?usp=drivesdk")</f>
        <v>https://drive.google.com/file/d/1TdxbRD9oJLhNS0oDm_Azb5q_mTQFMEJm/view?usp=drivesdk</v>
      </c>
    </row>
    <row r="405">
      <c r="A405" s="15">
        <f>IFERROR(__xludf.DUMMYFUNCTION("""COMPUTED_VALUE"""),45008.0)</f>
        <v>45008</v>
      </c>
      <c r="B405" s="16" t="str">
        <f>IFERROR(__xludf.DUMMYFUNCTION("""COMPUTED_VALUE"""),"Johan Alexander Escobar Arroyo ")</f>
        <v>Johan Alexander Escobar Arroyo </v>
      </c>
      <c r="C405" s="15" t="str">
        <f>IFERROR(__xludf.DUMMYFUNCTION("""COMPUTED_VALUE"""),"CALI")</f>
        <v>CALI</v>
      </c>
      <c r="D405" s="15" t="str">
        <f>IFERROR(__xludf.DUMMYFUNCTION("""COMPUTED_VALUE"""),"MEDELLÍN")</f>
        <v>MEDELLÍN</v>
      </c>
      <c r="E405" s="15" t="str">
        <f>IFERROR(__xludf.DUMMYFUNCTION("""COMPUTED_VALUE"""),"Moloso S.A.S")</f>
        <v>Moloso S.A.S</v>
      </c>
      <c r="F405" s="17" t="str">
        <f>IFERROR(__xludf.DUMMYFUNCTION("""COMPUTED_VALUE"""),"AVENIDA 3 OESTE 13 94 / EDIF SOL DEL OESTE APT 702")</f>
        <v>AVENIDA 3 OESTE 13 94 / EDIF SOL DEL OESTE APT 702</v>
      </c>
      <c r="G405" s="15" t="str">
        <f>IFERROR(__xludf.DUMMYFUNCTION("""COMPUTED_VALUE"""),"LAURA HERNÁNDEZ ALVIAR")</f>
        <v>LAURA HERNÁNDEZ ALVIAR</v>
      </c>
      <c r="H405" s="18">
        <f>IFERROR(__xludf.DUMMYFUNCTION("""COMPUTED_VALUE"""),9070.0)</f>
        <v>9070</v>
      </c>
      <c r="I405" s="18">
        <f>IFERROR(__xludf.DUMMYFUNCTION("""COMPUTED_VALUE"""),17.0)</f>
        <v>17</v>
      </c>
      <c r="J405" s="18">
        <f>IFERROR(__xludf.DUMMYFUNCTION("""COMPUTED_VALUE"""),15.0)</f>
        <v>15</v>
      </c>
      <c r="K405" s="18">
        <f>IFERROR(__xludf.DUMMYFUNCTION("""COMPUTED_VALUE"""),28.0)</f>
        <v>28</v>
      </c>
      <c r="L405" s="17" t="str">
        <f>IFERROR(__xludf.DUMMYFUNCTION("""COMPUTED_VALUE"""),"315 5762974")</f>
        <v>315 5762974</v>
      </c>
      <c r="M405" s="17" t="str">
        <f>IFERROR(__xludf.DUMMYFUNCTION("""COMPUTED_VALUE"""),"#REF!")</f>
        <v>#REF!</v>
      </c>
      <c r="N405" s="17"/>
      <c r="O405" s="19" t="str">
        <f>IFERROR(__xludf.DUMMYFUNCTION("""COMPUTED_VALUE"""),"")</f>
        <v/>
      </c>
      <c r="P405" s="17" t="b">
        <f>IFERROR(__xludf.DUMMYFUNCTION("""COMPUTED_VALUE"""),FALSE)</f>
        <v>0</v>
      </c>
      <c r="Q405" s="20" t="str">
        <f>IFERROR(__xludf.DUMMYFUNCTION("""COMPUTED_VALUE"""),"")</f>
        <v/>
      </c>
      <c r="R405" s="21" t="str">
        <f>IFERROR(__xludf.DUMMYFUNCTION("""COMPUTED_VALUE"""),"https://drive.google.com/file/d/1GDMjApN6lwc96nMNlXI6Zq2vFaVNV87c/view?usp=drivesdk")</f>
        <v>https://drive.google.com/file/d/1GDMjApN6lwc96nMNlXI6Zq2vFaVNV87c/view?usp=drivesdk</v>
      </c>
    </row>
    <row r="406">
      <c r="A406" s="15">
        <f>IFERROR(__xludf.DUMMYFUNCTION("""COMPUTED_VALUE"""),45008.0)</f>
        <v>45008</v>
      </c>
      <c r="B406" s="16" t="str">
        <f>IFERROR(__xludf.DUMMYFUNCTION("""COMPUTED_VALUE"""),"Johan Alexander Escobar Arroyo ")</f>
        <v>Johan Alexander Escobar Arroyo </v>
      </c>
      <c r="C406" s="15" t="str">
        <f>IFERROR(__xludf.DUMMYFUNCTION("""COMPUTED_VALUE"""),"CALI")</f>
        <v>CALI</v>
      </c>
      <c r="D406" s="15" t="str">
        <f>IFERROR(__xludf.DUMMYFUNCTION("""COMPUTED_VALUE"""),"MEDELLÍN")</f>
        <v>MEDELLÍN</v>
      </c>
      <c r="E406" s="15" t="str">
        <f>IFERROR(__xludf.DUMMYFUNCTION("""COMPUTED_VALUE"""),"Moloso S.A.S")</f>
        <v>Moloso S.A.S</v>
      </c>
      <c r="F406" s="17" t="str">
        <f>IFERROR(__xludf.DUMMYFUNCTION("""COMPUTED_VALUE"""),"CR 12 50 07 / CASA P 2")</f>
        <v>CR 12 50 07 / CASA P 2</v>
      </c>
      <c r="G406" s="15" t="str">
        <f>IFERROR(__xludf.DUMMYFUNCTION("""COMPUTED_VALUE"""),"NATALIA GONZALEZ VASQUEZ")</f>
        <v>NATALIA GONZALEZ VASQUEZ</v>
      </c>
      <c r="H406" s="18">
        <f>IFERROR(__xludf.DUMMYFUNCTION("""COMPUTED_VALUE"""),9067.0)</f>
        <v>9067</v>
      </c>
      <c r="I406" s="18">
        <f>IFERROR(__xludf.DUMMYFUNCTION("""COMPUTED_VALUE"""),17.0)</f>
        <v>17</v>
      </c>
      <c r="J406" s="18">
        <f>IFERROR(__xludf.DUMMYFUNCTION("""COMPUTED_VALUE"""),15.0)</f>
        <v>15</v>
      </c>
      <c r="K406" s="18">
        <f>IFERROR(__xludf.DUMMYFUNCTION("""COMPUTED_VALUE"""),28.0)</f>
        <v>28</v>
      </c>
      <c r="L406" s="17" t="str">
        <f>IFERROR(__xludf.DUMMYFUNCTION("""COMPUTED_VALUE"""),"312 8814825")</f>
        <v>312 8814825</v>
      </c>
      <c r="M406" s="17" t="str">
        <f>IFERROR(__xludf.DUMMYFUNCTION("""COMPUTED_VALUE"""),"#REF!")</f>
        <v>#REF!</v>
      </c>
      <c r="N406" s="17"/>
      <c r="O406" s="19" t="str">
        <f>IFERROR(__xludf.DUMMYFUNCTION("""COMPUTED_VALUE"""),"")</f>
        <v/>
      </c>
      <c r="P406" s="17" t="b">
        <f>IFERROR(__xludf.DUMMYFUNCTION("""COMPUTED_VALUE"""),FALSE)</f>
        <v>0</v>
      </c>
      <c r="Q406" s="20" t="str">
        <f>IFERROR(__xludf.DUMMYFUNCTION("""COMPUTED_VALUE"""),"")</f>
        <v/>
      </c>
      <c r="R406" s="21" t="str">
        <f>IFERROR(__xludf.DUMMYFUNCTION("""COMPUTED_VALUE"""),"https://drive.google.com/file/d/1W8zrwcVbkeW84SHzuXLC-uzSpXg9l4U6/view?usp=drivesdk")</f>
        <v>https://drive.google.com/file/d/1W8zrwcVbkeW84SHzuXLC-uzSpXg9l4U6/view?usp=drivesdk</v>
      </c>
    </row>
    <row r="407">
      <c r="A407" s="15">
        <f>IFERROR(__xludf.DUMMYFUNCTION("""COMPUTED_VALUE"""),45008.0)</f>
        <v>45008</v>
      </c>
      <c r="B407" s="16" t="str">
        <f>IFERROR(__xludf.DUMMYFUNCTION("""COMPUTED_VALUE"""),"Johan Alexander Escobar Arroyo ")</f>
        <v>Johan Alexander Escobar Arroyo </v>
      </c>
      <c r="C407" s="15" t="str">
        <f>IFERROR(__xludf.DUMMYFUNCTION("""COMPUTED_VALUE"""),"CALI")</f>
        <v>CALI</v>
      </c>
      <c r="D407" s="15" t="str">
        <f>IFERROR(__xludf.DUMMYFUNCTION("""COMPUTED_VALUE"""),"MEDELLÍN")</f>
        <v>MEDELLÍN</v>
      </c>
      <c r="E407" s="15" t="str">
        <f>IFERROR(__xludf.DUMMYFUNCTION("""COMPUTED_VALUE"""),"Puro Verde")</f>
        <v>Puro Verde</v>
      </c>
      <c r="F407" s="17" t="str">
        <f>IFERROR(__xludf.DUMMYFUNCTION("""COMPUTED_VALUE"""),"CRA 75 # 13A - 191.  / APTO 305. EDIFICIO HUERTOS DE DON SIMÓN ORIENTE / BARRIO LAS QUINTAS DE DON SIMÓN")</f>
        <v>CRA 75 # 13A - 191.  / APTO 305. EDIFICIO HUERTOS DE DON SIMÓN ORIENTE / BARRIO LAS QUINTAS DE DON SIMÓN</v>
      </c>
      <c r="G407" s="15" t="str">
        <f>IFERROR(__xludf.DUMMYFUNCTION("""COMPUTED_VALUE"""),"LEONARDO PATIÑO")</f>
        <v>LEONARDO PATIÑO</v>
      </c>
      <c r="H407" s="18">
        <f>IFERROR(__xludf.DUMMYFUNCTION("""COMPUTED_VALUE"""),8962.0)</f>
        <v>8962</v>
      </c>
      <c r="I407" s="18">
        <f>IFERROR(__xludf.DUMMYFUNCTION("""COMPUTED_VALUE"""),12.0)</f>
        <v>12</v>
      </c>
      <c r="J407" s="18">
        <f>IFERROR(__xludf.DUMMYFUNCTION("""COMPUTED_VALUE"""),18.0)</f>
        <v>18</v>
      </c>
      <c r="K407" s="18">
        <f>IFERROR(__xludf.DUMMYFUNCTION("""COMPUTED_VALUE"""),45.0)</f>
        <v>45</v>
      </c>
      <c r="L407" s="17">
        <f>IFERROR(__xludf.DUMMYFUNCTION("""COMPUTED_VALUE"""),3.136145284E9)</f>
        <v>3136145284</v>
      </c>
      <c r="M407" s="17" t="str">
        <f>IFERROR(__xludf.DUMMYFUNCTION("""COMPUTED_VALUE"""),"#REF!")</f>
        <v>#REF!</v>
      </c>
      <c r="N407" s="17"/>
      <c r="O407" s="19" t="str">
        <f>IFERROR(__xludf.DUMMYFUNCTION("""COMPUTED_VALUE"""),"")</f>
        <v/>
      </c>
      <c r="P407" s="17" t="b">
        <f>IFERROR(__xludf.DUMMYFUNCTION("""COMPUTED_VALUE"""),FALSE)</f>
        <v>0</v>
      </c>
      <c r="Q407" s="20" t="str">
        <f>IFERROR(__xludf.DUMMYFUNCTION("""COMPUTED_VALUE"""),"")</f>
        <v/>
      </c>
      <c r="R407" s="21" t="str">
        <f>IFERROR(__xludf.DUMMYFUNCTION("""COMPUTED_VALUE"""),"https://drive.google.com/file/d/1vg5om38UGmQlQgWUUUJt47nHRduA-RsZ/view?usp=drivesdk")</f>
        <v>https://drive.google.com/file/d/1vg5om38UGmQlQgWUUUJt47nHRduA-RsZ/view?usp=drivesdk</v>
      </c>
    </row>
    <row r="408">
      <c r="A408" s="15">
        <f>IFERROR(__xludf.DUMMYFUNCTION("""COMPUTED_VALUE"""),45008.0)</f>
        <v>45008</v>
      </c>
      <c r="B408" s="16" t="str">
        <f>IFERROR(__xludf.DUMMYFUNCTION("""COMPUTED_VALUE"""),"Johan Alexander Escobar Arroyo ")</f>
        <v>Johan Alexander Escobar Arroyo </v>
      </c>
      <c r="C408" s="15" t="str">
        <f>IFERROR(__xludf.DUMMYFUNCTION("""COMPUTED_VALUE"""),"CALI")</f>
        <v>CALI</v>
      </c>
      <c r="D408" s="15" t="str">
        <f>IFERROR(__xludf.DUMMYFUNCTION("""COMPUTED_VALUE"""),"MEDELLÍN")</f>
        <v>MEDELLÍN</v>
      </c>
      <c r="E408" s="15" t="str">
        <f>IFERROR(__xludf.DUMMYFUNCTION("""COMPUTED_VALUE"""),"Rambla")</f>
        <v>Rambla</v>
      </c>
      <c r="F408" s="17" t="str">
        <f>IFERROR(__xludf.DUMMYFUNCTION("""COMPUTED_VALUE"""),"avenida 4 norte #7n-46 lc 129 centro comercial centenario  / na / na")</f>
        <v>avenida 4 norte #7n-46 lc 129 centro comercial centenario  / na / na</v>
      </c>
      <c r="G408" s="15" t="str">
        <f>IFERROR(__xludf.DUMMYFUNCTION("""COMPUTED_VALUE"""),"Vitafitnes")</f>
        <v>Vitafitnes</v>
      </c>
      <c r="H408" s="18">
        <f>IFERROR(__xludf.DUMMYFUNCTION("""COMPUTED_VALUE"""),9106.0)</f>
        <v>9106</v>
      </c>
      <c r="I408" s="18">
        <f>IFERROR(__xludf.DUMMYFUNCTION("""COMPUTED_VALUE"""),20.0)</f>
        <v>20</v>
      </c>
      <c r="J408" s="18">
        <f>IFERROR(__xludf.DUMMYFUNCTION("""COMPUTED_VALUE"""),22.0)</f>
        <v>22</v>
      </c>
      <c r="K408" s="18">
        <f>IFERROR(__xludf.DUMMYFUNCTION("""COMPUTED_VALUE"""),25.0)</f>
        <v>25</v>
      </c>
      <c r="L408" s="17">
        <f>IFERROR(__xludf.DUMMYFUNCTION("""COMPUTED_VALUE"""),3.103420337E9)</f>
        <v>3103420337</v>
      </c>
      <c r="M408" s="17" t="str">
        <f>IFERROR(__xludf.DUMMYFUNCTION("""COMPUTED_VALUE"""),"#REF!")</f>
        <v>#REF!</v>
      </c>
      <c r="N408" s="17"/>
      <c r="O408" s="19" t="str">
        <f>IFERROR(__xludf.DUMMYFUNCTION("""COMPUTED_VALUE"""),"")</f>
        <v/>
      </c>
      <c r="P408" s="17" t="b">
        <f>IFERROR(__xludf.DUMMYFUNCTION("""COMPUTED_VALUE"""),FALSE)</f>
        <v>0</v>
      </c>
      <c r="Q408" s="20" t="str">
        <f>IFERROR(__xludf.DUMMYFUNCTION("""COMPUTED_VALUE"""),"")</f>
        <v/>
      </c>
      <c r="R408" s="22" t="str">
        <f>IFERROR(__xludf.DUMMYFUNCTION("""COMPUTED_VALUE"""),"")</f>
        <v/>
      </c>
    </row>
    <row r="409">
      <c r="A409" s="15">
        <f>IFERROR(__xludf.DUMMYFUNCTION("""COMPUTED_VALUE"""),45008.0)</f>
        <v>45008</v>
      </c>
      <c r="B409" s="16" t="str">
        <f>IFERROR(__xludf.DUMMYFUNCTION("""COMPUTED_VALUE"""),"Johan Alexander Escobar Arroyo ")</f>
        <v>Johan Alexander Escobar Arroyo </v>
      </c>
      <c r="C409" s="15" t="str">
        <f>IFERROR(__xludf.DUMMYFUNCTION("""COMPUTED_VALUE"""),"CALI")</f>
        <v>CALI</v>
      </c>
      <c r="D409" s="15" t="str">
        <f>IFERROR(__xludf.DUMMYFUNCTION("""COMPUTED_VALUE"""),"MEDELLÍN")</f>
        <v>MEDELLÍN</v>
      </c>
      <c r="E409" s="15" t="str">
        <f>IFERROR(__xludf.DUMMYFUNCTION("""COMPUTED_VALUE"""),"Rambla")</f>
        <v>Rambla</v>
      </c>
      <c r="F409" s="17" t="str">
        <f>IFERROR(__xludf.DUMMYFUNCTION("""COMPUTED_VALUE"""),"CRA 105 #15B45 LOCAL 15 CENTRO COMERCIAL LAS VELAS  cali / na / na")</f>
        <v>CRA 105 #15B45 LOCAL 15 CENTRO COMERCIAL LAS VELAS  cali / na / na</v>
      </c>
      <c r="G409" s="15" t="str">
        <f>IFERROR(__xludf.DUMMYFUNCTION("""COMPUTED_VALUE"""),"Wealthy market")</f>
        <v>Wealthy market</v>
      </c>
      <c r="H409" s="18">
        <f>IFERROR(__xludf.DUMMYFUNCTION("""COMPUTED_VALUE"""),9105.0)</f>
        <v>9105</v>
      </c>
      <c r="I409" s="18">
        <f>IFERROR(__xludf.DUMMYFUNCTION("""COMPUTED_VALUE"""),25.0)</f>
        <v>25</v>
      </c>
      <c r="J409" s="18">
        <f>IFERROR(__xludf.DUMMYFUNCTION("""COMPUTED_VALUE"""),30.0)</f>
        <v>30</v>
      </c>
      <c r="K409" s="18">
        <f>IFERROR(__xludf.DUMMYFUNCTION("""COMPUTED_VALUE"""),33.0)</f>
        <v>33</v>
      </c>
      <c r="L409" s="17">
        <f>IFERROR(__xludf.DUMMYFUNCTION("""COMPUTED_VALUE"""),3.057675698E9)</f>
        <v>3057675698</v>
      </c>
      <c r="M409" s="17" t="str">
        <f>IFERROR(__xludf.DUMMYFUNCTION("""COMPUTED_VALUE"""),"#REF!")</f>
        <v>#REF!</v>
      </c>
      <c r="N409" s="17"/>
      <c r="O409" s="19" t="str">
        <f>IFERROR(__xludf.DUMMYFUNCTION("""COMPUTED_VALUE"""),"")</f>
        <v/>
      </c>
      <c r="P409" s="17" t="b">
        <f>IFERROR(__xludf.DUMMYFUNCTION("""COMPUTED_VALUE"""),TRUE)</f>
        <v>1</v>
      </c>
      <c r="Q409" s="20">
        <f>IFERROR(__xludf.DUMMYFUNCTION("""COMPUTED_VALUE"""),45008.69199583333)</f>
        <v>45008.692</v>
      </c>
      <c r="R409" s="21" t="str">
        <f>IFERROR(__xludf.DUMMYFUNCTION("""COMPUTED_VALUE"""),"https://drive.google.com/file/d/1UL1WkgfhoxDomn1zx80osWkKz3cdyLf7/view?usp=drivesdk")</f>
        <v>https://drive.google.com/file/d/1UL1WkgfhoxDomn1zx80osWkKz3cdyLf7/view?usp=drivesdk</v>
      </c>
    </row>
    <row r="410">
      <c r="A410" s="15" t="str">
        <f>IFERROR(__xludf.DUMMYFUNCTION("""COMPUTED_VALUE"""),"")</f>
        <v/>
      </c>
      <c r="B410" s="16" t="str">
        <f>IFERROR(__xludf.DUMMYFUNCTION("""COMPUTED_VALUE"""),"")</f>
        <v/>
      </c>
      <c r="C410" s="15" t="str">
        <f>IFERROR(__xludf.DUMMYFUNCTION("""COMPUTED_VALUE"""),"")</f>
        <v/>
      </c>
      <c r="D410" s="15" t="str">
        <f>IFERROR(__xludf.DUMMYFUNCTION("""COMPUTED_VALUE"""),"")</f>
        <v/>
      </c>
      <c r="E410" s="15" t="str">
        <f>IFERROR(__xludf.DUMMYFUNCTION("""COMPUTED_VALUE"""),"")</f>
        <v/>
      </c>
      <c r="F410" s="17" t="str">
        <f>IFERROR(__xludf.DUMMYFUNCTION("""COMPUTED_VALUE"""),"")</f>
        <v/>
      </c>
      <c r="G410" s="15" t="str">
        <f>IFERROR(__xludf.DUMMYFUNCTION("""COMPUTED_VALUE"""),"")</f>
        <v/>
      </c>
      <c r="H410" s="18" t="str">
        <f>IFERROR(__xludf.DUMMYFUNCTION("""COMPUTED_VALUE"""),"")</f>
        <v/>
      </c>
      <c r="I410" s="18" t="str">
        <f>IFERROR(__xludf.DUMMYFUNCTION("""COMPUTED_VALUE"""),"")</f>
        <v/>
      </c>
      <c r="J410" s="18" t="str">
        <f>IFERROR(__xludf.DUMMYFUNCTION("""COMPUTED_VALUE"""),"")</f>
        <v/>
      </c>
      <c r="K410" s="17" t="str">
        <f>IFERROR(__xludf.DUMMYFUNCTION("""COMPUTED_VALUE"""),"")</f>
        <v/>
      </c>
      <c r="L410" s="17" t="str">
        <f>IFERROR(__xludf.DUMMYFUNCTION("""COMPUTED_VALUE"""),"")</f>
        <v/>
      </c>
      <c r="M410" s="17" t="str">
        <f>IFERROR(__xludf.DUMMYFUNCTION("""COMPUTED_VALUE"""),"")</f>
        <v/>
      </c>
      <c r="N410" s="19" t="str">
        <f>IFERROR(__xludf.DUMMYFUNCTION("""COMPUTED_VALUE"""),"")</f>
        <v/>
      </c>
      <c r="O410" s="19" t="str">
        <f>IFERROR(__xludf.DUMMYFUNCTION("""COMPUTED_VALUE"""),"")</f>
        <v/>
      </c>
      <c r="P410" s="17" t="str">
        <f>IFERROR(__xludf.DUMMYFUNCTION("""COMPUTED_VALUE"""),"")</f>
        <v/>
      </c>
      <c r="Q410" s="20" t="str">
        <f>IFERROR(__xludf.DUMMYFUNCTION("""COMPUTED_VALUE"""),"")</f>
        <v/>
      </c>
      <c r="R410" s="22" t="str">
        <f>IFERROR(__xludf.DUMMYFUNCTION("""COMPUTED_VALUE"""),"")</f>
        <v/>
      </c>
    </row>
    <row r="411">
      <c r="A411" s="15">
        <f>IFERROR(__xludf.DUMMYFUNCTION("""COMPUTED_VALUE"""),45008.0)</f>
        <v>45008</v>
      </c>
      <c r="B411" s="16" t="str">
        <f>IFERROR(__xludf.DUMMYFUNCTION("""COMPUTED_VALUE"""),"Orlando Urdaneta Rincon ")</f>
        <v>Orlando Urdaneta Rincon </v>
      </c>
      <c r="C411" s="15" t="str">
        <f>IFERROR(__xludf.DUMMYFUNCTION("""COMPUTED_VALUE"""),"SANTA MARTA")</f>
        <v>SANTA MARTA</v>
      </c>
      <c r="D411" s="15" t="str">
        <f>IFERROR(__xludf.DUMMYFUNCTION("""COMPUTED_VALUE"""),"BOGOTÁ")</f>
        <v>BOGOTÁ</v>
      </c>
      <c r="E411" s="15" t="str">
        <f>IFERROR(__xludf.DUMMYFUNCTION("""COMPUTED_VALUE"""),"Evamazzita")</f>
        <v>Evamazzita</v>
      </c>
      <c r="F411" s="17" t="str">
        <f>IFERROR(__xludf.DUMMYFUNCTION("""COMPUTED_VALUE"""),"CALLE 10 No. 20 - 80  / N/A / ALMENDROS")</f>
        <v>CALLE 10 No. 20 - 80  / N/A / ALMENDROS</v>
      </c>
      <c r="G411" s="15" t="str">
        <f>IFERROR(__xludf.DUMMYFUNCTION("""COMPUTED_VALUE"""),"MAYRA ALEJANDRA GONZALEZ MEDINA")</f>
        <v>MAYRA ALEJANDRA GONZALEZ MEDINA</v>
      </c>
      <c r="H411" s="18">
        <f>IFERROR(__xludf.DUMMYFUNCTION("""COMPUTED_VALUE"""),9092.0)</f>
        <v>9092</v>
      </c>
      <c r="I411" s="18">
        <f>IFERROR(__xludf.DUMMYFUNCTION("""COMPUTED_VALUE"""),3.0)</f>
        <v>3</v>
      </c>
      <c r="J411" s="18">
        <f>IFERROR(__xludf.DUMMYFUNCTION("""COMPUTED_VALUE"""),20.0)</f>
        <v>20</v>
      </c>
      <c r="K411" s="18">
        <f>IFERROR(__xludf.DUMMYFUNCTION("""COMPUTED_VALUE"""),15.0)</f>
        <v>15</v>
      </c>
      <c r="L411" s="17">
        <f>IFERROR(__xludf.DUMMYFUNCTION("""COMPUTED_VALUE"""),3.187045979E9)</f>
        <v>3187045979</v>
      </c>
      <c r="M411" s="17" t="str">
        <f>IFERROR(__xludf.DUMMYFUNCTION("""COMPUTED_VALUE"""),"#REF!")</f>
        <v>#REF!</v>
      </c>
      <c r="N411" s="17"/>
      <c r="O411" s="19" t="str">
        <f>IFERROR(__xludf.DUMMYFUNCTION("""COMPUTED_VALUE"""),"")</f>
        <v/>
      </c>
      <c r="P411" s="17" t="b">
        <f>IFERROR(__xludf.DUMMYFUNCTION("""COMPUTED_VALUE"""),TRUE)</f>
        <v>1</v>
      </c>
      <c r="Q411" s="20">
        <f>IFERROR(__xludf.DUMMYFUNCTION("""COMPUTED_VALUE"""),45008.53231462963)</f>
        <v>45008.53231</v>
      </c>
      <c r="R411" s="22" t="str">
        <f>IFERROR(__xludf.DUMMYFUNCTION("""COMPUTED_VALUE"""),"")</f>
        <v/>
      </c>
    </row>
    <row r="412">
      <c r="A412" s="15">
        <f>IFERROR(__xludf.DUMMYFUNCTION("""COMPUTED_VALUE"""),45008.0)</f>
        <v>45008</v>
      </c>
      <c r="B412" s="16" t="str">
        <f>IFERROR(__xludf.DUMMYFUNCTION("""COMPUTED_VALUE"""),"Orlando Urdaneta Rincon ")</f>
        <v>Orlando Urdaneta Rincon </v>
      </c>
      <c r="C412" s="15" t="str">
        <f>IFERROR(__xludf.DUMMYFUNCTION("""COMPUTED_VALUE"""),"SANTA MARTA")</f>
        <v>SANTA MARTA</v>
      </c>
      <c r="D412" s="15" t="str">
        <f>IFERROR(__xludf.DUMMYFUNCTION("""COMPUTED_VALUE"""),"BOGOTÁ")</f>
        <v>BOGOTÁ</v>
      </c>
      <c r="E412" s="15" t="str">
        <f>IFERROR(__xludf.DUMMYFUNCTION("""COMPUTED_VALUE"""),"Evamazzita")</f>
        <v>Evamazzita</v>
      </c>
      <c r="F412" s="17" t="str">
        <f>IFERROR(__xludf.DUMMYFUNCTION("""COMPUTED_VALUE"""),"Calle 112#12-86  / casa 7  / barrio la paz")</f>
        <v>Calle 112#12-86  / casa 7  / barrio la paz</v>
      </c>
      <c r="G412" s="15" t="str">
        <f>IFERROR(__xludf.DUMMYFUNCTION("""COMPUTED_VALUE"""),"ANGIE SALINAS GALVIS")</f>
        <v>ANGIE SALINAS GALVIS</v>
      </c>
      <c r="H412" s="18">
        <f>IFERROR(__xludf.DUMMYFUNCTION("""COMPUTED_VALUE"""),9091.0)</f>
        <v>9091</v>
      </c>
      <c r="I412" s="18">
        <f>IFERROR(__xludf.DUMMYFUNCTION("""COMPUTED_VALUE"""),10.0)</f>
        <v>10</v>
      </c>
      <c r="J412" s="18">
        <f>IFERROR(__xludf.DUMMYFUNCTION("""COMPUTED_VALUE"""),18.0)</f>
        <v>18</v>
      </c>
      <c r="K412" s="18">
        <f>IFERROR(__xludf.DUMMYFUNCTION("""COMPUTED_VALUE"""),22.0)</f>
        <v>22</v>
      </c>
      <c r="L412" s="17">
        <f>IFERROR(__xludf.DUMMYFUNCTION("""COMPUTED_VALUE"""),3.008802987E9)</f>
        <v>3008802987</v>
      </c>
      <c r="M412" s="17" t="str">
        <f>IFERROR(__xludf.DUMMYFUNCTION("""COMPUTED_VALUE"""),"#REF!")</f>
        <v>#REF!</v>
      </c>
      <c r="N412" s="17"/>
      <c r="O412" s="19" t="str">
        <f>IFERROR(__xludf.DUMMYFUNCTION("""COMPUTED_VALUE"""),"")</f>
        <v/>
      </c>
      <c r="P412" s="17" t="b">
        <f>IFERROR(__xludf.DUMMYFUNCTION("""COMPUTED_VALUE"""),TRUE)</f>
        <v>1</v>
      </c>
      <c r="Q412" s="20">
        <f>IFERROR(__xludf.DUMMYFUNCTION("""COMPUTED_VALUE"""),45008.53233231482)</f>
        <v>45008.53233</v>
      </c>
      <c r="R412" s="22" t="str">
        <f>IFERROR(__xludf.DUMMYFUNCTION("""COMPUTED_VALUE"""),"")</f>
        <v/>
      </c>
    </row>
    <row r="413">
      <c r="A413" s="15">
        <f>IFERROR(__xludf.DUMMYFUNCTION("""COMPUTED_VALUE"""),45008.0)</f>
        <v>45008</v>
      </c>
      <c r="B413" s="16" t="str">
        <f>IFERROR(__xludf.DUMMYFUNCTION("""COMPUTED_VALUE"""),"Orlando Urdaneta Rincon ")</f>
        <v>Orlando Urdaneta Rincon </v>
      </c>
      <c r="C413" s="15" t="str">
        <f>IFERROR(__xludf.DUMMYFUNCTION("""COMPUTED_VALUE"""),"SANTA MARTA")</f>
        <v>SANTA MARTA</v>
      </c>
      <c r="D413" s="15" t="str">
        <f>IFERROR(__xludf.DUMMYFUNCTION("""COMPUTED_VALUE"""),"BOGOTÁ")</f>
        <v>BOGOTÁ</v>
      </c>
      <c r="E413" s="15" t="str">
        <f>IFERROR(__xludf.DUMMYFUNCTION("""COMPUTED_VALUE"""),"Evamazzita")</f>
        <v>Evamazzita</v>
      </c>
      <c r="F413" s="17" t="str">
        <f>IFERROR(__xludf.DUMMYFUNCTION("""COMPUTED_VALUE"""),"Calle 45A # 29C-22 / casa 20 (conjunto cerrado villas de andalucia)   / Santa Cruz")</f>
        <v>Calle 45A # 29C-22 / casa 20 (conjunto cerrado villas de andalucia)   / Santa Cruz</v>
      </c>
      <c r="G413" s="15" t="str">
        <f>IFERROR(__xludf.DUMMYFUNCTION("""COMPUTED_VALUE"""),"ALEJANDRA JORDI")</f>
        <v>ALEJANDRA JORDI</v>
      </c>
      <c r="H413" s="18">
        <f>IFERROR(__xludf.DUMMYFUNCTION("""COMPUTED_VALUE"""),9090.0)</f>
        <v>9090</v>
      </c>
      <c r="I413" s="18">
        <f>IFERROR(__xludf.DUMMYFUNCTION("""COMPUTED_VALUE"""),3.0)</f>
        <v>3</v>
      </c>
      <c r="J413" s="18">
        <f>IFERROR(__xludf.DUMMYFUNCTION("""COMPUTED_VALUE"""),20.0)</f>
        <v>20</v>
      </c>
      <c r="K413" s="18">
        <f>IFERROR(__xludf.DUMMYFUNCTION("""COMPUTED_VALUE"""),15.0)</f>
        <v>15</v>
      </c>
      <c r="L413" s="17">
        <f>IFERROR(__xludf.DUMMYFUNCTION("""COMPUTED_VALUE"""),3.017563592E9)</f>
        <v>3017563592</v>
      </c>
      <c r="M413" s="17" t="str">
        <f>IFERROR(__xludf.DUMMYFUNCTION("""COMPUTED_VALUE"""),"#REF!")</f>
        <v>#REF!</v>
      </c>
      <c r="N413" s="17"/>
      <c r="O413" s="19" t="str">
        <f>IFERROR(__xludf.DUMMYFUNCTION("""COMPUTED_VALUE"""),"")</f>
        <v/>
      </c>
      <c r="P413" s="17" t="b">
        <f>IFERROR(__xludf.DUMMYFUNCTION("""COMPUTED_VALUE"""),TRUE)</f>
        <v>1</v>
      </c>
      <c r="Q413" s="20">
        <f>IFERROR(__xludf.DUMMYFUNCTION("""COMPUTED_VALUE"""),45008.532362453705)</f>
        <v>45008.53236</v>
      </c>
      <c r="R413" s="22" t="str">
        <f>IFERROR(__xludf.DUMMYFUNCTION("""COMPUTED_VALUE"""),"")</f>
        <v/>
      </c>
    </row>
    <row r="414">
      <c r="A414" s="15">
        <f>IFERROR(__xludf.DUMMYFUNCTION("""COMPUTED_VALUE"""),45008.0)</f>
        <v>45008</v>
      </c>
      <c r="B414" s="16" t="str">
        <f>IFERROR(__xludf.DUMMYFUNCTION("""COMPUTED_VALUE"""),"Orlando Urdaneta Rincon ")</f>
        <v>Orlando Urdaneta Rincon </v>
      </c>
      <c r="C414" s="15" t="str">
        <f>IFERROR(__xludf.DUMMYFUNCTION("""COMPUTED_VALUE"""),"SANTA MARTA")</f>
        <v>SANTA MARTA</v>
      </c>
      <c r="D414" s="15" t="str">
        <f>IFERROR(__xludf.DUMMYFUNCTION("""COMPUTED_VALUE"""),"BOGOTÁ")</f>
        <v>BOGOTÁ</v>
      </c>
      <c r="E414" s="15" t="str">
        <f>IFERROR(__xludf.DUMMYFUNCTION("""COMPUTED_VALUE"""),"Evamazzita")</f>
        <v>Evamazzita</v>
      </c>
      <c r="F414" s="17" t="str">
        <f>IFERROR(__xludf.DUMMYFUNCTION("""COMPUTED_VALUE"""),"Urbanización Sierradentro  / Mz 7 casa 23 / Urbanización Sierradentro")</f>
        <v>Urbanización Sierradentro  / Mz 7 casa 23 / Urbanización Sierradentro</v>
      </c>
      <c r="G414" s="15" t="str">
        <f>IFERROR(__xludf.DUMMYFUNCTION("""COMPUTED_VALUE"""),"YINETH TATIANA PEREZ TORRES")</f>
        <v>YINETH TATIANA PEREZ TORRES</v>
      </c>
      <c r="H414" s="18">
        <f>IFERROR(__xludf.DUMMYFUNCTION("""COMPUTED_VALUE"""),9089.0)</f>
        <v>9089</v>
      </c>
      <c r="I414" s="18">
        <f>IFERROR(__xludf.DUMMYFUNCTION("""COMPUTED_VALUE"""),3.0)</f>
        <v>3</v>
      </c>
      <c r="J414" s="18">
        <f>IFERROR(__xludf.DUMMYFUNCTION("""COMPUTED_VALUE"""),20.0)</f>
        <v>20</v>
      </c>
      <c r="K414" s="18">
        <f>IFERROR(__xludf.DUMMYFUNCTION("""COMPUTED_VALUE"""),15.0)</f>
        <v>15</v>
      </c>
      <c r="L414" s="17">
        <f>IFERROR(__xludf.DUMMYFUNCTION("""COMPUTED_VALUE"""),3.165250569E9)</f>
        <v>3165250569</v>
      </c>
      <c r="M414" s="17" t="str">
        <f>IFERROR(__xludf.DUMMYFUNCTION("""COMPUTED_VALUE"""),"#REF!")</f>
        <v>#REF!</v>
      </c>
      <c r="N414" s="17"/>
      <c r="O414" s="19" t="str">
        <f>IFERROR(__xludf.DUMMYFUNCTION("""COMPUTED_VALUE"""),"")</f>
        <v/>
      </c>
      <c r="P414" s="17" t="b">
        <f>IFERROR(__xludf.DUMMYFUNCTION("""COMPUTED_VALUE"""),TRUE)</f>
        <v>1</v>
      </c>
      <c r="Q414" s="20">
        <f>IFERROR(__xludf.DUMMYFUNCTION("""COMPUTED_VALUE"""),45008.53237099537)</f>
        <v>45008.53237</v>
      </c>
      <c r="R414" s="22" t="str">
        <f>IFERROR(__xludf.DUMMYFUNCTION("""COMPUTED_VALUE"""),"")</f>
        <v/>
      </c>
    </row>
    <row r="415">
      <c r="A415" s="15" t="str">
        <f>IFERROR(__xludf.DUMMYFUNCTION("""COMPUTED_VALUE"""),"")</f>
        <v/>
      </c>
      <c r="B415" s="16" t="str">
        <f>IFERROR(__xludf.DUMMYFUNCTION("""COMPUTED_VALUE"""),"")</f>
        <v/>
      </c>
      <c r="C415" s="15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7" t="str">
        <f>IFERROR(__xludf.DUMMYFUNCTION("""COMPUTED_VALUE"""),"")</f>
        <v/>
      </c>
      <c r="G415" s="15" t="str">
        <f>IFERROR(__xludf.DUMMYFUNCTION("""COMPUTED_VALUE"""),"")</f>
        <v/>
      </c>
      <c r="H415" s="18" t="str">
        <f>IFERROR(__xludf.DUMMYFUNCTION("""COMPUTED_VALUE"""),"")</f>
        <v/>
      </c>
      <c r="I415" s="18" t="str">
        <f>IFERROR(__xludf.DUMMYFUNCTION("""COMPUTED_VALUE"""),"")</f>
        <v/>
      </c>
      <c r="J415" s="18" t="str">
        <f>IFERROR(__xludf.DUMMYFUNCTION("""COMPUTED_VALUE"""),"")</f>
        <v/>
      </c>
      <c r="K415" s="17" t="str">
        <f>IFERROR(__xludf.DUMMYFUNCTION("""COMPUTED_VALUE"""),"")</f>
        <v/>
      </c>
      <c r="L415" s="17" t="str">
        <f>IFERROR(__xludf.DUMMYFUNCTION("""COMPUTED_VALUE"""),"")</f>
        <v/>
      </c>
      <c r="M415" s="17" t="str">
        <f>IFERROR(__xludf.DUMMYFUNCTION("""COMPUTED_VALUE"""),"")</f>
        <v/>
      </c>
      <c r="N415" s="19" t="str">
        <f>IFERROR(__xludf.DUMMYFUNCTION("""COMPUTED_VALUE"""),"")</f>
        <v/>
      </c>
      <c r="O415" s="19" t="str">
        <f>IFERROR(__xludf.DUMMYFUNCTION("""COMPUTED_VALUE"""),"")</f>
        <v/>
      </c>
      <c r="P415" s="17" t="str">
        <f>IFERROR(__xludf.DUMMYFUNCTION("""COMPUTED_VALUE"""),"")</f>
        <v/>
      </c>
      <c r="Q415" s="20" t="str">
        <f>IFERROR(__xludf.DUMMYFUNCTION("""COMPUTED_VALUE"""),"")</f>
        <v/>
      </c>
      <c r="R415" s="22" t="str">
        <f>IFERROR(__xludf.DUMMYFUNCTION("""COMPUTED_VALUE"""),"")</f>
        <v/>
      </c>
    </row>
    <row r="416">
      <c r="A416" s="15">
        <f>IFERROR(__xludf.DUMMYFUNCTION("""COMPUTED_VALUE"""),45009.0)</f>
        <v>45009</v>
      </c>
      <c r="B416" s="16" t="str">
        <f>IFERROR(__xludf.DUMMYFUNCTION("""COMPUTED_VALUE"""),"Angie Daniela Meneses ")</f>
        <v>Angie Daniela Meneses </v>
      </c>
      <c r="C416" s="15" t="str">
        <f>IFERROR(__xludf.DUMMYFUNCTION("""COMPUTED_VALUE"""),"CARTAGENA")</f>
        <v>CARTAGENA</v>
      </c>
      <c r="D416" s="15" t="str">
        <f>IFERROR(__xludf.DUMMYFUNCTION("""COMPUTED_VALUE"""),"BOGOTÁ")</f>
        <v>BOGOTÁ</v>
      </c>
      <c r="E416" s="15" t="str">
        <f>IFERROR(__xludf.DUMMYFUNCTION("""COMPUTED_VALUE"""),"Mochi")</f>
        <v>Mochi</v>
      </c>
      <c r="F416" s="17" t="str">
        <f>IFERROR(__xludf.DUMMYFUNCTION("""COMPUTED_VALUE"""),"CRA 11 39 21 / serrezuela / SERREZUELA")</f>
        <v>CRA 11 39 21 / serrezuela / SERREZUELA</v>
      </c>
      <c r="G416" s="15" t="str">
        <f>IFERROR(__xludf.DUMMYFUNCTION("""COMPUTED_VALUE"""),"Maria Camila")</f>
        <v>Maria Camila</v>
      </c>
      <c r="H416" s="18">
        <f>IFERROR(__xludf.DUMMYFUNCTION("""COMPUTED_VALUE"""),9129.0)</f>
        <v>9129</v>
      </c>
      <c r="I416" s="18">
        <f>IFERROR(__xludf.DUMMYFUNCTION("""COMPUTED_VALUE"""),110.0)</f>
        <v>110</v>
      </c>
      <c r="J416" s="18">
        <f>IFERROR(__xludf.DUMMYFUNCTION("""COMPUTED_VALUE"""),45.0)</f>
        <v>45</v>
      </c>
      <c r="K416" s="18" t="str">
        <f>IFERROR(__xludf.DUMMYFUNCTION("""COMPUTED_VALUE"""),"52.5")</f>
        <v>52.5</v>
      </c>
      <c r="L416" s="17">
        <f>IFERROR(__xludf.DUMMYFUNCTION("""COMPUTED_VALUE"""),3.016026252E9)</f>
        <v>3016026252</v>
      </c>
      <c r="M416" s="17" t="str">
        <f>IFERROR(__xludf.DUMMYFUNCTION("""COMPUTED_VALUE"""),"#REF!")</f>
        <v>#REF!</v>
      </c>
      <c r="N416" s="17"/>
      <c r="O416" s="19" t="str">
        <f>IFERROR(__xludf.DUMMYFUNCTION("""COMPUTED_VALUE"""),"")</f>
        <v/>
      </c>
      <c r="P416" s="17" t="b">
        <f>IFERROR(__xludf.DUMMYFUNCTION("""COMPUTED_VALUE"""),TRUE)</f>
        <v>1</v>
      </c>
      <c r="Q416" s="20">
        <f>IFERROR(__xludf.DUMMYFUNCTION("""COMPUTED_VALUE"""),45012.5873975463)</f>
        <v>45012.5874</v>
      </c>
      <c r="R416" s="22" t="str">
        <f>IFERROR(__xludf.DUMMYFUNCTION("""COMPUTED_VALUE"""),"")</f>
        <v/>
      </c>
    </row>
    <row r="417">
      <c r="A417" s="15">
        <f>IFERROR(__xludf.DUMMYFUNCTION("""COMPUTED_VALUE"""),45009.0)</f>
        <v>45009</v>
      </c>
      <c r="B417" s="16" t="str">
        <f>IFERROR(__xludf.DUMMYFUNCTION("""COMPUTED_VALUE"""),"Angie Daniela Meneses ")</f>
        <v>Angie Daniela Meneses </v>
      </c>
      <c r="C417" s="15" t="str">
        <f>IFERROR(__xludf.DUMMYFUNCTION("""COMPUTED_VALUE"""),"POPAYAN")</f>
        <v>POPAYAN</v>
      </c>
      <c r="D417" s="15" t="str">
        <f>IFERROR(__xludf.DUMMYFUNCTION("""COMPUTED_VALUE"""),"MEDELLÍN")</f>
        <v>MEDELLÍN</v>
      </c>
      <c r="E417" s="15" t="str">
        <f>IFERROR(__xludf.DUMMYFUNCTION("""COMPUTED_VALUE"""),"Baby Chef")</f>
        <v>Baby Chef</v>
      </c>
      <c r="F417" s="17" t="str">
        <f>IFERROR(__xludf.DUMMYFUNCTION("""COMPUTED_VALUE"""),"CARRERA 6C NO 35N 98 APTO 105A RESERVA DE LA HACIENDA / CARRERA 6C NO 35N 98 APTO 105A RESERVA DE LA HACIENDA / CARRERA 6C NO 35N 98 APTO 105A RESERVA DE LA HACIENDA")</f>
        <v>CARRERA 6C NO 35N 98 APTO 105A RESERVA DE LA HACIENDA / CARRERA 6C NO 35N 98 APTO 105A RESERVA DE LA HACIENDA / CARRERA 6C NO 35N 98 APTO 105A RESERVA DE LA HACIENDA</v>
      </c>
      <c r="G417" s="15" t="str">
        <f>IFERROR(__xludf.DUMMYFUNCTION("""COMPUTED_VALUE"""),"ADALI OJEDA")</f>
        <v>ADALI OJEDA</v>
      </c>
      <c r="H417" s="18">
        <f>IFERROR(__xludf.DUMMYFUNCTION("""COMPUTED_VALUE"""),9079.0)</f>
        <v>9079</v>
      </c>
      <c r="I417" s="18">
        <f>IFERROR(__xludf.DUMMYFUNCTION("""COMPUTED_VALUE"""),8.0)</f>
        <v>8</v>
      </c>
      <c r="J417" s="18">
        <f>IFERROR(__xludf.DUMMYFUNCTION("""COMPUTED_VALUE"""),20.0)</f>
        <v>20</v>
      </c>
      <c r="K417" s="18">
        <f>IFERROR(__xludf.DUMMYFUNCTION("""COMPUTED_VALUE"""),16.0)</f>
        <v>16</v>
      </c>
      <c r="L417" s="17">
        <f>IFERROR(__xludf.DUMMYFUNCTION("""COMPUTED_VALUE"""),3.117351299E9)</f>
        <v>3117351299</v>
      </c>
      <c r="M417" s="17" t="str">
        <f>IFERROR(__xludf.DUMMYFUNCTION("""COMPUTED_VALUE"""),"#REF!")</f>
        <v>#REF!</v>
      </c>
      <c r="N417" s="17"/>
      <c r="O417" s="19" t="str">
        <f>IFERROR(__xludf.DUMMYFUNCTION("""COMPUTED_VALUE"""),"")</f>
        <v/>
      </c>
      <c r="P417" s="17" t="b">
        <f>IFERROR(__xludf.DUMMYFUNCTION("""COMPUTED_VALUE"""),TRUE)</f>
        <v>1</v>
      </c>
      <c r="Q417" s="20">
        <f>IFERROR(__xludf.DUMMYFUNCTION("""COMPUTED_VALUE"""),45012.5873975463)</f>
        <v>45012.5874</v>
      </c>
      <c r="R417" s="22" t="str">
        <f>IFERROR(__xludf.DUMMYFUNCTION("""COMPUTED_VALUE"""),"")</f>
        <v/>
      </c>
    </row>
    <row r="418">
      <c r="A418" s="15">
        <f>IFERROR(__xludf.DUMMYFUNCTION("""COMPUTED_VALUE"""),45009.0)</f>
        <v>45009</v>
      </c>
      <c r="B418" s="16" t="str">
        <f>IFERROR(__xludf.DUMMYFUNCTION("""COMPUTED_VALUE"""),"Angie Daniela Meneses ")</f>
        <v>Angie Daniela Meneses </v>
      </c>
      <c r="C418" s="15" t="str">
        <f>IFERROR(__xludf.DUMMYFUNCTION("""COMPUTED_VALUE"""),"POPAYAN")</f>
        <v>POPAYAN</v>
      </c>
      <c r="D418" s="15" t="str">
        <f>IFERROR(__xludf.DUMMYFUNCTION("""COMPUTED_VALUE"""),"MEDELLÍN")</f>
        <v>MEDELLÍN</v>
      </c>
      <c r="E418" s="15" t="str">
        <f>IFERROR(__xludf.DUMMYFUNCTION("""COMPUTED_VALUE"""),"Baby Chef")</f>
        <v>Baby Chef</v>
      </c>
      <c r="F418" s="17" t="str">
        <f>IFERROR(__xludf.DUMMYFUNCTION("""COMPUTED_VALUE"""),"Condominio Montelugano Casa 56  / Via al Bosque  / Via al Bosque")</f>
        <v>Condominio Montelugano Casa 56  / Via al Bosque  / Via al Bosque</v>
      </c>
      <c r="G418" s="15" t="str">
        <f>IFERROR(__xludf.DUMMYFUNCTION("""COMPUTED_VALUE"""),"Julieta Samboni")</f>
        <v>Julieta Samboni</v>
      </c>
      <c r="H418" s="18">
        <f>IFERROR(__xludf.DUMMYFUNCTION("""COMPUTED_VALUE"""),9081.0)</f>
        <v>9081</v>
      </c>
      <c r="I418" s="18">
        <f>IFERROR(__xludf.DUMMYFUNCTION("""COMPUTED_VALUE"""),8.0)</f>
        <v>8</v>
      </c>
      <c r="J418" s="18">
        <f>IFERROR(__xludf.DUMMYFUNCTION("""COMPUTED_VALUE"""),16.0)</f>
        <v>16</v>
      </c>
      <c r="K418" s="18">
        <f>IFERROR(__xludf.DUMMYFUNCTION("""COMPUTED_VALUE"""),20.0)</f>
        <v>20</v>
      </c>
      <c r="L418" s="17">
        <f>IFERROR(__xludf.DUMMYFUNCTION("""COMPUTED_VALUE"""),3.217818258E9)</f>
        <v>3217818258</v>
      </c>
      <c r="M418" s="17" t="str">
        <f>IFERROR(__xludf.DUMMYFUNCTION("""COMPUTED_VALUE"""),"#REF!")</f>
        <v>#REF!</v>
      </c>
      <c r="N418" s="17"/>
      <c r="O418" s="19" t="str">
        <f>IFERROR(__xludf.DUMMYFUNCTION("""COMPUTED_VALUE"""),"")</f>
        <v/>
      </c>
      <c r="P418" s="17" t="b">
        <f>IFERROR(__xludf.DUMMYFUNCTION("""COMPUTED_VALUE"""),TRUE)</f>
        <v>1</v>
      </c>
      <c r="Q418" s="20">
        <f>IFERROR(__xludf.DUMMYFUNCTION("""COMPUTED_VALUE"""),45012.58739755787)</f>
        <v>45012.5874</v>
      </c>
      <c r="R418" s="22" t="str">
        <f>IFERROR(__xludf.DUMMYFUNCTION("""COMPUTED_VALUE"""),"")</f>
        <v/>
      </c>
    </row>
    <row r="419">
      <c r="A419" s="15" t="str">
        <f>IFERROR(__xludf.DUMMYFUNCTION("""COMPUTED_VALUE"""),"")</f>
        <v/>
      </c>
      <c r="B419" s="16" t="str">
        <f>IFERROR(__xludf.DUMMYFUNCTION("""COMPUTED_VALUE"""),"")</f>
        <v/>
      </c>
      <c r="C419" s="15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7" t="str">
        <f>IFERROR(__xludf.DUMMYFUNCTION("""COMPUTED_VALUE"""),"")</f>
        <v/>
      </c>
      <c r="G419" s="15" t="str">
        <f>IFERROR(__xludf.DUMMYFUNCTION("""COMPUTED_VALUE"""),"")</f>
        <v/>
      </c>
      <c r="H419" s="18" t="str">
        <f>IFERROR(__xludf.DUMMYFUNCTION("""COMPUTED_VALUE"""),"")</f>
        <v/>
      </c>
      <c r="I419" s="18" t="str">
        <f>IFERROR(__xludf.DUMMYFUNCTION("""COMPUTED_VALUE"""),"")</f>
        <v/>
      </c>
      <c r="J419" s="18" t="str">
        <f>IFERROR(__xludf.DUMMYFUNCTION("""COMPUTED_VALUE"""),"")</f>
        <v/>
      </c>
      <c r="K419" s="17" t="str">
        <f>IFERROR(__xludf.DUMMYFUNCTION("""COMPUTED_VALUE"""),"")</f>
        <v/>
      </c>
      <c r="L419" s="17" t="str">
        <f>IFERROR(__xludf.DUMMYFUNCTION("""COMPUTED_VALUE"""),"")</f>
        <v/>
      </c>
      <c r="M419" s="17" t="str">
        <f>IFERROR(__xludf.DUMMYFUNCTION("""COMPUTED_VALUE"""),"")</f>
        <v/>
      </c>
      <c r="N419" s="19" t="str">
        <f>IFERROR(__xludf.DUMMYFUNCTION("""COMPUTED_VALUE"""),"")</f>
        <v/>
      </c>
      <c r="O419" s="19" t="str">
        <f>IFERROR(__xludf.DUMMYFUNCTION("""COMPUTED_VALUE"""),"")</f>
        <v/>
      </c>
      <c r="P419" s="17" t="str">
        <f>IFERROR(__xludf.DUMMYFUNCTION("""COMPUTED_VALUE"""),"")</f>
        <v/>
      </c>
      <c r="Q419" s="20" t="str">
        <f>IFERROR(__xludf.DUMMYFUNCTION("""COMPUTED_VALUE"""),"")</f>
        <v/>
      </c>
      <c r="R419" s="22" t="str">
        <f>IFERROR(__xludf.DUMMYFUNCTION("""COMPUTED_VALUE"""),"")</f>
        <v/>
      </c>
    </row>
    <row r="420">
      <c r="A420" s="15">
        <f>IFERROR(__xludf.DUMMYFUNCTION("""COMPUTED_VALUE"""),45009.0)</f>
        <v>45009</v>
      </c>
      <c r="B420" s="16" t="str">
        <f>IFERROR(__xludf.DUMMYFUNCTION("""COMPUTED_VALUE"""),"Envia")</f>
        <v>Envia</v>
      </c>
      <c r="C420" s="15" t="str">
        <f>IFERROR(__xludf.DUMMYFUNCTION("""COMPUTED_VALUE"""),"ARMENIA")</f>
        <v>ARMENIA</v>
      </c>
      <c r="D420" s="15" t="str">
        <f>IFERROR(__xludf.DUMMYFUNCTION("""COMPUTED_VALUE"""),"BOGOTÁ")</f>
        <v>BOGOTÁ</v>
      </c>
      <c r="E420" s="15" t="str">
        <f>IFERROR(__xludf.DUMMYFUNCTION("""COMPUTED_VALUE"""),"Pan de Waffle")</f>
        <v>Pan de Waffle</v>
      </c>
      <c r="F420" s="17" t="str">
        <f>IFERROR(__xludf.DUMMYFUNCTION("""COMPUTED_VALUE"""),"carrera 13 # 9a - 58, local 5, con la castellana / carrera 13 # 9a - 58, local 5, con la castellana / carrera 13 # 9a - 58, local 5, con la castellana")</f>
        <v>carrera 13 # 9a - 58, local 5, con la castellana / carrera 13 # 9a - 58, local 5, con la castellana / carrera 13 # 9a - 58, local 5, con la castellana</v>
      </c>
      <c r="G420" s="15" t="str">
        <f>IFERROR(__xludf.DUMMYFUNCTION("""COMPUTED_VALUE"""),"Tienda Fitness Eco Armenia")</f>
        <v>Tienda Fitness Eco Armenia</v>
      </c>
      <c r="H420" s="18">
        <f>IFERROR(__xludf.DUMMYFUNCTION("""COMPUTED_VALUE"""),9139.0)</f>
        <v>9139</v>
      </c>
      <c r="I420" s="18">
        <f>IFERROR(__xludf.DUMMYFUNCTION("""COMPUTED_VALUE"""),30.0)</f>
        <v>30</v>
      </c>
      <c r="J420" s="18">
        <f>IFERROR(__xludf.DUMMYFUNCTION("""COMPUTED_VALUE"""),40.0)</f>
        <v>40</v>
      </c>
      <c r="K420" s="18">
        <f>IFERROR(__xludf.DUMMYFUNCTION("""COMPUTED_VALUE"""),30.0)</f>
        <v>30</v>
      </c>
      <c r="L420" s="17">
        <f>IFERROR(__xludf.DUMMYFUNCTION("""COMPUTED_VALUE"""),3.217007417E9)</f>
        <v>3217007417</v>
      </c>
      <c r="M420" s="17" t="str">
        <f>IFERROR(__xludf.DUMMYFUNCTION("""COMPUTED_VALUE"""),"#REF!")</f>
        <v>#REF!</v>
      </c>
      <c r="N420" s="17"/>
      <c r="O420" s="19" t="str">
        <f>IFERROR(__xludf.DUMMYFUNCTION("""COMPUTED_VALUE"""),"")</f>
        <v/>
      </c>
      <c r="P420" s="17" t="b">
        <f>IFERROR(__xludf.DUMMYFUNCTION("""COMPUTED_VALUE"""),TRUE)</f>
        <v>1</v>
      </c>
      <c r="Q420" s="20">
        <f>IFERROR(__xludf.DUMMYFUNCTION("""COMPUTED_VALUE"""),45012.58739755787)</f>
        <v>45012.5874</v>
      </c>
      <c r="R420" s="22" t="str">
        <f>IFERROR(__xludf.DUMMYFUNCTION("""COMPUTED_VALUE"""),"")</f>
        <v/>
      </c>
    </row>
    <row r="421">
      <c r="A421" s="15">
        <f>IFERROR(__xludf.DUMMYFUNCTION("""COMPUTED_VALUE"""),45009.0)</f>
        <v>45009</v>
      </c>
      <c r="B421" s="16" t="str">
        <f>IFERROR(__xludf.DUMMYFUNCTION("""COMPUTED_VALUE"""),"Envia")</f>
        <v>Envia</v>
      </c>
      <c r="C421" s="15" t="str">
        <f>IFERROR(__xludf.DUMMYFUNCTION("""COMPUTED_VALUE"""),"BARRANQUILLA")</f>
        <v>BARRANQUILLA</v>
      </c>
      <c r="D421" s="15" t="str">
        <f>IFERROR(__xludf.DUMMYFUNCTION("""COMPUTED_VALUE"""),"BOGOTÁ")</f>
        <v>BOGOTÁ</v>
      </c>
      <c r="E421" s="15" t="str">
        <f>IFERROR(__xludf.DUMMYFUNCTION("""COMPUTED_VALUE"""),"Frambascolombia sas")</f>
        <v>Frambascolombia sas</v>
      </c>
      <c r="F421" s="17" t="str">
        <f>IFERROR(__xludf.DUMMYFUNCTION("""COMPUTED_VALUE"""),"Cra. 53 # 68-55")</f>
        <v>Cra. 53 # 68-55</v>
      </c>
      <c r="G421" s="15" t="str">
        <f>IFERROR(__xludf.DUMMYFUNCTION("""COMPUTED_VALUE"""),"PikNPak Barranquilla")</f>
        <v>PikNPak Barranquilla</v>
      </c>
      <c r="H421" s="18">
        <f>IFERROR(__xludf.DUMMYFUNCTION("""COMPUTED_VALUE"""),9116.0)</f>
        <v>9116</v>
      </c>
      <c r="I421" s="18">
        <f>IFERROR(__xludf.DUMMYFUNCTION("""COMPUTED_VALUE"""),11.0)</f>
        <v>11</v>
      </c>
      <c r="J421" s="18">
        <f>IFERROR(__xludf.DUMMYFUNCTION("""COMPUTED_VALUE"""),9.0)</f>
        <v>9</v>
      </c>
      <c r="K421" s="18">
        <f>IFERROR(__xludf.DUMMYFUNCTION("""COMPUTED_VALUE"""),9.0)</f>
        <v>9</v>
      </c>
      <c r="L421" s="17" t="str">
        <f>IFERROR(__xludf.DUMMYFUNCTION("""COMPUTED_VALUE"""),"321 4229567")</f>
        <v>321 4229567</v>
      </c>
      <c r="M421" s="17" t="str">
        <f>IFERROR(__xludf.DUMMYFUNCTION("""COMPUTED_VALUE"""),"#REF!")</f>
        <v>#REF!</v>
      </c>
      <c r="N421" s="17"/>
      <c r="O421" s="19" t="str">
        <f>IFERROR(__xludf.DUMMYFUNCTION("""COMPUTED_VALUE"""),"")</f>
        <v/>
      </c>
      <c r="P421" s="17" t="b">
        <f>IFERROR(__xludf.DUMMYFUNCTION("""COMPUTED_VALUE"""),TRUE)</f>
        <v>1</v>
      </c>
      <c r="Q421" s="20">
        <f>IFERROR(__xludf.DUMMYFUNCTION("""COMPUTED_VALUE"""),45009.68609732639)</f>
        <v>45009.6861</v>
      </c>
      <c r="R421" s="22" t="str">
        <f>IFERROR(__xludf.DUMMYFUNCTION("""COMPUTED_VALUE"""),"")</f>
        <v/>
      </c>
    </row>
    <row r="422">
      <c r="A422" s="15">
        <f>IFERROR(__xludf.DUMMYFUNCTION("""COMPUTED_VALUE"""),45009.0)</f>
        <v>45009</v>
      </c>
      <c r="B422" s="16" t="str">
        <f>IFERROR(__xludf.DUMMYFUNCTION("""COMPUTED_VALUE"""),"Envia")</f>
        <v>Envia</v>
      </c>
      <c r="C422" s="15" t="str">
        <f>IFERROR(__xludf.DUMMYFUNCTION("""COMPUTED_VALUE"""),"BARRANQUILLA")</f>
        <v>BARRANQUILLA</v>
      </c>
      <c r="D422" s="15" t="str">
        <f>IFERROR(__xludf.DUMMYFUNCTION("""COMPUTED_VALUE"""),"BOGOTÁ")</f>
        <v>BOGOTÁ</v>
      </c>
      <c r="E422" s="15" t="str">
        <f>IFERROR(__xludf.DUMMYFUNCTION("""COMPUTED_VALUE"""),"Mochi")</f>
        <v>Mochi</v>
      </c>
      <c r="F422" s="17" t="str">
        <f>IFERROR(__xludf.DUMMYFUNCTION("""COMPUTED_VALUE"""),"CRA 51B 87 50 / VIVA / VIVA")</f>
        <v>CRA 51B 87 50 / VIVA / VIVA</v>
      </c>
      <c r="G422" s="15" t="str">
        <f>IFERROR(__xludf.DUMMYFUNCTION("""COMPUTED_VALUE"""),"Maria camila")</f>
        <v>Maria camila</v>
      </c>
      <c r="H422" s="18">
        <f>IFERROR(__xludf.DUMMYFUNCTION("""COMPUTED_VALUE"""),9130.0)</f>
        <v>9130</v>
      </c>
      <c r="I422" s="18">
        <f>IFERROR(__xludf.DUMMYFUNCTION("""COMPUTED_VALUE"""),165.0)</f>
        <v>165</v>
      </c>
      <c r="J422" s="18">
        <f>IFERROR(__xludf.DUMMYFUNCTION("""COMPUTED_VALUE"""),45.0)</f>
        <v>45</v>
      </c>
      <c r="K422" s="18" t="str">
        <f>IFERROR(__xludf.DUMMYFUNCTION("""COMPUTED_VALUE"""),"52.5")</f>
        <v>52.5</v>
      </c>
      <c r="L422" s="17">
        <f>IFERROR(__xludf.DUMMYFUNCTION("""COMPUTED_VALUE"""),3.016026252E9)</f>
        <v>3016026252</v>
      </c>
      <c r="M422" s="17" t="str">
        <f>IFERROR(__xludf.DUMMYFUNCTION("""COMPUTED_VALUE"""),"#REF!")</f>
        <v>#REF!</v>
      </c>
      <c r="N422" s="17"/>
      <c r="O422" s="19" t="str">
        <f>IFERROR(__xludf.DUMMYFUNCTION("""COMPUTED_VALUE"""),"")</f>
        <v/>
      </c>
      <c r="P422" s="17" t="b">
        <f>IFERROR(__xludf.DUMMYFUNCTION("""COMPUTED_VALUE"""),TRUE)</f>
        <v>1</v>
      </c>
      <c r="Q422" s="20">
        <f>IFERROR(__xludf.DUMMYFUNCTION("""COMPUTED_VALUE"""),45009.569600902774)</f>
        <v>45009.5696</v>
      </c>
      <c r="R422" s="22" t="str">
        <f>IFERROR(__xludf.DUMMYFUNCTION("""COMPUTED_VALUE"""),"")</f>
        <v/>
      </c>
    </row>
    <row r="423">
      <c r="A423" s="15">
        <f>IFERROR(__xludf.DUMMYFUNCTION("""COMPUTED_VALUE"""),45009.0)</f>
        <v>45009</v>
      </c>
      <c r="B423" s="16" t="str">
        <f>IFERROR(__xludf.DUMMYFUNCTION("""COMPUTED_VALUE"""),"Envia")</f>
        <v>Envia</v>
      </c>
      <c r="C423" s="15" t="str">
        <f>IFERROR(__xludf.DUMMYFUNCTION("""COMPUTED_VALUE"""),"BARRANQUILLA")</f>
        <v>BARRANQUILLA</v>
      </c>
      <c r="D423" s="15" t="str">
        <f>IFERROR(__xludf.DUMMYFUNCTION("""COMPUTED_VALUE"""),"MEDELLÍN")</f>
        <v>MEDELLÍN</v>
      </c>
      <c r="E423" s="15" t="str">
        <f>IFERROR(__xludf.DUMMYFUNCTION("""COMPUTED_VALUE"""),"Rambla")</f>
        <v>Rambla</v>
      </c>
      <c r="F423" s="17" t="str">
        <f>IFERROR(__xludf.DUMMYFUNCTION("""COMPUTED_VALUE"""),"CARRERA 74 #76-74 / na / na")</f>
        <v>CARRERA 74 #76-74 / na / na</v>
      </c>
      <c r="G423" s="15" t="str">
        <f>IFERROR(__xludf.DUMMYFUNCTION("""COMPUTED_VALUE"""),"Fit Hub")</f>
        <v>Fit Hub</v>
      </c>
      <c r="H423" s="18">
        <f>IFERROR(__xludf.DUMMYFUNCTION("""COMPUTED_VALUE"""),9109.0)</f>
        <v>9109</v>
      </c>
      <c r="I423" s="18">
        <f>IFERROR(__xludf.DUMMYFUNCTION("""COMPUTED_VALUE"""),22.0)</f>
        <v>22</v>
      </c>
      <c r="J423" s="18">
        <f>IFERROR(__xludf.DUMMYFUNCTION("""COMPUTED_VALUE"""),25.0)</f>
        <v>25</v>
      </c>
      <c r="K423" s="18">
        <f>IFERROR(__xludf.DUMMYFUNCTION("""COMPUTED_VALUE"""),28.0)</f>
        <v>28</v>
      </c>
      <c r="L423" s="17">
        <f>IFERROR(__xludf.DUMMYFUNCTION("""COMPUTED_VALUE"""),3.157039547E9)</f>
        <v>3157039547</v>
      </c>
      <c r="M423" s="17" t="str">
        <f>IFERROR(__xludf.DUMMYFUNCTION("""COMPUTED_VALUE"""),"#REF!")</f>
        <v>#REF!</v>
      </c>
      <c r="N423" s="17"/>
      <c r="O423" s="19" t="str">
        <f>IFERROR(__xludf.DUMMYFUNCTION("""COMPUTED_VALUE"""),"")</f>
        <v/>
      </c>
      <c r="P423" s="17" t="b">
        <f>IFERROR(__xludf.DUMMYFUNCTION("""COMPUTED_VALUE"""),TRUE)</f>
        <v>1</v>
      </c>
      <c r="Q423" s="20">
        <f>IFERROR(__xludf.DUMMYFUNCTION("""COMPUTED_VALUE"""),45009.569600902774)</f>
        <v>45009.5696</v>
      </c>
      <c r="R423" s="22" t="str">
        <f>IFERROR(__xludf.DUMMYFUNCTION("""COMPUTED_VALUE"""),"")</f>
        <v/>
      </c>
    </row>
    <row r="424">
      <c r="A424" s="15">
        <f>IFERROR(__xludf.DUMMYFUNCTION("""COMPUTED_VALUE"""),45009.0)</f>
        <v>45009</v>
      </c>
      <c r="B424" s="16" t="str">
        <f>IFERROR(__xludf.DUMMYFUNCTION("""COMPUTED_VALUE"""),"Envia")</f>
        <v>Envia</v>
      </c>
      <c r="C424" s="15" t="str">
        <f>IFERROR(__xludf.DUMMYFUNCTION("""COMPUTED_VALUE"""),"BOGOTÁ")</f>
        <v>BOGOTÁ</v>
      </c>
      <c r="D424" s="15" t="str">
        <f>IFERROR(__xludf.DUMMYFUNCTION("""COMPUTED_VALUE"""),"MEDELLÍN")</f>
        <v>MEDELLÍN</v>
      </c>
      <c r="E424" s="15" t="str">
        <f>IFERROR(__xludf.DUMMYFUNCTION("""COMPUTED_VALUE"""),"Magda")</f>
        <v>Magda</v>
      </c>
      <c r="F424" s="17" t="str">
        <f>IFERROR(__xludf.DUMMYFUNCTION("""COMPUTED_VALUE"""),"Calle 71a # 14a22/26 / Cocinas ocultas / San Felipe")</f>
        <v>Calle 71a # 14a22/26 / Cocinas ocultas / San Felipe</v>
      </c>
      <c r="G424" s="15" t="str">
        <f>IFERROR(__xludf.DUMMYFUNCTION("""COMPUTED_VALUE"""),"Andrés Hernández / Heladería Magda")</f>
        <v>Andrés Hernández / Heladería Magda</v>
      </c>
      <c r="H424" s="18">
        <f>IFERROR(__xludf.DUMMYFUNCTION("""COMPUTED_VALUE"""),9066.0)</f>
        <v>9066</v>
      </c>
      <c r="I424" s="18">
        <f>IFERROR(__xludf.DUMMYFUNCTION("""COMPUTED_VALUE"""),55.0)</f>
        <v>55</v>
      </c>
      <c r="J424" s="18">
        <f>IFERROR(__xludf.DUMMYFUNCTION("""COMPUTED_VALUE"""),45.0)</f>
        <v>45</v>
      </c>
      <c r="K424" s="18" t="str">
        <f>IFERROR(__xludf.DUMMYFUNCTION("""COMPUTED_VALUE"""),"52.5")</f>
        <v>52.5</v>
      </c>
      <c r="L424" s="17">
        <f>IFERROR(__xludf.DUMMYFUNCTION("""COMPUTED_VALUE"""),3.214229567E9)</f>
        <v>3214229567</v>
      </c>
      <c r="M424" s="17" t="str">
        <f>IFERROR(__xludf.DUMMYFUNCTION("""COMPUTED_VALUE"""),"#REF!")</f>
        <v>#REF!</v>
      </c>
      <c r="N424" s="17"/>
      <c r="O424" s="19" t="str">
        <f>IFERROR(__xludf.DUMMYFUNCTION("""COMPUTED_VALUE"""),"")</f>
        <v/>
      </c>
      <c r="P424" s="17" t="b">
        <f>IFERROR(__xludf.DUMMYFUNCTION("""COMPUTED_VALUE"""),TRUE)</f>
        <v>1</v>
      </c>
      <c r="Q424" s="20">
        <f>IFERROR(__xludf.DUMMYFUNCTION("""COMPUTED_VALUE"""),45009.687589050925)</f>
        <v>45009.68759</v>
      </c>
      <c r="R424" s="22" t="str">
        <f>IFERROR(__xludf.DUMMYFUNCTION("""COMPUTED_VALUE"""),"")</f>
        <v/>
      </c>
    </row>
    <row r="425">
      <c r="A425" s="15">
        <f>IFERROR(__xludf.DUMMYFUNCTION("""COMPUTED_VALUE"""),45009.0)</f>
        <v>45009</v>
      </c>
      <c r="B425" s="16" t="str">
        <f>IFERROR(__xludf.DUMMYFUNCTION("""COMPUTED_VALUE"""),"Envia")</f>
        <v>Envia</v>
      </c>
      <c r="C425" s="15" t="str">
        <f>IFERROR(__xludf.DUMMYFUNCTION("""COMPUTED_VALUE"""),"BOGOTÁ")</f>
        <v>BOGOTÁ</v>
      </c>
      <c r="D425" s="15" t="str">
        <f>IFERROR(__xludf.DUMMYFUNCTION("""COMPUTED_VALUE"""),"MEDELLÍN")</f>
        <v>MEDELLÍN</v>
      </c>
      <c r="E425" s="15" t="str">
        <f>IFERROR(__xludf.DUMMYFUNCTION("""COMPUTED_VALUE"""),"Rambla")</f>
        <v>Rambla</v>
      </c>
      <c r="F425" s="17" t="str">
        <f>IFERROR(__xludf.DUMMYFUNCTION("""COMPUTED_VALUE"""),"Carrera 7b Bis # 126-59 apto 502 Bogotá, Barrio Santa Barbara, Localidad Usaquen / na / na")</f>
        <v>Carrera 7b Bis # 126-59 apto 502 Bogotá, Barrio Santa Barbara, Localidad Usaquen / na / na</v>
      </c>
      <c r="G425" s="15" t="str">
        <f>IFERROR(__xludf.DUMMYFUNCTION("""COMPUTED_VALUE"""),"Ximena Obregon")</f>
        <v>Ximena Obregon</v>
      </c>
      <c r="H425" s="18">
        <f>IFERROR(__xludf.DUMMYFUNCTION("""COMPUTED_VALUE"""),9138.0)</f>
        <v>9138</v>
      </c>
      <c r="I425" s="18">
        <f>IFERROR(__xludf.DUMMYFUNCTION("""COMPUTED_VALUE"""),22.0)</f>
        <v>22</v>
      </c>
      <c r="J425" s="18">
        <f>IFERROR(__xludf.DUMMYFUNCTION("""COMPUTED_VALUE"""),25.0)</f>
        <v>25</v>
      </c>
      <c r="K425" s="18">
        <f>IFERROR(__xludf.DUMMYFUNCTION("""COMPUTED_VALUE"""),27.0)</f>
        <v>27</v>
      </c>
      <c r="L425" s="17">
        <f>IFERROR(__xludf.DUMMYFUNCTION("""COMPUTED_VALUE"""),3.108691406E9)</f>
        <v>3108691406</v>
      </c>
      <c r="M425" s="17" t="str">
        <f>IFERROR(__xludf.DUMMYFUNCTION("""COMPUTED_VALUE"""),"#REF!")</f>
        <v>#REF!</v>
      </c>
      <c r="N425" s="17"/>
      <c r="O425" s="19" t="str">
        <f>IFERROR(__xludf.DUMMYFUNCTION("""COMPUTED_VALUE"""),"")</f>
        <v/>
      </c>
      <c r="P425" s="17" t="b">
        <f>IFERROR(__xludf.DUMMYFUNCTION("""COMPUTED_VALUE"""),TRUE)</f>
        <v>1</v>
      </c>
      <c r="Q425" s="20">
        <f>IFERROR(__xludf.DUMMYFUNCTION("""COMPUTED_VALUE"""),45009.569600902774)</f>
        <v>45009.5696</v>
      </c>
      <c r="R425" s="21" t="str">
        <f>IFERROR(__xludf.DUMMYFUNCTION("""COMPUTED_VALUE"""),"https://drive.google.com/file/d/1AiwKymUgpfJhVNXh3eiUwpECZud0L_fp/view?usp=drivesdk")</f>
        <v>https://drive.google.com/file/d/1AiwKymUgpfJhVNXh3eiUwpECZud0L_fp/view?usp=drivesdk</v>
      </c>
    </row>
    <row r="426">
      <c r="A426" s="15">
        <f>IFERROR(__xludf.DUMMYFUNCTION("""COMPUTED_VALUE"""),45009.0)</f>
        <v>45009</v>
      </c>
      <c r="B426" s="16" t="str">
        <f>IFERROR(__xludf.DUMMYFUNCTION("""COMPUTED_VALUE"""),"Envia")</f>
        <v>Envia</v>
      </c>
      <c r="C426" s="15" t="str">
        <f>IFERROR(__xludf.DUMMYFUNCTION("""COMPUTED_VALUE"""),"BUCARAMANGA")</f>
        <v>BUCARAMANGA</v>
      </c>
      <c r="D426" s="15" t="str">
        <f>IFERROR(__xludf.DUMMYFUNCTION("""COMPUTED_VALUE"""),"BOGOTÁ")</f>
        <v>BOGOTÁ</v>
      </c>
      <c r="E426" s="15" t="str">
        <f>IFERROR(__xludf.DUMMYFUNCTION("""COMPUTED_VALUE"""),"Evamazzita")</f>
        <v>Evamazzita</v>
      </c>
      <c r="F426" s="17" t="str">
        <f>IFERROR(__xludf.DUMMYFUNCTION("""COMPUTED_VALUE"""),"CARRERA 20 # 7 - 11 / N/A / BARRIO COMUNEROS")</f>
        <v>CARRERA 20 # 7 - 11 / N/A / BARRIO COMUNEROS</v>
      </c>
      <c r="G426" s="15" t="str">
        <f>IFERROR(__xludf.DUMMYFUNCTION("""COMPUTED_VALUE"""),"MARIO JOSÉ CORTÉS PARADA")</f>
        <v>MARIO JOSÉ CORTÉS PARADA</v>
      </c>
      <c r="H426" s="18">
        <f>IFERROR(__xludf.DUMMYFUNCTION("""COMPUTED_VALUE"""),9123.0)</f>
        <v>9123</v>
      </c>
      <c r="I426" s="18">
        <f>IFERROR(__xludf.DUMMYFUNCTION("""COMPUTED_VALUE"""),20.0)</f>
        <v>20</v>
      </c>
      <c r="J426" s="18">
        <f>IFERROR(__xludf.DUMMYFUNCTION("""COMPUTED_VALUE"""),37.0)</f>
        <v>37</v>
      </c>
      <c r="K426" s="18">
        <f>IFERROR(__xludf.DUMMYFUNCTION("""COMPUTED_VALUE"""),26.0)</f>
        <v>26</v>
      </c>
      <c r="L426" s="17">
        <f>IFERROR(__xludf.DUMMYFUNCTION("""COMPUTED_VALUE"""),3.123394474E9)</f>
        <v>3123394474</v>
      </c>
      <c r="M426" s="17" t="str">
        <f>IFERROR(__xludf.DUMMYFUNCTION("""COMPUTED_VALUE"""),"#REF!")</f>
        <v>#REF!</v>
      </c>
      <c r="N426" s="17"/>
      <c r="O426" s="19" t="str">
        <f>IFERROR(__xludf.DUMMYFUNCTION("""COMPUTED_VALUE"""),"")</f>
        <v/>
      </c>
      <c r="P426" s="17" t="b">
        <f>IFERROR(__xludf.DUMMYFUNCTION("""COMPUTED_VALUE"""),TRUE)</f>
        <v>1</v>
      </c>
      <c r="Q426" s="20">
        <f>IFERROR(__xludf.DUMMYFUNCTION("""COMPUTED_VALUE"""),45009.68594498842)</f>
        <v>45009.68594</v>
      </c>
      <c r="R426" s="22" t="str">
        <f>IFERROR(__xludf.DUMMYFUNCTION("""COMPUTED_VALUE"""),"")</f>
        <v/>
      </c>
    </row>
    <row r="427">
      <c r="A427" s="15">
        <f>IFERROR(__xludf.DUMMYFUNCTION("""COMPUTED_VALUE"""),45009.0)</f>
        <v>45009</v>
      </c>
      <c r="B427" s="16" t="str">
        <f>IFERROR(__xludf.DUMMYFUNCTION("""COMPUTED_VALUE"""),"Envia")</f>
        <v>Envia</v>
      </c>
      <c r="C427" s="15" t="str">
        <f>IFERROR(__xludf.DUMMYFUNCTION("""COMPUTED_VALUE"""),"CALI")</f>
        <v>CALI</v>
      </c>
      <c r="D427" s="15" t="str">
        <f>IFERROR(__xludf.DUMMYFUNCTION("""COMPUTED_VALUE"""),"BOGOTÁ")</f>
        <v>BOGOTÁ</v>
      </c>
      <c r="E427" s="15" t="str">
        <f>IFERROR(__xludf.DUMMYFUNCTION("""COMPUTED_VALUE"""),"Renata")</f>
        <v>Renata</v>
      </c>
      <c r="F427" s="17" t="str">
        <f>IFERROR(__xludf.DUMMYFUNCTION("""COMPUTED_VALUE"""),"Carrera 3#3a-83 / Patio 34 food containers  / San Fernando")</f>
        <v>Carrera 3#3a-83 / Patio 34 food containers  / San Fernando</v>
      </c>
      <c r="G427" s="15" t="str">
        <f>IFERROR(__xludf.DUMMYFUNCTION("""COMPUTED_VALUE"""),"Retaco s.a.s")</f>
        <v>Retaco s.a.s</v>
      </c>
      <c r="H427" s="18">
        <f>IFERROR(__xludf.DUMMYFUNCTION("""COMPUTED_VALUE"""),9125.0)</f>
        <v>9125</v>
      </c>
      <c r="I427" s="18">
        <f>IFERROR(__xludf.DUMMYFUNCTION("""COMPUTED_VALUE"""),90.0)</f>
        <v>90</v>
      </c>
      <c r="J427" s="18">
        <f>IFERROR(__xludf.DUMMYFUNCTION("""COMPUTED_VALUE"""),70.0)</f>
        <v>70</v>
      </c>
      <c r="K427" s="18">
        <f>IFERROR(__xludf.DUMMYFUNCTION("""COMPUTED_VALUE"""),60.0)</f>
        <v>60</v>
      </c>
      <c r="L427" s="17">
        <f>IFERROR(__xludf.DUMMYFUNCTION("""COMPUTED_VALUE"""),3.177370107E9)</f>
        <v>3177370107</v>
      </c>
      <c r="M427" s="17" t="str">
        <f>IFERROR(__xludf.DUMMYFUNCTION("""COMPUTED_VALUE"""),"#REF!")</f>
        <v>#REF!</v>
      </c>
      <c r="N427" s="17"/>
      <c r="O427" s="19" t="str">
        <f>IFERROR(__xludf.DUMMYFUNCTION("""COMPUTED_VALUE"""),"")</f>
        <v/>
      </c>
      <c r="P427" s="17" t="b">
        <f>IFERROR(__xludf.DUMMYFUNCTION("""COMPUTED_VALUE"""),TRUE)</f>
        <v>1</v>
      </c>
      <c r="Q427" s="20">
        <f>IFERROR(__xludf.DUMMYFUNCTION("""COMPUTED_VALUE"""),45009.68624321759)</f>
        <v>45009.68624</v>
      </c>
      <c r="R427" s="22" t="str">
        <f>IFERROR(__xludf.DUMMYFUNCTION("""COMPUTED_VALUE"""),"")</f>
        <v/>
      </c>
    </row>
    <row r="428">
      <c r="A428" s="15">
        <f>IFERROR(__xludf.DUMMYFUNCTION("""COMPUTED_VALUE"""),45009.0)</f>
        <v>45009</v>
      </c>
      <c r="B428" s="16" t="str">
        <f>IFERROR(__xludf.DUMMYFUNCTION("""COMPUTED_VALUE"""),"Envia")</f>
        <v>Envia</v>
      </c>
      <c r="C428" s="15" t="str">
        <f>IFERROR(__xludf.DUMMYFUNCTION("""COMPUTED_VALUE"""),"CALI")</f>
        <v>CALI</v>
      </c>
      <c r="D428" s="15" t="str">
        <f>IFERROR(__xludf.DUMMYFUNCTION("""COMPUTED_VALUE"""),"BOGOTÁ")</f>
        <v>BOGOTÁ</v>
      </c>
      <c r="E428" s="15" t="str">
        <f>IFERROR(__xludf.DUMMYFUNCTION("""COMPUTED_VALUE"""),"Viral Brands")</f>
        <v>Viral Brands</v>
      </c>
      <c r="F428" s="17" t="str">
        <f>IFERROR(__xludf.DUMMYFUNCTION("""COMPUTED_VALUE"""),"Avenida 5a 25n-39 / Edificio  / San vicente")</f>
        <v>Avenida 5a 25n-39 / Edificio  / San vicente</v>
      </c>
      <c r="G428" s="15" t="str">
        <f>IFERROR(__xludf.DUMMYFUNCTION("""COMPUTED_VALUE"""),"Lisbet gamez")</f>
        <v>Lisbet gamez</v>
      </c>
      <c r="H428" s="18">
        <f>IFERROR(__xludf.DUMMYFUNCTION("""COMPUTED_VALUE"""),9127.0)</f>
        <v>9127</v>
      </c>
      <c r="I428" s="18">
        <f>IFERROR(__xludf.DUMMYFUNCTION("""COMPUTED_VALUE"""),55.0)</f>
        <v>55</v>
      </c>
      <c r="J428" s="18">
        <f>IFERROR(__xludf.DUMMYFUNCTION("""COMPUTED_VALUE"""),45.0)</f>
        <v>45</v>
      </c>
      <c r="K428" s="18">
        <f>IFERROR(__xludf.DUMMYFUNCTION("""COMPUTED_VALUE"""),52.0)</f>
        <v>52</v>
      </c>
      <c r="L428" s="17">
        <f>IFERROR(__xludf.DUMMYFUNCTION("""COMPUTED_VALUE"""),3.218280504E9)</f>
        <v>3218280504</v>
      </c>
      <c r="M428" s="17" t="str">
        <f>IFERROR(__xludf.DUMMYFUNCTION("""COMPUTED_VALUE"""),"#REF!")</f>
        <v>#REF!</v>
      </c>
      <c r="N428" s="17"/>
      <c r="O428" s="19" t="str">
        <f>IFERROR(__xludf.DUMMYFUNCTION("""COMPUTED_VALUE"""),"")</f>
        <v/>
      </c>
      <c r="P428" s="17" t="b">
        <f>IFERROR(__xludf.DUMMYFUNCTION("""COMPUTED_VALUE"""),TRUE)</f>
        <v>1</v>
      </c>
      <c r="Q428" s="20">
        <f>IFERROR(__xludf.DUMMYFUNCTION("""COMPUTED_VALUE"""),45009.70353506945)</f>
        <v>45009.70354</v>
      </c>
      <c r="R428" s="22" t="str">
        <f>IFERROR(__xludf.DUMMYFUNCTION("""COMPUTED_VALUE"""),"")</f>
        <v/>
      </c>
    </row>
    <row r="429">
      <c r="A429" s="15">
        <f>IFERROR(__xludf.DUMMYFUNCTION("""COMPUTED_VALUE"""),45009.0)</f>
        <v>45009</v>
      </c>
      <c r="B429" s="16" t="str">
        <f>IFERROR(__xludf.DUMMYFUNCTION("""COMPUTED_VALUE"""),"Envia")</f>
        <v>Envia</v>
      </c>
      <c r="C429" s="15" t="str">
        <f>IFERROR(__xludf.DUMMYFUNCTION("""COMPUTED_VALUE"""),"CÚCUTA")</f>
        <v>CÚCUTA</v>
      </c>
      <c r="D429" s="15" t="str">
        <f>IFERROR(__xludf.DUMMYFUNCTION("""COMPUTED_VALUE"""),"BOGOTÁ")</f>
        <v>BOGOTÁ</v>
      </c>
      <c r="E429" s="15" t="str">
        <f>IFERROR(__xludf.DUMMYFUNCTION("""COMPUTED_VALUE"""),"Evamazzita")</f>
        <v>Evamazzita</v>
      </c>
      <c r="F429" s="17" t="str">
        <f>IFERROR(__xludf.DUMMYFUNCTION("""COMPUTED_VALUE"""),"Cll 23n #2-92   / N/A / prados norte")</f>
        <v>Cll 23n #2-92   / N/A / prados norte</v>
      </c>
      <c r="G429" s="15" t="str">
        <f>IFERROR(__xludf.DUMMYFUNCTION("""COMPUTED_VALUE"""),"SHIRLEY DAYANNA TRILLOS")</f>
        <v>SHIRLEY DAYANNA TRILLOS</v>
      </c>
      <c r="H429" s="18">
        <f>IFERROR(__xludf.DUMMYFUNCTION("""COMPUTED_VALUE"""),9099.0)</f>
        <v>9099</v>
      </c>
      <c r="I429" s="18">
        <f>IFERROR(__xludf.DUMMYFUNCTION("""COMPUTED_VALUE"""),8.0)</f>
        <v>8</v>
      </c>
      <c r="J429" s="18">
        <f>IFERROR(__xludf.DUMMYFUNCTION("""COMPUTED_VALUE"""),15.0)</f>
        <v>15</v>
      </c>
      <c r="K429" s="18">
        <f>IFERROR(__xludf.DUMMYFUNCTION("""COMPUTED_VALUE"""),20.0)</f>
        <v>20</v>
      </c>
      <c r="L429" s="17">
        <f>IFERROR(__xludf.DUMMYFUNCTION("""COMPUTED_VALUE"""),3.223609125E9)</f>
        <v>3223609125</v>
      </c>
      <c r="M429" s="17" t="str">
        <f>IFERROR(__xludf.DUMMYFUNCTION("""COMPUTED_VALUE"""),"#REF!")</f>
        <v>#REF!</v>
      </c>
      <c r="N429" s="17"/>
      <c r="O429" s="19" t="str">
        <f>IFERROR(__xludf.DUMMYFUNCTION("""COMPUTED_VALUE"""),"")</f>
        <v/>
      </c>
      <c r="P429" s="17" t="b">
        <f>IFERROR(__xludf.DUMMYFUNCTION("""COMPUTED_VALUE"""),TRUE)</f>
        <v>1</v>
      </c>
      <c r="Q429" s="20">
        <f>IFERROR(__xludf.DUMMYFUNCTION("""COMPUTED_VALUE"""),45009.569600902774)</f>
        <v>45009.5696</v>
      </c>
      <c r="R429" s="22" t="str">
        <f>IFERROR(__xludf.DUMMYFUNCTION("""COMPUTED_VALUE"""),"")</f>
        <v/>
      </c>
    </row>
    <row r="430">
      <c r="A430" s="15">
        <f>IFERROR(__xludf.DUMMYFUNCTION("""COMPUTED_VALUE"""),45009.0)</f>
        <v>45009</v>
      </c>
      <c r="B430" s="16" t="str">
        <f>IFERROR(__xludf.DUMMYFUNCTION("""COMPUTED_VALUE"""),"Envia")</f>
        <v>Envia</v>
      </c>
      <c r="C430" s="15" t="str">
        <f>IFERROR(__xludf.DUMMYFUNCTION("""COMPUTED_VALUE"""),"CÚCUTA")</f>
        <v>CÚCUTA</v>
      </c>
      <c r="D430" s="15" t="str">
        <f>IFERROR(__xludf.DUMMYFUNCTION("""COMPUTED_VALUE"""),"MEDELLÍN")</f>
        <v>MEDELLÍN</v>
      </c>
      <c r="E430" s="15" t="str">
        <f>IFERROR(__xludf.DUMMYFUNCTION("""COMPUTED_VALUE"""),"Rambla")</f>
        <v>Rambla</v>
      </c>
      <c r="F430" s="17" t="str">
        <f>IFERROR(__xludf.DUMMYFUNCTION("""COMPUTED_VALUE"""),"avenida  9e 7-12 la riviera / na / na")</f>
        <v>avenida  9e 7-12 la riviera / na / na</v>
      </c>
      <c r="G430" s="15" t="str">
        <f>IFERROR(__xludf.DUMMYFUNCTION("""COMPUTED_VALUE"""),"Sexto Sentido")</f>
        <v>Sexto Sentido</v>
      </c>
      <c r="H430" s="18">
        <f>IFERROR(__xludf.DUMMYFUNCTION("""COMPUTED_VALUE"""),9102.0)</f>
        <v>9102</v>
      </c>
      <c r="I430" s="18">
        <f>IFERROR(__xludf.DUMMYFUNCTION("""COMPUTED_VALUE"""),25.0)</f>
        <v>25</v>
      </c>
      <c r="J430" s="18">
        <f>IFERROR(__xludf.DUMMYFUNCTION("""COMPUTED_VALUE"""),30.0)</f>
        <v>30</v>
      </c>
      <c r="K430" s="18">
        <f>IFERROR(__xludf.DUMMYFUNCTION("""COMPUTED_VALUE"""),33.0)</f>
        <v>33</v>
      </c>
      <c r="L430" s="17">
        <f>IFERROR(__xludf.DUMMYFUNCTION("""COMPUTED_VALUE"""),3.154996494E9)</f>
        <v>3154996494</v>
      </c>
      <c r="M430" s="17" t="str">
        <f>IFERROR(__xludf.DUMMYFUNCTION("""COMPUTED_VALUE"""),"#REF!")</f>
        <v>#REF!</v>
      </c>
      <c r="N430" s="17"/>
      <c r="O430" s="19" t="str">
        <f>IFERROR(__xludf.DUMMYFUNCTION("""COMPUTED_VALUE"""),"")</f>
        <v/>
      </c>
      <c r="P430" s="17" t="b">
        <f>IFERROR(__xludf.DUMMYFUNCTION("""COMPUTED_VALUE"""),TRUE)</f>
        <v>1</v>
      </c>
      <c r="Q430" s="20">
        <f>IFERROR(__xludf.DUMMYFUNCTION("""COMPUTED_VALUE"""),45009.569600902774)</f>
        <v>45009.5696</v>
      </c>
      <c r="R430" s="22" t="str">
        <f>IFERROR(__xludf.DUMMYFUNCTION("""COMPUTED_VALUE"""),"")</f>
        <v/>
      </c>
    </row>
    <row r="431">
      <c r="A431" s="15">
        <f>IFERROR(__xludf.DUMMYFUNCTION("""COMPUTED_VALUE"""),45009.0)</f>
        <v>45009</v>
      </c>
      <c r="B431" s="16" t="str">
        <f>IFERROR(__xludf.DUMMYFUNCTION("""COMPUTED_VALUE"""),"Envia")</f>
        <v>Envia</v>
      </c>
      <c r="C431" s="15" t="str">
        <f>IFERROR(__xludf.DUMMYFUNCTION("""COMPUTED_VALUE"""),"GIRARDOT")</f>
        <v>GIRARDOT</v>
      </c>
      <c r="D431" s="15" t="str">
        <f>IFERROR(__xludf.DUMMYFUNCTION("""COMPUTED_VALUE"""),"BOGOTÁ")</f>
        <v>BOGOTÁ</v>
      </c>
      <c r="E431" s="15" t="str">
        <f>IFERROR(__xludf.DUMMYFUNCTION("""COMPUTED_VALUE"""),"Coffit")</f>
        <v>Coffit</v>
      </c>
      <c r="F431" s="17" t="str">
        <f>IFERROR(__xludf.DUMMYFUNCTION("""COMPUTED_VALUE"""),"carrera 9 n 19_53 local 107 edificio rafael díaz / diagonal glorieta leon  / leon")</f>
        <v>carrera 9 n 19_53 local 107 edificio rafael díaz / diagonal glorieta leon  / leon</v>
      </c>
      <c r="G431" s="15" t="str">
        <f>IFERROR(__xludf.DUMMYFUNCTION("""COMPUTED_VALUE"""),"coffit market")</f>
        <v>coffit market</v>
      </c>
      <c r="H431" s="18">
        <f>IFERROR(__xludf.DUMMYFUNCTION("""COMPUTED_VALUE"""),9147.0)</f>
        <v>9147</v>
      </c>
      <c r="I431" s="18">
        <f>IFERROR(__xludf.DUMMYFUNCTION("""COMPUTED_VALUE"""),1.0)</f>
        <v>1</v>
      </c>
      <c r="J431" s="18">
        <f>IFERROR(__xludf.DUMMYFUNCTION("""COMPUTED_VALUE"""),1.0)</f>
        <v>1</v>
      </c>
      <c r="K431" s="18">
        <f>IFERROR(__xludf.DUMMYFUNCTION("""COMPUTED_VALUE"""),1.0)</f>
        <v>1</v>
      </c>
      <c r="L431" s="17">
        <f>IFERROR(__xludf.DUMMYFUNCTION("""COMPUTED_VALUE"""),3.166279434E9)</f>
        <v>3166279434</v>
      </c>
      <c r="M431" s="17" t="str">
        <f>IFERROR(__xludf.DUMMYFUNCTION("""COMPUTED_VALUE"""),"#REF!")</f>
        <v>#REF!</v>
      </c>
      <c r="N431" s="17"/>
      <c r="O431" s="19" t="str">
        <f>IFERROR(__xludf.DUMMYFUNCTION("""COMPUTED_VALUE"""),"")</f>
        <v/>
      </c>
      <c r="P431" s="17" t="b">
        <f>IFERROR(__xludf.DUMMYFUNCTION("""COMPUTED_VALUE"""),TRUE)</f>
        <v>1</v>
      </c>
      <c r="Q431" s="20">
        <f>IFERROR(__xludf.DUMMYFUNCTION("""COMPUTED_VALUE"""),45009.569600902774)</f>
        <v>45009.5696</v>
      </c>
      <c r="R431" s="22" t="str">
        <f>IFERROR(__xludf.DUMMYFUNCTION("""COMPUTED_VALUE"""),"")</f>
        <v/>
      </c>
    </row>
    <row r="432">
      <c r="A432" s="15">
        <f>IFERROR(__xludf.DUMMYFUNCTION("""COMPUTED_VALUE"""),45009.0)</f>
        <v>45009</v>
      </c>
      <c r="B432" s="16" t="str">
        <f>IFERROR(__xludf.DUMMYFUNCTION("""COMPUTED_VALUE"""),"Envia")</f>
        <v>Envia</v>
      </c>
      <c r="C432" s="15" t="str">
        <f>IFERROR(__xludf.DUMMYFUNCTION("""COMPUTED_VALUE"""),"MEDELLÍN")</f>
        <v>MEDELLÍN</v>
      </c>
      <c r="D432" s="15" t="str">
        <f>IFERROR(__xludf.DUMMYFUNCTION("""COMPUTED_VALUE"""),"BOGOTÁ")</f>
        <v>BOGOTÁ</v>
      </c>
      <c r="E432" s="15" t="str">
        <f>IFERROR(__xludf.DUMMYFUNCTION("""COMPUTED_VALUE"""),"MAI ALIMENTOS S.A.S")</f>
        <v>MAI ALIMENTOS S.A.S</v>
      </c>
      <c r="F432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432" s="15" t="str">
        <f>IFERROR(__xludf.DUMMYFUNCTION("""COMPUTED_VALUE"""),"Novaventas - Medellin")</f>
        <v>Novaventas - Medellin</v>
      </c>
      <c r="H432" s="18">
        <f>IFERROR(__xludf.DUMMYFUNCTION("""COMPUTED_VALUE"""),9148.0)</f>
        <v>9148</v>
      </c>
      <c r="I432" s="18">
        <f>IFERROR(__xludf.DUMMYFUNCTION("""COMPUTED_VALUE"""),35.0)</f>
        <v>35</v>
      </c>
      <c r="J432" s="18">
        <f>IFERROR(__xludf.DUMMYFUNCTION("""COMPUTED_VALUE"""),17.0)</f>
        <v>17</v>
      </c>
      <c r="K432" s="18">
        <f>IFERROR(__xludf.DUMMYFUNCTION("""COMPUTED_VALUE"""),13.0)</f>
        <v>13</v>
      </c>
      <c r="L432" s="17">
        <f>IFERROR(__xludf.DUMMYFUNCTION("""COMPUTED_VALUE"""),3.187351593E9)</f>
        <v>3187351593</v>
      </c>
      <c r="M432" s="17" t="str">
        <f>IFERROR(__xludf.DUMMYFUNCTION("""COMPUTED_VALUE"""),"#REF!")</f>
        <v>#REF!</v>
      </c>
      <c r="N432" s="17"/>
      <c r="O432" s="19" t="str">
        <f>IFERROR(__xludf.DUMMYFUNCTION("""COMPUTED_VALUE"""),"")</f>
        <v/>
      </c>
      <c r="P432" s="17" t="b">
        <f>IFERROR(__xludf.DUMMYFUNCTION("""COMPUTED_VALUE"""),TRUE)</f>
        <v>1</v>
      </c>
      <c r="Q432" s="20">
        <f>IFERROR(__xludf.DUMMYFUNCTION("""COMPUTED_VALUE"""),45009.6987408912)</f>
        <v>45009.69874</v>
      </c>
      <c r="R432" s="22" t="str">
        <f>IFERROR(__xludf.DUMMYFUNCTION("""COMPUTED_VALUE"""),"")</f>
        <v/>
      </c>
    </row>
    <row r="433">
      <c r="A433" s="15">
        <f>IFERROR(__xludf.DUMMYFUNCTION("""COMPUTED_VALUE"""),45009.0)</f>
        <v>45009</v>
      </c>
      <c r="B433" s="16" t="str">
        <f>IFERROR(__xludf.DUMMYFUNCTION("""COMPUTED_VALUE"""),"Envia")</f>
        <v>Envia</v>
      </c>
      <c r="C433" s="15" t="str">
        <f>IFERROR(__xludf.DUMMYFUNCTION("""COMPUTED_VALUE"""),"MEDELLÍN")</f>
        <v>MEDELLÍN</v>
      </c>
      <c r="D433" s="15" t="str">
        <f>IFERROR(__xludf.DUMMYFUNCTION("""COMPUTED_VALUE"""),"BOGOTÁ")</f>
        <v>BOGOTÁ</v>
      </c>
      <c r="E433" s="15" t="str">
        <f>IFERROR(__xludf.DUMMYFUNCTION("""COMPUTED_VALUE"""),"Renata")</f>
        <v>Renata</v>
      </c>
      <c r="F433" s="17" t="str">
        <f>IFERROR(__xludf.DUMMYFUNCTION("""COMPUTED_VALUE"""),"Carrera 32d#9-42 / Selina medellín y cowork -restaurante  / Provenza")</f>
        <v>Carrera 32d#9-42 / Selina medellín y cowork -restaurante  / Provenza</v>
      </c>
      <c r="G433" s="15" t="str">
        <f>IFERROR(__xludf.DUMMYFUNCTION("""COMPUTED_VALUE"""),"Front y back hospitality group")</f>
        <v>Front y back hospitality group</v>
      </c>
      <c r="H433" s="18">
        <f>IFERROR(__xludf.DUMMYFUNCTION("""COMPUTED_VALUE"""),9126.0)</f>
        <v>9126</v>
      </c>
      <c r="I433" s="18">
        <f>IFERROR(__xludf.DUMMYFUNCTION("""COMPUTED_VALUE"""),90.0)</f>
        <v>90</v>
      </c>
      <c r="J433" s="18">
        <f>IFERROR(__xludf.DUMMYFUNCTION("""COMPUTED_VALUE"""),70.0)</f>
        <v>70</v>
      </c>
      <c r="K433" s="18">
        <f>IFERROR(__xludf.DUMMYFUNCTION("""COMPUTED_VALUE"""),60.0)</f>
        <v>60</v>
      </c>
      <c r="L433" s="17">
        <f>IFERROR(__xludf.DUMMYFUNCTION("""COMPUTED_VALUE"""),3.104047368E9)</f>
        <v>3104047368</v>
      </c>
      <c r="M433" s="17" t="str">
        <f>IFERROR(__xludf.DUMMYFUNCTION("""COMPUTED_VALUE"""),"#REF!")</f>
        <v>#REF!</v>
      </c>
      <c r="N433" s="17"/>
      <c r="O433" s="19" t="str">
        <f>IFERROR(__xludf.DUMMYFUNCTION("""COMPUTED_VALUE"""),"")</f>
        <v/>
      </c>
      <c r="P433" s="17" t="b">
        <f>IFERROR(__xludf.DUMMYFUNCTION("""COMPUTED_VALUE"""),TRUE)</f>
        <v>1</v>
      </c>
      <c r="Q433" s="20">
        <f>IFERROR(__xludf.DUMMYFUNCTION("""COMPUTED_VALUE"""),45009.569600902774)</f>
        <v>45009.5696</v>
      </c>
      <c r="R433" s="22" t="str">
        <f>IFERROR(__xludf.DUMMYFUNCTION("""COMPUTED_VALUE"""),"")</f>
        <v/>
      </c>
    </row>
    <row r="434">
      <c r="A434" s="15">
        <f>IFERROR(__xludf.DUMMYFUNCTION("""COMPUTED_VALUE"""),45009.0)</f>
        <v>45009</v>
      </c>
      <c r="B434" s="16" t="str">
        <f>IFERROR(__xludf.DUMMYFUNCTION("""COMPUTED_VALUE"""),"Envia")</f>
        <v>Envia</v>
      </c>
      <c r="C434" s="15" t="str">
        <f>IFERROR(__xludf.DUMMYFUNCTION("""COMPUTED_VALUE"""),"NEIVA")</f>
        <v>NEIVA</v>
      </c>
      <c r="D434" s="15" t="str">
        <f>IFERROR(__xludf.DUMMYFUNCTION("""COMPUTED_VALUE"""),"BOGOTÁ")</f>
        <v>BOGOTÁ</v>
      </c>
      <c r="E434" s="15" t="str">
        <f>IFERROR(__xludf.DUMMYFUNCTION("""COMPUTED_VALUE"""),"Asociacion Agropecuaria Juana Maria")</f>
        <v>Asociacion Agropecuaria Juana Maria</v>
      </c>
      <c r="F434" s="17" t="str">
        <f>IFERROR(__xludf.DUMMYFUNCTION("""COMPUTED_VALUE"""),"CARRERA 46 #17-13 CONDOMINIO ALTAVISTA CASA 31")</f>
        <v>CARRERA 46 #17-13 CONDOMINIO ALTAVISTA CASA 31</v>
      </c>
      <c r="G434" s="15" t="str">
        <f>IFERROR(__xludf.DUMMYFUNCTION("""COMPUTED_VALUE"""),"JENNIFFER FERNANDEZ")</f>
        <v>JENNIFFER FERNANDEZ</v>
      </c>
      <c r="H434" s="18">
        <f>IFERROR(__xludf.DUMMYFUNCTION("""COMPUTED_VALUE"""),8983.0)</f>
        <v>8983</v>
      </c>
      <c r="I434" s="18">
        <f>IFERROR(__xludf.DUMMYFUNCTION("""COMPUTED_VALUE"""),21.0)</f>
        <v>21</v>
      </c>
      <c r="J434" s="18">
        <f>IFERROR(__xludf.DUMMYFUNCTION("""COMPUTED_VALUE"""),37.0)</f>
        <v>37</v>
      </c>
      <c r="K434" s="18">
        <f>IFERROR(__xludf.DUMMYFUNCTION("""COMPUTED_VALUE"""),30.0)</f>
        <v>30</v>
      </c>
      <c r="L434" s="17">
        <f>IFERROR(__xludf.DUMMYFUNCTION("""COMPUTED_VALUE"""),3.167942612E9)</f>
        <v>3167942612</v>
      </c>
      <c r="M434" s="17" t="str">
        <f>IFERROR(__xludf.DUMMYFUNCTION("""COMPUTED_VALUE"""),"#REF!")</f>
        <v>#REF!</v>
      </c>
      <c r="N434" s="17"/>
      <c r="O434" s="19" t="str">
        <f>IFERROR(__xludf.DUMMYFUNCTION("""COMPUTED_VALUE"""),"")</f>
        <v/>
      </c>
      <c r="P434" s="17" t="b">
        <f>IFERROR(__xludf.DUMMYFUNCTION("""COMPUTED_VALUE"""),TRUE)</f>
        <v>1</v>
      </c>
      <c r="Q434" s="20">
        <f>IFERROR(__xludf.DUMMYFUNCTION("""COMPUTED_VALUE"""),45009.569600902774)</f>
        <v>45009.5696</v>
      </c>
      <c r="R434" s="22" t="str">
        <f>IFERROR(__xludf.DUMMYFUNCTION("""COMPUTED_VALUE"""),"")</f>
        <v/>
      </c>
    </row>
    <row r="435">
      <c r="A435" s="15">
        <f>IFERROR(__xludf.DUMMYFUNCTION("""COMPUTED_VALUE"""),45009.0)</f>
        <v>45009</v>
      </c>
      <c r="B435" s="16" t="str">
        <f>IFERROR(__xludf.DUMMYFUNCTION("""COMPUTED_VALUE"""),"Envia")</f>
        <v>Envia</v>
      </c>
      <c r="C435" s="15" t="str">
        <f>IFERROR(__xludf.DUMMYFUNCTION("""COMPUTED_VALUE"""),"NEIVA")</f>
        <v>NEIVA</v>
      </c>
      <c r="D435" s="15" t="str">
        <f>IFERROR(__xludf.DUMMYFUNCTION("""COMPUTED_VALUE"""),"BOGOTÁ")</f>
        <v>BOGOTÁ</v>
      </c>
      <c r="E435" s="15" t="str">
        <f>IFERROR(__xludf.DUMMYFUNCTION("""COMPUTED_VALUE"""),"Evamazzita")</f>
        <v>Evamazzita</v>
      </c>
      <c r="F435" s="17" t="str">
        <f>IFERROR(__xludf.DUMMYFUNCTION("""COMPUTED_VALUE"""),"Calle 34 # 10-03  / Casa S4 Etapa 5  / La Coruña de Berdez")</f>
        <v>Calle 34 # 10-03  / Casa S4 Etapa 5  / La Coruña de Berdez</v>
      </c>
      <c r="G435" s="15" t="str">
        <f>IFERROR(__xludf.DUMMYFUNCTION("""COMPUTED_VALUE"""),"YOLIMA RAMIREZ CEDEÑO")</f>
        <v>YOLIMA RAMIREZ CEDEÑO</v>
      </c>
      <c r="H435" s="18">
        <f>IFERROR(__xludf.DUMMYFUNCTION("""COMPUTED_VALUE"""),9118.0)</f>
        <v>9118</v>
      </c>
      <c r="I435" s="18">
        <f>IFERROR(__xludf.DUMMYFUNCTION("""COMPUTED_VALUE"""),10.0)</f>
        <v>10</v>
      </c>
      <c r="J435" s="18">
        <f>IFERROR(__xludf.DUMMYFUNCTION("""COMPUTED_VALUE"""),18.0)</f>
        <v>18</v>
      </c>
      <c r="K435" s="18">
        <f>IFERROR(__xludf.DUMMYFUNCTION("""COMPUTED_VALUE"""),22.0)</f>
        <v>22</v>
      </c>
      <c r="L435" s="17">
        <f>IFERROR(__xludf.DUMMYFUNCTION("""COMPUTED_VALUE"""),3.156298262E9)</f>
        <v>3156298262</v>
      </c>
      <c r="M435" s="17" t="str">
        <f>IFERROR(__xludf.DUMMYFUNCTION("""COMPUTED_VALUE"""),"#REF!")</f>
        <v>#REF!</v>
      </c>
      <c r="N435" s="17"/>
      <c r="O435" s="19" t="str">
        <f>IFERROR(__xludf.DUMMYFUNCTION("""COMPUTED_VALUE"""),"")</f>
        <v/>
      </c>
      <c r="P435" s="17" t="b">
        <f>IFERROR(__xludf.DUMMYFUNCTION("""COMPUTED_VALUE"""),TRUE)</f>
        <v>1</v>
      </c>
      <c r="Q435" s="20">
        <f>IFERROR(__xludf.DUMMYFUNCTION("""COMPUTED_VALUE"""),45009.569600902774)</f>
        <v>45009.5696</v>
      </c>
      <c r="R435" s="22" t="str">
        <f>IFERROR(__xludf.DUMMYFUNCTION("""COMPUTED_VALUE"""),"")</f>
        <v/>
      </c>
    </row>
    <row r="436">
      <c r="A436" s="15">
        <f>IFERROR(__xludf.DUMMYFUNCTION("""COMPUTED_VALUE"""),45009.0)</f>
        <v>45009</v>
      </c>
      <c r="B436" s="16" t="str">
        <f>IFERROR(__xludf.DUMMYFUNCTION("""COMPUTED_VALUE"""),"Envia")</f>
        <v>Envia</v>
      </c>
      <c r="C436" s="15" t="str">
        <f>IFERROR(__xludf.DUMMYFUNCTION("""COMPUTED_VALUE"""),"NEIVA")</f>
        <v>NEIVA</v>
      </c>
      <c r="D436" s="15" t="str">
        <f>IFERROR(__xludf.DUMMYFUNCTION("""COMPUTED_VALUE"""),"BOGOTÁ")</f>
        <v>BOGOTÁ</v>
      </c>
      <c r="E436" s="15" t="str">
        <f>IFERROR(__xludf.DUMMYFUNCTION("""COMPUTED_VALUE"""),"Evamazzita")</f>
        <v>Evamazzita</v>
      </c>
      <c r="F436" s="17" t="str">
        <f>IFERROR(__xludf.DUMMYFUNCTION("""COMPUTED_VALUE"""),"Calle 41 número 22- 74  / N/A / villa nubia")</f>
        <v>Calle 41 número 22- 74  / N/A / villa nubia</v>
      </c>
      <c r="G436" s="15" t="str">
        <f>IFERROR(__xludf.DUMMYFUNCTION("""COMPUTED_VALUE"""),"LINA MARIA CORONADO")</f>
        <v>LINA MARIA CORONADO</v>
      </c>
      <c r="H436" s="18">
        <f>IFERROR(__xludf.DUMMYFUNCTION("""COMPUTED_VALUE"""),9120.0)</f>
        <v>9120</v>
      </c>
      <c r="I436" s="18">
        <f>IFERROR(__xludf.DUMMYFUNCTION("""COMPUTED_VALUE"""),3.0)</f>
        <v>3</v>
      </c>
      <c r="J436" s="18">
        <f>IFERROR(__xludf.DUMMYFUNCTION("""COMPUTED_VALUE"""),15.0)</f>
        <v>15</v>
      </c>
      <c r="K436" s="18">
        <f>IFERROR(__xludf.DUMMYFUNCTION("""COMPUTED_VALUE"""),20.0)</f>
        <v>20</v>
      </c>
      <c r="L436" s="17">
        <f>IFERROR(__xludf.DUMMYFUNCTION("""COMPUTED_VALUE"""),3.107626016E9)</f>
        <v>3107626016</v>
      </c>
      <c r="M436" s="17" t="str">
        <f>IFERROR(__xludf.DUMMYFUNCTION("""COMPUTED_VALUE"""),"#REF!")</f>
        <v>#REF!</v>
      </c>
      <c r="N436" s="17"/>
      <c r="O436" s="19" t="str">
        <f>IFERROR(__xludf.DUMMYFUNCTION("""COMPUTED_VALUE"""),"")</f>
        <v/>
      </c>
      <c r="P436" s="17" t="b">
        <f>IFERROR(__xludf.DUMMYFUNCTION("""COMPUTED_VALUE"""),TRUE)</f>
        <v>1</v>
      </c>
      <c r="Q436" s="20">
        <f>IFERROR(__xludf.DUMMYFUNCTION("""COMPUTED_VALUE"""),45009.569600902774)</f>
        <v>45009.5696</v>
      </c>
      <c r="R436" s="22" t="str">
        <f>IFERROR(__xludf.DUMMYFUNCTION("""COMPUTED_VALUE"""),"")</f>
        <v/>
      </c>
    </row>
    <row r="437">
      <c r="A437" s="15">
        <f>IFERROR(__xludf.DUMMYFUNCTION("""COMPUTED_VALUE"""),45009.0)</f>
        <v>45009</v>
      </c>
      <c r="B437" s="16" t="str">
        <f>IFERROR(__xludf.DUMMYFUNCTION("""COMPUTED_VALUE"""),"Envia")</f>
        <v>Envia</v>
      </c>
      <c r="C437" s="15" t="str">
        <f>IFERROR(__xludf.DUMMYFUNCTION("""COMPUTED_VALUE"""),"NEIVA")</f>
        <v>NEIVA</v>
      </c>
      <c r="D437" s="15" t="str">
        <f>IFERROR(__xludf.DUMMYFUNCTION("""COMPUTED_VALUE"""),"BOGOTÁ")</f>
        <v>BOGOTÁ</v>
      </c>
      <c r="E437" s="15" t="str">
        <f>IFERROR(__xludf.DUMMYFUNCTION("""COMPUTED_VALUE"""),"Evamazzita")</f>
        <v>Evamazzita</v>
      </c>
      <c r="F437" s="17" t="str">
        <f>IFERROR(__xludf.DUMMYFUNCTION("""COMPUTED_VALUE"""),"CARRERA 42 # 18 A - 08  / TORRE H, APTO. 1008 / N/A")</f>
        <v>CARRERA 42 # 18 A - 08  / TORRE H, APTO. 1008 / N/A</v>
      </c>
      <c r="G437" s="15" t="str">
        <f>IFERROR(__xludf.DUMMYFUNCTION("""COMPUTED_VALUE"""),"ISABEL MARTINEZ")</f>
        <v>ISABEL MARTINEZ</v>
      </c>
      <c r="H437" s="18">
        <f>IFERROR(__xludf.DUMMYFUNCTION("""COMPUTED_VALUE"""),9119.0)</f>
        <v>9119</v>
      </c>
      <c r="I437" s="18">
        <f>IFERROR(__xludf.DUMMYFUNCTION("""COMPUTED_VALUE"""),10.0)</f>
        <v>10</v>
      </c>
      <c r="J437" s="18">
        <f>IFERROR(__xludf.DUMMYFUNCTION("""COMPUTED_VALUE"""),18.0)</f>
        <v>18</v>
      </c>
      <c r="K437" s="18">
        <f>IFERROR(__xludf.DUMMYFUNCTION("""COMPUTED_VALUE"""),22.0)</f>
        <v>22</v>
      </c>
      <c r="L437" s="17">
        <f>IFERROR(__xludf.DUMMYFUNCTION("""COMPUTED_VALUE"""),3.167464059E9)</f>
        <v>3167464059</v>
      </c>
      <c r="M437" s="17" t="str">
        <f>IFERROR(__xludf.DUMMYFUNCTION("""COMPUTED_VALUE"""),"#REF!")</f>
        <v>#REF!</v>
      </c>
      <c r="N437" s="17"/>
      <c r="O437" s="19" t="str">
        <f>IFERROR(__xludf.DUMMYFUNCTION("""COMPUTED_VALUE"""),"")</f>
        <v/>
      </c>
      <c r="P437" s="17" t="b">
        <f>IFERROR(__xludf.DUMMYFUNCTION("""COMPUTED_VALUE"""),TRUE)</f>
        <v>1</v>
      </c>
      <c r="Q437" s="20">
        <f>IFERROR(__xludf.DUMMYFUNCTION("""COMPUTED_VALUE"""),45009.569600902774)</f>
        <v>45009.5696</v>
      </c>
      <c r="R437" s="22" t="str">
        <f>IFERROR(__xludf.DUMMYFUNCTION("""COMPUTED_VALUE"""),"")</f>
        <v/>
      </c>
    </row>
    <row r="438">
      <c r="A438" s="15">
        <f>IFERROR(__xludf.DUMMYFUNCTION("""COMPUTED_VALUE"""),45009.0)</f>
        <v>45009</v>
      </c>
      <c r="B438" s="16" t="str">
        <f>IFERROR(__xludf.DUMMYFUNCTION("""COMPUTED_VALUE"""),"Envia")</f>
        <v>Envia</v>
      </c>
      <c r="C438" s="15" t="str">
        <f>IFERROR(__xludf.DUMMYFUNCTION("""COMPUTED_VALUE"""),"NEIVA")</f>
        <v>NEIVA</v>
      </c>
      <c r="D438" s="15" t="str">
        <f>IFERROR(__xludf.DUMMYFUNCTION("""COMPUTED_VALUE"""),"BOGOTÁ")</f>
        <v>BOGOTÁ</v>
      </c>
      <c r="E438" s="15" t="str">
        <f>IFERROR(__xludf.DUMMYFUNCTION("""COMPUTED_VALUE"""),"Ind. Karpos")</f>
        <v>Ind. Karpos</v>
      </c>
      <c r="F438" s="17" t="str">
        <f>IFERROR(__xludf.DUMMYFUNCTION("""COMPUTED_VALUE"""),"Carrera 8 # 41-11 local103 / Heladeria Delish / Barrio las Granjas")</f>
        <v>Carrera 8 # 41-11 local103 / Heladeria Delish / Barrio las Granjas</v>
      </c>
      <c r="G438" s="15" t="str">
        <f>IFERROR(__xludf.DUMMYFUNCTION("""COMPUTED_VALUE"""),"Alejandra Molina")</f>
        <v>Alejandra Molina</v>
      </c>
      <c r="H438" s="18">
        <f>IFERROR(__xludf.DUMMYFUNCTION("""COMPUTED_VALUE"""),9145.0)</f>
        <v>9145</v>
      </c>
      <c r="I438" s="18">
        <f>IFERROR(__xludf.DUMMYFUNCTION("""COMPUTED_VALUE"""),10.0)</f>
        <v>10</v>
      </c>
      <c r="J438" s="18">
        <f>IFERROR(__xludf.DUMMYFUNCTION("""COMPUTED_VALUE"""),100.0)</f>
        <v>100</v>
      </c>
      <c r="K438" s="18">
        <f>IFERROR(__xludf.DUMMYFUNCTION("""COMPUTED_VALUE"""),48.0)</f>
        <v>48</v>
      </c>
      <c r="L438" s="17">
        <f>IFERROR(__xludf.DUMMYFUNCTION("""COMPUTED_VALUE"""),3.144830152E9)</f>
        <v>3144830152</v>
      </c>
      <c r="M438" s="17" t="str">
        <f>IFERROR(__xludf.DUMMYFUNCTION("""COMPUTED_VALUE"""),"#REF!")</f>
        <v>#REF!</v>
      </c>
      <c r="N438" s="17"/>
      <c r="O438" s="19" t="str">
        <f>IFERROR(__xludf.DUMMYFUNCTION("""COMPUTED_VALUE"""),"")</f>
        <v/>
      </c>
      <c r="P438" s="17" t="b">
        <f>IFERROR(__xludf.DUMMYFUNCTION("""COMPUTED_VALUE"""),TRUE)</f>
        <v>1</v>
      </c>
      <c r="Q438" s="20">
        <f>IFERROR(__xludf.DUMMYFUNCTION("""COMPUTED_VALUE"""),45009.69132496528)</f>
        <v>45009.69132</v>
      </c>
      <c r="R438" s="22" t="str">
        <f>IFERROR(__xludf.DUMMYFUNCTION("""COMPUTED_VALUE"""),"")</f>
        <v/>
      </c>
    </row>
    <row r="439">
      <c r="A439" s="15">
        <f>IFERROR(__xludf.DUMMYFUNCTION("""COMPUTED_VALUE"""),45009.0)</f>
        <v>45009</v>
      </c>
      <c r="B439" s="16" t="str">
        <f>IFERROR(__xludf.DUMMYFUNCTION("""COMPUTED_VALUE"""),"Envia")</f>
        <v>Envia</v>
      </c>
      <c r="C439" s="15" t="str">
        <f>IFERROR(__xludf.DUMMYFUNCTION("""COMPUTED_VALUE"""),"PEREIRA")</f>
        <v>PEREIRA</v>
      </c>
      <c r="D439" s="15" t="str">
        <f>IFERROR(__xludf.DUMMYFUNCTION("""COMPUTED_VALUE"""),"BOGOTÁ")</f>
        <v>BOGOTÁ</v>
      </c>
      <c r="E439" s="15" t="str">
        <f>IFERROR(__xludf.DUMMYFUNCTION("""COMPUTED_VALUE"""),"Ins. Alimento Vital")</f>
        <v>Ins. Alimento Vital</v>
      </c>
      <c r="F439" s="17" t="str">
        <f>IFERROR(__xludf.DUMMYFUNCTION("""COMPUTED_VALUE"""),"CR 5 # 18 43 / EDIFICIO CHALJUB / BARRIO URIBE")</f>
        <v>CR 5 # 18 43 / EDIFICIO CHALJUB / BARRIO URIBE</v>
      </c>
      <c r="G439" s="15" t="str">
        <f>IFERROR(__xludf.DUMMYFUNCTION("""COMPUTED_VALUE"""),"CHALJUB")</f>
        <v>CHALJUB</v>
      </c>
      <c r="H439" s="18">
        <f>IFERROR(__xludf.DUMMYFUNCTION("""COMPUTED_VALUE"""),9124.0)</f>
        <v>9124</v>
      </c>
      <c r="I439" s="18">
        <f>IFERROR(__xludf.DUMMYFUNCTION("""COMPUTED_VALUE"""),55.0)</f>
        <v>55</v>
      </c>
      <c r="J439" s="18">
        <f>IFERROR(__xludf.DUMMYFUNCTION("""COMPUTED_VALUE"""),45.0)</f>
        <v>45</v>
      </c>
      <c r="K439" s="18" t="str">
        <f>IFERROR(__xludf.DUMMYFUNCTION("""COMPUTED_VALUE"""),"52.5")</f>
        <v>52.5</v>
      </c>
      <c r="L439" s="17">
        <f>IFERROR(__xludf.DUMMYFUNCTION("""COMPUTED_VALUE"""),3.113678687E9)</f>
        <v>3113678687</v>
      </c>
      <c r="M439" s="17" t="str">
        <f>IFERROR(__xludf.DUMMYFUNCTION("""COMPUTED_VALUE"""),"#REF!")</f>
        <v>#REF!</v>
      </c>
      <c r="N439" s="17"/>
      <c r="O439" s="19" t="str">
        <f>IFERROR(__xludf.DUMMYFUNCTION("""COMPUTED_VALUE"""),"")</f>
        <v/>
      </c>
      <c r="P439" s="17" t="b">
        <f>IFERROR(__xludf.DUMMYFUNCTION("""COMPUTED_VALUE"""),TRUE)</f>
        <v>1</v>
      </c>
      <c r="Q439" s="20">
        <f>IFERROR(__xludf.DUMMYFUNCTION("""COMPUTED_VALUE"""),45009.62356432871)</f>
        <v>45009.62356</v>
      </c>
      <c r="R439" s="22" t="str">
        <f>IFERROR(__xludf.DUMMYFUNCTION("""COMPUTED_VALUE"""),"")</f>
        <v/>
      </c>
    </row>
    <row r="440">
      <c r="A440" s="15">
        <f>IFERROR(__xludf.DUMMYFUNCTION("""COMPUTED_VALUE"""),45009.0)</f>
        <v>45009</v>
      </c>
      <c r="B440" s="16" t="str">
        <f>IFERROR(__xludf.DUMMYFUNCTION("""COMPUTED_VALUE"""),"Envia")</f>
        <v>Envia</v>
      </c>
      <c r="C440" s="15" t="str">
        <f>IFERROR(__xludf.DUMMYFUNCTION("""COMPUTED_VALUE"""),"POPAYAN")</f>
        <v>POPAYAN</v>
      </c>
      <c r="D440" s="15" t="str">
        <f>IFERROR(__xludf.DUMMYFUNCTION("""COMPUTED_VALUE"""),"MEDELLÍN")</f>
        <v>MEDELLÍN</v>
      </c>
      <c r="E440" s="15" t="str">
        <f>IFERROR(__xludf.DUMMYFUNCTION("""COMPUTED_VALUE"""),"Baby Chef")</f>
        <v>Baby Chef</v>
      </c>
      <c r="F440" s="17" t="str">
        <f>IFERROR(__xludf.DUMMYFUNCTION("""COMPUTED_VALUE"""),"Calle 27 CN # 1AE 05 / Urbanización yanaconas bloque f casa #17 / Urbanización yanaconas bloque f casa #17")</f>
        <v>Calle 27 CN # 1AE 05 / Urbanización yanaconas bloque f casa #17 / Urbanización yanaconas bloque f casa #17</v>
      </c>
      <c r="G440" s="15" t="str">
        <f>IFERROR(__xludf.DUMMYFUNCTION("""COMPUTED_VALUE"""),"Madihan Liseth Solís Sinisterra")</f>
        <v>Madihan Liseth Solís Sinisterra</v>
      </c>
      <c r="H440" s="18">
        <f>IFERROR(__xludf.DUMMYFUNCTION("""COMPUTED_VALUE"""),9080.0)</f>
        <v>9080</v>
      </c>
      <c r="I440" s="18">
        <f>IFERROR(__xludf.DUMMYFUNCTION("""COMPUTED_VALUE"""),8.0)</f>
        <v>8</v>
      </c>
      <c r="J440" s="18">
        <f>IFERROR(__xludf.DUMMYFUNCTION("""COMPUTED_VALUE"""),16.0)</f>
        <v>16</v>
      </c>
      <c r="K440" s="18">
        <f>IFERROR(__xludf.DUMMYFUNCTION("""COMPUTED_VALUE"""),20.0)</f>
        <v>20</v>
      </c>
      <c r="L440" s="17">
        <f>IFERROR(__xludf.DUMMYFUNCTION("""COMPUTED_VALUE"""),3.172209796E9)</f>
        <v>3172209796</v>
      </c>
      <c r="M440" s="17" t="str">
        <f>IFERROR(__xludf.DUMMYFUNCTION("""COMPUTED_VALUE"""),"#REF!")</f>
        <v>#REF!</v>
      </c>
      <c r="N440" s="17"/>
      <c r="O440" s="19" t="str">
        <f>IFERROR(__xludf.DUMMYFUNCTION("""COMPUTED_VALUE"""),"")</f>
        <v/>
      </c>
      <c r="P440" s="17" t="b">
        <f>IFERROR(__xludf.DUMMYFUNCTION("""COMPUTED_VALUE"""),TRUE)</f>
        <v>1</v>
      </c>
      <c r="Q440" s="20">
        <f>IFERROR(__xludf.DUMMYFUNCTION("""COMPUTED_VALUE"""),45009.623838541665)</f>
        <v>45009.62384</v>
      </c>
      <c r="R440" s="22" t="str">
        <f>IFERROR(__xludf.DUMMYFUNCTION("""COMPUTED_VALUE"""),"")</f>
        <v/>
      </c>
    </row>
    <row r="441">
      <c r="A441" s="15">
        <f>IFERROR(__xludf.DUMMYFUNCTION("""COMPUTED_VALUE"""),45009.0)</f>
        <v>45009</v>
      </c>
      <c r="B441" s="16" t="str">
        <f>IFERROR(__xludf.DUMMYFUNCTION("""COMPUTED_VALUE"""),"Envia")</f>
        <v>Envia</v>
      </c>
      <c r="C441" s="15" t="str">
        <f>IFERROR(__xludf.DUMMYFUNCTION("""COMPUTED_VALUE"""),"SANTA MARTA")</f>
        <v>SANTA MARTA</v>
      </c>
      <c r="D441" s="15" t="str">
        <f>IFERROR(__xludf.DUMMYFUNCTION("""COMPUTED_VALUE"""),"MEDELLÍN")</f>
        <v>MEDELLÍN</v>
      </c>
      <c r="E441" s="15" t="str">
        <f>IFERROR(__xludf.DUMMYFUNCTION("""COMPUTED_VALUE"""),"Helados swip")</f>
        <v>Helados swip</v>
      </c>
      <c r="F441" s="17" t="str">
        <f>IFERROR(__xludf.DUMMYFUNCTION("""COMPUTED_VALUE"""),"AV FERROCARRIL 22-20  / MALL ESTACION SAN PEDRO  / LOCAL 16 AL LADO DE LOS CAJEROS")</f>
        <v>AV FERROCARRIL 22-20  / MALL ESTACION SAN PEDRO  / LOCAL 16 AL LADO DE LOS CAJEROS</v>
      </c>
      <c r="G441" s="15" t="str">
        <f>IFERROR(__xludf.DUMMYFUNCTION("""COMPUTED_VALUE"""),"HONES MARKET")</f>
        <v>HONES MARKET</v>
      </c>
      <c r="H441" s="18">
        <f>IFERROR(__xludf.DUMMYFUNCTION("""COMPUTED_VALUE"""),9111.0)</f>
        <v>9111</v>
      </c>
      <c r="I441" s="18">
        <f>IFERROR(__xludf.DUMMYFUNCTION("""COMPUTED_VALUE"""),10.0)</f>
        <v>10</v>
      </c>
      <c r="J441" s="18">
        <f>IFERROR(__xludf.DUMMYFUNCTION("""COMPUTED_VALUE"""),100.0)</f>
        <v>100</v>
      </c>
      <c r="K441" s="18">
        <f>IFERROR(__xludf.DUMMYFUNCTION("""COMPUTED_VALUE"""),70.0)</f>
        <v>70</v>
      </c>
      <c r="L441" s="17">
        <f>IFERROR(__xludf.DUMMYFUNCTION("""COMPUTED_VALUE"""),3.227639706E9)</f>
        <v>3227639706</v>
      </c>
      <c r="M441" s="17" t="str">
        <f>IFERROR(__xludf.DUMMYFUNCTION("""COMPUTED_VALUE"""),"#REF!")</f>
        <v>#REF!</v>
      </c>
      <c r="N441" s="17"/>
      <c r="O441" s="19" t="str">
        <f>IFERROR(__xludf.DUMMYFUNCTION("""COMPUTED_VALUE"""),"")</f>
        <v/>
      </c>
      <c r="P441" s="17" t="b">
        <f>IFERROR(__xludf.DUMMYFUNCTION("""COMPUTED_VALUE"""),FALSE)</f>
        <v>0</v>
      </c>
      <c r="Q441" s="20" t="str">
        <f>IFERROR(__xludf.DUMMYFUNCTION("""COMPUTED_VALUE"""),"")</f>
        <v/>
      </c>
      <c r="R441" s="22" t="str">
        <f>IFERROR(__xludf.DUMMYFUNCTION("""COMPUTED_VALUE"""),"")</f>
        <v/>
      </c>
    </row>
    <row r="442">
      <c r="A442" s="15" t="str">
        <f>IFERROR(__xludf.DUMMYFUNCTION("""COMPUTED_VALUE"""),"")</f>
        <v/>
      </c>
      <c r="B442" s="16" t="str">
        <f>IFERROR(__xludf.DUMMYFUNCTION("""COMPUTED_VALUE"""),"")</f>
        <v/>
      </c>
      <c r="C442" s="15" t="str">
        <f>IFERROR(__xludf.DUMMYFUNCTION("""COMPUTED_VALUE"""),"")</f>
        <v/>
      </c>
      <c r="D442" s="15" t="str">
        <f>IFERROR(__xludf.DUMMYFUNCTION("""COMPUTED_VALUE"""),"")</f>
        <v/>
      </c>
      <c r="E442" s="15" t="str">
        <f>IFERROR(__xludf.DUMMYFUNCTION("""COMPUTED_VALUE"""),"")</f>
        <v/>
      </c>
      <c r="F442" s="17" t="str">
        <f>IFERROR(__xludf.DUMMYFUNCTION("""COMPUTED_VALUE"""),"")</f>
        <v/>
      </c>
      <c r="G442" s="15" t="str">
        <f>IFERROR(__xludf.DUMMYFUNCTION("""COMPUTED_VALUE"""),"")</f>
        <v/>
      </c>
      <c r="H442" s="18" t="str">
        <f>IFERROR(__xludf.DUMMYFUNCTION("""COMPUTED_VALUE"""),"")</f>
        <v/>
      </c>
      <c r="I442" s="18" t="str">
        <f>IFERROR(__xludf.DUMMYFUNCTION("""COMPUTED_VALUE"""),"")</f>
        <v/>
      </c>
      <c r="J442" s="18" t="str">
        <f>IFERROR(__xludf.DUMMYFUNCTION("""COMPUTED_VALUE"""),"")</f>
        <v/>
      </c>
      <c r="K442" s="17" t="str">
        <f>IFERROR(__xludf.DUMMYFUNCTION("""COMPUTED_VALUE"""),"")</f>
        <v/>
      </c>
      <c r="L442" s="17" t="str">
        <f>IFERROR(__xludf.DUMMYFUNCTION("""COMPUTED_VALUE"""),"")</f>
        <v/>
      </c>
      <c r="M442" s="17" t="str">
        <f>IFERROR(__xludf.DUMMYFUNCTION("""COMPUTED_VALUE"""),"")</f>
        <v/>
      </c>
      <c r="N442" s="19" t="str">
        <f>IFERROR(__xludf.DUMMYFUNCTION("""COMPUTED_VALUE"""),"")</f>
        <v/>
      </c>
      <c r="O442" s="19" t="str">
        <f>IFERROR(__xludf.DUMMYFUNCTION("""COMPUTED_VALUE"""),"")</f>
        <v/>
      </c>
      <c r="P442" s="17" t="str">
        <f>IFERROR(__xludf.DUMMYFUNCTION("""COMPUTED_VALUE"""),"")</f>
        <v/>
      </c>
      <c r="Q442" s="20" t="str">
        <f>IFERROR(__xludf.DUMMYFUNCTION("""COMPUTED_VALUE"""),"")</f>
        <v/>
      </c>
      <c r="R442" s="22" t="str">
        <f>IFERROR(__xludf.DUMMYFUNCTION("""COMPUTED_VALUE"""),"")</f>
        <v/>
      </c>
    </row>
    <row r="443">
      <c r="A443" s="15">
        <f>IFERROR(__xludf.DUMMYFUNCTION("""COMPUTED_VALUE"""),45009.0)</f>
        <v>45009</v>
      </c>
      <c r="B443" s="16" t="str">
        <f>IFERROR(__xludf.DUMMYFUNCTION("""COMPUTED_VALUE"""),"Jeison Rubiano")</f>
        <v>Jeison Rubiano</v>
      </c>
      <c r="C443" s="15" t="str">
        <f>IFERROR(__xludf.DUMMYFUNCTION("""COMPUTED_VALUE"""),"BOGOTÁ")</f>
        <v>BOGOTÁ</v>
      </c>
      <c r="D443" s="15" t="str">
        <f>IFERROR(__xludf.DUMMYFUNCTION("""COMPUTED_VALUE"""),"MEDELLÍN")</f>
        <v>MEDELLÍN</v>
      </c>
      <c r="E443" s="15" t="str">
        <f>IFERROR(__xludf.DUMMYFUNCTION("""COMPUTED_VALUE"""),"AREPAS LA MARY")</f>
        <v>AREPAS LA MARY</v>
      </c>
      <c r="F443" s="17" t="str">
        <f>IFERROR(__xludf.DUMMYFUNCTION("""COMPUTED_VALUE"""),"AUTOPISTA NORTE 120 37")</f>
        <v>AUTOPISTA NORTE 120 37</v>
      </c>
      <c r="G443" s="15" t="str">
        <f>IFERROR(__xludf.DUMMYFUNCTION("""COMPUTED_VALUE"""),"EA VE MARIA")</f>
        <v>EA VE MARIA</v>
      </c>
      <c r="H443" s="18">
        <f>IFERROR(__xludf.DUMMYFUNCTION("""COMPUTED_VALUE"""),9128.0)</f>
        <v>9128</v>
      </c>
      <c r="I443" s="18">
        <f>IFERROR(__xludf.DUMMYFUNCTION("""COMPUTED_VALUE"""),89.0)</f>
        <v>89</v>
      </c>
      <c r="J443" s="18">
        <f>IFERROR(__xludf.DUMMYFUNCTION("""COMPUTED_VALUE"""),1.0)</f>
        <v>1</v>
      </c>
      <c r="K443" s="18">
        <f>IFERROR(__xludf.DUMMYFUNCTION("""COMPUTED_VALUE"""),10.0)</f>
        <v>10</v>
      </c>
      <c r="L443" s="17" t="str">
        <f>IFERROR(__xludf.DUMMYFUNCTION("""COMPUTED_VALUE"""),"320 274 90 55")</f>
        <v>320 274 90 55</v>
      </c>
      <c r="M443" s="17" t="str">
        <f>IFERROR(__xludf.DUMMYFUNCTION("""COMPUTED_VALUE"""),"#REF!")</f>
        <v>#REF!</v>
      </c>
      <c r="N443" s="17"/>
      <c r="O443" s="19" t="str">
        <f>IFERROR(__xludf.DUMMYFUNCTION("""COMPUTED_VALUE"""),"")</f>
        <v/>
      </c>
      <c r="P443" s="17" t="b">
        <f>IFERROR(__xludf.DUMMYFUNCTION("""COMPUTED_VALUE"""),FALSE)</f>
        <v>0</v>
      </c>
      <c r="Q443" s="20" t="str">
        <f>IFERROR(__xludf.DUMMYFUNCTION("""COMPUTED_VALUE"""),"")</f>
        <v/>
      </c>
      <c r="R443" s="21" t="str">
        <f>IFERROR(__xludf.DUMMYFUNCTION("""COMPUTED_VALUE"""),"https://drive.google.com/file/d/1FlJfzE3MW8Ud9LiaBNr4JSfprVjKXenq/view?usp=drivesdk")</f>
        <v>https://drive.google.com/file/d/1FlJfzE3MW8Ud9LiaBNr4JSfprVjKXenq/view?usp=drivesdk</v>
      </c>
    </row>
    <row r="444">
      <c r="A444" s="15">
        <f>IFERROR(__xludf.DUMMYFUNCTION("""COMPUTED_VALUE"""),45009.0)</f>
        <v>45009</v>
      </c>
      <c r="B444" s="16" t="str">
        <f>IFERROR(__xludf.DUMMYFUNCTION("""COMPUTED_VALUE"""),"Jeison Rubiano")</f>
        <v>Jeison Rubiano</v>
      </c>
      <c r="C444" s="15" t="str">
        <f>IFERROR(__xludf.DUMMYFUNCTION("""COMPUTED_VALUE"""),"BOGOTÁ")</f>
        <v>BOGOTÁ</v>
      </c>
      <c r="D444" s="15" t="str">
        <f>IFERROR(__xludf.DUMMYFUNCTION("""COMPUTED_VALUE"""),"MEDELLÍN")</f>
        <v>MEDELLÍN</v>
      </c>
      <c r="E444" s="15" t="str">
        <f>IFERROR(__xludf.DUMMYFUNCTION("""COMPUTED_VALUE"""),"AREPAS LA MARY")</f>
        <v>AREPAS LA MARY</v>
      </c>
      <c r="F444" s="17" t="str">
        <f>IFERROR(__xludf.DUMMYFUNCTION("""COMPUTED_VALUE"""),"calle 77 # 9 -87 apto 702 / edificio diditica")</f>
        <v>calle 77 # 9 -87 apto 702 / edificio diditica</v>
      </c>
      <c r="G444" s="15" t="str">
        <f>IFERROR(__xludf.DUMMYFUNCTION("""COMPUTED_VALUE"""),"Maria Juliana Mora")</f>
        <v>Maria Juliana Mora</v>
      </c>
      <c r="H444" s="18">
        <f>IFERROR(__xludf.DUMMYFUNCTION("""COMPUTED_VALUE"""),9144.0)</f>
        <v>9144</v>
      </c>
      <c r="I444" s="18">
        <f>IFERROR(__xludf.DUMMYFUNCTION("""COMPUTED_VALUE"""),89.0)</f>
        <v>89</v>
      </c>
      <c r="J444" s="18">
        <f>IFERROR(__xludf.DUMMYFUNCTION("""COMPUTED_VALUE"""),1.0)</f>
        <v>1</v>
      </c>
      <c r="K444" s="18">
        <f>IFERROR(__xludf.DUMMYFUNCTION("""COMPUTED_VALUE"""),10.0)</f>
        <v>10</v>
      </c>
      <c r="L444" s="17">
        <f>IFERROR(__xludf.DUMMYFUNCTION("""COMPUTED_VALUE"""),3.173311507E9)</f>
        <v>3173311507</v>
      </c>
      <c r="M444" s="17" t="str">
        <f>IFERROR(__xludf.DUMMYFUNCTION("""COMPUTED_VALUE"""),"#REF!")</f>
        <v>#REF!</v>
      </c>
      <c r="N444" s="17"/>
      <c r="O444" s="19" t="str">
        <f>IFERROR(__xludf.DUMMYFUNCTION("""COMPUTED_VALUE"""),"")</f>
        <v/>
      </c>
      <c r="P444" s="17" t="b">
        <f>IFERROR(__xludf.DUMMYFUNCTION("""COMPUTED_VALUE"""),FALSE)</f>
        <v>0</v>
      </c>
      <c r="Q444" s="20" t="str">
        <f>IFERROR(__xludf.DUMMYFUNCTION("""COMPUTED_VALUE"""),"")</f>
        <v/>
      </c>
      <c r="R444" s="22" t="str">
        <f>IFERROR(__xludf.DUMMYFUNCTION("""COMPUTED_VALUE"""),"")</f>
        <v/>
      </c>
    </row>
    <row r="445">
      <c r="A445" s="15">
        <f>IFERROR(__xludf.DUMMYFUNCTION("""COMPUTED_VALUE"""),45009.0)</f>
        <v>45009</v>
      </c>
      <c r="B445" s="16" t="str">
        <f>IFERROR(__xludf.DUMMYFUNCTION("""COMPUTED_VALUE"""),"Jeison Rubiano")</f>
        <v>Jeison Rubiano</v>
      </c>
      <c r="C445" s="15" t="str">
        <f>IFERROR(__xludf.DUMMYFUNCTION("""COMPUTED_VALUE"""),"BOGOTÁ")</f>
        <v>BOGOTÁ</v>
      </c>
      <c r="D445" s="15" t="str">
        <f>IFERROR(__xludf.DUMMYFUNCTION("""COMPUTED_VALUE"""),"MEDELLÍN")</f>
        <v>MEDELLÍN</v>
      </c>
      <c r="E445" s="15" t="str">
        <f>IFERROR(__xludf.DUMMYFUNCTION("""COMPUTED_VALUE"""),"AREPAS LA MARY")</f>
        <v>AREPAS LA MARY</v>
      </c>
      <c r="F445" s="17" t="str">
        <f>IFERROR(__xludf.DUMMYFUNCTION("""COMPUTED_VALUE"""),"cra 24 B # 20 -04 sur / multifamiliares alfonso lopez bloque 12 apto 101")</f>
        <v>cra 24 B # 20 -04 sur / multifamiliares alfonso lopez bloque 12 apto 101</v>
      </c>
      <c r="G445" s="15" t="str">
        <f>IFERROR(__xludf.DUMMYFUNCTION("""COMPUTED_VALUE"""),"yenny verdugo")</f>
        <v>yenny verdugo</v>
      </c>
      <c r="H445" s="18">
        <f>IFERROR(__xludf.DUMMYFUNCTION("""COMPUTED_VALUE"""),9142.0)</f>
        <v>9142</v>
      </c>
      <c r="I445" s="18">
        <f>IFERROR(__xludf.DUMMYFUNCTION("""COMPUTED_VALUE"""),89.0)</f>
        <v>89</v>
      </c>
      <c r="J445" s="18">
        <f>IFERROR(__xludf.DUMMYFUNCTION("""COMPUTED_VALUE"""),1.0)</f>
        <v>1</v>
      </c>
      <c r="K445" s="18">
        <f>IFERROR(__xludf.DUMMYFUNCTION("""COMPUTED_VALUE"""),10.0)</f>
        <v>10</v>
      </c>
      <c r="L445" s="17">
        <f>IFERROR(__xludf.DUMMYFUNCTION("""COMPUTED_VALUE"""),3.115046691E9)</f>
        <v>3115046691</v>
      </c>
      <c r="M445" s="17" t="str">
        <f>IFERROR(__xludf.DUMMYFUNCTION("""COMPUTED_VALUE"""),"#REF!")</f>
        <v>#REF!</v>
      </c>
      <c r="N445" s="17"/>
      <c r="O445" s="19" t="str">
        <f>IFERROR(__xludf.DUMMYFUNCTION("""COMPUTED_VALUE"""),"")</f>
        <v/>
      </c>
      <c r="P445" s="17" t="b">
        <f>IFERROR(__xludf.DUMMYFUNCTION("""COMPUTED_VALUE"""),FALSE)</f>
        <v>0</v>
      </c>
      <c r="Q445" s="20" t="str">
        <f>IFERROR(__xludf.DUMMYFUNCTION("""COMPUTED_VALUE"""),"")</f>
        <v/>
      </c>
      <c r="R445" s="21" t="str">
        <f>IFERROR(__xludf.DUMMYFUNCTION("""COMPUTED_VALUE"""),"https://drive.google.com/file/d/1myqqgmfSecDaCFPpie3I1Kcwbssyftyr/view?usp=drivesdk")</f>
        <v>https://drive.google.com/file/d/1myqqgmfSecDaCFPpie3I1Kcwbssyftyr/view?usp=drivesdk</v>
      </c>
    </row>
    <row r="446">
      <c r="A446" s="15">
        <f>IFERROR(__xludf.DUMMYFUNCTION("""COMPUTED_VALUE"""),45009.0)</f>
        <v>45009</v>
      </c>
      <c r="B446" s="16" t="str">
        <f>IFERROR(__xludf.DUMMYFUNCTION("""COMPUTED_VALUE"""),"Jeison Rubiano")</f>
        <v>Jeison Rubiano</v>
      </c>
      <c r="C446" s="15" t="str">
        <f>IFERROR(__xludf.DUMMYFUNCTION("""COMPUTED_VALUE"""),"BOGOTÁ")</f>
        <v>BOGOTÁ</v>
      </c>
      <c r="D446" s="15" t="str">
        <f>IFERROR(__xludf.DUMMYFUNCTION("""COMPUTED_VALUE"""),"MEDELLÍN")</f>
        <v>MEDELLÍN</v>
      </c>
      <c r="E446" s="15" t="str">
        <f>IFERROR(__xludf.DUMMYFUNCTION("""COMPUTED_VALUE"""),"AREPAS LA MARY")</f>
        <v>AREPAS LA MARY</v>
      </c>
      <c r="F446" s="17" t="str">
        <f>IFERROR(__xludf.DUMMYFUNCTION("""COMPUTED_VALUE"""),"diagonal 75 # 2-84 / edificio verona")</f>
        <v>diagonal 75 # 2-84 / edificio verona</v>
      </c>
      <c r="G446" s="15" t="str">
        <f>IFERROR(__xludf.DUMMYFUNCTION("""COMPUTED_VALUE"""),"manuela van meerbeke")</f>
        <v>manuela van meerbeke</v>
      </c>
      <c r="H446" s="18">
        <f>IFERROR(__xludf.DUMMYFUNCTION("""COMPUTED_VALUE"""),9143.0)</f>
        <v>9143</v>
      </c>
      <c r="I446" s="18">
        <f>IFERROR(__xludf.DUMMYFUNCTION("""COMPUTED_VALUE"""),89.0)</f>
        <v>89</v>
      </c>
      <c r="J446" s="18">
        <f>IFERROR(__xludf.DUMMYFUNCTION("""COMPUTED_VALUE"""),1.0)</f>
        <v>1</v>
      </c>
      <c r="K446" s="18">
        <f>IFERROR(__xludf.DUMMYFUNCTION("""COMPUTED_VALUE"""),10.0)</f>
        <v>10</v>
      </c>
      <c r="L446" s="17">
        <f>IFERROR(__xludf.DUMMYFUNCTION("""COMPUTED_VALUE"""),3.134323318E9)</f>
        <v>3134323318</v>
      </c>
      <c r="M446" s="17" t="str">
        <f>IFERROR(__xludf.DUMMYFUNCTION("""COMPUTED_VALUE"""),"#REF!")</f>
        <v>#REF!</v>
      </c>
      <c r="N446" s="17"/>
      <c r="O446" s="19" t="str">
        <f>IFERROR(__xludf.DUMMYFUNCTION("""COMPUTED_VALUE"""),"")</f>
        <v/>
      </c>
      <c r="P446" s="17" t="b">
        <f>IFERROR(__xludf.DUMMYFUNCTION("""COMPUTED_VALUE"""),FALSE)</f>
        <v>0</v>
      </c>
      <c r="Q446" s="20" t="str">
        <f>IFERROR(__xludf.DUMMYFUNCTION("""COMPUTED_VALUE"""),"")</f>
        <v/>
      </c>
      <c r="R446" s="21" t="str">
        <f>IFERROR(__xludf.DUMMYFUNCTION("""COMPUTED_VALUE"""),"https://drive.google.com/file/d/1EK8xBqZQMWFYWG9fXHRiCvHQNCD0ZN5b/view?usp=drivesdk")</f>
        <v>https://drive.google.com/file/d/1EK8xBqZQMWFYWG9fXHRiCvHQNCD0ZN5b/view?usp=drivesdk</v>
      </c>
    </row>
    <row r="447">
      <c r="A447" s="15">
        <f>IFERROR(__xludf.DUMMYFUNCTION("""COMPUTED_VALUE"""),45009.0)</f>
        <v>45009</v>
      </c>
      <c r="B447" s="16" t="str">
        <f>IFERROR(__xludf.DUMMYFUNCTION("""COMPUTED_VALUE"""),"Jeison Rubiano")</f>
        <v>Jeison Rubiano</v>
      </c>
      <c r="C447" s="15" t="str">
        <f>IFERROR(__xludf.DUMMYFUNCTION("""COMPUTED_VALUE"""),"BOGOTÁ")</f>
        <v>BOGOTÁ</v>
      </c>
      <c r="D447" s="15" t="str">
        <f>IFERROR(__xludf.DUMMYFUNCTION("""COMPUTED_VALUE"""),"MEDELLÍN")</f>
        <v>MEDELLÍN</v>
      </c>
      <c r="E447" s="15" t="str">
        <f>IFERROR(__xludf.DUMMYFUNCTION("""COMPUTED_VALUE"""),"Felicidad Bakery Bogotá")</f>
        <v>Felicidad Bakery Bogotá</v>
      </c>
      <c r="F447" s="17" t="str">
        <f>IFERROR(__xludf.DUMMYFUNCTION("""COMPUTED_VALUE"""),"Calle 92 #15-62 / Edificio centro chico local 103 / Chico")</f>
        <v>Calle 92 #15-62 / Edificio centro chico local 103 / Chico</v>
      </c>
      <c r="G447" s="15" t="str">
        <f>IFERROR(__xludf.DUMMYFUNCTION("""COMPUTED_VALUE"""),"Camilo Hernandez")</f>
        <v>Camilo Hernandez</v>
      </c>
      <c r="H447" s="18">
        <f>IFERROR(__xludf.DUMMYFUNCTION("""COMPUTED_VALUE"""),9117.0)</f>
        <v>9117</v>
      </c>
      <c r="I447" s="18">
        <f>IFERROR(__xludf.DUMMYFUNCTION("""COMPUTED_VALUE"""),22.0)</f>
        <v>22</v>
      </c>
      <c r="J447" s="18">
        <f>IFERROR(__xludf.DUMMYFUNCTION("""COMPUTED_VALUE"""),34.0)</f>
        <v>34</v>
      </c>
      <c r="K447" s="18">
        <f>IFERROR(__xludf.DUMMYFUNCTION("""COMPUTED_VALUE"""),27.0)</f>
        <v>27</v>
      </c>
      <c r="L447" s="17">
        <f>IFERROR(__xludf.DUMMYFUNCTION("""COMPUTED_VALUE"""),3.013527163E9)</f>
        <v>3013527163</v>
      </c>
      <c r="M447" s="17" t="str">
        <f>IFERROR(__xludf.DUMMYFUNCTION("""COMPUTED_VALUE"""),"#REF!")</f>
        <v>#REF!</v>
      </c>
      <c r="N447" s="17"/>
      <c r="O447" s="19" t="str">
        <f>IFERROR(__xludf.DUMMYFUNCTION("""COMPUTED_VALUE"""),"")</f>
        <v/>
      </c>
      <c r="P447" s="17" t="b">
        <f>IFERROR(__xludf.DUMMYFUNCTION("""COMPUTED_VALUE"""),TRUE)</f>
        <v>1</v>
      </c>
      <c r="Q447" s="20">
        <f>IFERROR(__xludf.DUMMYFUNCTION("""COMPUTED_VALUE"""),45009.569600902774)</f>
        <v>45009.5696</v>
      </c>
      <c r="R447" s="21" t="str">
        <f>IFERROR(__xludf.DUMMYFUNCTION("""COMPUTED_VALUE"""),"https://drive.google.com/file/d/1cPCkowBK7eUJ0VBk8OyXypOO9Bf_i_va/view?usp=drivesdk")</f>
        <v>https://drive.google.com/file/d/1cPCkowBK7eUJ0VBk8OyXypOO9Bf_i_va/view?usp=drivesdk</v>
      </c>
    </row>
    <row r="448">
      <c r="A448" s="15">
        <f>IFERROR(__xludf.DUMMYFUNCTION("""COMPUTED_VALUE"""),45009.0)</f>
        <v>45009</v>
      </c>
      <c r="B448" s="16" t="str">
        <f>IFERROR(__xludf.DUMMYFUNCTION("""COMPUTED_VALUE"""),"Jeison Rubiano")</f>
        <v>Jeison Rubiano</v>
      </c>
      <c r="C448" s="15" t="str">
        <f>IFERROR(__xludf.DUMMYFUNCTION("""COMPUTED_VALUE"""),"BOGOTÁ")</f>
        <v>BOGOTÁ</v>
      </c>
      <c r="D448" s="15" t="str">
        <f>IFERROR(__xludf.DUMMYFUNCTION("""COMPUTED_VALUE"""),"MEDELLÍN")</f>
        <v>MEDELLÍN</v>
      </c>
      <c r="E448" s="15" t="str">
        <f>IFERROR(__xludf.DUMMYFUNCTION("""COMPUTED_VALUE"""),"Puro Verde")</f>
        <v>Puro Verde</v>
      </c>
      <c r="F448" s="17" t="str">
        <f>IFERROR(__xludf.DUMMYFUNCTION("""COMPUTED_VALUE"""),"AV CRA 15 # 90-20.  / LOCAL 109 / BARRIO CHICO")</f>
        <v>AV CRA 15 # 90-20.  / LOCAL 109 / BARRIO CHICO</v>
      </c>
      <c r="G448" s="15" t="str">
        <f>IFERROR(__xludf.DUMMYFUNCTION("""COMPUTED_VALUE"""),"DANDO CUERDA")</f>
        <v>DANDO CUERDA</v>
      </c>
      <c r="H448" s="18">
        <f>IFERROR(__xludf.DUMMYFUNCTION("""COMPUTED_VALUE"""),9086.0)</f>
        <v>9086</v>
      </c>
      <c r="I448" s="18">
        <f>IFERROR(__xludf.DUMMYFUNCTION("""COMPUTED_VALUE"""),55.0)</f>
        <v>55</v>
      </c>
      <c r="J448" s="18">
        <f>IFERROR(__xludf.DUMMYFUNCTION("""COMPUTED_VALUE"""),45.0)</f>
        <v>45</v>
      </c>
      <c r="K448" s="18" t="str">
        <f>IFERROR(__xludf.DUMMYFUNCTION("""COMPUTED_VALUE"""),"52.5")</f>
        <v>52.5</v>
      </c>
      <c r="L448" s="17">
        <f>IFERROR(__xludf.DUMMYFUNCTION("""COMPUTED_VALUE"""),3.163816691E9)</f>
        <v>3163816691</v>
      </c>
      <c r="M448" s="17" t="str">
        <f>IFERROR(__xludf.DUMMYFUNCTION("""COMPUTED_VALUE"""),"#REF!")</f>
        <v>#REF!</v>
      </c>
      <c r="N448" s="17"/>
      <c r="O448" s="19" t="str">
        <f>IFERROR(__xludf.DUMMYFUNCTION("""COMPUTED_VALUE"""),"")</f>
        <v/>
      </c>
      <c r="P448" s="17" t="b">
        <f>IFERROR(__xludf.DUMMYFUNCTION("""COMPUTED_VALUE"""),FALSE)</f>
        <v>0</v>
      </c>
      <c r="Q448" s="20" t="str">
        <f>IFERROR(__xludf.DUMMYFUNCTION("""COMPUTED_VALUE"""),"")</f>
        <v/>
      </c>
      <c r="R448" s="22" t="str">
        <f>IFERROR(__xludf.DUMMYFUNCTION("""COMPUTED_VALUE"""),"")</f>
        <v/>
      </c>
    </row>
    <row r="449">
      <c r="A449" s="15">
        <f>IFERROR(__xludf.DUMMYFUNCTION("""COMPUTED_VALUE"""),45009.0)</f>
        <v>45009</v>
      </c>
      <c r="B449" s="16" t="str">
        <f>IFERROR(__xludf.DUMMYFUNCTION("""COMPUTED_VALUE"""),"Jeison Rubiano")</f>
        <v>Jeison Rubiano</v>
      </c>
      <c r="C449" s="15" t="str">
        <f>IFERROR(__xludf.DUMMYFUNCTION("""COMPUTED_VALUE"""),"BOGOTÁ")</f>
        <v>BOGOTÁ</v>
      </c>
      <c r="D449" s="15" t="str">
        <f>IFERROR(__xludf.DUMMYFUNCTION("""COMPUTED_VALUE"""),"MEDELLÍN")</f>
        <v>MEDELLÍN</v>
      </c>
      <c r="E449" s="15" t="str">
        <f>IFERROR(__xludf.DUMMYFUNCTION("""COMPUTED_VALUE"""),"Puro Verde")</f>
        <v>Puro Verde</v>
      </c>
      <c r="F449" s="17" t="str">
        <f>IFERROR(__xludf.DUMMYFUNCTION("""COMPUTED_VALUE"""),"CALLE 86 # 91-16 / CASA / BARRIO QURIGUA")</f>
        <v>CALLE 86 # 91-16 / CASA / BARRIO QURIGUA</v>
      </c>
      <c r="G449" s="15" t="str">
        <f>IFERROR(__xludf.DUMMYFUNCTION("""COMPUTED_VALUE"""),"JAIRO TORRES")</f>
        <v>JAIRO TORRES</v>
      </c>
      <c r="H449" s="18">
        <f>IFERROR(__xludf.DUMMYFUNCTION("""COMPUTED_VALUE"""),9100.0)</f>
        <v>9100</v>
      </c>
      <c r="I449" s="18">
        <f>IFERROR(__xludf.DUMMYFUNCTION("""COMPUTED_VALUE"""),45060.0)</f>
        <v>45060</v>
      </c>
      <c r="J449" s="18">
        <f>IFERROR(__xludf.DUMMYFUNCTION("""COMPUTED_VALUE"""),24.0)</f>
        <v>24</v>
      </c>
      <c r="K449" s="18">
        <f>IFERROR(__xludf.DUMMYFUNCTION("""COMPUTED_VALUE"""),27.0)</f>
        <v>27</v>
      </c>
      <c r="L449" s="17">
        <f>IFERROR(__xludf.DUMMYFUNCTION("""COMPUTED_VALUE"""),3.227279186E9)</f>
        <v>3227279186</v>
      </c>
      <c r="M449" s="17" t="str">
        <f>IFERROR(__xludf.DUMMYFUNCTION("""COMPUTED_VALUE"""),"#REF!")</f>
        <v>#REF!</v>
      </c>
      <c r="N449" s="17"/>
      <c r="O449" s="19" t="str">
        <f>IFERROR(__xludf.DUMMYFUNCTION("""COMPUTED_VALUE"""),"")</f>
        <v/>
      </c>
      <c r="P449" s="17" t="b">
        <f>IFERROR(__xludf.DUMMYFUNCTION("""COMPUTED_VALUE"""),FALSE)</f>
        <v>0</v>
      </c>
      <c r="Q449" s="20" t="str">
        <f>IFERROR(__xludf.DUMMYFUNCTION("""COMPUTED_VALUE"""),"")</f>
        <v/>
      </c>
      <c r="R449" s="21" t="str">
        <f>IFERROR(__xludf.DUMMYFUNCTION("""COMPUTED_VALUE"""),"https://drive.google.com/file/d/1Zc5nyoQ-zlvhBfL2JXxMQ1N6v0aksNbP/view?usp=drivesdk")</f>
        <v>https://drive.google.com/file/d/1Zc5nyoQ-zlvhBfL2JXxMQ1N6v0aksNbP/view?usp=drivesdk</v>
      </c>
    </row>
    <row r="450">
      <c r="A450" s="15">
        <f>IFERROR(__xludf.DUMMYFUNCTION("""COMPUTED_VALUE"""),45009.0)</f>
        <v>45009</v>
      </c>
      <c r="B450" s="16" t="str">
        <f>IFERROR(__xludf.DUMMYFUNCTION("""COMPUTED_VALUE"""),"Jeison Rubiano")</f>
        <v>Jeison Rubiano</v>
      </c>
      <c r="C450" s="15" t="str">
        <f>IFERROR(__xludf.DUMMYFUNCTION("""COMPUTED_VALUE"""),"BOGOTÁ")</f>
        <v>BOGOTÁ</v>
      </c>
      <c r="D450" s="15" t="str">
        <f>IFERROR(__xludf.DUMMYFUNCTION("""COMPUTED_VALUE"""),"MEDELLÍN")</f>
        <v>MEDELLÍN</v>
      </c>
      <c r="E450" s="15" t="str">
        <f>IFERROR(__xludf.DUMMYFUNCTION("""COMPUTED_VALUE"""),"Rambla")</f>
        <v>Rambla</v>
      </c>
      <c r="F450" s="17" t="str">
        <f>IFERROR(__xludf.DUMMYFUNCTION("""COMPUTED_VALUE"""),"Av Carrera 9 # 113-52 Local 306 Edificio Torres Unidas 2 - FreshCo / na / na")</f>
        <v>Av Carrera 9 # 113-52 Local 306 Edificio Torres Unidas 2 - FreshCo / na / na</v>
      </c>
      <c r="G450" s="15" t="str">
        <f>IFERROR(__xludf.DUMMYFUNCTION("""COMPUTED_VALUE"""),"FRESHCO")</f>
        <v>FRESHCO</v>
      </c>
      <c r="H450" s="18">
        <f>IFERROR(__xludf.DUMMYFUNCTION("""COMPUTED_VALUE"""),9137.0)</f>
        <v>9137</v>
      </c>
      <c r="I450" s="18">
        <f>IFERROR(__xludf.DUMMYFUNCTION("""COMPUTED_VALUE"""),22.0)</f>
        <v>22</v>
      </c>
      <c r="J450" s="18">
        <f>IFERROR(__xludf.DUMMYFUNCTION("""COMPUTED_VALUE"""),25.0)</f>
        <v>25</v>
      </c>
      <c r="K450" s="18">
        <f>IFERROR(__xludf.DUMMYFUNCTION("""COMPUTED_VALUE"""),27.0)</f>
        <v>27</v>
      </c>
      <c r="L450" s="17">
        <f>IFERROR(__xludf.DUMMYFUNCTION("""COMPUTED_VALUE"""),3.229417869E9)</f>
        <v>3229417869</v>
      </c>
      <c r="M450" s="17" t="str">
        <f>IFERROR(__xludf.DUMMYFUNCTION("""COMPUTED_VALUE"""),"#REF!")</f>
        <v>#REF!</v>
      </c>
      <c r="N450" s="17"/>
      <c r="O450" s="19" t="str">
        <f>IFERROR(__xludf.DUMMYFUNCTION("""COMPUTED_VALUE"""),"")</f>
        <v/>
      </c>
      <c r="P450" s="17" t="b">
        <f>IFERROR(__xludf.DUMMYFUNCTION("""COMPUTED_VALUE"""),FALSE)</f>
        <v>0</v>
      </c>
      <c r="Q450" s="20" t="str">
        <f>IFERROR(__xludf.DUMMYFUNCTION("""COMPUTED_VALUE"""),"")</f>
        <v/>
      </c>
      <c r="R450" s="21" t="str">
        <f>IFERROR(__xludf.DUMMYFUNCTION("""COMPUTED_VALUE"""),"https://drive.google.com/file/d/1a71cz1ur5Os-K32SdQdzVwx0YfH1R_YZ/view?usp=drivesdk")</f>
        <v>https://drive.google.com/file/d/1a71cz1ur5Os-K32SdQdzVwx0YfH1R_YZ/view?usp=drivesdk</v>
      </c>
    </row>
    <row r="451">
      <c r="A451" s="15">
        <f>IFERROR(__xludf.DUMMYFUNCTION("""COMPUTED_VALUE"""),45009.0)</f>
        <v>45009</v>
      </c>
      <c r="B451" s="16" t="str">
        <f>IFERROR(__xludf.DUMMYFUNCTION("""COMPUTED_VALUE"""),"Jeison Rubiano")</f>
        <v>Jeison Rubiano</v>
      </c>
      <c r="C451" s="15" t="str">
        <f>IFERROR(__xludf.DUMMYFUNCTION("""COMPUTED_VALUE"""),"BOGOTÁ")</f>
        <v>BOGOTÁ</v>
      </c>
      <c r="D451" s="15" t="str">
        <f>IFERROR(__xludf.DUMMYFUNCTION("""COMPUTED_VALUE"""),"MEDELLÍN")</f>
        <v>MEDELLÍN</v>
      </c>
      <c r="E451" s="15" t="str">
        <f>IFERROR(__xludf.DUMMYFUNCTION("""COMPUTED_VALUE"""),"Rambla")</f>
        <v>Rambla</v>
      </c>
      <c r="F451" s="17" t="str">
        <f>IFERROR(__xludf.DUMMYFUNCTION("""COMPUTED_VALUE"""),"Calle 3 No. 71C - 22 Barrio Las Américas, Bogotá D.C. / na / na")</f>
        <v>Calle 3 No. 71C - 22 Barrio Las Américas, Bogotá D.C. / na / na</v>
      </c>
      <c r="G451" s="15" t="str">
        <f>IFERROR(__xludf.DUMMYFUNCTION("""COMPUTED_VALUE"""),"Daniela Alejandra valencia")</f>
        <v>Daniela Alejandra valencia</v>
      </c>
      <c r="H451" s="18">
        <f>IFERROR(__xludf.DUMMYFUNCTION("""COMPUTED_VALUE"""),9133.0)</f>
        <v>9133</v>
      </c>
      <c r="I451" s="18">
        <f>IFERROR(__xludf.DUMMYFUNCTION("""COMPUTED_VALUE"""),22.0)</f>
        <v>22</v>
      </c>
      <c r="J451" s="18">
        <f>IFERROR(__xludf.DUMMYFUNCTION("""COMPUTED_VALUE"""),25.0)</f>
        <v>25</v>
      </c>
      <c r="K451" s="18">
        <f>IFERROR(__xludf.DUMMYFUNCTION("""COMPUTED_VALUE"""),27.0)</f>
        <v>27</v>
      </c>
      <c r="L451" s="17">
        <f>IFERROR(__xludf.DUMMYFUNCTION("""COMPUTED_VALUE"""),3.143461152E9)</f>
        <v>3143461152</v>
      </c>
      <c r="M451" s="17" t="str">
        <f>IFERROR(__xludf.DUMMYFUNCTION("""COMPUTED_VALUE"""),"#REF!")</f>
        <v>#REF!</v>
      </c>
      <c r="N451" s="17"/>
      <c r="O451" s="19" t="str">
        <f>IFERROR(__xludf.DUMMYFUNCTION("""COMPUTED_VALUE"""),"")</f>
        <v/>
      </c>
      <c r="P451" s="17" t="b">
        <f>IFERROR(__xludf.DUMMYFUNCTION("""COMPUTED_VALUE"""),FALSE)</f>
        <v>0</v>
      </c>
      <c r="Q451" s="20" t="str">
        <f>IFERROR(__xludf.DUMMYFUNCTION("""COMPUTED_VALUE"""),"")</f>
        <v/>
      </c>
      <c r="R451" s="22" t="str">
        <f>IFERROR(__xludf.DUMMYFUNCTION("""COMPUTED_VALUE"""),"")</f>
        <v/>
      </c>
    </row>
    <row r="452">
      <c r="A452" s="15">
        <f>IFERROR(__xludf.DUMMYFUNCTION("""COMPUTED_VALUE"""),45009.0)</f>
        <v>45009</v>
      </c>
      <c r="B452" s="16" t="str">
        <f>IFERROR(__xludf.DUMMYFUNCTION("""COMPUTED_VALUE"""),"Jeison Rubiano")</f>
        <v>Jeison Rubiano</v>
      </c>
      <c r="C452" s="15" t="str">
        <f>IFERROR(__xludf.DUMMYFUNCTION("""COMPUTED_VALUE"""),"BOGOTÁ")</f>
        <v>BOGOTÁ</v>
      </c>
      <c r="D452" s="15" t="str">
        <f>IFERROR(__xludf.DUMMYFUNCTION("""COMPUTED_VALUE"""),"MEDELLÍN")</f>
        <v>MEDELLÍN</v>
      </c>
      <c r="E452" s="15" t="str">
        <f>IFERROR(__xludf.DUMMYFUNCTION("""COMPUTED_VALUE"""),"Rambla")</f>
        <v>Rambla</v>
      </c>
      <c r="F452" s="17" t="str">
        <f>IFERROR(__xludf.DUMMYFUNCTION("""COMPUTED_VALUE"""),"Calle 41 a número 8-25 bulevar 42 apto 707 b  / na / na")</f>
        <v>Calle 41 a número 8-25 bulevar 42 apto 707 b  / na / na</v>
      </c>
      <c r="G452" s="15" t="str">
        <f>IFERROR(__xludf.DUMMYFUNCTION("""COMPUTED_VALUE"""),"Nutriclicstore")</f>
        <v>Nutriclicstore</v>
      </c>
      <c r="H452" s="18">
        <f>IFERROR(__xludf.DUMMYFUNCTION("""COMPUTED_VALUE"""),9131.0)</f>
        <v>9131</v>
      </c>
      <c r="I452" s="18">
        <f>IFERROR(__xludf.DUMMYFUNCTION("""COMPUTED_VALUE"""),22.0)</f>
        <v>22</v>
      </c>
      <c r="J452" s="18">
        <f>IFERROR(__xludf.DUMMYFUNCTION("""COMPUTED_VALUE"""),25.0)</f>
        <v>25</v>
      </c>
      <c r="K452" s="18">
        <f>IFERROR(__xludf.DUMMYFUNCTION("""COMPUTED_VALUE"""),27.0)</f>
        <v>27</v>
      </c>
      <c r="L452" s="17">
        <f>IFERROR(__xludf.DUMMYFUNCTION("""COMPUTED_VALUE"""),3.102661625E9)</f>
        <v>3102661625</v>
      </c>
      <c r="M452" s="17" t="str">
        <f>IFERROR(__xludf.DUMMYFUNCTION("""COMPUTED_VALUE"""),"#REF!")</f>
        <v>#REF!</v>
      </c>
      <c r="N452" s="17"/>
      <c r="O452" s="19" t="str">
        <f>IFERROR(__xludf.DUMMYFUNCTION("""COMPUTED_VALUE"""),"")</f>
        <v/>
      </c>
      <c r="P452" s="17" t="b">
        <f>IFERROR(__xludf.DUMMYFUNCTION("""COMPUTED_VALUE"""),FALSE)</f>
        <v>0</v>
      </c>
      <c r="Q452" s="20" t="str">
        <f>IFERROR(__xludf.DUMMYFUNCTION("""COMPUTED_VALUE"""),"")</f>
        <v/>
      </c>
      <c r="R452" s="22" t="str">
        <f>IFERROR(__xludf.DUMMYFUNCTION("""COMPUTED_VALUE"""),"")</f>
        <v/>
      </c>
    </row>
    <row r="453">
      <c r="A453" s="15">
        <f>IFERROR(__xludf.DUMMYFUNCTION("""COMPUTED_VALUE"""),45009.0)</f>
        <v>45009</v>
      </c>
      <c r="B453" s="16" t="str">
        <f>IFERROR(__xludf.DUMMYFUNCTION("""COMPUTED_VALUE"""),"Jeison Rubiano")</f>
        <v>Jeison Rubiano</v>
      </c>
      <c r="C453" s="15" t="str">
        <f>IFERROR(__xludf.DUMMYFUNCTION("""COMPUTED_VALUE"""),"BOGOTÁ")</f>
        <v>BOGOTÁ</v>
      </c>
      <c r="D453" s="15" t="str">
        <f>IFERROR(__xludf.DUMMYFUNCTION("""COMPUTED_VALUE"""),"MEDELLÍN")</f>
        <v>MEDELLÍN</v>
      </c>
      <c r="E453" s="15" t="str">
        <f>IFERROR(__xludf.DUMMYFUNCTION("""COMPUTED_VALUE"""),"Rambla")</f>
        <v>Rambla</v>
      </c>
      <c r="F453" s="17" t="str">
        <f>IFERROR(__xludf.DUMMYFUNCTION("""COMPUTED_VALUE"""),"Calle 95# 71-11 bloque 1 apto 801 parque central Pontevedra 3  / na / na")</f>
        <v>Calle 95# 71-11 bloque 1 apto 801 parque central Pontevedra 3  / na / na</v>
      </c>
      <c r="G453" s="15" t="str">
        <f>IFERROR(__xludf.DUMMYFUNCTION("""COMPUTED_VALUE"""),"Marcela Delgado")</f>
        <v>Marcela Delgado</v>
      </c>
      <c r="H453" s="18">
        <f>IFERROR(__xludf.DUMMYFUNCTION("""COMPUTED_VALUE"""),9134.0)</f>
        <v>9134</v>
      </c>
      <c r="I453" s="18">
        <f>IFERROR(__xludf.DUMMYFUNCTION("""COMPUTED_VALUE"""),22.0)</f>
        <v>22</v>
      </c>
      <c r="J453" s="18">
        <f>IFERROR(__xludf.DUMMYFUNCTION("""COMPUTED_VALUE"""),25.0)</f>
        <v>25</v>
      </c>
      <c r="K453" s="18">
        <f>IFERROR(__xludf.DUMMYFUNCTION("""COMPUTED_VALUE"""),27.0)</f>
        <v>27</v>
      </c>
      <c r="L453" s="17">
        <f>IFERROR(__xludf.DUMMYFUNCTION("""COMPUTED_VALUE"""),3.16691461E9)</f>
        <v>3166914610</v>
      </c>
      <c r="M453" s="17" t="str">
        <f>IFERROR(__xludf.DUMMYFUNCTION("""COMPUTED_VALUE"""),"#REF!")</f>
        <v>#REF!</v>
      </c>
      <c r="N453" s="17"/>
      <c r="O453" s="19" t="str">
        <f>IFERROR(__xludf.DUMMYFUNCTION("""COMPUTED_VALUE"""),"")</f>
        <v/>
      </c>
      <c r="P453" s="17" t="b">
        <f>IFERROR(__xludf.DUMMYFUNCTION("""COMPUTED_VALUE"""),FALSE)</f>
        <v>0</v>
      </c>
      <c r="Q453" s="20" t="str">
        <f>IFERROR(__xludf.DUMMYFUNCTION("""COMPUTED_VALUE"""),"")</f>
        <v/>
      </c>
      <c r="R453" s="21" t="str">
        <f>IFERROR(__xludf.DUMMYFUNCTION("""COMPUTED_VALUE"""),"https://drive.google.com/file/d/1uCLYvuaLpqoUmL7EpNt1U5y7p0XAGK1m/view?usp=drivesdk")</f>
        <v>https://drive.google.com/file/d/1uCLYvuaLpqoUmL7EpNt1U5y7p0XAGK1m/view?usp=drivesdk</v>
      </c>
    </row>
    <row r="454">
      <c r="A454" s="15">
        <f>IFERROR(__xludf.DUMMYFUNCTION("""COMPUTED_VALUE"""),45009.0)</f>
        <v>45009</v>
      </c>
      <c r="B454" s="16" t="str">
        <f>IFERROR(__xludf.DUMMYFUNCTION("""COMPUTED_VALUE"""),"Jeison Rubiano")</f>
        <v>Jeison Rubiano</v>
      </c>
      <c r="C454" s="15" t="str">
        <f>IFERROR(__xludf.DUMMYFUNCTION("""COMPUTED_VALUE"""),"BOGOTÁ")</f>
        <v>BOGOTÁ</v>
      </c>
      <c r="D454" s="15" t="str">
        <f>IFERROR(__xludf.DUMMYFUNCTION("""COMPUTED_VALUE"""),"MEDELLÍN")</f>
        <v>MEDELLÍN</v>
      </c>
      <c r="E454" s="15" t="str">
        <f>IFERROR(__xludf.DUMMYFUNCTION("""COMPUTED_VALUE"""),"Rambla")</f>
        <v>Rambla</v>
      </c>
      <c r="F454" s="17" t="str">
        <f>IFERROR(__xludf.DUMMYFUNCTION("""COMPUTED_VALUE"""),"Carrera 5 # 86-58 casa en bogota / na / na")</f>
        <v>Carrera 5 # 86-58 casa en bogota / na / na</v>
      </c>
      <c r="G454" s="15" t="str">
        <f>IFERROR(__xludf.DUMMYFUNCTION("""COMPUTED_VALUE"""),"Alicia Maldonado")</f>
        <v>Alicia Maldonado</v>
      </c>
      <c r="H454" s="18">
        <f>IFERROR(__xludf.DUMMYFUNCTION("""COMPUTED_VALUE"""),9132.0)</f>
        <v>9132</v>
      </c>
      <c r="I454" s="18">
        <f>IFERROR(__xludf.DUMMYFUNCTION("""COMPUTED_VALUE"""),22.0)</f>
        <v>22</v>
      </c>
      <c r="J454" s="18">
        <f>IFERROR(__xludf.DUMMYFUNCTION("""COMPUTED_VALUE"""),25.0)</f>
        <v>25</v>
      </c>
      <c r="K454" s="18">
        <f>IFERROR(__xludf.DUMMYFUNCTION("""COMPUTED_VALUE"""),27.0)</f>
        <v>27</v>
      </c>
      <c r="L454" s="17">
        <f>IFERROR(__xludf.DUMMYFUNCTION("""COMPUTED_VALUE"""),3.208309047E9)</f>
        <v>3208309047</v>
      </c>
      <c r="M454" s="17" t="str">
        <f>IFERROR(__xludf.DUMMYFUNCTION("""COMPUTED_VALUE"""),"#REF!")</f>
        <v>#REF!</v>
      </c>
      <c r="N454" s="17"/>
      <c r="O454" s="19" t="str">
        <f>IFERROR(__xludf.DUMMYFUNCTION("""COMPUTED_VALUE"""),"")</f>
        <v/>
      </c>
      <c r="P454" s="17" t="b">
        <f>IFERROR(__xludf.DUMMYFUNCTION("""COMPUTED_VALUE"""),FALSE)</f>
        <v>0</v>
      </c>
      <c r="Q454" s="20" t="str">
        <f>IFERROR(__xludf.DUMMYFUNCTION("""COMPUTED_VALUE"""),"")</f>
        <v/>
      </c>
      <c r="R454" s="22" t="str">
        <f>IFERROR(__xludf.DUMMYFUNCTION("""COMPUTED_VALUE"""),"")</f>
        <v/>
      </c>
    </row>
    <row r="455">
      <c r="A455" s="15">
        <f>IFERROR(__xludf.DUMMYFUNCTION("""COMPUTED_VALUE"""),45009.0)</f>
        <v>45009</v>
      </c>
      <c r="B455" s="16" t="str">
        <f>IFERROR(__xludf.DUMMYFUNCTION("""COMPUTED_VALUE"""),"Jeison Rubiano")</f>
        <v>Jeison Rubiano</v>
      </c>
      <c r="C455" s="15" t="str">
        <f>IFERROR(__xludf.DUMMYFUNCTION("""COMPUTED_VALUE"""),"BOGOTÁ")</f>
        <v>BOGOTÁ</v>
      </c>
      <c r="D455" s="15" t="str">
        <f>IFERROR(__xludf.DUMMYFUNCTION("""COMPUTED_VALUE"""),"MEDELLÍN")</f>
        <v>MEDELLÍN</v>
      </c>
      <c r="E455" s="15" t="str">
        <f>IFERROR(__xludf.DUMMYFUNCTION("""COMPUTED_VALUE"""),"Rambla")</f>
        <v>Rambla</v>
      </c>
      <c r="F455" s="17" t="str">
        <f>IFERROR(__xludf.DUMMYFUNCTION("""COMPUTED_VALUE"""),"Cl. 93a #11-46, Barrio Chicó / na / na")</f>
        <v>Cl. 93a #11-46, Barrio Chicó / na / na</v>
      </c>
      <c r="G455" s="15" t="str">
        <f>IFERROR(__xludf.DUMMYFUNCTION("""COMPUTED_VALUE"""),"Fit Hub Bogota")</f>
        <v>Fit Hub Bogota</v>
      </c>
      <c r="H455" s="18">
        <f>IFERROR(__xludf.DUMMYFUNCTION("""COMPUTED_VALUE"""),9136.0)</f>
        <v>9136</v>
      </c>
      <c r="I455" s="18">
        <f>IFERROR(__xludf.DUMMYFUNCTION("""COMPUTED_VALUE"""),22.0)</f>
        <v>22</v>
      </c>
      <c r="J455" s="18">
        <f>IFERROR(__xludf.DUMMYFUNCTION("""COMPUTED_VALUE"""),25.0)</f>
        <v>25</v>
      </c>
      <c r="K455" s="18">
        <f>IFERROR(__xludf.DUMMYFUNCTION("""COMPUTED_VALUE"""),27.0)</f>
        <v>27</v>
      </c>
      <c r="L455" s="17">
        <f>IFERROR(__xludf.DUMMYFUNCTION("""COMPUTED_VALUE"""),3.015447307E9)</f>
        <v>3015447307</v>
      </c>
      <c r="M455" s="17" t="str">
        <f>IFERROR(__xludf.DUMMYFUNCTION("""COMPUTED_VALUE"""),"#REF!")</f>
        <v>#REF!</v>
      </c>
      <c r="N455" s="17"/>
      <c r="O455" s="19" t="str">
        <f>IFERROR(__xludf.DUMMYFUNCTION("""COMPUTED_VALUE"""),"")</f>
        <v/>
      </c>
      <c r="P455" s="17" t="b">
        <f>IFERROR(__xludf.DUMMYFUNCTION("""COMPUTED_VALUE"""),FALSE)</f>
        <v>0</v>
      </c>
      <c r="Q455" s="20" t="str">
        <f>IFERROR(__xludf.DUMMYFUNCTION("""COMPUTED_VALUE"""),"")</f>
        <v/>
      </c>
      <c r="R455" s="21" t="str">
        <f>IFERROR(__xludf.DUMMYFUNCTION("""COMPUTED_VALUE"""),"https://drive.google.com/file/d/1Q7orh3x_7-3Khyw0fIVG2HyUqYnZDgEu/view?usp=drivesdk")</f>
        <v>https://drive.google.com/file/d/1Q7orh3x_7-3Khyw0fIVG2HyUqYnZDgEu/view?usp=drivesdk</v>
      </c>
    </row>
    <row r="456">
      <c r="A456" s="15">
        <f>IFERROR(__xludf.DUMMYFUNCTION("""COMPUTED_VALUE"""),45009.0)</f>
        <v>45009</v>
      </c>
      <c r="B456" s="16" t="str">
        <f>IFERROR(__xludf.DUMMYFUNCTION("""COMPUTED_VALUE"""),"Jeison Rubiano")</f>
        <v>Jeison Rubiano</v>
      </c>
      <c r="C456" s="15" t="str">
        <f>IFERROR(__xludf.DUMMYFUNCTION("""COMPUTED_VALUE"""),"BOGOTÁ")</f>
        <v>BOGOTÁ</v>
      </c>
      <c r="D456" s="15" t="str">
        <f>IFERROR(__xludf.DUMMYFUNCTION("""COMPUTED_VALUE"""),"MEDELLÍN")</f>
        <v>MEDELLÍN</v>
      </c>
      <c r="E456" s="15" t="str">
        <f>IFERROR(__xludf.DUMMYFUNCTION("""COMPUTED_VALUE"""),"Rambla")</f>
        <v>Rambla</v>
      </c>
      <c r="F456" s="17" t="str">
        <f>IFERROR(__xludf.DUMMYFUNCTION("""COMPUTED_VALUE"""),"Km 1.5 via Chia Cajica 100 mts antes de Fontanar / na / na")</f>
        <v>Km 1.5 via Chia Cajica 100 mts antes de Fontanar / na / na</v>
      </c>
      <c r="G456" s="15" t="str">
        <f>IFERROR(__xludf.DUMMYFUNCTION("""COMPUTED_VALUE"""),"The Choice Natural - Laura Posada")</f>
        <v>The Choice Natural - Laura Posada</v>
      </c>
      <c r="H456" s="18">
        <f>IFERROR(__xludf.DUMMYFUNCTION("""COMPUTED_VALUE"""),9135.0)</f>
        <v>9135</v>
      </c>
      <c r="I456" s="18">
        <f>IFERROR(__xludf.DUMMYFUNCTION("""COMPUTED_VALUE"""),22.0)</f>
        <v>22</v>
      </c>
      <c r="J456" s="18">
        <f>IFERROR(__xludf.DUMMYFUNCTION("""COMPUTED_VALUE"""),25.0)</f>
        <v>25</v>
      </c>
      <c r="K456" s="18">
        <f>IFERROR(__xludf.DUMMYFUNCTION("""COMPUTED_VALUE"""),27.0)</f>
        <v>27</v>
      </c>
      <c r="L456" s="17">
        <f>IFERROR(__xludf.DUMMYFUNCTION("""COMPUTED_VALUE"""),3.212415592E9)</f>
        <v>3212415592</v>
      </c>
      <c r="M456" s="17" t="str">
        <f>IFERROR(__xludf.DUMMYFUNCTION("""COMPUTED_VALUE"""),"#REF!")</f>
        <v>#REF!</v>
      </c>
      <c r="N456" s="17"/>
      <c r="O456" s="19" t="str">
        <f>IFERROR(__xludf.DUMMYFUNCTION("""COMPUTED_VALUE"""),"")</f>
        <v/>
      </c>
      <c r="P456" s="17" t="b">
        <f>IFERROR(__xludf.DUMMYFUNCTION("""COMPUTED_VALUE"""),FALSE)</f>
        <v>0</v>
      </c>
      <c r="Q456" s="20" t="str">
        <f>IFERROR(__xludf.DUMMYFUNCTION("""COMPUTED_VALUE"""),"")</f>
        <v/>
      </c>
      <c r="R456" s="21" t="str">
        <f>IFERROR(__xludf.DUMMYFUNCTION("""COMPUTED_VALUE"""),"https://drive.google.com/file/d/1xNLQbp7un2-vfpFW8xT6EC0roAzJjyKg/view?usp=drivesdk")</f>
        <v>https://drive.google.com/file/d/1xNLQbp7un2-vfpFW8xT6EC0roAzJjyKg/view?usp=drivesdk</v>
      </c>
    </row>
    <row r="457">
      <c r="A457" s="15">
        <f>IFERROR(__xludf.DUMMYFUNCTION("""COMPUTED_VALUE"""),45009.0)</f>
        <v>45009</v>
      </c>
      <c r="B457" s="16" t="str">
        <f>IFERROR(__xludf.DUMMYFUNCTION("""COMPUTED_VALUE"""),"Jeison Rubiano")</f>
        <v>Jeison Rubiano</v>
      </c>
      <c r="C457" s="15" t="str">
        <f>IFERROR(__xludf.DUMMYFUNCTION("""COMPUTED_VALUE"""),"MONTERIA")</f>
        <v>MONTERIA</v>
      </c>
      <c r="D457" s="15" t="str">
        <f>IFERROR(__xludf.DUMMYFUNCTION("""COMPUTED_VALUE"""),"MEDELLÍN")</f>
        <v>MEDELLÍN</v>
      </c>
      <c r="E457" s="15" t="str">
        <f>IFERROR(__xludf.DUMMYFUNCTION("""COMPUTED_VALUE"""),"Helados swip")</f>
        <v>Helados swip</v>
      </c>
      <c r="F457" s="17" t="str">
        <f>IFERROR(__xludf.DUMMYFUNCTION("""COMPUTED_VALUE"""),"CALLE 44 # 10- 91  / C.C ALAMEDAS LOCAL 4 / C.C ALAMEDAS")</f>
        <v>CALLE 44 # 10- 91  / C.C ALAMEDAS LOCAL 4 / C.C ALAMEDAS</v>
      </c>
      <c r="G457" s="15" t="str">
        <f>IFERROR(__xludf.DUMMYFUNCTION("""COMPUTED_VALUE"""),"ENJOY FIT")</f>
        <v>ENJOY FIT</v>
      </c>
      <c r="H457" s="18">
        <f>IFERROR(__xludf.DUMMYFUNCTION("""COMPUTED_VALUE"""),9112.0)</f>
        <v>9112</v>
      </c>
      <c r="I457" s="18">
        <f>IFERROR(__xludf.DUMMYFUNCTION("""COMPUTED_VALUE"""),10.0)</f>
        <v>10</v>
      </c>
      <c r="J457" s="18">
        <f>IFERROR(__xludf.DUMMYFUNCTION("""COMPUTED_VALUE"""),100.0)</f>
        <v>100</v>
      </c>
      <c r="K457" s="18">
        <f>IFERROR(__xludf.DUMMYFUNCTION("""COMPUTED_VALUE"""),70.0)</f>
        <v>70</v>
      </c>
      <c r="L457" s="17">
        <f>IFERROR(__xludf.DUMMYFUNCTION("""COMPUTED_VALUE"""),3.052250793E9)</f>
        <v>3052250793</v>
      </c>
      <c r="M457" s="17" t="str">
        <f>IFERROR(__xludf.DUMMYFUNCTION("""COMPUTED_VALUE"""),"#REF!")</f>
        <v>#REF!</v>
      </c>
      <c r="N457" s="17"/>
      <c r="O457" s="19" t="str">
        <f>IFERROR(__xludf.DUMMYFUNCTION("""COMPUTED_VALUE"""),"")</f>
        <v/>
      </c>
      <c r="P457" s="17" t="b">
        <f>IFERROR(__xludf.DUMMYFUNCTION("""COMPUTED_VALUE"""),FALSE)</f>
        <v>0</v>
      </c>
      <c r="Q457" s="20" t="str">
        <f>IFERROR(__xludf.DUMMYFUNCTION("""COMPUTED_VALUE"""),"")</f>
        <v/>
      </c>
      <c r="R457" s="22" t="str">
        <f>IFERROR(__xludf.DUMMYFUNCTION("""COMPUTED_VALUE"""),"")</f>
        <v/>
      </c>
    </row>
    <row r="458">
      <c r="A458" s="15" t="str">
        <f>IFERROR(__xludf.DUMMYFUNCTION("""COMPUTED_VALUE"""),"")</f>
        <v/>
      </c>
      <c r="B458" s="16" t="str">
        <f>IFERROR(__xludf.DUMMYFUNCTION("""COMPUTED_VALUE"""),"")</f>
        <v/>
      </c>
      <c r="C458" s="15" t="str">
        <f>IFERROR(__xludf.DUMMYFUNCTION("""COMPUTED_VALUE"""),"")</f>
        <v/>
      </c>
      <c r="D458" s="15" t="str">
        <f>IFERROR(__xludf.DUMMYFUNCTION("""COMPUTED_VALUE"""),"")</f>
        <v/>
      </c>
      <c r="E458" s="15" t="str">
        <f>IFERROR(__xludf.DUMMYFUNCTION("""COMPUTED_VALUE"""),"")</f>
        <v/>
      </c>
      <c r="F458" s="17" t="str">
        <f>IFERROR(__xludf.DUMMYFUNCTION("""COMPUTED_VALUE"""),"")</f>
        <v/>
      </c>
      <c r="G458" s="15" t="str">
        <f>IFERROR(__xludf.DUMMYFUNCTION("""COMPUTED_VALUE"""),"")</f>
        <v/>
      </c>
      <c r="H458" s="18" t="str">
        <f>IFERROR(__xludf.DUMMYFUNCTION("""COMPUTED_VALUE"""),"")</f>
        <v/>
      </c>
      <c r="I458" s="18" t="str">
        <f>IFERROR(__xludf.DUMMYFUNCTION("""COMPUTED_VALUE"""),"")</f>
        <v/>
      </c>
      <c r="J458" s="18" t="str">
        <f>IFERROR(__xludf.DUMMYFUNCTION("""COMPUTED_VALUE"""),"")</f>
        <v/>
      </c>
      <c r="K458" s="17" t="str">
        <f>IFERROR(__xludf.DUMMYFUNCTION("""COMPUTED_VALUE"""),"")</f>
        <v/>
      </c>
      <c r="L458" s="17" t="str">
        <f>IFERROR(__xludf.DUMMYFUNCTION("""COMPUTED_VALUE"""),"")</f>
        <v/>
      </c>
      <c r="M458" s="17" t="str">
        <f>IFERROR(__xludf.DUMMYFUNCTION("""COMPUTED_VALUE"""),"")</f>
        <v/>
      </c>
      <c r="N458" s="19" t="str">
        <f>IFERROR(__xludf.DUMMYFUNCTION("""COMPUTED_VALUE"""),"")</f>
        <v/>
      </c>
      <c r="O458" s="19" t="str">
        <f>IFERROR(__xludf.DUMMYFUNCTION("""COMPUTED_VALUE"""),"")</f>
        <v/>
      </c>
      <c r="P458" s="17" t="str">
        <f>IFERROR(__xludf.DUMMYFUNCTION("""COMPUTED_VALUE"""),"")</f>
        <v/>
      </c>
      <c r="Q458" s="20" t="str">
        <f>IFERROR(__xludf.DUMMYFUNCTION("""COMPUTED_VALUE"""),"")</f>
        <v/>
      </c>
      <c r="R458" s="22" t="str">
        <f>IFERROR(__xludf.DUMMYFUNCTION("""COMPUTED_VALUE"""),"")</f>
        <v/>
      </c>
    </row>
    <row r="459">
      <c r="A459" s="15">
        <f>IFERROR(__xludf.DUMMYFUNCTION("""COMPUTED_VALUE"""),45009.0)</f>
        <v>45009</v>
      </c>
      <c r="B459" s="16" t="str">
        <f>IFERROR(__xludf.DUMMYFUNCTION("""COMPUTED_VALUE"""),"Julian Calderon Rodriguez ")</f>
        <v>Julian Calderon Rodriguez </v>
      </c>
      <c r="C459" s="15" t="str">
        <f>IFERROR(__xludf.DUMMYFUNCTION("""COMPUTED_VALUE"""),"SANTA MARTA")</f>
        <v>SANTA MARTA</v>
      </c>
      <c r="D459" s="15" t="str">
        <f>IFERROR(__xludf.DUMMYFUNCTION("""COMPUTED_VALUE"""),"MEDELLÍN")</f>
        <v>MEDELLÍN</v>
      </c>
      <c r="E459" s="15" t="str">
        <f>IFERROR(__xludf.DUMMYFUNCTION("""COMPUTED_VALUE"""),"Toledales")</f>
        <v>Toledales</v>
      </c>
      <c r="F459" s="17" t="str">
        <f>IFERROR(__xludf.DUMMYFUNCTION("""COMPUTED_VALUE"""),"Cr 1c 22-79 Edificio Gran Marina apto 1601 / Edificio gran marina apto 1601 / Santa marta")</f>
        <v>Cr 1c 22-79 Edificio Gran Marina apto 1601 / Edificio gran marina apto 1601 / Santa marta</v>
      </c>
      <c r="G459" s="15" t="str">
        <f>IFERROR(__xludf.DUMMYFUNCTION("""COMPUTED_VALUE"""),"Emília Saade")</f>
        <v>Emília Saade</v>
      </c>
      <c r="H459" s="18">
        <f>IFERROR(__xludf.DUMMYFUNCTION("""COMPUTED_VALUE"""),8982.0)</f>
        <v>8982</v>
      </c>
      <c r="I459" s="18">
        <f>IFERROR(__xludf.DUMMYFUNCTION("""COMPUTED_VALUE"""),30.0)</f>
        <v>30</v>
      </c>
      <c r="J459" s="18">
        <f>IFERROR(__xludf.DUMMYFUNCTION("""COMPUTED_VALUE"""),30.0)</f>
        <v>30</v>
      </c>
      <c r="K459" s="18">
        <f>IFERROR(__xludf.DUMMYFUNCTION("""COMPUTED_VALUE"""),50.0)</f>
        <v>50</v>
      </c>
      <c r="L459" s="17">
        <f>IFERROR(__xludf.DUMMYFUNCTION("""COMPUTED_VALUE"""),3.003476996E9)</f>
        <v>3003476996</v>
      </c>
      <c r="M459" s="17" t="str">
        <f>IFERROR(__xludf.DUMMYFUNCTION("""COMPUTED_VALUE"""),"#REF!")</f>
        <v>#REF!</v>
      </c>
      <c r="N459" s="17"/>
      <c r="O459" s="19" t="str">
        <f>IFERROR(__xludf.DUMMYFUNCTION("""COMPUTED_VALUE"""),"")</f>
        <v/>
      </c>
      <c r="P459" s="17" t="b">
        <f>IFERROR(__xludf.DUMMYFUNCTION("""COMPUTED_VALUE"""),TRUE)</f>
        <v>1</v>
      </c>
      <c r="Q459" s="20">
        <f>IFERROR(__xludf.DUMMYFUNCTION("""COMPUTED_VALUE"""),45009.569600902774)</f>
        <v>45009.5696</v>
      </c>
      <c r="R459" s="22" t="str">
        <f>IFERROR(__xludf.DUMMYFUNCTION("""COMPUTED_VALUE"""),"")</f>
        <v/>
      </c>
    </row>
    <row r="460">
      <c r="A460" s="15">
        <f>IFERROR(__xludf.DUMMYFUNCTION("""COMPUTED_VALUE"""),45009.0)</f>
        <v>45009</v>
      </c>
      <c r="B460" s="16" t="str">
        <f>IFERROR(__xludf.DUMMYFUNCTION("""COMPUTED_VALUE"""),"Julian Calderon Rodriguez ")</f>
        <v>Julian Calderon Rodriguez </v>
      </c>
      <c r="C460" s="15" t="str">
        <f>IFERROR(__xludf.DUMMYFUNCTION("""COMPUTED_VALUE"""),"VILLAVICENCIO")</f>
        <v>VILLAVICENCIO</v>
      </c>
      <c r="D460" s="15" t="str">
        <f>IFERROR(__xludf.DUMMYFUNCTION("""COMPUTED_VALUE"""),"BOGOTÁ")</f>
        <v>BOGOTÁ</v>
      </c>
      <c r="E460" s="15" t="str">
        <f>IFERROR(__xludf.DUMMYFUNCTION("""COMPUTED_VALUE"""),"Evamazzita")</f>
        <v>Evamazzita</v>
      </c>
      <c r="F460" s="17" t="str">
        <f>IFERROR(__xludf.DUMMYFUNCTION("""COMPUTED_VALUE"""),"CR 42 este # 16-19  / conjunto macana apto 504  / Barrio San Antonio")</f>
        <v>CR 42 este # 16-19  / conjunto macana apto 504  / Barrio San Antonio</v>
      </c>
      <c r="G460" s="15" t="str">
        <f>IFERROR(__xludf.DUMMYFUNCTION("""COMPUTED_VALUE"""),"LEIDY JOHANA VELA")</f>
        <v>LEIDY JOHANA VELA</v>
      </c>
      <c r="H460" s="18">
        <f>IFERROR(__xludf.DUMMYFUNCTION("""COMPUTED_VALUE"""),9122.0)</f>
        <v>9122</v>
      </c>
      <c r="I460" s="18">
        <f>IFERROR(__xludf.DUMMYFUNCTION("""COMPUTED_VALUE"""),3.0)</f>
        <v>3</v>
      </c>
      <c r="J460" s="18">
        <f>IFERROR(__xludf.DUMMYFUNCTION("""COMPUTED_VALUE"""),20.0)</f>
        <v>20</v>
      </c>
      <c r="K460" s="18">
        <f>IFERROR(__xludf.DUMMYFUNCTION("""COMPUTED_VALUE"""),15.0)</f>
        <v>15</v>
      </c>
      <c r="L460" s="17">
        <f>IFERROR(__xludf.DUMMYFUNCTION("""COMPUTED_VALUE"""),3.127645574E9)</f>
        <v>3127645574</v>
      </c>
      <c r="M460" s="17" t="str">
        <f>IFERROR(__xludf.DUMMYFUNCTION("""COMPUTED_VALUE"""),"#REF!")</f>
        <v>#REF!</v>
      </c>
      <c r="N460" s="17"/>
      <c r="O460" s="19" t="str">
        <f>IFERROR(__xludf.DUMMYFUNCTION("""COMPUTED_VALUE"""),"")</f>
        <v/>
      </c>
      <c r="P460" s="17" t="b">
        <f>IFERROR(__xludf.DUMMYFUNCTION("""COMPUTED_VALUE"""),TRUE)</f>
        <v>1</v>
      </c>
      <c r="Q460" s="20">
        <f>IFERROR(__xludf.DUMMYFUNCTION("""COMPUTED_VALUE"""),45009.569600902774)</f>
        <v>45009.5696</v>
      </c>
      <c r="R460" s="22" t="str">
        <f>IFERROR(__xludf.DUMMYFUNCTION("""COMPUTED_VALUE"""),"")</f>
        <v/>
      </c>
    </row>
    <row r="461">
      <c r="A461" s="15">
        <f>IFERROR(__xludf.DUMMYFUNCTION("""COMPUTED_VALUE"""),45009.0)</f>
        <v>45009</v>
      </c>
      <c r="B461" s="16" t="str">
        <f>IFERROR(__xludf.DUMMYFUNCTION("""COMPUTED_VALUE"""),"Julian Calderon Rodriguez ")</f>
        <v>Julian Calderon Rodriguez </v>
      </c>
      <c r="C461" s="15" t="str">
        <f>IFERROR(__xludf.DUMMYFUNCTION("""COMPUTED_VALUE"""),"VILLAVICENCIO")</f>
        <v>VILLAVICENCIO</v>
      </c>
      <c r="D461" s="15" t="str">
        <f>IFERROR(__xludf.DUMMYFUNCTION("""COMPUTED_VALUE"""),"BOGOTÁ")</f>
        <v>BOGOTÁ</v>
      </c>
      <c r="E461" s="15" t="str">
        <f>IFERROR(__xludf.DUMMYFUNCTION("""COMPUTED_VALUE"""),"Evamazzita")</f>
        <v>Evamazzita</v>
      </c>
      <c r="F461" s="17" t="str">
        <f>IFERROR(__xludf.DUMMYFUNCTION("""COMPUTED_VALUE"""),"CRA 28 No. 4A - 39  / N/A / ALBORADA")</f>
        <v>CRA 28 No. 4A - 39  / N/A / ALBORADA</v>
      </c>
      <c r="G461" s="15" t="str">
        <f>IFERROR(__xludf.DUMMYFUNCTION("""COMPUTED_VALUE"""),"ALCIRA SANCHEZ")</f>
        <v>ALCIRA SANCHEZ</v>
      </c>
      <c r="H461" s="18">
        <f>IFERROR(__xludf.DUMMYFUNCTION("""COMPUTED_VALUE"""),9121.0)</f>
        <v>9121</v>
      </c>
      <c r="I461" s="18">
        <f>IFERROR(__xludf.DUMMYFUNCTION("""COMPUTED_VALUE"""),3.0)</f>
        <v>3</v>
      </c>
      <c r="J461" s="18">
        <f>IFERROR(__xludf.DUMMYFUNCTION("""COMPUTED_VALUE"""),20.0)</f>
        <v>20</v>
      </c>
      <c r="K461" s="18">
        <f>IFERROR(__xludf.DUMMYFUNCTION("""COMPUTED_VALUE"""),15.0)</f>
        <v>15</v>
      </c>
      <c r="L461" s="17">
        <f>IFERROR(__xludf.DUMMYFUNCTION("""COMPUTED_VALUE"""),3.118634414E9)</f>
        <v>3118634414</v>
      </c>
      <c r="M461" s="17" t="str">
        <f>IFERROR(__xludf.DUMMYFUNCTION("""COMPUTED_VALUE"""),"#REF!")</f>
        <v>#REF!</v>
      </c>
      <c r="N461" s="17"/>
      <c r="O461" s="19" t="str">
        <f>IFERROR(__xludf.DUMMYFUNCTION("""COMPUTED_VALUE"""),"")</f>
        <v/>
      </c>
      <c r="P461" s="17" t="b">
        <f>IFERROR(__xludf.DUMMYFUNCTION("""COMPUTED_VALUE"""),FALSE)</f>
        <v>0</v>
      </c>
      <c r="Q461" s="20" t="str">
        <f>IFERROR(__xludf.DUMMYFUNCTION("""COMPUTED_VALUE"""),"")</f>
        <v/>
      </c>
      <c r="R461" s="22" t="str">
        <f>IFERROR(__xludf.DUMMYFUNCTION("""COMPUTED_VALUE"""),"")</f>
        <v/>
      </c>
    </row>
    <row r="462">
      <c r="A462" s="15" t="str">
        <f>IFERROR(__xludf.DUMMYFUNCTION("""COMPUTED_VALUE"""),"")</f>
        <v/>
      </c>
      <c r="B462" s="16" t="str">
        <f>IFERROR(__xludf.DUMMYFUNCTION("""COMPUTED_VALUE"""),"")</f>
        <v/>
      </c>
      <c r="C462" s="15" t="str">
        <f>IFERROR(__xludf.DUMMYFUNCTION("""COMPUTED_VALUE"""),"")</f>
        <v/>
      </c>
      <c r="D462" s="15" t="str">
        <f>IFERROR(__xludf.DUMMYFUNCTION("""COMPUTED_VALUE"""),"")</f>
        <v/>
      </c>
      <c r="E462" s="15" t="str">
        <f>IFERROR(__xludf.DUMMYFUNCTION("""COMPUTED_VALUE"""),"")</f>
        <v/>
      </c>
      <c r="F462" s="17" t="str">
        <f>IFERROR(__xludf.DUMMYFUNCTION("""COMPUTED_VALUE"""),"")</f>
        <v/>
      </c>
      <c r="G462" s="15" t="str">
        <f>IFERROR(__xludf.DUMMYFUNCTION("""COMPUTED_VALUE"""),"")</f>
        <v/>
      </c>
      <c r="H462" s="18" t="str">
        <f>IFERROR(__xludf.DUMMYFUNCTION("""COMPUTED_VALUE"""),"")</f>
        <v/>
      </c>
      <c r="I462" s="18" t="str">
        <f>IFERROR(__xludf.DUMMYFUNCTION("""COMPUTED_VALUE"""),"")</f>
        <v/>
      </c>
      <c r="J462" s="18" t="str">
        <f>IFERROR(__xludf.DUMMYFUNCTION("""COMPUTED_VALUE"""),"")</f>
        <v/>
      </c>
      <c r="K462" s="17" t="str">
        <f>IFERROR(__xludf.DUMMYFUNCTION("""COMPUTED_VALUE"""),"")</f>
        <v/>
      </c>
      <c r="L462" s="17" t="str">
        <f>IFERROR(__xludf.DUMMYFUNCTION("""COMPUTED_VALUE"""),"")</f>
        <v/>
      </c>
      <c r="M462" s="17" t="str">
        <f>IFERROR(__xludf.DUMMYFUNCTION("""COMPUTED_VALUE"""),"")</f>
        <v/>
      </c>
      <c r="N462" s="19" t="str">
        <f>IFERROR(__xludf.DUMMYFUNCTION("""COMPUTED_VALUE"""),"")</f>
        <v/>
      </c>
      <c r="O462" s="19" t="str">
        <f>IFERROR(__xludf.DUMMYFUNCTION("""COMPUTED_VALUE"""),"")</f>
        <v/>
      </c>
      <c r="P462" s="17" t="str">
        <f>IFERROR(__xludf.DUMMYFUNCTION("""COMPUTED_VALUE"""),"")</f>
        <v/>
      </c>
      <c r="Q462" s="20" t="str">
        <f>IFERROR(__xludf.DUMMYFUNCTION("""COMPUTED_VALUE"""),"")</f>
        <v/>
      </c>
      <c r="R462" s="22" t="str">
        <f>IFERROR(__xludf.DUMMYFUNCTION("""COMPUTED_VALUE"""),"")</f>
        <v/>
      </c>
    </row>
    <row r="463">
      <c r="A463" s="15">
        <f>IFERROR(__xludf.DUMMYFUNCTION("""COMPUTED_VALUE"""),45009.0)</f>
        <v>45009</v>
      </c>
      <c r="B463" s="16" t="str">
        <f>IFERROR(__xludf.DUMMYFUNCTION("""COMPUTED_VALUE"""),"Lina Gaona")</f>
        <v>Lina Gaona</v>
      </c>
      <c r="C463" s="15" t="str">
        <f>IFERROR(__xludf.DUMMYFUNCTION("""COMPUTED_VALUE"""),"CÚCUTA")</f>
        <v>CÚCUTA</v>
      </c>
      <c r="D463" s="15" t="str">
        <f>IFERROR(__xludf.DUMMYFUNCTION("""COMPUTED_VALUE"""),"BOGOTÁ")</f>
        <v>BOGOTÁ</v>
      </c>
      <c r="E463" s="15" t="str">
        <f>IFERROR(__xludf.DUMMYFUNCTION("""COMPUTED_VALUE"""),"Evamazzita")</f>
        <v>Evamazzita</v>
      </c>
      <c r="F463" s="17" t="str">
        <f>IFERROR(__xludf.DUMMYFUNCTION("""COMPUTED_VALUE"""),"Av 2E # 15A -17 /  Caobos / SE ENVÍAN CUATRO (4) CAJAS")</f>
        <v>Av 2E # 15A -17 /  Caobos / SE ENVÍAN CUATRO (4) CAJAS</v>
      </c>
      <c r="G463" s="15" t="str">
        <f>IFERROR(__xludf.DUMMYFUNCTION("""COMPUTED_VALUE"""),"DACCY KARINA LOPEZ MORENO")</f>
        <v>DACCY KARINA LOPEZ MORENO</v>
      </c>
      <c r="H463" s="18">
        <f>IFERROR(__xludf.DUMMYFUNCTION("""COMPUTED_VALUE"""),9088.0)</f>
        <v>9088</v>
      </c>
      <c r="I463" s="18">
        <f>IFERROR(__xludf.DUMMYFUNCTION("""COMPUTED_VALUE"""),25.0)</f>
        <v>25</v>
      </c>
      <c r="J463" s="18">
        <f>IFERROR(__xludf.DUMMYFUNCTION("""COMPUTED_VALUE"""),30.0)</f>
        <v>30</v>
      </c>
      <c r="K463" s="18">
        <f>IFERROR(__xludf.DUMMYFUNCTION("""COMPUTED_VALUE"""),45.0)</f>
        <v>45</v>
      </c>
      <c r="L463" s="17">
        <f>IFERROR(__xludf.DUMMYFUNCTION("""COMPUTED_VALUE"""),3.208615379E9)</f>
        <v>3208615379</v>
      </c>
      <c r="M463" s="17" t="str">
        <f>IFERROR(__xludf.DUMMYFUNCTION("""COMPUTED_VALUE"""),"#REF!")</f>
        <v>#REF!</v>
      </c>
      <c r="N463" s="17"/>
      <c r="O463" s="19" t="str">
        <f>IFERROR(__xludf.DUMMYFUNCTION("""COMPUTED_VALUE"""),"")</f>
        <v/>
      </c>
      <c r="P463" s="17" t="b">
        <f>IFERROR(__xludf.DUMMYFUNCTION("""COMPUTED_VALUE"""),TRUE)</f>
        <v>1</v>
      </c>
      <c r="Q463" s="20">
        <f>IFERROR(__xludf.DUMMYFUNCTION("""COMPUTED_VALUE"""),45009.569600902774)</f>
        <v>45009.5696</v>
      </c>
      <c r="R463" s="22" t="str">
        <f>IFERROR(__xludf.DUMMYFUNCTION("""COMPUTED_VALUE"""),"")</f>
        <v/>
      </c>
    </row>
    <row r="464">
      <c r="A464" s="15">
        <f>IFERROR(__xludf.DUMMYFUNCTION("""COMPUTED_VALUE"""),45009.0)</f>
        <v>45009</v>
      </c>
      <c r="B464" s="16" t="str">
        <f>IFERROR(__xludf.DUMMYFUNCTION("""COMPUTED_VALUE"""),"Lina Gaona")</f>
        <v>Lina Gaona</v>
      </c>
      <c r="C464" s="15" t="str">
        <f>IFERROR(__xludf.DUMMYFUNCTION("""COMPUTED_VALUE"""),"VILLAVICENCIO")</f>
        <v>VILLAVICENCIO</v>
      </c>
      <c r="D464" s="15" t="str">
        <f>IFERROR(__xludf.DUMMYFUNCTION("""COMPUTED_VALUE"""),"BOGOTÁ")</f>
        <v>BOGOTÁ</v>
      </c>
      <c r="E464" s="15" t="str">
        <f>IFERROR(__xludf.DUMMYFUNCTION("""COMPUTED_VALUE"""),"Top Spun")</f>
        <v>Top Spun</v>
      </c>
      <c r="F464" s="17" t="str">
        <f>IFERROR(__xludf.DUMMYFUNCTION("""COMPUTED_VALUE"""),"Cra 48 #44-77 / conjunto cambulos 1 casa 16 / Villavicencio meta")</f>
        <v>Cra 48 #44-77 / conjunto cambulos 1 casa 16 / Villavicencio meta</v>
      </c>
      <c r="G464" s="15" t="str">
        <f>IFERROR(__xludf.DUMMYFUNCTION("""COMPUTED_VALUE"""),"Lina zamora Cely")</f>
        <v>Lina zamora Cely</v>
      </c>
      <c r="H464" s="18">
        <f>IFERROR(__xludf.DUMMYFUNCTION("""COMPUTED_VALUE"""),9113.0)</f>
        <v>9113</v>
      </c>
      <c r="I464" s="18">
        <f>IFERROR(__xludf.DUMMYFUNCTION("""COMPUTED_VALUE"""),20.0)</f>
        <v>20</v>
      </c>
      <c r="J464" s="18">
        <f>IFERROR(__xludf.DUMMYFUNCTION("""COMPUTED_VALUE"""),10.0)</f>
        <v>10</v>
      </c>
      <c r="K464" s="18">
        <f>IFERROR(__xludf.DUMMYFUNCTION("""COMPUTED_VALUE"""),40.0)</f>
        <v>40</v>
      </c>
      <c r="L464" s="17">
        <f>IFERROR(__xludf.DUMMYFUNCTION("""COMPUTED_VALUE"""),3.11828827E9)</f>
        <v>3118288270</v>
      </c>
      <c r="M464" s="17" t="str">
        <f>IFERROR(__xludf.DUMMYFUNCTION("""COMPUTED_VALUE"""),"#REF!")</f>
        <v>#REF!</v>
      </c>
      <c r="N464" s="17"/>
      <c r="O464" s="19" t="str">
        <f>IFERROR(__xludf.DUMMYFUNCTION("""COMPUTED_VALUE"""),"")</f>
        <v/>
      </c>
      <c r="P464" s="17" t="b">
        <f>IFERROR(__xludf.DUMMYFUNCTION("""COMPUTED_VALUE"""),FALSE)</f>
        <v>0</v>
      </c>
      <c r="Q464" s="20" t="str">
        <f>IFERROR(__xludf.DUMMYFUNCTION("""COMPUTED_VALUE"""),"")</f>
        <v/>
      </c>
      <c r="R464" s="22" t="str">
        <f>IFERROR(__xludf.DUMMYFUNCTION("""COMPUTED_VALUE"""),"")</f>
        <v/>
      </c>
    </row>
    <row r="465">
      <c r="A465" s="15" t="str">
        <f>IFERROR(__xludf.DUMMYFUNCTION("""COMPUTED_VALUE"""),"")</f>
        <v/>
      </c>
      <c r="B465" s="16" t="str">
        <f>IFERROR(__xludf.DUMMYFUNCTION("""COMPUTED_VALUE"""),"")</f>
        <v/>
      </c>
      <c r="C465" s="15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7" t="str">
        <f>IFERROR(__xludf.DUMMYFUNCTION("""COMPUTED_VALUE"""),"")</f>
        <v/>
      </c>
      <c r="G465" s="15" t="str">
        <f>IFERROR(__xludf.DUMMYFUNCTION("""COMPUTED_VALUE"""),"")</f>
        <v/>
      </c>
      <c r="H465" s="18" t="str">
        <f>IFERROR(__xludf.DUMMYFUNCTION("""COMPUTED_VALUE"""),"")</f>
        <v/>
      </c>
      <c r="I465" s="18" t="str">
        <f>IFERROR(__xludf.DUMMYFUNCTION("""COMPUTED_VALUE"""),"")</f>
        <v/>
      </c>
      <c r="J465" s="18" t="str">
        <f>IFERROR(__xludf.DUMMYFUNCTION("""COMPUTED_VALUE"""),"")</f>
        <v/>
      </c>
      <c r="K465" s="17" t="str">
        <f>IFERROR(__xludf.DUMMYFUNCTION("""COMPUTED_VALUE"""),"")</f>
        <v/>
      </c>
      <c r="L465" s="17" t="str">
        <f>IFERROR(__xludf.DUMMYFUNCTION("""COMPUTED_VALUE"""),"")</f>
        <v/>
      </c>
      <c r="M465" s="17" t="str">
        <f>IFERROR(__xludf.DUMMYFUNCTION("""COMPUTED_VALUE"""),"")</f>
        <v/>
      </c>
      <c r="N465" s="19" t="str">
        <f>IFERROR(__xludf.DUMMYFUNCTION("""COMPUTED_VALUE"""),"")</f>
        <v/>
      </c>
      <c r="O465" s="19" t="str">
        <f>IFERROR(__xludf.DUMMYFUNCTION("""COMPUTED_VALUE"""),"")</f>
        <v/>
      </c>
      <c r="P465" s="17" t="str">
        <f>IFERROR(__xludf.DUMMYFUNCTION("""COMPUTED_VALUE"""),"")</f>
        <v/>
      </c>
      <c r="Q465" s="20" t="str">
        <f>IFERROR(__xludf.DUMMYFUNCTION("""COMPUTED_VALUE"""),"")</f>
        <v/>
      </c>
      <c r="R465" s="22" t="str">
        <f>IFERROR(__xludf.DUMMYFUNCTION("""COMPUTED_VALUE"""),"")</f>
        <v/>
      </c>
    </row>
    <row r="466">
      <c r="A466" s="15">
        <f>IFERROR(__xludf.DUMMYFUNCTION("""COMPUTED_VALUE"""),45009.0)</f>
        <v>45009</v>
      </c>
      <c r="B466" s="16" t="str">
        <f>IFERROR(__xludf.DUMMYFUNCTION("""COMPUTED_VALUE"""),"Orlando Urdaneta Rincon ")</f>
        <v>Orlando Urdaneta Rincon </v>
      </c>
      <c r="C466" s="15" t="str">
        <f>IFERROR(__xludf.DUMMYFUNCTION("""COMPUTED_VALUE"""),"SANTA MARTA")</f>
        <v>SANTA MARTA</v>
      </c>
      <c r="D466" s="15" t="str">
        <f>IFERROR(__xludf.DUMMYFUNCTION("""COMPUTED_VALUE"""),"MEDELLÍN")</f>
        <v>MEDELLÍN</v>
      </c>
      <c r="E466" s="15" t="str">
        <f>IFERROR(__xludf.DUMMYFUNCTION("""COMPUTED_VALUE"""),"Magda")</f>
        <v>Magda</v>
      </c>
      <c r="F466" s="17" t="str">
        <f>IFERROR(__xludf.DUMMYFUNCTION("""COMPUTED_VALUE"""),"Calle 22 # 6 - 82 / Local 27 Centro Comercial La 22 / Centro")</f>
        <v>Calle 22 # 6 - 82 / Local 27 Centro Comercial La 22 / Centro</v>
      </c>
      <c r="G466" s="15" t="str">
        <f>IFERROR(__xludf.DUMMYFUNCTION("""COMPUTED_VALUE"""),"Shirley Manjarres")</f>
        <v>Shirley Manjarres</v>
      </c>
      <c r="H466" s="18">
        <f>IFERROR(__xludf.DUMMYFUNCTION("""COMPUTED_VALUE"""),9065.0)</f>
        <v>9065</v>
      </c>
      <c r="I466" s="18">
        <f>IFERROR(__xludf.DUMMYFUNCTION("""COMPUTED_VALUE"""),55.0)</f>
        <v>55</v>
      </c>
      <c r="J466" s="18">
        <f>IFERROR(__xludf.DUMMYFUNCTION("""COMPUTED_VALUE"""),45.0)</f>
        <v>45</v>
      </c>
      <c r="K466" s="18" t="str">
        <f>IFERROR(__xludf.DUMMYFUNCTION("""COMPUTED_VALUE"""),"52.5")</f>
        <v>52.5</v>
      </c>
      <c r="L466" s="17">
        <f>IFERROR(__xludf.DUMMYFUNCTION("""COMPUTED_VALUE"""),3.054269156E9)</f>
        <v>3054269156</v>
      </c>
      <c r="M466" s="17" t="str">
        <f>IFERROR(__xludf.DUMMYFUNCTION("""COMPUTED_VALUE"""),"#REF!")</f>
        <v>#REF!</v>
      </c>
      <c r="N466" s="17"/>
      <c r="O466" s="19" t="str">
        <f>IFERROR(__xludf.DUMMYFUNCTION("""COMPUTED_VALUE"""),"")</f>
        <v/>
      </c>
      <c r="P466" s="17" t="b">
        <f>IFERROR(__xludf.DUMMYFUNCTION("""COMPUTED_VALUE"""),TRUE)</f>
        <v>1</v>
      </c>
      <c r="Q466" s="20">
        <f>IFERROR(__xludf.DUMMYFUNCTION("""COMPUTED_VALUE"""),45009.56961131944)</f>
        <v>45009.56961</v>
      </c>
      <c r="R466" s="22" t="str">
        <f>IFERROR(__xludf.DUMMYFUNCTION("""COMPUTED_VALUE"""),"")</f>
        <v/>
      </c>
    </row>
    <row r="467">
      <c r="A467" s="15">
        <f>IFERROR(__xludf.DUMMYFUNCTION("""COMPUTED_VALUE"""),45009.0)</f>
        <v>45009</v>
      </c>
      <c r="B467" s="16" t="str">
        <f>IFERROR(__xludf.DUMMYFUNCTION("""COMPUTED_VALUE"""),"Orlando Urdaneta Rincon ")</f>
        <v>Orlando Urdaneta Rincon </v>
      </c>
      <c r="C467" s="15" t="str">
        <f>IFERROR(__xludf.DUMMYFUNCTION("""COMPUTED_VALUE"""),"SANTA MARTA")</f>
        <v>SANTA MARTA</v>
      </c>
      <c r="D467" s="15" t="str">
        <f>IFERROR(__xludf.DUMMYFUNCTION("""COMPUTED_VALUE"""),"MEDELLÍN")</f>
        <v>MEDELLÍN</v>
      </c>
      <c r="E467" s="15" t="str">
        <f>IFERROR(__xludf.DUMMYFUNCTION("""COMPUTED_VALUE"""),"Rambla")</f>
        <v>Rambla</v>
      </c>
      <c r="F467" s="17" t="str">
        <f>IFERROR(__xludf.DUMMYFUNCTION("""COMPUTED_VALUE"""),"Calle 14 n12-41 av libertador / na / na")</f>
        <v>Calle 14 n12-41 av libertador / na / na</v>
      </c>
      <c r="G467" s="15" t="str">
        <f>IFERROR(__xludf.DUMMYFUNCTION("""COMPUTED_VALUE"""),"Sembrador mercado saludable")</f>
        <v>Sembrador mercado saludable</v>
      </c>
      <c r="H467" s="18">
        <f>IFERROR(__xludf.DUMMYFUNCTION("""COMPUTED_VALUE"""),9103.0)</f>
        <v>9103</v>
      </c>
      <c r="I467" s="18">
        <f>IFERROR(__xludf.DUMMYFUNCTION("""COMPUTED_VALUE"""),25.0)</f>
        <v>25</v>
      </c>
      <c r="J467" s="18">
        <f>IFERROR(__xludf.DUMMYFUNCTION("""COMPUTED_VALUE"""),30.0)</f>
        <v>30</v>
      </c>
      <c r="K467" s="18">
        <f>IFERROR(__xludf.DUMMYFUNCTION("""COMPUTED_VALUE"""),33.0)</f>
        <v>33</v>
      </c>
      <c r="L467" s="17">
        <f>IFERROR(__xludf.DUMMYFUNCTION("""COMPUTED_VALUE"""),3.148181825E9)</f>
        <v>3148181825</v>
      </c>
      <c r="M467" s="17" t="str">
        <f>IFERROR(__xludf.DUMMYFUNCTION("""COMPUTED_VALUE"""),"#REF!")</f>
        <v>#REF!</v>
      </c>
      <c r="N467" s="17"/>
      <c r="O467" s="19" t="str">
        <f>IFERROR(__xludf.DUMMYFUNCTION("""COMPUTED_VALUE"""),"")</f>
        <v/>
      </c>
      <c r="P467" s="17" t="b">
        <f>IFERROR(__xludf.DUMMYFUNCTION("""COMPUTED_VALUE"""),TRUE)</f>
        <v>1</v>
      </c>
      <c r="Q467" s="20">
        <f>IFERROR(__xludf.DUMMYFUNCTION("""COMPUTED_VALUE"""),45009.56961131944)</f>
        <v>45009.56961</v>
      </c>
      <c r="R467" s="22" t="str">
        <f>IFERROR(__xludf.DUMMYFUNCTION("""COMPUTED_VALUE"""),"")</f>
        <v/>
      </c>
    </row>
    <row r="468">
      <c r="A468" s="15">
        <f>IFERROR(__xludf.DUMMYFUNCTION("""COMPUTED_VALUE"""),45009.0)</f>
        <v>45009</v>
      </c>
      <c r="B468" s="16" t="str">
        <f>IFERROR(__xludf.DUMMYFUNCTION("""COMPUTED_VALUE"""),"Orlando Urdaneta Rincon ")</f>
        <v>Orlando Urdaneta Rincon </v>
      </c>
      <c r="C468" s="15" t="str">
        <f>IFERROR(__xludf.DUMMYFUNCTION("""COMPUTED_VALUE"""),"SANTA MARTA")</f>
        <v>SANTA MARTA</v>
      </c>
      <c r="D468" s="15" t="str">
        <f>IFERROR(__xludf.DUMMYFUNCTION("""COMPUTED_VALUE"""),"MEDELLÍN")</f>
        <v>MEDELLÍN</v>
      </c>
      <c r="E468" s="15" t="str">
        <f>IFERROR(__xludf.DUMMYFUNCTION("""COMPUTED_VALUE"""),"Rambla")</f>
        <v>Rambla</v>
      </c>
      <c r="F468" s="17" t="str">
        <f>IFERROR(__xludf.DUMMYFUNCTION("""COMPUTED_VALUE"""),"calle 24a #2-39 bella vista ed san marino lc 1 / na / na")</f>
        <v>calle 24a #2-39 bella vista ed san marino lc 1 / na / na</v>
      </c>
      <c r="G468" s="15" t="str">
        <f>IFERROR(__xludf.DUMMYFUNCTION("""COMPUTED_VALUE"""),"corozo")</f>
        <v>corozo</v>
      </c>
      <c r="H468" s="18">
        <f>IFERROR(__xludf.DUMMYFUNCTION("""COMPUTED_VALUE"""),9104.0)</f>
        <v>9104</v>
      </c>
      <c r="I468" s="18">
        <f>IFERROR(__xludf.DUMMYFUNCTION("""COMPUTED_VALUE"""),25.0)</f>
        <v>25</v>
      </c>
      <c r="J468" s="18">
        <f>IFERROR(__xludf.DUMMYFUNCTION("""COMPUTED_VALUE"""),30.0)</f>
        <v>30</v>
      </c>
      <c r="K468" s="18">
        <f>IFERROR(__xludf.DUMMYFUNCTION("""COMPUTED_VALUE"""),33.0)</f>
        <v>33</v>
      </c>
      <c r="L468" s="17">
        <f>IFERROR(__xludf.DUMMYFUNCTION("""COMPUTED_VALUE"""),3.173000209E9)</f>
        <v>3173000209</v>
      </c>
      <c r="M468" s="17" t="str">
        <f>IFERROR(__xludf.DUMMYFUNCTION("""COMPUTED_VALUE"""),"#REF!")</f>
        <v>#REF!</v>
      </c>
      <c r="N468" s="17"/>
      <c r="O468" s="19" t="str">
        <f>IFERROR(__xludf.DUMMYFUNCTION("""COMPUTED_VALUE"""),"")</f>
        <v/>
      </c>
      <c r="P468" s="17" t="b">
        <f>IFERROR(__xludf.DUMMYFUNCTION("""COMPUTED_VALUE"""),TRUE)</f>
        <v>1</v>
      </c>
      <c r="Q468" s="20">
        <f>IFERROR(__xludf.DUMMYFUNCTION("""COMPUTED_VALUE"""),45009.56961131944)</f>
        <v>45009.56961</v>
      </c>
      <c r="R468" s="22" t="str">
        <f>IFERROR(__xludf.DUMMYFUNCTION("""COMPUTED_VALUE"""),"")</f>
        <v/>
      </c>
    </row>
    <row r="469">
      <c r="A469" s="15">
        <f>IFERROR(__xludf.DUMMYFUNCTION("""COMPUTED_VALUE"""),45009.0)</f>
        <v>45009</v>
      </c>
      <c r="B469" s="16" t="str">
        <f>IFERROR(__xludf.DUMMYFUNCTION("""COMPUTED_VALUE"""),"Orlando Urdaneta Rincon ")</f>
        <v>Orlando Urdaneta Rincon </v>
      </c>
      <c r="C469" s="15" t="str">
        <f>IFERROR(__xludf.DUMMYFUNCTION("""COMPUTED_VALUE"""),"SANTA MARTA")</f>
        <v>SANTA MARTA</v>
      </c>
      <c r="D469" s="15" t="str">
        <f>IFERROR(__xludf.DUMMYFUNCTION("""COMPUTED_VALUE"""),"MEDELLÍN")</f>
        <v>MEDELLÍN</v>
      </c>
      <c r="E469" s="15" t="str">
        <f>IFERROR(__xludf.DUMMYFUNCTION("""COMPUTED_VALUE"""),"Rambla")</f>
        <v>Rambla</v>
      </c>
      <c r="F469" s="17" t="str">
        <f>IFERROR(__xludf.DUMMYFUNCTION("""COMPUTED_VALUE"""),"Calle 27A #1A-30 apto 1701 / na / na")</f>
        <v>Calle 27A #1A-30 apto 1701 / na / na</v>
      </c>
      <c r="G469" s="15" t="str">
        <f>IFERROR(__xludf.DUMMYFUNCTION("""COMPUTED_VALUE"""),"Ana Milena Lacouture")</f>
        <v>Ana Milena Lacouture</v>
      </c>
      <c r="H469" s="18">
        <f>IFERROR(__xludf.DUMMYFUNCTION("""COMPUTED_VALUE"""),9108.0)</f>
        <v>9108</v>
      </c>
      <c r="I469" s="18">
        <f>IFERROR(__xludf.DUMMYFUNCTION("""COMPUTED_VALUE"""),18.0)</f>
        <v>18</v>
      </c>
      <c r="J469" s="18">
        <f>IFERROR(__xludf.DUMMYFUNCTION("""COMPUTED_VALUE"""),21.0)</f>
        <v>21</v>
      </c>
      <c r="K469" s="18">
        <f>IFERROR(__xludf.DUMMYFUNCTION("""COMPUTED_VALUE"""),23.0)</f>
        <v>23</v>
      </c>
      <c r="L469" s="17">
        <f>IFERROR(__xludf.DUMMYFUNCTION("""COMPUTED_VALUE"""),3.174328448E9)</f>
        <v>3174328448</v>
      </c>
      <c r="M469" s="17" t="str">
        <f>IFERROR(__xludf.DUMMYFUNCTION("""COMPUTED_VALUE"""),"#REF!")</f>
        <v>#REF!</v>
      </c>
      <c r="N469" s="17"/>
      <c r="O469" s="19" t="str">
        <f>IFERROR(__xludf.DUMMYFUNCTION("""COMPUTED_VALUE"""),"")</f>
        <v/>
      </c>
      <c r="P469" s="17" t="b">
        <f>IFERROR(__xludf.DUMMYFUNCTION("""COMPUTED_VALUE"""),TRUE)</f>
        <v>1</v>
      </c>
      <c r="Q469" s="20">
        <f>IFERROR(__xludf.DUMMYFUNCTION("""COMPUTED_VALUE"""),45009.56962490741)</f>
        <v>45009.56962</v>
      </c>
      <c r="R469" s="22" t="str">
        <f>IFERROR(__xludf.DUMMYFUNCTION("""COMPUTED_VALUE"""),"")</f>
        <v/>
      </c>
    </row>
    <row r="470">
      <c r="A470" s="15">
        <f>IFERROR(__xludf.DUMMYFUNCTION("""COMPUTED_VALUE"""),45009.0)</f>
        <v>45009</v>
      </c>
      <c r="B470" s="16" t="str">
        <f>IFERROR(__xludf.DUMMYFUNCTION("""COMPUTED_VALUE"""),"Orlando Urdaneta Rincon ")</f>
        <v>Orlando Urdaneta Rincon </v>
      </c>
      <c r="C470" s="15" t="str">
        <f>IFERROR(__xludf.DUMMYFUNCTION("""COMPUTED_VALUE"""),"SANTA MARTA")</f>
        <v>SANTA MARTA</v>
      </c>
      <c r="D470" s="15" t="str">
        <f>IFERROR(__xludf.DUMMYFUNCTION("""COMPUTED_VALUE"""),"MEDELLÍN")</f>
        <v>MEDELLÍN</v>
      </c>
      <c r="E470" s="15" t="str">
        <f>IFERROR(__xludf.DUMMYFUNCTION("""COMPUTED_VALUE"""),"Rambla")</f>
        <v>Rambla</v>
      </c>
      <c r="F470" s="17" t="str">
        <f>IFERROR(__xludf.DUMMYFUNCTION("""COMPUTED_VALUE"""),"CR 4 26 40 CC PRADO PLAZA LC 117 / na / na")</f>
        <v>CR 4 26 40 CC PRADO PLAZA LC 117 / na / na</v>
      </c>
      <c r="G470" s="15" t="str">
        <f>IFERROR(__xludf.DUMMYFUNCTION("""COMPUTED_VALUE"""),"Hecho en casa")</f>
        <v>Hecho en casa</v>
      </c>
      <c r="H470" s="18">
        <f>IFERROR(__xludf.DUMMYFUNCTION("""COMPUTED_VALUE"""),9107.0)</f>
        <v>9107</v>
      </c>
      <c r="I470" s="18">
        <f>IFERROR(__xludf.DUMMYFUNCTION("""COMPUTED_VALUE"""),20.0)</f>
        <v>20</v>
      </c>
      <c r="J470" s="18">
        <f>IFERROR(__xludf.DUMMYFUNCTION("""COMPUTED_VALUE"""),22.0)</f>
        <v>22</v>
      </c>
      <c r="K470" s="18">
        <f>IFERROR(__xludf.DUMMYFUNCTION("""COMPUTED_VALUE"""),25.0)</f>
        <v>25</v>
      </c>
      <c r="L470" s="17">
        <f>IFERROR(__xludf.DUMMYFUNCTION("""COMPUTED_VALUE"""),3.106119626E9)</f>
        <v>3106119626</v>
      </c>
      <c r="M470" s="17" t="str">
        <f>IFERROR(__xludf.DUMMYFUNCTION("""COMPUTED_VALUE"""),"#REF!")</f>
        <v>#REF!</v>
      </c>
      <c r="N470" s="17"/>
      <c r="O470" s="19" t="str">
        <f>IFERROR(__xludf.DUMMYFUNCTION("""COMPUTED_VALUE"""),"")</f>
        <v/>
      </c>
      <c r="P470" s="17" t="b">
        <f>IFERROR(__xludf.DUMMYFUNCTION("""COMPUTED_VALUE"""),FALSE)</f>
        <v>0</v>
      </c>
      <c r="Q470" s="20" t="str">
        <f>IFERROR(__xludf.DUMMYFUNCTION("""COMPUTED_VALUE"""),"")</f>
        <v/>
      </c>
      <c r="R470" s="22" t="str">
        <f>IFERROR(__xludf.DUMMYFUNCTION("""COMPUTED_VALUE"""),"")</f>
        <v/>
      </c>
    </row>
    <row r="471">
      <c r="A471" s="15" t="str">
        <f>IFERROR(__xludf.DUMMYFUNCTION("""COMPUTED_VALUE"""),"")</f>
        <v/>
      </c>
      <c r="B471" s="16" t="str">
        <f>IFERROR(__xludf.DUMMYFUNCTION("""COMPUTED_VALUE"""),"")</f>
        <v/>
      </c>
      <c r="C471" s="15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7" t="str">
        <f>IFERROR(__xludf.DUMMYFUNCTION("""COMPUTED_VALUE"""),"")</f>
        <v/>
      </c>
      <c r="G471" s="15" t="str">
        <f>IFERROR(__xludf.DUMMYFUNCTION("""COMPUTED_VALUE"""),"")</f>
        <v/>
      </c>
      <c r="H471" s="18" t="str">
        <f>IFERROR(__xludf.DUMMYFUNCTION("""COMPUTED_VALUE"""),"")</f>
        <v/>
      </c>
      <c r="I471" s="18" t="str">
        <f>IFERROR(__xludf.DUMMYFUNCTION("""COMPUTED_VALUE"""),"")</f>
        <v/>
      </c>
      <c r="J471" s="18" t="str">
        <f>IFERROR(__xludf.DUMMYFUNCTION("""COMPUTED_VALUE"""),"")</f>
        <v/>
      </c>
      <c r="K471" s="17" t="str">
        <f>IFERROR(__xludf.DUMMYFUNCTION("""COMPUTED_VALUE"""),"")</f>
        <v/>
      </c>
      <c r="L471" s="17" t="str">
        <f>IFERROR(__xludf.DUMMYFUNCTION("""COMPUTED_VALUE"""),"")</f>
        <v/>
      </c>
      <c r="M471" s="17" t="str">
        <f>IFERROR(__xludf.DUMMYFUNCTION("""COMPUTED_VALUE"""),"")</f>
        <v/>
      </c>
      <c r="N471" s="19" t="str">
        <f>IFERROR(__xludf.DUMMYFUNCTION("""COMPUTED_VALUE"""),"")</f>
        <v/>
      </c>
      <c r="O471" s="19" t="str">
        <f>IFERROR(__xludf.DUMMYFUNCTION("""COMPUTED_VALUE"""),"")</f>
        <v/>
      </c>
      <c r="P471" s="17" t="str">
        <f>IFERROR(__xludf.DUMMYFUNCTION("""COMPUTED_VALUE"""),"")</f>
        <v/>
      </c>
      <c r="Q471" s="20" t="str">
        <f>IFERROR(__xludf.DUMMYFUNCTION("""COMPUTED_VALUE"""),"")</f>
        <v/>
      </c>
      <c r="R471" s="22" t="str">
        <f>IFERROR(__xludf.DUMMYFUNCTION("""COMPUTED_VALUE"""),"")</f>
        <v/>
      </c>
    </row>
    <row r="472">
      <c r="A472" s="15">
        <f>IFERROR(__xludf.DUMMYFUNCTION("""COMPUTED_VALUE"""),45009.0)</f>
        <v>45009</v>
      </c>
      <c r="B472" s="16" t="str">
        <f>IFERROR(__xludf.DUMMYFUNCTION("""COMPUTED_VALUE"""),"Sebastian Restrepo Martinez ")</f>
        <v>Sebastian Restrepo Martinez </v>
      </c>
      <c r="C472" s="15" t="str">
        <f>IFERROR(__xludf.DUMMYFUNCTION("""COMPUTED_VALUE"""),"MEDELLÍN")</f>
        <v>MEDELLÍN</v>
      </c>
      <c r="D472" s="15" t="str">
        <f>IFERROR(__xludf.DUMMYFUNCTION("""COMPUTED_VALUE"""),"BOGOTÁ")</f>
        <v>BOGOTÁ</v>
      </c>
      <c r="E472" s="15" t="str">
        <f>IFERROR(__xludf.DUMMYFUNCTION("""COMPUTED_VALUE"""),"Weird Brew")</f>
        <v>Weird Brew</v>
      </c>
      <c r="F472" s="17" t="str">
        <f>IFERROR(__xludf.DUMMYFUNCTION("""COMPUTED_VALUE"""),"Carrera 52 #14-30  / Local 107 / Centro empresarial Olaya Herrera")</f>
        <v>Carrera 52 #14-30  / Local 107 / Centro empresarial Olaya Herrera</v>
      </c>
      <c r="G472" s="15" t="str">
        <f>IFERROR(__xludf.DUMMYFUNCTION("""COMPUTED_VALUE"""),"Laura Marin")</f>
        <v>Laura Marin</v>
      </c>
      <c r="H472" s="18">
        <f>IFERROR(__xludf.DUMMYFUNCTION("""COMPUTED_VALUE"""),9146.0)</f>
        <v>9146</v>
      </c>
      <c r="I472" s="18">
        <f>IFERROR(__xludf.DUMMYFUNCTION("""COMPUTED_VALUE"""),14.0)</f>
        <v>14</v>
      </c>
      <c r="J472" s="18">
        <f>IFERROR(__xludf.DUMMYFUNCTION("""COMPUTED_VALUE"""),45072.0)</f>
        <v>45072</v>
      </c>
      <c r="K472" s="18">
        <f>IFERROR(__xludf.DUMMYFUNCTION("""COMPUTED_VALUE"""),40.0)</f>
        <v>40</v>
      </c>
      <c r="L472" s="17">
        <f>IFERROR(__xludf.DUMMYFUNCTION("""COMPUTED_VALUE"""),3.217896426E9)</f>
        <v>3217896426</v>
      </c>
      <c r="M472" s="17" t="str">
        <f>IFERROR(__xludf.DUMMYFUNCTION("""COMPUTED_VALUE"""),"#REF!")</f>
        <v>#REF!</v>
      </c>
      <c r="N472" s="17"/>
      <c r="O472" s="19" t="str">
        <f>IFERROR(__xludf.DUMMYFUNCTION("""COMPUTED_VALUE"""),"")</f>
        <v/>
      </c>
      <c r="P472" s="17" t="b">
        <f>IFERROR(__xludf.DUMMYFUNCTION("""COMPUTED_VALUE"""),FALSE)</f>
        <v>0</v>
      </c>
      <c r="Q472" s="20" t="str">
        <f>IFERROR(__xludf.DUMMYFUNCTION("""COMPUTED_VALUE"""),"")</f>
        <v/>
      </c>
      <c r="R472" s="21" t="str">
        <f>IFERROR(__xludf.DUMMYFUNCTION("""COMPUTED_VALUE"""),"https://drive.google.com/file/d/1yewyAviZ0qvQTMWY9ElxWhnSFwoMdRay/view?usp=drivesdk")</f>
        <v>https://drive.google.com/file/d/1yewyAviZ0qvQTMWY9ElxWhnSFwoMdRay/view?usp=drivesdk</v>
      </c>
    </row>
    <row r="473">
      <c r="A473" s="15" t="str">
        <f>IFERROR(__xludf.DUMMYFUNCTION("""COMPUTED_VALUE"""),"")</f>
        <v/>
      </c>
      <c r="B473" s="16" t="str">
        <f>IFERROR(__xludf.DUMMYFUNCTION("""COMPUTED_VALUE"""),"")</f>
        <v/>
      </c>
      <c r="C473" s="15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7" t="str">
        <f>IFERROR(__xludf.DUMMYFUNCTION("""COMPUTED_VALUE"""),"")</f>
        <v/>
      </c>
      <c r="G473" s="15" t="str">
        <f>IFERROR(__xludf.DUMMYFUNCTION("""COMPUTED_VALUE"""),"")</f>
        <v/>
      </c>
      <c r="H473" s="18" t="str">
        <f>IFERROR(__xludf.DUMMYFUNCTION("""COMPUTED_VALUE"""),"")</f>
        <v/>
      </c>
      <c r="I473" s="18" t="str">
        <f>IFERROR(__xludf.DUMMYFUNCTION("""COMPUTED_VALUE"""),"")</f>
        <v/>
      </c>
      <c r="J473" s="18" t="str">
        <f>IFERROR(__xludf.DUMMYFUNCTION("""COMPUTED_VALUE"""),"")</f>
        <v/>
      </c>
      <c r="K473" s="17" t="str">
        <f>IFERROR(__xludf.DUMMYFUNCTION("""COMPUTED_VALUE"""),"")</f>
        <v/>
      </c>
      <c r="L473" s="17" t="str">
        <f>IFERROR(__xludf.DUMMYFUNCTION("""COMPUTED_VALUE"""),"")</f>
        <v/>
      </c>
      <c r="M473" s="17" t="str">
        <f>IFERROR(__xludf.DUMMYFUNCTION("""COMPUTED_VALUE"""),"")</f>
        <v/>
      </c>
      <c r="N473" s="19" t="str">
        <f>IFERROR(__xludf.DUMMYFUNCTION("""COMPUTED_VALUE"""),"")</f>
        <v/>
      </c>
      <c r="O473" s="19" t="str">
        <f>IFERROR(__xludf.DUMMYFUNCTION("""COMPUTED_VALUE"""),"")</f>
        <v/>
      </c>
      <c r="P473" s="17" t="str">
        <f>IFERROR(__xludf.DUMMYFUNCTION("""COMPUTED_VALUE"""),"")</f>
        <v/>
      </c>
      <c r="Q473" s="20" t="str">
        <f>IFERROR(__xludf.DUMMYFUNCTION("""COMPUTED_VALUE"""),"")</f>
        <v/>
      </c>
      <c r="R473" s="22" t="str">
        <f>IFERROR(__xludf.DUMMYFUNCTION("""COMPUTED_VALUE"""),"")</f>
        <v/>
      </c>
    </row>
    <row r="474">
      <c r="A474" s="15">
        <f>IFERROR(__xludf.DUMMYFUNCTION("""COMPUTED_VALUE"""),45013.0)</f>
        <v>45013</v>
      </c>
      <c r="B474" s="17"/>
      <c r="C474" s="15" t="str">
        <f>IFERROR(__xludf.DUMMYFUNCTION("""COMPUTED_VALUE"""),"MEDELLÍN")</f>
        <v>MEDELLÍN</v>
      </c>
      <c r="D474" s="15" t="str">
        <f>IFERROR(__xludf.DUMMYFUNCTION("""COMPUTED_VALUE"""),"BOGOTÁ")</f>
        <v>BOGOTÁ</v>
      </c>
      <c r="E474" s="15" t="str">
        <f>IFERROR(__xludf.DUMMYFUNCTION("""COMPUTED_VALUE"""),"Asociacion Agropecuaria Juana Maria")</f>
        <v>Asociacion Agropecuaria Juana Maria</v>
      </c>
      <c r="F474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74" s="15" t="str">
        <f>IFERROR(__xludf.DUMMYFUNCTION("""COMPUTED_VALUE"""),"Jennifer Sanchez Blandon")</f>
        <v>Jennifer Sanchez Blandon</v>
      </c>
      <c r="H474" s="18">
        <f>IFERROR(__xludf.DUMMYFUNCTION("""COMPUTED_VALUE"""),9167.0)</f>
        <v>9167</v>
      </c>
      <c r="I474" s="18">
        <f>IFERROR(__xludf.DUMMYFUNCTION("""COMPUTED_VALUE"""),21.0)</f>
        <v>21</v>
      </c>
      <c r="J474" s="18">
        <f>IFERROR(__xludf.DUMMYFUNCTION("""COMPUTED_VALUE"""),37.0)</f>
        <v>37</v>
      </c>
      <c r="K474" s="18">
        <f>IFERROR(__xludf.DUMMYFUNCTION("""COMPUTED_VALUE"""),30.0)</f>
        <v>30</v>
      </c>
      <c r="L474" s="17">
        <f>IFERROR(__xludf.DUMMYFUNCTION("""COMPUTED_VALUE"""),3.016937674E9)</f>
        <v>3016937674</v>
      </c>
      <c r="M474" s="17" t="str">
        <f>IFERROR(__xludf.DUMMYFUNCTION("""COMPUTED_VALUE"""),"#REF!")</f>
        <v>#REF!</v>
      </c>
      <c r="N474" s="19" t="str">
        <f>IFERROR(__xludf.DUMMYFUNCTION("""COMPUTED_VALUE"""),"")</f>
        <v/>
      </c>
      <c r="O474" s="19" t="str">
        <f>IFERROR(__xludf.DUMMYFUNCTION("""COMPUTED_VALUE"""),"")</f>
        <v/>
      </c>
      <c r="P474" s="17" t="b">
        <f>IFERROR(__xludf.DUMMYFUNCTION("""COMPUTED_VALUE"""),FALSE)</f>
        <v>0</v>
      </c>
      <c r="Q474" s="20" t="str">
        <f>IFERROR(__xludf.DUMMYFUNCTION("""COMPUTED_VALUE"""),"")</f>
        <v/>
      </c>
      <c r="R474" s="22" t="str">
        <f>IFERROR(__xludf.DUMMYFUNCTION("""COMPUTED_VALUE"""),"")</f>
        <v/>
      </c>
    </row>
    <row r="475">
      <c r="A475" s="15" t="str">
        <f>IFERROR(__xludf.DUMMYFUNCTION("""COMPUTED_VALUE"""),"")</f>
        <v/>
      </c>
      <c r="B475" s="16" t="str">
        <f>IFERROR(__xludf.DUMMYFUNCTION("""COMPUTED_VALUE"""),"")</f>
        <v/>
      </c>
      <c r="C475" s="15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7" t="str">
        <f>IFERROR(__xludf.DUMMYFUNCTION("""COMPUTED_VALUE"""),"")</f>
        <v/>
      </c>
      <c r="G475" s="15" t="str">
        <f>IFERROR(__xludf.DUMMYFUNCTION("""COMPUTED_VALUE"""),"")</f>
        <v/>
      </c>
      <c r="H475" s="18" t="str">
        <f>IFERROR(__xludf.DUMMYFUNCTION("""COMPUTED_VALUE"""),"")</f>
        <v/>
      </c>
      <c r="I475" s="18" t="str">
        <f>IFERROR(__xludf.DUMMYFUNCTION("""COMPUTED_VALUE"""),"")</f>
        <v/>
      </c>
      <c r="J475" s="18" t="str">
        <f>IFERROR(__xludf.DUMMYFUNCTION("""COMPUTED_VALUE"""),"")</f>
        <v/>
      </c>
      <c r="K475" s="17" t="str">
        <f>IFERROR(__xludf.DUMMYFUNCTION("""COMPUTED_VALUE"""),"")</f>
        <v/>
      </c>
      <c r="L475" s="17" t="str">
        <f>IFERROR(__xludf.DUMMYFUNCTION("""COMPUTED_VALUE"""),"")</f>
        <v/>
      </c>
      <c r="M475" s="17" t="str">
        <f>IFERROR(__xludf.DUMMYFUNCTION("""COMPUTED_VALUE"""),"")</f>
        <v/>
      </c>
      <c r="N475" s="19" t="str">
        <f>IFERROR(__xludf.DUMMYFUNCTION("""COMPUTED_VALUE"""),"")</f>
        <v/>
      </c>
      <c r="O475" s="19" t="str">
        <f>IFERROR(__xludf.DUMMYFUNCTION("""COMPUTED_VALUE"""),"")</f>
        <v/>
      </c>
      <c r="P475" s="17" t="str">
        <f>IFERROR(__xludf.DUMMYFUNCTION("""COMPUTED_VALUE"""),"")</f>
        <v/>
      </c>
      <c r="Q475" s="20" t="str">
        <f>IFERROR(__xludf.DUMMYFUNCTION("""COMPUTED_VALUE"""),"")</f>
        <v/>
      </c>
      <c r="R475" s="22" t="str">
        <f>IFERROR(__xludf.DUMMYFUNCTION("""COMPUTED_VALUE"""),"")</f>
        <v/>
      </c>
    </row>
    <row r="476">
      <c r="A476" s="15">
        <f>IFERROR(__xludf.DUMMYFUNCTION("""COMPUTED_VALUE"""),45013.0)</f>
        <v>45013</v>
      </c>
      <c r="B476" s="16" t="str">
        <f>IFERROR(__xludf.DUMMYFUNCTION("""COMPUTED_VALUE"""),"Andrés Felipe Castillo Muñoz")</f>
        <v>Andrés Felipe Castillo Muñoz</v>
      </c>
      <c r="C476" s="15" t="str">
        <f>IFERROR(__xludf.DUMMYFUNCTION("""COMPUTED_VALUE"""),"MEDELLÍN")</f>
        <v>MEDELLÍN</v>
      </c>
      <c r="D476" s="15" t="str">
        <f>IFERROR(__xludf.DUMMYFUNCTION("""COMPUTED_VALUE"""),"BOGOTÁ")</f>
        <v>BOGOTÁ</v>
      </c>
      <c r="E476" s="15" t="str">
        <f>IFERROR(__xludf.DUMMYFUNCTION("""COMPUTED_VALUE"""),"Asociacion Agropecuaria Juana Maria")</f>
        <v>Asociacion Agropecuaria Juana Maria</v>
      </c>
      <c r="F476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76" s="15" t="str">
        <f>IFERROR(__xludf.DUMMYFUNCTION("""COMPUTED_VALUE"""),"Jennifer Sanchez Blandon")</f>
        <v>Jennifer Sanchez Blandon</v>
      </c>
      <c r="H476" s="18">
        <f>IFERROR(__xludf.DUMMYFUNCTION("""COMPUTED_VALUE"""),9168.0)</f>
        <v>9168</v>
      </c>
      <c r="I476" s="18">
        <f>IFERROR(__xludf.DUMMYFUNCTION("""COMPUTED_VALUE"""),12.0)</f>
        <v>12</v>
      </c>
      <c r="J476" s="18">
        <f>IFERROR(__xludf.DUMMYFUNCTION("""COMPUTED_VALUE"""),37.0)</f>
        <v>37</v>
      </c>
      <c r="K476" s="18">
        <f>IFERROR(__xludf.DUMMYFUNCTION("""COMPUTED_VALUE"""),20.0)</f>
        <v>20</v>
      </c>
      <c r="L476" s="17">
        <f>IFERROR(__xludf.DUMMYFUNCTION("""COMPUTED_VALUE"""),3.016937674E9)</f>
        <v>3016937674</v>
      </c>
      <c r="M476" s="17" t="str">
        <f>IFERROR(__xludf.DUMMYFUNCTION("""COMPUTED_VALUE"""),"#REF!")</f>
        <v>#REF!</v>
      </c>
      <c r="N476" s="17"/>
      <c r="O476" s="19" t="str">
        <f>IFERROR(__xludf.DUMMYFUNCTION("""COMPUTED_VALUE"""),"")</f>
        <v/>
      </c>
      <c r="P476" s="17" t="b">
        <f>IFERROR(__xludf.DUMMYFUNCTION("""COMPUTED_VALUE"""),TRUE)</f>
        <v>1</v>
      </c>
      <c r="Q476" s="20">
        <f>IFERROR(__xludf.DUMMYFUNCTION("""COMPUTED_VALUE"""),45013.546286261575)</f>
        <v>45013.54629</v>
      </c>
      <c r="R476" s="22" t="str">
        <f>IFERROR(__xludf.DUMMYFUNCTION("""COMPUTED_VALUE"""),"")</f>
        <v/>
      </c>
    </row>
    <row r="477">
      <c r="A477" s="15">
        <f>IFERROR(__xludf.DUMMYFUNCTION("""COMPUTED_VALUE"""),45013.0)</f>
        <v>45013</v>
      </c>
      <c r="B477" s="16" t="str">
        <f>IFERROR(__xludf.DUMMYFUNCTION("""COMPUTED_VALUE"""),"Andrés Felipe Castillo Muñoz")</f>
        <v>Andrés Felipe Castillo Muñoz</v>
      </c>
      <c r="C477" s="15" t="str">
        <f>IFERROR(__xludf.DUMMYFUNCTION("""COMPUTED_VALUE"""),"MEDELLÍN")</f>
        <v>MEDELLÍN</v>
      </c>
      <c r="D477" s="15" t="str">
        <f>IFERROR(__xludf.DUMMYFUNCTION("""COMPUTED_VALUE"""),"BOGOTÁ")</f>
        <v>BOGOTÁ</v>
      </c>
      <c r="E477" s="15" t="str">
        <f>IFERROR(__xludf.DUMMYFUNCTION("""COMPUTED_VALUE"""),"Asociacion Agropecuaria Juana Maria")</f>
        <v>Asociacion Agropecuaria Juana Maria</v>
      </c>
      <c r="F477" s="17" t="str">
        <f>IFERROR(__xludf.DUMMYFUNCTION("""COMPUTED_VALUE"""),"Cra 82C # 30A-100 apto 1202 urbanizacion Torres de Vicuña Belen los Alpes")</f>
        <v>Cra 82C # 30A-100 apto 1202 urbanizacion Torres de Vicuña Belen los Alpes</v>
      </c>
      <c r="G477" s="15" t="str">
        <f>IFERROR(__xludf.DUMMYFUNCTION("""COMPUTED_VALUE"""),"Gloria Moreno")</f>
        <v>Gloria Moreno</v>
      </c>
      <c r="H477" s="18">
        <f>IFERROR(__xludf.DUMMYFUNCTION("""COMPUTED_VALUE"""),9174.0)</f>
        <v>9174</v>
      </c>
      <c r="I477" s="18">
        <f>IFERROR(__xludf.DUMMYFUNCTION("""COMPUTED_VALUE"""),21.0)</f>
        <v>21</v>
      </c>
      <c r="J477" s="18">
        <f>IFERROR(__xludf.DUMMYFUNCTION("""COMPUTED_VALUE"""),37.0)</f>
        <v>37</v>
      </c>
      <c r="K477" s="18">
        <f>IFERROR(__xludf.DUMMYFUNCTION("""COMPUTED_VALUE"""),30.0)</f>
        <v>30</v>
      </c>
      <c r="L477" s="17">
        <f>IFERROR(__xludf.DUMMYFUNCTION("""COMPUTED_VALUE"""),3.162544201E9)</f>
        <v>3162544201</v>
      </c>
      <c r="M477" s="17" t="str">
        <f>IFERROR(__xludf.DUMMYFUNCTION("""COMPUTED_VALUE"""),"#REF!")</f>
        <v>#REF!</v>
      </c>
      <c r="N477" s="17"/>
      <c r="O477" s="19" t="str">
        <f>IFERROR(__xludf.DUMMYFUNCTION("""COMPUTED_VALUE"""),"")</f>
        <v/>
      </c>
      <c r="P477" s="17" t="b">
        <f>IFERROR(__xludf.DUMMYFUNCTION("""COMPUTED_VALUE"""),TRUE)</f>
        <v>1</v>
      </c>
      <c r="Q477" s="20">
        <f>IFERROR(__xludf.DUMMYFUNCTION("""COMPUTED_VALUE"""),45013.546297939814)</f>
        <v>45013.5463</v>
      </c>
      <c r="R477" s="21" t="str">
        <f>IFERROR(__xludf.DUMMYFUNCTION("""COMPUTED_VALUE"""),"https://drive.google.com/file/d/1uKuXxZGV-ubZhvDPn09uVcwGrDZTflxA/view?usp=drivesdk")</f>
        <v>https://drive.google.com/file/d/1uKuXxZGV-ubZhvDPn09uVcwGrDZTflxA/view?usp=drivesdk</v>
      </c>
    </row>
    <row r="478">
      <c r="A478" s="15">
        <f>IFERROR(__xludf.DUMMYFUNCTION("""COMPUTED_VALUE"""),45013.0)</f>
        <v>45013</v>
      </c>
      <c r="B478" s="16" t="str">
        <f>IFERROR(__xludf.DUMMYFUNCTION("""COMPUTED_VALUE"""),"Andrés Felipe Castillo Muñoz")</f>
        <v>Andrés Felipe Castillo Muñoz</v>
      </c>
      <c r="C478" s="15" t="str">
        <f>IFERROR(__xludf.DUMMYFUNCTION("""COMPUTED_VALUE"""),"MEDELLÍN")</f>
        <v>MEDELLÍN</v>
      </c>
      <c r="D478" s="15" t="str">
        <f>IFERROR(__xludf.DUMMYFUNCTION("""COMPUTED_VALUE"""),"BOGOTÁ")</f>
        <v>BOGOTÁ</v>
      </c>
      <c r="E478" s="15" t="str">
        <f>IFERROR(__xludf.DUMMYFUNCTION("""COMPUTED_VALUE"""),"Evamazzita")</f>
        <v>Evamazzita</v>
      </c>
      <c r="F478" s="17" t="str">
        <f>IFERROR(__xludf.DUMMYFUNCTION("""COMPUTED_VALUE"""),"calle 1c #66-50  / N/A / barrio guayabal")</f>
        <v>calle 1c #66-50  / N/A / barrio guayabal</v>
      </c>
      <c r="G478" s="15" t="str">
        <f>IFERROR(__xludf.DUMMYFUNCTION("""COMPUTED_VALUE"""),"ANA MARIA RAMIREZ")</f>
        <v>ANA MARIA RAMIREZ</v>
      </c>
      <c r="H478" s="18">
        <f>IFERROR(__xludf.DUMMYFUNCTION("""COMPUTED_VALUE"""),9191.0)</f>
        <v>9191</v>
      </c>
      <c r="I478" s="18">
        <f>IFERROR(__xludf.DUMMYFUNCTION("""COMPUTED_VALUE"""),3.0)</f>
        <v>3</v>
      </c>
      <c r="J478" s="18">
        <f>IFERROR(__xludf.DUMMYFUNCTION("""COMPUTED_VALUE"""),20.0)</f>
        <v>20</v>
      </c>
      <c r="K478" s="18">
        <f>IFERROR(__xludf.DUMMYFUNCTION("""COMPUTED_VALUE"""),15.0)</f>
        <v>15</v>
      </c>
      <c r="L478" s="17">
        <f>IFERROR(__xludf.DUMMYFUNCTION("""COMPUTED_VALUE"""),3.226649929E9)</f>
        <v>3226649929</v>
      </c>
      <c r="M478" s="17" t="str">
        <f>IFERROR(__xludf.DUMMYFUNCTION("""COMPUTED_VALUE"""),"#REF!")</f>
        <v>#REF!</v>
      </c>
      <c r="N478" s="17"/>
      <c r="O478" s="19" t="str">
        <f>IFERROR(__xludf.DUMMYFUNCTION("""COMPUTED_VALUE"""),"")</f>
        <v/>
      </c>
      <c r="P478" s="17" t="b">
        <f>IFERROR(__xludf.DUMMYFUNCTION("""COMPUTED_VALUE"""),TRUE)</f>
        <v>1</v>
      </c>
      <c r="Q478" s="20">
        <f>IFERROR(__xludf.DUMMYFUNCTION("""COMPUTED_VALUE"""),45013.54630898148)</f>
        <v>45013.54631</v>
      </c>
      <c r="R478" s="22" t="str">
        <f>IFERROR(__xludf.DUMMYFUNCTION("""COMPUTED_VALUE"""),"")</f>
        <v/>
      </c>
    </row>
    <row r="479">
      <c r="A479" s="15">
        <f>IFERROR(__xludf.DUMMYFUNCTION("""COMPUTED_VALUE"""),45013.0)</f>
        <v>45013</v>
      </c>
      <c r="B479" s="16" t="str">
        <f>IFERROR(__xludf.DUMMYFUNCTION("""COMPUTED_VALUE"""),"Andrés Felipe Castillo Muñoz")</f>
        <v>Andrés Felipe Castillo Muñoz</v>
      </c>
      <c r="C479" s="15" t="str">
        <f>IFERROR(__xludf.DUMMYFUNCTION("""COMPUTED_VALUE"""),"MEDELLÍN")</f>
        <v>MEDELLÍN</v>
      </c>
      <c r="D479" s="15" t="str">
        <f>IFERROR(__xludf.DUMMYFUNCTION("""COMPUTED_VALUE"""),"BOGOTÁ")</f>
        <v>BOGOTÁ</v>
      </c>
      <c r="E479" s="15" t="str">
        <f>IFERROR(__xludf.DUMMYFUNCTION("""COMPUTED_VALUE"""),"Evamazzita")</f>
        <v>Evamazzita</v>
      </c>
      <c r="F479" s="17" t="str">
        <f>IFERROR(__xludf.DUMMYFUNCTION("""COMPUTED_VALUE"""),"calle 27Dsur # 27C - 51  / TIERRA GRATA apto. 1709  / ENVIGADO - BARRIO EL ESMERALDAL")</f>
        <v>calle 27Dsur # 27C - 51  / TIERRA GRATA apto. 1709  / ENVIGADO - BARRIO EL ESMERALDAL</v>
      </c>
      <c r="G479" s="15" t="str">
        <f>IFERROR(__xludf.DUMMYFUNCTION("""COMPUTED_VALUE"""),"CATALINA BUILES")</f>
        <v>CATALINA BUILES</v>
      </c>
      <c r="H479" s="18">
        <f>IFERROR(__xludf.DUMMYFUNCTION("""COMPUTED_VALUE"""),9188.0)</f>
        <v>9188</v>
      </c>
      <c r="I479" s="18">
        <f>IFERROR(__xludf.DUMMYFUNCTION("""COMPUTED_VALUE"""),3.0)</f>
        <v>3</v>
      </c>
      <c r="J479" s="18">
        <f>IFERROR(__xludf.DUMMYFUNCTION("""COMPUTED_VALUE"""),20.0)</f>
        <v>20</v>
      </c>
      <c r="K479" s="18">
        <f>IFERROR(__xludf.DUMMYFUNCTION("""COMPUTED_VALUE"""),15.0)</f>
        <v>15</v>
      </c>
      <c r="L479" s="17">
        <f>IFERROR(__xludf.DUMMYFUNCTION("""COMPUTED_VALUE"""),3.218510668E9)</f>
        <v>3218510668</v>
      </c>
      <c r="M479" s="17" t="str">
        <f>IFERROR(__xludf.DUMMYFUNCTION("""COMPUTED_VALUE"""),"#REF!")</f>
        <v>#REF!</v>
      </c>
      <c r="N479" s="17"/>
      <c r="O479" s="19" t="str">
        <f>IFERROR(__xludf.DUMMYFUNCTION("""COMPUTED_VALUE"""),"")</f>
        <v/>
      </c>
      <c r="P479" s="17" t="b">
        <f>IFERROR(__xludf.DUMMYFUNCTION("""COMPUTED_VALUE"""),TRUE)</f>
        <v>1</v>
      </c>
      <c r="Q479" s="20">
        <f>IFERROR(__xludf.DUMMYFUNCTION("""COMPUTED_VALUE"""),45013.546331770835)</f>
        <v>45013.54633</v>
      </c>
      <c r="R479" s="22" t="str">
        <f>IFERROR(__xludf.DUMMYFUNCTION("""COMPUTED_VALUE"""),"")</f>
        <v/>
      </c>
    </row>
    <row r="480">
      <c r="A480" s="15">
        <f>IFERROR(__xludf.DUMMYFUNCTION("""COMPUTED_VALUE"""),45013.0)</f>
        <v>45013</v>
      </c>
      <c r="B480" s="16" t="str">
        <f>IFERROR(__xludf.DUMMYFUNCTION("""COMPUTED_VALUE"""),"Andrés Felipe Castillo Muñoz")</f>
        <v>Andrés Felipe Castillo Muñoz</v>
      </c>
      <c r="C480" s="15" t="str">
        <f>IFERROR(__xludf.DUMMYFUNCTION("""COMPUTED_VALUE"""),"MEDELLÍN")</f>
        <v>MEDELLÍN</v>
      </c>
      <c r="D480" s="15" t="str">
        <f>IFERROR(__xludf.DUMMYFUNCTION("""COMPUTED_VALUE"""),"BOGOTÁ")</f>
        <v>BOGOTÁ</v>
      </c>
      <c r="E480" s="15" t="str">
        <f>IFERROR(__xludf.DUMMYFUNCTION("""COMPUTED_VALUE"""),"Evamazzita")</f>
        <v>Evamazzita</v>
      </c>
      <c r="F480" s="17" t="str">
        <f>IFERROR(__xludf.DUMMYFUNCTION("""COMPUTED_VALUE"""),"Calle14 #40A-75.  / Edificio Toulouse. APTO. 1303 Castropol.  / El Poblado.")</f>
        <v>Calle14 #40A-75.  / Edificio Toulouse. APTO. 1303 Castropol.  / El Poblado.</v>
      </c>
      <c r="G480" s="15" t="str">
        <f>IFERROR(__xludf.DUMMYFUNCTION("""COMPUTED_VALUE"""),"CARLA GARCIA")</f>
        <v>CARLA GARCIA</v>
      </c>
      <c r="H480" s="18">
        <f>IFERROR(__xludf.DUMMYFUNCTION("""COMPUTED_VALUE"""),9193.0)</f>
        <v>9193</v>
      </c>
      <c r="I480" s="18">
        <f>IFERROR(__xludf.DUMMYFUNCTION("""COMPUTED_VALUE"""),10.0)</f>
        <v>10</v>
      </c>
      <c r="J480" s="18">
        <f>IFERROR(__xludf.DUMMYFUNCTION("""COMPUTED_VALUE"""),18.0)</f>
        <v>18</v>
      </c>
      <c r="K480" s="18">
        <f>IFERROR(__xludf.DUMMYFUNCTION("""COMPUTED_VALUE"""),22.0)</f>
        <v>22</v>
      </c>
      <c r="L480" s="17">
        <f>IFERROR(__xludf.DUMMYFUNCTION("""COMPUTED_VALUE"""),3.104795116E9)</f>
        <v>3104795116</v>
      </c>
      <c r="M480" s="17" t="str">
        <f>IFERROR(__xludf.DUMMYFUNCTION("""COMPUTED_VALUE"""),"#REF!")</f>
        <v>#REF!</v>
      </c>
      <c r="N480" s="17"/>
      <c r="O480" s="19" t="str">
        <f>IFERROR(__xludf.DUMMYFUNCTION("""COMPUTED_VALUE"""),"")</f>
        <v/>
      </c>
      <c r="P480" s="17" t="b">
        <f>IFERROR(__xludf.DUMMYFUNCTION("""COMPUTED_VALUE"""),TRUE)</f>
        <v>1</v>
      </c>
      <c r="Q480" s="20">
        <f>IFERROR(__xludf.DUMMYFUNCTION("""COMPUTED_VALUE"""),45013.546331770835)</f>
        <v>45013.54633</v>
      </c>
      <c r="R480" s="22" t="str">
        <f>IFERROR(__xludf.DUMMYFUNCTION("""COMPUTED_VALUE"""),"")</f>
        <v/>
      </c>
    </row>
    <row r="481">
      <c r="A481" s="15">
        <f>IFERROR(__xludf.DUMMYFUNCTION("""COMPUTED_VALUE"""),45013.0)</f>
        <v>45013</v>
      </c>
      <c r="B481" s="16" t="str">
        <f>IFERROR(__xludf.DUMMYFUNCTION("""COMPUTED_VALUE"""),"Andrés Felipe Castillo Muñoz")</f>
        <v>Andrés Felipe Castillo Muñoz</v>
      </c>
      <c r="C481" s="15" t="str">
        <f>IFERROR(__xludf.DUMMYFUNCTION("""COMPUTED_VALUE"""),"MEDELLÍN")</f>
        <v>MEDELLÍN</v>
      </c>
      <c r="D481" s="15" t="str">
        <f>IFERROR(__xludf.DUMMYFUNCTION("""COMPUTED_VALUE"""),"BOGOTÁ")</f>
        <v>BOGOTÁ</v>
      </c>
      <c r="E481" s="15" t="str">
        <f>IFERROR(__xludf.DUMMYFUNCTION("""COMPUTED_VALUE"""),"Evamazzita")</f>
        <v>Evamazzita</v>
      </c>
      <c r="F481" s="17" t="str">
        <f>IFERROR(__xludf.DUMMYFUNCTION("""COMPUTED_VALUE"""),"Carrera 83 # 31-63  / urbanización La Cordillera apto 203  / Barrio Belén Los Alpes")</f>
        <v>Carrera 83 # 31-63  / urbanización La Cordillera apto 203  / Barrio Belén Los Alpes</v>
      </c>
      <c r="G481" s="15" t="str">
        <f>IFERROR(__xludf.DUMMYFUNCTION("""COMPUTED_VALUE"""),"CATALINA CORREA")</f>
        <v>CATALINA CORREA</v>
      </c>
      <c r="H481" s="18">
        <f>IFERROR(__xludf.DUMMYFUNCTION("""COMPUTED_VALUE"""),9190.0)</f>
        <v>9190</v>
      </c>
      <c r="I481" s="18">
        <f>IFERROR(__xludf.DUMMYFUNCTION("""COMPUTED_VALUE"""),10.0)</f>
        <v>10</v>
      </c>
      <c r="J481" s="18">
        <f>IFERROR(__xludf.DUMMYFUNCTION("""COMPUTED_VALUE"""),23.0)</f>
        <v>23</v>
      </c>
      <c r="K481" s="18">
        <f>IFERROR(__xludf.DUMMYFUNCTION("""COMPUTED_VALUE"""),25.0)</f>
        <v>25</v>
      </c>
      <c r="L481" s="17">
        <f>IFERROR(__xludf.DUMMYFUNCTION("""COMPUTED_VALUE"""),3.012891117E9)</f>
        <v>3012891117</v>
      </c>
      <c r="M481" s="17" t="str">
        <f>IFERROR(__xludf.DUMMYFUNCTION("""COMPUTED_VALUE"""),"#REF!")</f>
        <v>#REF!</v>
      </c>
      <c r="N481" s="17"/>
      <c r="O481" s="19" t="str">
        <f>IFERROR(__xludf.DUMMYFUNCTION("""COMPUTED_VALUE"""),"")</f>
        <v/>
      </c>
      <c r="P481" s="17" t="b">
        <f>IFERROR(__xludf.DUMMYFUNCTION("""COMPUTED_VALUE"""),TRUE)</f>
        <v>1</v>
      </c>
      <c r="Q481" s="20">
        <f>IFERROR(__xludf.DUMMYFUNCTION("""COMPUTED_VALUE"""),45013.546342685186)</f>
        <v>45013.54634</v>
      </c>
      <c r="R481" s="22" t="str">
        <f>IFERROR(__xludf.DUMMYFUNCTION("""COMPUTED_VALUE"""),"")</f>
        <v/>
      </c>
    </row>
    <row r="482">
      <c r="A482" s="15">
        <f>IFERROR(__xludf.DUMMYFUNCTION("""COMPUTED_VALUE"""),45013.0)</f>
        <v>45013</v>
      </c>
      <c r="B482" s="16" t="str">
        <f>IFERROR(__xludf.DUMMYFUNCTION("""COMPUTED_VALUE"""),"Andrés Felipe Castillo Muñoz")</f>
        <v>Andrés Felipe Castillo Muñoz</v>
      </c>
      <c r="C482" s="15" t="str">
        <f>IFERROR(__xludf.DUMMYFUNCTION("""COMPUTED_VALUE"""),"MEDELLÍN")</f>
        <v>MEDELLÍN</v>
      </c>
      <c r="D482" s="15" t="str">
        <f>IFERROR(__xludf.DUMMYFUNCTION("""COMPUTED_VALUE"""),"BOGOTÁ")</f>
        <v>BOGOTÁ</v>
      </c>
      <c r="E482" s="15" t="str">
        <f>IFERROR(__xludf.DUMMYFUNCTION("""COMPUTED_VALUE"""),"Evamazzita")</f>
        <v>Evamazzita</v>
      </c>
      <c r="F482" s="17" t="str">
        <f>IFERROR(__xludf.DUMMYFUNCTION("""COMPUTED_VALUE"""),"CL 40 A SUR 24 B 105  / IN 940 torre 20 palmeras 3  / ENVIGADO - Barrio la mina")</f>
        <v>CL 40 A SUR 24 B 105  / IN 940 torre 20 palmeras 3  / ENVIGADO - Barrio la mina</v>
      </c>
      <c r="G482" s="15" t="str">
        <f>IFERROR(__xludf.DUMMYFUNCTION("""COMPUTED_VALUE"""),"KALIANA DEL VALLE VIVAS MALDONADO")</f>
        <v>KALIANA DEL VALLE VIVAS MALDONADO</v>
      </c>
      <c r="H482" s="18">
        <f>IFERROR(__xludf.DUMMYFUNCTION("""COMPUTED_VALUE"""),9185.0)</f>
        <v>9185</v>
      </c>
      <c r="I482" s="18">
        <f>IFERROR(__xludf.DUMMYFUNCTION("""COMPUTED_VALUE"""),3.0)</f>
        <v>3</v>
      </c>
      <c r="J482" s="18">
        <f>IFERROR(__xludf.DUMMYFUNCTION("""COMPUTED_VALUE"""),20.0)</f>
        <v>20</v>
      </c>
      <c r="K482" s="18">
        <f>IFERROR(__xludf.DUMMYFUNCTION("""COMPUTED_VALUE"""),15.0)</f>
        <v>15</v>
      </c>
      <c r="L482" s="17">
        <f>IFERROR(__xludf.DUMMYFUNCTION("""COMPUTED_VALUE"""),3.02842279E9)</f>
        <v>3028422790</v>
      </c>
      <c r="M482" s="17" t="str">
        <f>IFERROR(__xludf.DUMMYFUNCTION("""COMPUTED_VALUE"""),"#REF!")</f>
        <v>#REF!</v>
      </c>
      <c r="N482" s="17"/>
      <c r="O482" s="19" t="str">
        <f>IFERROR(__xludf.DUMMYFUNCTION("""COMPUTED_VALUE"""),"")</f>
        <v/>
      </c>
      <c r="P482" s="17" t="b">
        <f>IFERROR(__xludf.DUMMYFUNCTION("""COMPUTED_VALUE"""),TRUE)</f>
        <v>1</v>
      </c>
      <c r="Q482" s="20">
        <f>IFERROR(__xludf.DUMMYFUNCTION("""COMPUTED_VALUE"""),45013.54635653935)</f>
        <v>45013.54636</v>
      </c>
      <c r="R482" s="22" t="str">
        <f>IFERROR(__xludf.DUMMYFUNCTION("""COMPUTED_VALUE"""),"")</f>
        <v/>
      </c>
    </row>
    <row r="483">
      <c r="A483" s="15">
        <f>IFERROR(__xludf.DUMMYFUNCTION("""COMPUTED_VALUE"""),45013.0)</f>
        <v>45013</v>
      </c>
      <c r="B483" s="16" t="str">
        <f>IFERROR(__xludf.DUMMYFUNCTION("""COMPUTED_VALUE"""),"Andrés Felipe Castillo Muñoz")</f>
        <v>Andrés Felipe Castillo Muñoz</v>
      </c>
      <c r="C483" s="15" t="str">
        <f>IFERROR(__xludf.DUMMYFUNCTION("""COMPUTED_VALUE"""),"MEDELLÍN")</f>
        <v>MEDELLÍN</v>
      </c>
      <c r="D483" s="15" t="str">
        <f>IFERROR(__xludf.DUMMYFUNCTION("""COMPUTED_VALUE"""),"BOGOTÁ")</f>
        <v>BOGOTÁ</v>
      </c>
      <c r="E483" s="15" t="str">
        <f>IFERROR(__xludf.DUMMYFUNCTION("""COMPUTED_VALUE"""),"Evamazzita")</f>
        <v>Evamazzita</v>
      </c>
      <c r="F483" s="17" t="str">
        <f>IFERROR(__xludf.DUMMYFUNCTION("""COMPUTED_VALUE"""),"CRA 15 BA No. 34D- 44  / INT 201  / BUENOS AIRES")</f>
        <v>CRA 15 BA No. 34D- 44  / INT 201  / BUENOS AIRES</v>
      </c>
      <c r="G483" s="15" t="str">
        <f>IFERROR(__xludf.DUMMYFUNCTION("""COMPUTED_VALUE"""),"DANIELA BEDOYA BLANDON")</f>
        <v>DANIELA BEDOYA BLANDON</v>
      </c>
      <c r="H483" s="18">
        <f>IFERROR(__xludf.DUMMYFUNCTION("""COMPUTED_VALUE"""),9211.0)</f>
        <v>9211</v>
      </c>
      <c r="I483" s="18">
        <f>IFERROR(__xludf.DUMMYFUNCTION("""COMPUTED_VALUE"""),13.0)</f>
        <v>13</v>
      </c>
      <c r="J483" s="18">
        <f>IFERROR(__xludf.DUMMYFUNCTION("""COMPUTED_VALUE"""),29.0)</f>
        <v>29</v>
      </c>
      <c r="K483" s="18">
        <f>IFERROR(__xludf.DUMMYFUNCTION("""COMPUTED_VALUE"""),43.0)</f>
        <v>43</v>
      </c>
      <c r="L483" s="17">
        <f>IFERROR(__xludf.DUMMYFUNCTION("""COMPUTED_VALUE"""),3.14672822E9)</f>
        <v>3146728220</v>
      </c>
      <c r="M483" s="17" t="str">
        <f>IFERROR(__xludf.DUMMYFUNCTION("""COMPUTED_VALUE"""),"#REF!")</f>
        <v>#REF!</v>
      </c>
      <c r="N483" s="17"/>
      <c r="O483" s="19" t="str">
        <f>IFERROR(__xludf.DUMMYFUNCTION("""COMPUTED_VALUE"""),"")</f>
        <v/>
      </c>
      <c r="P483" s="17" t="b">
        <f>IFERROR(__xludf.DUMMYFUNCTION("""COMPUTED_VALUE"""),TRUE)</f>
        <v>1</v>
      </c>
      <c r="Q483" s="20">
        <f>IFERROR(__xludf.DUMMYFUNCTION("""COMPUTED_VALUE"""),45013.54636741898)</f>
        <v>45013.54637</v>
      </c>
      <c r="R483" s="22" t="str">
        <f>IFERROR(__xludf.DUMMYFUNCTION("""COMPUTED_VALUE"""),"")</f>
        <v/>
      </c>
    </row>
    <row r="484">
      <c r="A484" s="15">
        <f>IFERROR(__xludf.DUMMYFUNCTION("""COMPUTED_VALUE"""),45013.0)</f>
        <v>45013</v>
      </c>
      <c r="B484" s="16" t="str">
        <f>IFERROR(__xludf.DUMMYFUNCTION("""COMPUTED_VALUE"""),"Andrés Felipe Castillo Muñoz")</f>
        <v>Andrés Felipe Castillo Muñoz</v>
      </c>
      <c r="C484" s="15" t="str">
        <f>IFERROR(__xludf.DUMMYFUNCTION("""COMPUTED_VALUE"""),"MEDELLÍN")</f>
        <v>MEDELLÍN</v>
      </c>
      <c r="D484" s="15" t="str">
        <f>IFERROR(__xludf.DUMMYFUNCTION("""COMPUTED_VALUE"""),"BOGOTÁ")</f>
        <v>BOGOTÁ</v>
      </c>
      <c r="E484" s="15" t="str">
        <f>IFERROR(__xludf.DUMMYFUNCTION("""COMPUTED_VALUE"""),"Evamazzita")</f>
        <v>Evamazzita</v>
      </c>
      <c r="F484" s="17" t="str">
        <f>IFERROR(__xludf.DUMMYFUNCTION("""COMPUTED_VALUE"""),"Cra 25 # 10 - 40  / Apto 1903  / Poblado")</f>
        <v>Cra 25 # 10 - 40  / Apto 1903  / Poblado</v>
      </c>
      <c r="G484" s="15" t="str">
        <f>IFERROR(__xludf.DUMMYFUNCTION("""COMPUTED_VALUE"""),"MONICA VELASQUEZ")</f>
        <v>MONICA VELASQUEZ</v>
      </c>
      <c r="H484" s="18">
        <f>IFERROR(__xludf.DUMMYFUNCTION("""COMPUTED_VALUE"""),9192.0)</f>
        <v>9192</v>
      </c>
      <c r="I484" s="18">
        <f>IFERROR(__xludf.DUMMYFUNCTION("""COMPUTED_VALUE"""),10.0)</f>
        <v>10</v>
      </c>
      <c r="J484" s="18">
        <f>IFERROR(__xludf.DUMMYFUNCTION("""COMPUTED_VALUE"""),18.0)</f>
        <v>18</v>
      </c>
      <c r="K484" s="18">
        <f>IFERROR(__xludf.DUMMYFUNCTION("""COMPUTED_VALUE"""),22.0)</f>
        <v>22</v>
      </c>
      <c r="L484" s="17">
        <f>IFERROR(__xludf.DUMMYFUNCTION("""COMPUTED_VALUE"""),3.007753662E9)</f>
        <v>3007753662</v>
      </c>
      <c r="M484" s="17" t="str">
        <f>IFERROR(__xludf.DUMMYFUNCTION("""COMPUTED_VALUE"""),"#REF!")</f>
        <v>#REF!</v>
      </c>
      <c r="N484" s="17"/>
      <c r="O484" s="19" t="str">
        <f>IFERROR(__xludf.DUMMYFUNCTION("""COMPUTED_VALUE"""),"")</f>
        <v/>
      </c>
      <c r="P484" s="17" t="b">
        <f>IFERROR(__xludf.DUMMYFUNCTION("""COMPUTED_VALUE"""),TRUE)</f>
        <v>1</v>
      </c>
      <c r="Q484" s="20">
        <f>IFERROR(__xludf.DUMMYFUNCTION("""COMPUTED_VALUE"""),45013.54636741898)</f>
        <v>45013.54637</v>
      </c>
      <c r="R484" s="22" t="str">
        <f>IFERROR(__xludf.DUMMYFUNCTION("""COMPUTED_VALUE"""),"")</f>
        <v/>
      </c>
    </row>
    <row r="485">
      <c r="A485" s="15">
        <f>IFERROR(__xludf.DUMMYFUNCTION("""COMPUTED_VALUE"""),45013.0)</f>
        <v>45013</v>
      </c>
      <c r="B485" s="16" t="str">
        <f>IFERROR(__xludf.DUMMYFUNCTION("""COMPUTED_VALUE"""),"Andrés Felipe Castillo Muñoz")</f>
        <v>Andrés Felipe Castillo Muñoz</v>
      </c>
      <c r="C485" s="15" t="str">
        <f>IFERROR(__xludf.DUMMYFUNCTION("""COMPUTED_VALUE"""),"MEDELLÍN")</f>
        <v>MEDELLÍN</v>
      </c>
      <c r="D485" s="15" t="str">
        <f>IFERROR(__xludf.DUMMYFUNCTION("""COMPUTED_VALUE"""),"BOGOTÁ")</f>
        <v>BOGOTÁ</v>
      </c>
      <c r="E485" s="15" t="str">
        <f>IFERROR(__xludf.DUMMYFUNCTION("""COMPUTED_VALUE"""),"Evamazzita")</f>
        <v>Evamazzita</v>
      </c>
      <c r="F485" s="17" t="str">
        <f>IFERROR(__xludf.DUMMYFUNCTION("""COMPUTED_VALUE"""),"CRA 27G No. 35SUR - 175  / APTO 1406 UNIDAD SALTAMONTE GRAND  / ENVIGADO - EL ESCOBERO")</f>
        <v>CRA 27G No. 35SUR - 175  / APTO 1406 UNIDAD SALTAMONTE GRAND  / ENVIGADO - EL ESCOBERO</v>
      </c>
      <c r="G485" s="15" t="str">
        <f>IFERROR(__xludf.DUMMYFUNCTION("""COMPUTED_VALUE"""),"SANDRA LILIANA VELASQUEZ PALACIO")</f>
        <v>SANDRA LILIANA VELASQUEZ PALACIO</v>
      </c>
      <c r="H485" s="18">
        <f>IFERROR(__xludf.DUMMYFUNCTION("""COMPUTED_VALUE"""),9187.0)</f>
        <v>9187</v>
      </c>
      <c r="I485" s="18">
        <f>IFERROR(__xludf.DUMMYFUNCTION("""COMPUTED_VALUE"""),3.0)</f>
        <v>3</v>
      </c>
      <c r="J485" s="18">
        <f>IFERROR(__xludf.DUMMYFUNCTION("""COMPUTED_VALUE"""),20.0)</f>
        <v>20</v>
      </c>
      <c r="K485" s="18">
        <f>IFERROR(__xludf.DUMMYFUNCTION("""COMPUTED_VALUE"""),15.0)</f>
        <v>15</v>
      </c>
      <c r="L485" s="17">
        <f>IFERROR(__xludf.DUMMYFUNCTION("""COMPUTED_VALUE"""),3.042414222E9)</f>
        <v>3042414222</v>
      </c>
      <c r="M485" s="17" t="str">
        <f>IFERROR(__xludf.DUMMYFUNCTION("""COMPUTED_VALUE"""),"#REF!")</f>
        <v>#REF!</v>
      </c>
      <c r="N485" s="17"/>
      <c r="O485" s="19" t="str">
        <f>IFERROR(__xludf.DUMMYFUNCTION("""COMPUTED_VALUE"""),"")</f>
        <v/>
      </c>
      <c r="P485" s="17" t="b">
        <f>IFERROR(__xludf.DUMMYFUNCTION("""COMPUTED_VALUE"""),FALSE)</f>
        <v>0</v>
      </c>
      <c r="Q485" s="20" t="str">
        <f>IFERROR(__xludf.DUMMYFUNCTION("""COMPUTED_VALUE"""),"")</f>
        <v/>
      </c>
      <c r="R485" s="22" t="str">
        <f>IFERROR(__xludf.DUMMYFUNCTION("""COMPUTED_VALUE"""),"")</f>
        <v/>
      </c>
    </row>
    <row r="486">
      <c r="A486" s="15">
        <f>IFERROR(__xludf.DUMMYFUNCTION("""COMPUTED_VALUE"""),45013.0)</f>
        <v>45013</v>
      </c>
      <c r="B486" s="16" t="str">
        <f>IFERROR(__xludf.DUMMYFUNCTION("""COMPUTED_VALUE"""),"Andrés Felipe Castillo Muñoz")</f>
        <v>Andrés Felipe Castillo Muñoz</v>
      </c>
      <c r="C486" s="15" t="str">
        <f>IFERROR(__xludf.DUMMYFUNCTION("""COMPUTED_VALUE"""),"MEDELLÍN")</f>
        <v>MEDELLÍN</v>
      </c>
      <c r="D486" s="15" t="str">
        <f>IFERROR(__xludf.DUMMYFUNCTION("""COMPUTED_VALUE"""),"BOGOTÁ")</f>
        <v>BOGOTÁ</v>
      </c>
      <c r="E486" s="15" t="str">
        <f>IFERROR(__xludf.DUMMYFUNCTION("""COMPUTED_VALUE"""),"Evamazzita")</f>
        <v>Evamazzita</v>
      </c>
      <c r="F486" s="17" t="str">
        <f>IFERROR(__xludf.DUMMYFUNCTION("""COMPUTED_VALUE"""),"Cra. 65b # 52B Sur 54  / Urbanización Mirador de la Hacienda Torre 2 apto 301  / San Antonio de Prado")</f>
        <v>Cra. 65b # 52B Sur 54  / Urbanización Mirador de la Hacienda Torre 2 apto 301  / San Antonio de Prado</v>
      </c>
      <c r="G486" s="15" t="str">
        <f>IFERROR(__xludf.DUMMYFUNCTION("""COMPUTED_VALUE"""),"MICHELL RAMIREZ CORREA")</f>
        <v>MICHELL RAMIREZ CORREA</v>
      </c>
      <c r="H486" s="18">
        <f>IFERROR(__xludf.DUMMYFUNCTION("""COMPUTED_VALUE"""),9194.0)</f>
        <v>9194</v>
      </c>
      <c r="I486" s="18">
        <f>IFERROR(__xludf.DUMMYFUNCTION("""COMPUTED_VALUE"""),3.0)</f>
        <v>3</v>
      </c>
      <c r="J486" s="18">
        <f>IFERROR(__xludf.DUMMYFUNCTION("""COMPUTED_VALUE"""),20.0)</f>
        <v>20</v>
      </c>
      <c r="K486" s="18">
        <f>IFERROR(__xludf.DUMMYFUNCTION("""COMPUTED_VALUE"""),15.0)</f>
        <v>15</v>
      </c>
      <c r="L486" s="17">
        <f>IFERROR(__xludf.DUMMYFUNCTION("""COMPUTED_VALUE"""),3.128800206E9)</f>
        <v>3128800206</v>
      </c>
      <c r="M486" s="17" t="str">
        <f>IFERROR(__xludf.DUMMYFUNCTION("""COMPUTED_VALUE"""),"#REF!")</f>
        <v>#REF!</v>
      </c>
      <c r="N486" s="17"/>
      <c r="O486" s="19" t="str">
        <f>IFERROR(__xludf.DUMMYFUNCTION("""COMPUTED_VALUE"""),"")</f>
        <v/>
      </c>
      <c r="P486" s="17" t="b">
        <f>IFERROR(__xludf.DUMMYFUNCTION("""COMPUTED_VALUE"""),TRUE)</f>
        <v>1</v>
      </c>
      <c r="Q486" s="20">
        <f>IFERROR(__xludf.DUMMYFUNCTION("""COMPUTED_VALUE"""),45013.54640586805)</f>
        <v>45013.54641</v>
      </c>
      <c r="R486" s="21" t="str">
        <f>IFERROR(__xludf.DUMMYFUNCTION("""COMPUTED_VALUE"""),"https://drive.google.com/file/d/1aEJ6yp04QEvCKraSdcb5iWCNOBg09rKy/view?usp=drivesdk")</f>
        <v>https://drive.google.com/file/d/1aEJ6yp04QEvCKraSdcb5iWCNOBg09rKy/view?usp=drivesdk</v>
      </c>
    </row>
    <row r="487">
      <c r="A487" s="15">
        <f>IFERROR(__xludf.DUMMYFUNCTION("""COMPUTED_VALUE"""),45013.0)</f>
        <v>45013</v>
      </c>
      <c r="B487" s="16" t="str">
        <f>IFERROR(__xludf.DUMMYFUNCTION("""COMPUTED_VALUE"""),"Andrés Felipe Castillo Muñoz")</f>
        <v>Andrés Felipe Castillo Muñoz</v>
      </c>
      <c r="C487" s="15" t="str">
        <f>IFERROR(__xludf.DUMMYFUNCTION("""COMPUTED_VALUE"""),"MEDELLÍN")</f>
        <v>MEDELLÍN</v>
      </c>
      <c r="D487" s="15" t="str">
        <f>IFERROR(__xludf.DUMMYFUNCTION("""COMPUTED_VALUE"""),"BOGOTÁ")</f>
        <v>BOGOTÁ</v>
      </c>
      <c r="E487" s="15" t="str">
        <f>IFERROR(__xludf.DUMMYFUNCTION("""COMPUTED_VALUE"""),"Pan de Waffle")</f>
        <v>Pan de Waffle</v>
      </c>
      <c r="F487" s="17" t="str">
        <f>IFERROR(__xludf.DUMMYFUNCTION("""COMPUTED_VALUE"""),"Carrera 50 # 56 - 20  / Carrera 50 # 56 - 20  / BELLO")</f>
        <v>Carrera 50 # 56 - 20  / Carrera 50 # 56 - 20  / BELLO</v>
      </c>
      <c r="G487" s="15" t="str">
        <f>IFERROR(__xludf.DUMMYFUNCTION("""COMPUTED_VALUE"""),"MICHAEL GOMEZ")</f>
        <v>MICHAEL GOMEZ</v>
      </c>
      <c r="H487" s="18">
        <f>IFERROR(__xludf.DUMMYFUNCTION("""COMPUTED_VALUE"""),9237.0)</f>
        <v>9237</v>
      </c>
      <c r="I487" s="18">
        <f>IFERROR(__xludf.DUMMYFUNCTION("""COMPUTED_VALUE"""),30.0)</f>
        <v>30</v>
      </c>
      <c r="J487" s="18">
        <f>IFERROR(__xludf.DUMMYFUNCTION("""COMPUTED_VALUE"""),40.0)</f>
        <v>40</v>
      </c>
      <c r="K487" s="18">
        <f>IFERROR(__xludf.DUMMYFUNCTION("""COMPUTED_VALUE"""),30.0)</f>
        <v>30</v>
      </c>
      <c r="L487" s="17">
        <f>IFERROR(__xludf.DUMMYFUNCTION("""COMPUTED_VALUE"""),3.145380537E9)</f>
        <v>3145380537</v>
      </c>
      <c r="M487" s="17" t="str">
        <f>IFERROR(__xludf.DUMMYFUNCTION("""COMPUTED_VALUE"""),"#REF!")</f>
        <v>#REF!</v>
      </c>
      <c r="N487" s="17"/>
      <c r="O487" s="19" t="str">
        <f>IFERROR(__xludf.DUMMYFUNCTION("""COMPUTED_VALUE"""),"")</f>
        <v/>
      </c>
      <c r="P487" s="17" t="b">
        <f>IFERROR(__xludf.DUMMYFUNCTION("""COMPUTED_VALUE"""),TRUE)</f>
        <v>1</v>
      </c>
      <c r="Q487" s="20">
        <f>IFERROR(__xludf.DUMMYFUNCTION("""COMPUTED_VALUE"""),45013.54641780093)</f>
        <v>45013.54642</v>
      </c>
      <c r="R487" s="21" t="str">
        <f>IFERROR(__xludf.DUMMYFUNCTION("""COMPUTED_VALUE"""),"https://drive.google.com/file/d/1PLAUtXfMwqvZ6C63iinX23aJDSoPB5DV/view?usp=drivesdk")</f>
        <v>https://drive.google.com/file/d/1PLAUtXfMwqvZ6C63iinX23aJDSoPB5DV/view?usp=drivesdk</v>
      </c>
    </row>
    <row r="488">
      <c r="A488" s="15">
        <f>IFERROR(__xludf.DUMMYFUNCTION("""COMPUTED_VALUE"""),45013.0)</f>
        <v>45013</v>
      </c>
      <c r="B488" s="16" t="str">
        <f>IFERROR(__xludf.DUMMYFUNCTION("""COMPUTED_VALUE"""),"Andrés Felipe Castillo Muñoz")</f>
        <v>Andrés Felipe Castillo Muñoz</v>
      </c>
      <c r="C488" s="15" t="str">
        <f>IFERROR(__xludf.DUMMYFUNCTION("""COMPUTED_VALUE"""),"MEDELLÍN")</f>
        <v>MEDELLÍN</v>
      </c>
      <c r="D488" s="15" t="str">
        <f>IFERROR(__xludf.DUMMYFUNCTION("""COMPUTED_VALUE"""),"BOGOTÁ")</f>
        <v>BOGOTÁ</v>
      </c>
      <c r="E488" s="15" t="str">
        <f>IFERROR(__xludf.DUMMYFUNCTION("""COMPUTED_VALUE"""),"Top Spun")</f>
        <v>Top Spun</v>
      </c>
      <c r="F488" s="17" t="str">
        <f>IFERROR(__xludf.DUMMYFUNCTION("""COMPUTED_VALUE"""),"Carrera 36 A N 12 A 21 / apto 501, Edificio altobelo castropol / Poblado Medellín")</f>
        <v>Carrera 36 A N 12 A 21 / apto 501, Edificio altobelo castropol / Poblado Medellín</v>
      </c>
      <c r="G488" s="15" t="str">
        <f>IFERROR(__xludf.DUMMYFUNCTION("""COMPUTED_VALUE"""),"Diana Henao")</f>
        <v>Diana Henao</v>
      </c>
      <c r="H488" s="18">
        <f>IFERROR(__xludf.DUMMYFUNCTION("""COMPUTED_VALUE"""),9158.0)</f>
        <v>9158</v>
      </c>
      <c r="I488" s="18">
        <f>IFERROR(__xludf.DUMMYFUNCTION("""COMPUTED_VALUE"""),20.0)</f>
        <v>20</v>
      </c>
      <c r="J488" s="18">
        <f>IFERROR(__xludf.DUMMYFUNCTION("""COMPUTED_VALUE"""),40.0)</f>
        <v>40</v>
      </c>
      <c r="K488" s="18">
        <f>IFERROR(__xludf.DUMMYFUNCTION("""COMPUTED_VALUE"""),10.0)</f>
        <v>10</v>
      </c>
      <c r="L488" s="17">
        <f>IFERROR(__xludf.DUMMYFUNCTION("""COMPUTED_VALUE"""),3.173727408E9)</f>
        <v>3173727408</v>
      </c>
      <c r="M488" s="17" t="str">
        <f>IFERROR(__xludf.DUMMYFUNCTION("""COMPUTED_VALUE"""),"#REF!")</f>
        <v>#REF!</v>
      </c>
      <c r="N488" s="17"/>
      <c r="O488" s="19" t="str">
        <f>IFERROR(__xludf.DUMMYFUNCTION("""COMPUTED_VALUE"""),"")</f>
        <v/>
      </c>
      <c r="P488" s="17" t="b">
        <f>IFERROR(__xludf.DUMMYFUNCTION("""COMPUTED_VALUE"""),FALSE)</f>
        <v>0</v>
      </c>
      <c r="Q488" s="20" t="str">
        <f>IFERROR(__xludf.DUMMYFUNCTION("""COMPUTED_VALUE"""),"")</f>
        <v/>
      </c>
      <c r="R488" s="22" t="str">
        <f>IFERROR(__xludf.DUMMYFUNCTION("""COMPUTED_VALUE"""),"")</f>
        <v/>
      </c>
    </row>
    <row r="489">
      <c r="A489" s="15" t="str">
        <f>IFERROR(__xludf.DUMMYFUNCTION("""COMPUTED_VALUE"""),"")</f>
        <v/>
      </c>
      <c r="B489" s="16" t="str">
        <f>IFERROR(__xludf.DUMMYFUNCTION("""COMPUTED_VALUE"""),"")</f>
        <v/>
      </c>
      <c r="C489" s="15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7" t="str">
        <f>IFERROR(__xludf.DUMMYFUNCTION("""COMPUTED_VALUE"""),"")</f>
        <v/>
      </c>
      <c r="G489" s="15" t="str">
        <f>IFERROR(__xludf.DUMMYFUNCTION("""COMPUTED_VALUE"""),"")</f>
        <v/>
      </c>
      <c r="H489" s="18" t="str">
        <f>IFERROR(__xludf.DUMMYFUNCTION("""COMPUTED_VALUE"""),"")</f>
        <v/>
      </c>
      <c r="I489" s="18" t="str">
        <f>IFERROR(__xludf.DUMMYFUNCTION("""COMPUTED_VALUE"""),"")</f>
        <v/>
      </c>
      <c r="J489" s="18" t="str">
        <f>IFERROR(__xludf.DUMMYFUNCTION("""COMPUTED_VALUE"""),"")</f>
        <v/>
      </c>
      <c r="K489" s="17" t="str">
        <f>IFERROR(__xludf.DUMMYFUNCTION("""COMPUTED_VALUE"""),"")</f>
        <v/>
      </c>
      <c r="L489" s="17" t="str">
        <f>IFERROR(__xludf.DUMMYFUNCTION("""COMPUTED_VALUE"""),"")</f>
        <v/>
      </c>
      <c r="M489" s="17" t="str">
        <f>IFERROR(__xludf.DUMMYFUNCTION("""COMPUTED_VALUE"""),"")</f>
        <v/>
      </c>
      <c r="N489" s="19" t="str">
        <f>IFERROR(__xludf.DUMMYFUNCTION("""COMPUTED_VALUE"""),"")</f>
        <v/>
      </c>
      <c r="O489" s="19" t="str">
        <f>IFERROR(__xludf.DUMMYFUNCTION("""COMPUTED_VALUE"""),"")</f>
        <v/>
      </c>
      <c r="P489" s="17" t="str">
        <f>IFERROR(__xludf.DUMMYFUNCTION("""COMPUTED_VALUE"""),"")</f>
        <v/>
      </c>
      <c r="Q489" s="20" t="str">
        <f>IFERROR(__xludf.DUMMYFUNCTION("""COMPUTED_VALUE"""),"")</f>
        <v/>
      </c>
      <c r="R489" s="22" t="str">
        <f>IFERROR(__xludf.DUMMYFUNCTION("""COMPUTED_VALUE"""),"")</f>
        <v/>
      </c>
    </row>
    <row r="490">
      <c r="A490" s="15">
        <f>IFERROR(__xludf.DUMMYFUNCTION("""COMPUTED_VALUE"""),45013.0)</f>
        <v>45013</v>
      </c>
      <c r="B490" s="16" t="str">
        <f>IFERROR(__xludf.DUMMYFUNCTION("""COMPUTED_VALUE"""),"Carlos Andres Pirachican Numpaque (Mayerli)")</f>
        <v>Carlos Andres Pirachican Numpaque (Mayerli)</v>
      </c>
      <c r="C490" s="15" t="str">
        <f>IFERROR(__xludf.DUMMYFUNCTION("""COMPUTED_VALUE"""),"MEDELLÍN")</f>
        <v>MEDELLÍN</v>
      </c>
      <c r="D490" s="15" t="str">
        <f>IFERROR(__xludf.DUMMYFUNCTION("""COMPUTED_VALUE"""),"BOGOTÁ")</f>
        <v>BOGOTÁ</v>
      </c>
      <c r="E490" s="15" t="str">
        <f>IFERROR(__xludf.DUMMYFUNCTION("""COMPUTED_VALUE"""),"Ventura Productos Arg")</f>
        <v>Ventura Productos Arg</v>
      </c>
      <c r="F490" s="17" t="str">
        <f>IFERROR(__xludf.DUMMYFUNCTION("""COMPUTED_VALUE"""),"calle 19 #43g-155 / torres del río, torre 1, apto 1701")</f>
        <v>calle 19 #43g-155 / torres del río, torre 1, apto 1701</v>
      </c>
      <c r="G490" s="15" t="str">
        <f>IFERROR(__xludf.DUMMYFUNCTION("""COMPUTED_VALUE"""),"Luisa Fernanda Castillo Henao")</f>
        <v>Luisa Fernanda Castillo Henao</v>
      </c>
      <c r="H490" s="18">
        <f>IFERROR(__xludf.DUMMYFUNCTION("""COMPUTED_VALUE"""),9151.0)</f>
        <v>9151</v>
      </c>
      <c r="I490" s="18">
        <f>IFERROR(__xludf.DUMMYFUNCTION("""COMPUTED_VALUE"""),12.0)</f>
        <v>12</v>
      </c>
      <c r="J490" s="18">
        <f>IFERROR(__xludf.DUMMYFUNCTION("""COMPUTED_VALUE"""),30.0)</f>
        <v>30</v>
      </c>
      <c r="K490" s="18">
        <f>IFERROR(__xludf.DUMMYFUNCTION("""COMPUTED_VALUE"""),29.0)</f>
        <v>29</v>
      </c>
      <c r="L490" s="17" t="str">
        <f>IFERROR(__xludf.DUMMYFUNCTION("""COMPUTED_VALUE"""),"319 4577211")</f>
        <v>319 4577211</v>
      </c>
      <c r="M490" s="17" t="str">
        <f>IFERROR(__xludf.DUMMYFUNCTION("""COMPUTED_VALUE"""),"#REF!")</f>
        <v>#REF!</v>
      </c>
      <c r="N490" s="17"/>
      <c r="O490" s="19" t="str">
        <f>IFERROR(__xludf.DUMMYFUNCTION("""COMPUTED_VALUE"""),"")</f>
        <v/>
      </c>
      <c r="P490" s="17" t="b">
        <f>IFERROR(__xludf.DUMMYFUNCTION("""COMPUTED_VALUE"""),TRUE)</f>
        <v>1</v>
      </c>
      <c r="Q490" s="20">
        <f>IFERROR(__xludf.DUMMYFUNCTION("""COMPUTED_VALUE"""),45013.40079189815)</f>
        <v>45013.40079</v>
      </c>
      <c r="R490" s="21" t="str">
        <f>IFERROR(__xludf.DUMMYFUNCTION("""COMPUTED_VALUE"""),"https://drive.google.com/file/d/1x4xlNCsCEwxxtPHbLuiqgjqpnjbplfvw/view?usp=drivesdk")</f>
        <v>https://drive.google.com/file/d/1x4xlNCsCEwxxtPHbLuiqgjqpnjbplfvw/view?usp=drivesdk</v>
      </c>
    </row>
    <row r="491">
      <c r="A491" s="15">
        <f>IFERROR(__xludf.DUMMYFUNCTION("""COMPUTED_VALUE"""),45013.0)</f>
        <v>45013</v>
      </c>
      <c r="B491" s="16" t="str">
        <f>IFERROR(__xludf.DUMMYFUNCTION("""COMPUTED_VALUE"""),"Carlos Andres Pirachican Numpaque (Mayerli)")</f>
        <v>Carlos Andres Pirachican Numpaque (Mayerli)</v>
      </c>
      <c r="C491" s="15" t="str">
        <f>IFERROR(__xludf.DUMMYFUNCTION("""COMPUTED_VALUE"""),"TUNJA")</f>
        <v>TUNJA</v>
      </c>
      <c r="D491" s="15" t="str">
        <f>IFERROR(__xludf.DUMMYFUNCTION("""COMPUTED_VALUE"""),"BOGOTÁ")</f>
        <v>BOGOTÁ</v>
      </c>
      <c r="E491" s="15" t="str">
        <f>IFERROR(__xludf.DUMMYFUNCTION("""COMPUTED_VALUE"""),"Evamazzita")</f>
        <v>Evamazzita</v>
      </c>
      <c r="F491" s="17" t="str">
        <f>IFERROR(__xludf.DUMMYFUNCTION("""COMPUTED_VALUE"""),"CRA 14A No. 12 - 49  / N/A / BARRIO URAZANDI")</f>
        <v>CRA 14A No. 12 - 49  / N/A / BARRIO URAZANDI</v>
      </c>
      <c r="G491" s="15" t="str">
        <f>IFERROR(__xludf.DUMMYFUNCTION("""COMPUTED_VALUE"""),"ANYI KATHERINE VILLAMIL ESPITIA")</f>
        <v>ANYI KATHERINE VILLAMIL ESPITIA</v>
      </c>
      <c r="H491" s="18">
        <f>IFERROR(__xludf.DUMMYFUNCTION("""COMPUTED_VALUE"""),9199.0)</f>
        <v>9199</v>
      </c>
      <c r="I491" s="18">
        <f>IFERROR(__xludf.DUMMYFUNCTION("""COMPUTED_VALUE"""),3.0)</f>
        <v>3</v>
      </c>
      <c r="J491" s="18">
        <f>IFERROR(__xludf.DUMMYFUNCTION("""COMPUTED_VALUE"""),20.0)</f>
        <v>20</v>
      </c>
      <c r="K491" s="18">
        <f>IFERROR(__xludf.DUMMYFUNCTION("""COMPUTED_VALUE"""),15.0)</f>
        <v>15</v>
      </c>
      <c r="L491" s="17">
        <f>IFERROR(__xludf.DUMMYFUNCTION("""COMPUTED_VALUE"""),3.208544784E9)</f>
        <v>3208544784</v>
      </c>
      <c r="M491" s="17" t="str">
        <f>IFERROR(__xludf.DUMMYFUNCTION("""COMPUTED_VALUE"""),"#REF!")</f>
        <v>#REF!</v>
      </c>
      <c r="N491" s="17"/>
      <c r="O491" s="19" t="str">
        <f>IFERROR(__xludf.DUMMYFUNCTION("""COMPUTED_VALUE"""),"")</f>
        <v/>
      </c>
      <c r="P491" s="17" t="b">
        <f>IFERROR(__xludf.DUMMYFUNCTION("""COMPUTED_VALUE"""),FALSE)</f>
        <v>0</v>
      </c>
      <c r="Q491" s="20" t="str">
        <f>IFERROR(__xludf.DUMMYFUNCTION("""COMPUTED_VALUE"""),"")</f>
        <v/>
      </c>
      <c r="R491" s="22" t="str">
        <f>IFERROR(__xludf.DUMMYFUNCTION("""COMPUTED_VALUE"""),"")</f>
        <v/>
      </c>
    </row>
    <row r="492">
      <c r="A492" s="15" t="str">
        <f>IFERROR(__xludf.DUMMYFUNCTION("""COMPUTED_VALUE"""),"")</f>
        <v/>
      </c>
      <c r="B492" s="16" t="str">
        <f>IFERROR(__xludf.DUMMYFUNCTION("""COMPUTED_VALUE"""),"")</f>
        <v/>
      </c>
      <c r="C492" s="15" t="str">
        <f>IFERROR(__xludf.DUMMYFUNCTION("""COMPUTED_VALUE"""),"")</f>
        <v/>
      </c>
      <c r="D492" s="15" t="str">
        <f>IFERROR(__xludf.DUMMYFUNCTION("""COMPUTED_VALUE"""),"")</f>
        <v/>
      </c>
      <c r="E492" s="15" t="str">
        <f>IFERROR(__xludf.DUMMYFUNCTION("""COMPUTED_VALUE"""),"")</f>
        <v/>
      </c>
      <c r="F492" s="17" t="str">
        <f>IFERROR(__xludf.DUMMYFUNCTION("""COMPUTED_VALUE"""),"")</f>
        <v/>
      </c>
      <c r="G492" s="15" t="str">
        <f>IFERROR(__xludf.DUMMYFUNCTION("""COMPUTED_VALUE"""),"")</f>
        <v/>
      </c>
      <c r="H492" s="18" t="str">
        <f>IFERROR(__xludf.DUMMYFUNCTION("""COMPUTED_VALUE"""),"")</f>
        <v/>
      </c>
      <c r="I492" s="18" t="str">
        <f>IFERROR(__xludf.DUMMYFUNCTION("""COMPUTED_VALUE"""),"")</f>
        <v/>
      </c>
      <c r="J492" s="18" t="str">
        <f>IFERROR(__xludf.DUMMYFUNCTION("""COMPUTED_VALUE"""),"")</f>
        <v/>
      </c>
      <c r="K492" s="17" t="str">
        <f>IFERROR(__xludf.DUMMYFUNCTION("""COMPUTED_VALUE"""),"")</f>
        <v/>
      </c>
      <c r="L492" s="17" t="str">
        <f>IFERROR(__xludf.DUMMYFUNCTION("""COMPUTED_VALUE"""),"")</f>
        <v/>
      </c>
      <c r="M492" s="17" t="str">
        <f>IFERROR(__xludf.DUMMYFUNCTION("""COMPUTED_VALUE"""),"")</f>
        <v/>
      </c>
      <c r="N492" s="19" t="str">
        <f>IFERROR(__xludf.DUMMYFUNCTION("""COMPUTED_VALUE"""),"")</f>
        <v/>
      </c>
      <c r="O492" s="19" t="str">
        <f>IFERROR(__xludf.DUMMYFUNCTION("""COMPUTED_VALUE"""),"")</f>
        <v/>
      </c>
      <c r="P492" s="17" t="str">
        <f>IFERROR(__xludf.DUMMYFUNCTION("""COMPUTED_VALUE"""),"")</f>
        <v/>
      </c>
      <c r="Q492" s="20" t="str">
        <f>IFERROR(__xludf.DUMMYFUNCTION("""COMPUTED_VALUE"""),"")</f>
        <v/>
      </c>
      <c r="R492" s="22" t="str">
        <f>IFERROR(__xludf.DUMMYFUNCTION("""COMPUTED_VALUE"""),"")</f>
        <v/>
      </c>
    </row>
    <row r="493">
      <c r="A493" s="15">
        <f>IFERROR(__xludf.DUMMYFUNCTION("""COMPUTED_VALUE"""),45013.0)</f>
        <v>45013</v>
      </c>
      <c r="B493" s="16" t="str">
        <f>IFERROR(__xludf.DUMMYFUNCTION("""COMPUTED_VALUE"""),"Deivi Alejandro Quintero Corrales")</f>
        <v>Deivi Alejandro Quintero Corrales</v>
      </c>
      <c r="C493" s="15" t="str">
        <f>IFERROR(__xludf.DUMMYFUNCTION("""COMPUTED_VALUE"""),"MANIZALES")</f>
        <v>MANIZALES</v>
      </c>
      <c r="D493" s="15" t="str">
        <f>IFERROR(__xludf.DUMMYFUNCTION("""COMPUTED_VALUE"""),"MEDELLÍN")</f>
        <v>MEDELLÍN</v>
      </c>
      <c r="E493" s="15" t="str">
        <f>IFERROR(__xludf.DUMMYFUNCTION("""COMPUTED_VALUE"""),"Baby Chef")</f>
        <v>Baby Chef</v>
      </c>
      <c r="F493" s="17" t="str">
        <f>IFERROR(__xludf.DUMMYFUNCTION("""COMPUTED_VALUE"""),"Calle 105B # 27-49 bosques de la enea Casa / Calle 105B # 27-49 bosques de la enea Casa / Calle 105B # 27-49 bosques de la enea Casa")</f>
        <v>Calle 105B # 27-49 bosques de la enea Casa / Calle 105B # 27-49 bosques de la enea Casa / Calle 105B # 27-49 bosques de la enea Casa</v>
      </c>
      <c r="G493" s="15" t="str">
        <f>IFERROR(__xludf.DUMMYFUNCTION("""COMPUTED_VALUE"""),"Estefanía  Agudelo Valencia")</f>
        <v>Estefanía  Agudelo Valencia</v>
      </c>
      <c r="H493" s="18">
        <f>IFERROR(__xludf.DUMMYFUNCTION("""COMPUTED_VALUE"""),9223.0)</f>
        <v>9223</v>
      </c>
      <c r="I493" s="18">
        <f>IFERROR(__xludf.DUMMYFUNCTION("""COMPUTED_VALUE"""),8.0)</f>
        <v>8</v>
      </c>
      <c r="J493" s="18">
        <f>IFERROR(__xludf.DUMMYFUNCTION("""COMPUTED_VALUE"""),16.0)</f>
        <v>16</v>
      </c>
      <c r="K493" s="18">
        <f>IFERROR(__xludf.DUMMYFUNCTION("""COMPUTED_VALUE"""),20.0)</f>
        <v>20</v>
      </c>
      <c r="L493" s="17">
        <f>IFERROR(__xludf.DUMMYFUNCTION("""COMPUTED_VALUE"""),3.16830161E9)</f>
        <v>3168301610</v>
      </c>
      <c r="M493" s="17" t="str">
        <f>IFERROR(__xludf.DUMMYFUNCTION("""COMPUTED_VALUE"""),"#REF!")</f>
        <v>#REF!</v>
      </c>
      <c r="N493" s="17"/>
      <c r="O493" s="19" t="str">
        <f>IFERROR(__xludf.DUMMYFUNCTION("""COMPUTED_VALUE"""),"")</f>
        <v/>
      </c>
      <c r="P493" s="17" t="b">
        <f>IFERROR(__xludf.DUMMYFUNCTION("""COMPUTED_VALUE"""),TRUE)</f>
        <v>1</v>
      </c>
      <c r="Q493" s="20">
        <f>IFERROR(__xludf.DUMMYFUNCTION("""COMPUTED_VALUE"""),45013.52492221065)</f>
        <v>45013.52492</v>
      </c>
      <c r="R493" s="22" t="str">
        <f>IFERROR(__xludf.DUMMYFUNCTION("""COMPUTED_VALUE"""),"")</f>
        <v/>
      </c>
    </row>
    <row r="494">
      <c r="A494" s="15">
        <f>IFERROR(__xludf.DUMMYFUNCTION("""COMPUTED_VALUE"""),45013.0)</f>
        <v>45013</v>
      </c>
      <c r="B494" s="16" t="str">
        <f>IFERROR(__xludf.DUMMYFUNCTION("""COMPUTED_VALUE"""),"Deivi Alejandro Quintero Corrales")</f>
        <v>Deivi Alejandro Quintero Corrales</v>
      </c>
      <c r="C494" s="15" t="str">
        <f>IFERROR(__xludf.DUMMYFUNCTION("""COMPUTED_VALUE"""),"PEREIRA")</f>
        <v>PEREIRA</v>
      </c>
      <c r="D494" s="15" t="str">
        <f>IFERROR(__xludf.DUMMYFUNCTION("""COMPUTED_VALUE"""),"BOGOTÁ")</f>
        <v>BOGOTÁ</v>
      </c>
      <c r="E494" s="15" t="str">
        <f>IFERROR(__xludf.DUMMYFUNCTION("""COMPUTED_VALUE"""),"Asociacion Agropecuaria Juana Maria")</f>
        <v>Asociacion Agropecuaria Juana Maria</v>
      </c>
      <c r="F494" s="17" t="str">
        <f>IFERROR(__xludf.DUMMYFUNCTION("""COMPUTED_VALUE"""),"Calle 153 # 23 -41 manzana 1 casa 9 sol de Galicia")</f>
        <v>Calle 153 # 23 -41 manzana 1 casa 9 sol de Galicia</v>
      </c>
      <c r="G494" s="15" t="str">
        <f>IFERROR(__xludf.DUMMYFUNCTION("""COMPUTED_VALUE"""),"Paula Andrea Forero")</f>
        <v>Paula Andrea Forero</v>
      </c>
      <c r="H494" s="18">
        <f>IFERROR(__xludf.DUMMYFUNCTION("""COMPUTED_VALUE"""),9171.0)</f>
        <v>9171</v>
      </c>
      <c r="I494" s="18">
        <f>IFERROR(__xludf.DUMMYFUNCTION("""COMPUTED_VALUE"""),12.0)</f>
        <v>12</v>
      </c>
      <c r="J494" s="18">
        <f>IFERROR(__xludf.DUMMYFUNCTION("""COMPUTED_VALUE"""),37.0)</f>
        <v>37</v>
      </c>
      <c r="K494" s="18">
        <f>IFERROR(__xludf.DUMMYFUNCTION("""COMPUTED_VALUE"""),20.0)</f>
        <v>20</v>
      </c>
      <c r="L494" s="17">
        <f>IFERROR(__xludf.DUMMYFUNCTION("""COMPUTED_VALUE"""),3.115760231E9)</f>
        <v>3115760231</v>
      </c>
      <c r="M494" s="17" t="str">
        <f>IFERROR(__xludf.DUMMYFUNCTION("""COMPUTED_VALUE"""),"#REF!")</f>
        <v>#REF!</v>
      </c>
      <c r="N494" s="17"/>
      <c r="O494" s="19" t="str">
        <f>IFERROR(__xludf.DUMMYFUNCTION("""COMPUTED_VALUE"""),"")</f>
        <v/>
      </c>
      <c r="P494" s="17" t="b">
        <f>IFERROR(__xludf.DUMMYFUNCTION("""COMPUTED_VALUE"""),TRUE)</f>
        <v>1</v>
      </c>
      <c r="Q494" s="20">
        <f>IFERROR(__xludf.DUMMYFUNCTION("""COMPUTED_VALUE"""),45013.52493613426)</f>
        <v>45013.52494</v>
      </c>
      <c r="R494" s="22" t="str">
        <f>IFERROR(__xludf.DUMMYFUNCTION("""COMPUTED_VALUE"""),"")</f>
        <v/>
      </c>
    </row>
    <row r="495">
      <c r="A495" s="15">
        <f>IFERROR(__xludf.DUMMYFUNCTION("""COMPUTED_VALUE"""),45013.0)</f>
        <v>45013</v>
      </c>
      <c r="B495" s="16" t="str">
        <f>IFERROR(__xludf.DUMMYFUNCTION("""COMPUTED_VALUE"""),"Deivi Alejandro Quintero Corrales")</f>
        <v>Deivi Alejandro Quintero Corrales</v>
      </c>
      <c r="C495" s="15" t="str">
        <f>IFERROR(__xludf.DUMMYFUNCTION("""COMPUTED_VALUE"""),"PEREIRA")</f>
        <v>PEREIRA</v>
      </c>
      <c r="D495" s="15" t="str">
        <f>IFERROR(__xludf.DUMMYFUNCTION("""COMPUTED_VALUE"""),"BOGOTÁ")</f>
        <v>BOGOTÁ</v>
      </c>
      <c r="E495" s="15" t="str">
        <f>IFERROR(__xludf.DUMMYFUNCTION("""COMPUTED_VALUE"""),"Asociacion Agropecuaria Juana Maria")</f>
        <v>Asociacion Agropecuaria Juana Maria</v>
      </c>
      <c r="F495" s="17" t="str">
        <f>IFERROR(__xludf.DUMMYFUNCTION("""COMPUTED_VALUE"""),"CRA 40 # 93-20 Ciudadela VILLANOVA BLOQUE 52 APTO 102SAN JOAQUIN PEREIRA (RISARALDA")</f>
        <v>CRA 40 # 93-20 Ciudadela VILLANOVA BLOQUE 52 APTO 102SAN JOAQUIN PEREIRA (RISARALDA</v>
      </c>
      <c r="G495" s="15" t="str">
        <f>IFERROR(__xludf.DUMMYFUNCTION("""COMPUTED_VALUE"""),"Karen Kateherine Cañas")</f>
        <v>Karen Kateherine Cañas</v>
      </c>
      <c r="H495" s="18">
        <f>IFERROR(__xludf.DUMMYFUNCTION("""COMPUTED_VALUE"""),9169.0)</f>
        <v>9169</v>
      </c>
      <c r="I495" s="18">
        <f>IFERROR(__xludf.DUMMYFUNCTION("""COMPUTED_VALUE"""),12.0)</f>
        <v>12</v>
      </c>
      <c r="J495" s="18">
        <f>IFERROR(__xludf.DUMMYFUNCTION("""COMPUTED_VALUE"""),37.0)</f>
        <v>37</v>
      </c>
      <c r="K495" s="18">
        <f>IFERROR(__xludf.DUMMYFUNCTION("""COMPUTED_VALUE"""),20.0)</f>
        <v>20</v>
      </c>
      <c r="L495" s="17">
        <f>IFERROR(__xludf.DUMMYFUNCTION("""COMPUTED_VALUE"""),3.003972694E9)</f>
        <v>3003972694</v>
      </c>
      <c r="M495" s="17" t="str">
        <f>IFERROR(__xludf.DUMMYFUNCTION("""COMPUTED_VALUE"""),"#REF!")</f>
        <v>#REF!</v>
      </c>
      <c r="N495" s="17"/>
      <c r="O495" s="19" t="str">
        <f>IFERROR(__xludf.DUMMYFUNCTION("""COMPUTED_VALUE"""),"")</f>
        <v/>
      </c>
      <c r="P495" s="17" t="b">
        <f>IFERROR(__xludf.DUMMYFUNCTION("""COMPUTED_VALUE"""),TRUE)</f>
        <v>1</v>
      </c>
      <c r="Q495" s="20">
        <f>IFERROR(__xludf.DUMMYFUNCTION("""COMPUTED_VALUE"""),45013.524945729165)</f>
        <v>45013.52495</v>
      </c>
      <c r="R495" s="22" t="str">
        <f>IFERROR(__xludf.DUMMYFUNCTION("""COMPUTED_VALUE"""),"")</f>
        <v/>
      </c>
    </row>
    <row r="496">
      <c r="A496" s="15">
        <f>IFERROR(__xludf.DUMMYFUNCTION("""COMPUTED_VALUE"""),45013.0)</f>
        <v>45013</v>
      </c>
      <c r="B496" s="16" t="str">
        <f>IFERROR(__xludf.DUMMYFUNCTION("""COMPUTED_VALUE"""),"Deivi Alejandro Quintero Corrales")</f>
        <v>Deivi Alejandro Quintero Corrales</v>
      </c>
      <c r="C496" s="15" t="str">
        <f>IFERROR(__xludf.DUMMYFUNCTION("""COMPUTED_VALUE"""),"PEREIRA")</f>
        <v>PEREIRA</v>
      </c>
      <c r="D496" s="15" t="str">
        <f>IFERROR(__xludf.DUMMYFUNCTION("""COMPUTED_VALUE"""),"BOGOTÁ")</f>
        <v>BOGOTÁ</v>
      </c>
      <c r="E496" s="15" t="str">
        <f>IFERROR(__xludf.DUMMYFUNCTION("""COMPUTED_VALUE"""),"Evamazzita")</f>
        <v>Evamazzita</v>
      </c>
      <c r="F496" s="17" t="str">
        <f>IFERROR(__xludf.DUMMYFUNCTION("""COMPUTED_VALUE"""),"CALLE 153 # 23 - 41 /  SOL DE GALICIA MZ 1 CASA 9 / GALICIA")</f>
        <v>CALLE 153 # 23 - 41 /  SOL DE GALICIA MZ 1 CASA 9 / GALICIA</v>
      </c>
      <c r="G496" s="15" t="str">
        <f>IFERROR(__xludf.DUMMYFUNCTION("""COMPUTED_VALUE"""),"PAULA FORERO")</f>
        <v>PAULA FORERO</v>
      </c>
      <c r="H496" s="18">
        <f>IFERROR(__xludf.DUMMYFUNCTION("""COMPUTED_VALUE"""),9212.0)</f>
        <v>9212</v>
      </c>
      <c r="I496" s="18">
        <f>IFERROR(__xludf.DUMMYFUNCTION("""COMPUTED_VALUE"""),18.0)</f>
        <v>18</v>
      </c>
      <c r="J496" s="18">
        <f>IFERROR(__xludf.DUMMYFUNCTION("""COMPUTED_VALUE"""),26.0)</f>
        <v>26</v>
      </c>
      <c r="K496" s="18">
        <f>IFERROR(__xludf.DUMMYFUNCTION("""COMPUTED_VALUE"""),21.0)</f>
        <v>21</v>
      </c>
      <c r="L496" s="17">
        <f>IFERROR(__xludf.DUMMYFUNCTION("""COMPUTED_VALUE"""),3.115760231E9)</f>
        <v>3115760231</v>
      </c>
      <c r="M496" s="17" t="str">
        <f>IFERROR(__xludf.DUMMYFUNCTION("""COMPUTED_VALUE"""),"#REF!")</f>
        <v>#REF!</v>
      </c>
      <c r="N496" s="17"/>
      <c r="O496" s="19" t="str">
        <f>IFERROR(__xludf.DUMMYFUNCTION("""COMPUTED_VALUE"""),"")</f>
        <v/>
      </c>
      <c r="P496" s="17" t="b">
        <f>IFERROR(__xludf.DUMMYFUNCTION("""COMPUTED_VALUE"""),TRUE)</f>
        <v>1</v>
      </c>
      <c r="Q496" s="20">
        <f>IFERROR(__xludf.DUMMYFUNCTION("""COMPUTED_VALUE"""),45013.524945729165)</f>
        <v>45013.52495</v>
      </c>
      <c r="R496" s="22" t="str">
        <f>IFERROR(__xludf.DUMMYFUNCTION("""COMPUTED_VALUE"""),"")</f>
        <v/>
      </c>
    </row>
    <row r="497">
      <c r="A497" s="15">
        <f>IFERROR(__xludf.DUMMYFUNCTION("""COMPUTED_VALUE"""),45013.0)</f>
        <v>45013</v>
      </c>
      <c r="B497" s="16" t="str">
        <f>IFERROR(__xludf.DUMMYFUNCTION("""COMPUTED_VALUE"""),"Deivi Alejandro Quintero Corrales")</f>
        <v>Deivi Alejandro Quintero Corrales</v>
      </c>
      <c r="C497" s="15" t="str">
        <f>IFERROR(__xludf.DUMMYFUNCTION("""COMPUTED_VALUE"""),"PEREIRA")</f>
        <v>PEREIRA</v>
      </c>
      <c r="D497" s="15" t="str">
        <f>IFERROR(__xludf.DUMMYFUNCTION("""COMPUTED_VALUE"""),"BOGOTÁ")</f>
        <v>BOGOTÁ</v>
      </c>
      <c r="E497" s="15" t="str">
        <f>IFERROR(__xludf.DUMMYFUNCTION("""COMPUTED_VALUE"""),"Pan de Waffle")</f>
        <v>Pan de Waffle</v>
      </c>
      <c r="F497" s="17" t="str">
        <f>IFERROR(__xludf.DUMMYFUNCTION("""COMPUTED_VALUE"""),"Av. De las Americas Mercasa, zp 17 Bodega 2 - Pereira / Av. De las Americas Mercasa, zp 17 Bodega 2 - Pereira / Av. De las Americas Mercasa, zp 17 Bodega 2 - Pereira")</f>
        <v>Av. De las Americas Mercasa, zp 17 Bodega 2 - Pereira / Av. De las Americas Mercasa, zp 17 Bodega 2 - Pereira / Av. De las Americas Mercasa, zp 17 Bodega 2 - Pereira</v>
      </c>
      <c r="G497" s="15" t="str">
        <f>IFERROR(__xludf.DUMMYFUNCTION("""COMPUTED_VALUE"""),"EL ORIGEN")</f>
        <v>EL ORIGEN</v>
      </c>
      <c r="H497" s="18">
        <f>IFERROR(__xludf.DUMMYFUNCTION("""COMPUTED_VALUE"""),9236.0)</f>
        <v>9236</v>
      </c>
      <c r="I497" s="18">
        <f>IFERROR(__xludf.DUMMYFUNCTION("""COMPUTED_VALUE"""),30.0)</f>
        <v>30</v>
      </c>
      <c r="J497" s="18">
        <f>IFERROR(__xludf.DUMMYFUNCTION("""COMPUTED_VALUE"""),40.0)</f>
        <v>40</v>
      </c>
      <c r="K497" s="18">
        <f>IFERROR(__xludf.DUMMYFUNCTION("""COMPUTED_VALUE"""),30.0)</f>
        <v>30</v>
      </c>
      <c r="L497" s="17">
        <f>IFERROR(__xludf.DUMMYFUNCTION("""COMPUTED_VALUE"""),3.184341572E9)</f>
        <v>3184341572</v>
      </c>
      <c r="M497" s="17" t="str">
        <f>IFERROR(__xludf.DUMMYFUNCTION("""COMPUTED_VALUE"""),"#REF!")</f>
        <v>#REF!</v>
      </c>
      <c r="N497" s="17"/>
      <c r="O497" s="19" t="str">
        <f>IFERROR(__xludf.DUMMYFUNCTION("""COMPUTED_VALUE"""),"")</f>
        <v/>
      </c>
      <c r="P497" s="17" t="b">
        <f>IFERROR(__xludf.DUMMYFUNCTION("""COMPUTED_VALUE"""),TRUE)</f>
        <v>1</v>
      </c>
      <c r="Q497" s="20">
        <f>IFERROR(__xludf.DUMMYFUNCTION("""COMPUTED_VALUE"""),45013.524955416666)</f>
        <v>45013.52496</v>
      </c>
      <c r="R497" s="22" t="str">
        <f>IFERROR(__xludf.DUMMYFUNCTION("""COMPUTED_VALUE"""),"")</f>
        <v/>
      </c>
    </row>
    <row r="498">
      <c r="A498" s="15">
        <f>IFERROR(__xludf.DUMMYFUNCTION("""COMPUTED_VALUE"""),45013.0)</f>
        <v>45013</v>
      </c>
      <c r="B498" s="16" t="str">
        <f>IFERROR(__xludf.DUMMYFUNCTION("""COMPUTED_VALUE"""),"Deivi Alejandro Quintero Corrales")</f>
        <v>Deivi Alejandro Quintero Corrales</v>
      </c>
      <c r="C498" s="15" t="str">
        <f>IFERROR(__xludf.DUMMYFUNCTION("""COMPUTED_VALUE"""),"PEREIRA")</f>
        <v>PEREIRA</v>
      </c>
      <c r="D498" s="15" t="str">
        <f>IFERROR(__xludf.DUMMYFUNCTION("""COMPUTED_VALUE"""),"BOGOTÁ")</f>
        <v>BOGOTÁ</v>
      </c>
      <c r="E498" s="15" t="str">
        <f>IFERROR(__xludf.DUMMYFUNCTION("""COMPUTED_VALUE"""),"Pan de Waffle")</f>
        <v>Pan de Waffle</v>
      </c>
      <c r="F498" s="17" t="str">
        <f>IFERROR(__xludf.DUMMYFUNCTION("""COMPUTED_VALUE"""),"Calle 35 # 11 - 41 Local 43 Conjunto Las Garzas / Calle 35 # 11 - 41 Local 43 Conjunto Las Garzas / Calle 35 # 11 - 41 Local 43 Conjunto Las Garzas")</f>
        <v>Calle 35 # 11 - 41 Local 43 Conjunto Las Garzas / Calle 35 # 11 - 41 Local 43 Conjunto Las Garzas / Calle 35 # 11 - 41 Local 43 Conjunto Las Garzas</v>
      </c>
      <c r="G498" s="15" t="str">
        <f>IFERROR(__xludf.DUMMYFUNCTION("""COMPUTED_VALUE"""),"NATURALE CARNICOS Y SALSAMENTARIA")</f>
        <v>NATURALE CARNICOS Y SALSAMENTARIA</v>
      </c>
      <c r="H498" s="18">
        <f>IFERROR(__xludf.DUMMYFUNCTION("""COMPUTED_VALUE"""),9234.0)</f>
        <v>9234</v>
      </c>
      <c r="I498" s="18">
        <f>IFERROR(__xludf.DUMMYFUNCTION("""COMPUTED_VALUE"""),20.0)</f>
        <v>20</v>
      </c>
      <c r="J498" s="18">
        <f>IFERROR(__xludf.DUMMYFUNCTION("""COMPUTED_VALUE"""),40.0)</f>
        <v>40</v>
      </c>
      <c r="K498" s="18">
        <f>IFERROR(__xludf.DUMMYFUNCTION("""COMPUTED_VALUE"""),30.0)</f>
        <v>30</v>
      </c>
      <c r="L498" s="17">
        <f>IFERROR(__xludf.DUMMYFUNCTION("""COMPUTED_VALUE"""),3.136850381E9)</f>
        <v>3136850381</v>
      </c>
      <c r="M498" s="17" t="str">
        <f>IFERROR(__xludf.DUMMYFUNCTION("""COMPUTED_VALUE"""),"#REF!")</f>
        <v>#REF!</v>
      </c>
      <c r="N498" s="17"/>
      <c r="O498" s="19" t="str">
        <f>IFERROR(__xludf.DUMMYFUNCTION("""COMPUTED_VALUE"""),"")</f>
        <v/>
      </c>
      <c r="P498" s="17" t="b">
        <f>IFERROR(__xludf.DUMMYFUNCTION("""COMPUTED_VALUE"""),TRUE)</f>
        <v>1</v>
      </c>
      <c r="Q498" s="20">
        <f>IFERROR(__xludf.DUMMYFUNCTION("""COMPUTED_VALUE"""),45013.52496472222)</f>
        <v>45013.52496</v>
      </c>
      <c r="R498" s="22" t="str">
        <f>IFERROR(__xludf.DUMMYFUNCTION("""COMPUTED_VALUE"""),"")</f>
        <v/>
      </c>
    </row>
    <row r="499">
      <c r="A499" s="15">
        <f>IFERROR(__xludf.DUMMYFUNCTION("""COMPUTED_VALUE"""),45013.0)</f>
        <v>45013</v>
      </c>
      <c r="B499" s="16" t="str">
        <f>IFERROR(__xludf.DUMMYFUNCTION("""COMPUTED_VALUE"""),"Deivi Alejandro Quintero Corrales")</f>
        <v>Deivi Alejandro Quintero Corrales</v>
      </c>
      <c r="C499" s="15" t="str">
        <f>IFERROR(__xludf.DUMMYFUNCTION("""COMPUTED_VALUE"""),"PEREIRA")</f>
        <v>PEREIRA</v>
      </c>
      <c r="D499" s="15" t="str">
        <f>IFERROR(__xludf.DUMMYFUNCTION("""COMPUTED_VALUE"""),"BOGOTÁ")</f>
        <v>BOGOTÁ</v>
      </c>
      <c r="E499" s="15" t="str">
        <f>IFERROR(__xludf.DUMMYFUNCTION("""COMPUTED_VALUE"""),"Pan de Waffle")</f>
        <v>Pan de Waffle</v>
      </c>
      <c r="F499" s="17" t="str">
        <f>IFERROR(__xludf.DUMMYFUNCTION("""COMPUTED_VALUE"""),"Carrera 14 # 12 - 55 / Carrera 14 # 12 - 55 / Carrera 14 # 12 - 55")</f>
        <v>Carrera 14 # 12 - 55 / Carrera 14 # 12 - 55 / Carrera 14 # 12 - 55</v>
      </c>
      <c r="G499" s="15" t="str">
        <f>IFERROR(__xludf.DUMMYFUNCTION("""COMPUTED_VALUE"""),"VITA ECO")</f>
        <v>VITA ECO</v>
      </c>
      <c r="H499" s="18">
        <f>IFERROR(__xludf.DUMMYFUNCTION("""COMPUTED_VALUE"""),9239.0)</f>
        <v>9239</v>
      </c>
      <c r="I499" s="18">
        <f>IFERROR(__xludf.DUMMYFUNCTION("""COMPUTED_VALUE"""),30.0)</f>
        <v>30</v>
      </c>
      <c r="J499" s="18">
        <f>IFERROR(__xludf.DUMMYFUNCTION("""COMPUTED_VALUE"""),40.0)</f>
        <v>40</v>
      </c>
      <c r="K499" s="18">
        <f>IFERROR(__xludf.DUMMYFUNCTION("""COMPUTED_VALUE"""),30.0)</f>
        <v>30</v>
      </c>
      <c r="L499" s="17">
        <f>IFERROR(__xludf.DUMMYFUNCTION("""COMPUTED_VALUE"""),3.215501948E9)</f>
        <v>3215501948</v>
      </c>
      <c r="M499" s="17" t="str">
        <f>IFERROR(__xludf.DUMMYFUNCTION("""COMPUTED_VALUE"""),"#REF!")</f>
        <v>#REF!</v>
      </c>
      <c r="N499" s="17"/>
      <c r="O499" s="19" t="str">
        <f>IFERROR(__xludf.DUMMYFUNCTION("""COMPUTED_VALUE"""),"")</f>
        <v/>
      </c>
      <c r="P499" s="17" t="b">
        <f>IFERROR(__xludf.DUMMYFUNCTION("""COMPUTED_VALUE"""),TRUE)</f>
        <v>1</v>
      </c>
      <c r="Q499" s="20">
        <f>IFERROR(__xludf.DUMMYFUNCTION("""COMPUTED_VALUE"""),45013.524975532404)</f>
        <v>45013.52498</v>
      </c>
      <c r="R499" s="22" t="str">
        <f>IFERROR(__xludf.DUMMYFUNCTION("""COMPUTED_VALUE"""),"")</f>
        <v/>
      </c>
    </row>
    <row r="500">
      <c r="A500" s="15">
        <f>IFERROR(__xludf.DUMMYFUNCTION("""COMPUTED_VALUE"""),45013.0)</f>
        <v>45013</v>
      </c>
      <c r="B500" s="16" t="str">
        <f>IFERROR(__xludf.DUMMYFUNCTION("""COMPUTED_VALUE"""),"Deivi Alejandro Quintero Corrales")</f>
        <v>Deivi Alejandro Quintero Corrales</v>
      </c>
      <c r="C500" s="15" t="str">
        <f>IFERROR(__xludf.DUMMYFUNCTION("""COMPUTED_VALUE"""),"PEREIRA")</f>
        <v>PEREIRA</v>
      </c>
      <c r="D500" s="15" t="str">
        <f>IFERROR(__xludf.DUMMYFUNCTION("""COMPUTED_VALUE"""),"BOGOTÁ")</f>
        <v>BOGOTÁ</v>
      </c>
      <c r="E500" s="15" t="str">
        <f>IFERROR(__xludf.DUMMYFUNCTION("""COMPUTED_VALUE"""),"Top Spun")</f>
        <v>Top Spun</v>
      </c>
      <c r="F500" s="17" t="str">
        <f>IFERROR(__xludf.DUMMYFUNCTION("""COMPUTED_VALUE"""),"Km 4 via perira a armenia entrada 1  / Condominio Asturias casa 9 / Pereira")</f>
        <v>Km 4 via perira a armenia entrada 1  / Condominio Asturias casa 9 / Pereira</v>
      </c>
      <c r="G500" s="15" t="str">
        <f>IFERROR(__xludf.DUMMYFUNCTION("""COMPUTED_VALUE"""),"Monica Trujillo")</f>
        <v>Monica Trujillo</v>
      </c>
      <c r="H500" s="18">
        <f>IFERROR(__xludf.DUMMYFUNCTION("""COMPUTED_VALUE"""),9225.0)</f>
        <v>9225</v>
      </c>
      <c r="I500" s="18">
        <f>IFERROR(__xludf.DUMMYFUNCTION("""COMPUTED_VALUE"""),20.0)</f>
        <v>20</v>
      </c>
      <c r="J500" s="18">
        <f>IFERROR(__xludf.DUMMYFUNCTION("""COMPUTED_VALUE"""),10.0)</f>
        <v>10</v>
      </c>
      <c r="K500" s="18">
        <f>IFERROR(__xludf.DUMMYFUNCTION("""COMPUTED_VALUE"""),40.0)</f>
        <v>40</v>
      </c>
      <c r="L500" s="17">
        <f>IFERROR(__xludf.DUMMYFUNCTION("""COMPUTED_VALUE"""),3.173663689E9)</f>
        <v>3173663689</v>
      </c>
      <c r="M500" s="17" t="str">
        <f>IFERROR(__xludf.DUMMYFUNCTION("""COMPUTED_VALUE"""),"#REF!")</f>
        <v>#REF!</v>
      </c>
      <c r="N500" s="17"/>
      <c r="O500" s="19" t="str">
        <f>IFERROR(__xludf.DUMMYFUNCTION("""COMPUTED_VALUE"""),"")</f>
        <v/>
      </c>
      <c r="P500" s="17" t="b">
        <f>IFERROR(__xludf.DUMMYFUNCTION("""COMPUTED_VALUE"""),TRUE)</f>
        <v>1</v>
      </c>
      <c r="Q500" s="20">
        <f>IFERROR(__xludf.DUMMYFUNCTION("""COMPUTED_VALUE"""),45013.52498459491)</f>
        <v>45013.52498</v>
      </c>
      <c r="R500" s="22" t="str">
        <f>IFERROR(__xludf.DUMMYFUNCTION("""COMPUTED_VALUE"""),"")</f>
        <v/>
      </c>
    </row>
    <row r="501">
      <c r="A501" s="15">
        <f>IFERROR(__xludf.DUMMYFUNCTION("""COMPUTED_VALUE"""),45013.0)</f>
        <v>45013</v>
      </c>
      <c r="B501" s="16" t="str">
        <f>IFERROR(__xludf.DUMMYFUNCTION("""COMPUTED_VALUE"""),"Deivi Alejandro Quintero Corrales")</f>
        <v>Deivi Alejandro Quintero Corrales</v>
      </c>
      <c r="C501" s="15" t="str">
        <f>IFERROR(__xludf.DUMMYFUNCTION("""COMPUTED_VALUE"""),"PEREIRA")</f>
        <v>PEREIRA</v>
      </c>
      <c r="D501" s="15" t="str">
        <f>IFERROR(__xludf.DUMMYFUNCTION("""COMPUTED_VALUE"""),"MEDELLÍN")</f>
        <v>MEDELLÍN</v>
      </c>
      <c r="E501" s="15" t="str">
        <f>IFERROR(__xludf.DUMMYFUNCTION("""COMPUTED_VALUE"""),"Baby Chef")</f>
        <v>Baby Chef</v>
      </c>
      <c r="F501" s="17" t="str">
        <f>IFERROR(__xludf.DUMMYFUNCTION("""COMPUTED_VALUE"""),"Km 3 vía turin la popa sector la badea, Dosquebradas-Risaralda  CARCEL DE MUJERES DE PEREIRA / Km 3 vía turin la popa sector la badea, Dosquebradas-Risaralda  CARCEL DE MUJERES DE PEREIRA / Km 3 vía turin la popa sector la badea, Dosquebradas-Risaralda  C"&amp;"ARCEL DE MUJERES DE PEREIRA")</f>
        <v>Km 3 vía turin la popa sector la badea, Dosquebradas-Risaralda  CARCEL DE MUJERES DE PEREIRA / Km 3 vía turin la popa sector la badea, Dosquebradas-Risaralda  CARCEL DE MUJERES DE PEREIRA / Km 3 vía turin la popa sector la badea, Dosquebradas-Risaralda  CARCEL DE MUJERES DE PEREIRA</v>
      </c>
      <c r="G501" s="15" t="str">
        <f>IFERROR(__xludf.DUMMYFUNCTION("""COMPUTED_VALUE"""),"karina rueda ortiz")</f>
        <v>karina rueda ortiz</v>
      </c>
      <c r="H501" s="18">
        <f>IFERROR(__xludf.DUMMYFUNCTION("""COMPUTED_VALUE"""),9217.0)</f>
        <v>9217</v>
      </c>
      <c r="I501" s="18">
        <f>IFERROR(__xludf.DUMMYFUNCTION("""COMPUTED_VALUE"""),8.0)</f>
        <v>8</v>
      </c>
      <c r="J501" s="18">
        <f>IFERROR(__xludf.DUMMYFUNCTION("""COMPUTED_VALUE"""),16.0)</f>
        <v>16</v>
      </c>
      <c r="K501" s="18">
        <f>IFERROR(__xludf.DUMMYFUNCTION("""COMPUTED_VALUE"""),20.0)</f>
        <v>20</v>
      </c>
      <c r="L501" s="17">
        <f>IFERROR(__xludf.DUMMYFUNCTION("""COMPUTED_VALUE"""),3.160425153E9)</f>
        <v>3160425153</v>
      </c>
      <c r="M501" s="17" t="str">
        <f>IFERROR(__xludf.DUMMYFUNCTION("""COMPUTED_VALUE"""),"#REF!")</f>
        <v>#REF!</v>
      </c>
      <c r="N501" s="17"/>
      <c r="O501" s="19" t="str">
        <f>IFERROR(__xludf.DUMMYFUNCTION("""COMPUTED_VALUE"""),"")</f>
        <v/>
      </c>
      <c r="P501" s="17" t="b">
        <f>IFERROR(__xludf.DUMMYFUNCTION("""COMPUTED_VALUE"""),FALSE)</f>
        <v>0</v>
      </c>
      <c r="Q501" s="20" t="str">
        <f>IFERROR(__xludf.DUMMYFUNCTION("""COMPUTED_VALUE"""),"")</f>
        <v/>
      </c>
      <c r="R501" s="22" t="str">
        <f>IFERROR(__xludf.DUMMYFUNCTION("""COMPUTED_VALUE"""),"")</f>
        <v/>
      </c>
    </row>
    <row r="502">
      <c r="A502" s="15" t="str">
        <f>IFERROR(__xludf.DUMMYFUNCTION("""COMPUTED_VALUE"""),"")</f>
        <v/>
      </c>
      <c r="B502" s="16" t="str">
        <f>IFERROR(__xludf.DUMMYFUNCTION("""COMPUTED_VALUE"""),"")</f>
        <v/>
      </c>
      <c r="C502" s="15" t="str">
        <f>IFERROR(__xludf.DUMMYFUNCTION("""COMPUTED_VALUE"""),"")</f>
        <v/>
      </c>
      <c r="D502" s="15" t="str">
        <f>IFERROR(__xludf.DUMMYFUNCTION("""COMPUTED_VALUE"""),"")</f>
        <v/>
      </c>
      <c r="E502" s="15" t="str">
        <f>IFERROR(__xludf.DUMMYFUNCTION("""COMPUTED_VALUE"""),"")</f>
        <v/>
      </c>
      <c r="F502" s="17" t="str">
        <f>IFERROR(__xludf.DUMMYFUNCTION("""COMPUTED_VALUE"""),"")</f>
        <v/>
      </c>
      <c r="G502" s="15" t="str">
        <f>IFERROR(__xludf.DUMMYFUNCTION("""COMPUTED_VALUE"""),"")</f>
        <v/>
      </c>
      <c r="H502" s="18" t="str">
        <f>IFERROR(__xludf.DUMMYFUNCTION("""COMPUTED_VALUE"""),"")</f>
        <v/>
      </c>
      <c r="I502" s="18" t="str">
        <f>IFERROR(__xludf.DUMMYFUNCTION("""COMPUTED_VALUE"""),"")</f>
        <v/>
      </c>
      <c r="J502" s="18" t="str">
        <f>IFERROR(__xludf.DUMMYFUNCTION("""COMPUTED_VALUE"""),"")</f>
        <v/>
      </c>
      <c r="K502" s="17" t="str">
        <f>IFERROR(__xludf.DUMMYFUNCTION("""COMPUTED_VALUE"""),"")</f>
        <v/>
      </c>
      <c r="L502" s="17" t="str">
        <f>IFERROR(__xludf.DUMMYFUNCTION("""COMPUTED_VALUE"""),"")</f>
        <v/>
      </c>
      <c r="M502" s="17" t="str">
        <f>IFERROR(__xludf.DUMMYFUNCTION("""COMPUTED_VALUE"""),"")</f>
        <v/>
      </c>
      <c r="N502" s="19" t="str">
        <f>IFERROR(__xludf.DUMMYFUNCTION("""COMPUTED_VALUE"""),"")</f>
        <v/>
      </c>
      <c r="O502" s="19" t="str">
        <f>IFERROR(__xludf.DUMMYFUNCTION("""COMPUTED_VALUE"""),"")</f>
        <v/>
      </c>
      <c r="P502" s="17" t="str">
        <f>IFERROR(__xludf.DUMMYFUNCTION("""COMPUTED_VALUE"""),"")</f>
        <v/>
      </c>
      <c r="Q502" s="20" t="str">
        <f>IFERROR(__xludf.DUMMYFUNCTION("""COMPUTED_VALUE"""),"")</f>
        <v/>
      </c>
      <c r="R502" s="22" t="str">
        <f>IFERROR(__xludf.DUMMYFUNCTION("""COMPUTED_VALUE"""),"")</f>
        <v/>
      </c>
    </row>
    <row r="503">
      <c r="A503" s="15">
        <f>IFERROR(__xludf.DUMMYFUNCTION("""COMPUTED_VALUE"""),45013.0)</f>
        <v>45013</v>
      </c>
      <c r="B503" s="16" t="str">
        <f>IFERROR(__xludf.DUMMYFUNCTION("""COMPUTED_VALUE"""),"Duvan Gabriel Alvarez Giron")</f>
        <v>Duvan Gabriel Alvarez Giron</v>
      </c>
      <c r="C503" s="15" t="str">
        <f>IFERROR(__xludf.DUMMYFUNCTION("""COMPUTED_VALUE"""),"IBAGUÉ")</f>
        <v>IBAGUÉ</v>
      </c>
      <c r="D503" s="15" t="str">
        <f>IFERROR(__xludf.DUMMYFUNCTION("""COMPUTED_VALUE"""),"BOGOTÁ")</f>
        <v>BOGOTÁ</v>
      </c>
      <c r="E503" s="15" t="str">
        <f>IFERROR(__xludf.DUMMYFUNCTION("""COMPUTED_VALUE"""),"Asociacion Agropecuaria Juana Maria")</f>
        <v>Asociacion Agropecuaria Juana Maria</v>
      </c>
      <c r="F503" s="17" t="str">
        <f>IFERROR(__xludf.DUMMYFUNCTION("""COMPUTED_VALUE"""),"Calle 93 # 7 Sur-90 torre 8 apto 102 Conjunto Residencial Altagracia")</f>
        <v>Calle 93 # 7 Sur-90 torre 8 apto 102 Conjunto Residencial Altagracia</v>
      </c>
      <c r="G503" s="15" t="str">
        <f>IFERROR(__xludf.DUMMYFUNCTION("""COMPUTED_VALUE"""),"Mariam Yasmin Murillo Rubio")</f>
        <v>Mariam Yasmin Murillo Rubio</v>
      </c>
      <c r="H503" s="18">
        <f>IFERROR(__xludf.DUMMYFUNCTION("""COMPUTED_VALUE"""),9166.0)</f>
        <v>9166</v>
      </c>
      <c r="I503" s="18">
        <f>IFERROR(__xludf.DUMMYFUNCTION("""COMPUTED_VALUE"""),12.0)</f>
        <v>12</v>
      </c>
      <c r="J503" s="18">
        <f>IFERROR(__xludf.DUMMYFUNCTION("""COMPUTED_VALUE"""),37.0)</f>
        <v>37</v>
      </c>
      <c r="K503" s="18">
        <f>IFERROR(__xludf.DUMMYFUNCTION("""COMPUTED_VALUE"""),24.0)</f>
        <v>24</v>
      </c>
      <c r="L503" s="17">
        <f>IFERROR(__xludf.DUMMYFUNCTION("""COMPUTED_VALUE"""),3.105789664E9)</f>
        <v>3105789664</v>
      </c>
      <c r="M503" s="17" t="str">
        <f>IFERROR(__xludf.DUMMYFUNCTION("""COMPUTED_VALUE"""),"#REF!")</f>
        <v>#REF!</v>
      </c>
      <c r="N503" s="17"/>
      <c r="O503" s="19" t="str">
        <f>IFERROR(__xludf.DUMMYFUNCTION("""COMPUTED_VALUE"""),"")</f>
        <v/>
      </c>
      <c r="P503" s="17" t="b">
        <f>IFERROR(__xludf.DUMMYFUNCTION("""COMPUTED_VALUE"""),FALSE)</f>
        <v>0</v>
      </c>
      <c r="Q503" s="20" t="str">
        <f>IFERROR(__xludf.DUMMYFUNCTION("""COMPUTED_VALUE"""),"")</f>
        <v/>
      </c>
      <c r="R503" s="22" t="str">
        <f>IFERROR(__xludf.DUMMYFUNCTION("""COMPUTED_VALUE"""),"")</f>
        <v/>
      </c>
    </row>
    <row r="504">
      <c r="A504" s="15">
        <f>IFERROR(__xludf.DUMMYFUNCTION("""COMPUTED_VALUE"""),45013.0)</f>
        <v>45013</v>
      </c>
      <c r="B504" s="16" t="str">
        <f>IFERROR(__xludf.DUMMYFUNCTION("""COMPUTED_VALUE"""),"Duvan Gabriel Alvarez Giron")</f>
        <v>Duvan Gabriel Alvarez Giron</v>
      </c>
      <c r="C504" s="15" t="str">
        <f>IFERROR(__xludf.DUMMYFUNCTION("""COMPUTED_VALUE"""),"IBAGUÉ")</f>
        <v>IBAGUÉ</v>
      </c>
      <c r="D504" s="15" t="str">
        <f>IFERROR(__xludf.DUMMYFUNCTION("""COMPUTED_VALUE"""),"BOGOTÁ")</f>
        <v>BOGOTÁ</v>
      </c>
      <c r="E504" s="15" t="str">
        <f>IFERROR(__xludf.DUMMYFUNCTION("""COMPUTED_VALUE"""),"Evamazzita")</f>
        <v>Evamazzita</v>
      </c>
      <c r="F504" s="17" t="str">
        <f>IFERROR(__xludf.DUMMYFUNCTION("""COMPUTED_VALUE"""),"CARRERA 11 A # 35 - 62  / N/A / BARRIO GAITÁN PARTE ALTA")</f>
        <v>CARRERA 11 A # 35 - 62  / N/A / BARRIO GAITÁN PARTE ALTA</v>
      </c>
      <c r="G504" s="15" t="str">
        <f>IFERROR(__xludf.DUMMYFUNCTION("""COMPUTED_VALUE"""),"JORGE BERNARDO TORRES")</f>
        <v>JORGE BERNARDO TORRES</v>
      </c>
      <c r="H504" s="18">
        <f>IFERROR(__xludf.DUMMYFUNCTION("""COMPUTED_VALUE"""),9196.0)</f>
        <v>9196</v>
      </c>
      <c r="I504" s="18">
        <f>IFERROR(__xludf.DUMMYFUNCTION("""COMPUTED_VALUE"""),16.0)</f>
        <v>16</v>
      </c>
      <c r="J504" s="18">
        <f>IFERROR(__xludf.DUMMYFUNCTION("""COMPUTED_VALUE"""),37.0)</f>
        <v>37</v>
      </c>
      <c r="K504" s="18">
        <f>IFERROR(__xludf.DUMMYFUNCTION("""COMPUTED_VALUE"""),23.0)</f>
        <v>23</v>
      </c>
      <c r="L504" s="17">
        <f>IFERROR(__xludf.DUMMYFUNCTION("""COMPUTED_VALUE"""),3.144530156E9)</f>
        <v>3144530156</v>
      </c>
      <c r="M504" s="17" t="str">
        <f>IFERROR(__xludf.DUMMYFUNCTION("""COMPUTED_VALUE"""),"#REF!")</f>
        <v>#REF!</v>
      </c>
      <c r="N504" s="17"/>
      <c r="O504" s="19" t="str">
        <f>IFERROR(__xludf.DUMMYFUNCTION("""COMPUTED_VALUE"""),"")</f>
        <v/>
      </c>
      <c r="P504" s="17" t="b">
        <f>IFERROR(__xludf.DUMMYFUNCTION("""COMPUTED_VALUE"""),FALSE)</f>
        <v>0</v>
      </c>
      <c r="Q504" s="20" t="str">
        <f>IFERROR(__xludf.DUMMYFUNCTION("""COMPUTED_VALUE"""),"")</f>
        <v/>
      </c>
      <c r="R504" s="21" t="str">
        <f>IFERROR(__xludf.DUMMYFUNCTION("""COMPUTED_VALUE"""),"https://drive.google.com/file/d/1mtI3BbS5K5rR9LLVVvL9TxsuJSKvzbVX/view?usp=drivesdk")</f>
        <v>https://drive.google.com/file/d/1mtI3BbS5K5rR9LLVVvL9TxsuJSKvzbVX/view?usp=drivesdk</v>
      </c>
    </row>
    <row r="505">
      <c r="A505" s="15" t="str">
        <f>IFERROR(__xludf.DUMMYFUNCTION("""COMPUTED_VALUE"""),"")</f>
        <v/>
      </c>
      <c r="B505" s="16" t="str">
        <f>IFERROR(__xludf.DUMMYFUNCTION("""COMPUTED_VALUE"""),"")</f>
        <v/>
      </c>
      <c r="C505" s="15" t="str">
        <f>IFERROR(__xludf.DUMMYFUNCTION("""COMPUTED_VALUE"""),"")</f>
        <v/>
      </c>
      <c r="D505" s="15" t="str">
        <f>IFERROR(__xludf.DUMMYFUNCTION("""COMPUTED_VALUE"""),"")</f>
        <v/>
      </c>
      <c r="E505" s="15" t="str">
        <f>IFERROR(__xludf.DUMMYFUNCTION("""COMPUTED_VALUE"""),"")</f>
        <v/>
      </c>
      <c r="F505" s="17" t="str">
        <f>IFERROR(__xludf.DUMMYFUNCTION("""COMPUTED_VALUE"""),"")</f>
        <v/>
      </c>
      <c r="G505" s="15" t="str">
        <f>IFERROR(__xludf.DUMMYFUNCTION("""COMPUTED_VALUE"""),"")</f>
        <v/>
      </c>
      <c r="H505" s="18" t="str">
        <f>IFERROR(__xludf.DUMMYFUNCTION("""COMPUTED_VALUE"""),"")</f>
        <v/>
      </c>
      <c r="I505" s="18" t="str">
        <f>IFERROR(__xludf.DUMMYFUNCTION("""COMPUTED_VALUE"""),"")</f>
        <v/>
      </c>
      <c r="J505" s="18" t="str">
        <f>IFERROR(__xludf.DUMMYFUNCTION("""COMPUTED_VALUE"""),"")</f>
        <v/>
      </c>
      <c r="K505" s="17" t="str">
        <f>IFERROR(__xludf.DUMMYFUNCTION("""COMPUTED_VALUE"""),"")</f>
        <v/>
      </c>
      <c r="L505" s="17" t="str">
        <f>IFERROR(__xludf.DUMMYFUNCTION("""COMPUTED_VALUE"""),"")</f>
        <v/>
      </c>
      <c r="M505" s="17" t="str">
        <f>IFERROR(__xludf.DUMMYFUNCTION("""COMPUTED_VALUE"""),"")</f>
        <v/>
      </c>
      <c r="N505" s="19" t="str">
        <f>IFERROR(__xludf.DUMMYFUNCTION("""COMPUTED_VALUE"""),"")</f>
        <v/>
      </c>
      <c r="O505" s="19" t="str">
        <f>IFERROR(__xludf.DUMMYFUNCTION("""COMPUTED_VALUE"""),"")</f>
        <v/>
      </c>
      <c r="P505" s="17" t="str">
        <f>IFERROR(__xludf.DUMMYFUNCTION("""COMPUTED_VALUE"""),"")</f>
        <v/>
      </c>
      <c r="Q505" s="20" t="str">
        <f>IFERROR(__xludf.DUMMYFUNCTION("""COMPUTED_VALUE"""),"")</f>
        <v/>
      </c>
      <c r="R505" s="22" t="str">
        <f>IFERROR(__xludf.DUMMYFUNCTION("""COMPUTED_VALUE"""),"")</f>
        <v/>
      </c>
    </row>
    <row r="506">
      <c r="A506" s="15">
        <f>IFERROR(__xludf.DUMMYFUNCTION("""COMPUTED_VALUE"""),45013.0)</f>
        <v>45013</v>
      </c>
      <c r="B506" s="16" t="str">
        <f>IFERROR(__xludf.DUMMYFUNCTION("""COMPUTED_VALUE"""),"Envia")</f>
        <v>Envia</v>
      </c>
      <c r="C506" s="15" t="str">
        <f>IFERROR(__xludf.DUMMYFUNCTION("""COMPUTED_VALUE"""),"BUCARAMANGA")</f>
        <v>BUCARAMANGA</v>
      </c>
      <c r="D506" s="15" t="str">
        <f>IFERROR(__xludf.DUMMYFUNCTION("""COMPUTED_VALUE"""),"MEDELLÍN")</f>
        <v>MEDELLÍN</v>
      </c>
      <c r="E506" s="15" t="str">
        <f>IFERROR(__xludf.DUMMYFUNCTION("""COMPUTED_VALUE"""),"Rambla")</f>
        <v>Rambla</v>
      </c>
      <c r="F506" s="17" t="str">
        <f>IFERROR(__xludf.DUMMYFUNCTION("""COMPUTED_VALUE"""),"Calle 45 nro 28-64 Sotomayor / na / na")</f>
        <v>Calle 45 nro 28-64 Sotomayor / na / na</v>
      </c>
      <c r="G506" s="15" t="str">
        <f>IFERROR(__xludf.DUMMYFUNCTION("""COMPUTED_VALUE"""),"fit buk")</f>
        <v>fit buk</v>
      </c>
      <c r="H506" s="18">
        <f>IFERROR(__xludf.DUMMYFUNCTION("""COMPUTED_VALUE"""),9247.0)</f>
        <v>9247</v>
      </c>
      <c r="I506" s="18">
        <f>IFERROR(__xludf.DUMMYFUNCTION("""COMPUTED_VALUE"""),28.0)</f>
        <v>28</v>
      </c>
      <c r="J506" s="18">
        <f>IFERROR(__xludf.DUMMYFUNCTION("""COMPUTED_VALUE"""),32.0)</f>
        <v>32</v>
      </c>
      <c r="K506" s="18">
        <f>IFERROR(__xludf.DUMMYFUNCTION("""COMPUTED_VALUE"""),34.0)</f>
        <v>34</v>
      </c>
      <c r="L506" s="17">
        <f>IFERROR(__xludf.DUMMYFUNCTION("""COMPUTED_VALUE"""),6.076053316E9)</f>
        <v>6076053316</v>
      </c>
      <c r="M506" s="17" t="str">
        <f>IFERROR(__xludf.DUMMYFUNCTION("""COMPUTED_VALUE"""),"#REF!")</f>
        <v>#REF!</v>
      </c>
      <c r="N506" s="17"/>
      <c r="O506" s="19" t="str">
        <f>IFERROR(__xludf.DUMMYFUNCTION("""COMPUTED_VALUE"""),"")</f>
        <v/>
      </c>
      <c r="P506" s="17" t="b">
        <f>IFERROR(__xludf.DUMMYFUNCTION("""COMPUTED_VALUE"""),TRUE)</f>
        <v>1</v>
      </c>
      <c r="Q506" s="20">
        <f>IFERROR(__xludf.DUMMYFUNCTION("""COMPUTED_VALUE"""),45013.59187708334)</f>
        <v>45013.59188</v>
      </c>
      <c r="R506" s="21" t="str">
        <f>IFERROR(__xludf.DUMMYFUNCTION("""COMPUTED_VALUE"""),"https://drive.google.com/file/d/19KyQOqKJ7fzPPfoZ5XLv9c2Dze4RrfSq/view?usp=drivesdk")</f>
        <v>https://drive.google.com/file/d/19KyQOqKJ7fzPPfoZ5XLv9c2Dze4RrfSq/view?usp=drivesdk</v>
      </c>
    </row>
    <row r="507">
      <c r="A507" s="15">
        <f>IFERROR(__xludf.DUMMYFUNCTION("""COMPUTED_VALUE"""),45013.0)</f>
        <v>45013</v>
      </c>
      <c r="B507" s="16" t="str">
        <f>IFERROR(__xludf.DUMMYFUNCTION("""COMPUTED_VALUE"""),"Envia")</f>
        <v>Envia</v>
      </c>
      <c r="C507" s="15" t="str">
        <f>IFERROR(__xludf.DUMMYFUNCTION("""COMPUTED_VALUE"""),"CALI")</f>
        <v>CALI</v>
      </c>
      <c r="D507" s="15" t="str">
        <f>IFERROR(__xludf.DUMMYFUNCTION("""COMPUTED_VALUE"""),"BOGOTÁ")</f>
        <v>BOGOTÁ</v>
      </c>
      <c r="E507" s="15" t="str">
        <f>IFERROR(__xludf.DUMMYFUNCTION("""COMPUTED_VALUE"""),"Evamazzita")</f>
        <v>Evamazzita</v>
      </c>
      <c r="F507" s="17" t="str">
        <f>IFERROR(__xludf.DUMMYFUNCTION("""COMPUTED_VALUE"""),"Cra 67 #1B oeste - 20  / piso 2   / Barrio Altos del refugio")</f>
        <v>Cra 67 #1B oeste - 20  / piso 2   / Barrio Altos del refugio</v>
      </c>
      <c r="G507" s="15" t="str">
        <f>IFERROR(__xludf.DUMMYFUNCTION("""COMPUTED_VALUE"""),"NEIRY LAZO")</f>
        <v>NEIRY LAZO</v>
      </c>
      <c r="H507" s="18">
        <f>IFERROR(__xludf.DUMMYFUNCTION("""COMPUTED_VALUE"""),9205.0)</f>
        <v>9205</v>
      </c>
      <c r="I507" s="18">
        <f>IFERROR(__xludf.DUMMYFUNCTION("""COMPUTED_VALUE"""),3.0)</f>
        <v>3</v>
      </c>
      <c r="J507" s="18">
        <f>IFERROR(__xludf.DUMMYFUNCTION("""COMPUTED_VALUE"""),20.0)</f>
        <v>20</v>
      </c>
      <c r="K507" s="18">
        <f>IFERROR(__xludf.DUMMYFUNCTION("""COMPUTED_VALUE"""),15.0)</f>
        <v>15</v>
      </c>
      <c r="L507" s="17">
        <f>IFERROR(__xludf.DUMMYFUNCTION("""COMPUTED_VALUE"""),3.117027169E9)</f>
        <v>3117027169</v>
      </c>
      <c r="M507" s="17" t="str">
        <f>IFERROR(__xludf.DUMMYFUNCTION("""COMPUTED_VALUE"""),"#REF!")</f>
        <v>#REF!</v>
      </c>
      <c r="N507" s="17"/>
      <c r="O507" s="19" t="str">
        <f>IFERROR(__xludf.DUMMYFUNCTION("""COMPUTED_VALUE"""),"")</f>
        <v/>
      </c>
      <c r="P507" s="17" t="b">
        <f>IFERROR(__xludf.DUMMYFUNCTION("""COMPUTED_VALUE"""),TRUE)</f>
        <v>1</v>
      </c>
      <c r="Q507" s="20">
        <f>IFERROR(__xludf.DUMMYFUNCTION("""COMPUTED_VALUE"""),45013.60746209491)</f>
        <v>45013.60746</v>
      </c>
      <c r="R507" s="21" t="str">
        <f>IFERROR(__xludf.DUMMYFUNCTION("""COMPUTED_VALUE"""),"https://drive.google.com/file/d/1D_lHWuAynZsIdsdyltEwmIjCgYwho82o/view?usp=drivesdk")</f>
        <v>https://drive.google.com/file/d/1D_lHWuAynZsIdsdyltEwmIjCgYwho82o/view?usp=drivesdk</v>
      </c>
    </row>
    <row r="508">
      <c r="A508" s="15">
        <f>IFERROR(__xludf.DUMMYFUNCTION("""COMPUTED_VALUE"""),45013.0)</f>
        <v>45013</v>
      </c>
      <c r="B508" s="16" t="str">
        <f>IFERROR(__xludf.DUMMYFUNCTION("""COMPUTED_VALUE"""),"Envia")</f>
        <v>Envia</v>
      </c>
      <c r="C508" s="15" t="str">
        <f>IFERROR(__xludf.DUMMYFUNCTION("""COMPUTED_VALUE"""),"CALI")</f>
        <v>CALI</v>
      </c>
      <c r="D508" s="15" t="str">
        <f>IFERROR(__xludf.DUMMYFUNCTION("""COMPUTED_VALUE"""),"BOGOTÁ")</f>
        <v>BOGOTÁ</v>
      </c>
      <c r="E508" s="15" t="str">
        <f>IFERROR(__xludf.DUMMYFUNCTION("""COMPUTED_VALUE"""),"Top Spun")</f>
        <v>Top Spun</v>
      </c>
      <c r="F508" s="17" t="str">
        <f>IFERROR(__xludf.DUMMYFUNCTION("""COMPUTED_VALUE"""),"calle 46 #113 29  / 401e cascadas de la bocha / Cali")</f>
        <v>calle 46 #113 29  / 401e cascadas de la bocha / Cali</v>
      </c>
      <c r="G508" s="15" t="str">
        <f>IFERROR(__xludf.DUMMYFUNCTION("""COMPUTED_VALUE"""),"Melissa aristizabal")</f>
        <v>Melissa aristizabal</v>
      </c>
      <c r="H508" s="18">
        <f>IFERROR(__xludf.DUMMYFUNCTION("""COMPUTED_VALUE"""),9160.0)</f>
        <v>9160</v>
      </c>
      <c r="I508" s="18">
        <f>IFERROR(__xludf.DUMMYFUNCTION("""COMPUTED_VALUE"""),20.0)</f>
        <v>20</v>
      </c>
      <c r="J508" s="18">
        <f>IFERROR(__xludf.DUMMYFUNCTION("""COMPUTED_VALUE"""),10.0)</f>
        <v>10</v>
      </c>
      <c r="K508" s="18">
        <f>IFERROR(__xludf.DUMMYFUNCTION("""COMPUTED_VALUE"""),40.0)</f>
        <v>40</v>
      </c>
      <c r="L508" s="17">
        <f>IFERROR(__xludf.DUMMYFUNCTION("""COMPUTED_VALUE"""),3.174358706E9)</f>
        <v>3174358706</v>
      </c>
      <c r="M508" s="17" t="str">
        <f>IFERROR(__xludf.DUMMYFUNCTION("""COMPUTED_VALUE"""),"#REF!")</f>
        <v>#REF!</v>
      </c>
      <c r="N508" s="17"/>
      <c r="O508" s="19" t="str">
        <f>IFERROR(__xludf.DUMMYFUNCTION("""COMPUTED_VALUE"""),"")</f>
        <v/>
      </c>
      <c r="P508" s="17" t="b">
        <f>IFERROR(__xludf.DUMMYFUNCTION("""COMPUTED_VALUE"""),TRUE)</f>
        <v>1</v>
      </c>
      <c r="Q508" s="20">
        <f>IFERROR(__xludf.DUMMYFUNCTION("""COMPUTED_VALUE"""),45013.607471863426)</f>
        <v>45013.60747</v>
      </c>
      <c r="R508" s="21" t="str">
        <f>IFERROR(__xludf.DUMMYFUNCTION("""COMPUTED_VALUE"""),"https://drive.google.com/file/d/14jqcR5wYvAcEotHD0uFuZkwQtMcBJJ5s/view?usp=drivesdk")</f>
        <v>https://drive.google.com/file/d/14jqcR5wYvAcEotHD0uFuZkwQtMcBJJ5s/view?usp=drivesdk</v>
      </c>
    </row>
    <row r="509">
      <c r="A509" s="15">
        <f>IFERROR(__xludf.DUMMYFUNCTION("""COMPUTED_VALUE"""),45013.0)</f>
        <v>45013</v>
      </c>
      <c r="B509" s="16" t="str">
        <f>IFERROR(__xludf.DUMMYFUNCTION("""COMPUTED_VALUE"""),"Envia")</f>
        <v>Envia</v>
      </c>
      <c r="C509" s="15" t="str">
        <f>IFERROR(__xludf.DUMMYFUNCTION("""COMPUTED_VALUE"""),"FLORIDABLANCA")</f>
        <v>FLORIDABLANCA</v>
      </c>
      <c r="D509" s="15" t="str">
        <f>IFERROR(__xludf.DUMMYFUNCTION("""COMPUTED_VALUE"""),"BOGOTÁ")</f>
        <v>BOGOTÁ</v>
      </c>
      <c r="E509" s="15" t="str">
        <f>IFERROR(__xludf.DUMMYFUNCTION("""COMPUTED_VALUE"""),"Asociacion Agropecuaria Juana Maria")</f>
        <v>Asociacion Agropecuaria Juana Maria</v>
      </c>
      <c r="F509" s="17" t="str">
        <f>IFERROR(__xludf.DUMMYFUNCTION("""COMPUTED_VALUE"""),"Calle 19 #11-37 Guanatá FLORIDABLANCA")</f>
        <v>Calle 19 #11-37 Guanatá FLORIDABLANCA</v>
      </c>
      <c r="G509" s="15" t="str">
        <f>IFERROR(__xludf.DUMMYFUNCTION("""COMPUTED_VALUE"""),"Claudia Gonzalez")</f>
        <v>Claudia Gonzalez</v>
      </c>
      <c r="H509" s="18">
        <f>IFERROR(__xludf.DUMMYFUNCTION("""COMPUTED_VALUE"""),9172.0)</f>
        <v>9172</v>
      </c>
      <c r="I509" s="18">
        <f>IFERROR(__xludf.DUMMYFUNCTION("""COMPUTED_VALUE"""),21.0)</f>
        <v>21</v>
      </c>
      <c r="J509" s="18">
        <f>IFERROR(__xludf.DUMMYFUNCTION("""COMPUTED_VALUE"""),37.0)</f>
        <v>37</v>
      </c>
      <c r="K509" s="18">
        <f>IFERROR(__xludf.DUMMYFUNCTION("""COMPUTED_VALUE"""),30.0)</f>
        <v>30</v>
      </c>
      <c r="L509" s="17">
        <f>IFERROR(__xludf.DUMMYFUNCTION("""COMPUTED_VALUE"""),3.002802001E9)</f>
        <v>3002802001</v>
      </c>
      <c r="M509" s="17" t="str">
        <f>IFERROR(__xludf.DUMMYFUNCTION("""COMPUTED_VALUE"""),"#REF!")</f>
        <v>#REF!</v>
      </c>
      <c r="N509" s="17"/>
      <c r="O509" s="19" t="str">
        <f>IFERROR(__xludf.DUMMYFUNCTION("""COMPUTED_VALUE"""),"")</f>
        <v/>
      </c>
      <c r="P509" s="17" t="b">
        <f>IFERROR(__xludf.DUMMYFUNCTION("""COMPUTED_VALUE"""),TRUE)</f>
        <v>1</v>
      </c>
      <c r="Q509" s="20">
        <f>IFERROR(__xludf.DUMMYFUNCTION("""COMPUTED_VALUE"""),45013.36055212963)</f>
        <v>45013.36055</v>
      </c>
      <c r="R509" s="22" t="str">
        <f>IFERROR(__xludf.DUMMYFUNCTION("""COMPUTED_VALUE"""),"")</f>
        <v/>
      </c>
    </row>
    <row r="510">
      <c r="A510" s="15">
        <f>IFERROR(__xludf.DUMMYFUNCTION("""COMPUTED_VALUE"""),45013.0)</f>
        <v>45013</v>
      </c>
      <c r="B510" s="16" t="str">
        <f>IFERROR(__xludf.DUMMYFUNCTION("""COMPUTED_VALUE"""),"Envia")</f>
        <v>Envia</v>
      </c>
      <c r="C510" s="15" t="str">
        <f>IFERROR(__xludf.DUMMYFUNCTION("""COMPUTED_VALUE"""),"FLORIDABLANCA")</f>
        <v>FLORIDABLANCA</v>
      </c>
      <c r="D510" s="15" t="str">
        <f>IFERROR(__xludf.DUMMYFUNCTION("""COMPUTED_VALUE"""),"BOGOTÁ")</f>
        <v>BOGOTÁ</v>
      </c>
      <c r="E510" s="15" t="str">
        <f>IFERROR(__xludf.DUMMYFUNCTION("""COMPUTED_VALUE"""),"Lunchy Kids")</f>
        <v>Lunchy Kids</v>
      </c>
      <c r="F510" s="17" t="str">
        <f>IFERROR(__xludf.DUMMYFUNCTION("""COMPUTED_VALUE"""),"Cra 26 #37-32 / Conjunto San Diego. Torre 2. Apto 902 / Floridablanca")</f>
        <v>Cra 26 #37-32 / Conjunto San Diego. Torre 2. Apto 902 / Floridablanca</v>
      </c>
      <c r="G510" s="15" t="str">
        <f>IFERROR(__xludf.DUMMYFUNCTION("""COMPUTED_VALUE"""),"Sandra Ortiz Serrano")</f>
        <v>Sandra Ortiz Serrano</v>
      </c>
      <c r="H510" s="18">
        <f>IFERROR(__xludf.DUMMYFUNCTION("""COMPUTED_VALUE"""),9179.0)</f>
        <v>9179</v>
      </c>
      <c r="I510" s="18">
        <f>IFERROR(__xludf.DUMMYFUNCTION("""COMPUTED_VALUE"""),15.0)</f>
        <v>15</v>
      </c>
      <c r="J510" s="18">
        <f>IFERROR(__xludf.DUMMYFUNCTION("""COMPUTED_VALUE"""),5.0)</f>
        <v>5</v>
      </c>
      <c r="K510" s="18">
        <f>IFERROR(__xludf.DUMMYFUNCTION("""COMPUTED_VALUE"""),28.0)</f>
        <v>28</v>
      </c>
      <c r="L510" s="17">
        <f>IFERROR(__xludf.DUMMYFUNCTION("""COMPUTED_VALUE"""),3.202716734E9)</f>
        <v>3202716734</v>
      </c>
      <c r="M510" s="17" t="str">
        <f>IFERROR(__xludf.DUMMYFUNCTION("""COMPUTED_VALUE"""),"#REF!")</f>
        <v>#REF!</v>
      </c>
      <c r="N510" s="17"/>
      <c r="O510" s="19" t="str">
        <f>IFERROR(__xludf.DUMMYFUNCTION("""COMPUTED_VALUE"""),"")</f>
        <v/>
      </c>
      <c r="P510" s="17" t="b">
        <f>IFERROR(__xludf.DUMMYFUNCTION("""COMPUTED_VALUE"""),TRUE)</f>
        <v>1</v>
      </c>
      <c r="Q510" s="20">
        <f>IFERROR(__xludf.DUMMYFUNCTION("""COMPUTED_VALUE"""),45013.3605381713)</f>
        <v>45013.36054</v>
      </c>
      <c r="R510" s="21" t="str">
        <f>IFERROR(__xludf.DUMMYFUNCTION("""COMPUTED_VALUE"""),"https://drive.google.com/file/d/1dZwh5-yF1ItLT9EwXc7J4faltChI2dbP/view?usp=drivesdk")</f>
        <v>https://drive.google.com/file/d/1dZwh5-yF1ItLT9EwXc7J4faltChI2dbP/view?usp=drivesdk</v>
      </c>
    </row>
    <row r="511">
      <c r="A511" s="15">
        <f>IFERROR(__xludf.DUMMYFUNCTION("""COMPUTED_VALUE"""),45013.0)</f>
        <v>45013</v>
      </c>
      <c r="B511" s="16" t="str">
        <f>IFERROR(__xludf.DUMMYFUNCTION("""COMPUTED_VALUE"""),"Envia")</f>
        <v>Envia</v>
      </c>
      <c r="C511" s="15" t="str">
        <f>IFERROR(__xludf.DUMMYFUNCTION("""COMPUTED_VALUE"""),"IBAGUÉ")</f>
        <v>IBAGUÉ</v>
      </c>
      <c r="D511" s="15" t="str">
        <f>IFERROR(__xludf.DUMMYFUNCTION("""COMPUTED_VALUE"""),"BOGOTÁ")</f>
        <v>BOGOTÁ</v>
      </c>
      <c r="E511" s="15" t="str">
        <f>IFERROR(__xludf.DUMMYFUNCTION("""COMPUTED_VALUE"""),"Asociacion Agropecuaria Juana Maria")</f>
        <v>Asociacion Agropecuaria Juana Maria</v>
      </c>
      <c r="F511" s="17" t="str">
        <f>IFERROR(__xludf.DUMMYFUNCTION("""COMPUTED_VALUE"""),"Calle 93 # 7 Sur-90 torre 8 apto 102 Conjunto Residencial Altagracia")</f>
        <v>Calle 93 # 7 Sur-90 torre 8 apto 102 Conjunto Residencial Altagracia</v>
      </c>
      <c r="G511" s="15" t="str">
        <f>IFERROR(__xludf.DUMMYFUNCTION("""COMPUTED_VALUE"""),"Mariam Yasmin Murillo Rubio")</f>
        <v>Mariam Yasmin Murillo Rubio</v>
      </c>
      <c r="H511" s="18">
        <f>IFERROR(__xludf.DUMMYFUNCTION("""COMPUTED_VALUE"""),9165.0)</f>
        <v>9165</v>
      </c>
      <c r="I511" s="18">
        <f>IFERROR(__xludf.DUMMYFUNCTION("""COMPUTED_VALUE"""),21.0)</f>
        <v>21</v>
      </c>
      <c r="J511" s="18">
        <f>IFERROR(__xludf.DUMMYFUNCTION("""COMPUTED_VALUE"""),37.0)</f>
        <v>37</v>
      </c>
      <c r="K511" s="18">
        <f>IFERROR(__xludf.DUMMYFUNCTION("""COMPUTED_VALUE"""),30.0)</f>
        <v>30</v>
      </c>
      <c r="L511" s="17">
        <f>IFERROR(__xludf.DUMMYFUNCTION("""COMPUTED_VALUE"""),3.105789664E9)</f>
        <v>3105789664</v>
      </c>
      <c r="M511" s="17" t="str">
        <f>IFERROR(__xludf.DUMMYFUNCTION("""COMPUTED_VALUE"""),"#REF!")</f>
        <v>#REF!</v>
      </c>
      <c r="N511" s="17"/>
      <c r="O511" s="19" t="str">
        <f>IFERROR(__xludf.DUMMYFUNCTION("""COMPUTED_VALUE"""),"")</f>
        <v/>
      </c>
      <c r="P511" s="17" t="b">
        <f>IFERROR(__xludf.DUMMYFUNCTION("""COMPUTED_VALUE"""),FALSE)</f>
        <v>0</v>
      </c>
      <c r="Q511" s="20" t="str">
        <f>IFERROR(__xludf.DUMMYFUNCTION("""COMPUTED_VALUE"""),"")</f>
        <v/>
      </c>
      <c r="R511" s="21" t="str">
        <f>IFERROR(__xludf.DUMMYFUNCTION("""COMPUTED_VALUE"""),"https://drive.google.com/file/d/19LBDGFroWkeXfRpMTC_henC_1Yr-Pu1D/view?usp=drivesdk")</f>
        <v>https://drive.google.com/file/d/19LBDGFroWkeXfRpMTC_henC_1Yr-Pu1D/view?usp=drivesdk</v>
      </c>
    </row>
    <row r="512">
      <c r="A512" s="15">
        <f>IFERROR(__xludf.DUMMYFUNCTION("""COMPUTED_VALUE"""),45013.0)</f>
        <v>45013</v>
      </c>
      <c r="B512" s="16" t="str">
        <f>IFERROR(__xludf.DUMMYFUNCTION("""COMPUTED_VALUE"""),"Envia")</f>
        <v>Envia</v>
      </c>
      <c r="C512" s="15" t="str">
        <f>IFERROR(__xludf.DUMMYFUNCTION("""COMPUTED_VALUE"""),"IBAGUÉ")</f>
        <v>IBAGUÉ</v>
      </c>
      <c r="D512" s="15" t="str">
        <f>IFERROR(__xludf.DUMMYFUNCTION("""COMPUTED_VALUE"""),"BOGOTÁ")</f>
        <v>BOGOTÁ</v>
      </c>
      <c r="E512" s="15" t="str">
        <f>IFERROR(__xludf.DUMMYFUNCTION("""COMPUTED_VALUE"""),"Pan de Waffle")</f>
        <v>Pan de Waffle</v>
      </c>
      <c r="F512" s="17" t="str">
        <f>IFERROR(__xludf.DUMMYFUNCTION("""COMPUTED_VALUE"""),"Calle 10 # 3 - 01 local 2  / Calle 10 # 3 - 01 local 2  / Calle 10 # 3 - 01 local 2")</f>
        <v>Calle 10 # 3 - 01 local 2  / Calle 10 # 3 - 01 local 2  / Calle 10 # 3 - 01 local 2</v>
      </c>
      <c r="G512" s="15" t="str">
        <f>IFERROR(__xludf.DUMMYFUNCTION("""COMPUTED_VALUE"""),"SOY NATURAL")</f>
        <v>SOY NATURAL</v>
      </c>
      <c r="H512" s="18">
        <f>IFERROR(__xludf.DUMMYFUNCTION("""COMPUTED_VALUE"""),9235.0)</f>
        <v>9235</v>
      </c>
      <c r="I512" s="18">
        <f>IFERROR(__xludf.DUMMYFUNCTION("""COMPUTED_VALUE"""),30.0)</f>
        <v>30</v>
      </c>
      <c r="J512" s="18">
        <f>IFERROR(__xludf.DUMMYFUNCTION("""COMPUTED_VALUE"""),40.0)</f>
        <v>40</v>
      </c>
      <c r="K512" s="18">
        <f>IFERROR(__xludf.DUMMYFUNCTION("""COMPUTED_VALUE"""),40.0)</f>
        <v>40</v>
      </c>
      <c r="L512" s="17">
        <f>IFERROR(__xludf.DUMMYFUNCTION("""COMPUTED_VALUE"""),3.04665347E9)</f>
        <v>3046653470</v>
      </c>
      <c r="M512" s="17" t="str">
        <f>IFERROR(__xludf.DUMMYFUNCTION("""COMPUTED_VALUE"""),"#REF!")</f>
        <v>#REF!</v>
      </c>
      <c r="N512" s="17"/>
      <c r="O512" s="19" t="str">
        <f>IFERROR(__xludf.DUMMYFUNCTION("""COMPUTED_VALUE"""),"")</f>
        <v/>
      </c>
      <c r="P512" s="17" t="b">
        <f>IFERROR(__xludf.DUMMYFUNCTION("""COMPUTED_VALUE"""),FALSE)</f>
        <v>0</v>
      </c>
      <c r="Q512" s="20" t="str">
        <f>IFERROR(__xludf.DUMMYFUNCTION("""COMPUTED_VALUE"""),"")</f>
        <v/>
      </c>
      <c r="R512" s="21" t="str">
        <f>IFERROR(__xludf.DUMMYFUNCTION("""COMPUTED_VALUE"""),"https://drive.google.com/file/d/1-RlIUGrP0AsKMYiXXyub3YSVxvkavhWP/view?usp=drivesdk")</f>
        <v>https://drive.google.com/file/d/1-RlIUGrP0AsKMYiXXyub3YSVxvkavhWP/view?usp=drivesdk</v>
      </c>
    </row>
    <row r="513">
      <c r="A513" s="15">
        <f>IFERROR(__xludf.DUMMYFUNCTION("""COMPUTED_VALUE"""),45013.0)</f>
        <v>45013</v>
      </c>
      <c r="B513" s="16" t="str">
        <f>IFERROR(__xludf.DUMMYFUNCTION("""COMPUTED_VALUE"""),"Envia")</f>
        <v>Envia</v>
      </c>
      <c r="C513" s="15" t="str">
        <f>IFERROR(__xludf.DUMMYFUNCTION("""COMPUTED_VALUE"""),"IBAGUÉ")</f>
        <v>IBAGUÉ</v>
      </c>
      <c r="D513" s="15" t="str">
        <f>IFERROR(__xludf.DUMMYFUNCTION("""COMPUTED_VALUE"""),"BOGOTÁ")</f>
        <v>BOGOTÁ</v>
      </c>
      <c r="E513" s="15" t="str">
        <f>IFERROR(__xludf.DUMMYFUNCTION("""COMPUTED_VALUE"""),"Top Spun")</f>
        <v>Top Spun</v>
      </c>
      <c r="F513" s="17" t="str">
        <f>IFERROR(__xludf.DUMMYFUNCTION("""COMPUTED_VALUE"""),"Transversal 15 A #77-102 / casa 46 / Ronda del vergel")</f>
        <v>Transversal 15 A #77-102 / casa 46 / Ronda del vergel</v>
      </c>
      <c r="G513" s="15" t="str">
        <f>IFERROR(__xludf.DUMMYFUNCTION("""COMPUTED_VALUE"""),"Patricia pinto")</f>
        <v>Patricia pinto</v>
      </c>
      <c r="H513" s="18">
        <f>IFERROR(__xludf.DUMMYFUNCTION("""COMPUTED_VALUE"""),9162.0)</f>
        <v>9162</v>
      </c>
      <c r="I513" s="18">
        <f>IFERROR(__xludf.DUMMYFUNCTION("""COMPUTED_VALUE"""),20.0)</f>
        <v>20</v>
      </c>
      <c r="J513" s="18">
        <f>IFERROR(__xludf.DUMMYFUNCTION("""COMPUTED_VALUE"""),14.0)</f>
        <v>14</v>
      </c>
      <c r="K513" s="18">
        <f>IFERROR(__xludf.DUMMYFUNCTION("""COMPUTED_VALUE"""),40.0)</f>
        <v>40</v>
      </c>
      <c r="L513" s="17">
        <f>IFERROR(__xludf.DUMMYFUNCTION("""COMPUTED_VALUE"""),3.162873556E9)</f>
        <v>3162873556</v>
      </c>
      <c r="M513" s="17" t="str">
        <f>IFERROR(__xludf.DUMMYFUNCTION("""COMPUTED_VALUE"""),"#REF!")</f>
        <v>#REF!</v>
      </c>
      <c r="N513" s="17"/>
      <c r="O513" s="19" t="str">
        <f>IFERROR(__xludf.DUMMYFUNCTION("""COMPUTED_VALUE"""),"")</f>
        <v/>
      </c>
      <c r="P513" s="17" t="b">
        <f>IFERROR(__xludf.DUMMYFUNCTION("""COMPUTED_VALUE"""),TRUE)</f>
        <v>1</v>
      </c>
      <c r="Q513" s="20">
        <f>IFERROR(__xludf.DUMMYFUNCTION("""COMPUTED_VALUE"""),45013.59155515046)</f>
        <v>45013.59156</v>
      </c>
      <c r="R513" s="21" t="str">
        <f>IFERROR(__xludf.DUMMYFUNCTION("""COMPUTED_VALUE"""),"https://drive.google.com/file/d/1SV4e3SBA3qxfc2MnrCG2HwDgO2RHjyPz/view?usp=drivesdk")</f>
        <v>https://drive.google.com/file/d/1SV4e3SBA3qxfc2MnrCG2HwDgO2RHjyPz/view?usp=drivesdk</v>
      </c>
    </row>
    <row r="514">
      <c r="A514" s="15">
        <f>IFERROR(__xludf.DUMMYFUNCTION("""COMPUTED_VALUE"""),45013.0)</f>
        <v>45013</v>
      </c>
      <c r="B514" s="16" t="str">
        <f>IFERROR(__xludf.DUMMYFUNCTION("""COMPUTED_VALUE"""),"Envia")</f>
        <v>Envia</v>
      </c>
      <c r="C514" s="15" t="str">
        <f>IFERROR(__xludf.DUMMYFUNCTION("""COMPUTED_VALUE"""),"MEDELLÍN")</f>
        <v>MEDELLÍN</v>
      </c>
      <c r="D514" s="15" t="str">
        <f>IFERROR(__xludf.DUMMYFUNCTION("""COMPUTED_VALUE"""),"BOGOTÁ")</f>
        <v>BOGOTÁ</v>
      </c>
      <c r="E514" s="15" t="str">
        <f>IFERROR(__xludf.DUMMYFUNCTION("""COMPUTED_VALUE"""),"Evamazzita")</f>
        <v>Evamazzita</v>
      </c>
      <c r="F514" s="17" t="str">
        <f>IFERROR(__xludf.DUMMYFUNCTION("""COMPUTED_VALUE"""),"Calle 26 # 43-51    / madera silvestre torre 12 apartamento 1509  / BELLO - al frente de la estación madera por la vía Machado")</f>
        <v>Calle 26 # 43-51    / madera silvestre torre 12 apartamento 1509  / BELLO - al frente de la estación madera por la vía Machado</v>
      </c>
      <c r="G514" s="15" t="str">
        <f>IFERROR(__xludf.DUMMYFUNCTION("""COMPUTED_VALUE"""),"XIMENA RESTREPO MONSALVE")</f>
        <v>XIMENA RESTREPO MONSALVE</v>
      </c>
      <c r="H514" s="18">
        <f>IFERROR(__xludf.DUMMYFUNCTION("""COMPUTED_VALUE"""),9184.0)</f>
        <v>9184</v>
      </c>
      <c r="I514" s="18">
        <f>IFERROR(__xludf.DUMMYFUNCTION("""COMPUTED_VALUE"""),3.0)</f>
        <v>3</v>
      </c>
      <c r="J514" s="18">
        <f>IFERROR(__xludf.DUMMYFUNCTION("""COMPUTED_VALUE"""),20.0)</f>
        <v>20</v>
      </c>
      <c r="K514" s="18">
        <f>IFERROR(__xludf.DUMMYFUNCTION("""COMPUTED_VALUE"""),15.0)</f>
        <v>15</v>
      </c>
      <c r="L514" s="17">
        <f>IFERROR(__xludf.DUMMYFUNCTION("""COMPUTED_VALUE"""),3.146970755E9)</f>
        <v>3146970755</v>
      </c>
      <c r="M514" s="17" t="str">
        <f>IFERROR(__xludf.DUMMYFUNCTION("""COMPUTED_VALUE"""),"#REF!")</f>
        <v>#REF!</v>
      </c>
      <c r="N514" s="17"/>
      <c r="O514" s="19" t="str">
        <f>IFERROR(__xludf.DUMMYFUNCTION("""COMPUTED_VALUE"""),"")</f>
        <v/>
      </c>
      <c r="P514" s="17" t="b">
        <f>IFERROR(__xludf.DUMMYFUNCTION("""COMPUTED_VALUE"""),TRUE)</f>
        <v>1</v>
      </c>
      <c r="Q514" s="20">
        <f>IFERROR(__xludf.DUMMYFUNCTION("""COMPUTED_VALUE"""),45013.59156715278)</f>
        <v>45013.59157</v>
      </c>
      <c r="R514" s="21" t="str">
        <f>IFERROR(__xludf.DUMMYFUNCTION("""COMPUTED_VALUE"""),"https://drive.google.com/file/d/1GRblsLxtp-qFvPnOAQZ6-aCT2yvtjtN_/view?usp=drivesdk")</f>
        <v>https://drive.google.com/file/d/1GRblsLxtp-qFvPnOAQZ6-aCT2yvtjtN_/view?usp=drivesdk</v>
      </c>
    </row>
    <row r="515">
      <c r="A515" s="15">
        <f>IFERROR(__xludf.DUMMYFUNCTION("""COMPUTED_VALUE"""),45013.0)</f>
        <v>45013</v>
      </c>
      <c r="B515" s="16" t="str">
        <f>IFERROR(__xludf.DUMMYFUNCTION("""COMPUTED_VALUE"""),"Envia")</f>
        <v>Envia</v>
      </c>
      <c r="C515" s="15" t="str">
        <f>IFERROR(__xludf.DUMMYFUNCTION("""COMPUTED_VALUE"""),"MEDELLÍN")</f>
        <v>MEDELLÍN</v>
      </c>
      <c r="D515" s="15" t="str">
        <f>IFERROR(__xludf.DUMMYFUNCTION("""COMPUTED_VALUE"""),"BOGOTÁ")</f>
        <v>BOGOTÁ</v>
      </c>
      <c r="E515" s="15" t="str">
        <f>IFERROR(__xludf.DUMMYFUNCTION("""COMPUTED_VALUE"""),"Evamazzita")</f>
        <v>Evamazzita</v>
      </c>
      <c r="F515" s="17" t="str">
        <f>IFERROR(__xludf.DUMMYFUNCTION("""COMPUTED_VALUE"""),"CRA 20 No. 23SUR -140  / CASA 102 CONJUNTO RESIDENCIAL AVILA / ENVIGADO")</f>
        <v>CRA 20 No. 23SUR -140  / CASA 102 CONJUNTO RESIDENCIAL AVILA / ENVIGADO</v>
      </c>
      <c r="G515" s="15" t="str">
        <f>IFERROR(__xludf.DUMMYFUNCTION("""COMPUTED_VALUE"""),"CRISTINA DUQUE JARAMILLO")</f>
        <v>CRISTINA DUQUE JARAMILLO</v>
      </c>
      <c r="H515" s="18">
        <f>IFERROR(__xludf.DUMMYFUNCTION("""COMPUTED_VALUE"""),9186.0)</f>
        <v>9186</v>
      </c>
      <c r="I515" s="18">
        <f>IFERROR(__xludf.DUMMYFUNCTION("""COMPUTED_VALUE"""),3.0)</f>
        <v>3</v>
      </c>
      <c r="J515" s="18">
        <f>IFERROR(__xludf.DUMMYFUNCTION("""COMPUTED_VALUE"""),20.0)</f>
        <v>20</v>
      </c>
      <c r="K515" s="18">
        <f>IFERROR(__xludf.DUMMYFUNCTION("""COMPUTED_VALUE"""),15.0)</f>
        <v>15</v>
      </c>
      <c r="L515" s="17">
        <f>IFERROR(__xludf.DUMMYFUNCTION("""COMPUTED_VALUE"""),3.217000244E9)</f>
        <v>3217000244</v>
      </c>
      <c r="M515" s="17" t="str">
        <f>IFERROR(__xludf.DUMMYFUNCTION("""COMPUTED_VALUE"""),"#REF!")</f>
        <v>#REF!</v>
      </c>
      <c r="N515" s="17"/>
      <c r="O515" s="19" t="str">
        <f>IFERROR(__xludf.DUMMYFUNCTION("""COMPUTED_VALUE"""),"")</f>
        <v/>
      </c>
      <c r="P515" s="17" t="b">
        <f>IFERROR(__xludf.DUMMYFUNCTION("""COMPUTED_VALUE"""),TRUE)</f>
        <v>1</v>
      </c>
      <c r="Q515" s="20">
        <f>IFERROR(__xludf.DUMMYFUNCTION("""COMPUTED_VALUE"""),45014.614765578706)</f>
        <v>45014.61477</v>
      </c>
      <c r="R515" s="22" t="str">
        <f>IFERROR(__xludf.DUMMYFUNCTION("""COMPUTED_VALUE"""),"")</f>
        <v/>
      </c>
    </row>
    <row r="516">
      <c r="A516" s="15">
        <f>IFERROR(__xludf.DUMMYFUNCTION("""COMPUTED_VALUE"""),45013.0)</f>
        <v>45013</v>
      </c>
      <c r="B516" s="16" t="str">
        <f>IFERROR(__xludf.DUMMYFUNCTION("""COMPUTED_VALUE"""),"Envia")</f>
        <v>Envia</v>
      </c>
      <c r="C516" s="15" t="str">
        <f>IFERROR(__xludf.DUMMYFUNCTION("""COMPUTED_VALUE"""),"MEDELLÍN")</f>
        <v>MEDELLÍN</v>
      </c>
      <c r="D516" s="15" t="str">
        <f>IFERROR(__xludf.DUMMYFUNCTION("""COMPUTED_VALUE"""),"BOGOTÁ")</f>
        <v>BOGOTÁ</v>
      </c>
      <c r="E516" s="15" t="str">
        <f>IFERROR(__xludf.DUMMYFUNCTION("""COMPUTED_VALUE"""),"Frubits")</f>
        <v>Frubits</v>
      </c>
      <c r="F516" s="17" t="str">
        <f>IFERROR(__xludf.DUMMYFUNCTION("""COMPUTED_VALUE"""),"Cra. 70 #80-154 robledo córdoba / Cra. 70 #80-154 robledo córdoba / Cra. 70 #80-154 robledo córdoba")</f>
        <v>Cra. 70 #80-154 robledo córdoba / Cra. 70 #80-154 robledo córdoba / Cra. 70 #80-154 robledo córdoba</v>
      </c>
      <c r="G516" s="15" t="str">
        <f>IFERROR(__xludf.DUMMYFUNCTION("""COMPUTED_VALUE"""),"José Daniel Martinez")</f>
        <v>José Daniel Martinez</v>
      </c>
      <c r="H516" s="18">
        <f>IFERROR(__xludf.DUMMYFUNCTION("""COMPUTED_VALUE"""),9163.0)</f>
        <v>9163</v>
      </c>
      <c r="I516" s="18">
        <f>IFERROR(__xludf.DUMMYFUNCTION("""COMPUTED_VALUE"""),2.0)</f>
        <v>2</v>
      </c>
      <c r="J516" s="18">
        <f>IFERROR(__xludf.DUMMYFUNCTION("""COMPUTED_VALUE"""),2.0)</f>
        <v>2</v>
      </c>
      <c r="K516" s="18">
        <f>IFERROR(__xludf.DUMMYFUNCTION("""COMPUTED_VALUE"""),2.0)</f>
        <v>2</v>
      </c>
      <c r="L516" s="17">
        <f>IFERROR(__xludf.DUMMYFUNCTION("""COMPUTED_VALUE"""),3.023315479E9)</f>
        <v>3023315479</v>
      </c>
      <c r="M516" s="17" t="str">
        <f>IFERROR(__xludf.DUMMYFUNCTION("""COMPUTED_VALUE"""),"#REF!")</f>
        <v>#REF!</v>
      </c>
      <c r="N516" s="17"/>
      <c r="O516" s="19" t="str">
        <f>IFERROR(__xludf.DUMMYFUNCTION("""COMPUTED_VALUE"""),"")</f>
        <v/>
      </c>
      <c r="P516" s="17" t="b">
        <f>IFERROR(__xludf.DUMMYFUNCTION("""COMPUTED_VALUE"""),FALSE)</f>
        <v>0</v>
      </c>
      <c r="Q516" s="20" t="str">
        <f>IFERROR(__xludf.DUMMYFUNCTION("""COMPUTED_VALUE"""),"")</f>
        <v/>
      </c>
      <c r="R516" s="21" t="str">
        <f>IFERROR(__xludf.DUMMYFUNCTION("""COMPUTED_VALUE"""),"https://drive.google.com/file/d/1ETaVOGKwuuY-MFtTm_DMcvZ4FKQ6hEI0/view?usp=drivesdk")</f>
        <v>https://drive.google.com/file/d/1ETaVOGKwuuY-MFtTm_DMcvZ4FKQ6hEI0/view?usp=drivesdk</v>
      </c>
    </row>
    <row r="517">
      <c r="A517" s="15">
        <f>IFERROR(__xludf.DUMMYFUNCTION("""COMPUTED_VALUE"""),45013.0)</f>
        <v>45013</v>
      </c>
      <c r="B517" s="16" t="str">
        <f>IFERROR(__xludf.DUMMYFUNCTION("""COMPUTED_VALUE"""),"Envia")</f>
        <v>Envia</v>
      </c>
      <c r="C517" s="15" t="str">
        <f>IFERROR(__xludf.DUMMYFUNCTION("""COMPUTED_VALUE"""),"MEDELLÍN")</f>
        <v>MEDELLÍN</v>
      </c>
      <c r="D517" s="15" t="str">
        <f>IFERROR(__xludf.DUMMYFUNCTION("""COMPUTED_VALUE"""),"BOGOTÁ")</f>
        <v>BOGOTÁ</v>
      </c>
      <c r="E517" s="15" t="str">
        <f>IFERROR(__xludf.DUMMYFUNCTION("""COMPUTED_VALUE"""),"Loomifoods")</f>
        <v>Loomifoods</v>
      </c>
      <c r="F517" s="17" t="str">
        <f>IFERROR(__xludf.DUMMYFUNCTION("""COMPUTED_VALUE"""),"Cra 15a no. 10b - 240 / Vigía de los Bosques / Apto 203")</f>
        <v>Cra 15a no. 10b - 240 / Vigía de los Bosques / Apto 203</v>
      </c>
      <c r="G517" s="15" t="str">
        <f>IFERROR(__xludf.DUMMYFUNCTION("""COMPUTED_VALUE"""),"Catalina Saldarriaga")</f>
        <v>Catalina Saldarriaga</v>
      </c>
      <c r="H517" s="18">
        <f>IFERROR(__xludf.DUMMYFUNCTION("""COMPUTED_VALUE"""),9244.0)</f>
        <v>9244</v>
      </c>
      <c r="I517" s="18">
        <f>IFERROR(__xludf.DUMMYFUNCTION("""COMPUTED_VALUE"""),16.0)</f>
        <v>16</v>
      </c>
      <c r="J517" s="18">
        <f>IFERROR(__xludf.DUMMYFUNCTION("""COMPUTED_VALUE"""),5.0)</f>
        <v>5</v>
      </c>
      <c r="K517" s="18">
        <f>IFERROR(__xludf.DUMMYFUNCTION("""COMPUTED_VALUE"""),20.0)</f>
        <v>20</v>
      </c>
      <c r="L517" s="17">
        <f>IFERROR(__xludf.DUMMYFUNCTION("""COMPUTED_VALUE"""),3.153484788E9)</f>
        <v>3153484788</v>
      </c>
      <c r="M517" s="17" t="str">
        <f>IFERROR(__xludf.DUMMYFUNCTION("""COMPUTED_VALUE"""),"#REF!")</f>
        <v>#REF!</v>
      </c>
      <c r="N517" s="17"/>
      <c r="O517" s="19" t="str">
        <f>IFERROR(__xludf.DUMMYFUNCTION("""COMPUTED_VALUE"""),"")</f>
        <v/>
      </c>
      <c r="P517" s="17" t="b">
        <f>IFERROR(__xludf.DUMMYFUNCTION("""COMPUTED_VALUE"""),TRUE)</f>
        <v>1</v>
      </c>
      <c r="Q517" s="20">
        <f>IFERROR(__xludf.DUMMYFUNCTION("""COMPUTED_VALUE"""),45013.6374100463)</f>
        <v>45013.63741</v>
      </c>
      <c r="R517" s="21" t="str">
        <f>IFERROR(__xludf.DUMMYFUNCTION("""COMPUTED_VALUE"""),"https://drive.google.com/file/d/1Yl6pQyVQfqPsrtyZXmsL1GT5spsK0SuJ/view?usp=drivesdk")</f>
        <v>https://drive.google.com/file/d/1Yl6pQyVQfqPsrtyZXmsL1GT5spsK0SuJ/view?usp=drivesdk</v>
      </c>
    </row>
    <row r="518">
      <c r="A518" s="15">
        <f>IFERROR(__xludf.DUMMYFUNCTION("""COMPUTED_VALUE"""),45013.0)</f>
        <v>45013</v>
      </c>
      <c r="B518" s="16" t="str">
        <f>IFERROR(__xludf.DUMMYFUNCTION("""COMPUTED_VALUE"""),"Envia")</f>
        <v>Envia</v>
      </c>
      <c r="C518" s="15" t="str">
        <f>IFERROR(__xludf.DUMMYFUNCTION("""COMPUTED_VALUE"""),"MEDELLÍN")</f>
        <v>MEDELLÍN</v>
      </c>
      <c r="D518" s="15" t="str">
        <f>IFERROR(__xludf.DUMMYFUNCTION("""COMPUTED_VALUE"""),"BOGOTÁ")</f>
        <v>BOGOTÁ</v>
      </c>
      <c r="E518" s="15" t="str">
        <f>IFERROR(__xludf.DUMMYFUNCTION("""COMPUTED_VALUE"""),"Lunchy Kids")</f>
        <v>Lunchy Kids</v>
      </c>
      <c r="F518" s="17" t="str">
        <f>IFERROR(__xludf.DUMMYFUNCTION("""COMPUTED_VALUE"""),"Calle 7 # 81-40  / Unidad Cantabria Plaza. Apto 608 Bloque 2 / Belén Loma de los Bernal")</f>
        <v>Calle 7 # 81-40  / Unidad Cantabria Plaza. Apto 608 Bloque 2 / Belén Loma de los Bernal</v>
      </c>
      <c r="G518" s="15" t="str">
        <f>IFERROR(__xludf.DUMMYFUNCTION("""COMPUTED_VALUE"""),"Ofelia Echeverri")</f>
        <v>Ofelia Echeverri</v>
      </c>
      <c r="H518" s="18">
        <f>IFERROR(__xludf.DUMMYFUNCTION("""COMPUTED_VALUE"""),9177.0)</f>
        <v>9177</v>
      </c>
      <c r="I518" s="18">
        <f>IFERROR(__xludf.DUMMYFUNCTION("""COMPUTED_VALUE"""),24.0)</f>
        <v>24</v>
      </c>
      <c r="J518" s="18">
        <f>IFERROR(__xludf.DUMMYFUNCTION("""COMPUTED_VALUE"""),31.0)</f>
        <v>31</v>
      </c>
      <c r="K518" s="18">
        <f>IFERROR(__xludf.DUMMYFUNCTION("""COMPUTED_VALUE"""),20.0)</f>
        <v>20</v>
      </c>
      <c r="L518" s="17">
        <f>IFERROR(__xludf.DUMMYFUNCTION("""COMPUTED_VALUE"""),3.006552622E9)</f>
        <v>3006552622</v>
      </c>
      <c r="M518" s="17" t="str">
        <f>IFERROR(__xludf.DUMMYFUNCTION("""COMPUTED_VALUE"""),"#REF!")</f>
        <v>#REF!</v>
      </c>
      <c r="N518" s="17"/>
      <c r="O518" s="19" t="str">
        <f>IFERROR(__xludf.DUMMYFUNCTION("""COMPUTED_VALUE"""),"")</f>
        <v/>
      </c>
      <c r="P518" s="17" t="b">
        <f>IFERROR(__xludf.DUMMYFUNCTION("""COMPUTED_VALUE"""),TRUE)</f>
        <v>1</v>
      </c>
      <c r="Q518" s="20">
        <f>IFERROR(__xludf.DUMMYFUNCTION("""COMPUTED_VALUE"""),45014.614765578706)</f>
        <v>45014.61477</v>
      </c>
      <c r="R518" s="21" t="str">
        <f>IFERROR(__xludf.DUMMYFUNCTION("""COMPUTED_VALUE"""),"https://drive.google.com/file/d/1xTgHu0j0kIxOo9jObpGI75Pj26FJIri_/view?usp=drivesdk")</f>
        <v>https://drive.google.com/file/d/1xTgHu0j0kIxOo9jObpGI75Pj26FJIri_/view?usp=drivesdk</v>
      </c>
    </row>
    <row r="519">
      <c r="A519" s="15">
        <f>IFERROR(__xludf.DUMMYFUNCTION("""COMPUTED_VALUE"""),45013.0)</f>
        <v>45013</v>
      </c>
      <c r="B519" s="16" t="str">
        <f>IFERROR(__xludf.DUMMYFUNCTION("""COMPUTED_VALUE"""),"Envia")</f>
        <v>Envia</v>
      </c>
      <c r="C519" s="15" t="str">
        <f>IFERROR(__xludf.DUMMYFUNCTION("""COMPUTED_VALUE"""),"PEREIRA")</f>
        <v>PEREIRA</v>
      </c>
      <c r="D519" s="15" t="str">
        <f>IFERROR(__xludf.DUMMYFUNCTION("""COMPUTED_VALUE"""),"MEDELLÍN")</f>
        <v>MEDELLÍN</v>
      </c>
      <c r="E519" s="15" t="str">
        <f>IFERROR(__xludf.DUMMYFUNCTION("""COMPUTED_VALUE"""),"Puro Verde")</f>
        <v>Puro Verde</v>
      </c>
      <c r="F519" s="17" t="str">
        <f>IFERROR(__xludf.DUMMYFUNCTION("""COMPUTED_VALUE"""),"CALLE 17 # 8-49. / LOCAL 63A. ENTREGAR 9 - 4 PM / SOTANO CENTRO COMERCIAL EL GRAN SAN")</f>
        <v>CALLE 17 # 8-49. / LOCAL 63A. ENTREGAR 9 - 4 PM / SOTANO CENTRO COMERCIAL EL GRAN SAN</v>
      </c>
      <c r="G519" s="15" t="str">
        <f>IFERROR(__xludf.DUMMYFUNCTION("""COMPUTED_VALUE"""),"MARTHA LUCIA ZULUAGA PEREZ")</f>
        <v>MARTHA LUCIA ZULUAGA PEREZ</v>
      </c>
      <c r="H519" s="18">
        <f>IFERROR(__xludf.DUMMYFUNCTION("""COMPUTED_VALUE"""),9251.0)</f>
        <v>9251</v>
      </c>
      <c r="I519" s="18">
        <f>IFERROR(__xludf.DUMMYFUNCTION("""COMPUTED_VALUE"""),45034.0)</f>
        <v>45034</v>
      </c>
      <c r="J519" s="18" t="str">
        <f>IFERROR(__xludf.DUMMYFUNCTION("""COMPUTED_VALUE"""),"32.2")</f>
        <v>32.2</v>
      </c>
      <c r="K519" s="18" t="str">
        <f>IFERROR(__xludf.DUMMYFUNCTION("""COMPUTED_VALUE"""),"39.4")</f>
        <v>39.4</v>
      </c>
      <c r="L519" s="17">
        <f>IFERROR(__xludf.DUMMYFUNCTION("""COMPUTED_VALUE"""),3.165308573E9)</f>
        <v>3165308573</v>
      </c>
      <c r="M519" s="17" t="str">
        <f>IFERROR(__xludf.DUMMYFUNCTION("""COMPUTED_VALUE"""),"#REF!")</f>
        <v>#REF!</v>
      </c>
      <c r="N519" s="17"/>
      <c r="O519" s="19" t="str">
        <f>IFERROR(__xludf.DUMMYFUNCTION("""COMPUTED_VALUE"""),"")</f>
        <v/>
      </c>
      <c r="P519" s="17" t="b">
        <f>IFERROR(__xludf.DUMMYFUNCTION("""COMPUTED_VALUE"""),FALSE)</f>
        <v>0</v>
      </c>
      <c r="Q519" s="20" t="str">
        <f>IFERROR(__xludf.DUMMYFUNCTION("""COMPUTED_VALUE"""),"")</f>
        <v/>
      </c>
      <c r="R519" s="22" t="str">
        <f>IFERROR(__xludf.DUMMYFUNCTION("""COMPUTED_VALUE"""),"")</f>
        <v/>
      </c>
    </row>
    <row r="520">
      <c r="A520" s="15" t="str">
        <f>IFERROR(__xludf.DUMMYFUNCTION("""COMPUTED_VALUE"""),"")</f>
        <v/>
      </c>
      <c r="B520" s="16" t="str">
        <f>IFERROR(__xludf.DUMMYFUNCTION("""COMPUTED_VALUE"""),"")</f>
        <v/>
      </c>
      <c r="C520" s="15" t="str">
        <f>IFERROR(__xludf.DUMMYFUNCTION("""COMPUTED_VALUE"""),"")</f>
        <v/>
      </c>
      <c r="D520" s="15" t="str">
        <f>IFERROR(__xludf.DUMMYFUNCTION("""COMPUTED_VALUE"""),"")</f>
        <v/>
      </c>
      <c r="E520" s="15" t="str">
        <f>IFERROR(__xludf.DUMMYFUNCTION("""COMPUTED_VALUE"""),"")</f>
        <v/>
      </c>
      <c r="F520" s="17" t="str">
        <f>IFERROR(__xludf.DUMMYFUNCTION("""COMPUTED_VALUE"""),"")</f>
        <v/>
      </c>
      <c r="G520" s="15" t="str">
        <f>IFERROR(__xludf.DUMMYFUNCTION("""COMPUTED_VALUE"""),"")</f>
        <v/>
      </c>
      <c r="H520" s="18" t="str">
        <f>IFERROR(__xludf.DUMMYFUNCTION("""COMPUTED_VALUE"""),"")</f>
        <v/>
      </c>
      <c r="I520" s="18" t="str">
        <f>IFERROR(__xludf.DUMMYFUNCTION("""COMPUTED_VALUE"""),"")</f>
        <v/>
      </c>
      <c r="J520" s="18" t="str">
        <f>IFERROR(__xludf.DUMMYFUNCTION("""COMPUTED_VALUE"""),"")</f>
        <v/>
      </c>
      <c r="K520" s="17" t="str">
        <f>IFERROR(__xludf.DUMMYFUNCTION("""COMPUTED_VALUE"""),"")</f>
        <v/>
      </c>
      <c r="L520" s="17" t="str">
        <f>IFERROR(__xludf.DUMMYFUNCTION("""COMPUTED_VALUE"""),"")</f>
        <v/>
      </c>
      <c r="M520" s="17" t="str">
        <f>IFERROR(__xludf.DUMMYFUNCTION("""COMPUTED_VALUE"""),"")</f>
        <v/>
      </c>
      <c r="N520" s="19" t="str">
        <f>IFERROR(__xludf.DUMMYFUNCTION("""COMPUTED_VALUE"""),"")</f>
        <v/>
      </c>
      <c r="O520" s="19" t="str">
        <f>IFERROR(__xludf.DUMMYFUNCTION("""COMPUTED_VALUE"""),"")</f>
        <v/>
      </c>
      <c r="P520" s="17" t="str">
        <f>IFERROR(__xludf.DUMMYFUNCTION("""COMPUTED_VALUE"""),"")</f>
        <v/>
      </c>
      <c r="Q520" s="20" t="str">
        <f>IFERROR(__xludf.DUMMYFUNCTION("""COMPUTED_VALUE"""),"")</f>
        <v/>
      </c>
      <c r="R520" s="22" t="str">
        <f>IFERROR(__xludf.DUMMYFUNCTION("""COMPUTED_VALUE"""),"")</f>
        <v/>
      </c>
    </row>
    <row r="521">
      <c r="A521" s="15">
        <f>IFERROR(__xludf.DUMMYFUNCTION("""COMPUTED_VALUE"""),45013.0)</f>
        <v>45013</v>
      </c>
      <c r="B521" s="16" t="str">
        <f>IFERROR(__xludf.DUMMYFUNCTION("""COMPUTED_VALUE"""),"Jesus Manuel Herrera Medina ")</f>
        <v>Jesus Manuel Herrera Medina </v>
      </c>
      <c r="C521" s="15" t="str">
        <f>IFERROR(__xludf.DUMMYFUNCTION("""COMPUTED_VALUE"""),"BUCARAMANGA")</f>
        <v>BUCARAMANGA</v>
      </c>
      <c r="D521" s="15" t="str">
        <f>IFERROR(__xludf.DUMMYFUNCTION("""COMPUTED_VALUE"""),"BOGOTÁ")</f>
        <v>BOGOTÁ</v>
      </c>
      <c r="E521" s="15" t="str">
        <f>IFERROR(__xludf.DUMMYFUNCTION("""COMPUTED_VALUE"""),"Ins. Alimento Vital")</f>
        <v>Ins. Alimento Vital</v>
      </c>
      <c r="F521" s="17" t="str">
        <f>IFERROR(__xludf.DUMMYFUNCTION("""COMPUTED_VALUE"""),"CL 31 30 08  / APTO 501 / AURORA ROYAL")</f>
        <v>CL 31 30 08  / APTO 501 / AURORA ROYAL</v>
      </c>
      <c r="G521" s="15" t="str">
        <f>IFERROR(__xludf.DUMMYFUNCTION("""COMPUTED_VALUE"""),"LARRY ALBERTO LOPEZ MACANA")</f>
        <v>LARRY ALBERTO LOPEZ MACANA</v>
      </c>
      <c r="H521" s="18">
        <f>IFERROR(__xludf.DUMMYFUNCTION("""COMPUTED_VALUE"""),9233.0)</f>
        <v>9233</v>
      </c>
      <c r="I521" s="18">
        <f>IFERROR(__xludf.DUMMYFUNCTION("""COMPUTED_VALUE"""),100.0)</f>
        <v>100</v>
      </c>
      <c r="J521" s="18">
        <f>IFERROR(__xludf.DUMMYFUNCTION("""COMPUTED_VALUE"""),10.0)</f>
        <v>10</v>
      </c>
      <c r="K521" s="18">
        <f>IFERROR(__xludf.DUMMYFUNCTION("""COMPUTED_VALUE"""),50.0)</f>
        <v>50</v>
      </c>
      <c r="L521" s="17">
        <f>IFERROR(__xludf.DUMMYFUNCTION("""COMPUTED_VALUE"""),3.185709801E9)</f>
        <v>3185709801</v>
      </c>
      <c r="M521" s="17" t="str">
        <f>IFERROR(__xludf.DUMMYFUNCTION("""COMPUTED_VALUE"""),"#REF!")</f>
        <v>#REF!</v>
      </c>
      <c r="N521" s="17"/>
      <c r="O521" s="19" t="str">
        <f>IFERROR(__xludf.DUMMYFUNCTION("""COMPUTED_VALUE"""),"")</f>
        <v/>
      </c>
      <c r="P521" s="17" t="b">
        <f>IFERROR(__xludf.DUMMYFUNCTION("""COMPUTED_VALUE"""),FALSE)</f>
        <v>0</v>
      </c>
      <c r="Q521" s="20" t="str">
        <f>IFERROR(__xludf.DUMMYFUNCTION("""COMPUTED_VALUE"""),"")</f>
        <v/>
      </c>
      <c r="R521" s="21" t="str">
        <f>IFERROR(__xludf.DUMMYFUNCTION("""COMPUTED_VALUE"""),"https://drive.google.com/file/d/1JgF8XHH5O4qiHpGsKue818A8AjK_QWOS/view?usp=drivesdk")</f>
        <v>https://drive.google.com/file/d/1JgF8XHH5O4qiHpGsKue818A8AjK_QWOS/view?usp=drivesdk</v>
      </c>
    </row>
    <row r="522">
      <c r="A522" s="15">
        <f>IFERROR(__xludf.DUMMYFUNCTION("""COMPUTED_VALUE"""),45013.0)</f>
        <v>45013</v>
      </c>
      <c r="B522" s="16" t="str">
        <f>IFERROR(__xludf.DUMMYFUNCTION("""COMPUTED_VALUE"""),"Jesus Manuel Herrera Medina ")</f>
        <v>Jesus Manuel Herrera Medina </v>
      </c>
      <c r="C522" s="15" t="str">
        <f>IFERROR(__xludf.DUMMYFUNCTION("""COMPUTED_VALUE"""),"BUCARAMANGA")</f>
        <v>BUCARAMANGA</v>
      </c>
      <c r="D522" s="15" t="str">
        <f>IFERROR(__xludf.DUMMYFUNCTION("""COMPUTED_VALUE"""),"BOGOTÁ")</f>
        <v>BOGOTÁ</v>
      </c>
      <c r="E522" s="15" t="str">
        <f>IFERROR(__xludf.DUMMYFUNCTION("""COMPUTED_VALUE"""),"Ins. Alimento Vital")</f>
        <v>Ins. Alimento Vital</v>
      </c>
      <c r="F522" s="17" t="str">
        <f>IFERROR(__xludf.DUMMYFUNCTION("""COMPUTED_VALUE"""),"CR 48 30 21 / TORRE 1 AP 204 EDI BOSQUES DEL VENADO / EDIFICIO BOSQUES DEL VENADO EN BUCARAMANGA")</f>
        <v>CR 48 30 21 / TORRE 1 AP 204 EDI BOSQUES DEL VENADO / EDIFICIO BOSQUES DEL VENADO EN BUCARAMANGA</v>
      </c>
      <c r="G522" s="15" t="str">
        <f>IFERROR(__xludf.DUMMYFUNCTION("""COMPUTED_VALUE"""),"LEIDY CATERINE PATIÑO RODRIGUEZ")</f>
        <v>LEIDY CATERINE PATIÑO RODRIGUEZ</v>
      </c>
      <c r="H522" s="18">
        <f>IFERROR(__xludf.DUMMYFUNCTION("""COMPUTED_VALUE"""),9200.0)</f>
        <v>9200</v>
      </c>
      <c r="I522" s="18">
        <f>IFERROR(__xludf.DUMMYFUNCTION("""COMPUTED_VALUE"""),100.0)</f>
        <v>100</v>
      </c>
      <c r="J522" s="18">
        <f>IFERROR(__xludf.DUMMYFUNCTION("""COMPUTED_VALUE"""),10.0)</f>
        <v>10</v>
      </c>
      <c r="K522" s="18">
        <f>IFERROR(__xludf.DUMMYFUNCTION("""COMPUTED_VALUE"""),18.0)</f>
        <v>18</v>
      </c>
      <c r="L522" s="17">
        <f>IFERROR(__xludf.DUMMYFUNCTION("""COMPUTED_VALUE"""),3.132936789E9)</f>
        <v>3132936789</v>
      </c>
      <c r="M522" s="17" t="str">
        <f>IFERROR(__xludf.DUMMYFUNCTION("""COMPUTED_VALUE"""),"#REF!")</f>
        <v>#REF!</v>
      </c>
      <c r="N522" s="17"/>
      <c r="O522" s="19" t="str">
        <f>IFERROR(__xludf.DUMMYFUNCTION("""COMPUTED_VALUE"""),"")</f>
        <v/>
      </c>
      <c r="P522" s="17" t="b">
        <f>IFERROR(__xludf.DUMMYFUNCTION("""COMPUTED_VALUE"""),FALSE)</f>
        <v>0</v>
      </c>
      <c r="Q522" s="20" t="str">
        <f>IFERROR(__xludf.DUMMYFUNCTION("""COMPUTED_VALUE"""),"")</f>
        <v/>
      </c>
      <c r="R522" s="21" t="str">
        <f>IFERROR(__xludf.DUMMYFUNCTION("""COMPUTED_VALUE"""),"https://drive.google.com/file/d/1DQRRGkgBPVoKsoygs-mKiu-Cd4GEKrAb/view?usp=drivesdk")</f>
        <v>https://drive.google.com/file/d/1DQRRGkgBPVoKsoygs-mKiu-Cd4GEKrAb/view?usp=drivesdk</v>
      </c>
    </row>
    <row r="523">
      <c r="A523" s="15">
        <f>IFERROR(__xludf.DUMMYFUNCTION("""COMPUTED_VALUE"""),45013.0)</f>
        <v>45013</v>
      </c>
      <c r="B523" s="16" t="str">
        <f>IFERROR(__xludf.DUMMYFUNCTION("""COMPUTED_VALUE"""),"Jesus Manuel Herrera Medina ")</f>
        <v>Jesus Manuel Herrera Medina </v>
      </c>
      <c r="C523" s="15" t="str">
        <f>IFERROR(__xludf.DUMMYFUNCTION("""COMPUTED_VALUE"""),"BUCARAMANGA")</f>
        <v>BUCARAMANGA</v>
      </c>
      <c r="D523" s="15" t="str">
        <f>IFERROR(__xludf.DUMMYFUNCTION("""COMPUTED_VALUE"""),"BOGOTÁ")</f>
        <v>BOGOTÁ</v>
      </c>
      <c r="E523" s="15" t="str">
        <f>IFERROR(__xludf.DUMMYFUNCTION("""COMPUTED_VALUE"""),"Pan de Waffle")</f>
        <v>Pan de Waffle</v>
      </c>
      <c r="F523" s="17" t="str">
        <f>IFERROR(__xludf.DUMMYFUNCTION("""COMPUTED_VALUE"""),"Carrera 35a # 54 - 113 / Carrera 35a # 54 - 113 / Carrera 35a # 54 - 113")</f>
        <v>Carrera 35a # 54 - 113 / Carrera 35a # 54 - 113 / Carrera 35a # 54 - 113</v>
      </c>
      <c r="G523" s="15" t="str">
        <f>IFERROR(__xludf.DUMMYFUNCTION("""COMPUTED_VALUE"""),"Foodology")</f>
        <v>Foodology</v>
      </c>
      <c r="H523" s="18">
        <f>IFERROR(__xludf.DUMMYFUNCTION("""COMPUTED_VALUE"""),9140.0)</f>
        <v>9140</v>
      </c>
      <c r="I523" s="18">
        <f>IFERROR(__xludf.DUMMYFUNCTION("""COMPUTED_VALUE"""),40.0)</f>
        <v>40</v>
      </c>
      <c r="J523" s="18">
        <f>IFERROR(__xludf.DUMMYFUNCTION("""COMPUTED_VALUE"""),20.0)</f>
        <v>20</v>
      </c>
      <c r="K523" s="18">
        <f>IFERROR(__xludf.DUMMYFUNCTION("""COMPUTED_VALUE"""),30.0)</f>
        <v>30</v>
      </c>
      <c r="L523" s="17">
        <f>IFERROR(__xludf.DUMMYFUNCTION("""COMPUTED_VALUE"""),3.017001909E9)</f>
        <v>3017001909</v>
      </c>
      <c r="M523" s="17" t="str">
        <f>IFERROR(__xludf.DUMMYFUNCTION("""COMPUTED_VALUE"""),"#REF!")</f>
        <v>#REF!</v>
      </c>
      <c r="N523" s="17"/>
      <c r="O523" s="19" t="str">
        <f>IFERROR(__xludf.DUMMYFUNCTION("""COMPUTED_VALUE"""),"")</f>
        <v/>
      </c>
      <c r="P523" s="17" t="b">
        <f>IFERROR(__xludf.DUMMYFUNCTION("""COMPUTED_VALUE"""),FALSE)</f>
        <v>0</v>
      </c>
      <c r="Q523" s="20" t="str">
        <f>IFERROR(__xludf.DUMMYFUNCTION("""COMPUTED_VALUE"""),"")</f>
        <v/>
      </c>
      <c r="R523" s="21" t="str">
        <f>IFERROR(__xludf.DUMMYFUNCTION("""COMPUTED_VALUE"""),"https://drive.google.com/file/d/1U3_JTG4kGLsttbQtXUdBg25PTHjbwRgU/view?usp=drivesdk")</f>
        <v>https://drive.google.com/file/d/1U3_JTG4kGLsttbQtXUdBg25PTHjbwRgU/view?usp=drivesdk</v>
      </c>
    </row>
    <row r="524">
      <c r="A524" s="15">
        <f>IFERROR(__xludf.DUMMYFUNCTION("""COMPUTED_VALUE"""),45013.0)</f>
        <v>45013</v>
      </c>
      <c r="B524" s="16" t="str">
        <f>IFERROR(__xludf.DUMMYFUNCTION("""COMPUTED_VALUE"""),"Jesus Manuel Herrera Medina ")</f>
        <v>Jesus Manuel Herrera Medina </v>
      </c>
      <c r="C524" s="15" t="str">
        <f>IFERROR(__xludf.DUMMYFUNCTION("""COMPUTED_VALUE"""),"BUCARAMANGA")</f>
        <v>BUCARAMANGA</v>
      </c>
      <c r="D524" s="15" t="str">
        <f>IFERROR(__xludf.DUMMYFUNCTION("""COMPUTED_VALUE"""),"BOGOTÁ")</f>
        <v>BOGOTÁ</v>
      </c>
      <c r="E524" s="15" t="str">
        <f>IFERROR(__xludf.DUMMYFUNCTION("""COMPUTED_VALUE"""),"Spirulina Fresca")</f>
        <v>Spirulina Fresca</v>
      </c>
      <c r="F524" s="17" t="str">
        <f>IFERROR(__xludf.DUMMYFUNCTION("""COMPUTED_VALUE"""),"Carrera 23 nuemro 37-11 Bucaramanga / apartamento 304 edificio Bolivar plaza. Parque bolivar.  / Parque bolivar")</f>
        <v>Carrera 23 nuemro 37-11 Bucaramanga / apartamento 304 edificio Bolivar plaza. Parque bolivar.  / Parque bolivar</v>
      </c>
      <c r="G524" s="15" t="str">
        <f>IFERROR(__xludf.DUMMYFUNCTION("""COMPUTED_VALUE"""),"Carolina Santamaría")</f>
        <v>Carolina Santamaría</v>
      </c>
      <c r="H524" s="18">
        <f>IFERROR(__xludf.DUMMYFUNCTION("""COMPUTED_VALUE"""),9154.0)</f>
        <v>9154</v>
      </c>
      <c r="I524" s="18">
        <f>IFERROR(__xludf.DUMMYFUNCTION("""COMPUTED_VALUE"""),12.0)</f>
        <v>12</v>
      </c>
      <c r="J524" s="18">
        <f>IFERROR(__xludf.DUMMYFUNCTION("""COMPUTED_VALUE"""),12.0)</f>
        <v>12</v>
      </c>
      <c r="K524" s="18">
        <f>IFERROR(__xludf.DUMMYFUNCTION("""COMPUTED_VALUE"""),22.0)</f>
        <v>22</v>
      </c>
      <c r="L524" s="17">
        <f>IFERROR(__xludf.DUMMYFUNCTION("""COMPUTED_VALUE"""),3.013292715E9)</f>
        <v>3013292715</v>
      </c>
      <c r="M524" s="17" t="str">
        <f>IFERROR(__xludf.DUMMYFUNCTION("""COMPUTED_VALUE"""),"#REF!")</f>
        <v>#REF!</v>
      </c>
      <c r="N524" s="17"/>
      <c r="O524" s="19" t="str">
        <f>IFERROR(__xludf.DUMMYFUNCTION("""COMPUTED_VALUE"""),"")</f>
        <v/>
      </c>
      <c r="P524" s="17" t="b">
        <f>IFERROR(__xludf.DUMMYFUNCTION("""COMPUTED_VALUE"""),FALSE)</f>
        <v>0</v>
      </c>
      <c r="Q524" s="20" t="str">
        <f>IFERROR(__xludf.DUMMYFUNCTION("""COMPUTED_VALUE"""),"")</f>
        <v/>
      </c>
      <c r="R524" s="21" t="str">
        <f>IFERROR(__xludf.DUMMYFUNCTION("""COMPUTED_VALUE"""),"https://drive.google.com/file/d/1dD_GIouBqNB74sfrG93WopH2qbjMikfq/view?usp=drivesdk")</f>
        <v>https://drive.google.com/file/d/1dD_GIouBqNB74sfrG93WopH2qbjMikfq/view?usp=drivesdk</v>
      </c>
    </row>
    <row r="525">
      <c r="A525" s="15">
        <f>IFERROR(__xludf.DUMMYFUNCTION("""COMPUTED_VALUE"""),45013.0)</f>
        <v>45013</v>
      </c>
      <c r="B525" s="16" t="str">
        <f>IFERROR(__xludf.DUMMYFUNCTION("""COMPUTED_VALUE"""),"Jesus Manuel Herrera Medina ")</f>
        <v>Jesus Manuel Herrera Medina </v>
      </c>
      <c r="C525" s="15" t="str">
        <f>IFERROR(__xludf.DUMMYFUNCTION("""COMPUTED_VALUE"""),"BUCARAMANGA")</f>
        <v>BUCARAMANGA</v>
      </c>
      <c r="D525" s="15" t="str">
        <f>IFERROR(__xludf.DUMMYFUNCTION("""COMPUTED_VALUE"""),"MEDELLÍN")</f>
        <v>MEDELLÍN</v>
      </c>
      <c r="E525" s="15" t="str">
        <f>IFERROR(__xludf.DUMMYFUNCTION("""COMPUTED_VALUE"""),"Baby Chef")</f>
        <v>Baby Chef</v>
      </c>
      <c r="F525" s="17" t="str">
        <f>IFERROR(__xludf.DUMMYFUNCTION("""COMPUTED_VALUE"""),"Calle 42#34-54 Apto 203 Bucaramanga  Santander Colombia / Calle 42#34-54 Apto 203 Bucaramanga  Santander Colombia / Calle 42#34-54 Apto 203 Bucaramanga  Santander Colombia")</f>
        <v>Calle 42#34-54 Apto 203 Bucaramanga  Santander Colombia / Calle 42#34-54 Apto 203 Bucaramanga  Santander Colombia / Calle 42#34-54 Apto 203 Bucaramanga  Santander Colombia</v>
      </c>
      <c r="G525" s="15" t="str">
        <f>IFERROR(__xludf.DUMMYFUNCTION("""COMPUTED_VALUE"""),"Melissa  Manjarres")</f>
        <v>Melissa  Manjarres</v>
      </c>
      <c r="H525" s="18">
        <f>IFERROR(__xludf.DUMMYFUNCTION("""COMPUTED_VALUE"""),9219.0)</f>
        <v>9219</v>
      </c>
      <c r="I525" s="18">
        <f>IFERROR(__xludf.DUMMYFUNCTION("""COMPUTED_VALUE"""),8.0)</f>
        <v>8</v>
      </c>
      <c r="J525" s="18">
        <f>IFERROR(__xludf.DUMMYFUNCTION("""COMPUTED_VALUE"""),16.0)</f>
        <v>16</v>
      </c>
      <c r="K525" s="18">
        <f>IFERROR(__xludf.DUMMYFUNCTION("""COMPUTED_VALUE"""),20.0)</f>
        <v>20</v>
      </c>
      <c r="L525" s="17">
        <f>IFERROR(__xludf.DUMMYFUNCTION("""COMPUTED_VALUE"""),3.165396069E9)</f>
        <v>3165396069</v>
      </c>
      <c r="M525" s="17" t="str">
        <f>IFERROR(__xludf.DUMMYFUNCTION("""COMPUTED_VALUE"""),"#REF!")</f>
        <v>#REF!</v>
      </c>
      <c r="N525" s="17"/>
      <c r="O525" s="19" t="str">
        <f>IFERROR(__xludf.DUMMYFUNCTION("""COMPUTED_VALUE"""),"")</f>
        <v/>
      </c>
      <c r="P525" s="17" t="b">
        <f>IFERROR(__xludf.DUMMYFUNCTION("""COMPUTED_VALUE"""),FALSE)</f>
        <v>0</v>
      </c>
      <c r="Q525" s="20" t="str">
        <f>IFERROR(__xludf.DUMMYFUNCTION("""COMPUTED_VALUE"""),"")</f>
        <v/>
      </c>
      <c r="R525" s="21" t="str">
        <f>IFERROR(__xludf.DUMMYFUNCTION("""COMPUTED_VALUE"""),"https://drive.google.com/file/d/1QCUDtZiTSmRBCXm5Cbq0cVzDbDwADYFV/view?usp=drivesdk")</f>
        <v>https://drive.google.com/file/d/1QCUDtZiTSmRBCXm5Cbq0cVzDbDwADYFV/view?usp=drivesdk</v>
      </c>
    </row>
    <row r="526">
      <c r="A526" s="15">
        <f>IFERROR(__xludf.DUMMYFUNCTION("""COMPUTED_VALUE"""),45013.0)</f>
        <v>45013</v>
      </c>
      <c r="B526" s="16" t="str">
        <f>IFERROR(__xludf.DUMMYFUNCTION("""COMPUTED_VALUE"""),"Jesus Manuel Herrera Medina ")</f>
        <v>Jesus Manuel Herrera Medina </v>
      </c>
      <c r="C526" s="15" t="str">
        <f>IFERROR(__xludf.DUMMYFUNCTION("""COMPUTED_VALUE"""),"BUCARAMANGA")</f>
        <v>BUCARAMANGA</v>
      </c>
      <c r="D526" s="15" t="str">
        <f>IFERROR(__xludf.DUMMYFUNCTION("""COMPUTED_VALUE"""),"MEDELLÍN")</f>
        <v>MEDELLÍN</v>
      </c>
      <c r="E526" s="15" t="str">
        <f>IFERROR(__xludf.DUMMYFUNCTION("""COMPUTED_VALUE"""),"Baby Chef")</f>
        <v>Baby Chef</v>
      </c>
      <c r="F526" s="17" t="str">
        <f>IFERROR(__xludf.DUMMYFUNCTION("""COMPUTED_VALUE"""),"Carrera 24#35-198 altos de cañaveral campestre Casa 40. Barrio Cañaveral / Carrera 24#35-198 altos de cañaveral campestre Casa 40. Barrio Cañaveral / Carrera 24#35-198 altos de cañaveral campestre Casa 40. Barrio Cañaveral")</f>
        <v>Carrera 24#35-198 altos de cañaveral campestre Casa 40. Barrio Cañaveral / Carrera 24#35-198 altos de cañaveral campestre Casa 40. Barrio Cañaveral / Carrera 24#35-198 altos de cañaveral campestre Casa 40. Barrio Cañaveral</v>
      </c>
      <c r="G526" s="15" t="str">
        <f>IFERROR(__xludf.DUMMYFUNCTION("""COMPUTED_VALUE"""),"Luisa Fernanda Flórez")</f>
        <v>Luisa Fernanda Flórez</v>
      </c>
      <c r="H526" s="18">
        <f>IFERROR(__xludf.DUMMYFUNCTION("""COMPUTED_VALUE"""),9220.0)</f>
        <v>9220</v>
      </c>
      <c r="I526" s="18">
        <f>IFERROR(__xludf.DUMMYFUNCTION("""COMPUTED_VALUE"""),8.0)</f>
        <v>8</v>
      </c>
      <c r="J526" s="18">
        <f>IFERROR(__xludf.DUMMYFUNCTION("""COMPUTED_VALUE"""),16.0)</f>
        <v>16</v>
      </c>
      <c r="K526" s="18">
        <f>IFERROR(__xludf.DUMMYFUNCTION("""COMPUTED_VALUE"""),20.0)</f>
        <v>20</v>
      </c>
      <c r="L526" s="17">
        <f>IFERROR(__xludf.DUMMYFUNCTION("""COMPUTED_VALUE"""),3.013779778E9)</f>
        <v>3013779778</v>
      </c>
      <c r="M526" s="17" t="str">
        <f>IFERROR(__xludf.DUMMYFUNCTION("""COMPUTED_VALUE"""),"#REF!")</f>
        <v>#REF!</v>
      </c>
      <c r="N526" s="17"/>
      <c r="O526" s="19" t="str">
        <f>IFERROR(__xludf.DUMMYFUNCTION("""COMPUTED_VALUE"""),"")</f>
        <v/>
      </c>
      <c r="P526" s="17" t="b">
        <f>IFERROR(__xludf.DUMMYFUNCTION("""COMPUTED_VALUE"""),FALSE)</f>
        <v>0</v>
      </c>
      <c r="Q526" s="20" t="str">
        <f>IFERROR(__xludf.DUMMYFUNCTION("""COMPUTED_VALUE"""),"")</f>
        <v/>
      </c>
      <c r="R526" s="21" t="str">
        <f>IFERROR(__xludf.DUMMYFUNCTION("""COMPUTED_VALUE"""),"https://drive.google.com/file/d/1x0nisyUs9Qt0GUYXOzJEDwkLmmgNhl2j/view?usp=drivesdk")</f>
        <v>https://drive.google.com/file/d/1x0nisyUs9Qt0GUYXOzJEDwkLmmgNhl2j/view?usp=drivesdk</v>
      </c>
    </row>
    <row r="527">
      <c r="A527" s="15">
        <f>IFERROR(__xludf.DUMMYFUNCTION("""COMPUTED_VALUE"""),45013.0)</f>
        <v>45013</v>
      </c>
      <c r="B527" s="16" t="str">
        <f>IFERROR(__xludf.DUMMYFUNCTION("""COMPUTED_VALUE"""),"Jesus Manuel Herrera Medina ")</f>
        <v>Jesus Manuel Herrera Medina </v>
      </c>
      <c r="C527" s="15" t="str">
        <f>IFERROR(__xludf.DUMMYFUNCTION("""COMPUTED_VALUE"""),"BUCARAMANGA")</f>
        <v>BUCARAMANGA</v>
      </c>
      <c r="D527" s="15" t="str">
        <f>IFERROR(__xludf.DUMMYFUNCTION("""COMPUTED_VALUE"""),"MEDELLÍN")</f>
        <v>MEDELLÍN</v>
      </c>
      <c r="E527" s="15" t="str">
        <f>IFERROR(__xludf.DUMMYFUNCTION("""COMPUTED_VALUE"""),"Baby Chef")</f>
        <v>Baby Chef</v>
      </c>
      <c r="F527" s="17" t="str">
        <f>IFERROR(__xludf.DUMMYFUNCTION("""COMPUTED_VALUE"""),"Carrera 29#32-47  apto 502 Edificio Maratea / Barrio la Aurora  / Barrio la Aurora")</f>
        <v>Carrera 29#32-47  apto 502 Edificio Maratea / Barrio la Aurora  / Barrio la Aurora</v>
      </c>
      <c r="G527" s="15" t="str">
        <f>IFERROR(__xludf.DUMMYFUNCTION("""COMPUTED_VALUE"""),"Angee Arguello")</f>
        <v>Angee Arguello</v>
      </c>
      <c r="H527" s="18">
        <f>IFERROR(__xludf.DUMMYFUNCTION("""COMPUTED_VALUE"""),9218.0)</f>
        <v>9218</v>
      </c>
      <c r="I527" s="18">
        <f>IFERROR(__xludf.DUMMYFUNCTION("""COMPUTED_VALUE"""),8.0)</f>
        <v>8</v>
      </c>
      <c r="J527" s="18">
        <f>IFERROR(__xludf.DUMMYFUNCTION("""COMPUTED_VALUE"""),16.0)</f>
        <v>16</v>
      </c>
      <c r="K527" s="18">
        <f>IFERROR(__xludf.DUMMYFUNCTION("""COMPUTED_VALUE"""),20.0)</f>
        <v>20</v>
      </c>
      <c r="L527" s="17">
        <f>IFERROR(__xludf.DUMMYFUNCTION("""COMPUTED_VALUE"""),3.117998044E9)</f>
        <v>3117998044</v>
      </c>
      <c r="M527" s="17" t="str">
        <f>IFERROR(__xludf.DUMMYFUNCTION("""COMPUTED_VALUE"""),"#REF!")</f>
        <v>#REF!</v>
      </c>
      <c r="N527" s="17"/>
      <c r="O527" s="19" t="str">
        <f>IFERROR(__xludf.DUMMYFUNCTION("""COMPUTED_VALUE"""),"")</f>
        <v/>
      </c>
      <c r="P527" s="17" t="b">
        <f>IFERROR(__xludf.DUMMYFUNCTION("""COMPUTED_VALUE"""),FALSE)</f>
        <v>0</v>
      </c>
      <c r="Q527" s="20" t="str">
        <f>IFERROR(__xludf.DUMMYFUNCTION("""COMPUTED_VALUE"""),"")</f>
        <v/>
      </c>
      <c r="R527" s="21" t="str">
        <f>IFERROR(__xludf.DUMMYFUNCTION("""COMPUTED_VALUE"""),"https://drive.google.com/file/d/1XOG_9OPlCg5m4xPqPmcV_I24-c_nsHKH/view?usp=drivesdk")</f>
        <v>https://drive.google.com/file/d/1XOG_9OPlCg5m4xPqPmcV_I24-c_nsHKH/view?usp=drivesdk</v>
      </c>
    </row>
    <row r="528">
      <c r="A528" s="15">
        <f>IFERROR(__xludf.DUMMYFUNCTION("""COMPUTED_VALUE"""),45013.0)</f>
        <v>45013</v>
      </c>
      <c r="B528" s="16" t="str">
        <f>IFERROR(__xludf.DUMMYFUNCTION("""COMPUTED_VALUE"""),"Jesus Manuel Herrera Medina ")</f>
        <v>Jesus Manuel Herrera Medina </v>
      </c>
      <c r="C528" s="15" t="str">
        <f>IFERROR(__xludf.DUMMYFUNCTION("""COMPUTED_VALUE"""),"FLORIDABLANCA")</f>
        <v>FLORIDABLANCA</v>
      </c>
      <c r="D528" s="15" t="str">
        <f>IFERROR(__xludf.DUMMYFUNCTION("""COMPUTED_VALUE"""),"BOGOTÁ")</f>
        <v>BOGOTÁ</v>
      </c>
      <c r="E528" s="15" t="str">
        <f>IFERROR(__xludf.DUMMYFUNCTION("""COMPUTED_VALUE"""),"Asociacion Agropecuaria Juana Maria")</f>
        <v>Asociacion Agropecuaria Juana Maria</v>
      </c>
      <c r="F528" s="17" t="str">
        <f>IFERROR(__xludf.DUMMYFUNCTION("""COMPUTED_VALUE"""),"Calle 19 #11-37 Guanatá FLORIDABLANCA")</f>
        <v>Calle 19 #11-37 Guanatá FLORIDABLANCA</v>
      </c>
      <c r="G528" s="15" t="str">
        <f>IFERROR(__xludf.DUMMYFUNCTION("""COMPUTED_VALUE"""),"Claudia Gonzalez")</f>
        <v>Claudia Gonzalez</v>
      </c>
      <c r="H528" s="18">
        <f>IFERROR(__xludf.DUMMYFUNCTION("""COMPUTED_VALUE"""),9173.0)</f>
        <v>9173</v>
      </c>
      <c r="I528" s="18">
        <f>IFERROR(__xludf.DUMMYFUNCTION("""COMPUTED_VALUE"""),12.0)</f>
        <v>12</v>
      </c>
      <c r="J528" s="18">
        <f>IFERROR(__xludf.DUMMYFUNCTION("""COMPUTED_VALUE"""),37.0)</f>
        <v>37</v>
      </c>
      <c r="K528" s="18">
        <f>IFERROR(__xludf.DUMMYFUNCTION("""COMPUTED_VALUE"""),24.0)</f>
        <v>24</v>
      </c>
      <c r="L528" s="17">
        <f>IFERROR(__xludf.DUMMYFUNCTION("""COMPUTED_VALUE"""),3.002802001E9)</f>
        <v>3002802001</v>
      </c>
      <c r="M528" s="17" t="str">
        <f>IFERROR(__xludf.DUMMYFUNCTION("""COMPUTED_VALUE"""),"#REF!")</f>
        <v>#REF!</v>
      </c>
      <c r="N528" s="17"/>
      <c r="O528" s="19" t="str">
        <f>IFERROR(__xludf.DUMMYFUNCTION("""COMPUTED_VALUE"""),"")</f>
        <v/>
      </c>
      <c r="P528" s="17" t="b">
        <f>IFERROR(__xludf.DUMMYFUNCTION("""COMPUTED_VALUE"""),FALSE)</f>
        <v>0</v>
      </c>
      <c r="Q528" s="20" t="str">
        <f>IFERROR(__xludf.DUMMYFUNCTION("""COMPUTED_VALUE"""),"")</f>
        <v/>
      </c>
      <c r="R528" s="22" t="str">
        <f>IFERROR(__xludf.DUMMYFUNCTION("""COMPUTED_VALUE"""),"")</f>
        <v/>
      </c>
    </row>
    <row r="529">
      <c r="A529" s="15">
        <f>IFERROR(__xludf.DUMMYFUNCTION("""COMPUTED_VALUE"""),45013.0)</f>
        <v>45013</v>
      </c>
      <c r="B529" s="16" t="str">
        <f>IFERROR(__xludf.DUMMYFUNCTION("""COMPUTED_VALUE"""),"Jesus Manuel Herrera Medina ")</f>
        <v>Jesus Manuel Herrera Medina </v>
      </c>
      <c r="C529" s="15" t="str">
        <f>IFERROR(__xludf.DUMMYFUNCTION("""COMPUTED_VALUE"""),"FLORIDABLANCA")</f>
        <v>FLORIDABLANCA</v>
      </c>
      <c r="D529" s="15" t="str">
        <f>IFERROR(__xludf.DUMMYFUNCTION("""COMPUTED_VALUE"""),"BOGOTÁ")</f>
        <v>BOGOTÁ</v>
      </c>
      <c r="E529" s="15" t="str">
        <f>IFERROR(__xludf.DUMMYFUNCTION("""COMPUTED_VALUE"""),"Lunchy Kids")</f>
        <v>Lunchy Kids</v>
      </c>
      <c r="F529" s="17" t="str">
        <f>IFERROR(__xludf.DUMMYFUNCTION("""COMPUTED_VALUE"""),"Ruitoque condominio  / Conjunto Valle de Rocas. Casa 42 / Floridablanca")</f>
        <v>Ruitoque condominio  / Conjunto Valle de Rocas. Casa 42 / Floridablanca</v>
      </c>
      <c r="G529" s="15" t="str">
        <f>IFERROR(__xludf.DUMMYFUNCTION("""COMPUTED_VALUE"""),"Claudia Florez")</f>
        <v>Claudia Florez</v>
      </c>
      <c r="H529" s="18">
        <f>IFERROR(__xludf.DUMMYFUNCTION("""COMPUTED_VALUE"""),9180.0)</f>
        <v>9180</v>
      </c>
      <c r="I529" s="18">
        <f>IFERROR(__xludf.DUMMYFUNCTION("""COMPUTED_VALUE"""),6.0)</f>
        <v>6</v>
      </c>
      <c r="J529" s="18">
        <f>IFERROR(__xludf.DUMMYFUNCTION("""COMPUTED_VALUE"""),26.0)</f>
        <v>26</v>
      </c>
      <c r="K529" s="18">
        <f>IFERROR(__xludf.DUMMYFUNCTION("""COMPUTED_VALUE"""),10.0)</f>
        <v>10</v>
      </c>
      <c r="L529" s="17">
        <f>IFERROR(__xludf.DUMMYFUNCTION("""COMPUTED_VALUE"""),3.17646228E9)</f>
        <v>3176462280</v>
      </c>
      <c r="M529" s="17" t="str">
        <f>IFERROR(__xludf.DUMMYFUNCTION("""COMPUTED_VALUE"""),"#REF!")</f>
        <v>#REF!</v>
      </c>
      <c r="N529" s="17"/>
      <c r="O529" s="19" t="str">
        <f>IFERROR(__xludf.DUMMYFUNCTION("""COMPUTED_VALUE"""),"")</f>
        <v/>
      </c>
      <c r="P529" s="17" t="b">
        <f>IFERROR(__xludf.DUMMYFUNCTION("""COMPUTED_VALUE"""),FALSE)</f>
        <v>0</v>
      </c>
      <c r="Q529" s="20" t="str">
        <f>IFERROR(__xludf.DUMMYFUNCTION("""COMPUTED_VALUE"""),"")</f>
        <v/>
      </c>
      <c r="R529" s="21" t="str">
        <f>IFERROR(__xludf.DUMMYFUNCTION("""COMPUTED_VALUE"""),"https://drive.google.com/file/d/1QF2-DAx2RsuAZ--OipjX6YVUrDd_wDA2/view?usp=drivesdk")</f>
        <v>https://drive.google.com/file/d/1QF2-DAx2RsuAZ--OipjX6YVUrDd_wDA2/view?usp=drivesdk</v>
      </c>
    </row>
    <row r="530">
      <c r="A530" s="15" t="str">
        <f>IFERROR(__xludf.DUMMYFUNCTION("""COMPUTED_VALUE"""),"")</f>
        <v/>
      </c>
      <c r="B530" s="16" t="str">
        <f>IFERROR(__xludf.DUMMYFUNCTION("""COMPUTED_VALUE"""),"")</f>
        <v/>
      </c>
      <c r="C530" s="15" t="str">
        <f>IFERROR(__xludf.DUMMYFUNCTION("""COMPUTED_VALUE"""),"")</f>
        <v/>
      </c>
      <c r="D530" s="15" t="str">
        <f>IFERROR(__xludf.DUMMYFUNCTION("""COMPUTED_VALUE"""),"")</f>
        <v/>
      </c>
      <c r="E530" s="15" t="str">
        <f>IFERROR(__xludf.DUMMYFUNCTION("""COMPUTED_VALUE"""),"")</f>
        <v/>
      </c>
      <c r="F530" s="17" t="str">
        <f>IFERROR(__xludf.DUMMYFUNCTION("""COMPUTED_VALUE"""),"")</f>
        <v/>
      </c>
      <c r="G530" s="15" t="str">
        <f>IFERROR(__xludf.DUMMYFUNCTION("""COMPUTED_VALUE"""),"")</f>
        <v/>
      </c>
      <c r="H530" s="18" t="str">
        <f>IFERROR(__xludf.DUMMYFUNCTION("""COMPUTED_VALUE"""),"")</f>
        <v/>
      </c>
      <c r="I530" s="18" t="str">
        <f>IFERROR(__xludf.DUMMYFUNCTION("""COMPUTED_VALUE"""),"")</f>
        <v/>
      </c>
      <c r="J530" s="18" t="str">
        <f>IFERROR(__xludf.DUMMYFUNCTION("""COMPUTED_VALUE"""),"")</f>
        <v/>
      </c>
      <c r="K530" s="17" t="str">
        <f>IFERROR(__xludf.DUMMYFUNCTION("""COMPUTED_VALUE"""),"")</f>
        <v/>
      </c>
      <c r="L530" s="17" t="str">
        <f>IFERROR(__xludf.DUMMYFUNCTION("""COMPUTED_VALUE"""),"")</f>
        <v/>
      </c>
      <c r="M530" s="17" t="str">
        <f>IFERROR(__xludf.DUMMYFUNCTION("""COMPUTED_VALUE"""),"")</f>
        <v/>
      </c>
      <c r="N530" s="19" t="str">
        <f>IFERROR(__xludf.DUMMYFUNCTION("""COMPUTED_VALUE"""),"")</f>
        <v/>
      </c>
      <c r="O530" s="19" t="str">
        <f>IFERROR(__xludf.DUMMYFUNCTION("""COMPUTED_VALUE"""),"")</f>
        <v/>
      </c>
      <c r="P530" s="17" t="str">
        <f>IFERROR(__xludf.DUMMYFUNCTION("""COMPUTED_VALUE"""),"")</f>
        <v/>
      </c>
      <c r="Q530" s="20" t="str">
        <f>IFERROR(__xludf.DUMMYFUNCTION("""COMPUTED_VALUE"""),"")</f>
        <v/>
      </c>
      <c r="R530" s="22" t="str">
        <f>IFERROR(__xludf.DUMMYFUNCTION("""COMPUTED_VALUE"""),"")</f>
        <v/>
      </c>
    </row>
    <row r="531">
      <c r="A531" s="15">
        <f>IFERROR(__xludf.DUMMYFUNCTION("""COMPUTED_VALUE"""),45013.0)</f>
        <v>45013</v>
      </c>
      <c r="B531" s="16" t="str">
        <f>IFERROR(__xludf.DUMMYFUNCTION("""COMPUTED_VALUE"""),"Jhon Anderson Ceballos Hernandez")</f>
        <v>Jhon Anderson Ceballos Hernandez</v>
      </c>
      <c r="C531" s="15" t="str">
        <f>IFERROR(__xludf.DUMMYFUNCTION("""COMPUTED_VALUE"""),"MANIZALES")</f>
        <v>MANIZALES</v>
      </c>
      <c r="D531" s="15" t="str">
        <f>IFERROR(__xludf.DUMMYFUNCTION("""COMPUTED_VALUE"""),"BOGOTÁ")</f>
        <v>BOGOTÁ</v>
      </c>
      <c r="E531" s="15" t="str">
        <f>IFERROR(__xludf.DUMMYFUNCTION("""COMPUTED_VALUE"""),"Asociacion Agropecuaria Juana Maria")</f>
        <v>Asociacion Agropecuaria Juana Maria</v>
      </c>
      <c r="F531" s="17" t="str">
        <f>IFERROR(__xludf.DUMMYFUNCTION("""COMPUTED_VALUE"""),"Carrera 6A # 10A-06 apto 301 Edificio Martha Lucia Chipre Viejo")</f>
        <v>Carrera 6A # 10A-06 apto 301 Edificio Martha Lucia Chipre Viejo</v>
      </c>
      <c r="G531" s="15" t="str">
        <f>IFERROR(__xludf.DUMMYFUNCTION("""COMPUTED_VALUE"""),"Juliana Giraldo")</f>
        <v>Juliana Giraldo</v>
      </c>
      <c r="H531" s="18">
        <f>IFERROR(__xludf.DUMMYFUNCTION("""COMPUTED_VALUE"""),9175.0)</f>
        <v>9175</v>
      </c>
      <c r="I531" s="18">
        <f>IFERROR(__xludf.DUMMYFUNCTION("""COMPUTED_VALUE"""),16.0)</f>
        <v>16</v>
      </c>
      <c r="J531" s="18">
        <f>IFERROR(__xludf.DUMMYFUNCTION("""COMPUTED_VALUE"""),34.0)</f>
        <v>34</v>
      </c>
      <c r="K531" s="18">
        <f>IFERROR(__xludf.DUMMYFUNCTION("""COMPUTED_VALUE"""),25.0)</f>
        <v>25</v>
      </c>
      <c r="L531" s="17">
        <f>IFERROR(__xludf.DUMMYFUNCTION("""COMPUTED_VALUE"""),3.02415322E9)</f>
        <v>3024153220</v>
      </c>
      <c r="M531" s="17" t="str">
        <f>IFERROR(__xludf.DUMMYFUNCTION("""COMPUTED_VALUE"""),"#REF!")</f>
        <v>#REF!</v>
      </c>
      <c r="N531" s="17"/>
      <c r="O531" s="19" t="str">
        <f>IFERROR(__xludf.DUMMYFUNCTION("""COMPUTED_VALUE"""),"")</f>
        <v/>
      </c>
      <c r="P531" s="17" t="b">
        <f>IFERROR(__xludf.DUMMYFUNCTION("""COMPUTED_VALUE"""),TRUE)</f>
        <v>1</v>
      </c>
      <c r="Q531" s="20">
        <f>IFERROR(__xludf.DUMMYFUNCTION("""COMPUTED_VALUE"""),45013.48532371528)</f>
        <v>45013.48532</v>
      </c>
      <c r="R531" s="22" t="str">
        <f>IFERROR(__xludf.DUMMYFUNCTION("""COMPUTED_VALUE"""),"")</f>
        <v/>
      </c>
    </row>
    <row r="532">
      <c r="A532" s="15">
        <f>IFERROR(__xludf.DUMMYFUNCTION("""COMPUTED_VALUE"""),45013.0)</f>
        <v>45013</v>
      </c>
      <c r="B532" s="16" t="str">
        <f>IFERROR(__xludf.DUMMYFUNCTION("""COMPUTED_VALUE"""),"Jhon Anderson Ceballos Hernandez")</f>
        <v>Jhon Anderson Ceballos Hernandez</v>
      </c>
      <c r="C532" s="15" t="str">
        <f>IFERROR(__xludf.DUMMYFUNCTION("""COMPUTED_VALUE"""),"MANIZALES")</f>
        <v>MANIZALES</v>
      </c>
      <c r="D532" s="15" t="str">
        <f>IFERROR(__xludf.DUMMYFUNCTION("""COMPUTED_VALUE"""),"BOGOTÁ")</f>
        <v>BOGOTÁ</v>
      </c>
      <c r="E532" s="15" t="str">
        <f>IFERROR(__xludf.DUMMYFUNCTION("""COMPUTED_VALUE"""),"Blond &amp; This")</f>
        <v>Blond &amp; This</v>
      </c>
      <c r="F532" s="17" t="str">
        <f>IFERROR(__xludf.DUMMYFUNCTION("""COMPUTED_VALUE"""),"Av. Alberto Mendoza #89-40  / Colina Campestre Casa 27 / manizales")</f>
        <v>Av. Alberto Mendoza #89-40  / Colina Campestre Casa 27 / manizales</v>
      </c>
      <c r="G532" s="15" t="str">
        <f>IFERROR(__xludf.DUMMYFUNCTION("""COMPUTED_VALUE"""),"Valentina Amaya")</f>
        <v>Valentina Amaya</v>
      </c>
      <c r="H532" s="18">
        <f>IFERROR(__xludf.DUMMYFUNCTION("""COMPUTED_VALUE"""),9221.0)</f>
        <v>9221</v>
      </c>
      <c r="I532" s="18">
        <f>IFERROR(__xludf.DUMMYFUNCTION("""COMPUTED_VALUE"""),14.0)</f>
        <v>14</v>
      </c>
      <c r="J532" s="18">
        <f>IFERROR(__xludf.DUMMYFUNCTION("""COMPUTED_VALUE"""),11.0)</f>
        <v>11</v>
      </c>
      <c r="K532" s="18">
        <f>IFERROR(__xludf.DUMMYFUNCTION("""COMPUTED_VALUE"""),22.0)</f>
        <v>22</v>
      </c>
      <c r="L532" s="17">
        <f>IFERROR(__xludf.DUMMYFUNCTION("""COMPUTED_VALUE"""),3.135999028E9)</f>
        <v>3135999028</v>
      </c>
      <c r="M532" s="17" t="str">
        <f>IFERROR(__xludf.DUMMYFUNCTION("""COMPUTED_VALUE"""),"#REF!")</f>
        <v>#REF!</v>
      </c>
      <c r="N532" s="17"/>
      <c r="O532" s="19" t="str">
        <f>IFERROR(__xludf.DUMMYFUNCTION("""COMPUTED_VALUE"""),"")</f>
        <v/>
      </c>
      <c r="P532" s="17" t="b">
        <f>IFERROR(__xludf.DUMMYFUNCTION("""COMPUTED_VALUE"""),TRUE)</f>
        <v>1</v>
      </c>
      <c r="Q532" s="20">
        <f>IFERROR(__xludf.DUMMYFUNCTION("""COMPUTED_VALUE"""),45013.48557164352)</f>
        <v>45013.48557</v>
      </c>
      <c r="R532" s="22" t="str">
        <f>IFERROR(__xludf.DUMMYFUNCTION("""COMPUTED_VALUE"""),"")</f>
        <v/>
      </c>
    </row>
    <row r="533">
      <c r="A533" s="15">
        <f>IFERROR(__xludf.DUMMYFUNCTION("""COMPUTED_VALUE"""),45013.0)</f>
        <v>45013</v>
      </c>
      <c r="B533" s="16" t="str">
        <f>IFERROR(__xludf.DUMMYFUNCTION("""COMPUTED_VALUE"""),"Jhon Anderson Ceballos Hernandez")</f>
        <v>Jhon Anderson Ceballos Hernandez</v>
      </c>
      <c r="C533" s="15" t="str">
        <f>IFERROR(__xludf.DUMMYFUNCTION("""COMPUTED_VALUE"""),"MANIZALES")</f>
        <v>MANIZALES</v>
      </c>
      <c r="D533" s="15" t="str">
        <f>IFERROR(__xludf.DUMMYFUNCTION("""COMPUTED_VALUE"""),"BOGOTÁ")</f>
        <v>BOGOTÁ</v>
      </c>
      <c r="E533" s="15" t="str">
        <f>IFERROR(__xludf.DUMMYFUNCTION("""COMPUTED_VALUE"""),"Evamazzita")</f>
        <v>Evamazzita</v>
      </c>
      <c r="F533" s="17" t="str">
        <f>IFERROR(__xludf.DUMMYFUNCTION("""COMPUTED_VALUE"""),"MANIZALES: CRA 6A No. 10A - 06  /  edificio martha lucia apto 301 / CHIPRE VIEJO")</f>
        <v>MANIZALES: CRA 6A No. 10A - 06  /  edificio martha lucia apto 301 / CHIPRE VIEJO</v>
      </c>
      <c r="G533" s="15" t="str">
        <f>IFERROR(__xludf.DUMMYFUNCTION("""COMPUTED_VALUE"""),"JULIANA GIRALDO")</f>
        <v>JULIANA GIRALDO</v>
      </c>
      <c r="H533" s="18">
        <f>IFERROR(__xludf.DUMMYFUNCTION("""COMPUTED_VALUE"""),9213.0)</f>
        <v>9213</v>
      </c>
      <c r="I533" s="18">
        <f>IFERROR(__xludf.DUMMYFUNCTION("""COMPUTED_VALUE"""),11.0)</f>
        <v>11</v>
      </c>
      <c r="J533" s="18">
        <f>IFERROR(__xludf.DUMMYFUNCTION("""COMPUTED_VALUE"""),42.0)</f>
        <v>42</v>
      </c>
      <c r="K533" s="18">
        <f>IFERROR(__xludf.DUMMYFUNCTION("""COMPUTED_VALUE"""),31.0)</f>
        <v>31</v>
      </c>
      <c r="L533" s="17">
        <f>IFERROR(__xludf.DUMMYFUNCTION("""COMPUTED_VALUE"""),3.02415322E9)</f>
        <v>3024153220</v>
      </c>
      <c r="M533" s="17" t="str">
        <f>IFERROR(__xludf.DUMMYFUNCTION("""COMPUTED_VALUE"""),"#REF!")</f>
        <v>#REF!</v>
      </c>
      <c r="N533" s="17"/>
      <c r="O533" s="19" t="str">
        <f>IFERROR(__xludf.DUMMYFUNCTION("""COMPUTED_VALUE"""),"")</f>
        <v/>
      </c>
      <c r="P533" s="17" t="b">
        <f>IFERROR(__xludf.DUMMYFUNCTION("""COMPUTED_VALUE"""),TRUE)</f>
        <v>1</v>
      </c>
      <c r="Q533" s="20">
        <f>IFERROR(__xludf.DUMMYFUNCTION("""COMPUTED_VALUE"""),45013.523997233795)</f>
        <v>45013.524</v>
      </c>
      <c r="R533" s="22" t="str">
        <f>IFERROR(__xludf.DUMMYFUNCTION("""COMPUTED_VALUE"""),"")</f>
        <v/>
      </c>
    </row>
    <row r="534">
      <c r="A534" s="15">
        <f>IFERROR(__xludf.DUMMYFUNCTION("""COMPUTED_VALUE"""),45013.0)</f>
        <v>45013</v>
      </c>
      <c r="B534" s="16" t="str">
        <f>IFERROR(__xludf.DUMMYFUNCTION("""COMPUTED_VALUE"""),"Jhon Anderson Ceballos Hernandez")</f>
        <v>Jhon Anderson Ceballos Hernandez</v>
      </c>
      <c r="C534" s="15" t="str">
        <f>IFERROR(__xludf.DUMMYFUNCTION("""COMPUTED_VALUE"""),"MANIZALES")</f>
        <v>MANIZALES</v>
      </c>
      <c r="D534" s="15" t="str">
        <f>IFERROR(__xludf.DUMMYFUNCTION("""COMPUTED_VALUE"""),"BOGOTÁ")</f>
        <v>BOGOTÁ</v>
      </c>
      <c r="E534" s="15" t="str">
        <f>IFERROR(__xludf.DUMMYFUNCTION("""COMPUTED_VALUE"""),"Evamazzita")</f>
        <v>Evamazzita</v>
      </c>
      <c r="F534" s="17" t="str">
        <f>IFERROR(__xludf.DUMMYFUNCTION("""COMPUTED_VALUE"""),"RECIBE LUZ MARIA QUINTERO CRA 25 No: 66-10  / EDIFICIO MATIZZ APTO 301 / RECIBE LUZ MARIA QUINTERO")</f>
        <v>RECIBE LUZ MARIA QUINTERO CRA 25 No: 66-10  / EDIFICIO MATIZZ APTO 301 / RECIBE LUZ MARIA QUINTERO</v>
      </c>
      <c r="G534" s="15" t="str">
        <f>IFERROR(__xludf.DUMMYFUNCTION("""COMPUTED_VALUE"""),"PAULA XIMENA BOLAÑOS")</f>
        <v>PAULA XIMENA BOLAÑOS</v>
      </c>
      <c r="H534" s="18">
        <f>IFERROR(__xludf.DUMMYFUNCTION("""COMPUTED_VALUE"""),9197.0)</f>
        <v>9197</v>
      </c>
      <c r="I534" s="18">
        <f>IFERROR(__xludf.DUMMYFUNCTION("""COMPUTED_VALUE"""),5.0)</f>
        <v>5</v>
      </c>
      <c r="J534" s="18">
        <f>IFERROR(__xludf.DUMMYFUNCTION("""COMPUTED_VALUE"""),21.0)</f>
        <v>21</v>
      </c>
      <c r="K534" s="18">
        <f>IFERROR(__xludf.DUMMYFUNCTION("""COMPUTED_VALUE"""),14.0)</f>
        <v>14</v>
      </c>
      <c r="L534" s="17">
        <f>IFERROR(__xludf.DUMMYFUNCTION("""COMPUTED_VALUE"""),3.10398467E9)</f>
        <v>3103984670</v>
      </c>
      <c r="M534" s="17" t="str">
        <f>IFERROR(__xludf.DUMMYFUNCTION("""COMPUTED_VALUE"""),"#REF!")</f>
        <v>#REF!</v>
      </c>
      <c r="N534" s="17"/>
      <c r="O534" s="19" t="str">
        <f>IFERROR(__xludf.DUMMYFUNCTION("""COMPUTED_VALUE"""),"")</f>
        <v/>
      </c>
      <c r="P534" s="17" t="b">
        <f>IFERROR(__xludf.DUMMYFUNCTION("""COMPUTED_VALUE"""),TRUE)</f>
        <v>1</v>
      </c>
      <c r="Q534" s="20">
        <f>IFERROR(__xludf.DUMMYFUNCTION("""COMPUTED_VALUE"""),45013.43953033564)</f>
        <v>45013.43953</v>
      </c>
      <c r="R534" s="22" t="str">
        <f>IFERROR(__xludf.DUMMYFUNCTION("""COMPUTED_VALUE"""),"")</f>
        <v/>
      </c>
    </row>
    <row r="535">
      <c r="A535" s="15">
        <f>IFERROR(__xludf.DUMMYFUNCTION("""COMPUTED_VALUE"""),45013.0)</f>
        <v>45013</v>
      </c>
      <c r="B535" s="16" t="str">
        <f>IFERROR(__xludf.DUMMYFUNCTION("""COMPUTED_VALUE"""),"Jhon Anderson Ceballos Hernandez")</f>
        <v>Jhon Anderson Ceballos Hernandez</v>
      </c>
      <c r="C535" s="15" t="str">
        <f>IFERROR(__xludf.DUMMYFUNCTION("""COMPUTED_VALUE"""),"MANIZALES")</f>
        <v>MANIZALES</v>
      </c>
      <c r="D535" s="15" t="str">
        <f>IFERROR(__xludf.DUMMYFUNCTION("""COMPUTED_VALUE"""),"BOGOTÁ")</f>
        <v>BOGOTÁ</v>
      </c>
      <c r="E535" s="15" t="str">
        <f>IFERROR(__xludf.DUMMYFUNCTION("""COMPUTED_VALUE"""),"Loomifoods")</f>
        <v>Loomifoods</v>
      </c>
      <c r="F535" s="17" t="str">
        <f>IFERROR(__xludf.DUMMYFUNCTION("""COMPUTED_VALUE"""),"Cra 1 no. 43 - 15 / Casa 31 / Condiminio Reserva de La Florida, Villamaría")</f>
        <v>Cra 1 no. 43 - 15 / Casa 31 / Condiminio Reserva de La Florida, Villamaría</v>
      </c>
      <c r="G535" s="15" t="str">
        <f>IFERROR(__xludf.DUMMYFUNCTION("""COMPUTED_VALUE"""),"Sofía Gomez")</f>
        <v>Sofía Gomez</v>
      </c>
      <c r="H535" s="18">
        <f>IFERROR(__xludf.DUMMYFUNCTION("""COMPUTED_VALUE"""),9246.0)</f>
        <v>9246</v>
      </c>
      <c r="I535" s="18">
        <f>IFERROR(__xludf.DUMMYFUNCTION("""COMPUTED_VALUE"""),20.0)</f>
        <v>20</v>
      </c>
      <c r="J535" s="18">
        <f>IFERROR(__xludf.DUMMYFUNCTION("""COMPUTED_VALUE"""),10.0)</f>
        <v>10</v>
      </c>
      <c r="K535" s="18">
        <f>IFERROR(__xludf.DUMMYFUNCTION("""COMPUTED_VALUE"""),16.0)</f>
        <v>16</v>
      </c>
      <c r="L535" s="17">
        <f>IFERROR(__xludf.DUMMYFUNCTION("""COMPUTED_VALUE"""),3.160269209E9)</f>
        <v>3160269209</v>
      </c>
      <c r="M535" s="17" t="str">
        <f>IFERROR(__xludf.DUMMYFUNCTION("""COMPUTED_VALUE"""),"#REF!")</f>
        <v>#REF!</v>
      </c>
      <c r="N535" s="17"/>
      <c r="O535" s="19" t="str">
        <f>IFERROR(__xludf.DUMMYFUNCTION("""COMPUTED_VALUE"""),"")</f>
        <v/>
      </c>
      <c r="P535" s="17" t="b">
        <f>IFERROR(__xludf.DUMMYFUNCTION("""COMPUTED_VALUE"""),TRUE)</f>
        <v>1</v>
      </c>
      <c r="Q535" s="20">
        <f>IFERROR(__xludf.DUMMYFUNCTION("""COMPUTED_VALUE"""),45013.48541649306)</f>
        <v>45013.48542</v>
      </c>
      <c r="R535" s="22" t="str">
        <f>IFERROR(__xludf.DUMMYFUNCTION("""COMPUTED_VALUE"""),"")</f>
        <v/>
      </c>
    </row>
    <row r="536">
      <c r="A536" s="15">
        <f>IFERROR(__xludf.DUMMYFUNCTION("""COMPUTED_VALUE"""),45013.0)</f>
        <v>45013</v>
      </c>
      <c r="B536" s="16" t="str">
        <f>IFERROR(__xludf.DUMMYFUNCTION("""COMPUTED_VALUE"""),"Jhon Anderson Ceballos Hernandez")</f>
        <v>Jhon Anderson Ceballos Hernandez</v>
      </c>
      <c r="C536" s="15" t="str">
        <f>IFERROR(__xludf.DUMMYFUNCTION("""COMPUTED_VALUE"""),"MANIZALES")</f>
        <v>MANIZALES</v>
      </c>
      <c r="D536" s="15" t="str">
        <f>IFERROR(__xludf.DUMMYFUNCTION("""COMPUTED_VALUE"""),"BOGOTÁ")</f>
        <v>BOGOTÁ</v>
      </c>
      <c r="E536" s="15" t="str">
        <f>IFERROR(__xludf.DUMMYFUNCTION("""COMPUTED_VALUE"""),"Top Spun")</f>
        <v>Top Spun</v>
      </c>
      <c r="F536" s="17" t="str">
        <f>IFERROR(__xludf.DUMMYFUNCTION("""COMPUTED_VALUE"""),"Carrera20 bis #65a 81 / Edificio alcazar de los laureles  Apto 303 / Manizales caldas")</f>
        <v>Carrera20 bis #65a 81 / Edificio alcazar de los laureles  Apto 303 / Manizales caldas</v>
      </c>
      <c r="G536" s="15" t="str">
        <f>IFERROR(__xludf.DUMMYFUNCTION("""COMPUTED_VALUE"""),"PAMELA TOBÓN ARISTIZABA")</f>
        <v>PAMELA TOBÓN ARISTIZABA</v>
      </c>
      <c r="H536" s="18">
        <f>IFERROR(__xludf.DUMMYFUNCTION("""COMPUTED_VALUE"""),9156.0)</f>
        <v>9156</v>
      </c>
      <c r="I536" s="18">
        <f>IFERROR(__xludf.DUMMYFUNCTION("""COMPUTED_VALUE"""),20.0)</f>
        <v>20</v>
      </c>
      <c r="J536" s="18">
        <f>IFERROR(__xludf.DUMMYFUNCTION("""COMPUTED_VALUE"""),10.0)</f>
        <v>10</v>
      </c>
      <c r="K536" s="18">
        <f>IFERROR(__xludf.DUMMYFUNCTION("""COMPUTED_VALUE"""),40.0)</f>
        <v>40</v>
      </c>
      <c r="L536" s="17">
        <f>IFERROR(__xludf.DUMMYFUNCTION("""COMPUTED_VALUE"""),3.00322146E9)</f>
        <v>3003221460</v>
      </c>
      <c r="M536" s="17" t="str">
        <f>IFERROR(__xludf.DUMMYFUNCTION("""COMPUTED_VALUE"""),"#REF!")</f>
        <v>#REF!</v>
      </c>
      <c r="N536" s="17"/>
      <c r="O536" s="19" t="str">
        <f>IFERROR(__xludf.DUMMYFUNCTION("""COMPUTED_VALUE"""),"")</f>
        <v/>
      </c>
      <c r="P536" s="17" t="b">
        <f>IFERROR(__xludf.DUMMYFUNCTION("""COMPUTED_VALUE"""),TRUE)</f>
        <v>1</v>
      </c>
      <c r="Q536" s="20">
        <f>IFERROR(__xludf.DUMMYFUNCTION("""COMPUTED_VALUE"""),45013.43946886574)</f>
        <v>45013.43947</v>
      </c>
      <c r="R536" s="22" t="str">
        <f>IFERROR(__xludf.DUMMYFUNCTION("""COMPUTED_VALUE"""),"")</f>
        <v/>
      </c>
    </row>
    <row r="537">
      <c r="A537" s="15">
        <f>IFERROR(__xludf.DUMMYFUNCTION("""COMPUTED_VALUE"""),45013.0)</f>
        <v>45013</v>
      </c>
      <c r="B537" s="16" t="str">
        <f>IFERROR(__xludf.DUMMYFUNCTION("""COMPUTED_VALUE"""),"Jhon Anderson Ceballos Hernandez")</f>
        <v>Jhon Anderson Ceballos Hernandez</v>
      </c>
      <c r="C537" s="15" t="str">
        <f>IFERROR(__xludf.DUMMYFUNCTION("""COMPUTED_VALUE"""),"MANIZALES")</f>
        <v>MANIZALES</v>
      </c>
      <c r="D537" s="15" t="str">
        <f>IFERROR(__xludf.DUMMYFUNCTION("""COMPUTED_VALUE"""),"BOGOTÁ")</f>
        <v>BOGOTÁ</v>
      </c>
      <c r="E537" s="15" t="str">
        <f>IFERROR(__xludf.DUMMYFUNCTION("""COMPUTED_VALUE"""),"Top Spun")</f>
        <v>Top Spun</v>
      </c>
      <c r="F537" s="17" t="str">
        <f>IFERROR(__xludf.DUMMYFUNCTION("""COMPUTED_VALUE"""),"Cra 1 # 42-200 / casa 57 / conjunto nattura Barrio La Florida")</f>
        <v>Cra 1 # 42-200 / casa 57 / conjunto nattura Barrio La Florida</v>
      </c>
      <c r="G537" s="15" t="str">
        <f>IFERROR(__xludf.DUMMYFUNCTION("""COMPUTED_VALUE"""),"Lina maría giraldo")</f>
        <v>Lina maría giraldo</v>
      </c>
      <c r="H537" s="18">
        <f>IFERROR(__xludf.DUMMYFUNCTION("""COMPUTED_VALUE"""),9161.0)</f>
        <v>9161</v>
      </c>
      <c r="I537" s="18">
        <f>IFERROR(__xludf.DUMMYFUNCTION("""COMPUTED_VALUE"""),20.0)</f>
        <v>20</v>
      </c>
      <c r="J537" s="18">
        <f>IFERROR(__xludf.DUMMYFUNCTION("""COMPUTED_VALUE"""),10.0)</f>
        <v>10</v>
      </c>
      <c r="K537" s="18">
        <f>IFERROR(__xludf.DUMMYFUNCTION("""COMPUTED_VALUE"""),40.0)</f>
        <v>40</v>
      </c>
      <c r="L537" s="17">
        <f>IFERROR(__xludf.DUMMYFUNCTION("""COMPUTED_VALUE"""),3.147185935E9)</f>
        <v>3147185935</v>
      </c>
      <c r="M537" s="17" t="str">
        <f>IFERROR(__xludf.DUMMYFUNCTION("""COMPUTED_VALUE"""),"#REF!")</f>
        <v>#REF!</v>
      </c>
      <c r="N537" s="17"/>
      <c r="O537" s="19" t="str">
        <f>IFERROR(__xludf.DUMMYFUNCTION("""COMPUTED_VALUE"""),"")</f>
        <v/>
      </c>
      <c r="P537" s="17" t="b">
        <f>IFERROR(__xludf.DUMMYFUNCTION("""COMPUTED_VALUE"""),TRUE)</f>
        <v>1</v>
      </c>
      <c r="Q537" s="20">
        <f>IFERROR(__xludf.DUMMYFUNCTION("""COMPUTED_VALUE"""),45013.443945011575)</f>
        <v>45013.44395</v>
      </c>
      <c r="R537" s="22" t="str">
        <f>IFERROR(__xludf.DUMMYFUNCTION("""COMPUTED_VALUE"""),"")</f>
        <v/>
      </c>
    </row>
    <row r="538">
      <c r="A538" s="15">
        <f>IFERROR(__xludf.DUMMYFUNCTION("""COMPUTED_VALUE"""),45013.0)</f>
        <v>45013</v>
      </c>
      <c r="B538" s="16" t="str">
        <f>IFERROR(__xludf.DUMMYFUNCTION("""COMPUTED_VALUE"""),"Jhon Anderson Ceballos Hernandez")</f>
        <v>Jhon Anderson Ceballos Hernandez</v>
      </c>
      <c r="C538" s="15" t="str">
        <f>IFERROR(__xludf.DUMMYFUNCTION("""COMPUTED_VALUE"""),"MANIZALES")</f>
        <v>MANIZALES</v>
      </c>
      <c r="D538" s="15" t="str">
        <f>IFERROR(__xludf.DUMMYFUNCTION("""COMPUTED_VALUE"""),"MEDELLÍN")</f>
        <v>MEDELLÍN</v>
      </c>
      <c r="E538" s="15" t="str">
        <f>IFERROR(__xludf.DUMMYFUNCTION("""COMPUTED_VALUE"""),"Baby Chef")</f>
        <v>Baby Chef</v>
      </c>
      <c r="F538" s="17" t="str">
        <f>IFERROR(__xludf.DUMMYFUNCTION("""COMPUTED_VALUE"""),"Calle 20 # 20 -44, centro Parqueadero Olympia  Manizales Caldas Colombia / Calle 20 # 20 -44, centro Parqueadero Olympia  Manizales Caldas Colombia / Calle 20 # 20 -44, centro Parqueadero Olympia Manizales Caldas Colombia")</f>
        <v>Calle 20 # 20 -44, centro Parqueadero Olympia  Manizales Caldas Colombia / Calle 20 # 20 -44, centro Parqueadero Olympia  Manizales Caldas Colombia / Calle 20 # 20 -44, centro Parqueadero Olympia Manizales Caldas Colombia</v>
      </c>
      <c r="G538" s="15" t="str">
        <f>IFERROR(__xludf.DUMMYFUNCTION("""COMPUTED_VALUE"""),"CAROLINA ARISTIZABAL")</f>
        <v>CAROLINA ARISTIZABAL</v>
      </c>
      <c r="H538" s="18">
        <f>IFERROR(__xludf.DUMMYFUNCTION("""COMPUTED_VALUE"""),9215.0)</f>
        <v>9215</v>
      </c>
      <c r="I538" s="18">
        <f>IFERROR(__xludf.DUMMYFUNCTION("""COMPUTED_VALUE"""),8.0)</f>
        <v>8</v>
      </c>
      <c r="J538" s="18">
        <f>IFERROR(__xludf.DUMMYFUNCTION("""COMPUTED_VALUE"""),16.0)</f>
        <v>16</v>
      </c>
      <c r="K538" s="18">
        <f>IFERROR(__xludf.DUMMYFUNCTION("""COMPUTED_VALUE"""),20.0)</f>
        <v>20</v>
      </c>
      <c r="L538" s="17">
        <f>IFERROR(__xludf.DUMMYFUNCTION("""COMPUTED_VALUE"""),3.155527701E9)</f>
        <v>3155527701</v>
      </c>
      <c r="M538" s="17" t="str">
        <f>IFERROR(__xludf.DUMMYFUNCTION("""COMPUTED_VALUE"""),"#REF!")</f>
        <v>#REF!</v>
      </c>
      <c r="N538" s="17"/>
      <c r="O538" s="19" t="str">
        <f>IFERROR(__xludf.DUMMYFUNCTION("""COMPUTED_VALUE"""),"")</f>
        <v/>
      </c>
      <c r="P538" s="17" t="b">
        <f>IFERROR(__xludf.DUMMYFUNCTION("""COMPUTED_VALUE"""),TRUE)</f>
        <v>1</v>
      </c>
      <c r="Q538" s="20">
        <f>IFERROR(__xludf.DUMMYFUNCTION("""COMPUTED_VALUE"""),45013.50468670139)</f>
        <v>45013.50469</v>
      </c>
      <c r="R538" s="22" t="str">
        <f>IFERROR(__xludf.DUMMYFUNCTION("""COMPUTED_VALUE"""),"")</f>
        <v/>
      </c>
    </row>
    <row r="539">
      <c r="A539" s="15">
        <f>IFERROR(__xludf.DUMMYFUNCTION("""COMPUTED_VALUE"""),45013.0)</f>
        <v>45013</v>
      </c>
      <c r="B539" s="16" t="str">
        <f>IFERROR(__xludf.DUMMYFUNCTION("""COMPUTED_VALUE"""),"Jhon Anderson Ceballos Hernandez")</f>
        <v>Jhon Anderson Ceballos Hernandez</v>
      </c>
      <c r="C539" s="15" t="str">
        <f>IFERROR(__xludf.DUMMYFUNCTION("""COMPUTED_VALUE"""),"TUNJA")</f>
        <v>TUNJA</v>
      </c>
      <c r="D539" s="15" t="str">
        <f>IFERROR(__xludf.DUMMYFUNCTION("""COMPUTED_VALUE"""),"BOGOTÁ")</f>
        <v>BOGOTÁ</v>
      </c>
      <c r="E539" s="15" t="str">
        <f>IFERROR(__xludf.DUMMYFUNCTION("""COMPUTED_VALUE"""),"Evamazzita")</f>
        <v>Evamazzita</v>
      </c>
      <c r="F539" s="17" t="str">
        <f>IFERROR(__xludf.DUMMYFUNCTION("""COMPUTED_VALUE"""),"carrera 7 No 23 50  / apartamento 203 torre c  / multifamiliar san Agustín")</f>
        <v>carrera 7 No 23 50  / apartamento 203 torre c  / multifamiliar san Agustín</v>
      </c>
      <c r="G539" s="15" t="str">
        <f>IFERROR(__xludf.DUMMYFUNCTION("""COMPUTED_VALUE"""),"LEIDY DAYAN AVENDAÑO CALDAS")</f>
        <v>LEIDY DAYAN AVENDAÑO CALDAS</v>
      </c>
      <c r="H539" s="18">
        <f>IFERROR(__xludf.DUMMYFUNCTION("""COMPUTED_VALUE"""),9198.0)</f>
        <v>9198</v>
      </c>
      <c r="I539" s="18">
        <f>IFERROR(__xludf.DUMMYFUNCTION("""COMPUTED_VALUE"""),10.0)</f>
        <v>10</v>
      </c>
      <c r="J539" s="18">
        <f>IFERROR(__xludf.DUMMYFUNCTION("""COMPUTED_VALUE"""),18.0)</f>
        <v>18</v>
      </c>
      <c r="K539" s="18">
        <f>IFERROR(__xludf.DUMMYFUNCTION("""COMPUTED_VALUE"""),22.0)</f>
        <v>22</v>
      </c>
      <c r="L539" s="17">
        <f>IFERROR(__xludf.DUMMYFUNCTION("""COMPUTED_VALUE"""),3.212972364E9)</f>
        <v>3212972364</v>
      </c>
      <c r="M539" s="17" t="str">
        <f>IFERROR(__xludf.DUMMYFUNCTION("""COMPUTED_VALUE"""),"#REF!")</f>
        <v>#REF!</v>
      </c>
      <c r="N539" s="17"/>
      <c r="O539" s="19" t="str">
        <f>IFERROR(__xludf.DUMMYFUNCTION("""COMPUTED_VALUE"""),"")</f>
        <v/>
      </c>
      <c r="P539" s="17" t="b">
        <f>IFERROR(__xludf.DUMMYFUNCTION("""COMPUTED_VALUE"""),FALSE)</f>
        <v>0</v>
      </c>
      <c r="Q539" s="20" t="str">
        <f>IFERROR(__xludf.DUMMYFUNCTION("""COMPUTED_VALUE"""),"")</f>
        <v/>
      </c>
      <c r="R539" s="22" t="str">
        <f>IFERROR(__xludf.DUMMYFUNCTION("""COMPUTED_VALUE"""),"")</f>
        <v/>
      </c>
    </row>
    <row r="540">
      <c r="A540" s="15" t="str">
        <f>IFERROR(__xludf.DUMMYFUNCTION("""COMPUTED_VALUE"""),"")</f>
        <v/>
      </c>
      <c r="B540" s="16" t="str">
        <f>IFERROR(__xludf.DUMMYFUNCTION("""COMPUTED_VALUE"""),"")</f>
        <v/>
      </c>
      <c r="C540" s="15" t="str">
        <f>IFERROR(__xludf.DUMMYFUNCTION("""COMPUTED_VALUE"""),"")</f>
        <v/>
      </c>
      <c r="D540" s="15" t="str">
        <f>IFERROR(__xludf.DUMMYFUNCTION("""COMPUTED_VALUE"""),"")</f>
        <v/>
      </c>
      <c r="E540" s="15" t="str">
        <f>IFERROR(__xludf.DUMMYFUNCTION("""COMPUTED_VALUE"""),"")</f>
        <v/>
      </c>
      <c r="F540" s="17" t="str">
        <f>IFERROR(__xludf.DUMMYFUNCTION("""COMPUTED_VALUE"""),"")</f>
        <v/>
      </c>
      <c r="G540" s="15" t="str">
        <f>IFERROR(__xludf.DUMMYFUNCTION("""COMPUTED_VALUE"""),"")</f>
        <v/>
      </c>
      <c r="H540" s="18" t="str">
        <f>IFERROR(__xludf.DUMMYFUNCTION("""COMPUTED_VALUE"""),"")</f>
        <v/>
      </c>
      <c r="I540" s="18" t="str">
        <f>IFERROR(__xludf.DUMMYFUNCTION("""COMPUTED_VALUE"""),"")</f>
        <v/>
      </c>
      <c r="J540" s="18" t="str">
        <f>IFERROR(__xludf.DUMMYFUNCTION("""COMPUTED_VALUE"""),"")</f>
        <v/>
      </c>
      <c r="K540" s="17" t="str">
        <f>IFERROR(__xludf.DUMMYFUNCTION("""COMPUTED_VALUE"""),"")</f>
        <v/>
      </c>
      <c r="L540" s="17" t="str">
        <f>IFERROR(__xludf.DUMMYFUNCTION("""COMPUTED_VALUE"""),"")</f>
        <v/>
      </c>
      <c r="M540" s="17" t="str">
        <f>IFERROR(__xludf.DUMMYFUNCTION("""COMPUTED_VALUE"""),"")</f>
        <v/>
      </c>
      <c r="N540" s="19" t="str">
        <f>IFERROR(__xludf.DUMMYFUNCTION("""COMPUTED_VALUE"""),"")</f>
        <v/>
      </c>
      <c r="O540" s="19" t="str">
        <f>IFERROR(__xludf.DUMMYFUNCTION("""COMPUTED_VALUE"""),"")</f>
        <v/>
      </c>
      <c r="P540" s="17" t="str">
        <f>IFERROR(__xludf.DUMMYFUNCTION("""COMPUTED_VALUE"""),"")</f>
        <v/>
      </c>
      <c r="Q540" s="20" t="str">
        <f>IFERROR(__xludf.DUMMYFUNCTION("""COMPUTED_VALUE"""),"")</f>
        <v/>
      </c>
      <c r="R540" s="22" t="str">
        <f>IFERROR(__xludf.DUMMYFUNCTION("""COMPUTED_VALUE"""),"")</f>
        <v/>
      </c>
    </row>
    <row r="541">
      <c r="A541" s="15">
        <f>IFERROR(__xludf.DUMMYFUNCTION("""COMPUTED_VALUE"""),45013.0)</f>
        <v>45013</v>
      </c>
      <c r="B541" s="16" t="str">
        <f>IFERROR(__xludf.DUMMYFUNCTION("""COMPUTED_VALUE"""),"Johan Alexander Escobar Arroyo ")</f>
        <v>Johan Alexander Escobar Arroyo </v>
      </c>
      <c r="C541" s="15" t="str">
        <f>IFERROR(__xludf.DUMMYFUNCTION("""COMPUTED_VALUE"""),"CALI")</f>
        <v>CALI</v>
      </c>
      <c r="D541" s="15" t="str">
        <f>IFERROR(__xludf.DUMMYFUNCTION("""COMPUTED_VALUE"""),"BOGOTÁ")</f>
        <v>BOGOTÁ</v>
      </c>
      <c r="E541" s="15" t="str">
        <f>IFERROR(__xludf.DUMMYFUNCTION("""COMPUTED_VALUE"""),"Evamazzita")</f>
        <v>Evamazzita</v>
      </c>
      <c r="F541" s="17" t="str">
        <f>IFERROR(__xludf.DUMMYFUNCTION("""COMPUTED_VALUE"""),"AV 6E NORTE No. 53AN - 45  / N/A / BARRIO BAJO MENGA")</f>
        <v>AV 6E NORTE No. 53AN - 45  / N/A / BARRIO BAJO MENGA</v>
      </c>
      <c r="G541" s="15" t="str">
        <f>IFERROR(__xludf.DUMMYFUNCTION("""COMPUTED_VALUE"""),"BEATRIZ ALEJANDRA CAMPO")</f>
        <v>BEATRIZ ALEJANDRA CAMPO</v>
      </c>
      <c r="H541" s="18">
        <f>IFERROR(__xludf.DUMMYFUNCTION("""COMPUTED_VALUE"""),9204.0)</f>
        <v>9204</v>
      </c>
      <c r="I541" s="18">
        <f>IFERROR(__xludf.DUMMYFUNCTION("""COMPUTED_VALUE"""),3.0)</f>
        <v>3</v>
      </c>
      <c r="J541" s="18">
        <f>IFERROR(__xludf.DUMMYFUNCTION("""COMPUTED_VALUE"""),20.0)</f>
        <v>20</v>
      </c>
      <c r="K541" s="18">
        <f>IFERROR(__xludf.DUMMYFUNCTION("""COMPUTED_VALUE"""),15.0)</f>
        <v>15</v>
      </c>
      <c r="L541" s="17">
        <f>IFERROR(__xludf.DUMMYFUNCTION("""COMPUTED_VALUE"""),3.146044758E9)</f>
        <v>3146044758</v>
      </c>
      <c r="M541" s="17" t="str">
        <f>IFERROR(__xludf.DUMMYFUNCTION("""COMPUTED_VALUE"""),"#REF!")</f>
        <v>#REF!</v>
      </c>
      <c r="N541" s="17"/>
      <c r="O541" s="19" t="str">
        <f>IFERROR(__xludf.DUMMYFUNCTION("""COMPUTED_VALUE"""),"")</f>
        <v/>
      </c>
      <c r="P541" s="17" t="b">
        <f>IFERROR(__xludf.DUMMYFUNCTION("""COMPUTED_VALUE"""),FALSE)</f>
        <v>0</v>
      </c>
      <c r="Q541" s="20" t="str">
        <f>IFERROR(__xludf.DUMMYFUNCTION("""COMPUTED_VALUE"""),"")</f>
        <v/>
      </c>
      <c r="R541" s="21" t="str">
        <f>IFERROR(__xludf.DUMMYFUNCTION("""COMPUTED_VALUE"""),"https://drive.google.com/file/d/1jbbh10FM3LwA3r43XkdQmwagFTfAGwEa/view?usp=drivesdk")</f>
        <v>https://drive.google.com/file/d/1jbbh10FM3LwA3r43XkdQmwagFTfAGwEa/view?usp=drivesdk</v>
      </c>
    </row>
    <row r="542">
      <c r="A542" s="15">
        <f>IFERROR(__xludf.DUMMYFUNCTION("""COMPUTED_VALUE"""),45013.0)</f>
        <v>45013</v>
      </c>
      <c r="B542" s="16" t="str">
        <f>IFERROR(__xludf.DUMMYFUNCTION("""COMPUTED_VALUE"""),"Johan Alexander Escobar Arroyo ")</f>
        <v>Johan Alexander Escobar Arroyo </v>
      </c>
      <c r="C542" s="15" t="str">
        <f>IFERROR(__xludf.DUMMYFUNCTION("""COMPUTED_VALUE"""),"CALI")</f>
        <v>CALI</v>
      </c>
      <c r="D542" s="15" t="str">
        <f>IFERROR(__xludf.DUMMYFUNCTION("""COMPUTED_VALUE"""),"BOGOTÁ")</f>
        <v>BOGOTÁ</v>
      </c>
      <c r="E542" s="15" t="str">
        <f>IFERROR(__xludf.DUMMYFUNCTION("""COMPUTED_VALUE"""),"Evamazzita")</f>
        <v>Evamazzita</v>
      </c>
      <c r="F542" s="17" t="str">
        <f>IFERROR(__xludf.DUMMYFUNCTION("""COMPUTED_VALUE"""),"Avenida 4 Oeste # 5-310  / Edificio torres de Monteverde (apto 1004, torre A)  / Barrio: Normandía")</f>
        <v>Avenida 4 Oeste # 5-310  / Edificio torres de Monteverde (apto 1004, torre A)  / Barrio: Normandía</v>
      </c>
      <c r="G542" s="15" t="str">
        <f>IFERROR(__xludf.DUMMYFUNCTION("""COMPUTED_VALUE"""),"JOHANNA MAYA")</f>
        <v>JOHANNA MAYA</v>
      </c>
      <c r="H542" s="18">
        <f>IFERROR(__xludf.DUMMYFUNCTION("""COMPUTED_VALUE"""),9210.0)</f>
        <v>9210</v>
      </c>
      <c r="I542" s="18">
        <f>IFERROR(__xludf.DUMMYFUNCTION("""COMPUTED_VALUE"""),3.0)</f>
        <v>3</v>
      </c>
      <c r="J542" s="18">
        <f>IFERROR(__xludf.DUMMYFUNCTION("""COMPUTED_VALUE"""),20.0)</f>
        <v>20</v>
      </c>
      <c r="K542" s="18">
        <f>IFERROR(__xludf.DUMMYFUNCTION("""COMPUTED_VALUE"""),15.0)</f>
        <v>15</v>
      </c>
      <c r="L542" s="17">
        <f>IFERROR(__xludf.DUMMYFUNCTION("""COMPUTED_VALUE"""),3.164018498E9)</f>
        <v>3164018498</v>
      </c>
      <c r="M542" s="17" t="str">
        <f>IFERROR(__xludf.DUMMYFUNCTION("""COMPUTED_VALUE"""),"#REF!")</f>
        <v>#REF!</v>
      </c>
      <c r="N542" s="17"/>
      <c r="O542" s="19" t="str">
        <f>IFERROR(__xludf.DUMMYFUNCTION("""COMPUTED_VALUE"""),"")</f>
        <v/>
      </c>
      <c r="P542" s="17" t="b">
        <f>IFERROR(__xludf.DUMMYFUNCTION("""COMPUTED_VALUE"""),FALSE)</f>
        <v>0</v>
      </c>
      <c r="Q542" s="20" t="str">
        <f>IFERROR(__xludf.DUMMYFUNCTION("""COMPUTED_VALUE"""),"")</f>
        <v/>
      </c>
      <c r="R542" s="21" t="str">
        <f>IFERROR(__xludf.DUMMYFUNCTION("""COMPUTED_VALUE"""),"https://drive.google.com/file/d/19yWDJ6YsXocqxw8T1aMJgj_BCRqOnnBt/view?usp=drivesdk")</f>
        <v>https://drive.google.com/file/d/19yWDJ6YsXocqxw8T1aMJgj_BCRqOnnBt/view?usp=drivesdk</v>
      </c>
    </row>
    <row r="543">
      <c r="A543" s="15">
        <f>IFERROR(__xludf.DUMMYFUNCTION("""COMPUTED_VALUE"""),45013.0)</f>
        <v>45013</v>
      </c>
      <c r="B543" s="16" t="str">
        <f>IFERROR(__xludf.DUMMYFUNCTION("""COMPUTED_VALUE"""),"Johan Alexander Escobar Arroyo ")</f>
        <v>Johan Alexander Escobar Arroyo </v>
      </c>
      <c r="C543" s="15" t="str">
        <f>IFERROR(__xludf.DUMMYFUNCTION("""COMPUTED_VALUE"""),"CALI")</f>
        <v>CALI</v>
      </c>
      <c r="D543" s="15" t="str">
        <f>IFERROR(__xludf.DUMMYFUNCTION("""COMPUTED_VALUE"""),"BOGOTÁ")</f>
        <v>BOGOTÁ</v>
      </c>
      <c r="E543" s="15" t="str">
        <f>IFERROR(__xludf.DUMMYFUNCTION("""COMPUTED_VALUE"""),"Evamazzita")</f>
        <v>Evamazzita</v>
      </c>
      <c r="F543" s="17" t="str">
        <f>IFERROR(__xludf.DUMMYFUNCTION("""COMPUTED_VALUE"""),"CALLE 1BOESTE No. 4A OESTE - 201  /  APTO 1003 TORRE A / SIERRA DE NORMANDA")</f>
        <v>CALLE 1BOESTE No. 4A OESTE - 201  /  APTO 1003 TORRE A / SIERRA DE NORMANDA</v>
      </c>
      <c r="G543" s="15" t="str">
        <f>IFERROR(__xludf.DUMMYFUNCTION("""COMPUTED_VALUE"""),"CRISTINA MARULANDA GIRALDO")</f>
        <v>CRISTINA MARULANDA GIRALDO</v>
      </c>
      <c r="H543" s="18">
        <f>IFERROR(__xludf.DUMMYFUNCTION("""COMPUTED_VALUE"""),9201.0)</f>
        <v>9201</v>
      </c>
      <c r="I543" s="18">
        <f>IFERROR(__xludf.DUMMYFUNCTION("""COMPUTED_VALUE"""),3.0)</f>
        <v>3</v>
      </c>
      <c r="J543" s="18">
        <f>IFERROR(__xludf.DUMMYFUNCTION("""COMPUTED_VALUE"""),20.0)</f>
        <v>20</v>
      </c>
      <c r="K543" s="18">
        <f>IFERROR(__xludf.DUMMYFUNCTION("""COMPUTED_VALUE"""),15.0)</f>
        <v>15</v>
      </c>
      <c r="L543" s="17">
        <f>IFERROR(__xludf.DUMMYFUNCTION("""COMPUTED_VALUE"""),3.207071337E9)</f>
        <v>3207071337</v>
      </c>
      <c r="M543" s="17" t="str">
        <f>IFERROR(__xludf.DUMMYFUNCTION("""COMPUTED_VALUE"""),"#REF!")</f>
        <v>#REF!</v>
      </c>
      <c r="N543" s="17"/>
      <c r="O543" s="19" t="str">
        <f>IFERROR(__xludf.DUMMYFUNCTION("""COMPUTED_VALUE"""),"")</f>
        <v/>
      </c>
      <c r="P543" s="17" t="b">
        <f>IFERROR(__xludf.DUMMYFUNCTION("""COMPUTED_VALUE"""),FALSE)</f>
        <v>0</v>
      </c>
      <c r="Q543" s="20" t="str">
        <f>IFERROR(__xludf.DUMMYFUNCTION("""COMPUTED_VALUE"""),"")</f>
        <v/>
      </c>
      <c r="R543" s="21" t="str">
        <f>IFERROR(__xludf.DUMMYFUNCTION("""COMPUTED_VALUE"""),"https://drive.google.com/file/d/120e_CfsXTdRa1E6_s4hlMsQm7MPVy1lx/view?usp=drivesdk")</f>
        <v>https://drive.google.com/file/d/120e_CfsXTdRa1E6_s4hlMsQm7MPVy1lx/view?usp=drivesdk</v>
      </c>
    </row>
    <row r="544">
      <c r="A544" s="15">
        <f>IFERROR(__xludf.DUMMYFUNCTION("""COMPUTED_VALUE"""),45013.0)</f>
        <v>45013</v>
      </c>
      <c r="B544" s="16" t="str">
        <f>IFERROR(__xludf.DUMMYFUNCTION("""COMPUTED_VALUE"""),"Johan Alexander Escobar Arroyo ")</f>
        <v>Johan Alexander Escobar Arroyo </v>
      </c>
      <c r="C544" s="15" t="str">
        <f>IFERROR(__xludf.DUMMYFUNCTION("""COMPUTED_VALUE"""),"CALI")</f>
        <v>CALI</v>
      </c>
      <c r="D544" s="15" t="str">
        <f>IFERROR(__xludf.DUMMYFUNCTION("""COMPUTED_VALUE"""),"BOGOTÁ")</f>
        <v>BOGOTÁ</v>
      </c>
      <c r="E544" s="15" t="str">
        <f>IFERROR(__xludf.DUMMYFUNCTION("""COMPUTED_VALUE"""),"Evamazzita")</f>
        <v>Evamazzita</v>
      </c>
      <c r="F544" s="17" t="str">
        <f>IFERROR(__xludf.DUMMYFUNCTION("""COMPUTED_VALUE"""),"Calle 5#45-20  / local 12  centro comercial Antonio Nariño  / Barrio Lido")</f>
        <v>Calle 5#45-20  / local 12  centro comercial Antonio Nariño  / Barrio Lido</v>
      </c>
      <c r="G544" s="15" t="str">
        <f>IFERROR(__xludf.DUMMYFUNCTION("""COMPUTED_VALUE"""),"JOHANA ORDOÑEZ GUZMAN")</f>
        <v>JOHANA ORDOÑEZ GUZMAN</v>
      </c>
      <c r="H544" s="18">
        <f>IFERROR(__xludf.DUMMYFUNCTION("""COMPUTED_VALUE"""),9209.0)</f>
        <v>9209</v>
      </c>
      <c r="I544" s="18">
        <f>IFERROR(__xludf.DUMMYFUNCTION("""COMPUTED_VALUE"""),3.0)</f>
        <v>3</v>
      </c>
      <c r="J544" s="18">
        <f>IFERROR(__xludf.DUMMYFUNCTION("""COMPUTED_VALUE"""),20.0)</f>
        <v>20</v>
      </c>
      <c r="K544" s="18">
        <f>IFERROR(__xludf.DUMMYFUNCTION("""COMPUTED_VALUE"""),15.0)</f>
        <v>15</v>
      </c>
      <c r="L544" s="17">
        <f>IFERROR(__xludf.DUMMYFUNCTION("""COMPUTED_VALUE"""),3.165388617E9)</f>
        <v>3165388617</v>
      </c>
      <c r="M544" s="17" t="str">
        <f>IFERROR(__xludf.DUMMYFUNCTION("""COMPUTED_VALUE"""),"#REF!")</f>
        <v>#REF!</v>
      </c>
      <c r="N544" s="17"/>
      <c r="O544" s="19" t="str">
        <f>IFERROR(__xludf.DUMMYFUNCTION("""COMPUTED_VALUE"""),"")</f>
        <v/>
      </c>
      <c r="P544" s="17" t="b">
        <f>IFERROR(__xludf.DUMMYFUNCTION("""COMPUTED_VALUE"""),FALSE)</f>
        <v>0</v>
      </c>
      <c r="Q544" s="20" t="str">
        <f>IFERROR(__xludf.DUMMYFUNCTION("""COMPUTED_VALUE"""),"")</f>
        <v/>
      </c>
      <c r="R544" s="21" t="str">
        <f>IFERROR(__xludf.DUMMYFUNCTION("""COMPUTED_VALUE"""),"https://drive.google.com/file/d/1tkQRNAoOrXoZ1ARj-aO3AJpv3CJf5_tI/view?usp=drivesdk")</f>
        <v>https://drive.google.com/file/d/1tkQRNAoOrXoZ1ARj-aO3AJpv3CJf5_tI/view?usp=drivesdk</v>
      </c>
    </row>
    <row r="545">
      <c r="A545" s="15">
        <f>IFERROR(__xludf.DUMMYFUNCTION("""COMPUTED_VALUE"""),45013.0)</f>
        <v>45013</v>
      </c>
      <c r="B545" s="16" t="str">
        <f>IFERROR(__xludf.DUMMYFUNCTION("""COMPUTED_VALUE"""),"Johan Alexander Escobar Arroyo ")</f>
        <v>Johan Alexander Escobar Arroyo </v>
      </c>
      <c r="C545" s="15" t="str">
        <f>IFERROR(__xludf.DUMMYFUNCTION("""COMPUTED_VALUE"""),"CALI")</f>
        <v>CALI</v>
      </c>
      <c r="D545" s="15" t="str">
        <f>IFERROR(__xludf.DUMMYFUNCTION("""COMPUTED_VALUE"""),"BOGOTÁ")</f>
        <v>BOGOTÁ</v>
      </c>
      <c r="E545" s="15" t="str">
        <f>IFERROR(__xludf.DUMMYFUNCTION("""COMPUTED_VALUE"""),"Evamazzita")</f>
        <v>Evamazzita</v>
      </c>
      <c r="F545" s="17" t="str">
        <f>IFERROR(__xludf.DUMMYFUNCTION("""COMPUTED_VALUE"""),"Cl 16#61-24   / apto 337 torre J  / unidad torremolinos")</f>
        <v>Cl 16#61-24   / apto 337 torre J  / unidad torremolinos</v>
      </c>
      <c r="G545" s="15" t="str">
        <f>IFERROR(__xludf.DUMMYFUNCTION("""COMPUTED_VALUE"""),"CATERINE ZAPATA")</f>
        <v>CATERINE ZAPATA</v>
      </c>
      <c r="H545" s="18">
        <f>IFERROR(__xludf.DUMMYFUNCTION("""COMPUTED_VALUE"""),9202.0)</f>
        <v>9202</v>
      </c>
      <c r="I545" s="18">
        <f>IFERROR(__xludf.DUMMYFUNCTION("""COMPUTED_VALUE"""),3.0)</f>
        <v>3</v>
      </c>
      <c r="J545" s="18">
        <f>IFERROR(__xludf.DUMMYFUNCTION("""COMPUTED_VALUE"""),20.0)</f>
        <v>20</v>
      </c>
      <c r="K545" s="18">
        <f>IFERROR(__xludf.DUMMYFUNCTION("""COMPUTED_VALUE"""),15.0)</f>
        <v>15</v>
      </c>
      <c r="L545" s="17">
        <f>IFERROR(__xludf.DUMMYFUNCTION("""COMPUTED_VALUE"""),3.229070901E9)</f>
        <v>3229070901</v>
      </c>
      <c r="M545" s="17" t="str">
        <f>IFERROR(__xludf.DUMMYFUNCTION("""COMPUTED_VALUE"""),"#REF!")</f>
        <v>#REF!</v>
      </c>
      <c r="N545" s="17"/>
      <c r="O545" s="19" t="str">
        <f>IFERROR(__xludf.DUMMYFUNCTION("""COMPUTED_VALUE"""),"")</f>
        <v/>
      </c>
      <c r="P545" s="17" t="b">
        <f>IFERROR(__xludf.DUMMYFUNCTION("""COMPUTED_VALUE"""),FALSE)</f>
        <v>0</v>
      </c>
      <c r="Q545" s="20" t="str">
        <f>IFERROR(__xludf.DUMMYFUNCTION("""COMPUTED_VALUE"""),"")</f>
        <v/>
      </c>
      <c r="R545" s="21" t="str">
        <f>IFERROR(__xludf.DUMMYFUNCTION("""COMPUTED_VALUE"""),"https://drive.google.com/file/d/1yw8rXmFnhzsInfzpZ-IDK3KMVcmzw0KA/view?usp=drivesdk")</f>
        <v>https://drive.google.com/file/d/1yw8rXmFnhzsInfzpZ-IDK3KMVcmzw0KA/view?usp=drivesdk</v>
      </c>
    </row>
    <row r="546">
      <c r="A546" s="15">
        <f>IFERROR(__xludf.DUMMYFUNCTION("""COMPUTED_VALUE"""),45013.0)</f>
        <v>45013</v>
      </c>
      <c r="B546" s="16" t="str">
        <f>IFERROR(__xludf.DUMMYFUNCTION("""COMPUTED_VALUE"""),"Johan Alexander Escobar Arroyo ")</f>
        <v>Johan Alexander Escobar Arroyo </v>
      </c>
      <c r="C546" s="15" t="str">
        <f>IFERROR(__xludf.DUMMYFUNCTION("""COMPUTED_VALUE"""),"CALI")</f>
        <v>CALI</v>
      </c>
      <c r="D546" s="15" t="str">
        <f>IFERROR(__xludf.DUMMYFUNCTION("""COMPUTED_VALUE"""),"BOGOTÁ")</f>
        <v>BOGOTÁ</v>
      </c>
      <c r="E546" s="15" t="str">
        <f>IFERROR(__xludf.DUMMYFUNCTION("""COMPUTED_VALUE"""),"Evamazzita")</f>
        <v>Evamazzita</v>
      </c>
      <c r="F546" s="17" t="str">
        <f>IFERROR(__xludf.DUMMYFUNCTION("""COMPUTED_VALUE"""),"CRA 23 No. 11 - 68  / BARRIO EL JUNIN  / (ES EN UNA ESQUINA, FERRETERIA EL JUNIN)")</f>
        <v>CRA 23 No. 11 - 68  / BARRIO EL JUNIN  / (ES EN UNA ESQUINA, FERRETERIA EL JUNIN)</v>
      </c>
      <c r="G546" s="15" t="str">
        <f>IFERROR(__xludf.DUMMYFUNCTION("""COMPUTED_VALUE"""),"JULIANA POSADA MONTOYA")</f>
        <v>JULIANA POSADA MONTOYA</v>
      </c>
      <c r="H546" s="18">
        <f>IFERROR(__xludf.DUMMYFUNCTION("""COMPUTED_VALUE"""),9203.0)</f>
        <v>9203</v>
      </c>
      <c r="I546" s="18">
        <f>IFERROR(__xludf.DUMMYFUNCTION("""COMPUTED_VALUE"""),3.0)</f>
        <v>3</v>
      </c>
      <c r="J546" s="18">
        <f>IFERROR(__xludf.DUMMYFUNCTION("""COMPUTED_VALUE"""),15.0)</f>
        <v>15</v>
      </c>
      <c r="K546" s="18">
        <f>IFERROR(__xludf.DUMMYFUNCTION("""COMPUTED_VALUE"""),20.0)</f>
        <v>20</v>
      </c>
      <c r="L546" s="17">
        <f>IFERROR(__xludf.DUMMYFUNCTION("""COMPUTED_VALUE"""),3.176992692E9)</f>
        <v>3176992692</v>
      </c>
      <c r="M546" s="17" t="str">
        <f>IFERROR(__xludf.DUMMYFUNCTION("""COMPUTED_VALUE"""),"#REF!")</f>
        <v>#REF!</v>
      </c>
      <c r="N546" s="17"/>
      <c r="O546" s="19" t="str">
        <f>IFERROR(__xludf.DUMMYFUNCTION("""COMPUTED_VALUE"""),"")</f>
        <v/>
      </c>
      <c r="P546" s="17" t="b">
        <f>IFERROR(__xludf.DUMMYFUNCTION("""COMPUTED_VALUE"""),FALSE)</f>
        <v>0</v>
      </c>
      <c r="Q546" s="20" t="str">
        <f>IFERROR(__xludf.DUMMYFUNCTION("""COMPUTED_VALUE"""),"")</f>
        <v/>
      </c>
      <c r="R546" s="21" t="str">
        <f>IFERROR(__xludf.DUMMYFUNCTION("""COMPUTED_VALUE"""),"https://drive.google.com/file/d/1rBNMnjyu5F9ZQWOiCGPcdH5WS13-pSS2/view?usp=drivesdk")</f>
        <v>https://drive.google.com/file/d/1rBNMnjyu5F9ZQWOiCGPcdH5WS13-pSS2/view?usp=drivesdk</v>
      </c>
    </row>
    <row r="547">
      <c r="A547" s="15">
        <f>IFERROR(__xludf.DUMMYFUNCTION("""COMPUTED_VALUE"""),45013.0)</f>
        <v>45013</v>
      </c>
      <c r="B547" s="16" t="str">
        <f>IFERROR(__xludf.DUMMYFUNCTION("""COMPUTED_VALUE"""),"Johan Alexander Escobar Arroyo ")</f>
        <v>Johan Alexander Escobar Arroyo </v>
      </c>
      <c r="C547" s="15" t="str">
        <f>IFERROR(__xludf.DUMMYFUNCTION("""COMPUTED_VALUE"""),"CALI")</f>
        <v>CALI</v>
      </c>
      <c r="D547" s="15" t="str">
        <f>IFERROR(__xludf.DUMMYFUNCTION("""COMPUTED_VALUE"""),"BOGOTÁ")</f>
        <v>BOGOTÁ</v>
      </c>
      <c r="E547" s="15" t="str">
        <f>IFERROR(__xludf.DUMMYFUNCTION("""COMPUTED_VALUE"""),"Ind. Karpos")</f>
        <v>Ind. Karpos</v>
      </c>
      <c r="F547" s="17" t="str">
        <f>IFERROR(__xludf.DUMMYFUNCTION("""COMPUTED_VALUE"""),"CARRERA 19 A # 45 - 56, PALMIRA VALLE / PALMIRA VALLE / BALCONES DE ALTAMIRA")</f>
        <v>CARRERA 19 A # 45 - 56, PALMIRA VALLE / PALMIRA VALLE / BALCONES DE ALTAMIRA</v>
      </c>
      <c r="G547" s="15" t="str">
        <f>IFERROR(__xludf.DUMMYFUNCTION("""COMPUTED_VALUE"""),"JAVIER GALAN")</f>
        <v>JAVIER GALAN</v>
      </c>
      <c r="H547" s="18">
        <f>IFERROR(__xludf.DUMMYFUNCTION("""COMPUTED_VALUE"""),9241.0)</f>
        <v>9241</v>
      </c>
      <c r="I547" s="18">
        <f>IFERROR(__xludf.DUMMYFUNCTION("""COMPUTED_VALUE"""),40.0)</f>
        <v>40</v>
      </c>
      <c r="J547" s="18">
        <f>IFERROR(__xludf.DUMMYFUNCTION("""COMPUTED_VALUE"""),26.0)</f>
        <v>26</v>
      </c>
      <c r="K547" s="18">
        <f>IFERROR(__xludf.DUMMYFUNCTION("""COMPUTED_VALUE"""),17.0)</f>
        <v>17</v>
      </c>
      <c r="L547" s="17">
        <f>IFERROR(__xludf.DUMMYFUNCTION("""COMPUTED_VALUE"""),3.154920766E9)</f>
        <v>3154920766</v>
      </c>
      <c r="M547" s="17" t="str">
        <f>IFERROR(__xludf.DUMMYFUNCTION("""COMPUTED_VALUE"""),"#REF!")</f>
        <v>#REF!</v>
      </c>
      <c r="N547" s="17"/>
      <c r="O547" s="19" t="str">
        <f>IFERROR(__xludf.DUMMYFUNCTION("""COMPUTED_VALUE"""),"")</f>
        <v/>
      </c>
      <c r="P547" s="17" t="b">
        <f>IFERROR(__xludf.DUMMYFUNCTION("""COMPUTED_VALUE"""),FALSE)</f>
        <v>0</v>
      </c>
      <c r="Q547" s="20" t="str">
        <f>IFERROR(__xludf.DUMMYFUNCTION("""COMPUTED_VALUE"""),"")</f>
        <v/>
      </c>
      <c r="R547" s="22" t="str">
        <f>IFERROR(__xludf.DUMMYFUNCTION("""COMPUTED_VALUE"""),"")</f>
        <v/>
      </c>
    </row>
    <row r="548">
      <c r="A548" s="15">
        <f>IFERROR(__xludf.DUMMYFUNCTION("""COMPUTED_VALUE"""),45013.0)</f>
        <v>45013</v>
      </c>
      <c r="B548" s="16" t="str">
        <f>IFERROR(__xludf.DUMMYFUNCTION("""COMPUTED_VALUE"""),"Johan Alexander Escobar Arroyo ")</f>
        <v>Johan Alexander Escobar Arroyo </v>
      </c>
      <c r="C548" s="15" t="str">
        <f>IFERROR(__xludf.DUMMYFUNCTION("""COMPUTED_VALUE"""),"CALI")</f>
        <v>CALI</v>
      </c>
      <c r="D548" s="15" t="str">
        <f>IFERROR(__xludf.DUMMYFUNCTION("""COMPUTED_VALUE"""),"BOGOTÁ")</f>
        <v>BOGOTÁ</v>
      </c>
      <c r="E548" s="15" t="str">
        <f>IFERROR(__xludf.DUMMYFUNCTION("""COMPUTED_VALUE"""),"Karem foods")</f>
        <v>Karem foods</v>
      </c>
      <c r="F548" s="17" t="str">
        <f>IFERROR(__xludf.DUMMYFUNCTION("""COMPUTED_VALUE"""),"Calle 4 75-71 Conjunto Bocana Real Apto 410 Barrio Alférez Real  / - / -")</f>
        <v>Calle 4 75-71 Conjunto Bocana Real Apto 410 Barrio Alférez Real  / - / -</v>
      </c>
      <c r="G548" s="15" t="str">
        <f>IFERROR(__xludf.DUMMYFUNCTION("""COMPUTED_VALUE"""),"Luis Alberto Zuluaga Zuluaga")</f>
        <v>Luis Alberto Zuluaga Zuluaga</v>
      </c>
      <c r="H548" s="18">
        <f>IFERROR(__xludf.DUMMYFUNCTION("""COMPUTED_VALUE"""),9222.0)</f>
        <v>9222</v>
      </c>
      <c r="I548" s="18">
        <f>IFERROR(__xludf.DUMMYFUNCTION("""COMPUTED_VALUE"""),8.0)</f>
        <v>8</v>
      </c>
      <c r="J548" s="18">
        <f>IFERROR(__xludf.DUMMYFUNCTION("""COMPUTED_VALUE"""),8.0)</f>
        <v>8</v>
      </c>
      <c r="K548" s="18">
        <f>IFERROR(__xludf.DUMMYFUNCTION("""COMPUTED_VALUE"""),10.0)</f>
        <v>10</v>
      </c>
      <c r="L548" s="17">
        <f>IFERROR(__xludf.DUMMYFUNCTION("""COMPUTED_VALUE"""),3.183061736E9)</f>
        <v>3183061736</v>
      </c>
      <c r="M548" s="17" t="str">
        <f>IFERROR(__xludf.DUMMYFUNCTION("""COMPUTED_VALUE"""),"#REF!")</f>
        <v>#REF!</v>
      </c>
      <c r="N548" s="17"/>
      <c r="O548" s="19" t="str">
        <f>IFERROR(__xludf.DUMMYFUNCTION("""COMPUTED_VALUE"""),"")</f>
        <v/>
      </c>
      <c r="P548" s="17" t="b">
        <f>IFERROR(__xludf.DUMMYFUNCTION("""COMPUTED_VALUE"""),FALSE)</f>
        <v>0</v>
      </c>
      <c r="Q548" s="20" t="str">
        <f>IFERROR(__xludf.DUMMYFUNCTION("""COMPUTED_VALUE"""),"")</f>
        <v/>
      </c>
      <c r="R548" s="21" t="str">
        <f>IFERROR(__xludf.DUMMYFUNCTION("""COMPUTED_VALUE"""),"https://drive.google.com/file/d/1ZGhQsUNvOVD1gxU-knGPPHagEewtpSHr/view?usp=drivesdk")</f>
        <v>https://drive.google.com/file/d/1ZGhQsUNvOVD1gxU-knGPPHagEewtpSHr/view?usp=drivesdk</v>
      </c>
    </row>
    <row r="549">
      <c r="A549" s="15">
        <f>IFERROR(__xludf.DUMMYFUNCTION("""COMPUTED_VALUE"""),45013.0)</f>
        <v>45013</v>
      </c>
      <c r="B549" s="16" t="str">
        <f>IFERROR(__xludf.DUMMYFUNCTION("""COMPUTED_VALUE"""),"Johan Alexander Escobar Arroyo ")</f>
        <v>Johan Alexander Escobar Arroyo </v>
      </c>
      <c r="C549" s="15" t="str">
        <f>IFERROR(__xludf.DUMMYFUNCTION("""COMPUTED_VALUE"""),"CALI")</f>
        <v>CALI</v>
      </c>
      <c r="D549" s="15" t="str">
        <f>IFERROR(__xludf.DUMMYFUNCTION("""COMPUTED_VALUE"""),"BOGOTÁ")</f>
        <v>BOGOTÁ</v>
      </c>
      <c r="E549" s="15" t="str">
        <f>IFERROR(__xludf.DUMMYFUNCTION("""COMPUTED_VALUE"""),"Pan de Waffle")</f>
        <v>Pan de Waffle</v>
      </c>
      <c r="F549" s="17" t="str">
        <f>IFERROR(__xludf.DUMMYFUNCTION("""COMPUTED_VALUE"""),"Carrera 1 OESTE # 1-109 / Carrera 1 OESTE # 1-109 / Carrera 1 OESTE # 1-109")</f>
        <v>Carrera 1 OESTE # 1-109 / Carrera 1 OESTE # 1-109 / Carrera 1 OESTE # 1-109</v>
      </c>
      <c r="G549" s="15" t="str">
        <f>IFERROR(__xludf.DUMMYFUNCTION("""COMPUTED_VALUE"""),"SUPER A LIMITADA")</f>
        <v>SUPER A LIMITADA</v>
      </c>
      <c r="H549" s="18">
        <f>IFERROR(__xludf.DUMMYFUNCTION("""COMPUTED_VALUE"""),9240.0)</f>
        <v>9240</v>
      </c>
      <c r="I549" s="18">
        <f>IFERROR(__xludf.DUMMYFUNCTION("""COMPUTED_VALUE"""),30.0)</f>
        <v>30</v>
      </c>
      <c r="J549" s="18">
        <f>IFERROR(__xludf.DUMMYFUNCTION("""COMPUTED_VALUE"""),40.0)</f>
        <v>40</v>
      </c>
      <c r="K549" s="18">
        <f>IFERROR(__xludf.DUMMYFUNCTION("""COMPUTED_VALUE"""),30.0)</f>
        <v>30</v>
      </c>
      <c r="L549" s="17">
        <f>IFERROR(__xludf.DUMMYFUNCTION("""COMPUTED_VALUE"""),8290624.0)</f>
        <v>8290624</v>
      </c>
      <c r="M549" s="17" t="str">
        <f>IFERROR(__xludf.DUMMYFUNCTION("""COMPUTED_VALUE"""),"#REF!")</f>
        <v>#REF!</v>
      </c>
      <c r="N549" s="17"/>
      <c r="O549" s="19" t="str">
        <f>IFERROR(__xludf.DUMMYFUNCTION("""COMPUTED_VALUE"""),"")</f>
        <v/>
      </c>
      <c r="P549" s="17" t="b">
        <f>IFERROR(__xludf.DUMMYFUNCTION("""COMPUTED_VALUE"""),FALSE)</f>
        <v>0</v>
      </c>
      <c r="Q549" s="20" t="str">
        <f>IFERROR(__xludf.DUMMYFUNCTION("""COMPUTED_VALUE"""),"")</f>
        <v/>
      </c>
      <c r="R549" s="21" t="str">
        <f>IFERROR(__xludf.DUMMYFUNCTION("""COMPUTED_VALUE"""),"https://drive.google.com/file/d/1XcYxx8c8b9zRvNDysb9PPTImT_C6XR89/view?usp=drivesdk")</f>
        <v>https://drive.google.com/file/d/1XcYxx8c8b9zRvNDysb9PPTImT_C6XR89/view?usp=drivesdk</v>
      </c>
    </row>
    <row r="550">
      <c r="A550" s="15">
        <f>IFERROR(__xludf.DUMMYFUNCTION("""COMPUTED_VALUE"""),45013.0)</f>
        <v>45013</v>
      </c>
      <c r="B550" s="16" t="str">
        <f>IFERROR(__xludf.DUMMYFUNCTION("""COMPUTED_VALUE"""),"Johan Alexander Escobar Arroyo ")</f>
        <v>Johan Alexander Escobar Arroyo </v>
      </c>
      <c r="C550" s="15" t="str">
        <f>IFERROR(__xludf.DUMMYFUNCTION("""COMPUTED_VALUE"""),"CALI")</f>
        <v>CALI</v>
      </c>
      <c r="D550" s="15" t="str">
        <f>IFERROR(__xludf.DUMMYFUNCTION("""COMPUTED_VALUE"""),"BOGOTÁ")</f>
        <v>BOGOTÁ</v>
      </c>
      <c r="E550" s="15" t="str">
        <f>IFERROR(__xludf.DUMMYFUNCTION("""COMPUTED_VALUE"""),"Pan de Waffle")</f>
        <v>Pan de Waffle</v>
      </c>
      <c r="F550" s="17" t="str">
        <f>IFERROR(__xludf.DUMMYFUNCTION("""COMPUTED_VALUE"""),"Carrera 45 # 5c - 33 Tequendama / Carrera 45 # 5c - 33 Tequendama / Carrera 45 # 5c - 33 Tequendama")</f>
        <v>Carrera 45 # 5c - 33 Tequendama / Carrera 45 # 5c - 33 Tequendama / Carrera 45 # 5c - 33 Tequendama</v>
      </c>
      <c r="G550" s="15" t="str">
        <f>IFERROR(__xludf.DUMMYFUNCTION("""COMPUTED_VALUE"""),"Abhay Tienda Saludable")</f>
        <v>Abhay Tienda Saludable</v>
      </c>
      <c r="H550" s="18">
        <f>IFERROR(__xludf.DUMMYFUNCTION("""COMPUTED_VALUE"""),9238.0)</f>
        <v>9238</v>
      </c>
      <c r="I550" s="18">
        <f>IFERROR(__xludf.DUMMYFUNCTION("""COMPUTED_VALUE"""),40.0)</f>
        <v>40</v>
      </c>
      <c r="J550" s="18">
        <f>IFERROR(__xludf.DUMMYFUNCTION("""COMPUTED_VALUE"""),30.0)</f>
        <v>30</v>
      </c>
      <c r="K550" s="18">
        <f>IFERROR(__xludf.DUMMYFUNCTION("""COMPUTED_VALUE"""),30.0)</f>
        <v>30</v>
      </c>
      <c r="L550" s="17">
        <f>IFERROR(__xludf.DUMMYFUNCTION("""COMPUTED_VALUE"""),3.106034737E9)</f>
        <v>3106034737</v>
      </c>
      <c r="M550" s="17" t="str">
        <f>IFERROR(__xludf.DUMMYFUNCTION("""COMPUTED_VALUE"""),"#REF!")</f>
        <v>#REF!</v>
      </c>
      <c r="N550" s="17"/>
      <c r="O550" s="19" t="str">
        <f>IFERROR(__xludf.DUMMYFUNCTION("""COMPUTED_VALUE"""),"")</f>
        <v/>
      </c>
      <c r="P550" s="17" t="b">
        <f>IFERROR(__xludf.DUMMYFUNCTION("""COMPUTED_VALUE"""),FALSE)</f>
        <v>0</v>
      </c>
      <c r="Q550" s="20" t="str">
        <f>IFERROR(__xludf.DUMMYFUNCTION("""COMPUTED_VALUE"""),"")</f>
        <v/>
      </c>
      <c r="R550" s="21" t="str">
        <f>IFERROR(__xludf.DUMMYFUNCTION("""COMPUTED_VALUE"""),"https://drive.google.com/file/d/1aAMFFME1jxARD2YimBzAYYhK2vgUorFo/view?usp=drivesdk")</f>
        <v>https://drive.google.com/file/d/1aAMFFME1jxARD2YimBzAYYhK2vgUorFo/view?usp=drivesdk</v>
      </c>
    </row>
    <row r="551">
      <c r="A551" s="15">
        <f>IFERROR(__xludf.DUMMYFUNCTION("""COMPUTED_VALUE"""),45013.0)</f>
        <v>45013</v>
      </c>
      <c r="B551" s="16" t="str">
        <f>IFERROR(__xludf.DUMMYFUNCTION("""COMPUTED_VALUE"""),"Johan Alexander Escobar Arroyo ")</f>
        <v>Johan Alexander Escobar Arroyo </v>
      </c>
      <c r="C551" s="15" t="str">
        <f>IFERROR(__xludf.DUMMYFUNCTION("""COMPUTED_VALUE"""),"CALI")</f>
        <v>CALI</v>
      </c>
      <c r="D551" s="15" t="str">
        <f>IFERROR(__xludf.DUMMYFUNCTION("""COMPUTED_VALUE"""),"BOGOTÁ")</f>
        <v>BOGOTÁ</v>
      </c>
      <c r="E551" s="15" t="str">
        <f>IFERROR(__xludf.DUMMYFUNCTION("""COMPUTED_VALUE"""),"Top Spun")</f>
        <v>Top Spun</v>
      </c>
      <c r="F551" s="17" t="str">
        <f>IFERROR(__xludf.DUMMYFUNCTION("""COMPUTED_VALUE"""),"Carrera 102 no. 34-133 / Unidad capriani apto 204 torre 1 / Barrio valle del lili")</f>
        <v>Carrera 102 no. 34-133 / Unidad capriani apto 204 torre 1 / Barrio valle del lili</v>
      </c>
      <c r="G551" s="15" t="str">
        <f>IFERROR(__xludf.DUMMYFUNCTION("""COMPUTED_VALUE"""),"Carolina benavides")</f>
        <v>Carolina benavides</v>
      </c>
      <c r="H551" s="18">
        <f>IFERROR(__xludf.DUMMYFUNCTION("""COMPUTED_VALUE"""),9189.0)</f>
        <v>9189</v>
      </c>
      <c r="I551" s="18">
        <f>IFERROR(__xludf.DUMMYFUNCTION("""COMPUTED_VALUE"""),20.0)</f>
        <v>20</v>
      </c>
      <c r="J551" s="18">
        <f>IFERROR(__xludf.DUMMYFUNCTION("""COMPUTED_VALUE"""),10.0)</f>
        <v>10</v>
      </c>
      <c r="K551" s="18">
        <f>IFERROR(__xludf.DUMMYFUNCTION("""COMPUTED_VALUE"""),40.0)</f>
        <v>40</v>
      </c>
      <c r="L551" s="17">
        <f>IFERROR(__xludf.DUMMYFUNCTION("""COMPUTED_VALUE"""),3.148550498E9)</f>
        <v>3148550498</v>
      </c>
      <c r="M551" s="17" t="str">
        <f>IFERROR(__xludf.DUMMYFUNCTION("""COMPUTED_VALUE"""),"#REF!")</f>
        <v>#REF!</v>
      </c>
      <c r="N551" s="17"/>
      <c r="O551" s="19" t="str">
        <f>IFERROR(__xludf.DUMMYFUNCTION("""COMPUTED_VALUE"""),"")</f>
        <v/>
      </c>
      <c r="P551" s="17" t="b">
        <f>IFERROR(__xludf.DUMMYFUNCTION("""COMPUTED_VALUE"""),FALSE)</f>
        <v>0</v>
      </c>
      <c r="Q551" s="20" t="str">
        <f>IFERROR(__xludf.DUMMYFUNCTION("""COMPUTED_VALUE"""),"")</f>
        <v/>
      </c>
      <c r="R551" s="21" t="str">
        <f>IFERROR(__xludf.DUMMYFUNCTION("""COMPUTED_VALUE"""),"https://drive.google.com/file/d/1l4bRce3qlzQtmAFUHlPSchucBvz5mqzT/view?usp=drivesdk")</f>
        <v>https://drive.google.com/file/d/1l4bRce3qlzQtmAFUHlPSchucBvz5mqzT/view?usp=drivesdk</v>
      </c>
    </row>
    <row r="552">
      <c r="A552" s="15">
        <f>IFERROR(__xludf.DUMMYFUNCTION("""COMPUTED_VALUE"""),45013.0)</f>
        <v>45013</v>
      </c>
      <c r="B552" s="16" t="str">
        <f>IFERROR(__xludf.DUMMYFUNCTION("""COMPUTED_VALUE"""),"Johan Alexander Escobar Arroyo ")</f>
        <v>Johan Alexander Escobar Arroyo </v>
      </c>
      <c r="C552" s="15" t="str">
        <f>IFERROR(__xludf.DUMMYFUNCTION("""COMPUTED_VALUE"""),"CALI")</f>
        <v>CALI</v>
      </c>
      <c r="D552" s="15" t="str">
        <f>IFERROR(__xludf.DUMMYFUNCTION("""COMPUTED_VALUE"""),"BOGOTÁ")</f>
        <v>BOGOTÁ</v>
      </c>
      <c r="E552" s="15" t="str">
        <f>IFERROR(__xludf.DUMMYFUNCTION("""COMPUTED_VALUE"""),"Top Spun")</f>
        <v>Top Spun</v>
      </c>
      <c r="F552" s="17" t="str">
        <f>IFERROR(__xludf.DUMMYFUNCTION("""COMPUTED_VALUE"""),"Cra 138 # 4-133 / casa 36  / Cali")</f>
        <v>Cra 138 # 4-133 / casa 36  / Cali</v>
      </c>
      <c r="G552" s="15" t="str">
        <f>IFERROR(__xludf.DUMMYFUNCTION("""COMPUTED_VALUE"""),"Angie useche")</f>
        <v>Angie useche</v>
      </c>
      <c r="H552" s="18">
        <f>IFERROR(__xludf.DUMMYFUNCTION("""COMPUTED_VALUE"""),9159.0)</f>
        <v>9159</v>
      </c>
      <c r="I552" s="18">
        <f>IFERROR(__xludf.DUMMYFUNCTION("""COMPUTED_VALUE"""),20.0)</f>
        <v>20</v>
      </c>
      <c r="J552" s="18">
        <f>IFERROR(__xludf.DUMMYFUNCTION("""COMPUTED_VALUE"""),10.0)</f>
        <v>10</v>
      </c>
      <c r="K552" s="18">
        <f>IFERROR(__xludf.DUMMYFUNCTION("""COMPUTED_VALUE"""),40.0)</f>
        <v>40</v>
      </c>
      <c r="L552" s="17">
        <f>IFERROR(__xludf.DUMMYFUNCTION("""COMPUTED_VALUE"""),3.162675827E9)</f>
        <v>3162675827</v>
      </c>
      <c r="M552" s="17" t="str">
        <f>IFERROR(__xludf.DUMMYFUNCTION("""COMPUTED_VALUE"""),"#REF!")</f>
        <v>#REF!</v>
      </c>
      <c r="N552" s="17"/>
      <c r="O552" s="19" t="str">
        <f>IFERROR(__xludf.DUMMYFUNCTION("""COMPUTED_VALUE"""),"")</f>
        <v/>
      </c>
      <c r="P552" s="17" t="b">
        <f>IFERROR(__xludf.DUMMYFUNCTION("""COMPUTED_VALUE"""),FALSE)</f>
        <v>0</v>
      </c>
      <c r="Q552" s="20" t="str">
        <f>IFERROR(__xludf.DUMMYFUNCTION("""COMPUTED_VALUE"""),"")</f>
        <v/>
      </c>
      <c r="R552" s="21" t="str">
        <f>IFERROR(__xludf.DUMMYFUNCTION("""COMPUTED_VALUE"""),"https://drive.google.com/file/d/1ik8fDvMHx7EmvGwAXX4H9rPeNee120dP/view?usp=drivesdk")</f>
        <v>https://drive.google.com/file/d/1ik8fDvMHx7EmvGwAXX4H9rPeNee120dP/view?usp=drivesdk</v>
      </c>
    </row>
    <row r="553">
      <c r="A553" s="15">
        <f>IFERROR(__xludf.DUMMYFUNCTION("""COMPUTED_VALUE"""),45013.0)</f>
        <v>45013</v>
      </c>
      <c r="B553" s="16" t="str">
        <f>IFERROR(__xludf.DUMMYFUNCTION("""COMPUTED_VALUE"""),"Johan Alexander Escobar Arroyo ")</f>
        <v>Johan Alexander Escobar Arroyo </v>
      </c>
      <c r="C553" s="15" t="str">
        <f>IFERROR(__xludf.DUMMYFUNCTION("""COMPUTED_VALUE"""),"IBAGUÉ")</f>
        <v>IBAGUÉ</v>
      </c>
      <c r="D553" s="15" t="str">
        <f>IFERROR(__xludf.DUMMYFUNCTION("""COMPUTED_VALUE"""),"MEDELLÍN")</f>
        <v>MEDELLÍN</v>
      </c>
      <c r="E553" s="15" t="str">
        <f>IFERROR(__xludf.DUMMYFUNCTION("""COMPUTED_VALUE"""),"Baby Chef")</f>
        <v>Baby Chef</v>
      </c>
      <c r="F553" s="17" t="str">
        <f>IFERROR(__xludf.DUMMYFUNCTION("""COMPUTED_VALUE"""),"Calle 93 #20-40 sur Torre 1 apto 1102 Mirador de los Andes / Calle 93 #20-40 sur Torre 1 apto 1102 Mirador de los Andes / Calle 93 #20-40 sur Torre 1 apto 1102 Mirador de los Andes")</f>
        <v>Calle 93 #20-40 sur Torre 1 apto 1102 Mirador de los Andes / Calle 93 #20-40 sur Torre 1 apto 1102 Mirador de los Andes / Calle 93 #20-40 sur Torre 1 apto 1102 Mirador de los Andes</v>
      </c>
      <c r="G553" s="15" t="str">
        <f>IFERROR(__xludf.DUMMYFUNCTION("""COMPUTED_VALUE"""),"Monica Suárez -")</f>
        <v>Monica Suárez -</v>
      </c>
      <c r="H553" s="18">
        <f>IFERROR(__xludf.DUMMYFUNCTION("""COMPUTED_VALUE"""),9216.0)</f>
        <v>9216</v>
      </c>
      <c r="I553" s="18">
        <f>IFERROR(__xludf.DUMMYFUNCTION("""COMPUTED_VALUE"""),8.0)</f>
        <v>8</v>
      </c>
      <c r="J553" s="18">
        <f>IFERROR(__xludf.DUMMYFUNCTION("""COMPUTED_VALUE"""),16.0)</f>
        <v>16</v>
      </c>
      <c r="K553" s="18">
        <f>IFERROR(__xludf.DUMMYFUNCTION("""COMPUTED_VALUE"""),20.0)</f>
        <v>20</v>
      </c>
      <c r="L553" s="17">
        <f>IFERROR(__xludf.DUMMYFUNCTION("""COMPUTED_VALUE"""),3.154282865E9)</f>
        <v>3154282865</v>
      </c>
      <c r="M553" s="17" t="str">
        <f>IFERROR(__xludf.DUMMYFUNCTION("""COMPUTED_VALUE"""),"#REF!")</f>
        <v>#REF!</v>
      </c>
      <c r="N553" s="17"/>
      <c r="O553" s="19" t="str">
        <f>IFERROR(__xludf.DUMMYFUNCTION("""COMPUTED_VALUE"""),"")</f>
        <v/>
      </c>
      <c r="P553" s="17" t="b">
        <f>IFERROR(__xludf.DUMMYFUNCTION("""COMPUTED_VALUE"""),FALSE)</f>
        <v>0</v>
      </c>
      <c r="Q553" s="20" t="str">
        <f>IFERROR(__xludf.DUMMYFUNCTION("""COMPUTED_VALUE"""),"")</f>
        <v/>
      </c>
      <c r="R553" s="21" t="str">
        <f>IFERROR(__xludf.DUMMYFUNCTION("""COMPUTED_VALUE"""),"https://drive.google.com/file/d/1ORrP9nRF-fu7rHJ2bEtmLtHsO_BTHr28/view?usp=drivesdk")</f>
        <v>https://drive.google.com/file/d/1ORrP9nRF-fu7rHJ2bEtmLtHsO_BTHr28/view?usp=drivesdk</v>
      </c>
    </row>
    <row r="554">
      <c r="A554" s="15" t="str">
        <f>IFERROR(__xludf.DUMMYFUNCTION("""COMPUTED_VALUE"""),"")</f>
        <v/>
      </c>
      <c r="B554" s="16" t="str">
        <f>IFERROR(__xludf.DUMMYFUNCTION("""COMPUTED_VALUE"""),"")</f>
        <v/>
      </c>
      <c r="C554" s="15" t="str">
        <f>IFERROR(__xludf.DUMMYFUNCTION("""COMPUTED_VALUE"""),"")</f>
        <v/>
      </c>
      <c r="D554" s="15" t="str">
        <f>IFERROR(__xludf.DUMMYFUNCTION("""COMPUTED_VALUE"""),"")</f>
        <v/>
      </c>
      <c r="E554" s="15" t="str">
        <f>IFERROR(__xludf.DUMMYFUNCTION("""COMPUTED_VALUE"""),"")</f>
        <v/>
      </c>
      <c r="F554" s="17" t="str">
        <f>IFERROR(__xludf.DUMMYFUNCTION("""COMPUTED_VALUE"""),"")</f>
        <v/>
      </c>
      <c r="G554" s="15" t="str">
        <f>IFERROR(__xludf.DUMMYFUNCTION("""COMPUTED_VALUE"""),"")</f>
        <v/>
      </c>
      <c r="H554" s="18" t="str">
        <f>IFERROR(__xludf.DUMMYFUNCTION("""COMPUTED_VALUE"""),"")</f>
        <v/>
      </c>
      <c r="I554" s="18" t="str">
        <f>IFERROR(__xludf.DUMMYFUNCTION("""COMPUTED_VALUE"""),"")</f>
        <v/>
      </c>
      <c r="J554" s="18" t="str">
        <f>IFERROR(__xludf.DUMMYFUNCTION("""COMPUTED_VALUE"""),"")</f>
        <v/>
      </c>
      <c r="K554" s="17" t="str">
        <f>IFERROR(__xludf.DUMMYFUNCTION("""COMPUTED_VALUE"""),"")</f>
        <v/>
      </c>
      <c r="L554" s="17" t="str">
        <f>IFERROR(__xludf.DUMMYFUNCTION("""COMPUTED_VALUE"""),"")</f>
        <v/>
      </c>
      <c r="M554" s="17" t="str">
        <f>IFERROR(__xludf.DUMMYFUNCTION("""COMPUTED_VALUE"""),"")</f>
        <v/>
      </c>
      <c r="N554" s="19" t="str">
        <f>IFERROR(__xludf.DUMMYFUNCTION("""COMPUTED_VALUE"""),"")</f>
        <v/>
      </c>
      <c r="O554" s="19" t="str">
        <f>IFERROR(__xludf.DUMMYFUNCTION("""COMPUTED_VALUE"""),"")</f>
        <v/>
      </c>
      <c r="P554" s="17" t="str">
        <f>IFERROR(__xludf.DUMMYFUNCTION("""COMPUTED_VALUE"""),"")</f>
        <v/>
      </c>
      <c r="Q554" s="20" t="str">
        <f>IFERROR(__xludf.DUMMYFUNCTION("""COMPUTED_VALUE"""),"")</f>
        <v/>
      </c>
      <c r="R554" s="22" t="str">
        <f>IFERROR(__xludf.DUMMYFUNCTION("""COMPUTED_VALUE"""),"")</f>
        <v/>
      </c>
    </row>
    <row r="555">
      <c r="A555" s="15">
        <f>IFERROR(__xludf.DUMMYFUNCTION("""COMPUTED_VALUE"""),45013.0)</f>
        <v>45013</v>
      </c>
      <c r="B555" s="16" t="str">
        <f>IFERROR(__xludf.DUMMYFUNCTION("""COMPUTED_VALUE"""),"Sebastian Restrepo Martinez ")</f>
        <v>Sebastian Restrepo Martinez </v>
      </c>
      <c r="C555" s="15" t="str">
        <f>IFERROR(__xludf.DUMMYFUNCTION("""COMPUTED_VALUE"""),"MEDELLÍN")</f>
        <v>MEDELLÍN</v>
      </c>
      <c r="D555" s="15" t="str">
        <f>IFERROR(__xludf.DUMMYFUNCTION("""COMPUTED_VALUE"""),"BOGOTÁ")</f>
        <v>BOGOTÁ</v>
      </c>
      <c r="E555" s="15" t="str">
        <f>IFERROR(__xludf.DUMMYFUNCTION("""COMPUTED_VALUE"""),"Asociacion Agropecuaria Juana Maria")</f>
        <v>Asociacion Agropecuaria Juana Maria</v>
      </c>
      <c r="F555" s="17" t="str">
        <f>IFERROR(__xludf.DUMMYFUNCTION("""COMPUTED_VALUE"""),"Carrera 15 BA # 30D-44 int 201")</f>
        <v>Carrera 15 BA # 30D-44 int 201</v>
      </c>
      <c r="G555" s="15" t="str">
        <f>IFERROR(__xludf.DUMMYFUNCTION("""COMPUTED_VALUE"""),"Daniela Bedoya Blandon")</f>
        <v>Daniela Bedoya Blandon</v>
      </c>
      <c r="H555" s="18">
        <f>IFERROR(__xludf.DUMMYFUNCTION("""COMPUTED_VALUE"""),9170.0)</f>
        <v>9170</v>
      </c>
      <c r="I555" s="18">
        <f>IFERROR(__xludf.DUMMYFUNCTION("""COMPUTED_VALUE"""),16.0)</f>
        <v>16</v>
      </c>
      <c r="J555" s="18">
        <f>IFERROR(__xludf.DUMMYFUNCTION("""COMPUTED_VALUE"""),34.0)</f>
        <v>34</v>
      </c>
      <c r="K555" s="18">
        <f>IFERROR(__xludf.DUMMYFUNCTION("""COMPUTED_VALUE"""),25.0)</f>
        <v>25</v>
      </c>
      <c r="L555" s="17">
        <f>IFERROR(__xludf.DUMMYFUNCTION("""COMPUTED_VALUE"""),3.14672822E9)</f>
        <v>3146728220</v>
      </c>
      <c r="M555" s="17" t="str">
        <f>IFERROR(__xludf.DUMMYFUNCTION("""COMPUTED_VALUE"""),"#REF!")</f>
        <v>#REF!</v>
      </c>
      <c r="N555" s="17"/>
      <c r="O555" s="19" t="str">
        <f>IFERROR(__xludf.DUMMYFUNCTION("""COMPUTED_VALUE"""),"")</f>
        <v/>
      </c>
      <c r="P555" s="17" t="b">
        <f>IFERROR(__xludf.DUMMYFUNCTION("""COMPUTED_VALUE"""),FALSE)</f>
        <v>0</v>
      </c>
      <c r="Q555" s="20" t="str">
        <f>IFERROR(__xludf.DUMMYFUNCTION("""COMPUTED_VALUE"""),"")</f>
        <v/>
      </c>
      <c r="R555" s="22" t="str">
        <f>IFERROR(__xludf.DUMMYFUNCTION("""COMPUTED_VALUE"""),"")</f>
        <v/>
      </c>
    </row>
    <row r="556">
      <c r="A556" s="15">
        <f>IFERROR(__xludf.DUMMYFUNCTION("""COMPUTED_VALUE"""),45013.0)</f>
        <v>45013</v>
      </c>
      <c r="B556" s="16" t="str">
        <f>IFERROR(__xludf.DUMMYFUNCTION("""COMPUTED_VALUE"""),"Sebastian Restrepo Martinez ")</f>
        <v>Sebastian Restrepo Martinez </v>
      </c>
      <c r="C556" s="15" t="str">
        <f>IFERROR(__xludf.DUMMYFUNCTION("""COMPUTED_VALUE"""),"MEDELLÍN")</f>
        <v>MEDELLÍN</v>
      </c>
      <c r="D556" s="15" t="str">
        <f>IFERROR(__xludf.DUMMYFUNCTION("""COMPUTED_VALUE"""),"BOGOTÁ")</f>
        <v>BOGOTÁ</v>
      </c>
      <c r="E556" s="15" t="str">
        <f>IFERROR(__xludf.DUMMYFUNCTION("""COMPUTED_VALUE"""),"Evamazzita")</f>
        <v>Evamazzita</v>
      </c>
      <c r="F556" s="17" t="str">
        <f>IFERROR(__xludf.DUMMYFUNCTION("""COMPUTED_VALUE"""),"Carrera 43B #91-19  / interior 103   / MANRIQUE LA SALLE")</f>
        <v>Carrera 43B #91-19  / interior 103   / MANRIQUE LA SALLE</v>
      </c>
      <c r="G556" s="15" t="str">
        <f>IFERROR(__xludf.DUMMYFUNCTION("""COMPUTED_VALUE"""),"SARA JULIANA VERGARA MARTINEZ")</f>
        <v>SARA JULIANA VERGARA MARTINEZ</v>
      </c>
      <c r="H556" s="18">
        <f>IFERROR(__xludf.DUMMYFUNCTION("""COMPUTED_VALUE"""),9195.0)</f>
        <v>9195</v>
      </c>
      <c r="I556" s="18">
        <f>IFERROR(__xludf.DUMMYFUNCTION("""COMPUTED_VALUE"""),3.0)</f>
        <v>3</v>
      </c>
      <c r="J556" s="18">
        <f>IFERROR(__xludf.DUMMYFUNCTION("""COMPUTED_VALUE"""),20.0)</f>
        <v>20</v>
      </c>
      <c r="K556" s="18">
        <f>IFERROR(__xludf.DUMMYFUNCTION("""COMPUTED_VALUE"""),15.0)</f>
        <v>15</v>
      </c>
      <c r="L556" s="17">
        <f>IFERROR(__xludf.DUMMYFUNCTION("""COMPUTED_VALUE"""),3.044254622E9)</f>
        <v>3044254622</v>
      </c>
      <c r="M556" s="17" t="str">
        <f>IFERROR(__xludf.DUMMYFUNCTION("""COMPUTED_VALUE"""),"#REF!")</f>
        <v>#REF!</v>
      </c>
      <c r="N556" s="17"/>
      <c r="O556" s="19" t="str">
        <f>IFERROR(__xludf.DUMMYFUNCTION("""COMPUTED_VALUE"""),"")</f>
        <v/>
      </c>
      <c r="P556" s="17" t="b">
        <f>IFERROR(__xludf.DUMMYFUNCTION("""COMPUTED_VALUE"""),FALSE)</f>
        <v>0</v>
      </c>
      <c r="Q556" s="20" t="str">
        <f>IFERROR(__xludf.DUMMYFUNCTION("""COMPUTED_VALUE"""),"")</f>
        <v/>
      </c>
      <c r="R556" s="22" t="str">
        <f>IFERROR(__xludf.DUMMYFUNCTION("""COMPUTED_VALUE"""),"")</f>
        <v/>
      </c>
    </row>
    <row r="557">
      <c r="A557" s="15">
        <f>IFERROR(__xludf.DUMMYFUNCTION("""COMPUTED_VALUE"""),45013.0)</f>
        <v>45013</v>
      </c>
      <c r="B557" s="16" t="str">
        <f>IFERROR(__xludf.DUMMYFUNCTION("""COMPUTED_VALUE"""),"Sebastian Restrepo Martinez ")</f>
        <v>Sebastian Restrepo Martinez </v>
      </c>
      <c r="C557" s="15" t="str">
        <f>IFERROR(__xludf.DUMMYFUNCTION("""COMPUTED_VALUE"""),"MEDELLÍN")</f>
        <v>MEDELLÍN</v>
      </c>
      <c r="D557" s="15" t="str">
        <f>IFERROR(__xludf.DUMMYFUNCTION("""COMPUTED_VALUE"""),"BOGOTÁ")</f>
        <v>BOGOTÁ</v>
      </c>
      <c r="E557" s="15" t="str">
        <f>IFERROR(__xludf.DUMMYFUNCTION("""COMPUTED_VALUE"""),"Frubits")</f>
        <v>Frubits</v>
      </c>
      <c r="F557" s="17" t="str">
        <f>IFERROR(__xludf.DUMMYFUNCTION("""COMPUTED_VALUE"""),"Calle 14 #55-129 (Sótano 1), Cocinas Ocultas, Centro Comercial De Moda Outlet, Medellín. / Calle 14 #55-129 (Sótano 1), Cocinas Ocultas, Centro Comercial De Moda Outlet, Medellín. / Calle 14 #55-129 (Sótano 1), Cocinas Ocultas, Centro Comercial De Moda Ou"&amp;"tlet, Medellín.")</f>
        <v>Calle 14 #55-129 (Sótano 1), Cocinas Ocultas, Centro Comercial De Moda Outlet, Medellín. / Calle 14 #55-129 (Sótano 1), Cocinas Ocultas, Centro Comercial De Moda Outlet, Medellín. / Calle 14 #55-129 (Sótano 1), Cocinas Ocultas, Centro Comercial De Moda Outlet, Medellín.</v>
      </c>
      <c r="G557" s="15" t="str">
        <f>IFERROR(__xludf.DUMMYFUNCTION("""COMPUTED_VALUE"""),"Etna Duque Cocinas Ocultas")</f>
        <v>Etna Duque Cocinas Ocultas</v>
      </c>
      <c r="H557" s="18">
        <f>IFERROR(__xludf.DUMMYFUNCTION("""COMPUTED_VALUE"""),9164.0)</f>
        <v>9164</v>
      </c>
      <c r="I557" s="18">
        <f>IFERROR(__xludf.DUMMYFUNCTION("""COMPUTED_VALUE"""),54.0)</f>
        <v>54</v>
      </c>
      <c r="J557" s="18">
        <f>IFERROR(__xludf.DUMMYFUNCTION("""COMPUTED_VALUE"""),54.0)</f>
        <v>54</v>
      </c>
      <c r="K557" s="18">
        <f>IFERROR(__xludf.DUMMYFUNCTION("""COMPUTED_VALUE"""),54.0)</f>
        <v>54</v>
      </c>
      <c r="L557" s="17">
        <f>IFERROR(__xludf.DUMMYFUNCTION("""COMPUTED_VALUE"""),3.185120434E9)</f>
        <v>3185120434</v>
      </c>
      <c r="M557" s="17" t="str">
        <f>IFERROR(__xludf.DUMMYFUNCTION("""COMPUTED_VALUE"""),"#REF!")</f>
        <v>#REF!</v>
      </c>
      <c r="N557" s="17"/>
      <c r="O557" s="19" t="str">
        <f>IFERROR(__xludf.DUMMYFUNCTION("""COMPUTED_VALUE"""),"")</f>
        <v/>
      </c>
      <c r="P557" s="17" t="b">
        <f>IFERROR(__xludf.DUMMYFUNCTION("""COMPUTED_VALUE"""),FALSE)</f>
        <v>0</v>
      </c>
      <c r="Q557" s="20" t="str">
        <f>IFERROR(__xludf.DUMMYFUNCTION("""COMPUTED_VALUE"""),"")</f>
        <v/>
      </c>
      <c r="R557" s="22" t="str">
        <f>IFERROR(__xludf.DUMMYFUNCTION("""COMPUTED_VALUE"""),"")</f>
        <v/>
      </c>
    </row>
    <row r="558">
      <c r="A558" s="15">
        <f>IFERROR(__xludf.DUMMYFUNCTION("""COMPUTED_VALUE"""),45013.0)</f>
        <v>45013</v>
      </c>
      <c r="B558" s="16" t="str">
        <f>IFERROR(__xludf.DUMMYFUNCTION("""COMPUTED_VALUE"""),"Sebastian Restrepo Martinez ")</f>
        <v>Sebastian Restrepo Martinez </v>
      </c>
      <c r="C558" s="15" t="str">
        <f>IFERROR(__xludf.DUMMYFUNCTION("""COMPUTED_VALUE"""),"MEDELLÍN")</f>
        <v>MEDELLÍN</v>
      </c>
      <c r="D558" s="15" t="str">
        <f>IFERROR(__xludf.DUMMYFUNCTION("""COMPUTED_VALUE"""),"BOGOTÁ")</f>
        <v>BOGOTÁ</v>
      </c>
      <c r="E558" s="15" t="str">
        <f>IFERROR(__xludf.DUMMYFUNCTION("""COMPUTED_VALUE"""),"Ins. Alimento Vital")</f>
        <v>Ins. Alimento Vital</v>
      </c>
      <c r="F558" s="17" t="str">
        <f>IFERROR(__xludf.DUMMYFUNCTION("""COMPUTED_VALUE"""),"AV 74B # 39B 142 / CASA NEGRA 2 PISO / BARRIO LAURELES")</f>
        <v>AV 74B # 39B 142 / CASA NEGRA 2 PISO / BARRIO LAURELES</v>
      </c>
      <c r="G558" s="15" t="str">
        <f>IFERROR(__xludf.DUMMYFUNCTION("""COMPUTED_VALUE"""),"VELOCITY")</f>
        <v>VELOCITY</v>
      </c>
      <c r="H558" s="18">
        <f>IFERROR(__xludf.DUMMYFUNCTION("""COMPUTED_VALUE"""),9214.0)</f>
        <v>9214</v>
      </c>
      <c r="I558" s="18">
        <f>IFERROR(__xludf.DUMMYFUNCTION("""COMPUTED_VALUE"""),110.0)</f>
        <v>110</v>
      </c>
      <c r="J558" s="18">
        <f>IFERROR(__xludf.DUMMYFUNCTION("""COMPUTED_VALUE"""),45.0)</f>
        <v>45</v>
      </c>
      <c r="K558" s="18" t="str">
        <f>IFERROR(__xludf.DUMMYFUNCTION("""COMPUTED_VALUE"""),"52.5")</f>
        <v>52.5</v>
      </c>
      <c r="L558" s="17">
        <f>IFERROR(__xludf.DUMMYFUNCTION("""COMPUTED_VALUE"""),3.195119419E9)</f>
        <v>3195119419</v>
      </c>
      <c r="M558" s="17" t="str">
        <f>IFERROR(__xludf.DUMMYFUNCTION("""COMPUTED_VALUE"""),"#REF!")</f>
        <v>#REF!</v>
      </c>
      <c r="N558" s="17"/>
      <c r="O558" s="19" t="str">
        <f>IFERROR(__xludf.DUMMYFUNCTION("""COMPUTED_VALUE"""),"")</f>
        <v/>
      </c>
      <c r="P558" s="17" t="b">
        <f>IFERROR(__xludf.DUMMYFUNCTION("""COMPUTED_VALUE"""),FALSE)</f>
        <v>0</v>
      </c>
      <c r="Q558" s="20" t="str">
        <f>IFERROR(__xludf.DUMMYFUNCTION("""COMPUTED_VALUE"""),"")</f>
        <v/>
      </c>
      <c r="R558" s="21" t="str">
        <f>IFERROR(__xludf.DUMMYFUNCTION("""COMPUTED_VALUE"""),"https://drive.google.com/file/d/1K1s-wGRqAaUPt2MXFoangyuJmyNtuJx0/view?usp=drivesdk")</f>
        <v>https://drive.google.com/file/d/1K1s-wGRqAaUPt2MXFoangyuJmyNtuJx0/view?usp=drivesdk</v>
      </c>
    </row>
    <row r="559">
      <c r="A559" s="15">
        <f>IFERROR(__xludf.DUMMYFUNCTION("""COMPUTED_VALUE"""),45013.0)</f>
        <v>45013</v>
      </c>
      <c r="B559" s="16" t="str">
        <f>IFERROR(__xludf.DUMMYFUNCTION("""COMPUTED_VALUE"""),"Sebastian Restrepo Martinez ")</f>
        <v>Sebastian Restrepo Martinez </v>
      </c>
      <c r="C559" s="15" t="str">
        <f>IFERROR(__xludf.DUMMYFUNCTION("""COMPUTED_VALUE"""),"MEDELLÍN")</f>
        <v>MEDELLÍN</v>
      </c>
      <c r="D559" s="15" t="str">
        <f>IFERROR(__xludf.DUMMYFUNCTION("""COMPUTED_VALUE"""),"BOGOTÁ")</f>
        <v>BOGOTÁ</v>
      </c>
      <c r="E559" s="15" t="str">
        <f>IFERROR(__xludf.DUMMYFUNCTION("""COMPUTED_VALUE"""),"Loomifoods")</f>
        <v>Loomifoods</v>
      </c>
      <c r="F559" s="17" t="str">
        <f>IFERROR(__xludf.DUMMYFUNCTION("""COMPUTED_VALUE"""),"Calle 14 no. 40a - 75 / Edificio Toulhouse Castropol / El Poblado")</f>
        <v>Calle 14 no. 40a - 75 / Edificio Toulhouse Castropol / El Poblado</v>
      </c>
      <c r="G559" s="15" t="str">
        <f>IFERROR(__xludf.DUMMYFUNCTION("""COMPUTED_VALUE"""),"Carla García")</f>
        <v>Carla García</v>
      </c>
      <c r="H559" s="18">
        <f>IFERROR(__xludf.DUMMYFUNCTION("""COMPUTED_VALUE"""),9243.0)</f>
        <v>9243</v>
      </c>
      <c r="I559" s="18">
        <f>IFERROR(__xludf.DUMMYFUNCTION("""COMPUTED_VALUE"""),16.0)</f>
        <v>16</v>
      </c>
      <c r="J559" s="18">
        <f>IFERROR(__xludf.DUMMYFUNCTION("""COMPUTED_VALUE"""),10.0)</f>
        <v>10</v>
      </c>
      <c r="K559" s="18">
        <f>IFERROR(__xludf.DUMMYFUNCTION("""COMPUTED_VALUE"""),20.0)</f>
        <v>20</v>
      </c>
      <c r="L559" s="17">
        <f>IFERROR(__xludf.DUMMYFUNCTION("""COMPUTED_VALUE"""),3.104795116E9)</f>
        <v>3104795116</v>
      </c>
      <c r="M559" s="17" t="str">
        <f>IFERROR(__xludf.DUMMYFUNCTION("""COMPUTED_VALUE"""),"#REF!")</f>
        <v>#REF!</v>
      </c>
      <c r="N559" s="17"/>
      <c r="O559" s="19" t="str">
        <f>IFERROR(__xludf.DUMMYFUNCTION("""COMPUTED_VALUE"""),"")</f>
        <v/>
      </c>
      <c r="P559" s="17" t="b">
        <f>IFERROR(__xludf.DUMMYFUNCTION("""COMPUTED_VALUE"""),FALSE)</f>
        <v>0</v>
      </c>
      <c r="Q559" s="20" t="str">
        <f>IFERROR(__xludf.DUMMYFUNCTION("""COMPUTED_VALUE"""),"")</f>
        <v/>
      </c>
      <c r="R559" s="21" t="str">
        <f>IFERROR(__xludf.DUMMYFUNCTION("""COMPUTED_VALUE"""),"https://drive.google.com/file/d/13l9_8OR2UAgBLUgzaINwvrhOZtMO4Fzc/view?usp=drivesdk")</f>
        <v>https://drive.google.com/file/d/13l9_8OR2UAgBLUgzaINwvrhOZtMO4Fzc/view?usp=drivesdk</v>
      </c>
    </row>
    <row r="560">
      <c r="A560" s="15">
        <f>IFERROR(__xludf.DUMMYFUNCTION("""COMPUTED_VALUE"""),45013.0)</f>
        <v>45013</v>
      </c>
      <c r="B560" s="16" t="str">
        <f>IFERROR(__xludf.DUMMYFUNCTION("""COMPUTED_VALUE"""),"Sebastian Restrepo Martinez ")</f>
        <v>Sebastian Restrepo Martinez </v>
      </c>
      <c r="C560" s="15" t="str">
        <f>IFERROR(__xludf.DUMMYFUNCTION("""COMPUTED_VALUE"""),"MEDELLÍN")</f>
        <v>MEDELLÍN</v>
      </c>
      <c r="D560" s="15" t="str">
        <f>IFERROR(__xludf.DUMMYFUNCTION("""COMPUTED_VALUE"""),"BOGOTÁ")</f>
        <v>BOGOTÁ</v>
      </c>
      <c r="E560" s="15" t="str">
        <f>IFERROR(__xludf.DUMMYFUNCTION("""COMPUTED_VALUE"""),"Loomifoods")</f>
        <v>Loomifoods</v>
      </c>
      <c r="F560" s="17" t="str">
        <f>IFERROR(__xludf.DUMMYFUNCTION("""COMPUTED_VALUE"""),"Cra 15 BA no. 34d - 44 / Interior 201 / MEdellin")</f>
        <v>Cra 15 BA no. 34d - 44 / Interior 201 / MEdellin</v>
      </c>
      <c r="G560" s="15" t="str">
        <f>IFERROR(__xludf.DUMMYFUNCTION("""COMPUTED_VALUE"""),"Daniela Bedoya")</f>
        <v>Daniela Bedoya</v>
      </c>
      <c r="H560" s="18">
        <f>IFERROR(__xludf.DUMMYFUNCTION("""COMPUTED_VALUE"""),9245.0)</f>
        <v>9245</v>
      </c>
      <c r="I560" s="18">
        <f>IFERROR(__xludf.DUMMYFUNCTION("""COMPUTED_VALUE"""),20.0)</f>
        <v>20</v>
      </c>
      <c r="J560" s="18">
        <f>IFERROR(__xludf.DUMMYFUNCTION("""COMPUTED_VALUE"""),10.0)</f>
        <v>10</v>
      </c>
      <c r="K560" s="18">
        <f>IFERROR(__xludf.DUMMYFUNCTION("""COMPUTED_VALUE"""),16.0)</f>
        <v>16</v>
      </c>
      <c r="L560" s="17">
        <f>IFERROR(__xludf.DUMMYFUNCTION("""COMPUTED_VALUE"""),3.14672822E9)</f>
        <v>3146728220</v>
      </c>
      <c r="M560" s="17" t="str">
        <f>IFERROR(__xludf.DUMMYFUNCTION("""COMPUTED_VALUE"""),"#REF!")</f>
        <v>#REF!</v>
      </c>
      <c r="N560" s="17"/>
      <c r="O560" s="19" t="str">
        <f>IFERROR(__xludf.DUMMYFUNCTION("""COMPUTED_VALUE"""),"")</f>
        <v/>
      </c>
      <c r="P560" s="17" t="b">
        <f>IFERROR(__xludf.DUMMYFUNCTION("""COMPUTED_VALUE"""),FALSE)</f>
        <v>0</v>
      </c>
      <c r="Q560" s="20" t="str">
        <f>IFERROR(__xludf.DUMMYFUNCTION("""COMPUTED_VALUE"""),"")</f>
        <v/>
      </c>
      <c r="R560" s="22" t="str">
        <f>IFERROR(__xludf.DUMMYFUNCTION("""COMPUTED_VALUE"""),"")</f>
        <v/>
      </c>
    </row>
    <row r="561">
      <c r="A561" s="15">
        <f>IFERROR(__xludf.DUMMYFUNCTION("""COMPUTED_VALUE"""),45013.0)</f>
        <v>45013</v>
      </c>
      <c r="B561" s="16" t="str">
        <f>IFERROR(__xludf.DUMMYFUNCTION("""COMPUTED_VALUE"""),"Sebastian Restrepo Martinez ")</f>
        <v>Sebastian Restrepo Martinez </v>
      </c>
      <c r="C561" s="15" t="str">
        <f>IFERROR(__xludf.DUMMYFUNCTION("""COMPUTED_VALUE"""),"MEDELLÍN")</f>
        <v>MEDELLÍN</v>
      </c>
      <c r="D561" s="15" t="str">
        <f>IFERROR(__xludf.DUMMYFUNCTION("""COMPUTED_VALUE"""),"BOGOTÁ")</f>
        <v>BOGOTÁ</v>
      </c>
      <c r="E561" s="15" t="str">
        <f>IFERROR(__xludf.DUMMYFUNCTION("""COMPUTED_VALUE"""),"Lunchy Kids")</f>
        <v>Lunchy Kids</v>
      </c>
      <c r="F561" s="17" t="str">
        <f>IFERROR(__xludf.DUMMYFUNCTION("""COMPUTED_VALUE"""),"Calle 98 #67-08  / Local comercial - Mercados el tigre. Primer piso / Castilla")</f>
        <v>Calle 98 #67-08  / Local comercial - Mercados el tigre. Primer piso / Castilla</v>
      </c>
      <c r="G561" s="15" t="str">
        <f>IFERROR(__xludf.DUMMYFUNCTION("""COMPUTED_VALUE"""),"Jackeline Morales Garcia")</f>
        <v>Jackeline Morales Garcia</v>
      </c>
      <c r="H561" s="18">
        <f>IFERROR(__xludf.DUMMYFUNCTION("""COMPUTED_VALUE"""),9178.0)</f>
        <v>9178</v>
      </c>
      <c r="I561" s="18">
        <f>IFERROR(__xludf.DUMMYFUNCTION("""COMPUTED_VALUE"""),15.0)</f>
        <v>15</v>
      </c>
      <c r="J561" s="18">
        <f>IFERROR(__xludf.DUMMYFUNCTION("""COMPUTED_VALUE"""),20.0)</f>
        <v>20</v>
      </c>
      <c r="K561" s="18">
        <f>IFERROR(__xludf.DUMMYFUNCTION("""COMPUTED_VALUE"""),5.0)</f>
        <v>5</v>
      </c>
      <c r="L561" s="17">
        <f>IFERROR(__xludf.DUMMYFUNCTION("""COMPUTED_VALUE"""),3.205698241E9)</f>
        <v>3205698241</v>
      </c>
      <c r="M561" s="17" t="str">
        <f>IFERROR(__xludf.DUMMYFUNCTION("""COMPUTED_VALUE"""),"#REF!")</f>
        <v>#REF!</v>
      </c>
      <c r="N561" s="17"/>
      <c r="O561" s="19" t="str">
        <f>IFERROR(__xludf.DUMMYFUNCTION("""COMPUTED_VALUE"""),"")</f>
        <v/>
      </c>
      <c r="P561" s="17" t="b">
        <f>IFERROR(__xludf.DUMMYFUNCTION("""COMPUTED_VALUE"""),FALSE)</f>
        <v>0</v>
      </c>
      <c r="Q561" s="20" t="str">
        <f>IFERROR(__xludf.DUMMYFUNCTION("""COMPUTED_VALUE"""),"")</f>
        <v/>
      </c>
      <c r="R561" s="21" t="str">
        <f>IFERROR(__xludf.DUMMYFUNCTION("""COMPUTED_VALUE"""),"https://drive.google.com/file/d/1GuNlU5-GS4FSDnaWZYNY6kBleDoSXwIH/view?usp=drivesdk")</f>
        <v>https://drive.google.com/file/d/1GuNlU5-GS4FSDnaWZYNY6kBleDoSXwIH/view?usp=drivesdk</v>
      </c>
    </row>
    <row r="562">
      <c r="A562" s="15">
        <f>IFERROR(__xludf.DUMMYFUNCTION("""COMPUTED_VALUE"""),45013.0)</f>
        <v>45013</v>
      </c>
      <c r="B562" s="16" t="str">
        <f>IFERROR(__xludf.DUMMYFUNCTION("""COMPUTED_VALUE"""),"Sebastian Restrepo Martinez ")</f>
        <v>Sebastian Restrepo Martinez </v>
      </c>
      <c r="C562" s="15" t="str">
        <f>IFERROR(__xludf.DUMMYFUNCTION("""COMPUTED_VALUE"""),"MEDELLÍN")</f>
        <v>MEDELLÍN</v>
      </c>
      <c r="D562" s="15" t="str">
        <f>IFERROR(__xludf.DUMMYFUNCTION("""COMPUTED_VALUE"""),"BOGOTÁ")</f>
        <v>BOGOTÁ</v>
      </c>
      <c r="E562" s="15" t="str">
        <f>IFERROR(__xludf.DUMMYFUNCTION("""COMPUTED_VALUE"""),"Lunchy Kids")</f>
        <v>Lunchy Kids</v>
      </c>
      <c r="F562" s="17" t="str">
        <f>IFERROR(__xludf.DUMMYFUNCTION("""COMPUTED_VALUE"""),"Cra 24 #27sur - 191  / Ginebra Houses. Casa 112 / Envigado")</f>
        <v>Cra 24 #27sur - 191  / Ginebra Houses. Casa 112 / Envigado</v>
      </c>
      <c r="G562" s="15" t="str">
        <f>IFERROR(__xludf.DUMMYFUNCTION("""COMPUTED_VALUE"""),"Carolina Vallejo")</f>
        <v>Carolina Vallejo</v>
      </c>
      <c r="H562" s="18">
        <f>IFERROR(__xludf.DUMMYFUNCTION("""COMPUTED_VALUE"""),9181.0)</f>
        <v>9181</v>
      </c>
      <c r="I562" s="18">
        <f>IFERROR(__xludf.DUMMYFUNCTION("""COMPUTED_VALUE"""),18.0)</f>
        <v>18</v>
      </c>
      <c r="J562" s="18">
        <f>IFERROR(__xludf.DUMMYFUNCTION("""COMPUTED_VALUE"""),28.0)</f>
        <v>28</v>
      </c>
      <c r="K562" s="18">
        <f>IFERROR(__xludf.DUMMYFUNCTION("""COMPUTED_VALUE"""),10.0)</f>
        <v>10</v>
      </c>
      <c r="L562" s="17">
        <f>IFERROR(__xludf.DUMMYFUNCTION("""COMPUTED_VALUE"""),3.20694448E9)</f>
        <v>3206944480</v>
      </c>
      <c r="M562" s="17" t="str">
        <f>IFERROR(__xludf.DUMMYFUNCTION("""COMPUTED_VALUE"""),"#REF!")</f>
        <v>#REF!</v>
      </c>
      <c r="N562" s="17"/>
      <c r="O562" s="19" t="str">
        <f>IFERROR(__xludf.DUMMYFUNCTION("""COMPUTED_VALUE"""),"")</f>
        <v/>
      </c>
      <c r="P562" s="17" t="b">
        <f>IFERROR(__xludf.DUMMYFUNCTION("""COMPUTED_VALUE"""),FALSE)</f>
        <v>0</v>
      </c>
      <c r="Q562" s="20" t="str">
        <f>IFERROR(__xludf.DUMMYFUNCTION("""COMPUTED_VALUE"""),"")</f>
        <v/>
      </c>
      <c r="R562" s="21" t="str">
        <f>IFERROR(__xludf.DUMMYFUNCTION("""COMPUTED_VALUE"""),"https://drive.google.com/file/d/1WcVzbEAZiJZufgfnSFd40R56YbtidruN/view?usp=drivesdk")</f>
        <v>https://drive.google.com/file/d/1WcVzbEAZiJZufgfnSFd40R56YbtidruN/view?usp=drivesdk</v>
      </c>
    </row>
    <row r="563">
      <c r="A563" s="15">
        <f>IFERROR(__xludf.DUMMYFUNCTION("""COMPUTED_VALUE"""),45013.0)</f>
        <v>45013</v>
      </c>
      <c r="B563" s="16" t="str">
        <f>IFERROR(__xludf.DUMMYFUNCTION("""COMPUTED_VALUE"""),"Sebastian Restrepo Martinez ")</f>
        <v>Sebastian Restrepo Martinez </v>
      </c>
      <c r="C563" s="15" t="str">
        <f>IFERROR(__xludf.DUMMYFUNCTION("""COMPUTED_VALUE"""),"MEDELLÍN")</f>
        <v>MEDELLÍN</v>
      </c>
      <c r="D563" s="15" t="str">
        <f>IFERROR(__xludf.DUMMYFUNCTION("""COMPUTED_VALUE"""),"BOGOTÁ")</f>
        <v>BOGOTÁ</v>
      </c>
      <c r="E563" s="15" t="str">
        <f>IFERROR(__xludf.DUMMYFUNCTION("""COMPUTED_VALUE"""),"MAI ALIMENTOS S.A.S")</f>
        <v>MAI ALIMENTOS S.A.S</v>
      </c>
      <c r="F563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563" s="15" t="str">
        <f>IFERROR(__xludf.DUMMYFUNCTION("""COMPUTED_VALUE"""),"Novaventas - Medellin")</f>
        <v>Novaventas - Medellin</v>
      </c>
      <c r="H563" s="18">
        <f>IFERROR(__xludf.DUMMYFUNCTION("""COMPUTED_VALUE"""),9149.0)</f>
        <v>9149</v>
      </c>
      <c r="I563" s="18">
        <f>IFERROR(__xludf.DUMMYFUNCTION("""COMPUTED_VALUE"""),35.0)</f>
        <v>35</v>
      </c>
      <c r="J563" s="18">
        <f>IFERROR(__xludf.DUMMYFUNCTION("""COMPUTED_VALUE"""),17.0)</f>
        <v>17</v>
      </c>
      <c r="K563" s="18">
        <f>IFERROR(__xludf.DUMMYFUNCTION("""COMPUTED_VALUE"""),13.0)</f>
        <v>13</v>
      </c>
      <c r="L563" s="17">
        <f>IFERROR(__xludf.DUMMYFUNCTION("""COMPUTED_VALUE"""),3.187351593E9)</f>
        <v>3187351593</v>
      </c>
      <c r="M563" s="17" t="str">
        <f>IFERROR(__xludf.DUMMYFUNCTION("""COMPUTED_VALUE"""),"#REF!")</f>
        <v>#REF!</v>
      </c>
      <c r="N563" s="17"/>
      <c r="O563" s="19" t="str">
        <f>IFERROR(__xludf.DUMMYFUNCTION("""COMPUTED_VALUE"""),"")</f>
        <v/>
      </c>
      <c r="P563" s="17" t="b">
        <f>IFERROR(__xludf.DUMMYFUNCTION("""COMPUTED_VALUE"""),FALSE)</f>
        <v>0</v>
      </c>
      <c r="Q563" s="20" t="str">
        <f>IFERROR(__xludf.DUMMYFUNCTION("""COMPUTED_VALUE"""),"")</f>
        <v/>
      </c>
      <c r="R563" s="22" t="str">
        <f>IFERROR(__xludf.DUMMYFUNCTION("""COMPUTED_VALUE"""),"")</f>
        <v/>
      </c>
    </row>
    <row r="564">
      <c r="A564" s="15">
        <f>IFERROR(__xludf.DUMMYFUNCTION("""COMPUTED_VALUE"""),45013.0)</f>
        <v>45013</v>
      </c>
      <c r="B564" s="16" t="str">
        <f>IFERROR(__xludf.DUMMYFUNCTION("""COMPUTED_VALUE"""),"Sebastian Restrepo Martinez ")</f>
        <v>Sebastian Restrepo Martinez </v>
      </c>
      <c r="C564" s="15" t="str">
        <f>IFERROR(__xludf.DUMMYFUNCTION("""COMPUTED_VALUE"""),"MEDELLÍN")</f>
        <v>MEDELLÍN</v>
      </c>
      <c r="D564" s="15" t="str">
        <f>IFERROR(__xludf.DUMMYFUNCTION("""COMPUTED_VALUE"""),"BOGOTÁ")</f>
        <v>BOGOTÁ</v>
      </c>
      <c r="E564" s="15" t="str">
        <f>IFERROR(__xludf.DUMMYFUNCTION("""COMPUTED_VALUE"""),"My Choice")</f>
        <v>My Choice</v>
      </c>
      <c r="F564" s="17" t="str">
        <f>IFERROR(__xludf.DUMMYFUNCTION("""COMPUTED_VALUE"""),"Cra. 22a ##20a Sur-19 Apto 303  Puente Aviñon- Por san lucas / 303 / Puente Aviñón")</f>
        <v>Cra. 22a ##20a Sur-19 Apto 303  Puente Aviñon- Por san lucas / 303 / Puente Aviñón</v>
      </c>
      <c r="G564" s="15" t="str">
        <f>IFERROR(__xludf.DUMMYFUNCTION("""COMPUTED_VALUE"""),"Juanita Mesa")</f>
        <v>Juanita Mesa</v>
      </c>
      <c r="H564" s="18">
        <f>IFERROR(__xludf.DUMMYFUNCTION("""COMPUTED_VALUE"""),9183.0)</f>
        <v>9183</v>
      </c>
      <c r="I564" s="18">
        <f>IFERROR(__xludf.DUMMYFUNCTION("""COMPUTED_VALUE"""),1.0)</f>
        <v>1</v>
      </c>
      <c r="J564" s="18">
        <f>IFERROR(__xludf.DUMMYFUNCTION("""COMPUTED_VALUE"""),1.0)</f>
        <v>1</v>
      </c>
      <c r="K564" s="18">
        <f>IFERROR(__xludf.DUMMYFUNCTION("""COMPUTED_VALUE"""),1.0)</f>
        <v>1</v>
      </c>
      <c r="L564" s="17">
        <f>IFERROR(__xludf.DUMMYFUNCTION("""COMPUTED_VALUE"""),3.008534213E9)</f>
        <v>3008534213</v>
      </c>
      <c r="M564" s="17" t="str">
        <f>IFERROR(__xludf.DUMMYFUNCTION("""COMPUTED_VALUE"""),"#REF!")</f>
        <v>#REF!</v>
      </c>
      <c r="N564" s="17"/>
      <c r="O564" s="19" t="str">
        <f>IFERROR(__xludf.DUMMYFUNCTION("""COMPUTED_VALUE"""),"")</f>
        <v/>
      </c>
      <c r="P564" s="17" t="b">
        <f>IFERROR(__xludf.DUMMYFUNCTION("""COMPUTED_VALUE"""),FALSE)</f>
        <v>0</v>
      </c>
      <c r="Q564" s="20" t="str">
        <f>IFERROR(__xludf.DUMMYFUNCTION("""COMPUTED_VALUE"""),"")</f>
        <v/>
      </c>
      <c r="R564" s="21" t="str">
        <f>IFERROR(__xludf.DUMMYFUNCTION("""COMPUTED_VALUE"""),"https://drive.google.com/file/d/1mRYqXwaAl74OWiCWKBhTLhFDX2NT6l2t/view?usp=drivesdk")</f>
        <v>https://drive.google.com/file/d/1mRYqXwaAl74OWiCWKBhTLhFDX2NT6l2t/view?usp=drivesdk</v>
      </c>
    </row>
    <row r="565">
      <c r="A565" s="15">
        <f>IFERROR(__xludf.DUMMYFUNCTION("""COMPUTED_VALUE"""),45013.0)</f>
        <v>45013</v>
      </c>
      <c r="B565" s="16" t="str">
        <f>IFERROR(__xludf.DUMMYFUNCTION("""COMPUTED_VALUE"""),"Sebastian Restrepo Martinez ")</f>
        <v>Sebastian Restrepo Martinez </v>
      </c>
      <c r="C565" s="15" t="str">
        <f>IFERROR(__xludf.DUMMYFUNCTION("""COMPUTED_VALUE"""),"MEDELLÍN")</f>
        <v>MEDELLÍN</v>
      </c>
      <c r="D565" s="15" t="str">
        <f>IFERROR(__xludf.DUMMYFUNCTION("""COMPUTED_VALUE"""),"BOGOTÁ")</f>
        <v>BOGOTÁ</v>
      </c>
      <c r="E565" s="15" t="str">
        <f>IFERROR(__xludf.DUMMYFUNCTION("""COMPUTED_VALUE"""),"Top Spun")</f>
        <v>Top Spun</v>
      </c>
      <c r="F565" s="17" t="str">
        <f>IFERROR(__xludf.DUMMYFUNCTION("""COMPUTED_VALUE"""),"Calle 16 # 41 - 51 / Urbanización Malawi Living apto 1303 / Barrio castropol el poblado")</f>
        <v>Calle 16 # 41 - 51 / Urbanización Malawi Living apto 1303 / Barrio castropol el poblado</v>
      </c>
      <c r="G565" s="15" t="str">
        <f>IFERROR(__xludf.DUMMYFUNCTION("""COMPUTED_VALUE"""),"Susana Hernández Escobar")</f>
        <v>Susana Hernández Escobar</v>
      </c>
      <c r="H565" s="18">
        <f>IFERROR(__xludf.DUMMYFUNCTION("""COMPUTED_VALUE"""),9224.0)</f>
        <v>9224</v>
      </c>
      <c r="I565" s="18">
        <f>IFERROR(__xludf.DUMMYFUNCTION("""COMPUTED_VALUE"""),20.0)</f>
        <v>20</v>
      </c>
      <c r="J565" s="18">
        <f>IFERROR(__xludf.DUMMYFUNCTION("""COMPUTED_VALUE"""),10.0)</f>
        <v>10</v>
      </c>
      <c r="K565" s="18">
        <f>IFERROR(__xludf.DUMMYFUNCTION("""COMPUTED_VALUE"""),40.0)</f>
        <v>40</v>
      </c>
      <c r="L565" s="17">
        <f>IFERROR(__xludf.DUMMYFUNCTION("""COMPUTED_VALUE"""),3.016119679E9)</f>
        <v>3016119679</v>
      </c>
      <c r="M565" s="17" t="str">
        <f>IFERROR(__xludf.DUMMYFUNCTION("""COMPUTED_VALUE"""),"#REF!")</f>
        <v>#REF!</v>
      </c>
      <c r="N565" s="17"/>
      <c r="O565" s="19" t="str">
        <f>IFERROR(__xludf.DUMMYFUNCTION("""COMPUTED_VALUE"""),"")</f>
        <v/>
      </c>
      <c r="P565" s="17" t="b">
        <f>IFERROR(__xludf.DUMMYFUNCTION("""COMPUTED_VALUE"""),FALSE)</f>
        <v>0</v>
      </c>
      <c r="Q565" s="20" t="str">
        <f>IFERROR(__xludf.DUMMYFUNCTION("""COMPUTED_VALUE"""),"")</f>
        <v/>
      </c>
      <c r="R565" s="21" t="str">
        <f>IFERROR(__xludf.DUMMYFUNCTION("""COMPUTED_VALUE"""),"https://drive.google.com/file/d/1S0zNtdao1d-cemVbVtPTgqwAO6Kpmcko/view?usp=drivesdk")</f>
        <v>https://drive.google.com/file/d/1S0zNtdao1d-cemVbVtPTgqwAO6Kpmcko/view?usp=drivesdk</v>
      </c>
    </row>
    <row r="566">
      <c r="A566" s="15">
        <f>IFERROR(__xludf.DUMMYFUNCTION("""COMPUTED_VALUE"""),45013.0)</f>
        <v>45013</v>
      </c>
      <c r="B566" s="16" t="str">
        <f>IFERROR(__xludf.DUMMYFUNCTION("""COMPUTED_VALUE"""),"Sebastian Restrepo Martinez ")</f>
        <v>Sebastian Restrepo Martinez </v>
      </c>
      <c r="C566" s="15" t="str">
        <f>IFERROR(__xludf.DUMMYFUNCTION("""COMPUTED_VALUE"""),"MEDELLÍN")</f>
        <v>MEDELLÍN</v>
      </c>
      <c r="D566" s="15" t="str">
        <f>IFERROR(__xludf.DUMMYFUNCTION("""COMPUTED_VALUE"""),"BOGOTÁ")</f>
        <v>BOGOTÁ</v>
      </c>
      <c r="E566" s="15" t="str">
        <f>IFERROR(__xludf.DUMMYFUNCTION("""COMPUTED_VALUE"""),"Top Spun")</f>
        <v>Top Spun</v>
      </c>
      <c r="F566" s="17" t="str">
        <f>IFERROR(__xludf.DUMMYFUNCTION("""COMPUTED_VALUE"""),"calle 49F # 87-125  / apto 317  Unidad Dia de Campo  / Medellín")</f>
        <v>calle 49F # 87-125  / apto 317  Unidad Dia de Campo  / Medellín</v>
      </c>
      <c r="G566" s="15" t="str">
        <f>IFERROR(__xludf.DUMMYFUNCTION("""COMPUTED_VALUE"""),"Nataly Alvarez")</f>
        <v>Nataly Alvarez</v>
      </c>
      <c r="H566" s="18">
        <f>IFERROR(__xludf.DUMMYFUNCTION("""COMPUTED_VALUE"""),9157.0)</f>
        <v>9157</v>
      </c>
      <c r="I566" s="18">
        <f>IFERROR(__xludf.DUMMYFUNCTION("""COMPUTED_VALUE"""),20.0)</f>
        <v>20</v>
      </c>
      <c r="J566" s="18">
        <f>IFERROR(__xludf.DUMMYFUNCTION("""COMPUTED_VALUE"""),10.0)</f>
        <v>10</v>
      </c>
      <c r="K566" s="18">
        <f>IFERROR(__xludf.DUMMYFUNCTION("""COMPUTED_VALUE"""),40.0)</f>
        <v>40</v>
      </c>
      <c r="L566" s="17">
        <f>IFERROR(__xludf.DUMMYFUNCTION("""COMPUTED_VALUE"""),3.002902609E9)</f>
        <v>3002902609</v>
      </c>
      <c r="M566" s="17" t="str">
        <f>IFERROR(__xludf.DUMMYFUNCTION("""COMPUTED_VALUE"""),"#REF!")</f>
        <v>#REF!</v>
      </c>
      <c r="N566" s="17"/>
      <c r="O566" s="19" t="str">
        <f>IFERROR(__xludf.DUMMYFUNCTION("""COMPUTED_VALUE"""),"")</f>
        <v/>
      </c>
      <c r="P566" s="17" t="b">
        <f>IFERROR(__xludf.DUMMYFUNCTION("""COMPUTED_VALUE"""),FALSE)</f>
        <v>0</v>
      </c>
      <c r="Q566" s="20" t="str">
        <f>IFERROR(__xludf.DUMMYFUNCTION("""COMPUTED_VALUE"""),"")</f>
        <v/>
      </c>
      <c r="R566" s="22" t="str">
        <f>IFERROR(__xludf.DUMMYFUNCTION("""COMPUTED_VALUE"""),"")</f>
        <v/>
      </c>
    </row>
    <row r="567">
      <c r="A567" s="15" t="str">
        <f>IFERROR(__xludf.DUMMYFUNCTION("""COMPUTED_VALUE"""),"")</f>
        <v/>
      </c>
      <c r="B567" s="16" t="str">
        <f>IFERROR(__xludf.DUMMYFUNCTION("""COMPUTED_VALUE"""),"")</f>
        <v/>
      </c>
      <c r="C567" s="15" t="str">
        <f>IFERROR(__xludf.DUMMYFUNCTION("""COMPUTED_VALUE"""),"")</f>
        <v/>
      </c>
      <c r="D567" s="15" t="str">
        <f>IFERROR(__xludf.DUMMYFUNCTION("""COMPUTED_VALUE"""),"")</f>
        <v/>
      </c>
      <c r="E567" s="15" t="str">
        <f>IFERROR(__xludf.DUMMYFUNCTION("""COMPUTED_VALUE"""),"")</f>
        <v/>
      </c>
      <c r="F567" s="17" t="str">
        <f>IFERROR(__xludf.DUMMYFUNCTION("""COMPUTED_VALUE"""),"")</f>
        <v/>
      </c>
      <c r="G567" s="15" t="str">
        <f>IFERROR(__xludf.DUMMYFUNCTION("""COMPUTED_VALUE"""),"")</f>
        <v/>
      </c>
      <c r="H567" s="18" t="str">
        <f>IFERROR(__xludf.DUMMYFUNCTION("""COMPUTED_VALUE"""),"")</f>
        <v/>
      </c>
      <c r="I567" s="18" t="str">
        <f>IFERROR(__xludf.DUMMYFUNCTION("""COMPUTED_VALUE"""),"")</f>
        <v/>
      </c>
      <c r="J567" s="18" t="str">
        <f>IFERROR(__xludf.DUMMYFUNCTION("""COMPUTED_VALUE"""),"")</f>
        <v/>
      </c>
      <c r="K567" s="17" t="str">
        <f>IFERROR(__xludf.DUMMYFUNCTION("""COMPUTED_VALUE"""),"")</f>
        <v/>
      </c>
      <c r="L567" s="17" t="str">
        <f>IFERROR(__xludf.DUMMYFUNCTION("""COMPUTED_VALUE"""),"")</f>
        <v/>
      </c>
      <c r="M567" s="17" t="str">
        <f>IFERROR(__xludf.DUMMYFUNCTION("""COMPUTED_VALUE"""),"")</f>
        <v/>
      </c>
      <c r="N567" s="19" t="str">
        <f>IFERROR(__xludf.DUMMYFUNCTION("""COMPUTED_VALUE"""),"")</f>
        <v/>
      </c>
      <c r="O567" s="19" t="str">
        <f>IFERROR(__xludf.DUMMYFUNCTION("""COMPUTED_VALUE"""),"")</f>
        <v/>
      </c>
      <c r="P567" s="17" t="str">
        <f>IFERROR(__xludf.DUMMYFUNCTION("""COMPUTED_VALUE"""),"")</f>
        <v/>
      </c>
      <c r="Q567" s="20" t="str">
        <f>IFERROR(__xludf.DUMMYFUNCTION("""COMPUTED_VALUE"""),"")</f>
        <v/>
      </c>
      <c r="R567" s="22" t="str">
        <f>IFERROR(__xludf.DUMMYFUNCTION("""COMPUTED_VALUE"""),"")</f>
        <v/>
      </c>
    </row>
    <row r="568">
      <c r="A568" s="15">
        <f>IFERROR(__xludf.DUMMYFUNCTION("""COMPUTED_VALUE"""),45014.0)</f>
        <v>45014</v>
      </c>
      <c r="B568" s="17"/>
      <c r="C568" s="15" t="str">
        <f>IFERROR(__xludf.DUMMYFUNCTION("""COMPUTED_VALUE"""),"BARRANQUILLA")</f>
        <v>BARRANQUILLA</v>
      </c>
      <c r="D568" s="15" t="str">
        <f>IFERROR(__xludf.DUMMYFUNCTION("""COMPUTED_VALUE"""),"BOGOTÁ")</f>
        <v>BOGOTÁ</v>
      </c>
      <c r="E568" s="15" t="str">
        <f>IFERROR(__xludf.DUMMYFUNCTION("""COMPUTED_VALUE"""),"Mochi")</f>
        <v>Mochi</v>
      </c>
      <c r="F568" s="17" t="str">
        <f>IFERROR(__xludf.DUMMYFUNCTION("""COMPUTED_VALUE"""),"centro comercial Viva Barranquilla / viva / viva")</f>
        <v>centro comercial Viva Barranquilla / viva / viva</v>
      </c>
      <c r="G568" s="15" t="str">
        <f>IFERROR(__xludf.DUMMYFUNCTION("""COMPUTED_VALUE"""),"Maria Camila")</f>
        <v>Maria Camila</v>
      </c>
      <c r="H568" s="18">
        <f>IFERROR(__xludf.DUMMYFUNCTION("""COMPUTED_VALUE"""),9282.0)</f>
        <v>9282</v>
      </c>
      <c r="I568" s="18">
        <f>IFERROR(__xludf.DUMMYFUNCTION("""COMPUTED_VALUE"""),110.0)</f>
        <v>110</v>
      </c>
      <c r="J568" s="18">
        <f>IFERROR(__xludf.DUMMYFUNCTION("""COMPUTED_VALUE"""),45.0)</f>
        <v>45</v>
      </c>
      <c r="K568" s="18" t="str">
        <f>IFERROR(__xludf.DUMMYFUNCTION("""COMPUTED_VALUE"""),"52.5")</f>
        <v>52.5</v>
      </c>
      <c r="L568" s="17">
        <f>IFERROR(__xludf.DUMMYFUNCTION("""COMPUTED_VALUE"""),3.016026252E9)</f>
        <v>3016026252</v>
      </c>
      <c r="M568" s="17" t="str">
        <f>IFERROR(__xludf.DUMMYFUNCTION("""COMPUTED_VALUE"""),"#REF!")</f>
        <v>#REF!</v>
      </c>
      <c r="N568" s="19" t="str">
        <f>IFERROR(__xludf.DUMMYFUNCTION("""COMPUTED_VALUE"""),"")</f>
        <v/>
      </c>
      <c r="O568" s="19" t="str">
        <f>IFERROR(__xludf.DUMMYFUNCTION("""COMPUTED_VALUE"""),"")</f>
        <v/>
      </c>
      <c r="P568" s="17" t="b">
        <f>IFERROR(__xludf.DUMMYFUNCTION("""COMPUTED_VALUE"""),FALSE)</f>
        <v>0</v>
      </c>
      <c r="Q568" s="20" t="str">
        <f>IFERROR(__xludf.DUMMYFUNCTION("""COMPUTED_VALUE"""),"")</f>
        <v/>
      </c>
      <c r="R568" s="22" t="str">
        <f>IFERROR(__xludf.DUMMYFUNCTION("""COMPUTED_VALUE"""),"")</f>
        <v/>
      </c>
    </row>
    <row r="569">
      <c r="A569" s="15" t="str">
        <f>IFERROR(__xludf.DUMMYFUNCTION("""COMPUTED_VALUE"""),"")</f>
        <v/>
      </c>
      <c r="B569" s="16" t="str">
        <f>IFERROR(__xludf.DUMMYFUNCTION("""COMPUTED_VALUE"""),"")</f>
        <v/>
      </c>
      <c r="C569" s="15" t="str">
        <f>IFERROR(__xludf.DUMMYFUNCTION("""COMPUTED_VALUE"""),"")</f>
        <v/>
      </c>
      <c r="D569" s="15" t="str">
        <f>IFERROR(__xludf.DUMMYFUNCTION("""COMPUTED_VALUE"""),"")</f>
        <v/>
      </c>
      <c r="E569" s="15" t="str">
        <f>IFERROR(__xludf.DUMMYFUNCTION("""COMPUTED_VALUE"""),"")</f>
        <v/>
      </c>
      <c r="F569" s="17" t="str">
        <f>IFERROR(__xludf.DUMMYFUNCTION("""COMPUTED_VALUE"""),"")</f>
        <v/>
      </c>
      <c r="G569" s="15" t="str">
        <f>IFERROR(__xludf.DUMMYFUNCTION("""COMPUTED_VALUE"""),"")</f>
        <v/>
      </c>
      <c r="H569" s="18" t="str">
        <f>IFERROR(__xludf.DUMMYFUNCTION("""COMPUTED_VALUE"""),"")</f>
        <v/>
      </c>
      <c r="I569" s="18" t="str">
        <f>IFERROR(__xludf.DUMMYFUNCTION("""COMPUTED_VALUE"""),"")</f>
        <v/>
      </c>
      <c r="J569" s="18" t="str">
        <f>IFERROR(__xludf.DUMMYFUNCTION("""COMPUTED_VALUE"""),"")</f>
        <v/>
      </c>
      <c r="K569" s="17" t="str">
        <f>IFERROR(__xludf.DUMMYFUNCTION("""COMPUTED_VALUE"""),"")</f>
        <v/>
      </c>
      <c r="L569" s="17" t="str">
        <f>IFERROR(__xludf.DUMMYFUNCTION("""COMPUTED_VALUE"""),"")</f>
        <v/>
      </c>
      <c r="M569" s="17" t="str">
        <f>IFERROR(__xludf.DUMMYFUNCTION("""COMPUTED_VALUE"""),"")</f>
        <v/>
      </c>
      <c r="N569" s="19" t="str">
        <f>IFERROR(__xludf.DUMMYFUNCTION("""COMPUTED_VALUE"""),"")</f>
        <v/>
      </c>
      <c r="O569" s="19" t="str">
        <f>IFERROR(__xludf.DUMMYFUNCTION("""COMPUTED_VALUE"""),"")</f>
        <v/>
      </c>
      <c r="P569" s="17" t="str">
        <f>IFERROR(__xludf.DUMMYFUNCTION("""COMPUTED_VALUE"""),"")</f>
        <v/>
      </c>
      <c r="Q569" s="20" t="str">
        <f>IFERROR(__xludf.DUMMYFUNCTION("""COMPUTED_VALUE"""),"")</f>
        <v/>
      </c>
      <c r="R569" s="22" t="str">
        <f>IFERROR(__xludf.DUMMYFUNCTION("""COMPUTED_VALUE"""),"")</f>
        <v/>
      </c>
    </row>
    <row r="570">
      <c r="A570" s="15">
        <f>IFERROR(__xludf.DUMMYFUNCTION("""COMPUTED_VALUE"""),45014.0)</f>
        <v>45014</v>
      </c>
      <c r="B570" s="16" t="str">
        <f>IFERROR(__xludf.DUMMYFUNCTION("""COMPUTED_VALUE"""),"Anuar suarez jimenez ")</f>
        <v>Anuar suarez jimenez </v>
      </c>
      <c r="C570" s="15" t="str">
        <f>IFERROR(__xludf.DUMMYFUNCTION("""COMPUTED_VALUE"""),"CARTAGENA")</f>
        <v>CARTAGENA</v>
      </c>
      <c r="D570" s="15" t="str">
        <f>IFERROR(__xludf.DUMMYFUNCTION("""COMPUTED_VALUE"""),"BOGOTÁ")</f>
        <v>BOGOTÁ</v>
      </c>
      <c r="E570" s="15" t="str">
        <f>IFERROR(__xludf.DUMMYFUNCTION("""COMPUTED_VALUE"""),"Mochi")</f>
        <v>Mochi</v>
      </c>
      <c r="F570" s="17" t="str">
        <f>IFERROR(__xludf.DUMMYFUNCTION("""COMPUTED_VALUE"""),"centro comercial Serrezuela / Serrezuela / Serrezuela")</f>
        <v>centro comercial Serrezuela / Serrezuela / Serrezuela</v>
      </c>
      <c r="G570" s="15" t="str">
        <f>IFERROR(__xludf.DUMMYFUNCTION("""COMPUTED_VALUE"""),"Maria Camila")</f>
        <v>Maria Camila</v>
      </c>
      <c r="H570" s="18">
        <f>IFERROR(__xludf.DUMMYFUNCTION("""COMPUTED_VALUE"""),9283.0)</f>
        <v>9283</v>
      </c>
      <c r="I570" s="18">
        <f>IFERROR(__xludf.DUMMYFUNCTION("""COMPUTED_VALUE"""),110.0)</f>
        <v>110</v>
      </c>
      <c r="J570" s="18">
        <f>IFERROR(__xludf.DUMMYFUNCTION("""COMPUTED_VALUE"""),45.0)</f>
        <v>45</v>
      </c>
      <c r="K570" s="18" t="str">
        <f>IFERROR(__xludf.DUMMYFUNCTION("""COMPUTED_VALUE"""),"52.5")</f>
        <v>52.5</v>
      </c>
      <c r="L570" s="17">
        <f>IFERROR(__xludf.DUMMYFUNCTION("""COMPUTED_VALUE"""),3.016026252E9)</f>
        <v>3016026252</v>
      </c>
      <c r="M570" s="17" t="str">
        <f>IFERROR(__xludf.DUMMYFUNCTION("""COMPUTED_VALUE"""),"#REF!")</f>
        <v>#REF!</v>
      </c>
      <c r="N570" s="17"/>
      <c r="O570" s="19" t="str">
        <f>IFERROR(__xludf.DUMMYFUNCTION("""COMPUTED_VALUE"""),"")</f>
        <v/>
      </c>
      <c r="P570" s="17" t="b">
        <f>IFERROR(__xludf.DUMMYFUNCTION("""COMPUTED_VALUE"""),TRUE)</f>
        <v>1</v>
      </c>
      <c r="Q570" s="20">
        <f>IFERROR(__xludf.DUMMYFUNCTION("""COMPUTED_VALUE"""),45015.50320063657)</f>
        <v>45015.5032</v>
      </c>
      <c r="R570" s="22" t="str">
        <f>IFERROR(__xludf.DUMMYFUNCTION("""COMPUTED_VALUE"""),"")</f>
        <v/>
      </c>
    </row>
    <row r="571">
      <c r="A571" s="15">
        <f>IFERROR(__xludf.DUMMYFUNCTION("""COMPUTED_VALUE"""),45014.0)</f>
        <v>45014</v>
      </c>
      <c r="B571" s="16" t="str">
        <f>IFERROR(__xludf.DUMMYFUNCTION("""COMPUTED_VALUE"""),"Anuar suarez jimenez ")</f>
        <v>Anuar suarez jimenez </v>
      </c>
      <c r="C571" s="15" t="str">
        <f>IFERROR(__xludf.DUMMYFUNCTION("""COMPUTED_VALUE"""),"MONTERIA")</f>
        <v>MONTERIA</v>
      </c>
      <c r="D571" s="15" t="str">
        <f>IFERROR(__xludf.DUMMYFUNCTION("""COMPUTED_VALUE"""),"BOGOTÁ")</f>
        <v>BOGOTÁ</v>
      </c>
      <c r="E571" s="15" t="str">
        <f>IFERROR(__xludf.DUMMYFUNCTION("""COMPUTED_VALUE"""),"Lunchy Kids")</f>
        <v>Lunchy Kids</v>
      </c>
      <c r="F571" s="17" t="str">
        <f>IFERROR(__xludf.DUMMYFUNCTION("""COMPUTED_VALUE"""),"Cra 2 fw # 16-06  / Casa  / Monteria")</f>
        <v>Cra 2 fw # 16-06  / Casa  / Monteria</v>
      </c>
      <c r="G571" s="15" t="str">
        <f>IFERROR(__xludf.DUMMYFUNCTION("""COMPUTED_VALUE"""),"Luz Dary Cifuentes Naranjo")</f>
        <v>Luz Dary Cifuentes Naranjo</v>
      </c>
      <c r="H571" s="18">
        <f>IFERROR(__xludf.DUMMYFUNCTION("""COMPUTED_VALUE"""),9182.0)</f>
        <v>9182</v>
      </c>
      <c r="I571" s="18">
        <f>IFERROR(__xludf.DUMMYFUNCTION("""COMPUTED_VALUE"""),20.0)</f>
        <v>20</v>
      </c>
      <c r="J571" s="18">
        <f>IFERROR(__xludf.DUMMYFUNCTION("""COMPUTED_VALUE"""),30.0)</f>
        <v>30</v>
      </c>
      <c r="K571" s="18">
        <f>IFERROR(__xludf.DUMMYFUNCTION("""COMPUTED_VALUE"""),18.0)</f>
        <v>18</v>
      </c>
      <c r="L571" s="17">
        <f>IFERROR(__xludf.DUMMYFUNCTION("""COMPUTED_VALUE"""),3.114050794E9)</f>
        <v>3114050794</v>
      </c>
      <c r="M571" s="17" t="str">
        <f>IFERROR(__xludf.DUMMYFUNCTION("""COMPUTED_VALUE"""),"#REF!")</f>
        <v>#REF!</v>
      </c>
      <c r="N571" s="17"/>
      <c r="O571" s="19" t="str">
        <f>IFERROR(__xludf.DUMMYFUNCTION("""COMPUTED_VALUE"""),"")</f>
        <v/>
      </c>
      <c r="P571" s="17" t="b">
        <f>IFERROR(__xludf.DUMMYFUNCTION("""COMPUTED_VALUE"""),FALSE)</f>
        <v>0</v>
      </c>
      <c r="Q571" s="20" t="str">
        <f>IFERROR(__xludf.DUMMYFUNCTION("""COMPUTED_VALUE"""),"")</f>
        <v/>
      </c>
      <c r="R571" s="22" t="str">
        <f>IFERROR(__xludf.DUMMYFUNCTION("""COMPUTED_VALUE"""),"")</f>
        <v/>
      </c>
    </row>
    <row r="572">
      <c r="A572" s="15" t="str">
        <f>IFERROR(__xludf.DUMMYFUNCTION("""COMPUTED_VALUE"""),"")</f>
        <v/>
      </c>
      <c r="B572" s="16" t="str">
        <f>IFERROR(__xludf.DUMMYFUNCTION("""COMPUTED_VALUE"""),"")</f>
        <v/>
      </c>
      <c r="C572" s="15" t="str">
        <f>IFERROR(__xludf.DUMMYFUNCTION("""COMPUTED_VALUE"""),"")</f>
        <v/>
      </c>
      <c r="D572" s="15" t="str">
        <f>IFERROR(__xludf.DUMMYFUNCTION("""COMPUTED_VALUE"""),"")</f>
        <v/>
      </c>
      <c r="E572" s="15" t="str">
        <f>IFERROR(__xludf.DUMMYFUNCTION("""COMPUTED_VALUE"""),"")</f>
        <v/>
      </c>
      <c r="F572" s="17" t="str">
        <f>IFERROR(__xludf.DUMMYFUNCTION("""COMPUTED_VALUE"""),"")</f>
        <v/>
      </c>
      <c r="G572" s="15" t="str">
        <f>IFERROR(__xludf.DUMMYFUNCTION("""COMPUTED_VALUE"""),"")</f>
        <v/>
      </c>
      <c r="H572" s="18" t="str">
        <f>IFERROR(__xludf.DUMMYFUNCTION("""COMPUTED_VALUE"""),"")</f>
        <v/>
      </c>
      <c r="I572" s="18" t="str">
        <f>IFERROR(__xludf.DUMMYFUNCTION("""COMPUTED_VALUE"""),"")</f>
        <v/>
      </c>
      <c r="J572" s="18" t="str">
        <f>IFERROR(__xludf.DUMMYFUNCTION("""COMPUTED_VALUE"""),"")</f>
        <v/>
      </c>
      <c r="K572" s="17" t="str">
        <f>IFERROR(__xludf.DUMMYFUNCTION("""COMPUTED_VALUE"""),"")</f>
        <v/>
      </c>
      <c r="L572" s="17" t="str">
        <f>IFERROR(__xludf.DUMMYFUNCTION("""COMPUTED_VALUE"""),"")</f>
        <v/>
      </c>
      <c r="M572" s="17" t="str">
        <f>IFERROR(__xludf.DUMMYFUNCTION("""COMPUTED_VALUE"""),"")</f>
        <v/>
      </c>
      <c r="N572" s="19" t="str">
        <f>IFERROR(__xludf.DUMMYFUNCTION("""COMPUTED_VALUE"""),"")</f>
        <v/>
      </c>
      <c r="O572" s="19" t="str">
        <f>IFERROR(__xludf.DUMMYFUNCTION("""COMPUTED_VALUE"""),"")</f>
        <v/>
      </c>
      <c r="P572" s="17" t="str">
        <f>IFERROR(__xludf.DUMMYFUNCTION("""COMPUTED_VALUE"""),"")</f>
        <v/>
      </c>
      <c r="Q572" s="20" t="str">
        <f>IFERROR(__xludf.DUMMYFUNCTION("""COMPUTED_VALUE"""),"")</f>
        <v/>
      </c>
      <c r="R572" s="22" t="str">
        <f>IFERROR(__xludf.DUMMYFUNCTION("""COMPUTED_VALUE"""),"")</f>
        <v/>
      </c>
    </row>
    <row r="573">
      <c r="A573" s="15">
        <f>IFERROR(__xludf.DUMMYFUNCTION("""COMPUTED_VALUE"""),45014.0)</f>
        <v>45014</v>
      </c>
      <c r="B573" s="16" t="str">
        <f>IFERROR(__xludf.DUMMYFUNCTION("""COMPUTED_VALUE"""),"Envia")</f>
        <v>Envia</v>
      </c>
      <c r="C573" s="15" t="str">
        <f>IFERROR(__xludf.DUMMYFUNCTION("""COMPUTED_VALUE"""),"BARRANQUILLA")</f>
        <v>BARRANQUILLA</v>
      </c>
      <c r="D573" s="15" t="str">
        <f>IFERROR(__xludf.DUMMYFUNCTION("""COMPUTED_VALUE"""),"BOGOTÁ")</f>
        <v>BOGOTÁ</v>
      </c>
      <c r="E573" s="15" t="str">
        <f>IFERROR(__xludf.DUMMYFUNCTION("""COMPUTED_VALUE"""),"Pan de Waffle")</f>
        <v>Pan de Waffle</v>
      </c>
      <c r="F573" s="17" t="str">
        <f>IFERROR(__xludf.DUMMYFUNCTION("""COMPUTED_VALUE"""),"Carrera 45 # 85 - 168 / Carrera 45 # 85 - 168 / Carrera 45 # 85 - 168")</f>
        <v>Carrera 45 # 85 - 168 / Carrera 45 # 85 - 168 / Carrera 45 # 85 - 168</v>
      </c>
      <c r="G573" s="15" t="str">
        <f>IFERROR(__xludf.DUMMYFUNCTION("""COMPUTED_VALUE"""),"Foodology")</f>
        <v>Foodology</v>
      </c>
      <c r="H573" s="18">
        <f>IFERROR(__xludf.DUMMYFUNCTION("""COMPUTED_VALUE"""),9141.0)</f>
        <v>9141</v>
      </c>
      <c r="I573" s="18">
        <f>IFERROR(__xludf.DUMMYFUNCTION("""COMPUTED_VALUE"""),30.0)</f>
        <v>30</v>
      </c>
      <c r="J573" s="18">
        <f>IFERROR(__xludf.DUMMYFUNCTION("""COMPUTED_VALUE"""),30.0)</f>
        <v>30</v>
      </c>
      <c r="K573" s="18">
        <f>IFERROR(__xludf.DUMMYFUNCTION("""COMPUTED_VALUE"""),30.0)</f>
        <v>30</v>
      </c>
      <c r="L573" s="17">
        <f>IFERROR(__xludf.DUMMYFUNCTION("""COMPUTED_VALUE"""),3.017001909E9)</f>
        <v>3017001909</v>
      </c>
      <c r="M573" s="17" t="str">
        <f>IFERROR(__xludf.DUMMYFUNCTION("""COMPUTED_VALUE"""),"#REF!")</f>
        <v>#REF!</v>
      </c>
      <c r="N573" s="17"/>
      <c r="O573" s="19" t="str">
        <f>IFERROR(__xludf.DUMMYFUNCTION("""COMPUTED_VALUE"""),"")</f>
        <v/>
      </c>
      <c r="P573" s="17" t="b">
        <f>IFERROR(__xludf.DUMMYFUNCTION("""COMPUTED_VALUE"""),TRUE)</f>
        <v>1</v>
      </c>
      <c r="Q573" s="20">
        <f>IFERROR(__xludf.DUMMYFUNCTION("""COMPUTED_VALUE"""),45014.614765590275)</f>
        <v>45014.61477</v>
      </c>
      <c r="R573" s="22" t="str">
        <f>IFERROR(__xludf.DUMMYFUNCTION("""COMPUTED_VALUE"""),"")</f>
        <v/>
      </c>
    </row>
    <row r="574">
      <c r="A574" s="15">
        <f>IFERROR(__xludf.DUMMYFUNCTION("""COMPUTED_VALUE"""),45014.0)</f>
        <v>45014</v>
      </c>
      <c r="B574" s="16" t="str">
        <f>IFERROR(__xludf.DUMMYFUNCTION("""COMPUTED_VALUE"""),"Envia")</f>
        <v>Envia</v>
      </c>
      <c r="C574" s="15" t="str">
        <f>IFERROR(__xludf.DUMMYFUNCTION("""COMPUTED_VALUE"""),"BOGOTÁ")</f>
        <v>BOGOTÁ</v>
      </c>
      <c r="D574" s="15" t="str">
        <f>IFERROR(__xludf.DUMMYFUNCTION("""COMPUTED_VALUE"""),"MEDELLÍN")</f>
        <v>MEDELLÍN</v>
      </c>
      <c r="E574" s="15" t="str">
        <f>IFERROR(__xludf.DUMMYFUNCTION("""COMPUTED_VALUE"""),"Todo Bufala")</f>
        <v>Todo Bufala</v>
      </c>
      <c r="F574" s="17" t="str">
        <f>IFERROR(__xludf.DUMMYFUNCTION("""COMPUTED_VALUE"""),"Calle 140 19-29 apto 503 / Apto 503")</f>
        <v>Calle 140 19-29 apto 503 / Apto 503</v>
      </c>
      <c r="G574" s="15" t="str">
        <f>IFERROR(__xludf.DUMMYFUNCTION("""COMPUTED_VALUE"""),"Lizbeth Hernandez")</f>
        <v>Lizbeth Hernandez</v>
      </c>
      <c r="H574" s="18">
        <f>IFERROR(__xludf.DUMMYFUNCTION("""COMPUTED_VALUE"""),9263.0)</f>
        <v>9263</v>
      </c>
      <c r="I574" s="18">
        <f>IFERROR(__xludf.DUMMYFUNCTION("""COMPUTED_VALUE"""),10.0)</f>
        <v>10</v>
      </c>
      <c r="J574" s="18">
        <f>IFERROR(__xludf.DUMMYFUNCTION("""COMPUTED_VALUE"""),30.0)</f>
        <v>30</v>
      </c>
      <c r="K574" s="18">
        <f>IFERROR(__xludf.DUMMYFUNCTION("""COMPUTED_VALUE"""),40.0)</f>
        <v>40</v>
      </c>
      <c r="L574" s="17"/>
      <c r="M574" s="17" t="str">
        <f>IFERROR(__xludf.DUMMYFUNCTION("""COMPUTED_VALUE"""),"#REF!")</f>
        <v>#REF!</v>
      </c>
      <c r="N574" s="17"/>
      <c r="O574" s="19" t="str">
        <f>IFERROR(__xludf.DUMMYFUNCTION("""COMPUTED_VALUE"""),"")</f>
        <v/>
      </c>
      <c r="P574" s="17" t="b">
        <f>IFERROR(__xludf.DUMMYFUNCTION("""COMPUTED_VALUE"""),TRUE)</f>
        <v>1</v>
      </c>
      <c r="Q574" s="20">
        <f>IFERROR(__xludf.DUMMYFUNCTION("""COMPUTED_VALUE"""),45014.614765590275)</f>
        <v>45014.61477</v>
      </c>
      <c r="R574" s="22" t="str">
        <f>IFERROR(__xludf.DUMMYFUNCTION("""COMPUTED_VALUE"""),"")</f>
        <v/>
      </c>
    </row>
    <row r="575">
      <c r="A575" s="15">
        <f>IFERROR(__xludf.DUMMYFUNCTION("""COMPUTED_VALUE"""),45014.0)</f>
        <v>45014</v>
      </c>
      <c r="B575" s="16" t="str">
        <f>IFERROR(__xludf.DUMMYFUNCTION("""COMPUTED_VALUE"""),"Envia")</f>
        <v>Envia</v>
      </c>
      <c r="C575" s="15" t="str">
        <f>IFERROR(__xludf.DUMMYFUNCTION("""COMPUTED_VALUE"""),"CALI")</f>
        <v>CALI</v>
      </c>
      <c r="D575" s="15" t="str">
        <f>IFERROR(__xludf.DUMMYFUNCTION("""COMPUTED_VALUE"""),"MEDELLÍN")</f>
        <v>MEDELLÍN</v>
      </c>
      <c r="E575" s="15" t="str">
        <f>IFERROR(__xludf.DUMMYFUNCTION("""COMPUTED_VALUE"""),"Baby Chef")</f>
        <v>Baby Chef</v>
      </c>
      <c r="F575" s="17" t="str">
        <f>IFERROR(__xludf.DUMMYFUNCTION("""COMPUTED_VALUE"""),"carrera 45 # 14 e - 04 casa primer piso barrio las granjas / carrera 45 # 14 e - 04 casa primer piso barrio las granjas / carrera 45 # 14 e - 04 casa primer piso barrio las granjas")</f>
        <v>carrera 45 # 14 e - 04 casa primer piso barrio las granjas / carrera 45 # 14 e - 04 casa primer piso barrio las granjas / carrera 45 # 14 e - 04 casa primer piso barrio las granjas</v>
      </c>
      <c r="G575" s="15" t="str">
        <f>IFERROR(__xludf.DUMMYFUNCTION("""COMPUTED_VALUE"""),"stefany  reina")</f>
        <v>stefany  reina</v>
      </c>
      <c r="H575" s="18">
        <f>IFERROR(__xludf.DUMMYFUNCTION("""COMPUTED_VALUE"""),9267.0)</f>
        <v>9267</v>
      </c>
      <c r="I575" s="18">
        <f>IFERROR(__xludf.DUMMYFUNCTION("""COMPUTED_VALUE"""),10.0)</f>
        <v>10</v>
      </c>
      <c r="J575" s="18">
        <f>IFERROR(__xludf.DUMMYFUNCTION("""COMPUTED_VALUE"""),25.0)</f>
        <v>25</v>
      </c>
      <c r="K575" s="18">
        <f>IFERROR(__xludf.DUMMYFUNCTION("""COMPUTED_VALUE"""),25.0)</f>
        <v>25</v>
      </c>
      <c r="L575" s="17">
        <f>IFERROR(__xludf.DUMMYFUNCTION("""COMPUTED_VALUE"""),3.153400281E9)</f>
        <v>3153400281</v>
      </c>
      <c r="M575" s="17" t="str">
        <f>IFERROR(__xludf.DUMMYFUNCTION("""COMPUTED_VALUE"""),"#REF!")</f>
        <v>#REF!</v>
      </c>
      <c r="N575" s="17"/>
      <c r="O575" s="19" t="str">
        <f>IFERROR(__xludf.DUMMYFUNCTION("""COMPUTED_VALUE"""),"")</f>
        <v/>
      </c>
      <c r="P575" s="17" t="b">
        <f>IFERROR(__xludf.DUMMYFUNCTION("""COMPUTED_VALUE"""),TRUE)</f>
        <v>1</v>
      </c>
      <c r="Q575" s="20">
        <f>IFERROR(__xludf.DUMMYFUNCTION("""COMPUTED_VALUE"""),45014.614765590275)</f>
        <v>45014.61477</v>
      </c>
      <c r="R575" s="22" t="str">
        <f>IFERROR(__xludf.DUMMYFUNCTION("""COMPUTED_VALUE"""),"")</f>
        <v/>
      </c>
    </row>
    <row r="576">
      <c r="A576" s="15">
        <f>IFERROR(__xludf.DUMMYFUNCTION("""COMPUTED_VALUE"""),45014.0)</f>
        <v>45014</v>
      </c>
      <c r="B576" s="16" t="str">
        <f>IFERROR(__xludf.DUMMYFUNCTION("""COMPUTED_VALUE"""),"Envia")</f>
        <v>Envia</v>
      </c>
      <c r="C576" s="15" t="str">
        <f>IFERROR(__xludf.DUMMYFUNCTION("""COMPUTED_VALUE"""),"CALI")</f>
        <v>CALI</v>
      </c>
      <c r="D576" s="15" t="str">
        <f>IFERROR(__xludf.DUMMYFUNCTION("""COMPUTED_VALUE"""),"MEDELLÍN")</f>
        <v>MEDELLÍN</v>
      </c>
      <c r="E576" s="15" t="str">
        <f>IFERROR(__xludf.DUMMYFUNCTION("""COMPUTED_VALUE"""),"JD Bufala")</f>
        <v>JD Bufala</v>
      </c>
      <c r="F576" s="17" t="str">
        <f>IFERROR(__xludf.DUMMYFUNCTION("""COMPUTED_VALUE"""),"Calle 51 norte # 4bn72 / Delhuertopizzeria  / La flora")</f>
        <v>Calle 51 norte # 4bn72 / Delhuertopizzeria  / La flora</v>
      </c>
      <c r="G576" s="15" t="str">
        <f>IFERROR(__xludf.DUMMYFUNCTION("""COMPUTED_VALUE"""),"Javier Rodríguez")</f>
        <v>Javier Rodríguez</v>
      </c>
      <c r="H576" s="18">
        <f>IFERROR(__xludf.DUMMYFUNCTION("""COMPUTED_VALUE"""),9261.0)</f>
        <v>9261</v>
      </c>
      <c r="I576" s="18">
        <f>IFERROR(__xludf.DUMMYFUNCTION("""COMPUTED_VALUE"""),123.0)</f>
        <v>123</v>
      </c>
      <c r="J576" s="18">
        <f>IFERROR(__xludf.DUMMYFUNCTION("""COMPUTED_VALUE"""),28.0)</f>
        <v>28</v>
      </c>
      <c r="K576" s="18">
        <f>IFERROR(__xludf.DUMMYFUNCTION("""COMPUTED_VALUE"""),40.0)</f>
        <v>40</v>
      </c>
      <c r="L576" s="17">
        <f>IFERROR(__xludf.DUMMYFUNCTION("""COMPUTED_VALUE"""),3.104919761E9)</f>
        <v>3104919761</v>
      </c>
      <c r="M576" s="17" t="str">
        <f>IFERROR(__xludf.DUMMYFUNCTION("""COMPUTED_VALUE"""),"#REF!")</f>
        <v>#REF!</v>
      </c>
      <c r="N576" s="17"/>
      <c r="O576" s="19" t="str">
        <f>IFERROR(__xludf.DUMMYFUNCTION("""COMPUTED_VALUE"""),"")</f>
        <v/>
      </c>
      <c r="P576" s="17" t="b">
        <f>IFERROR(__xludf.DUMMYFUNCTION("""COMPUTED_VALUE"""),TRUE)</f>
        <v>1</v>
      </c>
      <c r="Q576" s="20">
        <f>IFERROR(__xludf.DUMMYFUNCTION("""COMPUTED_VALUE"""),45014.614765590275)</f>
        <v>45014.61477</v>
      </c>
      <c r="R576" s="22" t="str">
        <f>IFERROR(__xludf.DUMMYFUNCTION("""COMPUTED_VALUE"""),"")</f>
        <v/>
      </c>
    </row>
    <row r="577">
      <c r="A577" s="15">
        <f>IFERROR(__xludf.DUMMYFUNCTION("""COMPUTED_VALUE"""),45014.0)</f>
        <v>45014</v>
      </c>
      <c r="B577" s="16" t="str">
        <f>IFERROR(__xludf.DUMMYFUNCTION("""COMPUTED_VALUE"""),"Envia")</f>
        <v>Envia</v>
      </c>
      <c r="C577" s="15" t="str">
        <f>IFERROR(__xludf.DUMMYFUNCTION("""COMPUTED_VALUE"""),"CÚCUTA")</f>
        <v>CÚCUTA</v>
      </c>
      <c r="D577" s="15" t="str">
        <f>IFERROR(__xludf.DUMMYFUNCTION("""COMPUTED_VALUE"""),"BOGOTÁ")</f>
        <v>BOGOTÁ</v>
      </c>
      <c r="E577" s="15" t="str">
        <f>IFERROR(__xludf.DUMMYFUNCTION("""COMPUTED_VALUE"""),"Asociacion Agropecuaria Juana Maria")</f>
        <v>Asociacion Agropecuaria Juana Maria</v>
      </c>
      <c r="F577" s="17" t="str">
        <f>IFERROR(__xludf.DUMMYFUNCTION("""COMPUTED_VALUE"""),"AV. 2E # 15 A -17   PISTACHO FIT MARKET BARRIO CAOBOS")</f>
        <v>AV. 2E # 15 A -17   PISTACHO FIT MARKET BARRIO CAOBOS</v>
      </c>
      <c r="G577" s="15" t="str">
        <f>IFERROR(__xludf.DUMMYFUNCTION("""COMPUTED_VALUE"""),"DACCY KARINA LOPEZ")</f>
        <v>DACCY KARINA LOPEZ</v>
      </c>
      <c r="H577" s="18">
        <f>IFERROR(__xludf.DUMMYFUNCTION("""COMPUTED_VALUE"""),9176.0)</f>
        <v>9176</v>
      </c>
      <c r="I577" s="18" t="str">
        <f>IFERROR(__xludf.DUMMYFUNCTION("""COMPUTED_VALUE"""),"52.5")</f>
        <v>52.5</v>
      </c>
      <c r="J577" s="18">
        <f>IFERROR(__xludf.DUMMYFUNCTION("""COMPUTED_VALUE"""),45.0)</f>
        <v>45</v>
      </c>
      <c r="K577" s="18">
        <f>IFERROR(__xludf.DUMMYFUNCTION("""COMPUTED_VALUE"""),55.0)</f>
        <v>55</v>
      </c>
      <c r="L577" s="17">
        <f>IFERROR(__xludf.DUMMYFUNCTION("""COMPUTED_VALUE"""),3.208615379E9)</f>
        <v>3208615379</v>
      </c>
      <c r="M577" s="17" t="str">
        <f>IFERROR(__xludf.DUMMYFUNCTION("""COMPUTED_VALUE"""),"#REF!")</f>
        <v>#REF!</v>
      </c>
      <c r="N577" s="17"/>
      <c r="O577" s="19" t="str">
        <f>IFERROR(__xludf.DUMMYFUNCTION("""COMPUTED_VALUE"""),"")</f>
        <v/>
      </c>
      <c r="P577" s="17" t="b">
        <f>IFERROR(__xludf.DUMMYFUNCTION("""COMPUTED_VALUE"""),TRUE)</f>
        <v>1</v>
      </c>
      <c r="Q577" s="20">
        <f>IFERROR(__xludf.DUMMYFUNCTION("""COMPUTED_VALUE"""),45014.614765590275)</f>
        <v>45014.61477</v>
      </c>
      <c r="R577" s="22" t="str">
        <f>IFERROR(__xludf.DUMMYFUNCTION("""COMPUTED_VALUE"""),"")</f>
        <v/>
      </c>
    </row>
    <row r="578">
      <c r="A578" s="15">
        <f>IFERROR(__xludf.DUMMYFUNCTION("""COMPUTED_VALUE"""),45014.0)</f>
        <v>45014</v>
      </c>
      <c r="B578" s="16" t="str">
        <f>IFERROR(__xludf.DUMMYFUNCTION("""COMPUTED_VALUE"""),"Envia")</f>
        <v>Envia</v>
      </c>
      <c r="C578" s="15" t="str">
        <f>IFERROR(__xludf.DUMMYFUNCTION("""COMPUTED_VALUE"""),"CÚCUTA")</f>
        <v>CÚCUTA</v>
      </c>
      <c r="D578" s="15" t="str">
        <f>IFERROR(__xludf.DUMMYFUNCTION("""COMPUTED_VALUE"""),"MEDELLÍN")</f>
        <v>MEDELLÍN</v>
      </c>
      <c r="E578" s="15" t="str">
        <f>IFERROR(__xludf.DUMMYFUNCTION("""COMPUTED_VALUE"""),"Momo Tea S.A.S Gabriel Echavarría")</f>
        <v>Momo Tea S.A.S Gabriel Echavarría</v>
      </c>
      <c r="F578" s="17" t="str">
        <f>IFERROR(__xludf.DUMMYFUNCTION("""COMPUTED_VALUE"""),"CL 11 N 16 E 35 / CA B 1")</f>
        <v>CL 11 N 16 E 35 / CA B 1</v>
      </c>
      <c r="G578" s="15" t="str">
        <f>IFERROR(__xludf.DUMMYFUNCTION("""COMPUTED_VALUE"""),"Gabriel Echavarría")</f>
        <v>Gabriel Echavarría</v>
      </c>
      <c r="H578" s="18">
        <f>IFERROR(__xludf.DUMMYFUNCTION("""COMPUTED_VALUE"""),9226.0)</f>
        <v>9226</v>
      </c>
      <c r="I578" s="18">
        <f>IFERROR(__xludf.DUMMYFUNCTION("""COMPUTED_VALUE"""),21.0)</f>
        <v>21</v>
      </c>
      <c r="J578" s="18">
        <f>IFERROR(__xludf.DUMMYFUNCTION("""COMPUTED_VALUE"""),29.0)</f>
        <v>29</v>
      </c>
      <c r="K578" s="18">
        <f>IFERROR(__xludf.DUMMYFUNCTION("""COMPUTED_VALUE"""),29.0)</f>
        <v>29</v>
      </c>
      <c r="L578" s="17">
        <f>IFERROR(__xludf.DUMMYFUNCTION("""COMPUTED_VALUE"""),3.017909548E9)</f>
        <v>3017909548</v>
      </c>
      <c r="M578" s="17" t="str">
        <f>IFERROR(__xludf.DUMMYFUNCTION("""COMPUTED_VALUE"""),"#REF!")</f>
        <v>#REF!</v>
      </c>
      <c r="N578" s="17"/>
      <c r="O578" s="19" t="str">
        <f>IFERROR(__xludf.DUMMYFUNCTION("""COMPUTED_VALUE"""),"")</f>
        <v/>
      </c>
      <c r="P578" s="17" t="b">
        <f>IFERROR(__xludf.DUMMYFUNCTION("""COMPUTED_VALUE"""),TRUE)</f>
        <v>1</v>
      </c>
      <c r="Q578" s="20">
        <f>IFERROR(__xludf.DUMMYFUNCTION("""COMPUTED_VALUE"""),45014.614765590275)</f>
        <v>45014.61477</v>
      </c>
      <c r="R578" s="22" t="str">
        <f>IFERROR(__xludf.DUMMYFUNCTION("""COMPUTED_VALUE"""),"")</f>
        <v/>
      </c>
    </row>
    <row r="579">
      <c r="A579" s="15">
        <f>IFERROR(__xludf.DUMMYFUNCTION("""COMPUTED_VALUE"""),45014.0)</f>
        <v>45014</v>
      </c>
      <c r="B579" s="16" t="str">
        <f>IFERROR(__xludf.DUMMYFUNCTION("""COMPUTED_VALUE"""),"Envia")</f>
        <v>Envia</v>
      </c>
      <c r="C579" s="15" t="str">
        <f>IFERROR(__xludf.DUMMYFUNCTION("""COMPUTED_VALUE"""),"CÚCUTA")</f>
        <v>CÚCUTA</v>
      </c>
      <c r="D579" s="15" t="str">
        <f>IFERROR(__xludf.DUMMYFUNCTION("""COMPUTED_VALUE"""),"MEDELLÍN")</f>
        <v>MEDELLÍN</v>
      </c>
      <c r="E579" s="15" t="str">
        <f>IFERROR(__xludf.DUMMYFUNCTION("""COMPUTED_VALUE"""),"Momo Tea S.A.S Gabriel Echavarría")</f>
        <v>Momo Tea S.A.S Gabriel Echavarría</v>
      </c>
      <c r="F579" s="17" t="str">
        <f>IFERROR(__xludf.DUMMYFUNCTION("""COMPUTED_VALUE"""),"CL 11 N 16 E 35 / CA B 1")</f>
        <v>CL 11 N 16 E 35 / CA B 1</v>
      </c>
      <c r="G579" s="15" t="str">
        <f>IFERROR(__xludf.DUMMYFUNCTION("""COMPUTED_VALUE"""),"Gabriel Echavarría")</f>
        <v>Gabriel Echavarría</v>
      </c>
      <c r="H579" s="18">
        <f>IFERROR(__xludf.DUMMYFUNCTION("""COMPUTED_VALUE"""),9227.0)</f>
        <v>9227</v>
      </c>
      <c r="I579" s="18">
        <f>IFERROR(__xludf.DUMMYFUNCTION("""COMPUTED_VALUE"""),25.0)</f>
        <v>25</v>
      </c>
      <c r="J579" s="18">
        <f>IFERROR(__xludf.DUMMYFUNCTION("""COMPUTED_VALUE"""),35.0)</f>
        <v>35</v>
      </c>
      <c r="K579" s="18">
        <f>IFERROR(__xludf.DUMMYFUNCTION("""COMPUTED_VALUE"""),35.0)</f>
        <v>35</v>
      </c>
      <c r="L579" s="17">
        <f>IFERROR(__xludf.DUMMYFUNCTION("""COMPUTED_VALUE"""),3.017909548E9)</f>
        <v>3017909548</v>
      </c>
      <c r="M579" s="17" t="str">
        <f>IFERROR(__xludf.DUMMYFUNCTION("""COMPUTED_VALUE"""),"#REF!")</f>
        <v>#REF!</v>
      </c>
      <c r="N579" s="17"/>
      <c r="O579" s="19" t="str">
        <f>IFERROR(__xludf.DUMMYFUNCTION("""COMPUTED_VALUE"""),"")</f>
        <v/>
      </c>
      <c r="P579" s="17" t="b">
        <f>IFERROR(__xludf.DUMMYFUNCTION("""COMPUTED_VALUE"""),TRUE)</f>
        <v>1</v>
      </c>
      <c r="Q579" s="20">
        <f>IFERROR(__xludf.DUMMYFUNCTION("""COMPUTED_VALUE"""),45014.614765590275)</f>
        <v>45014.61477</v>
      </c>
      <c r="R579" s="22" t="str">
        <f>IFERROR(__xludf.DUMMYFUNCTION("""COMPUTED_VALUE"""),"")</f>
        <v/>
      </c>
    </row>
    <row r="580">
      <c r="A580" s="15">
        <f>IFERROR(__xludf.DUMMYFUNCTION("""COMPUTED_VALUE"""),45014.0)</f>
        <v>45014</v>
      </c>
      <c r="B580" s="16" t="str">
        <f>IFERROR(__xludf.DUMMYFUNCTION("""COMPUTED_VALUE"""),"Envia")</f>
        <v>Envia</v>
      </c>
      <c r="C580" s="15" t="str">
        <f>IFERROR(__xludf.DUMMYFUNCTION("""COMPUTED_VALUE"""),"CÚCUTA")</f>
        <v>CÚCUTA</v>
      </c>
      <c r="D580" s="15" t="str">
        <f>IFERROR(__xludf.DUMMYFUNCTION("""COMPUTED_VALUE"""),"MEDELLÍN")</f>
        <v>MEDELLÍN</v>
      </c>
      <c r="E580" s="15" t="str">
        <f>IFERROR(__xludf.DUMMYFUNCTION("""COMPUTED_VALUE"""),"Momo Tea S.A.S Gabriel Echavarría")</f>
        <v>Momo Tea S.A.S Gabriel Echavarría</v>
      </c>
      <c r="F580" s="17" t="str">
        <f>IFERROR(__xludf.DUMMYFUNCTION("""COMPUTED_VALUE"""),"CL 11 N 16 E 35 / CA B 1")</f>
        <v>CL 11 N 16 E 35 / CA B 1</v>
      </c>
      <c r="G580" s="15" t="str">
        <f>IFERROR(__xludf.DUMMYFUNCTION("""COMPUTED_VALUE"""),"Gabriel Echavarría")</f>
        <v>Gabriel Echavarría</v>
      </c>
      <c r="H580" s="18">
        <f>IFERROR(__xludf.DUMMYFUNCTION("""COMPUTED_VALUE"""),9228.0)</f>
        <v>9228</v>
      </c>
      <c r="I580" s="18">
        <f>IFERROR(__xludf.DUMMYFUNCTION("""COMPUTED_VALUE"""),24.0)</f>
        <v>24</v>
      </c>
      <c r="J580" s="18">
        <f>IFERROR(__xludf.DUMMYFUNCTION("""COMPUTED_VALUE"""),3.0)</f>
        <v>3</v>
      </c>
      <c r="K580" s="18">
        <f>IFERROR(__xludf.DUMMYFUNCTION("""COMPUTED_VALUE"""),26.0)</f>
        <v>26</v>
      </c>
      <c r="L580" s="17">
        <f>IFERROR(__xludf.DUMMYFUNCTION("""COMPUTED_VALUE"""),3.017909548E9)</f>
        <v>3017909548</v>
      </c>
      <c r="M580" s="17" t="str">
        <f>IFERROR(__xludf.DUMMYFUNCTION("""COMPUTED_VALUE"""),"#REF!")</f>
        <v>#REF!</v>
      </c>
      <c r="N580" s="17"/>
      <c r="O580" s="19" t="str">
        <f>IFERROR(__xludf.DUMMYFUNCTION("""COMPUTED_VALUE"""),"")</f>
        <v/>
      </c>
      <c r="P580" s="17" t="b">
        <f>IFERROR(__xludf.DUMMYFUNCTION("""COMPUTED_VALUE"""),TRUE)</f>
        <v>1</v>
      </c>
      <c r="Q580" s="20">
        <f>IFERROR(__xludf.DUMMYFUNCTION("""COMPUTED_VALUE"""),45014.614765590275)</f>
        <v>45014.61477</v>
      </c>
      <c r="R580" s="22" t="str">
        <f>IFERROR(__xludf.DUMMYFUNCTION("""COMPUTED_VALUE"""),"")</f>
        <v/>
      </c>
    </row>
    <row r="581">
      <c r="A581" s="15">
        <f>IFERROR(__xludf.DUMMYFUNCTION("""COMPUTED_VALUE"""),45014.0)</f>
        <v>45014</v>
      </c>
      <c r="B581" s="16" t="str">
        <f>IFERROR(__xludf.DUMMYFUNCTION("""COMPUTED_VALUE"""),"Envia")</f>
        <v>Envia</v>
      </c>
      <c r="C581" s="15" t="str">
        <f>IFERROR(__xludf.DUMMYFUNCTION("""COMPUTED_VALUE"""),"CÚCUTA")</f>
        <v>CÚCUTA</v>
      </c>
      <c r="D581" s="15" t="str">
        <f>IFERROR(__xludf.DUMMYFUNCTION("""COMPUTED_VALUE"""),"MEDELLÍN")</f>
        <v>MEDELLÍN</v>
      </c>
      <c r="E581" s="15" t="str">
        <f>IFERROR(__xludf.DUMMYFUNCTION("""COMPUTED_VALUE"""),"Momo Tea S.A.S Gabriel Echavarría")</f>
        <v>Momo Tea S.A.S Gabriel Echavarría</v>
      </c>
      <c r="F581" s="17" t="str">
        <f>IFERROR(__xludf.DUMMYFUNCTION("""COMPUTED_VALUE"""),"CL 11 N 16 E 35 / CA B 1")</f>
        <v>CL 11 N 16 E 35 / CA B 1</v>
      </c>
      <c r="G581" s="15" t="str">
        <f>IFERROR(__xludf.DUMMYFUNCTION("""COMPUTED_VALUE"""),"Gabriel Echavarría")</f>
        <v>Gabriel Echavarría</v>
      </c>
      <c r="H581" s="18">
        <f>IFERROR(__xludf.DUMMYFUNCTION("""COMPUTED_VALUE"""),9229.0)</f>
        <v>9229</v>
      </c>
      <c r="I581" s="18">
        <f>IFERROR(__xludf.DUMMYFUNCTION("""COMPUTED_VALUE"""),19.0)</f>
        <v>19</v>
      </c>
      <c r="J581" s="18">
        <f>IFERROR(__xludf.DUMMYFUNCTION("""COMPUTED_VALUE"""),11.0)</f>
        <v>11</v>
      </c>
      <c r="K581" s="18">
        <f>IFERROR(__xludf.DUMMYFUNCTION("""COMPUTED_VALUE"""),32.0)</f>
        <v>32</v>
      </c>
      <c r="L581" s="17">
        <f>IFERROR(__xludf.DUMMYFUNCTION("""COMPUTED_VALUE"""),3.017909548E9)</f>
        <v>3017909548</v>
      </c>
      <c r="M581" s="17" t="str">
        <f>IFERROR(__xludf.DUMMYFUNCTION("""COMPUTED_VALUE"""),"#REF!")</f>
        <v>#REF!</v>
      </c>
      <c r="N581" s="17"/>
      <c r="O581" s="19" t="str">
        <f>IFERROR(__xludf.DUMMYFUNCTION("""COMPUTED_VALUE"""),"")</f>
        <v/>
      </c>
      <c r="P581" s="17" t="b">
        <f>IFERROR(__xludf.DUMMYFUNCTION("""COMPUTED_VALUE"""),TRUE)</f>
        <v>1</v>
      </c>
      <c r="Q581" s="20">
        <f>IFERROR(__xludf.DUMMYFUNCTION("""COMPUTED_VALUE"""),45014.614765590275)</f>
        <v>45014.61477</v>
      </c>
      <c r="R581" s="22" t="str">
        <f>IFERROR(__xludf.DUMMYFUNCTION("""COMPUTED_VALUE"""),"")</f>
        <v/>
      </c>
    </row>
    <row r="582">
      <c r="A582" s="15">
        <f>IFERROR(__xludf.DUMMYFUNCTION("""COMPUTED_VALUE"""),45014.0)</f>
        <v>45014</v>
      </c>
      <c r="B582" s="16" t="str">
        <f>IFERROR(__xludf.DUMMYFUNCTION("""COMPUTED_VALUE"""),"Envia")</f>
        <v>Envia</v>
      </c>
      <c r="C582" s="15" t="str">
        <f>IFERROR(__xludf.DUMMYFUNCTION("""COMPUTED_VALUE"""),"CÚCUTA")</f>
        <v>CÚCUTA</v>
      </c>
      <c r="D582" s="15" t="str">
        <f>IFERROR(__xludf.DUMMYFUNCTION("""COMPUTED_VALUE"""),"MEDELLÍN")</f>
        <v>MEDELLÍN</v>
      </c>
      <c r="E582" s="15" t="str">
        <f>IFERROR(__xludf.DUMMYFUNCTION("""COMPUTED_VALUE"""),"Momo Tea S.A.S Gabriel Echavarría")</f>
        <v>Momo Tea S.A.S Gabriel Echavarría</v>
      </c>
      <c r="F582" s="17" t="str">
        <f>IFERROR(__xludf.DUMMYFUNCTION("""COMPUTED_VALUE"""),"CL 11 N 16 E 35 / CA B 1")</f>
        <v>CL 11 N 16 E 35 / CA B 1</v>
      </c>
      <c r="G582" s="15" t="str">
        <f>IFERROR(__xludf.DUMMYFUNCTION("""COMPUTED_VALUE"""),"Gabriel Echavarría")</f>
        <v>Gabriel Echavarría</v>
      </c>
      <c r="H582" s="18">
        <f>IFERROR(__xludf.DUMMYFUNCTION("""COMPUTED_VALUE"""),9230.0)</f>
        <v>9230</v>
      </c>
      <c r="I582" s="18">
        <f>IFERROR(__xludf.DUMMYFUNCTION("""COMPUTED_VALUE"""),17.0)</f>
        <v>17</v>
      </c>
      <c r="J582" s="18">
        <f>IFERROR(__xludf.DUMMYFUNCTION("""COMPUTED_VALUE"""),17.0)</f>
        <v>17</v>
      </c>
      <c r="K582" s="18">
        <f>IFERROR(__xludf.DUMMYFUNCTION("""COMPUTED_VALUE"""),23.0)</f>
        <v>23</v>
      </c>
      <c r="L582" s="17">
        <f>IFERROR(__xludf.DUMMYFUNCTION("""COMPUTED_VALUE"""),3.017909548E9)</f>
        <v>3017909548</v>
      </c>
      <c r="M582" s="17" t="str">
        <f>IFERROR(__xludf.DUMMYFUNCTION("""COMPUTED_VALUE"""),"#REF!")</f>
        <v>#REF!</v>
      </c>
      <c r="N582" s="17"/>
      <c r="O582" s="19" t="str">
        <f>IFERROR(__xludf.DUMMYFUNCTION("""COMPUTED_VALUE"""),"")</f>
        <v/>
      </c>
      <c r="P582" s="17" t="b">
        <f>IFERROR(__xludf.DUMMYFUNCTION("""COMPUTED_VALUE"""),TRUE)</f>
        <v>1</v>
      </c>
      <c r="Q582" s="20">
        <f>IFERROR(__xludf.DUMMYFUNCTION("""COMPUTED_VALUE"""),45014.614765590275)</f>
        <v>45014.61477</v>
      </c>
      <c r="R582" s="22" t="str">
        <f>IFERROR(__xludf.DUMMYFUNCTION("""COMPUTED_VALUE"""),"")</f>
        <v/>
      </c>
    </row>
    <row r="583">
      <c r="A583" s="15">
        <f>IFERROR(__xludf.DUMMYFUNCTION("""COMPUTED_VALUE"""),45014.0)</f>
        <v>45014</v>
      </c>
      <c r="B583" s="16" t="str">
        <f>IFERROR(__xludf.DUMMYFUNCTION("""COMPUTED_VALUE"""),"Envia")</f>
        <v>Envia</v>
      </c>
      <c r="C583" s="15" t="str">
        <f>IFERROR(__xludf.DUMMYFUNCTION("""COMPUTED_VALUE"""),"CÚCUTA")</f>
        <v>CÚCUTA</v>
      </c>
      <c r="D583" s="15" t="str">
        <f>IFERROR(__xludf.DUMMYFUNCTION("""COMPUTED_VALUE"""),"MEDELLÍN")</f>
        <v>MEDELLÍN</v>
      </c>
      <c r="E583" s="15" t="str">
        <f>IFERROR(__xludf.DUMMYFUNCTION("""COMPUTED_VALUE"""),"Momo Tea S.A.S Gabriel Echavarría")</f>
        <v>Momo Tea S.A.S Gabriel Echavarría</v>
      </c>
      <c r="F583" s="17" t="str">
        <f>IFERROR(__xludf.DUMMYFUNCTION("""COMPUTED_VALUE"""),"CL 11 N 16 E 35 / CA B 1")</f>
        <v>CL 11 N 16 E 35 / CA B 1</v>
      </c>
      <c r="G583" s="15" t="str">
        <f>IFERROR(__xludf.DUMMYFUNCTION("""COMPUTED_VALUE"""),"Gabriel Echavarría")</f>
        <v>Gabriel Echavarría</v>
      </c>
      <c r="H583" s="18">
        <f>IFERROR(__xludf.DUMMYFUNCTION("""COMPUTED_VALUE"""),9231.0)</f>
        <v>9231</v>
      </c>
      <c r="I583" s="18">
        <f>IFERROR(__xludf.DUMMYFUNCTION("""COMPUTED_VALUE"""),33.0)</f>
        <v>33</v>
      </c>
      <c r="J583" s="18">
        <f>IFERROR(__xludf.DUMMYFUNCTION("""COMPUTED_VALUE"""),13.0)</f>
        <v>13</v>
      </c>
      <c r="K583" s="18">
        <f>IFERROR(__xludf.DUMMYFUNCTION("""COMPUTED_VALUE"""),20.0)</f>
        <v>20</v>
      </c>
      <c r="L583" s="17">
        <f>IFERROR(__xludf.DUMMYFUNCTION("""COMPUTED_VALUE"""),3.017909548E9)</f>
        <v>3017909548</v>
      </c>
      <c r="M583" s="17" t="str">
        <f>IFERROR(__xludf.DUMMYFUNCTION("""COMPUTED_VALUE"""),"#REF!")</f>
        <v>#REF!</v>
      </c>
      <c r="N583" s="17"/>
      <c r="O583" s="19" t="str">
        <f>IFERROR(__xludf.DUMMYFUNCTION("""COMPUTED_VALUE"""),"")</f>
        <v/>
      </c>
      <c r="P583" s="17" t="b">
        <f>IFERROR(__xludf.DUMMYFUNCTION("""COMPUTED_VALUE"""),TRUE)</f>
        <v>1</v>
      </c>
      <c r="Q583" s="20">
        <f>IFERROR(__xludf.DUMMYFUNCTION("""COMPUTED_VALUE"""),45014.614765590275)</f>
        <v>45014.61477</v>
      </c>
      <c r="R583" s="22" t="str">
        <f>IFERROR(__xludf.DUMMYFUNCTION("""COMPUTED_VALUE"""),"")</f>
        <v/>
      </c>
    </row>
    <row r="584">
      <c r="A584" s="15">
        <f>IFERROR(__xludf.DUMMYFUNCTION("""COMPUTED_VALUE"""),45014.0)</f>
        <v>45014</v>
      </c>
      <c r="B584" s="16" t="str">
        <f>IFERROR(__xludf.DUMMYFUNCTION("""COMPUTED_VALUE"""),"Envia")</f>
        <v>Envia</v>
      </c>
      <c r="C584" s="15" t="str">
        <f>IFERROR(__xludf.DUMMYFUNCTION("""COMPUTED_VALUE"""),"MEDELLÍN")</f>
        <v>MEDELLÍN</v>
      </c>
      <c r="D584" s="15" t="str">
        <f>IFERROR(__xludf.DUMMYFUNCTION("""COMPUTED_VALUE"""),"CALI")</f>
        <v>CALI</v>
      </c>
      <c r="E584" s="15" t="str">
        <f>IFERROR(__xludf.DUMMYFUNCTION("""COMPUTED_VALUE"""),"Vallar")</f>
        <v>Vallar</v>
      </c>
      <c r="F584" s="17" t="str">
        <f>IFERROR(__xludf.DUMMYFUNCTION("""COMPUTED_VALUE"""),"Cra 17 #2-161, apto 2004, urbanización Calera Alta / Urbanización Calera Alta / Calera alta")</f>
        <v>Cra 17 #2-161, apto 2004, urbanización Calera Alta / Urbanización Calera Alta / Calera alta</v>
      </c>
      <c r="G584" s="15" t="str">
        <f>IFERROR(__xludf.DUMMYFUNCTION("""COMPUTED_VALUE"""),"Manuela Mejia")</f>
        <v>Manuela Mejia</v>
      </c>
      <c r="H584" s="18">
        <f>IFERROR(__xludf.DUMMYFUNCTION("""COMPUTED_VALUE"""),9255.0)</f>
        <v>9255</v>
      </c>
      <c r="I584" s="18">
        <f>IFERROR(__xludf.DUMMYFUNCTION("""COMPUTED_VALUE"""),52.0)</f>
        <v>52</v>
      </c>
      <c r="J584" s="18">
        <f>IFERROR(__xludf.DUMMYFUNCTION("""COMPUTED_VALUE"""),45.0)</f>
        <v>45</v>
      </c>
      <c r="K584" s="18">
        <f>IFERROR(__xludf.DUMMYFUNCTION("""COMPUTED_VALUE"""),55.0)</f>
        <v>55</v>
      </c>
      <c r="L584" s="17">
        <f>IFERROR(__xludf.DUMMYFUNCTION("""COMPUTED_VALUE"""),3.108239729E9)</f>
        <v>3108239729</v>
      </c>
      <c r="M584" s="17" t="str">
        <f>IFERROR(__xludf.DUMMYFUNCTION("""COMPUTED_VALUE"""),"#REF!")</f>
        <v>#REF!</v>
      </c>
      <c r="N584" s="17"/>
      <c r="O584" s="19" t="str">
        <f>IFERROR(__xludf.DUMMYFUNCTION("""COMPUTED_VALUE"""),"")</f>
        <v/>
      </c>
      <c r="P584" s="17" t="b">
        <f>IFERROR(__xludf.DUMMYFUNCTION("""COMPUTED_VALUE"""),FALSE)</f>
        <v>0</v>
      </c>
      <c r="Q584" s="20" t="str">
        <f>IFERROR(__xludf.DUMMYFUNCTION("""COMPUTED_VALUE"""),"")</f>
        <v/>
      </c>
      <c r="R584" s="22" t="str">
        <f>IFERROR(__xludf.DUMMYFUNCTION("""COMPUTED_VALUE"""),"")</f>
        <v/>
      </c>
    </row>
    <row r="585">
      <c r="A585" s="15" t="str">
        <f>IFERROR(__xludf.DUMMYFUNCTION("""COMPUTED_VALUE"""),"")</f>
        <v/>
      </c>
      <c r="B585" s="16" t="str">
        <f>IFERROR(__xludf.DUMMYFUNCTION("""COMPUTED_VALUE"""),"")</f>
        <v/>
      </c>
      <c r="C585" s="15" t="str">
        <f>IFERROR(__xludf.DUMMYFUNCTION("""COMPUTED_VALUE"""),"")</f>
        <v/>
      </c>
      <c r="D585" s="15" t="str">
        <f>IFERROR(__xludf.DUMMYFUNCTION("""COMPUTED_VALUE"""),"")</f>
        <v/>
      </c>
      <c r="E585" s="15" t="str">
        <f>IFERROR(__xludf.DUMMYFUNCTION("""COMPUTED_VALUE"""),"")</f>
        <v/>
      </c>
      <c r="F585" s="17" t="str">
        <f>IFERROR(__xludf.DUMMYFUNCTION("""COMPUTED_VALUE"""),"")</f>
        <v/>
      </c>
      <c r="G585" s="15" t="str">
        <f>IFERROR(__xludf.DUMMYFUNCTION("""COMPUTED_VALUE"""),"")</f>
        <v/>
      </c>
      <c r="H585" s="18" t="str">
        <f>IFERROR(__xludf.DUMMYFUNCTION("""COMPUTED_VALUE"""),"")</f>
        <v/>
      </c>
      <c r="I585" s="18" t="str">
        <f>IFERROR(__xludf.DUMMYFUNCTION("""COMPUTED_VALUE"""),"")</f>
        <v/>
      </c>
      <c r="J585" s="18" t="str">
        <f>IFERROR(__xludf.DUMMYFUNCTION("""COMPUTED_VALUE"""),"")</f>
        <v/>
      </c>
      <c r="K585" s="17" t="str">
        <f>IFERROR(__xludf.DUMMYFUNCTION("""COMPUTED_VALUE"""),"")</f>
        <v/>
      </c>
      <c r="L585" s="17" t="str">
        <f>IFERROR(__xludf.DUMMYFUNCTION("""COMPUTED_VALUE"""),"")</f>
        <v/>
      </c>
      <c r="M585" s="17" t="str">
        <f>IFERROR(__xludf.DUMMYFUNCTION("""COMPUTED_VALUE"""),"")</f>
        <v/>
      </c>
      <c r="N585" s="19" t="str">
        <f>IFERROR(__xludf.DUMMYFUNCTION("""COMPUTED_VALUE"""),"")</f>
        <v/>
      </c>
      <c r="O585" s="19" t="str">
        <f>IFERROR(__xludf.DUMMYFUNCTION("""COMPUTED_VALUE"""),"")</f>
        <v/>
      </c>
      <c r="P585" s="17" t="str">
        <f>IFERROR(__xludf.DUMMYFUNCTION("""COMPUTED_VALUE"""),"")</f>
        <v/>
      </c>
      <c r="Q585" s="20" t="str">
        <f>IFERROR(__xludf.DUMMYFUNCTION("""COMPUTED_VALUE"""),"")</f>
        <v/>
      </c>
      <c r="R585" s="22" t="str">
        <f>IFERROR(__xludf.DUMMYFUNCTION("""COMPUTED_VALUE"""),"")</f>
        <v/>
      </c>
    </row>
    <row r="586">
      <c r="A586" s="15">
        <f>IFERROR(__xludf.DUMMYFUNCTION("""COMPUTED_VALUE"""),45014.0)</f>
        <v>45014</v>
      </c>
      <c r="B586" s="16" t="str">
        <f>IFERROR(__xludf.DUMMYFUNCTION("""COMPUTED_VALUE"""),"Jeison Rubiano")</f>
        <v>Jeison Rubiano</v>
      </c>
      <c r="C586" s="15" t="str">
        <f>IFERROR(__xludf.DUMMYFUNCTION("""COMPUTED_VALUE"""),"BOGOTÁ")</f>
        <v>BOGOTÁ</v>
      </c>
      <c r="D586" s="15" t="str">
        <f>IFERROR(__xludf.DUMMYFUNCTION("""COMPUTED_VALUE"""),"MEDELLÍN")</f>
        <v>MEDELLÍN</v>
      </c>
      <c r="E586" s="15" t="str">
        <f>IFERROR(__xludf.DUMMYFUNCTION("""COMPUTED_VALUE"""),"Baby Chef")</f>
        <v>Baby Chef</v>
      </c>
      <c r="F586" s="17" t="str">
        <f>IFERROR(__xludf.DUMMYFUNCTION("""COMPUTED_VALUE"""),"CRA 70 D # 70 D 64 38 SUR  Torre 5 apto 1901 Barrio Perdomo, Conjunto: Parque central Bonavista 2 / CRA 70 D # 70 D 64 38 SUR  Torre 5 apto 1901 Barrio Perdomo, Conjunto: Parque central Bonavista 2 / CRA 70 D # 70 D 64 38 SUR  Torre 5 apto 1901 Barrio Per"&amp;"domo, Conjunto: Parque central Bonavista 2")</f>
        <v>CRA 70 D # 70 D 64 38 SUR  Torre 5 apto 1901 Barrio Perdomo, Conjunto: Parque central Bonavista 2 / CRA 70 D # 70 D 64 38 SUR  Torre 5 apto 1901 Barrio Perdomo, Conjunto: Parque central Bonavista 2 / CRA 70 D # 70 D 64 38 SUR  Torre 5 apto 1901 Barrio Perdomo, Conjunto: Parque central Bonavista 2</v>
      </c>
      <c r="G586" s="15" t="str">
        <f>IFERROR(__xludf.DUMMYFUNCTION("""COMPUTED_VALUE"""),"Ingrid Rodriguez")</f>
        <v>Ingrid Rodriguez</v>
      </c>
      <c r="H586" s="18">
        <f>IFERROR(__xludf.DUMMYFUNCTION("""COMPUTED_VALUE"""),9270.0)</f>
        <v>9270</v>
      </c>
      <c r="I586" s="18">
        <f>IFERROR(__xludf.DUMMYFUNCTION("""COMPUTED_VALUE"""),8.0)</f>
        <v>8</v>
      </c>
      <c r="J586" s="18">
        <f>IFERROR(__xludf.DUMMYFUNCTION("""COMPUTED_VALUE"""),16.0)</f>
        <v>16</v>
      </c>
      <c r="K586" s="18">
        <f>IFERROR(__xludf.DUMMYFUNCTION("""COMPUTED_VALUE"""),20.0)</f>
        <v>20</v>
      </c>
      <c r="L586" s="17">
        <f>IFERROR(__xludf.DUMMYFUNCTION("""COMPUTED_VALUE"""),3.138521725E9)</f>
        <v>3138521725</v>
      </c>
      <c r="M586" s="17" t="str">
        <f>IFERROR(__xludf.DUMMYFUNCTION("""COMPUTED_VALUE"""),"#REF!")</f>
        <v>#REF!</v>
      </c>
      <c r="N586" s="17"/>
      <c r="O586" s="19" t="str">
        <f>IFERROR(__xludf.DUMMYFUNCTION("""COMPUTED_VALUE"""),"")</f>
        <v/>
      </c>
      <c r="P586" s="17" t="b">
        <f>IFERROR(__xludf.DUMMYFUNCTION("""COMPUTED_VALUE"""),TRUE)</f>
        <v>1</v>
      </c>
      <c r="Q586" s="20">
        <f>IFERROR(__xludf.DUMMYFUNCTION("""COMPUTED_VALUE"""),45014.71851568287)</f>
        <v>45014.71852</v>
      </c>
      <c r="R586" s="22" t="str">
        <f>IFERROR(__xludf.DUMMYFUNCTION("""COMPUTED_VALUE"""),"")</f>
        <v/>
      </c>
    </row>
    <row r="587">
      <c r="A587" s="15">
        <f>IFERROR(__xludf.DUMMYFUNCTION("""COMPUTED_VALUE"""),45014.0)</f>
        <v>45014</v>
      </c>
      <c r="B587" s="16" t="str">
        <f>IFERROR(__xludf.DUMMYFUNCTION("""COMPUTED_VALUE"""),"Jeison Rubiano")</f>
        <v>Jeison Rubiano</v>
      </c>
      <c r="C587" s="15" t="str">
        <f>IFERROR(__xludf.DUMMYFUNCTION("""COMPUTED_VALUE"""),"BOGOTÁ")</f>
        <v>BOGOTÁ</v>
      </c>
      <c r="D587" s="15" t="str">
        <f>IFERROR(__xludf.DUMMYFUNCTION("""COMPUTED_VALUE"""),"MEDELLÍN")</f>
        <v>MEDELLÍN</v>
      </c>
      <c r="E587" s="15" t="str">
        <f>IFERROR(__xludf.DUMMYFUNCTION("""COMPUTED_VALUE"""),"Lácteos El Pino SAS")</f>
        <v>Lácteos El Pino SAS</v>
      </c>
      <c r="F587" s="17" t="str">
        <f>IFERROR(__xludf.DUMMYFUNCTION("""COMPUTED_VALUE"""),"CALLE 93# 18 -81 / ENTREGAR EN EL LOCAL")</f>
        <v>CALLE 93# 18 -81 / ENTREGAR EN EL LOCAL</v>
      </c>
      <c r="G587" s="15" t="str">
        <f>IFERROR(__xludf.DUMMYFUNCTION("""COMPUTED_VALUE"""),"KIM")</f>
        <v>KIM</v>
      </c>
      <c r="H587" s="18">
        <f>IFERROR(__xludf.DUMMYFUNCTION("""COMPUTED_VALUE"""),9252.0)</f>
        <v>9252</v>
      </c>
      <c r="I587" s="18">
        <f>IFERROR(__xludf.DUMMYFUNCTION("""COMPUTED_VALUE"""),33.0)</f>
        <v>33</v>
      </c>
      <c r="J587" s="18">
        <f>IFERROR(__xludf.DUMMYFUNCTION("""COMPUTED_VALUE"""),22.0)</f>
        <v>22</v>
      </c>
      <c r="K587" s="18">
        <f>IFERROR(__xludf.DUMMYFUNCTION("""COMPUTED_VALUE"""),36.0)</f>
        <v>36</v>
      </c>
      <c r="L587" s="17"/>
      <c r="M587" s="17" t="str">
        <f>IFERROR(__xludf.DUMMYFUNCTION("""COMPUTED_VALUE"""),"#REF!")</f>
        <v>#REF!</v>
      </c>
      <c r="N587" s="17"/>
      <c r="O587" s="19" t="str">
        <f>IFERROR(__xludf.DUMMYFUNCTION("""COMPUTED_VALUE"""),"")</f>
        <v/>
      </c>
      <c r="P587" s="17" t="b">
        <f>IFERROR(__xludf.DUMMYFUNCTION("""COMPUTED_VALUE"""),TRUE)</f>
        <v>1</v>
      </c>
      <c r="Q587" s="20">
        <f>IFERROR(__xludf.DUMMYFUNCTION("""COMPUTED_VALUE"""),45014.71851568287)</f>
        <v>45014.71852</v>
      </c>
      <c r="R587" s="22" t="str">
        <f>IFERROR(__xludf.DUMMYFUNCTION("""COMPUTED_VALUE"""),"")</f>
        <v/>
      </c>
    </row>
    <row r="588">
      <c r="A588" s="15">
        <f>IFERROR(__xludf.DUMMYFUNCTION("""COMPUTED_VALUE"""),45014.0)</f>
        <v>45014</v>
      </c>
      <c r="B588" s="16" t="str">
        <f>IFERROR(__xludf.DUMMYFUNCTION("""COMPUTED_VALUE"""),"Jeison Rubiano")</f>
        <v>Jeison Rubiano</v>
      </c>
      <c r="C588" s="15" t="str">
        <f>IFERROR(__xludf.DUMMYFUNCTION("""COMPUTED_VALUE"""),"BOGOTÁ")</f>
        <v>BOGOTÁ</v>
      </c>
      <c r="D588" s="15" t="str">
        <f>IFERROR(__xludf.DUMMYFUNCTION("""COMPUTED_VALUE"""),"MEDELLÍN")</f>
        <v>MEDELLÍN</v>
      </c>
      <c r="E588" s="15" t="str">
        <f>IFERROR(__xludf.DUMMYFUNCTION("""COMPUTED_VALUE"""),"Moloso S.A.S")</f>
        <v>Moloso S.A.S</v>
      </c>
      <c r="F588" s="17" t="str">
        <f>IFERROR(__xludf.DUMMYFUNCTION("""COMPUTED_VALUE"""),"CLL 118 16 32 / APT 502")</f>
        <v>CLL 118 16 32 / APT 502</v>
      </c>
      <c r="G588" s="15" t="str">
        <f>IFERROR(__xludf.DUMMYFUNCTION("""COMPUTED_VALUE"""),"ANGELICA MANCILLA")</f>
        <v>ANGELICA MANCILLA</v>
      </c>
      <c r="H588" s="18">
        <f>IFERROR(__xludf.DUMMYFUNCTION("""COMPUTED_VALUE"""),9248.0)</f>
        <v>9248</v>
      </c>
      <c r="I588" s="18">
        <f>IFERROR(__xludf.DUMMYFUNCTION("""COMPUTED_VALUE"""),17.0)</f>
        <v>17</v>
      </c>
      <c r="J588" s="18">
        <f>IFERROR(__xludf.DUMMYFUNCTION("""COMPUTED_VALUE"""),15.0)</f>
        <v>15</v>
      </c>
      <c r="K588" s="18">
        <f>IFERROR(__xludf.DUMMYFUNCTION("""COMPUTED_VALUE"""),28.0)</f>
        <v>28</v>
      </c>
      <c r="L588" s="17">
        <f>IFERROR(__xludf.DUMMYFUNCTION("""COMPUTED_VALUE"""),3.174401028E9)</f>
        <v>3174401028</v>
      </c>
      <c r="M588" s="17" t="str">
        <f>IFERROR(__xludf.DUMMYFUNCTION("""COMPUTED_VALUE"""),"#REF!")</f>
        <v>#REF!</v>
      </c>
      <c r="N588" s="17"/>
      <c r="O588" s="19" t="str">
        <f>IFERROR(__xludf.DUMMYFUNCTION("""COMPUTED_VALUE"""),"")</f>
        <v/>
      </c>
      <c r="P588" s="17" t="b">
        <f>IFERROR(__xludf.DUMMYFUNCTION("""COMPUTED_VALUE"""),TRUE)</f>
        <v>1</v>
      </c>
      <c r="Q588" s="20">
        <f>IFERROR(__xludf.DUMMYFUNCTION("""COMPUTED_VALUE"""),45014.71851568287)</f>
        <v>45014.71852</v>
      </c>
      <c r="R588" s="22" t="str">
        <f>IFERROR(__xludf.DUMMYFUNCTION("""COMPUTED_VALUE"""),"")</f>
        <v/>
      </c>
    </row>
    <row r="589">
      <c r="A589" s="15">
        <f>IFERROR(__xludf.DUMMYFUNCTION("""COMPUTED_VALUE"""),45014.0)</f>
        <v>45014</v>
      </c>
      <c r="B589" s="16" t="str">
        <f>IFERROR(__xludf.DUMMYFUNCTION("""COMPUTED_VALUE"""),"Jeison Rubiano")</f>
        <v>Jeison Rubiano</v>
      </c>
      <c r="C589" s="15" t="str">
        <f>IFERROR(__xludf.DUMMYFUNCTION("""COMPUTED_VALUE"""),"BOGOTÁ")</f>
        <v>BOGOTÁ</v>
      </c>
      <c r="D589" s="15" t="str">
        <f>IFERROR(__xludf.DUMMYFUNCTION("""COMPUTED_VALUE"""),"MEDELLÍN")</f>
        <v>MEDELLÍN</v>
      </c>
      <c r="E589" s="15" t="str">
        <f>IFERROR(__xludf.DUMMYFUNCTION("""COMPUTED_VALUE"""),"Rambla")</f>
        <v>Rambla</v>
      </c>
      <c r="F589" s="17" t="str">
        <f>IFERROR(__xludf.DUMMYFUNCTION("""COMPUTED_VALUE"""),"calle 134c # 53b 52 apto 301 casa gris tercer piso. Barrio spring / na / na")</f>
        <v>calle 134c # 53b 52 apto 301 casa gris tercer piso. Barrio spring / na / na</v>
      </c>
      <c r="G589" s="15" t="str">
        <f>IFERROR(__xludf.DUMMYFUNCTION("""COMPUTED_VALUE"""),"Ana María Ríos Moreno")</f>
        <v>Ana María Ríos Moreno</v>
      </c>
      <c r="H589" s="18">
        <f>IFERROR(__xludf.DUMMYFUNCTION("""COMPUTED_VALUE"""),9260.0)</f>
        <v>9260</v>
      </c>
      <c r="I589" s="18">
        <f>IFERROR(__xludf.DUMMYFUNCTION("""COMPUTED_VALUE"""),23.0)</f>
        <v>23</v>
      </c>
      <c r="J589" s="18">
        <f>IFERROR(__xludf.DUMMYFUNCTION("""COMPUTED_VALUE"""),25.0)</f>
        <v>25</v>
      </c>
      <c r="K589" s="18">
        <f>IFERROR(__xludf.DUMMYFUNCTION("""COMPUTED_VALUE"""),27.0)</f>
        <v>27</v>
      </c>
      <c r="L589" s="17">
        <f>IFERROR(__xludf.DUMMYFUNCTION("""COMPUTED_VALUE"""),3.00661678E9)</f>
        <v>3006616780</v>
      </c>
      <c r="M589" s="17" t="str">
        <f>IFERROR(__xludf.DUMMYFUNCTION("""COMPUTED_VALUE"""),"#REF!")</f>
        <v>#REF!</v>
      </c>
      <c r="N589" s="17"/>
      <c r="O589" s="19" t="str">
        <f>IFERROR(__xludf.DUMMYFUNCTION("""COMPUTED_VALUE"""),"")</f>
        <v/>
      </c>
      <c r="P589" s="17" t="b">
        <f>IFERROR(__xludf.DUMMYFUNCTION("""COMPUTED_VALUE"""),TRUE)</f>
        <v>1</v>
      </c>
      <c r="Q589" s="20">
        <f>IFERROR(__xludf.DUMMYFUNCTION("""COMPUTED_VALUE"""),45014.71851568287)</f>
        <v>45014.71852</v>
      </c>
      <c r="R589" s="22" t="str">
        <f>IFERROR(__xludf.DUMMYFUNCTION("""COMPUTED_VALUE"""),"")</f>
        <v/>
      </c>
    </row>
    <row r="590">
      <c r="A590" s="15">
        <f>IFERROR(__xludf.DUMMYFUNCTION("""COMPUTED_VALUE"""),45014.0)</f>
        <v>45014</v>
      </c>
      <c r="B590" s="16" t="str">
        <f>IFERROR(__xludf.DUMMYFUNCTION("""COMPUTED_VALUE"""),"Jeison Rubiano")</f>
        <v>Jeison Rubiano</v>
      </c>
      <c r="C590" s="15" t="str">
        <f>IFERROR(__xludf.DUMMYFUNCTION("""COMPUTED_VALUE"""),"BOGOTÁ")</f>
        <v>BOGOTÁ</v>
      </c>
      <c r="D590" s="15" t="str">
        <f>IFERROR(__xludf.DUMMYFUNCTION("""COMPUTED_VALUE"""),"MEDELLÍN")</f>
        <v>MEDELLÍN</v>
      </c>
      <c r="E590" s="15" t="str">
        <f>IFERROR(__xludf.DUMMYFUNCTION("""COMPUTED_VALUE"""),"Rambla")</f>
        <v>Rambla</v>
      </c>
      <c r="F590" s="17" t="str">
        <f>IFERROR(__xludf.DUMMYFUNCTION("""COMPUTED_VALUE"""),"Cl. 93a #11-46, Barrio Chicó / na / na")</f>
        <v>Cl. 93a #11-46, Barrio Chicó / na / na</v>
      </c>
      <c r="G590" s="15" t="str">
        <f>IFERROR(__xludf.DUMMYFUNCTION("""COMPUTED_VALUE"""),"Fit Hub Bogota")</f>
        <v>Fit Hub Bogota</v>
      </c>
      <c r="H590" s="18">
        <f>IFERROR(__xludf.DUMMYFUNCTION("""COMPUTED_VALUE"""),9258.0)</f>
        <v>9258</v>
      </c>
      <c r="I590" s="18">
        <f>IFERROR(__xludf.DUMMYFUNCTION("""COMPUTED_VALUE"""),23.0)</f>
        <v>23</v>
      </c>
      <c r="J590" s="18">
        <f>IFERROR(__xludf.DUMMYFUNCTION("""COMPUTED_VALUE"""),25.0)</f>
        <v>25</v>
      </c>
      <c r="K590" s="18">
        <f>IFERROR(__xludf.DUMMYFUNCTION("""COMPUTED_VALUE"""),27.0)</f>
        <v>27</v>
      </c>
      <c r="L590" s="17">
        <f>IFERROR(__xludf.DUMMYFUNCTION("""COMPUTED_VALUE"""),3.015447307E9)</f>
        <v>3015447307</v>
      </c>
      <c r="M590" s="17" t="str">
        <f>IFERROR(__xludf.DUMMYFUNCTION("""COMPUTED_VALUE"""),"#REF!")</f>
        <v>#REF!</v>
      </c>
      <c r="N590" s="17"/>
      <c r="O590" s="19" t="str">
        <f>IFERROR(__xludf.DUMMYFUNCTION("""COMPUTED_VALUE"""),"")</f>
        <v/>
      </c>
      <c r="P590" s="17" t="b">
        <f>IFERROR(__xludf.DUMMYFUNCTION("""COMPUTED_VALUE"""),TRUE)</f>
        <v>1</v>
      </c>
      <c r="Q590" s="20">
        <f>IFERROR(__xludf.DUMMYFUNCTION("""COMPUTED_VALUE"""),45014.71851568287)</f>
        <v>45014.71852</v>
      </c>
      <c r="R590" s="22" t="str">
        <f>IFERROR(__xludf.DUMMYFUNCTION("""COMPUTED_VALUE"""),"")</f>
        <v/>
      </c>
    </row>
    <row r="591">
      <c r="A591" s="15">
        <f>IFERROR(__xludf.DUMMYFUNCTION("""COMPUTED_VALUE"""),45014.0)</f>
        <v>45014</v>
      </c>
      <c r="B591" s="16" t="str">
        <f>IFERROR(__xludf.DUMMYFUNCTION("""COMPUTED_VALUE"""),"Jeison Rubiano")</f>
        <v>Jeison Rubiano</v>
      </c>
      <c r="C591" s="15" t="str">
        <f>IFERROR(__xludf.DUMMYFUNCTION("""COMPUTED_VALUE"""),"BOGOTÁ")</f>
        <v>BOGOTÁ</v>
      </c>
      <c r="D591" s="15" t="str">
        <f>IFERROR(__xludf.DUMMYFUNCTION("""COMPUTED_VALUE"""),"MEDELLÍN")</f>
        <v>MEDELLÍN</v>
      </c>
      <c r="E591" s="15" t="str">
        <f>IFERROR(__xludf.DUMMYFUNCTION("""COMPUTED_VALUE"""),"Terravocado")</f>
        <v>Terravocado</v>
      </c>
      <c r="F591" s="17" t="str">
        <f>IFERROR(__xludf.DUMMYFUNCTION("""COMPUTED_VALUE"""),"CRA 19 # 98 - 48 / BARRIO CHICO NORTE  / CHICO NORTE")</f>
        <v>CRA 19 # 98 - 48 / BARRIO CHICO NORTE  / CHICO NORTE</v>
      </c>
      <c r="G591" s="15" t="str">
        <f>IFERROR(__xludf.DUMMYFUNCTION("""COMPUTED_VALUE"""),"ALPARKE SAS (ALEJANDRA VANEGAS)")</f>
        <v>ALPARKE SAS (ALEJANDRA VANEGAS)</v>
      </c>
      <c r="H591" s="18">
        <f>IFERROR(__xludf.DUMMYFUNCTION("""COMPUTED_VALUE"""),9155.0)</f>
        <v>9155</v>
      </c>
      <c r="I591" s="18">
        <f>IFERROR(__xludf.DUMMYFUNCTION("""COMPUTED_VALUE"""),20.0)</f>
        <v>20</v>
      </c>
      <c r="J591" s="18">
        <f>IFERROR(__xludf.DUMMYFUNCTION("""COMPUTED_VALUE"""),24.0)</f>
        <v>24</v>
      </c>
      <c r="K591" s="18">
        <f>IFERROR(__xludf.DUMMYFUNCTION("""COMPUTED_VALUE"""),34.0)</f>
        <v>34</v>
      </c>
      <c r="L591" s="17">
        <f>IFERROR(__xludf.DUMMYFUNCTION("""COMPUTED_VALUE"""),3.19535029E9)</f>
        <v>3195350290</v>
      </c>
      <c r="M591" s="17" t="str">
        <f>IFERROR(__xludf.DUMMYFUNCTION("""COMPUTED_VALUE"""),"#REF!")</f>
        <v>#REF!</v>
      </c>
      <c r="N591" s="17"/>
      <c r="O591" s="19" t="str">
        <f>IFERROR(__xludf.DUMMYFUNCTION("""COMPUTED_VALUE"""),"")</f>
        <v/>
      </c>
      <c r="P591" s="17" t="b">
        <f>IFERROR(__xludf.DUMMYFUNCTION("""COMPUTED_VALUE"""),FALSE)</f>
        <v>0</v>
      </c>
      <c r="Q591" s="20" t="str">
        <f>IFERROR(__xludf.DUMMYFUNCTION("""COMPUTED_VALUE"""),"")</f>
        <v/>
      </c>
      <c r="R591" s="22" t="str">
        <f>IFERROR(__xludf.DUMMYFUNCTION("""COMPUTED_VALUE"""),"")</f>
        <v/>
      </c>
    </row>
    <row r="592">
      <c r="A592" s="17" t="str">
        <f>IFERROR(__xludf.DUMMYFUNCTION("""COMPUTED_VALUE"""),"")</f>
        <v/>
      </c>
      <c r="B592" s="17" t="str">
        <f>IFERROR(__xludf.DUMMYFUNCTION("""COMPUTED_VALUE"""),"")</f>
        <v/>
      </c>
      <c r="C592" s="17" t="str">
        <f>IFERROR(__xludf.DUMMYFUNCTION("""COMPUTED_VALUE"""),"")</f>
        <v/>
      </c>
      <c r="D592" s="17" t="str">
        <f>IFERROR(__xludf.DUMMYFUNCTION("""COMPUTED_VALUE"""),"")</f>
        <v/>
      </c>
      <c r="E592" s="17" t="str">
        <f>IFERROR(__xludf.DUMMYFUNCTION("""COMPUTED_VALUE"""),"")</f>
        <v/>
      </c>
      <c r="F592" s="17" t="str">
        <f>IFERROR(__xludf.DUMMYFUNCTION("""COMPUTED_VALUE"""),"")</f>
        <v/>
      </c>
      <c r="G592" s="17" t="str">
        <f>IFERROR(__xludf.DUMMYFUNCTION("""COMPUTED_VALUE"""),"")</f>
        <v/>
      </c>
      <c r="H592" s="17" t="str">
        <f>IFERROR(__xludf.DUMMYFUNCTION("""COMPUTED_VALUE"""),"")</f>
        <v/>
      </c>
      <c r="I592" s="17" t="str">
        <f>IFERROR(__xludf.DUMMYFUNCTION("""COMPUTED_VALUE"""),"")</f>
        <v/>
      </c>
      <c r="J592" s="17" t="str">
        <f>IFERROR(__xludf.DUMMYFUNCTION("""COMPUTED_VALUE"""),"")</f>
        <v/>
      </c>
      <c r="K592" s="17" t="str">
        <f>IFERROR(__xludf.DUMMYFUNCTION("""COMPUTED_VALUE"""),"")</f>
        <v/>
      </c>
      <c r="L592" s="17" t="str">
        <f>IFERROR(__xludf.DUMMYFUNCTION("""COMPUTED_VALUE"""),"")</f>
        <v/>
      </c>
      <c r="M592" s="17" t="str">
        <f>IFERROR(__xludf.DUMMYFUNCTION("""COMPUTED_VALUE"""),"")</f>
        <v/>
      </c>
      <c r="N592" s="17" t="str">
        <f>IFERROR(__xludf.DUMMYFUNCTION("""COMPUTED_VALUE"""),"")</f>
        <v/>
      </c>
      <c r="O592" s="17" t="str">
        <f>IFERROR(__xludf.DUMMYFUNCTION("""COMPUTED_VALUE"""),"")</f>
        <v/>
      </c>
      <c r="P592" s="17" t="str">
        <f>IFERROR(__xludf.DUMMYFUNCTION("""COMPUTED_VALUE"""),"")</f>
        <v/>
      </c>
      <c r="Q592" s="17" t="str">
        <f>IFERROR(__xludf.DUMMYFUNCTION("""COMPUTED_VALUE"""),"")</f>
        <v/>
      </c>
      <c r="R592" s="17" t="str">
        <f>IFERROR(__xludf.DUMMYFUNCTION("""COMPUTED_VALUE"""),"")</f>
        <v/>
      </c>
    </row>
    <row r="593">
      <c r="A593" s="15">
        <f>IFERROR(__xludf.DUMMYFUNCTION("""COMPUTED_VALUE"""),45014.0)</f>
        <v>45014</v>
      </c>
      <c r="B593" s="16" t="str">
        <f>IFERROR(__xludf.DUMMYFUNCTION("""COMPUTED_VALUE"""),"Johan Alexander Escobar Arroyo ")</f>
        <v>Johan Alexander Escobar Arroyo </v>
      </c>
      <c r="C593" s="15" t="str">
        <f>IFERROR(__xludf.DUMMYFUNCTION("""COMPUTED_VALUE"""),"CALI")</f>
        <v>CALI</v>
      </c>
      <c r="D593" s="15" t="str">
        <f>IFERROR(__xludf.DUMMYFUNCTION("""COMPUTED_VALUE"""),"MEDELLÍN")</f>
        <v>MEDELLÍN</v>
      </c>
      <c r="E593" s="15" t="str">
        <f>IFERROR(__xludf.DUMMYFUNCTION("""COMPUTED_VALUE"""),"Baby Chef")</f>
        <v>Baby Chef</v>
      </c>
      <c r="F593" s="17" t="str">
        <f>IFERROR(__xludf.DUMMYFUNCTION("""COMPUTED_VALUE"""),"Avenida 2b2 #73N bis 99 brisas de los alamos apto e203 unidad residencial los robles / Avenida 2b2 #73N bis 99 brisas de los alamos apto e203 unidad residwncial los robles / otro numero de contacto 3164273514")</f>
        <v>Avenida 2b2 #73N bis 99 brisas de los alamos apto e203 unidad residencial los robles / Avenida 2b2 #73N bis 99 brisas de los alamos apto e203 unidad residwncial los robles / otro numero de contacto 3164273514</v>
      </c>
      <c r="G593" s="15" t="str">
        <f>IFERROR(__xludf.DUMMYFUNCTION("""COMPUTED_VALUE"""),"maria margarita echeverry martinez")</f>
        <v>maria margarita echeverry martinez</v>
      </c>
      <c r="H593" s="18">
        <f>IFERROR(__xludf.DUMMYFUNCTION("""COMPUTED_VALUE"""),9265.0)</f>
        <v>9265</v>
      </c>
      <c r="I593" s="18">
        <f>IFERROR(__xludf.DUMMYFUNCTION("""COMPUTED_VALUE"""),8.0)</f>
        <v>8</v>
      </c>
      <c r="J593" s="18">
        <f>IFERROR(__xludf.DUMMYFUNCTION("""COMPUTED_VALUE"""),16.0)</f>
        <v>16</v>
      </c>
      <c r="K593" s="18">
        <f>IFERROR(__xludf.DUMMYFUNCTION("""COMPUTED_VALUE"""),20.0)</f>
        <v>20</v>
      </c>
      <c r="L593" s="17">
        <f>IFERROR(__xludf.DUMMYFUNCTION("""COMPUTED_VALUE"""),3.16427354E9)</f>
        <v>3164273540</v>
      </c>
      <c r="M593" s="17" t="str">
        <f>IFERROR(__xludf.DUMMYFUNCTION("""COMPUTED_VALUE"""),"#REF!")</f>
        <v>#REF!</v>
      </c>
      <c r="N593" s="17"/>
      <c r="O593" s="19" t="str">
        <f>IFERROR(__xludf.DUMMYFUNCTION("""COMPUTED_VALUE"""),"")</f>
        <v/>
      </c>
      <c r="P593" s="17" t="b">
        <f>IFERROR(__xludf.DUMMYFUNCTION("""COMPUTED_VALUE"""),TRUE)</f>
        <v>1</v>
      </c>
      <c r="Q593" s="20">
        <f>IFERROR(__xludf.DUMMYFUNCTION("""COMPUTED_VALUE"""),45014.614765590275)</f>
        <v>45014.61477</v>
      </c>
      <c r="R593" s="22" t="str">
        <f>IFERROR(__xludf.DUMMYFUNCTION("""COMPUTED_VALUE"""),"")</f>
        <v/>
      </c>
    </row>
    <row r="594">
      <c r="A594" s="15">
        <f>IFERROR(__xludf.DUMMYFUNCTION("""COMPUTED_VALUE"""),45014.0)</f>
        <v>45014</v>
      </c>
      <c r="B594" s="16" t="str">
        <f>IFERROR(__xludf.DUMMYFUNCTION("""COMPUTED_VALUE"""),"Johan Alexander Escobar Arroyo ")</f>
        <v>Johan Alexander Escobar Arroyo </v>
      </c>
      <c r="C594" s="15" t="str">
        <f>IFERROR(__xludf.DUMMYFUNCTION("""COMPUTED_VALUE"""),"CALI")</f>
        <v>CALI</v>
      </c>
      <c r="D594" s="15" t="str">
        <f>IFERROR(__xludf.DUMMYFUNCTION("""COMPUTED_VALUE"""),"MEDELLÍN")</f>
        <v>MEDELLÍN</v>
      </c>
      <c r="E594" s="15" t="str">
        <f>IFERROR(__xludf.DUMMYFUNCTION("""COMPUTED_VALUE"""),"Baby Chef")</f>
        <v>Baby Chef</v>
      </c>
      <c r="F594" s="17" t="str">
        <f>IFERROR(__xludf.DUMMYFUNCTION("""COMPUTED_VALUE"""),"Avenida 7 N 56 173 Apto 101 Edificio skorpios Menga / Avenida 7 N 56 173 Apto 101 Edificio skorpios Menga / Avenida 7 N 56 173 Apto 101 Edificio skorpios Menga")</f>
        <v>Avenida 7 N 56 173 Apto 101 Edificio skorpios Menga / Avenida 7 N 56 173 Apto 101 Edificio skorpios Menga / Avenida 7 N 56 173 Apto 101 Edificio skorpios Menga</v>
      </c>
      <c r="G594" s="15" t="str">
        <f>IFERROR(__xludf.DUMMYFUNCTION("""COMPUTED_VALUE"""),"Maria clara Zapata")</f>
        <v>Maria clara Zapata</v>
      </c>
      <c r="H594" s="18">
        <f>IFERROR(__xludf.DUMMYFUNCTION("""COMPUTED_VALUE"""),9273.0)</f>
        <v>9273</v>
      </c>
      <c r="I594" s="18">
        <f>IFERROR(__xludf.DUMMYFUNCTION("""COMPUTED_VALUE"""),8.0)</f>
        <v>8</v>
      </c>
      <c r="J594" s="18">
        <f>IFERROR(__xludf.DUMMYFUNCTION("""COMPUTED_VALUE"""),16.0)</f>
        <v>16</v>
      </c>
      <c r="K594" s="18">
        <f>IFERROR(__xludf.DUMMYFUNCTION("""COMPUTED_VALUE"""),20.0)</f>
        <v>20</v>
      </c>
      <c r="L594" s="17">
        <f>IFERROR(__xludf.DUMMYFUNCTION("""COMPUTED_VALUE"""),3.212039341E9)</f>
        <v>3212039341</v>
      </c>
      <c r="M594" s="17" t="str">
        <f>IFERROR(__xludf.DUMMYFUNCTION("""COMPUTED_VALUE"""),"#REF!")</f>
        <v>#REF!</v>
      </c>
      <c r="N594" s="17"/>
      <c r="O594" s="19" t="str">
        <f>IFERROR(__xludf.DUMMYFUNCTION("""COMPUTED_VALUE"""),"")</f>
        <v/>
      </c>
      <c r="P594" s="17" t="b">
        <f>IFERROR(__xludf.DUMMYFUNCTION("""COMPUTED_VALUE"""),TRUE)</f>
        <v>1</v>
      </c>
      <c r="Q594" s="20">
        <f>IFERROR(__xludf.DUMMYFUNCTION("""COMPUTED_VALUE"""),45014.614765590275)</f>
        <v>45014.61477</v>
      </c>
      <c r="R594" s="22" t="str">
        <f>IFERROR(__xludf.DUMMYFUNCTION("""COMPUTED_VALUE"""),"")</f>
        <v/>
      </c>
    </row>
    <row r="595">
      <c r="A595" s="15">
        <f>IFERROR(__xludf.DUMMYFUNCTION("""COMPUTED_VALUE"""),45014.0)</f>
        <v>45014</v>
      </c>
      <c r="B595" s="16" t="str">
        <f>IFERROR(__xludf.DUMMYFUNCTION("""COMPUTED_VALUE"""),"Johan Alexander Escobar Arroyo ")</f>
        <v>Johan Alexander Escobar Arroyo </v>
      </c>
      <c r="C595" s="15" t="str">
        <f>IFERROR(__xludf.DUMMYFUNCTION("""COMPUTED_VALUE"""),"CALI")</f>
        <v>CALI</v>
      </c>
      <c r="D595" s="15" t="str">
        <f>IFERROR(__xludf.DUMMYFUNCTION("""COMPUTED_VALUE"""),"MEDELLÍN")</f>
        <v>MEDELLÍN</v>
      </c>
      <c r="E595" s="15" t="str">
        <f>IFERROR(__xludf.DUMMYFUNCTION("""COMPUTED_VALUE"""),"Baby Chef")</f>
        <v>Baby Chef</v>
      </c>
      <c r="F595" s="17" t="str">
        <f>IFERROR(__xludf.DUMMYFUNCTION("""COMPUTED_VALUE"""),"Cra 3 # 17 oeste -145 Edificio solevante Apto 1402, torre 2 Al frente del zoológico / Al frente del zoológico / Al frente del zoológico")</f>
        <v>Cra 3 # 17 oeste -145 Edificio solevante Apto 1402, torre 2 Al frente del zoológico / Al frente del zoológico / Al frente del zoológico</v>
      </c>
      <c r="G595" s="15" t="str">
        <f>IFERROR(__xludf.DUMMYFUNCTION("""COMPUTED_VALUE"""),"Blanca Caicedo")</f>
        <v>Blanca Caicedo</v>
      </c>
      <c r="H595" s="18">
        <f>IFERROR(__xludf.DUMMYFUNCTION("""COMPUTED_VALUE"""),9266.0)</f>
        <v>9266</v>
      </c>
      <c r="I595" s="18">
        <f>IFERROR(__xludf.DUMMYFUNCTION("""COMPUTED_VALUE"""),8.0)</f>
        <v>8</v>
      </c>
      <c r="J595" s="18">
        <f>IFERROR(__xludf.DUMMYFUNCTION("""COMPUTED_VALUE"""),16.0)</f>
        <v>16</v>
      </c>
      <c r="K595" s="18">
        <f>IFERROR(__xludf.DUMMYFUNCTION("""COMPUTED_VALUE"""),20.0)</f>
        <v>20</v>
      </c>
      <c r="L595" s="17">
        <f>IFERROR(__xludf.DUMMYFUNCTION("""COMPUTED_VALUE"""),3.116305821E9)</f>
        <v>3116305821</v>
      </c>
      <c r="M595" s="17" t="str">
        <f>IFERROR(__xludf.DUMMYFUNCTION("""COMPUTED_VALUE"""),"#REF!")</f>
        <v>#REF!</v>
      </c>
      <c r="N595" s="17"/>
      <c r="O595" s="19" t="str">
        <f>IFERROR(__xludf.DUMMYFUNCTION("""COMPUTED_VALUE"""),"")</f>
        <v/>
      </c>
      <c r="P595" s="17" t="b">
        <f>IFERROR(__xludf.DUMMYFUNCTION("""COMPUTED_VALUE"""),TRUE)</f>
        <v>1</v>
      </c>
      <c r="Q595" s="20">
        <f>IFERROR(__xludf.DUMMYFUNCTION("""COMPUTED_VALUE"""),45014.61476560185)</f>
        <v>45014.61477</v>
      </c>
      <c r="R595" s="22" t="str">
        <f>IFERROR(__xludf.DUMMYFUNCTION("""COMPUTED_VALUE"""),"")</f>
        <v/>
      </c>
    </row>
    <row r="596">
      <c r="A596" s="15">
        <f>IFERROR(__xludf.DUMMYFUNCTION("""COMPUTED_VALUE"""),45014.0)</f>
        <v>45014</v>
      </c>
      <c r="B596" s="16" t="str">
        <f>IFERROR(__xludf.DUMMYFUNCTION("""COMPUTED_VALUE"""),"Johan Alexander Escobar Arroyo ")</f>
        <v>Johan Alexander Escobar Arroyo </v>
      </c>
      <c r="C596" s="15" t="str">
        <f>IFERROR(__xludf.DUMMYFUNCTION("""COMPUTED_VALUE"""),"CALI")</f>
        <v>CALI</v>
      </c>
      <c r="D596" s="15" t="str">
        <f>IFERROR(__xludf.DUMMYFUNCTION("""COMPUTED_VALUE"""),"MEDELLÍN")</f>
        <v>MEDELLÍN</v>
      </c>
      <c r="E596" s="15" t="str">
        <f>IFERROR(__xludf.DUMMYFUNCTION("""COMPUTED_VALUE"""),"Baby Chef")</f>
        <v>Baby Chef</v>
      </c>
      <c r="F596" s="17" t="str">
        <f>IFERROR(__xludf.DUMMYFUNCTION("""COMPUTED_VALUE"""),"Cra 80a 43 49.  - Caney / Cra 80a 43 49.  - Caney / Cra 80a 43 49.  - Caney")</f>
        <v>Cra 80a 43 49.  - Caney / Cra 80a 43 49.  - Caney / Cra 80a 43 49.  - Caney</v>
      </c>
      <c r="G596" s="15" t="str">
        <f>IFERROR(__xludf.DUMMYFUNCTION("""COMPUTED_VALUE"""),"Laura Lorena Cifuentes  Cali")</f>
        <v>Laura Lorena Cifuentes  Cali</v>
      </c>
      <c r="H596" s="18">
        <f>IFERROR(__xludf.DUMMYFUNCTION("""COMPUTED_VALUE"""),9268.0)</f>
        <v>9268</v>
      </c>
      <c r="I596" s="18">
        <f>IFERROR(__xludf.DUMMYFUNCTION("""COMPUTED_VALUE"""),8.0)</f>
        <v>8</v>
      </c>
      <c r="J596" s="18">
        <f>IFERROR(__xludf.DUMMYFUNCTION("""COMPUTED_VALUE"""),16.0)</f>
        <v>16</v>
      </c>
      <c r="K596" s="18">
        <f>IFERROR(__xludf.DUMMYFUNCTION("""COMPUTED_VALUE"""),20.0)</f>
        <v>20</v>
      </c>
      <c r="L596" s="17">
        <f>IFERROR(__xludf.DUMMYFUNCTION("""COMPUTED_VALUE"""),3.174433549E9)</f>
        <v>3174433549</v>
      </c>
      <c r="M596" s="17" t="str">
        <f>IFERROR(__xludf.DUMMYFUNCTION("""COMPUTED_VALUE"""),"#REF!")</f>
        <v>#REF!</v>
      </c>
      <c r="N596" s="17"/>
      <c r="O596" s="19" t="str">
        <f>IFERROR(__xludf.DUMMYFUNCTION("""COMPUTED_VALUE"""),"")</f>
        <v/>
      </c>
      <c r="P596" s="17" t="b">
        <f>IFERROR(__xludf.DUMMYFUNCTION("""COMPUTED_VALUE"""),TRUE)</f>
        <v>1</v>
      </c>
      <c r="Q596" s="20">
        <f>IFERROR(__xludf.DUMMYFUNCTION("""COMPUTED_VALUE"""),45014.61476560185)</f>
        <v>45014.61477</v>
      </c>
      <c r="R596" s="22" t="str">
        <f>IFERROR(__xludf.DUMMYFUNCTION("""COMPUTED_VALUE"""),"")</f>
        <v/>
      </c>
    </row>
    <row r="597">
      <c r="A597" s="15">
        <f>IFERROR(__xludf.DUMMYFUNCTION("""COMPUTED_VALUE"""),45014.0)</f>
        <v>45014</v>
      </c>
      <c r="B597" s="16" t="str">
        <f>IFERROR(__xludf.DUMMYFUNCTION("""COMPUTED_VALUE"""),"Johan Alexander Escobar Arroyo ")</f>
        <v>Johan Alexander Escobar Arroyo </v>
      </c>
      <c r="C597" s="15" t="str">
        <f>IFERROR(__xludf.DUMMYFUNCTION("""COMPUTED_VALUE"""),"CÚCUTA")</f>
        <v>CÚCUTA</v>
      </c>
      <c r="D597" s="15" t="str">
        <f>IFERROR(__xludf.DUMMYFUNCTION("""COMPUTED_VALUE"""),"MEDELLÍN")</f>
        <v>MEDELLÍN</v>
      </c>
      <c r="E597" s="15" t="str">
        <f>IFERROR(__xludf.DUMMYFUNCTION("""COMPUTED_VALUE"""),"Momo Tea S.A.S Gabriel Echavarría")</f>
        <v>Momo Tea S.A.S Gabriel Echavarría</v>
      </c>
      <c r="F597" s="17" t="str">
        <f>IFERROR(__xludf.DUMMYFUNCTION("""COMPUTED_VALUE"""),"CL 11 N 16 E 35 / CA B 1")</f>
        <v>CL 11 N 16 E 35 / CA B 1</v>
      </c>
      <c r="G597" s="15" t="str">
        <f>IFERROR(__xludf.DUMMYFUNCTION("""COMPUTED_VALUE"""),"Gabriel Echavarría")</f>
        <v>Gabriel Echavarría</v>
      </c>
      <c r="H597" s="18">
        <f>IFERROR(__xludf.DUMMYFUNCTION("""COMPUTED_VALUE"""),9232.0)</f>
        <v>9232</v>
      </c>
      <c r="I597" s="18">
        <f>IFERROR(__xludf.DUMMYFUNCTION("""COMPUTED_VALUE"""),63.0)</f>
        <v>63</v>
      </c>
      <c r="J597" s="18">
        <f>IFERROR(__xludf.DUMMYFUNCTION("""COMPUTED_VALUE"""),10.0)</f>
        <v>10</v>
      </c>
      <c r="K597" s="18">
        <f>IFERROR(__xludf.DUMMYFUNCTION("""COMPUTED_VALUE"""),9.0)</f>
        <v>9</v>
      </c>
      <c r="L597" s="17">
        <f>IFERROR(__xludf.DUMMYFUNCTION("""COMPUTED_VALUE"""),3.017909548E9)</f>
        <v>3017909548</v>
      </c>
      <c r="M597" s="17" t="str">
        <f>IFERROR(__xludf.DUMMYFUNCTION("""COMPUTED_VALUE"""),"#REF!")</f>
        <v>#REF!</v>
      </c>
      <c r="N597" s="17"/>
      <c r="O597" s="19" t="str">
        <f>IFERROR(__xludf.DUMMYFUNCTION("""COMPUTED_VALUE"""),"")</f>
        <v/>
      </c>
      <c r="P597" s="17" t="b">
        <f>IFERROR(__xludf.DUMMYFUNCTION("""COMPUTED_VALUE"""),FALSE)</f>
        <v>0</v>
      </c>
      <c r="Q597" s="20" t="str">
        <f>IFERROR(__xludf.DUMMYFUNCTION("""COMPUTED_VALUE"""),"")</f>
        <v/>
      </c>
      <c r="R597" s="22" t="str">
        <f>IFERROR(__xludf.DUMMYFUNCTION("""COMPUTED_VALUE"""),"")</f>
        <v/>
      </c>
    </row>
    <row r="598">
      <c r="A598" s="17" t="str">
        <f>IFERROR(__xludf.DUMMYFUNCTION("""COMPUTED_VALUE"""),"")</f>
        <v/>
      </c>
      <c r="B598" s="17" t="str">
        <f>IFERROR(__xludf.DUMMYFUNCTION("""COMPUTED_VALUE"""),"")</f>
        <v/>
      </c>
      <c r="C598" s="17" t="str">
        <f>IFERROR(__xludf.DUMMYFUNCTION("""COMPUTED_VALUE"""),"")</f>
        <v/>
      </c>
      <c r="D598" s="17" t="str">
        <f>IFERROR(__xludf.DUMMYFUNCTION("""COMPUTED_VALUE"""),"")</f>
        <v/>
      </c>
      <c r="E598" s="17" t="str">
        <f>IFERROR(__xludf.DUMMYFUNCTION("""COMPUTED_VALUE"""),"")</f>
        <v/>
      </c>
      <c r="F598" s="17" t="str">
        <f>IFERROR(__xludf.DUMMYFUNCTION("""COMPUTED_VALUE"""),"")</f>
        <v/>
      </c>
      <c r="G598" s="17" t="str">
        <f>IFERROR(__xludf.DUMMYFUNCTION("""COMPUTED_VALUE"""),"")</f>
        <v/>
      </c>
      <c r="H598" s="17" t="str">
        <f>IFERROR(__xludf.DUMMYFUNCTION("""COMPUTED_VALUE"""),"")</f>
        <v/>
      </c>
      <c r="I598" s="17" t="str">
        <f>IFERROR(__xludf.DUMMYFUNCTION("""COMPUTED_VALUE"""),"")</f>
        <v/>
      </c>
      <c r="J598" s="17" t="str">
        <f>IFERROR(__xludf.DUMMYFUNCTION("""COMPUTED_VALUE"""),"")</f>
        <v/>
      </c>
      <c r="K598" s="17" t="str">
        <f>IFERROR(__xludf.DUMMYFUNCTION("""COMPUTED_VALUE"""),"")</f>
        <v/>
      </c>
      <c r="L598" s="17" t="str">
        <f>IFERROR(__xludf.DUMMYFUNCTION("""COMPUTED_VALUE"""),"")</f>
        <v/>
      </c>
      <c r="M598" s="17" t="str">
        <f>IFERROR(__xludf.DUMMYFUNCTION("""COMPUTED_VALUE"""),"")</f>
        <v/>
      </c>
      <c r="N598" s="17" t="str">
        <f>IFERROR(__xludf.DUMMYFUNCTION("""COMPUTED_VALUE"""),"")</f>
        <v/>
      </c>
      <c r="O598" s="17" t="str">
        <f>IFERROR(__xludf.DUMMYFUNCTION("""COMPUTED_VALUE"""),"")</f>
        <v/>
      </c>
      <c r="P598" s="17" t="str">
        <f>IFERROR(__xludf.DUMMYFUNCTION("""COMPUTED_VALUE"""),"")</f>
        <v/>
      </c>
      <c r="Q598" s="17" t="str">
        <f>IFERROR(__xludf.DUMMYFUNCTION("""COMPUTED_VALUE"""),"")</f>
        <v/>
      </c>
      <c r="R598" s="17" t="str">
        <f>IFERROR(__xludf.DUMMYFUNCTION("""COMPUTED_VALUE"""),"")</f>
        <v/>
      </c>
    </row>
    <row r="599">
      <c r="A599" s="15">
        <f>IFERROR(__xludf.DUMMYFUNCTION("""COMPUTED_VALUE"""),45014.0)</f>
        <v>45014</v>
      </c>
      <c r="B599" s="16" t="str">
        <f>IFERROR(__xludf.DUMMYFUNCTION("""COMPUTED_VALUE"""),"Luis Miguel Ramirez Morales")</f>
        <v>Luis Miguel Ramirez Morales</v>
      </c>
      <c r="C599" s="15" t="str">
        <f>IFERROR(__xludf.DUMMYFUNCTION("""COMPUTED_VALUE"""),"BOGOTÁ")</f>
        <v>BOGOTÁ</v>
      </c>
      <c r="D599" s="15" t="str">
        <f>IFERROR(__xludf.DUMMYFUNCTION("""COMPUTED_VALUE"""),"MEDELLÍN")</f>
        <v>MEDELLÍN</v>
      </c>
      <c r="E599" s="15" t="str">
        <f>IFERROR(__xludf.DUMMYFUNCTION("""COMPUTED_VALUE"""),"Baby Chef")</f>
        <v>Baby Chef</v>
      </c>
      <c r="F599" s="17" t="str">
        <f>IFERROR(__xludf.DUMMYFUNCTION("""COMPUTED_VALUE"""),"Calle 136 # 56a 18 Casa 13 / Calle 136 # 56a 18 Casa 13 / Calle 136 # 56a 18 Casa 13")</f>
        <v>Calle 136 # 56a 18 Casa 13 / Calle 136 # 56a 18 Casa 13 / Calle 136 # 56a 18 Casa 13</v>
      </c>
      <c r="G599" s="15" t="str">
        <f>IFERROR(__xludf.DUMMYFUNCTION("""COMPUTED_VALUE"""),"Lissa Fajardo")</f>
        <v>Lissa Fajardo</v>
      </c>
      <c r="H599" s="18">
        <f>IFERROR(__xludf.DUMMYFUNCTION("""COMPUTED_VALUE"""),9269.0)</f>
        <v>9269</v>
      </c>
      <c r="I599" s="18">
        <f>IFERROR(__xludf.DUMMYFUNCTION("""COMPUTED_VALUE"""),8.0)</f>
        <v>8</v>
      </c>
      <c r="J599" s="18">
        <f>IFERROR(__xludf.DUMMYFUNCTION("""COMPUTED_VALUE"""),16.0)</f>
        <v>16</v>
      </c>
      <c r="K599" s="18">
        <f>IFERROR(__xludf.DUMMYFUNCTION("""COMPUTED_VALUE"""),20.0)</f>
        <v>20</v>
      </c>
      <c r="L599" s="17">
        <f>IFERROR(__xludf.DUMMYFUNCTION("""COMPUTED_VALUE"""),3.105616953E9)</f>
        <v>3105616953</v>
      </c>
      <c r="M599" s="17" t="str">
        <f>IFERROR(__xludf.DUMMYFUNCTION("""COMPUTED_VALUE"""),"#REF!")</f>
        <v>#REF!</v>
      </c>
      <c r="N599" s="17"/>
      <c r="O599" s="19" t="str">
        <f>IFERROR(__xludf.DUMMYFUNCTION("""COMPUTED_VALUE"""),"")</f>
        <v/>
      </c>
      <c r="P599" s="17" t="b">
        <f>IFERROR(__xludf.DUMMYFUNCTION("""COMPUTED_VALUE"""),TRUE)</f>
        <v>1</v>
      </c>
      <c r="Q599" s="20">
        <f>IFERROR(__xludf.DUMMYFUNCTION("""COMPUTED_VALUE"""),45014.62291762732)</f>
        <v>45014.62292</v>
      </c>
      <c r="R599" s="22" t="str">
        <f>IFERROR(__xludf.DUMMYFUNCTION("""COMPUTED_VALUE"""),"")</f>
        <v/>
      </c>
    </row>
    <row r="600">
      <c r="A600" s="15">
        <f>IFERROR(__xludf.DUMMYFUNCTION("""COMPUTED_VALUE"""),45014.0)</f>
        <v>45014</v>
      </c>
      <c r="B600" s="16" t="str">
        <f>IFERROR(__xludf.DUMMYFUNCTION("""COMPUTED_VALUE"""),"Luis Miguel Ramirez Morales")</f>
        <v>Luis Miguel Ramirez Morales</v>
      </c>
      <c r="C600" s="15" t="str">
        <f>IFERROR(__xludf.DUMMYFUNCTION("""COMPUTED_VALUE"""),"BOGOTÁ")</f>
        <v>BOGOTÁ</v>
      </c>
      <c r="D600" s="15" t="str">
        <f>IFERROR(__xludf.DUMMYFUNCTION("""COMPUTED_VALUE"""),"MEDELLÍN")</f>
        <v>MEDELLÍN</v>
      </c>
      <c r="E600" s="15" t="str">
        <f>IFERROR(__xludf.DUMMYFUNCTION("""COMPUTED_VALUE"""),"Baby Chef")</f>
        <v>Baby Chef</v>
      </c>
      <c r="F600" s="17" t="str">
        <f>IFERROR(__xludf.DUMMYFUNCTION("""COMPUTED_VALUE"""),"Carrera 39 B # 4 -96 conjunto residencial parques de tivana 315 / Carrera 39 B # 4 -96 conjunto residencial parques de tivana 315 / Carrera 39 B # 4 -96 conjunto residencial parques de tivana 315")</f>
        <v>Carrera 39 B # 4 -96 conjunto residencial parques de tivana 315 / Carrera 39 B # 4 -96 conjunto residencial parques de tivana 315 / Carrera 39 B # 4 -96 conjunto residencial parques de tivana 315</v>
      </c>
      <c r="G600" s="15" t="str">
        <f>IFERROR(__xludf.DUMMYFUNCTION("""COMPUTED_VALUE"""),"Carolina Elizalde")</f>
        <v>Carolina Elizalde</v>
      </c>
      <c r="H600" s="18">
        <f>IFERROR(__xludf.DUMMYFUNCTION("""COMPUTED_VALUE"""),9271.0)</f>
        <v>9271</v>
      </c>
      <c r="I600" s="18">
        <f>IFERROR(__xludf.DUMMYFUNCTION("""COMPUTED_VALUE"""),8.0)</f>
        <v>8</v>
      </c>
      <c r="J600" s="18">
        <f>IFERROR(__xludf.DUMMYFUNCTION("""COMPUTED_VALUE"""),16.0)</f>
        <v>16</v>
      </c>
      <c r="K600" s="18">
        <f>IFERROR(__xludf.DUMMYFUNCTION("""COMPUTED_VALUE"""),20.0)</f>
        <v>20</v>
      </c>
      <c r="L600" s="17">
        <f>IFERROR(__xludf.DUMMYFUNCTION("""COMPUTED_VALUE"""),3.223686148E9)</f>
        <v>3223686148</v>
      </c>
      <c r="M600" s="17" t="str">
        <f>IFERROR(__xludf.DUMMYFUNCTION("""COMPUTED_VALUE"""),"#REF!")</f>
        <v>#REF!</v>
      </c>
      <c r="N600" s="17"/>
      <c r="O600" s="19" t="str">
        <f>IFERROR(__xludf.DUMMYFUNCTION("""COMPUTED_VALUE"""),"")</f>
        <v/>
      </c>
      <c r="P600" s="17" t="b">
        <f>IFERROR(__xludf.DUMMYFUNCTION("""COMPUTED_VALUE"""),TRUE)</f>
        <v>1</v>
      </c>
      <c r="Q600" s="20">
        <f>IFERROR(__xludf.DUMMYFUNCTION("""COMPUTED_VALUE"""),45014.658833379624)</f>
        <v>45014.65883</v>
      </c>
      <c r="R600" s="22" t="str">
        <f>IFERROR(__xludf.DUMMYFUNCTION("""COMPUTED_VALUE"""),"")</f>
        <v/>
      </c>
    </row>
    <row r="601">
      <c r="A601" s="15">
        <f>IFERROR(__xludf.DUMMYFUNCTION("""COMPUTED_VALUE"""),45014.0)</f>
        <v>45014</v>
      </c>
      <c r="B601" s="16" t="str">
        <f>IFERROR(__xludf.DUMMYFUNCTION("""COMPUTED_VALUE"""),"Luis Miguel Ramirez Morales")</f>
        <v>Luis Miguel Ramirez Morales</v>
      </c>
      <c r="C601" s="15" t="str">
        <f>IFERROR(__xludf.DUMMYFUNCTION("""COMPUTED_VALUE"""),"BOGOTÁ")</f>
        <v>BOGOTÁ</v>
      </c>
      <c r="D601" s="15" t="str">
        <f>IFERROR(__xludf.DUMMYFUNCTION("""COMPUTED_VALUE"""),"MEDELLÍN")</f>
        <v>MEDELLÍN</v>
      </c>
      <c r="E601" s="15" t="str">
        <f>IFERROR(__xludf.DUMMYFUNCTION("""COMPUTED_VALUE"""),"Baby Chef")</f>
        <v>Baby Chef</v>
      </c>
      <c r="F601" s="17" t="str">
        <f>IFERROR(__xludf.DUMMYFUNCTION("""COMPUTED_VALUE"""),"Cr 88a #21-75 Tukumena  / Cr 88a #21-75 Tukumena  / Cr 88a #21-75 Tukumena")</f>
        <v>Cr 88a #21-75 Tukumena  / Cr 88a #21-75 Tukumena  / Cr 88a #21-75 Tukumena</v>
      </c>
      <c r="G601" s="15" t="str">
        <f>IFERROR(__xludf.DUMMYFUNCTION("""COMPUTED_VALUE"""),"Milany Quintero")</f>
        <v>Milany Quintero</v>
      </c>
      <c r="H601" s="18">
        <f>IFERROR(__xludf.DUMMYFUNCTION("""COMPUTED_VALUE"""),9272.0)</f>
        <v>9272</v>
      </c>
      <c r="I601" s="18">
        <f>IFERROR(__xludf.DUMMYFUNCTION("""COMPUTED_VALUE"""),8.0)</f>
        <v>8</v>
      </c>
      <c r="J601" s="18">
        <f>IFERROR(__xludf.DUMMYFUNCTION("""COMPUTED_VALUE"""),16.0)</f>
        <v>16</v>
      </c>
      <c r="K601" s="18">
        <f>IFERROR(__xludf.DUMMYFUNCTION("""COMPUTED_VALUE"""),20.0)</f>
        <v>20</v>
      </c>
      <c r="L601" s="17">
        <f>IFERROR(__xludf.DUMMYFUNCTION("""COMPUTED_VALUE"""),3.1261953E9)</f>
        <v>3126195300</v>
      </c>
      <c r="M601" s="17" t="str">
        <f>IFERROR(__xludf.DUMMYFUNCTION("""COMPUTED_VALUE"""),"#REF!")</f>
        <v>#REF!</v>
      </c>
      <c r="N601" s="17"/>
      <c r="O601" s="19" t="str">
        <f>IFERROR(__xludf.DUMMYFUNCTION("""COMPUTED_VALUE"""),"")</f>
        <v/>
      </c>
      <c r="P601" s="17" t="b">
        <f>IFERROR(__xludf.DUMMYFUNCTION("""COMPUTED_VALUE"""),TRUE)</f>
        <v>1</v>
      </c>
      <c r="Q601" s="20">
        <f>IFERROR(__xludf.DUMMYFUNCTION("""COMPUTED_VALUE"""),45014.62281738426)</f>
        <v>45014.62282</v>
      </c>
      <c r="R601" s="22" t="str">
        <f>IFERROR(__xludf.DUMMYFUNCTION("""COMPUTED_VALUE"""),"")</f>
        <v/>
      </c>
    </row>
    <row r="602">
      <c r="A602" s="15">
        <f>IFERROR(__xludf.DUMMYFUNCTION("""COMPUTED_VALUE"""),45014.0)</f>
        <v>45014</v>
      </c>
      <c r="B602" s="16" t="str">
        <f>IFERROR(__xludf.DUMMYFUNCTION("""COMPUTED_VALUE"""),"Luis Miguel Ramirez Morales")</f>
        <v>Luis Miguel Ramirez Morales</v>
      </c>
      <c r="C602" s="15" t="str">
        <f>IFERROR(__xludf.DUMMYFUNCTION("""COMPUTED_VALUE"""),"BOGOTÁ")</f>
        <v>BOGOTÁ</v>
      </c>
      <c r="D602" s="15" t="str">
        <f>IFERROR(__xludf.DUMMYFUNCTION("""COMPUTED_VALUE"""),"MEDELLÍN")</f>
        <v>MEDELLÍN</v>
      </c>
      <c r="E602" s="15" t="str">
        <f>IFERROR(__xludf.DUMMYFUNCTION("""COMPUTED_VALUE"""),"Rambla")</f>
        <v>Rambla</v>
      </c>
      <c r="F602" s="17" t="str">
        <f>IFERROR(__xludf.DUMMYFUNCTION("""COMPUTED_VALUE"""),"Cll 8 sur # 39 _34. Ciudad montes / na / na")</f>
        <v>Cll 8 sur # 39 _34. Ciudad montes / na / na</v>
      </c>
      <c r="G602" s="15" t="str">
        <f>IFERROR(__xludf.DUMMYFUNCTION("""COMPUTED_VALUE"""),"Tierra Fértil -Angela Patricia Murcia")</f>
        <v>Tierra Fértil -Angela Patricia Murcia</v>
      </c>
      <c r="H602" s="18">
        <f>IFERROR(__xludf.DUMMYFUNCTION("""COMPUTED_VALUE"""),9259.0)</f>
        <v>9259</v>
      </c>
      <c r="I602" s="18">
        <f>IFERROR(__xludf.DUMMYFUNCTION("""COMPUTED_VALUE"""),23.0)</f>
        <v>23</v>
      </c>
      <c r="J602" s="18">
        <f>IFERROR(__xludf.DUMMYFUNCTION("""COMPUTED_VALUE"""),25.0)</f>
        <v>25</v>
      </c>
      <c r="K602" s="18">
        <f>IFERROR(__xludf.DUMMYFUNCTION("""COMPUTED_VALUE"""),27.0)</f>
        <v>27</v>
      </c>
      <c r="L602" s="17">
        <f>IFERROR(__xludf.DUMMYFUNCTION("""COMPUTED_VALUE"""),3.112876801E9)</f>
        <v>3112876801</v>
      </c>
      <c r="M602" s="17" t="str">
        <f>IFERROR(__xludf.DUMMYFUNCTION("""COMPUTED_VALUE"""),"#REF!")</f>
        <v>#REF!</v>
      </c>
      <c r="N602" s="17"/>
      <c r="O602" s="19" t="str">
        <f>IFERROR(__xludf.DUMMYFUNCTION("""COMPUTED_VALUE"""),"")</f>
        <v/>
      </c>
      <c r="P602" s="17" t="b">
        <f>IFERROR(__xludf.DUMMYFUNCTION("""COMPUTED_VALUE"""),TRUE)</f>
        <v>1</v>
      </c>
      <c r="Q602" s="20">
        <f>IFERROR(__xludf.DUMMYFUNCTION("""COMPUTED_VALUE"""),45014.65883339121)</f>
        <v>45014.65883</v>
      </c>
      <c r="R602" s="22" t="str">
        <f>IFERROR(__xludf.DUMMYFUNCTION("""COMPUTED_VALUE"""),"")</f>
        <v/>
      </c>
    </row>
    <row r="603">
      <c r="A603" s="15">
        <f>IFERROR(__xludf.DUMMYFUNCTION("""COMPUTED_VALUE"""),45014.0)</f>
        <v>45014</v>
      </c>
      <c r="B603" s="16" t="str">
        <f>IFERROR(__xludf.DUMMYFUNCTION("""COMPUTED_VALUE"""),"Luis Miguel Ramirez Morales")</f>
        <v>Luis Miguel Ramirez Morales</v>
      </c>
      <c r="C603" s="15" t="str">
        <f>IFERROR(__xludf.DUMMYFUNCTION("""COMPUTED_VALUE"""),"BOGOTÁ")</f>
        <v>BOGOTÁ</v>
      </c>
      <c r="D603" s="15" t="str">
        <f>IFERROR(__xludf.DUMMYFUNCTION("""COMPUTED_VALUE"""),"MEDELLÍN")</f>
        <v>MEDELLÍN</v>
      </c>
      <c r="E603" s="15" t="str">
        <f>IFERROR(__xludf.DUMMYFUNCTION("""COMPUTED_VALUE"""),"Rambla")</f>
        <v>Rambla</v>
      </c>
      <c r="F603" s="17" t="str">
        <f>IFERROR(__xludf.DUMMYFUNCTION("""COMPUTED_VALUE"""),"Cra 21 # 169 30  - Encargada Claudia Rodriguez / na / na")</f>
        <v>Cra 21 # 169 30  - Encargada Claudia Rodriguez / na / na</v>
      </c>
      <c r="G603" s="15" t="str">
        <f>IFERROR(__xludf.DUMMYFUNCTION("""COMPUTED_VALUE"""),"Fitcook - Mary Mendez")</f>
        <v>Fitcook - Mary Mendez</v>
      </c>
      <c r="H603" s="18">
        <f>IFERROR(__xludf.DUMMYFUNCTION("""COMPUTED_VALUE"""),9257.0)</f>
        <v>9257</v>
      </c>
      <c r="I603" s="18">
        <f>IFERROR(__xludf.DUMMYFUNCTION("""COMPUTED_VALUE"""),23.0)</f>
        <v>23</v>
      </c>
      <c r="J603" s="18">
        <f>IFERROR(__xludf.DUMMYFUNCTION("""COMPUTED_VALUE"""),25.0)</f>
        <v>25</v>
      </c>
      <c r="K603" s="18">
        <f>IFERROR(__xludf.DUMMYFUNCTION("""COMPUTED_VALUE"""),27.0)</f>
        <v>27</v>
      </c>
      <c r="L603" s="17">
        <f>IFERROR(__xludf.DUMMYFUNCTION("""COMPUTED_VALUE"""),3.505306579E9)</f>
        <v>3505306579</v>
      </c>
      <c r="M603" s="17" t="str">
        <f>IFERROR(__xludf.DUMMYFUNCTION("""COMPUTED_VALUE"""),"#REF!")</f>
        <v>#REF!</v>
      </c>
      <c r="N603" s="17"/>
      <c r="O603" s="19" t="str">
        <f>IFERROR(__xludf.DUMMYFUNCTION("""COMPUTED_VALUE"""),"")</f>
        <v/>
      </c>
      <c r="P603" s="17" t="b">
        <f>IFERROR(__xludf.DUMMYFUNCTION("""COMPUTED_VALUE"""),TRUE)</f>
        <v>1</v>
      </c>
      <c r="Q603" s="20">
        <f>IFERROR(__xludf.DUMMYFUNCTION("""COMPUTED_VALUE"""),45014.62273707176)</f>
        <v>45014.62274</v>
      </c>
      <c r="R603" s="22" t="str">
        <f>IFERROR(__xludf.DUMMYFUNCTION("""COMPUTED_VALUE"""),"")</f>
        <v/>
      </c>
    </row>
    <row r="604">
      <c r="A604" s="15">
        <f>IFERROR(__xludf.DUMMYFUNCTION("""COMPUTED_VALUE"""),45014.0)</f>
        <v>45014</v>
      </c>
      <c r="B604" s="16" t="str">
        <f>IFERROR(__xludf.DUMMYFUNCTION("""COMPUTED_VALUE"""),"Luis Miguel Ramirez Morales")</f>
        <v>Luis Miguel Ramirez Morales</v>
      </c>
      <c r="C604" s="15" t="str">
        <f>IFERROR(__xludf.DUMMYFUNCTION("""COMPUTED_VALUE"""),"MONTERIA")</f>
        <v>MONTERIA</v>
      </c>
      <c r="D604" s="15" t="str">
        <f>IFERROR(__xludf.DUMMYFUNCTION("""COMPUTED_VALUE"""),"BOGOTÁ")</f>
        <v>BOGOTÁ</v>
      </c>
      <c r="E604" s="15" t="str">
        <f>IFERROR(__xludf.DUMMYFUNCTION("""COMPUTED_VALUE"""),"MAI ALIMENTOS S.A.S")</f>
        <v>MAI ALIMENTOS S.A.S</v>
      </c>
      <c r="F604" s="17" t="str">
        <f>IFERROR(__xludf.DUMMYFUNCTION("""COMPUTED_VALUE"""),"Calle 44#10-91 / Local 4")</f>
        <v>Calle 44#10-91 / Local 4</v>
      </c>
      <c r="G604" s="15" t="str">
        <f>IFERROR(__xludf.DUMMYFUNCTION("""COMPUTED_VALUE"""),"Angie Paola Negrette")</f>
        <v>Angie Paola Negrette</v>
      </c>
      <c r="H604" s="18">
        <f>IFERROR(__xludf.DUMMYFUNCTION("""COMPUTED_VALUE"""),9150.0)</f>
        <v>9150</v>
      </c>
      <c r="I604" s="18">
        <f>IFERROR(__xludf.DUMMYFUNCTION("""COMPUTED_VALUE"""),35.0)</f>
        <v>35</v>
      </c>
      <c r="J604" s="18">
        <f>IFERROR(__xludf.DUMMYFUNCTION("""COMPUTED_VALUE"""),17.0)</f>
        <v>17</v>
      </c>
      <c r="K604" s="18">
        <f>IFERROR(__xludf.DUMMYFUNCTION("""COMPUTED_VALUE"""),13.0)</f>
        <v>13</v>
      </c>
      <c r="L604" s="17">
        <f>IFERROR(__xludf.DUMMYFUNCTION("""COMPUTED_VALUE"""),3.002161363E9)</f>
        <v>3002161363</v>
      </c>
      <c r="M604" s="17" t="str">
        <f>IFERROR(__xludf.DUMMYFUNCTION("""COMPUTED_VALUE"""),"#REF!")</f>
        <v>#REF!</v>
      </c>
      <c r="N604" s="17"/>
      <c r="O604" s="19" t="str">
        <f>IFERROR(__xludf.DUMMYFUNCTION("""COMPUTED_VALUE"""),"")</f>
        <v/>
      </c>
      <c r="P604" s="17" t="b">
        <f>IFERROR(__xludf.DUMMYFUNCTION("""COMPUTED_VALUE"""),FALSE)</f>
        <v>0</v>
      </c>
      <c r="Q604" s="20" t="str">
        <f>IFERROR(__xludf.DUMMYFUNCTION("""COMPUTED_VALUE"""),"")</f>
        <v/>
      </c>
      <c r="R604" s="22" t="str">
        <f>IFERROR(__xludf.DUMMYFUNCTION("""COMPUTED_VALUE"""),"")</f>
        <v/>
      </c>
    </row>
    <row r="605">
      <c r="A605" s="17" t="str">
        <f>IFERROR(__xludf.DUMMYFUNCTION("""COMPUTED_VALUE"""),"")</f>
        <v/>
      </c>
      <c r="B605" s="17" t="str">
        <f>IFERROR(__xludf.DUMMYFUNCTION("""COMPUTED_VALUE"""),"")</f>
        <v/>
      </c>
      <c r="C605" s="17" t="str">
        <f>IFERROR(__xludf.DUMMYFUNCTION("""COMPUTED_VALUE"""),"")</f>
        <v/>
      </c>
      <c r="D605" s="17" t="str">
        <f>IFERROR(__xludf.DUMMYFUNCTION("""COMPUTED_VALUE"""),"")</f>
        <v/>
      </c>
      <c r="E605" s="17" t="str">
        <f>IFERROR(__xludf.DUMMYFUNCTION("""COMPUTED_VALUE"""),"")</f>
        <v/>
      </c>
      <c r="F605" s="17" t="str">
        <f>IFERROR(__xludf.DUMMYFUNCTION("""COMPUTED_VALUE"""),"")</f>
        <v/>
      </c>
      <c r="G605" s="17" t="str">
        <f>IFERROR(__xludf.DUMMYFUNCTION("""COMPUTED_VALUE"""),"")</f>
        <v/>
      </c>
      <c r="H605" s="17" t="str">
        <f>IFERROR(__xludf.DUMMYFUNCTION("""COMPUTED_VALUE"""),"")</f>
        <v/>
      </c>
      <c r="I605" s="17" t="str">
        <f>IFERROR(__xludf.DUMMYFUNCTION("""COMPUTED_VALUE"""),"")</f>
        <v/>
      </c>
      <c r="J605" s="17" t="str">
        <f>IFERROR(__xludf.DUMMYFUNCTION("""COMPUTED_VALUE"""),"")</f>
        <v/>
      </c>
      <c r="K605" s="17" t="str">
        <f>IFERROR(__xludf.DUMMYFUNCTION("""COMPUTED_VALUE"""),"")</f>
        <v/>
      </c>
      <c r="L605" s="17" t="str">
        <f>IFERROR(__xludf.DUMMYFUNCTION("""COMPUTED_VALUE"""),"")</f>
        <v/>
      </c>
      <c r="M605" s="17" t="str">
        <f>IFERROR(__xludf.DUMMYFUNCTION("""COMPUTED_VALUE"""),"")</f>
        <v/>
      </c>
      <c r="N605" s="17" t="str">
        <f>IFERROR(__xludf.DUMMYFUNCTION("""COMPUTED_VALUE"""),"")</f>
        <v/>
      </c>
      <c r="O605" s="17" t="str">
        <f>IFERROR(__xludf.DUMMYFUNCTION("""COMPUTED_VALUE"""),"")</f>
        <v/>
      </c>
      <c r="P605" s="17" t="str">
        <f>IFERROR(__xludf.DUMMYFUNCTION("""COMPUTED_VALUE"""),"")</f>
        <v/>
      </c>
      <c r="Q605" s="17" t="str">
        <f>IFERROR(__xludf.DUMMYFUNCTION("""COMPUTED_VALUE"""),"")</f>
        <v/>
      </c>
      <c r="R605" s="17" t="str">
        <f>IFERROR(__xludf.DUMMYFUNCTION("""COMPUTED_VALUE"""),"")</f>
        <v/>
      </c>
    </row>
    <row r="606">
      <c r="A606" s="15">
        <f>IFERROR(__xludf.DUMMYFUNCTION("""COMPUTED_VALUE"""),45015.0)</f>
        <v>45015</v>
      </c>
      <c r="B606" s="16" t="str">
        <f>IFERROR(__xludf.DUMMYFUNCTION("""COMPUTED_VALUE"""),"Angie Daniela Meneses ")</f>
        <v>Angie Daniela Meneses </v>
      </c>
      <c r="C606" s="15" t="str">
        <f>IFERROR(__xludf.DUMMYFUNCTION("""COMPUTED_VALUE"""),"CARTAGENA")</f>
        <v>CARTAGENA</v>
      </c>
      <c r="D606" s="15" t="str">
        <f>IFERROR(__xludf.DUMMYFUNCTION("""COMPUTED_VALUE"""),"MEDELLÍN")</f>
        <v>MEDELLÍN</v>
      </c>
      <c r="E606" s="15" t="str">
        <f>IFERROR(__xludf.DUMMYFUNCTION("""COMPUTED_VALUE"""),"Rambla")</f>
        <v>Rambla</v>
      </c>
      <c r="F606" s="17" t="str">
        <f>IFERROR(__xludf.DUMMYFUNCTION("""COMPUTED_VALUE"""),"CRA 12  5A-09 Apto 2101 Edificio Ponce de León Cartagena / na / na")</f>
        <v>CRA 12  5A-09 Apto 2101 Edificio Ponce de León Cartagena / na / na</v>
      </c>
      <c r="G606" s="15" t="str">
        <f>IFERROR(__xludf.DUMMYFUNCTION("""COMPUTED_VALUE"""),"Guadalupe Yidios G.")</f>
        <v>Guadalupe Yidios G.</v>
      </c>
      <c r="H606" s="18">
        <f>IFERROR(__xludf.DUMMYFUNCTION("""COMPUTED_VALUE"""),9256.0)</f>
        <v>9256</v>
      </c>
      <c r="I606" s="18">
        <f>IFERROR(__xludf.DUMMYFUNCTION("""COMPUTED_VALUE"""),18.0)</f>
        <v>18</v>
      </c>
      <c r="J606" s="18">
        <f>IFERROR(__xludf.DUMMYFUNCTION("""COMPUTED_VALUE"""),23.0)</f>
        <v>23</v>
      </c>
      <c r="K606" s="18">
        <f>IFERROR(__xludf.DUMMYFUNCTION("""COMPUTED_VALUE"""),24.0)</f>
        <v>24</v>
      </c>
      <c r="L606" s="17">
        <f>IFERROR(__xludf.DUMMYFUNCTION("""COMPUTED_VALUE"""),3.157312839E9)</f>
        <v>3157312839</v>
      </c>
      <c r="M606" s="17" t="str">
        <f>IFERROR(__xludf.DUMMYFUNCTION("""COMPUTED_VALUE"""),"#REF!")</f>
        <v>#REF!</v>
      </c>
      <c r="N606" s="17"/>
      <c r="O606" s="19" t="str">
        <f>IFERROR(__xludf.DUMMYFUNCTION("""COMPUTED_VALUE"""),"")</f>
        <v/>
      </c>
      <c r="P606" s="17" t="b">
        <f>IFERROR(__xludf.DUMMYFUNCTION("""COMPUTED_VALUE"""),TRUE)</f>
        <v>1</v>
      </c>
      <c r="Q606" s="20">
        <f>IFERROR(__xludf.DUMMYFUNCTION("""COMPUTED_VALUE"""),45015.43685201389)</f>
        <v>45015.43685</v>
      </c>
      <c r="R606" s="22" t="str">
        <f>IFERROR(__xludf.DUMMYFUNCTION("""COMPUTED_VALUE"""),"")</f>
        <v/>
      </c>
    </row>
    <row r="607">
      <c r="A607" s="15">
        <f>IFERROR(__xludf.DUMMYFUNCTION("""COMPUTED_VALUE"""),45015.0)</f>
        <v>45015</v>
      </c>
      <c r="B607" s="16" t="str">
        <f>IFERROR(__xludf.DUMMYFUNCTION("""COMPUTED_VALUE"""),"Angie Daniela Meneses ")</f>
        <v>Angie Daniela Meneses </v>
      </c>
      <c r="C607" s="15" t="str">
        <f>IFERROR(__xludf.DUMMYFUNCTION("""COMPUTED_VALUE"""),"POPAYAN")</f>
        <v>POPAYAN</v>
      </c>
      <c r="D607" s="15" t="str">
        <f>IFERROR(__xludf.DUMMYFUNCTION("""COMPUTED_VALUE"""),"MEDELLÍN")</f>
        <v>MEDELLÍN</v>
      </c>
      <c r="E607" s="15" t="str">
        <f>IFERROR(__xludf.DUMMYFUNCTION("""COMPUTED_VALUE"""),"AREPAS LA MARY")</f>
        <v>AREPAS LA MARY</v>
      </c>
      <c r="F607" s="17" t="str">
        <f>IFERROR(__xludf.DUMMYFUNCTION("""COMPUTED_VALUE"""),"calle 16 n # 6- 66 / horario de 9 am a 6:30 pm")</f>
        <v>calle 16 n # 6- 66 / horario de 9 am a 6:30 pm</v>
      </c>
      <c r="G607" s="15" t="str">
        <f>IFERROR(__xludf.DUMMYFUNCTION("""COMPUTED_VALUE"""),"vida natural popayan")</f>
        <v>vida natural popayan</v>
      </c>
      <c r="H607" s="18">
        <f>IFERROR(__xludf.DUMMYFUNCTION("""COMPUTED_VALUE"""),9208.0)</f>
        <v>9208</v>
      </c>
      <c r="I607" s="18">
        <f>IFERROR(__xludf.DUMMYFUNCTION("""COMPUTED_VALUE"""),89.0)</f>
        <v>89</v>
      </c>
      <c r="J607" s="18">
        <f>IFERROR(__xludf.DUMMYFUNCTION("""COMPUTED_VALUE"""),1.0)</f>
        <v>1</v>
      </c>
      <c r="K607" s="18">
        <f>IFERROR(__xludf.DUMMYFUNCTION("""COMPUTED_VALUE"""),10.0)</f>
        <v>10</v>
      </c>
      <c r="L607" s="17">
        <f>IFERROR(__xludf.DUMMYFUNCTION("""COMPUTED_VALUE"""),3.168153051E9)</f>
        <v>3168153051</v>
      </c>
      <c r="M607" s="17" t="str">
        <f>IFERROR(__xludf.DUMMYFUNCTION("""COMPUTED_VALUE"""),"#REF!")</f>
        <v>#REF!</v>
      </c>
      <c r="N607" s="17"/>
      <c r="O607" s="19" t="str">
        <f>IFERROR(__xludf.DUMMYFUNCTION("""COMPUTED_VALUE"""),"")</f>
        <v/>
      </c>
      <c r="P607" s="17" t="b">
        <f>IFERROR(__xludf.DUMMYFUNCTION("""COMPUTED_VALUE"""),FALSE)</f>
        <v>0</v>
      </c>
      <c r="Q607" s="20" t="str">
        <f>IFERROR(__xludf.DUMMYFUNCTION("""COMPUTED_VALUE"""),"")</f>
        <v/>
      </c>
      <c r="R607" s="22" t="str">
        <f>IFERROR(__xludf.DUMMYFUNCTION("""COMPUTED_VALUE"""),"")</f>
        <v/>
      </c>
    </row>
    <row r="608">
      <c r="A608" s="17" t="str">
        <f>IFERROR(__xludf.DUMMYFUNCTION("""COMPUTED_VALUE"""),"")</f>
        <v/>
      </c>
      <c r="B608" s="17" t="str">
        <f>IFERROR(__xludf.DUMMYFUNCTION("""COMPUTED_VALUE"""),"")</f>
        <v/>
      </c>
      <c r="C608" s="17" t="str">
        <f>IFERROR(__xludf.DUMMYFUNCTION("""COMPUTED_VALUE"""),"")</f>
        <v/>
      </c>
      <c r="D608" s="17" t="str">
        <f>IFERROR(__xludf.DUMMYFUNCTION("""COMPUTED_VALUE"""),"")</f>
        <v/>
      </c>
      <c r="E608" s="17" t="str">
        <f>IFERROR(__xludf.DUMMYFUNCTION("""COMPUTED_VALUE"""),"")</f>
        <v/>
      </c>
      <c r="F608" s="17" t="str">
        <f>IFERROR(__xludf.DUMMYFUNCTION("""COMPUTED_VALUE"""),"")</f>
        <v/>
      </c>
      <c r="G608" s="17" t="str">
        <f>IFERROR(__xludf.DUMMYFUNCTION("""COMPUTED_VALUE"""),"")</f>
        <v/>
      </c>
      <c r="H608" s="17" t="str">
        <f>IFERROR(__xludf.DUMMYFUNCTION("""COMPUTED_VALUE"""),"")</f>
        <v/>
      </c>
      <c r="I608" s="17" t="str">
        <f>IFERROR(__xludf.DUMMYFUNCTION("""COMPUTED_VALUE"""),"")</f>
        <v/>
      </c>
      <c r="J608" s="17" t="str">
        <f>IFERROR(__xludf.DUMMYFUNCTION("""COMPUTED_VALUE"""),"")</f>
        <v/>
      </c>
      <c r="K608" s="17" t="str">
        <f>IFERROR(__xludf.DUMMYFUNCTION("""COMPUTED_VALUE"""),"")</f>
        <v/>
      </c>
      <c r="L608" s="17" t="str">
        <f>IFERROR(__xludf.DUMMYFUNCTION("""COMPUTED_VALUE"""),"")</f>
        <v/>
      </c>
      <c r="M608" s="17" t="str">
        <f>IFERROR(__xludf.DUMMYFUNCTION("""COMPUTED_VALUE"""),"")</f>
        <v/>
      </c>
      <c r="N608" s="17" t="str">
        <f>IFERROR(__xludf.DUMMYFUNCTION("""COMPUTED_VALUE"""),"")</f>
        <v/>
      </c>
      <c r="O608" s="17" t="str">
        <f>IFERROR(__xludf.DUMMYFUNCTION("""COMPUTED_VALUE"""),"")</f>
        <v/>
      </c>
      <c r="P608" s="17" t="str">
        <f>IFERROR(__xludf.DUMMYFUNCTION("""COMPUTED_VALUE"""),"")</f>
        <v/>
      </c>
      <c r="Q608" s="17" t="str">
        <f>IFERROR(__xludf.DUMMYFUNCTION("""COMPUTED_VALUE"""),"")</f>
        <v/>
      </c>
      <c r="R608" s="17" t="str">
        <f>IFERROR(__xludf.DUMMYFUNCTION("""COMPUTED_VALUE"""),"")</f>
        <v/>
      </c>
    </row>
    <row r="609">
      <c r="A609" s="15">
        <f>IFERROR(__xludf.DUMMYFUNCTION("""COMPUTED_VALUE"""),45015.0)</f>
        <v>45015</v>
      </c>
      <c r="B609" s="16" t="str">
        <f>IFERROR(__xludf.DUMMYFUNCTION("""COMPUTED_VALUE"""),"David Sanmartin Bello")</f>
        <v>David Sanmartin Bello</v>
      </c>
      <c r="C609" s="15" t="str">
        <f>IFERROR(__xludf.DUMMYFUNCTION("""COMPUTED_VALUE"""),"CARTAGENA")</f>
        <v>CARTAGENA</v>
      </c>
      <c r="D609" s="15" t="str">
        <f>IFERROR(__xludf.DUMMYFUNCTION("""COMPUTED_VALUE"""),"BOGOTÁ")</f>
        <v>BOGOTÁ</v>
      </c>
      <c r="E609" s="15" t="str">
        <f>IFERROR(__xludf.DUMMYFUNCTION("""COMPUTED_VALUE"""),"Evamazzita")</f>
        <v>Evamazzita</v>
      </c>
      <c r="F609" s="17" t="str">
        <f>IFERROR(__xludf.DUMMYFUNCTION("""COMPUTED_VALUE"""),"Urb Simón Bolívar  / mz 20 lt 16 piso 2 / Urb Simón Bolívar")</f>
        <v>Urb Simón Bolívar  / mz 20 lt 16 piso 2 / Urb Simón Bolívar</v>
      </c>
      <c r="G609" s="15" t="str">
        <f>IFERROR(__xludf.DUMMYFUNCTION("""COMPUTED_VALUE"""),"FANNY CABARCAS ARTEAGA")</f>
        <v>FANNY CABARCAS ARTEAGA</v>
      </c>
      <c r="H609" s="18">
        <f>IFERROR(__xludf.DUMMYFUNCTION("""COMPUTED_VALUE"""),9253.0)</f>
        <v>9253</v>
      </c>
      <c r="I609" s="18">
        <f>IFERROR(__xludf.DUMMYFUNCTION("""COMPUTED_VALUE"""),17.0)</f>
        <v>17</v>
      </c>
      <c r="J609" s="18">
        <f>IFERROR(__xludf.DUMMYFUNCTION("""COMPUTED_VALUE"""),30.0)</f>
        <v>30</v>
      </c>
      <c r="K609" s="18">
        <f>IFERROR(__xludf.DUMMYFUNCTION("""COMPUTED_VALUE"""),43.0)</f>
        <v>43</v>
      </c>
      <c r="L609" s="17">
        <f>IFERROR(__xludf.DUMMYFUNCTION("""COMPUTED_VALUE"""),3.014081162E9)</f>
        <v>3014081162</v>
      </c>
      <c r="M609" s="17" t="str">
        <f>IFERROR(__xludf.DUMMYFUNCTION("""COMPUTED_VALUE"""),"#REF!")</f>
        <v>#REF!</v>
      </c>
      <c r="N609" s="17"/>
      <c r="O609" s="19" t="str">
        <f>IFERROR(__xludf.DUMMYFUNCTION("""COMPUTED_VALUE"""),"")</f>
        <v/>
      </c>
      <c r="P609" s="17" t="b">
        <f>IFERROR(__xludf.DUMMYFUNCTION("""COMPUTED_VALUE"""),TRUE)</f>
        <v>1</v>
      </c>
      <c r="Q609" s="20">
        <f>IFERROR(__xludf.DUMMYFUNCTION("""COMPUTED_VALUE"""),45015.485742881945)</f>
        <v>45015.48574</v>
      </c>
      <c r="R609" s="22" t="str">
        <f>IFERROR(__xludf.DUMMYFUNCTION("""COMPUTED_VALUE"""),"")</f>
        <v/>
      </c>
    </row>
    <row r="610">
      <c r="A610" s="15">
        <f>IFERROR(__xludf.DUMMYFUNCTION("""COMPUTED_VALUE"""),45015.0)</f>
        <v>45015</v>
      </c>
      <c r="B610" s="16" t="str">
        <f>IFERROR(__xludf.DUMMYFUNCTION("""COMPUTED_VALUE"""),"David Sanmartin Bello")</f>
        <v>David Sanmartin Bello</v>
      </c>
      <c r="C610" s="15" t="str">
        <f>IFERROR(__xludf.DUMMYFUNCTION("""COMPUTED_VALUE"""),"CARTAGENA")</f>
        <v>CARTAGENA</v>
      </c>
      <c r="D610" s="15" t="str">
        <f>IFERROR(__xludf.DUMMYFUNCTION("""COMPUTED_VALUE"""),"BOGOTÁ")</f>
        <v>BOGOTÁ</v>
      </c>
      <c r="E610" s="15" t="str">
        <f>IFERROR(__xludf.DUMMYFUNCTION("""COMPUTED_VALUE"""),"Top Spun")</f>
        <v>Top Spun</v>
      </c>
      <c r="F610" s="17" t="str">
        <f>IFERROR(__xludf.DUMMYFUNCTION("""COMPUTED_VALUE"""),"Calle 6 No 12-66 / Piso 2 / Cartagena")</f>
        <v>Calle 6 No 12-66 / Piso 2 / Cartagena</v>
      </c>
      <c r="G610" s="15" t="str">
        <f>IFERROR(__xludf.DUMMYFUNCTION("""COMPUTED_VALUE"""),"Andres cavelier")</f>
        <v>Andres cavelier</v>
      </c>
      <c r="H610" s="18">
        <f>IFERROR(__xludf.DUMMYFUNCTION("""COMPUTED_VALUE"""),9250.0)</f>
        <v>9250</v>
      </c>
      <c r="I610" s="18">
        <f>IFERROR(__xludf.DUMMYFUNCTION("""COMPUTED_VALUE"""),20.0)</f>
        <v>20</v>
      </c>
      <c r="J610" s="18">
        <f>IFERROR(__xludf.DUMMYFUNCTION("""COMPUTED_VALUE"""),10.0)</f>
        <v>10</v>
      </c>
      <c r="K610" s="18">
        <f>IFERROR(__xludf.DUMMYFUNCTION("""COMPUTED_VALUE"""),40.0)</f>
        <v>40</v>
      </c>
      <c r="L610" s="17">
        <f>IFERROR(__xludf.DUMMYFUNCTION("""COMPUTED_VALUE"""),3.15725431E9)</f>
        <v>3157254310</v>
      </c>
      <c r="M610" s="17" t="str">
        <f>IFERROR(__xludf.DUMMYFUNCTION("""COMPUTED_VALUE"""),"#REF!")</f>
        <v>#REF!</v>
      </c>
      <c r="N610" s="17"/>
      <c r="O610" s="19" t="str">
        <f>IFERROR(__xludf.DUMMYFUNCTION("""COMPUTED_VALUE"""),"")</f>
        <v/>
      </c>
      <c r="P610" s="17" t="b">
        <f>IFERROR(__xludf.DUMMYFUNCTION("""COMPUTED_VALUE"""),TRUE)</f>
        <v>1</v>
      </c>
      <c r="Q610" s="20">
        <f>IFERROR(__xludf.DUMMYFUNCTION("""COMPUTED_VALUE"""),45015.485792974534)</f>
        <v>45015.48579</v>
      </c>
      <c r="R610" s="22" t="str">
        <f>IFERROR(__xludf.DUMMYFUNCTION("""COMPUTED_VALUE"""),"")</f>
        <v/>
      </c>
    </row>
    <row r="611">
      <c r="A611" s="15">
        <f>IFERROR(__xludf.DUMMYFUNCTION("""COMPUTED_VALUE"""),45015.0)</f>
        <v>45015</v>
      </c>
      <c r="B611" s="16" t="str">
        <f>IFERROR(__xludf.DUMMYFUNCTION("""COMPUTED_VALUE"""),"David Sanmartin Bello")</f>
        <v>David Sanmartin Bello</v>
      </c>
      <c r="C611" s="15" t="str">
        <f>IFERROR(__xludf.DUMMYFUNCTION("""COMPUTED_VALUE"""),"CARTAGENA")</f>
        <v>CARTAGENA</v>
      </c>
      <c r="D611" s="15" t="str">
        <f>IFERROR(__xludf.DUMMYFUNCTION("""COMPUTED_VALUE"""),"BOGOTÁ")</f>
        <v>BOGOTÁ</v>
      </c>
      <c r="E611" s="15" t="str">
        <f>IFERROR(__xludf.DUMMYFUNCTION("""COMPUTED_VALUE"""),"Top Spun")</f>
        <v>Top Spun</v>
      </c>
      <c r="F611" s="17" t="str">
        <f>IFERROR(__xludf.DUMMYFUNCTION("""COMPUTED_VALUE"""),"Carrera 4 numero 5-105 / apto 1602 Edificio acuarela / Bocagrande")</f>
        <v>Carrera 4 numero 5-105 / apto 1602 Edificio acuarela / Bocagrande</v>
      </c>
      <c r="G611" s="15" t="str">
        <f>IFERROR(__xludf.DUMMYFUNCTION("""COMPUTED_VALUE"""),"Jacqueline farah")</f>
        <v>Jacqueline farah</v>
      </c>
      <c r="H611" s="18">
        <f>IFERROR(__xludf.DUMMYFUNCTION("""COMPUTED_VALUE"""),9249.0)</f>
        <v>9249</v>
      </c>
      <c r="I611" s="18">
        <f>IFERROR(__xludf.DUMMYFUNCTION("""COMPUTED_VALUE"""),20.0)</f>
        <v>20</v>
      </c>
      <c r="J611" s="18">
        <f>IFERROR(__xludf.DUMMYFUNCTION("""COMPUTED_VALUE"""),10.0)</f>
        <v>10</v>
      </c>
      <c r="K611" s="18">
        <f>IFERROR(__xludf.DUMMYFUNCTION("""COMPUTED_VALUE"""),40.0)</f>
        <v>40</v>
      </c>
      <c r="L611" s="17">
        <f>IFERROR(__xludf.DUMMYFUNCTION("""COMPUTED_VALUE"""),3.203337464E9)</f>
        <v>3203337464</v>
      </c>
      <c r="M611" s="17" t="str">
        <f>IFERROR(__xludf.DUMMYFUNCTION("""COMPUTED_VALUE"""),"#REF!")</f>
        <v>#REF!</v>
      </c>
      <c r="N611" s="17"/>
      <c r="O611" s="19" t="str">
        <f>IFERROR(__xludf.DUMMYFUNCTION("""COMPUTED_VALUE"""),"")</f>
        <v/>
      </c>
      <c r="P611" s="17" t="b">
        <f>IFERROR(__xludf.DUMMYFUNCTION("""COMPUTED_VALUE"""),TRUE)</f>
        <v>1</v>
      </c>
      <c r="Q611" s="20">
        <f>IFERROR(__xludf.DUMMYFUNCTION("""COMPUTED_VALUE"""),45015.48591319444)</f>
        <v>45015.48591</v>
      </c>
      <c r="R611" s="22" t="str">
        <f>IFERROR(__xludf.DUMMYFUNCTION("""COMPUTED_VALUE"""),"")</f>
        <v/>
      </c>
    </row>
    <row r="612">
      <c r="A612" s="15">
        <f>IFERROR(__xludf.DUMMYFUNCTION("""COMPUTED_VALUE"""),45015.0)</f>
        <v>45015</v>
      </c>
      <c r="B612" s="16" t="str">
        <f>IFERROR(__xludf.DUMMYFUNCTION("""COMPUTED_VALUE"""),"David Sanmartin Bello")</f>
        <v>David Sanmartin Bello</v>
      </c>
      <c r="C612" s="15" t="str">
        <f>IFERROR(__xludf.DUMMYFUNCTION("""COMPUTED_VALUE"""),"CARTAGENA")</f>
        <v>CARTAGENA</v>
      </c>
      <c r="D612" s="15" t="str">
        <f>IFERROR(__xludf.DUMMYFUNCTION("""COMPUTED_VALUE"""),"MEDELLÍN")</f>
        <v>MEDELLÍN</v>
      </c>
      <c r="E612" s="15" t="str">
        <f>IFERROR(__xludf.DUMMYFUNCTION("""COMPUTED_VALUE"""),"Baby Chef")</f>
        <v>Baby Chef</v>
      </c>
      <c r="F612" s="17" t="str">
        <f>IFERROR(__xludf.DUMMYFUNCTION("""COMPUTED_VALUE"""),"Calle nueva Granada 21 A 01  Barrio el Bosque Cartagena / Calle nueva Granada 21 A 01  Barrio el Bosque Cartagena / Calle nueva Granada 21 A 01  Barrio el Bosque Cartagena")</f>
        <v>Calle nueva Granada 21 A 01  Barrio el Bosque Cartagena / Calle nueva Granada 21 A 01  Barrio el Bosque Cartagena / Calle nueva Granada 21 A 01  Barrio el Bosque Cartagena</v>
      </c>
      <c r="G612" s="15" t="str">
        <f>IFERROR(__xludf.DUMMYFUNCTION("""COMPUTED_VALUE"""),"María Alejandra Pinto arias")</f>
        <v>María Alejandra Pinto arias</v>
      </c>
      <c r="H612" s="18">
        <f>IFERROR(__xludf.DUMMYFUNCTION("""COMPUTED_VALUE"""),9276.0)</f>
        <v>9276</v>
      </c>
      <c r="I612" s="18">
        <f>IFERROR(__xludf.DUMMYFUNCTION("""COMPUTED_VALUE"""),8.0)</f>
        <v>8</v>
      </c>
      <c r="J612" s="18">
        <f>IFERROR(__xludf.DUMMYFUNCTION("""COMPUTED_VALUE"""),16.0)</f>
        <v>16</v>
      </c>
      <c r="K612" s="18">
        <f>IFERROR(__xludf.DUMMYFUNCTION("""COMPUTED_VALUE"""),20.0)</f>
        <v>20</v>
      </c>
      <c r="L612" s="17">
        <f>IFERROR(__xludf.DUMMYFUNCTION("""COMPUTED_VALUE"""),3.04495878E9)</f>
        <v>3044958780</v>
      </c>
      <c r="M612" s="17" t="str">
        <f>IFERROR(__xludf.DUMMYFUNCTION("""COMPUTED_VALUE"""),"#REF!")</f>
        <v>#REF!</v>
      </c>
      <c r="N612" s="17"/>
      <c r="O612" s="19" t="str">
        <f>IFERROR(__xludf.DUMMYFUNCTION("""COMPUTED_VALUE"""),"")</f>
        <v/>
      </c>
      <c r="P612" s="17" t="b">
        <f>IFERROR(__xludf.DUMMYFUNCTION("""COMPUTED_VALUE"""),TRUE)</f>
        <v>1</v>
      </c>
      <c r="Q612" s="20">
        <f>IFERROR(__xludf.DUMMYFUNCTION("""COMPUTED_VALUE"""),45015.613604467595)</f>
        <v>45015.6136</v>
      </c>
      <c r="R612" s="22" t="str">
        <f>IFERROR(__xludf.DUMMYFUNCTION("""COMPUTED_VALUE"""),"")</f>
        <v/>
      </c>
    </row>
    <row r="613">
      <c r="A613" s="15">
        <f>IFERROR(__xludf.DUMMYFUNCTION("""COMPUTED_VALUE"""),45015.0)</f>
        <v>45015</v>
      </c>
      <c r="B613" s="16" t="str">
        <f>IFERROR(__xludf.DUMMYFUNCTION("""COMPUTED_VALUE"""),"David Sanmartin Bello")</f>
        <v>David Sanmartin Bello</v>
      </c>
      <c r="C613" s="15" t="str">
        <f>IFERROR(__xludf.DUMMYFUNCTION("""COMPUTED_VALUE"""),"CARTAGENA")</f>
        <v>CARTAGENA</v>
      </c>
      <c r="D613" s="15" t="str">
        <f>IFERROR(__xludf.DUMMYFUNCTION("""COMPUTED_VALUE"""),"MEDELLÍN")</f>
        <v>MEDELLÍN</v>
      </c>
      <c r="E613" s="15" t="str">
        <f>IFERROR(__xludf.DUMMYFUNCTION("""COMPUTED_VALUE"""),"Baby Chef")</f>
        <v>Baby Chef</v>
      </c>
      <c r="F613" s="17" t="str">
        <f>IFERROR(__xludf.DUMMYFUNCTION("""COMPUTED_VALUE"""),"Dirección: manzana 23 lote 21 Número de apartamento: Casa 21 Barrio/indicaciones y nombre unidad: Villa grande de indias 2 entrando por tienda la portada 2 / Dirección: manzana 23 lote 21 Número de apartamento: Casa 21 Barrio/indicaciones y nombre unidad:"&amp;" Villa grande de indias 2 entrando por tienda la portada 2 / Dirección: manzana 23 lote 21 Número de apartamento: Casa 21 Barrio/indicaciones y nombre unidad: Villa grande de indias 2 entrando por tienda la portada 2")</f>
        <v>Dirección: manzana 23 lote 21 Número de apartamento: Casa 21 Barrio/indicaciones y nombre unidad: Villa grande de indias 2 entrando por tienda la portada 2 / Dirección: manzana 23 lote 21 Número de apartamento: Casa 21 Barrio/indicaciones y nombre unidad: Villa grande de indias 2 entrando por tienda la portada 2 / Dirección: manzana 23 lote 21 Número de apartamento: Casa 21 Barrio/indicaciones y nombre unidad: Villa grande de indias 2 entrando por tienda la portada 2</v>
      </c>
      <c r="G613" s="15" t="str">
        <f>IFERROR(__xludf.DUMMYFUNCTION("""COMPUTED_VALUE"""),"Gineth Rodríguez")</f>
        <v>Gineth Rodríguez</v>
      </c>
      <c r="H613" s="18">
        <f>IFERROR(__xludf.DUMMYFUNCTION("""COMPUTED_VALUE"""),9277.0)</f>
        <v>9277</v>
      </c>
      <c r="I613" s="18">
        <f>IFERROR(__xludf.DUMMYFUNCTION("""COMPUTED_VALUE"""),8.0)</f>
        <v>8</v>
      </c>
      <c r="J613" s="18">
        <f>IFERROR(__xludf.DUMMYFUNCTION("""COMPUTED_VALUE"""),16.0)</f>
        <v>16</v>
      </c>
      <c r="K613" s="18">
        <f>IFERROR(__xludf.DUMMYFUNCTION("""COMPUTED_VALUE"""),20.0)</f>
        <v>20</v>
      </c>
      <c r="L613" s="17">
        <f>IFERROR(__xludf.DUMMYFUNCTION("""COMPUTED_VALUE"""),3.014318331E9)</f>
        <v>3014318331</v>
      </c>
      <c r="M613" s="17" t="str">
        <f>IFERROR(__xludf.DUMMYFUNCTION("""COMPUTED_VALUE"""),"#REF!")</f>
        <v>#REF!</v>
      </c>
      <c r="N613" s="17"/>
      <c r="O613" s="19" t="str">
        <f>IFERROR(__xludf.DUMMYFUNCTION("""COMPUTED_VALUE"""),"")</f>
        <v/>
      </c>
      <c r="P613" s="17" t="b">
        <f>IFERROR(__xludf.DUMMYFUNCTION("""COMPUTED_VALUE"""),TRUE)</f>
        <v>1</v>
      </c>
      <c r="Q613" s="20">
        <f>IFERROR(__xludf.DUMMYFUNCTION("""COMPUTED_VALUE"""),45015.485964363426)</f>
        <v>45015.48596</v>
      </c>
      <c r="R613" s="22" t="str">
        <f>IFERROR(__xludf.DUMMYFUNCTION("""COMPUTED_VALUE"""),"")</f>
        <v/>
      </c>
    </row>
    <row r="614">
      <c r="A614" s="15">
        <f>IFERROR(__xludf.DUMMYFUNCTION("""COMPUTED_VALUE"""),45015.0)</f>
        <v>45015</v>
      </c>
      <c r="B614" s="16" t="str">
        <f>IFERROR(__xludf.DUMMYFUNCTION("""COMPUTED_VALUE"""),"David Sanmartin Bello")</f>
        <v>David Sanmartin Bello</v>
      </c>
      <c r="C614" s="15" t="str">
        <f>IFERROR(__xludf.DUMMYFUNCTION("""COMPUTED_VALUE"""),"MEDELLÍN")</f>
        <v>MEDELLÍN</v>
      </c>
      <c r="D614" s="15" t="str">
        <f>IFERROR(__xludf.DUMMYFUNCTION("""COMPUTED_VALUE"""),"BOGOTÁ")</f>
        <v>BOGOTÁ</v>
      </c>
      <c r="E614" s="15" t="str">
        <f>IFERROR(__xludf.DUMMYFUNCTION("""COMPUTED_VALUE"""),"Grupo GP")</f>
        <v>Grupo GP</v>
      </c>
      <c r="F614" s="17" t="str">
        <f>IFERROR(__xludf.DUMMYFUNCTION("""COMPUTED_VALUE"""),"Diagonal 47 # 15sur - 170 / Cocina 3 Contenedor de Muncher / Aguacatala")</f>
        <v>Diagonal 47 # 15sur - 170 / Cocina 3 Contenedor de Muncher / Aguacatala</v>
      </c>
      <c r="G614" s="15" t="str">
        <f>IFERROR(__xludf.DUMMYFUNCTION("""COMPUTED_VALUE"""),"Grecia Victoria Rojas")</f>
        <v>Grecia Victoria Rojas</v>
      </c>
      <c r="H614" s="18">
        <f>IFERROR(__xludf.DUMMYFUNCTION("""COMPUTED_VALUE"""),9242.0)</f>
        <v>9242</v>
      </c>
      <c r="I614" s="18">
        <f>IFERROR(__xludf.DUMMYFUNCTION("""COMPUTED_VALUE"""),100.0)</f>
        <v>100</v>
      </c>
      <c r="J614" s="18">
        <f>IFERROR(__xludf.DUMMYFUNCTION("""COMPUTED_VALUE"""),10.0)</f>
        <v>10</v>
      </c>
      <c r="K614" s="18">
        <f>IFERROR(__xludf.DUMMYFUNCTION("""COMPUTED_VALUE"""),130.0)</f>
        <v>130</v>
      </c>
      <c r="L614" s="17">
        <f>IFERROR(__xludf.DUMMYFUNCTION("""COMPUTED_VALUE"""),3.025626362E9)</f>
        <v>3025626362</v>
      </c>
      <c r="M614" s="17" t="str">
        <f>IFERROR(__xludf.DUMMYFUNCTION("""COMPUTED_VALUE"""),"#REF!")</f>
        <v>#REF!</v>
      </c>
      <c r="N614" s="17"/>
      <c r="O614" s="19" t="str">
        <f>IFERROR(__xludf.DUMMYFUNCTION("""COMPUTED_VALUE"""),"")</f>
        <v/>
      </c>
      <c r="P614" s="17" t="b">
        <f>IFERROR(__xludf.DUMMYFUNCTION("""COMPUTED_VALUE"""),FALSE)</f>
        <v>0</v>
      </c>
      <c r="Q614" s="20" t="str">
        <f>IFERROR(__xludf.DUMMYFUNCTION("""COMPUTED_VALUE"""),"")</f>
        <v/>
      </c>
      <c r="R614" s="22" t="str">
        <f>IFERROR(__xludf.DUMMYFUNCTION("""COMPUTED_VALUE"""),"")</f>
        <v/>
      </c>
    </row>
    <row r="615">
      <c r="A615" s="17" t="str">
        <f>IFERROR(__xludf.DUMMYFUNCTION("""COMPUTED_VALUE"""),"")</f>
        <v/>
      </c>
      <c r="B615" s="17" t="str">
        <f>IFERROR(__xludf.DUMMYFUNCTION("""COMPUTED_VALUE"""),"")</f>
        <v/>
      </c>
      <c r="C615" s="17" t="str">
        <f>IFERROR(__xludf.DUMMYFUNCTION("""COMPUTED_VALUE"""),"")</f>
        <v/>
      </c>
      <c r="D615" s="17" t="str">
        <f>IFERROR(__xludf.DUMMYFUNCTION("""COMPUTED_VALUE"""),"")</f>
        <v/>
      </c>
      <c r="E615" s="17" t="str">
        <f>IFERROR(__xludf.DUMMYFUNCTION("""COMPUTED_VALUE"""),"")</f>
        <v/>
      </c>
      <c r="F615" s="17" t="str">
        <f>IFERROR(__xludf.DUMMYFUNCTION("""COMPUTED_VALUE"""),"")</f>
        <v/>
      </c>
      <c r="G615" s="17" t="str">
        <f>IFERROR(__xludf.DUMMYFUNCTION("""COMPUTED_VALUE"""),"")</f>
        <v/>
      </c>
      <c r="H615" s="17" t="str">
        <f>IFERROR(__xludf.DUMMYFUNCTION("""COMPUTED_VALUE"""),"")</f>
        <v/>
      </c>
      <c r="I615" s="17" t="str">
        <f>IFERROR(__xludf.DUMMYFUNCTION("""COMPUTED_VALUE"""),"")</f>
        <v/>
      </c>
      <c r="J615" s="17" t="str">
        <f>IFERROR(__xludf.DUMMYFUNCTION("""COMPUTED_VALUE"""),"")</f>
        <v/>
      </c>
      <c r="K615" s="17" t="str">
        <f>IFERROR(__xludf.DUMMYFUNCTION("""COMPUTED_VALUE"""),"")</f>
        <v/>
      </c>
      <c r="L615" s="17" t="str">
        <f>IFERROR(__xludf.DUMMYFUNCTION("""COMPUTED_VALUE"""),"")</f>
        <v/>
      </c>
      <c r="M615" s="17" t="str">
        <f>IFERROR(__xludf.DUMMYFUNCTION("""COMPUTED_VALUE"""),"")</f>
        <v/>
      </c>
      <c r="N615" s="17" t="str">
        <f>IFERROR(__xludf.DUMMYFUNCTION("""COMPUTED_VALUE"""),"")</f>
        <v/>
      </c>
      <c r="O615" s="17" t="str">
        <f>IFERROR(__xludf.DUMMYFUNCTION("""COMPUTED_VALUE"""),"")</f>
        <v/>
      </c>
      <c r="P615" s="17" t="str">
        <f>IFERROR(__xludf.DUMMYFUNCTION("""COMPUTED_VALUE"""),"")</f>
        <v/>
      </c>
      <c r="Q615" s="17" t="str">
        <f>IFERROR(__xludf.DUMMYFUNCTION("""COMPUTED_VALUE"""),"")</f>
        <v/>
      </c>
      <c r="R615" s="17" t="str">
        <f>IFERROR(__xludf.DUMMYFUNCTION("""COMPUTED_VALUE"""),"")</f>
        <v/>
      </c>
    </row>
    <row r="616">
      <c r="A616" s="15">
        <f>IFERROR(__xludf.DUMMYFUNCTION("""COMPUTED_VALUE"""),45015.0)</f>
        <v>45015</v>
      </c>
      <c r="B616" s="16" t="str">
        <f>IFERROR(__xludf.DUMMYFUNCTION("""COMPUTED_VALUE"""),"Deivi Alejandro Quintero Corrales")</f>
        <v>Deivi Alejandro Quintero Corrales</v>
      </c>
      <c r="C616" s="15" t="str">
        <f>IFERROR(__xludf.DUMMYFUNCTION("""COMPUTED_VALUE"""),"PEREIRA")</f>
        <v>PEREIRA</v>
      </c>
      <c r="D616" s="15" t="str">
        <f>IFERROR(__xludf.DUMMYFUNCTION("""COMPUTED_VALUE"""),"BOGOTÁ")</f>
        <v>BOGOTÁ</v>
      </c>
      <c r="E616" s="15" t="str">
        <f>IFERROR(__xludf.DUMMYFUNCTION("""COMPUTED_VALUE"""),"Ins. Alimento Vital")</f>
        <v>Ins. Alimento Vital</v>
      </c>
      <c r="F616" s="17" t="str">
        <f>IFERROR(__xludf.DUMMYFUNCTION("""COMPUTED_VALUE"""),"CR 5 # 18 43 / EDIFICIO CHALJUB / BARRIO URIBE")</f>
        <v>CR 5 # 18 43 / EDIFICIO CHALJUB / BARRIO URIBE</v>
      </c>
      <c r="G616" s="15" t="str">
        <f>IFERROR(__xludf.DUMMYFUNCTION("""COMPUTED_VALUE"""),"CHALJUB")</f>
        <v>CHALJUB</v>
      </c>
      <c r="H616" s="18">
        <f>IFERROR(__xludf.DUMMYFUNCTION("""COMPUTED_VALUE"""),9308.0)</f>
        <v>9308</v>
      </c>
      <c r="I616" s="18">
        <f>IFERROR(__xludf.DUMMYFUNCTION("""COMPUTED_VALUE"""),55.0)</f>
        <v>55</v>
      </c>
      <c r="J616" s="18">
        <f>IFERROR(__xludf.DUMMYFUNCTION("""COMPUTED_VALUE"""),45.0)</f>
        <v>45</v>
      </c>
      <c r="K616" s="18" t="str">
        <f>IFERROR(__xludf.DUMMYFUNCTION("""COMPUTED_VALUE"""),"52.5")</f>
        <v>52.5</v>
      </c>
      <c r="L616" s="17">
        <f>IFERROR(__xludf.DUMMYFUNCTION("""COMPUTED_VALUE"""),3.113678687E9)</f>
        <v>3113678687</v>
      </c>
      <c r="M616" s="17" t="str">
        <f>IFERROR(__xludf.DUMMYFUNCTION("""COMPUTED_VALUE"""),"#REF!")</f>
        <v>#REF!</v>
      </c>
      <c r="N616" s="17"/>
      <c r="O616" s="19" t="str">
        <f>IFERROR(__xludf.DUMMYFUNCTION("""COMPUTED_VALUE"""),"")</f>
        <v/>
      </c>
      <c r="P616" s="17" t="b">
        <f>IFERROR(__xludf.DUMMYFUNCTION("""COMPUTED_VALUE"""),TRUE)</f>
        <v>1</v>
      </c>
      <c r="Q616" s="20">
        <f>IFERROR(__xludf.DUMMYFUNCTION("""COMPUTED_VALUE"""),45015.38046868055)</f>
        <v>45015.38047</v>
      </c>
      <c r="R616" s="22" t="str">
        <f>IFERROR(__xludf.DUMMYFUNCTION("""COMPUTED_VALUE"""),"")</f>
        <v/>
      </c>
    </row>
    <row r="617">
      <c r="A617" s="15">
        <f>IFERROR(__xludf.DUMMYFUNCTION("""COMPUTED_VALUE"""),45015.0)</f>
        <v>45015</v>
      </c>
      <c r="B617" s="16" t="str">
        <f>IFERROR(__xludf.DUMMYFUNCTION("""COMPUTED_VALUE"""),"Deivi Alejandro Quintero Corrales")</f>
        <v>Deivi Alejandro Quintero Corrales</v>
      </c>
      <c r="C617" s="15" t="str">
        <f>IFERROR(__xludf.DUMMYFUNCTION("""COMPUTED_VALUE"""),"PEREIRA")</f>
        <v>PEREIRA</v>
      </c>
      <c r="D617" s="15" t="str">
        <f>IFERROR(__xludf.DUMMYFUNCTION("""COMPUTED_VALUE"""),"MEDELLÍN")</f>
        <v>MEDELLÍN</v>
      </c>
      <c r="E617" s="15" t="str">
        <f>IFERROR(__xludf.DUMMYFUNCTION("""COMPUTED_VALUE"""),"AREPAS LA MARY")</f>
        <v>AREPAS LA MARY</v>
      </c>
      <c r="F617" s="17" t="str">
        <f>IFERROR(__xludf.DUMMYFUNCTION("""COMPUTED_VALUE"""),"CRA 16 N 16-63 / DOSQUEBRADAS")</f>
        <v>CRA 16 N 16-63 / DOSQUEBRADAS</v>
      </c>
      <c r="G617" s="15" t="str">
        <f>IFERROR(__xludf.DUMMYFUNCTION("""COMPUTED_VALUE"""),"CARLOS FRANCO")</f>
        <v>CARLOS FRANCO</v>
      </c>
      <c r="H617" s="18">
        <f>IFERROR(__xludf.DUMMYFUNCTION("""COMPUTED_VALUE"""),9319.0)</f>
        <v>9319</v>
      </c>
      <c r="I617" s="18">
        <f>IFERROR(__xludf.DUMMYFUNCTION("""COMPUTED_VALUE"""),89.0)</f>
        <v>89</v>
      </c>
      <c r="J617" s="18">
        <f>IFERROR(__xludf.DUMMYFUNCTION("""COMPUTED_VALUE"""),1.0)</f>
        <v>1</v>
      </c>
      <c r="K617" s="18">
        <f>IFERROR(__xludf.DUMMYFUNCTION("""COMPUTED_VALUE"""),10.0)</f>
        <v>10</v>
      </c>
      <c r="L617" s="17"/>
      <c r="M617" s="17" t="str">
        <f>IFERROR(__xludf.DUMMYFUNCTION("""COMPUTED_VALUE"""),"#REF!")</f>
        <v>#REF!</v>
      </c>
      <c r="N617" s="17"/>
      <c r="O617" s="19" t="str">
        <f>IFERROR(__xludf.DUMMYFUNCTION("""COMPUTED_VALUE"""),"")</f>
        <v/>
      </c>
      <c r="P617" s="17" t="b">
        <f>IFERROR(__xludf.DUMMYFUNCTION("""COMPUTED_VALUE"""),TRUE)</f>
        <v>1</v>
      </c>
      <c r="Q617" s="20">
        <f>IFERROR(__xludf.DUMMYFUNCTION("""COMPUTED_VALUE"""),45015.43721939815)</f>
        <v>45015.43722</v>
      </c>
      <c r="R617" s="22" t="str">
        <f>IFERROR(__xludf.DUMMYFUNCTION("""COMPUTED_VALUE"""),"")</f>
        <v/>
      </c>
    </row>
    <row r="618">
      <c r="A618" s="15">
        <f>IFERROR(__xludf.DUMMYFUNCTION("""COMPUTED_VALUE"""),45015.0)</f>
        <v>45015</v>
      </c>
      <c r="B618" s="16" t="str">
        <f>IFERROR(__xludf.DUMMYFUNCTION("""COMPUTED_VALUE"""),"Deivi Alejandro Quintero Corrales")</f>
        <v>Deivi Alejandro Quintero Corrales</v>
      </c>
      <c r="C618" s="15" t="str">
        <f>IFERROR(__xludf.DUMMYFUNCTION("""COMPUTED_VALUE"""),"PEREIRA")</f>
        <v>PEREIRA</v>
      </c>
      <c r="D618" s="15" t="str">
        <f>IFERROR(__xludf.DUMMYFUNCTION("""COMPUTED_VALUE"""),"MEDELLÍN")</f>
        <v>MEDELLÍN</v>
      </c>
      <c r="E618" s="15" t="str">
        <f>IFERROR(__xludf.DUMMYFUNCTION("""COMPUTED_VALUE"""),"Rambla")</f>
        <v>Rambla</v>
      </c>
      <c r="F618" s="17" t="str">
        <f>IFERROR(__xludf.DUMMYFUNCTION("""COMPUTED_VALUE"""),"CARRERA 14 -12-55 / na / na")</f>
        <v>CARRERA 14 -12-55 / na / na</v>
      </c>
      <c r="G618" s="15" t="str">
        <f>IFERROR(__xludf.DUMMYFUNCTION("""COMPUTED_VALUE"""),"vita eco")</f>
        <v>vita eco</v>
      </c>
      <c r="H618" s="18">
        <f>IFERROR(__xludf.DUMMYFUNCTION("""COMPUTED_VALUE"""),9316.0)</f>
        <v>9316</v>
      </c>
      <c r="I618" s="18">
        <f>IFERROR(__xludf.DUMMYFUNCTION("""COMPUTED_VALUE"""),32.0)</f>
        <v>32</v>
      </c>
      <c r="J618" s="18">
        <f>IFERROR(__xludf.DUMMYFUNCTION("""COMPUTED_VALUE"""),34.0)</f>
        <v>34</v>
      </c>
      <c r="K618" s="18">
        <f>IFERROR(__xludf.DUMMYFUNCTION("""COMPUTED_VALUE"""),37.0)</f>
        <v>37</v>
      </c>
      <c r="L618" s="17">
        <f>IFERROR(__xludf.DUMMYFUNCTION("""COMPUTED_VALUE"""),3.215501948E9)</f>
        <v>3215501948</v>
      </c>
      <c r="M618" s="17" t="str">
        <f>IFERROR(__xludf.DUMMYFUNCTION("""COMPUTED_VALUE"""),"#REF!")</f>
        <v>#REF!</v>
      </c>
      <c r="N618" s="17"/>
      <c r="O618" s="19" t="str">
        <f>IFERROR(__xludf.DUMMYFUNCTION("""COMPUTED_VALUE"""),"")</f>
        <v/>
      </c>
      <c r="P618" s="17" t="b">
        <f>IFERROR(__xludf.DUMMYFUNCTION("""COMPUTED_VALUE"""),FALSE)</f>
        <v>0</v>
      </c>
      <c r="Q618" s="20" t="str">
        <f>IFERROR(__xludf.DUMMYFUNCTION("""COMPUTED_VALUE"""),"")</f>
        <v/>
      </c>
      <c r="R618" s="22" t="str">
        <f>IFERROR(__xludf.DUMMYFUNCTION("""COMPUTED_VALUE"""),"")</f>
        <v/>
      </c>
    </row>
    <row r="619">
      <c r="A619" s="17" t="str">
        <f>IFERROR(__xludf.DUMMYFUNCTION("""COMPUTED_VALUE"""),"")</f>
        <v/>
      </c>
      <c r="B619" s="17" t="str">
        <f>IFERROR(__xludf.DUMMYFUNCTION("""COMPUTED_VALUE"""),"")</f>
        <v/>
      </c>
      <c r="C619" s="17" t="str">
        <f>IFERROR(__xludf.DUMMYFUNCTION("""COMPUTED_VALUE"""),"")</f>
        <v/>
      </c>
      <c r="D619" s="17" t="str">
        <f>IFERROR(__xludf.DUMMYFUNCTION("""COMPUTED_VALUE"""),"")</f>
        <v/>
      </c>
      <c r="E619" s="17" t="str">
        <f>IFERROR(__xludf.DUMMYFUNCTION("""COMPUTED_VALUE"""),"")</f>
        <v/>
      </c>
      <c r="F619" s="17" t="str">
        <f>IFERROR(__xludf.DUMMYFUNCTION("""COMPUTED_VALUE"""),"")</f>
        <v/>
      </c>
      <c r="G619" s="17" t="str">
        <f>IFERROR(__xludf.DUMMYFUNCTION("""COMPUTED_VALUE"""),"")</f>
        <v/>
      </c>
      <c r="H619" s="17" t="str">
        <f>IFERROR(__xludf.DUMMYFUNCTION("""COMPUTED_VALUE"""),"")</f>
        <v/>
      </c>
      <c r="I619" s="17" t="str">
        <f>IFERROR(__xludf.DUMMYFUNCTION("""COMPUTED_VALUE"""),"")</f>
        <v/>
      </c>
      <c r="J619" s="17" t="str">
        <f>IFERROR(__xludf.DUMMYFUNCTION("""COMPUTED_VALUE"""),"")</f>
        <v/>
      </c>
      <c r="K619" s="17" t="str">
        <f>IFERROR(__xludf.DUMMYFUNCTION("""COMPUTED_VALUE"""),"")</f>
        <v/>
      </c>
      <c r="L619" s="17" t="str">
        <f>IFERROR(__xludf.DUMMYFUNCTION("""COMPUTED_VALUE"""),"")</f>
        <v/>
      </c>
      <c r="M619" s="17" t="str">
        <f>IFERROR(__xludf.DUMMYFUNCTION("""COMPUTED_VALUE"""),"")</f>
        <v/>
      </c>
      <c r="N619" s="17" t="str">
        <f>IFERROR(__xludf.DUMMYFUNCTION("""COMPUTED_VALUE"""),"")</f>
        <v/>
      </c>
      <c r="O619" s="17" t="str">
        <f>IFERROR(__xludf.DUMMYFUNCTION("""COMPUTED_VALUE"""),"")</f>
        <v/>
      </c>
      <c r="P619" s="17" t="str">
        <f>IFERROR(__xludf.DUMMYFUNCTION("""COMPUTED_VALUE"""),"")</f>
        <v/>
      </c>
      <c r="Q619" s="17" t="str">
        <f>IFERROR(__xludf.DUMMYFUNCTION("""COMPUTED_VALUE"""),"")</f>
        <v/>
      </c>
      <c r="R619" s="17" t="str">
        <f>IFERROR(__xludf.DUMMYFUNCTION("""COMPUTED_VALUE"""),"")</f>
        <v/>
      </c>
    </row>
    <row r="620">
      <c r="A620" s="15">
        <f>IFERROR(__xludf.DUMMYFUNCTION("""COMPUTED_VALUE"""),45015.0)</f>
        <v>45015</v>
      </c>
      <c r="B620" s="16" t="str">
        <f>IFERROR(__xludf.DUMMYFUNCTION("""COMPUTED_VALUE"""),"Envia")</f>
        <v>Envia</v>
      </c>
      <c r="C620" s="15" t="str">
        <f>IFERROR(__xludf.DUMMYFUNCTION("""COMPUTED_VALUE"""),"ARMENIA")</f>
        <v>ARMENIA</v>
      </c>
      <c r="D620" s="15" t="str">
        <f>IFERROR(__xludf.DUMMYFUNCTION("""COMPUTED_VALUE"""),"MEDELLÍN")</f>
        <v>MEDELLÍN</v>
      </c>
      <c r="E620" s="15" t="str">
        <f>IFERROR(__xludf.DUMMYFUNCTION("""COMPUTED_VALUE"""),"Todo Bufala")</f>
        <v>Todo Bufala</v>
      </c>
      <c r="F620" s="17" t="str">
        <f>IFERROR(__xludf.DUMMYFUNCTION("""COMPUTED_VALUE"""),"Cra 5 26n-02  / Zonata apto 304 / Zonata")</f>
        <v>Cra 5 26n-02  / Zonata apto 304 / Zonata</v>
      </c>
      <c r="G620" s="15" t="str">
        <f>IFERROR(__xludf.DUMMYFUNCTION("""COMPUTED_VALUE"""),"Yenny Franco")</f>
        <v>Yenny Franco</v>
      </c>
      <c r="H620" s="18">
        <f>IFERROR(__xludf.DUMMYFUNCTION("""COMPUTED_VALUE"""),9281.0)</f>
        <v>9281</v>
      </c>
      <c r="I620" s="18">
        <f>IFERROR(__xludf.DUMMYFUNCTION("""COMPUTED_VALUE"""),15.0)</f>
        <v>15</v>
      </c>
      <c r="J620" s="18">
        <f>IFERROR(__xludf.DUMMYFUNCTION("""COMPUTED_VALUE"""),30.0)</f>
        <v>30</v>
      </c>
      <c r="K620" s="18">
        <f>IFERROR(__xludf.DUMMYFUNCTION("""COMPUTED_VALUE"""),40.0)</f>
        <v>40</v>
      </c>
      <c r="L620" s="17">
        <f>IFERROR(__xludf.DUMMYFUNCTION("""COMPUTED_VALUE"""),3.232062261E9)</f>
        <v>3232062261</v>
      </c>
      <c r="M620" s="17" t="str">
        <f>IFERROR(__xludf.DUMMYFUNCTION("""COMPUTED_VALUE"""),"#REF!")</f>
        <v>#REF!</v>
      </c>
      <c r="N620" s="17"/>
      <c r="O620" s="19" t="str">
        <f>IFERROR(__xludf.DUMMYFUNCTION("""COMPUTED_VALUE"""),"")</f>
        <v/>
      </c>
      <c r="P620" s="17" t="b">
        <f>IFERROR(__xludf.DUMMYFUNCTION("""COMPUTED_VALUE"""),TRUE)</f>
        <v>1</v>
      </c>
      <c r="Q620" s="20">
        <f>IFERROR(__xludf.DUMMYFUNCTION("""COMPUTED_VALUE"""),45015.596658043985)</f>
        <v>45015.59666</v>
      </c>
      <c r="R620" s="22" t="str">
        <f>IFERROR(__xludf.DUMMYFUNCTION("""COMPUTED_VALUE"""),"")</f>
        <v/>
      </c>
    </row>
    <row r="621">
      <c r="A621" s="15">
        <f>IFERROR(__xludf.DUMMYFUNCTION("""COMPUTED_VALUE"""),45015.0)</f>
        <v>45015</v>
      </c>
      <c r="B621" s="16" t="str">
        <f>IFERROR(__xludf.DUMMYFUNCTION("""COMPUTED_VALUE"""),"Envia")</f>
        <v>Envia</v>
      </c>
      <c r="C621" s="15" t="str">
        <f>IFERROR(__xludf.DUMMYFUNCTION("""COMPUTED_VALUE"""),"BUCARAMANGA")</f>
        <v>BUCARAMANGA</v>
      </c>
      <c r="D621" s="15" t="str">
        <f>IFERROR(__xludf.DUMMYFUNCTION("""COMPUTED_VALUE"""),"BOGOTÁ")</f>
        <v>BOGOTÁ</v>
      </c>
      <c r="E621" s="15" t="str">
        <f>IFERROR(__xludf.DUMMYFUNCTION("""COMPUTED_VALUE"""),"Evamazzita")</f>
        <v>Evamazzita</v>
      </c>
      <c r="F621" s="17" t="str">
        <f>IFERROR(__xludf.DUMMYFUNCTION("""COMPUTED_VALUE"""),"CARRERA 20 # 7 - 11 / N/A / BARRIO COMUNEROS")</f>
        <v>CARRERA 20 # 7 - 11 / N/A / BARRIO COMUNEROS</v>
      </c>
      <c r="G621" s="15" t="str">
        <f>IFERROR(__xludf.DUMMYFUNCTION("""COMPUTED_VALUE"""),"MARIO JOSÉ CORTÉS PARADA")</f>
        <v>MARIO JOSÉ CORTÉS PARADA</v>
      </c>
      <c r="H621" s="18">
        <f>IFERROR(__xludf.DUMMYFUNCTION("""COMPUTED_VALUE"""),9306.0)</f>
        <v>9306</v>
      </c>
      <c r="I621" s="18">
        <f>IFERROR(__xludf.DUMMYFUNCTION("""COMPUTED_VALUE"""),30.0)</f>
        <v>30</v>
      </c>
      <c r="J621" s="18">
        <f>IFERROR(__xludf.DUMMYFUNCTION("""COMPUTED_VALUE"""),39.0)</f>
        <v>39</v>
      </c>
      <c r="K621" s="18">
        <f>IFERROR(__xludf.DUMMYFUNCTION("""COMPUTED_VALUE"""),26.0)</f>
        <v>26</v>
      </c>
      <c r="L621" s="17">
        <f>IFERROR(__xludf.DUMMYFUNCTION("""COMPUTED_VALUE"""),3.123394474E9)</f>
        <v>3123394474</v>
      </c>
      <c r="M621" s="17" t="str">
        <f>IFERROR(__xludf.DUMMYFUNCTION("""COMPUTED_VALUE"""),"#REF!")</f>
        <v>#REF!</v>
      </c>
      <c r="N621" s="17"/>
      <c r="O621" s="19" t="str">
        <f>IFERROR(__xludf.DUMMYFUNCTION("""COMPUTED_VALUE"""),"")</f>
        <v/>
      </c>
      <c r="P621" s="17" t="b">
        <f>IFERROR(__xludf.DUMMYFUNCTION("""COMPUTED_VALUE"""),TRUE)</f>
        <v>1</v>
      </c>
      <c r="Q621" s="20">
        <f>IFERROR(__xludf.DUMMYFUNCTION("""COMPUTED_VALUE"""),45015.460961805555)</f>
        <v>45015.46096</v>
      </c>
      <c r="R621" s="22" t="str">
        <f>IFERROR(__xludf.DUMMYFUNCTION("""COMPUTED_VALUE"""),"")</f>
        <v/>
      </c>
    </row>
    <row r="622">
      <c r="A622" s="15">
        <f>IFERROR(__xludf.DUMMYFUNCTION("""COMPUTED_VALUE"""),45015.0)</f>
        <v>45015</v>
      </c>
      <c r="B622" s="16" t="str">
        <f>IFERROR(__xludf.DUMMYFUNCTION("""COMPUTED_VALUE"""),"Envia")</f>
        <v>Envia</v>
      </c>
      <c r="C622" s="15" t="str">
        <f>IFERROR(__xludf.DUMMYFUNCTION("""COMPUTED_VALUE"""),"CALI")</f>
        <v>CALI</v>
      </c>
      <c r="D622" s="15" t="str">
        <f>IFERROR(__xludf.DUMMYFUNCTION("""COMPUTED_VALUE"""),"BOGOTÁ")</f>
        <v>BOGOTÁ</v>
      </c>
      <c r="E622" s="15" t="str">
        <f>IFERROR(__xludf.DUMMYFUNCTION("""COMPUTED_VALUE"""),"Ins. Alimento Vital")</f>
        <v>Ins. Alimento Vital</v>
      </c>
      <c r="F622" s="17" t="str">
        <f>IFERROR(__xludf.DUMMYFUNCTION("""COMPUTED_VALUE"""),"CLL 34N # 2 BN 33 / BODEGA / SAN VICENTE")</f>
        <v>CLL 34N # 2 BN 33 / BODEGA / SAN VICENTE</v>
      </c>
      <c r="G622" s="15" t="str">
        <f>IFERROR(__xludf.DUMMYFUNCTION("""COMPUTED_VALUE"""),"VELOCITY")</f>
        <v>VELOCITY</v>
      </c>
      <c r="H622" s="18">
        <f>IFERROR(__xludf.DUMMYFUNCTION("""COMPUTED_VALUE"""),9298.0)</f>
        <v>9298</v>
      </c>
      <c r="I622" s="18">
        <f>IFERROR(__xludf.DUMMYFUNCTION("""COMPUTED_VALUE"""),55.0)</f>
        <v>55</v>
      </c>
      <c r="J622" s="18">
        <f>IFERROR(__xludf.DUMMYFUNCTION("""COMPUTED_VALUE"""),45.0)</f>
        <v>45</v>
      </c>
      <c r="K622" s="18" t="str">
        <f>IFERROR(__xludf.DUMMYFUNCTION("""COMPUTED_VALUE"""),"52.5")</f>
        <v>52.5</v>
      </c>
      <c r="L622" s="17">
        <f>IFERROR(__xludf.DUMMYFUNCTION("""COMPUTED_VALUE"""),3.117591055E9)</f>
        <v>3117591055</v>
      </c>
      <c r="M622" s="17" t="str">
        <f>IFERROR(__xludf.DUMMYFUNCTION("""COMPUTED_VALUE"""),"#REF!")</f>
        <v>#REF!</v>
      </c>
      <c r="N622" s="17"/>
      <c r="O622" s="19" t="str">
        <f>IFERROR(__xludf.DUMMYFUNCTION("""COMPUTED_VALUE"""),"")</f>
        <v/>
      </c>
      <c r="P622" s="17" t="b">
        <f>IFERROR(__xludf.DUMMYFUNCTION("""COMPUTED_VALUE"""),TRUE)</f>
        <v>1</v>
      </c>
      <c r="Q622" s="20">
        <f>IFERROR(__xludf.DUMMYFUNCTION("""COMPUTED_VALUE"""),45015.51015256945)</f>
        <v>45015.51015</v>
      </c>
      <c r="R622" s="22" t="str">
        <f>IFERROR(__xludf.DUMMYFUNCTION("""COMPUTED_VALUE"""),"")</f>
        <v/>
      </c>
    </row>
    <row r="623">
      <c r="A623" s="15">
        <f>IFERROR(__xludf.DUMMYFUNCTION("""COMPUTED_VALUE"""),45015.0)</f>
        <v>45015</v>
      </c>
      <c r="B623" s="16" t="str">
        <f>IFERROR(__xludf.DUMMYFUNCTION("""COMPUTED_VALUE"""),"Envia")</f>
        <v>Envia</v>
      </c>
      <c r="C623" s="15" t="str">
        <f>IFERROR(__xludf.DUMMYFUNCTION("""COMPUTED_VALUE"""),"NEIVA")</f>
        <v>NEIVA</v>
      </c>
      <c r="D623" s="15" t="str">
        <f>IFERROR(__xludf.DUMMYFUNCTION("""COMPUTED_VALUE"""),"BOGOTÁ")</f>
        <v>BOGOTÁ</v>
      </c>
      <c r="E623" s="15" t="str">
        <f>IFERROR(__xludf.DUMMYFUNCTION("""COMPUTED_VALUE"""),"Evamazzita")</f>
        <v>Evamazzita</v>
      </c>
      <c r="F623" s="17" t="str">
        <f>IFERROR(__xludf.DUMMYFUNCTION("""COMPUTED_VALUE"""),"CALLE 24 No. 1G - 08  / N/A / BARRIO ROJAS TRUJILLO")</f>
        <v>CALLE 24 No. 1G - 08  / N/A / BARRIO ROJAS TRUJILLO</v>
      </c>
      <c r="G623" s="15" t="str">
        <f>IFERROR(__xludf.DUMMYFUNCTION("""COMPUTED_VALUE"""),"INGRID YICETH DIAZ MOSQUERA")</f>
        <v>INGRID YICETH DIAZ MOSQUERA</v>
      </c>
      <c r="H623" s="18">
        <f>IFERROR(__xludf.DUMMYFUNCTION("""COMPUTED_VALUE"""),9292.0)</f>
        <v>9292</v>
      </c>
      <c r="I623" s="18">
        <f>IFERROR(__xludf.DUMMYFUNCTION("""COMPUTED_VALUE"""),3.0)</f>
        <v>3</v>
      </c>
      <c r="J623" s="18">
        <f>IFERROR(__xludf.DUMMYFUNCTION("""COMPUTED_VALUE"""),20.0)</f>
        <v>20</v>
      </c>
      <c r="K623" s="18">
        <f>IFERROR(__xludf.DUMMYFUNCTION("""COMPUTED_VALUE"""),15.0)</f>
        <v>15</v>
      </c>
      <c r="L623" s="17">
        <f>IFERROR(__xludf.DUMMYFUNCTION("""COMPUTED_VALUE"""),3.112494632E9)</f>
        <v>3112494632</v>
      </c>
      <c r="M623" s="17" t="str">
        <f>IFERROR(__xludf.DUMMYFUNCTION("""COMPUTED_VALUE"""),"#REF!")</f>
        <v>#REF!</v>
      </c>
      <c r="N623" s="17"/>
      <c r="O623" s="19" t="str">
        <f>IFERROR(__xludf.DUMMYFUNCTION("""COMPUTED_VALUE"""),"")</f>
        <v/>
      </c>
      <c r="P623" s="17" t="b">
        <f>IFERROR(__xludf.DUMMYFUNCTION("""COMPUTED_VALUE"""),TRUE)</f>
        <v>1</v>
      </c>
      <c r="Q623" s="20">
        <f>IFERROR(__xludf.DUMMYFUNCTION("""COMPUTED_VALUE"""),45015.5101390625)</f>
        <v>45015.51014</v>
      </c>
      <c r="R623" s="22" t="str">
        <f>IFERROR(__xludf.DUMMYFUNCTION("""COMPUTED_VALUE"""),"")</f>
        <v/>
      </c>
    </row>
    <row r="624">
      <c r="A624" s="15">
        <f>IFERROR(__xludf.DUMMYFUNCTION("""COMPUTED_VALUE"""),45015.0)</f>
        <v>45015</v>
      </c>
      <c r="B624" s="16" t="str">
        <f>IFERROR(__xludf.DUMMYFUNCTION("""COMPUTED_VALUE"""),"Envia")</f>
        <v>Envia</v>
      </c>
      <c r="C624" s="15" t="str">
        <f>IFERROR(__xludf.DUMMYFUNCTION("""COMPUTED_VALUE"""),"NEIVA")</f>
        <v>NEIVA</v>
      </c>
      <c r="D624" s="15" t="str">
        <f>IFERROR(__xludf.DUMMYFUNCTION("""COMPUTED_VALUE"""),"BOGOTÁ")</f>
        <v>BOGOTÁ</v>
      </c>
      <c r="E624" s="15" t="str">
        <f>IFERROR(__xludf.DUMMYFUNCTION("""COMPUTED_VALUE"""),"Evamazzita")</f>
        <v>Evamazzita</v>
      </c>
      <c r="F624" s="17" t="str">
        <f>IFERROR(__xludf.DUMMYFUNCTION("""COMPUTED_VALUE"""),"Calle 54 #8-21P  / n/a / Villa Constanza")</f>
        <v>Calle 54 #8-21P  / n/a / Villa Constanza</v>
      </c>
      <c r="G624" s="15" t="str">
        <f>IFERROR(__xludf.DUMMYFUNCTION("""COMPUTED_VALUE"""),"LEIDY TATIANA PERDOMO BAHAMON")</f>
        <v>LEIDY TATIANA PERDOMO BAHAMON</v>
      </c>
      <c r="H624" s="18">
        <f>IFERROR(__xludf.DUMMYFUNCTION("""COMPUTED_VALUE"""),9299.0)</f>
        <v>9299</v>
      </c>
      <c r="I624" s="18">
        <f>IFERROR(__xludf.DUMMYFUNCTION("""COMPUTED_VALUE"""),3.0)</f>
        <v>3</v>
      </c>
      <c r="J624" s="18">
        <f>IFERROR(__xludf.DUMMYFUNCTION("""COMPUTED_VALUE"""),20.0)</f>
        <v>20</v>
      </c>
      <c r="K624" s="18">
        <f>IFERROR(__xludf.DUMMYFUNCTION("""COMPUTED_VALUE"""),15.0)</f>
        <v>15</v>
      </c>
      <c r="L624" s="17">
        <f>IFERROR(__xludf.DUMMYFUNCTION("""COMPUTED_VALUE"""),3.115403292E9)</f>
        <v>3115403292</v>
      </c>
      <c r="M624" s="17" t="str">
        <f>IFERROR(__xludf.DUMMYFUNCTION("""COMPUTED_VALUE"""),"#REF!")</f>
        <v>#REF!</v>
      </c>
      <c r="N624" s="17"/>
      <c r="O624" s="19" t="str">
        <f>IFERROR(__xludf.DUMMYFUNCTION("""COMPUTED_VALUE"""),"")</f>
        <v/>
      </c>
      <c r="P624" s="17" t="b">
        <f>IFERROR(__xludf.DUMMYFUNCTION("""COMPUTED_VALUE"""),TRUE)</f>
        <v>1</v>
      </c>
      <c r="Q624" s="20">
        <f>IFERROR(__xludf.DUMMYFUNCTION("""COMPUTED_VALUE"""),45015.51020751157)</f>
        <v>45015.51021</v>
      </c>
      <c r="R624" s="22" t="str">
        <f>IFERROR(__xludf.DUMMYFUNCTION("""COMPUTED_VALUE"""),"")</f>
        <v/>
      </c>
    </row>
    <row r="625">
      <c r="A625" s="15">
        <f>IFERROR(__xludf.DUMMYFUNCTION("""COMPUTED_VALUE"""),45015.0)</f>
        <v>45015</v>
      </c>
      <c r="B625" s="16" t="str">
        <f>IFERROR(__xludf.DUMMYFUNCTION("""COMPUTED_VALUE"""),"Envia")</f>
        <v>Envia</v>
      </c>
      <c r="C625" s="15" t="str">
        <f>IFERROR(__xludf.DUMMYFUNCTION("""COMPUTED_VALUE"""),"NEIVA")</f>
        <v>NEIVA</v>
      </c>
      <c r="D625" s="15" t="str">
        <f>IFERROR(__xludf.DUMMYFUNCTION("""COMPUTED_VALUE"""),"BOGOTÁ")</f>
        <v>BOGOTÁ</v>
      </c>
      <c r="E625" s="15" t="str">
        <f>IFERROR(__xludf.DUMMYFUNCTION("""COMPUTED_VALUE"""),"Evamazzita")</f>
        <v>Evamazzita</v>
      </c>
      <c r="F625" s="17" t="str">
        <f>IFERROR(__xludf.DUMMYFUNCTION("""COMPUTED_VALUE"""),"CALLE 56 No, 1W - 99  /  TORRE 7 APTO 303 / TORRES DE IPACARAI 1")</f>
        <v>CALLE 56 No, 1W - 99  /  TORRE 7 APTO 303 / TORRES DE IPACARAI 1</v>
      </c>
      <c r="G625" s="15" t="str">
        <f>IFERROR(__xludf.DUMMYFUNCTION("""COMPUTED_VALUE"""),"LEIDY MARCELA GOMEZ")</f>
        <v>LEIDY MARCELA GOMEZ</v>
      </c>
      <c r="H625" s="18">
        <f>IFERROR(__xludf.DUMMYFUNCTION("""COMPUTED_VALUE"""),9290.0)</f>
        <v>9290</v>
      </c>
      <c r="I625" s="18">
        <f>IFERROR(__xludf.DUMMYFUNCTION("""COMPUTED_VALUE"""),3.0)</f>
        <v>3</v>
      </c>
      <c r="J625" s="18">
        <f>IFERROR(__xludf.DUMMYFUNCTION("""COMPUTED_VALUE"""),20.0)</f>
        <v>20</v>
      </c>
      <c r="K625" s="18">
        <f>IFERROR(__xludf.DUMMYFUNCTION("""COMPUTED_VALUE"""),15.0)</f>
        <v>15</v>
      </c>
      <c r="L625" s="17">
        <f>IFERROR(__xludf.DUMMYFUNCTION("""COMPUTED_VALUE"""),3.212456548E9)</f>
        <v>3212456548</v>
      </c>
      <c r="M625" s="17" t="str">
        <f>IFERROR(__xludf.DUMMYFUNCTION("""COMPUTED_VALUE"""),"#REF!")</f>
        <v>#REF!</v>
      </c>
      <c r="N625" s="17"/>
      <c r="O625" s="19" t="str">
        <f>IFERROR(__xludf.DUMMYFUNCTION("""COMPUTED_VALUE"""),"")</f>
        <v/>
      </c>
      <c r="P625" s="17" t="b">
        <f>IFERROR(__xludf.DUMMYFUNCTION("""COMPUTED_VALUE"""),TRUE)</f>
        <v>1</v>
      </c>
      <c r="Q625" s="20">
        <f>IFERROR(__xludf.DUMMYFUNCTION("""COMPUTED_VALUE"""),45015.51019402778)</f>
        <v>45015.51019</v>
      </c>
      <c r="R625" s="22" t="str">
        <f>IFERROR(__xludf.DUMMYFUNCTION("""COMPUTED_VALUE"""),"")</f>
        <v/>
      </c>
    </row>
    <row r="626">
      <c r="A626" s="15">
        <f>IFERROR(__xludf.DUMMYFUNCTION("""COMPUTED_VALUE"""),45015.0)</f>
        <v>45015</v>
      </c>
      <c r="B626" s="16" t="str">
        <f>IFERROR(__xludf.DUMMYFUNCTION("""COMPUTED_VALUE"""),"Envia")</f>
        <v>Envia</v>
      </c>
      <c r="C626" s="15" t="str">
        <f>IFERROR(__xludf.DUMMYFUNCTION("""COMPUTED_VALUE"""),"NEIVA")</f>
        <v>NEIVA</v>
      </c>
      <c r="D626" s="15" t="str">
        <f>IFERROR(__xludf.DUMMYFUNCTION("""COMPUTED_VALUE"""),"BOGOTÁ")</f>
        <v>BOGOTÁ</v>
      </c>
      <c r="E626" s="15" t="str">
        <f>IFERROR(__xludf.DUMMYFUNCTION("""COMPUTED_VALUE"""),"Evamazzita")</f>
        <v>Evamazzita</v>
      </c>
      <c r="F626" s="17" t="str">
        <f>IFERROR(__xludf.DUMMYFUNCTION("""COMPUTED_VALUE"""),"Carrera 3 # 29-137 Sur /  Casa 82  / Conjunto Sendero del Rio")</f>
        <v>Carrera 3 # 29-137 Sur /  Casa 82  / Conjunto Sendero del Rio</v>
      </c>
      <c r="G626" s="15" t="str">
        <f>IFERROR(__xludf.DUMMYFUNCTION("""COMPUTED_VALUE"""),"ANA CAROLINA VARGAS POLANIA")</f>
        <v>ANA CAROLINA VARGAS POLANIA</v>
      </c>
      <c r="H626" s="18">
        <f>IFERROR(__xludf.DUMMYFUNCTION("""COMPUTED_VALUE"""),9291.0)</f>
        <v>9291</v>
      </c>
      <c r="I626" s="18">
        <f>IFERROR(__xludf.DUMMYFUNCTION("""COMPUTED_VALUE"""),3.0)</f>
        <v>3</v>
      </c>
      <c r="J626" s="18">
        <f>IFERROR(__xludf.DUMMYFUNCTION("""COMPUTED_VALUE"""),20.0)</f>
        <v>20</v>
      </c>
      <c r="K626" s="18">
        <f>IFERROR(__xludf.DUMMYFUNCTION("""COMPUTED_VALUE"""),15.0)</f>
        <v>15</v>
      </c>
      <c r="L626" s="17">
        <f>IFERROR(__xludf.DUMMYFUNCTION("""COMPUTED_VALUE"""),3.112064994E9)</f>
        <v>3112064994</v>
      </c>
      <c r="M626" s="17" t="str">
        <f>IFERROR(__xludf.DUMMYFUNCTION("""COMPUTED_VALUE"""),"#REF!")</f>
        <v>#REF!</v>
      </c>
      <c r="N626" s="17"/>
      <c r="O626" s="19" t="str">
        <f>IFERROR(__xludf.DUMMYFUNCTION("""COMPUTED_VALUE"""),"")</f>
        <v/>
      </c>
      <c r="P626" s="17" t="b">
        <f>IFERROR(__xludf.DUMMYFUNCTION("""COMPUTED_VALUE"""),TRUE)</f>
        <v>1</v>
      </c>
      <c r="Q626" s="20">
        <f>IFERROR(__xludf.DUMMYFUNCTION("""COMPUTED_VALUE"""),45015.69013949074)</f>
        <v>45015.69014</v>
      </c>
      <c r="R626" s="22" t="str">
        <f>IFERROR(__xludf.DUMMYFUNCTION("""COMPUTED_VALUE"""),"")</f>
        <v/>
      </c>
    </row>
    <row r="627">
      <c r="A627" s="15">
        <f>IFERROR(__xludf.DUMMYFUNCTION("""COMPUTED_VALUE"""),45015.0)</f>
        <v>45015</v>
      </c>
      <c r="B627" s="16" t="str">
        <f>IFERROR(__xludf.DUMMYFUNCTION("""COMPUTED_VALUE"""),"Envia")</f>
        <v>Envia</v>
      </c>
      <c r="C627" s="15" t="str">
        <f>IFERROR(__xludf.DUMMYFUNCTION("""COMPUTED_VALUE"""),"NEIVA")</f>
        <v>NEIVA</v>
      </c>
      <c r="D627" s="15" t="str">
        <f>IFERROR(__xludf.DUMMYFUNCTION("""COMPUTED_VALUE"""),"MEDELLÍN")</f>
        <v>MEDELLÍN</v>
      </c>
      <c r="E627" s="15" t="str">
        <f>IFERROR(__xludf.DUMMYFUNCTION("""COMPUTED_VALUE"""),"Baby Chef")</f>
        <v>Baby Chef</v>
      </c>
      <c r="F627" s="17" t="str">
        <f>IFERROR(__xludf.DUMMYFUNCTION("""COMPUTED_VALUE"""),"Calle 2E # 15-94 Diego de Ospina - Neiva, Huila  / Diego de Ospina - Neiva, Huila  / Diego de Ospina - Neiva, Huila")</f>
        <v>Calle 2E # 15-94 Diego de Ospina - Neiva, Huila  / Diego de Ospina - Neiva, Huila  / Diego de Ospina - Neiva, Huila</v>
      </c>
      <c r="G627" s="15" t="str">
        <f>IFERROR(__xludf.DUMMYFUNCTION("""COMPUTED_VALUE"""),"Andrea Ricardo Cachaya")</f>
        <v>Andrea Ricardo Cachaya</v>
      </c>
      <c r="H627" s="18">
        <f>IFERROR(__xludf.DUMMYFUNCTION("""COMPUTED_VALUE"""),9274.0)</f>
        <v>9274</v>
      </c>
      <c r="I627" s="18">
        <f>IFERROR(__xludf.DUMMYFUNCTION("""COMPUTED_VALUE"""),8.0)</f>
        <v>8</v>
      </c>
      <c r="J627" s="18">
        <f>IFERROR(__xludf.DUMMYFUNCTION("""COMPUTED_VALUE"""),16.0)</f>
        <v>16</v>
      </c>
      <c r="K627" s="18">
        <f>IFERROR(__xludf.DUMMYFUNCTION("""COMPUTED_VALUE"""),20.0)</f>
        <v>20</v>
      </c>
      <c r="L627" s="17">
        <f>IFERROR(__xludf.DUMMYFUNCTION("""COMPUTED_VALUE"""),3.008978689E9)</f>
        <v>3008978689</v>
      </c>
      <c r="M627" s="17" t="str">
        <f>IFERROR(__xludf.DUMMYFUNCTION("""COMPUTED_VALUE"""),"#REF!")</f>
        <v>#REF!</v>
      </c>
      <c r="N627" s="17"/>
      <c r="O627" s="19" t="str">
        <f>IFERROR(__xludf.DUMMYFUNCTION("""COMPUTED_VALUE"""),"")</f>
        <v/>
      </c>
      <c r="P627" s="17" t="b">
        <f>IFERROR(__xludf.DUMMYFUNCTION("""COMPUTED_VALUE"""),TRUE)</f>
        <v>1</v>
      </c>
      <c r="Q627" s="20">
        <f>IFERROR(__xludf.DUMMYFUNCTION("""COMPUTED_VALUE"""),45015.69014987268)</f>
        <v>45015.69015</v>
      </c>
      <c r="R627" s="22" t="str">
        <f>IFERROR(__xludf.DUMMYFUNCTION("""COMPUTED_VALUE"""),"")</f>
        <v/>
      </c>
    </row>
    <row r="628">
      <c r="A628" s="15">
        <f>IFERROR(__xludf.DUMMYFUNCTION("""COMPUTED_VALUE"""),45015.0)</f>
        <v>45015</v>
      </c>
      <c r="B628" s="16" t="str">
        <f>IFERROR(__xludf.DUMMYFUNCTION("""COMPUTED_VALUE"""),"Envia")</f>
        <v>Envia</v>
      </c>
      <c r="C628" s="15" t="str">
        <f>IFERROR(__xludf.DUMMYFUNCTION("""COMPUTED_VALUE"""),"PEREIRA")</f>
        <v>PEREIRA</v>
      </c>
      <c r="D628" s="15" t="str">
        <f>IFERROR(__xludf.DUMMYFUNCTION("""COMPUTED_VALUE"""),"MEDELLÍN")</f>
        <v>MEDELLÍN</v>
      </c>
      <c r="E628" s="15" t="str">
        <f>IFERROR(__xludf.DUMMYFUNCTION("""COMPUTED_VALUE"""),"Toledales")</f>
        <v>Toledales</v>
      </c>
      <c r="F628" s="17" t="str">
        <f>IFERROR(__xludf.DUMMYFUNCTION("""COMPUTED_VALUE"""),"carrea 30 #93-50 / manzana 3 casa 7  / bulevar del bosque")</f>
        <v>carrea 30 #93-50 / manzana 3 casa 7  / bulevar del bosque</v>
      </c>
      <c r="G628" s="15" t="str">
        <f>IFERROR(__xludf.DUMMYFUNCTION("""COMPUTED_VALUE"""),"David Gutiérrez morales")</f>
        <v>David Gutiérrez morales</v>
      </c>
      <c r="H628" s="18">
        <f>IFERROR(__xludf.DUMMYFUNCTION("""COMPUTED_VALUE"""),9317.0)</f>
        <v>9317</v>
      </c>
      <c r="I628" s="18">
        <f>IFERROR(__xludf.DUMMYFUNCTION("""COMPUTED_VALUE"""),5.0)</f>
        <v>5</v>
      </c>
      <c r="J628" s="18">
        <f>IFERROR(__xludf.DUMMYFUNCTION("""COMPUTED_VALUE"""),20.0)</f>
        <v>20</v>
      </c>
      <c r="K628" s="18">
        <f>IFERROR(__xludf.DUMMYFUNCTION("""COMPUTED_VALUE"""),15.0)</f>
        <v>15</v>
      </c>
      <c r="L628" s="17">
        <f>IFERROR(__xludf.DUMMYFUNCTION("""COMPUTED_VALUE"""),3.126747149E9)</f>
        <v>3126747149</v>
      </c>
      <c r="M628" s="17" t="str">
        <f>IFERROR(__xludf.DUMMYFUNCTION("""COMPUTED_VALUE"""),"#REF!")</f>
        <v>#REF!</v>
      </c>
      <c r="N628" s="17"/>
      <c r="O628" s="19" t="str">
        <f>IFERROR(__xludf.DUMMYFUNCTION("""COMPUTED_VALUE"""),"")</f>
        <v/>
      </c>
      <c r="P628" s="17" t="b">
        <f>IFERROR(__xludf.DUMMYFUNCTION("""COMPUTED_VALUE"""),TRUE)</f>
        <v>1</v>
      </c>
      <c r="Q628" s="20">
        <f>IFERROR(__xludf.DUMMYFUNCTION("""COMPUTED_VALUE"""),45016.71394215278)</f>
        <v>45016.71394</v>
      </c>
      <c r="R628" s="22" t="str">
        <f>IFERROR(__xludf.DUMMYFUNCTION("""COMPUTED_VALUE"""),"")</f>
        <v/>
      </c>
    </row>
    <row r="629">
      <c r="A629" s="15">
        <f>IFERROR(__xludf.DUMMYFUNCTION("""COMPUTED_VALUE"""),45015.0)</f>
        <v>45015</v>
      </c>
      <c r="B629" s="16" t="str">
        <f>IFERROR(__xludf.DUMMYFUNCTION("""COMPUTED_VALUE"""),"Envia")</f>
        <v>Envia</v>
      </c>
      <c r="C629" s="15" t="str">
        <f>IFERROR(__xludf.DUMMYFUNCTION("""COMPUTED_VALUE"""),"POPAYAN")</f>
        <v>POPAYAN</v>
      </c>
      <c r="D629" s="15" t="str">
        <f>IFERROR(__xludf.DUMMYFUNCTION("""COMPUTED_VALUE"""),"MEDELLÍN")</f>
        <v>MEDELLÍN</v>
      </c>
      <c r="E629" s="15" t="str">
        <f>IFERROR(__xludf.DUMMYFUNCTION("""COMPUTED_VALUE"""),"Baby Chef")</f>
        <v>Baby Chef</v>
      </c>
      <c r="F629" s="17" t="str">
        <f>IFERROR(__xludf.DUMMYFUNCTION("""COMPUTED_VALUE"""),"Carrera 9 norte #9-12 Santa Clara popayan  / Santa Clara popayan  / Santa Clara popayan")</f>
        <v>Carrera 9 norte #9-12 Santa Clara popayan  / Santa Clara popayan  / Santa Clara popayan</v>
      </c>
      <c r="G629" s="15" t="str">
        <f>IFERROR(__xludf.DUMMYFUNCTION("""COMPUTED_VALUE"""),"Liz Andrea")</f>
        <v>Liz Andrea</v>
      </c>
      <c r="H629" s="18">
        <f>IFERROR(__xludf.DUMMYFUNCTION("""COMPUTED_VALUE"""),9264.0)</f>
        <v>9264</v>
      </c>
      <c r="I629" s="18">
        <f>IFERROR(__xludf.DUMMYFUNCTION("""COMPUTED_VALUE"""),8.0)</f>
        <v>8</v>
      </c>
      <c r="J629" s="18">
        <f>IFERROR(__xludf.DUMMYFUNCTION("""COMPUTED_VALUE"""),16.0)</f>
        <v>16</v>
      </c>
      <c r="K629" s="18">
        <f>IFERROR(__xludf.DUMMYFUNCTION("""COMPUTED_VALUE"""),20.0)</f>
        <v>20</v>
      </c>
      <c r="L629" s="17">
        <f>IFERROR(__xludf.DUMMYFUNCTION("""COMPUTED_VALUE"""),3.013214978E9)</f>
        <v>3013214978</v>
      </c>
      <c r="M629" s="17" t="str">
        <f>IFERROR(__xludf.DUMMYFUNCTION("""COMPUTED_VALUE"""),"#REF!")</f>
        <v>#REF!</v>
      </c>
      <c r="N629" s="17"/>
      <c r="O629" s="19" t="str">
        <f>IFERROR(__xludf.DUMMYFUNCTION("""COMPUTED_VALUE"""),"")</f>
        <v/>
      </c>
      <c r="P629" s="17" t="b">
        <f>IFERROR(__xludf.DUMMYFUNCTION("""COMPUTED_VALUE"""),FALSE)</f>
        <v>0</v>
      </c>
      <c r="Q629" s="20" t="str">
        <f>IFERROR(__xludf.DUMMYFUNCTION("""COMPUTED_VALUE"""),"")</f>
        <v/>
      </c>
      <c r="R629" s="22" t="str">
        <f>IFERROR(__xludf.DUMMYFUNCTION("""COMPUTED_VALUE"""),"")</f>
        <v/>
      </c>
    </row>
    <row r="630">
      <c r="A630" s="17" t="str">
        <f>IFERROR(__xludf.DUMMYFUNCTION("""COMPUTED_VALUE"""),"")</f>
        <v/>
      </c>
      <c r="B630" s="17" t="str">
        <f>IFERROR(__xludf.DUMMYFUNCTION("""COMPUTED_VALUE"""),"")</f>
        <v/>
      </c>
      <c r="C630" s="17" t="str">
        <f>IFERROR(__xludf.DUMMYFUNCTION("""COMPUTED_VALUE"""),"")</f>
        <v/>
      </c>
      <c r="D630" s="17" t="str">
        <f>IFERROR(__xludf.DUMMYFUNCTION("""COMPUTED_VALUE"""),"")</f>
        <v/>
      </c>
      <c r="E630" s="17" t="str">
        <f>IFERROR(__xludf.DUMMYFUNCTION("""COMPUTED_VALUE"""),"")</f>
        <v/>
      </c>
      <c r="F630" s="17" t="str">
        <f>IFERROR(__xludf.DUMMYFUNCTION("""COMPUTED_VALUE"""),"")</f>
        <v/>
      </c>
      <c r="G630" s="17" t="str">
        <f>IFERROR(__xludf.DUMMYFUNCTION("""COMPUTED_VALUE"""),"")</f>
        <v/>
      </c>
      <c r="H630" s="17" t="str">
        <f>IFERROR(__xludf.DUMMYFUNCTION("""COMPUTED_VALUE"""),"")</f>
        <v/>
      </c>
      <c r="I630" s="17" t="str">
        <f>IFERROR(__xludf.DUMMYFUNCTION("""COMPUTED_VALUE"""),"")</f>
        <v/>
      </c>
      <c r="J630" s="17" t="str">
        <f>IFERROR(__xludf.DUMMYFUNCTION("""COMPUTED_VALUE"""),"")</f>
        <v/>
      </c>
      <c r="K630" s="17" t="str">
        <f>IFERROR(__xludf.DUMMYFUNCTION("""COMPUTED_VALUE"""),"")</f>
        <v/>
      </c>
      <c r="L630" s="17" t="str">
        <f>IFERROR(__xludf.DUMMYFUNCTION("""COMPUTED_VALUE"""),"")</f>
        <v/>
      </c>
      <c r="M630" s="17" t="str">
        <f>IFERROR(__xludf.DUMMYFUNCTION("""COMPUTED_VALUE"""),"")</f>
        <v/>
      </c>
      <c r="N630" s="17" t="str">
        <f>IFERROR(__xludf.DUMMYFUNCTION("""COMPUTED_VALUE"""),"")</f>
        <v/>
      </c>
      <c r="O630" s="17" t="str">
        <f>IFERROR(__xludf.DUMMYFUNCTION("""COMPUTED_VALUE"""),"")</f>
        <v/>
      </c>
      <c r="P630" s="17" t="str">
        <f>IFERROR(__xludf.DUMMYFUNCTION("""COMPUTED_VALUE"""),"")</f>
        <v/>
      </c>
      <c r="Q630" s="17" t="str">
        <f>IFERROR(__xludf.DUMMYFUNCTION("""COMPUTED_VALUE"""),"")</f>
        <v/>
      </c>
      <c r="R630" s="17" t="str">
        <f>IFERROR(__xludf.DUMMYFUNCTION("""COMPUTED_VALUE"""),"")</f>
        <v/>
      </c>
    </row>
    <row r="631">
      <c r="A631" s="15">
        <f>IFERROR(__xludf.DUMMYFUNCTION("""COMPUTED_VALUE"""),45015.0)</f>
        <v>45015</v>
      </c>
      <c r="B631" s="16" t="str">
        <f>IFERROR(__xludf.DUMMYFUNCTION("""COMPUTED_VALUE"""),"Jonathan Steven Taborda")</f>
        <v>Jonathan Steven Taborda</v>
      </c>
      <c r="C631" s="15" t="str">
        <f>IFERROR(__xludf.DUMMYFUNCTION("""COMPUTED_VALUE"""),"ARMENIA")</f>
        <v>ARMENIA</v>
      </c>
      <c r="D631" s="15" t="str">
        <f>IFERROR(__xludf.DUMMYFUNCTION("""COMPUTED_VALUE"""),"MEDELLÍN")</f>
        <v>MEDELLÍN</v>
      </c>
      <c r="E631" s="15" t="str">
        <f>IFERROR(__xludf.DUMMYFUNCTION("""COMPUTED_VALUE"""),"AREPAS LA MARY")</f>
        <v>AREPAS LA MARY</v>
      </c>
      <c r="F631" s="17" t="str">
        <f>IFERROR(__xludf.DUMMYFUNCTION("""COMPUTED_VALUE"""),"calle 3ra norte # 15-10esquina")</f>
        <v>calle 3ra norte # 15-10esquina</v>
      </c>
      <c r="G631" s="15" t="str">
        <f>IFERROR(__xludf.DUMMYFUNCTION("""COMPUTED_VALUE"""),"ayni diseño de arte y cafe")</f>
        <v>ayni diseño de arte y cafe</v>
      </c>
      <c r="H631" s="18">
        <f>IFERROR(__xludf.DUMMYFUNCTION("""COMPUTED_VALUE"""),9206.0)</f>
        <v>9206</v>
      </c>
      <c r="I631" s="18">
        <f>IFERROR(__xludf.DUMMYFUNCTION("""COMPUTED_VALUE"""),89.0)</f>
        <v>89</v>
      </c>
      <c r="J631" s="18">
        <f>IFERROR(__xludf.DUMMYFUNCTION("""COMPUTED_VALUE"""),1.0)</f>
        <v>1</v>
      </c>
      <c r="K631" s="18">
        <f>IFERROR(__xludf.DUMMYFUNCTION("""COMPUTED_VALUE"""),10.0)</f>
        <v>10</v>
      </c>
      <c r="L631" s="17">
        <f>IFERROR(__xludf.DUMMYFUNCTION("""COMPUTED_VALUE"""),3.016571819E9)</f>
        <v>3016571819</v>
      </c>
      <c r="M631" s="17" t="str">
        <f>IFERROR(__xludf.DUMMYFUNCTION("""COMPUTED_VALUE"""),"#REF!")</f>
        <v>#REF!</v>
      </c>
      <c r="N631" s="17"/>
      <c r="O631" s="19" t="str">
        <f>IFERROR(__xludf.DUMMYFUNCTION("""COMPUTED_VALUE"""),"")</f>
        <v/>
      </c>
      <c r="P631" s="17" t="b">
        <f>IFERROR(__xludf.DUMMYFUNCTION("""COMPUTED_VALUE"""),TRUE)</f>
        <v>1</v>
      </c>
      <c r="Q631" s="20">
        <f>IFERROR(__xludf.DUMMYFUNCTION("""COMPUTED_VALUE"""),45015.43860465278)</f>
        <v>45015.4386</v>
      </c>
      <c r="R631" s="22" t="str">
        <f>IFERROR(__xludf.DUMMYFUNCTION("""COMPUTED_VALUE"""),"")</f>
        <v/>
      </c>
    </row>
    <row r="632">
      <c r="A632" s="15">
        <f>IFERROR(__xludf.DUMMYFUNCTION("""COMPUTED_VALUE"""),45015.0)</f>
        <v>45015</v>
      </c>
      <c r="B632" s="16" t="str">
        <f>IFERROR(__xludf.DUMMYFUNCTION("""COMPUTED_VALUE"""),"Jonathan Steven Taborda")</f>
        <v>Jonathan Steven Taborda</v>
      </c>
      <c r="C632" s="15" t="str">
        <f>IFERROR(__xludf.DUMMYFUNCTION("""COMPUTED_VALUE"""),"ARMENIA")</f>
        <v>ARMENIA</v>
      </c>
      <c r="D632" s="15" t="str">
        <f>IFERROR(__xludf.DUMMYFUNCTION("""COMPUTED_VALUE"""),"MEDELLÍN")</f>
        <v>MEDELLÍN</v>
      </c>
      <c r="E632" s="15" t="str">
        <f>IFERROR(__xludf.DUMMYFUNCTION("""COMPUTED_VALUE"""),"AREPAS LA MARY")</f>
        <v>AREPAS LA MARY</v>
      </c>
      <c r="F632" s="17" t="str">
        <f>IFERROR(__xludf.DUMMYFUNCTION("""COMPUTED_VALUE"""),"calle 7 # 21-17 barrio 60 casas")</f>
        <v>calle 7 # 21-17 barrio 60 casas</v>
      </c>
      <c r="G632" s="15" t="str">
        <f>IFERROR(__xludf.DUMMYFUNCTION("""COMPUTED_VALUE"""),"antojitos fit")</f>
        <v>antojitos fit</v>
      </c>
      <c r="H632" s="18">
        <f>IFERROR(__xludf.DUMMYFUNCTION("""COMPUTED_VALUE"""),9207.0)</f>
        <v>9207</v>
      </c>
      <c r="I632" s="18">
        <f>IFERROR(__xludf.DUMMYFUNCTION("""COMPUTED_VALUE"""),89.0)</f>
        <v>89</v>
      </c>
      <c r="J632" s="18">
        <f>IFERROR(__xludf.DUMMYFUNCTION("""COMPUTED_VALUE"""),1.0)</f>
        <v>1</v>
      </c>
      <c r="K632" s="18">
        <f>IFERROR(__xludf.DUMMYFUNCTION("""COMPUTED_VALUE"""),10.0)</f>
        <v>10</v>
      </c>
      <c r="L632" s="17">
        <f>IFERROR(__xludf.DUMMYFUNCTION("""COMPUTED_VALUE"""),3.204937012E9)</f>
        <v>3204937012</v>
      </c>
      <c r="M632" s="17" t="str">
        <f>IFERROR(__xludf.DUMMYFUNCTION("""COMPUTED_VALUE"""),"#REF!")</f>
        <v>#REF!</v>
      </c>
      <c r="N632" s="17"/>
      <c r="O632" s="19" t="str">
        <f>IFERROR(__xludf.DUMMYFUNCTION("""COMPUTED_VALUE"""),"")</f>
        <v/>
      </c>
      <c r="P632" s="17" t="b">
        <f>IFERROR(__xludf.DUMMYFUNCTION("""COMPUTED_VALUE"""),TRUE)</f>
        <v>1</v>
      </c>
      <c r="Q632" s="20">
        <f>IFERROR(__xludf.DUMMYFUNCTION("""COMPUTED_VALUE"""),45015.48542891204)</f>
        <v>45015.48543</v>
      </c>
      <c r="R632" s="22" t="str">
        <f>IFERROR(__xludf.DUMMYFUNCTION("""COMPUTED_VALUE"""),"")</f>
        <v/>
      </c>
    </row>
    <row r="633">
      <c r="A633" s="15">
        <f>IFERROR(__xludf.DUMMYFUNCTION("""COMPUTED_VALUE"""),45015.0)</f>
        <v>45015</v>
      </c>
      <c r="B633" s="16" t="str">
        <f>IFERROR(__xludf.DUMMYFUNCTION("""COMPUTED_VALUE"""),"Jonathan Steven Taborda")</f>
        <v>Jonathan Steven Taborda</v>
      </c>
      <c r="C633" s="15" t="str">
        <f>IFERROR(__xludf.DUMMYFUNCTION("""COMPUTED_VALUE"""),"ARMENIA")</f>
        <v>ARMENIA</v>
      </c>
      <c r="D633" s="15" t="str">
        <f>IFERROR(__xludf.DUMMYFUNCTION("""COMPUTED_VALUE"""),"MEDELLÍN")</f>
        <v>MEDELLÍN</v>
      </c>
      <c r="E633" s="15" t="str">
        <f>IFERROR(__xludf.DUMMYFUNCTION("""COMPUTED_VALUE"""),"Baby Chef")</f>
        <v>Baby Chef</v>
      </c>
      <c r="F633" s="17" t="str">
        <f>IFERROR(__xludf.DUMMYFUNCTION("""COMPUTED_VALUE"""),"CONDOMINIO SINDAMANOY KM 1 VIA EL CAIMO - LA TEBAIDA, CASA 1, BARRIO EL CAIMO  / ARMENIA  / ARMENIA")</f>
        <v>CONDOMINIO SINDAMANOY KM 1 VIA EL CAIMO - LA TEBAIDA, CASA 1, BARRIO EL CAIMO  / ARMENIA  / ARMENIA</v>
      </c>
      <c r="G633" s="15" t="str">
        <f>IFERROR(__xludf.DUMMYFUNCTION("""COMPUTED_VALUE"""),"Lina Montenegro")</f>
        <v>Lina Montenegro</v>
      </c>
      <c r="H633" s="18">
        <f>IFERROR(__xludf.DUMMYFUNCTION("""COMPUTED_VALUE"""),9309.0)</f>
        <v>9309</v>
      </c>
      <c r="I633" s="18">
        <f>IFERROR(__xludf.DUMMYFUNCTION("""COMPUTED_VALUE"""),8.0)</f>
        <v>8</v>
      </c>
      <c r="J633" s="18">
        <f>IFERROR(__xludf.DUMMYFUNCTION("""COMPUTED_VALUE"""),16.0)</f>
        <v>16</v>
      </c>
      <c r="K633" s="18">
        <f>IFERROR(__xludf.DUMMYFUNCTION("""COMPUTED_VALUE"""),20.0)</f>
        <v>20</v>
      </c>
      <c r="L633" s="17">
        <f>IFERROR(__xludf.DUMMYFUNCTION("""COMPUTED_VALUE"""),3.115103774E9)</f>
        <v>3115103774</v>
      </c>
      <c r="M633" s="17" t="str">
        <f>IFERROR(__xludf.DUMMYFUNCTION("""COMPUTED_VALUE"""),"#REF!")</f>
        <v>#REF!</v>
      </c>
      <c r="N633" s="17"/>
      <c r="O633" s="19" t="str">
        <f>IFERROR(__xludf.DUMMYFUNCTION("""COMPUTED_VALUE"""),"")</f>
        <v/>
      </c>
      <c r="P633" s="17" t="b">
        <f>IFERROR(__xludf.DUMMYFUNCTION("""COMPUTED_VALUE"""),TRUE)</f>
        <v>1</v>
      </c>
      <c r="Q633" s="20">
        <f>IFERROR(__xludf.DUMMYFUNCTION("""COMPUTED_VALUE"""),45015.48140104167)</f>
        <v>45015.4814</v>
      </c>
      <c r="R633" s="22" t="str">
        <f>IFERROR(__xludf.DUMMYFUNCTION("""COMPUTED_VALUE"""),"")</f>
        <v/>
      </c>
    </row>
    <row r="634">
      <c r="A634" s="15">
        <f>IFERROR(__xludf.DUMMYFUNCTION("""COMPUTED_VALUE"""),45015.0)</f>
        <v>45015</v>
      </c>
      <c r="B634" s="16" t="str">
        <f>IFERROR(__xludf.DUMMYFUNCTION("""COMPUTED_VALUE"""),"Jonathan Steven Taborda")</f>
        <v>Jonathan Steven Taborda</v>
      </c>
      <c r="C634" s="15" t="str">
        <f>IFERROR(__xludf.DUMMYFUNCTION("""COMPUTED_VALUE"""),"VILLAVICENCIO")</f>
        <v>VILLAVICENCIO</v>
      </c>
      <c r="D634" s="15" t="str">
        <f>IFERROR(__xludf.DUMMYFUNCTION("""COMPUTED_VALUE"""),"BOGOTÁ")</f>
        <v>BOGOTÁ</v>
      </c>
      <c r="E634" s="15" t="str">
        <f>IFERROR(__xludf.DUMMYFUNCTION("""COMPUTED_VALUE"""),"Top Spun")</f>
        <v>Top Spun</v>
      </c>
      <c r="F634" s="17" t="str">
        <f>IFERROR(__xludf.DUMMYFUNCTION("""COMPUTED_VALUE"""),"Cra 48 #44-77 / conjunto cambulos 1 casa 16  / Villavicencio meta")</f>
        <v>Cra 48 #44-77 / conjunto cambulos 1 casa 16  / Villavicencio meta</v>
      </c>
      <c r="G634" s="15">
        <f>IFERROR(__xludf.DUMMYFUNCTION("""COMPUTED_VALUE"""),1.018436858E9)</f>
        <v>1018436858</v>
      </c>
      <c r="H634" s="18">
        <f>IFERROR(__xludf.DUMMYFUNCTION("""COMPUTED_VALUE"""),9280.0)</f>
        <v>9280</v>
      </c>
      <c r="I634" s="18">
        <f>IFERROR(__xludf.DUMMYFUNCTION("""COMPUTED_VALUE"""),20.0)</f>
        <v>20</v>
      </c>
      <c r="J634" s="18">
        <f>IFERROR(__xludf.DUMMYFUNCTION("""COMPUTED_VALUE"""),40.0)</f>
        <v>40</v>
      </c>
      <c r="K634" s="18">
        <f>IFERROR(__xludf.DUMMYFUNCTION("""COMPUTED_VALUE"""),10.0)</f>
        <v>10</v>
      </c>
      <c r="L634" s="17">
        <f>IFERROR(__xludf.DUMMYFUNCTION("""COMPUTED_VALUE"""),3.11828827E9)</f>
        <v>3118288270</v>
      </c>
      <c r="M634" s="17" t="str">
        <f>IFERROR(__xludf.DUMMYFUNCTION("""COMPUTED_VALUE"""),"#REF!")</f>
        <v>#REF!</v>
      </c>
      <c r="N634" s="17"/>
      <c r="O634" s="19" t="str">
        <f>IFERROR(__xludf.DUMMYFUNCTION("""COMPUTED_VALUE"""),"")</f>
        <v/>
      </c>
      <c r="P634" s="17" t="b">
        <f>IFERROR(__xludf.DUMMYFUNCTION("""COMPUTED_VALUE"""),FALSE)</f>
        <v>0</v>
      </c>
      <c r="Q634" s="20" t="str">
        <f>IFERROR(__xludf.DUMMYFUNCTION("""COMPUTED_VALUE"""),"")</f>
        <v/>
      </c>
      <c r="R634" s="22" t="str">
        <f>IFERROR(__xludf.DUMMYFUNCTION("""COMPUTED_VALUE"""),"")</f>
        <v/>
      </c>
    </row>
    <row r="635">
      <c r="A635" s="17" t="str">
        <f>IFERROR(__xludf.DUMMYFUNCTION("""COMPUTED_VALUE"""),"")</f>
        <v/>
      </c>
      <c r="B635" s="17" t="str">
        <f>IFERROR(__xludf.DUMMYFUNCTION("""COMPUTED_VALUE"""),"")</f>
        <v/>
      </c>
      <c r="C635" s="17" t="str">
        <f>IFERROR(__xludf.DUMMYFUNCTION("""COMPUTED_VALUE"""),"")</f>
        <v/>
      </c>
      <c r="D635" s="17" t="str">
        <f>IFERROR(__xludf.DUMMYFUNCTION("""COMPUTED_VALUE"""),"")</f>
        <v/>
      </c>
      <c r="E635" s="17" t="str">
        <f>IFERROR(__xludf.DUMMYFUNCTION("""COMPUTED_VALUE"""),"")</f>
        <v/>
      </c>
      <c r="F635" s="17" t="str">
        <f>IFERROR(__xludf.DUMMYFUNCTION("""COMPUTED_VALUE"""),"")</f>
        <v/>
      </c>
      <c r="G635" s="17" t="str">
        <f>IFERROR(__xludf.DUMMYFUNCTION("""COMPUTED_VALUE"""),"")</f>
        <v/>
      </c>
      <c r="H635" s="17" t="str">
        <f>IFERROR(__xludf.DUMMYFUNCTION("""COMPUTED_VALUE"""),"")</f>
        <v/>
      </c>
      <c r="I635" s="17" t="str">
        <f>IFERROR(__xludf.DUMMYFUNCTION("""COMPUTED_VALUE"""),"")</f>
        <v/>
      </c>
      <c r="J635" s="17" t="str">
        <f>IFERROR(__xludf.DUMMYFUNCTION("""COMPUTED_VALUE"""),"")</f>
        <v/>
      </c>
      <c r="K635" s="17" t="str">
        <f>IFERROR(__xludf.DUMMYFUNCTION("""COMPUTED_VALUE"""),"")</f>
        <v/>
      </c>
      <c r="L635" s="17" t="str">
        <f>IFERROR(__xludf.DUMMYFUNCTION("""COMPUTED_VALUE"""),"")</f>
        <v/>
      </c>
      <c r="M635" s="17" t="str">
        <f>IFERROR(__xludf.DUMMYFUNCTION("""COMPUTED_VALUE"""),"")</f>
        <v/>
      </c>
      <c r="N635" s="17" t="str">
        <f>IFERROR(__xludf.DUMMYFUNCTION("""COMPUTED_VALUE"""),"")</f>
        <v/>
      </c>
      <c r="O635" s="17" t="str">
        <f>IFERROR(__xludf.DUMMYFUNCTION("""COMPUTED_VALUE"""),"")</f>
        <v/>
      </c>
      <c r="P635" s="17" t="str">
        <f>IFERROR(__xludf.DUMMYFUNCTION("""COMPUTED_VALUE"""),"")</f>
        <v/>
      </c>
      <c r="Q635" s="17" t="str">
        <f>IFERROR(__xludf.DUMMYFUNCTION("""COMPUTED_VALUE"""),"")</f>
        <v/>
      </c>
      <c r="R635" s="17" t="str">
        <f>IFERROR(__xludf.DUMMYFUNCTION("""COMPUTED_VALUE"""),"")</f>
        <v/>
      </c>
    </row>
    <row r="636">
      <c r="A636" s="15">
        <f>IFERROR(__xludf.DUMMYFUNCTION("""COMPUTED_VALUE"""),45015.0)</f>
        <v>45015</v>
      </c>
      <c r="B636" s="16" t="str">
        <f>IFERROR(__xludf.DUMMYFUNCTION("""COMPUTED_VALUE"""),"Julian Calderon Rodriguez ")</f>
        <v>Julian Calderon Rodriguez </v>
      </c>
      <c r="C636" s="15" t="str">
        <f>IFERROR(__xludf.DUMMYFUNCTION("""COMPUTED_VALUE"""),"NEIVA")</f>
        <v>NEIVA</v>
      </c>
      <c r="D636" s="15" t="str">
        <f>IFERROR(__xludf.DUMMYFUNCTION("""COMPUTED_VALUE"""),"MEDELLÍN")</f>
        <v>MEDELLÍN</v>
      </c>
      <c r="E636" s="15" t="str">
        <f>IFERROR(__xludf.DUMMYFUNCTION("""COMPUTED_VALUE"""),"Baby Chef")</f>
        <v>Baby Chef</v>
      </c>
      <c r="F636" s="17" t="str">
        <f>IFERROR(__xludf.DUMMYFUNCTION("""COMPUTED_VALUE"""),"Cra 46 # 6 - 29  Conjunto antawara apto 303, barrio Ipanema / Conjunto antawara apto 303, barrio Ipanema / Conjunto antawara apto 303, barrio Ipanema")</f>
        <v>Cra 46 # 6 - 29  Conjunto antawara apto 303, barrio Ipanema / Conjunto antawara apto 303, barrio Ipanema / Conjunto antawara apto 303, barrio Ipanema</v>
      </c>
      <c r="G636" s="15" t="str">
        <f>IFERROR(__xludf.DUMMYFUNCTION("""COMPUTED_VALUE"""),"Maria Paola Cardenas Sandoval")</f>
        <v>Maria Paola Cardenas Sandoval</v>
      </c>
      <c r="H636" s="18">
        <f>IFERROR(__xludf.DUMMYFUNCTION("""COMPUTED_VALUE"""),9275.0)</f>
        <v>9275</v>
      </c>
      <c r="I636" s="18">
        <f>IFERROR(__xludf.DUMMYFUNCTION("""COMPUTED_VALUE"""),8.0)</f>
        <v>8</v>
      </c>
      <c r="J636" s="18">
        <f>IFERROR(__xludf.DUMMYFUNCTION("""COMPUTED_VALUE"""),16.0)</f>
        <v>16</v>
      </c>
      <c r="K636" s="18">
        <f>IFERROR(__xludf.DUMMYFUNCTION("""COMPUTED_VALUE"""),20.0)</f>
        <v>20</v>
      </c>
      <c r="L636" s="17">
        <f>IFERROR(__xludf.DUMMYFUNCTION("""COMPUTED_VALUE"""),3.10578461E9)</f>
        <v>3105784610</v>
      </c>
      <c r="M636" s="17" t="str">
        <f>IFERROR(__xludf.DUMMYFUNCTION("""COMPUTED_VALUE"""),"#REF!")</f>
        <v>#REF!</v>
      </c>
      <c r="N636" s="17"/>
      <c r="O636" s="19" t="str">
        <f>IFERROR(__xludf.DUMMYFUNCTION("""COMPUTED_VALUE"""),"")</f>
        <v/>
      </c>
      <c r="P636" s="17" t="b">
        <f>IFERROR(__xludf.DUMMYFUNCTION("""COMPUTED_VALUE"""),TRUE)</f>
        <v>1</v>
      </c>
      <c r="Q636" s="20">
        <f>IFERROR(__xludf.DUMMYFUNCTION("""COMPUTED_VALUE"""),45015.48142611111)</f>
        <v>45015.48143</v>
      </c>
      <c r="R636" s="22" t="str">
        <f>IFERROR(__xludf.DUMMYFUNCTION("""COMPUTED_VALUE"""),"")</f>
        <v/>
      </c>
    </row>
    <row r="637">
      <c r="A637" s="15">
        <f>IFERROR(__xludf.DUMMYFUNCTION("""COMPUTED_VALUE"""),45015.0)</f>
        <v>45015</v>
      </c>
      <c r="B637" s="16" t="str">
        <f>IFERROR(__xludf.DUMMYFUNCTION("""COMPUTED_VALUE"""),"Julian Calderon Rodriguez ")</f>
        <v>Julian Calderon Rodriguez </v>
      </c>
      <c r="C637" s="15" t="str">
        <f>IFERROR(__xludf.DUMMYFUNCTION("""COMPUTED_VALUE"""),"VILLAVICENCIO")</f>
        <v>VILLAVICENCIO</v>
      </c>
      <c r="D637" s="15" t="str">
        <f>IFERROR(__xludf.DUMMYFUNCTION("""COMPUTED_VALUE"""),"BOGOTÁ")</f>
        <v>BOGOTÁ</v>
      </c>
      <c r="E637" s="15" t="str">
        <f>IFERROR(__xludf.DUMMYFUNCTION("""COMPUTED_VALUE"""),"Evamazzita")</f>
        <v>Evamazzita</v>
      </c>
      <c r="F637" s="17" t="str">
        <f>IFERROR(__xludf.DUMMYFUNCTION("""COMPUTED_VALUE"""),"Conjunto ciudad salitre  / casa b20  / Salitre")</f>
        <v>Conjunto ciudad salitre  / casa b20  / Salitre</v>
      </c>
      <c r="G637" s="15" t="str">
        <f>IFERROR(__xludf.DUMMYFUNCTION("""COMPUTED_VALUE"""),"ERIKA LUZMID PARRADO")</f>
        <v>ERIKA LUZMID PARRADO</v>
      </c>
      <c r="H637" s="18">
        <f>IFERROR(__xludf.DUMMYFUNCTION("""COMPUTED_VALUE"""),9289.0)</f>
        <v>9289</v>
      </c>
      <c r="I637" s="18">
        <f>IFERROR(__xludf.DUMMYFUNCTION("""COMPUTED_VALUE"""),6.0)</f>
        <v>6</v>
      </c>
      <c r="J637" s="18">
        <f>IFERROR(__xludf.DUMMYFUNCTION("""COMPUTED_VALUE"""),21.0)</f>
        <v>21</v>
      </c>
      <c r="K637" s="18">
        <f>IFERROR(__xludf.DUMMYFUNCTION("""COMPUTED_VALUE"""),14.0)</f>
        <v>14</v>
      </c>
      <c r="L637" s="17">
        <f>IFERROR(__xludf.DUMMYFUNCTION("""COMPUTED_VALUE"""),3.203493182E9)</f>
        <v>3203493182</v>
      </c>
      <c r="M637" s="17" t="str">
        <f>IFERROR(__xludf.DUMMYFUNCTION("""COMPUTED_VALUE"""),"#REF!")</f>
        <v>#REF!</v>
      </c>
      <c r="N637" s="17"/>
      <c r="O637" s="19" t="str">
        <f>IFERROR(__xludf.DUMMYFUNCTION("""COMPUTED_VALUE"""),"")</f>
        <v/>
      </c>
      <c r="P637" s="17" t="b">
        <f>IFERROR(__xludf.DUMMYFUNCTION("""COMPUTED_VALUE"""),FALSE)</f>
        <v>0</v>
      </c>
      <c r="Q637" s="20" t="str">
        <f>IFERROR(__xludf.DUMMYFUNCTION("""COMPUTED_VALUE"""),"")</f>
        <v/>
      </c>
      <c r="R637" s="22" t="str">
        <f>IFERROR(__xludf.DUMMYFUNCTION("""COMPUTED_VALUE"""),"")</f>
        <v/>
      </c>
    </row>
    <row r="638">
      <c r="A638" s="17" t="str">
        <f>IFERROR(__xludf.DUMMYFUNCTION("""COMPUTED_VALUE"""),"")</f>
        <v/>
      </c>
      <c r="B638" s="17" t="str">
        <f>IFERROR(__xludf.DUMMYFUNCTION("""COMPUTED_VALUE"""),"")</f>
        <v/>
      </c>
      <c r="C638" s="17" t="str">
        <f>IFERROR(__xludf.DUMMYFUNCTION("""COMPUTED_VALUE"""),"")</f>
        <v/>
      </c>
      <c r="D638" s="17" t="str">
        <f>IFERROR(__xludf.DUMMYFUNCTION("""COMPUTED_VALUE"""),"")</f>
        <v/>
      </c>
      <c r="E638" s="17" t="str">
        <f>IFERROR(__xludf.DUMMYFUNCTION("""COMPUTED_VALUE"""),"")</f>
        <v/>
      </c>
      <c r="F638" s="17" t="str">
        <f>IFERROR(__xludf.DUMMYFUNCTION("""COMPUTED_VALUE"""),"")</f>
        <v/>
      </c>
      <c r="G638" s="17" t="str">
        <f>IFERROR(__xludf.DUMMYFUNCTION("""COMPUTED_VALUE"""),"")</f>
        <v/>
      </c>
      <c r="H638" s="17" t="str">
        <f>IFERROR(__xludf.DUMMYFUNCTION("""COMPUTED_VALUE"""),"")</f>
        <v/>
      </c>
      <c r="I638" s="17" t="str">
        <f>IFERROR(__xludf.DUMMYFUNCTION("""COMPUTED_VALUE"""),"")</f>
        <v/>
      </c>
      <c r="J638" s="17" t="str">
        <f>IFERROR(__xludf.DUMMYFUNCTION("""COMPUTED_VALUE"""),"")</f>
        <v/>
      </c>
      <c r="K638" s="17" t="str">
        <f>IFERROR(__xludf.DUMMYFUNCTION("""COMPUTED_VALUE"""),"")</f>
        <v/>
      </c>
      <c r="L638" s="17" t="str">
        <f>IFERROR(__xludf.DUMMYFUNCTION("""COMPUTED_VALUE"""),"")</f>
        <v/>
      </c>
      <c r="M638" s="17" t="str">
        <f>IFERROR(__xludf.DUMMYFUNCTION("""COMPUTED_VALUE"""),"")</f>
        <v/>
      </c>
      <c r="N638" s="17" t="str">
        <f>IFERROR(__xludf.DUMMYFUNCTION("""COMPUTED_VALUE"""),"")</f>
        <v/>
      </c>
      <c r="O638" s="17" t="str">
        <f>IFERROR(__xludf.DUMMYFUNCTION("""COMPUTED_VALUE"""),"")</f>
        <v/>
      </c>
      <c r="P638" s="17" t="str">
        <f>IFERROR(__xludf.DUMMYFUNCTION("""COMPUTED_VALUE"""),"")</f>
        <v/>
      </c>
      <c r="Q638" s="17" t="str">
        <f>IFERROR(__xludf.DUMMYFUNCTION("""COMPUTED_VALUE"""),"")</f>
        <v/>
      </c>
      <c r="R638" s="17" t="str">
        <f>IFERROR(__xludf.DUMMYFUNCTION("""COMPUTED_VALUE"""),"")</f>
        <v/>
      </c>
    </row>
    <row r="639">
      <c r="A639" s="15">
        <f>IFERROR(__xludf.DUMMYFUNCTION("""COMPUTED_VALUE"""),45016.0)</f>
        <v>45016</v>
      </c>
      <c r="B639" s="16" t="str">
        <f>IFERROR(__xludf.DUMMYFUNCTION("""COMPUTED_VALUE"""),"Daniel José sandoval gonzalez")</f>
        <v>Daniel José sandoval gonzalez</v>
      </c>
      <c r="C639" s="15" t="str">
        <f>IFERROR(__xludf.DUMMYFUNCTION("""COMPUTED_VALUE"""),"BARRANQUILLA")</f>
        <v>BARRANQUILLA</v>
      </c>
      <c r="D639" s="15" t="str">
        <f>IFERROR(__xludf.DUMMYFUNCTION("""COMPUTED_VALUE"""),"BOGOTÁ")</f>
        <v>BOGOTÁ</v>
      </c>
      <c r="E639" s="15" t="str">
        <f>IFERROR(__xludf.DUMMYFUNCTION("""COMPUTED_VALUE"""),"Evamazzita")</f>
        <v>Evamazzita</v>
      </c>
      <c r="F639" s="17" t="str">
        <f>IFERROR(__xludf.DUMMYFUNCTION("""COMPUTED_VALUE"""),"Calle 116#42b -91  / Int 15 AP 658 Conjunto Golondrina   / Alameda del Río")</f>
        <v>Calle 116#42b -91  / Int 15 AP 658 Conjunto Golondrina   / Alameda del Río</v>
      </c>
      <c r="G639" s="15" t="str">
        <f>IFERROR(__xludf.DUMMYFUNCTION("""COMPUTED_VALUE"""),"LUCELLY ALEXA ROMERO SIERRA")</f>
        <v>LUCELLY ALEXA ROMERO SIERRA</v>
      </c>
      <c r="H639" s="18">
        <f>IFERROR(__xludf.DUMMYFUNCTION("""COMPUTED_VALUE"""),9304.0)</f>
        <v>9304</v>
      </c>
      <c r="I639" s="18">
        <f>IFERROR(__xludf.DUMMYFUNCTION("""COMPUTED_VALUE"""),3.0)</f>
        <v>3</v>
      </c>
      <c r="J639" s="18">
        <f>IFERROR(__xludf.DUMMYFUNCTION("""COMPUTED_VALUE"""),20.0)</f>
        <v>20</v>
      </c>
      <c r="K639" s="18">
        <f>IFERROR(__xludf.DUMMYFUNCTION("""COMPUTED_VALUE"""),15.0)</f>
        <v>15</v>
      </c>
      <c r="L639" s="17">
        <f>IFERROR(__xludf.DUMMYFUNCTION("""COMPUTED_VALUE"""),3.004001078E9)</f>
        <v>3004001078</v>
      </c>
      <c r="M639" s="17" t="str">
        <f>IFERROR(__xludf.DUMMYFUNCTION("""COMPUTED_VALUE"""),"#REF!")</f>
        <v>#REF!</v>
      </c>
      <c r="N639" s="17"/>
      <c r="O639" s="19" t="str">
        <f>IFERROR(__xludf.DUMMYFUNCTION("""COMPUTED_VALUE"""),"")</f>
        <v/>
      </c>
      <c r="P639" s="17" t="b">
        <f>IFERROR(__xludf.DUMMYFUNCTION("""COMPUTED_VALUE"""),TRUE)</f>
        <v>1</v>
      </c>
      <c r="Q639" s="20">
        <f>IFERROR(__xludf.DUMMYFUNCTION("""COMPUTED_VALUE"""),45016.40842782408)</f>
        <v>45016.40843</v>
      </c>
      <c r="R639" s="22" t="str">
        <f>IFERROR(__xludf.DUMMYFUNCTION("""COMPUTED_VALUE"""),"")</f>
        <v/>
      </c>
    </row>
    <row r="640">
      <c r="A640" s="15">
        <f>IFERROR(__xludf.DUMMYFUNCTION("""COMPUTED_VALUE"""),45016.0)</f>
        <v>45016</v>
      </c>
      <c r="B640" s="16" t="str">
        <f>IFERROR(__xludf.DUMMYFUNCTION("""COMPUTED_VALUE"""),"Daniel José sandoval gonzalez")</f>
        <v>Daniel José sandoval gonzalez</v>
      </c>
      <c r="C640" s="15" t="str">
        <f>IFERROR(__xludf.DUMMYFUNCTION("""COMPUTED_VALUE"""),"BARRANQUILLA")</f>
        <v>BARRANQUILLA</v>
      </c>
      <c r="D640" s="15" t="str">
        <f>IFERROR(__xludf.DUMMYFUNCTION("""COMPUTED_VALUE"""),"BOGOTÁ")</f>
        <v>BOGOTÁ</v>
      </c>
      <c r="E640" s="15" t="str">
        <f>IFERROR(__xludf.DUMMYFUNCTION("""COMPUTED_VALUE"""),"Evamazzita")</f>
        <v>Evamazzita</v>
      </c>
      <c r="F640" s="17" t="str">
        <f>IFERROR(__xludf.DUMMYFUNCTION("""COMPUTED_VALUE"""),"Carrera 21 # 47B-58  / Apto 101  / Barrio el Carmen")</f>
        <v>Carrera 21 # 47B-58  / Apto 101  / Barrio el Carmen</v>
      </c>
      <c r="G640" s="15" t="str">
        <f>IFERROR(__xludf.DUMMYFUNCTION("""COMPUTED_VALUE"""),"MARIANELLA OVIEDO")</f>
        <v>MARIANELLA OVIEDO</v>
      </c>
      <c r="H640" s="18">
        <f>IFERROR(__xludf.DUMMYFUNCTION("""COMPUTED_VALUE"""),9305.0)</f>
        <v>9305</v>
      </c>
      <c r="I640" s="18">
        <f>IFERROR(__xludf.DUMMYFUNCTION("""COMPUTED_VALUE"""),3.0)</f>
        <v>3</v>
      </c>
      <c r="J640" s="18">
        <f>IFERROR(__xludf.DUMMYFUNCTION("""COMPUTED_VALUE"""),20.0)</f>
        <v>20</v>
      </c>
      <c r="K640" s="18">
        <f>IFERROR(__xludf.DUMMYFUNCTION("""COMPUTED_VALUE"""),15.0)</f>
        <v>15</v>
      </c>
      <c r="L640" s="17">
        <f>IFERROR(__xludf.DUMMYFUNCTION("""COMPUTED_VALUE"""),3.017236905E9)</f>
        <v>3017236905</v>
      </c>
      <c r="M640" s="17" t="str">
        <f>IFERROR(__xludf.DUMMYFUNCTION("""COMPUTED_VALUE"""),"#REF!")</f>
        <v>#REF!</v>
      </c>
      <c r="N640" s="17"/>
      <c r="O640" s="19" t="str">
        <f>IFERROR(__xludf.DUMMYFUNCTION("""COMPUTED_VALUE"""),"")</f>
        <v/>
      </c>
      <c r="P640" s="17" t="b">
        <f>IFERROR(__xludf.DUMMYFUNCTION("""COMPUTED_VALUE"""),TRUE)</f>
        <v>1</v>
      </c>
      <c r="Q640" s="20">
        <f>IFERROR(__xludf.DUMMYFUNCTION("""COMPUTED_VALUE"""),45016.42065)</f>
        <v>45016.42065</v>
      </c>
      <c r="R640" s="22" t="str">
        <f>IFERROR(__xludf.DUMMYFUNCTION("""COMPUTED_VALUE"""),"")</f>
        <v/>
      </c>
    </row>
    <row r="641">
      <c r="A641" s="15">
        <f>IFERROR(__xludf.DUMMYFUNCTION("""COMPUTED_VALUE"""),45016.0)</f>
        <v>45016</v>
      </c>
      <c r="B641" s="16" t="str">
        <f>IFERROR(__xludf.DUMMYFUNCTION("""COMPUTED_VALUE"""),"Daniel José sandoval gonzalez")</f>
        <v>Daniel José sandoval gonzalez</v>
      </c>
      <c r="C641" s="15" t="str">
        <f>IFERROR(__xludf.DUMMYFUNCTION("""COMPUTED_VALUE"""),"BARRANQUILLA")</f>
        <v>BARRANQUILLA</v>
      </c>
      <c r="D641" s="15" t="str">
        <f>IFERROR(__xludf.DUMMYFUNCTION("""COMPUTED_VALUE"""),"BOGOTÁ")</f>
        <v>BOGOTÁ</v>
      </c>
      <c r="E641" s="15" t="str">
        <f>IFERROR(__xludf.DUMMYFUNCTION("""COMPUTED_VALUE"""),"Evamazzita")</f>
        <v>Evamazzita</v>
      </c>
      <c r="F641" s="17" t="str">
        <f>IFERROR(__xludf.DUMMYFUNCTION("""COMPUTED_VALUE"""),"carrera 50 # 46-93  / piso 2 apto 1  / entrada principal por la calle 47 (edificio de color blanco de esquina)  Barrio abajo")</f>
        <v>carrera 50 # 46-93  / piso 2 apto 1  / entrada principal por la calle 47 (edificio de color blanco de esquina)  Barrio abajo</v>
      </c>
      <c r="G641" s="15" t="str">
        <f>IFERROR(__xludf.DUMMYFUNCTION("""COMPUTED_VALUE"""),"IVETH BARRERA REINA")</f>
        <v>IVETH BARRERA REINA</v>
      </c>
      <c r="H641" s="18">
        <f>IFERROR(__xludf.DUMMYFUNCTION("""COMPUTED_VALUE"""),9303.0)</f>
        <v>9303</v>
      </c>
      <c r="I641" s="18">
        <f>IFERROR(__xludf.DUMMYFUNCTION("""COMPUTED_VALUE"""),10.0)</f>
        <v>10</v>
      </c>
      <c r="J641" s="18">
        <f>IFERROR(__xludf.DUMMYFUNCTION("""COMPUTED_VALUE"""),18.0)</f>
        <v>18</v>
      </c>
      <c r="K641" s="18">
        <f>IFERROR(__xludf.DUMMYFUNCTION("""COMPUTED_VALUE"""),22.0)</f>
        <v>22</v>
      </c>
      <c r="L641" s="17">
        <f>IFERROR(__xludf.DUMMYFUNCTION("""COMPUTED_VALUE"""),3.013669213E9)</f>
        <v>3013669213</v>
      </c>
      <c r="M641" s="17" t="str">
        <f>IFERROR(__xludf.DUMMYFUNCTION("""COMPUTED_VALUE"""),"#REF!")</f>
        <v>#REF!</v>
      </c>
      <c r="N641" s="17"/>
      <c r="O641" s="19" t="str">
        <f>IFERROR(__xludf.DUMMYFUNCTION("""COMPUTED_VALUE"""),"")</f>
        <v/>
      </c>
      <c r="P641" s="17" t="b">
        <f>IFERROR(__xludf.DUMMYFUNCTION("""COMPUTED_VALUE"""),TRUE)</f>
        <v>1</v>
      </c>
      <c r="Q641" s="20">
        <f>IFERROR(__xludf.DUMMYFUNCTION("""COMPUTED_VALUE"""),45016.71394215278)</f>
        <v>45016.71394</v>
      </c>
      <c r="R641" s="22" t="str">
        <f>IFERROR(__xludf.DUMMYFUNCTION("""COMPUTED_VALUE"""),"")</f>
        <v/>
      </c>
    </row>
    <row r="642">
      <c r="A642" s="15">
        <f>IFERROR(__xludf.DUMMYFUNCTION("""COMPUTED_VALUE"""),45016.0)</f>
        <v>45016</v>
      </c>
      <c r="B642" s="16" t="str">
        <f>IFERROR(__xludf.DUMMYFUNCTION("""COMPUTED_VALUE"""),"Daniel José sandoval gonzalez")</f>
        <v>Daniel José sandoval gonzalez</v>
      </c>
      <c r="C642" s="15" t="str">
        <f>IFERROR(__xludf.DUMMYFUNCTION("""COMPUTED_VALUE"""),"BARRANQUILLA")</f>
        <v>BARRANQUILLA</v>
      </c>
      <c r="D642" s="15" t="str">
        <f>IFERROR(__xludf.DUMMYFUNCTION("""COMPUTED_VALUE"""),"BOGOTÁ")</f>
        <v>BOGOTÁ</v>
      </c>
      <c r="E642" s="15" t="str">
        <f>IFERROR(__xludf.DUMMYFUNCTION("""COMPUTED_VALUE"""),"Evamazzita")</f>
        <v>Evamazzita</v>
      </c>
      <c r="F642" s="17" t="str">
        <f>IFERROR(__xludf.DUMMYFUNCTION("""COMPUTED_VALUE"""),"Cra 42f no 79 60  / ap 304  / Ciudad jardin")</f>
        <v>Cra 42f no 79 60  / ap 304  / Ciudad jardin</v>
      </c>
      <c r="G642" s="15" t="str">
        <f>IFERROR(__xludf.DUMMYFUNCTION("""COMPUTED_VALUE"""),"MARGARITA SILVA GARCIA")</f>
        <v>MARGARITA SILVA GARCIA</v>
      </c>
      <c r="H642" s="18">
        <f>IFERROR(__xludf.DUMMYFUNCTION("""COMPUTED_VALUE"""),9301.0)</f>
        <v>9301</v>
      </c>
      <c r="I642" s="18">
        <f>IFERROR(__xludf.DUMMYFUNCTION("""COMPUTED_VALUE"""),3.0)</f>
        <v>3</v>
      </c>
      <c r="J642" s="18">
        <f>IFERROR(__xludf.DUMMYFUNCTION("""COMPUTED_VALUE"""),15.0)</f>
        <v>15</v>
      </c>
      <c r="K642" s="18">
        <f>IFERROR(__xludf.DUMMYFUNCTION("""COMPUTED_VALUE"""),20.0)</f>
        <v>20</v>
      </c>
      <c r="L642" s="17">
        <f>IFERROR(__xludf.DUMMYFUNCTION("""COMPUTED_VALUE"""),3.008157819E9)</f>
        <v>3008157819</v>
      </c>
      <c r="M642" s="17" t="str">
        <f>IFERROR(__xludf.DUMMYFUNCTION("""COMPUTED_VALUE"""),"#REF!")</f>
        <v>#REF!</v>
      </c>
      <c r="N642" s="17"/>
      <c r="O642" s="19" t="str">
        <f>IFERROR(__xludf.DUMMYFUNCTION("""COMPUTED_VALUE"""),"")</f>
        <v/>
      </c>
      <c r="P642" s="17" t="b">
        <f>IFERROR(__xludf.DUMMYFUNCTION("""COMPUTED_VALUE"""),TRUE)</f>
        <v>1</v>
      </c>
      <c r="Q642" s="20">
        <f>IFERROR(__xludf.DUMMYFUNCTION("""COMPUTED_VALUE"""),45016.45638202546)</f>
        <v>45016.45638</v>
      </c>
      <c r="R642" s="22" t="str">
        <f>IFERROR(__xludf.DUMMYFUNCTION("""COMPUTED_VALUE"""),"")</f>
        <v/>
      </c>
    </row>
    <row r="643">
      <c r="A643" s="15">
        <f>IFERROR(__xludf.DUMMYFUNCTION("""COMPUTED_VALUE"""),45016.0)</f>
        <v>45016</v>
      </c>
      <c r="B643" s="16" t="str">
        <f>IFERROR(__xludf.DUMMYFUNCTION("""COMPUTED_VALUE"""),"Daniel José sandoval gonzalez")</f>
        <v>Daniel José sandoval gonzalez</v>
      </c>
      <c r="C643" s="15" t="str">
        <f>IFERROR(__xludf.DUMMYFUNCTION("""COMPUTED_VALUE"""),"BARRANQUILLA")</f>
        <v>BARRANQUILLA</v>
      </c>
      <c r="D643" s="15" t="str">
        <f>IFERROR(__xludf.DUMMYFUNCTION("""COMPUTED_VALUE"""),"BOGOTÁ")</f>
        <v>BOGOTÁ</v>
      </c>
      <c r="E643" s="15" t="str">
        <f>IFERROR(__xludf.DUMMYFUNCTION("""COMPUTED_VALUE"""),"Evamazzita")</f>
        <v>Evamazzita</v>
      </c>
      <c r="F643" s="17" t="str">
        <f>IFERROR(__xludf.DUMMYFUNCTION("""COMPUTED_VALUE"""),"Cra 51b 76 27  / of 202 / N/A")</f>
        <v>Cra 51b 76 27  / of 202 / N/A</v>
      </c>
      <c r="G643" s="15" t="str">
        <f>IFERROR(__xludf.DUMMYFUNCTION("""COMPUTED_VALUE"""),"INGRID JOHANA RICO")</f>
        <v>INGRID JOHANA RICO</v>
      </c>
      <c r="H643" s="18">
        <f>IFERROR(__xludf.DUMMYFUNCTION("""COMPUTED_VALUE"""),9302.0)</f>
        <v>9302</v>
      </c>
      <c r="I643" s="18">
        <f>IFERROR(__xludf.DUMMYFUNCTION("""COMPUTED_VALUE"""),3.0)</f>
        <v>3</v>
      </c>
      <c r="J643" s="18">
        <f>IFERROR(__xludf.DUMMYFUNCTION("""COMPUTED_VALUE"""),20.0)</f>
        <v>20</v>
      </c>
      <c r="K643" s="18">
        <f>IFERROR(__xludf.DUMMYFUNCTION("""COMPUTED_VALUE"""),15.0)</f>
        <v>15</v>
      </c>
      <c r="L643" s="17">
        <f>IFERROR(__xludf.DUMMYFUNCTION("""COMPUTED_VALUE"""),3.012471115E9)</f>
        <v>3012471115</v>
      </c>
      <c r="M643" s="17" t="str">
        <f>IFERROR(__xludf.DUMMYFUNCTION("""COMPUTED_VALUE"""),"#REF!")</f>
        <v>#REF!</v>
      </c>
      <c r="N643" s="17"/>
      <c r="O643" s="19" t="str">
        <f>IFERROR(__xludf.DUMMYFUNCTION("""COMPUTED_VALUE"""),"")</f>
        <v/>
      </c>
      <c r="P643" s="17" t="b">
        <f>IFERROR(__xludf.DUMMYFUNCTION("""COMPUTED_VALUE"""),TRUE)</f>
        <v>1</v>
      </c>
      <c r="Q643" s="20">
        <f>IFERROR(__xludf.DUMMYFUNCTION("""COMPUTED_VALUE"""),45016.47100337963)</f>
        <v>45016.471</v>
      </c>
      <c r="R643" s="22" t="str">
        <f>IFERROR(__xludf.DUMMYFUNCTION("""COMPUTED_VALUE"""),"")</f>
        <v/>
      </c>
    </row>
    <row r="644">
      <c r="A644" s="15">
        <f>IFERROR(__xludf.DUMMYFUNCTION("""COMPUTED_VALUE"""),45016.0)</f>
        <v>45016</v>
      </c>
      <c r="B644" s="16" t="str">
        <f>IFERROR(__xludf.DUMMYFUNCTION("""COMPUTED_VALUE"""),"Daniel José sandoval gonzalez")</f>
        <v>Daniel José sandoval gonzalez</v>
      </c>
      <c r="C644" s="15" t="str">
        <f>IFERROR(__xludf.DUMMYFUNCTION("""COMPUTED_VALUE"""),"BARRANQUILLA")</f>
        <v>BARRANQUILLA</v>
      </c>
      <c r="D644" s="15" t="str">
        <f>IFERROR(__xludf.DUMMYFUNCTION("""COMPUTED_VALUE"""),"BOGOTÁ")</f>
        <v>BOGOTÁ</v>
      </c>
      <c r="E644" s="15" t="str">
        <f>IFERROR(__xludf.DUMMYFUNCTION("""COMPUTED_VALUE"""),"Frubits")</f>
        <v>Frubits</v>
      </c>
      <c r="F644" s="17" t="str">
        <f>IFERROR(__xludf.DUMMYFUNCTION("""COMPUTED_VALUE"""),"Cra 57 n 84- 155 apto 8a  / Cra 57 n 84- 155 apto 8a  / Cra 57 n 84- 155 apto 8a")</f>
        <v>Cra 57 n 84- 155 apto 8a  / Cra 57 n 84- 155 apto 8a  / Cra 57 n 84- 155 apto 8a</v>
      </c>
      <c r="G644" s="15" t="str">
        <f>IFERROR(__xludf.DUMMYFUNCTION("""COMPUTED_VALUE"""),"Nasly Pinzón")</f>
        <v>Nasly Pinzón</v>
      </c>
      <c r="H644" s="18">
        <f>IFERROR(__xludf.DUMMYFUNCTION("""COMPUTED_VALUE"""),9262.0)</f>
        <v>9262</v>
      </c>
      <c r="I644" s="18">
        <f>IFERROR(__xludf.DUMMYFUNCTION("""COMPUTED_VALUE"""),18.0)</f>
        <v>18</v>
      </c>
      <c r="J644" s="18">
        <f>IFERROR(__xludf.DUMMYFUNCTION("""COMPUTED_VALUE"""),18.0)</f>
        <v>18</v>
      </c>
      <c r="K644" s="18">
        <f>IFERROR(__xludf.DUMMYFUNCTION("""COMPUTED_VALUE"""),18.0)</f>
        <v>18</v>
      </c>
      <c r="L644" s="17">
        <f>IFERROR(__xludf.DUMMYFUNCTION("""COMPUTED_VALUE"""),3.003026471E9)</f>
        <v>3003026471</v>
      </c>
      <c r="M644" s="17" t="str">
        <f>IFERROR(__xludf.DUMMYFUNCTION("""COMPUTED_VALUE"""),"#REF!")</f>
        <v>#REF!</v>
      </c>
      <c r="N644" s="17"/>
      <c r="O644" s="19" t="str">
        <f>IFERROR(__xludf.DUMMYFUNCTION("""COMPUTED_VALUE"""),"")</f>
        <v/>
      </c>
      <c r="P644" s="17" t="b">
        <f>IFERROR(__xludf.DUMMYFUNCTION("""COMPUTED_VALUE"""),TRUE)</f>
        <v>1</v>
      </c>
      <c r="Q644" s="20">
        <f>IFERROR(__xludf.DUMMYFUNCTION("""COMPUTED_VALUE"""),45016.4433602662)</f>
        <v>45016.44336</v>
      </c>
      <c r="R644" s="22" t="str">
        <f>IFERROR(__xludf.DUMMYFUNCTION("""COMPUTED_VALUE"""),"")</f>
        <v/>
      </c>
    </row>
    <row r="645">
      <c r="A645" s="15">
        <f>IFERROR(__xludf.DUMMYFUNCTION("""COMPUTED_VALUE"""),45016.0)</f>
        <v>45016</v>
      </c>
      <c r="B645" s="16" t="str">
        <f>IFERROR(__xludf.DUMMYFUNCTION("""COMPUTED_VALUE"""),"Daniel José sandoval gonzalez")</f>
        <v>Daniel José sandoval gonzalez</v>
      </c>
      <c r="C645" s="15" t="str">
        <f>IFERROR(__xludf.DUMMYFUNCTION("""COMPUTED_VALUE"""),"BARRANQUILLA")</f>
        <v>BARRANQUILLA</v>
      </c>
      <c r="D645" s="15" t="str">
        <f>IFERROR(__xludf.DUMMYFUNCTION("""COMPUTED_VALUE"""),"BOGOTÁ")</f>
        <v>BOGOTÁ</v>
      </c>
      <c r="E645" s="15" t="str">
        <f>IFERROR(__xludf.DUMMYFUNCTION("""COMPUTED_VALUE"""),"MAI ALIMENTOS S.A.S")</f>
        <v>MAI ALIMENTOS S.A.S</v>
      </c>
      <c r="F645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645" s="15" t="str">
        <f>IFERROR(__xludf.DUMMYFUNCTION("""COMPUTED_VALUE"""),"Fithub Barranquilla")</f>
        <v>Fithub Barranquilla</v>
      </c>
      <c r="H645" s="18">
        <f>IFERROR(__xludf.DUMMYFUNCTION("""COMPUTED_VALUE"""),9152.0)</f>
        <v>9152</v>
      </c>
      <c r="I645" s="18">
        <f>IFERROR(__xludf.DUMMYFUNCTION("""COMPUTED_VALUE"""),35.0)</f>
        <v>35</v>
      </c>
      <c r="J645" s="18">
        <f>IFERROR(__xludf.DUMMYFUNCTION("""COMPUTED_VALUE"""),17.0)</f>
        <v>17</v>
      </c>
      <c r="K645" s="18">
        <f>IFERROR(__xludf.DUMMYFUNCTION("""COMPUTED_VALUE"""),13.0)</f>
        <v>13</v>
      </c>
      <c r="L645" s="17"/>
      <c r="M645" s="17" t="str">
        <f>IFERROR(__xludf.DUMMYFUNCTION("""COMPUTED_VALUE"""),"#REF!")</f>
        <v>#REF!</v>
      </c>
      <c r="N645" s="17"/>
      <c r="O645" s="19" t="str">
        <f>IFERROR(__xludf.DUMMYFUNCTION("""COMPUTED_VALUE"""),"")</f>
        <v/>
      </c>
      <c r="P645" s="17" t="b">
        <f>IFERROR(__xludf.DUMMYFUNCTION("""COMPUTED_VALUE"""),TRUE)</f>
        <v>1</v>
      </c>
      <c r="Q645" s="20">
        <f>IFERROR(__xludf.DUMMYFUNCTION("""COMPUTED_VALUE"""),45016.44336892361)</f>
        <v>45016.44337</v>
      </c>
      <c r="R645" s="22" t="str">
        <f>IFERROR(__xludf.DUMMYFUNCTION("""COMPUTED_VALUE"""),"")</f>
        <v/>
      </c>
    </row>
    <row r="646">
      <c r="A646" s="15">
        <f>IFERROR(__xludf.DUMMYFUNCTION("""COMPUTED_VALUE"""),45016.0)</f>
        <v>45016</v>
      </c>
      <c r="B646" s="16" t="str">
        <f>IFERROR(__xludf.DUMMYFUNCTION("""COMPUTED_VALUE"""),"Daniel José sandoval gonzalez")</f>
        <v>Daniel José sandoval gonzalez</v>
      </c>
      <c r="C646" s="15" t="str">
        <f>IFERROR(__xludf.DUMMYFUNCTION("""COMPUTED_VALUE"""),"BARRANQUILLA")</f>
        <v>BARRANQUILLA</v>
      </c>
      <c r="D646" s="15" t="str">
        <f>IFERROR(__xludf.DUMMYFUNCTION("""COMPUTED_VALUE"""),"BOGOTÁ")</f>
        <v>BOGOTÁ</v>
      </c>
      <c r="E646" s="15" t="str">
        <f>IFERROR(__xludf.DUMMYFUNCTION("""COMPUTED_VALUE"""),"MAI ALIMENTOS S.A.S")</f>
        <v>MAI ALIMENTOS S.A.S</v>
      </c>
      <c r="F646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646" s="15" t="str">
        <f>IFERROR(__xludf.DUMMYFUNCTION("""COMPUTED_VALUE"""),"Fithub Barranquilla")</f>
        <v>Fithub Barranquilla</v>
      </c>
      <c r="H646" s="18">
        <f>IFERROR(__xludf.DUMMYFUNCTION("""COMPUTED_VALUE"""),9153.0)</f>
        <v>9153</v>
      </c>
      <c r="I646" s="18">
        <f>IFERROR(__xludf.DUMMYFUNCTION("""COMPUTED_VALUE"""),28.0)</f>
        <v>28</v>
      </c>
      <c r="J646" s="18">
        <f>IFERROR(__xludf.DUMMYFUNCTION("""COMPUTED_VALUE"""),17.0)</f>
        <v>17</v>
      </c>
      <c r="K646" s="18">
        <f>IFERROR(__xludf.DUMMYFUNCTION("""COMPUTED_VALUE"""),13.0)</f>
        <v>13</v>
      </c>
      <c r="L646" s="17"/>
      <c r="M646" s="17" t="str">
        <f>IFERROR(__xludf.DUMMYFUNCTION("""COMPUTED_VALUE"""),"#REF!")</f>
        <v>#REF!</v>
      </c>
      <c r="N646" s="17"/>
      <c r="O646" s="19" t="str">
        <f>IFERROR(__xludf.DUMMYFUNCTION("""COMPUTED_VALUE"""),"")</f>
        <v/>
      </c>
      <c r="P646" s="17" t="b">
        <f>IFERROR(__xludf.DUMMYFUNCTION("""COMPUTED_VALUE"""),TRUE)</f>
        <v>1</v>
      </c>
      <c r="Q646" s="20">
        <f>IFERROR(__xludf.DUMMYFUNCTION("""COMPUTED_VALUE"""),45016.71394215278)</f>
        <v>45016.71394</v>
      </c>
      <c r="R646" s="22" t="str">
        <f>IFERROR(__xludf.DUMMYFUNCTION("""COMPUTED_VALUE"""),"")</f>
        <v/>
      </c>
    </row>
    <row r="647">
      <c r="A647" s="15">
        <f>IFERROR(__xludf.DUMMYFUNCTION("""COMPUTED_VALUE"""),45016.0)</f>
        <v>45016</v>
      </c>
      <c r="B647" s="16" t="str">
        <f>IFERROR(__xludf.DUMMYFUNCTION("""COMPUTED_VALUE"""),"Daniel José sandoval gonzalez")</f>
        <v>Daniel José sandoval gonzalez</v>
      </c>
      <c r="C647" s="15" t="str">
        <f>IFERROR(__xludf.DUMMYFUNCTION("""COMPUTED_VALUE"""),"BARRANQUILLA")</f>
        <v>BARRANQUILLA</v>
      </c>
      <c r="D647" s="15" t="str">
        <f>IFERROR(__xludf.DUMMYFUNCTION("""COMPUTED_VALUE"""),"BOGOTÁ")</f>
        <v>BOGOTÁ</v>
      </c>
      <c r="E647" s="15" t="str">
        <f>IFERROR(__xludf.DUMMYFUNCTION("""COMPUTED_VALUE"""),"Ser Fit")</f>
        <v>Ser Fit</v>
      </c>
      <c r="F647" s="17" t="str">
        <f>IFERROR(__xludf.DUMMYFUNCTION("""COMPUTED_VALUE"""),"Cra 43b # 102C -89 / Torre1/ apto 504 / Alameda rio")</f>
        <v>Cra 43b # 102C -89 / Torre1/ apto 504 / Alameda rio</v>
      </c>
      <c r="G647" s="15" t="str">
        <f>IFERROR(__xludf.DUMMYFUNCTION("""COMPUTED_VALUE"""),"Liliana arboleda ò Hernando Varga")</f>
        <v>Liliana arboleda ò Hernando Varga</v>
      </c>
      <c r="H647" s="18">
        <f>IFERROR(__xludf.DUMMYFUNCTION("""COMPUTED_VALUE"""),9285.0)</f>
        <v>9285</v>
      </c>
      <c r="I647" s="18">
        <f>IFERROR(__xludf.DUMMYFUNCTION("""COMPUTED_VALUE"""),4.0)</f>
        <v>4</v>
      </c>
      <c r="J647" s="18">
        <f>IFERROR(__xludf.DUMMYFUNCTION("""COMPUTED_VALUE"""),10.0)</f>
        <v>10</v>
      </c>
      <c r="K647" s="18">
        <f>IFERROR(__xludf.DUMMYFUNCTION("""COMPUTED_VALUE"""),10.0)</f>
        <v>10</v>
      </c>
      <c r="L647" s="17">
        <f>IFERROR(__xludf.DUMMYFUNCTION("""COMPUTED_VALUE"""),3.168733212E9)</f>
        <v>3168733212</v>
      </c>
      <c r="M647" s="17" t="str">
        <f>IFERROR(__xludf.DUMMYFUNCTION("""COMPUTED_VALUE"""),"#REF!")</f>
        <v>#REF!</v>
      </c>
      <c r="N647" s="17"/>
      <c r="O647" s="19" t="str">
        <f>IFERROR(__xludf.DUMMYFUNCTION("""COMPUTED_VALUE"""),"")</f>
        <v/>
      </c>
      <c r="P647" s="17" t="b">
        <f>IFERROR(__xludf.DUMMYFUNCTION("""COMPUTED_VALUE"""),TRUE)</f>
        <v>1</v>
      </c>
      <c r="Q647" s="20">
        <f>IFERROR(__xludf.DUMMYFUNCTION("""COMPUTED_VALUE"""),45016.45956319444)</f>
        <v>45016.45956</v>
      </c>
      <c r="R647" s="22" t="str">
        <f>IFERROR(__xludf.DUMMYFUNCTION("""COMPUTED_VALUE"""),"")</f>
        <v/>
      </c>
    </row>
    <row r="648">
      <c r="A648" s="15">
        <f>IFERROR(__xludf.DUMMYFUNCTION("""COMPUTED_VALUE"""),45016.0)</f>
        <v>45016</v>
      </c>
      <c r="B648" s="16" t="str">
        <f>IFERROR(__xludf.DUMMYFUNCTION("""COMPUTED_VALUE"""),"Daniel José sandoval gonzalez")</f>
        <v>Daniel José sandoval gonzalez</v>
      </c>
      <c r="C648" s="15" t="str">
        <f>IFERROR(__xludf.DUMMYFUNCTION("""COMPUTED_VALUE"""),"BARRANQUILLA")</f>
        <v>BARRANQUILLA</v>
      </c>
      <c r="D648" s="15" t="str">
        <f>IFERROR(__xludf.DUMMYFUNCTION("""COMPUTED_VALUE"""),"BOGOTÁ")</f>
        <v>BOGOTÁ</v>
      </c>
      <c r="E648" s="15" t="str">
        <f>IFERROR(__xludf.DUMMYFUNCTION("""COMPUTED_VALUE"""),"Top Spun")</f>
        <v>Top Spun</v>
      </c>
      <c r="F648" s="17" t="str">
        <f>IFERROR(__xludf.DUMMYFUNCTION("""COMPUTED_VALUE"""),"Carrera 58 #79-131  / Edifico Torres dilugano apto 701  / Barranquilla")</f>
        <v>Carrera 58 #79-131  / Edifico Torres dilugano apto 701  / Barranquilla</v>
      </c>
      <c r="G648" s="15" t="str">
        <f>IFERROR(__xludf.DUMMYFUNCTION("""COMPUTED_VALUE"""),"María Isabella Bischoff")</f>
        <v>María Isabella Bischoff</v>
      </c>
      <c r="H648" s="18">
        <f>IFERROR(__xludf.DUMMYFUNCTION("""COMPUTED_VALUE"""),9279.0)</f>
        <v>9279</v>
      </c>
      <c r="I648" s="18">
        <f>IFERROR(__xludf.DUMMYFUNCTION("""COMPUTED_VALUE"""),20.0)</f>
        <v>20</v>
      </c>
      <c r="J648" s="18">
        <f>IFERROR(__xludf.DUMMYFUNCTION("""COMPUTED_VALUE"""),10.0)</f>
        <v>10</v>
      </c>
      <c r="K648" s="18">
        <f>IFERROR(__xludf.DUMMYFUNCTION("""COMPUTED_VALUE"""),40.0)</f>
        <v>40</v>
      </c>
      <c r="L648" s="17">
        <f>IFERROR(__xludf.DUMMYFUNCTION("""COMPUTED_VALUE"""),3.135026622E9)</f>
        <v>3135026622</v>
      </c>
      <c r="M648" s="17" t="str">
        <f>IFERROR(__xludf.DUMMYFUNCTION("""COMPUTED_VALUE"""),"#REF!")</f>
        <v>#REF!</v>
      </c>
      <c r="N648" s="17"/>
      <c r="O648" s="19" t="str">
        <f>IFERROR(__xludf.DUMMYFUNCTION("""COMPUTED_VALUE"""),"")</f>
        <v/>
      </c>
      <c r="P648" s="17" t="b">
        <f>IFERROR(__xludf.DUMMYFUNCTION("""COMPUTED_VALUE"""),TRUE)</f>
        <v>1</v>
      </c>
      <c r="Q648" s="20">
        <f>IFERROR(__xludf.DUMMYFUNCTION("""COMPUTED_VALUE"""),45016.40385777778)</f>
        <v>45016.40386</v>
      </c>
      <c r="R648" s="22" t="str">
        <f>IFERROR(__xludf.DUMMYFUNCTION("""COMPUTED_VALUE"""),"")</f>
        <v/>
      </c>
    </row>
    <row r="649">
      <c r="A649" s="15">
        <f>IFERROR(__xludf.DUMMYFUNCTION("""COMPUTED_VALUE"""),45016.0)</f>
        <v>45016</v>
      </c>
      <c r="B649" s="16" t="str">
        <f>IFERROR(__xludf.DUMMYFUNCTION("""COMPUTED_VALUE"""),"Daniel José sandoval gonzalez")</f>
        <v>Daniel José sandoval gonzalez</v>
      </c>
      <c r="C649" s="15" t="str">
        <f>IFERROR(__xludf.DUMMYFUNCTION("""COMPUTED_VALUE"""),"BARRANQUILLA")</f>
        <v>BARRANQUILLA</v>
      </c>
      <c r="D649" s="15" t="str">
        <f>IFERROR(__xludf.DUMMYFUNCTION("""COMPUTED_VALUE"""),"MEDELLÍN")</f>
        <v>MEDELLÍN</v>
      </c>
      <c r="E649" s="15" t="str">
        <f>IFERROR(__xludf.DUMMYFUNCTION("""COMPUTED_VALUE"""),"Magda")</f>
        <v>Magda</v>
      </c>
      <c r="F649" s="17" t="str">
        <f>IFERROR(__xludf.DUMMYFUNCTION("""COMPUTED_VALUE"""),"Cra 53 No. 68-55 / Cocina oculta / Alto Prado")</f>
        <v>Cra 53 No. 68-55 / Cocina oculta / Alto Prado</v>
      </c>
      <c r="G649" s="15" t="str">
        <f>IFERROR(__xludf.DUMMYFUNCTION("""COMPUTED_VALUE"""),"María José Cervantes")</f>
        <v>María José Cervantes</v>
      </c>
      <c r="H649" s="18">
        <f>IFERROR(__xludf.DUMMYFUNCTION("""COMPUTED_VALUE"""),9331.0)</f>
        <v>9331</v>
      </c>
      <c r="I649" s="18">
        <f>IFERROR(__xludf.DUMMYFUNCTION("""COMPUTED_VALUE"""),55.0)</f>
        <v>55</v>
      </c>
      <c r="J649" s="18">
        <f>IFERROR(__xludf.DUMMYFUNCTION("""COMPUTED_VALUE"""),45.0)</f>
        <v>45</v>
      </c>
      <c r="K649" s="18" t="str">
        <f>IFERROR(__xludf.DUMMYFUNCTION("""COMPUTED_VALUE"""),"52.5")</f>
        <v>52.5</v>
      </c>
      <c r="L649" s="17">
        <f>IFERROR(__xludf.DUMMYFUNCTION("""COMPUTED_VALUE"""),3.113152215E9)</f>
        <v>3113152215</v>
      </c>
      <c r="M649" s="17" t="str">
        <f>IFERROR(__xludf.DUMMYFUNCTION("""COMPUTED_VALUE"""),"#REF!")</f>
        <v>#REF!</v>
      </c>
      <c r="N649" s="17"/>
      <c r="O649" s="19" t="str">
        <f>IFERROR(__xludf.DUMMYFUNCTION("""COMPUTED_VALUE"""),"")</f>
        <v/>
      </c>
      <c r="P649" s="17" t="b">
        <f>IFERROR(__xludf.DUMMYFUNCTION("""COMPUTED_VALUE"""),TRUE)</f>
        <v>1</v>
      </c>
      <c r="Q649" s="20">
        <f>IFERROR(__xludf.DUMMYFUNCTION("""COMPUTED_VALUE"""),45016.44348822917)</f>
        <v>45016.44349</v>
      </c>
      <c r="R649" s="22" t="str">
        <f>IFERROR(__xludf.DUMMYFUNCTION("""COMPUTED_VALUE"""),"")</f>
        <v/>
      </c>
    </row>
    <row r="650">
      <c r="A650" s="15">
        <f>IFERROR(__xludf.DUMMYFUNCTION("""COMPUTED_VALUE"""),45016.0)</f>
        <v>45016</v>
      </c>
      <c r="B650" s="16" t="str">
        <f>IFERROR(__xludf.DUMMYFUNCTION("""COMPUTED_VALUE"""),"Daniel José sandoval gonzalez")</f>
        <v>Daniel José sandoval gonzalez</v>
      </c>
      <c r="C650" s="15" t="str">
        <f>IFERROR(__xludf.DUMMYFUNCTION("""COMPUTED_VALUE"""),"BARRANQUILLA")</f>
        <v>BARRANQUILLA</v>
      </c>
      <c r="D650" s="15" t="str">
        <f>IFERROR(__xludf.DUMMYFUNCTION("""COMPUTED_VALUE"""),"MEDELLÍN")</f>
        <v>MEDELLÍN</v>
      </c>
      <c r="E650" s="15" t="str">
        <f>IFERROR(__xludf.DUMMYFUNCTION("""COMPUTED_VALUE"""),"Rambla")</f>
        <v>Rambla</v>
      </c>
      <c r="F650" s="17" t="str">
        <f>IFERROR(__xludf.DUMMYFUNCTION("""COMPUTED_VALUE"""),"CARRERA 74 #76-74 / NA / NA")</f>
        <v>CARRERA 74 #76-74 / NA / NA</v>
      </c>
      <c r="G650" s="15" t="str">
        <f>IFERROR(__xludf.DUMMYFUNCTION("""COMPUTED_VALUE"""),"Fit Hub")</f>
        <v>Fit Hub</v>
      </c>
      <c r="H650" s="18">
        <f>IFERROR(__xludf.DUMMYFUNCTION("""COMPUTED_VALUE"""),9312.0)</f>
        <v>9312</v>
      </c>
      <c r="I650" s="18">
        <f>IFERROR(__xludf.DUMMYFUNCTION("""COMPUTED_VALUE"""),19.0)</f>
        <v>19</v>
      </c>
      <c r="J650" s="18">
        <f>IFERROR(__xludf.DUMMYFUNCTION("""COMPUTED_VALUE"""),23.0)</f>
        <v>23</v>
      </c>
      <c r="K650" s="18">
        <f>IFERROR(__xludf.DUMMYFUNCTION("""COMPUTED_VALUE"""),25.0)</f>
        <v>25</v>
      </c>
      <c r="L650" s="17">
        <f>IFERROR(__xludf.DUMMYFUNCTION("""COMPUTED_VALUE"""),3.157039547E9)</f>
        <v>3157039547</v>
      </c>
      <c r="M650" s="17" t="str">
        <f>IFERROR(__xludf.DUMMYFUNCTION("""COMPUTED_VALUE"""),"#REF!")</f>
        <v>#REF!</v>
      </c>
      <c r="N650" s="17"/>
      <c r="O650" s="19" t="str">
        <f>IFERROR(__xludf.DUMMYFUNCTION("""COMPUTED_VALUE"""),"")</f>
        <v/>
      </c>
      <c r="P650" s="17" t="b">
        <f>IFERROR(__xludf.DUMMYFUNCTION("""COMPUTED_VALUE"""),TRUE)</f>
        <v>1</v>
      </c>
      <c r="Q650" s="20">
        <f>IFERROR(__xludf.DUMMYFUNCTION("""COMPUTED_VALUE"""),45016.46503885416)</f>
        <v>45016.46504</v>
      </c>
      <c r="R650" s="22" t="str">
        <f>IFERROR(__xludf.DUMMYFUNCTION("""COMPUTED_VALUE"""),"")</f>
        <v/>
      </c>
    </row>
    <row r="651">
      <c r="A651" s="15">
        <f>IFERROR(__xludf.DUMMYFUNCTION("""COMPUTED_VALUE"""),45016.0)</f>
        <v>45016</v>
      </c>
      <c r="B651" s="16" t="str">
        <f>IFERROR(__xludf.DUMMYFUNCTION("""COMPUTED_VALUE"""),"Daniel José sandoval gonzalez")</f>
        <v>Daniel José sandoval gonzalez</v>
      </c>
      <c r="C651" s="15" t="str">
        <f>IFERROR(__xludf.DUMMYFUNCTION("""COMPUTED_VALUE"""),"BARRANQUILLA")</f>
        <v>BARRANQUILLA</v>
      </c>
      <c r="D651" s="15" t="str">
        <f>IFERROR(__xludf.DUMMYFUNCTION("""COMPUTED_VALUE"""),"MEDELLÍN")</f>
        <v>MEDELLÍN</v>
      </c>
      <c r="E651" s="15" t="str">
        <f>IFERROR(__xludf.DUMMYFUNCTION("""COMPUTED_VALUE"""),"Rambla")</f>
        <v>Rambla</v>
      </c>
      <c r="F651" s="17" t="str">
        <f>IFERROR(__xludf.DUMMYFUNCTION("""COMPUTED_VALUE"""),"CRA 53 80 284 LC 8 / na / na")</f>
        <v>CRA 53 80 284 LC 8 / na / na</v>
      </c>
      <c r="G651" s="15" t="str">
        <f>IFERROR(__xludf.DUMMYFUNCTION("""COMPUTED_VALUE"""),"Corpofit")</f>
        <v>Corpofit</v>
      </c>
      <c r="H651" s="18">
        <f>IFERROR(__xludf.DUMMYFUNCTION("""COMPUTED_VALUE"""),9315.0)</f>
        <v>9315</v>
      </c>
      <c r="I651" s="18">
        <f>IFERROR(__xludf.DUMMYFUNCTION("""COMPUTED_VALUE"""),26.0)</f>
        <v>26</v>
      </c>
      <c r="J651" s="18">
        <f>IFERROR(__xludf.DUMMYFUNCTION("""COMPUTED_VALUE"""),30.0)</f>
        <v>30</v>
      </c>
      <c r="K651" s="18">
        <f>IFERROR(__xludf.DUMMYFUNCTION("""COMPUTED_VALUE"""),33.0)</f>
        <v>33</v>
      </c>
      <c r="L651" s="17">
        <f>IFERROR(__xludf.DUMMYFUNCTION("""COMPUTED_VALUE"""),3.006125263E9)</f>
        <v>3006125263</v>
      </c>
      <c r="M651" s="17" t="str">
        <f>IFERROR(__xludf.DUMMYFUNCTION("""COMPUTED_VALUE"""),"#REF!")</f>
        <v>#REF!</v>
      </c>
      <c r="N651" s="17"/>
      <c r="O651" s="19" t="str">
        <f>IFERROR(__xludf.DUMMYFUNCTION("""COMPUTED_VALUE"""),"")</f>
        <v/>
      </c>
      <c r="P651" s="17" t="b">
        <f>IFERROR(__xludf.DUMMYFUNCTION("""COMPUTED_VALUE"""),TRUE)</f>
        <v>1</v>
      </c>
      <c r="Q651" s="20">
        <f>IFERROR(__xludf.DUMMYFUNCTION("""COMPUTED_VALUE"""),45016.71394215278)</f>
        <v>45016.71394</v>
      </c>
      <c r="R651" s="22" t="str">
        <f>IFERROR(__xludf.DUMMYFUNCTION("""COMPUTED_VALUE"""),"")</f>
        <v/>
      </c>
    </row>
    <row r="652">
      <c r="A652" s="15">
        <f>IFERROR(__xludf.DUMMYFUNCTION("""COMPUTED_VALUE"""),45016.0)</f>
        <v>45016</v>
      </c>
      <c r="B652" s="16" t="str">
        <f>IFERROR(__xludf.DUMMYFUNCTION("""COMPUTED_VALUE"""),"Daniel José sandoval gonzalez")</f>
        <v>Daniel José sandoval gonzalez</v>
      </c>
      <c r="C652" s="15" t="str">
        <f>IFERROR(__xludf.DUMMYFUNCTION("""COMPUTED_VALUE"""),"MEDELLÍN")</f>
        <v>MEDELLÍN</v>
      </c>
      <c r="D652" s="15" t="str">
        <f>IFERROR(__xludf.DUMMYFUNCTION("""COMPUTED_VALUE"""),"BOGOTÁ")</f>
        <v>BOGOTÁ</v>
      </c>
      <c r="E652" s="15" t="str">
        <f>IFERROR(__xludf.DUMMYFUNCTION("""COMPUTED_VALUE"""),"Renata")</f>
        <v>Renata</v>
      </c>
      <c r="F652" s="17" t="str">
        <f>IFERROR(__xludf.DUMMYFUNCTION("""COMPUTED_VALUE"""),"Carrera 32d#9-43 / Selina y cowork -restaurante  / Provenza")</f>
        <v>Carrera 32d#9-43 / Selina y cowork -restaurante  / Provenza</v>
      </c>
      <c r="G652" s="15" t="str">
        <f>IFERROR(__xludf.DUMMYFUNCTION("""COMPUTED_VALUE"""),"Front y back hospitality group")</f>
        <v>Front y back hospitality group</v>
      </c>
      <c r="H652" s="18">
        <f>IFERROR(__xludf.DUMMYFUNCTION("""COMPUTED_VALUE"""),9326.0)</f>
        <v>9326</v>
      </c>
      <c r="I652" s="18">
        <f>IFERROR(__xludf.DUMMYFUNCTION("""COMPUTED_VALUE"""),90.0)</f>
        <v>90</v>
      </c>
      <c r="J652" s="18">
        <f>IFERROR(__xludf.DUMMYFUNCTION("""COMPUTED_VALUE"""),70.0)</f>
        <v>70</v>
      </c>
      <c r="K652" s="18">
        <f>IFERROR(__xludf.DUMMYFUNCTION("""COMPUTED_VALUE"""),60.0)</f>
        <v>60</v>
      </c>
      <c r="L652" s="17">
        <f>IFERROR(__xludf.DUMMYFUNCTION("""COMPUTED_VALUE"""),3.104046368E9)</f>
        <v>3104046368</v>
      </c>
      <c r="M652" s="17" t="str">
        <f>IFERROR(__xludf.DUMMYFUNCTION("""COMPUTED_VALUE"""),"#REF!")</f>
        <v>#REF!</v>
      </c>
      <c r="N652" s="17"/>
      <c r="O652" s="19" t="str">
        <f>IFERROR(__xludf.DUMMYFUNCTION("""COMPUTED_VALUE"""),"")</f>
        <v/>
      </c>
      <c r="P652" s="17" t="b">
        <f>IFERROR(__xludf.DUMMYFUNCTION("""COMPUTED_VALUE"""),FALSE)</f>
        <v>0</v>
      </c>
      <c r="Q652" s="20" t="str">
        <f>IFERROR(__xludf.DUMMYFUNCTION("""COMPUTED_VALUE"""),"")</f>
        <v/>
      </c>
      <c r="R652" s="22" t="str">
        <f>IFERROR(__xludf.DUMMYFUNCTION("""COMPUTED_VALUE"""),"")</f>
        <v/>
      </c>
    </row>
    <row r="653">
      <c r="A653" s="17" t="str">
        <f>IFERROR(__xludf.DUMMYFUNCTION("""COMPUTED_VALUE"""),"")</f>
        <v/>
      </c>
      <c r="B653" s="17" t="str">
        <f>IFERROR(__xludf.DUMMYFUNCTION("""COMPUTED_VALUE"""),"")</f>
        <v/>
      </c>
      <c r="C653" s="17" t="str">
        <f>IFERROR(__xludf.DUMMYFUNCTION("""COMPUTED_VALUE"""),"")</f>
        <v/>
      </c>
      <c r="D653" s="17" t="str">
        <f>IFERROR(__xludf.DUMMYFUNCTION("""COMPUTED_VALUE"""),"")</f>
        <v/>
      </c>
      <c r="E653" s="17" t="str">
        <f>IFERROR(__xludf.DUMMYFUNCTION("""COMPUTED_VALUE"""),"")</f>
        <v/>
      </c>
      <c r="F653" s="17" t="str">
        <f>IFERROR(__xludf.DUMMYFUNCTION("""COMPUTED_VALUE"""),"")</f>
        <v/>
      </c>
      <c r="G653" s="17" t="str">
        <f>IFERROR(__xludf.DUMMYFUNCTION("""COMPUTED_VALUE"""),"")</f>
        <v/>
      </c>
      <c r="H653" s="17" t="str">
        <f>IFERROR(__xludf.DUMMYFUNCTION("""COMPUTED_VALUE"""),"")</f>
        <v/>
      </c>
      <c r="I653" s="17" t="str">
        <f>IFERROR(__xludf.DUMMYFUNCTION("""COMPUTED_VALUE"""),"")</f>
        <v/>
      </c>
      <c r="J653" s="17" t="str">
        <f>IFERROR(__xludf.DUMMYFUNCTION("""COMPUTED_VALUE"""),"")</f>
        <v/>
      </c>
      <c r="K653" s="17" t="str">
        <f>IFERROR(__xludf.DUMMYFUNCTION("""COMPUTED_VALUE"""),"")</f>
        <v/>
      </c>
      <c r="L653" s="17" t="str">
        <f>IFERROR(__xludf.DUMMYFUNCTION("""COMPUTED_VALUE"""),"")</f>
        <v/>
      </c>
      <c r="M653" s="17" t="str">
        <f>IFERROR(__xludf.DUMMYFUNCTION("""COMPUTED_VALUE"""),"")</f>
        <v/>
      </c>
      <c r="N653" s="17" t="str">
        <f>IFERROR(__xludf.DUMMYFUNCTION("""COMPUTED_VALUE"""),"")</f>
        <v/>
      </c>
      <c r="O653" s="17" t="str">
        <f>IFERROR(__xludf.DUMMYFUNCTION("""COMPUTED_VALUE"""),"")</f>
        <v/>
      </c>
      <c r="P653" s="17" t="str">
        <f>IFERROR(__xludf.DUMMYFUNCTION("""COMPUTED_VALUE"""),"")</f>
        <v/>
      </c>
      <c r="Q653" s="17" t="str">
        <f>IFERROR(__xludf.DUMMYFUNCTION("""COMPUTED_VALUE"""),"")</f>
        <v/>
      </c>
      <c r="R653" s="17" t="str">
        <f>IFERROR(__xludf.DUMMYFUNCTION("""COMPUTED_VALUE"""),"")</f>
        <v/>
      </c>
    </row>
    <row r="654">
      <c r="A654" s="15">
        <f>IFERROR(__xludf.DUMMYFUNCTION("""COMPUTED_VALUE"""),45016.0)</f>
        <v>45016</v>
      </c>
      <c r="B654" s="16" t="str">
        <f>IFERROR(__xludf.DUMMYFUNCTION("""COMPUTED_VALUE"""),"Envia")</f>
        <v>Envia</v>
      </c>
      <c r="C654" s="15" t="str">
        <f>IFERROR(__xludf.DUMMYFUNCTION("""COMPUTED_VALUE"""),"BARRANQUILLA")</f>
        <v>BARRANQUILLA</v>
      </c>
      <c r="D654" s="15" t="str">
        <f>IFERROR(__xludf.DUMMYFUNCTION("""COMPUTED_VALUE"""),"MEDELLÍN")</f>
        <v>MEDELLÍN</v>
      </c>
      <c r="E654" s="15" t="str">
        <f>IFERROR(__xludf.DUMMYFUNCTION("""COMPUTED_VALUE"""),"Baby Chef")</f>
        <v>Baby Chef</v>
      </c>
      <c r="F654" s="17" t="str">
        <f>IFERROR(__xludf.DUMMYFUNCTION("""COMPUTED_VALUE"""),"Carrera 4 No. 45g-65 Piso 1 / Carrera 4 No. 45g-65 Piso 1 Barranquilla  Atlántico Colombia / Carrera 4 No. 45g-65 Piso 1 Barranquilla  Atlántico Colombia")</f>
        <v>Carrera 4 No. 45g-65 Piso 1 / Carrera 4 No. 45g-65 Piso 1 Barranquilla  Atlántico Colombia / Carrera 4 No. 45g-65 Piso 1 Barranquilla  Atlántico Colombia</v>
      </c>
      <c r="G654" s="15" t="str">
        <f>IFERROR(__xludf.DUMMYFUNCTION("""COMPUTED_VALUE"""),"Yerine Cardona")</f>
        <v>Yerine Cardona</v>
      </c>
      <c r="H654" s="18">
        <f>IFERROR(__xludf.DUMMYFUNCTION("""COMPUTED_VALUE"""),9293.0)</f>
        <v>9293</v>
      </c>
      <c r="I654" s="18">
        <f>IFERROR(__xludf.DUMMYFUNCTION("""COMPUTED_VALUE"""),8.0)</f>
        <v>8</v>
      </c>
      <c r="J654" s="18">
        <f>IFERROR(__xludf.DUMMYFUNCTION("""COMPUTED_VALUE"""),16.0)</f>
        <v>16</v>
      </c>
      <c r="K654" s="18">
        <f>IFERROR(__xludf.DUMMYFUNCTION("""COMPUTED_VALUE"""),20.0)</f>
        <v>20</v>
      </c>
      <c r="L654" s="17">
        <f>IFERROR(__xludf.DUMMYFUNCTION("""COMPUTED_VALUE"""),3.178941837E9)</f>
        <v>3178941837</v>
      </c>
      <c r="M654" s="17" t="str">
        <f>IFERROR(__xludf.DUMMYFUNCTION("""COMPUTED_VALUE"""),"#REF!")</f>
        <v>#REF!</v>
      </c>
      <c r="N654" s="17"/>
      <c r="O654" s="19" t="str">
        <f>IFERROR(__xludf.DUMMYFUNCTION("""COMPUTED_VALUE"""),"")</f>
        <v/>
      </c>
      <c r="P654" s="17" t="b">
        <f>IFERROR(__xludf.DUMMYFUNCTION("""COMPUTED_VALUE"""),TRUE)</f>
        <v>1</v>
      </c>
      <c r="Q654" s="20">
        <f>IFERROR(__xludf.DUMMYFUNCTION("""COMPUTED_VALUE"""),45016.419208541665)</f>
        <v>45016.41921</v>
      </c>
      <c r="R654" s="22" t="str">
        <f>IFERROR(__xludf.DUMMYFUNCTION("""COMPUTED_VALUE"""),"")</f>
        <v/>
      </c>
    </row>
    <row r="655">
      <c r="A655" s="15">
        <f>IFERROR(__xludf.DUMMYFUNCTION("""COMPUTED_VALUE"""),45016.0)</f>
        <v>45016</v>
      </c>
      <c r="B655" s="16" t="str">
        <f>IFERROR(__xludf.DUMMYFUNCTION("""COMPUTED_VALUE"""),"Envia")</f>
        <v>Envia</v>
      </c>
      <c r="C655" s="15" t="str">
        <f>IFERROR(__xludf.DUMMYFUNCTION("""COMPUTED_VALUE"""),"BARRANQUILLA")</f>
        <v>BARRANQUILLA</v>
      </c>
      <c r="D655" s="15" t="str">
        <f>IFERROR(__xludf.DUMMYFUNCTION("""COMPUTED_VALUE"""),"MEDELLÍN")</f>
        <v>MEDELLÍN</v>
      </c>
      <c r="E655" s="15" t="str">
        <f>IFERROR(__xludf.DUMMYFUNCTION("""COMPUTED_VALUE"""),"Todo Bufala")</f>
        <v>Todo Bufala</v>
      </c>
      <c r="F655" s="17" t="str">
        <f>IFERROR(__xludf.DUMMYFUNCTION("""COMPUTED_VALUE"""),"cra 43 n. 84-74 / centro nutricional local 3")</f>
        <v>cra 43 n. 84-74 / centro nutricional local 3</v>
      </c>
      <c r="G655" s="15" t="str">
        <f>IFERROR(__xludf.DUMMYFUNCTION("""COMPUTED_VALUE"""),"Eliana Sarmiento")</f>
        <v>Eliana Sarmiento</v>
      </c>
      <c r="H655" s="18">
        <f>IFERROR(__xludf.DUMMYFUNCTION("""COMPUTED_VALUE"""),9329.0)</f>
        <v>9329</v>
      </c>
      <c r="I655" s="18">
        <f>IFERROR(__xludf.DUMMYFUNCTION("""COMPUTED_VALUE"""),40.0)</f>
        <v>40</v>
      </c>
      <c r="J655" s="18">
        <f>IFERROR(__xludf.DUMMYFUNCTION("""COMPUTED_VALUE"""),30.0)</f>
        <v>30</v>
      </c>
      <c r="K655" s="18">
        <f>IFERROR(__xludf.DUMMYFUNCTION("""COMPUTED_VALUE"""),20.0)</f>
        <v>20</v>
      </c>
      <c r="L655" s="17">
        <f>IFERROR(__xludf.DUMMYFUNCTION("""COMPUTED_VALUE"""),3.226082052E9)</f>
        <v>3226082052</v>
      </c>
      <c r="M655" s="17" t="str">
        <f>IFERROR(__xludf.DUMMYFUNCTION("""COMPUTED_VALUE"""),"#REF!")</f>
        <v>#REF!</v>
      </c>
      <c r="N655" s="17"/>
      <c r="O655" s="19" t="str">
        <f>IFERROR(__xludf.DUMMYFUNCTION("""COMPUTED_VALUE"""),"")</f>
        <v/>
      </c>
      <c r="P655" s="17" t="b">
        <f>IFERROR(__xludf.DUMMYFUNCTION("""COMPUTED_VALUE"""),TRUE)</f>
        <v>1</v>
      </c>
      <c r="Q655" s="20">
        <f>IFERROR(__xludf.DUMMYFUNCTION("""COMPUTED_VALUE"""),45016.71394215278)</f>
        <v>45016.71394</v>
      </c>
      <c r="R655" s="22" t="str">
        <f>IFERROR(__xludf.DUMMYFUNCTION("""COMPUTED_VALUE"""),"")</f>
        <v/>
      </c>
    </row>
    <row r="656">
      <c r="A656" s="17" t="str">
        <f>IFERROR(__xludf.DUMMYFUNCTION("""COMPUTED_VALUE"""),"")</f>
        <v/>
      </c>
      <c r="B656" s="17" t="str">
        <f>IFERROR(__xludf.DUMMYFUNCTION("""COMPUTED_VALUE"""),"")</f>
        <v/>
      </c>
      <c r="C656" s="17" t="str">
        <f>IFERROR(__xludf.DUMMYFUNCTION("""COMPUTED_VALUE"""),"")</f>
        <v/>
      </c>
      <c r="D656" s="17" t="str">
        <f>IFERROR(__xludf.DUMMYFUNCTION("""COMPUTED_VALUE"""),"")</f>
        <v/>
      </c>
      <c r="E656" s="17" t="str">
        <f>IFERROR(__xludf.DUMMYFUNCTION("""COMPUTED_VALUE"""),"")</f>
        <v/>
      </c>
      <c r="F656" s="17" t="str">
        <f>IFERROR(__xludf.DUMMYFUNCTION("""COMPUTED_VALUE"""),"")</f>
        <v/>
      </c>
      <c r="G656" s="17" t="str">
        <f>IFERROR(__xludf.DUMMYFUNCTION("""COMPUTED_VALUE"""),"")</f>
        <v/>
      </c>
      <c r="H656" s="17" t="str">
        <f>IFERROR(__xludf.DUMMYFUNCTION("""COMPUTED_VALUE"""),"")</f>
        <v/>
      </c>
      <c r="I656" s="17" t="str">
        <f>IFERROR(__xludf.DUMMYFUNCTION("""COMPUTED_VALUE"""),"")</f>
        <v/>
      </c>
      <c r="J656" s="17" t="str">
        <f>IFERROR(__xludf.DUMMYFUNCTION("""COMPUTED_VALUE"""),"")</f>
        <v/>
      </c>
      <c r="K656" s="17" t="str">
        <f>IFERROR(__xludf.DUMMYFUNCTION("""COMPUTED_VALUE"""),"")</f>
        <v/>
      </c>
      <c r="L656" s="17" t="str">
        <f>IFERROR(__xludf.DUMMYFUNCTION("""COMPUTED_VALUE"""),"")</f>
        <v/>
      </c>
      <c r="M656" s="17" t="str">
        <f>IFERROR(__xludf.DUMMYFUNCTION("""COMPUTED_VALUE"""),"")</f>
        <v/>
      </c>
      <c r="N656" s="17" t="str">
        <f>IFERROR(__xludf.DUMMYFUNCTION("""COMPUTED_VALUE"""),"")</f>
        <v/>
      </c>
      <c r="O656" s="17" t="str">
        <f>IFERROR(__xludf.DUMMYFUNCTION("""COMPUTED_VALUE"""),"")</f>
        <v/>
      </c>
      <c r="P656" s="17" t="str">
        <f>IFERROR(__xludf.DUMMYFUNCTION("""COMPUTED_VALUE"""),"")</f>
        <v/>
      </c>
      <c r="Q656" s="17" t="str">
        <f>IFERROR(__xludf.DUMMYFUNCTION("""COMPUTED_VALUE"""),"")</f>
        <v/>
      </c>
      <c r="R656" s="17" t="str">
        <f>IFERROR(__xludf.DUMMYFUNCTION("""COMPUTED_VALUE"""),"")</f>
        <v/>
      </c>
    </row>
    <row r="657">
      <c r="A657" s="15">
        <f>IFERROR(__xludf.DUMMYFUNCTION("""COMPUTED_VALUE"""),45016.0)</f>
        <v>45016</v>
      </c>
      <c r="B657" s="16" t="str">
        <f>IFERROR(__xludf.DUMMYFUNCTION("""COMPUTED_VALUE"""),"Envia")</f>
        <v>Envia</v>
      </c>
      <c r="C657" s="15" t="str">
        <f>IFERROR(__xludf.DUMMYFUNCTION("""COMPUTED_VALUE"""),"BOGOTÁ")</f>
        <v>BOGOTÁ</v>
      </c>
      <c r="D657" s="15" t="str">
        <f>IFERROR(__xludf.DUMMYFUNCTION("""COMPUTED_VALUE"""),"MEDELLÍN")</f>
        <v>MEDELLÍN</v>
      </c>
      <c r="E657" s="15" t="str">
        <f>IFERROR(__xludf.DUMMYFUNCTION("""COMPUTED_VALUE"""),"Baby Chef")</f>
        <v>Baby Chef</v>
      </c>
      <c r="F657" s="17" t="str">
        <f>IFERROR(__xludf.DUMMYFUNCTION("""COMPUTED_VALUE"""),"Vereda bojaca camino de la floresta Condominio residencial alcala casa 13 Chia Cundinamarca / Vereda bojaca camino de la floresta condominio reesidencial alacala casa13 / Vereda bojaca camino de la floresta condominio reesidencial alacala casa13")</f>
        <v>Vereda bojaca camino de la floresta Condominio residencial alcala casa 13 Chia Cundinamarca / Vereda bojaca camino de la floresta condominio reesidencial alacala casa13 / Vereda bojaca camino de la floresta condominio reesidencial alacala casa13</v>
      </c>
      <c r="G657" s="15" t="str">
        <f>IFERROR(__xludf.DUMMYFUNCTION("""COMPUTED_VALUE"""),"Johana Gomez")</f>
        <v>Johana Gomez</v>
      </c>
      <c r="H657" s="18">
        <f>IFERROR(__xludf.DUMMYFUNCTION("""COMPUTED_VALUE"""),9337.0)</f>
        <v>9337</v>
      </c>
      <c r="I657" s="18">
        <f>IFERROR(__xludf.DUMMYFUNCTION("""COMPUTED_VALUE"""),8.0)</f>
        <v>8</v>
      </c>
      <c r="J657" s="18">
        <f>IFERROR(__xludf.DUMMYFUNCTION("""COMPUTED_VALUE"""),16.0)</f>
        <v>16</v>
      </c>
      <c r="K657" s="18">
        <f>IFERROR(__xludf.DUMMYFUNCTION("""COMPUTED_VALUE"""),20.0)</f>
        <v>20</v>
      </c>
      <c r="L657" s="17">
        <f>IFERROR(__xludf.DUMMYFUNCTION("""COMPUTED_VALUE"""),3.102933249E9)</f>
        <v>3102933249</v>
      </c>
      <c r="M657" s="17" t="str">
        <f>IFERROR(__xludf.DUMMYFUNCTION("""COMPUTED_VALUE"""),"#REF!")</f>
        <v>#REF!</v>
      </c>
      <c r="N657" s="17"/>
      <c r="O657" s="19" t="str">
        <f>IFERROR(__xludf.DUMMYFUNCTION("""COMPUTED_VALUE"""),"")</f>
        <v/>
      </c>
      <c r="P657" s="17" t="b">
        <f>IFERROR(__xludf.DUMMYFUNCTION("""COMPUTED_VALUE"""),TRUE)</f>
        <v>1</v>
      </c>
      <c r="Q657" s="20">
        <f>IFERROR(__xludf.DUMMYFUNCTION("""COMPUTED_VALUE"""),45016.71394215278)</f>
        <v>45016.71394</v>
      </c>
      <c r="R657" s="22" t="str">
        <f>IFERROR(__xludf.DUMMYFUNCTION("""COMPUTED_VALUE"""),"")</f>
        <v/>
      </c>
    </row>
    <row r="658">
      <c r="A658" s="15">
        <f>IFERROR(__xludf.DUMMYFUNCTION("""COMPUTED_VALUE"""),45016.0)</f>
        <v>45016</v>
      </c>
      <c r="B658" s="16" t="str">
        <f>IFERROR(__xludf.DUMMYFUNCTION("""COMPUTED_VALUE"""),"Envia")</f>
        <v>Envia</v>
      </c>
      <c r="C658" s="15" t="str">
        <f>IFERROR(__xludf.DUMMYFUNCTION("""COMPUTED_VALUE"""),"BOGOTÁ")</f>
        <v>BOGOTÁ</v>
      </c>
      <c r="D658" s="15" t="str">
        <f>IFERROR(__xludf.DUMMYFUNCTION("""COMPUTED_VALUE"""),"MEDELLÍN")</f>
        <v>MEDELLÍN</v>
      </c>
      <c r="E658" s="15" t="str">
        <f>IFERROR(__xludf.DUMMYFUNCTION("""COMPUTED_VALUE"""),"Magda")</f>
        <v>Magda</v>
      </c>
      <c r="F658" s="17" t="str">
        <f>IFERROR(__xludf.DUMMYFUNCTION("""COMPUTED_VALUE"""),"Calle 71a # 14a22/26 / Cocinas ocultas / San Felipe")</f>
        <v>Calle 71a # 14a22/26 / Cocinas ocultas / San Felipe</v>
      </c>
      <c r="G658" s="15" t="str">
        <f>IFERROR(__xludf.DUMMYFUNCTION("""COMPUTED_VALUE"""),"Andrés Hernández / Heladería Magda")</f>
        <v>Andrés Hernández / Heladería Magda</v>
      </c>
      <c r="H658" s="18">
        <f>IFERROR(__xludf.DUMMYFUNCTION("""COMPUTED_VALUE"""),9332.0)</f>
        <v>9332</v>
      </c>
      <c r="I658" s="18">
        <f>IFERROR(__xludf.DUMMYFUNCTION("""COMPUTED_VALUE"""),55.0)</f>
        <v>55</v>
      </c>
      <c r="J658" s="18">
        <f>IFERROR(__xludf.DUMMYFUNCTION("""COMPUTED_VALUE"""),45.0)</f>
        <v>45</v>
      </c>
      <c r="K658" s="18" t="str">
        <f>IFERROR(__xludf.DUMMYFUNCTION("""COMPUTED_VALUE"""),"52.5")</f>
        <v>52.5</v>
      </c>
      <c r="L658" s="17">
        <f>IFERROR(__xludf.DUMMYFUNCTION("""COMPUTED_VALUE"""),3.214229567E9)</f>
        <v>3214229567</v>
      </c>
      <c r="M658" s="17" t="str">
        <f>IFERROR(__xludf.DUMMYFUNCTION("""COMPUTED_VALUE"""),"#REF!")</f>
        <v>#REF!</v>
      </c>
      <c r="N658" s="17"/>
      <c r="O658" s="19" t="str">
        <f>IFERROR(__xludf.DUMMYFUNCTION("""COMPUTED_VALUE"""),"")</f>
        <v/>
      </c>
      <c r="P658" s="17" t="b">
        <f>IFERROR(__xludf.DUMMYFUNCTION("""COMPUTED_VALUE"""),TRUE)</f>
        <v>1</v>
      </c>
      <c r="Q658" s="20">
        <f>IFERROR(__xludf.DUMMYFUNCTION("""COMPUTED_VALUE"""),45016.71394216435)</f>
        <v>45016.71394</v>
      </c>
      <c r="R658" s="22" t="str">
        <f>IFERROR(__xludf.DUMMYFUNCTION("""COMPUTED_VALUE"""),"")</f>
        <v/>
      </c>
    </row>
    <row r="659">
      <c r="A659" s="15">
        <f>IFERROR(__xludf.DUMMYFUNCTION("""COMPUTED_VALUE"""),45016.0)</f>
        <v>45016</v>
      </c>
      <c r="B659" s="16" t="str">
        <f>IFERROR(__xludf.DUMMYFUNCTION("""COMPUTED_VALUE"""),"Envia")</f>
        <v>Envia</v>
      </c>
      <c r="C659" s="15" t="str">
        <f>IFERROR(__xludf.DUMMYFUNCTION("""COMPUTED_VALUE"""),"BOGOTÁ")</f>
        <v>BOGOTÁ</v>
      </c>
      <c r="D659" s="15" t="str">
        <f>IFERROR(__xludf.DUMMYFUNCTION("""COMPUTED_VALUE"""),"MEDELLÍN")</f>
        <v>MEDELLÍN</v>
      </c>
      <c r="E659" s="15" t="str">
        <f>IFERROR(__xludf.DUMMYFUNCTION("""COMPUTED_VALUE"""),"Puro Verde")</f>
        <v>Puro Verde</v>
      </c>
      <c r="F659" s="17" t="str">
        <f>IFERROR(__xludf.DUMMYFUNCTION("""COMPUTED_VALUE"""),"AV CRA 15 # 90-20.  / LOCAL 109 / BARRIO CHICO")</f>
        <v>AV CRA 15 # 90-20.  / LOCAL 109 / BARRIO CHICO</v>
      </c>
      <c r="G659" s="15" t="str">
        <f>IFERROR(__xludf.DUMMYFUNCTION("""COMPUTED_VALUE"""),"DANDO CUERDA")</f>
        <v>DANDO CUERDA</v>
      </c>
      <c r="H659" s="18">
        <f>IFERROR(__xludf.DUMMYFUNCTION("""COMPUTED_VALUE"""),9286.0)</f>
        <v>9286</v>
      </c>
      <c r="I659" s="18">
        <f>IFERROR(__xludf.DUMMYFUNCTION("""COMPUTED_VALUE"""),55.0)</f>
        <v>55</v>
      </c>
      <c r="J659" s="18">
        <f>IFERROR(__xludf.DUMMYFUNCTION("""COMPUTED_VALUE"""),45.0)</f>
        <v>45</v>
      </c>
      <c r="K659" s="18" t="str">
        <f>IFERROR(__xludf.DUMMYFUNCTION("""COMPUTED_VALUE"""),"52.5")</f>
        <v>52.5</v>
      </c>
      <c r="L659" s="17">
        <f>IFERROR(__xludf.DUMMYFUNCTION("""COMPUTED_VALUE"""),3.163816691E9)</f>
        <v>3163816691</v>
      </c>
      <c r="M659" s="17" t="str">
        <f>IFERROR(__xludf.DUMMYFUNCTION("""COMPUTED_VALUE"""),"#REF!")</f>
        <v>#REF!</v>
      </c>
      <c r="N659" s="17"/>
      <c r="O659" s="19" t="str">
        <f>IFERROR(__xludf.DUMMYFUNCTION("""COMPUTED_VALUE"""),"")</f>
        <v/>
      </c>
      <c r="P659" s="17" t="b">
        <f>IFERROR(__xludf.DUMMYFUNCTION("""COMPUTED_VALUE"""),TRUE)</f>
        <v>1</v>
      </c>
      <c r="Q659" s="20">
        <f>IFERROR(__xludf.DUMMYFUNCTION("""COMPUTED_VALUE"""),45016.42023805555)</f>
        <v>45016.42024</v>
      </c>
      <c r="R659" s="22" t="str">
        <f>IFERROR(__xludf.DUMMYFUNCTION("""COMPUTED_VALUE"""),"")</f>
        <v/>
      </c>
    </row>
    <row r="660">
      <c r="A660" s="15">
        <f>IFERROR(__xludf.DUMMYFUNCTION("""COMPUTED_VALUE"""),45016.0)</f>
        <v>45016</v>
      </c>
      <c r="B660" s="16" t="str">
        <f>IFERROR(__xludf.DUMMYFUNCTION("""COMPUTED_VALUE"""),"Envia")</f>
        <v>Envia</v>
      </c>
      <c r="C660" s="15" t="str">
        <f>IFERROR(__xludf.DUMMYFUNCTION("""COMPUTED_VALUE"""),"CALI")</f>
        <v>CALI</v>
      </c>
      <c r="D660" s="15" t="str">
        <f>IFERROR(__xludf.DUMMYFUNCTION("""COMPUTED_VALUE"""),"BOGOTÁ")</f>
        <v>BOGOTÁ</v>
      </c>
      <c r="E660" s="15" t="str">
        <f>IFERROR(__xludf.DUMMYFUNCTION("""COMPUTED_VALUE"""),"Renata")</f>
        <v>Renata</v>
      </c>
      <c r="F660" s="17" t="str">
        <f>IFERROR(__xludf.DUMMYFUNCTION("""COMPUTED_VALUE"""),"Carrera 3#3a-83 / Food containers -restaurante  / San Fernando")</f>
        <v>Carrera 3#3a-83 / Food containers -restaurante  / San Fernando</v>
      </c>
      <c r="G660" s="15" t="str">
        <f>IFERROR(__xludf.DUMMYFUNCTION("""COMPUTED_VALUE"""),"Retaco sas")</f>
        <v>Retaco sas</v>
      </c>
      <c r="H660" s="18">
        <f>IFERROR(__xludf.DUMMYFUNCTION("""COMPUTED_VALUE"""),9325.0)</f>
        <v>9325</v>
      </c>
      <c r="I660" s="18">
        <f>IFERROR(__xludf.DUMMYFUNCTION("""COMPUTED_VALUE"""),90.0)</f>
        <v>90</v>
      </c>
      <c r="J660" s="18">
        <f>IFERROR(__xludf.DUMMYFUNCTION("""COMPUTED_VALUE"""),70.0)</f>
        <v>70</v>
      </c>
      <c r="K660" s="18">
        <f>IFERROR(__xludf.DUMMYFUNCTION("""COMPUTED_VALUE"""),60.0)</f>
        <v>60</v>
      </c>
      <c r="L660" s="17">
        <f>IFERROR(__xludf.DUMMYFUNCTION("""COMPUTED_VALUE"""),3.177370107E9)</f>
        <v>3177370107</v>
      </c>
      <c r="M660" s="17" t="str">
        <f>IFERROR(__xludf.DUMMYFUNCTION("""COMPUTED_VALUE"""),"#REF!")</f>
        <v>#REF!</v>
      </c>
      <c r="N660" s="17"/>
      <c r="O660" s="19" t="str">
        <f>IFERROR(__xludf.DUMMYFUNCTION("""COMPUTED_VALUE"""),"")</f>
        <v/>
      </c>
      <c r="P660" s="17" t="b">
        <f>IFERROR(__xludf.DUMMYFUNCTION("""COMPUTED_VALUE"""),TRUE)</f>
        <v>1</v>
      </c>
      <c r="Q660" s="20">
        <f>IFERROR(__xludf.DUMMYFUNCTION("""COMPUTED_VALUE"""),45016.71394216435)</f>
        <v>45016.71394</v>
      </c>
      <c r="R660" s="22" t="str">
        <f>IFERROR(__xludf.DUMMYFUNCTION("""COMPUTED_VALUE"""),"")</f>
        <v/>
      </c>
    </row>
    <row r="661">
      <c r="A661" s="15">
        <f>IFERROR(__xludf.DUMMYFUNCTION("""COMPUTED_VALUE"""),45016.0)</f>
        <v>45016</v>
      </c>
      <c r="B661" s="16" t="str">
        <f>IFERROR(__xludf.DUMMYFUNCTION("""COMPUTED_VALUE"""),"Envia")</f>
        <v>Envia</v>
      </c>
      <c r="C661" s="15" t="str">
        <f>IFERROR(__xludf.DUMMYFUNCTION("""COMPUTED_VALUE"""),"CARTAGENA")</f>
        <v>CARTAGENA</v>
      </c>
      <c r="D661" s="15" t="str">
        <f>IFERROR(__xludf.DUMMYFUNCTION("""COMPUTED_VALUE"""),"BOGOTÁ")</f>
        <v>BOGOTÁ</v>
      </c>
      <c r="E661" s="15" t="str">
        <f>IFERROR(__xludf.DUMMYFUNCTION("""COMPUTED_VALUE"""),"Athenas")</f>
        <v>Athenas</v>
      </c>
      <c r="F661" s="17" t="str">
        <f>IFERROR(__xludf.DUMMYFUNCTION("""COMPUTED_VALUE"""),"centro comercial plaza / cafeteria athenas de bodytech / bocagrande")</f>
        <v>centro comercial plaza / cafeteria athenas de bodytech / bocagrande</v>
      </c>
      <c r="G661" s="15" t="str">
        <f>IFERROR(__xludf.DUMMYFUNCTION("""COMPUTED_VALUE"""),"Meyler Lee Reales")</f>
        <v>Meyler Lee Reales</v>
      </c>
      <c r="H661" s="18">
        <f>IFERROR(__xludf.DUMMYFUNCTION("""COMPUTED_VALUE"""),9287.0)</f>
        <v>9287</v>
      </c>
      <c r="I661" s="18">
        <f>IFERROR(__xludf.DUMMYFUNCTION("""COMPUTED_VALUE"""),21.0)</f>
        <v>21</v>
      </c>
      <c r="J661" s="18">
        <f>IFERROR(__xludf.DUMMYFUNCTION("""COMPUTED_VALUE"""),50.0)</f>
        <v>50</v>
      </c>
      <c r="K661" s="18">
        <f>IFERROR(__xludf.DUMMYFUNCTION("""COMPUTED_VALUE"""),30.0)</f>
        <v>30</v>
      </c>
      <c r="L661" s="17">
        <f>IFERROR(__xludf.DUMMYFUNCTION("""COMPUTED_VALUE"""),3.233856067E9)</f>
        <v>3233856067</v>
      </c>
      <c r="M661" s="17" t="str">
        <f>IFERROR(__xludf.DUMMYFUNCTION("""COMPUTED_VALUE"""),"#REF!")</f>
        <v>#REF!</v>
      </c>
      <c r="N661" s="17"/>
      <c r="O661" s="19" t="str">
        <f>IFERROR(__xludf.DUMMYFUNCTION("""COMPUTED_VALUE"""),"")</f>
        <v/>
      </c>
      <c r="P661" s="17" t="b">
        <f>IFERROR(__xludf.DUMMYFUNCTION("""COMPUTED_VALUE"""),TRUE)</f>
        <v>1</v>
      </c>
      <c r="Q661" s="20">
        <f>IFERROR(__xludf.DUMMYFUNCTION("""COMPUTED_VALUE"""),45016.71394216435)</f>
        <v>45016.71394</v>
      </c>
      <c r="R661" s="22" t="str">
        <f>IFERROR(__xludf.DUMMYFUNCTION("""COMPUTED_VALUE"""),"")</f>
        <v/>
      </c>
    </row>
    <row r="662">
      <c r="A662" s="15">
        <f>IFERROR(__xludf.DUMMYFUNCTION("""COMPUTED_VALUE"""),45016.0)</f>
        <v>45016</v>
      </c>
      <c r="B662" s="16" t="str">
        <f>IFERROR(__xludf.DUMMYFUNCTION("""COMPUTED_VALUE"""),"Envia")</f>
        <v>Envia</v>
      </c>
      <c r="C662" s="15" t="str">
        <f>IFERROR(__xludf.DUMMYFUNCTION("""COMPUTED_VALUE"""),"CÚCUTA")</f>
        <v>CÚCUTA</v>
      </c>
      <c r="D662" s="15" t="str">
        <f>IFERROR(__xludf.DUMMYFUNCTION("""COMPUTED_VALUE"""),"MEDELLÍN")</f>
        <v>MEDELLÍN</v>
      </c>
      <c r="E662" s="15" t="str">
        <f>IFERROR(__xludf.DUMMYFUNCTION("""COMPUTED_VALUE"""),"Rambla")</f>
        <v>Rambla</v>
      </c>
      <c r="F662" s="17" t="str">
        <f>IFERROR(__xludf.DUMMYFUNCTION("""COMPUTED_VALUE"""),"Variante la floresta, subiendo pinar del rio, urb montealina casa B29. Cucuta - norte de santander / NA / NA")</f>
        <v>Variante la floresta, subiendo pinar del rio, urb montealina casa B29. Cucuta - norte de santander / NA / NA</v>
      </c>
      <c r="G662" s="15" t="str">
        <f>IFERROR(__xludf.DUMMYFUNCTION("""COMPUTED_VALUE"""),"Puerto Foods")</f>
        <v>Puerto Foods</v>
      </c>
      <c r="H662" s="18">
        <f>IFERROR(__xludf.DUMMYFUNCTION("""COMPUTED_VALUE"""),9310.0)</f>
        <v>9310</v>
      </c>
      <c r="I662" s="18">
        <f>IFERROR(__xludf.DUMMYFUNCTION("""COMPUTED_VALUE"""),19.0)</f>
        <v>19</v>
      </c>
      <c r="J662" s="18">
        <f>IFERROR(__xludf.DUMMYFUNCTION("""COMPUTED_VALUE"""),23.0)</f>
        <v>23</v>
      </c>
      <c r="K662" s="18">
        <f>IFERROR(__xludf.DUMMYFUNCTION("""COMPUTED_VALUE"""),25.0)</f>
        <v>25</v>
      </c>
      <c r="L662" s="17">
        <f>IFERROR(__xludf.DUMMYFUNCTION("""COMPUTED_VALUE"""),3.103870372E9)</f>
        <v>3103870372</v>
      </c>
      <c r="M662" s="17" t="str">
        <f>IFERROR(__xludf.DUMMYFUNCTION("""COMPUTED_VALUE"""),"#REF!")</f>
        <v>#REF!</v>
      </c>
      <c r="N662" s="17"/>
      <c r="O662" s="19" t="str">
        <f>IFERROR(__xludf.DUMMYFUNCTION("""COMPUTED_VALUE"""),"")</f>
        <v/>
      </c>
      <c r="P662" s="17" t="b">
        <f>IFERROR(__xludf.DUMMYFUNCTION("""COMPUTED_VALUE"""),TRUE)</f>
        <v>1</v>
      </c>
      <c r="Q662" s="20">
        <f>IFERROR(__xludf.DUMMYFUNCTION("""COMPUTED_VALUE"""),45016.71394216435)</f>
        <v>45016.71394</v>
      </c>
      <c r="R662" s="22" t="str">
        <f>IFERROR(__xludf.DUMMYFUNCTION("""COMPUTED_VALUE"""),"")</f>
        <v/>
      </c>
    </row>
    <row r="663">
      <c r="A663" s="15">
        <f>IFERROR(__xludf.DUMMYFUNCTION("""COMPUTED_VALUE"""),45016.0)</f>
        <v>45016</v>
      </c>
      <c r="B663" s="16" t="str">
        <f>IFERROR(__xludf.DUMMYFUNCTION("""COMPUTED_VALUE"""),"Envia")</f>
        <v>Envia</v>
      </c>
      <c r="C663" s="15" t="str">
        <f>IFERROR(__xludf.DUMMYFUNCTION("""COMPUTED_VALUE"""),"CÚCUTA")</f>
        <v>CÚCUTA</v>
      </c>
      <c r="D663" s="15" t="str">
        <f>IFERROR(__xludf.DUMMYFUNCTION("""COMPUTED_VALUE"""),"MEDELLÍN")</f>
        <v>MEDELLÍN</v>
      </c>
      <c r="E663" s="15" t="str">
        <f>IFERROR(__xludf.DUMMYFUNCTION("""COMPUTED_VALUE"""),"Todo Bufala")</f>
        <v>Todo Bufala</v>
      </c>
      <c r="F663" s="17" t="str">
        <f>IFERROR(__xludf.DUMMYFUNCTION("""COMPUTED_VALUE"""),"Calle 17 av 1E 131")</f>
        <v>Calle 17 av 1E 131</v>
      </c>
      <c r="G663" s="15" t="str">
        <f>IFERROR(__xludf.DUMMYFUNCTION("""COMPUTED_VALUE"""),"Diana Villan")</f>
        <v>Diana Villan</v>
      </c>
      <c r="H663" s="18">
        <f>IFERROR(__xludf.DUMMYFUNCTION("""COMPUTED_VALUE"""),9327.0)</f>
        <v>9327</v>
      </c>
      <c r="I663" s="18">
        <f>IFERROR(__xludf.DUMMYFUNCTION("""COMPUTED_VALUE"""),40.0)</f>
        <v>40</v>
      </c>
      <c r="J663" s="18">
        <f>IFERROR(__xludf.DUMMYFUNCTION("""COMPUTED_VALUE"""),30.0)</f>
        <v>30</v>
      </c>
      <c r="K663" s="18">
        <f>IFERROR(__xludf.DUMMYFUNCTION("""COMPUTED_VALUE"""),10.0)</f>
        <v>10</v>
      </c>
      <c r="L663" s="17">
        <f>IFERROR(__xludf.DUMMYFUNCTION("""COMPUTED_VALUE"""),3.023489229E9)</f>
        <v>3023489229</v>
      </c>
      <c r="M663" s="17" t="str">
        <f>IFERROR(__xludf.DUMMYFUNCTION("""COMPUTED_VALUE"""),"#REF!")</f>
        <v>#REF!</v>
      </c>
      <c r="N663" s="17"/>
      <c r="O663" s="19" t="str">
        <f>IFERROR(__xludf.DUMMYFUNCTION("""COMPUTED_VALUE"""),"")</f>
        <v/>
      </c>
      <c r="P663" s="17" t="b">
        <f>IFERROR(__xludf.DUMMYFUNCTION("""COMPUTED_VALUE"""),TRUE)</f>
        <v>1</v>
      </c>
      <c r="Q663" s="20">
        <f>IFERROR(__xludf.DUMMYFUNCTION("""COMPUTED_VALUE"""),45016.438214814814)</f>
        <v>45016.43821</v>
      </c>
      <c r="R663" s="22" t="str">
        <f>IFERROR(__xludf.DUMMYFUNCTION("""COMPUTED_VALUE"""),"")</f>
        <v/>
      </c>
    </row>
    <row r="664">
      <c r="A664" s="15">
        <f>IFERROR(__xludf.DUMMYFUNCTION("""COMPUTED_VALUE"""),45016.0)</f>
        <v>45016</v>
      </c>
      <c r="B664" s="16" t="str">
        <f>IFERROR(__xludf.DUMMYFUNCTION("""COMPUTED_VALUE"""),"Envia")</f>
        <v>Envia</v>
      </c>
      <c r="C664" s="15" t="str">
        <f>IFERROR(__xludf.DUMMYFUNCTION("""COMPUTED_VALUE"""),"CÚCUTA")</f>
        <v>CÚCUTA</v>
      </c>
      <c r="D664" s="15" t="str">
        <f>IFERROR(__xludf.DUMMYFUNCTION("""COMPUTED_VALUE"""),"MEDELLÍN")</f>
        <v>MEDELLÍN</v>
      </c>
      <c r="E664" s="15" t="str">
        <f>IFERROR(__xludf.DUMMYFUNCTION("""COMPUTED_VALUE"""),"Todo Bufala")</f>
        <v>Todo Bufala</v>
      </c>
      <c r="F664" s="17" t="str">
        <f>IFERROR(__xludf.DUMMYFUNCTION("""COMPUTED_VALUE"""),"Calle 17 av 1E 131")</f>
        <v>Calle 17 av 1E 131</v>
      </c>
      <c r="G664" s="15" t="str">
        <f>IFERROR(__xludf.DUMMYFUNCTION("""COMPUTED_VALUE"""),"Diana Villan")</f>
        <v>Diana Villan</v>
      </c>
      <c r="H664" s="18">
        <f>IFERROR(__xludf.DUMMYFUNCTION("""COMPUTED_VALUE"""),9328.0)</f>
        <v>9328</v>
      </c>
      <c r="I664" s="18">
        <f>IFERROR(__xludf.DUMMYFUNCTION("""COMPUTED_VALUE"""),40.0)</f>
        <v>40</v>
      </c>
      <c r="J664" s="18">
        <f>IFERROR(__xludf.DUMMYFUNCTION("""COMPUTED_VALUE"""),30.0)</f>
        <v>30</v>
      </c>
      <c r="K664" s="18">
        <f>IFERROR(__xludf.DUMMYFUNCTION("""COMPUTED_VALUE"""),20.0)</f>
        <v>20</v>
      </c>
      <c r="L664" s="17">
        <f>IFERROR(__xludf.DUMMYFUNCTION("""COMPUTED_VALUE"""),3.023489229E9)</f>
        <v>3023489229</v>
      </c>
      <c r="M664" s="17" t="str">
        <f>IFERROR(__xludf.DUMMYFUNCTION("""COMPUTED_VALUE"""),"#REF!")</f>
        <v>#REF!</v>
      </c>
      <c r="N664" s="17"/>
      <c r="O664" s="19" t="str">
        <f>IFERROR(__xludf.DUMMYFUNCTION("""COMPUTED_VALUE"""),"")</f>
        <v/>
      </c>
      <c r="P664" s="17" t="b">
        <f>IFERROR(__xludf.DUMMYFUNCTION("""COMPUTED_VALUE"""),TRUE)</f>
        <v>1</v>
      </c>
      <c r="Q664" s="20">
        <f>IFERROR(__xludf.DUMMYFUNCTION("""COMPUTED_VALUE"""),45016.71394216435)</f>
        <v>45016.71394</v>
      </c>
      <c r="R664" s="22" t="str">
        <f>IFERROR(__xludf.DUMMYFUNCTION("""COMPUTED_VALUE"""),"")</f>
        <v/>
      </c>
    </row>
    <row r="665">
      <c r="A665" s="15">
        <f>IFERROR(__xludf.DUMMYFUNCTION("""COMPUTED_VALUE"""),45016.0)</f>
        <v>45016</v>
      </c>
      <c r="B665" s="16" t="str">
        <f>IFERROR(__xludf.DUMMYFUNCTION("""COMPUTED_VALUE"""),"Envia")</f>
        <v>Envia</v>
      </c>
      <c r="C665" s="15" t="str">
        <f>IFERROR(__xludf.DUMMYFUNCTION("""COMPUTED_VALUE"""),"IBAGUÉ")</f>
        <v>IBAGUÉ</v>
      </c>
      <c r="D665" s="15" t="str">
        <f>IFERROR(__xludf.DUMMYFUNCTION("""COMPUTED_VALUE"""),"BOGOTÁ")</f>
        <v>BOGOTÁ</v>
      </c>
      <c r="E665" s="15" t="str">
        <f>IFERROR(__xludf.DUMMYFUNCTION("""COMPUTED_VALUE"""),"Mochi")</f>
        <v>Mochi</v>
      </c>
      <c r="F665" s="17" t="str">
        <f>IFERROR(__xludf.DUMMYFUNCTION("""COMPUTED_VALUE"""),"Calle 60 12 224 / Isla 101 2 b dulce maria / Centro comercial")</f>
        <v>Calle 60 12 224 / Isla 101 2 b dulce maria / Centro comercial</v>
      </c>
      <c r="G665" s="15" t="str">
        <f>IFERROR(__xludf.DUMMYFUNCTION("""COMPUTED_VALUE"""),"Diego Garcia")</f>
        <v>Diego Garcia</v>
      </c>
      <c r="H665" s="18">
        <f>IFERROR(__xludf.DUMMYFUNCTION("""COMPUTED_VALUE"""),9353.0)</f>
        <v>9353</v>
      </c>
      <c r="I665" s="18">
        <f>IFERROR(__xludf.DUMMYFUNCTION("""COMPUTED_VALUE"""),55.0)</f>
        <v>55</v>
      </c>
      <c r="J665" s="18">
        <f>IFERROR(__xludf.DUMMYFUNCTION("""COMPUTED_VALUE"""),45.0)</f>
        <v>45</v>
      </c>
      <c r="K665" s="18" t="str">
        <f>IFERROR(__xludf.DUMMYFUNCTION("""COMPUTED_VALUE"""),"52.5")</f>
        <v>52.5</v>
      </c>
      <c r="L665" s="17">
        <f>IFERROR(__xludf.DUMMYFUNCTION("""COMPUTED_VALUE"""),3.152686881E9)</f>
        <v>3152686881</v>
      </c>
      <c r="M665" s="17" t="str">
        <f>IFERROR(__xludf.DUMMYFUNCTION("""COMPUTED_VALUE"""),"#REF!")</f>
        <v>#REF!</v>
      </c>
      <c r="N665" s="17"/>
      <c r="O665" s="19" t="str">
        <f>IFERROR(__xludf.DUMMYFUNCTION("""COMPUTED_VALUE"""),"")</f>
        <v/>
      </c>
      <c r="P665" s="17" t="b">
        <f>IFERROR(__xludf.DUMMYFUNCTION("""COMPUTED_VALUE"""),TRUE)</f>
        <v>1</v>
      </c>
      <c r="Q665" s="20">
        <f>IFERROR(__xludf.DUMMYFUNCTION("""COMPUTED_VALUE"""),45016.71394216435)</f>
        <v>45016.71394</v>
      </c>
      <c r="R665" s="22" t="str">
        <f>IFERROR(__xludf.DUMMYFUNCTION("""COMPUTED_VALUE"""),"")</f>
        <v/>
      </c>
    </row>
    <row r="666">
      <c r="A666" s="15">
        <f>IFERROR(__xludf.DUMMYFUNCTION("""COMPUTED_VALUE"""),45016.0)</f>
        <v>45016</v>
      </c>
      <c r="B666" s="16" t="str">
        <f>IFERROR(__xludf.DUMMYFUNCTION("""COMPUTED_VALUE"""),"Envia")</f>
        <v>Envia</v>
      </c>
      <c r="C666" s="15" t="str">
        <f>IFERROR(__xludf.DUMMYFUNCTION("""COMPUTED_VALUE"""),"MEDELLÍN")</f>
        <v>MEDELLÍN</v>
      </c>
      <c r="D666" s="15" t="str">
        <f>IFERROR(__xludf.DUMMYFUNCTION("""COMPUTED_VALUE"""),"BOGOTÁ")</f>
        <v>BOGOTÁ</v>
      </c>
      <c r="E666" s="15" t="str">
        <f>IFERROR(__xludf.DUMMYFUNCTION("""COMPUTED_VALUE"""),"MAI ALIMENTOS S.A.S")</f>
        <v>MAI ALIMENTOS S.A.S</v>
      </c>
      <c r="F666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666" s="15" t="str">
        <f>IFERROR(__xludf.DUMMYFUNCTION("""COMPUTED_VALUE"""),"Novaventas - Medellin")</f>
        <v>Novaventas - Medellin</v>
      </c>
      <c r="H666" s="18">
        <f>IFERROR(__xludf.DUMMYFUNCTION("""COMPUTED_VALUE"""),9254.0)</f>
        <v>9254</v>
      </c>
      <c r="I666" s="18">
        <f>IFERROR(__xludf.DUMMYFUNCTION("""COMPUTED_VALUE"""),35.0)</f>
        <v>35</v>
      </c>
      <c r="J666" s="18">
        <f>IFERROR(__xludf.DUMMYFUNCTION("""COMPUTED_VALUE"""),17.0)</f>
        <v>17</v>
      </c>
      <c r="K666" s="18">
        <f>IFERROR(__xludf.DUMMYFUNCTION("""COMPUTED_VALUE"""),13.0)</f>
        <v>13</v>
      </c>
      <c r="L666" s="17">
        <f>IFERROR(__xludf.DUMMYFUNCTION("""COMPUTED_VALUE"""),3.187351593E9)</f>
        <v>3187351593</v>
      </c>
      <c r="M666" s="17" t="str">
        <f>IFERROR(__xludf.DUMMYFUNCTION("""COMPUTED_VALUE"""),"#REF!")</f>
        <v>#REF!</v>
      </c>
      <c r="N666" s="17"/>
      <c r="O666" s="19" t="str">
        <f>IFERROR(__xludf.DUMMYFUNCTION("""COMPUTED_VALUE"""),"")</f>
        <v/>
      </c>
      <c r="P666" s="17" t="b">
        <f>IFERROR(__xludf.DUMMYFUNCTION("""COMPUTED_VALUE"""),TRUE)</f>
        <v>1</v>
      </c>
      <c r="Q666" s="20">
        <f>IFERROR(__xludf.DUMMYFUNCTION("""COMPUTED_VALUE"""),45016.71394216435)</f>
        <v>45016.71394</v>
      </c>
      <c r="R666" s="22" t="str">
        <f>IFERROR(__xludf.DUMMYFUNCTION("""COMPUTED_VALUE"""),"")</f>
        <v/>
      </c>
    </row>
    <row r="667">
      <c r="A667" s="15">
        <f>IFERROR(__xludf.DUMMYFUNCTION("""COMPUTED_VALUE"""),45016.0)</f>
        <v>45016</v>
      </c>
      <c r="B667" s="16" t="str">
        <f>IFERROR(__xludf.DUMMYFUNCTION("""COMPUTED_VALUE"""),"Envia")</f>
        <v>Envia</v>
      </c>
      <c r="C667" s="15" t="str">
        <f>IFERROR(__xludf.DUMMYFUNCTION("""COMPUTED_VALUE"""),"MEDELLÍN")</f>
        <v>MEDELLÍN</v>
      </c>
      <c r="D667" s="15" t="str">
        <f>IFERROR(__xludf.DUMMYFUNCTION("""COMPUTED_VALUE"""),"BOGOTÁ")</f>
        <v>BOGOTÁ</v>
      </c>
      <c r="E667" s="15" t="str">
        <f>IFERROR(__xludf.DUMMYFUNCTION("""COMPUTED_VALUE"""),"Mochi")</f>
        <v>Mochi</v>
      </c>
      <c r="F667" s="17" t="str">
        <f>IFERROR(__xludf.DUMMYFUNCTION("""COMPUTED_VALUE"""),"centro comercial viva envigado / viva envigado / viva envigado")</f>
        <v>centro comercial viva envigado / viva envigado / viva envigado</v>
      </c>
      <c r="G667" s="15" t="str">
        <f>IFERROR(__xludf.DUMMYFUNCTION("""COMPUTED_VALUE"""),"mauricio mora")</f>
        <v>mauricio mora</v>
      </c>
      <c r="H667" s="18">
        <f>IFERROR(__xludf.DUMMYFUNCTION("""COMPUTED_VALUE"""),9345.0)</f>
        <v>9345</v>
      </c>
      <c r="I667" s="18">
        <f>IFERROR(__xludf.DUMMYFUNCTION("""COMPUTED_VALUE"""),220.0)</f>
        <v>220</v>
      </c>
      <c r="J667" s="18">
        <f>IFERROR(__xludf.DUMMYFUNCTION("""COMPUTED_VALUE"""),45.0)</f>
        <v>45</v>
      </c>
      <c r="K667" s="18" t="str">
        <f>IFERROR(__xludf.DUMMYFUNCTION("""COMPUTED_VALUE"""),"52.5")</f>
        <v>52.5</v>
      </c>
      <c r="L667" s="17">
        <f>IFERROR(__xludf.DUMMYFUNCTION("""COMPUTED_VALUE"""),3.115177645E9)</f>
        <v>3115177645</v>
      </c>
      <c r="M667" s="17" t="str">
        <f>IFERROR(__xludf.DUMMYFUNCTION("""COMPUTED_VALUE"""),"#REF!")</f>
        <v>#REF!</v>
      </c>
      <c r="N667" s="17"/>
      <c r="O667" s="19" t="str">
        <f>IFERROR(__xludf.DUMMYFUNCTION("""COMPUTED_VALUE"""),"")</f>
        <v/>
      </c>
      <c r="P667" s="17" t="b">
        <f>IFERROR(__xludf.DUMMYFUNCTION("""COMPUTED_VALUE"""),TRUE)</f>
        <v>1</v>
      </c>
      <c r="Q667" s="20">
        <f>IFERROR(__xludf.DUMMYFUNCTION("""COMPUTED_VALUE"""),45016.71394216435)</f>
        <v>45016.71394</v>
      </c>
      <c r="R667" s="22" t="str">
        <f>IFERROR(__xludf.DUMMYFUNCTION("""COMPUTED_VALUE"""),"")</f>
        <v/>
      </c>
    </row>
    <row r="668">
      <c r="A668" s="15">
        <f>IFERROR(__xludf.DUMMYFUNCTION("""COMPUTED_VALUE"""),45016.0)</f>
        <v>45016</v>
      </c>
      <c r="B668" s="16" t="str">
        <f>IFERROR(__xludf.DUMMYFUNCTION("""COMPUTED_VALUE"""),"Envia")</f>
        <v>Envia</v>
      </c>
      <c r="C668" s="15" t="str">
        <f>IFERROR(__xludf.DUMMYFUNCTION("""COMPUTED_VALUE"""),"PALMIRA")</f>
        <v>PALMIRA</v>
      </c>
      <c r="D668" s="15" t="str">
        <f>IFERROR(__xludf.DUMMYFUNCTION("""COMPUTED_VALUE"""),"MEDELLÍN")</f>
        <v>MEDELLÍN</v>
      </c>
      <c r="E668" s="15" t="str">
        <f>IFERROR(__xludf.DUMMYFUNCTION("""COMPUTED_VALUE"""),"Rambla")</f>
        <v>Rambla</v>
      </c>
      <c r="F668" s="17" t="str">
        <f>IFERROR(__xludf.DUMMYFUNCTION("""COMPUTED_VALUE"""),"Kra 28 nro 35 13 / na / na")</f>
        <v>Kra 28 nro 35 13 / na / na</v>
      </c>
      <c r="G668" s="15" t="str">
        <f>IFERROR(__xludf.DUMMYFUNCTION("""COMPUTED_VALUE"""),"Ñomy")</f>
        <v>Ñomy</v>
      </c>
      <c r="H668" s="18">
        <f>IFERROR(__xludf.DUMMYFUNCTION("""COMPUTED_VALUE"""),9314.0)</f>
        <v>9314</v>
      </c>
      <c r="I668" s="18">
        <f>IFERROR(__xludf.DUMMYFUNCTION("""COMPUTED_VALUE"""),24.0)</f>
        <v>24</v>
      </c>
      <c r="J668" s="18">
        <f>IFERROR(__xludf.DUMMYFUNCTION("""COMPUTED_VALUE"""),28.0)</f>
        <v>28</v>
      </c>
      <c r="K668" s="18">
        <f>IFERROR(__xludf.DUMMYFUNCTION("""COMPUTED_VALUE"""),30.0)</f>
        <v>30</v>
      </c>
      <c r="L668" s="17">
        <f>IFERROR(__xludf.DUMMYFUNCTION("""COMPUTED_VALUE"""),3.18401991E9)</f>
        <v>3184019910</v>
      </c>
      <c r="M668" s="17" t="str">
        <f>IFERROR(__xludf.DUMMYFUNCTION("""COMPUTED_VALUE"""),"#REF!")</f>
        <v>#REF!</v>
      </c>
      <c r="N668" s="17"/>
      <c r="O668" s="19" t="str">
        <f>IFERROR(__xludf.DUMMYFUNCTION("""COMPUTED_VALUE"""),"")</f>
        <v/>
      </c>
      <c r="P668" s="17" t="b">
        <f>IFERROR(__xludf.DUMMYFUNCTION("""COMPUTED_VALUE"""),TRUE)</f>
        <v>1</v>
      </c>
      <c r="Q668" s="20">
        <f>IFERROR(__xludf.DUMMYFUNCTION("""COMPUTED_VALUE"""),45016.71394216435)</f>
        <v>45016.71394</v>
      </c>
      <c r="R668" s="22" t="str">
        <f>IFERROR(__xludf.DUMMYFUNCTION("""COMPUTED_VALUE"""),"")</f>
        <v/>
      </c>
    </row>
    <row r="669">
      <c r="A669" s="15">
        <f>IFERROR(__xludf.DUMMYFUNCTION("""COMPUTED_VALUE"""),45016.0)</f>
        <v>45016</v>
      </c>
      <c r="B669" s="16" t="str">
        <f>IFERROR(__xludf.DUMMYFUNCTION("""COMPUTED_VALUE"""),"Envia")</f>
        <v>Envia</v>
      </c>
      <c r="C669" s="15" t="str">
        <f>IFERROR(__xludf.DUMMYFUNCTION("""COMPUTED_VALUE"""),"POPAYAN")</f>
        <v>POPAYAN</v>
      </c>
      <c r="D669" s="15" t="str">
        <f>IFERROR(__xludf.DUMMYFUNCTION("""COMPUTED_VALUE"""),"BOGOTÁ")</f>
        <v>BOGOTÁ</v>
      </c>
      <c r="E669" s="15" t="str">
        <f>IFERROR(__xludf.DUMMYFUNCTION("""COMPUTED_VALUE"""),"Top Spun")</f>
        <v>Top Spun</v>
      </c>
      <c r="F669" s="17" t="str">
        <f>IFERROR(__xludf.DUMMYFUNCTION("""COMPUTED_VALUE"""),"Calle 80 Norte # 7 - 76 / casa 38, Conjunto Sendero de Eucaliptos / Popayán, Cauca")</f>
        <v>Calle 80 Norte # 7 - 76 / casa 38, Conjunto Sendero de Eucaliptos / Popayán, Cauca</v>
      </c>
      <c r="G669" s="15" t="str">
        <f>IFERROR(__xludf.DUMMYFUNCTION("""COMPUTED_VALUE"""),"MARIA DEL ROSARIO GARZON")</f>
        <v>MARIA DEL ROSARIO GARZON</v>
      </c>
      <c r="H669" s="18">
        <f>IFERROR(__xludf.DUMMYFUNCTION("""COMPUTED_VALUE"""),9278.0)</f>
        <v>9278</v>
      </c>
      <c r="I669" s="18">
        <f>IFERROR(__xludf.DUMMYFUNCTION("""COMPUTED_VALUE"""),25.0)</f>
        <v>25</v>
      </c>
      <c r="J669" s="18">
        <f>IFERROR(__xludf.DUMMYFUNCTION("""COMPUTED_VALUE"""),30.0)</f>
        <v>30</v>
      </c>
      <c r="K669" s="18">
        <f>IFERROR(__xludf.DUMMYFUNCTION("""COMPUTED_VALUE"""),40.0)</f>
        <v>40</v>
      </c>
      <c r="L669" s="17">
        <f>IFERROR(__xludf.DUMMYFUNCTION("""COMPUTED_VALUE"""),3.017486069E9)</f>
        <v>3017486069</v>
      </c>
      <c r="M669" s="17" t="str">
        <f>IFERROR(__xludf.DUMMYFUNCTION("""COMPUTED_VALUE"""),"#REF!")</f>
        <v>#REF!</v>
      </c>
      <c r="N669" s="17"/>
      <c r="O669" s="19" t="str">
        <f>IFERROR(__xludf.DUMMYFUNCTION("""COMPUTED_VALUE"""),"")</f>
        <v/>
      </c>
      <c r="P669" s="17" t="b">
        <f>IFERROR(__xludf.DUMMYFUNCTION("""COMPUTED_VALUE"""),FALSE)</f>
        <v>0</v>
      </c>
      <c r="Q669" s="20" t="str">
        <f>IFERROR(__xludf.DUMMYFUNCTION("""COMPUTED_VALUE"""),"")</f>
        <v/>
      </c>
      <c r="R669" s="22" t="str">
        <f>IFERROR(__xludf.DUMMYFUNCTION("""COMPUTED_VALUE"""),"")</f>
        <v/>
      </c>
    </row>
    <row r="670">
      <c r="A670" s="15">
        <f>IFERROR(__xludf.DUMMYFUNCTION("""COMPUTED_VALUE"""),45016.0)</f>
        <v>45016</v>
      </c>
      <c r="B670" s="16" t="str">
        <f>IFERROR(__xludf.DUMMYFUNCTION("""COMPUTED_VALUE"""),"Envia")</f>
        <v>Envia</v>
      </c>
      <c r="C670" s="15" t="str">
        <f>IFERROR(__xludf.DUMMYFUNCTION("""COMPUTED_VALUE"""),"SANTA MARTA")</f>
        <v>SANTA MARTA</v>
      </c>
      <c r="D670" s="15" t="str">
        <f>IFERROR(__xludf.DUMMYFUNCTION("""COMPUTED_VALUE"""),"BOGOTÁ")</f>
        <v>BOGOTÁ</v>
      </c>
      <c r="E670" s="15" t="str">
        <f>IFERROR(__xludf.DUMMYFUNCTION("""COMPUTED_VALUE"""),"Evamazzita")</f>
        <v>Evamazzita</v>
      </c>
      <c r="F670" s="17" t="str">
        <f>IFERROR(__xludf.DUMMYFUNCTION("""COMPUTED_VALUE"""),"Carrera 19 # 11 - 30 / Segundo Piso / N/A")</f>
        <v>Carrera 19 # 11 - 30 / Segundo Piso / N/A</v>
      </c>
      <c r="G670" s="15" t="str">
        <f>IFERROR(__xludf.DUMMYFUNCTION("""COMPUTED_VALUE"""),"MAYA CADENA")</f>
        <v>MAYA CADENA</v>
      </c>
      <c r="H670" s="18">
        <f>IFERROR(__xludf.DUMMYFUNCTION("""COMPUTED_VALUE"""),9288.0)</f>
        <v>9288</v>
      </c>
      <c r="I670" s="18">
        <f>IFERROR(__xludf.DUMMYFUNCTION("""COMPUTED_VALUE"""),8.0)</f>
        <v>8</v>
      </c>
      <c r="J670" s="18">
        <f>IFERROR(__xludf.DUMMYFUNCTION("""COMPUTED_VALUE"""),19.0)</f>
        <v>19</v>
      </c>
      <c r="K670" s="18">
        <f>IFERROR(__xludf.DUMMYFUNCTION("""COMPUTED_VALUE"""),14.0)</f>
        <v>14</v>
      </c>
      <c r="L670" s="17">
        <f>IFERROR(__xludf.DUMMYFUNCTION("""COMPUTED_VALUE"""),3.012318065E9)</f>
        <v>3012318065</v>
      </c>
      <c r="M670" s="17" t="str">
        <f>IFERROR(__xludf.DUMMYFUNCTION("""COMPUTED_VALUE"""),"#REF!")</f>
        <v>#REF!</v>
      </c>
      <c r="N670" s="17"/>
      <c r="O670" s="19" t="str">
        <f>IFERROR(__xludf.DUMMYFUNCTION("""COMPUTED_VALUE"""),"")</f>
        <v/>
      </c>
      <c r="P670" s="17" t="b">
        <f>IFERROR(__xludf.DUMMYFUNCTION("""COMPUTED_VALUE"""),FALSE)</f>
        <v>0</v>
      </c>
      <c r="Q670" s="20" t="str">
        <f>IFERROR(__xludf.DUMMYFUNCTION("""COMPUTED_VALUE"""),"")</f>
        <v/>
      </c>
      <c r="R670" s="22" t="str">
        <f>IFERROR(__xludf.DUMMYFUNCTION("""COMPUTED_VALUE"""),"")</f>
        <v/>
      </c>
    </row>
    <row r="671">
      <c r="A671" s="17" t="str">
        <f>IFERROR(__xludf.DUMMYFUNCTION("""COMPUTED_VALUE"""),"")</f>
        <v/>
      </c>
      <c r="B671" s="17" t="str">
        <f>IFERROR(__xludf.DUMMYFUNCTION("""COMPUTED_VALUE"""),"")</f>
        <v/>
      </c>
      <c r="C671" s="17" t="str">
        <f>IFERROR(__xludf.DUMMYFUNCTION("""COMPUTED_VALUE"""),"")</f>
        <v/>
      </c>
      <c r="D671" s="17" t="str">
        <f>IFERROR(__xludf.DUMMYFUNCTION("""COMPUTED_VALUE"""),"")</f>
        <v/>
      </c>
      <c r="E671" s="17" t="str">
        <f>IFERROR(__xludf.DUMMYFUNCTION("""COMPUTED_VALUE"""),"")</f>
        <v/>
      </c>
      <c r="F671" s="17" t="str">
        <f>IFERROR(__xludf.DUMMYFUNCTION("""COMPUTED_VALUE"""),"")</f>
        <v/>
      </c>
      <c r="G671" s="17" t="str">
        <f>IFERROR(__xludf.DUMMYFUNCTION("""COMPUTED_VALUE"""),"")</f>
        <v/>
      </c>
      <c r="H671" s="17" t="str">
        <f>IFERROR(__xludf.DUMMYFUNCTION("""COMPUTED_VALUE"""),"")</f>
        <v/>
      </c>
      <c r="I671" s="17" t="str">
        <f>IFERROR(__xludf.DUMMYFUNCTION("""COMPUTED_VALUE"""),"")</f>
        <v/>
      </c>
      <c r="J671" s="17" t="str">
        <f>IFERROR(__xludf.DUMMYFUNCTION("""COMPUTED_VALUE"""),"")</f>
        <v/>
      </c>
      <c r="K671" s="17" t="str">
        <f>IFERROR(__xludf.DUMMYFUNCTION("""COMPUTED_VALUE"""),"")</f>
        <v/>
      </c>
      <c r="L671" s="17" t="str">
        <f>IFERROR(__xludf.DUMMYFUNCTION("""COMPUTED_VALUE"""),"")</f>
        <v/>
      </c>
      <c r="M671" s="17" t="str">
        <f>IFERROR(__xludf.DUMMYFUNCTION("""COMPUTED_VALUE"""),"")</f>
        <v/>
      </c>
      <c r="N671" s="17" t="str">
        <f>IFERROR(__xludf.DUMMYFUNCTION("""COMPUTED_VALUE"""),"")</f>
        <v/>
      </c>
      <c r="O671" s="17" t="str">
        <f>IFERROR(__xludf.DUMMYFUNCTION("""COMPUTED_VALUE"""),"")</f>
        <v/>
      </c>
      <c r="P671" s="17" t="str">
        <f>IFERROR(__xludf.DUMMYFUNCTION("""COMPUTED_VALUE"""),"")</f>
        <v/>
      </c>
      <c r="Q671" s="17" t="str">
        <f>IFERROR(__xludf.DUMMYFUNCTION("""COMPUTED_VALUE"""),"")</f>
        <v/>
      </c>
      <c r="R671" s="17" t="str">
        <f>IFERROR(__xludf.DUMMYFUNCTION("""COMPUTED_VALUE"""),"")</f>
        <v/>
      </c>
    </row>
    <row r="672">
      <c r="A672" s="15">
        <f>IFERROR(__xludf.DUMMYFUNCTION("""COMPUTED_VALUE"""),45016.0)</f>
        <v>45016</v>
      </c>
      <c r="B672" s="16" t="str">
        <f>IFERROR(__xludf.DUMMYFUNCTION("""COMPUTED_VALUE"""),"Jeison Rubiano")</f>
        <v>Jeison Rubiano</v>
      </c>
      <c r="C672" s="15" t="str">
        <f>IFERROR(__xludf.DUMMYFUNCTION("""COMPUTED_VALUE"""),"BOGOTÁ")</f>
        <v>BOGOTÁ</v>
      </c>
      <c r="D672" s="15" t="str">
        <f>IFERROR(__xludf.DUMMYFUNCTION("""COMPUTED_VALUE"""),"MEDELLÍN")</f>
        <v>MEDELLÍN</v>
      </c>
      <c r="E672" s="15" t="str">
        <f>IFERROR(__xludf.DUMMYFUNCTION("""COMPUTED_VALUE"""),"Baby Chef")</f>
        <v>Baby Chef</v>
      </c>
      <c r="F672" s="17" t="str">
        <f>IFERROR(__xludf.DUMMYFUNCTION("""COMPUTED_VALUE"""),"Calle 26 # 44a 39 apto 604 Apto 604 / Calle 26 # 44a 39 apto 604 Apto 604 / Calle 26 # 44a 39 apto 604 Apto 604")</f>
        <v>Calle 26 # 44a 39 apto 604 Apto 604 / Calle 26 # 44a 39 apto 604 Apto 604 / Calle 26 # 44a 39 apto 604 Apto 604</v>
      </c>
      <c r="G672" s="15" t="str">
        <f>IFERROR(__xludf.DUMMYFUNCTION("""COMPUTED_VALUE"""),"Diana  Melo")</f>
        <v>Diana  Melo</v>
      </c>
      <c r="H672" s="18">
        <f>IFERROR(__xludf.DUMMYFUNCTION("""COMPUTED_VALUE"""),9342.0)</f>
        <v>9342</v>
      </c>
      <c r="I672" s="18">
        <f>IFERROR(__xludf.DUMMYFUNCTION("""COMPUTED_VALUE"""),8.0)</f>
        <v>8</v>
      </c>
      <c r="J672" s="18">
        <f>IFERROR(__xludf.DUMMYFUNCTION("""COMPUTED_VALUE"""),16.0)</f>
        <v>16</v>
      </c>
      <c r="K672" s="18">
        <f>IFERROR(__xludf.DUMMYFUNCTION("""COMPUTED_VALUE"""),20.0)</f>
        <v>20</v>
      </c>
      <c r="L672" s="17">
        <f>IFERROR(__xludf.DUMMYFUNCTION("""COMPUTED_VALUE"""),3.017865879E9)</f>
        <v>3017865879</v>
      </c>
      <c r="M672" s="17" t="str">
        <f>IFERROR(__xludf.DUMMYFUNCTION("""COMPUTED_VALUE"""),"#REF!")</f>
        <v>#REF!</v>
      </c>
      <c r="N672" s="17"/>
      <c r="O672" s="19" t="str">
        <f>IFERROR(__xludf.DUMMYFUNCTION("""COMPUTED_VALUE"""),"")</f>
        <v/>
      </c>
      <c r="P672" s="17" t="b">
        <f>IFERROR(__xludf.DUMMYFUNCTION("""COMPUTED_VALUE"""),TRUE)</f>
        <v>1</v>
      </c>
      <c r="Q672" s="20">
        <f>IFERROR(__xludf.DUMMYFUNCTION("""COMPUTED_VALUE"""),45016.71394216435)</f>
        <v>45016.71394</v>
      </c>
      <c r="R672" s="22" t="str">
        <f>IFERROR(__xludf.DUMMYFUNCTION("""COMPUTED_VALUE"""),"")</f>
        <v/>
      </c>
    </row>
    <row r="673">
      <c r="A673" s="15">
        <f>IFERROR(__xludf.DUMMYFUNCTION("""COMPUTED_VALUE"""),45016.0)</f>
        <v>45016</v>
      </c>
      <c r="B673" s="16" t="str">
        <f>IFERROR(__xludf.DUMMYFUNCTION("""COMPUTED_VALUE"""),"Jeison Rubiano")</f>
        <v>Jeison Rubiano</v>
      </c>
      <c r="C673" s="15" t="str">
        <f>IFERROR(__xludf.DUMMYFUNCTION("""COMPUTED_VALUE"""),"BOGOTÁ")</f>
        <v>BOGOTÁ</v>
      </c>
      <c r="D673" s="15" t="str">
        <f>IFERROR(__xludf.DUMMYFUNCTION("""COMPUTED_VALUE"""),"MEDELLÍN")</f>
        <v>MEDELLÍN</v>
      </c>
      <c r="E673" s="15" t="str">
        <f>IFERROR(__xludf.DUMMYFUNCTION("""COMPUTED_VALUE"""),"Baby Chef")</f>
        <v>Baby Chef</v>
      </c>
      <c r="F673" s="17" t="str">
        <f>IFERROR(__xludf.DUMMYFUNCTION("""COMPUTED_VALUE"""),"Calle 50 #8-24 Cons. 207 Es un edificio de consultorios. Se llama consultorios 50. La entrega es para el consultorio 207 / Es un edificio de consultorios. Se llama consultorios 50. La entrega es para el consultorio 207 / Es un edificio de consultorios. Se"&amp;" llama consultorios 50. La entrega es para el consultorio 207")</f>
        <v>Calle 50 #8-24 Cons. 207 Es un edificio de consultorios. Se llama consultorios 50. La entrega es para el consultorio 207 / Es un edificio de consultorios. Se llama consultorios 50. La entrega es para el consultorio 207 / Es un edificio de consultorios. Se llama consultorios 50. La entrega es para el consultorio 207</v>
      </c>
      <c r="G673" s="15" t="str">
        <f>IFERROR(__xludf.DUMMYFUNCTION("""COMPUTED_VALUE"""),"Angelica Lizarazo")</f>
        <v>Angelica Lizarazo</v>
      </c>
      <c r="H673" s="18">
        <f>IFERROR(__xludf.DUMMYFUNCTION("""COMPUTED_VALUE"""),9335.0)</f>
        <v>9335</v>
      </c>
      <c r="I673" s="18">
        <f>IFERROR(__xludf.DUMMYFUNCTION("""COMPUTED_VALUE"""),8.0)</f>
        <v>8</v>
      </c>
      <c r="J673" s="18">
        <f>IFERROR(__xludf.DUMMYFUNCTION("""COMPUTED_VALUE"""),16.0)</f>
        <v>16</v>
      </c>
      <c r="K673" s="18">
        <f>IFERROR(__xludf.DUMMYFUNCTION("""COMPUTED_VALUE"""),20.0)</f>
        <v>20</v>
      </c>
      <c r="L673" s="17">
        <f>IFERROR(__xludf.DUMMYFUNCTION("""COMPUTED_VALUE"""),3.153974643E9)</f>
        <v>3153974643</v>
      </c>
      <c r="M673" s="17" t="str">
        <f>IFERROR(__xludf.DUMMYFUNCTION("""COMPUTED_VALUE"""),"#REF!")</f>
        <v>#REF!</v>
      </c>
      <c r="N673" s="17"/>
      <c r="O673" s="19" t="str">
        <f>IFERROR(__xludf.DUMMYFUNCTION("""COMPUTED_VALUE"""),"")</f>
        <v/>
      </c>
      <c r="P673" s="17" t="b">
        <f>IFERROR(__xludf.DUMMYFUNCTION("""COMPUTED_VALUE"""),TRUE)</f>
        <v>1</v>
      </c>
      <c r="Q673" s="20">
        <f>IFERROR(__xludf.DUMMYFUNCTION("""COMPUTED_VALUE"""),45016.71394216435)</f>
        <v>45016.71394</v>
      </c>
      <c r="R673" s="22" t="str">
        <f>IFERROR(__xludf.DUMMYFUNCTION("""COMPUTED_VALUE"""),"")</f>
        <v/>
      </c>
    </row>
    <row r="674">
      <c r="A674" s="15">
        <f>IFERROR(__xludf.DUMMYFUNCTION("""COMPUTED_VALUE"""),45016.0)</f>
        <v>45016</v>
      </c>
      <c r="B674" s="16" t="str">
        <f>IFERROR(__xludf.DUMMYFUNCTION("""COMPUTED_VALUE"""),"Jeison Rubiano")</f>
        <v>Jeison Rubiano</v>
      </c>
      <c r="C674" s="15" t="str">
        <f>IFERROR(__xludf.DUMMYFUNCTION("""COMPUTED_VALUE"""),"BOGOTÁ")</f>
        <v>BOGOTÁ</v>
      </c>
      <c r="D674" s="15" t="str">
        <f>IFERROR(__xludf.DUMMYFUNCTION("""COMPUTED_VALUE"""),"MEDELLÍN")</f>
        <v>MEDELLÍN</v>
      </c>
      <c r="E674" s="15" t="str">
        <f>IFERROR(__xludf.DUMMYFUNCTION("""COMPUTED_VALUE"""),"Baby Chef")</f>
        <v>Baby Chef</v>
      </c>
      <c r="F674" s="17" t="str">
        <f>IFERROR(__xludf.DUMMYFUNCTION("""COMPUTED_VALUE"""),"Carrera 7 126 30 Torre 8 apto 1231 Reserva de la Sierra / Carrera 7 126 30 Torre 8 apto 1231 Reserva de la Sierra / Carrera 7 126 30 Torre 8 apto 1231 Reserva de la Sierra")</f>
        <v>Carrera 7 126 30 Torre 8 apto 1231 Reserva de la Sierra / Carrera 7 126 30 Torre 8 apto 1231 Reserva de la Sierra / Carrera 7 126 30 Torre 8 apto 1231 Reserva de la Sierra</v>
      </c>
      <c r="G674" s="15" t="str">
        <f>IFERROR(__xludf.DUMMYFUNCTION("""COMPUTED_VALUE"""),"Maria Fernanda Contreras")</f>
        <v>Maria Fernanda Contreras</v>
      </c>
      <c r="H674" s="18">
        <f>IFERROR(__xludf.DUMMYFUNCTION("""COMPUTED_VALUE"""),9339.0)</f>
        <v>9339</v>
      </c>
      <c r="I674" s="18">
        <f>IFERROR(__xludf.DUMMYFUNCTION("""COMPUTED_VALUE"""),8.0)</f>
        <v>8</v>
      </c>
      <c r="J674" s="18">
        <f>IFERROR(__xludf.DUMMYFUNCTION("""COMPUTED_VALUE"""),16.0)</f>
        <v>16</v>
      </c>
      <c r="K674" s="18">
        <f>IFERROR(__xludf.DUMMYFUNCTION("""COMPUTED_VALUE"""),20.0)</f>
        <v>20</v>
      </c>
      <c r="L674" s="17">
        <f>IFERROR(__xludf.DUMMYFUNCTION("""COMPUTED_VALUE"""),3.208581112E9)</f>
        <v>3208581112</v>
      </c>
      <c r="M674" s="17" t="str">
        <f>IFERROR(__xludf.DUMMYFUNCTION("""COMPUTED_VALUE"""),"#REF!")</f>
        <v>#REF!</v>
      </c>
      <c r="N674" s="17"/>
      <c r="O674" s="19" t="str">
        <f>IFERROR(__xludf.DUMMYFUNCTION("""COMPUTED_VALUE"""),"")</f>
        <v/>
      </c>
      <c r="P674" s="17" t="b">
        <f>IFERROR(__xludf.DUMMYFUNCTION("""COMPUTED_VALUE"""),TRUE)</f>
        <v>1</v>
      </c>
      <c r="Q674" s="20">
        <f>IFERROR(__xludf.DUMMYFUNCTION("""COMPUTED_VALUE"""),45016.71394216435)</f>
        <v>45016.71394</v>
      </c>
      <c r="R674" s="22" t="str">
        <f>IFERROR(__xludf.DUMMYFUNCTION("""COMPUTED_VALUE"""),"")</f>
        <v/>
      </c>
    </row>
    <row r="675">
      <c r="A675" s="15">
        <f>IFERROR(__xludf.DUMMYFUNCTION("""COMPUTED_VALUE"""),45016.0)</f>
        <v>45016</v>
      </c>
      <c r="B675" s="16" t="str">
        <f>IFERROR(__xludf.DUMMYFUNCTION("""COMPUTED_VALUE"""),"Jeison Rubiano")</f>
        <v>Jeison Rubiano</v>
      </c>
      <c r="C675" s="15" t="str">
        <f>IFERROR(__xludf.DUMMYFUNCTION("""COMPUTED_VALUE"""),"BOGOTÁ")</f>
        <v>BOGOTÁ</v>
      </c>
      <c r="D675" s="15" t="str">
        <f>IFERROR(__xludf.DUMMYFUNCTION("""COMPUTED_VALUE"""),"MEDELLÍN")</f>
        <v>MEDELLÍN</v>
      </c>
      <c r="E675" s="15" t="str">
        <f>IFERROR(__xludf.DUMMYFUNCTION("""COMPUTED_VALUE"""),"Baby Chef")</f>
        <v>Baby Chef</v>
      </c>
      <c r="F675" s="17" t="str">
        <f>IFERROR(__xludf.DUMMYFUNCTION("""COMPUTED_VALUE"""),"Crr 121c # 129d-24 Bloque 11 apto 422  Jardines de Tibabuyes / Jardines de Tibabuyes / Jardines de Tibabuyes")</f>
        <v>Crr 121c # 129d-24 Bloque 11 apto 422  Jardines de Tibabuyes / Jardines de Tibabuyes / Jardines de Tibabuyes</v>
      </c>
      <c r="G675" s="15" t="str">
        <f>IFERROR(__xludf.DUMMYFUNCTION("""COMPUTED_VALUE"""),"Paola Castañeda")</f>
        <v>Paola Castañeda</v>
      </c>
      <c r="H675" s="18">
        <f>IFERROR(__xludf.DUMMYFUNCTION("""COMPUTED_VALUE"""),9334.0)</f>
        <v>9334</v>
      </c>
      <c r="I675" s="18">
        <f>IFERROR(__xludf.DUMMYFUNCTION("""COMPUTED_VALUE"""),8.0)</f>
        <v>8</v>
      </c>
      <c r="J675" s="18">
        <f>IFERROR(__xludf.DUMMYFUNCTION("""COMPUTED_VALUE"""),16.0)</f>
        <v>16</v>
      </c>
      <c r="K675" s="18">
        <f>IFERROR(__xludf.DUMMYFUNCTION("""COMPUTED_VALUE"""),20.0)</f>
        <v>20</v>
      </c>
      <c r="L675" s="17">
        <f>IFERROR(__xludf.DUMMYFUNCTION("""COMPUTED_VALUE"""),3.203510125E9)</f>
        <v>3203510125</v>
      </c>
      <c r="M675" s="17" t="str">
        <f>IFERROR(__xludf.DUMMYFUNCTION("""COMPUTED_VALUE"""),"#REF!")</f>
        <v>#REF!</v>
      </c>
      <c r="N675" s="17"/>
      <c r="O675" s="19" t="str">
        <f>IFERROR(__xludf.DUMMYFUNCTION("""COMPUTED_VALUE"""),"")</f>
        <v/>
      </c>
      <c r="P675" s="17" t="b">
        <f>IFERROR(__xludf.DUMMYFUNCTION("""COMPUTED_VALUE"""),TRUE)</f>
        <v>1</v>
      </c>
      <c r="Q675" s="20">
        <f>IFERROR(__xludf.DUMMYFUNCTION("""COMPUTED_VALUE"""),45016.71394216435)</f>
        <v>45016.71394</v>
      </c>
      <c r="R675" s="22" t="str">
        <f>IFERROR(__xludf.DUMMYFUNCTION("""COMPUTED_VALUE"""),"")</f>
        <v/>
      </c>
    </row>
    <row r="676">
      <c r="A676" s="15">
        <f>IFERROR(__xludf.DUMMYFUNCTION("""COMPUTED_VALUE"""),45016.0)</f>
        <v>45016</v>
      </c>
      <c r="B676" s="16" t="str">
        <f>IFERROR(__xludf.DUMMYFUNCTION("""COMPUTED_VALUE"""),"Jeison Rubiano")</f>
        <v>Jeison Rubiano</v>
      </c>
      <c r="C676" s="15" t="str">
        <f>IFERROR(__xludf.DUMMYFUNCTION("""COMPUTED_VALUE"""),"BOGOTÁ")</f>
        <v>BOGOTÁ</v>
      </c>
      <c r="D676" s="15" t="str">
        <f>IFERROR(__xludf.DUMMYFUNCTION("""COMPUTED_VALUE"""),"MEDELLÍN")</f>
        <v>MEDELLÍN</v>
      </c>
      <c r="E676" s="15" t="str">
        <f>IFERROR(__xludf.DUMMYFUNCTION("""COMPUTED_VALUE"""),"Mochi")</f>
        <v>Mochi</v>
      </c>
      <c r="F676" s="17" t="str">
        <f>IFERROR(__xludf.DUMMYFUNCTION("""COMPUTED_VALUE"""),"cr 23 69 35 / 7 agosto / 7 agosto")</f>
        <v>cr 23 69 35 / 7 agosto / 7 agosto</v>
      </c>
      <c r="G676" s="15" t="str">
        <f>IFERROR(__xludf.DUMMYFUNCTION("""COMPUTED_VALUE"""),"Mauricio Mora")</f>
        <v>Mauricio Mora</v>
      </c>
      <c r="H676" s="18">
        <f>IFERROR(__xludf.DUMMYFUNCTION("""COMPUTED_VALUE"""),9344.0)</f>
        <v>9344</v>
      </c>
      <c r="I676" s="18">
        <f>IFERROR(__xludf.DUMMYFUNCTION("""COMPUTED_VALUE"""),60.0)</f>
        <v>60</v>
      </c>
      <c r="J676" s="18">
        <f>IFERROR(__xludf.DUMMYFUNCTION("""COMPUTED_VALUE"""),60.0)</f>
        <v>60</v>
      </c>
      <c r="K676" s="18">
        <f>IFERROR(__xludf.DUMMYFUNCTION("""COMPUTED_VALUE"""),80.0)</f>
        <v>80</v>
      </c>
      <c r="L676" s="17">
        <f>IFERROR(__xludf.DUMMYFUNCTION("""COMPUTED_VALUE"""),3.115177645E9)</f>
        <v>3115177645</v>
      </c>
      <c r="M676" s="17" t="str">
        <f>IFERROR(__xludf.DUMMYFUNCTION("""COMPUTED_VALUE"""),"#REF!")</f>
        <v>#REF!</v>
      </c>
      <c r="N676" s="17"/>
      <c r="O676" s="19" t="str">
        <f>IFERROR(__xludf.DUMMYFUNCTION("""COMPUTED_VALUE"""),"")</f>
        <v/>
      </c>
      <c r="P676" s="17" t="b">
        <f>IFERROR(__xludf.DUMMYFUNCTION("""COMPUTED_VALUE"""),TRUE)</f>
        <v>1</v>
      </c>
      <c r="Q676" s="20">
        <f>IFERROR(__xludf.DUMMYFUNCTION("""COMPUTED_VALUE"""),45016.71394216435)</f>
        <v>45016.71394</v>
      </c>
      <c r="R676" s="22" t="str">
        <f>IFERROR(__xludf.DUMMYFUNCTION("""COMPUTED_VALUE"""),"")</f>
        <v/>
      </c>
    </row>
    <row r="677">
      <c r="A677" s="15">
        <f>IFERROR(__xludf.DUMMYFUNCTION("""COMPUTED_VALUE"""),45016.0)</f>
        <v>45016</v>
      </c>
      <c r="B677" s="16" t="str">
        <f>IFERROR(__xludf.DUMMYFUNCTION("""COMPUTED_VALUE"""),"Jeison Rubiano")</f>
        <v>Jeison Rubiano</v>
      </c>
      <c r="C677" s="15" t="str">
        <f>IFERROR(__xludf.DUMMYFUNCTION("""COMPUTED_VALUE"""),"BOGOTÁ")</f>
        <v>BOGOTÁ</v>
      </c>
      <c r="D677" s="15" t="str">
        <f>IFERROR(__xludf.DUMMYFUNCTION("""COMPUTED_VALUE"""),"MEDELLÍN")</f>
        <v>MEDELLÍN</v>
      </c>
      <c r="E677" s="15" t="str">
        <f>IFERROR(__xludf.DUMMYFUNCTION("""COMPUTED_VALUE"""),"Moloso S.A.S")</f>
        <v>Moloso S.A.S</v>
      </c>
      <c r="F677" s="17" t="str">
        <f>IFERROR(__xludf.DUMMYFUNCTION("""COMPUTED_VALUE"""),"CRA 18C 112 76 / APTO. 402")</f>
        <v>CRA 18C 112 76 / APTO. 402</v>
      </c>
      <c r="G677" s="15" t="str">
        <f>IFERROR(__xludf.DUMMYFUNCTION("""COMPUTED_VALUE"""),"MARIA OCHOA MARTELO")</f>
        <v>MARIA OCHOA MARTELO</v>
      </c>
      <c r="H677" s="18">
        <f>IFERROR(__xludf.DUMMYFUNCTION("""COMPUTED_VALUE"""),9323.0)</f>
        <v>9323</v>
      </c>
      <c r="I677" s="18">
        <f>IFERROR(__xludf.DUMMYFUNCTION("""COMPUTED_VALUE"""),17.0)</f>
        <v>17</v>
      </c>
      <c r="J677" s="18">
        <f>IFERROR(__xludf.DUMMYFUNCTION("""COMPUTED_VALUE"""),15.0)</f>
        <v>15</v>
      </c>
      <c r="K677" s="18">
        <f>IFERROR(__xludf.DUMMYFUNCTION("""COMPUTED_VALUE"""),28.0)</f>
        <v>28</v>
      </c>
      <c r="L677" s="17" t="str">
        <f>IFERROR(__xludf.DUMMYFUNCTION("""COMPUTED_VALUE"""),"301 7890418")</f>
        <v>301 7890418</v>
      </c>
      <c r="M677" s="17" t="str">
        <f>IFERROR(__xludf.DUMMYFUNCTION("""COMPUTED_VALUE"""),"#REF!")</f>
        <v>#REF!</v>
      </c>
      <c r="N677" s="17"/>
      <c r="O677" s="19" t="str">
        <f>IFERROR(__xludf.DUMMYFUNCTION("""COMPUTED_VALUE"""),"")</f>
        <v/>
      </c>
      <c r="P677" s="17" t="b">
        <f>IFERROR(__xludf.DUMMYFUNCTION("""COMPUTED_VALUE"""),TRUE)</f>
        <v>1</v>
      </c>
      <c r="Q677" s="20">
        <f>IFERROR(__xludf.DUMMYFUNCTION("""COMPUTED_VALUE"""),45016.71394216435)</f>
        <v>45016.71394</v>
      </c>
      <c r="R677" s="22" t="str">
        <f>IFERROR(__xludf.DUMMYFUNCTION("""COMPUTED_VALUE"""),"")</f>
        <v/>
      </c>
    </row>
    <row r="678">
      <c r="A678" s="15">
        <f>IFERROR(__xludf.DUMMYFUNCTION("""COMPUTED_VALUE"""),45016.0)</f>
        <v>45016</v>
      </c>
      <c r="B678" s="16" t="str">
        <f>IFERROR(__xludf.DUMMYFUNCTION("""COMPUTED_VALUE"""),"Jeison Rubiano")</f>
        <v>Jeison Rubiano</v>
      </c>
      <c r="C678" s="15" t="str">
        <f>IFERROR(__xludf.DUMMYFUNCTION("""COMPUTED_VALUE"""),"BOGOTÁ")</f>
        <v>BOGOTÁ</v>
      </c>
      <c r="D678" s="15" t="str">
        <f>IFERROR(__xludf.DUMMYFUNCTION("""COMPUTED_VALUE"""),"MEDELLÍN")</f>
        <v>MEDELLÍN</v>
      </c>
      <c r="E678" s="15" t="str">
        <f>IFERROR(__xludf.DUMMYFUNCTION("""COMPUTED_VALUE"""),"Moloso S.A.S")</f>
        <v>Moloso S.A.S</v>
      </c>
      <c r="F678" s="17" t="str">
        <f>IFERROR(__xludf.DUMMYFUNCTION("""COMPUTED_VALUE"""),"CRA 55 149 09 / CONJUNTO MONTECARLO 3 CASA 16")</f>
        <v>CRA 55 149 09 / CONJUNTO MONTECARLO 3 CASA 16</v>
      </c>
      <c r="G678" s="15" t="str">
        <f>IFERROR(__xludf.DUMMYFUNCTION("""COMPUTED_VALUE"""),"CLAUDIA ADRIANA GARCIA FINO")</f>
        <v>CLAUDIA ADRIANA GARCIA FINO</v>
      </c>
      <c r="H678" s="18">
        <f>IFERROR(__xludf.DUMMYFUNCTION("""COMPUTED_VALUE"""),9321.0)</f>
        <v>9321</v>
      </c>
      <c r="I678" s="18">
        <f>IFERROR(__xludf.DUMMYFUNCTION("""COMPUTED_VALUE"""),17.0)</f>
        <v>17</v>
      </c>
      <c r="J678" s="18">
        <f>IFERROR(__xludf.DUMMYFUNCTION("""COMPUTED_VALUE"""),15.0)</f>
        <v>15</v>
      </c>
      <c r="K678" s="18">
        <f>IFERROR(__xludf.DUMMYFUNCTION("""COMPUTED_VALUE"""),28.0)</f>
        <v>28</v>
      </c>
      <c r="L678" s="17" t="str">
        <f>IFERROR(__xludf.DUMMYFUNCTION("""COMPUTED_VALUE"""),"313 2628813")</f>
        <v>313 2628813</v>
      </c>
      <c r="M678" s="17" t="str">
        <f>IFERROR(__xludf.DUMMYFUNCTION("""COMPUTED_VALUE"""),"#REF!")</f>
        <v>#REF!</v>
      </c>
      <c r="N678" s="17"/>
      <c r="O678" s="19" t="str">
        <f>IFERROR(__xludf.DUMMYFUNCTION("""COMPUTED_VALUE"""),"")</f>
        <v/>
      </c>
      <c r="P678" s="17" t="b">
        <f>IFERROR(__xludf.DUMMYFUNCTION("""COMPUTED_VALUE"""),TRUE)</f>
        <v>1</v>
      </c>
      <c r="Q678" s="20">
        <f>IFERROR(__xludf.DUMMYFUNCTION("""COMPUTED_VALUE"""),45016.46011650463)</f>
        <v>45016.46012</v>
      </c>
      <c r="R678" s="22" t="str">
        <f>IFERROR(__xludf.DUMMYFUNCTION("""COMPUTED_VALUE"""),"")</f>
        <v/>
      </c>
    </row>
    <row r="679">
      <c r="A679" s="15">
        <f>IFERROR(__xludf.DUMMYFUNCTION("""COMPUTED_VALUE"""),45016.0)</f>
        <v>45016</v>
      </c>
      <c r="B679" s="16" t="str">
        <f>IFERROR(__xludf.DUMMYFUNCTION("""COMPUTED_VALUE"""),"Jeison Rubiano")</f>
        <v>Jeison Rubiano</v>
      </c>
      <c r="C679" s="15" t="str">
        <f>IFERROR(__xludf.DUMMYFUNCTION("""COMPUTED_VALUE"""),"BOGOTÁ")</f>
        <v>BOGOTÁ</v>
      </c>
      <c r="D679" s="15" t="str">
        <f>IFERROR(__xludf.DUMMYFUNCTION("""COMPUTED_VALUE"""),"MEDELLÍN")</f>
        <v>MEDELLÍN</v>
      </c>
      <c r="E679" s="15" t="str">
        <f>IFERROR(__xludf.DUMMYFUNCTION("""COMPUTED_VALUE"""),"Rambla")</f>
        <v>Rambla</v>
      </c>
      <c r="F679" s="17" t="str">
        <f>IFERROR(__xludf.DUMMYFUNCTION("""COMPUTED_VALUE"""),"Carrera 8 #167D-62 Torre 1 Apto 1212 / NA / NA")</f>
        <v>Carrera 8 #167D-62 Torre 1 Apto 1212 / NA / NA</v>
      </c>
      <c r="G679" s="15" t="str">
        <f>IFERROR(__xludf.DUMMYFUNCTION("""COMPUTED_VALUE"""),"LECHUGA Y LULO")</f>
        <v>LECHUGA Y LULO</v>
      </c>
      <c r="H679" s="18">
        <f>IFERROR(__xludf.DUMMYFUNCTION("""COMPUTED_VALUE"""),9341.0)</f>
        <v>9341</v>
      </c>
      <c r="I679" s="18">
        <f>IFERROR(__xludf.DUMMYFUNCTION("""COMPUTED_VALUE"""),18.0)</f>
        <v>18</v>
      </c>
      <c r="J679" s="18">
        <f>IFERROR(__xludf.DUMMYFUNCTION("""COMPUTED_VALUE"""),22.0)</f>
        <v>22</v>
      </c>
      <c r="K679" s="18">
        <f>IFERROR(__xludf.DUMMYFUNCTION("""COMPUTED_VALUE"""),25.0)</f>
        <v>25</v>
      </c>
      <c r="L679" s="17">
        <f>IFERROR(__xludf.DUMMYFUNCTION("""COMPUTED_VALUE"""),3.154145568E9)</f>
        <v>3154145568</v>
      </c>
      <c r="M679" s="17" t="str">
        <f>IFERROR(__xludf.DUMMYFUNCTION("""COMPUTED_VALUE"""),"#REF!")</f>
        <v>#REF!</v>
      </c>
      <c r="N679" s="17"/>
      <c r="O679" s="19" t="str">
        <f>IFERROR(__xludf.DUMMYFUNCTION("""COMPUTED_VALUE"""),"")</f>
        <v/>
      </c>
      <c r="P679" s="17" t="b">
        <f>IFERROR(__xludf.DUMMYFUNCTION("""COMPUTED_VALUE"""),FALSE)</f>
        <v>0</v>
      </c>
      <c r="Q679" s="20" t="str">
        <f>IFERROR(__xludf.DUMMYFUNCTION("""COMPUTED_VALUE"""),"")</f>
        <v/>
      </c>
      <c r="R679" s="22" t="str">
        <f>IFERROR(__xludf.DUMMYFUNCTION("""COMPUTED_VALUE"""),"")</f>
        <v/>
      </c>
    </row>
    <row r="680">
      <c r="A680" s="17" t="str">
        <f>IFERROR(__xludf.DUMMYFUNCTION("""COMPUTED_VALUE"""),"")</f>
        <v/>
      </c>
      <c r="B680" s="17" t="str">
        <f>IFERROR(__xludf.DUMMYFUNCTION("""COMPUTED_VALUE"""),"")</f>
        <v/>
      </c>
      <c r="C680" s="17" t="str">
        <f>IFERROR(__xludf.DUMMYFUNCTION("""COMPUTED_VALUE"""),"")</f>
        <v/>
      </c>
      <c r="D680" s="17" t="str">
        <f>IFERROR(__xludf.DUMMYFUNCTION("""COMPUTED_VALUE"""),"")</f>
        <v/>
      </c>
      <c r="E680" s="17" t="str">
        <f>IFERROR(__xludf.DUMMYFUNCTION("""COMPUTED_VALUE"""),"")</f>
        <v/>
      </c>
      <c r="F680" s="17" t="str">
        <f>IFERROR(__xludf.DUMMYFUNCTION("""COMPUTED_VALUE"""),"")</f>
        <v/>
      </c>
      <c r="G680" s="17" t="str">
        <f>IFERROR(__xludf.DUMMYFUNCTION("""COMPUTED_VALUE"""),"")</f>
        <v/>
      </c>
      <c r="H680" s="17" t="str">
        <f>IFERROR(__xludf.DUMMYFUNCTION("""COMPUTED_VALUE"""),"")</f>
        <v/>
      </c>
      <c r="I680" s="17" t="str">
        <f>IFERROR(__xludf.DUMMYFUNCTION("""COMPUTED_VALUE"""),"")</f>
        <v/>
      </c>
      <c r="J680" s="17" t="str">
        <f>IFERROR(__xludf.DUMMYFUNCTION("""COMPUTED_VALUE"""),"")</f>
        <v/>
      </c>
      <c r="K680" s="17" t="str">
        <f>IFERROR(__xludf.DUMMYFUNCTION("""COMPUTED_VALUE"""),"")</f>
        <v/>
      </c>
      <c r="L680" s="17" t="str">
        <f>IFERROR(__xludf.DUMMYFUNCTION("""COMPUTED_VALUE"""),"")</f>
        <v/>
      </c>
      <c r="M680" s="17" t="str">
        <f>IFERROR(__xludf.DUMMYFUNCTION("""COMPUTED_VALUE"""),"")</f>
        <v/>
      </c>
      <c r="N680" s="17" t="str">
        <f>IFERROR(__xludf.DUMMYFUNCTION("""COMPUTED_VALUE"""),"")</f>
        <v/>
      </c>
      <c r="O680" s="17" t="str">
        <f>IFERROR(__xludf.DUMMYFUNCTION("""COMPUTED_VALUE"""),"")</f>
        <v/>
      </c>
      <c r="P680" s="17" t="str">
        <f>IFERROR(__xludf.DUMMYFUNCTION("""COMPUTED_VALUE"""),"")</f>
        <v/>
      </c>
      <c r="Q680" s="17" t="str">
        <f>IFERROR(__xludf.DUMMYFUNCTION("""COMPUTED_VALUE"""),"")</f>
        <v/>
      </c>
      <c r="R680" s="17" t="str">
        <f>IFERROR(__xludf.DUMMYFUNCTION("""COMPUTED_VALUE"""),"")</f>
        <v/>
      </c>
    </row>
    <row r="681">
      <c r="A681" s="15">
        <f>IFERROR(__xludf.DUMMYFUNCTION("""COMPUTED_VALUE"""),45016.0)</f>
        <v>45016</v>
      </c>
      <c r="B681" s="16" t="str">
        <f>IFERROR(__xludf.DUMMYFUNCTION("""COMPUTED_VALUE"""),"Lina Gaona")</f>
        <v>Lina Gaona</v>
      </c>
      <c r="C681" s="15" t="str">
        <f>IFERROR(__xludf.DUMMYFUNCTION("""COMPUTED_VALUE"""),"CÚCUTA")</f>
        <v>CÚCUTA</v>
      </c>
      <c r="D681" s="15" t="str">
        <f>IFERROR(__xludf.DUMMYFUNCTION("""COMPUTED_VALUE"""),"BOGOTÁ")</f>
        <v>BOGOTÁ</v>
      </c>
      <c r="E681" s="15" t="str">
        <f>IFERROR(__xludf.DUMMYFUNCTION("""COMPUTED_VALUE"""),"Evamazzita")</f>
        <v>Evamazzita</v>
      </c>
      <c r="F681" s="17" t="str">
        <f>IFERROR(__xludf.DUMMYFUNCTION("""COMPUTED_VALUE"""),"Av 2E # 15A -17  / Caobos / SE ENVÍAN 2 CAJAS")</f>
        <v>Av 2E # 15A -17  / Caobos / SE ENVÍAN 2 CAJAS</v>
      </c>
      <c r="G681" s="15" t="str">
        <f>IFERROR(__xludf.DUMMYFUNCTION("""COMPUTED_VALUE"""),"DACCY KARINA LOPEZ MORENO")</f>
        <v>DACCY KARINA LOPEZ MORENO</v>
      </c>
      <c r="H681" s="18">
        <f>IFERROR(__xludf.DUMMYFUNCTION("""COMPUTED_VALUE"""),9307.0)</f>
        <v>9307</v>
      </c>
      <c r="I681" s="18">
        <f>IFERROR(__xludf.DUMMYFUNCTION("""COMPUTED_VALUE"""),22.0)</f>
        <v>22</v>
      </c>
      <c r="J681" s="18">
        <f>IFERROR(__xludf.DUMMYFUNCTION("""COMPUTED_VALUE"""),46.0)</f>
        <v>46</v>
      </c>
      <c r="K681" s="18">
        <f>IFERROR(__xludf.DUMMYFUNCTION("""COMPUTED_VALUE"""),47.0)</f>
        <v>47</v>
      </c>
      <c r="L681" s="17">
        <f>IFERROR(__xludf.DUMMYFUNCTION("""COMPUTED_VALUE"""),3.208615379E9)</f>
        <v>3208615379</v>
      </c>
      <c r="M681" s="17" t="str">
        <f>IFERROR(__xludf.DUMMYFUNCTION("""COMPUTED_VALUE"""),"#REF!")</f>
        <v>#REF!</v>
      </c>
      <c r="N681" s="17"/>
      <c r="O681" s="19" t="str">
        <f>IFERROR(__xludf.DUMMYFUNCTION("""COMPUTED_VALUE"""),"")</f>
        <v/>
      </c>
      <c r="P681" s="17" t="b">
        <f>IFERROR(__xludf.DUMMYFUNCTION("""COMPUTED_VALUE"""),TRUE)</f>
        <v>1</v>
      </c>
      <c r="Q681" s="20">
        <f>IFERROR(__xludf.DUMMYFUNCTION("""COMPUTED_VALUE"""),45016.530455625005)</f>
        <v>45016.53046</v>
      </c>
      <c r="R681" s="22" t="str">
        <f>IFERROR(__xludf.DUMMYFUNCTION("""COMPUTED_VALUE"""),"")</f>
        <v/>
      </c>
    </row>
    <row r="682">
      <c r="A682" s="15">
        <f>IFERROR(__xludf.DUMMYFUNCTION("""COMPUTED_VALUE"""),45016.0)</f>
        <v>45016</v>
      </c>
      <c r="B682" s="16" t="str">
        <f>IFERROR(__xludf.DUMMYFUNCTION("""COMPUTED_VALUE"""),"Lina Gaona")</f>
        <v>Lina Gaona</v>
      </c>
      <c r="C682" s="15" t="str">
        <f>IFERROR(__xludf.DUMMYFUNCTION("""COMPUTED_VALUE"""),"CÚCUTA")</f>
        <v>CÚCUTA</v>
      </c>
      <c r="D682" s="15" t="str">
        <f>IFERROR(__xludf.DUMMYFUNCTION("""COMPUTED_VALUE"""),"BOGOTÁ")</f>
        <v>BOGOTÁ</v>
      </c>
      <c r="E682" s="15" t="str">
        <f>IFERROR(__xludf.DUMMYFUNCTION("""COMPUTED_VALUE"""),"Evamazzita")</f>
        <v>Evamazzita</v>
      </c>
      <c r="F682" s="17" t="str">
        <f>IFERROR(__xludf.DUMMYFUNCTION("""COMPUTED_VALUE"""),"Conjunto canela  / casa h9  / anillo vial oriental- Cúcuta")</f>
        <v>Conjunto canela  / casa h9  / anillo vial oriental- Cúcuta</v>
      </c>
      <c r="G682" s="15" t="str">
        <f>IFERROR(__xludf.DUMMYFUNCTION("""COMPUTED_VALUE"""),"JULIANA JAIMES")</f>
        <v>JULIANA JAIMES</v>
      </c>
      <c r="H682" s="18">
        <f>IFERROR(__xludf.DUMMYFUNCTION("""COMPUTED_VALUE"""),9300.0)</f>
        <v>9300</v>
      </c>
      <c r="I682" s="18">
        <f>IFERROR(__xludf.DUMMYFUNCTION("""COMPUTED_VALUE"""),5.0)</f>
        <v>5</v>
      </c>
      <c r="J682" s="18">
        <f>IFERROR(__xludf.DUMMYFUNCTION("""COMPUTED_VALUE"""),23.0)</f>
        <v>23</v>
      </c>
      <c r="K682" s="18">
        <f>IFERROR(__xludf.DUMMYFUNCTION("""COMPUTED_VALUE"""),14.0)</f>
        <v>14</v>
      </c>
      <c r="L682" s="17">
        <f>IFERROR(__xludf.DUMMYFUNCTION("""COMPUTED_VALUE"""),3.218265139E9)</f>
        <v>3218265139</v>
      </c>
      <c r="M682" s="17" t="str">
        <f>IFERROR(__xludf.DUMMYFUNCTION("""COMPUTED_VALUE"""),"#REF!")</f>
        <v>#REF!</v>
      </c>
      <c r="N682" s="17"/>
      <c r="O682" s="19" t="str">
        <f>IFERROR(__xludf.DUMMYFUNCTION("""COMPUTED_VALUE"""),"")</f>
        <v/>
      </c>
      <c r="P682" s="17" t="b">
        <f>IFERROR(__xludf.DUMMYFUNCTION("""COMPUTED_VALUE"""),TRUE)</f>
        <v>1</v>
      </c>
      <c r="Q682" s="20">
        <f>IFERROR(__xludf.DUMMYFUNCTION("""COMPUTED_VALUE"""),45016.71394216435)</f>
        <v>45016.71394</v>
      </c>
      <c r="R682" s="22" t="str">
        <f>IFERROR(__xludf.DUMMYFUNCTION("""COMPUTED_VALUE"""),"")</f>
        <v/>
      </c>
    </row>
    <row r="683">
      <c r="A683" s="15">
        <f>IFERROR(__xludf.DUMMYFUNCTION("""COMPUTED_VALUE"""),45016.0)</f>
        <v>45016</v>
      </c>
      <c r="B683" s="16" t="str">
        <f>IFERROR(__xludf.DUMMYFUNCTION("""COMPUTED_VALUE"""),"Lina Gaona")</f>
        <v>Lina Gaona</v>
      </c>
      <c r="C683" s="15" t="str">
        <f>IFERROR(__xludf.DUMMYFUNCTION("""COMPUTED_VALUE"""),"CÚCUTA")</f>
        <v>CÚCUTA</v>
      </c>
      <c r="D683" s="15" t="str">
        <f>IFERROR(__xludf.DUMMYFUNCTION("""COMPUTED_VALUE"""),"MEDELLÍN")</f>
        <v>MEDELLÍN</v>
      </c>
      <c r="E683" s="15" t="str">
        <f>IFERROR(__xludf.DUMMYFUNCTION("""COMPUTED_VALUE"""),"Baby Chef")</f>
        <v>Baby Chef</v>
      </c>
      <c r="F683" s="17" t="str">
        <f>IFERROR(__xludf.DUMMYFUNCTION("""COMPUTED_VALUE"""),"Avenida 13E # 14N-28 zulima 3 etapa Cúcuta norte de Santander  / Zulima 3 etapa  / Zulima 3 etapa")</f>
        <v>Avenida 13E # 14N-28 zulima 3 etapa Cúcuta norte de Santander  / Zulima 3 etapa  / Zulima 3 etapa</v>
      </c>
      <c r="G683" s="15" t="str">
        <f>IFERROR(__xludf.DUMMYFUNCTION("""COMPUTED_VALUE"""),"Lina Rocio Rodriguez Parra")</f>
        <v>Lina Rocio Rodriguez Parra</v>
      </c>
      <c r="H683" s="18">
        <f>IFERROR(__xludf.DUMMYFUNCTION("""COMPUTED_VALUE"""),9295.0)</f>
        <v>9295</v>
      </c>
      <c r="I683" s="18">
        <f>IFERROR(__xludf.DUMMYFUNCTION("""COMPUTED_VALUE"""),8.0)</f>
        <v>8</v>
      </c>
      <c r="J683" s="18">
        <f>IFERROR(__xludf.DUMMYFUNCTION("""COMPUTED_VALUE"""),16.0)</f>
        <v>16</v>
      </c>
      <c r="K683" s="18">
        <f>IFERROR(__xludf.DUMMYFUNCTION("""COMPUTED_VALUE"""),20.0)</f>
        <v>20</v>
      </c>
      <c r="L683" s="17">
        <f>IFERROR(__xludf.DUMMYFUNCTION("""COMPUTED_VALUE"""),3.504431181E9)</f>
        <v>3504431181</v>
      </c>
      <c r="M683" s="17" t="str">
        <f>IFERROR(__xludf.DUMMYFUNCTION("""COMPUTED_VALUE"""),"#REF!")</f>
        <v>#REF!</v>
      </c>
      <c r="N683" s="17"/>
      <c r="O683" s="19" t="str">
        <f>IFERROR(__xludf.DUMMYFUNCTION("""COMPUTED_VALUE"""),"")</f>
        <v/>
      </c>
      <c r="P683" s="17" t="b">
        <f>IFERROR(__xludf.DUMMYFUNCTION("""COMPUTED_VALUE"""),TRUE)</f>
        <v>1</v>
      </c>
      <c r="Q683" s="20">
        <f>IFERROR(__xludf.DUMMYFUNCTION("""COMPUTED_VALUE"""),45016.71394216435)</f>
        <v>45016.71394</v>
      </c>
      <c r="R683" s="22" t="str">
        <f>IFERROR(__xludf.DUMMYFUNCTION("""COMPUTED_VALUE"""),"")</f>
        <v/>
      </c>
    </row>
    <row r="684">
      <c r="A684" s="15">
        <f>IFERROR(__xludf.DUMMYFUNCTION("""COMPUTED_VALUE"""),45016.0)</f>
        <v>45016</v>
      </c>
      <c r="B684" s="16" t="str">
        <f>IFERROR(__xludf.DUMMYFUNCTION("""COMPUTED_VALUE"""),"Lina Gaona")</f>
        <v>Lina Gaona</v>
      </c>
      <c r="C684" s="15" t="str">
        <f>IFERROR(__xludf.DUMMYFUNCTION("""COMPUTED_VALUE"""),"CÚCUTA")</f>
        <v>CÚCUTA</v>
      </c>
      <c r="D684" s="15" t="str">
        <f>IFERROR(__xludf.DUMMYFUNCTION("""COMPUTED_VALUE"""),"MEDELLÍN")</f>
        <v>MEDELLÍN</v>
      </c>
      <c r="E684" s="15" t="str">
        <f>IFERROR(__xludf.DUMMYFUNCTION("""COMPUTED_VALUE"""),"Baby Chef")</f>
        <v>Baby Chef</v>
      </c>
      <c r="F684" s="17" t="str">
        <f>IFERROR(__xludf.DUMMYFUNCTION("""COMPUTED_VALUE"""),"Calle 8AN # 12E-09 ciudad Jardín / Calle 8AN # 12E-09 ciudad Jardín / Calle 8AN # 12E-09 ciudad Jardín")</f>
        <v>Calle 8AN # 12E-09 ciudad Jardín / Calle 8AN # 12E-09 ciudad Jardín / Calle 8AN # 12E-09 ciudad Jardín</v>
      </c>
      <c r="G684" s="15" t="str">
        <f>IFERROR(__xludf.DUMMYFUNCTION("""COMPUTED_VALUE"""),"Mariana saldarriaga RECIBE A nombre de Stella Melgarejo")</f>
        <v>Mariana saldarriaga RECIBE A nombre de Stella Melgarejo</v>
      </c>
      <c r="H684" s="18">
        <f>IFERROR(__xludf.DUMMYFUNCTION("""COMPUTED_VALUE"""),9296.0)</f>
        <v>9296</v>
      </c>
      <c r="I684" s="18">
        <f>IFERROR(__xludf.DUMMYFUNCTION("""COMPUTED_VALUE"""),8.0)</f>
        <v>8</v>
      </c>
      <c r="J684" s="18">
        <f>IFERROR(__xludf.DUMMYFUNCTION("""COMPUTED_VALUE"""),16.0)</f>
        <v>16</v>
      </c>
      <c r="K684" s="18">
        <f>IFERROR(__xludf.DUMMYFUNCTION("""COMPUTED_VALUE"""),20.0)</f>
        <v>20</v>
      </c>
      <c r="L684" s="17">
        <f>IFERROR(__xludf.DUMMYFUNCTION("""COMPUTED_VALUE"""),3.174246713E9)</f>
        <v>3174246713</v>
      </c>
      <c r="M684" s="17" t="str">
        <f>IFERROR(__xludf.DUMMYFUNCTION("""COMPUTED_VALUE"""),"#REF!")</f>
        <v>#REF!</v>
      </c>
      <c r="N684" s="17"/>
      <c r="O684" s="19" t="str">
        <f>IFERROR(__xludf.DUMMYFUNCTION("""COMPUTED_VALUE"""),"")</f>
        <v/>
      </c>
      <c r="P684" s="17" t="b">
        <f>IFERROR(__xludf.DUMMYFUNCTION("""COMPUTED_VALUE"""),TRUE)</f>
        <v>1</v>
      </c>
      <c r="Q684" s="20">
        <f>IFERROR(__xludf.DUMMYFUNCTION("""COMPUTED_VALUE"""),45016.71394216435)</f>
        <v>45016.71394</v>
      </c>
      <c r="R684" s="22" t="str">
        <f>IFERROR(__xludf.DUMMYFUNCTION("""COMPUTED_VALUE"""),"")</f>
        <v/>
      </c>
    </row>
    <row r="685">
      <c r="A685" s="15">
        <f>IFERROR(__xludf.DUMMYFUNCTION("""COMPUTED_VALUE"""),45016.0)</f>
        <v>45016</v>
      </c>
      <c r="B685" s="16" t="str">
        <f>IFERROR(__xludf.DUMMYFUNCTION("""COMPUTED_VALUE"""),"Lina Gaona")</f>
        <v>Lina Gaona</v>
      </c>
      <c r="C685" s="15" t="str">
        <f>IFERROR(__xludf.DUMMYFUNCTION("""COMPUTED_VALUE"""),"CÚCUTA")</f>
        <v>CÚCUTA</v>
      </c>
      <c r="D685" s="15" t="str">
        <f>IFERROR(__xludf.DUMMYFUNCTION("""COMPUTED_VALUE"""),"MEDELLÍN")</f>
        <v>MEDELLÍN</v>
      </c>
      <c r="E685" s="15" t="str">
        <f>IFERROR(__xludf.DUMMYFUNCTION("""COMPUTED_VALUE"""),"Baby Chef")</f>
        <v>Baby Chef</v>
      </c>
      <c r="F685" s="17" t="str">
        <f>IFERROR(__xludf.DUMMYFUNCTION("""COMPUTED_VALUE"""),"Km2 + 207 vía antigua boconó Conjunto white country house casa A7 / Km2 + 207 vía antigua boconó Conjunto white country house casa A7 / Km2 + 207 vía antigua boconó Conjunto white country house casa A7")</f>
        <v>Km2 + 207 vía antigua boconó Conjunto white country house casa A7 / Km2 + 207 vía antigua boconó Conjunto white country house casa A7 / Km2 + 207 vía antigua boconó Conjunto white country house casa A7</v>
      </c>
      <c r="G685" s="15" t="str">
        <f>IFERROR(__xludf.DUMMYFUNCTION("""COMPUTED_VALUE"""),"Daniela Velasquez")</f>
        <v>Daniela Velasquez</v>
      </c>
      <c r="H685" s="18">
        <f>IFERROR(__xludf.DUMMYFUNCTION("""COMPUTED_VALUE"""),9297.0)</f>
        <v>9297</v>
      </c>
      <c r="I685" s="18">
        <f>IFERROR(__xludf.DUMMYFUNCTION("""COMPUTED_VALUE"""),8.0)</f>
        <v>8</v>
      </c>
      <c r="J685" s="18">
        <f>IFERROR(__xludf.DUMMYFUNCTION("""COMPUTED_VALUE"""),16.0)</f>
        <v>16</v>
      </c>
      <c r="K685" s="18">
        <f>IFERROR(__xludf.DUMMYFUNCTION("""COMPUTED_VALUE"""),20.0)</f>
        <v>20</v>
      </c>
      <c r="L685" s="17">
        <f>IFERROR(__xludf.DUMMYFUNCTION("""COMPUTED_VALUE"""),3.107001802E9)</f>
        <v>3107001802</v>
      </c>
      <c r="M685" s="17" t="str">
        <f>IFERROR(__xludf.DUMMYFUNCTION("""COMPUTED_VALUE"""),"#REF!")</f>
        <v>#REF!</v>
      </c>
      <c r="N685" s="17"/>
      <c r="O685" s="19" t="str">
        <f>IFERROR(__xludf.DUMMYFUNCTION("""COMPUTED_VALUE"""),"")</f>
        <v/>
      </c>
      <c r="P685" s="17" t="b">
        <f>IFERROR(__xludf.DUMMYFUNCTION("""COMPUTED_VALUE"""),TRUE)</f>
        <v>1</v>
      </c>
      <c r="Q685" s="20">
        <f>IFERROR(__xludf.DUMMYFUNCTION("""COMPUTED_VALUE"""),45016.71394216435)</f>
        <v>45016.71394</v>
      </c>
      <c r="R685" s="22" t="str">
        <f>IFERROR(__xludf.DUMMYFUNCTION("""COMPUTED_VALUE"""),"")</f>
        <v/>
      </c>
    </row>
    <row r="686">
      <c r="A686" s="15">
        <f>IFERROR(__xludf.DUMMYFUNCTION("""COMPUTED_VALUE"""),45016.0)</f>
        <v>45016</v>
      </c>
      <c r="B686" s="16" t="str">
        <f>IFERROR(__xludf.DUMMYFUNCTION("""COMPUTED_VALUE"""),"Lina Gaona")</f>
        <v>Lina Gaona</v>
      </c>
      <c r="C686" s="15" t="str">
        <f>IFERROR(__xludf.DUMMYFUNCTION("""COMPUTED_VALUE"""),"SANTA MARTA")</f>
        <v>SANTA MARTA</v>
      </c>
      <c r="D686" s="15" t="str">
        <f>IFERROR(__xludf.DUMMYFUNCTION("""COMPUTED_VALUE"""),"MEDELLÍN")</f>
        <v>MEDELLÍN</v>
      </c>
      <c r="E686" s="15" t="str">
        <f>IFERROR(__xludf.DUMMYFUNCTION("""COMPUTED_VALUE"""),"Rambla")</f>
        <v>Rambla</v>
      </c>
      <c r="F686" s="17" t="str">
        <f>IFERROR(__xludf.DUMMYFUNCTION("""COMPUTED_VALUE"""),"Direccion: Cra 1c # 23-56 Barrio BellaVista / NA / NA")</f>
        <v>Direccion: Cra 1c # 23-56 Barrio BellaVista / NA / NA</v>
      </c>
      <c r="G686" s="15" t="str">
        <f>IFERROR(__xludf.DUMMYFUNCTION("""COMPUTED_VALUE"""),"Fresco")</f>
        <v>Fresco</v>
      </c>
      <c r="H686" s="18">
        <f>IFERROR(__xludf.DUMMYFUNCTION("""COMPUTED_VALUE"""),9313.0)</f>
        <v>9313</v>
      </c>
      <c r="I686" s="18">
        <f>IFERROR(__xludf.DUMMYFUNCTION("""COMPUTED_VALUE"""),24.0)</f>
        <v>24</v>
      </c>
      <c r="J686" s="18">
        <f>IFERROR(__xludf.DUMMYFUNCTION("""COMPUTED_VALUE"""),28.0)</f>
        <v>28</v>
      </c>
      <c r="K686" s="18">
        <f>IFERROR(__xludf.DUMMYFUNCTION("""COMPUTED_VALUE"""),30.0)</f>
        <v>30</v>
      </c>
      <c r="L686" s="17">
        <f>IFERROR(__xludf.DUMMYFUNCTION("""COMPUTED_VALUE"""),3.104615133E9)</f>
        <v>3104615133</v>
      </c>
      <c r="M686" s="17" t="str">
        <f>IFERROR(__xludf.DUMMYFUNCTION("""COMPUTED_VALUE"""),"#REF!")</f>
        <v>#REF!</v>
      </c>
      <c r="N686" s="17"/>
      <c r="O686" s="19" t="str">
        <f>IFERROR(__xludf.DUMMYFUNCTION("""COMPUTED_VALUE"""),"")</f>
        <v/>
      </c>
      <c r="P686" s="17" t="b">
        <f>IFERROR(__xludf.DUMMYFUNCTION("""COMPUTED_VALUE"""),FALSE)</f>
        <v>0</v>
      </c>
      <c r="Q686" s="20" t="str">
        <f>IFERROR(__xludf.DUMMYFUNCTION("""COMPUTED_VALUE"""),"")</f>
        <v/>
      </c>
      <c r="R686" s="22" t="str">
        <f>IFERROR(__xludf.DUMMYFUNCTION("""COMPUTED_VALUE"""),"")</f>
        <v/>
      </c>
    </row>
    <row r="687">
      <c r="A687" s="17" t="str">
        <f>IFERROR(__xludf.DUMMYFUNCTION("""COMPUTED_VALUE"""),"")</f>
        <v/>
      </c>
      <c r="B687" s="17" t="str">
        <f>IFERROR(__xludf.DUMMYFUNCTION("""COMPUTED_VALUE"""),"")</f>
        <v/>
      </c>
      <c r="C687" s="17" t="str">
        <f>IFERROR(__xludf.DUMMYFUNCTION("""COMPUTED_VALUE"""),"")</f>
        <v/>
      </c>
      <c r="D687" s="17" t="str">
        <f>IFERROR(__xludf.DUMMYFUNCTION("""COMPUTED_VALUE"""),"")</f>
        <v/>
      </c>
      <c r="E687" s="17" t="str">
        <f>IFERROR(__xludf.DUMMYFUNCTION("""COMPUTED_VALUE"""),"")</f>
        <v/>
      </c>
      <c r="F687" s="17" t="str">
        <f>IFERROR(__xludf.DUMMYFUNCTION("""COMPUTED_VALUE"""),"")</f>
        <v/>
      </c>
      <c r="G687" s="17" t="str">
        <f>IFERROR(__xludf.DUMMYFUNCTION("""COMPUTED_VALUE"""),"")</f>
        <v/>
      </c>
      <c r="H687" s="17" t="str">
        <f>IFERROR(__xludf.DUMMYFUNCTION("""COMPUTED_VALUE"""),"")</f>
        <v/>
      </c>
      <c r="I687" s="17" t="str">
        <f>IFERROR(__xludf.DUMMYFUNCTION("""COMPUTED_VALUE"""),"")</f>
        <v/>
      </c>
      <c r="J687" s="17" t="str">
        <f>IFERROR(__xludf.DUMMYFUNCTION("""COMPUTED_VALUE"""),"")</f>
        <v/>
      </c>
      <c r="K687" s="17" t="str">
        <f>IFERROR(__xludf.DUMMYFUNCTION("""COMPUTED_VALUE"""),"")</f>
        <v/>
      </c>
      <c r="L687" s="17" t="str">
        <f>IFERROR(__xludf.DUMMYFUNCTION("""COMPUTED_VALUE"""),"")</f>
        <v/>
      </c>
      <c r="M687" s="17" t="str">
        <f>IFERROR(__xludf.DUMMYFUNCTION("""COMPUTED_VALUE"""),"")</f>
        <v/>
      </c>
      <c r="N687" s="17" t="str">
        <f>IFERROR(__xludf.DUMMYFUNCTION("""COMPUTED_VALUE"""),"")</f>
        <v/>
      </c>
      <c r="O687" s="17" t="str">
        <f>IFERROR(__xludf.DUMMYFUNCTION("""COMPUTED_VALUE"""),"")</f>
        <v/>
      </c>
      <c r="P687" s="17" t="str">
        <f>IFERROR(__xludf.DUMMYFUNCTION("""COMPUTED_VALUE"""),"")</f>
        <v/>
      </c>
      <c r="Q687" s="17" t="str">
        <f>IFERROR(__xludf.DUMMYFUNCTION("""COMPUTED_VALUE"""),"")</f>
        <v/>
      </c>
      <c r="R687" s="17" t="str">
        <f>IFERROR(__xludf.DUMMYFUNCTION("""COMPUTED_VALUE"""),"")</f>
        <v/>
      </c>
    </row>
    <row r="688">
      <c r="A688" s="15">
        <f>IFERROR(__xludf.DUMMYFUNCTION("""COMPUTED_VALUE"""),45016.0)</f>
        <v>45016</v>
      </c>
      <c r="B688" s="16" t="str">
        <f>IFERROR(__xludf.DUMMYFUNCTION("""COMPUTED_VALUE"""),"Luis Miguel Ramirez Morales")</f>
        <v>Luis Miguel Ramirez Morales</v>
      </c>
      <c r="C688" s="15" t="str">
        <f>IFERROR(__xludf.DUMMYFUNCTION("""COMPUTED_VALUE"""),"BOGOTÁ")</f>
        <v>BOGOTÁ</v>
      </c>
      <c r="D688" s="15" t="str">
        <f>IFERROR(__xludf.DUMMYFUNCTION("""COMPUTED_VALUE"""),"CALI")</f>
        <v>CALI</v>
      </c>
      <c r="E688" s="15" t="str">
        <f>IFERROR(__xludf.DUMMYFUNCTION("""COMPUTED_VALUE"""),"Ins. Alimento Vital")</f>
        <v>Ins. Alimento Vital</v>
      </c>
      <c r="F688" s="17" t="str">
        <f>IFERROR(__xludf.DUMMYFUNCTION("""COMPUTED_VALUE"""),"CLL 80 #26-17 / BODEGA INSTINTO ALIMENTO VITAL / FRENTE A LA ESTACION EL POLO")</f>
        <v>CLL 80 #26-17 / BODEGA INSTINTO ALIMENTO VITAL / FRENTE A LA ESTACION EL POLO</v>
      </c>
      <c r="G688" s="15" t="str">
        <f>IFERROR(__xludf.DUMMYFUNCTION("""COMPUTED_VALUE"""),"INSTINTO VITAL")</f>
        <v>INSTINTO VITAL</v>
      </c>
      <c r="H688" s="18">
        <f>IFERROR(__xludf.DUMMYFUNCTION("""COMPUTED_VALUE"""),9343.0)</f>
        <v>9343</v>
      </c>
      <c r="I688" s="18">
        <f>IFERROR(__xludf.DUMMYFUNCTION("""COMPUTED_VALUE"""),55.0)</f>
        <v>55</v>
      </c>
      <c r="J688" s="18">
        <f>IFERROR(__xludf.DUMMYFUNCTION("""COMPUTED_VALUE"""),45.0)</f>
        <v>45</v>
      </c>
      <c r="K688" s="18" t="str">
        <f>IFERROR(__xludf.DUMMYFUNCTION("""COMPUTED_VALUE"""),"52.5")</f>
        <v>52.5</v>
      </c>
      <c r="L688" s="17">
        <f>IFERROR(__xludf.DUMMYFUNCTION("""COMPUTED_VALUE"""),3.112571087E9)</f>
        <v>3112571087</v>
      </c>
      <c r="M688" s="17" t="str">
        <f>IFERROR(__xludf.DUMMYFUNCTION("""COMPUTED_VALUE"""),"#REF!")</f>
        <v>#REF!</v>
      </c>
      <c r="N688" s="17"/>
      <c r="O688" s="19" t="str">
        <f>IFERROR(__xludf.DUMMYFUNCTION("""COMPUTED_VALUE"""),"")</f>
        <v/>
      </c>
      <c r="P688" s="17" t="b">
        <f>IFERROR(__xludf.DUMMYFUNCTION("""COMPUTED_VALUE"""),TRUE)</f>
        <v>1</v>
      </c>
      <c r="Q688" s="20">
        <f>IFERROR(__xludf.DUMMYFUNCTION("""COMPUTED_VALUE"""),45016.71394217593)</f>
        <v>45016.71394</v>
      </c>
      <c r="R688" s="22" t="str">
        <f>IFERROR(__xludf.DUMMYFUNCTION("""COMPUTED_VALUE"""),"")</f>
        <v/>
      </c>
    </row>
    <row r="689">
      <c r="A689" s="15">
        <f>IFERROR(__xludf.DUMMYFUNCTION("""COMPUTED_VALUE"""),45016.0)</f>
        <v>45016</v>
      </c>
      <c r="B689" s="16" t="str">
        <f>IFERROR(__xludf.DUMMYFUNCTION("""COMPUTED_VALUE"""),"Luis Miguel Ramirez Morales")</f>
        <v>Luis Miguel Ramirez Morales</v>
      </c>
      <c r="C689" s="15" t="str">
        <f>IFERROR(__xludf.DUMMYFUNCTION("""COMPUTED_VALUE"""),"BOGOTÁ")</f>
        <v>BOGOTÁ</v>
      </c>
      <c r="D689" s="15" t="str">
        <f>IFERROR(__xludf.DUMMYFUNCTION("""COMPUTED_VALUE"""),"MEDELLÍN")</f>
        <v>MEDELLÍN</v>
      </c>
      <c r="E689" s="15" t="str">
        <f>IFERROR(__xludf.DUMMYFUNCTION("""COMPUTED_VALUE"""),"AREPAS LA MARY")</f>
        <v>AREPAS LA MARY</v>
      </c>
      <c r="F689" s="17" t="str">
        <f>IFERROR(__xludf.DUMMYFUNCTION("""COMPUTED_VALUE"""),"CRA 13 # 93-13 LOCAL 103 / LOCAL 103")</f>
        <v>CRA 13 # 93-13 LOCAL 103 / LOCAL 103</v>
      </c>
      <c r="G689" s="15" t="str">
        <f>IFERROR(__xludf.DUMMYFUNCTION("""COMPUTED_VALUE"""),"HEALING FOODS")</f>
        <v>HEALING FOODS</v>
      </c>
      <c r="H689" s="18">
        <f>IFERROR(__xludf.DUMMYFUNCTION("""COMPUTED_VALUE"""),9333.0)</f>
        <v>9333</v>
      </c>
      <c r="I689" s="18">
        <f>IFERROR(__xludf.DUMMYFUNCTION("""COMPUTED_VALUE"""),89.0)</f>
        <v>89</v>
      </c>
      <c r="J689" s="18">
        <f>IFERROR(__xludf.DUMMYFUNCTION("""COMPUTED_VALUE"""),1.0)</f>
        <v>1</v>
      </c>
      <c r="K689" s="18">
        <f>IFERROR(__xludf.DUMMYFUNCTION("""COMPUTED_VALUE"""),10.0)</f>
        <v>10</v>
      </c>
      <c r="L689" s="17">
        <f>IFERROR(__xludf.DUMMYFUNCTION("""COMPUTED_VALUE"""),3.142647408E9)</f>
        <v>3142647408</v>
      </c>
      <c r="M689" s="17" t="str">
        <f>IFERROR(__xludf.DUMMYFUNCTION("""COMPUTED_VALUE"""),"#REF!")</f>
        <v>#REF!</v>
      </c>
      <c r="N689" s="17"/>
      <c r="O689" s="19" t="str">
        <f>IFERROR(__xludf.DUMMYFUNCTION("""COMPUTED_VALUE"""),"")</f>
        <v/>
      </c>
      <c r="P689" s="17" t="b">
        <f>IFERROR(__xludf.DUMMYFUNCTION("""COMPUTED_VALUE"""),TRUE)</f>
        <v>1</v>
      </c>
      <c r="Q689" s="20">
        <f>IFERROR(__xludf.DUMMYFUNCTION("""COMPUTED_VALUE"""),45016.71394217593)</f>
        <v>45016.71394</v>
      </c>
      <c r="R689" s="22" t="str">
        <f>IFERROR(__xludf.DUMMYFUNCTION("""COMPUTED_VALUE"""),"")</f>
        <v/>
      </c>
    </row>
    <row r="690">
      <c r="A690" s="15">
        <f>IFERROR(__xludf.DUMMYFUNCTION("""COMPUTED_VALUE"""),45016.0)</f>
        <v>45016</v>
      </c>
      <c r="B690" s="16" t="str">
        <f>IFERROR(__xludf.DUMMYFUNCTION("""COMPUTED_VALUE"""),"Luis Miguel Ramirez Morales")</f>
        <v>Luis Miguel Ramirez Morales</v>
      </c>
      <c r="C690" s="15" t="str">
        <f>IFERROR(__xludf.DUMMYFUNCTION("""COMPUTED_VALUE"""),"BOGOTÁ")</f>
        <v>BOGOTÁ</v>
      </c>
      <c r="D690" s="15" t="str">
        <f>IFERROR(__xludf.DUMMYFUNCTION("""COMPUTED_VALUE"""),"MEDELLÍN")</f>
        <v>MEDELLÍN</v>
      </c>
      <c r="E690" s="15" t="str">
        <f>IFERROR(__xludf.DUMMYFUNCTION("""COMPUTED_VALUE"""),"Baby Chef")</f>
        <v>Baby Chef</v>
      </c>
      <c r="F690" s="17" t="str">
        <f>IFERROR(__xludf.DUMMYFUNCTION("""COMPUTED_VALUE"""),"Almacen De Muebles Murano Av 1 De Mayo# 37 54  / Almacen De Muebles Murano Av 1 De Mayo# 37 54 / Almacen De Muebles Murano Av 1 De Mayo# 37 54")</f>
        <v>Almacen De Muebles Murano Av 1 De Mayo# 37 54  / Almacen De Muebles Murano Av 1 De Mayo# 37 54 / Almacen De Muebles Murano Av 1 De Mayo# 37 54</v>
      </c>
      <c r="G690" s="15" t="str">
        <f>IFERROR(__xludf.DUMMYFUNCTION("""COMPUTED_VALUE"""),"Katherine Escobar")</f>
        <v>Katherine Escobar</v>
      </c>
      <c r="H690" s="18">
        <f>IFERROR(__xludf.DUMMYFUNCTION("""COMPUTED_VALUE"""),9336.0)</f>
        <v>9336</v>
      </c>
      <c r="I690" s="18">
        <f>IFERROR(__xludf.DUMMYFUNCTION("""COMPUTED_VALUE"""),8.0)</f>
        <v>8</v>
      </c>
      <c r="J690" s="18">
        <f>IFERROR(__xludf.DUMMYFUNCTION("""COMPUTED_VALUE"""),16.0)</f>
        <v>16</v>
      </c>
      <c r="K690" s="18">
        <f>IFERROR(__xludf.DUMMYFUNCTION("""COMPUTED_VALUE"""),20.0)</f>
        <v>20</v>
      </c>
      <c r="L690" s="17">
        <f>IFERROR(__xludf.DUMMYFUNCTION("""COMPUTED_VALUE"""),3.013459332E9)</f>
        <v>3013459332</v>
      </c>
      <c r="M690" s="17" t="str">
        <f>IFERROR(__xludf.DUMMYFUNCTION("""COMPUTED_VALUE"""),"#REF!")</f>
        <v>#REF!</v>
      </c>
      <c r="N690" s="17"/>
      <c r="O690" s="19" t="str">
        <f>IFERROR(__xludf.DUMMYFUNCTION("""COMPUTED_VALUE"""),"")</f>
        <v/>
      </c>
      <c r="P690" s="17" t="b">
        <f>IFERROR(__xludf.DUMMYFUNCTION("""COMPUTED_VALUE"""),TRUE)</f>
        <v>1</v>
      </c>
      <c r="Q690" s="20">
        <f>IFERROR(__xludf.DUMMYFUNCTION("""COMPUTED_VALUE"""),45016.71394217593)</f>
        <v>45016.71394</v>
      </c>
      <c r="R690" s="22" t="str">
        <f>IFERROR(__xludf.DUMMYFUNCTION("""COMPUTED_VALUE"""),"")</f>
        <v/>
      </c>
    </row>
    <row r="691">
      <c r="A691" s="15">
        <f>IFERROR(__xludf.DUMMYFUNCTION("""COMPUTED_VALUE"""),45016.0)</f>
        <v>45016</v>
      </c>
      <c r="B691" s="16" t="str">
        <f>IFERROR(__xludf.DUMMYFUNCTION("""COMPUTED_VALUE"""),"Luis Miguel Ramirez Morales")</f>
        <v>Luis Miguel Ramirez Morales</v>
      </c>
      <c r="C691" s="15" t="str">
        <f>IFERROR(__xludf.DUMMYFUNCTION("""COMPUTED_VALUE"""),"BOGOTÁ")</f>
        <v>BOGOTÁ</v>
      </c>
      <c r="D691" s="15" t="str">
        <f>IFERROR(__xludf.DUMMYFUNCTION("""COMPUTED_VALUE"""),"MEDELLÍN")</f>
        <v>MEDELLÍN</v>
      </c>
      <c r="E691" s="15" t="str">
        <f>IFERROR(__xludf.DUMMYFUNCTION("""COMPUTED_VALUE"""),"Baby Chef")</f>
        <v>Baby Chef</v>
      </c>
      <c r="F691" s="17" t="str">
        <f>IFERROR(__xludf.DUMMYFUNCTION("""COMPUTED_VALUE"""),"Cra 54d #135-60 Int 1 Apt 102 Portal de la colina / Cra 54d #135-60 Int 1 Apt 102 Portal de la colina / Cra 54d #135-60 Int 1 Apt 102 Portal de la colina")</f>
        <v>Cra 54d #135-60 Int 1 Apt 102 Portal de la colina / Cra 54d #135-60 Int 1 Apt 102 Portal de la colina / Cra 54d #135-60 Int 1 Apt 102 Portal de la colina</v>
      </c>
      <c r="G691" s="15" t="str">
        <f>IFERROR(__xludf.DUMMYFUNCTION("""COMPUTED_VALUE"""),"Daniela Lopez Lamprea")</f>
        <v>Daniela Lopez Lamprea</v>
      </c>
      <c r="H691" s="18">
        <f>IFERROR(__xludf.DUMMYFUNCTION("""COMPUTED_VALUE"""),9338.0)</f>
        <v>9338</v>
      </c>
      <c r="I691" s="18">
        <f>IFERROR(__xludf.DUMMYFUNCTION("""COMPUTED_VALUE"""),6.0)</f>
        <v>6</v>
      </c>
      <c r="J691" s="18">
        <f>IFERROR(__xludf.DUMMYFUNCTION("""COMPUTED_VALUE"""),16.0)</f>
        <v>16</v>
      </c>
      <c r="K691" s="18">
        <f>IFERROR(__xludf.DUMMYFUNCTION("""COMPUTED_VALUE"""),20.0)</f>
        <v>20</v>
      </c>
      <c r="L691" s="17">
        <f>IFERROR(__xludf.DUMMYFUNCTION("""COMPUTED_VALUE"""),3.102610151E9)</f>
        <v>3102610151</v>
      </c>
      <c r="M691" s="17" t="str">
        <f>IFERROR(__xludf.DUMMYFUNCTION("""COMPUTED_VALUE"""),"#REF!")</f>
        <v>#REF!</v>
      </c>
      <c r="N691" s="17"/>
      <c r="O691" s="19" t="str">
        <f>IFERROR(__xludf.DUMMYFUNCTION("""COMPUTED_VALUE"""),"")</f>
        <v/>
      </c>
      <c r="P691" s="17" t="b">
        <f>IFERROR(__xludf.DUMMYFUNCTION("""COMPUTED_VALUE"""),TRUE)</f>
        <v>1</v>
      </c>
      <c r="Q691" s="20">
        <f>IFERROR(__xludf.DUMMYFUNCTION("""COMPUTED_VALUE"""),45016.71394217593)</f>
        <v>45016.71394</v>
      </c>
      <c r="R691" s="22" t="str">
        <f>IFERROR(__xludf.DUMMYFUNCTION("""COMPUTED_VALUE"""),"")</f>
        <v/>
      </c>
    </row>
    <row r="692">
      <c r="A692" s="15">
        <f>IFERROR(__xludf.DUMMYFUNCTION("""COMPUTED_VALUE"""),45016.0)</f>
        <v>45016</v>
      </c>
      <c r="B692" s="16" t="str">
        <f>IFERROR(__xludf.DUMMYFUNCTION("""COMPUTED_VALUE"""),"Luis Miguel Ramirez Morales")</f>
        <v>Luis Miguel Ramirez Morales</v>
      </c>
      <c r="C692" s="15" t="str">
        <f>IFERROR(__xludf.DUMMYFUNCTION("""COMPUTED_VALUE"""),"BOGOTÁ")</f>
        <v>BOGOTÁ</v>
      </c>
      <c r="D692" s="15" t="str">
        <f>IFERROR(__xludf.DUMMYFUNCTION("""COMPUTED_VALUE"""),"MEDELLÍN")</f>
        <v>MEDELLÍN</v>
      </c>
      <c r="E692" s="15" t="str">
        <f>IFERROR(__xludf.DUMMYFUNCTION("""COMPUTED_VALUE"""),"Moloso S.A.S")</f>
        <v>Moloso S.A.S</v>
      </c>
      <c r="F692" s="17" t="str">
        <f>IFERROR(__xludf.DUMMYFUNCTION("""COMPUTED_VALUE"""),"CR 23 106 B 64 / EDF MYSTIQUE 106")</f>
        <v>CR 23 106 B 64 / EDF MYSTIQUE 106</v>
      </c>
      <c r="G692" s="15" t="str">
        <f>IFERROR(__xludf.DUMMYFUNCTION("""COMPUTED_VALUE"""),"MARIANA OSPINA")</f>
        <v>MARIANA OSPINA</v>
      </c>
      <c r="H692" s="18">
        <f>IFERROR(__xludf.DUMMYFUNCTION("""COMPUTED_VALUE"""),9320.0)</f>
        <v>9320</v>
      </c>
      <c r="I692" s="18">
        <f>IFERROR(__xludf.DUMMYFUNCTION("""COMPUTED_VALUE"""),17.0)</f>
        <v>17</v>
      </c>
      <c r="J692" s="18">
        <f>IFERROR(__xludf.DUMMYFUNCTION("""COMPUTED_VALUE"""),15.0)</f>
        <v>15</v>
      </c>
      <c r="K692" s="18">
        <f>IFERROR(__xludf.DUMMYFUNCTION("""COMPUTED_VALUE"""),28.0)</f>
        <v>28</v>
      </c>
      <c r="L692" s="17">
        <f>IFERROR(__xludf.DUMMYFUNCTION("""COMPUTED_VALUE"""),3.017656611E9)</f>
        <v>3017656611</v>
      </c>
      <c r="M692" s="17" t="str">
        <f>IFERROR(__xludf.DUMMYFUNCTION("""COMPUTED_VALUE"""),"#REF!")</f>
        <v>#REF!</v>
      </c>
      <c r="N692" s="17"/>
      <c r="O692" s="19" t="str">
        <f>IFERROR(__xludf.DUMMYFUNCTION("""COMPUTED_VALUE"""),"")</f>
        <v/>
      </c>
      <c r="P692" s="17" t="b">
        <f>IFERROR(__xludf.DUMMYFUNCTION("""COMPUTED_VALUE"""),TRUE)</f>
        <v>1</v>
      </c>
      <c r="Q692" s="20">
        <f>IFERROR(__xludf.DUMMYFUNCTION("""COMPUTED_VALUE"""),45016.71394217593)</f>
        <v>45016.71394</v>
      </c>
      <c r="R692" s="22" t="str">
        <f>IFERROR(__xludf.DUMMYFUNCTION("""COMPUTED_VALUE"""),"")</f>
        <v/>
      </c>
    </row>
    <row r="693">
      <c r="A693" s="15">
        <f>IFERROR(__xludf.DUMMYFUNCTION("""COMPUTED_VALUE"""),45016.0)</f>
        <v>45016</v>
      </c>
      <c r="B693" s="16" t="str">
        <f>IFERROR(__xludf.DUMMYFUNCTION("""COMPUTED_VALUE"""),"Luis Miguel Ramirez Morales")</f>
        <v>Luis Miguel Ramirez Morales</v>
      </c>
      <c r="C693" s="15" t="str">
        <f>IFERROR(__xludf.DUMMYFUNCTION("""COMPUTED_VALUE"""),"BOGOTÁ")</f>
        <v>BOGOTÁ</v>
      </c>
      <c r="D693" s="15" t="str">
        <f>IFERROR(__xludf.DUMMYFUNCTION("""COMPUTED_VALUE"""),"MEDELLÍN")</f>
        <v>MEDELLÍN</v>
      </c>
      <c r="E693" s="15" t="str">
        <f>IFERROR(__xludf.DUMMYFUNCTION("""COMPUTED_VALUE"""),"Moloso S.A.S")</f>
        <v>Moloso S.A.S</v>
      </c>
      <c r="F693" s="17" t="str">
        <f>IFERROR(__xludf.DUMMYFUNCTION("""COMPUTED_VALUE"""),"CR 23 134 A 41 / AP 502")</f>
        <v>CR 23 134 A 41 / AP 502</v>
      </c>
      <c r="G693" s="15" t="str">
        <f>IFERROR(__xludf.DUMMYFUNCTION("""COMPUTED_VALUE"""),"MARIA OCHOA MARTELO 2")</f>
        <v>MARIA OCHOA MARTELO 2</v>
      </c>
      <c r="H693" s="18">
        <f>IFERROR(__xludf.DUMMYFUNCTION("""COMPUTED_VALUE"""),9322.0)</f>
        <v>9322</v>
      </c>
      <c r="I693" s="18">
        <f>IFERROR(__xludf.DUMMYFUNCTION("""COMPUTED_VALUE"""),17.0)</f>
        <v>17</v>
      </c>
      <c r="J693" s="18">
        <f>IFERROR(__xludf.DUMMYFUNCTION("""COMPUTED_VALUE"""),15.0)</f>
        <v>15</v>
      </c>
      <c r="K693" s="18">
        <f>IFERROR(__xludf.DUMMYFUNCTION("""COMPUTED_VALUE"""),28.0)</f>
        <v>28</v>
      </c>
      <c r="L693" s="17" t="str">
        <f>IFERROR(__xludf.DUMMYFUNCTION("""COMPUTED_VALUE"""),"301 7890418")</f>
        <v>301 7890418</v>
      </c>
      <c r="M693" s="17" t="str">
        <f>IFERROR(__xludf.DUMMYFUNCTION("""COMPUTED_VALUE"""),"#REF!")</f>
        <v>#REF!</v>
      </c>
      <c r="N693" s="17"/>
      <c r="O693" s="19" t="str">
        <f>IFERROR(__xludf.DUMMYFUNCTION("""COMPUTED_VALUE"""),"")</f>
        <v/>
      </c>
      <c r="P693" s="17" t="b">
        <f>IFERROR(__xludf.DUMMYFUNCTION("""COMPUTED_VALUE"""),FALSE)</f>
        <v>0</v>
      </c>
      <c r="Q693" s="20" t="str">
        <f>IFERROR(__xludf.DUMMYFUNCTION("""COMPUTED_VALUE"""),"")</f>
        <v/>
      </c>
      <c r="R693" s="22" t="str">
        <f>IFERROR(__xludf.DUMMYFUNCTION("""COMPUTED_VALUE"""),"")</f>
        <v/>
      </c>
    </row>
    <row r="694">
      <c r="A694" s="17" t="str">
        <f>IFERROR(__xludf.DUMMYFUNCTION("""COMPUTED_VALUE"""),"")</f>
        <v/>
      </c>
      <c r="B694" s="17" t="str">
        <f>IFERROR(__xludf.DUMMYFUNCTION("""COMPUTED_VALUE"""),"")</f>
        <v/>
      </c>
      <c r="C694" s="17" t="str">
        <f>IFERROR(__xludf.DUMMYFUNCTION("""COMPUTED_VALUE"""),"")</f>
        <v/>
      </c>
      <c r="D694" s="17" t="str">
        <f>IFERROR(__xludf.DUMMYFUNCTION("""COMPUTED_VALUE"""),"")</f>
        <v/>
      </c>
      <c r="E694" s="17" t="str">
        <f>IFERROR(__xludf.DUMMYFUNCTION("""COMPUTED_VALUE"""),"")</f>
        <v/>
      </c>
      <c r="F694" s="17" t="str">
        <f>IFERROR(__xludf.DUMMYFUNCTION("""COMPUTED_VALUE"""),"")</f>
        <v/>
      </c>
      <c r="G694" s="17" t="str">
        <f>IFERROR(__xludf.DUMMYFUNCTION("""COMPUTED_VALUE"""),"")</f>
        <v/>
      </c>
      <c r="H694" s="17" t="str">
        <f>IFERROR(__xludf.DUMMYFUNCTION("""COMPUTED_VALUE"""),"")</f>
        <v/>
      </c>
      <c r="I694" s="17" t="str">
        <f>IFERROR(__xludf.DUMMYFUNCTION("""COMPUTED_VALUE"""),"")</f>
        <v/>
      </c>
      <c r="J694" s="17" t="str">
        <f>IFERROR(__xludf.DUMMYFUNCTION("""COMPUTED_VALUE"""),"")</f>
        <v/>
      </c>
      <c r="K694" s="17" t="str">
        <f>IFERROR(__xludf.DUMMYFUNCTION("""COMPUTED_VALUE"""),"")</f>
        <v/>
      </c>
      <c r="L694" s="17" t="str">
        <f>IFERROR(__xludf.DUMMYFUNCTION("""COMPUTED_VALUE"""),"")</f>
        <v/>
      </c>
      <c r="M694" s="17" t="str">
        <f>IFERROR(__xludf.DUMMYFUNCTION("""COMPUTED_VALUE"""),"")</f>
        <v/>
      </c>
      <c r="N694" s="17" t="str">
        <f>IFERROR(__xludf.DUMMYFUNCTION("""COMPUTED_VALUE"""),"")</f>
        <v/>
      </c>
      <c r="O694" s="17" t="str">
        <f>IFERROR(__xludf.DUMMYFUNCTION("""COMPUTED_VALUE"""),"")</f>
        <v/>
      </c>
      <c r="P694" s="17" t="str">
        <f>IFERROR(__xludf.DUMMYFUNCTION("""COMPUTED_VALUE"""),"")</f>
        <v/>
      </c>
      <c r="Q694" s="17" t="str">
        <f>IFERROR(__xludf.DUMMYFUNCTION("""COMPUTED_VALUE"""),"")</f>
        <v/>
      </c>
      <c r="R694" s="17" t="str">
        <f>IFERROR(__xludf.DUMMYFUNCTION("""COMPUTED_VALUE"""),"")</f>
        <v/>
      </c>
    </row>
    <row r="695">
      <c r="A695" s="15">
        <f>IFERROR(__xludf.DUMMYFUNCTION("""COMPUTED_VALUE"""),45016.0)</f>
        <v>45016</v>
      </c>
      <c r="B695" s="16" t="str">
        <f>IFERROR(__xludf.DUMMYFUNCTION("""COMPUTED_VALUE"""),"Orlando Urdaneta Rincon ")</f>
        <v>Orlando Urdaneta Rincon </v>
      </c>
      <c r="C695" s="15" t="str">
        <f>IFERROR(__xludf.DUMMYFUNCTION("""COMPUTED_VALUE"""),"BOGOTÁ")</f>
        <v>BOGOTÁ</v>
      </c>
      <c r="D695" s="15" t="str">
        <f>IFERROR(__xludf.DUMMYFUNCTION("""COMPUTED_VALUE"""),"MEDELLÍN")</f>
        <v>MEDELLÍN</v>
      </c>
      <c r="E695" s="15" t="str">
        <f>IFERROR(__xludf.DUMMYFUNCTION("""COMPUTED_VALUE"""),"Terravocado")</f>
        <v>Terravocado</v>
      </c>
      <c r="F695" s="17" t="str">
        <f>IFERROR(__xludf.DUMMYFUNCTION("""COMPUTED_VALUE"""),"Carrera 20 168-32 / Toberin  / Bogotá")</f>
        <v>Carrera 20 168-32 / Toberin  / Bogotá</v>
      </c>
      <c r="G695" s="15" t="str">
        <f>IFERROR(__xludf.DUMMYFUNCTION("""COMPUTED_VALUE"""),"BUKOI")</f>
        <v>BUKOI</v>
      </c>
      <c r="H695" s="18">
        <f>IFERROR(__xludf.DUMMYFUNCTION("""COMPUTED_VALUE"""),9352.0)</f>
        <v>9352</v>
      </c>
      <c r="I695" s="18">
        <f>IFERROR(__xludf.DUMMYFUNCTION("""COMPUTED_VALUE"""),20.0)</f>
        <v>20</v>
      </c>
      <c r="J695" s="18">
        <f>IFERROR(__xludf.DUMMYFUNCTION("""COMPUTED_VALUE"""),25.0)</f>
        <v>25</v>
      </c>
      <c r="K695" s="18">
        <f>IFERROR(__xludf.DUMMYFUNCTION("""COMPUTED_VALUE"""),34.0)</f>
        <v>34</v>
      </c>
      <c r="L695" s="17">
        <f>IFERROR(__xludf.DUMMYFUNCTION("""COMPUTED_VALUE"""),3.103668164E9)</f>
        <v>3103668164</v>
      </c>
      <c r="M695" s="17" t="str">
        <f>IFERROR(__xludf.DUMMYFUNCTION("""COMPUTED_VALUE"""),"#REF!")</f>
        <v>#REF!</v>
      </c>
      <c r="N695" s="17"/>
      <c r="O695" s="19" t="str">
        <f>IFERROR(__xludf.DUMMYFUNCTION("""COMPUTED_VALUE"""),"")</f>
        <v/>
      </c>
      <c r="P695" s="17" t="b">
        <f>IFERROR(__xludf.DUMMYFUNCTION("""COMPUTED_VALUE"""),TRUE)</f>
        <v>1</v>
      </c>
      <c r="Q695" s="20">
        <f>IFERROR(__xludf.DUMMYFUNCTION("""COMPUTED_VALUE"""),45016.464288310184)</f>
        <v>45016.46429</v>
      </c>
      <c r="R695" s="22" t="str">
        <f>IFERROR(__xludf.DUMMYFUNCTION("""COMPUTED_VALUE"""),"")</f>
        <v/>
      </c>
    </row>
    <row r="696">
      <c r="A696" s="15">
        <f>IFERROR(__xludf.DUMMYFUNCTION("""COMPUTED_VALUE"""),45016.0)</f>
        <v>45016</v>
      </c>
      <c r="B696" s="16" t="str">
        <f>IFERROR(__xludf.DUMMYFUNCTION("""COMPUTED_VALUE"""),"Orlando Urdaneta Rincon ")</f>
        <v>Orlando Urdaneta Rincon </v>
      </c>
      <c r="C696" s="15" t="str">
        <f>IFERROR(__xludf.DUMMYFUNCTION("""COMPUTED_VALUE"""),"SANTA MARTA")</f>
        <v>SANTA MARTA</v>
      </c>
      <c r="D696" s="15" t="str">
        <f>IFERROR(__xludf.DUMMYFUNCTION("""COMPUTED_VALUE"""),"BOGOTÁ")</f>
        <v>BOGOTÁ</v>
      </c>
      <c r="E696" s="15" t="str">
        <f>IFERROR(__xludf.DUMMYFUNCTION("""COMPUTED_VALUE"""),"Ins. Alimento Vital")</f>
        <v>Ins. Alimento Vital</v>
      </c>
      <c r="F696" s="17" t="str">
        <f>IFERROR(__xludf.DUMMYFUNCTION("""COMPUTED_VALUE"""),"CR 1 B 26 A 109  / EDIFICIO ALMIRANTE APTO 501 / EDIFICIO ALMIRANTE")</f>
        <v>CR 1 B 26 A 109  / EDIFICIO ALMIRANTE APTO 501 / EDIFICIO ALMIRANTE</v>
      </c>
      <c r="G696" s="15" t="str">
        <f>IFERROR(__xludf.DUMMYFUNCTION("""COMPUTED_VALUE"""),"VERONICA GOMEZ DE ZUBIRIA")</f>
        <v>VERONICA GOMEZ DE ZUBIRIA</v>
      </c>
      <c r="H696" s="18">
        <f>IFERROR(__xludf.DUMMYFUNCTION("""COMPUTED_VALUE"""),9284.0)</f>
        <v>9284</v>
      </c>
      <c r="I696" s="18">
        <f>IFERROR(__xludf.DUMMYFUNCTION("""COMPUTED_VALUE"""),100.0)</f>
        <v>100</v>
      </c>
      <c r="J696" s="18">
        <f>IFERROR(__xludf.DUMMYFUNCTION("""COMPUTED_VALUE"""),10.0)</f>
        <v>10</v>
      </c>
      <c r="K696" s="18">
        <f>IFERROR(__xludf.DUMMYFUNCTION("""COMPUTED_VALUE"""),72.0)</f>
        <v>72</v>
      </c>
      <c r="L696" s="17">
        <f>IFERROR(__xludf.DUMMYFUNCTION("""COMPUTED_VALUE"""),3.107893555E9)</f>
        <v>3107893555</v>
      </c>
      <c r="M696" s="17" t="str">
        <f>IFERROR(__xludf.DUMMYFUNCTION("""COMPUTED_VALUE"""),"#REF!")</f>
        <v>#REF!</v>
      </c>
      <c r="N696" s="17"/>
      <c r="O696" s="19" t="str">
        <f>IFERROR(__xludf.DUMMYFUNCTION("""COMPUTED_VALUE"""),"")</f>
        <v/>
      </c>
      <c r="P696" s="17" t="b">
        <f>IFERROR(__xludf.DUMMYFUNCTION("""COMPUTED_VALUE"""),FALSE)</f>
        <v>0</v>
      </c>
      <c r="Q696" s="20" t="str">
        <f>IFERROR(__xludf.DUMMYFUNCTION("""COMPUTED_VALUE"""),"")</f>
        <v/>
      </c>
      <c r="R696" s="22" t="str">
        <f>IFERROR(__xludf.DUMMYFUNCTION("""COMPUTED_VALUE"""),"")</f>
        <v/>
      </c>
    </row>
    <row r="697">
      <c r="A697" s="15">
        <f>IFERROR(__xludf.DUMMYFUNCTION("""COMPUTED_VALUE"""),45016.0)</f>
        <v>45016</v>
      </c>
      <c r="B697" s="16" t="str">
        <f>IFERROR(__xludf.DUMMYFUNCTION("""COMPUTED_VALUE"""),"Orlando Urdaneta Rincon ")</f>
        <v>Orlando Urdaneta Rincon </v>
      </c>
      <c r="C697" s="15" t="str">
        <f>IFERROR(__xludf.DUMMYFUNCTION("""COMPUTED_VALUE"""),"SANTA MARTA")</f>
        <v>SANTA MARTA</v>
      </c>
      <c r="D697" s="15" t="str">
        <f>IFERROR(__xludf.DUMMYFUNCTION("""COMPUTED_VALUE"""),"MEDELLÍN")</f>
        <v>MEDELLÍN</v>
      </c>
      <c r="E697" s="15" t="str">
        <f>IFERROR(__xludf.DUMMYFUNCTION("""COMPUTED_VALUE"""),"Baby Chef")</f>
        <v>Baby Chef</v>
      </c>
      <c r="F697" s="17" t="str">
        <f>IFERROR(__xludf.DUMMYFUNCTION("""COMPUTED_VALUE"""),"av ferrocarril no 29 g 05 vidrios para autos barrios los faroles, diagonal a la bomba petromil E81T6P Santa Marta Magdalena / av ferrocarril no 29 g 05 vidrios para autos barrios los faroles, diagonal a la bomba petromil E81T6P Santa Marta Magdalena / av "&amp;"ferrocarril no 29 g 05 vidrios para autos barrios los faroles, diagonal a la bomba petromil E81T6P Santa Marta Magdalena")</f>
        <v>av ferrocarril no 29 g 05 vidrios para autos barrios los faroles, diagonal a la bomba petromil E81T6P Santa Marta Magdalena / av ferrocarril no 29 g 05 vidrios para autos barrios los faroles, diagonal a la bomba petromil E81T6P Santa Marta Magdalena / av ferrocarril no 29 g 05 vidrios para autos barrios los faroles, diagonal a la bomba petromil E81T6P Santa Marta Magdalena</v>
      </c>
      <c r="G697" s="15" t="str">
        <f>IFERROR(__xludf.DUMMYFUNCTION("""COMPUTED_VALUE"""),"laura tatiana arevalo vanegas")</f>
        <v>laura tatiana arevalo vanegas</v>
      </c>
      <c r="H697" s="18">
        <f>IFERROR(__xludf.DUMMYFUNCTION("""COMPUTED_VALUE"""),9294.0)</f>
        <v>9294</v>
      </c>
      <c r="I697" s="18">
        <f>IFERROR(__xludf.DUMMYFUNCTION("""COMPUTED_VALUE"""),8.0)</f>
        <v>8</v>
      </c>
      <c r="J697" s="18">
        <f>IFERROR(__xludf.DUMMYFUNCTION("""COMPUTED_VALUE"""),16.0)</f>
        <v>16</v>
      </c>
      <c r="K697" s="18">
        <f>IFERROR(__xludf.DUMMYFUNCTION("""COMPUTED_VALUE"""),20.0)</f>
        <v>20</v>
      </c>
      <c r="L697" s="17">
        <f>IFERROR(__xludf.DUMMYFUNCTION("""COMPUTED_VALUE"""),3.015864178E9)</f>
        <v>3015864178</v>
      </c>
      <c r="M697" s="17" t="str">
        <f>IFERROR(__xludf.DUMMYFUNCTION("""COMPUTED_VALUE"""),"#REF!")</f>
        <v>#REF!</v>
      </c>
      <c r="N697" s="17"/>
      <c r="O697" s="19" t="str">
        <f>IFERROR(__xludf.DUMMYFUNCTION("""COMPUTED_VALUE"""),"")</f>
        <v/>
      </c>
      <c r="P697" s="17" t="b">
        <f>IFERROR(__xludf.DUMMYFUNCTION("""COMPUTED_VALUE"""),TRUE)</f>
        <v>1</v>
      </c>
      <c r="Q697" s="20">
        <f>IFERROR(__xludf.DUMMYFUNCTION("""COMPUTED_VALUE"""),45016.464303518514)</f>
        <v>45016.4643</v>
      </c>
      <c r="R697" s="22" t="str">
        <f>IFERROR(__xludf.DUMMYFUNCTION("""COMPUTED_VALUE"""),"")</f>
        <v/>
      </c>
    </row>
    <row r="698">
      <c r="A698" s="15">
        <f>IFERROR(__xludf.DUMMYFUNCTION("""COMPUTED_VALUE"""),45016.0)</f>
        <v>45016</v>
      </c>
      <c r="B698" s="16" t="str">
        <f>IFERROR(__xludf.DUMMYFUNCTION("""COMPUTED_VALUE"""),"Orlando Urdaneta Rincon ")</f>
        <v>Orlando Urdaneta Rincon </v>
      </c>
      <c r="C698" s="15" t="str">
        <f>IFERROR(__xludf.DUMMYFUNCTION("""COMPUTED_VALUE"""),"SANTA MARTA")</f>
        <v>SANTA MARTA</v>
      </c>
      <c r="D698" s="15" t="str">
        <f>IFERROR(__xludf.DUMMYFUNCTION("""COMPUTED_VALUE"""),"MEDELLÍN")</f>
        <v>MEDELLÍN</v>
      </c>
      <c r="E698" s="15" t="str">
        <f>IFERROR(__xludf.DUMMYFUNCTION("""COMPUTED_VALUE"""),"Magda")</f>
        <v>Magda</v>
      </c>
      <c r="F698" s="17" t="str">
        <f>IFERROR(__xludf.DUMMYFUNCTION("""COMPUTED_VALUE"""),"Calle 22 # 6 - 82 / Local 27 Centro Comercial La 22 / Centro")</f>
        <v>Calle 22 # 6 - 82 / Local 27 Centro Comercial La 22 / Centro</v>
      </c>
      <c r="G698" s="15" t="str">
        <f>IFERROR(__xludf.DUMMYFUNCTION("""COMPUTED_VALUE"""),"Shirley Manjarres")</f>
        <v>Shirley Manjarres</v>
      </c>
      <c r="H698" s="18">
        <f>IFERROR(__xludf.DUMMYFUNCTION("""COMPUTED_VALUE"""),9330.0)</f>
        <v>9330</v>
      </c>
      <c r="I698" s="18">
        <f>IFERROR(__xludf.DUMMYFUNCTION("""COMPUTED_VALUE"""),55.0)</f>
        <v>55</v>
      </c>
      <c r="J698" s="18">
        <f>IFERROR(__xludf.DUMMYFUNCTION("""COMPUTED_VALUE"""),45.0)</f>
        <v>45</v>
      </c>
      <c r="K698" s="18" t="str">
        <f>IFERROR(__xludf.DUMMYFUNCTION("""COMPUTED_VALUE"""),"52.5")</f>
        <v>52.5</v>
      </c>
      <c r="L698" s="17">
        <f>IFERROR(__xludf.DUMMYFUNCTION("""COMPUTED_VALUE"""),3.054269156E9)</f>
        <v>3054269156</v>
      </c>
      <c r="M698" s="17" t="str">
        <f>IFERROR(__xludf.DUMMYFUNCTION("""COMPUTED_VALUE"""),"#REF!")</f>
        <v>#REF!</v>
      </c>
      <c r="N698" s="17"/>
      <c r="O698" s="19" t="str">
        <f>IFERROR(__xludf.DUMMYFUNCTION("""COMPUTED_VALUE"""),"")</f>
        <v/>
      </c>
      <c r="P698" s="17" t="b">
        <f>IFERROR(__xludf.DUMMYFUNCTION("""COMPUTED_VALUE"""),TRUE)</f>
        <v>1</v>
      </c>
      <c r="Q698" s="20">
        <f>IFERROR(__xludf.DUMMYFUNCTION("""COMPUTED_VALUE"""),45016.46432009259)</f>
        <v>45016.46432</v>
      </c>
      <c r="R698" s="22" t="str">
        <f>IFERROR(__xludf.DUMMYFUNCTION("""COMPUTED_VALUE"""),"")</f>
        <v/>
      </c>
    </row>
    <row r="699">
      <c r="A699" s="15">
        <f>IFERROR(__xludf.DUMMYFUNCTION("""COMPUTED_VALUE"""),45016.0)</f>
        <v>45016</v>
      </c>
      <c r="B699" s="16" t="str">
        <f>IFERROR(__xludf.DUMMYFUNCTION("""COMPUTED_VALUE"""),"Orlando Urdaneta Rincon ")</f>
        <v>Orlando Urdaneta Rincon </v>
      </c>
      <c r="C699" s="15" t="str">
        <f>IFERROR(__xludf.DUMMYFUNCTION("""COMPUTED_VALUE"""),"SANTA MARTA")</f>
        <v>SANTA MARTA</v>
      </c>
      <c r="D699" s="15" t="str">
        <f>IFERROR(__xludf.DUMMYFUNCTION("""COMPUTED_VALUE"""),"MEDELLÍN")</f>
        <v>MEDELLÍN</v>
      </c>
      <c r="E699" s="15" t="str">
        <f>IFERROR(__xludf.DUMMYFUNCTION("""COMPUTED_VALUE"""),"Rambla")</f>
        <v>Rambla</v>
      </c>
      <c r="F699" s="17" t="str">
        <f>IFERROR(__xludf.DUMMYFUNCTION("""COMPUTED_VALUE"""),"Cr 1 # 22 - 79 Edificio Grand marina apto 602 Santa marta / NA / NA")</f>
        <v>Cr 1 # 22 - 79 Edificio Grand marina apto 602 Santa marta / NA / NA</v>
      </c>
      <c r="G699" s="15" t="str">
        <f>IFERROR(__xludf.DUMMYFUNCTION("""COMPUTED_VALUE"""),"Chesman Barros")</f>
        <v>Chesman Barros</v>
      </c>
      <c r="H699" s="18">
        <f>IFERROR(__xludf.DUMMYFUNCTION("""COMPUTED_VALUE"""),9311.0)</f>
        <v>9311</v>
      </c>
      <c r="I699" s="18">
        <f>IFERROR(__xludf.DUMMYFUNCTION("""COMPUTED_VALUE"""),19.0)</f>
        <v>19</v>
      </c>
      <c r="J699" s="18">
        <f>IFERROR(__xludf.DUMMYFUNCTION("""COMPUTED_VALUE"""),23.0)</f>
        <v>23</v>
      </c>
      <c r="K699" s="18">
        <f>IFERROR(__xludf.DUMMYFUNCTION("""COMPUTED_VALUE"""),25.0)</f>
        <v>25</v>
      </c>
      <c r="L699" s="17">
        <f>IFERROR(__xludf.DUMMYFUNCTION("""COMPUTED_VALUE"""),3.116213134E9)</f>
        <v>3116213134</v>
      </c>
      <c r="M699" s="17" t="str">
        <f>IFERROR(__xludf.DUMMYFUNCTION("""COMPUTED_VALUE"""),"#REF!")</f>
        <v>#REF!</v>
      </c>
      <c r="N699" s="17"/>
      <c r="O699" s="19" t="str">
        <f>IFERROR(__xludf.DUMMYFUNCTION("""COMPUTED_VALUE"""),"")</f>
        <v/>
      </c>
      <c r="P699" s="17" t="b">
        <f>IFERROR(__xludf.DUMMYFUNCTION("""COMPUTED_VALUE"""),FALSE)</f>
        <v>0</v>
      </c>
      <c r="Q699" s="20" t="str">
        <f>IFERROR(__xludf.DUMMYFUNCTION("""COMPUTED_VALUE"""),"")</f>
        <v/>
      </c>
      <c r="R699" s="22" t="str">
        <f>IFERROR(__xludf.DUMMYFUNCTION("""COMPUTED_VALUE"""),"")</f>
        <v/>
      </c>
    </row>
    <row r="700">
      <c r="A700" s="17" t="str">
        <f>IFERROR(__xludf.DUMMYFUNCTION("""COMPUTED_VALUE"""),"")</f>
        <v/>
      </c>
      <c r="B700" s="17" t="str">
        <f>IFERROR(__xludf.DUMMYFUNCTION("""COMPUTED_VALUE"""),"")</f>
        <v/>
      </c>
      <c r="C700" s="17" t="str">
        <f>IFERROR(__xludf.DUMMYFUNCTION("""COMPUTED_VALUE"""),"")</f>
        <v/>
      </c>
      <c r="D700" s="17" t="str">
        <f>IFERROR(__xludf.DUMMYFUNCTION("""COMPUTED_VALUE"""),"")</f>
        <v/>
      </c>
      <c r="E700" s="17" t="str">
        <f>IFERROR(__xludf.DUMMYFUNCTION("""COMPUTED_VALUE"""),"")</f>
        <v/>
      </c>
      <c r="F700" s="17" t="str">
        <f>IFERROR(__xludf.DUMMYFUNCTION("""COMPUTED_VALUE"""),"")</f>
        <v/>
      </c>
      <c r="G700" s="17" t="str">
        <f>IFERROR(__xludf.DUMMYFUNCTION("""COMPUTED_VALUE"""),"")</f>
        <v/>
      </c>
      <c r="H700" s="17" t="str">
        <f>IFERROR(__xludf.DUMMYFUNCTION("""COMPUTED_VALUE"""),"")</f>
        <v/>
      </c>
      <c r="I700" s="17" t="str">
        <f>IFERROR(__xludf.DUMMYFUNCTION("""COMPUTED_VALUE"""),"")</f>
        <v/>
      </c>
      <c r="J700" s="17" t="str">
        <f>IFERROR(__xludf.DUMMYFUNCTION("""COMPUTED_VALUE"""),"")</f>
        <v/>
      </c>
      <c r="K700" s="17" t="str">
        <f>IFERROR(__xludf.DUMMYFUNCTION("""COMPUTED_VALUE"""),"")</f>
        <v/>
      </c>
      <c r="L700" s="17" t="str">
        <f>IFERROR(__xludf.DUMMYFUNCTION("""COMPUTED_VALUE"""),"")</f>
        <v/>
      </c>
      <c r="M700" s="17" t="str">
        <f>IFERROR(__xludf.DUMMYFUNCTION("""COMPUTED_VALUE"""),"")</f>
        <v/>
      </c>
      <c r="N700" s="17" t="str">
        <f>IFERROR(__xludf.DUMMYFUNCTION("""COMPUTED_VALUE"""),"")</f>
        <v/>
      </c>
      <c r="O700" s="17" t="str">
        <f>IFERROR(__xludf.DUMMYFUNCTION("""COMPUTED_VALUE"""),"")</f>
        <v/>
      </c>
      <c r="P700" s="17" t="str">
        <f>IFERROR(__xludf.DUMMYFUNCTION("""COMPUTED_VALUE"""),"")</f>
        <v/>
      </c>
      <c r="Q700" s="17" t="str">
        <f>IFERROR(__xludf.DUMMYFUNCTION("""COMPUTED_VALUE"""),"")</f>
        <v/>
      </c>
      <c r="R700" s="17" t="str">
        <f>IFERROR(__xludf.DUMMYFUNCTION("""COMPUTED_VALUE"""),"")</f>
        <v/>
      </c>
    </row>
    <row r="701">
      <c r="A701" s="15">
        <f>IFERROR(__xludf.DUMMYFUNCTION("""COMPUTED_VALUE"""),45017.0)</f>
        <v>45017</v>
      </c>
      <c r="B701" s="16" t="str">
        <f>IFERROR(__xludf.DUMMYFUNCTION("""COMPUTED_VALUE"""),"Envia")</f>
        <v>Envia</v>
      </c>
      <c r="C701" s="15" t="str">
        <f>IFERROR(__xludf.DUMMYFUNCTION("""COMPUTED_VALUE"""),"FLORIDABLANCA")</f>
        <v>FLORIDABLANCA</v>
      </c>
      <c r="D701" s="15" t="str">
        <f>IFERROR(__xludf.DUMMYFUNCTION("""COMPUTED_VALUE"""),"BOGOTÁ")</f>
        <v>BOGOTÁ</v>
      </c>
      <c r="E701" s="15" t="str">
        <f>IFERROR(__xludf.DUMMYFUNCTION("""COMPUTED_VALUE"""),"MAI ALIMENTOS S.A.S")</f>
        <v>MAI ALIMENTOS S.A.S</v>
      </c>
      <c r="F701" s="17" t="str">
        <f>IFERROR(__xludf.DUMMYFUNCTION("""COMPUTED_VALUE"""),"Calle 31 # 22 - 97 / Barrio Cañaveral, Floridablanca")</f>
        <v>Calle 31 # 22 - 97 / Barrio Cañaveral, Floridablanca</v>
      </c>
      <c r="G701" s="15" t="str">
        <f>IFERROR(__xludf.DUMMYFUNCTION("""COMPUTED_VALUE"""),"Claudia Prada")</f>
        <v>Claudia Prada</v>
      </c>
      <c r="H701" s="16">
        <f>IFERROR(__xludf.DUMMYFUNCTION("""COMPUTED_VALUE"""),9351.0)</f>
        <v>9351</v>
      </c>
      <c r="I701" s="18">
        <f>IFERROR(__xludf.DUMMYFUNCTION("""COMPUTED_VALUE"""),28.0)</f>
        <v>28</v>
      </c>
      <c r="J701" s="18">
        <f>IFERROR(__xludf.DUMMYFUNCTION("""COMPUTED_VALUE"""),17.0)</f>
        <v>17</v>
      </c>
      <c r="K701" s="18">
        <f>IFERROR(__xludf.DUMMYFUNCTION("""COMPUTED_VALUE"""),13.0)</f>
        <v>13</v>
      </c>
      <c r="L701" s="17">
        <f>IFERROR(__xludf.DUMMYFUNCTION("""COMPUTED_VALUE"""),3.005711168E9)</f>
        <v>3005711168</v>
      </c>
      <c r="M701" s="17" t="str">
        <f>IFERROR(__xludf.DUMMYFUNCTION("""COMPUTED_VALUE"""),"#REF!")</f>
        <v>#REF!</v>
      </c>
      <c r="N701" s="17"/>
      <c r="O701" s="19" t="str">
        <f>IFERROR(__xludf.DUMMYFUNCTION("""COMPUTED_VALUE"""),"")</f>
        <v/>
      </c>
      <c r="P701" s="17" t="b">
        <f>IFERROR(__xludf.DUMMYFUNCTION("""COMPUTED_VALUE"""),FALSE)</f>
        <v>0</v>
      </c>
      <c r="Q701" s="20" t="str">
        <f>IFERROR(__xludf.DUMMYFUNCTION("""COMPUTED_VALUE"""),"")</f>
        <v/>
      </c>
      <c r="R701" s="22" t="str">
        <f>IFERROR(__xludf.DUMMYFUNCTION("""COMPUTED_VALUE"""),"")</f>
        <v/>
      </c>
    </row>
    <row r="702">
      <c r="A702" s="17" t="str">
        <f>IFERROR(__xludf.DUMMYFUNCTION("""COMPUTED_VALUE"""),"")</f>
        <v/>
      </c>
      <c r="B702" s="17" t="str">
        <f>IFERROR(__xludf.DUMMYFUNCTION("""COMPUTED_VALUE"""),"")</f>
        <v/>
      </c>
      <c r="C702" s="17" t="str">
        <f>IFERROR(__xludf.DUMMYFUNCTION("""COMPUTED_VALUE"""),"")</f>
        <v/>
      </c>
      <c r="D702" s="17" t="str">
        <f>IFERROR(__xludf.DUMMYFUNCTION("""COMPUTED_VALUE"""),"")</f>
        <v/>
      </c>
      <c r="E702" s="17" t="str">
        <f>IFERROR(__xludf.DUMMYFUNCTION("""COMPUTED_VALUE"""),"")</f>
        <v/>
      </c>
      <c r="F702" s="17" t="str">
        <f>IFERROR(__xludf.DUMMYFUNCTION("""COMPUTED_VALUE"""),"")</f>
        <v/>
      </c>
      <c r="G702" s="17" t="str">
        <f>IFERROR(__xludf.DUMMYFUNCTION("""COMPUTED_VALUE"""),"")</f>
        <v/>
      </c>
      <c r="H702" s="17" t="str">
        <f>IFERROR(__xludf.DUMMYFUNCTION("""COMPUTED_VALUE"""),"")</f>
        <v/>
      </c>
      <c r="I702" s="17" t="str">
        <f>IFERROR(__xludf.DUMMYFUNCTION("""COMPUTED_VALUE"""),"")</f>
        <v/>
      </c>
      <c r="J702" s="17" t="str">
        <f>IFERROR(__xludf.DUMMYFUNCTION("""COMPUTED_VALUE"""),"")</f>
        <v/>
      </c>
      <c r="K702" s="17" t="str">
        <f>IFERROR(__xludf.DUMMYFUNCTION("""COMPUTED_VALUE"""),"")</f>
        <v/>
      </c>
      <c r="L702" s="17" t="str">
        <f>IFERROR(__xludf.DUMMYFUNCTION("""COMPUTED_VALUE"""),"")</f>
        <v/>
      </c>
      <c r="M702" s="17" t="str">
        <f>IFERROR(__xludf.DUMMYFUNCTION("""COMPUTED_VALUE"""),"")</f>
        <v/>
      </c>
      <c r="N702" s="17" t="str">
        <f>IFERROR(__xludf.DUMMYFUNCTION("""COMPUTED_VALUE"""),"")</f>
        <v/>
      </c>
      <c r="O702" s="17" t="str">
        <f>IFERROR(__xludf.DUMMYFUNCTION("""COMPUTED_VALUE"""),"")</f>
        <v/>
      </c>
      <c r="P702" s="17" t="str">
        <f>IFERROR(__xludf.DUMMYFUNCTION("""COMPUTED_VALUE"""),"")</f>
        <v/>
      </c>
      <c r="Q702" s="17" t="str">
        <f>IFERROR(__xludf.DUMMYFUNCTION("""COMPUTED_VALUE"""),"")</f>
        <v/>
      </c>
      <c r="R702" s="17" t="str">
        <f>IFERROR(__xludf.DUMMYFUNCTION("""COMPUTED_VALUE"""),"")</f>
        <v/>
      </c>
    </row>
    <row r="703">
      <c r="A703" s="15">
        <f>IFERROR(__xludf.DUMMYFUNCTION("""COMPUTED_VALUE"""),45020.0)</f>
        <v>45020</v>
      </c>
      <c r="B703" s="17"/>
      <c r="C703" s="15" t="str">
        <f>IFERROR(__xludf.DUMMYFUNCTION("""COMPUTED_VALUE"""),"PEREIRA")</f>
        <v>PEREIRA</v>
      </c>
      <c r="D703" s="15" t="str">
        <f>IFERROR(__xludf.DUMMYFUNCTION("""COMPUTED_VALUE"""),"MEDELLÍN")</f>
        <v>MEDELLÍN</v>
      </c>
      <c r="E703" s="15" t="str">
        <f>IFERROR(__xludf.DUMMYFUNCTION("""COMPUTED_VALUE"""),"Baby Chef")</f>
        <v>Baby Chef</v>
      </c>
      <c r="F703" s="17" t="str">
        <f>IFERROR(__xludf.DUMMYFUNCTION("""COMPUTED_VALUE"""),"Calle 21 N. 33-40 Mirador de la Pradera T5 Apt1201 DOSQUEBRADAS  / Calle 21 N. 33-40 Mirador de la Pradera T5 Apt1201 / Calle 21 N. 33-40 Mirador de la Pradera T5 Apt1201")</f>
        <v>Calle 21 N. 33-40 Mirador de la Pradera T5 Apt1201 DOSQUEBRADAS  / Calle 21 N. 33-40 Mirador de la Pradera T5 Apt1201 / Calle 21 N. 33-40 Mirador de la Pradera T5 Apt1201</v>
      </c>
      <c r="G703" s="15" t="str">
        <f>IFERROR(__xludf.DUMMYFUNCTION("""COMPUTED_VALUE"""),"Ana María Noreña Herrera")</f>
        <v>Ana María Noreña Herrera</v>
      </c>
      <c r="H703" s="16">
        <f>IFERROR(__xludf.DUMMYFUNCTION("""COMPUTED_VALUE"""),9422.0)</f>
        <v>9422</v>
      </c>
      <c r="I703" s="18">
        <f>IFERROR(__xludf.DUMMYFUNCTION("""COMPUTED_VALUE"""),8.0)</f>
        <v>8</v>
      </c>
      <c r="J703" s="18">
        <f>IFERROR(__xludf.DUMMYFUNCTION("""COMPUTED_VALUE"""),16.0)</f>
        <v>16</v>
      </c>
      <c r="K703" s="18">
        <f>IFERROR(__xludf.DUMMYFUNCTION("""COMPUTED_VALUE"""),20.0)</f>
        <v>20</v>
      </c>
      <c r="L703" s="17">
        <f>IFERROR(__xludf.DUMMYFUNCTION("""COMPUTED_VALUE"""),3.117218111E9)</f>
        <v>3117218111</v>
      </c>
      <c r="M703" s="17" t="str">
        <f>IFERROR(__xludf.DUMMYFUNCTION("""COMPUTED_VALUE"""),"#REF!")</f>
        <v>#REF!</v>
      </c>
      <c r="N703" s="19" t="str">
        <f>IFERROR(__xludf.DUMMYFUNCTION("""COMPUTED_VALUE"""),"")</f>
        <v/>
      </c>
      <c r="O703" s="19" t="str">
        <f>IFERROR(__xludf.DUMMYFUNCTION("""COMPUTED_VALUE"""),"")</f>
        <v/>
      </c>
      <c r="P703" s="17" t="b">
        <f>IFERROR(__xludf.DUMMYFUNCTION("""COMPUTED_VALUE"""),FALSE)</f>
        <v>0</v>
      </c>
      <c r="Q703" s="20" t="str">
        <f>IFERROR(__xludf.DUMMYFUNCTION("""COMPUTED_VALUE"""),"")</f>
        <v/>
      </c>
      <c r="R703" s="22" t="str">
        <f>IFERROR(__xludf.DUMMYFUNCTION("""COMPUTED_VALUE"""),"")</f>
        <v/>
      </c>
    </row>
    <row r="704">
      <c r="A704" s="17" t="str">
        <f>IFERROR(__xludf.DUMMYFUNCTION("""COMPUTED_VALUE"""),"")</f>
        <v/>
      </c>
      <c r="B704" s="17" t="str">
        <f>IFERROR(__xludf.DUMMYFUNCTION("""COMPUTED_VALUE"""),"")</f>
        <v/>
      </c>
      <c r="C704" s="17" t="str">
        <f>IFERROR(__xludf.DUMMYFUNCTION("""COMPUTED_VALUE"""),"")</f>
        <v/>
      </c>
      <c r="D704" s="17" t="str">
        <f>IFERROR(__xludf.DUMMYFUNCTION("""COMPUTED_VALUE"""),"")</f>
        <v/>
      </c>
      <c r="E704" s="17" t="str">
        <f>IFERROR(__xludf.DUMMYFUNCTION("""COMPUTED_VALUE"""),"")</f>
        <v/>
      </c>
      <c r="F704" s="17" t="str">
        <f>IFERROR(__xludf.DUMMYFUNCTION("""COMPUTED_VALUE"""),"")</f>
        <v/>
      </c>
      <c r="G704" s="17" t="str">
        <f>IFERROR(__xludf.DUMMYFUNCTION("""COMPUTED_VALUE"""),"")</f>
        <v/>
      </c>
      <c r="H704" s="17" t="str">
        <f>IFERROR(__xludf.DUMMYFUNCTION("""COMPUTED_VALUE"""),"")</f>
        <v/>
      </c>
      <c r="I704" s="17" t="str">
        <f>IFERROR(__xludf.DUMMYFUNCTION("""COMPUTED_VALUE"""),"")</f>
        <v/>
      </c>
      <c r="J704" s="17" t="str">
        <f>IFERROR(__xludf.DUMMYFUNCTION("""COMPUTED_VALUE"""),"")</f>
        <v/>
      </c>
      <c r="K704" s="17" t="str">
        <f>IFERROR(__xludf.DUMMYFUNCTION("""COMPUTED_VALUE"""),"")</f>
        <v/>
      </c>
      <c r="L704" s="17" t="str">
        <f>IFERROR(__xludf.DUMMYFUNCTION("""COMPUTED_VALUE"""),"")</f>
        <v/>
      </c>
      <c r="M704" s="17" t="str">
        <f>IFERROR(__xludf.DUMMYFUNCTION("""COMPUTED_VALUE"""),"")</f>
        <v/>
      </c>
      <c r="N704" s="17" t="str">
        <f>IFERROR(__xludf.DUMMYFUNCTION("""COMPUTED_VALUE"""),"")</f>
        <v/>
      </c>
      <c r="O704" s="17" t="str">
        <f>IFERROR(__xludf.DUMMYFUNCTION("""COMPUTED_VALUE"""),"")</f>
        <v/>
      </c>
      <c r="P704" s="17" t="str">
        <f>IFERROR(__xludf.DUMMYFUNCTION("""COMPUTED_VALUE"""),"")</f>
        <v/>
      </c>
      <c r="Q704" s="17" t="str">
        <f>IFERROR(__xludf.DUMMYFUNCTION("""COMPUTED_VALUE"""),"")</f>
        <v/>
      </c>
      <c r="R704" s="17" t="str">
        <f>IFERROR(__xludf.DUMMYFUNCTION("""COMPUTED_VALUE"""),"")</f>
        <v/>
      </c>
    </row>
    <row r="705">
      <c r="A705" s="15">
        <f>IFERROR(__xludf.DUMMYFUNCTION("""COMPUTED_VALUE"""),45020.0)</f>
        <v>45020</v>
      </c>
      <c r="B705" s="16" t="str">
        <f>IFERROR(__xludf.DUMMYFUNCTION("""COMPUTED_VALUE"""),"Andrés Felipe Castillo Muñoz")</f>
        <v>Andrés Felipe Castillo Muñoz</v>
      </c>
      <c r="C705" s="15" t="str">
        <f>IFERROR(__xludf.DUMMYFUNCTION("""COMPUTED_VALUE"""),"BARRANQUILLA")</f>
        <v>BARRANQUILLA</v>
      </c>
      <c r="D705" s="15" t="str">
        <f>IFERROR(__xludf.DUMMYFUNCTION("""COMPUTED_VALUE"""),"BOGOTÁ")</f>
        <v>BOGOTÁ</v>
      </c>
      <c r="E705" s="15" t="str">
        <f>IFERROR(__xludf.DUMMYFUNCTION("""COMPUTED_VALUE"""),"Asociacion Agropecuaria Juana Maria")</f>
        <v>Asociacion Agropecuaria Juana Maria</v>
      </c>
      <c r="F705" s="17" t="str">
        <f>IFERROR(__xludf.DUMMYFUNCTION("""COMPUTED_VALUE"""),"CRA 41 # 52-76 Apto 406 c")</f>
        <v>CRA 41 # 52-76 Apto 406 c</v>
      </c>
      <c r="G705" s="15" t="str">
        <f>IFERROR(__xludf.DUMMYFUNCTION("""COMPUTED_VALUE"""),"Mercedes Otero Otero")</f>
        <v>Mercedes Otero Otero</v>
      </c>
      <c r="H705" s="16">
        <f>IFERROR(__xludf.DUMMYFUNCTION("""COMPUTED_VALUE"""),9368.0)</f>
        <v>9368</v>
      </c>
      <c r="I705" s="18">
        <f>IFERROR(__xludf.DUMMYFUNCTION("""COMPUTED_VALUE"""),25.0)</f>
        <v>25</v>
      </c>
      <c r="J705" s="18">
        <f>IFERROR(__xludf.DUMMYFUNCTION("""COMPUTED_VALUE"""),18.0)</f>
        <v>18</v>
      </c>
      <c r="K705" s="18">
        <f>IFERROR(__xludf.DUMMYFUNCTION("""COMPUTED_VALUE"""),3.0)</f>
        <v>3</v>
      </c>
      <c r="L705" s="17" t="str">
        <f>IFERROR(__xludf.DUMMYFUNCTION("""COMPUTED_VALUE"""),"301 2591395")</f>
        <v>301 2591395</v>
      </c>
      <c r="M705" s="17" t="str">
        <f>IFERROR(__xludf.DUMMYFUNCTION("""COMPUTED_VALUE"""),"#REF!")</f>
        <v>#REF!</v>
      </c>
      <c r="N705" s="17"/>
      <c r="O705" s="19" t="str">
        <f>IFERROR(__xludf.DUMMYFUNCTION("""COMPUTED_VALUE"""),"")</f>
        <v/>
      </c>
      <c r="P705" s="17" t="b">
        <f>IFERROR(__xludf.DUMMYFUNCTION("""COMPUTED_VALUE"""),FALSE)</f>
        <v>0</v>
      </c>
      <c r="Q705" s="20" t="str">
        <f>IFERROR(__xludf.DUMMYFUNCTION("""COMPUTED_VALUE"""),"")</f>
        <v/>
      </c>
      <c r="R705" s="22" t="str">
        <f>IFERROR(__xludf.DUMMYFUNCTION("""COMPUTED_VALUE"""),"")</f>
        <v/>
      </c>
    </row>
    <row r="706">
      <c r="A706" s="15">
        <f>IFERROR(__xludf.DUMMYFUNCTION("""COMPUTED_VALUE"""),45020.0)</f>
        <v>45020</v>
      </c>
      <c r="B706" s="16" t="str">
        <f>IFERROR(__xludf.DUMMYFUNCTION("""COMPUTED_VALUE"""),"Andrés Felipe Castillo Muñoz")</f>
        <v>Andrés Felipe Castillo Muñoz</v>
      </c>
      <c r="C706" s="15" t="str">
        <f>IFERROR(__xludf.DUMMYFUNCTION("""COMPUTED_VALUE"""),"MEDELLÍN")</f>
        <v>MEDELLÍN</v>
      </c>
      <c r="D706" s="15" t="str">
        <f>IFERROR(__xludf.DUMMYFUNCTION("""COMPUTED_VALUE"""),"BOGOTÁ")</f>
        <v>BOGOTÁ</v>
      </c>
      <c r="E706" s="15" t="str">
        <f>IFERROR(__xludf.DUMMYFUNCTION("""COMPUTED_VALUE"""),"Diana Rodriguez")</f>
        <v>Diana Rodriguez</v>
      </c>
      <c r="F706" s="17" t="str">
        <f>IFERROR(__xludf.DUMMYFUNCTION("""COMPUTED_VALUE"""),"calle 10b #37-29 Barrio provenza poblado- hotel click clack  / Hotel click clack  / Barrio Provenza Poblado edificio esquinero grande negro rodeado de vegetacion")</f>
        <v>calle 10b #37-29 Barrio provenza poblado- hotel click clack  / Hotel click clack  / Barrio Provenza Poblado edificio esquinero grande negro rodeado de vegetacion</v>
      </c>
      <c r="G706" s="15" t="str">
        <f>IFERROR(__xludf.DUMMYFUNCTION("""COMPUTED_VALUE"""),"Michael Mejía - hotel click clack")</f>
        <v>Michael Mejía - hotel click clack</v>
      </c>
      <c r="H706" s="16">
        <f>IFERROR(__xludf.DUMMYFUNCTION("""COMPUTED_VALUE"""),9369.0)</f>
        <v>9369</v>
      </c>
      <c r="I706" s="18">
        <f>IFERROR(__xludf.DUMMYFUNCTION("""COMPUTED_VALUE"""),34.0)</f>
        <v>34</v>
      </c>
      <c r="J706" s="18">
        <f>IFERROR(__xludf.DUMMYFUNCTION("""COMPUTED_VALUE"""),14.0)</f>
        <v>14</v>
      </c>
      <c r="K706" s="18">
        <f>IFERROR(__xludf.DUMMYFUNCTION("""COMPUTED_VALUE"""),23.0)</f>
        <v>23</v>
      </c>
      <c r="L706" s="17">
        <f>IFERROR(__xludf.DUMMYFUNCTION("""COMPUTED_VALUE"""),3.232793596E9)</f>
        <v>3232793596</v>
      </c>
      <c r="M706" s="17" t="str">
        <f>IFERROR(__xludf.DUMMYFUNCTION("""COMPUTED_VALUE"""),"#REF!")</f>
        <v>#REF!</v>
      </c>
      <c r="N706" s="17"/>
      <c r="O706" s="19" t="str">
        <f>IFERROR(__xludf.DUMMYFUNCTION("""COMPUTED_VALUE"""),"")</f>
        <v/>
      </c>
      <c r="P706" s="17" t="b">
        <f>IFERROR(__xludf.DUMMYFUNCTION("""COMPUTED_VALUE"""),TRUE)</f>
        <v>1</v>
      </c>
      <c r="Q706" s="20">
        <f>IFERROR(__xludf.DUMMYFUNCTION("""COMPUTED_VALUE"""),45020.606432291665)</f>
        <v>45020.60643</v>
      </c>
      <c r="R706" s="22" t="str">
        <f>IFERROR(__xludf.DUMMYFUNCTION("""COMPUTED_VALUE"""),"")</f>
        <v/>
      </c>
    </row>
    <row r="707">
      <c r="A707" s="15">
        <f>IFERROR(__xludf.DUMMYFUNCTION("""COMPUTED_VALUE"""),45020.0)</f>
        <v>45020</v>
      </c>
      <c r="B707" s="16" t="str">
        <f>IFERROR(__xludf.DUMMYFUNCTION("""COMPUTED_VALUE"""),"Andrés Felipe Castillo Muñoz")</f>
        <v>Andrés Felipe Castillo Muñoz</v>
      </c>
      <c r="C707" s="15" t="str">
        <f>IFERROR(__xludf.DUMMYFUNCTION("""COMPUTED_VALUE"""),"MEDELLÍN")</f>
        <v>MEDELLÍN</v>
      </c>
      <c r="D707" s="15" t="str">
        <f>IFERROR(__xludf.DUMMYFUNCTION("""COMPUTED_VALUE"""),"BOGOTÁ")</f>
        <v>BOGOTÁ</v>
      </c>
      <c r="E707" s="15" t="str">
        <f>IFERROR(__xludf.DUMMYFUNCTION("""COMPUTED_VALUE"""),"Evamazzita")</f>
        <v>Evamazzita</v>
      </c>
      <c r="F707" s="17" t="str">
        <f>IFERROR(__xludf.DUMMYFUNCTION("""COMPUTED_VALUE"""),"Avenida 14 No 53-30  / Arboleda del Campo. Torre 3 Apto 143 / BELLO")</f>
        <v>Avenida 14 No 53-30  / Arboleda del Campo. Torre 3 Apto 143 / BELLO</v>
      </c>
      <c r="G707" s="15" t="str">
        <f>IFERROR(__xludf.DUMMYFUNCTION("""COMPUTED_VALUE"""),"JENNIFER TIQUE RINCON")</f>
        <v>JENNIFER TIQUE RINCON</v>
      </c>
      <c r="H707" s="16">
        <f>IFERROR(__xludf.DUMMYFUNCTION("""COMPUTED_VALUE"""),9391.0)</f>
        <v>9391</v>
      </c>
      <c r="I707" s="18">
        <f>IFERROR(__xludf.DUMMYFUNCTION("""COMPUTED_VALUE"""),3.0)</f>
        <v>3</v>
      </c>
      <c r="J707" s="18">
        <f>IFERROR(__xludf.DUMMYFUNCTION("""COMPUTED_VALUE"""),20.0)</f>
        <v>20</v>
      </c>
      <c r="K707" s="18">
        <f>IFERROR(__xludf.DUMMYFUNCTION("""COMPUTED_VALUE"""),15.0)</f>
        <v>15</v>
      </c>
      <c r="L707" s="17">
        <f>IFERROR(__xludf.DUMMYFUNCTION("""COMPUTED_VALUE"""),3.124598889E9)</f>
        <v>3124598889</v>
      </c>
      <c r="M707" s="17" t="str">
        <f>IFERROR(__xludf.DUMMYFUNCTION("""COMPUTED_VALUE"""),"#REF!")</f>
        <v>#REF!</v>
      </c>
      <c r="N707" s="17"/>
      <c r="O707" s="19" t="str">
        <f>IFERROR(__xludf.DUMMYFUNCTION("""COMPUTED_VALUE"""),"")</f>
        <v/>
      </c>
      <c r="P707" s="17" t="b">
        <f>IFERROR(__xludf.DUMMYFUNCTION("""COMPUTED_VALUE"""),TRUE)</f>
        <v>1</v>
      </c>
      <c r="Q707" s="20">
        <f>IFERROR(__xludf.DUMMYFUNCTION("""COMPUTED_VALUE"""),45020.606432291665)</f>
        <v>45020.60643</v>
      </c>
      <c r="R707" s="22" t="str">
        <f>IFERROR(__xludf.DUMMYFUNCTION("""COMPUTED_VALUE"""),"")</f>
        <v/>
      </c>
    </row>
    <row r="708">
      <c r="A708" s="15">
        <f>IFERROR(__xludf.DUMMYFUNCTION("""COMPUTED_VALUE"""),45020.0)</f>
        <v>45020</v>
      </c>
      <c r="B708" s="16" t="str">
        <f>IFERROR(__xludf.DUMMYFUNCTION("""COMPUTED_VALUE"""),"Andrés Felipe Castillo Muñoz")</f>
        <v>Andrés Felipe Castillo Muñoz</v>
      </c>
      <c r="C708" s="15" t="str">
        <f>IFERROR(__xludf.DUMMYFUNCTION("""COMPUTED_VALUE"""),"MEDELLÍN")</f>
        <v>MEDELLÍN</v>
      </c>
      <c r="D708" s="15" t="str">
        <f>IFERROR(__xludf.DUMMYFUNCTION("""COMPUTED_VALUE"""),"BOGOTÁ")</f>
        <v>BOGOTÁ</v>
      </c>
      <c r="E708" s="15" t="str">
        <f>IFERROR(__xludf.DUMMYFUNCTION("""COMPUTED_VALUE"""),"Evamazzita")</f>
        <v>Evamazzita</v>
      </c>
      <c r="F708" s="17" t="str">
        <f>IFERROR(__xludf.DUMMYFUNCTION("""COMPUTED_VALUE"""),"Calle 34 # 64-110   / apt: 212 bloque 3 colina de Asís etapa B   / ITAGÜÍ - Ditaires")</f>
        <v>Calle 34 # 64-110   / apt: 212 bloque 3 colina de Asís etapa B   / ITAGÜÍ - Ditaires</v>
      </c>
      <c r="G708" s="15" t="str">
        <f>IFERROR(__xludf.DUMMYFUNCTION("""COMPUTED_VALUE"""),"KARINA MARTINEZ QUINTERO")</f>
        <v>KARINA MARTINEZ QUINTERO</v>
      </c>
      <c r="H708" s="16">
        <f>IFERROR(__xludf.DUMMYFUNCTION("""COMPUTED_VALUE"""),9394.0)</f>
        <v>9394</v>
      </c>
      <c r="I708" s="18">
        <f>IFERROR(__xludf.DUMMYFUNCTION("""COMPUTED_VALUE"""),3.0)</f>
        <v>3</v>
      </c>
      <c r="J708" s="18">
        <f>IFERROR(__xludf.DUMMYFUNCTION("""COMPUTED_VALUE"""),20.0)</f>
        <v>20</v>
      </c>
      <c r="K708" s="18">
        <f>IFERROR(__xludf.DUMMYFUNCTION("""COMPUTED_VALUE"""),15.0)</f>
        <v>15</v>
      </c>
      <c r="L708" s="17">
        <f>IFERROR(__xludf.DUMMYFUNCTION("""COMPUTED_VALUE"""),3.195076438E9)</f>
        <v>3195076438</v>
      </c>
      <c r="M708" s="17" t="str">
        <f>IFERROR(__xludf.DUMMYFUNCTION("""COMPUTED_VALUE"""),"#REF!")</f>
        <v>#REF!</v>
      </c>
      <c r="N708" s="17"/>
      <c r="O708" s="19" t="str">
        <f>IFERROR(__xludf.DUMMYFUNCTION("""COMPUTED_VALUE"""),"")</f>
        <v/>
      </c>
      <c r="P708" s="17" t="b">
        <f>IFERROR(__xludf.DUMMYFUNCTION("""COMPUTED_VALUE"""),TRUE)</f>
        <v>1</v>
      </c>
      <c r="Q708" s="20">
        <f>IFERROR(__xludf.DUMMYFUNCTION("""COMPUTED_VALUE"""),45020.61677748842)</f>
        <v>45020.61678</v>
      </c>
      <c r="R708" s="22" t="str">
        <f>IFERROR(__xludf.DUMMYFUNCTION("""COMPUTED_VALUE"""),"")</f>
        <v/>
      </c>
    </row>
    <row r="709">
      <c r="A709" s="15">
        <f>IFERROR(__xludf.DUMMYFUNCTION("""COMPUTED_VALUE"""),45020.0)</f>
        <v>45020</v>
      </c>
      <c r="B709" s="16" t="str">
        <f>IFERROR(__xludf.DUMMYFUNCTION("""COMPUTED_VALUE"""),"Andrés Felipe Castillo Muñoz")</f>
        <v>Andrés Felipe Castillo Muñoz</v>
      </c>
      <c r="C709" s="15" t="str">
        <f>IFERROR(__xludf.DUMMYFUNCTION("""COMPUTED_VALUE"""),"MEDELLÍN")</f>
        <v>MEDELLÍN</v>
      </c>
      <c r="D709" s="15" t="str">
        <f>IFERROR(__xludf.DUMMYFUNCTION("""COMPUTED_VALUE"""),"BOGOTÁ")</f>
        <v>BOGOTÁ</v>
      </c>
      <c r="E709" s="15" t="str">
        <f>IFERROR(__xludf.DUMMYFUNCTION("""COMPUTED_VALUE"""),"Evamazzita")</f>
        <v>Evamazzita</v>
      </c>
      <c r="F709" s="17" t="str">
        <f>IFERROR(__xludf.DUMMYFUNCTION("""COMPUTED_VALUE"""),"CALLE 47 SUR No. 64D - 92  /  apto 922 TORRE 3 VILLAS DEL BOSQUE / EL VERGEL SAN ANTONIO DE PRADO")</f>
        <v>CALLE 47 SUR No. 64D - 92  /  apto 922 TORRE 3 VILLAS DEL BOSQUE / EL VERGEL SAN ANTONIO DE PRADO</v>
      </c>
      <c r="G709" s="15" t="str">
        <f>IFERROR(__xludf.DUMMYFUNCTION("""COMPUTED_VALUE"""),"VERONICA ALZATE")</f>
        <v>VERONICA ALZATE</v>
      </c>
      <c r="H709" s="16">
        <f>IFERROR(__xludf.DUMMYFUNCTION("""COMPUTED_VALUE"""),9399.0)</f>
        <v>9399</v>
      </c>
      <c r="I709" s="18">
        <f>IFERROR(__xludf.DUMMYFUNCTION("""COMPUTED_VALUE"""),10.0)</f>
        <v>10</v>
      </c>
      <c r="J709" s="18">
        <f>IFERROR(__xludf.DUMMYFUNCTION("""COMPUTED_VALUE"""),18.0)</f>
        <v>18</v>
      </c>
      <c r="K709" s="18">
        <f>IFERROR(__xludf.DUMMYFUNCTION("""COMPUTED_VALUE"""),22.0)</f>
        <v>22</v>
      </c>
      <c r="L709" s="17">
        <f>IFERROR(__xludf.DUMMYFUNCTION("""COMPUTED_VALUE"""),3.116118935E9)</f>
        <v>3116118935</v>
      </c>
      <c r="M709" s="17" t="str">
        <f>IFERROR(__xludf.DUMMYFUNCTION("""COMPUTED_VALUE"""),"#REF!")</f>
        <v>#REF!</v>
      </c>
      <c r="N709" s="17"/>
      <c r="O709" s="19" t="str">
        <f>IFERROR(__xludf.DUMMYFUNCTION("""COMPUTED_VALUE"""),"")</f>
        <v/>
      </c>
      <c r="P709" s="17" t="b">
        <f>IFERROR(__xludf.DUMMYFUNCTION("""COMPUTED_VALUE"""),TRUE)</f>
        <v>1</v>
      </c>
      <c r="Q709" s="20">
        <f>IFERROR(__xludf.DUMMYFUNCTION("""COMPUTED_VALUE"""),45021.26008390046)</f>
        <v>45021.26008</v>
      </c>
      <c r="R709" s="22" t="str">
        <f>IFERROR(__xludf.DUMMYFUNCTION("""COMPUTED_VALUE"""),"")</f>
        <v/>
      </c>
    </row>
    <row r="710">
      <c r="A710" s="15">
        <f>IFERROR(__xludf.DUMMYFUNCTION("""COMPUTED_VALUE"""),45020.0)</f>
        <v>45020</v>
      </c>
      <c r="B710" s="16" t="str">
        <f>IFERROR(__xludf.DUMMYFUNCTION("""COMPUTED_VALUE"""),"Andrés Felipe Castillo Muñoz")</f>
        <v>Andrés Felipe Castillo Muñoz</v>
      </c>
      <c r="C710" s="15" t="str">
        <f>IFERROR(__xludf.DUMMYFUNCTION("""COMPUTED_VALUE"""),"MEDELLÍN")</f>
        <v>MEDELLÍN</v>
      </c>
      <c r="D710" s="15" t="str">
        <f>IFERROR(__xludf.DUMMYFUNCTION("""COMPUTED_VALUE"""),"BOGOTÁ")</f>
        <v>BOGOTÁ</v>
      </c>
      <c r="E710" s="15" t="str">
        <f>IFERROR(__xludf.DUMMYFUNCTION("""COMPUTED_VALUE"""),"Evamazzita")</f>
        <v>Evamazzita</v>
      </c>
      <c r="F710" s="17" t="str">
        <f>IFERROR(__xludf.DUMMYFUNCTION("""COMPUTED_VALUE"""),"calle 64bc # 103-169  / torre 7 int 201  / Barrio Nuevo occidente o Robledo")</f>
        <v>calle 64bc # 103-169  / torre 7 int 201  / Barrio Nuevo occidente o Robledo</v>
      </c>
      <c r="G710" s="15" t="str">
        <f>IFERROR(__xludf.DUMMYFUNCTION("""COMPUTED_VALUE"""),"KAREN SERNA")</f>
        <v>KAREN SERNA</v>
      </c>
      <c r="H710" s="16">
        <f>IFERROR(__xludf.DUMMYFUNCTION("""COMPUTED_VALUE"""),9398.0)</f>
        <v>9398</v>
      </c>
      <c r="I710" s="18">
        <f>IFERROR(__xludf.DUMMYFUNCTION("""COMPUTED_VALUE"""),3.0)</f>
        <v>3</v>
      </c>
      <c r="J710" s="18">
        <f>IFERROR(__xludf.DUMMYFUNCTION("""COMPUTED_VALUE"""),20.0)</f>
        <v>20</v>
      </c>
      <c r="K710" s="18">
        <f>IFERROR(__xludf.DUMMYFUNCTION("""COMPUTED_VALUE"""),15.0)</f>
        <v>15</v>
      </c>
      <c r="L710" s="17">
        <f>IFERROR(__xludf.DUMMYFUNCTION("""COMPUTED_VALUE"""),3.016160887E9)</f>
        <v>3016160887</v>
      </c>
      <c r="M710" s="17" t="str">
        <f>IFERROR(__xludf.DUMMYFUNCTION("""COMPUTED_VALUE"""),"#REF!")</f>
        <v>#REF!</v>
      </c>
      <c r="N710" s="17"/>
      <c r="O710" s="19" t="str">
        <f>IFERROR(__xludf.DUMMYFUNCTION("""COMPUTED_VALUE"""),"")</f>
        <v/>
      </c>
      <c r="P710" s="17" t="b">
        <f>IFERROR(__xludf.DUMMYFUNCTION("""COMPUTED_VALUE"""),TRUE)</f>
        <v>1</v>
      </c>
      <c r="Q710" s="20">
        <f>IFERROR(__xludf.DUMMYFUNCTION("""COMPUTED_VALUE"""),45020.6134065625)</f>
        <v>45020.61341</v>
      </c>
      <c r="R710" s="22" t="str">
        <f>IFERROR(__xludf.DUMMYFUNCTION("""COMPUTED_VALUE"""),"")</f>
        <v/>
      </c>
    </row>
    <row r="711">
      <c r="A711" s="15">
        <f>IFERROR(__xludf.DUMMYFUNCTION("""COMPUTED_VALUE"""),45020.0)</f>
        <v>45020</v>
      </c>
      <c r="B711" s="16" t="str">
        <f>IFERROR(__xludf.DUMMYFUNCTION("""COMPUTED_VALUE"""),"Andrés Felipe Castillo Muñoz")</f>
        <v>Andrés Felipe Castillo Muñoz</v>
      </c>
      <c r="C711" s="15" t="str">
        <f>IFERROR(__xludf.DUMMYFUNCTION("""COMPUTED_VALUE"""),"MEDELLÍN")</f>
        <v>MEDELLÍN</v>
      </c>
      <c r="D711" s="15" t="str">
        <f>IFERROR(__xludf.DUMMYFUNCTION("""COMPUTED_VALUE"""),"BOGOTÁ")</f>
        <v>BOGOTÁ</v>
      </c>
      <c r="E711" s="15" t="str">
        <f>IFERROR(__xludf.DUMMYFUNCTION("""COMPUTED_VALUE"""),"Evamazzita")</f>
        <v>Evamazzita</v>
      </c>
      <c r="F711" s="17" t="str">
        <f>IFERROR(__xludf.DUMMYFUNCTION("""COMPUTED_VALUE"""),"Carrera 43B #91-19  / interior 103   / MANRIQUE LA SALLE")</f>
        <v>Carrera 43B #91-19  / interior 103   / MANRIQUE LA SALLE</v>
      </c>
      <c r="G711" s="15" t="str">
        <f>IFERROR(__xludf.DUMMYFUNCTION("""COMPUTED_VALUE"""),"SARA JULIANA VERGARA MARTINEZ")</f>
        <v>SARA JULIANA VERGARA MARTINEZ</v>
      </c>
      <c r="H711" s="16">
        <f>IFERROR(__xludf.DUMMYFUNCTION("""COMPUTED_VALUE"""),9401.0)</f>
        <v>9401</v>
      </c>
      <c r="I711" s="18">
        <f>IFERROR(__xludf.DUMMYFUNCTION("""COMPUTED_VALUE"""),3.0)</f>
        <v>3</v>
      </c>
      <c r="J711" s="18">
        <f>IFERROR(__xludf.DUMMYFUNCTION("""COMPUTED_VALUE"""),15.0)</f>
        <v>15</v>
      </c>
      <c r="K711" s="18">
        <f>IFERROR(__xludf.DUMMYFUNCTION("""COMPUTED_VALUE"""),20.0)</f>
        <v>20</v>
      </c>
      <c r="L711" s="17">
        <f>IFERROR(__xludf.DUMMYFUNCTION("""COMPUTED_VALUE"""),3.044254622E9)</f>
        <v>3044254622</v>
      </c>
      <c r="M711" s="17" t="str">
        <f>IFERROR(__xludf.DUMMYFUNCTION("""COMPUTED_VALUE"""),"#REF!")</f>
        <v>#REF!</v>
      </c>
      <c r="N711" s="17"/>
      <c r="O711" s="19" t="str">
        <f>IFERROR(__xludf.DUMMYFUNCTION("""COMPUTED_VALUE"""),"")</f>
        <v/>
      </c>
      <c r="P711" s="17" t="b">
        <f>IFERROR(__xludf.DUMMYFUNCTION("""COMPUTED_VALUE"""),TRUE)</f>
        <v>1</v>
      </c>
      <c r="Q711" s="20">
        <f>IFERROR(__xludf.DUMMYFUNCTION("""COMPUTED_VALUE"""),45020.61358373842)</f>
        <v>45020.61358</v>
      </c>
      <c r="R711" s="22" t="str">
        <f>IFERROR(__xludf.DUMMYFUNCTION("""COMPUTED_VALUE"""),"")</f>
        <v/>
      </c>
    </row>
    <row r="712">
      <c r="A712" s="15">
        <f>IFERROR(__xludf.DUMMYFUNCTION("""COMPUTED_VALUE"""),45020.0)</f>
        <v>45020</v>
      </c>
      <c r="B712" s="16" t="str">
        <f>IFERROR(__xludf.DUMMYFUNCTION("""COMPUTED_VALUE"""),"Andrés Felipe Castillo Muñoz")</f>
        <v>Andrés Felipe Castillo Muñoz</v>
      </c>
      <c r="C712" s="15" t="str">
        <f>IFERROR(__xludf.DUMMYFUNCTION("""COMPUTED_VALUE"""),"MEDELLÍN")</f>
        <v>MEDELLÍN</v>
      </c>
      <c r="D712" s="15" t="str">
        <f>IFERROR(__xludf.DUMMYFUNCTION("""COMPUTED_VALUE"""),"BOGOTÁ")</f>
        <v>BOGOTÁ</v>
      </c>
      <c r="E712" s="15" t="str">
        <f>IFERROR(__xludf.DUMMYFUNCTION("""COMPUTED_VALUE"""),"Evamazzita")</f>
        <v>Evamazzita</v>
      </c>
      <c r="F712" s="17" t="str">
        <f>IFERROR(__xludf.DUMMYFUNCTION("""COMPUTED_VALUE"""),"Cl. 44 Sur #46b-87 /  Condominio Milan 7 Casa 113 / ENVIGADO")</f>
        <v>Cl. 44 Sur #46b-87 /  Condominio Milan 7 Casa 113 / ENVIGADO</v>
      </c>
      <c r="G712" s="15" t="str">
        <f>IFERROR(__xludf.DUMMYFUNCTION("""COMPUTED_VALUE"""),"LEIDY CRUZ")</f>
        <v>LEIDY CRUZ</v>
      </c>
      <c r="H712" s="16">
        <f>IFERROR(__xludf.DUMMYFUNCTION("""COMPUTED_VALUE"""),9393.0)</f>
        <v>9393</v>
      </c>
      <c r="I712" s="18">
        <f>IFERROR(__xludf.DUMMYFUNCTION("""COMPUTED_VALUE"""),3.0)</f>
        <v>3</v>
      </c>
      <c r="J712" s="18">
        <f>IFERROR(__xludf.DUMMYFUNCTION("""COMPUTED_VALUE"""),20.0)</f>
        <v>20</v>
      </c>
      <c r="K712" s="18">
        <f>IFERROR(__xludf.DUMMYFUNCTION("""COMPUTED_VALUE"""),15.0)</f>
        <v>15</v>
      </c>
      <c r="L712" s="17">
        <f>IFERROR(__xludf.DUMMYFUNCTION("""COMPUTED_VALUE"""),3.002229144E9)</f>
        <v>3002229144</v>
      </c>
      <c r="M712" s="17" t="str">
        <f>IFERROR(__xludf.DUMMYFUNCTION("""COMPUTED_VALUE"""),"#REF!")</f>
        <v>#REF!</v>
      </c>
      <c r="N712" s="17"/>
      <c r="O712" s="19" t="str">
        <f>IFERROR(__xludf.DUMMYFUNCTION("""COMPUTED_VALUE"""),"")</f>
        <v/>
      </c>
      <c r="P712" s="17" t="b">
        <f>IFERROR(__xludf.DUMMYFUNCTION("""COMPUTED_VALUE"""),TRUE)</f>
        <v>1</v>
      </c>
      <c r="Q712" s="20">
        <f>IFERROR(__xludf.DUMMYFUNCTION("""COMPUTED_VALUE"""),45020.606432291665)</f>
        <v>45020.60643</v>
      </c>
      <c r="R712" s="22" t="str">
        <f>IFERROR(__xludf.DUMMYFUNCTION("""COMPUTED_VALUE"""),"")</f>
        <v/>
      </c>
    </row>
    <row r="713">
      <c r="A713" s="15">
        <f>IFERROR(__xludf.DUMMYFUNCTION("""COMPUTED_VALUE"""),45020.0)</f>
        <v>45020</v>
      </c>
      <c r="B713" s="16" t="str">
        <f>IFERROR(__xludf.DUMMYFUNCTION("""COMPUTED_VALUE"""),"Andrés Felipe Castillo Muñoz")</f>
        <v>Andrés Felipe Castillo Muñoz</v>
      </c>
      <c r="C713" s="15" t="str">
        <f>IFERROR(__xludf.DUMMYFUNCTION("""COMPUTED_VALUE"""),"MEDELLÍN")</f>
        <v>MEDELLÍN</v>
      </c>
      <c r="D713" s="15" t="str">
        <f>IFERROR(__xludf.DUMMYFUNCTION("""COMPUTED_VALUE"""),"BOGOTÁ")</f>
        <v>BOGOTÁ</v>
      </c>
      <c r="E713" s="15" t="str">
        <f>IFERROR(__xludf.DUMMYFUNCTION("""COMPUTED_VALUE"""),"Evamazzita")</f>
        <v>Evamazzita</v>
      </c>
      <c r="F713" s="17" t="str">
        <f>IFERROR(__xludf.DUMMYFUNCTION("""COMPUTED_VALUE"""),"CRA 27 No. 23 SUR - 69  / EDIFICIO ZARZAMORA APTO 1806 / N/A")</f>
        <v>CRA 27 No. 23 SUR - 69  / EDIFICIO ZARZAMORA APTO 1806 / N/A</v>
      </c>
      <c r="G713" s="15" t="str">
        <f>IFERROR(__xludf.DUMMYFUNCTION("""COMPUTED_VALUE"""),"CAMILA RESTREPO SOTO")</f>
        <v>CAMILA RESTREPO SOTO</v>
      </c>
      <c r="H713" s="16">
        <f>IFERROR(__xludf.DUMMYFUNCTION("""COMPUTED_VALUE"""),9397.0)</f>
        <v>9397</v>
      </c>
      <c r="I713" s="18">
        <f>IFERROR(__xludf.DUMMYFUNCTION("""COMPUTED_VALUE"""),3.0)</f>
        <v>3</v>
      </c>
      <c r="J713" s="18">
        <f>IFERROR(__xludf.DUMMYFUNCTION("""COMPUTED_VALUE"""),20.0)</f>
        <v>20</v>
      </c>
      <c r="K713" s="18">
        <f>IFERROR(__xludf.DUMMYFUNCTION("""COMPUTED_VALUE"""),15.0)</f>
        <v>15</v>
      </c>
      <c r="L713" s="17">
        <f>IFERROR(__xludf.DUMMYFUNCTION("""COMPUTED_VALUE"""),3.015332145E9)</f>
        <v>3015332145</v>
      </c>
      <c r="M713" s="17" t="str">
        <f>IFERROR(__xludf.DUMMYFUNCTION("""COMPUTED_VALUE"""),"#REF!")</f>
        <v>#REF!</v>
      </c>
      <c r="N713" s="17"/>
      <c r="O713" s="19" t="str">
        <f>IFERROR(__xludf.DUMMYFUNCTION("""COMPUTED_VALUE"""),"")</f>
        <v/>
      </c>
      <c r="P713" s="17" t="b">
        <f>IFERROR(__xludf.DUMMYFUNCTION("""COMPUTED_VALUE"""),TRUE)</f>
        <v>1</v>
      </c>
      <c r="Q713" s="20">
        <f>IFERROR(__xludf.DUMMYFUNCTION("""COMPUTED_VALUE"""),45021.26008390046)</f>
        <v>45021.26008</v>
      </c>
      <c r="R713" s="22" t="str">
        <f>IFERROR(__xludf.DUMMYFUNCTION("""COMPUTED_VALUE"""),"")</f>
        <v/>
      </c>
    </row>
    <row r="714">
      <c r="A714" s="15">
        <f>IFERROR(__xludf.DUMMYFUNCTION("""COMPUTED_VALUE"""),45020.0)</f>
        <v>45020</v>
      </c>
      <c r="B714" s="16" t="str">
        <f>IFERROR(__xludf.DUMMYFUNCTION("""COMPUTED_VALUE"""),"Andrés Felipe Castillo Muñoz")</f>
        <v>Andrés Felipe Castillo Muñoz</v>
      </c>
      <c r="C714" s="15" t="str">
        <f>IFERROR(__xludf.DUMMYFUNCTION("""COMPUTED_VALUE"""),"MEDELLÍN")</f>
        <v>MEDELLÍN</v>
      </c>
      <c r="D714" s="15" t="str">
        <f>IFERROR(__xludf.DUMMYFUNCTION("""COMPUTED_VALUE"""),"BOGOTÁ")</f>
        <v>BOGOTÁ</v>
      </c>
      <c r="E714" s="15" t="str">
        <f>IFERROR(__xludf.DUMMYFUNCTION("""COMPUTED_VALUE"""),"Evamazzita")</f>
        <v>Evamazzita</v>
      </c>
      <c r="F714" s="17" t="str">
        <f>IFERROR(__xludf.DUMMYFUNCTION("""COMPUTED_VALUE"""),"Cra 53 N 73 sur 40  / Unidad entrebosques Apto 1513   / ITAGÜÍ - Barrio Santa catalina")</f>
        <v>Cra 53 N 73 sur 40  / Unidad entrebosques Apto 1513   / ITAGÜÍ - Barrio Santa catalina</v>
      </c>
      <c r="G714" s="15" t="str">
        <f>IFERROR(__xludf.DUMMYFUNCTION("""COMPUTED_VALUE"""),"ALEJANDRA PEREZ GIL")</f>
        <v>ALEJANDRA PEREZ GIL</v>
      </c>
      <c r="H714" s="16">
        <f>IFERROR(__xludf.DUMMYFUNCTION("""COMPUTED_VALUE"""),9395.0)</f>
        <v>9395</v>
      </c>
      <c r="I714" s="18">
        <f>IFERROR(__xludf.DUMMYFUNCTION("""COMPUTED_VALUE"""),3.0)</f>
        <v>3</v>
      </c>
      <c r="J714" s="18">
        <f>IFERROR(__xludf.DUMMYFUNCTION("""COMPUTED_VALUE"""),20.0)</f>
        <v>20</v>
      </c>
      <c r="K714" s="18">
        <f>IFERROR(__xludf.DUMMYFUNCTION("""COMPUTED_VALUE"""),15.0)</f>
        <v>15</v>
      </c>
      <c r="L714" s="17">
        <f>IFERROR(__xludf.DUMMYFUNCTION("""COMPUTED_VALUE"""),3.137292194E9)</f>
        <v>3137292194</v>
      </c>
      <c r="M714" s="17" t="str">
        <f>IFERROR(__xludf.DUMMYFUNCTION("""COMPUTED_VALUE"""),"#REF!")</f>
        <v>#REF!</v>
      </c>
      <c r="N714" s="17"/>
      <c r="O714" s="19" t="str">
        <f>IFERROR(__xludf.DUMMYFUNCTION("""COMPUTED_VALUE"""),"")</f>
        <v/>
      </c>
      <c r="P714" s="17" t="b">
        <f>IFERROR(__xludf.DUMMYFUNCTION("""COMPUTED_VALUE"""),TRUE)</f>
        <v>1</v>
      </c>
      <c r="Q714" s="20">
        <f>IFERROR(__xludf.DUMMYFUNCTION("""COMPUTED_VALUE"""),45020.61265917824)</f>
        <v>45020.61266</v>
      </c>
      <c r="R714" s="22" t="str">
        <f>IFERROR(__xludf.DUMMYFUNCTION("""COMPUTED_VALUE"""),"")</f>
        <v/>
      </c>
    </row>
    <row r="715">
      <c r="A715" s="15">
        <f>IFERROR(__xludf.DUMMYFUNCTION("""COMPUTED_VALUE"""),45020.0)</f>
        <v>45020</v>
      </c>
      <c r="B715" s="16" t="str">
        <f>IFERROR(__xludf.DUMMYFUNCTION("""COMPUTED_VALUE"""),"Andrés Felipe Castillo Muñoz")</f>
        <v>Andrés Felipe Castillo Muñoz</v>
      </c>
      <c r="C715" s="15" t="str">
        <f>IFERROR(__xludf.DUMMYFUNCTION("""COMPUTED_VALUE"""),"MEDELLÍN")</f>
        <v>MEDELLÍN</v>
      </c>
      <c r="D715" s="15" t="str">
        <f>IFERROR(__xludf.DUMMYFUNCTION("""COMPUTED_VALUE"""),"BOGOTÁ")</f>
        <v>BOGOTÁ</v>
      </c>
      <c r="E715" s="15" t="str">
        <f>IFERROR(__xludf.DUMMYFUNCTION("""COMPUTED_VALUE"""),"Evamazzita")</f>
        <v>Evamazzita</v>
      </c>
      <c r="F715" s="17" t="str">
        <f>IFERROR(__xludf.DUMMYFUNCTION("""COMPUTED_VALUE"""),"Diagonal 59a #22a33  / segundo piso billares las nieves   / BELLO - Barrio nuevo")</f>
        <v>Diagonal 59a #22a33  / segundo piso billares las nieves   / BELLO - Barrio nuevo</v>
      </c>
      <c r="G715" s="15" t="str">
        <f>IFERROR(__xludf.DUMMYFUNCTION("""COMPUTED_VALUE"""),"VALENTINA RODRIGUEZ NIEVES")</f>
        <v>VALENTINA RODRIGUEZ NIEVES</v>
      </c>
      <c r="H715" s="16">
        <f>IFERROR(__xludf.DUMMYFUNCTION("""COMPUTED_VALUE"""),9392.0)</f>
        <v>9392</v>
      </c>
      <c r="I715" s="18">
        <f>IFERROR(__xludf.DUMMYFUNCTION("""COMPUTED_VALUE"""),3.0)</f>
        <v>3</v>
      </c>
      <c r="J715" s="18">
        <f>IFERROR(__xludf.DUMMYFUNCTION("""COMPUTED_VALUE"""),20.0)</f>
        <v>20</v>
      </c>
      <c r="K715" s="18">
        <f>IFERROR(__xludf.DUMMYFUNCTION("""COMPUTED_VALUE"""),15.0)</f>
        <v>15</v>
      </c>
      <c r="L715" s="17">
        <f>IFERROR(__xludf.DUMMYFUNCTION("""COMPUTED_VALUE"""),3.045595628E9)</f>
        <v>3045595628</v>
      </c>
      <c r="M715" s="17" t="str">
        <f>IFERROR(__xludf.DUMMYFUNCTION("""COMPUTED_VALUE"""),"#REF!")</f>
        <v>#REF!</v>
      </c>
      <c r="N715" s="17"/>
      <c r="O715" s="19" t="str">
        <f>IFERROR(__xludf.DUMMYFUNCTION("""COMPUTED_VALUE"""),"")</f>
        <v/>
      </c>
      <c r="P715" s="17" t="b">
        <f>IFERROR(__xludf.DUMMYFUNCTION("""COMPUTED_VALUE"""),TRUE)</f>
        <v>1</v>
      </c>
      <c r="Q715" s="20">
        <f>IFERROR(__xludf.DUMMYFUNCTION("""COMPUTED_VALUE"""),45020.61417635417)</f>
        <v>45020.61418</v>
      </c>
      <c r="R715" s="22" t="str">
        <f>IFERROR(__xludf.DUMMYFUNCTION("""COMPUTED_VALUE"""),"")</f>
        <v/>
      </c>
    </row>
    <row r="716">
      <c r="A716" s="15">
        <f>IFERROR(__xludf.DUMMYFUNCTION("""COMPUTED_VALUE"""),45020.0)</f>
        <v>45020</v>
      </c>
      <c r="B716" s="16" t="str">
        <f>IFERROR(__xludf.DUMMYFUNCTION("""COMPUTED_VALUE"""),"Andrés Felipe Castillo Muñoz")</f>
        <v>Andrés Felipe Castillo Muñoz</v>
      </c>
      <c r="C716" s="15" t="str">
        <f>IFERROR(__xludf.DUMMYFUNCTION("""COMPUTED_VALUE"""),"MEDELLÍN")</f>
        <v>MEDELLÍN</v>
      </c>
      <c r="D716" s="15" t="str">
        <f>IFERROR(__xludf.DUMMYFUNCTION("""COMPUTED_VALUE"""),"BOGOTÁ")</f>
        <v>BOGOTÁ</v>
      </c>
      <c r="E716" s="15" t="str">
        <f>IFERROR(__xludf.DUMMYFUNCTION("""COMPUTED_VALUE"""),"Evamazzita")</f>
        <v>Evamazzita</v>
      </c>
      <c r="F716" s="17" t="str">
        <f>IFERROR(__xludf.DUMMYFUNCTION("""COMPUTED_VALUE"""),"RECIBE VICTOR TABARESD CALLE 78 SUR No. 40-51 /  CASA SEGUNDO PISO BARRIO CAÑAVERALEJO / SABANETA - RECIBE VICTOR TABARESD")</f>
        <v>RECIBE VICTOR TABARESD CALLE 78 SUR No. 40-51 /  CASA SEGUNDO PISO BARRIO CAÑAVERALEJO / SABANETA - RECIBE VICTOR TABARESD</v>
      </c>
      <c r="G716" s="15" t="str">
        <f>IFERROR(__xludf.DUMMYFUNCTION("""COMPUTED_VALUE"""),"MARCELA GALLEGO GOMEZ")</f>
        <v>MARCELA GALLEGO GOMEZ</v>
      </c>
      <c r="H716" s="16">
        <f>IFERROR(__xludf.DUMMYFUNCTION("""COMPUTED_VALUE"""),9400.0)</f>
        <v>9400</v>
      </c>
      <c r="I716" s="18">
        <f>IFERROR(__xludf.DUMMYFUNCTION("""COMPUTED_VALUE"""),3.0)</f>
        <v>3</v>
      </c>
      <c r="J716" s="18">
        <f>IFERROR(__xludf.DUMMYFUNCTION("""COMPUTED_VALUE"""),20.0)</f>
        <v>20</v>
      </c>
      <c r="K716" s="18">
        <f>IFERROR(__xludf.DUMMYFUNCTION("""COMPUTED_VALUE"""),15.0)</f>
        <v>15</v>
      </c>
      <c r="L716" s="17">
        <f>IFERROR(__xludf.DUMMYFUNCTION("""COMPUTED_VALUE"""),3.216153382E9)</f>
        <v>3216153382</v>
      </c>
      <c r="M716" s="17" t="str">
        <f>IFERROR(__xludf.DUMMYFUNCTION("""COMPUTED_VALUE"""),"#REF!")</f>
        <v>#REF!</v>
      </c>
      <c r="N716" s="17"/>
      <c r="O716" s="19" t="str">
        <f>IFERROR(__xludf.DUMMYFUNCTION("""COMPUTED_VALUE"""),"")</f>
        <v/>
      </c>
      <c r="P716" s="17" t="b">
        <f>IFERROR(__xludf.DUMMYFUNCTION("""COMPUTED_VALUE"""),TRUE)</f>
        <v>1</v>
      </c>
      <c r="Q716" s="20">
        <f>IFERROR(__xludf.DUMMYFUNCTION("""COMPUTED_VALUE"""),45020.613688576384)</f>
        <v>45020.61369</v>
      </c>
      <c r="R716" s="22" t="str">
        <f>IFERROR(__xludf.DUMMYFUNCTION("""COMPUTED_VALUE"""),"")</f>
        <v/>
      </c>
    </row>
    <row r="717">
      <c r="A717" s="15">
        <f>IFERROR(__xludf.DUMMYFUNCTION("""COMPUTED_VALUE"""),45020.0)</f>
        <v>45020</v>
      </c>
      <c r="B717" s="16" t="str">
        <f>IFERROR(__xludf.DUMMYFUNCTION("""COMPUTED_VALUE"""),"Andrés Felipe Castillo Muñoz")</f>
        <v>Andrés Felipe Castillo Muñoz</v>
      </c>
      <c r="C717" s="15" t="str">
        <f>IFERROR(__xludf.DUMMYFUNCTION("""COMPUTED_VALUE"""),"MEDELLÍN")</f>
        <v>MEDELLÍN</v>
      </c>
      <c r="D717" s="15" t="str">
        <f>IFERROR(__xludf.DUMMYFUNCTION("""COMPUTED_VALUE"""),"BOGOTÁ")</f>
        <v>BOGOTÁ</v>
      </c>
      <c r="E717" s="15" t="str">
        <f>IFERROR(__xludf.DUMMYFUNCTION("""COMPUTED_VALUE"""),"Evamazzita")</f>
        <v>Evamazzita</v>
      </c>
      <c r="F717" s="17" t="str">
        <f>IFERROR(__xludf.DUMMYFUNCTION("""COMPUTED_VALUE"""),"Transversal 53a #65 70  / urbanización Madrid apartamentos apto 2102  / Carlos E Restrepo")</f>
        <v>Transversal 53a #65 70  / urbanización Madrid apartamentos apto 2102  / Carlos E Restrepo</v>
      </c>
      <c r="G717" s="15" t="str">
        <f>IFERROR(__xludf.DUMMYFUNCTION("""COMPUTED_VALUE"""),"MARIANA MOLINA GIRALDO")</f>
        <v>MARIANA MOLINA GIRALDO</v>
      </c>
      <c r="H717" s="16">
        <f>IFERROR(__xludf.DUMMYFUNCTION("""COMPUTED_VALUE"""),9396.0)</f>
        <v>9396</v>
      </c>
      <c r="I717" s="18">
        <f>IFERROR(__xludf.DUMMYFUNCTION("""COMPUTED_VALUE"""),10.0)</f>
        <v>10</v>
      </c>
      <c r="J717" s="18">
        <f>IFERROR(__xludf.DUMMYFUNCTION("""COMPUTED_VALUE"""),18.0)</f>
        <v>18</v>
      </c>
      <c r="K717" s="18">
        <f>IFERROR(__xludf.DUMMYFUNCTION("""COMPUTED_VALUE"""),22.0)</f>
        <v>22</v>
      </c>
      <c r="L717" s="17">
        <f>IFERROR(__xludf.DUMMYFUNCTION("""COMPUTED_VALUE"""),3.127822656E9)</f>
        <v>3127822656</v>
      </c>
      <c r="M717" s="17" t="str">
        <f>IFERROR(__xludf.DUMMYFUNCTION("""COMPUTED_VALUE"""),"#REF!")</f>
        <v>#REF!</v>
      </c>
      <c r="N717" s="17"/>
      <c r="O717" s="19" t="str">
        <f>IFERROR(__xludf.DUMMYFUNCTION("""COMPUTED_VALUE"""),"")</f>
        <v/>
      </c>
      <c r="P717" s="17" t="b">
        <f>IFERROR(__xludf.DUMMYFUNCTION("""COMPUTED_VALUE"""),TRUE)</f>
        <v>1</v>
      </c>
      <c r="Q717" s="20">
        <f>IFERROR(__xludf.DUMMYFUNCTION("""COMPUTED_VALUE"""),45020.61347380787)</f>
        <v>45020.61347</v>
      </c>
      <c r="R717" s="22" t="str">
        <f>IFERROR(__xludf.DUMMYFUNCTION("""COMPUTED_VALUE"""),"")</f>
        <v/>
      </c>
    </row>
    <row r="718">
      <c r="A718" s="15">
        <f>IFERROR(__xludf.DUMMYFUNCTION("""COMPUTED_VALUE"""),45020.0)</f>
        <v>45020</v>
      </c>
      <c r="B718" s="16" t="str">
        <f>IFERROR(__xludf.DUMMYFUNCTION("""COMPUTED_VALUE"""),"Andrés Felipe Castillo Muñoz")</f>
        <v>Andrés Felipe Castillo Muñoz</v>
      </c>
      <c r="C718" s="15" t="str">
        <f>IFERROR(__xludf.DUMMYFUNCTION("""COMPUTED_VALUE"""),"MEDELLÍN")</f>
        <v>MEDELLÍN</v>
      </c>
      <c r="D718" s="15" t="str">
        <f>IFERROR(__xludf.DUMMYFUNCTION("""COMPUTED_VALUE"""),"BOGOTÁ")</f>
        <v>BOGOTÁ</v>
      </c>
      <c r="E718" s="15" t="str">
        <f>IFERROR(__xludf.DUMMYFUNCTION("""COMPUTED_VALUE"""),"Henry David")</f>
        <v>Henry David</v>
      </c>
      <c r="F718" s="17" t="str">
        <f>IFERROR(__xludf.DUMMYFUNCTION("""COMPUTED_VALUE"""),"carrera 15 # 9a-31 / Apto 904 / Edificio Zandalo")</f>
        <v>carrera 15 # 9a-31 / Apto 904 / Edificio Zandalo</v>
      </c>
      <c r="G718" s="15" t="str">
        <f>IFERROR(__xludf.DUMMYFUNCTION("""COMPUTED_VALUE"""),"Valentina Osorio")</f>
        <v>Valentina Osorio</v>
      </c>
      <c r="H718" s="16">
        <f>IFERROR(__xludf.DUMMYFUNCTION("""COMPUTED_VALUE"""),9382.0)</f>
        <v>9382</v>
      </c>
      <c r="I718" s="18">
        <f>IFERROR(__xludf.DUMMYFUNCTION("""COMPUTED_VALUE"""),8.0)</f>
        <v>8</v>
      </c>
      <c r="J718" s="18">
        <f>IFERROR(__xludf.DUMMYFUNCTION("""COMPUTED_VALUE"""),13.0)</f>
        <v>13</v>
      </c>
      <c r="K718" s="18">
        <f>IFERROR(__xludf.DUMMYFUNCTION("""COMPUTED_VALUE"""),18.0)</f>
        <v>18</v>
      </c>
      <c r="L718" s="17">
        <f>IFERROR(__xludf.DUMMYFUNCTION("""COMPUTED_VALUE"""),3.014807961E9)</f>
        <v>3014807961</v>
      </c>
      <c r="M718" s="17" t="str">
        <f>IFERROR(__xludf.DUMMYFUNCTION("""COMPUTED_VALUE"""),"#REF!")</f>
        <v>#REF!</v>
      </c>
      <c r="N718" s="17"/>
      <c r="O718" s="19" t="str">
        <f>IFERROR(__xludf.DUMMYFUNCTION("""COMPUTED_VALUE"""),"")</f>
        <v/>
      </c>
      <c r="P718" s="17" t="b">
        <f>IFERROR(__xludf.DUMMYFUNCTION("""COMPUTED_VALUE"""),TRUE)</f>
        <v>1</v>
      </c>
      <c r="Q718" s="20">
        <f>IFERROR(__xludf.DUMMYFUNCTION("""COMPUTED_VALUE"""),45020.61327086805)</f>
        <v>45020.61327</v>
      </c>
      <c r="R718" s="22" t="str">
        <f>IFERROR(__xludf.DUMMYFUNCTION("""COMPUTED_VALUE"""),"")</f>
        <v/>
      </c>
    </row>
    <row r="719">
      <c r="A719" s="15">
        <f>IFERROR(__xludf.DUMMYFUNCTION("""COMPUTED_VALUE"""),45020.0)</f>
        <v>45020</v>
      </c>
      <c r="B719" s="16" t="str">
        <f>IFERROR(__xludf.DUMMYFUNCTION("""COMPUTED_VALUE"""),"Andrés Felipe Castillo Muñoz")</f>
        <v>Andrés Felipe Castillo Muñoz</v>
      </c>
      <c r="C719" s="15" t="str">
        <f>IFERROR(__xludf.DUMMYFUNCTION("""COMPUTED_VALUE"""),"MEDELLÍN")</f>
        <v>MEDELLÍN</v>
      </c>
      <c r="D719" s="15" t="str">
        <f>IFERROR(__xludf.DUMMYFUNCTION("""COMPUTED_VALUE"""),"BOGOTÁ")</f>
        <v>BOGOTÁ</v>
      </c>
      <c r="E719" s="15" t="str">
        <f>IFERROR(__xludf.DUMMYFUNCTION("""COMPUTED_VALUE"""),"Lunchy Kids")</f>
        <v>Lunchy Kids</v>
      </c>
      <c r="F719" s="17" t="str">
        <f>IFERROR(__xludf.DUMMYFUNCTION("""COMPUTED_VALUE"""),"calle 27 sur # 27-21   / Apartamentos Lyon apto 1312  / Envigado")</f>
        <v>calle 27 sur # 27-21   / Apartamentos Lyon apto 1312  / Envigado</v>
      </c>
      <c r="G719" s="15" t="str">
        <f>IFERROR(__xludf.DUMMYFUNCTION("""COMPUTED_VALUE"""),"Daniela Jaramillo")</f>
        <v>Daniela Jaramillo</v>
      </c>
      <c r="H719" s="16">
        <f>IFERROR(__xludf.DUMMYFUNCTION("""COMPUTED_VALUE"""),9486.0)</f>
        <v>9486</v>
      </c>
      <c r="I719" s="18">
        <f>IFERROR(__xludf.DUMMYFUNCTION("""COMPUTED_VALUE"""),18.0)</f>
        <v>18</v>
      </c>
      <c r="J719" s="18">
        <f>IFERROR(__xludf.DUMMYFUNCTION("""COMPUTED_VALUE"""),26.0)</f>
        <v>26</v>
      </c>
      <c r="K719" s="18">
        <f>IFERROR(__xludf.DUMMYFUNCTION("""COMPUTED_VALUE"""),7.0)</f>
        <v>7</v>
      </c>
      <c r="L719" s="17">
        <f>IFERROR(__xludf.DUMMYFUNCTION("""COMPUTED_VALUE"""),3.113459141E9)</f>
        <v>3113459141</v>
      </c>
      <c r="M719" s="17" t="str">
        <f>IFERROR(__xludf.DUMMYFUNCTION("""COMPUTED_VALUE"""),"#REF!")</f>
        <v>#REF!</v>
      </c>
      <c r="N719" s="17"/>
      <c r="O719" s="19" t="str">
        <f>IFERROR(__xludf.DUMMYFUNCTION("""COMPUTED_VALUE"""),"")</f>
        <v/>
      </c>
      <c r="P719" s="17" t="b">
        <f>IFERROR(__xludf.DUMMYFUNCTION("""COMPUTED_VALUE"""),FALSE)</f>
        <v>0</v>
      </c>
      <c r="Q719" s="20" t="str">
        <f>IFERROR(__xludf.DUMMYFUNCTION("""COMPUTED_VALUE"""),"")</f>
        <v/>
      </c>
      <c r="R719" s="22" t="str">
        <f>IFERROR(__xludf.DUMMYFUNCTION("""COMPUTED_VALUE"""),"")</f>
        <v/>
      </c>
    </row>
    <row r="720">
      <c r="A720" s="17" t="str">
        <f>IFERROR(__xludf.DUMMYFUNCTION("""COMPUTED_VALUE"""),"")</f>
        <v/>
      </c>
      <c r="B720" s="17" t="str">
        <f>IFERROR(__xludf.DUMMYFUNCTION("""COMPUTED_VALUE"""),"")</f>
        <v/>
      </c>
      <c r="C720" s="17" t="str">
        <f>IFERROR(__xludf.DUMMYFUNCTION("""COMPUTED_VALUE"""),"")</f>
        <v/>
      </c>
      <c r="D720" s="17" t="str">
        <f>IFERROR(__xludf.DUMMYFUNCTION("""COMPUTED_VALUE"""),"")</f>
        <v/>
      </c>
      <c r="E720" s="17" t="str">
        <f>IFERROR(__xludf.DUMMYFUNCTION("""COMPUTED_VALUE"""),"")</f>
        <v/>
      </c>
      <c r="F720" s="17" t="str">
        <f>IFERROR(__xludf.DUMMYFUNCTION("""COMPUTED_VALUE"""),"")</f>
        <v/>
      </c>
      <c r="G720" s="17" t="str">
        <f>IFERROR(__xludf.DUMMYFUNCTION("""COMPUTED_VALUE"""),"")</f>
        <v/>
      </c>
      <c r="H720" s="17" t="str">
        <f>IFERROR(__xludf.DUMMYFUNCTION("""COMPUTED_VALUE"""),"")</f>
        <v/>
      </c>
      <c r="I720" s="17" t="str">
        <f>IFERROR(__xludf.DUMMYFUNCTION("""COMPUTED_VALUE"""),"")</f>
        <v/>
      </c>
      <c r="J720" s="17" t="str">
        <f>IFERROR(__xludf.DUMMYFUNCTION("""COMPUTED_VALUE"""),"")</f>
        <v/>
      </c>
      <c r="K720" s="17" t="str">
        <f>IFERROR(__xludf.DUMMYFUNCTION("""COMPUTED_VALUE"""),"")</f>
        <v/>
      </c>
      <c r="L720" s="17" t="str">
        <f>IFERROR(__xludf.DUMMYFUNCTION("""COMPUTED_VALUE"""),"")</f>
        <v/>
      </c>
      <c r="M720" s="17" t="str">
        <f>IFERROR(__xludf.DUMMYFUNCTION("""COMPUTED_VALUE"""),"")</f>
        <v/>
      </c>
      <c r="N720" s="17" t="str">
        <f>IFERROR(__xludf.DUMMYFUNCTION("""COMPUTED_VALUE"""),"")</f>
        <v/>
      </c>
      <c r="O720" s="17" t="str">
        <f>IFERROR(__xludf.DUMMYFUNCTION("""COMPUTED_VALUE"""),"")</f>
        <v/>
      </c>
      <c r="P720" s="17" t="str">
        <f>IFERROR(__xludf.DUMMYFUNCTION("""COMPUTED_VALUE"""),"")</f>
        <v/>
      </c>
      <c r="Q720" s="17" t="str">
        <f>IFERROR(__xludf.DUMMYFUNCTION("""COMPUTED_VALUE"""),"")</f>
        <v/>
      </c>
      <c r="R720" s="17" t="str">
        <f>IFERROR(__xludf.DUMMYFUNCTION("""COMPUTED_VALUE"""),"")</f>
        <v/>
      </c>
    </row>
    <row r="721">
      <c r="A721" s="15">
        <f>IFERROR(__xludf.DUMMYFUNCTION("""COMPUTED_VALUE"""),45020.0)</f>
        <v>45020</v>
      </c>
      <c r="B721" s="16" t="str">
        <f>IFERROR(__xludf.DUMMYFUNCTION("""COMPUTED_VALUE"""),"Deivi Alejandro Quintero Corrales")</f>
        <v>Deivi Alejandro Quintero Corrales</v>
      </c>
      <c r="C721" s="15" t="str">
        <f>IFERROR(__xludf.DUMMYFUNCTION("""COMPUTED_VALUE"""),"ARMENIA")</f>
        <v>ARMENIA</v>
      </c>
      <c r="D721" s="15" t="str">
        <f>IFERROR(__xludf.DUMMYFUNCTION("""COMPUTED_VALUE"""),"MEDELLÍN")</f>
        <v>MEDELLÍN</v>
      </c>
      <c r="E721" s="15" t="str">
        <f>IFERROR(__xludf.DUMMYFUNCTION("""COMPUTED_VALUE"""),"Todo Bufala")</f>
        <v>Todo Bufala</v>
      </c>
      <c r="F721" s="17" t="str">
        <f>IFERROR(__xludf.DUMMYFUNCTION("""COMPUTED_VALUE"""),"Cr 5 26n-02 / Apto 304")</f>
        <v>Cr 5 26n-02 / Apto 304</v>
      </c>
      <c r="G721" s="15" t="str">
        <f>IFERROR(__xludf.DUMMYFUNCTION("""COMPUTED_VALUE"""),"Yenny Franco")</f>
        <v>Yenny Franco</v>
      </c>
      <c r="H721" s="16">
        <f>IFERROR(__xludf.DUMMYFUNCTION("""COMPUTED_VALUE"""),9383.0)</f>
        <v>9383</v>
      </c>
      <c r="I721" s="18">
        <f>IFERROR(__xludf.DUMMYFUNCTION("""COMPUTED_VALUE"""),40.0)</f>
        <v>40</v>
      </c>
      <c r="J721" s="18">
        <f>IFERROR(__xludf.DUMMYFUNCTION("""COMPUTED_VALUE"""),30.0)</f>
        <v>30</v>
      </c>
      <c r="K721" s="18">
        <f>IFERROR(__xludf.DUMMYFUNCTION("""COMPUTED_VALUE"""),20.0)</f>
        <v>20</v>
      </c>
      <c r="L721" s="17"/>
      <c r="M721" s="17" t="str">
        <f>IFERROR(__xludf.DUMMYFUNCTION("""COMPUTED_VALUE"""),"#REF!")</f>
        <v>#REF!</v>
      </c>
      <c r="N721" s="17"/>
      <c r="O721" s="19" t="str">
        <f>IFERROR(__xludf.DUMMYFUNCTION("""COMPUTED_VALUE"""),"")</f>
        <v/>
      </c>
      <c r="P721" s="17" t="b">
        <f>IFERROR(__xludf.DUMMYFUNCTION("""COMPUTED_VALUE"""),TRUE)</f>
        <v>1</v>
      </c>
      <c r="Q721" s="20">
        <f>IFERROR(__xludf.DUMMYFUNCTION("""COMPUTED_VALUE"""),45020.6155153588)</f>
        <v>45020.61552</v>
      </c>
      <c r="R721" s="22" t="str">
        <f>IFERROR(__xludf.DUMMYFUNCTION("""COMPUTED_VALUE"""),"")</f>
        <v/>
      </c>
    </row>
    <row r="722">
      <c r="A722" s="15">
        <f>IFERROR(__xludf.DUMMYFUNCTION("""COMPUTED_VALUE"""),45020.0)</f>
        <v>45020</v>
      </c>
      <c r="B722" s="16" t="str">
        <f>IFERROR(__xludf.DUMMYFUNCTION("""COMPUTED_VALUE"""),"Deivi Alejandro Quintero Corrales")</f>
        <v>Deivi Alejandro Quintero Corrales</v>
      </c>
      <c r="C722" s="15" t="str">
        <f>IFERROR(__xludf.DUMMYFUNCTION("""COMPUTED_VALUE"""),"CIRCASIA")</f>
        <v>CIRCASIA</v>
      </c>
      <c r="D722" s="15" t="str">
        <f>IFERROR(__xludf.DUMMYFUNCTION("""COMPUTED_VALUE"""),"BOGOTÁ")</f>
        <v>BOGOTÁ</v>
      </c>
      <c r="E722" s="15" t="str">
        <f>IFERROR(__xludf.DUMMYFUNCTION("""COMPUTED_VALUE"""),"Pan de Waffle")</f>
        <v>Pan de Waffle</v>
      </c>
      <c r="F722" s="17" t="str">
        <f>IFERROR(__xludf.DUMMYFUNCTION("""COMPUTED_VALUE"""),"Conjunto Residencial Cantabria MZ-C CASA 9 Circasia - Quindio / Conjunto Residencial Cantabria MZ-C CASA 9 Circasia - Quindio / Conjunto Residencial Cantabria MZ-C CASA 9 Circasia - Quindio")</f>
        <v>Conjunto Residencial Cantabria MZ-C CASA 9 Circasia - Quindio / Conjunto Residencial Cantabria MZ-C CASA 9 Circasia - Quindio / Conjunto Residencial Cantabria MZ-C CASA 9 Circasia - Quindio</v>
      </c>
      <c r="G722" s="15" t="str">
        <f>IFERROR(__xludf.DUMMYFUNCTION("""COMPUTED_VALUE"""),"TIENDA ANTOJITOS FITNESS")</f>
        <v>TIENDA ANTOJITOS FITNESS</v>
      </c>
      <c r="H722" s="16">
        <f>IFERROR(__xludf.DUMMYFUNCTION("""COMPUTED_VALUE"""),9470.0)</f>
        <v>9470</v>
      </c>
      <c r="I722" s="18">
        <f>IFERROR(__xludf.DUMMYFUNCTION("""COMPUTED_VALUE"""),30.0)</f>
        <v>30</v>
      </c>
      <c r="J722" s="18">
        <f>IFERROR(__xludf.DUMMYFUNCTION("""COMPUTED_VALUE"""),40.0)</f>
        <v>40</v>
      </c>
      <c r="K722" s="18">
        <f>IFERROR(__xludf.DUMMYFUNCTION("""COMPUTED_VALUE"""),30.0)</f>
        <v>30</v>
      </c>
      <c r="L722" s="17">
        <f>IFERROR(__xludf.DUMMYFUNCTION("""COMPUTED_VALUE"""),3.204937012E9)</f>
        <v>3204937012</v>
      </c>
      <c r="M722" s="17" t="str">
        <f>IFERROR(__xludf.DUMMYFUNCTION("""COMPUTED_VALUE"""),"#REF!")</f>
        <v>#REF!</v>
      </c>
      <c r="N722" s="17"/>
      <c r="O722" s="19" t="str">
        <f>IFERROR(__xludf.DUMMYFUNCTION("""COMPUTED_VALUE"""),"")</f>
        <v/>
      </c>
      <c r="P722" s="17" t="b">
        <f>IFERROR(__xludf.DUMMYFUNCTION("""COMPUTED_VALUE"""),TRUE)</f>
        <v>1</v>
      </c>
      <c r="Q722" s="20">
        <f>IFERROR(__xludf.DUMMYFUNCTION("""COMPUTED_VALUE"""),45020.73206077547)</f>
        <v>45020.73206</v>
      </c>
      <c r="R722" s="22" t="str">
        <f>IFERROR(__xludf.DUMMYFUNCTION("""COMPUTED_VALUE"""),"")</f>
        <v/>
      </c>
    </row>
    <row r="723">
      <c r="A723" s="15">
        <f>IFERROR(__xludf.DUMMYFUNCTION("""COMPUTED_VALUE"""),45020.0)</f>
        <v>45020</v>
      </c>
      <c r="B723" s="16" t="str">
        <f>IFERROR(__xludf.DUMMYFUNCTION("""COMPUTED_VALUE"""),"Deivi Alejandro Quintero Corrales")</f>
        <v>Deivi Alejandro Quintero Corrales</v>
      </c>
      <c r="C723" s="15" t="str">
        <f>IFERROR(__xludf.DUMMYFUNCTION("""COMPUTED_VALUE"""),"CÚCUTA")</f>
        <v>CÚCUTA</v>
      </c>
      <c r="D723" s="15" t="str">
        <f>IFERROR(__xludf.DUMMYFUNCTION("""COMPUTED_VALUE"""),"MEDELLÍN")</f>
        <v>MEDELLÍN</v>
      </c>
      <c r="E723" s="15" t="str">
        <f>IFERROR(__xludf.DUMMYFUNCTION("""COMPUTED_VALUE"""),"Momo Tea S.A.S Gabriel Echavarría")</f>
        <v>Momo Tea S.A.S Gabriel Echavarría</v>
      </c>
      <c r="F723" s="17" t="str">
        <f>IFERROR(__xludf.DUMMYFUNCTION("""COMPUTED_VALUE"""),"CL 11 N 16 E 35 / CA B 1")</f>
        <v>CL 11 N 16 E 35 / CA B 1</v>
      </c>
      <c r="G723" s="15" t="str">
        <f>IFERROR(__xludf.DUMMYFUNCTION("""COMPUTED_VALUE"""),"Gabriel Echavarría")</f>
        <v>Gabriel Echavarría</v>
      </c>
      <c r="H723" s="16">
        <f>IFERROR(__xludf.DUMMYFUNCTION("""COMPUTED_VALUE"""),9456.0)</f>
        <v>9456</v>
      </c>
      <c r="I723" s="18">
        <f>IFERROR(__xludf.DUMMYFUNCTION("""COMPUTED_VALUE"""),63.0)</f>
        <v>63</v>
      </c>
      <c r="J723" s="18">
        <f>IFERROR(__xludf.DUMMYFUNCTION("""COMPUTED_VALUE"""),10.0)</f>
        <v>10</v>
      </c>
      <c r="K723" s="18">
        <f>IFERROR(__xludf.DUMMYFUNCTION("""COMPUTED_VALUE"""),9.0)</f>
        <v>9</v>
      </c>
      <c r="L723" s="17">
        <f>IFERROR(__xludf.DUMMYFUNCTION("""COMPUTED_VALUE"""),3.017909548E9)</f>
        <v>3017909548</v>
      </c>
      <c r="M723" s="17" t="str">
        <f>IFERROR(__xludf.DUMMYFUNCTION("""COMPUTED_VALUE"""),"#REF!")</f>
        <v>#REF!</v>
      </c>
      <c r="N723" s="17"/>
      <c r="O723" s="19" t="str">
        <f>IFERROR(__xludf.DUMMYFUNCTION("""COMPUTED_VALUE"""),"")</f>
        <v/>
      </c>
      <c r="P723" s="17" t="b">
        <f>IFERROR(__xludf.DUMMYFUNCTION("""COMPUTED_VALUE"""),TRUE)</f>
        <v>1</v>
      </c>
      <c r="Q723" s="20">
        <f>IFERROR(__xludf.DUMMYFUNCTION("""COMPUTED_VALUE"""),45020.60643230324)</f>
        <v>45020.60643</v>
      </c>
      <c r="R723" s="22" t="str">
        <f>IFERROR(__xludf.DUMMYFUNCTION("""COMPUTED_VALUE"""),"")</f>
        <v/>
      </c>
    </row>
    <row r="724">
      <c r="A724" s="15">
        <f>IFERROR(__xludf.DUMMYFUNCTION("""COMPUTED_VALUE"""),45020.0)</f>
        <v>45020</v>
      </c>
      <c r="B724" s="16" t="str">
        <f>IFERROR(__xludf.DUMMYFUNCTION("""COMPUTED_VALUE"""),"Deivi Alejandro Quintero Corrales")</f>
        <v>Deivi Alejandro Quintero Corrales</v>
      </c>
      <c r="C724" s="15" t="str">
        <f>IFERROR(__xludf.DUMMYFUNCTION("""COMPUTED_VALUE"""),"PEREIRA")</f>
        <v>PEREIRA</v>
      </c>
      <c r="D724" s="15" t="str">
        <f>IFERROR(__xludf.DUMMYFUNCTION("""COMPUTED_VALUE"""),"BOGOTÁ")</f>
        <v>BOGOTÁ</v>
      </c>
      <c r="E724" s="15" t="str">
        <f>IFERROR(__xludf.DUMMYFUNCTION("""COMPUTED_VALUE"""),"Asociacion Agropecuaria Juana Maria")</f>
        <v>Asociacion Agropecuaria Juana Maria</v>
      </c>
      <c r="F724" s="17" t="str">
        <f>IFERROR(__xludf.DUMMYFUNCTION("""COMPUTED_VALUE"""),"Calle 153 # 23 -41 manzana 1 casa 9 sol de Galicia")</f>
        <v>Calle 153 # 23 -41 manzana 1 casa 9 sol de Galicia</v>
      </c>
      <c r="G724" s="15" t="str">
        <f>IFERROR(__xludf.DUMMYFUNCTION("""COMPUTED_VALUE"""),"Paula Andrea Forero")</f>
        <v>Paula Andrea Forero</v>
      </c>
      <c r="H724" s="16">
        <f>IFERROR(__xludf.DUMMYFUNCTION("""COMPUTED_VALUE"""),9360.0)</f>
        <v>9360</v>
      </c>
      <c r="I724" s="18">
        <f>IFERROR(__xludf.DUMMYFUNCTION("""COMPUTED_VALUE"""),16.0)</f>
        <v>16</v>
      </c>
      <c r="J724" s="18">
        <f>IFERROR(__xludf.DUMMYFUNCTION("""COMPUTED_VALUE"""),34.0)</f>
        <v>34</v>
      </c>
      <c r="K724" s="18">
        <f>IFERROR(__xludf.DUMMYFUNCTION("""COMPUTED_VALUE"""),25.0)</f>
        <v>25</v>
      </c>
      <c r="L724" s="17">
        <f>IFERROR(__xludf.DUMMYFUNCTION("""COMPUTED_VALUE"""),3.115760231E9)</f>
        <v>3115760231</v>
      </c>
      <c r="M724" s="17" t="str">
        <f>IFERROR(__xludf.DUMMYFUNCTION("""COMPUTED_VALUE"""),"#REF!")</f>
        <v>#REF!</v>
      </c>
      <c r="N724" s="17"/>
      <c r="O724" s="19" t="str">
        <f>IFERROR(__xludf.DUMMYFUNCTION("""COMPUTED_VALUE"""),"")</f>
        <v/>
      </c>
      <c r="P724" s="17" t="b">
        <f>IFERROR(__xludf.DUMMYFUNCTION("""COMPUTED_VALUE"""),TRUE)</f>
        <v>1</v>
      </c>
      <c r="Q724" s="20">
        <f>IFERROR(__xludf.DUMMYFUNCTION("""COMPUTED_VALUE"""),45020.60643230324)</f>
        <v>45020.60643</v>
      </c>
      <c r="R724" s="22" t="str">
        <f>IFERROR(__xludf.DUMMYFUNCTION("""COMPUTED_VALUE"""),"")</f>
        <v/>
      </c>
    </row>
    <row r="725">
      <c r="A725" s="15">
        <f>IFERROR(__xludf.DUMMYFUNCTION("""COMPUTED_VALUE"""),45020.0)</f>
        <v>45020</v>
      </c>
      <c r="B725" s="16" t="str">
        <f>IFERROR(__xludf.DUMMYFUNCTION("""COMPUTED_VALUE"""),"Deivi Alejandro Quintero Corrales")</f>
        <v>Deivi Alejandro Quintero Corrales</v>
      </c>
      <c r="C725" s="15" t="str">
        <f>IFERROR(__xludf.DUMMYFUNCTION("""COMPUTED_VALUE"""),"PEREIRA")</f>
        <v>PEREIRA</v>
      </c>
      <c r="D725" s="15" t="str">
        <f>IFERROR(__xludf.DUMMYFUNCTION("""COMPUTED_VALUE"""),"BOGOTÁ")</f>
        <v>BOGOTÁ</v>
      </c>
      <c r="E725" s="15" t="str">
        <f>IFERROR(__xludf.DUMMYFUNCTION("""COMPUTED_VALUE"""),"Evamazzita")</f>
        <v>Evamazzita</v>
      </c>
      <c r="F725" s="17" t="str">
        <f>IFERROR(__xludf.DUMMYFUNCTION("""COMPUTED_VALUE"""),"CALLE 153 # 23 - 41  / SOL DE GALICIA MZ 1 CASA 9 / GALICIA")</f>
        <v>CALLE 153 # 23 - 41  / SOL DE GALICIA MZ 1 CASA 9 / GALICIA</v>
      </c>
      <c r="G725" s="15" t="str">
        <f>IFERROR(__xludf.DUMMYFUNCTION("""COMPUTED_VALUE"""),"PAULA FORERO")</f>
        <v>PAULA FORERO</v>
      </c>
      <c r="H725" s="16">
        <f>IFERROR(__xludf.DUMMYFUNCTION("""COMPUTED_VALUE"""),9384.0)</f>
        <v>9384</v>
      </c>
      <c r="I725" s="18">
        <f>IFERROR(__xludf.DUMMYFUNCTION("""COMPUTED_VALUE"""),14.0)</f>
        <v>14</v>
      </c>
      <c r="J725" s="18">
        <f>IFERROR(__xludf.DUMMYFUNCTION("""COMPUTED_VALUE"""),17.0)</f>
        <v>17</v>
      </c>
      <c r="K725" s="18">
        <f>IFERROR(__xludf.DUMMYFUNCTION("""COMPUTED_VALUE"""),22.0)</f>
        <v>22</v>
      </c>
      <c r="L725" s="17">
        <f>IFERROR(__xludf.DUMMYFUNCTION("""COMPUTED_VALUE"""),3.115760231E9)</f>
        <v>3115760231</v>
      </c>
      <c r="M725" s="17" t="str">
        <f>IFERROR(__xludf.DUMMYFUNCTION("""COMPUTED_VALUE"""),"#REF!")</f>
        <v>#REF!</v>
      </c>
      <c r="N725" s="17"/>
      <c r="O725" s="19" t="str">
        <f>IFERROR(__xludf.DUMMYFUNCTION("""COMPUTED_VALUE"""),"")</f>
        <v/>
      </c>
      <c r="P725" s="17" t="b">
        <f>IFERROR(__xludf.DUMMYFUNCTION("""COMPUTED_VALUE"""),TRUE)</f>
        <v>1</v>
      </c>
      <c r="Q725" s="20">
        <f>IFERROR(__xludf.DUMMYFUNCTION("""COMPUTED_VALUE"""),45020.61575521991)</f>
        <v>45020.61576</v>
      </c>
      <c r="R725" s="22" t="str">
        <f>IFERROR(__xludf.DUMMYFUNCTION("""COMPUTED_VALUE"""),"")</f>
        <v/>
      </c>
    </row>
    <row r="726">
      <c r="A726" s="15">
        <f>IFERROR(__xludf.DUMMYFUNCTION("""COMPUTED_VALUE"""),45020.0)</f>
        <v>45020</v>
      </c>
      <c r="B726" s="16" t="str">
        <f>IFERROR(__xludf.DUMMYFUNCTION("""COMPUTED_VALUE"""),"Deivi Alejandro Quintero Corrales")</f>
        <v>Deivi Alejandro Quintero Corrales</v>
      </c>
      <c r="C726" s="15" t="str">
        <f>IFERROR(__xludf.DUMMYFUNCTION("""COMPUTED_VALUE"""),"PEREIRA")</f>
        <v>PEREIRA</v>
      </c>
      <c r="D726" s="15" t="str">
        <f>IFERROR(__xludf.DUMMYFUNCTION("""COMPUTED_VALUE"""),"BOGOTÁ")</f>
        <v>BOGOTÁ</v>
      </c>
      <c r="E726" s="15" t="str">
        <f>IFERROR(__xludf.DUMMYFUNCTION("""COMPUTED_VALUE"""),"Pan de Waffle")</f>
        <v>Pan de Waffle</v>
      </c>
      <c r="F726" s="17" t="str">
        <f>IFERROR(__xludf.DUMMYFUNCTION("""COMPUTED_VALUE"""),"Calle 14 # 14 - 15 San José sur circunvalar / Calle 14 # 14 - 15 San José sur circunvalar / Calle 14 # 14 - 15 San José sur circunvalar")</f>
        <v>Calle 14 # 14 - 15 San José sur circunvalar / Calle 14 # 14 - 15 San José sur circunvalar / Calle 14 # 14 - 15 San José sur circunvalar</v>
      </c>
      <c r="G726" s="15" t="str">
        <f>IFERROR(__xludf.DUMMYFUNCTION("""COMPUTED_VALUE"""),"MAJANA")</f>
        <v>MAJANA</v>
      </c>
      <c r="H726" s="16">
        <f>IFERROR(__xludf.DUMMYFUNCTION("""COMPUTED_VALUE"""),9469.0)</f>
        <v>9469</v>
      </c>
      <c r="I726" s="18">
        <f>IFERROR(__xludf.DUMMYFUNCTION("""COMPUTED_VALUE"""),30.0)</f>
        <v>30</v>
      </c>
      <c r="J726" s="18">
        <f>IFERROR(__xludf.DUMMYFUNCTION("""COMPUTED_VALUE"""),30.0)</f>
        <v>30</v>
      </c>
      <c r="K726" s="18">
        <f>IFERROR(__xludf.DUMMYFUNCTION("""COMPUTED_VALUE"""),40.0)</f>
        <v>40</v>
      </c>
      <c r="L726" s="17">
        <f>IFERROR(__xludf.DUMMYFUNCTION("""COMPUTED_VALUE"""),3.148112262E9)</f>
        <v>3148112262</v>
      </c>
      <c r="M726" s="17" t="str">
        <f>IFERROR(__xludf.DUMMYFUNCTION("""COMPUTED_VALUE"""),"#REF!")</f>
        <v>#REF!</v>
      </c>
      <c r="N726" s="17"/>
      <c r="O726" s="19" t="str">
        <f>IFERROR(__xludf.DUMMYFUNCTION("""COMPUTED_VALUE"""),"")</f>
        <v/>
      </c>
      <c r="P726" s="17" t="b">
        <f>IFERROR(__xludf.DUMMYFUNCTION("""COMPUTED_VALUE"""),TRUE)</f>
        <v>1</v>
      </c>
      <c r="Q726" s="20">
        <f>IFERROR(__xludf.DUMMYFUNCTION("""COMPUTED_VALUE"""),45020.60643230324)</f>
        <v>45020.60643</v>
      </c>
      <c r="R726" s="22" t="str">
        <f>IFERROR(__xludf.DUMMYFUNCTION("""COMPUTED_VALUE"""),"")</f>
        <v/>
      </c>
    </row>
    <row r="727">
      <c r="A727" s="15">
        <f>IFERROR(__xludf.DUMMYFUNCTION("""COMPUTED_VALUE"""),45020.0)</f>
        <v>45020</v>
      </c>
      <c r="B727" s="16" t="str">
        <f>IFERROR(__xludf.DUMMYFUNCTION("""COMPUTED_VALUE"""),"Deivi Alejandro Quintero Corrales")</f>
        <v>Deivi Alejandro Quintero Corrales</v>
      </c>
      <c r="C727" s="15" t="str">
        <f>IFERROR(__xludf.DUMMYFUNCTION("""COMPUTED_VALUE"""),"PEREIRA")</f>
        <v>PEREIRA</v>
      </c>
      <c r="D727" s="15" t="str">
        <f>IFERROR(__xludf.DUMMYFUNCTION("""COMPUTED_VALUE"""),"BOGOTÁ")</f>
        <v>BOGOTÁ</v>
      </c>
      <c r="E727" s="15" t="str">
        <f>IFERROR(__xludf.DUMMYFUNCTION("""COMPUTED_VALUE"""),"Pan de Waffle")</f>
        <v>Pan de Waffle</v>
      </c>
      <c r="F727" s="17" t="str">
        <f>IFERROR(__xludf.DUMMYFUNCTION("""COMPUTED_VALUE"""),"Calle 35 # 11 - 41 Local 43 Conjunto Las Garzas / Calle 35 # 11 - 41 Local 43 Conjunto Las Garzas / Calle 35 # 11 - 41 Local 43 Conjunto Las Garzas")</f>
        <v>Calle 35 # 11 - 41 Local 43 Conjunto Las Garzas / Calle 35 # 11 - 41 Local 43 Conjunto Las Garzas / Calle 35 # 11 - 41 Local 43 Conjunto Las Garzas</v>
      </c>
      <c r="G727" s="15" t="str">
        <f>IFERROR(__xludf.DUMMYFUNCTION("""COMPUTED_VALUE"""),"NATURALE CARNICOS Y SALSAMENTARIA")</f>
        <v>NATURALE CARNICOS Y SALSAMENTARIA</v>
      </c>
      <c r="H727" s="16">
        <f>IFERROR(__xludf.DUMMYFUNCTION("""COMPUTED_VALUE"""),9468.0)</f>
        <v>9468</v>
      </c>
      <c r="I727" s="18">
        <f>IFERROR(__xludf.DUMMYFUNCTION("""COMPUTED_VALUE"""),40.0)</f>
        <v>40</v>
      </c>
      <c r="J727" s="18">
        <f>IFERROR(__xludf.DUMMYFUNCTION("""COMPUTED_VALUE"""),20.0)</f>
        <v>20</v>
      </c>
      <c r="K727" s="18">
        <f>IFERROR(__xludf.DUMMYFUNCTION("""COMPUTED_VALUE"""),40.0)</f>
        <v>40</v>
      </c>
      <c r="L727" s="17">
        <f>IFERROR(__xludf.DUMMYFUNCTION("""COMPUTED_VALUE"""),3.136850381E9)</f>
        <v>3136850381</v>
      </c>
      <c r="M727" s="17" t="str">
        <f>IFERROR(__xludf.DUMMYFUNCTION("""COMPUTED_VALUE"""),"#REF!")</f>
        <v>#REF!</v>
      </c>
      <c r="N727" s="17"/>
      <c r="O727" s="19" t="str">
        <f>IFERROR(__xludf.DUMMYFUNCTION("""COMPUTED_VALUE"""),"")</f>
        <v/>
      </c>
      <c r="P727" s="17" t="b">
        <f>IFERROR(__xludf.DUMMYFUNCTION("""COMPUTED_VALUE"""),TRUE)</f>
        <v>1</v>
      </c>
      <c r="Q727" s="20">
        <f>IFERROR(__xludf.DUMMYFUNCTION("""COMPUTED_VALUE"""),45020.60643230324)</f>
        <v>45020.60643</v>
      </c>
      <c r="R727" s="22" t="str">
        <f>IFERROR(__xludf.DUMMYFUNCTION("""COMPUTED_VALUE"""),"")</f>
        <v/>
      </c>
    </row>
    <row r="728">
      <c r="A728" s="15">
        <f>IFERROR(__xludf.DUMMYFUNCTION("""COMPUTED_VALUE"""),45020.0)</f>
        <v>45020</v>
      </c>
      <c r="B728" s="16" t="str">
        <f>IFERROR(__xludf.DUMMYFUNCTION("""COMPUTED_VALUE"""),"Deivi Alejandro Quintero Corrales")</f>
        <v>Deivi Alejandro Quintero Corrales</v>
      </c>
      <c r="C728" s="15" t="str">
        <f>IFERROR(__xludf.DUMMYFUNCTION("""COMPUTED_VALUE"""),"SANTA MARTA")</f>
        <v>SANTA MARTA</v>
      </c>
      <c r="D728" s="15" t="str">
        <f>IFERROR(__xludf.DUMMYFUNCTION("""COMPUTED_VALUE"""),"BOGOTÁ")</f>
        <v>BOGOTÁ</v>
      </c>
      <c r="E728" s="15" t="str">
        <f>IFERROR(__xludf.DUMMYFUNCTION("""COMPUTED_VALUE"""),"Ins. Alimento Vital")</f>
        <v>Ins. Alimento Vital</v>
      </c>
      <c r="F728" s="17" t="str">
        <f>IFERROR(__xludf.DUMMYFUNCTION("""COMPUTED_VALUE"""),"CR 1 B 26 A 109 / EDIFICIO ALMIRANTE APTO 501 / EDIFICIO ALMIRANTE")</f>
        <v>CR 1 B 26 A 109 / EDIFICIO ALMIRANTE APTO 501 / EDIFICIO ALMIRANTE</v>
      </c>
      <c r="G728" s="15" t="str">
        <f>IFERROR(__xludf.DUMMYFUNCTION("""COMPUTED_VALUE"""),"VERONICA GOMEZ DE SUBIRIA")</f>
        <v>VERONICA GOMEZ DE SUBIRIA</v>
      </c>
      <c r="H728" s="16">
        <f>IFERROR(__xludf.DUMMYFUNCTION("""COMPUTED_VALUE"""),9381.0)</f>
        <v>9381</v>
      </c>
      <c r="I728" s="18">
        <f>IFERROR(__xludf.DUMMYFUNCTION("""COMPUTED_VALUE"""),21.0)</f>
        <v>21</v>
      </c>
      <c r="J728" s="18">
        <f>IFERROR(__xludf.DUMMYFUNCTION("""COMPUTED_VALUE"""),50.0)</f>
        <v>50</v>
      </c>
      <c r="K728" s="18">
        <f>IFERROR(__xludf.DUMMYFUNCTION("""COMPUTED_VALUE"""),30.0)</f>
        <v>30</v>
      </c>
      <c r="L728" s="17">
        <f>IFERROR(__xludf.DUMMYFUNCTION("""COMPUTED_VALUE"""),3.107893555E9)</f>
        <v>3107893555</v>
      </c>
      <c r="M728" s="17" t="str">
        <f>IFERROR(__xludf.DUMMYFUNCTION("""COMPUTED_VALUE"""),"#REF!")</f>
        <v>#REF!</v>
      </c>
      <c r="N728" s="17"/>
      <c r="O728" s="19" t="str">
        <f>IFERROR(__xludf.DUMMYFUNCTION("""COMPUTED_VALUE"""),"")</f>
        <v/>
      </c>
      <c r="P728" s="17" t="b">
        <f>IFERROR(__xludf.DUMMYFUNCTION("""COMPUTED_VALUE"""),TRUE)</f>
        <v>1</v>
      </c>
      <c r="Q728" s="20">
        <f>IFERROR(__xludf.DUMMYFUNCTION("""COMPUTED_VALUE"""),45020.60643230324)</f>
        <v>45020.60643</v>
      </c>
      <c r="R728" s="22" t="str">
        <f>IFERROR(__xludf.DUMMYFUNCTION("""COMPUTED_VALUE"""),"")</f>
        <v/>
      </c>
    </row>
    <row r="729">
      <c r="A729" s="15">
        <f>IFERROR(__xludf.DUMMYFUNCTION("""COMPUTED_VALUE"""),45020.0)</f>
        <v>45020</v>
      </c>
      <c r="B729" s="16" t="str">
        <f>IFERROR(__xludf.DUMMYFUNCTION("""COMPUTED_VALUE"""),"Deivi Alejandro Quintero Corrales")</f>
        <v>Deivi Alejandro Quintero Corrales</v>
      </c>
      <c r="C729" s="15" t="str">
        <f>IFERROR(__xludf.DUMMYFUNCTION("""COMPUTED_VALUE"""),"SANTA MARTA")</f>
        <v>SANTA MARTA</v>
      </c>
      <c r="D729" s="15" t="str">
        <f>IFERROR(__xludf.DUMMYFUNCTION("""COMPUTED_VALUE"""),"MEDELLÍN")</f>
        <v>MEDELLÍN</v>
      </c>
      <c r="E729" s="15" t="str">
        <f>IFERROR(__xludf.DUMMYFUNCTION("""COMPUTED_VALUE"""),"Baby Chef")</f>
        <v>Baby Chef</v>
      </c>
      <c r="F729" s="17" t="str">
        <f>IFERROR(__xludf.DUMMYFUNCTION("""COMPUTED_VALUE"""),"CONJUNTO PARQUES DE BOLIVAR ETAPA 1 TORRE 17 APTO 101 BARRIO EL CISNE / CONJUNTO PARQUES DE BOLIVAR ETAPA 1 TORRE 17 APTO 101 BARRIO EL CISNE / CONJUNTO PARQUES DE BOLIVAR ETAPA 1 TORRE 17 APTO 101 BARRIO EL CISNE")</f>
        <v>CONJUNTO PARQUES DE BOLIVAR ETAPA 1 TORRE 17 APTO 101 BARRIO EL CISNE / CONJUNTO PARQUES DE BOLIVAR ETAPA 1 TORRE 17 APTO 101 BARRIO EL CISNE / CONJUNTO PARQUES DE BOLIVAR ETAPA 1 TORRE 17 APTO 101 BARRIO EL CISNE</v>
      </c>
      <c r="G729" s="15" t="str">
        <f>IFERROR(__xludf.DUMMYFUNCTION("""COMPUTED_VALUE"""),"YANNERIS GUERRERO")</f>
        <v>YANNERIS GUERRERO</v>
      </c>
      <c r="H729" s="16">
        <f>IFERROR(__xludf.DUMMYFUNCTION("""COMPUTED_VALUE"""),9447.0)</f>
        <v>9447</v>
      </c>
      <c r="I729" s="18">
        <f>IFERROR(__xludf.DUMMYFUNCTION("""COMPUTED_VALUE"""),8.0)</f>
        <v>8</v>
      </c>
      <c r="J729" s="18">
        <f>IFERROR(__xludf.DUMMYFUNCTION("""COMPUTED_VALUE"""),16.0)</f>
        <v>16</v>
      </c>
      <c r="K729" s="18">
        <f>IFERROR(__xludf.DUMMYFUNCTION("""COMPUTED_VALUE"""),20.0)</f>
        <v>20</v>
      </c>
      <c r="L729" s="17">
        <f>IFERROR(__xludf.DUMMYFUNCTION("""COMPUTED_VALUE"""),3.045465901E9)</f>
        <v>3045465901</v>
      </c>
      <c r="M729" s="17" t="str">
        <f>IFERROR(__xludf.DUMMYFUNCTION("""COMPUTED_VALUE"""),"#REF!")</f>
        <v>#REF!</v>
      </c>
      <c r="N729" s="17"/>
      <c r="O729" s="19" t="str">
        <f>IFERROR(__xludf.DUMMYFUNCTION("""COMPUTED_VALUE"""),"")</f>
        <v/>
      </c>
      <c r="P729" s="17" t="b">
        <f>IFERROR(__xludf.DUMMYFUNCTION("""COMPUTED_VALUE"""),TRUE)</f>
        <v>1</v>
      </c>
      <c r="Q729" s="20">
        <f>IFERROR(__xludf.DUMMYFUNCTION("""COMPUTED_VALUE"""),45020.61582957176)</f>
        <v>45020.61583</v>
      </c>
      <c r="R729" s="22" t="str">
        <f>IFERROR(__xludf.DUMMYFUNCTION("""COMPUTED_VALUE"""),"")</f>
        <v/>
      </c>
    </row>
    <row r="730">
      <c r="A730" s="15">
        <f>IFERROR(__xludf.DUMMYFUNCTION("""COMPUTED_VALUE"""),45020.0)</f>
        <v>45020</v>
      </c>
      <c r="B730" s="16" t="str">
        <f>IFERROR(__xludf.DUMMYFUNCTION("""COMPUTED_VALUE"""),"Deivi Alejandro Quintero Corrales")</f>
        <v>Deivi Alejandro Quintero Corrales</v>
      </c>
      <c r="C730" s="15" t="str">
        <f>IFERROR(__xludf.DUMMYFUNCTION("""COMPUTED_VALUE"""),"SANTA MARTA")</f>
        <v>SANTA MARTA</v>
      </c>
      <c r="D730" s="15" t="str">
        <f>IFERROR(__xludf.DUMMYFUNCTION("""COMPUTED_VALUE"""),"MEDELLÍN")</f>
        <v>MEDELLÍN</v>
      </c>
      <c r="E730" s="15" t="str">
        <f>IFERROR(__xludf.DUMMYFUNCTION("""COMPUTED_VALUE"""),"Rambla")</f>
        <v>Rambla</v>
      </c>
      <c r="F730" s="17" t="str">
        <f>IFERROR(__xludf.DUMMYFUNCTION("""COMPUTED_VALUE"""),"CR 4 26 40 CC PRADO PLAZA LC 117 / na / na")</f>
        <v>CR 4 26 40 CC PRADO PLAZA LC 117 / na / na</v>
      </c>
      <c r="G730" s="15" t="str">
        <f>IFERROR(__xludf.DUMMYFUNCTION("""COMPUTED_VALUE"""),"Hecho en casa")</f>
        <v>Hecho en casa</v>
      </c>
      <c r="H730" s="16">
        <f>IFERROR(__xludf.DUMMYFUNCTION("""COMPUTED_VALUE"""),9439.0)</f>
        <v>9439</v>
      </c>
      <c r="I730" s="18">
        <f>IFERROR(__xludf.DUMMYFUNCTION("""COMPUTED_VALUE"""),21.0)</f>
        <v>21</v>
      </c>
      <c r="J730" s="18">
        <f>IFERROR(__xludf.DUMMYFUNCTION("""COMPUTED_VALUE"""),25.0)</f>
        <v>25</v>
      </c>
      <c r="K730" s="18">
        <f>IFERROR(__xludf.DUMMYFUNCTION("""COMPUTED_VALUE"""),28.0)</f>
        <v>28</v>
      </c>
      <c r="L730" s="17">
        <f>IFERROR(__xludf.DUMMYFUNCTION("""COMPUTED_VALUE"""),3.106119626E9)</f>
        <v>3106119626</v>
      </c>
      <c r="M730" s="17" t="str">
        <f>IFERROR(__xludf.DUMMYFUNCTION("""COMPUTED_VALUE"""),"#REF!")</f>
        <v>#REF!</v>
      </c>
      <c r="N730" s="17"/>
      <c r="O730" s="19" t="str">
        <f>IFERROR(__xludf.DUMMYFUNCTION("""COMPUTED_VALUE"""),"")</f>
        <v/>
      </c>
      <c r="P730" s="17" t="b">
        <f>IFERROR(__xludf.DUMMYFUNCTION("""COMPUTED_VALUE"""),TRUE)</f>
        <v>1</v>
      </c>
      <c r="Q730" s="20">
        <f>IFERROR(__xludf.DUMMYFUNCTION("""COMPUTED_VALUE"""),45020.61617125)</f>
        <v>45020.61617</v>
      </c>
      <c r="R730" s="22" t="str">
        <f>IFERROR(__xludf.DUMMYFUNCTION("""COMPUTED_VALUE"""),"")</f>
        <v/>
      </c>
    </row>
    <row r="731">
      <c r="A731" s="15">
        <f>IFERROR(__xludf.DUMMYFUNCTION("""COMPUTED_VALUE"""),45020.0)</f>
        <v>45020</v>
      </c>
      <c r="B731" s="16" t="str">
        <f>IFERROR(__xludf.DUMMYFUNCTION("""COMPUTED_VALUE"""),"Deivi Alejandro Quintero Corrales")</f>
        <v>Deivi Alejandro Quintero Corrales</v>
      </c>
      <c r="C731" s="15" t="str">
        <f>IFERROR(__xludf.DUMMYFUNCTION("""COMPUTED_VALUE"""),"VILLAVICENCIO")</f>
        <v>VILLAVICENCIO</v>
      </c>
      <c r="D731" s="15" t="str">
        <f>IFERROR(__xludf.DUMMYFUNCTION("""COMPUTED_VALUE"""),"MEDELLÍN")</f>
        <v>MEDELLÍN</v>
      </c>
      <c r="E731" s="15" t="str">
        <f>IFERROR(__xludf.DUMMYFUNCTION("""COMPUTED_VALUE"""),"Baby Chef")</f>
        <v>Baby Chef</v>
      </c>
      <c r="F731" s="17" t="str">
        <f>IFERROR(__xludf.DUMMYFUNCTION("""COMPUTED_VALUE"""),"calle 35 C 20 51 Jordan paraiso casa blanca villavicencio / calle 35 C 20 51 Jordan paraiso casa blanca villavicencio / calle 35 C 20 51 Jordan paraiso casa blanca villavicencio")</f>
        <v>calle 35 C 20 51 Jordan paraiso casa blanca villavicencio / calle 35 C 20 51 Jordan paraiso casa blanca villavicencio / calle 35 C 20 51 Jordan paraiso casa blanca villavicencio</v>
      </c>
      <c r="G731" s="15" t="str">
        <f>IFERROR(__xludf.DUMMYFUNCTION("""COMPUTED_VALUE"""),"lizeth gomez guevara")</f>
        <v>lizeth gomez guevara</v>
      </c>
      <c r="H731" s="16">
        <f>IFERROR(__xludf.DUMMYFUNCTION("""COMPUTED_VALUE"""),9433.0)</f>
        <v>9433</v>
      </c>
      <c r="I731" s="18">
        <f>IFERROR(__xludf.DUMMYFUNCTION("""COMPUTED_VALUE"""),8.0)</f>
        <v>8</v>
      </c>
      <c r="J731" s="18">
        <f>IFERROR(__xludf.DUMMYFUNCTION("""COMPUTED_VALUE"""),16.0)</f>
        <v>16</v>
      </c>
      <c r="K731" s="18">
        <f>IFERROR(__xludf.DUMMYFUNCTION("""COMPUTED_VALUE"""),20.0)</f>
        <v>20</v>
      </c>
      <c r="L731" s="17">
        <f>IFERROR(__xludf.DUMMYFUNCTION("""COMPUTED_VALUE"""),3.155536551E9)</f>
        <v>3155536551</v>
      </c>
      <c r="M731" s="17" t="str">
        <f>IFERROR(__xludf.DUMMYFUNCTION("""COMPUTED_VALUE"""),"#REF!")</f>
        <v>#REF!</v>
      </c>
      <c r="N731" s="17"/>
      <c r="O731" s="19" t="str">
        <f>IFERROR(__xludf.DUMMYFUNCTION("""COMPUTED_VALUE"""),"")</f>
        <v/>
      </c>
      <c r="P731" s="17" t="b">
        <f>IFERROR(__xludf.DUMMYFUNCTION("""COMPUTED_VALUE"""),TRUE)</f>
        <v>1</v>
      </c>
      <c r="Q731" s="20">
        <f>IFERROR(__xludf.DUMMYFUNCTION("""COMPUTED_VALUE"""),45020.60643230324)</f>
        <v>45020.60643</v>
      </c>
      <c r="R731" s="22" t="str">
        <f>IFERROR(__xludf.DUMMYFUNCTION("""COMPUTED_VALUE"""),"")</f>
        <v/>
      </c>
    </row>
    <row r="732">
      <c r="A732" s="17" t="str">
        <f>IFERROR(__xludf.DUMMYFUNCTION("""COMPUTED_VALUE"""),"")</f>
        <v/>
      </c>
      <c r="B732" s="17" t="str">
        <f>IFERROR(__xludf.DUMMYFUNCTION("""COMPUTED_VALUE"""),"")</f>
        <v/>
      </c>
      <c r="C732" s="17" t="str">
        <f>IFERROR(__xludf.DUMMYFUNCTION("""COMPUTED_VALUE"""),"")</f>
        <v/>
      </c>
      <c r="D732" s="17" t="str">
        <f>IFERROR(__xludf.DUMMYFUNCTION("""COMPUTED_VALUE"""),"")</f>
        <v/>
      </c>
      <c r="E732" s="17" t="str">
        <f>IFERROR(__xludf.DUMMYFUNCTION("""COMPUTED_VALUE"""),"")</f>
        <v/>
      </c>
      <c r="F732" s="17" t="str">
        <f>IFERROR(__xludf.DUMMYFUNCTION("""COMPUTED_VALUE"""),"")</f>
        <v/>
      </c>
      <c r="G732" s="17" t="str">
        <f>IFERROR(__xludf.DUMMYFUNCTION("""COMPUTED_VALUE"""),"")</f>
        <v/>
      </c>
      <c r="H732" s="17" t="str">
        <f>IFERROR(__xludf.DUMMYFUNCTION("""COMPUTED_VALUE"""),"")</f>
        <v/>
      </c>
      <c r="I732" s="17" t="str">
        <f>IFERROR(__xludf.DUMMYFUNCTION("""COMPUTED_VALUE"""),"")</f>
        <v/>
      </c>
      <c r="J732" s="17" t="str">
        <f>IFERROR(__xludf.DUMMYFUNCTION("""COMPUTED_VALUE"""),"")</f>
        <v/>
      </c>
      <c r="K732" s="17" t="str">
        <f>IFERROR(__xludf.DUMMYFUNCTION("""COMPUTED_VALUE"""),"")</f>
        <v/>
      </c>
      <c r="L732" s="17" t="str">
        <f>IFERROR(__xludf.DUMMYFUNCTION("""COMPUTED_VALUE"""),"")</f>
        <v/>
      </c>
      <c r="M732" s="17" t="str">
        <f>IFERROR(__xludf.DUMMYFUNCTION("""COMPUTED_VALUE"""),"")</f>
        <v/>
      </c>
      <c r="N732" s="17" t="str">
        <f>IFERROR(__xludf.DUMMYFUNCTION("""COMPUTED_VALUE"""),"")</f>
        <v/>
      </c>
      <c r="O732" s="17" t="str">
        <f>IFERROR(__xludf.DUMMYFUNCTION("""COMPUTED_VALUE"""),"")</f>
        <v/>
      </c>
      <c r="P732" s="17" t="str">
        <f>IFERROR(__xludf.DUMMYFUNCTION("""COMPUTED_VALUE"""),"")</f>
        <v/>
      </c>
      <c r="Q732" s="17" t="str">
        <f>IFERROR(__xludf.DUMMYFUNCTION("""COMPUTED_VALUE"""),"")</f>
        <v/>
      </c>
      <c r="R732" s="17" t="str">
        <f>IFERROR(__xludf.DUMMYFUNCTION("""COMPUTED_VALUE"""),"")</f>
        <v/>
      </c>
    </row>
    <row r="733">
      <c r="A733" s="15">
        <f>IFERROR(__xludf.DUMMYFUNCTION("""COMPUTED_VALUE"""),45020.0)</f>
        <v>45020</v>
      </c>
      <c r="B733" s="16" t="str">
        <f>IFERROR(__xludf.DUMMYFUNCTION("""COMPUTED_VALUE"""),"Duvan Gabriel Alvarez Giron")</f>
        <v>Duvan Gabriel Alvarez Giron</v>
      </c>
      <c r="C733" s="15" t="str">
        <f>IFERROR(__xludf.DUMMYFUNCTION("""COMPUTED_VALUE"""),"FLORIDABLANCA")</f>
        <v>FLORIDABLANCA</v>
      </c>
      <c r="D733" s="15" t="str">
        <f>IFERROR(__xludf.DUMMYFUNCTION("""COMPUTED_VALUE"""),"BOGOTÁ")</f>
        <v>BOGOTÁ</v>
      </c>
      <c r="E733" s="15" t="str">
        <f>IFERROR(__xludf.DUMMYFUNCTION("""COMPUTED_VALUE"""),"Top Spun")</f>
        <v>Top Spun</v>
      </c>
      <c r="F733" s="17" t="str">
        <f>IFERROR(__xludf.DUMMYFUNCTION("""COMPUTED_VALUE"""),"Cra24#35-200 / Conjunto Villa Cañaveral Casa 6c / Florida blanca")</f>
        <v>Cra24#35-200 / Conjunto Villa Cañaveral Casa 6c / Florida blanca</v>
      </c>
      <c r="G733" s="15" t="str">
        <f>IFERROR(__xludf.DUMMYFUNCTION("""COMPUTED_VALUE"""),"VIVíAN ALARCóN")</f>
        <v>VIVíAN ALARCóN</v>
      </c>
      <c r="H733" s="16">
        <f>IFERROR(__xludf.DUMMYFUNCTION("""COMPUTED_VALUE"""),9370.0)</f>
        <v>9370</v>
      </c>
      <c r="I733" s="18">
        <f>IFERROR(__xludf.DUMMYFUNCTION("""COMPUTED_VALUE"""),20.0)</f>
        <v>20</v>
      </c>
      <c r="J733" s="18">
        <f>IFERROR(__xludf.DUMMYFUNCTION("""COMPUTED_VALUE"""),10.0)</f>
        <v>10</v>
      </c>
      <c r="K733" s="18">
        <f>IFERROR(__xludf.DUMMYFUNCTION("""COMPUTED_VALUE"""),40.0)</f>
        <v>40</v>
      </c>
      <c r="L733" s="17">
        <f>IFERROR(__xludf.DUMMYFUNCTION("""COMPUTED_VALUE"""),3.0125845E9)</f>
        <v>3012584500</v>
      </c>
      <c r="M733" s="17" t="str">
        <f>IFERROR(__xludf.DUMMYFUNCTION("""COMPUTED_VALUE"""),"#REF!")</f>
        <v>#REF!</v>
      </c>
      <c r="N733" s="17"/>
      <c r="O733" s="19" t="str">
        <f>IFERROR(__xludf.DUMMYFUNCTION("""COMPUTED_VALUE"""),"")</f>
        <v/>
      </c>
      <c r="P733" s="17" t="b">
        <f>IFERROR(__xludf.DUMMYFUNCTION("""COMPUTED_VALUE"""),TRUE)</f>
        <v>1</v>
      </c>
      <c r="Q733" s="20">
        <f>IFERROR(__xludf.DUMMYFUNCTION("""COMPUTED_VALUE"""),45020.60643230324)</f>
        <v>45020.60643</v>
      </c>
      <c r="R733" s="22" t="str">
        <f>IFERROR(__xludf.DUMMYFUNCTION("""COMPUTED_VALUE"""),"")</f>
        <v/>
      </c>
    </row>
    <row r="734">
      <c r="A734" s="15">
        <f>IFERROR(__xludf.DUMMYFUNCTION("""COMPUTED_VALUE"""),45020.0)</f>
        <v>45020</v>
      </c>
      <c r="B734" s="16" t="str">
        <f>IFERROR(__xludf.DUMMYFUNCTION("""COMPUTED_VALUE"""),"Duvan Gabriel Alvarez Giron")</f>
        <v>Duvan Gabriel Alvarez Giron</v>
      </c>
      <c r="C734" s="15" t="str">
        <f>IFERROR(__xludf.DUMMYFUNCTION("""COMPUTED_VALUE"""),"IBAGUÉ")</f>
        <v>IBAGUÉ</v>
      </c>
      <c r="D734" s="15" t="str">
        <f>IFERROR(__xludf.DUMMYFUNCTION("""COMPUTED_VALUE"""),"BOGOTÁ")</f>
        <v>BOGOTÁ</v>
      </c>
      <c r="E734" s="15" t="str">
        <f>IFERROR(__xludf.DUMMYFUNCTION("""COMPUTED_VALUE"""),"Frambascolombia sas")</f>
        <v>Frambascolombia sas</v>
      </c>
      <c r="F734" s="17" t="str">
        <f>IFERROR(__xludf.DUMMYFUNCTION("""COMPUTED_VALUE"""),"Cra 12 Sur No 93-134 / local 2")</f>
        <v>Cra 12 Sur No 93-134 / local 2</v>
      </c>
      <c r="G734" s="15" t="str">
        <f>IFERROR(__xludf.DUMMYFUNCTION("""COMPUTED_VALUE"""),"Siomara Arango")</f>
        <v>Siomara Arango</v>
      </c>
      <c r="H734" s="16">
        <f>IFERROR(__xludf.DUMMYFUNCTION("""COMPUTED_VALUE"""),9404.0)</f>
        <v>9404</v>
      </c>
      <c r="I734" s="18">
        <f>IFERROR(__xludf.DUMMYFUNCTION("""COMPUTED_VALUE"""),8.0)</f>
        <v>8</v>
      </c>
      <c r="J734" s="18">
        <f>IFERROR(__xludf.DUMMYFUNCTION("""COMPUTED_VALUE"""),44992.0)</f>
        <v>44992</v>
      </c>
      <c r="K734" s="18">
        <f>IFERROR(__xludf.DUMMYFUNCTION("""COMPUTED_VALUE"""),44992.0)</f>
        <v>44992</v>
      </c>
      <c r="L734" s="17">
        <f>IFERROR(__xludf.DUMMYFUNCTION("""COMPUTED_VALUE"""),3.214661284E9)</f>
        <v>3214661284</v>
      </c>
      <c r="M734" s="17" t="str">
        <f>IFERROR(__xludf.DUMMYFUNCTION("""COMPUTED_VALUE"""),"#REF!")</f>
        <v>#REF!</v>
      </c>
      <c r="N734" s="17"/>
      <c r="O734" s="19" t="str">
        <f>IFERROR(__xludf.DUMMYFUNCTION("""COMPUTED_VALUE"""),"")</f>
        <v/>
      </c>
      <c r="P734" s="17" t="b">
        <f>IFERROR(__xludf.DUMMYFUNCTION("""COMPUTED_VALUE"""),FALSE)</f>
        <v>0</v>
      </c>
      <c r="Q734" s="20" t="str">
        <f>IFERROR(__xludf.DUMMYFUNCTION("""COMPUTED_VALUE"""),"")</f>
        <v/>
      </c>
      <c r="R734" s="22" t="str">
        <f>IFERROR(__xludf.DUMMYFUNCTION("""COMPUTED_VALUE"""),"")</f>
        <v/>
      </c>
    </row>
    <row r="735">
      <c r="A735" s="15">
        <f>IFERROR(__xludf.DUMMYFUNCTION("""COMPUTED_VALUE"""),45020.0)</f>
        <v>45020</v>
      </c>
      <c r="B735" s="16" t="str">
        <f>IFERROR(__xludf.DUMMYFUNCTION("""COMPUTED_VALUE"""),"Duvan Gabriel Alvarez Giron")</f>
        <v>Duvan Gabriel Alvarez Giron</v>
      </c>
      <c r="C735" s="15" t="str">
        <f>IFERROR(__xludf.DUMMYFUNCTION("""COMPUTED_VALUE"""),"PIEDECUESTA")</f>
        <v>PIEDECUESTA</v>
      </c>
      <c r="D735" s="15" t="str">
        <f>IFERROR(__xludf.DUMMYFUNCTION("""COMPUTED_VALUE"""),"BOGOTÁ")</f>
        <v>BOGOTÁ</v>
      </c>
      <c r="E735" s="15" t="str">
        <f>IFERROR(__xludf.DUMMYFUNCTION("""COMPUTED_VALUE"""),"Ins. Alimento Vital")</f>
        <v>Ins. Alimento Vital</v>
      </c>
      <c r="F735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735" s="15" t="str">
        <f>IFERROR(__xludf.DUMMYFUNCTION("""COMPUTED_VALUE"""),"LORENA GRANADOS BARCO")</f>
        <v>LORENA GRANADOS BARCO</v>
      </c>
      <c r="H735" s="16">
        <f>IFERROR(__xludf.DUMMYFUNCTION("""COMPUTED_VALUE"""),9379.0)</f>
        <v>9379</v>
      </c>
      <c r="I735" s="18">
        <f>IFERROR(__xludf.DUMMYFUNCTION("""COMPUTED_VALUE"""),100.0)</f>
        <v>100</v>
      </c>
      <c r="J735" s="18">
        <f>IFERROR(__xludf.DUMMYFUNCTION("""COMPUTED_VALUE"""),10.0)</f>
        <v>10</v>
      </c>
      <c r="K735" s="18">
        <f>IFERROR(__xludf.DUMMYFUNCTION("""COMPUTED_VALUE"""),12.0)</f>
        <v>12</v>
      </c>
      <c r="L735" s="17">
        <f>IFERROR(__xludf.DUMMYFUNCTION("""COMPUTED_VALUE"""),3.003286319E9)</f>
        <v>3003286319</v>
      </c>
      <c r="M735" s="17" t="str">
        <f>IFERROR(__xludf.DUMMYFUNCTION("""COMPUTED_VALUE"""),"#REF!")</f>
        <v>#REF!</v>
      </c>
      <c r="N735" s="17"/>
      <c r="O735" s="19" t="str">
        <f>IFERROR(__xludf.DUMMYFUNCTION("""COMPUTED_VALUE"""),"")</f>
        <v/>
      </c>
      <c r="P735" s="17" t="b">
        <f>IFERROR(__xludf.DUMMYFUNCTION("""COMPUTED_VALUE"""),TRUE)</f>
        <v>1</v>
      </c>
      <c r="Q735" s="20">
        <f>IFERROR(__xludf.DUMMYFUNCTION("""COMPUTED_VALUE"""),45020.60643230324)</f>
        <v>45020.60643</v>
      </c>
      <c r="R735" s="22" t="str">
        <f>IFERROR(__xludf.DUMMYFUNCTION("""COMPUTED_VALUE"""),"")</f>
        <v/>
      </c>
    </row>
    <row r="736">
      <c r="A736" s="17" t="str">
        <f>IFERROR(__xludf.DUMMYFUNCTION("""COMPUTED_VALUE"""),"")</f>
        <v/>
      </c>
      <c r="B736" s="17" t="str">
        <f>IFERROR(__xludf.DUMMYFUNCTION("""COMPUTED_VALUE"""),"")</f>
        <v/>
      </c>
      <c r="C736" s="17" t="str">
        <f>IFERROR(__xludf.DUMMYFUNCTION("""COMPUTED_VALUE"""),"")</f>
        <v/>
      </c>
      <c r="D736" s="17" t="str">
        <f>IFERROR(__xludf.DUMMYFUNCTION("""COMPUTED_VALUE"""),"")</f>
        <v/>
      </c>
      <c r="E736" s="17" t="str">
        <f>IFERROR(__xludf.DUMMYFUNCTION("""COMPUTED_VALUE"""),"")</f>
        <v/>
      </c>
      <c r="F736" s="17" t="str">
        <f>IFERROR(__xludf.DUMMYFUNCTION("""COMPUTED_VALUE"""),"")</f>
        <v/>
      </c>
      <c r="G736" s="17" t="str">
        <f>IFERROR(__xludf.DUMMYFUNCTION("""COMPUTED_VALUE"""),"")</f>
        <v/>
      </c>
      <c r="H736" s="17" t="str">
        <f>IFERROR(__xludf.DUMMYFUNCTION("""COMPUTED_VALUE"""),"")</f>
        <v/>
      </c>
      <c r="I736" s="17" t="str">
        <f>IFERROR(__xludf.DUMMYFUNCTION("""COMPUTED_VALUE"""),"")</f>
        <v/>
      </c>
      <c r="J736" s="17" t="str">
        <f>IFERROR(__xludf.DUMMYFUNCTION("""COMPUTED_VALUE"""),"")</f>
        <v/>
      </c>
      <c r="K736" s="17" t="str">
        <f>IFERROR(__xludf.DUMMYFUNCTION("""COMPUTED_VALUE"""),"")</f>
        <v/>
      </c>
      <c r="L736" s="17" t="str">
        <f>IFERROR(__xludf.DUMMYFUNCTION("""COMPUTED_VALUE"""),"")</f>
        <v/>
      </c>
      <c r="M736" s="17" t="str">
        <f>IFERROR(__xludf.DUMMYFUNCTION("""COMPUTED_VALUE"""),"")</f>
        <v/>
      </c>
      <c r="N736" s="17" t="str">
        <f>IFERROR(__xludf.DUMMYFUNCTION("""COMPUTED_VALUE"""),"")</f>
        <v/>
      </c>
      <c r="O736" s="17" t="str">
        <f>IFERROR(__xludf.DUMMYFUNCTION("""COMPUTED_VALUE"""),"")</f>
        <v/>
      </c>
      <c r="P736" s="17" t="str">
        <f>IFERROR(__xludf.DUMMYFUNCTION("""COMPUTED_VALUE"""),"")</f>
        <v/>
      </c>
      <c r="Q736" s="17" t="str">
        <f>IFERROR(__xludf.DUMMYFUNCTION("""COMPUTED_VALUE"""),"")</f>
        <v/>
      </c>
      <c r="R736" s="17" t="str">
        <f>IFERROR(__xludf.DUMMYFUNCTION("""COMPUTED_VALUE"""),"")</f>
        <v/>
      </c>
    </row>
    <row r="737">
      <c r="A737" s="15">
        <f>IFERROR(__xludf.DUMMYFUNCTION("""COMPUTED_VALUE"""),45020.0)</f>
        <v>45020</v>
      </c>
      <c r="B737" s="16" t="str">
        <f>IFERROR(__xludf.DUMMYFUNCTION("""COMPUTED_VALUE"""),"Envia")</f>
        <v>Envia</v>
      </c>
      <c r="C737" s="15" t="str">
        <f>IFERROR(__xludf.DUMMYFUNCTION("""COMPUTED_VALUE"""),"BARRANQUILLA")</f>
        <v>BARRANQUILLA</v>
      </c>
      <c r="D737" s="15" t="str">
        <f>IFERROR(__xludf.DUMMYFUNCTION("""COMPUTED_VALUE"""),"BOGOTÁ")</f>
        <v>BOGOTÁ</v>
      </c>
      <c r="E737" s="15" t="str">
        <f>IFERROR(__xludf.DUMMYFUNCTION("""COMPUTED_VALUE"""),"Pan de Waffle")</f>
        <v>Pan de Waffle</v>
      </c>
      <c r="F737" s="17" t="str">
        <f>IFERROR(__xludf.DUMMYFUNCTION("""COMPUTED_VALUE"""),"Carrera 45 # 85 - 168 / Carrera 45 # 85 - 168 / Carrera 45 # 85 - 168")</f>
        <v>Carrera 45 # 85 - 168 / Carrera 45 # 85 - 168 / Carrera 45 # 85 - 168</v>
      </c>
      <c r="G737" s="15" t="str">
        <f>IFERROR(__xludf.DUMMYFUNCTION("""COMPUTED_VALUE"""),"FOODOLOGY BARRANQUILLA")</f>
        <v>FOODOLOGY BARRANQUILLA</v>
      </c>
      <c r="H737" s="16">
        <f>IFERROR(__xludf.DUMMYFUNCTION("""COMPUTED_VALUE"""),9466.0)</f>
        <v>9466</v>
      </c>
      <c r="I737" s="18">
        <f>IFERROR(__xludf.DUMMYFUNCTION("""COMPUTED_VALUE"""),40.0)</f>
        <v>40</v>
      </c>
      <c r="J737" s="18">
        <f>IFERROR(__xludf.DUMMYFUNCTION("""COMPUTED_VALUE"""),30.0)</f>
        <v>30</v>
      </c>
      <c r="K737" s="18">
        <f>IFERROR(__xludf.DUMMYFUNCTION("""COMPUTED_VALUE"""),40.0)</f>
        <v>40</v>
      </c>
      <c r="L737" s="17">
        <f>IFERROR(__xludf.DUMMYFUNCTION("""COMPUTED_VALUE"""),3.017001909E9)</f>
        <v>3017001909</v>
      </c>
      <c r="M737" s="17" t="str">
        <f>IFERROR(__xludf.DUMMYFUNCTION("""COMPUTED_VALUE"""),"#REF!")</f>
        <v>#REF!</v>
      </c>
      <c r="N737" s="17"/>
      <c r="O737" s="19" t="str">
        <f>IFERROR(__xludf.DUMMYFUNCTION("""COMPUTED_VALUE"""),"")</f>
        <v/>
      </c>
      <c r="P737" s="17" t="b">
        <f>IFERROR(__xludf.DUMMYFUNCTION("""COMPUTED_VALUE"""),TRUE)</f>
        <v>1</v>
      </c>
      <c r="Q737" s="20">
        <f>IFERROR(__xludf.DUMMYFUNCTION("""COMPUTED_VALUE"""),45020.732060787035)</f>
        <v>45020.73206</v>
      </c>
      <c r="R737" s="22" t="str">
        <f>IFERROR(__xludf.DUMMYFUNCTION("""COMPUTED_VALUE"""),"")</f>
        <v/>
      </c>
    </row>
    <row r="738">
      <c r="A738" s="15">
        <f>IFERROR(__xludf.DUMMYFUNCTION("""COMPUTED_VALUE"""),45020.0)</f>
        <v>45020</v>
      </c>
      <c r="B738" s="16" t="str">
        <f>IFERROR(__xludf.DUMMYFUNCTION("""COMPUTED_VALUE"""),"Envia")</f>
        <v>Envia</v>
      </c>
      <c r="C738" s="15" t="str">
        <f>IFERROR(__xludf.DUMMYFUNCTION("""COMPUTED_VALUE"""),"BARRANQUILLA")</f>
        <v>BARRANQUILLA</v>
      </c>
      <c r="D738" s="15" t="str">
        <f>IFERROR(__xludf.DUMMYFUNCTION("""COMPUTED_VALUE"""),"MEDELLÍN")</f>
        <v>MEDELLÍN</v>
      </c>
      <c r="E738" s="15" t="str">
        <f>IFERROR(__xludf.DUMMYFUNCTION("""COMPUTED_VALUE"""),"Baby Chef")</f>
        <v>Baby Chef</v>
      </c>
      <c r="F738" s="17" t="str">
        <f>IFERROR(__xludf.DUMMYFUNCTION("""COMPUTED_VALUE"""),"Frente Country Club Calle 76#54-54 Edificio Embajador 10a / Frente Country Club Calle 76#54-54 Edificio Embajador 10a / Frente Country Club Calle 76#54-54 Edificio Embajador 10a")</f>
        <v>Frente Country Club Calle 76#54-54 Edificio Embajador 10a / Frente Country Club Calle 76#54-54 Edificio Embajador 10a / Frente Country Club Calle 76#54-54 Edificio Embajador 10a</v>
      </c>
      <c r="G738" s="15" t="str">
        <f>IFERROR(__xludf.DUMMYFUNCTION("""COMPUTED_VALUE"""),"Monica Perez")</f>
        <v>Monica Perez</v>
      </c>
      <c r="H738" s="16">
        <f>IFERROR(__xludf.DUMMYFUNCTION("""COMPUTED_VALUE"""),9445.0)</f>
        <v>9445</v>
      </c>
      <c r="I738" s="18">
        <f>IFERROR(__xludf.DUMMYFUNCTION("""COMPUTED_VALUE"""),8.0)</f>
        <v>8</v>
      </c>
      <c r="J738" s="18">
        <f>IFERROR(__xludf.DUMMYFUNCTION("""COMPUTED_VALUE"""),16.0)</f>
        <v>16</v>
      </c>
      <c r="K738" s="18">
        <f>IFERROR(__xludf.DUMMYFUNCTION("""COMPUTED_VALUE"""),20.0)</f>
        <v>20</v>
      </c>
      <c r="L738" s="17">
        <f>IFERROR(__xludf.DUMMYFUNCTION("""COMPUTED_VALUE"""),3.226861517E9)</f>
        <v>3226861517</v>
      </c>
      <c r="M738" s="17" t="str">
        <f>IFERROR(__xludf.DUMMYFUNCTION("""COMPUTED_VALUE"""),"#REF!")</f>
        <v>#REF!</v>
      </c>
      <c r="N738" s="17"/>
      <c r="O738" s="19" t="str">
        <f>IFERROR(__xludf.DUMMYFUNCTION("""COMPUTED_VALUE"""),"")</f>
        <v/>
      </c>
      <c r="P738" s="17" t="b">
        <f>IFERROR(__xludf.DUMMYFUNCTION("""COMPUTED_VALUE"""),TRUE)</f>
        <v>1</v>
      </c>
      <c r="Q738" s="20">
        <f>IFERROR(__xludf.DUMMYFUNCTION("""COMPUTED_VALUE"""),45020.732073101855)</f>
        <v>45020.73207</v>
      </c>
      <c r="R738" s="22" t="str">
        <f>IFERROR(__xludf.DUMMYFUNCTION("""COMPUTED_VALUE"""),"")</f>
        <v/>
      </c>
    </row>
    <row r="739">
      <c r="A739" s="15">
        <f>IFERROR(__xludf.DUMMYFUNCTION("""COMPUTED_VALUE"""),45020.0)</f>
        <v>45020</v>
      </c>
      <c r="B739" s="16" t="str">
        <f>IFERROR(__xludf.DUMMYFUNCTION("""COMPUTED_VALUE"""),"Envia")</f>
        <v>Envia</v>
      </c>
      <c r="C739" s="15" t="str">
        <f>IFERROR(__xludf.DUMMYFUNCTION("""COMPUTED_VALUE"""),"BARRANQUILLA")</f>
        <v>BARRANQUILLA</v>
      </c>
      <c r="D739" s="15" t="str">
        <f>IFERROR(__xludf.DUMMYFUNCTION("""COMPUTED_VALUE"""),"MEDELLÍN")</f>
        <v>MEDELLÍN</v>
      </c>
      <c r="E739" s="15" t="str">
        <f>IFERROR(__xludf.DUMMYFUNCTION("""COMPUTED_VALUE"""),"Moloso S.A.S")</f>
        <v>Moloso S.A.S</v>
      </c>
      <c r="F739" s="17" t="str">
        <f>IFERROR(__xludf.DUMMYFUNCTION("""COMPUTED_VALUE"""),"CRA 65 99 109 / EDF. CENTRAL GARDEN APTO 521 TORRE 4")</f>
        <v>CRA 65 99 109 / EDF. CENTRAL GARDEN APTO 521 TORRE 4</v>
      </c>
      <c r="G739" s="15" t="str">
        <f>IFERROR(__xludf.DUMMYFUNCTION("""COMPUTED_VALUE"""),"LOURDES ACOSTA")</f>
        <v>LOURDES ACOSTA</v>
      </c>
      <c r="H739" s="16">
        <f>IFERROR(__xludf.DUMMYFUNCTION("""COMPUTED_VALUE"""),9474.0)</f>
        <v>9474</v>
      </c>
      <c r="I739" s="18">
        <f>IFERROR(__xludf.DUMMYFUNCTION("""COMPUTED_VALUE"""),17.0)</f>
        <v>17</v>
      </c>
      <c r="J739" s="18">
        <f>IFERROR(__xludf.DUMMYFUNCTION("""COMPUTED_VALUE"""),15.0)</f>
        <v>15</v>
      </c>
      <c r="K739" s="18">
        <f>IFERROR(__xludf.DUMMYFUNCTION("""COMPUTED_VALUE"""),28.0)</f>
        <v>28</v>
      </c>
      <c r="L739" s="17" t="str">
        <f>IFERROR(__xludf.DUMMYFUNCTION("""COMPUTED_VALUE"""),"322 5119030")</f>
        <v>322 5119030</v>
      </c>
      <c r="M739" s="17" t="str">
        <f>IFERROR(__xludf.DUMMYFUNCTION("""COMPUTED_VALUE"""),"#REF!")</f>
        <v>#REF!</v>
      </c>
      <c r="N739" s="17"/>
      <c r="O739" s="19" t="str">
        <f>IFERROR(__xludf.DUMMYFUNCTION("""COMPUTED_VALUE"""),"")</f>
        <v/>
      </c>
      <c r="P739" s="17" t="b">
        <f>IFERROR(__xludf.DUMMYFUNCTION("""COMPUTED_VALUE"""),TRUE)</f>
        <v>1</v>
      </c>
      <c r="Q739" s="20">
        <f>IFERROR(__xludf.DUMMYFUNCTION("""COMPUTED_VALUE"""),45020.732073101855)</f>
        <v>45020.73207</v>
      </c>
      <c r="R739" s="22" t="str">
        <f>IFERROR(__xludf.DUMMYFUNCTION("""COMPUTED_VALUE"""),"")</f>
        <v/>
      </c>
    </row>
    <row r="740">
      <c r="A740" s="15">
        <f>IFERROR(__xludf.DUMMYFUNCTION("""COMPUTED_VALUE"""),45020.0)</f>
        <v>45020</v>
      </c>
      <c r="B740" s="16" t="str">
        <f>IFERROR(__xludf.DUMMYFUNCTION("""COMPUTED_VALUE"""),"Envia")</f>
        <v>Envia</v>
      </c>
      <c r="C740" s="15" t="str">
        <f>IFERROR(__xludf.DUMMYFUNCTION("""COMPUTED_VALUE"""),"BOGOTÁ")</f>
        <v>BOGOTÁ</v>
      </c>
      <c r="D740" s="15" t="str">
        <f>IFERROR(__xludf.DUMMYFUNCTION("""COMPUTED_VALUE"""),"MEDELLÍN")</f>
        <v>MEDELLÍN</v>
      </c>
      <c r="E740" s="15" t="str">
        <f>IFERROR(__xludf.DUMMYFUNCTION("""COMPUTED_VALUE"""),"Rambla")</f>
        <v>Rambla</v>
      </c>
      <c r="F740" s="17" t="str">
        <f>IFERROR(__xludf.DUMMYFUNCTION("""COMPUTED_VALUE"""),"Carrera 23 # 114-61  Apto 504 Edificio Sassari  Barrio San Patricio  / na / na")</f>
        <v>Carrera 23 # 114-61  Apto 504 Edificio Sassari  Barrio San Patricio  / na / na</v>
      </c>
      <c r="G740" s="15" t="str">
        <f>IFERROR(__xludf.DUMMYFUNCTION("""COMPUTED_VALUE"""),"Keila Cuadros")</f>
        <v>Keila Cuadros</v>
      </c>
      <c r="H740" s="16">
        <f>IFERROR(__xludf.DUMMYFUNCTION("""COMPUTED_VALUE"""),9463.0)</f>
        <v>9463</v>
      </c>
      <c r="I740" s="18">
        <f>IFERROR(__xludf.DUMMYFUNCTION("""COMPUTED_VALUE"""),21.0)</f>
        <v>21</v>
      </c>
      <c r="J740" s="18">
        <f>IFERROR(__xludf.DUMMYFUNCTION("""COMPUTED_VALUE"""),25.0)</f>
        <v>25</v>
      </c>
      <c r="K740" s="18">
        <f>IFERROR(__xludf.DUMMYFUNCTION("""COMPUTED_VALUE"""),28.0)</f>
        <v>28</v>
      </c>
      <c r="L740" s="17">
        <f>IFERROR(__xludf.DUMMYFUNCTION("""COMPUTED_VALUE"""),3.187652355E9)</f>
        <v>3187652355</v>
      </c>
      <c r="M740" s="17" t="str">
        <f>IFERROR(__xludf.DUMMYFUNCTION("""COMPUTED_VALUE"""),"#REF!")</f>
        <v>#REF!</v>
      </c>
      <c r="N740" s="17"/>
      <c r="O740" s="19" t="str">
        <f>IFERROR(__xludf.DUMMYFUNCTION("""COMPUTED_VALUE"""),"")</f>
        <v/>
      </c>
      <c r="P740" s="17" t="b">
        <f>IFERROR(__xludf.DUMMYFUNCTION("""COMPUTED_VALUE"""),TRUE)</f>
        <v>1</v>
      </c>
      <c r="Q740" s="20">
        <f>IFERROR(__xludf.DUMMYFUNCTION("""COMPUTED_VALUE"""),45020.732073101855)</f>
        <v>45020.73207</v>
      </c>
      <c r="R740" s="22" t="str">
        <f>IFERROR(__xludf.DUMMYFUNCTION("""COMPUTED_VALUE"""),"")</f>
        <v/>
      </c>
    </row>
    <row r="741">
      <c r="A741" s="15">
        <f>IFERROR(__xludf.DUMMYFUNCTION("""COMPUTED_VALUE"""),45020.0)</f>
        <v>45020</v>
      </c>
      <c r="B741" s="16" t="str">
        <f>IFERROR(__xludf.DUMMYFUNCTION("""COMPUTED_VALUE"""),"Envia")</f>
        <v>Envia</v>
      </c>
      <c r="C741" s="15" t="str">
        <f>IFERROR(__xludf.DUMMYFUNCTION("""COMPUTED_VALUE"""),"CALI")</f>
        <v>CALI</v>
      </c>
      <c r="D741" s="15" t="str">
        <f>IFERROR(__xludf.DUMMYFUNCTION("""COMPUTED_VALUE"""),"BOGOTÁ")</f>
        <v>BOGOTÁ</v>
      </c>
      <c r="E741" s="15" t="str">
        <f>IFERROR(__xludf.DUMMYFUNCTION("""COMPUTED_VALUE"""),"Top Spun")</f>
        <v>Top Spun</v>
      </c>
      <c r="F741" s="17" t="str">
        <f>IFERROR(__xludf.DUMMYFUNCTION("""COMPUTED_VALUE"""),"Carrera 1 #13 oeste 215  / edificio Río Oeste, apto 601 / Cali")</f>
        <v>Carrera 1 #13 oeste 215  / edificio Río Oeste, apto 601 / Cali</v>
      </c>
      <c r="G741" s="15" t="str">
        <f>IFERROR(__xludf.DUMMYFUNCTION("""COMPUTED_VALUE"""),"Claudia Escobar")</f>
        <v>Claudia Escobar</v>
      </c>
      <c r="H741" s="16">
        <f>IFERROR(__xludf.DUMMYFUNCTION("""COMPUTED_VALUE"""),9373.0)</f>
        <v>9373</v>
      </c>
      <c r="I741" s="18">
        <f>IFERROR(__xludf.DUMMYFUNCTION("""COMPUTED_VALUE"""),20.0)</f>
        <v>20</v>
      </c>
      <c r="J741" s="18">
        <f>IFERROR(__xludf.DUMMYFUNCTION("""COMPUTED_VALUE"""),10.0)</f>
        <v>10</v>
      </c>
      <c r="K741" s="18">
        <f>IFERROR(__xludf.DUMMYFUNCTION("""COMPUTED_VALUE"""),40.0)</f>
        <v>40</v>
      </c>
      <c r="L741" s="17">
        <f>IFERROR(__xludf.DUMMYFUNCTION("""COMPUTED_VALUE"""),3.102510095E9)</f>
        <v>3102510095</v>
      </c>
      <c r="M741" s="17" t="str">
        <f>IFERROR(__xludf.DUMMYFUNCTION("""COMPUTED_VALUE"""),"#REF!")</f>
        <v>#REF!</v>
      </c>
      <c r="N741" s="17"/>
      <c r="O741" s="19" t="str">
        <f>IFERROR(__xludf.DUMMYFUNCTION("""COMPUTED_VALUE"""),"")</f>
        <v/>
      </c>
      <c r="P741" s="17" t="b">
        <f>IFERROR(__xludf.DUMMYFUNCTION("""COMPUTED_VALUE"""),TRUE)</f>
        <v>1</v>
      </c>
      <c r="Q741" s="20">
        <f>IFERROR(__xludf.DUMMYFUNCTION("""COMPUTED_VALUE"""),45020.60643230324)</f>
        <v>45020.60643</v>
      </c>
      <c r="R741" s="22" t="str">
        <f>IFERROR(__xludf.DUMMYFUNCTION("""COMPUTED_VALUE"""),"")</f>
        <v/>
      </c>
    </row>
    <row r="742">
      <c r="A742" s="15">
        <f>IFERROR(__xludf.DUMMYFUNCTION("""COMPUTED_VALUE"""),45020.0)</f>
        <v>45020</v>
      </c>
      <c r="B742" s="16" t="str">
        <f>IFERROR(__xludf.DUMMYFUNCTION("""COMPUTED_VALUE"""),"Envia")</f>
        <v>Envia</v>
      </c>
      <c r="C742" s="15" t="str">
        <f>IFERROR(__xludf.DUMMYFUNCTION("""COMPUTED_VALUE"""),"FLORIDABLANCA")</f>
        <v>FLORIDABLANCA</v>
      </c>
      <c r="D742" s="15" t="str">
        <f>IFERROR(__xludf.DUMMYFUNCTION("""COMPUTED_VALUE"""),"BOGOTÁ")</f>
        <v>BOGOTÁ</v>
      </c>
      <c r="E742" s="15" t="str">
        <f>IFERROR(__xludf.DUMMYFUNCTION("""COMPUTED_VALUE"""),"Asociacion Agropecuaria Juana Maria")</f>
        <v>Asociacion Agropecuaria Juana Maria</v>
      </c>
      <c r="F742" s="17" t="str">
        <f>IFERROR(__xludf.DUMMYFUNCTION("""COMPUTED_VALUE"""),"Calle 19 #11-37 Guanatá FLORIDABLANCA")</f>
        <v>Calle 19 #11-37 Guanatá FLORIDABLANCA</v>
      </c>
      <c r="G742" s="15" t="str">
        <f>IFERROR(__xludf.DUMMYFUNCTION("""COMPUTED_VALUE"""),"Claudia Gonzalez")</f>
        <v>Claudia Gonzalez</v>
      </c>
      <c r="H742" s="16">
        <f>IFERROR(__xludf.DUMMYFUNCTION("""COMPUTED_VALUE"""),9359.0)</f>
        <v>9359</v>
      </c>
      <c r="I742" s="18">
        <f>IFERROR(__xludf.DUMMYFUNCTION("""COMPUTED_VALUE"""),12.0)</f>
        <v>12</v>
      </c>
      <c r="J742" s="18">
        <f>IFERROR(__xludf.DUMMYFUNCTION("""COMPUTED_VALUE"""),37.0)</f>
        <v>37</v>
      </c>
      <c r="K742" s="18">
        <f>IFERROR(__xludf.DUMMYFUNCTION("""COMPUTED_VALUE"""),24.0)</f>
        <v>24</v>
      </c>
      <c r="L742" s="17">
        <f>IFERROR(__xludf.DUMMYFUNCTION("""COMPUTED_VALUE"""),3.002802001E9)</f>
        <v>3002802001</v>
      </c>
      <c r="M742" s="17" t="str">
        <f>IFERROR(__xludf.DUMMYFUNCTION("""COMPUTED_VALUE"""),"#REF!")</f>
        <v>#REF!</v>
      </c>
      <c r="N742" s="17"/>
      <c r="O742" s="19" t="str">
        <f>IFERROR(__xludf.DUMMYFUNCTION("""COMPUTED_VALUE"""),"")</f>
        <v/>
      </c>
      <c r="P742" s="17" t="b">
        <f>IFERROR(__xludf.DUMMYFUNCTION("""COMPUTED_VALUE"""),TRUE)</f>
        <v>1</v>
      </c>
      <c r="Q742" s="20">
        <f>IFERROR(__xludf.DUMMYFUNCTION("""COMPUTED_VALUE"""),45020.60643230324)</f>
        <v>45020.60643</v>
      </c>
      <c r="R742" s="22" t="str">
        <f>IFERROR(__xludf.DUMMYFUNCTION("""COMPUTED_VALUE"""),"")</f>
        <v/>
      </c>
    </row>
    <row r="743">
      <c r="A743" s="15">
        <f>IFERROR(__xludf.DUMMYFUNCTION("""COMPUTED_VALUE"""),45020.0)</f>
        <v>45020</v>
      </c>
      <c r="B743" s="16" t="str">
        <f>IFERROR(__xludf.DUMMYFUNCTION("""COMPUTED_VALUE"""),"Envia")</f>
        <v>Envia</v>
      </c>
      <c r="C743" s="15" t="str">
        <f>IFERROR(__xludf.DUMMYFUNCTION("""COMPUTED_VALUE"""),"FLORIDABLANCA")</f>
        <v>FLORIDABLANCA</v>
      </c>
      <c r="D743" s="15" t="str">
        <f>IFERROR(__xludf.DUMMYFUNCTION("""COMPUTED_VALUE"""),"BOGOTÁ")</f>
        <v>BOGOTÁ</v>
      </c>
      <c r="E743" s="15" t="str">
        <f>IFERROR(__xludf.DUMMYFUNCTION("""COMPUTED_VALUE"""),"Karem foods")</f>
        <v>Karem foods</v>
      </c>
      <c r="F743" s="17" t="str">
        <f>IFERROR(__xludf.DUMMYFUNCTION("""COMPUTED_VALUE"""),"Tv. 154 #150-26 / TORRE 1 Apto 106 Torres Del Bosque / -")</f>
        <v>Tv. 154 #150-26 / TORRE 1 Apto 106 Torres Del Bosque / -</v>
      </c>
      <c r="G743" s="15" t="str">
        <f>IFERROR(__xludf.DUMMYFUNCTION("""COMPUTED_VALUE"""),"Helena Franco")</f>
        <v>Helena Franco</v>
      </c>
      <c r="H743" s="16">
        <f>IFERROR(__xludf.DUMMYFUNCTION("""COMPUTED_VALUE"""),9435.0)</f>
        <v>9435</v>
      </c>
      <c r="I743" s="18">
        <f>IFERROR(__xludf.DUMMYFUNCTION("""COMPUTED_VALUE"""),12.0)</f>
        <v>12</v>
      </c>
      <c r="J743" s="18">
        <f>IFERROR(__xludf.DUMMYFUNCTION("""COMPUTED_VALUE"""),8.0)</f>
        <v>8</v>
      </c>
      <c r="K743" s="18">
        <f>IFERROR(__xludf.DUMMYFUNCTION("""COMPUTED_VALUE"""),17.0)</f>
        <v>17</v>
      </c>
      <c r="L743" s="17">
        <f>IFERROR(__xludf.DUMMYFUNCTION("""COMPUTED_VALUE"""),3.185571765E9)</f>
        <v>3185571765</v>
      </c>
      <c r="M743" s="17" t="str">
        <f>IFERROR(__xludf.DUMMYFUNCTION("""COMPUTED_VALUE"""),"#REF!")</f>
        <v>#REF!</v>
      </c>
      <c r="N743" s="17"/>
      <c r="O743" s="19" t="str">
        <f>IFERROR(__xludf.DUMMYFUNCTION("""COMPUTED_VALUE"""),"")</f>
        <v/>
      </c>
      <c r="P743" s="17" t="b">
        <f>IFERROR(__xludf.DUMMYFUNCTION("""COMPUTED_VALUE"""),TRUE)</f>
        <v>1</v>
      </c>
      <c r="Q743" s="20">
        <f>IFERROR(__xludf.DUMMYFUNCTION("""COMPUTED_VALUE"""),45020.732073101855)</f>
        <v>45020.73207</v>
      </c>
      <c r="R743" s="22" t="str">
        <f>IFERROR(__xludf.DUMMYFUNCTION("""COMPUTED_VALUE"""),"")</f>
        <v/>
      </c>
    </row>
    <row r="744">
      <c r="A744" s="15">
        <f>IFERROR(__xludf.DUMMYFUNCTION("""COMPUTED_VALUE"""),45020.0)</f>
        <v>45020</v>
      </c>
      <c r="B744" s="16" t="str">
        <f>IFERROR(__xludf.DUMMYFUNCTION("""COMPUTED_VALUE"""),"Envia")</f>
        <v>Envia</v>
      </c>
      <c r="C744" s="15" t="str">
        <f>IFERROR(__xludf.DUMMYFUNCTION("""COMPUTED_VALUE"""),"IBAGUÉ")</f>
        <v>IBAGUÉ</v>
      </c>
      <c r="D744" s="15" t="str">
        <f>IFERROR(__xludf.DUMMYFUNCTION("""COMPUTED_VALUE"""),"BOGOTÁ")</f>
        <v>BOGOTÁ</v>
      </c>
      <c r="E744" s="15" t="str">
        <f>IFERROR(__xludf.DUMMYFUNCTION("""COMPUTED_VALUE"""),"Evamazzita")</f>
        <v>Evamazzita</v>
      </c>
      <c r="F744" s="17" t="str">
        <f>IFERROR(__xludf.DUMMYFUNCTION("""COMPUTED_VALUE"""),"CARRERA 11 A # 35 -62 / N/A / BARRIO GAITÁN PARTE ALTA")</f>
        <v>CARRERA 11 A # 35 -62 / N/A / BARRIO GAITÁN PARTE ALTA</v>
      </c>
      <c r="G744" s="15" t="str">
        <f>IFERROR(__xludf.DUMMYFUNCTION("""COMPUTED_VALUE"""),"JORGE BERNARDO TORRES")</f>
        <v>JORGE BERNARDO TORRES</v>
      </c>
      <c r="H744" s="16">
        <f>IFERROR(__xludf.DUMMYFUNCTION("""COMPUTED_VALUE"""),9388.0)</f>
        <v>9388</v>
      </c>
      <c r="I744" s="18">
        <f>IFERROR(__xludf.DUMMYFUNCTION("""COMPUTED_VALUE"""),18.0)</f>
        <v>18</v>
      </c>
      <c r="J744" s="18">
        <f>IFERROR(__xludf.DUMMYFUNCTION("""COMPUTED_VALUE"""),30.0)</f>
        <v>30</v>
      </c>
      <c r="K744" s="18">
        <f>IFERROR(__xludf.DUMMYFUNCTION("""COMPUTED_VALUE"""),44.0)</f>
        <v>44</v>
      </c>
      <c r="L744" s="17">
        <f>IFERROR(__xludf.DUMMYFUNCTION("""COMPUTED_VALUE"""),3.144530156E9)</f>
        <v>3144530156</v>
      </c>
      <c r="M744" s="17" t="str">
        <f>IFERROR(__xludf.DUMMYFUNCTION("""COMPUTED_VALUE"""),"#REF!")</f>
        <v>#REF!</v>
      </c>
      <c r="N744" s="17"/>
      <c r="O744" s="19" t="str">
        <f>IFERROR(__xludf.DUMMYFUNCTION("""COMPUTED_VALUE"""),"")</f>
        <v/>
      </c>
      <c r="P744" s="17" t="b">
        <f>IFERROR(__xludf.DUMMYFUNCTION("""COMPUTED_VALUE"""),TRUE)</f>
        <v>1</v>
      </c>
      <c r="Q744" s="20">
        <f>IFERROR(__xludf.DUMMYFUNCTION("""COMPUTED_VALUE"""),45020.73208590278)</f>
        <v>45020.73209</v>
      </c>
      <c r="R744" s="22" t="str">
        <f>IFERROR(__xludf.DUMMYFUNCTION("""COMPUTED_VALUE"""),"")</f>
        <v/>
      </c>
    </row>
    <row r="745">
      <c r="A745" s="15">
        <f>IFERROR(__xludf.DUMMYFUNCTION("""COMPUTED_VALUE"""),45020.0)</f>
        <v>45020</v>
      </c>
      <c r="B745" s="16" t="str">
        <f>IFERROR(__xludf.DUMMYFUNCTION("""COMPUTED_VALUE"""),"Envia")</f>
        <v>Envia</v>
      </c>
      <c r="C745" s="15" t="str">
        <f>IFERROR(__xludf.DUMMYFUNCTION("""COMPUTED_VALUE"""),"MEDELLÍN")</f>
        <v>MEDELLÍN</v>
      </c>
      <c r="D745" s="15" t="str">
        <f>IFERROR(__xludf.DUMMYFUNCTION("""COMPUTED_VALUE"""),"BOGOTÁ")</f>
        <v>BOGOTÁ</v>
      </c>
      <c r="E745" s="15" t="str">
        <f>IFERROR(__xludf.DUMMYFUNCTION("""COMPUTED_VALUE"""),"Asociacion Agropecuaria Juana Maria")</f>
        <v>Asociacion Agropecuaria Juana Maria</v>
      </c>
      <c r="F745" s="17" t="str">
        <f>IFERROR(__xludf.DUMMYFUNCTION("""COMPUTED_VALUE"""),"Carrera 15 BA # 30D-44 int 201")</f>
        <v>Carrera 15 BA # 30D-44 int 201</v>
      </c>
      <c r="G745" s="15" t="str">
        <f>IFERROR(__xludf.DUMMYFUNCTION("""COMPUTED_VALUE"""),"Daniela Bedoya Blandon")</f>
        <v>Daniela Bedoya Blandon</v>
      </c>
      <c r="H745" s="16">
        <f>IFERROR(__xludf.DUMMYFUNCTION("""COMPUTED_VALUE"""),9361.0)</f>
        <v>9361</v>
      </c>
      <c r="I745" s="18">
        <f>IFERROR(__xludf.DUMMYFUNCTION("""COMPUTED_VALUE"""),21.0)</f>
        <v>21</v>
      </c>
      <c r="J745" s="18">
        <f>IFERROR(__xludf.DUMMYFUNCTION("""COMPUTED_VALUE"""),37.0)</f>
        <v>37</v>
      </c>
      <c r="K745" s="18">
        <f>IFERROR(__xludf.DUMMYFUNCTION("""COMPUTED_VALUE"""),30.0)</f>
        <v>30</v>
      </c>
      <c r="L745" s="17">
        <f>IFERROR(__xludf.DUMMYFUNCTION("""COMPUTED_VALUE"""),3.14672822E9)</f>
        <v>3146728220</v>
      </c>
      <c r="M745" s="17" t="str">
        <f>IFERROR(__xludf.DUMMYFUNCTION("""COMPUTED_VALUE"""),"#REF!")</f>
        <v>#REF!</v>
      </c>
      <c r="N745" s="17"/>
      <c r="O745" s="19" t="str">
        <f>IFERROR(__xludf.DUMMYFUNCTION("""COMPUTED_VALUE"""),"")</f>
        <v/>
      </c>
      <c r="P745" s="17" t="b">
        <f>IFERROR(__xludf.DUMMYFUNCTION("""COMPUTED_VALUE"""),TRUE)</f>
        <v>1</v>
      </c>
      <c r="Q745" s="20">
        <f>IFERROR(__xludf.DUMMYFUNCTION("""COMPUTED_VALUE"""),45020.73208590278)</f>
        <v>45020.73209</v>
      </c>
      <c r="R745" s="22" t="str">
        <f>IFERROR(__xludf.DUMMYFUNCTION("""COMPUTED_VALUE"""),"")</f>
        <v/>
      </c>
    </row>
    <row r="746">
      <c r="A746" s="15">
        <f>IFERROR(__xludf.DUMMYFUNCTION("""COMPUTED_VALUE"""),45020.0)</f>
        <v>45020</v>
      </c>
      <c r="B746" s="16" t="str">
        <f>IFERROR(__xludf.DUMMYFUNCTION("""COMPUTED_VALUE"""),"Envia")</f>
        <v>Envia</v>
      </c>
      <c r="C746" s="15" t="str">
        <f>IFERROR(__xludf.DUMMYFUNCTION("""COMPUTED_VALUE"""),"MEDELLÍN")</f>
        <v>MEDELLÍN</v>
      </c>
      <c r="D746" s="15" t="str">
        <f>IFERROR(__xludf.DUMMYFUNCTION("""COMPUTED_VALUE"""),"BOGOTÁ")</f>
        <v>BOGOTÁ</v>
      </c>
      <c r="E746" s="15" t="str">
        <f>IFERROR(__xludf.DUMMYFUNCTION("""COMPUTED_VALUE"""),"Asociacion Agropecuaria Juana Maria")</f>
        <v>Asociacion Agropecuaria Juana Maria</v>
      </c>
      <c r="F746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746" s="15" t="str">
        <f>IFERROR(__xludf.DUMMYFUNCTION("""COMPUTED_VALUE"""),"Jennifer Sanchez Blandon")</f>
        <v>Jennifer Sanchez Blandon</v>
      </c>
      <c r="H746" s="16">
        <f>IFERROR(__xludf.DUMMYFUNCTION("""COMPUTED_VALUE"""),9362.0)</f>
        <v>9362</v>
      </c>
      <c r="I746" s="18">
        <f>IFERROR(__xludf.DUMMYFUNCTION("""COMPUTED_VALUE"""),21.0)</f>
        <v>21</v>
      </c>
      <c r="J746" s="18">
        <f>IFERROR(__xludf.DUMMYFUNCTION("""COMPUTED_VALUE"""),37.0)</f>
        <v>37</v>
      </c>
      <c r="K746" s="18">
        <f>IFERROR(__xludf.DUMMYFUNCTION("""COMPUTED_VALUE"""),30.0)</f>
        <v>30</v>
      </c>
      <c r="L746" s="17">
        <f>IFERROR(__xludf.DUMMYFUNCTION("""COMPUTED_VALUE"""),3.016937674E9)</f>
        <v>3016937674</v>
      </c>
      <c r="M746" s="17" t="str">
        <f>IFERROR(__xludf.DUMMYFUNCTION("""COMPUTED_VALUE"""),"#REF!")</f>
        <v>#REF!</v>
      </c>
      <c r="N746" s="17"/>
      <c r="O746" s="19" t="str">
        <f>IFERROR(__xludf.DUMMYFUNCTION("""COMPUTED_VALUE"""),"")</f>
        <v/>
      </c>
      <c r="P746" s="17" t="b">
        <f>IFERROR(__xludf.DUMMYFUNCTION("""COMPUTED_VALUE"""),TRUE)</f>
        <v>1</v>
      </c>
      <c r="Q746" s="20">
        <f>IFERROR(__xludf.DUMMYFUNCTION("""COMPUTED_VALUE"""),45020.73209710648)</f>
        <v>45020.7321</v>
      </c>
      <c r="R746" s="22" t="str">
        <f>IFERROR(__xludf.DUMMYFUNCTION("""COMPUTED_VALUE"""),"")</f>
        <v/>
      </c>
    </row>
    <row r="747">
      <c r="A747" s="15">
        <f>IFERROR(__xludf.DUMMYFUNCTION("""COMPUTED_VALUE"""),45020.0)</f>
        <v>45020</v>
      </c>
      <c r="B747" s="16" t="str">
        <f>IFERROR(__xludf.DUMMYFUNCTION("""COMPUTED_VALUE"""),"Envia")</f>
        <v>Envia</v>
      </c>
      <c r="C747" s="15" t="str">
        <f>IFERROR(__xludf.DUMMYFUNCTION("""COMPUTED_VALUE"""),"MEDELLÍN")</f>
        <v>MEDELLÍN</v>
      </c>
      <c r="D747" s="15" t="str">
        <f>IFERROR(__xludf.DUMMYFUNCTION("""COMPUTED_VALUE"""),"BOGOTÁ")</f>
        <v>BOGOTÁ</v>
      </c>
      <c r="E747" s="15" t="str">
        <f>IFERROR(__xludf.DUMMYFUNCTION("""COMPUTED_VALUE"""),"Evamazzita")</f>
        <v>Evamazzita</v>
      </c>
      <c r="F747" s="17" t="str">
        <f>IFERROR(__xludf.DUMMYFUNCTION("""COMPUTED_VALUE"""),"CRA 15 BA No. 34D- 44  / INT 201  / BUENOS AIRES")</f>
        <v>CRA 15 BA No. 34D- 44  / INT 201  / BUENOS AIRES</v>
      </c>
      <c r="G747" s="15" t="str">
        <f>IFERROR(__xludf.DUMMYFUNCTION("""COMPUTED_VALUE"""),"DANIELA BEDOYA BLANDON")</f>
        <v>DANIELA BEDOYA BLANDON</v>
      </c>
      <c r="H747" s="16">
        <f>IFERROR(__xludf.DUMMYFUNCTION("""COMPUTED_VALUE"""),9402.0)</f>
        <v>9402</v>
      </c>
      <c r="I747" s="18">
        <f>IFERROR(__xludf.DUMMYFUNCTION("""COMPUTED_VALUE"""),34.0)</f>
        <v>34</v>
      </c>
      <c r="J747" s="18">
        <f>IFERROR(__xludf.DUMMYFUNCTION("""COMPUTED_VALUE"""),23.0)</f>
        <v>23</v>
      </c>
      <c r="K747" s="18">
        <f>IFERROR(__xludf.DUMMYFUNCTION("""COMPUTED_VALUE"""),38.0)</f>
        <v>38</v>
      </c>
      <c r="L747" s="17">
        <f>IFERROR(__xludf.DUMMYFUNCTION("""COMPUTED_VALUE"""),3.14672822E9)</f>
        <v>3146728220</v>
      </c>
      <c r="M747" s="17" t="str">
        <f>IFERROR(__xludf.DUMMYFUNCTION("""COMPUTED_VALUE"""),"#REF!")</f>
        <v>#REF!</v>
      </c>
      <c r="N747" s="17"/>
      <c r="O747" s="19" t="str">
        <f>IFERROR(__xludf.DUMMYFUNCTION("""COMPUTED_VALUE"""),"")</f>
        <v/>
      </c>
      <c r="P747" s="17" t="b">
        <f>IFERROR(__xludf.DUMMYFUNCTION("""COMPUTED_VALUE"""),TRUE)</f>
        <v>1</v>
      </c>
      <c r="Q747" s="20">
        <f>IFERROR(__xludf.DUMMYFUNCTION("""COMPUTED_VALUE"""),45020.73209711806)</f>
        <v>45020.7321</v>
      </c>
      <c r="R747" s="22" t="str">
        <f>IFERROR(__xludf.DUMMYFUNCTION("""COMPUTED_VALUE"""),"")</f>
        <v/>
      </c>
    </row>
    <row r="748">
      <c r="A748" s="15">
        <f>IFERROR(__xludf.DUMMYFUNCTION("""COMPUTED_VALUE"""),45020.0)</f>
        <v>45020</v>
      </c>
      <c r="B748" s="16" t="str">
        <f>IFERROR(__xludf.DUMMYFUNCTION("""COMPUTED_VALUE"""),"Envia")</f>
        <v>Envia</v>
      </c>
      <c r="C748" s="15" t="str">
        <f>IFERROR(__xludf.DUMMYFUNCTION("""COMPUTED_VALUE"""),"MEDELLÍN")</f>
        <v>MEDELLÍN</v>
      </c>
      <c r="D748" s="15" t="str">
        <f>IFERROR(__xludf.DUMMYFUNCTION("""COMPUTED_VALUE"""),"BOGOTÁ")</f>
        <v>BOGOTÁ</v>
      </c>
      <c r="E748" s="15" t="str">
        <f>IFERROR(__xludf.DUMMYFUNCTION("""COMPUTED_VALUE"""),"Ins. Alimento Vital")</f>
        <v>Ins. Alimento Vital</v>
      </c>
      <c r="F748" s="17" t="str">
        <f>IFERROR(__xludf.DUMMYFUNCTION("""COMPUTED_VALUE"""),"3102324682 / CASA NEGRA PISO 2 / BARRIO LAURELES")</f>
        <v>3102324682 / CASA NEGRA PISO 2 / BARRIO LAURELES</v>
      </c>
      <c r="G748" s="15" t="str">
        <f>IFERROR(__xludf.DUMMYFUNCTION("""COMPUTED_VALUE"""),"VELOCITY")</f>
        <v>VELOCITY</v>
      </c>
      <c r="H748" s="16">
        <f>IFERROR(__xludf.DUMMYFUNCTION("""COMPUTED_VALUE"""),9380.0)</f>
        <v>9380</v>
      </c>
      <c r="I748" s="18">
        <f>IFERROR(__xludf.DUMMYFUNCTION("""COMPUTED_VALUE"""),110.0)</f>
        <v>110</v>
      </c>
      <c r="J748" s="18">
        <f>IFERROR(__xludf.DUMMYFUNCTION("""COMPUTED_VALUE"""),45.0)</f>
        <v>45</v>
      </c>
      <c r="K748" s="18" t="str">
        <f>IFERROR(__xludf.DUMMYFUNCTION("""COMPUTED_VALUE"""),"52.5")</f>
        <v>52.5</v>
      </c>
      <c r="L748" s="17">
        <f>IFERROR(__xludf.DUMMYFUNCTION("""COMPUTED_VALUE"""),3.195119419E9)</f>
        <v>3195119419</v>
      </c>
      <c r="M748" s="17" t="str">
        <f>IFERROR(__xludf.DUMMYFUNCTION("""COMPUTED_VALUE"""),"#REF!")</f>
        <v>#REF!</v>
      </c>
      <c r="N748" s="17"/>
      <c r="O748" s="19" t="str">
        <f>IFERROR(__xludf.DUMMYFUNCTION("""COMPUTED_VALUE"""),"")</f>
        <v/>
      </c>
      <c r="P748" s="17" t="b">
        <f>IFERROR(__xludf.DUMMYFUNCTION("""COMPUTED_VALUE"""),TRUE)</f>
        <v>1</v>
      </c>
      <c r="Q748" s="20">
        <f>IFERROR(__xludf.DUMMYFUNCTION("""COMPUTED_VALUE"""),45020.732108634256)</f>
        <v>45020.73211</v>
      </c>
      <c r="R748" s="22" t="str">
        <f>IFERROR(__xludf.DUMMYFUNCTION("""COMPUTED_VALUE"""),"")</f>
        <v/>
      </c>
    </row>
    <row r="749">
      <c r="A749" s="15">
        <f>IFERROR(__xludf.DUMMYFUNCTION("""COMPUTED_VALUE"""),45020.0)</f>
        <v>45020</v>
      </c>
      <c r="B749" s="16" t="str">
        <f>IFERROR(__xludf.DUMMYFUNCTION("""COMPUTED_VALUE"""),"Envia")</f>
        <v>Envia</v>
      </c>
      <c r="C749" s="15" t="str">
        <f>IFERROR(__xludf.DUMMYFUNCTION("""COMPUTED_VALUE"""),"MEDELLÍN")</f>
        <v>MEDELLÍN</v>
      </c>
      <c r="D749" s="15" t="str">
        <f>IFERROR(__xludf.DUMMYFUNCTION("""COMPUTED_VALUE"""),"BOGOTÁ")</f>
        <v>BOGOTÁ</v>
      </c>
      <c r="E749" s="15" t="str">
        <f>IFERROR(__xludf.DUMMYFUNCTION("""COMPUTED_VALUE"""),"MAI ALIMENTOS S.A.S")</f>
        <v>MAI ALIMENTOS S.A.S</v>
      </c>
      <c r="F749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749" s="15" t="str">
        <f>IFERROR(__xludf.DUMMYFUNCTION("""COMPUTED_VALUE"""),"Novaventas - Medellin")</f>
        <v>Novaventas - Medellin</v>
      </c>
      <c r="H749" s="16">
        <f>IFERROR(__xludf.DUMMYFUNCTION("""COMPUTED_VALUE"""),9348.0)</f>
        <v>9348</v>
      </c>
      <c r="I749" s="18">
        <f>IFERROR(__xludf.DUMMYFUNCTION("""COMPUTED_VALUE"""),35.0)</f>
        <v>35</v>
      </c>
      <c r="J749" s="18">
        <f>IFERROR(__xludf.DUMMYFUNCTION("""COMPUTED_VALUE"""),17.0)</f>
        <v>17</v>
      </c>
      <c r="K749" s="18">
        <f>IFERROR(__xludf.DUMMYFUNCTION("""COMPUTED_VALUE"""),13.0)</f>
        <v>13</v>
      </c>
      <c r="L749" s="17">
        <f>IFERROR(__xludf.DUMMYFUNCTION("""COMPUTED_VALUE"""),3.187351593E9)</f>
        <v>3187351593</v>
      </c>
      <c r="M749" s="17" t="str">
        <f>IFERROR(__xludf.DUMMYFUNCTION("""COMPUTED_VALUE"""),"#REF!")</f>
        <v>#REF!</v>
      </c>
      <c r="N749" s="17"/>
      <c r="O749" s="19" t="str">
        <f>IFERROR(__xludf.DUMMYFUNCTION("""COMPUTED_VALUE"""),"")</f>
        <v/>
      </c>
      <c r="P749" s="17" t="b">
        <f>IFERROR(__xludf.DUMMYFUNCTION("""COMPUTED_VALUE"""),TRUE)</f>
        <v>1</v>
      </c>
      <c r="Q749" s="20">
        <f>IFERROR(__xludf.DUMMYFUNCTION("""COMPUTED_VALUE"""),45020.732108634256)</f>
        <v>45020.73211</v>
      </c>
      <c r="R749" s="22" t="str">
        <f>IFERROR(__xludf.DUMMYFUNCTION("""COMPUTED_VALUE"""),"")</f>
        <v/>
      </c>
    </row>
    <row r="750">
      <c r="A750" s="15">
        <f>IFERROR(__xludf.DUMMYFUNCTION("""COMPUTED_VALUE"""),45020.0)</f>
        <v>45020</v>
      </c>
      <c r="B750" s="16" t="str">
        <f>IFERROR(__xludf.DUMMYFUNCTION("""COMPUTED_VALUE"""),"Envia")</f>
        <v>Envia</v>
      </c>
      <c r="C750" s="15" t="str">
        <f>IFERROR(__xludf.DUMMYFUNCTION("""COMPUTED_VALUE"""),"MEDELLÍN")</f>
        <v>MEDELLÍN</v>
      </c>
      <c r="D750" s="15" t="str">
        <f>IFERROR(__xludf.DUMMYFUNCTION("""COMPUTED_VALUE"""),"BOGOTÁ")</f>
        <v>BOGOTÁ</v>
      </c>
      <c r="E750" s="15" t="str">
        <f>IFERROR(__xludf.DUMMYFUNCTION("""COMPUTED_VALUE"""),"SISU PARTNERS SAS")</f>
        <v>SISU PARTNERS SAS</v>
      </c>
      <c r="F750" s="17" t="str">
        <f>IFERROR(__xludf.DUMMYFUNCTION("""COMPUTED_VALUE"""),"Carrera 34 no. 7-86 / Local Mary &amp; George")</f>
        <v>Carrera 34 no. 7-86 / Local Mary &amp; George</v>
      </c>
      <c r="G750" s="15" t="str">
        <f>IFERROR(__xludf.DUMMYFUNCTION("""COMPUTED_VALUE"""),"Maria Paulina Pérez")</f>
        <v>Maria Paulina Pérez</v>
      </c>
      <c r="H750" s="16">
        <f>IFERROR(__xludf.DUMMYFUNCTION("""COMPUTED_VALUE"""),9375.0)</f>
        <v>9375</v>
      </c>
      <c r="I750" s="18" t="str">
        <f>IFERROR(__xludf.DUMMYFUNCTION("""COMPUTED_VALUE"""),"52.5")</f>
        <v>52.5</v>
      </c>
      <c r="J750" s="18">
        <f>IFERROR(__xludf.DUMMYFUNCTION("""COMPUTED_VALUE"""),45.0)</f>
        <v>45</v>
      </c>
      <c r="K750" s="18">
        <f>IFERROR(__xludf.DUMMYFUNCTION("""COMPUTED_VALUE"""),55.0)</f>
        <v>55</v>
      </c>
      <c r="L750" s="17">
        <f>IFERROR(__xludf.DUMMYFUNCTION("""COMPUTED_VALUE"""),3.182186058E9)</f>
        <v>3182186058</v>
      </c>
      <c r="M750" s="17" t="str">
        <f>IFERROR(__xludf.DUMMYFUNCTION("""COMPUTED_VALUE"""),"#REF!")</f>
        <v>#REF!</v>
      </c>
      <c r="N750" s="17"/>
      <c r="O750" s="19" t="str">
        <f>IFERROR(__xludf.DUMMYFUNCTION("""COMPUTED_VALUE"""),"")</f>
        <v/>
      </c>
      <c r="P750" s="17" t="b">
        <f>IFERROR(__xludf.DUMMYFUNCTION("""COMPUTED_VALUE"""),TRUE)</f>
        <v>1</v>
      </c>
      <c r="Q750" s="20">
        <f>IFERROR(__xludf.DUMMYFUNCTION("""COMPUTED_VALUE"""),45020.681500798615)</f>
        <v>45020.6815</v>
      </c>
      <c r="R750" s="22" t="str">
        <f>IFERROR(__xludf.DUMMYFUNCTION("""COMPUTED_VALUE"""),"")</f>
        <v/>
      </c>
    </row>
    <row r="751">
      <c r="A751" s="15">
        <f>IFERROR(__xludf.DUMMYFUNCTION("""COMPUTED_VALUE"""),45020.0)</f>
        <v>45020</v>
      </c>
      <c r="B751" s="16" t="str">
        <f>IFERROR(__xludf.DUMMYFUNCTION("""COMPUTED_VALUE"""),"Envia")</f>
        <v>Envia</v>
      </c>
      <c r="C751" s="15" t="str">
        <f>IFERROR(__xludf.DUMMYFUNCTION("""COMPUTED_VALUE"""),"MEDELLÍN")</f>
        <v>MEDELLÍN</v>
      </c>
      <c r="D751" s="15" t="str">
        <f>IFERROR(__xludf.DUMMYFUNCTION("""COMPUTED_VALUE"""),"BOGOTÁ")</f>
        <v>BOGOTÁ</v>
      </c>
      <c r="E751" s="15" t="str">
        <f>IFERROR(__xludf.DUMMYFUNCTION("""COMPUTED_VALUE"""),"Top Spun")</f>
        <v>Top Spun</v>
      </c>
      <c r="F751" s="17" t="str">
        <f>IFERROR(__xludf.DUMMYFUNCTION("""COMPUTED_VALUE"""),"Calle 44 sur #46 b87 / Milan condominio 7 Casa 146 / Envigado")</f>
        <v>Calle 44 sur #46 b87 / Milan condominio 7 Casa 146 / Envigado</v>
      </c>
      <c r="G751" s="15">
        <f>IFERROR(__xludf.DUMMYFUNCTION("""COMPUTED_VALUE"""),1.039448357E9)</f>
        <v>1039448357</v>
      </c>
      <c r="H751" s="16">
        <f>IFERROR(__xludf.DUMMYFUNCTION("""COMPUTED_VALUE"""),9371.0)</f>
        <v>9371</v>
      </c>
      <c r="I751" s="18">
        <f>IFERROR(__xludf.DUMMYFUNCTION("""COMPUTED_VALUE"""),20.0)</f>
        <v>20</v>
      </c>
      <c r="J751" s="18">
        <f>IFERROR(__xludf.DUMMYFUNCTION("""COMPUTED_VALUE"""),10.0)</f>
        <v>10</v>
      </c>
      <c r="K751" s="18">
        <f>IFERROR(__xludf.DUMMYFUNCTION("""COMPUTED_VALUE"""),40.0)</f>
        <v>40</v>
      </c>
      <c r="L751" s="17">
        <f>IFERROR(__xludf.DUMMYFUNCTION("""COMPUTED_VALUE"""),3.147199181E9)</f>
        <v>3147199181</v>
      </c>
      <c r="M751" s="17" t="str">
        <f>IFERROR(__xludf.DUMMYFUNCTION("""COMPUTED_VALUE"""),"#REF!")</f>
        <v>#REF!</v>
      </c>
      <c r="N751" s="17"/>
      <c r="O751" s="19" t="str">
        <f>IFERROR(__xludf.DUMMYFUNCTION("""COMPUTED_VALUE"""),"")</f>
        <v/>
      </c>
      <c r="P751" s="17" t="b">
        <f>IFERROR(__xludf.DUMMYFUNCTION("""COMPUTED_VALUE"""),TRUE)</f>
        <v>1</v>
      </c>
      <c r="Q751" s="20">
        <f>IFERROR(__xludf.DUMMYFUNCTION("""COMPUTED_VALUE"""),45020.73211848379)</f>
        <v>45020.73212</v>
      </c>
      <c r="R751" s="22" t="str">
        <f>IFERROR(__xludf.DUMMYFUNCTION("""COMPUTED_VALUE"""),"")</f>
        <v/>
      </c>
    </row>
    <row r="752">
      <c r="A752" s="15">
        <f>IFERROR(__xludf.DUMMYFUNCTION("""COMPUTED_VALUE"""),45020.0)</f>
        <v>45020</v>
      </c>
      <c r="B752" s="16" t="str">
        <f>IFERROR(__xludf.DUMMYFUNCTION("""COMPUTED_VALUE"""),"Envia")</f>
        <v>Envia</v>
      </c>
      <c r="C752" s="15" t="str">
        <f>IFERROR(__xludf.DUMMYFUNCTION("""COMPUTED_VALUE"""),"NEIVA")</f>
        <v>NEIVA</v>
      </c>
      <c r="D752" s="15" t="str">
        <f>IFERROR(__xludf.DUMMYFUNCTION("""COMPUTED_VALUE"""),"BOGOTÁ")</f>
        <v>BOGOTÁ</v>
      </c>
      <c r="E752" s="15" t="str">
        <f>IFERROR(__xludf.DUMMYFUNCTION("""COMPUTED_VALUE"""),"Asociacion Agropecuaria Juana Maria")</f>
        <v>Asociacion Agropecuaria Juana Maria</v>
      </c>
      <c r="F752" s="17" t="str">
        <f>IFERROR(__xludf.DUMMYFUNCTION("""COMPUTED_VALUE"""),"CARRERA 46 #17-13 CONDOMINIO ALTAVISTA CASA 31")</f>
        <v>CARRERA 46 #17-13 CONDOMINIO ALTAVISTA CASA 31</v>
      </c>
      <c r="G752" s="15" t="str">
        <f>IFERROR(__xludf.DUMMYFUNCTION("""COMPUTED_VALUE"""),"JENNIFFER FERNANDEZ")</f>
        <v>JENNIFFER FERNANDEZ</v>
      </c>
      <c r="H752" s="16">
        <f>IFERROR(__xludf.DUMMYFUNCTION("""COMPUTED_VALUE"""),9364.0)</f>
        <v>9364</v>
      </c>
      <c r="I752" s="18">
        <f>IFERROR(__xludf.DUMMYFUNCTION("""COMPUTED_VALUE"""),21.0)</f>
        <v>21</v>
      </c>
      <c r="J752" s="18">
        <f>IFERROR(__xludf.DUMMYFUNCTION("""COMPUTED_VALUE"""),37.0)</f>
        <v>37</v>
      </c>
      <c r="K752" s="18">
        <f>IFERROR(__xludf.DUMMYFUNCTION("""COMPUTED_VALUE"""),30.0)</f>
        <v>30</v>
      </c>
      <c r="L752" s="17">
        <f>IFERROR(__xludf.DUMMYFUNCTION("""COMPUTED_VALUE"""),3.167942612E9)</f>
        <v>3167942612</v>
      </c>
      <c r="M752" s="17" t="str">
        <f>IFERROR(__xludf.DUMMYFUNCTION("""COMPUTED_VALUE"""),"#REF!")</f>
        <v>#REF!</v>
      </c>
      <c r="N752" s="17"/>
      <c r="O752" s="19" t="str">
        <f>IFERROR(__xludf.DUMMYFUNCTION("""COMPUTED_VALUE"""),"")</f>
        <v/>
      </c>
      <c r="P752" s="17" t="b">
        <f>IFERROR(__xludf.DUMMYFUNCTION("""COMPUTED_VALUE"""),TRUE)</f>
        <v>1</v>
      </c>
      <c r="Q752" s="20">
        <f>IFERROR(__xludf.DUMMYFUNCTION("""COMPUTED_VALUE"""),45020.732128460644)</f>
        <v>45020.73213</v>
      </c>
      <c r="R752" s="22" t="str">
        <f>IFERROR(__xludf.DUMMYFUNCTION("""COMPUTED_VALUE"""),"")</f>
        <v/>
      </c>
    </row>
    <row r="753">
      <c r="A753" s="15">
        <f>IFERROR(__xludf.DUMMYFUNCTION("""COMPUTED_VALUE"""),45020.0)</f>
        <v>45020</v>
      </c>
      <c r="B753" s="16" t="str">
        <f>IFERROR(__xludf.DUMMYFUNCTION("""COMPUTED_VALUE"""),"Envia")</f>
        <v>Envia</v>
      </c>
      <c r="C753" s="15" t="str">
        <f>IFERROR(__xludf.DUMMYFUNCTION("""COMPUTED_VALUE"""),"NEIVA")</f>
        <v>NEIVA</v>
      </c>
      <c r="D753" s="15" t="str">
        <f>IFERROR(__xludf.DUMMYFUNCTION("""COMPUTED_VALUE"""),"BOGOTÁ")</f>
        <v>BOGOTÁ</v>
      </c>
      <c r="E753" s="15" t="str">
        <f>IFERROR(__xludf.DUMMYFUNCTION("""COMPUTED_VALUE"""),"Lunchy Kids")</f>
        <v>Lunchy Kids</v>
      </c>
      <c r="F753" s="17" t="str">
        <f>IFERROR(__xludf.DUMMYFUNCTION("""COMPUTED_VALUE"""),"CARRERA 20A 50-66 / Casa / Barrio Alamos Norte")</f>
        <v>CARRERA 20A 50-66 / Casa / Barrio Alamos Norte</v>
      </c>
      <c r="G753" s="15" t="str">
        <f>IFERROR(__xludf.DUMMYFUNCTION("""COMPUTED_VALUE"""),"Monica Gutiérrez")</f>
        <v>Monica Gutiérrez</v>
      </c>
      <c r="H753" s="16">
        <f>IFERROR(__xludf.DUMMYFUNCTION("""COMPUTED_VALUE"""),9483.0)</f>
        <v>9483</v>
      </c>
      <c r="I753" s="18">
        <f>IFERROR(__xludf.DUMMYFUNCTION("""COMPUTED_VALUE"""),32.0)</f>
        <v>32</v>
      </c>
      <c r="J753" s="18">
        <f>IFERROR(__xludf.DUMMYFUNCTION("""COMPUTED_VALUE"""),23.0)</f>
        <v>23</v>
      </c>
      <c r="K753" s="18">
        <f>IFERROR(__xludf.DUMMYFUNCTION("""COMPUTED_VALUE"""),16.0)</f>
        <v>16</v>
      </c>
      <c r="L753" s="17">
        <f>IFERROR(__xludf.DUMMYFUNCTION("""COMPUTED_VALUE"""),3.182653302E9)</f>
        <v>3182653302</v>
      </c>
      <c r="M753" s="17" t="str">
        <f>IFERROR(__xludf.DUMMYFUNCTION("""COMPUTED_VALUE"""),"#REF!")</f>
        <v>#REF!</v>
      </c>
      <c r="N753" s="17"/>
      <c r="O753" s="19" t="str">
        <f>IFERROR(__xludf.DUMMYFUNCTION("""COMPUTED_VALUE"""),"")</f>
        <v/>
      </c>
      <c r="P753" s="17" t="b">
        <f>IFERROR(__xludf.DUMMYFUNCTION("""COMPUTED_VALUE"""),FALSE)</f>
        <v>0</v>
      </c>
      <c r="Q753" s="20" t="str">
        <f>IFERROR(__xludf.DUMMYFUNCTION("""COMPUTED_VALUE"""),"")</f>
        <v/>
      </c>
      <c r="R753" s="22" t="str">
        <f>IFERROR(__xludf.DUMMYFUNCTION("""COMPUTED_VALUE"""),"")</f>
        <v/>
      </c>
    </row>
    <row r="754">
      <c r="A754" s="17" t="str">
        <f>IFERROR(__xludf.DUMMYFUNCTION("""COMPUTED_VALUE"""),"")</f>
        <v/>
      </c>
      <c r="B754" s="17" t="str">
        <f>IFERROR(__xludf.DUMMYFUNCTION("""COMPUTED_VALUE"""),"")</f>
        <v/>
      </c>
      <c r="C754" s="17" t="str">
        <f>IFERROR(__xludf.DUMMYFUNCTION("""COMPUTED_VALUE"""),"")</f>
        <v/>
      </c>
      <c r="D754" s="17" t="str">
        <f>IFERROR(__xludf.DUMMYFUNCTION("""COMPUTED_VALUE"""),"")</f>
        <v/>
      </c>
      <c r="E754" s="17" t="str">
        <f>IFERROR(__xludf.DUMMYFUNCTION("""COMPUTED_VALUE"""),"")</f>
        <v/>
      </c>
      <c r="F754" s="17" t="str">
        <f>IFERROR(__xludf.DUMMYFUNCTION("""COMPUTED_VALUE"""),"")</f>
        <v/>
      </c>
      <c r="G754" s="17" t="str">
        <f>IFERROR(__xludf.DUMMYFUNCTION("""COMPUTED_VALUE"""),"")</f>
        <v/>
      </c>
      <c r="H754" s="17" t="str">
        <f>IFERROR(__xludf.DUMMYFUNCTION("""COMPUTED_VALUE"""),"")</f>
        <v/>
      </c>
      <c r="I754" s="17" t="str">
        <f>IFERROR(__xludf.DUMMYFUNCTION("""COMPUTED_VALUE"""),"")</f>
        <v/>
      </c>
      <c r="J754" s="17" t="str">
        <f>IFERROR(__xludf.DUMMYFUNCTION("""COMPUTED_VALUE"""),"")</f>
        <v/>
      </c>
      <c r="K754" s="17" t="str">
        <f>IFERROR(__xludf.DUMMYFUNCTION("""COMPUTED_VALUE"""),"")</f>
        <v/>
      </c>
      <c r="L754" s="17" t="str">
        <f>IFERROR(__xludf.DUMMYFUNCTION("""COMPUTED_VALUE"""),"")</f>
        <v/>
      </c>
      <c r="M754" s="17" t="str">
        <f>IFERROR(__xludf.DUMMYFUNCTION("""COMPUTED_VALUE"""),"")</f>
        <v/>
      </c>
      <c r="N754" s="17" t="str">
        <f>IFERROR(__xludf.DUMMYFUNCTION("""COMPUTED_VALUE"""),"")</f>
        <v/>
      </c>
      <c r="O754" s="17" t="str">
        <f>IFERROR(__xludf.DUMMYFUNCTION("""COMPUTED_VALUE"""),"")</f>
        <v/>
      </c>
      <c r="P754" s="17" t="str">
        <f>IFERROR(__xludf.DUMMYFUNCTION("""COMPUTED_VALUE"""),"")</f>
        <v/>
      </c>
      <c r="Q754" s="17" t="str">
        <f>IFERROR(__xludf.DUMMYFUNCTION("""COMPUTED_VALUE"""),"")</f>
        <v/>
      </c>
      <c r="R754" s="17" t="str">
        <f>IFERROR(__xludf.DUMMYFUNCTION("""COMPUTED_VALUE"""),"")</f>
        <v/>
      </c>
    </row>
    <row r="755">
      <c r="A755" s="15">
        <f>IFERROR(__xludf.DUMMYFUNCTION("""COMPUTED_VALUE"""),45020.0)</f>
        <v>45020</v>
      </c>
      <c r="B755" s="16" t="str">
        <f>IFERROR(__xludf.DUMMYFUNCTION("""COMPUTED_VALUE"""),"Jeison Rubiano")</f>
        <v>Jeison Rubiano</v>
      </c>
      <c r="C755" s="15" t="str">
        <f>IFERROR(__xludf.DUMMYFUNCTION("""COMPUTED_VALUE"""),"BOGOTÁ")</f>
        <v>BOGOTÁ</v>
      </c>
      <c r="D755" s="15" t="str">
        <f>IFERROR(__xludf.DUMMYFUNCTION("""COMPUTED_VALUE"""),"MEDELLÍN")</f>
        <v>MEDELLÍN</v>
      </c>
      <c r="E755" s="15" t="str">
        <f>IFERROR(__xludf.DUMMYFUNCTION("""COMPUTED_VALUE"""),"Baby Chef")</f>
        <v>Baby Chef</v>
      </c>
      <c r="F755" s="17" t="str">
        <f>IFERROR(__xludf.DUMMYFUNCTION("""COMPUTED_VALUE"""),"calle 152 # 72 65 torre 2 apto 1002 macana veramonte / calle 152 # 72 65 torre 2 apto 1002 macana veramonte / calle 152 # 72 65 torre 2 apto 1002 macana veramonte")</f>
        <v>calle 152 # 72 65 torre 2 apto 1002 macana veramonte / calle 152 # 72 65 torre 2 apto 1002 macana veramonte / calle 152 # 72 65 torre 2 apto 1002 macana veramonte</v>
      </c>
      <c r="G755" s="15" t="str">
        <f>IFERROR(__xludf.DUMMYFUNCTION("""COMPUTED_VALUE"""),"KAREN GARCIA")</f>
        <v>KAREN GARCIA</v>
      </c>
      <c r="H755" s="16">
        <f>IFERROR(__xludf.DUMMYFUNCTION("""COMPUTED_VALUE"""),9471.0)</f>
        <v>9471</v>
      </c>
      <c r="I755" s="18">
        <f>IFERROR(__xludf.DUMMYFUNCTION("""COMPUTED_VALUE"""),8.0)</f>
        <v>8</v>
      </c>
      <c r="J755" s="18">
        <f>IFERROR(__xludf.DUMMYFUNCTION("""COMPUTED_VALUE"""),16.0)</f>
        <v>16</v>
      </c>
      <c r="K755" s="18">
        <f>IFERROR(__xludf.DUMMYFUNCTION("""COMPUTED_VALUE"""),20.0)</f>
        <v>20</v>
      </c>
      <c r="L755" s="17">
        <f>IFERROR(__xludf.DUMMYFUNCTION("""COMPUTED_VALUE"""),3.006730475E9)</f>
        <v>3006730475</v>
      </c>
      <c r="M755" s="17" t="str">
        <f>IFERROR(__xludf.DUMMYFUNCTION("""COMPUTED_VALUE"""),"#REF!")</f>
        <v>#REF!</v>
      </c>
      <c r="N755" s="17"/>
      <c r="O755" s="19" t="str">
        <f>IFERROR(__xludf.DUMMYFUNCTION("""COMPUTED_VALUE"""),"")</f>
        <v/>
      </c>
      <c r="P755" s="17" t="b">
        <f>IFERROR(__xludf.DUMMYFUNCTION("""COMPUTED_VALUE"""),TRUE)</f>
        <v>1</v>
      </c>
      <c r="Q755" s="20">
        <f>IFERROR(__xludf.DUMMYFUNCTION("""COMPUTED_VALUE"""),45021.26008392361)</f>
        <v>45021.26008</v>
      </c>
      <c r="R755" s="22" t="str">
        <f>IFERROR(__xludf.DUMMYFUNCTION("""COMPUTED_VALUE"""),"")</f>
        <v/>
      </c>
    </row>
    <row r="756">
      <c r="A756" s="15">
        <f>IFERROR(__xludf.DUMMYFUNCTION("""COMPUTED_VALUE"""),45020.0)</f>
        <v>45020</v>
      </c>
      <c r="B756" s="16" t="str">
        <f>IFERROR(__xludf.DUMMYFUNCTION("""COMPUTED_VALUE"""),"Jeison Rubiano")</f>
        <v>Jeison Rubiano</v>
      </c>
      <c r="C756" s="15" t="str">
        <f>IFERROR(__xludf.DUMMYFUNCTION("""COMPUTED_VALUE"""),"BOGOTÁ")</f>
        <v>BOGOTÁ</v>
      </c>
      <c r="D756" s="15" t="str">
        <f>IFERROR(__xludf.DUMMYFUNCTION("""COMPUTED_VALUE"""),"MEDELLÍN")</f>
        <v>MEDELLÍN</v>
      </c>
      <c r="E756" s="15" t="str">
        <f>IFERROR(__xludf.DUMMYFUNCTION("""COMPUTED_VALUE"""),"Baby Chef")</f>
        <v>Baby Chef</v>
      </c>
      <c r="F756" s="17" t="str">
        <f>IFERROR(__xludf.DUMMYFUNCTION("""COMPUTED_VALUE"""),"carrera 17 173-52 torre 5 ap 1601 conjunto moraika barrio alameda  /  carrera 17 173-52 torre 5 ap 1601 conjunto moraika barrio alameda  /  carrera 17 173-52 torre 5 ap 1601 conjunto moraika barrio alameda")</f>
        <v>carrera 17 173-52 torre 5 ap 1601 conjunto moraika barrio alameda  /  carrera 17 173-52 torre 5 ap 1601 conjunto moraika barrio alameda  /  carrera 17 173-52 torre 5 ap 1601 conjunto moraika barrio alameda</v>
      </c>
      <c r="G756" s="15" t="str">
        <f>IFERROR(__xludf.DUMMYFUNCTION("""COMPUTED_VALUE"""),"Natalia buitrago Rodríguez")</f>
        <v>Natalia buitrago Rodríguez</v>
      </c>
      <c r="H756" s="16">
        <f>IFERROR(__xludf.DUMMYFUNCTION("""COMPUTED_VALUE"""),9431.0)</f>
        <v>9431</v>
      </c>
      <c r="I756" s="18">
        <f>IFERROR(__xludf.DUMMYFUNCTION("""COMPUTED_VALUE"""),8.0)</f>
        <v>8</v>
      </c>
      <c r="J756" s="18">
        <f>IFERROR(__xludf.DUMMYFUNCTION("""COMPUTED_VALUE"""),16.0)</f>
        <v>16</v>
      </c>
      <c r="K756" s="18">
        <f>IFERROR(__xludf.DUMMYFUNCTION("""COMPUTED_VALUE"""),20.0)</f>
        <v>20</v>
      </c>
      <c r="L756" s="17">
        <f>IFERROR(__xludf.DUMMYFUNCTION("""COMPUTED_VALUE"""),3.208996417E9)</f>
        <v>3208996417</v>
      </c>
      <c r="M756" s="17" t="str">
        <f>IFERROR(__xludf.DUMMYFUNCTION("""COMPUTED_VALUE"""),"#REF!")</f>
        <v>#REF!</v>
      </c>
      <c r="N756" s="17"/>
      <c r="O756" s="19" t="str">
        <f>IFERROR(__xludf.DUMMYFUNCTION("""COMPUTED_VALUE"""),"")</f>
        <v/>
      </c>
      <c r="P756" s="17" t="b">
        <f>IFERROR(__xludf.DUMMYFUNCTION("""COMPUTED_VALUE"""),TRUE)</f>
        <v>1</v>
      </c>
      <c r="Q756" s="20">
        <f>IFERROR(__xludf.DUMMYFUNCTION("""COMPUTED_VALUE"""),45020.619620196754)</f>
        <v>45020.61962</v>
      </c>
      <c r="R756" s="22" t="str">
        <f>IFERROR(__xludf.DUMMYFUNCTION("""COMPUTED_VALUE"""),"")</f>
        <v/>
      </c>
    </row>
    <row r="757">
      <c r="A757" s="15">
        <f>IFERROR(__xludf.DUMMYFUNCTION("""COMPUTED_VALUE"""),45020.0)</f>
        <v>45020</v>
      </c>
      <c r="B757" s="16" t="str">
        <f>IFERROR(__xludf.DUMMYFUNCTION("""COMPUTED_VALUE"""),"Jeison Rubiano")</f>
        <v>Jeison Rubiano</v>
      </c>
      <c r="C757" s="15" t="str">
        <f>IFERROR(__xludf.DUMMYFUNCTION("""COMPUTED_VALUE"""),"BOGOTÁ")</f>
        <v>BOGOTÁ</v>
      </c>
      <c r="D757" s="15" t="str">
        <f>IFERROR(__xludf.DUMMYFUNCTION("""COMPUTED_VALUE"""),"MEDELLÍN")</f>
        <v>MEDELLÍN</v>
      </c>
      <c r="E757" s="15" t="str">
        <f>IFERROR(__xludf.DUMMYFUNCTION("""COMPUTED_VALUE"""),"Baby Chef")</f>
        <v>Baby Chef</v>
      </c>
      <c r="F757" s="17" t="str">
        <f>IFERROR(__xludf.DUMMYFUNCTION("""COMPUTED_VALUE"""),"Carrera 80a # 17 85 312 torre 3 Hayuelos / Carrera 80a # 17 85 312 torre 3 Hayuelos / Carrera 80a # 17 85 312 torre 3 Hayuelos")</f>
        <v>Carrera 80a # 17 85 312 torre 3 Hayuelos / Carrera 80a # 17 85 312 torre 3 Hayuelos / Carrera 80a # 17 85 312 torre 3 Hayuelos</v>
      </c>
      <c r="G757" s="15" t="str">
        <f>IFERROR(__xludf.DUMMYFUNCTION("""COMPUTED_VALUE"""),"Maria silva")</f>
        <v>Maria silva</v>
      </c>
      <c r="H757" s="16">
        <f>IFERROR(__xludf.DUMMYFUNCTION("""COMPUTED_VALUE"""),9457.0)</f>
        <v>9457</v>
      </c>
      <c r="I757" s="18">
        <f>IFERROR(__xludf.DUMMYFUNCTION("""COMPUTED_VALUE"""),8.0)</f>
        <v>8</v>
      </c>
      <c r="J757" s="18">
        <f>IFERROR(__xludf.DUMMYFUNCTION("""COMPUTED_VALUE"""),16.0)</f>
        <v>16</v>
      </c>
      <c r="K757" s="18">
        <f>IFERROR(__xludf.DUMMYFUNCTION("""COMPUTED_VALUE"""),20.0)</f>
        <v>20</v>
      </c>
      <c r="L757" s="17">
        <f>IFERROR(__xludf.DUMMYFUNCTION("""COMPUTED_VALUE"""),3.188223252E9)</f>
        <v>3188223252</v>
      </c>
      <c r="M757" s="17" t="str">
        <f>IFERROR(__xludf.DUMMYFUNCTION("""COMPUTED_VALUE"""),"#REF!")</f>
        <v>#REF!</v>
      </c>
      <c r="N757" s="17"/>
      <c r="O757" s="19" t="str">
        <f>IFERROR(__xludf.DUMMYFUNCTION("""COMPUTED_VALUE"""),"")</f>
        <v/>
      </c>
      <c r="P757" s="17" t="b">
        <f>IFERROR(__xludf.DUMMYFUNCTION("""COMPUTED_VALUE"""),TRUE)</f>
        <v>1</v>
      </c>
      <c r="Q757" s="20">
        <f>IFERROR(__xludf.DUMMYFUNCTION("""COMPUTED_VALUE"""),45020.732060787035)</f>
        <v>45020.73206</v>
      </c>
      <c r="R757" s="22" t="str">
        <f>IFERROR(__xludf.DUMMYFUNCTION("""COMPUTED_VALUE"""),"")</f>
        <v/>
      </c>
    </row>
    <row r="758">
      <c r="A758" s="15">
        <f>IFERROR(__xludf.DUMMYFUNCTION("""COMPUTED_VALUE"""),45020.0)</f>
        <v>45020</v>
      </c>
      <c r="B758" s="16" t="str">
        <f>IFERROR(__xludf.DUMMYFUNCTION("""COMPUTED_VALUE"""),"Jeison Rubiano")</f>
        <v>Jeison Rubiano</v>
      </c>
      <c r="C758" s="15" t="str">
        <f>IFERROR(__xludf.DUMMYFUNCTION("""COMPUTED_VALUE"""),"BOGOTÁ")</f>
        <v>BOGOTÁ</v>
      </c>
      <c r="D758" s="15" t="str">
        <f>IFERROR(__xludf.DUMMYFUNCTION("""COMPUTED_VALUE"""),"MEDELLÍN")</f>
        <v>MEDELLÍN</v>
      </c>
      <c r="E758" s="15" t="str">
        <f>IFERROR(__xludf.DUMMYFUNCTION("""COMPUTED_VALUE"""),"Baby Chef")</f>
        <v>Baby Chef</v>
      </c>
      <c r="F758" s="17" t="str">
        <f>IFERROR(__xludf.DUMMYFUNCTION("""COMPUTED_VALUE"""),"Casa - Carrera 25A # 2B-26 / Casa Carrera 25A # 2B-26 / Casa Carrera 25A # 2B-26")</f>
        <v>Casa - Carrera 25A # 2B-26 / Casa Carrera 25A # 2B-26 / Casa Carrera 25A # 2B-26</v>
      </c>
      <c r="G758" s="15" t="str">
        <f>IFERROR(__xludf.DUMMYFUNCTION("""COMPUTED_VALUE"""),"Carolina Turizzo Montoya")</f>
        <v>Carolina Turizzo Montoya</v>
      </c>
      <c r="H758" s="16">
        <f>IFERROR(__xludf.DUMMYFUNCTION("""COMPUTED_VALUE"""),9429.0)</f>
        <v>9429</v>
      </c>
      <c r="I758" s="18">
        <f>IFERROR(__xludf.DUMMYFUNCTION("""COMPUTED_VALUE"""),8.0)</f>
        <v>8</v>
      </c>
      <c r="J758" s="18">
        <f>IFERROR(__xludf.DUMMYFUNCTION("""COMPUTED_VALUE"""),16.0)</f>
        <v>16</v>
      </c>
      <c r="K758" s="18">
        <f>IFERROR(__xludf.DUMMYFUNCTION("""COMPUTED_VALUE"""),20.0)</f>
        <v>20</v>
      </c>
      <c r="L758" s="17">
        <f>IFERROR(__xludf.DUMMYFUNCTION("""COMPUTED_VALUE"""),3.012780842E9)</f>
        <v>3012780842</v>
      </c>
      <c r="M758" s="17" t="str">
        <f>IFERROR(__xludf.DUMMYFUNCTION("""COMPUTED_VALUE"""),"#REF!")</f>
        <v>#REF!</v>
      </c>
      <c r="N758" s="17"/>
      <c r="O758" s="19" t="str">
        <f>IFERROR(__xludf.DUMMYFUNCTION("""COMPUTED_VALUE"""),"")</f>
        <v/>
      </c>
      <c r="P758" s="17" t="b">
        <f>IFERROR(__xludf.DUMMYFUNCTION("""COMPUTED_VALUE"""),TRUE)</f>
        <v>1</v>
      </c>
      <c r="Q758" s="20">
        <f>IFERROR(__xludf.DUMMYFUNCTION("""COMPUTED_VALUE"""),45020.61970190972)</f>
        <v>45020.6197</v>
      </c>
      <c r="R758" s="22" t="str">
        <f>IFERROR(__xludf.DUMMYFUNCTION("""COMPUTED_VALUE"""),"")</f>
        <v/>
      </c>
    </row>
    <row r="759">
      <c r="A759" s="15">
        <f>IFERROR(__xludf.DUMMYFUNCTION("""COMPUTED_VALUE"""),45020.0)</f>
        <v>45020</v>
      </c>
      <c r="B759" s="16" t="str">
        <f>IFERROR(__xludf.DUMMYFUNCTION("""COMPUTED_VALUE"""),"Jeison Rubiano")</f>
        <v>Jeison Rubiano</v>
      </c>
      <c r="C759" s="15" t="str">
        <f>IFERROR(__xludf.DUMMYFUNCTION("""COMPUTED_VALUE"""),"BOGOTÁ")</f>
        <v>BOGOTÁ</v>
      </c>
      <c r="D759" s="15" t="str">
        <f>IFERROR(__xludf.DUMMYFUNCTION("""COMPUTED_VALUE"""),"MEDELLÍN")</f>
        <v>MEDELLÍN</v>
      </c>
      <c r="E759" s="15" t="str">
        <f>IFERROR(__xludf.DUMMYFUNCTION("""COMPUTED_VALUE"""),"Baby Chef")</f>
        <v>Baby Chef</v>
      </c>
      <c r="F759" s="17" t="str">
        <f>IFERROR(__xludf.DUMMYFUNCTION("""COMPUTED_VALUE"""),"Cra 82#80-28, Apto 301 / Cra 82#80-28, Apto 301 / Cra 82#80-28, Apto 301 casa")</f>
        <v>Cra 82#80-28, Apto 301 / Cra 82#80-28, Apto 301 / Cra 82#80-28, Apto 301 casa</v>
      </c>
      <c r="G759" s="15" t="str">
        <f>IFERROR(__xludf.DUMMYFUNCTION("""COMPUTED_VALUE"""),"Melanny  Muñoz Peña")</f>
        <v>Melanny  Muñoz Peña</v>
      </c>
      <c r="H759" s="16">
        <f>IFERROR(__xludf.DUMMYFUNCTION("""COMPUTED_VALUE"""),9426.0)</f>
        <v>9426</v>
      </c>
      <c r="I759" s="18">
        <f>IFERROR(__xludf.DUMMYFUNCTION("""COMPUTED_VALUE"""),8.0)</f>
        <v>8</v>
      </c>
      <c r="J759" s="18">
        <f>IFERROR(__xludf.DUMMYFUNCTION("""COMPUTED_VALUE"""),16.0)</f>
        <v>16</v>
      </c>
      <c r="K759" s="18">
        <f>IFERROR(__xludf.DUMMYFUNCTION("""COMPUTED_VALUE"""),20.0)</f>
        <v>20</v>
      </c>
      <c r="L759" s="17">
        <f>IFERROR(__xludf.DUMMYFUNCTION("""COMPUTED_VALUE"""),3.154177757E9)</f>
        <v>3154177757</v>
      </c>
      <c r="M759" s="17" t="str">
        <f>IFERROR(__xludf.DUMMYFUNCTION("""COMPUTED_VALUE"""),"#REF!")</f>
        <v>#REF!</v>
      </c>
      <c r="N759" s="17"/>
      <c r="O759" s="19" t="str">
        <f>IFERROR(__xludf.DUMMYFUNCTION("""COMPUTED_VALUE"""),"")</f>
        <v/>
      </c>
      <c r="P759" s="17" t="b">
        <f>IFERROR(__xludf.DUMMYFUNCTION("""COMPUTED_VALUE"""),TRUE)</f>
        <v>1</v>
      </c>
      <c r="Q759" s="20">
        <f>IFERROR(__xludf.DUMMYFUNCTION("""COMPUTED_VALUE"""),45020.61931679398)</f>
        <v>45020.61932</v>
      </c>
      <c r="R759" s="22" t="str">
        <f>IFERROR(__xludf.DUMMYFUNCTION("""COMPUTED_VALUE"""),"")</f>
        <v/>
      </c>
    </row>
    <row r="760">
      <c r="A760" s="15">
        <f>IFERROR(__xludf.DUMMYFUNCTION("""COMPUTED_VALUE"""),45020.0)</f>
        <v>45020</v>
      </c>
      <c r="B760" s="16" t="str">
        <f>IFERROR(__xludf.DUMMYFUNCTION("""COMPUTED_VALUE"""),"Jeison Rubiano")</f>
        <v>Jeison Rubiano</v>
      </c>
      <c r="C760" s="15" t="str">
        <f>IFERROR(__xludf.DUMMYFUNCTION("""COMPUTED_VALUE"""),"BOGOTÁ")</f>
        <v>BOGOTÁ</v>
      </c>
      <c r="D760" s="15" t="str">
        <f>IFERROR(__xludf.DUMMYFUNCTION("""COMPUTED_VALUE"""),"MEDELLÍN")</f>
        <v>MEDELLÍN</v>
      </c>
      <c r="E760" s="15" t="str">
        <f>IFERROR(__xludf.DUMMYFUNCTION("""COMPUTED_VALUE"""),"Baby Chef")</f>
        <v>Baby Chef</v>
      </c>
      <c r="F760" s="17" t="str">
        <f>IFERROR(__xludf.DUMMYFUNCTION("""COMPUTED_VALUE"""),"Transversal 3 # 84 a07 Apto 302 edificio mucrone / Transversal 3 # 84 a07 Apto 302 edificio mucrone / Transversal 3 # 84 a07 Apto 302 edificio mucrone")</f>
        <v>Transversal 3 # 84 a07 Apto 302 edificio mucrone / Transversal 3 # 84 a07 Apto 302 edificio mucrone / Transversal 3 # 84 a07 Apto 302 edificio mucrone</v>
      </c>
      <c r="G760" s="15" t="str">
        <f>IFERROR(__xludf.DUMMYFUNCTION("""COMPUTED_VALUE"""),"Alessia Zorio")</f>
        <v>Alessia Zorio</v>
      </c>
      <c r="H760" s="16">
        <f>IFERROR(__xludf.DUMMYFUNCTION("""COMPUTED_VALUE"""),9425.0)</f>
        <v>9425</v>
      </c>
      <c r="I760" s="18">
        <f>IFERROR(__xludf.DUMMYFUNCTION("""COMPUTED_VALUE"""),8.0)</f>
        <v>8</v>
      </c>
      <c r="J760" s="18">
        <f>IFERROR(__xludf.DUMMYFUNCTION("""COMPUTED_VALUE"""),16.0)</f>
        <v>16</v>
      </c>
      <c r="K760" s="18">
        <f>IFERROR(__xludf.DUMMYFUNCTION("""COMPUTED_VALUE"""),20.0)</f>
        <v>20</v>
      </c>
      <c r="L760" s="17">
        <f>IFERROR(__xludf.DUMMYFUNCTION("""COMPUTED_VALUE"""),3.133210388E9)</f>
        <v>3133210388</v>
      </c>
      <c r="M760" s="17" t="str">
        <f>IFERROR(__xludf.DUMMYFUNCTION("""COMPUTED_VALUE"""),"#REF!")</f>
        <v>#REF!</v>
      </c>
      <c r="N760" s="17"/>
      <c r="O760" s="19" t="str">
        <f>IFERROR(__xludf.DUMMYFUNCTION("""COMPUTED_VALUE"""),"")</f>
        <v/>
      </c>
      <c r="P760" s="17" t="b">
        <f>IFERROR(__xludf.DUMMYFUNCTION("""COMPUTED_VALUE"""),FALSE)</f>
        <v>0</v>
      </c>
      <c r="Q760" s="20" t="str">
        <f>IFERROR(__xludf.DUMMYFUNCTION("""COMPUTED_VALUE"""),"")</f>
        <v/>
      </c>
      <c r="R760" s="22" t="str">
        <f>IFERROR(__xludf.DUMMYFUNCTION("""COMPUTED_VALUE"""),"")</f>
        <v/>
      </c>
    </row>
    <row r="761">
      <c r="A761" s="15">
        <f>IFERROR(__xludf.DUMMYFUNCTION("""COMPUTED_VALUE"""),45020.0)</f>
        <v>45020</v>
      </c>
      <c r="B761" s="16" t="str">
        <f>IFERROR(__xludf.DUMMYFUNCTION("""COMPUTED_VALUE"""),"Jeison Rubiano")</f>
        <v>Jeison Rubiano</v>
      </c>
      <c r="C761" s="15" t="str">
        <f>IFERROR(__xludf.DUMMYFUNCTION("""COMPUTED_VALUE"""),"BOGOTÁ")</f>
        <v>BOGOTÁ</v>
      </c>
      <c r="D761" s="15" t="str">
        <f>IFERROR(__xludf.DUMMYFUNCTION("""COMPUTED_VALUE"""),"MEDELLÍN")</f>
        <v>MEDELLÍN</v>
      </c>
      <c r="E761" s="15" t="str">
        <f>IFERROR(__xludf.DUMMYFUNCTION("""COMPUTED_VALUE"""),"Mochi")</f>
        <v>Mochi</v>
      </c>
      <c r="F761" s="17" t="str">
        <f>IFERROR(__xludf.DUMMYFUNCTION("""COMPUTED_VALUE"""),"Cra 23 69 35 / 7 de agosto / 7 de agosto")</f>
        <v>Cra 23 69 35 / 7 de agosto / 7 de agosto</v>
      </c>
      <c r="G761" s="15" t="str">
        <f>IFERROR(__xludf.DUMMYFUNCTION("""COMPUTED_VALUE"""),"Mauricio Mora")</f>
        <v>Mauricio Mora</v>
      </c>
      <c r="H761" s="16">
        <f>IFERROR(__xludf.DUMMYFUNCTION("""COMPUTED_VALUE"""),9428.0)</f>
        <v>9428</v>
      </c>
      <c r="I761" s="18">
        <f>IFERROR(__xludf.DUMMYFUNCTION("""COMPUTED_VALUE"""),100.0)</f>
        <v>100</v>
      </c>
      <c r="J761" s="18">
        <f>IFERROR(__xludf.DUMMYFUNCTION("""COMPUTED_VALUE"""),10.0)</f>
        <v>10</v>
      </c>
      <c r="K761" s="18" t="str">
        <f>IFERROR(__xludf.DUMMYFUNCTION("""COMPUTED_VALUE"""),"297.5")</f>
        <v>297.5</v>
      </c>
      <c r="L761" s="17">
        <f>IFERROR(__xludf.DUMMYFUNCTION("""COMPUTED_VALUE"""),3.115177645E9)</f>
        <v>3115177645</v>
      </c>
      <c r="M761" s="17" t="str">
        <f>IFERROR(__xludf.DUMMYFUNCTION("""COMPUTED_VALUE"""),"#REF!")</f>
        <v>#REF!</v>
      </c>
      <c r="N761" s="17"/>
      <c r="O761" s="19" t="str">
        <f>IFERROR(__xludf.DUMMYFUNCTION("""COMPUTED_VALUE"""),"")</f>
        <v/>
      </c>
      <c r="P761" s="17" t="b">
        <f>IFERROR(__xludf.DUMMYFUNCTION("""COMPUTED_VALUE"""),TRUE)</f>
        <v>1</v>
      </c>
      <c r="Q761" s="20">
        <f>IFERROR(__xludf.DUMMYFUNCTION("""COMPUTED_VALUE"""),45020.681500798615)</f>
        <v>45020.6815</v>
      </c>
      <c r="R761" s="22" t="str">
        <f>IFERROR(__xludf.DUMMYFUNCTION("""COMPUTED_VALUE"""),"")</f>
        <v/>
      </c>
    </row>
    <row r="762">
      <c r="A762" s="15">
        <f>IFERROR(__xludf.DUMMYFUNCTION("""COMPUTED_VALUE"""),45020.0)</f>
        <v>45020</v>
      </c>
      <c r="B762" s="16" t="str">
        <f>IFERROR(__xludf.DUMMYFUNCTION("""COMPUTED_VALUE"""),"Jeison Rubiano")</f>
        <v>Jeison Rubiano</v>
      </c>
      <c r="C762" s="15" t="str">
        <f>IFERROR(__xludf.DUMMYFUNCTION("""COMPUTED_VALUE"""),"BOGOTÁ")</f>
        <v>BOGOTÁ</v>
      </c>
      <c r="D762" s="15" t="str">
        <f>IFERROR(__xludf.DUMMYFUNCTION("""COMPUTED_VALUE"""),"MEDELLÍN")</f>
        <v>MEDELLÍN</v>
      </c>
      <c r="E762" s="15" t="str">
        <f>IFERROR(__xludf.DUMMYFUNCTION("""COMPUTED_VALUE"""),"Moloso S.A.S")</f>
        <v>Moloso S.A.S</v>
      </c>
      <c r="F762" s="17" t="str">
        <f>IFERROR(__xludf.DUMMYFUNCTION("""COMPUTED_VALUE"""),"cll 1f 26 72")</f>
        <v>cll 1f 26 72</v>
      </c>
      <c r="G762" s="15" t="str">
        <f>IFERROR(__xludf.DUMMYFUNCTION("""COMPUTED_VALUE"""),"PAULA ALEJANDRA BARRIGA GÓMEZ")</f>
        <v>PAULA ALEJANDRA BARRIGA GÓMEZ</v>
      </c>
      <c r="H762" s="16">
        <f>IFERROR(__xludf.DUMMYFUNCTION("""COMPUTED_VALUE"""),9481.0)</f>
        <v>9481</v>
      </c>
      <c r="I762" s="18">
        <f>IFERROR(__xludf.DUMMYFUNCTION("""COMPUTED_VALUE"""),17.0)</f>
        <v>17</v>
      </c>
      <c r="J762" s="18">
        <f>IFERROR(__xludf.DUMMYFUNCTION("""COMPUTED_VALUE"""),15.0)</f>
        <v>15</v>
      </c>
      <c r="K762" s="18">
        <f>IFERROR(__xludf.DUMMYFUNCTION("""COMPUTED_VALUE"""),28.0)</f>
        <v>28</v>
      </c>
      <c r="L762" s="17" t="str">
        <f>IFERROR(__xludf.DUMMYFUNCTION("""COMPUTED_VALUE"""),"300 3705565")</f>
        <v>300 3705565</v>
      </c>
      <c r="M762" s="17" t="str">
        <f>IFERROR(__xludf.DUMMYFUNCTION("""COMPUTED_VALUE"""),"#REF!")</f>
        <v>#REF!</v>
      </c>
      <c r="N762" s="17"/>
      <c r="O762" s="19" t="str">
        <f>IFERROR(__xludf.DUMMYFUNCTION("""COMPUTED_VALUE"""),"")</f>
        <v/>
      </c>
      <c r="P762" s="17" t="b">
        <f>IFERROR(__xludf.DUMMYFUNCTION("""COMPUTED_VALUE"""),TRUE)</f>
        <v>1</v>
      </c>
      <c r="Q762" s="20">
        <f>IFERROR(__xludf.DUMMYFUNCTION("""COMPUTED_VALUE"""),45020.681500798615)</f>
        <v>45020.6815</v>
      </c>
      <c r="R762" s="22" t="str">
        <f>IFERROR(__xludf.DUMMYFUNCTION("""COMPUTED_VALUE"""),"")</f>
        <v/>
      </c>
    </row>
    <row r="763">
      <c r="A763" s="15">
        <f>IFERROR(__xludf.DUMMYFUNCTION("""COMPUTED_VALUE"""),45020.0)</f>
        <v>45020</v>
      </c>
      <c r="B763" s="16" t="str">
        <f>IFERROR(__xludf.DUMMYFUNCTION("""COMPUTED_VALUE"""),"Jeison Rubiano")</f>
        <v>Jeison Rubiano</v>
      </c>
      <c r="C763" s="15" t="str">
        <f>IFERROR(__xludf.DUMMYFUNCTION("""COMPUTED_VALUE"""),"BOGOTÁ")</f>
        <v>BOGOTÁ</v>
      </c>
      <c r="D763" s="15" t="str">
        <f>IFERROR(__xludf.DUMMYFUNCTION("""COMPUTED_VALUE"""),"MEDELLÍN")</f>
        <v>MEDELLÍN</v>
      </c>
      <c r="E763" s="15" t="str">
        <f>IFERROR(__xludf.DUMMYFUNCTION("""COMPUTED_VALUE"""),"Rambla")</f>
        <v>Rambla</v>
      </c>
      <c r="F763" s="17" t="str">
        <f>IFERROR(__xludf.DUMMYFUNCTION("""COMPUTED_VALUE"""),"Cra 3 (Av Circunvalar) # 42-60 Casa 226 / na / na")</f>
        <v>Cra 3 (Av Circunvalar) # 42-60 Casa 226 / na / na</v>
      </c>
      <c r="G763" s="15" t="str">
        <f>IFERROR(__xludf.DUMMYFUNCTION("""COMPUTED_VALUE"""),"FRESHCO")</f>
        <v>FRESHCO</v>
      </c>
      <c r="H763" s="16">
        <f>IFERROR(__xludf.DUMMYFUNCTION("""COMPUTED_VALUE"""),9437.0)</f>
        <v>9437</v>
      </c>
      <c r="I763" s="18">
        <f>IFERROR(__xludf.DUMMYFUNCTION("""COMPUTED_VALUE"""),21.0)</f>
        <v>21</v>
      </c>
      <c r="J763" s="18">
        <f>IFERROR(__xludf.DUMMYFUNCTION("""COMPUTED_VALUE"""),25.0)</f>
        <v>25</v>
      </c>
      <c r="K763" s="18">
        <f>IFERROR(__xludf.DUMMYFUNCTION("""COMPUTED_VALUE"""),28.0)</f>
        <v>28</v>
      </c>
      <c r="L763" s="17">
        <f>IFERROR(__xludf.DUMMYFUNCTION("""COMPUTED_VALUE"""),3.229417869E9)</f>
        <v>3229417869</v>
      </c>
      <c r="M763" s="17" t="str">
        <f>IFERROR(__xludf.DUMMYFUNCTION("""COMPUTED_VALUE"""),"#REF!")</f>
        <v>#REF!</v>
      </c>
      <c r="N763" s="17"/>
      <c r="O763" s="19" t="str">
        <f>IFERROR(__xludf.DUMMYFUNCTION("""COMPUTED_VALUE"""),"")</f>
        <v/>
      </c>
      <c r="P763" s="17" t="b">
        <f>IFERROR(__xludf.DUMMYFUNCTION("""COMPUTED_VALUE"""),TRUE)</f>
        <v>1</v>
      </c>
      <c r="Q763" s="20">
        <f>IFERROR(__xludf.DUMMYFUNCTION("""COMPUTED_VALUE"""),45020.61950673611)</f>
        <v>45020.61951</v>
      </c>
      <c r="R763" s="22" t="str">
        <f>IFERROR(__xludf.DUMMYFUNCTION("""COMPUTED_VALUE"""),"")</f>
        <v/>
      </c>
    </row>
    <row r="764">
      <c r="A764" s="15">
        <f>IFERROR(__xludf.DUMMYFUNCTION("""COMPUTED_VALUE"""),45020.0)</f>
        <v>45020</v>
      </c>
      <c r="B764" s="16" t="str">
        <f>IFERROR(__xludf.DUMMYFUNCTION("""COMPUTED_VALUE"""),"Jeison Rubiano")</f>
        <v>Jeison Rubiano</v>
      </c>
      <c r="C764" s="15" t="str">
        <f>IFERROR(__xludf.DUMMYFUNCTION("""COMPUTED_VALUE"""),"MANIZALES")</f>
        <v>MANIZALES</v>
      </c>
      <c r="D764" s="15" t="str">
        <f>IFERROR(__xludf.DUMMYFUNCTION("""COMPUTED_VALUE"""),"BOGOTÁ")</f>
        <v>BOGOTÁ</v>
      </c>
      <c r="E764" s="15" t="str">
        <f>IFERROR(__xludf.DUMMYFUNCTION("""COMPUTED_VALUE"""),"Evamazzita")</f>
        <v>Evamazzita</v>
      </c>
      <c r="F764" s="17" t="str">
        <f>IFERROR(__xludf.DUMMYFUNCTION("""COMPUTED_VALUE"""),"calle 43 # 5 - 110  / Paisajes del cerro, Torre A apto 1304  / Palo negro")</f>
        <v>calle 43 # 5 - 110  / Paisajes del cerro, Torre A apto 1304  / Palo negro</v>
      </c>
      <c r="G764" s="15" t="str">
        <f>IFERROR(__xludf.DUMMYFUNCTION("""COMPUTED_VALUE"""),"JULIANA RAMIREZ")</f>
        <v>JULIANA RAMIREZ</v>
      </c>
      <c r="H764" s="16">
        <f>IFERROR(__xludf.DUMMYFUNCTION("""COMPUTED_VALUE"""),9387.0)</f>
        <v>9387</v>
      </c>
      <c r="I764" s="18">
        <f>IFERROR(__xludf.DUMMYFUNCTION("""COMPUTED_VALUE"""),3.0)</f>
        <v>3</v>
      </c>
      <c r="J764" s="18">
        <f>IFERROR(__xludf.DUMMYFUNCTION("""COMPUTED_VALUE"""),20.0)</f>
        <v>20</v>
      </c>
      <c r="K764" s="18">
        <f>IFERROR(__xludf.DUMMYFUNCTION("""COMPUTED_VALUE"""),15.0)</f>
        <v>15</v>
      </c>
      <c r="L764" s="17">
        <f>IFERROR(__xludf.DUMMYFUNCTION("""COMPUTED_VALUE"""),3.135633532E9)</f>
        <v>3135633532</v>
      </c>
      <c r="M764" s="17" t="str">
        <f>IFERROR(__xludf.DUMMYFUNCTION("""COMPUTED_VALUE"""),"#REF!")</f>
        <v>#REF!</v>
      </c>
      <c r="N764" s="17"/>
      <c r="O764" s="19" t="str">
        <f>IFERROR(__xludf.DUMMYFUNCTION("""COMPUTED_VALUE"""),"")</f>
        <v/>
      </c>
      <c r="P764" s="17" t="b">
        <f>IFERROR(__xludf.DUMMYFUNCTION("""COMPUTED_VALUE"""),TRUE)</f>
        <v>1</v>
      </c>
      <c r="Q764" s="20">
        <f>IFERROR(__xludf.DUMMYFUNCTION("""COMPUTED_VALUE"""),45020.61928226852)</f>
        <v>45020.61928</v>
      </c>
      <c r="R764" s="22" t="str">
        <f>IFERROR(__xludf.DUMMYFUNCTION("""COMPUTED_VALUE"""),"")</f>
        <v/>
      </c>
    </row>
    <row r="765">
      <c r="A765" s="15">
        <f>IFERROR(__xludf.DUMMYFUNCTION("""COMPUTED_VALUE"""),45020.0)</f>
        <v>45020</v>
      </c>
      <c r="B765" s="16" t="str">
        <f>IFERROR(__xludf.DUMMYFUNCTION("""COMPUTED_VALUE"""),"Jeison Rubiano")</f>
        <v>Jeison Rubiano</v>
      </c>
      <c r="C765" s="15" t="str">
        <f>IFERROR(__xludf.DUMMYFUNCTION("""COMPUTED_VALUE"""),"MANIZALES")</f>
        <v>MANIZALES</v>
      </c>
      <c r="D765" s="15" t="str">
        <f>IFERROR(__xludf.DUMMYFUNCTION("""COMPUTED_VALUE"""),"BOGOTÁ")</f>
        <v>BOGOTÁ</v>
      </c>
      <c r="E765" s="15" t="str">
        <f>IFERROR(__xludf.DUMMYFUNCTION("""COMPUTED_VALUE"""),"Lunchy Kids")</f>
        <v>Lunchy Kids</v>
      </c>
      <c r="F765" s="17" t="str">
        <f>IFERROR(__xludf.DUMMYFUNCTION("""COMPUTED_VALUE"""),"Avenida Alberto Mendoza #77-40   /  Edificio Moratto Living Sector El Trebol Apto 1004  / Manizales")</f>
        <v>Avenida Alberto Mendoza #77-40   /  Edificio Moratto Living Sector El Trebol Apto 1004  / Manizales</v>
      </c>
      <c r="G765" s="15" t="str">
        <f>IFERROR(__xludf.DUMMYFUNCTION("""COMPUTED_VALUE"""),"Lina Tovar")</f>
        <v>Lina Tovar</v>
      </c>
      <c r="H765" s="16">
        <f>IFERROR(__xludf.DUMMYFUNCTION("""COMPUTED_VALUE"""),9485.0)</f>
        <v>9485</v>
      </c>
      <c r="I765" s="18">
        <f>IFERROR(__xludf.DUMMYFUNCTION("""COMPUTED_VALUE"""),22.0)</f>
        <v>22</v>
      </c>
      <c r="J765" s="18">
        <f>IFERROR(__xludf.DUMMYFUNCTION("""COMPUTED_VALUE"""),16.0)</f>
        <v>16</v>
      </c>
      <c r="K765" s="18">
        <f>IFERROR(__xludf.DUMMYFUNCTION("""COMPUTED_VALUE"""),20.0)</f>
        <v>20</v>
      </c>
      <c r="L765" s="17">
        <f>IFERROR(__xludf.DUMMYFUNCTION("""COMPUTED_VALUE"""),3.123861608E9)</f>
        <v>3123861608</v>
      </c>
      <c r="M765" s="17" t="str">
        <f>IFERROR(__xludf.DUMMYFUNCTION("""COMPUTED_VALUE"""),"#REF!")</f>
        <v>#REF!</v>
      </c>
      <c r="N765" s="17"/>
      <c r="O765" s="19" t="str">
        <f>IFERROR(__xludf.DUMMYFUNCTION("""COMPUTED_VALUE"""),"")</f>
        <v/>
      </c>
      <c r="P765" s="17" t="b">
        <f>IFERROR(__xludf.DUMMYFUNCTION("""COMPUTED_VALUE"""),TRUE)</f>
        <v>1</v>
      </c>
      <c r="Q765" s="20">
        <f>IFERROR(__xludf.DUMMYFUNCTION("""COMPUTED_VALUE"""),45020.61985903935)</f>
        <v>45020.61986</v>
      </c>
      <c r="R765" s="22" t="str">
        <f>IFERROR(__xludf.DUMMYFUNCTION("""COMPUTED_VALUE"""),"")</f>
        <v/>
      </c>
    </row>
    <row r="766">
      <c r="A766" s="15">
        <f>IFERROR(__xludf.DUMMYFUNCTION("""COMPUTED_VALUE"""),45020.0)</f>
        <v>45020</v>
      </c>
      <c r="B766" s="16" t="str">
        <f>IFERROR(__xludf.DUMMYFUNCTION("""COMPUTED_VALUE"""),"Jeison Rubiano")</f>
        <v>Jeison Rubiano</v>
      </c>
      <c r="C766" s="15" t="str">
        <f>IFERROR(__xludf.DUMMYFUNCTION("""COMPUTED_VALUE"""),"MANIZALES")</f>
        <v>MANIZALES</v>
      </c>
      <c r="D766" s="15" t="str">
        <f>IFERROR(__xludf.DUMMYFUNCTION("""COMPUTED_VALUE"""),"MEDELLÍN")</f>
        <v>MEDELLÍN</v>
      </c>
      <c r="E766" s="15" t="str">
        <f>IFERROR(__xludf.DUMMYFUNCTION("""COMPUTED_VALUE"""),"Todo Bufala")</f>
        <v>Todo Bufala</v>
      </c>
      <c r="F766" s="17" t="str">
        <f>IFERROR(__xludf.DUMMYFUNCTION("""COMPUTED_VALUE"""),"Call 66 23b-11 / Edifico calle larga, local 5c")</f>
        <v>Call 66 23b-11 / Edifico calle larga, local 5c</v>
      </c>
      <c r="G766" s="15" t="str">
        <f>IFERROR(__xludf.DUMMYFUNCTION("""COMPUTED_VALUE"""),"Sebastian Perez")</f>
        <v>Sebastian Perez</v>
      </c>
      <c r="H766" s="16">
        <f>IFERROR(__xludf.DUMMYFUNCTION("""COMPUTED_VALUE"""),9374.0)</f>
        <v>9374</v>
      </c>
      <c r="I766" s="18">
        <f>IFERROR(__xludf.DUMMYFUNCTION("""COMPUTED_VALUE"""),40.0)</f>
        <v>40</v>
      </c>
      <c r="J766" s="18">
        <f>IFERROR(__xludf.DUMMYFUNCTION("""COMPUTED_VALUE"""),30.0)</f>
        <v>30</v>
      </c>
      <c r="K766" s="18">
        <f>IFERROR(__xludf.DUMMYFUNCTION("""COMPUTED_VALUE"""),20.0)</f>
        <v>20</v>
      </c>
      <c r="L766" s="17"/>
      <c r="M766" s="17" t="str">
        <f>IFERROR(__xludf.DUMMYFUNCTION("""COMPUTED_VALUE"""),"#REF!")</f>
        <v>#REF!</v>
      </c>
      <c r="N766" s="17"/>
      <c r="O766" s="19" t="str">
        <f>IFERROR(__xludf.DUMMYFUNCTION("""COMPUTED_VALUE"""),"")</f>
        <v/>
      </c>
      <c r="P766" s="17" t="b">
        <f>IFERROR(__xludf.DUMMYFUNCTION("""COMPUTED_VALUE"""),FALSE)</f>
        <v>0</v>
      </c>
      <c r="Q766" s="20" t="str">
        <f>IFERROR(__xludf.DUMMYFUNCTION("""COMPUTED_VALUE"""),"")</f>
        <v/>
      </c>
      <c r="R766" s="22" t="str">
        <f>IFERROR(__xludf.DUMMYFUNCTION("""COMPUTED_VALUE"""),"")</f>
        <v/>
      </c>
    </row>
    <row r="767">
      <c r="A767" s="17" t="str">
        <f>IFERROR(__xludf.DUMMYFUNCTION("""COMPUTED_VALUE"""),"")</f>
        <v/>
      </c>
      <c r="B767" s="17" t="str">
        <f>IFERROR(__xludf.DUMMYFUNCTION("""COMPUTED_VALUE"""),"")</f>
        <v/>
      </c>
      <c r="C767" s="17" t="str">
        <f>IFERROR(__xludf.DUMMYFUNCTION("""COMPUTED_VALUE"""),"")</f>
        <v/>
      </c>
      <c r="D767" s="17" t="str">
        <f>IFERROR(__xludf.DUMMYFUNCTION("""COMPUTED_VALUE"""),"")</f>
        <v/>
      </c>
      <c r="E767" s="17" t="str">
        <f>IFERROR(__xludf.DUMMYFUNCTION("""COMPUTED_VALUE"""),"")</f>
        <v/>
      </c>
      <c r="F767" s="17" t="str">
        <f>IFERROR(__xludf.DUMMYFUNCTION("""COMPUTED_VALUE"""),"")</f>
        <v/>
      </c>
      <c r="G767" s="17" t="str">
        <f>IFERROR(__xludf.DUMMYFUNCTION("""COMPUTED_VALUE"""),"")</f>
        <v/>
      </c>
      <c r="H767" s="17" t="str">
        <f>IFERROR(__xludf.DUMMYFUNCTION("""COMPUTED_VALUE"""),"")</f>
        <v/>
      </c>
      <c r="I767" s="17" t="str">
        <f>IFERROR(__xludf.DUMMYFUNCTION("""COMPUTED_VALUE"""),"")</f>
        <v/>
      </c>
      <c r="J767" s="17" t="str">
        <f>IFERROR(__xludf.DUMMYFUNCTION("""COMPUTED_VALUE"""),"")</f>
        <v/>
      </c>
      <c r="K767" s="17" t="str">
        <f>IFERROR(__xludf.DUMMYFUNCTION("""COMPUTED_VALUE"""),"")</f>
        <v/>
      </c>
      <c r="L767" s="17" t="str">
        <f>IFERROR(__xludf.DUMMYFUNCTION("""COMPUTED_VALUE"""),"")</f>
        <v/>
      </c>
      <c r="M767" s="17" t="str">
        <f>IFERROR(__xludf.DUMMYFUNCTION("""COMPUTED_VALUE"""),"")</f>
        <v/>
      </c>
      <c r="N767" s="17" t="str">
        <f>IFERROR(__xludf.DUMMYFUNCTION("""COMPUTED_VALUE"""),"")</f>
        <v/>
      </c>
      <c r="O767" s="17" t="str">
        <f>IFERROR(__xludf.DUMMYFUNCTION("""COMPUTED_VALUE"""),"")</f>
        <v/>
      </c>
      <c r="P767" s="17" t="str">
        <f>IFERROR(__xludf.DUMMYFUNCTION("""COMPUTED_VALUE"""),"")</f>
        <v/>
      </c>
      <c r="Q767" s="17" t="str">
        <f>IFERROR(__xludf.DUMMYFUNCTION("""COMPUTED_VALUE"""),"")</f>
        <v/>
      </c>
      <c r="R767" s="17" t="str">
        <f>IFERROR(__xludf.DUMMYFUNCTION("""COMPUTED_VALUE"""),"")</f>
        <v/>
      </c>
    </row>
    <row r="768">
      <c r="A768" s="15">
        <f>IFERROR(__xludf.DUMMYFUNCTION("""COMPUTED_VALUE"""),45020.0)</f>
        <v>45020</v>
      </c>
      <c r="B768" s="16" t="str">
        <f>IFERROR(__xludf.DUMMYFUNCTION("""COMPUTED_VALUE"""),"Jesus Manuel Herrera Medina ")</f>
        <v>Jesus Manuel Herrera Medina </v>
      </c>
      <c r="C768" s="15" t="str">
        <f>IFERROR(__xludf.DUMMYFUNCTION("""COMPUTED_VALUE"""),"BUCARAMANGA")</f>
        <v>BUCARAMANGA</v>
      </c>
      <c r="D768" s="15" t="str">
        <f>IFERROR(__xludf.DUMMYFUNCTION("""COMPUTED_VALUE"""),"BOGOTÁ")</f>
        <v>BOGOTÁ</v>
      </c>
      <c r="E768" s="15" t="str">
        <f>IFERROR(__xludf.DUMMYFUNCTION("""COMPUTED_VALUE"""),"Evamazzita")</f>
        <v>Evamazzita</v>
      </c>
      <c r="F768" s="17" t="str">
        <f>IFERROR(__xludf.DUMMYFUNCTION("""COMPUTED_VALUE"""),"CARRERA 20 # 7 - 11 / N/A / BARRIO COMUNEROS")</f>
        <v>CARRERA 20 # 7 - 11 / N/A / BARRIO COMUNEROS</v>
      </c>
      <c r="G768" s="15" t="str">
        <f>IFERROR(__xludf.DUMMYFUNCTION("""COMPUTED_VALUE"""),"MARIO JOSÉ CORTÉS PARADA")</f>
        <v>MARIO JOSÉ CORTÉS PARADA</v>
      </c>
      <c r="H768" s="16">
        <f>IFERROR(__xludf.DUMMYFUNCTION("""COMPUTED_VALUE"""),9390.0)</f>
        <v>9390</v>
      </c>
      <c r="I768" s="18">
        <f>IFERROR(__xludf.DUMMYFUNCTION("""COMPUTED_VALUE"""),20.0)</f>
        <v>20</v>
      </c>
      <c r="J768" s="18">
        <f>IFERROR(__xludf.DUMMYFUNCTION("""COMPUTED_VALUE"""),36.0)</f>
        <v>36</v>
      </c>
      <c r="K768" s="18">
        <f>IFERROR(__xludf.DUMMYFUNCTION("""COMPUTED_VALUE"""),26.0)</f>
        <v>26</v>
      </c>
      <c r="L768" s="17">
        <f>IFERROR(__xludf.DUMMYFUNCTION("""COMPUTED_VALUE"""),3.123394474E9)</f>
        <v>3123394474</v>
      </c>
      <c r="M768" s="17" t="str">
        <f>IFERROR(__xludf.DUMMYFUNCTION("""COMPUTED_VALUE"""),"#REF!")</f>
        <v>#REF!</v>
      </c>
      <c r="N768" s="17"/>
      <c r="O768" s="19" t="str">
        <f>IFERROR(__xludf.DUMMYFUNCTION("""COMPUTED_VALUE"""),"")</f>
        <v/>
      </c>
      <c r="P768" s="17" t="b">
        <f>IFERROR(__xludf.DUMMYFUNCTION("""COMPUTED_VALUE"""),TRUE)</f>
        <v>1</v>
      </c>
      <c r="Q768" s="20">
        <f>IFERROR(__xludf.DUMMYFUNCTION("""COMPUTED_VALUE"""),45020.60643230324)</f>
        <v>45020.60643</v>
      </c>
      <c r="R768" s="22" t="str">
        <f>IFERROR(__xludf.DUMMYFUNCTION("""COMPUTED_VALUE"""),"")</f>
        <v/>
      </c>
    </row>
    <row r="769">
      <c r="A769" s="15">
        <f>IFERROR(__xludf.DUMMYFUNCTION("""COMPUTED_VALUE"""),45020.0)</f>
        <v>45020</v>
      </c>
      <c r="B769" s="16" t="str">
        <f>IFERROR(__xludf.DUMMYFUNCTION("""COMPUTED_VALUE"""),"Jesus Manuel Herrera Medina ")</f>
        <v>Jesus Manuel Herrera Medina </v>
      </c>
      <c r="C769" s="15" t="str">
        <f>IFERROR(__xludf.DUMMYFUNCTION("""COMPUTED_VALUE"""),"BUCARAMANGA")</f>
        <v>BUCARAMANGA</v>
      </c>
      <c r="D769" s="15" t="str">
        <f>IFERROR(__xludf.DUMMYFUNCTION("""COMPUTED_VALUE"""),"BOGOTÁ")</f>
        <v>BOGOTÁ</v>
      </c>
      <c r="E769" s="15" t="str">
        <f>IFERROR(__xludf.DUMMYFUNCTION("""COMPUTED_VALUE"""),"Loomifoods")</f>
        <v>Loomifoods</v>
      </c>
      <c r="F769" s="17" t="str">
        <f>IFERROR(__xludf.DUMMYFUNCTION("""COMPUTED_VALUE"""),"Ruitoque Condominio  / conjunto ruitoque gold  / casa 10")</f>
        <v>Ruitoque Condominio  / conjunto ruitoque gold  / casa 10</v>
      </c>
      <c r="G769" s="15" t="str">
        <f>IFERROR(__xludf.DUMMYFUNCTION("""COMPUTED_VALUE"""),"Maria Juliana Ricaurte")</f>
        <v>Maria Juliana Ricaurte</v>
      </c>
      <c r="H769" s="16">
        <f>IFERROR(__xludf.DUMMYFUNCTION("""COMPUTED_VALUE"""),9459.0)</f>
        <v>9459</v>
      </c>
      <c r="I769" s="18">
        <f>IFERROR(__xludf.DUMMYFUNCTION("""COMPUTED_VALUE"""),20.0)</f>
        <v>20</v>
      </c>
      <c r="J769" s="18">
        <f>IFERROR(__xludf.DUMMYFUNCTION("""COMPUTED_VALUE"""),5.0)</f>
        <v>5</v>
      </c>
      <c r="K769" s="18">
        <f>IFERROR(__xludf.DUMMYFUNCTION("""COMPUTED_VALUE"""),16.0)</f>
        <v>16</v>
      </c>
      <c r="L769" s="17">
        <f>IFERROR(__xludf.DUMMYFUNCTION("""COMPUTED_VALUE"""),3.158726933E9)</f>
        <v>3158726933</v>
      </c>
      <c r="M769" s="17" t="str">
        <f>IFERROR(__xludf.DUMMYFUNCTION("""COMPUTED_VALUE"""),"#REF!")</f>
        <v>#REF!</v>
      </c>
      <c r="N769" s="17"/>
      <c r="O769" s="19" t="str">
        <f>IFERROR(__xludf.DUMMYFUNCTION("""COMPUTED_VALUE"""),"")</f>
        <v/>
      </c>
      <c r="P769" s="17" t="b">
        <f>IFERROR(__xludf.DUMMYFUNCTION("""COMPUTED_VALUE"""),TRUE)</f>
        <v>1</v>
      </c>
      <c r="Q769" s="20">
        <f>IFERROR(__xludf.DUMMYFUNCTION("""COMPUTED_VALUE"""),45020.60643230324)</f>
        <v>45020.60643</v>
      </c>
      <c r="R769" s="22" t="str">
        <f>IFERROR(__xludf.DUMMYFUNCTION("""COMPUTED_VALUE"""),"")</f>
        <v/>
      </c>
    </row>
    <row r="770">
      <c r="A770" s="15">
        <f>IFERROR(__xludf.DUMMYFUNCTION("""COMPUTED_VALUE"""),45020.0)</f>
        <v>45020</v>
      </c>
      <c r="B770" s="16" t="str">
        <f>IFERROR(__xludf.DUMMYFUNCTION("""COMPUTED_VALUE"""),"Jesus Manuel Herrera Medina ")</f>
        <v>Jesus Manuel Herrera Medina </v>
      </c>
      <c r="C770" s="15" t="str">
        <f>IFERROR(__xludf.DUMMYFUNCTION("""COMPUTED_VALUE"""),"BUCARAMANGA")</f>
        <v>BUCARAMANGA</v>
      </c>
      <c r="D770" s="15" t="str">
        <f>IFERROR(__xludf.DUMMYFUNCTION("""COMPUTED_VALUE"""),"BOGOTÁ")</f>
        <v>BOGOTÁ</v>
      </c>
      <c r="E770" s="15" t="str">
        <f>IFERROR(__xludf.DUMMYFUNCTION("""COMPUTED_VALUE"""),"Lunchy Kids")</f>
        <v>Lunchy Kids</v>
      </c>
      <c r="F770" s="17" t="str">
        <f>IFERROR(__xludf.DUMMYFUNCTION("""COMPUTED_VALUE"""),"Calle 89# 24-10 apto 302 / No tiene nombre el edificio pero en el primer piso queda una tienda llamada la luna. / Diamante 2")</f>
        <v>Calle 89# 24-10 apto 302 / No tiene nombre el edificio pero en el primer piso queda una tienda llamada la luna. / Diamante 2</v>
      </c>
      <c r="G770" s="15" t="str">
        <f>IFERROR(__xludf.DUMMYFUNCTION("""COMPUTED_VALUE"""),"Paola Andrea Torres")</f>
        <v>Paola Andrea Torres</v>
      </c>
      <c r="H770" s="16">
        <f>IFERROR(__xludf.DUMMYFUNCTION("""COMPUTED_VALUE"""),9484.0)</f>
        <v>9484</v>
      </c>
      <c r="I770" s="18">
        <f>IFERROR(__xludf.DUMMYFUNCTION("""COMPUTED_VALUE"""),22.0)</f>
        <v>22</v>
      </c>
      <c r="J770" s="18">
        <f>IFERROR(__xludf.DUMMYFUNCTION("""COMPUTED_VALUE"""),30.0)</f>
        <v>30</v>
      </c>
      <c r="K770" s="18">
        <f>IFERROR(__xludf.DUMMYFUNCTION("""COMPUTED_VALUE"""),9.0)</f>
        <v>9</v>
      </c>
      <c r="L770" s="17">
        <f>IFERROR(__xludf.DUMMYFUNCTION("""COMPUTED_VALUE"""),3.223026377E9)</f>
        <v>3223026377</v>
      </c>
      <c r="M770" s="17" t="str">
        <f>IFERROR(__xludf.DUMMYFUNCTION("""COMPUTED_VALUE"""),"#REF!")</f>
        <v>#REF!</v>
      </c>
      <c r="N770" s="17"/>
      <c r="O770" s="19" t="str">
        <f>IFERROR(__xludf.DUMMYFUNCTION("""COMPUTED_VALUE"""),"")</f>
        <v/>
      </c>
      <c r="P770" s="17" t="b">
        <f>IFERROR(__xludf.DUMMYFUNCTION("""COMPUTED_VALUE"""),TRUE)</f>
        <v>1</v>
      </c>
      <c r="Q770" s="20">
        <f>IFERROR(__xludf.DUMMYFUNCTION("""COMPUTED_VALUE"""),45020.60643230324)</f>
        <v>45020.60643</v>
      </c>
      <c r="R770" s="22" t="str">
        <f>IFERROR(__xludf.DUMMYFUNCTION("""COMPUTED_VALUE"""),"")</f>
        <v/>
      </c>
    </row>
    <row r="771">
      <c r="A771" s="15">
        <f>IFERROR(__xludf.DUMMYFUNCTION("""COMPUTED_VALUE"""),45020.0)</f>
        <v>45020</v>
      </c>
      <c r="B771" s="16" t="str">
        <f>IFERROR(__xludf.DUMMYFUNCTION("""COMPUTED_VALUE"""),"Jesus Manuel Herrera Medina ")</f>
        <v>Jesus Manuel Herrera Medina </v>
      </c>
      <c r="C771" s="15" t="str">
        <f>IFERROR(__xludf.DUMMYFUNCTION("""COMPUTED_VALUE"""),"BUCARAMANGA")</f>
        <v>BUCARAMANGA</v>
      </c>
      <c r="D771" s="15" t="str">
        <f>IFERROR(__xludf.DUMMYFUNCTION("""COMPUTED_VALUE"""),"MEDELLÍN")</f>
        <v>MEDELLÍN</v>
      </c>
      <c r="E771" s="15" t="str">
        <f>IFERROR(__xludf.DUMMYFUNCTION("""COMPUTED_VALUE"""),"Baby Chef")</f>
        <v>Baby Chef</v>
      </c>
      <c r="F771" s="17" t="str">
        <f>IFERROR(__xludf.DUMMYFUNCTION("""COMPUTED_VALUE"""),"Edifício La Foret Avenida 39 51 14 Apto 303 / Edifício La Foret Avenida 39 51 14 Apto 303 / Edifício La Foret Avenida 39 51 14 Apto 303")</f>
        <v>Edifício La Foret Avenida 39 51 14 Apto 303 / Edifício La Foret Avenida 39 51 14 Apto 303 / Edifício La Foret Avenida 39 51 14 Apto 303</v>
      </c>
      <c r="G771" s="15" t="str">
        <f>IFERROR(__xludf.DUMMYFUNCTION("""COMPUTED_VALUE"""),"Diana Agudelo")</f>
        <v>Diana Agudelo</v>
      </c>
      <c r="H771" s="16">
        <f>IFERROR(__xludf.DUMMYFUNCTION("""COMPUTED_VALUE"""),9421.0)</f>
        <v>9421</v>
      </c>
      <c r="I771" s="18">
        <f>IFERROR(__xludf.DUMMYFUNCTION("""COMPUTED_VALUE"""),8.0)</f>
        <v>8</v>
      </c>
      <c r="J771" s="18">
        <f>IFERROR(__xludf.DUMMYFUNCTION("""COMPUTED_VALUE"""),16.0)</f>
        <v>16</v>
      </c>
      <c r="K771" s="18">
        <f>IFERROR(__xludf.DUMMYFUNCTION("""COMPUTED_VALUE"""),20.0)</f>
        <v>20</v>
      </c>
      <c r="L771" s="17">
        <f>IFERROR(__xludf.DUMMYFUNCTION("""COMPUTED_VALUE"""),3.012793374E9)</f>
        <v>3012793374</v>
      </c>
      <c r="M771" s="17" t="str">
        <f>IFERROR(__xludf.DUMMYFUNCTION("""COMPUTED_VALUE"""),"#REF!")</f>
        <v>#REF!</v>
      </c>
      <c r="N771" s="17"/>
      <c r="O771" s="19" t="str">
        <f>IFERROR(__xludf.DUMMYFUNCTION("""COMPUTED_VALUE"""),"")</f>
        <v/>
      </c>
      <c r="P771" s="17" t="b">
        <f>IFERROR(__xludf.DUMMYFUNCTION("""COMPUTED_VALUE"""),TRUE)</f>
        <v>1</v>
      </c>
      <c r="Q771" s="20">
        <f>IFERROR(__xludf.DUMMYFUNCTION("""COMPUTED_VALUE"""),45020.60643230324)</f>
        <v>45020.60643</v>
      </c>
      <c r="R771" s="22" t="str">
        <f>IFERROR(__xludf.DUMMYFUNCTION("""COMPUTED_VALUE"""),"")</f>
        <v/>
      </c>
    </row>
    <row r="772">
      <c r="A772" s="15">
        <f>IFERROR(__xludf.DUMMYFUNCTION("""COMPUTED_VALUE"""),45020.0)</f>
        <v>45020</v>
      </c>
      <c r="B772" s="16" t="str">
        <f>IFERROR(__xludf.DUMMYFUNCTION("""COMPUTED_VALUE"""),"Jesus Manuel Herrera Medina ")</f>
        <v>Jesus Manuel Herrera Medina </v>
      </c>
      <c r="C772" s="15" t="str">
        <f>IFERROR(__xludf.DUMMYFUNCTION("""COMPUTED_VALUE"""),"BUCARAMANGA")</f>
        <v>BUCARAMANGA</v>
      </c>
      <c r="D772" s="15" t="str">
        <f>IFERROR(__xludf.DUMMYFUNCTION("""COMPUTED_VALUE"""),"MEDELLÍN")</f>
        <v>MEDELLÍN</v>
      </c>
      <c r="E772" s="15" t="str">
        <f>IFERROR(__xludf.DUMMYFUNCTION("""COMPUTED_VALUE"""),"Moloso S.A.S")</f>
        <v>Moloso S.A.S</v>
      </c>
      <c r="F772" s="17" t="str">
        <f>IFERROR(__xludf.DUMMYFUNCTION("""COMPUTED_VALUE"""),"CR 27A 15 01 / APT 103")</f>
        <v>CR 27A 15 01 / APT 103</v>
      </c>
      <c r="G772" s="15" t="str">
        <f>IFERROR(__xludf.DUMMYFUNCTION("""COMPUTED_VALUE"""),"JUANITA CATALINA PEREIRA CARDEÑO")</f>
        <v>JUANITA CATALINA PEREIRA CARDEÑO</v>
      </c>
      <c r="H772" s="16">
        <f>IFERROR(__xludf.DUMMYFUNCTION("""COMPUTED_VALUE"""),9479.0)</f>
        <v>9479</v>
      </c>
      <c r="I772" s="18">
        <f>IFERROR(__xludf.DUMMYFUNCTION("""COMPUTED_VALUE"""),17.0)</f>
        <v>17</v>
      </c>
      <c r="J772" s="18">
        <f>IFERROR(__xludf.DUMMYFUNCTION("""COMPUTED_VALUE"""),15.0)</f>
        <v>15</v>
      </c>
      <c r="K772" s="18">
        <f>IFERROR(__xludf.DUMMYFUNCTION("""COMPUTED_VALUE"""),28.0)</f>
        <v>28</v>
      </c>
      <c r="L772" s="17" t="str">
        <f>IFERROR(__xludf.DUMMYFUNCTION("""COMPUTED_VALUE"""),"301 3824871")</f>
        <v>301 3824871</v>
      </c>
      <c r="M772" s="17" t="str">
        <f>IFERROR(__xludf.DUMMYFUNCTION("""COMPUTED_VALUE"""),"#REF!")</f>
        <v>#REF!</v>
      </c>
      <c r="N772" s="17"/>
      <c r="O772" s="19" t="str">
        <f>IFERROR(__xludf.DUMMYFUNCTION("""COMPUTED_VALUE"""),"")</f>
        <v/>
      </c>
      <c r="P772" s="17" t="b">
        <f>IFERROR(__xludf.DUMMYFUNCTION("""COMPUTED_VALUE"""),TRUE)</f>
        <v>1</v>
      </c>
      <c r="Q772" s="20">
        <f>IFERROR(__xludf.DUMMYFUNCTION("""COMPUTED_VALUE"""),45020.60643230324)</f>
        <v>45020.60643</v>
      </c>
      <c r="R772" s="22" t="str">
        <f>IFERROR(__xludf.DUMMYFUNCTION("""COMPUTED_VALUE"""),"")</f>
        <v/>
      </c>
    </row>
    <row r="773">
      <c r="A773" s="15">
        <f>IFERROR(__xludf.DUMMYFUNCTION("""COMPUTED_VALUE"""),45020.0)</f>
        <v>45020</v>
      </c>
      <c r="B773" s="16" t="str">
        <f>IFERROR(__xludf.DUMMYFUNCTION("""COMPUTED_VALUE"""),"Jesus Manuel Herrera Medina ")</f>
        <v>Jesus Manuel Herrera Medina </v>
      </c>
      <c r="C773" s="15" t="str">
        <f>IFERROR(__xludf.DUMMYFUNCTION("""COMPUTED_VALUE"""),"BUCARAMANGA")</f>
        <v>BUCARAMANGA</v>
      </c>
      <c r="D773" s="15" t="str">
        <f>IFERROR(__xludf.DUMMYFUNCTION("""COMPUTED_VALUE"""),"NEIVA")</f>
        <v>NEIVA</v>
      </c>
      <c r="E773" s="15" t="str">
        <f>IFERROR(__xludf.DUMMYFUNCTION("""COMPUTED_VALUE"""),"Nutrikids")</f>
        <v>Nutrikids</v>
      </c>
      <c r="F773" s="17" t="str">
        <f>IFERROR(__xludf.DUMMYFUNCTION("""COMPUTED_VALUE"""),"Calle 34# 28-60 / Edificio: Borealix apto: 804  / Barrio: Aurora")</f>
        <v>Calle 34# 28-60 / Edificio: Borealix apto: 804  / Barrio: Aurora</v>
      </c>
      <c r="G773" s="15" t="str">
        <f>IFERROR(__xludf.DUMMYFUNCTION("""COMPUTED_VALUE"""),"Johana Andrea Aparicio Ruiz")</f>
        <v>Johana Andrea Aparicio Ruiz</v>
      </c>
      <c r="H773" s="16">
        <f>IFERROR(__xludf.DUMMYFUNCTION("""COMPUTED_VALUE"""),9324.0)</f>
        <v>9324</v>
      </c>
      <c r="I773" s="18">
        <f>IFERROR(__xludf.DUMMYFUNCTION("""COMPUTED_VALUE"""),21.0)</f>
        <v>21</v>
      </c>
      <c r="J773" s="18">
        <f>IFERROR(__xludf.DUMMYFUNCTION("""COMPUTED_VALUE"""),15.0)</f>
        <v>15</v>
      </c>
      <c r="K773" s="18">
        <f>IFERROR(__xludf.DUMMYFUNCTION("""COMPUTED_VALUE"""),27.0)</f>
        <v>27</v>
      </c>
      <c r="L773" s="17">
        <f>IFERROR(__xludf.DUMMYFUNCTION("""COMPUTED_VALUE"""),3.155794386E9)</f>
        <v>3155794386</v>
      </c>
      <c r="M773" s="17" t="str">
        <f>IFERROR(__xludf.DUMMYFUNCTION("""COMPUTED_VALUE"""),"#REF!")</f>
        <v>#REF!</v>
      </c>
      <c r="N773" s="17"/>
      <c r="O773" s="19" t="str">
        <f>IFERROR(__xludf.DUMMYFUNCTION("""COMPUTED_VALUE"""),"")</f>
        <v/>
      </c>
      <c r="P773" s="17" t="b">
        <f>IFERROR(__xludf.DUMMYFUNCTION("""COMPUTED_VALUE"""),TRUE)</f>
        <v>1</v>
      </c>
      <c r="Q773" s="20">
        <f>IFERROR(__xludf.DUMMYFUNCTION("""COMPUTED_VALUE"""),45020.60643230324)</f>
        <v>45020.60643</v>
      </c>
      <c r="R773" s="22" t="str">
        <f>IFERROR(__xludf.DUMMYFUNCTION("""COMPUTED_VALUE"""),"")</f>
        <v/>
      </c>
    </row>
    <row r="774">
      <c r="A774" s="15">
        <f>IFERROR(__xludf.DUMMYFUNCTION("""COMPUTED_VALUE"""),45020.0)</f>
        <v>45020</v>
      </c>
      <c r="B774" s="16" t="str">
        <f>IFERROR(__xludf.DUMMYFUNCTION("""COMPUTED_VALUE"""),"Jesus Manuel Herrera Medina ")</f>
        <v>Jesus Manuel Herrera Medina </v>
      </c>
      <c r="C774" s="15" t="str">
        <f>IFERROR(__xludf.DUMMYFUNCTION("""COMPUTED_VALUE"""),"FLORIDABLANCA")</f>
        <v>FLORIDABLANCA</v>
      </c>
      <c r="D774" s="15" t="str">
        <f>IFERROR(__xludf.DUMMYFUNCTION("""COMPUTED_VALUE"""),"BOGOTÁ")</f>
        <v>BOGOTÁ</v>
      </c>
      <c r="E774" s="15" t="str">
        <f>IFERROR(__xludf.DUMMYFUNCTION("""COMPUTED_VALUE"""),"Asociacion Agropecuaria Juana Maria")</f>
        <v>Asociacion Agropecuaria Juana Maria</v>
      </c>
      <c r="F774" s="17" t="str">
        <f>IFERROR(__xludf.DUMMYFUNCTION("""COMPUTED_VALUE"""),"Calle 19 #11-37 Guanatá FLORIDABLANCA")</f>
        <v>Calle 19 #11-37 Guanatá FLORIDABLANCA</v>
      </c>
      <c r="G774" s="15" t="str">
        <f>IFERROR(__xludf.DUMMYFUNCTION("""COMPUTED_VALUE"""),"Claudia Gonzalez")</f>
        <v>Claudia Gonzalez</v>
      </c>
      <c r="H774" s="16">
        <f>IFERROR(__xludf.DUMMYFUNCTION("""COMPUTED_VALUE"""),9358.0)</f>
        <v>9358</v>
      </c>
      <c r="I774" s="18">
        <f>IFERROR(__xludf.DUMMYFUNCTION("""COMPUTED_VALUE"""),21.0)</f>
        <v>21</v>
      </c>
      <c r="J774" s="18">
        <f>IFERROR(__xludf.DUMMYFUNCTION("""COMPUTED_VALUE"""),37.0)</f>
        <v>37</v>
      </c>
      <c r="K774" s="18">
        <f>IFERROR(__xludf.DUMMYFUNCTION("""COMPUTED_VALUE"""),30.0)</f>
        <v>30</v>
      </c>
      <c r="L774" s="17">
        <f>IFERROR(__xludf.DUMMYFUNCTION("""COMPUTED_VALUE"""),3.002802001E9)</f>
        <v>3002802001</v>
      </c>
      <c r="M774" s="17" t="str">
        <f>IFERROR(__xludf.DUMMYFUNCTION("""COMPUTED_VALUE"""),"#REF!")</f>
        <v>#REF!</v>
      </c>
      <c r="N774" s="17"/>
      <c r="O774" s="19" t="str">
        <f>IFERROR(__xludf.DUMMYFUNCTION("""COMPUTED_VALUE"""),"")</f>
        <v/>
      </c>
      <c r="P774" s="17" t="b">
        <f>IFERROR(__xludf.DUMMYFUNCTION("""COMPUTED_VALUE"""),TRUE)</f>
        <v>1</v>
      </c>
      <c r="Q774" s="20">
        <f>IFERROR(__xludf.DUMMYFUNCTION("""COMPUTED_VALUE"""),45020.60643230324)</f>
        <v>45020.60643</v>
      </c>
      <c r="R774" s="22" t="str">
        <f>IFERROR(__xludf.DUMMYFUNCTION("""COMPUTED_VALUE"""),"")</f>
        <v/>
      </c>
    </row>
    <row r="775">
      <c r="A775" s="15">
        <f>IFERROR(__xludf.DUMMYFUNCTION("""COMPUTED_VALUE"""),45020.0)</f>
        <v>45020</v>
      </c>
      <c r="B775" s="16" t="str">
        <f>IFERROR(__xludf.DUMMYFUNCTION("""COMPUTED_VALUE"""),"Jesus Manuel Herrera Medina ")</f>
        <v>Jesus Manuel Herrera Medina </v>
      </c>
      <c r="C775" s="15" t="str">
        <f>IFERROR(__xludf.DUMMYFUNCTION("""COMPUTED_VALUE"""),"PEREIRA")</f>
        <v>PEREIRA</v>
      </c>
      <c r="D775" s="15" t="str">
        <f>IFERROR(__xludf.DUMMYFUNCTION("""COMPUTED_VALUE"""),"BOGOTÁ")</f>
        <v>BOGOTÁ</v>
      </c>
      <c r="E775" s="15" t="str">
        <f>IFERROR(__xludf.DUMMYFUNCTION("""COMPUTED_VALUE"""),"Ser Fit")</f>
        <v>Ser Fit</v>
      </c>
      <c r="F775" s="17" t="str">
        <f>IFERROR(__xludf.DUMMYFUNCTION("""COMPUTED_VALUE"""),"cr 14#12-55 circonvalar  / vita eco market / pereira")</f>
        <v>cr 14#12-55 circonvalar  / vita eco market / pereira</v>
      </c>
      <c r="G775" s="15" t="str">
        <f>IFERROR(__xludf.DUMMYFUNCTION("""COMPUTED_VALUE"""),"Yeimy jaramillo")</f>
        <v>Yeimy jaramillo</v>
      </c>
      <c r="H775" s="16">
        <f>IFERROR(__xludf.DUMMYFUNCTION("""COMPUTED_VALUE"""),9464.0)</f>
        <v>9464</v>
      </c>
      <c r="I775" s="18">
        <f>IFERROR(__xludf.DUMMYFUNCTION("""COMPUTED_VALUE"""),15.0)</f>
        <v>15</v>
      </c>
      <c r="J775" s="18">
        <f>IFERROR(__xludf.DUMMYFUNCTION("""COMPUTED_VALUE"""),17.0)</f>
        <v>17</v>
      </c>
      <c r="K775" s="18">
        <f>IFERROR(__xludf.DUMMYFUNCTION("""COMPUTED_VALUE"""),45068.0)</f>
        <v>45068</v>
      </c>
      <c r="L775" s="17">
        <f>IFERROR(__xludf.DUMMYFUNCTION("""COMPUTED_VALUE"""),3.14645528E9)</f>
        <v>3146455280</v>
      </c>
      <c r="M775" s="17" t="str">
        <f>IFERROR(__xludf.DUMMYFUNCTION("""COMPUTED_VALUE"""),"#REF!")</f>
        <v>#REF!</v>
      </c>
      <c r="N775" s="17"/>
      <c r="O775" s="19" t="str">
        <f>IFERROR(__xludf.DUMMYFUNCTION("""COMPUTED_VALUE"""),"")</f>
        <v/>
      </c>
      <c r="P775" s="17" t="b">
        <f>IFERROR(__xludf.DUMMYFUNCTION("""COMPUTED_VALUE"""),TRUE)</f>
        <v>1</v>
      </c>
      <c r="Q775" s="20">
        <f>IFERROR(__xludf.DUMMYFUNCTION("""COMPUTED_VALUE"""),45020.73206079861)</f>
        <v>45020.73206</v>
      </c>
      <c r="R775" s="22" t="str">
        <f>IFERROR(__xludf.DUMMYFUNCTION("""COMPUTED_VALUE"""),"")</f>
        <v/>
      </c>
    </row>
    <row r="776">
      <c r="A776" s="15">
        <f>IFERROR(__xludf.DUMMYFUNCTION("""COMPUTED_VALUE"""),45020.0)</f>
        <v>45020</v>
      </c>
      <c r="B776" s="16" t="str">
        <f>IFERROR(__xludf.DUMMYFUNCTION("""COMPUTED_VALUE"""),"Jesus Manuel Herrera Medina ")</f>
        <v>Jesus Manuel Herrera Medina </v>
      </c>
      <c r="C776" s="15" t="str">
        <f>IFERROR(__xludf.DUMMYFUNCTION("""COMPUTED_VALUE"""),"PEREIRA")</f>
        <v>PEREIRA</v>
      </c>
      <c r="D776" s="15" t="str">
        <f>IFERROR(__xludf.DUMMYFUNCTION("""COMPUTED_VALUE"""),"MEDELLÍN")</f>
        <v>MEDELLÍN</v>
      </c>
      <c r="E776" s="15" t="str">
        <f>IFERROR(__xludf.DUMMYFUNCTION("""COMPUTED_VALUE"""),"Baby Chef")</f>
        <v>Baby Chef</v>
      </c>
      <c r="F776" s="17" t="str">
        <f>IFERROR(__xludf.DUMMYFUNCTION("""COMPUTED_VALUE"""),"Calle 29#3-40 Torre 6 apto 102 sausalito Pereira Risaralda / Calle 29#3-40 Torre 6 apto 102 sausalito Pereira Risaralda / Calle 29#3-40 Torre 6 apto 102 sausalito Pereira Risaralda")</f>
        <v>Calle 29#3-40 Torre 6 apto 102 sausalito Pereira Risaralda / Calle 29#3-40 Torre 6 apto 102 sausalito Pereira Risaralda / Calle 29#3-40 Torre 6 apto 102 sausalito Pereira Risaralda</v>
      </c>
      <c r="G776" s="15" t="str">
        <f>IFERROR(__xludf.DUMMYFUNCTION("""COMPUTED_VALUE"""),"Johana Patiño Ospina")</f>
        <v>Johana Patiño Ospina</v>
      </c>
      <c r="H776" s="16">
        <f>IFERROR(__xludf.DUMMYFUNCTION("""COMPUTED_VALUE"""),9423.0)</f>
        <v>9423</v>
      </c>
      <c r="I776" s="18">
        <f>IFERROR(__xludf.DUMMYFUNCTION("""COMPUTED_VALUE"""),8.0)</f>
        <v>8</v>
      </c>
      <c r="J776" s="18">
        <f>IFERROR(__xludf.DUMMYFUNCTION("""COMPUTED_VALUE"""),16.0)</f>
        <v>16</v>
      </c>
      <c r="K776" s="18">
        <f>IFERROR(__xludf.DUMMYFUNCTION("""COMPUTED_VALUE"""),20.0)</f>
        <v>20</v>
      </c>
      <c r="L776" s="17">
        <f>IFERROR(__xludf.DUMMYFUNCTION("""COMPUTED_VALUE"""),3.113521929E9)</f>
        <v>3113521929</v>
      </c>
      <c r="M776" s="17" t="str">
        <f>IFERROR(__xludf.DUMMYFUNCTION("""COMPUTED_VALUE"""),"#REF!")</f>
        <v>#REF!</v>
      </c>
      <c r="N776" s="17"/>
      <c r="O776" s="19" t="str">
        <f>IFERROR(__xludf.DUMMYFUNCTION("""COMPUTED_VALUE"""),"")</f>
        <v/>
      </c>
      <c r="P776" s="17" t="b">
        <f>IFERROR(__xludf.DUMMYFUNCTION("""COMPUTED_VALUE"""),TRUE)</f>
        <v>1</v>
      </c>
      <c r="Q776" s="20">
        <f>IFERROR(__xludf.DUMMYFUNCTION("""COMPUTED_VALUE"""),45020.73206079861)</f>
        <v>45020.73206</v>
      </c>
      <c r="R776" s="22" t="str">
        <f>IFERROR(__xludf.DUMMYFUNCTION("""COMPUTED_VALUE"""),"")</f>
        <v/>
      </c>
    </row>
    <row r="777">
      <c r="A777" s="15">
        <f>IFERROR(__xludf.DUMMYFUNCTION("""COMPUTED_VALUE"""),45020.0)</f>
        <v>45020</v>
      </c>
      <c r="B777" s="16" t="str">
        <f>IFERROR(__xludf.DUMMYFUNCTION("""COMPUTED_VALUE"""),"Jesus Manuel Herrera Medina ")</f>
        <v>Jesus Manuel Herrera Medina </v>
      </c>
      <c r="C777" s="15" t="str">
        <f>IFERROR(__xludf.DUMMYFUNCTION("""COMPUTED_VALUE"""),"PEREIRA")</f>
        <v>PEREIRA</v>
      </c>
      <c r="D777" s="15" t="str">
        <f>IFERROR(__xludf.DUMMYFUNCTION("""COMPUTED_VALUE"""),"MEDELLÍN")</f>
        <v>MEDELLÍN</v>
      </c>
      <c r="E777" s="15" t="str">
        <f>IFERROR(__xludf.DUMMYFUNCTION("""COMPUTED_VALUE"""),"Baby Chef")</f>
        <v>Baby Chef</v>
      </c>
      <c r="F777" s="17" t="str">
        <f>IFERROR(__xludf.DUMMYFUNCTION("""COMPUTED_VALUE"""),"Conjunto residencial la castilla manzana 6 casa 11 sector pradera alta Dosquebradas  Risaralda / Conjunto residencial la castilla manzana 6 casa 11 sector pradera alta Dosquebradas  Risaralda / Conjunto residencial la castilla manzana 6 casa 11 sector pra"&amp;"dera alta Dosquebradas  Risaralda")</f>
        <v>Conjunto residencial la castilla manzana 6 casa 11 sector pradera alta Dosquebradas  Risaralda / Conjunto residencial la castilla manzana 6 casa 11 sector pradera alta Dosquebradas  Risaralda / Conjunto residencial la castilla manzana 6 casa 11 sector pradera alta Dosquebradas  Risaralda</v>
      </c>
      <c r="G777" s="15" t="str">
        <f>IFERROR(__xludf.DUMMYFUNCTION("""COMPUTED_VALUE"""),"Danessa  Salazar")</f>
        <v>Danessa  Salazar</v>
      </c>
      <c r="H777" s="16">
        <f>IFERROR(__xludf.DUMMYFUNCTION("""COMPUTED_VALUE"""),9424.0)</f>
        <v>9424</v>
      </c>
      <c r="I777" s="18">
        <f>IFERROR(__xludf.DUMMYFUNCTION("""COMPUTED_VALUE"""),8.0)</f>
        <v>8</v>
      </c>
      <c r="J777" s="18">
        <f>IFERROR(__xludf.DUMMYFUNCTION("""COMPUTED_VALUE"""),16.0)</f>
        <v>16</v>
      </c>
      <c r="K777" s="18">
        <f>IFERROR(__xludf.DUMMYFUNCTION("""COMPUTED_VALUE"""),20.0)</f>
        <v>20</v>
      </c>
      <c r="L777" s="17">
        <f>IFERROR(__xludf.DUMMYFUNCTION("""COMPUTED_VALUE"""),3.157986978E9)</f>
        <v>3157986978</v>
      </c>
      <c r="M777" s="17" t="str">
        <f>IFERROR(__xludf.DUMMYFUNCTION("""COMPUTED_VALUE"""),"#REF!")</f>
        <v>#REF!</v>
      </c>
      <c r="N777" s="17"/>
      <c r="O777" s="19" t="str">
        <f>IFERROR(__xludf.DUMMYFUNCTION("""COMPUTED_VALUE"""),"")</f>
        <v/>
      </c>
      <c r="P777" s="17" t="b">
        <f>IFERROR(__xludf.DUMMYFUNCTION("""COMPUTED_VALUE"""),TRUE)</f>
        <v>1</v>
      </c>
      <c r="Q777" s="20">
        <f>IFERROR(__xludf.DUMMYFUNCTION("""COMPUTED_VALUE"""),45020.62274828704)</f>
        <v>45020.62275</v>
      </c>
      <c r="R777" s="22" t="str">
        <f>IFERROR(__xludf.DUMMYFUNCTION("""COMPUTED_VALUE"""),"")</f>
        <v/>
      </c>
    </row>
    <row r="778">
      <c r="A778" s="15">
        <f>IFERROR(__xludf.DUMMYFUNCTION("""COMPUTED_VALUE"""),45020.0)</f>
        <v>45020</v>
      </c>
      <c r="B778" s="16" t="str">
        <f>IFERROR(__xludf.DUMMYFUNCTION("""COMPUTED_VALUE"""),"Jesus Manuel Herrera Medina ")</f>
        <v>Jesus Manuel Herrera Medina </v>
      </c>
      <c r="C778" s="15" t="str">
        <f>IFERROR(__xludf.DUMMYFUNCTION("""COMPUTED_VALUE"""),"PEREIRA")</f>
        <v>PEREIRA</v>
      </c>
      <c r="D778" s="15" t="str">
        <f>IFERROR(__xludf.DUMMYFUNCTION("""COMPUTED_VALUE"""),"MEDELLÍN")</f>
        <v>MEDELLÍN</v>
      </c>
      <c r="E778" s="15" t="str">
        <f>IFERROR(__xludf.DUMMYFUNCTION("""COMPUTED_VALUE"""),"Carnicos Fricar")</f>
        <v>Carnicos Fricar</v>
      </c>
      <c r="F778" s="17" t="str">
        <f>IFERROR(__xludf.DUMMYFUNCTION("""COMPUTED_VALUE"""),"Dosquebrdas. Bosques de la Acuarella, 4 etapa, portería 1, manzana 5 casa 15 / interior / residencia")</f>
        <v>Dosquebrdas. Bosques de la Acuarella, 4 etapa, portería 1, manzana 5 casa 15 / interior / residencia</v>
      </c>
      <c r="G778" s="15" t="str">
        <f>IFERROR(__xludf.DUMMYFUNCTION("""COMPUTED_VALUE"""),"Jose Norvey Gutierrez")</f>
        <v>Jose Norvey Gutierrez</v>
      </c>
      <c r="H778" s="16">
        <f>IFERROR(__xludf.DUMMYFUNCTION("""COMPUTED_VALUE"""),9480.0)</f>
        <v>9480</v>
      </c>
      <c r="I778" s="18">
        <f>IFERROR(__xludf.DUMMYFUNCTION("""COMPUTED_VALUE"""),15.0)</f>
        <v>15</v>
      </c>
      <c r="J778" s="18">
        <f>IFERROR(__xludf.DUMMYFUNCTION("""COMPUTED_VALUE"""),25.0)</f>
        <v>25</v>
      </c>
      <c r="K778" s="18">
        <f>IFERROR(__xludf.DUMMYFUNCTION("""COMPUTED_VALUE"""),25.0)</f>
        <v>25</v>
      </c>
      <c r="L778" s="17">
        <f>IFERROR(__xludf.DUMMYFUNCTION("""COMPUTED_VALUE"""),3.187613841E9)</f>
        <v>3187613841</v>
      </c>
      <c r="M778" s="17" t="str">
        <f>IFERROR(__xludf.DUMMYFUNCTION("""COMPUTED_VALUE"""),"#REF!")</f>
        <v>#REF!</v>
      </c>
      <c r="N778" s="17"/>
      <c r="O778" s="19" t="str">
        <f>IFERROR(__xludf.DUMMYFUNCTION("""COMPUTED_VALUE"""),"")</f>
        <v/>
      </c>
      <c r="P778" s="17" t="b">
        <f>IFERROR(__xludf.DUMMYFUNCTION("""COMPUTED_VALUE"""),TRUE)</f>
        <v>1</v>
      </c>
      <c r="Q778" s="20">
        <f>IFERROR(__xludf.DUMMYFUNCTION("""COMPUTED_VALUE"""),45020.611342766206)</f>
        <v>45020.61134</v>
      </c>
      <c r="R778" s="22" t="str">
        <f>IFERROR(__xludf.DUMMYFUNCTION("""COMPUTED_VALUE"""),"")</f>
        <v/>
      </c>
    </row>
    <row r="779">
      <c r="A779" s="15">
        <f>IFERROR(__xludf.DUMMYFUNCTION("""COMPUTED_VALUE"""),45020.0)</f>
        <v>45020</v>
      </c>
      <c r="B779" s="16" t="str">
        <f>IFERROR(__xludf.DUMMYFUNCTION("""COMPUTED_VALUE"""),"Jesus Manuel Herrera Medina ")</f>
        <v>Jesus Manuel Herrera Medina </v>
      </c>
      <c r="C779" s="15" t="str">
        <f>IFERROR(__xludf.DUMMYFUNCTION("""COMPUTED_VALUE"""),"PEREIRA")</f>
        <v>PEREIRA</v>
      </c>
      <c r="D779" s="15" t="str">
        <f>IFERROR(__xludf.DUMMYFUNCTION("""COMPUTED_VALUE"""),"MEDELLÍN")</f>
        <v>MEDELLÍN</v>
      </c>
      <c r="E779" s="15" t="str">
        <f>IFERROR(__xludf.DUMMYFUNCTION("""COMPUTED_VALUE"""),"Goyo Todo por ellos")</f>
        <v>Goyo Todo por ellos</v>
      </c>
      <c r="F779" s="17" t="str">
        <f>IFERROR(__xludf.DUMMYFUNCTION("""COMPUTED_VALUE"""),"Calle 12 bis # 16 18  / Casa Hoja Comunidad Consciente  / Barrio Pinares")</f>
        <v>Calle 12 bis # 16 18  / Casa Hoja Comunidad Consciente  / Barrio Pinares</v>
      </c>
      <c r="G779" s="15" t="str">
        <f>IFERROR(__xludf.DUMMYFUNCTION("""COMPUTED_VALUE"""),"Hector Hernandez")</f>
        <v>Hector Hernandez</v>
      </c>
      <c r="H779" s="16">
        <f>IFERROR(__xludf.DUMMYFUNCTION("""COMPUTED_VALUE"""),9458.0)</f>
        <v>9458</v>
      </c>
      <c r="I779" s="18">
        <f>IFERROR(__xludf.DUMMYFUNCTION("""COMPUTED_VALUE"""),23.0)</f>
        <v>23</v>
      </c>
      <c r="J779" s="18">
        <f>IFERROR(__xludf.DUMMYFUNCTION("""COMPUTED_VALUE"""),41.0)</f>
        <v>41</v>
      </c>
      <c r="K779" s="18">
        <f>IFERROR(__xludf.DUMMYFUNCTION("""COMPUTED_VALUE"""),22.0)</f>
        <v>22</v>
      </c>
      <c r="L779" s="17">
        <f>IFERROR(__xludf.DUMMYFUNCTION("""COMPUTED_VALUE"""),3.18591145E9)</f>
        <v>3185911450</v>
      </c>
      <c r="M779" s="17" t="str">
        <f>IFERROR(__xludf.DUMMYFUNCTION("""COMPUTED_VALUE"""),"#REF!")</f>
        <v>#REF!</v>
      </c>
      <c r="N779" s="17"/>
      <c r="O779" s="19" t="str">
        <f>IFERROR(__xludf.DUMMYFUNCTION("""COMPUTED_VALUE"""),"")</f>
        <v/>
      </c>
      <c r="P779" s="17" t="b">
        <f>IFERROR(__xludf.DUMMYFUNCTION("""COMPUTED_VALUE"""),TRUE)</f>
        <v>1</v>
      </c>
      <c r="Q779" s="20">
        <f>IFERROR(__xludf.DUMMYFUNCTION("""COMPUTED_VALUE"""),45020.73206079861)</f>
        <v>45020.73206</v>
      </c>
      <c r="R779" s="22" t="str">
        <f>IFERROR(__xludf.DUMMYFUNCTION("""COMPUTED_VALUE"""),"")</f>
        <v/>
      </c>
    </row>
    <row r="780">
      <c r="A780" s="15">
        <f>IFERROR(__xludf.DUMMYFUNCTION("""COMPUTED_VALUE"""),45020.0)</f>
        <v>45020</v>
      </c>
      <c r="B780" s="16" t="str">
        <f>IFERROR(__xludf.DUMMYFUNCTION("""COMPUTED_VALUE"""),"Jesus Manuel Herrera Medina ")</f>
        <v>Jesus Manuel Herrera Medina </v>
      </c>
      <c r="C780" s="15" t="str">
        <f>IFERROR(__xludf.DUMMYFUNCTION("""COMPUTED_VALUE"""),"PEREIRA")</f>
        <v>PEREIRA</v>
      </c>
      <c r="D780" s="15" t="str">
        <f>IFERROR(__xludf.DUMMYFUNCTION("""COMPUTED_VALUE"""),"MEDELLÍN")</f>
        <v>MEDELLÍN</v>
      </c>
      <c r="E780" s="15" t="str">
        <f>IFERROR(__xludf.DUMMYFUNCTION("""COMPUTED_VALUE"""),"Puro Verde")</f>
        <v>Puro Verde</v>
      </c>
      <c r="F780" s="17" t="str">
        <f>IFERROR(__xludf.DUMMYFUNCTION("""COMPUTED_VALUE"""),"CALLE 82 # 39-07 / TORRE 2. APTO 105.  / CONJUNTO RESIDENCIAL TOLEDO. VIA CONDINA")</f>
        <v>CALLE 82 # 39-07 / TORRE 2. APTO 105.  / CONJUNTO RESIDENCIAL TOLEDO. VIA CONDINA</v>
      </c>
      <c r="G780" s="15" t="str">
        <f>IFERROR(__xludf.DUMMYFUNCTION("""COMPUTED_VALUE"""),"LUIS DAVID OCAMPO AGUIRRE")</f>
        <v>LUIS DAVID OCAMPO AGUIRRE</v>
      </c>
      <c r="H780" s="16">
        <f>IFERROR(__xludf.DUMMYFUNCTION("""COMPUTED_VALUE"""),9318.0)</f>
        <v>9318</v>
      </c>
      <c r="I780" s="18">
        <f>IFERROR(__xludf.DUMMYFUNCTION("""COMPUTED_VALUE"""),12.0)</f>
        <v>12</v>
      </c>
      <c r="J780" s="18">
        <f>IFERROR(__xludf.DUMMYFUNCTION("""COMPUTED_VALUE"""),18.0)</f>
        <v>18</v>
      </c>
      <c r="K780" s="18">
        <f>IFERROR(__xludf.DUMMYFUNCTION("""COMPUTED_VALUE"""),45.0)</f>
        <v>45</v>
      </c>
      <c r="L780" s="17">
        <f>IFERROR(__xludf.DUMMYFUNCTION("""COMPUTED_VALUE"""),3.112570638E9)</f>
        <v>3112570638</v>
      </c>
      <c r="M780" s="17" t="str">
        <f>IFERROR(__xludf.DUMMYFUNCTION("""COMPUTED_VALUE"""),"#REF!")</f>
        <v>#REF!</v>
      </c>
      <c r="N780" s="17"/>
      <c r="O780" s="19" t="str">
        <f>IFERROR(__xludf.DUMMYFUNCTION("""COMPUTED_VALUE"""),"")</f>
        <v/>
      </c>
      <c r="P780" s="17" t="b">
        <f>IFERROR(__xludf.DUMMYFUNCTION("""COMPUTED_VALUE"""),FALSE)</f>
        <v>0</v>
      </c>
      <c r="Q780" s="20" t="str">
        <f>IFERROR(__xludf.DUMMYFUNCTION("""COMPUTED_VALUE"""),"")</f>
        <v/>
      </c>
      <c r="R780" s="22" t="str">
        <f>IFERROR(__xludf.DUMMYFUNCTION("""COMPUTED_VALUE"""),"")</f>
        <v/>
      </c>
    </row>
    <row r="781">
      <c r="A781" s="17" t="str">
        <f>IFERROR(__xludf.DUMMYFUNCTION("""COMPUTED_VALUE"""),"")</f>
        <v/>
      </c>
      <c r="B781" s="17" t="str">
        <f>IFERROR(__xludf.DUMMYFUNCTION("""COMPUTED_VALUE"""),"")</f>
        <v/>
      </c>
      <c r="C781" s="17" t="str">
        <f>IFERROR(__xludf.DUMMYFUNCTION("""COMPUTED_VALUE"""),"")</f>
        <v/>
      </c>
      <c r="D781" s="17" t="str">
        <f>IFERROR(__xludf.DUMMYFUNCTION("""COMPUTED_VALUE"""),"")</f>
        <v/>
      </c>
      <c r="E781" s="17" t="str">
        <f>IFERROR(__xludf.DUMMYFUNCTION("""COMPUTED_VALUE"""),"")</f>
        <v/>
      </c>
      <c r="F781" s="17" t="str">
        <f>IFERROR(__xludf.DUMMYFUNCTION("""COMPUTED_VALUE"""),"")</f>
        <v/>
      </c>
      <c r="G781" s="17" t="str">
        <f>IFERROR(__xludf.DUMMYFUNCTION("""COMPUTED_VALUE"""),"")</f>
        <v/>
      </c>
      <c r="H781" s="17" t="str">
        <f>IFERROR(__xludf.DUMMYFUNCTION("""COMPUTED_VALUE"""),"")</f>
        <v/>
      </c>
      <c r="I781" s="17" t="str">
        <f>IFERROR(__xludf.DUMMYFUNCTION("""COMPUTED_VALUE"""),"")</f>
        <v/>
      </c>
      <c r="J781" s="17" t="str">
        <f>IFERROR(__xludf.DUMMYFUNCTION("""COMPUTED_VALUE"""),"")</f>
        <v/>
      </c>
      <c r="K781" s="17" t="str">
        <f>IFERROR(__xludf.DUMMYFUNCTION("""COMPUTED_VALUE"""),"")</f>
        <v/>
      </c>
      <c r="L781" s="17" t="str">
        <f>IFERROR(__xludf.DUMMYFUNCTION("""COMPUTED_VALUE"""),"")</f>
        <v/>
      </c>
      <c r="M781" s="17" t="str">
        <f>IFERROR(__xludf.DUMMYFUNCTION("""COMPUTED_VALUE"""),"")</f>
        <v/>
      </c>
      <c r="N781" s="17" t="str">
        <f>IFERROR(__xludf.DUMMYFUNCTION("""COMPUTED_VALUE"""),"")</f>
        <v/>
      </c>
      <c r="O781" s="17" t="str">
        <f>IFERROR(__xludf.DUMMYFUNCTION("""COMPUTED_VALUE"""),"")</f>
        <v/>
      </c>
      <c r="P781" s="17" t="str">
        <f>IFERROR(__xludf.DUMMYFUNCTION("""COMPUTED_VALUE"""),"")</f>
        <v/>
      </c>
      <c r="Q781" s="17" t="str">
        <f>IFERROR(__xludf.DUMMYFUNCTION("""COMPUTED_VALUE"""),"")</f>
        <v/>
      </c>
      <c r="R781" s="17" t="str">
        <f>IFERROR(__xludf.DUMMYFUNCTION("""COMPUTED_VALUE"""),"")</f>
        <v/>
      </c>
    </row>
    <row r="782">
      <c r="A782" s="15">
        <f>IFERROR(__xludf.DUMMYFUNCTION("""COMPUTED_VALUE"""),45020.0)</f>
        <v>45020</v>
      </c>
      <c r="B782" s="16" t="str">
        <f>IFERROR(__xludf.DUMMYFUNCTION("""COMPUTED_VALUE"""),"Jhon Anderson Ceballos Hernandez")</f>
        <v>Jhon Anderson Ceballos Hernandez</v>
      </c>
      <c r="C782" s="15" t="str">
        <f>IFERROR(__xludf.DUMMYFUNCTION("""COMPUTED_VALUE"""),"BARRANQUILLA")</f>
        <v>BARRANQUILLA</v>
      </c>
      <c r="D782" s="15" t="str">
        <f>IFERROR(__xludf.DUMMYFUNCTION("""COMPUTED_VALUE"""),"MEDELLÍN")</f>
        <v>MEDELLÍN</v>
      </c>
      <c r="E782" s="15" t="str">
        <f>IFERROR(__xludf.DUMMYFUNCTION("""COMPUTED_VALUE"""),"Moloso S.A.S")</f>
        <v>Moloso S.A.S</v>
      </c>
      <c r="F782" s="17" t="str">
        <f>IFERROR(__xludf.DUMMYFUNCTION("""COMPUTED_VALUE"""),"TRANS 44 102 167 / CONJU. SIERRA. APTO. 939 T5")</f>
        <v>TRANS 44 102 167 / CONJU. SIERRA. APTO. 939 T5</v>
      </c>
      <c r="G782" s="15" t="str">
        <f>IFERROR(__xludf.DUMMYFUNCTION("""COMPUTED_VALUE"""),"MARIANA ORJUELA CHARCÓN")</f>
        <v>MARIANA ORJUELA CHARCÓN</v>
      </c>
      <c r="H782" s="16">
        <f>IFERROR(__xludf.DUMMYFUNCTION("""COMPUTED_VALUE"""),9477.0)</f>
        <v>9477</v>
      </c>
      <c r="I782" s="18">
        <f>IFERROR(__xludf.DUMMYFUNCTION("""COMPUTED_VALUE"""),17.0)</f>
        <v>17</v>
      </c>
      <c r="J782" s="18">
        <f>IFERROR(__xludf.DUMMYFUNCTION("""COMPUTED_VALUE"""),15.0)</f>
        <v>15</v>
      </c>
      <c r="K782" s="18">
        <f>IFERROR(__xludf.DUMMYFUNCTION("""COMPUTED_VALUE"""),28.0)</f>
        <v>28</v>
      </c>
      <c r="L782" s="17" t="str">
        <f>IFERROR(__xludf.DUMMYFUNCTION("""COMPUTED_VALUE"""),"304 5242414")</f>
        <v>304 5242414</v>
      </c>
      <c r="M782" s="17" t="str">
        <f>IFERROR(__xludf.DUMMYFUNCTION("""COMPUTED_VALUE"""),"#REF!")</f>
        <v>#REF!</v>
      </c>
      <c r="N782" s="17"/>
      <c r="O782" s="19" t="str">
        <f>IFERROR(__xludf.DUMMYFUNCTION("""COMPUTED_VALUE"""),"")</f>
        <v/>
      </c>
      <c r="P782" s="17" t="b">
        <f>IFERROR(__xludf.DUMMYFUNCTION("""COMPUTED_VALUE"""),TRUE)</f>
        <v>1</v>
      </c>
      <c r="Q782" s="20">
        <f>IFERROR(__xludf.DUMMYFUNCTION("""COMPUTED_VALUE"""),45020.60643230324)</f>
        <v>45020.60643</v>
      </c>
      <c r="R782" s="22" t="str">
        <f>IFERROR(__xludf.DUMMYFUNCTION("""COMPUTED_VALUE"""),"")</f>
        <v/>
      </c>
    </row>
    <row r="783">
      <c r="A783" s="15">
        <f>IFERROR(__xludf.DUMMYFUNCTION("""COMPUTED_VALUE"""),45020.0)</f>
        <v>45020</v>
      </c>
      <c r="B783" s="16" t="str">
        <f>IFERROR(__xludf.DUMMYFUNCTION("""COMPUTED_VALUE"""),"Jhon Anderson Ceballos Hernandez")</f>
        <v>Jhon Anderson Ceballos Hernandez</v>
      </c>
      <c r="C783" s="15" t="str">
        <f>IFERROR(__xludf.DUMMYFUNCTION("""COMPUTED_VALUE"""),"CARTAGENA")</f>
        <v>CARTAGENA</v>
      </c>
      <c r="D783" s="15" t="str">
        <f>IFERROR(__xludf.DUMMYFUNCTION("""COMPUTED_VALUE"""),"BOGOTÁ")</f>
        <v>BOGOTÁ</v>
      </c>
      <c r="E783" s="15" t="str">
        <f>IFERROR(__xludf.DUMMYFUNCTION("""COMPUTED_VALUE"""),"SISU PARTNERS SAS")</f>
        <v>SISU PARTNERS SAS</v>
      </c>
      <c r="F783" s="17" t="str">
        <f>IFERROR(__xludf.DUMMYFUNCTION("""COMPUTED_VALUE"""),"Carrera 7 no. 38-48 local 3 / Local Mary &amp; George")</f>
        <v>Carrera 7 no. 38-48 local 3 / Local Mary &amp; George</v>
      </c>
      <c r="G783" s="15" t="str">
        <f>IFERROR(__xludf.DUMMYFUNCTION("""COMPUTED_VALUE"""),"Carolyne Bailey")</f>
        <v>Carolyne Bailey</v>
      </c>
      <c r="H783" s="16">
        <f>IFERROR(__xludf.DUMMYFUNCTION("""COMPUTED_VALUE"""),9376.0)</f>
        <v>9376</v>
      </c>
      <c r="I783" s="18">
        <f>IFERROR(__xludf.DUMMYFUNCTION("""COMPUTED_VALUE"""),76.0)</f>
        <v>76</v>
      </c>
      <c r="J783" s="18">
        <f>IFERROR(__xludf.DUMMYFUNCTION("""COMPUTED_VALUE"""),49.0)</f>
        <v>49</v>
      </c>
      <c r="K783" s="18">
        <f>IFERROR(__xludf.DUMMYFUNCTION("""COMPUTED_VALUE"""),54.0)</f>
        <v>54</v>
      </c>
      <c r="L783" s="17">
        <f>IFERROR(__xludf.DUMMYFUNCTION("""COMPUTED_VALUE"""),3.105510381E9)</f>
        <v>3105510381</v>
      </c>
      <c r="M783" s="17" t="str">
        <f>IFERROR(__xludf.DUMMYFUNCTION("""COMPUTED_VALUE"""),"#REF!")</f>
        <v>#REF!</v>
      </c>
      <c r="N783" s="17"/>
      <c r="O783" s="19" t="str">
        <f>IFERROR(__xludf.DUMMYFUNCTION("""COMPUTED_VALUE"""),"")</f>
        <v/>
      </c>
      <c r="P783" s="17" t="b">
        <f>IFERROR(__xludf.DUMMYFUNCTION("""COMPUTED_VALUE"""),TRUE)</f>
        <v>1</v>
      </c>
      <c r="Q783" s="20">
        <f>IFERROR(__xludf.DUMMYFUNCTION("""COMPUTED_VALUE"""),45020.617023217594)</f>
        <v>45020.61702</v>
      </c>
      <c r="R783" s="22" t="str">
        <f>IFERROR(__xludf.DUMMYFUNCTION("""COMPUTED_VALUE"""),"")</f>
        <v/>
      </c>
    </row>
    <row r="784">
      <c r="A784" s="15">
        <f>IFERROR(__xludf.DUMMYFUNCTION("""COMPUTED_VALUE"""),45020.0)</f>
        <v>45020</v>
      </c>
      <c r="B784" s="16" t="str">
        <f>IFERROR(__xludf.DUMMYFUNCTION("""COMPUTED_VALUE"""),"Jhon Anderson Ceballos Hernandez")</f>
        <v>Jhon Anderson Ceballos Hernandez</v>
      </c>
      <c r="C784" s="15" t="str">
        <f>IFERROR(__xludf.DUMMYFUNCTION("""COMPUTED_VALUE"""),"CARTAGENA")</f>
        <v>CARTAGENA</v>
      </c>
      <c r="D784" s="15" t="str">
        <f>IFERROR(__xludf.DUMMYFUNCTION("""COMPUTED_VALUE"""),"BOGOTÁ")</f>
        <v>BOGOTÁ</v>
      </c>
      <c r="E784" s="15" t="str">
        <f>IFERROR(__xludf.DUMMYFUNCTION("""COMPUTED_VALUE"""),"SISU PARTNERS SAS")</f>
        <v>SISU PARTNERS SAS</v>
      </c>
      <c r="F784" s="17" t="str">
        <f>IFERROR(__xludf.DUMMYFUNCTION("""COMPUTED_VALUE"""),"Carrera 7 no. 38-48 local 3 / Local Mary &amp; George")</f>
        <v>Carrera 7 no. 38-48 local 3 / Local Mary &amp; George</v>
      </c>
      <c r="G784" s="15" t="str">
        <f>IFERROR(__xludf.DUMMYFUNCTION("""COMPUTED_VALUE"""),"Carolyne Bailey")</f>
        <v>Carolyne Bailey</v>
      </c>
      <c r="H784" s="16">
        <f>IFERROR(__xludf.DUMMYFUNCTION("""COMPUTED_VALUE"""),9377.0)</f>
        <v>9377</v>
      </c>
      <c r="I784" s="18" t="str">
        <f>IFERROR(__xludf.DUMMYFUNCTION("""COMPUTED_VALUE"""),"52.5")</f>
        <v>52.5</v>
      </c>
      <c r="J784" s="18">
        <f>IFERROR(__xludf.DUMMYFUNCTION("""COMPUTED_VALUE"""),45.0)</f>
        <v>45</v>
      </c>
      <c r="K784" s="18">
        <f>IFERROR(__xludf.DUMMYFUNCTION("""COMPUTED_VALUE"""),55.0)</f>
        <v>55</v>
      </c>
      <c r="L784" s="17">
        <f>IFERROR(__xludf.DUMMYFUNCTION("""COMPUTED_VALUE"""),3.105510381E9)</f>
        <v>3105510381</v>
      </c>
      <c r="M784" s="17" t="str">
        <f>IFERROR(__xludf.DUMMYFUNCTION("""COMPUTED_VALUE"""),"#REF!")</f>
        <v>#REF!</v>
      </c>
      <c r="N784" s="17"/>
      <c r="O784" s="19" t="str">
        <f>IFERROR(__xludf.DUMMYFUNCTION("""COMPUTED_VALUE"""),"")</f>
        <v/>
      </c>
      <c r="P784" s="17" t="b">
        <f>IFERROR(__xludf.DUMMYFUNCTION("""COMPUTED_VALUE"""),TRUE)</f>
        <v>1</v>
      </c>
      <c r="Q784" s="20">
        <f>IFERROR(__xludf.DUMMYFUNCTION("""COMPUTED_VALUE"""),45020.60643231482)</f>
        <v>45020.60643</v>
      </c>
      <c r="R784" s="22" t="str">
        <f>IFERROR(__xludf.DUMMYFUNCTION("""COMPUTED_VALUE"""),"")</f>
        <v/>
      </c>
    </row>
    <row r="785">
      <c r="A785" s="15">
        <f>IFERROR(__xludf.DUMMYFUNCTION("""COMPUTED_VALUE"""),45020.0)</f>
        <v>45020</v>
      </c>
      <c r="B785" s="16" t="str">
        <f>IFERROR(__xludf.DUMMYFUNCTION("""COMPUTED_VALUE"""),"Jhon Anderson Ceballos Hernandez")</f>
        <v>Jhon Anderson Ceballos Hernandez</v>
      </c>
      <c r="C785" s="15" t="str">
        <f>IFERROR(__xludf.DUMMYFUNCTION("""COMPUTED_VALUE"""),"CARTAGENA")</f>
        <v>CARTAGENA</v>
      </c>
      <c r="D785" s="15" t="str">
        <f>IFERROR(__xludf.DUMMYFUNCTION("""COMPUTED_VALUE"""),"MEDELLÍN")</f>
        <v>MEDELLÍN</v>
      </c>
      <c r="E785" s="15" t="str">
        <f>IFERROR(__xludf.DUMMYFUNCTION("""COMPUTED_VALUE"""),"Baby Chef")</f>
        <v>Baby Chef</v>
      </c>
      <c r="F785" s="17" t="str">
        <f>IFERROR(__xludf.DUMMYFUNCTION("""COMPUTED_VALUE"""),"manga, Avenida Miramar #18-35 edificio Julia Susana apto 4b Cartagena  / manga, Avenida Miramar #18-35 edificio Julia Susana apto 4b Cartagena  / manga, Avenida Miramar #18-35 edificio Julia Susana apto 4b Cartagena")</f>
        <v>manga, Avenida Miramar #18-35 edificio Julia Susana apto 4b Cartagena  / manga, Avenida Miramar #18-35 edificio Julia Susana apto 4b Cartagena  / manga, Avenida Miramar #18-35 edificio Julia Susana apto 4b Cartagena</v>
      </c>
      <c r="G785" s="15" t="str">
        <f>IFERROR(__xludf.DUMMYFUNCTION("""COMPUTED_VALUE"""),"Adriana de la Espriella")</f>
        <v>Adriana de la Espriella</v>
      </c>
      <c r="H785" s="16">
        <f>IFERROR(__xludf.DUMMYFUNCTION("""COMPUTED_VALUE"""),9420.0)</f>
        <v>9420</v>
      </c>
      <c r="I785" s="18">
        <f>IFERROR(__xludf.DUMMYFUNCTION("""COMPUTED_VALUE"""),8.0)</f>
        <v>8</v>
      </c>
      <c r="J785" s="18">
        <f>IFERROR(__xludf.DUMMYFUNCTION("""COMPUTED_VALUE"""),16.0)</f>
        <v>16</v>
      </c>
      <c r="K785" s="18">
        <f>IFERROR(__xludf.DUMMYFUNCTION("""COMPUTED_VALUE"""),20.0)</f>
        <v>20</v>
      </c>
      <c r="L785" s="17">
        <f>IFERROR(__xludf.DUMMYFUNCTION("""COMPUTED_VALUE"""),3.006573651E9)</f>
        <v>3006573651</v>
      </c>
      <c r="M785" s="17" t="str">
        <f>IFERROR(__xludf.DUMMYFUNCTION("""COMPUTED_VALUE"""),"#REF!")</f>
        <v>#REF!</v>
      </c>
      <c r="N785" s="17"/>
      <c r="O785" s="19" t="str">
        <f>IFERROR(__xludf.DUMMYFUNCTION("""COMPUTED_VALUE"""),"")</f>
        <v/>
      </c>
      <c r="P785" s="17" t="b">
        <f>IFERROR(__xludf.DUMMYFUNCTION("""COMPUTED_VALUE"""),TRUE)</f>
        <v>1</v>
      </c>
      <c r="Q785" s="20">
        <f>IFERROR(__xludf.DUMMYFUNCTION("""COMPUTED_VALUE"""),45020.60643231482)</f>
        <v>45020.60643</v>
      </c>
      <c r="R785" s="22" t="str">
        <f>IFERROR(__xludf.DUMMYFUNCTION("""COMPUTED_VALUE"""),"")</f>
        <v/>
      </c>
    </row>
    <row r="786">
      <c r="A786" s="15">
        <f>IFERROR(__xludf.DUMMYFUNCTION("""COMPUTED_VALUE"""),45020.0)</f>
        <v>45020</v>
      </c>
      <c r="B786" s="16" t="str">
        <f>IFERROR(__xludf.DUMMYFUNCTION("""COMPUTED_VALUE"""),"Jhon Anderson Ceballos Hernandez")</f>
        <v>Jhon Anderson Ceballos Hernandez</v>
      </c>
      <c r="C786" s="15" t="str">
        <f>IFERROR(__xludf.DUMMYFUNCTION("""COMPUTED_VALUE"""),"CARTAGENA")</f>
        <v>CARTAGENA</v>
      </c>
      <c r="D786" s="15" t="str">
        <f>IFERROR(__xludf.DUMMYFUNCTION("""COMPUTED_VALUE"""),"MEDELLÍN")</f>
        <v>MEDELLÍN</v>
      </c>
      <c r="E786" s="15" t="str">
        <f>IFERROR(__xludf.DUMMYFUNCTION("""COMPUTED_VALUE"""),"Rambla")</f>
        <v>Rambla</v>
      </c>
      <c r="F786" s="17" t="str">
        <f>IFERROR(__xludf.DUMMYFUNCTION("""COMPUTED_VALUE"""),"barrio bocagrande  av san martin 9 -161 / na / na")</f>
        <v>barrio bocagrande  av san martin 9 -161 / na / na</v>
      </c>
      <c r="G786" s="15" t="str">
        <f>IFERROR(__xludf.DUMMYFUNCTION("""COMPUTED_VALUE"""),"Salute")</f>
        <v>Salute</v>
      </c>
      <c r="H786" s="16">
        <f>IFERROR(__xludf.DUMMYFUNCTION("""COMPUTED_VALUE"""),9462.0)</f>
        <v>9462</v>
      </c>
      <c r="I786" s="18">
        <f>IFERROR(__xludf.DUMMYFUNCTION("""COMPUTED_VALUE"""),21.0)</f>
        <v>21</v>
      </c>
      <c r="J786" s="18">
        <f>IFERROR(__xludf.DUMMYFUNCTION("""COMPUTED_VALUE"""),25.0)</f>
        <v>25</v>
      </c>
      <c r="K786" s="18">
        <f>IFERROR(__xludf.DUMMYFUNCTION("""COMPUTED_VALUE"""),28.0)</f>
        <v>28</v>
      </c>
      <c r="L786" s="17">
        <f>IFERROR(__xludf.DUMMYFUNCTION("""COMPUTED_VALUE"""),6.056799772E9)</f>
        <v>6056799772</v>
      </c>
      <c r="M786" s="17" t="str">
        <f>IFERROR(__xludf.DUMMYFUNCTION("""COMPUTED_VALUE"""),"#REF!")</f>
        <v>#REF!</v>
      </c>
      <c r="N786" s="17"/>
      <c r="O786" s="19" t="str">
        <f>IFERROR(__xludf.DUMMYFUNCTION("""COMPUTED_VALUE"""),"")</f>
        <v/>
      </c>
      <c r="P786" s="17" t="b">
        <f>IFERROR(__xludf.DUMMYFUNCTION("""COMPUTED_VALUE"""),TRUE)</f>
        <v>1</v>
      </c>
      <c r="Q786" s="20">
        <f>IFERROR(__xludf.DUMMYFUNCTION("""COMPUTED_VALUE"""),45020.60643231482)</f>
        <v>45020.60643</v>
      </c>
      <c r="R786" s="22" t="str">
        <f>IFERROR(__xludf.DUMMYFUNCTION("""COMPUTED_VALUE"""),"")</f>
        <v/>
      </c>
    </row>
    <row r="787">
      <c r="A787" s="15">
        <f>IFERROR(__xludf.DUMMYFUNCTION("""COMPUTED_VALUE"""),45020.0)</f>
        <v>45020</v>
      </c>
      <c r="B787" s="16" t="str">
        <f>IFERROR(__xludf.DUMMYFUNCTION("""COMPUTED_VALUE"""),"Jhon Anderson Ceballos Hernandez")</f>
        <v>Jhon Anderson Ceballos Hernandez</v>
      </c>
      <c r="C787" s="15" t="str">
        <f>IFERROR(__xludf.DUMMYFUNCTION("""COMPUTED_VALUE"""),"CARTAGENA")</f>
        <v>CARTAGENA</v>
      </c>
      <c r="D787" s="15" t="str">
        <f>IFERROR(__xludf.DUMMYFUNCTION("""COMPUTED_VALUE"""),"MEDELLÍN")</f>
        <v>MEDELLÍN</v>
      </c>
      <c r="E787" s="15" t="str">
        <f>IFERROR(__xludf.DUMMYFUNCTION("""COMPUTED_VALUE"""),"Todo Bufala")</f>
        <v>Todo Bufala</v>
      </c>
      <c r="F787" s="17" t="str">
        <f>IFERROR(__xludf.DUMMYFUNCTION("""COMPUTED_VALUE"""),"Cra 30 #10-46 / Calle de la media luna, pizzeria media luna")</f>
        <v>Cra 30 #10-46 / Calle de la media luna, pizzeria media luna</v>
      </c>
      <c r="G787" s="15" t="str">
        <f>IFERROR(__xludf.DUMMYFUNCTION("""COMPUTED_VALUE"""),"Evelyn Medina")</f>
        <v>Evelyn Medina</v>
      </c>
      <c r="H787" s="16">
        <f>IFERROR(__xludf.DUMMYFUNCTION("""COMPUTED_VALUE"""),9350.0)</f>
        <v>9350</v>
      </c>
      <c r="I787" s="18">
        <f>IFERROR(__xludf.DUMMYFUNCTION("""COMPUTED_VALUE"""),40.0)</f>
        <v>40</v>
      </c>
      <c r="J787" s="18">
        <f>IFERROR(__xludf.DUMMYFUNCTION("""COMPUTED_VALUE"""),30.0)</f>
        <v>30</v>
      </c>
      <c r="K787" s="18">
        <f>IFERROR(__xludf.DUMMYFUNCTION("""COMPUTED_VALUE"""),20.0)</f>
        <v>20</v>
      </c>
      <c r="L787" s="17" t="str">
        <f>IFERROR(__xludf.DUMMYFUNCTION("""COMPUTED_VALUE"""),"301 370964")</f>
        <v>301 370964</v>
      </c>
      <c r="M787" s="17" t="str">
        <f>IFERROR(__xludf.DUMMYFUNCTION("""COMPUTED_VALUE"""),"#REF!")</f>
        <v>#REF!</v>
      </c>
      <c r="N787" s="17"/>
      <c r="O787" s="19" t="str">
        <f>IFERROR(__xludf.DUMMYFUNCTION("""COMPUTED_VALUE"""),"")</f>
        <v/>
      </c>
      <c r="P787" s="17" t="b">
        <f>IFERROR(__xludf.DUMMYFUNCTION("""COMPUTED_VALUE"""),TRUE)</f>
        <v>1</v>
      </c>
      <c r="Q787" s="20">
        <f>IFERROR(__xludf.DUMMYFUNCTION("""COMPUTED_VALUE"""),45020.60643231482)</f>
        <v>45020.60643</v>
      </c>
      <c r="R787" s="22" t="str">
        <f>IFERROR(__xludf.DUMMYFUNCTION("""COMPUTED_VALUE"""),"")</f>
        <v/>
      </c>
    </row>
    <row r="788">
      <c r="A788" s="15">
        <f>IFERROR(__xludf.DUMMYFUNCTION("""COMPUTED_VALUE"""),45020.0)</f>
        <v>45020</v>
      </c>
      <c r="B788" s="16" t="str">
        <f>IFERROR(__xludf.DUMMYFUNCTION("""COMPUTED_VALUE"""),"Jhon Anderson Ceballos Hernandez")</f>
        <v>Jhon Anderson Ceballos Hernandez</v>
      </c>
      <c r="C788" s="15" t="str">
        <f>IFERROR(__xludf.DUMMYFUNCTION("""COMPUTED_VALUE"""),"MANIZALES")</f>
        <v>MANIZALES</v>
      </c>
      <c r="D788" s="15" t="str">
        <f>IFERROR(__xludf.DUMMYFUNCTION("""COMPUTED_VALUE"""),"BOGOTÁ")</f>
        <v>BOGOTÁ</v>
      </c>
      <c r="E788" s="15" t="str">
        <f>IFERROR(__xludf.DUMMYFUNCTION("""COMPUTED_VALUE"""),"Blond &amp; This")</f>
        <v>Blond &amp; This</v>
      </c>
      <c r="F788" s="17" t="str">
        <f>IFERROR(__xludf.DUMMYFUNCTION("""COMPUTED_VALUE"""),"cr 23#73-86 / restaurante la farfalla / milan")</f>
        <v>cr 23#73-86 / restaurante la farfalla / milan</v>
      </c>
      <c r="G788" s="15" t="str">
        <f>IFERROR(__xludf.DUMMYFUNCTION("""COMPUTED_VALUE"""),"omaira lopez")</f>
        <v>omaira lopez</v>
      </c>
      <c r="H788" s="16">
        <f>IFERROR(__xludf.DUMMYFUNCTION("""COMPUTED_VALUE"""),9416.0)</f>
        <v>9416</v>
      </c>
      <c r="I788" s="18">
        <f>IFERROR(__xludf.DUMMYFUNCTION("""COMPUTED_VALUE"""),14.0)</f>
        <v>14</v>
      </c>
      <c r="J788" s="18">
        <f>IFERROR(__xludf.DUMMYFUNCTION("""COMPUTED_VALUE"""),26.0)</f>
        <v>26</v>
      </c>
      <c r="K788" s="18">
        <f>IFERROR(__xludf.DUMMYFUNCTION("""COMPUTED_VALUE"""),31.0)</f>
        <v>31</v>
      </c>
      <c r="L788" s="17">
        <f>IFERROR(__xludf.DUMMYFUNCTION("""COMPUTED_VALUE"""),3.10421678E9)</f>
        <v>3104216780</v>
      </c>
      <c r="M788" s="17" t="str">
        <f>IFERROR(__xludf.DUMMYFUNCTION("""COMPUTED_VALUE"""),"#REF!")</f>
        <v>#REF!</v>
      </c>
      <c r="N788" s="17"/>
      <c r="O788" s="19" t="str">
        <f>IFERROR(__xludf.DUMMYFUNCTION("""COMPUTED_VALUE"""),"")</f>
        <v/>
      </c>
      <c r="P788" s="17" t="b">
        <f>IFERROR(__xludf.DUMMYFUNCTION("""COMPUTED_VALUE"""),TRUE)</f>
        <v>1</v>
      </c>
      <c r="Q788" s="20">
        <f>IFERROR(__xludf.DUMMYFUNCTION("""COMPUTED_VALUE"""),45020.60643231482)</f>
        <v>45020.60643</v>
      </c>
      <c r="R788" s="22" t="str">
        <f>IFERROR(__xludf.DUMMYFUNCTION("""COMPUTED_VALUE"""),"")</f>
        <v/>
      </c>
    </row>
    <row r="789">
      <c r="A789" s="15">
        <f>IFERROR(__xludf.DUMMYFUNCTION("""COMPUTED_VALUE"""),45020.0)</f>
        <v>45020</v>
      </c>
      <c r="B789" s="16" t="str">
        <f>IFERROR(__xludf.DUMMYFUNCTION("""COMPUTED_VALUE"""),"Jhon Anderson Ceballos Hernandez")</f>
        <v>Jhon Anderson Ceballos Hernandez</v>
      </c>
      <c r="C789" s="15" t="str">
        <f>IFERROR(__xludf.DUMMYFUNCTION("""COMPUTED_VALUE"""),"TUNJA")</f>
        <v>TUNJA</v>
      </c>
      <c r="D789" s="15" t="str">
        <f>IFERROR(__xludf.DUMMYFUNCTION("""COMPUTED_VALUE"""),"BOGOTÁ")</f>
        <v>BOGOTÁ</v>
      </c>
      <c r="E789" s="15" t="str">
        <f>IFERROR(__xludf.DUMMYFUNCTION("""COMPUTED_VALUE"""),"Evamazzita")</f>
        <v>Evamazzita</v>
      </c>
      <c r="F789" s="17" t="str">
        <f>IFERROR(__xludf.DUMMYFUNCTION("""COMPUTED_VALUE"""),"Calle 59 No. 2 este -58   / casa 5 Manzana D / Condominio Campestre Santa Helena P.H")</f>
        <v>Calle 59 No. 2 este -58   / casa 5 Manzana D / Condominio Campestre Santa Helena P.H</v>
      </c>
      <c r="G789" s="15" t="str">
        <f>IFERROR(__xludf.DUMMYFUNCTION("""COMPUTED_VALUE"""),"MARIA ALEJANDRA FUENTES ROJAS")</f>
        <v>MARIA ALEJANDRA FUENTES ROJAS</v>
      </c>
      <c r="H789" s="16">
        <f>IFERROR(__xludf.DUMMYFUNCTION("""COMPUTED_VALUE"""),9389.0)</f>
        <v>9389</v>
      </c>
      <c r="I789" s="18">
        <f>IFERROR(__xludf.DUMMYFUNCTION("""COMPUTED_VALUE"""),4.0)</f>
        <v>4</v>
      </c>
      <c r="J789" s="18">
        <f>IFERROR(__xludf.DUMMYFUNCTION("""COMPUTED_VALUE"""),19.0)</f>
        <v>19</v>
      </c>
      <c r="K789" s="18">
        <f>IFERROR(__xludf.DUMMYFUNCTION("""COMPUTED_VALUE"""),14.0)</f>
        <v>14</v>
      </c>
      <c r="L789" s="17">
        <f>IFERROR(__xludf.DUMMYFUNCTION("""COMPUTED_VALUE"""),3.202859097E9)</f>
        <v>3202859097</v>
      </c>
      <c r="M789" s="17" t="str">
        <f>IFERROR(__xludf.DUMMYFUNCTION("""COMPUTED_VALUE"""),"#REF!")</f>
        <v>#REF!</v>
      </c>
      <c r="N789" s="17"/>
      <c r="O789" s="19" t="str">
        <f>IFERROR(__xludf.DUMMYFUNCTION("""COMPUTED_VALUE"""),"")</f>
        <v/>
      </c>
      <c r="P789" s="17" t="b">
        <f>IFERROR(__xludf.DUMMYFUNCTION("""COMPUTED_VALUE"""),FALSE)</f>
        <v>0</v>
      </c>
      <c r="Q789" s="20" t="str">
        <f>IFERROR(__xludf.DUMMYFUNCTION("""COMPUTED_VALUE"""),"")</f>
        <v/>
      </c>
      <c r="R789" s="22" t="str">
        <f>IFERROR(__xludf.DUMMYFUNCTION("""COMPUTED_VALUE"""),"")</f>
        <v/>
      </c>
    </row>
    <row r="790">
      <c r="A790" s="17" t="str">
        <f>IFERROR(__xludf.DUMMYFUNCTION("""COMPUTED_VALUE"""),"")</f>
        <v/>
      </c>
      <c r="B790" s="17" t="str">
        <f>IFERROR(__xludf.DUMMYFUNCTION("""COMPUTED_VALUE"""),"")</f>
        <v/>
      </c>
      <c r="C790" s="17" t="str">
        <f>IFERROR(__xludf.DUMMYFUNCTION("""COMPUTED_VALUE"""),"")</f>
        <v/>
      </c>
      <c r="D790" s="17" t="str">
        <f>IFERROR(__xludf.DUMMYFUNCTION("""COMPUTED_VALUE"""),"")</f>
        <v/>
      </c>
      <c r="E790" s="17" t="str">
        <f>IFERROR(__xludf.DUMMYFUNCTION("""COMPUTED_VALUE"""),"")</f>
        <v/>
      </c>
      <c r="F790" s="17" t="str">
        <f>IFERROR(__xludf.DUMMYFUNCTION("""COMPUTED_VALUE"""),"")</f>
        <v/>
      </c>
      <c r="G790" s="17" t="str">
        <f>IFERROR(__xludf.DUMMYFUNCTION("""COMPUTED_VALUE"""),"")</f>
        <v/>
      </c>
      <c r="H790" s="17" t="str">
        <f>IFERROR(__xludf.DUMMYFUNCTION("""COMPUTED_VALUE"""),"")</f>
        <v/>
      </c>
      <c r="I790" s="17" t="str">
        <f>IFERROR(__xludf.DUMMYFUNCTION("""COMPUTED_VALUE"""),"")</f>
        <v/>
      </c>
      <c r="J790" s="17" t="str">
        <f>IFERROR(__xludf.DUMMYFUNCTION("""COMPUTED_VALUE"""),"")</f>
        <v/>
      </c>
      <c r="K790" s="17" t="str">
        <f>IFERROR(__xludf.DUMMYFUNCTION("""COMPUTED_VALUE"""),"")</f>
        <v/>
      </c>
      <c r="L790" s="17" t="str">
        <f>IFERROR(__xludf.DUMMYFUNCTION("""COMPUTED_VALUE"""),"")</f>
        <v/>
      </c>
      <c r="M790" s="17" t="str">
        <f>IFERROR(__xludf.DUMMYFUNCTION("""COMPUTED_VALUE"""),"")</f>
        <v/>
      </c>
      <c r="N790" s="17" t="str">
        <f>IFERROR(__xludf.DUMMYFUNCTION("""COMPUTED_VALUE"""),"")</f>
        <v/>
      </c>
      <c r="O790" s="17" t="str">
        <f>IFERROR(__xludf.DUMMYFUNCTION("""COMPUTED_VALUE"""),"")</f>
        <v/>
      </c>
      <c r="P790" s="17" t="str">
        <f>IFERROR(__xludf.DUMMYFUNCTION("""COMPUTED_VALUE"""),"")</f>
        <v/>
      </c>
      <c r="Q790" s="17" t="str">
        <f>IFERROR(__xludf.DUMMYFUNCTION("""COMPUTED_VALUE"""),"")</f>
        <v/>
      </c>
      <c r="R790" s="17" t="str">
        <f>IFERROR(__xludf.DUMMYFUNCTION("""COMPUTED_VALUE"""),"")</f>
        <v/>
      </c>
    </row>
    <row r="791">
      <c r="A791" s="15">
        <f>IFERROR(__xludf.DUMMYFUNCTION("""COMPUTED_VALUE"""),45020.0)</f>
        <v>45020</v>
      </c>
      <c r="B791" s="16" t="str">
        <f>IFERROR(__xludf.DUMMYFUNCTION("""COMPUTED_VALUE"""),"Johan Alexander Escobar Arroyo ")</f>
        <v>Johan Alexander Escobar Arroyo </v>
      </c>
      <c r="C791" s="15" t="str">
        <f>IFERROR(__xludf.DUMMYFUNCTION("""COMPUTED_VALUE"""),"CALI")</f>
        <v>CALI</v>
      </c>
      <c r="D791" s="15" t="str">
        <f>IFERROR(__xludf.DUMMYFUNCTION("""COMPUTED_VALUE"""),"BOGOTÁ")</f>
        <v>BOGOTÁ</v>
      </c>
      <c r="E791" s="15" t="str">
        <f>IFERROR(__xludf.DUMMYFUNCTION("""COMPUTED_VALUE"""),"Evamazzita")</f>
        <v>Evamazzita</v>
      </c>
      <c r="F791" s="17" t="str">
        <f>IFERROR(__xludf.DUMMYFUNCTION("""COMPUTED_VALUE"""),"(ENTREGAR DE 7AM A 5PM) Av 5 #23A-74  /  Clinica Versalles / esquina B/ Versalles (ENTREGAR DE 7AM A 5PM)")</f>
        <v>(ENTREGAR DE 7AM A 5PM) Av 5 #23A-74  /  Clinica Versalles / esquina B/ Versalles (ENTREGAR DE 7AM A 5PM)</v>
      </c>
      <c r="G791" s="15" t="str">
        <f>IFERROR(__xludf.DUMMYFUNCTION("""COMPUTED_VALUE"""),"YURIN LEANDRA ARREDONDO HURTADO")</f>
        <v>YURIN LEANDRA ARREDONDO HURTADO</v>
      </c>
      <c r="H791" s="16">
        <f>IFERROR(__xludf.DUMMYFUNCTION("""COMPUTED_VALUE"""),9412.0)</f>
        <v>9412</v>
      </c>
      <c r="I791" s="18">
        <f>IFERROR(__xludf.DUMMYFUNCTION("""COMPUTED_VALUE"""),3.0)</f>
        <v>3</v>
      </c>
      <c r="J791" s="18">
        <f>IFERROR(__xludf.DUMMYFUNCTION("""COMPUTED_VALUE"""),20.0)</f>
        <v>20</v>
      </c>
      <c r="K791" s="18">
        <f>IFERROR(__xludf.DUMMYFUNCTION("""COMPUTED_VALUE"""),15.0)</f>
        <v>15</v>
      </c>
      <c r="L791" s="17">
        <f>IFERROR(__xludf.DUMMYFUNCTION("""COMPUTED_VALUE"""),3.114227011E9)</f>
        <v>3114227011</v>
      </c>
      <c r="M791" s="17" t="str">
        <f>IFERROR(__xludf.DUMMYFUNCTION("""COMPUTED_VALUE"""),"#REF!")</f>
        <v>#REF!</v>
      </c>
      <c r="N791" s="17"/>
      <c r="O791" s="19" t="str">
        <f>IFERROR(__xludf.DUMMYFUNCTION("""COMPUTED_VALUE"""),"")</f>
        <v/>
      </c>
      <c r="P791" s="17" t="b">
        <f>IFERROR(__xludf.DUMMYFUNCTION("""COMPUTED_VALUE"""),TRUE)</f>
        <v>1</v>
      </c>
      <c r="Q791" s="20">
        <f>IFERROR(__xludf.DUMMYFUNCTION("""COMPUTED_VALUE"""),45020.62581884259)</f>
        <v>45020.62582</v>
      </c>
      <c r="R791" s="22" t="str">
        <f>IFERROR(__xludf.DUMMYFUNCTION("""COMPUTED_VALUE"""),"")</f>
        <v/>
      </c>
    </row>
    <row r="792">
      <c r="A792" s="15">
        <f>IFERROR(__xludf.DUMMYFUNCTION("""COMPUTED_VALUE"""),45020.0)</f>
        <v>45020</v>
      </c>
      <c r="B792" s="16" t="str">
        <f>IFERROR(__xludf.DUMMYFUNCTION("""COMPUTED_VALUE"""),"Johan Alexander Escobar Arroyo ")</f>
        <v>Johan Alexander Escobar Arroyo </v>
      </c>
      <c r="C792" s="15" t="str">
        <f>IFERROR(__xludf.DUMMYFUNCTION("""COMPUTED_VALUE"""),"CALI")</f>
        <v>CALI</v>
      </c>
      <c r="D792" s="15" t="str">
        <f>IFERROR(__xludf.DUMMYFUNCTION("""COMPUTED_VALUE"""),"BOGOTÁ")</f>
        <v>BOGOTÁ</v>
      </c>
      <c r="E792" s="15" t="str">
        <f>IFERROR(__xludf.DUMMYFUNCTION("""COMPUTED_VALUE"""),"Evamazzita")</f>
        <v>Evamazzita</v>
      </c>
      <c r="F792" s="17" t="str">
        <f>IFERROR(__xludf.DUMMYFUNCTION("""COMPUTED_VALUE"""),"CALI: Calle 14 oeste #5-250  / colinas de Monterrey casa C2  / barrio Bellavista")</f>
        <v>CALI: Calle 14 oeste #5-250  / colinas de Monterrey casa C2  / barrio Bellavista</v>
      </c>
      <c r="G792" s="15" t="str">
        <f>IFERROR(__xludf.DUMMYFUNCTION("""COMPUTED_VALUE"""),"SERENA TOBON")</f>
        <v>SERENA TOBON</v>
      </c>
      <c r="H792" s="16">
        <f>IFERROR(__xludf.DUMMYFUNCTION("""COMPUTED_VALUE"""),9411.0)</f>
        <v>9411</v>
      </c>
      <c r="I792" s="18">
        <f>IFERROR(__xludf.DUMMYFUNCTION("""COMPUTED_VALUE"""),3.0)</f>
        <v>3</v>
      </c>
      <c r="J792" s="18">
        <f>IFERROR(__xludf.DUMMYFUNCTION("""COMPUTED_VALUE"""),20.0)</f>
        <v>20</v>
      </c>
      <c r="K792" s="18">
        <f>IFERROR(__xludf.DUMMYFUNCTION("""COMPUTED_VALUE"""),15.0)</f>
        <v>15</v>
      </c>
      <c r="L792" s="17">
        <f>IFERROR(__xludf.DUMMYFUNCTION("""COMPUTED_VALUE"""),3.205526246E9)</f>
        <v>3205526246</v>
      </c>
      <c r="M792" s="17" t="str">
        <f>IFERROR(__xludf.DUMMYFUNCTION("""COMPUTED_VALUE"""),"#REF!")</f>
        <v>#REF!</v>
      </c>
      <c r="N792" s="17"/>
      <c r="O792" s="19" t="str">
        <f>IFERROR(__xludf.DUMMYFUNCTION("""COMPUTED_VALUE"""),"")</f>
        <v/>
      </c>
      <c r="P792" s="17" t="b">
        <f>IFERROR(__xludf.DUMMYFUNCTION("""COMPUTED_VALUE"""),TRUE)</f>
        <v>1</v>
      </c>
      <c r="Q792" s="20">
        <f>IFERROR(__xludf.DUMMYFUNCTION("""COMPUTED_VALUE"""),45020.60643231482)</f>
        <v>45020.60643</v>
      </c>
      <c r="R792" s="22" t="str">
        <f>IFERROR(__xludf.DUMMYFUNCTION("""COMPUTED_VALUE"""),"")</f>
        <v/>
      </c>
    </row>
    <row r="793">
      <c r="A793" s="15">
        <f>IFERROR(__xludf.DUMMYFUNCTION("""COMPUTED_VALUE"""),45020.0)</f>
        <v>45020</v>
      </c>
      <c r="B793" s="16" t="str">
        <f>IFERROR(__xludf.DUMMYFUNCTION("""COMPUTED_VALUE"""),"Johan Alexander Escobar Arroyo ")</f>
        <v>Johan Alexander Escobar Arroyo </v>
      </c>
      <c r="C793" s="15" t="str">
        <f>IFERROR(__xludf.DUMMYFUNCTION("""COMPUTED_VALUE"""),"CALI")</f>
        <v>CALI</v>
      </c>
      <c r="D793" s="15" t="str">
        <f>IFERROR(__xludf.DUMMYFUNCTION("""COMPUTED_VALUE"""),"BOGOTÁ")</f>
        <v>BOGOTÁ</v>
      </c>
      <c r="E793" s="15" t="str">
        <f>IFERROR(__xludf.DUMMYFUNCTION("""COMPUTED_VALUE"""),"Evamazzita")</f>
        <v>Evamazzita</v>
      </c>
      <c r="F793" s="17" t="str">
        <f>IFERROR(__xludf.DUMMYFUNCTION("""COMPUTED_VALUE"""),"CALI: CALLE 62 B No. 1A9 - 205  / SEC 4 AGRUPACION 2 APTO 2E-44  / BARRIO CHIMINANGOS 2")</f>
        <v>CALI: CALLE 62 B No. 1A9 - 205  / SEC 4 AGRUPACION 2 APTO 2E-44  / BARRIO CHIMINANGOS 2</v>
      </c>
      <c r="G793" s="15" t="str">
        <f>IFERROR(__xludf.DUMMYFUNCTION("""COMPUTED_VALUE"""),"KAROL DUQUE")</f>
        <v>KAROL DUQUE</v>
      </c>
      <c r="H793" s="16">
        <f>IFERROR(__xludf.DUMMYFUNCTION("""COMPUTED_VALUE"""),9407.0)</f>
        <v>9407</v>
      </c>
      <c r="I793" s="18">
        <f>IFERROR(__xludf.DUMMYFUNCTION("""COMPUTED_VALUE"""),3.0)</f>
        <v>3</v>
      </c>
      <c r="J793" s="18">
        <f>IFERROR(__xludf.DUMMYFUNCTION("""COMPUTED_VALUE"""),20.0)</f>
        <v>20</v>
      </c>
      <c r="K793" s="18">
        <f>IFERROR(__xludf.DUMMYFUNCTION("""COMPUTED_VALUE"""),15.0)</f>
        <v>15</v>
      </c>
      <c r="L793" s="17">
        <f>IFERROR(__xludf.DUMMYFUNCTION("""COMPUTED_VALUE"""),3.162774022E9)</f>
        <v>3162774022</v>
      </c>
      <c r="M793" s="17" t="str">
        <f>IFERROR(__xludf.DUMMYFUNCTION("""COMPUTED_VALUE"""),"#REF!")</f>
        <v>#REF!</v>
      </c>
      <c r="N793" s="17"/>
      <c r="O793" s="19" t="str">
        <f>IFERROR(__xludf.DUMMYFUNCTION("""COMPUTED_VALUE"""),"")</f>
        <v/>
      </c>
      <c r="P793" s="17" t="b">
        <f>IFERROR(__xludf.DUMMYFUNCTION("""COMPUTED_VALUE"""),TRUE)</f>
        <v>1</v>
      </c>
      <c r="Q793" s="20">
        <f>IFERROR(__xludf.DUMMYFUNCTION("""COMPUTED_VALUE"""),45020.62606548611)</f>
        <v>45020.62607</v>
      </c>
      <c r="R793" s="22" t="str">
        <f>IFERROR(__xludf.DUMMYFUNCTION("""COMPUTED_VALUE"""),"")</f>
        <v/>
      </c>
    </row>
    <row r="794">
      <c r="A794" s="15">
        <f>IFERROR(__xludf.DUMMYFUNCTION("""COMPUTED_VALUE"""),45020.0)</f>
        <v>45020</v>
      </c>
      <c r="B794" s="16" t="str">
        <f>IFERROR(__xludf.DUMMYFUNCTION("""COMPUTED_VALUE"""),"Johan Alexander Escobar Arroyo ")</f>
        <v>Johan Alexander Escobar Arroyo </v>
      </c>
      <c r="C794" s="15" t="str">
        <f>IFERROR(__xludf.DUMMYFUNCTION("""COMPUTED_VALUE"""),"CALI")</f>
        <v>CALI</v>
      </c>
      <c r="D794" s="15" t="str">
        <f>IFERROR(__xludf.DUMMYFUNCTION("""COMPUTED_VALUE"""),"BOGOTÁ")</f>
        <v>BOGOTÁ</v>
      </c>
      <c r="E794" s="15" t="str">
        <f>IFERROR(__xludf.DUMMYFUNCTION("""COMPUTED_VALUE"""),"Evamazzita")</f>
        <v>Evamazzita</v>
      </c>
      <c r="F794" s="17" t="str">
        <f>IFERROR(__xludf.DUMMYFUNCTION("""COMPUTED_VALUE"""),"CALI: CRA 100 No. 28 - 68  / APTO 801 TORRE 3 CR MADEIRA  / BARRIO VALLE DEL LILI")</f>
        <v>CALI: CRA 100 No. 28 - 68  / APTO 801 TORRE 3 CR MADEIRA  / BARRIO VALLE DEL LILI</v>
      </c>
      <c r="G794" s="15" t="str">
        <f>IFERROR(__xludf.DUMMYFUNCTION("""COMPUTED_VALUE"""),"ROLADIS VALENCIA")</f>
        <v>ROLADIS VALENCIA</v>
      </c>
      <c r="H794" s="16">
        <f>IFERROR(__xludf.DUMMYFUNCTION("""COMPUTED_VALUE"""),9408.0)</f>
        <v>9408</v>
      </c>
      <c r="I794" s="18">
        <f>IFERROR(__xludf.DUMMYFUNCTION("""COMPUTED_VALUE"""),3.0)</f>
        <v>3</v>
      </c>
      <c r="J794" s="18">
        <f>IFERROR(__xludf.DUMMYFUNCTION("""COMPUTED_VALUE"""),20.0)</f>
        <v>20</v>
      </c>
      <c r="K794" s="18">
        <f>IFERROR(__xludf.DUMMYFUNCTION("""COMPUTED_VALUE"""),15.0)</f>
        <v>15</v>
      </c>
      <c r="L794" s="17">
        <f>IFERROR(__xludf.DUMMYFUNCTION("""COMPUTED_VALUE"""),3.218477399E9)</f>
        <v>3218477399</v>
      </c>
      <c r="M794" s="17" t="str">
        <f>IFERROR(__xludf.DUMMYFUNCTION("""COMPUTED_VALUE"""),"#REF!")</f>
        <v>#REF!</v>
      </c>
      <c r="N794" s="17"/>
      <c r="O794" s="19" t="str">
        <f>IFERROR(__xludf.DUMMYFUNCTION("""COMPUTED_VALUE"""),"")</f>
        <v/>
      </c>
      <c r="P794" s="17" t="b">
        <f>IFERROR(__xludf.DUMMYFUNCTION("""COMPUTED_VALUE"""),TRUE)</f>
        <v>1</v>
      </c>
      <c r="Q794" s="20">
        <f>IFERROR(__xludf.DUMMYFUNCTION("""COMPUTED_VALUE"""),45020.71681648148)</f>
        <v>45020.71682</v>
      </c>
      <c r="R794" s="22" t="str">
        <f>IFERROR(__xludf.DUMMYFUNCTION("""COMPUTED_VALUE"""),"")</f>
        <v/>
      </c>
    </row>
    <row r="795">
      <c r="A795" s="15">
        <f>IFERROR(__xludf.DUMMYFUNCTION("""COMPUTED_VALUE"""),45020.0)</f>
        <v>45020</v>
      </c>
      <c r="B795" s="16" t="str">
        <f>IFERROR(__xludf.DUMMYFUNCTION("""COMPUTED_VALUE"""),"Johan Alexander Escobar Arroyo ")</f>
        <v>Johan Alexander Escobar Arroyo </v>
      </c>
      <c r="C795" s="15" t="str">
        <f>IFERROR(__xludf.DUMMYFUNCTION("""COMPUTED_VALUE"""),"CALI")</f>
        <v>CALI</v>
      </c>
      <c r="D795" s="15" t="str">
        <f>IFERROR(__xludf.DUMMYFUNCTION("""COMPUTED_VALUE"""),"BOGOTÁ")</f>
        <v>BOGOTÁ</v>
      </c>
      <c r="E795" s="15" t="str">
        <f>IFERROR(__xludf.DUMMYFUNCTION("""COMPUTED_VALUE"""),"Evamazzita")</f>
        <v>Evamazzita</v>
      </c>
      <c r="F795" s="17" t="str">
        <f>IFERROR(__xludf.DUMMYFUNCTION("""COMPUTED_VALUE"""),"Calle  20 # 101A-37 /  Torre 8 apto 531  / unidad residencial mirador de Terrazas")</f>
        <v>Calle  20 # 101A-37 /  Torre 8 apto 531  / unidad residencial mirador de Terrazas</v>
      </c>
      <c r="G795" s="15" t="str">
        <f>IFERROR(__xludf.DUMMYFUNCTION("""COMPUTED_VALUE"""),"ALEXANDRA ROJAS - CALI")</f>
        <v>ALEXANDRA ROJAS - CALI</v>
      </c>
      <c r="H795" s="16">
        <f>IFERROR(__xludf.DUMMYFUNCTION("""COMPUTED_VALUE"""),9406.0)</f>
        <v>9406</v>
      </c>
      <c r="I795" s="18">
        <f>IFERROR(__xludf.DUMMYFUNCTION("""COMPUTED_VALUE"""),3.0)</f>
        <v>3</v>
      </c>
      <c r="J795" s="18">
        <f>IFERROR(__xludf.DUMMYFUNCTION("""COMPUTED_VALUE"""),20.0)</f>
        <v>20</v>
      </c>
      <c r="K795" s="18">
        <f>IFERROR(__xludf.DUMMYFUNCTION("""COMPUTED_VALUE"""),15.0)</f>
        <v>15</v>
      </c>
      <c r="L795" s="17">
        <f>IFERROR(__xludf.DUMMYFUNCTION("""COMPUTED_VALUE"""),3.166932628E9)</f>
        <v>3166932628</v>
      </c>
      <c r="M795" s="17" t="str">
        <f>IFERROR(__xludf.DUMMYFUNCTION("""COMPUTED_VALUE"""),"#REF!")</f>
        <v>#REF!</v>
      </c>
      <c r="N795" s="17"/>
      <c r="O795" s="19" t="str">
        <f>IFERROR(__xludf.DUMMYFUNCTION("""COMPUTED_VALUE"""),"")</f>
        <v/>
      </c>
      <c r="P795" s="17" t="b">
        <f>IFERROR(__xludf.DUMMYFUNCTION("""COMPUTED_VALUE"""),TRUE)</f>
        <v>1</v>
      </c>
      <c r="Q795" s="20">
        <f>IFERROR(__xludf.DUMMYFUNCTION("""COMPUTED_VALUE"""),45020.71555599537)</f>
        <v>45020.71556</v>
      </c>
      <c r="R795" s="22" t="str">
        <f>IFERROR(__xludf.DUMMYFUNCTION("""COMPUTED_VALUE"""),"")</f>
        <v/>
      </c>
    </row>
    <row r="796">
      <c r="A796" s="15">
        <f>IFERROR(__xludf.DUMMYFUNCTION("""COMPUTED_VALUE"""),45020.0)</f>
        <v>45020</v>
      </c>
      <c r="B796" s="16" t="str">
        <f>IFERROR(__xludf.DUMMYFUNCTION("""COMPUTED_VALUE"""),"Johan Alexander Escobar Arroyo ")</f>
        <v>Johan Alexander Escobar Arroyo </v>
      </c>
      <c r="C796" s="15" t="str">
        <f>IFERROR(__xludf.DUMMYFUNCTION("""COMPUTED_VALUE"""),"CALI")</f>
        <v>CALI</v>
      </c>
      <c r="D796" s="15" t="str">
        <f>IFERROR(__xludf.DUMMYFUNCTION("""COMPUTED_VALUE"""),"BOGOTÁ")</f>
        <v>BOGOTÁ</v>
      </c>
      <c r="E796" s="15" t="str">
        <f>IFERROR(__xludf.DUMMYFUNCTION("""COMPUTED_VALUE"""),"Evamazzita")</f>
        <v>Evamazzita</v>
      </c>
      <c r="F796" s="17" t="str">
        <f>IFERROR(__xludf.DUMMYFUNCTION("""COMPUTED_VALUE"""),"calle 49 N° 120 - 52  / aparta E304 conjunto ventura 1  / barrio ciudad pacifica")</f>
        <v>calle 49 N° 120 - 52  / aparta E304 conjunto ventura 1  / barrio ciudad pacifica</v>
      </c>
      <c r="G796" s="15" t="str">
        <f>IFERROR(__xludf.DUMMYFUNCTION("""COMPUTED_VALUE"""),"ISABEL CRISTINA FRANCO DUQUE")</f>
        <v>ISABEL CRISTINA FRANCO DUQUE</v>
      </c>
      <c r="H796" s="16">
        <f>IFERROR(__xludf.DUMMYFUNCTION("""COMPUTED_VALUE"""),9403.0)</f>
        <v>9403</v>
      </c>
      <c r="I796" s="18">
        <f>IFERROR(__xludf.DUMMYFUNCTION("""COMPUTED_VALUE"""),3.0)</f>
        <v>3</v>
      </c>
      <c r="J796" s="18">
        <f>IFERROR(__xludf.DUMMYFUNCTION("""COMPUTED_VALUE"""),20.0)</f>
        <v>20</v>
      </c>
      <c r="K796" s="18">
        <f>IFERROR(__xludf.DUMMYFUNCTION("""COMPUTED_VALUE"""),15.0)</f>
        <v>15</v>
      </c>
      <c r="L796" s="17">
        <f>IFERROR(__xludf.DUMMYFUNCTION("""COMPUTED_VALUE"""),3.168037945E9)</f>
        <v>3168037945</v>
      </c>
      <c r="M796" s="17" t="str">
        <f>IFERROR(__xludf.DUMMYFUNCTION("""COMPUTED_VALUE"""),"#REF!")</f>
        <v>#REF!</v>
      </c>
      <c r="N796" s="17"/>
      <c r="O796" s="19" t="str">
        <f>IFERROR(__xludf.DUMMYFUNCTION("""COMPUTED_VALUE"""),"")</f>
        <v/>
      </c>
      <c r="P796" s="17" t="b">
        <f>IFERROR(__xludf.DUMMYFUNCTION("""COMPUTED_VALUE"""),TRUE)</f>
        <v>1</v>
      </c>
      <c r="Q796" s="20">
        <f>IFERROR(__xludf.DUMMYFUNCTION("""COMPUTED_VALUE"""),45020.716712430556)</f>
        <v>45020.71671</v>
      </c>
      <c r="R796" s="22" t="str">
        <f>IFERROR(__xludf.DUMMYFUNCTION("""COMPUTED_VALUE"""),"")</f>
        <v/>
      </c>
    </row>
    <row r="797">
      <c r="A797" s="15">
        <f>IFERROR(__xludf.DUMMYFUNCTION("""COMPUTED_VALUE"""),45020.0)</f>
        <v>45020</v>
      </c>
      <c r="B797" s="16" t="str">
        <f>IFERROR(__xludf.DUMMYFUNCTION("""COMPUTED_VALUE"""),"Johan Alexander Escobar Arroyo ")</f>
        <v>Johan Alexander Escobar Arroyo </v>
      </c>
      <c r="C797" s="15" t="str">
        <f>IFERROR(__xludf.DUMMYFUNCTION("""COMPUTED_VALUE"""),"CALI")</f>
        <v>CALI</v>
      </c>
      <c r="D797" s="15" t="str">
        <f>IFERROR(__xludf.DUMMYFUNCTION("""COMPUTED_VALUE"""),"BOGOTÁ")</f>
        <v>BOGOTÁ</v>
      </c>
      <c r="E797" s="15" t="str">
        <f>IFERROR(__xludf.DUMMYFUNCTION("""COMPUTED_VALUE"""),"Evamazzita")</f>
        <v>Evamazzita</v>
      </c>
      <c r="F797" s="17" t="str">
        <f>IFERROR(__xludf.DUMMYFUNCTION("""COMPUTED_VALUE"""),"Calle 73 # 3 n 07 / N/A /  FLORALIA")</f>
        <v>Calle 73 # 3 n 07 / N/A /  FLORALIA</v>
      </c>
      <c r="G797" s="15" t="str">
        <f>IFERROR(__xludf.DUMMYFUNCTION("""COMPUTED_VALUE"""),"YURI KATHERINE ROSERO LOZANO")</f>
        <v>YURI KATHERINE ROSERO LOZANO</v>
      </c>
      <c r="H797" s="16">
        <f>IFERROR(__xludf.DUMMYFUNCTION("""COMPUTED_VALUE"""),9409.0)</f>
        <v>9409</v>
      </c>
      <c r="I797" s="18">
        <f>IFERROR(__xludf.DUMMYFUNCTION("""COMPUTED_VALUE"""),3.0)</f>
        <v>3</v>
      </c>
      <c r="J797" s="18">
        <f>IFERROR(__xludf.DUMMYFUNCTION("""COMPUTED_VALUE"""),20.0)</f>
        <v>20</v>
      </c>
      <c r="K797" s="18">
        <f>IFERROR(__xludf.DUMMYFUNCTION("""COMPUTED_VALUE"""),15.0)</f>
        <v>15</v>
      </c>
      <c r="L797" s="17">
        <f>IFERROR(__xludf.DUMMYFUNCTION("""COMPUTED_VALUE"""),3.232930823E9)</f>
        <v>3232930823</v>
      </c>
      <c r="M797" s="17" t="str">
        <f>IFERROR(__xludf.DUMMYFUNCTION("""COMPUTED_VALUE"""),"#REF!")</f>
        <v>#REF!</v>
      </c>
      <c r="N797" s="17"/>
      <c r="O797" s="19" t="str">
        <f>IFERROR(__xludf.DUMMYFUNCTION("""COMPUTED_VALUE"""),"")</f>
        <v/>
      </c>
      <c r="P797" s="17" t="b">
        <f>IFERROR(__xludf.DUMMYFUNCTION("""COMPUTED_VALUE"""),TRUE)</f>
        <v>1</v>
      </c>
      <c r="Q797" s="20">
        <f>IFERROR(__xludf.DUMMYFUNCTION("""COMPUTED_VALUE"""),45020.60643231482)</f>
        <v>45020.60643</v>
      </c>
      <c r="R797" s="22" t="str">
        <f>IFERROR(__xludf.DUMMYFUNCTION("""COMPUTED_VALUE"""),"")</f>
        <v/>
      </c>
    </row>
    <row r="798">
      <c r="A798" s="15">
        <f>IFERROR(__xludf.DUMMYFUNCTION("""COMPUTED_VALUE"""),45020.0)</f>
        <v>45020</v>
      </c>
      <c r="B798" s="16" t="str">
        <f>IFERROR(__xludf.DUMMYFUNCTION("""COMPUTED_VALUE"""),"Johan Alexander Escobar Arroyo ")</f>
        <v>Johan Alexander Escobar Arroyo </v>
      </c>
      <c r="C798" s="15" t="str">
        <f>IFERROR(__xludf.DUMMYFUNCTION("""COMPUTED_VALUE"""),"CALI")</f>
        <v>CALI</v>
      </c>
      <c r="D798" s="15" t="str">
        <f>IFERROR(__xludf.DUMMYFUNCTION("""COMPUTED_VALUE"""),"BOGOTÁ")</f>
        <v>BOGOTÁ</v>
      </c>
      <c r="E798" s="15" t="str">
        <f>IFERROR(__xludf.DUMMYFUNCTION("""COMPUTED_VALUE"""),"Evamazzita")</f>
        <v>Evamazzita</v>
      </c>
      <c r="F798" s="17" t="str">
        <f>IFERROR(__xludf.DUMMYFUNCTION("""COMPUTED_VALUE"""),"Cl 16#61-24   / apto 337 torre J  / unidad torremolinos")</f>
        <v>Cl 16#61-24   / apto 337 torre J  / unidad torremolinos</v>
      </c>
      <c r="G798" s="15" t="str">
        <f>IFERROR(__xludf.DUMMYFUNCTION("""COMPUTED_VALUE"""),"CATERINE ZAPATA")</f>
        <v>CATERINE ZAPATA</v>
      </c>
      <c r="H798" s="16">
        <f>IFERROR(__xludf.DUMMYFUNCTION("""COMPUTED_VALUE"""),9410.0)</f>
        <v>9410</v>
      </c>
      <c r="I798" s="18">
        <f>IFERROR(__xludf.DUMMYFUNCTION("""COMPUTED_VALUE"""),3.0)</f>
        <v>3</v>
      </c>
      <c r="J798" s="18">
        <f>IFERROR(__xludf.DUMMYFUNCTION("""COMPUTED_VALUE"""),20.0)</f>
        <v>20</v>
      </c>
      <c r="K798" s="18">
        <f>IFERROR(__xludf.DUMMYFUNCTION("""COMPUTED_VALUE"""),15.0)</f>
        <v>15</v>
      </c>
      <c r="L798" s="17">
        <f>IFERROR(__xludf.DUMMYFUNCTION("""COMPUTED_VALUE"""),3.229070901E9)</f>
        <v>3229070901</v>
      </c>
      <c r="M798" s="17" t="str">
        <f>IFERROR(__xludf.DUMMYFUNCTION("""COMPUTED_VALUE"""),"#REF!")</f>
        <v>#REF!</v>
      </c>
      <c r="N798" s="17"/>
      <c r="O798" s="19" t="str">
        <f>IFERROR(__xludf.DUMMYFUNCTION("""COMPUTED_VALUE"""),"")</f>
        <v/>
      </c>
      <c r="P798" s="17" t="b">
        <f>IFERROR(__xludf.DUMMYFUNCTION("""COMPUTED_VALUE"""),TRUE)</f>
        <v>1</v>
      </c>
      <c r="Q798" s="20">
        <f>IFERROR(__xludf.DUMMYFUNCTION("""COMPUTED_VALUE"""),45020.681500810184)</f>
        <v>45020.6815</v>
      </c>
      <c r="R798" s="22" t="str">
        <f>IFERROR(__xludf.DUMMYFUNCTION("""COMPUTED_VALUE"""),"")</f>
        <v/>
      </c>
    </row>
    <row r="799">
      <c r="A799" s="15">
        <f>IFERROR(__xludf.DUMMYFUNCTION("""COMPUTED_VALUE"""),45020.0)</f>
        <v>45020</v>
      </c>
      <c r="B799" s="16" t="str">
        <f>IFERROR(__xludf.DUMMYFUNCTION("""COMPUTED_VALUE"""),"Johan Alexander Escobar Arroyo ")</f>
        <v>Johan Alexander Escobar Arroyo </v>
      </c>
      <c r="C799" s="15" t="str">
        <f>IFERROR(__xludf.DUMMYFUNCTION("""COMPUTED_VALUE"""),"CALI")</f>
        <v>CALI</v>
      </c>
      <c r="D799" s="15" t="str">
        <f>IFERROR(__xludf.DUMMYFUNCTION("""COMPUTED_VALUE"""),"BOGOTÁ")</f>
        <v>BOGOTÁ</v>
      </c>
      <c r="E799" s="15" t="str">
        <f>IFERROR(__xludf.DUMMYFUNCTION("""COMPUTED_VALUE"""),"Evamazzita")</f>
        <v>Evamazzita</v>
      </c>
      <c r="F799" s="17" t="str">
        <f>IFERROR(__xludf.DUMMYFUNCTION("""COMPUTED_VALUE"""),"CRA 20 No. 39 - 98  / N/A / BARRIO SANTA FE")</f>
        <v>CRA 20 No. 39 - 98  / N/A / BARRIO SANTA FE</v>
      </c>
      <c r="G799" s="15" t="str">
        <f>IFERROR(__xludf.DUMMYFUNCTION("""COMPUTED_VALUE"""),"MAIRA TROCHEZ")</f>
        <v>MAIRA TROCHEZ</v>
      </c>
      <c r="H799" s="16">
        <f>IFERROR(__xludf.DUMMYFUNCTION("""COMPUTED_VALUE"""),9414.0)</f>
        <v>9414</v>
      </c>
      <c r="I799" s="18">
        <f>IFERROR(__xludf.DUMMYFUNCTION("""COMPUTED_VALUE"""),10.0)</f>
        <v>10</v>
      </c>
      <c r="J799" s="18">
        <f>IFERROR(__xludf.DUMMYFUNCTION("""COMPUTED_VALUE"""),18.0)</f>
        <v>18</v>
      </c>
      <c r="K799" s="18">
        <f>IFERROR(__xludf.DUMMYFUNCTION("""COMPUTED_VALUE"""),22.0)</f>
        <v>22</v>
      </c>
      <c r="L799" s="17">
        <f>IFERROR(__xludf.DUMMYFUNCTION("""COMPUTED_VALUE"""),3.167944878E9)</f>
        <v>3167944878</v>
      </c>
      <c r="M799" s="17" t="str">
        <f>IFERROR(__xludf.DUMMYFUNCTION("""COMPUTED_VALUE"""),"#REF!")</f>
        <v>#REF!</v>
      </c>
      <c r="N799" s="17"/>
      <c r="O799" s="19" t="str">
        <f>IFERROR(__xludf.DUMMYFUNCTION("""COMPUTED_VALUE"""),"")</f>
        <v/>
      </c>
      <c r="P799" s="17" t="b">
        <f>IFERROR(__xludf.DUMMYFUNCTION("""COMPUTED_VALUE"""),TRUE)</f>
        <v>1</v>
      </c>
      <c r="Q799" s="20">
        <f>IFERROR(__xludf.DUMMYFUNCTION("""COMPUTED_VALUE"""),45020.681500810184)</f>
        <v>45020.6815</v>
      </c>
      <c r="R799" s="22" t="str">
        <f>IFERROR(__xludf.DUMMYFUNCTION("""COMPUTED_VALUE"""),"")</f>
        <v/>
      </c>
    </row>
    <row r="800">
      <c r="A800" s="15">
        <f>IFERROR(__xludf.DUMMYFUNCTION("""COMPUTED_VALUE"""),45020.0)</f>
        <v>45020</v>
      </c>
      <c r="B800" s="16" t="str">
        <f>IFERROR(__xludf.DUMMYFUNCTION("""COMPUTED_VALUE"""),"Johan Alexander Escobar Arroyo ")</f>
        <v>Johan Alexander Escobar Arroyo </v>
      </c>
      <c r="C800" s="15" t="str">
        <f>IFERROR(__xludf.DUMMYFUNCTION("""COMPUTED_VALUE"""),"CALI")</f>
        <v>CALI</v>
      </c>
      <c r="D800" s="15" t="str">
        <f>IFERROR(__xludf.DUMMYFUNCTION("""COMPUTED_VALUE"""),"BOGOTÁ")</f>
        <v>BOGOTÁ</v>
      </c>
      <c r="E800" s="15" t="str">
        <f>IFERROR(__xludf.DUMMYFUNCTION("""COMPUTED_VALUE"""),"Evamazzita")</f>
        <v>Evamazzita</v>
      </c>
      <c r="F800" s="17" t="str">
        <f>IFERROR(__xludf.DUMMYFUNCTION("""COMPUTED_VALUE"""),"Cra 64 a # 14-75.  / Casa 47. Conjunto cañamiel  / Barrio limonar")</f>
        <v>Cra 64 a # 14-75.  / Casa 47. Conjunto cañamiel  / Barrio limonar</v>
      </c>
      <c r="G800" s="15" t="str">
        <f>IFERROR(__xludf.DUMMYFUNCTION("""COMPUTED_VALUE"""),"ANGELA MARIA LOPEZ")</f>
        <v>ANGELA MARIA LOPEZ</v>
      </c>
      <c r="H800" s="16">
        <f>IFERROR(__xludf.DUMMYFUNCTION("""COMPUTED_VALUE"""),9415.0)</f>
        <v>9415</v>
      </c>
      <c r="I800" s="18">
        <f>IFERROR(__xludf.DUMMYFUNCTION("""COMPUTED_VALUE"""),3.0)</f>
        <v>3</v>
      </c>
      <c r="J800" s="18">
        <f>IFERROR(__xludf.DUMMYFUNCTION("""COMPUTED_VALUE"""),20.0)</f>
        <v>20</v>
      </c>
      <c r="K800" s="18">
        <f>IFERROR(__xludf.DUMMYFUNCTION("""COMPUTED_VALUE"""),15.0)</f>
        <v>15</v>
      </c>
      <c r="L800" s="17">
        <f>IFERROR(__xludf.DUMMYFUNCTION("""COMPUTED_VALUE"""),3.164688197E9)</f>
        <v>3164688197</v>
      </c>
      <c r="M800" s="17" t="str">
        <f>IFERROR(__xludf.DUMMYFUNCTION("""COMPUTED_VALUE"""),"#REF!")</f>
        <v>#REF!</v>
      </c>
      <c r="N800" s="17"/>
      <c r="O800" s="19" t="str">
        <f>IFERROR(__xludf.DUMMYFUNCTION("""COMPUTED_VALUE"""),"")</f>
        <v/>
      </c>
      <c r="P800" s="17" t="b">
        <f>IFERROR(__xludf.DUMMYFUNCTION("""COMPUTED_VALUE"""),TRUE)</f>
        <v>1</v>
      </c>
      <c r="Q800" s="20">
        <f>IFERROR(__xludf.DUMMYFUNCTION("""COMPUTED_VALUE"""),45020.681500810184)</f>
        <v>45020.6815</v>
      </c>
      <c r="R800" s="22" t="str">
        <f>IFERROR(__xludf.DUMMYFUNCTION("""COMPUTED_VALUE"""),"")</f>
        <v/>
      </c>
    </row>
    <row r="801">
      <c r="A801" s="15">
        <f>IFERROR(__xludf.DUMMYFUNCTION("""COMPUTED_VALUE"""),45020.0)</f>
        <v>45020</v>
      </c>
      <c r="B801" s="16" t="str">
        <f>IFERROR(__xludf.DUMMYFUNCTION("""COMPUTED_VALUE"""),"Johan Alexander Escobar Arroyo ")</f>
        <v>Johan Alexander Escobar Arroyo </v>
      </c>
      <c r="C801" s="15" t="str">
        <f>IFERROR(__xludf.DUMMYFUNCTION("""COMPUTED_VALUE"""),"CALI")</f>
        <v>CALI</v>
      </c>
      <c r="D801" s="15" t="str">
        <f>IFERROR(__xludf.DUMMYFUNCTION("""COMPUTED_VALUE"""),"BOGOTÁ")</f>
        <v>BOGOTÁ</v>
      </c>
      <c r="E801" s="15" t="str">
        <f>IFERROR(__xludf.DUMMYFUNCTION("""COMPUTED_VALUE"""),"Evamazzita")</f>
        <v>Evamazzita</v>
      </c>
      <c r="F801" s="17" t="str">
        <f>IFERROR(__xludf.DUMMYFUNCTION("""COMPUTED_VALUE"""),"RECIBE ERIKA ARROYAVE carrera 61 #18-16  / Torre I apto 335 Unidad Cañaverales 3 / RECIBE MARIO ARROYAVE")</f>
        <v>RECIBE ERIKA ARROYAVE carrera 61 #18-16  / Torre I apto 335 Unidad Cañaverales 3 / RECIBE MARIO ARROYAVE</v>
      </c>
      <c r="G801" s="15" t="str">
        <f>IFERROR(__xludf.DUMMYFUNCTION("""COMPUTED_VALUE"""),"LAURA LOPEZ CASTRO")</f>
        <v>LAURA LOPEZ CASTRO</v>
      </c>
      <c r="H801" s="16">
        <f>IFERROR(__xludf.DUMMYFUNCTION("""COMPUTED_VALUE"""),9413.0)</f>
        <v>9413</v>
      </c>
      <c r="I801" s="18">
        <f>IFERROR(__xludf.DUMMYFUNCTION("""COMPUTED_VALUE"""),3.0)</f>
        <v>3</v>
      </c>
      <c r="J801" s="18">
        <f>IFERROR(__xludf.DUMMYFUNCTION("""COMPUTED_VALUE"""),20.0)</f>
        <v>20</v>
      </c>
      <c r="K801" s="18">
        <f>IFERROR(__xludf.DUMMYFUNCTION("""COMPUTED_VALUE"""),15.0)</f>
        <v>15</v>
      </c>
      <c r="L801" s="17">
        <f>IFERROR(__xludf.DUMMYFUNCTION("""COMPUTED_VALUE"""),3.188799574E9)</f>
        <v>3188799574</v>
      </c>
      <c r="M801" s="17" t="str">
        <f>IFERROR(__xludf.DUMMYFUNCTION("""COMPUTED_VALUE"""),"#REF!")</f>
        <v>#REF!</v>
      </c>
      <c r="N801" s="17"/>
      <c r="O801" s="19" t="str">
        <f>IFERROR(__xludf.DUMMYFUNCTION("""COMPUTED_VALUE"""),"")</f>
        <v/>
      </c>
      <c r="P801" s="17" t="b">
        <f>IFERROR(__xludf.DUMMYFUNCTION("""COMPUTED_VALUE"""),TRUE)</f>
        <v>1</v>
      </c>
      <c r="Q801" s="20">
        <f>IFERROR(__xludf.DUMMYFUNCTION("""COMPUTED_VALUE"""),45020.681500810184)</f>
        <v>45020.6815</v>
      </c>
      <c r="R801" s="22" t="str">
        <f>IFERROR(__xludf.DUMMYFUNCTION("""COMPUTED_VALUE"""),"")</f>
        <v/>
      </c>
    </row>
    <row r="802">
      <c r="A802" s="15">
        <f>IFERROR(__xludf.DUMMYFUNCTION("""COMPUTED_VALUE"""),45020.0)</f>
        <v>45020</v>
      </c>
      <c r="B802" s="16" t="str">
        <f>IFERROR(__xludf.DUMMYFUNCTION("""COMPUTED_VALUE"""),"Johan Alexander Escobar Arroyo ")</f>
        <v>Johan Alexander Escobar Arroyo </v>
      </c>
      <c r="C802" s="15" t="str">
        <f>IFERROR(__xludf.DUMMYFUNCTION("""COMPUTED_VALUE"""),"CALI")</f>
        <v>CALI</v>
      </c>
      <c r="D802" s="15" t="str">
        <f>IFERROR(__xludf.DUMMYFUNCTION("""COMPUTED_VALUE"""),"BOGOTÁ")</f>
        <v>BOGOTÁ</v>
      </c>
      <c r="E802" s="15" t="str">
        <f>IFERROR(__xludf.DUMMYFUNCTION("""COMPUTED_VALUE"""),"Karem foods")</f>
        <v>Karem foods</v>
      </c>
      <c r="F802" s="17" t="str">
        <f>IFERROR(__xludf.DUMMYFUNCTION("""COMPUTED_VALUE"""),"Calle 45 # 121a -39  / Coral ciudad pacífica 719  / -")</f>
        <v>Calle 45 # 121a -39  / Coral ciudad pacífica 719  / -</v>
      </c>
      <c r="G802" s="15" t="str">
        <f>IFERROR(__xludf.DUMMYFUNCTION("""COMPUTED_VALUE"""),"María Angélica Guerra")</f>
        <v>María Angélica Guerra</v>
      </c>
      <c r="H802" s="16">
        <f>IFERROR(__xludf.DUMMYFUNCTION("""COMPUTED_VALUE"""),9434.0)</f>
        <v>9434</v>
      </c>
      <c r="I802" s="18">
        <f>IFERROR(__xludf.DUMMYFUNCTION("""COMPUTED_VALUE"""),12.0)</f>
        <v>12</v>
      </c>
      <c r="J802" s="18">
        <f>IFERROR(__xludf.DUMMYFUNCTION("""COMPUTED_VALUE"""),8.0)</f>
        <v>8</v>
      </c>
      <c r="K802" s="18">
        <f>IFERROR(__xludf.DUMMYFUNCTION("""COMPUTED_VALUE"""),17.0)</f>
        <v>17</v>
      </c>
      <c r="L802" s="17">
        <f>IFERROR(__xludf.DUMMYFUNCTION("""COMPUTED_VALUE"""),3.162912668E9)</f>
        <v>3162912668</v>
      </c>
      <c r="M802" s="17" t="str">
        <f>IFERROR(__xludf.DUMMYFUNCTION("""COMPUTED_VALUE"""),"#REF!")</f>
        <v>#REF!</v>
      </c>
      <c r="N802" s="17"/>
      <c r="O802" s="19" t="str">
        <f>IFERROR(__xludf.DUMMYFUNCTION("""COMPUTED_VALUE"""),"")</f>
        <v/>
      </c>
      <c r="P802" s="17" t="b">
        <f>IFERROR(__xludf.DUMMYFUNCTION("""COMPUTED_VALUE"""),TRUE)</f>
        <v>1</v>
      </c>
      <c r="Q802" s="20">
        <f>IFERROR(__xludf.DUMMYFUNCTION("""COMPUTED_VALUE"""),45020.73206081019)</f>
        <v>45020.73206</v>
      </c>
      <c r="R802" s="22" t="str">
        <f>IFERROR(__xludf.DUMMYFUNCTION("""COMPUTED_VALUE"""),"")</f>
        <v/>
      </c>
    </row>
    <row r="803">
      <c r="A803" s="15">
        <f>IFERROR(__xludf.DUMMYFUNCTION("""COMPUTED_VALUE"""),45020.0)</f>
        <v>45020</v>
      </c>
      <c r="B803" s="16" t="str">
        <f>IFERROR(__xludf.DUMMYFUNCTION("""COMPUTED_VALUE"""),"Johan Alexander Escobar Arroyo ")</f>
        <v>Johan Alexander Escobar Arroyo </v>
      </c>
      <c r="C803" s="15" t="str">
        <f>IFERROR(__xludf.DUMMYFUNCTION("""COMPUTED_VALUE"""),"CALI")</f>
        <v>CALI</v>
      </c>
      <c r="D803" s="15" t="str">
        <f>IFERROR(__xludf.DUMMYFUNCTION("""COMPUTED_VALUE"""),"BOGOTÁ")</f>
        <v>BOGOTÁ</v>
      </c>
      <c r="E803" s="15" t="str">
        <f>IFERROR(__xludf.DUMMYFUNCTION("""COMPUTED_VALUE"""),"Pan de Waffle")</f>
        <v>Pan de Waffle</v>
      </c>
      <c r="F803" s="17" t="str">
        <f>IFERROR(__xludf.DUMMYFUNCTION("""COMPUTED_VALUE"""),"Calle 34 Norte # 2bn - 33 Luz Helena Gomez / Calle 34 Norte # 2bn - 33 Luz Helena Gomez / Calle 34 Norte # 2bn - 33 Luz Helena Gomez")</f>
        <v>Calle 34 Norte # 2bn - 33 Luz Helena Gomez / Calle 34 Norte # 2bn - 33 Luz Helena Gomez / Calle 34 Norte # 2bn - 33 Luz Helena Gomez</v>
      </c>
      <c r="G803" s="15" t="str">
        <f>IFERROR(__xludf.DUMMYFUNCTION("""COMPUTED_VALUE"""),"FOODOLOGY CALI")</f>
        <v>FOODOLOGY CALI</v>
      </c>
      <c r="H803" s="16">
        <f>IFERROR(__xludf.DUMMYFUNCTION("""COMPUTED_VALUE"""),9467.0)</f>
        <v>9467</v>
      </c>
      <c r="I803" s="18">
        <f>IFERROR(__xludf.DUMMYFUNCTION("""COMPUTED_VALUE"""),30.0)</f>
        <v>30</v>
      </c>
      <c r="J803" s="18">
        <f>IFERROR(__xludf.DUMMYFUNCTION("""COMPUTED_VALUE"""),20.0)</f>
        <v>20</v>
      </c>
      <c r="K803" s="18">
        <f>IFERROR(__xludf.DUMMYFUNCTION("""COMPUTED_VALUE"""),30.0)</f>
        <v>30</v>
      </c>
      <c r="L803" s="17">
        <f>IFERROR(__xludf.DUMMYFUNCTION("""COMPUTED_VALUE"""),3.148159112E9)</f>
        <v>3148159112</v>
      </c>
      <c r="M803" s="17" t="str">
        <f>IFERROR(__xludf.DUMMYFUNCTION("""COMPUTED_VALUE"""),"#REF!")</f>
        <v>#REF!</v>
      </c>
      <c r="N803" s="17"/>
      <c r="O803" s="19" t="str">
        <f>IFERROR(__xludf.DUMMYFUNCTION("""COMPUTED_VALUE"""),"")</f>
        <v/>
      </c>
      <c r="P803" s="17" t="b">
        <f>IFERROR(__xludf.DUMMYFUNCTION("""COMPUTED_VALUE"""),TRUE)</f>
        <v>1</v>
      </c>
      <c r="Q803" s="20">
        <f>IFERROR(__xludf.DUMMYFUNCTION("""COMPUTED_VALUE"""),45020.60643231482)</f>
        <v>45020.60643</v>
      </c>
      <c r="R803" s="22" t="str">
        <f>IFERROR(__xludf.DUMMYFUNCTION("""COMPUTED_VALUE"""),"")</f>
        <v/>
      </c>
    </row>
    <row r="804">
      <c r="A804" s="15">
        <f>IFERROR(__xludf.DUMMYFUNCTION("""COMPUTED_VALUE"""),45020.0)</f>
        <v>45020</v>
      </c>
      <c r="B804" s="16" t="str">
        <f>IFERROR(__xludf.DUMMYFUNCTION("""COMPUTED_VALUE"""),"Johan Alexander Escobar Arroyo ")</f>
        <v>Johan Alexander Escobar Arroyo </v>
      </c>
      <c r="C804" s="15" t="str">
        <f>IFERROR(__xludf.DUMMYFUNCTION("""COMPUTED_VALUE"""),"IBAGUÉ")</f>
        <v>IBAGUÉ</v>
      </c>
      <c r="D804" s="15" t="str">
        <f>IFERROR(__xludf.DUMMYFUNCTION("""COMPUTED_VALUE"""),"BOGOTÁ")</f>
        <v>BOGOTÁ</v>
      </c>
      <c r="E804" s="15" t="str">
        <f>IFERROR(__xludf.DUMMYFUNCTION("""COMPUTED_VALUE"""),"Frambascolombia sas")</f>
        <v>Frambascolombia sas</v>
      </c>
      <c r="F804" s="17" t="str">
        <f>IFERROR(__xludf.DUMMYFUNCTION("""COMPUTED_VALUE"""),"Cra 12 Sur No 93-134 / local 2")</f>
        <v>Cra 12 Sur No 93-134 / local 2</v>
      </c>
      <c r="G804" s="15" t="str">
        <f>IFERROR(__xludf.DUMMYFUNCTION("""COMPUTED_VALUE"""),"Siomara Arango")</f>
        <v>Siomara Arango</v>
      </c>
      <c r="H804" s="16">
        <f>IFERROR(__xludf.DUMMYFUNCTION("""COMPUTED_VALUE"""),9405.0)</f>
        <v>9405</v>
      </c>
      <c r="I804" s="18">
        <f>IFERROR(__xludf.DUMMYFUNCTION("""COMPUTED_VALUE"""),11.0)</f>
        <v>11</v>
      </c>
      <c r="J804" s="18">
        <f>IFERROR(__xludf.DUMMYFUNCTION("""COMPUTED_VALUE"""),9.0)</f>
        <v>9</v>
      </c>
      <c r="K804" s="18">
        <f>IFERROR(__xludf.DUMMYFUNCTION("""COMPUTED_VALUE"""),9.0)</f>
        <v>9</v>
      </c>
      <c r="L804" s="17">
        <f>IFERROR(__xludf.DUMMYFUNCTION("""COMPUTED_VALUE"""),3.214661284E9)</f>
        <v>3214661284</v>
      </c>
      <c r="M804" s="17" t="str">
        <f>IFERROR(__xludf.DUMMYFUNCTION("""COMPUTED_VALUE"""),"#REF!")</f>
        <v>#REF!</v>
      </c>
      <c r="N804" s="17"/>
      <c r="O804" s="19" t="str">
        <f>IFERROR(__xludf.DUMMYFUNCTION("""COMPUTED_VALUE"""),"")</f>
        <v/>
      </c>
      <c r="P804" s="17" t="b">
        <f>IFERROR(__xludf.DUMMYFUNCTION("""COMPUTED_VALUE"""),TRUE)</f>
        <v>1</v>
      </c>
      <c r="Q804" s="20">
        <f>IFERROR(__xludf.DUMMYFUNCTION("""COMPUTED_VALUE"""),45020.6259962037)</f>
        <v>45020.626</v>
      </c>
      <c r="R804" s="22" t="str">
        <f>IFERROR(__xludf.DUMMYFUNCTION("""COMPUTED_VALUE"""),"")</f>
        <v/>
      </c>
    </row>
    <row r="805">
      <c r="A805" s="15">
        <f>IFERROR(__xludf.DUMMYFUNCTION("""COMPUTED_VALUE"""),45020.0)</f>
        <v>45020</v>
      </c>
      <c r="B805" s="16" t="str">
        <f>IFERROR(__xludf.DUMMYFUNCTION("""COMPUTED_VALUE"""),"Johan Alexander Escobar Arroyo ")</f>
        <v>Johan Alexander Escobar Arroyo </v>
      </c>
      <c r="C805" s="15" t="str">
        <f>IFERROR(__xludf.DUMMYFUNCTION("""COMPUTED_VALUE"""),"IBAGUÉ")</f>
        <v>IBAGUÉ</v>
      </c>
      <c r="D805" s="15" t="str">
        <f>IFERROR(__xludf.DUMMYFUNCTION("""COMPUTED_VALUE"""),"BOGOTÁ")</f>
        <v>BOGOTÁ</v>
      </c>
      <c r="E805" s="15" t="str">
        <f>IFERROR(__xludf.DUMMYFUNCTION("""COMPUTED_VALUE"""),"Ins. Alimento Vital")</f>
        <v>Ins. Alimento Vital</v>
      </c>
      <c r="F805" s="17" t="str">
        <f>IFERROR(__xludf.DUMMYFUNCTION("""COMPUTED_VALUE"""),"MANZANA 13 CASA 26 CONJUNTO RESIDENCIAL LA ARBOLEDA VIA PICALEÑA / CASA 26 MANZANA 13 / CONJUNTO RESIDENCIAL LA ARBOLEDA VIA PICALEÑA CONJUNTO DE SOLO CASA, ENTRADA A LA CASA DE LA MONEDA")</f>
        <v>MANZANA 13 CASA 26 CONJUNTO RESIDENCIAL LA ARBOLEDA VIA PICALEÑA / CASA 26 MANZANA 13 / CONJUNTO RESIDENCIAL LA ARBOLEDA VIA PICALEÑA CONJUNTO DE SOLO CASA, ENTRADA A LA CASA DE LA MONEDA</v>
      </c>
      <c r="G805" s="15" t="str">
        <f>IFERROR(__xludf.DUMMYFUNCTION("""COMPUTED_VALUE"""),"IVONNE MARITZA ESPINOSA RODRIGUEZ")</f>
        <v>IVONNE MARITZA ESPINOSA RODRIGUEZ</v>
      </c>
      <c r="H805" s="16">
        <f>IFERROR(__xludf.DUMMYFUNCTION("""COMPUTED_VALUE"""),9378.0)</f>
        <v>9378</v>
      </c>
      <c r="I805" s="18">
        <f>IFERROR(__xludf.DUMMYFUNCTION("""COMPUTED_VALUE"""),100.0)</f>
        <v>100</v>
      </c>
      <c r="J805" s="18">
        <f>IFERROR(__xludf.DUMMYFUNCTION("""COMPUTED_VALUE"""),10.0)</f>
        <v>10</v>
      </c>
      <c r="K805" s="18">
        <f>IFERROR(__xludf.DUMMYFUNCTION("""COMPUTED_VALUE"""),50.0)</f>
        <v>50</v>
      </c>
      <c r="L805" s="17">
        <f>IFERROR(__xludf.DUMMYFUNCTION("""COMPUTED_VALUE"""),3.017288399E9)</f>
        <v>3017288399</v>
      </c>
      <c r="M805" s="17" t="str">
        <f>IFERROR(__xludf.DUMMYFUNCTION("""COMPUTED_VALUE"""),"#REF!")</f>
        <v>#REF!</v>
      </c>
      <c r="N805" s="17"/>
      <c r="O805" s="19" t="str">
        <f>IFERROR(__xludf.DUMMYFUNCTION("""COMPUTED_VALUE"""),"")</f>
        <v/>
      </c>
      <c r="P805" s="17" t="b">
        <f>IFERROR(__xludf.DUMMYFUNCTION("""COMPUTED_VALUE"""),TRUE)</f>
        <v>1</v>
      </c>
      <c r="Q805" s="20">
        <f>IFERROR(__xludf.DUMMYFUNCTION("""COMPUTED_VALUE"""),45020.60643231482)</f>
        <v>45020.60643</v>
      </c>
      <c r="R805" s="22" t="str">
        <f>IFERROR(__xludf.DUMMYFUNCTION("""COMPUTED_VALUE"""),"")</f>
        <v/>
      </c>
    </row>
    <row r="806">
      <c r="A806" s="15">
        <f>IFERROR(__xludf.DUMMYFUNCTION("""COMPUTED_VALUE"""),45020.0)</f>
        <v>45020</v>
      </c>
      <c r="B806" s="16" t="str">
        <f>IFERROR(__xludf.DUMMYFUNCTION("""COMPUTED_VALUE"""),"Johan Alexander Escobar Arroyo ")</f>
        <v>Johan Alexander Escobar Arroyo </v>
      </c>
      <c r="C806" s="15" t="str">
        <f>IFERROR(__xludf.DUMMYFUNCTION("""COMPUTED_VALUE"""),"IBAGUÉ")</f>
        <v>IBAGUÉ</v>
      </c>
      <c r="D806" s="15" t="str">
        <f>IFERROR(__xludf.DUMMYFUNCTION("""COMPUTED_VALUE"""),"BOGOTÁ")</f>
        <v>BOGOTÁ</v>
      </c>
      <c r="E806" s="15" t="str">
        <f>IFERROR(__xludf.DUMMYFUNCTION("""COMPUTED_VALUE"""),"Loomifoods")</f>
        <v>Loomifoods</v>
      </c>
      <c r="F806" s="17" t="str">
        <f>IFERROR(__xludf.DUMMYFUNCTION("""COMPUTED_VALUE"""),"Cra 23 sure no. 87 -08 / Conjunto Residencial Santo Domingo / Torre 2, apto 204")</f>
        <v>Cra 23 sure no. 87 -08 / Conjunto Residencial Santo Domingo / Torre 2, apto 204</v>
      </c>
      <c r="G806" s="15" t="str">
        <f>IFERROR(__xludf.DUMMYFUNCTION("""COMPUTED_VALUE"""),"Fraidy Julieth Perez Perez")</f>
        <v>Fraidy Julieth Perez Perez</v>
      </c>
      <c r="H806" s="16">
        <f>IFERROR(__xludf.DUMMYFUNCTION("""COMPUTED_VALUE"""),9460.0)</f>
        <v>9460</v>
      </c>
      <c r="I806" s="18">
        <f>IFERROR(__xludf.DUMMYFUNCTION("""COMPUTED_VALUE"""),20.0)</f>
        <v>20</v>
      </c>
      <c r="J806" s="18">
        <f>IFERROR(__xludf.DUMMYFUNCTION("""COMPUTED_VALUE"""),12.0)</f>
        <v>12</v>
      </c>
      <c r="K806" s="18">
        <f>IFERROR(__xludf.DUMMYFUNCTION("""COMPUTED_VALUE"""),16.0)</f>
        <v>16</v>
      </c>
      <c r="L806" s="17">
        <f>IFERROR(__xludf.DUMMYFUNCTION("""COMPUTED_VALUE"""),3.20420535E9)</f>
        <v>3204205350</v>
      </c>
      <c r="M806" s="17" t="str">
        <f>IFERROR(__xludf.DUMMYFUNCTION("""COMPUTED_VALUE"""),"#REF!")</f>
        <v>#REF!</v>
      </c>
      <c r="N806" s="17"/>
      <c r="O806" s="19" t="str">
        <f>IFERROR(__xludf.DUMMYFUNCTION("""COMPUTED_VALUE"""),"")</f>
        <v/>
      </c>
      <c r="P806" s="17" t="b">
        <f>IFERROR(__xludf.DUMMYFUNCTION("""COMPUTED_VALUE"""),FALSE)</f>
        <v>0</v>
      </c>
      <c r="Q806" s="20" t="str">
        <f>IFERROR(__xludf.DUMMYFUNCTION("""COMPUTED_VALUE"""),"")</f>
        <v/>
      </c>
      <c r="R806" s="22" t="str">
        <f>IFERROR(__xludf.DUMMYFUNCTION("""COMPUTED_VALUE"""),"")</f>
        <v/>
      </c>
    </row>
    <row r="807">
      <c r="A807" s="17" t="str">
        <f>IFERROR(__xludf.DUMMYFUNCTION("""COMPUTED_VALUE"""),"")</f>
        <v/>
      </c>
      <c r="B807" s="17" t="str">
        <f>IFERROR(__xludf.DUMMYFUNCTION("""COMPUTED_VALUE"""),"")</f>
        <v/>
      </c>
      <c r="C807" s="17" t="str">
        <f>IFERROR(__xludf.DUMMYFUNCTION("""COMPUTED_VALUE"""),"")</f>
        <v/>
      </c>
      <c r="D807" s="17" t="str">
        <f>IFERROR(__xludf.DUMMYFUNCTION("""COMPUTED_VALUE"""),"")</f>
        <v/>
      </c>
      <c r="E807" s="17" t="str">
        <f>IFERROR(__xludf.DUMMYFUNCTION("""COMPUTED_VALUE"""),"")</f>
        <v/>
      </c>
      <c r="F807" s="17" t="str">
        <f>IFERROR(__xludf.DUMMYFUNCTION("""COMPUTED_VALUE"""),"")</f>
        <v/>
      </c>
      <c r="G807" s="17" t="str">
        <f>IFERROR(__xludf.DUMMYFUNCTION("""COMPUTED_VALUE"""),"")</f>
        <v/>
      </c>
      <c r="H807" s="17" t="str">
        <f>IFERROR(__xludf.DUMMYFUNCTION("""COMPUTED_VALUE"""),"")</f>
        <v/>
      </c>
      <c r="I807" s="17" t="str">
        <f>IFERROR(__xludf.DUMMYFUNCTION("""COMPUTED_VALUE"""),"")</f>
        <v/>
      </c>
      <c r="J807" s="17" t="str">
        <f>IFERROR(__xludf.DUMMYFUNCTION("""COMPUTED_VALUE"""),"")</f>
        <v/>
      </c>
      <c r="K807" s="17" t="str">
        <f>IFERROR(__xludf.DUMMYFUNCTION("""COMPUTED_VALUE"""),"")</f>
        <v/>
      </c>
      <c r="L807" s="17" t="str">
        <f>IFERROR(__xludf.DUMMYFUNCTION("""COMPUTED_VALUE"""),"")</f>
        <v/>
      </c>
      <c r="M807" s="17" t="str">
        <f>IFERROR(__xludf.DUMMYFUNCTION("""COMPUTED_VALUE"""),"")</f>
        <v/>
      </c>
      <c r="N807" s="17" t="str">
        <f>IFERROR(__xludf.DUMMYFUNCTION("""COMPUTED_VALUE"""),"")</f>
        <v/>
      </c>
      <c r="O807" s="17" t="str">
        <f>IFERROR(__xludf.DUMMYFUNCTION("""COMPUTED_VALUE"""),"")</f>
        <v/>
      </c>
      <c r="P807" s="17" t="str">
        <f>IFERROR(__xludf.DUMMYFUNCTION("""COMPUTED_VALUE"""),"")</f>
        <v/>
      </c>
      <c r="Q807" s="17" t="str">
        <f>IFERROR(__xludf.DUMMYFUNCTION("""COMPUTED_VALUE"""),"")</f>
        <v/>
      </c>
      <c r="R807" s="17" t="str">
        <f>IFERROR(__xludf.DUMMYFUNCTION("""COMPUTED_VALUE"""),"")</f>
        <v/>
      </c>
    </row>
    <row r="808">
      <c r="A808" s="15">
        <f>IFERROR(__xludf.DUMMYFUNCTION("""COMPUTED_VALUE"""),45020.0)</f>
        <v>45020</v>
      </c>
      <c r="B808" s="16" t="str">
        <f>IFERROR(__xludf.DUMMYFUNCTION("""COMPUTED_VALUE"""),"Luis Miguel Ramirez Morales")</f>
        <v>Luis Miguel Ramirez Morales</v>
      </c>
      <c r="C808" s="15" t="str">
        <f>IFERROR(__xludf.DUMMYFUNCTION("""COMPUTED_VALUE"""),"BOGOTÁ")</f>
        <v>BOGOTÁ</v>
      </c>
      <c r="D808" s="15" t="str">
        <f>IFERROR(__xludf.DUMMYFUNCTION("""COMPUTED_VALUE"""),"MEDELLÍN")</f>
        <v>MEDELLÍN</v>
      </c>
      <c r="E808" s="15" t="str">
        <f>IFERROR(__xludf.DUMMYFUNCTION("""COMPUTED_VALUE"""),"Baby Chef")</f>
        <v>Baby Chef</v>
      </c>
      <c r="F808" s="17" t="str">
        <f>IFERROR(__xludf.DUMMYFUNCTION("""COMPUTED_VALUE"""),"carrera 17#91-11 edificio ios living virrey apto 204  chico virrey Bogota  / carrera 17#91-11 edificio ios living virrey apto 204  chico virrey Bogota  / carrera 17#91-11 edificio ios living virrey apto 204  chico virrey Bogota")</f>
        <v>carrera 17#91-11 edificio ios living virrey apto 204  chico virrey Bogota  / carrera 17#91-11 edificio ios living virrey apto 204  chico virrey Bogota  / carrera 17#91-11 edificio ios living virrey apto 204  chico virrey Bogota</v>
      </c>
      <c r="G808" s="15" t="str">
        <f>IFERROR(__xludf.DUMMYFUNCTION("""COMPUTED_VALUE"""),"paola Andrea Alvarez Escobar")</f>
        <v>paola Andrea Alvarez Escobar</v>
      </c>
      <c r="H808" s="16">
        <f>IFERROR(__xludf.DUMMYFUNCTION("""COMPUTED_VALUE"""),9430.0)</f>
        <v>9430</v>
      </c>
      <c r="I808" s="18">
        <f>IFERROR(__xludf.DUMMYFUNCTION("""COMPUTED_VALUE"""),8.0)</f>
        <v>8</v>
      </c>
      <c r="J808" s="18">
        <f>IFERROR(__xludf.DUMMYFUNCTION("""COMPUTED_VALUE"""),16.0)</f>
        <v>16</v>
      </c>
      <c r="K808" s="18">
        <f>IFERROR(__xludf.DUMMYFUNCTION("""COMPUTED_VALUE"""),20.0)</f>
        <v>20</v>
      </c>
      <c r="L808" s="17">
        <f>IFERROR(__xludf.DUMMYFUNCTION("""COMPUTED_VALUE"""),3.20876166E9)</f>
        <v>3208761660</v>
      </c>
      <c r="M808" s="17" t="str">
        <f>IFERROR(__xludf.DUMMYFUNCTION("""COMPUTED_VALUE"""),"#REF!")</f>
        <v>#REF!</v>
      </c>
      <c r="N808" s="17"/>
      <c r="O808" s="19" t="str">
        <f>IFERROR(__xludf.DUMMYFUNCTION("""COMPUTED_VALUE"""),"")</f>
        <v/>
      </c>
      <c r="P808" s="17" t="b">
        <f>IFERROR(__xludf.DUMMYFUNCTION("""COMPUTED_VALUE"""),TRUE)</f>
        <v>1</v>
      </c>
      <c r="Q808" s="20">
        <f>IFERROR(__xludf.DUMMYFUNCTION("""COMPUTED_VALUE"""),45020.68150082176)</f>
        <v>45020.6815</v>
      </c>
      <c r="R808" s="22" t="str">
        <f>IFERROR(__xludf.DUMMYFUNCTION("""COMPUTED_VALUE"""),"")</f>
        <v/>
      </c>
    </row>
    <row r="809">
      <c r="A809" s="15">
        <f>IFERROR(__xludf.DUMMYFUNCTION("""COMPUTED_VALUE"""),45020.0)</f>
        <v>45020</v>
      </c>
      <c r="B809" s="16" t="str">
        <f>IFERROR(__xludf.DUMMYFUNCTION("""COMPUTED_VALUE"""),"Luis Miguel Ramirez Morales")</f>
        <v>Luis Miguel Ramirez Morales</v>
      </c>
      <c r="C809" s="15" t="str">
        <f>IFERROR(__xludf.DUMMYFUNCTION("""COMPUTED_VALUE"""),"BOGOTÁ")</f>
        <v>BOGOTÁ</v>
      </c>
      <c r="D809" s="15" t="str">
        <f>IFERROR(__xludf.DUMMYFUNCTION("""COMPUTED_VALUE"""),"MEDELLÍN")</f>
        <v>MEDELLÍN</v>
      </c>
      <c r="E809" s="15" t="str">
        <f>IFERROR(__xludf.DUMMYFUNCTION("""COMPUTED_VALUE"""),"Moloso S.A.S")</f>
        <v>Moloso S.A.S</v>
      </c>
      <c r="F809" s="17" t="str">
        <f>IFERROR(__xludf.DUMMYFUNCTION("""COMPUTED_VALUE"""),"CALLE 138 # 57 - 38 TORRE 3 / APTO 401")</f>
        <v>CALLE 138 # 57 - 38 TORRE 3 / APTO 401</v>
      </c>
      <c r="G809" s="15" t="str">
        <f>IFERROR(__xludf.DUMMYFUNCTION("""COMPUTED_VALUE"""),"DAVID PULIDO ROMERO")</f>
        <v>DAVID PULIDO ROMERO</v>
      </c>
      <c r="H809" s="16">
        <f>IFERROR(__xludf.DUMMYFUNCTION("""COMPUTED_VALUE"""),9478.0)</f>
        <v>9478</v>
      </c>
      <c r="I809" s="18">
        <f>IFERROR(__xludf.DUMMYFUNCTION("""COMPUTED_VALUE"""),17.0)</f>
        <v>17</v>
      </c>
      <c r="J809" s="18">
        <f>IFERROR(__xludf.DUMMYFUNCTION("""COMPUTED_VALUE"""),15.0)</f>
        <v>15</v>
      </c>
      <c r="K809" s="18">
        <f>IFERROR(__xludf.DUMMYFUNCTION("""COMPUTED_VALUE"""),28.0)</f>
        <v>28</v>
      </c>
      <c r="L809" s="17">
        <f>IFERROR(__xludf.DUMMYFUNCTION("""COMPUTED_VALUE"""),3.053165403E9)</f>
        <v>3053165403</v>
      </c>
      <c r="M809" s="17" t="str">
        <f>IFERROR(__xludf.DUMMYFUNCTION("""COMPUTED_VALUE"""),"#REF!")</f>
        <v>#REF!</v>
      </c>
      <c r="N809" s="17"/>
      <c r="O809" s="19" t="str">
        <f>IFERROR(__xludf.DUMMYFUNCTION("""COMPUTED_VALUE"""),"")</f>
        <v/>
      </c>
      <c r="P809" s="17" t="b">
        <f>IFERROR(__xludf.DUMMYFUNCTION("""COMPUTED_VALUE"""),TRUE)</f>
        <v>1</v>
      </c>
      <c r="Q809" s="20">
        <f>IFERROR(__xludf.DUMMYFUNCTION("""COMPUTED_VALUE"""),45020.68150082176)</f>
        <v>45020.6815</v>
      </c>
      <c r="R809" s="22" t="str">
        <f>IFERROR(__xludf.DUMMYFUNCTION("""COMPUTED_VALUE"""),"")</f>
        <v/>
      </c>
    </row>
    <row r="810">
      <c r="A810" s="15">
        <f>IFERROR(__xludf.DUMMYFUNCTION("""COMPUTED_VALUE"""),45020.0)</f>
        <v>45020</v>
      </c>
      <c r="B810" s="16" t="str">
        <f>IFERROR(__xludf.DUMMYFUNCTION("""COMPUTED_VALUE"""),"Luis Miguel Ramirez Morales")</f>
        <v>Luis Miguel Ramirez Morales</v>
      </c>
      <c r="C810" s="15" t="str">
        <f>IFERROR(__xludf.DUMMYFUNCTION("""COMPUTED_VALUE"""),"BOGOTÁ")</f>
        <v>BOGOTÁ</v>
      </c>
      <c r="D810" s="15" t="str">
        <f>IFERROR(__xludf.DUMMYFUNCTION("""COMPUTED_VALUE"""),"MEDELLÍN")</f>
        <v>MEDELLÍN</v>
      </c>
      <c r="E810" s="15" t="str">
        <f>IFERROR(__xludf.DUMMYFUNCTION("""COMPUTED_VALUE"""),"Rambla")</f>
        <v>Rambla</v>
      </c>
      <c r="F810" s="17" t="str">
        <f>IFERROR(__xludf.DUMMYFUNCTION("""COMPUTED_VALUE"""),"Calle 77 # 9-20 apto 204 / na / na")</f>
        <v>Calle 77 # 9-20 apto 204 / na / na</v>
      </c>
      <c r="G810" s="15" t="str">
        <f>IFERROR(__xludf.DUMMYFUNCTION("""COMPUTED_VALUE"""),"Carolina León")</f>
        <v>Carolina León</v>
      </c>
      <c r="H810" s="16">
        <f>IFERROR(__xludf.DUMMYFUNCTION("""COMPUTED_VALUE"""),9436.0)</f>
        <v>9436</v>
      </c>
      <c r="I810" s="18">
        <f>IFERROR(__xludf.DUMMYFUNCTION("""COMPUTED_VALUE"""),21.0)</f>
        <v>21</v>
      </c>
      <c r="J810" s="18">
        <f>IFERROR(__xludf.DUMMYFUNCTION("""COMPUTED_VALUE"""),25.0)</f>
        <v>25</v>
      </c>
      <c r="K810" s="18">
        <f>IFERROR(__xludf.DUMMYFUNCTION("""COMPUTED_VALUE"""),28.0)</f>
        <v>28</v>
      </c>
      <c r="L810" s="17">
        <f>IFERROR(__xludf.DUMMYFUNCTION("""COMPUTED_VALUE"""),3.164698482E9)</f>
        <v>3164698482</v>
      </c>
      <c r="M810" s="17" t="str">
        <f>IFERROR(__xludf.DUMMYFUNCTION("""COMPUTED_VALUE"""),"#REF!")</f>
        <v>#REF!</v>
      </c>
      <c r="N810" s="17"/>
      <c r="O810" s="19" t="str">
        <f>IFERROR(__xludf.DUMMYFUNCTION("""COMPUTED_VALUE"""),"")</f>
        <v/>
      </c>
      <c r="P810" s="17" t="b">
        <f>IFERROR(__xludf.DUMMYFUNCTION("""COMPUTED_VALUE"""),TRUE)</f>
        <v>1</v>
      </c>
      <c r="Q810" s="20">
        <f>IFERROR(__xludf.DUMMYFUNCTION("""COMPUTED_VALUE"""),45020.68150082176)</f>
        <v>45020.6815</v>
      </c>
      <c r="R810" s="22" t="str">
        <f>IFERROR(__xludf.DUMMYFUNCTION("""COMPUTED_VALUE"""),"")</f>
        <v/>
      </c>
    </row>
    <row r="811">
      <c r="A811" s="15">
        <f>IFERROR(__xludf.DUMMYFUNCTION("""COMPUTED_VALUE"""),45020.0)</f>
        <v>45020</v>
      </c>
      <c r="B811" s="16" t="str">
        <f>IFERROR(__xludf.DUMMYFUNCTION("""COMPUTED_VALUE"""),"Luis Miguel Ramirez Morales")</f>
        <v>Luis Miguel Ramirez Morales</v>
      </c>
      <c r="C811" s="15" t="str">
        <f>IFERROR(__xludf.DUMMYFUNCTION("""COMPUTED_VALUE"""),"MANIZALES")</f>
        <v>MANIZALES</v>
      </c>
      <c r="D811" s="15" t="str">
        <f>IFERROR(__xludf.DUMMYFUNCTION("""COMPUTED_VALUE"""),"BOGOTÁ")</f>
        <v>BOGOTÁ</v>
      </c>
      <c r="E811" s="15" t="str">
        <f>IFERROR(__xludf.DUMMYFUNCTION("""COMPUTED_VALUE"""),"Evamazzita")</f>
        <v>Evamazzita</v>
      </c>
      <c r="F811" s="17" t="str">
        <f>IFERROR(__xludf.DUMMYFUNCTION("""COMPUTED_VALUE"""),"(ENTREGAR DE 7 A 12 O DE 1 A 5PM) Avenida Santander Carrera 23 num 49-30  / Hospital Infantil 3er piso / (ENTREGAR DE 7 A 12 O DE 1 A 5PM)")</f>
        <v>(ENTREGAR DE 7 A 12 O DE 1 A 5PM) Avenida Santander Carrera 23 num 49-30  / Hospital Infantil 3er piso / (ENTREGAR DE 7 A 12 O DE 1 A 5PM)</v>
      </c>
      <c r="G811" s="15" t="str">
        <f>IFERROR(__xludf.DUMMYFUNCTION("""COMPUTED_VALUE"""),"DANIEL FELIPE DIAZ CARDONA")</f>
        <v>DANIEL FELIPE DIAZ CARDONA</v>
      </c>
      <c r="H811" s="16">
        <f>IFERROR(__xludf.DUMMYFUNCTION("""COMPUTED_VALUE"""),9386.0)</f>
        <v>9386</v>
      </c>
      <c r="I811" s="18">
        <f>IFERROR(__xludf.DUMMYFUNCTION("""COMPUTED_VALUE"""),3.0)</f>
        <v>3</v>
      </c>
      <c r="J811" s="18">
        <f>IFERROR(__xludf.DUMMYFUNCTION("""COMPUTED_VALUE"""),20.0)</f>
        <v>20</v>
      </c>
      <c r="K811" s="18">
        <f>IFERROR(__xludf.DUMMYFUNCTION("""COMPUTED_VALUE"""),15.0)</f>
        <v>15</v>
      </c>
      <c r="L811" s="17">
        <f>IFERROR(__xludf.DUMMYFUNCTION("""COMPUTED_VALUE"""),3.206313474E9)</f>
        <v>3206313474</v>
      </c>
      <c r="M811" s="17" t="str">
        <f>IFERROR(__xludf.DUMMYFUNCTION("""COMPUTED_VALUE"""),"#REF!")</f>
        <v>#REF!</v>
      </c>
      <c r="N811" s="17"/>
      <c r="O811" s="19" t="str">
        <f>IFERROR(__xludf.DUMMYFUNCTION("""COMPUTED_VALUE"""),"")</f>
        <v/>
      </c>
      <c r="P811" s="17" t="b">
        <f>IFERROR(__xludf.DUMMYFUNCTION("""COMPUTED_VALUE"""),TRUE)</f>
        <v>1</v>
      </c>
      <c r="Q811" s="20">
        <f>IFERROR(__xludf.DUMMYFUNCTION("""COMPUTED_VALUE"""),45020.68150082176)</f>
        <v>45020.6815</v>
      </c>
      <c r="R811" s="22" t="str">
        <f>IFERROR(__xludf.DUMMYFUNCTION("""COMPUTED_VALUE"""),"")</f>
        <v/>
      </c>
    </row>
    <row r="812">
      <c r="A812" s="15">
        <f>IFERROR(__xludf.DUMMYFUNCTION("""COMPUTED_VALUE"""),45020.0)</f>
        <v>45020</v>
      </c>
      <c r="B812" s="16" t="str">
        <f>IFERROR(__xludf.DUMMYFUNCTION("""COMPUTED_VALUE"""),"Luis Miguel Ramirez Morales")</f>
        <v>Luis Miguel Ramirez Morales</v>
      </c>
      <c r="C812" s="15" t="str">
        <f>IFERROR(__xludf.DUMMYFUNCTION("""COMPUTED_VALUE"""),"MANIZALES")</f>
        <v>MANIZALES</v>
      </c>
      <c r="D812" s="15" t="str">
        <f>IFERROR(__xludf.DUMMYFUNCTION("""COMPUTED_VALUE"""),"BOGOTÁ")</f>
        <v>BOGOTÁ</v>
      </c>
      <c r="E812" s="15" t="str">
        <f>IFERROR(__xludf.DUMMYFUNCTION("""COMPUTED_VALUE"""),"Evamazzita")</f>
        <v>Evamazzita</v>
      </c>
      <c r="F812" s="17" t="str">
        <f>IFERROR(__xludf.DUMMYFUNCTION("""COMPUTED_VALUE"""),"Calle 12 #7b-71  / apto 503 edificio arcoiris   / Chipre")</f>
        <v>Calle 12 #7b-71  / apto 503 edificio arcoiris   / Chipre</v>
      </c>
      <c r="G812" s="15" t="str">
        <f>IFERROR(__xludf.DUMMYFUNCTION("""COMPUTED_VALUE"""),"DIANA LONDOÑO")</f>
        <v>DIANA LONDOÑO</v>
      </c>
      <c r="H812" s="16">
        <f>IFERROR(__xludf.DUMMYFUNCTION("""COMPUTED_VALUE"""),9385.0)</f>
        <v>9385</v>
      </c>
      <c r="I812" s="18">
        <f>IFERROR(__xludf.DUMMYFUNCTION("""COMPUTED_VALUE"""),3.0)</f>
        <v>3</v>
      </c>
      <c r="J812" s="18">
        <f>IFERROR(__xludf.DUMMYFUNCTION("""COMPUTED_VALUE"""),20.0)</f>
        <v>20</v>
      </c>
      <c r="K812" s="18">
        <f>IFERROR(__xludf.DUMMYFUNCTION("""COMPUTED_VALUE"""),15.0)</f>
        <v>15</v>
      </c>
      <c r="L812" s="17">
        <f>IFERROR(__xludf.DUMMYFUNCTION("""COMPUTED_VALUE"""),3.208553721E9)</f>
        <v>3208553721</v>
      </c>
      <c r="M812" s="17" t="str">
        <f>IFERROR(__xludf.DUMMYFUNCTION("""COMPUTED_VALUE"""),"#REF!")</f>
        <v>#REF!</v>
      </c>
      <c r="N812" s="17"/>
      <c r="O812" s="19" t="str">
        <f>IFERROR(__xludf.DUMMYFUNCTION("""COMPUTED_VALUE"""),"")</f>
        <v/>
      </c>
      <c r="P812" s="17" t="b">
        <f>IFERROR(__xludf.DUMMYFUNCTION("""COMPUTED_VALUE"""),TRUE)</f>
        <v>1</v>
      </c>
      <c r="Q812" s="20">
        <f>IFERROR(__xludf.DUMMYFUNCTION("""COMPUTED_VALUE"""),45020.68150082176)</f>
        <v>45020.6815</v>
      </c>
      <c r="R812" s="22" t="str">
        <f>IFERROR(__xludf.DUMMYFUNCTION("""COMPUTED_VALUE"""),"")</f>
        <v/>
      </c>
    </row>
    <row r="813">
      <c r="A813" s="15">
        <f>IFERROR(__xludf.DUMMYFUNCTION("""COMPUTED_VALUE"""),45020.0)</f>
        <v>45020</v>
      </c>
      <c r="B813" s="16" t="str">
        <f>IFERROR(__xludf.DUMMYFUNCTION("""COMPUTED_VALUE"""),"Luis Miguel Ramirez Morales")</f>
        <v>Luis Miguel Ramirez Morales</v>
      </c>
      <c r="C813" s="15" t="str">
        <f>IFERROR(__xludf.DUMMYFUNCTION("""COMPUTED_VALUE"""),"MANIZALES")</f>
        <v>MANIZALES</v>
      </c>
      <c r="D813" s="15" t="str">
        <f>IFERROR(__xludf.DUMMYFUNCTION("""COMPUTED_VALUE"""),"BOGOTÁ")</f>
        <v>BOGOTÁ</v>
      </c>
      <c r="E813" s="15" t="str">
        <f>IFERROR(__xludf.DUMMYFUNCTION("""COMPUTED_VALUE"""),"Top Spun")</f>
        <v>Top Spun</v>
      </c>
      <c r="F813" s="17" t="str">
        <f>IFERROR(__xludf.DUMMYFUNCTION("""COMPUTED_VALUE"""),"Cra 23b #70a-71 / apto 402 edificio Serrat /  barrio la Camelia  Manizales")</f>
        <v>Cra 23b #70a-71 / apto 402 edificio Serrat /  barrio la Camelia  Manizales</v>
      </c>
      <c r="G813" s="15" t="str">
        <f>IFERROR(__xludf.DUMMYFUNCTION("""COMPUTED_VALUE"""),"Daniela Gonzalez")</f>
        <v>Daniela Gonzalez</v>
      </c>
      <c r="H813" s="16">
        <f>IFERROR(__xludf.DUMMYFUNCTION("""COMPUTED_VALUE"""),9372.0)</f>
        <v>9372</v>
      </c>
      <c r="I813" s="18">
        <f>IFERROR(__xludf.DUMMYFUNCTION("""COMPUTED_VALUE"""),20.0)</f>
        <v>20</v>
      </c>
      <c r="J813" s="18">
        <f>IFERROR(__xludf.DUMMYFUNCTION("""COMPUTED_VALUE"""),40.0)</f>
        <v>40</v>
      </c>
      <c r="K813" s="18">
        <f>IFERROR(__xludf.DUMMYFUNCTION("""COMPUTED_VALUE"""),10.0)</f>
        <v>10</v>
      </c>
      <c r="L813" s="17">
        <f>IFERROR(__xludf.DUMMYFUNCTION("""COMPUTED_VALUE"""),3.128986591E9)</f>
        <v>3128986591</v>
      </c>
      <c r="M813" s="17" t="str">
        <f>IFERROR(__xludf.DUMMYFUNCTION("""COMPUTED_VALUE"""),"#REF!")</f>
        <v>#REF!</v>
      </c>
      <c r="N813" s="17"/>
      <c r="O813" s="19" t="str">
        <f>IFERROR(__xludf.DUMMYFUNCTION("""COMPUTED_VALUE"""),"")</f>
        <v/>
      </c>
      <c r="P813" s="17" t="b">
        <f>IFERROR(__xludf.DUMMYFUNCTION("""COMPUTED_VALUE"""),TRUE)</f>
        <v>1</v>
      </c>
      <c r="Q813" s="20">
        <f>IFERROR(__xludf.DUMMYFUNCTION("""COMPUTED_VALUE"""),45020.68150082176)</f>
        <v>45020.6815</v>
      </c>
      <c r="R813" s="22" t="str">
        <f>IFERROR(__xludf.DUMMYFUNCTION("""COMPUTED_VALUE"""),"")</f>
        <v/>
      </c>
    </row>
    <row r="814">
      <c r="A814" s="15">
        <f>IFERROR(__xludf.DUMMYFUNCTION("""COMPUTED_VALUE"""),45020.0)</f>
        <v>45020</v>
      </c>
      <c r="B814" s="16" t="str">
        <f>IFERROR(__xludf.DUMMYFUNCTION("""COMPUTED_VALUE"""),"Luis Miguel Ramirez Morales")</f>
        <v>Luis Miguel Ramirez Morales</v>
      </c>
      <c r="C814" s="15" t="str">
        <f>IFERROR(__xludf.DUMMYFUNCTION("""COMPUTED_VALUE"""),"MONTERIA")</f>
        <v>MONTERIA</v>
      </c>
      <c r="D814" s="15" t="str">
        <f>IFERROR(__xludf.DUMMYFUNCTION("""COMPUTED_VALUE"""),"BOGOTÁ")</f>
        <v>BOGOTÁ</v>
      </c>
      <c r="E814" s="15" t="str">
        <f>IFERROR(__xludf.DUMMYFUNCTION("""COMPUTED_VALUE"""),"Ventura Productos Arg")</f>
        <v>Ventura Productos Arg</v>
      </c>
      <c r="F814" s="17" t="str">
        <f>IFERROR(__xludf.DUMMYFUNCTION("""COMPUTED_VALUE"""),"Calle 62a#5-03 / Casa 4")</f>
        <v>Calle 62a#5-03 / Casa 4</v>
      </c>
      <c r="G814" s="15" t="str">
        <f>IFERROR(__xludf.DUMMYFUNCTION("""COMPUTED_VALUE"""),"Lina Maria Brunal Velez")</f>
        <v>Lina Maria Brunal Velez</v>
      </c>
      <c r="H814" s="16">
        <f>IFERROR(__xludf.DUMMYFUNCTION("""COMPUTED_VALUE"""),9357.0)</f>
        <v>9357</v>
      </c>
      <c r="I814" s="18">
        <f>IFERROR(__xludf.DUMMYFUNCTION("""COMPUTED_VALUE"""),22.0)</f>
        <v>22</v>
      </c>
      <c r="J814" s="18">
        <f>IFERROR(__xludf.DUMMYFUNCTION("""COMPUTED_VALUE"""),17.0)</f>
        <v>17</v>
      </c>
      <c r="K814" s="18">
        <f>IFERROR(__xludf.DUMMYFUNCTION("""COMPUTED_VALUE"""),8.0)</f>
        <v>8</v>
      </c>
      <c r="L814" s="17" t="str">
        <f>IFERROR(__xludf.DUMMYFUNCTION("""COMPUTED_VALUE"""),"301 6854955")</f>
        <v>301 6854955</v>
      </c>
      <c r="M814" s="17" t="str">
        <f>IFERROR(__xludf.DUMMYFUNCTION("""COMPUTED_VALUE"""),"#REF!")</f>
        <v>#REF!</v>
      </c>
      <c r="N814" s="17"/>
      <c r="O814" s="19" t="str">
        <f>IFERROR(__xludf.DUMMYFUNCTION("""COMPUTED_VALUE"""),"")</f>
        <v/>
      </c>
      <c r="P814" s="17" t="b">
        <f>IFERROR(__xludf.DUMMYFUNCTION("""COMPUTED_VALUE"""),FALSE)</f>
        <v>0</v>
      </c>
      <c r="Q814" s="20" t="str">
        <f>IFERROR(__xludf.DUMMYFUNCTION("""COMPUTED_VALUE"""),"")</f>
        <v/>
      </c>
      <c r="R814" s="22" t="str">
        <f>IFERROR(__xludf.DUMMYFUNCTION("""COMPUTED_VALUE"""),"")</f>
        <v/>
      </c>
    </row>
    <row r="815">
      <c r="A815" s="17" t="str">
        <f>IFERROR(__xludf.DUMMYFUNCTION("""COMPUTED_VALUE"""),"")</f>
        <v/>
      </c>
      <c r="B815" s="17" t="str">
        <f>IFERROR(__xludf.DUMMYFUNCTION("""COMPUTED_VALUE"""),"")</f>
        <v/>
      </c>
      <c r="C815" s="17" t="str">
        <f>IFERROR(__xludf.DUMMYFUNCTION("""COMPUTED_VALUE"""),"")</f>
        <v/>
      </c>
      <c r="D815" s="17" t="str">
        <f>IFERROR(__xludf.DUMMYFUNCTION("""COMPUTED_VALUE"""),"")</f>
        <v/>
      </c>
      <c r="E815" s="17" t="str">
        <f>IFERROR(__xludf.DUMMYFUNCTION("""COMPUTED_VALUE"""),"")</f>
        <v/>
      </c>
      <c r="F815" s="17" t="str">
        <f>IFERROR(__xludf.DUMMYFUNCTION("""COMPUTED_VALUE"""),"")</f>
        <v/>
      </c>
      <c r="G815" s="17" t="str">
        <f>IFERROR(__xludf.DUMMYFUNCTION("""COMPUTED_VALUE"""),"")</f>
        <v/>
      </c>
      <c r="H815" s="17" t="str">
        <f>IFERROR(__xludf.DUMMYFUNCTION("""COMPUTED_VALUE"""),"")</f>
        <v/>
      </c>
      <c r="I815" s="17" t="str">
        <f>IFERROR(__xludf.DUMMYFUNCTION("""COMPUTED_VALUE"""),"")</f>
        <v/>
      </c>
      <c r="J815" s="17" t="str">
        <f>IFERROR(__xludf.DUMMYFUNCTION("""COMPUTED_VALUE"""),"")</f>
        <v/>
      </c>
      <c r="K815" s="17" t="str">
        <f>IFERROR(__xludf.DUMMYFUNCTION("""COMPUTED_VALUE"""),"")</f>
        <v/>
      </c>
      <c r="L815" s="17" t="str">
        <f>IFERROR(__xludf.DUMMYFUNCTION("""COMPUTED_VALUE"""),"")</f>
        <v/>
      </c>
      <c r="M815" s="17" t="str">
        <f>IFERROR(__xludf.DUMMYFUNCTION("""COMPUTED_VALUE"""),"")</f>
        <v/>
      </c>
      <c r="N815" s="17" t="str">
        <f>IFERROR(__xludf.DUMMYFUNCTION("""COMPUTED_VALUE"""),"")</f>
        <v/>
      </c>
      <c r="O815" s="17" t="str">
        <f>IFERROR(__xludf.DUMMYFUNCTION("""COMPUTED_VALUE"""),"")</f>
        <v/>
      </c>
      <c r="P815" s="17" t="str">
        <f>IFERROR(__xludf.DUMMYFUNCTION("""COMPUTED_VALUE"""),"")</f>
        <v/>
      </c>
      <c r="Q815" s="17" t="str">
        <f>IFERROR(__xludf.DUMMYFUNCTION("""COMPUTED_VALUE"""),"")</f>
        <v/>
      </c>
      <c r="R815" s="17" t="str">
        <f>IFERROR(__xludf.DUMMYFUNCTION("""COMPUTED_VALUE"""),"")</f>
        <v/>
      </c>
    </row>
    <row r="816">
      <c r="A816" s="15">
        <f>IFERROR(__xludf.DUMMYFUNCTION("""COMPUTED_VALUE"""),45021.0)</f>
        <v>45021</v>
      </c>
      <c r="B816" s="17"/>
      <c r="C816" s="15" t="str">
        <f>IFERROR(__xludf.DUMMYFUNCTION("""COMPUTED_VALUE"""),"BOGOTÁ")</f>
        <v>BOGOTÁ</v>
      </c>
      <c r="D816" s="15" t="str">
        <f>IFERROR(__xludf.DUMMYFUNCTION("""COMPUTED_VALUE"""),"MEDELLÍN")</f>
        <v>MEDELLÍN</v>
      </c>
      <c r="E816" s="15" t="str">
        <f>IFERROR(__xludf.DUMMYFUNCTION("""COMPUTED_VALUE"""),"Lácteos El Pino SAS")</f>
        <v>Lácteos El Pino SAS</v>
      </c>
      <c r="F816" s="17" t="str">
        <f>IFERROR(__xludf.DUMMYFUNCTION("""COMPUTED_VALUE"""),"CALLE 24A #57-60 / RECIBO EN ZONA DE CARGA POR EL DEPRIMIDO- COMPRAS")</f>
        <v>CALLE 24A #57-60 / RECIBO EN ZONA DE CARGA POR EL DEPRIMIDO- COMPRAS</v>
      </c>
      <c r="G816" s="15" t="str">
        <f>IFERROR(__xludf.DUMMYFUNCTION("""COMPUTED_VALUE"""),"HOTEL GRAND HYATT BOGOTA")</f>
        <v>HOTEL GRAND HYATT BOGOTA</v>
      </c>
      <c r="H816" s="16">
        <f>IFERROR(__xludf.DUMMYFUNCTION("""COMPUTED_VALUE"""),9488.0)</f>
        <v>9488</v>
      </c>
      <c r="I816" s="18">
        <f>IFERROR(__xludf.DUMMYFUNCTION("""COMPUTED_VALUE"""),33.0)</f>
        <v>33</v>
      </c>
      <c r="J816" s="18">
        <f>IFERROR(__xludf.DUMMYFUNCTION("""COMPUTED_VALUE"""),22.0)</f>
        <v>22</v>
      </c>
      <c r="K816" s="18">
        <f>IFERROR(__xludf.DUMMYFUNCTION("""COMPUTED_VALUE"""),36.0)</f>
        <v>36</v>
      </c>
      <c r="L816" s="17"/>
      <c r="M816" s="17" t="str">
        <f>IFERROR(__xludf.DUMMYFUNCTION("""COMPUTED_VALUE"""),"#REF!")</f>
        <v>#REF!</v>
      </c>
      <c r="N816" s="19" t="str">
        <f>IFERROR(__xludf.DUMMYFUNCTION("""COMPUTED_VALUE"""),"")</f>
        <v/>
      </c>
      <c r="O816" s="19" t="str">
        <f>IFERROR(__xludf.DUMMYFUNCTION("""COMPUTED_VALUE"""),"")</f>
        <v/>
      </c>
      <c r="P816" s="17" t="b">
        <f>IFERROR(__xludf.DUMMYFUNCTION("""COMPUTED_VALUE"""),FALSE)</f>
        <v>0</v>
      </c>
      <c r="Q816" s="20" t="str">
        <f>IFERROR(__xludf.DUMMYFUNCTION("""COMPUTED_VALUE"""),"")</f>
        <v/>
      </c>
      <c r="R816" s="22" t="str">
        <f>IFERROR(__xludf.DUMMYFUNCTION("""COMPUTED_VALUE"""),"")</f>
        <v/>
      </c>
    </row>
    <row r="817">
      <c r="A817" s="15">
        <f>IFERROR(__xludf.DUMMYFUNCTION("""COMPUTED_VALUE"""),45021.0)</f>
        <v>45021</v>
      </c>
      <c r="B817" s="17"/>
      <c r="C817" s="15" t="str">
        <f>IFERROR(__xludf.DUMMYFUNCTION("""COMPUTED_VALUE"""),"BOGOTÁ")</f>
        <v>BOGOTÁ</v>
      </c>
      <c r="D817" s="15" t="str">
        <f>IFERROR(__xludf.DUMMYFUNCTION("""COMPUTED_VALUE"""),"MEDELLÍN")</f>
        <v>MEDELLÍN</v>
      </c>
      <c r="E817" s="15" t="str">
        <f>IFERROR(__xludf.DUMMYFUNCTION("""COMPUTED_VALUE"""),"Moloso S.A.S")</f>
        <v>Moloso S.A.S</v>
      </c>
      <c r="F817" s="17" t="str">
        <f>IFERROR(__xludf.DUMMYFUNCTION("""COMPUTED_VALUE"""),"CL 66 59 31 / T 9 AP 508")</f>
        <v>CL 66 59 31 / T 9 AP 508</v>
      </c>
      <c r="G817" s="15" t="str">
        <f>IFERROR(__xludf.DUMMYFUNCTION("""COMPUTED_VALUE"""),"LINA MARÍA RUIZ PEÑOLOZA")</f>
        <v>LINA MARÍA RUIZ PEÑOLOZA</v>
      </c>
      <c r="H817" s="16">
        <f>IFERROR(__xludf.DUMMYFUNCTION("""COMPUTED_VALUE"""),9354.0)</f>
        <v>9354</v>
      </c>
      <c r="I817" s="18">
        <f>IFERROR(__xludf.DUMMYFUNCTION("""COMPUTED_VALUE"""),17.0)</f>
        <v>17</v>
      </c>
      <c r="J817" s="18">
        <f>IFERROR(__xludf.DUMMYFUNCTION("""COMPUTED_VALUE"""),15.0)</f>
        <v>15</v>
      </c>
      <c r="K817" s="18">
        <f>IFERROR(__xludf.DUMMYFUNCTION("""COMPUTED_VALUE"""),28.0)</f>
        <v>28</v>
      </c>
      <c r="L817" s="17" t="str">
        <f>IFERROR(__xludf.DUMMYFUNCTION("""COMPUTED_VALUE"""),"311 2476852")</f>
        <v>311 2476852</v>
      </c>
      <c r="M817" s="17" t="str">
        <f>IFERROR(__xludf.DUMMYFUNCTION("""COMPUTED_VALUE"""),"#REF!")</f>
        <v>#REF!</v>
      </c>
      <c r="N817" s="19" t="str">
        <f>IFERROR(__xludf.DUMMYFUNCTION("""COMPUTED_VALUE"""),"")</f>
        <v/>
      </c>
      <c r="O817" s="19" t="str">
        <f>IFERROR(__xludf.DUMMYFUNCTION("""COMPUTED_VALUE"""),"")</f>
        <v/>
      </c>
      <c r="P817" s="17" t="b">
        <f>IFERROR(__xludf.DUMMYFUNCTION("""COMPUTED_VALUE"""),FALSE)</f>
        <v>0</v>
      </c>
      <c r="Q817" s="20" t="str">
        <f>IFERROR(__xludf.DUMMYFUNCTION("""COMPUTED_VALUE"""),"")</f>
        <v/>
      </c>
      <c r="R817" s="22" t="str">
        <f>IFERROR(__xludf.DUMMYFUNCTION("""COMPUTED_VALUE"""),"")</f>
        <v/>
      </c>
    </row>
    <row r="818">
      <c r="A818" s="15">
        <f>IFERROR(__xludf.DUMMYFUNCTION("""COMPUTED_VALUE"""),45021.0)</f>
        <v>45021</v>
      </c>
      <c r="B818" s="17"/>
      <c r="C818" s="15" t="str">
        <f>IFERROR(__xludf.DUMMYFUNCTION("""COMPUTED_VALUE"""),"BOGOTÁ")</f>
        <v>BOGOTÁ</v>
      </c>
      <c r="D818" s="15" t="str">
        <f>IFERROR(__xludf.DUMMYFUNCTION("""COMPUTED_VALUE"""),"MEDELLÍN")</f>
        <v>MEDELLÍN</v>
      </c>
      <c r="E818" s="15" t="str">
        <f>IFERROR(__xludf.DUMMYFUNCTION("""COMPUTED_VALUE"""),"Puro Verde")</f>
        <v>Puro Verde</v>
      </c>
      <c r="F818" s="17" t="str">
        <f>IFERROR(__xludf.DUMMYFUNCTION("""COMPUTED_VALUE"""),"Carrera 13 #42-44 kokoriko parque 43 / RESTAURANTE KOKORIKO / Producto viene en el contenedor de PURO VERDE")</f>
        <v>Carrera 13 #42-44 kokoriko parque 43 / RESTAURANTE KOKORIKO / Producto viene en el contenedor de PURO VERDE</v>
      </c>
      <c r="G818" s="15" t="str">
        <f>IFERROR(__xludf.DUMMYFUNCTION("""COMPUTED_VALUE"""),"Lina Sánchez")</f>
        <v>Lina Sánchez</v>
      </c>
      <c r="H818" s="16">
        <f>IFERROR(__xludf.DUMMYFUNCTION("""COMPUTED_VALUE"""),9520.0)</f>
        <v>9520</v>
      </c>
      <c r="I818" s="18">
        <f>IFERROR(__xludf.DUMMYFUNCTION("""COMPUTED_VALUE"""),1.0)</f>
        <v>1</v>
      </c>
      <c r="J818" s="18">
        <f>IFERROR(__xludf.DUMMYFUNCTION("""COMPUTED_VALUE"""),1.0)</f>
        <v>1</v>
      </c>
      <c r="K818" s="18">
        <f>IFERROR(__xludf.DUMMYFUNCTION("""COMPUTED_VALUE"""),1.0)</f>
        <v>1</v>
      </c>
      <c r="L818" s="17">
        <f>IFERROR(__xludf.DUMMYFUNCTION("""COMPUTED_VALUE"""),3.11383747E9)</f>
        <v>3113837470</v>
      </c>
      <c r="M818" s="17" t="str">
        <f>IFERROR(__xludf.DUMMYFUNCTION("""COMPUTED_VALUE"""),"#REF!")</f>
        <v>#REF!</v>
      </c>
      <c r="N818" s="19" t="str">
        <f>IFERROR(__xludf.DUMMYFUNCTION("""COMPUTED_VALUE"""),"")</f>
        <v/>
      </c>
      <c r="O818" s="19" t="str">
        <f>IFERROR(__xludf.DUMMYFUNCTION("""COMPUTED_VALUE"""),"")</f>
        <v/>
      </c>
      <c r="P818" s="17" t="b">
        <f>IFERROR(__xludf.DUMMYFUNCTION("""COMPUTED_VALUE"""),FALSE)</f>
        <v>0</v>
      </c>
      <c r="Q818" s="20" t="str">
        <f>IFERROR(__xludf.DUMMYFUNCTION("""COMPUTED_VALUE"""),"")</f>
        <v/>
      </c>
      <c r="R818" s="22" t="str">
        <f>IFERROR(__xludf.DUMMYFUNCTION("""COMPUTED_VALUE"""),"")</f>
        <v/>
      </c>
    </row>
    <row r="819">
      <c r="A819" s="17" t="str">
        <f>IFERROR(__xludf.DUMMYFUNCTION("""COMPUTED_VALUE"""),"")</f>
        <v/>
      </c>
      <c r="B819" s="17" t="str">
        <f>IFERROR(__xludf.DUMMYFUNCTION("""COMPUTED_VALUE"""),"")</f>
        <v/>
      </c>
      <c r="C819" s="17" t="str">
        <f>IFERROR(__xludf.DUMMYFUNCTION("""COMPUTED_VALUE"""),"")</f>
        <v/>
      </c>
      <c r="D819" s="17" t="str">
        <f>IFERROR(__xludf.DUMMYFUNCTION("""COMPUTED_VALUE"""),"")</f>
        <v/>
      </c>
      <c r="E819" s="17" t="str">
        <f>IFERROR(__xludf.DUMMYFUNCTION("""COMPUTED_VALUE"""),"")</f>
        <v/>
      </c>
      <c r="F819" s="17" t="str">
        <f>IFERROR(__xludf.DUMMYFUNCTION("""COMPUTED_VALUE"""),"")</f>
        <v/>
      </c>
      <c r="G819" s="17" t="str">
        <f>IFERROR(__xludf.DUMMYFUNCTION("""COMPUTED_VALUE"""),"")</f>
        <v/>
      </c>
      <c r="H819" s="17" t="str">
        <f>IFERROR(__xludf.DUMMYFUNCTION("""COMPUTED_VALUE"""),"")</f>
        <v/>
      </c>
      <c r="I819" s="17" t="str">
        <f>IFERROR(__xludf.DUMMYFUNCTION("""COMPUTED_VALUE"""),"")</f>
        <v/>
      </c>
      <c r="J819" s="17" t="str">
        <f>IFERROR(__xludf.DUMMYFUNCTION("""COMPUTED_VALUE"""),"")</f>
        <v/>
      </c>
      <c r="K819" s="17" t="str">
        <f>IFERROR(__xludf.DUMMYFUNCTION("""COMPUTED_VALUE"""),"")</f>
        <v/>
      </c>
      <c r="L819" s="17" t="str">
        <f>IFERROR(__xludf.DUMMYFUNCTION("""COMPUTED_VALUE"""),"")</f>
        <v/>
      </c>
      <c r="M819" s="17" t="str">
        <f>IFERROR(__xludf.DUMMYFUNCTION("""COMPUTED_VALUE"""),"")</f>
        <v/>
      </c>
      <c r="N819" s="17" t="str">
        <f>IFERROR(__xludf.DUMMYFUNCTION("""COMPUTED_VALUE"""),"")</f>
        <v/>
      </c>
      <c r="O819" s="17" t="str">
        <f>IFERROR(__xludf.DUMMYFUNCTION("""COMPUTED_VALUE"""),"")</f>
        <v/>
      </c>
      <c r="P819" s="17" t="str">
        <f>IFERROR(__xludf.DUMMYFUNCTION("""COMPUTED_VALUE"""),"")</f>
        <v/>
      </c>
      <c r="Q819" s="17" t="str">
        <f>IFERROR(__xludf.DUMMYFUNCTION("""COMPUTED_VALUE"""),"")</f>
        <v/>
      </c>
      <c r="R819" s="17" t="str">
        <f>IFERROR(__xludf.DUMMYFUNCTION("""COMPUTED_VALUE"""),"")</f>
        <v/>
      </c>
    </row>
    <row r="820">
      <c r="A820" s="15">
        <f>IFERROR(__xludf.DUMMYFUNCTION("""COMPUTED_VALUE"""),45021.0)</f>
        <v>45021</v>
      </c>
      <c r="B820" s="16" t="str">
        <f>IFERROR(__xludf.DUMMYFUNCTION("""COMPUTED_VALUE"""),"Daniel José sandoval gonzalez")</f>
        <v>Daniel José sandoval gonzalez</v>
      </c>
      <c r="C820" s="15" t="str">
        <f>IFERROR(__xludf.DUMMYFUNCTION("""COMPUTED_VALUE"""),"BARRANQUILLA")</f>
        <v>BARRANQUILLA</v>
      </c>
      <c r="D820" s="15" t="str">
        <f>IFERROR(__xludf.DUMMYFUNCTION("""COMPUTED_VALUE"""),"BOGOTÁ")</f>
        <v>BOGOTÁ</v>
      </c>
      <c r="E820" s="15" t="str">
        <f>IFERROR(__xludf.DUMMYFUNCTION("""COMPUTED_VALUE"""),"Asociacion Agropecuaria Juana Maria")</f>
        <v>Asociacion Agropecuaria Juana Maria</v>
      </c>
      <c r="F820" s="17" t="str">
        <f>IFERROR(__xludf.DUMMYFUNCTION("""COMPUTED_VALUE"""),"Carrera 42C # 83-99 apto 508 Edificio Santorini Barrio Nuevo Horizonte")</f>
        <v>Carrera 42C # 83-99 apto 508 Edificio Santorini Barrio Nuevo Horizonte</v>
      </c>
      <c r="G820" s="15" t="str">
        <f>IFERROR(__xludf.DUMMYFUNCTION("""COMPUTED_VALUE"""),"Silvana Robles Guerrero")</f>
        <v>Silvana Robles Guerrero</v>
      </c>
      <c r="H820" s="16">
        <f>IFERROR(__xludf.DUMMYFUNCTION("""COMPUTED_VALUE"""),9367.0)</f>
        <v>9367</v>
      </c>
      <c r="I820" s="18">
        <f>IFERROR(__xludf.DUMMYFUNCTION("""COMPUTED_VALUE"""),25.0)</f>
        <v>25</v>
      </c>
      <c r="J820" s="18">
        <f>IFERROR(__xludf.DUMMYFUNCTION("""COMPUTED_VALUE"""),18.0)</f>
        <v>18</v>
      </c>
      <c r="K820" s="18">
        <f>IFERROR(__xludf.DUMMYFUNCTION("""COMPUTED_VALUE"""),3.0)</f>
        <v>3</v>
      </c>
      <c r="L820" s="17">
        <f>IFERROR(__xludf.DUMMYFUNCTION("""COMPUTED_VALUE"""),3.13564513E9)</f>
        <v>3135645130</v>
      </c>
      <c r="M820" s="17" t="str">
        <f>IFERROR(__xludf.DUMMYFUNCTION("""COMPUTED_VALUE"""),"#REF!")</f>
        <v>#REF!</v>
      </c>
      <c r="N820" s="17"/>
      <c r="O820" s="19" t="str">
        <f>IFERROR(__xludf.DUMMYFUNCTION("""COMPUTED_VALUE"""),"")</f>
        <v/>
      </c>
      <c r="P820" s="17" t="b">
        <f>IFERROR(__xludf.DUMMYFUNCTION("""COMPUTED_VALUE"""),TRUE)</f>
        <v>1</v>
      </c>
      <c r="Q820" s="20">
        <f>IFERROR(__xludf.DUMMYFUNCTION("""COMPUTED_VALUE"""),45021.42951700231)</f>
        <v>45021.42952</v>
      </c>
      <c r="R820" s="22" t="str">
        <f>IFERROR(__xludf.DUMMYFUNCTION("""COMPUTED_VALUE"""),"")</f>
        <v/>
      </c>
    </row>
    <row r="821">
      <c r="A821" s="15">
        <f>IFERROR(__xludf.DUMMYFUNCTION("""COMPUTED_VALUE"""),45021.0)</f>
        <v>45021</v>
      </c>
      <c r="B821" s="16" t="str">
        <f>IFERROR(__xludf.DUMMYFUNCTION("""COMPUTED_VALUE"""),"Daniel José sandoval gonzalez")</f>
        <v>Daniel José sandoval gonzalez</v>
      </c>
      <c r="C821" s="15" t="str">
        <f>IFERROR(__xludf.DUMMYFUNCTION("""COMPUTED_VALUE"""),"BARRANQUILLA")</f>
        <v>BARRANQUILLA</v>
      </c>
      <c r="D821" s="15" t="str">
        <f>IFERROR(__xludf.DUMMYFUNCTION("""COMPUTED_VALUE"""),"BOGOTÁ")</f>
        <v>BOGOTÁ</v>
      </c>
      <c r="E821" s="15" t="str">
        <f>IFERROR(__xludf.DUMMYFUNCTION("""COMPUTED_VALUE"""),"Athenas")</f>
        <v>Athenas</v>
      </c>
      <c r="F821" s="17" t="str">
        <f>IFERROR(__xludf.DUMMYFUNCTION("""COMPUTED_VALUE"""),"CRA 43 #99-50 / CAFETERIA ATHENAS EN BODYTECH / CENTRO COMERCIAL MIRAMAR 3 PISO")</f>
        <v>CRA 43 #99-50 / CAFETERIA ATHENAS EN BODYTECH / CENTRO COMERCIAL MIRAMAR 3 PISO</v>
      </c>
      <c r="G821" s="15" t="str">
        <f>IFERROR(__xludf.DUMMYFUNCTION("""COMPUTED_VALUE"""),"YASSER  GUTIERREZ REALES")</f>
        <v>YASSER  GUTIERREZ REALES</v>
      </c>
      <c r="H821" s="16">
        <f>IFERROR(__xludf.DUMMYFUNCTION("""COMPUTED_VALUE"""),9523.0)</f>
        <v>9523</v>
      </c>
      <c r="I821" s="18">
        <f>IFERROR(__xludf.DUMMYFUNCTION("""COMPUTED_VALUE"""),45.0)</f>
        <v>45</v>
      </c>
      <c r="J821" s="18">
        <f>IFERROR(__xludf.DUMMYFUNCTION("""COMPUTED_VALUE"""),55.0)</f>
        <v>55</v>
      </c>
      <c r="K821" s="18">
        <f>IFERROR(__xludf.DUMMYFUNCTION("""COMPUTED_VALUE"""),29.0)</f>
        <v>29</v>
      </c>
      <c r="L821" s="17">
        <f>IFERROR(__xludf.DUMMYFUNCTION("""COMPUTED_VALUE"""),3.106158334E9)</f>
        <v>3106158334</v>
      </c>
      <c r="M821" s="17" t="str">
        <f>IFERROR(__xludf.DUMMYFUNCTION("""COMPUTED_VALUE"""),"#REF!")</f>
        <v>#REF!</v>
      </c>
      <c r="N821" s="17"/>
      <c r="O821" s="19" t="str">
        <f>IFERROR(__xludf.DUMMYFUNCTION("""COMPUTED_VALUE"""),"")</f>
        <v/>
      </c>
      <c r="P821" s="17" t="b">
        <f>IFERROR(__xludf.DUMMYFUNCTION("""COMPUTED_VALUE"""),TRUE)</f>
        <v>1</v>
      </c>
      <c r="Q821" s="20">
        <f>IFERROR(__xludf.DUMMYFUNCTION("""COMPUTED_VALUE"""),45021.41592461806)</f>
        <v>45021.41592</v>
      </c>
      <c r="R821" s="22" t="str">
        <f>IFERROR(__xludf.DUMMYFUNCTION("""COMPUTED_VALUE"""),"")</f>
        <v/>
      </c>
    </row>
    <row r="822">
      <c r="A822" s="15">
        <f>IFERROR(__xludf.DUMMYFUNCTION("""COMPUTED_VALUE"""),45021.0)</f>
        <v>45021</v>
      </c>
      <c r="B822" s="16" t="str">
        <f>IFERROR(__xludf.DUMMYFUNCTION("""COMPUTED_VALUE"""),"Daniel José sandoval gonzalez")</f>
        <v>Daniel José sandoval gonzalez</v>
      </c>
      <c r="C822" s="15" t="str">
        <f>IFERROR(__xludf.DUMMYFUNCTION("""COMPUTED_VALUE"""),"BARRANQUILLA")</f>
        <v>BARRANQUILLA</v>
      </c>
      <c r="D822" s="15" t="str">
        <f>IFERROR(__xludf.DUMMYFUNCTION("""COMPUTED_VALUE"""),"BOGOTÁ")</f>
        <v>BOGOTÁ</v>
      </c>
      <c r="E822" s="15" t="str">
        <f>IFERROR(__xludf.DUMMYFUNCTION("""COMPUTED_VALUE"""),"Evamazzita")</f>
        <v>Evamazzita</v>
      </c>
      <c r="F822" s="17" t="str">
        <f>IFERROR(__xludf.DUMMYFUNCTION("""COMPUTED_VALUE"""),"Calle 70c#27-77  / edificio platinum apto 503  / Barrio Olaya")</f>
        <v>Calle 70c#27-77  / edificio platinum apto 503  / Barrio Olaya</v>
      </c>
      <c r="G822" s="15" t="str">
        <f>IFERROR(__xludf.DUMMYFUNCTION("""COMPUTED_VALUE"""),"ANA CAROLINA CABALLIS DE LA CRUZ")</f>
        <v>ANA CAROLINA CABALLIS DE LA CRUZ</v>
      </c>
      <c r="H822" s="16">
        <f>IFERROR(__xludf.DUMMYFUNCTION("""COMPUTED_VALUE"""),9491.0)</f>
        <v>9491</v>
      </c>
      <c r="I822" s="18">
        <f>IFERROR(__xludf.DUMMYFUNCTION("""COMPUTED_VALUE"""),10.0)</f>
        <v>10</v>
      </c>
      <c r="J822" s="18">
        <f>IFERROR(__xludf.DUMMYFUNCTION("""COMPUTED_VALUE"""),18.0)</f>
        <v>18</v>
      </c>
      <c r="K822" s="18">
        <f>IFERROR(__xludf.DUMMYFUNCTION("""COMPUTED_VALUE"""),22.0)</f>
        <v>22</v>
      </c>
      <c r="L822" s="17">
        <f>IFERROR(__xludf.DUMMYFUNCTION("""COMPUTED_VALUE"""),3.003998465E9)</f>
        <v>3003998465</v>
      </c>
      <c r="M822" s="17" t="str">
        <f>IFERROR(__xludf.DUMMYFUNCTION("""COMPUTED_VALUE"""),"#REF!")</f>
        <v>#REF!</v>
      </c>
      <c r="N822" s="17"/>
      <c r="O822" s="19" t="str">
        <f>IFERROR(__xludf.DUMMYFUNCTION("""COMPUTED_VALUE"""),"")</f>
        <v/>
      </c>
      <c r="P822" s="17" t="b">
        <f>IFERROR(__xludf.DUMMYFUNCTION("""COMPUTED_VALUE"""),TRUE)</f>
        <v>1</v>
      </c>
      <c r="Q822" s="20">
        <f>IFERROR(__xludf.DUMMYFUNCTION("""COMPUTED_VALUE"""),45021.53008726852)</f>
        <v>45021.53009</v>
      </c>
      <c r="R822" s="22" t="str">
        <f>IFERROR(__xludf.DUMMYFUNCTION("""COMPUTED_VALUE"""),"")</f>
        <v/>
      </c>
    </row>
    <row r="823">
      <c r="A823" s="15">
        <f>IFERROR(__xludf.DUMMYFUNCTION("""COMPUTED_VALUE"""),45021.0)</f>
        <v>45021</v>
      </c>
      <c r="B823" s="16" t="str">
        <f>IFERROR(__xludf.DUMMYFUNCTION("""COMPUTED_VALUE"""),"Daniel José sandoval gonzalez")</f>
        <v>Daniel José sandoval gonzalez</v>
      </c>
      <c r="C823" s="15" t="str">
        <f>IFERROR(__xludf.DUMMYFUNCTION("""COMPUTED_VALUE"""),"BARRANQUILLA")</f>
        <v>BARRANQUILLA</v>
      </c>
      <c r="D823" s="15" t="str">
        <f>IFERROR(__xludf.DUMMYFUNCTION("""COMPUTED_VALUE"""),"BOGOTÁ")</f>
        <v>BOGOTÁ</v>
      </c>
      <c r="E823" s="15" t="str">
        <f>IFERROR(__xludf.DUMMYFUNCTION("""COMPUTED_VALUE"""),"MAI ALIMENTOS S.A.S")</f>
        <v>MAI ALIMENTOS S.A.S</v>
      </c>
      <c r="F823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823" s="15" t="str">
        <f>IFERROR(__xludf.DUMMYFUNCTION("""COMPUTED_VALUE"""),"Fithub Barranquilla")</f>
        <v>Fithub Barranquilla</v>
      </c>
      <c r="H823" s="16">
        <f>IFERROR(__xludf.DUMMYFUNCTION("""COMPUTED_VALUE"""),9347.0)</f>
        <v>9347</v>
      </c>
      <c r="I823" s="18">
        <f>IFERROR(__xludf.DUMMYFUNCTION("""COMPUTED_VALUE"""),28.0)</f>
        <v>28</v>
      </c>
      <c r="J823" s="18">
        <f>IFERROR(__xludf.DUMMYFUNCTION("""COMPUTED_VALUE"""),17.0)</f>
        <v>17</v>
      </c>
      <c r="K823" s="18">
        <f>IFERROR(__xludf.DUMMYFUNCTION("""COMPUTED_VALUE"""),13.0)</f>
        <v>13</v>
      </c>
      <c r="L823" s="17"/>
      <c r="M823" s="17" t="str">
        <f>IFERROR(__xludf.DUMMYFUNCTION("""COMPUTED_VALUE"""),"#REF!")</f>
        <v>#REF!</v>
      </c>
      <c r="N823" s="17"/>
      <c r="O823" s="19" t="str">
        <f>IFERROR(__xludf.DUMMYFUNCTION("""COMPUTED_VALUE"""),"")</f>
        <v/>
      </c>
      <c r="P823" s="17" t="b">
        <f>IFERROR(__xludf.DUMMYFUNCTION("""COMPUTED_VALUE"""),TRUE)</f>
        <v>1</v>
      </c>
      <c r="Q823" s="20">
        <f>IFERROR(__xludf.DUMMYFUNCTION("""COMPUTED_VALUE"""),45021.465807615736)</f>
        <v>45021.46581</v>
      </c>
      <c r="R823" s="22" t="str">
        <f>IFERROR(__xludf.DUMMYFUNCTION("""COMPUTED_VALUE"""),"")</f>
        <v/>
      </c>
    </row>
    <row r="824">
      <c r="A824" s="15">
        <f>IFERROR(__xludf.DUMMYFUNCTION("""COMPUTED_VALUE"""),45021.0)</f>
        <v>45021</v>
      </c>
      <c r="B824" s="16" t="str">
        <f>IFERROR(__xludf.DUMMYFUNCTION("""COMPUTED_VALUE"""),"Daniel José sandoval gonzalez")</f>
        <v>Daniel José sandoval gonzalez</v>
      </c>
      <c r="C824" s="15" t="str">
        <f>IFERROR(__xludf.DUMMYFUNCTION("""COMPUTED_VALUE"""),"BARRANQUILLA")</f>
        <v>BARRANQUILLA</v>
      </c>
      <c r="D824" s="15" t="str">
        <f>IFERROR(__xludf.DUMMYFUNCTION("""COMPUTED_VALUE"""),"BOGOTÁ")</f>
        <v>BOGOTÁ</v>
      </c>
      <c r="E824" s="15" t="str">
        <f>IFERROR(__xludf.DUMMYFUNCTION("""COMPUTED_VALUE"""),"Mochi")</f>
        <v>Mochi</v>
      </c>
      <c r="F824" s="17" t="str">
        <f>IFERROR(__xludf.DUMMYFUNCTION("""COMPUTED_VALUE"""),"Centro comercial viva Barranquilla / Viva Barranquilla / Viva Barranquilla")</f>
        <v>Centro comercial viva Barranquilla / Viva Barranquilla / Viva Barranquilla</v>
      </c>
      <c r="G824" s="15" t="str">
        <f>IFERROR(__xludf.DUMMYFUNCTION("""COMPUTED_VALUE"""),"Maria Camila")</f>
        <v>Maria Camila</v>
      </c>
      <c r="H824" s="16">
        <f>IFERROR(__xludf.DUMMYFUNCTION("""COMPUTED_VALUE"""),9506.0)</f>
        <v>9506</v>
      </c>
      <c r="I824" s="18">
        <f>IFERROR(__xludf.DUMMYFUNCTION("""COMPUTED_VALUE"""),55.0)</f>
        <v>55</v>
      </c>
      <c r="J824" s="18">
        <f>IFERROR(__xludf.DUMMYFUNCTION("""COMPUTED_VALUE"""),45.0)</f>
        <v>45</v>
      </c>
      <c r="K824" s="18" t="str">
        <f>IFERROR(__xludf.DUMMYFUNCTION("""COMPUTED_VALUE"""),"52.5")</f>
        <v>52.5</v>
      </c>
      <c r="L824" s="17">
        <f>IFERROR(__xludf.DUMMYFUNCTION("""COMPUTED_VALUE"""),3.116026252E9)</f>
        <v>3116026252</v>
      </c>
      <c r="M824" s="17" t="str">
        <f>IFERROR(__xludf.DUMMYFUNCTION("""COMPUTED_VALUE"""),"#REF!")</f>
        <v>#REF!</v>
      </c>
      <c r="N824" s="17"/>
      <c r="O824" s="19" t="str">
        <f>IFERROR(__xludf.DUMMYFUNCTION("""COMPUTED_VALUE"""),"")</f>
        <v/>
      </c>
      <c r="P824" s="17" t="b">
        <f>IFERROR(__xludf.DUMMYFUNCTION("""COMPUTED_VALUE"""),TRUE)</f>
        <v>1</v>
      </c>
      <c r="Q824" s="20">
        <f>IFERROR(__xludf.DUMMYFUNCTION("""COMPUTED_VALUE"""),45021.46581947917)</f>
        <v>45021.46582</v>
      </c>
      <c r="R824" s="22" t="str">
        <f>IFERROR(__xludf.DUMMYFUNCTION("""COMPUTED_VALUE"""),"")</f>
        <v/>
      </c>
    </row>
    <row r="825">
      <c r="A825" s="15">
        <f>IFERROR(__xludf.DUMMYFUNCTION("""COMPUTED_VALUE"""),45021.0)</f>
        <v>45021</v>
      </c>
      <c r="B825" s="16" t="str">
        <f>IFERROR(__xludf.DUMMYFUNCTION("""COMPUTED_VALUE"""),"Daniel José sandoval gonzalez")</f>
        <v>Daniel José sandoval gonzalez</v>
      </c>
      <c r="C825" s="15" t="str">
        <f>IFERROR(__xludf.DUMMYFUNCTION("""COMPUTED_VALUE"""),"BARRANQUILLA")</f>
        <v>BARRANQUILLA</v>
      </c>
      <c r="D825" s="15" t="str">
        <f>IFERROR(__xludf.DUMMYFUNCTION("""COMPUTED_VALUE"""),"BOGOTÁ")</f>
        <v>BOGOTÁ</v>
      </c>
      <c r="E825" s="15" t="str">
        <f>IFERROR(__xludf.DUMMYFUNCTION("""COMPUTED_VALUE"""),"Ser Fit")</f>
        <v>Ser Fit</v>
      </c>
      <c r="F825" s="17" t="str">
        <f>IFERROR(__xludf.DUMMYFUNCTION("""COMPUTED_VALUE"""),"cll 81#67-09  / apto 5A / barrio el paraiso")</f>
        <v>cll 81#67-09  / apto 5A / barrio el paraiso</v>
      </c>
      <c r="G825" s="15" t="str">
        <f>IFERROR(__xludf.DUMMYFUNCTION("""COMPUTED_VALUE"""),"angie ocampo")</f>
        <v>angie ocampo</v>
      </c>
      <c r="H825" s="16">
        <f>IFERROR(__xludf.DUMMYFUNCTION("""COMPUTED_VALUE"""),9489.0)</f>
        <v>9489</v>
      </c>
      <c r="I825" s="18">
        <f>IFERROR(__xludf.DUMMYFUNCTION("""COMPUTED_VALUE"""),16.0)</f>
        <v>16</v>
      </c>
      <c r="J825" s="18">
        <f>IFERROR(__xludf.DUMMYFUNCTION("""COMPUTED_VALUE"""),20.0)</f>
        <v>20</v>
      </c>
      <c r="K825" s="18">
        <f>IFERROR(__xludf.DUMMYFUNCTION("""COMPUTED_VALUE"""),17.0)</f>
        <v>17</v>
      </c>
      <c r="L825" s="17">
        <f>IFERROR(__xludf.DUMMYFUNCTION("""COMPUTED_VALUE"""),3.114855592E9)</f>
        <v>3114855592</v>
      </c>
      <c r="M825" s="17" t="str">
        <f>IFERROR(__xludf.DUMMYFUNCTION("""COMPUTED_VALUE"""),"#REF!")</f>
        <v>#REF!</v>
      </c>
      <c r="N825" s="17"/>
      <c r="O825" s="19" t="str">
        <f>IFERROR(__xludf.DUMMYFUNCTION("""COMPUTED_VALUE"""),"")</f>
        <v/>
      </c>
      <c r="P825" s="17" t="b">
        <f>IFERROR(__xludf.DUMMYFUNCTION("""COMPUTED_VALUE"""),TRUE)</f>
        <v>1</v>
      </c>
      <c r="Q825" s="20">
        <f>IFERROR(__xludf.DUMMYFUNCTION("""COMPUTED_VALUE"""),45021.494086736115)</f>
        <v>45021.49409</v>
      </c>
      <c r="R825" s="22" t="str">
        <f>IFERROR(__xludf.DUMMYFUNCTION("""COMPUTED_VALUE"""),"")</f>
        <v/>
      </c>
    </row>
    <row r="826">
      <c r="A826" s="15">
        <f>IFERROR(__xludf.DUMMYFUNCTION("""COMPUTED_VALUE"""),45021.0)</f>
        <v>45021</v>
      </c>
      <c r="B826" s="16" t="str">
        <f>IFERROR(__xludf.DUMMYFUNCTION("""COMPUTED_VALUE"""),"Daniel José sandoval gonzalez")</f>
        <v>Daniel José sandoval gonzalez</v>
      </c>
      <c r="C826" s="15" t="str">
        <f>IFERROR(__xludf.DUMMYFUNCTION("""COMPUTED_VALUE"""),"BARRANQUILLA")</f>
        <v>BARRANQUILLA</v>
      </c>
      <c r="D826" s="15" t="str">
        <f>IFERROR(__xludf.DUMMYFUNCTION("""COMPUTED_VALUE"""),"MEDELLÍN")</f>
        <v>MEDELLÍN</v>
      </c>
      <c r="E826" s="15" t="str">
        <f>IFERROR(__xludf.DUMMYFUNCTION("""COMPUTED_VALUE"""),"AREPAS LA MARY")</f>
        <v>AREPAS LA MARY</v>
      </c>
      <c r="F826" s="17" t="str">
        <f>IFERROR(__xludf.DUMMYFUNCTION("""COMPUTED_VALUE"""),"CRA 53 N.80 284 LOCAL 1")</f>
        <v>CRA 53 N.80 284 LOCAL 1</v>
      </c>
      <c r="G826" s="15" t="str">
        <f>IFERROR(__xludf.DUMMYFUNCTION("""COMPUTED_VALUE"""),"CORPOFIT")</f>
        <v>CORPOFIT</v>
      </c>
      <c r="H826" s="16">
        <f>IFERROR(__xludf.DUMMYFUNCTION("""COMPUTED_VALUE"""),9473.0)</f>
        <v>9473</v>
      </c>
      <c r="I826" s="18">
        <f>IFERROR(__xludf.DUMMYFUNCTION("""COMPUTED_VALUE"""),89.0)</f>
        <v>89</v>
      </c>
      <c r="J826" s="18">
        <f>IFERROR(__xludf.DUMMYFUNCTION("""COMPUTED_VALUE"""),1.0)</f>
        <v>1</v>
      </c>
      <c r="K826" s="18">
        <f>IFERROR(__xludf.DUMMYFUNCTION("""COMPUTED_VALUE"""),10.0)</f>
        <v>10</v>
      </c>
      <c r="L826" s="17">
        <f>IFERROR(__xludf.DUMMYFUNCTION("""COMPUTED_VALUE"""),3.162889776E9)</f>
        <v>3162889776</v>
      </c>
      <c r="M826" s="17" t="str">
        <f>IFERROR(__xludf.DUMMYFUNCTION("""COMPUTED_VALUE"""),"#REF!")</f>
        <v>#REF!</v>
      </c>
      <c r="N826" s="17"/>
      <c r="O826" s="19" t="str">
        <f>IFERROR(__xludf.DUMMYFUNCTION("""COMPUTED_VALUE"""),"")</f>
        <v/>
      </c>
      <c r="P826" s="17" t="b">
        <f>IFERROR(__xludf.DUMMYFUNCTION("""COMPUTED_VALUE"""),TRUE)</f>
        <v>1</v>
      </c>
      <c r="Q826" s="20">
        <f>IFERROR(__xludf.DUMMYFUNCTION("""COMPUTED_VALUE"""),45023.47419548611)</f>
        <v>45023.4742</v>
      </c>
      <c r="R826" s="22" t="str">
        <f>IFERROR(__xludf.DUMMYFUNCTION("""COMPUTED_VALUE"""),"")</f>
        <v/>
      </c>
    </row>
    <row r="827">
      <c r="A827" s="15">
        <f>IFERROR(__xludf.DUMMYFUNCTION("""COMPUTED_VALUE"""),45021.0)</f>
        <v>45021</v>
      </c>
      <c r="B827" s="16" t="str">
        <f>IFERROR(__xludf.DUMMYFUNCTION("""COMPUTED_VALUE"""),"Daniel José sandoval gonzalez")</f>
        <v>Daniel José sandoval gonzalez</v>
      </c>
      <c r="C827" s="15" t="str">
        <f>IFERROR(__xludf.DUMMYFUNCTION("""COMPUTED_VALUE"""),"BARRANQUILLA")</f>
        <v>BARRANQUILLA</v>
      </c>
      <c r="D827" s="15" t="str">
        <f>IFERROR(__xludf.DUMMYFUNCTION("""COMPUTED_VALUE"""),"MEDELLÍN")</f>
        <v>MEDELLÍN</v>
      </c>
      <c r="E827" s="15" t="str">
        <f>IFERROR(__xludf.DUMMYFUNCTION("""COMPUTED_VALUE"""),"Baby Chef")</f>
        <v>Baby Chef</v>
      </c>
      <c r="F827" s="17" t="str">
        <f>IFERROR(__xludf.DUMMYFUNCTION("""COMPUTED_VALUE"""),"Calle 112 # 42-19 Torre 3 Apto 202 Conjunto Torcaza Barrio: Alameda del Río  / Calle 112 # 42-19 Torre 3 Apto 202 Conjunto Torcaza Barrio: Alameda del Río  / Calle 112 # 42-19 Torre 3 Apto 202 Conjunto Torcaza Barrio: Alameda del Río")</f>
        <v>Calle 112 # 42-19 Torre 3 Apto 202 Conjunto Torcaza Barrio: Alameda del Río  / Calle 112 # 42-19 Torre 3 Apto 202 Conjunto Torcaza Barrio: Alameda del Río  / Calle 112 # 42-19 Torre 3 Apto 202 Conjunto Torcaza Barrio: Alameda del Río</v>
      </c>
      <c r="G827" s="15" t="str">
        <f>IFERROR(__xludf.DUMMYFUNCTION("""COMPUTED_VALUE"""),"Ingris Johana Turizo Santos  Barranquilla")</f>
        <v>Ingris Johana Turizo Santos  Barranquilla</v>
      </c>
      <c r="H827" s="16">
        <f>IFERROR(__xludf.DUMMYFUNCTION("""COMPUTED_VALUE"""),9443.0)</f>
        <v>9443</v>
      </c>
      <c r="I827" s="18">
        <f>IFERROR(__xludf.DUMMYFUNCTION("""COMPUTED_VALUE"""),8.0)</f>
        <v>8</v>
      </c>
      <c r="J827" s="18">
        <f>IFERROR(__xludf.DUMMYFUNCTION("""COMPUTED_VALUE"""),16.0)</f>
        <v>16</v>
      </c>
      <c r="K827" s="18">
        <f>IFERROR(__xludf.DUMMYFUNCTION("""COMPUTED_VALUE"""),20.0)</f>
        <v>20</v>
      </c>
      <c r="L827" s="17">
        <f>IFERROR(__xludf.DUMMYFUNCTION("""COMPUTED_VALUE"""),3.008855454E9)</f>
        <v>3008855454</v>
      </c>
      <c r="M827" s="17" t="str">
        <f>IFERROR(__xludf.DUMMYFUNCTION("""COMPUTED_VALUE"""),"#REF!")</f>
        <v>#REF!</v>
      </c>
      <c r="N827" s="17"/>
      <c r="O827" s="19" t="str">
        <f>IFERROR(__xludf.DUMMYFUNCTION("""COMPUTED_VALUE"""),"")</f>
        <v/>
      </c>
      <c r="P827" s="17" t="b">
        <f>IFERROR(__xludf.DUMMYFUNCTION("""COMPUTED_VALUE"""),TRUE)</f>
        <v>1</v>
      </c>
      <c r="Q827" s="20">
        <f>IFERROR(__xludf.DUMMYFUNCTION("""COMPUTED_VALUE"""),45021.53640373843)</f>
        <v>45021.5364</v>
      </c>
      <c r="R827" s="22" t="str">
        <f>IFERROR(__xludf.DUMMYFUNCTION("""COMPUTED_VALUE"""),"")</f>
        <v/>
      </c>
    </row>
    <row r="828">
      <c r="A828" s="15">
        <f>IFERROR(__xludf.DUMMYFUNCTION("""COMPUTED_VALUE"""),45021.0)</f>
        <v>45021</v>
      </c>
      <c r="B828" s="16" t="str">
        <f>IFERROR(__xludf.DUMMYFUNCTION("""COMPUTED_VALUE"""),"Daniel José sandoval gonzalez")</f>
        <v>Daniel José sandoval gonzalez</v>
      </c>
      <c r="C828" s="15" t="str">
        <f>IFERROR(__xludf.DUMMYFUNCTION("""COMPUTED_VALUE"""),"BARRANQUILLA")</f>
        <v>BARRANQUILLA</v>
      </c>
      <c r="D828" s="15" t="str">
        <f>IFERROR(__xludf.DUMMYFUNCTION("""COMPUTED_VALUE"""),"MEDELLÍN")</f>
        <v>MEDELLÍN</v>
      </c>
      <c r="E828" s="15" t="str">
        <f>IFERROR(__xludf.DUMMYFUNCTION("""COMPUTED_VALUE"""),"Baby Chef")</f>
        <v>Baby Chef</v>
      </c>
      <c r="F828" s="17" t="str">
        <f>IFERROR(__xludf.DUMMYFUNCTION("""COMPUTED_VALUE"""),"Carrera 55 N 135- 09 apt 902 Edificio Caribe Campestre Barrio Villa Campestre / Carrera 55 N 135- 09 apt 902 Edificio Caribe Campestre Barrio Villa Campestre / Carrera 55 N 135- 09 apt 902 Edificio Caribe Campestre Barrio Villa Campestre")</f>
        <v>Carrera 55 N 135- 09 apt 902 Edificio Caribe Campestre Barrio Villa Campestre / Carrera 55 N 135- 09 apt 902 Edificio Caribe Campestre Barrio Villa Campestre / Carrera 55 N 135- 09 apt 902 Edificio Caribe Campestre Barrio Villa Campestre</v>
      </c>
      <c r="G828" s="15" t="str">
        <f>IFERROR(__xludf.DUMMYFUNCTION("""COMPUTED_VALUE"""),"Liliana Maria Pardo Verjel")</f>
        <v>Liliana Maria Pardo Verjel</v>
      </c>
      <c r="H828" s="16">
        <f>IFERROR(__xludf.DUMMYFUNCTION("""COMPUTED_VALUE"""),9444.0)</f>
        <v>9444</v>
      </c>
      <c r="I828" s="18">
        <f>IFERROR(__xludf.DUMMYFUNCTION("""COMPUTED_VALUE"""),8.0)</f>
        <v>8</v>
      </c>
      <c r="J828" s="18">
        <f>IFERROR(__xludf.DUMMYFUNCTION("""COMPUTED_VALUE"""),16.0)</f>
        <v>16</v>
      </c>
      <c r="K828" s="18">
        <f>IFERROR(__xludf.DUMMYFUNCTION("""COMPUTED_VALUE"""),20.0)</f>
        <v>20</v>
      </c>
      <c r="L828" s="17">
        <f>IFERROR(__xludf.DUMMYFUNCTION("""COMPUTED_VALUE"""),3.154782766E9)</f>
        <v>3154782766</v>
      </c>
      <c r="M828" s="17" t="str">
        <f>IFERROR(__xludf.DUMMYFUNCTION("""COMPUTED_VALUE"""),"#REF!")</f>
        <v>#REF!</v>
      </c>
      <c r="N828" s="17"/>
      <c r="O828" s="19" t="str">
        <f>IFERROR(__xludf.DUMMYFUNCTION("""COMPUTED_VALUE"""),"")</f>
        <v/>
      </c>
      <c r="P828" s="17" t="b">
        <f>IFERROR(__xludf.DUMMYFUNCTION("""COMPUTED_VALUE"""),TRUE)</f>
        <v>1</v>
      </c>
      <c r="Q828" s="20">
        <f>IFERROR(__xludf.DUMMYFUNCTION("""COMPUTED_VALUE"""),45021.55695559028)</f>
        <v>45021.55696</v>
      </c>
      <c r="R828" s="22" t="str">
        <f>IFERROR(__xludf.DUMMYFUNCTION("""COMPUTED_VALUE"""),"")</f>
        <v/>
      </c>
    </row>
    <row r="829">
      <c r="A829" s="15">
        <f>IFERROR(__xludf.DUMMYFUNCTION("""COMPUTED_VALUE"""),45021.0)</f>
        <v>45021</v>
      </c>
      <c r="B829" s="16" t="str">
        <f>IFERROR(__xludf.DUMMYFUNCTION("""COMPUTED_VALUE"""),"Daniel José sandoval gonzalez")</f>
        <v>Daniel José sandoval gonzalez</v>
      </c>
      <c r="C829" s="15" t="str">
        <f>IFERROR(__xludf.DUMMYFUNCTION("""COMPUTED_VALUE"""),"CARTAGENA")</f>
        <v>CARTAGENA</v>
      </c>
      <c r="D829" s="15" t="str">
        <f>IFERROR(__xludf.DUMMYFUNCTION("""COMPUTED_VALUE"""),"BOGOTÁ")</f>
        <v>BOGOTÁ</v>
      </c>
      <c r="E829" s="15" t="str">
        <f>IFERROR(__xludf.DUMMYFUNCTION("""COMPUTED_VALUE"""),"Asociacion Agropecuaria Juana Maria")</f>
        <v>Asociacion Agropecuaria Juana Maria</v>
      </c>
      <c r="F829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829" s="15" t="str">
        <f>IFERROR(__xludf.DUMMYFUNCTION("""COMPUTED_VALUE"""),"LUZ ELENA GIL BENAVIDES")</f>
        <v>LUZ ELENA GIL BENAVIDES</v>
      </c>
      <c r="H829" s="16">
        <f>IFERROR(__xludf.DUMMYFUNCTION("""COMPUTED_VALUE"""),9366.0)</f>
        <v>9366</v>
      </c>
      <c r="I829" s="18">
        <f>IFERROR(__xludf.DUMMYFUNCTION("""COMPUTED_VALUE"""),21.0)</f>
        <v>21</v>
      </c>
      <c r="J829" s="18">
        <f>IFERROR(__xludf.DUMMYFUNCTION("""COMPUTED_VALUE"""),37.0)</f>
        <v>37</v>
      </c>
      <c r="K829" s="18">
        <f>IFERROR(__xludf.DUMMYFUNCTION("""COMPUTED_VALUE"""),30.0)</f>
        <v>30</v>
      </c>
      <c r="L829" s="17">
        <f>IFERROR(__xludf.DUMMYFUNCTION("""COMPUTED_VALUE"""),3.054312334E9)</f>
        <v>3054312334</v>
      </c>
      <c r="M829" s="17" t="str">
        <f>IFERROR(__xludf.DUMMYFUNCTION("""COMPUTED_VALUE"""),"#REF!")</f>
        <v>#REF!</v>
      </c>
      <c r="N829" s="17"/>
      <c r="O829" s="19" t="str">
        <f>IFERROR(__xludf.DUMMYFUNCTION("""COMPUTED_VALUE"""),"")</f>
        <v/>
      </c>
      <c r="P829" s="17" t="b">
        <f>IFERROR(__xludf.DUMMYFUNCTION("""COMPUTED_VALUE"""),TRUE)</f>
        <v>1</v>
      </c>
      <c r="Q829" s="20">
        <f>IFERROR(__xludf.DUMMYFUNCTION("""COMPUTED_VALUE"""),45021.46601986111)</f>
        <v>45021.46602</v>
      </c>
      <c r="R829" s="22" t="str">
        <f>IFERROR(__xludf.DUMMYFUNCTION("""COMPUTED_VALUE"""),"")</f>
        <v/>
      </c>
    </row>
    <row r="830">
      <c r="A830" s="15">
        <f>IFERROR(__xludf.DUMMYFUNCTION("""COMPUTED_VALUE"""),45021.0)</f>
        <v>45021</v>
      </c>
      <c r="B830" s="16" t="str">
        <f>IFERROR(__xludf.DUMMYFUNCTION("""COMPUTED_VALUE"""),"Daniel José sandoval gonzalez")</f>
        <v>Daniel José sandoval gonzalez</v>
      </c>
      <c r="C830" s="15" t="str">
        <f>IFERROR(__xludf.DUMMYFUNCTION("""COMPUTED_VALUE"""),"MEDELLÍN")</f>
        <v>MEDELLÍN</v>
      </c>
      <c r="D830" s="15" t="str">
        <f>IFERROR(__xludf.DUMMYFUNCTION("""COMPUTED_VALUE"""),"BOGOTÁ")</f>
        <v>BOGOTÁ</v>
      </c>
      <c r="E830" s="15" t="str">
        <f>IFERROR(__xludf.DUMMYFUNCTION("""COMPUTED_VALUE"""),"Asociacion Agropecuaria Juana Maria")</f>
        <v>Asociacion Agropecuaria Juana Maria</v>
      </c>
      <c r="F830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830" s="15" t="str">
        <f>IFERROR(__xludf.DUMMYFUNCTION("""COMPUTED_VALUE"""),"Jennifer Sanchez Blandon")</f>
        <v>Jennifer Sanchez Blandon</v>
      </c>
      <c r="H830" s="16">
        <f>IFERROR(__xludf.DUMMYFUNCTION("""COMPUTED_VALUE"""),9363.0)</f>
        <v>9363</v>
      </c>
      <c r="I830" s="18">
        <f>IFERROR(__xludf.DUMMYFUNCTION("""COMPUTED_VALUE"""),12.0)</f>
        <v>12</v>
      </c>
      <c r="J830" s="18">
        <f>IFERROR(__xludf.DUMMYFUNCTION("""COMPUTED_VALUE"""),37.0)</f>
        <v>37</v>
      </c>
      <c r="K830" s="18">
        <f>IFERROR(__xludf.DUMMYFUNCTION("""COMPUTED_VALUE"""),24.0)</f>
        <v>24</v>
      </c>
      <c r="L830" s="17">
        <f>IFERROR(__xludf.DUMMYFUNCTION("""COMPUTED_VALUE"""),3.016937674E9)</f>
        <v>3016937674</v>
      </c>
      <c r="M830" s="17" t="str">
        <f>IFERROR(__xludf.DUMMYFUNCTION("""COMPUTED_VALUE"""),"#REF!")</f>
        <v>#REF!</v>
      </c>
      <c r="N830" s="17"/>
      <c r="O830" s="19" t="str">
        <f>IFERROR(__xludf.DUMMYFUNCTION("""COMPUTED_VALUE"""),"")</f>
        <v/>
      </c>
      <c r="P830" s="17" t="b">
        <f>IFERROR(__xludf.DUMMYFUNCTION("""COMPUTED_VALUE"""),TRUE)</f>
        <v>1</v>
      </c>
      <c r="Q830" s="20">
        <f>IFERROR(__xludf.DUMMYFUNCTION("""COMPUTED_VALUE"""),45021.56757837963)</f>
        <v>45021.56758</v>
      </c>
      <c r="R830" s="22" t="str">
        <f>IFERROR(__xludf.DUMMYFUNCTION("""COMPUTED_VALUE"""),"")</f>
        <v/>
      </c>
    </row>
    <row r="831">
      <c r="A831" s="15">
        <f>IFERROR(__xludf.DUMMYFUNCTION("""COMPUTED_VALUE"""),45021.0)</f>
        <v>45021</v>
      </c>
      <c r="B831" s="16" t="str">
        <f>IFERROR(__xludf.DUMMYFUNCTION("""COMPUTED_VALUE"""),"Daniel José sandoval gonzalez")</f>
        <v>Daniel José sandoval gonzalez</v>
      </c>
      <c r="C831" s="15" t="str">
        <f>IFERROR(__xludf.DUMMYFUNCTION("""COMPUTED_VALUE"""),"MEDELLÍN")</f>
        <v>MEDELLÍN</v>
      </c>
      <c r="D831" s="15" t="str">
        <f>IFERROR(__xludf.DUMMYFUNCTION("""COMPUTED_VALUE"""),"BOGOTÁ")</f>
        <v>BOGOTÁ</v>
      </c>
      <c r="E831" s="15" t="str">
        <f>IFERROR(__xludf.DUMMYFUNCTION("""COMPUTED_VALUE"""),"MAI ALIMENTOS S.A.S")</f>
        <v>MAI ALIMENTOS S.A.S</v>
      </c>
      <c r="F831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831" s="15" t="str">
        <f>IFERROR(__xludf.DUMMYFUNCTION("""COMPUTED_VALUE"""),"Novaventas - Medellin")</f>
        <v>Novaventas - Medellin</v>
      </c>
      <c r="H831" s="16">
        <f>IFERROR(__xludf.DUMMYFUNCTION("""COMPUTED_VALUE"""),9349.0)</f>
        <v>9349</v>
      </c>
      <c r="I831" s="18">
        <f>IFERROR(__xludf.DUMMYFUNCTION("""COMPUTED_VALUE"""),35.0)</f>
        <v>35</v>
      </c>
      <c r="J831" s="18">
        <f>IFERROR(__xludf.DUMMYFUNCTION("""COMPUTED_VALUE"""),17.0)</f>
        <v>17</v>
      </c>
      <c r="K831" s="18">
        <f>IFERROR(__xludf.DUMMYFUNCTION("""COMPUTED_VALUE"""),13.0)</f>
        <v>13</v>
      </c>
      <c r="L831" s="17">
        <f>IFERROR(__xludf.DUMMYFUNCTION("""COMPUTED_VALUE"""),3.187351593E9)</f>
        <v>3187351593</v>
      </c>
      <c r="M831" s="17" t="str">
        <f>IFERROR(__xludf.DUMMYFUNCTION("""COMPUTED_VALUE"""),"#REF!")</f>
        <v>#REF!</v>
      </c>
      <c r="N831" s="17"/>
      <c r="O831" s="19" t="str">
        <f>IFERROR(__xludf.DUMMYFUNCTION("""COMPUTED_VALUE"""),"")</f>
        <v/>
      </c>
      <c r="P831" s="17" t="b">
        <f>IFERROR(__xludf.DUMMYFUNCTION("""COMPUTED_VALUE"""),TRUE)</f>
        <v>1</v>
      </c>
      <c r="Q831" s="20">
        <f>IFERROR(__xludf.DUMMYFUNCTION("""COMPUTED_VALUE"""),45021.518676238426)</f>
        <v>45021.51868</v>
      </c>
      <c r="R831" s="22" t="str">
        <f>IFERROR(__xludf.DUMMYFUNCTION("""COMPUTED_VALUE"""),"")</f>
        <v/>
      </c>
    </row>
    <row r="832">
      <c r="A832" s="15">
        <f>IFERROR(__xludf.DUMMYFUNCTION("""COMPUTED_VALUE"""),45021.0)</f>
        <v>45021</v>
      </c>
      <c r="B832" s="16" t="str">
        <f>IFERROR(__xludf.DUMMYFUNCTION("""COMPUTED_VALUE"""),"Daniel José sandoval gonzalez")</f>
        <v>Daniel José sandoval gonzalez</v>
      </c>
      <c r="C832" s="15" t="str">
        <f>IFERROR(__xludf.DUMMYFUNCTION("""COMPUTED_VALUE"""),"MEDELLÍN")</f>
        <v>MEDELLÍN</v>
      </c>
      <c r="D832" s="15" t="str">
        <f>IFERROR(__xludf.DUMMYFUNCTION("""COMPUTED_VALUE"""),"BOGOTÁ")</f>
        <v>BOGOTÁ</v>
      </c>
      <c r="E832" s="15" t="str">
        <f>IFERROR(__xludf.DUMMYFUNCTION("""COMPUTED_VALUE"""),"Renata")</f>
        <v>Renata</v>
      </c>
      <c r="F832" s="17" t="str">
        <f>IFERROR(__xludf.DUMMYFUNCTION("""COMPUTED_VALUE"""),"Carrera 32 d 9-43  / Seline medellín y cowork  / Provenza")</f>
        <v>Carrera 32 d 9-43  / Seline medellín y cowork  / Provenza</v>
      </c>
      <c r="G832" s="15" t="str">
        <f>IFERROR(__xludf.DUMMYFUNCTION("""COMPUTED_VALUE"""),"Front y back hospitality group")</f>
        <v>Front y back hospitality group</v>
      </c>
      <c r="H832" s="16">
        <f>IFERROR(__xludf.DUMMYFUNCTION("""COMPUTED_VALUE"""),9504.0)</f>
        <v>9504</v>
      </c>
      <c r="I832" s="18">
        <f>IFERROR(__xludf.DUMMYFUNCTION("""COMPUTED_VALUE"""),90.0)</f>
        <v>90</v>
      </c>
      <c r="J832" s="18">
        <f>IFERROR(__xludf.DUMMYFUNCTION("""COMPUTED_VALUE"""),70.0)</f>
        <v>70</v>
      </c>
      <c r="K832" s="18">
        <f>IFERROR(__xludf.DUMMYFUNCTION("""COMPUTED_VALUE"""),60.0)</f>
        <v>60</v>
      </c>
      <c r="L832" s="17">
        <f>IFERROR(__xludf.DUMMYFUNCTION("""COMPUTED_VALUE"""),3.104047368E9)</f>
        <v>3104047368</v>
      </c>
      <c r="M832" s="17" t="str">
        <f>IFERROR(__xludf.DUMMYFUNCTION("""COMPUTED_VALUE"""),"#REF!")</f>
        <v>#REF!</v>
      </c>
      <c r="N832" s="17"/>
      <c r="O832" s="19" t="str">
        <f>IFERROR(__xludf.DUMMYFUNCTION("""COMPUTED_VALUE"""),"")</f>
        <v/>
      </c>
      <c r="P832" s="17" t="b">
        <f>IFERROR(__xludf.DUMMYFUNCTION("""COMPUTED_VALUE"""),FALSE)</f>
        <v>0</v>
      </c>
      <c r="Q832" s="20" t="str">
        <f>IFERROR(__xludf.DUMMYFUNCTION("""COMPUTED_VALUE"""),"")</f>
        <v/>
      </c>
      <c r="R832" s="22" t="str">
        <f>IFERROR(__xludf.DUMMYFUNCTION("""COMPUTED_VALUE"""),"")</f>
        <v/>
      </c>
    </row>
    <row r="833">
      <c r="A833" s="17" t="str">
        <f>IFERROR(__xludf.DUMMYFUNCTION("""COMPUTED_VALUE"""),"")</f>
        <v/>
      </c>
      <c r="B833" s="17" t="str">
        <f>IFERROR(__xludf.DUMMYFUNCTION("""COMPUTED_VALUE"""),"")</f>
        <v/>
      </c>
      <c r="C833" s="17" t="str">
        <f>IFERROR(__xludf.DUMMYFUNCTION("""COMPUTED_VALUE"""),"")</f>
        <v/>
      </c>
      <c r="D833" s="17" t="str">
        <f>IFERROR(__xludf.DUMMYFUNCTION("""COMPUTED_VALUE"""),"")</f>
        <v/>
      </c>
      <c r="E833" s="17" t="str">
        <f>IFERROR(__xludf.DUMMYFUNCTION("""COMPUTED_VALUE"""),"")</f>
        <v/>
      </c>
      <c r="F833" s="17" t="str">
        <f>IFERROR(__xludf.DUMMYFUNCTION("""COMPUTED_VALUE"""),"")</f>
        <v/>
      </c>
      <c r="G833" s="17" t="str">
        <f>IFERROR(__xludf.DUMMYFUNCTION("""COMPUTED_VALUE"""),"")</f>
        <v/>
      </c>
      <c r="H833" s="17" t="str">
        <f>IFERROR(__xludf.DUMMYFUNCTION("""COMPUTED_VALUE"""),"")</f>
        <v/>
      </c>
      <c r="I833" s="17" t="str">
        <f>IFERROR(__xludf.DUMMYFUNCTION("""COMPUTED_VALUE"""),"")</f>
        <v/>
      </c>
      <c r="J833" s="17" t="str">
        <f>IFERROR(__xludf.DUMMYFUNCTION("""COMPUTED_VALUE"""),"")</f>
        <v/>
      </c>
      <c r="K833" s="17" t="str">
        <f>IFERROR(__xludf.DUMMYFUNCTION("""COMPUTED_VALUE"""),"")</f>
        <v/>
      </c>
      <c r="L833" s="17" t="str">
        <f>IFERROR(__xludf.DUMMYFUNCTION("""COMPUTED_VALUE"""),"")</f>
        <v/>
      </c>
      <c r="M833" s="17" t="str">
        <f>IFERROR(__xludf.DUMMYFUNCTION("""COMPUTED_VALUE"""),"")</f>
        <v/>
      </c>
      <c r="N833" s="17" t="str">
        <f>IFERROR(__xludf.DUMMYFUNCTION("""COMPUTED_VALUE"""),"")</f>
        <v/>
      </c>
      <c r="O833" s="17" t="str">
        <f>IFERROR(__xludf.DUMMYFUNCTION("""COMPUTED_VALUE"""),"")</f>
        <v/>
      </c>
      <c r="P833" s="17" t="str">
        <f>IFERROR(__xludf.DUMMYFUNCTION("""COMPUTED_VALUE"""),"")</f>
        <v/>
      </c>
      <c r="Q833" s="17" t="str">
        <f>IFERROR(__xludf.DUMMYFUNCTION("""COMPUTED_VALUE"""),"")</f>
        <v/>
      </c>
      <c r="R833" s="17" t="str">
        <f>IFERROR(__xludf.DUMMYFUNCTION("""COMPUTED_VALUE"""),"")</f>
        <v/>
      </c>
    </row>
    <row r="834">
      <c r="A834" s="15">
        <f>IFERROR(__xludf.DUMMYFUNCTION("""COMPUTED_VALUE"""),45021.0)</f>
        <v>45021</v>
      </c>
      <c r="B834" s="16" t="str">
        <f>IFERROR(__xludf.DUMMYFUNCTION("""COMPUTED_VALUE"""),"David Sanmartin Bello")</f>
        <v>David Sanmartin Bello</v>
      </c>
      <c r="C834" s="15" t="str">
        <f>IFERROR(__xludf.DUMMYFUNCTION("""COMPUTED_VALUE"""),"BOGOTÁ")</f>
        <v>BOGOTÁ</v>
      </c>
      <c r="D834" s="15" t="str">
        <f>IFERROR(__xludf.DUMMYFUNCTION("""COMPUTED_VALUE"""),"CALI")</f>
        <v>CALI</v>
      </c>
      <c r="E834" s="15" t="str">
        <f>IFERROR(__xludf.DUMMYFUNCTION("""COMPUTED_VALUE"""),"Natalia Carreño")</f>
        <v>Natalia Carreño</v>
      </c>
      <c r="F834" s="17" t="str">
        <f>IFERROR(__xludf.DUMMYFUNCTION("""COMPUTED_VALUE"""),"Cra 27 no 70-83 / Casa curub / AlcZares")</f>
        <v>Cra 27 no 70-83 / Casa curub / AlcZares</v>
      </c>
      <c r="G834" s="15" t="str">
        <f>IFERROR(__xludf.DUMMYFUNCTION("""COMPUTED_VALUE"""),"Natalia carrwno")</f>
        <v>Natalia carrwno</v>
      </c>
      <c r="H834" s="16">
        <f>IFERROR(__xludf.DUMMYFUNCTION("""COMPUTED_VALUE"""),9449.0)</f>
        <v>9449</v>
      </c>
      <c r="I834" s="18">
        <f>IFERROR(__xludf.DUMMYFUNCTION("""COMPUTED_VALUE"""),30.0)</f>
        <v>30</v>
      </c>
      <c r="J834" s="18">
        <f>IFERROR(__xludf.DUMMYFUNCTION("""COMPUTED_VALUE"""),40.0)</f>
        <v>40</v>
      </c>
      <c r="K834" s="18">
        <f>IFERROR(__xludf.DUMMYFUNCTION("""COMPUTED_VALUE"""),60.0)</f>
        <v>60</v>
      </c>
      <c r="L834" s="17">
        <f>IFERROR(__xludf.DUMMYFUNCTION("""COMPUTED_VALUE"""),3.11561131E9)</f>
        <v>3115611310</v>
      </c>
      <c r="M834" s="17" t="str">
        <f>IFERROR(__xludf.DUMMYFUNCTION("""COMPUTED_VALUE"""),"#REF!")</f>
        <v>#REF!</v>
      </c>
      <c r="N834" s="17"/>
      <c r="O834" s="19" t="str">
        <f>IFERROR(__xludf.DUMMYFUNCTION("""COMPUTED_VALUE"""),"")</f>
        <v/>
      </c>
      <c r="P834" s="17" t="b">
        <f>IFERROR(__xludf.DUMMYFUNCTION("""COMPUTED_VALUE"""),TRUE)</f>
        <v>1</v>
      </c>
      <c r="Q834" s="20">
        <f>IFERROR(__xludf.DUMMYFUNCTION("""COMPUTED_VALUE"""),45023.47419548611)</f>
        <v>45023.4742</v>
      </c>
      <c r="R834" s="22" t="str">
        <f>IFERROR(__xludf.DUMMYFUNCTION("""COMPUTED_VALUE"""),"")</f>
        <v/>
      </c>
    </row>
    <row r="835">
      <c r="A835" s="15">
        <f>IFERROR(__xludf.DUMMYFUNCTION("""COMPUTED_VALUE"""),45021.0)</f>
        <v>45021</v>
      </c>
      <c r="B835" s="16" t="str">
        <f>IFERROR(__xludf.DUMMYFUNCTION("""COMPUTED_VALUE"""),"David Sanmartin Bello")</f>
        <v>David Sanmartin Bello</v>
      </c>
      <c r="C835" s="15" t="str">
        <f>IFERROR(__xludf.DUMMYFUNCTION("""COMPUTED_VALUE"""),"BOGOTÁ")</f>
        <v>BOGOTÁ</v>
      </c>
      <c r="D835" s="15" t="str">
        <f>IFERROR(__xludf.DUMMYFUNCTION("""COMPUTED_VALUE"""),"MEDELLÍN")</f>
        <v>MEDELLÍN</v>
      </c>
      <c r="E835" s="15" t="str">
        <f>IFERROR(__xludf.DUMMYFUNCTION("""COMPUTED_VALUE"""),"Baby Chef")</f>
        <v>Baby Chef</v>
      </c>
      <c r="F835" s="17" t="str">
        <f>IFERROR(__xludf.DUMMYFUNCTION("""COMPUTED_VALUE"""),"Carrera 16a 143 38 apartamento 504 torres majui. Cedritos  / Carrera 16a 143 38 apartamento 504 torres majui / Carrera 16a 143 38 apartamento 504 torres majui. Cedritos")</f>
        <v>Carrera 16a 143 38 apartamento 504 torres majui. Cedritos  / Carrera 16a 143 38 apartamento 504 torres majui / Carrera 16a 143 38 apartamento 504 torres majui. Cedritos</v>
      </c>
      <c r="G835" s="15" t="str">
        <f>IFERROR(__xludf.DUMMYFUNCTION("""COMPUTED_VALUE"""),"Maribel Carreño meneses  Bogotà")</f>
        <v>Maribel Carreño meneses  Bogotà</v>
      </c>
      <c r="H835" s="16">
        <f>IFERROR(__xludf.DUMMYFUNCTION("""COMPUTED_VALUE"""),9448.0)</f>
        <v>9448</v>
      </c>
      <c r="I835" s="18">
        <f>IFERROR(__xludf.DUMMYFUNCTION("""COMPUTED_VALUE"""),8.0)</f>
        <v>8</v>
      </c>
      <c r="J835" s="18">
        <f>IFERROR(__xludf.DUMMYFUNCTION("""COMPUTED_VALUE"""),16.0)</f>
        <v>16</v>
      </c>
      <c r="K835" s="18">
        <f>IFERROR(__xludf.DUMMYFUNCTION("""COMPUTED_VALUE"""),20.0)</f>
        <v>20</v>
      </c>
      <c r="L835" s="17">
        <f>IFERROR(__xludf.DUMMYFUNCTION("""COMPUTED_VALUE"""),3.108644697E9)</f>
        <v>3108644697</v>
      </c>
      <c r="M835" s="17" t="str">
        <f>IFERROR(__xludf.DUMMYFUNCTION("""COMPUTED_VALUE"""),"#REF!")</f>
        <v>#REF!</v>
      </c>
      <c r="N835" s="17"/>
      <c r="O835" s="19" t="str">
        <f>IFERROR(__xludf.DUMMYFUNCTION("""COMPUTED_VALUE"""),"")</f>
        <v/>
      </c>
      <c r="P835" s="17" t="b">
        <f>IFERROR(__xludf.DUMMYFUNCTION("""COMPUTED_VALUE"""),TRUE)</f>
        <v>1</v>
      </c>
      <c r="Q835" s="20">
        <f>IFERROR(__xludf.DUMMYFUNCTION("""COMPUTED_VALUE"""),45023.47419548611)</f>
        <v>45023.4742</v>
      </c>
      <c r="R835" s="22" t="str">
        <f>IFERROR(__xludf.DUMMYFUNCTION("""COMPUTED_VALUE"""),"")</f>
        <v/>
      </c>
    </row>
    <row r="836">
      <c r="A836" s="15">
        <f>IFERROR(__xludf.DUMMYFUNCTION("""COMPUTED_VALUE"""),45021.0)</f>
        <v>45021</v>
      </c>
      <c r="B836" s="16" t="str">
        <f>IFERROR(__xludf.DUMMYFUNCTION("""COMPUTED_VALUE"""),"David Sanmartin Bello")</f>
        <v>David Sanmartin Bello</v>
      </c>
      <c r="C836" s="15" t="str">
        <f>IFERROR(__xludf.DUMMYFUNCTION("""COMPUTED_VALUE"""),"BOGOTÁ")</f>
        <v>BOGOTÁ</v>
      </c>
      <c r="D836" s="15" t="str">
        <f>IFERROR(__xludf.DUMMYFUNCTION("""COMPUTED_VALUE"""),"MEDELLÍN")</f>
        <v>MEDELLÍN</v>
      </c>
      <c r="E836" s="15" t="str">
        <f>IFERROR(__xludf.DUMMYFUNCTION("""COMPUTED_VALUE"""),"Baby Chef")</f>
        <v>Baby Chef</v>
      </c>
      <c r="F836" s="17" t="str">
        <f>IFERROR(__xludf.DUMMYFUNCTION("""COMPUTED_VALUE"""),"Carrera 7d 145 51 Mirador Del Cerro Apto 506 Mirador Del Cerro Apto 506 / Carrera 7d 145 51 Mirador Del Cerro Apto 506 Mirador Del Cerro Apto 506 / Carrera 7d 145 51 Mirador Del Cerro Apto 506 Mirador Del Cerro Apto 506")</f>
        <v>Carrera 7d 145 51 Mirador Del Cerro Apto 506 Mirador Del Cerro Apto 506 / Carrera 7d 145 51 Mirador Del Cerro Apto 506 Mirador Del Cerro Apto 506 / Carrera 7d 145 51 Mirador Del Cerro Apto 506 Mirador Del Cerro Apto 506</v>
      </c>
      <c r="G836" s="15" t="str">
        <f>IFERROR(__xludf.DUMMYFUNCTION("""COMPUTED_VALUE"""),"María Gongora")</f>
        <v>María Gongora</v>
      </c>
      <c r="H836" s="16">
        <f>IFERROR(__xludf.DUMMYFUNCTION("""COMPUTED_VALUE"""),9432.0)</f>
        <v>9432</v>
      </c>
      <c r="I836" s="18">
        <f>IFERROR(__xludf.DUMMYFUNCTION("""COMPUTED_VALUE"""),8.0)</f>
        <v>8</v>
      </c>
      <c r="J836" s="18">
        <f>IFERROR(__xludf.DUMMYFUNCTION("""COMPUTED_VALUE"""),16.0)</f>
        <v>16</v>
      </c>
      <c r="K836" s="18">
        <f>IFERROR(__xludf.DUMMYFUNCTION("""COMPUTED_VALUE"""),20.0)</f>
        <v>20</v>
      </c>
      <c r="L836" s="17">
        <f>IFERROR(__xludf.DUMMYFUNCTION("""COMPUTED_VALUE"""),3.115989774E9)</f>
        <v>3115989774</v>
      </c>
      <c r="M836" s="17" t="str">
        <f>IFERROR(__xludf.DUMMYFUNCTION("""COMPUTED_VALUE"""),"#REF!")</f>
        <v>#REF!</v>
      </c>
      <c r="N836" s="17"/>
      <c r="O836" s="19" t="str">
        <f>IFERROR(__xludf.DUMMYFUNCTION("""COMPUTED_VALUE"""),"")</f>
        <v/>
      </c>
      <c r="P836" s="17" t="b">
        <f>IFERROR(__xludf.DUMMYFUNCTION("""COMPUTED_VALUE"""),TRUE)</f>
        <v>1</v>
      </c>
      <c r="Q836" s="20">
        <f>IFERROR(__xludf.DUMMYFUNCTION("""COMPUTED_VALUE"""),45021.49828079861)</f>
        <v>45021.49828</v>
      </c>
      <c r="R836" s="22" t="str">
        <f>IFERROR(__xludf.DUMMYFUNCTION("""COMPUTED_VALUE"""),"")</f>
        <v/>
      </c>
    </row>
    <row r="837">
      <c r="A837" s="15">
        <f>IFERROR(__xludf.DUMMYFUNCTION("""COMPUTED_VALUE"""),45021.0)</f>
        <v>45021</v>
      </c>
      <c r="B837" s="16" t="str">
        <f>IFERROR(__xludf.DUMMYFUNCTION("""COMPUTED_VALUE"""),"David Sanmartin Bello")</f>
        <v>David Sanmartin Bello</v>
      </c>
      <c r="C837" s="15" t="str">
        <f>IFERROR(__xludf.DUMMYFUNCTION("""COMPUTED_VALUE"""),"CARTAGENA")</f>
        <v>CARTAGENA</v>
      </c>
      <c r="D837" s="15" t="str">
        <f>IFERROR(__xludf.DUMMYFUNCTION("""COMPUTED_VALUE"""),"BOGOTÁ")</f>
        <v>BOGOTÁ</v>
      </c>
      <c r="E837" s="15" t="str">
        <f>IFERROR(__xludf.DUMMYFUNCTION("""COMPUTED_VALUE"""),"Evamazzita")</f>
        <v>Evamazzita</v>
      </c>
      <c r="F837" s="17" t="str">
        <f>IFERROR(__xludf.DUMMYFUNCTION("""COMPUTED_VALUE"""),"brr villa grande de indias 2  / manzana 6 lote 26 / brr villa grande de indias 2")</f>
        <v>brr villa grande de indias 2  / manzana 6 lote 26 / brr villa grande de indias 2</v>
      </c>
      <c r="G837" s="15" t="str">
        <f>IFERROR(__xludf.DUMMYFUNCTION("""COMPUTED_VALUE"""),"KEYLA BARRIOS PERSIA")</f>
        <v>KEYLA BARRIOS PERSIA</v>
      </c>
      <c r="H837" s="16">
        <f>IFERROR(__xludf.DUMMYFUNCTION("""COMPUTED_VALUE"""),9492.0)</f>
        <v>9492</v>
      </c>
      <c r="I837" s="18">
        <f>IFERROR(__xludf.DUMMYFUNCTION("""COMPUTED_VALUE"""),5.0)</f>
        <v>5</v>
      </c>
      <c r="J837" s="18">
        <f>IFERROR(__xludf.DUMMYFUNCTION("""COMPUTED_VALUE"""),22.0)</f>
        <v>22</v>
      </c>
      <c r="K837" s="18">
        <f>IFERROR(__xludf.DUMMYFUNCTION("""COMPUTED_VALUE"""),13.0)</f>
        <v>13</v>
      </c>
      <c r="L837" s="17">
        <f>IFERROR(__xludf.DUMMYFUNCTION("""COMPUTED_VALUE"""),3.013020064E9)</f>
        <v>3013020064</v>
      </c>
      <c r="M837" s="17" t="str">
        <f>IFERROR(__xludf.DUMMYFUNCTION("""COMPUTED_VALUE"""),"#REF!")</f>
        <v>#REF!</v>
      </c>
      <c r="N837" s="17"/>
      <c r="O837" s="19" t="str">
        <f>IFERROR(__xludf.DUMMYFUNCTION("""COMPUTED_VALUE"""),"")</f>
        <v/>
      </c>
      <c r="P837" s="17" t="b">
        <f>IFERROR(__xludf.DUMMYFUNCTION("""COMPUTED_VALUE"""),TRUE)</f>
        <v>1</v>
      </c>
      <c r="Q837" s="20">
        <f>IFERROR(__xludf.DUMMYFUNCTION("""COMPUTED_VALUE"""),45021.5513125463)</f>
        <v>45021.55131</v>
      </c>
      <c r="R837" s="22" t="str">
        <f>IFERROR(__xludf.DUMMYFUNCTION("""COMPUTED_VALUE"""),"")</f>
        <v/>
      </c>
    </row>
    <row r="838">
      <c r="A838" s="15">
        <f>IFERROR(__xludf.DUMMYFUNCTION("""COMPUTED_VALUE"""),45021.0)</f>
        <v>45021</v>
      </c>
      <c r="B838" s="16" t="str">
        <f>IFERROR(__xludf.DUMMYFUNCTION("""COMPUTED_VALUE"""),"David Sanmartin Bello")</f>
        <v>David Sanmartin Bello</v>
      </c>
      <c r="C838" s="15" t="str">
        <f>IFERROR(__xludf.DUMMYFUNCTION("""COMPUTED_VALUE"""),"CARTAGENA")</f>
        <v>CARTAGENA</v>
      </c>
      <c r="D838" s="15" t="str">
        <f>IFERROR(__xludf.DUMMYFUNCTION("""COMPUTED_VALUE"""),"BOGOTÁ")</f>
        <v>BOGOTÁ</v>
      </c>
      <c r="E838" s="15" t="str">
        <f>IFERROR(__xludf.DUMMYFUNCTION("""COMPUTED_VALUE"""),"Ins. Alimento Vital")</f>
        <v>Ins. Alimento Vital</v>
      </c>
      <c r="F838" s="17" t="str">
        <f>IFERROR(__xludf.DUMMYFUNCTION("""COMPUTED_VALUE"""),"BARRIO EL RECREO EDIFICIO FIORENTTI 1 AP 106 / BARRIO EL RECREO EDIFICIO FIORENTTI 1 AP 106 / BARRIO EL RECREO EDIFICIO FIORENTTI 1 AP 106")</f>
        <v>BARRIO EL RECREO EDIFICIO FIORENTTI 1 AP 106 / BARRIO EL RECREO EDIFICIO FIORENTTI 1 AP 106 / BARRIO EL RECREO EDIFICIO FIORENTTI 1 AP 106</v>
      </c>
      <c r="G838" s="15" t="str">
        <f>IFERROR(__xludf.DUMMYFUNCTION("""COMPUTED_VALUE"""),"YURI PAOLA ECHEVERRY MONTOYA")</f>
        <v>YURI PAOLA ECHEVERRY MONTOYA</v>
      </c>
      <c r="H838" s="16">
        <f>IFERROR(__xludf.DUMMYFUNCTION("""COMPUTED_VALUE"""),9521.0)</f>
        <v>9521</v>
      </c>
      <c r="I838" s="18">
        <f>IFERROR(__xludf.DUMMYFUNCTION("""COMPUTED_VALUE"""),100.0)</f>
        <v>100</v>
      </c>
      <c r="J838" s="18">
        <f>IFERROR(__xludf.DUMMYFUNCTION("""COMPUTED_VALUE"""),10.0)</f>
        <v>10</v>
      </c>
      <c r="K838" s="18">
        <f>IFERROR(__xludf.DUMMYFUNCTION("""COMPUTED_VALUE"""),14.0)</f>
        <v>14</v>
      </c>
      <c r="L838" s="17">
        <f>IFERROR(__xludf.DUMMYFUNCTION("""COMPUTED_VALUE"""),3.02384128E9)</f>
        <v>3023841280</v>
      </c>
      <c r="M838" s="17" t="str">
        <f>IFERROR(__xludf.DUMMYFUNCTION("""COMPUTED_VALUE"""),"#REF!")</f>
        <v>#REF!</v>
      </c>
      <c r="N838" s="17"/>
      <c r="O838" s="19" t="str">
        <f>IFERROR(__xludf.DUMMYFUNCTION("""COMPUTED_VALUE"""),"")</f>
        <v/>
      </c>
      <c r="P838" s="17" t="b">
        <f>IFERROR(__xludf.DUMMYFUNCTION("""COMPUTED_VALUE"""),TRUE)</f>
        <v>1</v>
      </c>
      <c r="Q838" s="20">
        <f>IFERROR(__xludf.DUMMYFUNCTION("""COMPUTED_VALUE"""),45021.50105885416)</f>
        <v>45021.50106</v>
      </c>
      <c r="R838" s="22" t="str">
        <f>IFERROR(__xludf.DUMMYFUNCTION("""COMPUTED_VALUE"""),"")</f>
        <v/>
      </c>
    </row>
    <row r="839">
      <c r="A839" s="15">
        <f>IFERROR(__xludf.DUMMYFUNCTION("""COMPUTED_VALUE"""),45021.0)</f>
        <v>45021</v>
      </c>
      <c r="B839" s="16" t="str">
        <f>IFERROR(__xludf.DUMMYFUNCTION("""COMPUTED_VALUE"""),"David Sanmartin Bello")</f>
        <v>David Sanmartin Bello</v>
      </c>
      <c r="C839" s="15" t="str">
        <f>IFERROR(__xludf.DUMMYFUNCTION("""COMPUTED_VALUE"""),"CARTAGENA")</f>
        <v>CARTAGENA</v>
      </c>
      <c r="D839" s="15" t="str">
        <f>IFERROR(__xludf.DUMMYFUNCTION("""COMPUTED_VALUE"""),"BOGOTÁ")</f>
        <v>BOGOTÁ</v>
      </c>
      <c r="E839" s="15" t="str">
        <f>IFERROR(__xludf.DUMMYFUNCTION("""COMPUTED_VALUE"""),"Mochi")</f>
        <v>Mochi</v>
      </c>
      <c r="F839" s="17" t="str">
        <f>IFERROR(__xludf.DUMMYFUNCTION("""COMPUTED_VALUE"""),"0 centro comercial serrezuela / Serrezuela  / Serrezuela")</f>
        <v>0 centro comercial serrezuela / Serrezuela  / Serrezuela</v>
      </c>
      <c r="G839" s="15" t="str">
        <f>IFERROR(__xludf.DUMMYFUNCTION("""COMPUTED_VALUE"""),"Maria Camila")</f>
        <v>Maria Camila</v>
      </c>
      <c r="H839" s="16">
        <f>IFERROR(__xludf.DUMMYFUNCTION("""COMPUTED_VALUE"""),9505.0)</f>
        <v>9505</v>
      </c>
      <c r="I839" s="18">
        <f>IFERROR(__xludf.DUMMYFUNCTION("""COMPUTED_VALUE"""),165.0)</f>
        <v>165</v>
      </c>
      <c r="J839" s="18">
        <f>IFERROR(__xludf.DUMMYFUNCTION("""COMPUTED_VALUE"""),45.0)</f>
        <v>45</v>
      </c>
      <c r="K839" s="18" t="str">
        <f>IFERROR(__xludf.DUMMYFUNCTION("""COMPUTED_VALUE"""),"52.5")</f>
        <v>52.5</v>
      </c>
      <c r="L839" s="17">
        <f>IFERROR(__xludf.DUMMYFUNCTION("""COMPUTED_VALUE"""),3.116026252E9)</f>
        <v>3116026252</v>
      </c>
      <c r="M839" s="17" t="str">
        <f>IFERROR(__xludf.DUMMYFUNCTION("""COMPUTED_VALUE"""),"#REF!")</f>
        <v>#REF!</v>
      </c>
      <c r="N839" s="17"/>
      <c r="O839" s="19" t="str">
        <f>IFERROR(__xludf.DUMMYFUNCTION("""COMPUTED_VALUE"""),"")</f>
        <v/>
      </c>
      <c r="P839" s="17" t="b">
        <f>IFERROR(__xludf.DUMMYFUNCTION("""COMPUTED_VALUE"""),TRUE)</f>
        <v>1</v>
      </c>
      <c r="Q839" s="20">
        <f>IFERROR(__xludf.DUMMYFUNCTION("""COMPUTED_VALUE"""),45021.51815554398)</f>
        <v>45021.51816</v>
      </c>
      <c r="R839" s="22" t="str">
        <f>IFERROR(__xludf.DUMMYFUNCTION("""COMPUTED_VALUE"""),"")</f>
        <v/>
      </c>
    </row>
    <row r="840">
      <c r="A840" s="15">
        <f>IFERROR(__xludf.DUMMYFUNCTION("""COMPUTED_VALUE"""),45021.0)</f>
        <v>45021</v>
      </c>
      <c r="B840" s="16" t="str">
        <f>IFERROR(__xludf.DUMMYFUNCTION("""COMPUTED_VALUE"""),"David Sanmartin Bello")</f>
        <v>David Sanmartin Bello</v>
      </c>
      <c r="C840" s="15" t="str">
        <f>IFERROR(__xludf.DUMMYFUNCTION("""COMPUTED_VALUE"""),"CARTAGENA")</f>
        <v>CARTAGENA</v>
      </c>
      <c r="D840" s="15" t="str">
        <f>IFERROR(__xludf.DUMMYFUNCTION("""COMPUTED_VALUE"""),"MEDELLÍN")</f>
        <v>MEDELLÍN</v>
      </c>
      <c r="E840" s="15" t="str">
        <f>IFERROR(__xludf.DUMMYFUNCTION("""COMPUTED_VALUE"""),"Baby Chef")</f>
        <v>Baby Chef</v>
      </c>
      <c r="F840" s="17" t="str">
        <f>IFERROR(__xludf.DUMMYFUNCTION("""COMPUTED_VALUE"""),"Calle 20 no 18-70 Barrio cielo mar, edf geminis apto 1007 / Calle 20 no 18-70 Barrio cielo mar, edf geminis apto 1007 / Calle 20 no 18-70 Barrio cielo mar, edf geminis apto 1007")</f>
        <v>Calle 20 no 18-70 Barrio cielo mar, edf geminis apto 1007 / Calle 20 no 18-70 Barrio cielo mar, edf geminis apto 1007 / Calle 20 no 18-70 Barrio cielo mar, edf geminis apto 1007</v>
      </c>
      <c r="G840" s="15" t="str">
        <f>IFERROR(__xludf.DUMMYFUNCTION("""COMPUTED_VALUE"""),"Luz elena Romano Rebolledo")</f>
        <v>Luz elena Romano Rebolledo</v>
      </c>
      <c r="H840" s="16">
        <f>IFERROR(__xludf.DUMMYFUNCTION("""COMPUTED_VALUE"""),9418.0)</f>
        <v>9418</v>
      </c>
      <c r="I840" s="18">
        <f>IFERROR(__xludf.DUMMYFUNCTION("""COMPUTED_VALUE"""),8.0)</f>
        <v>8</v>
      </c>
      <c r="J840" s="18">
        <f>IFERROR(__xludf.DUMMYFUNCTION("""COMPUTED_VALUE"""),16.0)</f>
        <v>16</v>
      </c>
      <c r="K840" s="18">
        <f>IFERROR(__xludf.DUMMYFUNCTION("""COMPUTED_VALUE"""),20.0)</f>
        <v>20</v>
      </c>
      <c r="L840" s="17">
        <f>IFERROR(__xludf.DUMMYFUNCTION("""COMPUTED_VALUE"""),3.004155791E9)</f>
        <v>3004155791</v>
      </c>
      <c r="M840" s="17" t="str">
        <f>IFERROR(__xludf.DUMMYFUNCTION("""COMPUTED_VALUE"""),"#REF!")</f>
        <v>#REF!</v>
      </c>
      <c r="N840" s="17"/>
      <c r="O840" s="19" t="str">
        <f>IFERROR(__xludf.DUMMYFUNCTION("""COMPUTED_VALUE"""),"")</f>
        <v/>
      </c>
      <c r="P840" s="17" t="b">
        <f>IFERROR(__xludf.DUMMYFUNCTION("""COMPUTED_VALUE"""),TRUE)</f>
        <v>1</v>
      </c>
      <c r="Q840" s="20">
        <f>IFERROR(__xludf.DUMMYFUNCTION("""COMPUTED_VALUE"""),45021.500968796296)</f>
        <v>45021.50097</v>
      </c>
      <c r="R840" s="22" t="str">
        <f>IFERROR(__xludf.DUMMYFUNCTION("""COMPUTED_VALUE"""),"")</f>
        <v/>
      </c>
    </row>
    <row r="841">
      <c r="A841" s="15">
        <f>IFERROR(__xludf.DUMMYFUNCTION("""COMPUTED_VALUE"""),45021.0)</f>
        <v>45021</v>
      </c>
      <c r="B841" s="16" t="str">
        <f>IFERROR(__xludf.DUMMYFUNCTION("""COMPUTED_VALUE"""),"David Sanmartin Bello")</f>
        <v>David Sanmartin Bello</v>
      </c>
      <c r="C841" s="15" t="str">
        <f>IFERROR(__xludf.DUMMYFUNCTION("""COMPUTED_VALUE"""),"MANIZALES")</f>
        <v>MANIZALES</v>
      </c>
      <c r="D841" s="15" t="str">
        <f>IFERROR(__xludf.DUMMYFUNCTION("""COMPUTED_VALUE"""),"MEDELLÍN")</f>
        <v>MEDELLÍN</v>
      </c>
      <c r="E841" s="15" t="str">
        <f>IFERROR(__xludf.DUMMYFUNCTION("""COMPUTED_VALUE"""),"Baby Chef")</f>
        <v>Baby Chef</v>
      </c>
      <c r="F841" s="17" t="str">
        <f>IFERROR(__xludf.DUMMYFUNCTION("""COMPUTED_VALUE"""),"Transversal 11 c diagonal 60b 18 urbanización caminos de la cumbre  / Barrio la cumbre  / Barrio la cumbre")</f>
        <v>Transversal 11 c diagonal 60b 18 urbanización caminos de la cumbre  / Barrio la cumbre  / Barrio la cumbre</v>
      </c>
      <c r="G841" s="15" t="str">
        <f>IFERROR(__xludf.DUMMYFUNCTION("""COMPUTED_VALUE"""),"Susana Cárdenas Ospina")</f>
        <v>Susana Cárdenas Ospina</v>
      </c>
      <c r="H841" s="16">
        <f>IFERROR(__xludf.DUMMYFUNCTION("""COMPUTED_VALUE"""),9417.0)</f>
        <v>9417</v>
      </c>
      <c r="I841" s="18">
        <f>IFERROR(__xludf.DUMMYFUNCTION("""COMPUTED_VALUE"""),8.0)</f>
        <v>8</v>
      </c>
      <c r="J841" s="18">
        <f>IFERROR(__xludf.DUMMYFUNCTION("""COMPUTED_VALUE"""),16.0)</f>
        <v>16</v>
      </c>
      <c r="K841" s="18">
        <f>IFERROR(__xludf.DUMMYFUNCTION("""COMPUTED_VALUE"""),20.0)</f>
        <v>20</v>
      </c>
      <c r="L841" s="17">
        <f>IFERROR(__xludf.DUMMYFUNCTION("""COMPUTED_VALUE"""),3.146419382E9)</f>
        <v>3146419382</v>
      </c>
      <c r="M841" s="17" t="str">
        <f>IFERROR(__xludf.DUMMYFUNCTION("""COMPUTED_VALUE"""),"#REF!")</f>
        <v>#REF!</v>
      </c>
      <c r="N841" s="17"/>
      <c r="O841" s="19" t="str">
        <f>IFERROR(__xludf.DUMMYFUNCTION("""COMPUTED_VALUE"""),"")</f>
        <v/>
      </c>
      <c r="P841" s="17" t="b">
        <f>IFERROR(__xludf.DUMMYFUNCTION("""COMPUTED_VALUE"""),FALSE)</f>
        <v>0</v>
      </c>
      <c r="Q841" s="20" t="str">
        <f>IFERROR(__xludf.DUMMYFUNCTION("""COMPUTED_VALUE"""),"")</f>
        <v/>
      </c>
      <c r="R841" s="22" t="str">
        <f>IFERROR(__xludf.DUMMYFUNCTION("""COMPUTED_VALUE"""),"")</f>
        <v/>
      </c>
    </row>
    <row r="842">
      <c r="A842" s="17" t="str">
        <f>IFERROR(__xludf.DUMMYFUNCTION("""COMPUTED_VALUE"""),"")</f>
        <v/>
      </c>
      <c r="B842" s="17" t="str">
        <f>IFERROR(__xludf.DUMMYFUNCTION("""COMPUTED_VALUE"""),"")</f>
        <v/>
      </c>
      <c r="C842" s="17" t="str">
        <f>IFERROR(__xludf.DUMMYFUNCTION("""COMPUTED_VALUE"""),"")</f>
        <v/>
      </c>
      <c r="D842" s="17" t="str">
        <f>IFERROR(__xludf.DUMMYFUNCTION("""COMPUTED_VALUE"""),"")</f>
        <v/>
      </c>
      <c r="E842" s="17" t="str">
        <f>IFERROR(__xludf.DUMMYFUNCTION("""COMPUTED_VALUE"""),"")</f>
        <v/>
      </c>
      <c r="F842" s="17" t="str">
        <f>IFERROR(__xludf.DUMMYFUNCTION("""COMPUTED_VALUE"""),"")</f>
        <v/>
      </c>
      <c r="G842" s="17" t="str">
        <f>IFERROR(__xludf.DUMMYFUNCTION("""COMPUTED_VALUE"""),"")</f>
        <v/>
      </c>
      <c r="H842" s="17" t="str">
        <f>IFERROR(__xludf.DUMMYFUNCTION("""COMPUTED_VALUE"""),"")</f>
        <v/>
      </c>
      <c r="I842" s="17" t="str">
        <f>IFERROR(__xludf.DUMMYFUNCTION("""COMPUTED_VALUE"""),"")</f>
        <v/>
      </c>
      <c r="J842" s="17" t="str">
        <f>IFERROR(__xludf.DUMMYFUNCTION("""COMPUTED_VALUE"""),"")</f>
        <v/>
      </c>
      <c r="K842" s="17" t="str">
        <f>IFERROR(__xludf.DUMMYFUNCTION("""COMPUTED_VALUE"""),"")</f>
        <v/>
      </c>
      <c r="L842" s="17" t="str">
        <f>IFERROR(__xludf.DUMMYFUNCTION("""COMPUTED_VALUE"""),"")</f>
        <v/>
      </c>
      <c r="M842" s="17" t="str">
        <f>IFERROR(__xludf.DUMMYFUNCTION("""COMPUTED_VALUE"""),"")</f>
        <v/>
      </c>
      <c r="N842" s="17" t="str">
        <f>IFERROR(__xludf.DUMMYFUNCTION("""COMPUTED_VALUE"""),"")</f>
        <v/>
      </c>
      <c r="O842" s="17" t="str">
        <f>IFERROR(__xludf.DUMMYFUNCTION("""COMPUTED_VALUE"""),"")</f>
        <v/>
      </c>
      <c r="P842" s="17" t="str">
        <f>IFERROR(__xludf.DUMMYFUNCTION("""COMPUTED_VALUE"""),"")</f>
        <v/>
      </c>
      <c r="Q842" s="17" t="str">
        <f>IFERROR(__xludf.DUMMYFUNCTION("""COMPUTED_VALUE"""),"")</f>
        <v/>
      </c>
      <c r="R842" s="17" t="str">
        <f>IFERROR(__xludf.DUMMYFUNCTION("""COMPUTED_VALUE"""),"")</f>
        <v/>
      </c>
    </row>
    <row r="843">
      <c r="A843" s="15">
        <f>IFERROR(__xludf.DUMMYFUNCTION("""COMPUTED_VALUE"""),45021.0)</f>
        <v>45021</v>
      </c>
      <c r="B843" s="16" t="str">
        <f>IFERROR(__xludf.DUMMYFUNCTION("""COMPUTED_VALUE"""),"Envia")</f>
        <v>Envia</v>
      </c>
      <c r="C843" s="15" t="str">
        <f>IFERROR(__xludf.DUMMYFUNCTION("""COMPUTED_VALUE"""),"BARRANQUILLA")</f>
        <v>BARRANQUILLA</v>
      </c>
      <c r="D843" s="15" t="str">
        <f>IFERROR(__xludf.DUMMYFUNCTION("""COMPUTED_VALUE"""),"BOGOTÁ")</f>
        <v>BOGOTÁ</v>
      </c>
      <c r="E843" s="15" t="str">
        <f>IFERROR(__xludf.DUMMYFUNCTION("""COMPUTED_VALUE"""),"Evamazzita")</f>
        <v>Evamazzita</v>
      </c>
      <c r="F843" s="17" t="str">
        <f>IFERROR(__xludf.DUMMYFUNCTION("""COMPUTED_VALUE"""),"clle117#42-56  / ruiseñor 2 torre4-204  / Alameda del río")</f>
        <v>clle117#42-56  / ruiseñor 2 torre4-204  / Alameda del río</v>
      </c>
      <c r="G843" s="15" t="str">
        <f>IFERROR(__xludf.DUMMYFUNCTION("""COMPUTED_VALUE"""),"JUDITH MONTES BUELVAS")</f>
        <v>JUDITH MONTES BUELVAS</v>
      </c>
      <c r="H843" s="16">
        <f>IFERROR(__xludf.DUMMYFUNCTION("""COMPUTED_VALUE"""),9490.0)</f>
        <v>9490</v>
      </c>
      <c r="I843" s="18">
        <f>IFERROR(__xludf.DUMMYFUNCTION("""COMPUTED_VALUE"""),3.0)</f>
        <v>3</v>
      </c>
      <c r="J843" s="18">
        <f>IFERROR(__xludf.DUMMYFUNCTION("""COMPUTED_VALUE"""),20.0)</f>
        <v>20</v>
      </c>
      <c r="K843" s="18">
        <f>IFERROR(__xludf.DUMMYFUNCTION("""COMPUTED_VALUE"""),15.0)</f>
        <v>15</v>
      </c>
      <c r="L843" s="17">
        <f>IFERROR(__xludf.DUMMYFUNCTION("""COMPUTED_VALUE"""),3.225570214E9)</f>
        <v>3225570214</v>
      </c>
      <c r="M843" s="17" t="str">
        <f>IFERROR(__xludf.DUMMYFUNCTION("""COMPUTED_VALUE"""),"#REF!")</f>
        <v>#REF!</v>
      </c>
      <c r="N843" s="17"/>
      <c r="O843" s="19" t="str">
        <f>IFERROR(__xludf.DUMMYFUNCTION("""COMPUTED_VALUE"""),"")</f>
        <v/>
      </c>
      <c r="P843" s="17" t="b">
        <f>IFERROR(__xludf.DUMMYFUNCTION("""COMPUTED_VALUE"""),TRUE)</f>
        <v>1</v>
      </c>
      <c r="Q843" s="20">
        <f>IFERROR(__xludf.DUMMYFUNCTION("""COMPUTED_VALUE"""),45021.5048103125)</f>
        <v>45021.50481</v>
      </c>
      <c r="R843" s="22" t="str">
        <f>IFERROR(__xludf.DUMMYFUNCTION("""COMPUTED_VALUE"""),"")</f>
        <v/>
      </c>
    </row>
    <row r="844">
      <c r="A844" s="15">
        <f>IFERROR(__xludf.DUMMYFUNCTION("""COMPUTED_VALUE"""),45021.0)</f>
        <v>45021</v>
      </c>
      <c r="B844" s="16" t="str">
        <f>IFERROR(__xludf.DUMMYFUNCTION("""COMPUTED_VALUE"""),"Envia")</f>
        <v>Envia</v>
      </c>
      <c r="C844" s="15" t="str">
        <f>IFERROR(__xludf.DUMMYFUNCTION("""COMPUTED_VALUE"""),"BARRANQUILLA")</f>
        <v>BARRANQUILLA</v>
      </c>
      <c r="D844" s="15" t="str">
        <f>IFERROR(__xludf.DUMMYFUNCTION("""COMPUTED_VALUE"""),"BOGOTÁ")</f>
        <v>BOGOTÁ</v>
      </c>
      <c r="E844" s="15" t="str">
        <f>IFERROR(__xludf.DUMMYFUNCTION("""COMPUTED_VALUE"""),"MAI ALIMENTOS S.A.S")</f>
        <v>MAI ALIMENTOS S.A.S</v>
      </c>
      <c r="F844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844" s="15" t="str">
        <f>IFERROR(__xludf.DUMMYFUNCTION("""COMPUTED_VALUE"""),"Fithub Barranquilla")</f>
        <v>Fithub Barranquilla</v>
      </c>
      <c r="H844" s="16">
        <f>IFERROR(__xludf.DUMMYFUNCTION("""COMPUTED_VALUE"""),9346.0)</f>
        <v>9346</v>
      </c>
      <c r="I844" s="18">
        <f>IFERROR(__xludf.DUMMYFUNCTION("""COMPUTED_VALUE"""),35.0)</f>
        <v>35</v>
      </c>
      <c r="J844" s="18">
        <f>IFERROR(__xludf.DUMMYFUNCTION("""COMPUTED_VALUE"""),17.0)</f>
        <v>17</v>
      </c>
      <c r="K844" s="18">
        <f>IFERROR(__xludf.DUMMYFUNCTION("""COMPUTED_VALUE"""),13.0)</f>
        <v>13</v>
      </c>
      <c r="L844" s="17"/>
      <c r="M844" s="17" t="str">
        <f>IFERROR(__xludf.DUMMYFUNCTION("""COMPUTED_VALUE"""),"#REF!")</f>
        <v>#REF!</v>
      </c>
      <c r="N844" s="17"/>
      <c r="O844" s="19" t="str">
        <f>IFERROR(__xludf.DUMMYFUNCTION("""COMPUTED_VALUE"""),"")</f>
        <v/>
      </c>
      <c r="P844" s="17" t="b">
        <f>IFERROR(__xludf.DUMMYFUNCTION("""COMPUTED_VALUE"""),FALSE)</f>
        <v>0</v>
      </c>
      <c r="Q844" s="20" t="str">
        <f>IFERROR(__xludf.DUMMYFUNCTION("""COMPUTED_VALUE"""),"")</f>
        <v/>
      </c>
      <c r="R844" s="22" t="str">
        <f>IFERROR(__xludf.DUMMYFUNCTION("""COMPUTED_VALUE"""),"")</f>
        <v/>
      </c>
    </row>
    <row r="845">
      <c r="A845" s="15">
        <f>IFERROR(__xludf.DUMMYFUNCTION("""COMPUTED_VALUE"""),45021.0)</f>
        <v>45021</v>
      </c>
      <c r="B845" s="16" t="str">
        <f>IFERROR(__xludf.DUMMYFUNCTION("""COMPUTED_VALUE"""),"Envia")</f>
        <v>Envia</v>
      </c>
      <c r="C845" s="15" t="str">
        <f>IFERROR(__xludf.DUMMYFUNCTION("""COMPUTED_VALUE"""),"BOGOTÁ")</f>
        <v>BOGOTÁ</v>
      </c>
      <c r="D845" s="15" t="str">
        <f>IFERROR(__xludf.DUMMYFUNCTION("""COMPUTED_VALUE"""),"MEDELLÍN")</f>
        <v>MEDELLÍN</v>
      </c>
      <c r="E845" s="15" t="str">
        <f>IFERROR(__xludf.DUMMYFUNCTION("""COMPUTED_VALUE"""),"Felicidad Bakery Bogotá")</f>
        <v>Felicidad Bakery Bogotá</v>
      </c>
      <c r="F845" s="17" t="str">
        <f>IFERROR(__xludf.DUMMYFUNCTION("""COMPUTED_VALUE"""),"Calle 92 #15-62 / Local 103 / Edificio centro chico")</f>
        <v>Calle 92 #15-62 / Local 103 / Edificio centro chico</v>
      </c>
      <c r="G845" s="15" t="str">
        <f>IFERROR(__xludf.DUMMYFUNCTION("""COMPUTED_VALUE"""),"Camilo Hernandez")</f>
        <v>Camilo Hernandez</v>
      </c>
      <c r="H845" s="16">
        <f>IFERROR(__xludf.DUMMYFUNCTION("""COMPUTED_VALUE"""),9522.0)</f>
        <v>9522</v>
      </c>
      <c r="I845" s="18">
        <f>IFERROR(__xludf.DUMMYFUNCTION("""COMPUTED_VALUE"""),100.0)</f>
        <v>100</v>
      </c>
      <c r="J845" s="18">
        <f>IFERROR(__xludf.DUMMYFUNCTION("""COMPUTED_VALUE"""),10.0)</f>
        <v>10</v>
      </c>
      <c r="K845" s="18">
        <f>IFERROR(__xludf.DUMMYFUNCTION("""COMPUTED_VALUE"""),44974.0)</f>
        <v>44974</v>
      </c>
      <c r="L845" s="17">
        <f>IFERROR(__xludf.DUMMYFUNCTION("""COMPUTED_VALUE"""),3.013527163E9)</f>
        <v>3013527163</v>
      </c>
      <c r="M845" s="17" t="str">
        <f>IFERROR(__xludf.DUMMYFUNCTION("""COMPUTED_VALUE"""),"#REF!")</f>
        <v>#REF!</v>
      </c>
      <c r="N845" s="17"/>
      <c r="O845" s="19" t="str">
        <f>IFERROR(__xludf.DUMMYFUNCTION("""COMPUTED_VALUE"""),"")</f>
        <v/>
      </c>
      <c r="P845" s="17" t="b">
        <f>IFERROR(__xludf.DUMMYFUNCTION("""COMPUTED_VALUE"""),FALSE)</f>
        <v>0</v>
      </c>
      <c r="Q845" s="20" t="str">
        <f>IFERROR(__xludf.DUMMYFUNCTION("""COMPUTED_VALUE"""),"")</f>
        <v/>
      </c>
      <c r="R845" s="22" t="str">
        <f>IFERROR(__xludf.DUMMYFUNCTION("""COMPUTED_VALUE"""),"")</f>
        <v/>
      </c>
    </row>
    <row r="846">
      <c r="A846" s="15">
        <f>IFERROR(__xludf.DUMMYFUNCTION("""COMPUTED_VALUE"""),45021.0)</f>
        <v>45021</v>
      </c>
      <c r="B846" s="16" t="str">
        <f>IFERROR(__xludf.DUMMYFUNCTION("""COMPUTED_VALUE"""),"Envia")</f>
        <v>Envia</v>
      </c>
      <c r="C846" s="15" t="str">
        <f>IFERROR(__xludf.DUMMYFUNCTION("""COMPUTED_VALUE"""),"BOGOTÁ")</f>
        <v>BOGOTÁ</v>
      </c>
      <c r="D846" s="15" t="str">
        <f>IFERROR(__xludf.DUMMYFUNCTION("""COMPUTED_VALUE"""),"MEDELLÍN")</f>
        <v>MEDELLÍN</v>
      </c>
      <c r="E846" s="15" t="str">
        <f>IFERROR(__xludf.DUMMYFUNCTION("""COMPUTED_VALUE"""),"Moloso S.A.S")</f>
        <v>Moloso S.A.S</v>
      </c>
      <c r="F846" s="17" t="str">
        <f>IFERROR(__xludf.DUMMYFUNCTION("""COMPUTED_VALUE"""),"	 CRA 9 BIS 97 06 / APTO 604")</f>
        <v>	 CRA 9 BIS 97 06 / APTO 604</v>
      </c>
      <c r="G846" s="15" t="str">
        <f>IFERROR(__xludf.DUMMYFUNCTION("""COMPUTED_VALUE"""),"MARIA XIMENA GUZMAN DEL CASTILLO")</f>
        <v>MARIA XIMENA GUZMAN DEL CASTILLO</v>
      </c>
      <c r="H846" s="16">
        <f>IFERROR(__xludf.DUMMYFUNCTION("""COMPUTED_VALUE"""),9475.0)</f>
        <v>9475</v>
      </c>
      <c r="I846" s="18">
        <f>IFERROR(__xludf.DUMMYFUNCTION("""COMPUTED_VALUE"""),17.0)</f>
        <v>17</v>
      </c>
      <c r="J846" s="18">
        <f>IFERROR(__xludf.DUMMYFUNCTION("""COMPUTED_VALUE"""),15.0)</f>
        <v>15</v>
      </c>
      <c r="K846" s="18">
        <f>IFERROR(__xludf.DUMMYFUNCTION("""COMPUTED_VALUE"""),28.0)</f>
        <v>28</v>
      </c>
      <c r="L846" s="17" t="str">
        <f>IFERROR(__xludf.DUMMYFUNCTION("""COMPUTED_VALUE"""),"311 2848381")</f>
        <v>311 2848381</v>
      </c>
      <c r="M846" s="17" t="str">
        <f>IFERROR(__xludf.DUMMYFUNCTION("""COMPUTED_VALUE"""),"#REF!")</f>
        <v>#REF!</v>
      </c>
      <c r="N846" s="17"/>
      <c r="O846" s="19" t="str">
        <f>IFERROR(__xludf.DUMMYFUNCTION("""COMPUTED_VALUE"""),"")</f>
        <v/>
      </c>
      <c r="P846" s="17" t="b">
        <f>IFERROR(__xludf.DUMMYFUNCTION("""COMPUTED_VALUE"""),FALSE)</f>
        <v>0</v>
      </c>
      <c r="Q846" s="20" t="str">
        <f>IFERROR(__xludf.DUMMYFUNCTION("""COMPUTED_VALUE"""),"")</f>
        <v/>
      </c>
      <c r="R846" s="22" t="str">
        <f>IFERROR(__xludf.DUMMYFUNCTION("""COMPUTED_VALUE"""),"")</f>
        <v/>
      </c>
    </row>
    <row r="847">
      <c r="A847" s="15">
        <f>IFERROR(__xludf.DUMMYFUNCTION("""COMPUTED_VALUE"""),45021.0)</f>
        <v>45021</v>
      </c>
      <c r="B847" s="16" t="str">
        <f>IFERROR(__xludf.DUMMYFUNCTION("""COMPUTED_VALUE"""),"Envia")</f>
        <v>Envia</v>
      </c>
      <c r="C847" s="15" t="str">
        <f>IFERROR(__xludf.DUMMYFUNCTION("""COMPUTED_VALUE"""),"BOGOTÁ")</f>
        <v>BOGOTÁ</v>
      </c>
      <c r="D847" s="15" t="str">
        <f>IFERROR(__xludf.DUMMYFUNCTION("""COMPUTED_VALUE"""),"MEDELLÍN")</f>
        <v>MEDELLÍN</v>
      </c>
      <c r="E847" s="15" t="str">
        <f>IFERROR(__xludf.DUMMYFUNCTION("""COMPUTED_VALUE"""),"Moloso S.A.S")</f>
        <v>Moloso S.A.S</v>
      </c>
      <c r="F847" s="17" t="str">
        <f>IFERROR(__xludf.DUMMYFUNCTION("""COMPUTED_VALUE"""),"ED MIRAVALLE APT 301")</f>
        <v>ED MIRAVALLE APT 301</v>
      </c>
      <c r="G847" s="15" t="str">
        <f>IFERROR(__xludf.DUMMYFUNCTION("""COMPUTED_VALUE"""),"MARTHA GONZALEZ")</f>
        <v>MARTHA GONZALEZ</v>
      </c>
      <c r="H847" s="16">
        <f>IFERROR(__xludf.DUMMYFUNCTION("""COMPUTED_VALUE"""),9482.0)</f>
        <v>9482</v>
      </c>
      <c r="I847" s="18">
        <f>IFERROR(__xludf.DUMMYFUNCTION("""COMPUTED_VALUE"""),17.0)</f>
        <v>17</v>
      </c>
      <c r="J847" s="18">
        <f>IFERROR(__xludf.DUMMYFUNCTION("""COMPUTED_VALUE"""),15.0)</f>
        <v>15</v>
      </c>
      <c r="K847" s="18">
        <f>IFERROR(__xludf.DUMMYFUNCTION("""COMPUTED_VALUE"""),28.0)</f>
        <v>28</v>
      </c>
      <c r="L847" s="17" t="str">
        <f>IFERROR(__xludf.DUMMYFUNCTION("""COMPUTED_VALUE"""),"310 4242000")</f>
        <v>310 4242000</v>
      </c>
      <c r="M847" s="17" t="str">
        <f>IFERROR(__xludf.DUMMYFUNCTION("""COMPUTED_VALUE"""),"#REF!")</f>
        <v>#REF!</v>
      </c>
      <c r="N847" s="17"/>
      <c r="O847" s="19" t="str">
        <f>IFERROR(__xludf.DUMMYFUNCTION("""COMPUTED_VALUE"""),"")</f>
        <v/>
      </c>
      <c r="P847" s="17" t="b">
        <f>IFERROR(__xludf.DUMMYFUNCTION("""COMPUTED_VALUE"""),FALSE)</f>
        <v>0</v>
      </c>
      <c r="Q847" s="20" t="str">
        <f>IFERROR(__xludf.DUMMYFUNCTION("""COMPUTED_VALUE"""),"")</f>
        <v/>
      </c>
      <c r="R847" s="22" t="str">
        <f>IFERROR(__xludf.DUMMYFUNCTION("""COMPUTED_VALUE"""),"")</f>
        <v/>
      </c>
    </row>
    <row r="848">
      <c r="A848" s="15">
        <f>IFERROR(__xludf.DUMMYFUNCTION("""COMPUTED_VALUE"""),45021.0)</f>
        <v>45021</v>
      </c>
      <c r="B848" s="16" t="str">
        <f>IFERROR(__xludf.DUMMYFUNCTION("""COMPUTED_VALUE"""),"Envia")</f>
        <v>Envia</v>
      </c>
      <c r="C848" s="15" t="str">
        <f>IFERROR(__xludf.DUMMYFUNCTION("""COMPUTED_VALUE"""),"BOGOTÁ")</f>
        <v>BOGOTÁ</v>
      </c>
      <c r="D848" s="15" t="str">
        <f>IFERROR(__xludf.DUMMYFUNCTION("""COMPUTED_VALUE"""),"MEDELLÍN")</f>
        <v>MEDELLÍN</v>
      </c>
      <c r="E848" s="15" t="str">
        <f>IFERROR(__xludf.DUMMYFUNCTION("""COMPUTED_VALUE"""),"Rambla")</f>
        <v>Rambla</v>
      </c>
      <c r="F848" s="17" t="str">
        <f>IFERROR(__xludf.DUMMYFUNCTION("""COMPUTED_VALUE"""),"calle 136 A # 73 A 69, casa 5 / na / na")</f>
        <v>calle 136 A # 73 A 69, casa 5 / na / na</v>
      </c>
      <c r="G848" s="15" t="str">
        <f>IFERROR(__xludf.DUMMYFUNCTION("""COMPUTED_VALUE"""),"Margehrita  Omarini")</f>
        <v>Margehrita  Omarini</v>
      </c>
      <c r="H848" s="16">
        <f>IFERROR(__xludf.DUMMYFUNCTION("""COMPUTED_VALUE"""),9440.0)</f>
        <v>9440</v>
      </c>
      <c r="I848" s="18">
        <f>IFERROR(__xludf.DUMMYFUNCTION("""COMPUTED_VALUE"""),21.0)</f>
        <v>21</v>
      </c>
      <c r="J848" s="18">
        <f>IFERROR(__xludf.DUMMYFUNCTION("""COMPUTED_VALUE"""),25.0)</f>
        <v>25</v>
      </c>
      <c r="K848" s="18">
        <f>IFERROR(__xludf.DUMMYFUNCTION("""COMPUTED_VALUE"""),28.0)</f>
        <v>28</v>
      </c>
      <c r="L848" s="17">
        <f>IFERROR(__xludf.DUMMYFUNCTION("""COMPUTED_VALUE"""),3.164684094E9)</f>
        <v>3164684094</v>
      </c>
      <c r="M848" s="17" t="str">
        <f>IFERROR(__xludf.DUMMYFUNCTION("""COMPUTED_VALUE"""),"#REF!")</f>
        <v>#REF!</v>
      </c>
      <c r="N848" s="17"/>
      <c r="O848" s="19" t="str">
        <f>IFERROR(__xludf.DUMMYFUNCTION("""COMPUTED_VALUE"""),"")</f>
        <v/>
      </c>
      <c r="P848" s="17" t="b">
        <f>IFERROR(__xludf.DUMMYFUNCTION("""COMPUTED_VALUE"""),TRUE)</f>
        <v>1</v>
      </c>
      <c r="Q848" s="20">
        <f>IFERROR(__xludf.DUMMYFUNCTION("""COMPUTED_VALUE"""),45021.50060100695)</f>
        <v>45021.5006</v>
      </c>
      <c r="R848" s="22" t="str">
        <f>IFERROR(__xludf.DUMMYFUNCTION("""COMPUTED_VALUE"""),"")</f>
        <v/>
      </c>
    </row>
    <row r="849">
      <c r="A849" s="15">
        <f>IFERROR(__xludf.DUMMYFUNCTION("""COMPUTED_VALUE"""),45021.0)</f>
        <v>45021</v>
      </c>
      <c r="B849" s="16" t="str">
        <f>IFERROR(__xludf.DUMMYFUNCTION("""COMPUTED_VALUE"""),"Envia")</f>
        <v>Envia</v>
      </c>
      <c r="C849" s="15" t="str">
        <f>IFERROR(__xludf.DUMMYFUNCTION("""COMPUTED_VALUE"""),"BOGOTÁ")</f>
        <v>BOGOTÁ</v>
      </c>
      <c r="D849" s="15" t="str">
        <f>IFERROR(__xludf.DUMMYFUNCTION("""COMPUTED_VALUE"""),"MEDELLÍN")</f>
        <v>MEDELLÍN</v>
      </c>
      <c r="E849" s="15" t="str">
        <f>IFERROR(__xludf.DUMMYFUNCTION("""COMPUTED_VALUE"""),"Rambla")</f>
        <v>Rambla</v>
      </c>
      <c r="F849" s="17" t="str">
        <f>IFERROR(__xludf.DUMMYFUNCTION("""COMPUTED_VALUE"""),"calle 95 #71-11 bloque 1 apart 801 parque central pontevedra 3 / na / na")</f>
        <v>calle 95 #71-11 bloque 1 apart 801 parque central pontevedra 3 / na / na</v>
      </c>
      <c r="G849" s="15" t="str">
        <f>IFERROR(__xludf.DUMMYFUNCTION("""COMPUTED_VALUE"""),"marcela delgado")</f>
        <v>marcela delgado</v>
      </c>
      <c r="H849" s="16">
        <f>IFERROR(__xludf.DUMMYFUNCTION("""COMPUTED_VALUE"""),9446.0)</f>
        <v>9446</v>
      </c>
      <c r="I849" s="18">
        <f>IFERROR(__xludf.DUMMYFUNCTION("""COMPUTED_VALUE"""),21.0)</f>
        <v>21</v>
      </c>
      <c r="J849" s="18">
        <f>IFERROR(__xludf.DUMMYFUNCTION("""COMPUTED_VALUE"""),25.0)</f>
        <v>25</v>
      </c>
      <c r="K849" s="18">
        <f>IFERROR(__xludf.DUMMYFUNCTION("""COMPUTED_VALUE"""),28.0)</f>
        <v>28</v>
      </c>
      <c r="L849" s="17">
        <f>IFERROR(__xludf.DUMMYFUNCTION("""COMPUTED_VALUE"""),3.16691461E9)</f>
        <v>3166914610</v>
      </c>
      <c r="M849" s="17" t="str">
        <f>IFERROR(__xludf.DUMMYFUNCTION("""COMPUTED_VALUE"""),"#REF!")</f>
        <v>#REF!</v>
      </c>
      <c r="N849" s="17"/>
      <c r="O849" s="19" t="str">
        <f>IFERROR(__xludf.DUMMYFUNCTION("""COMPUTED_VALUE"""),"")</f>
        <v/>
      </c>
      <c r="P849" s="17" t="b">
        <f>IFERROR(__xludf.DUMMYFUNCTION("""COMPUTED_VALUE"""),TRUE)</f>
        <v>1</v>
      </c>
      <c r="Q849" s="20">
        <f>IFERROR(__xludf.DUMMYFUNCTION("""COMPUTED_VALUE"""),45021.501176562495)</f>
        <v>45021.50118</v>
      </c>
      <c r="R849" s="22" t="str">
        <f>IFERROR(__xludf.DUMMYFUNCTION("""COMPUTED_VALUE"""),"")</f>
        <v/>
      </c>
    </row>
    <row r="850">
      <c r="A850" s="15">
        <f>IFERROR(__xludf.DUMMYFUNCTION("""COMPUTED_VALUE"""),45021.0)</f>
        <v>45021</v>
      </c>
      <c r="B850" s="16" t="str">
        <f>IFERROR(__xludf.DUMMYFUNCTION("""COMPUTED_VALUE"""),"Envia")</f>
        <v>Envia</v>
      </c>
      <c r="C850" s="15" t="str">
        <f>IFERROR(__xludf.DUMMYFUNCTION("""COMPUTED_VALUE"""),"BOGOTÁ")</f>
        <v>BOGOTÁ</v>
      </c>
      <c r="D850" s="15" t="str">
        <f>IFERROR(__xludf.DUMMYFUNCTION("""COMPUTED_VALUE"""),"MEDELLÍN")</f>
        <v>MEDELLÍN</v>
      </c>
      <c r="E850" s="15" t="str">
        <f>IFERROR(__xludf.DUMMYFUNCTION("""COMPUTED_VALUE"""),"Rambla")</f>
        <v>Rambla</v>
      </c>
      <c r="F850" s="17" t="str">
        <f>IFERROR(__xludf.DUMMYFUNCTION("""COMPUTED_VALUE"""),"Cl. 93a #11-46, Barrio Chicó / na / na")</f>
        <v>Cl. 93a #11-46, Barrio Chicó / na / na</v>
      </c>
      <c r="G850" s="15" t="str">
        <f>IFERROR(__xludf.DUMMYFUNCTION("""COMPUTED_VALUE"""),"Fit Hub Bogota")</f>
        <v>Fit Hub Bogota</v>
      </c>
      <c r="H850" s="16">
        <f>IFERROR(__xludf.DUMMYFUNCTION("""COMPUTED_VALUE"""),9438.0)</f>
        <v>9438</v>
      </c>
      <c r="I850" s="18">
        <f>IFERROR(__xludf.DUMMYFUNCTION("""COMPUTED_VALUE"""),21.0)</f>
        <v>21</v>
      </c>
      <c r="J850" s="18">
        <f>IFERROR(__xludf.DUMMYFUNCTION("""COMPUTED_VALUE"""),25.0)</f>
        <v>25</v>
      </c>
      <c r="K850" s="18">
        <f>IFERROR(__xludf.DUMMYFUNCTION("""COMPUTED_VALUE"""),28.0)</f>
        <v>28</v>
      </c>
      <c r="L850" s="17">
        <f>IFERROR(__xludf.DUMMYFUNCTION("""COMPUTED_VALUE"""),3.015447307E9)</f>
        <v>3015447307</v>
      </c>
      <c r="M850" s="17" t="str">
        <f>IFERROR(__xludf.DUMMYFUNCTION("""COMPUTED_VALUE"""),"#REF!")</f>
        <v>#REF!</v>
      </c>
      <c r="N850" s="17"/>
      <c r="O850" s="19" t="str">
        <f>IFERROR(__xludf.DUMMYFUNCTION("""COMPUTED_VALUE"""),"")</f>
        <v/>
      </c>
      <c r="P850" s="17" t="b">
        <f>IFERROR(__xludf.DUMMYFUNCTION("""COMPUTED_VALUE"""),FALSE)</f>
        <v>0</v>
      </c>
      <c r="Q850" s="20" t="str">
        <f>IFERROR(__xludf.DUMMYFUNCTION("""COMPUTED_VALUE"""),"")</f>
        <v/>
      </c>
      <c r="R850" s="22" t="str">
        <f>IFERROR(__xludf.DUMMYFUNCTION("""COMPUTED_VALUE"""),"")</f>
        <v/>
      </c>
    </row>
    <row r="851">
      <c r="A851" s="15">
        <f>IFERROR(__xludf.DUMMYFUNCTION("""COMPUTED_VALUE"""),45021.0)</f>
        <v>45021</v>
      </c>
      <c r="B851" s="16" t="str">
        <f>IFERROR(__xludf.DUMMYFUNCTION("""COMPUTED_VALUE"""),"Envia")</f>
        <v>Envia</v>
      </c>
      <c r="C851" s="15" t="str">
        <f>IFERROR(__xludf.DUMMYFUNCTION("""COMPUTED_VALUE"""),"BOGOTÁ")</f>
        <v>BOGOTÁ</v>
      </c>
      <c r="D851" s="15" t="str">
        <f>IFERROR(__xludf.DUMMYFUNCTION("""COMPUTED_VALUE"""),"MEDELLÍN")</f>
        <v>MEDELLÍN</v>
      </c>
      <c r="E851" s="15" t="str">
        <f>IFERROR(__xludf.DUMMYFUNCTION("""COMPUTED_VALUE"""),"TOLEDALES S.A.S")</f>
        <v>TOLEDALES S.A.S</v>
      </c>
      <c r="F851" s="17" t="str">
        <f>IFERROR(__xludf.DUMMYFUNCTION("""COMPUTED_VALUE"""),"CARRERA 11b 135c 59")</f>
        <v>CARRERA 11b 135c 59</v>
      </c>
      <c r="G851" s="15" t="str">
        <f>IFERROR(__xludf.DUMMYFUNCTION("""COMPUTED_VALUE"""),"Roland Rojas")</f>
        <v>Roland Rojas</v>
      </c>
      <c r="H851" s="16">
        <f>IFERROR(__xludf.DUMMYFUNCTION("""COMPUTED_VALUE"""),9514.0)</f>
        <v>9514</v>
      </c>
      <c r="I851" s="18">
        <f>IFERROR(__xludf.DUMMYFUNCTION("""COMPUTED_VALUE"""),1.0)</f>
        <v>1</v>
      </c>
      <c r="J851" s="18">
        <f>IFERROR(__xludf.DUMMYFUNCTION("""COMPUTED_VALUE"""),24.0)</f>
        <v>24</v>
      </c>
      <c r="K851" s="18">
        <f>IFERROR(__xludf.DUMMYFUNCTION("""COMPUTED_VALUE"""),27.0)</f>
        <v>27</v>
      </c>
      <c r="L851" s="17">
        <f>IFERROR(__xludf.DUMMYFUNCTION("""COMPUTED_VALUE"""),3.103215206E9)</f>
        <v>3103215206</v>
      </c>
      <c r="M851" s="17" t="str">
        <f>IFERROR(__xludf.DUMMYFUNCTION("""COMPUTED_VALUE"""),"#REF!")</f>
        <v>#REF!</v>
      </c>
      <c r="N851" s="17"/>
      <c r="O851" s="19" t="str">
        <f>IFERROR(__xludf.DUMMYFUNCTION("""COMPUTED_VALUE"""),"")</f>
        <v/>
      </c>
      <c r="P851" s="17" t="b">
        <f>IFERROR(__xludf.DUMMYFUNCTION("""COMPUTED_VALUE"""),TRUE)</f>
        <v>1</v>
      </c>
      <c r="Q851" s="20">
        <f>IFERROR(__xludf.DUMMYFUNCTION("""COMPUTED_VALUE"""),45021.50489677083)</f>
        <v>45021.5049</v>
      </c>
      <c r="R851" s="22" t="str">
        <f>IFERROR(__xludf.DUMMYFUNCTION("""COMPUTED_VALUE"""),"")</f>
        <v/>
      </c>
    </row>
    <row r="852">
      <c r="A852" s="15">
        <f>IFERROR(__xludf.DUMMYFUNCTION("""COMPUTED_VALUE"""),45021.0)</f>
        <v>45021</v>
      </c>
      <c r="B852" s="16" t="str">
        <f>IFERROR(__xludf.DUMMYFUNCTION("""COMPUTED_VALUE"""),"Envia")</f>
        <v>Envia</v>
      </c>
      <c r="C852" s="15" t="str">
        <f>IFERROR(__xludf.DUMMYFUNCTION("""COMPUTED_VALUE"""),"BOGOTÁ")</f>
        <v>BOGOTÁ</v>
      </c>
      <c r="D852" s="15" t="str">
        <f>IFERROR(__xludf.DUMMYFUNCTION("""COMPUTED_VALUE"""),"MEDELLÍN")</f>
        <v>MEDELLÍN</v>
      </c>
      <c r="E852" s="15" t="str">
        <f>IFERROR(__xludf.DUMMYFUNCTION("""COMPUTED_VALUE"""),"TOLEDALES S.A.S")</f>
        <v>TOLEDALES S.A.S</v>
      </c>
      <c r="F852" s="17" t="str">
        <f>IFERROR(__xludf.DUMMYFUNCTION("""COMPUTED_VALUE"""),"CARRERA 21 # 134a-33")</f>
        <v>CARRERA 21 # 134a-33</v>
      </c>
      <c r="G852" s="15" t="str">
        <f>IFERROR(__xludf.DUMMYFUNCTION("""COMPUTED_VALUE"""),"Natalia sofia Unda")</f>
        <v>Natalia sofia Unda</v>
      </c>
      <c r="H852" s="16">
        <f>IFERROR(__xludf.DUMMYFUNCTION("""COMPUTED_VALUE"""),9511.0)</f>
        <v>9511</v>
      </c>
      <c r="I852" s="18">
        <f>IFERROR(__xludf.DUMMYFUNCTION("""COMPUTED_VALUE"""),1.0)</f>
        <v>1</v>
      </c>
      <c r="J852" s="18">
        <f>IFERROR(__xludf.DUMMYFUNCTION("""COMPUTED_VALUE"""),24.0)</f>
        <v>24</v>
      </c>
      <c r="K852" s="18">
        <f>IFERROR(__xludf.DUMMYFUNCTION("""COMPUTED_VALUE"""),27.0)</f>
        <v>27</v>
      </c>
      <c r="L852" s="17">
        <f>IFERROR(__xludf.DUMMYFUNCTION("""COMPUTED_VALUE"""),3.002097208E9)</f>
        <v>3002097208</v>
      </c>
      <c r="M852" s="17" t="str">
        <f>IFERROR(__xludf.DUMMYFUNCTION("""COMPUTED_VALUE"""),"#REF!")</f>
        <v>#REF!</v>
      </c>
      <c r="N852" s="17"/>
      <c r="O852" s="19" t="str">
        <f>IFERROR(__xludf.DUMMYFUNCTION("""COMPUTED_VALUE"""),"")</f>
        <v/>
      </c>
      <c r="P852" s="17" t="b">
        <f>IFERROR(__xludf.DUMMYFUNCTION("""COMPUTED_VALUE"""),FALSE)</f>
        <v>0</v>
      </c>
      <c r="Q852" s="20" t="str">
        <f>IFERROR(__xludf.DUMMYFUNCTION("""COMPUTED_VALUE"""),"")</f>
        <v/>
      </c>
      <c r="R852" s="22" t="str">
        <f>IFERROR(__xludf.DUMMYFUNCTION("""COMPUTED_VALUE"""),"")</f>
        <v/>
      </c>
    </row>
    <row r="853">
      <c r="A853" s="15">
        <f>IFERROR(__xludf.DUMMYFUNCTION("""COMPUTED_VALUE"""),45021.0)</f>
        <v>45021</v>
      </c>
      <c r="B853" s="16" t="str">
        <f>IFERROR(__xludf.DUMMYFUNCTION("""COMPUTED_VALUE"""),"Envia")</f>
        <v>Envia</v>
      </c>
      <c r="C853" s="15" t="str">
        <f>IFERROR(__xludf.DUMMYFUNCTION("""COMPUTED_VALUE"""),"BUCARAMANGA")</f>
        <v>BUCARAMANGA</v>
      </c>
      <c r="D853" s="15" t="str">
        <f>IFERROR(__xludf.DUMMYFUNCTION("""COMPUTED_VALUE"""),"BOGOTÁ")</f>
        <v>BOGOTÁ</v>
      </c>
      <c r="E853" s="15" t="str">
        <f>IFERROR(__xludf.DUMMYFUNCTION("""COMPUTED_VALUE"""),"Lunchy Kids")</f>
        <v>Lunchy Kids</v>
      </c>
      <c r="F853" s="17" t="str">
        <f>IFERROR(__xludf.DUMMYFUNCTION("""COMPUTED_VALUE"""),"Calle 74a 49-62   / palmeras del cacique 2 Casa 58 / Bucaramanga")</f>
        <v>Calle 74a 49-62   / palmeras del cacique 2 Casa 58 / Bucaramanga</v>
      </c>
      <c r="G853" s="15" t="str">
        <f>IFERROR(__xludf.DUMMYFUNCTION("""COMPUTED_VALUE"""),"Elizabeth Serrano")</f>
        <v>Elizabeth Serrano</v>
      </c>
      <c r="H853" s="16">
        <f>IFERROR(__xludf.DUMMYFUNCTION("""COMPUTED_VALUE"""),9487.0)</f>
        <v>9487</v>
      </c>
      <c r="I853" s="18">
        <f>IFERROR(__xludf.DUMMYFUNCTION("""COMPUTED_VALUE"""),22.0)</f>
        <v>22</v>
      </c>
      <c r="J853" s="18">
        <f>IFERROR(__xludf.DUMMYFUNCTION("""COMPUTED_VALUE"""),30.0)</f>
        <v>30</v>
      </c>
      <c r="K853" s="18">
        <f>IFERROR(__xludf.DUMMYFUNCTION("""COMPUTED_VALUE"""),8.0)</f>
        <v>8</v>
      </c>
      <c r="L853" s="17">
        <f>IFERROR(__xludf.DUMMYFUNCTION("""COMPUTED_VALUE"""),3.162578855E9)</f>
        <v>3162578855</v>
      </c>
      <c r="M853" s="17" t="str">
        <f>IFERROR(__xludf.DUMMYFUNCTION("""COMPUTED_VALUE"""),"#REF!")</f>
        <v>#REF!</v>
      </c>
      <c r="N853" s="17"/>
      <c r="O853" s="19" t="str">
        <f>IFERROR(__xludf.DUMMYFUNCTION("""COMPUTED_VALUE"""),"")</f>
        <v/>
      </c>
      <c r="P853" s="17" t="b">
        <f>IFERROR(__xludf.DUMMYFUNCTION("""COMPUTED_VALUE"""),FALSE)</f>
        <v>0</v>
      </c>
      <c r="Q853" s="20" t="str">
        <f>IFERROR(__xludf.DUMMYFUNCTION("""COMPUTED_VALUE"""),"")</f>
        <v/>
      </c>
      <c r="R853" s="22" t="str">
        <f>IFERROR(__xludf.DUMMYFUNCTION("""COMPUTED_VALUE"""),"")</f>
        <v/>
      </c>
    </row>
    <row r="854">
      <c r="A854" s="15">
        <f>IFERROR(__xludf.DUMMYFUNCTION("""COMPUTED_VALUE"""),45021.0)</f>
        <v>45021</v>
      </c>
      <c r="B854" s="16" t="str">
        <f>IFERROR(__xludf.DUMMYFUNCTION("""COMPUTED_VALUE"""),"Envia")</f>
        <v>Envia</v>
      </c>
      <c r="C854" s="15" t="str">
        <f>IFERROR(__xludf.DUMMYFUNCTION("""COMPUTED_VALUE"""),"BUCARAMANGA")</f>
        <v>BUCARAMANGA</v>
      </c>
      <c r="D854" s="15" t="str">
        <f>IFERROR(__xludf.DUMMYFUNCTION("""COMPUTED_VALUE"""),"BOGOTÁ")</f>
        <v>BOGOTÁ</v>
      </c>
      <c r="E854" s="15" t="str">
        <f>IFERROR(__xludf.DUMMYFUNCTION("""COMPUTED_VALUE"""),"Pan de Waffle")</f>
        <v>Pan de Waffle</v>
      </c>
      <c r="F854" s="17" t="str">
        <f>IFERROR(__xludf.DUMMYFUNCTION("""COMPUTED_VALUE"""),"Carrera 35a # 54 - 113 / Carrera 35a # 54 - 113 / Carrera 35a # 54 - 113")</f>
        <v>Carrera 35a # 54 - 113 / Carrera 35a # 54 - 113 / Carrera 35a # 54 - 113</v>
      </c>
      <c r="G854" s="15" t="str">
        <f>IFERROR(__xludf.DUMMYFUNCTION("""COMPUTED_VALUE"""),"FOODOLOGY")</f>
        <v>FOODOLOGY</v>
      </c>
      <c r="H854" s="16">
        <f>IFERROR(__xludf.DUMMYFUNCTION("""COMPUTED_VALUE"""),9465.0)</f>
        <v>9465</v>
      </c>
      <c r="I854" s="18">
        <f>IFERROR(__xludf.DUMMYFUNCTION("""COMPUTED_VALUE"""),40.0)</f>
        <v>40</v>
      </c>
      <c r="J854" s="18">
        <f>IFERROR(__xludf.DUMMYFUNCTION("""COMPUTED_VALUE"""),20.0)</f>
        <v>20</v>
      </c>
      <c r="K854" s="18">
        <f>IFERROR(__xludf.DUMMYFUNCTION("""COMPUTED_VALUE"""),30.0)</f>
        <v>30</v>
      </c>
      <c r="L854" s="17">
        <f>IFERROR(__xludf.DUMMYFUNCTION("""COMPUTED_VALUE"""),3.017001909E9)</f>
        <v>3017001909</v>
      </c>
      <c r="M854" s="17" t="str">
        <f>IFERROR(__xludf.DUMMYFUNCTION("""COMPUTED_VALUE"""),"#REF!")</f>
        <v>#REF!</v>
      </c>
      <c r="N854" s="17"/>
      <c r="O854" s="19" t="str">
        <f>IFERROR(__xludf.DUMMYFUNCTION("""COMPUTED_VALUE"""),"")</f>
        <v/>
      </c>
      <c r="P854" s="17" t="b">
        <f>IFERROR(__xludf.DUMMYFUNCTION("""COMPUTED_VALUE"""),FALSE)</f>
        <v>0</v>
      </c>
      <c r="Q854" s="20" t="str">
        <f>IFERROR(__xludf.DUMMYFUNCTION("""COMPUTED_VALUE"""),"")</f>
        <v/>
      </c>
      <c r="R854" s="22" t="str">
        <f>IFERROR(__xludf.DUMMYFUNCTION("""COMPUTED_VALUE"""),"")</f>
        <v/>
      </c>
    </row>
    <row r="855">
      <c r="A855" s="15">
        <f>IFERROR(__xludf.DUMMYFUNCTION("""COMPUTED_VALUE"""),45021.0)</f>
        <v>45021</v>
      </c>
      <c r="B855" s="16" t="str">
        <f>IFERROR(__xludf.DUMMYFUNCTION("""COMPUTED_VALUE"""),"Envia")</f>
        <v>Envia</v>
      </c>
      <c r="C855" s="15" t="str">
        <f>IFERROR(__xludf.DUMMYFUNCTION("""COMPUTED_VALUE"""),"CALI")</f>
        <v>CALI</v>
      </c>
      <c r="D855" s="15" t="str">
        <f>IFERROR(__xludf.DUMMYFUNCTION("""COMPUTED_VALUE"""),"BOGOTÁ")</f>
        <v>BOGOTÁ</v>
      </c>
      <c r="E855" s="15" t="str">
        <f>IFERROR(__xludf.DUMMYFUNCTION("""COMPUTED_VALUE"""),"Evamazzita")</f>
        <v>Evamazzita</v>
      </c>
      <c r="F855" s="17" t="str">
        <f>IFERROR(__xludf.DUMMYFUNCTION("""COMPUTED_VALUE"""),"Calle 13 f # 52 45  / edificio milazzo   / Primero de mayo")</f>
        <v>Calle 13 f # 52 45  / edificio milazzo   / Primero de mayo</v>
      </c>
      <c r="G855" s="15" t="str">
        <f>IFERROR(__xludf.DUMMYFUNCTION("""COMPUTED_VALUE"""),"MARIA DEL SOL RUIZ")</f>
        <v>MARIA DEL SOL RUIZ</v>
      </c>
      <c r="H855" s="16">
        <f>IFERROR(__xludf.DUMMYFUNCTION("""COMPUTED_VALUE"""),9508.0)</f>
        <v>9508</v>
      </c>
      <c r="I855" s="18">
        <f>IFERROR(__xludf.DUMMYFUNCTION("""COMPUTED_VALUE"""),3.0)</f>
        <v>3</v>
      </c>
      <c r="J855" s="18">
        <f>IFERROR(__xludf.DUMMYFUNCTION("""COMPUTED_VALUE"""),20.0)</f>
        <v>20</v>
      </c>
      <c r="K855" s="18">
        <f>IFERROR(__xludf.DUMMYFUNCTION("""COMPUTED_VALUE"""),15.0)</f>
        <v>15</v>
      </c>
      <c r="L855" s="17">
        <f>IFERROR(__xludf.DUMMYFUNCTION("""COMPUTED_VALUE"""),3.012075817E9)</f>
        <v>3012075817</v>
      </c>
      <c r="M855" s="17" t="str">
        <f>IFERROR(__xludf.DUMMYFUNCTION("""COMPUTED_VALUE"""),"#REF!")</f>
        <v>#REF!</v>
      </c>
      <c r="N855" s="17"/>
      <c r="O855" s="19" t="str">
        <f>IFERROR(__xludf.DUMMYFUNCTION("""COMPUTED_VALUE"""),"")</f>
        <v/>
      </c>
      <c r="P855" s="17" t="b">
        <f>IFERROR(__xludf.DUMMYFUNCTION("""COMPUTED_VALUE"""),FALSE)</f>
        <v>0</v>
      </c>
      <c r="Q855" s="20" t="str">
        <f>IFERROR(__xludf.DUMMYFUNCTION("""COMPUTED_VALUE"""),"")</f>
        <v/>
      </c>
      <c r="R855" s="22" t="str">
        <f>IFERROR(__xludf.DUMMYFUNCTION("""COMPUTED_VALUE"""),"")</f>
        <v/>
      </c>
    </row>
    <row r="856">
      <c r="A856" s="15">
        <f>IFERROR(__xludf.DUMMYFUNCTION("""COMPUTED_VALUE"""),45021.0)</f>
        <v>45021</v>
      </c>
      <c r="B856" s="16" t="str">
        <f>IFERROR(__xludf.DUMMYFUNCTION("""COMPUTED_VALUE"""),"Envia")</f>
        <v>Envia</v>
      </c>
      <c r="C856" s="15" t="str">
        <f>IFERROR(__xludf.DUMMYFUNCTION("""COMPUTED_VALUE"""),"CALI")</f>
        <v>CALI</v>
      </c>
      <c r="D856" s="15" t="str">
        <f>IFERROR(__xludf.DUMMYFUNCTION("""COMPUTED_VALUE"""),"BOGOTÁ")</f>
        <v>BOGOTÁ</v>
      </c>
      <c r="E856" s="15" t="str">
        <f>IFERROR(__xludf.DUMMYFUNCTION("""COMPUTED_VALUE"""),"Evamazzita")</f>
        <v>Evamazzita</v>
      </c>
      <c r="F856" s="17" t="str">
        <f>IFERROR(__xludf.DUMMYFUNCTION("""COMPUTED_VALUE"""),"Cr 7 cll 14 esquina  /  local 512 / centro comercial Elite")</f>
        <v>Cr 7 cll 14 esquina  /  local 512 / centro comercial Elite</v>
      </c>
      <c r="G856" s="15" t="str">
        <f>IFERROR(__xludf.DUMMYFUNCTION("""COMPUTED_VALUE"""),"JESSICA GONZALEZ")</f>
        <v>JESSICA GONZALEZ</v>
      </c>
      <c r="H856" s="16">
        <f>IFERROR(__xludf.DUMMYFUNCTION("""COMPUTED_VALUE"""),9509.0)</f>
        <v>9509</v>
      </c>
      <c r="I856" s="18">
        <f>IFERROR(__xludf.DUMMYFUNCTION("""COMPUTED_VALUE"""),3.0)</f>
        <v>3</v>
      </c>
      <c r="J856" s="18">
        <f>IFERROR(__xludf.DUMMYFUNCTION("""COMPUTED_VALUE"""),20.0)</f>
        <v>20</v>
      </c>
      <c r="K856" s="18">
        <f>IFERROR(__xludf.DUMMYFUNCTION("""COMPUTED_VALUE"""),15.0)</f>
        <v>15</v>
      </c>
      <c r="L856" s="17">
        <f>IFERROR(__xludf.DUMMYFUNCTION("""COMPUTED_VALUE"""),3.188162394E9)</f>
        <v>3188162394</v>
      </c>
      <c r="M856" s="17" t="str">
        <f>IFERROR(__xludf.DUMMYFUNCTION("""COMPUTED_VALUE"""),"#REF!")</f>
        <v>#REF!</v>
      </c>
      <c r="N856" s="17"/>
      <c r="O856" s="19" t="str">
        <f>IFERROR(__xludf.DUMMYFUNCTION("""COMPUTED_VALUE"""),"")</f>
        <v/>
      </c>
      <c r="P856" s="17" t="b">
        <f>IFERROR(__xludf.DUMMYFUNCTION("""COMPUTED_VALUE"""),FALSE)</f>
        <v>0</v>
      </c>
      <c r="Q856" s="20" t="str">
        <f>IFERROR(__xludf.DUMMYFUNCTION("""COMPUTED_VALUE"""),"")</f>
        <v/>
      </c>
      <c r="R856" s="22" t="str">
        <f>IFERROR(__xludf.DUMMYFUNCTION("""COMPUTED_VALUE"""),"")</f>
        <v/>
      </c>
    </row>
    <row r="857">
      <c r="A857" s="15">
        <f>IFERROR(__xludf.DUMMYFUNCTION("""COMPUTED_VALUE"""),45021.0)</f>
        <v>45021</v>
      </c>
      <c r="B857" s="16" t="str">
        <f>IFERROR(__xludf.DUMMYFUNCTION("""COMPUTED_VALUE"""),"Envia")</f>
        <v>Envia</v>
      </c>
      <c r="C857" s="15" t="str">
        <f>IFERROR(__xludf.DUMMYFUNCTION("""COMPUTED_VALUE"""),"CALI")</f>
        <v>CALI</v>
      </c>
      <c r="D857" s="15" t="str">
        <f>IFERROR(__xludf.DUMMYFUNCTION("""COMPUTED_VALUE"""),"BOGOTÁ")</f>
        <v>BOGOTÁ</v>
      </c>
      <c r="E857" s="15" t="str">
        <f>IFERROR(__xludf.DUMMYFUNCTION("""COMPUTED_VALUE"""),"Loomifoods")</f>
        <v>Loomifoods</v>
      </c>
      <c r="F857" s="17" t="str">
        <f>IFERROR(__xludf.DUMMYFUNCTION("""COMPUTED_VALUE"""),"Calle21AN #9AN-81  / edificio Tali,  apto 503,  /  barrio santa Monica")</f>
        <v>Calle21AN #9AN-81  / edificio Tali,  apto 503,  /  barrio santa Monica</v>
      </c>
      <c r="G857" s="15" t="str">
        <f>IFERROR(__xludf.DUMMYFUNCTION("""COMPUTED_VALUE"""),"Alejandra Maria Gomez")</f>
        <v>Alejandra Maria Gomez</v>
      </c>
      <c r="H857" s="16">
        <f>IFERROR(__xludf.DUMMYFUNCTION("""COMPUTED_VALUE"""),9461.0)</f>
        <v>9461</v>
      </c>
      <c r="I857" s="18">
        <f>IFERROR(__xludf.DUMMYFUNCTION("""COMPUTED_VALUE"""),10.0)</f>
        <v>10</v>
      </c>
      <c r="J857" s="18">
        <f>IFERROR(__xludf.DUMMYFUNCTION("""COMPUTED_VALUE"""),22.0)</f>
        <v>22</v>
      </c>
      <c r="K857" s="18">
        <f>IFERROR(__xludf.DUMMYFUNCTION("""COMPUTED_VALUE"""),22.0)</f>
        <v>22</v>
      </c>
      <c r="L857" s="17">
        <f>IFERROR(__xludf.DUMMYFUNCTION("""COMPUTED_VALUE"""),3.012249591E9)</f>
        <v>3012249591</v>
      </c>
      <c r="M857" s="17" t="str">
        <f>IFERROR(__xludf.DUMMYFUNCTION("""COMPUTED_VALUE"""),"#REF!")</f>
        <v>#REF!</v>
      </c>
      <c r="N857" s="17"/>
      <c r="O857" s="19" t="str">
        <f>IFERROR(__xludf.DUMMYFUNCTION("""COMPUTED_VALUE"""),"")</f>
        <v/>
      </c>
      <c r="P857" s="17" t="b">
        <f>IFERROR(__xludf.DUMMYFUNCTION("""COMPUTED_VALUE"""),FALSE)</f>
        <v>0</v>
      </c>
      <c r="Q857" s="20" t="str">
        <f>IFERROR(__xludf.DUMMYFUNCTION("""COMPUTED_VALUE"""),"")</f>
        <v/>
      </c>
      <c r="R857" s="22" t="str">
        <f>IFERROR(__xludf.DUMMYFUNCTION("""COMPUTED_VALUE"""),"")</f>
        <v/>
      </c>
    </row>
    <row r="858">
      <c r="A858" s="15">
        <f>IFERROR(__xludf.DUMMYFUNCTION("""COMPUTED_VALUE"""),45021.0)</f>
        <v>45021</v>
      </c>
      <c r="B858" s="16" t="str">
        <f>IFERROR(__xludf.DUMMYFUNCTION("""COMPUTED_VALUE"""),"Envia")</f>
        <v>Envia</v>
      </c>
      <c r="C858" s="15" t="str">
        <f>IFERROR(__xludf.DUMMYFUNCTION("""COMPUTED_VALUE"""),"CALI")</f>
        <v>CALI</v>
      </c>
      <c r="D858" s="15" t="str">
        <f>IFERROR(__xludf.DUMMYFUNCTION("""COMPUTED_VALUE"""),"MEDELLÍN")</f>
        <v>MEDELLÍN</v>
      </c>
      <c r="E858" s="15" t="str">
        <f>IFERROR(__xludf.DUMMYFUNCTION("""COMPUTED_VALUE"""),"Moloso S.A.S")</f>
        <v>Moloso S.A.S</v>
      </c>
      <c r="F858" s="17" t="str">
        <f>IFERROR(__xludf.DUMMYFUNCTION("""COMPUTED_VALUE"""),"AVENIDA 3 OESTE 13 94 / EDIF SOL DEL OESTE APT 702")</f>
        <v>AVENIDA 3 OESTE 13 94 / EDIF SOL DEL OESTE APT 702</v>
      </c>
      <c r="G858" s="15" t="str">
        <f>IFERROR(__xludf.DUMMYFUNCTION("""COMPUTED_VALUE"""),"LAURA HERNÁNDEZ ALVIAR")</f>
        <v>LAURA HERNÁNDEZ ALVIAR</v>
      </c>
      <c r="H858" s="16">
        <f>IFERROR(__xludf.DUMMYFUNCTION("""COMPUTED_VALUE"""),9476.0)</f>
        <v>9476</v>
      </c>
      <c r="I858" s="18">
        <f>IFERROR(__xludf.DUMMYFUNCTION("""COMPUTED_VALUE"""),17.0)</f>
        <v>17</v>
      </c>
      <c r="J858" s="18">
        <f>IFERROR(__xludf.DUMMYFUNCTION("""COMPUTED_VALUE"""),15.0)</f>
        <v>15</v>
      </c>
      <c r="K858" s="18">
        <f>IFERROR(__xludf.DUMMYFUNCTION("""COMPUTED_VALUE"""),28.0)</f>
        <v>28</v>
      </c>
      <c r="L858" s="17" t="str">
        <f>IFERROR(__xludf.DUMMYFUNCTION("""COMPUTED_VALUE"""),"315 5762974")</f>
        <v>315 5762974</v>
      </c>
      <c r="M858" s="17" t="str">
        <f>IFERROR(__xludf.DUMMYFUNCTION("""COMPUTED_VALUE"""),"#REF!")</f>
        <v>#REF!</v>
      </c>
      <c r="N858" s="17"/>
      <c r="O858" s="19" t="str">
        <f>IFERROR(__xludf.DUMMYFUNCTION("""COMPUTED_VALUE"""),"")</f>
        <v/>
      </c>
      <c r="P858" s="17" t="b">
        <f>IFERROR(__xludf.DUMMYFUNCTION("""COMPUTED_VALUE"""),FALSE)</f>
        <v>0</v>
      </c>
      <c r="Q858" s="20" t="str">
        <f>IFERROR(__xludf.DUMMYFUNCTION("""COMPUTED_VALUE"""),"")</f>
        <v/>
      </c>
      <c r="R858" s="22" t="str">
        <f>IFERROR(__xludf.DUMMYFUNCTION("""COMPUTED_VALUE"""),"")</f>
        <v/>
      </c>
    </row>
    <row r="859">
      <c r="A859" s="15">
        <f>IFERROR(__xludf.DUMMYFUNCTION("""COMPUTED_VALUE"""),45021.0)</f>
        <v>45021</v>
      </c>
      <c r="B859" s="16" t="str">
        <f>IFERROR(__xludf.DUMMYFUNCTION("""COMPUTED_VALUE"""),"Envia")</f>
        <v>Envia</v>
      </c>
      <c r="C859" s="15" t="str">
        <f>IFERROR(__xludf.DUMMYFUNCTION("""COMPUTED_VALUE"""),"CARTAGENA")</f>
        <v>CARTAGENA</v>
      </c>
      <c r="D859" s="15" t="str">
        <f>IFERROR(__xludf.DUMMYFUNCTION("""COMPUTED_VALUE"""),"MEDELLÍN")</f>
        <v>MEDELLÍN</v>
      </c>
      <c r="E859" s="15" t="str">
        <f>IFERROR(__xludf.DUMMYFUNCTION("""COMPUTED_VALUE"""),"Baby Chef")</f>
        <v>Baby Chef</v>
      </c>
      <c r="F859" s="17" t="str">
        <f>IFERROR(__xludf.DUMMYFUNCTION("""COMPUTED_VALUE"""),"La Troncal Dg 44 # 52 -40 Edificio 54 Park Apto 1210 Cartagena Bolívar / La Troncal Dg 44 # 52 -40 Edificio 54 Park Apto 1210 Cartagena Bolívar / La Troncal Dg 44 # 52 -40 Edificio 54 Park Apto 1210 Cartagena Bolívar")</f>
        <v>La Troncal Dg 44 # 52 -40 Edificio 54 Park Apto 1210 Cartagena Bolívar / La Troncal Dg 44 # 52 -40 Edificio 54 Park Apto 1210 Cartagena Bolívar / La Troncal Dg 44 # 52 -40 Edificio 54 Park Apto 1210 Cartagena Bolívar</v>
      </c>
      <c r="G859" s="15" t="str">
        <f>IFERROR(__xludf.DUMMYFUNCTION("""COMPUTED_VALUE"""),"Kate Perez")</f>
        <v>Kate Perez</v>
      </c>
      <c r="H859" s="16">
        <f>IFERROR(__xludf.DUMMYFUNCTION("""COMPUTED_VALUE"""),9419.0)</f>
        <v>9419</v>
      </c>
      <c r="I859" s="18">
        <f>IFERROR(__xludf.DUMMYFUNCTION("""COMPUTED_VALUE"""),8.0)</f>
        <v>8</v>
      </c>
      <c r="J859" s="18">
        <f>IFERROR(__xludf.DUMMYFUNCTION("""COMPUTED_VALUE"""),16.0)</f>
        <v>16</v>
      </c>
      <c r="K859" s="18">
        <f>IFERROR(__xludf.DUMMYFUNCTION("""COMPUTED_VALUE"""),20.0)</f>
        <v>20</v>
      </c>
      <c r="L859" s="17">
        <f>IFERROR(__xludf.DUMMYFUNCTION("""COMPUTED_VALUE"""),3.007171069E9)</f>
        <v>3007171069</v>
      </c>
      <c r="M859" s="17" t="str">
        <f>IFERROR(__xludf.DUMMYFUNCTION("""COMPUTED_VALUE"""),"#REF!")</f>
        <v>#REF!</v>
      </c>
      <c r="N859" s="17"/>
      <c r="O859" s="19" t="str">
        <f>IFERROR(__xludf.DUMMYFUNCTION("""COMPUTED_VALUE"""),"")</f>
        <v/>
      </c>
      <c r="P859" s="17" t="b">
        <f>IFERROR(__xludf.DUMMYFUNCTION("""COMPUTED_VALUE"""),TRUE)</f>
        <v>1</v>
      </c>
      <c r="Q859" s="20">
        <f>IFERROR(__xludf.DUMMYFUNCTION("""COMPUTED_VALUE"""),45021.501355127315)</f>
        <v>45021.50136</v>
      </c>
      <c r="R859" s="22" t="str">
        <f>IFERROR(__xludf.DUMMYFUNCTION("""COMPUTED_VALUE"""),"")</f>
        <v/>
      </c>
    </row>
    <row r="860">
      <c r="A860" s="15">
        <f>IFERROR(__xludf.DUMMYFUNCTION("""COMPUTED_VALUE"""),45021.0)</f>
        <v>45021</v>
      </c>
      <c r="B860" s="16" t="str">
        <f>IFERROR(__xludf.DUMMYFUNCTION("""COMPUTED_VALUE"""),"Envia")</f>
        <v>Envia</v>
      </c>
      <c r="C860" s="15" t="str">
        <f>IFERROR(__xludf.DUMMYFUNCTION("""COMPUTED_VALUE"""),"CÚCUTA")</f>
        <v>CÚCUTA</v>
      </c>
      <c r="D860" s="15" t="str">
        <f>IFERROR(__xludf.DUMMYFUNCTION("""COMPUTED_VALUE"""),"MEDELLÍN")</f>
        <v>MEDELLÍN</v>
      </c>
      <c r="E860" s="15" t="str">
        <f>IFERROR(__xludf.DUMMYFUNCTION("""COMPUTED_VALUE"""),"Momo Tea S.A.S Gabriel Echavarría")</f>
        <v>Momo Tea S.A.S Gabriel Echavarría</v>
      </c>
      <c r="F860" s="17" t="str">
        <f>IFERROR(__xludf.DUMMYFUNCTION("""COMPUTED_VALUE"""),"CL 11 N 16 E 35 / CA B 1")</f>
        <v>CL 11 N 16 E 35 / CA B 1</v>
      </c>
      <c r="G860" s="15" t="str">
        <f>IFERROR(__xludf.DUMMYFUNCTION("""COMPUTED_VALUE"""),"Gabriel Echavarría")</f>
        <v>Gabriel Echavarría</v>
      </c>
      <c r="H860" s="16">
        <f>IFERROR(__xludf.DUMMYFUNCTION("""COMPUTED_VALUE"""),9450.0)</f>
        <v>9450</v>
      </c>
      <c r="I860" s="18">
        <f>IFERROR(__xludf.DUMMYFUNCTION("""COMPUTED_VALUE"""),21.0)</f>
        <v>21</v>
      </c>
      <c r="J860" s="18">
        <f>IFERROR(__xludf.DUMMYFUNCTION("""COMPUTED_VALUE"""),29.0)</f>
        <v>29</v>
      </c>
      <c r="K860" s="18">
        <f>IFERROR(__xludf.DUMMYFUNCTION("""COMPUTED_VALUE"""),29.0)</f>
        <v>29</v>
      </c>
      <c r="L860" s="17">
        <f>IFERROR(__xludf.DUMMYFUNCTION("""COMPUTED_VALUE"""),3.017909548E9)</f>
        <v>3017909548</v>
      </c>
      <c r="M860" s="17" t="str">
        <f>IFERROR(__xludf.DUMMYFUNCTION("""COMPUTED_VALUE"""),"#REF!")</f>
        <v>#REF!</v>
      </c>
      <c r="N860" s="17"/>
      <c r="O860" s="19" t="str">
        <f>IFERROR(__xludf.DUMMYFUNCTION("""COMPUTED_VALUE"""),"")</f>
        <v/>
      </c>
      <c r="P860" s="17" t="b">
        <f>IFERROR(__xludf.DUMMYFUNCTION("""COMPUTED_VALUE"""),FALSE)</f>
        <v>0</v>
      </c>
      <c r="Q860" s="20" t="str">
        <f>IFERROR(__xludf.DUMMYFUNCTION("""COMPUTED_VALUE"""),"")</f>
        <v/>
      </c>
      <c r="R860" s="22" t="str">
        <f>IFERROR(__xludf.DUMMYFUNCTION("""COMPUTED_VALUE"""),"")</f>
        <v/>
      </c>
    </row>
    <row r="861">
      <c r="A861" s="15">
        <f>IFERROR(__xludf.DUMMYFUNCTION("""COMPUTED_VALUE"""),45021.0)</f>
        <v>45021</v>
      </c>
      <c r="B861" s="16" t="str">
        <f>IFERROR(__xludf.DUMMYFUNCTION("""COMPUTED_VALUE"""),"Envia")</f>
        <v>Envia</v>
      </c>
      <c r="C861" s="15" t="str">
        <f>IFERROR(__xludf.DUMMYFUNCTION("""COMPUTED_VALUE"""),"CÚCUTA")</f>
        <v>CÚCUTA</v>
      </c>
      <c r="D861" s="15" t="str">
        <f>IFERROR(__xludf.DUMMYFUNCTION("""COMPUTED_VALUE"""),"MEDELLÍN")</f>
        <v>MEDELLÍN</v>
      </c>
      <c r="E861" s="15" t="str">
        <f>IFERROR(__xludf.DUMMYFUNCTION("""COMPUTED_VALUE"""),"Momo Tea S.A.S Gabriel Echavarría")</f>
        <v>Momo Tea S.A.S Gabriel Echavarría</v>
      </c>
      <c r="F861" s="17" t="str">
        <f>IFERROR(__xludf.DUMMYFUNCTION("""COMPUTED_VALUE"""),"CL 11 N 16 E 35 / CA B 1")</f>
        <v>CL 11 N 16 E 35 / CA B 1</v>
      </c>
      <c r="G861" s="15" t="str">
        <f>IFERROR(__xludf.DUMMYFUNCTION("""COMPUTED_VALUE"""),"Gabriel Echavarría")</f>
        <v>Gabriel Echavarría</v>
      </c>
      <c r="H861" s="16">
        <f>IFERROR(__xludf.DUMMYFUNCTION("""COMPUTED_VALUE"""),9451.0)</f>
        <v>9451</v>
      </c>
      <c r="I861" s="18" t="str">
        <f>IFERROR(__xludf.DUMMYFUNCTION("""COMPUTED_VALUE"""),"34.5")</f>
        <v>34.5</v>
      </c>
      <c r="J861" s="18">
        <f>IFERROR(__xludf.DUMMYFUNCTION("""COMPUTED_VALUE"""),54.0)</f>
        <v>54</v>
      </c>
      <c r="K861" s="18">
        <f>IFERROR(__xludf.DUMMYFUNCTION("""COMPUTED_VALUE"""),26.0)</f>
        <v>26</v>
      </c>
      <c r="L861" s="17">
        <f>IFERROR(__xludf.DUMMYFUNCTION("""COMPUTED_VALUE"""),3.017909548E9)</f>
        <v>3017909548</v>
      </c>
      <c r="M861" s="17" t="str">
        <f>IFERROR(__xludf.DUMMYFUNCTION("""COMPUTED_VALUE"""),"#REF!")</f>
        <v>#REF!</v>
      </c>
      <c r="N861" s="17"/>
      <c r="O861" s="19" t="str">
        <f>IFERROR(__xludf.DUMMYFUNCTION("""COMPUTED_VALUE"""),"")</f>
        <v/>
      </c>
      <c r="P861" s="17" t="b">
        <f>IFERROR(__xludf.DUMMYFUNCTION("""COMPUTED_VALUE"""),TRUE)</f>
        <v>1</v>
      </c>
      <c r="Q861" s="20">
        <f>IFERROR(__xludf.DUMMYFUNCTION("""COMPUTED_VALUE"""),45021.50238465278)</f>
        <v>45021.50238</v>
      </c>
      <c r="R861" s="22" t="str">
        <f>IFERROR(__xludf.DUMMYFUNCTION("""COMPUTED_VALUE"""),"")</f>
        <v/>
      </c>
    </row>
    <row r="862">
      <c r="A862" s="15">
        <f>IFERROR(__xludf.DUMMYFUNCTION("""COMPUTED_VALUE"""),45021.0)</f>
        <v>45021</v>
      </c>
      <c r="B862" s="16" t="str">
        <f>IFERROR(__xludf.DUMMYFUNCTION("""COMPUTED_VALUE"""),"Envia")</f>
        <v>Envia</v>
      </c>
      <c r="C862" s="15" t="str">
        <f>IFERROR(__xludf.DUMMYFUNCTION("""COMPUTED_VALUE"""),"CÚCUTA")</f>
        <v>CÚCUTA</v>
      </c>
      <c r="D862" s="15" t="str">
        <f>IFERROR(__xludf.DUMMYFUNCTION("""COMPUTED_VALUE"""),"MEDELLÍN")</f>
        <v>MEDELLÍN</v>
      </c>
      <c r="E862" s="15" t="str">
        <f>IFERROR(__xludf.DUMMYFUNCTION("""COMPUTED_VALUE"""),"Momo Tea S.A.S Gabriel Echavarría")</f>
        <v>Momo Tea S.A.S Gabriel Echavarría</v>
      </c>
      <c r="F862" s="17" t="str">
        <f>IFERROR(__xludf.DUMMYFUNCTION("""COMPUTED_VALUE"""),"CL 11 N 16 E 35 / CA B 1")</f>
        <v>CL 11 N 16 E 35 / CA B 1</v>
      </c>
      <c r="G862" s="15" t="str">
        <f>IFERROR(__xludf.DUMMYFUNCTION("""COMPUTED_VALUE"""),"Gabriel Echavarría")</f>
        <v>Gabriel Echavarría</v>
      </c>
      <c r="H862" s="16">
        <f>IFERROR(__xludf.DUMMYFUNCTION("""COMPUTED_VALUE"""),9452.0)</f>
        <v>9452</v>
      </c>
      <c r="I862" s="18">
        <f>IFERROR(__xludf.DUMMYFUNCTION("""COMPUTED_VALUE"""),24.0)</f>
        <v>24</v>
      </c>
      <c r="J862" s="18">
        <f>IFERROR(__xludf.DUMMYFUNCTION("""COMPUTED_VALUE"""),3.0)</f>
        <v>3</v>
      </c>
      <c r="K862" s="18">
        <f>IFERROR(__xludf.DUMMYFUNCTION("""COMPUTED_VALUE"""),26.0)</f>
        <v>26</v>
      </c>
      <c r="L862" s="17">
        <f>IFERROR(__xludf.DUMMYFUNCTION("""COMPUTED_VALUE"""),3.017909548E9)</f>
        <v>3017909548</v>
      </c>
      <c r="M862" s="17" t="str">
        <f>IFERROR(__xludf.DUMMYFUNCTION("""COMPUTED_VALUE"""),"#REF!")</f>
        <v>#REF!</v>
      </c>
      <c r="N862" s="17"/>
      <c r="O862" s="19" t="str">
        <f>IFERROR(__xludf.DUMMYFUNCTION("""COMPUTED_VALUE"""),"")</f>
        <v/>
      </c>
      <c r="P862" s="17" t="b">
        <f>IFERROR(__xludf.DUMMYFUNCTION("""COMPUTED_VALUE"""),TRUE)</f>
        <v>1</v>
      </c>
      <c r="Q862" s="20">
        <f>IFERROR(__xludf.DUMMYFUNCTION("""COMPUTED_VALUE"""),45021.50239328704)</f>
        <v>45021.50239</v>
      </c>
      <c r="R862" s="22" t="str">
        <f>IFERROR(__xludf.DUMMYFUNCTION("""COMPUTED_VALUE"""),"")</f>
        <v/>
      </c>
    </row>
    <row r="863">
      <c r="A863" s="15">
        <f>IFERROR(__xludf.DUMMYFUNCTION("""COMPUTED_VALUE"""),45021.0)</f>
        <v>45021</v>
      </c>
      <c r="B863" s="16" t="str">
        <f>IFERROR(__xludf.DUMMYFUNCTION("""COMPUTED_VALUE"""),"Envia")</f>
        <v>Envia</v>
      </c>
      <c r="C863" s="15" t="str">
        <f>IFERROR(__xludf.DUMMYFUNCTION("""COMPUTED_VALUE"""),"CÚCUTA")</f>
        <v>CÚCUTA</v>
      </c>
      <c r="D863" s="15" t="str">
        <f>IFERROR(__xludf.DUMMYFUNCTION("""COMPUTED_VALUE"""),"MEDELLÍN")</f>
        <v>MEDELLÍN</v>
      </c>
      <c r="E863" s="15" t="str">
        <f>IFERROR(__xludf.DUMMYFUNCTION("""COMPUTED_VALUE"""),"Momo Tea S.A.S Gabriel Echavarría")</f>
        <v>Momo Tea S.A.S Gabriel Echavarría</v>
      </c>
      <c r="F863" s="17" t="str">
        <f>IFERROR(__xludf.DUMMYFUNCTION("""COMPUTED_VALUE"""),"CL 11 N 16 E 35 / CA B 1")</f>
        <v>CL 11 N 16 E 35 / CA B 1</v>
      </c>
      <c r="G863" s="15" t="str">
        <f>IFERROR(__xludf.DUMMYFUNCTION("""COMPUTED_VALUE"""),"Gabriel Echavarría")</f>
        <v>Gabriel Echavarría</v>
      </c>
      <c r="H863" s="16">
        <f>IFERROR(__xludf.DUMMYFUNCTION("""COMPUTED_VALUE"""),9453.0)</f>
        <v>9453</v>
      </c>
      <c r="I863" s="18">
        <f>IFERROR(__xludf.DUMMYFUNCTION("""COMPUTED_VALUE"""),17.0)</f>
        <v>17</v>
      </c>
      <c r="J863" s="18">
        <f>IFERROR(__xludf.DUMMYFUNCTION("""COMPUTED_VALUE"""),17.0)</f>
        <v>17</v>
      </c>
      <c r="K863" s="18">
        <f>IFERROR(__xludf.DUMMYFUNCTION("""COMPUTED_VALUE"""),23.0)</f>
        <v>23</v>
      </c>
      <c r="L863" s="17">
        <f>IFERROR(__xludf.DUMMYFUNCTION("""COMPUTED_VALUE"""),3.017909548E9)</f>
        <v>3017909548</v>
      </c>
      <c r="M863" s="17" t="str">
        <f>IFERROR(__xludf.DUMMYFUNCTION("""COMPUTED_VALUE"""),"#REF!")</f>
        <v>#REF!</v>
      </c>
      <c r="N863" s="17"/>
      <c r="O863" s="19" t="str">
        <f>IFERROR(__xludf.DUMMYFUNCTION("""COMPUTED_VALUE"""),"")</f>
        <v/>
      </c>
      <c r="P863" s="17" t="b">
        <f>IFERROR(__xludf.DUMMYFUNCTION("""COMPUTED_VALUE"""),TRUE)</f>
        <v>1</v>
      </c>
      <c r="Q863" s="20">
        <f>IFERROR(__xludf.DUMMYFUNCTION("""COMPUTED_VALUE"""),45021.50241853009)</f>
        <v>45021.50242</v>
      </c>
      <c r="R863" s="22" t="str">
        <f>IFERROR(__xludf.DUMMYFUNCTION("""COMPUTED_VALUE"""),"")</f>
        <v/>
      </c>
    </row>
    <row r="864">
      <c r="A864" s="15">
        <f>IFERROR(__xludf.DUMMYFUNCTION("""COMPUTED_VALUE"""),45021.0)</f>
        <v>45021</v>
      </c>
      <c r="B864" s="16" t="str">
        <f>IFERROR(__xludf.DUMMYFUNCTION("""COMPUTED_VALUE"""),"Envia")</f>
        <v>Envia</v>
      </c>
      <c r="C864" s="15" t="str">
        <f>IFERROR(__xludf.DUMMYFUNCTION("""COMPUTED_VALUE"""),"CÚCUTA")</f>
        <v>CÚCUTA</v>
      </c>
      <c r="D864" s="15" t="str">
        <f>IFERROR(__xludf.DUMMYFUNCTION("""COMPUTED_VALUE"""),"MEDELLÍN")</f>
        <v>MEDELLÍN</v>
      </c>
      <c r="E864" s="15" t="str">
        <f>IFERROR(__xludf.DUMMYFUNCTION("""COMPUTED_VALUE"""),"Momo Tea S.A.S Gabriel Echavarría")</f>
        <v>Momo Tea S.A.S Gabriel Echavarría</v>
      </c>
      <c r="F864" s="17" t="str">
        <f>IFERROR(__xludf.DUMMYFUNCTION("""COMPUTED_VALUE"""),"CL 11 N 16 E 35 / CA B 1")</f>
        <v>CL 11 N 16 E 35 / CA B 1</v>
      </c>
      <c r="G864" s="15" t="str">
        <f>IFERROR(__xludf.DUMMYFUNCTION("""COMPUTED_VALUE"""),"Gabriel Echavarría")</f>
        <v>Gabriel Echavarría</v>
      </c>
      <c r="H864" s="16">
        <f>IFERROR(__xludf.DUMMYFUNCTION("""COMPUTED_VALUE"""),9454.0)</f>
        <v>9454</v>
      </c>
      <c r="I864" s="18">
        <f>IFERROR(__xludf.DUMMYFUNCTION("""COMPUTED_VALUE"""),33.0)</f>
        <v>33</v>
      </c>
      <c r="J864" s="18">
        <f>IFERROR(__xludf.DUMMYFUNCTION("""COMPUTED_VALUE"""),13.0)</f>
        <v>13</v>
      </c>
      <c r="K864" s="18">
        <f>IFERROR(__xludf.DUMMYFUNCTION("""COMPUTED_VALUE"""),20.0)</f>
        <v>20</v>
      </c>
      <c r="L864" s="17">
        <f>IFERROR(__xludf.DUMMYFUNCTION("""COMPUTED_VALUE"""),3.017909548E9)</f>
        <v>3017909548</v>
      </c>
      <c r="M864" s="17" t="str">
        <f>IFERROR(__xludf.DUMMYFUNCTION("""COMPUTED_VALUE"""),"#REF!")</f>
        <v>#REF!</v>
      </c>
      <c r="N864" s="17"/>
      <c r="O864" s="19" t="str">
        <f>IFERROR(__xludf.DUMMYFUNCTION("""COMPUTED_VALUE"""),"")</f>
        <v/>
      </c>
      <c r="P864" s="17" t="b">
        <f>IFERROR(__xludf.DUMMYFUNCTION("""COMPUTED_VALUE"""),TRUE)</f>
        <v>1</v>
      </c>
      <c r="Q864" s="20">
        <f>IFERROR(__xludf.DUMMYFUNCTION("""COMPUTED_VALUE"""),45021.502401157406)</f>
        <v>45021.5024</v>
      </c>
      <c r="R864" s="22" t="str">
        <f>IFERROR(__xludf.DUMMYFUNCTION("""COMPUTED_VALUE"""),"")</f>
        <v/>
      </c>
    </row>
    <row r="865">
      <c r="A865" s="15">
        <f>IFERROR(__xludf.DUMMYFUNCTION("""COMPUTED_VALUE"""),45021.0)</f>
        <v>45021</v>
      </c>
      <c r="B865" s="16" t="str">
        <f>IFERROR(__xludf.DUMMYFUNCTION("""COMPUTED_VALUE"""),"Envia")</f>
        <v>Envia</v>
      </c>
      <c r="C865" s="15" t="str">
        <f>IFERROR(__xludf.DUMMYFUNCTION("""COMPUTED_VALUE"""),"CÚCUTA")</f>
        <v>CÚCUTA</v>
      </c>
      <c r="D865" s="15" t="str">
        <f>IFERROR(__xludf.DUMMYFUNCTION("""COMPUTED_VALUE"""),"MEDELLÍN")</f>
        <v>MEDELLÍN</v>
      </c>
      <c r="E865" s="15" t="str">
        <f>IFERROR(__xludf.DUMMYFUNCTION("""COMPUTED_VALUE"""),"Momo Tea S.A.S Gabriel Echavarría")</f>
        <v>Momo Tea S.A.S Gabriel Echavarría</v>
      </c>
      <c r="F865" s="17" t="str">
        <f>IFERROR(__xludf.DUMMYFUNCTION("""COMPUTED_VALUE"""),"CL 11 N 16 E 35 / CA B 1")</f>
        <v>CL 11 N 16 E 35 / CA B 1</v>
      </c>
      <c r="G865" s="15" t="str">
        <f>IFERROR(__xludf.DUMMYFUNCTION("""COMPUTED_VALUE"""),"Gabriel Echavarría")</f>
        <v>Gabriel Echavarría</v>
      </c>
      <c r="H865" s="16">
        <f>IFERROR(__xludf.DUMMYFUNCTION("""COMPUTED_VALUE"""),9455.0)</f>
        <v>9455</v>
      </c>
      <c r="I865" s="18">
        <f>IFERROR(__xludf.DUMMYFUNCTION("""COMPUTED_VALUE"""),19.0)</f>
        <v>19</v>
      </c>
      <c r="J865" s="18">
        <f>IFERROR(__xludf.DUMMYFUNCTION("""COMPUTED_VALUE"""),11.0)</f>
        <v>11</v>
      </c>
      <c r="K865" s="18">
        <f>IFERROR(__xludf.DUMMYFUNCTION("""COMPUTED_VALUE"""),32.0)</f>
        <v>32</v>
      </c>
      <c r="L865" s="17">
        <f>IFERROR(__xludf.DUMMYFUNCTION("""COMPUTED_VALUE"""),3.017909548E9)</f>
        <v>3017909548</v>
      </c>
      <c r="M865" s="17" t="str">
        <f>IFERROR(__xludf.DUMMYFUNCTION("""COMPUTED_VALUE"""),"#REF!")</f>
        <v>#REF!</v>
      </c>
      <c r="N865" s="17"/>
      <c r="O865" s="19" t="str">
        <f>IFERROR(__xludf.DUMMYFUNCTION("""COMPUTED_VALUE"""),"")</f>
        <v/>
      </c>
      <c r="P865" s="17" t="b">
        <f>IFERROR(__xludf.DUMMYFUNCTION("""COMPUTED_VALUE"""),TRUE)</f>
        <v>1</v>
      </c>
      <c r="Q865" s="20">
        <f>IFERROR(__xludf.DUMMYFUNCTION("""COMPUTED_VALUE"""),45021.502410243054)</f>
        <v>45021.50241</v>
      </c>
      <c r="R865" s="22" t="str">
        <f>IFERROR(__xludf.DUMMYFUNCTION("""COMPUTED_VALUE"""),"")</f>
        <v/>
      </c>
    </row>
    <row r="866">
      <c r="A866" s="15">
        <f>IFERROR(__xludf.DUMMYFUNCTION("""COMPUTED_VALUE"""),45021.0)</f>
        <v>45021</v>
      </c>
      <c r="B866" s="16" t="str">
        <f>IFERROR(__xludf.DUMMYFUNCTION("""COMPUTED_VALUE"""),"Envia")</f>
        <v>Envia</v>
      </c>
      <c r="C866" s="15" t="str">
        <f>IFERROR(__xludf.DUMMYFUNCTION("""COMPUTED_VALUE"""),"GIRARDOT")</f>
        <v>GIRARDOT</v>
      </c>
      <c r="D866" s="15" t="str">
        <f>IFERROR(__xludf.DUMMYFUNCTION("""COMPUTED_VALUE"""),"BOGOTÁ")</f>
        <v>BOGOTÁ</v>
      </c>
      <c r="E866" s="15" t="str">
        <f>IFERROR(__xludf.DUMMYFUNCTION("""COMPUTED_VALUE"""),"Coffit")</f>
        <v>Coffit</v>
      </c>
      <c r="F866" s="17" t="str">
        <f>IFERROR(__xludf.DUMMYFUNCTION("""COMPUTED_VALUE"""),"carrera 9 n19-53 local 107 edificio rafael díaz  / diagonal glorieta leon  / glorieta leon")</f>
        <v>carrera 9 n19-53 local 107 edificio rafael díaz  / diagonal glorieta leon  / glorieta leon</v>
      </c>
      <c r="G866" s="15" t="str">
        <f>IFERROR(__xludf.DUMMYFUNCTION("""COMPUTED_VALUE"""),"coffit market")</f>
        <v>coffit market</v>
      </c>
      <c r="H866" s="16">
        <f>IFERROR(__xludf.DUMMYFUNCTION("""COMPUTED_VALUE"""),9512.0)</f>
        <v>9512</v>
      </c>
      <c r="I866" s="18">
        <f>IFERROR(__xludf.DUMMYFUNCTION("""COMPUTED_VALUE"""),1.0)</f>
        <v>1</v>
      </c>
      <c r="J866" s="18">
        <f>IFERROR(__xludf.DUMMYFUNCTION("""COMPUTED_VALUE"""),1.0)</f>
        <v>1</v>
      </c>
      <c r="K866" s="18">
        <f>IFERROR(__xludf.DUMMYFUNCTION("""COMPUTED_VALUE"""),1.0)</f>
        <v>1</v>
      </c>
      <c r="L866" s="17">
        <f>IFERROR(__xludf.DUMMYFUNCTION("""COMPUTED_VALUE"""),3.166279434E9)</f>
        <v>3166279434</v>
      </c>
      <c r="M866" s="17" t="str">
        <f>IFERROR(__xludf.DUMMYFUNCTION("""COMPUTED_VALUE"""),"#REF!")</f>
        <v>#REF!</v>
      </c>
      <c r="N866" s="17"/>
      <c r="O866" s="19" t="str">
        <f>IFERROR(__xludf.DUMMYFUNCTION("""COMPUTED_VALUE"""),"")</f>
        <v/>
      </c>
      <c r="P866" s="17" t="b">
        <f>IFERROR(__xludf.DUMMYFUNCTION("""COMPUTED_VALUE"""),FALSE)</f>
        <v>0</v>
      </c>
      <c r="Q866" s="20" t="str">
        <f>IFERROR(__xludf.DUMMYFUNCTION("""COMPUTED_VALUE"""),"")</f>
        <v/>
      </c>
      <c r="R866" s="22" t="str">
        <f>IFERROR(__xludf.DUMMYFUNCTION("""COMPUTED_VALUE"""),"")</f>
        <v/>
      </c>
    </row>
    <row r="867">
      <c r="A867" s="15">
        <f>IFERROR(__xludf.DUMMYFUNCTION("""COMPUTED_VALUE"""),45021.0)</f>
        <v>45021</v>
      </c>
      <c r="B867" s="16" t="str">
        <f>IFERROR(__xludf.DUMMYFUNCTION("""COMPUTED_VALUE"""),"Envia")</f>
        <v>Envia</v>
      </c>
      <c r="C867" s="15" t="str">
        <f>IFERROR(__xludf.DUMMYFUNCTION("""COMPUTED_VALUE"""),"MEDELLÍN")</f>
        <v>MEDELLÍN</v>
      </c>
      <c r="D867" s="15" t="str">
        <f>IFERROR(__xludf.DUMMYFUNCTION("""COMPUTED_VALUE"""),"BOGOTÁ")</f>
        <v>BOGOTÁ</v>
      </c>
      <c r="E867" s="15" t="str">
        <f>IFERROR(__xludf.DUMMYFUNCTION("""COMPUTED_VALUE"""),"Mochi")</f>
        <v>Mochi</v>
      </c>
      <c r="F867" s="17" t="str">
        <f>IFERROR(__xludf.DUMMYFUNCTION("""COMPUTED_VALUE"""),"Centro copmercial Viva Envigado / Viva Envigado / Viva Envigado")</f>
        <v>Centro copmercial Viva Envigado / Viva Envigado / Viva Envigado</v>
      </c>
      <c r="G867" s="15" t="str">
        <f>IFERROR(__xludf.DUMMYFUNCTION("""COMPUTED_VALUE"""),"Harol Alvarez")</f>
        <v>Harol Alvarez</v>
      </c>
      <c r="H867" s="16">
        <f>IFERROR(__xludf.DUMMYFUNCTION("""COMPUTED_VALUE"""),9427.0)</f>
        <v>9427</v>
      </c>
      <c r="I867" s="18">
        <f>IFERROR(__xludf.DUMMYFUNCTION("""COMPUTED_VALUE"""),220.0)</f>
        <v>220</v>
      </c>
      <c r="J867" s="18">
        <f>IFERROR(__xludf.DUMMYFUNCTION("""COMPUTED_VALUE"""),45.0)</f>
        <v>45</v>
      </c>
      <c r="K867" s="18" t="str">
        <f>IFERROR(__xludf.DUMMYFUNCTION("""COMPUTED_VALUE"""),"52.5")</f>
        <v>52.5</v>
      </c>
      <c r="L867" s="17">
        <f>IFERROR(__xludf.DUMMYFUNCTION("""COMPUTED_VALUE"""),3.023915096E9)</f>
        <v>3023915096</v>
      </c>
      <c r="M867" s="17" t="str">
        <f>IFERROR(__xludf.DUMMYFUNCTION("""COMPUTED_VALUE"""),"#REF!")</f>
        <v>#REF!</v>
      </c>
      <c r="N867" s="17"/>
      <c r="O867" s="19" t="str">
        <f>IFERROR(__xludf.DUMMYFUNCTION("""COMPUTED_VALUE"""),"")</f>
        <v/>
      </c>
      <c r="P867" s="17" t="b">
        <f>IFERROR(__xludf.DUMMYFUNCTION("""COMPUTED_VALUE"""),TRUE)</f>
        <v>1</v>
      </c>
      <c r="Q867" s="20">
        <f>IFERROR(__xludf.DUMMYFUNCTION("""COMPUTED_VALUE"""),45023.474195497685)</f>
        <v>45023.4742</v>
      </c>
      <c r="R867" s="22" t="str">
        <f>IFERROR(__xludf.DUMMYFUNCTION("""COMPUTED_VALUE"""),"")</f>
        <v/>
      </c>
    </row>
    <row r="868">
      <c r="A868" s="15">
        <f>IFERROR(__xludf.DUMMYFUNCTION("""COMPUTED_VALUE"""),45021.0)</f>
        <v>45021</v>
      </c>
      <c r="B868" s="16" t="str">
        <f>IFERROR(__xludf.DUMMYFUNCTION("""COMPUTED_VALUE"""),"Envia")</f>
        <v>Envia</v>
      </c>
      <c r="C868" s="15" t="str">
        <f>IFERROR(__xludf.DUMMYFUNCTION("""COMPUTED_VALUE"""),"VILLAVICENCIO")</f>
        <v>VILLAVICENCIO</v>
      </c>
      <c r="D868" s="15" t="str">
        <f>IFERROR(__xludf.DUMMYFUNCTION("""COMPUTED_VALUE"""),"MEDELLÍN")</f>
        <v>MEDELLÍN</v>
      </c>
      <c r="E868" s="15" t="str">
        <f>IFERROR(__xludf.DUMMYFUNCTION("""COMPUTED_VALUE"""),"Baby Chef")</f>
        <v>Baby Chef</v>
      </c>
      <c r="F868" s="17" t="str">
        <f>IFERROR(__xludf.DUMMYFUNCTION("""COMPUTED_VALUE"""),"Cra 12 20 18 Local de calzado esquinero / Cra 12 20 18 Local de calzado esquinero / Cra 12 20 18 Local de calzado esquinero")</f>
        <v>Cra 12 20 18 Local de calzado esquinero / Cra 12 20 18 Local de calzado esquinero / Cra 12 20 18 Local de calzado esquinero</v>
      </c>
      <c r="G868" s="15" t="str">
        <f>IFERROR(__xludf.DUMMYFUNCTION("""COMPUTED_VALUE"""),"Tatiana Ruiz")</f>
        <v>Tatiana Ruiz</v>
      </c>
      <c r="H868" s="16">
        <f>IFERROR(__xludf.DUMMYFUNCTION("""COMPUTED_VALUE"""),9442.0)</f>
        <v>9442</v>
      </c>
      <c r="I868" s="18">
        <f>IFERROR(__xludf.DUMMYFUNCTION("""COMPUTED_VALUE"""),8.0)</f>
        <v>8</v>
      </c>
      <c r="J868" s="18">
        <f>IFERROR(__xludf.DUMMYFUNCTION("""COMPUTED_VALUE"""),16.0)</f>
        <v>16</v>
      </c>
      <c r="K868" s="18">
        <f>IFERROR(__xludf.DUMMYFUNCTION("""COMPUTED_VALUE"""),20.0)</f>
        <v>20</v>
      </c>
      <c r="L868" s="17">
        <f>IFERROR(__xludf.DUMMYFUNCTION("""COMPUTED_VALUE"""),3.202574637E9)</f>
        <v>3202574637</v>
      </c>
      <c r="M868" s="17" t="str">
        <f>IFERROR(__xludf.DUMMYFUNCTION("""COMPUTED_VALUE"""),"#REF!")</f>
        <v>#REF!</v>
      </c>
      <c r="N868" s="17"/>
      <c r="O868" s="19" t="str">
        <f>IFERROR(__xludf.DUMMYFUNCTION("""COMPUTED_VALUE"""),"")</f>
        <v/>
      </c>
      <c r="P868" s="17" t="b">
        <f>IFERROR(__xludf.DUMMYFUNCTION("""COMPUTED_VALUE"""),TRUE)</f>
        <v>1</v>
      </c>
      <c r="Q868" s="20">
        <f>IFERROR(__xludf.DUMMYFUNCTION("""COMPUTED_VALUE"""),45023.474195497685)</f>
        <v>45023.4742</v>
      </c>
      <c r="R868" s="22" t="str">
        <f>IFERROR(__xludf.DUMMYFUNCTION("""COMPUTED_VALUE"""),"")</f>
        <v/>
      </c>
    </row>
    <row r="869">
      <c r="A869" s="17" t="str">
        <f>IFERROR(__xludf.DUMMYFUNCTION("""COMPUTED_VALUE"""),"")</f>
        <v/>
      </c>
      <c r="B869" s="17" t="str">
        <f>IFERROR(__xludf.DUMMYFUNCTION("""COMPUTED_VALUE"""),"")</f>
        <v/>
      </c>
      <c r="C869" s="17" t="str">
        <f>IFERROR(__xludf.DUMMYFUNCTION("""COMPUTED_VALUE"""),"")</f>
        <v/>
      </c>
      <c r="D869" s="17" t="str">
        <f>IFERROR(__xludf.DUMMYFUNCTION("""COMPUTED_VALUE"""),"")</f>
        <v/>
      </c>
      <c r="E869" s="17" t="str">
        <f>IFERROR(__xludf.DUMMYFUNCTION("""COMPUTED_VALUE"""),"")</f>
        <v/>
      </c>
      <c r="F869" s="17" t="str">
        <f>IFERROR(__xludf.DUMMYFUNCTION("""COMPUTED_VALUE"""),"")</f>
        <v/>
      </c>
      <c r="G869" s="17" t="str">
        <f>IFERROR(__xludf.DUMMYFUNCTION("""COMPUTED_VALUE"""),"")</f>
        <v/>
      </c>
      <c r="H869" s="17" t="str">
        <f>IFERROR(__xludf.DUMMYFUNCTION("""COMPUTED_VALUE"""),"")</f>
        <v/>
      </c>
      <c r="I869" s="17" t="str">
        <f>IFERROR(__xludf.DUMMYFUNCTION("""COMPUTED_VALUE"""),"")</f>
        <v/>
      </c>
      <c r="J869" s="17" t="str">
        <f>IFERROR(__xludf.DUMMYFUNCTION("""COMPUTED_VALUE"""),"")</f>
        <v/>
      </c>
      <c r="K869" s="17" t="str">
        <f>IFERROR(__xludf.DUMMYFUNCTION("""COMPUTED_VALUE"""),"")</f>
        <v/>
      </c>
      <c r="L869" s="17" t="str">
        <f>IFERROR(__xludf.DUMMYFUNCTION("""COMPUTED_VALUE"""),"")</f>
        <v/>
      </c>
      <c r="M869" s="17" t="str">
        <f>IFERROR(__xludf.DUMMYFUNCTION("""COMPUTED_VALUE"""),"")</f>
        <v/>
      </c>
      <c r="N869" s="17" t="str">
        <f>IFERROR(__xludf.DUMMYFUNCTION("""COMPUTED_VALUE"""),"")</f>
        <v/>
      </c>
      <c r="O869" s="17" t="str">
        <f>IFERROR(__xludf.DUMMYFUNCTION("""COMPUTED_VALUE"""),"")</f>
        <v/>
      </c>
      <c r="P869" s="17" t="str">
        <f>IFERROR(__xludf.DUMMYFUNCTION("""COMPUTED_VALUE"""),"")</f>
        <v/>
      </c>
      <c r="Q869" s="17" t="str">
        <f>IFERROR(__xludf.DUMMYFUNCTION("""COMPUTED_VALUE"""),"")</f>
        <v/>
      </c>
      <c r="R869" s="17" t="str">
        <f>IFERROR(__xludf.DUMMYFUNCTION("""COMPUTED_VALUE"""),"")</f>
        <v/>
      </c>
    </row>
    <row r="870">
      <c r="A870" s="15">
        <f>IFERROR(__xludf.DUMMYFUNCTION("""COMPUTED_VALUE"""),45021.0)</f>
        <v>45021</v>
      </c>
      <c r="B870" s="16" t="str">
        <f>IFERROR(__xludf.DUMMYFUNCTION("""COMPUTED_VALUE"""),"Johan Alexander Escobar Arroyo ")</f>
        <v>Johan Alexander Escobar Arroyo </v>
      </c>
      <c r="C870" s="15" t="str">
        <f>IFERROR(__xludf.DUMMYFUNCTION("""COMPUTED_VALUE"""),"BUCARAMANGA")</f>
        <v>BUCARAMANGA</v>
      </c>
      <c r="D870" s="15" t="str">
        <f>IFERROR(__xludf.DUMMYFUNCTION("""COMPUTED_VALUE"""),"MEDELLÍN")</f>
        <v>MEDELLÍN</v>
      </c>
      <c r="E870" s="15" t="str">
        <f>IFERROR(__xludf.DUMMYFUNCTION("""COMPUTED_VALUE"""),"AREPAS LA MARY")</f>
        <v>AREPAS LA MARY</v>
      </c>
      <c r="F870" s="17" t="str">
        <f>IFERROR(__xludf.DUMMYFUNCTION("""COMPUTED_VALUE"""),"CALLE 45 # 28-64")</f>
        <v>CALLE 45 # 28-64</v>
      </c>
      <c r="G870" s="15" t="str">
        <f>IFERROR(__xludf.DUMMYFUNCTION("""COMPUTED_VALUE"""),"FITBUK")</f>
        <v>FITBUK</v>
      </c>
      <c r="H870" s="16">
        <f>IFERROR(__xludf.DUMMYFUNCTION("""COMPUTED_VALUE"""),9472.0)</f>
        <v>9472</v>
      </c>
      <c r="I870" s="18">
        <f>IFERROR(__xludf.DUMMYFUNCTION("""COMPUTED_VALUE"""),89.0)</f>
        <v>89</v>
      </c>
      <c r="J870" s="18">
        <f>IFERROR(__xludf.DUMMYFUNCTION("""COMPUTED_VALUE"""),1.0)</f>
        <v>1</v>
      </c>
      <c r="K870" s="18">
        <f>IFERROR(__xludf.DUMMYFUNCTION("""COMPUTED_VALUE"""),10.0)</f>
        <v>10</v>
      </c>
      <c r="L870" s="17">
        <f>IFERROR(__xludf.DUMMYFUNCTION("""COMPUTED_VALUE"""),3.214652576E9)</f>
        <v>3214652576</v>
      </c>
      <c r="M870" s="17" t="str">
        <f>IFERROR(__xludf.DUMMYFUNCTION("""COMPUTED_VALUE"""),"#REF!")</f>
        <v>#REF!</v>
      </c>
      <c r="N870" s="17"/>
      <c r="O870" s="19" t="str">
        <f>IFERROR(__xludf.DUMMYFUNCTION("""COMPUTED_VALUE"""),"")</f>
        <v/>
      </c>
      <c r="P870" s="17" t="b">
        <f>IFERROR(__xludf.DUMMYFUNCTION("""COMPUTED_VALUE"""),TRUE)</f>
        <v>1</v>
      </c>
      <c r="Q870" s="20">
        <f>IFERROR(__xludf.DUMMYFUNCTION("""COMPUTED_VALUE"""),45021.53039364584)</f>
        <v>45021.53039</v>
      </c>
      <c r="R870" s="22" t="str">
        <f>IFERROR(__xludf.DUMMYFUNCTION("""COMPUTED_VALUE"""),"")</f>
        <v/>
      </c>
    </row>
    <row r="871">
      <c r="A871" s="15">
        <f>IFERROR(__xludf.DUMMYFUNCTION("""COMPUTED_VALUE"""),45021.0)</f>
        <v>45021</v>
      </c>
      <c r="B871" s="16" t="str">
        <f>IFERROR(__xludf.DUMMYFUNCTION("""COMPUTED_VALUE"""),"Johan Alexander Escobar Arroyo ")</f>
        <v>Johan Alexander Escobar Arroyo </v>
      </c>
      <c r="C871" s="15" t="str">
        <f>IFERROR(__xludf.DUMMYFUNCTION("""COMPUTED_VALUE"""),"CALI")</f>
        <v>CALI</v>
      </c>
      <c r="D871" s="15" t="str">
        <f>IFERROR(__xludf.DUMMYFUNCTION("""COMPUTED_VALUE"""),"BOGOTÁ")</f>
        <v>BOGOTÁ</v>
      </c>
      <c r="E871" s="15" t="str">
        <f>IFERROR(__xludf.DUMMYFUNCTION("""COMPUTED_VALUE"""),"Asociacion Agropecuaria Juana Maria")</f>
        <v>Asociacion Agropecuaria Juana Maria</v>
      </c>
      <c r="F871" s="17" t="str">
        <f>IFERROR(__xludf.DUMMYFUNCTION("""COMPUTED_VALUE"""),"Carrera 17B # 33E-33 La Floresta vieja")</f>
        <v>Carrera 17B # 33E-33 La Floresta vieja</v>
      </c>
      <c r="G871" s="15" t="str">
        <f>IFERROR(__xludf.DUMMYFUNCTION("""COMPUTED_VALUE"""),"Johanna acuña  Molina")</f>
        <v>Johanna acuña  Molina</v>
      </c>
      <c r="H871" s="16">
        <f>IFERROR(__xludf.DUMMYFUNCTION("""COMPUTED_VALUE"""),9365.0)</f>
        <v>9365</v>
      </c>
      <c r="I871" s="18">
        <f>IFERROR(__xludf.DUMMYFUNCTION("""COMPUTED_VALUE"""),16.0)</f>
        <v>16</v>
      </c>
      <c r="J871" s="18">
        <f>IFERROR(__xludf.DUMMYFUNCTION("""COMPUTED_VALUE"""),34.0)</f>
        <v>34</v>
      </c>
      <c r="K871" s="18">
        <f>IFERROR(__xludf.DUMMYFUNCTION("""COMPUTED_VALUE"""),25.0)</f>
        <v>25</v>
      </c>
      <c r="L871" s="17">
        <f>IFERROR(__xludf.DUMMYFUNCTION("""COMPUTED_VALUE"""),3.218700343E9)</f>
        <v>3218700343</v>
      </c>
      <c r="M871" s="17" t="str">
        <f>IFERROR(__xludf.DUMMYFUNCTION("""COMPUTED_VALUE"""),"#REF!")</f>
        <v>#REF!</v>
      </c>
      <c r="N871" s="17"/>
      <c r="O871" s="19" t="str">
        <f>IFERROR(__xludf.DUMMYFUNCTION("""COMPUTED_VALUE"""),"")</f>
        <v/>
      </c>
      <c r="P871" s="17" t="b">
        <f>IFERROR(__xludf.DUMMYFUNCTION("""COMPUTED_VALUE"""),TRUE)</f>
        <v>1</v>
      </c>
      <c r="Q871" s="20">
        <f>IFERROR(__xludf.DUMMYFUNCTION("""COMPUTED_VALUE"""),45021.49652710649)</f>
        <v>45021.49653</v>
      </c>
      <c r="R871" s="22" t="str">
        <f>IFERROR(__xludf.DUMMYFUNCTION("""COMPUTED_VALUE"""),"")</f>
        <v/>
      </c>
    </row>
    <row r="872">
      <c r="A872" s="15">
        <f>IFERROR(__xludf.DUMMYFUNCTION("""COMPUTED_VALUE"""),45021.0)</f>
        <v>45021</v>
      </c>
      <c r="B872" s="16" t="str">
        <f>IFERROR(__xludf.DUMMYFUNCTION("""COMPUTED_VALUE"""),"Johan Alexander Escobar Arroyo ")</f>
        <v>Johan Alexander Escobar Arroyo </v>
      </c>
      <c r="C872" s="15" t="str">
        <f>IFERROR(__xludf.DUMMYFUNCTION("""COMPUTED_VALUE"""),"CALI")</f>
        <v>CALI</v>
      </c>
      <c r="D872" s="15" t="str">
        <f>IFERROR(__xludf.DUMMYFUNCTION("""COMPUTED_VALUE"""),"BOGOTÁ")</f>
        <v>BOGOTÁ</v>
      </c>
      <c r="E872" s="15" t="str">
        <f>IFERROR(__xludf.DUMMYFUNCTION("""COMPUTED_VALUE"""),"Mochi")</f>
        <v>Mochi</v>
      </c>
      <c r="F872" s="17" t="str">
        <f>IFERROR(__xludf.DUMMYFUNCTION("""COMPUTED_VALUE"""),"	Cl. 15 Nte. #9n-16 / Granada / Granada")</f>
        <v>	Cl. 15 Nte. #9n-16 / Granada / Granada</v>
      </c>
      <c r="G872" s="15" t="str">
        <f>IFERROR(__xludf.DUMMYFUNCTION("""COMPUTED_VALUE"""),"Stefania")</f>
        <v>Stefania</v>
      </c>
      <c r="H872" s="16">
        <f>IFERROR(__xludf.DUMMYFUNCTION("""COMPUTED_VALUE"""),9507.0)</f>
        <v>9507</v>
      </c>
      <c r="I872" s="18">
        <f>IFERROR(__xludf.DUMMYFUNCTION("""COMPUTED_VALUE"""),55.0)</f>
        <v>55</v>
      </c>
      <c r="J872" s="18">
        <f>IFERROR(__xludf.DUMMYFUNCTION("""COMPUTED_VALUE"""),45.0)</f>
        <v>45</v>
      </c>
      <c r="K872" s="18" t="str">
        <f>IFERROR(__xludf.DUMMYFUNCTION("""COMPUTED_VALUE"""),"52.5")</f>
        <v>52.5</v>
      </c>
      <c r="L872" s="17">
        <f>IFERROR(__xludf.DUMMYFUNCTION("""COMPUTED_VALUE"""),3.183028598E9)</f>
        <v>3183028598</v>
      </c>
      <c r="M872" s="17" t="str">
        <f>IFERROR(__xludf.DUMMYFUNCTION("""COMPUTED_VALUE"""),"#REF!")</f>
        <v>#REF!</v>
      </c>
      <c r="N872" s="17"/>
      <c r="O872" s="19" t="str">
        <f>IFERROR(__xludf.DUMMYFUNCTION("""COMPUTED_VALUE"""),"")</f>
        <v/>
      </c>
      <c r="P872" s="17" t="b">
        <f>IFERROR(__xludf.DUMMYFUNCTION("""COMPUTED_VALUE"""),TRUE)</f>
        <v>1</v>
      </c>
      <c r="Q872" s="20">
        <f>IFERROR(__xludf.DUMMYFUNCTION("""COMPUTED_VALUE"""),45021.55544943287)</f>
        <v>45021.55545</v>
      </c>
      <c r="R872" s="22" t="str">
        <f>IFERROR(__xludf.DUMMYFUNCTION("""COMPUTED_VALUE"""),"")</f>
        <v/>
      </c>
    </row>
    <row r="873">
      <c r="A873" s="15">
        <f>IFERROR(__xludf.DUMMYFUNCTION("""COMPUTED_VALUE"""),45021.0)</f>
        <v>45021</v>
      </c>
      <c r="B873" s="16" t="str">
        <f>IFERROR(__xludf.DUMMYFUNCTION("""COMPUTED_VALUE"""),"Johan Alexander Escobar Arroyo ")</f>
        <v>Johan Alexander Escobar Arroyo </v>
      </c>
      <c r="C873" s="15" t="str">
        <f>IFERROR(__xludf.DUMMYFUNCTION("""COMPUTED_VALUE"""),"CALI")</f>
        <v>CALI</v>
      </c>
      <c r="D873" s="15" t="str">
        <f>IFERROR(__xludf.DUMMYFUNCTION("""COMPUTED_VALUE"""),"BOGOTÁ")</f>
        <v>BOGOTÁ</v>
      </c>
      <c r="E873" s="15" t="str">
        <f>IFERROR(__xludf.DUMMYFUNCTION("""COMPUTED_VALUE"""),"Renata")</f>
        <v>Renata</v>
      </c>
      <c r="F873" s="17" t="str">
        <f>IFERROR(__xludf.DUMMYFUNCTION("""COMPUTED_VALUE"""),"Carrera 3#3a-83 / Patio 34 food containers  / San Fernando")</f>
        <v>Carrera 3#3a-83 / Patio 34 food containers  / San Fernando</v>
      </c>
      <c r="G873" s="15" t="str">
        <f>IFERROR(__xludf.DUMMYFUNCTION("""COMPUTED_VALUE"""),"Retaco sas")</f>
        <v>Retaco sas</v>
      </c>
      <c r="H873" s="16">
        <f>IFERROR(__xludf.DUMMYFUNCTION("""COMPUTED_VALUE"""),9503.0)</f>
        <v>9503</v>
      </c>
      <c r="I873" s="18">
        <f>IFERROR(__xludf.DUMMYFUNCTION("""COMPUTED_VALUE"""),90.0)</f>
        <v>90</v>
      </c>
      <c r="J873" s="18">
        <f>IFERROR(__xludf.DUMMYFUNCTION("""COMPUTED_VALUE"""),70.0)</f>
        <v>70</v>
      </c>
      <c r="K873" s="18">
        <f>IFERROR(__xludf.DUMMYFUNCTION("""COMPUTED_VALUE"""),60.0)</f>
        <v>60</v>
      </c>
      <c r="L873" s="17">
        <f>IFERROR(__xludf.DUMMYFUNCTION("""COMPUTED_VALUE"""),3.134720976E9)</f>
        <v>3134720976</v>
      </c>
      <c r="M873" s="17" t="str">
        <f>IFERROR(__xludf.DUMMYFUNCTION("""COMPUTED_VALUE"""),"#REF!")</f>
        <v>#REF!</v>
      </c>
      <c r="N873" s="17"/>
      <c r="O873" s="19" t="str">
        <f>IFERROR(__xludf.DUMMYFUNCTION("""COMPUTED_VALUE"""),"")</f>
        <v/>
      </c>
      <c r="P873" s="17" t="b">
        <f>IFERROR(__xludf.DUMMYFUNCTION("""COMPUTED_VALUE"""),TRUE)</f>
        <v>1</v>
      </c>
      <c r="Q873" s="20">
        <f>IFERROR(__xludf.DUMMYFUNCTION("""COMPUTED_VALUE"""),45021.49372377315)</f>
        <v>45021.49372</v>
      </c>
      <c r="R873" s="22" t="str">
        <f>IFERROR(__xludf.DUMMYFUNCTION("""COMPUTED_VALUE"""),"")</f>
        <v/>
      </c>
    </row>
    <row r="874">
      <c r="A874" s="15">
        <f>IFERROR(__xludf.DUMMYFUNCTION("""COMPUTED_VALUE"""),45021.0)</f>
        <v>45021</v>
      </c>
      <c r="B874" s="16" t="str">
        <f>IFERROR(__xludf.DUMMYFUNCTION("""COMPUTED_VALUE"""),"Johan Alexander Escobar Arroyo ")</f>
        <v>Johan Alexander Escobar Arroyo </v>
      </c>
      <c r="C874" s="15" t="str">
        <f>IFERROR(__xludf.DUMMYFUNCTION("""COMPUTED_VALUE"""),"CALI")</f>
        <v>CALI</v>
      </c>
      <c r="D874" s="15" t="str">
        <f>IFERROR(__xludf.DUMMYFUNCTION("""COMPUTED_VALUE"""),"BOGOTÁ")</f>
        <v>BOGOTÁ</v>
      </c>
      <c r="E874" s="15" t="str">
        <f>IFERROR(__xludf.DUMMYFUNCTION("""COMPUTED_VALUE"""),"Viral Brands")</f>
        <v>Viral Brands</v>
      </c>
      <c r="F874" s="17" t="str">
        <f>IFERROR(__xludf.DUMMYFUNCTION("""COMPUTED_VALUE"""),"Avenida 5a 25n_39 / Edificio / San vicente")</f>
        <v>Avenida 5a 25n_39 / Edificio / San vicente</v>
      </c>
      <c r="G874" s="15" t="str">
        <f>IFERROR(__xludf.DUMMYFUNCTION("""COMPUTED_VALUE"""),"Lisbet gamez")</f>
        <v>Lisbet gamez</v>
      </c>
      <c r="H874" s="16">
        <f>IFERROR(__xludf.DUMMYFUNCTION("""COMPUTED_VALUE"""),9510.0)</f>
        <v>9510</v>
      </c>
      <c r="I874" s="18">
        <f>IFERROR(__xludf.DUMMYFUNCTION("""COMPUTED_VALUE"""),55.0)</f>
        <v>55</v>
      </c>
      <c r="J874" s="18">
        <f>IFERROR(__xludf.DUMMYFUNCTION("""COMPUTED_VALUE"""),45.0)</f>
        <v>45</v>
      </c>
      <c r="K874" s="18" t="str">
        <f>IFERROR(__xludf.DUMMYFUNCTION("""COMPUTED_VALUE"""),"52.5")</f>
        <v>52.5</v>
      </c>
      <c r="L874" s="17">
        <f>IFERROR(__xludf.DUMMYFUNCTION("""COMPUTED_VALUE"""),3.218280504E9)</f>
        <v>3218280504</v>
      </c>
      <c r="M874" s="17" t="str">
        <f>IFERROR(__xludf.DUMMYFUNCTION("""COMPUTED_VALUE"""),"#REF!")</f>
        <v>#REF!</v>
      </c>
      <c r="N874" s="17"/>
      <c r="O874" s="19" t="str">
        <f>IFERROR(__xludf.DUMMYFUNCTION("""COMPUTED_VALUE"""),"")</f>
        <v/>
      </c>
      <c r="P874" s="17" t="b">
        <f>IFERROR(__xludf.DUMMYFUNCTION("""COMPUTED_VALUE"""),FALSE)</f>
        <v>0</v>
      </c>
      <c r="Q874" s="20" t="str">
        <f>IFERROR(__xludf.DUMMYFUNCTION("""COMPUTED_VALUE"""),"")</f>
        <v/>
      </c>
      <c r="R874" s="22" t="str">
        <f>IFERROR(__xludf.DUMMYFUNCTION("""COMPUTED_VALUE"""),"")</f>
        <v/>
      </c>
    </row>
    <row r="875">
      <c r="A875" s="15">
        <f>IFERROR(__xludf.DUMMYFUNCTION("""COMPUTED_VALUE"""),45021.0)</f>
        <v>45021</v>
      </c>
      <c r="B875" s="16" t="str">
        <f>IFERROR(__xludf.DUMMYFUNCTION("""COMPUTED_VALUE"""),"Johan Alexander Escobar Arroyo ")</f>
        <v>Johan Alexander Escobar Arroyo </v>
      </c>
      <c r="C875" s="15" t="str">
        <f>IFERROR(__xludf.DUMMYFUNCTION("""COMPUTED_VALUE"""),"CALI")</f>
        <v>CALI</v>
      </c>
      <c r="D875" s="15" t="str">
        <f>IFERROR(__xludf.DUMMYFUNCTION("""COMPUTED_VALUE"""),"MEDELLÍN")</f>
        <v>MEDELLÍN</v>
      </c>
      <c r="E875" s="15" t="str">
        <f>IFERROR(__xludf.DUMMYFUNCTION("""COMPUTED_VALUE"""),"Baby Chef")</f>
        <v>Baby Chef</v>
      </c>
      <c r="F875" s="17" t="str">
        <f>IFERROR(__xludf.DUMMYFUNCTION("""COMPUTED_VALUE"""),"Apto 202e La Morelia Calle 10 Oeste 38 286 / Apto 202e La Morelia Calle 10 Oeste 38 286 / Apto 202e La Morelia Calle 10 Oeste 38 286")</f>
        <v>Apto 202e La Morelia Calle 10 Oeste 38 286 / Apto 202e La Morelia Calle 10 Oeste 38 286 / Apto 202e La Morelia Calle 10 Oeste 38 286</v>
      </c>
      <c r="G875" s="15" t="str">
        <f>IFERROR(__xludf.DUMMYFUNCTION("""COMPUTED_VALUE"""),"Jimena Martan")</f>
        <v>Jimena Martan</v>
      </c>
      <c r="H875" s="16">
        <f>IFERROR(__xludf.DUMMYFUNCTION("""COMPUTED_VALUE"""),9516.0)</f>
        <v>9516</v>
      </c>
      <c r="I875" s="18">
        <f>IFERROR(__xludf.DUMMYFUNCTION("""COMPUTED_VALUE"""),8.0)</f>
        <v>8</v>
      </c>
      <c r="J875" s="18">
        <f>IFERROR(__xludf.DUMMYFUNCTION("""COMPUTED_VALUE"""),16.0)</f>
        <v>16</v>
      </c>
      <c r="K875" s="18">
        <f>IFERROR(__xludf.DUMMYFUNCTION("""COMPUTED_VALUE"""),20.0)</f>
        <v>20</v>
      </c>
      <c r="L875" s="17">
        <f>IFERROR(__xludf.DUMMYFUNCTION("""COMPUTED_VALUE"""),3.177906979E9)</f>
        <v>3177906979</v>
      </c>
      <c r="M875" s="17" t="str">
        <f>IFERROR(__xludf.DUMMYFUNCTION("""COMPUTED_VALUE"""),"#REF!")</f>
        <v>#REF!</v>
      </c>
      <c r="N875" s="17"/>
      <c r="O875" s="19" t="str">
        <f>IFERROR(__xludf.DUMMYFUNCTION("""COMPUTED_VALUE"""),"")</f>
        <v/>
      </c>
      <c r="P875" s="17" t="b">
        <f>IFERROR(__xludf.DUMMYFUNCTION("""COMPUTED_VALUE"""),TRUE)</f>
        <v>1</v>
      </c>
      <c r="Q875" s="20">
        <f>IFERROR(__xludf.DUMMYFUNCTION("""COMPUTED_VALUE"""),45021.50610997685)</f>
        <v>45021.50611</v>
      </c>
      <c r="R875" s="22" t="str">
        <f>IFERROR(__xludf.DUMMYFUNCTION("""COMPUTED_VALUE"""),"")</f>
        <v/>
      </c>
    </row>
    <row r="876">
      <c r="A876" s="15">
        <f>IFERROR(__xludf.DUMMYFUNCTION("""COMPUTED_VALUE"""),45021.0)</f>
        <v>45021</v>
      </c>
      <c r="B876" s="16" t="str">
        <f>IFERROR(__xludf.DUMMYFUNCTION("""COMPUTED_VALUE"""),"Johan Alexander Escobar Arroyo ")</f>
        <v>Johan Alexander Escobar Arroyo </v>
      </c>
      <c r="C876" s="15" t="str">
        <f>IFERROR(__xludf.DUMMYFUNCTION("""COMPUTED_VALUE"""),"CALI")</f>
        <v>CALI</v>
      </c>
      <c r="D876" s="15" t="str">
        <f>IFERROR(__xludf.DUMMYFUNCTION("""COMPUTED_VALUE"""),"MEDELLÍN")</f>
        <v>MEDELLÍN</v>
      </c>
      <c r="E876" s="15" t="str">
        <f>IFERROR(__xludf.DUMMYFUNCTION("""COMPUTED_VALUE"""),"Baby Chef")</f>
        <v>Baby Chef</v>
      </c>
      <c r="F876" s="17" t="str">
        <f>IFERROR(__xludf.DUMMYFUNCTION("""COMPUTED_VALUE"""),"Avenida 2 norte #4n-06 Apto 701 / Avenida 2 norte #4n-06 Apto 701 / Avenida 2 norte #4n-06 Apto 701")</f>
        <v>Avenida 2 norte #4n-06 Apto 701 / Avenida 2 norte #4n-06 Apto 701 / Avenida 2 norte #4n-06 Apto 701</v>
      </c>
      <c r="G876" s="15" t="str">
        <f>IFERROR(__xludf.DUMMYFUNCTION("""COMPUTED_VALUE"""),"Maria Jimena  Bedoya")</f>
        <v>Maria Jimena  Bedoya</v>
      </c>
      <c r="H876" s="16">
        <f>IFERROR(__xludf.DUMMYFUNCTION("""COMPUTED_VALUE"""),9515.0)</f>
        <v>9515</v>
      </c>
      <c r="I876" s="18">
        <f>IFERROR(__xludf.DUMMYFUNCTION("""COMPUTED_VALUE"""),8.0)</f>
        <v>8</v>
      </c>
      <c r="J876" s="18">
        <f>IFERROR(__xludf.DUMMYFUNCTION("""COMPUTED_VALUE"""),16.0)</f>
        <v>16</v>
      </c>
      <c r="K876" s="18">
        <f>IFERROR(__xludf.DUMMYFUNCTION("""COMPUTED_VALUE"""),20.0)</f>
        <v>20</v>
      </c>
      <c r="L876" s="17">
        <f>IFERROR(__xludf.DUMMYFUNCTION("""COMPUTED_VALUE"""),3.113677538E9)</f>
        <v>3113677538</v>
      </c>
      <c r="M876" s="17" t="str">
        <f>IFERROR(__xludf.DUMMYFUNCTION("""COMPUTED_VALUE"""),"#REF!")</f>
        <v>#REF!</v>
      </c>
      <c r="N876" s="17"/>
      <c r="O876" s="19" t="str">
        <f>IFERROR(__xludf.DUMMYFUNCTION("""COMPUTED_VALUE"""),"")</f>
        <v/>
      </c>
      <c r="P876" s="17" t="b">
        <f>IFERROR(__xludf.DUMMYFUNCTION("""COMPUTED_VALUE"""),TRUE)</f>
        <v>1</v>
      </c>
      <c r="Q876" s="20">
        <f>IFERROR(__xludf.DUMMYFUNCTION("""COMPUTED_VALUE"""),45021.54559927083)</f>
        <v>45021.5456</v>
      </c>
      <c r="R876" s="22" t="str">
        <f>IFERROR(__xludf.DUMMYFUNCTION("""COMPUTED_VALUE"""),"")</f>
        <v/>
      </c>
    </row>
    <row r="877">
      <c r="A877" s="15">
        <f>IFERROR(__xludf.DUMMYFUNCTION("""COMPUTED_VALUE"""),45021.0)</f>
        <v>45021</v>
      </c>
      <c r="B877" s="16" t="str">
        <f>IFERROR(__xludf.DUMMYFUNCTION("""COMPUTED_VALUE"""),"Johan Alexander Escobar Arroyo ")</f>
        <v>Johan Alexander Escobar Arroyo </v>
      </c>
      <c r="C877" s="15" t="str">
        <f>IFERROR(__xludf.DUMMYFUNCTION("""COMPUTED_VALUE"""),"CALI")</f>
        <v>CALI</v>
      </c>
      <c r="D877" s="15" t="str">
        <f>IFERROR(__xludf.DUMMYFUNCTION("""COMPUTED_VALUE"""),"MEDELLÍN")</f>
        <v>MEDELLÍN</v>
      </c>
      <c r="E877" s="15" t="str">
        <f>IFERROR(__xludf.DUMMYFUNCTION("""COMPUTED_VALUE"""),"Baby Chef")</f>
        <v>Baby Chef</v>
      </c>
      <c r="F877" s="17" t="str">
        <f>IFERROR(__xludf.DUMMYFUNCTION("""COMPUTED_VALUE"""),"Calle 21ANorte # 9AN-81 Edificio Tali apto 503 barrio santa monica, Cali / Edificio Tali apto 503 barrio santa monica, Cali / Edificio Tali apto 503 barrio santa monica, Cali")</f>
        <v>Calle 21ANorte # 9AN-81 Edificio Tali apto 503 barrio santa monica, Cali / Edificio Tali apto 503 barrio santa monica, Cali / Edificio Tali apto 503 barrio santa monica, Cali</v>
      </c>
      <c r="G877" s="15" t="str">
        <f>IFERROR(__xludf.DUMMYFUNCTION("""COMPUTED_VALUE"""),"Alejandra Maria Gomez CALI")</f>
        <v>Alejandra Maria Gomez CALI</v>
      </c>
      <c r="H877" s="16">
        <f>IFERROR(__xludf.DUMMYFUNCTION("""COMPUTED_VALUE"""),9517.0)</f>
        <v>9517</v>
      </c>
      <c r="I877" s="18">
        <f>IFERROR(__xludf.DUMMYFUNCTION("""COMPUTED_VALUE"""),8.0)</f>
        <v>8</v>
      </c>
      <c r="J877" s="18">
        <f>IFERROR(__xludf.DUMMYFUNCTION("""COMPUTED_VALUE"""),16.0)</f>
        <v>16</v>
      </c>
      <c r="K877" s="18">
        <f>IFERROR(__xludf.DUMMYFUNCTION("""COMPUTED_VALUE"""),20.0)</f>
        <v>20</v>
      </c>
      <c r="L877" s="17">
        <f>IFERROR(__xludf.DUMMYFUNCTION("""COMPUTED_VALUE"""),3.012249591E9)</f>
        <v>3012249591</v>
      </c>
      <c r="M877" s="17" t="str">
        <f>IFERROR(__xludf.DUMMYFUNCTION("""COMPUTED_VALUE"""),"#REF!")</f>
        <v>#REF!</v>
      </c>
      <c r="N877" s="17"/>
      <c r="O877" s="19" t="str">
        <f>IFERROR(__xludf.DUMMYFUNCTION("""COMPUTED_VALUE"""),"")</f>
        <v/>
      </c>
      <c r="P877" s="17" t="b">
        <f>IFERROR(__xludf.DUMMYFUNCTION("""COMPUTED_VALUE"""),FALSE)</f>
        <v>0</v>
      </c>
      <c r="Q877" s="20" t="str">
        <f>IFERROR(__xludf.DUMMYFUNCTION("""COMPUTED_VALUE"""),"")</f>
        <v/>
      </c>
      <c r="R877" s="22" t="str">
        <f>IFERROR(__xludf.DUMMYFUNCTION("""COMPUTED_VALUE"""),"")</f>
        <v/>
      </c>
    </row>
    <row r="878">
      <c r="A878" s="15">
        <f>IFERROR(__xludf.DUMMYFUNCTION("""COMPUTED_VALUE"""),45021.0)</f>
        <v>45021</v>
      </c>
      <c r="B878" s="16" t="str">
        <f>IFERROR(__xludf.DUMMYFUNCTION("""COMPUTED_VALUE"""),"Johan Alexander Escobar Arroyo ")</f>
        <v>Johan Alexander Escobar Arroyo </v>
      </c>
      <c r="C878" s="15" t="str">
        <f>IFERROR(__xludf.DUMMYFUNCTION("""COMPUTED_VALUE"""),"CALI")</f>
        <v>CALI</v>
      </c>
      <c r="D878" s="15" t="str">
        <f>IFERROR(__xludf.DUMMYFUNCTION("""COMPUTED_VALUE"""),"MEDELLÍN")</f>
        <v>MEDELLÍN</v>
      </c>
      <c r="E878" s="15" t="str">
        <f>IFERROR(__xludf.DUMMYFUNCTION("""COMPUTED_VALUE"""),"Baby Chef")</f>
        <v>Baby Chef</v>
      </c>
      <c r="F878" s="17" t="str">
        <f>IFERROR(__xludf.DUMMYFUNCTION("""COMPUTED_VALUE"""),"Carrera 103 # 11-40 Sendero del Polo club casa P1 / Carrera 103 # 11-40 Sendero del Polo club casa P1 / Carrera 103 # 11-40 Sendero del Polo club casa P1")</f>
        <v>Carrera 103 # 11-40 Sendero del Polo club casa P1 / Carrera 103 # 11-40 Sendero del Polo club casa P1 / Carrera 103 # 11-40 Sendero del Polo club casa P1</v>
      </c>
      <c r="G878" s="15" t="str">
        <f>IFERROR(__xludf.DUMMYFUNCTION("""COMPUTED_VALUE"""),"Johanna  Rojas")</f>
        <v>Johanna  Rojas</v>
      </c>
      <c r="H878" s="16">
        <f>IFERROR(__xludf.DUMMYFUNCTION("""COMPUTED_VALUE"""),9519.0)</f>
        <v>9519</v>
      </c>
      <c r="I878" s="18">
        <f>IFERROR(__xludf.DUMMYFUNCTION("""COMPUTED_VALUE"""),10.0)</f>
        <v>10</v>
      </c>
      <c r="J878" s="18">
        <f>IFERROR(__xludf.DUMMYFUNCTION("""COMPUTED_VALUE"""),20.0)</f>
        <v>20</v>
      </c>
      <c r="K878" s="18">
        <f>IFERROR(__xludf.DUMMYFUNCTION("""COMPUTED_VALUE"""),20.0)</f>
        <v>20</v>
      </c>
      <c r="L878" s="17">
        <f>IFERROR(__xludf.DUMMYFUNCTION("""COMPUTED_VALUE"""),3.183307191E9)</f>
        <v>3183307191</v>
      </c>
      <c r="M878" s="17" t="str">
        <f>IFERROR(__xludf.DUMMYFUNCTION("""COMPUTED_VALUE"""),"#REF!")</f>
        <v>#REF!</v>
      </c>
      <c r="N878" s="17"/>
      <c r="O878" s="19" t="str">
        <f>IFERROR(__xludf.DUMMYFUNCTION("""COMPUTED_VALUE"""),"")</f>
        <v/>
      </c>
      <c r="P878" s="17" t="b">
        <f>IFERROR(__xludf.DUMMYFUNCTION("""COMPUTED_VALUE"""),TRUE)</f>
        <v>1</v>
      </c>
      <c r="Q878" s="20">
        <f>IFERROR(__xludf.DUMMYFUNCTION("""COMPUTED_VALUE"""),45021.38107555556)</f>
        <v>45021.38108</v>
      </c>
      <c r="R878" s="22" t="str">
        <f>IFERROR(__xludf.DUMMYFUNCTION("""COMPUTED_VALUE"""),"")</f>
        <v/>
      </c>
    </row>
    <row r="879">
      <c r="A879" s="15">
        <f>IFERROR(__xludf.DUMMYFUNCTION("""COMPUTED_VALUE"""),45021.0)</f>
        <v>45021</v>
      </c>
      <c r="B879" s="16" t="str">
        <f>IFERROR(__xludf.DUMMYFUNCTION("""COMPUTED_VALUE"""),"Johan Alexander Escobar Arroyo ")</f>
        <v>Johan Alexander Escobar Arroyo </v>
      </c>
      <c r="C879" s="15" t="str">
        <f>IFERROR(__xludf.DUMMYFUNCTION("""COMPUTED_VALUE"""),"CALI")</f>
        <v>CALI</v>
      </c>
      <c r="D879" s="15" t="str">
        <f>IFERROR(__xludf.DUMMYFUNCTION("""COMPUTED_VALUE"""),"MEDELLÍN")</f>
        <v>MEDELLÍN</v>
      </c>
      <c r="E879" s="15" t="str">
        <f>IFERROR(__xludf.DUMMYFUNCTION("""COMPUTED_VALUE"""),"Baby Chef")</f>
        <v>Baby Chef</v>
      </c>
      <c r="F879" s="17" t="str">
        <f>IFERROR(__xludf.DUMMYFUNCTION("""COMPUTED_VALUE"""),"CARRERA 28H #41-123, BARRIO EL DIAMANTE APTO 201 / CARRERA 28H #41-123, BARRIO EL DIAMANTE APTO 201 / CARRERA 28H #41-123, BARRIO EL DIAMANTE APTO 201")</f>
        <v>CARRERA 28H #41-123, BARRIO EL DIAMANTE APTO 201 / CARRERA 28H #41-123, BARRIO EL DIAMANTE APTO 201 / CARRERA 28H #41-123, BARRIO EL DIAMANTE APTO 201</v>
      </c>
      <c r="G879" s="15" t="str">
        <f>IFERROR(__xludf.DUMMYFUNCTION("""COMPUTED_VALUE"""),"CAROLINA NAZARITH")</f>
        <v>CAROLINA NAZARITH</v>
      </c>
      <c r="H879" s="16">
        <f>IFERROR(__xludf.DUMMYFUNCTION("""COMPUTED_VALUE"""),9518.0)</f>
        <v>9518</v>
      </c>
      <c r="I879" s="18">
        <f>IFERROR(__xludf.DUMMYFUNCTION("""COMPUTED_VALUE"""),8.0)</f>
        <v>8</v>
      </c>
      <c r="J879" s="18">
        <f>IFERROR(__xludf.DUMMYFUNCTION("""COMPUTED_VALUE"""),16.0)</f>
        <v>16</v>
      </c>
      <c r="K879" s="18">
        <f>IFERROR(__xludf.DUMMYFUNCTION("""COMPUTED_VALUE"""),20.0)</f>
        <v>20</v>
      </c>
      <c r="L879" s="17">
        <f>IFERROR(__xludf.DUMMYFUNCTION("""COMPUTED_VALUE"""),3.116069111E9)</f>
        <v>3116069111</v>
      </c>
      <c r="M879" s="17" t="str">
        <f>IFERROR(__xludf.DUMMYFUNCTION("""COMPUTED_VALUE"""),"#REF!")</f>
        <v>#REF!</v>
      </c>
      <c r="N879" s="17"/>
      <c r="O879" s="19" t="str">
        <f>IFERROR(__xludf.DUMMYFUNCTION("""COMPUTED_VALUE"""),"")</f>
        <v/>
      </c>
      <c r="P879" s="17" t="b">
        <f>IFERROR(__xludf.DUMMYFUNCTION("""COMPUTED_VALUE"""),TRUE)</f>
        <v>1</v>
      </c>
      <c r="Q879" s="20">
        <f>IFERROR(__xludf.DUMMYFUNCTION("""COMPUTED_VALUE"""),45021.38112226852)</f>
        <v>45021.38112</v>
      </c>
      <c r="R879" s="22" t="str">
        <f>IFERROR(__xludf.DUMMYFUNCTION("""COMPUTED_VALUE"""),"")</f>
        <v/>
      </c>
    </row>
    <row r="880">
      <c r="A880" s="15">
        <f>IFERROR(__xludf.DUMMYFUNCTION("""COMPUTED_VALUE"""),45021.0)</f>
        <v>45021</v>
      </c>
      <c r="B880" s="16" t="str">
        <f>IFERROR(__xludf.DUMMYFUNCTION("""COMPUTED_VALUE"""),"Johan Alexander Escobar Arroyo ")</f>
        <v>Johan Alexander Escobar Arroyo </v>
      </c>
      <c r="C880" s="15" t="str">
        <f>IFERROR(__xludf.DUMMYFUNCTION("""COMPUTED_VALUE"""),"CALI")</f>
        <v>CALI</v>
      </c>
      <c r="D880" s="15" t="str">
        <f>IFERROR(__xludf.DUMMYFUNCTION("""COMPUTED_VALUE"""),"MEDELLÍN")</f>
        <v>MEDELLÍN</v>
      </c>
      <c r="E880" s="15" t="str">
        <f>IFERROR(__xludf.DUMMYFUNCTION("""COMPUTED_VALUE"""),"JD Bufala")</f>
        <v>JD Bufala</v>
      </c>
      <c r="F880" s="17" t="str">
        <f>IFERROR(__xludf.DUMMYFUNCTION("""COMPUTED_VALUE"""),"Calle 51 Norte #4bn72 / Delhuertopizzeria  / La flora")</f>
        <v>Calle 51 Norte #4bn72 / Delhuertopizzeria  / La flora</v>
      </c>
      <c r="G880" s="15" t="str">
        <f>IFERROR(__xludf.DUMMYFUNCTION("""COMPUTED_VALUE"""),"Javier Rodríguez")</f>
        <v>Javier Rodríguez</v>
      </c>
      <c r="H880" s="16">
        <f>IFERROR(__xludf.DUMMYFUNCTION("""COMPUTED_VALUE"""),9502.0)</f>
        <v>9502</v>
      </c>
      <c r="I880" s="18">
        <f>IFERROR(__xludf.DUMMYFUNCTION("""COMPUTED_VALUE"""),82.0)</f>
        <v>82</v>
      </c>
      <c r="J880" s="18">
        <f>IFERROR(__xludf.DUMMYFUNCTION("""COMPUTED_VALUE"""),28.0)</f>
        <v>28</v>
      </c>
      <c r="K880" s="18">
        <f>IFERROR(__xludf.DUMMYFUNCTION("""COMPUTED_VALUE"""),40.0)</f>
        <v>40</v>
      </c>
      <c r="L880" s="17">
        <f>IFERROR(__xludf.DUMMYFUNCTION("""COMPUTED_VALUE"""),3.104919761E9)</f>
        <v>3104919761</v>
      </c>
      <c r="M880" s="17" t="str">
        <f>IFERROR(__xludf.DUMMYFUNCTION("""COMPUTED_VALUE"""),"#REF!")</f>
        <v>#REF!</v>
      </c>
      <c r="N880" s="17"/>
      <c r="O880" s="19" t="str">
        <f>IFERROR(__xludf.DUMMYFUNCTION("""COMPUTED_VALUE"""),"")</f>
        <v/>
      </c>
      <c r="P880" s="17" t="b">
        <f>IFERROR(__xludf.DUMMYFUNCTION("""COMPUTED_VALUE"""),TRUE)</f>
        <v>1</v>
      </c>
      <c r="Q880" s="20">
        <f>IFERROR(__xludf.DUMMYFUNCTION("""COMPUTED_VALUE"""),45021.38112226852)</f>
        <v>45021.38112</v>
      </c>
      <c r="R880" s="22" t="str">
        <f>IFERROR(__xludf.DUMMYFUNCTION("""COMPUTED_VALUE"""),"")</f>
        <v/>
      </c>
    </row>
    <row r="881">
      <c r="A881" s="17" t="str">
        <f>IFERROR(__xludf.DUMMYFUNCTION("""COMPUTED_VALUE"""),"")</f>
        <v/>
      </c>
      <c r="B881" s="17" t="str">
        <f>IFERROR(__xludf.DUMMYFUNCTION("""COMPUTED_VALUE"""),"")</f>
        <v/>
      </c>
      <c r="C881" s="17" t="str">
        <f>IFERROR(__xludf.DUMMYFUNCTION("""COMPUTED_VALUE"""),"")</f>
        <v/>
      </c>
      <c r="D881" s="17" t="str">
        <f>IFERROR(__xludf.DUMMYFUNCTION("""COMPUTED_VALUE"""),"")</f>
        <v/>
      </c>
      <c r="E881" s="17" t="str">
        <f>IFERROR(__xludf.DUMMYFUNCTION("""COMPUTED_VALUE"""),"")</f>
        <v/>
      </c>
      <c r="F881" s="17" t="str">
        <f>IFERROR(__xludf.DUMMYFUNCTION("""COMPUTED_VALUE"""),"")</f>
        <v/>
      </c>
      <c r="G881" s="17" t="str">
        <f>IFERROR(__xludf.DUMMYFUNCTION("""COMPUTED_VALUE"""),"")</f>
        <v/>
      </c>
      <c r="H881" s="17" t="str">
        <f>IFERROR(__xludf.DUMMYFUNCTION("""COMPUTED_VALUE"""),"")</f>
        <v/>
      </c>
      <c r="I881" s="17" t="str">
        <f>IFERROR(__xludf.DUMMYFUNCTION("""COMPUTED_VALUE"""),"")</f>
        <v/>
      </c>
      <c r="J881" s="17" t="str">
        <f>IFERROR(__xludf.DUMMYFUNCTION("""COMPUTED_VALUE"""),"")</f>
        <v/>
      </c>
      <c r="K881" s="17" t="str">
        <f>IFERROR(__xludf.DUMMYFUNCTION("""COMPUTED_VALUE"""),"")</f>
        <v/>
      </c>
      <c r="L881" s="17" t="str">
        <f>IFERROR(__xludf.DUMMYFUNCTION("""COMPUTED_VALUE"""),"")</f>
        <v/>
      </c>
      <c r="M881" s="17" t="str">
        <f>IFERROR(__xludf.DUMMYFUNCTION("""COMPUTED_VALUE"""),"")</f>
        <v/>
      </c>
      <c r="N881" s="17" t="str">
        <f>IFERROR(__xludf.DUMMYFUNCTION("""COMPUTED_VALUE"""),"")</f>
        <v/>
      </c>
      <c r="O881" s="17" t="str">
        <f>IFERROR(__xludf.DUMMYFUNCTION("""COMPUTED_VALUE"""),"")</f>
        <v/>
      </c>
      <c r="P881" s="17" t="str">
        <f>IFERROR(__xludf.DUMMYFUNCTION("""COMPUTED_VALUE"""),"")</f>
        <v/>
      </c>
      <c r="Q881" s="17" t="str">
        <f>IFERROR(__xludf.DUMMYFUNCTION("""COMPUTED_VALUE"""),"")</f>
        <v/>
      </c>
      <c r="R881" s="17" t="str">
        <f>IFERROR(__xludf.DUMMYFUNCTION("""COMPUTED_VALUE"""),"")</f>
        <v/>
      </c>
    </row>
    <row r="882">
      <c r="A882" s="15">
        <f>IFERROR(__xludf.DUMMYFUNCTION("""COMPUTED_VALUE"""),45021.0)</f>
        <v>45021</v>
      </c>
      <c r="B882" s="16" t="str">
        <f>IFERROR(__xludf.DUMMYFUNCTION("""COMPUTED_VALUE"""),"Julian Calderon Rodriguez ")</f>
        <v>Julian Calderon Rodriguez </v>
      </c>
      <c r="C882" s="15" t="str">
        <f>IFERROR(__xludf.DUMMYFUNCTION("""COMPUTED_VALUE"""),"NEIVA")</f>
        <v>NEIVA</v>
      </c>
      <c r="D882" s="15" t="str">
        <f>IFERROR(__xludf.DUMMYFUNCTION("""COMPUTED_VALUE"""),"BOGOTÁ")</f>
        <v>BOGOTÁ</v>
      </c>
      <c r="E882" s="15" t="str">
        <f>IFERROR(__xludf.DUMMYFUNCTION("""COMPUTED_VALUE"""),"Evamazzita")</f>
        <v>Evamazzita</v>
      </c>
      <c r="F882" s="17" t="str">
        <f>IFERROR(__xludf.DUMMYFUNCTION("""COMPUTED_VALUE"""),"carrera 8F #33-68  / N/A / Cambulos")</f>
        <v>carrera 8F #33-68  / N/A / Cambulos</v>
      </c>
      <c r="G882" s="15" t="str">
        <f>IFERROR(__xludf.DUMMYFUNCTION("""COMPUTED_VALUE"""),"LORENA PERDOMO")</f>
        <v>LORENA PERDOMO</v>
      </c>
      <c r="H882" s="16">
        <f>IFERROR(__xludf.DUMMYFUNCTION("""COMPUTED_VALUE"""),9501.0)</f>
        <v>9501</v>
      </c>
      <c r="I882" s="18">
        <f>IFERROR(__xludf.DUMMYFUNCTION("""COMPUTED_VALUE"""),3.0)</f>
        <v>3</v>
      </c>
      <c r="J882" s="18">
        <f>IFERROR(__xludf.DUMMYFUNCTION("""COMPUTED_VALUE"""),20.0)</f>
        <v>20</v>
      </c>
      <c r="K882" s="18">
        <f>IFERROR(__xludf.DUMMYFUNCTION("""COMPUTED_VALUE"""),15.0)</f>
        <v>15</v>
      </c>
      <c r="L882" s="17">
        <f>IFERROR(__xludf.DUMMYFUNCTION("""COMPUTED_VALUE"""),3.208019287E9)</f>
        <v>3208019287</v>
      </c>
      <c r="M882" s="17" t="str">
        <f>IFERROR(__xludf.DUMMYFUNCTION("""COMPUTED_VALUE"""),"#REF!")</f>
        <v>#REF!</v>
      </c>
      <c r="N882" s="17"/>
      <c r="O882" s="19" t="str">
        <f>IFERROR(__xludf.DUMMYFUNCTION("""COMPUTED_VALUE"""),"")</f>
        <v/>
      </c>
      <c r="P882" s="17" t="b">
        <f>IFERROR(__xludf.DUMMYFUNCTION("""COMPUTED_VALUE"""),TRUE)</f>
        <v>1</v>
      </c>
      <c r="Q882" s="20">
        <f>IFERROR(__xludf.DUMMYFUNCTION("""COMPUTED_VALUE"""),45021.38112226852)</f>
        <v>45021.38112</v>
      </c>
      <c r="R882" s="22" t="str">
        <f>IFERROR(__xludf.DUMMYFUNCTION("""COMPUTED_VALUE"""),"")</f>
        <v/>
      </c>
    </row>
    <row r="883">
      <c r="A883" s="15">
        <f>IFERROR(__xludf.DUMMYFUNCTION("""COMPUTED_VALUE"""),45021.0)</f>
        <v>45021</v>
      </c>
      <c r="B883" s="16" t="str">
        <f>IFERROR(__xludf.DUMMYFUNCTION("""COMPUTED_VALUE"""),"Julian Calderon Rodriguez ")</f>
        <v>Julian Calderon Rodriguez </v>
      </c>
      <c r="C883" s="15" t="str">
        <f>IFERROR(__xludf.DUMMYFUNCTION("""COMPUTED_VALUE"""),"VILLAVICENCIO")</f>
        <v>VILLAVICENCIO</v>
      </c>
      <c r="D883" s="15" t="str">
        <f>IFERROR(__xludf.DUMMYFUNCTION("""COMPUTED_VALUE"""),"BOGOTÁ")</f>
        <v>BOGOTÁ</v>
      </c>
      <c r="E883" s="15" t="str">
        <f>IFERROR(__xludf.DUMMYFUNCTION("""COMPUTED_VALUE"""),"Evamazzita")</f>
        <v>Evamazzita</v>
      </c>
      <c r="F883" s="17" t="str">
        <f>IFERROR(__xludf.DUMMYFUNCTION("""COMPUTED_VALUE"""),"Calle 27 no 26 03 / CENTRO DE ACOPIO ENVÍA / RECOGE EN CENTRO DE ACOPIO")</f>
        <v>Calle 27 no 26 03 / CENTRO DE ACOPIO ENVÍA / RECOGE EN CENTRO DE ACOPIO</v>
      </c>
      <c r="G883" s="15" t="str">
        <f>IFERROR(__xludf.DUMMYFUNCTION("""COMPUTED_VALUE"""),"BARBARA AMAYA MORALES")</f>
        <v>BARBARA AMAYA MORALES</v>
      </c>
      <c r="H883" s="16">
        <f>IFERROR(__xludf.DUMMYFUNCTION("""COMPUTED_VALUE"""),9494.0)</f>
        <v>9494</v>
      </c>
      <c r="I883" s="18">
        <f>IFERROR(__xludf.DUMMYFUNCTION("""COMPUTED_VALUE"""),10.0)</f>
        <v>10</v>
      </c>
      <c r="J883" s="18">
        <f>IFERROR(__xludf.DUMMYFUNCTION("""COMPUTED_VALUE"""),18.0)</f>
        <v>18</v>
      </c>
      <c r="K883" s="18">
        <f>IFERROR(__xludf.DUMMYFUNCTION("""COMPUTED_VALUE"""),22.0)</f>
        <v>22</v>
      </c>
      <c r="L883" s="17">
        <f>IFERROR(__xludf.DUMMYFUNCTION("""COMPUTED_VALUE"""),3.212179055E9)</f>
        <v>3212179055</v>
      </c>
      <c r="M883" s="17" t="str">
        <f>IFERROR(__xludf.DUMMYFUNCTION("""COMPUTED_VALUE"""),"#REF!")</f>
        <v>#REF!</v>
      </c>
      <c r="N883" s="17"/>
      <c r="O883" s="19" t="str">
        <f>IFERROR(__xludf.DUMMYFUNCTION("""COMPUTED_VALUE"""),"")</f>
        <v/>
      </c>
      <c r="P883" s="17" t="b">
        <f>IFERROR(__xludf.DUMMYFUNCTION("""COMPUTED_VALUE"""),TRUE)</f>
        <v>1</v>
      </c>
      <c r="Q883" s="20">
        <f>IFERROR(__xludf.DUMMYFUNCTION("""COMPUTED_VALUE"""),45021.38112226852)</f>
        <v>45021.38112</v>
      </c>
      <c r="R883" s="22" t="str">
        <f>IFERROR(__xludf.DUMMYFUNCTION("""COMPUTED_VALUE"""),"")</f>
        <v/>
      </c>
    </row>
    <row r="884">
      <c r="A884" s="15">
        <f>IFERROR(__xludf.DUMMYFUNCTION("""COMPUTED_VALUE"""),45021.0)</f>
        <v>45021</v>
      </c>
      <c r="B884" s="16" t="str">
        <f>IFERROR(__xludf.DUMMYFUNCTION("""COMPUTED_VALUE"""),"Julian Calderon Rodriguez ")</f>
        <v>Julian Calderon Rodriguez </v>
      </c>
      <c r="C884" s="15" t="str">
        <f>IFERROR(__xludf.DUMMYFUNCTION("""COMPUTED_VALUE"""),"VILLAVICENCIO")</f>
        <v>VILLAVICENCIO</v>
      </c>
      <c r="D884" s="15" t="str">
        <f>IFERROR(__xludf.DUMMYFUNCTION("""COMPUTED_VALUE"""),"BOGOTÁ")</f>
        <v>BOGOTÁ</v>
      </c>
      <c r="E884" s="15" t="str">
        <f>IFERROR(__xludf.DUMMYFUNCTION("""COMPUTED_VALUE"""),"Evamazzita")</f>
        <v>Evamazzita</v>
      </c>
      <c r="F884" s="17" t="str">
        <f>IFERROR(__xludf.DUMMYFUNCTION("""COMPUTED_VALUE"""),"CALLE 38 No. 12 - 54  / MANZANA D CASA 4 CONJUNTO ALMERIA  / BARRIO CASTILLA")</f>
        <v>CALLE 38 No. 12 - 54  / MANZANA D CASA 4 CONJUNTO ALMERIA  / BARRIO CASTILLA</v>
      </c>
      <c r="G884" s="15" t="str">
        <f>IFERROR(__xludf.DUMMYFUNCTION("""COMPUTED_VALUE"""),"ANA MARIA CRISTANCHO CHITIVA")</f>
        <v>ANA MARIA CRISTANCHO CHITIVA</v>
      </c>
      <c r="H884" s="16">
        <f>IFERROR(__xludf.DUMMYFUNCTION("""COMPUTED_VALUE"""),9496.0)</f>
        <v>9496</v>
      </c>
      <c r="I884" s="18">
        <f>IFERROR(__xludf.DUMMYFUNCTION("""COMPUTED_VALUE"""),3.0)</f>
        <v>3</v>
      </c>
      <c r="J884" s="18">
        <f>IFERROR(__xludf.DUMMYFUNCTION("""COMPUTED_VALUE"""),20.0)</f>
        <v>20</v>
      </c>
      <c r="K884" s="18">
        <f>IFERROR(__xludf.DUMMYFUNCTION("""COMPUTED_VALUE"""),15.0)</f>
        <v>15</v>
      </c>
      <c r="L884" s="17">
        <f>IFERROR(__xludf.DUMMYFUNCTION("""COMPUTED_VALUE"""),3.208150611E9)</f>
        <v>3208150611</v>
      </c>
      <c r="M884" s="17" t="str">
        <f>IFERROR(__xludf.DUMMYFUNCTION("""COMPUTED_VALUE"""),"#REF!")</f>
        <v>#REF!</v>
      </c>
      <c r="N884" s="17"/>
      <c r="O884" s="19" t="str">
        <f>IFERROR(__xludf.DUMMYFUNCTION("""COMPUTED_VALUE"""),"")</f>
        <v/>
      </c>
      <c r="P884" s="17" t="b">
        <f>IFERROR(__xludf.DUMMYFUNCTION("""COMPUTED_VALUE"""),TRUE)</f>
        <v>1</v>
      </c>
      <c r="Q884" s="20">
        <f>IFERROR(__xludf.DUMMYFUNCTION("""COMPUTED_VALUE"""),45021.38114912037)</f>
        <v>45021.38115</v>
      </c>
      <c r="R884" s="22" t="str">
        <f>IFERROR(__xludf.DUMMYFUNCTION("""COMPUTED_VALUE"""),"")</f>
        <v/>
      </c>
    </row>
    <row r="885">
      <c r="A885" s="15">
        <f>IFERROR(__xludf.DUMMYFUNCTION("""COMPUTED_VALUE"""),45021.0)</f>
        <v>45021</v>
      </c>
      <c r="B885" s="16" t="str">
        <f>IFERROR(__xludf.DUMMYFUNCTION("""COMPUTED_VALUE"""),"Julian Calderon Rodriguez ")</f>
        <v>Julian Calderon Rodriguez </v>
      </c>
      <c r="C885" s="15" t="str">
        <f>IFERROR(__xludf.DUMMYFUNCTION("""COMPUTED_VALUE"""),"VILLAVICENCIO")</f>
        <v>VILLAVICENCIO</v>
      </c>
      <c r="D885" s="15" t="str">
        <f>IFERROR(__xludf.DUMMYFUNCTION("""COMPUTED_VALUE"""),"BOGOTÁ")</f>
        <v>BOGOTÁ</v>
      </c>
      <c r="E885" s="15" t="str">
        <f>IFERROR(__xludf.DUMMYFUNCTION("""COMPUTED_VALUE"""),"Evamazzita")</f>
        <v>Evamazzita</v>
      </c>
      <c r="F885" s="17" t="str">
        <f>IFERROR(__xludf.DUMMYFUNCTION("""COMPUTED_VALUE"""),"Calle 46# 36-55  / N/A / Barrio la esmeralda")</f>
        <v>Calle 46# 36-55  / N/A / Barrio la esmeralda</v>
      </c>
      <c r="G885" s="15" t="str">
        <f>IFERROR(__xludf.DUMMYFUNCTION("""COMPUTED_VALUE"""),"DERLY XIOMARA HERRERA")</f>
        <v>DERLY XIOMARA HERRERA</v>
      </c>
      <c r="H885" s="16">
        <f>IFERROR(__xludf.DUMMYFUNCTION("""COMPUTED_VALUE"""),9493.0)</f>
        <v>9493</v>
      </c>
      <c r="I885" s="18">
        <f>IFERROR(__xludf.DUMMYFUNCTION("""COMPUTED_VALUE"""),3.0)</f>
        <v>3</v>
      </c>
      <c r="J885" s="18">
        <f>IFERROR(__xludf.DUMMYFUNCTION("""COMPUTED_VALUE"""),20.0)</f>
        <v>20</v>
      </c>
      <c r="K885" s="18">
        <f>IFERROR(__xludf.DUMMYFUNCTION("""COMPUTED_VALUE"""),15.0)</f>
        <v>15</v>
      </c>
      <c r="L885" s="17">
        <f>IFERROR(__xludf.DUMMYFUNCTION("""COMPUTED_VALUE"""),3.124653537E9)</f>
        <v>3124653537</v>
      </c>
      <c r="M885" s="17" t="str">
        <f>IFERROR(__xludf.DUMMYFUNCTION("""COMPUTED_VALUE"""),"#REF!")</f>
        <v>#REF!</v>
      </c>
      <c r="N885" s="17"/>
      <c r="O885" s="19" t="str">
        <f>IFERROR(__xludf.DUMMYFUNCTION("""COMPUTED_VALUE"""),"")</f>
        <v/>
      </c>
      <c r="P885" s="17" t="b">
        <f>IFERROR(__xludf.DUMMYFUNCTION("""COMPUTED_VALUE"""),TRUE)</f>
        <v>1</v>
      </c>
      <c r="Q885" s="20">
        <f>IFERROR(__xludf.DUMMYFUNCTION("""COMPUTED_VALUE"""),45021.38114912037)</f>
        <v>45021.38115</v>
      </c>
      <c r="R885" s="22" t="str">
        <f>IFERROR(__xludf.DUMMYFUNCTION("""COMPUTED_VALUE"""),"")</f>
        <v/>
      </c>
    </row>
    <row r="886">
      <c r="A886" s="15">
        <f>IFERROR(__xludf.DUMMYFUNCTION("""COMPUTED_VALUE"""),45021.0)</f>
        <v>45021</v>
      </c>
      <c r="B886" s="16" t="str">
        <f>IFERROR(__xludf.DUMMYFUNCTION("""COMPUTED_VALUE"""),"Julian Calderon Rodriguez ")</f>
        <v>Julian Calderon Rodriguez </v>
      </c>
      <c r="C886" s="15" t="str">
        <f>IFERROR(__xludf.DUMMYFUNCTION("""COMPUTED_VALUE"""),"VILLAVICENCIO")</f>
        <v>VILLAVICENCIO</v>
      </c>
      <c r="D886" s="15" t="str">
        <f>IFERROR(__xludf.DUMMYFUNCTION("""COMPUTED_VALUE"""),"BOGOTÁ")</f>
        <v>BOGOTÁ</v>
      </c>
      <c r="E886" s="15" t="str">
        <f>IFERROR(__xludf.DUMMYFUNCTION("""COMPUTED_VALUE"""),"Evamazzita")</f>
        <v>Evamazzita</v>
      </c>
      <c r="F886" s="17" t="str">
        <f>IFERROR(__xludf.DUMMYFUNCTION("""COMPUTED_VALUE"""),"Cll 12 sur 18 07  / N/A / Barrio doña luz")</f>
        <v>Cll 12 sur 18 07  / N/A / Barrio doña luz</v>
      </c>
      <c r="G886" s="15" t="str">
        <f>IFERROR(__xludf.DUMMYFUNCTION("""COMPUTED_VALUE"""),"LAURA MARIA ARGÜELLO PERDOMO")</f>
        <v>LAURA MARIA ARGÜELLO PERDOMO</v>
      </c>
      <c r="H886" s="16">
        <f>IFERROR(__xludf.DUMMYFUNCTION("""COMPUTED_VALUE"""),9497.0)</f>
        <v>9497</v>
      </c>
      <c r="I886" s="18">
        <f>IFERROR(__xludf.DUMMYFUNCTION("""COMPUTED_VALUE"""),3.0)</f>
        <v>3</v>
      </c>
      <c r="J886" s="18">
        <f>IFERROR(__xludf.DUMMYFUNCTION("""COMPUTED_VALUE"""),20.0)</f>
        <v>20</v>
      </c>
      <c r="K886" s="18">
        <f>IFERROR(__xludf.DUMMYFUNCTION("""COMPUTED_VALUE"""),15.0)</f>
        <v>15</v>
      </c>
      <c r="L886" s="17">
        <f>IFERROR(__xludf.DUMMYFUNCTION("""COMPUTED_VALUE"""),3.21260194E9)</f>
        <v>3212601940</v>
      </c>
      <c r="M886" s="17" t="str">
        <f>IFERROR(__xludf.DUMMYFUNCTION("""COMPUTED_VALUE"""),"#REF!")</f>
        <v>#REF!</v>
      </c>
      <c r="N886" s="17"/>
      <c r="O886" s="19" t="str">
        <f>IFERROR(__xludf.DUMMYFUNCTION("""COMPUTED_VALUE"""),"")</f>
        <v/>
      </c>
      <c r="P886" s="17" t="b">
        <f>IFERROR(__xludf.DUMMYFUNCTION("""COMPUTED_VALUE"""),TRUE)</f>
        <v>1</v>
      </c>
      <c r="Q886" s="20">
        <f>IFERROR(__xludf.DUMMYFUNCTION("""COMPUTED_VALUE"""),45021.38114913194)</f>
        <v>45021.38115</v>
      </c>
      <c r="R886" s="22" t="str">
        <f>IFERROR(__xludf.DUMMYFUNCTION("""COMPUTED_VALUE"""),"")</f>
        <v/>
      </c>
    </row>
    <row r="887">
      <c r="A887" s="15">
        <f>IFERROR(__xludf.DUMMYFUNCTION("""COMPUTED_VALUE"""),45021.0)</f>
        <v>45021</v>
      </c>
      <c r="B887" s="16" t="str">
        <f>IFERROR(__xludf.DUMMYFUNCTION("""COMPUTED_VALUE"""),"Julian Calderon Rodriguez ")</f>
        <v>Julian Calderon Rodriguez </v>
      </c>
      <c r="C887" s="15" t="str">
        <f>IFERROR(__xludf.DUMMYFUNCTION("""COMPUTED_VALUE"""),"VILLAVICENCIO")</f>
        <v>VILLAVICENCIO</v>
      </c>
      <c r="D887" s="15" t="str">
        <f>IFERROR(__xludf.DUMMYFUNCTION("""COMPUTED_VALUE"""),"BOGOTÁ")</f>
        <v>BOGOTÁ</v>
      </c>
      <c r="E887" s="15" t="str">
        <f>IFERROR(__xludf.DUMMYFUNCTION("""COMPUTED_VALUE"""),"Evamazzita")</f>
        <v>Evamazzita</v>
      </c>
      <c r="F887" s="17" t="str">
        <f>IFERROR(__xludf.DUMMYFUNCTION("""COMPUTED_VALUE"""),"cra 19 número 2a-61  / condominio portal del molino MZA a casa 4a  / barrio hacaritama")</f>
        <v>cra 19 número 2a-61  / condominio portal del molino MZA a casa 4a  / barrio hacaritama</v>
      </c>
      <c r="G887" s="15" t="str">
        <f>IFERROR(__xludf.DUMMYFUNCTION("""COMPUTED_VALUE"""),"LUDY ELENA GUATIBONZA RENGIFO")</f>
        <v>LUDY ELENA GUATIBONZA RENGIFO</v>
      </c>
      <c r="H887" s="16">
        <f>IFERROR(__xludf.DUMMYFUNCTION("""COMPUTED_VALUE"""),9495.0)</f>
        <v>9495</v>
      </c>
      <c r="I887" s="18">
        <f>IFERROR(__xludf.DUMMYFUNCTION("""COMPUTED_VALUE"""),3.0)</f>
        <v>3</v>
      </c>
      <c r="J887" s="18">
        <f>IFERROR(__xludf.DUMMYFUNCTION("""COMPUTED_VALUE"""),20.0)</f>
        <v>20</v>
      </c>
      <c r="K887" s="18">
        <f>IFERROR(__xludf.DUMMYFUNCTION("""COMPUTED_VALUE"""),15.0)</f>
        <v>15</v>
      </c>
      <c r="L887" s="17">
        <f>IFERROR(__xludf.DUMMYFUNCTION("""COMPUTED_VALUE"""),3.112379695E9)</f>
        <v>3112379695</v>
      </c>
      <c r="M887" s="17" t="str">
        <f>IFERROR(__xludf.DUMMYFUNCTION("""COMPUTED_VALUE"""),"#REF!")</f>
        <v>#REF!</v>
      </c>
      <c r="N887" s="17"/>
      <c r="O887" s="19" t="str">
        <f>IFERROR(__xludf.DUMMYFUNCTION("""COMPUTED_VALUE"""),"")</f>
        <v/>
      </c>
      <c r="P887" s="17" t="b">
        <f>IFERROR(__xludf.DUMMYFUNCTION("""COMPUTED_VALUE"""),FALSE)</f>
        <v>0</v>
      </c>
      <c r="Q887" s="20" t="str">
        <f>IFERROR(__xludf.DUMMYFUNCTION("""COMPUTED_VALUE"""),"")</f>
        <v/>
      </c>
      <c r="R887" s="22" t="str">
        <f>IFERROR(__xludf.DUMMYFUNCTION("""COMPUTED_VALUE"""),"")</f>
        <v/>
      </c>
    </row>
    <row r="888">
      <c r="A888" s="15">
        <f>IFERROR(__xludf.DUMMYFUNCTION("""COMPUTED_VALUE"""),45021.0)</f>
        <v>45021</v>
      </c>
      <c r="B888" s="16" t="str">
        <f>IFERROR(__xludf.DUMMYFUNCTION("""COMPUTED_VALUE"""),"Julian Calderon Rodriguez ")</f>
        <v>Julian Calderon Rodriguez </v>
      </c>
      <c r="C888" s="15" t="str">
        <f>IFERROR(__xludf.DUMMYFUNCTION("""COMPUTED_VALUE"""),"VILLAVICENCIO")</f>
        <v>VILLAVICENCIO</v>
      </c>
      <c r="D888" s="15" t="str">
        <f>IFERROR(__xludf.DUMMYFUNCTION("""COMPUTED_VALUE"""),"BOGOTÁ")</f>
        <v>BOGOTÁ</v>
      </c>
      <c r="E888" s="15" t="str">
        <f>IFERROR(__xludf.DUMMYFUNCTION("""COMPUTED_VALUE"""),"Evamazzita")</f>
        <v>Evamazzita</v>
      </c>
      <c r="F888" s="17" t="str">
        <f>IFERROR(__xludf.DUMMYFUNCTION("""COMPUTED_VALUE"""),"EDIFICIO SANTA MARIA RESERVADO / APTO. 904 /  BARRIO EL JARDIN")</f>
        <v>EDIFICIO SANTA MARIA RESERVADO / APTO. 904 /  BARRIO EL JARDIN</v>
      </c>
      <c r="G888" s="15" t="str">
        <f>IFERROR(__xludf.DUMMYFUNCTION("""COMPUTED_VALUE"""),"LAURA NATALIA SERNA")</f>
        <v>LAURA NATALIA SERNA</v>
      </c>
      <c r="H888" s="16">
        <f>IFERROR(__xludf.DUMMYFUNCTION("""COMPUTED_VALUE"""),9498.0)</f>
        <v>9498</v>
      </c>
      <c r="I888" s="18">
        <f>IFERROR(__xludf.DUMMYFUNCTION("""COMPUTED_VALUE"""),3.0)</f>
        <v>3</v>
      </c>
      <c r="J888" s="18">
        <f>IFERROR(__xludf.DUMMYFUNCTION("""COMPUTED_VALUE"""),20.0)</f>
        <v>20</v>
      </c>
      <c r="K888" s="18">
        <f>IFERROR(__xludf.DUMMYFUNCTION("""COMPUTED_VALUE"""),15.0)</f>
        <v>15</v>
      </c>
      <c r="L888" s="17">
        <f>IFERROR(__xludf.DUMMYFUNCTION("""COMPUTED_VALUE"""),3.156939845E9)</f>
        <v>3156939845</v>
      </c>
      <c r="M888" s="17" t="str">
        <f>IFERROR(__xludf.DUMMYFUNCTION("""COMPUTED_VALUE"""),"#REF!")</f>
        <v>#REF!</v>
      </c>
      <c r="N888" s="17"/>
      <c r="O888" s="19" t="str">
        <f>IFERROR(__xludf.DUMMYFUNCTION("""COMPUTED_VALUE"""),"")</f>
        <v/>
      </c>
      <c r="P888" s="17" t="b">
        <f>IFERROR(__xludf.DUMMYFUNCTION("""COMPUTED_VALUE"""),TRUE)</f>
        <v>1</v>
      </c>
      <c r="Q888" s="20">
        <f>IFERROR(__xludf.DUMMYFUNCTION("""COMPUTED_VALUE"""),45021.41501243056)</f>
        <v>45021.41501</v>
      </c>
      <c r="R888" s="22" t="str">
        <f>IFERROR(__xludf.DUMMYFUNCTION("""COMPUTED_VALUE"""),"")</f>
        <v/>
      </c>
    </row>
    <row r="889">
      <c r="A889" s="15">
        <f>IFERROR(__xludf.DUMMYFUNCTION("""COMPUTED_VALUE"""),45021.0)</f>
        <v>45021</v>
      </c>
      <c r="B889" s="16" t="str">
        <f>IFERROR(__xludf.DUMMYFUNCTION("""COMPUTED_VALUE"""),"Julian Calderon Rodriguez ")</f>
        <v>Julian Calderon Rodriguez </v>
      </c>
      <c r="C889" s="15" t="str">
        <f>IFERROR(__xludf.DUMMYFUNCTION("""COMPUTED_VALUE"""),"VILLAVICENCIO")</f>
        <v>VILLAVICENCIO</v>
      </c>
      <c r="D889" s="15" t="str">
        <f>IFERROR(__xludf.DUMMYFUNCTION("""COMPUTED_VALUE"""),"MEDELLÍN")</f>
        <v>MEDELLÍN</v>
      </c>
      <c r="E889" s="15" t="str">
        <f>IFERROR(__xludf.DUMMYFUNCTION("""COMPUTED_VALUE"""),"Baby Chef")</f>
        <v>Baby Chef</v>
      </c>
      <c r="F889" s="17" t="str">
        <f>IFERROR(__xludf.DUMMYFUNCTION("""COMPUTED_VALUE"""),"Prados de Mavicure Manzana H12 casa 9A Villavicencio / Prados de Mavicure Manzana H12 casa 9A Villavicencio / Prados de Mavicure Manzana H12 casa 9A Villavicencio")</f>
        <v>Prados de Mavicure Manzana H12 casa 9A Villavicencio / Prados de Mavicure Manzana H12 casa 9A Villavicencio / Prados de Mavicure Manzana H12 casa 9A Villavicencio</v>
      </c>
      <c r="G889" s="15" t="str">
        <f>IFERROR(__xludf.DUMMYFUNCTION("""COMPUTED_VALUE"""),"Liseth Paola  Castillo Ortiz")</f>
        <v>Liseth Paola  Castillo Ortiz</v>
      </c>
      <c r="H889" s="16">
        <f>IFERROR(__xludf.DUMMYFUNCTION("""COMPUTED_VALUE"""),9441.0)</f>
        <v>9441</v>
      </c>
      <c r="I889" s="18">
        <f>IFERROR(__xludf.DUMMYFUNCTION("""COMPUTED_VALUE"""),8.0)</f>
        <v>8</v>
      </c>
      <c r="J889" s="18">
        <f>IFERROR(__xludf.DUMMYFUNCTION("""COMPUTED_VALUE"""),16.0)</f>
        <v>16</v>
      </c>
      <c r="K889" s="18">
        <f>IFERROR(__xludf.DUMMYFUNCTION("""COMPUTED_VALUE"""),20.0)</f>
        <v>20</v>
      </c>
      <c r="L889" s="17">
        <f>IFERROR(__xludf.DUMMYFUNCTION("""COMPUTED_VALUE"""),3.208533656E9)</f>
        <v>3208533656</v>
      </c>
      <c r="M889" s="17" t="str">
        <f>IFERROR(__xludf.DUMMYFUNCTION("""COMPUTED_VALUE"""),"#REF!")</f>
        <v>#REF!</v>
      </c>
      <c r="N889" s="17"/>
      <c r="O889" s="19" t="str">
        <f>IFERROR(__xludf.DUMMYFUNCTION("""COMPUTED_VALUE"""),"")</f>
        <v/>
      </c>
      <c r="P889" s="17" t="b">
        <f>IFERROR(__xludf.DUMMYFUNCTION("""COMPUTED_VALUE"""),TRUE)</f>
        <v>1</v>
      </c>
      <c r="Q889" s="20">
        <f>IFERROR(__xludf.DUMMYFUNCTION("""COMPUTED_VALUE"""),45021.41502458333)</f>
        <v>45021.41502</v>
      </c>
      <c r="R889" s="22" t="str">
        <f>IFERROR(__xludf.DUMMYFUNCTION("""COMPUTED_VALUE"""),"")</f>
        <v/>
      </c>
    </row>
    <row r="890">
      <c r="A890" s="17" t="str">
        <f>IFERROR(__xludf.DUMMYFUNCTION("""COMPUTED_VALUE"""),"")</f>
        <v/>
      </c>
      <c r="B890" s="17" t="str">
        <f>IFERROR(__xludf.DUMMYFUNCTION("""COMPUTED_VALUE"""),"")</f>
        <v/>
      </c>
      <c r="C890" s="17" t="str">
        <f>IFERROR(__xludf.DUMMYFUNCTION("""COMPUTED_VALUE"""),"")</f>
        <v/>
      </c>
      <c r="D890" s="17" t="str">
        <f>IFERROR(__xludf.DUMMYFUNCTION("""COMPUTED_VALUE"""),"")</f>
        <v/>
      </c>
      <c r="E890" s="17" t="str">
        <f>IFERROR(__xludf.DUMMYFUNCTION("""COMPUTED_VALUE"""),"")</f>
        <v/>
      </c>
      <c r="F890" s="17" t="str">
        <f>IFERROR(__xludf.DUMMYFUNCTION("""COMPUTED_VALUE"""),"")</f>
        <v/>
      </c>
      <c r="G890" s="17" t="str">
        <f>IFERROR(__xludf.DUMMYFUNCTION("""COMPUTED_VALUE"""),"")</f>
        <v/>
      </c>
      <c r="H890" s="17" t="str">
        <f>IFERROR(__xludf.DUMMYFUNCTION("""COMPUTED_VALUE"""),"")</f>
        <v/>
      </c>
      <c r="I890" s="17" t="str">
        <f>IFERROR(__xludf.DUMMYFUNCTION("""COMPUTED_VALUE"""),"")</f>
        <v/>
      </c>
      <c r="J890" s="17" t="str">
        <f>IFERROR(__xludf.DUMMYFUNCTION("""COMPUTED_VALUE"""),"")</f>
        <v/>
      </c>
      <c r="K890" s="17" t="str">
        <f>IFERROR(__xludf.DUMMYFUNCTION("""COMPUTED_VALUE"""),"")</f>
        <v/>
      </c>
      <c r="L890" s="17" t="str">
        <f>IFERROR(__xludf.DUMMYFUNCTION("""COMPUTED_VALUE"""),"")</f>
        <v/>
      </c>
      <c r="M890" s="17" t="str">
        <f>IFERROR(__xludf.DUMMYFUNCTION("""COMPUTED_VALUE"""),"")</f>
        <v/>
      </c>
      <c r="N890" s="17" t="str">
        <f>IFERROR(__xludf.DUMMYFUNCTION("""COMPUTED_VALUE"""),"")</f>
        <v/>
      </c>
      <c r="O890" s="17" t="str">
        <f>IFERROR(__xludf.DUMMYFUNCTION("""COMPUTED_VALUE"""),"")</f>
        <v/>
      </c>
      <c r="P890" s="17" t="str">
        <f>IFERROR(__xludf.DUMMYFUNCTION("""COMPUTED_VALUE"""),"")</f>
        <v/>
      </c>
      <c r="Q890" s="17" t="str">
        <f>IFERROR(__xludf.DUMMYFUNCTION("""COMPUTED_VALUE"""),"")</f>
        <v/>
      </c>
      <c r="R890" s="17" t="str">
        <f>IFERROR(__xludf.DUMMYFUNCTION("""COMPUTED_VALUE"""),"")</f>
        <v/>
      </c>
    </row>
    <row r="891">
      <c r="A891" s="15">
        <f>IFERROR(__xludf.DUMMYFUNCTION("""COMPUTED_VALUE"""),45021.0)</f>
        <v>45021</v>
      </c>
      <c r="B891" s="16" t="str">
        <f>IFERROR(__xludf.DUMMYFUNCTION("""COMPUTED_VALUE"""),"Orlando Urdaneta Rincon ")</f>
        <v>Orlando Urdaneta Rincon </v>
      </c>
      <c r="C891" s="15" t="str">
        <f>IFERROR(__xludf.DUMMYFUNCTION("""COMPUTED_VALUE"""),"NEIVA")</f>
        <v>NEIVA</v>
      </c>
      <c r="D891" s="15" t="str">
        <f>IFERROR(__xludf.DUMMYFUNCTION("""COMPUTED_VALUE"""),"BOGOTÁ")</f>
        <v>BOGOTÁ</v>
      </c>
      <c r="E891" s="15" t="str">
        <f>IFERROR(__xludf.DUMMYFUNCTION("""COMPUTED_VALUE"""),"Evamazzita")</f>
        <v>Evamazzita</v>
      </c>
      <c r="F891" s="17" t="str">
        <f>IFERROR(__xludf.DUMMYFUNCTION("""COMPUTED_VALUE"""),"Calle 75A 1w 77  / N/A / Barrio calamari")</f>
        <v>Calle 75A 1w 77  / N/A / Barrio calamari</v>
      </c>
      <c r="G891" s="15" t="str">
        <f>IFERROR(__xludf.DUMMYFUNCTION("""COMPUTED_VALUE"""),"DIANA MARCELA HORTA")</f>
        <v>DIANA MARCELA HORTA</v>
      </c>
      <c r="H891" s="16">
        <f>IFERROR(__xludf.DUMMYFUNCTION("""COMPUTED_VALUE"""),9500.0)</f>
        <v>9500</v>
      </c>
      <c r="I891" s="18">
        <f>IFERROR(__xludf.DUMMYFUNCTION("""COMPUTED_VALUE"""),3.0)</f>
        <v>3</v>
      </c>
      <c r="J891" s="18">
        <f>IFERROR(__xludf.DUMMYFUNCTION("""COMPUTED_VALUE"""),20.0)</f>
        <v>20</v>
      </c>
      <c r="K891" s="18">
        <f>IFERROR(__xludf.DUMMYFUNCTION("""COMPUTED_VALUE"""),15.0)</f>
        <v>15</v>
      </c>
      <c r="L891" s="17">
        <f>IFERROR(__xludf.DUMMYFUNCTION("""COMPUTED_VALUE"""),3.167562064E9)</f>
        <v>3167562064</v>
      </c>
      <c r="M891" s="17" t="str">
        <f>IFERROR(__xludf.DUMMYFUNCTION("""COMPUTED_VALUE"""),"#REF!")</f>
        <v>#REF!</v>
      </c>
      <c r="N891" s="17"/>
      <c r="O891" s="19" t="str">
        <f>IFERROR(__xludf.DUMMYFUNCTION("""COMPUTED_VALUE"""),"")</f>
        <v/>
      </c>
      <c r="P891" s="17" t="b">
        <f>IFERROR(__xludf.DUMMYFUNCTION("""COMPUTED_VALUE"""),FALSE)</f>
        <v>0</v>
      </c>
      <c r="Q891" s="20" t="str">
        <f>IFERROR(__xludf.DUMMYFUNCTION("""COMPUTED_VALUE"""),"")</f>
        <v/>
      </c>
      <c r="R891" s="22" t="str">
        <f>IFERROR(__xludf.DUMMYFUNCTION("""COMPUTED_VALUE"""),"")</f>
        <v/>
      </c>
    </row>
    <row r="892">
      <c r="A892" s="15">
        <f>IFERROR(__xludf.DUMMYFUNCTION("""COMPUTED_VALUE"""),45021.0)</f>
        <v>45021</v>
      </c>
      <c r="B892" s="16" t="str">
        <f>IFERROR(__xludf.DUMMYFUNCTION("""COMPUTED_VALUE"""),"Orlando Urdaneta Rincon ")</f>
        <v>Orlando Urdaneta Rincon </v>
      </c>
      <c r="C892" s="15" t="str">
        <f>IFERROR(__xludf.DUMMYFUNCTION("""COMPUTED_VALUE"""),"NEIVA")</f>
        <v>NEIVA</v>
      </c>
      <c r="D892" s="15" t="str">
        <f>IFERROR(__xludf.DUMMYFUNCTION("""COMPUTED_VALUE"""),"BOGOTÁ")</f>
        <v>BOGOTÁ</v>
      </c>
      <c r="E892" s="15" t="str">
        <f>IFERROR(__xludf.DUMMYFUNCTION("""COMPUTED_VALUE"""),"Evamazzita")</f>
        <v>Evamazzita</v>
      </c>
      <c r="F892" s="17" t="str">
        <f>IFERROR(__xludf.DUMMYFUNCTION("""COMPUTED_VALUE"""),"CARRERA 42 # 18 A - 08  / TORRE H, APTO. 1008 / N/A")</f>
        <v>CARRERA 42 # 18 A - 08  / TORRE H, APTO. 1008 / N/A</v>
      </c>
      <c r="G892" s="15" t="str">
        <f>IFERROR(__xludf.DUMMYFUNCTION("""COMPUTED_VALUE"""),"ISABEL MARTINEZ")</f>
        <v>ISABEL MARTINEZ</v>
      </c>
      <c r="H892" s="16">
        <f>IFERROR(__xludf.DUMMYFUNCTION("""COMPUTED_VALUE"""),9499.0)</f>
        <v>9499</v>
      </c>
      <c r="I892" s="18">
        <f>IFERROR(__xludf.DUMMYFUNCTION("""COMPUTED_VALUE"""),3.0)</f>
        <v>3</v>
      </c>
      <c r="J892" s="18">
        <f>IFERROR(__xludf.DUMMYFUNCTION("""COMPUTED_VALUE"""),20.0)</f>
        <v>20</v>
      </c>
      <c r="K892" s="18">
        <f>IFERROR(__xludf.DUMMYFUNCTION("""COMPUTED_VALUE"""),15.0)</f>
        <v>15</v>
      </c>
      <c r="L892" s="17">
        <f>IFERROR(__xludf.DUMMYFUNCTION("""COMPUTED_VALUE"""),3.167464059E9)</f>
        <v>3167464059</v>
      </c>
      <c r="M892" s="17" t="str">
        <f>IFERROR(__xludf.DUMMYFUNCTION("""COMPUTED_VALUE"""),"#REF!")</f>
        <v>#REF!</v>
      </c>
      <c r="N892" s="17"/>
      <c r="O892" s="19" t="str">
        <f>IFERROR(__xludf.DUMMYFUNCTION("""COMPUTED_VALUE"""),"")</f>
        <v/>
      </c>
      <c r="P892" s="17" t="b">
        <f>IFERROR(__xludf.DUMMYFUNCTION("""COMPUTED_VALUE"""),TRUE)</f>
        <v>1</v>
      </c>
      <c r="Q892" s="20">
        <f>IFERROR(__xludf.DUMMYFUNCTION("""COMPUTED_VALUE"""),45027.67420045139)</f>
        <v>45027.6742</v>
      </c>
      <c r="R892" s="22" t="str">
        <f>IFERROR(__xludf.DUMMYFUNCTION("""COMPUTED_VALUE"""),"")</f>
        <v/>
      </c>
    </row>
    <row r="893">
      <c r="A893" s="17" t="str">
        <f>IFERROR(__xludf.DUMMYFUNCTION("""COMPUTED_VALUE"""),"")</f>
        <v/>
      </c>
      <c r="B893" s="17" t="str">
        <f>IFERROR(__xludf.DUMMYFUNCTION("""COMPUTED_VALUE"""),"")</f>
        <v/>
      </c>
      <c r="C893" s="17" t="str">
        <f>IFERROR(__xludf.DUMMYFUNCTION("""COMPUTED_VALUE"""),"")</f>
        <v/>
      </c>
      <c r="D893" s="17" t="str">
        <f>IFERROR(__xludf.DUMMYFUNCTION("""COMPUTED_VALUE"""),"")</f>
        <v/>
      </c>
      <c r="E893" s="17" t="str">
        <f>IFERROR(__xludf.DUMMYFUNCTION("""COMPUTED_VALUE"""),"")</f>
        <v/>
      </c>
      <c r="F893" s="17" t="str">
        <f>IFERROR(__xludf.DUMMYFUNCTION("""COMPUTED_VALUE"""),"")</f>
        <v/>
      </c>
      <c r="G893" s="17" t="str">
        <f>IFERROR(__xludf.DUMMYFUNCTION("""COMPUTED_VALUE"""),"")</f>
        <v/>
      </c>
      <c r="H893" s="17" t="str">
        <f>IFERROR(__xludf.DUMMYFUNCTION("""COMPUTED_VALUE"""),"")</f>
        <v/>
      </c>
      <c r="I893" s="17" t="str">
        <f>IFERROR(__xludf.DUMMYFUNCTION("""COMPUTED_VALUE"""),"")</f>
        <v/>
      </c>
      <c r="J893" s="17" t="str">
        <f>IFERROR(__xludf.DUMMYFUNCTION("""COMPUTED_VALUE"""),"")</f>
        <v/>
      </c>
      <c r="K893" s="17" t="str">
        <f>IFERROR(__xludf.DUMMYFUNCTION("""COMPUTED_VALUE"""),"")</f>
        <v/>
      </c>
      <c r="L893" s="17" t="str">
        <f>IFERROR(__xludf.DUMMYFUNCTION("""COMPUTED_VALUE"""),"")</f>
        <v/>
      </c>
      <c r="M893" s="17" t="str">
        <f>IFERROR(__xludf.DUMMYFUNCTION("""COMPUTED_VALUE"""),"")</f>
        <v/>
      </c>
      <c r="N893" s="17" t="str">
        <f>IFERROR(__xludf.DUMMYFUNCTION("""COMPUTED_VALUE"""),"")</f>
        <v/>
      </c>
      <c r="O893" s="17" t="str">
        <f>IFERROR(__xludf.DUMMYFUNCTION("""COMPUTED_VALUE"""),"")</f>
        <v/>
      </c>
      <c r="P893" s="17" t="str">
        <f>IFERROR(__xludf.DUMMYFUNCTION("""COMPUTED_VALUE"""),"")</f>
        <v/>
      </c>
      <c r="Q893" s="17" t="str">
        <f>IFERROR(__xludf.DUMMYFUNCTION("""COMPUTED_VALUE"""),"")</f>
        <v/>
      </c>
      <c r="R893" s="17" t="str">
        <f>IFERROR(__xludf.DUMMYFUNCTION("""COMPUTED_VALUE"""),"")</f>
        <v/>
      </c>
    </row>
    <row r="894">
      <c r="A894" s="15">
        <f>IFERROR(__xludf.DUMMYFUNCTION("""COMPUTED_VALUE"""),45027.0)</f>
        <v>45027</v>
      </c>
      <c r="B894" s="16" t="str">
        <f>IFERROR(__xludf.DUMMYFUNCTION("""COMPUTED_VALUE"""),"Andrés Felipe Castillo Muñoz")</f>
        <v>Andrés Felipe Castillo Muñoz</v>
      </c>
      <c r="C894" s="15" t="str">
        <f>IFERROR(__xludf.DUMMYFUNCTION("""COMPUTED_VALUE"""),"MEDELLÍN")</f>
        <v>MEDELLÍN</v>
      </c>
      <c r="D894" s="15" t="str">
        <f>IFERROR(__xludf.DUMMYFUNCTION("""COMPUTED_VALUE"""),"BOGOTÁ")</f>
        <v>BOGOTÁ</v>
      </c>
      <c r="E894" s="15" t="str">
        <f>IFERROR(__xludf.DUMMYFUNCTION("""COMPUTED_VALUE"""),"Evamazzita")</f>
        <v>Evamazzita</v>
      </c>
      <c r="F894" s="17" t="str">
        <f>IFERROR(__xludf.DUMMYFUNCTION("""COMPUTED_VALUE"""),"Calle 20A  # 77-15  / Apto 403  Urbanización Belen Avenida  / Barrio  Belen San Bernardo")</f>
        <v>Calle 20A  # 77-15  / Apto 403  Urbanización Belen Avenida  / Barrio  Belen San Bernardo</v>
      </c>
      <c r="G894" s="15" t="str">
        <f>IFERROR(__xludf.DUMMYFUNCTION("""COMPUTED_VALUE"""),"GLORIA BLANDON")</f>
        <v>GLORIA BLANDON</v>
      </c>
      <c r="H894" s="16">
        <f>IFERROR(__xludf.DUMMYFUNCTION("""COMPUTED_VALUE"""),9580.0)</f>
        <v>9580</v>
      </c>
      <c r="I894" s="18">
        <f>IFERROR(__xludf.DUMMYFUNCTION("""COMPUTED_VALUE"""),3.0)</f>
        <v>3</v>
      </c>
      <c r="J894" s="18">
        <f>IFERROR(__xludf.DUMMYFUNCTION("""COMPUTED_VALUE"""),20.0)</f>
        <v>20</v>
      </c>
      <c r="K894" s="18">
        <f>IFERROR(__xludf.DUMMYFUNCTION("""COMPUTED_VALUE"""),15.0)</f>
        <v>15</v>
      </c>
      <c r="L894" s="17">
        <f>IFERROR(__xludf.DUMMYFUNCTION("""COMPUTED_VALUE"""),3.127124373E9)</f>
        <v>3127124373</v>
      </c>
      <c r="M894" s="17" t="str">
        <f>IFERROR(__xludf.DUMMYFUNCTION("""COMPUTED_VALUE"""),"#REF!")</f>
        <v>#REF!</v>
      </c>
      <c r="N894" s="17"/>
      <c r="O894" s="19" t="str">
        <f>IFERROR(__xludf.DUMMYFUNCTION("""COMPUTED_VALUE"""),"")</f>
        <v/>
      </c>
      <c r="P894" s="17" t="b">
        <f>IFERROR(__xludf.DUMMYFUNCTION("""COMPUTED_VALUE"""),TRUE)</f>
        <v>1</v>
      </c>
      <c r="Q894" s="20">
        <f>IFERROR(__xludf.DUMMYFUNCTION("""COMPUTED_VALUE"""),45027.67420045139)</f>
        <v>45027.6742</v>
      </c>
      <c r="R894" s="22" t="str">
        <f>IFERROR(__xludf.DUMMYFUNCTION("""COMPUTED_VALUE"""),"")</f>
        <v/>
      </c>
    </row>
    <row r="895">
      <c r="A895" s="15">
        <f>IFERROR(__xludf.DUMMYFUNCTION("""COMPUTED_VALUE"""),45027.0)</f>
        <v>45027</v>
      </c>
      <c r="B895" s="16" t="str">
        <f>IFERROR(__xludf.DUMMYFUNCTION("""COMPUTED_VALUE"""),"Andrés Felipe Castillo Muñoz")</f>
        <v>Andrés Felipe Castillo Muñoz</v>
      </c>
      <c r="C895" s="15" t="str">
        <f>IFERROR(__xludf.DUMMYFUNCTION("""COMPUTED_VALUE"""),"MEDELLÍN")</f>
        <v>MEDELLÍN</v>
      </c>
      <c r="D895" s="15" t="str">
        <f>IFERROR(__xludf.DUMMYFUNCTION("""COMPUTED_VALUE"""),"BOGOTÁ")</f>
        <v>BOGOTÁ</v>
      </c>
      <c r="E895" s="15" t="str">
        <f>IFERROR(__xludf.DUMMYFUNCTION("""COMPUTED_VALUE"""),"Evamazzita")</f>
        <v>Evamazzita</v>
      </c>
      <c r="F895" s="17" t="str">
        <f>IFERROR(__xludf.DUMMYFUNCTION("""COMPUTED_VALUE"""),"calle 49 56-06   /  local 101 edificio bodegas la 49 /  centro")</f>
        <v>calle 49 56-06   /  local 101 edificio bodegas la 49 /  centro</v>
      </c>
      <c r="G895" s="15" t="str">
        <f>IFERROR(__xludf.DUMMYFUNCTION("""COMPUTED_VALUE"""),"YENCY CATERINE RAMIREZ SALAZAR")</f>
        <v>YENCY CATERINE RAMIREZ SALAZAR</v>
      </c>
      <c r="H895" s="16">
        <f>IFERROR(__xludf.DUMMYFUNCTION("""COMPUTED_VALUE"""),9583.0)</f>
        <v>9583</v>
      </c>
      <c r="I895" s="18">
        <f>IFERROR(__xludf.DUMMYFUNCTION("""COMPUTED_VALUE"""),3.0)</f>
        <v>3</v>
      </c>
      <c r="J895" s="18">
        <f>IFERROR(__xludf.DUMMYFUNCTION("""COMPUTED_VALUE"""),15.0)</f>
        <v>15</v>
      </c>
      <c r="K895" s="18">
        <f>IFERROR(__xludf.DUMMYFUNCTION("""COMPUTED_VALUE"""),20.0)</f>
        <v>20</v>
      </c>
      <c r="L895" s="17">
        <f>IFERROR(__xludf.DUMMYFUNCTION("""COMPUTED_VALUE"""),3.004629284E9)</f>
        <v>3004629284</v>
      </c>
      <c r="M895" s="17" t="str">
        <f>IFERROR(__xludf.DUMMYFUNCTION("""COMPUTED_VALUE"""),"#REF!")</f>
        <v>#REF!</v>
      </c>
      <c r="N895" s="17"/>
      <c r="O895" s="19" t="str">
        <f>IFERROR(__xludf.DUMMYFUNCTION("""COMPUTED_VALUE"""),"")</f>
        <v/>
      </c>
      <c r="P895" s="17" t="b">
        <f>IFERROR(__xludf.DUMMYFUNCTION("""COMPUTED_VALUE"""),TRUE)</f>
        <v>1</v>
      </c>
      <c r="Q895" s="20">
        <f>IFERROR(__xludf.DUMMYFUNCTION("""COMPUTED_VALUE"""),45027.67420045139)</f>
        <v>45027.6742</v>
      </c>
      <c r="R895" s="22" t="str">
        <f>IFERROR(__xludf.DUMMYFUNCTION("""COMPUTED_VALUE"""),"")</f>
        <v/>
      </c>
    </row>
    <row r="896">
      <c r="A896" s="15">
        <f>IFERROR(__xludf.DUMMYFUNCTION("""COMPUTED_VALUE"""),45027.0)</f>
        <v>45027</v>
      </c>
      <c r="B896" s="16" t="str">
        <f>IFERROR(__xludf.DUMMYFUNCTION("""COMPUTED_VALUE"""),"Andrés Felipe Castillo Muñoz")</f>
        <v>Andrés Felipe Castillo Muñoz</v>
      </c>
      <c r="C896" s="15" t="str">
        <f>IFERROR(__xludf.DUMMYFUNCTION("""COMPUTED_VALUE"""),"MEDELLÍN")</f>
        <v>MEDELLÍN</v>
      </c>
      <c r="D896" s="15" t="str">
        <f>IFERROR(__xludf.DUMMYFUNCTION("""COMPUTED_VALUE"""),"BOGOTÁ")</f>
        <v>BOGOTÁ</v>
      </c>
      <c r="E896" s="15" t="str">
        <f>IFERROR(__xludf.DUMMYFUNCTION("""COMPUTED_VALUE"""),"Evamazzita")</f>
        <v>Evamazzita</v>
      </c>
      <c r="F896" s="17" t="str">
        <f>IFERROR(__xludf.DUMMYFUNCTION("""COMPUTED_VALUE"""),"CALLE 54 # 81-55 /  ACUARELA DEL PARQUE APTO. 1506  / BARRIO CALASANZ")</f>
        <v>CALLE 54 # 81-55 /  ACUARELA DEL PARQUE APTO. 1506  / BARRIO CALASANZ</v>
      </c>
      <c r="G896" s="15" t="str">
        <f>IFERROR(__xludf.DUMMYFUNCTION("""COMPUTED_VALUE"""),"NATALIA LONDOÑO")</f>
        <v>NATALIA LONDOÑO</v>
      </c>
      <c r="H896" s="16">
        <f>IFERROR(__xludf.DUMMYFUNCTION("""COMPUTED_VALUE"""),9582.0)</f>
        <v>9582</v>
      </c>
      <c r="I896" s="18">
        <f>IFERROR(__xludf.DUMMYFUNCTION("""COMPUTED_VALUE"""),3.0)</f>
        <v>3</v>
      </c>
      <c r="J896" s="18">
        <f>IFERROR(__xludf.DUMMYFUNCTION("""COMPUTED_VALUE"""),20.0)</f>
        <v>20</v>
      </c>
      <c r="K896" s="18">
        <f>IFERROR(__xludf.DUMMYFUNCTION("""COMPUTED_VALUE"""),15.0)</f>
        <v>15</v>
      </c>
      <c r="L896" s="17">
        <f>IFERROR(__xludf.DUMMYFUNCTION("""COMPUTED_VALUE"""),3.148829021E9)</f>
        <v>3148829021</v>
      </c>
      <c r="M896" s="17" t="str">
        <f>IFERROR(__xludf.DUMMYFUNCTION("""COMPUTED_VALUE"""),"#REF!")</f>
        <v>#REF!</v>
      </c>
      <c r="N896" s="17"/>
      <c r="O896" s="19" t="str">
        <f>IFERROR(__xludf.DUMMYFUNCTION("""COMPUTED_VALUE"""),"")</f>
        <v/>
      </c>
      <c r="P896" s="17" t="b">
        <f>IFERROR(__xludf.DUMMYFUNCTION("""COMPUTED_VALUE"""),TRUE)</f>
        <v>1</v>
      </c>
      <c r="Q896" s="20">
        <f>IFERROR(__xludf.DUMMYFUNCTION("""COMPUTED_VALUE"""),45027.67420045139)</f>
        <v>45027.6742</v>
      </c>
      <c r="R896" s="22" t="str">
        <f>IFERROR(__xludf.DUMMYFUNCTION("""COMPUTED_VALUE"""),"")</f>
        <v/>
      </c>
    </row>
    <row r="897">
      <c r="A897" s="15">
        <f>IFERROR(__xludf.DUMMYFUNCTION("""COMPUTED_VALUE"""),45027.0)</f>
        <v>45027</v>
      </c>
      <c r="B897" s="16" t="str">
        <f>IFERROR(__xludf.DUMMYFUNCTION("""COMPUTED_VALUE"""),"Andrés Felipe Castillo Muñoz")</f>
        <v>Andrés Felipe Castillo Muñoz</v>
      </c>
      <c r="C897" s="15" t="str">
        <f>IFERROR(__xludf.DUMMYFUNCTION("""COMPUTED_VALUE"""),"MEDELLÍN")</f>
        <v>MEDELLÍN</v>
      </c>
      <c r="D897" s="15" t="str">
        <f>IFERROR(__xludf.DUMMYFUNCTION("""COMPUTED_VALUE"""),"BOGOTÁ")</f>
        <v>BOGOTÁ</v>
      </c>
      <c r="E897" s="15" t="str">
        <f>IFERROR(__xludf.DUMMYFUNCTION("""COMPUTED_VALUE"""),"Evamazzita")</f>
        <v>Evamazzita</v>
      </c>
      <c r="F897" s="17" t="str">
        <f>IFERROR(__xludf.DUMMYFUNCTION("""COMPUTED_VALUE"""),"calle 56 #51-41  / segundo piso  / ITAGÜÍ - Villa Paula")</f>
        <v>calle 56 #51-41  / segundo piso  / ITAGÜÍ - Villa Paula</v>
      </c>
      <c r="G897" s="15" t="str">
        <f>IFERROR(__xludf.DUMMYFUNCTION("""COMPUTED_VALUE"""),"LAURA FERNANDEZ")</f>
        <v>LAURA FERNANDEZ</v>
      </c>
      <c r="H897" s="16">
        <f>IFERROR(__xludf.DUMMYFUNCTION("""COMPUTED_VALUE"""),9578.0)</f>
        <v>9578</v>
      </c>
      <c r="I897" s="18">
        <f>IFERROR(__xludf.DUMMYFUNCTION("""COMPUTED_VALUE"""),3.0)</f>
        <v>3</v>
      </c>
      <c r="J897" s="18">
        <f>IFERROR(__xludf.DUMMYFUNCTION("""COMPUTED_VALUE"""),15.0)</f>
        <v>15</v>
      </c>
      <c r="K897" s="18">
        <f>IFERROR(__xludf.DUMMYFUNCTION("""COMPUTED_VALUE"""),20.0)</f>
        <v>20</v>
      </c>
      <c r="L897" s="17">
        <f>IFERROR(__xludf.DUMMYFUNCTION("""COMPUTED_VALUE"""),3.003099027E9)</f>
        <v>3003099027</v>
      </c>
      <c r="M897" s="17" t="str">
        <f>IFERROR(__xludf.DUMMYFUNCTION("""COMPUTED_VALUE"""),"#REF!")</f>
        <v>#REF!</v>
      </c>
      <c r="N897" s="17"/>
      <c r="O897" s="19" t="str">
        <f>IFERROR(__xludf.DUMMYFUNCTION("""COMPUTED_VALUE"""),"")</f>
        <v/>
      </c>
      <c r="P897" s="17" t="b">
        <f>IFERROR(__xludf.DUMMYFUNCTION("""COMPUTED_VALUE"""),TRUE)</f>
        <v>1</v>
      </c>
      <c r="Q897" s="20">
        <f>IFERROR(__xludf.DUMMYFUNCTION("""COMPUTED_VALUE"""),45027.67420045139)</f>
        <v>45027.6742</v>
      </c>
      <c r="R897" s="22" t="str">
        <f>IFERROR(__xludf.DUMMYFUNCTION("""COMPUTED_VALUE"""),"")</f>
        <v/>
      </c>
    </row>
    <row r="898">
      <c r="A898" s="15">
        <f>IFERROR(__xludf.DUMMYFUNCTION("""COMPUTED_VALUE"""),45027.0)</f>
        <v>45027</v>
      </c>
      <c r="B898" s="16" t="str">
        <f>IFERROR(__xludf.DUMMYFUNCTION("""COMPUTED_VALUE"""),"Andrés Felipe Castillo Muñoz")</f>
        <v>Andrés Felipe Castillo Muñoz</v>
      </c>
      <c r="C898" s="15" t="str">
        <f>IFERROR(__xludf.DUMMYFUNCTION("""COMPUTED_VALUE"""),"MEDELLÍN")</f>
        <v>MEDELLÍN</v>
      </c>
      <c r="D898" s="15" t="str">
        <f>IFERROR(__xludf.DUMMYFUNCTION("""COMPUTED_VALUE"""),"BOGOTÁ")</f>
        <v>BOGOTÁ</v>
      </c>
      <c r="E898" s="15" t="str">
        <f>IFERROR(__xludf.DUMMYFUNCTION("""COMPUTED_VALUE"""),"Evamazzita")</f>
        <v>Evamazzita</v>
      </c>
      <c r="F898" s="17" t="str">
        <f>IFERROR(__xludf.DUMMYFUNCTION("""COMPUTED_VALUE"""),"Cll 95 # 49 a 10   / int 301  / Aranjuez")</f>
        <v>Cll 95 # 49 a 10   / int 301  / Aranjuez</v>
      </c>
      <c r="G898" s="15" t="str">
        <f>IFERROR(__xludf.DUMMYFUNCTION("""COMPUTED_VALUE"""),"MARCELA CANO")</f>
        <v>MARCELA CANO</v>
      </c>
      <c r="H898" s="16">
        <f>IFERROR(__xludf.DUMMYFUNCTION("""COMPUTED_VALUE"""),9581.0)</f>
        <v>9581</v>
      </c>
      <c r="I898" s="18">
        <f>IFERROR(__xludf.DUMMYFUNCTION("""COMPUTED_VALUE"""),3.0)</f>
        <v>3</v>
      </c>
      <c r="J898" s="18">
        <f>IFERROR(__xludf.DUMMYFUNCTION("""COMPUTED_VALUE"""),20.0)</f>
        <v>20</v>
      </c>
      <c r="K898" s="18">
        <f>IFERROR(__xludf.DUMMYFUNCTION("""COMPUTED_VALUE"""),15.0)</f>
        <v>15</v>
      </c>
      <c r="L898" s="17">
        <f>IFERROR(__xludf.DUMMYFUNCTION("""COMPUTED_VALUE"""),3.00288244E9)</f>
        <v>3002882440</v>
      </c>
      <c r="M898" s="17" t="str">
        <f>IFERROR(__xludf.DUMMYFUNCTION("""COMPUTED_VALUE"""),"#REF!")</f>
        <v>#REF!</v>
      </c>
      <c r="N898" s="17"/>
      <c r="O898" s="19" t="str">
        <f>IFERROR(__xludf.DUMMYFUNCTION("""COMPUTED_VALUE"""),"")</f>
        <v/>
      </c>
      <c r="P898" s="17" t="b">
        <f>IFERROR(__xludf.DUMMYFUNCTION("""COMPUTED_VALUE"""),TRUE)</f>
        <v>1</v>
      </c>
      <c r="Q898" s="20">
        <f>IFERROR(__xludf.DUMMYFUNCTION("""COMPUTED_VALUE"""),45027.67420045139)</f>
        <v>45027.6742</v>
      </c>
      <c r="R898" s="22" t="str">
        <f>IFERROR(__xludf.DUMMYFUNCTION("""COMPUTED_VALUE"""),"")</f>
        <v/>
      </c>
    </row>
    <row r="899">
      <c r="A899" s="15">
        <f>IFERROR(__xludf.DUMMYFUNCTION("""COMPUTED_VALUE"""),45027.0)</f>
        <v>45027</v>
      </c>
      <c r="B899" s="16" t="str">
        <f>IFERROR(__xludf.DUMMYFUNCTION("""COMPUTED_VALUE"""),"Andrés Felipe Castillo Muñoz")</f>
        <v>Andrés Felipe Castillo Muñoz</v>
      </c>
      <c r="C899" s="15" t="str">
        <f>IFERROR(__xludf.DUMMYFUNCTION("""COMPUTED_VALUE"""),"MEDELLÍN")</f>
        <v>MEDELLÍN</v>
      </c>
      <c r="D899" s="15" t="str">
        <f>IFERROR(__xludf.DUMMYFUNCTION("""COMPUTED_VALUE"""),"BOGOTÁ")</f>
        <v>BOGOTÁ</v>
      </c>
      <c r="E899" s="15" t="str">
        <f>IFERROR(__xludf.DUMMYFUNCTION("""COMPUTED_VALUE"""),"Evamazzita")</f>
        <v>Evamazzita</v>
      </c>
      <c r="F899" s="17" t="str">
        <f>IFERROR(__xludf.DUMMYFUNCTION("""COMPUTED_VALUE"""),"CRA 15 BA No. 34D- 44  / INT 201  / BUENOS AIRES")</f>
        <v>CRA 15 BA No. 34D- 44  / INT 201  / BUENOS AIRES</v>
      </c>
      <c r="G899" s="15" t="str">
        <f>IFERROR(__xludf.DUMMYFUNCTION("""COMPUTED_VALUE"""),"DANIELA BEDOYA BLANDON")</f>
        <v>DANIELA BEDOYA BLANDON</v>
      </c>
      <c r="H899" s="16">
        <f>IFERROR(__xludf.DUMMYFUNCTION("""COMPUTED_VALUE"""),9550.0)</f>
        <v>9550</v>
      </c>
      <c r="I899" s="18">
        <f>IFERROR(__xludf.DUMMYFUNCTION("""COMPUTED_VALUE"""),21.0)</f>
        <v>21</v>
      </c>
      <c r="J899" s="18">
        <f>IFERROR(__xludf.DUMMYFUNCTION("""COMPUTED_VALUE"""),37.0)</f>
        <v>37</v>
      </c>
      <c r="K899" s="18">
        <f>IFERROR(__xludf.DUMMYFUNCTION("""COMPUTED_VALUE"""),27.0)</f>
        <v>27</v>
      </c>
      <c r="L899" s="17">
        <f>IFERROR(__xludf.DUMMYFUNCTION("""COMPUTED_VALUE"""),3.14672822E9)</f>
        <v>3146728220</v>
      </c>
      <c r="M899" s="17" t="str">
        <f>IFERROR(__xludf.DUMMYFUNCTION("""COMPUTED_VALUE"""),"#REF!")</f>
        <v>#REF!</v>
      </c>
      <c r="N899" s="17"/>
      <c r="O899" s="19" t="str">
        <f>IFERROR(__xludf.DUMMYFUNCTION("""COMPUTED_VALUE"""),"")</f>
        <v/>
      </c>
      <c r="P899" s="17" t="b">
        <f>IFERROR(__xludf.DUMMYFUNCTION("""COMPUTED_VALUE"""),TRUE)</f>
        <v>1</v>
      </c>
      <c r="Q899" s="20">
        <f>IFERROR(__xludf.DUMMYFUNCTION("""COMPUTED_VALUE"""),45027.67420045139)</f>
        <v>45027.6742</v>
      </c>
      <c r="R899" s="22" t="str">
        <f>IFERROR(__xludf.DUMMYFUNCTION("""COMPUTED_VALUE"""),"")</f>
        <v/>
      </c>
    </row>
    <row r="900">
      <c r="A900" s="15">
        <f>IFERROR(__xludf.DUMMYFUNCTION("""COMPUTED_VALUE"""),45027.0)</f>
        <v>45027</v>
      </c>
      <c r="B900" s="16" t="str">
        <f>IFERROR(__xludf.DUMMYFUNCTION("""COMPUTED_VALUE"""),"Andrés Felipe Castillo Muñoz")</f>
        <v>Andrés Felipe Castillo Muñoz</v>
      </c>
      <c r="C900" s="15" t="str">
        <f>IFERROR(__xludf.DUMMYFUNCTION("""COMPUTED_VALUE"""),"MEDELLÍN")</f>
        <v>MEDELLÍN</v>
      </c>
      <c r="D900" s="15" t="str">
        <f>IFERROR(__xludf.DUMMYFUNCTION("""COMPUTED_VALUE"""),"BOGOTÁ")</f>
        <v>BOGOTÁ</v>
      </c>
      <c r="E900" s="15" t="str">
        <f>IFERROR(__xludf.DUMMYFUNCTION("""COMPUTED_VALUE"""),"Ins. Alimento Vital")</f>
        <v>Ins. Alimento Vital</v>
      </c>
      <c r="F900" s="17" t="str">
        <f>IFERROR(__xludf.DUMMYFUNCTION("""COMPUTED_VALUE"""),"AV. 74 B # 39B 142 / CASA NEGRA, 2 PISO / BARRIO LAURELES")</f>
        <v>AV. 74 B # 39B 142 / CASA NEGRA, 2 PISO / BARRIO LAURELES</v>
      </c>
      <c r="G900" s="15" t="str">
        <f>IFERROR(__xludf.DUMMYFUNCTION("""COMPUTED_VALUE"""),"VELOCITY")</f>
        <v>VELOCITY</v>
      </c>
      <c r="H900" s="16">
        <f>IFERROR(__xludf.DUMMYFUNCTION("""COMPUTED_VALUE"""),9543.0)</f>
        <v>9543</v>
      </c>
      <c r="I900" s="18">
        <f>IFERROR(__xludf.DUMMYFUNCTION("""COMPUTED_VALUE"""),110.0)</f>
        <v>110</v>
      </c>
      <c r="J900" s="18">
        <f>IFERROR(__xludf.DUMMYFUNCTION("""COMPUTED_VALUE"""),45.0)</f>
        <v>45</v>
      </c>
      <c r="K900" s="18" t="str">
        <f>IFERROR(__xludf.DUMMYFUNCTION("""COMPUTED_VALUE"""),"52.5")</f>
        <v>52.5</v>
      </c>
      <c r="L900" s="17">
        <f>IFERROR(__xludf.DUMMYFUNCTION("""COMPUTED_VALUE"""),3.195119419E9)</f>
        <v>3195119419</v>
      </c>
      <c r="M900" s="17" t="str">
        <f>IFERROR(__xludf.DUMMYFUNCTION("""COMPUTED_VALUE"""),"#REF!")</f>
        <v>#REF!</v>
      </c>
      <c r="N900" s="17"/>
      <c r="O900" s="19" t="str">
        <f>IFERROR(__xludf.DUMMYFUNCTION("""COMPUTED_VALUE"""),"")</f>
        <v/>
      </c>
      <c r="P900" s="17" t="b">
        <f>IFERROR(__xludf.DUMMYFUNCTION("""COMPUTED_VALUE"""),TRUE)</f>
        <v>1</v>
      </c>
      <c r="Q900" s="20">
        <f>IFERROR(__xludf.DUMMYFUNCTION("""COMPUTED_VALUE"""),45027.67420045139)</f>
        <v>45027.6742</v>
      </c>
      <c r="R900" s="22" t="str">
        <f>IFERROR(__xludf.DUMMYFUNCTION("""COMPUTED_VALUE"""),"")</f>
        <v/>
      </c>
    </row>
    <row r="901">
      <c r="A901" s="15">
        <f>IFERROR(__xludf.DUMMYFUNCTION("""COMPUTED_VALUE"""),45027.0)</f>
        <v>45027</v>
      </c>
      <c r="B901" s="16" t="str">
        <f>IFERROR(__xludf.DUMMYFUNCTION("""COMPUTED_VALUE"""),"Andrés Felipe Castillo Muñoz")</f>
        <v>Andrés Felipe Castillo Muñoz</v>
      </c>
      <c r="C901" s="15" t="str">
        <f>IFERROR(__xludf.DUMMYFUNCTION("""COMPUTED_VALUE"""),"MEDELLÍN")</f>
        <v>MEDELLÍN</v>
      </c>
      <c r="D901" s="15" t="str">
        <f>IFERROR(__xludf.DUMMYFUNCTION("""COMPUTED_VALUE"""),"BOGOTÁ")</f>
        <v>BOGOTÁ</v>
      </c>
      <c r="E901" s="15" t="str">
        <f>IFERROR(__xludf.DUMMYFUNCTION("""COMPUTED_VALUE"""),"Karem foods")</f>
        <v>Karem foods</v>
      </c>
      <c r="F901" s="17" t="str">
        <f>IFERROR(__xludf.DUMMYFUNCTION("""COMPUTED_VALUE"""),"calle 2 sur #51A -27  / Cristo rey - Guayabal Piso 3  / Empresa Creaciones Dulces Sueños")</f>
        <v>calle 2 sur #51A -27  / Cristo rey - Guayabal Piso 3  / Empresa Creaciones Dulces Sueños</v>
      </c>
      <c r="G901" s="15" t="str">
        <f>IFERROR(__xludf.DUMMYFUNCTION("""COMPUTED_VALUE"""),"Marleny Giraldo")</f>
        <v>Marleny Giraldo</v>
      </c>
      <c r="H901" s="16">
        <f>IFERROR(__xludf.DUMMYFUNCTION("""COMPUTED_VALUE"""),9553.0)</f>
        <v>9553</v>
      </c>
      <c r="I901" s="18">
        <f>IFERROR(__xludf.DUMMYFUNCTION("""COMPUTED_VALUE"""),16.0)</f>
        <v>16</v>
      </c>
      <c r="J901" s="18">
        <f>IFERROR(__xludf.DUMMYFUNCTION("""COMPUTED_VALUE"""),8.0)</f>
        <v>8</v>
      </c>
      <c r="K901" s="18">
        <f>IFERROR(__xludf.DUMMYFUNCTION("""COMPUTED_VALUE"""),8.0)</f>
        <v>8</v>
      </c>
      <c r="L901" s="17">
        <f>IFERROR(__xludf.DUMMYFUNCTION("""COMPUTED_VALUE"""),3.113128654E9)</f>
        <v>3113128654</v>
      </c>
      <c r="M901" s="17" t="str">
        <f>IFERROR(__xludf.DUMMYFUNCTION("""COMPUTED_VALUE"""),"#REF!")</f>
        <v>#REF!</v>
      </c>
      <c r="N901" s="17"/>
      <c r="O901" s="19" t="str">
        <f>IFERROR(__xludf.DUMMYFUNCTION("""COMPUTED_VALUE"""),"")</f>
        <v/>
      </c>
      <c r="P901" s="17" t="b">
        <f>IFERROR(__xludf.DUMMYFUNCTION("""COMPUTED_VALUE"""),FALSE)</f>
        <v>0</v>
      </c>
      <c r="Q901" s="20" t="str">
        <f>IFERROR(__xludf.DUMMYFUNCTION("""COMPUTED_VALUE"""),"")</f>
        <v/>
      </c>
      <c r="R901" s="22" t="str">
        <f>IFERROR(__xludf.DUMMYFUNCTION("""COMPUTED_VALUE"""),"")</f>
        <v/>
      </c>
    </row>
    <row r="902">
      <c r="A902" s="15">
        <f>IFERROR(__xludf.DUMMYFUNCTION("""COMPUTED_VALUE"""),45027.0)</f>
        <v>45027</v>
      </c>
      <c r="B902" s="16" t="str">
        <f>IFERROR(__xludf.DUMMYFUNCTION("""COMPUTED_VALUE"""),"Andrés Felipe Castillo Muñoz")</f>
        <v>Andrés Felipe Castillo Muñoz</v>
      </c>
      <c r="C902" s="15" t="str">
        <f>IFERROR(__xludf.DUMMYFUNCTION("""COMPUTED_VALUE"""),"MEDELLÍN")</f>
        <v>MEDELLÍN</v>
      </c>
      <c r="D902" s="15" t="str">
        <f>IFERROR(__xludf.DUMMYFUNCTION("""COMPUTED_VALUE"""),"BOGOTÁ")</f>
        <v>BOGOTÁ</v>
      </c>
      <c r="E902" s="15" t="str">
        <f>IFERROR(__xludf.DUMMYFUNCTION("""COMPUTED_VALUE"""),"Loomifoods")</f>
        <v>Loomifoods</v>
      </c>
      <c r="F902" s="17" t="str">
        <f>IFERROR(__xludf.DUMMYFUNCTION("""COMPUTED_VALUE"""),"Calle 4 sur 43 a 195. /  oficina 253C /  El centro ejecutivo")</f>
        <v>Calle 4 sur 43 a 195. /  oficina 253C /  El centro ejecutivo</v>
      </c>
      <c r="G902" s="15" t="str">
        <f>IFERROR(__xludf.DUMMYFUNCTION("""COMPUTED_VALUE"""),"Manuela Carvajal")</f>
        <v>Manuela Carvajal</v>
      </c>
      <c r="H902" s="16">
        <f>IFERROR(__xludf.DUMMYFUNCTION("""COMPUTED_VALUE"""),9569.0)</f>
        <v>9569</v>
      </c>
      <c r="I902" s="18">
        <f>IFERROR(__xludf.DUMMYFUNCTION("""COMPUTED_VALUE"""),20.0)</f>
        <v>20</v>
      </c>
      <c r="J902" s="18">
        <f>IFERROR(__xludf.DUMMYFUNCTION("""COMPUTED_VALUE"""),12.0)</f>
        <v>12</v>
      </c>
      <c r="K902" s="18">
        <f>IFERROR(__xludf.DUMMYFUNCTION("""COMPUTED_VALUE"""),16.0)</f>
        <v>16</v>
      </c>
      <c r="L902" s="17">
        <f>IFERROR(__xludf.DUMMYFUNCTION("""COMPUTED_VALUE"""),3.206685131E9)</f>
        <v>3206685131</v>
      </c>
      <c r="M902" s="17" t="str">
        <f>IFERROR(__xludf.DUMMYFUNCTION("""COMPUTED_VALUE"""),"#REF!")</f>
        <v>#REF!</v>
      </c>
      <c r="N902" s="17"/>
      <c r="O902" s="19" t="str">
        <f>IFERROR(__xludf.DUMMYFUNCTION("""COMPUTED_VALUE"""),"")</f>
        <v/>
      </c>
      <c r="P902" s="17" t="b">
        <f>IFERROR(__xludf.DUMMYFUNCTION("""COMPUTED_VALUE"""),TRUE)</f>
        <v>1</v>
      </c>
      <c r="Q902" s="20">
        <f>IFERROR(__xludf.DUMMYFUNCTION("""COMPUTED_VALUE"""),45027.67420045139)</f>
        <v>45027.6742</v>
      </c>
      <c r="R902" s="22" t="str">
        <f>IFERROR(__xludf.DUMMYFUNCTION("""COMPUTED_VALUE"""),"")</f>
        <v/>
      </c>
    </row>
    <row r="903">
      <c r="A903" s="15">
        <f>IFERROR(__xludf.DUMMYFUNCTION("""COMPUTED_VALUE"""),45027.0)</f>
        <v>45027</v>
      </c>
      <c r="B903" s="16" t="str">
        <f>IFERROR(__xludf.DUMMYFUNCTION("""COMPUTED_VALUE"""),"Andrés Felipe Castillo Muñoz")</f>
        <v>Andrés Felipe Castillo Muñoz</v>
      </c>
      <c r="C903" s="15" t="str">
        <f>IFERROR(__xludf.DUMMYFUNCTION("""COMPUTED_VALUE"""),"MEDELLÍN")</f>
        <v>MEDELLÍN</v>
      </c>
      <c r="D903" s="15" t="str">
        <f>IFERROR(__xludf.DUMMYFUNCTION("""COMPUTED_VALUE"""),"BOGOTÁ")</f>
        <v>BOGOTÁ</v>
      </c>
      <c r="E903" s="15" t="str">
        <f>IFERROR(__xludf.DUMMYFUNCTION("""COMPUTED_VALUE"""),"Loomifoods")</f>
        <v>Loomifoods</v>
      </c>
      <c r="F903" s="17" t="str">
        <f>IFERROR(__xludf.DUMMYFUNCTION("""COMPUTED_VALUE"""),"Carrera 34 #48 105  / apto 402 / buenos aires")</f>
        <v>Carrera 34 #48 105  / apto 402 / buenos aires</v>
      </c>
      <c r="G903" s="15" t="str">
        <f>IFERROR(__xludf.DUMMYFUNCTION("""COMPUTED_VALUE"""),"Vanessa Cano")</f>
        <v>Vanessa Cano</v>
      </c>
      <c r="H903" s="16">
        <f>IFERROR(__xludf.DUMMYFUNCTION("""COMPUTED_VALUE"""),9570.0)</f>
        <v>9570</v>
      </c>
      <c r="I903" s="18">
        <f>IFERROR(__xludf.DUMMYFUNCTION("""COMPUTED_VALUE"""),20.0)</f>
        <v>20</v>
      </c>
      <c r="J903" s="18">
        <f>IFERROR(__xludf.DUMMYFUNCTION("""COMPUTED_VALUE"""),5.0)</f>
        <v>5</v>
      </c>
      <c r="K903" s="18">
        <f>IFERROR(__xludf.DUMMYFUNCTION("""COMPUTED_VALUE"""),16.0)</f>
        <v>16</v>
      </c>
      <c r="L903" s="17">
        <f>IFERROR(__xludf.DUMMYFUNCTION("""COMPUTED_VALUE"""),3.016015188E9)</f>
        <v>3016015188</v>
      </c>
      <c r="M903" s="17" t="str">
        <f>IFERROR(__xludf.DUMMYFUNCTION("""COMPUTED_VALUE"""),"#REF!")</f>
        <v>#REF!</v>
      </c>
      <c r="N903" s="17"/>
      <c r="O903" s="19" t="str">
        <f>IFERROR(__xludf.DUMMYFUNCTION("""COMPUTED_VALUE"""),"")</f>
        <v/>
      </c>
      <c r="P903" s="17" t="b">
        <f>IFERROR(__xludf.DUMMYFUNCTION("""COMPUTED_VALUE"""),TRUE)</f>
        <v>1</v>
      </c>
      <c r="Q903" s="20">
        <f>IFERROR(__xludf.DUMMYFUNCTION("""COMPUTED_VALUE"""),45027.67420045139)</f>
        <v>45027.6742</v>
      </c>
      <c r="R903" s="22" t="str">
        <f>IFERROR(__xludf.DUMMYFUNCTION("""COMPUTED_VALUE"""),"")</f>
        <v/>
      </c>
    </row>
    <row r="904">
      <c r="A904" s="15">
        <f>IFERROR(__xludf.DUMMYFUNCTION("""COMPUTED_VALUE"""),45027.0)</f>
        <v>45027</v>
      </c>
      <c r="B904" s="16" t="str">
        <f>IFERROR(__xludf.DUMMYFUNCTION("""COMPUTED_VALUE"""),"Andrés Felipe Castillo Muñoz")</f>
        <v>Andrés Felipe Castillo Muñoz</v>
      </c>
      <c r="C904" s="15" t="str">
        <f>IFERROR(__xludf.DUMMYFUNCTION("""COMPUTED_VALUE"""),"MEDELLÍN")</f>
        <v>MEDELLÍN</v>
      </c>
      <c r="D904" s="15" t="str">
        <f>IFERROR(__xludf.DUMMYFUNCTION("""COMPUTED_VALUE"""),"BOGOTÁ")</f>
        <v>BOGOTÁ</v>
      </c>
      <c r="E904" s="15" t="str">
        <f>IFERROR(__xludf.DUMMYFUNCTION("""COMPUTED_VALUE"""),"MAI ALIMENTOS S.A.S")</f>
        <v>MAI ALIMENTOS S.A.S</v>
      </c>
      <c r="F904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904" s="15" t="str">
        <f>IFERROR(__xludf.DUMMYFUNCTION("""COMPUTED_VALUE"""),"Novaventas - Medellin")</f>
        <v>Novaventas - Medellin</v>
      </c>
      <c r="H904" s="16">
        <f>IFERROR(__xludf.DUMMYFUNCTION("""COMPUTED_VALUE"""),9561.0)</f>
        <v>9561</v>
      </c>
      <c r="I904" s="18">
        <f>IFERROR(__xludf.DUMMYFUNCTION("""COMPUTED_VALUE"""),35.0)</f>
        <v>35</v>
      </c>
      <c r="J904" s="18">
        <f>IFERROR(__xludf.DUMMYFUNCTION("""COMPUTED_VALUE"""),17.0)</f>
        <v>17</v>
      </c>
      <c r="K904" s="18">
        <f>IFERROR(__xludf.DUMMYFUNCTION("""COMPUTED_VALUE"""),13.0)</f>
        <v>13</v>
      </c>
      <c r="L904" s="17">
        <f>IFERROR(__xludf.DUMMYFUNCTION("""COMPUTED_VALUE"""),3.187351593E9)</f>
        <v>3187351593</v>
      </c>
      <c r="M904" s="17" t="str">
        <f>IFERROR(__xludf.DUMMYFUNCTION("""COMPUTED_VALUE"""),"#REF!")</f>
        <v>#REF!</v>
      </c>
      <c r="N904" s="17"/>
      <c r="O904" s="19" t="str">
        <f>IFERROR(__xludf.DUMMYFUNCTION("""COMPUTED_VALUE"""),"")</f>
        <v/>
      </c>
      <c r="P904" s="17" t="b">
        <f>IFERROR(__xludf.DUMMYFUNCTION("""COMPUTED_VALUE"""),TRUE)</f>
        <v>1</v>
      </c>
      <c r="Q904" s="20">
        <f>IFERROR(__xludf.DUMMYFUNCTION("""COMPUTED_VALUE"""),45027.67420045139)</f>
        <v>45027.6742</v>
      </c>
      <c r="R904" s="22" t="str">
        <f>IFERROR(__xludf.DUMMYFUNCTION("""COMPUTED_VALUE"""),"")</f>
        <v/>
      </c>
    </row>
    <row r="905">
      <c r="A905" s="15">
        <f>IFERROR(__xludf.DUMMYFUNCTION("""COMPUTED_VALUE"""),45027.0)</f>
        <v>45027</v>
      </c>
      <c r="B905" s="16" t="str">
        <f>IFERROR(__xludf.DUMMYFUNCTION("""COMPUTED_VALUE"""),"Andrés Felipe Castillo Muñoz")</f>
        <v>Andrés Felipe Castillo Muñoz</v>
      </c>
      <c r="C905" s="15" t="str">
        <f>IFERROR(__xludf.DUMMYFUNCTION("""COMPUTED_VALUE"""),"MEDELLÍN")</f>
        <v>MEDELLÍN</v>
      </c>
      <c r="D905" s="15" t="str">
        <f>IFERROR(__xludf.DUMMYFUNCTION("""COMPUTED_VALUE"""),"BOGOTÁ")</f>
        <v>BOGOTÁ</v>
      </c>
      <c r="E905" s="15" t="str">
        <f>IFERROR(__xludf.DUMMYFUNCTION("""COMPUTED_VALUE"""),"Pan de Waffle")</f>
        <v>Pan de Waffle</v>
      </c>
      <c r="F905" s="17" t="str">
        <f>IFERROR(__xludf.DUMMYFUNCTION("""COMPUTED_VALUE"""),"Carrera 39 # 59 - 32 / Carrera 39 # 59 - 32 / Carrera 39 # 59 - 32")</f>
        <v>Carrera 39 # 59 - 32 / Carrera 39 # 59 - 32 / Carrera 39 # 59 - 32</v>
      </c>
      <c r="G905" s="15" t="str">
        <f>IFERROR(__xludf.DUMMYFUNCTION("""COMPUTED_VALUE"""),"FOODOLOGY")</f>
        <v>FOODOLOGY</v>
      </c>
      <c r="H905" s="16">
        <f>IFERROR(__xludf.DUMMYFUNCTION("""COMPUTED_VALUE"""),9545.0)</f>
        <v>9545</v>
      </c>
      <c r="I905" s="18">
        <f>IFERROR(__xludf.DUMMYFUNCTION("""COMPUTED_VALUE"""),30.0)</f>
        <v>30</v>
      </c>
      <c r="J905" s="18">
        <f>IFERROR(__xludf.DUMMYFUNCTION("""COMPUTED_VALUE"""),40.0)</f>
        <v>40</v>
      </c>
      <c r="K905" s="18">
        <f>IFERROR(__xludf.DUMMYFUNCTION("""COMPUTED_VALUE"""),30.0)</f>
        <v>30</v>
      </c>
      <c r="L905" s="17">
        <f>IFERROR(__xludf.DUMMYFUNCTION("""COMPUTED_VALUE"""),3.123558292E9)</f>
        <v>3123558292</v>
      </c>
      <c r="M905" s="17" t="str">
        <f>IFERROR(__xludf.DUMMYFUNCTION("""COMPUTED_VALUE"""),"#REF!")</f>
        <v>#REF!</v>
      </c>
      <c r="N905" s="17"/>
      <c r="O905" s="19" t="str">
        <f>IFERROR(__xludf.DUMMYFUNCTION("""COMPUTED_VALUE"""),"")</f>
        <v/>
      </c>
      <c r="P905" s="17" t="b">
        <f>IFERROR(__xludf.DUMMYFUNCTION("""COMPUTED_VALUE"""),TRUE)</f>
        <v>1</v>
      </c>
      <c r="Q905" s="20">
        <f>IFERROR(__xludf.DUMMYFUNCTION("""COMPUTED_VALUE"""),45027.67420045139)</f>
        <v>45027.6742</v>
      </c>
      <c r="R905" s="22" t="str">
        <f>IFERROR(__xludf.DUMMYFUNCTION("""COMPUTED_VALUE"""),"")</f>
        <v/>
      </c>
    </row>
    <row r="906">
      <c r="A906" s="15">
        <f>IFERROR(__xludf.DUMMYFUNCTION("""COMPUTED_VALUE"""),45027.0)</f>
        <v>45027</v>
      </c>
      <c r="B906" s="16" t="str">
        <f>IFERROR(__xludf.DUMMYFUNCTION("""COMPUTED_VALUE"""),"Andrés Felipe Castillo Muñoz")</f>
        <v>Andrés Felipe Castillo Muñoz</v>
      </c>
      <c r="C906" s="15" t="str">
        <f>IFERROR(__xludf.DUMMYFUNCTION("""COMPUTED_VALUE"""),"MEDELLÍN")</f>
        <v>MEDELLÍN</v>
      </c>
      <c r="D906" s="15" t="str">
        <f>IFERROR(__xludf.DUMMYFUNCTION("""COMPUTED_VALUE"""),"BOGOTÁ")</f>
        <v>BOGOTÁ</v>
      </c>
      <c r="E906" s="15" t="str">
        <f>IFERROR(__xludf.DUMMYFUNCTION("""COMPUTED_VALUE"""),"Pan de Waffle")</f>
        <v>Pan de Waffle</v>
      </c>
      <c r="F906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906" s="15" t="str">
        <f>IFERROR(__xludf.DUMMYFUNCTION("""COMPUTED_VALUE"""),"VITA INTEGRAL")</f>
        <v>VITA INTEGRAL</v>
      </c>
      <c r="H906" s="16">
        <f>IFERROR(__xludf.DUMMYFUNCTION("""COMPUTED_VALUE"""),9544.0)</f>
        <v>9544</v>
      </c>
      <c r="I906" s="18">
        <f>IFERROR(__xludf.DUMMYFUNCTION("""COMPUTED_VALUE"""),30.0)</f>
        <v>30</v>
      </c>
      <c r="J906" s="18">
        <f>IFERROR(__xludf.DUMMYFUNCTION("""COMPUTED_VALUE"""),30.0)</f>
        <v>30</v>
      </c>
      <c r="K906" s="18">
        <f>IFERROR(__xludf.DUMMYFUNCTION("""COMPUTED_VALUE"""),30.0)</f>
        <v>30</v>
      </c>
      <c r="L906" s="17">
        <f>IFERROR(__xludf.DUMMYFUNCTION("""COMPUTED_VALUE"""),3.122921247E9)</f>
        <v>3122921247</v>
      </c>
      <c r="M906" s="17" t="str">
        <f>IFERROR(__xludf.DUMMYFUNCTION("""COMPUTED_VALUE"""),"#REF!")</f>
        <v>#REF!</v>
      </c>
      <c r="N906" s="17"/>
      <c r="O906" s="19" t="str">
        <f>IFERROR(__xludf.DUMMYFUNCTION("""COMPUTED_VALUE"""),"")</f>
        <v/>
      </c>
      <c r="P906" s="17" t="b">
        <f>IFERROR(__xludf.DUMMYFUNCTION("""COMPUTED_VALUE"""),FALSE)</f>
        <v>0</v>
      </c>
      <c r="Q906" s="20" t="str">
        <f>IFERROR(__xludf.DUMMYFUNCTION("""COMPUTED_VALUE"""),"")</f>
        <v/>
      </c>
      <c r="R906" s="22" t="str">
        <f>IFERROR(__xludf.DUMMYFUNCTION("""COMPUTED_VALUE"""),"")</f>
        <v/>
      </c>
    </row>
    <row r="907">
      <c r="A907" s="15">
        <f>IFERROR(__xludf.DUMMYFUNCTION("""COMPUTED_VALUE"""),45027.0)</f>
        <v>45027</v>
      </c>
      <c r="B907" s="16" t="str">
        <f>IFERROR(__xludf.DUMMYFUNCTION("""COMPUTED_VALUE"""),"Andrés Felipe Castillo Muñoz")</f>
        <v>Andrés Felipe Castillo Muñoz</v>
      </c>
      <c r="C907" s="15" t="str">
        <f>IFERROR(__xludf.DUMMYFUNCTION("""COMPUTED_VALUE"""),"MEDELLÍN")</f>
        <v>MEDELLÍN</v>
      </c>
      <c r="D907" s="15" t="str">
        <f>IFERROR(__xludf.DUMMYFUNCTION("""COMPUTED_VALUE"""),"BOGOTÁ")</f>
        <v>BOGOTÁ</v>
      </c>
      <c r="E907" s="15" t="str">
        <f>IFERROR(__xludf.DUMMYFUNCTION("""COMPUTED_VALUE"""),"Top Spun")</f>
        <v>Top Spun</v>
      </c>
      <c r="F907" s="17" t="str">
        <f>IFERROR(__xludf.DUMMYFUNCTION("""COMPUTED_VALUE"""),"Calle 65sur #15 32 / edificio Bianco apto 901 / Sabaneta, Antioquia")</f>
        <v>Calle 65sur #15 32 / edificio Bianco apto 901 / Sabaneta, Antioquia</v>
      </c>
      <c r="G907" s="15" t="str">
        <f>IFERROR(__xludf.DUMMYFUNCTION("""COMPUTED_VALUE"""),"Isabel Incapie")</f>
        <v>Isabel Incapie</v>
      </c>
      <c r="H907" s="16">
        <f>IFERROR(__xludf.DUMMYFUNCTION("""COMPUTED_VALUE"""),9526.0)</f>
        <v>9526</v>
      </c>
      <c r="I907" s="18">
        <f>IFERROR(__xludf.DUMMYFUNCTION("""COMPUTED_VALUE"""),20.0)</f>
        <v>20</v>
      </c>
      <c r="J907" s="18">
        <f>IFERROR(__xludf.DUMMYFUNCTION("""COMPUTED_VALUE"""),40.0)</f>
        <v>40</v>
      </c>
      <c r="K907" s="18">
        <f>IFERROR(__xludf.DUMMYFUNCTION("""COMPUTED_VALUE"""),10.0)</f>
        <v>10</v>
      </c>
      <c r="L907" s="17">
        <f>IFERROR(__xludf.DUMMYFUNCTION("""COMPUTED_VALUE"""),3.006247013E9)</f>
        <v>3006247013</v>
      </c>
      <c r="M907" s="17" t="str">
        <f>IFERROR(__xludf.DUMMYFUNCTION("""COMPUTED_VALUE"""),"#REF!")</f>
        <v>#REF!</v>
      </c>
      <c r="N907" s="17"/>
      <c r="O907" s="19" t="str">
        <f>IFERROR(__xludf.DUMMYFUNCTION("""COMPUTED_VALUE"""),"")</f>
        <v/>
      </c>
      <c r="P907" s="17" t="b">
        <f>IFERROR(__xludf.DUMMYFUNCTION("""COMPUTED_VALUE"""),FALSE)</f>
        <v>0</v>
      </c>
      <c r="Q907" s="20" t="str">
        <f>IFERROR(__xludf.DUMMYFUNCTION("""COMPUTED_VALUE"""),"")</f>
        <v/>
      </c>
      <c r="R907" s="22" t="str">
        <f>IFERROR(__xludf.DUMMYFUNCTION("""COMPUTED_VALUE"""),"")</f>
        <v/>
      </c>
    </row>
    <row r="908">
      <c r="A908" s="17" t="str">
        <f>IFERROR(__xludf.DUMMYFUNCTION("""COMPUTED_VALUE"""),"")</f>
        <v/>
      </c>
      <c r="B908" s="17" t="str">
        <f>IFERROR(__xludf.DUMMYFUNCTION("""COMPUTED_VALUE"""),"")</f>
        <v/>
      </c>
      <c r="C908" s="17" t="str">
        <f>IFERROR(__xludf.DUMMYFUNCTION("""COMPUTED_VALUE"""),"")</f>
        <v/>
      </c>
      <c r="D908" s="17" t="str">
        <f>IFERROR(__xludf.DUMMYFUNCTION("""COMPUTED_VALUE"""),"")</f>
        <v/>
      </c>
      <c r="E908" s="17" t="str">
        <f>IFERROR(__xludf.DUMMYFUNCTION("""COMPUTED_VALUE"""),"")</f>
        <v/>
      </c>
      <c r="F908" s="17" t="str">
        <f>IFERROR(__xludf.DUMMYFUNCTION("""COMPUTED_VALUE"""),"")</f>
        <v/>
      </c>
      <c r="G908" s="17" t="str">
        <f>IFERROR(__xludf.DUMMYFUNCTION("""COMPUTED_VALUE"""),"")</f>
        <v/>
      </c>
      <c r="H908" s="17" t="str">
        <f>IFERROR(__xludf.DUMMYFUNCTION("""COMPUTED_VALUE"""),"")</f>
        <v/>
      </c>
      <c r="I908" s="17" t="str">
        <f>IFERROR(__xludf.DUMMYFUNCTION("""COMPUTED_VALUE"""),"")</f>
        <v/>
      </c>
      <c r="J908" s="17" t="str">
        <f>IFERROR(__xludf.DUMMYFUNCTION("""COMPUTED_VALUE"""),"")</f>
        <v/>
      </c>
      <c r="K908" s="17" t="str">
        <f>IFERROR(__xludf.DUMMYFUNCTION("""COMPUTED_VALUE"""),"")</f>
        <v/>
      </c>
      <c r="L908" s="17" t="str">
        <f>IFERROR(__xludf.DUMMYFUNCTION("""COMPUTED_VALUE"""),"")</f>
        <v/>
      </c>
      <c r="M908" s="17" t="str">
        <f>IFERROR(__xludf.DUMMYFUNCTION("""COMPUTED_VALUE"""),"")</f>
        <v/>
      </c>
      <c r="N908" s="17" t="str">
        <f>IFERROR(__xludf.DUMMYFUNCTION("""COMPUTED_VALUE"""),"")</f>
        <v/>
      </c>
      <c r="O908" s="17" t="str">
        <f>IFERROR(__xludf.DUMMYFUNCTION("""COMPUTED_VALUE"""),"")</f>
        <v/>
      </c>
      <c r="P908" s="17" t="str">
        <f>IFERROR(__xludf.DUMMYFUNCTION("""COMPUTED_VALUE"""),"")</f>
        <v/>
      </c>
      <c r="Q908" s="17" t="str">
        <f>IFERROR(__xludf.DUMMYFUNCTION("""COMPUTED_VALUE"""),"")</f>
        <v/>
      </c>
      <c r="R908" s="17" t="str">
        <f>IFERROR(__xludf.DUMMYFUNCTION("""COMPUTED_VALUE"""),"")</f>
        <v/>
      </c>
    </row>
    <row r="909">
      <c r="A909" s="15">
        <f>IFERROR(__xludf.DUMMYFUNCTION("""COMPUTED_VALUE"""),45027.0)</f>
        <v>45027</v>
      </c>
      <c r="B909" s="16" t="str">
        <f>IFERROR(__xludf.DUMMYFUNCTION("""COMPUTED_VALUE"""),"Deivi Alejandro Quintero Corrales")</f>
        <v>Deivi Alejandro Quintero Corrales</v>
      </c>
      <c r="C909" s="15" t="str">
        <f>IFERROR(__xludf.DUMMYFUNCTION("""COMPUTED_VALUE"""),"PEREIRA")</f>
        <v>PEREIRA</v>
      </c>
      <c r="D909" s="15" t="str">
        <f>IFERROR(__xludf.DUMMYFUNCTION("""COMPUTED_VALUE"""),"BOGOTÁ")</f>
        <v>BOGOTÁ</v>
      </c>
      <c r="E909" s="15" t="str">
        <f>IFERROR(__xludf.DUMMYFUNCTION("""COMPUTED_VALUE"""),"Ins. Alimento Vital")</f>
        <v>Ins. Alimento Vital</v>
      </c>
      <c r="F909" s="17" t="str">
        <f>IFERROR(__xludf.DUMMYFUNCTION("""COMPUTED_VALUE"""),"CR 5 18 43 / EDIFICIO CHALJUB / BARRIO URIBE")</f>
        <v>CR 5 18 43 / EDIFICIO CHALJUB / BARRIO URIBE</v>
      </c>
      <c r="G909" s="15" t="str">
        <f>IFERROR(__xludf.DUMMYFUNCTION("""COMPUTED_VALUE"""),"CHALJUB")</f>
        <v>CHALJUB</v>
      </c>
      <c r="H909" s="16">
        <f>IFERROR(__xludf.DUMMYFUNCTION("""COMPUTED_VALUE"""),9572.0)</f>
        <v>9572</v>
      </c>
      <c r="I909" s="18">
        <f>IFERROR(__xludf.DUMMYFUNCTION("""COMPUTED_VALUE"""),110.0)</f>
        <v>110</v>
      </c>
      <c r="J909" s="18">
        <f>IFERROR(__xludf.DUMMYFUNCTION("""COMPUTED_VALUE"""),45.0)</f>
        <v>45</v>
      </c>
      <c r="K909" s="18" t="str">
        <f>IFERROR(__xludf.DUMMYFUNCTION("""COMPUTED_VALUE"""),"52.5")</f>
        <v>52.5</v>
      </c>
      <c r="L909" s="17">
        <f>IFERROR(__xludf.DUMMYFUNCTION("""COMPUTED_VALUE"""),3.113678687E9)</f>
        <v>3113678687</v>
      </c>
      <c r="M909" s="17" t="str">
        <f>IFERROR(__xludf.DUMMYFUNCTION("""COMPUTED_VALUE"""),"#REF!")</f>
        <v>#REF!</v>
      </c>
      <c r="N909" s="17"/>
      <c r="O909" s="19" t="str">
        <f>IFERROR(__xludf.DUMMYFUNCTION("""COMPUTED_VALUE"""),"")</f>
        <v/>
      </c>
      <c r="P909" s="17" t="b">
        <f>IFERROR(__xludf.DUMMYFUNCTION("""COMPUTED_VALUE"""),FALSE)</f>
        <v>0</v>
      </c>
      <c r="Q909" s="20" t="str">
        <f>IFERROR(__xludf.DUMMYFUNCTION("""COMPUTED_VALUE"""),"")</f>
        <v/>
      </c>
      <c r="R909" s="22" t="str">
        <f>IFERROR(__xludf.DUMMYFUNCTION("""COMPUTED_VALUE"""),"")</f>
        <v/>
      </c>
    </row>
    <row r="910">
      <c r="A910" s="15">
        <f>IFERROR(__xludf.DUMMYFUNCTION("""COMPUTED_VALUE"""),45027.0)</f>
        <v>45027</v>
      </c>
      <c r="B910" s="16" t="str">
        <f>IFERROR(__xludf.DUMMYFUNCTION("""COMPUTED_VALUE"""),"Deivi Alejandro Quintero Corrales")</f>
        <v>Deivi Alejandro Quintero Corrales</v>
      </c>
      <c r="C910" s="15" t="str">
        <f>IFERROR(__xludf.DUMMYFUNCTION("""COMPUTED_VALUE"""),"PEREIRA")</f>
        <v>PEREIRA</v>
      </c>
      <c r="D910" s="15" t="str">
        <f>IFERROR(__xludf.DUMMYFUNCTION("""COMPUTED_VALUE"""),"BOGOTÁ")</f>
        <v>BOGOTÁ</v>
      </c>
      <c r="E910" s="15" t="str">
        <f>IFERROR(__xludf.DUMMYFUNCTION("""COMPUTED_VALUE"""),"Karem foods")</f>
        <v>Karem foods</v>
      </c>
      <c r="F910" s="17" t="str">
        <f>IFERROR(__xludf.DUMMYFUNCTION("""COMPUTED_VALUE"""),"Conjunto San José De Las Villas 3  / Casa 173  / Entrada pueblito cafetero")</f>
        <v>Conjunto San José De Las Villas 3  / Casa 173  / Entrada pueblito cafetero</v>
      </c>
      <c r="G910" s="15" t="str">
        <f>IFERROR(__xludf.DUMMYFUNCTION("""COMPUTED_VALUE"""),"Jessica Chevalier maya")</f>
        <v>Jessica Chevalier maya</v>
      </c>
      <c r="H910" s="16">
        <f>IFERROR(__xludf.DUMMYFUNCTION("""COMPUTED_VALUE"""),9555.0)</f>
        <v>9555</v>
      </c>
      <c r="I910" s="18">
        <f>IFERROR(__xludf.DUMMYFUNCTION("""COMPUTED_VALUE"""),7.0)</f>
        <v>7</v>
      </c>
      <c r="J910" s="18">
        <f>IFERROR(__xludf.DUMMYFUNCTION("""COMPUTED_VALUE"""),20.0)</f>
        <v>20</v>
      </c>
      <c r="K910" s="18">
        <f>IFERROR(__xludf.DUMMYFUNCTION("""COMPUTED_VALUE"""),20.0)</f>
        <v>20</v>
      </c>
      <c r="L910" s="17">
        <f>IFERROR(__xludf.DUMMYFUNCTION("""COMPUTED_VALUE"""),3.195968178E9)</f>
        <v>3195968178</v>
      </c>
      <c r="M910" s="17" t="str">
        <f>IFERROR(__xludf.DUMMYFUNCTION("""COMPUTED_VALUE"""),"#REF!")</f>
        <v>#REF!</v>
      </c>
      <c r="N910" s="17"/>
      <c r="O910" s="19" t="str">
        <f>IFERROR(__xludf.DUMMYFUNCTION("""COMPUTED_VALUE"""),"")</f>
        <v/>
      </c>
      <c r="P910" s="17" t="b">
        <f>IFERROR(__xludf.DUMMYFUNCTION("""COMPUTED_VALUE"""),FALSE)</f>
        <v>0</v>
      </c>
      <c r="Q910" s="20" t="str">
        <f>IFERROR(__xludf.DUMMYFUNCTION("""COMPUTED_VALUE"""),"")</f>
        <v/>
      </c>
      <c r="R910" s="22" t="str">
        <f>IFERROR(__xludf.DUMMYFUNCTION("""COMPUTED_VALUE"""),"")</f>
        <v/>
      </c>
    </row>
    <row r="911">
      <c r="A911" s="15">
        <f>IFERROR(__xludf.DUMMYFUNCTION("""COMPUTED_VALUE"""),45027.0)</f>
        <v>45027</v>
      </c>
      <c r="B911" s="16" t="str">
        <f>IFERROR(__xludf.DUMMYFUNCTION("""COMPUTED_VALUE"""),"Deivi Alejandro Quintero Corrales")</f>
        <v>Deivi Alejandro Quintero Corrales</v>
      </c>
      <c r="C911" s="15" t="str">
        <f>IFERROR(__xludf.DUMMYFUNCTION("""COMPUTED_VALUE"""),"PEREIRA")</f>
        <v>PEREIRA</v>
      </c>
      <c r="D911" s="15" t="str">
        <f>IFERROR(__xludf.DUMMYFUNCTION("""COMPUTED_VALUE"""),"MEDELLÍN")</f>
        <v>MEDELLÍN</v>
      </c>
      <c r="E911" s="15" t="str">
        <f>IFERROR(__xludf.DUMMYFUNCTION("""COMPUTED_VALUE"""),"AREPAS LA MARY")</f>
        <v>AREPAS LA MARY</v>
      </c>
      <c r="F911" s="17" t="str">
        <f>IFERROR(__xludf.DUMMYFUNCTION("""COMPUTED_VALUE"""),"CALLE 14 # 14-15")</f>
        <v>CALLE 14 # 14-15</v>
      </c>
      <c r="G911" s="15" t="str">
        <f>IFERROR(__xludf.DUMMYFUNCTION("""COMPUTED_VALUE"""),"MAJANA FIT TIENDA 1")</f>
        <v>MAJANA FIT TIENDA 1</v>
      </c>
      <c r="H911" s="16">
        <f>IFERROR(__xludf.DUMMYFUNCTION("""COMPUTED_VALUE"""),9556.0)</f>
        <v>9556</v>
      </c>
      <c r="I911" s="18">
        <f>IFERROR(__xludf.DUMMYFUNCTION("""COMPUTED_VALUE"""),89.0)</f>
        <v>89</v>
      </c>
      <c r="J911" s="18">
        <f>IFERROR(__xludf.DUMMYFUNCTION("""COMPUTED_VALUE"""),1.0)</f>
        <v>1</v>
      </c>
      <c r="K911" s="18">
        <f>IFERROR(__xludf.DUMMYFUNCTION("""COMPUTED_VALUE"""),10.0)</f>
        <v>10</v>
      </c>
      <c r="L911" s="17" t="str">
        <f>IFERROR(__xludf.DUMMYFUNCTION("""COMPUTED_VALUE"""),"311 6123447")</f>
        <v>311 6123447</v>
      </c>
      <c r="M911" s="17" t="str">
        <f>IFERROR(__xludf.DUMMYFUNCTION("""COMPUTED_VALUE"""),"#REF!")</f>
        <v>#REF!</v>
      </c>
      <c r="N911" s="17"/>
      <c r="O911" s="19" t="str">
        <f>IFERROR(__xludf.DUMMYFUNCTION("""COMPUTED_VALUE"""),"")</f>
        <v/>
      </c>
      <c r="P911" s="17" t="b">
        <f>IFERROR(__xludf.DUMMYFUNCTION("""COMPUTED_VALUE"""),FALSE)</f>
        <v>0</v>
      </c>
      <c r="Q911" s="20" t="str">
        <f>IFERROR(__xludf.DUMMYFUNCTION("""COMPUTED_VALUE"""),"")</f>
        <v/>
      </c>
      <c r="R911" s="22" t="str">
        <f>IFERROR(__xludf.DUMMYFUNCTION("""COMPUTED_VALUE"""),"")</f>
        <v/>
      </c>
    </row>
    <row r="912">
      <c r="A912" s="15">
        <f>IFERROR(__xludf.DUMMYFUNCTION("""COMPUTED_VALUE"""),45027.0)</f>
        <v>45027</v>
      </c>
      <c r="B912" s="16" t="str">
        <f>IFERROR(__xludf.DUMMYFUNCTION("""COMPUTED_VALUE"""),"Deivi Alejandro Quintero Corrales")</f>
        <v>Deivi Alejandro Quintero Corrales</v>
      </c>
      <c r="C912" s="15" t="str">
        <f>IFERROR(__xludf.DUMMYFUNCTION("""COMPUTED_VALUE"""),"PEREIRA")</f>
        <v>PEREIRA</v>
      </c>
      <c r="D912" s="15" t="str">
        <f>IFERROR(__xludf.DUMMYFUNCTION("""COMPUTED_VALUE"""),"MEDELLÍN")</f>
        <v>MEDELLÍN</v>
      </c>
      <c r="E912" s="15" t="str">
        <f>IFERROR(__xludf.DUMMYFUNCTION("""COMPUTED_VALUE"""),"Baby Chef")</f>
        <v>Baby Chef</v>
      </c>
      <c r="F912" s="17" t="str">
        <f>IFERROR(__xludf.DUMMYFUNCTION("""COMPUTED_VALUE"""),"Calle 8 bis no 15-51 edif parque central Apto 1602 / Calle 8 bis no 15-51 edif parque central Apto 1602 / Calle 8 bis no 15-51 edif parque central Apto 1602")</f>
        <v>Calle 8 bis no 15-51 edif parque central Apto 1602 / Calle 8 bis no 15-51 edif parque central Apto 1602 / Calle 8 bis no 15-51 edif parque central Apto 1602</v>
      </c>
      <c r="G912" s="15" t="str">
        <f>IFERROR(__xludf.DUMMYFUNCTION("""COMPUTED_VALUE"""),"LUISA HOLGUIN")</f>
        <v>LUISA HOLGUIN</v>
      </c>
      <c r="H912" s="16">
        <f>IFERROR(__xludf.DUMMYFUNCTION("""COMPUTED_VALUE"""),9566.0)</f>
        <v>9566</v>
      </c>
      <c r="I912" s="18">
        <f>IFERROR(__xludf.DUMMYFUNCTION("""COMPUTED_VALUE"""),8.0)</f>
        <v>8</v>
      </c>
      <c r="J912" s="18">
        <f>IFERROR(__xludf.DUMMYFUNCTION("""COMPUTED_VALUE"""),16.0)</f>
        <v>16</v>
      </c>
      <c r="K912" s="18">
        <f>IFERROR(__xludf.DUMMYFUNCTION("""COMPUTED_VALUE"""),20.0)</f>
        <v>20</v>
      </c>
      <c r="L912" s="17">
        <f>IFERROR(__xludf.DUMMYFUNCTION("""COMPUTED_VALUE"""),3.008427381E9)</f>
        <v>3008427381</v>
      </c>
      <c r="M912" s="17" t="str">
        <f>IFERROR(__xludf.DUMMYFUNCTION("""COMPUTED_VALUE"""),"#REF!")</f>
        <v>#REF!</v>
      </c>
      <c r="N912" s="17"/>
      <c r="O912" s="19" t="str">
        <f>IFERROR(__xludf.DUMMYFUNCTION("""COMPUTED_VALUE"""),"")</f>
        <v/>
      </c>
      <c r="P912" s="17" t="b">
        <f>IFERROR(__xludf.DUMMYFUNCTION("""COMPUTED_VALUE"""),TRUE)</f>
        <v>1</v>
      </c>
      <c r="Q912" s="20">
        <f>IFERROR(__xludf.DUMMYFUNCTION("""COMPUTED_VALUE"""),45027.67420045139)</f>
        <v>45027.6742</v>
      </c>
      <c r="R912" s="22" t="str">
        <f>IFERROR(__xludf.DUMMYFUNCTION("""COMPUTED_VALUE"""),"")</f>
        <v/>
      </c>
    </row>
    <row r="913">
      <c r="A913" s="17" t="str">
        <f>IFERROR(__xludf.DUMMYFUNCTION("""COMPUTED_VALUE"""),"")</f>
        <v/>
      </c>
      <c r="B913" s="17" t="str">
        <f>IFERROR(__xludf.DUMMYFUNCTION("""COMPUTED_VALUE"""),"")</f>
        <v/>
      </c>
      <c r="C913" s="17" t="str">
        <f>IFERROR(__xludf.DUMMYFUNCTION("""COMPUTED_VALUE"""),"")</f>
        <v/>
      </c>
      <c r="D913" s="17" t="str">
        <f>IFERROR(__xludf.DUMMYFUNCTION("""COMPUTED_VALUE"""),"")</f>
        <v/>
      </c>
      <c r="E913" s="17" t="str">
        <f>IFERROR(__xludf.DUMMYFUNCTION("""COMPUTED_VALUE"""),"")</f>
        <v/>
      </c>
      <c r="F913" s="17" t="str">
        <f>IFERROR(__xludf.DUMMYFUNCTION("""COMPUTED_VALUE"""),"")</f>
        <v/>
      </c>
      <c r="G913" s="17" t="str">
        <f>IFERROR(__xludf.DUMMYFUNCTION("""COMPUTED_VALUE"""),"")</f>
        <v/>
      </c>
      <c r="H913" s="17" t="str">
        <f>IFERROR(__xludf.DUMMYFUNCTION("""COMPUTED_VALUE"""),"")</f>
        <v/>
      </c>
      <c r="I913" s="17" t="str">
        <f>IFERROR(__xludf.DUMMYFUNCTION("""COMPUTED_VALUE"""),"")</f>
        <v/>
      </c>
      <c r="J913" s="17" t="str">
        <f>IFERROR(__xludf.DUMMYFUNCTION("""COMPUTED_VALUE"""),"")</f>
        <v/>
      </c>
      <c r="K913" s="17" t="str">
        <f>IFERROR(__xludf.DUMMYFUNCTION("""COMPUTED_VALUE"""),"")</f>
        <v/>
      </c>
      <c r="L913" s="17" t="str">
        <f>IFERROR(__xludf.DUMMYFUNCTION("""COMPUTED_VALUE"""),"")</f>
        <v/>
      </c>
      <c r="M913" s="17" t="str">
        <f>IFERROR(__xludf.DUMMYFUNCTION("""COMPUTED_VALUE"""),"")</f>
        <v/>
      </c>
      <c r="N913" s="17" t="str">
        <f>IFERROR(__xludf.DUMMYFUNCTION("""COMPUTED_VALUE"""),"")</f>
        <v/>
      </c>
      <c r="O913" s="17" t="str">
        <f>IFERROR(__xludf.DUMMYFUNCTION("""COMPUTED_VALUE"""),"")</f>
        <v/>
      </c>
      <c r="P913" s="17" t="str">
        <f>IFERROR(__xludf.DUMMYFUNCTION("""COMPUTED_VALUE"""),"")</f>
        <v/>
      </c>
      <c r="Q913" s="17" t="str">
        <f>IFERROR(__xludf.DUMMYFUNCTION("""COMPUTED_VALUE"""),"")</f>
        <v/>
      </c>
      <c r="R913" s="17" t="str">
        <f>IFERROR(__xludf.DUMMYFUNCTION("""COMPUTED_VALUE"""),"")</f>
        <v/>
      </c>
    </row>
    <row r="914">
      <c r="A914" s="15">
        <f>IFERROR(__xludf.DUMMYFUNCTION("""COMPUTED_VALUE"""),45027.0)</f>
        <v>45027</v>
      </c>
      <c r="B914" s="16" t="str">
        <f>IFERROR(__xludf.DUMMYFUNCTION("""COMPUTED_VALUE"""),"Duvan Gabriel Alvarez Giron")</f>
        <v>Duvan Gabriel Alvarez Giron</v>
      </c>
      <c r="C914" s="15" t="str">
        <f>IFERROR(__xludf.DUMMYFUNCTION("""COMPUTED_VALUE"""),"IBAGUÉ")</f>
        <v>IBAGUÉ</v>
      </c>
      <c r="D914" s="15" t="str">
        <f>IFERROR(__xludf.DUMMYFUNCTION("""COMPUTED_VALUE"""),"BOGOTÁ")</f>
        <v>BOGOTÁ</v>
      </c>
      <c r="E914" s="15" t="str">
        <f>IFERROR(__xludf.DUMMYFUNCTION("""COMPUTED_VALUE"""),"Asociacion Agropecuaria Juana Maria")</f>
        <v>Asociacion Agropecuaria Juana Maria</v>
      </c>
      <c r="F914" s="17" t="str">
        <f>IFERROR(__xludf.DUMMYFUNCTION("""COMPUTED_VALUE"""),"Calle 93 # 7 Sur-90 torre 8 apto 102 Conjunto Residencial Altagracia")</f>
        <v>Calle 93 # 7 Sur-90 torre 8 apto 102 Conjunto Residencial Altagracia</v>
      </c>
      <c r="G914" s="15" t="str">
        <f>IFERROR(__xludf.DUMMYFUNCTION("""COMPUTED_VALUE"""),"Mariam Yasmin Murillo Rubio")</f>
        <v>Mariam Yasmin Murillo Rubio</v>
      </c>
      <c r="H914" s="16">
        <f>IFERROR(__xludf.DUMMYFUNCTION("""COMPUTED_VALUE"""),9537.0)</f>
        <v>9537</v>
      </c>
      <c r="I914" s="18">
        <f>IFERROR(__xludf.DUMMYFUNCTION("""COMPUTED_VALUE"""),17.0)</f>
        <v>17</v>
      </c>
      <c r="J914" s="18">
        <f>IFERROR(__xludf.DUMMYFUNCTION("""COMPUTED_VALUE"""),37.0)</f>
        <v>37</v>
      </c>
      <c r="K914" s="18">
        <f>IFERROR(__xludf.DUMMYFUNCTION("""COMPUTED_VALUE"""),28.0)</f>
        <v>28</v>
      </c>
      <c r="L914" s="17">
        <f>IFERROR(__xludf.DUMMYFUNCTION("""COMPUTED_VALUE"""),3.105789664E9)</f>
        <v>3105789664</v>
      </c>
      <c r="M914" s="17" t="str">
        <f>IFERROR(__xludf.DUMMYFUNCTION("""COMPUTED_VALUE"""),"#REF!")</f>
        <v>#REF!</v>
      </c>
      <c r="N914" s="17"/>
      <c r="O914" s="19" t="str">
        <f>IFERROR(__xludf.DUMMYFUNCTION("""COMPUTED_VALUE"""),"")</f>
        <v/>
      </c>
      <c r="P914" s="17" t="b">
        <f>IFERROR(__xludf.DUMMYFUNCTION("""COMPUTED_VALUE"""),TRUE)</f>
        <v>1</v>
      </c>
      <c r="Q914" s="20">
        <f>IFERROR(__xludf.DUMMYFUNCTION("""COMPUTED_VALUE"""),45027.67420046296)</f>
        <v>45027.6742</v>
      </c>
      <c r="R914" s="22" t="str">
        <f>IFERROR(__xludf.DUMMYFUNCTION("""COMPUTED_VALUE"""),"")</f>
        <v/>
      </c>
    </row>
    <row r="915">
      <c r="A915" s="15">
        <f>IFERROR(__xludf.DUMMYFUNCTION("""COMPUTED_VALUE"""),45027.0)</f>
        <v>45027</v>
      </c>
      <c r="B915" s="16" t="str">
        <f>IFERROR(__xludf.DUMMYFUNCTION("""COMPUTED_VALUE"""),"Duvan Gabriel Alvarez Giron")</f>
        <v>Duvan Gabriel Alvarez Giron</v>
      </c>
      <c r="C915" s="15" t="str">
        <f>IFERROR(__xludf.DUMMYFUNCTION("""COMPUTED_VALUE"""),"IBAGUÉ")</f>
        <v>IBAGUÉ</v>
      </c>
      <c r="D915" s="15" t="str">
        <f>IFERROR(__xludf.DUMMYFUNCTION("""COMPUTED_VALUE"""),"BOGOTÁ")</f>
        <v>BOGOTÁ</v>
      </c>
      <c r="E915" s="15" t="str">
        <f>IFERROR(__xludf.DUMMYFUNCTION("""COMPUTED_VALUE"""),"Evamazzita")</f>
        <v>Evamazzita</v>
      </c>
      <c r="F915" s="17" t="str">
        <f>IFERROR(__xludf.DUMMYFUNCTION("""COMPUTED_VALUE"""),"Calle 67 #7-21  / torre 2 apto 1508 Torres de Barlovento  / Barrio los Parrales")</f>
        <v>Calle 67 #7-21  / torre 2 apto 1508 Torres de Barlovento  / Barrio los Parrales</v>
      </c>
      <c r="G915" s="15" t="str">
        <f>IFERROR(__xludf.DUMMYFUNCTION("""COMPUTED_VALUE"""),"ERIKA LEAL MEJIA")</f>
        <v>ERIKA LEAL MEJIA</v>
      </c>
      <c r="H915" s="16">
        <f>IFERROR(__xludf.DUMMYFUNCTION("""COMPUTED_VALUE"""),9577.0)</f>
        <v>9577</v>
      </c>
      <c r="I915" s="18">
        <f>IFERROR(__xludf.DUMMYFUNCTION("""COMPUTED_VALUE"""),7.0)</f>
        <v>7</v>
      </c>
      <c r="J915" s="18">
        <f>IFERROR(__xludf.DUMMYFUNCTION("""COMPUTED_VALUE"""),21.0)</f>
        <v>21</v>
      </c>
      <c r="K915" s="18">
        <f>IFERROR(__xludf.DUMMYFUNCTION("""COMPUTED_VALUE"""),14.0)</f>
        <v>14</v>
      </c>
      <c r="L915" s="17">
        <f>IFERROR(__xludf.DUMMYFUNCTION("""COMPUTED_VALUE"""),3.1751691E9)</f>
        <v>3175169100</v>
      </c>
      <c r="M915" s="17" t="str">
        <f>IFERROR(__xludf.DUMMYFUNCTION("""COMPUTED_VALUE"""),"#REF!")</f>
        <v>#REF!</v>
      </c>
      <c r="N915" s="17"/>
      <c r="O915" s="19" t="str">
        <f>IFERROR(__xludf.DUMMYFUNCTION("""COMPUTED_VALUE"""),"")</f>
        <v/>
      </c>
      <c r="P915" s="17" t="b">
        <f>IFERROR(__xludf.DUMMYFUNCTION("""COMPUTED_VALUE"""),TRUE)</f>
        <v>1</v>
      </c>
      <c r="Q915" s="20">
        <f>IFERROR(__xludf.DUMMYFUNCTION("""COMPUTED_VALUE"""),45027.67420046296)</f>
        <v>45027.6742</v>
      </c>
      <c r="R915" s="22" t="str">
        <f>IFERROR(__xludf.DUMMYFUNCTION("""COMPUTED_VALUE"""),"")</f>
        <v/>
      </c>
    </row>
    <row r="916">
      <c r="A916" s="15">
        <f>IFERROR(__xludf.DUMMYFUNCTION("""COMPUTED_VALUE"""),45027.0)</f>
        <v>45027</v>
      </c>
      <c r="B916" s="16" t="str">
        <f>IFERROR(__xludf.DUMMYFUNCTION("""COMPUTED_VALUE"""),"Duvan Gabriel Alvarez Giron")</f>
        <v>Duvan Gabriel Alvarez Giron</v>
      </c>
      <c r="C916" s="15" t="str">
        <f>IFERROR(__xludf.DUMMYFUNCTION("""COMPUTED_VALUE"""),"IBAGUÉ")</f>
        <v>IBAGUÉ</v>
      </c>
      <c r="D916" s="15" t="str">
        <f>IFERROR(__xludf.DUMMYFUNCTION("""COMPUTED_VALUE"""),"MEDELLÍN")</f>
        <v>MEDELLÍN</v>
      </c>
      <c r="E916" s="15" t="str">
        <f>IFERROR(__xludf.DUMMYFUNCTION("""COMPUTED_VALUE"""),"Baby Chef")</f>
        <v>Baby Chef</v>
      </c>
      <c r="F916" s="17" t="str">
        <f>IFERROR(__xludf.DUMMYFUNCTION("""COMPUTED_VALUE"""),"Calle 89 numero 3-86 sur conjunto florida 4 Torre 2 apartamento 409 / Calle 89 numero 3-86 sur conjunto florida 4 Torre 2 apartamento 409 / Calle 89 numero 3-86 sur conjunto florida 4 Torre 2 apartamento 409")</f>
        <v>Calle 89 numero 3-86 sur conjunto florida 4 Torre 2 apartamento 409 / Calle 89 numero 3-86 sur conjunto florida 4 Torre 2 apartamento 409 / Calle 89 numero 3-86 sur conjunto florida 4 Torre 2 apartamento 409</v>
      </c>
      <c r="G916" s="15" t="str">
        <f>IFERROR(__xludf.DUMMYFUNCTION("""COMPUTED_VALUE"""),"PAOLA MAYORGA")</f>
        <v>PAOLA MAYORGA</v>
      </c>
      <c r="H916" s="16">
        <f>IFERROR(__xludf.DUMMYFUNCTION("""COMPUTED_VALUE"""),9564.0)</f>
        <v>9564</v>
      </c>
      <c r="I916" s="18">
        <f>IFERROR(__xludf.DUMMYFUNCTION("""COMPUTED_VALUE"""),8.0)</f>
        <v>8</v>
      </c>
      <c r="J916" s="18">
        <f>IFERROR(__xludf.DUMMYFUNCTION("""COMPUTED_VALUE"""),16.0)</f>
        <v>16</v>
      </c>
      <c r="K916" s="18">
        <f>IFERROR(__xludf.DUMMYFUNCTION("""COMPUTED_VALUE"""),20.0)</f>
        <v>20</v>
      </c>
      <c r="L916" s="17">
        <f>IFERROR(__xludf.DUMMYFUNCTION("""COMPUTED_VALUE"""),3.160422843E9)</f>
        <v>3160422843</v>
      </c>
      <c r="M916" s="17" t="str">
        <f>IFERROR(__xludf.DUMMYFUNCTION("""COMPUTED_VALUE"""),"#REF!")</f>
        <v>#REF!</v>
      </c>
      <c r="N916" s="17"/>
      <c r="O916" s="19" t="str">
        <f>IFERROR(__xludf.DUMMYFUNCTION("""COMPUTED_VALUE"""),"")</f>
        <v/>
      </c>
      <c r="P916" s="17" t="b">
        <f>IFERROR(__xludf.DUMMYFUNCTION("""COMPUTED_VALUE"""),FALSE)</f>
        <v>0</v>
      </c>
      <c r="Q916" s="20" t="str">
        <f>IFERROR(__xludf.DUMMYFUNCTION("""COMPUTED_VALUE"""),"")</f>
        <v/>
      </c>
      <c r="R916" s="22" t="str">
        <f>IFERROR(__xludf.DUMMYFUNCTION("""COMPUTED_VALUE"""),"")</f>
        <v/>
      </c>
    </row>
    <row r="917">
      <c r="A917" s="15">
        <f>IFERROR(__xludf.DUMMYFUNCTION("""COMPUTED_VALUE"""),45027.0)</f>
        <v>45027</v>
      </c>
      <c r="B917" s="16" t="str">
        <f>IFERROR(__xludf.DUMMYFUNCTION("""COMPUTED_VALUE"""),"Duvan Gabriel Alvarez Giron")</f>
        <v>Duvan Gabriel Alvarez Giron</v>
      </c>
      <c r="C917" s="15" t="str">
        <f>IFERROR(__xludf.DUMMYFUNCTION("""COMPUTED_VALUE"""),"IBAGUÉ")</f>
        <v>IBAGUÉ</v>
      </c>
      <c r="D917" s="15" t="str">
        <f>IFERROR(__xludf.DUMMYFUNCTION("""COMPUTED_VALUE"""),"MEDELLÍN")</f>
        <v>MEDELLÍN</v>
      </c>
      <c r="E917" s="15" t="str">
        <f>IFERROR(__xludf.DUMMYFUNCTION("""COMPUTED_VALUE"""),"Baby Chef")</f>
        <v>Baby Chef</v>
      </c>
      <c r="F917" s="17" t="str">
        <f>IFERROR(__xludf.DUMMYFUNCTION("""COMPUTED_VALUE"""),"Carrera 2 n 6-94 edifici fontanar aprt 203 Edificio fontanar aprt 203 / Carrera 2 n 6-94 edifici fontanar aprt 203 Edificio fontanar aprt 203 / Carrera 2 n 6-94 edifici fontanar aprt 203 Edificio fontanar aprt 203")</f>
        <v>Carrera 2 n 6-94 edifici fontanar aprt 203 Edificio fontanar aprt 203 / Carrera 2 n 6-94 edifici fontanar aprt 203 Edificio fontanar aprt 203 / Carrera 2 n 6-94 edifici fontanar aprt 203 Edificio fontanar aprt 203</v>
      </c>
      <c r="G917" s="15" t="str">
        <f>IFERROR(__xludf.DUMMYFUNCTION("""COMPUTED_VALUE"""),"Yenifer Arias")</f>
        <v>Yenifer Arias</v>
      </c>
      <c r="H917" s="16">
        <f>IFERROR(__xludf.DUMMYFUNCTION("""COMPUTED_VALUE"""),9563.0)</f>
        <v>9563</v>
      </c>
      <c r="I917" s="18">
        <f>IFERROR(__xludf.DUMMYFUNCTION("""COMPUTED_VALUE"""),8.0)</f>
        <v>8</v>
      </c>
      <c r="J917" s="18">
        <f>IFERROR(__xludf.DUMMYFUNCTION("""COMPUTED_VALUE"""),16.0)</f>
        <v>16</v>
      </c>
      <c r="K917" s="18">
        <f>IFERROR(__xludf.DUMMYFUNCTION("""COMPUTED_VALUE"""),20.0)</f>
        <v>20</v>
      </c>
      <c r="L917" s="17">
        <f>IFERROR(__xludf.DUMMYFUNCTION("""COMPUTED_VALUE"""),3.214720545E9)</f>
        <v>3214720545</v>
      </c>
      <c r="M917" s="17" t="str">
        <f>IFERROR(__xludf.DUMMYFUNCTION("""COMPUTED_VALUE"""),"#REF!")</f>
        <v>#REF!</v>
      </c>
      <c r="N917" s="17"/>
      <c r="O917" s="19" t="str">
        <f>IFERROR(__xludf.DUMMYFUNCTION("""COMPUTED_VALUE"""),"")</f>
        <v/>
      </c>
      <c r="P917" s="17" t="b">
        <f>IFERROR(__xludf.DUMMYFUNCTION("""COMPUTED_VALUE"""),TRUE)</f>
        <v>1</v>
      </c>
      <c r="Q917" s="20">
        <f>IFERROR(__xludf.DUMMYFUNCTION("""COMPUTED_VALUE"""),45027.69380793981)</f>
        <v>45027.69381</v>
      </c>
      <c r="R917" s="22" t="str">
        <f>IFERROR(__xludf.DUMMYFUNCTION("""COMPUTED_VALUE"""),"")</f>
        <v/>
      </c>
    </row>
    <row r="918">
      <c r="A918" s="17" t="str">
        <f>IFERROR(__xludf.DUMMYFUNCTION("""COMPUTED_VALUE"""),"")</f>
        <v/>
      </c>
      <c r="B918" s="17" t="str">
        <f>IFERROR(__xludf.DUMMYFUNCTION("""COMPUTED_VALUE"""),"")</f>
        <v/>
      </c>
      <c r="C918" s="17" t="str">
        <f>IFERROR(__xludf.DUMMYFUNCTION("""COMPUTED_VALUE"""),"")</f>
        <v/>
      </c>
      <c r="D918" s="17" t="str">
        <f>IFERROR(__xludf.DUMMYFUNCTION("""COMPUTED_VALUE"""),"")</f>
        <v/>
      </c>
      <c r="E918" s="17" t="str">
        <f>IFERROR(__xludf.DUMMYFUNCTION("""COMPUTED_VALUE"""),"")</f>
        <v/>
      </c>
      <c r="F918" s="17" t="str">
        <f>IFERROR(__xludf.DUMMYFUNCTION("""COMPUTED_VALUE"""),"")</f>
        <v/>
      </c>
      <c r="G918" s="17" t="str">
        <f>IFERROR(__xludf.DUMMYFUNCTION("""COMPUTED_VALUE"""),"")</f>
        <v/>
      </c>
      <c r="H918" s="17" t="str">
        <f>IFERROR(__xludf.DUMMYFUNCTION("""COMPUTED_VALUE"""),"")</f>
        <v/>
      </c>
      <c r="I918" s="17" t="str">
        <f>IFERROR(__xludf.DUMMYFUNCTION("""COMPUTED_VALUE"""),"")</f>
        <v/>
      </c>
      <c r="J918" s="17" t="str">
        <f>IFERROR(__xludf.DUMMYFUNCTION("""COMPUTED_VALUE"""),"")</f>
        <v/>
      </c>
      <c r="K918" s="17" t="str">
        <f>IFERROR(__xludf.DUMMYFUNCTION("""COMPUTED_VALUE"""),"")</f>
        <v/>
      </c>
      <c r="L918" s="17" t="str">
        <f>IFERROR(__xludf.DUMMYFUNCTION("""COMPUTED_VALUE"""),"")</f>
        <v/>
      </c>
      <c r="M918" s="17" t="str">
        <f>IFERROR(__xludf.DUMMYFUNCTION("""COMPUTED_VALUE"""),"")</f>
        <v/>
      </c>
      <c r="N918" s="17" t="str">
        <f>IFERROR(__xludf.DUMMYFUNCTION("""COMPUTED_VALUE"""),"")</f>
        <v/>
      </c>
      <c r="O918" s="17" t="str">
        <f>IFERROR(__xludf.DUMMYFUNCTION("""COMPUTED_VALUE"""),"")</f>
        <v/>
      </c>
      <c r="P918" s="17" t="str">
        <f>IFERROR(__xludf.DUMMYFUNCTION("""COMPUTED_VALUE"""),"")</f>
        <v/>
      </c>
      <c r="Q918" s="17" t="str">
        <f>IFERROR(__xludf.DUMMYFUNCTION("""COMPUTED_VALUE"""),"")</f>
        <v/>
      </c>
      <c r="R918" s="17" t="str">
        <f>IFERROR(__xludf.DUMMYFUNCTION("""COMPUTED_VALUE"""),"")</f>
        <v/>
      </c>
    </row>
    <row r="919">
      <c r="A919" s="15">
        <f>IFERROR(__xludf.DUMMYFUNCTION("""COMPUTED_VALUE"""),45027.0)</f>
        <v>45027</v>
      </c>
      <c r="B919" s="16" t="str">
        <f>IFERROR(__xludf.DUMMYFUNCTION("""COMPUTED_VALUE"""),"Envia")</f>
        <v>Envia</v>
      </c>
      <c r="C919" s="15" t="str">
        <f>IFERROR(__xludf.DUMMYFUNCTION("""COMPUTED_VALUE"""),"ARMENIA")</f>
        <v>ARMENIA</v>
      </c>
      <c r="D919" s="15" t="str">
        <f>IFERROR(__xludf.DUMMYFUNCTION("""COMPUTED_VALUE"""),"BOGOTÁ")</f>
        <v>BOGOTÁ</v>
      </c>
      <c r="E919" s="15" t="str">
        <f>IFERROR(__xludf.DUMMYFUNCTION("""COMPUTED_VALUE"""),"Top Spun")</f>
        <v>Top Spun</v>
      </c>
      <c r="F919" s="17" t="str">
        <f>IFERROR(__xludf.DUMMYFUNCTION("""COMPUTED_VALUE"""),"km 5 vía armenia la tebaida / sierramorena casa 23 / armenia quindio")</f>
        <v>km 5 vía armenia la tebaida / sierramorena casa 23 / armenia quindio</v>
      </c>
      <c r="G919" s="15" t="str">
        <f>IFERROR(__xludf.DUMMYFUNCTION("""COMPUTED_VALUE"""),"Diana marcela duran jaramillo")</f>
        <v>Diana marcela duran jaramillo</v>
      </c>
      <c r="H919" s="16">
        <f>IFERROR(__xludf.DUMMYFUNCTION("""COMPUTED_VALUE"""),9524.0)</f>
        <v>9524</v>
      </c>
      <c r="I919" s="18">
        <f>IFERROR(__xludf.DUMMYFUNCTION("""COMPUTED_VALUE"""),20.0)</f>
        <v>20</v>
      </c>
      <c r="J919" s="18">
        <f>IFERROR(__xludf.DUMMYFUNCTION("""COMPUTED_VALUE"""),10.0)</f>
        <v>10</v>
      </c>
      <c r="K919" s="18">
        <f>IFERROR(__xludf.DUMMYFUNCTION("""COMPUTED_VALUE"""),40.0)</f>
        <v>40</v>
      </c>
      <c r="L919" s="17">
        <f>IFERROR(__xludf.DUMMYFUNCTION("""COMPUTED_VALUE"""),3.206309112E9)</f>
        <v>3206309112</v>
      </c>
      <c r="M919" s="17" t="str">
        <f>IFERROR(__xludf.DUMMYFUNCTION("""COMPUTED_VALUE"""),"#REF!")</f>
        <v>#REF!</v>
      </c>
      <c r="N919" s="17"/>
      <c r="O919" s="19" t="str">
        <f>IFERROR(__xludf.DUMMYFUNCTION("""COMPUTED_VALUE"""),"")</f>
        <v/>
      </c>
      <c r="P919" s="17" t="b">
        <f>IFERROR(__xludf.DUMMYFUNCTION("""COMPUTED_VALUE"""),TRUE)</f>
        <v>1</v>
      </c>
      <c r="Q919" s="20">
        <f>IFERROR(__xludf.DUMMYFUNCTION("""COMPUTED_VALUE"""),45027.693824560185)</f>
        <v>45027.69382</v>
      </c>
      <c r="R919" s="22" t="str">
        <f>IFERROR(__xludf.DUMMYFUNCTION("""COMPUTED_VALUE"""),"")</f>
        <v/>
      </c>
    </row>
    <row r="920">
      <c r="A920" s="15">
        <f>IFERROR(__xludf.DUMMYFUNCTION("""COMPUTED_VALUE"""),45027.0)</f>
        <v>45027</v>
      </c>
      <c r="B920" s="16" t="str">
        <f>IFERROR(__xludf.DUMMYFUNCTION("""COMPUTED_VALUE"""),"Envia")</f>
        <v>Envia</v>
      </c>
      <c r="C920" s="15" t="str">
        <f>IFERROR(__xludf.DUMMYFUNCTION("""COMPUTED_VALUE"""),"BUCARAMANGA")</f>
        <v>BUCARAMANGA</v>
      </c>
      <c r="D920" s="15" t="str">
        <f>IFERROR(__xludf.DUMMYFUNCTION("""COMPUTED_VALUE"""),"BOGOTÁ")</f>
        <v>BOGOTÁ</v>
      </c>
      <c r="E920" s="15" t="str">
        <f>IFERROR(__xludf.DUMMYFUNCTION("""COMPUTED_VALUE"""),"Frubits")</f>
        <v>Frubits</v>
      </c>
      <c r="F920" s="17" t="str">
        <f>IFERROR(__xludf.DUMMYFUNCTION("""COMPUTED_VALUE"""),"Cra 36 numero 52-45 local 2 negocio olivetta healt shop  / Cra 36 numero 52-45 local 2 negocio olivetta healt shop  / Cra 36 numero 52-45 local 2 negocio olivetta healt shop")</f>
        <v>Cra 36 numero 52-45 local 2 negocio olivetta healt shop  / Cra 36 numero 52-45 local 2 negocio olivetta healt shop  / Cra 36 numero 52-45 local 2 negocio olivetta healt shop</v>
      </c>
      <c r="G920" s="15" t="str">
        <f>IFERROR(__xludf.DUMMYFUNCTION("""COMPUTED_VALUE"""),"Jepherson johanny rangel celis")</f>
        <v>Jepherson johanny rangel celis</v>
      </c>
      <c r="H920" s="16">
        <f>IFERROR(__xludf.DUMMYFUNCTION("""COMPUTED_VALUE"""),9568.0)</f>
        <v>9568</v>
      </c>
      <c r="I920" s="18">
        <f>IFERROR(__xludf.DUMMYFUNCTION("""COMPUTED_VALUE"""),15.0)</f>
        <v>15</v>
      </c>
      <c r="J920" s="18">
        <f>IFERROR(__xludf.DUMMYFUNCTION("""COMPUTED_VALUE"""),15.0)</f>
        <v>15</v>
      </c>
      <c r="K920" s="18">
        <f>IFERROR(__xludf.DUMMYFUNCTION("""COMPUTED_VALUE"""),15.0)</f>
        <v>15</v>
      </c>
      <c r="L920" s="17">
        <f>IFERROR(__xludf.DUMMYFUNCTION("""COMPUTED_VALUE"""),3.043874601E9)</f>
        <v>3043874601</v>
      </c>
      <c r="M920" s="17" t="str">
        <f>IFERROR(__xludf.DUMMYFUNCTION("""COMPUTED_VALUE"""),"#REF!")</f>
        <v>#REF!</v>
      </c>
      <c r="N920" s="17"/>
      <c r="O920" s="19" t="str">
        <f>IFERROR(__xludf.DUMMYFUNCTION("""COMPUTED_VALUE"""),"")</f>
        <v/>
      </c>
      <c r="P920" s="17" t="b">
        <f>IFERROR(__xludf.DUMMYFUNCTION("""COMPUTED_VALUE"""),FALSE)</f>
        <v>0</v>
      </c>
      <c r="Q920" s="20" t="str">
        <f>IFERROR(__xludf.DUMMYFUNCTION("""COMPUTED_VALUE"""),"")</f>
        <v/>
      </c>
      <c r="R920" s="22" t="str">
        <f>IFERROR(__xludf.DUMMYFUNCTION("""COMPUTED_VALUE"""),"")</f>
        <v/>
      </c>
    </row>
    <row r="921">
      <c r="A921" s="15">
        <f>IFERROR(__xludf.DUMMYFUNCTION("""COMPUTED_VALUE"""),45027.0)</f>
        <v>45027</v>
      </c>
      <c r="B921" s="16" t="str">
        <f>IFERROR(__xludf.DUMMYFUNCTION("""COMPUTED_VALUE"""),"Envia")</f>
        <v>Envia</v>
      </c>
      <c r="C921" s="15" t="str">
        <f>IFERROR(__xludf.DUMMYFUNCTION("""COMPUTED_VALUE"""),"BUCARAMANGA")</f>
        <v>BUCARAMANGA</v>
      </c>
      <c r="D921" s="15" t="str">
        <f>IFERROR(__xludf.DUMMYFUNCTION("""COMPUTED_VALUE"""),"MEDELLÍN")</f>
        <v>MEDELLÍN</v>
      </c>
      <c r="E921" s="15" t="str">
        <f>IFERROR(__xludf.DUMMYFUNCTION("""COMPUTED_VALUE"""),"Baby Chef")</f>
        <v>Baby Chef</v>
      </c>
      <c r="F921" s="17" t="str">
        <f>IFERROR(__xludf.DUMMYFUNCTION("""COMPUTED_VALUE"""),"Calle 21 #27-33 Casa, segundo piso / Calle 21 #27-33 Casa, segundo piso / Calle 21 #27-33 Casa, segundo piso")</f>
        <v>Calle 21 #27-33 Casa, segundo piso / Calle 21 #27-33 Casa, segundo piso / Calle 21 #27-33 Casa, segundo piso</v>
      </c>
      <c r="G921" s="15" t="str">
        <f>IFERROR(__xludf.DUMMYFUNCTION("""COMPUTED_VALUE"""),"Monica  Toloza")</f>
        <v>Monica  Toloza</v>
      </c>
      <c r="H921" s="16">
        <f>IFERROR(__xludf.DUMMYFUNCTION("""COMPUTED_VALUE"""),9565.0)</f>
        <v>9565</v>
      </c>
      <c r="I921" s="18">
        <f>IFERROR(__xludf.DUMMYFUNCTION("""COMPUTED_VALUE"""),8.0)</f>
        <v>8</v>
      </c>
      <c r="J921" s="18">
        <f>IFERROR(__xludf.DUMMYFUNCTION("""COMPUTED_VALUE"""),16.0)</f>
        <v>16</v>
      </c>
      <c r="K921" s="18">
        <f>IFERROR(__xludf.DUMMYFUNCTION("""COMPUTED_VALUE"""),20.0)</f>
        <v>20</v>
      </c>
      <c r="L921" s="17">
        <f>IFERROR(__xludf.DUMMYFUNCTION("""COMPUTED_VALUE"""),3.167406106E9)</f>
        <v>3167406106</v>
      </c>
      <c r="M921" s="17" t="str">
        <f>IFERROR(__xludf.DUMMYFUNCTION("""COMPUTED_VALUE"""),"#REF!")</f>
        <v>#REF!</v>
      </c>
      <c r="N921" s="17"/>
      <c r="O921" s="19" t="str">
        <f>IFERROR(__xludf.DUMMYFUNCTION("""COMPUTED_VALUE"""),"")</f>
        <v/>
      </c>
      <c r="P921" s="17" t="b">
        <f>IFERROR(__xludf.DUMMYFUNCTION("""COMPUTED_VALUE"""),FALSE)</f>
        <v>0</v>
      </c>
      <c r="Q921" s="20" t="str">
        <f>IFERROR(__xludf.DUMMYFUNCTION("""COMPUTED_VALUE"""),"")</f>
        <v/>
      </c>
      <c r="R921" s="22" t="str">
        <f>IFERROR(__xludf.DUMMYFUNCTION("""COMPUTED_VALUE"""),"")</f>
        <v/>
      </c>
    </row>
    <row r="922">
      <c r="A922" s="15">
        <f>IFERROR(__xludf.DUMMYFUNCTION("""COMPUTED_VALUE"""),45027.0)</f>
        <v>45027</v>
      </c>
      <c r="B922" s="16" t="str">
        <f>IFERROR(__xludf.DUMMYFUNCTION("""COMPUTED_VALUE"""),"Envia")</f>
        <v>Envia</v>
      </c>
      <c r="C922" s="15" t="str">
        <f>IFERROR(__xludf.DUMMYFUNCTION("""COMPUTED_VALUE"""),"CALI")</f>
        <v>CALI</v>
      </c>
      <c r="D922" s="15" t="str">
        <f>IFERROR(__xludf.DUMMYFUNCTION("""COMPUTED_VALUE"""),"BOGOTÁ")</f>
        <v>BOGOTÁ</v>
      </c>
      <c r="E922" s="15" t="str">
        <f>IFERROR(__xludf.DUMMYFUNCTION("""COMPUTED_VALUE"""),"Evamazzita")</f>
        <v>Evamazzita</v>
      </c>
      <c r="F922" s="17" t="str">
        <f>IFERROR(__xludf.DUMMYFUNCTION("""COMPUTED_VALUE"""),"CRA 95 No. 42 - 34  / N/A / CANEY")</f>
        <v>CRA 95 No. 42 - 34  / N/A / CANEY</v>
      </c>
      <c r="G922" s="15" t="str">
        <f>IFERROR(__xludf.DUMMYFUNCTION("""COMPUTED_VALUE"""),"YUDY BUCHELLY")</f>
        <v>YUDY BUCHELLY</v>
      </c>
      <c r="H922" s="16">
        <f>IFERROR(__xludf.DUMMYFUNCTION("""COMPUTED_VALUE"""),9586.0)</f>
        <v>9586</v>
      </c>
      <c r="I922" s="18">
        <f>IFERROR(__xludf.DUMMYFUNCTION("""COMPUTED_VALUE"""),3.0)</f>
        <v>3</v>
      </c>
      <c r="J922" s="18">
        <f>IFERROR(__xludf.DUMMYFUNCTION("""COMPUTED_VALUE"""),20.0)</f>
        <v>20</v>
      </c>
      <c r="K922" s="18">
        <f>IFERROR(__xludf.DUMMYFUNCTION("""COMPUTED_VALUE"""),15.0)</f>
        <v>15</v>
      </c>
      <c r="L922" s="17">
        <f>IFERROR(__xludf.DUMMYFUNCTION("""COMPUTED_VALUE"""),3.214610878E9)</f>
        <v>3214610878</v>
      </c>
      <c r="M922" s="17" t="str">
        <f>IFERROR(__xludf.DUMMYFUNCTION("""COMPUTED_VALUE"""),"#REF!")</f>
        <v>#REF!</v>
      </c>
      <c r="N922" s="17"/>
      <c r="O922" s="19" t="str">
        <f>IFERROR(__xludf.DUMMYFUNCTION("""COMPUTED_VALUE"""),"")</f>
        <v/>
      </c>
      <c r="P922" s="17" t="b">
        <f>IFERROR(__xludf.DUMMYFUNCTION("""COMPUTED_VALUE"""),FALSE)</f>
        <v>0</v>
      </c>
      <c r="Q922" s="20" t="str">
        <f>IFERROR(__xludf.DUMMYFUNCTION("""COMPUTED_VALUE"""),"")</f>
        <v/>
      </c>
      <c r="R922" s="22" t="str">
        <f>IFERROR(__xludf.DUMMYFUNCTION("""COMPUTED_VALUE"""),"")</f>
        <v/>
      </c>
    </row>
    <row r="923">
      <c r="A923" s="15">
        <f>IFERROR(__xludf.DUMMYFUNCTION("""COMPUTED_VALUE"""),45027.0)</f>
        <v>45027</v>
      </c>
      <c r="B923" s="16" t="str">
        <f>IFERROR(__xludf.DUMMYFUNCTION("""COMPUTED_VALUE"""),"Envia")</f>
        <v>Envia</v>
      </c>
      <c r="C923" s="15" t="str">
        <f>IFERROR(__xludf.DUMMYFUNCTION("""COMPUTED_VALUE"""),"CALI")</f>
        <v>CALI</v>
      </c>
      <c r="D923" s="15" t="str">
        <f>IFERROR(__xludf.DUMMYFUNCTION("""COMPUTED_VALUE"""),"BOGOTÁ")</f>
        <v>BOGOTÁ</v>
      </c>
      <c r="E923" s="15" t="str">
        <f>IFERROR(__xludf.DUMMYFUNCTION("""COMPUTED_VALUE"""),"Karem foods")</f>
        <v>Karem foods</v>
      </c>
      <c r="F923" s="17" t="str">
        <f>IFERROR(__xludf.DUMMYFUNCTION("""COMPUTED_VALUE"""),"ave 10 norte no. 15A - 55  / apto 505  / -")</f>
        <v>ave 10 norte no. 15A - 55  / apto 505  / -</v>
      </c>
      <c r="G923" s="15" t="str">
        <f>IFERROR(__xludf.DUMMYFUNCTION("""COMPUTED_VALUE"""),"ARIADNA ROBLEDO")</f>
        <v>ARIADNA ROBLEDO</v>
      </c>
      <c r="H923" s="16">
        <f>IFERROR(__xludf.DUMMYFUNCTION("""COMPUTED_VALUE"""),9554.0)</f>
        <v>9554</v>
      </c>
      <c r="I923" s="18">
        <f>IFERROR(__xludf.DUMMYFUNCTION("""COMPUTED_VALUE"""),18.0)</f>
        <v>18</v>
      </c>
      <c r="J923" s="18">
        <f>IFERROR(__xludf.DUMMYFUNCTION("""COMPUTED_VALUE"""),8.0)</f>
        <v>8</v>
      </c>
      <c r="K923" s="18">
        <f>IFERROR(__xludf.DUMMYFUNCTION("""COMPUTED_VALUE"""),8.0)</f>
        <v>8</v>
      </c>
      <c r="L923" s="17">
        <f>IFERROR(__xludf.DUMMYFUNCTION("""COMPUTED_VALUE"""),3.203416838E9)</f>
        <v>3203416838</v>
      </c>
      <c r="M923" s="17" t="str">
        <f>IFERROR(__xludf.DUMMYFUNCTION("""COMPUTED_VALUE"""),"#REF!")</f>
        <v>#REF!</v>
      </c>
      <c r="N923" s="17"/>
      <c r="O923" s="19" t="str">
        <f>IFERROR(__xludf.DUMMYFUNCTION("""COMPUTED_VALUE"""),"")</f>
        <v/>
      </c>
      <c r="P923" s="17" t="b">
        <f>IFERROR(__xludf.DUMMYFUNCTION("""COMPUTED_VALUE"""),TRUE)</f>
        <v>1</v>
      </c>
      <c r="Q923" s="20">
        <f>IFERROR(__xludf.DUMMYFUNCTION("""COMPUTED_VALUE"""),45027.67420046296)</f>
        <v>45027.6742</v>
      </c>
      <c r="R923" s="22" t="str">
        <f>IFERROR(__xludf.DUMMYFUNCTION("""COMPUTED_VALUE"""),"")</f>
        <v/>
      </c>
    </row>
    <row r="924">
      <c r="A924" s="15">
        <f>IFERROR(__xludf.DUMMYFUNCTION("""COMPUTED_VALUE"""),45027.0)</f>
        <v>45027</v>
      </c>
      <c r="B924" s="16" t="str">
        <f>IFERROR(__xludf.DUMMYFUNCTION("""COMPUTED_VALUE"""),"Envia")</f>
        <v>Envia</v>
      </c>
      <c r="C924" s="15" t="str">
        <f>IFERROR(__xludf.DUMMYFUNCTION("""COMPUTED_VALUE"""),"FLORIDABLANCA")</f>
        <v>FLORIDABLANCA</v>
      </c>
      <c r="D924" s="15" t="str">
        <f>IFERROR(__xludf.DUMMYFUNCTION("""COMPUTED_VALUE"""),"BOGOTÁ")</f>
        <v>BOGOTÁ</v>
      </c>
      <c r="E924" s="15" t="str">
        <f>IFERROR(__xludf.DUMMYFUNCTION("""COMPUTED_VALUE"""),"Ins. Alimento Vital")</f>
        <v>Ins. Alimento Vital</v>
      </c>
      <c r="F924" s="17" t="str">
        <f>IFERROR(__xludf.DUMMYFUNCTION("""COMPUTED_VALUE"""),"CL 30 22 129  / APTO 2001, EDIFICIO VENTUS  / BARRIO CAÑAVERAL")</f>
        <v>CL 30 22 129  / APTO 2001, EDIFICIO VENTUS  / BARRIO CAÑAVERAL</v>
      </c>
      <c r="G924" s="15" t="str">
        <f>IFERROR(__xludf.DUMMYFUNCTION("""COMPUTED_VALUE"""),"LUZ ALEJANDRA URIBE ANGARITA")</f>
        <v>LUZ ALEJANDRA URIBE ANGARITA</v>
      </c>
      <c r="H924" s="16">
        <f>IFERROR(__xludf.DUMMYFUNCTION("""COMPUTED_VALUE"""),9542.0)</f>
        <v>9542</v>
      </c>
      <c r="I924" s="18">
        <f>IFERROR(__xludf.DUMMYFUNCTION("""COMPUTED_VALUE"""),100.0)</f>
        <v>100</v>
      </c>
      <c r="J924" s="18">
        <f>IFERROR(__xludf.DUMMYFUNCTION("""COMPUTED_VALUE"""),10.0)</f>
        <v>10</v>
      </c>
      <c r="K924" s="18">
        <f>IFERROR(__xludf.DUMMYFUNCTION("""COMPUTED_VALUE"""),15.0)</f>
        <v>15</v>
      </c>
      <c r="L924" s="17">
        <f>IFERROR(__xludf.DUMMYFUNCTION("""COMPUTED_VALUE"""),3.005691834E9)</f>
        <v>3005691834</v>
      </c>
      <c r="M924" s="17" t="str">
        <f>IFERROR(__xludf.DUMMYFUNCTION("""COMPUTED_VALUE"""),"#REF!")</f>
        <v>#REF!</v>
      </c>
      <c r="N924" s="17"/>
      <c r="O924" s="19" t="str">
        <f>IFERROR(__xludf.DUMMYFUNCTION("""COMPUTED_VALUE"""),"")</f>
        <v/>
      </c>
      <c r="P924" s="17" t="b">
        <f>IFERROR(__xludf.DUMMYFUNCTION("""COMPUTED_VALUE"""),TRUE)</f>
        <v>1</v>
      </c>
      <c r="Q924" s="20">
        <f>IFERROR(__xludf.DUMMYFUNCTION("""COMPUTED_VALUE"""),45027.67420046296)</f>
        <v>45027.6742</v>
      </c>
      <c r="R924" s="22" t="str">
        <f>IFERROR(__xludf.DUMMYFUNCTION("""COMPUTED_VALUE"""),"")</f>
        <v/>
      </c>
    </row>
    <row r="925">
      <c r="A925" s="15">
        <f>IFERROR(__xludf.DUMMYFUNCTION("""COMPUTED_VALUE"""),45027.0)</f>
        <v>45027</v>
      </c>
      <c r="B925" s="16" t="str">
        <f>IFERROR(__xludf.DUMMYFUNCTION("""COMPUTED_VALUE"""),"Envia")</f>
        <v>Envia</v>
      </c>
      <c r="C925" s="15" t="str">
        <f>IFERROR(__xludf.DUMMYFUNCTION("""COMPUTED_VALUE"""),"MANIZALES")</f>
        <v>MANIZALES</v>
      </c>
      <c r="D925" s="15" t="str">
        <f>IFERROR(__xludf.DUMMYFUNCTION("""COMPUTED_VALUE"""),"BOGOTÁ")</f>
        <v>BOGOTÁ</v>
      </c>
      <c r="E925" s="15" t="str">
        <f>IFERROR(__xludf.DUMMYFUNCTION("""COMPUTED_VALUE"""),"Ins. Alimento Vital")</f>
        <v>Ins. Alimento Vital</v>
      </c>
      <c r="F925" s="17" t="str">
        <f>IFERROR(__xludf.DUMMYFUNCTION("""COMPUTED_VALUE"""),"CR 19 62A 90 / CASA LA RAMBLA / LA RAMBLA")</f>
        <v>CR 19 62A 90 / CASA LA RAMBLA / LA RAMBLA</v>
      </c>
      <c r="G925" s="15" t="str">
        <f>IFERROR(__xludf.DUMMYFUNCTION("""COMPUTED_VALUE"""),"JESSICA PAOLA MURCIA HENAO")</f>
        <v>JESSICA PAOLA MURCIA HENAO</v>
      </c>
      <c r="H925" s="16">
        <f>IFERROR(__xludf.DUMMYFUNCTION("""COMPUTED_VALUE"""),9571.0)</f>
        <v>9571</v>
      </c>
      <c r="I925" s="18">
        <f>IFERROR(__xludf.DUMMYFUNCTION("""COMPUTED_VALUE"""),100.0)</f>
        <v>100</v>
      </c>
      <c r="J925" s="18">
        <f>IFERROR(__xludf.DUMMYFUNCTION("""COMPUTED_VALUE"""),10.0)</f>
        <v>10</v>
      </c>
      <c r="K925" s="18">
        <f>IFERROR(__xludf.DUMMYFUNCTION("""COMPUTED_VALUE"""),5.0)</f>
        <v>5</v>
      </c>
      <c r="L925" s="17">
        <f>IFERROR(__xludf.DUMMYFUNCTION("""COMPUTED_VALUE"""),3.226751284E9)</f>
        <v>3226751284</v>
      </c>
      <c r="M925" s="17" t="str">
        <f>IFERROR(__xludf.DUMMYFUNCTION("""COMPUTED_VALUE"""),"#REF!")</f>
        <v>#REF!</v>
      </c>
      <c r="N925" s="17"/>
      <c r="O925" s="19" t="str">
        <f>IFERROR(__xludf.DUMMYFUNCTION("""COMPUTED_VALUE"""),"")</f>
        <v/>
      </c>
      <c r="P925" s="17" t="b">
        <f>IFERROR(__xludf.DUMMYFUNCTION("""COMPUTED_VALUE"""),TRUE)</f>
        <v>1</v>
      </c>
      <c r="Q925" s="20">
        <f>IFERROR(__xludf.DUMMYFUNCTION("""COMPUTED_VALUE"""),45027.67420046296)</f>
        <v>45027.6742</v>
      </c>
      <c r="R925" s="22" t="str">
        <f>IFERROR(__xludf.DUMMYFUNCTION("""COMPUTED_VALUE"""),"")</f>
        <v/>
      </c>
    </row>
    <row r="926">
      <c r="A926" s="15">
        <f>IFERROR(__xludf.DUMMYFUNCTION("""COMPUTED_VALUE"""),45027.0)</f>
        <v>45027</v>
      </c>
      <c r="B926" s="16" t="str">
        <f>IFERROR(__xludf.DUMMYFUNCTION("""COMPUTED_VALUE"""),"Envia")</f>
        <v>Envia</v>
      </c>
      <c r="C926" s="15" t="str">
        <f>IFERROR(__xludf.DUMMYFUNCTION("""COMPUTED_VALUE"""),"MEDELLÍN")</f>
        <v>MEDELLÍN</v>
      </c>
      <c r="D926" s="15" t="str">
        <f>IFERROR(__xludf.DUMMYFUNCTION("""COMPUTED_VALUE"""),"BOGOTÁ")</f>
        <v>BOGOTÁ</v>
      </c>
      <c r="E926" s="15" t="str">
        <f>IFERROR(__xludf.DUMMYFUNCTION("""COMPUTED_VALUE"""),"Asociacion Agropecuaria Juana Maria")</f>
        <v>Asociacion Agropecuaria Juana Maria</v>
      </c>
      <c r="F926" s="17" t="str">
        <f>IFERROR(__xludf.DUMMYFUNCTION("""COMPUTED_VALUE"""),"CALLE 33AA # 78ª-124 APTO 301 EDIFICIO ONTARIO LAURELES")</f>
        <v>CALLE 33AA # 78ª-124 APTO 301 EDIFICIO ONTARIO LAURELES</v>
      </c>
      <c r="G926" s="15" t="str">
        <f>IFERROR(__xludf.DUMMYFUNCTION("""COMPUTED_VALUE"""),"Yuliana Lopez")</f>
        <v>Yuliana Lopez</v>
      </c>
      <c r="H926" s="16">
        <f>IFERROR(__xludf.DUMMYFUNCTION("""COMPUTED_VALUE"""),9529.0)</f>
        <v>9529</v>
      </c>
      <c r="I926" s="18">
        <f>IFERROR(__xludf.DUMMYFUNCTION("""COMPUTED_VALUE"""),21.0)</f>
        <v>21</v>
      </c>
      <c r="J926" s="18">
        <f>IFERROR(__xludf.DUMMYFUNCTION("""COMPUTED_VALUE"""),37.0)</f>
        <v>37</v>
      </c>
      <c r="K926" s="18">
        <f>IFERROR(__xludf.DUMMYFUNCTION("""COMPUTED_VALUE"""),30.0)</f>
        <v>30</v>
      </c>
      <c r="L926" s="17">
        <f>IFERROR(__xludf.DUMMYFUNCTION("""COMPUTED_VALUE"""),3.136078393E9)</f>
        <v>3136078393</v>
      </c>
      <c r="M926" s="17" t="str">
        <f>IFERROR(__xludf.DUMMYFUNCTION("""COMPUTED_VALUE"""),"#REF!")</f>
        <v>#REF!</v>
      </c>
      <c r="N926" s="17"/>
      <c r="O926" s="19" t="str">
        <f>IFERROR(__xludf.DUMMYFUNCTION("""COMPUTED_VALUE"""),"")</f>
        <v/>
      </c>
      <c r="P926" s="17" t="b">
        <f>IFERROR(__xludf.DUMMYFUNCTION("""COMPUTED_VALUE"""),TRUE)</f>
        <v>1</v>
      </c>
      <c r="Q926" s="20">
        <f>IFERROR(__xludf.DUMMYFUNCTION("""COMPUTED_VALUE"""),45027.67420046296)</f>
        <v>45027.6742</v>
      </c>
      <c r="R926" s="22" t="str">
        <f>IFERROR(__xludf.DUMMYFUNCTION("""COMPUTED_VALUE"""),"")</f>
        <v/>
      </c>
    </row>
    <row r="927">
      <c r="A927" s="15">
        <f>IFERROR(__xludf.DUMMYFUNCTION("""COMPUTED_VALUE"""),45027.0)</f>
        <v>45027</v>
      </c>
      <c r="B927" s="16" t="str">
        <f>IFERROR(__xludf.DUMMYFUNCTION("""COMPUTED_VALUE"""),"Envia")</f>
        <v>Envia</v>
      </c>
      <c r="C927" s="15" t="str">
        <f>IFERROR(__xludf.DUMMYFUNCTION("""COMPUTED_VALUE"""),"MEDELLÍN")</f>
        <v>MEDELLÍN</v>
      </c>
      <c r="D927" s="15" t="str">
        <f>IFERROR(__xludf.DUMMYFUNCTION("""COMPUTED_VALUE"""),"BOGOTÁ")</f>
        <v>BOGOTÁ</v>
      </c>
      <c r="E927" s="15" t="str">
        <f>IFERROR(__xludf.DUMMYFUNCTION("""COMPUTED_VALUE"""),"Asociacion Agropecuaria Juana Maria")</f>
        <v>Asociacion Agropecuaria Juana Maria</v>
      </c>
      <c r="F927" s="17" t="str">
        <f>IFERROR(__xludf.DUMMYFUNCTION("""COMPUTED_VALUE"""),"Carrera 15 BA # 30D-44 int 201")</f>
        <v>Carrera 15 BA # 30D-44 int 201</v>
      </c>
      <c r="G927" s="15" t="str">
        <f>IFERROR(__xludf.DUMMYFUNCTION("""COMPUTED_VALUE"""),"Daniela Bedoya Blandon")</f>
        <v>Daniela Bedoya Blandon</v>
      </c>
      <c r="H927" s="16">
        <f>IFERROR(__xludf.DUMMYFUNCTION("""COMPUTED_VALUE"""),9536.0)</f>
        <v>9536</v>
      </c>
      <c r="I927" s="18">
        <f>IFERROR(__xludf.DUMMYFUNCTION("""COMPUTED_VALUE"""),28.0)</f>
        <v>28</v>
      </c>
      <c r="J927" s="18">
        <f>IFERROR(__xludf.DUMMYFUNCTION("""COMPUTED_VALUE"""),37.0)</f>
        <v>37</v>
      </c>
      <c r="K927" s="18">
        <f>IFERROR(__xludf.DUMMYFUNCTION("""COMPUTED_VALUE"""),27.0)</f>
        <v>27</v>
      </c>
      <c r="L927" s="17">
        <f>IFERROR(__xludf.DUMMYFUNCTION("""COMPUTED_VALUE"""),3.14672822E9)</f>
        <v>3146728220</v>
      </c>
      <c r="M927" s="17" t="str">
        <f>IFERROR(__xludf.DUMMYFUNCTION("""COMPUTED_VALUE"""),"#REF!")</f>
        <v>#REF!</v>
      </c>
      <c r="N927" s="17"/>
      <c r="O927" s="19" t="str">
        <f>IFERROR(__xludf.DUMMYFUNCTION("""COMPUTED_VALUE"""),"")</f>
        <v/>
      </c>
      <c r="P927" s="17" t="b">
        <f>IFERROR(__xludf.DUMMYFUNCTION("""COMPUTED_VALUE"""),FALSE)</f>
        <v>0</v>
      </c>
      <c r="Q927" s="20" t="str">
        <f>IFERROR(__xludf.DUMMYFUNCTION("""COMPUTED_VALUE"""),"")</f>
        <v/>
      </c>
      <c r="R927" s="22" t="str">
        <f>IFERROR(__xludf.DUMMYFUNCTION("""COMPUTED_VALUE"""),"")</f>
        <v/>
      </c>
    </row>
    <row r="928">
      <c r="A928" s="15">
        <f>IFERROR(__xludf.DUMMYFUNCTION("""COMPUTED_VALUE"""),45027.0)</f>
        <v>45027</v>
      </c>
      <c r="B928" s="16" t="str">
        <f>IFERROR(__xludf.DUMMYFUNCTION("""COMPUTED_VALUE"""),"Envia")</f>
        <v>Envia</v>
      </c>
      <c r="C928" s="15" t="str">
        <f>IFERROR(__xludf.DUMMYFUNCTION("""COMPUTED_VALUE"""),"MEDELLÍN")</f>
        <v>MEDELLÍN</v>
      </c>
      <c r="D928" s="15" t="str">
        <f>IFERROR(__xludf.DUMMYFUNCTION("""COMPUTED_VALUE"""),"BOGOTÁ")</f>
        <v>BOGOTÁ</v>
      </c>
      <c r="E928" s="15" t="str">
        <f>IFERROR(__xludf.DUMMYFUNCTION("""COMPUTED_VALUE"""),"Asociacion Agropecuaria Juana Maria")</f>
        <v>Asociacion Agropecuaria Juana Maria</v>
      </c>
      <c r="F928" s="17" t="str">
        <f>IFERROR(__xludf.DUMMYFUNCTION("""COMPUTED_VALUE"""),"Oficina Envia Sabaneta")</f>
        <v>Oficina Envia Sabaneta</v>
      </c>
      <c r="G928" s="15" t="str">
        <f>IFERROR(__xludf.DUMMYFUNCTION("""COMPUTED_VALUE"""),"Angela Giraldo")</f>
        <v>Angela Giraldo</v>
      </c>
      <c r="H928" s="16">
        <f>IFERROR(__xludf.DUMMYFUNCTION("""COMPUTED_VALUE"""),9533.0)</f>
        <v>9533</v>
      </c>
      <c r="I928" s="18">
        <f>IFERROR(__xludf.DUMMYFUNCTION("""COMPUTED_VALUE"""),25.0)</f>
        <v>25</v>
      </c>
      <c r="J928" s="18">
        <f>IFERROR(__xludf.DUMMYFUNCTION("""COMPUTED_VALUE"""),18.0)</f>
        <v>18</v>
      </c>
      <c r="K928" s="18">
        <f>IFERROR(__xludf.DUMMYFUNCTION("""COMPUTED_VALUE"""),3.0)</f>
        <v>3</v>
      </c>
      <c r="L928" s="17">
        <f>IFERROR(__xludf.DUMMYFUNCTION("""COMPUTED_VALUE"""),3.006140932E9)</f>
        <v>3006140932</v>
      </c>
      <c r="M928" s="17" t="str">
        <f>IFERROR(__xludf.DUMMYFUNCTION("""COMPUTED_VALUE"""),"#REF!")</f>
        <v>#REF!</v>
      </c>
      <c r="N928" s="17"/>
      <c r="O928" s="19" t="str">
        <f>IFERROR(__xludf.DUMMYFUNCTION("""COMPUTED_VALUE"""),"")</f>
        <v/>
      </c>
      <c r="P928" s="17" t="b">
        <f>IFERROR(__xludf.DUMMYFUNCTION("""COMPUTED_VALUE"""),TRUE)</f>
        <v>1</v>
      </c>
      <c r="Q928" s="20">
        <f>IFERROR(__xludf.DUMMYFUNCTION("""COMPUTED_VALUE"""),45027.693734976856)</f>
        <v>45027.69373</v>
      </c>
      <c r="R928" s="22" t="str">
        <f>IFERROR(__xludf.DUMMYFUNCTION("""COMPUTED_VALUE"""),"")</f>
        <v/>
      </c>
    </row>
    <row r="929">
      <c r="A929" s="15">
        <f>IFERROR(__xludf.DUMMYFUNCTION("""COMPUTED_VALUE"""),45027.0)</f>
        <v>45027</v>
      </c>
      <c r="B929" s="16" t="str">
        <f>IFERROR(__xludf.DUMMYFUNCTION("""COMPUTED_VALUE"""),"Envia")</f>
        <v>Envia</v>
      </c>
      <c r="C929" s="15" t="str">
        <f>IFERROR(__xludf.DUMMYFUNCTION("""COMPUTED_VALUE"""),"MEDELLÍN")</f>
        <v>MEDELLÍN</v>
      </c>
      <c r="D929" s="15" t="str">
        <f>IFERROR(__xludf.DUMMYFUNCTION("""COMPUTED_VALUE"""),"BOGOTÁ")</f>
        <v>BOGOTÁ</v>
      </c>
      <c r="E929" s="15" t="str">
        <f>IFERROR(__xludf.DUMMYFUNCTION("""COMPUTED_VALUE"""),"Evamazzita")</f>
        <v>Evamazzita</v>
      </c>
      <c r="F929" s="17" t="str">
        <f>IFERROR(__xludf.DUMMYFUNCTION("""COMPUTED_VALUE"""),"Calle 51#49-11 /  droguería cruz verde  / Parque de Itagüí")</f>
        <v>Calle 51#49-11 /  droguería cruz verde  / Parque de Itagüí</v>
      </c>
      <c r="G929" s="15" t="str">
        <f>IFERROR(__xludf.DUMMYFUNCTION("""COMPUTED_VALUE"""),"YEZENIA MARIN RESTREPO")</f>
        <v>YEZENIA MARIN RESTREPO</v>
      </c>
      <c r="H929" s="16">
        <f>IFERROR(__xludf.DUMMYFUNCTION("""COMPUTED_VALUE"""),9579.0)</f>
        <v>9579</v>
      </c>
      <c r="I929" s="18">
        <f>IFERROR(__xludf.DUMMYFUNCTION("""COMPUTED_VALUE"""),3.0)</f>
        <v>3</v>
      </c>
      <c r="J929" s="18">
        <f>IFERROR(__xludf.DUMMYFUNCTION("""COMPUTED_VALUE"""),20.0)</f>
        <v>20</v>
      </c>
      <c r="K929" s="18">
        <f>IFERROR(__xludf.DUMMYFUNCTION("""COMPUTED_VALUE"""),15.0)</f>
        <v>15</v>
      </c>
      <c r="L929" s="17">
        <f>IFERROR(__xludf.DUMMYFUNCTION("""COMPUTED_VALUE"""),3.023054309E9)</f>
        <v>3023054309</v>
      </c>
      <c r="M929" s="17" t="str">
        <f>IFERROR(__xludf.DUMMYFUNCTION("""COMPUTED_VALUE"""),"#REF!")</f>
        <v>#REF!</v>
      </c>
      <c r="N929" s="17"/>
      <c r="O929" s="19" t="str">
        <f>IFERROR(__xludf.DUMMYFUNCTION("""COMPUTED_VALUE"""),"")</f>
        <v/>
      </c>
      <c r="P929" s="17" t="b">
        <f>IFERROR(__xludf.DUMMYFUNCTION("""COMPUTED_VALUE"""),TRUE)</f>
        <v>1</v>
      </c>
      <c r="Q929" s="20">
        <f>IFERROR(__xludf.DUMMYFUNCTION("""COMPUTED_VALUE"""),45027.693744351855)</f>
        <v>45027.69374</v>
      </c>
      <c r="R929" s="22" t="str">
        <f>IFERROR(__xludf.DUMMYFUNCTION("""COMPUTED_VALUE"""),"")</f>
        <v/>
      </c>
    </row>
    <row r="930">
      <c r="A930" s="15">
        <f>IFERROR(__xludf.DUMMYFUNCTION("""COMPUTED_VALUE"""),45027.0)</f>
        <v>45027</v>
      </c>
      <c r="B930" s="16" t="str">
        <f>IFERROR(__xludf.DUMMYFUNCTION("""COMPUTED_VALUE"""),"Envia")</f>
        <v>Envia</v>
      </c>
      <c r="C930" s="15" t="str">
        <f>IFERROR(__xludf.DUMMYFUNCTION("""COMPUTED_VALUE"""),"MEDELLÍN")</f>
        <v>MEDELLÍN</v>
      </c>
      <c r="D930" s="15" t="str">
        <f>IFERROR(__xludf.DUMMYFUNCTION("""COMPUTED_VALUE"""),"BOGOTÁ")</f>
        <v>BOGOTÁ</v>
      </c>
      <c r="E930" s="15" t="str">
        <f>IFERROR(__xludf.DUMMYFUNCTION("""COMPUTED_VALUE"""),"Evamazzita")</f>
        <v>Evamazzita</v>
      </c>
      <c r="F930" s="17" t="str">
        <f>IFERROR(__xludf.DUMMYFUNCTION("""COMPUTED_VALUE"""),"RECOGE EN CENTRO DE ACOPIO / RECOGE EN CENTRO DE ACOPIO / RECOGE EN CENTRO DE ACOPIO")</f>
        <v>RECOGE EN CENTRO DE ACOPIO / RECOGE EN CENTRO DE ACOPIO / RECOGE EN CENTRO DE ACOPIO</v>
      </c>
      <c r="G930" s="15" t="str">
        <f>IFERROR(__xludf.DUMMYFUNCTION("""COMPUTED_VALUE"""),"ANGELA MARIA GIRALDO")</f>
        <v>ANGELA MARIA GIRALDO</v>
      </c>
      <c r="H930" s="16">
        <f>IFERROR(__xludf.DUMMYFUNCTION("""COMPUTED_VALUE"""),9576.0)</f>
        <v>9576</v>
      </c>
      <c r="I930" s="18">
        <f>IFERROR(__xludf.DUMMYFUNCTION("""COMPUTED_VALUE"""),23.0)</f>
        <v>23</v>
      </c>
      <c r="J930" s="18">
        <f>IFERROR(__xludf.DUMMYFUNCTION("""COMPUTED_VALUE"""),19.0)</f>
        <v>19</v>
      </c>
      <c r="K930" s="18">
        <f>IFERROR(__xludf.DUMMYFUNCTION("""COMPUTED_VALUE"""),26.0)</f>
        <v>26</v>
      </c>
      <c r="L930" s="17">
        <f>IFERROR(__xludf.DUMMYFUNCTION("""COMPUTED_VALUE"""),3.006140932E9)</f>
        <v>3006140932</v>
      </c>
      <c r="M930" s="17" t="str">
        <f>IFERROR(__xludf.DUMMYFUNCTION("""COMPUTED_VALUE"""),"#REF!")</f>
        <v>#REF!</v>
      </c>
      <c r="N930" s="17"/>
      <c r="O930" s="19" t="str">
        <f>IFERROR(__xludf.DUMMYFUNCTION("""COMPUTED_VALUE"""),"")</f>
        <v/>
      </c>
      <c r="P930" s="17" t="b">
        <f>IFERROR(__xludf.DUMMYFUNCTION("""COMPUTED_VALUE"""),FALSE)</f>
        <v>0</v>
      </c>
      <c r="Q930" s="20" t="str">
        <f>IFERROR(__xludf.DUMMYFUNCTION("""COMPUTED_VALUE"""),"")</f>
        <v/>
      </c>
      <c r="R930" s="22" t="str">
        <f>IFERROR(__xludf.DUMMYFUNCTION("""COMPUTED_VALUE"""),"")</f>
        <v/>
      </c>
    </row>
    <row r="931">
      <c r="A931" s="15">
        <f>IFERROR(__xludf.DUMMYFUNCTION("""COMPUTED_VALUE"""),45027.0)</f>
        <v>45027</v>
      </c>
      <c r="B931" s="16" t="str">
        <f>IFERROR(__xludf.DUMMYFUNCTION("""COMPUTED_VALUE"""),"Envia")</f>
        <v>Envia</v>
      </c>
      <c r="C931" s="15" t="str">
        <f>IFERROR(__xludf.DUMMYFUNCTION("""COMPUTED_VALUE"""),"MEDELLÍN")</f>
        <v>MEDELLÍN</v>
      </c>
      <c r="D931" s="15" t="str">
        <f>IFERROR(__xludf.DUMMYFUNCTION("""COMPUTED_VALUE"""),"BOGOTÁ")</f>
        <v>BOGOTÁ</v>
      </c>
      <c r="E931" s="15" t="str">
        <f>IFERROR(__xludf.DUMMYFUNCTION("""COMPUTED_VALUE"""),"Top Spun")</f>
        <v>Top Spun</v>
      </c>
      <c r="F931" s="17" t="str">
        <f>IFERROR(__xludf.DUMMYFUNCTION("""COMPUTED_VALUE"""),"Calle 16 # 41 - 51.  / Apto 1303. Urbanización Malawi Living. / Barrio. Castropol, el Poblado.  Medellín")</f>
        <v>Calle 16 # 41 - 51.  / Apto 1303. Urbanización Malawi Living. / Barrio. Castropol, el Poblado.  Medellín</v>
      </c>
      <c r="G931" s="15" t="str">
        <f>IFERROR(__xludf.DUMMYFUNCTION("""COMPUTED_VALUE"""),"SUSANA HERNANDEZ ESCOBAR")</f>
        <v>SUSANA HERNANDEZ ESCOBAR</v>
      </c>
      <c r="H931" s="16">
        <f>IFERROR(__xludf.DUMMYFUNCTION("""COMPUTED_VALUE"""),9560.0)</f>
        <v>9560</v>
      </c>
      <c r="I931" s="18">
        <f>IFERROR(__xludf.DUMMYFUNCTION("""COMPUTED_VALUE"""),23.0)</f>
        <v>23</v>
      </c>
      <c r="J931" s="18">
        <f>IFERROR(__xludf.DUMMYFUNCTION("""COMPUTED_VALUE"""),14.0)</f>
        <v>14</v>
      </c>
      <c r="K931" s="18">
        <f>IFERROR(__xludf.DUMMYFUNCTION("""COMPUTED_VALUE"""),40.0)</f>
        <v>40</v>
      </c>
      <c r="L931" s="17">
        <f>IFERROR(__xludf.DUMMYFUNCTION("""COMPUTED_VALUE"""),3.016119679E9)</f>
        <v>3016119679</v>
      </c>
      <c r="M931" s="17" t="str">
        <f>IFERROR(__xludf.DUMMYFUNCTION("""COMPUTED_VALUE"""),"#REF!")</f>
        <v>#REF!</v>
      </c>
      <c r="N931" s="17"/>
      <c r="O931" s="19" t="str">
        <f>IFERROR(__xludf.DUMMYFUNCTION("""COMPUTED_VALUE"""),"")</f>
        <v/>
      </c>
      <c r="P931" s="17" t="b">
        <f>IFERROR(__xludf.DUMMYFUNCTION("""COMPUTED_VALUE"""),FALSE)</f>
        <v>0</v>
      </c>
      <c r="Q931" s="20" t="str">
        <f>IFERROR(__xludf.DUMMYFUNCTION("""COMPUTED_VALUE"""),"")</f>
        <v/>
      </c>
      <c r="R931" s="22" t="str">
        <f>IFERROR(__xludf.DUMMYFUNCTION("""COMPUTED_VALUE"""),"")</f>
        <v/>
      </c>
    </row>
    <row r="932">
      <c r="A932" s="15">
        <f>IFERROR(__xludf.DUMMYFUNCTION("""COMPUTED_VALUE"""),45027.0)</f>
        <v>45027</v>
      </c>
      <c r="B932" s="16" t="str">
        <f>IFERROR(__xludf.DUMMYFUNCTION("""COMPUTED_VALUE"""),"Envia")</f>
        <v>Envia</v>
      </c>
      <c r="C932" s="15" t="str">
        <f>IFERROR(__xludf.DUMMYFUNCTION("""COMPUTED_VALUE"""),"PEREIRA")</f>
        <v>PEREIRA</v>
      </c>
      <c r="D932" s="15" t="str">
        <f>IFERROR(__xludf.DUMMYFUNCTION("""COMPUTED_VALUE"""),"BOGOTÁ")</f>
        <v>BOGOTÁ</v>
      </c>
      <c r="E932" s="15" t="str">
        <f>IFERROR(__xludf.DUMMYFUNCTION("""COMPUTED_VALUE"""),"Asociacion Agropecuaria Juana Maria")</f>
        <v>Asociacion Agropecuaria Juana Maria</v>
      </c>
      <c r="F932" s="17" t="str">
        <f>IFERROR(__xludf.DUMMYFUNCTION("""COMPUTED_VALUE"""),"Calle 153 # 23 -41 manzana 1 casa 9 sol de Galicia")</f>
        <v>Calle 153 # 23 -41 manzana 1 casa 9 sol de Galicia</v>
      </c>
      <c r="G932" s="15" t="str">
        <f>IFERROR(__xludf.DUMMYFUNCTION("""COMPUTED_VALUE"""),"Paula Andrea Forero")</f>
        <v>Paula Andrea Forero</v>
      </c>
      <c r="H932" s="16">
        <f>IFERROR(__xludf.DUMMYFUNCTION("""COMPUTED_VALUE"""),9528.0)</f>
        <v>9528</v>
      </c>
      <c r="I932" s="18">
        <f>IFERROR(__xludf.DUMMYFUNCTION("""COMPUTED_VALUE"""),10.0)</f>
        <v>10</v>
      </c>
      <c r="J932" s="18">
        <f>IFERROR(__xludf.DUMMYFUNCTION("""COMPUTED_VALUE"""),34.0)</f>
        <v>34</v>
      </c>
      <c r="K932" s="18">
        <f>IFERROR(__xludf.DUMMYFUNCTION("""COMPUTED_VALUE"""),18.0)</f>
        <v>18</v>
      </c>
      <c r="L932" s="17">
        <f>IFERROR(__xludf.DUMMYFUNCTION("""COMPUTED_VALUE"""),3.115760231E9)</f>
        <v>3115760231</v>
      </c>
      <c r="M932" s="17" t="str">
        <f>IFERROR(__xludf.DUMMYFUNCTION("""COMPUTED_VALUE"""),"#REF!")</f>
        <v>#REF!</v>
      </c>
      <c r="N932" s="17"/>
      <c r="O932" s="19" t="str">
        <f>IFERROR(__xludf.DUMMYFUNCTION("""COMPUTED_VALUE"""),"")</f>
        <v/>
      </c>
      <c r="P932" s="17" t="b">
        <f>IFERROR(__xludf.DUMMYFUNCTION("""COMPUTED_VALUE"""),FALSE)</f>
        <v>0</v>
      </c>
      <c r="Q932" s="20" t="str">
        <f>IFERROR(__xludf.DUMMYFUNCTION("""COMPUTED_VALUE"""),"")</f>
        <v/>
      </c>
      <c r="R932" s="22" t="str">
        <f>IFERROR(__xludf.DUMMYFUNCTION("""COMPUTED_VALUE"""),"")</f>
        <v/>
      </c>
    </row>
    <row r="933">
      <c r="A933" s="15">
        <f>IFERROR(__xludf.DUMMYFUNCTION("""COMPUTED_VALUE"""),45027.0)</f>
        <v>45027</v>
      </c>
      <c r="B933" s="16" t="str">
        <f>IFERROR(__xludf.DUMMYFUNCTION("""COMPUTED_VALUE"""),"Envia")</f>
        <v>Envia</v>
      </c>
      <c r="C933" s="15" t="str">
        <f>IFERROR(__xludf.DUMMYFUNCTION("""COMPUTED_VALUE"""),"PEREIRA")</f>
        <v>PEREIRA</v>
      </c>
      <c r="D933" s="15" t="str">
        <f>IFERROR(__xludf.DUMMYFUNCTION("""COMPUTED_VALUE"""),"BOGOTÁ")</f>
        <v>BOGOTÁ</v>
      </c>
      <c r="E933" s="15" t="str">
        <f>IFERROR(__xludf.DUMMYFUNCTION("""COMPUTED_VALUE"""),"Evamazzita")</f>
        <v>Evamazzita</v>
      </c>
      <c r="F933" s="17" t="str">
        <f>IFERROR(__xludf.DUMMYFUNCTION("""COMPUTED_VALUE"""),"CALLE 153 # 23 - 41  / SOL DE GALICIA MZ 1 CASA 9 / GALICIA")</f>
        <v>CALLE 153 # 23 - 41  / SOL DE GALICIA MZ 1 CASA 9 / GALICIA</v>
      </c>
      <c r="G933" s="15" t="str">
        <f>IFERROR(__xludf.DUMMYFUNCTION("""COMPUTED_VALUE"""),"PAULA FORERO")</f>
        <v>PAULA FORERO</v>
      </c>
      <c r="H933" s="16">
        <f>IFERROR(__xludf.DUMMYFUNCTION("""COMPUTED_VALUE"""),9549.0)</f>
        <v>9549</v>
      </c>
      <c r="I933" s="18">
        <f>IFERROR(__xludf.DUMMYFUNCTION("""COMPUTED_VALUE"""),19.0)</f>
        <v>19</v>
      </c>
      <c r="J933" s="18">
        <f>IFERROR(__xludf.DUMMYFUNCTION("""COMPUTED_VALUE"""),19.0)</f>
        <v>19</v>
      </c>
      <c r="K933" s="18">
        <f>IFERROR(__xludf.DUMMYFUNCTION("""COMPUTED_VALUE"""),26.0)</f>
        <v>26</v>
      </c>
      <c r="L933" s="17">
        <f>IFERROR(__xludf.DUMMYFUNCTION("""COMPUTED_VALUE"""),3.115760231E9)</f>
        <v>3115760231</v>
      </c>
      <c r="M933" s="17" t="str">
        <f>IFERROR(__xludf.DUMMYFUNCTION("""COMPUTED_VALUE"""),"#REF!")</f>
        <v>#REF!</v>
      </c>
      <c r="N933" s="17"/>
      <c r="O933" s="19" t="str">
        <f>IFERROR(__xludf.DUMMYFUNCTION("""COMPUTED_VALUE"""),"")</f>
        <v/>
      </c>
      <c r="P933" s="17" t="b">
        <f>IFERROR(__xludf.DUMMYFUNCTION("""COMPUTED_VALUE"""),FALSE)</f>
        <v>0</v>
      </c>
      <c r="Q933" s="20" t="str">
        <f>IFERROR(__xludf.DUMMYFUNCTION("""COMPUTED_VALUE"""),"")</f>
        <v/>
      </c>
      <c r="R933" s="22" t="str">
        <f>IFERROR(__xludf.DUMMYFUNCTION("""COMPUTED_VALUE"""),"")</f>
        <v/>
      </c>
    </row>
    <row r="934">
      <c r="A934" s="15">
        <f>IFERROR(__xludf.DUMMYFUNCTION("""COMPUTED_VALUE"""),45027.0)</f>
        <v>45027</v>
      </c>
      <c r="B934" s="16" t="str">
        <f>IFERROR(__xludf.DUMMYFUNCTION("""COMPUTED_VALUE"""),"Envia")</f>
        <v>Envia</v>
      </c>
      <c r="C934" s="15" t="str">
        <f>IFERROR(__xludf.DUMMYFUNCTION("""COMPUTED_VALUE"""),"SOGAMOSO")</f>
        <v>SOGAMOSO</v>
      </c>
      <c r="D934" s="15" t="str">
        <f>IFERROR(__xludf.DUMMYFUNCTION("""COMPUTED_VALUE"""),"BOGOTÁ")</f>
        <v>BOGOTÁ</v>
      </c>
      <c r="E934" s="15" t="str">
        <f>IFERROR(__xludf.DUMMYFUNCTION("""COMPUTED_VALUE"""),"Evamazzita")</f>
        <v>Evamazzita</v>
      </c>
      <c r="F934" s="17" t="str">
        <f>IFERROR(__xludf.DUMMYFUNCTION("""COMPUTED_VALUE"""),"CARRERA 15 # 7 B - 57  / APTO. 301  / SANTA INÉS")</f>
        <v>CARRERA 15 # 7 B - 57  / APTO. 301  / SANTA INÉS</v>
      </c>
      <c r="G934" s="15" t="str">
        <f>IFERROR(__xludf.DUMMYFUNCTION("""COMPUTED_VALUE"""),"DIANA GERALDINE MONROY SALAMANCA")</f>
        <v>DIANA GERALDINE MONROY SALAMANCA</v>
      </c>
      <c r="H934" s="16">
        <f>IFERROR(__xludf.DUMMYFUNCTION("""COMPUTED_VALUE"""),9590.0)</f>
        <v>9590</v>
      </c>
      <c r="I934" s="18">
        <f>IFERROR(__xludf.DUMMYFUNCTION("""COMPUTED_VALUE"""),10.0)</f>
        <v>10</v>
      </c>
      <c r="J934" s="18">
        <f>IFERROR(__xludf.DUMMYFUNCTION("""COMPUTED_VALUE"""),18.0)</f>
        <v>18</v>
      </c>
      <c r="K934" s="18">
        <f>IFERROR(__xludf.DUMMYFUNCTION("""COMPUTED_VALUE"""),22.0)</f>
        <v>22</v>
      </c>
      <c r="L934" s="17">
        <f>IFERROR(__xludf.DUMMYFUNCTION("""COMPUTED_VALUE"""),3.133828821E9)</f>
        <v>3133828821</v>
      </c>
      <c r="M934" s="17" t="str">
        <f>IFERROR(__xludf.DUMMYFUNCTION("""COMPUTED_VALUE"""),"#REF!")</f>
        <v>#REF!</v>
      </c>
      <c r="N934" s="17"/>
      <c r="O934" s="19" t="str">
        <f>IFERROR(__xludf.DUMMYFUNCTION("""COMPUTED_VALUE"""),"")</f>
        <v/>
      </c>
      <c r="P934" s="17" t="b">
        <f>IFERROR(__xludf.DUMMYFUNCTION("""COMPUTED_VALUE"""),TRUE)</f>
        <v>1</v>
      </c>
      <c r="Q934" s="20">
        <f>IFERROR(__xludf.DUMMYFUNCTION("""COMPUTED_VALUE"""),45027.67420046296)</f>
        <v>45027.6742</v>
      </c>
      <c r="R934" s="22" t="str">
        <f>IFERROR(__xludf.DUMMYFUNCTION("""COMPUTED_VALUE"""),"")</f>
        <v/>
      </c>
    </row>
    <row r="935">
      <c r="A935" s="17" t="str">
        <f>IFERROR(__xludf.DUMMYFUNCTION("""COMPUTED_VALUE"""),"")</f>
        <v/>
      </c>
      <c r="B935" s="17" t="str">
        <f>IFERROR(__xludf.DUMMYFUNCTION("""COMPUTED_VALUE"""),"")</f>
        <v/>
      </c>
      <c r="C935" s="17" t="str">
        <f>IFERROR(__xludf.DUMMYFUNCTION("""COMPUTED_VALUE"""),"")</f>
        <v/>
      </c>
      <c r="D935" s="17" t="str">
        <f>IFERROR(__xludf.DUMMYFUNCTION("""COMPUTED_VALUE"""),"")</f>
        <v/>
      </c>
      <c r="E935" s="17" t="str">
        <f>IFERROR(__xludf.DUMMYFUNCTION("""COMPUTED_VALUE"""),"")</f>
        <v/>
      </c>
      <c r="F935" s="17" t="str">
        <f>IFERROR(__xludf.DUMMYFUNCTION("""COMPUTED_VALUE"""),"")</f>
        <v/>
      </c>
      <c r="G935" s="17" t="str">
        <f>IFERROR(__xludf.DUMMYFUNCTION("""COMPUTED_VALUE"""),"")</f>
        <v/>
      </c>
      <c r="H935" s="17" t="str">
        <f>IFERROR(__xludf.DUMMYFUNCTION("""COMPUTED_VALUE"""),"")</f>
        <v/>
      </c>
      <c r="I935" s="17" t="str">
        <f>IFERROR(__xludf.DUMMYFUNCTION("""COMPUTED_VALUE"""),"")</f>
        <v/>
      </c>
      <c r="J935" s="17" t="str">
        <f>IFERROR(__xludf.DUMMYFUNCTION("""COMPUTED_VALUE"""),"")</f>
        <v/>
      </c>
      <c r="K935" s="17" t="str">
        <f>IFERROR(__xludf.DUMMYFUNCTION("""COMPUTED_VALUE"""),"")</f>
        <v/>
      </c>
      <c r="L935" s="17" t="str">
        <f>IFERROR(__xludf.DUMMYFUNCTION("""COMPUTED_VALUE"""),"")</f>
        <v/>
      </c>
      <c r="M935" s="17" t="str">
        <f>IFERROR(__xludf.DUMMYFUNCTION("""COMPUTED_VALUE"""),"")</f>
        <v/>
      </c>
      <c r="N935" s="17" t="str">
        <f>IFERROR(__xludf.DUMMYFUNCTION("""COMPUTED_VALUE"""),"")</f>
        <v/>
      </c>
      <c r="O935" s="17" t="str">
        <f>IFERROR(__xludf.DUMMYFUNCTION("""COMPUTED_VALUE"""),"")</f>
        <v/>
      </c>
      <c r="P935" s="17" t="str">
        <f>IFERROR(__xludf.DUMMYFUNCTION("""COMPUTED_VALUE"""),"")</f>
        <v/>
      </c>
      <c r="Q935" s="17" t="str">
        <f>IFERROR(__xludf.DUMMYFUNCTION("""COMPUTED_VALUE"""),"")</f>
        <v/>
      </c>
      <c r="R935" s="17" t="str">
        <f>IFERROR(__xludf.DUMMYFUNCTION("""COMPUTED_VALUE"""),"")</f>
        <v/>
      </c>
    </row>
    <row r="936">
      <c r="A936" s="15">
        <f>IFERROR(__xludf.DUMMYFUNCTION("""COMPUTED_VALUE"""),45027.0)</f>
        <v>45027</v>
      </c>
      <c r="B936" s="16" t="str">
        <f>IFERROR(__xludf.DUMMYFUNCTION("""COMPUTED_VALUE"""),"Jesus Manuel Herrera Medina ")</f>
        <v>Jesus Manuel Herrera Medina </v>
      </c>
      <c r="C936" s="15" t="str">
        <f>IFERROR(__xludf.DUMMYFUNCTION("""COMPUTED_VALUE"""),"FLORIDABLANCA")</f>
        <v>FLORIDABLANCA</v>
      </c>
      <c r="D936" s="15" t="str">
        <f>IFERROR(__xludf.DUMMYFUNCTION("""COMPUTED_VALUE"""),"BOGOTÁ")</f>
        <v>BOGOTÁ</v>
      </c>
      <c r="E936" s="15" t="str">
        <f>IFERROR(__xludf.DUMMYFUNCTION("""COMPUTED_VALUE"""),"Asociacion Agropecuaria Juana Maria")</f>
        <v>Asociacion Agropecuaria Juana Maria</v>
      </c>
      <c r="F936" s="17" t="str">
        <f>IFERROR(__xludf.DUMMYFUNCTION("""COMPUTED_VALUE"""),"Calle 19 #11-37 Guanatá FLORIDABLANCA")</f>
        <v>Calle 19 #11-37 Guanatá FLORIDABLANCA</v>
      </c>
      <c r="G936" s="15" t="str">
        <f>IFERROR(__xludf.DUMMYFUNCTION("""COMPUTED_VALUE"""),"Claudia Gonzalez")</f>
        <v>Claudia Gonzalez</v>
      </c>
      <c r="H936" s="16">
        <f>IFERROR(__xludf.DUMMYFUNCTION("""COMPUTED_VALUE"""),9538.0)</f>
        <v>9538</v>
      </c>
      <c r="I936" s="18">
        <f>IFERROR(__xludf.DUMMYFUNCTION("""COMPUTED_VALUE"""),21.0)</f>
        <v>21</v>
      </c>
      <c r="J936" s="18">
        <f>IFERROR(__xludf.DUMMYFUNCTION("""COMPUTED_VALUE"""),37.0)</f>
        <v>37</v>
      </c>
      <c r="K936" s="18">
        <f>IFERROR(__xludf.DUMMYFUNCTION("""COMPUTED_VALUE"""),30.0)</f>
        <v>30</v>
      </c>
      <c r="L936" s="17">
        <f>IFERROR(__xludf.DUMMYFUNCTION("""COMPUTED_VALUE"""),3.002802001E9)</f>
        <v>3002802001</v>
      </c>
      <c r="M936" s="17" t="str">
        <f>IFERROR(__xludf.DUMMYFUNCTION("""COMPUTED_VALUE"""),"#REF!")</f>
        <v>#REF!</v>
      </c>
      <c r="N936" s="17"/>
      <c r="O936" s="19" t="str">
        <f>IFERROR(__xludf.DUMMYFUNCTION("""COMPUTED_VALUE"""),"")</f>
        <v/>
      </c>
      <c r="P936" s="17" t="b">
        <f>IFERROR(__xludf.DUMMYFUNCTION("""COMPUTED_VALUE"""),TRUE)</f>
        <v>1</v>
      </c>
      <c r="Q936" s="20">
        <f>IFERROR(__xludf.DUMMYFUNCTION("""COMPUTED_VALUE"""),45027.68227826389)</f>
        <v>45027.68228</v>
      </c>
      <c r="R936" s="22" t="str">
        <f>IFERROR(__xludf.DUMMYFUNCTION("""COMPUTED_VALUE"""),"")</f>
        <v/>
      </c>
    </row>
    <row r="937">
      <c r="A937" s="15">
        <f>IFERROR(__xludf.DUMMYFUNCTION("""COMPUTED_VALUE"""),45027.0)</f>
        <v>45027</v>
      </c>
      <c r="B937" s="16" t="str">
        <f>IFERROR(__xludf.DUMMYFUNCTION("""COMPUTED_VALUE"""),"Jesus Manuel Herrera Medina ")</f>
        <v>Jesus Manuel Herrera Medina </v>
      </c>
      <c r="C937" s="15" t="str">
        <f>IFERROR(__xludf.DUMMYFUNCTION("""COMPUTED_VALUE"""),"FLORIDABLANCA")</f>
        <v>FLORIDABLANCA</v>
      </c>
      <c r="D937" s="15" t="str">
        <f>IFERROR(__xludf.DUMMYFUNCTION("""COMPUTED_VALUE"""),"BOGOTÁ")</f>
        <v>BOGOTÁ</v>
      </c>
      <c r="E937" s="15" t="str">
        <f>IFERROR(__xludf.DUMMYFUNCTION("""COMPUTED_VALUE"""),"Ins. Alimento Vital")</f>
        <v>Ins. Alimento Vital</v>
      </c>
      <c r="F937" s="17" t="str">
        <f>IFERROR(__xludf.DUMMYFUNCTION("""COMPUTED_VALUE"""),"CONDOMINIO ROUITIQUE  / CONJUNTO LA PRADERA, CASA 39 / FLORIDABLANCA CONDOMINIO ROUITIQUE")</f>
        <v>CONDOMINIO ROUITIQUE  / CONJUNTO LA PRADERA, CASA 39 / FLORIDABLANCA CONDOMINIO ROUITIQUE</v>
      </c>
      <c r="G937" s="15" t="str">
        <f>IFERROR(__xludf.DUMMYFUNCTION("""COMPUTED_VALUE"""),"ADRIANA MARIA BARRERA SARMIENTO")</f>
        <v>ADRIANA MARIA BARRERA SARMIENTO</v>
      </c>
      <c r="H937" s="16">
        <f>IFERROR(__xludf.DUMMYFUNCTION("""COMPUTED_VALUE"""),9546.0)</f>
        <v>9546</v>
      </c>
      <c r="I937" s="18">
        <f>IFERROR(__xludf.DUMMYFUNCTION("""COMPUTED_VALUE"""),100.0)</f>
        <v>100</v>
      </c>
      <c r="J937" s="18">
        <f>IFERROR(__xludf.DUMMYFUNCTION("""COMPUTED_VALUE"""),10.0)</f>
        <v>10</v>
      </c>
      <c r="K937" s="18">
        <f>IFERROR(__xludf.DUMMYFUNCTION("""COMPUTED_VALUE"""),11.0)</f>
        <v>11</v>
      </c>
      <c r="L937" s="17">
        <f>IFERROR(__xludf.DUMMYFUNCTION("""COMPUTED_VALUE"""),3.21372563E9)</f>
        <v>3213725630</v>
      </c>
      <c r="M937" s="17" t="str">
        <f>IFERROR(__xludf.DUMMYFUNCTION("""COMPUTED_VALUE"""),"#REF!")</f>
        <v>#REF!</v>
      </c>
      <c r="N937" s="17"/>
      <c r="O937" s="19" t="str">
        <f>IFERROR(__xludf.DUMMYFUNCTION("""COMPUTED_VALUE"""),"")</f>
        <v/>
      </c>
      <c r="P937" s="17" t="b">
        <f>IFERROR(__xludf.DUMMYFUNCTION("""COMPUTED_VALUE"""),FALSE)</f>
        <v>0</v>
      </c>
      <c r="Q937" s="20" t="str">
        <f>IFERROR(__xludf.DUMMYFUNCTION("""COMPUTED_VALUE"""),"")</f>
        <v/>
      </c>
      <c r="R937" s="22" t="str">
        <f>IFERROR(__xludf.DUMMYFUNCTION("""COMPUTED_VALUE"""),"")</f>
        <v/>
      </c>
    </row>
    <row r="938">
      <c r="A938" s="15">
        <f>IFERROR(__xludf.DUMMYFUNCTION("""COMPUTED_VALUE"""),45027.0)</f>
        <v>45027</v>
      </c>
      <c r="B938" s="16" t="str">
        <f>IFERROR(__xludf.DUMMYFUNCTION("""COMPUTED_VALUE"""),"Jesus Manuel Herrera Medina ")</f>
        <v>Jesus Manuel Herrera Medina </v>
      </c>
      <c r="C938" s="15" t="str">
        <f>IFERROR(__xludf.DUMMYFUNCTION("""COMPUTED_VALUE"""),"PEREIRA")</f>
        <v>PEREIRA</v>
      </c>
      <c r="D938" s="15" t="str">
        <f>IFERROR(__xludf.DUMMYFUNCTION("""COMPUTED_VALUE"""),"MEDELLÍN")</f>
        <v>MEDELLÍN</v>
      </c>
      <c r="E938" s="15" t="str">
        <f>IFERROR(__xludf.DUMMYFUNCTION("""COMPUTED_VALUE"""),"Baby Chef")</f>
        <v>Baby Chef</v>
      </c>
      <c r="F938" s="17" t="str">
        <f>IFERROR(__xludf.DUMMYFUNCTION("""COMPUTED_VALUE"""),"Carrera 22 #151 - 17 Galicia del parque / Carrera 22 #151 - 17 Galicia del parque / Carrera 22 #151 - 17 Galicia del parque")</f>
        <v>Carrera 22 #151 - 17 Galicia del parque / Carrera 22 #151 - 17 Galicia del parque / Carrera 22 #151 - 17 Galicia del parque</v>
      </c>
      <c r="G938" s="15" t="str">
        <f>IFERROR(__xludf.DUMMYFUNCTION("""COMPUTED_VALUE"""),"Valentina Britto")</f>
        <v>Valentina Britto</v>
      </c>
      <c r="H938" s="16">
        <f>IFERROR(__xludf.DUMMYFUNCTION("""COMPUTED_VALUE"""),9567.0)</f>
        <v>9567</v>
      </c>
      <c r="I938" s="18">
        <f>IFERROR(__xludf.DUMMYFUNCTION("""COMPUTED_VALUE"""),8.0)</f>
        <v>8</v>
      </c>
      <c r="J938" s="18">
        <f>IFERROR(__xludf.DUMMYFUNCTION("""COMPUTED_VALUE"""),16.0)</f>
        <v>16</v>
      </c>
      <c r="K938" s="18">
        <f>IFERROR(__xludf.DUMMYFUNCTION("""COMPUTED_VALUE"""),20.0)</f>
        <v>20</v>
      </c>
      <c r="L938" s="17">
        <f>IFERROR(__xludf.DUMMYFUNCTION("""COMPUTED_VALUE"""),3.14367076E9)</f>
        <v>3143670760</v>
      </c>
      <c r="M938" s="17" t="str">
        <f>IFERROR(__xludf.DUMMYFUNCTION("""COMPUTED_VALUE"""),"#REF!")</f>
        <v>#REF!</v>
      </c>
      <c r="N938" s="17"/>
      <c r="O938" s="19" t="str">
        <f>IFERROR(__xludf.DUMMYFUNCTION("""COMPUTED_VALUE"""),"")</f>
        <v/>
      </c>
      <c r="P938" s="17" t="b">
        <f>IFERROR(__xludf.DUMMYFUNCTION("""COMPUTED_VALUE"""),TRUE)</f>
        <v>1</v>
      </c>
      <c r="Q938" s="20">
        <f>IFERROR(__xludf.DUMMYFUNCTION("""COMPUTED_VALUE"""),45027.67420046296)</f>
        <v>45027.6742</v>
      </c>
      <c r="R938" s="22" t="str">
        <f>IFERROR(__xludf.DUMMYFUNCTION("""COMPUTED_VALUE"""),"")</f>
        <v/>
      </c>
    </row>
    <row r="939">
      <c r="A939" s="17" t="str">
        <f>IFERROR(__xludf.DUMMYFUNCTION("""COMPUTED_VALUE"""),"")</f>
        <v/>
      </c>
      <c r="B939" s="17" t="str">
        <f>IFERROR(__xludf.DUMMYFUNCTION("""COMPUTED_VALUE"""),"")</f>
        <v/>
      </c>
      <c r="C939" s="17" t="str">
        <f>IFERROR(__xludf.DUMMYFUNCTION("""COMPUTED_VALUE"""),"")</f>
        <v/>
      </c>
      <c r="D939" s="17" t="str">
        <f>IFERROR(__xludf.DUMMYFUNCTION("""COMPUTED_VALUE"""),"")</f>
        <v/>
      </c>
      <c r="E939" s="17" t="str">
        <f>IFERROR(__xludf.DUMMYFUNCTION("""COMPUTED_VALUE"""),"")</f>
        <v/>
      </c>
      <c r="F939" s="17" t="str">
        <f>IFERROR(__xludf.DUMMYFUNCTION("""COMPUTED_VALUE"""),"")</f>
        <v/>
      </c>
      <c r="G939" s="17" t="str">
        <f>IFERROR(__xludf.DUMMYFUNCTION("""COMPUTED_VALUE"""),"")</f>
        <v/>
      </c>
      <c r="H939" s="17" t="str">
        <f>IFERROR(__xludf.DUMMYFUNCTION("""COMPUTED_VALUE"""),"")</f>
        <v/>
      </c>
      <c r="I939" s="17" t="str">
        <f>IFERROR(__xludf.DUMMYFUNCTION("""COMPUTED_VALUE"""),"")</f>
        <v/>
      </c>
      <c r="J939" s="17" t="str">
        <f>IFERROR(__xludf.DUMMYFUNCTION("""COMPUTED_VALUE"""),"")</f>
        <v/>
      </c>
      <c r="K939" s="17" t="str">
        <f>IFERROR(__xludf.DUMMYFUNCTION("""COMPUTED_VALUE"""),"")</f>
        <v/>
      </c>
      <c r="L939" s="17" t="str">
        <f>IFERROR(__xludf.DUMMYFUNCTION("""COMPUTED_VALUE"""),"")</f>
        <v/>
      </c>
      <c r="M939" s="17" t="str">
        <f>IFERROR(__xludf.DUMMYFUNCTION("""COMPUTED_VALUE"""),"")</f>
        <v/>
      </c>
      <c r="N939" s="17" t="str">
        <f>IFERROR(__xludf.DUMMYFUNCTION("""COMPUTED_VALUE"""),"")</f>
        <v/>
      </c>
      <c r="O939" s="17" t="str">
        <f>IFERROR(__xludf.DUMMYFUNCTION("""COMPUTED_VALUE"""),"")</f>
        <v/>
      </c>
      <c r="P939" s="17" t="str">
        <f>IFERROR(__xludf.DUMMYFUNCTION("""COMPUTED_VALUE"""),"")</f>
        <v/>
      </c>
      <c r="Q939" s="17" t="str">
        <f>IFERROR(__xludf.DUMMYFUNCTION("""COMPUTED_VALUE"""),"")</f>
        <v/>
      </c>
      <c r="R939" s="17" t="str">
        <f>IFERROR(__xludf.DUMMYFUNCTION("""COMPUTED_VALUE"""),"")</f>
        <v/>
      </c>
    </row>
    <row r="940">
      <c r="A940" s="15">
        <f>IFERROR(__xludf.DUMMYFUNCTION("""COMPUTED_VALUE"""),45027.0)</f>
        <v>45027</v>
      </c>
      <c r="B940" s="16" t="str">
        <f>IFERROR(__xludf.DUMMYFUNCTION("""COMPUTED_VALUE"""),"Jhon Anderson Ceballos Hernandez")</f>
        <v>Jhon Anderson Ceballos Hernandez</v>
      </c>
      <c r="C940" s="15" t="str">
        <f>IFERROR(__xludf.DUMMYFUNCTION("""COMPUTED_VALUE"""),"MANIZALES")</f>
        <v>MANIZALES</v>
      </c>
      <c r="D940" s="15" t="str">
        <f>IFERROR(__xludf.DUMMYFUNCTION("""COMPUTED_VALUE"""),"BOGOTÁ")</f>
        <v>BOGOTÁ</v>
      </c>
      <c r="E940" s="15" t="str">
        <f>IFERROR(__xludf.DUMMYFUNCTION("""COMPUTED_VALUE"""),"Asociacion Agropecuaria Juana Maria")</f>
        <v>Asociacion Agropecuaria Juana Maria</v>
      </c>
      <c r="F940" s="17" t="str">
        <f>IFERROR(__xludf.DUMMYFUNCTION("""COMPUTED_VALUE"""),"Carrera 6A # 10A-06 apto 301 Edificio Martha Lucia Chipre Viejo")</f>
        <v>Carrera 6A # 10A-06 apto 301 Edificio Martha Lucia Chipre Viejo</v>
      </c>
      <c r="G940" s="15" t="str">
        <f>IFERROR(__xludf.DUMMYFUNCTION("""COMPUTED_VALUE"""),"Juliana Giraldo")</f>
        <v>Juliana Giraldo</v>
      </c>
      <c r="H940" s="16">
        <f>IFERROR(__xludf.DUMMYFUNCTION("""COMPUTED_VALUE"""),9532.0)</f>
        <v>9532</v>
      </c>
      <c r="I940" s="18">
        <f>IFERROR(__xludf.DUMMYFUNCTION("""COMPUTED_VALUE"""),17.0)</f>
        <v>17</v>
      </c>
      <c r="J940" s="18">
        <f>IFERROR(__xludf.DUMMYFUNCTION("""COMPUTED_VALUE"""),37.0)</f>
        <v>37</v>
      </c>
      <c r="K940" s="18">
        <f>IFERROR(__xludf.DUMMYFUNCTION("""COMPUTED_VALUE"""),28.0)</f>
        <v>28</v>
      </c>
      <c r="L940" s="17">
        <f>IFERROR(__xludf.DUMMYFUNCTION("""COMPUTED_VALUE"""),3.02415322E9)</f>
        <v>3024153220</v>
      </c>
      <c r="M940" s="17" t="str">
        <f>IFERROR(__xludf.DUMMYFUNCTION("""COMPUTED_VALUE"""),"#REF!")</f>
        <v>#REF!</v>
      </c>
      <c r="N940" s="17"/>
      <c r="O940" s="19" t="str">
        <f>IFERROR(__xludf.DUMMYFUNCTION("""COMPUTED_VALUE"""),"")</f>
        <v/>
      </c>
      <c r="P940" s="17" t="b">
        <f>IFERROR(__xludf.DUMMYFUNCTION("""COMPUTED_VALUE"""),TRUE)</f>
        <v>1</v>
      </c>
      <c r="Q940" s="20">
        <f>IFERROR(__xludf.DUMMYFUNCTION("""COMPUTED_VALUE"""),45027.67420046296)</f>
        <v>45027.6742</v>
      </c>
      <c r="R940" s="22" t="str">
        <f>IFERROR(__xludf.DUMMYFUNCTION("""COMPUTED_VALUE"""),"")</f>
        <v/>
      </c>
    </row>
    <row r="941">
      <c r="A941" s="15">
        <f>IFERROR(__xludf.DUMMYFUNCTION("""COMPUTED_VALUE"""),45027.0)</f>
        <v>45027</v>
      </c>
      <c r="B941" s="16" t="str">
        <f>IFERROR(__xludf.DUMMYFUNCTION("""COMPUTED_VALUE"""),"Jhon Anderson Ceballos Hernandez")</f>
        <v>Jhon Anderson Ceballos Hernandez</v>
      </c>
      <c r="C941" s="15" t="str">
        <f>IFERROR(__xludf.DUMMYFUNCTION("""COMPUTED_VALUE"""),"MANIZALES")</f>
        <v>MANIZALES</v>
      </c>
      <c r="D941" s="15" t="str">
        <f>IFERROR(__xludf.DUMMYFUNCTION("""COMPUTED_VALUE"""),"BOGOTÁ")</f>
        <v>BOGOTÁ</v>
      </c>
      <c r="E941" s="15" t="str">
        <f>IFERROR(__xludf.DUMMYFUNCTION("""COMPUTED_VALUE"""),"Evamazzita")</f>
        <v>Evamazzita</v>
      </c>
      <c r="F941" s="17" t="str">
        <f>IFERROR(__xludf.DUMMYFUNCTION("""COMPUTED_VALUE"""),"MANIZALES: CRA 6A No. 10A - 06  /  edificio martha lucia apto 301 / CHIPRE VIEJO")</f>
        <v>MANIZALES: CRA 6A No. 10A - 06  /  edificio martha lucia apto 301 / CHIPRE VIEJO</v>
      </c>
      <c r="G941" s="15" t="str">
        <f>IFERROR(__xludf.DUMMYFUNCTION("""COMPUTED_VALUE"""),"JULIANA GIRALDO")</f>
        <v>JULIANA GIRALDO</v>
      </c>
      <c r="H941" s="16">
        <f>IFERROR(__xludf.DUMMYFUNCTION("""COMPUTED_VALUE"""),9548.0)</f>
        <v>9548</v>
      </c>
      <c r="I941" s="18">
        <f>IFERROR(__xludf.DUMMYFUNCTION("""COMPUTED_VALUE"""),23.0)</f>
        <v>23</v>
      </c>
      <c r="J941" s="18">
        <f>IFERROR(__xludf.DUMMYFUNCTION("""COMPUTED_VALUE"""),26.0)</f>
        <v>26</v>
      </c>
      <c r="K941" s="18">
        <f>IFERROR(__xludf.DUMMYFUNCTION("""COMPUTED_VALUE"""),19.0)</f>
        <v>19</v>
      </c>
      <c r="L941" s="17">
        <f>IFERROR(__xludf.DUMMYFUNCTION("""COMPUTED_VALUE"""),3.02415322E9)</f>
        <v>3024153220</v>
      </c>
      <c r="M941" s="17" t="str">
        <f>IFERROR(__xludf.DUMMYFUNCTION("""COMPUTED_VALUE"""),"#REF!")</f>
        <v>#REF!</v>
      </c>
      <c r="N941" s="17"/>
      <c r="O941" s="19" t="str">
        <f>IFERROR(__xludf.DUMMYFUNCTION("""COMPUTED_VALUE"""),"")</f>
        <v/>
      </c>
      <c r="P941" s="17" t="b">
        <f>IFERROR(__xludf.DUMMYFUNCTION("""COMPUTED_VALUE"""),FALSE)</f>
        <v>0</v>
      </c>
      <c r="Q941" s="20" t="str">
        <f>IFERROR(__xludf.DUMMYFUNCTION("""COMPUTED_VALUE"""),"")</f>
        <v/>
      </c>
      <c r="R941" s="22" t="str">
        <f>IFERROR(__xludf.DUMMYFUNCTION("""COMPUTED_VALUE"""),"")</f>
        <v/>
      </c>
    </row>
    <row r="942">
      <c r="A942" s="15">
        <f>IFERROR(__xludf.DUMMYFUNCTION("""COMPUTED_VALUE"""),45027.0)</f>
        <v>45027</v>
      </c>
      <c r="B942" s="16" t="str">
        <f>IFERROR(__xludf.DUMMYFUNCTION("""COMPUTED_VALUE"""),"Jhon Anderson Ceballos Hernandez")</f>
        <v>Jhon Anderson Ceballos Hernandez</v>
      </c>
      <c r="C942" s="15" t="str">
        <f>IFERROR(__xludf.DUMMYFUNCTION("""COMPUTED_VALUE"""),"TUNJA")</f>
        <v>TUNJA</v>
      </c>
      <c r="D942" s="15" t="str">
        <f>IFERROR(__xludf.DUMMYFUNCTION("""COMPUTED_VALUE"""),"BOGOTÁ")</f>
        <v>BOGOTÁ</v>
      </c>
      <c r="E942" s="15" t="str">
        <f>IFERROR(__xludf.DUMMYFUNCTION("""COMPUTED_VALUE"""),"Evamazzita")</f>
        <v>Evamazzita</v>
      </c>
      <c r="F942" s="17" t="str">
        <f>IFERROR(__xludf.DUMMYFUNCTION("""COMPUTED_VALUE"""),"Cra 10 N 26-84  / N/A / N/A")</f>
        <v>Cra 10 N 26-84  / N/A / N/A</v>
      </c>
      <c r="G942" s="15" t="str">
        <f>IFERROR(__xludf.DUMMYFUNCTION("""COMPUTED_VALUE"""),"SUSSY VIVIAN PEREZ OLAVE")</f>
        <v>SUSSY VIVIAN PEREZ OLAVE</v>
      </c>
      <c r="H942" s="16">
        <f>IFERROR(__xludf.DUMMYFUNCTION("""COMPUTED_VALUE"""),9589.0)</f>
        <v>9589</v>
      </c>
      <c r="I942" s="18">
        <f>IFERROR(__xludf.DUMMYFUNCTION("""COMPUTED_VALUE"""),13.0)</f>
        <v>13</v>
      </c>
      <c r="J942" s="18">
        <f>IFERROR(__xludf.DUMMYFUNCTION("""COMPUTED_VALUE"""),23.0)</f>
        <v>23</v>
      </c>
      <c r="K942" s="18">
        <f>IFERROR(__xludf.DUMMYFUNCTION("""COMPUTED_VALUE"""),26.0)</f>
        <v>26</v>
      </c>
      <c r="L942" s="17">
        <f>IFERROR(__xludf.DUMMYFUNCTION("""COMPUTED_VALUE"""),3.217790723E9)</f>
        <v>3217790723</v>
      </c>
      <c r="M942" s="17" t="str">
        <f>IFERROR(__xludf.DUMMYFUNCTION("""COMPUTED_VALUE"""),"#REF!")</f>
        <v>#REF!</v>
      </c>
      <c r="N942" s="17"/>
      <c r="O942" s="19" t="str">
        <f>IFERROR(__xludf.DUMMYFUNCTION("""COMPUTED_VALUE"""),"")</f>
        <v/>
      </c>
      <c r="P942" s="17" t="b">
        <f>IFERROR(__xludf.DUMMYFUNCTION("""COMPUTED_VALUE"""),FALSE)</f>
        <v>0</v>
      </c>
      <c r="Q942" s="20" t="str">
        <f>IFERROR(__xludf.DUMMYFUNCTION("""COMPUTED_VALUE"""),"")</f>
        <v/>
      </c>
      <c r="R942" s="22" t="str">
        <f>IFERROR(__xludf.DUMMYFUNCTION("""COMPUTED_VALUE"""),"")</f>
        <v/>
      </c>
    </row>
    <row r="943">
      <c r="A943" s="17" t="str">
        <f>IFERROR(__xludf.DUMMYFUNCTION("""COMPUTED_VALUE"""),"")</f>
        <v/>
      </c>
      <c r="B943" s="17" t="str">
        <f>IFERROR(__xludf.DUMMYFUNCTION("""COMPUTED_VALUE"""),"")</f>
        <v/>
      </c>
      <c r="C943" s="17" t="str">
        <f>IFERROR(__xludf.DUMMYFUNCTION("""COMPUTED_VALUE"""),"")</f>
        <v/>
      </c>
      <c r="D943" s="17" t="str">
        <f>IFERROR(__xludf.DUMMYFUNCTION("""COMPUTED_VALUE"""),"")</f>
        <v/>
      </c>
      <c r="E943" s="17" t="str">
        <f>IFERROR(__xludf.DUMMYFUNCTION("""COMPUTED_VALUE"""),"")</f>
        <v/>
      </c>
      <c r="F943" s="17" t="str">
        <f>IFERROR(__xludf.DUMMYFUNCTION("""COMPUTED_VALUE"""),"")</f>
        <v/>
      </c>
      <c r="G943" s="17" t="str">
        <f>IFERROR(__xludf.DUMMYFUNCTION("""COMPUTED_VALUE"""),"")</f>
        <v/>
      </c>
      <c r="H943" s="17" t="str">
        <f>IFERROR(__xludf.DUMMYFUNCTION("""COMPUTED_VALUE"""),"")</f>
        <v/>
      </c>
      <c r="I943" s="17" t="str">
        <f>IFERROR(__xludf.DUMMYFUNCTION("""COMPUTED_VALUE"""),"")</f>
        <v/>
      </c>
      <c r="J943" s="17" t="str">
        <f>IFERROR(__xludf.DUMMYFUNCTION("""COMPUTED_VALUE"""),"")</f>
        <v/>
      </c>
      <c r="K943" s="17" t="str">
        <f>IFERROR(__xludf.DUMMYFUNCTION("""COMPUTED_VALUE"""),"")</f>
        <v/>
      </c>
      <c r="L943" s="17" t="str">
        <f>IFERROR(__xludf.DUMMYFUNCTION("""COMPUTED_VALUE"""),"")</f>
        <v/>
      </c>
      <c r="M943" s="17" t="str">
        <f>IFERROR(__xludf.DUMMYFUNCTION("""COMPUTED_VALUE"""),"")</f>
        <v/>
      </c>
      <c r="N943" s="17" t="str">
        <f>IFERROR(__xludf.DUMMYFUNCTION("""COMPUTED_VALUE"""),"")</f>
        <v/>
      </c>
      <c r="O943" s="17" t="str">
        <f>IFERROR(__xludf.DUMMYFUNCTION("""COMPUTED_VALUE"""),"")</f>
        <v/>
      </c>
      <c r="P943" s="17" t="str">
        <f>IFERROR(__xludf.DUMMYFUNCTION("""COMPUTED_VALUE"""),"")</f>
        <v/>
      </c>
      <c r="Q943" s="17" t="str">
        <f>IFERROR(__xludf.DUMMYFUNCTION("""COMPUTED_VALUE"""),"")</f>
        <v/>
      </c>
      <c r="R943" s="17" t="str">
        <f>IFERROR(__xludf.DUMMYFUNCTION("""COMPUTED_VALUE"""),"")</f>
        <v/>
      </c>
    </row>
    <row r="944">
      <c r="A944" s="15">
        <f>IFERROR(__xludf.DUMMYFUNCTION("""COMPUTED_VALUE"""),45027.0)</f>
        <v>45027</v>
      </c>
      <c r="B944" s="16" t="str">
        <f>IFERROR(__xludf.DUMMYFUNCTION("""COMPUTED_VALUE"""),"Johan Alexander Escobar Arroyo ")</f>
        <v>Johan Alexander Escobar Arroyo </v>
      </c>
      <c r="C944" s="15" t="str">
        <f>IFERROR(__xludf.DUMMYFUNCTION("""COMPUTED_VALUE"""),"CALI")</f>
        <v>CALI</v>
      </c>
      <c r="D944" s="15" t="str">
        <f>IFERROR(__xludf.DUMMYFUNCTION("""COMPUTED_VALUE"""),"BOGOTÁ")</f>
        <v>BOGOTÁ</v>
      </c>
      <c r="E944" s="15" t="str">
        <f>IFERROR(__xludf.DUMMYFUNCTION("""COMPUTED_VALUE"""),"Asociacion Agropecuaria Juana Maria")</f>
        <v>Asociacion Agropecuaria Juana Maria</v>
      </c>
      <c r="F944" s="17" t="str">
        <f>IFERROR(__xludf.DUMMYFUNCTION("""COMPUTED_VALUE"""),"Carrera 17B # 33E-33 La Floresta vieja")</f>
        <v>Carrera 17B # 33E-33 La Floresta vieja</v>
      </c>
      <c r="G944" s="15" t="str">
        <f>IFERROR(__xludf.DUMMYFUNCTION("""COMPUTED_VALUE"""),"Johanna acuña  Molina")</f>
        <v>Johanna acuña  Molina</v>
      </c>
      <c r="H944" s="16">
        <f>IFERROR(__xludf.DUMMYFUNCTION("""COMPUTED_VALUE"""),9527.0)</f>
        <v>9527</v>
      </c>
      <c r="I944" s="18">
        <f>IFERROR(__xludf.DUMMYFUNCTION("""COMPUTED_VALUE"""),10.0)</f>
        <v>10</v>
      </c>
      <c r="J944" s="18">
        <f>IFERROR(__xludf.DUMMYFUNCTION("""COMPUTED_VALUE"""),34.0)</f>
        <v>34</v>
      </c>
      <c r="K944" s="18">
        <f>IFERROR(__xludf.DUMMYFUNCTION("""COMPUTED_VALUE"""),18.0)</f>
        <v>18</v>
      </c>
      <c r="L944" s="17">
        <f>IFERROR(__xludf.DUMMYFUNCTION("""COMPUTED_VALUE"""),3.218700343E9)</f>
        <v>3218700343</v>
      </c>
      <c r="M944" s="17" t="str">
        <f>IFERROR(__xludf.DUMMYFUNCTION("""COMPUTED_VALUE"""),"#REF!")</f>
        <v>#REF!</v>
      </c>
      <c r="N944" s="17"/>
      <c r="O944" s="19" t="str">
        <f>IFERROR(__xludf.DUMMYFUNCTION("""COMPUTED_VALUE"""),"")</f>
        <v/>
      </c>
      <c r="P944" s="17" t="b">
        <f>IFERROR(__xludf.DUMMYFUNCTION("""COMPUTED_VALUE"""),FALSE)</f>
        <v>0</v>
      </c>
      <c r="Q944" s="20" t="str">
        <f>IFERROR(__xludf.DUMMYFUNCTION("""COMPUTED_VALUE"""),"")</f>
        <v/>
      </c>
      <c r="R944" s="22" t="str">
        <f>IFERROR(__xludf.DUMMYFUNCTION("""COMPUTED_VALUE"""),"")</f>
        <v/>
      </c>
    </row>
    <row r="945">
      <c r="A945" s="15">
        <f>IFERROR(__xludf.DUMMYFUNCTION("""COMPUTED_VALUE"""),45027.0)</f>
        <v>45027</v>
      </c>
      <c r="B945" s="16" t="str">
        <f>IFERROR(__xludf.DUMMYFUNCTION("""COMPUTED_VALUE"""),"Johan Alexander Escobar Arroyo ")</f>
        <v>Johan Alexander Escobar Arroyo </v>
      </c>
      <c r="C945" s="15" t="str">
        <f>IFERROR(__xludf.DUMMYFUNCTION("""COMPUTED_VALUE"""),"CALI")</f>
        <v>CALI</v>
      </c>
      <c r="D945" s="15" t="str">
        <f>IFERROR(__xludf.DUMMYFUNCTION("""COMPUTED_VALUE"""),"BOGOTÁ")</f>
        <v>BOGOTÁ</v>
      </c>
      <c r="E945" s="15" t="str">
        <f>IFERROR(__xludf.DUMMYFUNCTION("""COMPUTED_VALUE"""),"Evamazzita")</f>
        <v>Evamazzita</v>
      </c>
      <c r="F945" s="17" t="str">
        <f>IFERROR(__xludf.DUMMYFUNCTION("""COMPUTED_VALUE"""),"CALLE 3 NORTE No. 6N - 67  / BARRIO LLERAS / YUMBO")</f>
        <v>CALLE 3 NORTE No. 6N - 67  / BARRIO LLERAS / YUMBO</v>
      </c>
      <c r="G945" s="15" t="str">
        <f>IFERROR(__xludf.DUMMYFUNCTION("""COMPUTED_VALUE"""),"SARA BEDOYA RESTREPO")</f>
        <v>SARA BEDOYA RESTREPO</v>
      </c>
      <c r="H945" s="16">
        <f>IFERROR(__xludf.DUMMYFUNCTION("""COMPUTED_VALUE"""),9588.0)</f>
        <v>9588</v>
      </c>
      <c r="I945" s="18">
        <f>IFERROR(__xludf.DUMMYFUNCTION("""COMPUTED_VALUE"""),3.0)</f>
        <v>3</v>
      </c>
      <c r="J945" s="18">
        <f>IFERROR(__xludf.DUMMYFUNCTION("""COMPUTED_VALUE"""),15.0)</f>
        <v>15</v>
      </c>
      <c r="K945" s="18">
        <f>IFERROR(__xludf.DUMMYFUNCTION("""COMPUTED_VALUE"""),20.0)</f>
        <v>20</v>
      </c>
      <c r="L945" s="17">
        <f>IFERROR(__xludf.DUMMYFUNCTION("""COMPUTED_VALUE"""),3.108692633E9)</f>
        <v>3108692633</v>
      </c>
      <c r="M945" s="17" t="str">
        <f>IFERROR(__xludf.DUMMYFUNCTION("""COMPUTED_VALUE"""),"#REF!")</f>
        <v>#REF!</v>
      </c>
      <c r="N945" s="17"/>
      <c r="O945" s="19" t="str">
        <f>IFERROR(__xludf.DUMMYFUNCTION("""COMPUTED_VALUE"""),"")</f>
        <v/>
      </c>
      <c r="P945" s="17" t="b">
        <f>IFERROR(__xludf.DUMMYFUNCTION("""COMPUTED_VALUE"""),FALSE)</f>
        <v>0</v>
      </c>
      <c r="Q945" s="20" t="str">
        <f>IFERROR(__xludf.DUMMYFUNCTION("""COMPUTED_VALUE"""),"")</f>
        <v/>
      </c>
      <c r="R945" s="22" t="str">
        <f>IFERROR(__xludf.DUMMYFUNCTION("""COMPUTED_VALUE"""),"")</f>
        <v/>
      </c>
    </row>
    <row r="946">
      <c r="A946" s="15">
        <f>IFERROR(__xludf.DUMMYFUNCTION("""COMPUTED_VALUE"""),45027.0)</f>
        <v>45027</v>
      </c>
      <c r="B946" s="16" t="str">
        <f>IFERROR(__xludf.DUMMYFUNCTION("""COMPUTED_VALUE"""),"Johan Alexander Escobar Arroyo ")</f>
        <v>Johan Alexander Escobar Arroyo </v>
      </c>
      <c r="C946" s="15" t="str">
        <f>IFERROR(__xludf.DUMMYFUNCTION("""COMPUTED_VALUE"""),"CALI")</f>
        <v>CALI</v>
      </c>
      <c r="D946" s="15" t="str">
        <f>IFERROR(__xludf.DUMMYFUNCTION("""COMPUTED_VALUE"""),"BOGOTÁ")</f>
        <v>BOGOTÁ</v>
      </c>
      <c r="E946" s="15" t="str">
        <f>IFERROR(__xludf.DUMMYFUNCTION("""COMPUTED_VALUE"""),"Evamazzita")</f>
        <v>Evamazzita</v>
      </c>
      <c r="F946" s="17" t="str">
        <f>IFERROR(__xludf.DUMMYFUNCTION("""COMPUTED_VALUE"""),"CALLE 37A NORTE No. 4N - 22  /  (CASA A LA CALLE) / LA FLORA")</f>
        <v>CALLE 37A NORTE No. 4N - 22  /  (CASA A LA CALLE) / LA FLORA</v>
      </c>
      <c r="G946" s="15" t="str">
        <f>IFERROR(__xludf.DUMMYFUNCTION("""COMPUTED_VALUE"""),"VANESSA ERAZO ROJAS")</f>
        <v>VANESSA ERAZO ROJAS</v>
      </c>
      <c r="H946" s="16">
        <f>IFERROR(__xludf.DUMMYFUNCTION("""COMPUTED_VALUE"""),9585.0)</f>
        <v>9585</v>
      </c>
      <c r="I946" s="18">
        <f>IFERROR(__xludf.DUMMYFUNCTION("""COMPUTED_VALUE"""),3.0)</f>
        <v>3</v>
      </c>
      <c r="J946" s="18">
        <f>IFERROR(__xludf.DUMMYFUNCTION("""COMPUTED_VALUE"""),20.0)</f>
        <v>20</v>
      </c>
      <c r="K946" s="18">
        <f>IFERROR(__xludf.DUMMYFUNCTION("""COMPUTED_VALUE"""),15.0)</f>
        <v>15</v>
      </c>
      <c r="L946" s="17">
        <f>IFERROR(__xludf.DUMMYFUNCTION("""COMPUTED_VALUE"""),3.11671249E9)</f>
        <v>3116712490</v>
      </c>
      <c r="M946" s="17" t="str">
        <f>IFERROR(__xludf.DUMMYFUNCTION("""COMPUTED_VALUE"""),"#REF!")</f>
        <v>#REF!</v>
      </c>
      <c r="N946" s="17"/>
      <c r="O946" s="19" t="str">
        <f>IFERROR(__xludf.DUMMYFUNCTION("""COMPUTED_VALUE"""),"")</f>
        <v/>
      </c>
      <c r="P946" s="17" t="b">
        <f>IFERROR(__xludf.DUMMYFUNCTION("""COMPUTED_VALUE"""),FALSE)</f>
        <v>0</v>
      </c>
      <c r="Q946" s="20" t="str">
        <f>IFERROR(__xludf.DUMMYFUNCTION("""COMPUTED_VALUE"""),"")</f>
        <v/>
      </c>
      <c r="R946" s="22" t="str">
        <f>IFERROR(__xludf.DUMMYFUNCTION("""COMPUTED_VALUE"""),"")</f>
        <v/>
      </c>
    </row>
    <row r="947">
      <c r="A947" s="15">
        <f>IFERROR(__xludf.DUMMYFUNCTION("""COMPUTED_VALUE"""),45027.0)</f>
        <v>45027</v>
      </c>
      <c r="B947" s="16" t="str">
        <f>IFERROR(__xludf.DUMMYFUNCTION("""COMPUTED_VALUE"""),"Johan Alexander Escobar Arroyo ")</f>
        <v>Johan Alexander Escobar Arroyo </v>
      </c>
      <c r="C947" s="15" t="str">
        <f>IFERROR(__xludf.DUMMYFUNCTION("""COMPUTED_VALUE"""),"CALI")</f>
        <v>CALI</v>
      </c>
      <c r="D947" s="15" t="str">
        <f>IFERROR(__xludf.DUMMYFUNCTION("""COMPUTED_VALUE"""),"BOGOTÁ")</f>
        <v>BOGOTÁ</v>
      </c>
      <c r="E947" s="15" t="str">
        <f>IFERROR(__xludf.DUMMYFUNCTION("""COMPUTED_VALUE"""),"Evamazzita")</f>
        <v>Evamazzita</v>
      </c>
      <c r="F947" s="17" t="str">
        <f>IFERROR(__xludf.DUMMYFUNCTION("""COMPUTED_VALUE"""),"CRA 102 No.  45 - 45  / N/A / VALLE DEL LILI")</f>
        <v>CRA 102 No.  45 - 45  / N/A / VALLE DEL LILI</v>
      </c>
      <c r="G947" s="15" t="str">
        <f>IFERROR(__xludf.DUMMYFUNCTION("""COMPUTED_VALUE"""),"MONICA ALEJANDRA HERNANDEZ CASAÑAS")</f>
        <v>MONICA ALEJANDRA HERNANDEZ CASAÑAS</v>
      </c>
      <c r="H947" s="16">
        <f>IFERROR(__xludf.DUMMYFUNCTION("""COMPUTED_VALUE"""),9584.0)</f>
        <v>9584</v>
      </c>
      <c r="I947" s="18">
        <f>IFERROR(__xludf.DUMMYFUNCTION("""COMPUTED_VALUE"""),3.0)</f>
        <v>3</v>
      </c>
      <c r="J947" s="18">
        <f>IFERROR(__xludf.DUMMYFUNCTION("""COMPUTED_VALUE"""),20.0)</f>
        <v>20</v>
      </c>
      <c r="K947" s="18">
        <f>IFERROR(__xludf.DUMMYFUNCTION("""COMPUTED_VALUE"""),15.0)</f>
        <v>15</v>
      </c>
      <c r="L947" s="17">
        <f>IFERROR(__xludf.DUMMYFUNCTION("""COMPUTED_VALUE"""),3.017844037E9)</f>
        <v>3017844037</v>
      </c>
      <c r="M947" s="17" t="str">
        <f>IFERROR(__xludf.DUMMYFUNCTION("""COMPUTED_VALUE"""),"#REF!")</f>
        <v>#REF!</v>
      </c>
      <c r="N947" s="17"/>
      <c r="O947" s="19" t="str">
        <f>IFERROR(__xludf.DUMMYFUNCTION("""COMPUTED_VALUE"""),"")</f>
        <v/>
      </c>
      <c r="P947" s="17" t="b">
        <f>IFERROR(__xludf.DUMMYFUNCTION("""COMPUTED_VALUE"""),FALSE)</f>
        <v>0</v>
      </c>
      <c r="Q947" s="20" t="str">
        <f>IFERROR(__xludf.DUMMYFUNCTION("""COMPUTED_VALUE"""),"")</f>
        <v/>
      </c>
      <c r="R947" s="22" t="str">
        <f>IFERROR(__xludf.DUMMYFUNCTION("""COMPUTED_VALUE"""),"")</f>
        <v/>
      </c>
    </row>
    <row r="948">
      <c r="A948" s="15">
        <f>IFERROR(__xludf.DUMMYFUNCTION("""COMPUTED_VALUE"""),45027.0)</f>
        <v>45027</v>
      </c>
      <c r="B948" s="16" t="str">
        <f>IFERROR(__xludf.DUMMYFUNCTION("""COMPUTED_VALUE"""),"Johan Alexander Escobar Arroyo ")</f>
        <v>Johan Alexander Escobar Arroyo </v>
      </c>
      <c r="C948" s="15" t="str">
        <f>IFERROR(__xludf.DUMMYFUNCTION("""COMPUTED_VALUE"""),"CALI")</f>
        <v>CALI</v>
      </c>
      <c r="D948" s="15" t="str">
        <f>IFERROR(__xludf.DUMMYFUNCTION("""COMPUTED_VALUE"""),"BOGOTÁ")</f>
        <v>BOGOTÁ</v>
      </c>
      <c r="E948" s="15" t="str">
        <f>IFERROR(__xludf.DUMMYFUNCTION("""COMPUTED_VALUE"""),"Evamazzita")</f>
        <v>Evamazzita</v>
      </c>
      <c r="F948" s="17" t="str">
        <f>IFERROR(__xludf.DUMMYFUNCTION("""COMPUTED_VALUE"""),"ENTREGAR DESPUES DE LAS 2PM CRA 80 No. 5 -220  / VALLE DE LA FERIA 3 APTO 218     / ENTREGAR DESPUES DE LAS 2PM")</f>
        <v>ENTREGAR DESPUES DE LAS 2PM CRA 80 No. 5 -220  / VALLE DE LA FERIA 3 APTO 218     / ENTREGAR DESPUES DE LAS 2PM</v>
      </c>
      <c r="G948" s="15" t="str">
        <f>IFERROR(__xludf.DUMMYFUNCTION("""COMPUTED_VALUE"""),"NATALI CORRALES")</f>
        <v>NATALI CORRALES</v>
      </c>
      <c r="H948" s="16">
        <f>IFERROR(__xludf.DUMMYFUNCTION("""COMPUTED_VALUE"""),9587.0)</f>
        <v>9587</v>
      </c>
      <c r="I948" s="18">
        <f>IFERROR(__xludf.DUMMYFUNCTION("""COMPUTED_VALUE"""),3.0)</f>
        <v>3</v>
      </c>
      <c r="J948" s="18">
        <f>IFERROR(__xludf.DUMMYFUNCTION("""COMPUTED_VALUE"""),20.0)</f>
        <v>20</v>
      </c>
      <c r="K948" s="18">
        <f>IFERROR(__xludf.DUMMYFUNCTION("""COMPUTED_VALUE"""),15.0)</f>
        <v>15</v>
      </c>
      <c r="L948" s="17">
        <f>IFERROR(__xludf.DUMMYFUNCTION("""COMPUTED_VALUE"""),3.128518205E9)</f>
        <v>3128518205</v>
      </c>
      <c r="M948" s="17" t="str">
        <f>IFERROR(__xludf.DUMMYFUNCTION("""COMPUTED_VALUE"""),"#REF!")</f>
        <v>#REF!</v>
      </c>
      <c r="N948" s="17"/>
      <c r="O948" s="19" t="str">
        <f>IFERROR(__xludf.DUMMYFUNCTION("""COMPUTED_VALUE"""),"")</f>
        <v/>
      </c>
      <c r="P948" s="17" t="b">
        <f>IFERROR(__xludf.DUMMYFUNCTION("""COMPUTED_VALUE"""),FALSE)</f>
        <v>0</v>
      </c>
      <c r="Q948" s="20" t="str">
        <f>IFERROR(__xludf.DUMMYFUNCTION("""COMPUTED_VALUE"""),"")</f>
        <v/>
      </c>
      <c r="R948" s="22" t="str">
        <f>IFERROR(__xludf.DUMMYFUNCTION("""COMPUTED_VALUE"""),"")</f>
        <v/>
      </c>
    </row>
    <row r="949">
      <c r="A949" s="15">
        <f>IFERROR(__xludf.DUMMYFUNCTION("""COMPUTED_VALUE"""),45027.0)</f>
        <v>45027</v>
      </c>
      <c r="B949" s="16" t="str">
        <f>IFERROR(__xludf.DUMMYFUNCTION("""COMPUTED_VALUE"""),"Johan Alexander Escobar Arroyo ")</f>
        <v>Johan Alexander Escobar Arroyo </v>
      </c>
      <c r="C949" s="15" t="str">
        <f>IFERROR(__xludf.DUMMYFUNCTION("""COMPUTED_VALUE"""),"CALI")</f>
        <v>CALI</v>
      </c>
      <c r="D949" s="15" t="str">
        <f>IFERROR(__xludf.DUMMYFUNCTION("""COMPUTED_VALUE"""),"BOGOTÁ")</f>
        <v>BOGOTÁ</v>
      </c>
      <c r="E949" s="15" t="str">
        <f>IFERROR(__xludf.DUMMYFUNCTION("""COMPUTED_VALUE"""),"Ins. Alimento Vital")</f>
        <v>Ins. Alimento Vital</v>
      </c>
      <c r="F949" s="17" t="str">
        <f>IFERROR(__xludf.DUMMYFUNCTION("""COMPUTED_VALUE"""),"CL 34N 2BN 33 / BODEGA / SAN VICENTE")</f>
        <v>CL 34N 2BN 33 / BODEGA / SAN VICENTE</v>
      </c>
      <c r="G949" s="15" t="str">
        <f>IFERROR(__xludf.DUMMYFUNCTION("""COMPUTED_VALUE"""),"VELOCITY")</f>
        <v>VELOCITY</v>
      </c>
      <c r="H949" s="16">
        <f>IFERROR(__xludf.DUMMYFUNCTION("""COMPUTED_VALUE"""),9575.0)</f>
        <v>9575</v>
      </c>
      <c r="I949" s="18">
        <f>IFERROR(__xludf.DUMMYFUNCTION("""COMPUTED_VALUE"""),55.0)</f>
        <v>55</v>
      </c>
      <c r="J949" s="18">
        <f>IFERROR(__xludf.DUMMYFUNCTION("""COMPUTED_VALUE"""),45.0)</f>
        <v>45</v>
      </c>
      <c r="K949" s="18" t="str">
        <f>IFERROR(__xludf.DUMMYFUNCTION("""COMPUTED_VALUE"""),"52.5")</f>
        <v>52.5</v>
      </c>
      <c r="L949" s="17">
        <f>IFERROR(__xludf.DUMMYFUNCTION("""COMPUTED_VALUE"""),3.117591055E9)</f>
        <v>3117591055</v>
      </c>
      <c r="M949" s="17" t="str">
        <f>IFERROR(__xludf.DUMMYFUNCTION("""COMPUTED_VALUE"""),"#REF!")</f>
        <v>#REF!</v>
      </c>
      <c r="N949" s="17"/>
      <c r="O949" s="19" t="str">
        <f>IFERROR(__xludf.DUMMYFUNCTION("""COMPUTED_VALUE"""),"")</f>
        <v/>
      </c>
      <c r="P949" s="17" t="b">
        <f>IFERROR(__xludf.DUMMYFUNCTION("""COMPUTED_VALUE"""),FALSE)</f>
        <v>0</v>
      </c>
      <c r="Q949" s="20" t="str">
        <f>IFERROR(__xludf.DUMMYFUNCTION("""COMPUTED_VALUE"""),"")</f>
        <v/>
      </c>
      <c r="R949" s="22" t="str">
        <f>IFERROR(__xludf.DUMMYFUNCTION("""COMPUTED_VALUE"""),"")</f>
        <v/>
      </c>
    </row>
    <row r="950">
      <c r="A950" s="15">
        <f>IFERROR(__xludf.DUMMYFUNCTION("""COMPUTED_VALUE"""),45027.0)</f>
        <v>45027</v>
      </c>
      <c r="B950" s="16" t="str">
        <f>IFERROR(__xludf.DUMMYFUNCTION("""COMPUTED_VALUE"""),"Johan Alexander Escobar Arroyo ")</f>
        <v>Johan Alexander Escobar Arroyo </v>
      </c>
      <c r="C950" s="15" t="str">
        <f>IFERROR(__xludf.DUMMYFUNCTION("""COMPUTED_VALUE"""),"IBAGUÉ")</f>
        <v>IBAGUÉ</v>
      </c>
      <c r="D950" s="15" t="str">
        <f>IFERROR(__xludf.DUMMYFUNCTION("""COMPUTED_VALUE"""),"MEDELLÍN")</f>
        <v>MEDELLÍN</v>
      </c>
      <c r="E950" s="15" t="str">
        <f>IFERROR(__xludf.DUMMYFUNCTION("""COMPUTED_VALUE"""),"Rambla")</f>
        <v>Rambla</v>
      </c>
      <c r="F950" s="17" t="str">
        <f>IFERROR(__xludf.DUMMYFUNCTION("""COMPUTED_VALUE"""),"Cra 14 #75A-29 local 5 estancia del vergel ibague - Tolima / na / na")</f>
        <v>Cra 14 #75A-29 local 5 estancia del vergel ibague - Tolima / na / na</v>
      </c>
      <c r="G950" s="15" t="str">
        <f>IFERROR(__xludf.DUMMYFUNCTION("""COMPUTED_VALUE"""),"Soy natural market fit")</f>
        <v>Soy natural market fit</v>
      </c>
      <c r="H950" s="16">
        <f>IFERROR(__xludf.DUMMYFUNCTION("""COMPUTED_VALUE"""),9573.0)</f>
        <v>9573</v>
      </c>
      <c r="I950" s="18">
        <f>IFERROR(__xludf.DUMMYFUNCTION("""COMPUTED_VALUE"""),21.0)</f>
        <v>21</v>
      </c>
      <c r="J950" s="18">
        <f>IFERROR(__xludf.DUMMYFUNCTION("""COMPUTED_VALUE"""),24.0)</f>
        <v>24</v>
      </c>
      <c r="K950" s="18">
        <f>IFERROR(__xludf.DUMMYFUNCTION("""COMPUTED_VALUE"""),26.0)</f>
        <v>26</v>
      </c>
      <c r="L950" s="17">
        <f>IFERROR(__xludf.DUMMYFUNCTION("""COMPUTED_VALUE"""),3.177002909E9)</f>
        <v>3177002909</v>
      </c>
      <c r="M950" s="17" t="str">
        <f>IFERROR(__xludf.DUMMYFUNCTION("""COMPUTED_VALUE"""),"#REF!")</f>
        <v>#REF!</v>
      </c>
      <c r="N950" s="17"/>
      <c r="O950" s="19" t="str">
        <f>IFERROR(__xludf.DUMMYFUNCTION("""COMPUTED_VALUE"""),"")</f>
        <v/>
      </c>
      <c r="P950" s="17" t="b">
        <f>IFERROR(__xludf.DUMMYFUNCTION("""COMPUTED_VALUE"""),FALSE)</f>
        <v>0</v>
      </c>
      <c r="Q950" s="20" t="str">
        <f>IFERROR(__xludf.DUMMYFUNCTION("""COMPUTED_VALUE"""),"")</f>
        <v/>
      </c>
      <c r="R950" s="22" t="str">
        <f>IFERROR(__xludf.DUMMYFUNCTION("""COMPUTED_VALUE"""),"")</f>
        <v/>
      </c>
    </row>
    <row r="951">
      <c r="A951" s="17" t="str">
        <f>IFERROR(__xludf.DUMMYFUNCTION("""COMPUTED_VALUE"""),"")</f>
        <v/>
      </c>
      <c r="B951" s="17" t="str">
        <f>IFERROR(__xludf.DUMMYFUNCTION("""COMPUTED_VALUE"""),"")</f>
        <v/>
      </c>
      <c r="C951" s="17" t="str">
        <f>IFERROR(__xludf.DUMMYFUNCTION("""COMPUTED_VALUE"""),"")</f>
        <v/>
      </c>
      <c r="D951" s="17" t="str">
        <f>IFERROR(__xludf.DUMMYFUNCTION("""COMPUTED_VALUE"""),"")</f>
        <v/>
      </c>
      <c r="E951" s="17" t="str">
        <f>IFERROR(__xludf.DUMMYFUNCTION("""COMPUTED_VALUE"""),"")</f>
        <v/>
      </c>
      <c r="F951" s="17" t="str">
        <f>IFERROR(__xludf.DUMMYFUNCTION("""COMPUTED_VALUE"""),"")</f>
        <v/>
      </c>
      <c r="G951" s="17" t="str">
        <f>IFERROR(__xludf.DUMMYFUNCTION("""COMPUTED_VALUE"""),"")</f>
        <v/>
      </c>
      <c r="H951" s="17" t="str">
        <f>IFERROR(__xludf.DUMMYFUNCTION("""COMPUTED_VALUE"""),"")</f>
        <v/>
      </c>
      <c r="I951" s="17" t="str">
        <f>IFERROR(__xludf.DUMMYFUNCTION("""COMPUTED_VALUE"""),"")</f>
        <v/>
      </c>
      <c r="J951" s="17" t="str">
        <f>IFERROR(__xludf.DUMMYFUNCTION("""COMPUTED_VALUE"""),"")</f>
        <v/>
      </c>
      <c r="K951" s="17" t="str">
        <f>IFERROR(__xludf.DUMMYFUNCTION("""COMPUTED_VALUE"""),"")</f>
        <v/>
      </c>
      <c r="L951" s="17" t="str">
        <f>IFERROR(__xludf.DUMMYFUNCTION("""COMPUTED_VALUE"""),"")</f>
        <v/>
      </c>
      <c r="M951" s="17" t="str">
        <f>IFERROR(__xludf.DUMMYFUNCTION("""COMPUTED_VALUE"""),"")</f>
        <v/>
      </c>
      <c r="N951" s="17" t="str">
        <f>IFERROR(__xludf.DUMMYFUNCTION("""COMPUTED_VALUE"""),"")</f>
        <v/>
      </c>
      <c r="O951" s="17" t="str">
        <f>IFERROR(__xludf.DUMMYFUNCTION("""COMPUTED_VALUE"""),"")</f>
        <v/>
      </c>
      <c r="P951" s="17" t="str">
        <f>IFERROR(__xludf.DUMMYFUNCTION("""COMPUTED_VALUE"""),"")</f>
        <v/>
      </c>
      <c r="Q951" s="17" t="str">
        <f>IFERROR(__xludf.DUMMYFUNCTION("""COMPUTED_VALUE"""),"")</f>
        <v/>
      </c>
      <c r="R951" s="17" t="str">
        <f>IFERROR(__xludf.DUMMYFUNCTION("""COMPUTED_VALUE"""),"")</f>
        <v/>
      </c>
    </row>
    <row r="952">
      <c r="A952" s="15">
        <f>IFERROR(__xludf.DUMMYFUNCTION("""COMPUTED_VALUE"""),45027.0)</f>
        <v>45027</v>
      </c>
      <c r="B952" s="16" t="str">
        <f>IFERROR(__xludf.DUMMYFUNCTION("""COMPUTED_VALUE"""),"Jonathan Steven Taborda")</f>
        <v>Jonathan Steven Taborda</v>
      </c>
      <c r="C952" s="15" t="str">
        <f>IFERROR(__xludf.DUMMYFUNCTION("""COMPUTED_VALUE"""),"ARMENIA")</f>
        <v>ARMENIA</v>
      </c>
      <c r="D952" s="15" t="str">
        <f>IFERROR(__xludf.DUMMYFUNCTION("""COMPUTED_VALUE"""),"BOGOTÁ")</f>
        <v>BOGOTÁ</v>
      </c>
      <c r="E952" s="15" t="str">
        <f>IFERROR(__xludf.DUMMYFUNCTION("""COMPUTED_VALUE"""),"Evamazzita")</f>
        <v>Evamazzita</v>
      </c>
      <c r="F952" s="17" t="str">
        <f>IFERROR(__xludf.DUMMYFUNCTION("""COMPUTED_VALUE"""),"CALLE 30 # 30 - 11  / N/A / BARRIO QUINDÍO")</f>
        <v>CALLE 30 # 30 - 11  / N/A / BARRIO QUINDÍO</v>
      </c>
      <c r="G952" s="15" t="str">
        <f>IFERROR(__xludf.DUMMYFUNCTION("""COMPUTED_VALUE"""),"YORMARY JIMENEZ")</f>
        <v>YORMARY JIMENEZ</v>
      </c>
      <c r="H952" s="16">
        <f>IFERROR(__xludf.DUMMYFUNCTION("""COMPUTED_VALUE"""),9547.0)</f>
        <v>9547</v>
      </c>
      <c r="I952" s="18">
        <f>IFERROR(__xludf.DUMMYFUNCTION("""COMPUTED_VALUE"""),18.0)</f>
        <v>18</v>
      </c>
      <c r="J952" s="18">
        <f>IFERROR(__xludf.DUMMYFUNCTION("""COMPUTED_VALUE"""),26.0)</f>
        <v>26</v>
      </c>
      <c r="K952" s="18">
        <f>IFERROR(__xludf.DUMMYFUNCTION("""COMPUTED_VALUE"""),19.0)</f>
        <v>19</v>
      </c>
      <c r="L952" s="17">
        <f>IFERROR(__xludf.DUMMYFUNCTION("""COMPUTED_VALUE"""),3.113196178E9)</f>
        <v>3113196178</v>
      </c>
      <c r="M952" s="17" t="str">
        <f>IFERROR(__xludf.DUMMYFUNCTION("""COMPUTED_VALUE"""),"#REF!")</f>
        <v>#REF!</v>
      </c>
      <c r="N952" s="17"/>
      <c r="O952" s="19" t="str">
        <f>IFERROR(__xludf.DUMMYFUNCTION("""COMPUTED_VALUE"""),"")</f>
        <v/>
      </c>
      <c r="P952" s="17" t="b">
        <f>IFERROR(__xludf.DUMMYFUNCTION("""COMPUTED_VALUE"""),TRUE)</f>
        <v>1</v>
      </c>
      <c r="Q952" s="20">
        <f>IFERROR(__xludf.DUMMYFUNCTION("""COMPUTED_VALUE"""),45027.68211628472)</f>
        <v>45027.68212</v>
      </c>
      <c r="R952" s="22" t="str">
        <f>IFERROR(__xludf.DUMMYFUNCTION("""COMPUTED_VALUE"""),"")</f>
        <v/>
      </c>
    </row>
    <row r="953">
      <c r="A953" s="15">
        <f>IFERROR(__xludf.DUMMYFUNCTION("""COMPUTED_VALUE"""),45027.0)</f>
        <v>45027</v>
      </c>
      <c r="B953" s="16" t="str">
        <f>IFERROR(__xludf.DUMMYFUNCTION("""COMPUTED_VALUE"""),"Jonathan Steven Taborda")</f>
        <v>Jonathan Steven Taborda</v>
      </c>
      <c r="C953" s="15" t="str">
        <f>IFERROR(__xludf.DUMMYFUNCTION("""COMPUTED_VALUE"""),"ARMENIA")</f>
        <v>ARMENIA</v>
      </c>
      <c r="D953" s="15" t="str">
        <f>IFERROR(__xludf.DUMMYFUNCTION("""COMPUTED_VALUE"""),"BOGOTÁ")</f>
        <v>BOGOTÁ</v>
      </c>
      <c r="E953" s="15" t="str">
        <f>IFERROR(__xludf.DUMMYFUNCTION("""COMPUTED_VALUE"""),"Ins. Alimento Vital")</f>
        <v>Ins. Alimento Vital</v>
      </c>
      <c r="F953" s="17" t="str">
        <f>IFERROR(__xludf.DUMMYFUNCTION("""COMPUTED_VALUE"""),"CL 19 # 18-09 / AT 401 CENTRO / CENTRO")</f>
        <v>CL 19 # 18-09 / AT 401 CENTRO / CENTRO</v>
      </c>
      <c r="G953" s="15" t="str">
        <f>IFERROR(__xludf.DUMMYFUNCTION("""COMPUTED_VALUE"""),"ZOERIA VILLADA RIOS")</f>
        <v>ZOERIA VILLADA RIOS</v>
      </c>
      <c r="H953" s="16">
        <f>IFERROR(__xludf.DUMMYFUNCTION("""COMPUTED_VALUE"""),9541.0)</f>
        <v>9541</v>
      </c>
      <c r="I953" s="18">
        <f>IFERROR(__xludf.DUMMYFUNCTION("""COMPUTED_VALUE"""),100.0)</f>
        <v>100</v>
      </c>
      <c r="J953" s="18">
        <f>IFERROR(__xludf.DUMMYFUNCTION("""COMPUTED_VALUE"""),10.0)</f>
        <v>10</v>
      </c>
      <c r="K953" s="18">
        <f>IFERROR(__xludf.DUMMYFUNCTION("""COMPUTED_VALUE"""),8.0)</f>
        <v>8</v>
      </c>
      <c r="L953" s="17">
        <f>IFERROR(__xludf.DUMMYFUNCTION("""COMPUTED_VALUE"""),3.017498398E9)</f>
        <v>3017498398</v>
      </c>
      <c r="M953" s="17" t="str">
        <f>IFERROR(__xludf.DUMMYFUNCTION("""COMPUTED_VALUE"""),"#REF!")</f>
        <v>#REF!</v>
      </c>
      <c r="N953" s="17"/>
      <c r="O953" s="19" t="str">
        <f>IFERROR(__xludf.DUMMYFUNCTION("""COMPUTED_VALUE"""),"")</f>
        <v/>
      </c>
      <c r="P953" s="17" t="b">
        <f>IFERROR(__xludf.DUMMYFUNCTION("""COMPUTED_VALUE"""),TRUE)</f>
        <v>1</v>
      </c>
      <c r="Q953" s="20">
        <f>IFERROR(__xludf.DUMMYFUNCTION("""COMPUTED_VALUE"""),45029.32976443287)</f>
        <v>45029.32976</v>
      </c>
      <c r="R953" s="22" t="str">
        <f>IFERROR(__xludf.DUMMYFUNCTION("""COMPUTED_VALUE"""),"")</f>
        <v/>
      </c>
    </row>
    <row r="954">
      <c r="A954" s="15">
        <f>IFERROR(__xludf.DUMMYFUNCTION("""COMPUTED_VALUE"""),45027.0)</f>
        <v>45027</v>
      </c>
      <c r="B954" s="16" t="str">
        <f>IFERROR(__xludf.DUMMYFUNCTION("""COMPUTED_VALUE"""),"Jonathan Steven Taborda")</f>
        <v>Jonathan Steven Taborda</v>
      </c>
      <c r="C954" s="15" t="str">
        <f>IFERROR(__xludf.DUMMYFUNCTION("""COMPUTED_VALUE"""),"MANIZALES")</f>
        <v>MANIZALES</v>
      </c>
      <c r="D954" s="15" t="str">
        <f>IFERROR(__xludf.DUMMYFUNCTION("""COMPUTED_VALUE"""),"MEDELLÍN")</f>
        <v>MEDELLÍN</v>
      </c>
      <c r="E954" s="15" t="str">
        <f>IFERROR(__xludf.DUMMYFUNCTION("""COMPUTED_VALUE"""),"Todo Bufala")</f>
        <v>Todo Bufala</v>
      </c>
      <c r="F954" s="17" t="str">
        <f>IFERROR(__xludf.DUMMYFUNCTION("""COMPUTED_VALUE"""),"Call 66 23b-11 / Edifico calle larga, local 5c")</f>
        <v>Call 66 23b-11 / Edifico calle larga, local 5c</v>
      </c>
      <c r="G954" s="15" t="str">
        <f>IFERROR(__xludf.DUMMYFUNCTION("""COMPUTED_VALUE"""),"Sebastian Perez")</f>
        <v>Sebastian Perez</v>
      </c>
      <c r="H954" s="16">
        <f>IFERROR(__xludf.DUMMYFUNCTION("""COMPUTED_VALUE"""),9540.0)</f>
        <v>9540</v>
      </c>
      <c r="I954" s="18">
        <f>IFERROR(__xludf.DUMMYFUNCTION("""COMPUTED_VALUE"""),40.0)</f>
        <v>40</v>
      </c>
      <c r="J954" s="18">
        <f>IFERROR(__xludf.DUMMYFUNCTION("""COMPUTED_VALUE"""),30.0)</f>
        <v>30</v>
      </c>
      <c r="K954" s="18">
        <f>IFERROR(__xludf.DUMMYFUNCTION("""COMPUTED_VALUE"""),20.0)</f>
        <v>20</v>
      </c>
      <c r="L954" s="17"/>
      <c r="M954" s="17" t="str">
        <f>IFERROR(__xludf.DUMMYFUNCTION("""COMPUTED_VALUE"""),"#REF!")</f>
        <v>#REF!</v>
      </c>
      <c r="N954" s="17"/>
      <c r="O954" s="19" t="str">
        <f>IFERROR(__xludf.DUMMYFUNCTION("""COMPUTED_VALUE"""),"")</f>
        <v/>
      </c>
      <c r="P954" s="17" t="b">
        <f>IFERROR(__xludf.DUMMYFUNCTION("""COMPUTED_VALUE"""),FALSE)</f>
        <v>0</v>
      </c>
      <c r="Q954" s="20" t="str">
        <f>IFERROR(__xludf.DUMMYFUNCTION("""COMPUTED_VALUE"""),"")</f>
        <v/>
      </c>
      <c r="R954" s="22" t="str">
        <f>IFERROR(__xludf.DUMMYFUNCTION("""COMPUTED_VALUE"""),"")</f>
        <v/>
      </c>
    </row>
    <row r="955">
      <c r="A955" s="17" t="str">
        <f>IFERROR(__xludf.DUMMYFUNCTION("""COMPUTED_VALUE"""),"")</f>
        <v/>
      </c>
      <c r="B955" s="17" t="str">
        <f>IFERROR(__xludf.DUMMYFUNCTION("""COMPUTED_VALUE"""),"")</f>
        <v/>
      </c>
      <c r="C955" s="17" t="str">
        <f>IFERROR(__xludf.DUMMYFUNCTION("""COMPUTED_VALUE"""),"")</f>
        <v/>
      </c>
      <c r="D955" s="17" t="str">
        <f>IFERROR(__xludf.DUMMYFUNCTION("""COMPUTED_VALUE"""),"")</f>
        <v/>
      </c>
      <c r="E955" s="17" t="str">
        <f>IFERROR(__xludf.DUMMYFUNCTION("""COMPUTED_VALUE"""),"")</f>
        <v/>
      </c>
      <c r="F955" s="17" t="str">
        <f>IFERROR(__xludf.DUMMYFUNCTION("""COMPUTED_VALUE"""),"")</f>
        <v/>
      </c>
      <c r="G955" s="17" t="str">
        <f>IFERROR(__xludf.DUMMYFUNCTION("""COMPUTED_VALUE"""),"")</f>
        <v/>
      </c>
      <c r="H955" s="17" t="str">
        <f>IFERROR(__xludf.DUMMYFUNCTION("""COMPUTED_VALUE"""),"")</f>
        <v/>
      </c>
      <c r="I955" s="17" t="str">
        <f>IFERROR(__xludf.DUMMYFUNCTION("""COMPUTED_VALUE"""),"")</f>
        <v/>
      </c>
      <c r="J955" s="17" t="str">
        <f>IFERROR(__xludf.DUMMYFUNCTION("""COMPUTED_VALUE"""),"")</f>
        <v/>
      </c>
      <c r="K955" s="17" t="str">
        <f>IFERROR(__xludf.DUMMYFUNCTION("""COMPUTED_VALUE"""),"")</f>
        <v/>
      </c>
      <c r="L955" s="17" t="str">
        <f>IFERROR(__xludf.DUMMYFUNCTION("""COMPUTED_VALUE"""),"")</f>
        <v/>
      </c>
      <c r="M955" s="17" t="str">
        <f>IFERROR(__xludf.DUMMYFUNCTION("""COMPUTED_VALUE"""),"")</f>
        <v/>
      </c>
      <c r="N955" s="17" t="str">
        <f>IFERROR(__xludf.DUMMYFUNCTION("""COMPUTED_VALUE"""),"")</f>
        <v/>
      </c>
      <c r="O955" s="17" t="str">
        <f>IFERROR(__xludf.DUMMYFUNCTION("""COMPUTED_VALUE"""),"")</f>
        <v/>
      </c>
      <c r="P955" s="17" t="str">
        <f>IFERROR(__xludf.DUMMYFUNCTION("""COMPUTED_VALUE"""),"")</f>
        <v/>
      </c>
      <c r="Q955" s="17" t="str">
        <f>IFERROR(__xludf.DUMMYFUNCTION("""COMPUTED_VALUE"""),"")</f>
        <v/>
      </c>
      <c r="R955" s="17" t="str">
        <f>IFERROR(__xludf.DUMMYFUNCTION("""COMPUTED_VALUE"""),"")</f>
        <v/>
      </c>
    </row>
    <row r="956">
      <c r="A956" s="15">
        <f>IFERROR(__xludf.DUMMYFUNCTION("""COMPUTED_VALUE"""),45028.0)</f>
        <v>45028</v>
      </c>
      <c r="B956" s="16" t="str">
        <f>IFERROR(__xludf.DUMMYFUNCTION("""COMPUTED_VALUE"""),"Anuar suarez jimenez ")</f>
        <v>Anuar suarez jimenez </v>
      </c>
      <c r="C956" s="15" t="str">
        <f>IFERROR(__xludf.DUMMYFUNCTION("""COMPUTED_VALUE"""),"CARTAGENA")</f>
        <v>CARTAGENA</v>
      </c>
      <c r="D956" s="15" t="str">
        <f>IFERROR(__xludf.DUMMYFUNCTION("""COMPUTED_VALUE"""),"BOGOTÁ")</f>
        <v>BOGOTÁ</v>
      </c>
      <c r="E956" s="15" t="str">
        <f>IFERROR(__xludf.DUMMYFUNCTION("""COMPUTED_VALUE"""),"Mochi")</f>
        <v>Mochi</v>
      </c>
      <c r="F956" s="17" t="str">
        <f>IFERROR(__xludf.DUMMYFUNCTION("""COMPUTED_VALUE"""),"CENTRO COMERCIAL SERREZUELA / SERREZUELA / SERREZUELA")</f>
        <v>CENTRO COMERCIAL SERREZUELA / SERREZUELA / SERREZUELA</v>
      </c>
      <c r="G956" s="15" t="str">
        <f>IFERROR(__xludf.DUMMYFUNCTION("""COMPUTED_VALUE"""),"MARIA CAMILA GIRALDO")</f>
        <v>MARIA CAMILA GIRALDO</v>
      </c>
      <c r="H956" s="16">
        <f>IFERROR(__xludf.DUMMYFUNCTION("""COMPUTED_VALUE"""),9645.0)</f>
        <v>9645</v>
      </c>
      <c r="I956" s="18">
        <f>IFERROR(__xludf.DUMMYFUNCTION("""COMPUTED_VALUE"""),110.0)</f>
        <v>110</v>
      </c>
      <c r="J956" s="18">
        <f>IFERROR(__xludf.DUMMYFUNCTION("""COMPUTED_VALUE"""),45.0)</f>
        <v>45</v>
      </c>
      <c r="K956" s="18" t="str">
        <f>IFERROR(__xludf.DUMMYFUNCTION("""COMPUTED_VALUE"""),"52.5")</f>
        <v>52.5</v>
      </c>
      <c r="L956" s="17">
        <f>IFERROR(__xludf.DUMMYFUNCTION("""COMPUTED_VALUE"""),3.116025262E9)</f>
        <v>3116025262</v>
      </c>
      <c r="M956" s="17" t="str">
        <f>IFERROR(__xludf.DUMMYFUNCTION("""COMPUTED_VALUE"""),"#REF!")</f>
        <v>#REF!</v>
      </c>
      <c r="N956" s="17"/>
      <c r="O956" s="19" t="str">
        <f>IFERROR(__xludf.DUMMYFUNCTION("""COMPUTED_VALUE"""),"")</f>
        <v/>
      </c>
      <c r="P956" s="17" t="b">
        <f>IFERROR(__xludf.DUMMYFUNCTION("""COMPUTED_VALUE"""),FALSE)</f>
        <v>0</v>
      </c>
      <c r="Q956" s="20" t="str">
        <f>IFERROR(__xludf.DUMMYFUNCTION("""COMPUTED_VALUE"""),"")</f>
        <v/>
      </c>
      <c r="R956" s="22" t="str">
        <f>IFERROR(__xludf.DUMMYFUNCTION("""COMPUTED_VALUE"""),"")</f>
        <v/>
      </c>
    </row>
    <row r="957">
      <c r="A957" s="15">
        <f>IFERROR(__xludf.DUMMYFUNCTION("""COMPUTED_VALUE"""),45028.0)</f>
        <v>45028</v>
      </c>
      <c r="B957" s="16" t="str">
        <f>IFERROR(__xludf.DUMMYFUNCTION("""COMPUTED_VALUE"""),"Anuar suarez jimenez ")</f>
        <v>Anuar suarez jimenez </v>
      </c>
      <c r="C957" s="15" t="str">
        <f>IFERROR(__xludf.DUMMYFUNCTION("""COMPUTED_VALUE"""),"MONTERIA")</f>
        <v>MONTERIA</v>
      </c>
      <c r="D957" s="15" t="str">
        <f>IFERROR(__xludf.DUMMYFUNCTION("""COMPUTED_VALUE"""),"BOGOTÁ")</f>
        <v>BOGOTÁ</v>
      </c>
      <c r="E957" s="15" t="str">
        <f>IFERROR(__xludf.DUMMYFUNCTION("""COMPUTED_VALUE"""),"Asociacion Agropecuaria Juana Maria")</f>
        <v>Asociacion Agropecuaria Juana Maria</v>
      </c>
      <c r="F957" s="17" t="str">
        <f>IFERROR(__xludf.DUMMYFUNCTION("""COMPUTED_VALUE"""),"Cra 14A #54-23 Barrio Monte Verde")</f>
        <v>Cra 14A #54-23 Barrio Monte Verde</v>
      </c>
      <c r="G957" s="15" t="str">
        <f>IFERROR(__xludf.DUMMYFUNCTION("""COMPUTED_VALUE"""),"Emilia Miranda")</f>
        <v>Emilia Miranda</v>
      </c>
      <c r="H957" s="16">
        <f>IFERROR(__xludf.DUMMYFUNCTION("""COMPUTED_VALUE"""),9534.0)</f>
        <v>9534</v>
      </c>
      <c r="I957" s="18">
        <f>IFERROR(__xludf.DUMMYFUNCTION("""COMPUTED_VALUE"""),21.0)</f>
        <v>21</v>
      </c>
      <c r="J957" s="18">
        <f>IFERROR(__xludf.DUMMYFUNCTION("""COMPUTED_VALUE"""),37.0)</f>
        <v>37</v>
      </c>
      <c r="K957" s="18">
        <f>IFERROR(__xludf.DUMMYFUNCTION("""COMPUTED_VALUE"""),30.0)</f>
        <v>30</v>
      </c>
      <c r="L957" s="17">
        <f>IFERROR(__xludf.DUMMYFUNCTION("""COMPUTED_VALUE"""),3.113438505E9)</f>
        <v>3113438505</v>
      </c>
      <c r="M957" s="17" t="str">
        <f>IFERROR(__xludf.DUMMYFUNCTION("""COMPUTED_VALUE"""),"#REF!")</f>
        <v>#REF!</v>
      </c>
      <c r="N957" s="17"/>
      <c r="O957" s="19" t="str">
        <f>IFERROR(__xludf.DUMMYFUNCTION("""COMPUTED_VALUE"""),"")</f>
        <v/>
      </c>
      <c r="P957" s="17" t="b">
        <f>IFERROR(__xludf.DUMMYFUNCTION("""COMPUTED_VALUE"""),FALSE)</f>
        <v>0</v>
      </c>
      <c r="Q957" s="20" t="str">
        <f>IFERROR(__xludf.DUMMYFUNCTION("""COMPUTED_VALUE"""),"")</f>
        <v/>
      </c>
      <c r="R957" s="22" t="str">
        <f>IFERROR(__xludf.DUMMYFUNCTION("""COMPUTED_VALUE"""),"")</f>
        <v/>
      </c>
    </row>
    <row r="958">
      <c r="A958" s="15">
        <f>IFERROR(__xludf.DUMMYFUNCTION("""COMPUTED_VALUE"""),45028.0)</f>
        <v>45028</v>
      </c>
      <c r="B958" s="16" t="str">
        <f>IFERROR(__xludf.DUMMYFUNCTION("""COMPUTED_VALUE"""),"Anuar suarez jimenez ")</f>
        <v>Anuar suarez jimenez </v>
      </c>
      <c r="C958" s="15" t="str">
        <f>IFERROR(__xludf.DUMMYFUNCTION("""COMPUTED_VALUE"""),"MONTERIA")</f>
        <v>MONTERIA</v>
      </c>
      <c r="D958" s="15" t="str">
        <f>IFERROR(__xludf.DUMMYFUNCTION("""COMPUTED_VALUE"""),"BOGOTÁ")</f>
        <v>BOGOTÁ</v>
      </c>
      <c r="E958" s="15" t="str">
        <f>IFERROR(__xludf.DUMMYFUNCTION("""COMPUTED_VALUE"""),"Asociacion Agropecuaria Juana Maria")</f>
        <v>Asociacion Agropecuaria Juana Maria</v>
      </c>
      <c r="F958" s="17" t="str">
        <f>IFERROR(__xludf.DUMMYFUNCTION("""COMPUTED_VALUE"""),"Cra 14A #54-23 Barrio Monte Verde")</f>
        <v>Cra 14A #54-23 Barrio Monte Verde</v>
      </c>
      <c r="G958" s="15" t="str">
        <f>IFERROR(__xludf.DUMMYFUNCTION("""COMPUTED_VALUE"""),"Emilia Miranda")</f>
        <v>Emilia Miranda</v>
      </c>
      <c r="H958" s="16">
        <f>IFERROR(__xludf.DUMMYFUNCTION("""COMPUTED_VALUE"""),9535.0)</f>
        <v>9535</v>
      </c>
      <c r="I958" s="18">
        <f>IFERROR(__xludf.DUMMYFUNCTION("""COMPUTED_VALUE"""),10.0)</f>
        <v>10</v>
      </c>
      <c r="J958" s="18">
        <f>IFERROR(__xludf.DUMMYFUNCTION("""COMPUTED_VALUE"""),34.0)</f>
        <v>34</v>
      </c>
      <c r="K958" s="18">
        <f>IFERROR(__xludf.DUMMYFUNCTION("""COMPUTED_VALUE"""),18.0)</f>
        <v>18</v>
      </c>
      <c r="L958" s="17">
        <f>IFERROR(__xludf.DUMMYFUNCTION("""COMPUTED_VALUE"""),3.113438505E9)</f>
        <v>3113438505</v>
      </c>
      <c r="M958" s="17" t="str">
        <f>IFERROR(__xludf.DUMMYFUNCTION("""COMPUTED_VALUE"""),"#REF!")</f>
        <v>#REF!</v>
      </c>
      <c r="N958" s="17"/>
      <c r="O958" s="19" t="str">
        <f>IFERROR(__xludf.DUMMYFUNCTION("""COMPUTED_VALUE"""),"")</f>
        <v/>
      </c>
      <c r="P958" s="17" t="b">
        <f>IFERROR(__xludf.DUMMYFUNCTION("""COMPUTED_VALUE"""),FALSE)</f>
        <v>0</v>
      </c>
      <c r="Q958" s="20" t="str">
        <f>IFERROR(__xludf.DUMMYFUNCTION("""COMPUTED_VALUE"""),"")</f>
        <v/>
      </c>
      <c r="R958" s="22" t="str">
        <f>IFERROR(__xludf.DUMMYFUNCTION("""COMPUTED_VALUE"""),"")</f>
        <v/>
      </c>
    </row>
    <row r="959">
      <c r="A959" s="15">
        <f>IFERROR(__xludf.DUMMYFUNCTION("""COMPUTED_VALUE"""),45028.0)</f>
        <v>45028</v>
      </c>
      <c r="B959" s="16" t="str">
        <f>IFERROR(__xludf.DUMMYFUNCTION("""COMPUTED_VALUE"""),"Anuar suarez jimenez ")</f>
        <v>Anuar suarez jimenez </v>
      </c>
      <c r="C959" s="15" t="str">
        <f>IFERROR(__xludf.DUMMYFUNCTION("""COMPUTED_VALUE"""),"MONTERIA")</f>
        <v>MONTERIA</v>
      </c>
      <c r="D959" s="15" t="str">
        <f>IFERROR(__xludf.DUMMYFUNCTION("""COMPUTED_VALUE"""),"BOGOTÁ")</f>
        <v>BOGOTÁ</v>
      </c>
      <c r="E959" s="15" t="str">
        <f>IFERROR(__xludf.DUMMYFUNCTION("""COMPUTED_VALUE"""),"Evamazzita")</f>
        <v>Evamazzita</v>
      </c>
      <c r="F959" s="17" t="str">
        <f>IFERROR(__xludf.DUMMYFUNCTION("""COMPUTED_VALUE"""),"CRA 14A No. 54 . 23  / N/A / BARRIO MONTEVERDE")</f>
        <v>CRA 14A No. 54 . 23  / N/A / BARRIO MONTEVERDE</v>
      </c>
      <c r="G959" s="15" t="str">
        <f>IFERROR(__xludf.DUMMYFUNCTION("""COMPUTED_VALUE"""),"EMILIA MIRANDA")</f>
        <v>EMILIA MIRANDA</v>
      </c>
      <c r="H959" s="16">
        <f>IFERROR(__xludf.DUMMYFUNCTION("""COMPUTED_VALUE"""),9551.0)</f>
        <v>9551</v>
      </c>
      <c r="I959" s="18">
        <f>IFERROR(__xludf.DUMMYFUNCTION("""COMPUTED_VALUE"""),15.0)</f>
        <v>15</v>
      </c>
      <c r="J959" s="18">
        <f>IFERROR(__xludf.DUMMYFUNCTION("""COMPUTED_VALUE"""),29.0)</f>
        <v>29</v>
      </c>
      <c r="K959" s="18">
        <f>IFERROR(__xludf.DUMMYFUNCTION("""COMPUTED_VALUE"""),43.0)</f>
        <v>43</v>
      </c>
      <c r="L959" s="17">
        <f>IFERROR(__xludf.DUMMYFUNCTION("""COMPUTED_VALUE"""),3.113438505E9)</f>
        <v>3113438505</v>
      </c>
      <c r="M959" s="17" t="str">
        <f>IFERROR(__xludf.DUMMYFUNCTION("""COMPUTED_VALUE"""),"#REF!")</f>
        <v>#REF!</v>
      </c>
      <c r="N959" s="17"/>
      <c r="O959" s="19" t="str">
        <f>IFERROR(__xludf.DUMMYFUNCTION("""COMPUTED_VALUE"""),"")</f>
        <v/>
      </c>
      <c r="P959" s="17" t="b">
        <f>IFERROR(__xludf.DUMMYFUNCTION("""COMPUTED_VALUE"""),FALSE)</f>
        <v>0</v>
      </c>
      <c r="Q959" s="20" t="str">
        <f>IFERROR(__xludf.DUMMYFUNCTION("""COMPUTED_VALUE"""),"")</f>
        <v/>
      </c>
      <c r="R959" s="22" t="str">
        <f>IFERROR(__xludf.DUMMYFUNCTION("""COMPUTED_VALUE"""),"")</f>
        <v/>
      </c>
    </row>
    <row r="960">
      <c r="A960" s="15">
        <f>IFERROR(__xludf.DUMMYFUNCTION("""COMPUTED_VALUE"""),45028.0)</f>
        <v>45028</v>
      </c>
      <c r="B960" s="16" t="str">
        <f>IFERROR(__xludf.DUMMYFUNCTION("""COMPUTED_VALUE"""),"Anuar suarez jimenez ")</f>
        <v>Anuar suarez jimenez </v>
      </c>
      <c r="C960" s="15" t="str">
        <f>IFERROR(__xludf.DUMMYFUNCTION("""COMPUTED_VALUE"""),"MONTERIA")</f>
        <v>MONTERIA</v>
      </c>
      <c r="D960" s="15" t="str">
        <f>IFERROR(__xludf.DUMMYFUNCTION("""COMPUTED_VALUE"""),"BOGOTÁ")</f>
        <v>BOGOTÁ</v>
      </c>
      <c r="E960" s="15" t="str">
        <f>IFERROR(__xludf.DUMMYFUNCTION("""COMPUTED_VALUE"""),"Top Spun")</f>
        <v>Top Spun</v>
      </c>
      <c r="F960" s="17" t="str">
        <f>IFERROR(__xludf.DUMMYFUNCTION("""COMPUTED_VALUE"""),"Calle 69 #3-112  / Apto 601 edificio ritzy / barrio el recreo")</f>
        <v>Calle 69 #3-112  / Apto 601 edificio ritzy / barrio el recreo</v>
      </c>
      <c r="G960" s="15" t="str">
        <f>IFERROR(__xludf.DUMMYFUNCTION("""COMPUTED_VALUE"""),"Isabela Nieto Kerguelén")</f>
        <v>Isabela Nieto Kerguelén</v>
      </c>
      <c r="H960" s="16">
        <f>IFERROR(__xludf.DUMMYFUNCTION("""COMPUTED_VALUE"""),9525.0)</f>
        <v>9525</v>
      </c>
      <c r="I960" s="18">
        <f>IFERROR(__xludf.DUMMYFUNCTION("""COMPUTED_VALUE"""),20.0)</f>
        <v>20</v>
      </c>
      <c r="J960" s="18">
        <f>IFERROR(__xludf.DUMMYFUNCTION("""COMPUTED_VALUE"""),10.0)</f>
        <v>10</v>
      </c>
      <c r="K960" s="18">
        <f>IFERROR(__xludf.DUMMYFUNCTION("""COMPUTED_VALUE"""),40.0)</f>
        <v>40</v>
      </c>
      <c r="L960" s="17">
        <f>IFERROR(__xludf.DUMMYFUNCTION("""COMPUTED_VALUE"""),3.11220739E9)</f>
        <v>3112207390</v>
      </c>
      <c r="M960" s="17" t="str">
        <f>IFERROR(__xludf.DUMMYFUNCTION("""COMPUTED_VALUE"""),"#REF!")</f>
        <v>#REF!</v>
      </c>
      <c r="N960" s="17"/>
      <c r="O960" s="19" t="str">
        <f>IFERROR(__xludf.DUMMYFUNCTION("""COMPUTED_VALUE"""),"")</f>
        <v/>
      </c>
      <c r="P960" s="17" t="b">
        <f>IFERROR(__xludf.DUMMYFUNCTION("""COMPUTED_VALUE"""),FALSE)</f>
        <v>0</v>
      </c>
      <c r="Q960" s="20" t="str">
        <f>IFERROR(__xludf.DUMMYFUNCTION("""COMPUTED_VALUE"""),"")</f>
        <v/>
      </c>
      <c r="R960" s="22" t="str">
        <f>IFERROR(__xludf.DUMMYFUNCTION("""COMPUTED_VALUE"""),"")</f>
        <v/>
      </c>
    </row>
    <row r="961">
      <c r="A961" s="15">
        <f>IFERROR(__xludf.DUMMYFUNCTION("""COMPUTED_VALUE"""),45028.0)</f>
        <v>45028</v>
      </c>
      <c r="B961" s="16" t="str">
        <f>IFERROR(__xludf.DUMMYFUNCTION("""COMPUTED_VALUE"""),"Anuar suarez jimenez ")</f>
        <v>Anuar suarez jimenez </v>
      </c>
      <c r="C961" s="15" t="str">
        <f>IFERROR(__xludf.DUMMYFUNCTION("""COMPUTED_VALUE"""),"MONTERIA")</f>
        <v>MONTERIA</v>
      </c>
      <c r="D961" s="15" t="str">
        <f>IFERROR(__xludf.DUMMYFUNCTION("""COMPUTED_VALUE"""),"MEDELLÍN")</f>
        <v>MEDELLÍN</v>
      </c>
      <c r="E961" s="15" t="str">
        <f>IFERROR(__xludf.DUMMYFUNCTION("""COMPUTED_VALUE"""),"Rambla")</f>
        <v>Rambla</v>
      </c>
      <c r="F961" s="17" t="str">
        <f>IFERROR(__xludf.DUMMYFUNCTION("""COMPUTED_VALUE"""),"centro comercial place mall cra 6 #65-24 local: 18 barrio castellana / na / na")</f>
        <v>centro comercial place mall cra 6 #65-24 local: 18 barrio castellana / na / na</v>
      </c>
      <c r="G961" s="15" t="str">
        <f>IFERROR(__xludf.DUMMYFUNCTION("""COMPUTED_VALUE"""),"amate mercado saludable")</f>
        <v>amate mercado saludable</v>
      </c>
      <c r="H961" s="16">
        <f>IFERROR(__xludf.DUMMYFUNCTION("""COMPUTED_VALUE"""),9634.0)</f>
        <v>9634</v>
      </c>
      <c r="I961" s="18">
        <f>IFERROR(__xludf.DUMMYFUNCTION("""COMPUTED_VALUE"""),25.0)</f>
        <v>25</v>
      </c>
      <c r="J961" s="18">
        <f>IFERROR(__xludf.DUMMYFUNCTION("""COMPUTED_VALUE"""),30.0)</f>
        <v>30</v>
      </c>
      <c r="K961" s="18">
        <f>IFERROR(__xludf.DUMMYFUNCTION("""COMPUTED_VALUE"""),33.0)</f>
        <v>33</v>
      </c>
      <c r="L961" s="17">
        <f>IFERROR(__xludf.DUMMYFUNCTION("""COMPUTED_VALUE"""),3.005102494E9)</f>
        <v>3005102494</v>
      </c>
      <c r="M961" s="17" t="str">
        <f>IFERROR(__xludf.DUMMYFUNCTION("""COMPUTED_VALUE"""),"#REF!")</f>
        <v>#REF!</v>
      </c>
      <c r="N961" s="17"/>
      <c r="O961" s="19" t="str">
        <f>IFERROR(__xludf.DUMMYFUNCTION("""COMPUTED_VALUE"""),"")</f>
        <v/>
      </c>
      <c r="P961" s="17" t="b">
        <f>IFERROR(__xludf.DUMMYFUNCTION("""COMPUTED_VALUE"""),FALSE)</f>
        <v>0</v>
      </c>
      <c r="Q961" s="20" t="str">
        <f>IFERROR(__xludf.DUMMYFUNCTION("""COMPUTED_VALUE"""),"")</f>
        <v/>
      </c>
      <c r="R961" s="22" t="str">
        <f>IFERROR(__xludf.DUMMYFUNCTION("""COMPUTED_VALUE"""),"")</f>
        <v/>
      </c>
    </row>
    <row r="962">
      <c r="A962" s="17" t="str">
        <f>IFERROR(__xludf.DUMMYFUNCTION("""COMPUTED_VALUE"""),"")</f>
        <v/>
      </c>
      <c r="B962" s="17" t="str">
        <f>IFERROR(__xludf.DUMMYFUNCTION("""COMPUTED_VALUE"""),"")</f>
        <v/>
      </c>
      <c r="C962" s="17" t="str">
        <f>IFERROR(__xludf.DUMMYFUNCTION("""COMPUTED_VALUE"""),"")</f>
        <v/>
      </c>
      <c r="D962" s="17" t="str">
        <f>IFERROR(__xludf.DUMMYFUNCTION("""COMPUTED_VALUE"""),"")</f>
        <v/>
      </c>
      <c r="E962" s="17" t="str">
        <f>IFERROR(__xludf.DUMMYFUNCTION("""COMPUTED_VALUE"""),"")</f>
        <v/>
      </c>
      <c r="F962" s="17" t="str">
        <f>IFERROR(__xludf.DUMMYFUNCTION("""COMPUTED_VALUE"""),"")</f>
        <v/>
      </c>
      <c r="G962" s="17" t="str">
        <f>IFERROR(__xludf.DUMMYFUNCTION("""COMPUTED_VALUE"""),"")</f>
        <v/>
      </c>
      <c r="H962" s="17" t="str">
        <f>IFERROR(__xludf.DUMMYFUNCTION("""COMPUTED_VALUE"""),"")</f>
        <v/>
      </c>
      <c r="I962" s="17" t="str">
        <f>IFERROR(__xludf.DUMMYFUNCTION("""COMPUTED_VALUE"""),"")</f>
        <v/>
      </c>
      <c r="J962" s="17" t="str">
        <f>IFERROR(__xludf.DUMMYFUNCTION("""COMPUTED_VALUE"""),"")</f>
        <v/>
      </c>
      <c r="K962" s="17" t="str">
        <f>IFERROR(__xludf.DUMMYFUNCTION("""COMPUTED_VALUE"""),"")</f>
        <v/>
      </c>
      <c r="L962" s="17" t="str">
        <f>IFERROR(__xludf.DUMMYFUNCTION("""COMPUTED_VALUE"""),"")</f>
        <v/>
      </c>
      <c r="M962" s="17" t="str">
        <f>IFERROR(__xludf.DUMMYFUNCTION("""COMPUTED_VALUE"""),"")</f>
        <v/>
      </c>
      <c r="N962" s="17" t="str">
        <f>IFERROR(__xludf.DUMMYFUNCTION("""COMPUTED_VALUE"""),"")</f>
        <v/>
      </c>
      <c r="O962" s="17" t="str">
        <f>IFERROR(__xludf.DUMMYFUNCTION("""COMPUTED_VALUE"""),"")</f>
        <v/>
      </c>
      <c r="P962" s="17" t="str">
        <f>IFERROR(__xludf.DUMMYFUNCTION("""COMPUTED_VALUE"""),"")</f>
        <v/>
      </c>
      <c r="Q962" s="17" t="str">
        <f>IFERROR(__xludf.DUMMYFUNCTION("""COMPUTED_VALUE"""),"")</f>
        <v/>
      </c>
      <c r="R962" s="17" t="str">
        <f>IFERROR(__xludf.DUMMYFUNCTION("""COMPUTED_VALUE"""),"")</f>
        <v/>
      </c>
    </row>
    <row r="963">
      <c r="A963" s="15">
        <f>IFERROR(__xludf.DUMMYFUNCTION("""COMPUTED_VALUE"""),45028.0)</f>
        <v>45028</v>
      </c>
      <c r="B963" s="16" t="str">
        <f>IFERROR(__xludf.DUMMYFUNCTION("""COMPUTED_VALUE"""),"Envia")</f>
        <v>Envia</v>
      </c>
      <c r="C963" s="15" t="str">
        <f>IFERROR(__xludf.DUMMYFUNCTION("""COMPUTED_VALUE"""),"BARRANQUILLA")</f>
        <v>BARRANQUILLA</v>
      </c>
      <c r="D963" s="15" t="str">
        <f>IFERROR(__xludf.DUMMYFUNCTION("""COMPUTED_VALUE"""),"BOGOTÁ")</f>
        <v>BOGOTÁ</v>
      </c>
      <c r="E963" s="15" t="str">
        <f>IFERROR(__xludf.DUMMYFUNCTION("""COMPUTED_VALUE"""),"Mochi")</f>
        <v>Mochi</v>
      </c>
      <c r="F963" s="17" t="str">
        <f>IFERROR(__xludf.DUMMYFUNCTION("""COMPUTED_VALUE"""),"CENTRO COMERCIAL VIVA BARRANQUILLA / VIVA BARRANQUILLA / VIVA BARRANQUILLA")</f>
        <v>CENTRO COMERCIAL VIVA BARRANQUILLA / VIVA BARRANQUILLA / VIVA BARRANQUILLA</v>
      </c>
      <c r="G963" s="15" t="str">
        <f>IFERROR(__xludf.DUMMYFUNCTION("""COMPUTED_VALUE"""),"MARIA CAMILA")</f>
        <v>MARIA CAMILA</v>
      </c>
      <c r="H963" s="16">
        <f>IFERROR(__xludf.DUMMYFUNCTION("""COMPUTED_VALUE"""),9646.0)</f>
        <v>9646</v>
      </c>
      <c r="I963" s="18">
        <f>IFERROR(__xludf.DUMMYFUNCTION("""COMPUTED_VALUE"""),110.0)</f>
        <v>110</v>
      </c>
      <c r="J963" s="18">
        <f>IFERROR(__xludf.DUMMYFUNCTION("""COMPUTED_VALUE"""),45.0)</f>
        <v>45</v>
      </c>
      <c r="K963" s="18" t="str">
        <f>IFERROR(__xludf.DUMMYFUNCTION("""COMPUTED_VALUE"""),"52.5")</f>
        <v>52.5</v>
      </c>
      <c r="L963" s="17">
        <f>IFERROR(__xludf.DUMMYFUNCTION("""COMPUTED_VALUE"""),3.116026252E9)</f>
        <v>3116026252</v>
      </c>
      <c r="M963" s="17" t="str">
        <f>IFERROR(__xludf.DUMMYFUNCTION("""COMPUTED_VALUE"""),"#REF!")</f>
        <v>#REF!</v>
      </c>
      <c r="N963" s="17"/>
      <c r="O963" s="19" t="str">
        <f>IFERROR(__xludf.DUMMYFUNCTION("""COMPUTED_VALUE"""),"")</f>
        <v/>
      </c>
      <c r="P963" s="17" t="b">
        <f>IFERROR(__xludf.DUMMYFUNCTION("""COMPUTED_VALUE"""),TRUE)</f>
        <v>1</v>
      </c>
      <c r="Q963" s="20">
        <f>IFERROR(__xludf.DUMMYFUNCTION("""COMPUTED_VALUE"""),45028.71842884259)</f>
        <v>45028.71843</v>
      </c>
      <c r="R963" s="22" t="str">
        <f>IFERROR(__xludf.DUMMYFUNCTION("""COMPUTED_VALUE"""),"")</f>
        <v/>
      </c>
    </row>
    <row r="964">
      <c r="A964" s="15">
        <f>IFERROR(__xludf.DUMMYFUNCTION("""COMPUTED_VALUE"""),45028.0)</f>
        <v>45028</v>
      </c>
      <c r="B964" s="16" t="str">
        <f>IFERROR(__xludf.DUMMYFUNCTION("""COMPUTED_VALUE"""),"Envia")</f>
        <v>Envia</v>
      </c>
      <c r="C964" s="15" t="str">
        <f>IFERROR(__xludf.DUMMYFUNCTION("""COMPUTED_VALUE"""),"BOGOTÁ")</f>
        <v>BOGOTÁ</v>
      </c>
      <c r="D964" s="15" t="str">
        <f>IFERROR(__xludf.DUMMYFUNCTION("""COMPUTED_VALUE"""),"MEDELLÍN")</f>
        <v>MEDELLÍN</v>
      </c>
      <c r="E964" s="15" t="str">
        <f>IFERROR(__xludf.DUMMYFUNCTION("""COMPUTED_VALUE"""),"Baby Chef")</f>
        <v>Baby Chef</v>
      </c>
      <c r="F964" s="17" t="str">
        <f>IFERROR(__xludf.DUMMYFUNCTION("""COMPUTED_VALUE"""),"Calle 127b bis # 20-66  Apto 306 edificio pórtico 3  Barrio la calleja / Calle 127b bis # 20-66  Apto 306 edificio pórtico 3  Barrio la calleja / Calle 127b bis # 20-66  Apto 306 edificio pórtico 3  Barrio la calleja")</f>
        <v>Calle 127b bis # 20-66  Apto 306 edificio pórtico 3  Barrio la calleja / Calle 127b bis # 20-66  Apto 306 edificio pórtico 3  Barrio la calleja / Calle 127b bis # 20-66  Apto 306 edificio pórtico 3  Barrio la calleja</v>
      </c>
      <c r="G964" s="15" t="str">
        <f>IFERROR(__xludf.DUMMYFUNCTION("""COMPUTED_VALUE"""),"Viviana Fandiño")</f>
        <v>Viviana Fandiño</v>
      </c>
      <c r="H964" s="16">
        <f>IFERROR(__xludf.DUMMYFUNCTION("""COMPUTED_VALUE"""),9623.0)</f>
        <v>9623</v>
      </c>
      <c r="I964" s="18">
        <f>IFERROR(__xludf.DUMMYFUNCTION("""COMPUTED_VALUE"""),8.0)</f>
        <v>8</v>
      </c>
      <c r="J964" s="18">
        <f>IFERROR(__xludf.DUMMYFUNCTION("""COMPUTED_VALUE"""),16.0)</f>
        <v>16</v>
      </c>
      <c r="K964" s="18">
        <f>IFERROR(__xludf.DUMMYFUNCTION("""COMPUTED_VALUE"""),20.0)</f>
        <v>20</v>
      </c>
      <c r="L964" s="17">
        <f>IFERROR(__xludf.DUMMYFUNCTION("""COMPUTED_VALUE"""),3.202185275E9)</f>
        <v>3202185275</v>
      </c>
      <c r="M964" s="17" t="str">
        <f>IFERROR(__xludf.DUMMYFUNCTION("""COMPUTED_VALUE"""),"#REF!")</f>
        <v>#REF!</v>
      </c>
      <c r="N964" s="17"/>
      <c r="O964" s="19" t="str">
        <f>IFERROR(__xludf.DUMMYFUNCTION("""COMPUTED_VALUE"""),"")</f>
        <v/>
      </c>
      <c r="P964" s="17" t="b">
        <f>IFERROR(__xludf.DUMMYFUNCTION("""COMPUTED_VALUE"""),TRUE)</f>
        <v>1</v>
      </c>
      <c r="Q964" s="20">
        <f>IFERROR(__xludf.DUMMYFUNCTION("""COMPUTED_VALUE"""),45028.71842884259)</f>
        <v>45028.71843</v>
      </c>
      <c r="R964" s="22" t="str">
        <f>IFERROR(__xludf.DUMMYFUNCTION("""COMPUTED_VALUE"""),"")</f>
        <v/>
      </c>
    </row>
    <row r="965">
      <c r="A965" s="15">
        <f>IFERROR(__xludf.DUMMYFUNCTION("""COMPUTED_VALUE"""),45028.0)</f>
        <v>45028</v>
      </c>
      <c r="B965" s="16" t="str">
        <f>IFERROR(__xludf.DUMMYFUNCTION("""COMPUTED_VALUE"""),"Envia")</f>
        <v>Envia</v>
      </c>
      <c r="C965" s="15" t="str">
        <f>IFERROR(__xludf.DUMMYFUNCTION("""COMPUTED_VALUE"""),"BOGOTÁ")</f>
        <v>BOGOTÁ</v>
      </c>
      <c r="D965" s="15" t="str">
        <f>IFERROR(__xludf.DUMMYFUNCTION("""COMPUTED_VALUE"""),"MEDELLÍN")</f>
        <v>MEDELLÍN</v>
      </c>
      <c r="E965" s="15" t="str">
        <f>IFERROR(__xludf.DUMMYFUNCTION("""COMPUTED_VALUE"""),"Todo Bufala")</f>
        <v>Todo Bufala</v>
      </c>
      <c r="F965" s="17" t="str">
        <f>IFERROR(__xludf.DUMMYFUNCTION("""COMPUTED_VALUE"""),"Cl 66a 78 41 / Br san marcos")</f>
        <v>Cl 66a 78 41 / Br san marcos</v>
      </c>
      <c r="G965" s="15" t="str">
        <f>IFERROR(__xludf.DUMMYFUNCTION("""COMPUTED_VALUE"""),"Brian Molina")</f>
        <v>Brian Molina</v>
      </c>
      <c r="H965" s="16">
        <f>IFERROR(__xludf.DUMMYFUNCTION("""COMPUTED_VALUE"""),9539.0)</f>
        <v>9539</v>
      </c>
      <c r="I965" s="18">
        <f>IFERROR(__xludf.DUMMYFUNCTION("""COMPUTED_VALUE"""),8.0)</f>
        <v>8</v>
      </c>
      <c r="J965" s="18">
        <f>IFERROR(__xludf.DUMMYFUNCTION("""COMPUTED_VALUE"""),30.0)</f>
        <v>30</v>
      </c>
      <c r="K965" s="18">
        <f>IFERROR(__xludf.DUMMYFUNCTION("""COMPUTED_VALUE"""),40.0)</f>
        <v>40</v>
      </c>
      <c r="L965" s="17">
        <f>IFERROR(__xludf.DUMMYFUNCTION("""COMPUTED_VALUE"""),3.057497855E9)</f>
        <v>3057497855</v>
      </c>
      <c r="M965" s="17" t="str">
        <f>IFERROR(__xludf.DUMMYFUNCTION("""COMPUTED_VALUE"""),"#REF!")</f>
        <v>#REF!</v>
      </c>
      <c r="N965" s="17"/>
      <c r="O965" s="19" t="str">
        <f>IFERROR(__xludf.DUMMYFUNCTION("""COMPUTED_VALUE"""),"")</f>
        <v/>
      </c>
      <c r="P965" s="17" t="b">
        <f>IFERROR(__xludf.DUMMYFUNCTION("""COMPUTED_VALUE"""),TRUE)</f>
        <v>1</v>
      </c>
      <c r="Q965" s="20">
        <f>IFERROR(__xludf.DUMMYFUNCTION("""COMPUTED_VALUE"""),45028.879441192126)</f>
        <v>45028.87944</v>
      </c>
      <c r="R965" s="22" t="str">
        <f>IFERROR(__xludf.DUMMYFUNCTION("""COMPUTED_VALUE"""),"")</f>
        <v/>
      </c>
    </row>
    <row r="966">
      <c r="A966" s="15">
        <f>IFERROR(__xludf.DUMMYFUNCTION("""COMPUTED_VALUE"""),45028.0)</f>
        <v>45028</v>
      </c>
      <c r="B966" s="16" t="str">
        <f>IFERROR(__xludf.DUMMYFUNCTION("""COMPUTED_VALUE"""),"Envia")</f>
        <v>Envia</v>
      </c>
      <c r="C966" s="15" t="str">
        <f>IFERROR(__xludf.DUMMYFUNCTION("""COMPUTED_VALUE"""),"CALI")</f>
        <v>CALI</v>
      </c>
      <c r="D966" s="15" t="str">
        <f>IFERROR(__xludf.DUMMYFUNCTION("""COMPUTED_VALUE"""),"MEDELLÍN")</f>
        <v>MEDELLÍN</v>
      </c>
      <c r="E966" s="15" t="str">
        <f>IFERROR(__xludf.DUMMYFUNCTION("""COMPUTED_VALUE"""),"Baby Chef")</f>
        <v>Baby Chef</v>
      </c>
      <c r="F966" s="17" t="str">
        <f>IFERROR(__xludf.DUMMYFUNCTION("""COMPUTED_VALUE"""),"Cra 96 59-95 Apto 504 torre 1 unidad Granate / Cra 96 59-95 Apto 504 torre 1 unidad Granate / Cra 96 59-95 Apto 504 torre 1 unidad Granate")</f>
        <v>Cra 96 59-95 Apto 504 torre 1 unidad Granate / Cra 96 59-95 Apto 504 torre 1 unidad Granate / Cra 96 59-95 Apto 504 torre 1 unidad Granate</v>
      </c>
      <c r="G966" s="15" t="str">
        <f>IFERROR(__xludf.DUMMYFUNCTION("""COMPUTED_VALUE"""),"Nathalie Valdes")</f>
        <v>Nathalie Valdes</v>
      </c>
      <c r="H966" s="16">
        <f>IFERROR(__xludf.DUMMYFUNCTION("""COMPUTED_VALUE"""),9602.0)</f>
        <v>9602</v>
      </c>
      <c r="I966" s="18">
        <f>IFERROR(__xludf.DUMMYFUNCTION("""COMPUTED_VALUE"""),8.0)</f>
        <v>8</v>
      </c>
      <c r="J966" s="18">
        <f>IFERROR(__xludf.DUMMYFUNCTION("""COMPUTED_VALUE"""),16.0)</f>
        <v>16</v>
      </c>
      <c r="K966" s="18">
        <f>IFERROR(__xludf.DUMMYFUNCTION("""COMPUTED_VALUE"""),20.0)</f>
        <v>20</v>
      </c>
      <c r="L966" s="17">
        <f>IFERROR(__xludf.DUMMYFUNCTION("""COMPUTED_VALUE"""),3.136942828E9)</f>
        <v>3136942828</v>
      </c>
      <c r="M966" s="17" t="str">
        <f>IFERROR(__xludf.DUMMYFUNCTION("""COMPUTED_VALUE"""),"#REF!")</f>
        <v>#REF!</v>
      </c>
      <c r="N966" s="17"/>
      <c r="O966" s="19" t="str">
        <f>IFERROR(__xludf.DUMMYFUNCTION("""COMPUTED_VALUE"""),"")</f>
        <v/>
      </c>
      <c r="P966" s="17" t="b">
        <f>IFERROR(__xludf.DUMMYFUNCTION("""COMPUTED_VALUE"""),TRUE)</f>
        <v>1</v>
      </c>
      <c r="Q966" s="20">
        <f>IFERROR(__xludf.DUMMYFUNCTION("""COMPUTED_VALUE"""),45028.879441192126)</f>
        <v>45028.87944</v>
      </c>
      <c r="R966" s="22" t="str">
        <f>IFERROR(__xludf.DUMMYFUNCTION("""COMPUTED_VALUE"""),"")</f>
        <v/>
      </c>
    </row>
    <row r="967">
      <c r="A967" s="15">
        <f>IFERROR(__xludf.DUMMYFUNCTION("""COMPUTED_VALUE"""),45028.0)</f>
        <v>45028</v>
      </c>
      <c r="B967" s="16" t="str">
        <f>IFERROR(__xludf.DUMMYFUNCTION("""COMPUTED_VALUE"""),"Envia")</f>
        <v>Envia</v>
      </c>
      <c r="C967" s="15" t="str">
        <f>IFERROR(__xludf.DUMMYFUNCTION("""COMPUTED_VALUE"""),"CALI")</f>
        <v>CALI</v>
      </c>
      <c r="D967" s="15" t="str">
        <f>IFERROR(__xludf.DUMMYFUNCTION("""COMPUTED_VALUE"""),"MEDELLÍN")</f>
        <v>MEDELLÍN</v>
      </c>
      <c r="E967" s="15" t="str">
        <f>IFERROR(__xludf.DUMMYFUNCTION("""COMPUTED_VALUE"""),"Rambla")</f>
        <v>Rambla</v>
      </c>
      <c r="F967" s="17" t="str">
        <f>IFERROR(__xludf.DUMMYFUNCTION("""COMPUTED_VALUE"""),"CRA 105 #15B45 LOCAL 15 CENTRO COMERCIAL LAS VELAS  cali / na / na")</f>
        <v>CRA 105 #15B45 LOCAL 15 CENTRO COMERCIAL LAS VELAS  cali / na / na</v>
      </c>
      <c r="G967" s="15" t="str">
        <f>IFERROR(__xludf.DUMMYFUNCTION("""COMPUTED_VALUE"""),"Wellthy market")</f>
        <v>Wellthy market</v>
      </c>
      <c r="H967" s="16">
        <f>IFERROR(__xludf.DUMMYFUNCTION("""COMPUTED_VALUE"""),9637.0)</f>
        <v>9637</v>
      </c>
      <c r="I967" s="18">
        <f>IFERROR(__xludf.DUMMYFUNCTION("""COMPUTED_VALUE"""),28.0)</f>
        <v>28</v>
      </c>
      <c r="J967" s="18">
        <f>IFERROR(__xludf.DUMMYFUNCTION("""COMPUTED_VALUE"""),32.0)</f>
        <v>32</v>
      </c>
      <c r="K967" s="18">
        <f>IFERROR(__xludf.DUMMYFUNCTION("""COMPUTED_VALUE"""),34.0)</f>
        <v>34</v>
      </c>
      <c r="L967" s="17">
        <f>IFERROR(__xludf.DUMMYFUNCTION("""COMPUTED_VALUE"""),3.057675698E9)</f>
        <v>3057675698</v>
      </c>
      <c r="M967" s="17" t="str">
        <f>IFERROR(__xludf.DUMMYFUNCTION("""COMPUTED_VALUE"""),"#REF!")</f>
        <v>#REF!</v>
      </c>
      <c r="N967" s="17"/>
      <c r="O967" s="19" t="str">
        <f>IFERROR(__xludf.DUMMYFUNCTION("""COMPUTED_VALUE"""),"")</f>
        <v/>
      </c>
      <c r="P967" s="17" t="b">
        <f>IFERROR(__xludf.DUMMYFUNCTION("""COMPUTED_VALUE"""),TRUE)</f>
        <v>1</v>
      </c>
      <c r="Q967" s="20">
        <f>IFERROR(__xludf.DUMMYFUNCTION("""COMPUTED_VALUE"""),45028.879441192126)</f>
        <v>45028.87944</v>
      </c>
      <c r="R967" s="22" t="str">
        <f>IFERROR(__xludf.DUMMYFUNCTION("""COMPUTED_VALUE"""),"")</f>
        <v/>
      </c>
    </row>
    <row r="968">
      <c r="A968" s="15">
        <f>IFERROR(__xludf.DUMMYFUNCTION("""COMPUTED_VALUE"""),45028.0)</f>
        <v>45028</v>
      </c>
      <c r="B968" s="16" t="str">
        <f>IFERROR(__xludf.DUMMYFUNCTION("""COMPUTED_VALUE"""),"Envia")</f>
        <v>Envia</v>
      </c>
      <c r="C968" s="15" t="str">
        <f>IFERROR(__xludf.DUMMYFUNCTION("""COMPUTED_VALUE"""),"CÚCUTA")</f>
        <v>CÚCUTA</v>
      </c>
      <c r="D968" s="15" t="str">
        <f>IFERROR(__xludf.DUMMYFUNCTION("""COMPUTED_VALUE"""),"MEDELLÍN")</f>
        <v>MEDELLÍN</v>
      </c>
      <c r="E968" s="15" t="str">
        <f>IFERROR(__xludf.DUMMYFUNCTION("""COMPUTED_VALUE"""),"Momo Tea S.A.S Gabriel Echavarría")</f>
        <v>Momo Tea S.A.S Gabriel Echavarría</v>
      </c>
      <c r="F968" s="17" t="str">
        <f>IFERROR(__xludf.DUMMYFUNCTION("""COMPUTED_VALUE"""),"CL 11 N 16 E 35 / CA B 1")</f>
        <v>CL 11 N 16 E 35 / CA B 1</v>
      </c>
      <c r="G968" s="15" t="str">
        <f>IFERROR(__xludf.DUMMYFUNCTION("""COMPUTED_VALUE"""),"Gabriel Echavarría")</f>
        <v>Gabriel Echavarría</v>
      </c>
      <c r="H968" s="16">
        <f>IFERROR(__xludf.DUMMYFUNCTION("""COMPUTED_VALUE"""),9591.0)</f>
        <v>9591</v>
      </c>
      <c r="I968" s="18">
        <f>IFERROR(__xludf.DUMMYFUNCTION("""COMPUTED_VALUE"""),21.0)</f>
        <v>21</v>
      </c>
      <c r="J968" s="18">
        <f>IFERROR(__xludf.DUMMYFUNCTION("""COMPUTED_VALUE"""),29.0)</f>
        <v>29</v>
      </c>
      <c r="K968" s="18">
        <f>IFERROR(__xludf.DUMMYFUNCTION("""COMPUTED_VALUE"""),29.0)</f>
        <v>29</v>
      </c>
      <c r="L968" s="17">
        <f>IFERROR(__xludf.DUMMYFUNCTION("""COMPUTED_VALUE"""),3.017909548E9)</f>
        <v>3017909548</v>
      </c>
      <c r="M968" s="17" t="str">
        <f>IFERROR(__xludf.DUMMYFUNCTION("""COMPUTED_VALUE"""),"#REF!")</f>
        <v>#REF!</v>
      </c>
      <c r="N968" s="17"/>
      <c r="O968" s="19" t="str">
        <f>IFERROR(__xludf.DUMMYFUNCTION("""COMPUTED_VALUE"""),"")</f>
        <v/>
      </c>
      <c r="P968" s="17" t="b">
        <f>IFERROR(__xludf.DUMMYFUNCTION("""COMPUTED_VALUE"""),TRUE)</f>
        <v>1</v>
      </c>
      <c r="Q968" s="20">
        <f>IFERROR(__xludf.DUMMYFUNCTION("""COMPUTED_VALUE"""),45028.879441192126)</f>
        <v>45028.87944</v>
      </c>
      <c r="R968" s="22" t="str">
        <f>IFERROR(__xludf.DUMMYFUNCTION("""COMPUTED_VALUE"""),"")</f>
        <v/>
      </c>
    </row>
    <row r="969">
      <c r="A969" s="15">
        <f>IFERROR(__xludf.DUMMYFUNCTION("""COMPUTED_VALUE"""),45028.0)</f>
        <v>45028</v>
      </c>
      <c r="B969" s="16" t="str">
        <f>IFERROR(__xludf.DUMMYFUNCTION("""COMPUTED_VALUE"""),"Envia")</f>
        <v>Envia</v>
      </c>
      <c r="C969" s="15" t="str">
        <f>IFERROR(__xludf.DUMMYFUNCTION("""COMPUTED_VALUE"""),"CÚCUTA")</f>
        <v>CÚCUTA</v>
      </c>
      <c r="D969" s="15" t="str">
        <f>IFERROR(__xludf.DUMMYFUNCTION("""COMPUTED_VALUE"""),"MEDELLÍN")</f>
        <v>MEDELLÍN</v>
      </c>
      <c r="E969" s="15" t="str">
        <f>IFERROR(__xludf.DUMMYFUNCTION("""COMPUTED_VALUE"""),"Momo Tea S.A.S Gabriel Echavarría")</f>
        <v>Momo Tea S.A.S Gabriel Echavarría</v>
      </c>
      <c r="F969" s="17" t="str">
        <f>IFERROR(__xludf.DUMMYFUNCTION("""COMPUTED_VALUE"""),"CL 11 N 16 E 35 / CA B 1")</f>
        <v>CL 11 N 16 E 35 / CA B 1</v>
      </c>
      <c r="G969" s="15" t="str">
        <f>IFERROR(__xludf.DUMMYFUNCTION("""COMPUTED_VALUE"""),"Gabriel Echavarría")</f>
        <v>Gabriel Echavarría</v>
      </c>
      <c r="H969" s="16">
        <f>IFERROR(__xludf.DUMMYFUNCTION("""COMPUTED_VALUE"""),9592.0)</f>
        <v>9592</v>
      </c>
      <c r="I969" s="18" t="str">
        <f>IFERROR(__xludf.DUMMYFUNCTION("""COMPUTED_VALUE"""),"34.5")</f>
        <v>34.5</v>
      </c>
      <c r="J969" s="18">
        <f>IFERROR(__xludf.DUMMYFUNCTION("""COMPUTED_VALUE"""),54.0)</f>
        <v>54</v>
      </c>
      <c r="K969" s="18">
        <f>IFERROR(__xludf.DUMMYFUNCTION("""COMPUTED_VALUE"""),26.0)</f>
        <v>26</v>
      </c>
      <c r="L969" s="17">
        <f>IFERROR(__xludf.DUMMYFUNCTION("""COMPUTED_VALUE"""),3.017909548E9)</f>
        <v>3017909548</v>
      </c>
      <c r="M969" s="17" t="str">
        <f>IFERROR(__xludf.DUMMYFUNCTION("""COMPUTED_VALUE"""),"#REF!")</f>
        <v>#REF!</v>
      </c>
      <c r="N969" s="17"/>
      <c r="O969" s="19" t="str">
        <f>IFERROR(__xludf.DUMMYFUNCTION("""COMPUTED_VALUE"""),"")</f>
        <v/>
      </c>
      <c r="P969" s="17" t="b">
        <f>IFERROR(__xludf.DUMMYFUNCTION("""COMPUTED_VALUE"""),TRUE)</f>
        <v>1</v>
      </c>
      <c r="Q969" s="20">
        <f>IFERROR(__xludf.DUMMYFUNCTION("""COMPUTED_VALUE"""),45028.879441192126)</f>
        <v>45028.87944</v>
      </c>
      <c r="R969" s="22" t="str">
        <f>IFERROR(__xludf.DUMMYFUNCTION("""COMPUTED_VALUE"""),"")</f>
        <v/>
      </c>
    </row>
    <row r="970">
      <c r="A970" s="15">
        <f>IFERROR(__xludf.DUMMYFUNCTION("""COMPUTED_VALUE"""),45028.0)</f>
        <v>45028</v>
      </c>
      <c r="B970" s="16" t="str">
        <f>IFERROR(__xludf.DUMMYFUNCTION("""COMPUTED_VALUE"""),"Envia")</f>
        <v>Envia</v>
      </c>
      <c r="C970" s="15" t="str">
        <f>IFERROR(__xludf.DUMMYFUNCTION("""COMPUTED_VALUE"""),"CÚCUTA")</f>
        <v>CÚCUTA</v>
      </c>
      <c r="D970" s="15" t="str">
        <f>IFERROR(__xludf.DUMMYFUNCTION("""COMPUTED_VALUE"""),"MEDELLÍN")</f>
        <v>MEDELLÍN</v>
      </c>
      <c r="E970" s="15" t="str">
        <f>IFERROR(__xludf.DUMMYFUNCTION("""COMPUTED_VALUE"""),"Momo Tea S.A.S Gabriel Echavarría")</f>
        <v>Momo Tea S.A.S Gabriel Echavarría</v>
      </c>
      <c r="F970" s="17" t="str">
        <f>IFERROR(__xludf.DUMMYFUNCTION("""COMPUTED_VALUE"""),"CL 11 N 16 E 35 / CA B 1")</f>
        <v>CL 11 N 16 E 35 / CA B 1</v>
      </c>
      <c r="G970" s="15" t="str">
        <f>IFERROR(__xludf.DUMMYFUNCTION("""COMPUTED_VALUE"""),"Gabriel Echavarría")</f>
        <v>Gabriel Echavarría</v>
      </c>
      <c r="H970" s="16">
        <f>IFERROR(__xludf.DUMMYFUNCTION("""COMPUTED_VALUE"""),9593.0)</f>
        <v>9593</v>
      </c>
      <c r="I970" s="18">
        <f>IFERROR(__xludf.DUMMYFUNCTION("""COMPUTED_VALUE"""),24.0)</f>
        <v>24</v>
      </c>
      <c r="J970" s="18">
        <f>IFERROR(__xludf.DUMMYFUNCTION("""COMPUTED_VALUE"""),3.0)</f>
        <v>3</v>
      </c>
      <c r="K970" s="18">
        <f>IFERROR(__xludf.DUMMYFUNCTION("""COMPUTED_VALUE"""),26.0)</f>
        <v>26</v>
      </c>
      <c r="L970" s="17">
        <f>IFERROR(__xludf.DUMMYFUNCTION("""COMPUTED_VALUE"""),3.017909548E9)</f>
        <v>3017909548</v>
      </c>
      <c r="M970" s="17" t="str">
        <f>IFERROR(__xludf.DUMMYFUNCTION("""COMPUTED_VALUE"""),"#REF!")</f>
        <v>#REF!</v>
      </c>
      <c r="N970" s="17"/>
      <c r="O970" s="19" t="str">
        <f>IFERROR(__xludf.DUMMYFUNCTION("""COMPUTED_VALUE"""),"")</f>
        <v/>
      </c>
      <c r="P970" s="17" t="b">
        <f>IFERROR(__xludf.DUMMYFUNCTION("""COMPUTED_VALUE"""),TRUE)</f>
        <v>1</v>
      </c>
      <c r="Q970" s="20">
        <f>IFERROR(__xludf.DUMMYFUNCTION("""COMPUTED_VALUE"""),45028.879441192126)</f>
        <v>45028.87944</v>
      </c>
      <c r="R970" s="22" t="str">
        <f>IFERROR(__xludf.DUMMYFUNCTION("""COMPUTED_VALUE"""),"")</f>
        <v/>
      </c>
    </row>
    <row r="971">
      <c r="A971" s="15">
        <f>IFERROR(__xludf.DUMMYFUNCTION("""COMPUTED_VALUE"""),45028.0)</f>
        <v>45028</v>
      </c>
      <c r="B971" s="16" t="str">
        <f>IFERROR(__xludf.DUMMYFUNCTION("""COMPUTED_VALUE"""),"Envia")</f>
        <v>Envia</v>
      </c>
      <c r="C971" s="15" t="str">
        <f>IFERROR(__xludf.DUMMYFUNCTION("""COMPUTED_VALUE"""),"CÚCUTA")</f>
        <v>CÚCUTA</v>
      </c>
      <c r="D971" s="15" t="str">
        <f>IFERROR(__xludf.DUMMYFUNCTION("""COMPUTED_VALUE"""),"MEDELLÍN")</f>
        <v>MEDELLÍN</v>
      </c>
      <c r="E971" s="15" t="str">
        <f>IFERROR(__xludf.DUMMYFUNCTION("""COMPUTED_VALUE"""),"Momo Tea S.A.S Gabriel Echavarría")</f>
        <v>Momo Tea S.A.S Gabriel Echavarría</v>
      </c>
      <c r="F971" s="17" t="str">
        <f>IFERROR(__xludf.DUMMYFUNCTION("""COMPUTED_VALUE"""),"CL 11 N 16 E 35 / CA B 1")</f>
        <v>CL 11 N 16 E 35 / CA B 1</v>
      </c>
      <c r="G971" s="15" t="str">
        <f>IFERROR(__xludf.DUMMYFUNCTION("""COMPUTED_VALUE"""),"Gabriel Echavarría")</f>
        <v>Gabriel Echavarría</v>
      </c>
      <c r="H971" s="16">
        <f>IFERROR(__xludf.DUMMYFUNCTION("""COMPUTED_VALUE"""),9594.0)</f>
        <v>9594</v>
      </c>
      <c r="I971" s="18">
        <f>IFERROR(__xludf.DUMMYFUNCTION("""COMPUTED_VALUE"""),19.0)</f>
        <v>19</v>
      </c>
      <c r="J971" s="18">
        <f>IFERROR(__xludf.DUMMYFUNCTION("""COMPUTED_VALUE"""),11.0)</f>
        <v>11</v>
      </c>
      <c r="K971" s="18">
        <f>IFERROR(__xludf.DUMMYFUNCTION("""COMPUTED_VALUE"""),32.0)</f>
        <v>32</v>
      </c>
      <c r="L971" s="17">
        <f>IFERROR(__xludf.DUMMYFUNCTION("""COMPUTED_VALUE"""),3.017909548E9)</f>
        <v>3017909548</v>
      </c>
      <c r="M971" s="17" t="str">
        <f>IFERROR(__xludf.DUMMYFUNCTION("""COMPUTED_VALUE"""),"#REF!")</f>
        <v>#REF!</v>
      </c>
      <c r="N971" s="17"/>
      <c r="O971" s="19" t="str">
        <f>IFERROR(__xludf.DUMMYFUNCTION("""COMPUTED_VALUE"""),"")</f>
        <v/>
      </c>
      <c r="P971" s="17" t="b">
        <f>IFERROR(__xludf.DUMMYFUNCTION("""COMPUTED_VALUE"""),TRUE)</f>
        <v>1</v>
      </c>
      <c r="Q971" s="20">
        <f>IFERROR(__xludf.DUMMYFUNCTION("""COMPUTED_VALUE"""),45028.879441192126)</f>
        <v>45028.87944</v>
      </c>
      <c r="R971" s="22" t="str">
        <f>IFERROR(__xludf.DUMMYFUNCTION("""COMPUTED_VALUE"""),"")</f>
        <v/>
      </c>
    </row>
    <row r="972">
      <c r="A972" s="15">
        <f>IFERROR(__xludf.DUMMYFUNCTION("""COMPUTED_VALUE"""),45028.0)</f>
        <v>45028</v>
      </c>
      <c r="B972" s="16" t="str">
        <f>IFERROR(__xludf.DUMMYFUNCTION("""COMPUTED_VALUE"""),"Envia")</f>
        <v>Envia</v>
      </c>
      <c r="C972" s="15" t="str">
        <f>IFERROR(__xludf.DUMMYFUNCTION("""COMPUTED_VALUE"""),"CÚCUTA")</f>
        <v>CÚCUTA</v>
      </c>
      <c r="D972" s="15" t="str">
        <f>IFERROR(__xludf.DUMMYFUNCTION("""COMPUTED_VALUE"""),"MEDELLÍN")</f>
        <v>MEDELLÍN</v>
      </c>
      <c r="E972" s="15" t="str">
        <f>IFERROR(__xludf.DUMMYFUNCTION("""COMPUTED_VALUE"""),"Momo Tea S.A.S Gabriel Echavarría")</f>
        <v>Momo Tea S.A.S Gabriel Echavarría</v>
      </c>
      <c r="F972" s="17" t="str">
        <f>IFERROR(__xludf.DUMMYFUNCTION("""COMPUTED_VALUE"""),"CL 11 N 16 E 35 / CA B 1")</f>
        <v>CL 11 N 16 E 35 / CA B 1</v>
      </c>
      <c r="G972" s="15" t="str">
        <f>IFERROR(__xludf.DUMMYFUNCTION("""COMPUTED_VALUE"""),"Gabriel Echavarría")</f>
        <v>Gabriel Echavarría</v>
      </c>
      <c r="H972" s="16">
        <f>IFERROR(__xludf.DUMMYFUNCTION("""COMPUTED_VALUE"""),9595.0)</f>
        <v>9595</v>
      </c>
      <c r="I972" s="18">
        <f>IFERROR(__xludf.DUMMYFUNCTION("""COMPUTED_VALUE"""),17.0)</f>
        <v>17</v>
      </c>
      <c r="J972" s="18">
        <f>IFERROR(__xludf.DUMMYFUNCTION("""COMPUTED_VALUE"""),17.0)</f>
        <v>17</v>
      </c>
      <c r="K972" s="18">
        <f>IFERROR(__xludf.DUMMYFUNCTION("""COMPUTED_VALUE"""),23.0)</f>
        <v>23</v>
      </c>
      <c r="L972" s="17">
        <f>IFERROR(__xludf.DUMMYFUNCTION("""COMPUTED_VALUE"""),3.017909548E9)</f>
        <v>3017909548</v>
      </c>
      <c r="M972" s="17" t="str">
        <f>IFERROR(__xludf.DUMMYFUNCTION("""COMPUTED_VALUE"""),"#REF!")</f>
        <v>#REF!</v>
      </c>
      <c r="N972" s="17"/>
      <c r="O972" s="19" t="str">
        <f>IFERROR(__xludf.DUMMYFUNCTION("""COMPUTED_VALUE"""),"")</f>
        <v/>
      </c>
      <c r="P972" s="17" t="b">
        <f>IFERROR(__xludf.DUMMYFUNCTION("""COMPUTED_VALUE"""),TRUE)</f>
        <v>1</v>
      </c>
      <c r="Q972" s="20">
        <f>IFERROR(__xludf.DUMMYFUNCTION("""COMPUTED_VALUE"""),45028.71842884259)</f>
        <v>45028.71843</v>
      </c>
      <c r="R972" s="22" t="str">
        <f>IFERROR(__xludf.DUMMYFUNCTION("""COMPUTED_VALUE"""),"")</f>
        <v/>
      </c>
    </row>
    <row r="973">
      <c r="A973" s="15">
        <f>IFERROR(__xludf.DUMMYFUNCTION("""COMPUTED_VALUE"""),45028.0)</f>
        <v>45028</v>
      </c>
      <c r="B973" s="16" t="str">
        <f>IFERROR(__xludf.DUMMYFUNCTION("""COMPUTED_VALUE"""),"Envia")</f>
        <v>Envia</v>
      </c>
      <c r="C973" s="15" t="str">
        <f>IFERROR(__xludf.DUMMYFUNCTION("""COMPUTED_VALUE"""),"CÚCUTA")</f>
        <v>CÚCUTA</v>
      </c>
      <c r="D973" s="15" t="str">
        <f>IFERROR(__xludf.DUMMYFUNCTION("""COMPUTED_VALUE"""),"MEDELLÍN")</f>
        <v>MEDELLÍN</v>
      </c>
      <c r="E973" s="15" t="str">
        <f>IFERROR(__xludf.DUMMYFUNCTION("""COMPUTED_VALUE"""),"Momo Tea S.A.S Gabriel Echavarría")</f>
        <v>Momo Tea S.A.S Gabriel Echavarría</v>
      </c>
      <c r="F973" s="17" t="str">
        <f>IFERROR(__xludf.DUMMYFUNCTION("""COMPUTED_VALUE"""),"CL 11 N 16 E 35 / CA B 1")</f>
        <v>CL 11 N 16 E 35 / CA B 1</v>
      </c>
      <c r="G973" s="15" t="str">
        <f>IFERROR(__xludf.DUMMYFUNCTION("""COMPUTED_VALUE"""),"Gabriel Echavarría")</f>
        <v>Gabriel Echavarría</v>
      </c>
      <c r="H973" s="16">
        <f>IFERROR(__xludf.DUMMYFUNCTION("""COMPUTED_VALUE"""),9596.0)</f>
        <v>9596</v>
      </c>
      <c r="I973" s="18">
        <f>IFERROR(__xludf.DUMMYFUNCTION("""COMPUTED_VALUE"""),33.0)</f>
        <v>33</v>
      </c>
      <c r="J973" s="18">
        <f>IFERROR(__xludf.DUMMYFUNCTION("""COMPUTED_VALUE"""),13.0)</f>
        <v>13</v>
      </c>
      <c r="K973" s="18">
        <f>IFERROR(__xludf.DUMMYFUNCTION("""COMPUTED_VALUE"""),20.0)</f>
        <v>20</v>
      </c>
      <c r="L973" s="17">
        <f>IFERROR(__xludf.DUMMYFUNCTION("""COMPUTED_VALUE"""),3.017909548E9)</f>
        <v>3017909548</v>
      </c>
      <c r="M973" s="17" t="str">
        <f>IFERROR(__xludf.DUMMYFUNCTION("""COMPUTED_VALUE"""),"#REF!")</f>
        <v>#REF!</v>
      </c>
      <c r="N973" s="17"/>
      <c r="O973" s="19" t="str">
        <f>IFERROR(__xludf.DUMMYFUNCTION("""COMPUTED_VALUE"""),"")</f>
        <v/>
      </c>
      <c r="P973" s="17" t="b">
        <f>IFERROR(__xludf.DUMMYFUNCTION("""COMPUTED_VALUE"""),TRUE)</f>
        <v>1</v>
      </c>
      <c r="Q973" s="20">
        <f>IFERROR(__xludf.DUMMYFUNCTION("""COMPUTED_VALUE"""),45028.71842884259)</f>
        <v>45028.71843</v>
      </c>
      <c r="R973" s="22" t="str">
        <f>IFERROR(__xludf.DUMMYFUNCTION("""COMPUTED_VALUE"""),"")</f>
        <v/>
      </c>
    </row>
    <row r="974">
      <c r="A974" s="15">
        <f>IFERROR(__xludf.DUMMYFUNCTION("""COMPUTED_VALUE"""),45028.0)</f>
        <v>45028</v>
      </c>
      <c r="B974" s="16" t="str">
        <f>IFERROR(__xludf.DUMMYFUNCTION("""COMPUTED_VALUE"""),"Envia")</f>
        <v>Envia</v>
      </c>
      <c r="C974" s="15" t="str">
        <f>IFERROR(__xludf.DUMMYFUNCTION("""COMPUTED_VALUE"""),"MEDELLÍN")</f>
        <v>MEDELLÍN</v>
      </c>
      <c r="D974" s="15" t="str">
        <f>IFERROR(__xludf.DUMMYFUNCTION("""COMPUTED_VALUE"""),"BOGOTÁ")</f>
        <v>BOGOTÁ</v>
      </c>
      <c r="E974" s="15" t="str">
        <f>IFERROR(__xludf.DUMMYFUNCTION("""COMPUTED_VALUE"""),"MAI ALIMENTOS S.A.S")</f>
        <v>MAI ALIMENTOS S.A.S</v>
      </c>
      <c r="F974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974" s="15" t="str">
        <f>IFERROR(__xludf.DUMMYFUNCTION("""COMPUTED_VALUE"""),"Novaventas - Medellin")</f>
        <v>Novaventas - Medellin</v>
      </c>
      <c r="H974" s="16">
        <f>IFERROR(__xludf.DUMMYFUNCTION("""COMPUTED_VALUE"""),9648.0)</f>
        <v>9648</v>
      </c>
      <c r="I974" s="18">
        <f>IFERROR(__xludf.DUMMYFUNCTION("""COMPUTED_VALUE"""),35.0)</f>
        <v>35</v>
      </c>
      <c r="J974" s="18">
        <f>IFERROR(__xludf.DUMMYFUNCTION("""COMPUTED_VALUE"""),17.0)</f>
        <v>17</v>
      </c>
      <c r="K974" s="18">
        <f>IFERROR(__xludf.DUMMYFUNCTION("""COMPUTED_VALUE"""),13.0)</f>
        <v>13</v>
      </c>
      <c r="L974" s="17">
        <f>IFERROR(__xludf.DUMMYFUNCTION("""COMPUTED_VALUE"""),3.187351593E9)</f>
        <v>3187351593</v>
      </c>
      <c r="M974" s="17" t="str">
        <f>IFERROR(__xludf.DUMMYFUNCTION("""COMPUTED_VALUE"""),"#REF!")</f>
        <v>#REF!</v>
      </c>
      <c r="N974" s="17"/>
      <c r="O974" s="19" t="str">
        <f>IFERROR(__xludf.DUMMYFUNCTION("""COMPUTED_VALUE"""),"")</f>
        <v/>
      </c>
      <c r="P974" s="17" t="b">
        <f>IFERROR(__xludf.DUMMYFUNCTION("""COMPUTED_VALUE"""),FALSE)</f>
        <v>0</v>
      </c>
      <c r="Q974" s="20" t="str">
        <f>IFERROR(__xludf.DUMMYFUNCTION("""COMPUTED_VALUE"""),"")</f>
        <v/>
      </c>
      <c r="R974" s="22" t="str">
        <f>IFERROR(__xludf.DUMMYFUNCTION("""COMPUTED_VALUE"""),"")</f>
        <v/>
      </c>
    </row>
    <row r="975">
      <c r="A975" s="15">
        <f>IFERROR(__xludf.DUMMYFUNCTION("""COMPUTED_VALUE"""),45028.0)</f>
        <v>45028</v>
      </c>
      <c r="B975" s="16" t="str">
        <f>IFERROR(__xludf.DUMMYFUNCTION("""COMPUTED_VALUE"""),"Envia")</f>
        <v>Envia</v>
      </c>
      <c r="C975" s="15" t="str">
        <f>IFERROR(__xludf.DUMMYFUNCTION("""COMPUTED_VALUE"""),"MEDELLÍN")</f>
        <v>MEDELLÍN</v>
      </c>
      <c r="D975" s="15" t="str">
        <f>IFERROR(__xludf.DUMMYFUNCTION("""COMPUTED_VALUE"""),"CALI")</f>
        <v>CALI</v>
      </c>
      <c r="E975" s="15" t="str">
        <f>IFERROR(__xludf.DUMMYFUNCTION("""COMPUTED_VALUE"""),"Sabor Típico")</f>
        <v>Sabor Típico</v>
      </c>
      <c r="F975" s="17" t="str">
        <f>IFERROR(__xludf.DUMMYFUNCTION("""COMPUTED_VALUE"""),"Calle 65B # 86 - 08  Urbanización Villas De Robledal Casa 82  / Robledo Parque / Robledo Parque")</f>
        <v>Calle 65B # 86 - 08  Urbanización Villas De Robledal Casa 82  / Robledo Parque / Robledo Parque</v>
      </c>
      <c r="G975" s="15" t="str">
        <f>IFERROR(__xludf.DUMMYFUNCTION("""COMPUTED_VALUE"""),"Luisa Fernanda Sierra")</f>
        <v>Luisa Fernanda Sierra</v>
      </c>
      <c r="H975" s="16">
        <f>IFERROR(__xludf.DUMMYFUNCTION("""COMPUTED_VALUE"""),9607.0)</f>
        <v>9607</v>
      </c>
      <c r="I975" s="18">
        <f>IFERROR(__xludf.DUMMYFUNCTION("""COMPUTED_VALUE"""),10.0)</f>
        <v>10</v>
      </c>
      <c r="J975" s="18">
        <f>IFERROR(__xludf.DUMMYFUNCTION("""COMPUTED_VALUE"""),30.0)</f>
        <v>30</v>
      </c>
      <c r="K975" s="18">
        <f>IFERROR(__xludf.DUMMYFUNCTION("""COMPUTED_VALUE"""),30.0)</f>
        <v>30</v>
      </c>
      <c r="L975" s="17">
        <f>IFERROR(__xludf.DUMMYFUNCTION("""COMPUTED_VALUE"""),3.014584446E9)</f>
        <v>3014584446</v>
      </c>
      <c r="M975" s="17" t="str">
        <f>IFERROR(__xludf.DUMMYFUNCTION("""COMPUTED_VALUE"""),"#REF!")</f>
        <v>#REF!</v>
      </c>
      <c r="N975" s="17"/>
      <c r="O975" s="19" t="str">
        <f>IFERROR(__xludf.DUMMYFUNCTION("""COMPUTED_VALUE"""),"")</f>
        <v/>
      </c>
      <c r="P975" s="17" t="b">
        <f>IFERROR(__xludf.DUMMYFUNCTION("""COMPUTED_VALUE"""),TRUE)</f>
        <v>1</v>
      </c>
      <c r="Q975" s="20">
        <f>IFERROR(__xludf.DUMMYFUNCTION("""COMPUTED_VALUE"""),45028.879441192126)</f>
        <v>45028.87944</v>
      </c>
      <c r="R975" s="22" t="str">
        <f>IFERROR(__xludf.DUMMYFUNCTION("""COMPUTED_VALUE"""),"")</f>
        <v/>
      </c>
    </row>
    <row r="976">
      <c r="A976" s="15">
        <f>IFERROR(__xludf.DUMMYFUNCTION("""COMPUTED_VALUE"""),45028.0)</f>
        <v>45028</v>
      </c>
      <c r="B976" s="16" t="str">
        <f>IFERROR(__xludf.DUMMYFUNCTION("""COMPUTED_VALUE"""),"Envia")</f>
        <v>Envia</v>
      </c>
      <c r="C976" s="15" t="str">
        <f>IFERROR(__xludf.DUMMYFUNCTION("""COMPUTED_VALUE"""),"MEDELLÍN")</f>
        <v>MEDELLÍN</v>
      </c>
      <c r="D976" s="15" t="str">
        <f>IFERROR(__xludf.DUMMYFUNCTION("""COMPUTED_VALUE"""),"MANIZALES")</f>
        <v>MANIZALES</v>
      </c>
      <c r="E976" s="15" t="str">
        <f>IFERROR(__xludf.DUMMYFUNCTION("""COMPUTED_VALUE"""),"Camila Cardona")</f>
        <v>Camila Cardona</v>
      </c>
      <c r="F976" s="17" t="str">
        <f>IFERROR(__xludf.DUMMYFUNCTION("""COMPUTED_VALUE"""),"Cra 45 no 15 sur 75 edificio toscano apto 1403 / Detrás del ex edificio de monaco / Santa Maria de Los angeles")</f>
        <v>Cra 45 no 15 sur 75 edificio toscano apto 1403 / Detrás del ex edificio de monaco / Santa Maria de Los angeles</v>
      </c>
      <c r="G976" s="15" t="str">
        <f>IFERROR(__xludf.DUMMYFUNCTION("""COMPUTED_VALUE"""),"A camila cardona")</f>
        <v>A camila cardona</v>
      </c>
      <c r="H976" s="16">
        <f>IFERROR(__xludf.DUMMYFUNCTION("""COMPUTED_VALUE"""),9608.0)</f>
        <v>9608</v>
      </c>
      <c r="I976" s="18">
        <f>IFERROR(__xludf.DUMMYFUNCTION("""COMPUTED_VALUE"""),20.0)</f>
        <v>20</v>
      </c>
      <c r="J976" s="18">
        <f>IFERROR(__xludf.DUMMYFUNCTION("""COMPUTED_VALUE"""),50.0)</f>
        <v>50</v>
      </c>
      <c r="K976" s="18">
        <f>IFERROR(__xludf.DUMMYFUNCTION("""COMPUTED_VALUE"""),50.0)</f>
        <v>50</v>
      </c>
      <c r="L976" s="17">
        <f>IFERROR(__xludf.DUMMYFUNCTION("""COMPUTED_VALUE"""),3.113604309E9)</f>
        <v>3113604309</v>
      </c>
      <c r="M976" s="17" t="str">
        <f>IFERROR(__xludf.DUMMYFUNCTION("""COMPUTED_VALUE"""),"#REF!")</f>
        <v>#REF!</v>
      </c>
      <c r="N976" s="17"/>
      <c r="O976" s="19" t="str">
        <f>IFERROR(__xludf.DUMMYFUNCTION("""COMPUTED_VALUE"""),"")</f>
        <v/>
      </c>
      <c r="P976" s="17" t="b">
        <f>IFERROR(__xludf.DUMMYFUNCTION("""COMPUTED_VALUE"""),FALSE)</f>
        <v>0</v>
      </c>
      <c r="Q976" s="20" t="str">
        <f>IFERROR(__xludf.DUMMYFUNCTION("""COMPUTED_VALUE"""),"")</f>
        <v/>
      </c>
      <c r="R976" s="22" t="str">
        <f>IFERROR(__xludf.DUMMYFUNCTION("""COMPUTED_VALUE"""),"")</f>
        <v/>
      </c>
    </row>
    <row r="977">
      <c r="A977" s="17" t="str">
        <f>IFERROR(__xludf.DUMMYFUNCTION("""COMPUTED_VALUE"""),"")</f>
        <v/>
      </c>
      <c r="B977" s="17" t="str">
        <f>IFERROR(__xludf.DUMMYFUNCTION("""COMPUTED_VALUE"""),"")</f>
        <v/>
      </c>
      <c r="C977" s="17" t="str">
        <f>IFERROR(__xludf.DUMMYFUNCTION("""COMPUTED_VALUE"""),"")</f>
        <v/>
      </c>
      <c r="D977" s="17" t="str">
        <f>IFERROR(__xludf.DUMMYFUNCTION("""COMPUTED_VALUE"""),"")</f>
        <v/>
      </c>
      <c r="E977" s="17" t="str">
        <f>IFERROR(__xludf.DUMMYFUNCTION("""COMPUTED_VALUE"""),"")</f>
        <v/>
      </c>
      <c r="F977" s="17" t="str">
        <f>IFERROR(__xludf.DUMMYFUNCTION("""COMPUTED_VALUE"""),"")</f>
        <v/>
      </c>
      <c r="G977" s="17" t="str">
        <f>IFERROR(__xludf.DUMMYFUNCTION("""COMPUTED_VALUE"""),"")</f>
        <v/>
      </c>
      <c r="H977" s="17" t="str">
        <f>IFERROR(__xludf.DUMMYFUNCTION("""COMPUTED_VALUE"""),"")</f>
        <v/>
      </c>
      <c r="I977" s="17" t="str">
        <f>IFERROR(__xludf.DUMMYFUNCTION("""COMPUTED_VALUE"""),"")</f>
        <v/>
      </c>
      <c r="J977" s="17" t="str">
        <f>IFERROR(__xludf.DUMMYFUNCTION("""COMPUTED_VALUE"""),"")</f>
        <v/>
      </c>
      <c r="K977" s="17" t="str">
        <f>IFERROR(__xludf.DUMMYFUNCTION("""COMPUTED_VALUE"""),"")</f>
        <v/>
      </c>
      <c r="L977" s="17" t="str">
        <f>IFERROR(__xludf.DUMMYFUNCTION("""COMPUTED_VALUE"""),"")</f>
        <v/>
      </c>
      <c r="M977" s="17" t="str">
        <f>IFERROR(__xludf.DUMMYFUNCTION("""COMPUTED_VALUE"""),"")</f>
        <v/>
      </c>
      <c r="N977" s="17" t="str">
        <f>IFERROR(__xludf.DUMMYFUNCTION("""COMPUTED_VALUE"""),"")</f>
        <v/>
      </c>
      <c r="O977" s="17" t="str">
        <f>IFERROR(__xludf.DUMMYFUNCTION("""COMPUTED_VALUE"""),"")</f>
        <v/>
      </c>
      <c r="P977" s="17" t="str">
        <f>IFERROR(__xludf.DUMMYFUNCTION("""COMPUTED_VALUE"""),"")</f>
        <v/>
      </c>
      <c r="Q977" s="17" t="str">
        <f>IFERROR(__xludf.DUMMYFUNCTION("""COMPUTED_VALUE"""),"")</f>
        <v/>
      </c>
      <c r="R977" s="17" t="str">
        <f>IFERROR(__xludf.DUMMYFUNCTION("""COMPUTED_VALUE"""),"")</f>
        <v/>
      </c>
    </row>
    <row r="978">
      <c r="A978" s="15">
        <f>IFERROR(__xludf.DUMMYFUNCTION("""COMPUTED_VALUE"""),45028.0)</f>
        <v>45028</v>
      </c>
      <c r="B978" s="16" t="str">
        <f>IFERROR(__xludf.DUMMYFUNCTION("""COMPUTED_VALUE"""),"Jeison Rubiano")</f>
        <v>Jeison Rubiano</v>
      </c>
      <c r="C978" s="15" t="str">
        <f>IFERROR(__xludf.DUMMYFUNCTION("""COMPUTED_VALUE"""),"BOGOTÁ")</f>
        <v>BOGOTÁ</v>
      </c>
      <c r="D978" s="15" t="str">
        <f>IFERROR(__xludf.DUMMYFUNCTION("""COMPUTED_VALUE"""),"MEDELLÍN")</f>
        <v>MEDELLÍN</v>
      </c>
      <c r="E978" s="15" t="str">
        <f>IFERROR(__xludf.DUMMYFUNCTION("""COMPUTED_VALUE"""),"Baby Chef")</f>
        <v>Baby Chef</v>
      </c>
      <c r="F978" s="17" t="str">
        <f>IFERROR(__xludf.DUMMYFUNCTION("""COMPUTED_VALUE"""),"Calle 105 # 17a-72 apto 501 Apto 501 / Calle 105 # 17a-72 apto 501 Apto 501 / Calle 105 # 17a-72 apto 501 Apto 501")</f>
        <v>Calle 105 # 17a-72 apto 501 Apto 501 / Calle 105 # 17a-72 apto 501 Apto 501 / Calle 105 # 17a-72 apto 501 Apto 501</v>
      </c>
      <c r="G978" s="15" t="str">
        <f>IFERROR(__xludf.DUMMYFUNCTION("""COMPUTED_VALUE"""),"Tatiana Rodriguez")</f>
        <v>Tatiana Rodriguez</v>
      </c>
      <c r="H978" s="16">
        <f>IFERROR(__xludf.DUMMYFUNCTION("""COMPUTED_VALUE"""),9621.0)</f>
        <v>9621</v>
      </c>
      <c r="I978" s="18">
        <f>IFERROR(__xludf.DUMMYFUNCTION("""COMPUTED_VALUE"""),8.0)</f>
        <v>8</v>
      </c>
      <c r="J978" s="18">
        <f>IFERROR(__xludf.DUMMYFUNCTION("""COMPUTED_VALUE"""),16.0)</f>
        <v>16</v>
      </c>
      <c r="K978" s="18">
        <f>IFERROR(__xludf.DUMMYFUNCTION("""COMPUTED_VALUE"""),20.0)</f>
        <v>20</v>
      </c>
      <c r="L978" s="17">
        <f>IFERROR(__xludf.DUMMYFUNCTION("""COMPUTED_VALUE"""),3.21205554E9)</f>
        <v>3212055540</v>
      </c>
      <c r="M978" s="17" t="str">
        <f>IFERROR(__xludf.DUMMYFUNCTION("""COMPUTED_VALUE"""),"#REF!")</f>
        <v>#REF!</v>
      </c>
      <c r="N978" s="17"/>
      <c r="O978" s="19" t="str">
        <f>IFERROR(__xludf.DUMMYFUNCTION("""COMPUTED_VALUE"""),"")</f>
        <v/>
      </c>
      <c r="P978" s="17" t="b">
        <f>IFERROR(__xludf.DUMMYFUNCTION("""COMPUTED_VALUE"""),FALSE)</f>
        <v>0</v>
      </c>
      <c r="Q978" s="20" t="str">
        <f>IFERROR(__xludf.DUMMYFUNCTION("""COMPUTED_VALUE"""),"")</f>
        <v/>
      </c>
      <c r="R978" s="22" t="str">
        <f>IFERROR(__xludf.DUMMYFUNCTION("""COMPUTED_VALUE"""),"")</f>
        <v/>
      </c>
    </row>
    <row r="979">
      <c r="A979" s="15">
        <f>IFERROR(__xludf.DUMMYFUNCTION("""COMPUTED_VALUE"""),45028.0)</f>
        <v>45028</v>
      </c>
      <c r="B979" s="16" t="str">
        <f>IFERROR(__xludf.DUMMYFUNCTION("""COMPUTED_VALUE"""),"Jeison Rubiano")</f>
        <v>Jeison Rubiano</v>
      </c>
      <c r="C979" s="15" t="str">
        <f>IFERROR(__xludf.DUMMYFUNCTION("""COMPUTED_VALUE"""),"BOGOTÁ")</f>
        <v>BOGOTÁ</v>
      </c>
      <c r="D979" s="15" t="str">
        <f>IFERROR(__xludf.DUMMYFUNCTION("""COMPUTED_VALUE"""),"MEDELLÍN")</f>
        <v>MEDELLÍN</v>
      </c>
      <c r="E979" s="15" t="str">
        <f>IFERROR(__xludf.DUMMYFUNCTION("""COMPUTED_VALUE"""),"Baby Chef")</f>
        <v>Baby Chef</v>
      </c>
      <c r="F979" s="17" t="str">
        <f>IFERROR(__xludf.DUMMYFUNCTION("""COMPUTED_VALUE"""),"Calle 118 #53B-25 Apto 501 interior 1 / Calle 118 #53B-25 Apto 501 interior 1 / Calle 118 #53B-25 Apto 501 interior 1")</f>
        <v>Calle 118 #53B-25 Apto 501 interior 1 / Calle 118 #53B-25 Apto 501 interior 1 / Calle 118 #53B-25 Apto 501 interior 1</v>
      </c>
      <c r="G979" s="15" t="str">
        <f>IFERROR(__xludf.DUMMYFUNCTION("""COMPUTED_VALUE"""),"Catalina Linero")</f>
        <v>Catalina Linero</v>
      </c>
      <c r="H979" s="16">
        <f>IFERROR(__xludf.DUMMYFUNCTION("""COMPUTED_VALUE"""),9622.0)</f>
        <v>9622</v>
      </c>
      <c r="I979" s="18">
        <f>IFERROR(__xludf.DUMMYFUNCTION("""COMPUTED_VALUE"""),8.0)</f>
        <v>8</v>
      </c>
      <c r="J979" s="18">
        <f>IFERROR(__xludf.DUMMYFUNCTION("""COMPUTED_VALUE"""),16.0)</f>
        <v>16</v>
      </c>
      <c r="K979" s="18">
        <f>IFERROR(__xludf.DUMMYFUNCTION("""COMPUTED_VALUE"""),20.0)</f>
        <v>20</v>
      </c>
      <c r="L979" s="17">
        <f>IFERROR(__xludf.DUMMYFUNCTION("""COMPUTED_VALUE"""),3.163321606E9)</f>
        <v>3163321606</v>
      </c>
      <c r="M979" s="17" t="str">
        <f>IFERROR(__xludf.DUMMYFUNCTION("""COMPUTED_VALUE"""),"#REF!")</f>
        <v>#REF!</v>
      </c>
      <c r="N979" s="17"/>
      <c r="O979" s="19" t="str">
        <f>IFERROR(__xludf.DUMMYFUNCTION("""COMPUTED_VALUE"""),"")</f>
        <v/>
      </c>
      <c r="P979" s="17" t="b">
        <f>IFERROR(__xludf.DUMMYFUNCTION("""COMPUTED_VALUE"""),FALSE)</f>
        <v>0</v>
      </c>
      <c r="Q979" s="20" t="str">
        <f>IFERROR(__xludf.DUMMYFUNCTION("""COMPUTED_VALUE"""),"")</f>
        <v/>
      </c>
      <c r="R979" s="22" t="str">
        <f>IFERROR(__xludf.DUMMYFUNCTION("""COMPUTED_VALUE"""),"")</f>
        <v/>
      </c>
    </row>
    <row r="980">
      <c r="A980" s="15">
        <f>IFERROR(__xludf.DUMMYFUNCTION("""COMPUTED_VALUE"""),45028.0)</f>
        <v>45028</v>
      </c>
      <c r="B980" s="16" t="str">
        <f>IFERROR(__xludf.DUMMYFUNCTION("""COMPUTED_VALUE"""),"Jeison Rubiano")</f>
        <v>Jeison Rubiano</v>
      </c>
      <c r="C980" s="15" t="str">
        <f>IFERROR(__xludf.DUMMYFUNCTION("""COMPUTED_VALUE"""),"BOGOTÁ")</f>
        <v>BOGOTÁ</v>
      </c>
      <c r="D980" s="15" t="str">
        <f>IFERROR(__xludf.DUMMYFUNCTION("""COMPUTED_VALUE"""),"MEDELLÍN")</f>
        <v>MEDELLÍN</v>
      </c>
      <c r="E980" s="15" t="str">
        <f>IFERROR(__xludf.DUMMYFUNCTION("""COMPUTED_VALUE"""),"Baby Chef")</f>
        <v>Baby Chef</v>
      </c>
      <c r="F980" s="17" t="str">
        <f>IFERROR(__xludf.DUMMYFUNCTION("""COMPUTED_VALUE"""),"Calle 126 # 7-64 , edificio Massalia 126 Apto 502 / Calle 126 # 7-64 , edificio Massalia 126 Apto 502 / Calle 126 # 7-64 , edificio Massalia 126 Apto 502")</f>
        <v>Calle 126 # 7-64 , edificio Massalia 126 Apto 502 / Calle 126 # 7-64 , edificio Massalia 126 Apto 502 / Calle 126 # 7-64 , edificio Massalia 126 Apto 502</v>
      </c>
      <c r="G980" s="15" t="str">
        <f>IFERROR(__xludf.DUMMYFUNCTION("""COMPUTED_VALUE"""),"Alejandra Hernández")</f>
        <v>Alejandra Hernández</v>
      </c>
      <c r="H980" s="16">
        <f>IFERROR(__xludf.DUMMYFUNCTION("""COMPUTED_VALUE"""),9620.0)</f>
        <v>9620</v>
      </c>
      <c r="I980" s="18">
        <f>IFERROR(__xludf.DUMMYFUNCTION("""COMPUTED_VALUE"""),8.0)</f>
        <v>8</v>
      </c>
      <c r="J980" s="18">
        <f>IFERROR(__xludf.DUMMYFUNCTION("""COMPUTED_VALUE"""),16.0)</f>
        <v>16</v>
      </c>
      <c r="K980" s="18">
        <f>IFERROR(__xludf.DUMMYFUNCTION("""COMPUTED_VALUE"""),20.0)</f>
        <v>20</v>
      </c>
      <c r="L980" s="17">
        <f>IFERROR(__xludf.DUMMYFUNCTION("""COMPUTED_VALUE"""),3.188401717E9)</f>
        <v>3188401717</v>
      </c>
      <c r="M980" s="17" t="str">
        <f>IFERROR(__xludf.DUMMYFUNCTION("""COMPUTED_VALUE"""),"#REF!")</f>
        <v>#REF!</v>
      </c>
      <c r="N980" s="17"/>
      <c r="O980" s="19" t="str">
        <f>IFERROR(__xludf.DUMMYFUNCTION("""COMPUTED_VALUE"""),"")</f>
        <v/>
      </c>
      <c r="P980" s="17" t="b">
        <f>IFERROR(__xludf.DUMMYFUNCTION("""COMPUTED_VALUE"""),FALSE)</f>
        <v>0</v>
      </c>
      <c r="Q980" s="20" t="str">
        <f>IFERROR(__xludf.DUMMYFUNCTION("""COMPUTED_VALUE"""),"")</f>
        <v/>
      </c>
      <c r="R980" s="22" t="str">
        <f>IFERROR(__xludf.DUMMYFUNCTION("""COMPUTED_VALUE"""),"")</f>
        <v/>
      </c>
    </row>
    <row r="981">
      <c r="A981" s="15">
        <f>IFERROR(__xludf.DUMMYFUNCTION("""COMPUTED_VALUE"""),45028.0)</f>
        <v>45028</v>
      </c>
      <c r="B981" s="16" t="str">
        <f>IFERROR(__xludf.DUMMYFUNCTION("""COMPUTED_VALUE"""),"Jeison Rubiano")</f>
        <v>Jeison Rubiano</v>
      </c>
      <c r="C981" s="15" t="str">
        <f>IFERROR(__xludf.DUMMYFUNCTION("""COMPUTED_VALUE"""),"BOGOTÁ")</f>
        <v>BOGOTÁ</v>
      </c>
      <c r="D981" s="15" t="str">
        <f>IFERROR(__xludf.DUMMYFUNCTION("""COMPUTED_VALUE"""),"MEDELLÍN")</f>
        <v>MEDELLÍN</v>
      </c>
      <c r="E981" s="15" t="str">
        <f>IFERROR(__xludf.DUMMYFUNCTION("""COMPUTED_VALUE"""),"Baby Chef")</f>
        <v>Baby Chef</v>
      </c>
      <c r="F981" s="17" t="str">
        <f>IFERROR(__xludf.DUMMYFUNCTION("""COMPUTED_VALUE"""),"Calle 39 sur #68d 92 Local / Calle 39 sur #68d 92 Local / Calle 39 sur #68d 92 Local")</f>
        <v>Calle 39 sur #68d 92 Local / Calle 39 sur #68d 92 Local / Calle 39 sur #68d 92 Local</v>
      </c>
      <c r="G981" s="15" t="str">
        <f>IFERROR(__xludf.DUMMYFUNCTION("""COMPUTED_VALUE"""),"Angie  Grajales rojas")</f>
        <v>Angie  Grajales rojas</v>
      </c>
      <c r="H981" s="16">
        <f>IFERROR(__xludf.DUMMYFUNCTION("""COMPUTED_VALUE"""),9618.0)</f>
        <v>9618</v>
      </c>
      <c r="I981" s="18">
        <f>IFERROR(__xludf.DUMMYFUNCTION("""COMPUTED_VALUE"""),8.0)</f>
        <v>8</v>
      </c>
      <c r="J981" s="18">
        <f>IFERROR(__xludf.DUMMYFUNCTION("""COMPUTED_VALUE"""),16.0)</f>
        <v>16</v>
      </c>
      <c r="K981" s="18">
        <f>IFERROR(__xludf.DUMMYFUNCTION("""COMPUTED_VALUE"""),20.0)</f>
        <v>20</v>
      </c>
      <c r="L981" s="17">
        <f>IFERROR(__xludf.DUMMYFUNCTION("""COMPUTED_VALUE"""),3.003402311E9)</f>
        <v>3003402311</v>
      </c>
      <c r="M981" s="17" t="str">
        <f>IFERROR(__xludf.DUMMYFUNCTION("""COMPUTED_VALUE"""),"#REF!")</f>
        <v>#REF!</v>
      </c>
      <c r="N981" s="17"/>
      <c r="O981" s="19" t="str">
        <f>IFERROR(__xludf.DUMMYFUNCTION("""COMPUTED_VALUE"""),"")</f>
        <v/>
      </c>
      <c r="P981" s="17" t="b">
        <f>IFERROR(__xludf.DUMMYFUNCTION("""COMPUTED_VALUE"""),FALSE)</f>
        <v>0</v>
      </c>
      <c r="Q981" s="20" t="str">
        <f>IFERROR(__xludf.DUMMYFUNCTION("""COMPUTED_VALUE"""),"")</f>
        <v/>
      </c>
      <c r="R981" s="22" t="str">
        <f>IFERROR(__xludf.DUMMYFUNCTION("""COMPUTED_VALUE"""),"")</f>
        <v/>
      </c>
    </row>
    <row r="982">
      <c r="A982" s="15">
        <f>IFERROR(__xludf.DUMMYFUNCTION("""COMPUTED_VALUE"""),45028.0)</f>
        <v>45028</v>
      </c>
      <c r="B982" s="16" t="str">
        <f>IFERROR(__xludf.DUMMYFUNCTION("""COMPUTED_VALUE"""),"Jeison Rubiano")</f>
        <v>Jeison Rubiano</v>
      </c>
      <c r="C982" s="15" t="str">
        <f>IFERROR(__xludf.DUMMYFUNCTION("""COMPUTED_VALUE"""),"BOGOTÁ")</f>
        <v>BOGOTÁ</v>
      </c>
      <c r="D982" s="15" t="str">
        <f>IFERROR(__xludf.DUMMYFUNCTION("""COMPUTED_VALUE"""),"MEDELLÍN")</f>
        <v>MEDELLÍN</v>
      </c>
      <c r="E982" s="15" t="str">
        <f>IFERROR(__xludf.DUMMYFUNCTION("""COMPUTED_VALUE"""),"Baby Chef")</f>
        <v>Baby Chef</v>
      </c>
      <c r="F982" s="17" t="str">
        <f>IFERROR(__xludf.DUMMYFUNCTION("""COMPUTED_VALUE"""),"Carrera 96B#17A-10 Apartamento 1205 Torre A - Conjunto Porton de Hayuelos 3 / Carrera 96B#17A-10 Apartamento 1205 Torre A - Conjunto Porton de Hayuelos 3 / Carrera 96B#17A-10 Apartamento 1205 Torre A - Conjunto Porton de Hayuelos 3")</f>
        <v>Carrera 96B#17A-10 Apartamento 1205 Torre A - Conjunto Porton de Hayuelos 3 / Carrera 96B#17A-10 Apartamento 1205 Torre A - Conjunto Porton de Hayuelos 3 / Carrera 96B#17A-10 Apartamento 1205 Torre A - Conjunto Porton de Hayuelos 3</v>
      </c>
      <c r="G982" s="15" t="str">
        <f>IFERROR(__xludf.DUMMYFUNCTION("""COMPUTED_VALUE"""),"Johana Malagón")</f>
        <v>Johana Malagón</v>
      </c>
      <c r="H982" s="16">
        <f>IFERROR(__xludf.DUMMYFUNCTION("""COMPUTED_VALUE"""),9619.0)</f>
        <v>9619</v>
      </c>
      <c r="I982" s="18">
        <f>IFERROR(__xludf.DUMMYFUNCTION("""COMPUTED_VALUE"""),10.0)</f>
        <v>10</v>
      </c>
      <c r="J982" s="18">
        <f>IFERROR(__xludf.DUMMYFUNCTION("""COMPUTED_VALUE"""),20.0)</f>
        <v>20</v>
      </c>
      <c r="K982" s="18">
        <f>IFERROR(__xludf.DUMMYFUNCTION("""COMPUTED_VALUE"""),20.0)</f>
        <v>20</v>
      </c>
      <c r="L982" s="17">
        <f>IFERROR(__xludf.DUMMYFUNCTION("""COMPUTED_VALUE"""),3.124711144E9)</f>
        <v>3124711144</v>
      </c>
      <c r="M982" s="17" t="str">
        <f>IFERROR(__xludf.DUMMYFUNCTION("""COMPUTED_VALUE"""),"#REF!")</f>
        <v>#REF!</v>
      </c>
      <c r="N982" s="17"/>
      <c r="O982" s="19" t="str">
        <f>IFERROR(__xludf.DUMMYFUNCTION("""COMPUTED_VALUE"""),"")</f>
        <v/>
      </c>
      <c r="P982" s="17" t="b">
        <f>IFERROR(__xludf.DUMMYFUNCTION("""COMPUTED_VALUE"""),FALSE)</f>
        <v>0</v>
      </c>
      <c r="Q982" s="20" t="str">
        <f>IFERROR(__xludf.DUMMYFUNCTION("""COMPUTED_VALUE"""),"")</f>
        <v/>
      </c>
      <c r="R982" s="22" t="str">
        <f>IFERROR(__xludf.DUMMYFUNCTION("""COMPUTED_VALUE"""),"")</f>
        <v/>
      </c>
    </row>
    <row r="983">
      <c r="A983" s="15">
        <f>IFERROR(__xludf.DUMMYFUNCTION("""COMPUTED_VALUE"""),45028.0)</f>
        <v>45028</v>
      </c>
      <c r="B983" s="16" t="str">
        <f>IFERROR(__xludf.DUMMYFUNCTION("""COMPUTED_VALUE"""),"Jeison Rubiano")</f>
        <v>Jeison Rubiano</v>
      </c>
      <c r="C983" s="15" t="str">
        <f>IFERROR(__xludf.DUMMYFUNCTION("""COMPUTED_VALUE"""),"BOGOTÁ")</f>
        <v>BOGOTÁ</v>
      </c>
      <c r="D983" s="15" t="str">
        <f>IFERROR(__xludf.DUMMYFUNCTION("""COMPUTED_VALUE"""),"MEDELLÍN")</f>
        <v>MEDELLÍN</v>
      </c>
      <c r="E983" s="15" t="str">
        <f>IFERROR(__xludf.DUMMYFUNCTION("""COMPUTED_VALUE"""),"Felicidad Bakery Bogotá")</f>
        <v>Felicidad Bakery Bogotá</v>
      </c>
      <c r="F983" s="17" t="str">
        <f>IFERROR(__xludf.DUMMYFUNCTION("""COMPUTED_VALUE"""),"Calle 92 #15-62 / Local 103 / Edificio centro chicó")</f>
        <v>Calle 92 #15-62 / Local 103 / Edificio centro chicó</v>
      </c>
      <c r="G983" s="15" t="str">
        <f>IFERROR(__xludf.DUMMYFUNCTION("""COMPUTED_VALUE"""),"Camilo Hernandez")</f>
        <v>Camilo Hernandez</v>
      </c>
      <c r="H983" s="16">
        <f>IFERROR(__xludf.DUMMYFUNCTION("""COMPUTED_VALUE"""),9649.0)</f>
        <v>9649</v>
      </c>
      <c r="I983" s="18">
        <f>IFERROR(__xludf.DUMMYFUNCTION("""COMPUTED_VALUE"""),100.0)</f>
        <v>100</v>
      </c>
      <c r="J983" s="18">
        <f>IFERROR(__xludf.DUMMYFUNCTION("""COMPUTED_VALUE"""),10.0)</f>
        <v>10</v>
      </c>
      <c r="K983" s="18" t="str">
        <f>IFERROR(__xludf.DUMMYFUNCTION("""COMPUTED_VALUE"""),"34.4")</f>
        <v>34.4</v>
      </c>
      <c r="L983" s="17">
        <f>IFERROR(__xludf.DUMMYFUNCTION("""COMPUTED_VALUE"""),3.013527163E9)</f>
        <v>3013527163</v>
      </c>
      <c r="M983" s="17" t="str">
        <f>IFERROR(__xludf.DUMMYFUNCTION("""COMPUTED_VALUE"""),"#REF!")</f>
        <v>#REF!</v>
      </c>
      <c r="N983" s="17"/>
      <c r="O983" s="19" t="str">
        <f>IFERROR(__xludf.DUMMYFUNCTION("""COMPUTED_VALUE"""),"")</f>
        <v/>
      </c>
      <c r="P983" s="17" t="b">
        <f>IFERROR(__xludf.DUMMYFUNCTION("""COMPUTED_VALUE"""),FALSE)</f>
        <v>0</v>
      </c>
      <c r="Q983" s="20" t="str">
        <f>IFERROR(__xludf.DUMMYFUNCTION("""COMPUTED_VALUE"""),"")</f>
        <v/>
      </c>
      <c r="R983" s="22" t="str">
        <f>IFERROR(__xludf.DUMMYFUNCTION("""COMPUTED_VALUE"""),"")</f>
        <v/>
      </c>
    </row>
    <row r="984">
      <c r="A984" s="15">
        <f>IFERROR(__xludf.DUMMYFUNCTION("""COMPUTED_VALUE"""),45028.0)</f>
        <v>45028</v>
      </c>
      <c r="B984" s="16" t="str">
        <f>IFERROR(__xludf.DUMMYFUNCTION("""COMPUTED_VALUE"""),"Jeison Rubiano")</f>
        <v>Jeison Rubiano</v>
      </c>
      <c r="C984" s="15" t="str">
        <f>IFERROR(__xludf.DUMMYFUNCTION("""COMPUTED_VALUE"""),"BOGOTÁ")</f>
        <v>BOGOTÁ</v>
      </c>
      <c r="D984" s="15" t="str">
        <f>IFERROR(__xludf.DUMMYFUNCTION("""COMPUTED_VALUE"""),"MEDELLÍN")</f>
        <v>MEDELLÍN</v>
      </c>
      <c r="E984" s="15" t="str">
        <f>IFERROR(__xludf.DUMMYFUNCTION("""COMPUTED_VALUE"""),"Moloso S.A.S")</f>
        <v>Moloso S.A.S</v>
      </c>
      <c r="F984" s="17" t="str">
        <f>IFERROR(__xludf.DUMMYFUNCTION("""COMPUTED_VALUE"""),"CLL 94 72A 95 / BOSQUE DE LOS LAGARTOS TO 8 AP 303")</f>
        <v>CLL 94 72A 95 / BOSQUE DE LOS LAGARTOS TO 8 AP 303</v>
      </c>
      <c r="G984" s="15" t="str">
        <f>IFERROR(__xludf.DUMMYFUNCTION("""COMPUTED_VALUE"""),"LORENA BUITRAGO MORA")</f>
        <v>LORENA BUITRAGO MORA</v>
      </c>
      <c r="H984" s="16">
        <f>IFERROR(__xludf.DUMMYFUNCTION("""COMPUTED_VALUE"""),9617.0)</f>
        <v>9617</v>
      </c>
      <c r="I984" s="18">
        <f>IFERROR(__xludf.DUMMYFUNCTION("""COMPUTED_VALUE"""),17.0)</f>
        <v>17</v>
      </c>
      <c r="J984" s="18">
        <f>IFERROR(__xludf.DUMMYFUNCTION("""COMPUTED_VALUE"""),15.0)</f>
        <v>15</v>
      </c>
      <c r="K984" s="18">
        <f>IFERROR(__xludf.DUMMYFUNCTION("""COMPUTED_VALUE"""),28.0)</f>
        <v>28</v>
      </c>
      <c r="L984" s="17" t="str">
        <f>IFERROR(__xludf.DUMMYFUNCTION("""COMPUTED_VALUE"""),"312 5644023")</f>
        <v>312 5644023</v>
      </c>
      <c r="M984" s="17" t="str">
        <f>IFERROR(__xludf.DUMMYFUNCTION("""COMPUTED_VALUE"""),"#REF!")</f>
        <v>#REF!</v>
      </c>
      <c r="N984" s="17"/>
      <c r="O984" s="19" t="str">
        <f>IFERROR(__xludf.DUMMYFUNCTION("""COMPUTED_VALUE"""),"")</f>
        <v/>
      </c>
      <c r="P984" s="17" t="b">
        <f>IFERROR(__xludf.DUMMYFUNCTION("""COMPUTED_VALUE"""),FALSE)</f>
        <v>0</v>
      </c>
      <c r="Q984" s="20" t="str">
        <f>IFERROR(__xludf.DUMMYFUNCTION("""COMPUTED_VALUE"""),"")</f>
        <v/>
      </c>
      <c r="R984" s="22" t="str">
        <f>IFERROR(__xludf.DUMMYFUNCTION("""COMPUTED_VALUE"""),"")</f>
        <v/>
      </c>
    </row>
    <row r="985">
      <c r="A985" s="15">
        <f>IFERROR(__xludf.DUMMYFUNCTION("""COMPUTED_VALUE"""),45028.0)</f>
        <v>45028</v>
      </c>
      <c r="B985" s="16" t="str">
        <f>IFERROR(__xludf.DUMMYFUNCTION("""COMPUTED_VALUE"""),"Jeison Rubiano")</f>
        <v>Jeison Rubiano</v>
      </c>
      <c r="C985" s="15" t="str">
        <f>IFERROR(__xludf.DUMMYFUNCTION("""COMPUTED_VALUE"""),"MONTERIA")</f>
        <v>MONTERIA</v>
      </c>
      <c r="D985" s="15" t="str">
        <f>IFERROR(__xludf.DUMMYFUNCTION("""COMPUTED_VALUE"""),"MEDELLÍN")</f>
        <v>MEDELLÍN</v>
      </c>
      <c r="E985" s="15" t="str">
        <f>IFERROR(__xludf.DUMMYFUNCTION("""COMPUTED_VALUE"""),"Rambla")</f>
        <v>Rambla</v>
      </c>
      <c r="F985" s="17" t="str">
        <f>IFERROR(__xludf.DUMMYFUNCTION("""COMPUTED_VALUE"""),"calle 62  #6 45lc  2 barrio los alcazares cr7 / na / na")</f>
        <v>calle 62  #6 45lc  2 barrio los alcazares cr7 / na / na</v>
      </c>
      <c r="G985" s="15" t="str">
        <f>IFERROR(__xludf.DUMMYFUNCTION("""COMPUTED_VALUE"""),"Felii Restaurante")</f>
        <v>Felii Restaurante</v>
      </c>
      <c r="H985" s="16">
        <f>IFERROR(__xludf.DUMMYFUNCTION("""COMPUTED_VALUE"""),9635.0)</f>
        <v>9635</v>
      </c>
      <c r="I985" s="18">
        <f>IFERROR(__xludf.DUMMYFUNCTION("""COMPUTED_VALUE"""),28.0)</f>
        <v>28</v>
      </c>
      <c r="J985" s="18">
        <f>IFERROR(__xludf.DUMMYFUNCTION("""COMPUTED_VALUE"""),31.0)</f>
        <v>31</v>
      </c>
      <c r="K985" s="18">
        <f>IFERROR(__xludf.DUMMYFUNCTION("""COMPUTED_VALUE"""),35.0)</f>
        <v>35</v>
      </c>
      <c r="L985" s="17">
        <f>IFERROR(__xludf.DUMMYFUNCTION("""COMPUTED_VALUE"""),6.027894758E9)</f>
        <v>6027894758</v>
      </c>
      <c r="M985" s="17" t="str">
        <f>IFERROR(__xludf.DUMMYFUNCTION("""COMPUTED_VALUE"""),"#REF!")</f>
        <v>#REF!</v>
      </c>
      <c r="N985" s="17"/>
      <c r="O985" s="19" t="str">
        <f>IFERROR(__xludf.DUMMYFUNCTION("""COMPUTED_VALUE"""),"")</f>
        <v/>
      </c>
      <c r="P985" s="17" t="b">
        <f>IFERROR(__xludf.DUMMYFUNCTION("""COMPUTED_VALUE"""),FALSE)</f>
        <v>0</v>
      </c>
      <c r="Q985" s="20" t="str">
        <f>IFERROR(__xludf.DUMMYFUNCTION("""COMPUTED_VALUE"""),"")</f>
        <v/>
      </c>
      <c r="R985" s="22" t="str">
        <f>IFERROR(__xludf.DUMMYFUNCTION("""COMPUTED_VALUE"""),"")</f>
        <v/>
      </c>
    </row>
    <row r="986">
      <c r="A986" s="17" t="str">
        <f>IFERROR(__xludf.DUMMYFUNCTION("""COMPUTED_VALUE"""),"")</f>
        <v/>
      </c>
      <c r="B986" s="17" t="str">
        <f>IFERROR(__xludf.DUMMYFUNCTION("""COMPUTED_VALUE"""),"")</f>
        <v/>
      </c>
      <c r="C986" s="17" t="str">
        <f>IFERROR(__xludf.DUMMYFUNCTION("""COMPUTED_VALUE"""),"")</f>
        <v/>
      </c>
      <c r="D986" s="17" t="str">
        <f>IFERROR(__xludf.DUMMYFUNCTION("""COMPUTED_VALUE"""),"")</f>
        <v/>
      </c>
      <c r="E986" s="17" t="str">
        <f>IFERROR(__xludf.DUMMYFUNCTION("""COMPUTED_VALUE"""),"")</f>
        <v/>
      </c>
      <c r="F986" s="17" t="str">
        <f>IFERROR(__xludf.DUMMYFUNCTION("""COMPUTED_VALUE"""),"")</f>
        <v/>
      </c>
      <c r="G986" s="17" t="str">
        <f>IFERROR(__xludf.DUMMYFUNCTION("""COMPUTED_VALUE"""),"")</f>
        <v/>
      </c>
      <c r="H986" s="17" t="str">
        <f>IFERROR(__xludf.DUMMYFUNCTION("""COMPUTED_VALUE"""),"")</f>
        <v/>
      </c>
      <c r="I986" s="17" t="str">
        <f>IFERROR(__xludf.DUMMYFUNCTION("""COMPUTED_VALUE"""),"")</f>
        <v/>
      </c>
      <c r="J986" s="17" t="str">
        <f>IFERROR(__xludf.DUMMYFUNCTION("""COMPUTED_VALUE"""),"")</f>
        <v/>
      </c>
      <c r="K986" s="17" t="str">
        <f>IFERROR(__xludf.DUMMYFUNCTION("""COMPUTED_VALUE"""),"")</f>
        <v/>
      </c>
      <c r="L986" s="17" t="str">
        <f>IFERROR(__xludf.DUMMYFUNCTION("""COMPUTED_VALUE"""),"")</f>
        <v/>
      </c>
      <c r="M986" s="17" t="str">
        <f>IFERROR(__xludf.DUMMYFUNCTION("""COMPUTED_VALUE"""),"")</f>
        <v/>
      </c>
      <c r="N986" s="17" t="str">
        <f>IFERROR(__xludf.DUMMYFUNCTION("""COMPUTED_VALUE"""),"")</f>
        <v/>
      </c>
      <c r="O986" s="17" t="str">
        <f>IFERROR(__xludf.DUMMYFUNCTION("""COMPUTED_VALUE"""),"")</f>
        <v/>
      </c>
      <c r="P986" s="17" t="str">
        <f>IFERROR(__xludf.DUMMYFUNCTION("""COMPUTED_VALUE"""),"")</f>
        <v/>
      </c>
      <c r="Q986" s="17" t="str">
        <f>IFERROR(__xludf.DUMMYFUNCTION("""COMPUTED_VALUE"""),"")</f>
        <v/>
      </c>
      <c r="R986" s="17" t="str">
        <f>IFERROR(__xludf.DUMMYFUNCTION("""COMPUTED_VALUE"""),"")</f>
        <v/>
      </c>
    </row>
    <row r="987">
      <c r="A987" s="15">
        <f>IFERROR(__xludf.DUMMYFUNCTION("""COMPUTED_VALUE"""),45028.0)</f>
        <v>45028</v>
      </c>
      <c r="B987" s="16" t="str">
        <f>IFERROR(__xludf.DUMMYFUNCTION("""COMPUTED_VALUE"""),"Johan Alexander Escobar Arroyo ")</f>
        <v>Johan Alexander Escobar Arroyo </v>
      </c>
      <c r="C987" s="15" t="str">
        <f>IFERROR(__xludf.DUMMYFUNCTION("""COMPUTED_VALUE"""),"CALI")</f>
        <v>CALI</v>
      </c>
      <c r="D987" s="15" t="str">
        <f>IFERROR(__xludf.DUMMYFUNCTION("""COMPUTED_VALUE"""),"MEDELLÍN")</f>
        <v>MEDELLÍN</v>
      </c>
      <c r="E987" s="15" t="str">
        <f>IFERROR(__xludf.DUMMYFUNCTION("""COMPUTED_VALUE"""),"Baby Chef")</f>
        <v>Baby Chef</v>
      </c>
      <c r="F987" s="17" t="str">
        <f>IFERROR(__xludf.DUMMYFUNCTION("""COMPUTED_VALUE"""),"Calle 17 No 86 96, Apto 401 Torre D, / Calle 17 No 86 96, Apto 401 Torre D, Apto 401 Torre D Apto 401 Torre D / Calle 17 No 86 96, Apto 401 Torre D, Apto 401 Torre D Apto 401 Torre D")</f>
        <v>Calle 17 No 86 96, Apto 401 Torre D, / Calle 17 No 86 96, Apto 401 Torre D, Apto 401 Torre D Apto 401 Torre D / Calle 17 No 86 96, Apto 401 Torre D, Apto 401 Torre D Apto 401 Torre D</v>
      </c>
      <c r="G987" s="15" t="str">
        <f>IFERROR(__xludf.DUMMYFUNCTION("""COMPUTED_VALUE"""),"Laura Salas")</f>
        <v>Laura Salas</v>
      </c>
      <c r="H987" s="16">
        <f>IFERROR(__xludf.DUMMYFUNCTION("""COMPUTED_VALUE"""),9603.0)</f>
        <v>9603</v>
      </c>
      <c r="I987" s="18">
        <f>IFERROR(__xludf.DUMMYFUNCTION("""COMPUTED_VALUE"""),8.0)</f>
        <v>8</v>
      </c>
      <c r="J987" s="18">
        <f>IFERROR(__xludf.DUMMYFUNCTION("""COMPUTED_VALUE"""),16.0)</f>
        <v>16</v>
      </c>
      <c r="K987" s="18">
        <f>IFERROR(__xludf.DUMMYFUNCTION("""COMPUTED_VALUE"""),20.0)</f>
        <v>20</v>
      </c>
      <c r="L987" s="17">
        <f>IFERROR(__xludf.DUMMYFUNCTION("""COMPUTED_VALUE"""),3.187709543E9)</f>
        <v>3187709543</v>
      </c>
      <c r="M987" s="17" t="str">
        <f>IFERROR(__xludf.DUMMYFUNCTION("""COMPUTED_VALUE"""),"#REF!")</f>
        <v>#REF!</v>
      </c>
      <c r="N987" s="17"/>
      <c r="O987" s="19" t="str">
        <f>IFERROR(__xludf.DUMMYFUNCTION("""COMPUTED_VALUE"""),"")</f>
        <v/>
      </c>
      <c r="P987" s="17" t="b">
        <f>IFERROR(__xludf.DUMMYFUNCTION("""COMPUTED_VALUE"""),FALSE)</f>
        <v>0</v>
      </c>
      <c r="Q987" s="20" t="str">
        <f>IFERROR(__xludf.DUMMYFUNCTION("""COMPUTED_VALUE"""),"")</f>
        <v/>
      </c>
      <c r="R987" s="22" t="str">
        <f>IFERROR(__xludf.DUMMYFUNCTION("""COMPUTED_VALUE"""),"")</f>
        <v/>
      </c>
    </row>
    <row r="988">
      <c r="A988" s="15">
        <f>IFERROR(__xludf.DUMMYFUNCTION("""COMPUTED_VALUE"""),45028.0)</f>
        <v>45028</v>
      </c>
      <c r="B988" s="16" t="str">
        <f>IFERROR(__xludf.DUMMYFUNCTION("""COMPUTED_VALUE"""),"Johan Alexander Escobar Arroyo ")</f>
        <v>Johan Alexander Escobar Arroyo </v>
      </c>
      <c r="C988" s="15" t="str">
        <f>IFERROR(__xludf.DUMMYFUNCTION("""COMPUTED_VALUE"""),"CALI")</f>
        <v>CALI</v>
      </c>
      <c r="D988" s="15" t="str">
        <f>IFERROR(__xludf.DUMMYFUNCTION("""COMPUTED_VALUE"""),"MEDELLÍN")</f>
        <v>MEDELLÍN</v>
      </c>
      <c r="E988" s="15" t="str">
        <f>IFERROR(__xludf.DUMMYFUNCTION("""COMPUTED_VALUE"""),"Baby Chef")</f>
        <v>Baby Chef</v>
      </c>
      <c r="F988" s="17" t="str">
        <f>IFERROR(__xludf.DUMMYFUNCTION("""COMPUTED_VALUE"""),"Calle 33 a # 11 c 29 Barrio municipal / Calle 33 a # 11 c 29 Barrio municipal / Calle 33 a # 11 c 29 Barrio municipal")</f>
        <v>Calle 33 a # 11 c 29 Barrio municipal / Calle 33 a # 11 c 29 Barrio municipal / Calle 33 a # 11 c 29 Barrio municipal</v>
      </c>
      <c r="G988" s="15" t="str">
        <f>IFERROR(__xludf.DUMMYFUNCTION("""COMPUTED_VALUE"""),"Cindy johana Ramirez muñoz")</f>
        <v>Cindy johana Ramirez muñoz</v>
      </c>
      <c r="H988" s="16">
        <f>IFERROR(__xludf.DUMMYFUNCTION("""COMPUTED_VALUE"""),9600.0)</f>
        <v>9600</v>
      </c>
      <c r="I988" s="18">
        <f>IFERROR(__xludf.DUMMYFUNCTION("""COMPUTED_VALUE"""),8.0)</f>
        <v>8</v>
      </c>
      <c r="J988" s="18">
        <f>IFERROR(__xludf.DUMMYFUNCTION("""COMPUTED_VALUE"""),16.0)</f>
        <v>16</v>
      </c>
      <c r="K988" s="18">
        <f>IFERROR(__xludf.DUMMYFUNCTION("""COMPUTED_VALUE"""),20.0)</f>
        <v>20</v>
      </c>
      <c r="L988" s="17">
        <f>IFERROR(__xludf.DUMMYFUNCTION("""COMPUTED_VALUE"""),3.167561473E9)</f>
        <v>3167561473</v>
      </c>
      <c r="M988" s="17" t="str">
        <f>IFERROR(__xludf.DUMMYFUNCTION("""COMPUTED_VALUE"""),"#REF!")</f>
        <v>#REF!</v>
      </c>
      <c r="N988" s="17"/>
      <c r="O988" s="19" t="str">
        <f>IFERROR(__xludf.DUMMYFUNCTION("""COMPUTED_VALUE"""),"")</f>
        <v/>
      </c>
      <c r="P988" s="17" t="b">
        <f>IFERROR(__xludf.DUMMYFUNCTION("""COMPUTED_VALUE"""),FALSE)</f>
        <v>0</v>
      </c>
      <c r="Q988" s="20" t="str">
        <f>IFERROR(__xludf.DUMMYFUNCTION("""COMPUTED_VALUE"""),"")</f>
        <v/>
      </c>
      <c r="R988" s="22" t="str">
        <f>IFERROR(__xludf.DUMMYFUNCTION("""COMPUTED_VALUE"""),"")</f>
        <v/>
      </c>
    </row>
    <row r="989">
      <c r="A989" s="15">
        <f>IFERROR(__xludf.DUMMYFUNCTION("""COMPUTED_VALUE"""),45028.0)</f>
        <v>45028</v>
      </c>
      <c r="B989" s="16" t="str">
        <f>IFERROR(__xludf.DUMMYFUNCTION("""COMPUTED_VALUE"""),"Johan Alexander Escobar Arroyo ")</f>
        <v>Johan Alexander Escobar Arroyo </v>
      </c>
      <c r="C989" s="15" t="str">
        <f>IFERROR(__xludf.DUMMYFUNCTION("""COMPUTED_VALUE"""),"CALI")</f>
        <v>CALI</v>
      </c>
      <c r="D989" s="15" t="str">
        <f>IFERROR(__xludf.DUMMYFUNCTION("""COMPUTED_VALUE"""),"MEDELLÍN")</f>
        <v>MEDELLÍN</v>
      </c>
      <c r="E989" s="15" t="str">
        <f>IFERROR(__xludf.DUMMYFUNCTION("""COMPUTED_VALUE"""),"Baby Chef")</f>
        <v>Baby Chef</v>
      </c>
      <c r="F989" s="17" t="str">
        <f>IFERROR(__xludf.DUMMYFUNCTION("""COMPUTED_VALUE"""),"Calle 53 #1-126 Apt 502-F / Calle 53 #1-126 Apt 502-F / Calle 53 #1-126 Apt 502-F")</f>
        <v>Calle 53 #1-126 Apt 502-F / Calle 53 #1-126 Apt 502-F / Calle 53 #1-126 Apt 502-F</v>
      </c>
      <c r="G989" s="15" t="str">
        <f>IFERROR(__xludf.DUMMYFUNCTION("""COMPUTED_VALUE"""),"Johana Estefania  Romero Moreno")</f>
        <v>Johana Estefania  Romero Moreno</v>
      </c>
      <c r="H989" s="16">
        <f>IFERROR(__xludf.DUMMYFUNCTION("""COMPUTED_VALUE"""),9598.0)</f>
        <v>9598</v>
      </c>
      <c r="I989" s="18">
        <f>IFERROR(__xludf.DUMMYFUNCTION("""COMPUTED_VALUE"""),8.0)</f>
        <v>8</v>
      </c>
      <c r="J989" s="18">
        <f>IFERROR(__xludf.DUMMYFUNCTION("""COMPUTED_VALUE"""),16.0)</f>
        <v>16</v>
      </c>
      <c r="K989" s="18">
        <f>IFERROR(__xludf.DUMMYFUNCTION("""COMPUTED_VALUE"""),20.0)</f>
        <v>20</v>
      </c>
      <c r="L989" s="17">
        <f>IFERROR(__xludf.DUMMYFUNCTION("""COMPUTED_VALUE"""),3.163185401E9)</f>
        <v>3163185401</v>
      </c>
      <c r="M989" s="17" t="str">
        <f>IFERROR(__xludf.DUMMYFUNCTION("""COMPUTED_VALUE"""),"#REF!")</f>
        <v>#REF!</v>
      </c>
      <c r="N989" s="17"/>
      <c r="O989" s="19" t="str">
        <f>IFERROR(__xludf.DUMMYFUNCTION("""COMPUTED_VALUE"""),"")</f>
        <v/>
      </c>
      <c r="P989" s="17" t="b">
        <f>IFERROR(__xludf.DUMMYFUNCTION("""COMPUTED_VALUE"""),FALSE)</f>
        <v>0</v>
      </c>
      <c r="Q989" s="20" t="str">
        <f>IFERROR(__xludf.DUMMYFUNCTION("""COMPUTED_VALUE"""),"")</f>
        <v/>
      </c>
      <c r="R989" s="22" t="str">
        <f>IFERROR(__xludf.DUMMYFUNCTION("""COMPUTED_VALUE"""),"")</f>
        <v/>
      </c>
    </row>
    <row r="990">
      <c r="A990" s="15">
        <f>IFERROR(__xludf.DUMMYFUNCTION("""COMPUTED_VALUE"""),45028.0)</f>
        <v>45028</v>
      </c>
      <c r="B990" s="16" t="str">
        <f>IFERROR(__xludf.DUMMYFUNCTION("""COMPUTED_VALUE"""),"Johan Alexander Escobar Arroyo ")</f>
        <v>Johan Alexander Escobar Arroyo </v>
      </c>
      <c r="C990" s="15" t="str">
        <f>IFERROR(__xludf.DUMMYFUNCTION("""COMPUTED_VALUE"""),"CALI")</f>
        <v>CALI</v>
      </c>
      <c r="D990" s="15" t="str">
        <f>IFERROR(__xludf.DUMMYFUNCTION("""COMPUTED_VALUE"""),"MEDELLÍN")</f>
        <v>MEDELLÍN</v>
      </c>
      <c r="E990" s="15" t="str">
        <f>IFERROR(__xludf.DUMMYFUNCTION("""COMPUTED_VALUE"""),"Baby Chef")</f>
        <v>Baby Chef</v>
      </c>
      <c r="F990" s="17" t="str">
        <f>IFERROR(__xludf.DUMMYFUNCTION("""COMPUTED_VALUE"""),"Cra 12c #42-45 Barrio Las Américas Apto 3 / Cra 12c #42-45 Barrio Las Américas Apto 3 / Cra 12c #42-45 Barrio Las Américas Apto 3")</f>
        <v>Cra 12c #42-45 Barrio Las Américas Apto 3 / Cra 12c #42-45 Barrio Las Américas Apto 3 / Cra 12c #42-45 Barrio Las Américas Apto 3</v>
      </c>
      <c r="G990" s="15" t="str">
        <f>IFERROR(__xludf.DUMMYFUNCTION("""COMPUTED_VALUE"""),"Diana Marcela  Candamil Castro")</f>
        <v>Diana Marcela  Candamil Castro</v>
      </c>
      <c r="H990" s="16">
        <f>IFERROR(__xludf.DUMMYFUNCTION("""COMPUTED_VALUE"""),9601.0)</f>
        <v>9601</v>
      </c>
      <c r="I990" s="18">
        <f>IFERROR(__xludf.DUMMYFUNCTION("""COMPUTED_VALUE"""),8.0)</f>
        <v>8</v>
      </c>
      <c r="J990" s="18">
        <f>IFERROR(__xludf.DUMMYFUNCTION("""COMPUTED_VALUE"""),16.0)</f>
        <v>16</v>
      </c>
      <c r="K990" s="18">
        <f>IFERROR(__xludf.DUMMYFUNCTION("""COMPUTED_VALUE"""),20.0)</f>
        <v>20</v>
      </c>
      <c r="L990" s="17">
        <f>IFERROR(__xludf.DUMMYFUNCTION("""COMPUTED_VALUE"""),3.154184708E9)</f>
        <v>3154184708</v>
      </c>
      <c r="M990" s="17" t="str">
        <f>IFERROR(__xludf.DUMMYFUNCTION("""COMPUTED_VALUE"""),"#REF!")</f>
        <v>#REF!</v>
      </c>
      <c r="N990" s="17"/>
      <c r="O990" s="19" t="str">
        <f>IFERROR(__xludf.DUMMYFUNCTION("""COMPUTED_VALUE"""),"")</f>
        <v/>
      </c>
      <c r="P990" s="17" t="b">
        <f>IFERROR(__xludf.DUMMYFUNCTION("""COMPUTED_VALUE"""),FALSE)</f>
        <v>0</v>
      </c>
      <c r="Q990" s="20" t="str">
        <f>IFERROR(__xludf.DUMMYFUNCTION("""COMPUTED_VALUE"""),"")</f>
        <v/>
      </c>
      <c r="R990" s="22" t="str">
        <f>IFERROR(__xludf.DUMMYFUNCTION("""COMPUTED_VALUE"""),"")</f>
        <v/>
      </c>
    </row>
    <row r="991">
      <c r="A991" s="15">
        <f>IFERROR(__xludf.DUMMYFUNCTION("""COMPUTED_VALUE"""),45028.0)</f>
        <v>45028</v>
      </c>
      <c r="B991" s="16" t="str">
        <f>IFERROR(__xludf.DUMMYFUNCTION("""COMPUTED_VALUE"""),"Johan Alexander Escobar Arroyo ")</f>
        <v>Johan Alexander Escobar Arroyo </v>
      </c>
      <c r="C991" s="15" t="str">
        <f>IFERROR(__xludf.DUMMYFUNCTION("""COMPUTED_VALUE"""),"CALI")</f>
        <v>CALI</v>
      </c>
      <c r="D991" s="15" t="str">
        <f>IFERROR(__xludf.DUMMYFUNCTION("""COMPUTED_VALUE"""),"MEDELLÍN")</f>
        <v>MEDELLÍN</v>
      </c>
      <c r="E991" s="15" t="str">
        <f>IFERROR(__xludf.DUMMYFUNCTION("""COMPUTED_VALUE"""),"Baby Chef")</f>
        <v>Baby Chef</v>
      </c>
      <c r="F991" s="17" t="str">
        <f>IFERROR(__xludf.DUMMYFUNCTION("""COMPUTED_VALUE"""),"Primero de mayo Calle 13g #54-55 / Primero de mayo Calle 13g #54-55 / Primero de mayo Calle 13g #54-55")</f>
        <v>Primero de mayo Calle 13g #54-55 / Primero de mayo Calle 13g #54-55 / Primero de mayo Calle 13g #54-55</v>
      </c>
      <c r="G991" s="15" t="str">
        <f>IFERROR(__xludf.DUMMYFUNCTION("""COMPUTED_VALUE"""),"Angie Vanessa Guerrero Montaño")</f>
        <v>Angie Vanessa Guerrero Montaño</v>
      </c>
      <c r="H991" s="16">
        <f>IFERROR(__xludf.DUMMYFUNCTION("""COMPUTED_VALUE"""),9599.0)</f>
        <v>9599</v>
      </c>
      <c r="I991" s="18">
        <f>IFERROR(__xludf.DUMMYFUNCTION("""COMPUTED_VALUE"""),8.0)</f>
        <v>8</v>
      </c>
      <c r="J991" s="18">
        <f>IFERROR(__xludf.DUMMYFUNCTION("""COMPUTED_VALUE"""),16.0)</f>
        <v>16</v>
      </c>
      <c r="K991" s="18">
        <f>IFERROR(__xludf.DUMMYFUNCTION("""COMPUTED_VALUE"""),20.0)</f>
        <v>20</v>
      </c>
      <c r="L991" s="17">
        <f>IFERROR(__xludf.DUMMYFUNCTION("""COMPUTED_VALUE"""),3.182506856E9)</f>
        <v>3182506856</v>
      </c>
      <c r="M991" s="17" t="str">
        <f>IFERROR(__xludf.DUMMYFUNCTION("""COMPUTED_VALUE"""),"#REF!")</f>
        <v>#REF!</v>
      </c>
      <c r="N991" s="17"/>
      <c r="O991" s="19" t="str">
        <f>IFERROR(__xludf.DUMMYFUNCTION("""COMPUTED_VALUE"""),"")</f>
        <v/>
      </c>
      <c r="P991" s="17" t="b">
        <f>IFERROR(__xludf.DUMMYFUNCTION("""COMPUTED_VALUE"""),FALSE)</f>
        <v>0</v>
      </c>
      <c r="Q991" s="20" t="str">
        <f>IFERROR(__xludf.DUMMYFUNCTION("""COMPUTED_VALUE"""),"")</f>
        <v/>
      </c>
      <c r="R991" s="22" t="str">
        <f>IFERROR(__xludf.DUMMYFUNCTION("""COMPUTED_VALUE"""),"")</f>
        <v/>
      </c>
    </row>
    <row r="992">
      <c r="A992" s="15">
        <f>IFERROR(__xludf.DUMMYFUNCTION("""COMPUTED_VALUE"""),45028.0)</f>
        <v>45028</v>
      </c>
      <c r="B992" s="16" t="str">
        <f>IFERROR(__xludf.DUMMYFUNCTION("""COMPUTED_VALUE"""),"Johan Alexander Escobar Arroyo ")</f>
        <v>Johan Alexander Escobar Arroyo </v>
      </c>
      <c r="C992" s="15" t="str">
        <f>IFERROR(__xludf.DUMMYFUNCTION("""COMPUTED_VALUE"""),"CALI")</f>
        <v>CALI</v>
      </c>
      <c r="D992" s="15" t="str">
        <f>IFERROR(__xludf.DUMMYFUNCTION("""COMPUTED_VALUE"""),"MEDELLÍN")</f>
        <v>MEDELLÍN</v>
      </c>
      <c r="E992" s="15" t="str">
        <f>IFERROR(__xludf.DUMMYFUNCTION("""COMPUTED_VALUE"""),"JD Bufala")</f>
        <v>JD Bufala</v>
      </c>
      <c r="F992" s="17" t="str">
        <f>IFERROR(__xludf.DUMMYFUNCTION("""COMPUTED_VALUE"""),"Calle 51norte #4bn72 / Delhuertopizzeria  / La Flora")</f>
        <v>Calle 51norte #4bn72 / Delhuertopizzeria  / La Flora</v>
      </c>
      <c r="G992" s="15" t="str">
        <f>IFERROR(__xludf.DUMMYFUNCTION("""COMPUTED_VALUE"""),"Javier Rodríguez")</f>
        <v>Javier Rodríguez</v>
      </c>
      <c r="H992" s="16">
        <f>IFERROR(__xludf.DUMMYFUNCTION("""COMPUTED_VALUE"""),9613.0)</f>
        <v>9613</v>
      </c>
      <c r="I992" s="18" t="str">
        <f>IFERROR(__xludf.DUMMYFUNCTION("""COMPUTED_VALUE"""),"102.5")</f>
        <v>102.5</v>
      </c>
      <c r="J992" s="18">
        <f>IFERROR(__xludf.DUMMYFUNCTION("""COMPUTED_VALUE"""),28.0)</f>
        <v>28</v>
      </c>
      <c r="K992" s="18">
        <f>IFERROR(__xludf.DUMMYFUNCTION("""COMPUTED_VALUE"""),40.0)</f>
        <v>40</v>
      </c>
      <c r="L992" s="17">
        <f>IFERROR(__xludf.DUMMYFUNCTION("""COMPUTED_VALUE"""),3.104919761E9)</f>
        <v>3104919761</v>
      </c>
      <c r="M992" s="17" t="str">
        <f>IFERROR(__xludf.DUMMYFUNCTION("""COMPUTED_VALUE"""),"#REF!")</f>
        <v>#REF!</v>
      </c>
      <c r="N992" s="17"/>
      <c r="O992" s="19" t="str">
        <f>IFERROR(__xludf.DUMMYFUNCTION("""COMPUTED_VALUE"""),"")</f>
        <v/>
      </c>
      <c r="P992" s="17" t="b">
        <f>IFERROR(__xludf.DUMMYFUNCTION("""COMPUTED_VALUE"""),FALSE)</f>
        <v>0</v>
      </c>
      <c r="Q992" s="20" t="str">
        <f>IFERROR(__xludf.DUMMYFUNCTION("""COMPUTED_VALUE"""),"")</f>
        <v/>
      </c>
      <c r="R992" s="22" t="str">
        <f>IFERROR(__xludf.DUMMYFUNCTION("""COMPUTED_VALUE"""),"")</f>
        <v/>
      </c>
    </row>
    <row r="993">
      <c r="A993" s="15">
        <f>IFERROR(__xludf.DUMMYFUNCTION("""COMPUTED_VALUE"""),45028.0)</f>
        <v>45028</v>
      </c>
      <c r="B993" s="16" t="str">
        <f>IFERROR(__xludf.DUMMYFUNCTION("""COMPUTED_VALUE"""),"Johan Alexander Escobar Arroyo ")</f>
        <v>Johan Alexander Escobar Arroyo </v>
      </c>
      <c r="C993" s="15" t="str">
        <f>IFERROR(__xludf.DUMMYFUNCTION("""COMPUTED_VALUE"""),"CALI")</f>
        <v>CALI</v>
      </c>
      <c r="D993" s="15" t="str">
        <f>IFERROR(__xludf.DUMMYFUNCTION("""COMPUTED_VALUE"""),"MEDELLÍN")</f>
        <v>MEDELLÍN</v>
      </c>
      <c r="E993" s="15" t="str">
        <f>IFERROR(__xludf.DUMMYFUNCTION("""COMPUTED_VALUE"""),"Moloso S.A.S")</f>
        <v>Moloso S.A.S</v>
      </c>
      <c r="F993" s="17" t="str">
        <f>IFERROR(__xludf.DUMMYFUNCTION("""COMPUTED_VALUE"""),"AVENIDA 3 OESTE 13 94 / EDIF SOL DEL OESTE APT 702")</f>
        <v>AVENIDA 3 OESTE 13 94 / EDIF SOL DEL OESTE APT 702</v>
      </c>
      <c r="G993" s="15" t="str">
        <f>IFERROR(__xludf.DUMMYFUNCTION("""COMPUTED_VALUE"""),"LAURA HERNÁNDEZ ALVIAR")</f>
        <v>LAURA HERNÁNDEZ ALVIAR</v>
      </c>
      <c r="H993" s="16">
        <f>IFERROR(__xludf.DUMMYFUNCTION("""COMPUTED_VALUE"""),9616.0)</f>
        <v>9616</v>
      </c>
      <c r="I993" s="18">
        <f>IFERROR(__xludf.DUMMYFUNCTION("""COMPUTED_VALUE"""),17.0)</f>
        <v>17</v>
      </c>
      <c r="J993" s="18">
        <f>IFERROR(__xludf.DUMMYFUNCTION("""COMPUTED_VALUE"""),15.0)</f>
        <v>15</v>
      </c>
      <c r="K993" s="18">
        <f>IFERROR(__xludf.DUMMYFUNCTION("""COMPUTED_VALUE"""),28.0)</f>
        <v>28</v>
      </c>
      <c r="L993" s="17" t="str">
        <f>IFERROR(__xludf.DUMMYFUNCTION("""COMPUTED_VALUE"""),"315 5762974")</f>
        <v>315 5762974</v>
      </c>
      <c r="M993" s="17" t="str">
        <f>IFERROR(__xludf.DUMMYFUNCTION("""COMPUTED_VALUE"""),"#REF!")</f>
        <v>#REF!</v>
      </c>
      <c r="N993" s="17"/>
      <c r="O993" s="19" t="str">
        <f>IFERROR(__xludf.DUMMYFUNCTION("""COMPUTED_VALUE"""),"")</f>
        <v/>
      </c>
      <c r="P993" s="17" t="b">
        <f>IFERROR(__xludf.DUMMYFUNCTION("""COMPUTED_VALUE"""),FALSE)</f>
        <v>0</v>
      </c>
      <c r="Q993" s="20" t="str">
        <f>IFERROR(__xludf.DUMMYFUNCTION("""COMPUTED_VALUE"""),"")</f>
        <v/>
      </c>
      <c r="R993" s="22" t="str">
        <f>IFERROR(__xludf.DUMMYFUNCTION("""COMPUTED_VALUE"""),"")</f>
        <v/>
      </c>
    </row>
    <row r="994">
      <c r="A994" s="15">
        <f>IFERROR(__xludf.DUMMYFUNCTION("""COMPUTED_VALUE"""),45028.0)</f>
        <v>45028</v>
      </c>
      <c r="B994" s="16" t="str">
        <f>IFERROR(__xludf.DUMMYFUNCTION("""COMPUTED_VALUE"""),"Johan Alexander Escobar Arroyo ")</f>
        <v>Johan Alexander Escobar Arroyo </v>
      </c>
      <c r="C994" s="15" t="str">
        <f>IFERROR(__xludf.DUMMYFUNCTION("""COMPUTED_VALUE"""),"CALI")</f>
        <v>CALI</v>
      </c>
      <c r="D994" s="15" t="str">
        <f>IFERROR(__xludf.DUMMYFUNCTION("""COMPUTED_VALUE"""),"MEDELLÍN")</f>
        <v>MEDELLÍN</v>
      </c>
      <c r="E994" s="15" t="str">
        <f>IFERROR(__xludf.DUMMYFUNCTION("""COMPUTED_VALUE"""),"Moloso S.A.S")</f>
        <v>Moloso S.A.S</v>
      </c>
      <c r="F994" s="17" t="str">
        <f>IFERROR(__xludf.DUMMYFUNCTION("""COMPUTED_VALUE"""),"CL 10 CR 118 1 55 / APT 1003B")</f>
        <v>CL 10 CR 118 1 55 / APT 1003B</v>
      </c>
      <c r="G994" s="15" t="str">
        <f>IFERROR(__xludf.DUMMYFUNCTION("""COMPUTED_VALUE"""),"NICOLE CRUZ MUÑOZ")</f>
        <v>NICOLE CRUZ MUÑOZ</v>
      </c>
      <c r="H994" s="16">
        <f>IFERROR(__xludf.DUMMYFUNCTION("""COMPUTED_VALUE"""),9615.0)</f>
        <v>9615</v>
      </c>
      <c r="I994" s="18">
        <f>IFERROR(__xludf.DUMMYFUNCTION("""COMPUTED_VALUE"""),17.0)</f>
        <v>17</v>
      </c>
      <c r="J994" s="18">
        <f>IFERROR(__xludf.DUMMYFUNCTION("""COMPUTED_VALUE"""),15.0)</f>
        <v>15</v>
      </c>
      <c r="K994" s="18">
        <f>IFERROR(__xludf.DUMMYFUNCTION("""COMPUTED_VALUE"""),28.0)</f>
        <v>28</v>
      </c>
      <c r="L994" s="17" t="str">
        <f>IFERROR(__xludf.DUMMYFUNCTION("""COMPUTED_VALUE"""),"316 0470203")</f>
        <v>316 0470203</v>
      </c>
      <c r="M994" s="17" t="str">
        <f>IFERROR(__xludf.DUMMYFUNCTION("""COMPUTED_VALUE"""),"#REF!")</f>
        <v>#REF!</v>
      </c>
      <c r="N994" s="17"/>
      <c r="O994" s="19" t="str">
        <f>IFERROR(__xludf.DUMMYFUNCTION("""COMPUTED_VALUE"""),"")</f>
        <v/>
      </c>
      <c r="P994" s="17" t="b">
        <f>IFERROR(__xludf.DUMMYFUNCTION("""COMPUTED_VALUE"""),FALSE)</f>
        <v>0</v>
      </c>
      <c r="Q994" s="20" t="str">
        <f>IFERROR(__xludf.DUMMYFUNCTION("""COMPUTED_VALUE"""),"")</f>
        <v/>
      </c>
      <c r="R994" s="22" t="str">
        <f>IFERROR(__xludf.DUMMYFUNCTION("""COMPUTED_VALUE"""),"")</f>
        <v/>
      </c>
    </row>
    <row r="995">
      <c r="A995" s="15">
        <f>IFERROR(__xludf.DUMMYFUNCTION("""COMPUTED_VALUE"""),45028.0)</f>
        <v>45028</v>
      </c>
      <c r="B995" s="16" t="str">
        <f>IFERROR(__xludf.DUMMYFUNCTION("""COMPUTED_VALUE"""),"Johan Alexander Escobar Arroyo ")</f>
        <v>Johan Alexander Escobar Arroyo </v>
      </c>
      <c r="C995" s="15" t="str">
        <f>IFERROR(__xludf.DUMMYFUNCTION("""COMPUTED_VALUE"""),"CALI")</f>
        <v>CALI</v>
      </c>
      <c r="D995" s="15" t="str">
        <f>IFERROR(__xludf.DUMMYFUNCTION("""COMPUTED_VALUE"""),"MEDELLÍN")</f>
        <v>MEDELLÍN</v>
      </c>
      <c r="E995" s="15" t="str">
        <f>IFERROR(__xludf.DUMMYFUNCTION("""COMPUTED_VALUE"""),"Rambla")</f>
        <v>Rambla</v>
      </c>
      <c r="F995" s="17" t="str">
        <f>IFERROR(__xludf.DUMMYFUNCTION("""COMPUTED_VALUE"""),"Cra 100 #15 a -61 Local 104 aventura plaza / na / na")</f>
        <v>Cra 100 #15 a -61 Local 104 aventura plaza / na / na</v>
      </c>
      <c r="G995" s="15" t="str">
        <f>IFERROR(__xludf.DUMMYFUNCTION("""COMPUTED_VALUE"""),"Nutrilight aventura plaza")</f>
        <v>Nutrilight aventura plaza</v>
      </c>
      <c r="H995" s="16">
        <f>IFERROR(__xludf.DUMMYFUNCTION("""COMPUTED_VALUE"""),9513.0)</f>
        <v>9513</v>
      </c>
      <c r="I995" s="18">
        <f>IFERROR(__xludf.DUMMYFUNCTION("""COMPUTED_VALUE"""),21.0)</f>
        <v>21</v>
      </c>
      <c r="J995" s="18">
        <f>IFERROR(__xludf.DUMMYFUNCTION("""COMPUTED_VALUE"""),25.0)</f>
        <v>25</v>
      </c>
      <c r="K995" s="18">
        <f>IFERROR(__xludf.DUMMYFUNCTION("""COMPUTED_VALUE"""),28.0)</f>
        <v>28</v>
      </c>
      <c r="L995" s="17">
        <f>IFERROR(__xludf.DUMMYFUNCTION("""COMPUTED_VALUE"""),3.146112262E9)</f>
        <v>3146112262</v>
      </c>
      <c r="M995" s="17" t="str">
        <f>IFERROR(__xludf.DUMMYFUNCTION("""COMPUTED_VALUE"""),"#REF!")</f>
        <v>#REF!</v>
      </c>
      <c r="N995" s="17"/>
      <c r="O995" s="19" t="str">
        <f>IFERROR(__xludf.DUMMYFUNCTION("""COMPUTED_VALUE"""),"")</f>
        <v/>
      </c>
      <c r="P995" s="17" t="b">
        <f>IFERROR(__xludf.DUMMYFUNCTION("""COMPUTED_VALUE"""),FALSE)</f>
        <v>0</v>
      </c>
      <c r="Q995" s="20" t="str">
        <f>IFERROR(__xludf.DUMMYFUNCTION("""COMPUTED_VALUE"""),"")</f>
        <v/>
      </c>
      <c r="R995" s="22" t="str">
        <f>IFERROR(__xludf.DUMMYFUNCTION("""COMPUTED_VALUE"""),"")</f>
        <v/>
      </c>
    </row>
    <row r="996">
      <c r="A996" s="15">
        <f>IFERROR(__xludf.DUMMYFUNCTION("""COMPUTED_VALUE"""),45028.0)</f>
        <v>45028</v>
      </c>
      <c r="B996" s="16" t="str">
        <f>IFERROR(__xludf.DUMMYFUNCTION("""COMPUTED_VALUE"""),"Johan Alexander Escobar Arroyo ")</f>
        <v>Johan Alexander Escobar Arroyo </v>
      </c>
      <c r="C996" s="15" t="str">
        <f>IFERROR(__xludf.DUMMYFUNCTION("""COMPUTED_VALUE"""),"CÚCUTA")</f>
        <v>CÚCUTA</v>
      </c>
      <c r="D996" s="15" t="str">
        <f>IFERROR(__xludf.DUMMYFUNCTION("""COMPUTED_VALUE"""),"MEDELLÍN")</f>
        <v>MEDELLÍN</v>
      </c>
      <c r="E996" s="15" t="str">
        <f>IFERROR(__xludf.DUMMYFUNCTION("""COMPUTED_VALUE"""),"Momo Tea S.A.S Gabriel Echavarría")</f>
        <v>Momo Tea S.A.S Gabriel Echavarría</v>
      </c>
      <c r="F996" s="17" t="str">
        <f>IFERROR(__xludf.DUMMYFUNCTION("""COMPUTED_VALUE"""),"CL 11 N 16 E 35 / CA B 1")</f>
        <v>CL 11 N 16 E 35 / CA B 1</v>
      </c>
      <c r="G996" s="15" t="str">
        <f>IFERROR(__xludf.DUMMYFUNCTION("""COMPUTED_VALUE"""),"Gabriel Echavarría")</f>
        <v>Gabriel Echavarría</v>
      </c>
      <c r="H996" s="16">
        <f>IFERROR(__xludf.DUMMYFUNCTION("""COMPUTED_VALUE"""),9597.0)</f>
        <v>9597</v>
      </c>
      <c r="I996" s="18">
        <f>IFERROR(__xludf.DUMMYFUNCTION("""COMPUTED_VALUE"""),63.0)</f>
        <v>63</v>
      </c>
      <c r="J996" s="18">
        <f>IFERROR(__xludf.DUMMYFUNCTION("""COMPUTED_VALUE"""),10.0)</f>
        <v>10</v>
      </c>
      <c r="K996" s="18">
        <f>IFERROR(__xludf.DUMMYFUNCTION("""COMPUTED_VALUE"""),9.0)</f>
        <v>9</v>
      </c>
      <c r="L996" s="17">
        <f>IFERROR(__xludf.DUMMYFUNCTION("""COMPUTED_VALUE"""),3.017909548E9)</f>
        <v>3017909548</v>
      </c>
      <c r="M996" s="17" t="str">
        <f>IFERROR(__xludf.DUMMYFUNCTION("""COMPUTED_VALUE"""),"#REF!")</f>
        <v>#REF!</v>
      </c>
      <c r="N996" s="17"/>
      <c r="O996" s="19" t="str">
        <f>IFERROR(__xludf.DUMMYFUNCTION("""COMPUTED_VALUE"""),"")</f>
        <v/>
      </c>
      <c r="P996" s="17" t="b">
        <f>IFERROR(__xludf.DUMMYFUNCTION("""COMPUTED_VALUE"""),FALSE)</f>
        <v>0</v>
      </c>
      <c r="Q996" s="20" t="str">
        <f>IFERROR(__xludf.DUMMYFUNCTION("""COMPUTED_VALUE"""),"")</f>
        <v/>
      </c>
      <c r="R996" s="22" t="str">
        <f>IFERROR(__xludf.DUMMYFUNCTION("""COMPUTED_VALUE"""),"")</f>
        <v/>
      </c>
    </row>
    <row r="997">
      <c r="A997" s="17" t="str">
        <f>IFERROR(__xludf.DUMMYFUNCTION("""COMPUTED_VALUE"""),"")</f>
        <v/>
      </c>
      <c r="B997" s="17" t="str">
        <f>IFERROR(__xludf.DUMMYFUNCTION("""COMPUTED_VALUE"""),"")</f>
        <v/>
      </c>
      <c r="C997" s="17" t="str">
        <f>IFERROR(__xludf.DUMMYFUNCTION("""COMPUTED_VALUE"""),"")</f>
        <v/>
      </c>
      <c r="D997" s="17" t="str">
        <f>IFERROR(__xludf.DUMMYFUNCTION("""COMPUTED_VALUE"""),"")</f>
        <v/>
      </c>
      <c r="E997" s="17" t="str">
        <f>IFERROR(__xludf.DUMMYFUNCTION("""COMPUTED_VALUE"""),"")</f>
        <v/>
      </c>
      <c r="F997" s="17" t="str">
        <f>IFERROR(__xludf.DUMMYFUNCTION("""COMPUTED_VALUE"""),"")</f>
        <v/>
      </c>
      <c r="G997" s="17" t="str">
        <f>IFERROR(__xludf.DUMMYFUNCTION("""COMPUTED_VALUE"""),"")</f>
        <v/>
      </c>
      <c r="H997" s="17" t="str">
        <f>IFERROR(__xludf.DUMMYFUNCTION("""COMPUTED_VALUE"""),"")</f>
        <v/>
      </c>
      <c r="I997" s="17" t="str">
        <f>IFERROR(__xludf.DUMMYFUNCTION("""COMPUTED_VALUE"""),"")</f>
        <v/>
      </c>
      <c r="J997" s="17" t="str">
        <f>IFERROR(__xludf.DUMMYFUNCTION("""COMPUTED_VALUE"""),"")</f>
        <v/>
      </c>
      <c r="K997" s="17" t="str">
        <f>IFERROR(__xludf.DUMMYFUNCTION("""COMPUTED_VALUE"""),"")</f>
        <v/>
      </c>
      <c r="L997" s="17" t="str">
        <f>IFERROR(__xludf.DUMMYFUNCTION("""COMPUTED_VALUE"""),"")</f>
        <v/>
      </c>
      <c r="M997" s="17" t="str">
        <f>IFERROR(__xludf.DUMMYFUNCTION("""COMPUTED_VALUE"""),"")</f>
        <v/>
      </c>
      <c r="N997" s="17" t="str">
        <f>IFERROR(__xludf.DUMMYFUNCTION("""COMPUTED_VALUE"""),"")</f>
        <v/>
      </c>
      <c r="O997" s="17" t="str">
        <f>IFERROR(__xludf.DUMMYFUNCTION("""COMPUTED_VALUE"""),"")</f>
        <v/>
      </c>
      <c r="P997" s="17" t="str">
        <f>IFERROR(__xludf.DUMMYFUNCTION("""COMPUTED_VALUE"""),"")</f>
        <v/>
      </c>
      <c r="Q997" s="17" t="str">
        <f>IFERROR(__xludf.DUMMYFUNCTION("""COMPUTED_VALUE"""),"")</f>
        <v/>
      </c>
      <c r="R997" s="17" t="str">
        <f>IFERROR(__xludf.DUMMYFUNCTION("""COMPUTED_VALUE"""),"")</f>
        <v/>
      </c>
    </row>
    <row r="998">
      <c r="A998" s="15">
        <f>IFERROR(__xludf.DUMMYFUNCTION("""COMPUTED_VALUE"""),45029.0)</f>
        <v>45029</v>
      </c>
      <c r="B998" s="16" t="str">
        <f>IFERROR(__xludf.DUMMYFUNCTION("""COMPUTED_VALUE"""),"Andrés Felipe Castillo Muñoz")</f>
        <v>Andrés Felipe Castillo Muñoz</v>
      </c>
      <c r="C998" s="15" t="str">
        <f>IFERROR(__xludf.DUMMYFUNCTION("""COMPUTED_VALUE"""),"BUCARAMANGA")</f>
        <v>BUCARAMANGA</v>
      </c>
      <c r="D998" s="15" t="str">
        <f>IFERROR(__xludf.DUMMYFUNCTION("""COMPUTED_VALUE"""),"BOGOTÁ")</f>
        <v>BOGOTÁ</v>
      </c>
      <c r="E998" s="15" t="str">
        <f>IFERROR(__xludf.DUMMYFUNCTION("""COMPUTED_VALUE"""),"Evamazzita")</f>
        <v>Evamazzita</v>
      </c>
      <c r="F998" s="17" t="str">
        <f>IFERROR(__xludf.DUMMYFUNCTION("""COMPUTED_VALUE"""),"CARRERA 20 # 7 - 11 / N/A / BARRIO COMUNEROS")</f>
        <v>CARRERA 20 # 7 - 11 / N/A / BARRIO COMUNEROS</v>
      </c>
      <c r="G998" s="15" t="str">
        <f>IFERROR(__xludf.DUMMYFUNCTION("""COMPUTED_VALUE"""),"MARIO JOSÉ CORTÉS PARADA")</f>
        <v>MARIO JOSÉ CORTÉS PARADA</v>
      </c>
      <c r="H998" s="16">
        <f>IFERROR(__xludf.DUMMYFUNCTION("""COMPUTED_VALUE"""),9667.0)</f>
        <v>9667</v>
      </c>
      <c r="I998" s="18">
        <f>IFERROR(__xludf.DUMMYFUNCTION("""COMPUTED_VALUE"""),17.0)</f>
        <v>17</v>
      </c>
      <c r="J998" s="18">
        <f>IFERROR(__xludf.DUMMYFUNCTION("""COMPUTED_VALUE"""),30.0)</f>
        <v>30</v>
      </c>
      <c r="K998" s="18">
        <f>IFERROR(__xludf.DUMMYFUNCTION("""COMPUTED_VALUE"""),46.0)</f>
        <v>46</v>
      </c>
      <c r="L998" s="17">
        <f>IFERROR(__xludf.DUMMYFUNCTION("""COMPUTED_VALUE"""),3.123394474E9)</f>
        <v>3123394474</v>
      </c>
      <c r="M998" s="17" t="str">
        <f>IFERROR(__xludf.DUMMYFUNCTION("""COMPUTED_VALUE"""),"#REF!")</f>
        <v>#REF!</v>
      </c>
      <c r="N998" s="17"/>
      <c r="O998" s="19" t="str">
        <f>IFERROR(__xludf.DUMMYFUNCTION("""COMPUTED_VALUE"""),"")</f>
        <v/>
      </c>
      <c r="P998" s="17" t="b">
        <f>IFERROR(__xludf.DUMMYFUNCTION("""COMPUTED_VALUE"""),TRUE)</f>
        <v>1</v>
      </c>
      <c r="Q998" s="20">
        <f>IFERROR(__xludf.DUMMYFUNCTION("""COMPUTED_VALUE"""),45030.34950480324)</f>
        <v>45030.3495</v>
      </c>
      <c r="R998" s="22" t="str">
        <f>IFERROR(__xludf.DUMMYFUNCTION("""COMPUTED_VALUE"""),"")</f>
        <v/>
      </c>
    </row>
    <row r="999">
      <c r="A999" s="15">
        <f>IFERROR(__xludf.DUMMYFUNCTION("""COMPUTED_VALUE"""),45029.0)</f>
        <v>45029</v>
      </c>
      <c r="B999" s="16" t="str">
        <f>IFERROR(__xludf.DUMMYFUNCTION("""COMPUTED_VALUE"""),"Andrés Felipe Castillo Muñoz")</f>
        <v>Andrés Felipe Castillo Muñoz</v>
      </c>
      <c r="C999" s="15" t="str">
        <f>IFERROR(__xludf.DUMMYFUNCTION("""COMPUTED_VALUE"""),"CALI")</f>
        <v>CALI</v>
      </c>
      <c r="D999" s="15" t="str">
        <f>IFERROR(__xludf.DUMMYFUNCTION("""COMPUTED_VALUE"""),"BOGOTÁ")</f>
        <v>BOGOTÁ</v>
      </c>
      <c r="E999" s="15" t="str">
        <f>IFERROR(__xludf.DUMMYFUNCTION("""COMPUTED_VALUE"""),"Frambascolombia sas")</f>
        <v>Frambascolombia sas</v>
      </c>
      <c r="F999" s="17" t="str">
        <f>IFERROR(__xludf.DUMMYFUNCTION("""COMPUTED_VALUE"""),"Av 5a Nte. # 25n18 / local 2")</f>
        <v>Av 5a Nte. # 25n18 / local 2</v>
      </c>
      <c r="G999" s="15" t="str">
        <f>IFERROR(__xludf.DUMMYFUNCTION("""COMPUTED_VALUE"""),"PikNPak Cali")</f>
        <v>PikNPak Cali</v>
      </c>
      <c r="H999" s="16">
        <f>IFERROR(__xludf.DUMMYFUNCTION("""COMPUTED_VALUE"""),9610.0)</f>
        <v>9610</v>
      </c>
      <c r="I999" s="18">
        <f>IFERROR(__xludf.DUMMYFUNCTION("""COMPUTED_VALUE"""),29.0)</f>
        <v>29</v>
      </c>
      <c r="J999" s="18">
        <f>IFERROR(__xludf.DUMMYFUNCTION("""COMPUTED_VALUE"""),45.0)</f>
        <v>45</v>
      </c>
      <c r="K999" s="18">
        <f>IFERROR(__xludf.DUMMYFUNCTION("""COMPUTED_VALUE"""),53.0)</f>
        <v>53</v>
      </c>
      <c r="L999" s="17" t="str">
        <f>IFERROR(__xludf.DUMMYFUNCTION("""COMPUTED_VALUE"""),"321 4229567")</f>
        <v>321 4229567</v>
      </c>
      <c r="M999" s="17" t="str">
        <f>IFERROR(__xludf.DUMMYFUNCTION("""COMPUTED_VALUE"""),"#REF!")</f>
        <v>#REF!</v>
      </c>
      <c r="N999" s="17"/>
      <c r="O999" s="19" t="str">
        <f>IFERROR(__xludf.DUMMYFUNCTION("""COMPUTED_VALUE"""),"")</f>
        <v/>
      </c>
      <c r="P999" s="17" t="b">
        <f>IFERROR(__xludf.DUMMYFUNCTION("""COMPUTED_VALUE"""),TRUE)</f>
        <v>1</v>
      </c>
      <c r="Q999" s="20">
        <f>IFERROR(__xludf.DUMMYFUNCTION("""COMPUTED_VALUE"""),45030.34950480324)</f>
        <v>45030.3495</v>
      </c>
      <c r="R999" s="22" t="str">
        <f>IFERROR(__xludf.DUMMYFUNCTION("""COMPUTED_VALUE"""),"")</f>
        <v/>
      </c>
    </row>
    <row r="1000">
      <c r="A1000" s="17" t="str">
        <f>IFERROR(__xludf.DUMMYFUNCTION("""COMPUTED_VALUE"""),"")</f>
        <v/>
      </c>
      <c r="B1000" s="17" t="str">
        <f>IFERROR(__xludf.DUMMYFUNCTION("""COMPUTED_VALUE"""),"")</f>
        <v/>
      </c>
      <c r="C1000" s="17" t="str">
        <f>IFERROR(__xludf.DUMMYFUNCTION("""COMPUTED_VALUE"""),"")</f>
        <v/>
      </c>
      <c r="D1000" s="17" t="str">
        <f>IFERROR(__xludf.DUMMYFUNCTION("""COMPUTED_VALUE"""),"")</f>
        <v/>
      </c>
      <c r="E1000" s="17" t="str">
        <f>IFERROR(__xludf.DUMMYFUNCTION("""COMPUTED_VALUE"""),"")</f>
        <v/>
      </c>
      <c r="F1000" s="17" t="str">
        <f>IFERROR(__xludf.DUMMYFUNCTION("""COMPUTED_VALUE"""),"")</f>
        <v/>
      </c>
      <c r="G1000" s="17" t="str">
        <f>IFERROR(__xludf.DUMMYFUNCTION("""COMPUTED_VALUE"""),"")</f>
        <v/>
      </c>
      <c r="H1000" s="17" t="str">
        <f>IFERROR(__xludf.DUMMYFUNCTION("""COMPUTED_VALUE"""),"")</f>
        <v/>
      </c>
      <c r="I1000" s="17" t="str">
        <f>IFERROR(__xludf.DUMMYFUNCTION("""COMPUTED_VALUE"""),"")</f>
        <v/>
      </c>
      <c r="J1000" s="17" t="str">
        <f>IFERROR(__xludf.DUMMYFUNCTION("""COMPUTED_VALUE"""),"")</f>
        <v/>
      </c>
      <c r="K1000" s="17" t="str">
        <f>IFERROR(__xludf.DUMMYFUNCTION("""COMPUTED_VALUE"""),"")</f>
        <v/>
      </c>
      <c r="L1000" s="17" t="str">
        <f>IFERROR(__xludf.DUMMYFUNCTION("""COMPUTED_VALUE"""),"")</f>
        <v/>
      </c>
      <c r="M1000" s="17" t="str">
        <f>IFERROR(__xludf.DUMMYFUNCTION("""COMPUTED_VALUE"""),"")</f>
        <v/>
      </c>
      <c r="N1000" s="17" t="str">
        <f>IFERROR(__xludf.DUMMYFUNCTION("""COMPUTED_VALUE"""),"")</f>
        <v/>
      </c>
      <c r="O1000" s="17" t="str">
        <f>IFERROR(__xludf.DUMMYFUNCTION("""COMPUTED_VALUE"""),"")</f>
        <v/>
      </c>
      <c r="P1000" s="17" t="str">
        <f>IFERROR(__xludf.DUMMYFUNCTION("""COMPUTED_VALUE"""),"")</f>
        <v/>
      </c>
      <c r="Q1000" s="17" t="str">
        <f>IFERROR(__xludf.DUMMYFUNCTION("""COMPUTED_VALUE"""),"")</f>
        <v/>
      </c>
      <c r="R1000" s="17" t="str">
        <f>IFERROR(__xludf.DUMMYFUNCTION("""COMPUTED_VALUE"""),"")</f>
        <v/>
      </c>
    </row>
    <row r="1001">
      <c r="A1001" s="15">
        <f>IFERROR(__xludf.DUMMYFUNCTION("""COMPUTED_VALUE"""),45029.0)</f>
        <v>45029</v>
      </c>
      <c r="B1001" s="16" t="str">
        <f>IFERROR(__xludf.DUMMYFUNCTION("""COMPUTED_VALUE"""),"Angie Daniela Meneses ")</f>
        <v>Angie Daniela Meneses </v>
      </c>
      <c r="C1001" s="15" t="str">
        <f>IFERROR(__xludf.DUMMYFUNCTION("""COMPUTED_VALUE"""),"POPAYAN")</f>
        <v>POPAYAN</v>
      </c>
      <c r="D1001" s="15" t="str">
        <f>IFERROR(__xludf.DUMMYFUNCTION("""COMPUTED_VALUE"""),"BOGOTÁ")</f>
        <v>BOGOTÁ</v>
      </c>
      <c r="E1001" s="15" t="str">
        <f>IFERROR(__xludf.DUMMYFUNCTION("""COMPUTED_VALUE"""),"Evamazzita")</f>
        <v>Evamazzita</v>
      </c>
      <c r="F1001" s="17" t="str">
        <f>IFERROR(__xludf.DUMMYFUNCTION("""COMPUTED_VALUE"""),"CRA 6 # 27N - 58  / LOCAL 1  - VIVEA MERCADO SALUDABLE / BARRIO LOS HOYOS")</f>
        <v>CRA 6 # 27N - 58  / LOCAL 1  - VIVEA MERCADO SALUDABLE / BARRIO LOS HOYOS</v>
      </c>
      <c r="G1001" s="15" t="str">
        <f>IFERROR(__xludf.DUMMYFUNCTION("""COMPUTED_VALUE"""),"VIVIANA ANDREA CHAMORRO YANZA")</f>
        <v>VIVIANA ANDREA CHAMORRO YANZA</v>
      </c>
      <c r="H1001" s="16">
        <f>IFERROR(__xludf.DUMMYFUNCTION("""COMPUTED_VALUE"""),9668.0)</f>
        <v>9668</v>
      </c>
      <c r="I1001" s="18">
        <f>IFERROR(__xludf.DUMMYFUNCTION("""COMPUTED_VALUE"""),22.0)</f>
        <v>22</v>
      </c>
      <c r="J1001" s="18">
        <f>IFERROR(__xludf.DUMMYFUNCTION("""COMPUTED_VALUE"""),19.0)</f>
        <v>19</v>
      </c>
      <c r="K1001" s="18">
        <f>IFERROR(__xludf.DUMMYFUNCTION("""COMPUTED_VALUE"""),25.0)</f>
        <v>25</v>
      </c>
      <c r="L1001" s="17">
        <f>IFERROR(__xludf.DUMMYFUNCTION("""COMPUTED_VALUE"""),3.122971002E9)</f>
        <v>3122971002</v>
      </c>
      <c r="M1001" s="17" t="str">
        <f>IFERROR(__xludf.DUMMYFUNCTION("""COMPUTED_VALUE"""),"#REF!")</f>
        <v>#REF!</v>
      </c>
      <c r="N1001" s="17"/>
      <c r="O1001" s="19" t="str">
        <f>IFERROR(__xludf.DUMMYFUNCTION("""COMPUTED_VALUE"""),"")</f>
        <v/>
      </c>
      <c r="P1001" s="17" t="b">
        <f>IFERROR(__xludf.DUMMYFUNCTION("""COMPUTED_VALUE"""),TRUE)</f>
        <v>1</v>
      </c>
      <c r="Q1001" s="20">
        <f>IFERROR(__xludf.DUMMYFUNCTION("""COMPUTED_VALUE"""),45030.34950480324)</f>
        <v>45030.3495</v>
      </c>
      <c r="R1001" s="22" t="str">
        <f>IFERROR(__xludf.DUMMYFUNCTION("""COMPUTED_VALUE"""),"")</f>
        <v/>
      </c>
    </row>
    <row r="1002">
      <c r="A1002" s="15">
        <f>IFERROR(__xludf.DUMMYFUNCTION("""COMPUTED_VALUE"""),45029.0)</f>
        <v>45029</v>
      </c>
      <c r="B1002" s="16" t="str">
        <f>IFERROR(__xludf.DUMMYFUNCTION("""COMPUTED_VALUE"""),"Angie Daniela Meneses ")</f>
        <v>Angie Daniela Meneses </v>
      </c>
      <c r="C1002" s="15" t="str">
        <f>IFERROR(__xludf.DUMMYFUNCTION("""COMPUTED_VALUE"""),"POPAYAN")</f>
        <v>POPAYAN</v>
      </c>
      <c r="D1002" s="15" t="str">
        <f>IFERROR(__xludf.DUMMYFUNCTION("""COMPUTED_VALUE"""),"MEDELLÍN")</f>
        <v>MEDELLÍN</v>
      </c>
      <c r="E1002" s="15" t="str">
        <f>IFERROR(__xludf.DUMMYFUNCTION("""COMPUTED_VALUE"""),"AREPAS LA MARY")</f>
        <v>AREPAS LA MARY</v>
      </c>
      <c r="F1002" s="17" t="str">
        <f>IFERROR(__xludf.DUMMYFUNCTION("""COMPUTED_VALUE"""),"CRA 9 # 18 N- 239 / LOCAL 4 TERRAZAS DEL NORTE")</f>
        <v>CRA 9 # 18 N- 239 / LOCAL 4 TERRAZAS DEL NORTE</v>
      </c>
      <c r="G1002" s="15" t="str">
        <f>IFERROR(__xludf.DUMMYFUNCTION("""COMPUTED_VALUE"""),"VITA FIT POPAYAN")</f>
        <v>VITA FIT POPAYAN</v>
      </c>
      <c r="H1002" s="16">
        <f>IFERROR(__xludf.DUMMYFUNCTION("""COMPUTED_VALUE"""),9614.0)</f>
        <v>9614</v>
      </c>
      <c r="I1002" s="18">
        <f>IFERROR(__xludf.DUMMYFUNCTION("""COMPUTED_VALUE"""),89.0)</f>
        <v>89</v>
      </c>
      <c r="J1002" s="18">
        <f>IFERROR(__xludf.DUMMYFUNCTION("""COMPUTED_VALUE"""),1.0)</f>
        <v>1</v>
      </c>
      <c r="K1002" s="18">
        <f>IFERROR(__xludf.DUMMYFUNCTION("""COMPUTED_VALUE"""),10.0)</f>
        <v>10</v>
      </c>
      <c r="L1002" s="17">
        <f>IFERROR(__xludf.DUMMYFUNCTION("""COMPUTED_VALUE"""),3.017324093E9)</f>
        <v>3017324093</v>
      </c>
      <c r="M1002" s="17" t="str">
        <f>IFERROR(__xludf.DUMMYFUNCTION("""COMPUTED_VALUE"""),"#REF!")</f>
        <v>#REF!</v>
      </c>
      <c r="N1002" s="17"/>
      <c r="O1002" s="19" t="str">
        <f>IFERROR(__xludf.DUMMYFUNCTION("""COMPUTED_VALUE"""),"")</f>
        <v/>
      </c>
      <c r="P1002" s="17" t="b">
        <f>IFERROR(__xludf.DUMMYFUNCTION("""COMPUTED_VALUE"""),TRUE)</f>
        <v>1</v>
      </c>
      <c r="Q1002" s="20">
        <f>IFERROR(__xludf.DUMMYFUNCTION("""COMPUTED_VALUE"""),45030.34950480324)</f>
        <v>45030.3495</v>
      </c>
      <c r="R1002" s="22" t="str">
        <f>IFERROR(__xludf.DUMMYFUNCTION("""COMPUTED_VALUE"""),"")</f>
        <v/>
      </c>
    </row>
    <row r="1003">
      <c r="A1003" s="15">
        <f>IFERROR(__xludf.DUMMYFUNCTION("""COMPUTED_VALUE"""),45029.0)</f>
        <v>45029</v>
      </c>
      <c r="B1003" s="16" t="str">
        <f>IFERROR(__xludf.DUMMYFUNCTION("""COMPUTED_VALUE"""),"Angie Daniela Meneses ")</f>
        <v>Angie Daniela Meneses </v>
      </c>
      <c r="C1003" s="15" t="str">
        <f>IFERROR(__xludf.DUMMYFUNCTION("""COMPUTED_VALUE"""),"YOPAL")</f>
        <v>YOPAL</v>
      </c>
      <c r="D1003" s="15" t="str">
        <f>IFERROR(__xludf.DUMMYFUNCTION("""COMPUTED_VALUE"""),"BOGOTÁ")</f>
        <v>BOGOTÁ</v>
      </c>
      <c r="E1003" s="15" t="str">
        <f>IFERROR(__xludf.DUMMYFUNCTION("""COMPUTED_VALUE"""),"Ins. Alimento Vital")</f>
        <v>Ins. Alimento Vital</v>
      </c>
      <c r="F1003" s="17" t="str">
        <f>IFERROR(__xludf.DUMMYFUNCTION("""COMPUTED_VALUE"""),"CLL 31 A 14 05 / OFICINA / YOPAL OFICINA")</f>
        <v>CLL 31 A 14 05 / OFICINA / YOPAL OFICINA</v>
      </c>
      <c r="G1003" s="15" t="str">
        <f>IFERROR(__xludf.DUMMYFUNCTION("""COMPUTED_VALUE"""),"YESSICA ANDREA HERNANDEZ MORALES")</f>
        <v>YESSICA ANDREA HERNANDEZ MORALES</v>
      </c>
      <c r="H1003" s="16">
        <f>IFERROR(__xludf.DUMMYFUNCTION("""COMPUTED_VALUE"""),9656.0)</f>
        <v>9656</v>
      </c>
      <c r="I1003" s="18">
        <f>IFERROR(__xludf.DUMMYFUNCTION("""COMPUTED_VALUE"""),100.0)</f>
        <v>100</v>
      </c>
      <c r="J1003" s="18">
        <f>IFERROR(__xludf.DUMMYFUNCTION("""COMPUTED_VALUE"""),10.0)</f>
        <v>10</v>
      </c>
      <c r="K1003" s="18">
        <f>IFERROR(__xludf.DUMMYFUNCTION("""COMPUTED_VALUE"""),14.0)</f>
        <v>14</v>
      </c>
      <c r="L1003" s="17">
        <f>IFERROR(__xludf.DUMMYFUNCTION("""COMPUTED_VALUE"""),3.107940644E9)</f>
        <v>3107940644</v>
      </c>
      <c r="M1003" s="17" t="str">
        <f>IFERROR(__xludf.DUMMYFUNCTION("""COMPUTED_VALUE"""),"#REF!")</f>
        <v>#REF!</v>
      </c>
      <c r="N1003" s="17"/>
      <c r="O1003" s="19" t="str">
        <f>IFERROR(__xludf.DUMMYFUNCTION("""COMPUTED_VALUE"""),"")</f>
        <v/>
      </c>
      <c r="P1003" s="17" t="b">
        <f>IFERROR(__xludf.DUMMYFUNCTION("""COMPUTED_VALUE"""),TRUE)</f>
        <v>1</v>
      </c>
      <c r="Q1003" s="20">
        <f>IFERROR(__xludf.DUMMYFUNCTION("""COMPUTED_VALUE"""),45030.34950480324)</f>
        <v>45030.3495</v>
      </c>
      <c r="R1003" s="22" t="str">
        <f>IFERROR(__xludf.DUMMYFUNCTION("""COMPUTED_VALUE"""),"")</f>
        <v/>
      </c>
    </row>
    <row r="1004">
      <c r="A1004" s="17" t="str">
        <f>IFERROR(__xludf.DUMMYFUNCTION("""COMPUTED_VALUE"""),"")</f>
        <v/>
      </c>
      <c r="B1004" s="17" t="str">
        <f>IFERROR(__xludf.DUMMYFUNCTION("""COMPUTED_VALUE"""),"")</f>
        <v/>
      </c>
      <c r="C1004" s="17" t="str">
        <f>IFERROR(__xludf.DUMMYFUNCTION("""COMPUTED_VALUE"""),"")</f>
        <v/>
      </c>
      <c r="D1004" s="17" t="str">
        <f>IFERROR(__xludf.DUMMYFUNCTION("""COMPUTED_VALUE"""),"")</f>
        <v/>
      </c>
      <c r="E1004" s="17" t="str">
        <f>IFERROR(__xludf.DUMMYFUNCTION("""COMPUTED_VALUE"""),"")</f>
        <v/>
      </c>
      <c r="F1004" s="17" t="str">
        <f>IFERROR(__xludf.DUMMYFUNCTION("""COMPUTED_VALUE"""),"")</f>
        <v/>
      </c>
      <c r="G1004" s="17" t="str">
        <f>IFERROR(__xludf.DUMMYFUNCTION("""COMPUTED_VALUE"""),"")</f>
        <v/>
      </c>
      <c r="H1004" s="17" t="str">
        <f>IFERROR(__xludf.DUMMYFUNCTION("""COMPUTED_VALUE"""),"")</f>
        <v/>
      </c>
      <c r="I1004" s="17" t="str">
        <f>IFERROR(__xludf.DUMMYFUNCTION("""COMPUTED_VALUE"""),"")</f>
        <v/>
      </c>
      <c r="J1004" s="17" t="str">
        <f>IFERROR(__xludf.DUMMYFUNCTION("""COMPUTED_VALUE"""),"")</f>
        <v/>
      </c>
      <c r="K1004" s="17" t="str">
        <f>IFERROR(__xludf.DUMMYFUNCTION("""COMPUTED_VALUE"""),"")</f>
        <v/>
      </c>
      <c r="L1004" s="17" t="str">
        <f>IFERROR(__xludf.DUMMYFUNCTION("""COMPUTED_VALUE"""),"")</f>
        <v/>
      </c>
      <c r="M1004" s="17" t="str">
        <f>IFERROR(__xludf.DUMMYFUNCTION("""COMPUTED_VALUE"""),"")</f>
        <v/>
      </c>
      <c r="N1004" s="17" t="str">
        <f>IFERROR(__xludf.DUMMYFUNCTION("""COMPUTED_VALUE"""),"")</f>
        <v/>
      </c>
      <c r="O1004" s="17" t="str">
        <f>IFERROR(__xludf.DUMMYFUNCTION("""COMPUTED_VALUE"""),"")</f>
        <v/>
      </c>
      <c r="P1004" s="17" t="str">
        <f>IFERROR(__xludf.DUMMYFUNCTION("""COMPUTED_VALUE"""),"")</f>
        <v/>
      </c>
      <c r="Q1004" s="17" t="str">
        <f>IFERROR(__xludf.DUMMYFUNCTION("""COMPUTED_VALUE"""),"")</f>
        <v/>
      </c>
      <c r="R1004" s="17" t="str">
        <f>IFERROR(__xludf.DUMMYFUNCTION("""COMPUTED_VALUE"""),"")</f>
        <v/>
      </c>
    </row>
    <row r="1005">
      <c r="A1005" s="15">
        <f>IFERROR(__xludf.DUMMYFUNCTION("""COMPUTED_VALUE"""),45029.0)</f>
        <v>45029</v>
      </c>
      <c r="B1005" s="16" t="str">
        <f>IFERROR(__xludf.DUMMYFUNCTION("""COMPUTED_VALUE"""),"David Sanmartin Bello")</f>
        <v>David Sanmartin Bello</v>
      </c>
      <c r="C1005" s="15" t="str">
        <f>IFERROR(__xludf.DUMMYFUNCTION("""COMPUTED_VALUE"""),"CARTAGENA")</f>
        <v>CARTAGENA</v>
      </c>
      <c r="D1005" s="15" t="str">
        <f>IFERROR(__xludf.DUMMYFUNCTION("""COMPUTED_VALUE"""),"BOGOTÁ")</f>
        <v>BOGOTÁ</v>
      </c>
      <c r="E1005" s="15" t="str">
        <f>IFERROR(__xludf.DUMMYFUNCTION("""COMPUTED_VALUE"""),"Evamazzita")</f>
        <v>Evamazzita</v>
      </c>
      <c r="F1005" s="17" t="str">
        <f>IFERROR(__xludf.DUMMYFUNCTION("""COMPUTED_VALUE"""),"brr villa grande de indias 2  / manzana 6 lote 26 / brr villa grande de indias 2")</f>
        <v>brr villa grande de indias 2  / manzana 6 lote 26 / brr villa grande de indias 2</v>
      </c>
      <c r="G1005" s="15" t="str">
        <f>IFERROR(__xludf.DUMMYFUNCTION("""COMPUTED_VALUE"""),"KEYLA BARRIOS PERSIA")</f>
        <v>KEYLA BARRIOS PERSIA</v>
      </c>
      <c r="H1005" s="16">
        <f>IFERROR(__xludf.DUMMYFUNCTION("""COMPUTED_VALUE"""),9612.0)</f>
        <v>9612</v>
      </c>
      <c r="I1005" s="18">
        <f>IFERROR(__xludf.DUMMYFUNCTION("""COMPUTED_VALUE"""),25.0)</f>
        <v>25</v>
      </c>
      <c r="J1005" s="18">
        <f>IFERROR(__xludf.DUMMYFUNCTION("""COMPUTED_VALUE"""),14.0)</f>
        <v>14</v>
      </c>
      <c r="K1005" s="18">
        <f>IFERROR(__xludf.DUMMYFUNCTION("""COMPUTED_VALUE"""),5.0)</f>
        <v>5</v>
      </c>
      <c r="L1005" s="17">
        <f>IFERROR(__xludf.DUMMYFUNCTION("""COMPUTED_VALUE"""),3.013020064E9)</f>
        <v>3013020064</v>
      </c>
      <c r="M1005" s="17" t="str">
        <f>IFERROR(__xludf.DUMMYFUNCTION("""COMPUTED_VALUE"""),"#REF!")</f>
        <v>#REF!</v>
      </c>
      <c r="N1005" s="17"/>
      <c r="O1005" s="19" t="str">
        <f>IFERROR(__xludf.DUMMYFUNCTION("""COMPUTED_VALUE"""),"")</f>
        <v/>
      </c>
      <c r="P1005" s="17" t="b">
        <f>IFERROR(__xludf.DUMMYFUNCTION("""COMPUTED_VALUE"""),TRUE)</f>
        <v>1</v>
      </c>
      <c r="Q1005" s="20">
        <f>IFERROR(__xludf.DUMMYFUNCTION("""COMPUTED_VALUE"""),45029.47534733797)</f>
        <v>45029.47535</v>
      </c>
      <c r="R1005" s="22" t="str">
        <f>IFERROR(__xludf.DUMMYFUNCTION("""COMPUTED_VALUE"""),"")</f>
        <v/>
      </c>
    </row>
    <row r="1006">
      <c r="A1006" s="15">
        <f>IFERROR(__xludf.DUMMYFUNCTION("""COMPUTED_VALUE"""),45029.0)</f>
        <v>45029</v>
      </c>
      <c r="B1006" s="16" t="str">
        <f>IFERROR(__xludf.DUMMYFUNCTION("""COMPUTED_VALUE"""),"David Sanmartin Bello")</f>
        <v>David Sanmartin Bello</v>
      </c>
      <c r="C1006" s="15" t="str">
        <f>IFERROR(__xludf.DUMMYFUNCTION("""COMPUTED_VALUE"""),"CARTAGENA")</f>
        <v>CARTAGENA</v>
      </c>
      <c r="D1006" s="15" t="str">
        <f>IFERROR(__xludf.DUMMYFUNCTION("""COMPUTED_VALUE"""),"BOGOTÁ")</f>
        <v>BOGOTÁ</v>
      </c>
      <c r="E1006" s="15" t="str">
        <f>IFERROR(__xludf.DUMMYFUNCTION("""COMPUTED_VALUE"""),"Karem foods")</f>
        <v>Karem foods</v>
      </c>
      <c r="F1006" s="17" t="str">
        <f>IFERROR(__xludf.DUMMYFUNCTION("""COMPUTED_VALUE"""),"tv 54#40-161 / Ed 54 park apto 1712. La troncal  / -")</f>
        <v>tv 54#40-161 / Ed 54 park apto 1712. La troncal  / -</v>
      </c>
      <c r="G1006" s="15" t="str">
        <f>IFERROR(__xludf.DUMMYFUNCTION("""COMPUTED_VALUE"""),"Diana De la Rosa")</f>
        <v>Diana De la Rosa</v>
      </c>
      <c r="H1006" s="16">
        <f>IFERROR(__xludf.DUMMYFUNCTION("""COMPUTED_VALUE"""),9552.0)</f>
        <v>9552</v>
      </c>
      <c r="I1006" s="18">
        <f>IFERROR(__xludf.DUMMYFUNCTION("""COMPUTED_VALUE"""),8.0)</f>
        <v>8</v>
      </c>
      <c r="J1006" s="18">
        <f>IFERROR(__xludf.DUMMYFUNCTION("""COMPUTED_VALUE"""),8.0)</f>
        <v>8</v>
      </c>
      <c r="K1006" s="18">
        <f>IFERROR(__xludf.DUMMYFUNCTION("""COMPUTED_VALUE"""),8.0)</f>
        <v>8</v>
      </c>
      <c r="L1006" s="17">
        <f>IFERROR(__xludf.DUMMYFUNCTION("""COMPUTED_VALUE"""),3.154755491E9)</f>
        <v>3154755491</v>
      </c>
      <c r="M1006" s="17" t="str">
        <f>IFERROR(__xludf.DUMMYFUNCTION("""COMPUTED_VALUE"""),"#REF!")</f>
        <v>#REF!</v>
      </c>
      <c r="N1006" s="17"/>
      <c r="O1006" s="19" t="str">
        <f>IFERROR(__xludf.DUMMYFUNCTION("""COMPUTED_VALUE"""),"")</f>
        <v/>
      </c>
      <c r="P1006" s="17" t="b">
        <f>IFERROR(__xludf.DUMMYFUNCTION("""COMPUTED_VALUE"""),FALSE)</f>
        <v>0</v>
      </c>
      <c r="Q1006" s="20" t="str">
        <f>IFERROR(__xludf.DUMMYFUNCTION("""COMPUTED_VALUE"""),"")</f>
        <v/>
      </c>
      <c r="R1006" s="22" t="str">
        <f>IFERROR(__xludf.DUMMYFUNCTION("""COMPUTED_VALUE"""),"")</f>
        <v/>
      </c>
    </row>
    <row r="1007">
      <c r="A1007" s="15">
        <f>IFERROR(__xludf.DUMMYFUNCTION("""COMPUTED_VALUE"""),45029.0)</f>
        <v>45029</v>
      </c>
      <c r="B1007" s="16" t="str">
        <f>IFERROR(__xludf.DUMMYFUNCTION("""COMPUTED_VALUE"""),"David Sanmartin Bello")</f>
        <v>David Sanmartin Bello</v>
      </c>
      <c r="C1007" s="15" t="str">
        <f>IFERROR(__xludf.DUMMYFUNCTION("""COMPUTED_VALUE"""),"CARTAGENA")</f>
        <v>CARTAGENA</v>
      </c>
      <c r="D1007" s="15" t="str">
        <f>IFERROR(__xludf.DUMMYFUNCTION("""COMPUTED_VALUE"""),"BOGOTÁ")</f>
        <v>BOGOTÁ</v>
      </c>
      <c r="E1007" s="15" t="str">
        <f>IFERROR(__xludf.DUMMYFUNCTION("""COMPUTED_VALUE"""),"SISU PARTNERS SAS")</f>
        <v>SISU PARTNERS SAS</v>
      </c>
      <c r="F1007" s="17" t="str">
        <f>IFERROR(__xludf.DUMMYFUNCTION("""COMPUTED_VALUE"""),"Carrera 7 no. 38-48 local 3 / Local Mary &amp; George")</f>
        <v>Carrera 7 no. 38-48 local 3 / Local Mary &amp; George</v>
      </c>
      <c r="G1007" s="15" t="str">
        <f>IFERROR(__xludf.DUMMYFUNCTION("""COMPUTED_VALUE"""),"Carolyne Bailey")</f>
        <v>Carolyne Bailey</v>
      </c>
      <c r="H1007" s="16">
        <f>IFERROR(__xludf.DUMMYFUNCTION("""COMPUTED_VALUE"""),9654.0)</f>
        <v>9654</v>
      </c>
      <c r="I1007" s="18" t="str">
        <f>IFERROR(__xludf.DUMMYFUNCTION("""COMPUTED_VALUE"""),"52.5")</f>
        <v>52.5</v>
      </c>
      <c r="J1007" s="18">
        <f>IFERROR(__xludf.DUMMYFUNCTION("""COMPUTED_VALUE"""),45.0)</f>
        <v>45</v>
      </c>
      <c r="K1007" s="18">
        <f>IFERROR(__xludf.DUMMYFUNCTION("""COMPUTED_VALUE"""),55.0)</f>
        <v>55</v>
      </c>
      <c r="L1007" s="17">
        <f>IFERROR(__xludf.DUMMYFUNCTION("""COMPUTED_VALUE"""),3.105510381E9)</f>
        <v>3105510381</v>
      </c>
      <c r="M1007" s="17" t="str">
        <f>IFERROR(__xludf.DUMMYFUNCTION("""COMPUTED_VALUE"""),"#REF!")</f>
        <v>#REF!</v>
      </c>
      <c r="N1007" s="17"/>
      <c r="O1007" s="19" t="str">
        <f>IFERROR(__xludf.DUMMYFUNCTION("""COMPUTED_VALUE"""),"")</f>
        <v/>
      </c>
      <c r="P1007" s="17" t="b">
        <f>IFERROR(__xludf.DUMMYFUNCTION("""COMPUTED_VALUE"""),TRUE)</f>
        <v>1</v>
      </c>
      <c r="Q1007" s="20">
        <f>IFERROR(__xludf.DUMMYFUNCTION("""COMPUTED_VALUE"""),45029.74402722222)</f>
        <v>45029.74403</v>
      </c>
      <c r="R1007" s="22" t="str">
        <f>IFERROR(__xludf.DUMMYFUNCTION("""COMPUTED_VALUE"""),"")</f>
        <v/>
      </c>
    </row>
    <row r="1008">
      <c r="A1008" s="15">
        <f>IFERROR(__xludf.DUMMYFUNCTION("""COMPUTED_VALUE"""),45029.0)</f>
        <v>45029</v>
      </c>
      <c r="B1008" s="16" t="str">
        <f>IFERROR(__xludf.DUMMYFUNCTION("""COMPUTED_VALUE"""),"David Sanmartin Bello")</f>
        <v>David Sanmartin Bello</v>
      </c>
      <c r="C1008" s="15" t="str">
        <f>IFERROR(__xludf.DUMMYFUNCTION("""COMPUTED_VALUE"""),"CARTAGENA")</f>
        <v>CARTAGENA</v>
      </c>
      <c r="D1008" s="15" t="str">
        <f>IFERROR(__xludf.DUMMYFUNCTION("""COMPUTED_VALUE"""),"MEDELLÍN")</f>
        <v>MEDELLÍN</v>
      </c>
      <c r="E1008" s="15" t="str">
        <f>IFERROR(__xludf.DUMMYFUNCTION("""COMPUTED_VALUE"""),"AREPAS LA MARY")</f>
        <v>AREPAS LA MARY</v>
      </c>
      <c r="F1008" s="17" t="str">
        <f>IFERROR(__xludf.DUMMYFUNCTION("""COMPUTED_VALUE"""),"CALLE 6 N 4 20 / CENTRO COMERCIAL LA ESTACION")</f>
        <v>CALLE 6 N 4 20 / CENTRO COMERCIAL LA ESTACION</v>
      </c>
      <c r="G1008" s="15" t="str">
        <f>IFERROR(__xludf.DUMMYFUNCTION("""COMPUTED_VALUE"""),"COCOFIT MERCADO SALUDABLE")</f>
        <v>COCOFIT MERCADO SALUDABLE</v>
      </c>
      <c r="H1008" s="16">
        <f>IFERROR(__xludf.DUMMYFUNCTION("""COMPUTED_VALUE"""),9557.0)</f>
        <v>9557</v>
      </c>
      <c r="I1008" s="18">
        <f>IFERROR(__xludf.DUMMYFUNCTION("""COMPUTED_VALUE"""),89.0)</f>
        <v>89</v>
      </c>
      <c r="J1008" s="18">
        <f>IFERROR(__xludf.DUMMYFUNCTION("""COMPUTED_VALUE"""),1.0)</f>
        <v>1</v>
      </c>
      <c r="K1008" s="18">
        <f>IFERROR(__xludf.DUMMYFUNCTION("""COMPUTED_VALUE"""),10.0)</f>
        <v>10</v>
      </c>
      <c r="L1008" s="17"/>
      <c r="M1008" s="17" t="str">
        <f>IFERROR(__xludf.DUMMYFUNCTION("""COMPUTED_VALUE"""),"#REF!")</f>
        <v>#REF!</v>
      </c>
      <c r="N1008" s="17"/>
      <c r="O1008" s="19" t="str">
        <f>IFERROR(__xludf.DUMMYFUNCTION("""COMPUTED_VALUE"""),"")</f>
        <v/>
      </c>
      <c r="P1008" s="17" t="b">
        <f>IFERROR(__xludf.DUMMYFUNCTION("""COMPUTED_VALUE"""),TRUE)</f>
        <v>1</v>
      </c>
      <c r="Q1008" s="20">
        <f>IFERROR(__xludf.DUMMYFUNCTION("""COMPUTED_VALUE"""),45029.74402722222)</f>
        <v>45029.74403</v>
      </c>
      <c r="R1008" s="22" t="str">
        <f>IFERROR(__xludf.DUMMYFUNCTION("""COMPUTED_VALUE"""),"")</f>
        <v/>
      </c>
    </row>
    <row r="1009">
      <c r="A1009" s="15">
        <f>IFERROR(__xludf.DUMMYFUNCTION("""COMPUTED_VALUE"""),45029.0)</f>
        <v>45029</v>
      </c>
      <c r="B1009" s="16" t="str">
        <f>IFERROR(__xludf.DUMMYFUNCTION("""COMPUTED_VALUE"""),"David Sanmartin Bello")</f>
        <v>David Sanmartin Bello</v>
      </c>
      <c r="C1009" s="15" t="str">
        <f>IFERROR(__xludf.DUMMYFUNCTION("""COMPUTED_VALUE"""),"MEDELLÍN")</f>
        <v>MEDELLÍN</v>
      </c>
      <c r="D1009" s="15" t="str">
        <f>IFERROR(__xludf.DUMMYFUNCTION("""COMPUTED_VALUE"""),"BOGOTÁ")</f>
        <v>BOGOTÁ</v>
      </c>
      <c r="E1009" s="15" t="str">
        <f>IFERROR(__xludf.DUMMYFUNCTION("""COMPUTED_VALUE"""),"Viral Brands")</f>
        <v>Viral Brands</v>
      </c>
      <c r="F1009" s="17" t="str">
        <f>IFERROR(__xludf.DUMMYFUNCTION("""COMPUTED_VALUE"""),"calle 1sur #29-354 / edificio los Parra al lado de la bodega de Rappi  / Poblado")</f>
        <v>calle 1sur #29-354 / edificio los Parra al lado de la bodega de Rappi  / Poblado</v>
      </c>
      <c r="G1009" s="15" t="str">
        <f>IFERROR(__xludf.DUMMYFUNCTION("""COMPUTED_VALUE"""),"Santiago Alarcón")</f>
        <v>Santiago Alarcón</v>
      </c>
      <c r="H1009" s="16">
        <f>IFERROR(__xludf.DUMMYFUNCTION("""COMPUTED_VALUE"""),9683.0)</f>
        <v>9683</v>
      </c>
      <c r="I1009" s="18">
        <f>IFERROR(__xludf.DUMMYFUNCTION("""COMPUTED_VALUE"""),29.0)</f>
        <v>29</v>
      </c>
      <c r="J1009" s="18">
        <f>IFERROR(__xludf.DUMMYFUNCTION("""COMPUTED_VALUE"""),55.0)</f>
        <v>55</v>
      </c>
      <c r="K1009" s="18">
        <f>IFERROR(__xludf.DUMMYFUNCTION("""COMPUTED_VALUE"""),45.0)</f>
        <v>45</v>
      </c>
      <c r="L1009" s="17">
        <f>IFERROR(__xludf.DUMMYFUNCTION("""COMPUTED_VALUE"""),3.043480219E9)</f>
        <v>3043480219</v>
      </c>
      <c r="M1009" s="17" t="str">
        <f>IFERROR(__xludf.DUMMYFUNCTION("""COMPUTED_VALUE"""),"#REF!")</f>
        <v>#REF!</v>
      </c>
      <c r="N1009" s="17"/>
      <c r="O1009" s="19" t="str">
        <f>IFERROR(__xludf.DUMMYFUNCTION("""COMPUTED_VALUE"""),"")</f>
        <v/>
      </c>
      <c r="P1009" s="17" t="b">
        <f>IFERROR(__xludf.DUMMYFUNCTION("""COMPUTED_VALUE"""),FALSE)</f>
        <v>0</v>
      </c>
      <c r="Q1009" s="20" t="str">
        <f>IFERROR(__xludf.DUMMYFUNCTION("""COMPUTED_VALUE"""),"")</f>
        <v/>
      </c>
      <c r="R1009" s="22" t="str">
        <f>IFERROR(__xludf.DUMMYFUNCTION("""COMPUTED_VALUE"""),"")</f>
        <v/>
      </c>
    </row>
    <row r="1010">
      <c r="A1010" s="17" t="str">
        <f>IFERROR(__xludf.DUMMYFUNCTION("""COMPUTED_VALUE"""),"")</f>
        <v/>
      </c>
      <c r="B1010" s="17" t="str">
        <f>IFERROR(__xludf.DUMMYFUNCTION("""COMPUTED_VALUE"""),"")</f>
        <v/>
      </c>
      <c r="C1010" s="17" t="str">
        <f>IFERROR(__xludf.DUMMYFUNCTION("""COMPUTED_VALUE"""),"")</f>
        <v/>
      </c>
      <c r="D1010" s="17" t="str">
        <f>IFERROR(__xludf.DUMMYFUNCTION("""COMPUTED_VALUE"""),"")</f>
        <v/>
      </c>
      <c r="E1010" s="17" t="str">
        <f>IFERROR(__xludf.DUMMYFUNCTION("""COMPUTED_VALUE"""),"")</f>
        <v/>
      </c>
      <c r="F1010" s="17" t="str">
        <f>IFERROR(__xludf.DUMMYFUNCTION("""COMPUTED_VALUE"""),"")</f>
        <v/>
      </c>
      <c r="G1010" s="17" t="str">
        <f>IFERROR(__xludf.DUMMYFUNCTION("""COMPUTED_VALUE"""),"")</f>
        <v/>
      </c>
      <c r="H1010" s="17" t="str">
        <f>IFERROR(__xludf.DUMMYFUNCTION("""COMPUTED_VALUE"""),"")</f>
        <v/>
      </c>
      <c r="I1010" s="17" t="str">
        <f>IFERROR(__xludf.DUMMYFUNCTION("""COMPUTED_VALUE"""),"")</f>
        <v/>
      </c>
      <c r="J1010" s="17" t="str">
        <f>IFERROR(__xludf.DUMMYFUNCTION("""COMPUTED_VALUE"""),"")</f>
        <v/>
      </c>
      <c r="K1010" s="17" t="str">
        <f>IFERROR(__xludf.DUMMYFUNCTION("""COMPUTED_VALUE"""),"")</f>
        <v/>
      </c>
      <c r="L1010" s="17" t="str">
        <f>IFERROR(__xludf.DUMMYFUNCTION("""COMPUTED_VALUE"""),"")</f>
        <v/>
      </c>
      <c r="M1010" s="17" t="str">
        <f>IFERROR(__xludf.DUMMYFUNCTION("""COMPUTED_VALUE"""),"")</f>
        <v/>
      </c>
      <c r="N1010" s="17" t="str">
        <f>IFERROR(__xludf.DUMMYFUNCTION("""COMPUTED_VALUE"""),"")</f>
        <v/>
      </c>
      <c r="O1010" s="17" t="str">
        <f>IFERROR(__xludf.DUMMYFUNCTION("""COMPUTED_VALUE"""),"")</f>
        <v/>
      </c>
      <c r="P1010" s="17" t="str">
        <f>IFERROR(__xludf.DUMMYFUNCTION("""COMPUTED_VALUE"""),"")</f>
        <v/>
      </c>
      <c r="Q1010" s="17" t="str">
        <f>IFERROR(__xludf.DUMMYFUNCTION("""COMPUTED_VALUE"""),"")</f>
        <v/>
      </c>
      <c r="R1010" s="17" t="str">
        <f>IFERROR(__xludf.DUMMYFUNCTION("""COMPUTED_VALUE"""),"")</f>
        <v/>
      </c>
    </row>
    <row r="1011">
      <c r="A1011" s="15">
        <f>IFERROR(__xludf.DUMMYFUNCTION("""COMPUTED_VALUE"""),45029.0)</f>
        <v>45029</v>
      </c>
      <c r="B1011" s="16" t="str">
        <f>IFERROR(__xludf.DUMMYFUNCTION("""COMPUTED_VALUE"""),"Envia")</f>
        <v>Envia</v>
      </c>
      <c r="C1011" s="15" t="str">
        <f>IFERROR(__xludf.DUMMYFUNCTION("""COMPUTED_VALUE"""),"ARMENIA")</f>
        <v>ARMENIA</v>
      </c>
      <c r="D1011" s="15" t="str">
        <f>IFERROR(__xludf.DUMMYFUNCTION("""COMPUTED_VALUE"""),"MEDELLÍN")</f>
        <v>MEDELLÍN</v>
      </c>
      <c r="E1011" s="15" t="str">
        <f>IFERROR(__xludf.DUMMYFUNCTION("""COMPUTED_VALUE"""),"TOLEDALES S.A.S")</f>
        <v>TOLEDALES S.A.S</v>
      </c>
      <c r="F1011" s="17" t="str">
        <f>IFERROR(__xludf.DUMMYFUNCTION("""COMPUTED_VALUE"""),"Cra 14 # 46 norte -41 mall zona de oro")</f>
        <v>Cra 14 # 46 norte -41 mall zona de oro</v>
      </c>
      <c r="G1011" s="15" t="str">
        <f>IFERROR(__xludf.DUMMYFUNCTION("""COMPUTED_VALUE"""),"paola andrea gomez")</f>
        <v>paola andrea gomez</v>
      </c>
      <c r="H1011" s="16">
        <f>IFERROR(__xludf.DUMMYFUNCTION("""COMPUTED_VALUE"""),9647.0)</f>
        <v>9647</v>
      </c>
      <c r="I1011" s="18">
        <f>IFERROR(__xludf.DUMMYFUNCTION("""COMPUTED_VALUE"""),27.0)</f>
        <v>27</v>
      </c>
      <c r="J1011" s="18">
        <f>IFERROR(__xludf.DUMMYFUNCTION("""COMPUTED_VALUE"""),42.0)</f>
        <v>42</v>
      </c>
      <c r="K1011" s="18">
        <f>IFERROR(__xludf.DUMMYFUNCTION("""COMPUTED_VALUE"""),27.0)</f>
        <v>27</v>
      </c>
      <c r="L1011" s="17">
        <f>IFERROR(__xludf.DUMMYFUNCTION("""COMPUTED_VALUE"""),3.003222972E9)</f>
        <v>3003222972</v>
      </c>
      <c r="M1011" s="17" t="str">
        <f>IFERROR(__xludf.DUMMYFUNCTION("""COMPUTED_VALUE"""),"#REF!")</f>
        <v>#REF!</v>
      </c>
      <c r="N1011" s="17"/>
      <c r="O1011" s="19" t="str">
        <f>IFERROR(__xludf.DUMMYFUNCTION("""COMPUTED_VALUE"""),"")</f>
        <v/>
      </c>
      <c r="P1011" s="17" t="b">
        <f>IFERROR(__xludf.DUMMYFUNCTION("""COMPUTED_VALUE"""),FALSE)</f>
        <v>0</v>
      </c>
      <c r="Q1011" s="20" t="str">
        <f>IFERROR(__xludf.DUMMYFUNCTION("""COMPUTED_VALUE"""),"")</f>
        <v/>
      </c>
      <c r="R1011" s="22" t="str">
        <f>IFERROR(__xludf.DUMMYFUNCTION("""COMPUTED_VALUE"""),"")</f>
        <v/>
      </c>
    </row>
    <row r="1012">
      <c r="A1012" s="15">
        <f>IFERROR(__xludf.DUMMYFUNCTION("""COMPUTED_VALUE"""),45029.0)</f>
        <v>45029</v>
      </c>
      <c r="B1012" s="16" t="str">
        <f>IFERROR(__xludf.DUMMYFUNCTION("""COMPUTED_VALUE"""),"Envia")</f>
        <v>Envia</v>
      </c>
      <c r="C1012" s="15" t="str">
        <f>IFERROR(__xludf.DUMMYFUNCTION("""COMPUTED_VALUE"""),"BOGOTÁ")</f>
        <v>BOGOTÁ</v>
      </c>
      <c r="D1012" s="15" t="str">
        <f>IFERROR(__xludf.DUMMYFUNCTION("""COMPUTED_VALUE"""),"CALI")</f>
        <v>CALI</v>
      </c>
      <c r="E1012" s="15" t="str">
        <f>IFERROR(__xludf.DUMMYFUNCTION("""COMPUTED_VALUE"""),"Sabor Típico")</f>
        <v>Sabor Típico</v>
      </c>
      <c r="F1012" s="17" t="str">
        <f>IFERROR(__xludf.DUMMYFUNCTION("""COMPUTED_VALUE"""),"Calle 75 #68g-18 / Calle 75 #68g-18 / Calle 75 #68g-18")</f>
        <v>Calle 75 #68g-18 / Calle 75 #68g-18 / Calle 75 #68g-18</v>
      </c>
      <c r="G1012" s="15" t="str">
        <f>IFERROR(__xludf.DUMMYFUNCTION("""COMPUTED_VALUE"""),"AllPet SAS")</f>
        <v>AllPet SAS</v>
      </c>
      <c r="H1012" s="16">
        <f>IFERROR(__xludf.DUMMYFUNCTION("""COMPUTED_VALUE"""),9650.0)</f>
        <v>9650</v>
      </c>
      <c r="I1012" s="18">
        <f>IFERROR(__xludf.DUMMYFUNCTION("""COMPUTED_VALUE"""),9.0)</f>
        <v>9</v>
      </c>
      <c r="J1012" s="18">
        <f>IFERROR(__xludf.DUMMYFUNCTION("""COMPUTED_VALUE"""),30.0)</f>
        <v>30</v>
      </c>
      <c r="K1012" s="18">
        <f>IFERROR(__xludf.DUMMYFUNCTION("""COMPUTED_VALUE"""),22.0)</f>
        <v>22</v>
      </c>
      <c r="L1012" s="17">
        <f>IFERROR(__xludf.DUMMYFUNCTION("""COMPUTED_VALUE"""),3.187914886E9)</f>
        <v>3187914886</v>
      </c>
      <c r="M1012" s="17" t="str">
        <f>IFERROR(__xludf.DUMMYFUNCTION("""COMPUTED_VALUE"""),"#REF!")</f>
        <v>#REF!</v>
      </c>
      <c r="N1012" s="17"/>
      <c r="O1012" s="19" t="str">
        <f>IFERROR(__xludf.DUMMYFUNCTION("""COMPUTED_VALUE"""),"")</f>
        <v/>
      </c>
      <c r="P1012" s="17" t="b">
        <f>IFERROR(__xludf.DUMMYFUNCTION("""COMPUTED_VALUE"""),FALSE)</f>
        <v>0</v>
      </c>
      <c r="Q1012" s="20" t="str">
        <f>IFERROR(__xludf.DUMMYFUNCTION("""COMPUTED_VALUE"""),"")</f>
        <v/>
      </c>
      <c r="R1012" s="22" t="str">
        <f>IFERROR(__xludf.DUMMYFUNCTION("""COMPUTED_VALUE"""),"")</f>
        <v/>
      </c>
    </row>
    <row r="1013">
      <c r="A1013" s="15">
        <f>IFERROR(__xludf.DUMMYFUNCTION("""COMPUTED_VALUE"""),45029.0)</f>
        <v>45029</v>
      </c>
      <c r="B1013" s="16" t="str">
        <f>IFERROR(__xludf.DUMMYFUNCTION("""COMPUTED_VALUE"""),"Envia")</f>
        <v>Envia</v>
      </c>
      <c r="C1013" s="15" t="str">
        <f>IFERROR(__xludf.DUMMYFUNCTION("""COMPUTED_VALUE"""),"BOGOTÁ")</f>
        <v>BOGOTÁ</v>
      </c>
      <c r="D1013" s="15" t="str">
        <f>IFERROR(__xludf.DUMMYFUNCTION("""COMPUTED_VALUE"""),"MEDELLÍN")</f>
        <v>MEDELLÍN</v>
      </c>
      <c r="E1013" s="15" t="str">
        <f>IFERROR(__xludf.DUMMYFUNCTION("""COMPUTED_VALUE"""),"Puro Verde")</f>
        <v>Puro Verde</v>
      </c>
      <c r="F1013" s="17" t="str">
        <f>IFERROR(__xludf.DUMMYFUNCTION("""COMPUTED_VALUE"""),"AV CRA 15 # 90-20 / LOCAL 109 / BARRIO CHICO")</f>
        <v>AV CRA 15 # 90-20 / LOCAL 109 / BARRIO CHICO</v>
      </c>
      <c r="G1013" s="15" t="str">
        <f>IFERROR(__xludf.DUMMYFUNCTION("""COMPUTED_VALUE"""),"DANDO CUERDA")</f>
        <v>DANDO CUERDA</v>
      </c>
      <c r="H1013" s="16">
        <f>IFERROR(__xludf.DUMMYFUNCTION("""COMPUTED_VALUE"""),9643.0)</f>
        <v>9643</v>
      </c>
      <c r="I1013" s="18">
        <f>IFERROR(__xludf.DUMMYFUNCTION("""COMPUTED_VALUE"""),55.0)</f>
        <v>55</v>
      </c>
      <c r="J1013" s="18">
        <f>IFERROR(__xludf.DUMMYFUNCTION("""COMPUTED_VALUE"""),45.0)</f>
        <v>45</v>
      </c>
      <c r="K1013" s="18" t="str">
        <f>IFERROR(__xludf.DUMMYFUNCTION("""COMPUTED_VALUE"""),"52.5")</f>
        <v>52.5</v>
      </c>
      <c r="L1013" s="17">
        <f>IFERROR(__xludf.DUMMYFUNCTION("""COMPUTED_VALUE"""),3.163816691E9)</f>
        <v>3163816691</v>
      </c>
      <c r="M1013" s="17" t="str">
        <f>IFERROR(__xludf.DUMMYFUNCTION("""COMPUTED_VALUE"""),"#REF!")</f>
        <v>#REF!</v>
      </c>
      <c r="N1013" s="17"/>
      <c r="O1013" s="19" t="str">
        <f>IFERROR(__xludf.DUMMYFUNCTION("""COMPUTED_VALUE"""),"")</f>
        <v/>
      </c>
      <c r="P1013" s="17" t="b">
        <f>IFERROR(__xludf.DUMMYFUNCTION("""COMPUTED_VALUE"""),FALSE)</f>
        <v>0</v>
      </c>
      <c r="Q1013" s="20" t="str">
        <f>IFERROR(__xludf.DUMMYFUNCTION("""COMPUTED_VALUE"""),"")</f>
        <v/>
      </c>
      <c r="R1013" s="22" t="str">
        <f>IFERROR(__xludf.DUMMYFUNCTION("""COMPUTED_VALUE"""),"")</f>
        <v/>
      </c>
    </row>
    <row r="1014">
      <c r="A1014" s="15">
        <f>IFERROR(__xludf.DUMMYFUNCTION("""COMPUTED_VALUE"""),45029.0)</f>
        <v>45029</v>
      </c>
      <c r="B1014" s="16" t="str">
        <f>IFERROR(__xludf.DUMMYFUNCTION("""COMPUTED_VALUE"""),"Envia")</f>
        <v>Envia</v>
      </c>
      <c r="C1014" s="15" t="str">
        <f>IFERROR(__xludf.DUMMYFUNCTION("""COMPUTED_VALUE"""),"CARTAGENA")</f>
        <v>CARTAGENA</v>
      </c>
      <c r="D1014" s="15" t="str">
        <f>IFERROR(__xludf.DUMMYFUNCTION("""COMPUTED_VALUE"""),"BOGOTÁ")</f>
        <v>BOGOTÁ</v>
      </c>
      <c r="E1014" s="15" t="str">
        <f>IFERROR(__xludf.DUMMYFUNCTION("""COMPUTED_VALUE"""),"Pan de Waffle")</f>
        <v>Pan de Waffle</v>
      </c>
      <c r="F1014" s="17" t="str">
        <f>IFERROR(__xludf.DUMMYFUNCTION("""COMPUTED_VALUE"""),"Carrera 3 # 5a- 34 piso 2 spinning center gym / Carrera 3 # 5a- 34 piso 2 spinning center gym / Carrera 3 # 5a- 34 piso 2 spinning center gym")</f>
        <v>Carrera 3 # 5a- 34 piso 2 spinning center gym / Carrera 3 # 5a- 34 piso 2 spinning center gym / Carrera 3 # 5a- 34 piso 2 spinning center gym</v>
      </c>
      <c r="G1014" s="15" t="str">
        <f>IFERROR(__xludf.DUMMYFUNCTION("""COMPUTED_VALUE"""),"FITNESS BY LA MONI")</f>
        <v>FITNESS BY LA MONI</v>
      </c>
      <c r="H1014" s="16">
        <f>IFERROR(__xludf.DUMMYFUNCTION("""COMPUTED_VALUE"""),9644.0)</f>
        <v>9644</v>
      </c>
      <c r="I1014" s="18">
        <f>IFERROR(__xludf.DUMMYFUNCTION("""COMPUTED_VALUE"""),50.0)</f>
        <v>50</v>
      </c>
      <c r="J1014" s="18">
        <f>IFERROR(__xludf.DUMMYFUNCTION("""COMPUTED_VALUE"""),40.0)</f>
        <v>40</v>
      </c>
      <c r="K1014" s="18">
        <f>IFERROR(__xludf.DUMMYFUNCTION("""COMPUTED_VALUE"""),40.0)</f>
        <v>40</v>
      </c>
      <c r="L1014" s="17">
        <f>IFERROR(__xludf.DUMMYFUNCTION("""COMPUTED_VALUE"""),3.146189338E9)</f>
        <v>3146189338</v>
      </c>
      <c r="M1014" s="17" t="str">
        <f>IFERROR(__xludf.DUMMYFUNCTION("""COMPUTED_VALUE"""),"#REF!")</f>
        <v>#REF!</v>
      </c>
      <c r="N1014" s="17"/>
      <c r="O1014" s="19" t="str">
        <f>IFERROR(__xludf.DUMMYFUNCTION("""COMPUTED_VALUE"""),"")</f>
        <v/>
      </c>
      <c r="P1014" s="17" t="b">
        <f>IFERROR(__xludf.DUMMYFUNCTION("""COMPUTED_VALUE"""),TRUE)</f>
        <v>1</v>
      </c>
      <c r="Q1014" s="20">
        <f>IFERROR(__xludf.DUMMYFUNCTION("""COMPUTED_VALUE"""),45029.74401407407)</f>
        <v>45029.74401</v>
      </c>
      <c r="R1014" s="22" t="str">
        <f>IFERROR(__xludf.DUMMYFUNCTION("""COMPUTED_VALUE"""),"")</f>
        <v/>
      </c>
    </row>
    <row r="1015">
      <c r="A1015" s="15">
        <f>IFERROR(__xludf.DUMMYFUNCTION("""COMPUTED_VALUE"""),45029.0)</f>
        <v>45029</v>
      </c>
      <c r="B1015" s="16" t="str">
        <f>IFERROR(__xludf.DUMMYFUNCTION("""COMPUTED_VALUE"""),"Envia")</f>
        <v>Envia</v>
      </c>
      <c r="C1015" s="15" t="str">
        <f>IFERROR(__xludf.DUMMYFUNCTION("""COMPUTED_VALUE"""),"CARTAGENA")</f>
        <v>CARTAGENA</v>
      </c>
      <c r="D1015" s="15" t="str">
        <f>IFERROR(__xludf.DUMMYFUNCTION("""COMPUTED_VALUE"""),"MEDELLÍN")</f>
        <v>MEDELLÍN</v>
      </c>
      <c r="E1015" s="15" t="str">
        <f>IFERROR(__xludf.DUMMYFUNCTION("""COMPUTED_VALUE"""),"Rambla")</f>
        <v>Rambla</v>
      </c>
      <c r="F1015" s="17" t="str">
        <f>IFERROR(__xludf.DUMMYFUNCTION("""COMPUTED_VALUE"""),"Calle 9#3-19 Edif bahía Bolívar apto 501 Barrio bocagrande  / na / na")</f>
        <v>Calle 9#3-19 Edif bahía Bolívar apto 501 Barrio bocagrande  / na / na</v>
      </c>
      <c r="G1015" s="15" t="str">
        <f>IFERROR(__xludf.DUMMYFUNCTION("""COMPUTED_VALUE"""),"Katerin bustillo")</f>
        <v>Katerin bustillo</v>
      </c>
      <c r="H1015" s="16">
        <f>IFERROR(__xludf.DUMMYFUNCTION("""COMPUTED_VALUE"""),9636.0)</f>
        <v>9636</v>
      </c>
      <c r="I1015" s="18">
        <f>IFERROR(__xludf.DUMMYFUNCTION("""COMPUTED_VALUE"""),20.0)</f>
        <v>20</v>
      </c>
      <c r="J1015" s="18">
        <f>IFERROR(__xludf.DUMMYFUNCTION("""COMPUTED_VALUE"""),23.0)</f>
        <v>23</v>
      </c>
      <c r="K1015" s="18">
        <f>IFERROR(__xludf.DUMMYFUNCTION("""COMPUTED_VALUE"""),26.0)</f>
        <v>26</v>
      </c>
      <c r="L1015" s="17">
        <f>IFERROR(__xludf.DUMMYFUNCTION("""COMPUTED_VALUE"""),3.127642343E9)</f>
        <v>3127642343</v>
      </c>
      <c r="M1015" s="17" t="str">
        <f>IFERROR(__xludf.DUMMYFUNCTION("""COMPUTED_VALUE"""),"#REF!")</f>
        <v>#REF!</v>
      </c>
      <c r="N1015" s="17"/>
      <c r="O1015" s="19" t="str">
        <f>IFERROR(__xludf.DUMMYFUNCTION("""COMPUTED_VALUE"""),"")</f>
        <v/>
      </c>
      <c r="P1015" s="17" t="b">
        <f>IFERROR(__xludf.DUMMYFUNCTION("""COMPUTED_VALUE"""),TRUE)</f>
        <v>1</v>
      </c>
      <c r="Q1015" s="20">
        <f>IFERROR(__xludf.DUMMYFUNCTION("""COMPUTED_VALUE"""),45029.74401407407)</f>
        <v>45029.74401</v>
      </c>
      <c r="R1015" s="22" t="str">
        <f>IFERROR(__xludf.DUMMYFUNCTION("""COMPUTED_VALUE"""),"")</f>
        <v/>
      </c>
    </row>
    <row r="1016">
      <c r="A1016" s="15">
        <f>IFERROR(__xludf.DUMMYFUNCTION("""COMPUTED_VALUE"""),45029.0)</f>
        <v>45029</v>
      </c>
      <c r="B1016" s="16" t="str">
        <f>IFERROR(__xludf.DUMMYFUNCTION("""COMPUTED_VALUE"""),"Envia")</f>
        <v>Envia</v>
      </c>
      <c r="C1016" s="15" t="str">
        <f>IFERROR(__xludf.DUMMYFUNCTION("""COMPUTED_VALUE"""),"MEDELLÍN")</f>
        <v>MEDELLÍN</v>
      </c>
      <c r="D1016" s="15" t="str">
        <f>IFERROR(__xludf.DUMMYFUNCTION("""COMPUTED_VALUE"""),"BOGOTÁ")</f>
        <v>BOGOTÁ</v>
      </c>
      <c r="E1016" s="15" t="str">
        <f>IFERROR(__xludf.DUMMYFUNCTION("""COMPUTED_VALUE"""),"Frambascolombia sas")</f>
        <v>Frambascolombia sas</v>
      </c>
      <c r="F1016" s="17" t="str">
        <f>IFERROR(__xludf.DUMMYFUNCTION("""COMPUTED_VALUE"""),"Cl. 16 #55-129 / local 2")</f>
        <v>Cl. 16 #55-129 / local 2</v>
      </c>
      <c r="G1016" s="15" t="str">
        <f>IFERROR(__xludf.DUMMYFUNCTION("""COMPUTED_VALUE"""),"PikNPak Medellín")</f>
        <v>PikNPak Medellín</v>
      </c>
      <c r="H1016" s="16">
        <f>IFERROR(__xludf.DUMMYFUNCTION("""COMPUTED_VALUE"""),9609.0)</f>
        <v>9609</v>
      </c>
      <c r="I1016" s="18">
        <f>IFERROR(__xludf.DUMMYFUNCTION("""COMPUTED_VALUE"""),29.0)</f>
        <v>29</v>
      </c>
      <c r="J1016" s="18">
        <f>IFERROR(__xludf.DUMMYFUNCTION("""COMPUTED_VALUE"""),45.0)</f>
        <v>45</v>
      </c>
      <c r="K1016" s="18">
        <f>IFERROR(__xludf.DUMMYFUNCTION("""COMPUTED_VALUE"""),53.0)</f>
        <v>53</v>
      </c>
      <c r="L1016" s="17" t="str">
        <f>IFERROR(__xludf.DUMMYFUNCTION("""COMPUTED_VALUE"""),"321 4229567")</f>
        <v>321 4229567</v>
      </c>
      <c r="M1016" s="17" t="str">
        <f>IFERROR(__xludf.DUMMYFUNCTION("""COMPUTED_VALUE"""),"#REF!")</f>
        <v>#REF!</v>
      </c>
      <c r="N1016" s="17"/>
      <c r="O1016" s="19" t="str">
        <f>IFERROR(__xludf.DUMMYFUNCTION("""COMPUTED_VALUE"""),"")</f>
        <v/>
      </c>
      <c r="P1016" s="17" t="b">
        <f>IFERROR(__xludf.DUMMYFUNCTION("""COMPUTED_VALUE"""),TRUE)</f>
        <v>1</v>
      </c>
      <c r="Q1016" s="20">
        <f>IFERROR(__xludf.DUMMYFUNCTION("""COMPUTED_VALUE"""),45029.74401407407)</f>
        <v>45029.74401</v>
      </c>
      <c r="R1016" s="22" t="str">
        <f>IFERROR(__xludf.DUMMYFUNCTION("""COMPUTED_VALUE"""),"")</f>
        <v/>
      </c>
    </row>
    <row r="1017">
      <c r="A1017" s="15">
        <f>IFERROR(__xludf.DUMMYFUNCTION("""COMPUTED_VALUE"""),45029.0)</f>
        <v>45029</v>
      </c>
      <c r="B1017" s="16" t="str">
        <f>IFERROR(__xludf.DUMMYFUNCTION("""COMPUTED_VALUE"""),"Envia")</f>
        <v>Envia</v>
      </c>
      <c r="C1017" s="15" t="str">
        <f>IFERROR(__xludf.DUMMYFUNCTION("""COMPUTED_VALUE"""),"MEDELLÍN")</f>
        <v>MEDELLÍN</v>
      </c>
      <c r="D1017" s="15" t="str">
        <f>IFERROR(__xludf.DUMMYFUNCTION("""COMPUTED_VALUE"""),"BOGOTÁ")</f>
        <v>BOGOTÁ</v>
      </c>
      <c r="E1017" s="15" t="str">
        <f>IFERROR(__xludf.DUMMYFUNCTION("""COMPUTED_VALUE"""),"Grupo GP")</f>
        <v>Grupo GP</v>
      </c>
      <c r="F1017" s="17" t="str">
        <f>IFERROR(__xludf.DUMMYFUNCTION("""COMPUTED_VALUE"""),"Diagonal 47 # 15 sur - 115 / Cocina 3 contenedor de Muncher / Aguacatala")</f>
        <v>Diagonal 47 # 15 sur - 115 / Cocina 3 contenedor de Muncher / Aguacatala</v>
      </c>
      <c r="G1017" s="15" t="str">
        <f>IFERROR(__xludf.DUMMYFUNCTION("""COMPUTED_VALUE"""),"Grecia Rojas")</f>
        <v>Grecia Rojas</v>
      </c>
      <c r="H1017" s="16">
        <f>IFERROR(__xludf.DUMMYFUNCTION("""COMPUTED_VALUE"""),9640.0)</f>
        <v>9640</v>
      </c>
      <c r="I1017" s="18">
        <f>IFERROR(__xludf.DUMMYFUNCTION("""COMPUTED_VALUE"""),67.0)</f>
        <v>67</v>
      </c>
      <c r="J1017" s="18">
        <f>IFERROR(__xludf.DUMMYFUNCTION("""COMPUTED_VALUE"""),66.0)</f>
        <v>66</v>
      </c>
      <c r="K1017" s="18">
        <f>IFERROR(__xludf.DUMMYFUNCTION("""COMPUTED_VALUE"""),55.0)</f>
        <v>55</v>
      </c>
      <c r="L1017" s="17">
        <f>IFERROR(__xludf.DUMMYFUNCTION("""COMPUTED_VALUE"""),3.025626362E9)</f>
        <v>3025626362</v>
      </c>
      <c r="M1017" s="17" t="str">
        <f>IFERROR(__xludf.DUMMYFUNCTION("""COMPUTED_VALUE"""),"#REF!")</f>
        <v>#REF!</v>
      </c>
      <c r="N1017" s="17"/>
      <c r="O1017" s="19" t="str">
        <f>IFERROR(__xludf.DUMMYFUNCTION("""COMPUTED_VALUE"""),"")</f>
        <v/>
      </c>
      <c r="P1017" s="17" t="b">
        <f>IFERROR(__xludf.DUMMYFUNCTION("""COMPUTED_VALUE"""),TRUE)</f>
        <v>1</v>
      </c>
      <c r="Q1017" s="20">
        <f>IFERROR(__xludf.DUMMYFUNCTION("""COMPUTED_VALUE"""),45029.74401407407)</f>
        <v>45029.74401</v>
      </c>
      <c r="R1017" s="22" t="str">
        <f>IFERROR(__xludf.DUMMYFUNCTION("""COMPUTED_VALUE"""),"")</f>
        <v/>
      </c>
    </row>
    <row r="1018">
      <c r="A1018" s="15">
        <f>IFERROR(__xludf.DUMMYFUNCTION("""COMPUTED_VALUE"""),45029.0)</f>
        <v>45029</v>
      </c>
      <c r="B1018" s="16" t="str">
        <f>IFERROR(__xludf.DUMMYFUNCTION("""COMPUTED_VALUE"""),"Envia")</f>
        <v>Envia</v>
      </c>
      <c r="C1018" s="15" t="str">
        <f>IFERROR(__xludf.DUMMYFUNCTION("""COMPUTED_VALUE"""),"MEDELLÍN")</f>
        <v>MEDELLÍN</v>
      </c>
      <c r="D1018" s="15" t="str">
        <f>IFERROR(__xludf.DUMMYFUNCTION("""COMPUTED_VALUE"""),"BOGOTÁ")</f>
        <v>BOGOTÁ</v>
      </c>
      <c r="E1018" s="15" t="str">
        <f>IFERROR(__xludf.DUMMYFUNCTION("""COMPUTED_VALUE"""),"SISU PARTNERS SAS")</f>
        <v>SISU PARTNERS SAS</v>
      </c>
      <c r="F1018" s="17" t="str">
        <f>IFERROR(__xludf.DUMMYFUNCTION("""COMPUTED_VALUE"""),"Carrera 34 no. 7-86 / Local Mary &amp; George")</f>
        <v>Carrera 34 no. 7-86 / Local Mary &amp; George</v>
      </c>
      <c r="G1018" s="15" t="str">
        <f>IFERROR(__xludf.DUMMYFUNCTION("""COMPUTED_VALUE"""),"Maria Paulina Pérez")</f>
        <v>Maria Paulina Pérez</v>
      </c>
      <c r="H1018" s="16">
        <f>IFERROR(__xludf.DUMMYFUNCTION("""COMPUTED_VALUE"""),9653.0)</f>
        <v>9653</v>
      </c>
      <c r="I1018" s="18" t="str">
        <f>IFERROR(__xludf.DUMMYFUNCTION("""COMPUTED_VALUE"""),"52.5")</f>
        <v>52.5</v>
      </c>
      <c r="J1018" s="18">
        <f>IFERROR(__xludf.DUMMYFUNCTION("""COMPUTED_VALUE"""),45.0)</f>
        <v>45</v>
      </c>
      <c r="K1018" s="18">
        <f>IFERROR(__xludf.DUMMYFUNCTION("""COMPUTED_VALUE"""),55.0)</f>
        <v>55</v>
      </c>
      <c r="L1018" s="17">
        <f>IFERROR(__xludf.DUMMYFUNCTION("""COMPUTED_VALUE"""),3.182186058E9)</f>
        <v>3182186058</v>
      </c>
      <c r="M1018" s="17" t="str">
        <f>IFERROR(__xludf.DUMMYFUNCTION("""COMPUTED_VALUE"""),"#REF!")</f>
        <v>#REF!</v>
      </c>
      <c r="N1018" s="17"/>
      <c r="O1018" s="19" t="str">
        <f>IFERROR(__xludf.DUMMYFUNCTION("""COMPUTED_VALUE"""),"")</f>
        <v/>
      </c>
      <c r="P1018" s="17" t="b">
        <f>IFERROR(__xludf.DUMMYFUNCTION("""COMPUTED_VALUE"""),FALSE)</f>
        <v>0</v>
      </c>
      <c r="Q1018" s="20" t="str">
        <f>IFERROR(__xludf.DUMMYFUNCTION("""COMPUTED_VALUE"""),"")</f>
        <v/>
      </c>
      <c r="R1018" s="22" t="str">
        <f>IFERROR(__xludf.DUMMYFUNCTION("""COMPUTED_VALUE"""),"")</f>
        <v/>
      </c>
    </row>
    <row r="1019">
      <c r="A1019" s="15">
        <f>IFERROR(__xludf.DUMMYFUNCTION("""COMPUTED_VALUE"""),45029.0)</f>
        <v>45029</v>
      </c>
      <c r="B1019" s="16" t="str">
        <f>IFERROR(__xludf.DUMMYFUNCTION("""COMPUTED_VALUE"""),"Envia")</f>
        <v>Envia</v>
      </c>
      <c r="C1019" s="15" t="str">
        <f>IFERROR(__xludf.DUMMYFUNCTION("""COMPUTED_VALUE"""),"NEIVA")</f>
        <v>NEIVA</v>
      </c>
      <c r="D1019" s="15" t="str">
        <f>IFERROR(__xludf.DUMMYFUNCTION("""COMPUTED_VALUE"""),"BOGOTÁ")</f>
        <v>BOGOTÁ</v>
      </c>
      <c r="E1019" s="15" t="str">
        <f>IFERROR(__xludf.DUMMYFUNCTION("""COMPUTED_VALUE"""),"Evamazzita")</f>
        <v>Evamazzita</v>
      </c>
      <c r="F1019" s="17" t="str">
        <f>IFERROR(__xludf.DUMMYFUNCTION("""COMPUTED_VALUE"""),"AVENIDA 26 No. 27 - 94  / CONJUNTO RESIDENCIAL SANTA LUCÍA- TORRE 2 APTO 204  / BARRIO LAS GRANJAS")</f>
        <v>AVENIDA 26 No. 27 - 94  / CONJUNTO RESIDENCIAL SANTA LUCÍA- TORRE 2 APTO 204  / BARRIO LAS GRANJAS</v>
      </c>
      <c r="G1019" s="15" t="str">
        <f>IFERROR(__xludf.DUMMYFUNCTION("""COMPUTED_VALUE"""),"ANA MARIA SANTOFIMIO MENDEZ")</f>
        <v>ANA MARIA SANTOFIMIO MENDEZ</v>
      </c>
      <c r="H1019" s="16">
        <f>IFERROR(__xludf.DUMMYFUNCTION("""COMPUTED_VALUE"""),9670.0)</f>
        <v>9670</v>
      </c>
      <c r="I1019" s="18">
        <f>IFERROR(__xludf.DUMMYFUNCTION("""COMPUTED_VALUE"""),10.0)</f>
        <v>10</v>
      </c>
      <c r="J1019" s="18">
        <f>IFERROR(__xludf.DUMMYFUNCTION("""COMPUTED_VALUE"""),18.0)</f>
        <v>18</v>
      </c>
      <c r="K1019" s="18">
        <f>IFERROR(__xludf.DUMMYFUNCTION("""COMPUTED_VALUE"""),22.0)</f>
        <v>22</v>
      </c>
      <c r="L1019" s="17">
        <f>IFERROR(__xludf.DUMMYFUNCTION("""COMPUTED_VALUE"""),3.214676999E9)</f>
        <v>3214676999</v>
      </c>
      <c r="M1019" s="17" t="str">
        <f>IFERROR(__xludf.DUMMYFUNCTION("""COMPUTED_VALUE"""),"#REF!")</f>
        <v>#REF!</v>
      </c>
      <c r="N1019" s="17"/>
      <c r="O1019" s="19" t="str">
        <f>IFERROR(__xludf.DUMMYFUNCTION("""COMPUTED_VALUE"""),"")</f>
        <v/>
      </c>
      <c r="P1019" s="17" t="b">
        <f>IFERROR(__xludf.DUMMYFUNCTION("""COMPUTED_VALUE"""),TRUE)</f>
        <v>1</v>
      </c>
      <c r="Q1019" s="20">
        <f>IFERROR(__xludf.DUMMYFUNCTION("""COMPUTED_VALUE"""),45029.74401407407)</f>
        <v>45029.74401</v>
      </c>
      <c r="R1019" s="22" t="str">
        <f>IFERROR(__xludf.DUMMYFUNCTION("""COMPUTED_VALUE"""),"")</f>
        <v/>
      </c>
    </row>
    <row r="1020">
      <c r="A1020" s="15">
        <f>IFERROR(__xludf.DUMMYFUNCTION("""COMPUTED_VALUE"""),45029.0)</f>
        <v>45029</v>
      </c>
      <c r="B1020" s="16" t="str">
        <f>IFERROR(__xludf.DUMMYFUNCTION("""COMPUTED_VALUE"""),"Envia")</f>
        <v>Envia</v>
      </c>
      <c r="C1020" s="15" t="str">
        <f>IFERROR(__xludf.DUMMYFUNCTION("""COMPUTED_VALUE"""),"NEIVA")</f>
        <v>NEIVA</v>
      </c>
      <c r="D1020" s="15" t="str">
        <f>IFERROR(__xludf.DUMMYFUNCTION("""COMPUTED_VALUE"""),"BOGOTÁ")</f>
        <v>BOGOTÁ</v>
      </c>
      <c r="E1020" s="15" t="str">
        <f>IFERROR(__xludf.DUMMYFUNCTION("""COMPUTED_VALUE"""),"Evamazzita")</f>
        <v>Evamazzita</v>
      </c>
      <c r="F1020" s="17" t="str">
        <f>IFERROR(__xludf.DUMMYFUNCTION("""COMPUTED_VALUE"""),"Avenida cra 30 No.27-45 sur  / casa 82  /  Condominio caminos De Santiago")</f>
        <v>Avenida cra 30 No.27-45 sur  / casa 82  /  Condominio caminos De Santiago</v>
      </c>
      <c r="G1020" s="15" t="str">
        <f>IFERROR(__xludf.DUMMYFUNCTION("""COMPUTED_VALUE"""),"CAROLINA CORONADO PEÑA")</f>
        <v>CAROLINA CORONADO PEÑA</v>
      </c>
      <c r="H1020" s="16">
        <f>IFERROR(__xludf.DUMMYFUNCTION("""COMPUTED_VALUE"""),9669.0)</f>
        <v>9669</v>
      </c>
      <c r="I1020" s="18">
        <f>IFERROR(__xludf.DUMMYFUNCTION("""COMPUTED_VALUE"""),3.0)</f>
        <v>3</v>
      </c>
      <c r="J1020" s="18">
        <f>IFERROR(__xludf.DUMMYFUNCTION("""COMPUTED_VALUE"""),20.0)</f>
        <v>20</v>
      </c>
      <c r="K1020" s="18">
        <f>IFERROR(__xludf.DUMMYFUNCTION("""COMPUTED_VALUE"""),15.0)</f>
        <v>15</v>
      </c>
      <c r="L1020" s="17">
        <f>IFERROR(__xludf.DUMMYFUNCTION("""COMPUTED_VALUE"""),3.157765788E9)</f>
        <v>3157765788</v>
      </c>
      <c r="M1020" s="17" t="str">
        <f>IFERROR(__xludf.DUMMYFUNCTION("""COMPUTED_VALUE"""),"#REF!")</f>
        <v>#REF!</v>
      </c>
      <c r="N1020" s="17"/>
      <c r="O1020" s="19" t="str">
        <f>IFERROR(__xludf.DUMMYFUNCTION("""COMPUTED_VALUE"""),"")</f>
        <v/>
      </c>
      <c r="P1020" s="17" t="b">
        <f>IFERROR(__xludf.DUMMYFUNCTION("""COMPUTED_VALUE"""),TRUE)</f>
        <v>1</v>
      </c>
      <c r="Q1020" s="20">
        <f>IFERROR(__xludf.DUMMYFUNCTION("""COMPUTED_VALUE"""),45029.48083002315)</f>
        <v>45029.48083</v>
      </c>
      <c r="R1020" s="22" t="str">
        <f>IFERROR(__xludf.DUMMYFUNCTION("""COMPUTED_VALUE"""),"")</f>
        <v/>
      </c>
    </row>
    <row r="1021">
      <c r="A1021" s="15">
        <f>IFERROR(__xludf.DUMMYFUNCTION("""COMPUTED_VALUE"""),45029.0)</f>
        <v>45029</v>
      </c>
      <c r="B1021" s="16" t="str">
        <f>IFERROR(__xludf.DUMMYFUNCTION("""COMPUTED_VALUE"""),"Envia")</f>
        <v>Envia</v>
      </c>
      <c r="C1021" s="15" t="str">
        <f>IFERROR(__xludf.DUMMYFUNCTION("""COMPUTED_VALUE"""),"NEIVA")</f>
        <v>NEIVA</v>
      </c>
      <c r="D1021" s="15" t="str">
        <f>IFERROR(__xludf.DUMMYFUNCTION("""COMPUTED_VALUE"""),"BOGOTÁ")</f>
        <v>BOGOTÁ</v>
      </c>
      <c r="E1021" s="15" t="str">
        <f>IFERROR(__xludf.DUMMYFUNCTION("""COMPUTED_VALUE"""),"Evamazzita")</f>
        <v>Evamazzita</v>
      </c>
      <c r="F1021" s="17" t="str">
        <f>IFERROR(__xludf.DUMMYFUNCTION("""COMPUTED_VALUE"""),"carrera 31 # 51-60   /  torre 5 apto 504  / conjunto brisas de caña brava")</f>
        <v>carrera 31 # 51-60   /  torre 5 apto 504  / conjunto brisas de caña brava</v>
      </c>
      <c r="G1021" s="15" t="str">
        <f>IFERROR(__xludf.DUMMYFUNCTION("""COMPUTED_VALUE"""),"PAOLA CHARRY")</f>
        <v>PAOLA CHARRY</v>
      </c>
      <c r="H1021" s="16">
        <f>IFERROR(__xludf.DUMMYFUNCTION("""COMPUTED_VALUE"""),9671.0)</f>
        <v>9671</v>
      </c>
      <c r="I1021" s="18">
        <f>IFERROR(__xludf.DUMMYFUNCTION("""COMPUTED_VALUE"""),3.0)</f>
        <v>3</v>
      </c>
      <c r="J1021" s="18">
        <f>IFERROR(__xludf.DUMMYFUNCTION("""COMPUTED_VALUE"""),15.0)</f>
        <v>15</v>
      </c>
      <c r="K1021" s="18">
        <f>IFERROR(__xludf.DUMMYFUNCTION("""COMPUTED_VALUE"""),20.0)</f>
        <v>20</v>
      </c>
      <c r="L1021" s="17">
        <f>IFERROR(__xludf.DUMMYFUNCTION("""COMPUTED_VALUE"""),3.212445499E9)</f>
        <v>3212445499</v>
      </c>
      <c r="M1021" s="17" t="str">
        <f>IFERROR(__xludf.DUMMYFUNCTION("""COMPUTED_VALUE"""),"#REF!")</f>
        <v>#REF!</v>
      </c>
      <c r="N1021" s="17"/>
      <c r="O1021" s="19" t="str">
        <f>IFERROR(__xludf.DUMMYFUNCTION("""COMPUTED_VALUE"""),"")</f>
        <v/>
      </c>
      <c r="P1021" s="17" t="b">
        <f>IFERROR(__xludf.DUMMYFUNCTION("""COMPUTED_VALUE"""),FALSE)</f>
        <v>0</v>
      </c>
      <c r="Q1021" s="20" t="str">
        <f>IFERROR(__xludf.DUMMYFUNCTION("""COMPUTED_VALUE"""),"")</f>
        <v/>
      </c>
      <c r="R1021" s="22" t="str">
        <f>IFERROR(__xludf.DUMMYFUNCTION("""COMPUTED_VALUE"""),"")</f>
        <v/>
      </c>
    </row>
    <row r="1022">
      <c r="A1022" s="15">
        <f>IFERROR(__xludf.DUMMYFUNCTION("""COMPUTED_VALUE"""),45029.0)</f>
        <v>45029</v>
      </c>
      <c r="B1022" s="16" t="str">
        <f>IFERROR(__xludf.DUMMYFUNCTION("""COMPUTED_VALUE"""),"Envia")</f>
        <v>Envia</v>
      </c>
      <c r="C1022" s="15" t="str">
        <f>IFERROR(__xludf.DUMMYFUNCTION("""COMPUTED_VALUE"""),"NEIVA")</f>
        <v>NEIVA</v>
      </c>
      <c r="D1022" s="15" t="str">
        <f>IFERROR(__xludf.DUMMYFUNCTION("""COMPUTED_VALUE"""),"BOGOTÁ")</f>
        <v>BOGOTÁ</v>
      </c>
      <c r="E1022" s="15" t="str">
        <f>IFERROR(__xludf.DUMMYFUNCTION("""COMPUTED_VALUE"""),"Ind. Karpos")</f>
        <v>Ind. Karpos</v>
      </c>
      <c r="F1022" s="17" t="str">
        <f>IFERROR(__xludf.DUMMYFUNCTION("""COMPUTED_VALUE"""),"CARRERA 8 # 41 - 11 LOCAL 103 / HELADERIA DELISH / BARRIO LAS GRANJAS - NEIVA")</f>
        <v>CARRERA 8 # 41 - 11 LOCAL 103 / HELADERIA DELISH / BARRIO LAS GRANJAS - NEIVA</v>
      </c>
      <c r="G1022" s="15" t="str">
        <f>IFERROR(__xludf.DUMMYFUNCTION("""COMPUTED_VALUE"""),"ALEJANDRA MOLINA")</f>
        <v>ALEJANDRA MOLINA</v>
      </c>
      <c r="H1022" s="16">
        <f>IFERROR(__xludf.DUMMYFUNCTION("""COMPUTED_VALUE"""),9624.0)</f>
        <v>9624</v>
      </c>
      <c r="I1022" s="18">
        <f>IFERROR(__xludf.DUMMYFUNCTION("""COMPUTED_VALUE"""),10.0)</f>
        <v>10</v>
      </c>
      <c r="J1022" s="18">
        <f>IFERROR(__xludf.DUMMYFUNCTION("""COMPUTED_VALUE"""),24.0)</f>
        <v>24</v>
      </c>
      <c r="K1022" s="18">
        <f>IFERROR(__xludf.DUMMYFUNCTION("""COMPUTED_VALUE"""),24.0)</f>
        <v>24</v>
      </c>
      <c r="L1022" s="17">
        <f>IFERROR(__xludf.DUMMYFUNCTION("""COMPUTED_VALUE"""),3.144830152E9)</f>
        <v>3144830152</v>
      </c>
      <c r="M1022" s="17" t="str">
        <f>IFERROR(__xludf.DUMMYFUNCTION("""COMPUTED_VALUE"""),"#REF!")</f>
        <v>#REF!</v>
      </c>
      <c r="N1022" s="17"/>
      <c r="O1022" s="19" t="str">
        <f>IFERROR(__xludf.DUMMYFUNCTION("""COMPUTED_VALUE"""),"")</f>
        <v/>
      </c>
      <c r="P1022" s="17" t="b">
        <f>IFERROR(__xludf.DUMMYFUNCTION("""COMPUTED_VALUE"""),FALSE)</f>
        <v>0</v>
      </c>
      <c r="Q1022" s="20" t="str">
        <f>IFERROR(__xludf.DUMMYFUNCTION("""COMPUTED_VALUE"""),"")</f>
        <v/>
      </c>
      <c r="R1022" s="22" t="str">
        <f>IFERROR(__xludf.DUMMYFUNCTION("""COMPUTED_VALUE"""),"")</f>
        <v/>
      </c>
    </row>
    <row r="1023">
      <c r="A1023" s="15">
        <f>IFERROR(__xludf.DUMMYFUNCTION("""COMPUTED_VALUE"""),45029.0)</f>
        <v>45029</v>
      </c>
      <c r="B1023" s="16" t="str">
        <f>IFERROR(__xludf.DUMMYFUNCTION("""COMPUTED_VALUE"""),"Envia")</f>
        <v>Envia</v>
      </c>
      <c r="C1023" s="15" t="str">
        <f>IFERROR(__xludf.DUMMYFUNCTION("""COMPUTED_VALUE"""),"VILLAVICENCIO")</f>
        <v>VILLAVICENCIO</v>
      </c>
      <c r="D1023" s="15" t="str">
        <f>IFERROR(__xludf.DUMMYFUNCTION("""COMPUTED_VALUE"""),"BOGOTÁ")</f>
        <v>BOGOTÁ</v>
      </c>
      <c r="E1023" s="15" t="str">
        <f>IFERROR(__xludf.DUMMYFUNCTION("""COMPUTED_VALUE"""),"Lunchy Kids")</f>
        <v>Lunchy Kids</v>
      </c>
      <c r="F1023" s="17" t="str">
        <f>IFERROR(__xludf.DUMMYFUNCTION("""COMPUTED_VALUE"""),"Calle 7 # 46-00  / Condominio Umabari. Manzana 1. Casa 8  / Buque")</f>
        <v>Calle 7 # 46-00  / Condominio Umabari. Manzana 1. Casa 8  / Buque</v>
      </c>
      <c r="G1023" s="15" t="str">
        <f>IFERROR(__xludf.DUMMYFUNCTION("""COMPUTED_VALUE"""),"Gabriela Rincon")</f>
        <v>Gabriela Rincon</v>
      </c>
      <c r="H1023" s="16">
        <f>IFERROR(__xludf.DUMMYFUNCTION("""COMPUTED_VALUE"""),9652.0)</f>
        <v>9652</v>
      </c>
      <c r="I1023" s="18">
        <f>IFERROR(__xludf.DUMMYFUNCTION("""COMPUTED_VALUE"""),11.0)</f>
        <v>11</v>
      </c>
      <c r="J1023" s="18">
        <f>IFERROR(__xludf.DUMMYFUNCTION("""COMPUTED_VALUE"""),35.0)</f>
        <v>35</v>
      </c>
      <c r="K1023" s="18">
        <f>IFERROR(__xludf.DUMMYFUNCTION("""COMPUTED_VALUE"""),20.0)</f>
        <v>20</v>
      </c>
      <c r="L1023" s="17">
        <f>IFERROR(__xludf.DUMMYFUNCTION("""COMPUTED_VALUE"""),3.202747042E9)</f>
        <v>3202747042</v>
      </c>
      <c r="M1023" s="17" t="str">
        <f>IFERROR(__xludf.DUMMYFUNCTION("""COMPUTED_VALUE"""),"#REF!")</f>
        <v>#REF!</v>
      </c>
      <c r="N1023" s="17"/>
      <c r="O1023" s="19" t="str">
        <f>IFERROR(__xludf.DUMMYFUNCTION("""COMPUTED_VALUE"""),"")</f>
        <v/>
      </c>
      <c r="P1023" s="17" t="b">
        <f>IFERROR(__xludf.DUMMYFUNCTION("""COMPUTED_VALUE"""),TRUE)</f>
        <v>1</v>
      </c>
      <c r="Q1023" s="20">
        <f>IFERROR(__xludf.DUMMYFUNCTION("""COMPUTED_VALUE"""),45029.74401407407)</f>
        <v>45029.74401</v>
      </c>
      <c r="R1023" s="22" t="str">
        <f>IFERROR(__xludf.DUMMYFUNCTION("""COMPUTED_VALUE"""),"")</f>
        <v/>
      </c>
    </row>
    <row r="1024">
      <c r="A1024" s="15">
        <f>IFERROR(__xludf.DUMMYFUNCTION("""COMPUTED_VALUE"""),45029.0)</f>
        <v>45029</v>
      </c>
      <c r="B1024" s="16" t="str">
        <f>IFERROR(__xludf.DUMMYFUNCTION("""COMPUTED_VALUE"""),"Envia")</f>
        <v>Envia</v>
      </c>
      <c r="C1024" s="15" t="str">
        <f>IFERROR(__xludf.DUMMYFUNCTION("""COMPUTED_VALUE"""),"VILLAVICENCIO")</f>
        <v>VILLAVICENCIO</v>
      </c>
      <c r="D1024" s="15" t="str">
        <f>IFERROR(__xludf.DUMMYFUNCTION("""COMPUTED_VALUE"""),"BOGOTÁ")</f>
        <v>BOGOTÁ</v>
      </c>
      <c r="E1024" s="15" t="str">
        <f>IFERROR(__xludf.DUMMYFUNCTION("""COMPUTED_VALUE"""),"Pan de Waffle")</f>
        <v>Pan de Waffle</v>
      </c>
      <c r="F1024" s="17" t="str">
        <f>IFERROR(__xludf.DUMMYFUNCTION("""COMPUTED_VALUE"""),"Calle 15 # 44 -116 /  /")</f>
        <v>Calle 15 # 44 -116 /  /</v>
      </c>
      <c r="G1024" s="15" t="str">
        <f>IFERROR(__xludf.DUMMYFUNCTION("""COMPUTED_VALUE"""),"SANA TENTACION")</f>
        <v>SANA TENTACION</v>
      </c>
      <c r="H1024" s="16">
        <f>IFERROR(__xludf.DUMMYFUNCTION("""COMPUTED_VALUE"""),9663.0)</f>
        <v>9663</v>
      </c>
      <c r="I1024" s="18">
        <f>IFERROR(__xludf.DUMMYFUNCTION("""COMPUTED_VALUE"""),30.0)</f>
        <v>30</v>
      </c>
      <c r="J1024" s="18">
        <f>IFERROR(__xludf.DUMMYFUNCTION("""COMPUTED_VALUE"""),40.0)</f>
        <v>40</v>
      </c>
      <c r="K1024" s="18">
        <f>IFERROR(__xludf.DUMMYFUNCTION("""COMPUTED_VALUE"""),30.0)</f>
        <v>30</v>
      </c>
      <c r="L1024" s="17">
        <f>IFERROR(__xludf.DUMMYFUNCTION("""COMPUTED_VALUE"""),3.008383033E9)</f>
        <v>3008383033</v>
      </c>
      <c r="M1024" s="17" t="str">
        <f>IFERROR(__xludf.DUMMYFUNCTION("""COMPUTED_VALUE"""),"#REF!")</f>
        <v>#REF!</v>
      </c>
      <c r="N1024" s="17"/>
      <c r="O1024" s="19" t="str">
        <f>IFERROR(__xludf.DUMMYFUNCTION("""COMPUTED_VALUE"""),"")</f>
        <v/>
      </c>
      <c r="P1024" s="17" t="b">
        <f>IFERROR(__xludf.DUMMYFUNCTION("""COMPUTED_VALUE"""),FALSE)</f>
        <v>0</v>
      </c>
      <c r="Q1024" s="20" t="str">
        <f>IFERROR(__xludf.DUMMYFUNCTION("""COMPUTED_VALUE"""),"")</f>
        <v/>
      </c>
      <c r="R1024" s="22" t="str">
        <f>IFERROR(__xludf.DUMMYFUNCTION("""COMPUTED_VALUE"""),"")</f>
        <v/>
      </c>
    </row>
    <row r="1025">
      <c r="A1025" s="15">
        <f>IFERROR(__xludf.DUMMYFUNCTION("""COMPUTED_VALUE"""),45029.0)</f>
        <v>45029</v>
      </c>
      <c r="B1025" s="16" t="str">
        <f>IFERROR(__xludf.DUMMYFUNCTION("""COMPUTED_VALUE"""),"Envia")</f>
        <v>Envia</v>
      </c>
      <c r="C1025" s="15" t="str">
        <f>IFERROR(__xludf.DUMMYFUNCTION("""COMPUTED_VALUE"""),"VILLAVICENCIO")</f>
        <v>VILLAVICENCIO</v>
      </c>
      <c r="D1025" s="15" t="str">
        <f>IFERROR(__xludf.DUMMYFUNCTION("""COMPUTED_VALUE"""),"MEDELLÍN")</f>
        <v>MEDELLÍN</v>
      </c>
      <c r="E1025" s="15" t="str">
        <f>IFERROR(__xludf.DUMMYFUNCTION("""COMPUTED_VALUE"""),"AREPAS LA MARY")</f>
        <v>AREPAS LA MARY</v>
      </c>
      <c r="F1025" s="17" t="str">
        <f>IFERROR(__xludf.DUMMYFUNCTION("""COMPUTED_VALUE"""),"CLLE 15 N.44 116 / LOCAL 5")</f>
        <v>CLLE 15 N.44 116 / LOCAL 5</v>
      </c>
      <c r="G1025" s="15" t="str">
        <f>IFERROR(__xludf.DUMMYFUNCTION("""COMPUTED_VALUE"""),"SANA TENTACION")</f>
        <v>SANA TENTACION</v>
      </c>
      <c r="H1025" s="16">
        <f>IFERROR(__xludf.DUMMYFUNCTION("""COMPUTED_VALUE"""),9558.0)</f>
        <v>9558</v>
      </c>
      <c r="I1025" s="18">
        <f>IFERROR(__xludf.DUMMYFUNCTION("""COMPUTED_VALUE"""),89.0)</f>
        <v>89</v>
      </c>
      <c r="J1025" s="18">
        <f>IFERROR(__xludf.DUMMYFUNCTION("""COMPUTED_VALUE"""),1.0)</f>
        <v>1</v>
      </c>
      <c r="K1025" s="18">
        <f>IFERROR(__xludf.DUMMYFUNCTION("""COMPUTED_VALUE"""),10.0)</f>
        <v>10</v>
      </c>
      <c r="L1025" s="17">
        <f>IFERROR(__xludf.DUMMYFUNCTION("""COMPUTED_VALUE"""),3.008383044E9)</f>
        <v>3008383044</v>
      </c>
      <c r="M1025" s="17" t="str">
        <f>IFERROR(__xludf.DUMMYFUNCTION("""COMPUTED_VALUE"""),"#REF!")</f>
        <v>#REF!</v>
      </c>
      <c r="N1025" s="17"/>
      <c r="O1025" s="19" t="str">
        <f>IFERROR(__xludf.DUMMYFUNCTION("""COMPUTED_VALUE"""),"")</f>
        <v/>
      </c>
      <c r="P1025" s="17" t="b">
        <f>IFERROR(__xludf.DUMMYFUNCTION("""COMPUTED_VALUE"""),TRUE)</f>
        <v>1</v>
      </c>
      <c r="Q1025" s="20">
        <f>IFERROR(__xludf.DUMMYFUNCTION("""COMPUTED_VALUE"""),45030.34950481482)</f>
        <v>45030.3495</v>
      </c>
      <c r="R1025" s="22" t="str">
        <f>IFERROR(__xludf.DUMMYFUNCTION("""COMPUTED_VALUE"""),"")</f>
        <v/>
      </c>
    </row>
    <row r="1026">
      <c r="A1026" s="17" t="str">
        <f>IFERROR(__xludf.DUMMYFUNCTION("""COMPUTED_VALUE"""),"")</f>
        <v/>
      </c>
      <c r="B1026" s="17" t="str">
        <f>IFERROR(__xludf.DUMMYFUNCTION("""COMPUTED_VALUE"""),"")</f>
        <v/>
      </c>
      <c r="C1026" s="17" t="str">
        <f>IFERROR(__xludf.DUMMYFUNCTION("""COMPUTED_VALUE"""),"")</f>
        <v/>
      </c>
      <c r="D1026" s="17" t="str">
        <f>IFERROR(__xludf.DUMMYFUNCTION("""COMPUTED_VALUE"""),"")</f>
        <v/>
      </c>
      <c r="E1026" s="17" t="str">
        <f>IFERROR(__xludf.DUMMYFUNCTION("""COMPUTED_VALUE"""),"")</f>
        <v/>
      </c>
      <c r="F1026" s="17" t="str">
        <f>IFERROR(__xludf.DUMMYFUNCTION("""COMPUTED_VALUE"""),"")</f>
        <v/>
      </c>
      <c r="G1026" s="17" t="str">
        <f>IFERROR(__xludf.DUMMYFUNCTION("""COMPUTED_VALUE"""),"")</f>
        <v/>
      </c>
      <c r="H1026" s="17" t="str">
        <f>IFERROR(__xludf.DUMMYFUNCTION("""COMPUTED_VALUE"""),"")</f>
        <v/>
      </c>
      <c r="I1026" s="17" t="str">
        <f>IFERROR(__xludf.DUMMYFUNCTION("""COMPUTED_VALUE"""),"")</f>
        <v/>
      </c>
      <c r="J1026" s="17" t="str">
        <f>IFERROR(__xludf.DUMMYFUNCTION("""COMPUTED_VALUE"""),"")</f>
        <v/>
      </c>
      <c r="K1026" s="17" t="str">
        <f>IFERROR(__xludf.DUMMYFUNCTION("""COMPUTED_VALUE"""),"")</f>
        <v/>
      </c>
      <c r="L1026" s="17" t="str">
        <f>IFERROR(__xludf.DUMMYFUNCTION("""COMPUTED_VALUE"""),"")</f>
        <v/>
      </c>
      <c r="M1026" s="17" t="str">
        <f>IFERROR(__xludf.DUMMYFUNCTION("""COMPUTED_VALUE"""),"")</f>
        <v/>
      </c>
      <c r="N1026" s="17" t="str">
        <f>IFERROR(__xludf.DUMMYFUNCTION("""COMPUTED_VALUE"""),"")</f>
        <v/>
      </c>
      <c r="O1026" s="17" t="str">
        <f>IFERROR(__xludf.DUMMYFUNCTION("""COMPUTED_VALUE"""),"")</f>
        <v/>
      </c>
      <c r="P1026" s="17" t="str">
        <f>IFERROR(__xludf.DUMMYFUNCTION("""COMPUTED_VALUE"""),"")</f>
        <v/>
      </c>
      <c r="Q1026" s="17" t="str">
        <f>IFERROR(__xludf.DUMMYFUNCTION("""COMPUTED_VALUE"""),"")</f>
        <v/>
      </c>
      <c r="R1026" s="17" t="str">
        <f>IFERROR(__xludf.DUMMYFUNCTION("""COMPUTED_VALUE"""),"")</f>
        <v/>
      </c>
    </row>
    <row r="1027">
      <c r="A1027" s="15">
        <f>IFERROR(__xludf.DUMMYFUNCTION("""COMPUTED_VALUE"""),45029.0)</f>
        <v>45029</v>
      </c>
      <c r="B1027" s="16" t="str">
        <f>IFERROR(__xludf.DUMMYFUNCTION("""COMPUTED_VALUE"""),"Jonathan Steven Taborda")</f>
        <v>Jonathan Steven Taborda</v>
      </c>
      <c r="C1027" s="15" t="str">
        <f>IFERROR(__xludf.DUMMYFUNCTION("""COMPUTED_VALUE"""),"ARMENIA")</f>
        <v>ARMENIA</v>
      </c>
      <c r="D1027" s="15" t="str">
        <f>IFERROR(__xludf.DUMMYFUNCTION("""COMPUTED_VALUE"""),"MEDELLÍN")</f>
        <v>MEDELLÍN</v>
      </c>
      <c r="E1027" s="15" t="str">
        <f>IFERROR(__xludf.DUMMYFUNCTION("""COMPUTED_VALUE"""),"AREPAS LA MARY")</f>
        <v>AREPAS LA MARY</v>
      </c>
      <c r="F1027" s="17" t="str">
        <f>IFERROR(__xludf.DUMMYFUNCTION("""COMPUTED_VALUE"""),"calle 7 # 21-17 barrio 60 casas")</f>
        <v>calle 7 # 21-17 barrio 60 casas</v>
      </c>
      <c r="G1027" s="15" t="str">
        <f>IFERROR(__xludf.DUMMYFUNCTION("""COMPUTED_VALUE"""),"antojitos fit")</f>
        <v>antojitos fit</v>
      </c>
      <c r="H1027" s="16">
        <f>IFERROR(__xludf.DUMMYFUNCTION("""COMPUTED_VALUE"""),9681.0)</f>
        <v>9681</v>
      </c>
      <c r="I1027" s="18">
        <f>IFERROR(__xludf.DUMMYFUNCTION("""COMPUTED_VALUE"""),89.0)</f>
        <v>89</v>
      </c>
      <c r="J1027" s="18">
        <f>IFERROR(__xludf.DUMMYFUNCTION("""COMPUTED_VALUE"""),1.0)</f>
        <v>1</v>
      </c>
      <c r="K1027" s="18">
        <f>IFERROR(__xludf.DUMMYFUNCTION("""COMPUTED_VALUE"""),10.0)</f>
        <v>10</v>
      </c>
      <c r="L1027" s="17">
        <f>IFERROR(__xludf.DUMMYFUNCTION("""COMPUTED_VALUE"""),3.204937012E9)</f>
        <v>3204937012</v>
      </c>
      <c r="M1027" s="17" t="str">
        <f>IFERROR(__xludf.DUMMYFUNCTION("""COMPUTED_VALUE"""),"#REF!")</f>
        <v>#REF!</v>
      </c>
      <c r="N1027" s="17"/>
      <c r="O1027" s="19" t="str">
        <f>IFERROR(__xludf.DUMMYFUNCTION("""COMPUTED_VALUE"""),"")</f>
        <v/>
      </c>
      <c r="P1027" s="17" t="b">
        <f>IFERROR(__xludf.DUMMYFUNCTION("""COMPUTED_VALUE"""),TRUE)</f>
        <v>1</v>
      </c>
      <c r="Q1027" s="20">
        <f>IFERROR(__xludf.DUMMYFUNCTION("""COMPUTED_VALUE"""),45030.34950481482)</f>
        <v>45030.3495</v>
      </c>
      <c r="R1027" s="22" t="str">
        <f>IFERROR(__xludf.DUMMYFUNCTION("""COMPUTED_VALUE"""),"")</f>
        <v/>
      </c>
    </row>
    <row r="1028">
      <c r="A1028" s="15">
        <f>IFERROR(__xludf.DUMMYFUNCTION("""COMPUTED_VALUE"""),45029.0)</f>
        <v>45029</v>
      </c>
      <c r="B1028" s="16" t="str">
        <f>IFERROR(__xludf.DUMMYFUNCTION("""COMPUTED_VALUE"""),"Jonathan Steven Taborda")</f>
        <v>Jonathan Steven Taborda</v>
      </c>
      <c r="C1028" s="15" t="str">
        <f>IFERROR(__xludf.DUMMYFUNCTION("""COMPUTED_VALUE"""),"ARMENIA")</f>
        <v>ARMENIA</v>
      </c>
      <c r="D1028" s="15" t="str">
        <f>IFERROR(__xludf.DUMMYFUNCTION("""COMPUTED_VALUE"""),"MEDELLÍN")</f>
        <v>MEDELLÍN</v>
      </c>
      <c r="E1028" s="15" t="str">
        <f>IFERROR(__xludf.DUMMYFUNCTION("""COMPUTED_VALUE"""),"AREPAS LA MARY")</f>
        <v>AREPAS LA MARY</v>
      </c>
      <c r="F1028" s="17" t="str">
        <f>IFERROR(__xludf.DUMMYFUNCTION("""COMPUTED_VALUE"""),"CRA 15 N.22 NORTE 77 LOCAL 13 / ED. OASIS DE LAURELES")</f>
        <v>CRA 15 N.22 NORTE 77 LOCAL 13 / ED. OASIS DE LAURELES</v>
      </c>
      <c r="G1028" s="15" t="str">
        <f>IFERROR(__xludf.DUMMYFUNCTION("""COMPUTED_VALUE"""),"TIENDA ECO FITNESS ARMENIA")</f>
        <v>TIENDA ECO FITNESS ARMENIA</v>
      </c>
      <c r="H1028" s="16">
        <f>IFERROR(__xludf.DUMMYFUNCTION("""COMPUTED_VALUE"""),9680.0)</f>
        <v>9680</v>
      </c>
      <c r="I1028" s="18">
        <f>IFERROR(__xludf.DUMMYFUNCTION("""COMPUTED_VALUE"""),89.0)</f>
        <v>89</v>
      </c>
      <c r="J1028" s="18">
        <f>IFERROR(__xludf.DUMMYFUNCTION("""COMPUTED_VALUE"""),1.0)</f>
        <v>1</v>
      </c>
      <c r="K1028" s="18">
        <f>IFERROR(__xludf.DUMMYFUNCTION("""COMPUTED_VALUE"""),10.0)</f>
        <v>10</v>
      </c>
      <c r="L1028" s="17">
        <f>IFERROR(__xludf.DUMMYFUNCTION("""COMPUTED_VALUE"""),3.217007417E9)</f>
        <v>3217007417</v>
      </c>
      <c r="M1028" s="17" t="str">
        <f>IFERROR(__xludf.DUMMYFUNCTION("""COMPUTED_VALUE"""),"#REF!")</f>
        <v>#REF!</v>
      </c>
      <c r="N1028" s="17"/>
      <c r="O1028" s="19" t="str">
        <f>IFERROR(__xludf.DUMMYFUNCTION("""COMPUTED_VALUE"""),"")</f>
        <v/>
      </c>
      <c r="P1028" s="17" t="b">
        <f>IFERROR(__xludf.DUMMYFUNCTION("""COMPUTED_VALUE"""),TRUE)</f>
        <v>1</v>
      </c>
      <c r="Q1028" s="20">
        <f>IFERROR(__xludf.DUMMYFUNCTION("""COMPUTED_VALUE"""),45030.34950481482)</f>
        <v>45030.3495</v>
      </c>
      <c r="R1028" s="22" t="str">
        <f>IFERROR(__xludf.DUMMYFUNCTION("""COMPUTED_VALUE"""),"")</f>
        <v/>
      </c>
    </row>
    <row r="1029">
      <c r="A1029" s="15">
        <f>IFERROR(__xludf.DUMMYFUNCTION("""COMPUTED_VALUE"""),45029.0)</f>
        <v>45029</v>
      </c>
      <c r="B1029" s="16" t="str">
        <f>IFERROR(__xludf.DUMMYFUNCTION("""COMPUTED_VALUE"""),"Jonathan Steven Taborda")</f>
        <v>Jonathan Steven Taborda</v>
      </c>
      <c r="C1029" s="15" t="str">
        <f>IFERROR(__xludf.DUMMYFUNCTION("""COMPUTED_VALUE"""),"ARMENIA")</f>
        <v>ARMENIA</v>
      </c>
      <c r="D1029" s="15" t="str">
        <f>IFERROR(__xludf.DUMMYFUNCTION("""COMPUTED_VALUE"""),"MEDELLÍN")</f>
        <v>MEDELLÍN</v>
      </c>
      <c r="E1029" s="15" t="str">
        <f>IFERROR(__xludf.DUMMYFUNCTION("""COMPUTED_VALUE"""),"Puro Verde")</f>
        <v>Puro Verde</v>
      </c>
      <c r="F1029" s="17" t="str">
        <f>IFERROR(__xludf.DUMMYFUNCTION("""COMPUTED_VALUE"""),"AV BOLIVAR 11 NORTE 109.  / APTO 712. TORRE EPIC / BARRIO LA CASTELLANA")</f>
        <v>AV BOLIVAR 11 NORTE 109.  / APTO 712. TORRE EPIC / BARRIO LA CASTELLANA</v>
      </c>
      <c r="G1029" s="15" t="str">
        <f>IFERROR(__xludf.DUMMYFUNCTION("""COMPUTED_VALUE"""),"DORA PATRICIA BODE ESCOBAR")</f>
        <v>DORA PATRICIA BODE ESCOBAR</v>
      </c>
      <c r="H1029" s="16">
        <f>IFERROR(__xludf.DUMMYFUNCTION("""COMPUTED_VALUE"""),9642.0)</f>
        <v>9642</v>
      </c>
      <c r="I1029" s="18">
        <f>IFERROR(__xludf.DUMMYFUNCTION("""COMPUTED_VALUE"""),12.0)</f>
        <v>12</v>
      </c>
      <c r="J1029" s="18">
        <f>IFERROR(__xludf.DUMMYFUNCTION("""COMPUTED_VALUE"""),18.0)</f>
        <v>18</v>
      </c>
      <c r="K1029" s="18">
        <f>IFERROR(__xludf.DUMMYFUNCTION("""COMPUTED_VALUE"""),45.0)</f>
        <v>45</v>
      </c>
      <c r="L1029" s="17">
        <f>IFERROR(__xludf.DUMMYFUNCTION("""COMPUTED_VALUE"""),3.216222818E9)</f>
        <v>3216222818</v>
      </c>
      <c r="M1029" s="17" t="str">
        <f>IFERROR(__xludf.DUMMYFUNCTION("""COMPUTED_VALUE"""),"#REF!")</f>
        <v>#REF!</v>
      </c>
      <c r="N1029" s="17"/>
      <c r="O1029" s="19" t="str">
        <f>IFERROR(__xludf.DUMMYFUNCTION("""COMPUTED_VALUE"""),"")</f>
        <v/>
      </c>
      <c r="P1029" s="17" t="b">
        <f>IFERROR(__xludf.DUMMYFUNCTION("""COMPUTED_VALUE"""),FALSE)</f>
        <v>0</v>
      </c>
      <c r="Q1029" s="20" t="str">
        <f>IFERROR(__xludf.DUMMYFUNCTION("""COMPUTED_VALUE"""),"")</f>
        <v/>
      </c>
      <c r="R1029" s="22" t="str">
        <f>IFERROR(__xludf.DUMMYFUNCTION("""COMPUTED_VALUE"""),"")</f>
        <v/>
      </c>
    </row>
    <row r="1030">
      <c r="A1030" s="15">
        <f>IFERROR(__xludf.DUMMYFUNCTION("""COMPUTED_VALUE"""),45029.0)</f>
        <v>45029</v>
      </c>
      <c r="B1030" s="16" t="str">
        <f>IFERROR(__xludf.DUMMYFUNCTION("""COMPUTED_VALUE"""),"Jonathan Steven Taborda")</f>
        <v>Jonathan Steven Taborda</v>
      </c>
      <c r="C1030" s="15" t="str">
        <f>IFERROR(__xludf.DUMMYFUNCTION("""COMPUTED_VALUE"""),"VILLAVICENCIO")</f>
        <v>VILLAVICENCIO</v>
      </c>
      <c r="D1030" s="15" t="str">
        <f>IFERROR(__xludf.DUMMYFUNCTION("""COMPUTED_VALUE"""),"MEDELLÍN")</f>
        <v>MEDELLÍN</v>
      </c>
      <c r="E1030" s="15" t="str">
        <f>IFERROR(__xludf.DUMMYFUNCTION("""COMPUTED_VALUE"""),"Rambla")</f>
        <v>Rambla</v>
      </c>
      <c r="F1030" s="17" t="str">
        <f>IFERROR(__xludf.DUMMYFUNCTION("""COMPUTED_VALUE"""),"Calle 15 número 44 116 Hotel casa corona Local 5 Barrio el buque Villavicencio meta / na / na")</f>
        <v>Calle 15 número 44 116 Hotel casa corona Local 5 Barrio el buque Villavicencio meta / na / na</v>
      </c>
      <c r="G1030" s="15" t="str">
        <f>IFERROR(__xludf.DUMMYFUNCTION("""COMPUTED_VALUE"""),"Sana tentación")</f>
        <v>Sana tentación</v>
      </c>
      <c r="H1030" s="16">
        <f>IFERROR(__xludf.DUMMYFUNCTION("""COMPUTED_VALUE"""),9638.0)</f>
        <v>9638</v>
      </c>
      <c r="I1030" s="18">
        <f>IFERROR(__xludf.DUMMYFUNCTION("""COMPUTED_VALUE"""),25.0)</f>
        <v>25</v>
      </c>
      <c r="J1030" s="18">
        <f>IFERROR(__xludf.DUMMYFUNCTION("""COMPUTED_VALUE"""),30.0)</f>
        <v>30</v>
      </c>
      <c r="K1030" s="18">
        <f>IFERROR(__xludf.DUMMYFUNCTION("""COMPUTED_VALUE"""),33.0)</f>
        <v>33</v>
      </c>
      <c r="L1030" s="17">
        <f>IFERROR(__xludf.DUMMYFUNCTION("""COMPUTED_VALUE"""),3.008383044E9)</f>
        <v>3008383044</v>
      </c>
      <c r="M1030" s="17" t="str">
        <f>IFERROR(__xludf.DUMMYFUNCTION("""COMPUTED_VALUE"""),"#REF!")</f>
        <v>#REF!</v>
      </c>
      <c r="N1030" s="17"/>
      <c r="O1030" s="19" t="str">
        <f>IFERROR(__xludf.DUMMYFUNCTION("""COMPUTED_VALUE"""),"")</f>
        <v/>
      </c>
      <c r="P1030" s="17" t="b">
        <f>IFERROR(__xludf.DUMMYFUNCTION("""COMPUTED_VALUE"""),FALSE)</f>
        <v>0</v>
      </c>
      <c r="Q1030" s="20" t="str">
        <f>IFERROR(__xludf.DUMMYFUNCTION("""COMPUTED_VALUE"""),"")</f>
        <v/>
      </c>
      <c r="R1030" s="22" t="str">
        <f>IFERROR(__xludf.DUMMYFUNCTION("""COMPUTED_VALUE"""),"")</f>
        <v/>
      </c>
    </row>
    <row r="1031">
      <c r="A1031" s="17" t="str">
        <f>IFERROR(__xludf.DUMMYFUNCTION("""COMPUTED_VALUE"""),"")</f>
        <v/>
      </c>
      <c r="B1031" s="17" t="str">
        <f>IFERROR(__xludf.DUMMYFUNCTION("""COMPUTED_VALUE"""),"")</f>
        <v/>
      </c>
      <c r="C1031" s="17" t="str">
        <f>IFERROR(__xludf.DUMMYFUNCTION("""COMPUTED_VALUE"""),"")</f>
        <v/>
      </c>
      <c r="D1031" s="17" t="str">
        <f>IFERROR(__xludf.DUMMYFUNCTION("""COMPUTED_VALUE"""),"")</f>
        <v/>
      </c>
      <c r="E1031" s="17" t="str">
        <f>IFERROR(__xludf.DUMMYFUNCTION("""COMPUTED_VALUE"""),"")</f>
        <v/>
      </c>
      <c r="F1031" s="17" t="str">
        <f>IFERROR(__xludf.DUMMYFUNCTION("""COMPUTED_VALUE"""),"")</f>
        <v/>
      </c>
      <c r="G1031" s="17" t="str">
        <f>IFERROR(__xludf.DUMMYFUNCTION("""COMPUTED_VALUE"""),"")</f>
        <v/>
      </c>
      <c r="H1031" s="17" t="str">
        <f>IFERROR(__xludf.DUMMYFUNCTION("""COMPUTED_VALUE"""),"")</f>
        <v/>
      </c>
      <c r="I1031" s="17" t="str">
        <f>IFERROR(__xludf.DUMMYFUNCTION("""COMPUTED_VALUE"""),"")</f>
        <v/>
      </c>
      <c r="J1031" s="17" t="str">
        <f>IFERROR(__xludf.DUMMYFUNCTION("""COMPUTED_VALUE"""),"")</f>
        <v/>
      </c>
      <c r="K1031" s="17" t="str">
        <f>IFERROR(__xludf.DUMMYFUNCTION("""COMPUTED_VALUE"""),"")</f>
        <v/>
      </c>
      <c r="L1031" s="17" t="str">
        <f>IFERROR(__xludf.DUMMYFUNCTION("""COMPUTED_VALUE"""),"")</f>
        <v/>
      </c>
      <c r="M1031" s="17" t="str">
        <f>IFERROR(__xludf.DUMMYFUNCTION("""COMPUTED_VALUE"""),"")</f>
        <v/>
      </c>
      <c r="N1031" s="17" t="str">
        <f>IFERROR(__xludf.DUMMYFUNCTION("""COMPUTED_VALUE"""),"")</f>
        <v/>
      </c>
      <c r="O1031" s="17" t="str">
        <f>IFERROR(__xludf.DUMMYFUNCTION("""COMPUTED_VALUE"""),"")</f>
        <v/>
      </c>
      <c r="P1031" s="17" t="str">
        <f>IFERROR(__xludf.DUMMYFUNCTION("""COMPUTED_VALUE"""),"")</f>
        <v/>
      </c>
      <c r="Q1031" s="17" t="str">
        <f>IFERROR(__xludf.DUMMYFUNCTION("""COMPUTED_VALUE"""),"")</f>
        <v/>
      </c>
      <c r="R1031" s="17" t="str">
        <f>IFERROR(__xludf.DUMMYFUNCTION("""COMPUTED_VALUE"""),"")</f>
        <v/>
      </c>
    </row>
    <row r="1032">
      <c r="A1032" s="15">
        <f>IFERROR(__xludf.DUMMYFUNCTION("""COMPUTED_VALUE"""),45029.0)</f>
        <v>45029</v>
      </c>
      <c r="B1032" s="16" t="str">
        <f>IFERROR(__xludf.DUMMYFUNCTION("""COMPUTED_VALUE"""),"Julian Calderon Rodriguez ")</f>
        <v>Julian Calderon Rodriguez </v>
      </c>
      <c r="C1032" s="15" t="str">
        <f>IFERROR(__xludf.DUMMYFUNCTION("""COMPUTED_VALUE"""),"NEIVA")</f>
        <v>NEIVA</v>
      </c>
      <c r="D1032" s="15" t="str">
        <f>IFERROR(__xludf.DUMMYFUNCTION("""COMPUTED_VALUE"""),"MEDELLÍN")</f>
        <v>MEDELLÍN</v>
      </c>
      <c r="E1032" s="15" t="str">
        <f>IFERROR(__xludf.DUMMYFUNCTION("""COMPUTED_VALUE"""),"Baby Chef")</f>
        <v>Baby Chef</v>
      </c>
      <c r="F1032" s="17" t="str">
        <f>IFERROR(__xludf.DUMMYFUNCTION("""COMPUTED_VALUE"""),"Carrera 23 número 42 a 00 condominio san Pablo barrio villa Nubia  neiva Huila APTO 303 / Carrera 23 número 42 a 00 condominio san Pablo barrio villa Nubia  neiva Huila / Carrera 23 número 42 a 00 condominio san Pablo barrio villa Nubia  neiva Huila")</f>
        <v>Carrera 23 número 42 a 00 condominio san Pablo barrio villa Nubia  neiva Huila APTO 303 / Carrera 23 número 42 a 00 condominio san Pablo barrio villa Nubia  neiva Huila / Carrera 23 número 42 a 00 condominio san Pablo barrio villa Nubia  neiva Huila</v>
      </c>
      <c r="G1032" s="15" t="str">
        <f>IFERROR(__xludf.DUMMYFUNCTION("""COMPUTED_VALUE"""),"María Alejandra Trujillo")</f>
        <v>María Alejandra Trujillo</v>
      </c>
      <c r="H1032" s="16">
        <f>IFERROR(__xludf.DUMMYFUNCTION("""COMPUTED_VALUE"""),9604.0)</f>
        <v>9604</v>
      </c>
      <c r="I1032" s="18">
        <f>IFERROR(__xludf.DUMMYFUNCTION("""COMPUTED_VALUE"""),8.0)</f>
        <v>8</v>
      </c>
      <c r="J1032" s="18">
        <f>IFERROR(__xludf.DUMMYFUNCTION("""COMPUTED_VALUE"""),16.0)</f>
        <v>16</v>
      </c>
      <c r="K1032" s="18">
        <f>IFERROR(__xludf.DUMMYFUNCTION("""COMPUTED_VALUE"""),20.0)</f>
        <v>20</v>
      </c>
      <c r="L1032" s="17">
        <f>IFERROR(__xludf.DUMMYFUNCTION("""COMPUTED_VALUE"""),3.209641696E9)</f>
        <v>3209641696</v>
      </c>
      <c r="M1032" s="17" t="str">
        <f>IFERROR(__xludf.DUMMYFUNCTION("""COMPUTED_VALUE"""),"#REF!")</f>
        <v>#REF!</v>
      </c>
      <c r="N1032" s="17"/>
      <c r="O1032" s="19" t="str">
        <f>IFERROR(__xludf.DUMMYFUNCTION("""COMPUTED_VALUE"""),"")</f>
        <v/>
      </c>
      <c r="P1032" s="17" t="b">
        <f>IFERROR(__xludf.DUMMYFUNCTION("""COMPUTED_VALUE"""),FALSE)</f>
        <v>0</v>
      </c>
      <c r="Q1032" s="20" t="str">
        <f>IFERROR(__xludf.DUMMYFUNCTION("""COMPUTED_VALUE"""),"")</f>
        <v/>
      </c>
      <c r="R1032" s="22" t="str">
        <f>IFERROR(__xludf.DUMMYFUNCTION("""COMPUTED_VALUE"""),"")</f>
        <v/>
      </c>
    </row>
    <row r="1033">
      <c r="A1033" s="17" t="str">
        <f>IFERROR(__xludf.DUMMYFUNCTION("""COMPUTED_VALUE"""),"")</f>
        <v/>
      </c>
      <c r="B1033" s="17" t="str">
        <f>IFERROR(__xludf.DUMMYFUNCTION("""COMPUTED_VALUE"""),"")</f>
        <v/>
      </c>
      <c r="C1033" s="17" t="str">
        <f>IFERROR(__xludf.DUMMYFUNCTION("""COMPUTED_VALUE"""),"")</f>
        <v/>
      </c>
      <c r="D1033" s="17" t="str">
        <f>IFERROR(__xludf.DUMMYFUNCTION("""COMPUTED_VALUE"""),"")</f>
        <v/>
      </c>
      <c r="E1033" s="17" t="str">
        <f>IFERROR(__xludf.DUMMYFUNCTION("""COMPUTED_VALUE"""),"")</f>
        <v/>
      </c>
      <c r="F1033" s="17" t="str">
        <f>IFERROR(__xludf.DUMMYFUNCTION("""COMPUTED_VALUE"""),"")</f>
        <v/>
      </c>
      <c r="G1033" s="17" t="str">
        <f>IFERROR(__xludf.DUMMYFUNCTION("""COMPUTED_VALUE"""),"")</f>
        <v/>
      </c>
      <c r="H1033" s="17" t="str">
        <f>IFERROR(__xludf.DUMMYFUNCTION("""COMPUTED_VALUE"""),"")</f>
        <v/>
      </c>
      <c r="I1033" s="17" t="str">
        <f>IFERROR(__xludf.DUMMYFUNCTION("""COMPUTED_VALUE"""),"")</f>
        <v/>
      </c>
      <c r="J1033" s="17" t="str">
        <f>IFERROR(__xludf.DUMMYFUNCTION("""COMPUTED_VALUE"""),"")</f>
        <v/>
      </c>
      <c r="K1033" s="17" t="str">
        <f>IFERROR(__xludf.DUMMYFUNCTION("""COMPUTED_VALUE"""),"")</f>
        <v/>
      </c>
      <c r="L1033" s="17" t="str">
        <f>IFERROR(__xludf.DUMMYFUNCTION("""COMPUTED_VALUE"""),"")</f>
        <v/>
      </c>
      <c r="M1033" s="17" t="str">
        <f>IFERROR(__xludf.DUMMYFUNCTION("""COMPUTED_VALUE"""),"")</f>
        <v/>
      </c>
      <c r="N1033" s="17" t="str">
        <f>IFERROR(__xludf.DUMMYFUNCTION("""COMPUTED_VALUE"""),"")</f>
        <v/>
      </c>
      <c r="O1033" s="17" t="str">
        <f>IFERROR(__xludf.DUMMYFUNCTION("""COMPUTED_VALUE"""),"")</f>
        <v/>
      </c>
      <c r="P1033" s="17" t="str">
        <f>IFERROR(__xludf.DUMMYFUNCTION("""COMPUTED_VALUE"""),"")</f>
        <v/>
      </c>
      <c r="Q1033" s="17" t="str">
        <f>IFERROR(__xludf.DUMMYFUNCTION("""COMPUTED_VALUE"""),"")</f>
        <v/>
      </c>
      <c r="R1033" s="17" t="str">
        <f>IFERROR(__xludf.DUMMYFUNCTION("""COMPUTED_VALUE"""),"")</f>
        <v/>
      </c>
    </row>
    <row r="1034">
      <c r="A1034" s="15">
        <f>IFERROR(__xludf.DUMMYFUNCTION("""COMPUTED_VALUE"""),45029.0)</f>
        <v>45029</v>
      </c>
      <c r="B1034" s="16" t="str">
        <f>IFERROR(__xludf.DUMMYFUNCTION("""COMPUTED_VALUE"""),"Luis Miguel Ramirez Morales")</f>
        <v>Luis Miguel Ramirez Morales</v>
      </c>
      <c r="C1034" s="15" t="str">
        <f>IFERROR(__xludf.DUMMYFUNCTION("""COMPUTED_VALUE"""),"POPAYAN")</f>
        <v>POPAYAN</v>
      </c>
      <c r="D1034" s="15" t="str">
        <f>IFERROR(__xludf.DUMMYFUNCTION("""COMPUTED_VALUE"""),"MEDELLÍN")</f>
        <v>MEDELLÍN</v>
      </c>
      <c r="E1034" s="15" t="str">
        <f>IFERROR(__xludf.DUMMYFUNCTION("""COMPUTED_VALUE"""),"Baby Chef")</f>
        <v>Baby Chef</v>
      </c>
      <c r="F1034" s="17" t="str">
        <f>IFERROR(__xludf.DUMMYFUNCTION("""COMPUTED_VALUE"""),"Calle 44N#8-65 condomnio campo Aragón Casa 72 / Calle 44N#8-65 condomnio campo Aragón Casa 72 / Calle 44N#8-65 condomnio campo Aragón Casa 72")</f>
        <v>Calle 44N#8-65 condomnio campo Aragón Casa 72 / Calle 44N#8-65 condomnio campo Aragón Casa 72 / Calle 44N#8-65 condomnio campo Aragón Casa 72</v>
      </c>
      <c r="G1034" s="15" t="str">
        <f>IFERROR(__xludf.DUMMYFUNCTION("""COMPUTED_VALUE"""),"Laura Arteaga - POPAYAN")</f>
        <v>Laura Arteaga - POPAYAN</v>
      </c>
      <c r="H1034" s="16">
        <f>IFERROR(__xludf.DUMMYFUNCTION("""COMPUTED_VALUE"""),9605.0)</f>
        <v>9605</v>
      </c>
      <c r="I1034" s="18">
        <f>IFERROR(__xludf.DUMMYFUNCTION("""COMPUTED_VALUE"""),8.0)</f>
        <v>8</v>
      </c>
      <c r="J1034" s="18">
        <f>IFERROR(__xludf.DUMMYFUNCTION("""COMPUTED_VALUE"""),16.0)</f>
        <v>16</v>
      </c>
      <c r="K1034" s="18">
        <f>IFERROR(__xludf.DUMMYFUNCTION("""COMPUTED_VALUE"""),20.0)</f>
        <v>20</v>
      </c>
      <c r="L1034" s="17">
        <f>IFERROR(__xludf.DUMMYFUNCTION("""COMPUTED_VALUE"""),3.185040251E9)</f>
        <v>3185040251</v>
      </c>
      <c r="M1034" s="17" t="str">
        <f>IFERROR(__xludf.DUMMYFUNCTION("""COMPUTED_VALUE"""),"#REF!")</f>
        <v>#REF!</v>
      </c>
      <c r="N1034" s="17"/>
      <c r="O1034" s="19" t="str">
        <f>IFERROR(__xludf.DUMMYFUNCTION("""COMPUTED_VALUE"""),"")</f>
        <v/>
      </c>
      <c r="P1034" s="17" t="b">
        <f>IFERROR(__xludf.DUMMYFUNCTION("""COMPUTED_VALUE"""),FALSE)</f>
        <v>0</v>
      </c>
      <c r="Q1034" s="20" t="str">
        <f>IFERROR(__xludf.DUMMYFUNCTION("""COMPUTED_VALUE"""),"")</f>
        <v/>
      </c>
      <c r="R1034" s="22" t="str">
        <f>IFERROR(__xludf.DUMMYFUNCTION("""COMPUTED_VALUE"""),"")</f>
        <v/>
      </c>
    </row>
    <row r="1035">
      <c r="A1035" s="17" t="str">
        <f>IFERROR(__xludf.DUMMYFUNCTION("""COMPUTED_VALUE"""),"")</f>
        <v/>
      </c>
      <c r="B1035" s="17" t="str">
        <f>IFERROR(__xludf.DUMMYFUNCTION("""COMPUTED_VALUE"""),"")</f>
        <v/>
      </c>
      <c r="C1035" s="17" t="str">
        <f>IFERROR(__xludf.DUMMYFUNCTION("""COMPUTED_VALUE"""),"")</f>
        <v/>
      </c>
      <c r="D1035" s="17" t="str">
        <f>IFERROR(__xludf.DUMMYFUNCTION("""COMPUTED_VALUE"""),"")</f>
        <v/>
      </c>
      <c r="E1035" s="17" t="str">
        <f>IFERROR(__xludf.DUMMYFUNCTION("""COMPUTED_VALUE"""),"")</f>
        <v/>
      </c>
      <c r="F1035" s="17" t="str">
        <f>IFERROR(__xludf.DUMMYFUNCTION("""COMPUTED_VALUE"""),"")</f>
        <v/>
      </c>
      <c r="G1035" s="17" t="str">
        <f>IFERROR(__xludf.DUMMYFUNCTION("""COMPUTED_VALUE"""),"")</f>
        <v/>
      </c>
      <c r="H1035" s="17" t="str">
        <f>IFERROR(__xludf.DUMMYFUNCTION("""COMPUTED_VALUE"""),"")</f>
        <v/>
      </c>
      <c r="I1035" s="17" t="str">
        <f>IFERROR(__xludf.DUMMYFUNCTION("""COMPUTED_VALUE"""),"")</f>
        <v/>
      </c>
      <c r="J1035" s="17" t="str">
        <f>IFERROR(__xludf.DUMMYFUNCTION("""COMPUTED_VALUE"""),"")</f>
        <v/>
      </c>
      <c r="K1035" s="17" t="str">
        <f>IFERROR(__xludf.DUMMYFUNCTION("""COMPUTED_VALUE"""),"")</f>
        <v/>
      </c>
      <c r="L1035" s="17" t="str">
        <f>IFERROR(__xludf.DUMMYFUNCTION("""COMPUTED_VALUE"""),"")</f>
        <v/>
      </c>
      <c r="M1035" s="17" t="str">
        <f>IFERROR(__xludf.DUMMYFUNCTION("""COMPUTED_VALUE"""),"")</f>
        <v/>
      </c>
      <c r="N1035" s="17" t="str">
        <f>IFERROR(__xludf.DUMMYFUNCTION("""COMPUTED_VALUE"""),"")</f>
        <v/>
      </c>
      <c r="O1035" s="17" t="str">
        <f>IFERROR(__xludf.DUMMYFUNCTION("""COMPUTED_VALUE"""),"")</f>
        <v/>
      </c>
      <c r="P1035" s="17" t="str">
        <f>IFERROR(__xludf.DUMMYFUNCTION("""COMPUTED_VALUE"""),"")</f>
        <v/>
      </c>
      <c r="Q1035" s="17" t="str">
        <f>IFERROR(__xludf.DUMMYFUNCTION("""COMPUTED_VALUE"""),"")</f>
        <v/>
      </c>
      <c r="R1035" s="17" t="str">
        <f>IFERROR(__xludf.DUMMYFUNCTION("""COMPUTED_VALUE"""),"")</f>
        <v/>
      </c>
    </row>
    <row r="1036">
      <c r="A1036" s="15">
        <f>IFERROR(__xludf.DUMMYFUNCTION("""COMPUTED_VALUE"""),45030.0)</f>
        <v>45030</v>
      </c>
      <c r="B1036" s="17"/>
      <c r="C1036" s="15" t="str">
        <f>IFERROR(__xludf.DUMMYFUNCTION("""COMPUTED_VALUE"""),"CÚCUTA")</f>
        <v>CÚCUTA</v>
      </c>
      <c r="D1036" s="15" t="str">
        <f>IFERROR(__xludf.DUMMYFUNCTION("""COMPUTED_VALUE"""),"BOGOTÁ")</f>
        <v>BOGOTÁ</v>
      </c>
      <c r="E1036" s="15" t="str">
        <f>IFERROR(__xludf.DUMMYFUNCTION("""COMPUTED_VALUE"""),"Evamazzita")</f>
        <v>Evamazzita</v>
      </c>
      <c r="F1036" s="17" t="str">
        <f>IFERROR(__xludf.DUMMYFUNCTION("""COMPUTED_VALUE"""),"Calle 21 #6-07  / barrio once de noviembre  / Los Patios")</f>
        <v>Calle 21 #6-07  / barrio once de noviembre  / Los Patios</v>
      </c>
      <c r="G1036" s="15" t="str">
        <f>IFERROR(__xludf.DUMMYFUNCTION("""COMPUTED_VALUE"""),"LAURA TATIANA CERVELON VILLAMIZAR")</f>
        <v>LAURA TATIANA CERVELON VILLAMIZAR</v>
      </c>
      <c r="H1036" s="16">
        <f>IFERROR(__xludf.DUMMYFUNCTION("""COMPUTED_VALUE"""),9660.0)</f>
        <v>9660</v>
      </c>
      <c r="I1036" s="18">
        <f>IFERROR(__xludf.DUMMYFUNCTION("""COMPUTED_VALUE"""),3.0)</f>
        <v>3</v>
      </c>
      <c r="J1036" s="18">
        <f>IFERROR(__xludf.DUMMYFUNCTION("""COMPUTED_VALUE"""),20.0)</f>
        <v>20</v>
      </c>
      <c r="K1036" s="18">
        <f>IFERROR(__xludf.DUMMYFUNCTION("""COMPUTED_VALUE"""),15.0)</f>
        <v>15</v>
      </c>
      <c r="L1036" s="17">
        <f>IFERROR(__xludf.DUMMYFUNCTION("""COMPUTED_VALUE"""),3.194980381E9)</f>
        <v>3194980381</v>
      </c>
      <c r="M1036" s="17" t="str">
        <f>IFERROR(__xludf.DUMMYFUNCTION("""COMPUTED_VALUE"""),"#REF!")</f>
        <v>#REF!</v>
      </c>
      <c r="N1036" s="19" t="str">
        <f>IFERROR(__xludf.DUMMYFUNCTION("""COMPUTED_VALUE"""),"")</f>
        <v/>
      </c>
      <c r="O1036" s="19" t="str">
        <f>IFERROR(__xludf.DUMMYFUNCTION("""COMPUTED_VALUE"""),"")</f>
        <v/>
      </c>
      <c r="P1036" s="17" t="b">
        <f>IFERROR(__xludf.DUMMYFUNCTION("""COMPUTED_VALUE"""),FALSE)</f>
        <v>0</v>
      </c>
      <c r="Q1036" s="20" t="str">
        <f>IFERROR(__xludf.DUMMYFUNCTION("""COMPUTED_VALUE"""),"")</f>
        <v/>
      </c>
      <c r="R1036" s="22" t="str">
        <f>IFERROR(__xludf.DUMMYFUNCTION("""COMPUTED_VALUE"""),"")</f>
        <v/>
      </c>
    </row>
    <row r="1037">
      <c r="A1037" s="17" t="str">
        <f>IFERROR(__xludf.DUMMYFUNCTION("""COMPUTED_VALUE"""),"")</f>
        <v/>
      </c>
      <c r="B1037" s="17" t="str">
        <f>IFERROR(__xludf.DUMMYFUNCTION("""COMPUTED_VALUE"""),"")</f>
        <v/>
      </c>
      <c r="C1037" s="17" t="str">
        <f>IFERROR(__xludf.DUMMYFUNCTION("""COMPUTED_VALUE"""),"")</f>
        <v/>
      </c>
      <c r="D1037" s="17" t="str">
        <f>IFERROR(__xludf.DUMMYFUNCTION("""COMPUTED_VALUE"""),"")</f>
        <v/>
      </c>
      <c r="E1037" s="17" t="str">
        <f>IFERROR(__xludf.DUMMYFUNCTION("""COMPUTED_VALUE"""),"")</f>
        <v/>
      </c>
      <c r="F1037" s="17" t="str">
        <f>IFERROR(__xludf.DUMMYFUNCTION("""COMPUTED_VALUE"""),"")</f>
        <v/>
      </c>
      <c r="G1037" s="17" t="str">
        <f>IFERROR(__xludf.DUMMYFUNCTION("""COMPUTED_VALUE"""),"")</f>
        <v/>
      </c>
      <c r="H1037" s="17" t="str">
        <f>IFERROR(__xludf.DUMMYFUNCTION("""COMPUTED_VALUE"""),"")</f>
        <v/>
      </c>
      <c r="I1037" s="17" t="str">
        <f>IFERROR(__xludf.DUMMYFUNCTION("""COMPUTED_VALUE"""),"")</f>
        <v/>
      </c>
      <c r="J1037" s="17" t="str">
        <f>IFERROR(__xludf.DUMMYFUNCTION("""COMPUTED_VALUE"""),"")</f>
        <v/>
      </c>
      <c r="K1037" s="17" t="str">
        <f>IFERROR(__xludf.DUMMYFUNCTION("""COMPUTED_VALUE"""),"")</f>
        <v/>
      </c>
      <c r="L1037" s="17" t="str">
        <f>IFERROR(__xludf.DUMMYFUNCTION("""COMPUTED_VALUE"""),"")</f>
        <v/>
      </c>
      <c r="M1037" s="17" t="str">
        <f>IFERROR(__xludf.DUMMYFUNCTION("""COMPUTED_VALUE"""),"")</f>
        <v/>
      </c>
      <c r="N1037" s="17" t="str">
        <f>IFERROR(__xludf.DUMMYFUNCTION("""COMPUTED_VALUE"""),"")</f>
        <v/>
      </c>
      <c r="O1037" s="17" t="str">
        <f>IFERROR(__xludf.DUMMYFUNCTION("""COMPUTED_VALUE"""),"")</f>
        <v/>
      </c>
      <c r="P1037" s="17" t="str">
        <f>IFERROR(__xludf.DUMMYFUNCTION("""COMPUTED_VALUE"""),"")</f>
        <v/>
      </c>
      <c r="Q1037" s="17" t="str">
        <f>IFERROR(__xludf.DUMMYFUNCTION("""COMPUTED_VALUE"""),"")</f>
        <v/>
      </c>
      <c r="R1037" s="17" t="str">
        <f>IFERROR(__xludf.DUMMYFUNCTION("""COMPUTED_VALUE"""),"")</f>
        <v/>
      </c>
    </row>
    <row r="1038">
      <c r="A1038" s="15">
        <f>IFERROR(__xludf.DUMMYFUNCTION("""COMPUTED_VALUE"""),45030.0)</f>
        <v>45030</v>
      </c>
      <c r="B1038" s="16" t="str">
        <f>IFERROR(__xludf.DUMMYFUNCTION("""COMPUTED_VALUE"""),"Andrés Felipe Castillo Muñoz")</f>
        <v>Andrés Felipe Castillo Muñoz</v>
      </c>
      <c r="C1038" s="15" t="str">
        <f>IFERROR(__xludf.DUMMYFUNCTION("""COMPUTED_VALUE"""),"MEDELLÍN")</f>
        <v>MEDELLÍN</v>
      </c>
      <c r="D1038" s="15" t="str">
        <f>IFERROR(__xludf.DUMMYFUNCTION("""COMPUTED_VALUE"""),"BOGOTÁ")</f>
        <v>BOGOTÁ</v>
      </c>
      <c r="E1038" s="15" t="str">
        <f>IFERROR(__xludf.DUMMYFUNCTION("""COMPUTED_VALUE"""),"Forever Dog")</f>
        <v>Forever Dog</v>
      </c>
      <c r="F1038" s="17" t="str">
        <f>IFERROR(__xludf.DUMMYFUNCTION("""COMPUTED_VALUE"""),"Calle 36 sur # 27 - 10 / apto 9615 torre 3  / unidad residencial entreparques")</f>
        <v>Calle 36 sur # 27 - 10 / apto 9615 torre 3  / unidad residencial entreparques</v>
      </c>
      <c r="G1038" s="15" t="str">
        <f>IFERROR(__xludf.DUMMYFUNCTION("""COMPUTED_VALUE"""),"Alejandra Maya")</f>
        <v>Alejandra Maya</v>
      </c>
      <c r="H1038" s="16">
        <f>IFERROR(__xludf.DUMMYFUNCTION("""COMPUTED_VALUE"""),9631.0)</f>
        <v>9631</v>
      </c>
      <c r="I1038" s="18">
        <f>IFERROR(__xludf.DUMMYFUNCTION("""COMPUTED_VALUE"""),20.0)</f>
        <v>20</v>
      </c>
      <c r="J1038" s="18">
        <f>IFERROR(__xludf.DUMMYFUNCTION("""COMPUTED_VALUE"""),45.0)</f>
        <v>45</v>
      </c>
      <c r="K1038" s="18">
        <f>IFERROR(__xludf.DUMMYFUNCTION("""COMPUTED_VALUE"""),36.0)</f>
        <v>36</v>
      </c>
      <c r="L1038" s="17">
        <f>IFERROR(__xludf.DUMMYFUNCTION("""COMPUTED_VALUE"""),3.016427229E9)</f>
        <v>3016427229</v>
      </c>
      <c r="M1038" s="17" t="str">
        <f>IFERROR(__xludf.DUMMYFUNCTION("""COMPUTED_VALUE"""),"#REF!")</f>
        <v>#REF!</v>
      </c>
      <c r="N1038" s="17"/>
      <c r="O1038" s="19" t="str">
        <f>IFERROR(__xludf.DUMMYFUNCTION("""COMPUTED_VALUE"""),"")</f>
        <v/>
      </c>
      <c r="P1038" s="17" t="b">
        <f>IFERROR(__xludf.DUMMYFUNCTION("""COMPUTED_VALUE"""),FALSE)</f>
        <v>0</v>
      </c>
      <c r="Q1038" s="20" t="str">
        <f>IFERROR(__xludf.DUMMYFUNCTION("""COMPUTED_VALUE"""),"")</f>
        <v/>
      </c>
      <c r="R1038" s="22" t="str">
        <f>IFERROR(__xludf.DUMMYFUNCTION("""COMPUTED_VALUE"""),"")</f>
        <v/>
      </c>
    </row>
    <row r="1039">
      <c r="A1039" s="17" t="str">
        <f>IFERROR(__xludf.DUMMYFUNCTION("""COMPUTED_VALUE"""),"")</f>
        <v/>
      </c>
      <c r="B1039" s="17" t="str">
        <f>IFERROR(__xludf.DUMMYFUNCTION("""COMPUTED_VALUE"""),"")</f>
        <v/>
      </c>
      <c r="C1039" s="17" t="str">
        <f>IFERROR(__xludf.DUMMYFUNCTION("""COMPUTED_VALUE"""),"")</f>
        <v/>
      </c>
      <c r="D1039" s="17" t="str">
        <f>IFERROR(__xludf.DUMMYFUNCTION("""COMPUTED_VALUE"""),"")</f>
        <v/>
      </c>
      <c r="E1039" s="17" t="str">
        <f>IFERROR(__xludf.DUMMYFUNCTION("""COMPUTED_VALUE"""),"")</f>
        <v/>
      </c>
      <c r="F1039" s="17" t="str">
        <f>IFERROR(__xludf.DUMMYFUNCTION("""COMPUTED_VALUE"""),"")</f>
        <v/>
      </c>
      <c r="G1039" s="17" t="str">
        <f>IFERROR(__xludf.DUMMYFUNCTION("""COMPUTED_VALUE"""),"")</f>
        <v/>
      </c>
      <c r="H1039" s="17" t="str">
        <f>IFERROR(__xludf.DUMMYFUNCTION("""COMPUTED_VALUE"""),"")</f>
        <v/>
      </c>
      <c r="I1039" s="17" t="str">
        <f>IFERROR(__xludf.DUMMYFUNCTION("""COMPUTED_VALUE"""),"")</f>
        <v/>
      </c>
      <c r="J1039" s="17" t="str">
        <f>IFERROR(__xludf.DUMMYFUNCTION("""COMPUTED_VALUE"""),"")</f>
        <v/>
      </c>
      <c r="K1039" s="17" t="str">
        <f>IFERROR(__xludf.DUMMYFUNCTION("""COMPUTED_VALUE"""),"")</f>
        <v/>
      </c>
      <c r="L1039" s="17" t="str">
        <f>IFERROR(__xludf.DUMMYFUNCTION("""COMPUTED_VALUE"""),"")</f>
        <v/>
      </c>
      <c r="M1039" s="17" t="str">
        <f>IFERROR(__xludf.DUMMYFUNCTION("""COMPUTED_VALUE"""),"")</f>
        <v/>
      </c>
      <c r="N1039" s="17" t="str">
        <f>IFERROR(__xludf.DUMMYFUNCTION("""COMPUTED_VALUE"""),"")</f>
        <v/>
      </c>
      <c r="O1039" s="17" t="str">
        <f>IFERROR(__xludf.DUMMYFUNCTION("""COMPUTED_VALUE"""),"")</f>
        <v/>
      </c>
      <c r="P1039" s="17" t="str">
        <f>IFERROR(__xludf.DUMMYFUNCTION("""COMPUTED_VALUE"""),"")</f>
        <v/>
      </c>
      <c r="Q1039" s="17" t="str">
        <f>IFERROR(__xludf.DUMMYFUNCTION("""COMPUTED_VALUE"""),"")</f>
        <v/>
      </c>
      <c r="R1039" s="17" t="str">
        <f>IFERROR(__xludf.DUMMYFUNCTION("""COMPUTED_VALUE"""),"")</f>
        <v/>
      </c>
    </row>
    <row r="1040">
      <c r="A1040" s="15">
        <f>IFERROR(__xludf.DUMMYFUNCTION("""COMPUTED_VALUE"""),45030.0)</f>
        <v>45030</v>
      </c>
      <c r="B1040" s="16" t="str">
        <f>IFERROR(__xludf.DUMMYFUNCTION("""COMPUTED_VALUE"""),"Daniel José sandoval gonzalez")</f>
        <v>Daniel José sandoval gonzalez</v>
      </c>
      <c r="C1040" s="15" t="str">
        <f>IFERROR(__xludf.DUMMYFUNCTION("""COMPUTED_VALUE"""),"BARRANQUILLA")</f>
        <v>BARRANQUILLA</v>
      </c>
      <c r="D1040" s="15" t="str">
        <f>IFERROR(__xludf.DUMMYFUNCTION("""COMPUTED_VALUE"""),"BOGOTÁ")</f>
        <v>BOGOTÁ</v>
      </c>
      <c r="E1040" s="15" t="str">
        <f>IFERROR(__xludf.DUMMYFUNCTION("""COMPUTED_VALUE"""),"Evamazzita")</f>
        <v>Evamazzita</v>
      </c>
      <c r="F1040" s="17" t="str">
        <f>IFERROR(__xludf.DUMMYFUNCTION("""COMPUTED_VALUE"""),"Carrera 49 # 74 - 174   / Edificio Blue 75 Apartamento 207  / BARRIO AMÉRICA")</f>
        <v>Carrera 49 # 74 - 174   / Edificio Blue 75 Apartamento 207  / BARRIO AMÉRICA</v>
      </c>
      <c r="G1040" s="15" t="str">
        <f>IFERROR(__xludf.DUMMYFUNCTION("""COMPUTED_VALUE"""),"MARIA JOSE JIMENEZ CIENFUEGOS")</f>
        <v>MARIA JOSE JIMENEZ CIENFUEGOS</v>
      </c>
      <c r="H1040" s="16">
        <f>IFERROR(__xludf.DUMMYFUNCTION("""COMPUTED_VALUE"""),9666.0)</f>
        <v>9666</v>
      </c>
      <c r="I1040" s="18">
        <f>IFERROR(__xludf.DUMMYFUNCTION("""COMPUTED_VALUE"""),5.0)</f>
        <v>5</v>
      </c>
      <c r="J1040" s="18">
        <f>IFERROR(__xludf.DUMMYFUNCTION("""COMPUTED_VALUE"""),14.0)</f>
        <v>14</v>
      </c>
      <c r="K1040" s="18">
        <f>IFERROR(__xludf.DUMMYFUNCTION("""COMPUTED_VALUE"""),21.0)</f>
        <v>21</v>
      </c>
      <c r="L1040" s="17">
        <f>IFERROR(__xludf.DUMMYFUNCTION("""COMPUTED_VALUE"""),3.005027163E9)</f>
        <v>3005027163</v>
      </c>
      <c r="M1040" s="17" t="str">
        <f>IFERROR(__xludf.DUMMYFUNCTION("""COMPUTED_VALUE"""),"#REF!")</f>
        <v>#REF!</v>
      </c>
      <c r="N1040" s="17"/>
      <c r="O1040" s="19" t="str">
        <f>IFERROR(__xludf.DUMMYFUNCTION("""COMPUTED_VALUE"""),"")</f>
        <v/>
      </c>
      <c r="P1040" s="17" t="b">
        <f>IFERROR(__xludf.DUMMYFUNCTION("""COMPUTED_VALUE"""),FALSE)</f>
        <v>0</v>
      </c>
      <c r="Q1040" s="20" t="str">
        <f>IFERROR(__xludf.DUMMYFUNCTION("""COMPUTED_VALUE"""),"")</f>
        <v/>
      </c>
      <c r="R1040" s="22" t="str">
        <f>IFERROR(__xludf.DUMMYFUNCTION("""COMPUTED_VALUE"""),"")</f>
        <v/>
      </c>
    </row>
    <row r="1041">
      <c r="A1041" s="15">
        <f>IFERROR(__xludf.DUMMYFUNCTION("""COMPUTED_VALUE"""),45030.0)</f>
        <v>45030</v>
      </c>
      <c r="B1041" s="16" t="str">
        <f>IFERROR(__xludf.DUMMYFUNCTION("""COMPUTED_VALUE"""),"Daniel José sandoval gonzalez")</f>
        <v>Daniel José sandoval gonzalez</v>
      </c>
      <c r="C1041" s="15" t="str">
        <f>IFERROR(__xludf.DUMMYFUNCTION("""COMPUTED_VALUE"""),"BARRANQUILLA")</f>
        <v>BARRANQUILLA</v>
      </c>
      <c r="D1041" s="15" t="str">
        <f>IFERROR(__xludf.DUMMYFUNCTION("""COMPUTED_VALUE"""),"BOGOTÁ")</f>
        <v>BOGOTÁ</v>
      </c>
      <c r="E1041" s="15" t="str">
        <f>IFERROR(__xludf.DUMMYFUNCTION("""COMPUTED_VALUE"""),"Frambascolombia sas")</f>
        <v>Frambascolombia sas</v>
      </c>
      <c r="F1041" s="17" t="str">
        <f>IFERROR(__xludf.DUMMYFUNCTION("""COMPUTED_VALUE"""),"Cra. 53 # 80-284 local 1 / local 1 Centro comercial Aranjuez")</f>
        <v>Cra. 53 # 80-284 local 1 / local 1 Centro comercial Aranjuez</v>
      </c>
      <c r="G1041" s="15" t="str">
        <f>IFERROR(__xludf.DUMMYFUNCTION("""COMPUTED_VALUE"""),"PikNPak Barranquilla")</f>
        <v>PikNPak Barranquilla</v>
      </c>
      <c r="H1041" s="16">
        <f>IFERROR(__xludf.DUMMYFUNCTION("""COMPUTED_VALUE"""),9632.0)</f>
        <v>9632</v>
      </c>
      <c r="I1041" s="18">
        <f>IFERROR(__xludf.DUMMYFUNCTION("""COMPUTED_VALUE"""),8.0)</f>
        <v>8</v>
      </c>
      <c r="J1041" s="18">
        <f>IFERROR(__xludf.DUMMYFUNCTION("""COMPUTED_VALUE"""),44992.0)</f>
        <v>44992</v>
      </c>
      <c r="K1041" s="18">
        <f>IFERROR(__xludf.DUMMYFUNCTION("""COMPUTED_VALUE"""),44992.0)</f>
        <v>44992</v>
      </c>
      <c r="L1041" s="17" t="str">
        <f>IFERROR(__xludf.DUMMYFUNCTION("""COMPUTED_VALUE"""),"321 4229567")</f>
        <v>321 4229567</v>
      </c>
      <c r="M1041" s="17" t="str">
        <f>IFERROR(__xludf.DUMMYFUNCTION("""COMPUTED_VALUE"""),"#REF!")</f>
        <v>#REF!</v>
      </c>
      <c r="N1041" s="17"/>
      <c r="O1041" s="19" t="str">
        <f>IFERROR(__xludf.DUMMYFUNCTION("""COMPUTED_VALUE"""),"")</f>
        <v/>
      </c>
      <c r="P1041" s="17" t="b">
        <f>IFERROR(__xludf.DUMMYFUNCTION("""COMPUTED_VALUE"""),FALSE)</f>
        <v>0</v>
      </c>
      <c r="Q1041" s="20" t="str">
        <f>IFERROR(__xludf.DUMMYFUNCTION("""COMPUTED_VALUE"""),"")</f>
        <v/>
      </c>
      <c r="R1041" s="22" t="str">
        <f>IFERROR(__xludf.DUMMYFUNCTION("""COMPUTED_VALUE"""),"")</f>
        <v/>
      </c>
    </row>
    <row r="1042">
      <c r="A1042" s="15">
        <f>IFERROR(__xludf.DUMMYFUNCTION("""COMPUTED_VALUE"""),45030.0)</f>
        <v>45030</v>
      </c>
      <c r="B1042" s="16" t="str">
        <f>IFERROR(__xludf.DUMMYFUNCTION("""COMPUTED_VALUE"""),"Daniel José sandoval gonzalez")</f>
        <v>Daniel José sandoval gonzalez</v>
      </c>
      <c r="C1042" s="15" t="str">
        <f>IFERROR(__xludf.DUMMYFUNCTION("""COMPUTED_VALUE"""),"BARRANQUILLA")</f>
        <v>BARRANQUILLA</v>
      </c>
      <c r="D1042" s="15" t="str">
        <f>IFERROR(__xludf.DUMMYFUNCTION("""COMPUTED_VALUE"""),"BOGOTÁ")</f>
        <v>BOGOTÁ</v>
      </c>
      <c r="E1042" s="15" t="str">
        <f>IFERROR(__xludf.DUMMYFUNCTION("""COMPUTED_VALUE"""),"MAI ALIMENTOS S.A.S")</f>
        <v>MAI ALIMENTOS S.A.S</v>
      </c>
      <c r="F1042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1042" s="15" t="str">
        <f>IFERROR(__xludf.DUMMYFUNCTION("""COMPUTED_VALUE"""),"Fithub Barranquilla")</f>
        <v>Fithub Barranquilla</v>
      </c>
      <c r="H1042" s="16">
        <f>IFERROR(__xludf.DUMMYFUNCTION("""COMPUTED_VALUE"""),9562.0)</f>
        <v>9562</v>
      </c>
      <c r="I1042" s="18">
        <f>IFERROR(__xludf.DUMMYFUNCTION("""COMPUTED_VALUE"""),28.0)</f>
        <v>28</v>
      </c>
      <c r="J1042" s="18">
        <f>IFERROR(__xludf.DUMMYFUNCTION("""COMPUTED_VALUE"""),17.0)</f>
        <v>17</v>
      </c>
      <c r="K1042" s="18">
        <f>IFERROR(__xludf.DUMMYFUNCTION("""COMPUTED_VALUE"""),13.0)</f>
        <v>13</v>
      </c>
      <c r="L1042" s="17"/>
      <c r="M1042" s="17" t="str">
        <f>IFERROR(__xludf.DUMMYFUNCTION("""COMPUTED_VALUE"""),"#REF!")</f>
        <v>#REF!</v>
      </c>
      <c r="N1042" s="17"/>
      <c r="O1042" s="19" t="str">
        <f>IFERROR(__xludf.DUMMYFUNCTION("""COMPUTED_VALUE"""),"")</f>
        <v/>
      </c>
      <c r="P1042" s="17" t="b">
        <f>IFERROR(__xludf.DUMMYFUNCTION("""COMPUTED_VALUE"""),FALSE)</f>
        <v>0</v>
      </c>
      <c r="Q1042" s="20" t="str">
        <f>IFERROR(__xludf.DUMMYFUNCTION("""COMPUTED_VALUE"""),"")</f>
        <v/>
      </c>
      <c r="R1042" s="22" t="str">
        <f>IFERROR(__xludf.DUMMYFUNCTION("""COMPUTED_VALUE"""),"")</f>
        <v/>
      </c>
    </row>
    <row r="1043">
      <c r="A1043" s="15">
        <f>IFERROR(__xludf.DUMMYFUNCTION("""COMPUTED_VALUE"""),45030.0)</f>
        <v>45030</v>
      </c>
      <c r="B1043" s="16" t="str">
        <f>IFERROR(__xludf.DUMMYFUNCTION("""COMPUTED_VALUE"""),"Daniel José sandoval gonzalez")</f>
        <v>Daniel José sandoval gonzalez</v>
      </c>
      <c r="C1043" s="15" t="str">
        <f>IFERROR(__xludf.DUMMYFUNCTION("""COMPUTED_VALUE"""),"BARRANQUILLA")</f>
        <v>BARRANQUILLA</v>
      </c>
      <c r="D1043" s="15" t="str">
        <f>IFERROR(__xludf.DUMMYFUNCTION("""COMPUTED_VALUE"""),"BOGOTÁ")</f>
        <v>BOGOTÁ</v>
      </c>
      <c r="E1043" s="15" t="str">
        <f>IFERROR(__xludf.DUMMYFUNCTION("""COMPUTED_VALUE"""),"Pan de Waffle")</f>
        <v>Pan de Waffle</v>
      </c>
      <c r="F1043" s="17" t="str">
        <f>IFERROR(__xludf.DUMMYFUNCTION("""COMPUTED_VALUE"""),"CR 53 80 284 LC 8 / CR 53 80 284 LC 8 / CR 53 80 284 LC 8")</f>
        <v>CR 53 80 284 LC 8 / CR 53 80 284 LC 8 / CR 53 80 284 LC 8</v>
      </c>
      <c r="G1043" s="15" t="str">
        <f>IFERROR(__xludf.DUMMYFUNCTION("""COMPUTED_VALUE"""),"CORPOFIT")</f>
        <v>CORPOFIT</v>
      </c>
      <c r="H1043" s="16">
        <f>IFERROR(__xludf.DUMMYFUNCTION("""COMPUTED_VALUE"""),9662.0)</f>
        <v>9662</v>
      </c>
      <c r="I1043" s="18">
        <f>IFERROR(__xludf.DUMMYFUNCTION("""COMPUTED_VALUE"""),40.0)</f>
        <v>40</v>
      </c>
      <c r="J1043" s="18">
        <f>IFERROR(__xludf.DUMMYFUNCTION("""COMPUTED_VALUE"""),30.0)</f>
        <v>30</v>
      </c>
      <c r="K1043" s="18">
        <f>IFERROR(__xludf.DUMMYFUNCTION("""COMPUTED_VALUE"""),30.0)</f>
        <v>30</v>
      </c>
      <c r="L1043" s="17">
        <f>IFERROR(__xludf.DUMMYFUNCTION("""COMPUTED_VALUE"""),3.006125263E9)</f>
        <v>3006125263</v>
      </c>
      <c r="M1043" s="17" t="str">
        <f>IFERROR(__xludf.DUMMYFUNCTION("""COMPUTED_VALUE"""),"#REF!")</f>
        <v>#REF!</v>
      </c>
      <c r="N1043" s="17"/>
      <c r="O1043" s="19" t="str">
        <f>IFERROR(__xludf.DUMMYFUNCTION("""COMPUTED_VALUE"""),"")</f>
        <v/>
      </c>
      <c r="P1043" s="17" t="b">
        <f>IFERROR(__xludf.DUMMYFUNCTION("""COMPUTED_VALUE"""),FALSE)</f>
        <v>0</v>
      </c>
      <c r="Q1043" s="20" t="str">
        <f>IFERROR(__xludf.DUMMYFUNCTION("""COMPUTED_VALUE"""),"")</f>
        <v/>
      </c>
      <c r="R1043" s="22" t="str">
        <f>IFERROR(__xludf.DUMMYFUNCTION("""COMPUTED_VALUE"""),"")</f>
        <v/>
      </c>
    </row>
    <row r="1044">
      <c r="A1044" s="15">
        <f>IFERROR(__xludf.DUMMYFUNCTION("""COMPUTED_VALUE"""),45030.0)</f>
        <v>45030</v>
      </c>
      <c r="B1044" s="16" t="str">
        <f>IFERROR(__xludf.DUMMYFUNCTION("""COMPUTED_VALUE"""),"Daniel José sandoval gonzalez")</f>
        <v>Daniel José sandoval gonzalez</v>
      </c>
      <c r="C1044" s="15" t="str">
        <f>IFERROR(__xludf.DUMMYFUNCTION("""COMPUTED_VALUE"""),"BARRANQUILLA")</f>
        <v>BARRANQUILLA</v>
      </c>
      <c r="D1044" s="15" t="str">
        <f>IFERROR(__xludf.DUMMYFUNCTION("""COMPUTED_VALUE"""),"BOGOTÁ")</f>
        <v>BOGOTÁ</v>
      </c>
      <c r="E1044" s="15" t="str">
        <f>IFERROR(__xludf.DUMMYFUNCTION("""COMPUTED_VALUE"""),"Ser Fit")</f>
        <v>Ser Fit</v>
      </c>
      <c r="F1044" s="17" t="str">
        <f>IFERROR(__xludf.DUMMYFUNCTION("""COMPUTED_VALUE"""),"calle81  67-09  / APTO 5A / BARRIO PARAISO")</f>
        <v>calle81  67-09  / APTO 5A / BARRIO PARAISO</v>
      </c>
      <c r="G1044" s="15" t="str">
        <f>IFERROR(__xludf.DUMMYFUNCTION("""COMPUTED_VALUE"""),"angie ocampo")</f>
        <v>angie ocampo</v>
      </c>
      <c r="H1044" s="16">
        <f>IFERROR(__xludf.DUMMYFUNCTION("""COMPUTED_VALUE"""),9685.0)</f>
        <v>9685</v>
      </c>
      <c r="I1044" s="18">
        <f>IFERROR(__xludf.DUMMYFUNCTION("""COMPUTED_VALUE"""),12.0)</f>
        <v>12</v>
      </c>
      <c r="J1044" s="18">
        <f>IFERROR(__xludf.DUMMYFUNCTION("""COMPUTED_VALUE"""),12.0)</f>
        <v>12</v>
      </c>
      <c r="K1044" s="18">
        <f>IFERROR(__xludf.DUMMYFUNCTION("""COMPUTED_VALUE"""),12.0)</f>
        <v>12</v>
      </c>
      <c r="L1044" s="17">
        <f>IFERROR(__xludf.DUMMYFUNCTION("""COMPUTED_VALUE"""),3.114855592E9)</f>
        <v>3114855592</v>
      </c>
      <c r="M1044" s="17" t="str">
        <f>IFERROR(__xludf.DUMMYFUNCTION("""COMPUTED_VALUE"""),"#REF!")</f>
        <v>#REF!</v>
      </c>
      <c r="N1044" s="17"/>
      <c r="O1044" s="19" t="str">
        <f>IFERROR(__xludf.DUMMYFUNCTION("""COMPUTED_VALUE"""),"")</f>
        <v/>
      </c>
      <c r="P1044" s="17" t="b">
        <f>IFERROR(__xludf.DUMMYFUNCTION("""COMPUTED_VALUE"""),FALSE)</f>
        <v>0</v>
      </c>
      <c r="Q1044" s="20" t="str">
        <f>IFERROR(__xludf.DUMMYFUNCTION("""COMPUTED_VALUE"""),"")</f>
        <v/>
      </c>
      <c r="R1044" s="22" t="str">
        <f>IFERROR(__xludf.DUMMYFUNCTION("""COMPUTED_VALUE"""),"")</f>
        <v/>
      </c>
    </row>
    <row r="1045">
      <c r="A1045" s="15">
        <f>IFERROR(__xludf.DUMMYFUNCTION("""COMPUTED_VALUE"""),45030.0)</f>
        <v>45030</v>
      </c>
      <c r="B1045" s="16" t="str">
        <f>IFERROR(__xludf.DUMMYFUNCTION("""COMPUTED_VALUE"""),"Daniel José sandoval gonzalez")</f>
        <v>Daniel José sandoval gonzalez</v>
      </c>
      <c r="C1045" s="15" t="str">
        <f>IFERROR(__xludf.DUMMYFUNCTION("""COMPUTED_VALUE"""),"BARRANQUILLA")</f>
        <v>BARRANQUILLA</v>
      </c>
      <c r="D1045" s="15" t="str">
        <f>IFERROR(__xludf.DUMMYFUNCTION("""COMPUTED_VALUE"""),"BOGOTÁ")</f>
        <v>BOGOTÁ</v>
      </c>
      <c r="E1045" s="15" t="str">
        <f>IFERROR(__xludf.DUMMYFUNCTION("""COMPUTED_VALUE"""),"Top Spun")</f>
        <v>Top Spun</v>
      </c>
      <c r="F1045" s="17" t="str">
        <f>IFERROR(__xludf.DUMMYFUNCTION("""COMPUTED_VALUE"""),"cra 51 b # 96 - 43 /  cra 51 b # 96 - 43 / Barranquilla, Colombia")</f>
        <v>cra 51 b # 96 - 43 /  cra 51 b # 96 - 43 / Barranquilla, Colombia</v>
      </c>
      <c r="G1045" s="15" t="str">
        <f>IFERROR(__xludf.DUMMYFUNCTION("""COMPUTED_VALUE"""),"Johanna Esteban")</f>
        <v>Johanna Esteban</v>
      </c>
      <c r="H1045" s="16">
        <f>IFERROR(__xludf.DUMMYFUNCTION("""COMPUTED_VALUE"""),9641.0)</f>
        <v>9641</v>
      </c>
      <c r="I1045" s="18">
        <f>IFERROR(__xludf.DUMMYFUNCTION("""COMPUTED_VALUE"""),20.0)</f>
        <v>20</v>
      </c>
      <c r="J1045" s="18">
        <f>IFERROR(__xludf.DUMMYFUNCTION("""COMPUTED_VALUE"""),10.0)</f>
        <v>10</v>
      </c>
      <c r="K1045" s="18">
        <f>IFERROR(__xludf.DUMMYFUNCTION("""COMPUTED_VALUE"""),40.0)</f>
        <v>40</v>
      </c>
      <c r="L1045" s="17">
        <f>IFERROR(__xludf.DUMMYFUNCTION("""COMPUTED_VALUE"""),3.008004375E9)</f>
        <v>3008004375</v>
      </c>
      <c r="M1045" s="17" t="str">
        <f>IFERROR(__xludf.DUMMYFUNCTION("""COMPUTED_VALUE"""),"#REF!")</f>
        <v>#REF!</v>
      </c>
      <c r="N1045" s="17"/>
      <c r="O1045" s="19" t="str">
        <f>IFERROR(__xludf.DUMMYFUNCTION("""COMPUTED_VALUE"""),"")</f>
        <v/>
      </c>
      <c r="P1045" s="17" t="b">
        <f>IFERROR(__xludf.DUMMYFUNCTION("""COMPUTED_VALUE"""),FALSE)</f>
        <v>0</v>
      </c>
      <c r="Q1045" s="20" t="str">
        <f>IFERROR(__xludf.DUMMYFUNCTION("""COMPUTED_VALUE"""),"")</f>
        <v/>
      </c>
      <c r="R1045" s="22" t="str">
        <f>IFERROR(__xludf.DUMMYFUNCTION("""COMPUTED_VALUE"""),"")</f>
        <v/>
      </c>
    </row>
    <row r="1046">
      <c r="A1046" s="15">
        <f>IFERROR(__xludf.DUMMYFUNCTION("""COMPUTED_VALUE"""),45030.0)</f>
        <v>45030</v>
      </c>
      <c r="B1046" s="16" t="str">
        <f>IFERROR(__xludf.DUMMYFUNCTION("""COMPUTED_VALUE"""),"Daniel José sandoval gonzalez")</f>
        <v>Daniel José sandoval gonzalez</v>
      </c>
      <c r="C1046" s="15" t="str">
        <f>IFERROR(__xludf.DUMMYFUNCTION("""COMPUTED_VALUE"""),"BARRANQUILLA")</f>
        <v>BARRANQUILLA</v>
      </c>
      <c r="D1046" s="15" t="str">
        <f>IFERROR(__xludf.DUMMYFUNCTION("""COMPUTED_VALUE"""),"BOGOTÁ")</f>
        <v>BOGOTÁ</v>
      </c>
      <c r="E1046" s="15" t="str">
        <f>IFERROR(__xludf.DUMMYFUNCTION("""COMPUTED_VALUE"""),"Ventura Productos Arg")</f>
        <v>Ventura Productos Arg</v>
      </c>
      <c r="F1046" s="17" t="str">
        <f>IFERROR(__xludf.DUMMYFUNCTION("""COMPUTED_VALUE"""),"Cra 51b #79-296, local 4-5, Cafe el Diario / Cafe El Diario")</f>
        <v>Cra 51b #79-296, local 4-5, Cafe el Diario / Cafe El Diario</v>
      </c>
      <c r="G1046" s="15" t="str">
        <f>IFERROR(__xludf.DUMMYFUNCTION("""COMPUTED_VALUE"""),"Felipe Martinez")</f>
        <v>Felipe Martinez</v>
      </c>
      <c r="H1046" s="16">
        <f>IFERROR(__xludf.DUMMYFUNCTION("""COMPUTED_VALUE"""),9574.0)</f>
        <v>9574</v>
      </c>
      <c r="I1046" s="18">
        <f>IFERROR(__xludf.DUMMYFUNCTION("""COMPUTED_VALUE"""),12.0)</f>
        <v>12</v>
      </c>
      <c r="J1046" s="18">
        <f>IFERROR(__xludf.DUMMYFUNCTION("""COMPUTED_VALUE"""),30.0)</f>
        <v>30</v>
      </c>
      <c r="K1046" s="18">
        <f>IFERROR(__xludf.DUMMYFUNCTION("""COMPUTED_VALUE"""),29.0)</f>
        <v>29</v>
      </c>
      <c r="L1046" s="17" t="str">
        <f>IFERROR(__xludf.DUMMYFUNCTION("""COMPUTED_VALUE"""),"301 336 6074")</f>
        <v>301 336 6074</v>
      </c>
      <c r="M1046" s="17" t="str">
        <f>IFERROR(__xludf.DUMMYFUNCTION("""COMPUTED_VALUE"""),"#REF!")</f>
        <v>#REF!</v>
      </c>
      <c r="N1046" s="17"/>
      <c r="O1046" s="19" t="str">
        <f>IFERROR(__xludf.DUMMYFUNCTION("""COMPUTED_VALUE"""),"")</f>
        <v/>
      </c>
      <c r="P1046" s="17" t="b">
        <f>IFERROR(__xludf.DUMMYFUNCTION("""COMPUTED_VALUE"""),FALSE)</f>
        <v>0</v>
      </c>
      <c r="Q1046" s="20" t="str">
        <f>IFERROR(__xludf.DUMMYFUNCTION("""COMPUTED_VALUE"""),"")</f>
        <v/>
      </c>
      <c r="R1046" s="22" t="str">
        <f>IFERROR(__xludf.DUMMYFUNCTION("""COMPUTED_VALUE"""),"")</f>
        <v/>
      </c>
    </row>
    <row r="1047">
      <c r="A1047" s="15">
        <f>IFERROR(__xludf.DUMMYFUNCTION("""COMPUTED_VALUE"""),45030.0)</f>
        <v>45030</v>
      </c>
      <c r="B1047" s="16" t="str">
        <f>IFERROR(__xludf.DUMMYFUNCTION("""COMPUTED_VALUE"""),"Daniel José sandoval gonzalez")</f>
        <v>Daniel José sandoval gonzalez</v>
      </c>
      <c r="C1047" s="15" t="str">
        <f>IFERROR(__xludf.DUMMYFUNCTION("""COMPUTED_VALUE"""),"BARRANQUILLA")</f>
        <v>BARRANQUILLA</v>
      </c>
      <c r="D1047" s="15" t="str">
        <f>IFERROR(__xludf.DUMMYFUNCTION("""COMPUTED_VALUE"""),"MEDELLÍN")</f>
        <v>MEDELLÍN</v>
      </c>
      <c r="E1047" s="15" t="str">
        <f>IFERROR(__xludf.DUMMYFUNCTION("""COMPUTED_VALUE"""),"AREPAS LA MARY")</f>
        <v>AREPAS LA MARY</v>
      </c>
      <c r="F1047" s="17" t="str">
        <f>IFERROR(__xludf.DUMMYFUNCTION("""COMPUTED_VALUE"""),"calle 133 # 22 -356 avenida las dunas / cilla campestre conjunto riviera club house casa 5")</f>
        <v>calle 133 # 22 -356 avenida las dunas / cilla campestre conjunto riviera club house casa 5</v>
      </c>
      <c r="G1047" s="15" t="str">
        <f>IFERROR(__xludf.DUMMYFUNCTION("""COMPUTED_VALUE"""),"marilia aycardi")</f>
        <v>marilia aycardi</v>
      </c>
      <c r="H1047" s="16">
        <f>IFERROR(__xludf.DUMMYFUNCTION("""COMPUTED_VALUE"""),9679.0)</f>
        <v>9679</v>
      </c>
      <c r="I1047" s="18">
        <f>IFERROR(__xludf.DUMMYFUNCTION("""COMPUTED_VALUE"""),89.0)</f>
        <v>89</v>
      </c>
      <c r="J1047" s="18">
        <f>IFERROR(__xludf.DUMMYFUNCTION("""COMPUTED_VALUE"""),1.0)</f>
        <v>1</v>
      </c>
      <c r="K1047" s="18">
        <f>IFERROR(__xludf.DUMMYFUNCTION("""COMPUTED_VALUE"""),10.0)</f>
        <v>10</v>
      </c>
      <c r="L1047" s="17">
        <f>IFERROR(__xludf.DUMMYFUNCTION("""COMPUTED_VALUE"""),3.106317352E9)</f>
        <v>3106317352</v>
      </c>
      <c r="M1047" s="17" t="str">
        <f>IFERROR(__xludf.DUMMYFUNCTION("""COMPUTED_VALUE"""),"#REF!")</f>
        <v>#REF!</v>
      </c>
      <c r="N1047" s="17"/>
      <c r="O1047" s="19" t="str">
        <f>IFERROR(__xludf.DUMMYFUNCTION("""COMPUTED_VALUE"""),"")</f>
        <v/>
      </c>
      <c r="P1047" s="17" t="b">
        <f>IFERROR(__xludf.DUMMYFUNCTION("""COMPUTED_VALUE"""),FALSE)</f>
        <v>0</v>
      </c>
      <c r="Q1047" s="20" t="str">
        <f>IFERROR(__xludf.DUMMYFUNCTION("""COMPUTED_VALUE"""),"")</f>
        <v/>
      </c>
      <c r="R1047" s="22" t="str">
        <f>IFERROR(__xludf.DUMMYFUNCTION("""COMPUTED_VALUE"""),"")</f>
        <v/>
      </c>
    </row>
    <row r="1048">
      <c r="A1048" s="15">
        <f>IFERROR(__xludf.DUMMYFUNCTION("""COMPUTED_VALUE"""),45030.0)</f>
        <v>45030</v>
      </c>
      <c r="B1048" s="16" t="str">
        <f>IFERROR(__xludf.DUMMYFUNCTION("""COMPUTED_VALUE"""),"Daniel José sandoval gonzalez")</f>
        <v>Daniel José sandoval gonzalez</v>
      </c>
      <c r="C1048" s="15" t="str">
        <f>IFERROR(__xludf.DUMMYFUNCTION("""COMPUTED_VALUE"""),"BARRANQUILLA")</f>
        <v>BARRANQUILLA</v>
      </c>
      <c r="D1048" s="15" t="str">
        <f>IFERROR(__xludf.DUMMYFUNCTION("""COMPUTED_VALUE"""),"MEDELLÍN")</f>
        <v>MEDELLÍN</v>
      </c>
      <c r="E1048" s="15" t="str">
        <f>IFERROR(__xludf.DUMMYFUNCTION("""COMPUTED_VALUE"""),"Baby Chef")</f>
        <v>Baby Chef</v>
      </c>
      <c r="F1048" s="17" t="str">
        <f>IFERROR(__xludf.DUMMYFUNCTION("""COMPUTED_VALUE"""),"Calle 117 #42 189 alameda del rio Torre 4 apartamento 201 cojunto canario / Calle 117 #42 189 alameda del rio Torre 4 apartamento 201 cojunto canario / Calle 117 #42 189 alameda del rio Torre 4 apartamento 201 cojunto canario")</f>
        <v>Calle 117 #42 189 alameda del rio Torre 4 apartamento 201 cojunto canario / Calle 117 #42 189 alameda del rio Torre 4 apartamento 201 cojunto canario / Calle 117 #42 189 alameda del rio Torre 4 apartamento 201 cojunto canario</v>
      </c>
      <c r="G1048" s="15" t="str">
        <f>IFERROR(__xludf.DUMMYFUNCTION("""COMPUTED_VALUE"""),"Yuri  Romero")</f>
        <v>Yuri  Romero</v>
      </c>
      <c r="H1048" s="16">
        <f>IFERROR(__xludf.DUMMYFUNCTION("""COMPUTED_VALUE"""),9627.0)</f>
        <v>9627</v>
      </c>
      <c r="I1048" s="18">
        <f>IFERROR(__xludf.DUMMYFUNCTION("""COMPUTED_VALUE"""),8.0)</f>
        <v>8</v>
      </c>
      <c r="J1048" s="18">
        <f>IFERROR(__xludf.DUMMYFUNCTION("""COMPUTED_VALUE"""),16.0)</f>
        <v>16</v>
      </c>
      <c r="K1048" s="18">
        <f>IFERROR(__xludf.DUMMYFUNCTION("""COMPUTED_VALUE"""),20.0)</f>
        <v>20</v>
      </c>
      <c r="L1048" s="17">
        <f>IFERROR(__xludf.DUMMYFUNCTION("""COMPUTED_VALUE"""),3.212688581E9)</f>
        <v>3212688581</v>
      </c>
      <c r="M1048" s="17" t="str">
        <f>IFERROR(__xludf.DUMMYFUNCTION("""COMPUTED_VALUE"""),"#REF!")</f>
        <v>#REF!</v>
      </c>
      <c r="N1048" s="17"/>
      <c r="O1048" s="19" t="str">
        <f>IFERROR(__xludf.DUMMYFUNCTION("""COMPUTED_VALUE"""),"")</f>
        <v/>
      </c>
      <c r="P1048" s="17" t="b">
        <f>IFERROR(__xludf.DUMMYFUNCTION("""COMPUTED_VALUE"""),FALSE)</f>
        <v>0</v>
      </c>
      <c r="Q1048" s="20" t="str">
        <f>IFERROR(__xludf.DUMMYFUNCTION("""COMPUTED_VALUE"""),"")</f>
        <v/>
      </c>
      <c r="R1048" s="22" t="str">
        <f>IFERROR(__xludf.DUMMYFUNCTION("""COMPUTED_VALUE"""),"")</f>
        <v/>
      </c>
    </row>
    <row r="1049">
      <c r="A1049" s="15">
        <f>IFERROR(__xludf.DUMMYFUNCTION("""COMPUTED_VALUE"""),45030.0)</f>
        <v>45030</v>
      </c>
      <c r="B1049" s="16" t="str">
        <f>IFERROR(__xludf.DUMMYFUNCTION("""COMPUTED_VALUE"""),"Daniel José sandoval gonzalez")</f>
        <v>Daniel José sandoval gonzalez</v>
      </c>
      <c r="C1049" s="15" t="str">
        <f>IFERROR(__xludf.DUMMYFUNCTION("""COMPUTED_VALUE"""),"BARRANQUILLA")</f>
        <v>BARRANQUILLA</v>
      </c>
      <c r="D1049" s="15" t="str">
        <f>IFERROR(__xludf.DUMMYFUNCTION("""COMPUTED_VALUE"""),"MEDELLÍN")</f>
        <v>MEDELLÍN</v>
      </c>
      <c r="E1049" s="15" t="str">
        <f>IFERROR(__xludf.DUMMYFUNCTION("""COMPUTED_VALUE"""),"Baby Chef")</f>
        <v>Baby Chef</v>
      </c>
      <c r="F1049" s="17" t="str">
        <f>IFERROR(__xludf.DUMMYFUNCTION("""COMPUTED_VALUE"""),"Calle 99c # 43 -150 edificio tarragona 902d / Calle 99c # 43 -150 edificio tarragona 902d / Calle 99c # 43 -150 edificio tarragona 902d")</f>
        <v>Calle 99c # 43 -150 edificio tarragona 902d / Calle 99c # 43 -150 edificio tarragona 902d / Calle 99c # 43 -150 edificio tarragona 902d</v>
      </c>
      <c r="G1049" s="15" t="str">
        <f>IFERROR(__xludf.DUMMYFUNCTION("""COMPUTED_VALUE"""),"Karina  Blanco")</f>
        <v>Karina  Blanco</v>
      </c>
      <c r="H1049" s="16">
        <f>IFERROR(__xludf.DUMMYFUNCTION("""COMPUTED_VALUE"""),9626.0)</f>
        <v>9626</v>
      </c>
      <c r="I1049" s="18">
        <f>IFERROR(__xludf.DUMMYFUNCTION("""COMPUTED_VALUE"""),8.0)</f>
        <v>8</v>
      </c>
      <c r="J1049" s="18">
        <f>IFERROR(__xludf.DUMMYFUNCTION("""COMPUTED_VALUE"""),16.0)</f>
        <v>16</v>
      </c>
      <c r="K1049" s="18">
        <f>IFERROR(__xludf.DUMMYFUNCTION("""COMPUTED_VALUE"""),20.0)</f>
        <v>20</v>
      </c>
      <c r="L1049" s="17">
        <f>IFERROR(__xludf.DUMMYFUNCTION("""COMPUTED_VALUE"""),3.212951135E9)</f>
        <v>3212951135</v>
      </c>
      <c r="M1049" s="17" t="str">
        <f>IFERROR(__xludf.DUMMYFUNCTION("""COMPUTED_VALUE"""),"#REF!")</f>
        <v>#REF!</v>
      </c>
      <c r="N1049" s="17"/>
      <c r="O1049" s="19" t="str">
        <f>IFERROR(__xludf.DUMMYFUNCTION("""COMPUTED_VALUE"""),"")</f>
        <v/>
      </c>
      <c r="P1049" s="17" t="b">
        <f>IFERROR(__xludf.DUMMYFUNCTION("""COMPUTED_VALUE"""),FALSE)</f>
        <v>0</v>
      </c>
      <c r="Q1049" s="20" t="str">
        <f>IFERROR(__xludf.DUMMYFUNCTION("""COMPUTED_VALUE"""),"")</f>
        <v/>
      </c>
      <c r="R1049" s="22" t="str">
        <f>IFERROR(__xludf.DUMMYFUNCTION("""COMPUTED_VALUE"""),"")</f>
        <v/>
      </c>
    </row>
    <row r="1050">
      <c r="A1050" s="15">
        <f>IFERROR(__xludf.DUMMYFUNCTION("""COMPUTED_VALUE"""),45030.0)</f>
        <v>45030</v>
      </c>
      <c r="B1050" s="16" t="str">
        <f>IFERROR(__xludf.DUMMYFUNCTION("""COMPUTED_VALUE"""),"Daniel José sandoval gonzalez")</f>
        <v>Daniel José sandoval gonzalez</v>
      </c>
      <c r="C1050" s="15" t="str">
        <f>IFERROR(__xludf.DUMMYFUNCTION("""COMPUTED_VALUE"""),"MEDELLÍN")</f>
        <v>MEDELLÍN</v>
      </c>
      <c r="D1050" s="15" t="str">
        <f>IFERROR(__xludf.DUMMYFUNCTION("""COMPUTED_VALUE"""),"BOGOTÁ")</f>
        <v>BOGOTÁ</v>
      </c>
      <c r="E1050" s="15" t="str">
        <f>IFERROR(__xludf.DUMMYFUNCTION("""COMPUTED_VALUE"""),"Mochi")</f>
        <v>Mochi</v>
      </c>
      <c r="F1050" s="17" t="str">
        <f>IFERROR(__xludf.DUMMYFUNCTION("""COMPUTED_VALUE"""),"centro comercial Viva Envigado / Viva Envigado / Viva envigado")</f>
        <v>centro comercial Viva Envigado / Viva Envigado / Viva envigado</v>
      </c>
      <c r="G1050" s="15" t="str">
        <f>IFERROR(__xludf.DUMMYFUNCTION("""COMPUTED_VALUE"""),"Harol Alvares")</f>
        <v>Harol Alvares</v>
      </c>
      <c r="H1050" s="16">
        <f>IFERROR(__xludf.DUMMYFUNCTION("""COMPUTED_VALUE"""),9716.0)</f>
        <v>9716</v>
      </c>
      <c r="I1050" s="18">
        <f>IFERROR(__xludf.DUMMYFUNCTION("""COMPUTED_VALUE"""),220.0)</f>
        <v>220</v>
      </c>
      <c r="J1050" s="18">
        <f>IFERROR(__xludf.DUMMYFUNCTION("""COMPUTED_VALUE"""),45.0)</f>
        <v>45</v>
      </c>
      <c r="K1050" s="18" t="str">
        <f>IFERROR(__xludf.DUMMYFUNCTION("""COMPUTED_VALUE"""),"52.5")</f>
        <v>52.5</v>
      </c>
      <c r="L1050" s="17">
        <f>IFERROR(__xludf.DUMMYFUNCTION("""COMPUTED_VALUE"""),3.023915096E9)</f>
        <v>3023915096</v>
      </c>
      <c r="M1050" s="17" t="str">
        <f>IFERROR(__xludf.DUMMYFUNCTION("""COMPUTED_VALUE"""),"#REF!")</f>
        <v>#REF!</v>
      </c>
      <c r="N1050" s="17"/>
      <c r="O1050" s="19" t="str">
        <f>IFERROR(__xludf.DUMMYFUNCTION("""COMPUTED_VALUE"""),"")</f>
        <v/>
      </c>
      <c r="P1050" s="17" t="b">
        <f>IFERROR(__xludf.DUMMYFUNCTION("""COMPUTED_VALUE"""),FALSE)</f>
        <v>0</v>
      </c>
      <c r="Q1050" s="20" t="str">
        <f>IFERROR(__xludf.DUMMYFUNCTION("""COMPUTED_VALUE"""),"")</f>
        <v/>
      </c>
      <c r="R1050" s="22" t="str">
        <f>IFERROR(__xludf.DUMMYFUNCTION("""COMPUTED_VALUE"""),"")</f>
        <v/>
      </c>
    </row>
    <row r="1051">
      <c r="A1051" s="15">
        <f>IFERROR(__xludf.DUMMYFUNCTION("""COMPUTED_VALUE"""),45030.0)</f>
        <v>45030</v>
      </c>
      <c r="B1051" s="16" t="str">
        <f>IFERROR(__xludf.DUMMYFUNCTION("""COMPUTED_VALUE"""),"Daniel José sandoval gonzalez")</f>
        <v>Daniel José sandoval gonzalez</v>
      </c>
      <c r="C1051" s="15" t="str">
        <f>IFERROR(__xludf.DUMMYFUNCTION("""COMPUTED_VALUE"""),"MEDELLÍN")</f>
        <v>MEDELLÍN</v>
      </c>
      <c r="D1051" s="15" t="str">
        <f>IFERROR(__xludf.DUMMYFUNCTION("""COMPUTED_VALUE"""),"BOGOTÁ")</f>
        <v>BOGOTÁ</v>
      </c>
      <c r="E1051" s="15" t="str">
        <f>IFERROR(__xludf.DUMMYFUNCTION("""COMPUTED_VALUE"""),"Renata")</f>
        <v>Renata</v>
      </c>
      <c r="F1051" s="17" t="str">
        <f>IFERROR(__xludf.DUMMYFUNCTION("""COMPUTED_VALUE"""),"Carrera 32d#9- 43 / Seline y cowork -restaurante  / Provenza")</f>
        <v>Carrera 32d#9- 43 / Seline y cowork -restaurante  / Provenza</v>
      </c>
      <c r="G1051" s="15" t="str">
        <f>IFERROR(__xludf.DUMMYFUNCTION("""COMPUTED_VALUE"""),"Front y back Hospitality group")</f>
        <v>Front y back Hospitality group</v>
      </c>
      <c r="H1051" s="16">
        <f>IFERROR(__xludf.DUMMYFUNCTION("""COMPUTED_VALUE"""),9711.0)</f>
        <v>9711</v>
      </c>
      <c r="I1051" s="18">
        <f>IFERROR(__xludf.DUMMYFUNCTION("""COMPUTED_VALUE"""),90.0)</f>
        <v>90</v>
      </c>
      <c r="J1051" s="18">
        <f>IFERROR(__xludf.DUMMYFUNCTION("""COMPUTED_VALUE"""),70.0)</f>
        <v>70</v>
      </c>
      <c r="K1051" s="18">
        <f>IFERROR(__xludf.DUMMYFUNCTION("""COMPUTED_VALUE"""),60.0)</f>
        <v>60</v>
      </c>
      <c r="L1051" s="17">
        <f>IFERROR(__xludf.DUMMYFUNCTION("""COMPUTED_VALUE"""),3.104047368E9)</f>
        <v>3104047368</v>
      </c>
      <c r="M1051" s="17" t="str">
        <f>IFERROR(__xludf.DUMMYFUNCTION("""COMPUTED_VALUE"""),"#REF!")</f>
        <v>#REF!</v>
      </c>
      <c r="N1051" s="17"/>
      <c r="O1051" s="19" t="str">
        <f>IFERROR(__xludf.DUMMYFUNCTION("""COMPUTED_VALUE"""),"")</f>
        <v/>
      </c>
      <c r="P1051" s="17" t="b">
        <f>IFERROR(__xludf.DUMMYFUNCTION("""COMPUTED_VALUE"""),FALSE)</f>
        <v>0</v>
      </c>
      <c r="Q1051" s="20" t="str">
        <f>IFERROR(__xludf.DUMMYFUNCTION("""COMPUTED_VALUE"""),"")</f>
        <v/>
      </c>
      <c r="R1051" s="22" t="str">
        <f>IFERROR(__xludf.DUMMYFUNCTION("""COMPUTED_VALUE"""),"")</f>
        <v/>
      </c>
    </row>
    <row r="1052">
      <c r="A1052" s="17" t="str">
        <f>IFERROR(__xludf.DUMMYFUNCTION("""COMPUTED_VALUE"""),"")</f>
        <v/>
      </c>
      <c r="B1052" s="17" t="str">
        <f>IFERROR(__xludf.DUMMYFUNCTION("""COMPUTED_VALUE"""),"")</f>
        <v/>
      </c>
      <c r="C1052" s="17" t="str">
        <f>IFERROR(__xludf.DUMMYFUNCTION("""COMPUTED_VALUE"""),"")</f>
        <v/>
      </c>
      <c r="D1052" s="17" t="str">
        <f>IFERROR(__xludf.DUMMYFUNCTION("""COMPUTED_VALUE"""),"")</f>
        <v/>
      </c>
      <c r="E1052" s="17" t="str">
        <f>IFERROR(__xludf.DUMMYFUNCTION("""COMPUTED_VALUE"""),"")</f>
        <v/>
      </c>
      <c r="F1052" s="17" t="str">
        <f>IFERROR(__xludf.DUMMYFUNCTION("""COMPUTED_VALUE"""),"")</f>
        <v/>
      </c>
      <c r="G1052" s="17" t="str">
        <f>IFERROR(__xludf.DUMMYFUNCTION("""COMPUTED_VALUE"""),"")</f>
        <v/>
      </c>
      <c r="H1052" s="17" t="str">
        <f>IFERROR(__xludf.DUMMYFUNCTION("""COMPUTED_VALUE"""),"")</f>
        <v/>
      </c>
      <c r="I1052" s="17" t="str">
        <f>IFERROR(__xludf.DUMMYFUNCTION("""COMPUTED_VALUE"""),"")</f>
        <v/>
      </c>
      <c r="J1052" s="17" t="str">
        <f>IFERROR(__xludf.DUMMYFUNCTION("""COMPUTED_VALUE"""),"")</f>
        <v/>
      </c>
      <c r="K1052" s="17" t="str">
        <f>IFERROR(__xludf.DUMMYFUNCTION("""COMPUTED_VALUE"""),"")</f>
        <v/>
      </c>
      <c r="L1052" s="17" t="str">
        <f>IFERROR(__xludf.DUMMYFUNCTION("""COMPUTED_VALUE"""),"")</f>
        <v/>
      </c>
      <c r="M1052" s="17" t="str">
        <f>IFERROR(__xludf.DUMMYFUNCTION("""COMPUTED_VALUE"""),"")</f>
        <v/>
      </c>
      <c r="N1052" s="17" t="str">
        <f>IFERROR(__xludf.DUMMYFUNCTION("""COMPUTED_VALUE"""),"")</f>
        <v/>
      </c>
      <c r="O1052" s="17" t="str">
        <f>IFERROR(__xludf.DUMMYFUNCTION("""COMPUTED_VALUE"""),"")</f>
        <v/>
      </c>
      <c r="P1052" s="17" t="str">
        <f>IFERROR(__xludf.DUMMYFUNCTION("""COMPUTED_VALUE"""),"")</f>
        <v/>
      </c>
      <c r="Q1052" s="17" t="str">
        <f>IFERROR(__xludf.DUMMYFUNCTION("""COMPUTED_VALUE"""),"")</f>
        <v/>
      </c>
      <c r="R1052" s="17" t="str">
        <f>IFERROR(__xludf.DUMMYFUNCTION("""COMPUTED_VALUE"""),"")</f>
        <v/>
      </c>
    </row>
    <row r="1053">
      <c r="A1053" s="15">
        <f>IFERROR(__xludf.DUMMYFUNCTION("""COMPUTED_VALUE"""),45030.0)</f>
        <v>45030</v>
      </c>
      <c r="B1053" s="16" t="str">
        <f>IFERROR(__xludf.DUMMYFUNCTION("""COMPUTED_VALUE"""),"Envia")</f>
        <v>Envia</v>
      </c>
      <c r="C1053" s="15" t="str">
        <f>IFERROR(__xludf.DUMMYFUNCTION("""COMPUTED_VALUE"""),"BARRANQUILLA")</f>
        <v>BARRANQUILLA</v>
      </c>
      <c r="D1053" s="15" t="str">
        <f>IFERROR(__xludf.DUMMYFUNCTION("""COMPUTED_VALUE"""),"BOGOTÁ")</f>
        <v>BOGOTÁ</v>
      </c>
      <c r="E1053" s="15" t="str">
        <f>IFERROR(__xludf.DUMMYFUNCTION("""COMPUTED_VALUE"""),"Frambascolombia sas")</f>
        <v>Frambascolombia sas</v>
      </c>
      <c r="F1053" s="17" t="str">
        <f>IFERROR(__xludf.DUMMYFUNCTION("""COMPUTED_VALUE"""),"Cra. 53 # 80-284 local 1 / local 1 Centro comercial Aranjuez")</f>
        <v>Cra. 53 # 80-284 local 1 / local 1 Centro comercial Aranjuez</v>
      </c>
      <c r="G1053" s="15" t="str">
        <f>IFERROR(__xludf.DUMMYFUNCTION("""COMPUTED_VALUE"""),"PikNPak Barranquilla")</f>
        <v>PikNPak Barranquilla</v>
      </c>
      <c r="H1053" s="16">
        <f>IFERROR(__xludf.DUMMYFUNCTION("""COMPUTED_VALUE"""),9633.0)</f>
        <v>9633</v>
      </c>
      <c r="I1053" s="18">
        <f>IFERROR(__xludf.DUMMYFUNCTION("""COMPUTED_VALUE"""),11.0)</f>
        <v>11</v>
      </c>
      <c r="J1053" s="18">
        <f>IFERROR(__xludf.DUMMYFUNCTION("""COMPUTED_VALUE"""),9.0)</f>
        <v>9</v>
      </c>
      <c r="K1053" s="18">
        <f>IFERROR(__xludf.DUMMYFUNCTION("""COMPUTED_VALUE"""),9.0)</f>
        <v>9</v>
      </c>
      <c r="L1053" s="17" t="str">
        <f>IFERROR(__xludf.DUMMYFUNCTION("""COMPUTED_VALUE"""),"321 4229567")</f>
        <v>321 4229567</v>
      </c>
      <c r="M1053" s="17" t="str">
        <f>IFERROR(__xludf.DUMMYFUNCTION("""COMPUTED_VALUE"""),"#REF!")</f>
        <v>#REF!</v>
      </c>
      <c r="N1053" s="17"/>
      <c r="O1053" s="19" t="str">
        <f>IFERROR(__xludf.DUMMYFUNCTION("""COMPUTED_VALUE"""),"")</f>
        <v/>
      </c>
      <c r="P1053" s="17" t="b">
        <f>IFERROR(__xludf.DUMMYFUNCTION("""COMPUTED_VALUE"""),FALSE)</f>
        <v>0</v>
      </c>
      <c r="Q1053" s="20" t="str">
        <f>IFERROR(__xludf.DUMMYFUNCTION("""COMPUTED_VALUE"""),"")</f>
        <v/>
      </c>
      <c r="R1053" s="22" t="str">
        <f>IFERROR(__xludf.DUMMYFUNCTION("""COMPUTED_VALUE"""),"")</f>
        <v/>
      </c>
    </row>
    <row r="1054">
      <c r="A1054" s="15">
        <f>IFERROR(__xludf.DUMMYFUNCTION("""COMPUTED_VALUE"""),45030.0)</f>
        <v>45030</v>
      </c>
      <c r="B1054" s="16" t="str">
        <f>IFERROR(__xludf.DUMMYFUNCTION("""COMPUTED_VALUE"""),"Envia")</f>
        <v>Envia</v>
      </c>
      <c r="C1054" s="15" t="str">
        <f>IFERROR(__xludf.DUMMYFUNCTION("""COMPUTED_VALUE"""),"BARRANQUILLA")</f>
        <v>BARRANQUILLA</v>
      </c>
      <c r="D1054" s="15" t="str">
        <f>IFERROR(__xludf.DUMMYFUNCTION("""COMPUTED_VALUE"""),"MEDELLÍN")</f>
        <v>MEDELLÍN</v>
      </c>
      <c r="E1054" s="15" t="str">
        <f>IFERROR(__xludf.DUMMYFUNCTION("""COMPUTED_VALUE"""),"Baby Chef")</f>
        <v>Baby Chef</v>
      </c>
      <c r="F1054" s="17" t="str">
        <f>IFERROR(__xludf.DUMMYFUNCTION("""COMPUTED_VALUE"""),"Cra 65 No 99-109  Altos de limonar  Conjunto central garden  Apto 213 / Cra 65 No 99-109  Altos de limonar  Conjunto central garden  Apto 213 / Cra 65 No 99-109  Altos de limonar  Conjunto central garden  Apto 213")</f>
        <v>Cra 65 No 99-109  Altos de limonar  Conjunto central garden  Apto 213 / Cra 65 No 99-109  Altos de limonar  Conjunto central garden  Apto 213 / Cra 65 No 99-109  Altos de limonar  Conjunto central garden  Apto 213</v>
      </c>
      <c r="G1054" s="15" t="str">
        <f>IFERROR(__xludf.DUMMYFUNCTION("""COMPUTED_VALUE"""),"NATALI NIEBLES")</f>
        <v>NATALI NIEBLES</v>
      </c>
      <c r="H1054" s="16">
        <f>IFERROR(__xludf.DUMMYFUNCTION("""COMPUTED_VALUE"""),9684.0)</f>
        <v>9684</v>
      </c>
      <c r="I1054" s="18">
        <f>IFERROR(__xludf.DUMMYFUNCTION("""COMPUTED_VALUE"""),8.0)</f>
        <v>8</v>
      </c>
      <c r="J1054" s="18">
        <f>IFERROR(__xludf.DUMMYFUNCTION("""COMPUTED_VALUE"""),16.0)</f>
        <v>16</v>
      </c>
      <c r="K1054" s="18">
        <f>IFERROR(__xludf.DUMMYFUNCTION("""COMPUTED_VALUE"""),20.0)</f>
        <v>20</v>
      </c>
      <c r="L1054" s="17">
        <f>IFERROR(__xludf.DUMMYFUNCTION("""COMPUTED_VALUE"""),3.013442593E9)</f>
        <v>3013442593</v>
      </c>
      <c r="M1054" s="17" t="str">
        <f>IFERROR(__xludf.DUMMYFUNCTION("""COMPUTED_VALUE"""),"#REF!")</f>
        <v>#REF!</v>
      </c>
      <c r="N1054" s="17"/>
      <c r="O1054" s="19" t="str">
        <f>IFERROR(__xludf.DUMMYFUNCTION("""COMPUTED_VALUE"""),"")</f>
        <v/>
      </c>
      <c r="P1054" s="17" t="b">
        <f>IFERROR(__xludf.DUMMYFUNCTION("""COMPUTED_VALUE"""),FALSE)</f>
        <v>0</v>
      </c>
      <c r="Q1054" s="20" t="str">
        <f>IFERROR(__xludf.DUMMYFUNCTION("""COMPUTED_VALUE"""),"")</f>
        <v/>
      </c>
      <c r="R1054" s="22" t="str">
        <f>IFERROR(__xludf.DUMMYFUNCTION("""COMPUTED_VALUE"""),"")</f>
        <v/>
      </c>
    </row>
    <row r="1055">
      <c r="A1055" s="15">
        <f>IFERROR(__xludf.DUMMYFUNCTION("""COMPUTED_VALUE"""),45030.0)</f>
        <v>45030</v>
      </c>
      <c r="B1055" s="16" t="str">
        <f>IFERROR(__xludf.DUMMYFUNCTION("""COMPUTED_VALUE"""),"Envia")</f>
        <v>Envia</v>
      </c>
      <c r="C1055" s="15" t="str">
        <f>IFERROR(__xludf.DUMMYFUNCTION("""COMPUTED_VALUE"""),"BOGOTÁ")</f>
        <v>BOGOTÁ</v>
      </c>
      <c r="D1055" s="15" t="str">
        <f>IFERROR(__xludf.DUMMYFUNCTION("""COMPUTED_VALUE"""),"MEDELLÍN")</f>
        <v>MEDELLÍN</v>
      </c>
      <c r="E1055" s="15" t="str">
        <f>IFERROR(__xludf.DUMMYFUNCTION("""COMPUTED_VALUE"""),"Baby Chef")</f>
        <v>Baby Chef</v>
      </c>
      <c r="F1055" s="17" t="str">
        <f>IFERROR(__xludf.DUMMYFUNCTION("""COMPUTED_VALUE"""),"Calle 3a # 8b-35 sur  Nariño sur  Cerca a la cárcel distrital / Calle 3a # 8b-35 sur  Nariño sur  Cerca a la cárcel distrital / Calle 3a # 8b-35 sur  Nariño sur  Cerca a la cárcel distrital")</f>
        <v>Calle 3a # 8b-35 sur  Nariño sur  Cerca a la cárcel distrital / Calle 3a # 8b-35 sur  Nariño sur  Cerca a la cárcel distrital / Calle 3a # 8b-35 sur  Nariño sur  Cerca a la cárcel distrital</v>
      </c>
      <c r="G1055" s="15" t="str">
        <f>IFERROR(__xludf.DUMMYFUNCTION("""COMPUTED_VALUE"""),"Vanesa Dominguez")</f>
        <v>Vanesa Dominguez</v>
      </c>
      <c r="H1055" s="16">
        <f>IFERROR(__xludf.DUMMYFUNCTION("""COMPUTED_VALUE"""),9698.0)</f>
        <v>9698</v>
      </c>
      <c r="I1055" s="18">
        <f>IFERROR(__xludf.DUMMYFUNCTION("""COMPUTED_VALUE"""),8.0)</f>
        <v>8</v>
      </c>
      <c r="J1055" s="18">
        <f>IFERROR(__xludf.DUMMYFUNCTION("""COMPUTED_VALUE"""),16.0)</f>
        <v>16</v>
      </c>
      <c r="K1055" s="18">
        <f>IFERROR(__xludf.DUMMYFUNCTION("""COMPUTED_VALUE"""),20.0)</f>
        <v>20</v>
      </c>
      <c r="L1055" s="17">
        <f>IFERROR(__xludf.DUMMYFUNCTION("""COMPUTED_VALUE"""),3.219208081E9)</f>
        <v>3219208081</v>
      </c>
      <c r="M1055" s="17" t="str">
        <f>IFERROR(__xludf.DUMMYFUNCTION("""COMPUTED_VALUE"""),"#REF!")</f>
        <v>#REF!</v>
      </c>
      <c r="N1055" s="17"/>
      <c r="O1055" s="19" t="str">
        <f>IFERROR(__xludf.DUMMYFUNCTION("""COMPUTED_VALUE"""),"")</f>
        <v/>
      </c>
      <c r="P1055" s="17" t="b">
        <f>IFERROR(__xludf.DUMMYFUNCTION("""COMPUTED_VALUE"""),FALSE)</f>
        <v>0</v>
      </c>
      <c r="Q1055" s="20" t="str">
        <f>IFERROR(__xludf.DUMMYFUNCTION("""COMPUTED_VALUE"""),"")</f>
        <v/>
      </c>
      <c r="R1055" s="22" t="str">
        <f>IFERROR(__xludf.DUMMYFUNCTION("""COMPUTED_VALUE"""),"")</f>
        <v/>
      </c>
    </row>
    <row r="1056">
      <c r="A1056" s="15">
        <f>IFERROR(__xludf.DUMMYFUNCTION("""COMPUTED_VALUE"""),45030.0)</f>
        <v>45030</v>
      </c>
      <c r="B1056" s="16" t="str">
        <f>IFERROR(__xludf.DUMMYFUNCTION("""COMPUTED_VALUE"""),"Envia")</f>
        <v>Envia</v>
      </c>
      <c r="C1056" s="15" t="str">
        <f>IFERROR(__xludf.DUMMYFUNCTION("""COMPUTED_VALUE"""),"BOGOTÁ")</f>
        <v>BOGOTÁ</v>
      </c>
      <c r="D1056" s="15" t="str">
        <f>IFERROR(__xludf.DUMMYFUNCTION("""COMPUTED_VALUE"""),"MEDELLÍN")</f>
        <v>MEDELLÍN</v>
      </c>
      <c r="E1056" s="15" t="str">
        <f>IFERROR(__xludf.DUMMYFUNCTION("""COMPUTED_VALUE"""),"Baby Chef")</f>
        <v>Baby Chef</v>
      </c>
      <c r="F1056" s="17" t="str">
        <f>IFERROR(__xludf.DUMMYFUNCTION("""COMPUTED_VALUE"""),"Conjunto Residencial Alameda de Santafé Calle 182 # 45 24  Torre 3 Apto 702 Barrio Nueva Zelanda / Calle 182 45 24 Torre 3 Apto 702 / Conjunto Residencial Alameda de Santafé Calle 182 # 45 24  Torre 3 Apto 702 Barrio Nueva Zelanda")</f>
        <v>Conjunto Residencial Alameda de Santafé Calle 182 # 45 24  Torre 3 Apto 702 Barrio Nueva Zelanda / Calle 182 45 24 Torre 3 Apto 702 / Conjunto Residencial Alameda de Santafé Calle 182 # 45 24  Torre 3 Apto 702 Barrio Nueva Zelanda</v>
      </c>
      <c r="G1056" s="15" t="str">
        <f>IFERROR(__xludf.DUMMYFUNCTION("""COMPUTED_VALUE"""),"Tatiana Olaya")</f>
        <v>Tatiana Olaya</v>
      </c>
      <c r="H1056" s="16">
        <f>IFERROR(__xludf.DUMMYFUNCTION("""COMPUTED_VALUE"""),9704.0)</f>
        <v>9704</v>
      </c>
      <c r="I1056" s="18">
        <f>IFERROR(__xludf.DUMMYFUNCTION("""COMPUTED_VALUE"""),8.0)</f>
        <v>8</v>
      </c>
      <c r="J1056" s="18">
        <f>IFERROR(__xludf.DUMMYFUNCTION("""COMPUTED_VALUE"""),16.0)</f>
        <v>16</v>
      </c>
      <c r="K1056" s="18">
        <f>IFERROR(__xludf.DUMMYFUNCTION("""COMPUTED_VALUE"""),20.0)</f>
        <v>20</v>
      </c>
      <c r="L1056" s="17">
        <f>IFERROR(__xludf.DUMMYFUNCTION("""COMPUTED_VALUE"""),3.11568834E9)</f>
        <v>3115688340</v>
      </c>
      <c r="M1056" s="17" t="str">
        <f>IFERROR(__xludf.DUMMYFUNCTION("""COMPUTED_VALUE"""),"#REF!")</f>
        <v>#REF!</v>
      </c>
      <c r="N1056" s="17"/>
      <c r="O1056" s="19" t="str">
        <f>IFERROR(__xludf.DUMMYFUNCTION("""COMPUTED_VALUE"""),"")</f>
        <v/>
      </c>
      <c r="P1056" s="17" t="b">
        <f>IFERROR(__xludf.DUMMYFUNCTION("""COMPUTED_VALUE"""),FALSE)</f>
        <v>0</v>
      </c>
      <c r="Q1056" s="20" t="str">
        <f>IFERROR(__xludf.DUMMYFUNCTION("""COMPUTED_VALUE"""),"")</f>
        <v/>
      </c>
      <c r="R1056" s="22" t="str">
        <f>IFERROR(__xludf.DUMMYFUNCTION("""COMPUTED_VALUE"""),"")</f>
        <v/>
      </c>
    </row>
    <row r="1057">
      <c r="A1057" s="15">
        <f>IFERROR(__xludf.DUMMYFUNCTION("""COMPUTED_VALUE"""),45030.0)</f>
        <v>45030</v>
      </c>
      <c r="B1057" s="16" t="str">
        <f>IFERROR(__xludf.DUMMYFUNCTION("""COMPUTED_VALUE"""),"Envia")</f>
        <v>Envia</v>
      </c>
      <c r="C1057" s="15" t="str">
        <f>IFERROR(__xludf.DUMMYFUNCTION("""COMPUTED_VALUE"""),"BOGOTÁ")</f>
        <v>BOGOTÁ</v>
      </c>
      <c r="D1057" s="15" t="str">
        <f>IFERROR(__xludf.DUMMYFUNCTION("""COMPUTED_VALUE"""),"MEDELLÍN")</f>
        <v>MEDELLÍN</v>
      </c>
      <c r="E1057" s="15" t="str">
        <f>IFERROR(__xludf.DUMMYFUNCTION("""COMPUTED_VALUE"""),"El Molde")</f>
        <v>El Molde</v>
      </c>
      <c r="F1057" s="17" t="str">
        <f>IFERROR(__xludf.DUMMYFUNCTION("""COMPUTED_VALUE"""),"CRA 2 # 61 - 40 / TORRES DE LA SALLE VERDE APTO 1004")</f>
        <v>CRA 2 # 61 - 40 / TORRES DE LA SALLE VERDE APTO 1004</v>
      </c>
      <c r="G1057" s="15" t="str">
        <f>IFERROR(__xludf.DUMMYFUNCTION("""COMPUTED_VALUE"""),"DAVID GUTIERREZ")</f>
        <v>DAVID GUTIERREZ</v>
      </c>
      <c r="H1057" s="16">
        <f>IFERROR(__xludf.DUMMYFUNCTION("""COMPUTED_VALUE"""),9692.0)</f>
        <v>9692</v>
      </c>
      <c r="I1057" s="18">
        <f>IFERROR(__xludf.DUMMYFUNCTION("""COMPUTED_VALUE"""),5.0)</f>
        <v>5</v>
      </c>
      <c r="J1057" s="18">
        <f>IFERROR(__xludf.DUMMYFUNCTION("""COMPUTED_VALUE"""),12.0)</f>
        <v>12</v>
      </c>
      <c r="K1057" s="18">
        <f>IFERROR(__xludf.DUMMYFUNCTION("""COMPUTED_VALUE"""),45060.0)</f>
        <v>45060</v>
      </c>
      <c r="L1057" s="17" t="str">
        <f>IFERROR(__xludf.DUMMYFUNCTION("""COMPUTED_VALUE"""),"316 7464057")</f>
        <v>316 7464057</v>
      </c>
      <c r="M1057" s="17" t="str">
        <f>IFERROR(__xludf.DUMMYFUNCTION("""COMPUTED_VALUE"""),"#REF!")</f>
        <v>#REF!</v>
      </c>
      <c r="N1057" s="17"/>
      <c r="O1057" s="19" t="str">
        <f>IFERROR(__xludf.DUMMYFUNCTION("""COMPUTED_VALUE"""),"")</f>
        <v/>
      </c>
      <c r="P1057" s="17" t="b">
        <f>IFERROR(__xludf.DUMMYFUNCTION("""COMPUTED_VALUE"""),FALSE)</f>
        <v>0</v>
      </c>
      <c r="Q1057" s="20" t="str">
        <f>IFERROR(__xludf.DUMMYFUNCTION("""COMPUTED_VALUE"""),"")</f>
        <v/>
      </c>
      <c r="R1057" s="22" t="str">
        <f>IFERROR(__xludf.DUMMYFUNCTION("""COMPUTED_VALUE"""),"")</f>
        <v/>
      </c>
    </row>
    <row r="1058">
      <c r="A1058" s="15">
        <f>IFERROR(__xludf.DUMMYFUNCTION("""COMPUTED_VALUE"""),45030.0)</f>
        <v>45030</v>
      </c>
      <c r="B1058" s="16" t="str">
        <f>IFERROR(__xludf.DUMMYFUNCTION("""COMPUTED_VALUE"""),"Envia")</f>
        <v>Envia</v>
      </c>
      <c r="C1058" s="15" t="str">
        <f>IFERROR(__xludf.DUMMYFUNCTION("""COMPUTED_VALUE"""),"CALI")</f>
        <v>CALI</v>
      </c>
      <c r="D1058" s="15" t="str">
        <f>IFERROR(__xludf.DUMMYFUNCTION("""COMPUTED_VALUE"""),"BOGOTÁ")</f>
        <v>BOGOTÁ</v>
      </c>
      <c r="E1058" s="15" t="str">
        <f>IFERROR(__xludf.DUMMYFUNCTION("""COMPUTED_VALUE"""),"Mochi")</f>
        <v>Mochi</v>
      </c>
      <c r="F1058" s="17" t="str">
        <f>IFERROR(__xludf.DUMMYFUNCTION("""COMPUTED_VALUE"""),"cl. 15 Nte. #9n-16, Granada /  Granada / Granada")</f>
        <v>cl. 15 Nte. #9n-16, Granada /  Granada / Granada</v>
      </c>
      <c r="G1058" s="15" t="str">
        <f>IFERROR(__xludf.DUMMYFUNCTION("""COMPUTED_VALUE"""),"Estefania")</f>
        <v>Estefania</v>
      </c>
      <c r="H1058" s="16">
        <f>IFERROR(__xludf.DUMMYFUNCTION("""COMPUTED_VALUE"""),9715.0)</f>
        <v>9715</v>
      </c>
      <c r="I1058" s="18">
        <f>IFERROR(__xludf.DUMMYFUNCTION("""COMPUTED_VALUE"""),55.0)</f>
        <v>55</v>
      </c>
      <c r="J1058" s="18">
        <f>IFERROR(__xludf.DUMMYFUNCTION("""COMPUTED_VALUE"""),45.0)</f>
        <v>45</v>
      </c>
      <c r="K1058" s="18" t="str">
        <f>IFERROR(__xludf.DUMMYFUNCTION("""COMPUTED_VALUE"""),"52.5")</f>
        <v>52.5</v>
      </c>
      <c r="L1058" s="17">
        <f>IFERROR(__xludf.DUMMYFUNCTION("""COMPUTED_VALUE"""),3.183028598E9)</f>
        <v>3183028598</v>
      </c>
      <c r="M1058" s="17" t="str">
        <f>IFERROR(__xludf.DUMMYFUNCTION("""COMPUTED_VALUE"""),"#REF!")</f>
        <v>#REF!</v>
      </c>
      <c r="N1058" s="17"/>
      <c r="O1058" s="19" t="str">
        <f>IFERROR(__xludf.DUMMYFUNCTION("""COMPUTED_VALUE"""),"")</f>
        <v/>
      </c>
      <c r="P1058" s="17" t="b">
        <f>IFERROR(__xludf.DUMMYFUNCTION("""COMPUTED_VALUE"""),FALSE)</f>
        <v>0</v>
      </c>
      <c r="Q1058" s="20" t="str">
        <f>IFERROR(__xludf.DUMMYFUNCTION("""COMPUTED_VALUE"""),"")</f>
        <v/>
      </c>
      <c r="R1058" s="22" t="str">
        <f>IFERROR(__xludf.DUMMYFUNCTION("""COMPUTED_VALUE"""),"")</f>
        <v/>
      </c>
    </row>
    <row r="1059">
      <c r="A1059" s="15">
        <f>IFERROR(__xludf.DUMMYFUNCTION("""COMPUTED_VALUE"""),45030.0)</f>
        <v>45030</v>
      </c>
      <c r="B1059" s="16" t="str">
        <f>IFERROR(__xludf.DUMMYFUNCTION("""COMPUTED_VALUE"""),"Envia")</f>
        <v>Envia</v>
      </c>
      <c r="C1059" s="15" t="str">
        <f>IFERROR(__xludf.DUMMYFUNCTION("""COMPUTED_VALUE"""),"CALI")</f>
        <v>CALI</v>
      </c>
      <c r="D1059" s="15" t="str">
        <f>IFERROR(__xludf.DUMMYFUNCTION("""COMPUTED_VALUE"""),"BOGOTÁ")</f>
        <v>BOGOTÁ</v>
      </c>
      <c r="E1059" s="15" t="str">
        <f>IFERROR(__xludf.DUMMYFUNCTION("""COMPUTED_VALUE"""),"Renata")</f>
        <v>Renata</v>
      </c>
      <c r="F1059" s="17" t="str">
        <f>IFERROR(__xludf.DUMMYFUNCTION("""COMPUTED_VALUE"""),"Carrera 3#3a-83 / Food containers -restaurante  / San Fernando")</f>
        <v>Carrera 3#3a-83 / Food containers -restaurante  / San Fernando</v>
      </c>
      <c r="G1059" s="15" t="str">
        <f>IFERROR(__xludf.DUMMYFUNCTION("""COMPUTED_VALUE"""),"Retaco sas")</f>
        <v>Retaco sas</v>
      </c>
      <c r="H1059" s="16">
        <f>IFERROR(__xludf.DUMMYFUNCTION("""COMPUTED_VALUE"""),9710.0)</f>
        <v>9710</v>
      </c>
      <c r="I1059" s="18">
        <f>IFERROR(__xludf.DUMMYFUNCTION("""COMPUTED_VALUE"""),90.0)</f>
        <v>90</v>
      </c>
      <c r="J1059" s="18">
        <f>IFERROR(__xludf.DUMMYFUNCTION("""COMPUTED_VALUE"""),70.0)</f>
        <v>70</v>
      </c>
      <c r="K1059" s="18">
        <f>IFERROR(__xludf.DUMMYFUNCTION("""COMPUTED_VALUE"""),60.0)</f>
        <v>60</v>
      </c>
      <c r="L1059" s="17">
        <f>IFERROR(__xludf.DUMMYFUNCTION("""COMPUTED_VALUE"""),3.134720976E9)</f>
        <v>3134720976</v>
      </c>
      <c r="M1059" s="17" t="str">
        <f>IFERROR(__xludf.DUMMYFUNCTION("""COMPUTED_VALUE"""),"#REF!")</f>
        <v>#REF!</v>
      </c>
      <c r="N1059" s="17"/>
      <c r="O1059" s="19" t="str">
        <f>IFERROR(__xludf.DUMMYFUNCTION("""COMPUTED_VALUE"""),"")</f>
        <v/>
      </c>
      <c r="P1059" s="17" t="b">
        <f>IFERROR(__xludf.DUMMYFUNCTION("""COMPUTED_VALUE"""),FALSE)</f>
        <v>0</v>
      </c>
      <c r="Q1059" s="20" t="str">
        <f>IFERROR(__xludf.DUMMYFUNCTION("""COMPUTED_VALUE"""),"")</f>
        <v/>
      </c>
      <c r="R1059" s="22" t="str">
        <f>IFERROR(__xludf.DUMMYFUNCTION("""COMPUTED_VALUE"""),"")</f>
        <v/>
      </c>
    </row>
    <row r="1060">
      <c r="A1060" s="15">
        <f>IFERROR(__xludf.DUMMYFUNCTION("""COMPUTED_VALUE"""),45030.0)</f>
        <v>45030</v>
      </c>
      <c r="B1060" s="16" t="str">
        <f>IFERROR(__xludf.DUMMYFUNCTION("""COMPUTED_VALUE"""),"Envia")</f>
        <v>Envia</v>
      </c>
      <c r="C1060" s="15" t="str">
        <f>IFERROR(__xludf.DUMMYFUNCTION("""COMPUTED_VALUE"""),"CÚCUTA")</f>
        <v>CÚCUTA</v>
      </c>
      <c r="D1060" s="15" t="str">
        <f>IFERROR(__xludf.DUMMYFUNCTION("""COMPUTED_VALUE"""),"BOGOTÁ")</f>
        <v>BOGOTÁ</v>
      </c>
      <c r="E1060" s="15" t="str">
        <f>IFERROR(__xludf.DUMMYFUNCTION("""COMPUTED_VALUE"""),"Evamazzita")</f>
        <v>Evamazzita</v>
      </c>
      <c r="F1060" s="17" t="str">
        <f>IFERROR(__xludf.DUMMYFUNCTION("""COMPUTED_VALUE"""),"CALLE 6 No. 8 - 115  / CONJUNTO VALLE DEL ESTE CASA 5-12  / BARRIO PRADOS DEL ESTE")</f>
        <v>CALLE 6 No. 8 - 115  / CONJUNTO VALLE DEL ESTE CASA 5-12  / BARRIO PRADOS DEL ESTE</v>
      </c>
      <c r="G1060" s="15" t="str">
        <f>IFERROR(__xludf.DUMMYFUNCTION("""COMPUTED_VALUE"""),"YIRLEY ASTRID BLANCO MANZANO")</f>
        <v>YIRLEY ASTRID BLANCO MANZANO</v>
      </c>
      <c r="H1060" s="16">
        <f>IFERROR(__xludf.DUMMYFUNCTION("""COMPUTED_VALUE"""),9661.0)</f>
        <v>9661</v>
      </c>
      <c r="I1060" s="18">
        <f>IFERROR(__xludf.DUMMYFUNCTION("""COMPUTED_VALUE"""),3.0)</f>
        <v>3</v>
      </c>
      <c r="J1060" s="18">
        <f>IFERROR(__xludf.DUMMYFUNCTION("""COMPUTED_VALUE"""),20.0)</f>
        <v>20</v>
      </c>
      <c r="K1060" s="18">
        <f>IFERROR(__xludf.DUMMYFUNCTION("""COMPUTED_VALUE"""),15.0)</f>
        <v>15</v>
      </c>
      <c r="L1060" s="17">
        <f>IFERROR(__xludf.DUMMYFUNCTION("""COMPUTED_VALUE"""),3.115817339E9)</f>
        <v>3115817339</v>
      </c>
      <c r="M1060" s="17" t="str">
        <f>IFERROR(__xludf.DUMMYFUNCTION("""COMPUTED_VALUE"""),"#REF!")</f>
        <v>#REF!</v>
      </c>
      <c r="N1060" s="17"/>
      <c r="O1060" s="19" t="str">
        <f>IFERROR(__xludf.DUMMYFUNCTION("""COMPUTED_VALUE"""),"")</f>
        <v/>
      </c>
      <c r="P1060" s="17" t="b">
        <f>IFERROR(__xludf.DUMMYFUNCTION("""COMPUTED_VALUE"""),FALSE)</f>
        <v>0</v>
      </c>
      <c r="Q1060" s="20" t="str">
        <f>IFERROR(__xludf.DUMMYFUNCTION("""COMPUTED_VALUE"""),"")</f>
        <v/>
      </c>
      <c r="R1060" s="22" t="str">
        <f>IFERROR(__xludf.DUMMYFUNCTION("""COMPUTED_VALUE"""),"")</f>
        <v/>
      </c>
    </row>
    <row r="1061">
      <c r="A1061" s="15">
        <f>IFERROR(__xludf.DUMMYFUNCTION("""COMPUTED_VALUE"""),45030.0)</f>
        <v>45030</v>
      </c>
      <c r="B1061" s="16" t="str">
        <f>IFERROR(__xludf.DUMMYFUNCTION("""COMPUTED_VALUE"""),"Envia")</f>
        <v>Envia</v>
      </c>
      <c r="C1061" s="15" t="str">
        <f>IFERROR(__xludf.DUMMYFUNCTION("""COMPUTED_VALUE"""),"CÚCUTA")</f>
        <v>CÚCUTA</v>
      </c>
      <c r="D1061" s="15" t="str">
        <f>IFERROR(__xludf.DUMMYFUNCTION("""COMPUTED_VALUE"""),"BOGOTÁ")</f>
        <v>BOGOTÁ</v>
      </c>
      <c r="E1061" s="15" t="str">
        <f>IFERROR(__xludf.DUMMYFUNCTION("""COMPUTED_VALUE"""),"Evamazzita")</f>
        <v>Evamazzita</v>
      </c>
      <c r="F1061" s="17" t="str">
        <f>IFERROR(__xludf.DUMMYFUNCTION("""COMPUTED_VALUE"""),"SAN LUIS  / MZ F CASA 6 VILLA PAOLA / AL LADO DE VILLA CAMILA")</f>
        <v>SAN LUIS  / MZ F CASA 6 VILLA PAOLA / AL LADO DE VILLA CAMILA</v>
      </c>
      <c r="G1061" s="15" t="str">
        <f>IFERROR(__xludf.DUMMYFUNCTION("""COMPUTED_VALUE"""),"ALEJANDRA VENECIA")</f>
        <v>ALEJANDRA VENECIA</v>
      </c>
      <c r="H1061" s="16">
        <f>IFERROR(__xludf.DUMMYFUNCTION("""COMPUTED_VALUE"""),9659.0)</f>
        <v>9659</v>
      </c>
      <c r="I1061" s="18">
        <f>IFERROR(__xludf.DUMMYFUNCTION("""COMPUTED_VALUE"""),19.0)</f>
        <v>19</v>
      </c>
      <c r="J1061" s="18">
        <f>IFERROR(__xludf.DUMMYFUNCTION("""COMPUTED_VALUE"""),26.0)</f>
        <v>26</v>
      </c>
      <c r="K1061" s="18">
        <f>IFERROR(__xludf.DUMMYFUNCTION("""COMPUTED_VALUE"""),20.0)</f>
        <v>20</v>
      </c>
      <c r="L1061" s="17">
        <f>IFERROR(__xludf.DUMMYFUNCTION("""COMPUTED_VALUE"""),3.203864544E9)</f>
        <v>3203864544</v>
      </c>
      <c r="M1061" s="17" t="str">
        <f>IFERROR(__xludf.DUMMYFUNCTION("""COMPUTED_VALUE"""),"#REF!")</f>
        <v>#REF!</v>
      </c>
      <c r="N1061" s="17"/>
      <c r="O1061" s="19" t="str">
        <f>IFERROR(__xludf.DUMMYFUNCTION("""COMPUTED_VALUE"""),"")</f>
        <v/>
      </c>
      <c r="P1061" s="17" t="b">
        <f>IFERROR(__xludf.DUMMYFUNCTION("""COMPUTED_VALUE"""),FALSE)</f>
        <v>0</v>
      </c>
      <c r="Q1061" s="20" t="str">
        <f>IFERROR(__xludf.DUMMYFUNCTION("""COMPUTED_VALUE"""),"")</f>
        <v/>
      </c>
      <c r="R1061" s="22" t="str">
        <f>IFERROR(__xludf.DUMMYFUNCTION("""COMPUTED_VALUE"""),"")</f>
        <v/>
      </c>
    </row>
    <row r="1062">
      <c r="A1062" s="15">
        <f>IFERROR(__xludf.DUMMYFUNCTION("""COMPUTED_VALUE"""),45030.0)</f>
        <v>45030</v>
      </c>
      <c r="B1062" s="16" t="str">
        <f>IFERROR(__xludf.DUMMYFUNCTION("""COMPUTED_VALUE"""),"Envia")</f>
        <v>Envia</v>
      </c>
      <c r="C1062" s="15" t="str">
        <f>IFERROR(__xludf.DUMMYFUNCTION("""COMPUTED_VALUE"""),"CÚCUTA")</f>
        <v>CÚCUTA</v>
      </c>
      <c r="D1062" s="15" t="str">
        <f>IFERROR(__xludf.DUMMYFUNCTION("""COMPUTED_VALUE"""),"MEDELLÍN")</f>
        <v>MEDELLÍN</v>
      </c>
      <c r="E1062" s="15" t="str">
        <f>IFERROR(__xludf.DUMMYFUNCTION("""COMPUTED_VALUE"""),"AREPAS LA MARY")</f>
        <v>AREPAS LA MARY</v>
      </c>
      <c r="F1062" s="17" t="str">
        <f>IFERROR(__xludf.DUMMYFUNCTION("""COMPUTED_VALUE"""),"AV 3 E N 6 CN -12")</f>
        <v>AV 3 E N 6 CN -12</v>
      </c>
      <c r="G1062" s="15" t="str">
        <f>IFERROR(__xludf.DUMMYFUNCTION("""COMPUTED_VALUE"""),"LA BODEGUITA")</f>
        <v>LA BODEGUITA</v>
      </c>
      <c r="H1062" s="16">
        <f>IFERROR(__xludf.DUMMYFUNCTION("""COMPUTED_VALUE"""),9682.0)</f>
        <v>9682</v>
      </c>
      <c r="I1062" s="18">
        <f>IFERROR(__xludf.DUMMYFUNCTION("""COMPUTED_VALUE"""),89.0)</f>
        <v>89</v>
      </c>
      <c r="J1062" s="18">
        <f>IFERROR(__xludf.DUMMYFUNCTION("""COMPUTED_VALUE"""),1.0)</f>
        <v>1</v>
      </c>
      <c r="K1062" s="18">
        <f>IFERROR(__xludf.DUMMYFUNCTION("""COMPUTED_VALUE"""),10.0)</f>
        <v>10</v>
      </c>
      <c r="L1062" s="17">
        <f>IFERROR(__xludf.DUMMYFUNCTION("""COMPUTED_VALUE"""),3.209091389E9)</f>
        <v>3209091389</v>
      </c>
      <c r="M1062" s="17" t="str">
        <f>IFERROR(__xludf.DUMMYFUNCTION("""COMPUTED_VALUE"""),"#REF!")</f>
        <v>#REF!</v>
      </c>
      <c r="N1062" s="17"/>
      <c r="O1062" s="19" t="str">
        <f>IFERROR(__xludf.DUMMYFUNCTION("""COMPUTED_VALUE"""),"")</f>
        <v/>
      </c>
      <c r="P1062" s="17" t="b">
        <f>IFERROR(__xludf.DUMMYFUNCTION("""COMPUTED_VALUE"""),FALSE)</f>
        <v>0</v>
      </c>
      <c r="Q1062" s="20" t="str">
        <f>IFERROR(__xludf.DUMMYFUNCTION("""COMPUTED_VALUE"""),"")</f>
        <v/>
      </c>
      <c r="R1062" s="22" t="str">
        <f>IFERROR(__xludf.DUMMYFUNCTION("""COMPUTED_VALUE"""),"")</f>
        <v/>
      </c>
    </row>
    <row r="1063">
      <c r="A1063" s="15">
        <f>IFERROR(__xludf.DUMMYFUNCTION("""COMPUTED_VALUE"""),45030.0)</f>
        <v>45030</v>
      </c>
      <c r="B1063" s="16" t="str">
        <f>IFERROR(__xludf.DUMMYFUNCTION("""COMPUTED_VALUE"""),"Envia")</f>
        <v>Envia</v>
      </c>
      <c r="C1063" s="15" t="str">
        <f>IFERROR(__xludf.DUMMYFUNCTION("""COMPUTED_VALUE"""),"CÚCUTA")</f>
        <v>CÚCUTA</v>
      </c>
      <c r="D1063" s="15" t="str">
        <f>IFERROR(__xludf.DUMMYFUNCTION("""COMPUTED_VALUE"""),"MEDELLÍN")</f>
        <v>MEDELLÍN</v>
      </c>
      <c r="E1063" s="15" t="str">
        <f>IFERROR(__xludf.DUMMYFUNCTION("""COMPUTED_VALUE"""),"Rambla")</f>
        <v>Rambla</v>
      </c>
      <c r="F1063" s="17" t="str">
        <f>IFERROR(__xludf.DUMMYFUNCTION("""COMPUTED_VALUE"""),"Av 3e No 6cn-12 ceiba 2 / na / na")</f>
        <v>Av 3e No 6cn-12 ceiba 2 / na / na</v>
      </c>
      <c r="G1063" s="15" t="str">
        <f>IFERROR(__xludf.DUMMYFUNCTION("""COMPUTED_VALUE"""),"la bodeguita")</f>
        <v>la bodeguita</v>
      </c>
      <c r="H1063" s="16">
        <f>IFERROR(__xludf.DUMMYFUNCTION("""COMPUTED_VALUE"""),9688.0)</f>
        <v>9688</v>
      </c>
      <c r="I1063" s="18">
        <f>IFERROR(__xludf.DUMMYFUNCTION("""COMPUTED_VALUE"""),26.0)</f>
        <v>26</v>
      </c>
      <c r="J1063" s="18">
        <f>IFERROR(__xludf.DUMMYFUNCTION("""COMPUTED_VALUE"""),29.0)</f>
        <v>29</v>
      </c>
      <c r="K1063" s="18">
        <f>IFERROR(__xludf.DUMMYFUNCTION("""COMPUTED_VALUE"""),33.0)</f>
        <v>33</v>
      </c>
      <c r="L1063" s="17">
        <f>IFERROR(__xludf.DUMMYFUNCTION("""COMPUTED_VALUE"""),3.00384312E9)</f>
        <v>3003843120</v>
      </c>
      <c r="M1063" s="17" t="str">
        <f>IFERROR(__xludf.DUMMYFUNCTION("""COMPUTED_VALUE"""),"#REF!")</f>
        <v>#REF!</v>
      </c>
      <c r="N1063" s="17"/>
      <c r="O1063" s="19" t="str">
        <f>IFERROR(__xludf.DUMMYFUNCTION("""COMPUTED_VALUE"""),"")</f>
        <v/>
      </c>
      <c r="P1063" s="17" t="b">
        <f>IFERROR(__xludf.DUMMYFUNCTION("""COMPUTED_VALUE"""),FALSE)</f>
        <v>0</v>
      </c>
      <c r="Q1063" s="20" t="str">
        <f>IFERROR(__xludf.DUMMYFUNCTION("""COMPUTED_VALUE"""),"")</f>
        <v/>
      </c>
      <c r="R1063" s="22" t="str">
        <f>IFERROR(__xludf.DUMMYFUNCTION("""COMPUTED_VALUE"""),"")</f>
        <v/>
      </c>
    </row>
    <row r="1064">
      <c r="A1064" s="15">
        <f>IFERROR(__xludf.DUMMYFUNCTION("""COMPUTED_VALUE"""),45030.0)</f>
        <v>45030</v>
      </c>
      <c r="B1064" s="16" t="str">
        <f>IFERROR(__xludf.DUMMYFUNCTION("""COMPUTED_VALUE"""),"Envia")</f>
        <v>Envia</v>
      </c>
      <c r="C1064" s="15" t="str">
        <f>IFERROR(__xludf.DUMMYFUNCTION("""COMPUTED_VALUE"""),"CÚCUTA")</f>
        <v>CÚCUTA</v>
      </c>
      <c r="D1064" s="15" t="str">
        <f>IFERROR(__xludf.DUMMYFUNCTION("""COMPUTED_VALUE"""),"MEDELLÍN")</f>
        <v>MEDELLÍN</v>
      </c>
      <c r="E1064" s="15" t="str">
        <f>IFERROR(__xludf.DUMMYFUNCTION("""COMPUTED_VALUE"""),"Rambla")</f>
        <v>Rambla</v>
      </c>
      <c r="F1064" s="17" t="str">
        <f>IFERROR(__xludf.DUMMYFUNCTION("""COMPUTED_VALUE"""),"avenida  9e 7-12 la riviera / na / na")</f>
        <v>avenida  9e 7-12 la riviera / na / na</v>
      </c>
      <c r="G1064" s="15" t="str">
        <f>IFERROR(__xludf.DUMMYFUNCTION("""COMPUTED_VALUE"""),"sexto sentido")</f>
        <v>sexto sentido</v>
      </c>
      <c r="H1064" s="16">
        <f>IFERROR(__xludf.DUMMYFUNCTION("""COMPUTED_VALUE"""),9687.0)</f>
        <v>9687</v>
      </c>
      <c r="I1064" s="18">
        <f>IFERROR(__xludf.DUMMYFUNCTION("""COMPUTED_VALUE"""),28.0)</f>
        <v>28</v>
      </c>
      <c r="J1064" s="18">
        <f>IFERROR(__xludf.DUMMYFUNCTION("""COMPUTED_VALUE"""),30.0)</f>
        <v>30</v>
      </c>
      <c r="K1064" s="18">
        <f>IFERROR(__xludf.DUMMYFUNCTION("""COMPUTED_VALUE"""),35.0)</f>
        <v>35</v>
      </c>
      <c r="L1064" s="17">
        <f>IFERROR(__xludf.DUMMYFUNCTION("""COMPUTED_VALUE"""),3.154996494E9)</f>
        <v>3154996494</v>
      </c>
      <c r="M1064" s="17" t="str">
        <f>IFERROR(__xludf.DUMMYFUNCTION("""COMPUTED_VALUE"""),"#REF!")</f>
        <v>#REF!</v>
      </c>
      <c r="N1064" s="17"/>
      <c r="O1064" s="19" t="str">
        <f>IFERROR(__xludf.DUMMYFUNCTION("""COMPUTED_VALUE"""),"")</f>
        <v/>
      </c>
      <c r="P1064" s="17" t="b">
        <f>IFERROR(__xludf.DUMMYFUNCTION("""COMPUTED_VALUE"""),FALSE)</f>
        <v>0</v>
      </c>
      <c r="Q1064" s="20" t="str">
        <f>IFERROR(__xludf.DUMMYFUNCTION("""COMPUTED_VALUE"""),"")</f>
        <v/>
      </c>
      <c r="R1064" s="22" t="str">
        <f>IFERROR(__xludf.DUMMYFUNCTION("""COMPUTED_VALUE"""),"")</f>
        <v/>
      </c>
    </row>
    <row r="1065">
      <c r="A1065" s="15">
        <f>IFERROR(__xludf.DUMMYFUNCTION("""COMPUTED_VALUE"""),45030.0)</f>
        <v>45030</v>
      </c>
      <c r="B1065" s="16" t="str">
        <f>IFERROR(__xludf.DUMMYFUNCTION("""COMPUTED_VALUE"""),"Envia")</f>
        <v>Envia</v>
      </c>
      <c r="C1065" s="15" t="str">
        <f>IFERROR(__xludf.DUMMYFUNCTION("""COMPUTED_VALUE"""),"MEDELLÍN")</f>
        <v>MEDELLÍN</v>
      </c>
      <c r="D1065" s="15" t="str">
        <f>IFERROR(__xludf.DUMMYFUNCTION("""COMPUTED_VALUE"""),"BOGOTÁ")</f>
        <v>BOGOTÁ</v>
      </c>
      <c r="E1065" s="15" t="str">
        <f>IFERROR(__xludf.DUMMYFUNCTION("""COMPUTED_VALUE"""),"Forever Dog")</f>
        <v>Forever Dog</v>
      </c>
      <c r="F1065" s="17" t="str">
        <f>IFERROR(__xludf.DUMMYFUNCTION("""COMPUTED_VALUE"""),"Carrera 37# 10a-29 / Hotel click clack, habitación 509  / El poblado")</f>
        <v>Carrera 37# 10a-29 / Hotel click clack, habitación 509  / El poblado</v>
      </c>
      <c r="G1065" s="15" t="str">
        <f>IFERROR(__xludf.DUMMYFUNCTION("""COMPUTED_VALUE"""),"Jenny Sua")</f>
        <v>Jenny Sua</v>
      </c>
      <c r="H1065" s="16">
        <f>IFERROR(__xludf.DUMMYFUNCTION("""COMPUTED_VALUE"""),9630.0)</f>
        <v>9630</v>
      </c>
      <c r="I1065" s="18">
        <f>IFERROR(__xludf.DUMMYFUNCTION("""COMPUTED_VALUE"""),20.0)</f>
        <v>20</v>
      </c>
      <c r="J1065" s="18">
        <f>IFERROR(__xludf.DUMMYFUNCTION("""COMPUTED_VALUE"""),45.0)</f>
        <v>45</v>
      </c>
      <c r="K1065" s="18">
        <f>IFERROR(__xludf.DUMMYFUNCTION("""COMPUTED_VALUE"""),36.0)</f>
        <v>36</v>
      </c>
      <c r="L1065" s="17">
        <f>IFERROR(__xludf.DUMMYFUNCTION("""COMPUTED_VALUE"""),3.14202892E9)</f>
        <v>3142028920</v>
      </c>
      <c r="M1065" s="17" t="str">
        <f>IFERROR(__xludf.DUMMYFUNCTION("""COMPUTED_VALUE"""),"#REF!")</f>
        <v>#REF!</v>
      </c>
      <c r="N1065" s="17"/>
      <c r="O1065" s="19" t="str">
        <f>IFERROR(__xludf.DUMMYFUNCTION("""COMPUTED_VALUE"""),"")</f>
        <v/>
      </c>
      <c r="P1065" s="17" t="b">
        <f>IFERROR(__xludf.DUMMYFUNCTION("""COMPUTED_VALUE"""),FALSE)</f>
        <v>0</v>
      </c>
      <c r="Q1065" s="20" t="str">
        <f>IFERROR(__xludf.DUMMYFUNCTION("""COMPUTED_VALUE"""),"")</f>
        <v/>
      </c>
      <c r="R1065" s="22" t="str">
        <f>IFERROR(__xludf.DUMMYFUNCTION("""COMPUTED_VALUE"""),"")</f>
        <v/>
      </c>
    </row>
    <row r="1066">
      <c r="A1066" s="15">
        <f>IFERROR(__xludf.DUMMYFUNCTION("""COMPUTED_VALUE"""),45030.0)</f>
        <v>45030</v>
      </c>
      <c r="B1066" s="16" t="str">
        <f>IFERROR(__xludf.DUMMYFUNCTION("""COMPUTED_VALUE"""),"Envia")</f>
        <v>Envia</v>
      </c>
      <c r="C1066" s="15" t="str">
        <f>IFERROR(__xludf.DUMMYFUNCTION("""COMPUTED_VALUE"""),"MEDELLÍN")</f>
        <v>MEDELLÍN</v>
      </c>
      <c r="D1066" s="15" t="str">
        <f>IFERROR(__xludf.DUMMYFUNCTION("""COMPUTED_VALUE"""),"BOGOTÁ")</f>
        <v>BOGOTÁ</v>
      </c>
      <c r="E1066" s="15" t="str">
        <f>IFERROR(__xludf.DUMMYFUNCTION("""COMPUTED_VALUE"""),"Forever Dog")</f>
        <v>Forever Dog</v>
      </c>
      <c r="F1066" s="17" t="str">
        <f>IFERROR(__xludf.DUMMYFUNCTION("""COMPUTED_VALUE"""),"Cra 28# 37b sur  / Edf. Torre san miguel apto 501 Envigado / Barrio Loma de las Brujas")</f>
        <v>Cra 28# 37b sur  / Edf. Torre san miguel apto 501 Envigado / Barrio Loma de las Brujas</v>
      </c>
      <c r="G1066" s="15" t="str">
        <f>IFERROR(__xludf.DUMMYFUNCTION("""COMPUTED_VALUE"""),"Dustin Torres")</f>
        <v>Dustin Torres</v>
      </c>
      <c r="H1066" s="16">
        <f>IFERROR(__xludf.DUMMYFUNCTION("""COMPUTED_VALUE"""),9629.0)</f>
        <v>9629</v>
      </c>
      <c r="I1066" s="18">
        <f>IFERROR(__xludf.DUMMYFUNCTION("""COMPUTED_VALUE"""),20.0)</f>
        <v>20</v>
      </c>
      <c r="J1066" s="18">
        <f>IFERROR(__xludf.DUMMYFUNCTION("""COMPUTED_VALUE"""),45.0)</f>
        <v>45</v>
      </c>
      <c r="K1066" s="18">
        <f>IFERROR(__xludf.DUMMYFUNCTION("""COMPUTED_VALUE"""),38.0)</f>
        <v>38</v>
      </c>
      <c r="L1066" s="17">
        <f>IFERROR(__xludf.DUMMYFUNCTION("""COMPUTED_VALUE"""),3.013390836E9)</f>
        <v>3013390836</v>
      </c>
      <c r="M1066" s="17" t="str">
        <f>IFERROR(__xludf.DUMMYFUNCTION("""COMPUTED_VALUE"""),"#REF!")</f>
        <v>#REF!</v>
      </c>
      <c r="N1066" s="17"/>
      <c r="O1066" s="19" t="str">
        <f>IFERROR(__xludf.DUMMYFUNCTION("""COMPUTED_VALUE"""),"")</f>
        <v/>
      </c>
      <c r="P1066" s="17" t="b">
        <f>IFERROR(__xludf.DUMMYFUNCTION("""COMPUTED_VALUE"""),FALSE)</f>
        <v>0</v>
      </c>
      <c r="Q1066" s="20" t="str">
        <f>IFERROR(__xludf.DUMMYFUNCTION("""COMPUTED_VALUE"""),"")</f>
        <v/>
      </c>
      <c r="R1066" s="22" t="str">
        <f>IFERROR(__xludf.DUMMYFUNCTION("""COMPUTED_VALUE"""),"")</f>
        <v/>
      </c>
    </row>
    <row r="1067">
      <c r="A1067" s="15">
        <f>IFERROR(__xludf.DUMMYFUNCTION("""COMPUTED_VALUE"""),45030.0)</f>
        <v>45030</v>
      </c>
      <c r="B1067" s="16" t="str">
        <f>IFERROR(__xludf.DUMMYFUNCTION("""COMPUTED_VALUE"""),"Envia")</f>
        <v>Envia</v>
      </c>
      <c r="C1067" s="15" t="str">
        <f>IFERROR(__xludf.DUMMYFUNCTION("""COMPUTED_VALUE"""),"SANTA MARTA")</f>
        <v>SANTA MARTA</v>
      </c>
      <c r="D1067" s="15" t="str">
        <f>IFERROR(__xludf.DUMMYFUNCTION("""COMPUTED_VALUE"""),"BOGOTÁ")</f>
        <v>BOGOTÁ</v>
      </c>
      <c r="E1067" s="15" t="str">
        <f>IFERROR(__xludf.DUMMYFUNCTION("""COMPUTED_VALUE"""),"Evamazzita")</f>
        <v>Evamazzita</v>
      </c>
      <c r="F1067" s="17" t="str">
        <f>IFERROR(__xludf.DUMMYFUNCTION("""COMPUTED_VALUE"""),"Manzana 15 Casa 37  / Nuevos Tejares del Libertador  / Nuevos Tejares del Libertador")</f>
        <v>Manzana 15 Casa 37  / Nuevos Tejares del Libertador  / Nuevos Tejares del Libertador</v>
      </c>
      <c r="G1067" s="15" t="str">
        <f>IFERROR(__xludf.DUMMYFUNCTION("""COMPUTED_VALUE"""),"JOYCE DAYANA CAMPUZANO RODRIGUEZ")</f>
        <v>JOYCE DAYANA CAMPUZANO RODRIGUEZ</v>
      </c>
      <c r="H1067" s="16">
        <f>IFERROR(__xludf.DUMMYFUNCTION("""COMPUTED_VALUE"""),9672.0)</f>
        <v>9672</v>
      </c>
      <c r="I1067" s="18">
        <f>IFERROR(__xludf.DUMMYFUNCTION("""COMPUTED_VALUE"""),3.0)</f>
        <v>3</v>
      </c>
      <c r="J1067" s="18">
        <f>IFERROR(__xludf.DUMMYFUNCTION("""COMPUTED_VALUE"""),20.0)</f>
        <v>20</v>
      </c>
      <c r="K1067" s="18">
        <f>IFERROR(__xludf.DUMMYFUNCTION("""COMPUTED_VALUE"""),15.0)</f>
        <v>15</v>
      </c>
      <c r="L1067" s="17">
        <f>IFERROR(__xludf.DUMMYFUNCTION("""COMPUTED_VALUE"""),3.012005947E9)</f>
        <v>3012005947</v>
      </c>
      <c r="M1067" s="17" t="str">
        <f>IFERROR(__xludf.DUMMYFUNCTION("""COMPUTED_VALUE"""),"#REF!")</f>
        <v>#REF!</v>
      </c>
      <c r="N1067" s="17"/>
      <c r="O1067" s="19" t="str">
        <f>IFERROR(__xludf.DUMMYFUNCTION("""COMPUTED_VALUE"""),"")</f>
        <v/>
      </c>
      <c r="P1067" s="17" t="b">
        <f>IFERROR(__xludf.DUMMYFUNCTION("""COMPUTED_VALUE"""),FALSE)</f>
        <v>0</v>
      </c>
      <c r="Q1067" s="20" t="str">
        <f>IFERROR(__xludf.DUMMYFUNCTION("""COMPUTED_VALUE"""),"")</f>
        <v/>
      </c>
      <c r="R1067" s="22" t="str">
        <f>IFERROR(__xludf.DUMMYFUNCTION("""COMPUTED_VALUE"""),"")</f>
        <v/>
      </c>
    </row>
    <row r="1068">
      <c r="A1068" s="15">
        <f>IFERROR(__xludf.DUMMYFUNCTION("""COMPUTED_VALUE"""),45030.0)</f>
        <v>45030</v>
      </c>
      <c r="B1068" s="16" t="str">
        <f>IFERROR(__xludf.DUMMYFUNCTION("""COMPUTED_VALUE"""),"Envia")</f>
        <v>Envia</v>
      </c>
      <c r="C1068" s="15" t="str">
        <f>IFERROR(__xludf.DUMMYFUNCTION("""COMPUTED_VALUE"""),"SANTA MARTA")</f>
        <v>SANTA MARTA</v>
      </c>
      <c r="D1068" s="15" t="str">
        <f>IFERROR(__xludf.DUMMYFUNCTION("""COMPUTED_VALUE"""),"BOGOTÁ")</f>
        <v>BOGOTÁ</v>
      </c>
      <c r="E1068" s="15" t="str">
        <f>IFERROR(__xludf.DUMMYFUNCTION("""COMPUTED_VALUE"""),"Loomifoods")</f>
        <v>Loomifoods</v>
      </c>
      <c r="F1068" s="17" t="str">
        <f>IFERROR(__xludf.DUMMYFUNCTION("""COMPUTED_VALUE"""),"Calle 28e no. 13a - 12 / Apto 1201, Edificio Baltimore / Barrio Bostón, a la vuelta de Iglesia Bavaria")</f>
        <v>Calle 28e no. 13a - 12 / Apto 1201, Edificio Baltimore / Barrio Bostón, a la vuelta de Iglesia Bavaria</v>
      </c>
      <c r="G1068" s="15" t="str">
        <f>IFERROR(__xludf.DUMMYFUNCTION("""COMPUTED_VALUE"""),"Carolina Murcia")</f>
        <v>Carolina Murcia</v>
      </c>
      <c r="H1068" s="16">
        <f>IFERROR(__xludf.DUMMYFUNCTION("""COMPUTED_VALUE"""),9686.0)</f>
        <v>9686</v>
      </c>
      <c r="I1068" s="18">
        <f>IFERROR(__xludf.DUMMYFUNCTION("""COMPUTED_VALUE"""),20.0)</f>
        <v>20</v>
      </c>
      <c r="J1068" s="18">
        <f>IFERROR(__xludf.DUMMYFUNCTION("""COMPUTED_VALUE"""),10.0)</f>
        <v>10</v>
      </c>
      <c r="K1068" s="18">
        <f>IFERROR(__xludf.DUMMYFUNCTION("""COMPUTED_VALUE"""),16.0)</f>
        <v>16</v>
      </c>
      <c r="L1068" s="17">
        <f>IFERROR(__xludf.DUMMYFUNCTION("""COMPUTED_VALUE"""),3.145790696E9)</f>
        <v>3145790696</v>
      </c>
      <c r="M1068" s="17" t="str">
        <f>IFERROR(__xludf.DUMMYFUNCTION("""COMPUTED_VALUE"""),"#REF!")</f>
        <v>#REF!</v>
      </c>
      <c r="N1068" s="17"/>
      <c r="O1068" s="19" t="str">
        <f>IFERROR(__xludf.DUMMYFUNCTION("""COMPUTED_VALUE"""),"")</f>
        <v/>
      </c>
      <c r="P1068" s="17" t="b">
        <f>IFERROR(__xludf.DUMMYFUNCTION("""COMPUTED_VALUE"""),FALSE)</f>
        <v>0</v>
      </c>
      <c r="Q1068" s="20" t="str">
        <f>IFERROR(__xludf.DUMMYFUNCTION("""COMPUTED_VALUE"""),"")</f>
        <v/>
      </c>
      <c r="R1068" s="22" t="str">
        <f>IFERROR(__xludf.DUMMYFUNCTION("""COMPUTED_VALUE"""),"")</f>
        <v/>
      </c>
    </row>
    <row r="1069">
      <c r="A1069" s="15">
        <f>IFERROR(__xludf.DUMMYFUNCTION("""COMPUTED_VALUE"""),45030.0)</f>
        <v>45030</v>
      </c>
      <c r="B1069" s="16" t="str">
        <f>IFERROR(__xludf.DUMMYFUNCTION("""COMPUTED_VALUE"""),"Envia")</f>
        <v>Envia</v>
      </c>
      <c r="C1069" s="15" t="str">
        <f>IFERROR(__xludf.DUMMYFUNCTION("""COMPUTED_VALUE"""),"SANTA MARTA")</f>
        <v>SANTA MARTA</v>
      </c>
      <c r="D1069" s="15" t="str">
        <f>IFERROR(__xludf.DUMMYFUNCTION("""COMPUTED_VALUE"""),"MEDELLÍN")</f>
        <v>MEDELLÍN</v>
      </c>
      <c r="E1069" s="15" t="str">
        <f>IFERROR(__xludf.DUMMYFUNCTION("""COMPUTED_VALUE"""),"Moloso S.A.S")</f>
        <v>Moloso S.A.S</v>
      </c>
      <c r="F1069" s="17" t="str">
        <f>IFERROR(__xludf.DUMMYFUNCTION("""COMPUTED_VALUE"""),"CL29A 13B 71 / ED LA CASTELLAN AP 1402")</f>
        <v>CL29A 13B 71 / ED LA CASTELLAN AP 1402</v>
      </c>
      <c r="G1069" s="15" t="str">
        <f>IFERROR(__xludf.DUMMYFUNCTION("""COMPUTED_VALUE"""),"MARCELA FONTALVO")</f>
        <v>MARCELA FONTALVO</v>
      </c>
      <c r="H1069" s="16">
        <f>IFERROR(__xludf.DUMMYFUNCTION("""COMPUTED_VALUE"""),9691.0)</f>
        <v>9691</v>
      </c>
      <c r="I1069" s="18">
        <f>IFERROR(__xludf.DUMMYFUNCTION("""COMPUTED_VALUE"""),17.0)</f>
        <v>17</v>
      </c>
      <c r="J1069" s="18">
        <f>IFERROR(__xludf.DUMMYFUNCTION("""COMPUTED_VALUE"""),15.0)</f>
        <v>15</v>
      </c>
      <c r="K1069" s="18">
        <f>IFERROR(__xludf.DUMMYFUNCTION("""COMPUTED_VALUE"""),28.0)</f>
        <v>28</v>
      </c>
      <c r="L1069" s="17" t="str">
        <f>IFERROR(__xludf.DUMMYFUNCTION("""COMPUTED_VALUE"""),"312 6230219")</f>
        <v>312 6230219</v>
      </c>
      <c r="M1069" s="17" t="str">
        <f>IFERROR(__xludf.DUMMYFUNCTION("""COMPUTED_VALUE"""),"#REF!")</f>
        <v>#REF!</v>
      </c>
      <c r="N1069" s="17"/>
      <c r="O1069" s="19" t="str">
        <f>IFERROR(__xludf.DUMMYFUNCTION("""COMPUTED_VALUE"""),"")</f>
        <v/>
      </c>
      <c r="P1069" s="17" t="b">
        <f>IFERROR(__xludf.DUMMYFUNCTION("""COMPUTED_VALUE"""),FALSE)</f>
        <v>0</v>
      </c>
      <c r="Q1069" s="20" t="str">
        <f>IFERROR(__xludf.DUMMYFUNCTION("""COMPUTED_VALUE"""),"")</f>
        <v/>
      </c>
      <c r="R1069" s="22" t="str">
        <f>IFERROR(__xludf.DUMMYFUNCTION("""COMPUTED_VALUE"""),"")</f>
        <v/>
      </c>
    </row>
    <row r="1070">
      <c r="A1070" s="15">
        <f>IFERROR(__xludf.DUMMYFUNCTION("""COMPUTED_VALUE"""),45030.0)</f>
        <v>45030</v>
      </c>
      <c r="B1070" s="16" t="str">
        <f>IFERROR(__xludf.DUMMYFUNCTION("""COMPUTED_VALUE"""),"Envia")</f>
        <v>Envia</v>
      </c>
      <c r="C1070" s="15" t="str">
        <f>IFERROR(__xludf.DUMMYFUNCTION("""COMPUTED_VALUE"""),"SANTA MARTA")</f>
        <v>SANTA MARTA</v>
      </c>
      <c r="D1070" s="15" t="str">
        <f>IFERROR(__xludf.DUMMYFUNCTION("""COMPUTED_VALUE"""),"MEDELLÍN")</f>
        <v>MEDELLÍN</v>
      </c>
      <c r="E1070" s="15" t="str">
        <f>IFERROR(__xludf.DUMMYFUNCTION("""COMPUTED_VALUE"""),"Terravocado")</f>
        <v>Terravocado</v>
      </c>
      <c r="F1070" s="17" t="str">
        <f>IFERROR(__xludf.DUMMYFUNCTION("""COMPUTED_VALUE"""),"Calle 18 # 4-5 / barrio centro / barrio centro")</f>
        <v>Calle 18 # 4-5 / barrio centro / barrio centro</v>
      </c>
      <c r="G1070" s="15" t="str">
        <f>IFERROR(__xludf.DUMMYFUNCTION("""COMPUTED_VALUE"""),"Delear taqueria")</f>
        <v>Delear taqueria</v>
      </c>
      <c r="H1070" s="16">
        <f>IFERROR(__xludf.DUMMYFUNCTION("""COMPUTED_VALUE"""),9606.0)</f>
        <v>9606</v>
      </c>
      <c r="I1070" s="18">
        <f>IFERROR(__xludf.DUMMYFUNCTION("""COMPUTED_VALUE"""),20.0)</f>
        <v>20</v>
      </c>
      <c r="J1070" s="18">
        <f>IFERROR(__xludf.DUMMYFUNCTION("""COMPUTED_VALUE"""),34.0)</f>
        <v>34</v>
      </c>
      <c r="K1070" s="18">
        <f>IFERROR(__xludf.DUMMYFUNCTION("""COMPUTED_VALUE"""),25.0)</f>
        <v>25</v>
      </c>
      <c r="L1070" s="17">
        <f>IFERROR(__xludf.DUMMYFUNCTION("""COMPUTED_VALUE"""),3.13672152E9)</f>
        <v>3136721520</v>
      </c>
      <c r="M1070" s="17" t="str">
        <f>IFERROR(__xludf.DUMMYFUNCTION("""COMPUTED_VALUE"""),"#REF!")</f>
        <v>#REF!</v>
      </c>
      <c r="N1070" s="17"/>
      <c r="O1070" s="19" t="str">
        <f>IFERROR(__xludf.DUMMYFUNCTION("""COMPUTED_VALUE"""),"")</f>
        <v/>
      </c>
      <c r="P1070" s="17" t="b">
        <f>IFERROR(__xludf.DUMMYFUNCTION("""COMPUTED_VALUE"""),FALSE)</f>
        <v>0</v>
      </c>
      <c r="Q1070" s="20" t="str">
        <f>IFERROR(__xludf.DUMMYFUNCTION("""COMPUTED_VALUE"""),"")</f>
        <v/>
      </c>
      <c r="R1070" s="22" t="str">
        <f>IFERROR(__xludf.DUMMYFUNCTION("""COMPUTED_VALUE"""),"")</f>
        <v/>
      </c>
    </row>
    <row r="1071">
      <c r="A1071" s="15">
        <f>IFERROR(__xludf.DUMMYFUNCTION("""COMPUTED_VALUE"""),45030.0)</f>
        <v>45030</v>
      </c>
      <c r="B1071" s="16" t="str">
        <f>IFERROR(__xludf.DUMMYFUNCTION("""COMPUTED_VALUE"""),"Envia")</f>
        <v>Envia</v>
      </c>
      <c r="C1071" s="15" t="str">
        <f>IFERROR(__xludf.DUMMYFUNCTION("""COMPUTED_VALUE"""),"VILLAVICENCIO")</f>
        <v>VILLAVICENCIO</v>
      </c>
      <c r="D1071" s="15" t="str">
        <f>IFERROR(__xludf.DUMMYFUNCTION("""COMPUTED_VALUE"""),"BOGOTÁ")</f>
        <v>BOGOTÁ</v>
      </c>
      <c r="E1071" s="15" t="str">
        <f>IFERROR(__xludf.DUMMYFUNCTION("""COMPUTED_VALUE"""),"Pan de Waffle")</f>
        <v>Pan de Waffle</v>
      </c>
      <c r="F1071" s="17" t="str">
        <f>IFERROR(__xludf.DUMMYFUNCTION("""COMPUTED_VALUE"""),"Calle 15 # 44D - 28 LOCAL 1 Edifi. Palos de Caña / Calle 15 # 44D - 28 LOCAL 1 Edifi. Palos de Caña / Calle 15 # 44D - 28 LOCAL 1 Edifi. Palos de Caña")</f>
        <v>Calle 15 # 44D - 28 LOCAL 1 Edifi. Palos de Caña / Calle 15 # 44D - 28 LOCAL 1 Edifi. Palos de Caña / Calle 15 # 44D - 28 LOCAL 1 Edifi. Palos de Caña</v>
      </c>
      <c r="G1071" s="15" t="str">
        <f>IFERROR(__xludf.DUMMYFUNCTION("""COMPUTED_VALUE"""),"Sana Tentación")</f>
        <v>Sana Tentación</v>
      </c>
      <c r="H1071" s="16">
        <f>IFERROR(__xludf.DUMMYFUNCTION("""COMPUTED_VALUE"""),9724.0)</f>
        <v>9724</v>
      </c>
      <c r="I1071" s="18">
        <f>IFERROR(__xludf.DUMMYFUNCTION("""COMPUTED_VALUE"""),40.0)</f>
        <v>40</v>
      </c>
      <c r="J1071" s="18">
        <f>IFERROR(__xludf.DUMMYFUNCTION("""COMPUTED_VALUE"""),30.0)</f>
        <v>30</v>
      </c>
      <c r="K1071" s="18">
        <f>IFERROR(__xludf.DUMMYFUNCTION("""COMPUTED_VALUE"""),40.0)</f>
        <v>40</v>
      </c>
      <c r="L1071" s="17">
        <f>IFERROR(__xludf.DUMMYFUNCTION("""COMPUTED_VALUE"""),3.20865425E9)</f>
        <v>3208654250</v>
      </c>
      <c r="M1071" s="17" t="str">
        <f>IFERROR(__xludf.DUMMYFUNCTION("""COMPUTED_VALUE"""),"#REF!")</f>
        <v>#REF!</v>
      </c>
      <c r="N1071" s="17"/>
      <c r="O1071" s="19" t="str">
        <f>IFERROR(__xludf.DUMMYFUNCTION("""COMPUTED_VALUE"""),"")</f>
        <v/>
      </c>
      <c r="P1071" s="17" t="b">
        <f>IFERROR(__xludf.DUMMYFUNCTION("""COMPUTED_VALUE"""),FALSE)</f>
        <v>0</v>
      </c>
      <c r="Q1071" s="20" t="str">
        <f>IFERROR(__xludf.DUMMYFUNCTION("""COMPUTED_VALUE"""),"")</f>
        <v/>
      </c>
      <c r="R1071" s="22" t="str">
        <f>IFERROR(__xludf.DUMMYFUNCTION("""COMPUTED_VALUE"""),"")</f>
        <v/>
      </c>
    </row>
    <row r="1072">
      <c r="A1072" s="17" t="str">
        <f>IFERROR(__xludf.DUMMYFUNCTION("""COMPUTED_VALUE"""),"")</f>
        <v/>
      </c>
      <c r="B1072" s="17" t="str">
        <f>IFERROR(__xludf.DUMMYFUNCTION("""COMPUTED_VALUE"""),"")</f>
        <v/>
      </c>
      <c r="C1072" s="17" t="str">
        <f>IFERROR(__xludf.DUMMYFUNCTION("""COMPUTED_VALUE"""),"")</f>
        <v/>
      </c>
      <c r="D1072" s="17" t="str">
        <f>IFERROR(__xludf.DUMMYFUNCTION("""COMPUTED_VALUE"""),"")</f>
        <v/>
      </c>
      <c r="E1072" s="17" t="str">
        <f>IFERROR(__xludf.DUMMYFUNCTION("""COMPUTED_VALUE"""),"")</f>
        <v/>
      </c>
      <c r="F1072" s="17" t="str">
        <f>IFERROR(__xludf.DUMMYFUNCTION("""COMPUTED_VALUE"""),"")</f>
        <v/>
      </c>
      <c r="G1072" s="17" t="str">
        <f>IFERROR(__xludf.DUMMYFUNCTION("""COMPUTED_VALUE"""),"")</f>
        <v/>
      </c>
      <c r="H1072" s="17" t="str">
        <f>IFERROR(__xludf.DUMMYFUNCTION("""COMPUTED_VALUE"""),"")</f>
        <v/>
      </c>
      <c r="I1072" s="17" t="str">
        <f>IFERROR(__xludf.DUMMYFUNCTION("""COMPUTED_VALUE"""),"")</f>
        <v/>
      </c>
      <c r="J1072" s="17" t="str">
        <f>IFERROR(__xludf.DUMMYFUNCTION("""COMPUTED_VALUE"""),"")</f>
        <v/>
      </c>
      <c r="K1072" s="17" t="str">
        <f>IFERROR(__xludf.DUMMYFUNCTION("""COMPUTED_VALUE"""),"")</f>
        <v/>
      </c>
      <c r="L1072" s="17" t="str">
        <f>IFERROR(__xludf.DUMMYFUNCTION("""COMPUTED_VALUE"""),"")</f>
        <v/>
      </c>
      <c r="M1072" s="17" t="str">
        <f>IFERROR(__xludf.DUMMYFUNCTION("""COMPUTED_VALUE"""),"")</f>
        <v/>
      </c>
      <c r="N1072" s="17" t="str">
        <f>IFERROR(__xludf.DUMMYFUNCTION("""COMPUTED_VALUE"""),"")</f>
        <v/>
      </c>
      <c r="O1072" s="17" t="str">
        <f>IFERROR(__xludf.DUMMYFUNCTION("""COMPUTED_VALUE"""),"")</f>
        <v/>
      </c>
      <c r="P1072" s="17" t="str">
        <f>IFERROR(__xludf.DUMMYFUNCTION("""COMPUTED_VALUE"""),"")</f>
        <v/>
      </c>
      <c r="Q1072" s="17" t="str">
        <f>IFERROR(__xludf.DUMMYFUNCTION("""COMPUTED_VALUE"""),"")</f>
        <v/>
      </c>
      <c r="R1072" s="17" t="str">
        <f>IFERROR(__xludf.DUMMYFUNCTION("""COMPUTED_VALUE"""),"")</f>
        <v/>
      </c>
    </row>
    <row r="1073">
      <c r="A1073" s="15">
        <f>IFERROR(__xludf.DUMMYFUNCTION("""COMPUTED_VALUE"""),45030.0)</f>
        <v>45030</v>
      </c>
      <c r="B1073" s="16" t="str">
        <f>IFERROR(__xludf.DUMMYFUNCTION("""COMPUTED_VALUE"""),"Jeison Rubiano")</f>
        <v>Jeison Rubiano</v>
      </c>
      <c r="C1073" s="15" t="str">
        <f>IFERROR(__xludf.DUMMYFUNCTION("""COMPUTED_VALUE"""),"BOGOTÁ")</f>
        <v>BOGOTÁ</v>
      </c>
      <c r="D1073" s="15" t="str">
        <f>IFERROR(__xludf.DUMMYFUNCTION("""COMPUTED_VALUE"""),"MEDELLÍN")</f>
        <v>MEDELLÍN</v>
      </c>
      <c r="E1073" s="15" t="str">
        <f>IFERROR(__xludf.DUMMYFUNCTION("""COMPUTED_VALUE"""),"Baby Chef")</f>
        <v>Baby Chef</v>
      </c>
      <c r="F1073" s="17" t="str">
        <f>IFERROR(__xludf.DUMMYFUNCTION("""COMPUTED_VALUE"""),"Calle 129# 54-75 interior 11 apto 303 Conjunto el poblado / Calle 129 54 75 Interior 11 Int 11 apto 303 / Calle 129# 54-75 interior 11 apto 303 Conjunto el poblado")</f>
        <v>Calle 129# 54-75 interior 11 apto 303 Conjunto el poblado / Calle 129 54 75 Interior 11 Int 11 apto 303 / Calle 129# 54-75 interior 11 apto 303 Conjunto el poblado</v>
      </c>
      <c r="G1073" s="15" t="str">
        <f>IFERROR(__xludf.DUMMYFUNCTION("""COMPUTED_VALUE"""),"Leydy Tatiana Yate rodriguez")</f>
        <v>Leydy Tatiana Yate rodriguez</v>
      </c>
      <c r="H1073" s="16">
        <f>IFERROR(__xludf.DUMMYFUNCTION("""COMPUTED_VALUE"""),9708.0)</f>
        <v>9708</v>
      </c>
      <c r="I1073" s="18">
        <f>IFERROR(__xludf.DUMMYFUNCTION("""COMPUTED_VALUE"""),8.0)</f>
        <v>8</v>
      </c>
      <c r="J1073" s="18">
        <f>IFERROR(__xludf.DUMMYFUNCTION("""COMPUTED_VALUE"""),16.0)</f>
        <v>16</v>
      </c>
      <c r="K1073" s="18">
        <f>IFERROR(__xludf.DUMMYFUNCTION("""COMPUTED_VALUE"""),20.0)</f>
        <v>20</v>
      </c>
      <c r="L1073" s="17">
        <f>IFERROR(__xludf.DUMMYFUNCTION("""COMPUTED_VALUE"""),3.058113207E9)</f>
        <v>3058113207</v>
      </c>
      <c r="M1073" s="17" t="str">
        <f>IFERROR(__xludf.DUMMYFUNCTION("""COMPUTED_VALUE"""),"#REF!")</f>
        <v>#REF!</v>
      </c>
      <c r="N1073" s="17"/>
      <c r="O1073" s="19" t="str">
        <f>IFERROR(__xludf.DUMMYFUNCTION("""COMPUTED_VALUE"""),"")</f>
        <v/>
      </c>
      <c r="P1073" s="17" t="b">
        <f>IFERROR(__xludf.DUMMYFUNCTION("""COMPUTED_VALUE"""),FALSE)</f>
        <v>0</v>
      </c>
      <c r="Q1073" s="20" t="str">
        <f>IFERROR(__xludf.DUMMYFUNCTION("""COMPUTED_VALUE"""),"")</f>
        <v/>
      </c>
      <c r="R1073" s="22" t="str">
        <f>IFERROR(__xludf.DUMMYFUNCTION("""COMPUTED_VALUE"""),"")</f>
        <v/>
      </c>
    </row>
    <row r="1074">
      <c r="A1074" s="15">
        <f>IFERROR(__xludf.DUMMYFUNCTION("""COMPUTED_VALUE"""),45030.0)</f>
        <v>45030</v>
      </c>
      <c r="B1074" s="16" t="str">
        <f>IFERROR(__xludf.DUMMYFUNCTION("""COMPUTED_VALUE"""),"Jeison Rubiano")</f>
        <v>Jeison Rubiano</v>
      </c>
      <c r="C1074" s="15" t="str">
        <f>IFERROR(__xludf.DUMMYFUNCTION("""COMPUTED_VALUE"""),"BOGOTÁ")</f>
        <v>BOGOTÁ</v>
      </c>
      <c r="D1074" s="15" t="str">
        <f>IFERROR(__xludf.DUMMYFUNCTION("""COMPUTED_VALUE"""),"MEDELLÍN")</f>
        <v>MEDELLÍN</v>
      </c>
      <c r="E1074" s="15" t="str">
        <f>IFERROR(__xludf.DUMMYFUNCTION("""COMPUTED_VALUE"""),"Baby Chef")</f>
        <v>Baby Chef</v>
      </c>
      <c r="F1074" s="17" t="str">
        <f>IFERROR(__xludf.DUMMYFUNCTION("""COMPUTED_VALUE"""),"calle 152 # 56-72 int 2 apto 202, conjunto Mazurén 20 / conjunto Mazurén 20 / conjunto Mazurén 20")</f>
        <v>calle 152 # 56-72 int 2 apto 202, conjunto Mazurén 20 / conjunto Mazurén 20 / conjunto Mazurén 20</v>
      </c>
      <c r="G1074" s="15" t="str">
        <f>IFERROR(__xludf.DUMMYFUNCTION("""COMPUTED_VALUE"""),"María Cristina  Bermudez Buelvas")</f>
        <v>María Cristina  Bermudez Buelvas</v>
      </c>
      <c r="H1074" s="16">
        <f>IFERROR(__xludf.DUMMYFUNCTION("""COMPUTED_VALUE"""),9703.0)</f>
        <v>9703</v>
      </c>
      <c r="I1074" s="18">
        <f>IFERROR(__xludf.DUMMYFUNCTION("""COMPUTED_VALUE"""),8.0)</f>
        <v>8</v>
      </c>
      <c r="J1074" s="18">
        <f>IFERROR(__xludf.DUMMYFUNCTION("""COMPUTED_VALUE"""),16.0)</f>
        <v>16</v>
      </c>
      <c r="K1074" s="18">
        <f>IFERROR(__xludf.DUMMYFUNCTION("""COMPUTED_VALUE"""),20.0)</f>
        <v>20</v>
      </c>
      <c r="L1074" s="17">
        <f>IFERROR(__xludf.DUMMYFUNCTION("""COMPUTED_VALUE"""),3.1646822E9)</f>
        <v>3164682200</v>
      </c>
      <c r="M1074" s="17" t="str">
        <f>IFERROR(__xludf.DUMMYFUNCTION("""COMPUTED_VALUE"""),"#REF!")</f>
        <v>#REF!</v>
      </c>
      <c r="N1074" s="17"/>
      <c r="O1074" s="19" t="str">
        <f>IFERROR(__xludf.DUMMYFUNCTION("""COMPUTED_VALUE"""),"")</f>
        <v/>
      </c>
      <c r="P1074" s="17" t="b">
        <f>IFERROR(__xludf.DUMMYFUNCTION("""COMPUTED_VALUE"""),FALSE)</f>
        <v>0</v>
      </c>
      <c r="Q1074" s="20" t="str">
        <f>IFERROR(__xludf.DUMMYFUNCTION("""COMPUTED_VALUE"""),"")</f>
        <v/>
      </c>
      <c r="R1074" s="22" t="str">
        <f>IFERROR(__xludf.DUMMYFUNCTION("""COMPUTED_VALUE"""),"")</f>
        <v/>
      </c>
    </row>
    <row r="1075">
      <c r="A1075" s="15">
        <f>IFERROR(__xludf.DUMMYFUNCTION("""COMPUTED_VALUE"""),45030.0)</f>
        <v>45030</v>
      </c>
      <c r="B1075" s="16" t="str">
        <f>IFERROR(__xludf.DUMMYFUNCTION("""COMPUTED_VALUE"""),"Jeison Rubiano")</f>
        <v>Jeison Rubiano</v>
      </c>
      <c r="C1075" s="15" t="str">
        <f>IFERROR(__xludf.DUMMYFUNCTION("""COMPUTED_VALUE"""),"BOGOTÁ")</f>
        <v>BOGOTÁ</v>
      </c>
      <c r="D1075" s="15" t="str">
        <f>IFERROR(__xludf.DUMMYFUNCTION("""COMPUTED_VALUE"""),"MEDELLÍN")</f>
        <v>MEDELLÍN</v>
      </c>
      <c r="E1075" s="15" t="str">
        <f>IFERROR(__xludf.DUMMYFUNCTION("""COMPUTED_VALUE"""),"Baby Chef")</f>
        <v>Baby Chef</v>
      </c>
      <c r="F1075" s="17" t="str">
        <f>IFERROR(__xludf.DUMMYFUNCTION("""COMPUTED_VALUE"""),"Calle 168 # 9-11 interior 14 casa 7  Barrio Pradera Norte / Calle 168 # 9-11 interior 14 casa 7  Barrio Pradera Norte / Calle 168 # 9-11 interior 14 casa 7  Barrio Pradera Norte")</f>
        <v>Calle 168 # 9-11 interior 14 casa 7  Barrio Pradera Norte / Calle 168 # 9-11 interior 14 casa 7  Barrio Pradera Norte / Calle 168 # 9-11 interior 14 casa 7  Barrio Pradera Norte</v>
      </c>
      <c r="G1075" s="15" t="str">
        <f>IFERROR(__xludf.DUMMYFUNCTION("""COMPUTED_VALUE"""),"Paola  Zapata")</f>
        <v>Paola  Zapata</v>
      </c>
      <c r="H1075" s="16">
        <f>IFERROR(__xludf.DUMMYFUNCTION("""COMPUTED_VALUE"""),9702.0)</f>
        <v>9702</v>
      </c>
      <c r="I1075" s="18">
        <f>IFERROR(__xludf.DUMMYFUNCTION("""COMPUTED_VALUE"""),8.0)</f>
        <v>8</v>
      </c>
      <c r="J1075" s="18">
        <f>IFERROR(__xludf.DUMMYFUNCTION("""COMPUTED_VALUE"""),16.0)</f>
        <v>16</v>
      </c>
      <c r="K1075" s="18">
        <f>IFERROR(__xludf.DUMMYFUNCTION("""COMPUTED_VALUE"""),20.0)</f>
        <v>20</v>
      </c>
      <c r="L1075" s="17">
        <f>IFERROR(__xludf.DUMMYFUNCTION("""COMPUTED_VALUE"""),3.046517756E9)</f>
        <v>3046517756</v>
      </c>
      <c r="M1075" s="17" t="str">
        <f>IFERROR(__xludf.DUMMYFUNCTION("""COMPUTED_VALUE"""),"#REF!")</f>
        <v>#REF!</v>
      </c>
      <c r="N1075" s="17"/>
      <c r="O1075" s="19" t="str">
        <f>IFERROR(__xludf.DUMMYFUNCTION("""COMPUTED_VALUE"""),"")</f>
        <v/>
      </c>
      <c r="P1075" s="17" t="b">
        <f>IFERROR(__xludf.DUMMYFUNCTION("""COMPUTED_VALUE"""),FALSE)</f>
        <v>0</v>
      </c>
      <c r="Q1075" s="20" t="str">
        <f>IFERROR(__xludf.DUMMYFUNCTION("""COMPUTED_VALUE"""),"")</f>
        <v/>
      </c>
      <c r="R1075" s="22" t="str">
        <f>IFERROR(__xludf.DUMMYFUNCTION("""COMPUTED_VALUE"""),"")</f>
        <v/>
      </c>
    </row>
    <row r="1076">
      <c r="A1076" s="15">
        <f>IFERROR(__xludf.DUMMYFUNCTION("""COMPUTED_VALUE"""),45030.0)</f>
        <v>45030</v>
      </c>
      <c r="B1076" s="16" t="str">
        <f>IFERROR(__xludf.DUMMYFUNCTION("""COMPUTED_VALUE"""),"Jeison Rubiano")</f>
        <v>Jeison Rubiano</v>
      </c>
      <c r="C1076" s="15" t="str">
        <f>IFERROR(__xludf.DUMMYFUNCTION("""COMPUTED_VALUE"""),"BOGOTÁ")</f>
        <v>BOGOTÁ</v>
      </c>
      <c r="D1076" s="15" t="str">
        <f>IFERROR(__xludf.DUMMYFUNCTION("""COMPUTED_VALUE"""),"MEDELLÍN")</f>
        <v>MEDELLÍN</v>
      </c>
      <c r="E1076" s="15" t="str">
        <f>IFERROR(__xludf.DUMMYFUNCTION("""COMPUTED_VALUE"""),"Baby Chef")</f>
        <v>Baby Chef</v>
      </c>
      <c r="F1076" s="17" t="str">
        <f>IFERROR(__xludf.DUMMYFUNCTION("""COMPUTED_VALUE"""),"Calle 63 #23 - 40 Apartamento 304 Edificio Urapanes / Calle 63 #23 - 40 Apartamento 304 Edificio Urapanes / Calle 63 #23 - 40 Apartamento 304 Edificio Urapanes")</f>
        <v>Calle 63 #23 - 40 Apartamento 304 Edificio Urapanes / Calle 63 #23 - 40 Apartamento 304 Edificio Urapanes / Calle 63 #23 - 40 Apartamento 304 Edificio Urapanes</v>
      </c>
      <c r="G1076" s="15" t="str">
        <f>IFERROR(__xludf.DUMMYFUNCTION("""COMPUTED_VALUE"""),"Lilián Romero Ferreira")</f>
        <v>Lilián Romero Ferreira</v>
      </c>
      <c r="H1076" s="16">
        <f>IFERROR(__xludf.DUMMYFUNCTION("""COMPUTED_VALUE"""),9700.0)</f>
        <v>9700</v>
      </c>
      <c r="I1076" s="18">
        <f>IFERROR(__xludf.DUMMYFUNCTION("""COMPUTED_VALUE"""),8.0)</f>
        <v>8</v>
      </c>
      <c r="J1076" s="18">
        <f>IFERROR(__xludf.DUMMYFUNCTION("""COMPUTED_VALUE"""),16.0)</f>
        <v>16</v>
      </c>
      <c r="K1076" s="18">
        <f>IFERROR(__xludf.DUMMYFUNCTION("""COMPUTED_VALUE"""),20.0)</f>
        <v>20</v>
      </c>
      <c r="L1076" s="17">
        <f>IFERROR(__xludf.DUMMYFUNCTION("""COMPUTED_VALUE"""),3.102899498E9)</f>
        <v>3102899498</v>
      </c>
      <c r="M1076" s="17" t="str">
        <f>IFERROR(__xludf.DUMMYFUNCTION("""COMPUTED_VALUE"""),"#REF!")</f>
        <v>#REF!</v>
      </c>
      <c r="N1076" s="17"/>
      <c r="O1076" s="19" t="str">
        <f>IFERROR(__xludf.DUMMYFUNCTION("""COMPUTED_VALUE"""),"")</f>
        <v/>
      </c>
      <c r="P1076" s="17" t="b">
        <f>IFERROR(__xludf.DUMMYFUNCTION("""COMPUTED_VALUE"""),FALSE)</f>
        <v>0</v>
      </c>
      <c r="Q1076" s="20" t="str">
        <f>IFERROR(__xludf.DUMMYFUNCTION("""COMPUTED_VALUE"""),"")</f>
        <v/>
      </c>
      <c r="R1076" s="22" t="str">
        <f>IFERROR(__xludf.DUMMYFUNCTION("""COMPUTED_VALUE"""),"")</f>
        <v/>
      </c>
    </row>
    <row r="1077">
      <c r="A1077" s="15">
        <f>IFERROR(__xludf.DUMMYFUNCTION("""COMPUTED_VALUE"""),45030.0)</f>
        <v>45030</v>
      </c>
      <c r="B1077" s="16" t="str">
        <f>IFERROR(__xludf.DUMMYFUNCTION("""COMPUTED_VALUE"""),"Jeison Rubiano")</f>
        <v>Jeison Rubiano</v>
      </c>
      <c r="C1077" s="15" t="str">
        <f>IFERROR(__xludf.DUMMYFUNCTION("""COMPUTED_VALUE"""),"BOGOTÁ")</f>
        <v>BOGOTÁ</v>
      </c>
      <c r="D1077" s="15" t="str">
        <f>IFERROR(__xludf.DUMMYFUNCTION("""COMPUTED_VALUE"""),"MEDELLÍN")</f>
        <v>MEDELLÍN</v>
      </c>
      <c r="E1077" s="15" t="str">
        <f>IFERROR(__xludf.DUMMYFUNCTION("""COMPUTED_VALUE"""),"Baby Chef")</f>
        <v>Baby Chef</v>
      </c>
      <c r="F1077" s="17" t="str">
        <f>IFERROR(__xludf.DUMMYFUNCTION("""COMPUTED_VALUE"""),"Calle 77B # 120A-40, Oeste de granada. bloque 2 Apartamento 609 Barrio: Gran Granada / Calle 77B # 120A-40 Bloque 2, Apartamento 609 / En el apartamento se encuentra mi mami con el bebé, agradezco si puedes ingresar para entregar el pedido en el apto. No "&amp;"puede dejar el bebe solo")</f>
        <v>Calle 77B # 120A-40, Oeste de granada. bloque 2 Apartamento 609 Barrio: Gran Granada / Calle 77B # 120A-40 Bloque 2, Apartamento 609 / En el apartamento se encuentra mi mami con el bebé, agradezco si puedes ingresar para entregar el pedido en el apto. No puede dejar el bebe solo</v>
      </c>
      <c r="G1077" s="15" t="str">
        <f>IFERROR(__xludf.DUMMYFUNCTION("""COMPUTED_VALUE"""),"Adriana Marcela  Molano Gongora")</f>
        <v>Adriana Marcela  Molano Gongora</v>
      </c>
      <c r="H1077" s="16">
        <f>IFERROR(__xludf.DUMMYFUNCTION("""COMPUTED_VALUE"""),9697.0)</f>
        <v>9697</v>
      </c>
      <c r="I1077" s="18">
        <f>IFERROR(__xludf.DUMMYFUNCTION("""COMPUTED_VALUE"""),8.0)</f>
        <v>8</v>
      </c>
      <c r="J1077" s="18">
        <f>IFERROR(__xludf.DUMMYFUNCTION("""COMPUTED_VALUE"""),16.0)</f>
        <v>16</v>
      </c>
      <c r="K1077" s="18">
        <f>IFERROR(__xludf.DUMMYFUNCTION("""COMPUTED_VALUE"""),20.0)</f>
        <v>20</v>
      </c>
      <c r="L1077" s="17">
        <f>IFERROR(__xludf.DUMMYFUNCTION("""COMPUTED_VALUE"""),3.12557894E9)</f>
        <v>3125578940</v>
      </c>
      <c r="M1077" s="17" t="str">
        <f>IFERROR(__xludf.DUMMYFUNCTION("""COMPUTED_VALUE"""),"#REF!")</f>
        <v>#REF!</v>
      </c>
      <c r="N1077" s="17"/>
      <c r="O1077" s="19" t="str">
        <f>IFERROR(__xludf.DUMMYFUNCTION("""COMPUTED_VALUE"""),"")</f>
        <v/>
      </c>
      <c r="P1077" s="17" t="b">
        <f>IFERROR(__xludf.DUMMYFUNCTION("""COMPUTED_VALUE"""),FALSE)</f>
        <v>0</v>
      </c>
      <c r="Q1077" s="20" t="str">
        <f>IFERROR(__xludf.DUMMYFUNCTION("""COMPUTED_VALUE"""),"")</f>
        <v/>
      </c>
      <c r="R1077" s="22" t="str">
        <f>IFERROR(__xludf.DUMMYFUNCTION("""COMPUTED_VALUE"""),"")</f>
        <v/>
      </c>
    </row>
    <row r="1078">
      <c r="A1078" s="15">
        <f>IFERROR(__xludf.DUMMYFUNCTION("""COMPUTED_VALUE"""),45030.0)</f>
        <v>45030</v>
      </c>
      <c r="B1078" s="16" t="str">
        <f>IFERROR(__xludf.DUMMYFUNCTION("""COMPUTED_VALUE"""),"Jeison Rubiano")</f>
        <v>Jeison Rubiano</v>
      </c>
      <c r="C1078" s="15" t="str">
        <f>IFERROR(__xludf.DUMMYFUNCTION("""COMPUTED_VALUE"""),"BOGOTÁ")</f>
        <v>BOGOTÁ</v>
      </c>
      <c r="D1078" s="15" t="str">
        <f>IFERROR(__xludf.DUMMYFUNCTION("""COMPUTED_VALUE"""),"MEDELLÍN")</f>
        <v>MEDELLÍN</v>
      </c>
      <c r="E1078" s="15" t="str">
        <f>IFERROR(__xludf.DUMMYFUNCTION("""COMPUTED_VALUE"""),"Baby Chef")</f>
        <v>Baby Chef</v>
      </c>
      <c r="F1078" s="17" t="str">
        <f>IFERROR(__xludf.DUMMYFUNCTION("""COMPUTED_VALUE"""),"Calle 81 #115-80 Trr 4 apto 309 Multifamiliares el Cortijo / Calle 81 # 115-80 Trr 4 apto 309 / Calle 81 #115-80 Trr 4 apto 309 Multifamiliares el Cortijo")</f>
        <v>Calle 81 #115-80 Trr 4 apto 309 Multifamiliares el Cortijo / Calle 81 # 115-80 Trr 4 apto 309 / Calle 81 #115-80 Trr 4 apto 309 Multifamiliares el Cortijo</v>
      </c>
      <c r="G1078" s="15" t="str">
        <f>IFERROR(__xludf.DUMMYFUNCTION("""COMPUTED_VALUE"""),"Alejandra  Sanchez")</f>
        <v>Alejandra  Sanchez</v>
      </c>
      <c r="H1078" s="16">
        <f>IFERROR(__xludf.DUMMYFUNCTION("""COMPUTED_VALUE"""),9707.0)</f>
        <v>9707</v>
      </c>
      <c r="I1078" s="18">
        <f>IFERROR(__xludf.DUMMYFUNCTION("""COMPUTED_VALUE"""),8.0)</f>
        <v>8</v>
      </c>
      <c r="J1078" s="18">
        <f>IFERROR(__xludf.DUMMYFUNCTION("""COMPUTED_VALUE"""),16.0)</f>
        <v>16</v>
      </c>
      <c r="K1078" s="18">
        <f>IFERROR(__xludf.DUMMYFUNCTION("""COMPUTED_VALUE"""),20.0)</f>
        <v>20</v>
      </c>
      <c r="L1078" s="17">
        <f>IFERROR(__xludf.DUMMYFUNCTION("""COMPUTED_VALUE"""),3.142355571E9)</f>
        <v>3142355571</v>
      </c>
      <c r="M1078" s="17" t="str">
        <f>IFERROR(__xludf.DUMMYFUNCTION("""COMPUTED_VALUE"""),"#REF!")</f>
        <v>#REF!</v>
      </c>
      <c r="N1078" s="17"/>
      <c r="O1078" s="19" t="str">
        <f>IFERROR(__xludf.DUMMYFUNCTION("""COMPUTED_VALUE"""),"")</f>
        <v/>
      </c>
      <c r="P1078" s="17" t="b">
        <f>IFERROR(__xludf.DUMMYFUNCTION("""COMPUTED_VALUE"""),FALSE)</f>
        <v>0</v>
      </c>
      <c r="Q1078" s="20" t="str">
        <f>IFERROR(__xludf.DUMMYFUNCTION("""COMPUTED_VALUE"""),"")</f>
        <v/>
      </c>
      <c r="R1078" s="22" t="str">
        <f>IFERROR(__xludf.DUMMYFUNCTION("""COMPUTED_VALUE"""),"")</f>
        <v/>
      </c>
    </row>
    <row r="1079">
      <c r="A1079" s="15">
        <f>IFERROR(__xludf.DUMMYFUNCTION("""COMPUTED_VALUE"""),45030.0)</f>
        <v>45030</v>
      </c>
      <c r="B1079" s="16" t="str">
        <f>IFERROR(__xludf.DUMMYFUNCTION("""COMPUTED_VALUE"""),"Jeison Rubiano")</f>
        <v>Jeison Rubiano</v>
      </c>
      <c r="C1079" s="15" t="str">
        <f>IFERROR(__xludf.DUMMYFUNCTION("""COMPUTED_VALUE"""),"BOGOTÁ")</f>
        <v>BOGOTÁ</v>
      </c>
      <c r="D1079" s="15" t="str">
        <f>IFERROR(__xludf.DUMMYFUNCTION("""COMPUTED_VALUE"""),"MEDELLÍN")</f>
        <v>MEDELLÍN</v>
      </c>
      <c r="E1079" s="15" t="str">
        <f>IFERROR(__xludf.DUMMYFUNCTION("""COMPUTED_VALUE"""),"Baby Chef")</f>
        <v>Baby Chef</v>
      </c>
      <c r="F1079" s="17" t="str">
        <f>IFERROR(__xludf.DUMMYFUNCTION("""COMPUTED_VALUE"""),"Carrera 10 5-29 Sur Edificio La Flora Apto 702 Barrio Ciudad Berna / Carrera 10 5-29 Sur Edificio La Flora Apto 702 / Barrio Ciudad Berna")</f>
        <v>Carrera 10 5-29 Sur Edificio La Flora Apto 702 Barrio Ciudad Berna / Carrera 10 5-29 Sur Edificio La Flora Apto 702 / Barrio Ciudad Berna</v>
      </c>
      <c r="G1079" s="15" t="str">
        <f>IFERROR(__xludf.DUMMYFUNCTION("""COMPUTED_VALUE"""),"Angela Espinel numero de llamar 305 8289015 el otro es para WhatsApp")</f>
        <v>Angela Espinel numero de llamar 305 8289015 el otro es para WhatsApp</v>
      </c>
      <c r="H1079" s="16">
        <f>IFERROR(__xludf.DUMMYFUNCTION("""COMPUTED_VALUE"""),9701.0)</f>
        <v>9701</v>
      </c>
      <c r="I1079" s="18">
        <f>IFERROR(__xludf.DUMMYFUNCTION("""COMPUTED_VALUE"""),8.0)</f>
        <v>8</v>
      </c>
      <c r="J1079" s="18">
        <f>IFERROR(__xludf.DUMMYFUNCTION("""COMPUTED_VALUE"""),16.0)</f>
        <v>16</v>
      </c>
      <c r="K1079" s="18">
        <f>IFERROR(__xludf.DUMMYFUNCTION("""COMPUTED_VALUE"""),20.0)</f>
        <v>20</v>
      </c>
      <c r="L1079" s="17">
        <f>IFERROR(__xludf.DUMMYFUNCTION("""COMPUTED_VALUE"""),3.209052064E9)</f>
        <v>3209052064</v>
      </c>
      <c r="M1079" s="17" t="str">
        <f>IFERROR(__xludf.DUMMYFUNCTION("""COMPUTED_VALUE"""),"#REF!")</f>
        <v>#REF!</v>
      </c>
      <c r="N1079" s="17"/>
      <c r="O1079" s="19" t="str">
        <f>IFERROR(__xludf.DUMMYFUNCTION("""COMPUTED_VALUE"""),"")</f>
        <v/>
      </c>
      <c r="P1079" s="17" t="b">
        <f>IFERROR(__xludf.DUMMYFUNCTION("""COMPUTED_VALUE"""),FALSE)</f>
        <v>0</v>
      </c>
      <c r="Q1079" s="20" t="str">
        <f>IFERROR(__xludf.DUMMYFUNCTION("""COMPUTED_VALUE"""),"")</f>
        <v/>
      </c>
      <c r="R1079" s="22" t="str">
        <f>IFERROR(__xludf.DUMMYFUNCTION("""COMPUTED_VALUE"""),"")</f>
        <v/>
      </c>
    </row>
    <row r="1080">
      <c r="A1080" s="15">
        <f>IFERROR(__xludf.DUMMYFUNCTION("""COMPUTED_VALUE"""),45030.0)</f>
        <v>45030</v>
      </c>
      <c r="B1080" s="16" t="str">
        <f>IFERROR(__xludf.DUMMYFUNCTION("""COMPUTED_VALUE"""),"Jeison Rubiano")</f>
        <v>Jeison Rubiano</v>
      </c>
      <c r="C1080" s="15" t="str">
        <f>IFERROR(__xludf.DUMMYFUNCTION("""COMPUTED_VALUE"""),"BOGOTÁ")</f>
        <v>BOGOTÁ</v>
      </c>
      <c r="D1080" s="15" t="str">
        <f>IFERROR(__xludf.DUMMYFUNCTION("""COMPUTED_VALUE"""),"MEDELLÍN")</f>
        <v>MEDELLÍN</v>
      </c>
      <c r="E1080" s="15" t="str">
        <f>IFERROR(__xludf.DUMMYFUNCTION("""COMPUTED_VALUE"""),"Baby Chef")</f>
        <v>Baby Chef</v>
      </c>
      <c r="F1080" s="17" t="str">
        <f>IFERROR(__xludf.DUMMYFUNCTION("""COMPUTED_VALUE"""),"Carrera 135 #17 - 35 apartamento 1414 torre 2. Puente Grande - Fontibon Bogotá / Carrera 135 #17-35 Apartamento 2 Torre 2 / Puente Grande - Fontibon Bogotá")</f>
        <v>Carrera 135 #17 - 35 apartamento 1414 torre 2. Puente Grande - Fontibon Bogotá / Carrera 135 #17-35 Apartamento 2 Torre 2 / Puente Grande - Fontibon Bogotá</v>
      </c>
      <c r="G1080" s="15" t="str">
        <f>IFERROR(__xludf.DUMMYFUNCTION("""COMPUTED_VALUE"""),"Karen Bello. PIDE ENTREGAR LO MAS TARDE POSIBLE")</f>
        <v>Karen Bello. PIDE ENTREGAR LO MAS TARDE POSIBLE</v>
      </c>
      <c r="H1080" s="16">
        <f>IFERROR(__xludf.DUMMYFUNCTION("""COMPUTED_VALUE"""),9706.0)</f>
        <v>9706</v>
      </c>
      <c r="I1080" s="18">
        <f>IFERROR(__xludf.DUMMYFUNCTION("""COMPUTED_VALUE"""),8.0)</f>
        <v>8</v>
      </c>
      <c r="J1080" s="18">
        <f>IFERROR(__xludf.DUMMYFUNCTION("""COMPUTED_VALUE"""),16.0)</f>
        <v>16</v>
      </c>
      <c r="K1080" s="18">
        <f>IFERROR(__xludf.DUMMYFUNCTION("""COMPUTED_VALUE"""),20.0)</f>
        <v>20</v>
      </c>
      <c r="L1080" s="17">
        <f>IFERROR(__xludf.DUMMYFUNCTION("""COMPUTED_VALUE"""),3.132051092E9)</f>
        <v>3132051092</v>
      </c>
      <c r="M1080" s="17" t="str">
        <f>IFERROR(__xludf.DUMMYFUNCTION("""COMPUTED_VALUE"""),"#REF!")</f>
        <v>#REF!</v>
      </c>
      <c r="N1080" s="17"/>
      <c r="O1080" s="19" t="str">
        <f>IFERROR(__xludf.DUMMYFUNCTION("""COMPUTED_VALUE"""),"")</f>
        <v/>
      </c>
      <c r="P1080" s="17" t="b">
        <f>IFERROR(__xludf.DUMMYFUNCTION("""COMPUTED_VALUE"""),FALSE)</f>
        <v>0</v>
      </c>
      <c r="Q1080" s="20" t="str">
        <f>IFERROR(__xludf.DUMMYFUNCTION("""COMPUTED_VALUE"""),"")</f>
        <v/>
      </c>
      <c r="R1080" s="22" t="str">
        <f>IFERROR(__xludf.DUMMYFUNCTION("""COMPUTED_VALUE"""),"")</f>
        <v/>
      </c>
    </row>
    <row r="1081">
      <c r="A1081" s="15">
        <f>IFERROR(__xludf.DUMMYFUNCTION("""COMPUTED_VALUE"""),45030.0)</f>
        <v>45030</v>
      </c>
      <c r="B1081" s="16" t="str">
        <f>IFERROR(__xludf.DUMMYFUNCTION("""COMPUTED_VALUE"""),"Jeison Rubiano")</f>
        <v>Jeison Rubiano</v>
      </c>
      <c r="C1081" s="15" t="str">
        <f>IFERROR(__xludf.DUMMYFUNCTION("""COMPUTED_VALUE"""),"BOGOTÁ")</f>
        <v>BOGOTÁ</v>
      </c>
      <c r="D1081" s="15" t="str">
        <f>IFERROR(__xludf.DUMMYFUNCTION("""COMPUTED_VALUE"""),"MEDELLÍN")</f>
        <v>MEDELLÍN</v>
      </c>
      <c r="E1081" s="15" t="str">
        <f>IFERROR(__xludf.DUMMYFUNCTION("""COMPUTED_VALUE"""),"Baby Chef")</f>
        <v>Baby Chef</v>
      </c>
      <c r="F1081" s="17" t="str">
        <f>IFERROR(__xludf.DUMMYFUNCTION("""COMPUTED_VALUE"""),"Carrera 16a 143 38 apartamento 504 torres majui  Cedritos. / Carrera 16a 143 38 apartamento 504 torres majui  Cedritos. / Carrera 16a 143 38 apartamento 504 torres majui  Cedritos.")</f>
        <v>Carrera 16a 143 38 apartamento 504 torres majui  Cedritos. / Carrera 16a 143 38 apartamento 504 torres majui  Cedritos. / Carrera 16a 143 38 apartamento 504 torres majui  Cedritos.</v>
      </c>
      <c r="G1081" s="15" t="str">
        <f>IFERROR(__xludf.DUMMYFUNCTION("""COMPUTED_VALUE"""),"Maribel Carreño")</f>
        <v>Maribel Carreño</v>
      </c>
      <c r="H1081" s="16">
        <f>IFERROR(__xludf.DUMMYFUNCTION("""COMPUTED_VALUE"""),9699.0)</f>
        <v>9699</v>
      </c>
      <c r="I1081" s="18">
        <f>IFERROR(__xludf.DUMMYFUNCTION("""COMPUTED_VALUE"""),8.0)</f>
        <v>8</v>
      </c>
      <c r="J1081" s="18">
        <f>IFERROR(__xludf.DUMMYFUNCTION("""COMPUTED_VALUE"""),16.0)</f>
        <v>16</v>
      </c>
      <c r="K1081" s="18">
        <f>IFERROR(__xludf.DUMMYFUNCTION("""COMPUTED_VALUE"""),20.0)</f>
        <v>20</v>
      </c>
      <c r="L1081" s="17">
        <f>IFERROR(__xludf.DUMMYFUNCTION("""COMPUTED_VALUE"""),3.108644697E9)</f>
        <v>3108644697</v>
      </c>
      <c r="M1081" s="17" t="str">
        <f>IFERROR(__xludf.DUMMYFUNCTION("""COMPUTED_VALUE"""),"#REF!")</f>
        <v>#REF!</v>
      </c>
      <c r="N1081" s="17"/>
      <c r="O1081" s="19" t="str">
        <f>IFERROR(__xludf.DUMMYFUNCTION("""COMPUTED_VALUE"""),"")</f>
        <v/>
      </c>
      <c r="P1081" s="17" t="b">
        <f>IFERROR(__xludf.DUMMYFUNCTION("""COMPUTED_VALUE"""),FALSE)</f>
        <v>0</v>
      </c>
      <c r="Q1081" s="20" t="str">
        <f>IFERROR(__xludf.DUMMYFUNCTION("""COMPUTED_VALUE"""),"")</f>
        <v/>
      </c>
      <c r="R1081" s="22" t="str">
        <f>IFERROR(__xludf.DUMMYFUNCTION("""COMPUTED_VALUE"""),"")</f>
        <v/>
      </c>
    </row>
    <row r="1082">
      <c r="A1082" s="15">
        <f>IFERROR(__xludf.DUMMYFUNCTION("""COMPUTED_VALUE"""),45030.0)</f>
        <v>45030</v>
      </c>
      <c r="B1082" s="16" t="str">
        <f>IFERROR(__xludf.DUMMYFUNCTION("""COMPUTED_VALUE"""),"Jeison Rubiano")</f>
        <v>Jeison Rubiano</v>
      </c>
      <c r="C1082" s="15" t="str">
        <f>IFERROR(__xludf.DUMMYFUNCTION("""COMPUTED_VALUE"""),"BOGOTÁ")</f>
        <v>BOGOTÁ</v>
      </c>
      <c r="D1082" s="15" t="str">
        <f>IFERROR(__xludf.DUMMYFUNCTION("""COMPUTED_VALUE"""),"MEDELLÍN")</f>
        <v>MEDELLÍN</v>
      </c>
      <c r="E1082" s="15" t="str">
        <f>IFERROR(__xludf.DUMMYFUNCTION("""COMPUTED_VALUE"""),"Baby Chef")</f>
        <v>Baby Chef</v>
      </c>
      <c r="F1082" s="17" t="str">
        <f>IFERROR(__xludf.DUMMYFUNCTION("""COMPUTED_VALUE"""),"Carrera 21 114-20 apto 101 edificio Cerezo  Bogotá / Carrera 21 114-20 Edificio Cerezo apto 101 /  Edificio Cerezo apto 101")</f>
        <v>Carrera 21 114-20 apto 101 edificio Cerezo  Bogotá / Carrera 21 114-20 Edificio Cerezo apto 101 /  Edificio Cerezo apto 101</v>
      </c>
      <c r="G1082" s="15" t="str">
        <f>IFERROR(__xludf.DUMMYFUNCTION("""COMPUTED_VALUE"""),"Laura Martinez")</f>
        <v>Laura Martinez</v>
      </c>
      <c r="H1082" s="16">
        <f>IFERROR(__xludf.DUMMYFUNCTION("""COMPUTED_VALUE"""),9705.0)</f>
        <v>9705</v>
      </c>
      <c r="I1082" s="18">
        <f>IFERROR(__xludf.DUMMYFUNCTION("""COMPUTED_VALUE"""),8.0)</f>
        <v>8</v>
      </c>
      <c r="J1082" s="18">
        <f>IFERROR(__xludf.DUMMYFUNCTION("""COMPUTED_VALUE"""),16.0)</f>
        <v>16</v>
      </c>
      <c r="K1082" s="18">
        <f>IFERROR(__xludf.DUMMYFUNCTION("""COMPUTED_VALUE"""),20.0)</f>
        <v>20</v>
      </c>
      <c r="L1082" s="17">
        <f>IFERROR(__xludf.DUMMYFUNCTION("""COMPUTED_VALUE"""),3.152629963E9)</f>
        <v>3152629963</v>
      </c>
      <c r="M1082" s="17" t="str">
        <f>IFERROR(__xludf.DUMMYFUNCTION("""COMPUTED_VALUE"""),"#REF!")</f>
        <v>#REF!</v>
      </c>
      <c r="N1082" s="17"/>
      <c r="O1082" s="19" t="str">
        <f>IFERROR(__xludf.DUMMYFUNCTION("""COMPUTED_VALUE"""),"")</f>
        <v/>
      </c>
      <c r="P1082" s="17" t="b">
        <f>IFERROR(__xludf.DUMMYFUNCTION("""COMPUTED_VALUE"""),FALSE)</f>
        <v>0</v>
      </c>
      <c r="Q1082" s="20" t="str">
        <f>IFERROR(__xludf.DUMMYFUNCTION("""COMPUTED_VALUE"""),"")</f>
        <v/>
      </c>
      <c r="R1082" s="22" t="str">
        <f>IFERROR(__xludf.DUMMYFUNCTION("""COMPUTED_VALUE"""),"")</f>
        <v/>
      </c>
    </row>
    <row r="1083">
      <c r="A1083" s="15">
        <f>IFERROR(__xludf.DUMMYFUNCTION("""COMPUTED_VALUE"""),45030.0)</f>
        <v>45030</v>
      </c>
      <c r="B1083" s="16" t="str">
        <f>IFERROR(__xludf.DUMMYFUNCTION("""COMPUTED_VALUE"""),"Jeison Rubiano")</f>
        <v>Jeison Rubiano</v>
      </c>
      <c r="C1083" s="15" t="str">
        <f>IFERROR(__xludf.DUMMYFUNCTION("""COMPUTED_VALUE"""),"BOGOTÁ")</f>
        <v>BOGOTÁ</v>
      </c>
      <c r="D1083" s="15" t="str">
        <f>IFERROR(__xludf.DUMMYFUNCTION("""COMPUTED_VALUE"""),"MEDELLÍN")</f>
        <v>MEDELLÍN</v>
      </c>
      <c r="E1083" s="15" t="str">
        <f>IFERROR(__xludf.DUMMYFUNCTION("""COMPUTED_VALUE"""),"Lácteos El Pino SAS")</f>
        <v>Lácteos El Pino SAS</v>
      </c>
      <c r="F1083" s="17" t="str">
        <f>IFERROR(__xludf.DUMMYFUNCTION("""COMPUTED_VALUE"""),"CALLE 93# 18 -81 / ENTREGAR EN EL LOCAL")</f>
        <v>CALLE 93# 18 -81 / ENTREGAR EN EL LOCAL</v>
      </c>
      <c r="G1083" s="15" t="str">
        <f>IFERROR(__xludf.DUMMYFUNCTION("""COMPUTED_VALUE"""),"KIM")</f>
        <v>KIM</v>
      </c>
      <c r="H1083" s="16">
        <f>IFERROR(__xludf.DUMMYFUNCTION("""COMPUTED_VALUE"""),9713.0)</f>
        <v>9713</v>
      </c>
      <c r="I1083" s="18">
        <f>IFERROR(__xludf.DUMMYFUNCTION("""COMPUTED_VALUE"""),33.0)</f>
        <v>33</v>
      </c>
      <c r="J1083" s="18">
        <f>IFERROR(__xludf.DUMMYFUNCTION("""COMPUTED_VALUE"""),22.0)</f>
        <v>22</v>
      </c>
      <c r="K1083" s="18">
        <f>IFERROR(__xludf.DUMMYFUNCTION("""COMPUTED_VALUE"""),36.0)</f>
        <v>36</v>
      </c>
      <c r="L1083" s="17"/>
      <c r="M1083" s="17" t="str">
        <f>IFERROR(__xludf.DUMMYFUNCTION("""COMPUTED_VALUE"""),"#REF!")</f>
        <v>#REF!</v>
      </c>
      <c r="N1083" s="17"/>
      <c r="O1083" s="19" t="str">
        <f>IFERROR(__xludf.DUMMYFUNCTION("""COMPUTED_VALUE"""),"")</f>
        <v/>
      </c>
      <c r="P1083" s="17" t="b">
        <f>IFERROR(__xludf.DUMMYFUNCTION("""COMPUTED_VALUE"""),FALSE)</f>
        <v>0</v>
      </c>
      <c r="Q1083" s="20" t="str">
        <f>IFERROR(__xludf.DUMMYFUNCTION("""COMPUTED_VALUE"""),"")</f>
        <v/>
      </c>
      <c r="R1083" s="22" t="str">
        <f>IFERROR(__xludf.DUMMYFUNCTION("""COMPUTED_VALUE"""),"")</f>
        <v/>
      </c>
    </row>
    <row r="1084">
      <c r="A1084" s="15">
        <f>IFERROR(__xludf.DUMMYFUNCTION("""COMPUTED_VALUE"""),45030.0)</f>
        <v>45030</v>
      </c>
      <c r="B1084" s="16" t="str">
        <f>IFERROR(__xludf.DUMMYFUNCTION("""COMPUTED_VALUE"""),"Jeison Rubiano")</f>
        <v>Jeison Rubiano</v>
      </c>
      <c r="C1084" s="15" t="str">
        <f>IFERROR(__xludf.DUMMYFUNCTION("""COMPUTED_VALUE"""),"BOGOTÁ")</f>
        <v>BOGOTÁ</v>
      </c>
      <c r="D1084" s="15" t="str">
        <f>IFERROR(__xludf.DUMMYFUNCTION("""COMPUTED_VALUE"""),"MEDELLÍN")</f>
        <v>MEDELLÍN</v>
      </c>
      <c r="E1084" s="15" t="str">
        <f>IFERROR(__xludf.DUMMYFUNCTION("""COMPUTED_VALUE"""),"Magda")</f>
        <v>Magda</v>
      </c>
      <c r="F1084" s="17" t="str">
        <f>IFERROR(__xludf.DUMMYFUNCTION("""COMPUTED_VALUE"""),"Calle 71a # 14a22/26 / cocona oculta san Felipe  / San felipe")</f>
        <v>Calle 71a # 14a22/26 / cocona oculta san Felipe  / San felipe</v>
      </c>
      <c r="G1084" s="15" t="str">
        <f>IFERROR(__xludf.DUMMYFUNCTION("""COMPUTED_VALUE"""),"Andrés Hernández")</f>
        <v>Andrés Hernández</v>
      </c>
      <c r="H1084" s="16">
        <f>IFERROR(__xludf.DUMMYFUNCTION("""COMPUTED_VALUE"""),9694.0)</f>
        <v>9694</v>
      </c>
      <c r="I1084" s="18">
        <f>IFERROR(__xludf.DUMMYFUNCTION("""COMPUTED_VALUE"""),55.0)</f>
        <v>55</v>
      </c>
      <c r="J1084" s="18">
        <f>IFERROR(__xludf.DUMMYFUNCTION("""COMPUTED_VALUE"""),45.0)</f>
        <v>45</v>
      </c>
      <c r="K1084" s="18" t="str">
        <f>IFERROR(__xludf.DUMMYFUNCTION("""COMPUTED_VALUE"""),"52.5")</f>
        <v>52.5</v>
      </c>
      <c r="L1084" s="17">
        <f>IFERROR(__xludf.DUMMYFUNCTION("""COMPUTED_VALUE"""),3.214229567E9)</f>
        <v>3214229567</v>
      </c>
      <c r="M1084" s="17" t="str">
        <f>IFERROR(__xludf.DUMMYFUNCTION("""COMPUTED_VALUE"""),"#REF!")</f>
        <v>#REF!</v>
      </c>
      <c r="N1084" s="17"/>
      <c r="O1084" s="19" t="str">
        <f>IFERROR(__xludf.DUMMYFUNCTION("""COMPUTED_VALUE"""),"")</f>
        <v/>
      </c>
      <c r="P1084" s="17" t="b">
        <f>IFERROR(__xludf.DUMMYFUNCTION("""COMPUTED_VALUE"""),FALSE)</f>
        <v>0</v>
      </c>
      <c r="Q1084" s="20" t="str">
        <f>IFERROR(__xludf.DUMMYFUNCTION("""COMPUTED_VALUE"""),"")</f>
        <v/>
      </c>
      <c r="R1084" s="22" t="str">
        <f>IFERROR(__xludf.DUMMYFUNCTION("""COMPUTED_VALUE"""),"")</f>
        <v/>
      </c>
    </row>
    <row r="1085">
      <c r="A1085" s="15">
        <f>IFERROR(__xludf.DUMMYFUNCTION("""COMPUTED_VALUE"""),45030.0)</f>
        <v>45030</v>
      </c>
      <c r="B1085" s="16" t="str">
        <f>IFERROR(__xludf.DUMMYFUNCTION("""COMPUTED_VALUE"""),"Jeison Rubiano")</f>
        <v>Jeison Rubiano</v>
      </c>
      <c r="C1085" s="15" t="str">
        <f>IFERROR(__xludf.DUMMYFUNCTION("""COMPUTED_VALUE"""),"BOGOTÁ")</f>
        <v>BOGOTÁ</v>
      </c>
      <c r="D1085" s="15" t="str">
        <f>IFERROR(__xludf.DUMMYFUNCTION("""COMPUTED_VALUE"""),"MEDELLÍN")</f>
        <v>MEDELLÍN</v>
      </c>
      <c r="E1085" s="15" t="str">
        <f>IFERROR(__xludf.DUMMYFUNCTION("""COMPUTED_VALUE"""),"Moloso S.A.S")</f>
        <v>Moloso S.A.S</v>
      </c>
      <c r="F1085" s="17" t="str">
        <f>IFERROR(__xludf.DUMMYFUNCTION("""COMPUTED_VALUE"""),"CL 23C 69B 56 / APTO 804 TORRE 4 CONJUNTO ALBORARIA")</f>
        <v>CL 23C 69B 56 / APTO 804 TORRE 4 CONJUNTO ALBORARIA</v>
      </c>
      <c r="G1085" s="15" t="str">
        <f>IFERROR(__xludf.DUMMYFUNCTION("""COMPUTED_VALUE"""),"CLAUDIA LILIANA SANCHEZ FINO")</f>
        <v>CLAUDIA LILIANA SANCHEZ FINO</v>
      </c>
      <c r="H1085" s="16">
        <f>IFERROR(__xludf.DUMMYFUNCTION("""COMPUTED_VALUE"""),9726.0)</f>
        <v>9726</v>
      </c>
      <c r="I1085" s="18">
        <f>IFERROR(__xludf.DUMMYFUNCTION("""COMPUTED_VALUE"""),17.0)</f>
        <v>17</v>
      </c>
      <c r="J1085" s="18">
        <f>IFERROR(__xludf.DUMMYFUNCTION("""COMPUTED_VALUE"""),15.0)</f>
        <v>15</v>
      </c>
      <c r="K1085" s="18">
        <f>IFERROR(__xludf.DUMMYFUNCTION("""COMPUTED_VALUE"""),28.0)</f>
        <v>28</v>
      </c>
      <c r="L1085" s="17" t="str">
        <f>IFERROR(__xludf.DUMMYFUNCTION("""COMPUTED_VALUE"""),"313 2626232")</f>
        <v>313 2626232</v>
      </c>
      <c r="M1085" s="17" t="str">
        <f>IFERROR(__xludf.DUMMYFUNCTION("""COMPUTED_VALUE"""),"#REF!")</f>
        <v>#REF!</v>
      </c>
      <c r="N1085" s="17"/>
      <c r="O1085" s="19" t="str">
        <f>IFERROR(__xludf.DUMMYFUNCTION("""COMPUTED_VALUE"""),"")</f>
        <v/>
      </c>
      <c r="P1085" s="17" t="b">
        <f>IFERROR(__xludf.DUMMYFUNCTION("""COMPUTED_VALUE"""),FALSE)</f>
        <v>0</v>
      </c>
      <c r="Q1085" s="20" t="str">
        <f>IFERROR(__xludf.DUMMYFUNCTION("""COMPUTED_VALUE"""),"")</f>
        <v/>
      </c>
      <c r="R1085" s="22" t="str">
        <f>IFERROR(__xludf.DUMMYFUNCTION("""COMPUTED_VALUE"""),"")</f>
        <v/>
      </c>
    </row>
    <row r="1086">
      <c r="A1086" s="15">
        <f>IFERROR(__xludf.DUMMYFUNCTION("""COMPUTED_VALUE"""),45030.0)</f>
        <v>45030</v>
      </c>
      <c r="B1086" s="16" t="str">
        <f>IFERROR(__xludf.DUMMYFUNCTION("""COMPUTED_VALUE"""),"Jeison Rubiano")</f>
        <v>Jeison Rubiano</v>
      </c>
      <c r="C1086" s="15" t="str">
        <f>IFERROR(__xludf.DUMMYFUNCTION("""COMPUTED_VALUE"""),"BOGOTÁ")</f>
        <v>BOGOTÁ</v>
      </c>
      <c r="D1086" s="15" t="str">
        <f>IFERROR(__xludf.DUMMYFUNCTION("""COMPUTED_VALUE"""),"MEDELLÍN")</f>
        <v>MEDELLÍN</v>
      </c>
      <c r="E1086" s="15" t="str">
        <f>IFERROR(__xludf.DUMMYFUNCTION("""COMPUTED_VALUE"""),"Rambla")</f>
        <v>Rambla</v>
      </c>
      <c r="F1086" s="17" t="str">
        <f>IFERROR(__xludf.DUMMYFUNCTION("""COMPUTED_VALUE"""),"Calle 20 sur # 12B 26 apto 402 barrio ciudad jardín sur / na / na")</f>
        <v>Calle 20 sur # 12B 26 apto 402 barrio ciudad jardín sur / na / na</v>
      </c>
      <c r="G1086" s="15" t="str">
        <f>IFERROR(__xludf.DUMMYFUNCTION("""COMPUTED_VALUE"""),"Elisa Joya")</f>
        <v>Elisa Joya</v>
      </c>
      <c r="H1086" s="16">
        <f>IFERROR(__xludf.DUMMYFUNCTION("""COMPUTED_VALUE"""),9718.0)</f>
        <v>9718</v>
      </c>
      <c r="I1086" s="18">
        <f>IFERROR(__xludf.DUMMYFUNCTION("""COMPUTED_VALUE"""),25.0)</f>
        <v>25</v>
      </c>
      <c r="J1086" s="18">
        <f>IFERROR(__xludf.DUMMYFUNCTION("""COMPUTED_VALUE"""),28.0)</f>
        <v>28</v>
      </c>
      <c r="K1086" s="18">
        <f>IFERROR(__xludf.DUMMYFUNCTION("""COMPUTED_VALUE"""),30.0)</f>
        <v>30</v>
      </c>
      <c r="L1086" s="17">
        <f>IFERROR(__xludf.DUMMYFUNCTION("""COMPUTED_VALUE"""),3.115842241E9)</f>
        <v>3115842241</v>
      </c>
      <c r="M1086" s="17" t="str">
        <f>IFERROR(__xludf.DUMMYFUNCTION("""COMPUTED_VALUE"""),"#REF!")</f>
        <v>#REF!</v>
      </c>
      <c r="N1086" s="17"/>
      <c r="O1086" s="19" t="str">
        <f>IFERROR(__xludf.DUMMYFUNCTION("""COMPUTED_VALUE"""),"")</f>
        <v/>
      </c>
      <c r="P1086" s="17" t="b">
        <f>IFERROR(__xludf.DUMMYFUNCTION("""COMPUTED_VALUE"""),FALSE)</f>
        <v>0</v>
      </c>
      <c r="Q1086" s="20" t="str">
        <f>IFERROR(__xludf.DUMMYFUNCTION("""COMPUTED_VALUE"""),"")</f>
        <v/>
      </c>
      <c r="R1086" s="22" t="str">
        <f>IFERROR(__xludf.DUMMYFUNCTION("""COMPUTED_VALUE"""),"")</f>
        <v/>
      </c>
    </row>
    <row r="1087">
      <c r="A1087" s="15">
        <f>IFERROR(__xludf.DUMMYFUNCTION("""COMPUTED_VALUE"""),45030.0)</f>
        <v>45030</v>
      </c>
      <c r="B1087" s="16" t="str">
        <f>IFERROR(__xludf.DUMMYFUNCTION("""COMPUTED_VALUE"""),"Jeison Rubiano")</f>
        <v>Jeison Rubiano</v>
      </c>
      <c r="C1087" s="15" t="str">
        <f>IFERROR(__xludf.DUMMYFUNCTION("""COMPUTED_VALUE"""),"BOGOTÁ")</f>
        <v>BOGOTÁ</v>
      </c>
      <c r="D1087" s="15" t="str">
        <f>IFERROR(__xludf.DUMMYFUNCTION("""COMPUTED_VALUE"""),"MEDELLÍN")</f>
        <v>MEDELLÍN</v>
      </c>
      <c r="E1087" s="15" t="str">
        <f>IFERROR(__xludf.DUMMYFUNCTION("""COMPUTED_VALUE"""),"Rambla")</f>
        <v>Rambla</v>
      </c>
      <c r="F1087" s="17" t="str">
        <f>IFERROR(__xludf.DUMMYFUNCTION("""COMPUTED_VALUE"""),"Calle 24 # 80B -82 - Modelia / na / na")</f>
        <v>Calle 24 # 80B -82 - Modelia / na / na</v>
      </c>
      <c r="G1087" s="15" t="str">
        <f>IFERROR(__xludf.DUMMYFUNCTION("""COMPUTED_VALUE"""),"Mercado Origenes - Yeimy Alexandra Garzón")</f>
        <v>Mercado Origenes - Yeimy Alexandra Garzón</v>
      </c>
      <c r="H1087" s="16">
        <f>IFERROR(__xludf.DUMMYFUNCTION("""COMPUTED_VALUE"""),9723.0)</f>
        <v>9723</v>
      </c>
      <c r="I1087" s="18">
        <f>IFERROR(__xludf.DUMMYFUNCTION("""COMPUTED_VALUE"""),25.0)</f>
        <v>25</v>
      </c>
      <c r="J1087" s="18">
        <f>IFERROR(__xludf.DUMMYFUNCTION("""COMPUTED_VALUE"""),28.0)</f>
        <v>28</v>
      </c>
      <c r="K1087" s="18">
        <f>IFERROR(__xludf.DUMMYFUNCTION("""COMPUTED_VALUE"""),30.0)</f>
        <v>30</v>
      </c>
      <c r="L1087" s="17">
        <f>IFERROR(__xludf.DUMMYFUNCTION("""COMPUTED_VALUE"""),3.136299043E9)</f>
        <v>3136299043</v>
      </c>
      <c r="M1087" s="17" t="str">
        <f>IFERROR(__xludf.DUMMYFUNCTION("""COMPUTED_VALUE"""),"#REF!")</f>
        <v>#REF!</v>
      </c>
      <c r="N1087" s="17"/>
      <c r="O1087" s="19" t="str">
        <f>IFERROR(__xludf.DUMMYFUNCTION("""COMPUTED_VALUE"""),"")</f>
        <v/>
      </c>
      <c r="P1087" s="17" t="b">
        <f>IFERROR(__xludf.DUMMYFUNCTION("""COMPUTED_VALUE"""),FALSE)</f>
        <v>0</v>
      </c>
      <c r="Q1087" s="20" t="str">
        <f>IFERROR(__xludf.DUMMYFUNCTION("""COMPUTED_VALUE"""),"")</f>
        <v/>
      </c>
      <c r="R1087" s="22" t="str">
        <f>IFERROR(__xludf.DUMMYFUNCTION("""COMPUTED_VALUE"""),"")</f>
        <v/>
      </c>
    </row>
    <row r="1088">
      <c r="A1088" s="15">
        <f>IFERROR(__xludf.DUMMYFUNCTION("""COMPUTED_VALUE"""),45030.0)</f>
        <v>45030</v>
      </c>
      <c r="B1088" s="16" t="str">
        <f>IFERROR(__xludf.DUMMYFUNCTION("""COMPUTED_VALUE"""),"Jeison Rubiano")</f>
        <v>Jeison Rubiano</v>
      </c>
      <c r="C1088" s="15" t="str">
        <f>IFERROR(__xludf.DUMMYFUNCTION("""COMPUTED_VALUE"""),"BOGOTÁ")</f>
        <v>BOGOTÁ</v>
      </c>
      <c r="D1088" s="15" t="str">
        <f>IFERROR(__xludf.DUMMYFUNCTION("""COMPUTED_VALUE"""),"MEDELLÍN")</f>
        <v>MEDELLÍN</v>
      </c>
      <c r="E1088" s="15" t="str">
        <f>IFERROR(__xludf.DUMMYFUNCTION("""COMPUTED_VALUE"""),"Rambla")</f>
        <v>Rambla</v>
      </c>
      <c r="F1088" s="17" t="str">
        <f>IFERROR(__xludf.DUMMYFUNCTION("""COMPUTED_VALUE"""),"Calle 41 a número 8-25 bulevar 42 apto 707 b  / na / na")</f>
        <v>Calle 41 a número 8-25 bulevar 42 apto 707 b  / na / na</v>
      </c>
      <c r="G1088" s="15" t="str">
        <f>IFERROR(__xludf.DUMMYFUNCTION("""COMPUTED_VALUE"""),"Nutriclicstore")</f>
        <v>Nutriclicstore</v>
      </c>
      <c r="H1088" s="16">
        <f>IFERROR(__xludf.DUMMYFUNCTION("""COMPUTED_VALUE"""),9719.0)</f>
        <v>9719</v>
      </c>
      <c r="I1088" s="18">
        <f>IFERROR(__xludf.DUMMYFUNCTION("""COMPUTED_VALUE"""),25.0)</f>
        <v>25</v>
      </c>
      <c r="J1088" s="18">
        <f>IFERROR(__xludf.DUMMYFUNCTION("""COMPUTED_VALUE"""),28.0)</f>
        <v>28</v>
      </c>
      <c r="K1088" s="18">
        <f>IFERROR(__xludf.DUMMYFUNCTION("""COMPUTED_VALUE"""),30.0)</f>
        <v>30</v>
      </c>
      <c r="L1088" s="17">
        <f>IFERROR(__xludf.DUMMYFUNCTION("""COMPUTED_VALUE"""),3.102661625E9)</f>
        <v>3102661625</v>
      </c>
      <c r="M1088" s="17" t="str">
        <f>IFERROR(__xludf.DUMMYFUNCTION("""COMPUTED_VALUE"""),"#REF!")</f>
        <v>#REF!</v>
      </c>
      <c r="N1088" s="17"/>
      <c r="O1088" s="19" t="str">
        <f>IFERROR(__xludf.DUMMYFUNCTION("""COMPUTED_VALUE"""),"")</f>
        <v/>
      </c>
      <c r="P1088" s="17" t="b">
        <f>IFERROR(__xludf.DUMMYFUNCTION("""COMPUTED_VALUE"""),FALSE)</f>
        <v>0</v>
      </c>
      <c r="Q1088" s="20" t="str">
        <f>IFERROR(__xludf.DUMMYFUNCTION("""COMPUTED_VALUE"""),"")</f>
        <v/>
      </c>
      <c r="R1088" s="22" t="str">
        <f>IFERROR(__xludf.DUMMYFUNCTION("""COMPUTED_VALUE"""),"")</f>
        <v/>
      </c>
    </row>
    <row r="1089">
      <c r="A1089" s="15">
        <f>IFERROR(__xludf.DUMMYFUNCTION("""COMPUTED_VALUE"""),45030.0)</f>
        <v>45030</v>
      </c>
      <c r="B1089" s="16" t="str">
        <f>IFERROR(__xludf.DUMMYFUNCTION("""COMPUTED_VALUE"""),"Jeison Rubiano")</f>
        <v>Jeison Rubiano</v>
      </c>
      <c r="C1089" s="15" t="str">
        <f>IFERROR(__xludf.DUMMYFUNCTION("""COMPUTED_VALUE"""),"BOGOTÁ")</f>
        <v>BOGOTÁ</v>
      </c>
      <c r="D1089" s="15" t="str">
        <f>IFERROR(__xludf.DUMMYFUNCTION("""COMPUTED_VALUE"""),"MEDELLÍN")</f>
        <v>MEDELLÍN</v>
      </c>
      <c r="E1089" s="15" t="str">
        <f>IFERROR(__xludf.DUMMYFUNCTION("""COMPUTED_VALUE"""),"Rambla")</f>
        <v>Rambla</v>
      </c>
      <c r="F1089" s="17" t="str">
        <f>IFERROR(__xludf.DUMMYFUNCTION("""COMPUTED_VALUE"""),"calle 71 #4-55 sede rosales / na / na")</f>
        <v>calle 71 #4-55 sede rosales / na / na</v>
      </c>
      <c r="G1089" s="15" t="str">
        <f>IFERROR(__xludf.DUMMYFUNCTION("""COMPUTED_VALUE"""),"Fit Market")</f>
        <v>Fit Market</v>
      </c>
      <c r="H1089" s="16">
        <f>IFERROR(__xludf.DUMMYFUNCTION("""COMPUTED_VALUE"""),9725.0)</f>
        <v>9725</v>
      </c>
      <c r="I1089" s="18">
        <f>IFERROR(__xludf.DUMMYFUNCTION("""COMPUTED_VALUE"""),28.0)</f>
        <v>28</v>
      </c>
      <c r="J1089" s="18">
        <f>IFERROR(__xludf.DUMMYFUNCTION("""COMPUTED_VALUE"""),30.0)</f>
        <v>30</v>
      </c>
      <c r="K1089" s="18">
        <f>IFERROR(__xludf.DUMMYFUNCTION("""COMPUTED_VALUE"""),25.0)</f>
        <v>25</v>
      </c>
      <c r="L1089" s="17">
        <f>IFERROR(__xludf.DUMMYFUNCTION("""COMPUTED_VALUE"""),3.183545455E9)</f>
        <v>3183545455</v>
      </c>
      <c r="M1089" s="17" t="str">
        <f>IFERROR(__xludf.DUMMYFUNCTION("""COMPUTED_VALUE"""),"#REF!")</f>
        <v>#REF!</v>
      </c>
      <c r="N1089" s="17"/>
      <c r="O1089" s="19" t="str">
        <f>IFERROR(__xludf.DUMMYFUNCTION("""COMPUTED_VALUE"""),"")</f>
        <v/>
      </c>
      <c r="P1089" s="17" t="b">
        <f>IFERROR(__xludf.DUMMYFUNCTION("""COMPUTED_VALUE"""),FALSE)</f>
        <v>0</v>
      </c>
      <c r="Q1089" s="20" t="str">
        <f>IFERROR(__xludf.DUMMYFUNCTION("""COMPUTED_VALUE"""),"")</f>
        <v/>
      </c>
      <c r="R1089" s="22" t="str">
        <f>IFERROR(__xludf.DUMMYFUNCTION("""COMPUTED_VALUE"""),"")</f>
        <v/>
      </c>
    </row>
    <row r="1090">
      <c r="A1090" s="15">
        <f>IFERROR(__xludf.DUMMYFUNCTION("""COMPUTED_VALUE"""),45030.0)</f>
        <v>45030</v>
      </c>
      <c r="B1090" s="16" t="str">
        <f>IFERROR(__xludf.DUMMYFUNCTION("""COMPUTED_VALUE"""),"Jeison Rubiano")</f>
        <v>Jeison Rubiano</v>
      </c>
      <c r="C1090" s="15" t="str">
        <f>IFERROR(__xludf.DUMMYFUNCTION("""COMPUTED_VALUE"""),"BOGOTÁ")</f>
        <v>BOGOTÁ</v>
      </c>
      <c r="D1090" s="15" t="str">
        <f>IFERROR(__xludf.DUMMYFUNCTION("""COMPUTED_VALUE"""),"MEDELLÍN")</f>
        <v>MEDELLÍN</v>
      </c>
      <c r="E1090" s="15" t="str">
        <f>IFERROR(__xludf.DUMMYFUNCTION("""COMPUTED_VALUE"""),"Rambla")</f>
        <v>Rambla</v>
      </c>
      <c r="F1090" s="17" t="str">
        <f>IFERROR(__xludf.DUMMYFUNCTION("""COMPUTED_VALUE"""),"Carrera 11 # 118 - 96 Apto 301 / na / na")</f>
        <v>Carrera 11 # 118 - 96 Apto 301 / na / na</v>
      </c>
      <c r="G1090" s="15" t="str">
        <f>IFERROR(__xludf.DUMMYFUNCTION("""COMPUTED_VALUE"""),"Mana Market - Angélica María Pachón")</f>
        <v>Mana Market - Angélica María Pachón</v>
      </c>
      <c r="H1090" s="16">
        <f>IFERROR(__xludf.DUMMYFUNCTION("""COMPUTED_VALUE"""),9717.0)</f>
        <v>9717</v>
      </c>
      <c r="I1090" s="18">
        <f>IFERROR(__xludf.DUMMYFUNCTION("""COMPUTED_VALUE"""),25.0)</f>
        <v>25</v>
      </c>
      <c r="J1090" s="18">
        <f>IFERROR(__xludf.DUMMYFUNCTION("""COMPUTED_VALUE"""),28.0)</f>
        <v>28</v>
      </c>
      <c r="K1090" s="18">
        <f>IFERROR(__xludf.DUMMYFUNCTION("""COMPUTED_VALUE"""),30.0)</f>
        <v>30</v>
      </c>
      <c r="L1090" s="17">
        <f>IFERROR(__xludf.DUMMYFUNCTION("""COMPUTED_VALUE"""),3.053685387E9)</f>
        <v>3053685387</v>
      </c>
      <c r="M1090" s="17" t="str">
        <f>IFERROR(__xludf.DUMMYFUNCTION("""COMPUTED_VALUE"""),"#REF!")</f>
        <v>#REF!</v>
      </c>
      <c r="N1090" s="17"/>
      <c r="O1090" s="19" t="str">
        <f>IFERROR(__xludf.DUMMYFUNCTION("""COMPUTED_VALUE"""),"")</f>
        <v/>
      </c>
      <c r="P1090" s="17" t="b">
        <f>IFERROR(__xludf.DUMMYFUNCTION("""COMPUTED_VALUE"""),FALSE)</f>
        <v>0</v>
      </c>
      <c r="Q1090" s="20" t="str">
        <f>IFERROR(__xludf.DUMMYFUNCTION("""COMPUTED_VALUE"""),"")</f>
        <v/>
      </c>
      <c r="R1090" s="22" t="str">
        <f>IFERROR(__xludf.DUMMYFUNCTION("""COMPUTED_VALUE"""),"")</f>
        <v/>
      </c>
    </row>
    <row r="1091">
      <c r="A1091" s="15">
        <f>IFERROR(__xludf.DUMMYFUNCTION("""COMPUTED_VALUE"""),45030.0)</f>
        <v>45030</v>
      </c>
      <c r="B1091" s="16" t="str">
        <f>IFERROR(__xludf.DUMMYFUNCTION("""COMPUTED_VALUE"""),"Jeison Rubiano")</f>
        <v>Jeison Rubiano</v>
      </c>
      <c r="C1091" s="15" t="str">
        <f>IFERROR(__xludf.DUMMYFUNCTION("""COMPUTED_VALUE"""),"BOGOTÁ")</f>
        <v>BOGOTÁ</v>
      </c>
      <c r="D1091" s="15" t="str">
        <f>IFERROR(__xludf.DUMMYFUNCTION("""COMPUTED_VALUE"""),"MEDELLÍN")</f>
        <v>MEDELLÍN</v>
      </c>
      <c r="E1091" s="15" t="str">
        <f>IFERROR(__xludf.DUMMYFUNCTION("""COMPUTED_VALUE"""),"Rambla")</f>
        <v>Rambla</v>
      </c>
      <c r="F1091" s="17" t="str">
        <f>IFERROR(__xludf.DUMMYFUNCTION("""COMPUTED_VALUE"""),"Cra 21 # 169 30  - Encargada Claudia Rodriguez / na / na")</f>
        <v>Cra 21 # 169 30  - Encargada Claudia Rodriguez / na / na</v>
      </c>
      <c r="G1091" s="15" t="str">
        <f>IFERROR(__xludf.DUMMYFUNCTION("""COMPUTED_VALUE"""),"Fitcook - Mary Mendez")</f>
        <v>Fitcook - Mary Mendez</v>
      </c>
      <c r="H1091" s="16">
        <f>IFERROR(__xludf.DUMMYFUNCTION("""COMPUTED_VALUE"""),9721.0)</f>
        <v>9721</v>
      </c>
      <c r="I1091" s="18">
        <f>IFERROR(__xludf.DUMMYFUNCTION("""COMPUTED_VALUE"""),25.0)</f>
        <v>25</v>
      </c>
      <c r="J1091" s="18">
        <f>IFERROR(__xludf.DUMMYFUNCTION("""COMPUTED_VALUE"""),28.0)</f>
        <v>28</v>
      </c>
      <c r="K1091" s="18">
        <f>IFERROR(__xludf.DUMMYFUNCTION("""COMPUTED_VALUE"""),30.0)</f>
        <v>30</v>
      </c>
      <c r="L1091" s="17">
        <f>IFERROR(__xludf.DUMMYFUNCTION("""COMPUTED_VALUE"""),3.505306579E9)</f>
        <v>3505306579</v>
      </c>
      <c r="M1091" s="17" t="str">
        <f>IFERROR(__xludf.DUMMYFUNCTION("""COMPUTED_VALUE"""),"#REF!")</f>
        <v>#REF!</v>
      </c>
      <c r="N1091" s="17"/>
      <c r="O1091" s="19" t="str">
        <f>IFERROR(__xludf.DUMMYFUNCTION("""COMPUTED_VALUE"""),"")</f>
        <v/>
      </c>
      <c r="P1091" s="17" t="b">
        <f>IFERROR(__xludf.DUMMYFUNCTION("""COMPUTED_VALUE"""),FALSE)</f>
        <v>0</v>
      </c>
      <c r="Q1091" s="20" t="str">
        <f>IFERROR(__xludf.DUMMYFUNCTION("""COMPUTED_VALUE"""),"")</f>
        <v/>
      </c>
      <c r="R1091" s="22" t="str">
        <f>IFERROR(__xludf.DUMMYFUNCTION("""COMPUTED_VALUE"""),"")</f>
        <v/>
      </c>
    </row>
    <row r="1092">
      <c r="A1092" s="15">
        <f>IFERROR(__xludf.DUMMYFUNCTION("""COMPUTED_VALUE"""),45030.0)</f>
        <v>45030</v>
      </c>
      <c r="B1092" s="16" t="str">
        <f>IFERROR(__xludf.DUMMYFUNCTION("""COMPUTED_VALUE"""),"Jeison Rubiano")</f>
        <v>Jeison Rubiano</v>
      </c>
      <c r="C1092" s="15" t="str">
        <f>IFERROR(__xludf.DUMMYFUNCTION("""COMPUTED_VALUE"""),"BOGOTÁ")</f>
        <v>BOGOTÁ</v>
      </c>
      <c r="D1092" s="15" t="str">
        <f>IFERROR(__xludf.DUMMYFUNCTION("""COMPUTED_VALUE"""),"MEDELLÍN")</f>
        <v>MEDELLÍN</v>
      </c>
      <c r="E1092" s="15" t="str">
        <f>IFERROR(__xludf.DUMMYFUNCTION("""COMPUTED_VALUE"""),"Rambla")</f>
        <v>Rambla</v>
      </c>
      <c r="F1092" s="17" t="str">
        <f>IFERROR(__xludf.DUMMYFUNCTION("""COMPUTED_VALUE"""),"cra 58 # 128-27 / na / na")</f>
        <v>cra 58 # 128-27 / na / na</v>
      </c>
      <c r="G1092" s="15" t="str">
        <f>IFERROR(__xludf.DUMMYFUNCTION("""COMPUTED_VALUE"""),"Amarte Market")</f>
        <v>Amarte Market</v>
      </c>
      <c r="H1092" s="16">
        <f>IFERROR(__xludf.DUMMYFUNCTION("""COMPUTED_VALUE"""),9722.0)</f>
        <v>9722</v>
      </c>
      <c r="I1092" s="18">
        <f>IFERROR(__xludf.DUMMYFUNCTION("""COMPUTED_VALUE"""),25.0)</f>
        <v>25</v>
      </c>
      <c r="J1092" s="18">
        <f>IFERROR(__xludf.DUMMYFUNCTION("""COMPUTED_VALUE"""),28.0)</f>
        <v>28</v>
      </c>
      <c r="K1092" s="18">
        <f>IFERROR(__xludf.DUMMYFUNCTION("""COMPUTED_VALUE"""),30.0)</f>
        <v>30</v>
      </c>
      <c r="L1092" s="17">
        <f>IFERROR(__xludf.DUMMYFUNCTION("""COMPUTED_VALUE"""),3.013659771E9)</f>
        <v>3013659771</v>
      </c>
      <c r="M1092" s="17" t="str">
        <f>IFERROR(__xludf.DUMMYFUNCTION("""COMPUTED_VALUE"""),"#REF!")</f>
        <v>#REF!</v>
      </c>
      <c r="N1092" s="17"/>
      <c r="O1092" s="19" t="str">
        <f>IFERROR(__xludf.DUMMYFUNCTION("""COMPUTED_VALUE"""),"")</f>
        <v/>
      </c>
      <c r="P1092" s="17" t="b">
        <f>IFERROR(__xludf.DUMMYFUNCTION("""COMPUTED_VALUE"""),FALSE)</f>
        <v>0</v>
      </c>
      <c r="Q1092" s="20" t="str">
        <f>IFERROR(__xludf.DUMMYFUNCTION("""COMPUTED_VALUE"""),"")</f>
        <v/>
      </c>
      <c r="R1092" s="22" t="str">
        <f>IFERROR(__xludf.DUMMYFUNCTION("""COMPUTED_VALUE"""),"")</f>
        <v/>
      </c>
    </row>
    <row r="1093">
      <c r="A1093" s="15">
        <f>IFERROR(__xludf.DUMMYFUNCTION("""COMPUTED_VALUE"""),45030.0)</f>
        <v>45030</v>
      </c>
      <c r="B1093" s="16" t="str">
        <f>IFERROR(__xludf.DUMMYFUNCTION("""COMPUTED_VALUE"""),"Jeison Rubiano")</f>
        <v>Jeison Rubiano</v>
      </c>
      <c r="C1093" s="15" t="str">
        <f>IFERROR(__xludf.DUMMYFUNCTION("""COMPUTED_VALUE"""),"VALLEDUPAR")</f>
        <v>VALLEDUPAR</v>
      </c>
      <c r="D1093" s="15" t="str">
        <f>IFERROR(__xludf.DUMMYFUNCTION("""COMPUTED_VALUE"""),"BOGOTÁ")</f>
        <v>BOGOTÁ</v>
      </c>
      <c r="E1093" s="15" t="str">
        <f>IFERROR(__xludf.DUMMYFUNCTION("""COMPUTED_VALUE"""),"Evamazzita")</f>
        <v>Evamazzita</v>
      </c>
      <c r="F1093" s="17" t="str">
        <f>IFERROR(__xludf.DUMMYFUNCTION("""COMPUTED_VALUE"""),"Diagonal 16 bis a # 24 - 38  / N/A / el cerrito")</f>
        <v>Diagonal 16 bis a # 24 - 38  / N/A / el cerrito</v>
      </c>
      <c r="G1093" s="15" t="str">
        <f>IFERROR(__xludf.DUMMYFUNCTION("""COMPUTED_VALUE"""),"YASMIN JIMENEZ")</f>
        <v>YASMIN JIMENEZ</v>
      </c>
      <c r="H1093" s="16">
        <f>IFERROR(__xludf.DUMMYFUNCTION("""COMPUTED_VALUE"""),9675.0)</f>
        <v>9675</v>
      </c>
      <c r="I1093" s="18">
        <f>IFERROR(__xludf.DUMMYFUNCTION("""COMPUTED_VALUE"""),3.0)</f>
        <v>3</v>
      </c>
      <c r="J1093" s="18">
        <f>IFERROR(__xludf.DUMMYFUNCTION("""COMPUTED_VALUE"""),20.0)</f>
        <v>20</v>
      </c>
      <c r="K1093" s="18">
        <f>IFERROR(__xludf.DUMMYFUNCTION("""COMPUTED_VALUE"""),15.0)</f>
        <v>15</v>
      </c>
      <c r="L1093" s="17">
        <f>IFERROR(__xludf.DUMMYFUNCTION("""COMPUTED_VALUE"""),3.00537979E9)</f>
        <v>3005379790</v>
      </c>
      <c r="M1093" s="17" t="str">
        <f>IFERROR(__xludf.DUMMYFUNCTION("""COMPUTED_VALUE"""),"#REF!")</f>
        <v>#REF!</v>
      </c>
      <c r="N1093" s="17"/>
      <c r="O1093" s="19" t="str">
        <f>IFERROR(__xludf.DUMMYFUNCTION("""COMPUTED_VALUE"""),"")</f>
        <v/>
      </c>
      <c r="P1093" s="17" t="b">
        <f>IFERROR(__xludf.DUMMYFUNCTION("""COMPUTED_VALUE"""),FALSE)</f>
        <v>0</v>
      </c>
      <c r="Q1093" s="20" t="str">
        <f>IFERROR(__xludf.DUMMYFUNCTION("""COMPUTED_VALUE"""),"")</f>
        <v/>
      </c>
      <c r="R1093" s="22" t="str">
        <f>IFERROR(__xludf.DUMMYFUNCTION("""COMPUTED_VALUE"""),"")</f>
        <v/>
      </c>
    </row>
    <row r="1094">
      <c r="A1094" s="15">
        <f>IFERROR(__xludf.DUMMYFUNCTION("""COMPUTED_VALUE"""),45030.0)</f>
        <v>45030</v>
      </c>
      <c r="B1094" s="16" t="str">
        <f>IFERROR(__xludf.DUMMYFUNCTION("""COMPUTED_VALUE"""),"Jeison Rubiano")</f>
        <v>Jeison Rubiano</v>
      </c>
      <c r="C1094" s="15" t="str">
        <f>IFERROR(__xludf.DUMMYFUNCTION("""COMPUTED_VALUE"""),"VALLEDUPAR")</f>
        <v>VALLEDUPAR</v>
      </c>
      <c r="D1094" s="15" t="str">
        <f>IFERROR(__xludf.DUMMYFUNCTION("""COMPUTED_VALUE"""),"BOGOTÁ")</f>
        <v>BOGOTÁ</v>
      </c>
      <c r="E1094" s="15" t="str">
        <f>IFERROR(__xludf.DUMMYFUNCTION("""COMPUTED_VALUE"""),"Lunchy Kids")</f>
        <v>Lunchy Kids</v>
      </c>
      <c r="F1094" s="17" t="str">
        <f>IFERROR(__xludf.DUMMYFUNCTION("""COMPUTED_VALUE"""),"Manzana 88 número 5 / Casa / Garupal 4ta etapa")</f>
        <v>Manzana 88 número 5 / Casa / Garupal 4ta etapa</v>
      </c>
      <c r="G1094" s="15" t="str">
        <f>IFERROR(__xludf.DUMMYFUNCTION("""COMPUTED_VALUE"""),"Liceth Carolina Daza Vergara")</f>
        <v>Liceth Carolina Daza Vergara</v>
      </c>
      <c r="H1094" s="16">
        <f>IFERROR(__xludf.DUMMYFUNCTION("""COMPUTED_VALUE"""),9651.0)</f>
        <v>9651</v>
      </c>
      <c r="I1094" s="18">
        <f>IFERROR(__xludf.DUMMYFUNCTION("""COMPUTED_VALUE"""),17.0)</f>
        <v>17</v>
      </c>
      <c r="J1094" s="18">
        <f>IFERROR(__xludf.DUMMYFUNCTION("""COMPUTED_VALUE"""),29.0)</f>
        <v>29</v>
      </c>
      <c r="K1094" s="18">
        <f>IFERROR(__xludf.DUMMYFUNCTION("""COMPUTED_VALUE"""),5.0)</f>
        <v>5</v>
      </c>
      <c r="L1094" s="17">
        <f>IFERROR(__xludf.DUMMYFUNCTION("""COMPUTED_VALUE"""),3.053620759E9)</f>
        <v>3053620759</v>
      </c>
      <c r="M1094" s="17" t="str">
        <f>IFERROR(__xludf.DUMMYFUNCTION("""COMPUTED_VALUE"""),"#REF!")</f>
        <v>#REF!</v>
      </c>
      <c r="N1094" s="17"/>
      <c r="O1094" s="19" t="str">
        <f>IFERROR(__xludf.DUMMYFUNCTION("""COMPUTED_VALUE"""),"")</f>
        <v/>
      </c>
      <c r="P1094" s="17" t="b">
        <f>IFERROR(__xludf.DUMMYFUNCTION("""COMPUTED_VALUE"""),FALSE)</f>
        <v>0</v>
      </c>
      <c r="Q1094" s="20" t="str">
        <f>IFERROR(__xludf.DUMMYFUNCTION("""COMPUTED_VALUE"""),"")</f>
        <v/>
      </c>
      <c r="R1094" s="22" t="str">
        <f>IFERROR(__xludf.DUMMYFUNCTION("""COMPUTED_VALUE"""),"")</f>
        <v/>
      </c>
    </row>
    <row r="1095">
      <c r="A1095" s="17" t="str">
        <f>IFERROR(__xludf.DUMMYFUNCTION("""COMPUTED_VALUE"""),"")</f>
        <v/>
      </c>
      <c r="B1095" s="17" t="str">
        <f>IFERROR(__xludf.DUMMYFUNCTION("""COMPUTED_VALUE"""),"")</f>
        <v/>
      </c>
      <c r="C1095" s="17" t="str">
        <f>IFERROR(__xludf.DUMMYFUNCTION("""COMPUTED_VALUE"""),"")</f>
        <v/>
      </c>
      <c r="D1095" s="17" t="str">
        <f>IFERROR(__xludf.DUMMYFUNCTION("""COMPUTED_VALUE"""),"")</f>
        <v/>
      </c>
      <c r="E1095" s="17" t="str">
        <f>IFERROR(__xludf.DUMMYFUNCTION("""COMPUTED_VALUE"""),"")</f>
        <v/>
      </c>
      <c r="F1095" s="17" t="str">
        <f>IFERROR(__xludf.DUMMYFUNCTION("""COMPUTED_VALUE"""),"")</f>
        <v/>
      </c>
      <c r="G1095" s="17" t="str">
        <f>IFERROR(__xludf.DUMMYFUNCTION("""COMPUTED_VALUE"""),"")</f>
        <v/>
      </c>
      <c r="H1095" s="17" t="str">
        <f>IFERROR(__xludf.DUMMYFUNCTION("""COMPUTED_VALUE"""),"")</f>
        <v/>
      </c>
      <c r="I1095" s="17" t="str">
        <f>IFERROR(__xludf.DUMMYFUNCTION("""COMPUTED_VALUE"""),"")</f>
        <v/>
      </c>
      <c r="J1095" s="17" t="str">
        <f>IFERROR(__xludf.DUMMYFUNCTION("""COMPUTED_VALUE"""),"")</f>
        <v/>
      </c>
      <c r="K1095" s="17" t="str">
        <f>IFERROR(__xludf.DUMMYFUNCTION("""COMPUTED_VALUE"""),"")</f>
        <v/>
      </c>
      <c r="L1095" s="17" t="str">
        <f>IFERROR(__xludf.DUMMYFUNCTION("""COMPUTED_VALUE"""),"")</f>
        <v/>
      </c>
      <c r="M1095" s="17" t="str">
        <f>IFERROR(__xludf.DUMMYFUNCTION("""COMPUTED_VALUE"""),"")</f>
        <v/>
      </c>
      <c r="N1095" s="17" t="str">
        <f>IFERROR(__xludf.DUMMYFUNCTION("""COMPUTED_VALUE"""),"")</f>
        <v/>
      </c>
      <c r="O1095" s="17" t="str">
        <f>IFERROR(__xludf.DUMMYFUNCTION("""COMPUTED_VALUE"""),"")</f>
        <v/>
      </c>
      <c r="P1095" s="17" t="str">
        <f>IFERROR(__xludf.DUMMYFUNCTION("""COMPUTED_VALUE"""),"")</f>
        <v/>
      </c>
      <c r="Q1095" s="17" t="str">
        <f>IFERROR(__xludf.DUMMYFUNCTION("""COMPUTED_VALUE"""),"")</f>
        <v/>
      </c>
      <c r="R1095" s="17" t="str">
        <f>IFERROR(__xludf.DUMMYFUNCTION("""COMPUTED_VALUE"""),"")</f>
        <v/>
      </c>
    </row>
    <row r="1096">
      <c r="A1096" s="15">
        <f>IFERROR(__xludf.DUMMYFUNCTION("""COMPUTED_VALUE"""),45030.0)</f>
        <v>45030</v>
      </c>
      <c r="B1096" s="16" t="str">
        <f>IFERROR(__xludf.DUMMYFUNCTION("""COMPUTED_VALUE"""),"Lina Gaona")</f>
        <v>Lina Gaona</v>
      </c>
      <c r="C1096" s="15" t="str">
        <f>IFERROR(__xludf.DUMMYFUNCTION("""COMPUTED_VALUE"""),"CÚCUTA")</f>
        <v>CÚCUTA</v>
      </c>
      <c r="D1096" s="15" t="str">
        <f>IFERROR(__xludf.DUMMYFUNCTION("""COMPUTED_VALUE"""),"BOGOTÁ")</f>
        <v>BOGOTÁ</v>
      </c>
      <c r="E1096" s="15" t="str">
        <f>IFERROR(__xludf.DUMMYFUNCTION("""COMPUTED_VALUE"""),"Asociacion Agropecuaria Juana Maria")</f>
        <v>Asociacion Agropecuaria Juana Maria</v>
      </c>
      <c r="F1096" s="17" t="str">
        <f>IFERROR(__xludf.DUMMYFUNCTION("""COMPUTED_VALUE"""),"AV. 2E # 15 A -17   PISTACHO FIT MARKET BARRIO CAOBOS")</f>
        <v>AV. 2E # 15 A -17   PISTACHO FIT MARKET BARRIO CAOBOS</v>
      </c>
      <c r="G1096" s="15" t="str">
        <f>IFERROR(__xludf.DUMMYFUNCTION("""COMPUTED_VALUE"""),"DACCY KARINA LOPEZ")</f>
        <v>DACCY KARINA LOPEZ</v>
      </c>
      <c r="H1096" s="16">
        <f>IFERROR(__xludf.DUMMYFUNCTION("""COMPUTED_VALUE"""),9530.0)</f>
        <v>9530</v>
      </c>
      <c r="I1096" s="18">
        <f>IFERROR(__xludf.DUMMYFUNCTION("""COMPUTED_VALUE"""),21.0)</f>
        <v>21</v>
      </c>
      <c r="J1096" s="18">
        <f>IFERROR(__xludf.DUMMYFUNCTION("""COMPUTED_VALUE"""),37.0)</f>
        <v>37</v>
      </c>
      <c r="K1096" s="18">
        <f>IFERROR(__xludf.DUMMYFUNCTION("""COMPUTED_VALUE"""),30.0)</f>
        <v>30</v>
      </c>
      <c r="L1096" s="17">
        <f>IFERROR(__xludf.DUMMYFUNCTION("""COMPUTED_VALUE"""),3.208615379E9)</f>
        <v>3208615379</v>
      </c>
      <c r="M1096" s="17" t="str">
        <f>IFERROR(__xludf.DUMMYFUNCTION("""COMPUTED_VALUE"""),"#REF!")</f>
        <v>#REF!</v>
      </c>
      <c r="N1096" s="17"/>
      <c r="O1096" s="19" t="str">
        <f>IFERROR(__xludf.DUMMYFUNCTION("""COMPUTED_VALUE"""),"")</f>
        <v/>
      </c>
      <c r="P1096" s="17" t="b">
        <f>IFERROR(__xludf.DUMMYFUNCTION("""COMPUTED_VALUE"""),FALSE)</f>
        <v>0</v>
      </c>
      <c r="Q1096" s="20" t="str">
        <f>IFERROR(__xludf.DUMMYFUNCTION("""COMPUTED_VALUE"""),"")</f>
        <v/>
      </c>
      <c r="R1096" s="22" t="str">
        <f>IFERROR(__xludf.DUMMYFUNCTION("""COMPUTED_VALUE"""),"")</f>
        <v/>
      </c>
    </row>
    <row r="1097">
      <c r="A1097" s="15">
        <f>IFERROR(__xludf.DUMMYFUNCTION("""COMPUTED_VALUE"""),45030.0)</f>
        <v>45030</v>
      </c>
      <c r="B1097" s="16" t="str">
        <f>IFERROR(__xludf.DUMMYFUNCTION("""COMPUTED_VALUE"""),"Lina Gaona")</f>
        <v>Lina Gaona</v>
      </c>
      <c r="C1097" s="15" t="str">
        <f>IFERROR(__xludf.DUMMYFUNCTION("""COMPUTED_VALUE"""),"CÚCUTA")</f>
        <v>CÚCUTA</v>
      </c>
      <c r="D1097" s="15" t="str">
        <f>IFERROR(__xludf.DUMMYFUNCTION("""COMPUTED_VALUE"""),"BOGOTÁ")</f>
        <v>BOGOTÁ</v>
      </c>
      <c r="E1097" s="15" t="str">
        <f>IFERROR(__xludf.DUMMYFUNCTION("""COMPUTED_VALUE"""),"Asociacion Agropecuaria Juana Maria")</f>
        <v>Asociacion Agropecuaria Juana Maria</v>
      </c>
      <c r="F1097" s="17" t="str">
        <f>IFERROR(__xludf.DUMMYFUNCTION("""COMPUTED_VALUE"""),"AV. 2E # 15 A -17   PISTACHO FIT MARKET BARRIO CAOBOS")</f>
        <v>AV. 2E # 15 A -17   PISTACHO FIT MARKET BARRIO CAOBOS</v>
      </c>
      <c r="G1097" s="15" t="str">
        <f>IFERROR(__xludf.DUMMYFUNCTION("""COMPUTED_VALUE"""),"DACCY KARINA LOPEZ")</f>
        <v>DACCY KARINA LOPEZ</v>
      </c>
      <c r="H1097" s="16">
        <f>IFERROR(__xludf.DUMMYFUNCTION("""COMPUTED_VALUE"""),9531.0)</f>
        <v>9531</v>
      </c>
      <c r="I1097" s="18">
        <f>IFERROR(__xludf.DUMMYFUNCTION("""COMPUTED_VALUE"""),16.0)</f>
        <v>16</v>
      </c>
      <c r="J1097" s="18">
        <f>IFERROR(__xludf.DUMMYFUNCTION("""COMPUTED_VALUE"""),34.0)</f>
        <v>34</v>
      </c>
      <c r="K1097" s="18">
        <f>IFERROR(__xludf.DUMMYFUNCTION("""COMPUTED_VALUE"""),25.0)</f>
        <v>25</v>
      </c>
      <c r="L1097" s="17">
        <f>IFERROR(__xludf.DUMMYFUNCTION("""COMPUTED_VALUE"""),3.208615379E9)</f>
        <v>3208615379</v>
      </c>
      <c r="M1097" s="17" t="str">
        <f>IFERROR(__xludf.DUMMYFUNCTION("""COMPUTED_VALUE"""),"#REF!")</f>
        <v>#REF!</v>
      </c>
      <c r="N1097" s="17"/>
      <c r="O1097" s="19" t="str">
        <f>IFERROR(__xludf.DUMMYFUNCTION("""COMPUTED_VALUE"""),"")</f>
        <v/>
      </c>
      <c r="P1097" s="17" t="b">
        <f>IFERROR(__xludf.DUMMYFUNCTION("""COMPUTED_VALUE"""),FALSE)</f>
        <v>0</v>
      </c>
      <c r="Q1097" s="20" t="str">
        <f>IFERROR(__xludf.DUMMYFUNCTION("""COMPUTED_VALUE"""),"")</f>
        <v/>
      </c>
      <c r="R1097" s="22" t="str">
        <f>IFERROR(__xludf.DUMMYFUNCTION("""COMPUTED_VALUE"""),"")</f>
        <v/>
      </c>
    </row>
    <row r="1098">
      <c r="A1098" s="15">
        <f>IFERROR(__xludf.DUMMYFUNCTION("""COMPUTED_VALUE"""),45030.0)</f>
        <v>45030</v>
      </c>
      <c r="B1098" s="16" t="str">
        <f>IFERROR(__xludf.DUMMYFUNCTION("""COMPUTED_VALUE"""),"Lina Gaona")</f>
        <v>Lina Gaona</v>
      </c>
      <c r="C1098" s="15" t="str">
        <f>IFERROR(__xludf.DUMMYFUNCTION("""COMPUTED_VALUE"""),"CÚCUTA")</f>
        <v>CÚCUTA</v>
      </c>
      <c r="D1098" s="15" t="str">
        <f>IFERROR(__xludf.DUMMYFUNCTION("""COMPUTED_VALUE"""),"BOGOTÁ")</f>
        <v>BOGOTÁ</v>
      </c>
      <c r="E1098" s="15" t="str">
        <f>IFERROR(__xludf.DUMMYFUNCTION("""COMPUTED_VALUE"""),"Evamazzita")</f>
        <v>Evamazzita</v>
      </c>
      <c r="F1098" s="17" t="str">
        <f>IFERROR(__xludf.DUMMYFUNCTION("""COMPUTED_VALUE"""),"AV 10 E # 5 - 70  / ED. Multifamiliar Terraza del Parque APTO. 503  / BARRIO COLSAG")</f>
        <v>AV 10 E # 5 - 70  / ED. Multifamiliar Terraza del Parque APTO. 503  / BARRIO COLSAG</v>
      </c>
      <c r="G1098" s="15" t="str">
        <f>IFERROR(__xludf.DUMMYFUNCTION("""COMPUTED_VALUE"""),"DAYANA GALAVIS")</f>
        <v>DAYANA GALAVIS</v>
      </c>
      <c r="H1098" s="16">
        <f>IFERROR(__xludf.DUMMYFUNCTION("""COMPUTED_VALUE"""),9658.0)</f>
        <v>9658</v>
      </c>
      <c r="I1098" s="18">
        <f>IFERROR(__xludf.DUMMYFUNCTION("""COMPUTED_VALUE"""),3.0)</f>
        <v>3</v>
      </c>
      <c r="J1098" s="18">
        <f>IFERROR(__xludf.DUMMYFUNCTION("""COMPUTED_VALUE"""),20.0)</f>
        <v>20</v>
      </c>
      <c r="K1098" s="18">
        <f>IFERROR(__xludf.DUMMYFUNCTION("""COMPUTED_VALUE"""),15.0)</f>
        <v>15</v>
      </c>
      <c r="L1098" s="17">
        <f>IFERROR(__xludf.DUMMYFUNCTION("""COMPUTED_VALUE"""),3.16620363E9)</f>
        <v>3166203630</v>
      </c>
      <c r="M1098" s="17" t="str">
        <f>IFERROR(__xludf.DUMMYFUNCTION("""COMPUTED_VALUE"""),"#REF!")</f>
        <v>#REF!</v>
      </c>
      <c r="N1098" s="17"/>
      <c r="O1098" s="19" t="str">
        <f>IFERROR(__xludf.DUMMYFUNCTION("""COMPUTED_VALUE"""),"")</f>
        <v/>
      </c>
      <c r="P1098" s="17" t="b">
        <f>IFERROR(__xludf.DUMMYFUNCTION("""COMPUTED_VALUE"""),FALSE)</f>
        <v>0</v>
      </c>
      <c r="Q1098" s="20" t="str">
        <f>IFERROR(__xludf.DUMMYFUNCTION("""COMPUTED_VALUE"""),"")</f>
        <v/>
      </c>
      <c r="R1098" s="22" t="str">
        <f>IFERROR(__xludf.DUMMYFUNCTION("""COMPUTED_VALUE"""),"")</f>
        <v/>
      </c>
    </row>
    <row r="1099">
      <c r="A1099" s="15">
        <f>IFERROR(__xludf.DUMMYFUNCTION("""COMPUTED_VALUE"""),45030.0)</f>
        <v>45030</v>
      </c>
      <c r="B1099" s="16" t="str">
        <f>IFERROR(__xludf.DUMMYFUNCTION("""COMPUTED_VALUE"""),"Lina Gaona")</f>
        <v>Lina Gaona</v>
      </c>
      <c r="C1099" s="15" t="str">
        <f>IFERROR(__xludf.DUMMYFUNCTION("""COMPUTED_VALUE"""),"CÚCUTA")</f>
        <v>CÚCUTA</v>
      </c>
      <c r="D1099" s="15" t="str">
        <f>IFERROR(__xludf.DUMMYFUNCTION("""COMPUTED_VALUE"""),"BOGOTÁ")</f>
        <v>BOGOTÁ</v>
      </c>
      <c r="E1099" s="15" t="str">
        <f>IFERROR(__xludf.DUMMYFUNCTION("""COMPUTED_VALUE"""),"Evamazzita")</f>
        <v>Evamazzita</v>
      </c>
      <c r="F1099" s="17" t="str">
        <f>IFERROR(__xludf.DUMMYFUNCTION("""COMPUTED_VALUE"""),"Av 2E # 15A -17  / Caobos / SE ENVÍAN DOS (2) CAJAS")</f>
        <v>Av 2E # 15A -17  / Caobos / SE ENVÍAN DOS (2) CAJAS</v>
      </c>
      <c r="G1099" s="15" t="str">
        <f>IFERROR(__xludf.DUMMYFUNCTION("""COMPUTED_VALUE"""),"DACCY KARINA LOPEZ MORENO")</f>
        <v>DACCY KARINA LOPEZ MORENO</v>
      </c>
      <c r="H1099" s="16">
        <f>IFERROR(__xludf.DUMMYFUNCTION("""COMPUTED_VALUE"""),9665.0)</f>
        <v>9665</v>
      </c>
      <c r="I1099" s="18">
        <f>IFERROR(__xludf.DUMMYFUNCTION("""COMPUTED_VALUE"""),21.0)</f>
        <v>21</v>
      </c>
      <c r="J1099" s="18">
        <f>IFERROR(__xludf.DUMMYFUNCTION("""COMPUTED_VALUE"""),35.0)</f>
        <v>35</v>
      </c>
      <c r="K1099" s="18">
        <f>IFERROR(__xludf.DUMMYFUNCTION("""COMPUTED_VALUE"""),45.0)</f>
        <v>45</v>
      </c>
      <c r="L1099" s="17">
        <f>IFERROR(__xludf.DUMMYFUNCTION("""COMPUTED_VALUE"""),3.208615379E9)</f>
        <v>3208615379</v>
      </c>
      <c r="M1099" s="17" t="str">
        <f>IFERROR(__xludf.DUMMYFUNCTION("""COMPUTED_VALUE"""),"#REF!")</f>
        <v>#REF!</v>
      </c>
      <c r="N1099" s="17"/>
      <c r="O1099" s="19" t="str">
        <f>IFERROR(__xludf.DUMMYFUNCTION("""COMPUTED_VALUE"""),"")</f>
        <v/>
      </c>
      <c r="P1099" s="17" t="b">
        <f>IFERROR(__xludf.DUMMYFUNCTION("""COMPUTED_VALUE"""),FALSE)</f>
        <v>0</v>
      </c>
      <c r="Q1099" s="20" t="str">
        <f>IFERROR(__xludf.DUMMYFUNCTION("""COMPUTED_VALUE"""),"")</f>
        <v/>
      </c>
      <c r="R1099" s="22" t="str">
        <f>IFERROR(__xludf.DUMMYFUNCTION("""COMPUTED_VALUE"""),"")</f>
        <v/>
      </c>
    </row>
    <row r="1100">
      <c r="A1100" s="15">
        <f>IFERROR(__xludf.DUMMYFUNCTION("""COMPUTED_VALUE"""),45030.0)</f>
        <v>45030</v>
      </c>
      <c r="B1100" s="16" t="str">
        <f>IFERROR(__xludf.DUMMYFUNCTION("""COMPUTED_VALUE"""),"Lina Gaona")</f>
        <v>Lina Gaona</v>
      </c>
      <c r="C1100" s="15" t="str">
        <f>IFERROR(__xludf.DUMMYFUNCTION("""COMPUTED_VALUE"""),"CÚCUTA")</f>
        <v>CÚCUTA</v>
      </c>
      <c r="D1100" s="15" t="str">
        <f>IFERROR(__xludf.DUMMYFUNCTION("""COMPUTED_VALUE"""),"BOGOTÁ")</f>
        <v>BOGOTÁ</v>
      </c>
      <c r="E1100" s="15" t="str">
        <f>IFERROR(__xludf.DUMMYFUNCTION("""COMPUTED_VALUE"""),"Evamazzita")</f>
        <v>Evamazzita</v>
      </c>
      <c r="F1100" s="17" t="str">
        <f>IFERROR(__xludf.DUMMYFUNCTION("""COMPUTED_VALUE"""),"avenida 10# 46-94  / Sector las lomas Conjunto Dubai casa J24  / LOS PATIOS")</f>
        <v>avenida 10# 46-94  / Sector las lomas Conjunto Dubai casa J24  / LOS PATIOS</v>
      </c>
      <c r="G1100" s="15" t="str">
        <f>IFERROR(__xludf.DUMMYFUNCTION("""COMPUTED_VALUE"""),"JANET BIBIANA GARCIA MARTINEZ")</f>
        <v>JANET BIBIANA GARCIA MARTINEZ</v>
      </c>
      <c r="H1100" s="16">
        <f>IFERROR(__xludf.DUMMYFUNCTION("""COMPUTED_VALUE"""),9664.0)</f>
        <v>9664</v>
      </c>
      <c r="I1100" s="18">
        <f>IFERROR(__xludf.DUMMYFUNCTION("""COMPUTED_VALUE"""),3.0)</f>
        <v>3</v>
      </c>
      <c r="J1100" s="18">
        <f>IFERROR(__xludf.DUMMYFUNCTION("""COMPUTED_VALUE"""),20.0)</f>
        <v>20</v>
      </c>
      <c r="K1100" s="18">
        <f>IFERROR(__xludf.DUMMYFUNCTION("""COMPUTED_VALUE"""),15.0)</f>
        <v>15</v>
      </c>
      <c r="L1100" s="17">
        <f>IFERROR(__xludf.DUMMYFUNCTION("""COMPUTED_VALUE"""),3.122662777E9)</f>
        <v>3122662777</v>
      </c>
      <c r="M1100" s="17" t="str">
        <f>IFERROR(__xludf.DUMMYFUNCTION("""COMPUTED_VALUE"""),"#REF!")</f>
        <v>#REF!</v>
      </c>
      <c r="N1100" s="17"/>
      <c r="O1100" s="19" t="str">
        <f>IFERROR(__xludf.DUMMYFUNCTION("""COMPUTED_VALUE"""),"")</f>
        <v/>
      </c>
      <c r="P1100" s="17" t="b">
        <f>IFERROR(__xludf.DUMMYFUNCTION("""COMPUTED_VALUE"""),FALSE)</f>
        <v>0</v>
      </c>
      <c r="Q1100" s="20" t="str">
        <f>IFERROR(__xludf.DUMMYFUNCTION("""COMPUTED_VALUE"""),"")</f>
        <v/>
      </c>
      <c r="R1100" s="22" t="str">
        <f>IFERROR(__xludf.DUMMYFUNCTION("""COMPUTED_VALUE"""),"")</f>
        <v/>
      </c>
    </row>
    <row r="1101">
      <c r="A1101" s="15">
        <f>IFERROR(__xludf.DUMMYFUNCTION("""COMPUTED_VALUE"""),45030.0)</f>
        <v>45030</v>
      </c>
      <c r="B1101" s="16" t="str">
        <f>IFERROR(__xludf.DUMMYFUNCTION("""COMPUTED_VALUE"""),"Lina Gaona")</f>
        <v>Lina Gaona</v>
      </c>
      <c r="C1101" s="15" t="str">
        <f>IFERROR(__xludf.DUMMYFUNCTION("""COMPUTED_VALUE"""),"CÚCUTA")</f>
        <v>CÚCUTA</v>
      </c>
      <c r="D1101" s="15" t="str">
        <f>IFERROR(__xludf.DUMMYFUNCTION("""COMPUTED_VALUE"""),"BOGOTÁ")</f>
        <v>BOGOTÁ</v>
      </c>
      <c r="E1101" s="15" t="str">
        <f>IFERROR(__xludf.DUMMYFUNCTION("""COMPUTED_VALUE"""),"Evamazzita")</f>
        <v>Evamazzita</v>
      </c>
      <c r="F1101" s="17" t="str">
        <f>IFERROR(__xludf.DUMMYFUNCTION("""COMPUTED_VALUE"""),"Manzana 19 casa 4  / videlso  / los patios")</f>
        <v>Manzana 19 casa 4  / videlso  / los patios</v>
      </c>
      <c r="G1101" s="15" t="str">
        <f>IFERROR(__xludf.DUMMYFUNCTION("""COMPUTED_VALUE"""),"ANA YURLEY DIAZ AMAYA")</f>
        <v>ANA YURLEY DIAZ AMAYA</v>
      </c>
      <c r="H1101" s="16">
        <f>IFERROR(__xludf.DUMMYFUNCTION("""COMPUTED_VALUE"""),9657.0)</f>
        <v>9657</v>
      </c>
      <c r="I1101" s="18">
        <f>IFERROR(__xludf.DUMMYFUNCTION("""COMPUTED_VALUE"""),3.0)</f>
        <v>3</v>
      </c>
      <c r="J1101" s="18">
        <f>IFERROR(__xludf.DUMMYFUNCTION("""COMPUTED_VALUE"""),20.0)</f>
        <v>20</v>
      </c>
      <c r="K1101" s="18">
        <f>IFERROR(__xludf.DUMMYFUNCTION("""COMPUTED_VALUE"""),15.0)</f>
        <v>15</v>
      </c>
      <c r="L1101" s="17">
        <f>IFERROR(__xludf.DUMMYFUNCTION("""COMPUTED_VALUE"""),3.114817637E9)</f>
        <v>3114817637</v>
      </c>
      <c r="M1101" s="17" t="str">
        <f>IFERROR(__xludf.DUMMYFUNCTION("""COMPUTED_VALUE"""),"#REF!")</f>
        <v>#REF!</v>
      </c>
      <c r="N1101" s="17"/>
      <c r="O1101" s="19" t="str">
        <f>IFERROR(__xludf.DUMMYFUNCTION("""COMPUTED_VALUE"""),"")</f>
        <v/>
      </c>
      <c r="P1101" s="17" t="b">
        <f>IFERROR(__xludf.DUMMYFUNCTION("""COMPUTED_VALUE"""),FALSE)</f>
        <v>0</v>
      </c>
      <c r="Q1101" s="20" t="str">
        <f>IFERROR(__xludf.DUMMYFUNCTION("""COMPUTED_VALUE"""),"")</f>
        <v/>
      </c>
      <c r="R1101" s="22" t="str">
        <f>IFERROR(__xludf.DUMMYFUNCTION("""COMPUTED_VALUE"""),"")</f>
        <v/>
      </c>
    </row>
    <row r="1102">
      <c r="A1102" s="15">
        <f>IFERROR(__xludf.DUMMYFUNCTION("""COMPUTED_VALUE"""),45030.0)</f>
        <v>45030</v>
      </c>
      <c r="B1102" s="16" t="str">
        <f>IFERROR(__xludf.DUMMYFUNCTION("""COMPUTED_VALUE"""),"Lina Gaona")</f>
        <v>Lina Gaona</v>
      </c>
      <c r="C1102" s="15" t="str">
        <f>IFERROR(__xludf.DUMMYFUNCTION("""COMPUTED_VALUE"""),"CÚCUTA")</f>
        <v>CÚCUTA</v>
      </c>
      <c r="D1102" s="15" t="str">
        <f>IFERROR(__xludf.DUMMYFUNCTION("""COMPUTED_VALUE"""),"MEDELLÍN")</f>
        <v>MEDELLÍN</v>
      </c>
      <c r="E1102" s="15" t="str">
        <f>IFERROR(__xludf.DUMMYFUNCTION("""COMPUTED_VALUE"""),"AREPAS LA MARY")</f>
        <v>AREPAS LA MARY</v>
      </c>
      <c r="F1102" s="17" t="str">
        <f>IFERROR(__xludf.DUMMYFUNCTION("""COMPUTED_VALUE"""),"AV. GRAN COLOMBIA N.5E 39 / SAYAGO")</f>
        <v>AV. GRAN COLOMBIA N.5E 39 / SAYAGO</v>
      </c>
      <c r="G1102" s="15" t="str">
        <f>IFERROR(__xludf.DUMMYFUNCTION("""COMPUTED_VALUE"""),"BALANZI")</f>
        <v>BALANZI</v>
      </c>
      <c r="H1102" s="16">
        <f>IFERROR(__xludf.DUMMYFUNCTION("""COMPUTED_VALUE"""),9559.0)</f>
        <v>9559</v>
      </c>
      <c r="I1102" s="18">
        <f>IFERROR(__xludf.DUMMYFUNCTION("""COMPUTED_VALUE"""),89.0)</f>
        <v>89</v>
      </c>
      <c r="J1102" s="18">
        <f>IFERROR(__xludf.DUMMYFUNCTION("""COMPUTED_VALUE"""),1.0)</f>
        <v>1</v>
      </c>
      <c r="K1102" s="18">
        <f>IFERROR(__xludf.DUMMYFUNCTION("""COMPUTED_VALUE"""),10.0)</f>
        <v>10</v>
      </c>
      <c r="L1102" s="17">
        <f>IFERROR(__xludf.DUMMYFUNCTION("""COMPUTED_VALUE"""),3.008540473E9)</f>
        <v>3008540473</v>
      </c>
      <c r="M1102" s="17" t="str">
        <f>IFERROR(__xludf.DUMMYFUNCTION("""COMPUTED_VALUE"""),"#REF!")</f>
        <v>#REF!</v>
      </c>
      <c r="N1102" s="17"/>
      <c r="O1102" s="19" t="str">
        <f>IFERROR(__xludf.DUMMYFUNCTION("""COMPUTED_VALUE"""),"")</f>
        <v/>
      </c>
      <c r="P1102" s="17" t="b">
        <f>IFERROR(__xludf.DUMMYFUNCTION("""COMPUTED_VALUE"""),FALSE)</f>
        <v>0</v>
      </c>
      <c r="Q1102" s="20" t="str">
        <f>IFERROR(__xludf.DUMMYFUNCTION("""COMPUTED_VALUE"""),"")</f>
        <v/>
      </c>
      <c r="R1102" s="22" t="str">
        <f>IFERROR(__xludf.DUMMYFUNCTION("""COMPUTED_VALUE"""),"")</f>
        <v/>
      </c>
    </row>
    <row r="1103">
      <c r="A1103" s="15">
        <f>IFERROR(__xludf.DUMMYFUNCTION("""COMPUTED_VALUE"""),45030.0)</f>
        <v>45030</v>
      </c>
      <c r="B1103" s="16" t="str">
        <f>IFERROR(__xludf.DUMMYFUNCTION("""COMPUTED_VALUE"""),"Lina Gaona")</f>
        <v>Lina Gaona</v>
      </c>
      <c r="C1103" s="15" t="str">
        <f>IFERROR(__xludf.DUMMYFUNCTION("""COMPUTED_VALUE"""),"CÚCUTA")</f>
        <v>CÚCUTA</v>
      </c>
      <c r="D1103" s="15" t="str">
        <f>IFERROR(__xludf.DUMMYFUNCTION("""COMPUTED_VALUE"""),"MEDELLÍN")</f>
        <v>MEDELLÍN</v>
      </c>
      <c r="E1103" s="15" t="str">
        <f>IFERROR(__xludf.DUMMYFUNCTION("""COMPUTED_VALUE"""),"Baby Chef")</f>
        <v>Baby Chef</v>
      </c>
      <c r="F1103" s="17" t="str">
        <f>IFERROR(__xludf.DUMMYFUNCTION("""COMPUTED_VALUE"""),"Av.5 Bis #9-26 prados del este. Conjunto Callejas del este A, casa B3. Cúcuta, Norte de Santander / Av.5 Bis #9-26 prados del este. Conjunto Callejas del este A, casa B3. Cúcuta, Norte de Santander / Av.5 Bis #9-26 prados del este. Conjunto Callejas del e"&amp;"ste A, casa B3. Cúcuta, Norte de Santander")</f>
        <v>Av.5 Bis #9-26 prados del este. Conjunto Callejas del este A, casa B3. Cúcuta, Norte de Santander / Av.5 Bis #9-26 prados del este. Conjunto Callejas del este A, casa B3. Cúcuta, Norte de Santander / Av.5 Bis #9-26 prados del este. Conjunto Callejas del este A, casa B3. Cúcuta, Norte de Santander</v>
      </c>
      <c r="G1103" s="15" t="str">
        <f>IFERROR(__xludf.DUMMYFUNCTION("""COMPUTED_VALUE"""),"Stephany Carreño")</f>
        <v>Stephany Carreño</v>
      </c>
      <c r="H1103" s="16">
        <f>IFERROR(__xludf.DUMMYFUNCTION("""COMPUTED_VALUE"""),9628.0)</f>
        <v>9628</v>
      </c>
      <c r="I1103" s="18">
        <f>IFERROR(__xludf.DUMMYFUNCTION("""COMPUTED_VALUE"""),8.0)</f>
        <v>8</v>
      </c>
      <c r="J1103" s="18">
        <f>IFERROR(__xludf.DUMMYFUNCTION("""COMPUTED_VALUE"""),16.0)</f>
        <v>16</v>
      </c>
      <c r="K1103" s="18">
        <f>IFERROR(__xludf.DUMMYFUNCTION("""COMPUTED_VALUE"""),20.0)</f>
        <v>20</v>
      </c>
      <c r="L1103" s="17">
        <f>IFERROR(__xludf.DUMMYFUNCTION("""COMPUTED_VALUE"""),3.246827585E9)</f>
        <v>3246827585</v>
      </c>
      <c r="M1103" s="17" t="str">
        <f>IFERROR(__xludf.DUMMYFUNCTION("""COMPUTED_VALUE"""),"#REF!")</f>
        <v>#REF!</v>
      </c>
      <c r="N1103" s="17"/>
      <c r="O1103" s="19" t="str">
        <f>IFERROR(__xludf.DUMMYFUNCTION("""COMPUTED_VALUE"""),"")</f>
        <v/>
      </c>
      <c r="P1103" s="17" t="b">
        <f>IFERROR(__xludf.DUMMYFUNCTION("""COMPUTED_VALUE"""),FALSE)</f>
        <v>0</v>
      </c>
      <c r="Q1103" s="20" t="str">
        <f>IFERROR(__xludf.DUMMYFUNCTION("""COMPUTED_VALUE"""),"")</f>
        <v/>
      </c>
      <c r="R1103" s="22" t="str">
        <f>IFERROR(__xludf.DUMMYFUNCTION("""COMPUTED_VALUE"""),"")</f>
        <v/>
      </c>
    </row>
    <row r="1104">
      <c r="A1104" s="15">
        <f>IFERROR(__xludf.DUMMYFUNCTION("""COMPUTED_VALUE"""),45030.0)</f>
        <v>45030</v>
      </c>
      <c r="B1104" s="16" t="str">
        <f>IFERROR(__xludf.DUMMYFUNCTION("""COMPUTED_VALUE"""),"Lina Gaona")</f>
        <v>Lina Gaona</v>
      </c>
      <c r="C1104" s="15" t="str">
        <f>IFERROR(__xludf.DUMMYFUNCTION("""COMPUTED_VALUE"""),"CÚCUTA")</f>
        <v>CÚCUTA</v>
      </c>
      <c r="D1104" s="15" t="str">
        <f>IFERROR(__xludf.DUMMYFUNCTION("""COMPUTED_VALUE"""),"MEDELLÍN")</f>
        <v>MEDELLÍN</v>
      </c>
      <c r="E1104" s="15" t="str">
        <f>IFERROR(__xludf.DUMMYFUNCTION("""COMPUTED_VALUE"""),"La Bodeguita")</f>
        <v>La Bodeguita</v>
      </c>
      <c r="F1104" s="17" t="str">
        <f>IFERROR(__xludf.DUMMYFUNCTION("""COMPUTED_VALUE"""),"Av 3e No 6cn-12 ceiba dos / Local comercial / Ceiba dos")</f>
        <v>Av 3e No 6cn-12 ceiba dos / Local comercial / Ceiba dos</v>
      </c>
      <c r="G1104" s="15" t="str">
        <f>IFERROR(__xludf.DUMMYFUNCTION("""COMPUTED_VALUE"""),"La bodeguita market fit")</f>
        <v>La bodeguita market fit</v>
      </c>
      <c r="H1104" s="16">
        <f>IFERROR(__xludf.DUMMYFUNCTION("""COMPUTED_VALUE"""),9696.0)</f>
        <v>9696</v>
      </c>
      <c r="I1104" s="18">
        <f>IFERROR(__xludf.DUMMYFUNCTION("""COMPUTED_VALUE"""),19.0)</f>
        <v>19</v>
      </c>
      <c r="J1104" s="18">
        <f>IFERROR(__xludf.DUMMYFUNCTION("""COMPUTED_VALUE"""),37.0)</f>
        <v>37</v>
      </c>
      <c r="K1104" s="18">
        <f>IFERROR(__xludf.DUMMYFUNCTION("""COMPUTED_VALUE"""),50.0)</f>
        <v>50</v>
      </c>
      <c r="L1104" s="17">
        <f>IFERROR(__xludf.DUMMYFUNCTION("""COMPUTED_VALUE"""),3.00384313E9)</f>
        <v>3003843130</v>
      </c>
      <c r="M1104" s="17" t="str">
        <f>IFERROR(__xludf.DUMMYFUNCTION("""COMPUTED_VALUE"""),"#REF!")</f>
        <v>#REF!</v>
      </c>
      <c r="N1104" s="17"/>
      <c r="O1104" s="19" t="str">
        <f>IFERROR(__xludf.DUMMYFUNCTION("""COMPUTED_VALUE"""),"")</f>
        <v/>
      </c>
      <c r="P1104" s="17" t="b">
        <f>IFERROR(__xludf.DUMMYFUNCTION("""COMPUTED_VALUE"""),FALSE)</f>
        <v>0</v>
      </c>
      <c r="Q1104" s="20" t="str">
        <f>IFERROR(__xludf.DUMMYFUNCTION("""COMPUTED_VALUE"""),"")</f>
        <v/>
      </c>
      <c r="R1104" s="22" t="str">
        <f>IFERROR(__xludf.DUMMYFUNCTION("""COMPUTED_VALUE"""),"")</f>
        <v/>
      </c>
    </row>
    <row r="1105">
      <c r="A1105" s="15">
        <f>IFERROR(__xludf.DUMMYFUNCTION("""COMPUTED_VALUE"""),45030.0)</f>
        <v>45030</v>
      </c>
      <c r="B1105" s="16" t="str">
        <f>IFERROR(__xludf.DUMMYFUNCTION("""COMPUTED_VALUE"""),"Lina Gaona")</f>
        <v>Lina Gaona</v>
      </c>
      <c r="C1105" s="15" t="str">
        <f>IFERROR(__xludf.DUMMYFUNCTION("""COMPUTED_VALUE"""),"CÚCUTA")</f>
        <v>CÚCUTA</v>
      </c>
      <c r="D1105" s="15" t="str">
        <f>IFERROR(__xludf.DUMMYFUNCTION("""COMPUTED_VALUE"""),"MEDELLÍN")</f>
        <v>MEDELLÍN</v>
      </c>
      <c r="E1105" s="15" t="str">
        <f>IFERROR(__xludf.DUMMYFUNCTION("""COMPUTED_VALUE"""),"Rambla")</f>
        <v>Rambla</v>
      </c>
      <c r="F1105" s="17" t="str">
        <f>IFERROR(__xludf.DUMMYFUNCTION("""COMPUTED_VALUE"""),"av 3e con 15A Esquina Los Caobos Jengibre Mercado Cucuta / na / na")</f>
        <v>av 3e con 15A Esquina Los Caobos Jengibre Mercado Cucuta / na / na</v>
      </c>
      <c r="G1105" s="15" t="str">
        <f>IFERROR(__xludf.DUMMYFUNCTION("""COMPUTED_VALUE"""),"gengibre")</f>
        <v>gengibre</v>
      </c>
      <c r="H1105" s="16">
        <f>IFERROR(__xludf.DUMMYFUNCTION("""COMPUTED_VALUE"""),9689.0)</f>
        <v>9689</v>
      </c>
      <c r="I1105" s="18">
        <f>IFERROR(__xludf.DUMMYFUNCTION("""COMPUTED_VALUE"""),26.0)</f>
        <v>26</v>
      </c>
      <c r="J1105" s="18">
        <f>IFERROR(__xludf.DUMMYFUNCTION("""COMPUTED_VALUE"""),29.0)</f>
        <v>29</v>
      </c>
      <c r="K1105" s="18">
        <f>IFERROR(__xludf.DUMMYFUNCTION("""COMPUTED_VALUE"""),33.0)</f>
        <v>33</v>
      </c>
      <c r="L1105" s="17">
        <f>IFERROR(__xludf.DUMMYFUNCTION("""COMPUTED_VALUE"""),3.005618715E9)</f>
        <v>3005618715</v>
      </c>
      <c r="M1105" s="17" t="str">
        <f>IFERROR(__xludf.DUMMYFUNCTION("""COMPUTED_VALUE"""),"#REF!")</f>
        <v>#REF!</v>
      </c>
      <c r="N1105" s="17"/>
      <c r="O1105" s="19" t="str">
        <f>IFERROR(__xludf.DUMMYFUNCTION("""COMPUTED_VALUE"""),"")</f>
        <v/>
      </c>
      <c r="P1105" s="17" t="b">
        <f>IFERROR(__xludf.DUMMYFUNCTION("""COMPUTED_VALUE"""),FALSE)</f>
        <v>0</v>
      </c>
      <c r="Q1105" s="20" t="str">
        <f>IFERROR(__xludf.DUMMYFUNCTION("""COMPUTED_VALUE"""),"")</f>
        <v/>
      </c>
      <c r="R1105" s="22" t="str">
        <f>IFERROR(__xludf.DUMMYFUNCTION("""COMPUTED_VALUE"""),"")</f>
        <v/>
      </c>
    </row>
    <row r="1106">
      <c r="A1106" s="17" t="str">
        <f>IFERROR(__xludf.DUMMYFUNCTION("""COMPUTED_VALUE"""),"")</f>
        <v/>
      </c>
      <c r="B1106" s="17" t="str">
        <f>IFERROR(__xludf.DUMMYFUNCTION("""COMPUTED_VALUE"""),"")</f>
        <v/>
      </c>
      <c r="C1106" s="17" t="str">
        <f>IFERROR(__xludf.DUMMYFUNCTION("""COMPUTED_VALUE"""),"")</f>
        <v/>
      </c>
      <c r="D1106" s="17" t="str">
        <f>IFERROR(__xludf.DUMMYFUNCTION("""COMPUTED_VALUE"""),"")</f>
        <v/>
      </c>
      <c r="E1106" s="17" t="str">
        <f>IFERROR(__xludf.DUMMYFUNCTION("""COMPUTED_VALUE"""),"")</f>
        <v/>
      </c>
      <c r="F1106" s="17" t="str">
        <f>IFERROR(__xludf.DUMMYFUNCTION("""COMPUTED_VALUE"""),"")</f>
        <v/>
      </c>
      <c r="G1106" s="17" t="str">
        <f>IFERROR(__xludf.DUMMYFUNCTION("""COMPUTED_VALUE"""),"")</f>
        <v/>
      </c>
      <c r="H1106" s="17" t="str">
        <f>IFERROR(__xludf.DUMMYFUNCTION("""COMPUTED_VALUE"""),"")</f>
        <v/>
      </c>
      <c r="I1106" s="17" t="str">
        <f>IFERROR(__xludf.DUMMYFUNCTION("""COMPUTED_VALUE"""),"")</f>
        <v/>
      </c>
      <c r="J1106" s="17" t="str">
        <f>IFERROR(__xludf.DUMMYFUNCTION("""COMPUTED_VALUE"""),"")</f>
        <v/>
      </c>
      <c r="K1106" s="17" t="str">
        <f>IFERROR(__xludf.DUMMYFUNCTION("""COMPUTED_VALUE"""),"")</f>
        <v/>
      </c>
      <c r="L1106" s="17" t="str">
        <f>IFERROR(__xludf.DUMMYFUNCTION("""COMPUTED_VALUE"""),"")</f>
        <v/>
      </c>
      <c r="M1106" s="17" t="str">
        <f>IFERROR(__xludf.DUMMYFUNCTION("""COMPUTED_VALUE"""),"")</f>
        <v/>
      </c>
      <c r="N1106" s="17" t="str">
        <f>IFERROR(__xludf.DUMMYFUNCTION("""COMPUTED_VALUE"""),"")</f>
        <v/>
      </c>
      <c r="O1106" s="17" t="str">
        <f>IFERROR(__xludf.DUMMYFUNCTION("""COMPUTED_VALUE"""),"")</f>
        <v/>
      </c>
      <c r="P1106" s="17" t="str">
        <f>IFERROR(__xludf.DUMMYFUNCTION("""COMPUTED_VALUE"""),"")</f>
        <v/>
      </c>
      <c r="Q1106" s="17" t="str">
        <f>IFERROR(__xludf.DUMMYFUNCTION("""COMPUTED_VALUE"""),"")</f>
        <v/>
      </c>
      <c r="R1106" s="17" t="str">
        <f>IFERROR(__xludf.DUMMYFUNCTION("""COMPUTED_VALUE"""),"")</f>
        <v/>
      </c>
    </row>
    <row r="1107">
      <c r="A1107" s="15">
        <f>IFERROR(__xludf.DUMMYFUNCTION("""COMPUTED_VALUE"""),45030.0)</f>
        <v>45030</v>
      </c>
      <c r="B1107" s="16" t="str">
        <f>IFERROR(__xludf.DUMMYFUNCTION("""COMPUTED_VALUE"""),"Orlando Urdaneta Rincon ")</f>
        <v>Orlando Urdaneta Rincon </v>
      </c>
      <c r="C1107" s="15" t="str">
        <f>IFERROR(__xludf.DUMMYFUNCTION("""COMPUTED_VALUE"""),"BOGOTÁ")</f>
        <v>BOGOTÁ</v>
      </c>
      <c r="D1107" s="15" t="str">
        <f>IFERROR(__xludf.DUMMYFUNCTION("""COMPUTED_VALUE"""),"MEDELLÍN")</f>
        <v>MEDELLÍN</v>
      </c>
      <c r="E1107" s="15" t="str">
        <f>IFERROR(__xludf.DUMMYFUNCTION("""COMPUTED_VALUE"""),"Rambla")</f>
        <v>Rambla</v>
      </c>
      <c r="F1107" s="17" t="str">
        <f>IFERROR(__xludf.DUMMYFUNCTION("""COMPUTED_VALUE"""),"Km 1.5 via Chia Cajica 100 mts antes de Fontanar / na / na")</f>
        <v>Km 1.5 via Chia Cajica 100 mts antes de Fontanar / na / na</v>
      </c>
      <c r="G1107" s="15" t="str">
        <f>IFERROR(__xludf.DUMMYFUNCTION("""COMPUTED_VALUE"""),"The Choice Natural - Laura Posada")</f>
        <v>The Choice Natural - Laura Posada</v>
      </c>
      <c r="H1107" s="16">
        <f>IFERROR(__xludf.DUMMYFUNCTION("""COMPUTED_VALUE"""),9720.0)</f>
        <v>9720</v>
      </c>
      <c r="I1107" s="18">
        <f>IFERROR(__xludf.DUMMYFUNCTION("""COMPUTED_VALUE"""),25.0)</f>
        <v>25</v>
      </c>
      <c r="J1107" s="18">
        <f>IFERROR(__xludf.DUMMYFUNCTION("""COMPUTED_VALUE"""),28.0)</f>
        <v>28</v>
      </c>
      <c r="K1107" s="18">
        <f>IFERROR(__xludf.DUMMYFUNCTION("""COMPUTED_VALUE"""),30.0)</f>
        <v>30</v>
      </c>
      <c r="L1107" s="17">
        <f>IFERROR(__xludf.DUMMYFUNCTION("""COMPUTED_VALUE"""),3.212415592E9)</f>
        <v>3212415592</v>
      </c>
      <c r="M1107" s="17" t="str">
        <f>IFERROR(__xludf.DUMMYFUNCTION("""COMPUTED_VALUE"""),"#REF!")</f>
        <v>#REF!</v>
      </c>
      <c r="N1107" s="17"/>
      <c r="O1107" s="19" t="str">
        <f>IFERROR(__xludf.DUMMYFUNCTION("""COMPUTED_VALUE"""),"")</f>
        <v/>
      </c>
      <c r="P1107" s="17" t="b">
        <f>IFERROR(__xludf.DUMMYFUNCTION("""COMPUTED_VALUE"""),FALSE)</f>
        <v>0</v>
      </c>
      <c r="Q1107" s="20" t="str">
        <f>IFERROR(__xludf.DUMMYFUNCTION("""COMPUTED_VALUE"""),"")</f>
        <v/>
      </c>
      <c r="R1107" s="22" t="str">
        <f>IFERROR(__xludf.DUMMYFUNCTION("""COMPUTED_VALUE"""),"")</f>
        <v/>
      </c>
    </row>
    <row r="1108">
      <c r="A1108" s="15">
        <f>IFERROR(__xludf.DUMMYFUNCTION("""COMPUTED_VALUE"""),45030.0)</f>
        <v>45030</v>
      </c>
      <c r="B1108" s="16" t="str">
        <f>IFERROR(__xludf.DUMMYFUNCTION("""COMPUTED_VALUE"""),"Orlando Urdaneta Rincon ")</f>
        <v>Orlando Urdaneta Rincon </v>
      </c>
      <c r="C1108" s="15" t="str">
        <f>IFERROR(__xludf.DUMMYFUNCTION("""COMPUTED_VALUE"""),"BOGOTÁ")</f>
        <v>BOGOTÁ</v>
      </c>
      <c r="D1108" s="15" t="str">
        <f>IFERROR(__xludf.DUMMYFUNCTION("""COMPUTED_VALUE"""),"NEIVA")</f>
        <v>NEIVA</v>
      </c>
      <c r="E1108" s="15" t="str">
        <f>IFERROR(__xludf.DUMMYFUNCTION("""COMPUTED_VALUE"""),"Nutrikids")</f>
        <v>Nutrikids</v>
      </c>
      <c r="F1108" s="17" t="str">
        <f>IFERROR(__xludf.DUMMYFUNCTION("""COMPUTED_VALUE"""),"Calle 23 sur #68h 10  / Edificio: Plaza del parque. Apto: 505  / Edificio: Plaza del parque")</f>
        <v>Calle 23 sur #68h 10  / Edificio: Plaza del parque. Apto: 505  / Edificio: Plaza del parque</v>
      </c>
      <c r="G1108" s="15" t="str">
        <f>IFERROR(__xludf.DUMMYFUNCTION("""COMPUTED_VALUE"""),"Jenny angelica mesa")</f>
        <v>Jenny angelica mesa</v>
      </c>
      <c r="H1108" s="16">
        <f>IFERROR(__xludf.DUMMYFUNCTION("""COMPUTED_VALUE"""),9709.0)</f>
        <v>9709</v>
      </c>
      <c r="I1108" s="18">
        <f>IFERROR(__xludf.DUMMYFUNCTION("""COMPUTED_VALUE"""),16.0)</f>
        <v>16</v>
      </c>
      <c r="J1108" s="18">
        <f>IFERROR(__xludf.DUMMYFUNCTION("""COMPUTED_VALUE"""),20.0)</f>
        <v>20</v>
      </c>
      <c r="K1108" s="18">
        <f>IFERROR(__xludf.DUMMYFUNCTION("""COMPUTED_VALUE"""),32.0)</f>
        <v>32</v>
      </c>
      <c r="L1108" s="17">
        <f>IFERROR(__xludf.DUMMYFUNCTION("""COMPUTED_VALUE"""),3.154023808E9)</f>
        <v>3154023808</v>
      </c>
      <c r="M1108" s="17" t="str">
        <f>IFERROR(__xludf.DUMMYFUNCTION("""COMPUTED_VALUE"""),"#REF!")</f>
        <v>#REF!</v>
      </c>
      <c r="N1108" s="17"/>
      <c r="O1108" s="19" t="str">
        <f>IFERROR(__xludf.DUMMYFUNCTION("""COMPUTED_VALUE"""),"")</f>
        <v/>
      </c>
      <c r="P1108" s="17" t="b">
        <f>IFERROR(__xludf.DUMMYFUNCTION("""COMPUTED_VALUE"""),FALSE)</f>
        <v>0</v>
      </c>
      <c r="Q1108" s="20" t="str">
        <f>IFERROR(__xludf.DUMMYFUNCTION("""COMPUTED_VALUE"""),"")</f>
        <v/>
      </c>
      <c r="R1108" s="22" t="str">
        <f>IFERROR(__xludf.DUMMYFUNCTION("""COMPUTED_VALUE"""),"")</f>
        <v/>
      </c>
    </row>
    <row r="1109">
      <c r="A1109" s="15">
        <f>IFERROR(__xludf.DUMMYFUNCTION("""COMPUTED_VALUE"""),45030.0)</f>
        <v>45030</v>
      </c>
      <c r="B1109" s="16" t="str">
        <f>IFERROR(__xludf.DUMMYFUNCTION("""COMPUTED_VALUE"""),"Orlando Urdaneta Rincon ")</f>
        <v>Orlando Urdaneta Rincon </v>
      </c>
      <c r="C1109" s="15" t="str">
        <f>IFERROR(__xludf.DUMMYFUNCTION("""COMPUTED_VALUE"""),"SANTA MARTA")</f>
        <v>SANTA MARTA</v>
      </c>
      <c r="D1109" s="15" t="str">
        <f>IFERROR(__xludf.DUMMYFUNCTION("""COMPUTED_VALUE"""),"BOGOTÁ")</f>
        <v>BOGOTÁ</v>
      </c>
      <c r="E1109" s="15" t="str">
        <f>IFERROR(__xludf.DUMMYFUNCTION("""COMPUTED_VALUE"""),"Evamazzita")</f>
        <v>Evamazzita</v>
      </c>
      <c r="F1109" s="17" t="str">
        <f>IFERROR(__xludf.DUMMYFUNCTION("""COMPUTED_VALUE"""),"Calle 9a#975 / N/A / N/A")</f>
        <v>Calle 9a#975 / N/A / N/A</v>
      </c>
      <c r="G1109" s="15" t="str">
        <f>IFERROR(__xludf.DUMMYFUNCTION("""COMPUTED_VALUE"""),"DARLIN MENESES")</f>
        <v>DARLIN MENESES</v>
      </c>
      <c r="H1109" s="16">
        <f>IFERROR(__xludf.DUMMYFUNCTION("""COMPUTED_VALUE"""),9674.0)</f>
        <v>9674</v>
      </c>
      <c r="I1109" s="18">
        <f>IFERROR(__xludf.DUMMYFUNCTION("""COMPUTED_VALUE"""),3.0)</f>
        <v>3</v>
      </c>
      <c r="J1109" s="18">
        <f>IFERROR(__xludf.DUMMYFUNCTION("""COMPUTED_VALUE"""),20.0)</f>
        <v>20</v>
      </c>
      <c r="K1109" s="18">
        <f>IFERROR(__xludf.DUMMYFUNCTION("""COMPUTED_VALUE"""),15.0)</f>
        <v>15</v>
      </c>
      <c r="L1109" s="17">
        <f>IFERROR(__xludf.DUMMYFUNCTION("""COMPUTED_VALUE"""),3.194398284E9)</f>
        <v>3194398284</v>
      </c>
      <c r="M1109" s="17" t="str">
        <f>IFERROR(__xludf.DUMMYFUNCTION("""COMPUTED_VALUE"""),"#REF!")</f>
        <v>#REF!</v>
      </c>
      <c r="N1109" s="17"/>
      <c r="O1109" s="19" t="str">
        <f>IFERROR(__xludf.DUMMYFUNCTION("""COMPUTED_VALUE"""),"")</f>
        <v/>
      </c>
      <c r="P1109" s="17" t="b">
        <f>IFERROR(__xludf.DUMMYFUNCTION("""COMPUTED_VALUE"""),FALSE)</f>
        <v>0</v>
      </c>
      <c r="Q1109" s="20" t="str">
        <f>IFERROR(__xludf.DUMMYFUNCTION("""COMPUTED_VALUE"""),"")</f>
        <v/>
      </c>
      <c r="R1109" s="22" t="str">
        <f>IFERROR(__xludf.DUMMYFUNCTION("""COMPUTED_VALUE"""),"")</f>
        <v/>
      </c>
    </row>
    <row r="1110">
      <c r="A1110" s="15">
        <f>IFERROR(__xludf.DUMMYFUNCTION("""COMPUTED_VALUE"""),45030.0)</f>
        <v>45030</v>
      </c>
      <c r="B1110" s="16" t="str">
        <f>IFERROR(__xludf.DUMMYFUNCTION("""COMPUTED_VALUE"""),"Orlando Urdaneta Rincon ")</f>
        <v>Orlando Urdaneta Rincon </v>
      </c>
      <c r="C1110" s="15" t="str">
        <f>IFERROR(__xludf.DUMMYFUNCTION("""COMPUTED_VALUE"""),"SANTA MARTA")</f>
        <v>SANTA MARTA</v>
      </c>
      <c r="D1110" s="15" t="str">
        <f>IFERROR(__xludf.DUMMYFUNCTION("""COMPUTED_VALUE"""),"BOGOTÁ")</f>
        <v>BOGOTÁ</v>
      </c>
      <c r="E1110" s="15" t="str">
        <f>IFERROR(__xludf.DUMMYFUNCTION("""COMPUTED_VALUE"""),"Evamazzita")</f>
        <v>Evamazzita</v>
      </c>
      <c r="F1110" s="17" t="str">
        <f>IFERROR(__xludf.DUMMYFUNCTION("""COMPUTED_VALUE"""),"Mz ñ casa 17  / Brisas de tamaca / Brisas de tamaca")</f>
        <v>Mz ñ casa 17  / Brisas de tamaca / Brisas de tamaca</v>
      </c>
      <c r="G1110" s="15" t="str">
        <f>IFERROR(__xludf.DUMMYFUNCTION("""COMPUTED_VALUE"""),"YAREIMIS LOPEZ MENDOZA")</f>
        <v>YAREIMIS LOPEZ MENDOZA</v>
      </c>
      <c r="H1110" s="16">
        <f>IFERROR(__xludf.DUMMYFUNCTION("""COMPUTED_VALUE"""),9673.0)</f>
        <v>9673</v>
      </c>
      <c r="I1110" s="18">
        <f>IFERROR(__xludf.DUMMYFUNCTION("""COMPUTED_VALUE"""),3.0)</f>
        <v>3</v>
      </c>
      <c r="J1110" s="18">
        <f>IFERROR(__xludf.DUMMYFUNCTION("""COMPUTED_VALUE"""),20.0)</f>
        <v>20</v>
      </c>
      <c r="K1110" s="18">
        <f>IFERROR(__xludf.DUMMYFUNCTION("""COMPUTED_VALUE"""),15.0)</f>
        <v>15</v>
      </c>
      <c r="L1110" s="17">
        <f>IFERROR(__xludf.DUMMYFUNCTION("""COMPUTED_VALUE"""),3.022097715E9)</f>
        <v>3022097715</v>
      </c>
      <c r="M1110" s="17" t="str">
        <f>IFERROR(__xludf.DUMMYFUNCTION("""COMPUTED_VALUE"""),"#REF!")</f>
        <v>#REF!</v>
      </c>
      <c r="N1110" s="17"/>
      <c r="O1110" s="19" t="str">
        <f>IFERROR(__xludf.DUMMYFUNCTION("""COMPUTED_VALUE"""),"")</f>
        <v/>
      </c>
      <c r="P1110" s="17" t="b">
        <f>IFERROR(__xludf.DUMMYFUNCTION("""COMPUTED_VALUE"""),FALSE)</f>
        <v>0</v>
      </c>
      <c r="Q1110" s="20" t="str">
        <f>IFERROR(__xludf.DUMMYFUNCTION("""COMPUTED_VALUE"""),"")</f>
        <v/>
      </c>
      <c r="R1110" s="22" t="str">
        <f>IFERROR(__xludf.DUMMYFUNCTION("""COMPUTED_VALUE"""),"")</f>
        <v/>
      </c>
    </row>
    <row r="1111">
      <c r="A1111" s="15">
        <f>IFERROR(__xludf.DUMMYFUNCTION("""COMPUTED_VALUE"""),45030.0)</f>
        <v>45030</v>
      </c>
      <c r="B1111" s="16" t="str">
        <f>IFERROR(__xludf.DUMMYFUNCTION("""COMPUTED_VALUE"""),"Orlando Urdaneta Rincon ")</f>
        <v>Orlando Urdaneta Rincon </v>
      </c>
      <c r="C1111" s="15" t="str">
        <f>IFERROR(__xludf.DUMMYFUNCTION("""COMPUTED_VALUE"""),"SANTA MARTA")</f>
        <v>SANTA MARTA</v>
      </c>
      <c r="D1111" s="15" t="str">
        <f>IFERROR(__xludf.DUMMYFUNCTION("""COMPUTED_VALUE"""),"BOGOTÁ")</f>
        <v>BOGOTÁ</v>
      </c>
      <c r="E1111" s="15" t="str">
        <f>IFERROR(__xludf.DUMMYFUNCTION("""COMPUTED_VALUE"""),"Ins. Alimento Vital")</f>
        <v>Ins. Alimento Vital</v>
      </c>
      <c r="F1111" s="17" t="str">
        <f>IFERROR(__xludf.DUMMYFUNCTION("""COMPUTED_VALUE"""),"CR 1 B 26A 109  / EDIFICIO ALMIRANTE APTO 501 / EDIFICIO ALMIRANTE APTO 501")</f>
        <v>CR 1 B 26A 109  / EDIFICIO ALMIRANTE APTO 501 / EDIFICIO ALMIRANTE APTO 501</v>
      </c>
      <c r="G1111" s="15" t="str">
        <f>IFERROR(__xludf.DUMMYFUNCTION("""COMPUTED_VALUE"""),"VERONICA GOMEZ DE SUBIRIA")</f>
        <v>VERONICA GOMEZ DE SUBIRIA</v>
      </c>
      <c r="H1111" s="16">
        <f>IFERROR(__xludf.DUMMYFUNCTION("""COMPUTED_VALUE"""),9655.0)</f>
        <v>9655</v>
      </c>
      <c r="I1111" s="18">
        <f>IFERROR(__xludf.DUMMYFUNCTION("""COMPUTED_VALUE"""),100.0)</f>
        <v>100</v>
      </c>
      <c r="J1111" s="18">
        <f>IFERROR(__xludf.DUMMYFUNCTION("""COMPUTED_VALUE"""),10.0)</f>
        <v>10</v>
      </c>
      <c r="K1111" s="18">
        <f>IFERROR(__xludf.DUMMYFUNCTION("""COMPUTED_VALUE"""),30.0)</f>
        <v>30</v>
      </c>
      <c r="L1111" s="17">
        <f>IFERROR(__xludf.DUMMYFUNCTION("""COMPUTED_VALUE"""),3.107893555E9)</f>
        <v>3107893555</v>
      </c>
      <c r="M1111" s="17" t="str">
        <f>IFERROR(__xludf.DUMMYFUNCTION("""COMPUTED_VALUE"""),"#REF!")</f>
        <v>#REF!</v>
      </c>
      <c r="N1111" s="17"/>
      <c r="O1111" s="19" t="str">
        <f>IFERROR(__xludf.DUMMYFUNCTION("""COMPUTED_VALUE"""),"")</f>
        <v/>
      </c>
      <c r="P1111" s="17" t="b">
        <f>IFERROR(__xludf.DUMMYFUNCTION("""COMPUTED_VALUE"""),FALSE)</f>
        <v>0</v>
      </c>
      <c r="Q1111" s="20" t="str">
        <f>IFERROR(__xludf.DUMMYFUNCTION("""COMPUTED_VALUE"""),"")</f>
        <v/>
      </c>
      <c r="R1111" s="22" t="str">
        <f>IFERROR(__xludf.DUMMYFUNCTION("""COMPUTED_VALUE"""),"")</f>
        <v/>
      </c>
    </row>
    <row r="1112">
      <c r="A1112" s="15">
        <f>IFERROR(__xludf.DUMMYFUNCTION("""COMPUTED_VALUE"""),45030.0)</f>
        <v>45030</v>
      </c>
      <c r="B1112" s="16" t="str">
        <f>IFERROR(__xludf.DUMMYFUNCTION("""COMPUTED_VALUE"""),"Orlando Urdaneta Rincon ")</f>
        <v>Orlando Urdaneta Rincon </v>
      </c>
      <c r="C1112" s="15" t="str">
        <f>IFERROR(__xludf.DUMMYFUNCTION("""COMPUTED_VALUE"""),"SANTA MARTA")</f>
        <v>SANTA MARTA</v>
      </c>
      <c r="D1112" s="15" t="str">
        <f>IFERROR(__xludf.DUMMYFUNCTION("""COMPUTED_VALUE"""),"MEDELLÍN")</f>
        <v>MEDELLÍN</v>
      </c>
      <c r="E1112" s="15" t="str">
        <f>IFERROR(__xludf.DUMMYFUNCTION("""COMPUTED_VALUE"""),"Baby Chef")</f>
        <v>Baby Chef</v>
      </c>
      <c r="F1112" s="17" t="str">
        <f>IFERROR(__xludf.DUMMYFUNCTION("""COMPUTED_VALUE"""),"Carrera 19 c #29-24 barrio perehuetano. Calle pavimentada que está en frente de Servientrega principal. / Casa de rejas negras / Casa de rejas negras")</f>
        <v>Carrera 19 c #29-24 barrio perehuetano. Calle pavimentada que está en frente de Servientrega principal. / Casa de rejas negras / Casa de rejas negras</v>
      </c>
      <c r="G1112" s="15" t="str">
        <f>IFERROR(__xludf.DUMMYFUNCTION("""COMPUTED_VALUE"""),"Viviana Garcia")</f>
        <v>Viviana Garcia</v>
      </c>
      <c r="H1112" s="16">
        <f>IFERROR(__xludf.DUMMYFUNCTION("""COMPUTED_VALUE"""),9625.0)</f>
        <v>9625</v>
      </c>
      <c r="I1112" s="18">
        <f>IFERROR(__xludf.DUMMYFUNCTION("""COMPUTED_VALUE"""),8.0)</f>
        <v>8</v>
      </c>
      <c r="J1112" s="18">
        <f>IFERROR(__xludf.DUMMYFUNCTION("""COMPUTED_VALUE"""),16.0)</f>
        <v>16</v>
      </c>
      <c r="K1112" s="18">
        <f>IFERROR(__xludf.DUMMYFUNCTION("""COMPUTED_VALUE"""),20.0)</f>
        <v>20</v>
      </c>
      <c r="L1112" s="17">
        <f>IFERROR(__xludf.DUMMYFUNCTION("""COMPUTED_VALUE"""),3.042066618E9)</f>
        <v>3042066618</v>
      </c>
      <c r="M1112" s="17" t="str">
        <f>IFERROR(__xludf.DUMMYFUNCTION("""COMPUTED_VALUE"""),"#REF!")</f>
        <v>#REF!</v>
      </c>
      <c r="N1112" s="17"/>
      <c r="O1112" s="19" t="str">
        <f>IFERROR(__xludf.DUMMYFUNCTION("""COMPUTED_VALUE"""),"")</f>
        <v/>
      </c>
      <c r="P1112" s="17" t="b">
        <f>IFERROR(__xludf.DUMMYFUNCTION("""COMPUTED_VALUE"""),FALSE)</f>
        <v>0</v>
      </c>
      <c r="Q1112" s="20" t="str">
        <f>IFERROR(__xludf.DUMMYFUNCTION("""COMPUTED_VALUE"""),"")</f>
        <v/>
      </c>
      <c r="R1112" s="22" t="str">
        <f>IFERROR(__xludf.DUMMYFUNCTION("""COMPUTED_VALUE"""),"")</f>
        <v/>
      </c>
    </row>
    <row r="1113">
      <c r="A1113" s="15">
        <f>IFERROR(__xludf.DUMMYFUNCTION("""COMPUTED_VALUE"""),45030.0)</f>
        <v>45030</v>
      </c>
      <c r="B1113" s="16" t="str">
        <f>IFERROR(__xludf.DUMMYFUNCTION("""COMPUTED_VALUE"""),"Orlando Urdaneta Rincon ")</f>
        <v>Orlando Urdaneta Rincon </v>
      </c>
      <c r="C1113" s="15" t="str">
        <f>IFERROR(__xludf.DUMMYFUNCTION("""COMPUTED_VALUE"""),"SANTA MARTA")</f>
        <v>SANTA MARTA</v>
      </c>
      <c r="D1113" s="15" t="str">
        <f>IFERROR(__xludf.DUMMYFUNCTION("""COMPUTED_VALUE"""),"MEDELLÍN")</f>
        <v>MEDELLÍN</v>
      </c>
      <c r="E1113" s="15" t="str">
        <f>IFERROR(__xludf.DUMMYFUNCTION("""COMPUTED_VALUE"""),"Magda")</f>
        <v>Magda</v>
      </c>
      <c r="F1113" s="17" t="str">
        <f>IFERROR(__xludf.DUMMYFUNCTION("""COMPUTED_VALUE"""),"Calle 22 # 6 - 82 / Local 27 Centro Comercial La 22 / centro")</f>
        <v>Calle 22 # 6 - 82 / Local 27 Centro Comercial La 22 / centro</v>
      </c>
      <c r="G1113" s="15" t="str">
        <f>IFERROR(__xludf.DUMMYFUNCTION("""COMPUTED_VALUE"""),"Shirley Manjarres")</f>
        <v>Shirley Manjarres</v>
      </c>
      <c r="H1113" s="16">
        <f>IFERROR(__xludf.DUMMYFUNCTION("""COMPUTED_VALUE"""),9695.0)</f>
        <v>9695</v>
      </c>
      <c r="I1113" s="18">
        <f>IFERROR(__xludf.DUMMYFUNCTION("""COMPUTED_VALUE"""),55.0)</f>
        <v>55</v>
      </c>
      <c r="J1113" s="18">
        <f>IFERROR(__xludf.DUMMYFUNCTION("""COMPUTED_VALUE"""),45.0)</f>
        <v>45</v>
      </c>
      <c r="K1113" s="18" t="str">
        <f>IFERROR(__xludf.DUMMYFUNCTION("""COMPUTED_VALUE"""),"52.5")</f>
        <v>52.5</v>
      </c>
      <c r="L1113" s="17">
        <f>IFERROR(__xludf.DUMMYFUNCTION("""COMPUTED_VALUE"""),3.054269156E9)</f>
        <v>3054269156</v>
      </c>
      <c r="M1113" s="17" t="str">
        <f>IFERROR(__xludf.DUMMYFUNCTION("""COMPUTED_VALUE"""),"#REF!")</f>
        <v>#REF!</v>
      </c>
      <c r="N1113" s="17"/>
      <c r="O1113" s="19" t="str">
        <f>IFERROR(__xludf.DUMMYFUNCTION("""COMPUTED_VALUE"""),"")</f>
        <v/>
      </c>
      <c r="P1113" s="17" t="b">
        <f>IFERROR(__xludf.DUMMYFUNCTION("""COMPUTED_VALUE"""),FALSE)</f>
        <v>0</v>
      </c>
      <c r="Q1113" s="20" t="str">
        <f>IFERROR(__xludf.DUMMYFUNCTION("""COMPUTED_VALUE"""),"")</f>
        <v/>
      </c>
      <c r="R1113" s="22" t="str">
        <f>IFERROR(__xludf.DUMMYFUNCTION("""COMPUTED_VALUE"""),"")</f>
        <v/>
      </c>
    </row>
    <row r="1114">
      <c r="A1114" s="17" t="str">
        <f>IFERROR(__xludf.DUMMYFUNCTION("""COMPUTED_VALUE"""),"")</f>
        <v/>
      </c>
      <c r="B1114" s="17" t="str">
        <f>IFERROR(__xludf.DUMMYFUNCTION("""COMPUTED_VALUE"""),"")</f>
        <v/>
      </c>
      <c r="C1114" s="17" t="str">
        <f>IFERROR(__xludf.DUMMYFUNCTION("""COMPUTED_VALUE"""),"")</f>
        <v/>
      </c>
      <c r="D1114" s="17" t="str">
        <f>IFERROR(__xludf.DUMMYFUNCTION("""COMPUTED_VALUE"""),"")</f>
        <v/>
      </c>
      <c r="E1114" s="17" t="str">
        <f>IFERROR(__xludf.DUMMYFUNCTION("""COMPUTED_VALUE"""),"")</f>
        <v/>
      </c>
      <c r="F1114" s="17" t="str">
        <f>IFERROR(__xludf.DUMMYFUNCTION("""COMPUTED_VALUE"""),"")</f>
        <v/>
      </c>
      <c r="G1114" s="17" t="str">
        <f>IFERROR(__xludf.DUMMYFUNCTION("""COMPUTED_VALUE"""),"")</f>
        <v/>
      </c>
      <c r="H1114" s="17" t="str">
        <f>IFERROR(__xludf.DUMMYFUNCTION("""COMPUTED_VALUE"""),"")</f>
        <v/>
      </c>
      <c r="I1114" s="17" t="str">
        <f>IFERROR(__xludf.DUMMYFUNCTION("""COMPUTED_VALUE"""),"")</f>
        <v/>
      </c>
      <c r="J1114" s="17" t="str">
        <f>IFERROR(__xludf.DUMMYFUNCTION("""COMPUTED_VALUE"""),"")</f>
        <v/>
      </c>
      <c r="K1114" s="17" t="str">
        <f>IFERROR(__xludf.DUMMYFUNCTION("""COMPUTED_VALUE"""),"")</f>
        <v/>
      </c>
      <c r="L1114" s="17" t="str">
        <f>IFERROR(__xludf.DUMMYFUNCTION("""COMPUTED_VALUE"""),"")</f>
        <v/>
      </c>
      <c r="M1114" s="17" t="str">
        <f>IFERROR(__xludf.DUMMYFUNCTION("""COMPUTED_VALUE"""),"")</f>
        <v/>
      </c>
      <c r="N1114" s="17" t="str">
        <f>IFERROR(__xludf.DUMMYFUNCTION("""COMPUTED_VALUE"""),"")</f>
        <v/>
      </c>
      <c r="O1114" s="17" t="str">
        <f>IFERROR(__xludf.DUMMYFUNCTION("""COMPUTED_VALUE"""),"")</f>
        <v/>
      </c>
      <c r="P1114" s="17" t="str">
        <f>IFERROR(__xludf.DUMMYFUNCTION("""COMPUTED_VALUE"""),"")</f>
        <v/>
      </c>
      <c r="Q1114" s="17" t="str">
        <f>IFERROR(__xludf.DUMMYFUNCTION("""COMPUTED_VALUE"""),"")</f>
        <v/>
      </c>
      <c r="R1114" s="17" t="str">
        <f>IFERROR(__xludf.DUMMYFUNCTION("""COMPUTED_VALUE"""),"")</f>
        <v/>
      </c>
    </row>
    <row r="1115">
      <c r="A1115" s="15">
        <f>IFERROR(__xludf.DUMMYFUNCTION("""COMPUTED_VALUE"""),45030.0)</f>
        <v>45030</v>
      </c>
      <c r="B1115" s="16" t="str">
        <f>IFERROR(__xludf.DUMMYFUNCTION("""COMPUTED_VALUE"""),"Yenis Carolina sicuamia montaño")</f>
        <v>Yenis Carolina sicuamia montaño</v>
      </c>
      <c r="C1115" s="15" t="str">
        <f>IFERROR(__xludf.DUMMYFUNCTION("""COMPUTED_VALUE"""),"BARRANQUILLA")</f>
        <v>BARRANQUILLA</v>
      </c>
      <c r="D1115" s="15" t="str">
        <f>IFERROR(__xludf.DUMMYFUNCTION("""COMPUTED_VALUE"""),"MEDELLÍN")</f>
        <v>MEDELLÍN</v>
      </c>
      <c r="E1115" s="15" t="str">
        <f>IFERROR(__xludf.DUMMYFUNCTION("""COMPUTED_VALUE"""),"Magda")</f>
        <v>Magda</v>
      </c>
      <c r="F1115" s="17" t="str">
        <f>IFERROR(__xludf.DUMMYFUNCTION("""COMPUTED_VALUE"""),"Cra 53 No. 68-55 / cocina oculta alto prado  / alto prado")</f>
        <v>Cra 53 No. 68-55 / cocina oculta alto prado  / alto prado</v>
      </c>
      <c r="G1115" s="15" t="str">
        <f>IFERROR(__xludf.DUMMYFUNCTION("""COMPUTED_VALUE"""),"María José Cervantes")</f>
        <v>María José Cervantes</v>
      </c>
      <c r="H1115" s="16">
        <f>IFERROR(__xludf.DUMMYFUNCTION("""COMPUTED_VALUE"""),9693.0)</f>
        <v>9693</v>
      </c>
      <c r="I1115" s="18">
        <f>IFERROR(__xludf.DUMMYFUNCTION("""COMPUTED_VALUE"""),55.0)</f>
        <v>55</v>
      </c>
      <c r="J1115" s="18">
        <f>IFERROR(__xludf.DUMMYFUNCTION("""COMPUTED_VALUE"""),45.0)</f>
        <v>45</v>
      </c>
      <c r="K1115" s="18">
        <f>IFERROR(__xludf.DUMMYFUNCTION("""COMPUTED_VALUE"""),29.0)</f>
        <v>29</v>
      </c>
      <c r="L1115" s="17">
        <f>IFERROR(__xludf.DUMMYFUNCTION("""COMPUTED_VALUE"""),3.113152215E9)</f>
        <v>3113152215</v>
      </c>
      <c r="M1115" s="17" t="str">
        <f>IFERROR(__xludf.DUMMYFUNCTION("""COMPUTED_VALUE"""),"#REF!")</f>
        <v>#REF!</v>
      </c>
      <c r="N1115" s="17"/>
      <c r="O1115" s="19" t="str">
        <f>IFERROR(__xludf.DUMMYFUNCTION("""COMPUTED_VALUE"""),"")</f>
        <v/>
      </c>
      <c r="P1115" s="17" t="b">
        <f>IFERROR(__xludf.DUMMYFUNCTION("""COMPUTED_VALUE"""),TRUE)</f>
        <v>1</v>
      </c>
      <c r="Q1115" s="20">
        <f>IFERROR(__xludf.DUMMYFUNCTION("""COMPUTED_VALUE"""),45030.470977731486)</f>
        <v>45030.47098</v>
      </c>
      <c r="R1115" s="22" t="str">
        <f>IFERROR(__xludf.DUMMYFUNCTION("""COMPUTED_VALUE"""),"")</f>
        <v/>
      </c>
    </row>
    <row r="1116">
      <c r="A1116" s="15">
        <f>IFERROR(__xludf.DUMMYFUNCTION("""COMPUTED_VALUE"""),45030.0)</f>
        <v>45030</v>
      </c>
      <c r="B1116" s="16" t="str">
        <f>IFERROR(__xludf.DUMMYFUNCTION("""COMPUTED_VALUE"""),"Yenis Carolina sicuamia montaño")</f>
        <v>Yenis Carolina sicuamia montaño</v>
      </c>
      <c r="C1116" s="15" t="str">
        <f>IFERROR(__xludf.DUMMYFUNCTION("""COMPUTED_VALUE"""),"BARRANQUILLA")</f>
        <v>BARRANQUILLA</v>
      </c>
      <c r="D1116" s="15" t="str">
        <f>IFERROR(__xludf.DUMMYFUNCTION("""COMPUTED_VALUE"""),"MEDELLÍN")</f>
        <v>MEDELLÍN</v>
      </c>
      <c r="E1116" s="15" t="str">
        <f>IFERROR(__xludf.DUMMYFUNCTION("""COMPUTED_VALUE"""),"Moloso S.A.S")</f>
        <v>Moloso S.A.S</v>
      </c>
      <c r="F1116" s="17" t="str">
        <f>IFERROR(__xludf.DUMMYFUNCTION("""COMPUTED_VALUE"""),"TRANS 44 102 167 / CONJU. SIERRA. APTO. 939 T5")</f>
        <v>TRANS 44 102 167 / CONJU. SIERRA. APTO. 939 T5</v>
      </c>
      <c r="G1116" s="15" t="str">
        <f>IFERROR(__xludf.DUMMYFUNCTION("""COMPUTED_VALUE"""),"MARIANA ORJUELA CHARCÓN")</f>
        <v>MARIANA ORJUELA CHARCÓN</v>
      </c>
      <c r="H1116" s="16">
        <f>IFERROR(__xludf.DUMMYFUNCTION("""COMPUTED_VALUE"""),9690.0)</f>
        <v>9690</v>
      </c>
      <c r="I1116" s="18">
        <f>IFERROR(__xludf.DUMMYFUNCTION("""COMPUTED_VALUE"""),17.0)</f>
        <v>17</v>
      </c>
      <c r="J1116" s="18">
        <f>IFERROR(__xludf.DUMMYFUNCTION("""COMPUTED_VALUE"""),15.0)</f>
        <v>15</v>
      </c>
      <c r="K1116" s="18">
        <f>IFERROR(__xludf.DUMMYFUNCTION("""COMPUTED_VALUE"""),28.0)</f>
        <v>28</v>
      </c>
      <c r="L1116" s="17" t="str">
        <f>IFERROR(__xludf.DUMMYFUNCTION("""COMPUTED_VALUE"""),"304 5242414")</f>
        <v>304 5242414</v>
      </c>
      <c r="M1116" s="17" t="str">
        <f>IFERROR(__xludf.DUMMYFUNCTION("""COMPUTED_VALUE"""),"#REF!")</f>
        <v>#REF!</v>
      </c>
      <c r="N1116" s="17"/>
      <c r="O1116" s="19" t="str">
        <f>IFERROR(__xludf.DUMMYFUNCTION("""COMPUTED_VALUE"""),"")</f>
        <v/>
      </c>
      <c r="P1116" s="17" t="b">
        <f>IFERROR(__xludf.DUMMYFUNCTION("""COMPUTED_VALUE"""),TRUE)</f>
        <v>1</v>
      </c>
      <c r="Q1116" s="20">
        <f>IFERROR(__xludf.DUMMYFUNCTION("""COMPUTED_VALUE"""),45030.44565502315)</f>
        <v>45030.44566</v>
      </c>
      <c r="R1116" s="22" t="str">
        <f>IFERROR(__xludf.DUMMYFUNCTION("""COMPUTED_VALUE"""),"")</f>
        <v/>
      </c>
    </row>
    <row r="1117">
      <c r="A1117" s="15">
        <f>IFERROR(__xludf.DUMMYFUNCTION("""COMPUTED_VALUE"""),45030.0)</f>
        <v>45030</v>
      </c>
      <c r="B1117" s="16" t="str">
        <f>IFERROR(__xludf.DUMMYFUNCTION("""COMPUTED_VALUE"""),"Yenis Carolina sicuamia montaño")</f>
        <v>Yenis Carolina sicuamia montaño</v>
      </c>
      <c r="C1117" s="15" t="str">
        <f>IFERROR(__xludf.DUMMYFUNCTION("""COMPUTED_VALUE"""),"VALLEDUPAR")</f>
        <v>VALLEDUPAR</v>
      </c>
      <c r="D1117" s="15" t="str">
        <f>IFERROR(__xludf.DUMMYFUNCTION("""COMPUTED_VALUE"""),"BOGOTÁ")</f>
        <v>BOGOTÁ</v>
      </c>
      <c r="E1117" s="15" t="str">
        <f>IFERROR(__xludf.DUMMYFUNCTION("""COMPUTED_VALUE"""),"Evamazzita")</f>
        <v>Evamazzita</v>
      </c>
      <c r="F1117" s="17" t="str">
        <f>IFERROR(__xludf.DUMMYFUNCTION("""COMPUTED_VALUE"""),"CONDOMINIO PALMETTO  / TORRE 8 APTO. 601 / CONDOMINIO PALMETTO")</f>
        <v>CONDOMINIO PALMETTO  / TORRE 8 APTO. 601 / CONDOMINIO PALMETTO</v>
      </c>
      <c r="G1117" s="15" t="str">
        <f>IFERROR(__xludf.DUMMYFUNCTION("""COMPUTED_VALUE"""),"KAREN LORENA ESCALANTE JACOME")</f>
        <v>KAREN LORENA ESCALANTE JACOME</v>
      </c>
      <c r="H1117" s="16">
        <f>IFERROR(__xludf.DUMMYFUNCTION("""COMPUTED_VALUE"""),9678.0)</f>
        <v>9678</v>
      </c>
      <c r="I1117" s="18">
        <f>IFERROR(__xludf.DUMMYFUNCTION("""COMPUTED_VALUE"""),3.0)</f>
        <v>3</v>
      </c>
      <c r="J1117" s="18">
        <f>IFERROR(__xludf.DUMMYFUNCTION("""COMPUTED_VALUE"""),20.0)</f>
        <v>20</v>
      </c>
      <c r="K1117" s="18">
        <f>IFERROR(__xludf.DUMMYFUNCTION("""COMPUTED_VALUE"""),15.0)</f>
        <v>15</v>
      </c>
      <c r="L1117" s="17">
        <f>IFERROR(__xludf.DUMMYFUNCTION("""COMPUTED_VALUE"""),3.114684116E9)</f>
        <v>3114684116</v>
      </c>
      <c r="M1117" s="17" t="str">
        <f>IFERROR(__xludf.DUMMYFUNCTION("""COMPUTED_VALUE"""),"#REF!")</f>
        <v>#REF!</v>
      </c>
      <c r="N1117" s="17"/>
      <c r="O1117" s="19" t="str">
        <f>IFERROR(__xludf.DUMMYFUNCTION("""COMPUTED_VALUE"""),"")</f>
        <v/>
      </c>
      <c r="P1117" s="17" t="b">
        <f>IFERROR(__xludf.DUMMYFUNCTION("""COMPUTED_VALUE"""),TRUE)</f>
        <v>1</v>
      </c>
      <c r="Q1117" s="20">
        <f>IFERROR(__xludf.DUMMYFUNCTION("""COMPUTED_VALUE"""),45030.4444553125)</f>
        <v>45030.44446</v>
      </c>
      <c r="R1117" s="22" t="str">
        <f>IFERROR(__xludf.DUMMYFUNCTION("""COMPUTED_VALUE"""),"")</f>
        <v/>
      </c>
    </row>
    <row r="1118">
      <c r="A1118" s="15">
        <f>IFERROR(__xludf.DUMMYFUNCTION("""COMPUTED_VALUE"""),45030.0)</f>
        <v>45030</v>
      </c>
      <c r="B1118" s="16" t="str">
        <f>IFERROR(__xludf.DUMMYFUNCTION("""COMPUTED_VALUE"""),"Yenis Carolina sicuamia montaño")</f>
        <v>Yenis Carolina sicuamia montaño</v>
      </c>
      <c r="C1118" s="15" t="str">
        <f>IFERROR(__xludf.DUMMYFUNCTION("""COMPUTED_VALUE"""),"VALLEDUPAR")</f>
        <v>VALLEDUPAR</v>
      </c>
      <c r="D1118" s="15" t="str">
        <f>IFERROR(__xludf.DUMMYFUNCTION("""COMPUTED_VALUE"""),"BOGOTÁ")</f>
        <v>BOGOTÁ</v>
      </c>
      <c r="E1118" s="15" t="str">
        <f>IFERROR(__xludf.DUMMYFUNCTION("""COMPUTED_VALUE"""),"Evamazzita")</f>
        <v>Evamazzita</v>
      </c>
      <c r="F1118" s="17" t="str">
        <f>IFERROR(__xludf.DUMMYFUNCTION("""COMPUTED_VALUE"""),"diagonal 10 #22bis-274  /  Mz D casa 12  / conjunto las margaritas")</f>
        <v>diagonal 10 #22bis-274  /  Mz D casa 12  / conjunto las margaritas</v>
      </c>
      <c r="G1118" s="15" t="str">
        <f>IFERROR(__xludf.DUMMYFUNCTION("""COMPUTED_VALUE"""),"CAROLINA PALLARES")</f>
        <v>CAROLINA PALLARES</v>
      </c>
      <c r="H1118" s="16">
        <f>IFERROR(__xludf.DUMMYFUNCTION("""COMPUTED_VALUE"""),9677.0)</f>
        <v>9677</v>
      </c>
      <c r="I1118" s="18">
        <f>IFERROR(__xludf.DUMMYFUNCTION("""COMPUTED_VALUE"""),10.0)</f>
        <v>10</v>
      </c>
      <c r="J1118" s="18">
        <f>IFERROR(__xludf.DUMMYFUNCTION("""COMPUTED_VALUE"""),18.0)</f>
        <v>18</v>
      </c>
      <c r="K1118" s="18">
        <f>IFERROR(__xludf.DUMMYFUNCTION("""COMPUTED_VALUE"""),22.0)</f>
        <v>22</v>
      </c>
      <c r="L1118" s="17">
        <f>IFERROR(__xludf.DUMMYFUNCTION("""COMPUTED_VALUE"""),3.209515366E9)</f>
        <v>3209515366</v>
      </c>
      <c r="M1118" s="17" t="str">
        <f>IFERROR(__xludf.DUMMYFUNCTION("""COMPUTED_VALUE"""),"#REF!")</f>
        <v>#REF!</v>
      </c>
      <c r="N1118" s="17"/>
      <c r="O1118" s="19" t="str">
        <f>IFERROR(__xludf.DUMMYFUNCTION("""COMPUTED_VALUE"""),"")</f>
        <v/>
      </c>
      <c r="P1118" s="17" t="b">
        <f>IFERROR(__xludf.DUMMYFUNCTION("""COMPUTED_VALUE"""),TRUE)</f>
        <v>1</v>
      </c>
      <c r="Q1118" s="20">
        <f>IFERROR(__xludf.DUMMYFUNCTION("""COMPUTED_VALUE"""),45030.47089678241)</f>
        <v>45030.4709</v>
      </c>
      <c r="R1118" s="22" t="str">
        <f>IFERROR(__xludf.DUMMYFUNCTION("""COMPUTED_VALUE"""),"")</f>
        <v/>
      </c>
    </row>
    <row r="1119">
      <c r="A1119" s="15">
        <f>IFERROR(__xludf.DUMMYFUNCTION("""COMPUTED_VALUE"""),45030.0)</f>
        <v>45030</v>
      </c>
      <c r="B1119" s="16" t="str">
        <f>IFERROR(__xludf.DUMMYFUNCTION("""COMPUTED_VALUE"""),"Yenis Carolina sicuamia montaño")</f>
        <v>Yenis Carolina sicuamia montaño</v>
      </c>
      <c r="C1119" s="15" t="str">
        <f>IFERROR(__xludf.DUMMYFUNCTION("""COMPUTED_VALUE"""),"VALLEDUPAR")</f>
        <v>VALLEDUPAR</v>
      </c>
      <c r="D1119" s="15" t="str">
        <f>IFERROR(__xludf.DUMMYFUNCTION("""COMPUTED_VALUE"""),"BOGOTÁ")</f>
        <v>BOGOTÁ</v>
      </c>
      <c r="E1119" s="15" t="str">
        <f>IFERROR(__xludf.DUMMYFUNCTION("""COMPUTED_VALUE"""),"Evamazzita")</f>
        <v>Evamazzita</v>
      </c>
      <c r="F1119" s="17" t="str">
        <f>IFERROR(__xludf.DUMMYFUNCTION("""COMPUTED_VALUE"""),"Diagonal 20D 4D/66  / N/A / san Antonio")</f>
        <v>Diagonal 20D 4D/66  / N/A / san Antonio</v>
      </c>
      <c r="G1119" s="15" t="str">
        <f>IFERROR(__xludf.DUMMYFUNCTION("""COMPUTED_VALUE"""),"SUGEY CAROLINA SANGUINO")</f>
        <v>SUGEY CAROLINA SANGUINO</v>
      </c>
      <c r="H1119" s="16">
        <f>IFERROR(__xludf.DUMMYFUNCTION("""COMPUTED_VALUE"""),9676.0)</f>
        <v>9676</v>
      </c>
      <c r="I1119" s="18">
        <f>IFERROR(__xludf.DUMMYFUNCTION("""COMPUTED_VALUE"""),3.0)</f>
        <v>3</v>
      </c>
      <c r="J1119" s="18">
        <f>IFERROR(__xludf.DUMMYFUNCTION("""COMPUTED_VALUE"""),20.0)</f>
        <v>20</v>
      </c>
      <c r="K1119" s="18">
        <f>IFERROR(__xludf.DUMMYFUNCTION("""COMPUTED_VALUE"""),15.0)</f>
        <v>15</v>
      </c>
      <c r="L1119" s="17">
        <f>IFERROR(__xludf.DUMMYFUNCTION("""COMPUTED_VALUE"""),3.173475686E9)</f>
        <v>3173475686</v>
      </c>
      <c r="M1119" s="17" t="str">
        <f>IFERROR(__xludf.DUMMYFUNCTION("""COMPUTED_VALUE"""),"#REF!")</f>
        <v>#REF!</v>
      </c>
      <c r="N1119" s="17"/>
      <c r="O1119" s="19" t="str">
        <f>IFERROR(__xludf.DUMMYFUNCTION("""COMPUTED_VALUE"""),"")</f>
        <v/>
      </c>
      <c r="P1119" s="17" t="b">
        <f>IFERROR(__xludf.DUMMYFUNCTION("""COMPUTED_VALUE"""),FALSE)</f>
        <v>0</v>
      </c>
      <c r="Q1119" s="20" t="str">
        <f>IFERROR(__xludf.DUMMYFUNCTION("""COMPUTED_VALUE"""),"")</f>
        <v/>
      </c>
      <c r="R1119" s="22" t="str">
        <f>IFERROR(__xludf.DUMMYFUNCTION("""COMPUTED_VALUE"""),"")</f>
        <v/>
      </c>
    </row>
    <row r="1120">
      <c r="A1120" s="17" t="str">
        <f>IFERROR(__xludf.DUMMYFUNCTION("""COMPUTED_VALUE"""),"")</f>
        <v/>
      </c>
      <c r="B1120" s="17" t="str">
        <f>IFERROR(__xludf.DUMMYFUNCTION("""COMPUTED_VALUE"""),"")</f>
        <v/>
      </c>
      <c r="C1120" s="17" t="str">
        <f>IFERROR(__xludf.DUMMYFUNCTION("""COMPUTED_VALUE"""),"")</f>
        <v/>
      </c>
      <c r="D1120" s="17" t="str">
        <f>IFERROR(__xludf.DUMMYFUNCTION("""COMPUTED_VALUE"""),"")</f>
        <v/>
      </c>
      <c r="E1120" s="17" t="str">
        <f>IFERROR(__xludf.DUMMYFUNCTION("""COMPUTED_VALUE"""),"")</f>
        <v/>
      </c>
      <c r="F1120" s="17" t="str">
        <f>IFERROR(__xludf.DUMMYFUNCTION("""COMPUTED_VALUE"""),"")</f>
        <v/>
      </c>
      <c r="G1120" s="17" t="str">
        <f>IFERROR(__xludf.DUMMYFUNCTION("""COMPUTED_VALUE"""),"")</f>
        <v/>
      </c>
      <c r="H1120" s="17" t="str">
        <f>IFERROR(__xludf.DUMMYFUNCTION("""COMPUTED_VALUE"""),"")</f>
        <v/>
      </c>
      <c r="I1120" s="17" t="str">
        <f>IFERROR(__xludf.DUMMYFUNCTION("""COMPUTED_VALUE"""),"")</f>
        <v/>
      </c>
      <c r="J1120" s="17" t="str">
        <f>IFERROR(__xludf.DUMMYFUNCTION("""COMPUTED_VALUE"""),"")</f>
        <v/>
      </c>
      <c r="K1120" s="17" t="str">
        <f>IFERROR(__xludf.DUMMYFUNCTION("""COMPUTED_VALUE"""),"")</f>
        <v/>
      </c>
      <c r="L1120" s="17" t="str">
        <f>IFERROR(__xludf.DUMMYFUNCTION("""COMPUTED_VALUE"""),"")</f>
        <v/>
      </c>
      <c r="M1120" s="17" t="str">
        <f>IFERROR(__xludf.DUMMYFUNCTION("""COMPUTED_VALUE"""),"")</f>
        <v/>
      </c>
      <c r="N1120" s="17" t="str">
        <f>IFERROR(__xludf.DUMMYFUNCTION("""COMPUTED_VALUE"""),"")</f>
        <v/>
      </c>
      <c r="O1120" s="17" t="str">
        <f>IFERROR(__xludf.DUMMYFUNCTION("""COMPUTED_VALUE"""),"")</f>
        <v/>
      </c>
      <c r="P1120" s="17" t="str">
        <f>IFERROR(__xludf.DUMMYFUNCTION("""COMPUTED_VALUE"""),"")</f>
        <v/>
      </c>
      <c r="Q1120" s="17" t="str">
        <f>IFERROR(__xludf.DUMMYFUNCTION("""COMPUTED_VALUE"""),"")</f>
        <v/>
      </c>
      <c r="R1120" s="17" t="str">
        <f>IFERROR(__xludf.DUMMYFUNCTION("""COMPUTED_VALUE"""),"")</f>
        <v/>
      </c>
    </row>
    <row r="1121">
      <c r="A1121" s="15">
        <f>IFERROR(__xludf.DUMMYFUNCTION("""COMPUTED_VALUE"""),45030.0)</f>
        <v>45030</v>
      </c>
      <c r="B1121" s="16" t="str">
        <f>IFERROR(__xludf.DUMMYFUNCTION("""COMPUTED_VALUE"""),"#REF!")</f>
        <v>#REF!</v>
      </c>
      <c r="C1121" s="15" t="str">
        <f>IFERROR(__xludf.DUMMYFUNCTION("""COMPUTED_VALUE"""),"CALI")</f>
        <v>CALI</v>
      </c>
      <c r="D1121" s="15" t="str">
        <f>IFERROR(__xludf.DUMMYFUNCTION("""COMPUTED_VALUE"""),"BOGOTÁ")</f>
        <v>BOGOTÁ</v>
      </c>
      <c r="E1121" s="15" t="str">
        <f>IFERROR(__xludf.DUMMYFUNCTION("""COMPUTED_VALUE"""),"Viral Brands")</f>
        <v>Viral Brands</v>
      </c>
      <c r="F1121" s="17" t="str">
        <f>IFERROR(__xludf.DUMMYFUNCTION("""COMPUTED_VALUE"""),"Av 5a 25n-39 / Edificio / Barrio san vicente")</f>
        <v>Av 5a 25n-39 / Edificio / Barrio san vicente</v>
      </c>
      <c r="G1121" s="15" t="str">
        <f>IFERROR(__xludf.DUMMYFUNCTION("""COMPUTED_VALUE"""),"Lisbeth gamez")</f>
        <v>Lisbeth gamez</v>
      </c>
      <c r="H1121" s="16">
        <f>IFERROR(__xludf.DUMMYFUNCTION("""COMPUTED_VALUE"""),9714.0)</f>
        <v>9714</v>
      </c>
      <c r="I1121" s="18">
        <f>IFERROR(__xludf.DUMMYFUNCTION("""COMPUTED_VALUE"""),45.0)</f>
        <v>45</v>
      </c>
      <c r="J1121" s="18">
        <f>IFERROR(__xludf.DUMMYFUNCTION("""COMPUTED_VALUE"""),29.0)</f>
        <v>29</v>
      </c>
      <c r="K1121" s="18">
        <f>IFERROR(__xludf.DUMMYFUNCTION("""COMPUTED_VALUE"""),55.0)</f>
        <v>55</v>
      </c>
      <c r="L1121" s="17">
        <f>IFERROR(__xludf.DUMMYFUNCTION("""COMPUTED_VALUE"""),3.218280504E9)</f>
        <v>3218280504</v>
      </c>
      <c r="M1121" s="17" t="str">
        <f>IFERROR(__xludf.DUMMYFUNCTION("""COMPUTED_VALUE"""),"#REF!")</f>
        <v>#REF!</v>
      </c>
      <c r="N1121" s="19" t="str">
        <f>IFERROR(__xludf.DUMMYFUNCTION("""COMPUTED_VALUE"""),"")</f>
        <v/>
      </c>
      <c r="O1121" s="19" t="str">
        <f>IFERROR(__xludf.DUMMYFUNCTION("""COMPUTED_VALUE"""),"#REF!")</f>
        <v>#REF!</v>
      </c>
      <c r="P1121" s="17" t="b">
        <f>IFERROR(__xludf.DUMMYFUNCTION("""COMPUTED_VALUE"""),FALSE)</f>
        <v>0</v>
      </c>
      <c r="Q1121" s="20" t="str">
        <f>IFERROR(__xludf.DUMMYFUNCTION("""COMPUTED_VALUE"""),"")</f>
        <v/>
      </c>
      <c r="R1121" s="22" t="str">
        <f>IFERROR(__xludf.DUMMYFUNCTION("""COMPUTED_VALUE"""),"")</f>
        <v/>
      </c>
    </row>
    <row r="1122">
      <c r="A1122" s="17" t="str">
        <f>IFERROR(__xludf.DUMMYFUNCTION("""COMPUTED_VALUE"""),"")</f>
        <v/>
      </c>
      <c r="B1122" s="17" t="str">
        <f>IFERROR(__xludf.DUMMYFUNCTION("""COMPUTED_VALUE"""),"")</f>
        <v/>
      </c>
      <c r="C1122" s="17" t="str">
        <f>IFERROR(__xludf.DUMMYFUNCTION("""COMPUTED_VALUE"""),"")</f>
        <v/>
      </c>
      <c r="D1122" s="17" t="str">
        <f>IFERROR(__xludf.DUMMYFUNCTION("""COMPUTED_VALUE"""),"")</f>
        <v/>
      </c>
      <c r="E1122" s="17" t="str">
        <f>IFERROR(__xludf.DUMMYFUNCTION("""COMPUTED_VALUE"""),"")</f>
        <v/>
      </c>
      <c r="F1122" s="17" t="str">
        <f>IFERROR(__xludf.DUMMYFUNCTION("""COMPUTED_VALUE"""),"")</f>
        <v/>
      </c>
      <c r="G1122" s="17" t="str">
        <f>IFERROR(__xludf.DUMMYFUNCTION("""COMPUTED_VALUE"""),"")</f>
        <v/>
      </c>
      <c r="H1122" s="17" t="str">
        <f>IFERROR(__xludf.DUMMYFUNCTION("""COMPUTED_VALUE"""),"")</f>
        <v/>
      </c>
      <c r="I1122" s="17" t="str">
        <f>IFERROR(__xludf.DUMMYFUNCTION("""COMPUTED_VALUE"""),"")</f>
        <v/>
      </c>
      <c r="J1122" s="17" t="str">
        <f>IFERROR(__xludf.DUMMYFUNCTION("""COMPUTED_VALUE"""),"")</f>
        <v/>
      </c>
      <c r="K1122" s="17" t="str">
        <f>IFERROR(__xludf.DUMMYFUNCTION("""COMPUTED_VALUE"""),"")</f>
        <v/>
      </c>
      <c r="L1122" s="17" t="str">
        <f>IFERROR(__xludf.DUMMYFUNCTION("""COMPUTED_VALUE"""),"")</f>
        <v/>
      </c>
      <c r="M1122" s="17" t="str">
        <f>IFERROR(__xludf.DUMMYFUNCTION("""COMPUTED_VALUE"""),"")</f>
        <v/>
      </c>
      <c r="N1122" s="17" t="str">
        <f>IFERROR(__xludf.DUMMYFUNCTION("""COMPUTED_VALUE"""),"")</f>
        <v/>
      </c>
      <c r="O1122" s="17" t="str">
        <f>IFERROR(__xludf.DUMMYFUNCTION("""COMPUTED_VALUE"""),"")</f>
        <v/>
      </c>
      <c r="P1122" s="17" t="str">
        <f>IFERROR(__xludf.DUMMYFUNCTION("""COMPUTED_VALUE"""),"")</f>
        <v/>
      </c>
      <c r="Q1122" s="17" t="str">
        <f>IFERROR(__xludf.DUMMYFUNCTION("""COMPUTED_VALUE"""),"")</f>
        <v/>
      </c>
      <c r="R1122" s="17" t="str">
        <f>IFERROR(__xludf.DUMMYFUNCTION("""COMPUTED_VALUE"""),"")</f>
        <v/>
      </c>
    </row>
    <row r="1123">
      <c r="A1123" s="15">
        <f>IFERROR(__xludf.DUMMYFUNCTION("""COMPUTED_VALUE"""),45034.0)</f>
        <v>45034</v>
      </c>
      <c r="B1123" s="16" t="str">
        <f>IFERROR(__xludf.DUMMYFUNCTION("""COMPUTED_VALUE"""),"Andrés Felipe Castillo Muñoz")</f>
        <v>Andrés Felipe Castillo Muñoz</v>
      </c>
      <c r="C1123" s="15" t="str">
        <f>IFERROR(__xludf.DUMMYFUNCTION("""COMPUTED_VALUE"""),"MEDELLÍN")</f>
        <v>MEDELLÍN</v>
      </c>
      <c r="D1123" s="15" t="str">
        <f>IFERROR(__xludf.DUMMYFUNCTION("""COMPUTED_VALUE"""),"BOGOTÁ")</f>
        <v>BOGOTÁ</v>
      </c>
      <c r="E1123" s="15" t="str">
        <f>IFERROR(__xludf.DUMMYFUNCTION("""COMPUTED_VALUE"""),"Asociacion Agropecuaria Juana Maria")</f>
        <v>Asociacion Agropecuaria Juana Maria</v>
      </c>
      <c r="F1123" s="17" t="str">
        <f>IFERROR(__xludf.DUMMYFUNCTION("""COMPUTED_VALUE"""),"Av 31 # 66-29 apto 1517 torre 2 urbanizacion Cerro Azul Niquia Terranova. Bello antioquia")</f>
        <v>Av 31 # 66-29 apto 1517 torre 2 urbanizacion Cerro Azul Niquia Terranova. Bello antioquia</v>
      </c>
      <c r="G1123" s="15" t="str">
        <f>IFERROR(__xludf.DUMMYFUNCTION("""COMPUTED_VALUE"""),"Marcela Rendon")</f>
        <v>Marcela Rendon</v>
      </c>
      <c r="H1123" s="16">
        <f>IFERROR(__xludf.DUMMYFUNCTION("""COMPUTED_VALUE"""),9741.0)</f>
        <v>9741</v>
      </c>
      <c r="I1123" s="18">
        <f>IFERROR(__xludf.DUMMYFUNCTION("""COMPUTED_VALUE"""),25.0)</f>
        <v>25</v>
      </c>
      <c r="J1123" s="18">
        <f>IFERROR(__xludf.DUMMYFUNCTION("""COMPUTED_VALUE"""),18.0)</f>
        <v>18</v>
      </c>
      <c r="K1123" s="18">
        <f>IFERROR(__xludf.DUMMYFUNCTION("""COMPUTED_VALUE"""),3.0)</f>
        <v>3</v>
      </c>
      <c r="L1123" s="17">
        <f>IFERROR(__xludf.DUMMYFUNCTION("""COMPUTED_VALUE"""),3.20755633E9)</f>
        <v>3207556330</v>
      </c>
      <c r="M1123" s="17" t="str">
        <f>IFERROR(__xludf.DUMMYFUNCTION("""COMPUTED_VALUE"""),"#REF!")</f>
        <v>#REF!</v>
      </c>
      <c r="N1123" s="17"/>
      <c r="O1123" s="19" t="str">
        <f>IFERROR(__xludf.DUMMYFUNCTION("""COMPUTED_VALUE"""),"")</f>
        <v/>
      </c>
      <c r="P1123" s="17" t="b">
        <f>IFERROR(__xludf.DUMMYFUNCTION("""COMPUTED_VALUE"""),FALSE)</f>
        <v>0</v>
      </c>
      <c r="Q1123" s="20" t="str">
        <f>IFERROR(__xludf.DUMMYFUNCTION("""COMPUTED_VALUE"""),"")</f>
        <v/>
      </c>
      <c r="R1123" s="22" t="str">
        <f>IFERROR(__xludf.DUMMYFUNCTION("""COMPUTED_VALUE"""),"")</f>
        <v/>
      </c>
    </row>
    <row r="1124">
      <c r="A1124" s="15">
        <f>IFERROR(__xludf.DUMMYFUNCTION("""COMPUTED_VALUE"""),45034.0)</f>
        <v>45034</v>
      </c>
      <c r="B1124" s="16" t="str">
        <f>IFERROR(__xludf.DUMMYFUNCTION("""COMPUTED_VALUE"""),"Andrés Felipe Castillo Muñoz")</f>
        <v>Andrés Felipe Castillo Muñoz</v>
      </c>
      <c r="C1124" s="15" t="str">
        <f>IFERROR(__xludf.DUMMYFUNCTION("""COMPUTED_VALUE"""),"MEDELLÍN")</f>
        <v>MEDELLÍN</v>
      </c>
      <c r="D1124" s="15" t="str">
        <f>IFERROR(__xludf.DUMMYFUNCTION("""COMPUTED_VALUE"""),"BOGOTÁ")</f>
        <v>BOGOTÁ</v>
      </c>
      <c r="E1124" s="15" t="str">
        <f>IFERROR(__xludf.DUMMYFUNCTION("""COMPUTED_VALUE"""),"Asociacion Agropecuaria Juana Maria")</f>
        <v>Asociacion Agropecuaria Juana Maria</v>
      </c>
      <c r="F1124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1124" s="15" t="str">
        <f>IFERROR(__xludf.DUMMYFUNCTION("""COMPUTED_VALUE"""),"Jennifer Sanchez Blandon")</f>
        <v>Jennifer Sanchez Blandon</v>
      </c>
      <c r="H1124" s="16">
        <f>IFERROR(__xludf.DUMMYFUNCTION("""COMPUTED_VALUE"""),9730.0)</f>
        <v>9730</v>
      </c>
      <c r="I1124" s="18">
        <f>IFERROR(__xludf.DUMMYFUNCTION("""COMPUTED_VALUE"""),21.0)</f>
        <v>21</v>
      </c>
      <c r="J1124" s="18">
        <f>IFERROR(__xludf.DUMMYFUNCTION("""COMPUTED_VALUE"""),37.0)</f>
        <v>37</v>
      </c>
      <c r="K1124" s="18">
        <f>IFERROR(__xludf.DUMMYFUNCTION("""COMPUTED_VALUE"""),30.0)</f>
        <v>30</v>
      </c>
      <c r="L1124" s="17">
        <f>IFERROR(__xludf.DUMMYFUNCTION("""COMPUTED_VALUE"""),3.016937674E9)</f>
        <v>3016937674</v>
      </c>
      <c r="M1124" s="17" t="str">
        <f>IFERROR(__xludf.DUMMYFUNCTION("""COMPUTED_VALUE"""),"#REF!")</f>
        <v>#REF!</v>
      </c>
      <c r="N1124" s="17"/>
      <c r="O1124" s="19" t="str">
        <f>IFERROR(__xludf.DUMMYFUNCTION("""COMPUTED_VALUE"""),"")</f>
        <v/>
      </c>
      <c r="P1124" s="17" t="b">
        <f>IFERROR(__xludf.DUMMYFUNCTION("""COMPUTED_VALUE"""),FALSE)</f>
        <v>0</v>
      </c>
      <c r="Q1124" s="20" t="str">
        <f>IFERROR(__xludf.DUMMYFUNCTION("""COMPUTED_VALUE"""),"")</f>
        <v/>
      </c>
      <c r="R1124" s="22" t="str">
        <f>IFERROR(__xludf.DUMMYFUNCTION("""COMPUTED_VALUE"""),"")</f>
        <v/>
      </c>
    </row>
    <row r="1125">
      <c r="A1125" s="15">
        <f>IFERROR(__xludf.DUMMYFUNCTION("""COMPUTED_VALUE"""),45034.0)</f>
        <v>45034</v>
      </c>
      <c r="B1125" s="16" t="str">
        <f>IFERROR(__xludf.DUMMYFUNCTION("""COMPUTED_VALUE"""),"Andrés Felipe Castillo Muñoz")</f>
        <v>Andrés Felipe Castillo Muñoz</v>
      </c>
      <c r="C1125" s="15" t="str">
        <f>IFERROR(__xludf.DUMMYFUNCTION("""COMPUTED_VALUE"""),"MEDELLÍN")</f>
        <v>MEDELLÍN</v>
      </c>
      <c r="D1125" s="15" t="str">
        <f>IFERROR(__xludf.DUMMYFUNCTION("""COMPUTED_VALUE"""),"BOGOTÁ")</f>
        <v>BOGOTÁ</v>
      </c>
      <c r="E1125" s="15" t="str">
        <f>IFERROR(__xludf.DUMMYFUNCTION("""COMPUTED_VALUE"""),"Asociacion Agropecuaria Juana Maria")</f>
        <v>Asociacion Agropecuaria Juana Maria</v>
      </c>
      <c r="F1125" s="17" t="str">
        <f>IFERROR(__xludf.DUMMYFUNCTION("""COMPUTED_VALUE"""),"Cra 82C # 30A-100 apto 1202 urbanizacion Torres de Vicuña Belen los Alpes")</f>
        <v>Cra 82C # 30A-100 apto 1202 urbanizacion Torres de Vicuña Belen los Alpes</v>
      </c>
      <c r="G1125" s="15" t="str">
        <f>IFERROR(__xludf.DUMMYFUNCTION("""COMPUTED_VALUE"""),"Gloria Moreno")</f>
        <v>Gloria Moreno</v>
      </c>
      <c r="H1125" s="16">
        <f>IFERROR(__xludf.DUMMYFUNCTION("""COMPUTED_VALUE"""),9740.0)</f>
        <v>9740</v>
      </c>
      <c r="I1125" s="18">
        <f>IFERROR(__xludf.DUMMYFUNCTION("""COMPUTED_VALUE"""),16.0)</f>
        <v>16</v>
      </c>
      <c r="J1125" s="18">
        <f>IFERROR(__xludf.DUMMYFUNCTION("""COMPUTED_VALUE"""),34.0)</f>
        <v>34</v>
      </c>
      <c r="K1125" s="18">
        <f>IFERROR(__xludf.DUMMYFUNCTION("""COMPUTED_VALUE"""),25.0)</f>
        <v>25</v>
      </c>
      <c r="L1125" s="17">
        <f>IFERROR(__xludf.DUMMYFUNCTION("""COMPUTED_VALUE"""),3.162544201E9)</f>
        <v>3162544201</v>
      </c>
      <c r="M1125" s="17" t="str">
        <f>IFERROR(__xludf.DUMMYFUNCTION("""COMPUTED_VALUE"""),"#REF!")</f>
        <v>#REF!</v>
      </c>
      <c r="N1125" s="17"/>
      <c r="O1125" s="19" t="str">
        <f>IFERROR(__xludf.DUMMYFUNCTION("""COMPUTED_VALUE"""),"")</f>
        <v/>
      </c>
      <c r="P1125" s="17" t="b">
        <f>IFERROR(__xludf.DUMMYFUNCTION("""COMPUTED_VALUE"""),FALSE)</f>
        <v>0</v>
      </c>
      <c r="Q1125" s="20" t="str">
        <f>IFERROR(__xludf.DUMMYFUNCTION("""COMPUTED_VALUE"""),"")</f>
        <v/>
      </c>
      <c r="R1125" s="22" t="str">
        <f>IFERROR(__xludf.DUMMYFUNCTION("""COMPUTED_VALUE"""),"")</f>
        <v/>
      </c>
    </row>
    <row r="1126">
      <c r="A1126" s="15">
        <f>IFERROR(__xludf.DUMMYFUNCTION("""COMPUTED_VALUE"""),45034.0)</f>
        <v>45034</v>
      </c>
      <c r="B1126" s="16" t="str">
        <f>IFERROR(__xludf.DUMMYFUNCTION("""COMPUTED_VALUE"""),"Andrés Felipe Castillo Muñoz")</f>
        <v>Andrés Felipe Castillo Muñoz</v>
      </c>
      <c r="C1126" s="15" t="str">
        <f>IFERROR(__xludf.DUMMYFUNCTION("""COMPUTED_VALUE"""),"MEDELLÍN")</f>
        <v>MEDELLÍN</v>
      </c>
      <c r="D1126" s="15" t="str">
        <f>IFERROR(__xludf.DUMMYFUNCTION("""COMPUTED_VALUE"""),"BOGOTÁ")</f>
        <v>BOGOTÁ</v>
      </c>
      <c r="E1126" s="15" t="str">
        <f>IFERROR(__xludf.DUMMYFUNCTION("""COMPUTED_VALUE"""),"Blond &amp; This")</f>
        <v>Blond &amp; This</v>
      </c>
      <c r="F1126" s="17" t="str">
        <f>IFERROR(__xludf.DUMMYFUNCTION("""COMPUTED_VALUE"""),"calle18#43g-90 / bosques del rio apto 714 torre 2 / .")</f>
        <v>calle18#43g-90 / bosques del rio apto 714 torre 2 / .</v>
      </c>
      <c r="G1126" s="15" t="str">
        <f>IFERROR(__xludf.DUMMYFUNCTION("""COMPUTED_VALUE"""),"Maria Antonia Montayo")</f>
        <v>Maria Antonia Montayo</v>
      </c>
      <c r="H1126" s="16">
        <f>IFERROR(__xludf.DUMMYFUNCTION("""COMPUTED_VALUE"""),9870.0)</f>
        <v>9870</v>
      </c>
      <c r="I1126" s="18">
        <f>IFERROR(__xludf.DUMMYFUNCTION("""COMPUTED_VALUE"""),7.0)</f>
        <v>7</v>
      </c>
      <c r="J1126" s="18">
        <f>IFERROR(__xludf.DUMMYFUNCTION("""COMPUTED_VALUE"""),26.0)</f>
        <v>26</v>
      </c>
      <c r="K1126" s="18">
        <f>IFERROR(__xludf.DUMMYFUNCTION("""COMPUTED_VALUE"""),31.0)</f>
        <v>31</v>
      </c>
      <c r="L1126" s="17">
        <f>IFERROR(__xludf.DUMMYFUNCTION("""COMPUTED_VALUE"""),3.045231345E9)</f>
        <v>3045231345</v>
      </c>
      <c r="M1126" s="17" t="str">
        <f>IFERROR(__xludf.DUMMYFUNCTION("""COMPUTED_VALUE"""),"#REF!")</f>
        <v>#REF!</v>
      </c>
      <c r="N1126" s="17"/>
      <c r="O1126" s="19" t="str">
        <f>IFERROR(__xludf.DUMMYFUNCTION("""COMPUTED_VALUE"""),"")</f>
        <v/>
      </c>
      <c r="P1126" s="17" t="b">
        <f>IFERROR(__xludf.DUMMYFUNCTION("""COMPUTED_VALUE"""),FALSE)</f>
        <v>0</v>
      </c>
      <c r="Q1126" s="20" t="str">
        <f>IFERROR(__xludf.DUMMYFUNCTION("""COMPUTED_VALUE"""),"")</f>
        <v/>
      </c>
      <c r="R1126" s="22" t="str">
        <f>IFERROR(__xludf.DUMMYFUNCTION("""COMPUTED_VALUE"""),"")</f>
        <v/>
      </c>
    </row>
    <row r="1127">
      <c r="A1127" s="15">
        <f>IFERROR(__xludf.DUMMYFUNCTION("""COMPUTED_VALUE"""),45034.0)</f>
        <v>45034</v>
      </c>
      <c r="B1127" s="16" t="str">
        <f>IFERROR(__xludf.DUMMYFUNCTION("""COMPUTED_VALUE"""),"Andrés Felipe Castillo Muñoz")</f>
        <v>Andrés Felipe Castillo Muñoz</v>
      </c>
      <c r="C1127" s="15" t="str">
        <f>IFERROR(__xludf.DUMMYFUNCTION("""COMPUTED_VALUE"""),"MEDELLÍN")</f>
        <v>MEDELLÍN</v>
      </c>
      <c r="D1127" s="15" t="str">
        <f>IFERROR(__xludf.DUMMYFUNCTION("""COMPUTED_VALUE"""),"BOGOTÁ")</f>
        <v>BOGOTÁ</v>
      </c>
      <c r="E1127" s="15" t="str">
        <f>IFERROR(__xludf.DUMMYFUNCTION("""COMPUTED_VALUE"""),"Evamazzita")</f>
        <v>Evamazzita</v>
      </c>
      <c r="F1127" s="17" t="str">
        <f>IFERROR(__xludf.DUMMYFUNCTION("""COMPUTED_VALUE"""),"calle 1c #66-50  / N/A / barrio guayabal")</f>
        <v>calle 1c #66-50  / N/A / barrio guayabal</v>
      </c>
      <c r="G1127" s="15" t="str">
        <f>IFERROR(__xludf.DUMMYFUNCTION("""COMPUTED_VALUE"""),"ANA MARIA RAMIREZ")</f>
        <v>ANA MARIA RAMIREZ</v>
      </c>
      <c r="H1127" s="16">
        <f>IFERROR(__xludf.DUMMYFUNCTION("""COMPUTED_VALUE"""),9823.0)</f>
        <v>9823</v>
      </c>
      <c r="I1127" s="18">
        <f>IFERROR(__xludf.DUMMYFUNCTION("""COMPUTED_VALUE"""),3.0)</f>
        <v>3</v>
      </c>
      <c r="J1127" s="18">
        <f>IFERROR(__xludf.DUMMYFUNCTION("""COMPUTED_VALUE"""),20.0)</f>
        <v>20</v>
      </c>
      <c r="K1127" s="18">
        <f>IFERROR(__xludf.DUMMYFUNCTION("""COMPUTED_VALUE"""),15.0)</f>
        <v>15</v>
      </c>
      <c r="L1127" s="17">
        <f>IFERROR(__xludf.DUMMYFUNCTION("""COMPUTED_VALUE"""),3.226649929E9)</f>
        <v>3226649929</v>
      </c>
      <c r="M1127" s="17" t="str">
        <f>IFERROR(__xludf.DUMMYFUNCTION("""COMPUTED_VALUE"""),"#REF!")</f>
        <v>#REF!</v>
      </c>
      <c r="N1127" s="17"/>
      <c r="O1127" s="19" t="str">
        <f>IFERROR(__xludf.DUMMYFUNCTION("""COMPUTED_VALUE"""),"")</f>
        <v/>
      </c>
      <c r="P1127" s="17" t="b">
        <f>IFERROR(__xludf.DUMMYFUNCTION("""COMPUTED_VALUE"""),TRUE)</f>
        <v>1</v>
      </c>
      <c r="Q1127" s="20">
        <f>IFERROR(__xludf.DUMMYFUNCTION("""COMPUTED_VALUE"""),45034.641222129634)</f>
        <v>45034.64122</v>
      </c>
      <c r="R1127" s="22" t="str">
        <f>IFERROR(__xludf.DUMMYFUNCTION("""COMPUTED_VALUE"""),"")</f>
        <v/>
      </c>
    </row>
    <row r="1128">
      <c r="A1128" s="15">
        <f>IFERROR(__xludf.DUMMYFUNCTION("""COMPUTED_VALUE"""),45034.0)</f>
        <v>45034</v>
      </c>
      <c r="B1128" s="16" t="str">
        <f>IFERROR(__xludf.DUMMYFUNCTION("""COMPUTED_VALUE"""),"Andrés Felipe Castillo Muñoz")</f>
        <v>Andrés Felipe Castillo Muñoz</v>
      </c>
      <c r="C1128" s="15" t="str">
        <f>IFERROR(__xludf.DUMMYFUNCTION("""COMPUTED_VALUE"""),"MEDELLÍN")</f>
        <v>MEDELLÍN</v>
      </c>
      <c r="D1128" s="15" t="str">
        <f>IFERROR(__xludf.DUMMYFUNCTION("""COMPUTED_VALUE"""),"BOGOTÁ")</f>
        <v>BOGOTÁ</v>
      </c>
      <c r="E1128" s="15" t="str">
        <f>IFERROR(__xludf.DUMMYFUNCTION("""COMPUTED_VALUE"""),"Evamazzita")</f>
        <v>Evamazzita</v>
      </c>
      <c r="F1128" s="17" t="str">
        <f>IFERROR(__xludf.DUMMYFUNCTION("""COMPUTED_VALUE"""),"Calle 80 58-161 /  edificio guayacanes del sur apartamento 2106  / ITAGÜÍ - Santa María")</f>
        <v>Calle 80 58-161 /  edificio guayacanes del sur apartamento 2106  / ITAGÜÍ - Santa María</v>
      </c>
      <c r="G1128" s="15" t="str">
        <f>IFERROR(__xludf.DUMMYFUNCTION("""COMPUTED_VALUE"""),"ANA MILENA GRANADA")</f>
        <v>ANA MILENA GRANADA</v>
      </c>
      <c r="H1128" s="16">
        <f>IFERROR(__xludf.DUMMYFUNCTION("""COMPUTED_VALUE"""),9819.0)</f>
        <v>9819</v>
      </c>
      <c r="I1128" s="18">
        <f>IFERROR(__xludf.DUMMYFUNCTION("""COMPUTED_VALUE"""),3.0)</f>
        <v>3</v>
      </c>
      <c r="J1128" s="18">
        <f>IFERROR(__xludf.DUMMYFUNCTION("""COMPUTED_VALUE"""),15.0)</f>
        <v>15</v>
      </c>
      <c r="K1128" s="18">
        <f>IFERROR(__xludf.DUMMYFUNCTION("""COMPUTED_VALUE"""),20.0)</f>
        <v>20</v>
      </c>
      <c r="L1128" s="17">
        <f>IFERROR(__xludf.DUMMYFUNCTION("""COMPUTED_VALUE"""),3.103321408E9)</f>
        <v>3103321408</v>
      </c>
      <c r="M1128" s="17" t="str">
        <f>IFERROR(__xludf.DUMMYFUNCTION("""COMPUTED_VALUE"""),"#REF!")</f>
        <v>#REF!</v>
      </c>
      <c r="N1128" s="17"/>
      <c r="O1128" s="19" t="str">
        <f>IFERROR(__xludf.DUMMYFUNCTION("""COMPUTED_VALUE"""),"")</f>
        <v/>
      </c>
      <c r="P1128" s="17" t="b">
        <f>IFERROR(__xludf.DUMMYFUNCTION("""COMPUTED_VALUE"""),FALSE)</f>
        <v>0</v>
      </c>
      <c r="Q1128" s="20" t="str">
        <f>IFERROR(__xludf.DUMMYFUNCTION("""COMPUTED_VALUE"""),"")</f>
        <v/>
      </c>
      <c r="R1128" s="22" t="str">
        <f>IFERROR(__xludf.DUMMYFUNCTION("""COMPUTED_VALUE"""),"")</f>
        <v/>
      </c>
    </row>
    <row r="1129">
      <c r="A1129" s="15">
        <f>IFERROR(__xludf.DUMMYFUNCTION("""COMPUTED_VALUE"""),45034.0)</f>
        <v>45034</v>
      </c>
      <c r="B1129" s="16" t="str">
        <f>IFERROR(__xludf.DUMMYFUNCTION("""COMPUTED_VALUE"""),"Andrés Felipe Castillo Muñoz")</f>
        <v>Andrés Felipe Castillo Muñoz</v>
      </c>
      <c r="C1129" s="15" t="str">
        <f>IFERROR(__xludf.DUMMYFUNCTION("""COMPUTED_VALUE"""),"MEDELLÍN")</f>
        <v>MEDELLÍN</v>
      </c>
      <c r="D1129" s="15" t="str">
        <f>IFERROR(__xludf.DUMMYFUNCTION("""COMPUTED_VALUE"""),"BOGOTÁ")</f>
        <v>BOGOTÁ</v>
      </c>
      <c r="E1129" s="15" t="str">
        <f>IFERROR(__xludf.DUMMYFUNCTION("""COMPUTED_VALUE"""),"Evamazzita")</f>
        <v>Evamazzita</v>
      </c>
      <c r="F1129" s="17" t="str">
        <f>IFERROR(__xludf.DUMMYFUNCTION("""COMPUTED_VALUE"""),"Carrera 49 B 26B 50   / Apartamento 1822 torre 1 Unidad ciudad central   / BELLO - barrio: cabañas")</f>
        <v>Carrera 49 B 26B 50   / Apartamento 1822 torre 1 Unidad ciudad central   / BELLO - barrio: cabañas</v>
      </c>
      <c r="G1129" s="15" t="str">
        <f>IFERROR(__xludf.DUMMYFUNCTION("""COMPUTED_VALUE"""),"LEIDY YOMARA DAVID GOMEZ")</f>
        <v>LEIDY YOMARA DAVID GOMEZ</v>
      </c>
      <c r="H1129" s="16">
        <f>IFERROR(__xludf.DUMMYFUNCTION("""COMPUTED_VALUE"""),9818.0)</f>
        <v>9818</v>
      </c>
      <c r="I1129" s="18">
        <f>IFERROR(__xludf.DUMMYFUNCTION("""COMPUTED_VALUE"""),3.0)</f>
        <v>3</v>
      </c>
      <c r="J1129" s="18">
        <f>IFERROR(__xludf.DUMMYFUNCTION("""COMPUTED_VALUE"""),20.0)</f>
        <v>20</v>
      </c>
      <c r="K1129" s="18">
        <f>IFERROR(__xludf.DUMMYFUNCTION("""COMPUTED_VALUE"""),15.0)</f>
        <v>15</v>
      </c>
      <c r="L1129" s="17">
        <f>IFERROR(__xludf.DUMMYFUNCTION("""COMPUTED_VALUE"""),3.233241836E9)</f>
        <v>3233241836</v>
      </c>
      <c r="M1129" s="17" t="str">
        <f>IFERROR(__xludf.DUMMYFUNCTION("""COMPUTED_VALUE"""),"#REF!")</f>
        <v>#REF!</v>
      </c>
      <c r="N1129" s="17"/>
      <c r="O1129" s="19" t="str">
        <f>IFERROR(__xludf.DUMMYFUNCTION("""COMPUTED_VALUE"""),"")</f>
        <v/>
      </c>
      <c r="P1129" s="17" t="b">
        <f>IFERROR(__xludf.DUMMYFUNCTION("""COMPUTED_VALUE"""),TRUE)</f>
        <v>1</v>
      </c>
      <c r="Q1129" s="20">
        <f>IFERROR(__xludf.DUMMYFUNCTION("""COMPUTED_VALUE"""),45034.622431145835)</f>
        <v>45034.62243</v>
      </c>
      <c r="R1129" s="22" t="str">
        <f>IFERROR(__xludf.DUMMYFUNCTION("""COMPUTED_VALUE"""),"")</f>
        <v/>
      </c>
    </row>
    <row r="1130">
      <c r="A1130" s="15">
        <f>IFERROR(__xludf.DUMMYFUNCTION("""COMPUTED_VALUE"""),45034.0)</f>
        <v>45034</v>
      </c>
      <c r="B1130" s="16" t="str">
        <f>IFERROR(__xludf.DUMMYFUNCTION("""COMPUTED_VALUE"""),"Andrés Felipe Castillo Muñoz")</f>
        <v>Andrés Felipe Castillo Muñoz</v>
      </c>
      <c r="C1130" s="15" t="str">
        <f>IFERROR(__xludf.DUMMYFUNCTION("""COMPUTED_VALUE"""),"MEDELLÍN")</f>
        <v>MEDELLÍN</v>
      </c>
      <c r="D1130" s="15" t="str">
        <f>IFERROR(__xludf.DUMMYFUNCTION("""COMPUTED_VALUE"""),"BOGOTÁ")</f>
        <v>BOGOTÁ</v>
      </c>
      <c r="E1130" s="15" t="str">
        <f>IFERROR(__xludf.DUMMYFUNCTION("""COMPUTED_VALUE"""),"Evamazzita")</f>
        <v>Evamazzita</v>
      </c>
      <c r="F1130" s="17" t="str">
        <f>IFERROR(__xludf.DUMMYFUNCTION("""COMPUTED_VALUE"""),"CRA 15 BA No. 34D- 44  / INT 201  / BUENOS AIRES")</f>
        <v>CRA 15 BA No. 34D- 44  / INT 201  / BUENOS AIRES</v>
      </c>
      <c r="G1130" s="15" t="str">
        <f>IFERROR(__xludf.DUMMYFUNCTION("""COMPUTED_VALUE"""),"DANIELA BEDOYA BLANDON")</f>
        <v>DANIELA BEDOYA BLANDON</v>
      </c>
      <c r="H1130" s="16">
        <f>IFERROR(__xludf.DUMMYFUNCTION("""COMPUTED_VALUE"""),9835.0)</f>
        <v>9835</v>
      </c>
      <c r="I1130" s="18">
        <f>IFERROR(__xludf.DUMMYFUNCTION("""COMPUTED_VALUE"""),18.0)</f>
        <v>18</v>
      </c>
      <c r="J1130" s="18">
        <f>IFERROR(__xludf.DUMMYFUNCTION("""COMPUTED_VALUE"""),30.0)</f>
        <v>30</v>
      </c>
      <c r="K1130" s="18">
        <f>IFERROR(__xludf.DUMMYFUNCTION("""COMPUTED_VALUE"""),43.0)</f>
        <v>43</v>
      </c>
      <c r="L1130" s="17">
        <f>IFERROR(__xludf.DUMMYFUNCTION("""COMPUTED_VALUE"""),3.14672822E9)</f>
        <v>3146728220</v>
      </c>
      <c r="M1130" s="17" t="str">
        <f>IFERROR(__xludf.DUMMYFUNCTION("""COMPUTED_VALUE"""),"#REF!")</f>
        <v>#REF!</v>
      </c>
      <c r="N1130" s="17"/>
      <c r="O1130" s="19" t="str">
        <f>IFERROR(__xludf.DUMMYFUNCTION("""COMPUTED_VALUE"""),"")</f>
        <v/>
      </c>
      <c r="P1130" s="17" t="b">
        <f>IFERROR(__xludf.DUMMYFUNCTION("""COMPUTED_VALUE"""),TRUE)</f>
        <v>1</v>
      </c>
      <c r="Q1130" s="20">
        <f>IFERROR(__xludf.DUMMYFUNCTION("""COMPUTED_VALUE"""),45035.51920310185)</f>
        <v>45035.5192</v>
      </c>
      <c r="R1130" s="22" t="str">
        <f>IFERROR(__xludf.DUMMYFUNCTION("""COMPUTED_VALUE"""),"")</f>
        <v/>
      </c>
    </row>
    <row r="1131">
      <c r="A1131" s="15">
        <f>IFERROR(__xludf.DUMMYFUNCTION("""COMPUTED_VALUE"""),45034.0)</f>
        <v>45034</v>
      </c>
      <c r="B1131" s="16" t="str">
        <f>IFERROR(__xludf.DUMMYFUNCTION("""COMPUTED_VALUE"""),"Andrés Felipe Castillo Muñoz")</f>
        <v>Andrés Felipe Castillo Muñoz</v>
      </c>
      <c r="C1131" s="15" t="str">
        <f>IFERROR(__xludf.DUMMYFUNCTION("""COMPUTED_VALUE"""),"MEDELLÍN")</f>
        <v>MEDELLÍN</v>
      </c>
      <c r="D1131" s="15" t="str">
        <f>IFERROR(__xludf.DUMMYFUNCTION("""COMPUTED_VALUE"""),"BOGOTÁ")</f>
        <v>BOGOTÁ</v>
      </c>
      <c r="E1131" s="15" t="str">
        <f>IFERROR(__xludf.DUMMYFUNCTION("""COMPUTED_VALUE"""),"Evamazzita")</f>
        <v>Evamazzita</v>
      </c>
      <c r="F1131" s="17" t="str">
        <f>IFERROR(__xludf.DUMMYFUNCTION("""COMPUTED_VALUE"""),"Crr 20 n 12 sur 424 /  DuVille 805   / Poblado")</f>
        <v>Crr 20 n 12 sur 424 /  DuVille 805   / Poblado</v>
      </c>
      <c r="G1131" s="15" t="str">
        <f>IFERROR(__xludf.DUMMYFUNCTION("""COMPUTED_VALUE"""),"MANUELA MONSALVE")</f>
        <v>MANUELA MONSALVE</v>
      </c>
      <c r="H1131" s="16">
        <f>IFERROR(__xludf.DUMMYFUNCTION("""COMPUTED_VALUE"""),9820.0)</f>
        <v>9820</v>
      </c>
      <c r="I1131" s="18">
        <f>IFERROR(__xludf.DUMMYFUNCTION("""COMPUTED_VALUE"""),3.0)</f>
        <v>3</v>
      </c>
      <c r="J1131" s="18">
        <f>IFERROR(__xludf.DUMMYFUNCTION("""COMPUTED_VALUE"""),20.0)</f>
        <v>20</v>
      </c>
      <c r="K1131" s="18">
        <f>IFERROR(__xludf.DUMMYFUNCTION("""COMPUTED_VALUE"""),15.0)</f>
        <v>15</v>
      </c>
      <c r="L1131" s="17">
        <f>IFERROR(__xludf.DUMMYFUNCTION("""COMPUTED_VALUE"""),3.18649839E9)</f>
        <v>3186498390</v>
      </c>
      <c r="M1131" s="17" t="str">
        <f>IFERROR(__xludf.DUMMYFUNCTION("""COMPUTED_VALUE"""),"#REF!")</f>
        <v>#REF!</v>
      </c>
      <c r="N1131" s="17"/>
      <c r="O1131" s="19" t="str">
        <f>IFERROR(__xludf.DUMMYFUNCTION("""COMPUTED_VALUE"""),"")</f>
        <v/>
      </c>
      <c r="P1131" s="17" t="b">
        <f>IFERROR(__xludf.DUMMYFUNCTION("""COMPUTED_VALUE"""),TRUE)</f>
        <v>1</v>
      </c>
      <c r="Q1131" s="20">
        <f>IFERROR(__xludf.DUMMYFUNCTION("""COMPUTED_VALUE"""),45034.690413530094)</f>
        <v>45034.69041</v>
      </c>
      <c r="R1131" s="22" t="str">
        <f>IFERROR(__xludf.DUMMYFUNCTION("""COMPUTED_VALUE"""),"")</f>
        <v/>
      </c>
    </row>
    <row r="1132">
      <c r="A1132" s="15">
        <f>IFERROR(__xludf.DUMMYFUNCTION("""COMPUTED_VALUE"""),45034.0)</f>
        <v>45034</v>
      </c>
      <c r="B1132" s="16" t="str">
        <f>IFERROR(__xludf.DUMMYFUNCTION("""COMPUTED_VALUE"""),"Andrés Felipe Castillo Muñoz")</f>
        <v>Andrés Felipe Castillo Muñoz</v>
      </c>
      <c r="C1132" s="15" t="str">
        <f>IFERROR(__xludf.DUMMYFUNCTION("""COMPUTED_VALUE"""),"MEDELLÍN")</f>
        <v>MEDELLÍN</v>
      </c>
      <c r="D1132" s="15" t="str">
        <f>IFERROR(__xludf.DUMMYFUNCTION("""COMPUTED_VALUE"""),"BOGOTÁ")</f>
        <v>BOGOTÁ</v>
      </c>
      <c r="E1132" s="15" t="str">
        <f>IFERROR(__xludf.DUMMYFUNCTION("""COMPUTED_VALUE"""),"Ind. Karpos")</f>
        <v>Ind. Karpos</v>
      </c>
      <c r="F1132" s="17" t="str">
        <f>IFERROR(__xludf.DUMMYFUNCTION("""COMPUTED_VALUE"""),"CALLE 36 SUR # 43 - 40 ENVIGADO / HELADERIA YASAWA / ENVIGADO CENTRO")</f>
        <v>CALLE 36 SUR # 43 - 40 ENVIGADO / HELADERIA YASAWA / ENVIGADO CENTRO</v>
      </c>
      <c r="G1132" s="15" t="str">
        <f>IFERROR(__xludf.DUMMYFUNCTION("""COMPUTED_VALUE"""),"DANIEL TIRADO")</f>
        <v>DANIEL TIRADO</v>
      </c>
      <c r="H1132" s="16">
        <f>IFERROR(__xludf.DUMMYFUNCTION("""COMPUTED_VALUE"""),9839.0)</f>
        <v>9839</v>
      </c>
      <c r="I1132" s="18">
        <f>IFERROR(__xludf.DUMMYFUNCTION("""COMPUTED_VALUE"""),23.0)</f>
        <v>23</v>
      </c>
      <c r="J1132" s="18">
        <f>IFERROR(__xludf.DUMMYFUNCTION("""COMPUTED_VALUE"""),23.0)</f>
        <v>23</v>
      </c>
      <c r="K1132" s="18">
        <f>IFERROR(__xludf.DUMMYFUNCTION("""COMPUTED_VALUE"""),39.0)</f>
        <v>39</v>
      </c>
      <c r="L1132" s="17">
        <f>IFERROR(__xludf.DUMMYFUNCTION("""COMPUTED_VALUE"""),3.105986088E9)</f>
        <v>3105986088</v>
      </c>
      <c r="M1132" s="17" t="str">
        <f>IFERROR(__xludf.DUMMYFUNCTION("""COMPUTED_VALUE"""),"#REF!")</f>
        <v>#REF!</v>
      </c>
      <c r="N1132" s="17"/>
      <c r="O1132" s="19" t="str">
        <f>IFERROR(__xludf.DUMMYFUNCTION("""COMPUTED_VALUE"""),"")</f>
        <v/>
      </c>
      <c r="P1132" s="17" t="b">
        <f>IFERROR(__xludf.DUMMYFUNCTION("""COMPUTED_VALUE"""),TRUE)</f>
        <v>1</v>
      </c>
      <c r="Q1132" s="20">
        <f>IFERROR(__xludf.DUMMYFUNCTION("""COMPUTED_VALUE"""),45035.51920310185)</f>
        <v>45035.5192</v>
      </c>
      <c r="R1132" s="22" t="str">
        <f>IFERROR(__xludf.DUMMYFUNCTION("""COMPUTED_VALUE"""),"")</f>
        <v/>
      </c>
    </row>
    <row r="1133">
      <c r="A1133" s="15">
        <f>IFERROR(__xludf.DUMMYFUNCTION("""COMPUTED_VALUE"""),45034.0)</f>
        <v>45034</v>
      </c>
      <c r="B1133" s="16" t="str">
        <f>IFERROR(__xludf.DUMMYFUNCTION("""COMPUTED_VALUE"""),"Andrés Felipe Castillo Muñoz")</f>
        <v>Andrés Felipe Castillo Muñoz</v>
      </c>
      <c r="C1133" s="15" t="str">
        <f>IFERROR(__xludf.DUMMYFUNCTION("""COMPUTED_VALUE"""),"MEDELLÍN")</f>
        <v>MEDELLÍN</v>
      </c>
      <c r="D1133" s="15" t="str">
        <f>IFERROR(__xludf.DUMMYFUNCTION("""COMPUTED_VALUE"""),"BOGOTÁ")</f>
        <v>BOGOTÁ</v>
      </c>
      <c r="E1133" s="15" t="str">
        <f>IFERROR(__xludf.DUMMYFUNCTION("""COMPUTED_VALUE"""),"Ins. Alimento Vital")</f>
        <v>Ins. Alimento Vital</v>
      </c>
      <c r="F1133" s="17" t="str">
        <f>IFERROR(__xludf.DUMMYFUNCTION("""COMPUTED_VALUE"""),"AV. 74B # 39B 142 / CASA NEGRA 2 PISO / BARRIO LAURELES")</f>
        <v>AV. 74B # 39B 142 / CASA NEGRA 2 PISO / BARRIO LAURELES</v>
      </c>
      <c r="G1133" s="15" t="str">
        <f>IFERROR(__xludf.DUMMYFUNCTION("""COMPUTED_VALUE"""),"VELOCITY")</f>
        <v>VELOCITY</v>
      </c>
      <c r="H1133" s="16">
        <f>IFERROR(__xludf.DUMMYFUNCTION("""COMPUTED_VALUE"""),9837.0)</f>
        <v>9837</v>
      </c>
      <c r="I1133" s="18">
        <f>IFERROR(__xludf.DUMMYFUNCTION("""COMPUTED_VALUE"""),165.0)</f>
        <v>165</v>
      </c>
      <c r="J1133" s="18">
        <f>IFERROR(__xludf.DUMMYFUNCTION("""COMPUTED_VALUE"""),45.0)</f>
        <v>45</v>
      </c>
      <c r="K1133" s="18" t="str">
        <f>IFERROR(__xludf.DUMMYFUNCTION("""COMPUTED_VALUE"""),"52.5")</f>
        <v>52.5</v>
      </c>
      <c r="L1133" s="17">
        <f>IFERROR(__xludf.DUMMYFUNCTION("""COMPUTED_VALUE"""),3.195119419E9)</f>
        <v>3195119419</v>
      </c>
      <c r="M1133" s="17" t="str">
        <f>IFERROR(__xludf.DUMMYFUNCTION("""COMPUTED_VALUE"""),"#REF!")</f>
        <v>#REF!</v>
      </c>
      <c r="N1133" s="17"/>
      <c r="O1133" s="19" t="str">
        <f>IFERROR(__xludf.DUMMYFUNCTION("""COMPUTED_VALUE"""),"")</f>
        <v/>
      </c>
      <c r="P1133" s="17" t="b">
        <f>IFERROR(__xludf.DUMMYFUNCTION("""COMPUTED_VALUE"""),TRUE)</f>
        <v>1</v>
      </c>
      <c r="Q1133" s="20">
        <f>IFERROR(__xludf.DUMMYFUNCTION("""COMPUTED_VALUE"""),45035.51920310185)</f>
        <v>45035.5192</v>
      </c>
      <c r="R1133" s="22" t="str">
        <f>IFERROR(__xludf.DUMMYFUNCTION("""COMPUTED_VALUE"""),"")</f>
        <v/>
      </c>
    </row>
    <row r="1134">
      <c r="A1134" s="15">
        <f>IFERROR(__xludf.DUMMYFUNCTION("""COMPUTED_VALUE"""),45034.0)</f>
        <v>45034</v>
      </c>
      <c r="B1134" s="16" t="str">
        <f>IFERROR(__xludf.DUMMYFUNCTION("""COMPUTED_VALUE"""),"Andrés Felipe Castillo Muñoz")</f>
        <v>Andrés Felipe Castillo Muñoz</v>
      </c>
      <c r="C1134" s="15" t="str">
        <f>IFERROR(__xludf.DUMMYFUNCTION("""COMPUTED_VALUE"""),"MEDELLÍN")</f>
        <v>MEDELLÍN</v>
      </c>
      <c r="D1134" s="15" t="str">
        <f>IFERROR(__xludf.DUMMYFUNCTION("""COMPUTED_VALUE"""),"BOGOTÁ")</f>
        <v>BOGOTÁ</v>
      </c>
      <c r="E1134" s="15" t="str">
        <f>IFERROR(__xludf.DUMMYFUNCTION("""COMPUTED_VALUE"""),"Loomifoods")</f>
        <v>Loomifoods</v>
      </c>
      <c r="F1134" s="17" t="str">
        <f>IFERROR(__xludf.DUMMYFUNCTION("""COMPUTED_VALUE"""),"Calle 41 no. 97 - 39 / Interior 101 / Edificio San Javier, Cementerio de La América")</f>
        <v>Calle 41 no. 97 - 39 / Interior 101 / Edificio San Javier, Cementerio de La América</v>
      </c>
      <c r="G1134" s="15" t="str">
        <f>IFERROR(__xludf.DUMMYFUNCTION("""COMPUTED_VALUE"""),"Tatiana Oquendo")</f>
        <v>Tatiana Oquendo</v>
      </c>
      <c r="H1134" s="16">
        <f>IFERROR(__xludf.DUMMYFUNCTION("""COMPUTED_VALUE"""),9829.0)</f>
        <v>9829</v>
      </c>
      <c r="I1134" s="18">
        <f>IFERROR(__xludf.DUMMYFUNCTION("""COMPUTED_VALUE"""),20.0)</f>
        <v>20</v>
      </c>
      <c r="J1134" s="18">
        <f>IFERROR(__xludf.DUMMYFUNCTION("""COMPUTED_VALUE"""),10.0)</f>
        <v>10</v>
      </c>
      <c r="K1134" s="18">
        <f>IFERROR(__xludf.DUMMYFUNCTION("""COMPUTED_VALUE"""),16.0)</f>
        <v>16</v>
      </c>
      <c r="L1134" s="17">
        <f>IFERROR(__xludf.DUMMYFUNCTION("""COMPUTED_VALUE"""),3.148923472E9)</f>
        <v>3148923472</v>
      </c>
      <c r="M1134" s="17" t="str">
        <f>IFERROR(__xludf.DUMMYFUNCTION("""COMPUTED_VALUE"""),"#REF!")</f>
        <v>#REF!</v>
      </c>
      <c r="N1134" s="17"/>
      <c r="O1134" s="19" t="str">
        <f>IFERROR(__xludf.DUMMYFUNCTION("""COMPUTED_VALUE"""),"")</f>
        <v/>
      </c>
      <c r="P1134" s="17" t="b">
        <f>IFERROR(__xludf.DUMMYFUNCTION("""COMPUTED_VALUE"""),FALSE)</f>
        <v>0</v>
      </c>
      <c r="Q1134" s="20" t="str">
        <f>IFERROR(__xludf.DUMMYFUNCTION("""COMPUTED_VALUE"""),"")</f>
        <v/>
      </c>
      <c r="R1134" s="22" t="str">
        <f>IFERROR(__xludf.DUMMYFUNCTION("""COMPUTED_VALUE"""),"")</f>
        <v/>
      </c>
    </row>
    <row r="1135">
      <c r="A1135" s="15">
        <f>IFERROR(__xludf.DUMMYFUNCTION("""COMPUTED_VALUE"""),45034.0)</f>
        <v>45034</v>
      </c>
      <c r="B1135" s="16" t="str">
        <f>IFERROR(__xludf.DUMMYFUNCTION("""COMPUTED_VALUE"""),"Andrés Felipe Castillo Muñoz")</f>
        <v>Andrés Felipe Castillo Muñoz</v>
      </c>
      <c r="C1135" s="15" t="str">
        <f>IFERROR(__xludf.DUMMYFUNCTION("""COMPUTED_VALUE"""),"MEDELLÍN")</f>
        <v>MEDELLÍN</v>
      </c>
      <c r="D1135" s="15" t="str">
        <f>IFERROR(__xludf.DUMMYFUNCTION("""COMPUTED_VALUE"""),"BOGOTÁ")</f>
        <v>BOGOTÁ</v>
      </c>
      <c r="E1135" s="15" t="str">
        <f>IFERROR(__xludf.DUMMYFUNCTION("""COMPUTED_VALUE"""),"Loomifoods")</f>
        <v>Loomifoods</v>
      </c>
      <c r="F1135" s="17" t="str">
        <f>IFERROR(__xludf.DUMMYFUNCTION("""COMPUTED_VALUE"""),"Carrera 47 Número 52 Sur 110  / Apto 1305 Urbanización Torres De Mayorca Apatamento 1305 / Sabaneta")</f>
        <v>Carrera 47 Número 52 Sur 110  / Apto 1305 Urbanización Torres De Mayorca Apatamento 1305 / Sabaneta</v>
      </c>
      <c r="G1135" s="15" t="str">
        <f>IFERROR(__xludf.DUMMYFUNCTION("""COMPUTED_VALUE"""),"Yazmin Álvarez Ocampo")</f>
        <v>Yazmin Álvarez Ocampo</v>
      </c>
      <c r="H1135" s="16">
        <f>IFERROR(__xludf.DUMMYFUNCTION("""COMPUTED_VALUE"""),9827.0)</f>
        <v>9827</v>
      </c>
      <c r="I1135" s="18">
        <f>IFERROR(__xludf.DUMMYFUNCTION("""COMPUTED_VALUE"""),20.0)</f>
        <v>20</v>
      </c>
      <c r="J1135" s="18">
        <f>IFERROR(__xludf.DUMMYFUNCTION("""COMPUTED_VALUE"""),10.0)</f>
        <v>10</v>
      </c>
      <c r="K1135" s="18">
        <f>IFERROR(__xludf.DUMMYFUNCTION("""COMPUTED_VALUE"""),16.0)</f>
        <v>16</v>
      </c>
      <c r="L1135" s="17">
        <f>IFERROR(__xludf.DUMMYFUNCTION("""COMPUTED_VALUE"""),3.017592292E9)</f>
        <v>3017592292</v>
      </c>
      <c r="M1135" s="17" t="str">
        <f>IFERROR(__xludf.DUMMYFUNCTION("""COMPUTED_VALUE"""),"#REF!")</f>
        <v>#REF!</v>
      </c>
      <c r="N1135" s="17"/>
      <c r="O1135" s="19" t="str">
        <f>IFERROR(__xludf.DUMMYFUNCTION("""COMPUTED_VALUE"""),"")</f>
        <v/>
      </c>
      <c r="P1135" s="17" t="b">
        <f>IFERROR(__xludf.DUMMYFUNCTION("""COMPUTED_VALUE"""),TRUE)</f>
        <v>1</v>
      </c>
      <c r="Q1135" s="20">
        <f>IFERROR(__xludf.DUMMYFUNCTION("""COMPUTED_VALUE"""),45034.64147729166)</f>
        <v>45034.64148</v>
      </c>
      <c r="R1135" s="22" t="str">
        <f>IFERROR(__xludf.DUMMYFUNCTION("""COMPUTED_VALUE"""),"")</f>
        <v/>
      </c>
    </row>
    <row r="1136">
      <c r="A1136" s="15">
        <f>IFERROR(__xludf.DUMMYFUNCTION("""COMPUTED_VALUE"""),45034.0)</f>
        <v>45034</v>
      </c>
      <c r="B1136" s="16" t="str">
        <f>IFERROR(__xludf.DUMMYFUNCTION("""COMPUTED_VALUE"""),"Andrés Felipe Castillo Muñoz")</f>
        <v>Andrés Felipe Castillo Muñoz</v>
      </c>
      <c r="C1136" s="15" t="str">
        <f>IFERROR(__xludf.DUMMYFUNCTION("""COMPUTED_VALUE"""),"MEDELLÍN")</f>
        <v>MEDELLÍN</v>
      </c>
      <c r="D1136" s="15" t="str">
        <f>IFERROR(__xludf.DUMMYFUNCTION("""COMPUTED_VALUE"""),"BOGOTÁ")</f>
        <v>BOGOTÁ</v>
      </c>
      <c r="E1136" s="15" t="str">
        <f>IFERROR(__xludf.DUMMYFUNCTION("""COMPUTED_VALUE"""),"Loomifoods")</f>
        <v>Loomifoods</v>
      </c>
      <c r="F1136" s="17" t="str">
        <f>IFERROR(__xludf.DUMMYFUNCTION("""COMPUTED_VALUE"""),"Cra 15 BA no. 34D - 44 / Interior 201 / Medellin")</f>
        <v>Cra 15 BA no. 34D - 44 / Interior 201 / Medellin</v>
      </c>
      <c r="G1136" s="15" t="str">
        <f>IFERROR(__xludf.DUMMYFUNCTION("""COMPUTED_VALUE"""),"Daniela Bedoya")</f>
        <v>Daniela Bedoya</v>
      </c>
      <c r="H1136" s="16">
        <f>IFERROR(__xludf.DUMMYFUNCTION("""COMPUTED_VALUE"""),9828.0)</f>
        <v>9828</v>
      </c>
      <c r="I1136" s="18">
        <f>IFERROR(__xludf.DUMMYFUNCTION("""COMPUTED_VALUE"""),20.0)</f>
        <v>20</v>
      </c>
      <c r="J1136" s="18">
        <f>IFERROR(__xludf.DUMMYFUNCTION("""COMPUTED_VALUE"""),10.0)</f>
        <v>10</v>
      </c>
      <c r="K1136" s="18">
        <f>IFERROR(__xludf.DUMMYFUNCTION("""COMPUTED_VALUE"""),16.0)</f>
        <v>16</v>
      </c>
      <c r="L1136" s="17">
        <f>IFERROR(__xludf.DUMMYFUNCTION("""COMPUTED_VALUE"""),3.14672822E9)</f>
        <v>3146728220</v>
      </c>
      <c r="M1136" s="17" t="str">
        <f>IFERROR(__xludf.DUMMYFUNCTION("""COMPUTED_VALUE"""),"#REF!")</f>
        <v>#REF!</v>
      </c>
      <c r="N1136" s="17"/>
      <c r="O1136" s="19" t="str">
        <f>IFERROR(__xludf.DUMMYFUNCTION("""COMPUTED_VALUE"""),"")</f>
        <v/>
      </c>
      <c r="P1136" s="17" t="b">
        <f>IFERROR(__xludf.DUMMYFUNCTION("""COMPUTED_VALUE"""),TRUE)</f>
        <v>1</v>
      </c>
      <c r="Q1136" s="20">
        <f>IFERROR(__xludf.DUMMYFUNCTION("""COMPUTED_VALUE"""),45034.62213159722)</f>
        <v>45034.62213</v>
      </c>
      <c r="R1136" s="22" t="str">
        <f>IFERROR(__xludf.DUMMYFUNCTION("""COMPUTED_VALUE"""),"")</f>
        <v/>
      </c>
    </row>
    <row r="1137">
      <c r="A1137" s="15">
        <f>IFERROR(__xludf.DUMMYFUNCTION("""COMPUTED_VALUE"""),45034.0)</f>
        <v>45034</v>
      </c>
      <c r="B1137" s="16" t="str">
        <f>IFERROR(__xludf.DUMMYFUNCTION("""COMPUTED_VALUE"""),"Andrés Felipe Castillo Muñoz")</f>
        <v>Andrés Felipe Castillo Muñoz</v>
      </c>
      <c r="C1137" s="15" t="str">
        <f>IFERROR(__xludf.DUMMYFUNCTION("""COMPUTED_VALUE"""),"MEDELLÍN")</f>
        <v>MEDELLÍN</v>
      </c>
      <c r="D1137" s="15" t="str">
        <f>IFERROR(__xludf.DUMMYFUNCTION("""COMPUTED_VALUE"""),"BOGOTÁ")</f>
        <v>BOGOTÁ</v>
      </c>
      <c r="E1137" s="15" t="str">
        <f>IFERROR(__xludf.DUMMYFUNCTION("""COMPUTED_VALUE"""),"Lunchy Kids")</f>
        <v>Lunchy Kids</v>
      </c>
      <c r="F1137" s="17" t="str">
        <f>IFERROR(__xludf.DUMMYFUNCTION("""COMPUTED_VALUE"""),"Transversal 34DD sur # 30A - 22  / Casa. Apto 201 y apto 301  / Barrio Manuel Uribe Angel - Envigado")</f>
        <v>Transversal 34DD sur # 30A - 22  / Casa. Apto 201 y apto 301  / Barrio Manuel Uribe Angel - Envigado</v>
      </c>
      <c r="G1137" s="15" t="str">
        <f>IFERROR(__xludf.DUMMYFUNCTION("""COMPUTED_VALUE"""),"Marlen Londoño")</f>
        <v>Marlen Londoño</v>
      </c>
      <c r="H1137" s="16">
        <f>IFERROR(__xludf.DUMMYFUNCTION("""COMPUTED_VALUE"""),9812.0)</f>
        <v>9812</v>
      </c>
      <c r="I1137" s="18">
        <f>IFERROR(__xludf.DUMMYFUNCTION("""COMPUTED_VALUE"""),15.0)</f>
        <v>15</v>
      </c>
      <c r="J1137" s="18">
        <f>IFERROR(__xludf.DUMMYFUNCTION("""COMPUTED_VALUE"""),25.0)</f>
        <v>25</v>
      </c>
      <c r="K1137" s="18">
        <f>IFERROR(__xludf.DUMMYFUNCTION("""COMPUTED_VALUE"""),5.0)</f>
        <v>5</v>
      </c>
      <c r="L1137" s="17">
        <f>IFERROR(__xludf.DUMMYFUNCTION("""COMPUTED_VALUE"""),3.156672207E9)</f>
        <v>3156672207</v>
      </c>
      <c r="M1137" s="17" t="str">
        <f>IFERROR(__xludf.DUMMYFUNCTION("""COMPUTED_VALUE"""),"#REF!")</f>
        <v>#REF!</v>
      </c>
      <c r="N1137" s="17"/>
      <c r="O1137" s="19" t="str">
        <f>IFERROR(__xludf.DUMMYFUNCTION("""COMPUTED_VALUE"""),"")</f>
        <v/>
      </c>
      <c r="P1137" s="17" t="b">
        <f>IFERROR(__xludf.DUMMYFUNCTION("""COMPUTED_VALUE"""),TRUE)</f>
        <v>1</v>
      </c>
      <c r="Q1137" s="20">
        <f>IFERROR(__xludf.DUMMYFUNCTION("""COMPUTED_VALUE"""),45035.51920310185)</f>
        <v>45035.5192</v>
      </c>
      <c r="R1137" s="22" t="str">
        <f>IFERROR(__xludf.DUMMYFUNCTION("""COMPUTED_VALUE"""),"")</f>
        <v/>
      </c>
    </row>
    <row r="1138">
      <c r="A1138" s="17" t="str">
        <f>IFERROR(__xludf.DUMMYFUNCTION("""COMPUTED_VALUE"""),"")</f>
        <v/>
      </c>
      <c r="B1138" s="17" t="str">
        <f>IFERROR(__xludf.DUMMYFUNCTION("""COMPUTED_VALUE"""),"")</f>
        <v/>
      </c>
      <c r="C1138" s="17" t="str">
        <f>IFERROR(__xludf.DUMMYFUNCTION("""COMPUTED_VALUE"""),"")</f>
        <v/>
      </c>
      <c r="D1138" s="17" t="str">
        <f>IFERROR(__xludf.DUMMYFUNCTION("""COMPUTED_VALUE"""),"")</f>
        <v/>
      </c>
      <c r="E1138" s="17" t="str">
        <f>IFERROR(__xludf.DUMMYFUNCTION("""COMPUTED_VALUE"""),"")</f>
        <v/>
      </c>
      <c r="F1138" s="17" t="str">
        <f>IFERROR(__xludf.DUMMYFUNCTION("""COMPUTED_VALUE"""),"")</f>
        <v/>
      </c>
      <c r="G1138" s="17" t="str">
        <f>IFERROR(__xludf.DUMMYFUNCTION("""COMPUTED_VALUE"""),"")</f>
        <v/>
      </c>
      <c r="H1138" s="17" t="str">
        <f>IFERROR(__xludf.DUMMYFUNCTION("""COMPUTED_VALUE"""),"")</f>
        <v/>
      </c>
      <c r="I1138" s="17" t="str">
        <f>IFERROR(__xludf.DUMMYFUNCTION("""COMPUTED_VALUE"""),"")</f>
        <v/>
      </c>
      <c r="J1138" s="17" t="str">
        <f>IFERROR(__xludf.DUMMYFUNCTION("""COMPUTED_VALUE"""),"")</f>
        <v/>
      </c>
      <c r="K1138" s="17" t="str">
        <f>IFERROR(__xludf.DUMMYFUNCTION("""COMPUTED_VALUE"""),"")</f>
        <v/>
      </c>
      <c r="L1138" s="17" t="str">
        <f>IFERROR(__xludf.DUMMYFUNCTION("""COMPUTED_VALUE"""),"")</f>
        <v/>
      </c>
      <c r="M1138" s="17" t="str">
        <f>IFERROR(__xludf.DUMMYFUNCTION("""COMPUTED_VALUE"""),"")</f>
        <v/>
      </c>
      <c r="N1138" s="17" t="str">
        <f>IFERROR(__xludf.DUMMYFUNCTION("""COMPUTED_VALUE"""),"")</f>
        <v/>
      </c>
      <c r="O1138" s="17" t="str">
        <f>IFERROR(__xludf.DUMMYFUNCTION("""COMPUTED_VALUE"""),"")</f>
        <v/>
      </c>
      <c r="P1138" s="17" t="str">
        <f>IFERROR(__xludf.DUMMYFUNCTION("""COMPUTED_VALUE"""),"")</f>
        <v/>
      </c>
      <c r="Q1138" s="17" t="str">
        <f>IFERROR(__xludf.DUMMYFUNCTION("""COMPUTED_VALUE"""),"")</f>
        <v/>
      </c>
      <c r="R1138" s="17" t="str">
        <f>IFERROR(__xludf.DUMMYFUNCTION("""COMPUTED_VALUE"""),"")</f>
        <v/>
      </c>
    </row>
    <row r="1139">
      <c r="A1139" s="15">
        <f>IFERROR(__xludf.DUMMYFUNCTION("""COMPUTED_VALUE"""),45034.0)</f>
        <v>45034</v>
      </c>
      <c r="B1139" s="16" t="str">
        <f>IFERROR(__xludf.DUMMYFUNCTION("""COMPUTED_VALUE"""),"Deivi Alejandro Quintero Corrales")</f>
        <v>Deivi Alejandro Quintero Corrales</v>
      </c>
      <c r="C1139" s="15" t="str">
        <f>IFERROR(__xludf.DUMMYFUNCTION("""COMPUTED_VALUE"""),"ARMENIA")</f>
        <v>ARMENIA</v>
      </c>
      <c r="D1139" s="15" t="str">
        <f>IFERROR(__xludf.DUMMYFUNCTION("""COMPUTED_VALUE"""),"MEDELLÍN")</f>
        <v>MEDELLÍN</v>
      </c>
      <c r="E1139" s="15" t="str">
        <f>IFERROR(__xludf.DUMMYFUNCTION("""COMPUTED_VALUE"""),"Helados swip")</f>
        <v>Helados swip</v>
      </c>
      <c r="F1139" s="17" t="str">
        <f>IFERROR(__xludf.DUMMYFUNCTION("""COMPUTED_VALUE"""),"CARRERA 15 # 22 NORTE 77 / ED.OASIS DE LAURELES  / LOCAL 13-16  DIAGONAL TEATRO CRUZ ROJA")</f>
        <v>CARRERA 15 # 22 NORTE 77 / ED.OASIS DE LAURELES  / LOCAL 13-16  DIAGONAL TEATRO CRUZ ROJA</v>
      </c>
      <c r="G1139" s="15" t="str">
        <f>IFERROR(__xludf.DUMMYFUNCTION("""COMPUTED_VALUE"""),"TIENDA FITNESS ECO")</f>
        <v>TIENDA FITNESS ECO</v>
      </c>
      <c r="H1139" s="16">
        <f>IFERROR(__xludf.DUMMYFUNCTION("""COMPUTED_VALUE"""),9840.0)</f>
        <v>9840</v>
      </c>
      <c r="I1139" s="18">
        <f>IFERROR(__xludf.DUMMYFUNCTION("""COMPUTED_VALUE"""),10.0)</f>
        <v>10</v>
      </c>
      <c r="J1139" s="18">
        <f>IFERROR(__xludf.DUMMYFUNCTION("""COMPUTED_VALUE"""),100.0)</f>
        <v>100</v>
      </c>
      <c r="K1139" s="18">
        <f>IFERROR(__xludf.DUMMYFUNCTION("""COMPUTED_VALUE"""),70.0)</f>
        <v>70</v>
      </c>
      <c r="L1139" s="17">
        <f>IFERROR(__xludf.DUMMYFUNCTION("""COMPUTED_VALUE"""),3.217007417E9)</f>
        <v>3217007417</v>
      </c>
      <c r="M1139" s="17" t="str">
        <f>IFERROR(__xludf.DUMMYFUNCTION("""COMPUTED_VALUE"""),"#REF!")</f>
        <v>#REF!</v>
      </c>
      <c r="N1139" s="17"/>
      <c r="O1139" s="19" t="str">
        <f>IFERROR(__xludf.DUMMYFUNCTION("""COMPUTED_VALUE"""),"")</f>
        <v/>
      </c>
      <c r="P1139" s="17" t="b">
        <f>IFERROR(__xludf.DUMMYFUNCTION("""COMPUTED_VALUE"""),FALSE)</f>
        <v>0</v>
      </c>
      <c r="Q1139" s="20" t="str">
        <f>IFERROR(__xludf.DUMMYFUNCTION("""COMPUTED_VALUE"""),"")</f>
        <v/>
      </c>
      <c r="R1139" s="22" t="str">
        <f>IFERROR(__xludf.DUMMYFUNCTION("""COMPUTED_VALUE"""),"")</f>
        <v/>
      </c>
    </row>
    <row r="1140">
      <c r="A1140" s="15">
        <f>IFERROR(__xludf.DUMMYFUNCTION("""COMPUTED_VALUE"""),45034.0)</f>
        <v>45034</v>
      </c>
      <c r="B1140" s="16" t="str">
        <f>IFERROR(__xludf.DUMMYFUNCTION("""COMPUTED_VALUE"""),"Deivi Alejandro Quintero Corrales")</f>
        <v>Deivi Alejandro Quintero Corrales</v>
      </c>
      <c r="C1140" s="15" t="str">
        <f>IFERROR(__xludf.DUMMYFUNCTION("""COMPUTED_VALUE"""),"ARMENIA")</f>
        <v>ARMENIA</v>
      </c>
      <c r="D1140" s="15" t="str">
        <f>IFERROR(__xludf.DUMMYFUNCTION("""COMPUTED_VALUE"""),"MEDELLÍN")</f>
        <v>MEDELLÍN</v>
      </c>
      <c r="E1140" s="15" t="str">
        <f>IFERROR(__xludf.DUMMYFUNCTION("""COMPUTED_VALUE"""),"TOLEDALES S.A.S")</f>
        <v>TOLEDALES S.A.S</v>
      </c>
      <c r="F1140" s="17" t="str">
        <f>IFERROR(__xludf.DUMMYFUNCTION("""COMPUTED_VALUE"""),"Cra 14 # 46 norte -41 mall zona de oro")</f>
        <v>Cra 14 # 46 norte -41 mall zona de oro</v>
      </c>
      <c r="G1140" s="15" t="str">
        <f>IFERROR(__xludf.DUMMYFUNCTION("""COMPUTED_VALUE"""),"paola andrea gomez")</f>
        <v>paola andrea gomez</v>
      </c>
      <c r="H1140" s="16">
        <f>IFERROR(__xludf.DUMMYFUNCTION("""COMPUTED_VALUE"""),9728.0)</f>
        <v>9728</v>
      </c>
      <c r="I1140" s="18">
        <f>IFERROR(__xludf.DUMMYFUNCTION("""COMPUTED_VALUE"""),27.0)</f>
        <v>27</v>
      </c>
      <c r="J1140" s="18">
        <f>IFERROR(__xludf.DUMMYFUNCTION("""COMPUTED_VALUE"""),42.0)</f>
        <v>42</v>
      </c>
      <c r="K1140" s="18">
        <f>IFERROR(__xludf.DUMMYFUNCTION("""COMPUTED_VALUE"""),27.0)</f>
        <v>27</v>
      </c>
      <c r="L1140" s="17">
        <f>IFERROR(__xludf.DUMMYFUNCTION("""COMPUTED_VALUE"""),3.176643506E9)</f>
        <v>3176643506</v>
      </c>
      <c r="M1140" s="17" t="str">
        <f>IFERROR(__xludf.DUMMYFUNCTION("""COMPUTED_VALUE"""),"#REF!")</f>
        <v>#REF!</v>
      </c>
      <c r="N1140" s="17"/>
      <c r="O1140" s="19" t="str">
        <f>IFERROR(__xludf.DUMMYFUNCTION("""COMPUTED_VALUE"""),"")</f>
        <v/>
      </c>
      <c r="P1140" s="17" t="b">
        <f>IFERROR(__xludf.DUMMYFUNCTION("""COMPUTED_VALUE"""),TRUE)</f>
        <v>1</v>
      </c>
      <c r="Q1140" s="20">
        <f>IFERROR(__xludf.DUMMYFUNCTION("""COMPUTED_VALUE"""),45035.51920310185)</f>
        <v>45035.5192</v>
      </c>
      <c r="R1140" s="22" t="str">
        <f>IFERROR(__xludf.DUMMYFUNCTION("""COMPUTED_VALUE"""),"")</f>
        <v/>
      </c>
    </row>
    <row r="1141">
      <c r="A1141" s="15">
        <f>IFERROR(__xludf.DUMMYFUNCTION("""COMPUTED_VALUE"""),45034.0)</f>
        <v>45034</v>
      </c>
      <c r="B1141" s="16" t="str">
        <f>IFERROR(__xludf.DUMMYFUNCTION("""COMPUTED_VALUE"""),"Deivi Alejandro Quintero Corrales")</f>
        <v>Deivi Alejandro Quintero Corrales</v>
      </c>
      <c r="C1141" s="15" t="str">
        <f>IFERROR(__xludf.DUMMYFUNCTION("""COMPUTED_VALUE"""),"PEREIRA")</f>
        <v>PEREIRA</v>
      </c>
      <c r="D1141" s="15" t="str">
        <f>IFERROR(__xludf.DUMMYFUNCTION("""COMPUTED_VALUE"""),"BOGOTÁ")</f>
        <v>BOGOTÁ</v>
      </c>
      <c r="E1141" s="15" t="str">
        <f>IFERROR(__xludf.DUMMYFUNCTION("""COMPUTED_VALUE"""),"Evamazzita")</f>
        <v>Evamazzita</v>
      </c>
      <c r="F1141" s="17" t="str">
        <f>IFERROR(__xludf.DUMMYFUNCTION("""COMPUTED_VALUE"""),"CALLE 153 # 23 - 41  / MZ 1 CASA 9 SOL DE GALICIA / GALICIA")</f>
        <v>CALLE 153 # 23 - 41  / MZ 1 CASA 9 SOL DE GALICIA / GALICIA</v>
      </c>
      <c r="G1141" s="15" t="str">
        <f>IFERROR(__xludf.DUMMYFUNCTION("""COMPUTED_VALUE"""),"PAULA FORERO")</f>
        <v>PAULA FORERO</v>
      </c>
      <c r="H1141" s="16">
        <f>IFERROR(__xludf.DUMMYFUNCTION("""COMPUTED_VALUE"""),9805.0)</f>
        <v>9805</v>
      </c>
      <c r="I1141" s="18">
        <f>IFERROR(__xludf.DUMMYFUNCTION("""COMPUTED_VALUE"""),22.0)</f>
        <v>22</v>
      </c>
      <c r="J1141" s="18">
        <f>IFERROR(__xludf.DUMMYFUNCTION("""COMPUTED_VALUE"""),25.0)</f>
        <v>25</v>
      </c>
      <c r="K1141" s="18">
        <f>IFERROR(__xludf.DUMMYFUNCTION("""COMPUTED_VALUE"""),19.0)</f>
        <v>19</v>
      </c>
      <c r="L1141" s="17">
        <f>IFERROR(__xludf.DUMMYFUNCTION("""COMPUTED_VALUE"""),3.115760231E9)</f>
        <v>3115760231</v>
      </c>
      <c r="M1141" s="17" t="str">
        <f>IFERROR(__xludf.DUMMYFUNCTION("""COMPUTED_VALUE"""),"#REF!")</f>
        <v>#REF!</v>
      </c>
      <c r="N1141" s="17"/>
      <c r="O1141" s="19" t="str">
        <f>IFERROR(__xludf.DUMMYFUNCTION("""COMPUTED_VALUE"""),"")</f>
        <v/>
      </c>
      <c r="P1141" s="17" t="b">
        <f>IFERROR(__xludf.DUMMYFUNCTION("""COMPUTED_VALUE"""),TRUE)</f>
        <v>1</v>
      </c>
      <c r="Q1141" s="20">
        <f>IFERROR(__xludf.DUMMYFUNCTION("""COMPUTED_VALUE"""),45035.51920311342)</f>
        <v>45035.5192</v>
      </c>
      <c r="R1141" s="22" t="str">
        <f>IFERROR(__xludf.DUMMYFUNCTION("""COMPUTED_VALUE"""),"")</f>
        <v/>
      </c>
    </row>
    <row r="1142">
      <c r="A1142" s="15">
        <f>IFERROR(__xludf.DUMMYFUNCTION("""COMPUTED_VALUE"""),45034.0)</f>
        <v>45034</v>
      </c>
      <c r="B1142" s="16" t="str">
        <f>IFERROR(__xludf.DUMMYFUNCTION("""COMPUTED_VALUE"""),"Deivi Alejandro Quintero Corrales")</f>
        <v>Deivi Alejandro Quintero Corrales</v>
      </c>
      <c r="C1142" s="15" t="str">
        <f>IFERROR(__xludf.DUMMYFUNCTION("""COMPUTED_VALUE"""),"PEREIRA")</f>
        <v>PEREIRA</v>
      </c>
      <c r="D1142" s="15" t="str">
        <f>IFERROR(__xludf.DUMMYFUNCTION("""COMPUTED_VALUE"""),"BOGOTÁ")</f>
        <v>BOGOTÁ</v>
      </c>
      <c r="E1142" s="15" t="str">
        <f>IFERROR(__xludf.DUMMYFUNCTION("""COMPUTED_VALUE"""),"Ins. Alimento Vital")</f>
        <v>Ins. Alimento Vital</v>
      </c>
      <c r="F1142" s="17" t="str">
        <f>IFERROR(__xludf.DUMMYFUNCTION("""COMPUTED_VALUE"""),"CR 5 18 43 / EDIFICIO CHALJUB / BARRIO URIBE")</f>
        <v>CR 5 18 43 / EDIFICIO CHALJUB / BARRIO URIBE</v>
      </c>
      <c r="G1142" s="15" t="str">
        <f>IFERROR(__xludf.DUMMYFUNCTION("""COMPUTED_VALUE"""),"CHALJUB")</f>
        <v>CHALJUB</v>
      </c>
      <c r="H1142" s="16">
        <f>IFERROR(__xludf.DUMMYFUNCTION("""COMPUTED_VALUE"""),9830.0)</f>
        <v>9830</v>
      </c>
      <c r="I1142" s="18">
        <f>IFERROR(__xludf.DUMMYFUNCTION("""COMPUTED_VALUE"""),55.0)</f>
        <v>55</v>
      </c>
      <c r="J1142" s="18">
        <f>IFERROR(__xludf.DUMMYFUNCTION("""COMPUTED_VALUE"""),45.0)</f>
        <v>45</v>
      </c>
      <c r="K1142" s="18">
        <f>IFERROR(__xludf.DUMMYFUNCTION("""COMPUTED_VALUE"""),29.0)</f>
        <v>29</v>
      </c>
      <c r="L1142" s="17">
        <f>IFERROR(__xludf.DUMMYFUNCTION("""COMPUTED_VALUE"""),3.113678687E9)</f>
        <v>3113678687</v>
      </c>
      <c r="M1142" s="17" t="str">
        <f>IFERROR(__xludf.DUMMYFUNCTION("""COMPUTED_VALUE"""),"#REF!")</f>
        <v>#REF!</v>
      </c>
      <c r="N1142" s="17"/>
      <c r="O1142" s="19" t="str">
        <f>IFERROR(__xludf.DUMMYFUNCTION("""COMPUTED_VALUE"""),"")</f>
        <v/>
      </c>
      <c r="P1142" s="17" t="b">
        <f>IFERROR(__xludf.DUMMYFUNCTION("""COMPUTED_VALUE"""),FALSE)</f>
        <v>0</v>
      </c>
      <c r="Q1142" s="20" t="str">
        <f>IFERROR(__xludf.DUMMYFUNCTION("""COMPUTED_VALUE"""),"")</f>
        <v/>
      </c>
      <c r="R1142" s="22" t="str">
        <f>IFERROR(__xludf.DUMMYFUNCTION("""COMPUTED_VALUE"""),"")</f>
        <v/>
      </c>
    </row>
    <row r="1143">
      <c r="A1143" s="15">
        <f>IFERROR(__xludf.DUMMYFUNCTION("""COMPUTED_VALUE"""),45034.0)</f>
        <v>45034</v>
      </c>
      <c r="B1143" s="16" t="str">
        <f>IFERROR(__xludf.DUMMYFUNCTION("""COMPUTED_VALUE"""),"Deivi Alejandro Quintero Corrales")</f>
        <v>Deivi Alejandro Quintero Corrales</v>
      </c>
      <c r="C1143" s="15" t="str">
        <f>IFERROR(__xludf.DUMMYFUNCTION("""COMPUTED_VALUE"""),"PEREIRA")</f>
        <v>PEREIRA</v>
      </c>
      <c r="D1143" s="15" t="str">
        <f>IFERROR(__xludf.DUMMYFUNCTION("""COMPUTED_VALUE"""),"BOGOTÁ")</f>
        <v>BOGOTÁ</v>
      </c>
      <c r="E1143" s="15" t="str">
        <f>IFERROR(__xludf.DUMMYFUNCTION("""COMPUTED_VALUE"""),"Pan de Waffle")</f>
        <v>Pan de Waffle</v>
      </c>
      <c r="F1143" s="17" t="str">
        <f>IFERROR(__xludf.DUMMYFUNCTION("""COMPUTED_VALUE"""),"Av 30 de Agosto #75-51 Centro Comercial Unicentro Local B04 / Av 30 de Agosto #75-51 Centro Comercial Unicentro Local B04 / Av 30 de Agosto #75-51 Centro Comercial Unicentro Local B04")</f>
        <v>Av 30 de Agosto #75-51 Centro Comercial Unicentro Local B04 / Av 30 de Agosto #75-51 Centro Comercial Unicentro Local B04 / Av 30 de Agosto #75-51 Centro Comercial Unicentro Local B04</v>
      </c>
      <c r="G1143" s="15" t="str">
        <f>IFERROR(__xludf.DUMMYFUNCTION("""COMPUTED_VALUE"""),"Terrasano Sede Unicentro")</f>
        <v>Terrasano Sede Unicentro</v>
      </c>
      <c r="H1143" s="16">
        <f>IFERROR(__xludf.DUMMYFUNCTION("""COMPUTED_VALUE"""),9872.0)</f>
        <v>9872</v>
      </c>
      <c r="I1143" s="18">
        <f>IFERROR(__xludf.DUMMYFUNCTION("""COMPUTED_VALUE"""),30.0)</f>
        <v>30</v>
      </c>
      <c r="J1143" s="18">
        <f>IFERROR(__xludf.DUMMYFUNCTION("""COMPUTED_VALUE"""),40.0)</f>
        <v>40</v>
      </c>
      <c r="K1143" s="18">
        <f>IFERROR(__xludf.DUMMYFUNCTION("""COMPUTED_VALUE"""),30.0)</f>
        <v>30</v>
      </c>
      <c r="L1143" s="17">
        <f>IFERROR(__xludf.DUMMYFUNCTION("""COMPUTED_VALUE"""),3.135852971E9)</f>
        <v>3135852971</v>
      </c>
      <c r="M1143" s="17" t="str">
        <f>IFERROR(__xludf.DUMMYFUNCTION("""COMPUTED_VALUE"""),"#REF!")</f>
        <v>#REF!</v>
      </c>
      <c r="N1143" s="17"/>
      <c r="O1143" s="19" t="str">
        <f>IFERROR(__xludf.DUMMYFUNCTION("""COMPUTED_VALUE"""),"")</f>
        <v/>
      </c>
      <c r="P1143" s="17" t="b">
        <f>IFERROR(__xludf.DUMMYFUNCTION("""COMPUTED_VALUE"""),FALSE)</f>
        <v>0</v>
      </c>
      <c r="Q1143" s="20" t="str">
        <f>IFERROR(__xludf.DUMMYFUNCTION("""COMPUTED_VALUE"""),"")</f>
        <v/>
      </c>
      <c r="R1143" s="22" t="str">
        <f>IFERROR(__xludf.DUMMYFUNCTION("""COMPUTED_VALUE"""),"")</f>
        <v/>
      </c>
    </row>
    <row r="1144">
      <c r="A1144" s="15">
        <f>IFERROR(__xludf.DUMMYFUNCTION("""COMPUTED_VALUE"""),45034.0)</f>
        <v>45034</v>
      </c>
      <c r="B1144" s="16" t="str">
        <f>IFERROR(__xludf.DUMMYFUNCTION("""COMPUTED_VALUE"""),"Deivi Alejandro Quintero Corrales")</f>
        <v>Deivi Alejandro Quintero Corrales</v>
      </c>
      <c r="C1144" s="15" t="str">
        <f>IFERROR(__xludf.DUMMYFUNCTION("""COMPUTED_VALUE"""),"PEREIRA")</f>
        <v>PEREIRA</v>
      </c>
      <c r="D1144" s="15" t="str">
        <f>IFERROR(__xludf.DUMMYFUNCTION("""COMPUTED_VALUE"""),"BOGOTÁ")</f>
        <v>BOGOTÁ</v>
      </c>
      <c r="E1144" s="15" t="str">
        <f>IFERROR(__xludf.DUMMYFUNCTION("""COMPUTED_VALUE"""),"Top Spun")</f>
        <v>Top Spun</v>
      </c>
      <c r="F1144" s="17" t="str">
        <f>IFERROR(__xludf.DUMMYFUNCTION("""COMPUTED_VALUE"""),"calle 3A #20-32 / edificio vallarta apto 302 / pereira")</f>
        <v>calle 3A #20-32 / edificio vallarta apto 302 / pereira</v>
      </c>
      <c r="G1144" s="15" t="str">
        <f>IFERROR(__xludf.DUMMYFUNCTION("""COMPUTED_VALUE"""),"daniela segovia")</f>
        <v>daniela segovia</v>
      </c>
      <c r="H1144" s="16">
        <f>IFERROR(__xludf.DUMMYFUNCTION("""COMPUTED_VALUE"""),9746.0)</f>
        <v>9746</v>
      </c>
      <c r="I1144" s="18">
        <f>IFERROR(__xludf.DUMMYFUNCTION("""COMPUTED_VALUE"""),20.0)</f>
        <v>20</v>
      </c>
      <c r="J1144" s="18">
        <f>IFERROR(__xludf.DUMMYFUNCTION("""COMPUTED_VALUE"""),10.0)</f>
        <v>10</v>
      </c>
      <c r="K1144" s="18">
        <f>IFERROR(__xludf.DUMMYFUNCTION("""COMPUTED_VALUE"""),40.0)</f>
        <v>40</v>
      </c>
      <c r="L1144" s="17">
        <f>IFERROR(__xludf.DUMMYFUNCTION("""COMPUTED_VALUE"""),3.205493445E9)</f>
        <v>3205493445</v>
      </c>
      <c r="M1144" s="17" t="str">
        <f>IFERROR(__xludf.DUMMYFUNCTION("""COMPUTED_VALUE"""),"#REF!")</f>
        <v>#REF!</v>
      </c>
      <c r="N1144" s="17"/>
      <c r="O1144" s="19" t="str">
        <f>IFERROR(__xludf.DUMMYFUNCTION("""COMPUTED_VALUE"""),"")</f>
        <v/>
      </c>
      <c r="P1144" s="17" t="b">
        <f>IFERROR(__xludf.DUMMYFUNCTION("""COMPUTED_VALUE"""),FALSE)</f>
        <v>0</v>
      </c>
      <c r="Q1144" s="20" t="str">
        <f>IFERROR(__xludf.DUMMYFUNCTION("""COMPUTED_VALUE"""),"")</f>
        <v/>
      </c>
      <c r="R1144" s="22" t="str">
        <f>IFERROR(__xludf.DUMMYFUNCTION("""COMPUTED_VALUE"""),"")</f>
        <v/>
      </c>
    </row>
    <row r="1145">
      <c r="A1145" s="15">
        <f>IFERROR(__xludf.DUMMYFUNCTION("""COMPUTED_VALUE"""),45034.0)</f>
        <v>45034</v>
      </c>
      <c r="B1145" s="16" t="str">
        <f>IFERROR(__xludf.DUMMYFUNCTION("""COMPUTED_VALUE"""),"Deivi Alejandro Quintero Corrales")</f>
        <v>Deivi Alejandro Quintero Corrales</v>
      </c>
      <c r="C1145" s="15" t="str">
        <f>IFERROR(__xludf.DUMMYFUNCTION("""COMPUTED_VALUE"""),"PEREIRA")</f>
        <v>PEREIRA</v>
      </c>
      <c r="D1145" s="15" t="str">
        <f>IFERROR(__xludf.DUMMYFUNCTION("""COMPUTED_VALUE"""),"MEDELLÍN")</f>
        <v>MEDELLÍN</v>
      </c>
      <c r="E1145" s="15" t="str">
        <f>IFERROR(__xludf.DUMMYFUNCTION("""COMPUTED_VALUE"""),"Baby Chef")</f>
        <v>Baby Chef</v>
      </c>
      <c r="F1145" s="17" t="str">
        <f>IFERROR(__xludf.DUMMYFUNCTION("""COMPUTED_VALUE"""),"Calle 33 # 13B32 Conjunto Residencial Ocari Torre 2 Apartamento 501 / Calle 33 # 13B32 Conjunto residencial Ocari  Torre 2 apartamento 501 / Calle 33 # 13B32 Conjunto Residencial Ocari Torre 2 Apartamento 501")</f>
        <v>Calle 33 # 13B32 Conjunto Residencial Ocari Torre 2 Apartamento 501 / Calle 33 # 13B32 Conjunto residencial Ocari  Torre 2 apartamento 501 / Calle 33 # 13B32 Conjunto Residencial Ocari Torre 2 Apartamento 501</v>
      </c>
      <c r="G1145" s="15" t="str">
        <f>IFERROR(__xludf.DUMMYFUNCTION("""COMPUTED_VALUE"""),"MARTA VANESSA GIRALDO")</f>
        <v>MARTA VANESSA GIRALDO</v>
      </c>
      <c r="H1145" s="16">
        <f>IFERROR(__xludf.DUMMYFUNCTION("""COMPUTED_VALUE"""),9861.0)</f>
        <v>9861</v>
      </c>
      <c r="I1145" s="18">
        <f>IFERROR(__xludf.DUMMYFUNCTION("""COMPUTED_VALUE"""),8.0)</f>
        <v>8</v>
      </c>
      <c r="J1145" s="18">
        <f>IFERROR(__xludf.DUMMYFUNCTION("""COMPUTED_VALUE"""),16.0)</f>
        <v>16</v>
      </c>
      <c r="K1145" s="18">
        <f>IFERROR(__xludf.DUMMYFUNCTION("""COMPUTED_VALUE"""),20.0)</f>
        <v>20</v>
      </c>
      <c r="L1145" s="17">
        <f>IFERROR(__xludf.DUMMYFUNCTION("""COMPUTED_VALUE"""),3.143931571E9)</f>
        <v>3143931571</v>
      </c>
      <c r="M1145" s="17" t="str">
        <f>IFERROR(__xludf.DUMMYFUNCTION("""COMPUTED_VALUE"""),"#REF!")</f>
        <v>#REF!</v>
      </c>
      <c r="N1145" s="17"/>
      <c r="O1145" s="19" t="str">
        <f>IFERROR(__xludf.DUMMYFUNCTION("""COMPUTED_VALUE"""),"")</f>
        <v/>
      </c>
      <c r="P1145" s="17" t="b">
        <f>IFERROR(__xludf.DUMMYFUNCTION("""COMPUTED_VALUE"""),FALSE)</f>
        <v>0</v>
      </c>
      <c r="Q1145" s="20" t="str">
        <f>IFERROR(__xludf.DUMMYFUNCTION("""COMPUTED_VALUE"""),"")</f>
        <v/>
      </c>
      <c r="R1145" s="22" t="str">
        <f>IFERROR(__xludf.DUMMYFUNCTION("""COMPUTED_VALUE"""),"")</f>
        <v/>
      </c>
    </row>
    <row r="1146">
      <c r="A1146" s="15">
        <f>IFERROR(__xludf.DUMMYFUNCTION("""COMPUTED_VALUE"""),45034.0)</f>
        <v>45034</v>
      </c>
      <c r="B1146" s="16" t="str">
        <f>IFERROR(__xludf.DUMMYFUNCTION("""COMPUTED_VALUE"""),"Deivi Alejandro Quintero Corrales")</f>
        <v>Deivi Alejandro Quintero Corrales</v>
      </c>
      <c r="C1146" s="15" t="str">
        <f>IFERROR(__xludf.DUMMYFUNCTION("""COMPUTED_VALUE"""),"PEREIRA")</f>
        <v>PEREIRA</v>
      </c>
      <c r="D1146" s="15" t="str">
        <f>IFERROR(__xludf.DUMMYFUNCTION("""COMPUTED_VALUE"""),"MEDELLÍN")</f>
        <v>MEDELLÍN</v>
      </c>
      <c r="E1146" s="15" t="str">
        <f>IFERROR(__xludf.DUMMYFUNCTION("""COMPUTED_VALUE"""),"Baby Chef")</f>
        <v>Baby Chef</v>
      </c>
      <c r="F1146" s="17" t="str">
        <f>IFERROR(__xludf.DUMMYFUNCTION("""COMPUTED_VALUE"""),"Cra 26 # 13-58 Zima del Parque Apto 203. Barrio Alamos. Enseguida de la Iglesia.  / Cra 26 # 13-58 Alamos, Zima del parque Apto 203 / Cra 26 # 13-58 Alamos, Zima del parque Apto 203")</f>
        <v>Cra 26 # 13-58 Zima del Parque Apto 203. Barrio Alamos. Enseguida de la Iglesia.  / Cra 26 # 13-58 Alamos, Zima del parque Apto 203 / Cra 26 # 13-58 Alamos, Zima del parque Apto 203</v>
      </c>
      <c r="G1146" s="15" t="str">
        <f>IFERROR(__xludf.DUMMYFUNCTION("""COMPUTED_VALUE"""),"BIBIANA ZULUAGA")</f>
        <v>BIBIANA ZULUAGA</v>
      </c>
      <c r="H1146" s="16">
        <f>IFERROR(__xludf.DUMMYFUNCTION("""COMPUTED_VALUE"""),9862.0)</f>
        <v>9862</v>
      </c>
      <c r="I1146" s="18">
        <f>IFERROR(__xludf.DUMMYFUNCTION("""COMPUTED_VALUE"""),8.0)</f>
        <v>8</v>
      </c>
      <c r="J1146" s="18">
        <f>IFERROR(__xludf.DUMMYFUNCTION("""COMPUTED_VALUE"""),16.0)</f>
        <v>16</v>
      </c>
      <c r="K1146" s="18">
        <f>IFERROR(__xludf.DUMMYFUNCTION("""COMPUTED_VALUE"""),20.0)</f>
        <v>20</v>
      </c>
      <c r="L1146" s="17">
        <f>IFERROR(__xludf.DUMMYFUNCTION("""COMPUTED_VALUE"""),3.004948547E9)</f>
        <v>3004948547</v>
      </c>
      <c r="M1146" s="17" t="str">
        <f>IFERROR(__xludf.DUMMYFUNCTION("""COMPUTED_VALUE"""),"#REF!")</f>
        <v>#REF!</v>
      </c>
      <c r="N1146" s="17"/>
      <c r="O1146" s="19" t="str">
        <f>IFERROR(__xludf.DUMMYFUNCTION("""COMPUTED_VALUE"""),"")</f>
        <v/>
      </c>
      <c r="P1146" s="17" t="b">
        <f>IFERROR(__xludf.DUMMYFUNCTION("""COMPUTED_VALUE"""),FALSE)</f>
        <v>0</v>
      </c>
      <c r="Q1146" s="20" t="str">
        <f>IFERROR(__xludf.DUMMYFUNCTION("""COMPUTED_VALUE"""),"")</f>
        <v/>
      </c>
      <c r="R1146" s="22" t="str">
        <f>IFERROR(__xludf.DUMMYFUNCTION("""COMPUTED_VALUE"""),"")</f>
        <v/>
      </c>
    </row>
    <row r="1147">
      <c r="A1147" s="17" t="str">
        <f>IFERROR(__xludf.DUMMYFUNCTION("""COMPUTED_VALUE"""),"")</f>
        <v/>
      </c>
      <c r="B1147" s="17" t="str">
        <f>IFERROR(__xludf.DUMMYFUNCTION("""COMPUTED_VALUE"""),"")</f>
        <v/>
      </c>
      <c r="C1147" s="17" t="str">
        <f>IFERROR(__xludf.DUMMYFUNCTION("""COMPUTED_VALUE"""),"")</f>
        <v/>
      </c>
      <c r="D1147" s="17" t="str">
        <f>IFERROR(__xludf.DUMMYFUNCTION("""COMPUTED_VALUE"""),"")</f>
        <v/>
      </c>
      <c r="E1147" s="17" t="str">
        <f>IFERROR(__xludf.DUMMYFUNCTION("""COMPUTED_VALUE"""),"")</f>
        <v/>
      </c>
      <c r="F1147" s="17" t="str">
        <f>IFERROR(__xludf.DUMMYFUNCTION("""COMPUTED_VALUE"""),"")</f>
        <v/>
      </c>
      <c r="G1147" s="17" t="str">
        <f>IFERROR(__xludf.DUMMYFUNCTION("""COMPUTED_VALUE"""),"")</f>
        <v/>
      </c>
      <c r="H1147" s="17" t="str">
        <f>IFERROR(__xludf.DUMMYFUNCTION("""COMPUTED_VALUE"""),"")</f>
        <v/>
      </c>
      <c r="I1147" s="17" t="str">
        <f>IFERROR(__xludf.DUMMYFUNCTION("""COMPUTED_VALUE"""),"")</f>
        <v/>
      </c>
      <c r="J1147" s="17" t="str">
        <f>IFERROR(__xludf.DUMMYFUNCTION("""COMPUTED_VALUE"""),"")</f>
        <v/>
      </c>
      <c r="K1147" s="17" t="str">
        <f>IFERROR(__xludf.DUMMYFUNCTION("""COMPUTED_VALUE"""),"")</f>
        <v/>
      </c>
      <c r="L1147" s="17" t="str">
        <f>IFERROR(__xludf.DUMMYFUNCTION("""COMPUTED_VALUE"""),"")</f>
        <v/>
      </c>
      <c r="M1147" s="17" t="str">
        <f>IFERROR(__xludf.DUMMYFUNCTION("""COMPUTED_VALUE"""),"")</f>
        <v/>
      </c>
      <c r="N1147" s="17" t="str">
        <f>IFERROR(__xludf.DUMMYFUNCTION("""COMPUTED_VALUE"""),"")</f>
        <v/>
      </c>
      <c r="O1147" s="17" t="str">
        <f>IFERROR(__xludf.DUMMYFUNCTION("""COMPUTED_VALUE"""),"")</f>
        <v/>
      </c>
      <c r="P1147" s="17" t="str">
        <f>IFERROR(__xludf.DUMMYFUNCTION("""COMPUTED_VALUE"""),"")</f>
        <v/>
      </c>
      <c r="Q1147" s="17" t="str">
        <f>IFERROR(__xludf.DUMMYFUNCTION("""COMPUTED_VALUE"""),"")</f>
        <v/>
      </c>
      <c r="R1147" s="17" t="str">
        <f>IFERROR(__xludf.DUMMYFUNCTION("""COMPUTED_VALUE"""),"")</f>
        <v/>
      </c>
    </row>
    <row r="1148">
      <c r="A1148" s="15">
        <f>IFERROR(__xludf.DUMMYFUNCTION("""COMPUTED_VALUE"""),45034.0)</f>
        <v>45034</v>
      </c>
      <c r="B1148" s="16" t="str">
        <f>IFERROR(__xludf.DUMMYFUNCTION("""COMPUTED_VALUE"""),"Duvan Gabriel Alvarez Giron")</f>
        <v>Duvan Gabriel Alvarez Giron</v>
      </c>
      <c r="C1148" s="15" t="str">
        <f>IFERROR(__xludf.DUMMYFUNCTION("""COMPUTED_VALUE"""),"GIRÓN")</f>
        <v>GIRÓN</v>
      </c>
      <c r="D1148" s="15" t="str">
        <f>IFERROR(__xludf.DUMMYFUNCTION("""COMPUTED_VALUE"""),"BOGOTÁ")</f>
        <v>BOGOTÁ</v>
      </c>
      <c r="E1148" s="15" t="str">
        <f>IFERROR(__xludf.DUMMYFUNCTION("""COMPUTED_VALUE"""),"Evamazzita")</f>
        <v>Evamazzita</v>
      </c>
      <c r="F1148" s="17" t="str">
        <f>IFERROR(__xludf.DUMMYFUNCTION("""COMPUTED_VALUE"""),"Calle 20 # 26-84  / N/A / Santa cruz")</f>
        <v>Calle 20 # 26-84  / N/A / Santa cruz</v>
      </c>
      <c r="G1148" s="15" t="str">
        <f>IFERROR(__xludf.DUMMYFUNCTION("""COMPUTED_VALUE"""),"LUZ STELLA PEREZ MENDEZ")</f>
        <v>LUZ STELLA PEREZ MENDEZ</v>
      </c>
      <c r="H1148" s="16">
        <f>IFERROR(__xludf.DUMMYFUNCTION("""COMPUTED_VALUE"""),9809.0)</f>
        <v>9809</v>
      </c>
      <c r="I1148" s="18">
        <f>IFERROR(__xludf.DUMMYFUNCTION("""COMPUTED_VALUE"""),3.0)</f>
        <v>3</v>
      </c>
      <c r="J1148" s="18">
        <f>IFERROR(__xludf.DUMMYFUNCTION("""COMPUTED_VALUE"""),20.0)</f>
        <v>20</v>
      </c>
      <c r="K1148" s="18">
        <f>IFERROR(__xludf.DUMMYFUNCTION("""COMPUTED_VALUE"""),15.0)</f>
        <v>15</v>
      </c>
      <c r="L1148" s="17">
        <f>IFERROR(__xludf.DUMMYFUNCTION("""COMPUTED_VALUE"""),3.188356184E9)</f>
        <v>3188356184</v>
      </c>
      <c r="M1148" s="17" t="str">
        <f>IFERROR(__xludf.DUMMYFUNCTION("""COMPUTED_VALUE"""),"#REF!")</f>
        <v>#REF!</v>
      </c>
      <c r="N1148" s="17"/>
      <c r="O1148" s="19" t="str">
        <f>IFERROR(__xludf.DUMMYFUNCTION("""COMPUTED_VALUE"""),"")</f>
        <v/>
      </c>
      <c r="P1148" s="17" t="b">
        <f>IFERROR(__xludf.DUMMYFUNCTION("""COMPUTED_VALUE"""),FALSE)</f>
        <v>0</v>
      </c>
      <c r="Q1148" s="20" t="str">
        <f>IFERROR(__xludf.DUMMYFUNCTION("""COMPUTED_VALUE"""),"")</f>
        <v/>
      </c>
      <c r="R1148" s="22" t="str">
        <f>IFERROR(__xludf.DUMMYFUNCTION("""COMPUTED_VALUE"""),"")</f>
        <v/>
      </c>
    </row>
    <row r="1149">
      <c r="A1149" s="15">
        <f>IFERROR(__xludf.DUMMYFUNCTION("""COMPUTED_VALUE"""),45034.0)</f>
        <v>45034</v>
      </c>
      <c r="B1149" s="16" t="str">
        <f>IFERROR(__xludf.DUMMYFUNCTION("""COMPUTED_VALUE"""),"Duvan Gabriel Alvarez Giron")</f>
        <v>Duvan Gabriel Alvarez Giron</v>
      </c>
      <c r="C1149" s="15" t="str">
        <f>IFERROR(__xludf.DUMMYFUNCTION("""COMPUTED_VALUE"""),"IBAGUÉ")</f>
        <v>IBAGUÉ</v>
      </c>
      <c r="D1149" s="15" t="str">
        <f>IFERROR(__xludf.DUMMYFUNCTION("""COMPUTED_VALUE"""),"BOGOTÁ")</f>
        <v>BOGOTÁ</v>
      </c>
      <c r="E1149" s="15" t="str">
        <f>IFERROR(__xludf.DUMMYFUNCTION("""COMPUTED_VALUE"""),"Asociacion Agropecuaria Juana Maria")</f>
        <v>Asociacion Agropecuaria Juana Maria</v>
      </c>
      <c r="F1149" s="17" t="str">
        <f>IFERROR(__xludf.DUMMYFUNCTION("""COMPUTED_VALUE"""),"Calle 93 # 7 Sur-90 torre 8 apto 102 Conjunto Residencial Altagracia")</f>
        <v>Calle 93 # 7 Sur-90 torre 8 apto 102 Conjunto Residencial Altagracia</v>
      </c>
      <c r="G1149" s="15" t="str">
        <f>IFERROR(__xludf.DUMMYFUNCTION("""COMPUTED_VALUE"""),"Mariam Yasmin Murillo Rubio")</f>
        <v>Mariam Yasmin Murillo Rubio</v>
      </c>
      <c r="H1149" s="16">
        <f>IFERROR(__xludf.DUMMYFUNCTION("""COMPUTED_VALUE"""),9737.0)</f>
        <v>9737</v>
      </c>
      <c r="I1149" s="18">
        <f>IFERROR(__xludf.DUMMYFUNCTION("""COMPUTED_VALUE"""),21.0)</f>
        <v>21</v>
      </c>
      <c r="J1149" s="18">
        <f>IFERROR(__xludf.DUMMYFUNCTION("""COMPUTED_VALUE"""),37.0)</f>
        <v>37</v>
      </c>
      <c r="K1149" s="18">
        <f>IFERROR(__xludf.DUMMYFUNCTION("""COMPUTED_VALUE"""),30.0)</f>
        <v>30</v>
      </c>
      <c r="L1149" s="17">
        <f>IFERROR(__xludf.DUMMYFUNCTION("""COMPUTED_VALUE"""),3.105789664E9)</f>
        <v>3105789664</v>
      </c>
      <c r="M1149" s="17" t="str">
        <f>IFERROR(__xludf.DUMMYFUNCTION("""COMPUTED_VALUE"""),"#REF!")</f>
        <v>#REF!</v>
      </c>
      <c r="N1149" s="17"/>
      <c r="O1149" s="19" t="str">
        <f>IFERROR(__xludf.DUMMYFUNCTION("""COMPUTED_VALUE"""),"")</f>
        <v/>
      </c>
      <c r="P1149" s="17" t="b">
        <f>IFERROR(__xludf.DUMMYFUNCTION("""COMPUTED_VALUE"""),FALSE)</f>
        <v>0</v>
      </c>
      <c r="Q1149" s="20" t="str">
        <f>IFERROR(__xludf.DUMMYFUNCTION("""COMPUTED_VALUE"""),"")</f>
        <v/>
      </c>
      <c r="R1149" s="22" t="str">
        <f>IFERROR(__xludf.DUMMYFUNCTION("""COMPUTED_VALUE"""),"")</f>
        <v/>
      </c>
    </row>
    <row r="1150">
      <c r="A1150" s="15">
        <f>IFERROR(__xludf.DUMMYFUNCTION("""COMPUTED_VALUE"""),45034.0)</f>
        <v>45034</v>
      </c>
      <c r="B1150" s="16" t="str">
        <f>IFERROR(__xludf.DUMMYFUNCTION("""COMPUTED_VALUE"""),"Duvan Gabriel Alvarez Giron")</f>
        <v>Duvan Gabriel Alvarez Giron</v>
      </c>
      <c r="C1150" s="15" t="str">
        <f>IFERROR(__xludf.DUMMYFUNCTION("""COMPUTED_VALUE"""),"IBAGUÉ")</f>
        <v>IBAGUÉ</v>
      </c>
      <c r="D1150" s="15" t="str">
        <f>IFERROR(__xludf.DUMMYFUNCTION("""COMPUTED_VALUE"""),"BOGOTÁ")</f>
        <v>BOGOTÁ</v>
      </c>
      <c r="E1150" s="15" t="str">
        <f>IFERROR(__xludf.DUMMYFUNCTION("""COMPUTED_VALUE"""),"Asociacion Agropecuaria Juana Maria")</f>
        <v>Asociacion Agropecuaria Juana Maria</v>
      </c>
      <c r="F1150" s="17" t="str">
        <f>IFERROR(__xludf.DUMMYFUNCTION("""COMPUTED_VALUE"""),"Calle 93 # 7 Sur-90 torre 8 apto 102 Conjunto Residencial Altagracia")</f>
        <v>Calle 93 # 7 Sur-90 torre 8 apto 102 Conjunto Residencial Altagracia</v>
      </c>
      <c r="G1150" s="15" t="str">
        <f>IFERROR(__xludf.DUMMYFUNCTION("""COMPUTED_VALUE"""),"Mariam Yasmin Murillo Rubio")</f>
        <v>Mariam Yasmin Murillo Rubio</v>
      </c>
      <c r="H1150" s="16">
        <f>IFERROR(__xludf.DUMMYFUNCTION("""COMPUTED_VALUE"""),9738.0)</f>
        <v>9738</v>
      </c>
      <c r="I1150" s="18">
        <f>IFERROR(__xludf.DUMMYFUNCTION("""COMPUTED_VALUE"""),10.0)</f>
        <v>10</v>
      </c>
      <c r="J1150" s="18">
        <f>IFERROR(__xludf.DUMMYFUNCTION("""COMPUTED_VALUE"""),34.0)</f>
        <v>34</v>
      </c>
      <c r="K1150" s="18">
        <f>IFERROR(__xludf.DUMMYFUNCTION("""COMPUTED_VALUE"""),18.0)</f>
        <v>18</v>
      </c>
      <c r="L1150" s="17">
        <f>IFERROR(__xludf.DUMMYFUNCTION("""COMPUTED_VALUE"""),3.105789664E9)</f>
        <v>3105789664</v>
      </c>
      <c r="M1150" s="17" t="str">
        <f>IFERROR(__xludf.DUMMYFUNCTION("""COMPUTED_VALUE"""),"#REF!")</f>
        <v>#REF!</v>
      </c>
      <c r="N1150" s="17"/>
      <c r="O1150" s="19" t="str">
        <f>IFERROR(__xludf.DUMMYFUNCTION("""COMPUTED_VALUE"""),"")</f>
        <v/>
      </c>
      <c r="P1150" s="17" t="b">
        <f>IFERROR(__xludf.DUMMYFUNCTION("""COMPUTED_VALUE"""),FALSE)</f>
        <v>0</v>
      </c>
      <c r="Q1150" s="20" t="str">
        <f>IFERROR(__xludf.DUMMYFUNCTION("""COMPUTED_VALUE"""),"")</f>
        <v/>
      </c>
      <c r="R1150" s="22" t="str">
        <f>IFERROR(__xludf.DUMMYFUNCTION("""COMPUTED_VALUE"""),"")</f>
        <v/>
      </c>
    </row>
    <row r="1151">
      <c r="A1151" s="15">
        <f>IFERROR(__xludf.DUMMYFUNCTION("""COMPUTED_VALUE"""),45034.0)</f>
        <v>45034</v>
      </c>
      <c r="B1151" s="16" t="str">
        <f>IFERROR(__xludf.DUMMYFUNCTION("""COMPUTED_VALUE"""),"Duvan Gabriel Alvarez Giron")</f>
        <v>Duvan Gabriel Alvarez Giron</v>
      </c>
      <c r="C1151" s="15" t="str">
        <f>IFERROR(__xludf.DUMMYFUNCTION("""COMPUTED_VALUE"""),"IBAGUÉ")</f>
        <v>IBAGUÉ</v>
      </c>
      <c r="D1151" s="15" t="str">
        <f>IFERROR(__xludf.DUMMYFUNCTION("""COMPUTED_VALUE"""),"BOGOTÁ")</f>
        <v>BOGOTÁ</v>
      </c>
      <c r="E1151" s="15" t="str">
        <f>IFERROR(__xludf.DUMMYFUNCTION("""COMPUTED_VALUE"""),"Evamazzita")</f>
        <v>Evamazzita</v>
      </c>
      <c r="F1151" s="17" t="str">
        <f>IFERROR(__xludf.DUMMYFUNCTION("""COMPUTED_VALUE"""),"CARRERA 11 A # 35 - 62 / N/A / BARRIO GAITÁN PARTE ALTA")</f>
        <v>CARRERA 11 A # 35 - 62 / N/A / BARRIO GAITÁN PARTE ALTA</v>
      </c>
      <c r="G1151" s="15" t="str">
        <f>IFERROR(__xludf.DUMMYFUNCTION("""COMPUTED_VALUE"""),"JORGE BERNARDO TORRES")</f>
        <v>JORGE BERNARDO TORRES</v>
      </c>
      <c r="H1151" s="16">
        <f>IFERROR(__xludf.DUMMYFUNCTION("""COMPUTED_VALUE"""),9817.0)</f>
        <v>9817</v>
      </c>
      <c r="I1151" s="18">
        <f>IFERROR(__xludf.DUMMYFUNCTION("""COMPUTED_VALUE"""),19.0)</f>
        <v>19</v>
      </c>
      <c r="J1151" s="18">
        <f>IFERROR(__xludf.DUMMYFUNCTION("""COMPUTED_VALUE"""),25.0)</f>
        <v>25</v>
      </c>
      <c r="K1151" s="18">
        <f>IFERROR(__xludf.DUMMYFUNCTION("""COMPUTED_VALUE"""),19.0)</f>
        <v>19</v>
      </c>
      <c r="L1151" s="17">
        <f>IFERROR(__xludf.DUMMYFUNCTION("""COMPUTED_VALUE"""),3.144560156E9)</f>
        <v>3144560156</v>
      </c>
      <c r="M1151" s="17" t="str">
        <f>IFERROR(__xludf.DUMMYFUNCTION("""COMPUTED_VALUE"""),"#REF!")</f>
        <v>#REF!</v>
      </c>
      <c r="N1151" s="17"/>
      <c r="O1151" s="19" t="str">
        <f>IFERROR(__xludf.DUMMYFUNCTION("""COMPUTED_VALUE"""),"")</f>
        <v/>
      </c>
      <c r="P1151" s="17" t="b">
        <f>IFERROR(__xludf.DUMMYFUNCTION("""COMPUTED_VALUE"""),FALSE)</f>
        <v>0</v>
      </c>
      <c r="Q1151" s="20" t="str">
        <f>IFERROR(__xludf.DUMMYFUNCTION("""COMPUTED_VALUE"""),"")</f>
        <v/>
      </c>
      <c r="R1151" s="22" t="str">
        <f>IFERROR(__xludf.DUMMYFUNCTION("""COMPUTED_VALUE"""),"")</f>
        <v/>
      </c>
    </row>
    <row r="1152">
      <c r="A1152" s="17" t="str">
        <f>IFERROR(__xludf.DUMMYFUNCTION("""COMPUTED_VALUE"""),"")</f>
        <v/>
      </c>
      <c r="B1152" s="17" t="str">
        <f>IFERROR(__xludf.DUMMYFUNCTION("""COMPUTED_VALUE"""),"")</f>
        <v/>
      </c>
      <c r="C1152" s="17" t="str">
        <f>IFERROR(__xludf.DUMMYFUNCTION("""COMPUTED_VALUE"""),"")</f>
        <v/>
      </c>
      <c r="D1152" s="17" t="str">
        <f>IFERROR(__xludf.DUMMYFUNCTION("""COMPUTED_VALUE"""),"")</f>
        <v/>
      </c>
      <c r="E1152" s="17" t="str">
        <f>IFERROR(__xludf.DUMMYFUNCTION("""COMPUTED_VALUE"""),"")</f>
        <v/>
      </c>
      <c r="F1152" s="17" t="str">
        <f>IFERROR(__xludf.DUMMYFUNCTION("""COMPUTED_VALUE"""),"")</f>
        <v/>
      </c>
      <c r="G1152" s="17" t="str">
        <f>IFERROR(__xludf.DUMMYFUNCTION("""COMPUTED_VALUE"""),"")</f>
        <v/>
      </c>
      <c r="H1152" s="17" t="str">
        <f>IFERROR(__xludf.DUMMYFUNCTION("""COMPUTED_VALUE"""),"")</f>
        <v/>
      </c>
      <c r="I1152" s="17" t="str">
        <f>IFERROR(__xludf.DUMMYFUNCTION("""COMPUTED_VALUE"""),"")</f>
        <v/>
      </c>
      <c r="J1152" s="17" t="str">
        <f>IFERROR(__xludf.DUMMYFUNCTION("""COMPUTED_VALUE"""),"")</f>
        <v/>
      </c>
      <c r="K1152" s="17" t="str">
        <f>IFERROR(__xludf.DUMMYFUNCTION("""COMPUTED_VALUE"""),"")</f>
        <v/>
      </c>
      <c r="L1152" s="17" t="str">
        <f>IFERROR(__xludf.DUMMYFUNCTION("""COMPUTED_VALUE"""),"")</f>
        <v/>
      </c>
      <c r="M1152" s="17" t="str">
        <f>IFERROR(__xludf.DUMMYFUNCTION("""COMPUTED_VALUE"""),"")</f>
        <v/>
      </c>
      <c r="N1152" s="17" t="str">
        <f>IFERROR(__xludf.DUMMYFUNCTION("""COMPUTED_VALUE"""),"")</f>
        <v/>
      </c>
      <c r="O1152" s="17" t="str">
        <f>IFERROR(__xludf.DUMMYFUNCTION("""COMPUTED_VALUE"""),"")</f>
        <v/>
      </c>
      <c r="P1152" s="17" t="str">
        <f>IFERROR(__xludf.DUMMYFUNCTION("""COMPUTED_VALUE"""),"")</f>
        <v/>
      </c>
      <c r="Q1152" s="17" t="str">
        <f>IFERROR(__xludf.DUMMYFUNCTION("""COMPUTED_VALUE"""),"")</f>
        <v/>
      </c>
      <c r="R1152" s="17" t="str">
        <f>IFERROR(__xludf.DUMMYFUNCTION("""COMPUTED_VALUE"""),"")</f>
        <v/>
      </c>
    </row>
    <row r="1153">
      <c r="A1153" s="15">
        <f>IFERROR(__xludf.DUMMYFUNCTION("""COMPUTED_VALUE"""),45034.0)</f>
        <v>45034</v>
      </c>
      <c r="B1153" s="16" t="str">
        <f>IFERROR(__xludf.DUMMYFUNCTION("""COMPUTED_VALUE"""),"Envia")</f>
        <v>Envia</v>
      </c>
      <c r="C1153" s="15" t="str">
        <f>IFERROR(__xludf.DUMMYFUNCTION("""COMPUTED_VALUE"""),"ARMENIA")</f>
        <v>ARMENIA</v>
      </c>
      <c r="D1153" s="15" t="str">
        <f>IFERROR(__xludf.DUMMYFUNCTION("""COMPUTED_VALUE"""),"MEDELLÍN")</f>
        <v>MEDELLÍN</v>
      </c>
      <c r="E1153" s="15" t="str">
        <f>IFERROR(__xludf.DUMMYFUNCTION("""COMPUTED_VALUE"""),"Baby Chef")</f>
        <v>Baby Chef</v>
      </c>
      <c r="F1153" s="17" t="str">
        <f>IFERROR(__xludf.DUMMYFUNCTION("""COMPUTED_VALUE"""),"Calle 10 norte # 15-23 edificio provenza apt 205 / Edifico Provenza detrás del parqueadero de Mocawa / Calle 10 norte #15-23 Edificio provenza apto 205 Armenia  Quindío")</f>
        <v>Calle 10 norte # 15-23 edificio provenza apt 205 / Edifico Provenza detrás del parqueadero de Mocawa / Calle 10 norte #15-23 Edificio provenza apto 205 Armenia  Quindío</v>
      </c>
      <c r="G1153" s="15" t="str">
        <f>IFERROR(__xludf.DUMMYFUNCTION("""COMPUTED_VALUE"""),"KATHERINE GARCIA")</f>
        <v>KATHERINE GARCIA</v>
      </c>
      <c r="H1153" s="16">
        <f>IFERROR(__xludf.DUMMYFUNCTION("""COMPUTED_VALUE"""),9851.0)</f>
        <v>9851</v>
      </c>
      <c r="I1153" s="18">
        <f>IFERROR(__xludf.DUMMYFUNCTION("""COMPUTED_VALUE"""),8.0)</f>
        <v>8</v>
      </c>
      <c r="J1153" s="18">
        <f>IFERROR(__xludf.DUMMYFUNCTION("""COMPUTED_VALUE"""),16.0)</f>
        <v>16</v>
      </c>
      <c r="K1153" s="18">
        <f>IFERROR(__xludf.DUMMYFUNCTION("""COMPUTED_VALUE"""),20.0)</f>
        <v>20</v>
      </c>
      <c r="L1153" s="17">
        <f>IFERROR(__xludf.DUMMYFUNCTION("""COMPUTED_VALUE"""),3.218453772E9)</f>
        <v>3218453772</v>
      </c>
      <c r="M1153" s="17" t="str">
        <f>IFERROR(__xludf.DUMMYFUNCTION("""COMPUTED_VALUE"""),"#REF!")</f>
        <v>#REF!</v>
      </c>
      <c r="N1153" s="17"/>
      <c r="O1153" s="19" t="str">
        <f>IFERROR(__xludf.DUMMYFUNCTION("""COMPUTED_VALUE"""),"")</f>
        <v/>
      </c>
      <c r="P1153" s="17" t="b">
        <f>IFERROR(__xludf.DUMMYFUNCTION("""COMPUTED_VALUE"""),FALSE)</f>
        <v>0</v>
      </c>
      <c r="Q1153" s="20" t="str">
        <f>IFERROR(__xludf.DUMMYFUNCTION("""COMPUTED_VALUE"""),"")</f>
        <v/>
      </c>
      <c r="R1153" s="22" t="str">
        <f>IFERROR(__xludf.DUMMYFUNCTION("""COMPUTED_VALUE"""),"")</f>
        <v/>
      </c>
    </row>
    <row r="1154">
      <c r="A1154" s="15">
        <f>IFERROR(__xludf.DUMMYFUNCTION("""COMPUTED_VALUE"""),45034.0)</f>
        <v>45034</v>
      </c>
      <c r="B1154" s="16" t="str">
        <f>IFERROR(__xludf.DUMMYFUNCTION("""COMPUTED_VALUE"""),"Envia")</f>
        <v>Envia</v>
      </c>
      <c r="C1154" s="15" t="str">
        <f>IFERROR(__xludf.DUMMYFUNCTION("""COMPUTED_VALUE"""),"ARMENIA")</f>
        <v>ARMENIA</v>
      </c>
      <c r="D1154" s="15" t="str">
        <f>IFERROR(__xludf.DUMMYFUNCTION("""COMPUTED_VALUE"""),"MEDELLÍN")</f>
        <v>MEDELLÍN</v>
      </c>
      <c r="E1154" s="15" t="str">
        <f>IFERROR(__xludf.DUMMYFUNCTION("""COMPUTED_VALUE"""),"TOLEDALES S.A.S")</f>
        <v>TOLEDALES S.A.S</v>
      </c>
      <c r="F1154" s="17" t="str">
        <f>IFERROR(__xludf.DUMMYFUNCTION("""COMPUTED_VALUE"""),"Cll23A norte 19 47 / casa 2")</f>
        <v>Cll23A norte 19 47 / casa 2</v>
      </c>
      <c r="G1154" s="15" t="str">
        <f>IFERROR(__xludf.DUMMYFUNCTION("""COMPUTED_VALUE"""),"sandra salas")</f>
        <v>sandra salas</v>
      </c>
      <c r="H1154" s="16">
        <f>IFERROR(__xludf.DUMMYFUNCTION("""COMPUTED_VALUE"""),9727.0)</f>
        <v>9727</v>
      </c>
      <c r="I1154" s="18">
        <f>IFERROR(__xludf.DUMMYFUNCTION("""COMPUTED_VALUE"""),27.0)</f>
        <v>27</v>
      </c>
      <c r="J1154" s="18">
        <f>IFERROR(__xludf.DUMMYFUNCTION("""COMPUTED_VALUE"""),42.0)</f>
        <v>42</v>
      </c>
      <c r="K1154" s="18">
        <f>IFERROR(__xludf.DUMMYFUNCTION("""COMPUTED_VALUE"""),27.0)</f>
        <v>27</v>
      </c>
      <c r="L1154" s="17">
        <f>IFERROR(__xludf.DUMMYFUNCTION("""COMPUTED_VALUE"""),3.176643506E9)</f>
        <v>3176643506</v>
      </c>
      <c r="M1154" s="17" t="str">
        <f>IFERROR(__xludf.DUMMYFUNCTION("""COMPUTED_VALUE"""),"#REF!")</f>
        <v>#REF!</v>
      </c>
      <c r="N1154" s="17"/>
      <c r="O1154" s="19" t="str">
        <f>IFERROR(__xludf.DUMMYFUNCTION("""COMPUTED_VALUE"""),"")</f>
        <v/>
      </c>
      <c r="P1154" s="17" t="b">
        <f>IFERROR(__xludf.DUMMYFUNCTION("""COMPUTED_VALUE"""),FALSE)</f>
        <v>0</v>
      </c>
      <c r="Q1154" s="20" t="str">
        <f>IFERROR(__xludf.DUMMYFUNCTION("""COMPUTED_VALUE"""),"")</f>
        <v/>
      </c>
      <c r="R1154" s="22" t="str">
        <f>IFERROR(__xludf.DUMMYFUNCTION("""COMPUTED_VALUE"""),"")</f>
        <v/>
      </c>
    </row>
    <row r="1155">
      <c r="A1155" s="15">
        <f>IFERROR(__xludf.DUMMYFUNCTION("""COMPUTED_VALUE"""),45034.0)</f>
        <v>45034</v>
      </c>
      <c r="B1155" s="16" t="str">
        <f>IFERROR(__xludf.DUMMYFUNCTION("""COMPUTED_VALUE"""),"Envia")</f>
        <v>Envia</v>
      </c>
      <c r="C1155" s="15" t="str">
        <f>IFERROR(__xludf.DUMMYFUNCTION("""COMPUTED_VALUE"""),"BOGOTÁ")</f>
        <v>BOGOTÁ</v>
      </c>
      <c r="D1155" s="15" t="str">
        <f>IFERROR(__xludf.DUMMYFUNCTION("""COMPUTED_VALUE"""),"MEDELLÍN")</f>
        <v>MEDELLÍN</v>
      </c>
      <c r="E1155" s="15" t="str">
        <f>IFERROR(__xludf.DUMMYFUNCTION("""COMPUTED_VALUE"""),"Puro Verde")</f>
        <v>Puro Verde</v>
      </c>
      <c r="F1155" s="17" t="str">
        <f>IFERROR(__xludf.DUMMYFUNCTION("""COMPUTED_VALUE"""),"AV CRA 15 # 90-20.  / LOCAL 109 / BARRIO CHICO")</f>
        <v>AV CRA 15 # 90-20.  / LOCAL 109 / BARRIO CHICO</v>
      </c>
      <c r="G1155" s="15" t="str">
        <f>IFERROR(__xludf.DUMMYFUNCTION("""COMPUTED_VALUE"""),"DANDO CUERDA")</f>
        <v>DANDO CUERDA</v>
      </c>
      <c r="H1155" s="16">
        <f>IFERROR(__xludf.DUMMYFUNCTION("""COMPUTED_VALUE"""),9804.0)</f>
        <v>9804</v>
      </c>
      <c r="I1155" s="18">
        <f>IFERROR(__xludf.DUMMYFUNCTION("""COMPUTED_VALUE"""),110.0)</f>
        <v>110</v>
      </c>
      <c r="J1155" s="18">
        <f>IFERROR(__xludf.DUMMYFUNCTION("""COMPUTED_VALUE"""),45.0)</f>
        <v>45</v>
      </c>
      <c r="K1155" s="18" t="str">
        <f>IFERROR(__xludf.DUMMYFUNCTION("""COMPUTED_VALUE"""),"52.5")</f>
        <v>52.5</v>
      </c>
      <c r="L1155" s="17">
        <f>IFERROR(__xludf.DUMMYFUNCTION("""COMPUTED_VALUE"""),3.163816691E9)</f>
        <v>3163816691</v>
      </c>
      <c r="M1155" s="17" t="str">
        <f>IFERROR(__xludf.DUMMYFUNCTION("""COMPUTED_VALUE"""),"#REF!")</f>
        <v>#REF!</v>
      </c>
      <c r="N1155" s="17"/>
      <c r="O1155" s="19" t="str">
        <f>IFERROR(__xludf.DUMMYFUNCTION("""COMPUTED_VALUE"""),"")</f>
        <v/>
      </c>
      <c r="P1155" s="17" t="b">
        <f>IFERROR(__xludf.DUMMYFUNCTION("""COMPUTED_VALUE"""),FALSE)</f>
        <v>0</v>
      </c>
      <c r="Q1155" s="20" t="str">
        <f>IFERROR(__xludf.DUMMYFUNCTION("""COMPUTED_VALUE"""),"")</f>
        <v/>
      </c>
      <c r="R1155" s="22" t="str">
        <f>IFERROR(__xludf.DUMMYFUNCTION("""COMPUTED_VALUE"""),"")</f>
        <v/>
      </c>
    </row>
    <row r="1156">
      <c r="A1156" s="15">
        <f>IFERROR(__xludf.DUMMYFUNCTION("""COMPUTED_VALUE"""),45034.0)</f>
        <v>45034</v>
      </c>
      <c r="B1156" s="16" t="str">
        <f>IFERROR(__xludf.DUMMYFUNCTION("""COMPUTED_VALUE"""),"Envia")</f>
        <v>Envia</v>
      </c>
      <c r="C1156" s="15" t="str">
        <f>IFERROR(__xludf.DUMMYFUNCTION("""COMPUTED_VALUE"""),"BUCARAMANGA")</f>
        <v>BUCARAMANGA</v>
      </c>
      <c r="D1156" s="15" t="str">
        <f>IFERROR(__xludf.DUMMYFUNCTION("""COMPUTED_VALUE"""),"MEDELLÍN")</f>
        <v>MEDELLÍN</v>
      </c>
      <c r="E1156" s="15" t="str">
        <f>IFERROR(__xludf.DUMMYFUNCTION("""COMPUTED_VALUE"""),"Baby Chef")</f>
        <v>Baby Chef</v>
      </c>
      <c r="F1156" s="17" t="str">
        <f>IFERROR(__xludf.DUMMYFUNCTION("""COMPUTED_VALUE"""),": Cra 27a #48-16 edificio Onix san Pedro apto **1404 barrio Soto mayor bucaramanga / Cra 27 a48-16 Edificio Onix apto 1404 barrio Sotomayo / Cra 27 a48-16 Edificio Onix apto 1404 barrio Sotomayo")</f>
        <v>: Cra 27a #48-16 edificio Onix san Pedro apto **1404 barrio Soto mayor bucaramanga / Cra 27 a48-16 Edificio Onix apto 1404 barrio Sotomayo / Cra 27 a48-16 Edificio Onix apto 1404 barrio Sotomayo</v>
      </c>
      <c r="G1156" s="15" t="str">
        <f>IFERROR(__xludf.DUMMYFUNCTION("""COMPUTED_VALUE"""),"MALKA IRINA WADNIPAR")</f>
        <v>MALKA IRINA WADNIPAR</v>
      </c>
      <c r="H1156" s="16">
        <f>IFERROR(__xludf.DUMMYFUNCTION("""COMPUTED_VALUE"""),9858.0)</f>
        <v>9858</v>
      </c>
      <c r="I1156" s="18">
        <f>IFERROR(__xludf.DUMMYFUNCTION("""COMPUTED_VALUE"""),8.0)</f>
        <v>8</v>
      </c>
      <c r="J1156" s="18">
        <f>IFERROR(__xludf.DUMMYFUNCTION("""COMPUTED_VALUE"""),16.0)</f>
        <v>16</v>
      </c>
      <c r="K1156" s="18">
        <f>IFERROR(__xludf.DUMMYFUNCTION("""COMPUTED_VALUE"""),20.0)</f>
        <v>20</v>
      </c>
      <c r="L1156" s="17">
        <f>IFERROR(__xludf.DUMMYFUNCTION("""COMPUTED_VALUE"""),3.007651588E9)</f>
        <v>3007651588</v>
      </c>
      <c r="M1156" s="17" t="str">
        <f>IFERROR(__xludf.DUMMYFUNCTION("""COMPUTED_VALUE"""),"#REF!")</f>
        <v>#REF!</v>
      </c>
      <c r="N1156" s="17"/>
      <c r="O1156" s="19" t="str">
        <f>IFERROR(__xludf.DUMMYFUNCTION("""COMPUTED_VALUE"""),"")</f>
        <v/>
      </c>
      <c r="P1156" s="17" t="b">
        <f>IFERROR(__xludf.DUMMYFUNCTION("""COMPUTED_VALUE"""),FALSE)</f>
        <v>0</v>
      </c>
      <c r="Q1156" s="20" t="str">
        <f>IFERROR(__xludf.DUMMYFUNCTION("""COMPUTED_VALUE"""),"")</f>
        <v/>
      </c>
      <c r="R1156" s="22" t="str">
        <f>IFERROR(__xludf.DUMMYFUNCTION("""COMPUTED_VALUE"""),"")</f>
        <v/>
      </c>
    </row>
    <row r="1157">
      <c r="A1157" s="15">
        <f>IFERROR(__xludf.DUMMYFUNCTION("""COMPUTED_VALUE"""),45034.0)</f>
        <v>45034</v>
      </c>
      <c r="B1157" s="16" t="str">
        <f>IFERROR(__xludf.DUMMYFUNCTION("""COMPUTED_VALUE"""),"Envia")</f>
        <v>Envia</v>
      </c>
      <c r="C1157" s="15" t="str">
        <f>IFERROR(__xludf.DUMMYFUNCTION("""COMPUTED_VALUE"""),"BUCARAMANGA")</f>
        <v>BUCARAMANGA</v>
      </c>
      <c r="D1157" s="15" t="str">
        <f>IFERROR(__xludf.DUMMYFUNCTION("""COMPUTED_VALUE"""),"MEDELLÍN")</f>
        <v>MEDELLÍN</v>
      </c>
      <c r="E1157" s="15" t="str">
        <f>IFERROR(__xludf.DUMMYFUNCTION("""COMPUTED_VALUE"""),"Baby Chef")</f>
        <v>Baby Chef</v>
      </c>
      <c r="F1157" s="17" t="str">
        <f>IFERROR(__xludf.DUMMYFUNCTION("""COMPUTED_VALUE"""),"Carrera 32 d 18- 83  Barrio san Alonso  Casa  . Bucaramanga / Carrera 32 d 18- 83  Barrio san Alonso  Casa  . Bucaramanga / Carrera 32 d 18- 83  Barrio san Alonso  Casa  . Bucaramanga")</f>
        <v>Carrera 32 d 18- 83  Barrio san Alonso  Casa  . Bucaramanga / Carrera 32 d 18- 83  Barrio san Alonso  Casa  . Bucaramanga / Carrera 32 d 18- 83  Barrio san Alonso  Casa  . Bucaramanga</v>
      </c>
      <c r="G1157" s="15" t="str">
        <f>IFERROR(__xludf.DUMMYFUNCTION("""COMPUTED_VALUE"""),"ALBA CADENA")</f>
        <v>ALBA CADENA</v>
      </c>
      <c r="H1157" s="16">
        <f>IFERROR(__xludf.DUMMYFUNCTION("""COMPUTED_VALUE"""),9856.0)</f>
        <v>9856</v>
      </c>
      <c r="I1157" s="18">
        <f>IFERROR(__xludf.DUMMYFUNCTION("""COMPUTED_VALUE"""),8.0)</f>
        <v>8</v>
      </c>
      <c r="J1157" s="18">
        <f>IFERROR(__xludf.DUMMYFUNCTION("""COMPUTED_VALUE"""),16.0)</f>
        <v>16</v>
      </c>
      <c r="K1157" s="18">
        <f>IFERROR(__xludf.DUMMYFUNCTION("""COMPUTED_VALUE"""),20.0)</f>
        <v>20</v>
      </c>
      <c r="L1157" s="17">
        <f>IFERROR(__xludf.DUMMYFUNCTION("""COMPUTED_VALUE"""),3.183771324E9)</f>
        <v>3183771324</v>
      </c>
      <c r="M1157" s="17" t="str">
        <f>IFERROR(__xludf.DUMMYFUNCTION("""COMPUTED_VALUE"""),"#REF!")</f>
        <v>#REF!</v>
      </c>
      <c r="N1157" s="17"/>
      <c r="O1157" s="19" t="str">
        <f>IFERROR(__xludf.DUMMYFUNCTION("""COMPUTED_VALUE"""),"")</f>
        <v/>
      </c>
      <c r="P1157" s="17" t="b">
        <f>IFERROR(__xludf.DUMMYFUNCTION("""COMPUTED_VALUE"""),TRUE)</f>
        <v>1</v>
      </c>
      <c r="Q1157" s="20">
        <f>IFERROR(__xludf.DUMMYFUNCTION("""COMPUTED_VALUE"""),45034.7279309838)</f>
        <v>45034.72793</v>
      </c>
      <c r="R1157" s="22" t="str">
        <f>IFERROR(__xludf.DUMMYFUNCTION("""COMPUTED_VALUE"""),"")</f>
        <v/>
      </c>
    </row>
    <row r="1158">
      <c r="A1158" s="15">
        <f>IFERROR(__xludf.DUMMYFUNCTION("""COMPUTED_VALUE"""),45034.0)</f>
        <v>45034</v>
      </c>
      <c r="B1158" s="16" t="str">
        <f>IFERROR(__xludf.DUMMYFUNCTION("""COMPUTED_VALUE"""),"Envia")</f>
        <v>Envia</v>
      </c>
      <c r="C1158" s="15" t="str">
        <f>IFERROR(__xludf.DUMMYFUNCTION("""COMPUTED_VALUE"""),"BUCARAMANGA")</f>
        <v>BUCARAMANGA</v>
      </c>
      <c r="D1158" s="15" t="str">
        <f>IFERROR(__xludf.DUMMYFUNCTION("""COMPUTED_VALUE"""),"MEDELLÍN")</f>
        <v>MEDELLÍN</v>
      </c>
      <c r="E1158" s="15" t="str">
        <f>IFERROR(__xludf.DUMMYFUNCTION("""COMPUTED_VALUE"""),"Helados swip")</f>
        <v>Helados swip</v>
      </c>
      <c r="F1158" s="17" t="str">
        <f>IFERROR(__xludf.DUMMYFUNCTION("""COMPUTED_VALUE"""),"CALLE 52 # 37-12 / CABECERA  / MULTIFIT CABECERA - BUCARAMANGA")</f>
        <v>CALLE 52 # 37-12 / CABECERA  / MULTIFIT CABECERA - BUCARAMANGA</v>
      </c>
      <c r="G1158" s="15" t="str">
        <f>IFERROR(__xludf.DUMMYFUNCTION("""COMPUTED_VALUE"""),"MULTIFIT")</f>
        <v>MULTIFIT</v>
      </c>
      <c r="H1158" s="16">
        <f>IFERROR(__xludf.DUMMYFUNCTION("""COMPUTED_VALUE"""),9841.0)</f>
        <v>9841</v>
      </c>
      <c r="I1158" s="18">
        <f>IFERROR(__xludf.DUMMYFUNCTION("""COMPUTED_VALUE"""),10.0)</f>
        <v>10</v>
      </c>
      <c r="J1158" s="18">
        <f>IFERROR(__xludf.DUMMYFUNCTION("""COMPUTED_VALUE"""),100.0)</f>
        <v>100</v>
      </c>
      <c r="K1158" s="18">
        <f>IFERROR(__xludf.DUMMYFUNCTION("""COMPUTED_VALUE"""),70.0)</f>
        <v>70</v>
      </c>
      <c r="L1158" s="17">
        <f>IFERROR(__xludf.DUMMYFUNCTION("""COMPUTED_VALUE"""),3.158785729E9)</f>
        <v>3158785729</v>
      </c>
      <c r="M1158" s="17" t="str">
        <f>IFERROR(__xludf.DUMMYFUNCTION("""COMPUTED_VALUE"""),"#REF!")</f>
        <v>#REF!</v>
      </c>
      <c r="N1158" s="17"/>
      <c r="O1158" s="19" t="str">
        <f>IFERROR(__xludf.DUMMYFUNCTION("""COMPUTED_VALUE"""),"")</f>
        <v/>
      </c>
      <c r="P1158" s="17" t="b">
        <f>IFERROR(__xludf.DUMMYFUNCTION("""COMPUTED_VALUE"""),TRUE)</f>
        <v>1</v>
      </c>
      <c r="Q1158" s="20">
        <f>IFERROR(__xludf.DUMMYFUNCTION("""COMPUTED_VALUE"""),45034.72791721065)</f>
        <v>45034.72792</v>
      </c>
      <c r="R1158" s="22" t="str">
        <f>IFERROR(__xludf.DUMMYFUNCTION("""COMPUTED_VALUE"""),"")</f>
        <v/>
      </c>
    </row>
    <row r="1159">
      <c r="A1159" s="15">
        <f>IFERROR(__xludf.DUMMYFUNCTION("""COMPUTED_VALUE"""),45034.0)</f>
        <v>45034</v>
      </c>
      <c r="B1159" s="16" t="str">
        <f>IFERROR(__xludf.DUMMYFUNCTION("""COMPUTED_VALUE"""),"Envia")</f>
        <v>Envia</v>
      </c>
      <c r="C1159" s="15" t="str">
        <f>IFERROR(__xludf.DUMMYFUNCTION("""COMPUTED_VALUE"""),"CALI")</f>
        <v>CALI</v>
      </c>
      <c r="D1159" s="15" t="str">
        <f>IFERROR(__xludf.DUMMYFUNCTION("""COMPUTED_VALUE"""),"BOGOTÁ")</f>
        <v>BOGOTÁ</v>
      </c>
      <c r="E1159" s="15" t="str">
        <f>IFERROR(__xludf.DUMMYFUNCTION("""COMPUTED_VALUE"""),"Evamazzita")</f>
        <v>Evamazzita</v>
      </c>
      <c r="F1159" s="17" t="str">
        <f>IFERROR(__xludf.DUMMYFUNCTION("""COMPUTED_VALUE"""),"(MARCAR AL CITÓFONO 1021# PARA QUE SALGAN A RECOGER) Calle 5 norte # 2 - 52  / ed el manantial apto 102 Centenario   / (MARCAR AL CITÓFONO 1021# PARA QUE SALGAN A RECOGER)")</f>
        <v>(MARCAR AL CITÓFONO 1021# PARA QUE SALGAN A RECOGER) Calle 5 norte # 2 - 52  / ed el manantial apto 102 Centenario   / (MARCAR AL CITÓFONO 1021# PARA QUE SALGAN A RECOGER)</v>
      </c>
      <c r="G1159" s="15" t="str">
        <f>IFERROR(__xludf.DUMMYFUNCTION("""COMPUTED_VALUE"""),"JESSICA SALGADO STERLING")</f>
        <v>JESSICA SALGADO STERLING</v>
      </c>
      <c r="H1159" s="16">
        <f>IFERROR(__xludf.DUMMYFUNCTION("""COMPUTED_VALUE"""),9834.0)</f>
        <v>9834</v>
      </c>
      <c r="I1159" s="18">
        <f>IFERROR(__xludf.DUMMYFUNCTION("""COMPUTED_VALUE"""),10.0)</f>
        <v>10</v>
      </c>
      <c r="J1159" s="18">
        <f>IFERROR(__xludf.DUMMYFUNCTION("""COMPUTED_VALUE"""),18.0)</f>
        <v>18</v>
      </c>
      <c r="K1159" s="18">
        <f>IFERROR(__xludf.DUMMYFUNCTION("""COMPUTED_VALUE"""),22.0)</f>
        <v>22</v>
      </c>
      <c r="L1159" s="17">
        <f>IFERROR(__xludf.DUMMYFUNCTION("""COMPUTED_VALUE"""),3.012050227E9)</f>
        <v>3012050227</v>
      </c>
      <c r="M1159" s="17" t="str">
        <f>IFERROR(__xludf.DUMMYFUNCTION("""COMPUTED_VALUE"""),"#REF!")</f>
        <v>#REF!</v>
      </c>
      <c r="N1159" s="17"/>
      <c r="O1159" s="19" t="str">
        <f>IFERROR(__xludf.DUMMYFUNCTION("""COMPUTED_VALUE"""),"")</f>
        <v/>
      </c>
      <c r="P1159" s="17" t="b">
        <f>IFERROR(__xludf.DUMMYFUNCTION("""COMPUTED_VALUE"""),TRUE)</f>
        <v>1</v>
      </c>
      <c r="Q1159" s="20">
        <f>IFERROR(__xludf.DUMMYFUNCTION("""COMPUTED_VALUE"""),45034.67091134259)</f>
        <v>45034.67091</v>
      </c>
      <c r="R1159" s="22" t="str">
        <f>IFERROR(__xludf.DUMMYFUNCTION("""COMPUTED_VALUE"""),"")</f>
        <v/>
      </c>
    </row>
    <row r="1160">
      <c r="A1160" s="15">
        <f>IFERROR(__xludf.DUMMYFUNCTION("""COMPUTED_VALUE"""),45034.0)</f>
        <v>45034</v>
      </c>
      <c r="B1160" s="16" t="str">
        <f>IFERROR(__xludf.DUMMYFUNCTION("""COMPUTED_VALUE"""),"Envia")</f>
        <v>Envia</v>
      </c>
      <c r="C1160" s="15" t="str">
        <f>IFERROR(__xludf.DUMMYFUNCTION("""COMPUTED_VALUE"""),"CALI")</f>
        <v>CALI</v>
      </c>
      <c r="D1160" s="15" t="str">
        <f>IFERROR(__xludf.DUMMYFUNCTION("""COMPUTED_VALUE"""),"BOGOTÁ")</f>
        <v>BOGOTÁ</v>
      </c>
      <c r="E1160" s="15" t="str">
        <f>IFERROR(__xludf.DUMMYFUNCTION("""COMPUTED_VALUE"""),"Evamazzita")</f>
        <v>Evamazzita</v>
      </c>
      <c r="F1160" s="17" t="str">
        <f>IFERROR(__xludf.DUMMYFUNCTION("""COMPUTED_VALUE"""),"CRA 1J # 59 - 82  /  CASA PISO 3 / BARRIO PASEO DE LOS ALMENDROS")</f>
        <v>CRA 1J # 59 - 82  /  CASA PISO 3 / BARRIO PASEO DE LOS ALMENDROS</v>
      </c>
      <c r="G1160" s="15" t="str">
        <f>IFERROR(__xludf.DUMMYFUNCTION("""COMPUTED_VALUE"""),"MELANIE GONZALEZ")</f>
        <v>MELANIE GONZALEZ</v>
      </c>
      <c r="H1160" s="16">
        <f>IFERROR(__xludf.DUMMYFUNCTION("""COMPUTED_VALUE"""),9825.0)</f>
        <v>9825</v>
      </c>
      <c r="I1160" s="18">
        <f>IFERROR(__xludf.DUMMYFUNCTION("""COMPUTED_VALUE"""),3.0)</f>
        <v>3</v>
      </c>
      <c r="J1160" s="18">
        <f>IFERROR(__xludf.DUMMYFUNCTION("""COMPUTED_VALUE"""),20.0)</f>
        <v>20</v>
      </c>
      <c r="K1160" s="18">
        <f>IFERROR(__xludf.DUMMYFUNCTION("""COMPUTED_VALUE"""),15.0)</f>
        <v>15</v>
      </c>
      <c r="L1160" s="17">
        <f>IFERROR(__xludf.DUMMYFUNCTION("""COMPUTED_VALUE"""),3.132090417E9)</f>
        <v>3132090417</v>
      </c>
      <c r="M1160" s="17" t="str">
        <f>IFERROR(__xludf.DUMMYFUNCTION("""COMPUTED_VALUE"""),"#REF!")</f>
        <v>#REF!</v>
      </c>
      <c r="N1160" s="17"/>
      <c r="O1160" s="19" t="str">
        <f>IFERROR(__xludf.DUMMYFUNCTION("""COMPUTED_VALUE"""),"")</f>
        <v/>
      </c>
      <c r="P1160" s="17" t="b">
        <f>IFERROR(__xludf.DUMMYFUNCTION("""COMPUTED_VALUE"""),TRUE)</f>
        <v>1</v>
      </c>
      <c r="Q1160" s="20">
        <f>IFERROR(__xludf.DUMMYFUNCTION("""COMPUTED_VALUE"""),45034.73296699074)</f>
        <v>45034.73297</v>
      </c>
      <c r="R1160" s="22" t="str">
        <f>IFERROR(__xludf.DUMMYFUNCTION("""COMPUTED_VALUE"""),"")</f>
        <v/>
      </c>
    </row>
    <row r="1161">
      <c r="A1161" s="15">
        <f>IFERROR(__xludf.DUMMYFUNCTION("""COMPUTED_VALUE"""),45034.0)</f>
        <v>45034</v>
      </c>
      <c r="B1161" s="16" t="str">
        <f>IFERROR(__xludf.DUMMYFUNCTION("""COMPUTED_VALUE"""),"Envia")</f>
        <v>Envia</v>
      </c>
      <c r="C1161" s="15" t="str">
        <f>IFERROR(__xludf.DUMMYFUNCTION("""COMPUTED_VALUE"""),"CALI")</f>
        <v>CALI</v>
      </c>
      <c r="D1161" s="15" t="str">
        <f>IFERROR(__xludf.DUMMYFUNCTION("""COMPUTED_VALUE"""),"BOGOTÁ")</f>
        <v>BOGOTÁ</v>
      </c>
      <c r="E1161" s="15" t="str">
        <f>IFERROR(__xludf.DUMMYFUNCTION("""COMPUTED_VALUE"""),"Pave")</f>
        <v>Pave</v>
      </c>
      <c r="F1161" s="17" t="str">
        <f>IFERROR(__xludf.DUMMYFUNCTION("""COMPUTED_VALUE"""),"Calle 1B # 55-25   / Edificio Reserva del Río APTO 501 / Cuarto de Legua")</f>
        <v>Calle 1B # 55-25   / Edificio Reserva del Río APTO 501 / Cuarto de Legua</v>
      </c>
      <c r="G1161" s="15" t="str">
        <f>IFERROR(__xludf.DUMMYFUNCTION("""COMPUTED_VALUE"""),"Juanita Castro")</f>
        <v>Juanita Castro</v>
      </c>
      <c r="H1161" s="16">
        <f>IFERROR(__xludf.DUMMYFUNCTION("""COMPUTED_VALUE"""),9868.0)</f>
        <v>9868</v>
      </c>
      <c r="I1161" s="18">
        <f>IFERROR(__xludf.DUMMYFUNCTION("""COMPUTED_VALUE"""),12.0)</f>
        <v>12</v>
      </c>
      <c r="J1161" s="18">
        <f>IFERROR(__xludf.DUMMYFUNCTION("""COMPUTED_VALUE"""),12.0)</f>
        <v>12</v>
      </c>
      <c r="K1161" s="18">
        <f>IFERROR(__xludf.DUMMYFUNCTION("""COMPUTED_VALUE"""),13.0)</f>
        <v>13</v>
      </c>
      <c r="L1161" s="17">
        <f>IFERROR(__xludf.DUMMYFUNCTION("""COMPUTED_VALUE"""),3.008489446E9)</f>
        <v>3008489446</v>
      </c>
      <c r="M1161" s="17" t="str">
        <f>IFERROR(__xludf.DUMMYFUNCTION("""COMPUTED_VALUE"""),"#REF!")</f>
        <v>#REF!</v>
      </c>
      <c r="N1161" s="17"/>
      <c r="O1161" s="19" t="str">
        <f>IFERROR(__xludf.DUMMYFUNCTION("""COMPUTED_VALUE"""),"")</f>
        <v/>
      </c>
      <c r="P1161" s="17" t="b">
        <f>IFERROR(__xludf.DUMMYFUNCTION("""COMPUTED_VALUE"""),TRUE)</f>
        <v>1</v>
      </c>
      <c r="Q1161" s="20">
        <f>IFERROR(__xludf.DUMMYFUNCTION("""COMPUTED_VALUE"""),45034.72799212963)</f>
        <v>45034.72799</v>
      </c>
      <c r="R1161" s="22" t="str">
        <f>IFERROR(__xludf.DUMMYFUNCTION("""COMPUTED_VALUE"""),"")</f>
        <v/>
      </c>
    </row>
    <row r="1162">
      <c r="A1162" s="15">
        <f>IFERROR(__xludf.DUMMYFUNCTION("""COMPUTED_VALUE"""),45034.0)</f>
        <v>45034</v>
      </c>
      <c r="B1162" s="16" t="str">
        <f>IFERROR(__xludf.DUMMYFUNCTION("""COMPUTED_VALUE"""),"Envia")</f>
        <v>Envia</v>
      </c>
      <c r="C1162" s="15" t="str">
        <f>IFERROR(__xludf.DUMMYFUNCTION("""COMPUTED_VALUE"""),"CALI")</f>
        <v>CALI</v>
      </c>
      <c r="D1162" s="15" t="str">
        <f>IFERROR(__xludf.DUMMYFUNCTION("""COMPUTED_VALUE"""),"MEDELLÍN")</f>
        <v>MEDELLÍN</v>
      </c>
      <c r="E1162" s="15" t="str">
        <f>IFERROR(__xludf.DUMMYFUNCTION("""COMPUTED_VALUE"""),"Helados swip")</f>
        <v>Helados swip</v>
      </c>
      <c r="F1162" s="17" t="str">
        <f>IFERROR(__xludf.DUMMYFUNCTION("""COMPUTED_VALUE"""),"AV 4 NORTE # 7N 46 / C.C CENTENARIO  / LOCAL 129")</f>
        <v>AV 4 NORTE # 7N 46 / C.C CENTENARIO  / LOCAL 129</v>
      </c>
      <c r="G1162" s="15" t="str">
        <f>IFERROR(__xludf.DUMMYFUNCTION("""COMPUTED_VALUE"""),"VITAFITNESS")</f>
        <v>VITAFITNESS</v>
      </c>
      <c r="H1162" s="16">
        <f>IFERROR(__xludf.DUMMYFUNCTION("""COMPUTED_VALUE"""),9842.0)</f>
        <v>9842</v>
      </c>
      <c r="I1162" s="18">
        <f>IFERROR(__xludf.DUMMYFUNCTION("""COMPUTED_VALUE"""),10.0)</f>
        <v>10</v>
      </c>
      <c r="J1162" s="18">
        <f>IFERROR(__xludf.DUMMYFUNCTION("""COMPUTED_VALUE"""),100.0)</f>
        <v>100</v>
      </c>
      <c r="K1162" s="18">
        <f>IFERROR(__xludf.DUMMYFUNCTION("""COMPUTED_VALUE"""),70.0)</f>
        <v>70</v>
      </c>
      <c r="L1162" s="17">
        <f>IFERROR(__xludf.DUMMYFUNCTION("""COMPUTED_VALUE"""),3.10443232E9)</f>
        <v>3104432320</v>
      </c>
      <c r="M1162" s="17" t="str">
        <f>IFERROR(__xludf.DUMMYFUNCTION("""COMPUTED_VALUE"""),"#REF!")</f>
        <v>#REF!</v>
      </c>
      <c r="N1162" s="17"/>
      <c r="O1162" s="19" t="str">
        <f>IFERROR(__xludf.DUMMYFUNCTION("""COMPUTED_VALUE"""),"")</f>
        <v/>
      </c>
      <c r="P1162" s="17" t="b">
        <f>IFERROR(__xludf.DUMMYFUNCTION("""COMPUTED_VALUE"""),TRUE)</f>
        <v>1</v>
      </c>
      <c r="Q1162" s="20">
        <f>IFERROR(__xludf.DUMMYFUNCTION("""COMPUTED_VALUE"""),45034.67105267361)</f>
        <v>45034.67105</v>
      </c>
      <c r="R1162" s="22" t="str">
        <f>IFERROR(__xludf.DUMMYFUNCTION("""COMPUTED_VALUE"""),"")</f>
        <v/>
      </c>
    </row>
    <row r="1163">
      <c r="A1163" s="15">
        <f>IFERROR(__xludf.DUMMYFUNCTION("""COMPUTED_VALUE"""),45034.0)</f>
        <v>45034</v>
      </c>
      <c r="B1163" s="16" t="str">
        <f>IFERROR(__xludf.DUMMYFUNCTION("""COMPUTED_VALUE"""),"Envia")</f>
        <v>Envia</v>
      </c>
      <c r="C1163" s="15" t="str">
        <f>IFERROR(__xludf.DUMMYFUNCTION("""COMPUTED_VALUE"""),"FLORIDABLANCA")</f>
        <v>FLORIDABLANCA</v>
      </c>
      <c r="D1163" s="15" t="str">
        <f>IFERROR(__xludf.DUMMYFUNCTION("""COMPUTED_VALUE"""),"MEDELLÍN")</f>
        <v>MEDELLÍN</v>
      </c>
      <c r="E1163" s="15" t="str">
        <f>IFERROR(__xludf.DUMMYFUNCTION("""COMPUTED_VALUE"""),"Baby Chef")</f>
        <v>Baby Chef</v>
      </c>
      <c r="F1163" s="17" t="str">
        <f>IFERROR(__xludf.DUMMYFUNCTION("""COMPUTED_VALUE"""),"Calle 200 no. 13-36 Edificio montesol apto 1302 / Calle 200 no. 13-36 edificio montesol apto 1302 / Calle 200 no. 13-36 Edificio montesol apto 1302")</f>
        <v>Calle 200 no. 13-36 Edificio montesol apto 1302 / Calle 200 no. 13-36 edificio montesol apto 1302 / Calle 200 no. 13-36 Edificio montesol apto 1302</v>
      </c>
      <c r="G1163" s="15" t="str">
        <f>IFERROR(__xludf.DUMMYFUNCTION("""COMPUTED_VALUE"""),"ANDREA TOLOZA")</f>
        <v>ANDREA TOLOZA</v>
      </c>
      <c r="H1163" s="16">
        <f>IFERROR(__xludf.DUMMYFUNCTION("""COMPUTED_VALUE"""),9857.0)</f>
        <v>9857</v>
      </c>
      <c r="I1163" s="18">
        <f>IFERROR(__xludf.DUMMYFUNCTION("""COMPUTED_VALUE"""),8.0)</f>
        <v>8</v>
      </c>
      <c r="J1163" s="18">
        <f>IFERROR(__xludf.DUMMYFUNCTION("""COMPUTED_VALUE"""),16.0)</f>
        <v>16</v>
      </c>
      <c r="K1163" s="18">
        <f>IFERROR(__xludf.DUMMYFUNCTION("""COMPUTED_VALUE"""),20.0)</f>
        <v>20</v>
      </c>
      <c r="L1163" s="17">
        <f>IFERROR(__xludf.DUMMYFUNCTION("""COMPUTED_VALUE"""),3.186264771E9)</f>
        <v>3186264771</v>
      </c>
      <c r="M1163" s="17" t="str">
        <f>IFERROR(__xludf.DUMMYFUNCTION("""COMPUTED_VALUE"""),"#REF!")</f>
        <v>#REF!</v>
      </c>
      <c r="N1163" s="17"/>
      <c r="O1163" s="19" t="str">
        <f>IFERROR(__xludf.DUMMYFUNCTION("""COMPUTED_VALUE"""),"")</f>
        <v/>
      </c>
      <c r="P1163" s="17" t="b">
        <f>IFERROR(__xludf.DUMMYFUNCTION("""COMPUTED_VALUE"""),FALSE)</f>
        <v>0</v>
      </c>
      <c r="Q1163" s="20" t="str">
        <f>IFERROR(__xludf.DUMMYFUNCTION("""COMPUTED_VALUE"""),"")</f>
        <v/>
      </c>
      <c r="R1163" s="22" t="str">
        <f>IFERROR(__xludf.DUMMYFUNCTION("""COMPUTED_VALUE"""),"")</f>
        <v/>
      </c>
    </row>
    <row r="1164">
      <c r="A1164" s="15">
        <f>IFERROR(__xludf.DUMMYFUNCTION("""COMPUTED_VALUE"""),45034.0)</f>
        <v>45034</v>
      </c>
      <c r="B1164" s="16" t="str">
        <f>IFERROR(__xludf.DUMMYFUNCTION("""COMPUTED_VALUE"""),"Envia")</f>
        <v>Envia</v>
      </c>
      <c r="C1164" s="15" t="str">
        <f>IFERROR(__xludf.DUMMYFUNCTION("""COMPUTED_VALUE"""),"FLORIDABLANCA")</f>
        <v>FLORIDABLANCA</v>
      </c>
      <c r="D1164" s="15" t="str">
        <f>IFERROR(__xludf.DUMMYFUNCTION("""COMPUTED_VALUE"""),"MEDELLÍN")</f>
        <v>MEDELLÍN</v>
      </c>
      <c r="E1164" s="15" t="str">
        <f>IFERROR(__xludf.DUMMYFUNCTION("""COMPUTED_VALUE"""),"Helados swip")</f>
        <v>Helados swip</v>
      </c>
      <c r="F1164" s="17" t="str">
        <f>IFERROR(__xludf.DUMMYFUNCTION("""COMPUTED_VALUE"""),"CALLE 31# 22-97 / CAÑAVERAL / CAÑAVERAL")</f>
        <v>CALLE 31# 22-97 / CAÑAVERAL / CAÑAVERAL</v>
      </c>
      <c r="G1164" s="15" t="str">
        <f>IFERROR(__xludf.DUMMYFUNCTION("""COMPUTED_VALUE"""),"FIT STORE EXPRESS CAÑAVERAL")</f>
        <v>FIT STORE EXPRESS CAÑAVERAL</v>
      </c>
      <c r="H1164" s="16">
        <f>IFERROR(__xludf.DUMMYFUNCTION("""COMPUTED_VALUE"""),9843.0)</f>
        <v>9843</v>
      </c>
      <c r="I1164" s="18">
        <f>IFERROR(__xludf.DUMMYFUNCTION("""COMPUTED_VALUE"""),10.0)</f>
        <v>10</v>
      </c>
      <c r="J1164" s="18">
        <f>IFERROR(__xludf.DUMMYFUNCTION("""COMPUTED_VALUE"""),100.0)</f>
        <v>100</v>
      </c>
      <c r="K1164" s="18">
        <f>IFERROR(__xludf.DUMMYFUNCTION("""COMPUTED_VALUE"""),70.0)</f>
        <v>70</v>
      </c>
      <c r="L1164" s="17">
        <f>IFERROR(__xludf.DUMMYFUNCTION("""COMPUTED_VALUE"""),3.005711168E9)</f>
        <v>3005711168</v>
      </c>
      <c r="M1164" s="17" t="str">
        <f>IFERROR(__xludf.DUMMYFUNCTION("""COMPUTED_VALUE"""),"#REF!")</f>
        <v>#REF!</v>
      </c>
      <c r="N1164" s="17"/>
      <c r="O1164" s="19" t="str">
        <f>IFERROR(__xludf.DUMMYFUNCTION("""COMPUTED_VALUE"""),"")</f>
        <v/>
      </c>
      <c r="P1164" s="17" t="b">
        <f>IFERROR(__xludf.DUMMYFUNCTION("""COMPUTED_VALUE"""),FALSE)</f>
        <v>0</v>
      </c>
      <c r="Q1164" s="20" t="str">
        <f>IFERROR(__xludf.DUMMYFUNCTION("""COMPUTED_VALUE"""),"")</f>
        <v/>
      </c>
      <c r="R1164" s="22" t="str">
        <f>IFERROR(__xludf.DUMMYFUNCTION("""COMPUTED_VALUE"""),"")</f>
        <v/>
      </c>
    </row>
    <row r="1165">
      <c r="A1165" s="15">
        <f>IFERROR(__xludf.DUMMYFUNCTION("""COMPUTED_VALUE"""),45034.0)</f>
        <v>45034</v>
      </c>
      <c r="B1165" s="16" t="str">
        <f>IFERROR(__xludf.DUMMYFUNCTION("""COMPUTED_VALUE"""),"Envia")</f>
        <v>Envia</v>
      </c>
      <c r="C1165" s="15" t="str">
        <f>IFERROR(__xludf.DUMMYFUNCTION("""COMPUTED_VALUE"""),"IBAGUÉ")</f>
        <v>IBAGUÉ</v>
      </c>
      <c r="D1165" s="15" t="str">
        <f>IFERROR(__xludf.DUMMYFUNCTION("""COMPUTED_VALUE"""),"BOGOTÁ")</f>
        <v>BOGOTÁ</v>
      </c>
      <c r="E1165" s="15" t="str">
        <f>IFERROR(__xludf.DUMMYFUNCTION("""COMPUTED_VALUE"""),"Ins. Alimento Vital")</f>
        <v>Ins. Alimento Vital</v>
      </c>
      <c r="F1165" s="17" t="str">
        <f>IFERROR(__xludf.DUMMYFUNCTION("""COMPUTED_VALUE"""),"MANZANA M CASA 2B  / CASA 2B / BARRIO ARKALA")</f>
        <v>MANZANA M CASA 2B  / CASA 2B / BARRIO ARKALA</v>
      </c>
      <c r="G1165" s="15" t="str">
        <f>IFERROR(__xludf.DUMMYFUNCTION("""COMPUTED_VALUE"""),"YINA LIZETH DIAZ TORRES")</f>
        <v>YINA LIZETH DIAZ TORRES</v>
      </c>
      <c r="H1165" s="16">
        <f>IFERROR(__xludf.DUMMYFUNCTION("""COMPUTED_VALUE"""),9803.0)</f>
        <v>9803</v>
      </c>
      <c r="I1165" s="18">
        <f>IFERROR(__xludf.DUMMYFUNCTION("""COMPUTED_VALUE"""),100.0)</f>
        <v>100</v>
      </c>
      <c r="J1165" s="18">
        <f>IFERROR(__xludf.DUMMYFUNCTION("""COMPUTED_VALUE"""),10.0)</f>
        <v>10</v>
      </c>
      <c r="K1165" s="18">
        <f>IFERROR(__xludf.DUMMYFUNCTION("""COMPUTED_VALUE"""),8.0)</f>
        <v>8</v>
      </c>
      <c r="L1165" s="17">
        <f>IFERROR(__xludf.DUMMYFUNCTION("""COMPUTED_VALUE"""),3.134502277E9)</f>
        <v>3134502277</v>
      </c>
      <c r="M1165" s="17" t="str">
        <f>IFERROR(__xludf.DUMMYFUNCTION("""COMPUTED_VALUE"""),"#REF!")</f>
        <v>#REF!</v>
      </c>
      <c r="N1165" s="17"/>
      <c r="O1165" s="19" t="str">
        <f>IFERROR(__xludf.DUMMYFUNCTION("""COMPUTED_VALUE"""),"")</f>
        <v/>
      </c>
      <c r="P1165" s="17" t="b">
        <f>IFERROR(__xludf.DUMMYFUNCTION("""COMPUTED_VALUE"""),FALSE)</f>
        <v>0</v>
      </c>
      <c r="Q1165" s="20" t="str">
        <f>IFERROR(__xludf.DUMMYFUNCTION("""COMPUTED_VALUE"""),"")</f>
        <v/>
      </c>
      <c r="R1165" s="22" t="str">
        <f>IFERROR(__xludf.DUMMYFUNCTION("""COMPUTED_VALUE"""),"")</f>
        <v/>
      </c>
    </row>
    <row r="1166">
      <c r="A1166" s="15">
        <f>IFERROR(__xludf.DUMMYFUNCTION("""COMPUTED_VALUE"""),45034.0)</f>
        <v>45034</v>
      </c>
      <c r="B1166" s="16" t="str">
        <f>IFERROR(__xludf.DUMMYFUNCTION("""COMPUTED_VALUE"""),"Envia")</f>
        <v>Envia</v>
      </c>
      <c r="C1166" s="15" t="str">
        <f>IFERROR(__xludf.DUMMYFUNCTION("""COMPUTED_VALUE"""),"MANIZALES")</f>
        <v>MANIZALES</v>
      </c>
      <c r="D1166" s="15" t="str">
        <f>IFERROR(__xludf.DUMMYFUNCTION("""COMPUTED_VALUE"""),"BOGOTÁ")</f>
        <v>BOGOTÁ</v>
      </c>
      <c r="E1166" s="15" t="str">
        <f>IFERROR(__xludf.DUMMYFUNCTION("""COMPUTED_VALUE"""),"Banana Bread")</f>
        <v>Banana Bread</v>
      </c>
      <c r="F1166" s="17" t="str">
        <f>IFERROR(__xludf.DUMMYFUNCTION("""COMPUTED_VALUE"""),"Av Alberto Mendoza 89- 94  / Edificio paseo del bosque apto  1504 / Edificio paseo del bosque")</f>
        <v>Av Alberto Mendoza 89- 94  / Edificio paseo del bosque apto  1504 / Edificio paseo del bosque</v>
      </c>
      <c r="G1166" s="15" t="str">
        <f>IFERROR(__xludf.DUMMYFUNCTION("""COMPUTED_VALUE"""),"Nicolle dilva")</f>
        <v>Nicolle dilva</v>
      </c>
      <c r="H1166" s="16">
        <f>IFERROR(__xludf.DUMMYFUNCTION("""COMPUTED_VALUE"""),9877.0)</f>
        <v>9877</v>
      </c>
      <c r="I1166" s="18">
        <f>IFERROR(__xludf.DUMMYFUNCTION("""COMPUTED_VALUE"""),8.0)</f>
        <v>8</v>
      </c>
      <c r="J1166" s="18">
        <f>IFERROR(__xludf.DUMMYFUNCTION("""COMPUTED_VALUE"""),11.0)</f>
        <v>11</v>
      </c>
      <c r="K1166" s="18">
        <f>IFERROR(__xludf.DUMMYFUNCTION("""COMPUTED_VALUE"""),18.0)</f>
        <v>18</v>
      </c>
      <c r="L1166" s="17">
        <f>IFERROR(__xludf.DUMMYFUNCTION("""COMPUTED_VALUE"""),3.216391989E9)</f>
        <v>3216391989</v>
      </c>
      <c r="M1166" s="17" t="str">
        <f>IFERROR(__xludf.DUMMYFUNCTION("""COMPUTED_VALUE"""),"#REF!")</f>
        <v>#REF!</v>
      </c>
      <c r="N1166" s="17"/>
      <c r="O1166" s="19" t="str">
        <f>IFERROR(__xludf.DUMMYFUNCTION("""COMPUTED_VALUE"""),"")</f>
        <v/>
      </c>
      <c r="P1166" s="17" t="b">
        <f>IFERROR(__xludf.DUMMYFUNCTION("""COMPUTED_VALUE"""),TRUE)</f>
        <v>1</v>
      </c>
      <c r="Q1166" s="20">
        <f>IFERROR(__xludf.DUMMYFUNCTION("""COMPUTED_VALUE"""),45034.66650309028)</f>
        <v>45034.6665</v>
      </c>
      <c r="R1166" s="22" t="str">
        <f>IFERROR(__xludf.DUMMYFUNCTION("""COMPUTED_VALUE"""),"")</f>
        <v/>
      </c>
    </row>
    <row r="1167">
      <c r="A1167" s="15">
        <f>IFERROR(__xludf.DUMMYFUNCTION("""COMPUTED_VALUE"""),45034.0)</f>
        <v>45034</v>
      </c>
      <c r="B1167" s="16" t="str">
        <f>IFERROR(__xludf.DUMMYFUNCTION("""COMPUTED_VALUE"""),"Envia")</f>
        <v>Envia</v>
      </c>
      <c r="C1167" s="15" t="str">
        <f>IFERROR(__xludf.DUMMYFUNCTION("""COMPUTED_VALUE"""),"MANIZALES")</f>
        <v>MANIZALES</v>
      </c>
      <c r="D1167" s="15" t="str">
        <f>IFERROR(__xludf.DUMMYFUNCTION("""COMPUTED_VALUE"""),"BOGOTÁ")</f>
        <v>BOGOTÁ</v>
      </c>
      <c r="E1167" s="15" t="str">
        <f>IFERROR(__xludf.DUMMYFUNCTION("""COMPUTED_VALUE"""),"Banana Bread")</f>
        <v>Banana Bread</v>
      </c>
      <c r="F1167" s="17" t="str">
        <f>IFERROR(__xludf.DUMMYFUNCTION("""COMPUTED_VALUE"""),"Calle85#25-110 / Edificio amarello torre 2 apto905 / Por expoferias")</f>
        <v>Calle85#25-110 / Edificio amarello torre 2 apto905 / Por expoferias</v>
      </c>
      <c r="G1167" s="15" t="str">
        <f>IFERROR(__xludf.DUMMYFUNCTION("""COMPUTED_VALUE"""),"Santiago loaiza salazar")</f>
        <v>Santiago loaiza salazar</v>
      </c>
      <c r="H1167" s="16">
        <f>IFERROR(__xludf.DUMMYFUNCTION("""COMPUTED_VALUE"""),9878.0)</f>
        <v>9878</v>
      </c>
      <c r="I1167" s="18">
        <f>IFERROR(__xludf.DUMMYFUNCTION("""COMPUTED_VALUE"""),8.0)</f>
        <v>8</v>
      </c>
      <c r="J1167" s="18">
        <f>IFERROR(__xludf.DUMMYFUNCTION("""COMPUTED_VALUE"""),24.0)</f>
        <v>24</v>
      </c>
      <c r="K1167" s="18">
        <f>IFERROR(__xludf.DUMMYFUNCTION("""COMPUTED_VALUE"""),30.0)</f>
        <v>30</v>
      </c>
      <c r="L1167" s="17">
        <f>IFERROR(__xludf.DUMMYFUNCTION("""COMPUTED_VALUE"""),3.104505466E9)</f>
        <v>3104505466</v>
      </c>
      <c r="M1167" s="17" t="str">
        <f>IFERROR(__xludf.DUMMYFUNCTION("""COMPUTED_VALUE"""),"#REF!")</f>
        <v>#REF!</v>
      </c>
      <c r="N1167" s="17"/>
      <c r="O1167" s="19" t="str">
        <f>IFERROR(__xludf.DUMMYFUNCTION("""COMPUTED_VALUE"""),"")</f>
        <v/>
      </c>
      <c r="P1167" s="17" t="b">
        <f>IFERROR(__xludf.DUMMYFUNCTION("""COMPUTED_VALUE"""),TRUE)</f>
        <v>1</v>
      </c>
      <c r="Q1167" s="20">
        <f>IFERROR(__xludf.DUMMYFUNCTION("""COMPUTED_VALUE"""),45034.64850043981)</f>
        <v>45034.6485</v>
      </c>
      <c r="R1167" s="22" t="str">
        <f>IFERROR(__xludf.DUMMYFUNCTION("""COMPUTED_VALUE"""),"")</f>
        <v/>
      </c>
    </row>
    <row r="1168">
      <c r="A1168" s="15">
        <f>IFERROR(__xludf.DUMMYFUNCTION("""COMPUTED_VALUE"""),45034.0)</f>
        <v>45034</v>
      </c>
      <c r="B1168" s="16" t="str">
        <f>IFERROR(__xludf.DUMMYFUNCTION("""COMPUTED_VALUE"""),"Envia")</f>
        <v>Envia</v>
      </c>
      <c r="C1168" s="15" t="str">
        <f>IFERROR(__xludf.DUMMYFUNCTION("""COMPUTED_VALUE"""),"MEDELLÍN")</f>
        <v>MEDELLÍN</v>
      </c>
      <c r="D1168" s="15" t="str">
        <f>IFERROR(__xludf.DUMMYFUNCTION("""COMPUTED_VALUE"""),"BOGOTÁ")</f>
        <v>BOGOTÁ</v>
      </c>
      <c r="E1168" s="15" t="str">
        <f>IFERROR(__xludf.DUMMYFUNCTION("""COMPUTED_VALUE"""),"Asociacion Agropecuaria Juana Maria")</f>
        <v>Asociacion Agropecuaria Juana Maria</v>
      </c>
      <c r="F1168" s="17" t="str">
        <f>IFERROR(__xludf.DUMMYFUNCTION("""COMPUTED_VALUE"""),"Carrera 15 BA # 30D-44 int 201")</f>
        <v>Carrera 15 BA # 30D-44 int 201</v>
      </c>
      <c r="G1168" s="15" t="str">
        <f>IFERROR(__xludf.DUMMYFUNCTION("""COMPUTED_VALUE"""),"Daniela Bedoya Blandon")</f>
        <v>Daniela Bedoya Blandon</v>
      </c>
      <c r="H1168" s="16">
        <f>IFERROR(__xludf.DUMMYFUNCTION("""COMPUTED_VALUE"""),9732.0)</f>
        <v>9732</v>
      </c>
      <c r="I1168" s="18">
        <f>IFERROR(__xludf.DUMMYFUNCTION("""COMPUTED_VALUE"""),21.0)</f>
        <v>21</v>
      </c>
      <c r="J1168" s="18">
        <f>IFERROR(__xludf.DUMMYFUNCTION("""COMPUTED_VALUE"""),37.0)</f>
        <v>37</v>
      </c>
      <c r="K1168" s="18">
        <f>IFERROR(__xludf.DUMMYFUNCTION("""COMPUTED_VALUE"""),30.0)</f>
        <v>30</v>
      </c>
      <c r="L1168" s="17">
        <f>IFERROR(__xludf.DUMMYFUNCTION("""COMPUTED_VALUE"""),3.14672822E9)</f>
        <v>3146728220</v>
      </c>
      <c r="M1168" s="17" t="str">
        <f>IFERROR(__xludf.DUMMYFUNCTION("""COMPUTED_VALUE"""),"#REF!")</f>
        <v>#REF!</v>
      </c>
      <c r="N1168" s="17"/>
      <c r="O1168" s="19" t="str">
        <f>IFERROR(__xludf.DUMMYFUNCTION("""COMPUTED_VALUE"""),"")</f>
        <v/>
      </c>
      <c r="P1168" s="17" t="b">
        <f>IFERROR(__xludf.DUMMYFUNCTION("""COMPUTED_VALUE"""),FALSE)</f>
        <v>0</v>
      </c>
      <c r="Q1168" s="20" t="str">
        <f>IFERROR(__xludf.DUMMYFUNCTION("""COMPUTED_VALUE"""),"")</f>
        <v/>
      </c>
      <c r="R1168" s="22" t="str">
        <f>IFERROR(__xludf.DUMMYFUNCTION("""COMPUTED_VALUE"""),"")</f>
        <v/>
      </c>
    </row>
    <row r="1169">
      <c r="A1169" s="15">
        <f>IFERROR(__xludf.DUMMYFUNCTION("""COMPUTED_VALUE"""),45034.0)</f>
        <v>45034</v>
      </c>
      <c r="B1169" s="16" t="str">
        <f>IFERROR(__xludf.DUMMYFUNCTION("""COMPUTED_VALUE"""),"Envia")</f>
        <v>Envia</v>
      </c>
      <c r="C1169" s="15" t="str">
        <f>IFERROR(__xludf.DUMMYFUNCTION("""COMPUTED_VALUE"""),"MEDELLÍN")</f>
        <v>MEDELLÍN</v>
      </c>
      <c r="D1169" s="15" t="str">
        <f>IFERROR(__xludf.DUMMYFUNCTION("""COMPUTED_VALUE"""),"BOGOTÁ")</f>
        <v>BOGOTÁ</v>
      </c>
      <c r="E1169" s="15" t="str">
        <f>IFERROR(__xludf.DUMMYFUNCTION("""COMPUTED_VALUE"""),"Asociacion Agropecuaria Juana Maria")</f>
        <v>Asociacion Agropecuaria Juana Maria</v>
      </c>
      <c r="F1169" s="17" t="str">
        <f>IFERROR(__xludf.DUMMYFUNCTION("""COMPUTED_VALUE"""),"Carrera 15 BA # 30D-44 int 201")</f>
        <v>Carrera 15 BA # 30D-44 int 201</v>
      </c>
      <c r="G1169" s="15" t="str">
        <f>IFERROR(__xludf.DUMMYFUNCTION("""COMPUTED_VALUE"""),"Daniela Bedoya Blandon")</f>
        <v>Daniela Bedoya Blandon</v>
      </c>
      <c r="H1169" s="16">
        <f>IFERROR(__xludf.DUMMYFUNCTION("""COMPUTED_VALUE"""),9733.0)</f>
        <v>9733</v>
      </c>
      <c r="I1169" s="18">
        <f>IFERROR(__xludf.DUMMYFUNCTION("""COMPUTED_VALUE"""),16.0)</f>
        <v>16</v>
      </c>
      <c r="J1169" s="18">
        <f>IFERROR(__xludf.DUMMYFUNCTION("""COMPUTED_VALUE"""),34.0)</f>
        <v>34</v>
      </c>
      <c r="K1169" s="18">
        <f>IFERROR(__xludf.DUMMYFUNCTION("""COMPUTED_VALUE"""),25.0)</f>
        <v>25</v>
      </c>
      <c r="L1169" s="17">
        <f>IFERROR(__xludf.DUMMYFUNCTION("""COMPUTED_VALUE"""),3.14672822E9)</f>
        <v>3146728220</v>
      </c>
      <c r="M1169" s="17" t="str">
        <f>IFERROR(__xludf.DUMMYFUNCTION("""COMPUTED_VALUE"""),"#REF!")</f>
        <v>#REF!</v>
      </c>
      <c r="N1169" s="17"/>
      <c r="O1169" s="19" t="str">
        <f>IFERROR(__xludf.DUMMYFUNCTION("""COMPUTED_VALUE"""),"")</f>
        <v/>
      </c>
      <c r="P1169" s="17" t="b">
        <f>IFERROR(__xludf.DUMMYFUNCTION("""COMPUTED_VALUE"""),TRUE)</f>
        <v>1</v>
      </c>
      <c r="Q1169" s="20">
        <f>IFERROR(__xludf.DUMMYFUNCTION("""COMPUTED_VALUE"""),45034.73283791667)</f>
        <v>45034.73284</v>
      </c>
      <c r="R1169" s="22" t="str">
        <f>IFERROR(__xludf.DUMMYFUNCTION("""COMPUTED_VALUE"""),"")</f>
        <v/>
      </c>
    </row>
    <row r="1170">
      <c r="A1170" s="15">
        <f>IFERROR(__xludf.DUMMYFUNCTION("""COMPUTED_VALUE"""),45034.0)</f>
        <v>45034</v>
      </c>
      <c r="B1170" s="16" t="str">
        <f>IFERROR(__xludf.DUMMYFUNCTION("""COMPUTED_VALUE"""),"Envia")</f>
        <v>Envia</v>
      </c>
      <c r="C1170" s="15" t="str">
        <f>IFERROR(__xludf.DUMMYFUNCTION("""COMPUTED_VALUE"""),"MEDELLÍN")</f>
        <v>MEDELLÍN</v>
      </c>
      <c r="D1170" s="15" t="str">
        <f>IFERROR(__xludf.DUMMYFUNCTION("""COMPUTED_VALUE"""),"BOGOTÁ")</f>
        <v>BOGOTÁ</v>
      </c>
      <c r="E1170" s="15" t="str">
        <f>IFERROR(__xludf.DUMMYFUNCTION("""COMPUTED_VALUE"""),"Asociacion Agropecuaria Juana Maria")</f>
        <v>Asociacion Agropecuaria Juana Maria</v>
      </c>
      <c r="F1170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1170" s="15" t="str">
        <f>IFERROR(__xludf.DUMMYFUNCTION("""COMPUTED_VALUE"""),"Jennifer Sanchez Blandon")</f>
        <v>Jennifer Sanchez Blandon</v>
      </c>
      <c r="H1170" s="16">
        <f>IFERROR(__xludf.DUMMYFUNCTION("""COMPUTED_VALUE"""),9731.0)</f>
        <v>9731</v>
      </c>
      <c r="I1170" s="18">
        <f>IFERROR(__xludf.DUMMYFUNCTION("""COMPUTED_VALUE"""),12.0)</f>
        <v>12</v>
      </c>
      <c r="J1170" s="18">
        <f>IFERROR(__xludf.DUMMYFUNCTION("""COMPUTED_VALUE"""),37.0)</f>
        <v>37</v>
      </c>
      <c r="K1170" s="18">
        <f>IFERROR(__xludf.DUMMYFUNCTION("""COMPUTED_VALUE"""),20.0)</f>
        <v>20</v>
      </c>
      <c r="L1170" s="17">
        <f>IFERROR(__xludf.DUMMYFUNCTION("""COMPUTED_VALUE"""),3.016937674E9)</f>
        <v>3016937674</v>
      </c>
      <c r="M1170" s="17" t="str">
        <f>IFERROR(__xludf.DUMMYFUNCTION("""COMPUTED_VALUE"""),"#REF!")</f>
        <v>#REF!</v>
      </c>
      <c r="N1170" s="17"/>
      <c r="O1170" s="19" t="str">
        <f>IFERROR(__xludf.DUMMYFUNCTION("""COMPUTED_VALUE"""),"")</f>
        <v/>
      </c>
      <c r="P1170" s="17" t="b">
        <f>IFERROR(__xludf.DUMMYFUNCTION("""COMPUTED_VALUE"""),TRUE)</f>
        <v>1</v>
      </c>
      <c r="Q1170" s="20">
        <f>IFERROR(__xludf.DUMMYFUNCTION("""COMPUTED_VALUE"""),45034.73283791667)</f>
        <v>45034.73284</v>
      </c>
      <c r="R1170" s="22" t="str">
        <f>IFERROR(__xludf.DUMMYFUNCTION("""COMPUTED_VALUE"""),"")</f>
        <v/>
      </c>
    </row>
    <row r="1171">
      <c r="A1171" s="15">
        <f>IFERROR(__xludf.DUMMYFUNCTION("""COMPUTED_VALUE"""),45034.0)</f>
        <v>45034</v>
      </c>
      <c r="B1171" s="16" t="str">
        <f>IFERROR(__xludf.DUMMYFUNCTION("""COMPUTED_VALUE"""),"Envia")</f>
        <v>Envia</v>
      </c>
      <c r="C1171" s="15" t="str">
        <f>IFERROR(__xludf.DUMMYFUNCTION("""COMPUTED_VALUE"""),"MEDELLÍN")</f>
        <v>MEDELLÍN</v>
      </c>
      <c r="D1171" s="15" t="str">
        <f>IFERROR(__xludf.DUMMYFUNCTION("""COMPUTED_VALUE"""),"BOGOTÁ")</f>
        <v>BOGOTÁ</v>
      </c>
      <c r="E1171" s="15" t="str">
        <f>IFERROR(__xludf.DUMMYFUNCTION("""COMPUTED_VALUE"""),"Diana Rodriguez")</f>
        <v>Diana Rodriguez</v>
      </c>
      <c r="F1171" s="17" t="str">
        <f>IFERROR(__xludf.DUMMYFUNCTION("""COMPUTED_VALUE"""),"carrera 36 #10a 27 el poblado Restaurante Carmen / Restaurante Carmen  / El Poblado")</f>
        <v>carrera 36 #10a 27 el poblado Restaurante Carmen / Restaurante Carmen  / El Poblado</v>
      </c>
      <c r="G1171" s="15" t="str">
        <f>IFERROR(__xludf.DUMMYFUNCTION("""COMPUTED_VALUE"""),"Diego Jaramillo")</f>
        <v>Diego Jaramillo</v>
      </c>
      <c r="H1171" s="16">
        <f>IFERROR(__xludf.DUMMYFUNCTION("""COMPUTED_VALUE"""),9838.0)</f>
        <v>9838</v>
      </c>
      <c r="I1171" s="18">
        <f>IFERROR(__xludf.DUMMYFUNCTION("""COMPUTED_VALUE"""),100.0)</f>
        <v>100</v>
      </c>
      <c r="J1171" s="18">
        <f>IFERROR(__xludf.DUMMYFUNCTION("""COMPUTED_VALUE"""),10.0)</f>
        <v>10</v>
      </c>
      <c r="K1171" s="18">
        <f>IFERROR(__xludf.DUMMYFUNCTION("""COMPUTED_VALUE"""),294.0)</f>
        <v>294</v>
      </c>
      <c r="L1171" s="17">
        <f>IFERROR(__xludf.DUMMYFUNCTION("""COMPUTED_VALUE"""),3.105375738E9)</f>
        <v>3105375738</v>
      </c>
      <c r="M1171" s="17" t="str">
        <f>IFERROR(__xludf.DUMMYFUNCTION("""COMPUTED_VALUE"""),"#REF!")</f>
        <v>#REF!</v>
      </c>
      <c r="N1171" s="17"/>
      <c r="O1171" s="19" t="str">
        <f>IFERROR(__xludf.DUMMYFUNCTION("""COMPUTED_VALUE"""),"")</f>
        <v/>
      </c>
      <c r="P1171" s="17" t="b">
        <f>IFERROR(__xludf.DUMMYFUNCTION("""COMPUTED_VALUE"""),TRUE)</f>
        <v>1</v>
      </c>
      <c r="Q1171" s="20">
        <f>IFERROR(__xludf.DUMMYFUNCTION("""COMPUTED_VALUE"""),45034.72600417824)</f>
        <v>45034.726</v>
      </c>
      <c r="R1171" s="22" t="str">
        <f>IFERROR(__xludf.DUMMYFUNCTION("""COMPUTED_VALUE"""),"")</f>
        <v/>
      </c>
    </row>
    <row r="1172">
      <c r="A1172" s="15">
        <f>IFERROR(__xludf.DUMMYFUNCTION("""COMPUTED_VALUE"""),45034.0)</f>
        <v>45034</v>
      </c>
      <c r="B1172" s="16" t="str">
        <f>IFERROR(__xludf.DUMMYFUNCTION("""COMPUTED_VALUE"""),"Envia")</f>
        <v>Envia</v>
      </c>
      <c r="C1172" s="15" t="str">
        <f>IFERROR(__xludf.DUMMYFUNCTION("""COMPUTED_VALUE"""),"MEDELLÍN")</f>
        <v>MEDELLÍN</v>
      </c>
      <c r="D1172" s="15" t="str">
        <f>IFERROR(__xludf.DUMMYFUNCTION("""COMPUTED_VALUE"""),"BOGOTÁ")</f>
        <v>BOGOTÁ</v>
      </c>
      <c r="E1172" s="15" t="str">
        <f>IFERROR(__xludf.DUMMYFUNCTION("""COMPUTED_VALUE"""),"Evamazzita")</f>
        <v>Evamazzita</v>
      </c>
      <c r="F1172" s="17" t="str">
        <f>IFERROR(__xludf.DUMMYFUNCTION("""COMPUTED_VALUE"""),"(LLAMAR PARA ENTREGAR) CALLE 67A No. 51D - 50  / APTO 302  / BARRIO SEVILLA FRENTE A CARNICERÍA JH (LLAMAR PARA ENTREGAR)")</f>
        <v>(LLAMAR PARA ENTREGAR) CALLE 67A No. 51D - 50  / APTO 302  / BARRIO SEVILLA FRENTE A CARNICERÍA JH (LLAMAR PARA ENTREGAR)</v>
      </c>
      <c r="G1172" s="15" t="str">
        <f>IFERROR(__xludf.DUMMYFUNCTION("""COMPUTED_VALUE"""),"PAOLA PEÑA")</f>
        <v>PAOLA PEÑA</v>
      </c>
      <c r="H1172" s="16">
        <f>IFERROR(__xludf.DUMMYFUNCTION("""COMPUTED_VALUE"""),9821.0)</f>
        <v>9821</v>
      </c>
      <c r="I1172" s="18">
        <f>IFERROR(__xludf.DUMMYFUNCTION("""COMPUTED_VALUE"""),3.0)</f>
        <v>3</v>
      </c>
      <c r="J1172" s="18">
        <f>IFERROR(__xludf.DUMMYFUNCTION("""COMPUTED_VALUE"""),20.0)</f>
        <v>20</v>
      </c>
      <c r="K1172" s="18">
        <f>IFERROR(__xludf.DUMMYFUNCTION("""COMPUTED_VALUE"""),15.0)</f>
        <v>15</v>
      </c>
      <c r="L1172" s="17">
        <f>IFERROR(__xludf.DUMMYFUNCTION("""COMPUTED_VALUE"""),3.116030273E9)</f>
        <v>3116030273</v>
      </c>
      <c r="M1172" s="17" t="str">
        <f>IFERROR(__xludf.DUMMYFUNCTION("""COMPUTED_VALUE"""),"#REF!")</f>
        <v>#REF!</v>
      </c>
      <c r="N1172" s="17"/>
      <c r="O1172" s="19" t="str">
        <f>IFERROR(__xludf.DUMMYFUNCTION("""COMPUTED_VALUE"""),"")</f>
        <v/>
      </c>
      <c r="P1172" s="17" t="b">
        <f>IFERROR(__xludf.DUMMYFUNCTION("""COMPUTED_VALUE"""),FALSE)</f>
        <v>0</v>
      </c>
      <c r="Q1172" s="20" t="str">
        <f>IFERROR(__xludf.DUMMYFUNCTION("""COMPUTED_VALUE"""),"")</f>
        <v/>
      </c>
      <c r="R1172" s="22" t="str">
        <f>IFERROR(__xludf.DUMMYFUNCTION("""COMPUTED_VALUE"""),"")</f>
        <v/>
      </c>
    </row>
    <row r="1173">
      <c r="A1173" s="15">
        <f>IFERROR(__xludf.DUMMYFUNCTION("""COMPUTED_VALUE"""),45034.0)</f>
        <v>45034</v>
      </c>
      <c r="B1173" s="16" t="str">
        <f>IFERROR(__xludf.DUMMYFUNCTION("""COMPUTED_VALUE"""),"Envia")</f>
        <v>Envia</v>
      </c>
      <c r="C1173" s="15" t="str">
        <f>IFERROR(__xludf.DUMMYFUNCTION("""COMPUTED_VALUE"""),"MEDELLÍN")</f>
        <v>MEDELLÍN</v>
      </c>
      <c r="D1173" s="15" t="str">
        <f>IFERROR(__xludf.DUMMYFUNCTION("""COMPUTED_VALUE"""),"BOGOTÁ")</f>
        <v>BOGOTÁ</v>
      </c>
      <c r="E1173" s="15" t="str">
        <f>IFERROR(__xludf.DUMMYFUNCTION("""COMPUTED_VALUE"""),"Evamazzita")</f>
        <v>Evamazzita</v>
      </c>
      <c r="F1173" s="17" t="str">
        <f>IFERROR(__xludf.DUMMYFUNCTION("""COMPUTED_VALUE"""),"Calle 93c #83 a 81  / N/A / Barrio: Robledo Primaveral")</f>
        <v>Calle 93c #83 a 81  / N/A / Barrio: Robledo Primaveral</v>
      </c>
      <c r="G1173" s="15" t="str">
        <f>IFERROR(__xludf.DUMMYFUNCTION("""COMPUTED_VALUE"""),"MILENA JARAMILLO ACEVEDO")</f>
        <v>MILENA JARAMILLO ACEVEDO</v>
      </c>
      <c r="H1173" s="16">
        <f>IFERROR(__xludf.DUMMYFUNCTION("""COMPUTED_VALUE"""),9822.0)</f>
        <v>9822</v>
      </c>
      <c r="I1173" s="18">
        <f>IFERROR(__xludf.DUMMYFUNCTION("""COMPUTED_VALUE"""),10.0)</f>
        <v>10</v>
      </c>
      <c r="J1173" s="18">
        <f>IFERROR(__xludf.DUMMYFUNCTION("""COMPUTED_VALUE"""),18.0)</f>
        <v>18</v>
      </c>
      <c r="K1173" s="18">
        <f>IFERROR(__xludf.DUMMYFUNCTION("""COMPUTED_VALUE"""),22.0)</f>
        <v>22</v>
      </c>
      <c r="L1173" s="17">
        <f>IFERROR(__xludf.DUMMYFUNCTION("""COMPUTED_VALUE"""),3.005579612E9)</f>
        <v>3005579612</v>
      </c>
      <c r="M1173" s="17" t="str">
        <f>IFERROR(__xludf.DUMMYFUNCTION("""COMPUTED_VALUE"""),"#REF!")</f>
        <v>#REF!</v>
      </c>
      <c r="N1173" s="17"/>
      <c r="O1173" s="19" t="str">
        <f>IFERROR(__xludf.DUMMYFUNCTION("""COMPUTED_VALUE"""),"")</f>
        <v/>
      </c>
      <c r="P1173" s="17" t="b">
        <f>IFERROR(__xludf.DUMMYFUNCTION("""COMPUTED_VALUE"""),FALSE)</f>
        <v>0</v>
      </c>
      <c r="Q1173" s="20" t="str">
        <f>IFERROR(__xludf.DUMMYFUNCTION("""COMPUTED_VALUE"""),"")</f>
        <v/>
      </c>
      <c r="R1173" s="22" t="str">
        <f>IFERROR(__xludf.DUMMYFUNCTION("""COMPUTED_VALUE"""),"")</f>
        <v/>
      </c>
    </row>
    <row r="1174">
      <c r="A1174" s="15">
        <f>IFERROR(__xludf.DUMMYFUNCTION("""COMPUTED_VALUE"""),45034.0)</f>
        <v>45034</v>
      </c>
      <c r="B1174" s="16" t="str">
        <f>IFERROR(__xludf.DUMMYFUNCTION("""COMPUTED_VALUE"""),"Envia")</f>
        <v>Envia</v>
      </c>
      <c r="C1174" s="15" t="str">
        <f>IFERROR(__xludf.DUMMYFUNCTION("""COMPUTED_VALUE"""),"MEDELLÍN")</f>
        <v>MEDELLÍN</v>
      </c>
      <c r="D1174" s="15" t="str">
        <f>IFERROR(__xludf.DUMMYFUNCTION("""COMPUTED_VALUE"""),"BOGOTÁ")</f>
        <v>BOGOTÁ</v>
      </c>
      <c r="E1174" s="15" t="str">
        <f>IFERROR(__xludf.DUMMYFUNCTION("""COMPUTED_VALUE"""),"Evamazzita")</f>
        <v>Evamazzita</v>
      </c>
      <c r="F1174" s="17" t="str">
        <f>IFERROR(__xludf.DUMMYFUNCTION("""COMPUTED_VALUE"""),"Carrera 47C N. 78C Sur 92.  / Apto 208.  Prados de Sabaneta  / SABANETA")</f>
        <v>Carrera 47C N. 78C Sur 92.  / Apto 208.  Prados de Sabaneta  / SABANETA</v>
      </c>
      <c r="G1174" s="15" t="str">
        <f>IFERROR(__xludf.DUMMYFUNCTION("""COMPUTED_VALUE"""),"PAULA OQUENDO")</f>
        <v>PAULA OQUENDO</v>
      </c>
      <c r="H1174" s="16">
        <f>IFERROR(__xludf.DUMMYFUNCTION("""COMPUTED_VALUE"""),9824.0)</f>
        <v>9824</v>
      </c>
      <c r="I1174" s="18">
        <f>IFERROR(__xludf.DUMMYFUNCTION("""COMPUTED_VALUE"""),3.0)</f>
        <v>3</v>
      </c>
      <c r="J1174" s="18">
        <f>IFERROR(__xludf.DUMMYFUNCTION("""COMPUTED_VALUE"""),15.0)</f>
        <v>15</v>
      </c>
      <c r="K1174" s="18">
        <f>IFERROR(__xludf.DUMMYFUNCTION("""COMPUTED_VALUE"""),20.0)</f>
        <v>20</v>
      </c>
      <c r="L1174" s="17">
        <f>IFERROR(__xludf.DUMMYFUNCTION("""COMPUTED_VALUE"""),3.164105195E9)</f>
        <v>3164105195</v>
      </c>
      <c r="M1174" s="17" t="str">
        <f>IFERROR(__xludf.DUMMYFUNCTION("""COMPUTED_VALUE"""),"#REF!")</f>
        <v>#REF!</v>
      </c>
      <c r="N1174" s="17"/>
      <c r="O1174" s="19" t="str">
        <f>IFERROR(__xludf.DUMMYFUNCTION("""COMPUTED_VALUE"""),"")</f>
        <v/>
      </c>
      <c r="P1174" s="17" t="b">
        <f>IFERROR(__xludf.DUMMYFUNCTION("""COMPUTED_VALUE"""),FALSE)</f>
        <v>0</v>
      </c>
      <c r="Q1174" s="20" t="str">
        <f>IFERROR(__xludf.DUMMYFUNCTION("""COMPUTED_VALUE"""),"")</f>
        <v/>
      </c>
      <c r="R1174" s="22" t="str">
        <f>IFERROR(__xludf.DUMMYFUNCTION("""COMPUTED_VALUE"""),"")</f>
        <v/>
      </c>
    </row>
    <row r="1175">
      <c r="A1175" s="15">
        <f>IFERROR(__xludf.DUMMYFUNCTION("""COMPUTED_VALUE"""),45034.0)</f>
        <v>45034</v>
      </c>
      <c r="B1175" s="16" t="str">
        <f>IFERROR(__xludf.DUMMYFUNCTION("""COMPUTED_VALUE"""),"Envia")</f>
        <v>Envia</v>
      </c>
      <c r="C1175" s="15" t="str">
        <f>IFERROR(__xludf.DUMMYFUNCTION("""COMPUTED_VALUE"""),"MEDELLÍN")</f>
        <v>MEDELLÍN</v>
      </c>
      <c r="D1175" s="15" t="str">
        <f>IFERROR(__xludf.DUMMYFUNCTION("""COMPUTED_VALUE"""),"BOGOTÁ")</f>
        <v>BOGOTÁ</v>
      </c>
      <c r="E1175" s="15" t="str">
        <f>IFERROR(__xludf.DUMMYFUNCTION("""COMPUTED_VALUE"""),"Lunchy Kids")</f>
        <v>Lunchy Kids</v>
      </c>
      <c r="F1175" s="17" t="str">
        <f>IFERROR(__xludf.DUMMYFUNCTION("""COMPUTED_VALUE"""),"Cra 47 # 27Sur - 59  / Unidad Jardines de Otraparte 2. Apto 606 / Jardines - Envigado")</f>
        <v>Cra 47 # 27Sur - 59  / Unidad Jardines de Otraparte 2. Apto 606 / Jardines - Envigado</v>
      </c>
      <c r="G1175" s="15" t="str">
        <f>IFERROR(__xludf.DUMMYFUNCTION("""COMPUTED_VALUE"""),"Natalia Goez")</f>
        <v>Natalia Goez</v>
      </c>
      <c r="H1175" s="16">
        <f>IFERROR(__xludf.DUMMYFUNCTION("""COMPUTED_VALUE"""),9814.0)</f>
        <v>9814</v>
      </c>
      <c r="I1175" s="18">
        <f>IFERROR(__xludf.DUMMYFUNCTION("""COMPUTED_VALUE"""),15.0)</f>
        <v>15</v>
      </c>
      <c r="J1175" s="18">
        <f>IFERROR(__xludf.DUMMYFUNCTION("""COMPUTED_VALUE"""),30.0)</f>
        <v>30</v>
      </c>
      <c r="K1175" s="18">
        <f>IFERROR(__xludf.DUMMYFUNCTION("""COMPUTED_VALUE"""),5.0)</f>
        <v>5</v>
      </c>
      <c r="L1175" s="17">
        <f>IFERROR(__xludf.DUMMYFUNCTION("""COMPUTED_VALUE"""),3.004638651E9)</f>
        <v>3004638651</v>
      </c>
      <c r="M1175" s="17" t="str">
        <f>IFERROR(__xludf.DUMMYFUNCTION("""COMPUTED_VALUE"""),"#REF!")</f>
        <v>#REF!</v>
      </c>
      <c r="N1175" s="17"/>
      <c r="O1175" s="19" t="str">
        <f>IFERROR(__xludf.DUMMYFUNCTION("""COMPUTED_VALUE"""),"")</f>
        <v/>
      </c>
      <c r="P1175" s="17" t="b">
        <f>IFERROR(__xludf.DUMMYFUNCTION("""COMPUTED_VALUE"""),FALSE)</f>
        <v>0</v>
      </c>
      <c r="Q1175" s="20" t="str">
        <f>IFERROR(__xludf.DUMMYFUNCTION("""COMPUTED_VALUE"""),"")</f>
        <v/>
      </c>
      <c r="R1175" s="22" t="str">
        <f>IFERROR(__xludf.DUMMYFUNCTION("""COMPUTED_VALUE"""),"")</f>
        <v/>
      </c>
    </row>
    <row r="1176">
      <c r="A1176" s="15">
        <f>IFERROR(__xludf.DUMMYFUNCTION("""COMPUTED_VALUE"""),45034.0)</f>
        <v>45034</v>
      </c>
      <c r="B1176" s="16" t="str">
        <f>IFERROR(__xludf.DUMMYFUNCTION("""COMPUTED_VALUE"""),"Envia")</f>
        <v>Envia</v>
      </c>
      <c r="C1176" s="15" t="str">
        <f>IFERROR(__xludf.DUMMYFUNCTION("""COMPUTED_VALUE"""),"MEDELLÍN")</f>
        <v>MEDELLÍN</v>
      </c>
      <c r="D1176" s="15" t="str">
        <f>IFERROR(__xludf.DUMMYFUNCTION("""COMPUTED_VALUE"""),"BOGOTÁ")</f>
        <v>BOGOTÁ</v>
      </c>
      <c r="E1176" s="15" t="str">
        <f>IFERROR(__xludf.DUMMYFUNCTION("""COMPUTED_VALUE"""),"Lunchy Kids")</f>
        <v>Lunchy Kids</v>
      </c>
      <c r="F1176" s="17" t="str">
        <f>IFERROR(__xludf.DUMMYFUNCTION("""COMPUTED_VALUE"""),"Cra 55 #46-65 / Centro Comercial El Arca.Piso 13.Oficina 1304. / Centro")</f>
        <v>Cra 55 #46-65 / Centro Comercial El Arca.Piso 13.Oficina 1304. / Centro</v>
      </c>
      <c r="G1176" s="15" t="str">
        <f>IFERROR(__xludf.DUMMYFUNCTION("""COMPUTED_VALUE"""),"Leidy Giraldo")</f>
        <v>Leidy Giraldo</v>
      </c>
      <c r="H1176" s="16">
        <f>IFERROR(__xludf.DUMMYFUNCTION("""COMPUTED_VALUE"""),9816.0)</f>
        <v>9816</v>
      </c>
      <c r="I1176" s="18">
        <f>IFERROR(__xludf.DUMMYFUNCTION("""COMPUTED_VALUE"""),17.0)</f>
        <v>17</v>
      </c>
      <c r="J1176" s="18">
        <f>IFERROR(__xludf.DUMMYFUNCTION("""COMPUTED_VALUE"""),28.0)</f>
        <v>28</v>
      </c>
      <c r="K1176" s="18">
        <f>IFERROR(__xludf.DUMMYFUNCTION("""COMPUTED_VALUE"""),7.0)</f>
        <v>7</v>
      </c>
      <c r="L1176" s="17">
        <f>IFERROR(__xludf.DUMMYFUNCTION("""COMPUTED_VALUE"""),3.188895218E9)</f>
        <v>3188895218</v>
      </c>
      <c r="M1176" s="17" t="str">
        <f>IFERROR(__xludf.DUMMYFUNCTION("""COMPUTED_VALUE"""),"#REF!")</f>
        <v>#REF!</v>
      </c>
      <c r="N1176" s="17"/>
      <c r="O1176" s="19" t="str">
        <f>IFERROR(__xludf.DUMMYFUNCTION("""COMPUTED_VALUE"""),"")</f>
        <v/>
      </c>
      <c r="P1176" s="17" t="b">
        <f>IFERROR(__xludf.DUMMYFUNCTION("""COMPUTED_VALUE"""),TRUE)</f>
        <v>1</v>
      </c>
      <c r="Q1176" s="20">
        <f>IFERROR(__xludf.DUMMYFUNCTION("""COMPUTED_VALUE"""),45034.66723741898)</f>
        <v>45034.66724</v>
      </c>
      <c r="R1176" s="22" t="str">
        <f>IFERROR(__xludf.DUMMYFUNCTION("""COMPUTED_VALUE"""),"")</f>
        <v/>
      </c>
    </row>
    <row r="1177">
      <c r="A1177" s="15">
        <f>IFERROR(__xludf.DUMMYFUNCTION("""COMPUTED_VALUE"""),45034.0)</f>
        <v>45034</v>
      </c>
      <c r="B1177" s="16" t="str">
        <f>IFERROR(__xludf.DUMMYFUNCTION("""COMPUTED_VALUE"""),"Envia")</f>
        <v>Envia</v>
      </c>
      <c r="C1177" s="15" t="str">
        <f>IFERROR(__xludf.DUMMYFUNCTION("""COMPUTED_VALUE"""),"MEDELLÍN")</f>
        <v>MEDELLÍN</v>
      </c>
      <c r="D1177" s="15" t="str">
        <f>IFERROR(__xludf.DUMMYFUNCTION("""COMPUTED_VALUE"""),"BOGOTÁ")</f>
        <v>BOGOTÁ</v>
      </c>
      <c r="E1177" s="15" t="str">
        <f>IFERROR(__xludf.DUMMYFUNCTION("""COMPUTED_VALUE"""),"Rambla")</f>
        <v>Rambla</v>
      </c>
      <c r="F1177" s="17" t="str">
        <f>IFERROR(__xludf.DUMMYFUNCTION("""COMPUTED_VALUE"""),"CARRERA 43A N 32B SUR 38 / Diagonal mundo huevo rejas grises / san marcos")</f>
        <v>CARRERA 43A N 32B SUR 38 / Diagonal mundo huevo rejas grises / san marcos</v>
      </c>
      <c r="G1177" s="15" t="str">
        <f>IFERROR(__xludf.DUMMYFUNCTION("""COMPUTED_VALUE"""),"CARNES LA RAMBLA")</f>
        <v>CARNES LA RAMBLA</v>
      </c>
      <c r="H1177" s="16">
        <f>IFERROR(__xludf.DUMMYFUNCTION("""COMPUTED_VALUE"""),9871.0)</f>
        <v>9871</v>
      </c>
      <c r="I1177" s="18">
        <f>IFERROR(__xludf.DUMMYFUNCTION("""COMPUTED_VALUE"""),10.0)</f>
        <v>10</v>
      </c>
      <c r="J1177" s="18">
        <f>IFERROR(__xludf.DUMMYFUNCTION("""COMPUTED_VALUE"""),10.0)</f>
        <v>10</v>
      </c>
      <c r="K1177" s="18">
        <f>IFERROR(__xludf.DUMMYFUNCTION("""COMPUTED_VALUE"""),10.0)</f>
        <v>10</v>
      </c>
      <c r="L1177" s="17">
        <f>IFERROR(__xludf.DUMMYFUNCTION("""COMPUTED_VALUE"""),3.005006258E9)</f>
        <v>3005006258</v>
      </c>
      <c r="M1177" s="17" t="str">
        <f>IFERROR(__xludf.DUMMYFUNCTION("""COMPUTED_VALUE"""),"#REF!")</f>
        <v>#REF!</v>
      </c>
      <c r="N1177" s="17"/>
      <c r="O1177" s="19" t="str">
        <f>IFERROR(__xludf.DUMMYFUNCTION("""COMPUTED_VALUE"""),"")</f>
        <v/>
      </c>
      <c r="P1177" s="17" t="b">
        <f>IFERROR(__xludf.DUMMYFUNCTION("""COMPUTED_VALUE"""),FALSE)</f>
        <v>0</v>
      </c>
      <c r="Q1177" s="20" t="str">
        <f>IFERROR(__xludf.DUMMYFUNCTION("""COMPUTED_VALUE"""),"")</f>
        <v/>
      </c>
      <c r="R1177" s="22" t="str">
        <f>IFERROR(__xludf.DUMMYFUNCTION("""COMPUTED_VALUE"""),"")</f>
        <v/>
      </c>
    </row>
    <row r="1178">
      <c r="A1178" s="15">
        <f>IFERROR(__xludf.DUMMYFUNCTION("""COMPUTED_VALUE"""),45034.0)</f>
        <v>45034</v>
      </c>
      <c r="B1178" s="16" t="str">
        <f>IFERROR(__xludf.DUMMYFUNCTION("""COMPUTED_VALUE"""),"Envia")</f>
        <v>Envia</v>
      </c>
      <c r="C1178" s="15" t="str">
        <f>IFERROR(__xludf.DUMMYFUNCTION("""COMPUTED_VALUE"""),"PEREIRA")</f>
        <v>PEREIRA</v>
      </c>
      <c r="D1178" s="15" t="str">
        <f>IFERROR(__xludf.DUMMYFUNCTION("""COMPUTED_VALUE"""),"BOGOTÁ")</f>
        <v>BOGOTÁ</v>
      </c>
      <c r="E1178" s="15" t="str">
        <f>IFERROR(__xludf.DUMMYFUNCTION("""COMPUTED_VALUE"""),"Asociacion Agropecuaria Juana Maria")</f>
        <v>Asociacion Agropecuaria Juana Maria</v>
      </c>
      <c r="F1178" s="17" t="str">
        <f>IFERROR(__xludf.DUMMYFUNCTION("""COMPUTED_VALUE"""),"Calle 153 # 23 -41 manzana 1 casa 9 sol de Galicia")</f>
        <v>Calle 153 # 23 -41 manzana 1 casa 9 sol de Galicia</v>
      </c>
      <c r="G1178" s="15" t="str">
        <f>IFERROR(__xludf.DUMMYFUNCTION("""COMPUTED_VALUE"""),"Paula Andrea Forero")</f>
        <v>Paula Andrea Forero</v>
      </c>
      <c r="H1178" s="16">
        <f>IFERROR(__xludf.DUMMYFUNCTION("""COMPUTED_VALUE"""),9734.0)</f>
        <v>9734</v>
      </c>
      <c r="I1178" s="18">
        <f>IFERROR(__xludf.DUMMYFUNCTION("""COMPUTED_VALUE"""),12.0)</f>
        <v>12</v>
      </c>
      <c r="J1178" s="18">
        <f>IFERROR(__xludf.DUMMYFUNCTION("""COMPUTED_VALUE"""),37.0)</f>
        <v>37</v>
      </c>
      <c r="K1178" s="18">
        <f>IFERROR(__xludf.DUMMYFUNCTION("""COMPUTED_VALUE"""),20.0)</f>
        <v>20</v>
      </c>
      <c r="L1178" s="17">
        <f>IFERROR(__xludf.DUMMYFUNCTION("""COMPUTED_VALUE"""),3.115760231E9)</f>
        <v>3115760231</v>
      </c>
      <c r="M1178" s="17" t="str">
        <f>IFERROR(__xludf.DUMMYFUNCTION("""COMPUTED_VALUE"""),"#REF!")</f>
        <v>#REF!</v>
      </c>
      <c r="N1178" s="17"/>
      <c r="O1178" s="19" t="str">
        <f>IFERROR(__xludf.DUMMYFUNCTION("""COMPUTED_VALUE"""),"")</f>
        <v/>
      </c>
      <c r="P1178" s="17" t="b">
        <f>IFERROR(__xludf.DUMMYFUNCTION("""COMPUTED_VALUE"""),TRUE)</f>
        <v>1</v>
      </c>
      <c r="Q1178" s="20">
        <f>IFERROR(__xludf.DUMMYFUNCTION("""COMPUTED_VALUE"""),45034.72782453704)</f>
        <v>45034.72782</v>
      </c>
      <c r="R1178" s="22" t="str">
        <f>IFERROR(__xludf.DUMMYFUNCTION("""COMPUTED_VALUE"""),"")</f>
        <v/>
      </c>
    </row>
    <row r="1179">
      <c r="A1179" s="17" t="str">
        <f>IFERROR(__xludf.DUMMYFUNCTION("""COMPUTED_VALUE"""),"")</f>
        <v/>
      </c>
      <c r="B1179" s="17" t="str">
        <f>IFERROR(__xludf.DUMMYFUNCTION("""COMPUTED_VALUE"""),"")</f>
        <v/>
      </c>
      <c r="C1179" s="17" t="str">
        <f>IFERROR(__xludf.DUMMYFUNCTION("""COMPUTED_VALUE"""),"")</f>
        <v/>
      </c>
      <c r="D1179" s="17" t="str">
        <f>IFERROR(__xludf.DUMMYFUNCTION("""COMPUTED_VALUE"""),"")</f>
        <v/>
      </c>
      <c r="E1179" s="17" t="str">
        <f>IFERROR(__xludf.DUMMYFUNCTION("""COMPUTED_VALUE"""),"")</f>
        <v/>
      </c>
      <c r="F1179" s="17" t="str">
        <f>IFERROR(__xludf.DUMMYFUNCTION("""COMPUTED_VALUE"""),"")</f>
        <v/>
      </c>
      <c r="G1179" s="17" t="str">
        <f>IFERROR(__xludf.DUMMYFUNCTION("""COMPUTED_VALUE"""),"")</f>
        <v/>
      </c>
      <c r="H1179" s="17" t="str">
        <f>IFERROR(__xludf.DUMMYFUNCTION("""COMPUTED_VALUE"""),"")</f>
        <v/>
      </c>
      <c r="I1179" s="17" t="str">
        <f>IFERROR(__xludf.DUMMYFUNCTION("""COMPUTED_VALUE"""),"")</f>
        <v/>
      </c>
      <c r="J1179" s="17" t="str">
        <f>IFERROR(__xludf.DUMMYFUNCTION("""COMPUTED_VALUE"""),"")</f>
        <v/>
      </c>
      <c r="K1179" s="17" t="str">
        <f>IFERROR(__xludf.DUMMYFUNCTION("""COMPUTED_VALUE"""),"")</f>
        <v/>
      </c>
      <c r="L1179" s="17" t="str">
        <f>IFERROR(__xludf.DUMMYFUNCTION("""COMPUTED_VALUE"""),"")</f>
        <v/>
      </c>
      <c r="M1179" s="17" t="str">
        <f>IFERROR(__xludf.DUMMYFUNCTION("""COMPUTED_VALUE"""),"")</f>
        <v/>
      </c>
      <c r="N1179" s="17" t="str">
        <f>IFERROR(__xludf.DUMMYFUNCTION("""COMPUTED_VALUE"""),"")</f>
        <v/>
      </c>
      <c r="O1179" s="17" t="str">
        <f>IFERROR(__xludf.DUMMYFUNCTION("""COMPUTED_VALUE"""),"")</f>
        <v/>
      </c>
      <c r="P1179" s="17" t="str">
        <f>IFERROR(__xludf.DUMMYFUNCTION("""COMPUTED_VALUE"""),"")</f>
        <v/>
      </c>
      <c r="Q1179" s="17" t="str">
        <f>IFERROR(__xludf.DUMMYFUNCTION("""COMPUTED_VALUE"""),"")</f>
        <v/>
      </c>
      <c r="R1179" s="17" t="str">
        <f>IFERROR(__xludf.DUMMYFUNCTION("""COMPUTED_VALUE"""),"")</f>
        <v/>
      </c>
    </row>
    <row r="1180">
      <c r="A1180" s="15">
        <f>IFERROR(__xludf.DUMMYFUNCTION("""COMPUTED_VALUE"""),45034.0)</f>
        <v>45034</v>
      </c>
      <c r="B1180" s="16" t="str">
        <f>IFERROR(__xludf.DUMMYFUNCTION("""COMPUTED_VALUE"""),"Jesus Manuel Herrera Medina ")</f>
        <v>Jesus Manuel Herrera Medina </v>
      </c>
      <c r="C1180" s="15" t="str">
        <f>IFERROR(__xludf.DUMMYFUNCTION("""COMPUTED_VALUE"""),"BUCARAMANGA")</f>
        <v>BUCARAMANGA</v>
      </c>
      <c r="D1180" s="15" t="str">
        <f>IFERROR(__xludf.DUMMYFUNCTION("""COMPUTED_VALUE"""),"BOGOTÁ")</f>
        <v>BOGOTÁ</v>
      </c>
      <c r="E1180" s="15" t="str">
        <f>IFERROR(__xludf.DUMMYFUNCTION("""COMPUTED_VALUE"""),"Evamazzita")</f>
        <v>Evamazzita</v>
      </c>
      <c r="F1180" s="17" t="str">
        <f>IFERROR(__xludf.DUMMYFUNCTION("""COMPUTED_VALUE"""),"CALLE 35 No. 23 - 51  / APTO 904  / EDIFICIO DORAL")</f>
        <v>CALLE 35 No. 23 - 51  / APTO 904  / EDIFICIO DORAL</v>
      </c>
      <c r="G1180" s="15" t="str">
        <f>IFERROR(__xludf.DUMMYFUNCTION("""COMPUTED_VALUE"""),"ROCIO SOTAQUIRA")</f>
        <v>ROCIO SOTAQUIRA</v>
      </c>
      <c r="H1180" s="16">
        <f>IFERROR(__xludf.DUMMYFUNCTION("""COMPUTED_VALUE"""),9807.0)</f>
        <v>9807</v>
      </c>
      <c r="I1180" s="18">
        <f>IFERROR(__xludf.DUMMYFUNCTION("""COMPUTED_VALUE"""),3.0)</f>
        <v>3</v>
      </c>
      <c r="J1180" s="18">
        <f>IFERROR(__xludf.DUMMYFUNCTION("""COMPUTED_VALUE"""),20.0)</f>
        <v>20</v>
      </c>
      <c r="K1180" s="18">
        <f>IFERROR(__xludf.DUMMYFUNCTION("""COMPUTED_VALUE"""),15.0)</f>
        <v>15</v>
      </c>
      <c r="L1180" s="17">
        <f>IFERROR(__xludf.DUMMYFUNCTION("""COMPUTED_VALUE"""),3.188908333E9)</f>
        <v>3188908333</v>
      </c>
      <c r="M1180" s="17" t="str">
        <f>IFERROR(__xludf.DUMMYFUNCTION("""COMPUTED_VALUE"""),"#REF!")</f>
        <v>#REF!</v>
      </c>
      <c r="N1180" s="17"/>
      <c r="O1180" s="19" t="str">
        <f>IFERROR(__xludf.DUMMYFUNCTION("""COMPUTED_VALUE"""),"")</f>
        <v/>
      </c>
      <c r="P1180" s="17" t="b">
        <f>IFERROR(__xludf.DUMMYFUNCTION("""COMPUTED_VALUE"""),FALSE)</f>
        <v>0</v>
      </c>
      <c r="Q1180" s="20" t="str">
        <f>IFERROR(__xludf.DUMMYFUNCTION("""COMPUTED_VALUE"""),"")</f>
        <v/>
      </c>
      <c r="R1180" s="22" t="str">
        <f>IFERROR(__xludf.DUMMYFUNCTION("""COMPUTED_VALUE"""),"")</f>
        <v/>
      </c>
    </row>
    <row r="1181">
      <c r="A1181" s="15">
        <f>IFERROR(__xludf.DUMMYFUNCTION("""COMPUTED_VALUE"""),45034.0)</f>
        <v>45034</v>
      </c>
      <c r="B1181" s="16" t="str">
        <f>IFERROR(__xludf.DUMMYFUNCTION("""COMPUTED_VALUE"""),"Jesus Manuel Herrera Medina ")</f>
        <v>Jesus Manuel Herrera Medina </v>
      </c>
      <c r="C1181" s="15" t="str">
        <f>IFERROR(__xludf.DUMMYFUNCTION("""COMPUTED_VALUE"""),"BUCARAMANGA")</f>
        <v>BUCARAMANGA</v>
      </c>
      <c r="D1181" s="15" t="str">
        <f>IFERROR(__xludf.DUMMYFUNCTION("""COMPUTED_VALUE"""),"BOGOTÁ")</f>
        <v>BOGOTÁ</v>
      </c>
      <c r="E1181" s="15" t="str">
        <f>IFERROR(__xludf.DUMMYFUNCTION("""COMPUTED_VALUE"""),"Evamazzita")</f>
        <v>Evamazzita</v>
      </c>
      <c r="F1181" s="17" t="str">
        <f>IFERROR(__xludf.DUMMYFUNCTION("""COMPUTED_VALUE"""),"Cr 2A # 55A - 15  / apto 301   / Centauros")</f>
        <v>Cr 2A # 55A - 15  / apto 301   / Centauros</v>
      </c>
      <c r="G1181" s="15" t="str">
        <f>IFERROR(__xludf.DUMMYFUNCTION("""COMPUTED_VALUE"""),"ELIANA BELLO")</f>
        <v>ELIANA BELLO</v>
      </c>
      <c r="H1181" s="16">
        <f>IFERROR(__xludf.DUMMYFUNCTION("""COMPUTED_VALUE"""),9808.0)</f>
        <v>9808</v>
      </c>
      <c r="I1181" s="18">
        <f>IFERROR(__xludf.DUMMYFUNCTION("""COMPUTED_VALUE"""),3.0)</f>
        <v>3</v>
      </c>
      <c r="J1181" s="18">
        <f>IFERROR(__xludf.DUMMYFUNCTION("""COMPUTED_VALUE"""),20.0)</f>
        <v>20</v>
      </c>
      <c r="K1181" s="18">
        <f>IFERROR(__xludf.DUMMYFUNCTION("""COMPUTED_VALUE"""),15.0)</f>
        <v>15</v>
      </c>
      <c r="L1181" s="17">
        <f>IFERROR(__xludf.DUMMYFUNCTION("""COMPUTED_VALUE"""),3.228462326E9)</f>
        <v>3228462326</v>
      </c>
      <c r="M1181" s="17" t="str">
        <f>IFERROR(__xludf.DUMMYFUNCTION("""COMPUTED_VALUE"""),"#REF!")</f>
        <v>#REF!</v>
      </c>
      <c r="N1181" s="17"/>
      <c r="O1181" s="19" t="str">
        <f>IFERROR(__xludf.DUMMYFUNCTION("""COMPUTED_VALUE"""),"")</f>
        <v/>
      </c>
      <c r="P1181" s="17" t="b">
        <f>IFERROR(__xludf.DUMMYFUNCTION("""COMPUTED_VALUE"""),TRUE)</f>
        <v>1</v>
      </c>
      <c r="Q1181" s="20">
        <f>IFERROR(__xludf.DUMMYFUNCTION("""COMPUTED_VALUE"""),45034.62437539352)</f>
        <v>45034.62438</v>
      </c>
      <c r="R1181" s="22" t="str">
        <f>IFERROR(__xludf.DUMMYFUNCTION("""COMPUTED_VALUE"""),"")</f>
        <v/>
      </c>
    </row>
    <row r="1182">
      <c r="A1182" s="15">
        <f>IFERROR(__xludf.DUMMYFUNCTION("""COMPUTED_VALUE"""),45034.0)</f>
        <v>45034</v>
      </c>
      <c r="B1182" s="16" t="str">
        <f>IFERROR(__xludf.DUMMYFUNCTION("""COMPUTED_VALUE"""),"Jesus Manuel Herrera Medina ")</f>
        <v>Jesus Manuel Herrera Medina </v>
      </c>
      <c r="C1182" s="15" t="str">
        <f>IFERROR(__xludf.DUMMYFUNCTION("""COMPUTED_VALUE"""),"BUCARAMANGA")</f>
        <v>BUCARAMANGA</v>
      </c>
      <c r="D1182" s="15" t="str">
        <f>IFERROR(__xludf.DUMMYFUNCTION("""COMPUTED_VALUE"""),"BOGOTÁ")</f>
        <v>BOGOTÁ</v>
      </c>
      <c r="E1182" s="15" t="str">
        <f>IFERROR(__xludf.DUMMYFUNCTION("""COMPUTED_VALUE"""),"Helados Socos")</f>
        <v>Helados Socos</v>
      </c>
      <c r="F1182" s="17" t="str">
        <f>IFERROR(__xludf.DUMMYFUNCTION("""COMPUTED_VALUE"""),"Calle 55 # 29 - 45 / CASA / BUCARAMANGA SANTANDER")</f>
        <v>Calle 55 # 29 - 45 / CASA / BUCARAMANGA SANTANDER</v>
      </c>
      <c r="G1182" s="15" t="str">
        <f>IFERROR(__xludf.DUMMYFUNCTION("""COMPUTED_VALUE"""),"Mariela Guarin")</f>
        <v>Mariela Guarin</v>
      </c>
      <c r="H1182" s="16">
        <f>IFERROR(__xludf.DUMMYFUNCTION("""COMPUTED_VALUE"""),9744.0)</f>
        <v>9744</v>
      </c>
      <c r="I1182" s="18">
        <f>IFERROR(__xludf.DUMMYFUNCTION("""COMPUTED_VALUE"""),10.0)</f>
        <v>10</v>
      </c>
      <c r="J1182" s="18">
        <f>IFERROR(__xludf.DUMMYFUNCTION("""COMPUTED_VALUE"""),20.0)</f>
        <v>20</v>
      </c>
      <c r="K1182" s="18">
        <f>IFERROR(__xludf.DUMMYFUNCTION("""COMPUTED_VALUE"""),15.0)</f>
        <v>15</v>
      </c>
      <c r="L1182" s="17">
        <f>IFERROR(__xludf.DUMMYFUNCTION("""COMPUTED_VALUE"""),3.158524692E9)</f>
        <v>3158524692</v>
      </c>
      <c r="M1182" s="17" t="str">
        <f>IFERROR(__xludf.DUMMYFUNCTION("""COMPUTED_VALUE"""),"#REF!")</f>
        <v>#REF!</v>
      </c>
      <c r="N1182" s="17"/>
      <c r="O1182" s="19" t="str">
        <f>IFERROR(__xludf.DUMMYFUNCTION("""COMPUTED_VALUE"""),"")</f>
        <v/>
      </c>
      <c r="P1182" s="17" t="b">
        <f>IFERROR(__xludf.DUMMYFUNCTION("""COMPUTED_VALUE"""),FALSE)</f>
        <v>0</v>
      </c>
      <c r="Q1182" s="20" t="str">
        <f>IFERROR(__xludf.DUMMYFUNCTION("""COMPUTED_VALUE"""),"")</f>
        <v/>
      </c>
      <c r="R1182" s="22" t="str">
        <f>IFERROR(__xludf.DUMMYFUNCTION("""COMPUTED_VALUE"""),"")</f>
        <v/>
      </c>
    </row>
    <row r="1183">
      <c r="A1183" s="15">
        <f>IFERROR(__xludf.DUMMYFUNCTION("""COMPUTED_VALUE"""),45034.0)</f>
        <v>45034</v>
      </c>
      <c r="B1183" s="16" t="str">
        <f>IFERROR(__xludf.DUMMYFUNCTION("""COMPUTED_VALUE"""),"Jesus Manuel Herrera Medina ")</f>
        <v>Jesus Manuel Herrera Medina </v>
      </c>
      <c r="C1183" s="15" t="str">
        <f>IFERROR(__xludf.DUMMYFUNCTION("""COMPUTED_VALUE"""),"BUCARAMANGA")</f>
        <v>BUCARAMANGA</v>
      </c>
      <c r="D1183" s="15" t="str">
        <f>IFERROR(__xludf.DUMMYFUNCTION("""COMPUTED_VALUE"""),"BOGOTÁ")</f>
        <v>BOGOTÁ</v>
      </c>
      <c r="E1183" s="15" t="str">
        <f>IFERROR(__xludf.DUMMYFUNCTION("""COMPUTED_VALUE"""),"Lunchy Kids")</f>
        <v>Lunchy Kids</v>
      </c>
      <c r="F1183" s="17" t="str">
        <f>IFERROR(__xludf.DUMMYFUNCTION("""COMPUTED_VALUE"""),"Calle 39 # 24-43  / Edificio Torre porto. Apto 906  / Bucaramanga")</f>
        <v>Calle 39 # 24-43  / Edificio Torre porto. Apto 906  / Bucaramanga</v>
      </c>
      <c r="G1183" s="15" t="str">
        <f>IFERROR(__xludf.DUMMYFUNCTION("""COMPUTED_VALUE"""),"Viviana Herrera")</f>
        <v>Viviana Herrera</v>
      </c>
      <c r="H1183" s="16">
        <f>IFERROR(__xludf.DUMMYFUNCTION("""COMPUTED_VALUE"""),9811.0)</f>
        <v>9811</v>
      </c>
      <c r="I1183" s="18">
        <f>IFERROR(__xludf.DUMMYFUNCTION("""COMPUTED_VALUE"""),15.0)</f>
        <v>15</v>
      </c>
      <c r="J1183" s="18">
        <f>IFERROR(__xludf.DUMMYFUNCTION("""COMPUTED_VALUE"""),30.0)</f>
        <v>30</v>
      </c>
      <c r="K1183" s="18">
        <f>IFERROR(__xludf.DUMMYFUNCTION("""COMPUTED_VALUE"""),7.0)</f>
        <v>7</v>
      </c>
      <c r="L1183" s="17">
        <f>IFERROR(__xludf.DUMMYFUNCTION("""COMPUTED_VALUE"""),3.178150144E9)</f>
        <v>3178150144</v>
      </c>
      <c r="M1183" s="17" t="str">
        <f>IFERROR(__xludf.DUMMYFUNCTION("""COMPUTED_VALUE"""),"#REF!")</f>
        <v>#REF!</v>
      </c>
      <c r="N1183" s="17"/>
      <c r="O1183" s="19" t="str">
        <f>IFERROR(__xludf.DUMMYFUNCTION("""COMPUTED_VALUE"""),"")</f>
        <v/>
      </c>
      <c r="P1183" s="17" t="b">
        <f>IFERROR(__xludf.DUMMYFUNCTION("""COMPUTED_VALUE"""),FALSE)</f>
        <v>0</v>
      </c>
      <c r="Q1183" s="20" t="str">
        <f>IFERROR(__xludf.DUMMYFUNCTION("""COMPUTED_VALUE"""),"")</f>
        <v/>
      </c>
      <c r="R1183" s="22" t="str">
        <f>IFERROR(__xludf.DUMMYFUNCTION("""COMPUTED_VALUE"""),"")</f>
        <v/>
      </c>
    </row>
    <row r="1184">
      <c r="A1184" s="15">
        <f>IFERROR(__xludf.DUMMYFUNCTION("""COMPUTED_VALUE"""),45034.0)</f>
        <v>45034</v>
      </c>
      <c r="B1184" s="16" t="str">
        <f>IFERROR(__xludf.DUMMYFUNCTION("""COMPUTED_VALUE"""),"Jesus Manuel Herrera Medina ")</f>
        <v>Jesus Manuel Herrera Medina </v>
      </c>
      <c r="C1184" s="15" t="str">
        <f>IFERROR(__xludf.DUMMYFUNCTION("""COMPUTED_VALUE"""),"BUCARAMANGA")</f>
        <v>BUCARAMANGA</v>
      </c>
      <c r="D1184" s="15" t="str">
        <f>IFERROR(__xludf.DUMMYFUNCTION("""COMPUTED_VALUE"""),"BOGOTÁ")</f>
        <v>BOGOTÁ</v>
      </c>
      <c r="E1184" s="15" t="str">
        <f>IFERROR(__xludf.DUMMYFUNCTION("""COMPUTED_VALUE"""),"Lunchy Kids")</f>
        <v>Lunchy Kids</v>
      </c>
      <c r="F1184" s="17" t="str">
        <f>IFERROR(__xludf.DUMMYFUNCTION("""COMPUTED_VALUE"""),"Cra 32 # 110-40  / Conjunto Palmas de la Frontera. Torre 2. Apto 704  / Bucaramanga")</f>
        <v>Cra 32 # 110-40  / Conjunto Palmas de la Frontera. Torre 2. Apto 704  / Bucaramanga</v>
      </c>
      <c r="G1184" s="15" t="str">
        <f>IFERROR(__xludf.DUMMYFUNCTION("""COMPUTED_VALUE"""),"Zabdy Suarez Bermudez")</f>
        <v>Zabdy Suarez Bermudez</v>
      </c>
      <c r="H1184" s="16">
        <f>IFERROR(__xludf.DUMMYFUNCTION("""COMPUTED_VALUE"""),9813.0)</f>
        <v>9813</v>
      </c>
      <c r="I1184" s="18">
        <f>IFERROR(__xludf.DUMMYFUNCTION("""COMPUTED_VALUE"""),19.0)</f>
        <v>19</v>
      </c>
      <c r="J1184" s="18">
        <f>IFERROR(__xludf.DUMMYFUNCTION("""COMPUTED_VALUE"""),7.0)</f>
        <v>7</v>
      </c>
      <c r="K1184" s="18">
        <f>IFERROR(__xludf.DUMMYFUNCTION("""COMPUTED_VALUE"""),30.0)</f>
        <v>30</v>
      </c>
      <c r="L1184" s="17">
        <f>IFERROR(__xludf.DUMMYFUNCTION("""COMPUTED_VALUE"""),3.187591046E9)</f>
        <v>3187591046</v>
      </c>
      <c r="M1184" s="17" t="str">
        <f>IFERROR(__xludf.DUMMYFUNCTION("""COMPUTED_VALUE"""),"#REF!")</f>
        <v>#REF!</v>
      </c>
      <c r="N1184" s="17"/>
      <c r="O1184" s="19" t="str">
        <f>IFERROR(__xludf.DUMMYFUNCTION("""COMPUTED_VALUE"""),"")</f>
        <v/>
      </c>
      <c r="P1184" s="17" t="b">
        <f>IFERROR(__xludf.DUMMYFUNCTION("""COMPUTED_VALUE"""),TRUE)</f>
        <v>1</v>
      </c>
      <c r="Q1184" s="20">
        <f>IFERROR(__xludf.DUMMYFUNCTION("""COMPUTED_VALUE"""),45034.62418480324)</f>
        <v>45034.62418</v>
      </c>
      <c r="R1184" s="22" t="str">
        <f>IFERROR(__xludf.DUMMYFUNCTION("""COMPUTED_VALUE"""),"")</f>
        <v/>
      </c>
    </row>
    <row r="1185">
      <c r="A1185" s="15">
        <f>IFERROR(__xludf.DUMMYFUNCTION("""COMPUTED_VALUE"""),45034.0)</f>
        <v>45034</v>
      </c>
      <c r="B1185" s="16" t="str">
        <f>IFERROR(__xludf.DUMMYFUNCTION("""COMPUTED_VALUE"""),"Jesus Manuel Herrera Medina ")</f>
        <v>Jesus Manuel Herrera Medina </v>
      </c>
      <c r="C1185" s="15" t="str">
        <f>IFERROR(__xludf.DUMMYFUNCTION("""COMPUTED_VALUE"""),"BUCARAMANGA")</f>
        <v>BUCARAMANGA</v>
      </c>
      <c r="D1185" s="15" t="str">
        <f>IFERROR(__xludf.DUMMYFUNCTION("""COMPUTED_VALUE"""),"BOGOTÁ")</f>
        <v>BOGOTÁ</v>
      </c>
      <c r="E1185" s="15" t="str">
        <f>IFERROR(__xludf.DUMMYFUNCTION("""COMPUTED_VALUE"""),"Pan de Waffle")</f>
        <v>Pan de Waffle</v>
      </c>
      <c r="F1185" s="17" t="str">
        <f>IFERROR(__xludf.DUMMYFUNCTION("""COMPUTED_VALUE"""),"Carrera 35a # 54 - 113 / Carrera 35a # 54 - 113 / Carrera 35a # 54 - 113")</f>
        <v>Carrera 35a # 54 - 113 / Carrera 35a # 54 - 113 / Carrera 35a # 54 - 113</v>
      </c>
      <c r="G1185" s="15" t="str">
        <f>IFERROR(__xludf.DUMMYFUNCTION("""COMPUTED_VALUE"""),"FOODOLOGY")</f>
        <v>FOODOLOGY</v>
      </c>
      <c r="H1185" s="16">
        <f>IFERROR(__xludf.DUMMYFUNCTION("""COMPUTED_VALUE"""),9874.0)</f>
        <v>9874</v>
      </c>
      <c r="I1185" s="18">
        <f>IFERROR(__xludf.DUMMYFUNCTION("""COMPUTED_VALUE"""),30.0)</f>
        <v>30</v>
      </c>
      <c r="J1185" s="18">
        <f>IFERROR(__xludf.DUMMYFUNCTION("""COMPUTED_VALUE"""),40.0)</f>
        <v>40</v>
      </c>
      <c r="K1185" s="18">
        <f>IFERROR(__xludf.DUMMYFUNCTION("""COMPUTED_VALUE"""),30.0)</f>
        <v>30</v>
      </c>
      <c r="L1185" s="17">
        <f>IFERROR(__xludf.DUMMYFUNCTION("""COMPUTED_VALUE"""),3.017001909E9)</f>
        <v>3017001909</v>
      </c>
      <c r="M1185" s="17" t="str">
        <f>IFERROR(__xludf.DUMMYFUNCTION("""COMPUTED_VALUE"""),"#REF!")</f>
        <v>#REF!</v>
      </c>
      <c r="N1185" s="17"/>
      <c r="O1185" s="19" t="str">
        <f>IFERROR(__xludf.DUMMYFUNCTION("""COMPUTED_VALUE"""),"")</f>
        <v/>
      </c>
      <c r="P1185" s="17" t="b">
        <f>IFERROR(__xludf.DUMMYFUNCTION("""COMPUTED_VALUE"""),FALSE)</f>
        <v>0</v>
      </c>
      <c r="Q1185" s="20" t="str">
        <f>IFERROR(__xludf.DUMMYFUNCTION("""COMPUTED_VALUE"""),"")</f>
        <v/>
      </c>
      <c r="R1185" s="22" t="str">
        <f>IFERROR(__xludf.DUMMYFUNCTION("""COMPUTED_VALUE"""),"")</f>
        <v/>
      </c>
    </row>
    <row r="1186">
      <c r="A1186" s="15">
        <f>IFERROR(__xludf.DUMMYFUNCTION("""COMPUTED_VALUE"""),45034.0)</f>
        <v>45034</v>
      </c>
      <c r="B1186" s="16" t="str">
        <f>IFERROR(__xludf.DUMMYFUNCTION("""COMPUTED_VALUE"""),"Jesus Manuel Herrera Medina ")</f>
        <v>Jesus Manuel Herrera Medina </v>
      </c>
      <c r="C1186" s="15" t="str">
        <f>IFERROR(__xludf.DUMMYFUNCTION("""COMPUTED_VALUE"""),"BUCARAMANGA")</f>
        <v>BUCARAMANGA</v>
      </c>
      <c r="D1186" s="15" t="str">
        <f>IFERROR(__xludf.DUMMYFUNCTION("""COMPUTED_VALUE"""),"MEDELLÍN")</f>
        <v>MEDELLÍN</v>
      </c>
      <c r="E1186" s="15" t="str">
        <f>IFERROR(__xludf.DUMMYFUNCTION("""COMPUTED_VALUE"""),"AREPAS LA MARY")</f>
        <v>AREPAS LA MARY</v>
      </c>
      <c r="F1186" s="17" t="str">
        <f>IFERROR(__xludf.DUMMYFUNCTION("""COMPUTED_VALUE"""),"CALLE 55 # 13 -56 PISO 3")</f>
        <v>CALLE 55 # 13 -56 PISO 3</v>
      </c>
      <c r="G1186" s="15" t="str">
        <f>IFERROR(__xludf.DUMMYFUNCTION("""COMPUTED_VALUE"""),"ARANDANO")</f>
        <v>ARANDANO</v>
      </c>
      <c r="H1186" s="16">
        <f>IFERROR(__xludf.DUMMYFUNCTION("""COMPUTED_VALUE"""),9836.0)</f>
        <v>9836</v>
      </c>
      <c r="I1186" s="18">
        <f>IFERROR(__xludf.DUMMYFUNCTION("""COMPUTED_VALUE"""),89.0)</f>
        <v>89</v>
      </c>
      <c r="J1186" s="18">
        <f>IFERROR(__xludf.DUMMYFUNCTION("""COMPUTED_VALUE"""),1.0)</f>
        <v>1</v>
      </c>
      <c r="K1186" s="18">
        <f>IFERROR(__xludf.DUMMYFUNCTION("""COMPUTED_VALUE"""),10.0)</f>
        <v>10</v>
      </c>
      <c r="L1186" s="17">
        <f>IFERROR(__xludf.DUMMYFUNCTION("""COMPUTED_VALUE"""),3.158600162E9)</f>
        <v>3158600162</v>
      </c>
      <c r="M1186" s="17" t="str">
        <f>IFERROR(__xludf.DUMMYFUNCTION("""COMPUTED_VALUE"""),"#REF!")</f>
        <v>#REF!</v>
      </c>
      <c r="N1186" s="17"/>
      <c r="O1186" s="19" t="str">
        <f>IFERROR(__xludf.DUMMYFUNCTION("""COMPUTED_VALUE"""),"")</f>
        <v/>
      </c>
      <c r="P1186" s="17" t="b">
        <f>IFERROR(__xludf.DUMMYFUNCTION("""COMPUTED_VALUE"""),FALSE)</f>
        <v>0</v>
      </c>
      <c r="Q1186" s="20" t="str">
        <f>IFERROR(__xludf.DUMMYFUNCTION("""COMPUTED_VALUE"""),"")</f>
        <v/>
      </c>
      <c r="R1186" s="22" t="str">
        <f>IFERROR(__xludf.DUMMYFUNCTION("""COMPUTED_VALUE"""),"")</f>
        <v/>
      </c>
    </row>
    <row r="1187">
      <c r="A1187" s="15">
        <f>IFERROR(__xludf.DUMMYFUNCTION("""COMPUTED_VALUE"""),45034.0)</f>
        <v>45034</v>
      </c>
      <c r="B1187" s="16" t="str">
        <f>IFERROR(__xludf.DUMMYFUNCTION("""COMPUTED_VALUE"""),"Jesus Manuel Herrera Medina ")</f>
        <v>Jesus Manuel Herrera Medina </v>
      </c>
      <c r="C1187" s="15" t="str">
        <f>IFERROR(__xludf.DUMMYFUNCTION("""COMPUTED_VALUE"""),"BUCARAMANGA")</f>
        <v>BUCARAMANGA</v>
      </c>
      <c r="D1187" s="15" t="str">
        <f>IFERROR(__xludf.DUMMYFUNCTION("""COMPUTED_VALUE"""),"MEDELLÍN")</f>
        <v>MEDELLÍN</v>
      </c>
      <c r="E1187" s="15" t="str">
        <f>IFERROR(__xludf.DUMMYFUNCTION("""COMPUTED_VALUE"""),"Baby Chef")</f>
        <v>Baby Chef</v>
      </c>
      <c r="F1187" s="17" t="str">
        <f>IFERROR(__xludf.DUMMYFUNCTION("""COMPUTED_VALUE"""),"(Carrera 29 número 96 - 78 torre 13 apartamento 301 conjunto miradores de San Lorenzo) / (Carrera 29 número 96 - 78 torre 13 apartamento 301 conjunto miradores de San Lorenzo) / (Carrera 29 número 96 - 78 torre 13 apartamento 301 conjunto miradores de San"&amp;" Lorenzo)")</f>
        <v>(Carrera 29 número 96 - 78 torre 13 apartamento 301 conjunto miradores de San Lorenzo) / (Carrera 29 número 96 - 78 torre 13 apartamento 301 conjunto miradores de San Lorenzo) / (Carrera 29 número 96 - 78 torre 13 apartamento 301 conjunto miradores de San Lorenzo)</v>
      </c>
      <c r="G1187" s="15" t="str">
        <f>IFERROR(__xludf.DUMMYFUNCTION("""COMPUTED_VALUE"""),"MONICA CECILIA ACOSTA")</f>
        <v>MONICA CECILIA ACOSTA</v>
      </c>
      <c r="H1187" s="16">
        <f>IFERROR(__xludf.DUMMYFUNCTION("""COMPUTED_VALUE"""),9879.0)</f>
        <v>9879</v>
      </c>
      <c r="I1187" s="18">
        <f>IFERROR(__xludf.DUMMYFUNCTION("""COMPUTED_VALUE"""),8.0)</f>
        <v>8</v>
      </c>
      <c r="J1187" s="18">
        <f>IFERROR(__xludf.DUMMYFUNCTION("""COMPUTED_VALUE"""),16.0)</f>
        <v>16</v>
      </c>
      <c r="K1187" s="18">
        <f>IFERROR(__xludf.DUMMYFUNCTION("""COMPUTED_VALUE"""),20.0)</f>
        <v>20</v>
      </c>
      <c r="L1187" s="17">
        <f>IFERROR(__xludf.DUMMYFUNCTION("""COMPUTED_VALUE"""),3.002141107E9)</f>
        <v>3002141107</v>
      </c>
      <c r="M1187" s="17" t="str">
        <f>IFERROR(__xludf.DUMMYFUNCTION("""COMPUTED_VALUE"""),"#REF!")</f>
        <v>#REF!</v>
      </c>
      <c r="N1187" s="17"/>
      <c r="O1187" s="19" t="str">
        <f>IFERROR(__xludf.DUMMYFUNCTION("""COMPUTED_VALUE"""),"")</f>
        <v/>
      </c>
      <c r="P1187" s="17" t="b">
        <f>IFERROR(__xludf.DUMMYFUNCTION("""COMPUTED_VALUE"""),TRUE)</f>
        <v>1</v>
      </c>
      <c r="Q1187" s="20">
        <f>IFERROR(__xludf.DUMMYFUNCTION("""COMPUTED_VALUE"""),45034.62449877315)</f>
        <v>45034.6245</v>
      </c>
      <c r="R1187" s="22" t="str">
        <f>IFERROR(__xludf.DUMMYFUNCTION("""COMPUTED_VALUE"""),"")</f>
        <v/>
      </c>
    </row>
    <row r="1188">
      <c r="A1188" s="15">
        <f>IFERROR(__xludf.DUMMYFUNCTION("""COMPUTED_VALUE"""),45034.0)</f>
        <v>45034</v>
      </c>
      <c r="B1188" s="16" t="str">
        <f>IFERROR(__xludf.DUMMYFUNCTION("""COMPUTED_VALUE"""),"Jesus Manuel Herrera Medina ")</f>
        <v>Jesus Manuel Herrera Medina </v>
      </c>
      <c r="C1188" s="15" t="str">
        <f>IFERROR(__xludf.DUMMYFUNCTION("""COMPUTED_VALUE"""),"FLORIDABLANCA")</f>
        <v>FLORIDABLANCA</v>
      </c>
      <c r="D1188" s="15" t="str">
        <f>IFERROR(__xludf.DUMMYFUNCTION("""COMPUTED_VALUE"""),"BOGOTÁ")</f>
        <v>BOGOTÁ</v>
      </c>
      <c r="E1188" s="15" t="str">
        <f>IFERROR(__xludf.DUMMYFUNCTION("""COMPUTED_VALUE"""),"Asociacion Agropecuaria Juana Maria")</f>
        <v>Asociacion Agropecuaria Juana Maria</v>
      </c>
      <c r="F1188" s="17" t="str">
        <f>IFERROR(__xludf.DUMMYFUNCTION("""COMPUTED_VALUE"""),"Calle 19 #11-37 Guanatá FLORIDABLANCA")</f>
        <v>Calle 19 #11-37 Guanatá FLORIDABLANCA</v>
      </c>
      <c r="G1188" s="15" t="str">
        <f>IFERROR(__xludf.DUMMYFUNCTION("""COMPUTED_VALUE"""),"Claudia Gonzalez")</f>
        <v>Claudia Gonzalez</v>
      </c>
      <c r="H1188" s="16">
        <f>IFERROR(__xludf.DUMMYFUNCTION("""COMPUTED_VALUE"""),9729.0)</f>
        <v>9729</v>
      </c>
      <c r="I1188" s="18">
        <f>IFERROR(__xludf.DUMMYFUNCTION("""COMPUTED_VALUE"""),21.0)</f>
        <v>21</v>
      </c>
      <c r="J1188" s="18">
        <f>IFERROR(__xludf.DUMMYFUNCTION("""COMPUTED_VALUE"""),37.0)</f>
        <v>37</v>
      </c>
      <c r="K1188" s="18">
        <f>IFERROR(__xludf.DUMMYFUNCTION("""COMPUTED_VALUE"""),30.0)</f>
        <v>30</v>
      </c>
      <c r="L1188" s="17">
        <f>IFERROR(__xludf.DUMMYFUNCTION("""COMPUTED_VALUE"""),3.002802001E9)</f>
        <v>3002802001</v>
      </c>
      <c r="M1188" s="17" t="str">
        <f>IFERROR(__xludf.DUMMYFUNCTION("""COMPUTED_VALUE"""),"#REF!")</f>
        <v>#REF!</v>
      </c>
      <c r="N1188" s="17"/>
      <c r="O1188" s="19" t="str">
        <f>IFERROR(__xludf.DUMMYFUNCTION("""COMPUTED_VALUE"""),"")</f>
        <v/>
      </c>
      <c r="P1188" s="17" t="b">
        <f>IFERROR(__xludf.DUMMYFUNCTION("""COMPUTED_VALUE"""),FALSE)</f>
        <v>0</v>
      </c>
      <c r="Q1188" s="20" t="str">
        <f>IFERROR(__xludf.DUMMYFUNCTION("""COMPUTED_VALUE"""),"")</f>
        <v/>
      </c>
      <c r="R1188" s="22" t="str">
        <f>IFERROR(__xludf.DUMMYFUNCTION("""COMPUTED_VALUE"""),"")</f>
        <v/>
      </c>
    </row>
    <row r="1189">
      <c r="A1189" s="15">
        <f>IFERROR(__xludf.DUMMYFUNCTION("""COMPUTED_VALUE"""),45034.0)</f>
        <v>45034</v>
      </c>
      <c r="B1189" s="16" t="str">
        <f>IFERROR(__xludf.DUMMYFUNCTION("""COMPUTED_VALUE"""),"Jesus Manuel Herrera Medina ")</f>
        <v>Jesus Manuel Herrera Medina </v>
      </c>
      <c r="C1189" s="15" t="str">
        <f>IFERROR(__xludf.DUMMYFUNCTION("""COMPUTED_VALUE"""),"PEREIRA")</f>
        <v>PEREIRA</v>
      </c>
      <c r="D1189" s="15" t="str">
        <f>IFERROR(__xludf.DUMMYFUNCTION("""COMPUTED_VALUE"""),"MEDELLÍN")</f>
        <v>MEDELLÍN</v>
      </c>
      <c r="E1189" s="15" t="str">
        <f>IFERROR(__xludf.DUMMYFUNCTION("""COMPUTED_VALUE"""),"Rambla")</f>
        <v>Rambla</v>
      </c>
      <c r="F1189" s="17" t="str">
        <f>IFERROR(__xludf.DUMMYFUNCTION("""COMPUTED_VALUE"""),"AV 30 DE AGOSTO 48 175 BRR MARAYA / na / na")</f>
        <v>AV 30 DE AGOSTO 48 175 BRR MARAYA / na / na</v>
      </c>
      <c r="G1189" s="15" t="str">
        <f>IFERROR(__xludf.DUMMYFUNCTION("""COMPUTED_VALUE"""),"mandarin")</f>
        <v>mandarin</v>
      </c>
      <c r="H1189" s="16">
        <f>IFERROR(__xludf.DUMMYFUNCTION("""COMPUTED_VALUE"""),9865.0)</f>
        <v>9865</v>
      </c>
      <c r="I1189" s="18">
        <f>IFERROR(__xludf.DUMMYFUNCTION("""COMPUTED_VALUE"""),22.0)</f>
        <v>22</v>
      </c>
      <c r="J1189" s="18">
        <f>IFERROR(__xludf.DUMMYFUNCTION("""COMPUTED_VALUE"""),25.0)</f>
        <v>25</v>
      </c>
      <c r="K1189" s="18">
        <f>IFERROR(__xludf.DUMMYFUNCTION("""COMPUTED_VALUE"""),28.0)</f>
        <v>28</v>
      </c>
      <c r="L1189" s="17">
        <f>IFERROR(__xludf.DUMMYFUNCTION("""COMPUTED_VALUE"""),3.008423006E9)</f>
        <v>3008423006</v>
      </c>
      <c r="M1189" s="17" t="str">
        <f>IFERROR(__xludf.DUMMYFUNCTION("""COMPUTED_VALUE"""),"#REF!")</f>
        <v>#REF!</v>
      </c>
      <c r="N1189" s="17"/>
      <c r="O1189" s="19" t="str">
        <f>IFERROR(__xludf.DUMMYFUNCTION("""COMPUTED_VALUE"""),"")</f>
        <v/>
      </c>
      <c r="P1189" s="17" t="b">
        <f>IFERROR(__xludf.DUMMYFUNCTION("""COMPUTED_VALUE"""),TRUE)</f>
        <v>1</v>
      </c>
      <c r="Q1189" s="20">
        <f>IFERROR(__xludf.DUMMYFUNCTION("""COMPUTED_VALUE"""),45034.62411611111)</f>
        <v>45034.62412</v>
      </c>
      <c r="R1189" s="22" t="str">
        <f>IFERROR(__xludf.DUMMYFUNCTION("""COMPUTED_VALUE"""),"")</f>
        <v/>
      </c>
    </row>
    <row r="1190">
      <c r="A1190" s="15">
        <f>IFERROR(__xludf.DUMMYFUNCTION("""COMPUTED_VALUE"""),45034.0)</f>
        <v>45034</v>
      </c>
      <c r="B1190" s="16" t="str">
        <f>IFERROR(__xludf.DUMMYFUNCTION("""COMPUTED_VALUE"""),"Jesus Manuel Herrera Medina ")</f>
        <v>Jesus Manuel Herrera Medina </v>
      </c>
      <c r="C1190" s="15" t="str">
        <f>IFERROR(__xludf.DUMMYFUNCTION("""COMPUTED_VALUE"""),"PEREIRA")</f>
        <v>PEREIRA</v>
      </c>
      <c r="D1190" s="15" t="str">
        <f>IFERROR(__xludf.DUMMYFUNCTION("""COMPUTED_VALUE"""),"MEDELLÍN")</f>
        <v>MEDELLÍN</v>
      </c>
      <c r="E1190" s="15" t="str">
        <f>IFERROR(__xludf.DUMMYFUNCTION("""COMPUTED_VALUE"""),"Rambla")</f>
        <v>Rambla</v>
      </c>
      <c r="F1190" s="17" t="str">
        <f>IFERROR(__xludf.DUMMYFUNCTION("""COMPUTED_VALUE"""),"CALLE 14 #14-15  SAN JOSE CIRCUNVALAR / na / na")</f>
        <v>CALLE 14 #14-15  SAN JOSE CIRCUNVALAR / na / na</v>
      </c>
      <c r="G1190" s="15" t="str">
        <f>IFERROR(__xludf.DUMMYFUNCTION("""COMPUTED_VALUE"""),"Majana")</f>
        <v>Majana</v>
      </c>
      <c r="H1190" s="16">
        <f>IFERROR(__xludf.DUMMYFUNCTION("""COMPUTED_VALUE"""),9867.0)</f>
        <v>9867</v>
      </c>
      <c r="I1190" s="18">
        <f>IFERROR(__xludf.DUMMYFUNCTION("""COMPUTED_VALUE"""),43.0)</f>
        <v>43</v>
      </c>
      <c r="J1190" s="18">
        <f>IFERROR(__xludf.DUMMYFUNCTION("""COMPUTED_VALUE"""),45.0)</f>
        <v>45</v>
      </c>
      <c r="K1190" s="18">
        <f>IFERROR(__xludf.DUMMYFUNCTION("""COMPUTED_VALUE"""),50.0)</f>
        <v>50</v>
      </c>
      <c r="L1190" s="17">
        <f>IFERROR(__xludf.DUMMYFUNCTION("""COMPUTED_VALUE"""),3.016794068E9)</f>
        <v>3016794068</v>
      </c>
      <c r="M1190" s="17" t="str">
        <f>IFERROR(__xludf.DUMMYFUNCTION("""COMPUTED_VALUE"""),"#REF!")</f>
        <v>#REF!</v>
      </c>
      <c r="N1190" s="17"/>
      <c r="O1190" s="19" t="str">
        <f>IFERROR(__xludf.DUMMYFUNCTION("""COMPUTED_VALUE"""),"")</f>
        <v/>
      </c>
      <c r="P1190" s="17" t="b">
        <f>IFERROR(__xludf.DUMMYFUNCTION("""COMPUTED_VALUE"""),TRUE)</f>
        <v>1</v>
      </c>
      <c r="Q1190" s="20">
        <f>IFERROR(__xludf.DUMMYFUNCTION("""COMPUTED_VALUE"""),45034.62427690972)</f>
        <v>45034.62428</v>
      </c>
      <c r="R1190" s="22" t="str">
        <f>IFERROR(__xludf.DUMMYFUNCTION("""COMPUTED_VALUE"""),"")</f>
        <v/>
      </c>
    </row>
    <row r="1191">
      <c r="A1191" s="15">
        <f>IFERROR(__xludf.DUMMYFUNCTION("""COMPUTED_VALUE"""),45034.0)</f>
        <v>45034</v>
      </c>
      <c r="B1191" s="16" t="str">
        <f>IFERROR(__xludf.DUMMYFUNCTION("""COMPUTED_VALUE"""),"Jesus Manuel Herrera Medina ")</f>
        <v>Jesus Manuel Herrera Medina </v>
      </c>
      <c r="C1191" s="15" t="str">
        <f>IFERROR(__xludf.DUMMYFUNCTION("""COMPUTED_VALUE"""),"PEREIRA")</f>
        <v>PEREIRA</v>
      </c>
      <c r="D1191" s="15" t="str">
        <f>IFERROR(__xludf.DUMMYFUNCTION("""COMPUTED_VALUE"""),"MEDELLÍN")</f>
        <v>MEDELLÍN</v>
      </c>
      <c r="E1191" s="15" t="str">
        <f>IFERROR(__xludf.DUMMYFUNCTION("""COMPUTED_VALUE"""),"Rambla")</f>
        <v>Rambla</v>
      </c>
      <c r="F1191" s="17" t="str">
        <f>IFERROR(__xludf.DUMMYFUNCTION("""COMPUTED_VALUE"""),"Cra 23 14 148 Trilogia apto 1505 torre1 -  Pereira. / na / na")</f>
        <v>Cra 23 14 148 Trilogia apto 1505 torre1 -  Pereira. / na / na</v>
      </c>
      <c r="G1191" s="15" t="str">
        <f>IFERROR(__xludf.DUMMYFUNCTION("""COMPUTED_VALUE"""),"Nutrishop")</f>
        <v>Nutrishop</v>
      </c>
      <c r="H1191" s="16">
        <f>IFERROR(__xludf.DUMMYFUNCTION("""COMPUTED_VALUE"""),9866.0)</f>
        <v>9866</v>
      </c>
      <c r="I1191" s="18">
        <f>IFERROR(__xludf.DUMMYFUNCTION("""COMPUTED_VALUE"""),25.0)</f>
        <v>25</v>
      </c>
      <c r="J1191" s="18">
        <f>IFERROR(__xludf.DUMMYFUNCTION("""COMPUTED_VALUE"""),28.0)</f>
        <v>28</v>
      </c>
      <c r="K1191" s="18">
        <f>IFERROR(__xludf.DUMMYFUNCTION("""COMPUTED_VALUE"""),22.0)</f>
        <v>22</v>
      </c>
      <c r="L1191" s="17">
        <f>IFERROR(__xludf.DUMMYFUNCTION("""COMPUTED_VALUE"""),3.10379892E9)</f>
        <v>3103798920</v>
      </c>
      <c r="M1191" s="17" t="str">
        <f>IFERROR(__xludf.DUMMYFUNCTION("""COMPUTED_VALUE"""),"#REF!")</f>
        <v>#REF!</v>
      </c>
      <c r="N1191" s="17"/>
      <c r="O1191" s="19" t="str">
        <f>IFERROR(__xludf.DUMMYFUNCTION("""COMPUTED_VALUE"""),"")</f>
        <v/>
      </c>
      <c r="P1191" s="17" t="b">
        <f>IFERROR(__xludf.DUMMYFUNCTION("""COMPUTED_VALUE"""),FALSE)</f>
        <v>0</v>
      </c>
      <c r="Q1191" s="20" t="str">
        <f>IFERROR(__xludf.DUMMYFUNCTION("""COMPUTED_VALUE"""),"")</f>
        <v/>
      </c>
      <c r="R1191" s="22" t="str">
        <f>IFERROR(__xludf.DUMMYFUNCTION("""COMPUTED_VALUE"""),"")</f>
        <v/>
      </c>
    </row>
    <row r="1192">
      <c r="A1192" s="17" t="str">
        <f>IFERROR(__xludf.DUMMYFUNCTION("""COMPUTED_VALUE"""),"")</f>
        <v/>
      </c>
      <c r="B1192" s="17" t="str">
        <f>IFERROR(__xludf.DUMMYFUNCTION("""COMPUTED_VALUE"""),"")</f>
        <v/>
      </c>
      <c r="C1192" s="17" t="str">
        <f>IFERROR(__xludf.DUMMYFUNCTION("""COMPUTED_VALUE"""),"")</f>
        <v/>
      </c>
      <c r="D1192" s="17" t="str">
        <f>IFERROR(__xludf.DUMMYFUNCTION("""COMPUTED_VALUE"""),"")</f>
        <v/>
      </c>
      <c r="E1192" s="17" t="str">
        <f>IFERROR(__xludf.DUMMYFUNCTION("""COMPUTED_VALUE"""),"")</f>
        <v/>
      </c>
      <c r="F1192" s="17" t="str">
        <f>IFERROR(__xludf.DUMMYFUNCTION("""COMPUTED_VALUE"""),"")</f>
        <v/>
      </c>
      <c r="G1192" s="17" t="str">
        <f>IFERROR(__xludf.DUMMYFUNCTION("""COMPUTED_VALUE"""),"")</f>
        <v/>
      </c>
      <c r="H1192" s="17" t="str">
        <f>IFERROR(__xludf.DUMMYFUNCTION("""COMPUTED_VALUE"""),"")</f>
        <v/>
      </c>
      <c r="I1192" s="17" t="str">
        <f>IFERROR(__xludf.DUMMYFUNCTION("""COMPUTED_VALUE"""),"")</f>
        <v/>
      </c>
      <c r="J1192" s="17" t="str">
        <f>IFERROR(__xludf.DUMMYFUNCTION("""COMPUTED_VALUE"""),"")</f>
        <v/>
      </c>
      <c r="K1192" s="17" t="str">
        <f>IFERROR(__xludf.DUMMYFUNCTION("""COMPUTED_VALUE"""),"")</f>
        <v/>
      </c>
      <c r="L1192" s="17" t="str">
        <f>IFERROR(__xludf.DUMMYFUNCTION("""COMPUTED_VALUE"""),"")</f>
        <v/>
      </c>
      <c r="M1192" s="17" t="str">
        <f>IFERROR(__xludf.DUMMYFUNCTION("""COMPUTED_VALUE"""),"")</f>
        <v/>
      </c>
      <c r="N1192" s="17" t="str">
        <f>IFERROR(__xludf.DUMMYFUNCTION("""COMPUTED_VALUE"""),"")</f>
        <v/>
      </c>
      <c r="O1192" s="17" t="str">
        <f>IFERROR(__xludf.DUMMYFUNCTION("""COMPUTED_VALUE"""),"")</f>
        <v/>
      </c>
      <c r="P1192" s="17" t="str">
        <f>IFERROR(__xludf.DUMMYFUNCTION("""COMPUTED_VALUE"""),"")</f>
        <v/>
      </c>
      <c r="Q1192" s="17" t="str">
        <f>IFERROR(__xludf.DUMMYFUNCTION("""COMPUTED_VALUE"""),"")</f>
        <v/>
      </c>
      <c r="R1192" s="17" t="str">
        <f>IFERROR(__xludf.DUMMYFUNCTION("""COMPUTED_VALUE"""),"")</f>
        <v/>
      </c>
    </row>
    <row r="1193">
      <c r="A1193" s="15">
        <f>IFERROR(__xludf.DUMMYFUNCTION("""COMPUTED_VALUE"""),45034.0)</f>
        <v>45034</v>
      </c>
      <c r="B1193" s="16" t="str">
        <f>IFERROR(__xludf.DUMMYFUNCTION("""COMPUTED_VALUE"""),"Jhon Anderson Ceballos Hernandez")</f>
        <v>Jhon Anderson Ceballos Hernandez</v>
      </c>
      <c r="C1193" s="15" t="str">
        <f>IFERROR(__xludf.DUMMYFUNCTION("""COMPUTED_VALUE"""),"MEDELLÍN")</f>
        <v>MEDELLÍN</v>
      </c>
      <c r="D1193" s="15" t="str">
        <f>IFERROR(__xludf.DUMMYFUNCTION("""COMPUTED_VALUE"""),"BOGOTÁ")</f>
        <v>BOGOTÁ</v>
      </c>
      <c r="E1193" s="15" t="str">
        <f>IFERROR(__xludf.DUMMYFUNCTION("""COMPUTED_VALUE"""),"Top Spun")</f>
        <v>Top Spun</v>
      </c>
      <c r="F1193" s="17" t="str">
        <f>IFERROR(__xludf.DUMMYFUNCTION("""COMPUTED_VALUE"""),"Circular 74#39B 68 / Torre Laureles  apto 103  / Barrio Laureles")</f>
        <v>Circular 74#39B 68 / Torre Laureles  apto 103  / Barrio Laureles</v>
      </c>
      <c r="G1193" s="15" t="str">
        <f>IFERROR(__xludf.DUMMYFUNCTION("""COMPUTED_VALUE"""),"Lilibeth  Seohanes")</f>
        <v>Lilibeth  Seohanes</v>
      </c>
      <c r="H1193" s="16">
        <f>IFERROR(__xludf.DUMMYFUNCTION("""COMPUTED_VALUE"""),9745.0)</f>
        <v>9745</v>
      </c>
      <c r="I1193" s="18">
        <f>IFERROR(__xludf.DUMMYFUNCTION("""COMPUTED_VALUE"""),20.0)</f>
        <v>20</v>
      </c>
      <c r="J1193" s="18">
        <f>IFERROR(__xludf.DUMMYFUNCTION("""COMPUTED_VALUE"""),10.0)</f>
        <v>10</v>
      </c>
      <c r="K1193" s="18">
        <f>IFERROR(__xludf.DUMMYFUNCTION("""COMPUTED_VALUE"""),40.0)</f>
        <v>40</v>
      </c>
      <c r="L1193" s="17">
        <f>IFERROR(__xludf.DUMMYFUNCTION("""COMPUTED_VALUE"""),3.108399454E9)</f>
        <v>3108399454</v>
      </c>
      <c r="M1193" s="17" t="str">
        <f>IFERROR(__xludf.DUMMYFUNCTION("""COMPUTED_VALUE"""),"#REF!")</f>
        <v>#REF!</v>
      </c>
      <c r="N1193" s="17"/>
      <c r="O1193" s="19" t="str">
        <f>IFERROR(__xludf.DUMMYFUNCTION("""COMPUTED_VALUE"""),"")</f>
        <v/>
      </c>
      <c r="P1193" s="17" t="b">
        <f>IFERROR(__xludf.DUMMYFUNCTION("""COMPUTED_VALUE"""),FALSE)</f>
        <v>0</v>
      </c>
      <c r="Q1193" s="20" t="str">
        <f>IFERROR(__xludf.DUMMYFUNCTION("""COMPUTED_VALUE"""),"")</f>
        <v/>
      </c>
      <c r="R1193" s="22" t="str">
        <f>IFERROR(__xludf.DUMMYFUNCTION("""COMPUTED_VALUE"""),"")</f>
        <v/>
      </c>
    </row>
    <row r="1194">
      <c r="A1194" s="15">
        <f>IFERROR(__xludf.DUMMYFUNCTION("""COMPUTED_VALUE"""),45034.0)</f>
        <v>45034</v>
      </c>
      <c r="B1194" s="16" t="str">
        <f>IFERROR(__xludf.DUMMYFUNCTION("""COMPUTED_VALUE"""),"Jhon Anderson Ceballos Hernandez")</f>
        <v>Jhon Anderson Ceballos Hernandez</v>
      </c>
      <c r="C1194" s="15" t="str">
        <f>IFERROR(__xludf.DUMMYFUNCTION("""COMPUTED_VALUE"""),"RIONEGRO")</f>
        <v>RIONEGRO</v>
      </c>
      <c r="D1194" s="15" t="str">
        <f>IFERROR(__xludf.DUMMYFUNCTION("""COMPUTED_VALUE"""),"BOGOTÁ")</f>
        <v>BOGOTÁ</v>
      </c>
      <c r="E1194" s="15" t="str">
        <f>IFERROR(__xludf.DUMMYFUNCTION("""COMPUTED_VALUE"""),"Karem foods")</f>
        <v>Karem foods</v>
      </c>
      <c r="F1194" s="17" t="str">
        <f>IFERROR(__xludf.DUMMYFUNCTION("""COMPUTED_VALUE"""),"Calle 23 53 70 Primer Piso  / - / -")</f>
        <v>Calle 23 53 70 Primer Piso  / - / -</v>
      </c>
      <c r="G1194" s="15" t="str">
        <f>IFERROR(__xludf.DUMMYFUNCTION("""COMPUTED_VALUE"""),"Juan Camilo Ochoa Marin")</f>
        <v>Juan Camilo Ochoa Marin</v>
      </c>
      <c r="H1194" s="16">
        <f>IFERROR(__xludf.DUMMYFUNCTION("""COMPUTED_VALUE"""),9863.0)</f>
        <v>9863</v>
      </c>
      <c r="I1194" s="18">
        <f>IFERROR(__xludf.DUMMYFUNCTION("""COMPUTED_VALUE"""),8.0)</f>
        <v>8</v>
      </c>
      <c r="J1194" s="18">
        <f>IFERROR(__xludf.DUMMYFUNCTION("""COMPUTED_VALUE"""),10.0)</f>
        <v>10</v>
      </c>
      <c r="K1194" s="18">
        <f>IFERROR(__xludf.DUMMYFUNCTION("""COMPUTED_VALUE"""),20.0)</f>
        <v>20</v>
      </c>
      <c r="L1194" s="17">
        <f>IFERROR(__xludf.DUMMYFUNCTION("""COMPUTED_VALUE"""),3.136512879E9)</f>
        <v>3136512879</v>
      </c>
      <c r="M1194" s="17" t="str">
        <f>IFERROR(__xludf.DUMMYFUNCTION("""COMPUTED_VALUE"""),"#REF!")</f>
        <v>#REF!</v>
      </c>
      <c r="N1194" s="17"/>
      <c r="O1194" s="19" t="str">
        <f>IFERROR(__xludf.DUMMYFUNCTION("""COMPUTED_VALUE"""),"")</f>
        <v/>
      </c>
      <c r="P1194" s="17" t="b">
        <f>IFERROR(__xludf.DUMMYFUNCTION("""COMPUTED_VALUE"""),FALSE)</f>
        <v>0</v>
      </c>
      <c r="Q1194" s="20" t="str">
        <f>IFERROR(__xludf.DUMMYFUNCTION("""COMPUTED_VALUE"""),"")</f>
        <v/>
      </c>
      <c r="R1194" s="22" t="str">
        <f>IFERROR(__xludf.DUMMYFUNCTION("""COMPUTED_VALUE"""),"")</f>
        <v/>
      </c>
    </row>
    <row r="1195">
      <c r="A1195" s="15">
        <f>IFERROR(__xludf.DUMMYFUNCTION("""COMPUTED_VALUE"""),45034.0)</f>
        <v>45034</v>
      </c>
      <c r="B1195" s="16" t="str">
        <f>IFERROR(__xludf.DUMMYFUNCTION("""COMPUTED_VALUE"""),"Jhon Anderson Ceballos Hernandez")</f>
        <v>Jhon Anderson Ceballos Hernandez</v>
      </c>
      <c r="C1195" s="15" t="str">
        <f>IFERROR(__xludf.DUMMYFUNCTION("""COMPUTED_VALUE"""),"TUNJA")</f>
        <v>TUNJA</v>
      </c>
      <c r="D1195" s="15" t="str">
        <f>IFERROR(__xludf.DUMMYFUNCTION("""COMPUTED_VALUE"""),"BOGOTÁ")</f>
        <v>BOGOTÁ</v>
      </c>
      <c r="E1195" s="15" t="str">
        <f>IFERROR(__xludf.DUMMYFUNCTION("""COMPUTED_VALUE"""),"Evamazzita")</f>
        <v>Evamazzita</v>
      </c>
      <c r="F1195" s="17" t="str">
        <f>IFERROR(__xludf.DUMMYFUNCTION("""COMPUTED_VALUE"""),"avenida universitaria 58b 291  / Torre 4 apto 1215  / edificio ciudad hayuelos")</f>
        <v>avenida universitaria 58b 291  / Torre 4 apto 1215  / edificio ciudad hayuelos</v>
      </c>
      <c r="G1195" s="15" t="str">
        <f>IFERROR(__xludf.DUMMYFUNCTION("""COMPUTED_VALUE"""),"CAROLINA BAYONA GOMEZ")</f>
        <v>CAROLINA BAYONA GOMEZ</v>
      </c>
      <c r="H1195" s="16">
        <f>IFERROR(__xludf.DUMMYFUNCTION("""COMPUTED_VALUE"""),9806.0)</f>
        <v>9806</v>
      </c>
      <c r="I1195" s="18">
        <f>IFERROR(__xludf.DUMMYFUNCTION("""COMPUTED_VALUE"""),5.0)</f>
        <v>5</v>
      </c>
      <c r="J1195" s="18">
        <f>IFERROR(__xludf.DUMMYFUNCTION("""COMPUTED_VALUE"""),24.0)</f>
        <v>24</v>
      </c>
      <c r="K1195" s="18">
        <f>IFERROR(__xludf.DUMMYFUNCTION("""COMPUTED_VALUE"""),17.0)</f>
        <v>17</v>
      </c>
      <c r="L1195" s="17">
        <f>IFERROR(__xludf.DUMMYFUNCTION("""COMPUTED_VALUE"""),3.187730137E9)</f>
        <v>3187730137</v>
      </c>
      <c r="M1195" s="17" t="str">
        <f>IFERROR(__xludf.DUMMYFUNCTION("""COMPUTED_VALUE"""),"#REF!")</f>
        <v>#REF!</v>
      </c>
      <c r="N1195" s="17"/>
      <c r="O1195" s="19" t="str">
        <f>IFERROR(__xludf.DUMMYFUNCTION("""COMPUTED_VALUE"""),"")</f>
        <v/>
      </c>
      <c r="P1195" s="17" t="b">
        <f>IFERROR(__xludf.DUMMYFUNCTION("""COMPUTED_VALUE"""),TRUE)</f>
        <v>1</v>
      </c>
      <c r="Q1195" s="20">
        <f>IFERROR(__xludf.DUMMYFUNCTION("""COMPUTED_VALUE"""),45034.64827819444)</f>
        <v>45034.64828</v>
      </c>
      <c r="R1195" s="22" t="str">
        <f>IFERROR(__xludf.DUMMYFUNCTION("""COMPUTED_VALUE"""),"")</f>
        <v/>
      </c>
    </row>
    <row r="1196">
      <c r="A1196" s="17" t="str">
        <f>IFERROR(__xludf.DUMMYFUNCTION("""COMPUTED_VALUE"""),"")</f>
        <v/>
      </c>
      <c r="B1196" s="17" t="str">
        <f>IFERROR(__xludf.DUMMYFUNCTION("""COMPUTED_VALUE"""),"")</f>
        <v/>
      </c>
      <c r="C1196" s="17" t="str">
        <f>IFERROR(__xludf.DUMMYFUNCTION("""COMPUTED_VALUE"""),"")</f>
        <v/>
      </c>
      <c r="D1196" s="17" t="str">
        <f>IFERROR(__xludf.DUMMYFUNCTION("""COMPUTED_VALUE"""),"")</f>
        <v/>
      </c>
      <c r="E1196" s="17" t="str">
        <f>IFERROR(__xludf.DUMMYFUNCTION("""COMPUTED_VALUE"""),"")</f>
        <v/>
      </c>
      <c r="F1196" s="17" t="str">
        <f>IFERROR(__xludf.DUMMYFUNCTION("""COMPUTED_VALUE"""),"")</f>
        <v/>
      </c>
      <c r="G1196" s="17" t="str">
        <f>IFERROR(__xludf.DUMMYFUNCTION("""COMPUTED_VALUE"""),"")</f>
        <v/>
      </c>
      <c r="H1196" s="17" t="str">
        <f>IFERROR(__xludf.DUMMYFUNCTION("""COMPUTED_VALUE"""),"")</f>
        <v/>
      </c>
      <c r="I1196" s="17" t="str">
        <f>IFERROR(__xludf.DUMMYFUNCTION("""COMPUTED_VALUE"""),"")</f>
        <v/>
      </c>
      <c r="J1196" s="17" t="str">
        <f>IFERROR(__xludf.DUMMYFUNCTION("""COMPUTED_VALUE"""),"")</f>
        <v/>
      </c>
      <c r="K1196" s="17" t="str">
        <f>IFERROR(__xludf.DUMMYFUNCTION("""COMPUTED_VALUE"""),"")</f>
        <v/>
      </c>
      <c r="L1196" s="17" t="str">
        <f>IFERROR(__xludf.DUMMYFUNCTION("""COMPUTED_VALUE"""),"")</f>
        <v/>
      </c>
      <c r="M1196" s="17" t="str">
        <f>IFERROR(__xludf.DUMMYFUNCTION("""COMPUTED_VALUE"""),"")</f>
        <v/>
      </c>
      <c r="N1196" s="17" t="str">
        <f>IFERROR(__xludf.DUMMYFUNCTION("""COMPUTED_VALUE"""),"")</f>
        <v/>
      </c>
      <c r="O1196" s="17" t="str">
        <f>IFERROR(__xludf.DUMMYFUNCTION("""COMPUTED_VALUE"""),"")</f>
        <v/>
      </c>
      <c r="P1196" s="17" t="str">
        <f>IFERROR(__xludf.DUMMYFUNCTION("""COMPUTED_VALUE"""),"")</f>
        <v/>
      </c>
      <c r="Q1196" s="17" t="str">
        <f>IFERROR(__xludf.DUMMYFUNCTION("""COMPUTED_VALUE"""),"")</f>
        <v/>
      </c>
      <c r="R1196" s="17" t="str">
        <f>IFERROR(__xludf.DUMMYFUNCTION("""COMPUTED_VALUE"""),"")</f>
        <v/>
      </c>
    </row>
    <row r="1197">
      <c r="A1197" s="15">
        <f>IFERROR(__xludf.DUMMYFUNCTION("""COMPUTED_VALUE"""),45034.0)</f>
        <v>45034</v>
      </c>
      <c r="B1197" s="16" t="str">
        <f>IFERROR(__xludf.DUMMYFUNCTION("""COMPUTED_VALUE"""),"Johan Alexander Escobar Arroyo ")</f>
        <v>Johan Alexander Escobar Arroyo </v>
      </c>
      <c r="C1197" s="15" t="str">
        <f>IFERROR(__xludf.DUMMYFUNCTION("""COMPUTED_VALUE"""),"CALI")</f>
        <v>CALI</v>
      </c>
      <c r="D1197" s="15" t="str">
        <f>IFERROR(__xludf.DUMMYFUNCTION("""COMPUTED_VALUE"""),"BOGOTÁ")</f>
        <v>BOGOTÁ</v>
      </c>
      <c r="E1197" s="15" t="str">
        <f>IFERROR(__xludf.DUMMYFUNCTION("""COMPUTED_VALUE"""),"Asociacion Agropecuaria Juana Maria")</f>
        <v>Asociacion Agropecuaria Juana Maria</v>
      </c>
      <c r="F1197" s="17" t="str">
        <f>IFERROR(__xludf.DUMMYFUNCTION("""COMPUTED_VALUE"""),"Carrera 17B # 33E-33 La Floresta vieja")</f>
        <v>Carrera 17B # 33E-33 La Floresta vieja</v>
      </c>
      <c r="G1197" s="15" t="str">
        <f>IFERROR(__xludf.DUMMYFUNCTION("""COMPUTED_VALUE"""),"Johanna acuña  Molina")</f>
        <v>Johanna acuña  Molina</v>
      </c>
      <c r="H1197" s="16">
        <f>IFERROR(__xludf.DUMMYFUNCTION("""COMPUTED_VALUE"""),9736.0)</f>
        <v>9736</v>
      </c>
      <c r="I1197" s="18">
        <f>IFERROR(__xludf.DUMMYFUNCTION("""COMPUTED_VALUE"""),12.0)</f>
        <v>12</v>
      </c>
      <c r="J1197" s="18">
        <f>IFERROR(__xludf.DUMMYFUNCTION("""COMPUTED_VALUE"""),37.0)</f>
        <v>37</v>
      </c>
      <c r="K1197" s="18">
        <f>IFERROR(__xludf.DUMMYFUNCTION("""COMPUTED_VALUE"""),24.0)</f>
        <v>24</v>
      </c>
      <c r="L1197" s="17">
        <f>IFERROR(__xludf.DUMMYFUNCTION("""COMPUTED_VALUE"""),3.218700343E9)</f>
        <v>3218700343</v>
      </c>
      <c r="M1197" s="17" t="str">
        <f>IFERROR(__xludf.DUMMYFUNCTION("""COMPUTED_VALUE"""),"#REF!")</f>
        <v>#REF!</v>
      </c>
      <c r="N1197" s="17"/>
      <c r="O1197" s="19" t="str">
        <f>IFERROR(__xludf.DUMMYFUNCTION("""COMPUTED_VALUE"""),"")</f>
        <v/>
      </c>
      <c r="P1197" s="17" t="b">
        <f>IFERROR(__xludf.DUMMYFUNCTION("""COMPUTED_VALUE"""),FALSE)</f>
        <v>0</v>
      </c>
      <c r="Q1197" s="20" t="str">
        <f>IFERROR(__xludf.DUMMYFUNCTION("""COMPUTED_VALUE"""),"")</f>
        <v/>
      </c>
      <c r="R1197" s="22" t="str">
        <f>IFERROR(__xludf.DUMMYFUNCTION("""COMPUTED_VALUE"""),"")</f>
        <v/>
      </c>
    </row>
    <row r="1198">
      <c r="A1198" s="15">
        <f>IFERROR(__xludf.DUMMYFUNCTION("""COMPUTED_VALUE"""),45034.0)</f>
        <v>45034</v>
      </c>
      <c r="B1198" s="16" t="str">
        <f>IFERROR(__xludf.DUMMYFUNCTION("""COMPUTED_VALUE"""),"Johan Alexander Escobar Arroyo ")</f>
        <v>Johan Alexander Escobar Arroyo </v>
      </c>
      <c r="C1198" s="15" t="str">
        <f>IFERROR(__xludf.DUMMYFUNCTION("""COMPUTED_VALUE"""),"CALI")</f>
        <v>CALI</v>
      </c>
      <c r="D1198" s="15" t="str">
        <f>IFERROR(__xludf.DUMMYFUNCTION("""COMPUTED_VALUE"""),"BOGOTÁ")</f>
        <v>BOGOTÁ</v>
      </c>
      <c r="E1198" s="15" t="str">
        <f>IFERROR(__xludf.DUMMYFUNCTION("""COMPUTED_VALUE"""),"Evamazzita")</f>
        <v>Evamazzita</v>
      </c>
      <c r="F1198" s="17" t="str">
        <f>IFERROR(__xludf.DUMMYFUNCTION("""COMPUTED_VALUE"""),"Calle 44 norte #4n66  / N/A / La flora")</f>
        <v>Calle 44 norte #4n66  / N/A / La flora</v>
      </c>
      <c r="G1198" s="15" t="str">
        <f>IFERROR(__xludf.DUMMYFUNCTION("""COMPUTED_VALUE"""),"ALEJANDRA PEREA")</f>
        <v>ALEJANDRA PEREA</v>
      </c>
      <c r="H1198" s="16">
        <f>IFERROR(__xludf.DUMMYFUNCTION("""COMPUTED_VALUE"""),9832.0)</f>
        <v>9832</v>
      </c>
      <c r="I1198" s="18">
        <f>IFERROR(__xludf.DUMMYFUNCTION("""COMPUTED_VALUE"""),3.0)</f>
        <v>3</v>
      </c>
      <c r="J1198" s="18">
        <f>IFERROR(__xludf.DUMMYFUNCTION("""COMPUTED_VALUE"""),20.0)</f>
        <v>20</v>
      </c>
      <c r="K1198" s="18">
        <f>IFERROR(__xludf.DUMMYFUNCTION("""COMPUTED_VALUE"""),15.0)</f>
        <v>15</v>
      </c>
      <c r="L1198" s="17">
        <f>IFERROR(__xludf.DUMMYFUNCTION("""COMPUTED_VALUE"""),3.167524522E9)</f>
        <v>3167524522</v>
      </c>
      <c r="M1198" s="17" t="str">
        <f>IFERROR(__xludf.DUMMYFUNCTION("""COMPUTED_VALUE"""),"#REF!")</f>
        <v>#REF!</v>
      </c>
      <c r="N1198" s="17"/>
      <c r="O1198" s="19" t="str">
        <f>IFERROR(__xludf.DUMMYFUNCTION("""COMPUTED_VALUE"""),"")</f>
        <v/>
      </c>
      <c r="P1198" s="17" t="b">
        <f>IFERROR(__xludf.DUMMYFUNCTION("""COMPUTED_VALUE"""),FALSE)</f>
        <v>0</v>
      </c>
      <c r="Q1198" s="20" t="str">
        <f>IFERROR(__xludf.DUMMYFUNCTION("""COMPUTED_VALUE"""),"")</f>
        <v/>
      </c>
      <c r="R1198" s="22" t="str">
        <f>IFERROR(__xludf.DUMMYFUNCTION("""COMPUTED_VALUE"""),"")</f>
        <v/>
      </c>
    </row>
    <row r="1199">
      <c r="A1199" s="15">
        <f>IFERROR(__xludf.DUMMYFUNCTION("""COMPUTED_VALUE"""),45034.0)</f>
        <v>45034</v>
      </c>
      <c r="B1199" s="16" t="str">
        <f>IFERROR(__xludf.DUMMYFUNCTION("""COMPUTED_VALUE"""),"Johan Alexander Escobar Arroyo ")</f>
        <v>Johan Alexander Escobar Arroyo </v>
      </c>
      <c r="C1199" s="15" t="str">
        <f>IFERROR(__xludf.DUMMYFUNCTION("""COMPUTED_VALUE"""),"CALI")</f>
        <v>CALI</v>
      </c>
      <c r="D1199" s="15" t="str">
        <f>IFERROR(__xludf.DUMMYFUNCTION("""COMPUTED_VALUE"""),"BOGOTÁ")</f>
        <v>BOGOTÁ</v>
      </c>
      <c r="E1199" s="15" t="str">
        <f>IFERROR(__xludf.DUMMYFUNCTION("""COMPUTED_VALUE"""),"Evamazzita")</f>
        <v>Evamazzita</v>
      </c>
      <c r="F1199" s="17" t="str">
        <f>IFERROR(__xludf.DUMMYFUNCTION("""COMPUTED_VALUE"""),"Cl 16#61-24  /  apto 337 torre J  / unidad torremolinos")</f>
        <v>Cl 16#61-24  /  apto 337 torre J  / unidad torremolinos</v>
      </c>
      <c r="G1199" s="15" t="str">
        <f>IFERROR(__xludf.DUMMYFUNCTION("""COMPUTED_VALUE"""),"CATERINE ZAPATA")</f>
        <v>CATERINE ZAPATA</v>
      </c>
      <c r="H1199" s="16">
        <f>IFERROR(__xludf.DUMMYFUNCTION("""COMPUTED_VALUE"""),9833.0)</f>
        <v>9833</v>
      </c>
      <c r="I1199" s="18">
        <f>IFERROR(__xludf.DUMMYFUNCTION("""COMPUTED_VALUE"""),3.0)</f>
        <v>3</v>
      </c>
      <c r="J1199" s="18">
        <f>IFERROR(__xludf.DUMMYFUNCTION("""COMPUTED_VALUE"""),20.0)</f>
        <v>20</v>
      </c>
      <c r="K1199" s="18">
        <f>IFERROR(__xludf.DUMMYFUNCTION("""COMPUTED_VALUE"""),15.0)</f>
        <v>15</v>
      </c>
      <c r="L1199" s="17">
        <f>IFERROR(__xludf.DUMMYFUNCTION("""COMPUTED_VALUE"""),3.229070901E9)</f>
        <v>3229070901</v>
      </c>
      <c r="M1199" s="17" t="str">
        <f>IFERROR(__xludf.DUMMYFUNCTION("""COMPUTED_VALUE"""),"#REF!")</f>
        <v>#REF!</v>
      </c>
      <c r="N1199" s="17"/>
      <c r="O1199" s="19" t="str">
        <f>IFERROR(__xludf.DUMMYFUNCTION("""COMPUTED_VALUE"""),"")</f>
        <v/>
      </c>
      <c r="P1199" s="17" t="b">
        <f>IFERROR(__xludf.DUMMYFUNCTION("""COMPUTED_VALUE"""),FALSE)</f>
        <v>0</v>
      </c>
      <c r="Q1199" s="20" t="str">
        <f>IFERROR(__xludf.DUMMYFUNCTION("""COMPUTED_VALUE"""),"")</f>
        <v/>
      </c>
      <c r="R1199" s="22" t="str">
        <f>IFERROR(__xludf.DUMMYFUNCTION("""COMPUTED_VALUE"""),"")</f>
        <v/>
      </c>
    </row>
    <row r="1200">
      <c r="A1200" s="15">
        <f>IFERROR(__xludf.DUMMYFUNCTION("""COMPUTED_VALUE"""),45034.0)</f>
        <v>45034</v>
      </c>
      <c r="B1200" s="16" t="str">
        <f>IFERROR(__xludf.DUMMYFUNCTION("""COMPUTED_VALUE"""),"Johan Alexander Escobar Arroyo ")</f>
        <v>Johan Alexander Escobar Arroyo </v>
      </c>
      <c r="C1200" s="15" t="str">
        <f>IFERROR(__xludf.DUMMYFUNCTION("""COMPUTED_VALUE"""),"CALI")</f>
        <v>CALI</v>
      </c>
      <c r="D1200" s="15" t="str">
        <f>IFERROR(__xludf.DUMMYFUNCTION("""COMPUTED_VALUE"""),"BOGOTÁ")</f>
        <v>BOGOTÁ</v>
      </c>
      <c r="E1200" s="15" t="str">
        <f>IFERROR(__xludf.DUMMYFUNCTION("""COMPUTED_VALUE"""),"Evamazzita")</f>
        <v>Evamazzita</v>
      </c>
      <c r="F1200" s="17" t="str">
        <f>IFERROR(__xludf.DUMMYFUNCTION("""COMPUTED_VALUE"""),"cra 37Bis # 1a 49  / apto 501D hojarasca 2   / Barrio santa isabel")</f>
        <v>cra 37Bis # 1a 49  / apto 501D hojarasca 2   / Barrio santa isabel</v>
      </c>
      <c r="G1200" s="15" t="str">
        <f>IFERROR(__xludf.DUMMYFUNCTION("""COMPUTED_VALUE"""),"INGRID HENAO")</f>
        <v>INGRID HENAO</v>
      </c>
      <c r="H1200" s="16">
        <f>IFERROR(__xludf.DUMMYFUNCTION("""COMPUTED_VALUE"""),9831.0)</f>
        <v>9831</v>
      </c>
      <c r="I1200" s="18">
        <f>IFERROR(__xludf.DUMMYFUNCTION("""COMPUTED_VALUE"""),10.0)</f>
        <v>10</v>
      </c>
      <c r="J1200" s="18">
        <f>IFERROR(__xludf.DUMMYFUNCTION("""COMPUTED_VALUE"""),18.0)</f>
        <v>18</v>
      </c>
      <c r="K1200" s="18">
        <f>IFERROR(__xludf.DUMMYFUNCTION("""COMPUTED_VALUE"""),22.0)</f>
        <v>22</v>
      </c>
      <c r="L1200" s="17">
        <f>IFERROR(__xludf.DUMMYFUNCTION("""COMPUTED_VALUE"""),3.156501297E9)</f>
        <v>3156501297</v>
      </c>
      <c r="M1200" s="17" t="str">
        <f>IFERROR(__xludf.DUMMYFUNCTION("""COMPUTED_VALUE"""),"#REF!")</f>
        <v>#REF!</v>
      </c>
      <c r="N1200" s="17"/>
      <c r="O1200" s="19" t="str">
        <f>IFERROR(__xludf.DUMMYFUNCTION("""COMPUTED_VALUE"""),"")</f>
        <v/>
      </c>
      <c r="P1200" s="17" t="b">
        <f>IFERROR(__xludf.DUMMYFUNCTION("""COMPUTED_VALUE"""),FALSE)</f>
        <v>0</v>
      </c>
      <c r="Q1200" s="20" t="str">
        <f>IFERROR(__xludf.DUMMYFUNCTION("""COMPUTED_VALUE"""),"")</f>
        <v/>
      </c>
      <c r="R1200" s="22" t="str">
        <f>IFERROR(__xludf.DUMMYFUNCTION("""COMPUTED_VALUE"""),"")</f>
        <v/>
      </c>
    </row>
    <row r="1201">
      <c r="A1201" s="15">
        <f>IFERROR(__xludf.DUMMYFUNCTION("""COMPUTED_VALUE"""),45034.0)</f>
        <v>45034</v>
      </c>
      <c r="B1201" s="16" t="str">
        <f>IFERROR(__xludf.DUMMYFUNCTION("""COMPUTED_VALUE"""),"Johan Alexander Escobar Arroyo ")</f>
        <v>Johan Alexander Escobar Arroyo </v>
      </c>
      <c r="C1201" s="15" t="str">
        <f>IFERROR(__xludf.DUMMYFUNCTION("""COMPUTED_VALUE"""),"CALI")</f>
        <v>CALI</v>
      </c>
      <c r="D1201" s="15" t="str">
        <f>IFERROR(__xludf.DUMMYFUNCTION("""COMPUTED_VALUE"""),"BOGOTÁ")</f>
        <v>BOGOTÁ</v>
      </c>
      <c r="E1201" s="15" t="str">
        <f>IFERROR(__xludf.DUMMYFUNCTION("""COMPUTED_VALUE"""),"Evamazzita")</f>
        <v>Evamazzita</v>
      </c>
      <c r="F1201" s="17" t="str">
        <f>IFERROR(__xludf.DUMMYFUNCTION("""COMPUTED_VALUE"""),"CRA 46C No. 55A - 15  / N/A / BARRIO CIUDAD CORDOBA")</f>
        <v>CRA 46C No. 55A - 15  / N/A / BARRIO CIUDAD CORDOBA</v>
      </c>
      <c r="G1201" s="15" t="str">
        <f>IFERROR(__xludf.DUMMYFUNCTION("""COMPUTED_VALUE"""),"CLAUDIA CANTERO")</f>
        <v>CLAUDIA CANTERO</v>
      </c>
      <c r="H1201" s="16">
        <f>IFERROR(__xludf.DUMMYFUNCTION("""COMPUTED_VALUE"""),9826.0)</f>
        <v>9826</v>
      </c>
      <c r="I1201" s="18">
        <f>IFERROR(__xludf.DUMMYFUNCTION("""COMPUTED_VALUE"""),3.0)</f>
        <v>3</v>
      </c>
      <c r="J1201" s="18">
        <f>IFERROR(__xludf.DUMMYFUNCTION("""COMPUTED_VALUE"""),20.0)</f>
        <v>20</v>
      </c>
      <c r="K1201" s="18">
        <f>IFERROR(__xludf.DUMMYFUNCTION("""COMPUTED_VALUE"""),15.0)</f>
        <v>15</v>
      </c>
      <c r="L1201" s="17">
        <f>IFERROR(__xludf.DUMMYFUNCTION("""COMPUTED_VALUE"""),3.176248548E9)</f>
        <v>3176248548</v>
      </c>
      <c r="M1201" s="17" t="str">
        <f>IFERROR(__xludf.DUMMYFUNCTION("""COMPUTED_VALUE"""),"#REF!")</f>
        <v>#REF!</v>
      </c>
      <c r="N1201" s="17"/>
      <c r="O1201" s="19" t="str">
        <f>IFERROR(__xludf.DUMMYFUNCTION("""COMPUTED_VALUE"""),"")</f>
        <v/>
      </c>
      <c r="P1201" s="17" t="b">
        <f>IFERROR(__xludf.DUMMYFUNCTION("""COMPUTED_VALUE"""),TRUE)</f>
        <v>1</v>
      </c>
      <c r="Q1201" s="20">
        <f>IFERROR(__xludf.DUMMYFUNCTION("""COMPUTED_VALUE"""),45034.62481054398)</f>
        <v>45034.62481</v>
      </c>
      <c r="R1201" s="22" t="str">
        <f>IFERROR(__xludf.DUMMYFUNCTION("""COMPUTED_VALUE"""),"")</f>
        <v/>
      </c>
    </row>
    <row r="1202">
      <c r="A1202" s="15">
        <f>IFERROR(__xludf.DUMMYFUNCTION("""COMPUTED_VALUE"""),45034.0)</f>
        <v>45034</v>
      </c>
      <c r="B1202" s="16" t="str">
        <f>IFERROR(__xludf.DUMMYFUNCTION("""COMPUTED_VALUE"""),"Johan Alexander Escobar Arroyo ")</f>
        <v>Johan Alexander Escobar Arroyo </v>
      </c>
      <c r="C1202" s="15" t="str">
        <f>IFERROR(__xludf.DUMMYFUNCTION("""COMPUTED_VALUE"""),"IBAGUÉ")</f>
        <v>IBAGUÉ</v>
      </c>
      <c r="D1202" s="15" t="str">
        <f>IFERROR(__xludf.DUMMYFUNCTION("""COMPUTED_VALUE"""),"BOGOTÁ")</f>
        <v>BOGOTÁ</v>
      </c>
      <c r="E1202" s="15" t="str">
        <f>IFERROR(__xludf.DUMMYFUNCTION("""COMPUTED_VALUE"""),"Karem foods")</f>
        <v>Karem foods</v>
      </c>
      <c r="F1202" s="17" t="str">
        <f>IFERROR(__xludf.DUMMYFUNCTION("""COMPUTED_VALUE"""),"Cra 14 # 75A-29 Local 5 Estancia del Vergel / - / -")</f>
        <v>Cra 14 # 75A-29 Local 5 Estancia del Vergel / - / -</v>
      </c>
      <c r="G1202" s="15" t="str">
        <f>IFERROR(__xludf.DUMMYFUNCTION("""COMPUTED_VALUE"""),"Daniela Arbelaez Lopera (Soy natural)")</f>
        <v>Daniela Arbelaez Lopera (Soy natural)</v>
      </c>
      <c r="H1202" s="16">
        <f>IFERROR(__xludf.DUMMYFUNCTION("""COMPUTED_VALUE"""),9864.0)</f>
        <v>9864</v>
      </c>
      <c r="I1202" s="18">
        <f>IFERROR(__xludf.DUMMYFUNCTION("""COMPUTED_VALUE"""),20.0)</f>
        <v>20</v>
      </c>
      <c r="J1202" s="18">
        <f>IFERROR(__xludf.DUMMYFUNCTION("""COMPUTED_VALUE"""),30.0)</f>
        <v>30</v>
      </c>
      <c r="K1202" s="18">
        <f>IFERROR(__xludf.DUMMYFUNCTION("""COMPUTED_VALUE"""),30.0)</f>
        <v>30</v>
      </c>
      <c r="L1202" s="17">
        <f>IFERROR(__xludf.DUMMYFUNCTION("""COMPUTED_VALUE"""),3.177002909E9)</f>
        <v>3177002909</v>
      </c>
      <c r="M1202" s="17" t="str">
        <f>IFERROR(__xludf.DUMMYFUNCTION("""COMPUTED_VALUE"""),"#REF!")</f>
        <v>#REF!</v>
      </c>
      <c r="N1202" s="17"/>
      <c r="O1202" s="19" t="str">
        <f>IFERROR(__xludf.DUMMYFUNCTION("""COMPUTED_VALUE"""),"")</f>
        <v/>
      </c>
      <c r="P1202" s="17" t="b">
        <f>IFERROR(__xludf.DUMMYFUNCTION("""COMPUTED_VALUE"""),FALSE)</f>
        <v>0</v>
      </c>
      <c r="Q1202" s="20" t="str">
        <f>IFERROR(__xludf.DUMMYFUNCTION("""COMPUTED_VALUE"""),"")</f>
        <v/>
      </c>
      <c r="R1202" s="22" t="str">
        <f>IFERROR(__xludf.DUMMYFUNCTION("""COMPUTED_VALUE"""),"")</f>
        <v/>
      </c>
    </row>
    <row r="1203">
      <c r="A1203" s="15">
        <f>IFERROR(__xludf.DUMMYFUNCTION("""COMPUTED_VALUE"""),45034.0)</f>
        <v>45034</v>
      </c>
      <c r="B1203" s="16" t="str">
        <f>IFERROR(__xludf.DUMMYFUNCTION("""COMPUTED_VALUE"""),"Johan Alexander Escobar Arroyo ")</f>
        <v>Johan Alexander Escobar Arroyo </v>
      </c>
      <c r="C1203" s="15" t="str">
        <f>IFERROR(__xludf.DUMMYFUNCTION("""COMPUTED_VALUE"""),"IBAGUÉ")</f>
        <v>IBAGUÉ</v>
      </c>
      <c r="D1203" s="15" t="str">
        <f>IFERROR(__xludf.DUMMYFUNCTION("""COMPUTED_VALUE"""),"BOGOTÁ")</f>
        <v>BOGOTÁ</v>
      </c>
      <c r="E1203" s="15" t="str">
        <f>IFERROR(__xludf.DUMMYFUNCTION("""COMPUTED_VALUE"""),"Pan de Waffle")</f>
        <v>Pan de Waffle</v>
      </c>
      <c r="F1203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1203" s="15" t="str">
        <f>IFERROR(__xludf.DUMMYFUNCTION("""COMPUTED_VALUE"""),"Soy Natural -Ibague")</f>
        <v>Soy Natural -Ibague</v>
      </c>
      <c r="H1203" s="16">
        <f>IFERROR(__xludf.DUMMYFUNCTION("""COMPUTED_VALUE"""),9873.0)</f>
        <v>9873</v>
      </c>
      <c r="I1203" s="18">
        <f>IFERROR(__xludf.DUMMYFUNCTION("""COMPUTED_VALUE"""),30.0)</f>
        <v>30</v>
      </c>
      <c r="J1203" s="18">
        <f>IFERROR(__xludf.DUMMYFUNCTION("""COMPUTED_VALUE"""),40.0)</f>
        <v>40</v>
      </c>
      <c r="K1203" s="18">
        <f>IFERROR(__xludf.DUMMYFUNCTION("""COMPUTED_VALUE"""),30.0)</f>
        <v>30</v>
      </c>
      <c r="L1203" s="17">
        <f>IFERROR(__xludf.DUMMYFUNCTION("""COMPUTED_VALUE"""),3.208565148E9)</f>
        <v>3208565148</v>
      </c>
      <c r="M1203" s="17" t="str">
        <f>IFERROR(__xludf.DUMMYFUNCTION("""COMPUTED_VALUE"""),"#REF!")</f>
        <v>#REF!</v>
      </c>
      <c r="N1203" s="17"/>
      <c r="O1203" s="19" t="str">
        <f>IFERROR(__xludf.DUMMYFUNCTION("""COMPUTED_VALUE"""),"")</f>
        <v/>
      </c>
      <c r="P1203" s="17" t="b">
        <f>IFERROR(__xludf.DUMMYFUNCTION("""COMPUTED_VALUE"""),TRUE)</f>
        <v>1</v>
      </c>
      <c r="Q1203" s="20">
        <f>IFERROR(__xludf.DUMMYFUNCTION("""COMPUTED_VALUE"""),45034.62496678241)</f>
        <v>45034.62497</v>
      </c>
      <c r="R1203" s="22" t="str">
        <f>IFERROR(__xludf.DUMMYFUNCTION("""COMPUTED_VALUE"""),"")</f>
        <v/>
      </c>
    </row>
    <row r="1204">
      <c r="A1204" s="15">
        <f>IFERROR(__xludf.DUMMYFUNCTION("""COMPUTED_VALUE"""),45034.0)</f>
        <v>45034</v>
      </c>
      <c r="B1204" s="16" t="str">
        <f>IFERROR(__xludf.DUMMYFUNCTION("""COMPUTED_VALUE"""),"Johan Alexander Escobar Arroyo ")</f>
        <v>Johan Alexander Escobar Arroyo </v>
      </c>
      <c r="C1204" s="15" t="str">
        <f>IFERROR(__xludf.DUMMYFUNCTION("""COMPUTED_VALUE"""),"IBAGUÉ")</f>
        <v>IBAGUÉ</v>
      </c>
      <c r="D1204" s="15" t="str">
        <f>IFERROR(__xludf.DUMMYFUNCTION("""COMPUTED_VALUE"""),"MEDELLÍN")</f>
        <v>MEDELLÍN</v>
      </c>
      <c r="E1204" s="15" t="str">
        <f>IFERROR(__xludf.DUMMYFUNCTION("""COMPUTED_VALUE"""),"Baby Chef")</f>
        <v>Baby Chef</v>
      </c>
      <c r="F1204" s="17" t="str">
        <f>IFERROR(__xludf.DUMMYFUNCTION("""COMPUTED_VALUE"""),"Calle 15 # 2-67 of 115 C.C Yulima  Centro  / Calle 15 # 2-67 of 115 C.C Yulima / Calle 15 # 2-67 of 115 C.C Yulima")</f>
        <v>Calle 15 # 2-67 of 115 C.C Yulima  Centro  / Calle 15 # 2-67 of 115 C.C Yulima / Calle 15 # 2-67 of 115 C.C Yulima</v>
      </c>
      <c r="G1204" s="15" t="str">
        <f>IFERROR(__xludf.DUMMYFUNCTION("""COMPUTED_VALUE"""),"ANGELA SANCHEZ")</f>
        <v>ANGELA SANCHEZ</v>
      </c>
      <c r="H1204" s="16">
        <f>IFERROR(__xludf.DUMMYFUNCTION("""COMPUTED_VALUE"""),9859.0)</f>
        <v>9859</v>
      </c>
      <c r="I1204" s="18">
        <f>IFERROR(__xludf.DUMMYFUNCTION("""COMPUTED_VALUE"""),8.0)</f>
        <v>8</v>
      </c>
      <c r="J1204" s="18">
        <f>IFERROR(__xludf.DUMMYFUNCTION("""COMPUTED_VALUE"""),16.0)</f>
        <v>16</v>
      </c>
      <c r="K1204" s="18">
        <f>IFERROR(__xludf.DUMMYFUNCTION("""COMPUTED_VALUE"""),20.0)</f>
        <v>20</v>
      </c>
      <c r="L1204" s="17">
        <f>IFERROR(__xludf.DUMMYFUNCTION("""COMPUTED_VALUE"""),3.166292353E9)</f>
        <v>3166292353</v>
      </c>
      <c r="M1204" s="17" t="str">
        <f>IFERROR(__xludf.DUMMYFUNCTION("""COMPUTED_VALUE"""),"#REF!")</f>
        <v>#REF!</v>
      </c>
      <c r="N1204" s="17"/>
      <c r="O1204" s="19" t="str">
        <f>IFERROR(__xludf.DUMMYFUNCTION("""COMPUTED_VALUE"""),"")</f>
        <v/>
      </c>
      <c r="P1204" s="17" t="b">
        <f>IFERROR(__xludf.DUMMYFUNCTION("""COMPUTED_VALUE"""),FALSE)</f>
        <v>0</v>
      </c>
      <c r="Q1204" s="20" t="str">
        <f>IFERROR(__xludf.DUMMYFUNCTION("""COMPUTED_VALUE"""),"")</f>
        <v/>
      </c>
      <c r="R1204" s="22" t="str">
        <f>IFERROR(__xludf.DUMMYFUNCTION("""COMPUTED_VALUE"""),"")</f>
        <v/>
      </c>
    </row>
    <row r="1205">
      <c r="A1205" s="17" t="str">
        <f>IFERROR(__xludf.DUMMYFUNCTION("""COMPUTED_VALUE"""),"")</f>
        <v/>
      </c>
      <c r="B1205" s="17" t="str">
        <f>IFERROR(__xludf.DUMMYFUNCTION("""COMPUTED_VALUE"""),"")</f>
        <v/>
      </c>
      <c r="C1205" s="17" t="str">
        <f>IFERROR(__xludf.DUMMYFUNCTION("""COMPUTED_VALUE"""),"")</f>
        <v/>
      </c>
      <c r="D1205" s="17" t="str">
        <f>IFERROR(__xludf.DUMMYFUNCTION("""COMPUTED_VALUE"""),"")</f>
        <v/>
      </c>
      <c r="E1205" s="17" t="str">
        <f>IFERROR(__xludf.DUMMYFUNCTION("""COMPUTED_VALUE"""),"")</f>
        <v/>
      </c>
      <c r="F1205" s="17" t="str">
        <f>IFERROR(__xludf.DUMMYFUNCTION("""COMPUTED_VALUE"""),"")</f>
        <v/>
      </c>
      <c r="G1205" s="17" t="str">
        <f>IFERROR(__xludf.DUMMYFUNCTION("""COMPUTED_VALUE"""),"")</f>
        <v/>
      </c>
      <c r="H1205" s="17" t="str">
        <f>IFERROR(__xludf.DUMMYFUNCTION("""COMPUTED_VALUE"""),"")</f>
        <v/>
      </c>
      <c r="I1205" s="17" t="str">
        <f>IFERROR(__xludf.DUMMYFUNCTION("""COMPUTED_VALUE"""),"")</f>
        <v/>
      </c>
      <c r="J1205" s="17" t="str">
        <f>IFERROR(__xludf.DUMMYFUNCTION("""COMPUTED_VALUE"""),"")</f>
        <v/>
      </c>
      <c r="K1205" s="17" t="str">
        <f>IFERROR(__xludf.DUMMYFUNCTION("""COMPUTED_VALUE"""),"")</f>
        <v/>
      </c>
      <c r="L1205" s="17" t="str">
        <f>IFERROR(__xludf.DUMMYFUNCTION("""COMPUTED_VALUE"""),"")</f>
        <v/>
      </c>
      <c r="M1205" s="17" t="str">
        <f>IFERROR(__xludf.DUMMYFUNCTION("""COMPUTED_VALUE"""),"")</f>
        <v/>
      </c>
      <c r="N1205" s="17" t="str">
        <f>IFERROR(__xludf.DUMMYFUNCTION("""COMPUTED_VALUE"""),"")</f>
        <v/>
      </c>
      <c r="O1205" s="17" t="str">
        <f>IFERROR(__xludf.DUMMYFUNCTION("""COMPUTED_VALUE"""),"")</f>
        <v/>
      </c>
      <c r="P1205" s="17" t="str">
        <f>IFERROR(__xludf.DUMMYFUNCTION("""COMPUTED_VALUE"""),"")</f>
        <v/>
      </c>
      <c r="Q1205" s="17" t="str">
        <f>IFERROR(__xludf.DUMMYFUNCTION("""COMPUTED_VALUE"""),"")</f>
        <v/>
      </c>
      <c r="R1205" s="17" t="str">
        <f>IFERROR(__xludf.DUMMYFUNCTION("""COMPUTED_VALUE"""),"")</f>
        <v/>
      </c>
    </row>
    <row r="1206">
      <c r="A1206" s="15">
        <f>IFERROR(__xludf.DUMMYFUNCTION("""COMPUTED_VALUE"""),45034.0)</f>
        <v>45034</v>
      </c>
      <c r="B1206" s="16" t="str">
        <f>IFERROR(__xludf.DUMMYFUNCTION("""COMPUTED_VALUE"""),"Jonathan Steven Taborda")</f>
        <v>Jonathan Steven Taborda</v>
      </c>
      <c r="C1206" s="15" t="str">
        <f>IFERROR(__xludf.DUMMYFUNCTION("""COMPUTED_VALUE"""),"ARMENIA")</f>
        <v>ARMENIA</v>
      </c>
      <c r="D1206" s="15" t="str">
        <f>IFERROR(__xludf.DUMMYFUNCTION("""COMPUTED_VALUE"""),"BOGOTÁ")</f>
        <v>BOGOTÁ</v>
      </c>
      <c r="E1206" s="15" t="str">
        <f>IFERROR(__xludf.DUMMYFUNCTION("""COMPUTED_VALUE"""),"Asociacion Agropecuaria Juana Maria")</f>
        <v>Asociacion Agropecuaria Juana Maria</v>
      </c>
      <c r="F1206" s="17" t="str">
        <f>IFERROR(__xludf.DUMMYFUNCTION("""COMPUTED_VALUE"""),"Cra 16 # 16-21 local 14")</f>
        <v>Cra 16 # 16-21 local 14</v>
      </c>
      <c r="G1206" s="15" t="str">
        <f>IFERROR(__xludf.DUMMYFUNCTION("""COMPUTED_VALUE"""),"Leidy Natalia Parra Gomez")</f>
        <v>Leidy Natalia Parra Gomez</v>
      </c>
      <c r="H1206" s="16">
        <f>IFERROR(__xludf.DUMMYFUNCTION("""COMPUTED_VALUE"""),9742.0)</f>
        <v>9742</v>
      </c>
      <c r="I1206" s="18">
        <f>IFERROR(__xludf.DUMMYFUNCTION("""COMPUTED_VALUE"""),12.0)</f>
        <v>12</v>
      </c>
      <c r="J1206" s="18">
        <f>IFERROR(__xludf.DUMMYFUNCTION("""COMPUTED_VALUE"""),37.0)</f>
        <v>37</v>
      </c>
      <c r="K1206" s="18">
        <f>IFERROR(__xludf.DUMMYFUNCTION("""COMPUTED_VALUE"""),24.0)</f>
        <v>24</v>
      </c>
      <c r="L1206" s="17">
        <f>IFERROR(__xludf.DUMMYFUNCTION("""COMPUTED_VALUE"""),3.024454573E9)</f>
        <v>3024454573</v>
      </c>
      <c r="M1206" s="17" t="str">
        <f>IFERROR(__xludf.DUMMYFUNCTION("""COMPUTED_VALUE"""),"#REF!")</f>
        <v>#REF!</v>
      </c>
      <c r="N1206" s="17"/>
      <c r="O1206" s="19" t="str">
        <f>IFERROR(__xludf.DUMMYFUNCTION("""COMPUTED_VALUE"""),"")</f>
        <v/>
      </c>
      <c r="P1206" s="17" t="b">
        <f>IFERROR(__xludf.DUMMYFUNCTION("""COMPUTED_VALUE"""),FALSE)</f>
        <v>0</v>
      </c>
      <c r="Q1206" s="20" t="str">
        <f>IFERROR(__xludf.DUMMYFUNCTION("""COMPUTED_VALUE"""),"")</f>
        <v/>
      </c>
      <c r="R1206" s="22" t="str">
        <f>IFERROR(__xludf.DUMMYFUNCTION("""COMPUTED_VALUE"""),"")</f>
        <v/>
      </c>
    </row>
    <row r="1207">
      <c r="A1207" s="15">
        <f>IFERROR(__xludf.DUMMYFUNCTION("""COMPUTED_VALUE"""),45034.0)</f>
        <v>45034</v>
      </c>
      <c r="B1207" s="16" t="str">
        <f>IFERROR(__xludf.DUMMYFUNCTION("""COMPUTED_VALUE"""),"Jonathan Steven Taborda")</f>
        <v>Jonathan Steven Taborda</v>
      </c>
      <c r="C1207" s="15" t="str">
        <f>IFERROR(__xludf.DUMMYFUNCTION("""COMPUTED_VALUE"""),"ARMENIA")</f>
        <v>ARMENIA</v>
      </c>
      <c r="D1207" s="15" t="str">
        <f>IFERROR(__xludf.DUMMYFUNCTION("""COMPUTED_VALUE"""),"BOGOTÁ")</f>
        <v>BOGOTÁ</v>
      </c>
      <c r="E1207" s="15" t="str">
        <f>IFERROR(__xludf.DUMMYFUNCTION("""COMPUTED_VALUE"""),"Asociacion Agropecuaria Juana Maria")</f>
        <v>Asociacion Agropecuaria Juana Maria</v>
      </c>
      <c r="F1207" s="17" t="str">
        <f>IFERROR(__xludf.DUMMYFUNCTION("""COMPUTED_VALUE"""),"URBANIZACION ENTREVERDES MANZANA 8 CASA 7")</f>
        <v>URBANIZACION ENTREVERDES MANZANA 8 CASA 7</v>
      </c>
      <c r="G1207" s="15" t="str">
        <f>IFERROR(__xludf.DUMMYFUNCTION("""COMPUTED_VALUE"""),"Claudia Castillo")</f>
        <v>Claudia Castillo</v>
      </c>
      <c r="H1207" s="16">
        <f>IFERROR(__xludf.DUMMYFUNCTION("""COMPUTED_VALUE"""),9735.0)</f>
        <v>9735</v>
      </c>
      <c r="I1207" s="18">
        <f>IFERROR(__xludf.DUMMYFUNCTION("""COMPUTED_VALUE"""),21.0)</f>
        <v>21</v>
      </c>
      <c r="J1207" s="18">
        <f>IFERROR(__xludf.DUMMYFUNCTION("""COMPUTED_VALUE"""),37.0)</f>
        <v>37</v>
      </c>
      <c r="K1207" s="18">
        <f>IFERROR(__xludf.DUMMYFUNCTION("""COMPUTED_VALUE"""),30.0)</f>
        <v>30</v>
      </c>
      <c r="L1207" s="17">
        <f>IFERROR(__xludf.DUMMYFUNCTION("""COMPUTED_VALUE"""),3.20804821E9)</f>
        <v>3208048210</v>
      </c>
      <c r="M1207" s="17" t="str">
        <f>IFERROR(__xludf.DUMMYFUNCTION("""COMPUTED_VALUE"""),"#REF!")</f>
        <v>#REF!</v>
      </c>
      <c r="N1207" s="17"/>
      <c r="O1207" s="19" t="str">
        <f>IFERROR(__xludf.DUMMYFUNCTION("""COMPUTED_VALUE"""),"")</f>
        <v/>
      </c>
      <c r="P1207" s="17" t="b">
        <f>IFERROR(__xludf.DUMMYFUNCTION("""COMPUTED_VALUE"""),FALSE)</f>
        <v>0</v>
      </c>
      <c r="Q1207" s="20" t="str">
        <f>IFERROR(__xludf.DUMMYFUNCTION("""COMPUTED_VALUE"""),"")</f>
        <v/>
      </c>
      <c r="R1207" s="22" t="str">
        <f>IFERROR(__xludf.DUMMYFUNCTION("""COMPUTED_VALUE"""),"")</f>
        <v/>
      </c>
    </row>
    <row r="1208">
      <c r="A1208" s="15">
        <f>IFERROR(__xludf.DUMMYFUNCTION("""COMPUTED_VALUE"""),45034.0)</f>
        <v>45034</v>
      </c>
      <c r="B1208" s="16" t="str">
        <f>IFERROR(__xludf.DUMMYFUNCTION("""COMPUTED_VALUE"""),"Jonathan Steven Taborda")</f>
        <v>Jonathan Steven Taborda</v>
      </c>
      <c r="C1208" s="15" t="str">
        <f>IFERROR(__xludf.DUMMYFUNCTION("""COMPUTED_VALUE"""),"ARMENIA")</f>
        <v>ARMENIA</v>
      </c>
      <c r="D1208" s="15" t="str">
        <f>IFERROR(__xludf.DUMMYFUNCTION("""COMPUTED_VALUE"""),"BOGOTÁ")</f>
        <v>BOGOTÁ</v>
      </c>
      <c r="E1208" s="15" t="str">
        <f>IFERROR(__xludf.DUMMYFUNCTION("""COMPUTED_VALUE"""),"Athenas")</f>
        <v>Athenas</v>
      </c>
      <c r="F1208" s="17" t="str">
        <f>IFERROR(__xludf.DUMMYFUNCTION("""COMPUTED_VALUE"""),"av centenario cra 6-180 / cc calima local 2-24  / gimnasio BODYTECH cafetería ATHENAS")</f>
        <v>av centenario cra 6-180 / cc calima local 2-24  / gimnasio BODYTECH cafetería ATHENAS</v>
      </c>
      <c r="G1208" s="15" t="str">
        <f>IFERROR(__xludf.DUMMYFUNCTION("""COMPUTED_VALUE"""),"Yenny Arias")</f>
        <v>Yenny Arias</v>
      </c>
      <c r="H1208" s="16">
        <f>IFERROR(__xludf.DUMMYFUNCTION("""COMPUTED_VALUE"""),9880.0)</f>
        <v>9880</v>
      </c>
      <c r="I1208" s="18">
        <f>IFERROR(__xludf.DUMMYFUNCTION("""COMPUTED_VALUE"""),21.0)</f>
        <v>21</v>
      </c>
      <c r="J1208" s="18">
        <f>IFERROR(__xludf.DUMMYFUNCTION("""COMPUTED_VALUE"""),50.0)</f>
        <v>50</v>
      </c>
      <c r="K1208" s="18">
        <f>IFERROR(__xludf.DUMMYFUNCTION("""COMPUTED_VALUE"""),30.0)</f>
        <v>30</v>
      </c>
      <c r="L1208" s="17">
        <f>IFERROR(__xludf.DUMMYFUNCTION("""COMPUTED_VALUE"""),3.108971738E9)</f>
        <v>3108971738</v>
      </c>
      <c r="M1208" s="17" t="str">
        <f>IFERROR(__xludf.DUMMYFUNCTION("""COMPUTED_VALUE"""),"#REF!")</f>
        <v>#REF!</v>
      </c>
      <c r="N1208" s="17"/>
      <c r="O1208" s="19" t="str">
        <f>IFERROR(__xludf.DUMMYFUNCTION("""COMPUTED_VALUE"""),"")</f>
        <v/>
      </c>
      <c r="P1208" s="17" t="b">
        <f>IFERROR(__xludf.DUMMYFUNCTION("""COMPUTED_VALUE"""),TRUE)</f>
        <v>1</v>
      </c>
      <c r="Q1208" s="20">
        <f>IFERROR(__xludf.DUMMYFUNCTION("""COMPUTED_VALUE"""),45034.667637499995)</f>
        <v>45034.66764</v>
      </c>
      <c r="R1208" s="22" t="str">
        <f>IFERROR(__xludf.DUMMYFUNCTION("""COMPUTED_VALUE"""),"")</f>
        <v/>
      </c>
    </row>
    <row r="1209">
      <c r="A1209" s="15">
        <f>IFERROR(__xludf.DUMMYFUNCTION("""COMPUTED_VALUE"""),45034.0)</f>
        <v>45034</v>
      </c>
      <c r="B1209" s="16" t="str">
        <f>IFERROR(__xludf.DUMMYFUNCTION("""COMPUTED_VALUE"""),"Jonathan Steven Taborda")</f>
        <v>Jonathan Steven Taborda</v>
      </c>
      <c r="C1209" s="15" t="str">
        <f>IFERROR(__xludf.DUMMYFUNCTION("""COMPUTED_VALUE"""),"ARMENIA")</f>
        <v>ARMENIA</v>
      </c>
      <c r="D1209" s="15" t="str">
        <f>IFERROR(__xludf.DUMMYFUNCTION("""COMPUTED_VALUE"""),"MEDELLÍN")</f>
        <v>MEDELLÍN</v>
      </c>
      <c r="E1209" s="15" t="str">
        <f>IFERROR(__xludf.DUMMYFUNCTION("""COMPUTED_VALUE"""),"Baby Chef")</f>
        <v>Baby Chef</v>
      </c>
      <c r="F1209" s="17" t="str">
        <f>IFERROR(__xludf.DUMMYFUNCTION("""COMPUTED_VALUE"""),"Barrio lindaraja Etapa 2 manzana 11 casa 15 Armenia quindiO / Barrio lindaraja Etapa 2 manzana 11 casa 15 Armenia quindi / Barrio lindaraja Etapa 2 manzana 11 casa 15 Armenia quindi")</f>
        <v>Barrio lindaraja Etapa 2 manzana 11 casa 15 Armenia quindiO / Barrio lindaraja Etapa 2 manzana 11 casa 15 Armenia quindi / Barrio lindaraja Etapa 2 manzana 11 casa 15 Armenia quindi</v>
      </c>
      <c r="G1209" s="15" t="str">
        <f>IFERROR(__xludf.DUMMYFUNCTION("""COMPUTED_VALUE"""),"LINA MARCELA SABOGAL")</f>
        <v>LINA MARCELA SABOGAL</v>
      </c>
      <c r="H1209" s="16">
        <f>IFERROR(__xludf.DUMMYFUNCTION("""COMPUTED_VALUE"""),9855.0)</f>
        <v>9855</v>
      </c>
      <c r="I1209" s="18">
        <f>IFERROR(__xludf.DUMMYFUNCTION("""COMPUTED_VALUE"""),8.0)</f>
        <v>8</v>
      </c>
      <c r="J1209" s="18">
        <f>IFERROR(__xludf.DUMMYFUNCTION("""COMPUTED_VALUE"""),16.0)</f>
        <v>16</v>
      </c>
      <c r="K1209" s="18">
        <f>IFERROR(__xludf.DUMMYFUNCTION("""COMPUTED_VALUE"""),20.0)</f>
        <v>20</v>
      </c>
      <c r="L1209" s="17">
        <f>IFERROR(__xludf.DUMMYFUNCTION("""COMPUTED_VALUE"""),3.178484396E9)</f>
        <v>3178484396</v>
      </c>
      <c r="M1209" s="17" t="str">
        <f>IFERROR(__xludf.DUMMYFUNCTION("""COMPUTED_VALUE"""),"#REF!")</f>
        <v>#REF!</v>
      </c>
      <c r="N1209" s="17"/>
      <c r="O1209" s="19" t="str">
        <f>IFERROR(__xludf.DUMMYFUNCTION("""COMPUTED_VALUE"""),"")</f>
        <v/>
      </c>
      <c r="P1209" s="17" t="b">
        <f>IFERROR(__xludf.DUMMYFUNCTION("""COMPUTED_VALUE"""),TRUE)</f>
        <v>1</v>
      </c>
      <c r="Q1209" s="20">
        <f>IFERROR(__xludf.DUMMYFUNCTION("""COMPUTED_VALUE"""),45034.6676505787)</f>
        <v>45034.66765</v>
      </c>
      <c r="R1209" s="22" t="str">
        <f>IFERROR(__xludf.DUMMYFUNCTION("""COMPUTED_VALUE"""),"")</f>
        <v/>
      </c>
    </row>
    <row r="1210">
      <c r="A1210" s="15">
        <f>IFERROR(__xludf.DUMMYFUNCTION("""COMPUTED_VALUE"""),45034.0)</f>
        <v>45034</v>
      </c>
      <c r="B1210" s="16" t="str">
        <f>IFERROR(__xludf.DUMMYFUNCTION("""COMPUTED_VALUE"""),"Jonathan Steven Taborda")</f>
        <v>Jonathan Steven Taborda</v>
      </c>
      <c r="C1210" s="15" t="str">
        <f>IFERROR(__xludf.DUMMYFUNCTION("""COMPUTED_VALUE"""),"ARMENIA")</f>
        <v>ARMENIA</v>
      </c>
      <c r="D1210" s="15" t="str">
        <f>IFERROR(__xludf.DUMMYFUNCTION("""COMPUTED_VALUE"""),"MEDELLÍN")</f>
        <v>MEDELLÍN</v>
      </c>
      <c r="E1210" s="15" t="str">
        <f>IFERROR(__xludf.DUMMYFUNCTION("""COMPUTED_VALUE"""),"Baby Chef")</f>
        <v>Baby Chef</v>
      </c>
      <c r="F1210" s="17" t="str">
        <f>IFERROR(__xludf.DUMMYFUNCTION("""COMPUTED_VALUE"""),"Barrio paraíso manzana H casa 117 / Paraiso manzana H casa 117 ARMENIA  / Paraiso manzana H casa 117 ARMENIA 630002 ARMEN")</f>
        <v>Barrio paraíso manzana H casa 117 / Paraiso manzana H casa 117 ARMENIA  / Paraiso manzana H casa 117 ARMENIA 630002 ARMEN</v>
      </c>
      <c r="G1210" s="15" t="str">
        <f>IFERROR(__xludf.DUMMYFUNCTION("""COMPUTED_VALUE"""),"ALEJANDRA BAQUERO FLOREZ")</f>
        <v>ALEJANDRA BAQUERO FLOREZ</v>
      </c>
      <c r="H1210" s="16">
        <f>IFERROR(__xludf.DUMMYFUNCTION("""COMPUTED_VALUE"""),9853.0)</f>
        <v>9853</v>
      </c>
      <c r="I1210" s="18">
        <f>IFERROR(__xludf.DUMMYFUNCTION("""COMPUTED_VALUE"""),8.0)</f>
        <v>8</v>
      </c>
      <c r="J1210" s="18">
        <f>IFERROR(__xludf.DUMMYFUNCTION("""COMPUTED_VALUE"""),16.0)</f>
        <v>16</v>
      </c>
      <c r="K1210" s="18">
        <f>IFERROR(__xludf.DUMMYFUNCTION("""COMPUTED_VALUE"""),20.0)</f>
        <v>20</v>
      </c>
      <c r="L1210" s="17">
        <f>IFERROR(__xludf.DUMMYFUNCTION("""COMPUTED_VALUE"""),3.216523982E9)</f>
        <v>3216523982</v>
      </c>
      <c r="M1210" s="17" t="str">
        <f>IFERROR(__xludf.DUMMYFUNCTION("""COMPUTED_VALUE"""),"#REF!")</f>
        <v>#REF!</v>
      </c>
      <c r="N1210" s="17"/>
      <c r="O1210" s="19" t="str">
        <f>IFERROR(__xludf.DUMMYFUNCTION("""COMPUTED_VALUE"""),"")</f>
        <v/>
      </c>
      <c r="P1210" s="17" t="b">
        <f>IFERROR(__xludf.DUMMYFUNCTION("""COMPUTED_VALUE"""),TRUE)</f>
        <v>1</v>
      </c>
      <c r="Q1210" s="20">
        <f>IFERROR(__xludf.DUMMYFUNCTION("""COMPUTED_VALUE"""),45034.667666215275)</f>
        <v>45034.66767</v>
      </c>
      <c r="R1210" s="22" t="str">
        <f>IFERROR(__xludf.DUMMYFUNCTION("""COMPUTED_VALUE"""),"")</f>
        <v/>
      </c>
    </row>
    <row r="1211">
      <c r="A1211" s="15">
        <f>IFERROR(__xludf.DUMMYFUNCTION("""COMPUTED_VALUE"""),45034.0)</f>
        <v>45034</v>
      </c>
      <c r="B1211" s="16" t="str">
        <f>IFERROR(__xludf.DUMMYFUNCTION("""COMPUTED_VALUE"""),"Jonathan Steven Taborda")</f>
        <v>Jonathan Steven Taborda</v>
      </c>
      <c r="C1211" s="15" t="str">
        <f>IFERROR(__xludf.DUMMYFUNCTION("""COMPUTED_VALUE"""),"ARMENIA")</f>
        <v>ARMENIA</v>
      </c>
      <c r="D1211" s="15" t="str">
        <f>IFERROR(__xludf.DUMMYFUNCTION("""COMPUTED_VALUE"""),"MEDELLÍN")</f>
        <v>MEDELLÍN</v>
      </c>
      <c r="E1211" s="15" t="str">
        <f>IFERROR(__xludf.DUMMYFUNCTION("""COMPUTED_VALUE"""),"Baby Chef")</f>
        <v>Baby Chef</v>
      </c>
      <c r="F1211" s="17" t="str">
        <f>IFERROR(__xludf.DUMMYFUNCTION("""COMPUTED_VALUE"""),"CALLE 50 NORTE NUMERO 16 -02 CONJUNTO GERANIOS MZ A CASA 6 / CALLE 50 NORTE 16-02 CONJUNTO LOS GERANIOS MZ A CASA 6 AREMNIA QUINDIO / CALLE 50 NORTE 16-02 CONJUNTO LOS GERANIOS MZ A CASA 6 AREMNIA QUINDIO")</f>
        <v>CALLE 50 NORTE NUMERO 16 -02 CONJUNTO GERANIOS MZ A CASA 6 / CALLE 50 NORTE 16-02 CONJUNTO LOS GERANIOS MZ A CASA 6 AREMNIA QUINDIO / CALLE 50 NORTE 16-02 CONJUNTO LOS GERANIOS MZ A CASA 6 AREMNIA QUINDIO</v>
      </c>
      <c r="G1211" s="15" t="str">
        <f>IFERROR(__xludf.DUMMYFUNCTION("""COMPUTED_VALUE"""),"VIVIANA LOPEZ")</f>
        <v>VIVIANA LOPEZ</v>
      </c>
      <c r="H1211" s="16">
        <f>IFERROR(__xludf.DUMMYFUNCTION("""COMPUTED_VALUE"""),9852.0)</f>
        <v>9852</v>
      </c>
      <c r="I1211" s="18">
        <f>IFERROR(__xludf.DUMMYFUNCTION("""COMPUTED_VALUE"""),8.0)</f>
        <v>8</v>
      </c>
      <c r="J1211" s="18">
        <f>IFERROR(__xludf.DUMMYFUNCTION("""COMPUTED_VALUE"""),16.0)</f>
        <v>16</v>
      </c>
      <c r="K1211" s="18">
        <f>IFERROR(__xludf.DUMMYFUNCTION("""COMPUTED_VALUE"""),20.0)</f>
        <v>20</v>
      </c>
      <c r="L1211" s="17">
        <f>IFERROR(__xludf.DUMMYFUNCTION("""COMPUTED_VALUE"""),3.168203344E9)</f>
        <v>3168203344</v>
      </c>
      <c r="M1211" s="17" t="str">
        <f>IFERROR(__xludf.DUMMYFUNCTION("""COMPUTED_VALUE"""),"#REF!")</f>
        <v>#REF!</v>
      </c>
      <c r="N1211" s="17"/>
      <c r="O1211" s="19" t="str">
        <f>IFERROR(__xludf.DUMMYFUNCTION("""COMPUTED_VALUE"""),"")</f>
        <v/>
      </c>
      <c r="P1211" s="17" t="b">
        <f>IFERROR(__xludf.DUMMYFUNCTION("""COMPUTED_VALUE"""),TRUE)</f>
        <v>1</v>
      </c>
      <c r="Q1211" s="20">
        <f>IFERROR(__xludf.DUMMYFUNCTION("""COMPUTED_VALUE"""),45034.6676784375)</f>
        <v>45034.66768</v>
      </c>
      <c r="R1211" s="22" t="str">
        <f>IFERROR(__xludf.DUMMYFUNCTION("""COMPUTED_VALUE"""),"")</f>
        <v/>
      </c>
    </row>
    <row r="1212">
      <c r="A1212" s="15">
        <f>IFERROR(__xludf.DUMMYFUNCTION("""COMPUTED_VALUE"""),45034.0)</f>
        <v>45034</v>
      </c>
      <c r="B1212" s="16" t="str">
        <f>IFERROR(__xludf.DUMMYFUNCTION("""COMPUTED_VALUE"""),"Jonathan Steven Taborda")</f>
        <v>Jonathan Steven Taborda</v>
      </c>
      <c r="C1212" s="15" t="str">
        <f>IFERROR(__xludf.DUMMYFUNCTION("""COMPUTED_VALUE"""),"ARMENIA")</f>
        <v>ARMENIA</v>
      </c>
      <c r="D1212" s="15" t="str">
        <f>IFERROR(__xludf.DUMMYFUNCTION("""COMPUTED_VALUE"""),"MEDELLÍN")</f>
        <v>MEDELLÍN</v>
      </c>
      <c r="E1212" s="15" t="str">
        <f>IFERROR(__xludf.DUMMYFUNCTION("""COMPUTED_VALUE"""),"Baby Chef")</f>
        <v>Baby Chef</v>
      </c>
      <c r="F1212" s="17" t="str">
        <f>IFERROR(__xludf.DUMMYFUNCTION("""COMPUTED_VALUE"""),"CR 17 8-29 Bloque 1 Apto 201- Altos de Sotavento. Por el SENA del barrio el Galan., en la ciudad de Armenia. / CR 17 8 29 BL 1 AP 201 Altos de Sotavento / CR 17 8 29 BL 1 AP 201 Altos de Sotavento")</f>
        <v>CR 17 8-29 Bloque 1 Apto 201- Altos de Sotavento. Por el SENA del barrio el Galan., en la ciudad de Armenia. / CR 17 8 29 BL 1 AP 201 Altos de Sotavento / CR 17 8 29 BL 1 AP 201 Altos de Sotavento</v>
      </c>
      <c r="G1212" s="15" t="str">
        <f>IFERROR(__xludf.DUMMYFUNCTION("""COMPUTED_VALUE"""),"JULIO PINILLA")</f>
        <v>JULIO PINILLA</v>
      </c>
      <c r="H1212" s="16">
        <f>IFERROR(__xludf.DUMMYFUNCTION("""COMPUTED_VALUE"""),9854.0)</f>
        <v>9854</v>
      </c>
      <c r="I1212" s="18">
        <f>IFERROR(__xludf.DUMMYFUNCTION("""COMPUTED_VALUE"""),8.0)</f>
        <v>8</v>
      </c>
      <c r="J1212" s="18">
        <f>IFERROR(__xludf.DUMMYFUNCTION("""COMPUTED_VALUE"""),16.0)</f>
        <v>16</v>
      </c>
      <c r="K1212" s="18">
        <f>IFERROR(__xludf.DUMMYFUNCTION("""COMPUTED_VALUE"""),20.0)</f>
        <v>20</v>
      </c>
      <c r="L1212" s="17">
        <f>IFERROR(__xludf.DUMMYFUNCTION("""COMPUTED_VALUE"""),3.188164248E9)</f>
        <v>3188164248</v>
      </c>
      <c r="M1212" s="17" t="str">
        <f>IFERROR(__xludf.DUMMYFUNCTION("""COMPUTED_VALUE"""),"#REF!")</f>
        <v>#REF!</v>
      </c>
      <c r="N1212" s="17"/>
      <c r="O1212" s="19" t="str">
        <f>IFERROR(__xludf.DUMMYFUNCTION("""COMPUTED_VALUE"""),"")</f>
        <v/>
      </c>
      <c r="P1212" s="17" t="b">
        <f>IFERROR(__xludf.DUMMYFUNCTION("""COMPUTED_VALUE"""),TRUE)</f>
        <v>1</v>
      </c>
      <c r="Q1212" s="20">
        <f>IFERROR(__xludf.DUMMYFUNCTION("""COMPUTED_VALUE"""),45034.6676784375)</f>
        <v>45034.66768</v>
      </c>
      <c r="R1212" s="22" t="str">
        <f>IFERROR(__xludf.DUMMYFUNCTION("""COMPUTED_VALUE"""),"")</f>
        <v/>
      </c>
    </row>
    <row r="1213">
      <c r="A1213" s="15">
        <f>IFERROR(__xludf.DUMMYFUNCTION("""COMPUTED_VALUE"""),45034.0)</f>
        <v>45034</v>
      </c>
      <c r="B1213" s="16" t="str">
        <f>IFERROR(__xludf.DUMMYFUNCTION("""COMPUTED_VALUE"""),"Jonathan Steven Taborda")</f>
        <v>Jonathan Steven Taborda</v>
      </c>
      <c r="C1213" s="15" t="str">
        <f>IFERROR(__xludf.DUMMYFUNCTION("""COMPUTED_VALUE"""),"MANIZALES")</f>
        <v>MANIZALES</v>
      </c>
      <c r="D1213" s="15" t="str">
        <f>IFERROR(__xludf.DUMMYFUNCTION("""COMPUTED_VALUE"""),"BOGOTÁ")</f>
        <v>BOGOTÁ</v>
      </c>
      <c r="E1213" s="15" t="str">
        <f>IFERROR(__xludf.DUMMYFUNCTION("""COMPUTED_VALUE"""),"Blond &amp; This")</f>
        <v>Blond &amp; This</v>
      </c>
      <c r="F1213" s="17" t="str">
        <f>IFERROR(__xludf.DUMMYFUNCTION("""COMPUTED_VALUE"""),"calle22#22-26 / of 1206. edificio del comercio / .")</f>
        <v>calle22#22-26 / of 1206. edificio del comercio / .</v>
      </c>
      <c r="G1213" s="15" t="str">
        <f>IFERROR(__xludf.DUMMYFUNCTION("""COMPUTED_VALUE"""),"martha luz zuluaga")</f>
        <v>martha luz zuluaga</v>
      </c>
      <c r="H1213" s="16">
        <f>IFERROR(__xludf.DUMMYFUNCTION("""COMPUTED_VALUE"""),9869.0)</f>
        <v>9869</v>
      </c>
      <c r="I1213" s="18">
        <f>IFERROR(__xludf.DUMMYFUNCTION("""COMPUTED_VALUE"""),21.0)</f>
        <v>21</v>
      </c>
      <c r="J1213" s="18">
        <f>IFERROR(__xludf.DUMMYFUNCTION("""COMPUTED_VALUE"""),26.0)</f>
        <v>26</v>
      </c>
      <c r="K1213" s="18">
        <f>IFERROR(__xludf.DUMMYFUNCTION("""COMPUTED_VALUE"""),31.0)</f>
        <v>31</v>
      </c>
      <c r="L1213" s="17">
        <f>IFERROR(__xludf.DUMMYFUNCTION("""COMPUTED_VALUE"""),3.216296861E9)</f>
        <v>3216296861</v>
      </c>
      <c r="M1213" s="17" t="str">
        <f>IFERROR(__xludf.DUMMYFUNCTION("""COMPUTED_VALUE"""),"#REF!")</f>
        <v>#REF!</v>
      </c>
      <c r="N1213" s="17"/>
      <c r="O1213" s="19" t="str">
        <f>IFERROR(__xludf.DUMMYFUNCTION("""COMPUTED_VALUE"""),"")</f>
        <v/>
      </c>
      <c r="P1213" s="17" t="b">
        <f>IFERROR(__xludf.DUMMYFUNCTION("""COMPUTED_VALUE"""),TRUE)</f>
        <v>1</v>
      </c>
      <c r="Q1213" s="20">
        <f>IFERROR(__xludf.DUMMYFUNCTION("""COMPUTED_VALUE"""),45034.6676911574)</f>
        <v>45034.66769</v>
      </c>
      <c r="R1213" s="22" t="str">
        <f>IFERROR(__xludf.DUMMYFUNCTION("""COMPUTED_VALUE"""),"")</f>
        <v/>
      </c>
    </row>
    <row r="1214">
      <c r="A1214" s="15">
        <f>IFERROR(__xludf.DUMMYFUNCTION("""COMPUTED_VALUE"""),45034.0)</f>
        <v>45034</v>
      </c>
      <c r="B1214" s="16" t="str">
        <f>IFERROR(__xludf.DUMMYFUNCTION("""COMPUTED_VALUE"""),"Jonathan Steven Taborda")</f>
        <v>Jonathan Steven Taborda</v>
      </c>
      <c r="C1214" s="15" t="str">
        <f>IFERROR(__xludf.DUMMYFUNCTION("""COMPUTED_VALUE"""),"MANIZALES")</f>
        <v>MANIZALES</v>
      </c>
      <c r="D1214" s="15" t="str">
        <f>IFERROR(__xludf.DUMMYFUNCTION("""COMPUTED_VALUE"""),"MEDELLÍN")</f>
        <v>MEDELLÍN</v>
      </c>
      <c r="E1214" s="15" t="str">
        <f>IFERROR(__xludf.DUMMYFUNCTION("""COMPUTED_VALUE"""),"Baby Chef")</f>
        <v>Baby Chef</v>
      </c>
      <c r="F1214" s="17" t="str">
        <f>IFERROR(__xludf.DUMMYFUNCTION("""COMPUTED_VALUE"""),"Cll 71 no 1-516 casa 165 , conjunto valles de la florida, la florida , villamaria ( Caldas / Cll 71 No 1-516 conjunto Valles de la florida Casa 165 BARRIOLAFLORIDAVILLAMARIACALDA / Cll 71 no 1-516 casa 165 , conjunto valles de la florida, la florida , vil"&amp;"lamaria ( Caldas")</f>
        <v>Cll 71 no 1-516 casa 165 , conjunto valles de la florida, la florida , villamaria ( Caldas / Cll 71 No 1-516 conjunto Valles de la florida Casa 165 BARRIOLAFLORIDAVILLAMARIACALDA / Cll 71 no 1-516 casa 165 , conjunto valles de la florida, la florida , villamaria ( Caldas</v>
      </c>
      <c r="G1214" s="15" t="str">
        <f>IFERROR(__xludf.DUMMYFUNCTION("""COMPUTED_VALUE"""),"ISABEL CRISTINA CARMONA")</f>
        <v>ISABEL CRISTINA CARMONA</v>
      </c>
      <c r="H1214" s="16">
        <f>IFERROR(__xludf.DUMMYFUNCTION("""COMPUTED_VALUE"""),9860.0)</f>
        <v>9860</v>
      </c>
      <c r="I1214" s="18">
        <f>IFERROR(__xludf.DUMMYFUNCTION("""COMPUTED_VALUE"""),8.0)</f>
        <v>8</v>
      </c>
      <c r="J1214" s="18">
        <f>IFERROR(__xludf.DUMMYFUNCTION("""COMPUTED_VALUE"""),16.0)</f>
        <v>16</v>
      </c>
      <c r="K1214" s="18">
        <f>IFERROR(__xludf.DUMMYFUNCTION("""COMPUTED_VALUE"""),20.0)</f>
        <v>20</v>
      </c>
      <c r="L1214" s="17">
        <f>IFERROR(__xludf.DUMMYFUNCTION("""COMPUTED_VALUE"""),3.017890649E9)</f>
        <v>3017890649</v>
      </c>
      <c r="M1214" s="17" t="str">
        <f>IFERROR(__xludf.DUMMYFUNCTION("""COMPUTED_VALUE"""),"#REF!")</f>
        <v>#REF!</v>
      </c>
      <c r="N1214" s="17"/>
      <c r="O1214" s="19" t="str">
        <f>IFERROR(__xludf.DUMMYFUNCTION("""COMPUTED_VALUE"""),"")</f>
        <v/>
      </c>
      <c r="P1214" s="17" t="b">
        <f>IFERROR(__xludf.DUMMYFUNCTION("""COMPUTED_VALUE"""),FALSE)</f>
        <v>0</v>
      </c>
      <c r="Q1214" s="20" t="str">
        <f>IFERROR(__xludf.DUMMYFUNCTION("""COMPUTED_VALUE"""),"")</f>
        <v/>
      </c>
      <c r="R1214" s="22" t="str">
        <f>IFERROR(__xludf.DUMMYFUNCTION("""COMPUTED_VALUE"""),"")</f>
        <v/>
      </c>
    </row>
    <row r="1215">
      <c r="A1215" s="17" t="str">
        <f>IFERROR(__xludf.DUMMYFUNCTION("""COMPUTED_VALUE"""),"")</f>
        <v/>
      </c>
      <c r="B1215" s="17" t="str">
        <f>IFERROR(__xludf.DUMMYFUNCTION("""COMPUTED_VALUE"""),"")</f>
        <v/>
      </c>
      <c r="C1215" s="17" t="str">
        <f>IFERROR(__xludf.DUMMYFUNCTION("""COMPUTED_VALUE"""),"")</f>
        <v/>
      </c>
      <c r="D1215" s="17" t="str">
        <f>IFERROR(__xludf.DUMMYFUNCTION("""COMPUTED_VALUE"""),"")</f>
        <v/>
      </c>
      <c r="E1215" s="17" t="str">
        <f>IFERROR(__xludf.DUMMYFUNCTION("""COMPUTED_VALUE"""),"")</f>
        <v/>
      </c>
      <c r="F1215" s="17" t="str">
        <f>IFERROR(__xludf.DUMMYFUNCTION("""COMPUTED_VALUE"""),"")</f>
        <v/>
      </c>
      <c r="G1215" s="17" t="str">
        <f>IFERROR(__xludf.DUMMYFUNCTION("""COMPUTED_VALUE"""),"")</f>
        <v/>
      </c>
      <c r="H1215" s="17" t="str">
        <f>IFERROR(__xludf.DUMMYFUNCTION("""COMPUTED_VALUE"""),"")</f>
        <v/>
      </c>
      <c r="I1215" s="17" t="str">
        <f>IFERROR(__xludf.DUMMYFUNCTION("""COMPUTED_VALUE"""),"")</f>
        <v/>
      </c>
      <c r="J1215" s="17" t="str">
        <f>IFERROR(__xludf.DUMMYFUNCTION("""COMPUTED_VALUE"""),"")</f>
        <v/>
      </c>
      <c r="K1215" s="17" t="str">
        <f>IFERROR(__xludf.DUMMYFUNCTION("""COMPUTED_VALUE"""),"")</f>
        <v/>
      </c>
      <c r="L1215" s="17" t="str">
        <f>IFERROR(__xludf.DUMMYFUNCTION("""COMPUTED_VALUE"""),"")</f>
        <v/>
      </c>
      <c r="M1215" s="17" t="str">
        <f>IFERROR(__xludf.DUMMYFUNCTION("""COMPUTED_VALUE"""),"")</f>
        <v/>
      </c>
      <c r="N1215" s="17" t="str">
        <f>IFERROR(__xludf.DUMMYFUNCTION("""COMPUTED_VALUE"""),"")</f>
        <v/>
      </c>
      <c r="O1215" s="17" t="str">
        <f>IFERROR(__xludf.DUMMYFUNCTION("""COMPUTED_VALUE"""),"")</f>
        <v/>
      </c>
      <c r="P1215" s="17" t="str">
        <f>IFERROR(__xludf.DUMMYFUNCTION("""COMPUTED_VALUE"""),"")</f>
        <v/>
      </c>
      <c r="Q1215" s="17" t="str">
        <f>IFERROR(__xludf.DUMMYFUNCTION("""COMPUTED_VALUE"""),"")</f>
        <v/>
      </c>
      <c r="R1215" s="17" t="str">
        <f>IFERROR(__xludf.DUMMYFUNCTION("""COMPUTED_VALUE"""),"")</f>
        <v/>
      </c>
    </row>
    <row r="1216">
      <c r="A1216" s="15">
        <f>IFERROR(__xludf.DUMMYFUNCTION("""COMPUTED_VALUE"""),45035.0)</f>
        <v>45035</v>
      </c>
      <c r="B1216" s="16" t="str">
        <f>IFERROR(__xludf.DUMMYFUNCTION("""COMPUTED_VALUE"""),"Daniel José sandoval gonzalez")</f>
        <v>Daniel José sandoval gonzalez</v>
      </c>
      <c r="C1216" s="15" t="str">
        <f>IFERROR(__xludf.DUMMYFUNCTION("""COMPUTED_VALUE"""),"CALI")</f>
        <v>CALI</v>
      </c>
      <c r="D1216" s="15" t="str">
        <f>IFERROR(__xludf.DUMMYFUNCTION("""COMPUTED_VALUE"""),"MEDELLÍN")</f>
        <v>MEDELLÍN</v>
      </c>
      <c r="E1216" s="15" t="str">
        <f>IFERROR(__xludf.DUMMYFUNCTION("""COMPUTED_VALUE"""),"Rambla")</f>
        <v>Rambla</v>
      </c>
      <c r="F1216" s="17" t="str">
        <f>IFERROR(__xludf.DUMMYFUNCTION("""COMPUTED_VALUE"""),"Calle 1B Oeste # 4 oeste 200 Edificio santiago del oeste Apto 1001 Normandia Cali - valle / na / na")</f>
        <v>Calle 1B Oeste # 4 oeste 200 Edificio santiago del oeste Apto 1001 Normandia Cali - valle / na / na</v>
      </c>
      <c r="G1216" s="15" t="str">
        <f>IFERROR(__xludf.DUMMYFUNCTION("""COMPUTED_VALUE"""),"María Virginia Ramírez")</f>
        <v>María Virginia Ramírez</v>
      </c>
      <c r="H1216" s="16">
        <f>IFERROR(__xludf.DUMMYFUNCTION("""COMPUTED_VALUE"""),9913.0)</f>
        <v>9913</v>
      </c>
      <c r="I1216" s="18">
        <f>IFERROR(__xludf.DUMMYFUNCTION("""COMPUTED_VALUE"""),22.0)</f>
        <v>22</v>
      </c>
      <c r="J1216" s="18">
        <f>IFERROR(__xludf.DUMMYFUNCTION("""COMPUTED_VALUE"""),24.0)</f>
        <v>24</v>
      </c>
      <c r="K1216" s="18">
        <f>IFERROR(__xludf.DUMMYFUNCTION("""COMPUTED_VALUE"""),27.0)</f>
        <v>27</v>
      </c>
      <c r="L1216" s="17">
        <f>IFERROR(__xludf.DUMMYFUNCTION("""COMPUTED_VALUE"""),3.137373773E9)</f>
        <v>3137373773</v>
      </c>
      <c r="M1216" s="17" t="str">
        <f>IFERROR(__xludf.DUMMYFUNCTION("""COMPUTED_VALUE"""),"#REF!")</f>
        <v>#REF!</v>
      </c>
      <c r="N1216" s="17"/>
      <c r="O1216" s="19" t="str">
        <f>IFERROR(__xludf.DUMMYFUNCTION("""COMPUTED_VALUE"""),"")</f>
        <v/>
      </c>
      <c r="P1216" s="17" t="b">
        <f>IFERROR(__xludf.DUMMYFUNCTION("""COMPUTED_VALUE"""),FALSE)</f>
        <v>0</v>
      </c>
      <c r="Q1216" s="20" t="str">
        <f>IFERROR(__xludf.DUMMYFUNCTION("""COMPUTED_VALUE"""),"")</f>
        <v/>
      </c>
      <c r="R1216" s="22" t="str">
        <f>IFERROR(__xludf.DUMMYFUNCTION("""COMPUTED_VALUE"""),"")</f>
        <v/>
      </c>
    </row>
    <row r="1217">
      <c r="A1217" s="17" t="str">
        <f>IFERROR(__xludf.DUMMYFUNCTION("""COMPUTED_VALUE"""),"")</f>
        <v/>
      </c>
      <c r="B1217" s="17" t="str">
        <f>IFERROR(__xludf.DUMMYFUNCTION("""COMPUTED_VALUE"""),"")</f>
        <v/>
      </c>
      <c r="C1217" s="17" t="str">
        <f>IFERROR(__xludf.DUMMYFUNCTION("""COMPUTED_VALUE"""),"")</f>
        <v/>
      </c>
      <c r="D1217" s="17" t="str">
        <f>IFERROR(__xludf.DUMMYFUNCTION("""COMPUTED_VALUE"""),"")</f>
        <v/>
      </c>
      <c r="E1217" s="17" t="str">
        <f>IFERROR(__xludf.DUMMYFUNCTION("""COMPUTED_VALUE"""),"")</f>
        <v/>
      </c>
      <c r="F1217" s="17" t="str">
        <f>IFERROR(__xludf.DUMMYFUNCTION("""COMPUTED_VALUE"""),"")</f>
        <v/>
      </c>
      <c r="G1217" s="17" t="str">
        <f>IFERROR(__xludf.DUMMYFUNCTION("""COMPUTED_VALUE"""),"")</f>
        <v/>
      </c>
      <c r="H1217" s="17" t="str">
        <f>IFERROR(__xludf.DUMMYFUNCTION("""COMPUTED_VALUE"""),"")</f>
        <v/>
      </c>
      <c r="I1217" s="17" t="str">
        <f>IFERROR(__xludf.DUMMYFUNCTION("""COMPUTED_VALUE"""),"")</f>
        <v/>
      </c>
      <c r="J1217" s="17" t="str">
        <f>IFERROR(__xludf.DUMMYFUNCTION("""COMPUTED_VALUE"""),"")</f>
        <v/>
      </c>
      <c r="K1217" s="17" t="str">
        <f>IFERROR(__xludf.DUMMYFUNCTION("""COMPUTED_VALUE"""),"")</f>
        <v/>
      </c>
      <c r="L1217" s="17" t="str">
        <f>IFERROR(__xludf.DUMMYFUNCTION("""COMPUTED_VALUE"""),"")</f>
        <v/>
      </c>
      <c r="M1217" s="17" t="str">
        <f>IFERROR(__xludf.DUMMYFUNCTION("""COMPUTED_VALUE"""),"")</f>
        <v/>
      </c>
      <c r="N1217" s="17" t="str">
        <f>IFERROR(__xludf.DUMMYFUNCTION("""COMPUTED_VALUE"""),"")</f>
        <v/>
      </c>
      <c r="O1217" s="17" t="str">
        <f>IFERROR(__xludf.DUMMYFUNCTION("""COMPUTED_VALUE"""),"")</f>
        <v/>
      </c>
      <c r="P1217" s="17" t="str">
        <f>IFERROR(__xludf.DUMMYFUNCTION("""COMPUTED_VALUE"""),"")</f>
        <v/>
      </c>
      <c r="Q1217" s="17" t="str">
        <f>IFERROR(__xludf.DUMMYFUNCTION("""COMPUTED_VALUE"""),"")</f>
        <v/>
      </c>
      <c r="R1217" s="17" t="str">
        <f>IFERROR(__xludf.DUMMYFUNCTION("""COMPUTED_VALUE"""),"")</f>
        <v/>
      </c>
    </row>
    <row r="1218">
      <c r="A1218" s="15">
        <f>IFERROR(__xludf.DUMMYFUNCTION("""COMPUTED_VALUE"""),45035.0)</f>
        <v>45035</v>
      </c>
      <c r="B1218" s="16" t="str">
        <f>IFERROR(__xludf.DUMMYFUNCTION("""COMPUTED_VALUE"""),"Envia")</f>
        <v>Envia</v>
      </c>
      <c r="C1218" s="15" t="str">
        <f>IFERROR(__xludf.DUMMYFUNCTION("""COMPUTED_VALUE"""),"BOGOTÁ")</f>
        <v>BOGOTÁ</v>
      </c>
      <c r="D1218" s="15" t="str">
        <f>IFERROR(__xludf.DUMMYFUNCTION("""COMPUTED_VALUE"""),"MEDELLÍN")</f>
        <v>MEDELLÍN</v>
      </c>
      <c r="E1218" s="15" t="str">
        <f>IFERROR(__xludf.DUMMYFUNCTION("""COMPUTED_VALUE"""),"TOLEDALES S.A.S")</f>
        <v>TOLEDALES S.A.S</v>
      </c>
      <c r="F1218" s="17" t="str">
        <f>IFERROR(__xludf.DUMMYFUNCTION("""COMPUTED_VALUE"""),"CL135C # 10B 48 / CASA REJAS VERDES")</f>
        <v>CL135C # 10B 48 / CASA REJAS VERDES</v>
      </c>
      <c r="G1218" s="15" t="str">
        <f>IFERROR(__xludf.DUMMYFUNCTION("""COMPUTED_VALUE"""),"JOHANA")</f>
        <v>JOHANA</v>
      </c>
      <c r="H1218" s="16">
        <f>IFERROR(__xludf.DUMMYFUNCTION("""COMPUTED_VALUE"""),9802.0)</f>
        <v>9802</v>
      </c>
      <c r="I1218" s="18">
        <f>IFERROR(__xludf.DUMMYFUNCTION("""COMPUTED_VALUE"""),15.0)</f>
        <v>15</v>
      </c>
      <c r="J1218" s="18">
        <f>IFERROR(__xludf.DUMMYFUNCTION("""COMPUTED_VALUE"""),20.0)</f>
        <v>20</v>
      </c>
      <c r="K1218" s="18">
        <f>IFERROR(__xludf.DUMMYFUNCTION("""COMPUTED_VALUE"""),5.0)</f>
        <v>5</v>
      </c>
      <c r="L1218" s="17">
        <f>IFERROR(__xludf.DUMMYFUNCTION("""COMPUTED_VALUE"""),3.017596563E9)</f>
        <v>3017596563</v>
      </c>
      <c r="M1218" s="17" t="str">
        <f>IFERROR(__xludf.DUMMYFUNCTION("""COMPUTED_VALUE"""),"#REF!")</f>
        <v>#REF!</v>
      </c>
      <c r="N1218" s="17"/>
      <c r="O1218" s="19" t="str">
        <f>IFERROR(__xludf.DUMMYFUNCTION("""COMPUTED_VALUE"""),"")</f>
        <v/>
      </c>
      <c r="P1218" s="17" t="b">
        <f>IFERROR(__xludf.DUMMYFUNCTION("""COMPUTED_VALUE"""),FALSE)</f>
        <v>0</v>
      </c>
      <c r="Q1218" s="20" t="str">
        <f>IFERROR(__xludf.DUMMYFUNCTION("""COMPUTED_VALUE"""),"")</f>
        <v/>
      </c>
      <c r="R1218" s="22" t="str">
        <f>IFERROR(__xludf.DUMMYFUNCTION("""COMPUTED_VALUE"""),"")</f>
        <v/>
      </c>
    </row>
    <row r="1219">
      <c r="A1219" s="15">
        <f>IFERROR(__xludf.DUMMYFUNCTION("""COMPUTED_VALUE"""),45035.0)</f>
        <v>45035</v>
      </c>
      <c r="B1219" s="16" t="str">
        <f>IFERROR(__xludf.DUMMYFUNCTION("""COMPUTED_VALUE"""),"Envia")</f>
        <v>Envia</v>
      </c>
      <c r="C1219" s="15" t="str">
        <f>IFERROR(__xludf.DUMMYFUNCTION("""COMPUTED_VALUE"""),"BOGOTÁ")</f>
        <v>BOGOTÁ</v>
      </c>
      <c r="D1219" s="15" t="str">
        <f>IFERROR(__xludf.DUMMYFUNCTION("""COMPUTED_VALUE"""),"PEREIRA")</f>
        <v>PEREIRA</v>
      </c>
      <c r="E1219" s="15" t="str">
        <f>IFERROR(__xludf.DUMMYFUNCTION("""COMPUTED_VALUE"""),"BAK&amp;VEG")</f>
        <v>BAK&amp;VEG</v>
      </c>
      <c r="F1219" s="17" t="str">
        <f>IFERROR(__xludf.DUMMYFUNCTION("""COMPUTED_VALUE"""),"diagonal 15c #13c-45 torre 2 apto 402 / soacha san humberto")</f>
        <v>diagonal 15c #13c-45 torre 2 apto 402 / soacha san humberto</v>
      </c>
      <c r="G1219" s="15" t="str">
        <f>IFERROR(__xludf.DUMMYFUNCTION("""COMPUTED_VALUE"""),"Camilo Neiza")</f>
        <v>Camilo Neiza</v>
      </c>
      <c r="H1219" s="16">
        <f>IFERROR(__xludf.DUMMYFUNCTION("""COMPUTED_VALUE"""),9888.0)</f>
        <v>9888</v>
      </c>
      <c r="I1219" s="18">
        <f>IFERROR(__xludf.DUMMYFUNCTION("""COMPUTED_VALUE"""),28.0)</f>
        <v>28</v>
      </c>
      <c r="J1219" s="18">
        <f>IFERROR(__xludf.DUMMYFUNCTION("""COMPUTED_VALUE"""),25.0)</f>
        <v>25</v>
      </c>
      <c r="K1219" s="18">
        <f>IFERROR(__xludf.DUMMYFUNCTION("""COMPUTED_VALUE"""),32.0)</f>
        <v>32</v>
      </c>
      <c r="L1219" s="17">
        <f>IFERROR(__xludf.DUMMYFUNCTION("""COMPUTED_VALUE"""),3.10858954E9)</f>
        <v>3108589540</v>
      </c>
      <c r="M1219" s="17" t="str">
        <f>IFERROR(__xludf.DUMMYFUNCTION("""COMPUTED_VALUE"""),"#REF!")</f>
        <v>#REF!</v>
      </c>
      <c r="N1219" s="17"/>
      <c r="O1219" s="19" t="str">
        <f>IFERROR(__xludf.DUMMYFUNCTION("""COMPUTED_VALUE"""),"")</f>
        <v/>
      </c>
      <c r="P1219" s="17" t="b">
        <f>IFERROR(__xludf.DUMMYFUNCTION("""COMPUTED_VALUE"""),FALSE)</f>
        <v>0</v>
      </c>
      <c r="Q1219" s="20" t="str">
        <f>IFERROR(__xludf.DUMMYFUNCTION("""COMPUTED_VALUE"""),"")</f>
        <v/>
      </c>
      <c r="R1219" s="22" t="str">
        <f>IFERROR(__xludf.DUMMYFUNCTION("""COMPUTED_VALUE"""),"")</f>
        <v/>
      </c>
    </row>
    <row r="1220">
      <c r="A1220" s="15">
        <f>IFERROR(__xludf.DUMMYFUNCTION("""COMPUTED_VALUE"""),45035.0)</f>
        <v>45035</v>
      </c>
      <c r="B1220" s="16" t="str">
        <f>IFERROR(__xludf.DUMMYFUNCTION("""COMPUTED_VALUE"""),"Envia")</f>
        <v>Envia</v>
      </c>
      <c r="C1220" s="15" t="str">
        <f>IFERROR(__xludf.DUMMYFUNCTION("""COMPUTED_VALUE"""),"CALI")</f>
        <v>CALI</v>
      </c>
      <c r="D1220" s="15" t="str">
        <f>IFERROR(__xludf.DUMMYFUNCTION("""COMPUTED_VALUE"""),"MEDELLÍN")</f>
        <v>MEDELLÍN</v>
      </c>
      <c r="E1220" s="15" t="str">
        <f>IFERROR(__xludf.DUMMYFUNCTION("""COMPUTED_VALUE"""),"Moloso S.A.S")</f>
        <v>Moloso S.A.S</v>
      </c>
      <c r="F1220" s="17" t="str">
        <f>IFERROR(__xludf.DUMMYFUNCTION("""COMPUTED_VALUE"""),"CL 14 NORTE 9 25 / APT 302")</f>
        <v>CL 14 NORTE 9 25 / APT 302</v>
      </c>
      <c r="G1220" s="15" t="str">
        <f>IFERROR(__xludf.DUMMYFUNCTION("""COMPUTED_VALUE"""),"LAURA MURILLO QUIROGA")</f>
        <v>LAURA MURILLO QUIROGA</v>
      </c>
      <c r="H1220" s="16">
        <f>IFERROR(__xludf.DUMMYFUNCTION("""COMPUTED_VALUE"""),9908.0)</f>
        <v>9908</v>
      </c>
      <c r="I1220" s="18">
        <f>IFERROR(__xludf.DUMMYFUNCTION("""COMPUTED_VALUE"""),17.0)</f>
        <v>17</v>
      </c>
      <c r="J1220" s="18">
        <f>IFERROR(__xludf.DUMMYFUNCTION("""COMPUTED_VALUE"""),15.0)</f>
        <v>15</v>
      </c>
      <c r="K1220" s="18">
        <f>IFERROR(__xludf.DUMMYFUNCTION("""COMPUTED_VALUE"""),28.0)</f>
        <v>28</v>
      </c>
      <c r="L1220" s="17" t="str">
        <f>IFERROR(__xludf.DUMMYFUNCTION("""COMPUTED_VALUE"""),"318 6345255")</f>
        <v>318 6345255</v>
      </c>
      <c r="M1220" s="17" t="str">
        <f>IFERROR(__xludf.DUMMYFUNCTION("""COMPUTED_VALUE"""),"#REF!")</f>
        <v>#REF!</v>
      </c>
      <c r="N1220" s="17"/>
      <c r="O1220" s="19" t="str">
        <f>IFERROR(__xludf.DUMMYFUNCTION("""COMPUTED_VALUE"""),"")</f>
        <v/>
      </c>
      <c r="P1220" s="17" t="b">
        <f>IFERROR(__xludf.DUMMYFUNCTION("""COMPUTED_VALUE"""),FALSE)</f>
        <v>0</v>
      </c>
      <c r="Q1220" s="20" t="str">
        <f>IFERROR(__xludf.DUMMYFUNCTION("""COMPUTED_VALUE"""),"")</f>
        <v/>
      </c>
      <c r="R1220" s="22" t="str">
        <f>IFERROR(__xludf.DUMMYFUNCTION("""COMPUTED_VALUE"""),"")</f>
        <v/>
      </c>
    </row>
    <row r="1221">
      <c r="A1221" s="15">
        <f>IFERROR(__xludf.DUMMYFUNCTION("""COMPUTED_VALUE"""),45035.0)</f>
        <v>45035</v>
      </c>
      <c r="B1221" s="16" t="str">
        <f>IFERROR(__xludf.DUMMYFUNCTION("""COMPUTED_VALUE"""),"Envia")</f>
        <v>Envia</v>
      </c>
      <c r="C1221" s="15" t="str">
        <f>IFERROR(__xludf.DUMMYFUNCTION("""COMPUTED_VALUE"""),"CÚCUTA")</f>
        <v>CÚCUTA</v>
      </c>
      <c r="D1221" s="15" t="str">
        <f>IFERROR(__xludf.DUMMYFUNCTION("""COMPUTED_VALUE"""),"MEDELLÍN")</f>
        <v>MEDELLÍN</v>
      </c>
      <c r="E1221" s="15" t="str">
        <f>IFERROR(__xludf.DUMMYFUNCTION("""COMPUTED_VALUE"""),"Momo Tea S.A.S Gabriel Echavarría")</f>
        <v>Momo Tea S.A.S Gabriel Echavarría</v>
      </c>
      <c r="F1221" s="17" t="str">
        <f>IFERROR(__xludf.DUMMYFUNCTION("""COMPUTED_VALUE"""),"CL 11 N 16 E 35 / CA B 1")</f>
        <v>CL 11 N 16 E 35 / CA B 1</v>
      </c>
      <c r="G1221" s="15" t="str">
        <f>IFERROR(__xludf.DUMMYFUNCTION("""COMPUTED_VALUE"""),"Gabriel Echavarría")</f>
        <v>Gabriel Echavarría</v>
      </c>
      <c r="H1221" s="16">
        <f>IFERROR(__xludf.DUMMYFUNCTION("""COMPUTED_VALUE"""),9844.0)</f>
        <v>9844</v>
      </c>
      <c r="I1221" s="18">
        <f>IFERROR(__xludf.DUMMYFUNCTION("""COMPUTED_VALUE"""),21.0)</f>
        <v>21</v>
      </c>
      <c r="J1221" s="18">
        <f>IFERROR(__xludf.DUMMYFUNCTION("""COMPUTED_VALUE"""),29.0)</f>
        <v>29</v>
      </c>
      <c r="K1221" s="18">
        <f>IFERROR(__xludf.DUMMYFUNCTION("""COMPUTED_VALUE"""),29.0)</f>
        <v>29</v>
      </c>
      <c r="L1221" s="17">
        <f>IFERROR(__xludf.DUMMYFUNCTION("""COMPUTED_VALUE"""),3.017909548E9)</f>
        <v>3017909548</v>
      </c>
      <c r="M1221" s="17" t="str">
        <f>IFERROR(__xludf.DUMMYFUNCTION("""COMPUTED_VALUE"""),"#REF!")</f>
        <v>#REF!</v>
      </c>
      <c r="N1221" s="17"/>
      <c r="O1221" s="19" t="str">
        <f>IFERROR(__xludf.DUMMYFUNCTION("""COMPUTED_VALUE"""),"")</f>
        <v/>
      </c>
      <c r="P1221" s="17" t="b">
        <f>IFERROR(__xludf.DUMMYFUNCTION("""COMPUTED_VALUE"""),FALSE)</f>
        <v>0</v>
      </c>
      <c r="Q1221" s="20" t="str">
        <f>IFERROR(__xludf.DUMMYFUNCTION("""COMPUTED_VALUE"""),"")</f>
        <v/>
      </c>
      <c r="R1221" s="22" t="str">
        <f>IFERROR(__xludf.DUMMYFUNCTION("""COMPUTED_VALUE"""),"")</f>
        <v/>
      </c>
    </row>
    <row r="1222">
      <c r="A1222" s="15">
        <f>IFERROR(__xludf.DUMMYFUNCTION("""COMPUTED_VALUE"""),45035.0)</f>
        <v>45035</v>
      </c>
      <c r="B1222" s="16" t="str">
        <f>IFERROR(__xludf.DUMMYFUNCTION("""COMPUTED_VALUE"""),"Envia")</f>
        <v>Envia</v>
      </c>
      <c r="C1222" s="15" t="str">
        <f>IFERROR(__xludf.DUMMYFUNCTION("""COMPUTED_VALUE"""),"CÚCUTA")</f>
        <v>CÚCUTA</v>
      </c>
      <c r="D1222" s="15" t="str">
        <f>IFERROR(__xludf.DUMMYFUNCTION("""COMPUTED_VALUE"""),"MEDELLÍN")</f>
        <v>MEDELLÍN</v>
      </c>
      <c r="E1222" s="15" t="str">
        <f>IFERROR(__xludf.DUMMYFUNCTION("""COMPUTED_VALUE"""),"Momo Tea S.A.S Gabriel Echavarría")</f>
        <v>Momo Tea S.A.S Gabriel Echavarría</v>
      </c>
      <c r="F1222" s="17" t="str">
        <f>IFERROR(__xludf.DUMMYFUNCTION("""COMPUTED_VALUE"""),"CL 11 N 16 E 35 / CA B 1")</f>
        <v>CL 11 N 16 E 35 / CA B 1</v>
      </c>
      <c r="G1222" s="15" t="str">
        <f>IFERROR(__xludf.DUMMYFUNCTION("""COMPUTED_VALUE"""),"Gabriel Echavarría")</f>
        <v>Gabriel Echavarría</v>
      </c>
      <c r="H1222" s="16">
        <f>IFERROR(__xludf.DUMMYFUNCTION("""COMPUTED_VALUE"""),9845.0)</f>
        <v>9845</v>
      </c>
      <c r="I1222" s="18" t="str">
        <f>IFERROR(__xludf.DUMMYFUNCTION("""COMPUTED_VALUE"""),"34.5")</f>
        <v>34.5</v>
      </c>
      <c r="J1222" s="18">
        <f>IFERROR(__xludf.DUMMYFUNCTION("""COMPUTED_VALUE"""),54.0)</f>
        <v>54</v>
      </c>
      <c r="K1222" s="18">
        <f>IFERROR(__xludf.DUMMYFUNCTION("""COMPUTED_VALUE"""),26.0)</f>
        <v>26</v>
      </c>
      <c r="L1222" s="17">
        <f>IFERROR(__xludf.DUMMYFUNCTION("""COMPUTED_VALUE"""),3.017909548E9)</f>
        <v>3017909548</v>
      </c>
      <c r="M1222" s="17" t="str">
        <f>IFERROR(__xludf.DUMMYFUNCTION("""COMPUTED_VALUE"""),"#REF!")</f>
        <v>#REF!</v>
      </c>
      <c r="N1222" s="17"/>
      <c r="O1222" s="19" t="str">
        <f>IFERROR(__xludf.DUMMYFUNCTION("""COMPUTED_VALUE"""),"")</f>
        <v/>
      </c>
      <c r="P1222" s="17" t="b">
        <f>IFERROR(__xludf.DUMMYFUNCTION("""COMPUTED_VALUE"""),FALSE)</f>
        <v>0</v>
      </c>
      <c r="Q1222" s="20" t="str">
        <f>IFERROR(__xludf.DUMMYFUNCTION("""COMPUTED_VALUE"""),"")</f>
        <v/>
      </c>
      <c r="R1222" s="22" t="str">
        <f>IFERROR(__xludf.DUMMYFUNCTION("""COMPUTED_VALUE"""),"")</f>
        <v/>
      </c>
    </row>
    <row r="1223">
      <c r="A1223" s="15">
        <f>IFERROR(__xludf.DUMMYFUNCTION("""COMPUTED_VALUE"""),45035.0)</f>
        <v>45035</v>
      </c>
      <c r="B1223" s="16" t="str">
        <f>IFERROR(__xludf.DUMMYFUNCTION("""COMPUTED_VALUE"""),"Envia")</f>
        <v>Envia</v>
      </c>
      <c r="C1223" s="15" t="str">
        <f>IFERROR(__xludf.DUMMYFUNCTION("""COMPUTED_VALUE"""),"CÚCUTA")</f>
        <v>CÚCUTA</v>
      </c>
      <c r="D1223" s="15" t="str">
        <f>IFERROR(__xludf.DUMMYFUNCTION("""COMPUTED_VALUE"""),"MEDELLÍN")</f>
        <v>MEDELLÍN</v>
      </c>
      <c r="E1223" s="15" t="str">
        <f>IFERROR(__xludf.DUMMYFUNCTION("""COMPUTED_VALUE"""),"Momo Tea S.A.S Gabriel Echavarría")</f>
        <v>Momo Tea S.A.S Gabriel Echavarría</v>
      </c>
      <c r="F1223" s="17" t="str">
        <f>IFERROR(__xludf.DUMMYFUNCTION("""COMPUTED_VALUE"""),"CL 11 N 16 E 35 / CA B 1")</f>
        <v>CL 11 N 16 E 35 / CA B 1</v>
      </c>
      <c r="G1223" s="15" t="str">
        <f>IFERROR(__xludf.DUMMYFUNCTION("""COMPUTED_VALUE"""),"Gabriel Echavarría")</f>
        <v>Gabriel Echavarría</v>
      </c>
      <c r="H1223" s="16">
        <f>IFERROR(__xludf.DUMMYFUNCTION("""COMPUTED_VALUE"""),9846.0)</f>
        <v>9846</v>
      </c>
      <c r="I1223" s="18">
        <f>IFERROR(__xludf.DUMMYFUNCTION("""COMPUTED_VALUE"""),24.0)</f>
        <v>24</v>
      </c>
      <c r="J1223" s="18">
        <f>IFERROR(__xludf.DUMMYFUNCTION("""COMPUTED_VALUE"""),3.0)</f>
        <v>3</v>
      </c>
      <c r="K1223" s="18">
        <f>IFERROR(__xludf.DUMMYFUNCTION("""COMPUTED_VALUE"""),26.0)</f>
        <v>26</v>
      </c>
      <c r="L1223" s="17">
        <f>IFERROR(__xludf.DUMMYFUNCTION("""COMPUTED_VALUE"""),3.017909548E9)</f>
        <v>3017909548</v>
      </c>
      <c r="M1223" s="17" t="str">
        <f>IFERROR(__xludf.DUMMYFUNCTION("""COMPUTED_VALUE"""),"#REF!")</f>
        <v>#REF!</v>
      </c>
      <c r="N1223" s="17"/>
      <c r="O1223" s="19" t="str">
        <f>IFERROR(__xludf.DUMMYFUNCTION("""COMPUTED_VALUE"""),"")</f>
        <v/>
      </c>
      <c r="P1223" s="17" t="b">
        <f>IFERROR(__xludf.DUMMYFUNCTION("""COMPUTED_VALUE"""),FALSE)</f>
        <v>0</v>
      </c>
      <c r="Q1223" s="20" t="str">
        <f>IFERROR(__xludf.DUMMYFUNCTION("""COMPUTED_VALUE"""),"")</f>
        <v/>
      </c>
      <c r="R1223" s="22" t="str">
        <f>IFERROR(__xludf.DUMMYFUNCTION("""COMPUTED_VALUE"""),"")</f>
        <v/>
      </c>
    </row>
    <row r="1224">
      <c r="A1224" s="15">
        <f>IFERROR(__xludf.DUMMYFUNCTION("""COMPUTED_VALUE"""),45035.0)</f>
        <v>45035</v>
      </c>
      <c r="B1224" s="16" t="str">
        <f>IFERROR(__xludf.DUMMYFUNCTION("""COMPUTED_VALUE"""),"Envia")</f>
        <v>Envia</v>
      </c>
      <c r="C1224" s="15" t="str">
        <f>IFERROR(__xludf.DUMMYFUNCTION("""COMPUTED_VALUE"""),"CÚCUTA")</f>
        <v>CÚCUTA</v>
      </c>
      <c r="D1224" s="15" t="str">
        <f>IFERROR(__xludf.DUMMYFUNCTION("""COMPUTED_VALUE"""),"MEDELLÍN")</f>
        <v>MEDELLÍN</v>
      </c>
      <c r="E1224" s="15" t="str">
        <f>IFERROR(__xludf.DUMMYFUNCTION("""COMPUTED_VALUE"""),"Momo Tea S.A.S Gabriel Echavarría")</f>
        <v>Momo Tea S.A.S Gabriel Echavarría</v>
      </c>
      <c r="F1224" s="17" t="str">
        <f>IFERROR(__xludf.DUMMYFUNCTION("""COMPUTED_VALUE"""),"CL 11 N 16 E 35 / CA B 1")</f>
        <v>CL 11 N 16 E 35 / CA B 1</v>
      </c>
      <c r="G1224" s="15" t="str">
        <f>IFERROR(__xludf.DUMMYFUNCTION("""COMPUTED_VALUE"""),"Gabriel Echavarría")</f>
        <v>Gabriel Echavarría</v>
      </c>
      <c r="H1224" s="16">
        <f>IFERROR(__xludf.DUMMYFUNCTION("""COMPUTED_VALUE"""),9847.0)</f>
        <v>9847</v>
      </c>
      <c r="I1224" s="18">
        <f>IFERROR(__xludf.DUMMYFUNCTION("""COMPUTED_VALUE"""),19.0)</f>
        <v>19</v>
      </c>
      <c r="J1224" s="18">
        <f>IFERROR(__xludf.DUMMYFUNCTION("""COMPUTED_VALUE"""),11.0)</f>
        <v>11</v>
      </c>
      <c r="K1224" s="18">
        <f>IFERROR(__xludf.DUMMYFUNCTION("""COMPUTED_VALUE"""),32.0)</f>
        <v>32</v>
      </c>
      <c r="L1224" s="17">
        <f>IFERROR(__xludf.DUMMYFUNCTION("""COMPUTED_VALUE"""),3.017909548E9)</f>
        <v>3017909548</v>
      </c>
      <c r="M1224" s="17" t="str">
        <f>IFERROR(__xludf.DUMMYFUNCTION("""COMPUTED_VALUE"""),"#REF!")</f>
        <v>#REF!</v>
      </c>
      <c r="N1224" s="17"/>
      <c r="O1224" s="19" t="str">
        <f>IFERROR(__xludf.DUMMYFUNCTION("""COMPUTED_VALUE"""),"")</f>
        <v/>
      </c>
      <c r="P1224" s="17" t="b">
        <f>IFERROR(__xludf.DUMMYFUNCTION("""COMPUTED_VALUE"""),FALSE)</f>
        <v>0</v>
      </c>
      <c r="Q1224" s="20" t="str">
        <f>IFERROR(__xludf.DUMMYFUNCTION("""COMPUTED_VALUE"""),"")</f>
        <v/>
      </c>
      <c r="R1224" s="22" t="str">
        <f>IFERROR(__xludf.DUMMYFUNCTION("""COMPUTED_VALUE"""),"")</f>
        <v/>
      </c>
    </row>
    <row r="1225">
      <c r="A1225" s="15">
        <f>IFERROR(__xludf.DUMMYFUNCTION("""COMPUTED_VALUE"""),45035.0)</f>
        <v>45035</v>
      </c>
      <c r="B1225" s="16" t="str">
        <f>IFERROR(__xludf.DUMMYFUNCTION("""COMPUTED_VALUE"""),"Envia")</f>
        <v>Envia</v>
      </c>
      <c r="C1225" s="15" t="str">
        <f>IFERROR(__xludf.DUMMYFUNCTION("""COMPUTED_VALUE"""),"CÚCUTA")</f>
        <v>CÚCUTA</v>
      </c>
      <c r="D1225" s="15" t="str">
        <f>IFERROR(__xludf.DUMMYFUNCTION("""COMPUTED_VALUE"""),"MEDELLÍN")</f>
        <v>MEDELLÍN</v>
      </c>
      <c r="E1225" s="15" t="str">
        <f>IFERROR(__xludf.DUMMYFUNCTION("""COMPUTED_VALUE"""),"Momo Tea S.A.S Gabriel Echavarría")</f>
        <v>Momo Tea S.A.S Gabriel Echavarría</v>
      </c>
      <c r="F1225" s="17" t="str">
        <f>IFERROR(__xludf.DUMMYFUNCTION("""COMPUTED_VALUE"""),"CL 11 N 16 E 35 / CA B 1")</f>
        <v>CL 11 N 16 E 35 / CA B 1</v>
      </c>
      <c r="G1225" s="15" t="str">
        <f>IFERROR(__xludf.DUMMYFUNCTION("""COMPUTED_VALUE"""),"Gabriel Echavarría")</f>
        <v>Gabriel Echavarría</v>
      </c>
      <c r="H1225" s="16">
        <f>IFERROR(__xludf.DUMMYFUNCTION("""COMPUTED_VALUE"""),9848.0)</f>
        <v>9848</v>
      </c>
      <c r="I1225" s="18">
        <f>IFERROR(__xludf.DUMMYFUNCTION("""COMPUTED_VALUE"""),17.0)</f>
        <v>17</v>
      </c>
      <c r="J1225" s="18">
        <f>IFERROR(__xludf.DUMMYFUNCTION("""COMPUTED_VALUE"""),17.0)</f>
        <v>17</v>
      </c>
      <c r="K1225" s="18">
        <f>IFERROR(__xludf.DUMMYFUNCTION("""COMPUTED_VALUE"""),23.0)</f>
        <v>23</v>
      </c>
      <c r="L1225" s="17">
        <f>IFERROR(__xludf.DUMMYFUNCTION("""COMPUTED_VALUE"""),3.017909548E9)</f>
        <v>3017909548</v>
      </c>
      <c r="M1225" s="17" t="str">
        <f>IFERROR(__xludf.DUMMYFUNCTION("""COMPUTED_VALUE"""),"#REF!")</f>
        <v>#REF!</v>
      </c>
      <c r="N1225" s="17"/>
      <c r="O1225" s="19" t="str">
        <f>IFERROR(__xludf.DUMMYFUNCTION("""COMPUTED_VALUE"""),"")</f>
        <v/>
      </c>
      <c r="P1225" s="17" t="b">
        <f>IFERROR(__xludf.DUMMYFUNCTION("""COMPUTED_VALUE"""),FALSE)</f>
        <v>0</v>
      </c>
      <c r="Q1225" s="20" t="str">
        <f>IFERROR(__xludf.DUMMYFUNCTION("""COMPUTED_VALUE"""),"")</f>
        <v/>
      </c>
      <c r="R1225" s="22" t="str">
        <f>IFERROR(__xludf.DUMMYFUNCTION("""COMPUTED_VALUE"""),"")</f>
        <v/>
      </c>
    </row>
    <row r="1226">
      <c r="A1226" s="15">
        <f>IFERROR(__xludf.DUMMYFUNCTION("""COMPUTED_VALUE"""),45035.0)</f>
        <v>45035</v>
      </c>
      <c r="B1226" s="16" t="str">
        <f>IFERROR(__xludf.DUMMYFUNCTION("""COMPUTED_VALUE"""),"Envia")</f>
        <v>Envia</v>
      </c>
      <c r="C1226" s="15" t="str">
        <f>IFERROR(__xludf.DUMMYFUNCTION("""COMPUTED_VALUE"""),"CÚCUTA")</f>
        <v>CÚCUTA</v>
      </c>
      <c r="D1226" s="15" t="str">
        <f>IFERROR(__xludf.DUMMYFUNCTION("""COMPUTED_VALUE"""),"MEDELLÍN")</f>
        <v>MEDELLÍN</v>
      </c>
      <c r="E1226" s="15" t="str">
        <f>IFERROR(__xludf.DUMMYFUNCTION("""COMPUTED_VALUE"""),"Momo Tea S.A.S Gabriel Echavarría")</f>
        <v>Momo Tea S.A.S Gabriel Echavarría</v>
      </c>
      <c r="F1226" s="17" t="str">
        <f>IFERROR(__xludf.DUMMYFUNCTION("""COMPUTED_VALUE"""),"CL 11 N 16 E 35 / CA B 1")</f>
        <v>CL 11 N 16 E 35 / CA B 1</v>
      </c>
      <c r="G1226" s="15" t="str">
        <f>IFERROR(__xludf.DUMMYFUNCTION("""COMPUTED_VALUE"""),"Gabriel Echavarría")</f>
        <v>Gabriel Echavarría</v>
      </c>
      <c r="H1226" s="16">
        <f>IFERROR(__xludf.DUMMYFUNCTION("""COMPUTED_VALUE"""),9849.0)</f>
        <v>9849</v>
      </c>
      <c r="I1226" s="18">
        <f>IFERROR(__xludf.DUMMYFUNCTION("""COMPUTED_VALUE"""),17.0)</f>
        <v>17</v>
      </c>
      <c r="J1226" s="18">
        <f>IFERROR(__xludf.DUMMYFUNCTION("""COMPUTED_VALUE"""),13.0)</f>
        <v>13</v>
      </c>
      <c r="K1226" s="18">
        <f>IFERROR(__xludf.DUMMYFUNCTION("""COMPUTED_VALUE"""),20.0)</f>
        <v>20</v>
      </c>
      <c r="L1226" s="17">
        <f>IFERROR(__xludf.DUMMYFUNCTION("""COMPUTED_VALUE"""),3.017909548E9)</f>
        <v>3017909548</v>
      </c>
      <c r="M1226" s="17" t="str">
        <f>IFERROR(__xludf.DUMMYFUNCTION("""COMPUTED_VALUE"""),"#REF!")</f>
        <v>#REF!</v>
      </c>
      <c r="N1226" s="17"/>
      <c r="O1226" s="19" t="str">
        <f>IFERROR(__xludf.DUMMYFUNCTION("""COMPUTED_VALUE"""),"")</f>
        <v/>
      </c>
      <c r="P1226" s="17" t="b">
        <f>IFERROR(__xludf.DUMMYFUNCTION("""COMPUTED_VALUE"""),FALSE)</f>
        <v>0</v>
      </c>
      <c r="Q1226" s="20" t="str">
        <f>IFERROR(__xludf.DUMMYFUNCTION("""COMPUTED_VALUE"""),"")</f>
        <v/>
      </c>
      <c r="R1226" s="22" t="str">
        <f>IFERROR(__xludf.DUMMYFUNCTION("""COMPUTED_VALUE"""),"")</f>
        <v/>
      </c>
    </row>
    <row r="1227">
      <c r="A1227" s="15">
        <f>IFERROR(__xludf.DUMMYFUNCTION("""COMPUTED_VALUE"""),45035.0)</f>
        <v>45035</v>
      </c>
      <c r="B1227" s="16" t="str">
        <f>IFERROR(__xludf.DUMMYFUNCTION("""COMPUTED_VALUE"""),"Envia")</f>
        <v>Envia</v>
      </c>
      <c r="C1227" s="15" t="str">
        <f>IFERROR(__xludf.DUMMYFUNCTION("""COMPUTED_VALUE"""),"MEDELLÍN")</f>
        <v>MEDELLÍN</v>
      </c>
      <c r="D1227" s="15" t="str">
        <f>IFERROR(__xludf.DUMMYFUNCTION("""COMPUTED_VALUE"""),"PEREIRA")</f>
        <v>PEREIRA</v>
      </c>
      <c r="E1227" s="15" t="str">
        <f>IFERROR(__xludf.DUMMYFUNCTION("""COMPUTED_VALUE"""),"BAK&amp;VEG")</f>
        <v>BAK&amp;VEG</v>
      </c>
      <c r="F1227" s="17" t="str">
        <f>IFERROR(__xludf.DUMMYFUNCTION("""COMPUTED_VALUE"""),"calle 55 #43 - 14 / apto 901")</f>
        <v>calle 55 #43 - 14 / apto 901</v>
      </c>
      <c r="G1227" s="15" t="str">
        <f>IFERROR(__xludf.DUMMYFUNCTION("""COMPUTED_VALUE"""),"sara gonzales soto")</f>
        <v>sara gonzales soto</v>
      </c>
      <c r="H1227" s="16">
        <f>IFERROR(__xludf.DUMMYFUNCTION("""COMPUTED_VALUE"""),9884.0)</f>
        <v>9884</v>
      </c>
      <c r="I1227" s="17"/>
      <c r="J1227" s="17"/>
      <c r="K1227" s="17"/>
      <c r="L1227" s="17">
        <f>IFERROR(__xludf.DUMMYFUNCTION("""COMPUTED_VALUE"""),3.053606763E9)</f>
        <v>3053606763</v>
      </c>
      <c r="M1227" s="17" t="str">
        <f>IFERROR(__xludf.DUMMYFUNCTION("""COMPUTED_VALUE"""),"#REF!")</f>
        <v>#REF!</v>
      </c>
      <c r="N1227" s="17"/>
      <c r="O1227" s="19" t="str">
        <f>IFERROR(__xludf.DUMMYFUNCTION("""COMPUTED_VALUE"""),"")</f>
        <v/>
      </c>
      <c r="P1227" s="17" t="b">
        <f>IFERROR(__xludf.DUMMYFUNCTION("""COMPUTED_VALUE"""),FALSE)</f>
        <v>0</v>
      </c>
      <c r="Q1227" s="20" t="str">
        <f>IFERROR(__xludf.DUMMYFUNCTION("""COMPUTED_VALUE"""),"")</f>
        <v/>
      </c>
      <c r="R1227" s="22" t="str">
        <f>IFERROR(__xludf.DUMMYFUNCTION("""COMPUTED_VALUE"""),"")</f>
        <v/>
      </c>
    </row>
    <row r="1228">
      <c r="A1228" s="15">
        <f>IFERROR(__xludf.DUMMYFUNCTION("""COMPUTED_VALUE"""),45035.0)</f>
        <v>45035</v>
      </c>
      <c r="B1228" s="16" t="str">
        <f>IFERROR(__xludf.DUMMYFUNCTION("""COMPUTED_VALUE"""),"Envia")</f>
        <v>Envia</v>
      </c>
      <c r="C1228" s="15" t="str">
        <f>IFERROR(__xludf.DUMMYFUNCTION("""COMPUTED_VALUE"""),"MEDELLÍN")</f>
        <v>MEDELLÍN</v>
      </c>
      <c r="D1228" s="15" t="str">
        <f>IFERROR(__xludf.DUMMYFUNCTION("""COMPUTED_VALUE"""),"PEREIRA")</f>
        <v>PEREIRA</v>
      </c>
      <c r="E1228" s="15" t="str">
        <f>IFERROR(__xludf.DUMMYFUNCTION("""COMPUTED_VALUE"""),"BAK&amp;VEG")</f>
        <v>BAK&amp;VEG</v>
      </c>
      <c r="F1228" s="17" t="str">
        <f>IFERROR(__xludf.DUMMYFUNCTION("""COMPUTED_VALUE"""),"calle 55 #43 - 14 / apto 901")</f>
        <v>calle 55 #43 - 14 / apto 901</v>
      </c>
      <c r="G1228" s="15" t="str">
        <f>IFERROR(__xludf.DUMMYFUNCTION("""COMPUTED_VALUE"""),"sara gonzales soto")</f>
        <v>sara gonzales soto</v>
      </c>
      <c r="H1228" s="16">
        <f>IFERROR(__xludf.DUMMYFUNCTION("""COMPUTED_VALUE"""),9885.0)</f>
        <v>9885</v>
      </c>
      <c r="I1228" s="18">
        <f>IFERROR(__xludf.DUMMYFUNCTION("""COMPUTED_VALUE"""),22.0)</f>
        <v>22</v>
      </c>
      <c r="J1228" s="18">
        <f>IFERROR(__xludf.DUMMYFUNCTION("""COMPUTED_VALUE"""),18.0)</f>
        <v>18</v>
      </c>
      <c r="K1228" s="18">
        <f>IFERROR(__xludf.DUMMYFUNCTION("""COMPUTED_VALUE"""),25.0)</f>
        <v>25</v>
      </c>
      <c r="L1228" s="17">
        <f>IFERROR(__xludf.DUMMYFUNCTION("""COMPUTED_VALUE"""),3.053606763E9)</f>
        <v>3053606763</v>
      </c>
      <c r="M1228" s="17" t="str">
        <f>IFERROR(__xludf.DUMMYFUNCTION("""COMPUTED_VALUE"""),"#REF!")</f>
        <v>#REF!</v>
      </c>
      <c r="N1228" s="17"/>
      <c r="O1228" s="19" t="str">
        <f>IFERROR(__xludf.DUMMYFUNCTION("""COMPUTED_VALUE"""),"")</f>
        <v/>
      </c>
      <c r="P1228" s="17" t="b">
        <f>IFERROR(__xludf.DUMMYFUNCTION("""COMPUTED_VALUE"""),FALSE)</f>
        <v>0</v>
      </c>
      <c r="Q1228" s="20" t="str">
        <f>IFERROR(__xludf.DUMMYFUNCTION("""COMPUTED_VALUE"""),"")</f>
        <v/>
      </c>
      <c r="R1228" s="22" t="str">
        <f>IFERROR(__xludf.DUMMYFUNCTION("""COMPUTED_VALUE"""),"")</f>
        <v/>
      </c>
    </row>
    <row r="1229">
      <c r="A1229" s="17" t="str">
        <f>IFERROR(__xludf.DUMMYFUNCTION("""COMPUTED_VALUE"""),"")</f>
        <v/>
      </c>
      <c r="B1229" s="17" t="str">
        <f>IFERROR(__xludf.DUMMYFUNCTION("""COMPUTED_VALUE"""),"")</f>
        <v/>
      </c>
      <c r="C1229" s="17" t="str">
        <f>IFERROR(__xludf.DUMMYFUNCTION("""COMPUTED_VALUE"""),"")</f>
        <v/>
      </c>
      <c r="D1229" s="17" t="str">
        <f>IFERROR(__xludf.DUMMYFUNCTION("""COMPUTED_VALUE"""),"")</f>
        <v/>
      </c>
      <c r="E1229" s="17" t="str">
        <f>IFERROR(__xludf.DUMMYFUNCTION("""COMPUTED_VALUE"""),"")</f>
        <v/>
      </c>
      <c r="F1229" s="17" t="str">
        <f>IFERROR(__xludf.DUMMYFUNCTION("""COMPUTED_VALUE"""),"")</f>
        <v/>
      </c>
      <c r="G1229" s="17" t="str">
        <f>IFERROR(__xludf.DUMMYFUNCTION("""COMPUTED_VALUE"""),"")</f>
        <v/>
      </c>
      <c r="H1229" s="17" t="str">
        <f>IFERROR(__xludf.DUMMYFUNCTION("""COMPUTED_VALUE"""),"")</f>
        <v/>
      </c>
      <c r="I1229" s="17" t="str">
        <f>IFERROR(__xludf.DUMMYFUNCTION("""COMPUTED_VALUE"""),"")</f>
        <v/>
      </c>
      <c r="J1229" s="17" t="str">
        <f>IFERROR(__xludf.DUMMYFUNCTION("""COMPUTED_VALUE"""),"")</f>
        <v/>
      </c>
      <c r="K1229" s="17" t="str">
        <f>IFERROR(__xludf.DUMMYFUNCTION("""COMPUTED_VALUE"""),"")</f>
        <v/>
      </c>
      <c r="L1229" s="17" t="str">
        <f>IFERROR(__xludf.DUMMYFUNCTION("""COMPUTED_VALUE"""),"")</f>
        <v/>
      </c>
      <c r="M1229" s="17" t="str">
        <f>IFERROR(__xludf.DUMMYFUNCTION("""COMPUTED_VALUE"""),"")</f>
        <v/>
      </c>
      <c r="N1229" s="17" t="str">
        <f>IFERROR(__xludf.DUMMYFUNCTION("""COMPUTED_VALUE"""),"")</f>
        <v/>
      </c>
      <c r="O1229" s="17" t="str">
        <f>IFERROR(__xludf.DUMMYFUNCTION("""COMPUTED_VALUE"""),"")</f>
        <v/>
      </c>
      <c r="P1229" s="17" t="str">
        <f>IFERROR(__xludf.DUMMYFUNCTION("""COMPUTED_VALUE"""),"")</f>
        <v/>
      </c>
      <c r="Q1229" s="17" t="str">
        <f>IFERROR(__xludf.DUMMYFUNCTION("""COMPUTED_VALUE"""),"")</f>
        <v/>
      </c>
      <c r="R1229" s="17" t="str">
        <f>IFERROR(__xludf.DUMMYFUNCTION("""COMPUTED_VALUE"""),"")</f>
        <v/>
      </c>
    </row>
    <row r="1230">
      <c r="A1230" s="15">
        <f>IFERROR(__xludf.DUMMYFUNCTION("""COMPUTED_VALUE"""),45035.0)</f>
        <v>45035</v>
      </c>
      <c r="B1230" s="16" t="str">
        <f>IFERROR(__xludf.DUMMYFUNCTION("""COMPUTED_VALUE"""),"Jeison Rubiano")</f>
        <v>Jeison Rubiano</v>
      </c>
      <c r="C1230" s="15" t="str">
        <f>IFERROR(__xludf.DUMMYFUNCTION("""COMPUTED_VALUE"""),"BARRANQUILLA")</f>
        <v>BARRANQUILLA</v>
      </c>
      <c r="D1230" s="15" t="str">
        <f>IFERROR(__xludf.DUMMYFUNCTION("""COMPUTED_VALUE"""),"BOGOTÁ")</f>
        <v>BOGOTÁ</v>
      </c>
      <c r="E1230" s="15" t="str">
        <f>IFERROR(__xludf.DUMMYFUNCTION("""COMPUTED_VALUE"""),"Mochi")</f>
        <v>Mochi</v>
      </c>
      <c r="F1230" s="17" t="str">
        <f>IFERROR(__xludf.DUMMYFUNCTION("""COMPUTED_VALUE"""),"CENTRO COMERCIAL VIVA BARRANQUILLA /  VIVA BARRANQUILLA /  VIVA BARRANQUILLA")</f>
        <v>CENTRO COMERCIAL VIVA BARRANQUILLA /  VIVA BARRANQUILLA /  VIVA BARRANQUILLA</v>
      </c>
      <c r="G1230" s="15" t="str">
        <f>IFERROR(__xludf.DUMMYFUNCTION("""COMPUTED_VALUE"""),"MARIA CAMILA")</f>
        <v>MARIA CAMILA</v>
      </c>
      <c r="H1230" s="16">
        <f>IFERROR(__xludf.DUMMYFUNCTION("""COMPUTED_VALUE"""),9920.0)</f>
        <v>9920</v>
      </c>
      <c r="I1230" s="18">
        <f>IFERROR(__xludf.DUMMYFUNCTION("""COMPUTED_VALUE"""),100.0)</f>
        <v>100</v>
      </c>
      <c r="J1230" s="18">
        <f>IFERROR(__xludf.DUMMYFUNCTION("""COMPUTED_VALUE"""),100.0)</f>
        <v>100</v>
      </c>
      <c r="K1230" s="18">
        <f>IFERROR(__xludf.DUMMYFUNCTION("""COMPUTED_VALUE"""),100.0)</f>
        <v>100</v>
      </c>
      <c r="L1230" s="17">
        <f>IFERROR(__xludf.DUMMYFUNCTION("""COMPUTED_VALUE"""),3.116026252E9)</f>
        <v>3116026252</v>
      </c>
      <c r="M1230" s="17" t="str">
        <f>IFERROR(__xludf.DUMMYFUNCTION("""COMPUTED_VALUE"""),"#REF!")</f>
        <v>#REF!</v>
      </c>
      <c r="N1230" s="17"/>
      <c r="O1230" s="19" t="str">
        <f>IFERROR(__xludf.DUMMYFUNCTION("""COMPUTED_VALUE"""),"")</f>
        <v/>
      </c>
      <c r="P1230" s="17" t="b">
        <f>IFERROR(__xludf.DUMMYFUNCTION("""COMPUTED_VALUE"""),TRUE)</f>
        <v>1</v>
      </c>
      <c r="Q1230" s="20">
        <f>IFERROR(__xludf.DUMMYFUNCTION("""COMPUTED_VALUE"""),45035.74077105324)</f>
        <v>45035.74077</v>
      </c>
      <c r="R1230" s="22" t="str">
        <f>IFERROR(__xludf.DUMMYFUNCTION("""COMPUTED_VALUE"""),"")</f>
        <v/>
      </c>
    </row>
    <row r="1231">
      <c r="A1231" s="15">
        <f>IFERROR(__xludf.DUMMYFUNCTION("""COMPUTED_VALUE"""),45035.0)</f>
        <v>45035</v>
      </c>
      <c r="B1231" s="16" t="str">
        <f>IFERROR(__xludf.DUMMYFUNCTION("""COMPUTED_VALUE"""),"Jeison Rubiano")</f>
        <v>Jeison Rubiano</v>
      </c>
      <c r="C1231" s="15" t="str">
        <f>IFERROR(__xludf.DUMMYFUNCTION("""COMPUTED_VALUE"""),"BOGOTÁ")</f>
        <v>BOGOTÁ</v>
      </c>
      <c r="D1231" s="15" t="str">
        <f>IFERROR(__xludf.DUMMYFUNCTION("""COMPUTED_VALUE"""),"MEDELLÍN")</f>
        <v>MEDELLÍN</v>
      </c>
      <c r="E1231" s="15" t="str">
        <f>IFERROR(__xludf.DUMMYFUNCTION("""COMPUTED_VALUE"""),"Baby Chef")</f>
        <v>Baby Chef</v>
      </c>
      <c r="F1231" s="17" t="str">
        <f>IFERROR(__xludf.DUMMYFUNCTION("""COMPUTED_VALUE"""),"Calle 151 #13A-50 / Parque residencial cedritos  Torre 1 apartamento 907 / CEDRITOS")</f>
        <v>Calle 151 #13A-50 / Parque residencial cedritos  Torre 1 apartamento 907 / CEDRITOS</v>
      </c>
      <c r="G1231" s="15" t="str">
        <f>IFERROR(__xludf.DUMMYFUNCTION("""COMPUTED_VALUE"""),"Laura Katherine Calderon")</f>
        <v>Laura Katherine Calderon</v>
      </c>
      <c r="H1231" s="16">
        <f>IFERROR(__xludf.DUMMYFUNCTION("""COMPUTED_VALUE"""),9901.0)</f>
        <v>9901</v>
      </c>
      <c r="I1231" s="18">
        <f>IFERROR(__xludf.DUMMYFUNCTION("""COMPUTED_VALUE"""),8.0)</f>
        <v>8</v>
      </c>
      <c r="J1231" s="18">
        <f>IFERROR(__xludf.DUMMYFUNCTION("""COMPUTED_VALUE"""),16.0)</f>
        <v>16</v>
      </c>
      <c r="K1231" s="18">
        <f>IFERROR(__xludf.DUMMYFUNCTION("""COMPUTED_VALUE"""),20.0)</f>
        <v>20</v>
      </c>
      <c r="L1231" s="17">
        <f>IFERROR(__xludf.DUMMYFUNCTION("""COMPUTED_VALUE"""),3.154717356E9)</f>
        <v>3154717356</v>
      </c>
      <c r="M1231" s="17" t="str">
        <f>IFERROR(__xludf.DUMMYFUNCTION("""COMPUTED_VALUE"""),"#REF!")</f>
        <v>#REF!</v>
      </c>
      <c r="N1231" s="17"/>
      <c r="O1231" s="19" t="str">
        <f>IFERROR(__xludf.DUMMYFUNCTION("""COMPUTED_VALUE"""),"")</f>
        <v/>
      </c>
      <c r="P1231" s="17" t="b">
        <f>IFERROR(__xludf.DUMMYFUNCTION("""COMPUTED_VALUE"""),TRUE)</f>
        <v>1</v>
      </c>
      <c r="Q1231" s="20">
        <f>IFERROR(__xludf.DUMMYFUNCTION("""COMPUTED_VALUE"""),45040.49518560185)</f>
        <v>45040.49519</v>
      </c>
      <c r="R1231" s="22" t="str">
        <f>IFERROR(__xludf.DUMMYFUNCTION("""COMPUTED_VALUE"""),"")</f>
        <v/>
      </c>
    </row>
    <row r="1232">
      <c r="A1232" s="15">
        <f>IFERROR(__xludf.DUMMYFUNCTION("""COMPUTED_VALUE"""),45035.0)</f>
        <v>45035</v>
      </c>
      <c r="B1232" s="16" t="str">
        <f>IFERROR(__xludf.DUMMYFUNCTION("""COMPUTED_VALUE"""),"Jeison Rubiano")</f>
        <v>Jeison Rubiano</v>
      </c>
      <c r="C1232" s="15" t="str">
        <f>IFERROR(__xludf.DUMMYFUNCTION("""COMPUTED_VALUE"""),"BOGOTÁ")</f>
        <v>BOGOTÁ</v>
      </c>
      <c r="D1232" s="15" t="str">
        <f>IFERROR(__xludf.DUMMYFUNCTION("""COMPUTED_VALUE"""),"MEDELLÍN")</f>
        <v>MEDELLÍN</v>
      </c>
      <c r="E1232" s="15" t="str">
        <f>IFERROR(__xludf.DUMMYFUNCTION("""COMPUTED_VALUE"""),"Baby Chef")</f>
        <v>Baby Chef</v>
      </c>
      <c r="F1232" s="17" t="str">
        <f>IFERROR(__xludf.DUMMYFUNCTION("""COMPUTED_VALUE"""),"Calle 55#78-74 Anillo 10 / Unidad Residencial Santa Cecilia apto 411 / Normandía segundo sector")</f>
        <v>Calle 55#78-74 Anillo 10 / Unidad Residencial Santa Cecilia apto 411 / Normandía segundo sector</v>
      </c>
      <c r="G1232" s="15" t="str">
        <f>IFERROR(__xludf.DUMMYFUNCTION("""COMPUTED_VALUE"""),"Deysi Vasquez")</f>
        <v>Deysi Vasquez</v>
      </c>
      <c r="H1232" s="16">
        <f>IFERROR(__xludf.DUMMYFUNCTION("""COMPUTED_VALUE"""),9917.0)</f>
        <v>9917</v>
      </c>
      <c r="I1232" s="18">
        <f>IFERROR(__xludf.DUMMYFUNCTION("""COMPUTED_VALUE"""),8.0)</f>
        <v>8</v>
      </c>
      <c r="J1232" s="18">
        <f>IFERROR(__xludf.DUMMYFUNCTION("""COMPUTED_VALUE"""),16.0)</f>
        <v>16</v>
      </c>
      <c r="K1232" s="18">
        <f>IFERROR(__xludf.DUMMYFUNCTION("""COMPUTED_VALUE"""),20.0)</f>
        <v>20</v>
      </c>
      <c r="L1232" s="17">
        <f>IFERROR(__xludf.DUMMYFUNCTION("""COMPUTED_VALUE"""),3.134193552E9)</f>
        <v>3134193552</v>
      </c>
      <c r="M1232" s="17" t="str">
        <f>IFERROR(__xludf.DUMMYFUNCTION("""COMPUTED_VALUE"""),"#REF!")</f>
        <v>#REF!</v>
      </c>
      <c r="N1232" s="17"/>
      <c r="O1232" s="19" t="str">
        <f>IFERROR(__xludf.DUMMYFUNCTION("""COMPUTED_VALUE"""),"")</f>
        <v/>
      </c>
      <c r="P1232" s="17" t="b">
        <f>IFERROR(__xludf.DUMMYFUNCTION("""COMPUTED_VALUE"""),TRUE)</f>
        <v>1</v>
      </c>
      <c r="Q1232" s="20">
        <f>IFERROR(__xludf.DUMMYFUNCTION("""COMPUTED_VALUE"""),45036.35629811343)</f>
        <v>45036.3563</v>
      </c>
      <c r="R1232" s="22" t="str">
        <f>IFERROR(__xludf.DUMMYFUNCTION("""COMPUTED_VALUE"""),"")</f>
        <v/>
      </c>
    </row>
    <row r="1233">
      <c r="A1233" s="15">
        <f>IFERROR(__xludf.DUMMYFUNCTION("""COMPUTED_VALUE"""),45035.0)</f>
        <v>45035</v>
      </c>
      <c r="B1233" s="16" t="str">
        <f>IFERROR(__xludf.DUMMYFUNCTION("""COMPUTED_VALUE"""),"Jeison Rubiano")</f>
        <v>Jeison Rubiano</v>
      </c>
      <c r="C1233" s="15" t="str">
        <f>IFERROR(__xludf.DUMMYFUNCTION("""COMPUTED_VALUE"""),"BOGOTÁ")</f>
        <v>BOGOTÁ</v>
      </c>
      <c r="D1233" s="15" t="str">
        <f>IFERROR(__xludf.DUMMYFUNCTION("""COMPUTED_VALUE"""),"MEDELLÍN")</f>
        <v>MEDELLÍN</v>
      </c>
      <c r="E1233" s="15" t="str">
        <f>IFERROR(__xludf.DUMMYFUNCTION("""COMPUTED_VALUE"""),"Baby Chef")</f>
        <v>Baby Chef</v>
      </c>
      <c r="F1233" s="17" t="str">
        <f>IFERROR(__xludf.DUMMYFUNCTION("""COMPUTED_VALUE"""),"Carrera 69 #12a-42 / Conjunto La Rioja apt 1306 torre 2  / Villa Alsacia - Bogota")</f>
        <v>Carrera 69 #12a-42 / Conjunto La Rioja apt 1306 torre 2  / Villa Alsacia - Bogota</v>
      </c>
      <c r="G1233" s="15" t="str">
        <f>IFERROR(__xludf.DUMMYFUNCTION("""COMPUTED_VALUE"""),"Marcela Cardenas Tovar")</f>
        <v>Marcela Cardenas Tovar</v>
      </c>
      <c r="H1233" s="16">
        <f>IFERROR(__xludf.DUMMYFUNCTION("""COMPUTED_VALUE"""),9897.0)</f>
        <v>9897</v>
      </c>
      <c r="I1233" s="18">
        <f>IFERROR(__xludf.DUMMYFUNCTION("""COMPUTED_VALUE"""),8.0)</f>
        <v>8</v>
      </c>
      <c r="J1233" s="18">
        <f>IFERROR(__xludf.DUMMYFUNCTION("""COMPUTED_VALUE"""),16.0)</f>
        <v>16</v>
      </c>
      <c r="K1233" s="18">
        <f>IFERROR(__xludf.DUMMYFUNCTION("""COMPUTED_VALUE"""),20.0)</f>
        <v>20</v>
      </c>
      <c r="L1233" s="17">
        <f>IFERROR(__xludf.DUMMYFUNCTION("""COMPUTED_VALUE"""),3.10305951E9)</f>
        <v>3103059510</v>
      </c>
      <c r="M1233" s="17" t="str">
        <f>IFERROR(__xludf.DUMMYFUNCTION("""COMPUTED_VALUE"""),"#REF!")</f>
        <v>#REF!</v>
      </c>
      <c r="N1233" s="17"/>
      <c r="O1233" s="19" t="str">
        <f>IFERROR(__xludf.DUMMYFUNCTION("""COMPUTED_VALUE"""),"")</f>
        <v/>
      </c>
      <c r="P1233" s="17" t="b">
        <f>IFERROR(__xludf.DUMMYFUNCTION("""COMPUTED_VALUE"""),TRUE)</f>
        <v>1</v>
      </c>
      <c r="Q1233" s="20">
        <f>IFERROR(__xludf.DUMMYFUNCTION("""COMPUTED_VALUE"""),45036.49487869213)</f>
        <v>45036.49488</v>
      </c>
      <c r="R1233" s="22" t="str">
        <f>IFERROR(__xludf.DUMMYFUNCTION("""COMPUTED_VALUE"""),"")</f>
        <v/>
      </c>
    </row>
    <row r="1234">
      <c r="A1234" s="15">
        <f>IFERROR(__xludf.DUMMYFUNCTION("""COMPUTED_VALUE"""),45035.0)</f>
        <v>45035</v>
      </c>
      <c r="B1234" s="16" t="str">
        <f>IFERROR(__xludf.DUMMYFUNCTION("""COMPUTED_VALUE"""),"Jeison Rubiano")</f>
        <v>Jeison Rubiano</v>
      </c>
      <c r="C1234" s="15" t="str">
        <f>IFERROR(__xludf.DUMMYFUNCTION("""COMPUTED_VALUE"""),"BOGOTÁ")</f>
        <v>BOGOTÁ</v>
      </c>
      <c r="D1234" s="15" t="str">
        <f>IFERROR(__xludf.DUMMYFUNCTION("""COMPUTED_VALUE"""),"MEDELLÍN")</f>
        <v>MEDELLÍN</v>
      </c>
      <c r="E1234" s="15" t="str">
        <f>IFERROR(__xludf.DUMMYFUNCTION("""COMPUTED_VALUE"""),"Baby Chef")</f>
        <v>Baby Chef</v>
      </c>
      <c r="F1234" s="17" t="str">
        <f>IFERROR(__xludf.DUMMYFUNCTION("""COMPUTED_VALUE"""),"Plaza claro centro comercial. Piso 9. Superintendencia de salud / Plaza claro centro comercial. Piso 9. Superintendencia de salud / Plaza claro centro comercial. Piso 9. Superintendencia de salud")</f>
        <v>Plaza claro centro comercial. Piso 9. Superintendencia de salud / Plaza claro centro comercial. Piso 9. Superintendencia de salud / Plaza claro centro comercial. Piso 9. Superintendencia de salud</v>
      </c>
      <c r="G1234" s="15" t="str">
        <f>IFERROR(__xludf.DUMMYFUNCTION("""COMPUTED_VALUE"""),"GLORIA RUSSI")</f>
        <v>GLORIA RUSSI</v>
      </c>
      <c r="H1234" s="16">
        <f>IFERROR(__xludf.DUMMYFUNCTION("""COMPUTED_VALUE"""),9899.0)</f>
        <v>9899</v>
      </c>
      <c r="I1234" s="18">
        <f>IFERROR(__xludf.DUMMYFUNCTION("""COMPUTED_VALUE"""),8.0)</f>
        <v>8</v>
      </c>
      <c r="J1234" s="18">
        <f>IFERROR(__xludf.DUMMYFUNCTION("""COMPUTED_VALUE"""),16.0)</f>
        <v>16</v>
      </c>
      <c r="K1234" s="18">
        <f>IFERROR(__xludf.DUMMYFUNCTION("""COMPUTED_VALUE"""),20.0)</f>
        <v>20</v>
      </c>
      <c r="L1234" s="17">
        <f>IFERROR(__xludf.DUMMYFUNCTION("""COMPUTED_VALUE"""),3.213034209E9)</f>
        <v>3213034209</v>
      </c>
      <c r="M1234" s="17" t="str">
        <f>IFERROR(__xludf.DUMMYFUNCTION("""COMPUTED_VALUE"""),"#REF!")</f>
        <v>#REF!</v>
      </c>
      <c r="N1234" s="17"/>
      <c r="O1234" s="19" t="str">
        <f>IFERROR(__xludf.DUMMYFUNCTION("""COMPUTED_VALUE"""),"")</f>
        <v/>
      </c>
      <c r="P1234" s="17" t="b">
        <f>IFERROR(__xludf.DUMMYFUNCTION("""COMPUTED_VALUE"""),TRUE)</f>
        <v>1</v>
      </c>
      <c r="Q1234" s="20">
        <f>IFERROR(__xludf.DUMMYFUNCTION("""COMPUTED_VALUE"""),45036.35629811343)</f>
        <v>45036.3563</v>
      </c>
      <c r="R1234" s="22" t="str">
        <f>IFERROR(__xludf.DUMMYFUNCTION("""COMPUTED_VALUE"""),"")</f>
        <v/>
      </c>
    </row>
    <row r="1235">
      <c r="A1235" s="15">
        <f>IFERROR(__xludf.DUMMYFUNCTION("""COMPUTED_VALUE"""),45035.0)</f>
        <v>45035</v>
      </c>
      <c r="B1235" s="16" t="str">
        <f>IFERROR(__xludf.DUMMYFUNCTION("""COMPUTED_VALUE"""),"Jeison Rubiano")</f>
        <v>Jeison Rubiano</v>
      </c>
      <c r="C1235" s="15" t="str">
        <f>IFERROR(__xludf.DUMMYFUNCTION("""COMPUTED_VALUE"""),"BOGOTÁ")</f>
        <v>BOGOTÁ</v>
      </c>
      <c r="D1235" s="15" t="str">
        <f>IFERROR(__xludf.DUMMYFUNCTION("""COMPUTED_VALUE"""),"MEDELLÍN")</f>
        <v>MEDELLÍN</v>
      </c>
      <c r="E1235" s="15" t="str">
        <f>IFERROR(__xludf.DUMMYFUNCTION("""COMPUTED_VALUE"""),"Lácteos El Pino SAS")</f>
        <v>Lácteos El Pino SAS</v>
      </c>
      <c r="F1235" s="17" t="str">
        <f>IFERROR(__xludf.DUMMYFUNCTION("""COMPUTED_VALUE"""),"CALLE 49 B SUR 9A 56 TORRE 26 APT 102 / DEJAR EN PORTERIA")</f>
        <v>CALLE 49 B SUR 9A 56 TORRE 26 APT 102 / DEJAR EN PORTERIA</v>
      </c>
      <c r="G1235" s="15" t="str">
        <f>IFERROR(__xludf.DUMMYFUNCTION("""COMPUTED_VALUE"""),"LUISA RAMIREZ")</f>
        <v>LUISA RAMIREZ</v>
      </c>
      <c r="H1235" s="16">
        <f>IFERROR(__xludf.DUMMYFUNCTION("""COMPUTED_VALUE"""),9890.0)</f>
        <v>9890</v>
      </c>
      <c r="I1235" s="18">
        <f>IFERROR(__xludf.DUMMYFUNCTION("""COMPUTED_VALUE"""),14.0)</f>
        <v>14</v>
      </c>
      <c r="J1235" s="18">
        <f>IFERROR(__xludf.DUMMYFUNCTION("""COMPUTED_VALUE"""),22.0)</f>
        <v>22</v>
      </c>
      <c r="K1235" s="18">
        <f>IFERROR(__xludf.DUMMYFUNCTION("""COMPUTED_VALUE"""),15.0)</f>
        <v>15</v>
      </c>
      <c r="L1235" s="17"/>
      <c r="M1235" s="17" t="str">
        <f>IFERROR(__xludf.DUMMYFUNCTION("""COMPUTED_VALUE"""),"#REF!")</f>
        <v>#REF!</v>
      </c>
      <c r="N1235" s="17"/>
      <c r="O1235" s="19" t="str">
        <f>IFERROR(__xludf.DUMMYFUNCTION("""COMPUTED_VALUE"""),"")</f>
        <v/>
      </c>
      <c r="P1235" s="17" t="b">
        <f>IFERROR(__xludf.DUMMYFUNCTION("""COMPUTED_VALUE"""),TRUE)</f>
        <v>1</v>
      </c>
      <c r="Q1235" s="20">
        <f>IFERROR(__xludf.DUMMYFUNCTION("""COMPUTED_VALUE"""),45036.35629811343)</f>
        <v>45036.3563</v>
      </c>
      <c r="R1235" s="22" t="str">
        <f>IFERROR(__xludf.DUMMYFUNCTION("""COMPUTED_VALUE"""),"")</f>
        <v/>
      </c>
    </row>
    <row r="1236">
      <c r="A1236" s="15">
        <f>IFERROR(__xludf.DUMMYFUNCTION("""COMPUTED_VALUE"""),45035.0)</f>
        <v>45035</v>
      </c>
      <c r="B1236" s="16" t="str">
        <f>IFERROR(__xludf.DUMMYFUNCTION("""COMPUTED_VALUE"""),"Jeison Rubiano")</f>
        <v>Jeison Rubiano</v>
      </c>
      <c r="C1236" s="15" t="str">
        <f>IFERROR(__xludf.DUMMYFUNCTION("""COMPUTED_VALUE"""),"BOGOTÁ")</f>
        <v>BOGOTÁ</v>
      </c>
      <c r="D1236" s="15" t="str">
        <f>IFERROR(__xludf.DUMMYFUNCTION("""COMPUTED_VALUE"""),"MEDELLÍN")</f>
        <v>MEDELLÍN</v>
      </c>
      <c r="E1236" s="15" t="str">
        <f>IFERROR(__xludf.DUMMYFUNCTION("""COMPUTED_VALUE"""),"Lácteos El Pino SAS")</f>
        <v>Lácteos El Pino SAS</v>
      </c>
      <c r="F1236" s="17" t="str">
        <f>IFERROR(__xludf.DUMMYFUNCTION("""COMPUTED_VALUE"""),"CALLE 67 # 30 -25 EDIFICIO MORELA APT 601 / DEJAR EN PORTERIA")</f>
        <v>CALLE 67 # 30 -25 EDIFICIO MORELA APT 601 / DEJAR EN PORTERIA</v>
      </c>
      <c r="G1236" s="15" t="str">
        <f>IFERROR(__xludf.DUMMYFUNCTION("""COMPUTED_VALUE"""),"GLORIA SANCHEZ")</f>
        <v>GLORIA SANCHEZ</v>
      </c>
      <c r="H1236" s="16">
        <f>IFERROR(__xludf.DUMMYFUNCTION("""COMPUTED_VALUE"""),9889.0)</f>
        <v>9889</v>
      </c>
      <c r="I1236" s="18">
        <f>IFERROR(__xludf.DUMMYFUNCTION("""COMPUTED_VALUE"""),14.0)</f>
        <v>14</v>
      </c>
      <c r="J1236" s="18">
        <f>IFERROR(__xludf.DUMMYFUNCTION("""COMPUTED_VALUE"""),22.0)</f>
        <v>22</v>
      </c>
      <c r="K1236" s="18">
        <f>IFERROR(__xludf.DUMMYFUNCTION("""COMPUTED_VALUE"""),15.0)</f>
        <v>15</v>
      </c>
      <c r="L1236" s="17"/>
      <c r="M1236" s="17" t="str">
        <f>IFERROR(__xludf.DUMMYFUNCTION("""COMPUTED_VALUE"""),"#REF!")</f>
        <v>#REF!</v>
      </c>
      <c r="N1236" s="17"/>
      <c r="O1236" s="19" t="str">
        <f>IFERROR(__xludf.DUMMYFUNCTION("""COMPUTED_VALUE"""),"")</f>
        <v/>
      </c>
      <c r="P1236" s="17" t="b">
        <f>IFERROR(__xludf.DUMMYFUNCTION("""COMPUTED_VALUE"""),TRUE)</f>
        <v>1</v>
      </c>
      <c r="Q1236" s="20">
        <f>IFERROR(__xludf.DUMMYFUNCTION("""COMPUTED_VALUE"""),45036.35629811343)</f>
        <v>45036.3563</v>
      </c>
      <c r="R1236" s="22" t="str">
        <f>IFERROR(__xludf.DUMMYFUNCTION("""COMPUTED_VALUE"""),"")</f>
        <v/>
      </c>
    </row>
    <row r="1237">
      <c r="A1237" s="15">
        <f>IFERROR(__xludf.DUMMYFUNCTION("""COMPUTED_VALUE"""),45035.0)</f>
        <v>45035</v>
      </c>
      <c r="B1237" s="16" t="str">
        <f>IFERROR(__xludf.DUMMYFUNCTION("""COMPUTED_VALUE"""),"Jeison Rubiano")</f>
        <v>Jeison Rubiano</v>
      </c>
      <c r="C1237" s="15" t="str">
        <f>IFERROR(__xludf.DUMMYFUNCTION("""COMPUTED_VALUE"""),"BOGOTÁ")</f>
        <v>BOGOTÁ</v>
      </c>
      <c r="D1237" s="15" t="str">
        <f>IFERROR(__xludf.DUMMYFUNCTION("""COMPUTED_VALUE"""),"MEDELLÍN")</f>
        <v>MEDELLÍN</v>
      </c>
      <c r="E1237" s="15" t="str">
        <f>IFERROR(__xludf.DUMMYFUNCTION("""COMPUTED_VALUE"""),"Moloso S.A.S")</f>
        <v>Moloso S.A.S</v>
      </c>
      <c r="F1237" s="17" t="str">
        <f>IFERROR(__xludf.DUMMYFUNCTION("""COMPUTED_VALUE"""),"	 CRA 9 BIS 97 06 / APTO 604")</f>
        <v>	 CRA 9 BIS 97 06 / APTO 604</v>
      </c>
      <c r="G1237" s="15" t="str">
        <f>IFERROR(__xludf.DUMMYFUNCTION("""COMPUTED_VALUE"""),"MARIA XIMENA GUZMAN DEL CASTILLO")</f>
        <v>MARIA XIMENA GUZMAN DEL CASTILLO</v>
      </c>
      <c r="H1237" s="16">
        <f>IFERROR(__xludf.DUMMYFUNCTION("""COMPUTED_VALUE"""),9909.0)</f>
        <v>9909</v>
      </c>
      <c r="I1237" s="18">
        <f>IFERROR(__xludf.DUMMYFUNCTION("""COMPUTED_VALUE"""),17.0)</f>
        <v>17</v>
      </c>
      <c r="J1237" s="18">
        <f>IFERROR(__xludf.DUMMYFUNCTION("""COMPUTED_VALUE"""),15.0)</f>
        <v>15</v>
      </c>
      <c r="K1237" s="18">
        <f>IFERROR(__xludf.DUMMYFUNCTION("""COMPUTED_VALUE"""),28.0)</f>
        <v>28</v>
      </c>
      <c r="L1237" s="17" t="str">
        <f>IFERROR(__xludf.DUMMYFUNCTION("""COMPUTED_VALUE"""),"311 2848381")</f>
        <v>311 2848381</v>
      </c>
      <c r="M1237" s="17" t="str">
        <f>IFERROR(__xludf.DUMMYFUNCTION("""COMPUTED_VALUE"""),"#REF!")</f>
        <v>#REF!</v>
      </c>
      <c r="N1237" s="17"/>
      <c r="O1237" s="19" t="str">
        <f>IFERROR(__xludf.DUMMYFUNCTION("""COMPUTED_VALUE"""),"")</f>
        <v/>
      </c>
      <c r="P1237" s="17" t="b">
        <f>IFERROR(__xludf.DUMMYFUNCTION("""COMPUTED_VALUE"""),TRUE)</f>
        <v>1</v>
      </c>
      <c r="Q1237" s="20">
        <f>IFERROR(__xludf.DUMMYFUNCTION("""COMPUTED_VALUE"""),45036.35629811343)</f>
        <v>45036.3563</v>
      </c>
      <c r="R1237" s="22" t="str">
        <f>IFERROR(__xludf.DUMMYFUNCTION("""COMPUTED_VALUE"""),"")</f>
        <v/>
      </c>
    </row>
    <row r="1238">
      <c r="A1238" s="15">
        <f>IFERROR(__xludf.DUMMYFUNCTION("""COMPUTED_VALUE"""),45035.0)</f>
        <v>45035</v>
      </c>
      <c r="B1238" s="16" t="str">
        <f>IFERROR(__xludf.DUMMYFUNCTION("""COMPUTED_VALUE"""),"Jeison Rubiano")</f>
        <v>Jeison Rubiano</v>
      </c>
      <c r="C1238" s="15" t="str">
        <f>IFERROR(__xludf.DUMMYFUNCTION("""COMPUTED_VALUE"""),"BOGOTÁ")</f>
        <v>BOGOTÁ</v>
      </c>
      <c r="D1238" s="15" t="str">
        <f>IFERROR(__xludf.DUMMYFUNCTION("""COMPUTED_VALUE"""),"MEDELLÍN")</f>
        <v>MEDELLÍN</v>
      </c>
      <c r="E1238" s="15" t="str">
        <f>IFERROR(__xludf.DUMMYFUNCTION("""COMPUTED_VALUE"""),"Moloso S.A.S")</f>
        <v>Moloso S.A.S</v>
      </c>
      <c r="F1238" s="17" t="str">
        <f>IFERROR(__xludf.DUMMYFUNCTION("""COMPUTED_VALUE"""),"CRA 55 149 09 / CONJUNTO MONTECARLO 3 CASA 16")</f>
        <v>CRA 55 149 09 / CONJUNTO MONTECARLO 3 CASA 16</v>
      </c>
      <c r="G1238" s="15" t="str">
        <f>IFERROR(__xludf.DUMMYFUNCTION("""COMPUTED_VALUE"""),"CLAUDIA ADRIANA GARCIA FINO")</f>
        <v>CLAUDIA ADRIANA GARCIA FINO</v>
      </c>
      <c r="H1238" s="16">
        <f>IFERROR(__xludf.DUMMYFUNCTION("""COMPUTED_VALUE"""),9907.0)</f>
        <v>9907</v>
      </c>
      <c r="I1238" s="18">
        <f>IFERROR(__xludf.DUMMYFUNCTION("""COMPUTED_VALUE"""),17.0)</f>
        <v>17</v>
      </c>
      <c r="J1238" s="18">
        <f>IFERROR(__xludf.DUMMYFUNCTION("""COMPUTED_VALUE"""),15.0)</f>
        <v>15</v>
      </c>
      <c r="K1238" s="18">
        <f>IFERROR(__xludf.DUMMYFUNCTION("""COMPUTED_VALUE"""),28.0)</f>
        <v>28</v>
      </c>
      <c r="L1238" s="17" t="str">
        <f>IFERROR(__xludf.DUMMYFUNCTION("""COMPUTED_VALUE"""),"313 2628813")</f>
        <v>313 2628813</v>
      </c>
      <c r="M1238" s="17" t="str">
        <f>IFERROR(__xludf.DUMMYFUNCTION("""COMPUTED_VALUE"""),"#REF!")</f>
        <v>#REF!</v>
      </c>
      <c r="N1238" s="17"/>
      <c r="O1238" s="19" t="str">
        <f>IFERROR(__xludf.DUMMYFUNCTION("""COMPUTED_VALUE"""),"")</f>
        <v/>
      </c>
      <c r="P1238" s="17" t="b">
        <f>IFERROR(__xludf.DUMMYFUNCTION("""COMPUTED_VALUE"""),TRUE)</f>
        <v>1</v>
      </c>
      <c r="Q1238" s="20">
        <f>IFERROR(__xludf.DUMMYFUNCTION("""COMPUTED_VALUE"""),45036.35629811343)</f>
        <v>45036.3563</v>
      </c>
      <c r="R1238" s="22" t="str">
        <f>IFERROR(__xludf.DUMMYFUNCTION("""COMPUTED_VALUE"""),"")</f>
        <v/>
      </c>
    </row>
    <row r="1239">
      <c r="A1239" s="17" t="str">
        <f>IFERROR(__xludf.DUMMYFUNCTION("""COMPUTED_VALUE"""),"")</f>
        <v/>
      </c>
      <c r="B1239" s="17" t="str">
        <f>IFERROR(__xludf.DUMMYFUNCTION("""COMPUTED_VALUE"""),"")</f>
        <v/>
      </c>
      <c r="C1239" s="17" t="str">
        <f>IFERROR(__xludf.DUMMYFUNCTION("""COMPUTED_VALUE"""),"")</f>
        <v/>
      </c>
      <c r="D1239" s="17" t="str">
        <f>IFERROR(__xludf.DUMMYFUNCTION("""COMPUTED_VALUE"""),"")</f>
        <v/>
      </c>
      <c r="E1239" s="17" t="str">
        <f>IFERROR(__xludf.DUMMYFUNCTION("""COMPUTED_VALUE"""),"")</f>
        <v/>
      </c>
      <c r="F1239" s="17" t="str">
        <f>IFERROR(__xludf.DUMMYFUNCTION("""COMPUTED_VALUE"""),"")</f>
        <v/>
      </c>
      <c r="G1239" s="17" t="str">
        <f>IFERROR(__xludf.DUMMYFUNCTION("""COMPUTED_VALUE"""),"")</f>
        <v/>
      </c>
      <c r="H1239" s="17" t="str">
        <f>IFERROR(__xludf.DUMMYFUNCTION("""COMPUTED_VALUE"""),"")</f>
        <v/>
      </c>
      <c r="I1239" s="17" t="str">
        <f>IFERROR(__xludf.DUMMYFUNCTION("""COMPUTED_VALUE"""),"")</f>
        <v/>
      </c>
      <c r="J1239" s="17" t="str">
        <f>IFERROR(__xludf.DUMMYFUNCTION("""COMPUTED_VALUE"""),"")</f>
        <v/>
      </c>
      <c r="K1239" s="17" t="str">
        <f>IFERROR(__xludf.DUMMYFUNCTION("""COMPUTED_VALUE"""),"")</f>
        <v/>
      </c>
      <c r="L1239" s="17" t="str">
        <f>IFERROR(__xludf.DUMMYFUNCTION("""COMPUTED_VALUE"""),"")</f>
        <v/>
      </c>
      <c r="M1239" s="17" t="str">
        <f>IFERROR(__xludf.DUMMYFUNCTION("""COMPUTED_VALUE"""),"")</f>
        <v/>
      </c>
      <c r="N1239" s="17" t="str">
        <f>IFERROR(__xludf.DUMMYFUNCTION("""COMPUTED_VALUE"""),"")</f>
        <v/>
      </c>
      <c r="O1239" s="17" t="str">
        <f>IFERROR(__xludf.DUMMYFUNCTION("""COMPUTED_VALUE"""),"")</f>
        <v/>
      </c>
      <c r="P1239" s="17" t="str">
        <f>IFERROR(__xludf.DUMMYFUNCTION("""COMPUTED_VALUE"""),"")</f>
        <v/>
      </c>
      <c r="Q1239" s="17" t="str">
        <f>IFERROR(__xludf.DUMMYFUNCTION("""COMPUTED_VALUE"""),"")</f>
        <v/>
      </c>
      <c r="R1239" s="17" t="str">
        <f>IFERROR(__xludf.DUMMYFUNCTION("""COMPUTED_VALUE"""),"")</f>
        <v/>
      </c>
    </row>
    <row r="1240">
      <c r="A1240" s="15">
        <f>IFERROR(__xludf.DUMMYFUNCTION("""COMPUTED_VALUE"""),45035.0)</f>
        <v>45035</v>
      </c>
      <c r="B1240" s="16" t="str">
        <f>IFERROR(__xludf.DUMMYFUNCTION("""COMPUTED_VALUE"""),"Johan Alexander Escobar Arroyo ")</f>
        <v>Johan Alexander Escobar Arroyo </v>
      </c>
      <c r="C1240" s="15" t="str">
        <f>IFERROR(__xludf.DUMMYFUNCTION("""COMPUTED_VALUE"""),"CALI")</f>
        <v>CALI</v>
      </c>
      <c r="D1240" s="15" t="str">
        <f>IFERROR(__xludf.DUMMYFUNCTION("""COMPUTED_VALUE"""),"MEDELLÍN")</f>
        <v>MEDELLÍN</v>
      </c>
      <c r="E1240" s="15" t="str">
        <f>IFERROR(__xludf.DUMMYFUNCTION("""COMPUTED_VALUE"""),"AREPAS LA MARY")</f>
        <v>AREPAS LA MARY</v>
      </c>
      <c r="F1240" s="17" t="str">
        <f>IFERROR(__xludf.DUMMYFUNCTION("""COMPUTED_VALUE"""),"av 4 norte 7 n 46 local 129 / centro comercial centenario local 129")</f>
        <v>av 4 norte 7 n 46 local 129 / centro comercial centenario local 129</v>
      </c>
      <c r="G1240" s="15" t="str">
        <f>IFERROR(__xludf.DUMMYFUNCTION("""COMPUTED_VALUE"""),"Vitafitness SAS cali")</f>
        <v>Vitafitness SAS cali</v>
      </c>
      <c r="H1240" s="16">
        <f>IFERROR(__xludf.DUMMYFUNCTION("""COMPUTED_VALUE"""),9881.0)</f>
        <v>9881</v>
      </c>
      <c r="I1240" s="18">
        <f>IFERROR(__xludf.DUMMYFUNCTION("""COMPUTED_VALUE"""),89.0)</f>
        <v>89</v>
      </c>
      <c r="J1240" s="18">
        <f>IFERROR(__xludf.DUMMYFUNCTION("""COMPUTED_VALUE"""),1.0)</f>
        <v>1</v>
      </c>
      <c r="K1240" s="18">
        <f>IFERROR(__xludf.DUMMYFUNCTION("""COMPUTED_VALUE"""),10.0)</f>
        <v>10</v>
      </c>
      <c r="L1240" s="17">
        <f>IFERROR(__xludf.DUMMYFUNCTION("""COMPUTED_VALUE"""),3.10443232E9)</f>
        <v>3104432320</v>
      </c>
      <c r="M1240" s="17" t="str">
        <f>IFERROR(__xludf.DUMMYFUNCTION("""COMPUTED_VALUE"""),"#REF!")</f>
        <v>#REF!</v>
      </c>
      <c r="N1240" s="17"/>
      <c r="O1240" s="19" t="str">
        <f>IFERROR(__xludf.DUMMYFUNCTION("""COMPUTED_VALUE"""),"")</f>
        <v/>
      </c>
      <c r="P1240" s="17" t="b">
        <f>IFERROR(__xludf.DUMMYFUNCTION("""COMPUTED_VALUE"""),TRUE)</f>
        <v>1</v>
      </c>
      <c r="Q1240" s="20">
        <f>IFERROR(__xludf.DUMMYFUNCTION("""COMPUTED_VALUE"""),45036.35629811343)</f>
        <v>45036.3563</v>
      </c>
      <c r="R1240" s="22" t="str">
        <f>IFERROR(__xludf.DUMMYFUNCTION("""COMPUTED_VALUE"""),"")</f>
        <v/>
      </c>
    </row>
    <row r="1241">
      <c r="A1241" s="15">
        <f>IFERROR(__xludf.DUMMYFUNCTION("""COMPUTED_VALUE"""),45035.0)</f>
        <v>45035</v>
      </c>
      <c r="B1241" s="16" t="str">
        <f>IFERROR(__xludf.DUMMYFUNCTION("""COMPUTED_VALUE"""),"Johan Alexander Escobar Arroyo ")</f>
        <v>Johan Alexander Escobar Arroyo </v>
      </c>
      <c r="C1241" s="15" t="str">
        <f>IFERROR(__xludf.DUMMYFUNCTION("""COMPUTED_VALUE"""),"CALI")</f>
        <v>CALI</v>
      </c>
      <c r="D1241" s="15" t="str">
        <f>IFERROR(__xludf.DUMMYFUNCTION("""COMPUTED_VALUE"""),"MEDELLÍN")</f>
        <v>MEDELLÍN</v>
      </c>
      <c r="E1241" s="15" t="str">
        <f>IFERROR(__xludf.DUMMYFUNCTION("""COMPUTED_VALUE"""),"AREPAS LA MARY")</f>
        <v>AREPAS LA MARY</v>
      </c>
      <c r="F1241" s="17" t="str">
        <f>IFERROR(__xludf.DUMMYFUNCTION("""COMPUTED_VALUE"""),"CALLE 6 N.118 20 CASA 5 / CONJUNTO COLINAS DEL VIENTO")</f>
        <v>CALLE 6 N.118 20 CASA 5 / CONJUNTO COLINAS DEL VIENTO</v>
      </c>
      <c r="G1241" s="15" t="str">
        <f>IFERROR(__xludf.DUMMYFUNCTION("""COMPUTED_VALUE"""),"CATALINA DAZA")</f>
        <v>CATALINA DAZA</v>
      </c>
      <c r="H1241" s="16">
        <f>IFERROR(__xludf.DUMMYFUNCTION("""COMPUTED_VALUE"""),9882.0)</f>
        <v>9882</v>
      </c>
      <c r="I1241" s="18">
        <f>IFERROR(__xludf.DUMMYFUNCTION("""COMPUTED_VALUE"""),89.0)</f>
        <v>89</v>
      </c>
      <c r="J1241" s="18">
        <f>IFERROR(__xludf.DUMMYFUNCTION("""COMPUTED_VALUE"""),1.0)</f>
        <v>1</v>
      </c>
      <c r="K1241" s="18">
        <f>IFERROR(__xludf.DUMMYFUNCTION("""COMPUTED_VALUE"""),10.0)</f>
        <v>10</v>
      </c>
      <c r="L1241" s="17">
        <f>IFERROR(__xludf.DUMMYFUNCTION("""COMPUTED_VALUE"""),3.165281956E9)</f>
        <v>3165281956</v>
      </c>
      <c r="M1241" s="17" t="str">
        <f>IFERROR(__xludf.DUMMYFUNCTION("""COMPUTED_VALUE"""),"#REF!")</f>
        <v>#REF!</v>
      </c>
      <c r="N1241" s="17"/>
      <c r="O1241" s="19" t="str">
        <f>IFERROR(__xludf.DUMMYFUNCTION("""COMPUTED_VALUE"""),"")</f>
        <v/>
      </c>
      <c r="P1241" s="17" t="b">
        <f>IFERROR(__xludf.DUMMYFUNCTION("""COMPUTED_VALUE"""),FALSE)</f>
        <v>0</v>
      </c>
      <c r="Q1241" s="20" t="str">
        <f>IFERROR(__xludf.DUMMYFUNCTION("""COMPUTED_VALUE"""),"")</f>
        <v/>
      </c>
      <c r="R1241" s="22" t="str">
        <f>IFERROR(__xludf.DUMMYFUNCTION("""COMPUTED_VALUE"""),"")</f>
        <v/>
      </c>
    </row>
    <row r="1242">
      <c r="A1242" s="15">
        <f>IFERROR(__xludf.DUMMYFUNCTION("""COMPUTED_VALUE"""),45035.0)</f>
        <v>45035</v>
      </c>
      <c r="B1242" s="16" t="str">
        <f>IFERROR(__xludf.DUMMYFUNCTION("""COMPUTED_VALUE"""),"Johan Alexander Escobar Arroyo ")</f>
        <v>Johan Alexander Escobar Arroyo </v>
      </c>
      <c r="C1242" s="15" t="str">
        <f>IFERROR(__xludf.DUMMYFUNCTION("""COMPUTED_VALUE"""),"CALI")</f>
        <v>CALI</v>
      </c>
      <c r="D1242" s="15" t="str">
        <f>IFERROR(__xludf.DUMMYFUNCTION("""COMPUTED_VALUE"""),"MEDELLÍN")</f>
        <v>MEDELLÍN</v>
      </c>
      <c r="E1242" s="15" t="str">
        <f>IFERROR(__xludf.DUMMYFUNCTION("""COMPUTED_VALUE"""),"Baby Chef")</f>
        <v>Baby Chef</v>
      </c>
      <c r="F1242" s="17" t="str">
        <f>IFERROR(__xludf.DUMMYFUNCTION("""COMPUTED_VALUE"""),"Calle 13 a # 85 a 20.   / Ap 301 a  Torres del ingenio / Barrio: ingenio")</f>
        <v>Calle 13 a # 85 a 20.   / Ap 301 a  Torres del ingenio / Barrio: ingenio</v>
      </c>
      <c r="G1242" s="15" t="str">
        <f>IFERROR(__xludf.DUMMYFUNCTION("""COMPUTED_VALUE"""),"LINA DRADA")</f>
        <v>LINA DRADA</v>
      </c>
      <c r="H1242" s="16">
        <f>IFERROR(__xludf.DUMMYFUNCTION("""COMPUTED_VALUE"""),9893.0)</f>
        <v>9893</v>
      </c>
      <c r="I1242" s="18">
        <f>IFERROR(__xludf.DUMMYFUNCTION("""COMPUTED_VALUE"""),8.0)</f>
        <v>8</v>
      </c>
      <c r="J1242" s="18">
        <f>IFERROR(__xludf.DUMMYFUNCTION("""COMPUTED_VALUE"""),16.0)</f>
        <v>16</v>
      </c>
      <c r="K1242" s="18">
        <f>IFERROR(__xludf.DUMMYFUNCTION("""COMPUTED_VALUE"""),20.0)</f>
        <v>20</v>
      </c>
      <c r="L1242" s="17">
        <f>IFERROR(__xludf.DUMMYFUNCTION("""COMPUTED_VALUE"""),3.162578767E9)</f>
        <v>3162578767</v>
      </c>
      <c r="M1242" s="17" t="str">
        <f>IFERROR(__xludf.DUMMYFUNCTION("""COMPUTED_VALUE"""),"#REF!")</f>
        <v>#REF!</v>
      </c>
      <c r="N1242" s="17"/>
      <c r="O1242" s="19" t="str">
        <f>IFERROR(__xludf.DUMMYFUNCTION("""COMPUTED_VALUE"""),"")</f>
        <v/>
      </c>
      <c r="P1242" s="17" t="b">
        <f>IFERROR(__xludf.DUMMYFUNCTION("""COMPUTED_VALUE"""),FALSE)</f>
        <v>0</v>
      </c>
      <c r="Q1242" s="20" t="str">
        <f>IFERROR(__xludf.DUMMYFUNCTION("""COMPUTED_VALUE"""),"")</f>
        <v/>
      </c>
      <c r="R1242" s="22" t="str">
        <f>IFERROR(__xludf.DUMMYFUNCTION("""COMPUTED_VALUE"""),"")</f>
        <v/>
      </c>
    </row>
    <row r="1243">
      <c r="A1243" s="15">
        <f>IFERROR(__xludf.DUMMYFUNCTION("""COMPUTED_VALUE"""),45035.0)</f>
        <v>45035</v>
      </c>
      <c r="B1243" s="16" t="str">
        <f>IFERROR(__xludf.DUMMYFUNCTION("""COMPUTED_VALUE"""),"Johan Alexander Escobar Arroyo ")</f>
        <v>Johan Alexander Escobar Arroyo </v>
      </c>
      <c r="C1243" s="15" t="str">
        <f>IFERROR(__xludf.DUMMYFUNCTION("""COMPUTED_VALUE"""),"CALI")</f>
        <v>CALI</v>
      </c>
      <c r="D1243" s="15" t="str">
        <f>IFERROR(__xludf.DUMMYFUNCTION("""COMPUTED_VALUE"""),"MEDELLÍN")</f>
        <v>MEDELLÍN</v>
      </c>
      <c r="E1243" s="15" t="str">
        <f>IFERROR(__xludf.DUMMYFUNCTION("""COMPUTED_VALUE"""),"Baby Chef")</f>
        <v>Baby Chef</v>
      </c>
      <c r="F1243" s="17" t="str">
        <f>IFERROR(__xludf.DUMMYFUNCTION("""COMPUTED_VALUE"""),"Calle 67 Norte 4B-77. / La Flora Conjunto Zaguán de las flores torre A apto 406 / La Flora Conjunto Zaguán de las flores torre A apto 406")</f>
        <v>Calle 67 Norte 4B-77. / La Flora Conjunto Zaguán de las flores torre A apto 406 / La Flora Conjunto Zaguán de las flores torre A apto 406</v>
      </c>
      <c r="G1243" s="15" t="str">
        <f>IFERROR(__xludf.DUMMYFUNCTION("""COMPUTED_VALUE"""),"ANA MARIA ARIAS GALEANO")</f>
        <v>ANA MARIA ARIAS GALEANO</v>
      </c>
      <c r="H1243" s="16">
        <f>IFERROR(__xludf.DUMMYFUNCTION("""COMPUTED_VALUE"""),9894.0)</f>
        <v>9894</v>
      </c>
      <c r="I1243" s="18">
        <f>IFERROR(__xludf.DUMMYFUNCTION("""COMPUTED_VALUE"""),8.0)</f>
        <v>8</v>
      </c>
      <c r="J1243" s="18">
        <f>IFERROR(__xludf.DUMMYFUNCTION("""COMPUTED_VALUE"""),16.0)</f>
        <v>16</v>
      </c>
      <c r="K1243" s="18">
        <f>IFERROR(__xludf.DUMMYFUNCTION("""COMPUTED_VALUE"""),20.0)</f>
        <v>20</v>
      </c>
      <c r="L1243" s="17">
        <f>IFERROR(__xludf.DUMMYFUNCTION("""COMPUTED_VALUE"""),3.15540783E9)</f>
        <v>3155407830</v>
      </c>
      <c r="M1243" s="17" t="str">
        <f>IFERROR(__xludf.DUMMYFUNCTION("""COMPUTED_VALUE"""),"#REF!")</f>
        <v>#REF!</v>
      </c>
      <c r="N1243" s="17"/>
      <c r="O1243" s="19" t="str">
        <f>IFERROR(__xludf.DUMMYFUNCTION("""COMPUTED_VALUE"""),"")</f>
        <v/>
      </c>
      <c r="P1243" s="17" t="b">
        <f>IFERROR(__xludf.DUMMYFUNCTION("""COMPUTED_VALUE"""),FALSE)</f>
        <v>0</v>
      </c>
      <c r="Q1243" s="20" t="str">
        <f>IFERROR(__xludf.DUMMYFUNCTION("""COMPUTED_VALUE"""),"")</f>
        <v/>
      </c>
      <c r="R1243" s="22" t="str">
        <f>IFERROR(__xludf.DUMMYFUNCTION("""COMPUTED_VALUE"""),"")</f>
        <v/>
      </c>
    </row>
    <row r="1244">
      <c r="A1244" s="15">
        <f>IFERROR(__xludf.DUMMYFUNCTION("""COMPUTED_VALUE"""),45035.0)</f>
        <v>45035</v>
      </c>
      <c r="B1244" s="16" t="str">
        <f>IFERROR(__xludf.DUMMYFUNCTION("""COMPUTED_VALUE"""),"Johan Alexander Escobar Arroyo ")</f>
        <v>Johan Alexander Escobar Arroyo </v>
      </c>
      <c r="C1244" s="15" t="str">
        <f>IFERROR(__xludf.DUMMYFUNCTION("""COMPUTED_VALUE"""),"CALI")</f>
        <v>CALI</v>
      </c>
      <c r="D1244" s="15" t="str">
        <f>IFERROR(__xludf.DUMMYFUNCTION("""COMPUTED_VALUE"""),"MEDELLÍN")</f>
        <v>MEDELLÍN</v>
      </c>
      <c r="E1244" s="15" t="str">
        <f>IFERROR(__xludf.DUMMYFUNCTION("""COMPUTED_VALUE"""),"Baby Chef")</f>
        <v>Baby Chef</v>
      </c>
      <c r="F1244" s="17" t="str">
        <f>IFERROR(__xludf.DUMMYFUNCTION("""COMPUTED_VALUE"""),"Carrera 17 b 43 100 piso 2 / Santa Fe / Santa Fe")</f>
        <v>Carrera 17 b 43 100 piso 2 / Santa Fe / Santa Fe</v>
      </c>
      <c r="G1244" s="15" t="str">
        <f>IFERROR(__xludf.DUMMYFUNCTION("""COMPUTED_VALUE"""),"Sorany Andrea Amaya gonzalez")</f>
        <v>Sorany Andrea Amaya gonzalez</v>
      </c>
      <c r="H1244" s="16">
        <f>IFERROR(__xludf.DUMMYFUNCTION("""COMPUTED_VALUE"""),9895.0)</f>
        <v>9895</v>
      </c>
      <c r="I1244" s="18">
        <f>IFERROR(__xludf.DUMMYFUNCTION("""COMPUTED_VALUE"""),10.0)</f>
        <v>10</v>
      </c>
      <c r="J1244" s="18">
        <f>IFERROR(__xludf.DUMMYFUNCTION("""COMPUTED_VALUE"""),20.0)</f>
        <v>20</v>
      </c>
      <c r="K1244" s="18">
        <f>IFERROR(__xludf.DUMMYFUNCTION("""COMPUTED_VALUE"""),20.0)</f>
        <v>20</v>
      </c>
      <c r="L1244" s="17">
        <f>IFERROR(__xludf.DUMMYFUNCTION("""COMPUTED_VALUE"""),3.147386984E9)</f>
        <v>3147386984</v>
      </c>
      <c r="M1244" s="17" t="str">
        <f>IFERROR(__xludf.DUMMYFUNCTION("""COMPUTED_VALUE"""),"#REF!")</f>
        <v>#REF!</v>
      </c>
      <c r="N1244" s="17"/>
      <c r="O1244" s="19" t="str">
        <f>IFERROR(__xludf.DUMMYFUNCTION("""COMPUTED_VALUE"""),"")</f>
        <v/>
      </c>
      <c r="P1244" s="17" t="b">
        <f>IFERROR(__xludf.DUMMYFUNCTION("""COMPUTED_VALUE"""),FALSE)</f>
        <v>0</v>
      </c>
      <c r="Q1244" s="20" t="str">
        <f>IFERROR(__xludf.DUMMYFUNCTION("""COMPUTED_VALUE"""),"")</f>
        <v/>
      </c>
      <c r="R1244" s="22" t="str">
        <f>IFERROR(__xludf.DUMMYFUNCTION("""COMPUTED_VALUE"""),"")</f>
        <v/>
      </c>
    </row>
    <row r="1245">
      <c r="A1245" s="15">
        <f>IFERROR(__xludf.DUMMYFUNCTION("""COMPUTED_VALUE"""),45035.0)</f>
        <v>45035</v>
      </c>
      <c r="B1245" s="16" t="str">
        <f>IFERROR(__xludf.DUMMYFUNCTION("""COMPUTED_VALUE"""),"Johan Alexander Escobar Arroyo ")</f>
        <v>Johan Alexander Escobar Arroyo </v>
      </c>
      <c r="C1245" s="15" t="str">
        <f>IFERROR(__xludf.DUMMYFUNCTION("""COMPUTED_VALUE"""),"CALI")</f>
        <v>CALI</v>
      </c>
      <c r="D1245" s="15" t="str">
        <f>IFERROR(__xludf.DUMMYFUNCTION("""COMPUTED_VALUE"""),"MEDELLÍN")</f>
        <v>MEDELLÍN</v>
      </c>
      <c r="E1245" s="15" t="str">
        <f>IFERROR(__xludf.DUMMYFUNCTION("""COMPUTED_VALUE"""),"Baby Chef")</f>
        <v>Baby Chef</v>
      </c>
      <c r="F1245" s="17" t="str">
        <f>IFERROR(__xludf.DUMMYFUNCTION("""COMPUTED_VALUE"""),"Oficina Kr. 81#45-28 Caney  / CALI / Oficina Kr. 81#45-28 Caney / Barrio el Caney")</f>
        <v>Oficina Kr. 81#45-28 Caney  / CALI / Oficina Kr. 81#45-28 Caney / Barrio el Caney</v>
      </c>
      <c r="G1245" s="15" t="str">
        <f>IFERROR(__xludf.DUMMYFUNCTION("""COMPUTED_VALUE"""),"ERIKA LEYVA")</f>
        <v>ERIKA LEYVA</v>
      </c>
      <c r="H1245" s="16">
        <f>IFERROR(__xludf.DUMMYFUNCTION("""COMPUTED_VALUE"""),9892.0)</f>
        <v>9892</v>
      </c>
      <c r="I1245" s="18">
        <f>IFERROR(__xludf.DUMMYFUNCTION("""COMPUTED_VALUE"""),8.0)</f>
        <v>8</v>
      </c>
      <c r="J1245" s="18">
        <f>IFERROR(__xludf.DUMMYFUNCTION("""COMPUTED_VALUE"""),16.0)</f>
        <v>16</v>
      </c>
      <c r="K1245" s="18">
        <f>IFERROR(__xludf.DUMMYFUNCTION("""COMPUTED_VALUE"""),20.0)</f>
        <v>20</v>
      </c>
      <c r="L1245" s="17">
        <f>IFERROR(__xludf.DUMMYFUNCTION("""COMPUTED_VALUE"""),3.21859775E9)</f>
        <v>3218597750</v>
      </c>
      <c r="M1245" s="17" t="str">
        <f>IFERROR(__xludf.DUMMYFUNCTION("""COMPUTED_VALUE"""),"#REF!")</f>
        <v>#REF!</v>
      </c>
      <c r="N1245" s="17"/>
      <c r="O1245" s="19" t="str">
        <f>IFERROR(__xludf.DUMMYFUNCTION("""COMPUTED_VALUE"""),"")</f>
        <v/>
      </c>
      <c r="P1245" s="17" t="b">
        <f>IFERROR(__xludf.DUMMYFUNCTION("""COMPUTED_VALUE"""),FALSE)</f>
        <v>0</v>
      </c>
      <c r="Q1245" s="20" t="str">
        <f>IFERROR(__xludf.DUMMYFUNCTION("""COMPUTED_VALUE"""),"")</f>
        <v/>
      </c>
      <c r="R1245" s="22" t="str">
        <f>IFERROR(__xludf.DUMMYFUNCTION("""COMPUTED_VALUE"""),"")</f>
        <v/>
      </c>
    </row>
    <row r="1246">
      <c r="A1246" s="15">
        <f>IFERROR(__xludf.DUMMYFUNCTION("""COMPUTED_VALUE"""),45035.0)</f>
        <v>45035</v>
      </c>
      <c r="B1246" s="16" t="str">
        <f>IFERROR(__xludf.DUMMYFUNCTION("""COMPUTED_VALUE"""),"Johan Alexander Escobar Arroyo ")</f>
        <v>Johan Alexander Escobar Arroyo </v>
      </c>
      <c r="C1246" s="15" t="str">
        <f>IFERROR(__xludf.DUMMYFUNCTION("""COMPUTED_VALUE"""),"CALI")</f>
        <v>CALI</v>
      </c>
      <c r="D1246" s="15" t="str">
        <f>IFERROR(__xludf.DUMMYFUNCTION("""COMPUTED_VALUE"""),"MEDELLÍN")</f>
        <v>MEDELLÍN</v>
      </c>
      <c r="E1246" s="15" t="str">
        <f>IFERROR(__xludf.DUMMYFUNCTION("""COMPUTED_VALUE"""),"JD Bufala")</f>
        <v>JD Bufala</v>
      </c>
      <c r="F1246" s="17" t="str">
        <f>IFERROR(__xludf.DUMMYFUNCTION("""COMPUTED_VALUE"""),"Calle 51 norte #4bn72 / Delhuertopizzeria  / La flora")</f>
        <v>Calle 51 norte #4bn72 / Delhuertopizzeria  / La flora</v>
      </c>
      <c r="G1246" s="15" t="str">
        <f>IFERROR(__xludf.DUMMYFUNCTION("""COMPUTED_VALUE"""),"Javier Rodríguez")</f>
        <v>Javier Rodríguez</v>
      </c>
      <c r="H1246" s="16">
        <f>IFERROR(__xludf.DUMMYFUNCTION("""COMPUTED_VALUE"""),9905.0)</f>
        <v>9905</v>
      </c>
      <c r="I1246" s="18" t="str">
        <f>IFERROR(__xludf.DUMMYFUNCTION("""COMPUTED_VALUE"""),"102.5")</f>
        <v>102.5</v>
      </c>
      <c r="J1246" s="18">
        <f>IFERROR(__xludf.DUMMYFUNCTION("""COMPUTED_VALUE"""),28.0)</f>
        <v>28</v>
      </c>
      <c r="K1246" s="18">
        <f>IFERROR(__xludf.DUMMYFUNCTION("""COMPUTED_VALUE"""),40.0)</f>
        <v>40</v>
      </c>
      <c r="L1246" s="17">
        <f>IFERROR(__xludf.DUMMYFUNCTION("""COMPUTED_VALUE"""),3.104919761E9)</f>
        <v>3104919761</v>
      </c>
      <c r="M1246" s="17" t="str">
        <f>IFERROR(__xludf.DUMMYFUNCTION("""COMPUTED_VALUE"""),"#REF!")</f>
        <v>#REF!</v>
      </c>
      <c r="N1246" s="17"/>
      <c r="O1246" s="19" t="str">
        <f>IFERROR(__xludf.DUMMYFUNCTION("""COMPUTED_VALUE"""),"")</f>
        <v/>
      </c>
      <c r="P1246" s="17" t="b">
        <f>IFERROR(__xludf.DUMMYFUNCTION("""COMPUTED_VALUE"""),FALSE)</f>
        <v>0</v>
      </c>
      <c r="Q1246" s="20" t="str">
        <f>IFERROR(__xludf.DUMMYFUNCTION("""COMPUTED_VALUE"""),"")</f>
        <v/>
      </c>
      <c r="R1246" s="22" t="str">
        <f>IFERROR(__xludf.DUMMYFUNCTION("""COMPUTED_VALUE"""),"")</f>
        <v/>
      </c>
    </row>
    <row r="1247">
      <c r="A1247" s="15">
        <f>IFERROR(__xludf.DUMMYFUNCTION("""COMPUTED_VALUE"""),45035.0)</f>
        <v>45035</v>
      </c>
      <c r="B1247" s="16" t="str">
        <f>IFERROR(__xludf.DUMMYFUNCTION("""COMPUTED_VALUE"""),"Johan Alexander Escobar Arroyo ")</f>
        <v>Johan Alexander Escobar Arroyo </v>
      </c>
      <c r="C1247" s="15" t="str">
        <f>IFERROR(__xludf.DUMMYFUNCTION("""COMPUTED_VALUE"""),"CÚCUTA")</f>
        <v>CÚCUTA</v>
      </c>
      <c r="D1247" s="15" t="str">
        <f>IFERROR(__xludf.DUMMYFUNCTION("""COMPUTED_VALUE"""),"MEDELLÍN")</f>
        <v>MEDELLÍN</v>
      </c>
      <c r="E1247" s="15" t="str">
        <f>IFERROR(__xludf.DUMMYFUNCTION("""COMPUTED_VALUE"""),"Momo Tea S.A.S Gabriel Echavarría")</f>
        <v>Momo Tea S.A.S Gabriel Echavarría</v>
      </c>
      <c r="F1247" s="17" t="str">
        <f>IFERROR(__xludf.DUMMYFUNCTION("""COMPUTED_VALUE"""),"CL 11 N 16 E 35 / CA B 1")</f>
        <v>CL 11 N 16 E 35 / CA B 1</v>
      </c>
      <c r="G1247" s="15" t="str">
        <f>IFERROR(__xludf.DUMMYFUNCTION("""COMPUTED_VALUE"""),"Gabriel Echavarría")</f>
        <v>Gabriel Echavarría</v>
      </c>
      <c r="H1247" s="16">
        <f>IFERROR(__xludf.DUMMYFUNCTION("""COMPUTED_VALUE"""),9850.0)</f>
        <v>9850</v>
      </c>
      <c r="I1247" s="18">
        <f>IFERROR(__xludf.DUMMYFUNCTION("""COMPUTED_VALUE"""),63.0)</f>
        <v>63</v>
      </c>
      <c r="J1247" s="18">
        <f>IFERROR(__xludf.DUMMYFUNCTION("""COMPUTED_VALUE"""),10.0)</f>
        <v>10</v>
      </c>
      <c r="K1247" s="18">
        <f>IFERROR(__xludf.DUMMYFUNCTION("""COMPUTED_VALUE"""),9.0)</f>
        <v>9</v>
      </c>
      <c r="L1247" s="17">
        <f>IFERROR(__xludf.DUMMYFUNCTION("""COMPUTED_VALUE"""),3.017909548E9)</f>
        <v>3017909548</v>
      </c>
      <c r="M1247" s="17" t="str">
        <f>IFERROR(__xludf.DUMMYFUNCTION("""COMPUTED_VALUE"""),"#REF!")</f>
        <v>#REF!</v>
      </c>
      <c r="N1247" s="17"/>
      <c r="O1247" s="19" t="str">
        <f>IFERROR(__xludf.DUMMYFUNCTION("""COMPUTED_VALUE"""),"")</f>
        <v/>
      </c>
      <c r="P1247" s="17" t="b">
        <f>IFERROR(__xludf.DUMMYFUNCTION("""COMPUTED_VALUE"""),FALSE)</f>
        <v>0</v>
      </c>
      <c r="Q1247" s="20" t="str">
        <f>IFERROR(__xludf.DUMMYFUNCTION("""COMPUTED_VALUE"""),"")</f>
        <v/>
      </c>
      <c r="R1247" s="22" t="str">
        <f>IFERROR(__xludf.DUMMYFUNCTION("""COMPUTED_VALUE"""),"")</f>
        <v/>
      </c>
    </row>
    <row r="1248">
      <c r="A1248" s="15">
        <f>IFERROR(__xludf.DUMMYFUNCTION("""COMPUTED_VALUE"""),45035.0)</f>
        <v>45035</v>
      </c>
      <c r="B1248" s="16" t="str">
        <f>IFERROR(__xludf.DUMMYFUNCTION("""COMPUTED_VALUE"""),"Johan Alexander Escobar Arroyo ")</f>
        <v>Johan Alexander Escobar Arroyo </v>
      </c>
      <c r="C1248" s="15" t="str">
        <f>IFERROR(__xludf.DUMMYFUNCTION("""COMPUTED_VALUE"""),"PIEDECUESTA")</f>
        <v>PIEDECUESTA</v>
      </c>
      <c r="D1248" s="15" t="str">
        <f>IFERROR(__xludf.DUMMYFUNCTION("""COMPUTED_VALUE"""),"BOGOTÁ")</f>
        <v>BOGOTÁ</v>
      </c>
      <c r="E1248" s="15" t="str">
        <f>IFERROR(__xludf.DUMMYFUNCTION("""COMPUTED_VALUE"""),"Ins. Alimento Vital")</f>
        <v>Ins. Alimento Vital</v>
      </c>
      <c r="F1248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1248" s="15" t="str">
        <f>IFERROR(__xludf.DUMMYFUNCTION("""COMPUTED_VALUE"""),"LORENA GRANADOS BARCO")</f>
        <v>LORENA GRANADOS BARCO</v>
      </c>
      <c r="H1248" s="16">
        <f>IFERROR(__xludf.DUMMYFUNCTION("""COMPUTED_VALUE"""),9896.0)</f>
        <v>9896</v>
      </c>
      <c r="I1248" s="18">
        <f>IFERROR(__xludf.DUMMYFUNCTION("""COMPUTED_VALUE"""),21.0)</f>
        <v>21</v>
      </c>
      <c r="J1248" s="18">
        <f>IFERROR(__xludf.DUMMYFUNCTION("""COMPUTED_VALUE"""),50.0)</f>
        <v>50</v>
      </c>
      <c r="K1248" s="18">
        <f>IFERROR(__xludf.DUMMYFUNCTION("""COMPUTED_VALUE"""),30.0)</f>
        <v>30</v>
      </c>
      <c r="L1248" s="17">
        <f>IFERROR(__xludf.DUMMYFUNCTION("""COMPUTED_VALUE"""),3.003286319E9)</f>
        <v>3003286319</v>
      </c>
      <c r="M1248" s="17" t="str">
        <f>IFERROR(__xludf.DUMMYFUNCTION("""COMPUTED_VALUE"""),"#REF!")</f>
        <v>#REF!</v>
      </c>
      <c r="N1248" s="17"/>
      <c r="O1248" s="19" t="str">
        <f>IFERROR(__xludf.DUMMYFUNCTION("""COMPUTED_VALUE"""),"")</f>
        <v/>
      </c>
      <c r="P1248" s="17" t="b">
        <f>IFERROR(__xludf.DUMMYFUNCTION("""COMPUTED_VALUE"""),FALSE)</f>
        <v>0</v>
      </c>
      <c r="Q1248" s="20" t="str">
        <f>IFERROR(__xludf.DUMMYFUNCTION("""COMPUTED_VALUE"""),"")</f>
        <v/>
      </c>
      <c r="R1248" s="22" t="str">
        <f>IFERROR(__xludf.DUMMYFUNCTION("""COMPUTED_VALUE"""),"")</f>
        <v/>
      </c>
    </row>
    <row r="1249">
      <c r="A1249" s="17" t="str">
        <f>IFERROR(__xludf.DUMMYFUNCTION("""COMPUTED_VALUE"""),"")</f>
        <v/>
      </c>
      <c r="B1249" s="17" t="str">
        <f>IFERROR(__xludf.DUMMYFUNCTION("""COMPUTED_VALUE"""),"")</f>
        <v/>
      </c>
      <c r="C1249" s="17" t="str">
        <f>IFERROR(__xludf.DUMMYFUNCTION("""COMPUTED_VALUE"""),"")</f>
        <v/>
      </c>
      <c r="D1249" s="17" t="str">
        <f>IFERROR(__xludf.DUMMYFUNCTION("""COMPUTED_VALUE"""),"")</f>
        <v/>
      </c>
      <c r="E1249" s="17" t="str">
        <f>IFERROR(__xludf.DUMMYFUNCTION("""COMPUTED_VALUE"""),"")</f>
        <v/>
      </c>
      <c r="F1249" s="17" t="str">
        <f>IFERROR(__xludf.DUMMYFUNCTION("""COMPUTED_VALUE"""),"")</f>
        <v/>
      </c>
      <c r="G1249" s="17" t="str">
        <f>IFERROR(__xludf.DUMMYFUNCTION("""COMPUTED_VALUE"""),"")</f>
        <v/>
      </c>
      <c r="H1249" s="17" t="str">
        <f>IFERROR(__xludf.DUMMYFUNCTION("""COMPUTED_VALUE"""),"")</f>
        <v/>
      </c>
      <c r="I1249" s="17" t="str">
        <f>IFERROR(__xludf.DUMMYFUNCTION("""COMPUTED_VALUE"""),"")</f>
        <v/>
      </c>
      <c r="J1249" s="17" t="str">
        <f>IFERROR(__xludf.DUMMYFUNCTION("""COMPUTED_VALUE"""),"")</f>
        <v/>
      </c>
      <c r="K1249" s="17" t="str">
        <f>IFERROR(__xludf.DUMMYFUNCTION("""COMPUTED_VALUE"""),"")</f>
        <v/>
      </c>
      <c r="L1249" s="17" t="str">
        <f>IFERROR(__xludf.DUMMYFUNCTION("""COMPUTED_VALUE"""),"")</f>
        <v/>
      </c>
      <c r="M1249" s="17" t="str">
        <f>IFERROR(__xludf.DUMMYFUNCTION("""COMPUTED_VALUE"""),"")</f>
        <v/>
      </c>
      <c r="N1249" s="17" t="str">
        <f>IFERROR(__xludf.DUMMYFUNCTION("""COMPUTED_VALUE"""),"")</f>
        <v/>
      </c>
      <c r="O1249" s="17" t="str">
        <f>IFERROR(__xludf.DUMMYFUNCTION("""COMPUTED_VALUE"""),"")</f>
        <v/>
      </c>
      <c r="P1249" s="17" t="str">
        <f>IFERROR(__xludf.DUMMYFUNCTION("""COMPUTED_VALUE"""),"")</f>
        <v/>
      </c>
      <c r="Q1249" s="17" t="str">
        <f>IFERROR(__xludf.DUMMYFUNCTION("""COMPUTED_VALUE"""),"")</f>
        <v/>
      </c>
      <c r="R1249" s="17" t="str">
        <f>IFERROR(__xludf.DUMMYFUNCTION("""COMPUTED_VALUE"""),"")</f>
        <v/>
      </c>
    </row>
    <row r="1250">
      <c r="A1250" s="15">
        <f>IFERROR(__xludf.DUMMYFUNCTION("""COMPUTED_VALUE"""),45035.0)</f>
        <v>45035</v>
      </c>
      <c r="B1250" s="16" t="str">
        <f>IFERROR(__xludf.DUMMYFUNCTION("""COMPUTED_VALUE"""),"Luis Miguel Ramirez Morales")</f>
        <v>Luis Miguel Ramirez Morales</v>
      </c>
      <c r="C1250" s="15" t="str">
        <f>IFERROR(__xludf.DUMMYFUNCTION("""COMPUTED_VALUE"""),"BOGOTÁ")</f>
        <v>BOGOTÁ</v>
      </c>
      <c r="D1250" s="15" t="str">
        <f>IFERROR(__xludf.DUMMYFUNCTION("""COMPUTED_VALUE"""),"MEDELLÍN")</f>
        <v>MEDELLÍN</v>
      </c>
      <c r="E1250" s="15" t="str">
        <f>IFERROR(__xludf.DUMMYFUNCTION("""COMPUTED_VALUE"""),"Baby Chef")</f>
        <v>Baby Chef</v>
      </c>
      <c r="F1250" s="17" t="str">
        <f>IFERROR(__xludf.DUMMYFUNCTION("""COMPUTED_VALUE"""),"Altos de yerbabuena casa 50c / Casa 50 C / CHÍA CUNDINAMARCA")</f>
        <v>Altos de yerbabuena casa 50c / Casa 50 C / CHÍA CUNDINAMARCA</v>
      </c>
      <c r="G1250" s="15" t="str">
        <f>IFERROR(__xludf.DUMMYFUNCTION("""COMPUTED_VALUE"""),"Monica Vergara")</f>
        <v>Monica Vergara</v>
      </c>
      <c r="H1250" s="16">
        <f>IFERROR(__xludf.DUMMYFUNCTION("""COMPUTED_VALUE"""),9898.0)</f>
        <v>9898</v>
      </c>
      <c r="I1250" s="18">
        <f>IFERROR(__xludf.DUMMYFUNCTION("""COMPUTED_VALUE"""),8.0)</f>
        <v>8</v>
      </c>
      <c r="J1250" s="18">
        <f>IFERROR(__xludf.DUMMYFUNCTION("""COMPUTED_VALUE"""),16.0)</f>
        <v>16</v>
      </c>
      <c r="K1250" s="18">
        <f>IFERROR(__xludf.DUMMYFUNCTION("""COMPUTED_VALUE"""),20.0)</f>
        <v>20</v>
      </c>
      <c r="L1250" s="17">
        <f>IFERROR(__xludf.DUMMYFUNCTION("""COMPUTED_VALUE"""),3.138195731E9)</f>
        <v>3138195731</v>
      </c>
      <c r="M1250" s="17" t="str">
        <f>IFERROR(__xludf.DUMMYFUNCTION("""COMPUTED_VALUE"""),"#REF!")</f>
        <v>#REF!</v>
      </c>
      <c r="N1250" s="17"/>
      <c r="O1250" s="19" t="str">
        <f>IFERROR(__xludf.DUMMYFUNCTION("""COMPUTED_VALUE"""),"")</f>
        <v/>
      </c>
      <c r="P1250" s="17" t="b">
        <f>IFERROR(__xludf.DUMMYFUNCTION("""COMPUTED_VALUE"""),FALSE)</f>
        <v>0</v>
      </c>
      <c r="Q1250" s="20" t="str">
        <f>IFERROR(__xludf.DUMMYFUNCTION("""COMPUTED_VALUE"""),"")</f>
        <v/>
      </c>
      <c r="R1250" s="22" t="str">
        <f>IFERROR(__xludf.DUMMYFUNCTION("""COMPUTED_VALUE"""),"")</f>
        <v/>
      </c>
    </row>
    <row r="1251">
      <c r="A1251" s="15">
        <f>IFERROR(__xludf.DUMMYFUNCTION("""COMPUTED_VALUE"""),45035.0)</f>
        <v>45035</v>
      </c>
      <c r="B1251" s="16" t="str">
        <f>IFERROR(__xludf.DUMMYFUNCTION("""COMPUTED_VALUE"""),"Luis Miguel Ramirez Morales")</f>
        <v>Luis Miguel Ramirez Morales</v>
      </c>
      <c r="C1251" s="15" t="str">
        <f>IFERROR(__xludf.DUMMYFUNCTION("""COMPUTED_VALUE"""),"BOGOTÁ")</f>
        <v>BOGOTÁ</v>
      </c>
      <c r="D1251" s="15" t="str">
        <f>IFERROR(__xludf.DUMMYFUNCTION("""COMPUTED_VALUE"""),"MEDELLÍN")</f>
        <v>MEDELLÍN</v>
      </c>
      <c r="E1251" s="15" t="str">
        <f>IFERROR(__xludf.DUMMYFUNCTION("""COMPUTED_VALUE"""),"Baby Chef")</f>
        <v>Baby Chef</v>
      </c>
      <c r="F1251" s="17" t="str">
        <f>IFERROR(__xludf.DUMMYFUNCTION("""COMPUTED_VALUE"""),"Calle 148 #107-50 / Torre 9 Apto 1103 Conjunto Imperial Reservado / Suba Lombardía")</f>
        <v>Calle 148 #107-50 / Torre 9 Apto 1103 Conjunto Imperial Reservado / Suba Lombardía</v>
      </c>
      <c r="G1251" s="15" t="str">
        <f>IFERROR(__xludf.DUMMYFUNCTION("""COMPUTED_VALUE"""),"NOHORA MENESES")</f>
        <v>NOHORA MENESES</v>
      </c>
      <c r="H1251" s="16">
        <f>IFERROR(__xludf.DUMMYFUNCTION("""COMPUTED_VALUE"""),9915.0)</f>
        <v>9915</v>
      </c>
      <c r="I1251" s="18">
        <f>IFERROR(__xludf.DUMMYFUNCTION("""COMPUTED_VALUE"""),8.0)</f>
        <v>8</v>
      </c>
      <c r="J1251" s="18">
        <f>IFERROR(__xludf.DUMMYFUNCTION("""COMPUTED_VALUE"""),16.0)</f>
        <v>16</v>
      </c>
      <c r="K1251" s="18">
        <f>IFERROR(__xludf.DUMMYFUNCTION("""COMPUTED_VALUE"""),20.0)</f>
        <v>20</v>
      </c>
      <c r="L1251" s="17">
        <f>IFERROR(__xludf.DUMMYFUNCTION("""COMPUTED_VALUE"""),3.208401907E9)</f>
        <v>3208401907</v>
      </c>
      <c r="M1251" s="17" t="str">
        <f>IFERROR(__xludf.DUMMYFUNCTION("""COMPUTED_VALUE"""),"#REF!")</f>
        <v>#REF!</v>
      </c>
      <c r="N1251" s="17"/>
      <c r="O1251" s="19" t="str">
        <f>IFERROR(__xludf.DUMMYFUNCTION("""COMPUTED_VALUE"""),"")</f>
        <v/>
      </c>
      <c r="P1251" s="17" t="b">
        <f>IFERROR(__xludf.DUMMYFUNCTION("""COMPUTED_VALUE"""),FALSE)</f>
        <v>0</v>
      </c>
      <c r="Q1251" s="20" t="str">
        <f>IFERROR(__xludf.DUMMYFUNCTION("""COMPUTED_VALUE"""),"")</f>
        <v/>
      </c>
      <c r="R1251" s="22" t="str">
        <f>IFERROR(__xludf.DUMMYFUNCTION("""COMPUTED_VALUE"""),"")</f>
        <v/>
      </c>
    </row>
    <row r="1252">
      <c r="A1252" s="15">
        <f>IFERROR(__xludf.DUMMYFUNCTION("""COMPUTED_VALUE"""),45035.0)</f>
        <v>45035</v>
      </c>
      <c r="B1252" s="16" t="str">
        <f>IFERROR(__xludf.DUMMYFUNCTION("""COMPUTED_VALUE"""),"Luis Miguel Ramirez Morales")</f>
        <v>Luis Miguel Ramirez Morales</v>
      </c>
      <c r="C1252" s="15" t="str">
        <f>IFERROR(__xludf.DUMMYFUNCTION("""COMPUTED_VALUE"""),"BOGOTÁ")</f>
        <v>BOGOTÁ</v>
      </c>
      <c r="D1252" s="15" t="str">
        <f>IFERROR(__xludf.DUMMYFUNCTION("""COMPUTED_VALUE"""),"MEDELLÍN")</f>
        <v>MEDELLÍN</v>
      </c>
      <c r="E1252" s="15" t="str">
        <f>IFERROR(__xludf.DUMMYFUNCTION("""COMPUTED_VALUE"""),"Baby Chef")</f>
        <v>Baby Chef</v>
      </c>
      <c r="F1252" s="17" t="str">
        <f>IFERROR(__xludf.DUMMYFUNCTION("""COMPUTED_VALUE"""),"Calle 91 # 13a -44 / apto 601 edificio Higua / CHICÓ")</f>
        <v>Calle 91 # 13a -44 / apto 601 edificio Higua / CHICÓ</v>
      </c>
      <c r="G1252" s="15" t="str">
        <f>IFERROR(__xludf.DUMMYFUNCTION("""COMPUTED_VALUE"""),"Beatriz Eugenia Rivera Polanco")</f>
        <v>Beatriz Eugenia Rivera Polanco</v>
      </c>
      <c r="H1252" s="16">
        <f>IFERROR(__xludf.DUMMYFUNCTION("""COMPUTED_VALUE"""),9916.0)</f>
        <v>9916</v>
      </c>
      <c r="I1252" s="18">
        <f>IFERROR(__xludf.DUMMYFUNCTION("""COMPUTED_VALUE"""),8.0)</f>
        <v>8</v>
      </c>
      <c r="J1252" s="18">
        <f>IFERROR(__xludf.DUMMYFUNCTION("""COMPUTED_VALUE"""),16.0)</f>
        <v>16</v>
      </c>
      <c r="K1252" s="18">
        <f>IFERROR(__xludf.DUMMYFUNCTION("""COMPUTED_VALUE"""),20.0)</f>
        <v>20</v>
      </c>
      <c r="L1252" s="17">
        <f>IFERROR(__xludf.DUMMYFUNCTION("""COMPUTED_VALUE"""),3.17423129E9)</f>
        <v>3174231290</v>
      </c>
      <c r="M1252" s="17" t="str">
        <f>IFERROR(__xludf.DUMMYFUNCTION("""COMPUTED_VALUE"""),"#REF!")</f>
        <v>#REF!</v>
      </c>
      <c r="N1252" s="17"/>
      <c r="O1252" s="19" t="str">
        <f>IFERROR(__xludf.DUMMYFUNCTION("""COMPUTED_VALUE"""),"")</f>
        <v/>
      </c>
      <c r="P1252" s="17" t="b">
        <f>IFERROR(__xludf.DUMMYFUNCTION("""COMPUTED_VALUE"""),FALSE)</f>
        <v>0</v>
      </c>
      <c r="Q1252" s="20" t="str">
        <f>IFERROR(__xludf.DUMMYFUNCTION("""COMPUTED_VALUE"""),"")</f>
        <v/>
      </c>
      <c r="R1252" s="22" t="str">
        <f>IFERROR(__xludf.DUMMYFUNCTION("""COMPUTED_VALUE"""),"")</f>
        <v/>
      </c>
    </row>
    <row r="1253">
      <c r="A1253" s="15">
        <f>IFERROR(__xludf.DUMMYFUNCTION("""COMPUTED_VALUE"""),45035.0)</f>
        <v>45035</v>
      </c>
      <c r="B1253" s="16" t="str">
        <f>IFERROR(__xludf.DUMMYFUNCTION("""COMPUTED_VALUE"""),"Luis Miguel Ramirez Morales")</f>
        <v>Luis Miguel Ramirez Morales</v>
      </c>
      <c r="C1253" s="15" t="str">
        <f>IFERROR(__xludf.DUMMYFUNCTION("""COMPUTED_VALUE"""),"BOGOTÁ")</f>
        <v>BOGOTÁ</v>
      </c>
      <c r="D1253" s="15" t="str">
        <f>IFERROR(__xludf.DUMMYFUNCTION("""COMPUTED_VALUE"""),"MEDELLÍN")</f>
        <v>MEDELLÍN</v>
      </c>
      <c r="E1253" s="15" t="str">
        <f>IFERROR(__xludf.DUMMYFUNCTION("""COMPUTED_VALUE"""),"Baby Chef")</f>
        <v>Baby Chef</v>
      </c>
      <c r="F1253" s="17" t="str">
        <f>IFERROR(__xludf.DUMMYFUNCTION("""COMPUTED_VALUE"""),"Transversal 21 # 95 - 63, Apto 305 / Edificio: Parque 96 / CHICO NORTE")</f>
        <v>Transversal 21 # 95 - 63, Apto 305 / Edificio: Parque 96 / CHICO NORTE</v>
      </c>
      <c r="G1253" s="15" t="str">
        <f>IFERROR(__xludf.DUMMYFUNCTION("""COMPUTED_VALUE"""),"Laura Jacome Guerrero")</f>
        <v>Laura Jacome Guerrero</v>
      </c>
      <c r="H1253" s="16">
        <f>IFERROR(__xludf.DUMMYFUNCTION("""COMPUTED_VALUE"""),9900.0)</f>
        <v>9900</v>
      </c>
      <c r="I1253" s="18">
        <f>IFERROR(__xludf.DUMMYFUNCTION("""COMPUTED_VALUE"""),8.0)</f>
        <v>8</v>
      </c>
      <c r="J1253" s="18">
        <f>IFERROR(__xludf.DUMMYFUNCTION("""COMPUTED_VALUE"""),16.0)</f>
        <v>16</v>
      </c>
      <c r="K1253" s="18">
        <f>IFERROR(__xludf.DUMMYFUNCTION("""COMPUTED_VALUE"""),20.0)</f>
        <v>20</v>
      </c>
      <c r="L1253" s="17">
        <f>IFERROR(__xludf.DUMMYFUNCTION("""COMPUTED_VALUE"""),3.114484819E9)</f>
        <v>3114484819</v>
      </c>
      <c r="M1253" s="17" t="str">
        <f>IFERROR(__xludf.DUMMYFUNCTION("""COMPUTED_VALUE"""),"#REF!")</f>
        <v>#REF!</v>
      </c>
      <c r="N1253" s="17"/>
      <c r="O1253" s="19" t="str">
        <f>IFERROR(__xludf.DUMMYFUNCTION("""COMPUTED_VALUE"""),"")</f>
        <v/>
      </c>
      <c r="P1253" s="17" t="b">
        <f>IFERROR(__xludf.DUMMYFUNCTION("""COMPUTED_VALUE"""),FALSE)</f>
        <v>0</v>
      </c>
      <c r="Q1253" s="20" t="str">
        <f>IFERROR(__xludf.DUMMYFUNCTION("""COMPUTED_VALUE"""),"")</f>
        <v/>
      </c>
      <c r="R1253" s="22" t="str">
        <f>IFERROR(__xludf.DUMMYFUNCTION("""COMPUTED_VALUE"""),"")</f>
        <v/>
      </c>
    </row>
    <row r="1254">
      <c r="A1254" s="15">
        <f>IFERROR(__xludf.DUMMYFUNCTION("""COMPUTED_VALUE"""),45035.0)</f>
        <v>45035</v>
      </c>
      <c r="B1254" s="16" t="str">
        <f>IFERROR(__xludf.DUMMYFUNCTION("""COMPUTED_VALUE"""),"Luis Miguel Ramirez Morales")</f>
        <v>Luis Miguel Ramirez Morales</v>
      </c>
      <c r="C1254" s="15" t="str">
        <f>IFERROR(__xludf.DUMMYFUNCTION("""COMPUTED_VALUE"""),"BOGOTÁ")</f>
        <v>BOGOTÁ</v>
      </c>
      <c r="D1254" s="15" t="str">
        <f>IFERROR(__xludf.DUMMYFUNCTION("""COMPUTED_VALUE"""),"MEDELLÍN")</f>
        <v>MEDELLÍN</v>
      </c>
      <c r="E1254" s="15" t="str">
        <f>IFERROR(__xludf.DUMMYFUNCTION("""COMPUTED_VALUE"""),"Terravocado")</f>
        <v>Terravocado</v>
      </c>
      <c r="F1254" s="17" t="str">
        <f>IFERROR(__xludf.DUMMYFUNCTION("""COMPUTED_VALUE"""),"Carrera 20 168-32 / Bogota / Toberin")</f>
        <v>Carrera 20 168-32 / Bogota / Toberin</v>
      </c>
      <c r="G1254" s="15" t="str">
        <f>IFERROR(__xludf.DUMMYFUNCTION("""COMPUTED_VALUE"""),"Bukoi")</f>
        <v>Bukoi</v>
      </c>
      <c r="H1254" s="16">
        <f>IFERROR(__xludf.DUMMYFUNCTION("""COMPUTED_VALUE"""),9918.0)</f>
        <v>9918</v>
      </c>
      <c r="I1254" s="18">
        <f>IFERROR(__xludf.DUMMYFUNCTION("""COMPUTED_VALUE"""),20.0)</f>
        <v>20</v>
      </c>
      <c r="J1254" s="18">
        <f>IFERROR(__xludf.DUMMYFUNCTION("""COMPUTED_VALUE"""),25.0)</f>
        <v>25</v>
      </c>
      <c r="K1254" s="18">
        <f>IFERROR(__xludf.DUMMYFUNCTION("""COMPUTED_VALUE"""),34.0)</f>
        <v>34</v>
      </c>
      <c r="L1254" s="17">
        <f>IFERROR(__xludf.DUMMYFUNCTION("""COMPUTED_VALUE"""),3.103668164E9)</f>
        <v>3103668164</v>
      </c>
      <c r="M1254" s="17" t="str">
        <f>IFERROR(__xludf.DUMMYFUNCTION("""COMPUTED_VALUE"""),"#REF!")</f>
        <v>#REF!</v>
      </c>
      <c r="N1254" s="17"/>
      <c r="O1254" s="19" t="str">
        <f>IFERROR(__xludf.DUMMYFUNCTION("""COMPUTED_VALUE"""),"")</f>
        <v/>
      </c>
      <c r="P1254" s="17" t="b">
        <f>IFERROR(__xludf.DUMMYFUNCTION("""COMPUTED_VALUE"""),FALSE)</f>
        <v>0</v>
      </c>
      <c r="Q1254" s="20" t="str">
        <f>IFERROR(__xludf.DUMMYFUNCTION("""COMPUTED_VALUE"""),"")</f>
        <v/>
      </c>
      <c r="R1254" s="22" t="str">
        <f>IFERROR(__xludf.DUMMYFUNCTION("""COMPUTED_VALUE"""),"")</f>
        <v/>
      </c>
    </row>
    <row r="1255">
      <c r="A1255" s="15">
        <f>IFERROR(__xludf.DUMMYFUNCTION("""COMPUTED_VALUE"""),45035.0)</f>
        <v>45035</v>
      </c>
      <c r="B1255" s="16" t="str">
        <f>IFERROR(__xludf.DUMMYFUNCTION("""COMPUTED_VALUE"""),"Luis Miguel Ramirez Morales")</f>
        <v>Luis Miguel Ramirez Morales</v>
      </c>
      <c r="C1255" s="15" t="str">
        <f>IFERROR(__xludf.DUMMYFUNCTION("""COMPUTED_VALUE"""),"CARTAGENA")</f>
        <v>CARTAGENA</v>
      </c>
      <c r="D1255" s="15" t="str">
        <f>IFERROR(__xludf.DUMMYFUNCTION("""COMPUTED_VALUE"""),"BOGOTÁ")</f>
        <v>BOGOTÁ</v>
      </c>
      <c r="E1255" s="15" t="str">
        <f>IFERROR(__xludf.DUMMYFUNCTION("""COMPUTED_VALUE"""),"Mochi")</f>
        <v>Mochi</v>
      </c>
      <c r="F1255" s="17" t="str">
        <f>IFERROR(__xludf.DUMMYFUNCTION("""COMPUTED_VALUE"""),"CENTROP COMERCIAL SERREZUELA / SERREZUELA / SERREZUELA")</f>
        <v>CENTROP COMERCIAL SERREZUELA / SERREZUELA / SERREZUELA</v>
      </c>
      <c r="G1255" s="15" t="str">
        <f>IFERROR(__xludf.DUMMYFUNCTION("""COMPUTED_VALUE"""),"MARIA CAMILA")</f>
        <v>MARIA CAMILA</v>
      </c>
      <c r="H1255" s="16">
        <f>IFERROR(__xludf.DUMMYFUNCTION("""COMPUTED_VALUE"""),9919.0)</f>
        <v>9919</v>
      </c>
      <c r="I1255" s="18">
        <f>IFERROR(__xludf.DUMMYFUNCTION("""COMPUTED_VALUE"""),100.0)</f>
        <v>100</v>
      </c>
      <c r="J1255" s="18">
        <f>IFERROR(__xludf.DUMMYFUNCTION("""COMPUTED_VALUE"""),100.0)</f>
        <v>100</v>
      </c>
      <c r="K1255" s="18">
        <f>IFERROR(__xludf.DUMMYFUNCTION("""COMPUTED_VALUE"""),300.0)</f>
        <v>300</v>
      </c>
      <c r="L1255" s="17">
        <f>IFERROR(__xludf.DUMMYFUNCTION("""COMPUTED_VALUE"""),3.116026252E9)</f>
        <v>3116026252</v>
      </c>
      <c r="M1255" s="17" t="str">
        <f>IFERROR(__xludf.DUMMYFUNCTION("""COMPUTED_VALUE"""),"#REF!")</f>
        <v>#REF!</v>
      </c>
      <c r="N1255" s="17"/>
      <c r="O1255" s="19" t="str">
        <f>IFERROR(__xludf.DUMMYFUNCTION("""COMPUTED_VALUE"""),"")</f>
        <v/>
      </c>
      <c r="P1255" s="17" t="b">
        <f>IFERROR(__xludf.DUMMYFUNCTION("""COMPUTED_VALUE"""),FALSE)</f>
        <v>0</v>
      </c>
      <c r="Q1255" s="20" t="str">
        <f>IFERROR(__xludf.DUMMYFUNCTION("""COMPUTED_VALUE"""),"")</f>
        <v/>
      </c>
      <c r="R1255" s="22" t="str">
        <f>IFERROR(__xludf.DUMMYFUNCTION("""COMPUTED_VALUE"""),"")</f>
        <v/>
      </c>
    </row>
    <row r="1256">
      <c r="A1256" s="17" t="str">
        <f>IFERROR(__xludf.DUMMYFUNCTION("""COMPUTED_VALUE"""),"")</f>
        <v/>
      </c>
      <c r="B1256" s="17" t="str">
        <f>IFERROR(__xludf.DUMMYFUNCTION("""COMPUTED_VALUE"""),"")</f>
        <v/>
      </c>
      <c r="C1256" s="17" t="str">
        <f>IFERROR(__xludf.DUMMYFUNCTION("""COMPUTED_VALUE"""),"")</f>
        <v/>
      </c>
      <c r="D1256" s="17" t="str">
        <f>IFERROR(__xludf.DUMMYFUNCTION("""COMPUTED_VALUE"""),"")</f>
        <v/>
      </c>
      <c r="E1256" s="17" t="str">
        <f>IFERROR(__xludf.DUMMYFUNCTION("""COMPUTED_VALUE"""),"")</f>
        <v/>
      </c>
      <c r="F1256" s="17" t="str">
        <f>IFERROR(__xludf.DUMMYFUNCTION("""COMPUTED_VALUE"""),"")</f>
        <v/>
      </c>
      <c r="G1256" s="17" t="str">
        <f>IFERROR(__xludf.DUMMYFUNCTION("""COMPUTED_VALUE"""),"")</f>
        <v/>
      </c>
      <c r="H1256" s="17" t="str">
        <f>IFERROR(__xludf.DUMMYFUNCTION("""COMPUTED_VALUE"""),"")</f>
        <v/>
      </c>
      <c r="I1256" s="17" t="str">
        <f>IFERROR(__xludf.DUMMYFUNCTION("""COMPUTED_VALUE"""),"")</f>
        <v/>
      </c>
      <c r="J1256" s="17" t="str">
        <f>IFERROR(__xludf.DUMMYFUNCTION("""COMPUTED_VALUE"""),"")</f>
        <v/>
      </c>
      <c r="K1256" s="17" t="str">
        <f>IFERROR(__xludf.DUMMYFUNCTION("""COMPUTED_VALUE"""),"")</f>
        <v/>
      </c>
      <c r="L1256" s="17" t="str">
        <f>IFERROR(__xludf.DUMMYFUNCTION("""COMPUTED_VALUE"""),"")</f>
        <v/>
      </c>
      <c r="M1256" s="17" t="str">
        <f>IFERROR(__xludf.DUMMYFUNCTION("""COMPUTED_VALUE"""),"")</f>
        <v/>
      </c>
      <c r="N1256" s="17" t="str">
        <f>IFERROR(__xludf.DUMMYFUNCTION("""COMPUTED_VALUE"""),"")</f>
        <v/>
      </c>
      <c r="O1256" s="17" t="str">
        <f>IFERROR(__xludf.DUMMYFUNCTION("""COMPUTED_VALUE"""),"")</f>
        <v/>
      </c>
      <c r="P1256" s="17" t="str">
        <f>IFERROR(__xludf.DUMMYFUNCTION("""COMPUTED_VALUE"""),"")</f>
        <v/>
      </c>
      <c r="Q1256" s="17" t="str">
        <f>IFERROR(__xludf.DUMMYFUNCTION("""COMPUTED_VALUE"""),"")</f>
        <v/>
      </c>
      <c r="R1256" s="17" t="str">
        <f>IFERROR(__xludf.DUMMYFUNCTION("""COMPUTED_VALUE"""),"")</f>
        <v/>
      </c>
    </row>
    <row r="1257">
      <c r="A1257" s="15">
        <f>IFERROR(__xludf.DUMMYFUNCTION("""COMPUTED_VALUE"""),45036.0)</f>
        <v>45036</v>
      </c>
      <c r="B1257" s="16" t="str">
        <f>IFERROR(__xludf.DUMMYFUNCTION("""COMPUTED_VALUE"""),"Daniel José sandoval gonzalez")</f>
        <v>Daniel José sandoval gonzalez</v>
      </c>
      <c r="C1257" s="15" t="str">
        <f>IFERROR(__xludf.DUMMYFUNCTION("""COMPUTED_VALUE"""),"BARRANQUILLA")</f>
        <v>BARRANQUILLA</v>
      </c>
      <c r="D1257" s="15" t="str">
        <f>IFERROR(__xludf.DUMMYFUNCTION("""COMPUTED_VALUE"""),"BOGOTÁ")</f>
        <v>BOGOTÁ</v>
      </c>
      <c r="E1257" s="15" t="str">
        <f>IFERROR(__xludf.DUMMYFUNCTION("""COMPUTED_VALUE"""),"Evamazzita")</f>
        <v>Evamazzita</v>
      </c>
      <c r="F1257" s="17" t="str">
        <f>IFERROR(__xludf.DUMMYFUNCTION("""COMPUTED_VALUE"""),"Carrera 21 # 47B-58  / Apto 101  / Barrio el Carmen")</f>
        <v>Carrera 21 # 47B-58  / Apto 101  / Barrio el Carmen</v>
      </c>
      <c r="G1257" s="15" t="str">
        <f>IFERROR(__xludf.DUMMYFUNCTION("""COMPUTED_VALUE"""),"MARIANELLA OVIEDO")</f>
        <v>MARIANELLA OVIEDO</v>
      </c>
      <c r="H1257" s="16">
        <f>IFERROR(__xludf.DUMMYFUNCTION("""COMPUTED_VALUE"""),9929.0)</f>
        <v>9929</v>
      </c>
      <c r="I1257" s="18">
        <f>IFERROR(__xludf.DUMMYFUNCTION("""COMPUTED_VALUE"""),3.0)</f>
        <v>3</v>
      </c>
      <c r="J1257" s="18">
        <f>IFERROR(__xludf.DUMMYFUNCTION("""COMPUTED_VALUE"""),20.0)</f>
        <v>20</v>
      </c>
      <c r="K1257" s="18">
        <f>IFERROR(__xludf.DUMMYFUNCTION("""COMPUTED_VALUE"""),15.0)</f>
        <v>15</v>
      </c>
      <c r="L1257" s="17">
        <f>IFERROR(__xludf.DUMMYFUNCTION("""COMPUTED_VALUE"""),3.017236905E9)</f>
        <v>3017236905</v>
      </c>
      <c r="M1257" s="17" t="str">
        <f>IFERROR(__xludf.DUMMYFUNCTION("""COMPUTED_VALUE"""),"#REF!")</f>
        <v>#REF!</v>
      </c>
      <c r="N1257" s="17"/>
      <c r="O1257" s="19" t="str">
        <f>IFERROR(__xludf.DUMMYFUNCTION("""COMPUTED_VALUE"""),"")</f>
        <v/>
      </c>
      <c r="P1257" s="17" t="b">
        <f>IFERROR(__xludf.DUMMYFUNCTION("""COMPUTED_VALUE"""),FALSE)</f>
        <v>0</v>
      </c>
      <c r="Q1257" s="20" t="str">
        <f>IFERROR(__xludf.DUMMYFUNCTION("""COMPUTED_VALUE"""),"")</f>
        <v/>
      </c>
      <c r="R1257" s="22" t="str">
        <f>IFERROR(__xludf.DUMMYFUNCTION("""COMPUTED_VALUE"""),"")</f>
        <v/>
      </c>
    </row>
    <row r="1258">
      <c r="A1258" s="15">
        <f>IFERROR(__xludf.DUMMYFUNCTION("""COMPUTED_VALUE"""),45036.0)</f>
        <v>45036</v>
      </c>
      <c r="B1258" s="16" t="str">
        <f>IFERROR(__xludf.DUMMYFUNCTION("""COMPUTED_VALUE"""),"Daniel José sandoval gonzalez")</f>
        <v>Daniel José sandoval gonzalez</v>
      </c>
      <c r="C1258" s="15" t="str">
        <f>IFERROR(__xludf.DUMMYFUNCTION("""COMPUTED_VALUE"""),"BARRANQUILLA")</f>
        <v>BARRANQUILLA</v>
      </c>
      <c r="D1258" s="15" t="str">
        <f>IFERROR(__xludf.DUMMYFUNCTION("""COMPUTED_VALUE"""),"BOGOTÁ")</f>
        <v>BOGOTÁ</v>
      </c>
      <c r="E1258" s="15" t="str">
        <f>IFERROR(__xludf.DUMMYFUNCTION("""COMPUTED_VALUE"""),"Evamazzita")</f>
        <v>Evamazzita</v>
      </c>
      <c r="F1258" s="17" t="str">
        <f>IFERROR(__xludf.DUMMYFUNCTION("""COMPUTED_VALUE"""),"cra 44 # 85 - 130 / apto 701, edificio Évora 85   / Barrio La campiña")</f>
        <v>cra 44 # 85 - 130 / apto 701, edificio Évora 85   / Barrio La campiña</v>
      </c>
      <c r="G1258" s="15" t="str">
        <f>IFERROR(__xludf.DUMMYFUNCTION("""COMPUTED_VALUE"""),"SANDRA HAMBURGER ACOSTA")</f>
        <v>SANDRA HAMBURGER ACOSTA</v>
      </c>
      <c r="H1258" s="16">
        <f>IFERROR(__xludf.DUMMYFUNCTION("""COMPUTED_VALUE"""),9928.0)</f>
        <v>9928</v>
      </c>
      <c r="I1258" s="18">
        <f>IFERROR(__xludf.DUMMYFUNCTION("""COMPUTED_VALUE"""),3.0)</f>
        <v>3</v>
      </c>
      <c r="J1258" s="18">
        <f>IFERROR(__xludf.DUMMYFUNCTION("""COMPUTED_VALUE"""),20.0)</f>
        <v>20</v>
      </c>
      <c r="K1258" s="18">
        <f>IFERROR(__xludf.DUMMYFUNCTION("""COMPUTED_VALUE"""),15.0)</f>
        <v>15</v>
      </c>
      <c r="L1258" s="17">
        <f>IFERROR(__xludf.DUMMYFUNCTION("""COMPUTED_VALUE"""),3.00893007E9)</f>
        <v>3008930070</v>
      </c>
      <c r="M1258" s="17" t="str">
        <f>IFERROR(__xludf.DUMMYFUNCTION("""COMPUTED_VALUE"""),"#REF!")</f>
        <v>#REF!</v>
      </c>
      <c r="N1258" s="17"/>
      <c r="O1258" s="19" t="str">
        <f>IFERROR(__xludf.DUMMYFUNCTION("""COMPUTED_VALUE"""),"")</f>
        <v/>
      </c>
      <c r="P1258" s="17" t="b">
        <f>IFERROR(__xludf.DUMMYFUNCTION("""COMPUTED_VALUE"""),FALSE)</f>
        <v>0</v>
      </c>
      <c r="Q1258" s="20" t="str">
        <f>IFERROR(__xludf.DUMMYFUNCTION("""COMPUTED_VALUE"""),"")</f>
        <v/>
      </c>
      <c r="R1258" s="22" t="str">
        <f>IFERROR(__xludf.DUMMYFUNCTION("""COMPUTED_VALUE"""),"")</f>
        <v/>
      </c>
    </row>
    <row r="1259">
      <c r="A1259" s="15">
        <f>IFERROR(__xludf.DUMMYFUNCTION("""COMPUTED_VALUE"""),45036.0)</f>
        <v>45036</v>
      </c>
      <c r="B1259" s="16" t="str">
        <f>IFERROR(__xludf.DUMMYFUNCTION("""COMPUTED_VALUE"""),"Daniel José sandoval gonzalez")</f>
        <v>Daniel José sandoval gonzalez</v>
      </c>
      <c r="C1259" s="15" t="str">
        <f>IFERROR(__xludf.DUMMYFUNCTION("""COMPUTED_VALUE"""),"BARRANQUILLA")</f>
        <v>BARRANQUILLA</v>
      </c>
      <c r="D1259" s="15" t="str">
        <f>IFERROR(__xludf.DUMMYFUNCTION("""COMPUTED_VALUE"""),"BOGOTÁ")</f>
        <v>BOGOTÁ</v>
      </c>
      <c r="E1259" s="15" t="str">
        <f>IFERROR(__xludf.DUMMYFUNCTION("""COMPUTED_VALUE"""),"Evamazzita")</f>
        <v>Evamazzita</v>
      </c>
      <c r="F1259" s="17" t="str">
        <f>IFERROR(__xludf.DUMMYFUNCTION("""COMPUTED_VALUE"""),"Kra 17#31-171   / N/A / Barrio la unión")</f>
        <v>Kra 17#31-171   / N/A / Barrio la unión</v>
      </c>
      <c r="G1259" s="15" t="str">
        <f>IFERROR(__xludf.DUMMYFUNCTION("""COMPUTED_VALUE"""),"CLAUDIA BEATRIZ DE MOYA FLOREZ")</f>
        <v>CLAUDIA BEATRIZ DE MOYA FLOREZ</v>
      </c>
      <c r="H1259" s="16">
        <f>IFERROR(__xludf.DUMMYFUNCTION("""COMPUTED_VALUE"""),9969.0)</f>
        <v>9969</v>
      </c>
      <c r="I1259" s="18">
        <f>IFERROR(__xludf.DUMMYFUNCTION("""COMPUTED_VALUE"""),3.0)</f>
        <v>3</v>
      </c>
      <c r="J1259" s="18">
        <f>IFERROR(__xludf.DUMMYFUNCTION("""COMPUTED_VALUE"""),20.0)</f>
        <v>20</v>
      </c>
      <c r="K1259" s="18">
        <f>IFERROR(__xludf.DUMMYFUNCTION("""COMPUTED_VALUE"""),15.0)</f>
        <v>15</v>
      </c>
      <c r="L1259" s="17">
        <f>IFERROR(__xludf.DUMMYFUNCTION("""COMPUTED_VALUE"""),3.003587097E9)</f>
        <v>3003587097</v>
      </c>
      <c r="M1259" s="17" t="str">
        <f>IFERROR(__xludf.DUMMYFUNCTION("""COMPUTED_VALUE"""),"#REF!")</f>
        <v>#REF!</v>
      </c>
      <c r="N1259" s="17"/>
      <c r="O1259" s="19" t="str">
        <f>IFERROR(__xludf.DUMMYFUNCTION("""COMPUTED_VALUE"""),"")</f>
        <v/>
      </c>
      <c r="P1259" s="17" t="b">
        <f>IFERROR(__xludf.DUMMYFUNCTION("""COMPUTED_VALUE"""),FALSE)</f>
        <v>0</v>
      </c>
      <c r="Q1259" s="20" t="str">
        <f>IFERROR(__xludf.DUMMYFUNCTION("""COMPUTED_VALUE"""),"")</f>
        <v/>
      </c>
      <c r="R1259" s="22" t="str">
        <f>IFERROR(__xludf.DUMMYFUNCTION("""COMPUTED_VALUE"""),"")</f>
        <v/>
      </c>
    </row>
    <row r="1260">
      <c r="A1260" s="15">
        <f>IFERROR(__xludf.DUMMYFUNCTION("""COMPUTED_VALUE"""),45036.0)</f>
        <v>45036</v>
      </c>
      <c r="B1260" s="16" t="str">
        <f>IFERROR(__xludf.DUMMYFUNCTION("""COMPUTED_VALUE"""),"Daniel José sandoval gonzalez")</f>
        <v>Daniel José sandoval gonzalez</v>
      </c>
      <c r="C1260" s="15" t="str">
        <f>IFERROR(__xludf.DUMMYFUNCTION("""COMPUTED_VALUE"""),"BARRANQUILLA")</f>
        <v>BARRANQUILLA</v>
      </c>
      <c r="D1260" s="15" t="str">
        <f>IFERROR(__xludf.DUMMYFUNCTION("""COMPUTED_VALUE"""),"BOGOTÁ")</f>
        <v>BOGOTÁ</v>
      </c>
      <c r="E1260" s="15" t="str">
        <f>IFERROR(__xludf.DUMMYFUNCTION("""COMPUTED_VALUE"""),"Lunchy Kids")</f>
        <v>Lunchy Kids</v>
      </c>
      <c r="F1260" s="17" t="str">
        <f>IFERROR(__xludf.DUMMYFUNCTION("""COMPUTED_VALUE"""),"Cra 70 # 91-35  / Apto 304. Torre 1. Parques del Tivoly  / Villacarolina")</f>
        <v>Cra 70 # 91-35  / Apto 304. Torre 1. Parques del Tivoly  / Villacarolina</v>
      </c>
      <c r="G1260" s="15" t="str">
        <f>IFERROR(__xludf.DUMMYFUNCTION("""COMPUTED_VALUE"""),"Yoleinis Jinete")</f>
        <v>Yoleinis Jinete</v>
      </c>
      <c r="H1260" s="16">
        <f>IFERROR(__xludf.DUMMYFUNCTION("""COMPUTED_VALUE"""),9932.0)</f>
        <v>9932</v>
      </c>
      <c r="I1260" s="18">
        <f>IFERROR(__xludf.DUMMYFUNCTION("""COMPUTED_VALUE"""),16.0)</f>
        <v>16</v>
      </c>
      <c r="J1260" s="18">
        <f>IFERROR(__xludf.DUMMYFUNCTION("""COMPUTED_VALUE"""),34.0)</f>
        <v>34</v>
      </c>
      <c r="K1260" s="18">
        <f>IFERROR(__xludf.DUMMYFUNCTION("""COMPUTED_VALUE"""),30.0)</f>
        <v>30</v>
      </c>
      <c r="L1260" s="17">
        <f>IFERROR(__xludf.DUMMYFUNCTION("""COMPUTED_VALUE"""),3.007943686E9)</f>
        <v>3007943686</v>
      </c>
      <c r="M1260" s="17" t="str">
        <f>IFERROR(__xludf.DUMMYFUNCTION("""COMPUTED_VALUE"""),"#REF!")</f>
        <v>#REF!</v>
      </c>
      <c r="N1260" s="17"/>
      <c r="O1260" s="19" t="str">
        <f>IFERROR(__xludf.DUMMYFUNCTION("""COMPUTED_VALUE"""),"")</f>
        <v/>
      </c>
      <c r="P1260" s="17" t="b">
        <f>IFERROR(__xludf.DUMMYFUNCTION("""COMPUTED_VALUE"""),FALSE)</f>
        <v>0</v>
      </c>
      <c r="Q1260" s="20" t="str">
        <f>IFERROR(__xludf.DUMMYFUNCTION("""COMPUTED_VALUE"""),"")</f>
        <v/>
      </c>
      <c r="R1260" s="22" t="str">
        <f>IFERROR(__xludf.DUMMYFUNCTION("""COMPUTED_VALUE"""),"")</f>
        <v/>
      </c>
    </row>
    <row r="1261">
      <c r="A1261" s="15">
        <f>IFERROR(__xludf.DUMMYFUNCTION("""COMPUTED_VALUE"""),45036.0)</f>
        <v>45036</v>
      </c>
      <c r="B1261" s="16" t="str">
        <f>IFERROR(__xludf.DUMMYFUNCTION("""COMPUTED_VALUE"""),"Daniel José sandoval gonzalez")</f>
        <v>Daniel José sandoval gonzalez</v>
      </c>
      <c r="C1261" s="15" t="str">
        <f>IFERROR(__xludf.DUMMYFUNCTION("""COMPUTED_VALUE"""),"BARRANQUILLA")</f>
        <v>BARRANQUILLA</v>
      </c>
      <c r="D1261" s="15" t="str">
        <f>IFERROR(__xludf.DUMMYFUNCTION("""COMPUTED_VALUE"""),"BOGOTÁ")</f>
        <v>BOGOTÁ</v>
      </c>
      <c r="E1261" s="15" t="str">
        <f>IFERROR(__xludf.DUMMYFUNCTION("""COMPUTED_VALUE"""),"Pan de Waffle")</f>
        <v>Pan de Waffle</v>
      </c>
      <c r="F1261" s="17" t="str">
        <f>IFERROR(__xludf.DUMMYFUNCTION("""COMPUTED_VALUE"""),"CR 53 80 284 LC 8 / CR 53 80 284 LC 8 / CR 53 80 284 LC 8")</f>
        <v>CR 53 80 284 LC 8 / CR 53 80 284 LC 8 / CR 53 80 284 LC 8</v>
      </c>
      <c r="G1261" s="15" t="str">
        <f>IFERROR(__xludf.DUMMYFUNCTION("""COMPUTED_VALUE"""),"CORPOFIT")</f>
        <v>CORPOFIT</v>
      </c>
      <c r="H1261" s="16">
        <f>IFERROR(__xludf.DUMMYFUNCTION("""COMPUTED_VALUE"""),9936.0)</f>
        <v>9936</v>
      </c>
      <c r="I1261" s="18">
        <f>IFERROR(__xludf.DUMMYFUNCTION("""COMPUTED_VALUE"""),40.0)</f>
        <v>40</v>
      </c>
      <c r="J1261" s="18">
        <f>IFERROR(__xludf.DUMMYFUNCTION("""COMPUTED_VALUE"""),30.0)</f>
        <v>30</v>
      </c>
      <c r="K1261" s="18">
        <f>IFERROR(__xludf.DUMMYFUNCTION("""COMPUTED_VALUE"""),30.0)</f>
        <v>30</v>
      </c>
      <c r="L1261" s="17">
        <f>IFERROR(__xludf.DUMMYFUNCTION("""COMPUTED_VALUE"""),3.006125263E9)</f>
        <v>3006125263</v>
      </c>
      <c r="M1261" s="17" t="str">
        <f>IFERROR(__xludf.DUMMYFUNCTION("""COMPUTED_VALUE"""),"#REF!")</f>
        <v>#REF!</v>
      </c>
      <c r="N1261" s="17"/>
      <c r="O1261" s="19" t="str">
        <f>IFERROR(__xludf.DUMMYFUNCTION("""COMPUTED_VALUE"""),"")</f>
        <v/>
      </c>
      <c r="P1261" s="17" t="b">
        <f>IFERROR(__xludf.DUMMYFUNCTION("""COMPUTED_VALUE"""),FALSE)</f>
        <v>0</v>
      </c>
      <c r="Q1261" s="20" t="str">
        <f>IFERROR(__xludf.DUMMYFUNCTION("""COMPUTED_VALUE"""),"")</f>
        <v/>
      </c>
      <c r="R1261" s="22" t="str">
        <f>IFERROR(__xludf.DUMMYFUNCTION("""COMPUTED_VALUE"""),"")</f>
        <v/>
      </c>
    </row>
    <row r="1262">
      <c r="A1262" s="15">
        <f>IFERROR(__xludf.DUMMYFUNCTION("""COMPUTED_VALUE"""),45036.0)</f>
        <v>45036</v>
      </c>
      <c r="B1262" s="16" t="str">
        <f>IFERROR(__xludf.DUMMYFUNCTION("""COMPUTED_VALUE"""),"Daniel José sandoval gonzalez")</f>
        <v>Daniel José sandoval gonzalez</v>
      </c>
      <c r="C1262" s="15" t="str">
        <f>IFERROR(__xludf.DUMMYFUNCTION("""COMPUTED_VALUE"""),"MEDELLÍN")</f>
        <v>MEDELLÍN</v>
      </c>
      <c r="D1262" s="15" t="str">
        <f>IFERROR(__xludf.DUMMYFUNCTION("""COMPUTED_VALUE"""),"BOGOTÁ")</f>
        <v>BOGOTÁ</v>
      </c>
      <c r="E1262" s="15" t="str">
        <f>IFERROR(__xludf.DUMMYFUNCTION("""COMPUTED_VALUE"""),"SISU PARTNERS SAS")</f>
        <v>SISU PARTNERS SAS</v>
      </c>
      <c r="F1262" s="17" t="str">
        <f>IFERROR(__xludf.DUMMYFUNCTION("""COMPUTED_VALUE"""),"Carrera 34 no. 7-86 / Local Mary &amp; George")</f>
        <v>Carrera 34 no. 7-86 / Local Mary &amp; George</v>
      </c>
      <c r="G1262" s="15" t="str">
        <f>IFERROR(__xludf.DUMMYFUNCTION("""COMPUTED_VALUE"""),"Maria Paulina Pérez")</f>
        <v>Maria Paulina Pérez</v>
      </c>
      <c r="H1262" s="16">
        <f>IFERROR(__xludf.DUMMYFUNCTION("""COMPUTED_VALUE"""),9875.0)</f>
        <v>9875</v>
      </c>
      <c r="I1262" s="18" t="str">
        <f>IFERROR(__xludf.DUMMYFUNCTION("""COMPUTED_VALUE"""),"52.5")</f>
        <v>52.5</v>
      </c>
      <c r="J1262" s="18">
        <f>IFERROR(__xludf.DUMMYFUNCTION("""COMPUTED_VALUE"""),45.0)</f>
        <v>45</v>
      </c>
      <c r="K1262" s="18">
        <f>IFERROR(__xludf.DUMMYFUNCTION("""COMPUTED_VALUE"""),55.0)</f>
        <v>55</v>
      </c>
      <c r="L1262" s="17">
        <f>IFERROR(__xludf.DUMMYFUNCTION("""COMPUTED_VALUE"""),3.182186058E9)</f>
        <v>3182186058</v>
      </c>
      <c r="M1262" s="17" t="str">
        <f>IFERROR(__xludf.DUMMYFUNCTION("""COMPUTED_VALUE"""),"#REF!")</f>
        <v>#REF!</v>
      </c>
      <c r="N1262" s="17"/>
      <c r="O1262" s="19" t="str">
        <f>IFERROR(__xludf.DUMMYFUNCTION("""COMPUTED_VALUE"""),"")</f>
        <v/>
      </c>
      <c r="P1262" s="17" t="b">
        <f>IFERROR(__xludf.DUMMYFUNCTION("""COMPUTED_VALUE"""),FALSE)</f>
        <v>0</v>
      </c>
      <c r="Q1262" s="20" t="str">
        <f>IFERROR(__xludf.DUMMYFUNCTION("""COMPUTED_VALUE"""),"")</f>
        <v/>
      </c>
      <c r="R1262" s="22" t="str">
        <f>IFERROR(__xludf.DUMMYFUNCTION("""COMPUTED_VALUE"""),"")</f>
        <v/>
      </c>
    </row>
    <row r="1263">
      <c r="A1263" s="17" t="str">
        <f>IFERROR(__xludf.DUMMYFUNCTION("""COMPUTED_VALUE"""),"")</f>
        <v/>
      </c>
      <c r="B1263" s="17" t="str">
        <f>IFERROR(__xludf.DUMMYFUNCTION("""COMPUTED_VALUE"""),"")</f>
        <v/>
      </c>
      <c r="C1263" s="17" t="str">
        <f>IFERROR(__xludf.DUMMYFUNCTION("""COMPUTED_VALUE"""),"")</f>
        <v/>
      </c>
      <c r="D1263" s="17" t="str">
        <f>IFERROR(__xludf.DUMMYFUNCTION("""COMPUTED_VALUE"""),"")</f>
        <v/>
      </c>
      <c r="E1263" s="17" t="str">
        <f>IFERROR(__xludf.DUMMYFUNCTION("""COMPUTED_VALUE"""),"")</f>
        <v/>
      </c>
      <c r="F1263" s="17" t="str">
        <f>IFERROR(__xludf.DUMMYFUNCTION("""COMPUTED_VALUE"""),"")</f>
        <v/>
      </c>
      <c r="G1263" s="17" t="str">
        <f>IFERROR(__xludf.DUMMYFUNCTION("""COMPUTED_VALUE"""),"")</f>
        <v/>
      </c>
      <c r="H1263" s="17" t="str">
        <f>IFERROR(__xludf.DUMMYFUNCTION("""COMPUTED_VALUE"""),"")</f>
        <v/>
      </c>
      <c r="I1263" s="17" t="str">
        <f>IFERROR(__xludf.DUMMYFUNCTION("""COMPUTED_VALUE"""),"")</f>
        <v/>
      </c>
      <c r="J1263" s="17" t="str">
        <f>IFERROR(__xludf.DUMMYFUNCTION("""COMPUTED_VALUE"""),"")</f>
        <v/>
      </c>
      <c r="K1263" s="17" t="str">
        <f>IFERROR(__xludf.DUMMYFUNCTION("""COMPUTED_VALUE"""),"")</f>
        <v/>
      </c>
      <c r="L1263" s="17" t="str">
        <f>IFERROR(__xludf.DUMMYFUNCTION("""COMPUTED_VALUE"""),"")</f>
        <v/>
      </c>
      <c r="M1263" s="17" t="str">
        <f>IFERROR(__xludf.DUMMYFUNCTION("""COMPUTED_VALUE"""),"")</f>
        <v/>
      </c>
      <c r="N1263" s="17" t="str">
        <f>IFERROR(__xludf.DUMMYFUNCTION("""COMPUTED_VALUE"""),"")</f>
        <v/>
      </c>
      <c r="O1263" s="17" t="str">
        <f>IFERROR(__xludf.DUMMYFUNCTION("""COMPUTED_VALUE"""),"")</f>
        <v/>
      </c>
      <c r="P1263" s="17" t="str">
        <f>IFERROR(__xludf.DUMMYFUNCTION("""COMPUTED_VALUE"""),"")</f>
        <v/>
      </c>
      <c r="Q1263" s="17" t="str">
        <f>IFERROR(__xludf.DUMMYFUNCTION("""COMPUTED_VALUE"""),"")</f>
        <v/>
      </c>
      <c r="R1263" s="17" t="str">
        <f>IFERROR(__xludf.DUMMYFUNCTION("""COMPUTED_VALUE"""),"")</f>
        <v/>
      </c>
    </row>
    <row r="1264">
      <c r="A1264" s="15">
        <f>IFERROR(__xludf.DUMMYFUNCTION("""COMPUTED_VALUE"""),45036.0)</f>
        <v>45036</v>
      </c>
      <c r="B1264" s="16" t="str">
        <f>IFERROR(__xludf.DUMMYFUNCTION("""COMPUTED_VALUE"""),"David Sanmartin Bello")</f>
        <v>David Sanmartin Bello</v>
      </c>
      <c r="C1264" s="15" t="str">
        <f>IFERROR(__xludf.DUMMYFUNCTION("""COMPUTED_VALUE"""),"BARRANQUILLA")</f>
        <v>BARRANQUILLA</v>
      </c>
      <c r="D1264" s="15" t="str">
        <f>IFERROR(__xludf.DUMMYFUNCTION("""COMPUTED_VALUE"""),"BOGOTÁ")</f>
        <v>BOGOTÁ</v>
      </c>
      <c r="E1264" s="15" t="str">
        <f>IFERROR(__xludf.DUMMYFUNCTION("""COMPUTED_VALUE"""),"Pan de Waffle")</f>
        <v>Pan de Waffle</v>
      </c>
      <c r="F1264" s="17" t="str">
        <f>IFERROR(__xludf.DUMMYFUNCTION("""COMPUTED_VALUE"""),"Carrera 45 # 85 - 168 / Carrera 45 # 85 - 168 / Carrera 45 # 85 - 168")</f>
        <v>Carrera 45 # 85 - 168 / Carrera 45 # 85 - 168 / Carrera 45 # 85 - 168</v>
      </c>
      <c r="G1264" s="15" t="str">
        <f>IFERROR(__xludf.DUMMYFUNCTION("""COMPUTED_VALUE"""),"FOODOLOGY")</f>
        <v>FOODOLOGY</v>
      </c>
      <c r="H1264" s="16">
        <f>IFERROR(__xludf.DUMMYFUNCTION("""COMPUTED_VALUE"""),9934.0)</f>
        <v>9934</v>
      </c>
      <c r="I1264" s="18">
        <f>IFERROR(__xludf.DUMMYFUNCTION("""COMPUTED_VALUE"""),40.0)</f>
        <v>40</v>
      </c>
      <c r="J1264" s="18">
        <f>IFERROR(__xludf.DUMMYFUNCTION("""COMPUTED_VALUE"""),40.0)</f>
        <v>40</v>
      </c>
      <c r="K1264" s="18">
        <f>IFERROR(__xludf.DUMMYFUNCTION("""COMPUTED_VALUE"""),30.0)</f>
        <v>30</v>
      </c>
      <c r="L1264" s="17">
        <f>IFERROR(__xludf.DUMMYFUNCTION("""COMPUTED_VALUE"""),3.017001909E9)</f>
        <v>3017001909</v>
      </c>
      <c r="M1264" s="17" t="str">
        <f>IFERROR(__xludf.DUMMYFUNCTION("""COMPUTED_VALUE"""),"#REF!")</f>
        <v>#REF!</v>
      </c>
      <c r="N1264" s="17"/>
      <c r="O1264" s="19" t="str">
        <f>IFERROR(__xludf.DUMMYFUNCTION("""COMPUTED_VALUE"""),"")</f>
        <v/>
      </c>
      <c r="P1264" s="17" t="b">
        <f>IFERROR(__xludf.DUMMYFUNCTION("""COMPUTED_VALUE"""),FALSE)</f>
        <v>0</v>
      </c>
      <c r="Q1264" s="20" t="str">
        <f>IFERROR(__xludf.DUMMYFUNCTION("""COMPUTED_VALUE"""),"")</f>
        <v/>
      </c>
      <c r="R1264" s="22" t="str">
        <f>IFERROR(__xludf.DUMMYFUNCTION("""COMPUTED_VALUE"""),"")</f>
        <v/>
      </c>
    </row>
    <row r="1265">
      <c r="A1265" s="15">
        <f>IFERROR(__xludf.DUMMYFUNCTION("""COMPUTED_VALUE"""),45036.0)</f>
        <v>45036</v>
      </c>
      <c r="B1265" s="16" t="str">
        <f>IFERROR(__xludf.DUMMYFUNCTION("""COMPUTED_VALUE"""),"David Sanmartin Bello")</f>
        <v>David Sanmartin Bello</v>
      </c>
      <c r="C1265" s="15" t="str">
        <f>IFERROR(__xludf.DUMMYFUNCTION("""COMPUTED_VALUE"""),"BARRANQUILLA")</f>
        <v>BARRANQUILLA</v>
      </c>
      <c r="D1265" s="15" t="str">
        <f>IFERROR(__xludf.DUMMYFUNCTION("""COMPUTED_VALUE"""),"BOGOTÁ")</f>
        <v>BOGOTÁ</v>
      </c>
      <c r="E1265" s="15" t="str">
        <f>IFERROR(__xludf.DUMMYFUNCTION("""COMPUTED_VALUE"""),"Ser Fit")</f>
        <v>Ser Fit</v>
      </c>
      <c r="F1265" s="17" t="str">
        <f>IFERROR(__xludf.DUMMYFUNCTION("""COMPUTED_VALUE"""),"Calle 84 #58-57 / Local 7  / Plaza 59")</f>
        <v>Calle 84 #58-57 / Local 7  / Plaza 59</v>
      </c>
      <c r="G1265" s="15" t="str">
        <f>IFERROR(__xludf.DUMMYFUNCTION("""COMPUTED_VALUE"""),"Alejandro Córdoba")</f>
        <v>Alejandro Córdoba</v>
      </c>
      <c r="H1265" s="16">
        <f>IFERROR(__xludf.DUMMYFUNCTION("""COMPUTED_VALUE"""),9948.0)</f>
        <v>9948</v>
      </c>
      <c r="I1265" s="18">
        <f>IFERROR(__xludf.DUMMYFUNCTION("""COMPUTED_VALUE"""),8.0)</f>
        <v>8</v>
      </c>
      <c r="J1265" s="18">
        <f>IFERROR(__xludf.DUMMYFUNCTION("""COMPUTED_VALUE"""),13.0)</f>
        <v>13</v>
      </c>
      <c r="K1265" s="18">
        <f>IFERROR(__xludf.DUMMYFUNCTION("""COMPUTED_VALUE"""),10.0)</f>
        <v>10</v>
      </c>
      <c r="L1265" s="17">
        <f>IFERROR(__xludf.DUMMYFUNCTION("""COMPUTED_VALUE"""),3.003219814E9)</f>
        <v>3003219814</v>
      </c>
      <c r="M1265" s="17" t="str">
        <f>IFERROR(__xludf.DUMMYFUNCTION("""COMPUTED_VALUE"""),"#REF!")</f>
        <v>#REF!</v>
      </c>
      <c r="N1265" s="17"/>
      <c r="O1265" s="19" t="str">
        <f>IFERROR(__xludf.DUMMYFUNCTION("""COMPUTED_VALUE"""),"")</f>
        <v/>
      </c>
      <c r="P1265" s="17" t="b">
        <f>IFERROR(__xludf.DUMMYFUNCTION("""COMPUTED_VALUE"""),TRUE)</f>
        <v>1</v>
      </c>
      <c r="Q1265" s="20">
        <f>IFERROR(__xludf.DUMMYFUNCTION("""COMPUTED_VALUE"""),45040.49501101852)</f>
        <v>45040.49501</v>
      </c>
      <c r="R1265" s="22" t="str">
        <f>IFERROR(__xludf.DUMMYFUNCTION("""COMPUTED_VALUE"""),"")</f>
        <v/>
      </c>
    </row>
    <row r="1266">
      <c r="A1266" s="15">
        <f>IFERROR(__xludf.DUMMYFUNCTION("""COMPUTED_VALUE"""),45036.0)</f>
        <v>45036</v>
      </c>
      <c r="B1266" s="16" t="str">
        <f>IFERROR(__xludf.DUMMYFUNCTION("""COMPUTED_VALUE"""),"David Sanmartin Bello")</f>
        <v>David Sanmartin Bello</v>
      </c>
      <c r="C1266" s="15" t="str">
        <f>IFERROR(__xludf.DUMMYFUNCTION("""COMPUTED_VALUE"""),"CARTAGENA")</f>
        <v>CARTAGENA</v>
      </c>
      <c r="D1266" s="15" t="str">
        <f>IFERROR(__xludf.DUMMYFUNCTION("""COMPUTED_VALUE"""),"BOGOTÁ")</f>
        <v>BOGOTÁ</v>
      </c>
      <c r="E1266" s="15" t="str">
        <f>IFERROR(__xludf.DUMMYFUNCTION("""COMPUTED_VALUE"""),"Evamazzita")</f>
        <v>Evamazzita</v>
      </c>
      <c r="F1266" s="17" t="str">
        <f>IFERROR(__xludf.DUMMYFUNCTION("""COMPUTED_VALUE"""),"Cra 20A#29b-24  / edifciio terra club house apto 701   / Pie de la popa")</f>
        <v>Cra 20A#29b-24  / edifciio terra club house apto 701   / Pie de la popa</v>
      </c>
      <c r="G1266" s="15" t="str">
        <f>IFERROR(__xludf.DUMMYFUNCTION("""COMPUTED_VALUE"""),"ANDREA BERDUGO OSORIO")</f>
        <v>ANDREA BERDUGO OSORIO</v>
      </c>
      <c r="H1266" s="16">
        <f>IFERROR(__xludf.DUMMYFUNCTION("""COMPUTED_VALUE"""),9902.0)</f>
        <v>9902</v>
      </c>
      <c r="I1266" s="18">
        <f>IFERROR(__xludf.DUMMYFUNCTION("""COMPUTED_VALUE"""),3.0)</f>
        <v>3</v>
      </c>
      <c r="J1266" s="18">
        <f>IFERROR(__xludf.DUMMYFUNCTION("""COMPUTED_VALUE"""),20.0)</f>
        <v>20</v>
      </c>
      <c r="K1266" s="18">
        <f>IFERROR(__xludf.DUMMYFUNCTION("""COMPUTED_VALUE"""),15.0)</f>
        <v>15</v>
      </c>
      <c r="L1266" s="17">
        <f>IFERROR(__xludf.DUMMYFUNCTION("""COMPUTED_VALUE"""),3.102979161E9)</f>
        <v>3102979161</v>
      </c>
      <c r="M1266" s="17" t="str">
        <f>IFERROR(__xludf.DUMMYFUNCTION("""COMPUTED_VALUE"""),"#REF!")</f>
        <v>#REF!</v>
      </c>
      <c r="N1266" s="17"/>
      <c r="O1266" s="19" t="str">
        <f>IFERROR(__xludf.DUMMYFUNCTION("""COMPUTED_VALUE"""),"")</f>
        <v/>
      </c>
      <c r="P1266" s="17" t="b">
        <f>IFERROR(__xludf.DUMMYFUNCTION("""COMPUTED_VALUE"""),TRUE)</f>
        <v>1</v>
      </c>
      <c r="Q1266" s="20">
        <f>IFERROR(__xludf.DUMMYFUNCTION("""COMPUTED_VALUE"""),45040.495031886574)</f>
        <v>45040.49503</v>
      </c>
      <c r="R1266" s="22" t="str">
        <f>IFERROR(__xludf.DUMMYFUNCTION("""COMPUTED_VALUE"""),"")</f>
        <v/>
      </c>
    </row>
    <row r="1267">
      <c r="A1267" s="15">
        <f>IFERROR(__xludf.DUMMYFUNCTION("""COMPUTED_VALUE"""),45036.0)</f>
        <v>45036</v>
      </c>
      <c r="B1267" s="16" t="str">
        <f>IFERROR(__xludf.DUMMYFUNCTION("""COMPUTED_VALUE"""),"David Sanmartin Bello")</f>
        <v>David Sanmartin Bello</v>
      </c>
      <c r="C1267" s="15" t="str">
        <f>IFERROR(__xludf.DUMMYFUNCTION("""COMPUTED_VALUE"""),"CARTAGENA")</f>
        <v>CARTAGENA</v>
      </c>
      <c r="D1267" s="15" t="str">
        <f>IFERROR(__xludf.DUMMYFUNCTION("""COMPUTED_VALUE"""),"BOGOTÁ")</f>
        <v>BOGOTÁ</v>
      </c>
      <c r="E1267" s="15" t="str">
        <f>IFERROR(__xludf.DUMMYFUNCTION("""COMPUTED_VALUE"""),"Evamazzita")</f>
        <v>Evamazzita</v>
      </c>
      <c r="F1267" s="17" t="str">
        <f>IFERROR(__xludf.DUMMYFUNCTION("""COMPUTED_VALUE"""),"Urbanización los coralez  / mza L lote 14-1 primer piso / Urbanización los coralez")</f>
        <v>Urbanización los coralez  / mza L lote 14-1 primer piso / Urbanización los coralez</v>
      </c>
      <c r="G1267" s="15" t="str">
        <f>IFERROR(__xludf.DUMMYFUNCTION("""COMPUTED_VALUE"""),"DANIELA GRISAFI CUELLO")</f>
        <v>DANIELA GRISAFI CUELLO</v>
      </c>
      <c r="H1267" s="16">
        <f>IFERROR(__xludf.DUMMYFUNCTION("""COMPUTED_VALUE"""),9904.0)</f>
        <v>9904</v>
      </c>
      <c r="I1267" s="18">
        <f>IFERROR(__xludf.DUMMYFUNCTION("""COMPUTED_VALUE"""),3.0)</f>
        <v>3</v>
      </c>
      <c r="J1267" s="18">
        <f>IFERROR(__xludf.DUMMYFUNCTION("""COMPUTED_VALUE"""),20.0)</f>
        <v>20</v>
      </c>
      <c r="K1267" s="18">
        <f>IFERROR(__xludf.DUMMYFUNCTION("""COMPUTED_VALUE"""),15.0)</f>
        <v>15</v>
      </c>
      <c r="L1267" s="17">
        <f>IFERROR(__xludf.DUMMYFUNCTION("""COMPUTED_VALUE"""),3.017397665E9)</f>
        <v>3017397665</v>
      </c>
      <c r="M1267" s="17" t="str">
        <f>IFERROR(__xludf.DUMMYFUNCTION("""COMPUTED_VALUE"""),"#REF!")</f>
        <v>#REF!</v>
      </c>
      <c r="N1267" s="17"/>
      <c r="O1267" s="19" t="str">
        <f>IFERROR(__xludf.DUMMYFUNCTION("""COMPUTED_VALUE"""),"")</f>
        <v/>
      </c>
      <c r="P1267" s="17" t="b">
        <f>IFERROR(__xludf.DUMMYFUNCTION("""COMPUTED_VALUE"""),TRUE)</f>
        <v>1</v>
      </c>
      <c r="Q1267" s="20">
        <f>IFERROR(__xludf.DUMMYFUNCTION("""COMPUTED_VALUE"""),45036.680623657405)</f>
        <v>45036.68062</v>
      </c>
      <c r="R1267" s="22" t="str">
        <f>IFERROR(__xludf.DUMMYFUNCTION("""COMPUTED_VALUE"""),"")</f>
        <v/>
      </c>
    </row>
    <row r="1268">
      <c r="A1268" s="15">
        <f>IFERROR(__xludf.DUMMYFUNCTION("""COMPUTED_VALUE"""),45036.0)</f>
        <v>45036</v>
      </c>
      <c r="B1268" s="16" t="str">
        <f>IFERROR(__xludf.DUMMYFUNCTION("""COMPUTED_VALUE"""),"David Sanmartin Bello")</f>
        <v>David Sanmartin Bello</v>
      </c>
      <c r="C1268" s="15" t="str">
        <f>IFERROR(__xludf.DUMMYFUNCTION("""COMPUTED_VALUE"""),"CARTAGENA")</f>
        <v>CARTAGENA</v>
      </c>
      <c r="D1268" s="15" t="str">
        <f>IFERROR(__xludf.DUMMYFUNCTION("""COMPUTED_VALUE"""),"BOGOTÁ")</f>
        <v>BOGOTÁ</v>
      </c>
      <c r="E1268" s="15" t="str">
        <f>IFERROR(__xludf.DUMMYFUNCTION("""COMPUTED_VALUE"""),"MAI ALIMENTOS S.A.S")</f>
        <v>MAI ALIMENTOS S.A.S</v>
      </c>
      <c r="F1268" s="17" t="str">
        <f>IFERROR(__xludf.DUMMYFUNCTION("""COMPUTED_VALUE"""),"Cra 3 A #31-23 Calle Ricaurte, Centro / Plaza Santa teresa / Restaurante Harry Sasson")</f>
        <v>Cra 3 A #31-23 Calle Ricaurte, Centro / Plaza Santa teresa / Restaurante Harry Sasson</v>
      </c>
      <c r="G1268" s="15" t="str">
        <f>IFERROR(__xludf.DUMMYFUNCTION("""COMPUTED_VALUE"""),"Harry Sasson Cartagena")</f>
        <v>Harry Sasson Cartagena</v>
      </c>
      <c r="H1268" s="16">
        <f>IFERROR(__xludf.DUMMYFUNCTION("""COMPUTED_VALUE"""),9712.0)</f>
        <v>9712</v>
      </c>
      <c r="I1268" s="18">
        <f>IFERROR(__xludf.DUMMYFUNCTION("""COMPUTED_VALUE"""),35.0)</f>
        <v>35</v>
      </c>
      <c r="J1268" s="18">
        <f>IFERROR(__xludf.DUMMYFUNCTION("""COMPUTED_VALUE"""),17.0)</f>
        <v>17</v>
      </c>
      <c r="K1268" s="18">
        <f>IFERROR(__xludf.DUMMYFUNCTION("""COMPUTED_VALUE"""),13.0)</f>
        <v>13</v>
      </c>
      <c r="L1268" s="17">
        <f>IFERROR(__xludf.DUMMYFUNCTION("""COMPUTED_VALUE"""),3.174374246E9)</f>
        <v>3174374246</v>
      </c>
      <c r="M1268" s="17" t="str">
        <f>IFERROR(__xludf.DUMMYFUNCTION("""COMPUTED_VALUE"""),"#REF!")</f>
        <v>#REF!</v>
      </c>
      <c r="N1268" s="17"/>
      <c r="O1268" s="19" t="str">
        <f>IFERROR(__xludf.DUMMYFUNCTION("""COMPUTED_VALUE"""),"")</f>
        <v/>
      </c>
      <c r="P1268" s="17" t="b">
        <f>IFERROR(__xludf.DUMMYFUNCTION("""COMPUTED_VALUE"""),TRUE)</f>
        <v>1</v>
      </c>
      <c r="Q1268" s="20">
        <f>IFERROR(__xludf.DUMMYFUNCTION("""COMPUTED_VALUE"""),45036.703603368056)</f>
        <v>45036.7036</v>
      </c>
      <c r="R1268" s="22" t="str">
        <f>IFERROR(__xludf.DUMMYFUNCTION("""COMPUTED_VALUE"""),"")</f>
        <v/>
      </c>
    </row>
    <row r="1269">
      <c r="A1269" s="15">
        <f>IFERROR(__xludf.DUMMYFUNCTION("""COMPUTED_VALUE"""),45036.0)</f>
        <v>45036</v>
      </c>
      <c r="B1269" s="16" t="str">
        <f>IFERROR(__xludf.DUMMYFUNCTION("""COMPUTED_VALUE"""),"David Sanmartin Bello")</f>
        <v>David Sanmartin Bello</v>
      </c>
      <c r="C1269" s="15" t="str">
        <f>IFERROR(__xludf.DUMMYFUNCTION("""COMPUTED_VALUE"""),"CARTAGENA")</f>
        <v>CARTAGENA</v>
      </c>
      <c r="D1269" s="15" t="str">
        <f>IFERROR(__xludf.DUMMYFUNCTION("""COMPUTED_VALUE"""),"BOGOTÁ")</f>
        <v>BOGOTÁ</v>
      </c>
      <c r="E1269" s="15" t="str">
        <f>IFERROR(__xludf.DUMMYFUNCTION("""COMPUTED_VALUE"""),"SISU PARTNERS SAS")</f>
        <v>SISU PARTNERS SAS</v>
      </c>
      <c r="F1269" s="17" t="str">
        <f>IFERROR(__xludf.DUMMYFUNCTION("""COMPUTED_VALUE"""),"Carrera 7 no. 38-48 local 3 / Local Mary &amp; George")</f>
        <v>Carrera 7 no. 38-48 local 3 / Local Mary &amp; George</v>
      </c>
      <c r="G1269" s="15" t="str">
        <f>IFERROR(__xludf.DUMMYFUNCTION("""COMPUTED_VALUE"""),"Carolyne Bailey")</f>
        <v>Carolyne Bailey</v>
      </c>
      <c r="H1269" s="16">
        <f>IFERROR(__xludf.DUMMYFUNCTION("""COMPUTED_VALUE"""),9876.0)</f>
        <v>9876</v>
      </c>
      <c r="I1269" s="18" t="str">
        <f>IFERROR(__xludf.DUMMYFUNCTION("""COMPUTED_VALUE"""),"52.5")</f>
        <v>52.5</v>
      </c>
      <c r="J1269" s="18">
        <f>IFERROR(__xludf.DUMMYFUNCTION("""COMPUTED_VALUE"""),45.0)</f>
        <v>45</v>
      </c>
      <c r="K1269" s="18">
        <f>IFERROR(__xludf.DUMMYFUNCTION("""COMPUTED_VALUE"""),55.0)</f>
        <v>55</v>
      </c>
      <c r="L1269" s="17">
        <f>IFERROR(__xludf.DUMMYFUNCTION("""COMPUTED_VALUE"""),3.105510381E9)</f>
        <v>3105510381</v>
      </c>
      <c r="M1269" s="17" t="str">
        <f>IFERROR(__xludf.DUMMYFUNCTION("""COMPUTED_VALUE"""),"#REF!")</f>
        <v>#REF!</v>
      </c>
      <c r="N1269" s="17"/>
      <c r="O1269" s="19" t="str">
        <f>IFERROR(__xludf.DUMMYFUNCTION("""COMPUTED_VALUE"""),"")</f>
        <v/>
      </c>
      <c r="P1269" s="17" t="b">
        <f>IFERROR(__xludf.DUMMYFUNCTION("""COMPUTED_VALUE"""),TRUE)</f>
        <v>1</v>
      </c>
      <c r="Q1269" s="20">
        <f>IFERROR(__xludf.DUMMYFUNCTION("""COMPUTED_VALUE"""),45036.68058403935)</f>
        <v>45036.68058</v>
      </c>
      <c r="R1269" s="22" t="str">
        <f>IFERROR(__xludf.DUMMYFUNCTION("""COMPUTED_VALUE"""),"")</f>
        <v/>
      </c>
    </row>
    <row r="1270">
      <c r="A1270" s="15">
        <f>IFERROR(__xludf.DUMMYFUNCTION("""COMPUTED_VALUE"""),45036.0)</f>
        <v>45036</v>
      </c>
      <c r="B1270" s="16" t="str">
        <f>IFERROR(__xludf.DUMMYFUNCTION("""COMPUTED_VALUE"""),"David Sanmartin Bello")</f>
        <v>David Sanmartin Bello</v>
      </c>
      <c r="C1270" s="15" t="str">
        <f>IFERROR(__xludf.DUMMYFUNCTION("""COMPUTED_VALUE"""),"CARTAGENA")</f>
        <v>CARTAGENA</v>
      </c>
      <c r="D1270" s="15" t="str">
        <f>IFERROR(__xludf.DUMMYFUNCTION("""COMPUTED_VALUE"""),"BOGOTÁ")</f>
        <v>BOGOTÁ</v>
      </c>
      <c r="E1270" s="15" t="str">
        <f>IFERROR(__xludf.DUMMYFUNCTION("""COMPUTED_VALUE"""),"Top Spun")</f>
        <v>Top Spun</v>
      </c>
      <c r="F1270" s="17" t="str">
        <f>IFERROR(__xludf.DUMMYFUNCTION("""COMPUTED_VALUE"""),"CRA 4 # 5 - 105  / APTO 1602 EDIFICIO ACUARELA  / BOCAGRANDE")</f>
        <v>CRA 4 # 5 - 105  / APTO 1602 EDIFICIO ACUARELA  / BOCAGRANDE</v>
      </c>
      <c r="G1270" s="15" t="str">
        <f>IFERROR(__xludf.DUMMYFUNCTION("""COMPUTED_VALUE"""),"Jacqueline farah")</f>
        <v>Jacqueline farah</v>
      </c>
      <c r="H1270" s="16">
        <f>IFERROR(__xludf.DUMMYFUNCTION("""COMPUTED_VALUE"""),9911.0)</f>
        <v>9911</v>
      </c>
      <c r="I1270" s="18">
        <f>IFERROR(__xludf.DUMMYFUNCTION("""COMPUTED_VALUE"""),20.0)</f>
        <v>20</v>
      </c>
      <c r="J1270" s="18">
        <f>IFERROR(__xludf.DUMMYFUNCTION("""COMPUTED_VALUE"""),10.0)</f>
        <v>10</v>
      </c>
      <c r="K1270" s="18">
        <f>IFERROR(__xludf.DUMMYFUNCTION("""COMPUTED_VALUE"""),40.0)</f>
        <v>40</v>
      </c>
      <c r="L1270" s="17">
        <f>IFERROR(__xludf.DUMMYFUNCTION("""COMPUTED_VALUE"""),3.203337464E9)</f>
        <v>3203337464</v>
      </c>
      <c r="M1270" s="17" t="str">
        <f>IFERROR(__xludf.DUMMYFUNCTION("""COMPUTED_VALUE"""),"#REF!")</f>
        <v>#REF!</v>
      </c>
      <c r="N1270" s="17"/>
      <c r="O1270" s="19" t="str">
        <f>IFERROR(__xludf.DUMMYFUNCTION("""COMPUTED_VALUE"""),"")</f>
        <v/>
      </c>
      <c r="P1270" s="17" t="b">
        <f>IFERROR(__xludf.DUMMYFUNCTION("""COMPUTED_VALUE"""),TRUE)</f>
        <v>1</v>
      </c>
      <c r="Q1270" s="20">
        <f>IFERROR(__xludf.DUMMYFUNCTION("""COMPUTED_VALUE"""),45036.49537628472)</f>
        <v>45036.49538</v>
      </c>
      <c r="R1270" s="22" t="str">
        <f>IFERROR(__xludf.DUMMYFUNCTION("""COMPUTED_VALUE"""),"")</f>
        <v/>
      </c>
    </row>
    <row r="1271">
      <c r="A1271" s="15">
        <f>IFERROR(__xludf.DUMMYFUNCTION("""COMPUTED_VALUE"""),45036.0)</f>
        <v>45036</v>
      </c>
      <c r="B1271" s="16" t="str">
        <f>IFERROR(__xludf.DUMMYFUNCTION("""COMPUTED_VALUE"""),"David Sanmartin Bello")</f>
        <v>David Sanmartin Bello</v>
      </c>
      <c r="C1271" s="15" t="str">
        <f>IFERROR(__xludf.DUMMYFUNCTION("""COMPUTED_VALUE"""),"CARTAGENA")</f>
        <v>CARTAGENA</v>
      </c>
      <c r="D1271" s="15" t="str">
        <f>IFERROR(__xludf.DUMMYFUNCTION("""COMPUTED_VALUE"""),"BOGOTÁ")</f>
        <v>BOGOTÁ</v>
      </c>
      <c r="E1271" s="15" t="str">
        <f>IFERROR(__xludf.DUMMYFUNCTION("""COMPUTED_VALUE"""),"Top Spun")</f>
        <v>Top Spun</v>
      </c>
      <c r="F1271" s="17" t="str">
        <f>IFERROR(__xludf.DUMMYFUNCTION("""COMPUTED_VALUE"""),"Km 8 serena del mar / Conjunto cavana. Torre 10 apto 301  / Cartagena de Indias")</f>
        <v>Km 8 serena del mar / Conjunto cavana. Torre 10 apto 301  / Cartagena de Indias</v>
      </c>
      <c r="G1271" s="15" t="str">
        <f>IFERROR(__xludf.DUMMYFUNCTION("""COMPUTED_VALUE"""),"Laura Melón")</f>
        <v>Laura Melón</v>
      </c>
      <c r="H1271" s="16">
        <f>IFERROR(__xludf.DUMMYFUNCTION("""COMPUTED_VALUE"""),9910.0)</f>
        <v>9910</v>
      </c>
      <c r="I1271" s="18">
        <f>IFERROR(__xludf.DUMMYFUNCTION("""COMPUTED_VALUE"""),20.0)</f>
        <v>20</v>
      </c>
      <c r="J1271" s="18">
        <f>IFERROR(__xludf.DUMMYFUNCTION("""COMPUTED_VALUE"""),10.0)</f>
        <v>10</v>
      </c>
      <c r="K1271" s="18">
        <f>IFERROR(__xludf.DUMMYFUNCTION("""COMPUTED_VALUE"""),40.0)</f>
        <v>40</v>
      </c>
      <c r="L1271" s="17">
        <f>IFERROR(__xludf.DUMMYFUNCTION("""COMPUTED_VALUE"""),3.002021173E9)</f>
        <v>3002021173</v>
      </c>
      <c r="M1271" s="17" t="str">
        <f>IFERROR(__xludf.DUMMYFUNCTION("""COMPUTED_VALUE"""),"#REF!")</f>
        <v>#REF!</v>
      </c>
      <c r="N1271" s="17"/>
      <c r="O1271" s="19" t="str">
        <f>IFERROR(__xludf.DUMMYFUNCTION("""COMPUTED_VALUE"""),"")</f>
        <v/>
      </c>
      <c r="P1271" s="17" t="b">
        <f>IFERROR(__xludf.DUMMYFUNCTION("""COMPUTED_VALUE"""),TRUE)</f>
        <v>1</v>
      </c>
      <c r="Q1271" s="20">
        <f>IFERROR(__xludf.DUMMYFUNCTION("""COMPUTED_VALUE"""),45036.49518611111)</f>
        <v>45036.49519</v>
      </c>
      <c r="R1271" s="22" t="str">
        <f>IFERROR(__xludf.DUMMYFUNCTION("""COMPUTED_VALUE"""),"")</f>
        <v/>
      </c>
    </row>
    <row r="1272">
      <c r="A1272" s="15">
        <f>IFERROR(__xludf.DUMMYFUNCTION("""COMPUTED_VALUE"""),45036.0)</f>
        <v>45036</v>
      </c>
      <c r="B1272" s="16" t="str">
        <f>IFERROR(__xludf.DUMMYFUNCTION("""COMPUTED_VALUE"""),"David Sanmartin Bello")</f>
        <v>David Sanmartin Bello</v>
      </c>
      <c r="C1272" s="15" t="str">
        <f>IFERROR(__xludf.DUMMYFUNCTION("""COMPUTED_VALUE"""),"CARTAGENA")</f>
        <v>CARTAGENA</v>
      </c>
      <c r="D1272" s="15" t="str">
        <f>IFERROR(__xludf.DUMMYFUNCTION("""COMPUTED_VALUE"""),"MEDELLÍN")</f>
        <v>MEDELLÍN</v>
      </c>
      <c r="E1272" s="15" t="str">
        <f>IFERROR(__xludf.DUMMYFUNCTION("""COMPUTED_VALUE"""),"Puro Verde")</f>
        <v>Puro Verde</v>
      </c>
      <c r="F1272" s="17" t="str">
        <f>IFERROR(__xludf.DUMMYFUNCTION("""COMPUTED_VALUE"""),"CRA 74 # 31F - 76 / APTO 2101A. / EDIFICIO PORTAL DE LOS ABETOS")</f>
        <v>CRA 74 # 31F - 76 / APTO 2101A. / EDIFICIO PORTAL DE LOS ABETOS</v>
      </c>
      <c r="G1272" s="15" t="str">
        <f>IFERROR(__xludf.DUMMYFUNCTION("""COMPUTED_VALUE"""),"NORA TORRES")</f>
        <v>NORA TORRES</v>
      </c>
      <c r="H1272" s="16">
        <f>IFERROR(__xludf.DUMMYFUNCTION("""COMPUTED_VALUE"""),9810.0)</f>
        <v>9810</v>
      </c>
      <c r="I1272" s="18">
        <f>IFERROR(__xludf.DUMMYFUNCTION("""COMPUTED_VALUE"""),12.0)</f>
        <v>12</v>
      </c>
      <c r="J1272" s="18">
        <f>IFERROR(__xludf.DUMMYFUNCTION("""COMPUTED_VALUE"""),18.0)</f>
        <v>18</v>
      </c>
      <c r="K1272" s="18">
        <f>IFERROR(__xludf.DUMMYFUNCTION("""COMPUTED_VALUE"""),45.0)</f>
        <v>45</v>
      </c>
      <c r="L1272" s="17">
        <f>IFERROR(__xludf.DUMMYFUNCTION("""COMPUTED_VALUE"""),3.017391313E9)</f>
        <v>3017391313</v>
      </c>
      <c r="M1272" s="17" t="str">
        <f>IFERROR(__xludf.DUMMYFUNCTION("""COMPUTED_VALUE"""),"#REF!")</f>
        <v>#REF!</v>
      </c>
      <c r="N1272" s="17"/>
      <c r="O1272" s="19" t="str">
        <f>IFERROR(__xludf.DUMMYFUNCTION("""COMPUTED_VALUE"""),"")</f>
        <v/>
      </c>
      <c r="P1272" s="17" t="b">
        <f>IFERROR(__xludf.DUMMYFUNCTION("""COMPUTED_VALUE"""),TRUE)</f>
        <v>1</v>
      </c>
      <c r="Q1272" s="20">
        <f>IFERROR(__xludf.DUMMYFUNCTION("""COMPUTED_VALUE"""),45036.68049157408)</f>
        <v>45036.68049</v>
      </c>
      <c r="R1272" s="22" t="str">
        <f>IFERROR(__xludf.DUMMYFUNCTION("""COMPUTED_VALUE"""),"")</f>
        <v/>
      </c>
    </row>
    <row r="1273">
      <c r="A1273" s="17" t="str">
        <f>IFERROR(__xludf.DUMMYFUNCTION("""COMPUTED_VALUE"""),"")</f>
        <v/>
      </c>
      <c r="B1273" s="17" t="str">
        <f>IFERROR(__xludf.DUMMYFUNCTION("""COMPUTED_VALUE"""),"")</f>
        <v/>
      </c>
      <c r="C1273" s="17" t="str">
        <f>IFERROR(__xludf.DUMMYFUNCTION("""COMPUTED_VALUE"""),"")</f>
        <v/>
      </c>
      <c r="D1273" s="17" t="str">
        <f>IFERROR(__xludf.DUMMYFUNCTION("""COMPUTED_VALUE"""),"")</f>
        <v/>
      </c>
      <c r="E1273" s="17" t="str">
        <f>IFERROR(__xludf.DUMMYFUNCTION("""COMPUTED_VALUE"""),"")</f>
        <v/>
      </c>
      <c r="F1273" s="17" t="str">
        <f>IFERROR(__xludf.DUMMYFUNCTION("""COMPUTED_VALUE"""),"")</f>
        <v/>
      </c>
      <c r="G1273" s="17" t="str">
        <f>IFERROR(__xludf.DUMMYFUNCTION("""COMPUTED_VALUE"""),"")</f>
        <v/>
      </c>
      <c r="H1273" s="17" t="str">
        <f>IFERROR(__xludf.DUMMYFUNCTION("""COMPUTED_VALUE"""),"")</f>
        <v/>
      </c>
      <c r="I1273" s="17" t="str">
        <f>IFERROR(__xludf.DUMMYFUNCTION("""COMPUTED_VALUE"""),"")</f>
        <v/>
      </c>
      <c r="J1273" s="17" t="str">
        <f>IFERROR(__xludf.DUMMYFUNCTION("""COMPUTED_VALUE"""),"")</f>
        <v/>
      </c>
      <c r="K1273" s="17" t="str">
        <f>IFERROR(__xludf.DUMMYFUNCTION("""COMPUTED_VALUE"""),"")</f>
        <v/>
      </c>
      <c r="L1273" s="17" t="str">
        <f>IFERROR(__xludf.DUMMYFUNCTION("""COMPUTED_VALUE"""),"")</f>
        <v/>
      </c>
      <c r="M1273" s="17" t="str">
        <f>IFERROR(__xludf.DUMMYFUNCTION("""COMPUTED_VALUE"""),"")</f>
        <v/>
      </c>
      <c r="N1273" s="17" t="str">
        <f>IFERROR(__xludf.DUMMYFUNCTION("""COMPUTED_VALUE"""),"")</f>
        <v/>
      </c>
      <c r="O1273" s="17" t="str">
        <f>IFERROR(__xludf.DUMMYFUNCTION("""COMPUTED_VALUE"""),"")</f>
        <v/>
      </c>
      <c r="P1273" s="17" t="str">
        <f>IFERROR(__xludf.DUMMYFUNCTION("""COMPUTED_VALUE"""),"")</f>
        <v/>
      </c>
      <c r="Q1273" s="17" t="str">
        <f>IFERROR(__xludf.DUMMYFUNCTION("""COMPUTED_VALUE"""),"")</f>
        <v/>
      </c>
      <c r="R1273" s="17" t="str">
        <f>IFERROR(__xludf.DUMMYFUNCTION("""COMPUTED_VALUE"""),"")</f>
        <v/>
      </c>
    </row>
    <row r="1274">
      <c r="A1274" s="15">
        <f>IFERROR(__xludf.DUMMYFUNCTION("""COMPUTED_VALUE"""),45036.0)</f>
        <v>45036</v>
      </c>
      <c r="B1274" s="16" t="str">
        <f>IFERROR(__xludf.DUMMYFUNCTION("""COMPUTED_VALUE"""),"Envia")</f>
        <v>Envia</v>
      </c>
      <c r="C1274" s="15" t="str">
        <f>IFERROR(__xludf.DUMMYFUNCTION("""COMPUTED_VALUE"""),"BARRANQUILLA")</f>
        <v>BARRANQUILLA</v>
      </c>
      <c r="D1274" s="15" t="str">
        <f>IFERROR(__xludf.DUMMYFUNCTION("""COMPUTED_VALUE"""),"BOGOTÁ")</f>
        <v>BOGOTÁ</v>
      </c>
      <c r="E1274" s="15" t="str">
        <f>IFERROR(__xludf.DUMMYFUNCTION("""COMPUTED_VALUE"""),"Ins. Alimento Vital")</f>
        <v>Ins. Alimento Vital</v>
      </c>
      <c r="F1274" s="17" t="str">
        <f>IFERROR(__xludf.DUMMYFUNCTION("""COMPUTED_VALUE"""),"CL 98 42 G 61 / TR 1 AP 104 CONJUNTO MIRADOR DEL MAR 1 / CONJUNTO MIRADOR DEL MAR 1")</f>
        <v>CL 98 42 G 61 / TR 1 AP 104 CONJUNTO MIRADOR DEL MAR 1 / CONJUNTO MIRADOR DEL MAR 1</v>
      </c>
      <c r="G1274" s="15" t="str">
        <f>IFERROR(__xludf.DUMMYFUNCTION("""COMPUTED_VALUE"""),"JENNY JULIETA NAVARRO GOMEZ")</f>
        <v>JENNY JULIETA NAVARRO GOMEZ</v>
      </c>
      <c r="H1274" s="16">
        <f>IFERROR(__xludf.DUMMYFUNCTION("""COMPUTED_VALUE"""),9925.0)</f>
        <v>9925</v>
      </c>
      <c r="I1274" s="18">
        <f>IFERROR(__xludf.DUMMYFUNCTION("""COMPUTED_VALUE"""),100.0)</f>
        <v>100</v>
      </c>
      <c r="J1274" s="18">
        <f>IFERROR(__xludf.DUMMYFUNCTION("""COMPUTED_VALUE"""),10.0)</f>
        <v>10</v>
      </c>
      <c r="K1274" s="18">
        <f>IFERROR(__xludf.DUMMYFUNCTION("""COMPUTED_VALUE"""),20.0)</f>
        <v>20</v>
      </c>
      <c r="L1274" s="17">
        <f>IFERROR(__xludf.DUMMYFUNCTION("""COMPUTED_VALUE"""),3.234647151E9)</f>
        <v>3234647151</v>
      </c>
      <c r="M1274" s="17" t="str">
        <f>IFERROR(__xludf.DUMMYFUNCTION("""COMPUTED_VALUE"""),"#REF!")</f>
        <v>#REF!</v>
      </c>
      <c r="N1274" s="17"/>
      <c r="O1274" s="19" t="str">
        <f>IFERROR(__xludf.DUMMYFUNCTION("""COMPUTED_VALUE"""),"")</f>
        <v/>
      </c>
      <c r="P1274" s="17" t="b">
        <f>IFERROR(__xludf.DUMMYFUNCTION("""COMPUTED_VALUE"""),TRUE)</f>
        <v>1</v>
      </c>
      <c r="Q1274" s="20">
        <f>IFERROR(__xludf.DUMMYFUNCTION("""COMPUTED_VALUE"""),45036.68069146991)</f>
        <v>45036.68069</v>
      </c>
      <c r="R1274" s="22" t="str">
        <f>IFERROR(__xludf.DUMMYFUNCTION("""COMPUTED_VALUE"""),"")</f>
        <v/>
      </c>
    </row>
    <row r="1275">
      <c r="A1275" s="15">
        <f>IFERROR(__xludf.DUMMYFUNCTION("""COMPUTED_VALUE"""),45036.0)</f>
        <v>45036</v>
      </c>
      <c r="B1275" s="16" t="str">
        <f>IFERROR(__xludf.DUMMYFUNCTION("""COMPUTED_VALUE"""),"Envia")</f>
        <v>Envia</v>
      </c>
      <c r="C1275" s="15" t="str">
        <f>IFERROR(__xludf.DUMMYFUNCTION("""COMPUTED_VALUE"""),"CARTAGENA")</f>
        <v>CARTAGENA</v>
      </c>
      <c r="D1275" s="15" t="str">
        <f>IFERROR(__xludf.DUMMYFUNCTION("""COMPUTED_VALUE"""),"BOGOTÁ")</f>
        <v>BOGOTÁ</v>
      </c>
      <c r="E1275" s="15" t="str">
        <f>IFERROR(__xludf.DUMMYFUNCTION("""COMPUTED_VALUE"""),"Evamazzita")</f>
        <v>Evamazzita</v>
      </c>
      <c r="F1275" s="17" t="str">
        <f>IFERROR(__xludf.DUMMYFUNCTION("""COMPUTED_VALUE"""),"barrio los alpes  / edificio montebianco torre 3 b apto 916 / barrio los alpes")</f>
        <v>barrio los alpes  / edificio montebianco torre 3 b apto 916 / barrio los alpes</v>
      </c>
      <c r="G1275" s="15" t="str">
        <f>IFERROR(__xludf.DUMMYFUNCTION("""COMPUTED_VALUE"""),"LELYS THORRENS")</f>
        <v>LELYS THORRENS</v>
      </c>
      <c r="H1275" s="16">
        <f>IFERROR(__xludf.DUMMYFUNCTION("""COMPUTED_VALUE"""),9903.0)</f>
        <v>9903</v>
      </c>
      <c r="I1275" s="18">
        <f>IFERROR(__xludf.DUMMYFUNCTION("""COMPUTED_VALUE"""),10.0)</f>
        <v>10</v>
      </c>
      <c r="J1275" s="18">
        <f>IFERROR(__xludf.DUMMYFUNCTION("""COMPUTED_VALUE"""),18.0)</f>
        <v>18</v>
      </c>
      <c r="K1275" s="18">
        <f>IFERROR(__xludf.DUMMYFUNCTION("""COMPUTED_VALUE"""),22.0)</f>
        <v>22</v>
      </c>
      <c r="L1275" s="17">
        <f>IFERROR(__xludf.DUMMYFUNCTION("""COMPUTED_VALUE"""),3.005251631E9)</f>
        <v>3005251631</v>
      </c>
      <c r="M1275" s="17" t="str">
        <f>IFERROR(__xludf.DUMMYFUNCTION("""COMPUTED_VALUE"""),"#REF!")</f>
        <v>#REF!</v>
      </c>
      <c r="N1275" s="17"/>
      <c r="O1275" s="19" t="str">
        <f>IFERROR(__xludf.DUMMYFUNCTION("""COMPUTED_VALUE"""),"")</f>
        <v/>
      </c>
      <c r="P1275" s="17" t="b">
        <f>IFERROR(__xludf.DUMMYFUNCTION("""COMPUTED_VALUE"""),TRUE)</f>
        <v>1</v>
      </c>
      <c r="Q1275" s="20">
        <f>IFERROR(__xludf.DUMMYFUNCTION("""COMPUTED_VALUE"""),45036.495088738426)</f>
        <v>45036.49509</v>
      </c>
      <c r="R1275" s="22" t="str">
        <f>IFERROR(__xludf.DUMMYFUNCTION("""COMPUTED_VALUE"""),"")</f>
        <v/>
      </c>
    </row>
    <row r="1276">
      <c r="A1276" s="15">
        <f>IFERROR(__xludf.DUMMYFUNCTION("""COMPUTED_VALUE"""),45036.0)</f>
        <v>45036</v>
      </c>
      <c r="B1276" s="16" t="str">
        <f>IFERROR(__xludf.DUMMYFUNCTION("""COMPUTED_VALUE"""),"Envia")</f>
        <v>Envia</v>
      </c>
      <c r="C1276" s="15" t="str">
        <f>IFERROR(__xludf.DUMMYFUNCTION("""COMPUTED_VALUE"""),"CARTAGENA")</f>
        <v>CARTAGENA</v>
      </c>
      <c r="D1276" s="15" t="str">
        <f>IFERROR(__xludf.DUMMYFUNCTION("""COMPUTED_VALUE"""),"MEDELLÍN")</f>
        <v>MEDELLÍN</v>
      </c>
      <c r="E1276" s="15" t="str">
        <f>IFERROR(__xludf.DUMMYFUNCTION("""COMPUTED_VALUE"""),"Baby Chef")</f>
        <v>Baby Chef</v>
      </c>
      <c r="F1276" s="17" t="str">
        <f>IFERROR(__xludf.DUMMYFUNCTION("""COMPUTED_VALUE"""),"Cra 4 #8-175  / Cartagena de Indias / Apto 601 Edificio Parke 475 / Barrio Bocagrande")</f>
        <v>Cra 4 #8-175  / Cartagena de Indias / Apto 601 Edificio Parke 475 / Barrio Bocagrande</v>
      </c>
      <c r="G1276" s="15" t="str">
        <f>IFERROR(__xludf.DUMMYFUNCTION("""COMPUTED_VALUE"""),"DANIELA VERGARA")</f>
        <v>DANIELA VERGARA</v>
      </c>
      <c r="H1276" s="16">
        <f>IFERROR(__xludf.DUMMYFUNCTION("""COMPUTED_VALUE"""),9891.0)</f>
        <v>9891</v>
      </c>
      <c r="I1276" s="18">
        <f>IFERROR(__xludf.DUMMYFUNCTION("""COMPUTED_VALUE"""),8.0)</f>
        <v>8</v>
      </c>
      <c r="J1276" s="18">
        <f>IFERROR(__xludf.DUMMYFUNCTION("""COMPUTED_VALUE"""),16.0)</f>
        <v>16</v>
      </c>
      <c r="K1276" s="18">
        <f>IFERROR(__xludf.DUMMYFUNCTION("""COMPUTED_VALUE"""),20.0)</f>
        <v>20</v>
      </c>
      <c r="L1276" s="17">
        <f>IFERROR(__xludf.DUMMYFUNCTION("""COMPUTED_VALUE"""),3.135736709E9)</f>
        <v>3135736709</v>
      </c>
      <c r="M1276" s="17" t="str">
        <f>IFERROR(__xludf.DUMMYFUNCTION("""COMPUTED_VALUE"""),"#REF!")</f>
        <v>#REF!</v>
      </c>
      <c r="N1276" s="17"/>
      <c r="O1276" s="19" t="str">
        <f>IFERROR(__xludf.DUMMYFUNCTION("""COMPUTED_VALUE"""),"")</f>
        <v/>
      </c>
      <c r="P1276" s="17" t="b">
        <f>IFERROR(__xludf.DUMMYFUNCTION("""COMPUTED_VALUE"""),FALSE)</f>
        <v>0</v>
      </c>
      <c r="Q1276" s="20" t="str">
        <f>IFERROR(__xludf.DUMMYFUNCTION("""COMPUTED_VALUE"""),"")</f>
        <v/>
      </c>
      <c r="R1276" s="22" t="str">
        <f>IFERROR(__xludf.DUMMYFUNCTION("""COMPUTED_VALUE"""),"")</f>
        <v/>
      </c>
    </row>
    <row r="1277">
      <c r="A1277" s="15">
        <f>IFERROR(__xludf.DUMMYFUNCTION("""COMPUTED_VALUE"""),45036.0)</f>
        <v>45036</v>
      </c>
      <c r="B1277" s="16" t="str">
        <f>IFERROR(__xludf.DUMMYFUNCTION("""COMPUTED_VALUE"""),"Envia")</f>
        <v>Envia</v>
      </c>
      <c r="C1277" s="15" t="str">
        <f>IFERROR(__xludf.DUMMYFUNCTION("""COMPUTED_VALUE"""),"CARTAGENA")</f>
        <v>CARTAGENA</v>
      </c>
      <c r="D1277" s="15" t="str">
        <f>IFERROR(__xludf.DUMMYFUNCTION("""COMPUTED_VALUE"""),"MEDELLÍN")</f>
        <v>MEDELLÍN</v>
      </c>
      <c r="E1277" s="15" t="str">
        <f>IFERROR(__xludf.DUMMYFUNCTION("""COMPUTED_VALUE"""),"Rambla")</f>
        <v>Rambla</v>
      </c>
      <c r="F1277" s="17" t="str">
        <f>IFERROR(__xludf.DUMMYFUNCTION("""COMPUTED_VALUE"""),"CALLE 6 #20 CC LA ESTANCIA LC 1 10 BRR  CASTILLO GRANDE  / na / na")</f>
        <v>CALLE 6 #20 CC LA ESTANCIA LC 1 10 BRR  CASTILLO GRANDE  / na / na</v>
      </c>
      <c r="G1277" s="15" t="str">
        <f>IFERROR(__xludf.DUMMYFUNCTION("""COMPUTED_VALUE"""),"cocofit")</f>
        <v>cocofit</v>
      </c>
      <c r="H1277" s="16">
        <f>IFERROR(__xludf.DUMMYFUNCTION("""COMPUTED_VALUE"""),9914.0)</f>
        <v>9914</v>
      </c>
      <c r="I1277" s="18">
        <f>IFERROR(__xludf.DUMMYFUNCTION("""COMPUTED_VALUE"""),43.0)</f>
        <v>43</v>
      </c>
      <c r="J1277" s="18">
        <f>IFERROR(__xludf.DUMMYFUNCTION("""COMPUTED_VALUE"""),45.0)</f>
        <v>45</v>
      </c>
      <c r="K1277" s="18">
        <f>IFERROR(__xludf.DUMMYFUNCTION("""COMPUTED_VALUE"""),48.0)</f>
        <v>48</v>
      </c>
      <c r="L1277" s="17">
        <f>IFERROR(__xludf.DUMMYFUNCTION("""COMPUTED_VALUE"""),3.135781119E9)</f>
        <v>3135781119</v>
      </c>
      <c r="M1277" s="17" t="str">
        <f>IFERROR(__xludf.DUMMYFUNCTION("""COMPUTED_VALUE"""),"#REF!")</f>
        <v>#REF!</v>
      </c>
      <c r="N1277" s="17"/>
      <c r="O1277" s="19" t="str">
        <f>IFERROR(__xludf.DUMMYFUNCTION("""COMPUTED_VALUE"""),"")</f>
        <v/>
      </c>
      <c r="P1277" s="17" t="b">
        <f>IFERROR(__xludf.DUMMYFUNCTION("""COMPUTED_VALUE"""),FALSE)</f>
        <v>0</v>
      </c>
      <c r="Q1277" s="20" t="str">
        <f>IFERROR(__xludf.DUMMYFUNCTION("""COMPUTED_VALUE"""),"")</f>
        <v/>
      </c>
      <c r="R1277" s="22" t="str">
        <f>IFERROR(__xludf.DUMMYFUNCTION("""COMPUTED_VALUE"""),"")</f>
        <v/>
      </c>
    </row>
    <row r="1278">
      <c r="A1278" s="15">
        <f>IFERROR(__xludf.DUMMYFUNCTION("""COMPUTED_VALUE"""),45036.0)</f>
        <v>45036</v>
      </c>
      <c r="B1278" s="16" t="str">
        <f>IFERROR(__xludf.DUMMYFUNCTION("""COMPUTED_VALUE"""),"Envia")</f>
        <v>Envia</v>
      </c>
      <c r="C1278" s="15" t="str">
        <f>IFERROR(__xludf.DUMMYFUNCTION("""COMPUTED_VALUE"""),"CARTAGENA")</f>
        <v>CARTAGENA</v>
      </c>
      <c r="D1278" s="15" t="str">
        <f>IFERROR(__xludf.DUMMYFUNCTION("""COMPUTED_VALUE"""),"MEDELLÍN")</f>
        <v>MEDELLÍN</v>
      </c>
      <c r="E1278" s="15" t="str">
        <f>IFERROR(__xludf.DUMMYFUNCTION("""COMPUTED_VALUE"""),"Rambla")</f>
        <v>Rambla</v>
      </c>
      <c r="F1278" s="17" t="str">
        <f>IFERROR(__xludf.DUMMYFUNCTION("""COMPUTED_VALUE"""),"CRA 12  5A-09 Apto 2101 Edificio Ponce de León Cartagena / na / na")</f>
        <v>CRA 12  5A-09 Apto 2101 Edificio Ponce de León Cartagena / na / na</v>
      </c>
      <c r="G1278" s="15" t="str">
        <f>IFERROR(__xludf.DUMMYFUNCTION("""COMPUTED_VALUE"""),"Guadalupe Yidios G.")</f>
        <v>Guadalupe Yidios G.</v>
      </c>
      <c r="H1278" s="16">
        <f>IFERROR(__xludf.DUMMYFUNCTION("""COMPUTED_VALUE"""),9912.0)</f>
        <v>9912</v>
      </c>
      <c r="I1278" s="18">
        <f>IFERROR(__xludf.DUMMYFUNCTION("""COMPUTED_VALUE"""),22.0)</f>
        <v>22</v>
      </c>
      <c r="J1278" s="18">
        <f>IFERROR(__xludf.DUMMYFUNCTION("""COMPUTED_VALUE"""),25.0)</f>
        <v>25</v>
      </c>
      <c r="K1278" s="18">
        <f>IFERROR(__xludf.DUMMYFUNCTION("""COMPUTED_VALUE"""),28.0)</f>
        <v>28</v>
      </c>
      <c r="L1278" s="17">
        <f>IFERROR(__xludf.DUMMYFUNCTION("""COMPUTED_VALUE"""),3.157312839E9)</f>
        <v>3157312839</v>
      </c>
      <c r="M1278" s="17" t="str">
        <f>IFERROR(__xludf.DUMMYFUNCTION("""COMPUTED_VALUE"""),"#REF!")</f>
        <v>#REF!</v>
      </c>
      <c r="N1278" s="17"/>
      <c r="O1278" s="19" t="str">
        <f>IFERROR(__xludf.DUMMYFUNCTION("""COMPUTED_VALUE"""),"")</f>
        <v/>
      </c>
      <c r="P1278" s="17" t="b">
        <f>IFERROR(__xludf.DUMMYFUNCTION("""COMPUTED_VALUE"""),FALSE)</f>
        <v>0</v>
      </c>
      <c r="Q1278" s="20" t="str">
        <f>IFERROR(__xludf.DUMMYFUNCTION("""COMPUTED_VALUE"""),"")</f>
        <v/>
      </c>
      <c r="R1278" s="22" t="str">
        <f>IFERROR(__xludf.DUMMYFUNCTION("""COMPUTED_VALUE"""),"")</f>
        <v/>
      </c>
    </row>
    <row r="1279">
      <c r="A1279" s="15">
        <f>IFERROR(__xludf.DUMMYFUNCTION("""COMPUTED_VALUE"""),45036.0)</f>
        <v>45036</v>
      </c>
      <c r="B1279" s="16" t="str">
        <f>IFERROR(__xludf.DUMMYFUNCTION("""COMPUTED_VALUE"""),"Envia")</f>
        <v>Envia</v>
      </c>
      <c r="C1279" s="15" t="str">
        <f>IFERROR(__xludf.DUMMYFUNCTION("""COMPUTED_VALUE"""),"TULUÁ")</f>
        <v>TULUÁ</v>
      </c>
      <c r="D1279" s="15" t="str">
        <f>IFERROR(__xludf.DUMMYFUNCTION("""COMPUTED_VALUE"""),"BOGOTÁ")</f>
        <v>BOGOTÁ</v>
      </c>
      <c r="E1279" s="15" t="str">
        <f>IFERROR(__xludf.DUMMYFUNCTION("""COMPUTED_VALUE"""),"Evamazzita")</f>
        <v>Evamazzita</v>
      </c>
      <c r="F1279" s="17" t="str">
        <f>IFERROR(__xludf.DUMMYFUNCTION("""COMPUTED_VALUE"""),"Transversal 11 # 22-18.   / N/A / Barrio Chiminangos")</f>
        <v>Transversal 11 # 22-18.   / N/A / Barrio Chiminangos</v>
      </c>
      <c r="G1279" s="15" t="str">
        <f>IFERROR(__xludf.DUMMYFUNCTION("""COMPUTED_VALUE"""),"TANIA RUIZ HERNANDEZ")</f>
        <v>TANIA RUIZ HERNANDEZ</v>
      </c>
      <c r="H1279" s="16">
        <f>IFERROR(__xludf.DUMMYFUNCTION("""COMPUTED_VALUE"""),9941.0)</f>
        <v>9941</v>
      </c>
      <c r="I1279" s="18">
        <f>IFERROR(__xludf.DUMMYFUNCTION("""COMPUTED_VALUE"""),3.0)</f>
        <v>3</v>
      </c>
      <c r="J1279" s="18">
        <f>IFERROR(__xludf.DUMMYFUNCTION("""COMPUTED_VALUE"""),20.0)</f>
        <v>20</v>
      </c>
      <c r="K1279" s="18">
        <f>IFERROR(__xludf.DUMMYFUNCTION("""COMPUTED_VALUE"""),15.0)</f>
        <v>15</v>
      </c>
      <c r="L1279" s="17">
        <f>IFERROR(__xludf.DUMMYFUNCTION("""COMPUTED_VALUE"""),3.164319841E9)</f>
        <v>3164319841</v>
      </c>
      <c r="M1279" s="17" t="str">
        <f>IFERROR(__xludf.DUMMYFUNCTION("""COMPUTED_VALUE"""),"#REF!")</f>
        <v>#REF!</v>
      </c>
      <c r="N1279" s="17"/>
      <c r="O1279" s="19" t="str">
        <f>IFERROR(__xludf.DUMMYFUNCTION("""COMPUTED_VALUE"""),"")</f>
        <v/>
      </c>
      <c r="P1279" s="17" t="b">
        <f>IFERROR(__xludf.DUMMYFUNCTION("""COMPUTED_VALUE"""),TRUE)</f>
        <v>1</v>
      </c>
      <c r="Q1279" s="20">
        <f>IFERROR(__xludf.DUMMYFUNCTION("""COMPUTED_VALUE"""),45037.604620972226)</f>
        <v>45037.60462</v>
      </c>
      <c r="R1279" s="22" t="str">
        <f>IFERROR(__xludf.DUMMYFUNCTION("""COMPUTED_VALUE"""),"")</f>
        <v/>
      </c>
    </row>
    <row r="1280">
      <c r="A1280" s="15">
        <f>IFERROR(__xludf.DUMMYFUNCTION("""COMPUTED_VALUE"""),45036.0)</f>
        <v>45036</v>
      </c>
      <c r="B1280" s="16" t="str">
        <f>IFERROR(__xludf.DUMMYFUNCTION("""COMPUTED_VALUE"""),"Envia")</f>
        <v>Envia</v>
      </c>
      <c r="C1280" s="15" t="str">
        <f>IFERROR(__xludf.DUMMYFUNCTION("""COMPUTED_VALUE"""),"VILLAVICENCIO")</f>
        <v>VILLAVICENCIO</v>
      </c>
      <c r="D1280" s="15" t="str">
        <f>IFERROR(__xludf.DUMMYFUNCTION("""COMPUTED_VALUE"""),"BOGOTÁ")</f>
        <v>BOGOTÁ</v>
      </c>
      <c r="E1280" s="15" t="str">
        <f>IFERROR(__xludf.DUMMYFUNCTION("""COMPUTED_VALUE"""),"Asociacion Agropecuaria Juana Maria")</f>
        <v>Asociacion Agropecuaria Juana Maria</v>
      </c>
      <c r="F1280" s="17" t="str">
        <f>IFERROR(__xludf.DUMMYFUNCTION("""COMPUTED_VALUE"""),"CRA 12 # 37-18 CASA 80 CAMINO REAL ll")</f>
        <v>CRA 12 # 37-18 CASA 80 CAMINO REAL ll</v>
      </c>
      <c r="G1280" s="15" t="str">
        <f>IFERROR(__xludf.DUMMYFUNCTION("""COMPUTED_VALUE"""),"MARCELA LARA NIÑO")</f>
        <v>MARCELA LARA NIÑO</v>
      </c>
      <c r="H1280" s="16">
        <f>IFERROR(__xludf.DUMMYFUNCTION("""COMPUTED_VALUE"""),9743.0)</f>
        <v>9743</v>
      </c>
      <c r="I1280" s="18">
        <f>IFERROR(__xludf.DUMMYFUNCTION("""COMPUTED_VALUE"""),10.0)</f>
        <v>10</v>
      </c>
      <c r="J1280" s="18">
        <f>IFERROR(__xludf.DUMMYFUNCTION("""COMPUTED_VALUE"""),34.0)</f>
        <v>34</v>
      </c>
      <c r="K1280" s="18">
        <f>IFERROR(__xludf.DUMMYFUNCTION("""COMPUTED_VALUE"""),18.0)</f>
        <v>18</v>
      </c>
      <c r="L1280" s="17">
        <f>IFERROR(__xludf.DUMMYFUNCTION("""COMPUTED_VALUE"""),3.224685604E9)</f>
        <v>3224685604</v>
      </c>
      <c r="M1280" s="17" t="str">
        <f>IFERROR(__xludf.DUMMYFUNCTION("""COMPUTED_VALUE"""),"#REF!")</f>
        <v>#REF!</v>
      </c>
      <c r="N1280" s="17"/>
      <c r="O1280" s="19" t="str">
        <f>IFERROR(__xludf.DUMMYFUNCTION("""COMPUTED_VALUE"""),"")</f>
        <v/>
      </c>
      <c r="P1280" s="17" t="b">
        <f>IFERROR(__xludf.DUMMYFUNCTION("""COMPUTED_VALUE"""),FALSE)</f>
        <v>0</v>
      </c>
      <c r="Q1280" s="20" t="str">
        <f>IFERROR(__xludf.DUMMYFUNCTION("""COMPUTED_VALUE"""),"")</f>
        <v/>
      </c>
      <c r="R1280" s="22" t="str">
        <f>IFERROR(__xludf.DUMMYFUNCTION("""COMPUTED_VALUE"""),"")</f>
        <v/>
      </c>
    </row>
    <row r="1281">
      <c r="A1281" s="15">
        <f>IFERROR(__xludf.DUMMYFUNCTION("""COMPUTED_VALUE"""),45036.0)</f>
        <v>45036</v>
      </c>
      <c r="B1281" s="16" t="str">
        <f>IFERROR(__xludf.DUMMYFUNCTION("""COMPUTED_VALUE"""),"Envia")</f>
        <v>Envia</v>
      </c>
      <c r="C1281" s="15" t="str">
        <f>IFERROR(__xludf.DUMMYFUNCTION("""COMPUTED_VALUE"""),"VILLAVICENCIO")</f>
        <v>VILLAVICENCIO</v>
      </c>
      <c r="D1281" s="15" t="str">
        <f>IFERROR(__xludf.DUMMYFUNCTION("""COMPUTED_VALUE"""),"BOGOTÁ")</f>
        <v>BOGOTÁ</v>
      </c>
      <c r="E1281" s="15" t="str">
        <f>IFERROR(__xludf.DUMMYFUNCTION("""COMPUTED_VALUE"""),"Lunchy Kids")</f>
        <v>Lunchy Kids</v>
      </c>
      <c r="F1281" s="17" t="str">
        <f>IFERROR(__xludf.DUMMYFUNCTION("""COMPUTED_VALUE"""),"Calle 35 # 20A - 73 / Casa / Villavicencio")</f>
        <v>Calle 35 # 20A - 73 / Casa / Villavicencio</v>
      </c>
      <c r="G1281" s="15" t="str">
        <f>IFERROR(__xludf.DUMMYFUNCTION("""COMPUTED_VALUE"""),"Lina Ramirez")</f>
        <v>Lina Ramirez</v>
      </c>
      <c r="H1281" s="16">
        <f>IFERROR(__xludf.DUMMYFUNCTION("""COMPUTED_VALUE"""),9815.0)</f>
        <v>9815</v>
      </c>
      <c r="I1281" s="18">
        <f>IFERROR(__xludf.DUMMYFUNCTION("""COMPUTED_VALUE"""),16.0)</f>
        <v>16</v>
      </c>
      <c r="J1281" s="18">
        <f>IFERROR(__xludf.DUMMYFUNCTION("""COMPUTED_VALUE"""),30.0)</f>
        <v>30</v>
      </c>
      <c r="K1281" s="18">
        <f>IFERROR(__xludf.DUMMYFUNCTION("""COMPUTED_VALUE"""),9.0)</f>
        <v>9</v>
      </c>
      <c r="L1281" s="17">
        <f>IFERROR(__xludf.DUMMYFUNCTION("""COMPUTED_VALUE"""),3.157938508E9)</f>
        <v>3157938508</v>
      </c>
      <c r="M1281" s="17" t="str">
        <f>IFERROR(__xludf.DUMMYFUNCTION("""COMPUTED_VALUE"""),"#REF!")</f>
        <v>#REF!</v>
      </c>
      <c r="N1281" s="17"/>
      <c r="O1281" s="19" t="str">
        <f>IFERROR(__xludf.DUMMYFUNCTION("""COMPUTED_VALUE"""),"")</f>
        <v/>
      </c>
      <c r="P1281" s="17" t="b">
        <f>IFERROR(__xludf.DUMMYFUNCTION("""COMPUTED_VALUE"""),FALSE)</f>
        <v>0</v>
      </c>
      <c r="Q1281" s="20" t="str">
        <f>IFERROR(__xludf.DUMMYFUNCTION("""COMPUTED_VALUE"""),"")</f>
        <v/>
      </c>
      <c r="R1281" s="22" t="str">
        <f>IFERROR(__xludf.DUMMYFUNCTION("""COMPUTED_VALUE"""),"")</f>
        <v/>
      </c>
    </row>
    <row r="1282">
      <c r="A1282" s="17" t="str">
        <f>IFERROR(__xludf.DUMMYFUNCTION("""COMPUTED_VALUE"""),"")</f>
        <v/>
      </c>
      <c r="B1282" s="17" t="str">
        <f>IFERROR(__xludf.DUMMYFUNCTION("""COMPUTED_VALUE"""),"")</f>
        <v/>
      </c>
      <c r="C1282" s="17" t="str">
        <f>IFERROR(__xludf.DUMMYFUNCTION("""COMPUTED_VALUE"""),"")</f>
        <v/>
      </c>
      <c r="D1282" s="17" t="str">
        <f>IFERROR(__xludf.DUMMYFUNCTION("""COMPUTED_VALUE"""),"")</f>
        <v/>
      </c>
      <c r="E1282" s="17" t="str">
        <f>IFERROR(__xludf.DUMMYFUNCTION("""COMPUTED_VALUE"""),"")</f>
        <v/>
      </c>
      <c r="F1282" s="17" t="str">
        <f>IFERROR(__xludf.DUMMYFUNCTION("""COMPUTED_VALUE"""),"")</f>
        <v/>
      </c>
      <c r="G1282" s="17" t="str">
        <f>IFERROR(__xludf.DUMMYFUNCTION("""COMPUTED_VALUE"""),"")</f>
        <v/>
      </c>
      <c r="H1282" s="17" t="str">
        <f>IFERROR(__xludf.DUMMYFUNCTION("""COMPUTED_VALUE"""),"")</f>
        <v/>
      </c>
      <c r="I1282" s="17" t="str">
        <f>IFERROR(__xludf.DUMMYFUNCTION("""COMPUTED_VALUE"""),"")</f>
        <v/>
      </c>
      <c r="J1282" s="17" t="str">
        <f>IFERROR(__xludf.DUMMYFUNCTION("""COMPUTED_VALUE"""),"")</f>
        <v/>
      </c>
      <c r="K1282" s="17" t="str">
        <f>IFERROR(__xludf.DUMMYFUNCTION("""COMPUTED_VALUE"""),"")</f>
        <v/>
      </c>
      <c r="L1282" s="17" t="str">
        <f>IFERROR(__xludf.DUMMYFUNCTION("""COMPUTED_VALUE"""),"")</f>
        <v/>
      </c>
      <c r="M1282" s="17" t="str">
        <f>IFERROR(__xludf.DUMMYFUNCTION("""COMPUTED_VALUE"""),"")</f>
        <v/>
      </c>
      <c r="N1282" s="17" t="str">
        <f>IFERROR(__xludf.DUMMYFUNCTION("""COMPUTED_VALUE"""),"")</f>
        <v/>
      </c>
      <c r="O1282" s="17" t="str">
        <f>IFERROR(__xludf.DUMMYFUNCTION("""COMPUTED_VALUE"""),"")</f>
        <v/>
      </c>
      <c r="P1282" s="17" t="str">
        <f>IFERROR(__xludf.DUMMYFUNCTION("""COMPUTED_VALUE"""),"")</f>
        <v/>
      </c>
      <c r="Q1282" s="17" t="str">
        <f>IFERROR(__xludf.DUMMYFUNCTION("""COMPUTED_VALUE"""),"")</f>
        <v/>
      </c>
      <c r="R1282" s="17" t="str">
        <f>IFERROR(__xludf.DUMMYFUNCTION("""COMPUTED_VALUE"""),"")</f>
        <v/>
      </c>
    </row>
    <row r="1283">
      <c r="A1283" s="15">
        <f>IFERROR(__xludf.DUMMYFUNCTION("""COMPUTED_VALUE"""),45036.0)</f>
        <v>45036</v>
      </c>
      <c r="B1283" s="16" t="str">
        <f>IFERROR(__xludf.DUMMYFUNCTION("""COMPUTED_VALUE"""),"Johan Alexander Escobar Arroyo ")</f>
        <v>Johan Alexander Escobar Arroyo </v>
      </c>
      <c r="C1283" s="15" t="str">
        <f>IFERROR(__xludf.DUMMYFUNCTION("""COMPUTED_VALUE"""),"ARMENIA")</f>
        <v>ARMENIA</v>
      </c>
      <c r="D1283" s="15" t="str">
        <f>IFERROR(__xludf.DUMMYFUNCTION("""COMPUTED_VALUE"""),"MEDELLÍN")</f>
        <v>MEDELLÍN</v>
      </c>
      <c r="E1283" s="15" t="str">
        <f>IFERROR(__xludf.DUMMYFUNCTION("""COMPUTED_VALUE"""),"Todo Bufala")</f>
        <v>Todo Bufala</v>
      </c>
      <c r="F1283" s="17" t="str">
        <f>IFERROR(__xludf.DUMMYFUNCTION("""COMPUTED_VALUE"""),"Cr 5 26n-02 / Apto 304")</f>
        <v>Cr 5 26n-02 / Apto 304</v>
      </c>
      <c r="G1283" s="15" t="str">
        <f>IFERROR(__xludf.DUMMYFUNCTION("""COMPUTED_VALUE"""),"Yenny Franco")</f>
        <v>Yenny Franco</v>
      </c>
      <c r="H1283" s="16">
        <f>IFERROR(__xludf.DUMMYFUNCTION("""COMPUTED_VALUE"""),9957.0)</f>
        <v>9957</v>
      </c>
      <c r="I1283" s="18">
        <f>IFERROR(__xludf.DUMMYFUNCTION("""COMPUTED_VALUE"""),10.0)</f>
        <v>10</v>
      </c>
      <c r="J1283" s="18">
        <f>IFERROR(__xludf.DUMMYFUNCTION("""COMPUTED_VALUE"""),30.0)</f>
        <v>30</v>
      </c>
      <c r="K1283" s="18">
        <f>IFERROR(__xludf.DUMMYFUNCTION("""COMPUTED_VALUE"""),40.0)</f>
        <v>40</v>
      </c>
      <c r="L1283" s="17">
        <f>IFERROR(__xludf.DUMMYFUNCTION("""COMPUTED_VALUE"""),3.232062261E9)</f>
        <v>3232062261</v>
      </c>
      <c r="M1283" s="17" t="str">
        <f>IFERROR(__xludf.DUMMYFUNCTION("""COMPUTED_VALUE"""),"#REF!")</f>
        <v>#REF!</v>
      </c>
      <c r="N1283" s="17"/>
      <c r="O1283" s="19" t="str">
        <f>IFERROR(__xludf.DUMMYFUNCTION("""COMPUTED_VALUE"""),"")</f>
        <v/>
      </c>
      <c r="P1283" s="17" t="b">
        <f>IFERROR(__xludf.DUMMYFUNCTION("""COMPUTED_VALUE"""),FALSE)</f>
        <v>0</v>
      </c>
      <c r="Q1283" s="20" t="str">
        <f>IFERROR(__xludf.DUMMYFUNCTION("""COMPUTED_VALUE"""),"")</f>
        <v/>
      </c>
      <c r="R1283" s="22" t="str">
        <f>IFERROR(__xludf.DUMMYFUNCTION("""COMPUTED_VALUE"""),"")</f>
        <v/>
      </c>
    </row>
    <row r="1284">
      <c r="A1284" s="15">
        <f>IFERROR(__xludf.DUMMYFUNCTION("""COMPUTED_VALUE"""),45036.0)</f>
        <v>45036</v>
      </c>
      <c r="B1284" s="16" t="str">
        <f>IFERROR(__xludf.DUMMYFUNCTION("""COMPUTED_VALUE"""),"Johan Alexander Escobar Arroyo ")</f>
        <v>Johan Alexander Escobar Arroyo </v>
      </c>
      <c r="C1284" s="15" t="str">
        <f>IFERROR(__xludf.DUMMYFUNCTION("""COMPUTED_VALUE"""),"BUCARAMANGA")</f>
        <v>BUCARAMANGA</v>
      </c>
      <c r="D1284" s="15" t="str">
        <f>IFERROR(__xludf.DUMMYFUNCTION("""COMPUTED_VALUE"""),"BOGOTÁ")</f>
        <v>BOGOTÁ</v>
      </c>
      <c r="E1284" s="15" t="str">
        <f>IFERROR(__xludf.DUMMYFUNCTION("""COMPUTED_VALUE"""),"Evamazzita")</f>
        <v>Evamazzita</v>
      </c>
      <c r="F1284" s="17" t="str">
        <f>IFERROR(__xludf.DUMMYFUNCTION("""COMPUTED_VALUE"""),"CARRERA 20 # 7 - 11  / N/A / BARRIO COMUNEROS")</f>
        <v>CARRERA 20 # 7 - 11  / N/A / BARRIO COMUNEROS</v>
      </c>
      <c r="G1284" s="15" t="str">
        <f>IFERROR(__xludf.DUMMYFUNCTION("""COMPUTED_VALUE"""),"MARIO JOSÉ CORTÉS PARADA")</f>
        <v>MARIO JOSÉ CORTÉS PARADA</v>
      </c>
      <c r="H1284" s="16">
        <f>IFERROR(__xludf.DUMMYFUNCTION("""COMPUTED_VALUE"""),9933.0)</f>
        <v>9933</v>
      </c>
      <c r="I1284" s="18">
        <f>IFERROR(__xludf.DUMMYFUNCTION("""COMPUTED_VALUE"""),17.0)</f>
        <v>17</v>
      </c>
      <c r="J1284" s="18">
        <f>IFERROR(__xludf.DUMMYFUNCTION("""COMPUTED_VALUE"""),43.0)</f>
        <v>43</v>
      </c>
      <c r="K1284" s="18">
        <f>IFERROR(__xludf.DUMMYFUNCTION("""COMPUTED_VALUE"""),30.0)</f>
        <v>30</v>
      </c>
      <c r="L1284" s="17">
        <f>IFERROR(__xludf.DUMMYFUNCTION("""COMPUTED_VALUE"""),3.123394474E9)</f>
        <v>3123394474</v>
      </c>
      <c r="M1284" s="17" t="str">
        <f>IFERROR(__xludf.DUMMYFUNCTION("""COMPUTED_VALUE"""),"#REF!")</f>
        <v>#REF!</v>
      </c>
      <c r="N1284" s="17"/>
      <c r="O1284" s="19" t="str">
        <f>IFERROR(__xludf.DUMMYFUNCTION("""COMPUTED_VALUE"""),"")</f>
        <v/>
      </c>
      <c r="P1284" s="17" t="b">
        <f>IFERROR(__xludf.DUMMYFUNCTION("""COMPUTED_VALUE"""),FALSE)</f>
        <v>0</v>
      </c>
      <c r="Q1284" s="20" t="str">
        <f>IFERROR(__xludf.DUMMYFUNCTION("""COMPUTED_VALUE"""),"")</f>
        <v/>
      </c>
      <c r="R1284" s="22" t="str">
        <f>IFERROR(__xludf.DUMMYFUNCTION("""COMPUTED_VALUE"""),"")</f>
        <v/>
      </c>
    </row>
    <row r="1285">
      <c r="A1285" s="15">
        <f>IFERROR(__xludf.DUMMYFUNCTION("""COMPUTED_VALUE"""),45036.0)</f>
        <v>45036</v>
      </c>
      <c r="B1285" s="16" t="str">
        <f>IFERROR(__xludf.DUMMYFUNCTION("""COMPUTED_VALUE"""),"Johan Alexander Escobar Arroyo ")</f>
        <v>Johan Alexander Escobar Arroyo </v>
      </c>
      <c r="C1285" s="15" t="str">
        <f>IFERROR(__xludf.DUMMYFUNCTION("""COMPUTED_VALUE"""),"CALI")</f>
        <v>CALI</v>
      </c>
      <c r="D1285" s="15" t="str">
        <f>IFERROR(__xludf.DUMMYFUNCTION("""COMPUTED_VALUE"""),"MEDELLÍN")</f>
        <v>MEDELLÍN</v>
      </c>
      <c r="E1285" s="15" t="str">
        <f>IFERROR(__xludf.DUMMYFUNCTION("""COMPUTED_VALUE"""),"Puro Verde")</f>
        <v>Puro Verde</v>
      </c>
      <c r="F1285" s="17" t="str">
        <f>IFERROR(__xludf.DUMMYFUNCTION("""COMPUTED_VALUE"""),"CALLE 15 # 122-151.  / APTO 301. TORRE A PALO VERDE / PANCE")</f>
        <v>CALLE 15 # 122-151.  / APTO 301. TORRE A PALO VERDE / PANCE</v>
      </c>
      <c r="G1285" s="15" t="str">
        <f>IFERROR(__xludf.DUMMYFUNCTION("""COMPUTED_VALUE"""),"CAROLINA VELASCO")</f>
        <v>CAROLINA VELASCO</v>
      </c>
      <c r="H1285" s="16">
        <f>IFERROR(__xludf.DUMMYFUNCTION("""COMPUTED_VALUE"""),9922.0)</f>
        <v>9922</v>
      </c>
      <c r="I1285" s="18">
        <f>IFERROR(__xludf.DUMMYFUNCTION("""COMPUTED_VALUE"""),12.0)</f>
        <v>12</v>
      </c>
      <c r="J1285" s="18">
        <f>IFERROR(__xludf.DUMMYFUNCTION("""COMPUTED_VALUE"""),18.0)</f>
        <v>18</v>
      </c>
      <c r="K1285" s="18">
        <f>IFERROR(__xludf.DUMMYFUNCTION("""COMPUTED_VALUE"""),45.0)</f>
        <v>45</v>
      </c>
      <c r="L1285" s="17">
        <f>IFERROR(__xludf.DUMMYFUNCTION("""COMPUTED_VALUE"""),3.163739458E9)</f>
        <v>3163739458</v>
      </c>
      <c r="M1285" s="17" t="str">
        <f>IFERROR(__xludf.DUMMYFUNCTION("""COMPUTED_VALUE"""),"#REF!")</f>
        <v>#REF!</v>
      </c>
      <c r="N1285" s="17"/>
      <c r="O1285" s="19" t="str">
        <f>IFERROR(__xludf.DUMMYFUNCTION("""COMPUTED_VALUE"""),"")</f>
        <v/>
      </c>
      <c r="P1285" s="17" t="b">
        <f>IFERROR(__xludf.DUMMYFUNCTION("""COMPUTED_VALUE"""),FALSE)</f>
        <v>0</v>
      </c>
      <c r="Q1285" s="20" t="str">
        <f>IFERROR(__xludf.DUMMYFUNCTION("""COMPUTED_VALUE"""),"")</f>
        <v/>
      </c>
      <c r="R1285" s="22" t="str">
        <f>IFERROR(__xludf.DUMMYFUNCTION("""COMPUTED_VALUE"""),"")</f>
        <v/>
      </c>
    </row>
    <row r="1286">
      <c r="A1286" s="15">
        <f>IFERROR(__xludf.DUMMYFUNCTION("""COMPUTED_VALUE"""),45036.0)</f>
        <v>45036</v>
      </c>
      <c r="B1286" s="16" t="str">
        <f>IFERROR(__xludf.DUMMYFUNCTION("""COMPUTED_VALUE"""),"Johan Alexander Escobar Arroyo ")</f>
        <v>Johan Alexander Escobar Arroyo </v>
      </c>
      <c r="C1286" s="15" t="str">
        <f>IFERROR(__xludf.DUMMYFUNCTION("""COMPUTED_VALUE"""),"CALI")</f>
        <v>CALI</v>
      </c>
      <c r="D1286" s="15" t="str">
        <f>IFERROR(__xludf.DUMMYFUNCTION("""COMPUTED_VALUE"""),"PEREIRA")</f>
        <v>PEREIRA</v>
      </c>
      <c r="E1286" s="15" t="str">
        <f>IFERROR(__xludf.DUMMYFUNCTION("""COMPUTED_VALUE"""),"BAK&amp;VEG")</f>
        <v>BAK&amp;VEG</v>
      </c>
      <c r="F1286" s="17" t="str">
        <f>IFERROR(__xludf.DUMMYFUNCTION("""COMPUTED_VALUE"""),"cra 27 # 10A-36 / apto 301")</f>
        <v>cra 27 # 10A-36 / apto 301</v>
      </c>
      <c r="G1286" s="15" t="str">
        <f>IFERROR(__xludf.DUMMYFUNCTION("""COMPUTED_VALUE"""),"Maria fernanda")</f>
        <v>Maria fernanda</v>
      </c>
      <c r="H1286" s="16">
        <f>IFERROR(__xludf.DUMMYFUNCTION("""COMPUTED_VALUE"""),9886.0)</f>
        <v>9886</v>
      </c>
      <c r="I1286" s="17"/>
      <c r="J1286" s="17"/>
      <c r="K1286" s="17"/>
      <c r="L1286" s="17">
        <f>IFERROR(__xludf.DUMMYFUNCTION("""COMPUTED_VALUE"""),3.182529324E9)</f>
        <v>3182529324</v>
      </c>
      <c r="M1286" s="17" t="str">
        <f>IFERROR(__xludf.DUMMYFUNCTION("""COMPUTED_VALUE"""),"#REF!")</f>
        <v>#REF!</v>
      </c>
      <c r="N1286" s="17"/>
      <c r="O1286" s="19" t="str">
        <f>IFERROR(__xludf.DUMMYFUNCTION("""COMPUTED_VALUE"""),"")</f>
        <v/>
      </c>
      <c r="P1286" s="17" t="b">
        <f>IFERROR(__xludf.DUMMYFUNCTION("""COMPUTED_VALUE"""),FALSE)</f>
        <v>0</v>
      </c>
      <c r="Q1286" s="20" t="str">
        <f>IFERROR(__xludf.DUMMYFUNCTION("""COMPUTED_VALUE"""),"")</f>
        <v/>
      </c>
      <c r="R1286" s="22" t="str">
        <f>IFERROR(__xludf.DUMMYFUNCTION("""COMPUTED_VALUE"""),"")</f>
        <v/>
      </c>
    </row>
    <row r="1287">
      <c r="A1287" s="15">
        <f>IFERROR(__xludf.DUMMYFUNCTION("""COMPUTED_VALUE"""),45036.0)</f>
        <v>45036</v>
      </c>
      <c r="B1287" s="16" t="str">
        <f>IFERROR(__xludf.DUMMYFUNCTION("""COMPUTED_VALUE"""),"Johan Alexander Escobar Arroyo ")</f>
        <v>Johan Alexander Escobar Arroyo </v>
      </c>
      <c r="C1287" s="15" t="str">
        <f>IFERROR(__xludf.DUMMYFUNCTION("""COMPUTED_VALUE"""),"CALI")</f>
        <v>CALI</v>
      </c>
      <c r="D1287" s="15" t="str">
        <f>IFERROR(__xludf.DUMMYFUNCTION("""COMPUTED_VALUE"""),"PEREIRA")</f>
        <v>PEREIRA</v>
      </c>
      <c r="E1287" s="15" t="str">
        <f>IFERROR(__xludf.DUMMYFUNCTION("""COMPUTED_VALUE"""),"BAK&amp;VEG")</f>
        <v>BAK&amp;VEG</v>
      </c>
      <c r="F1287" s="17" t="str">
        <f>IFERROR(__xludf.DUMMYFUNCTION("""COMPUTED_VALUE"""),"cra 27 # 10A-36 / apto 301")</f>
        <v>cra 27 # 10A-36 / apto 301</v>
      </c>
      <c r="G1287" s="15" t="str">
        <f>IFERROR(__xludf.DUMMYFUNCTION("""COMPUTED_VALUE"""),"Maria fernanda")</f>
        <v>Maria fernanda</v>
      </c>
      <c r="H1287" s="16">
        <f>IFERROR(__xludf.DUMMYFUNCTION("""COMPUTED_VALUE"""),9887.0)</f>
        <v>9887</v>
      </c>
      <c r="I1287" s="18">
        <f>IFERROR(__xludf.DUMMYFUNCTION("""COMPUTED_VALUE"""),9.0)</f>
        <v>9</v>
      </c>
      <c r="J1287" s="18">
        <f>IFERROR(__xludf.DUMMYFUNCTION("""COMPUTED_VALUE"""),22.0)</f>
        <v>22</v>
      </c>
      <c r="K1287" s="18">
        <f>IFERROR(__xludf.DUMMYFUNCTION("""COMPUTED_VALUE"""),24.0)</f>
        <v>24</v>
      </c>
      <c r="L1287" s="17">
        <f>IFERROR(__xludf.DUMMYFUNCTION("""COMPUTED_VALUE"""),3.182529324E9)</f>
        <v>3182529324</v>
      </c>
      <c r="M1287" s="17" t="str">
        <f>IFERROR(__xludf.DUMMYFUNCTION("""COMPUTED_VALUE"""),"#REF!")</f>
        <v>#REF!</v>
      </c>
      <c r="N1287" s="17"/>
      <c r="O1287" s="19" t="str">
        <f>IFERROR(__xludf.DUMMYFUNCTION("""COMPUTED_VALUE"""),"")</f>
        <v/>
      </c>
      <c r="P1287" s="17" t="b">
        <f>IFERROR(__xludf.DUMMYFUNCTION("""COMPUTED_VALUE"""),FALSE)</f>
        <v>0</v>
      </c>
      <c r="Q1287" s="20" t="str">
        <f>IFERROR(__xludf.DUMMYFUNCTION("""COMPUTED_VALUE"""),"")</f>
        <v/>
      </c>
      <c r="R1287" s="22" t="str">
        <f>IFERROR(__xludf.DUMMYFUNCTION("""COMPUTED_VALUE"""),"")</f>
        <v/>
      </c>
    </row>
    <row r="1288">
      <c r="A1288" s="15">
        <f>IFERROR(__xludf.DUMMYFUNCTION("""COMPUTED_VALUE"""),45036.0)</f>
        <v>45036</v>
      </c>
      <c r="B1288" s="16" t="str">
        <f>IFERROR(__xludf.DUMMYFUNCTION("""COMPUTED_VALUE"""),"Johan Alexander Escobar Arroyo ")</f>
        <v>Johan Alexander Escobar Arroyo </v>
      </c>
      <c r="C1288" s="15" t="str">
        <f>IFERROR(__xludf.DUMMYFUNCTION("""COMPUTED_VALUE"""),"TULUÁ")</f>
        <v>TULUÁ</v>
      </c>
      <c r="D1288" s="15" t="str">
        <f>IFERROR(__xludf.DUMMYFUNCTION("""COMPUTED_VALUE"""),"BOGOTÁ")</f>
        <v>BOGOTÁ</v>
      </c>
      <c r="E1288" s="15" t="str">
        <f>IFERROR(__xludf.DUMMYFUNCTION("""COMPUTED_VALUE"""),"Evamazzita")</f>
        <v>Evamazzita</v>
      </c>
      <c r="F1288" s="17" t="str">
        <f>IFERROR(__xludf.DUMMYFUNCTION("""COMPUTED_VALUE"""),"Calle 29b # 44-33  / N/A / BARRIO LOMITAS")</f>
        <v>Calle 29b # 44-33  / N/A / BARRIO LOMITAS</v>
      </c>
      <c r="G1288" s="15" t="str">
        <f>IFERROR(__xludf.DUMMYFUNCTION("""COMPUTED_VALUE"""),"MARIA ALEJANDRA MEJIA")</f>
        <v>MARIA ALEJANDRA MEJIA</v>
      </c>
      <c r="H1288" s="16">
        <f>IFERROR(__xludf.DUMMYFUNCTION("""COMPUTED_VALUE"""),9942.0)</f>
        <v>9942</v>
      </c>
      <c r="I1288" s="18">
        <f>IFERROR(__xludf.DUMMYFUNCTION("""COMPUTED_VALUE"""),3.0)</f>
        <v>3</v>
      </c>
      <c r="J1288" s="18">
        <f>IFERROR(__xludf.DUMMYFUNCTION("""COMPUTED_VALUE"""),20.0)</f>
        <v>20</v>
      </c>
      <c r="K1288" s="18">
        <f>IFERROR(__xludf.DUMMYFUNCTION("""COMPUTED_VALUE"""),15.0)</f>
        <v>15</v>
      </c>
      <c r="L1288" s="17">
        <f>IFERROR(__xludf.DUMMYFUNCTION("""COMPUTED_VALUE"""),3.152167042E9)</f>
        <v>3152167042</v>
      </c>
      <c r="M1288" s="17" t="str">
        <f>IFERROR(__xludf.DUMMYFUNCTION("""COMPUTED_VALUE"""),"#REF!")</f>
        <v>#REF!</v>
      </c>
      <c r="N1288" s="17"/>
      <c r="O1288" s="19" t="str">
        <f>IFERROR(__xludf.DUMMYFUNCTION("""COMPUTED_VALUE"""),"")</f>
        <v/>
      </c>
      <c r="P1288" s="17" t="b">
        <f>IFERROR(__xludf.DUMMYFUNCTION("""COMPUTED_VALUE"""),FALSE)</f>
        <v>0</v>
      </c>
      <c r="Q1288" s="20" t="str">
        <f>IFERROR(__xludf.DUMMYFUNCTION("""COMPUTED_VALUE"""),"")</f>
        <v/>
      </c>
      <c r="R1288" s="22" t="str">
        <f>IFERROR(__xludf.DUMMYFUNCTION("""COMPUTED_VALUE"""),"")</f>
        <v/>
      </c>
    </row>
    <row r="1289">
      <c r="A1289" s="15">
        <f>IFERROR(__xludf.DUMMYFUNCTION("""COMPUTED_VALUE"""),45036.0)</f>
        <v>45036</v>
      </c>
      <c r="B1289" s="16" t="str">
        <f>IFERROR(__xludf.DUMMYFUNCTION("""COMPUTED_VALUE"""),"Johan Alexander Escobar Arroyo ")</f>
        <v>Johan Alexander Escobar Arroyo </v>
      </c>
      <c r="C1289" s="15" t="str">
        <f>IFERROR(__xludf.DUMMYFUNCTION("""COMPUTED_VALUE"""),"TULUÁ")</f>
        <v>TULUÁ</v>
      </c>
      <c r="D1289" s="15" t="str">
        <f>IFERROR(__xludf.DUMMYFUNCTION("""COMPUTED_VALUE"""),"BOGOTÁ")</f>
        <v>BOGOTÁ</v>
      </c>
      <c r="E1289" s="15" t="str">
        <f>IFERROR(__xludf.DUMMYFUNCTION("""COMPUTED_VALUE"""),"Evamazzita")</f>
        <v>Evamazzita</v>
      </c>
      <c r="F1289" s="17" t="str">
        <f>IFERROR(__xludf.DUMMYFUNCTION("""COMPUTED_VALUE"""),"CARRERA 38 # 26 - 18  / TIMBRE DEL MEDIO  / BARRIO SAN VICENTE")</f>
        <v>CARRERA 38 # 26 - 18  / TIMBRE DEL MEDIO  / BARRIO SAN VICENTE</v>
      </c>
      <c r="G1289" s="15" t="str">
        <f>IFERROR(__xludf.DUMMYFUNCTION("""COMPUTED_VALUE"""),"ERIKA VIVIANA SALAZAR CAMPO")</f>
        <v>ERIKA VIVIANA SALAZAR CAMPO</v>
      </c>
      <c r="H1289" s="16">
        <f>IFERROR(__xludf.DUMMYFUNCTION("""COMPUTED_VALUE"""),9940.0)</f>
        <v>9940</v>
      </c>
      <c r="I1289" s="18">
        <f>IFERROR(__xludf.DUMMYFUNCTION("""COMPUTED_VALUE"""),3.0)</f>
        <v>3</v>
      </c>
      <c r="J1289" s="18">
        <f>IFERROR(__xludf.DUMMYFUNCTION("""COMPUTED_VALUE"""),20.0)</f>
        <v>20</v>
      </c>
      <c r="K1289" s="18">
        <f>IFERROR(__xludf.DUMMYFUNCTION("""COMPUTED_VALUE"""),15.0)</f>
        <v>15</v>
      </c>
      <c r="L1289" s="17">
        <f>IFERROR(__xludf.DUMMYFUNCTION("""COMPUTED_VALUE"""),3.157342375E9)</f>
        <v>3157342375</v>
      </c>
      <c r="M1289" s="17" t="str">
        <f>IFERROR(__xludf.DUMMYFUNCTION("""COMPUTED_VALUE"""),"#REF!")</f>
        <v>#REF!</v>
      </c>
      <c r="N1289" s="17"/>
      <c r="O1289" s="19" t="str">
        <f>IFERROR(__xludf.DUMMYFUNCTION("""COMPUTED_VALUE"""),"")</f>
        <v/>
      </c>
      <c r="P1289" s="17" t="b">
        <f>IFERROR(__xludf.DUMMYFUNCTION("""COMPUTED_VALUE"""),FALSE)</f>
        <v>0</v>
      </c>
      <c r="Q1289" s="20" t="str">
        <f>IFERROR(__xludf.DUMMYFUNCTION("""COMPUTED_VALUE"""),"")</f>
        <v/>
      </c>
      <c r="R1289" s="22" t="str">
        <f>IFERROR(__xludf.DUMMYFUNCTION("""COMPUTED_VALUE"""),"")</f>
        <v/>
      </c>
    </row>
    <row r="1290">
      <c r="A1290" s="15">
        <f>IFERROR(__xludf.DUMMYFUNCTION("""COMPUTED_VALUE"""),45036.0)</f>
        <v>45036</v>
      </c>
      <c r="B1290" s="16" t="str">
        <f>IFERROR(__xludf.DUMMYFUNCTION("""COMPUTED_VALUE"""),"Johan Alexander Escobar Arroyo ")</f>
        <v>Johan Alexander Escobar Arroyo </v>
      </c>
      <c r="C1290" s="15" t="str">
        <f>IFERROR(__xludf.DUMMYFUNCTION("""COMPUTED_VALUE"""),"TULUÁ")</f>
        <v>TULUÁ</v>
      </c>
      <c r="D1290" s="15" t="str">
        <f>IFERROR(__xludf.DUMMYFUNCTION("""COMPUTED_VALUE"""),"BOGOTÁ")</f>
        <v>BOGOTÁ</v>
      </c>
      <c r="E1290" s="15" t="str">
        <f>IFERROR(__xludf.DUMMYFUNCTION("""COMPUTED_VALUE"""),"Evamazzita")</f>
        <v>Evamazzita</v>
      </c>
      <c r="F1290" s="17" t="str">
        <f>IFERROR(__xludf.DUMMYFUNCTION("""COMPUTED_VALUE"""),"Cra 33 # 21 -57  / esquina   / Barrio Alvernia")</f>
        <v>Cra 33 # 21 -57  / esquina   / Barrio Alvernia</v>
      </c>
      <c r="G1290" s="15" t="str">
        <f>IFERROR(__xludf.DUMMYFUNCTION("""COMPUTED_VALUE"""),"DIANA CAROLINA MOLINA VALENCIA")</f>
        <v>DIANA CAROLINA MOLINA VALENCIA</v>
      </c>
      <c r="H1290" s="16">
        <f>IFERROR(__xludf.DUMMYFUNCTION("""COMPUTED_VALUE"""),9939.0)</f>
        <v>9939</v>
      </c>
      <c r="I1290" s="18">
        <f>IFERROR(__xludf.DUMMYFUNCTION("""COMPUTED_VALUE"""),13.0)</f>
        <v>13</v>
      </c>
      <c r="J1290" s="18">
        <f>IFERROR(__xludf.DUMMYFUNCTION("""COMPUTED_VALUE"""),23.0)</f>
        <v>23</v>
      </c>
      <c r="K1290" s="18">
        <f>IFERROR(__xludf.DUMMYFUNCTION("""COMPUTED_VALUE"""),26.0)</f>
        <v>26</v>
      </c>
      <c r="L1290" s="17">
        <f>IFERROR(__xludf.DUMMYFUNCTION("""COMPUTED_VALUE"""),3.104417918E9)</f>
        <v>3104417918</v>
      </c>
      <c r="M1290" s="17" t="str">
        <f>IFERROR(__xludf.DUMMYFUNCTION("""COMPUTED_VALUE"""),"#REF!")</f>
        <v>#REF!</v>
      </c>
      <c r="N1290" s="17"/>
      <c r="O1290" s="19" t="str">
        <f>IFERROR(__xludf.DUMMYFUNCTION("""COMPUTED_VALUE"""),"")</f>
        <v/>
      </c>
      <c r="P1290" s="17" t="b">
        <f>IFERROR(__xludf.DUMMYFUNCTION("""COMPUTED_VALUE"""),FALSE)</f>
        <v>0</v>
      </c>
      <c r="Q1290" s="20" t="str">
        <f>IFERROR(__xludf.DUMMYFUNCTION("""COMPUTED_VALUE"""),"")</f>
        <v/>
      </c>
      <c r="R1290" s="22" t="str">
        <f>IFERROR(__xludf.DUMMYFUNCTION("""COMPUTED_VALUE"""),"")</f>
        <v/>
      </c>
    </row>
    <row r="1291">
      <c r="A1291" s="17" t="str">
        <f>IFERROR(__xludf.DUMMYFUNCTION("""COMPUTED_VALUE"""),"")</f>
        <v/>
      </c>
      <c r="B1291" s="17" t="str">
        <f>IFERROR(__xludf.DUMMYFUNCTION("""COMPUTED_VALUE"""),"")</f>
        <v/>
      </c>
      <c r="C1291" s="17" t="str">
        <f>IFERROR(__xludf.DUMMYFUNCTION("""COMPUTED_VALUE"""),"")</f>
        <v/>
      </c>
      <c r="D1291" s="17" t="str">
        <f>IFERROR(__xludf.DUMMYFUNCTION("""COMPUTED_VALUE"""),"")</f>
        <v/>
      </c>
      <c r="E1291" s="17" t="str">
        <f>IFERROR(__xludf.DUMMYFUNCTION("""COMPUTED_VALUE"""),"")</f>
        <v/>
      </c>
      <c r="F1291" s="17" t="str">
        <f>IFERROR(__xludf.DUMMYFUNCTION("""COMPUTED_VALUE"""),"")</f>
        <v/>
      </c>
      <c r="G1291" s="17" t="str">
        <f>IFERROR(__xludf.DUMMYFUNCTION("""COMPUTED_VALUE"""),"")</f>
        <v/>
      </c>
      <c r="H1291" s="17" t="str">
        <f>IFERROR(__xludf.DUMMYFUNCTION("""COMPUTED_VALUE"""),"")</f>
        <v/>
      </c>
      <c r="I1291" s="17" t="str">
        <f>IFERROR(__xludf.DUMMYFUNCTION("""COMPUTED_VALUE"""),"")</f>
        <v/>
      </c>
      <c r="J1291" s="17" t="str">
        <f>IFERROR(__xludf.DUMMYFUNCTION("""COMPUTED_VALUE"""),"")</f>
        <v/>
      </c>
      <c r="K1291" s="17" t="str">
        <f>IFERROR(__xludf.DUMMYFUNCTION("""COMPUTED_VALUE"""),"")</f>
        <v/>
      </c>
      <c r="L1291" s="17" t="str">
        <f>IFERROR(__xludf.DUMMYFUNCTION("""COMPUTED_VALUE"""),"")</f>
        <v/>
      </c>
      <c r="M1291" s="17" t="str">
        <f>IFERROR(__xludf.DUMMYFUNCTION("""COMPUTED_VALUE"""),"")</f>
        <v/>
      </c>
      <c r="N1291" s="17" t="str">
        <f>IFERROR(__xludf.DUMMYFUNCTION("""COMPUTED_VALUE"""),"")</f>
        <v/>
      </c>
      <c r="O1291" s="17" t="str">
        <f>IFERROR(__xludf.DUMMYFUNCTION("""COMPUTED_VALUE"""),"")</f>
        <v/>
      </c>
      <c r="P1291" s="17" t="str">
        <f>IFERROR(__xludf.DUMMYFUNCTION("""COMPUTED_VALUE"""),"")</f>
        <v/>
      </c>
      <c r="Q1291" s="17" t="str">
        <f>IFERROR(__xludf.DUMMYFUNCTION("""COMPUTED_VALUE"""),"")</f>
        <v/>
      </c>
      <c r="R1291" s="17" t="str">
        <f>IFERROR(__xludf.DUMMYFUNCTION("""COMPUTED_VALUE"""),"")</f>
        <v/>
      </c>
    </row>
    <row r="1292">
      <c r="A1292" s="15">
        <f>IFERROR(__xludf.DUMMYFUNCTION("""COMPUTED_VALUE"""),45036.0)</f>
        <v>45036</v>
      </c>
      <c r="B1292" s="16" t="str">
        <f>IFERROR(__xludf.DUMMYFUNCTION("""COMPUTED_VALUE"""),"Julian Calderon Rodriguez ")</f>
        <v>Julian Calderon Rodriguez </v>
      </c>
      <c r="C1292" s="15" t="str">
        <f>IFERROR(__xludf.DUMMYFUNCTION("""COMPUTED_VALUE"""),"NEIVA")</f>
        <v>NEIVA</v>
      </c>
      <c r="D1292" s="15" t="str">
        <f>IFERROR(__xludf.DUMMYFUNCTION("""COMPUTED_VALUE"""),"BOGOTÁ")</f>
        <v>BOGOTÁ</v>
      </c>
      <c r="E1292" s="15" t="str">
        <f>IFERROR(__xludf.DUMMYFUNCTION("""COMPUTED_VALUE"""),"Asociacion Agropecuaria Juana Maria")</f>
        <v>Asociacion Agropecuaria Juana Maria</v>
      </c>
      <c r="F1292" s="17" t="str">
        <f>IFERROR(__xludf.DUMMYFUNCTION("""COMPUTED_VALUE"""),"CARRERA 46 #17-13 CONDOMINIO ALTAVISTA CASA 31")</f>
        <v>CARRERA 46 #17-13 CONDOMINIO ALTAVISTA CASA 31</v>
      </c>
      <c r="G1292" s="15" t="str">
        <f>IFERROR(__xludf.DUMMYFUNCTION("""COMPUTED_VALUE"""),"JENNIFFER FERNANDEZ")</f>
        <v>JENNIFFER FERNANDEZ</v>
      </c>
      <c r="H1292" s="16">
        <f>IFERROR(__xludf.DUMMYFUNCTION("""COMPUTED_VALUE"""),9739.0)</f>
        <v>9739</v>
      </c>
      <c r="I1292" s="18">
        <f>IFERROR(__xludf.DUMMYFUNCTION("""COMPUTED_VALUE"""),16.0)</f>
        <v>16</v>
      </c>
      <c r="J1292" s="18">
        <f>IFERROR(__xludf.DUMMYFUNCTION("""COMPUTED_VALUE"""),34.0)</f>
        <v>34</v>
      </c>
      <c r="K1292" s="18">
        <f>IFERROR(__xludf.DUMMYFUNCTION("""COMPUTED_VALUE"""),25.0)</f>
        <v>25</v>
      </c>
      <c r="L1292" s="17">
        <f>IFERROR(__xludf.DUMMYFUNCTION("""COMPUTED_VALUE"""),3.167942612E9)</f>
        <v>3167942612</v>
      </c>
      <c r="M1292" s="17" t="str">
        <f>IFERROR(__xludf.DUMMYFUNCTION("""COMPUTED_VALUE"""),"#REF!")</f>
        <v>#REF!</v>
      </c>
      <c r="N1292" s="17"/>
      <c r="O1292" s="19" t="str">
        <f>IFERROR(__xludf.DUMMYFUNCTION("""COMPUTED_VALUE"""),"")</f>
        <v/>
      </c>
      <c r="P1292" s="17" t="b">
        <f>IFERROR(__xludf.DUMMYFUNCTION("""COMPUTED_VALUE"""),FALSE)</f>
        <v>0</v>
      </c>
      <c r="Q1292" s="20" t="str">
        <f>IFERROR(__xludf.DUMMYFUNCTION("""COMPUTED_VALUE"""),"")</f>
        <v/>
      </c>
      <c r="R1292" s="22" t="str">
        <f>IFERROR(__xludf.DUMMYFUNCTION("""COMPUTED_VALUE"""),"")</f>
        <v/>
      </c>
    </row>
    <row r="1293">
      <c r="A1293" s="15">
        <f>IFERROR(__xludf.DUMMYFUNCTION("""COMPUTED_VALUE"""),45036.0)</f>
        <v>45036</v>
      </c>
      <c r="B1293" s="16" t="str">
        <f>IFERROR(__xludf.DUMMYFUNCTION("""COMPUTED_VALUE"""),"Julian Calderon Rodriguez ")</f>
        <v>Julian Calderon Rodriguez </v>
      </c>
      <c r="C1293" s="15" t="str">
        <f>IFERROR(__xludf.DUMMYFUNCTION("""COMPUTED_VALUE"""),"NEIVA")</f>
        <v>NEIVA</v>
      </c>
      <c r="D1293" s="15" t="str">
        <f>IFERROR(__xludf.DUMMYFUNCTION("""COMPUTED_VALUE"""),"BOGOTÁ")</f>
        <v>BOGOTÁ</v>
      </c>
      <c r="E1293" s="15" t="str">
        <f>IFERROR(__xludf.DUMMYFUNCTION("""COMPUTED_VALUE"""),"Evamazzita")</f>
        <v>Evamazzita</v>
      </c>
      <c r="F1293" s="17" t="str">
        <f>IFERROR(__xludf.DUMMYFUNCTION("""COMPUTED_VALUE"""),"CARRERA 42 # 18 A - 08 /  TORRE H, APTO. 1008 / N/A")</f>
        <v>CARRERA 42 # 18 A - 08 /  TORRE H, APTO. 1008 / N/A</v>
      </c>
      <c r="G1293" s="15" t="str">
        <f>IFERROR(__xludf.DUMMYFUNCTION("""COMPUTED_VALUE"""),"ISABEL MARTINEZ")</f>
        <v>ISABEL MARTINEZ</v>
      </c>
      <c r="H1293" s="16">
        <f>IFERROR(__xludf.DUMMYFUNCTION("""COMPUTED_VALUE"""),9930.0)</f>
        <v>9930</v>
      </c>
      <c r="I1293" s="18">
        <f>IFERROR(__xludf.DUMMYFUNCTION("""COMPUTED_VALUE"""),5.0)</f>
        <v>5</v>
      </c>
      <c r="J1293" s="18">
        <f>IFERROR(__xludf.DUMMYFUNCTION("""COMPUTED_VALUE"""),15.0)</f>
        <v>15</v>
      </c>
      <c r="K1293" s="18">
        <f>IFERROR(__xludf.DUMMYFUNCTION("""COMPUTED_VALUE"""),23.0)</f>
        <v>23</v>
      </c>
      <c r="L1293" s="17">
        <f>IFERROR(__xludf.DUMMYFUNCTION("""COMPUTED_VALUE"""),3.167464059E9)</f>
        <v>3167464059</v>
      </c>
      <c r="M1293" s="17" t="str">
        <f>IFERROR(__xludf.DUMMYFUNCTION("""COMPUTED_VALUE"""),"#REF!")</f>
        <v>#REF!</v>
      </c>
      <c r="N1293" s="17"/>
      <c r="O1293" s="19" t="str">
        <f>IFERROR(__xludf.DUMMYFUNCTION("""COMPUTED_VALUE"""),"")</f>
        <v/>
      </c>
      <c r="P1293" s="17" t="b">
        <f>IFERROR(__xludf.DUMMYFUNCTION("""COMPUTED_VALUE"""),FALSE)</f>
        <v>0</v>
      </c>
      <c r="Q1293" s="20" t="str">
        <f>IFERROR(__xludf.DUMMYFUNCTION("""COMPUTED_VALUE"""),"")</f>
        <v/>
      </c>
      <c r="R1293" s="22" t="str">
        <f>IFERROR(__xludf.DUMMYFUNCTION("""COMPUTED_VALUE"""),"")</f>
        <v/>
      </c>
    </row>
    <row r="1294">
      <c r="A1294" s="17" t="str">
        <f>IFERROR(__xludf.DUMMYFUNCTION("""COMPUTED_VALUE"""),"")</f>
        <v/>
      </c>
      <c r="B1294" s="17" t="str">
        <f>IFERROR(__xludf.DUMMYFUNCTION("""COMPUTED_VALUE"""),"")</f>
        <v/>
      </c>
      <c r="C1294" s="17" t="str">
        <f>IFERROR(__xludf.DUMMYFUNCTION("""COMPUTED_VALUE"""),"")</f>
        <v/>
      </c>
      <c r="D1294" s="17" t="str">
        <f>IFERROR(__xludf.DUMMYFUNCTION("""COMPUTED_VALUE"""),"")</f>
        <v/>
      </c>
      <c r="E1294" s="17" t="str">
        <f>IFERROR(__xludf.DUMMYFUNCTION("""COMPUTED_VALUE"""),"")</f>
        <v/>
      </c>
      <c r="F1294" s="17" t="str">
        <f>IFERROR(__xludf.DUMMYFUNCTION("""COMPUTED_VALUE"""),"")</f>
        <v/>
      </c>
      <c r="G1294" s="17" t="str">
        <f>IFERROR(__xludf.DUMMYFUNCTION("""COMPUTED_VALUE"""),"")</f>
        <v/>
      </c>
      <c r="H1294" s="17" t="str">
        <f>IFERROR(__xludf.DUMMYFUNCTION("""COMPUTED_VALUE"""),"")</f>
        <v/>
      </c>
      <c r="I1294" s="17" t="str">
        <f>IFERROR(__xludf.DUMMYFUNCTION("""COMPUTED_VALUE"""),"")</f>
        <v/>
      </c>
      <c r="J1294" s="17" t="str">
        <f>IFERROR(__xludf.DUMMYFUNCTION("""COMPUTED_VALUE"""),"")</f>
        <v/>
      </c>
      <c r="K1294" s="17" t="str">
        <f>IFERROR(__xludf.DUMMYFUNCTION("""COMPUTED_VALUE"""),"")</f>
        <v/>
      </c>
      <c r="L1294" s="17" t="str">
        <f>IFERROR(__xludf.DUMMYFUNCTION("""COMPUTED_VALUE"""),"")</f>
        <v/>
      </c>
      <c r="M1294" s="17" t="str">
        <f>IFERROR(__xludf.DUMMYFUNCTION("""COMPUTED_VALUE"""),"")</f>
        <v/>
      </c>
      <c r="N1294" s="17" t="str">
        <f>IFERROR(__xludf.DUMMYFUNCTION("""COMPUTED_VALUE"""),"")</f>
        <v/>
      </c>
      <c r="O1294" s="17" t="str">
        <f>IFERROR(__xludf.DUMMYFUNCTION("""COMPUTED_VALUE"""),"")</f>
        <v/>
      </c>
      <c r="P1294" s="17" t="str">
        <f>IFERROR(__xludf.DUMMYFUNCTION("""COMPUTED_VALUE"""),"")</f>
        <v/>
      </c>
      <c r="Q1294" s="17" t="str">
        <f>IFERROR(__xludf.DUMMYFUNCTION("""COMPUTED_VALUE"""),"")</f>
        <v/>
      </c>
      <c r="R1294" s="17" t="str">
        <f>IFERROR(__xludf.DUMMYFUNCTION("""COMPUTED_VALUE"""),"")</f>
        <v/>
      </c>
    </row>
    <row r="1295">
      <c r="A1295" s="15">
        <f>IFERROR(__xludf.DUMMYFUNCTION("""COMPUTED_VALUE"""),45036.0)</f>
        <v>45036</v>
      </c>
      <c r="B1295" s="16" t="str">
        <f>IFERROR(__xludf.DUMMYFUNCTION("""COMPUTED_VALUE"""),"Paula Andrea Ocampo Ospina")</f>
        <v>Paula Andrea Ocampo Ospina</v>
      </c>
      <c r="C1295" s="15" t="str">
        <f>IFERROR(__xludf.DUMMYFUNCTION("""COMPUTED_VALUE"""),"TULUÁ")</f>
        <v>TULUÁ</v>
      </c>
      <c r="D1295" s="15" t="str">
        <f>IFERROR(__xludf.DUMMYFUNCTION("""COMPUTED_VALUE"""),"BOGOTÁ")</f>
        <v>BOGOTÁ</v>
      </c>
      <c r="E1295" s="15" t="str">
        <f>IFERROR(__xludf.DUMMYFUNCTION("""COMPUTED_VALUE"""),"Evamazzita")</f>
        <v>Evamazzita</v>
      </c>
      <c r="F1295" s="17" t="str">
        <f>IFERROR(__xludf.DUMMYFUNCTION("""COMPUTED_VALUE"""),"Calle 38#44-37  / piso 1  / Barrio Villa campestre")</f>
        <v>Calle 38#44-37  / piso 1  / Barrio Villa campestre</v>
      </c>
      <c r="G1295" s="15" t="str">
        <f>IFERROR(__xludf.DUMMYFUNCTION("""COMPUTED_VALUE"""),"YAMILETH TIJO SOTO")</f>
        <v>YAMILETH TIJO SOTO</v>
      </c>
      <c r="H1295" s="16">
        <f>IFERROR(__xludf.DUMMYFUNCTION("""COMPUTED_VALUE"""),9938.0)</f>
        <v>9938</v>
      </c>
      <c r="I1295" s="18">
        <f>IFERROR(__xludf.DUMMYFUNCTION("""COMPUTED_VALUE"""),3.0)</f>
        <v>3</v>
      </c>
      <c r="J1295" s="18">
        <f>IFERROR(__xludf.DUMMYFUNCTION("""COMPUTED_VALUE"""),20.0)</f>
        <v>20</v>
      </c>
      <c r="K1295" s="18">
        <f>IFERROR(__xludf.DUMMYFUNCTION("""COMPUTED_VALUE"""),15.0)</f>
        <v>15</v>
      </c>
      <c r="L1295" s="17">
        <f>IFERROR(__xludf.DUMMYFUNCTION("""COMPUTED_VALUE"""),3.187988707E9)</f>
        <v>3187988707</v>
      </c>
      <c r="M1295" s="17" t="str">
        <f>IFERROR(__xludf.DUMMYFUNCTION("""COMPUTED_VALUE"""),"#REF!")</f>
        <v>#REF!</v>
      </c>
      <c r="N1295" s="17"/>
      <c r="O1295" s="19" t="str">
        <f>IFERROR(__xludf.DUMMYFUNCTION("""COMPUTED_VALUE"""),"")</f>
        <v/>
      </c>
      <c r="P1295" s="17" t="b">
        <f>IFERROR(__xludf.DUMMYFUNCTION("""COMPUTED_VALUE"""),FALSE)</f>
        <v>0</v>
      </c>
      <c r="Q1295" s="20" t="str">
        <f>IFERROR(__xludf.DUMMYFUNCTION("""COMPUTED_VALUE"""),"")</f>
        <v/>
      </c>
      <c r="R1295" s="22" t="str">
        <f>IFERROR(__xludf.DUMMYFUNCTION("""COMPUTED_VALUE"""),"")</f>
        <v/>
      </c>
    </row>
    <row r="1296">
      <c r="A1296" s="17" t="str">
        <f>IFERROR(__xludf.DUMMYFUNCTION("""COMPUTED_VALUE"""),"")</f>
        <v/>
      </c>
      <c r="B1296" s="17" t="str">
        <f>IFERROR(__xludf.DUMMYFUNCTION("""COMPUTED_VALUE"""),"")</f>
        <v/>
      </c>
      <c r="C1296" s="17" t="str">
        <f>IFERROR(__xludf.DUMMYFUNCTION("""COMPUTED_VALUE"""),"")</f>
        <v/>
      </c>
      <c r="D1296" s="17" t="str">
        <f>IFERROR(__xludf.DUMMYFUNCTION("""COMPUTED_VALUE"""),"")</f>
        <v/>
      </c>
      <c r="E1296" s="17" t="str">
        <f>IFERROR(__xludf.DUMMYFUNCTION("""COMPUTED_VALUE"""),"")</f>
        <v/>
      </c>
      <c r="F1296" s="17" t="str">
        <f>IFERROR(__xludf.DUMMYFUNCTION("""COMPUTED_VALUE"""),"")</f>
        <v/>
      </c>
      <c r="G1296" s="17" t="str">
        <f>IFERROR(__xludf.DUMMYFUNCTION("""COMPUTED_VALUE"""),"")</f>
        <v/>
      </c>
      <c r="H1296" s="17" t="str">
        <f>IFERROR(__xludf.DUMMYFUNCTION("""COMPUTED_VALUE"""),"")</f>
        <v/>
      </c>
      <c r="I1296" s="17" t="str">
        <f>IFERROR(__xludf.DUMMYFUNCTION("""COMPUTED_VALUE"""),"")</f>
        <v/>
      </c>
      <c r="J1296" s="17" t="str">
        <f>IFERROR(__xludf.DUMMYFUNCTION("""COMPUTED_VALUE"""),"")</f>
        <v/>
      </c>
      <c r="K1296" s="17" t="str">
        <f>IFERROR(__xludf.DUMMYFUNCTION("""COMPUTED_VALUE"""),"")</f>
        <v/>
      </c>
      <c r="L1296" s="17" t="str">
        <f>IFERROR(__xludf.DUMMYFUNCTION("""COMPUTED_VALUE"""),"")</f>
        <v/>
      </c>
      <c r="M1296" s="17" t="str">
        <f>IFERROR(__xludf.DUMMYFUNCTION("""COMPUTED_VALUE"""),"")</f>
        <v/>
      </c>
      <c r="N1296" s="17" t="str">
        <f>IFERROR(__xludf.DUMMYFUNCTION("""COMPUTED_VALUE"""),"")</f>
        <v/>
      </c>
      <c r="O1296" s="17" t="str">
        <f>IFERROR(__xludf.DUMMYFUNCTION("""COMPUTED_VALUE"""),"")</f>
        <v/>
      </c>
      <c r="P1296" s="17" t="str">
        <f>IFERROR(__xludf.DUMMYFUNCTION("""COMPUTED_VALUE"""),"")</f>
        <v/>
      </c>
      <c r="Q1296" s="17" t="str">
        <f>IFERROR(__xludf.DUMMYFUNCTION("""COMPUTED_VALUE"""),"")</f>
        <v/>
      </c>
      <c r="R1296" s="17" t="str">
        <f>IFERROR(__xludf.DUMMYFUNCTION("""COMPUTED_VALUE"""),"")</f>
        <v/>
      </c>
    </row>
    <row r="1297">
      <c r="A1297" s="15">
        <f>IFERROR(__xludf.DUMMYFUNCTION("""COMPUTED_VALUE"""),45037.0)</f>
        <v>45037</v>
      </c>
      <c r="B1297" s="17"/>
      <c r="C1297" s="15" t="str">
        <f>IFERROR(__xludf.DUMMYFUNCTION("""COMPUTED_VALUE"""),"BOGOTÁ")</f>
        <v>BOGOTÁ</v>
      </c>
      <c r="D1297" s="15" t="str">
        <f>IFERROR(__xludf.DUMMYFUNCTION("""COMPUTED_VALUE"""),"MEDELLÍN")</f>
        <v>MEDELLÍN</v>
      </c>
      <c r="E1297" s="15" t="str">
        <f>IFERROR(__xludf.DUMMYFUNCTION("""COMPUTED_VALUE"""),"Rambla")</f>
        <v>Rambla</v>
      </c>
      <c r="F1297" s="17" t="str">
        <f>IFERROR(__xludf.DUMMYFUNCTION("""COMPUTED_VALUE"""),"Carrera 26 #61f29apto 502 edificio fontanella barrio Campin / na / na")</f>
        <v>Carrera 26 #61f29apto 502 edificio fontanella barrio Campin / na / na</v>
      </c>
      <c r="G1297" s="15" t="str">
        <f>IFERROR(__xludf.DUMMYFUNCTION("""COMPUTED_VALUE"""),"Claudia Álvarez")</f>
        <v>Claudia Álvarez</v>
      </c>
      <c r="H1297" s="16">
        <f>IFERROR(__xludf.DUMMYFUNCTION("""COMPUTED_VALUE"""),9981.0)</f>
        <v>9981</v>
      </c>
      <c r="I1297" s="18">
        <f>IFERROR(__xludf.DUMMYFUNCTION("""COMPUTED_VALUE"""),20.0)</f>
        <v>20</v>
      </c>
      <c r="J1297" s="18">
        <f>IFERROR(__xludf.DUMMYFUNCTION("""COMPUTED_VALUE"""),24.0)</f>
        <v>24</v>
      </c>
      <c r="K1297" s="18">
        <f>IFERROR(__xludf.DUMMYFUNCTION("""COMPUTED_VALUE"""),28.0)</f>
        <v>28</v>
      </c>
      <c r="L1297" s="17">
        <f>IFERROR(__xludf.DUMMYFUNCTION("""COMPUTED_VALUE"""),3.006089904E9)</f>
        <v>3006089904</v>
      </c>
      <c r="M1297" s="17" t="str">
        <f>IFERROR(__xludf.DUMMYFUNCTION("""COMPUTED_VALUE"""),"#REF!")</f>
        <v>#REF!</v>
      </c>
      <c r="N1297" s="19" t="str">
        <f>IFERROR(__xludf.DUMMYFUNCTION("""COMPUTED_VALUE"""),"")</f>
        <v/>
      </c>
      <c r="O1297" s="19" t="str">
        <f>IFERROR(__xludf.DUMMYFUNCTION("""COMPUTED_VALUE"""),"")</f>
        <v/>
      </c>
      <c r="P1297" s="17" t="b">
        <f>IFERROR(__xludf.DUMMYFUNCTION("""COMPUTED_VALUE"""),FALSE)</f>
        <v>0</v>
      </c>
      <c r="Q1297" s="20" t="str">
        <f>IFERROR(__xludf.DUMMYFUNCTION("""COMPUTED_VALUE"""),"")</f>
        <v/>
      </c>
      <c r="R1297" s="22" t="str">
        <f>IFERROR(__xludf.DUMMYFUNCTION("""COMPUTED_VALUE"""),"")</f>
        <v/>
      </c>
    </row>
    <row r="1298">
      <c r="A1298" s="17" t="str">
        <f>IFERROR(__xludf.DUMMYFUNCTION("""COMPUTED_VALUE"""),"")</f>
        <v/>
      </c>
      <c r="B1298" s="17" t="str">
        <f>IFERROR(__xludf.DUMMYFUNCTION("""COMPUTED_VALUE"""),"")</f>
        <v/>
      </c>
      <c r="C1298" s="17" t="str">
        <f>IFERROR(__xludf.DUMMYFUNCTION("""COMPUTED_VALUE"""),"")</f>
        <v/>
      </c>
      <c r="D1298" s="17" t="str">
        <f>IFERROR(__xludf.DUMMYFUNCTION("""COMPUTED_VALUE"""),"")</f>
        <v/>
      </c>
      <c r="E1298" s="17" t="str">
        <f>IFERROR(__xludf.DUMMYFUNCTION("""COMPUTED_VALUE"""),"")</f>
        <v/>
      </c>
      <c r="F1298" s="17" t="str">
        <f>IFERROR(__xludf.DUMMYFUNCTION("""COMPUTED_VALUE"""),"")</f>
        <v/>
      </c>
      <c r="G1298" s="17" t="str">
        <f>IFERROR(__xludf.DUMMYFUNCTION("""COMPUTED_VALUE"""),"")</f>
        <v/>
      </c>
      <c r="H1298" s="17" t="str">
        <f>IFERROR(__xludf.DUMMYFUNCTION("""COMPUTED_VALUE"""),"")</f>
        <v/>
      </c>
      <c r="I1298" s="17" t="str">
        <f>IFERROR(__xludf.DUMMYFUNCTION("""COMPUTED_VALUE"""),"")</f>
        <v/>
      </c>
      <c r="J1298" s="17" t="str">
        <f>IFERROR(__xludf.DUMMYFUNCTION("""COMPUTED_VALUE"""),"")</f>
        <v/>
      </c>
      <c r="K1298" s="17" t="str">
        <f>IFERROR(__xludf.DUMMYFUNCTION("""COMPUTED_VALUE"""),"")</f>
        <v/>
      </c>
      <c r="L1298" s="17" t="str">
        <f>IFERROR(__xludf.DUMMYFUNCTION("""COMPUTED_VALUE"""),"")</f>
        <v/>
      </c>
      <c r="M1298" s="17" t="str">
        <f>IFERROR(__xludf.DUMMYFUNCTION("""COMPUTED_VALUE"""),"")</f>
        <v/>
      </c>
      <c r="N1298" s="17" t="str">
        <f>IFERROR(__xludf.DUMMYFUNCTION("""COMPUTED_VALUE"""),"")</f>
        <v/>
      </c>
      <c r="O1298" s="17" t="str">
        <f>IFERROR(__xludf.DUMMYFUNCTION("""COMPUTED_VALUE"""),"")</f>
        <v/>
      </c>
      <c r="P1298" s="17" t="str">
        <f>IFERROR(__xludf.DUMMYFUNCTION("""COMPUTED_VALUE"""),"")</f>
        <v/>
      </c>
      <c r="Q1298" s="17" t="str">
        <f>IFERROR(__xludf.DUMMYFUNCTION("""COMPUTED_VALUE"""),"")</f>
        <v/>
      </c>
      <c r="R1298" s="17" t="str">
        <f>IFERROR(__xludf.DUMMYFUNCTION("""COMPUTED_VALUE"""),"")</f>
        <v/>
      </c>
    </row>
    <row r="1299">
      <c r="A1299" s="15">
        <f>IFERROR(__xludf.DUMMYFUNCTION("""COMPUTED_VALUE"""),45037.0)</f>
        <v>45037</v>
      </c>
      <c r="B1299" s="16" t="str">
        <f>IFERROR(__xludf.DUMMYFUNCTION("""COMPUTED_VALUE"""),"Daniel José sandoval gonzalez")</f>
        <v>Daniel José sandoval gonzalez</v>
      </c>
      <c r="C1299" s="15" t="str">
        <f>IFERROR(__xludf.DUMMYFUNCTION("""COMPUTED_VALUE"""),"BARRANQUILLA")</f>
        <v>BARRANQUILLA</v>
      </c>
      <c r="D1299" s="15" t="str">
        <f>IFERROR(__xludf.DUMMYFUNCTION("""COMPUTED_VALUE"""),"BOGOTÁ")</f>
        <v>BOGOTÁ</v>
      </c>
      <c r="E1299" s="15" t="str">
        <f>IFERROR(__xludf.DUMMYFUNCTION("""COMPUTED_VALUE"""),"Athenas")</f>
        <v>Athenas</v>
      </c>
      <c r="F1299" s="17" t="str">
        <f>IFERROR(__xludf.DUMMYFUNCTION("""COMPUTED_VALUE"""),"CARRERA 43 # 60-25 / GIMNACIO BODYTECH CAFETERIA ATHENAS / BARRIO EL RECREO")</f>
        <v>CARRERA 43 # 60-25 / GIMNACIO BODYTECH CAFETERIA ATHENAS / BARRIO EL RECREO</v>
      </c>
      <c r="G1299" s="15" t="str">
        <f>IFERROR(__xludf.DUMMYFUNCTION("""COMPUTED_VALUE"""),"YASSER GUTIERRES REALES")</f>
        <v>YASSER GUTIERRES REALES</v>
      </c>
      <c r="H1299" s="16">
        <f>IFERROR(__xludf.DUMMYFUNCTION("""COMPUTED_VALUE"""),9958.0)</f>
        <v>9958</v>
      </c>
      <c r="I1299" s="18">
        <f>IFERROR(__xludf.DUMMYFUNCTION("""COMPUTED_VALUE"""),21.0)</f>
        <v>21</v>
      </c>
      <c r="J1299" s="18">
        <f>IFERROR(__xludf.DUMMYFUNCTION("""COMPUTED_VALUE"""),50.0)</f>
        <v>50</v>
      </c>
      <c r="K1299" s="18">
        <f>IFERROR(__xludf.DUMMYFUNCTION("""COMPUTED_VALUE"""),30.0)</f>
        <v>30</v>
      </c>
      <c r="L1299" s="17">
        <f>IFERROR(__xludf.DUMMYFUNCTION("""COMPUTED_VALUE"""),3.106158334E9)</f>
        <v>3106158334</v>
      </c>
      <c r="M1299" s="17" t="str">
        <f>IFERROR(__xludf.DUMMYFUNCTION("""COMPUTED_VALUE"""),"#REF!")</f>
        <v>#REF!</v>
      </c>
      <c r="N1299" s="17"/>
      <c r="O1299" s="19" t="str">
        <f>IFERROR(__xludf.DUMMYFUNCTION("""COMPUTED_VALUE"""),"")</f>
        <v/>
      </c>
      <c r="P1299" s="17" t="b">
        <f>IFERROR(__xludf.DUMMYFUNCTION("""COMPUTED_VALUE"""),FALSE)</f>
        <v>0</v>
      </c>
      <c r="Q1299" s="20" t="str">
        <f>IFERROR(__xludf.DUMMYFUNCTION("""COMPUTED_VALUE"""),"")</f>
        <v/>
      </c>
      <c r="R1299" s="22" t="str">
        <f>IFERROR(__xludf.DUMMYFUNCTION("""COMPUTED_VALUE"""),"")</f>
        <v/>
      </c>
    </row>
    <row r="1300">
      <c r="A1300" s="15">
        <f>IFERROR(__xludf.DUMMYFUNCTION("""COMPUTED_VALUE"""),45037.0)</f>
        <v>45037</v>
      </c>
      <c r="B1300" s="16" t="str">
        <f>IFERROR(__xludf.DUMMYFUNCTION("""COMPUTED_VALUE"""),"Daniel José sandoval gonzalez")</f>
        <v>Daniel José sandoval gonzalez</v>
      </c>
      <c r="C1300" s="15" t="str">
        <f>IFERROR(__xludf.DUMMYFUNCTION("""COMPUTED_VALUE"""),"BARRANQUILLA")</f>
        <v>BARRANQUILLA</v>
      </c>
      <c r="D1300" s="15" t="str">
        <f>IFERROR(__xludf.DUMMYFUNCTION("""COMPUTED_VALUE"""),"BOGOTÁ")</f>
        <v>BOGOTÁ</v>
      </c>
      <c r="E1300" s="15" t="str">
        <f>IFERROR(__xludf.DUMMYFUNCTION("""COMPUTED_VALUE"""),"Banana Bread")</f>
        <v>Banana Bread</v>
      </c>
      <c r="F1300" s="17" t="str">
        <f>IFERROR(__xludf.DUMMYFUNCTION("""COMPUTED_VALUE"""),"CARRERA 55 #80 - 238  / EDIFICIO MODIGLIANI  APTO 4 / BARRANQUILLA")</f>
        <v>CARRERA 55 #80 - 238  / EDIFICIO MODIGLIANI  APTO 4 / BARRANQUILLA</v>
      </c>
      <c r="G1300" s="15" t="str">
        <f>IFERROR(__xludf.DUMMYFUNCTION("""COMPUTED_VALUE"""),"DANIEL SAIEH")</f>
        <v>DANIEL SAIEH</v>
      </c>
      <c r="H1300" s="16">
        <f>IFERROR(__xludf.DUMMYFUNCTION("""COMPUTED_VALUE"""),9927.0)</f>
        <v>9927</v>
      </c>
      <c r="I1300" s="18">
        <f>IFERROR(__xludf.DUMMYFUNCTION("""COMPUTED_VALUE"""),37.0)</f>
        <v>37</v>
      </c>
      <c r="J1300" s="18">
        <f>IFERROR(__xludf.DUMMYFUNCTION("""COMPUTED_VALUE"""),26.0)</f>
        <v>26</v>
      </c>
      <c r="K1300" s="18">
        <f>IFERROR(__xludf.DUMMYFUNCTION("""COMPUTED_VALUE"""),48.0)</f>
        <v>48</v>
      </c>
      <c r="L1300" s="17">
        <f>IFERROR(__xludf.DUMMYFUNCTION("""COMPUTED_VALUE"""),3.107070639E9)</f>
        <v>3107070639</v>
      </c>
      <c r="M1300" s="17" t="str">
        <f>IFERROR(__xludf.DUMMYFUNCTION("""COMPUTED_VALUE"""),"#REF!")</f>
        <v>#REF!</v>
      </c>
      <c r="N1300" s="17"/>
      <c r="O1300" s="19" t="str">
        <f>IFERROR(__xludf.DUMMYFUNCTION("""COMPUTED_VALUE"""),"")</f>
        <v/>
      </c>
      <c r="P1300" s="17" t="b">
        <f>IFERROR(__xludf.DUMMYFUNCTION("""COMPUTED_VALUE"""),FALSE)</f>
        <v>0</v>
      </c>
      <c r="Q1300" s="20" t="str">
        <f>IFERROR(__xludf.DUMMYFUNCTION("""COMPUTED_VALUE"""),"")</f>
        <v/>
      </c>
      <c r="R1300" s="22" t="str">
        <f>IFERROR(__xludf.DUMMYFUNCTION("""COMPUTED_VALUE"""),"")</f>
        <v/>
      </c>
    </row>
    <row r="1301">
      <c r="A1301" s="15">
        <f>IFERROR(__xludf.DUMMYFUNCTION("""COMPUTED_VALUE"""),45037.0)</f>
        <v>45037</v>
      </c>
      <c r="B1301" s="16" t="str">
        <f>IFERROR(__xludf.DUMMYFUNCTION("""COMPUTED_VALUE"""),"Daniel José sandoval gonzalez")</f>
        <v>Daniel José sandoval gonzalez</v>
      </c>
      <c r="C1301" s="15" t="str">
        <f>IFERROR(__xludf.DUMMYFUNCTION("""COMPUTED_VALUE"""),"BARRANQUILLA")</f>
        <v>BARRANQUILLA</v>
      </c>
      <c r="D1301" s="15" t="str">
        <f>IFERROR(__xludf.DUMMYFUNCTION("""COMPUTED_VALUE"""),"CALI")</f>
        <v>CALI</v>
      </c>
      <c r="E1301" s="15" t="str">
        <f>IFERROR(__xludf.DUMMYFUNCTION("""COMPUTED_VALUE"""),"Sabor Típico")</f>
        <v>Sabor Típico</v>
      </c>
      <c r="F1301" s="17" t="str">
        <f>IFERROR(__xludf.DUMMYFUNCTION("""COMPUTED_VALUE"""),"Calle 73 #38-22, Barrio Las Delicias / Dirección: Calle 73 #38-22, Barrio Las Delicias Ciudad: Barranquilla Tel. 3052936344 - 3328933 NIT.  55220179-3 dianagro2005@hotmail.com / Las Delicias")</f>
        <v>Calle 73 #38-22, Barrio Las Delicias / Dirección: Calle 73 #38-22, Barrio Las Delicias Ciudad: Barranquilla Tel. 3052936344 - 3328933 NIT.  55220179-3 dianagro2005@hotmail.com / Las Delicias</v>
      </c>
      <c r="G1301" s="15" t="str">
        <f>IFERROR(__xludf.DUMMYFUNCTION("""COMPUTED_VALUE"""),"DIANAGRO DISTRIBUCIONES")</f>
        <v>DIANAGRO DISTRIBUCIONES</v>
      </c>
      <c r="H1301" s="16">
        <f>IFERROR(__xludf.DUMMYFUNCTION("""COMPUTED_VALUE"""),9883.0)</f>
        <v>9883</v>
      </c>
      <c r="I1301" s="18">
        <f>IFERROR(__xludf.DUMMYFUNCTION("""COMPUTED_VALUE"""),12.0)</f>
        <v>12</v>
      </c>
      <c r="J1301" s="18">
        <f>IFERROR(__xludf.DUMMYFUNCTION("""COMPUTED_VALUE"""),22.0)</f>
        <v>22</v>
      </c>
      <c r="K1301" s="18">
        <f>IFERROR(__xludf.DUMMYFUNCTION("""COMPUTED_VALUE"""),22.0)</f>
        <v>22</v>
      </c>
      <c r="L1301" s="17">
        <f>IFERROR(__xludf.DUMMYFUNCTION("""COMPUTED_VALUE"""),3.052936344E9)</f>
        <v>3052936344</v>
      </c>
      <c r="M1301" s="17" t="str">
        <f>IFERROR(__xludf.DUMMYFUNCTION("""COMPUTED_VALUE"""),"#REF!")</f>
        <v>#REF!</v>
      </c>
      <c r="N1301" s="17"/>
      <c r="O1301" s="19" t="str">
        <f>IFERROR(__xludf.DUMMYFUNCTION("""COMPUTED_VALUE"""),"")</f>
        <v/>
      </c>
      <c r="P1301" s="17" t="b">
        <f>IFERROR(__xludf.DUMMYFUNCTION("""COMPUTED_VALUE"""),FALSE)</f>
        <v>0</v>
      </c>
      <c r="Q1301" s="20" t="str">
        <f>IFERROR(__xludf.DUMMYFUNCTION("""COMPUTED_VALUE"""),"")</f>
        <v/>
      </c>
      <c r="R1301" s="22" t="str">
        <f>IFERROR(__xludf.DUMMYFUNCTION("""COMPUTED_VALUE"""),"")</f>
        <v/>
      </c>
    </row>
    <row r="1302">
      <c r="A1302" s="15">
        <f>IFERROR(__xludf.DUMMYFUNCTION("""COMPUTED_VALUE"""),45037.0)</f>
        <v>45037</v>
      </c>
      <c r="B1302" s="16" t="str">
        <f>IFERROR(__xludf.DUMMYFUNCTION("""COMPUTED_VALUE"""),"Daniel José sandoval gonzalez")</f>
        <v>Daniel José sandoval gonzalez</v>
      </c>
      <c r="C1302" s="15" t="str">
        <f>IFERROR(__xludf.DUMMYFUNCTION("""COMPUTED_VALUE"""),"BARRANQUILLA")</f>
        <v>BARRANQUILLA</v>
      </c>
      <c r="D1302" s="15" t="str">
        <f>IFERROR(__xludf.DUMMYFUNCTION("""COMPUTED_VALUE"""),"MEDELLÍN")</f>
        <v>MEDELLÍN</v>
      </c>
      <c r="E1302" s="15" t="str">
        <f>IFERROR(__xludf.DUMMYFUNCTION("""COMPUTED_VALUE"""),"Baby Chef")</f>
        <v>Baby Chef</v>
      </c>
      <c r="F1302" s="17" t="str">
        <f>IFERROR(__xludf.DUMMYFUNCTION("""COMPUTED_VALUE"""),"Calle 120 # 42B- 112 . Cojunto Amazilia. Torre 9 apartamento 201 /  Calle 120 # 42B- 112 . Cojunto Amazilia. Torre 9 apartamento 201 /  Calle 120 # 42B- 112 . Cojunto Amazilia. Torre 9 apartamento 201")</f>
        <v>Calle 120 # 42B- 112 . Cojunto Amazilia. Torre 9 apartamento 201 /  Calle 120 # 42B- 112 . Cojunto Amazilia. Torre 9 apartamento 201 /  Calle 120 # 42B- 112 . Cojunto Amazilia. Torre 9 apartamento 201</v>
      </c>
      <c r="G1302" s="15" t="str">
        <f>IFERROR(__xludf.DUMMYFUNCTION("""COMPUTED_VALUE"""),"Yuri romero - LLAMAR PARA QUE BAJEN APENAS ESTE EN PORTERIA-  este es el del esposo si ella no contesta 3215584323")</f>
        <v>Yuri romero - LLAMAR PARA QUE BAJEN APENAS ESTE EN PORTERIA-  este es el del esposo si ella no contesta 3215584323</v>
      </c>
      <c r="H1302" s="16">
        <f>IFERROR(__xludf.DUMMYFUNCTION("""COMPUTED_VALUE"""),9923.0)</f>
        <v>9923</v>
      </c>
      <c r="I1302" s="18">
        <f>IFERROR(__xludf.DUMMYFUNCTION("""COMPUTED_VALUE"""),8.0)</f>
        <v>8</v>
      </c>
      <c r="J1302" s="18">
        <f>IFERROR(__xludf.DUMMYFUNCTION("""COMPUTED_VALUE"""),16.0)</f>
        <v>16</v>
      </c>
      <c r="K1302" s="18">
        <f>IFERROR(__xludf.DUMMYFUNCTION("""COMPUTED_VALUE"""),20.0)</f>
        <v>20</v>
      </c>
      <c r="L1302" s="17">
        <f>IFERROR(__xludf.DUMMYFUNCTION("""COMPUTED_VALUE"""),3.212688581E9)</f>
        <v>3212688581</v>
      </c>
      <c r="M1302" s="17" t="str">
        <f>IFERROR(__xludf.DUMMYFUNCTION("""COMPUTED_VALUE"""),"#REF!")</f>
        <v>#REF!</v>
      </c>
      <c r="N1302" s="17"/>
      <c r="O1302" s="19" t="str">
        <f>IFERROR(__xludf.DUMMYFUNCTION("""COMPUTED_VALUE"""),"")</f>
        <v/>
      </c>
      <c r="P1302" s="17" t="b">
        <f>IFERROR(__xludf.DUMMYFUNCTION("""COMPUTED_VALUE"""),FALSE)</f>
        <v>0</v>
      </c>
      <c r="Q1302" s="20" t="str">
        <f>IFERROR(__xludf.DUMMYFUNCTION("""COMPUTED_VALUE"""),"")</f>
        <v/>
      </c>
      <c r="R1302" s="22" t="str">
        <f>IFERROR(__xludf.DUMMYFUNCTION("""COMPUTED_VALUE"""),"")</f>
        <v/>
      </c>
    </row>
    <row r="1303">
      <c r="A1303" s="15">
        <f>IFERROR(__xludf.DUMMYFUNCTION("""COMPUTED_VALUE"""),45037.0)</f>
        <v>45037</v>
      </c>
      <c r="B1303" s="16" t="str">
        <f>IFERROR(__xludf.DUMMYFUNCTION("""COMPUTED_VALUE"""),"Daniel José sandoval gonzalez")</f>
        <v>Daniel José sandoval gonzalez</v>
      </c>
      <c r="C1303" s="15" t="str">
        <f>IFERROR(__xludf.DUMMYFUNCTION("""COMPUTED_VALUE"""),"BARRANQUILLA")</f>
        <v>BARRANQUILLA</v>
      </c>
      <c r="D1303" s="15" t="str">
        <f>IFERROR(__xludf.DUMMYFUNCTION("""COMPUTED_VALUE"""),"MEDELLÍN")</f>
        <v>MEDELLÍN</v>
      </c>
      <c r="E1303" s="15" t="str">
        <f>IFERROR(__xludf.DUMMYFUNCTION("""COMPUTED_VALUE"""),"Magda")</f>
        <v>Magda</v>
      </c>
      <c r="F1303" s="17" t="str">
        <f>IFERROR(__xludf.DUMMYFUNCTION("""COMPUTED_VALUE"""),"Cra 53 No. 68-55 / cocina oculta / Alto prado")</f>
        <v>Cra 53 No. 68-55 / cocina oculta / Alto prado</v>
      </c>
      <c r="G1303" s="15" t="str">
        <f>IFERROR(__xludf.DUMMYFUNCTION("""COMPUTED_VALUE"""),"María José Cervantes")</f>
        <v>María José Cervantes</v>
      </c>
      <c r="H1303" s="16">
        <f>IFERROR(__xludf.DUMMYFUNCTION("""COMPUTED_VALUE"""),9954.0)</f>
        <v>9954</v>
      </c>
      <c r="I1303" s="18">
        <f>IFERROR(__xludf.DUMMYFUNCTION("""COMPUTED_VALUE"""),5.0)</f>
        <v>5</v>
      </c>
      <c r="J1303" s="18">
        <f>IFERROR(__xludf.DUMMYFUNCTION("""COMPUTED_VALUE"""),5.0)</f>
        <v>5</v>
      </c>
      <c r="K1303" s="18">
        <f>IFERROR(__xludf.DUMMYFUNCTION("""COMPUTED_VALUE"""),5.0)</f>
        <v>5</v>
      </c>
      <c r="L1303" s="17">
        <f>IFERROR(__xludf.DUMMYFUNCTION("""COMPUTED_VALUE"""),3.113152215E9)</f>
        <v>3113152215</v>
      </c>
      <c r="M1303" s="17" t="str">
        <f>IFERROR(__xludf.DUMMYFUNCTION("""COMPUTED_VALUE"""),"#REF!")</f>
        <v>#REF!</v>
      </c>
      <c r="N1303" s="17"/>
      <c r="O1303" s="19" t="str">
        <f>IFERROR(__xludf.DUMMYFUNCTION("""COMPUTED_VALUE"""),"")</f>
        <v/>
      </c>
      <c r="P1303" s="17" t="b">
        <f>IFERROR(__xludf.DUMMYFUNCTION("""COMPUTED_VALUE"""),FALSE)</f>
        <v>0</v>
      </c>
      <c r="Q1303" s="20" t="str">
        <f>IFERROR(__xludf.DUMMYFUNCTION("""COMPUTED_VALUE"""),"")</f>
        <v/>
      </c>
      <c r="R1303" s="22" t="str">
        <f>IFERROR(__xludf.DUMMYFUNCTION("""COMPUTED_VALUE"""),"")</f>
        <v/>
      </c>
    </row>
    <row r="1304">
      <c r="A1304" s="17" t="str">
        <f>IFERROR(__xludf.DUMMYFUNCTION("""COMPUTED_VALUE"""),"")</f>
        <v/>
      </c>
      <c r="B1304" s="17" t="str">
        <f>IFERROR(__xludf.DUMMYFUNCTION("""COMPUTED_VALUE"""),"")</f>
        <v/>
      </c>
      <c r="C1304" s="17" t="str">
        <f>IFERROR(__xludf.DUMMYFUNCTION("""COMPUTED_VALUE"""),"")</f>
        <v/>
      </c>
      <c r="D1304" s="17" t="str">
        <f>IFERROR(__xludf.DUMMYFUNCTION("""COMPUTED_VALUE"""),"")</f>
        <v/>
      </c>
      <c r="E1304" s="17" t="str">
        <f>IFERROR(__xludf.DUMMYFUNCTION("""COMPUTED_VALUE"""),"")</f>
        <v/>
      </c>
      <c r="F1304" s="17" t="str">
        <f>IFERROR(__xludf.DUMMYFUNCTION("""COMPUTED_VALUE"""),"")</f>
        <v/>
      </c>
      <c r="G1304" s="17" t="str">
        <f>IFERROR(__xludf.DUMMYFUNCTION("""COMPUTED_VALUE"""),"")</f>
        <v/>
      </c>
      <c r="H1304" s="17" t="str">
        <f>IFERROR(__xludf.DUMMYFUNCTION("""COMPUTED_VALUE"""),"")</f>
        <v/>
      </c>
      <c r="I1304" s="17" t="str">
        <f>IFERROR(__xludf.DUMMYFUNCTION("""COMPUTED_VALUE"""),"")</f>
        <v/>
      </c>
      <c r="J1304" s="17" t="str">
        <f>IFERROR(__xludf.DUMMYFUNCTION("""COMPUTED_VALUE"""),"")</f>
        <v/>
      </c>
      <c r="K1304" s="17" t="str">
        <f>IFERROR(__xludf.DUMMYFUNCTION("""COMPUTED_VALUE"""),"")</f>
        <v/>
      </c>
      <c r="L1304" s="17" t="str">
        <f>IFERROR(__xludf.DUMMYFUNCTION("""COMPUTED_VALUE"""),"")</f>
        <v/>
      </c>
      <c r="M1304" s="17" t="str">
        <f>IFERROR(__xludf.DUMMYFUNCTION("""COMPUTED_VALUE"""),"")</f>
        <v/>
      </c>
      <c r="N1304" s="17" t="str">
        <f>IFERROR(__xludf.DUMMYFUNCTION("""COMPUTED_VALUE"""),"")</f>
        <v/>
      </c>
      <c r="O1304" s="17" t="str">
        <f>IFERROR(__xludf.DUMMYFUNCTION("""COMPUTED_VALUE"""),"")</f>
        <v/>
      </c>
      <c r="P1304" s="17" t="str">
        <f>IFERROR(__xludf.DUMMYFUNCTION("""COMPUTED_VALUE"""),"")</f>
        <v/>
      </c>
      <c r="Q1304" s="17" t="str">
        <f>IFERROR(__xludf.DUMMYFUNCTION("""COMPUTED_VALUE"""),"")</f>
        <v/>
      </c>
      <c r="R1304" s="17" t="str">
        <f>IFERROR(__xludf.DUMMYFUNCTION("""COMPUTED_VALUE"""),"")</f>
        <v/>
      </c>
    </row>
    <row r="1305">
      <c r="A1305" s="15">
        <f>IFERROR(__xludf.DUMMYFUNCTION("""COMPUTED_VALUE"""),45037.0)</f>
        <v>45037</v>
      </c>
      <c r="B1305" s="16" t="str">
        <f>IFERROR(__xludf.DUMMYFUNCTION("""COMPUTED_VALUE"""),"Envia")</f>
        <v>Envia</v>
      </c>
      <c r="C1305" s="15" t="str">
        <f>IFERROR(__xludf.DUMMYFUNCTION("""COMPUTED_VALUE"""),"BARRANQUILLA")</f>
        <v>BARRANQUILLA</v>
      </c>
      <c r="D1305" s="15" t="str">
        <f>IFERROR(__xludf.DUMMYFUNCTION("""COMPUTED_VALUE"""),"MEDELLÍN")</f>
        <v>MEDELLÍN</v>
      </c>
      <c r="E1305" s="15" t="str">
        <f>IFERROR(__xludf.DUMMYFUNCTION("""COMPUTED_VALUE"""),"Baby Chef")</f>
        <v>Baby Chef</v>
      </c>
      <c r="F1305" s="17" t="str">
        <f>IFERROR(__xludf.DUMMYFUNCTION("""COMPUTED_VALUE"""),"CRA 13 # 108 - 08 / Conjunto Amazilia. Torre 9 apartamento 201 / LOCAL 1")</f>
        <v>CRA 13 # 108 - 08 / Conjunto Amazilia. Torre 9 apartamento 201 / LOCAL 1</v>
      </c>
      <c r="G1305" s="15" t="str">
        <f>IFERROR(__xludf.DUMMYFUNCTION("""COMPUTED_VALUE"""),"ELKIN URIBE SERRANO")</f>
        <v>ELKIN URIBE SERRANO</v>
      </c>
      <c r="H1305" s="16">
        <f>IFERROR(__xludf.DUMMYFUNCTION("""COMPUTED_VALUE"""),9951.0)</f>
        <v>9951</v>
      </c>
      <c r="I1305" s="18">
        <f>IFERROR(__xludf.DUMMYFUNCTION("""COMPUTED_VALUE"""),8.0)</f>
        <v>8</v>
      </c>
      <c r="J1305" s="18">
        <f>IFERROR(__xludf.DUMMYFUNCTION("""COMPUTED_VALUE"""),16.0)</f>
        <v>16</v>
      </c>
      <c r="K1305" s="18">
        <f>IFERROR(__xludf.DUMMYFUNCTION("""COMPUTED_VALUE"""),20.0)</f>
        <v>20</v>
      </c>
      <c r="L1305" s="17">
        <f>IFERROR(__xludf.DUMMYFUNCTION("""COMPUTED_VALUE"""),3.187278202E9)</f>
        <v>3187278202</v>
      </c>
      <c r="M1305" s="17" t="str">
        <f>IFERROR(__xludf.DUMMYFUNCTION("""COMPUTED_VALUE"""),"#REF!")</f>
        <v>#REF!</v>
      </c>
      <c r="N1305" s="17"/>
      <c r="O1305" s="19" t="str">
        <f>IFERROR(__xludf.DUMMYFUNCTION("""COMPUTED_VALUE"""),"")</f>
        <v/>
      </c>
      <c r="P1305" s="17" t="b">
        <f>IFERROR(__xludf.DUMMYFUNCTION("""COMPUTED_VALUE"""),FALSE)</f>
        <v>0</v>
      </c>
      <c r="Q1305" s="20" t="str">
        <f>IFERROR(__xludf.DUMMYFUNCTION("""COMPUTED_VALUE"""),"")</f>
        <v/>
      </c>
      <c r="R1305" s="22" t="str">
        <f>IFERROR(__xludf.DUMMYFUNCTION("""COMPUTED_VALUE"""),"")</f>
        <v/>
      </c>
    </row>
    <row r="1306">
      <c r="A1306" s="15">
        <f>IFERROR(__xludf.DUMMYFUNCTION("""COMPUTED_VALUE"""),45037.0)</f>
        <v>45037</v>
      </c>
      <c r="B1306" s="16" t="str">
        <f>IFERROR(__xludf.DUMMYFUNCTION("""COMPUTED_VALUE"""),"Envia")</f>
        <v>Envia</v>
      </c>
      <c r="C1306" s="15" t="str">
        <f>IFERROR(__xludf.DUMMYFUNCTION("""COMPUTED_VALUE"""),"BOGOTÁ")</f>
        <v>BOGOTÁ</v>
      </c>
      <c r="D1306" s="15" t="str">
        <f>IFERROR(__xludf.DUMMYFUNCTION("""COMPUTED_VALUE"""),"MEDELLÍN")</f>
        <v>MEDELLÍN</v>
      </c>
      <c r="E1306" s="15" t="str">
        <f>IFERROR(__xludf.DUMMYFUNCTION("""COMPUTED_VALUE"""),"Moloso S.A.S")</f>
        <v>Moloso S.A.S</v>
      </c>
      <c r="F1306" s="17" t="str">
        <f>IFERROR(__xludf.DUMMYFUNCTION("""COMPUTED_VALUE"""),"CR 23 106 B 64 / EDF MYSTIQUE 106")</f>
        <v>CR 23 106 B 64 / EDF MYSTIQUE 106</v>
      </c>
      <c r="G1306" s="15" t="str">
        <f>IFERROR(__xludf.DUMMYFUNCTION("""COMPUTED_VALUE"""),"MARIANA OSPINA")</f>
        <v>MARIANA OSPINA</v>
      </c>
      <c r="H1306" s="16">
        <f>IFERROR(__xludf.DUMMYFUNCTION("""COMPUTED_VALUE"""),9959.0)</f>
        <v>9959</v>
      </c>
      <c r="I1306" s="18">
        <f>IFERROR(__xludf.DUMMYFUNCTION("""COMPUTED_VALUE"""),17.0)</f>
        <v>17</v>
      </c>
      <c r="J1306" s="18">
        <f>IFERROR(__xludf.DUMMYFUNCTION("""COMPUTED_VALUE"""),15.0)</f>
        <v>15</v>
      </c>
      <c r="K1306" s="18">
        <f>IFERROR(__xludf.DUMMYFUNCTION("""COMPUTED_VALUE"""),28.0)</f>
        <v>28</v>
      </c>
      <c r="L1306" s="17">
        <f>IFERROR(__xludf.DUMMYFUNCTION("""COMPUTED_VALUE"""),3.017656611E9)</f>
        <v>3017656611</v>
      </c>
      <c r="M1306" s="17" t="str">
        <f>IFERROR(__xludf.DUMMYFUNCTION("""COMPUTED_VALUE"""),"#REF!")</f>
        <v>#REF!</v>
      </c>
      <c r="N1306" s="17"/>
      <c r="O1306" s="19" t="str">
        <f>IFERROR(__xludf.DUMMYFUNCTION("""COMPUTED_VALUE"""),"")</f>
        <v/>
      </c>
      <c r="P1306" s="17" t="b">
        <f>IFERROR(__xludf.DUMMYFUNCTION("""COMPUTED_VALUE"""),FALSE)</f>
        <v>0</v>
      </c>
      <c r="Q1306" s="20" t="str">
        <f>IFERROR(__xludf.DUMMYFUNCTION("""COMPUTED_VALUE"""),"")</f>
        <v/>
      </c>
      <c r="R1306" s="22" t="str">
        <f>IFERROR(__xludf.DUMMYFUNCTION("""COMPUTED_VALUE"""),"")</f>
        <v/>
      </c>
    </row>
    <row r="1307">
      <c r="A1307" s="15">
        <f>IFERROR(__xludf.DUMMYFUNCTION("""COMPUTED_VALUE"""),45037.0)</f>
        <v>45037</v>
      </c>
      <c r="B1307" s="16" t="str">
        <f>IFERROR(__xludf.DUMMYFUNCTION("""COMPUTED_VALUE"""),"Envia")</f>
        <v>Envia</v>
      </c>
      <c r="C1307" s="15" t="str">
        <f>IFERROR(__xludf.DUMMYFUNCTION("""COMPUTED_VALUE"""),"BOGOTÁ")</f>
        <v>BOGOTÁ</v>
      </c>
      <c r="D1307" s="15" t="str">
        <f>IFERROR(__xludf.DUMMYFUNCTION("""COMPUTED_VALUE"""),"MEDELLÍN")</f>
        <v>MEDELLÍN</v>
      </c>
      <c r="E1307" s="15" t="str">
        <f>IFERROR(__xludf.DUMMYFUNCTION("""COMPUTED_VALUE"""),"Rambla")</f>
        <v>Rambla</v>
      </c>
      <c r="F1307" s="17" t="str">
        <f>IFERROR(__xludf.DUMMYFUNCTION("""COMPUTED_VALUE"""),"Calle 104#21-72 apto 501. / na / na")</f>
        <v>Calle 104#21-72 apto 501. / na / na</v>
      </c>
      <c r="G1307" s="15" t="str">
        <f>IFERROR(__xludf.DUMMYFUNCTION("""COMPUTED_VALUE"""),"Sofia Ortiz")</f>
        <v>Sofia Ortiz</v>
      </c>
      <c r="H1307" s="16">
        <f>IFERROR(__xludf.DUMMYFUNCTION("""COMPUTED_VALUE"""),9985.0)</f>
        <v>9985</v>
      </c>
      <c r="I1307" s="18">
        <f>IFERROR(__xludf.DUMMYFUNCTION("""COMPUTED_VALUE"""),20.0)</f>
        <v>20</v>
      </c>
      <c r="J1307" s="18">
        <f>IFERROR(__xludf.DUMMYFUNCTION("""COMPUTED_VALUE"""),24.0)</f>
        <v>24</v>
      </c>
      <c r="K1307" s="18">
        <f>IFERROR(__xludf.DUMMYFUNCTION("""COMPUTED_VALUE"""),28.0)</f>
        <v>28</v>
      </c>
      <c r="L1307" s="17">
        <f>IFERROR(__xludf.DUMMYFUNCTION("""COMPUTED_VALUE"""),3.006550271E9)</f>
        <v>3006550271</v>
      </c>
      <c r="M1307" s="17" t="str">
        <f>IFERROR(__xludf.DUMMYFUNCTION("""COMPUTED_VALUE"""),"#REF!")</f>
        <v>#REF!</v>
      </c>
      <c r="N1307" s="17"/>
      <c r="O1307" s="19" t="str">
        <f>IFERROR(__xludf.DUMMYFUNCTION("""COMPUTED_VALUE"""),"")</f>
        <v/>
      </c>
      <c r="P1307" s="17" t="b">
        <f>IFERROR(__xludf.DUMMYFUNCTION("""COMPUTED_VALUE"""),FALSE)</f>
        <v>0</v>
      </c>
      <c r="Q1307" s="20" t="str">
        <f>IFERROR(__xludf.DUMMYFUNCTION("""COMPUTED_VALUE"""),"")</f>
        <v/>
      </c>
      <c r="R1307" s="22" t="str">
        <f>IFERROR(__xludf.DUMMYFUNCTION("""COMPUTED_VALUE"""),"")</f>
        <v/>
      </c>
    </row>
    <row r="1308">
      <c r="A1308" s="15">
        <f>IFERROR(__xludf.DUMMYFUNCTION("""COMPUTED_VALUE"""),45037.0)</f>
        <v>45037</v>
      </c>
      <c r="B1308" s="16" t="str">
        <f>IFERROR(__xludf.DUMMYFUNCTION("""COMPUTED_VALUE"""),"Envia")</f>
        <v>Envia</v>
      </c>
      <c r="C1308" s="15" t="str">
        <f>IFERROR(__xludf.DUMMYFUNCTION("""COMPUTED_VALUE"""),"BOGOTÁ")</f>
        <v>BOGOTÁ</v>
      </c>
      <c r="D1308" s="15" t="str">
        <f>IFERROR(__xludf.DUMMYFUNCTION("""COMPUTED_VALUE"""),"NEIVA")</f>
        <v>NEIVA</v>
      </c>
      <c r="E1308" s="15" t="str">
        <f>IFERROR(__xludf.DUMMYFUNCTION("""COMPUTED_VALUE"""),"Nutrikids")</f>
        <v>Nutrikids</v>
      </c>
      <c r="F1308" s="17" t="str">
        <f>IFERROR(__xludf.DUMMYFUNCTION("""COMPUTED_VALUE"""),"Calle 23sur #68h 10  / Edificio: Plaza del parque Apto: 505  / Edificio: Plaza del parque")</f>
        <v>Calle 23sur #68h 10  / Edificio: Plaza del parque Apto: 505  / Edificio: Plaza del parque</v>
      </c>
      <c r="G1308" s="15" t="str">
        <f>IFERROR(__xludf.DUMMYFUNCTION("""COMPUTED_VALUE"""),"Jenny angelica mesa")</f>
        <v>Jenny angelica mesa</v>
      </c>
      <c r="H1308" s="16">
        <f>IFERROR(__xludf.DUMMYFUNCTION("""COMPUTED_VALUE"""),9962.0)</f>
        <v>9962</v>
      </c>
      <c r="I1308" s="18">
        <f>IFERROR(__xludf.DUMMYFUNCTION("""COMPUTED_VALUE"""),11.0)</f>
        <v>11</v>
      </c>
      <c r="J1308" s="18">
        <f>IFERROR(__xludf.DUMMYFUNCTION("""COMPUTED_VALUE"""),20.0)</f>
        <v>20</v>
      </c>
      <c r="K1308" s="18">
        <f>IFERROR(__xludf.DUMMYFUNCTION("""COMPUTED_VALUE"""),30.0)</f>
        <v>30</v>
      </c>
      <c r="L1308" s="17">
        <f>IFERROR(__xludf.DUMMYFUNCTION("""COMPUTED_VALUE"""),3.154023808E9)</f>
        <v>3154023808</v>
      </c>
      <c r="M1308" s="17" t="str">
        <f>IFERROR(__xludf.DUMMYFUNCTION("""COMPUTED_VALUE"""),"#REF!")</f>
        <v>#REF!</v>
      </c>
      <c r="N1308" s="17"/>
      <c r="O1308" s="19" t="str">
        <f>IFERROR(__xludf.DUMMYFUNCTION("""COMPUTED_VALUE"""),"")</f>
        <v/>
      </c>
      <c r="P1308" s="17" t="b">
        <f>IFERROR(__xludf.DUMMYFUNCTION("""COMPUTED_VALUE"""),FALSE)</f>
        <v>0</v>
      </c>
      <c r="Q1308" s="20" t="str">
        <f>IFERROR(__xludf.DUMMYFUNCTION("""COMPUTED_VALUE"""),"")</f>
        <v/>
      </c>
      <c r="R1308" s="22" t="str">
        <f>IFERROR(__xludf.DUMMYFUNCTION("""COMPUTED_VALUE"""),"")</f>
        <v/>
      </c>
    </row>
    <row r="1309">
      <c r="A1309" s="15">
        <f>IFERROR(__xludf.DUMMYFUNCTION("""COMPUTED_VALUE"""),45037.0)</f>
        <v>45037</v>
      </c>
      <c r="B1309" s="16" t="str">
        <f>IFERROR(__xludf.DUMMYFUNCTION("""COMPUTED_VALUE"""),"Envia")</f>
        <v>Envia</v>
      </c>
      <c r="C1309" s="15" t="str">
        <f>IFERROR(__xludf.DUMMYFUNCTION("""COMPUTED_VALUE"""),"CALI")</f>
        <v>CALI</v>
      </c>
      <c r="D1309" s="15" t="str">
        <f>IFERROR(__xludf.DUMMYFUNCTION("""COMPUTED_VALUE"""),"BOGOTÁ")</f>
        <v>BOGOTÁ</v>
      </c>
      <c r="E1309" s="15" t="str">
        <f>IFERROR(__xludf.DUMMYFUNCTION("""COMPUTED_VALUE"""),"Renata")</f>
        <v>Renata</v>
      </c>
      <c r="F1309" s="17" t="str">
        <f>IFERROR(__xludf.DUMMYFUNCTION("""COMPUTED_VALUE"""),"Carrera 3#3a-83 / Patio 34 food containers -restaurante  / San Fernando")</f>
        <v>Carrera 3#3a-83 / Patio 34 food containers -restaurante  / San Fernando</v>
      </c>
      <c r="G1309" s="15" t="str">
        <f>IFERROR(__xludf.DUMMYFUNCTION("""COMPUTED_VALUE"""),"Retaco sas")</f>
        <v>Retaco sas</v>
      </c>
      <c r="H1309" s="16">
        <f>IFERROR(__xludf.DUMMYFUNCTION("""COMPUTED_VALUE"""),9979.0)</f>
        <v>9979</v>
      </c>
      <c r="I1309" s="18">
        <f>IFERROR(__xludf.DUMMYFUNCTION("""COMPUTED_VALUE"""),90.0)</f>
        <v>90</v>
      </c>
      <c r="J1309" s="18">
        <f>IFERROR(__xludf.DUMMYFUNCTION("""COMPUTED_VALUE"""),70.0)</f>
        <v>70</v>
      </c>
      <c r="K1309" s="18">
        <f>IFERROR(__xludf.DUMMYFUNCTION("""COMPUTED_VALUE"""),60.0)</f>
        <v>60</v>
      </c>
      <c r="L1309" s="17">
        <f>IFERROR(__xludf.DUMMYFUNCTION("""COMPUTED_VALUE"""),3.134720976E9)</f>
        <v>3134720976</v>
      </c>
      <c r="M1309" s="17" t="str">
        <f>IFERROR(__xludf.DUMMYFUNCTION("""COMPUTED_VALUE"""),"#REF!")</f>
        <v>#REF!</v>
      </c>
      <c r="N1309" s="17"/>
      <c r="O1309" s="19" t="str">
        <f>IFERROR(__xludf.DUMMYFUNCTION("""COMPUTED_VALUE"""),"")</f>
        <v/>
      </c>
      <c r="P1309" s="17" t="b">
        <f>IFERROR(__xludf.DUMMYFUNCTION("""COMPUTED_VALUE"""),FALSE)</f>
        <v>0</v>
      </c>
      <c r="Q1309" s="20" t="str">
        <f>IFERROR(__xludf.DUMMYFUNCTION("""COMPUTED_VALUE"""),"")</f>
        <v/>
      </c>
      <c r="R1309" s="22" t="str">
        <f>IFERROR(__xludf.DUMMYFUNCTION("""COMPUTED_VALUE"""),"")</f>
        <v/>
      </c>
    </row>
    <row r="1310">
      <c r="A1310" s="15">
        <f>IFERROR(__xludf.DUMMYFUNCTION("""COMPUTED_VALUE"""),45037.0)</f>
        <v>45037</v>
      </c>
      <c r="B1310" s="16" t="str">
        <f>IFERROR(__xludf.DUMMYFUNCTION("""COMPUTED_VALUE"""),"Envia")</f>
        <v>Envia</v>
      </c>
      <c r="C1310" s="15" t="str">
        <f>IFERROR(__xludf.DUMMYFUNCTION("""COMPUTED_VALUE"""),"CALI")</f>
        <v>CALI</v>
      </c>
      <c r="D1310" s="15" t="str">
        <f>IFERROR(__xludf.DUMMYFUNCTION("""COMPUTED_VALUE"""),"BOGOTÁ")</f>
        <v>BOGOTÁ</v>
      </c>
      <c r="E1310" s="15" t="str">
        <f>IFERROR(__xludf.DUMMYFUNCTION("""COMPUTED_VALUE"""),"Viral Brands")</f>
        <v>Viral Brands</v>
      </c>
      <c r="F1310" s="17" t="str">
        <f>IFERROR(__xludf.DUMMYFUNCTION("""COMPUTED_VALUE"""),"Avenida 5a 25n-39 / Edificio / Barrio san vicente")</f>
        <v>Avenida 5a 25n-39 / Edificio / Barrio san vicente</v>
      </c>
      <c r="G1310" s="15" t="str">
        <f>IFERROR(__xludf.DUMMYFUNCTION("""COMPUTED_VALUE"""),"Lisbeth gamez")</f>
        <v>Lisbeth gamez</v>
      </c>
      <c r="H1310" s="16">
        <f>IFERROR(__xludf.DUMMYFUNCTION("""COMPUTED_VALUE"""),9970.0)</f>
        <v>9970</v>
      </c>
      <c r="I1310" s="18">
        <f>IFERROR(__xludf.DUMMYFUNCTION("""COMPUTED_VALUE"""),55.0)</f>
        <v>55</v>
      </c>
      <c r="J1310" s="18">
        <f>IFERROR(__xludf.DUMMYFUNCTION("""COMPUTED_VALUE"""),55.0)</f>
        <v>55</v>
      </c>
      <c r="K1310" s="18">
        <f>IFERROR(__xludf.DUMMYFUNCTION("""COMPUTED_VALUE"""),45.0)</f>
        <v>45</v>
      </c>
      <c r="L1310" s="17">
        <f>IFERROR(__xludf.DUMMYFUNCTION("""COMPUTED_VALUE"""),3.218280504E9)</f>
        <v>3218280504</v>
      </c>
      <c r="M1310" s="17" t="str">
        <f>IFERROR(__xludf.DUMMYFUNCTION("""COMPUTED_VALUE"""),"#REF!")</f>
        <v>#REF!</v>
      </c>
      <c r="N1310" s="17"/>
      <c r="O1310" s="19" t="str">
        <f>IFERROR(__xludf.DUMMYFUNCTION("""COMPUTED_VALUE"""),"")</f>
        <v/>
      </c>
      <c r="P1310" s="17" t="b">
        <f>IFERROR(__xludf.DUMMYFUNCTION("""COMPUTED_VALUE"""),FALSE)</f>
        <v>0</v>
      </c>
      <c r="Q1310" s="20" t="str">
        <f>IFERROR(__xludf.DUMMYFUNCTION("""COMPUTED_VALUE"""),"")</f>
        <v/>
      </c>
      <c r="R1310" s="22" t="str">
        <f>IFERROR(__xludf.DUMMYFUNCTION("""COMPUTED_VALUE"""),"")</f>
        <v/>
      </c>
    </row>
    <row r="1311">
      <c r="A1311" s="15">
        <f>IFERROR(__xludf.DUMMYFUNCTION("""COMPUTED_VALUE"""),45037.0)</f>
        <v>45037</v>
      </c>
      <c r="B1311" s="16" t="str">
        <f>IFERROR(__xludf.DUMMYFUNCTION("""COMPUTED_VALUE"""),"Envia")</f>
        <v>Envia</v>
      </c>
      <c r="C1311" s="15" t="str">
        <f>IFERROR(__xludf.DUMMYFUNCTION("""COMPUTED_VALUE"""),"CÚCUTA")</f>
        <v>CÚCUTA</v>
      </c>
      <c r="D1311" s="15" t="str">
        <f>IFERROR(__xludf.DUMMYFUNCTION("""COMPUTED_VALUE"""),"BOGOTÁ")</f>
        <v>BOGOTÁ</v>
      </c>
      <c r="E1311" s="15" t="str">
        <f>IFERROR(__xludf.DUMMYFUNCTION("""COMPUTED_VALUE"""),"Pan de Waffle")</f>
        <v>Pan de Waffle</v>
      </c>
      <c r="F1311" s="17" t="str">
        <f>IFERROR(__xludf.DUMMYFUNCTION("""COMPUTED_VALUE"""),"Avenida 3e # 6cn - 12 Ceiba 2 / Avenida 3e # 6cn - 12 Ceiba 2 / Avenida 3e # 6cn - 12 Ceiba 2")</f>
        <v>Avenida 3e # 6cn - 12 Ceiba 2 / Avenida 3e # 6cn - 12 Ceiba 2 / Avenida 3e # 6cn - 12 Ceiba 2</v>
      </c>
      <c r="G1311" s="15" t="str">
        <f>IFERROR(__xludf.DUMMYFUNCTION("""COMPUTED_VALUE"""),"La Bodeguita Market Fit La Floresta")</f>
        <v>La Bodeguita Market Fit La Floresta</v>
      </c>
      <c r="H1311" s="16">
        <f>IFERROR(__xludf.DUMMYFUNCTION("""COMPUTED_VALUE"""),9935.0)</f>
        <v>9935</v>
      </c>
      <c r="I1311" s="18">
        <f>IFERROR(__xludf.DUMMYFUNCTION("""COMPUTED_VALUE"""),40.0)</f>
        <v>40</v>
      </c>
      <c r="J1311" s="18">
        <f>IFERROR(__xludf.DUMMYFUNCTION("""COMPUTED_VALUE"""),20.0)</f>
        <v>20</v>
      </c>
      <c r="K1311" s="18">
        <f>IFERROR(__xludf.DUMMYFUNCTION("""COMPUTED_VALUE"""),40.0)</f>
        <v>40</v>
      </c>
      <c r="L1311" s="17">
        <f>IFERROR(__xludf.DUMMYFUNCTION("""COMPUTED_VALUE"""),3.00384312E9)</f>
        <v>3003843120</v>
      </c>
      <c r="M1311" s="17" t="str">
        <f>IFERROR(__xludf.DUMMYFUNCTION("""COMPUTED_VALUE"""),"#REF!")</f>
        <v>#REF!</v>
      </c>
      <c r="N1311" s="17"/>
      <c r="O1311" s="19" t="str">
        <f>IFERROR(__xludf.DUMMYFUNCTION("""COMPUTED_VALUE"""),"")</f>
        <v/>
      </c>
      <c r="P1311" s="17" t="b">
        <f>IFERROR(__xludf.DUMMYFUNCTION("""COMPUTED_VALUE"""),FALSE)</f>
        <v>0</v>
      </c>
      <c r="Q1311" s="20" t="str">
        <f>IFERROR(__xludf.DUMMYFUNCTION("""COMPUTED_VALUE"""),"")</f>
        <v/>
      </c>
      <c r="R1311" s="22" t="str">
        <f>IFERROR(__xludf.DUMMYFUNCTION("""COMPUTED_VALUE"""),"")</f>
        <v/>
      </c>
    </row>
    <row r="1312">
      <c r="A1312" s="15">
        <f>IFERROR(__xludf.DUMMYFUNCTION("""COMPUTED_VALUE"""),45037.0)</f>
        <v>45037</v>
      </c>
      <c r="B1312" s="16" t="str">
        <f>IFERROR(__xludf.DUMMYFUNCTION("""COMPUTED_VALUE"""),"Envia")</f>
        <v>Envia</v>
      </c>
      <c r="C1312" s="15" t="str">
        <f>IFERROR(__xludf.DUMMYFUNCTION("""COMPUTED_VALUE"""),"CÚCUTA")</f>
        <v>CÚCUTA</v>
      </c>
      <c r="D1312" s="15" t="str">
        <f>IFERROR(__xludf.DUMMYFUNCTION("""COMPUTED_VALUE"""),"BOGOTÁ")</f>
        <v>BOGOTÁ</v>
      </c>
      <c r="E1312" s="15" t="str">
        <f>IFERROR(__xludf.DUMMYFUNCTION("""COMPUTED_VALUE"""),"Spirulina")</f>
        <v>Spirulina</v>
      </c>
      <c r="F1312" s="17" t="str">
        <f>IFERROR(__xludf.DUMMYFUNCTION("""COMPUTED_VALUE"""),"Calle 30 # 1-40     Plenitud A apto.305 Cucuta, Norte de santander / Apartamento 305 / Plenitud")</f>
        <v>Calle 30 # 1-40     Plenitud A apto.305 Cucuta, Norte de santander / Apartamento 305 / Plenitud</v>
      </c>
      <c r="G1312" s="15" t="str">
        <f>IFERROR(__xludf.DUMMYFUNCTION("""COMPUTED_VALUE"""),"Juliana Gaitan")</f>
        <v>Juliana Gaitan</v>
      </c>
      <c r="H1312" s="16">
        <f>IFERROR(__xludf.DUMMYFUNCTION("""COMPUTED_VALUE"""),9952.0)</f>
        <v>9952</v>
      </c>
      <c r="I1312" s="18">
        <f>IFERROR(__xludf.DUMMYFUNCTION("""COMPUTED_VALUE"""),12.0)</f>
        <v>12</v>
      </c>
      <c r="J1312" s="18">
        <f>IFERROR(__xludf.DUMMYFUNCTION("""COMPUTED_VALUE"""),12.0)</f>
        <v>12</v>
      </c>
      <c r="K1312" s="18">
        <f>IFERROR(__xludf.DUMMYFUNCTION("""COMPUTED_VALUE"""),22.0)</f>
        <v>22</v>
      </c>
      <c r="L1312" s="17">
        <f>IFERROR(__xludf.DUMMYFUNCTION("""COMPUTED_VALUE"""),3.203159228E9)</f>
        <v>3203159228</v>
      </c>
      <c r="M1312" s="17" t="str">
        <f>IFERROR(__xludf.DUMMYFUNCTION("""COMPUTED_VALUE"""),"#REF!")</f>
        <v>#REF!</v>
      </c>
      <c r="N1312" s="17"/>
      <c r="O1312" s="19" t="str">
        <f>IFERROR(__xludf.DUMMYFUNCTION("""COMPUTED_VALUE"""),"")</f>
        <v/>
      </c>
      <c r="P1312" s="17" t="b">
        <f>IFERROR(__xludf.DUMMYFUNCTION("""COMPUTED_VALUE"""),FALSE)</f>
        <v>0</v>
      </c>
      <c r="Q1312" s="20" t="str">
        <f>IFERROR(__xludf.DUMMYFUNCTION("""COMPUTED_VALUE"""),"")</f>
        <v/>
      </c>
      <c r="R1312" s="22" t="str">
        <f>IFERROR(__xludf.DUMMYFUNCTION("""COMPUTED_VALUE"""),"")</f>
        <v/>
      </c>
    </row>
    <row r="1313">
      <c r="A1313" s="15">
        <f>IFERROR(__xludf.DUMMYFUNCTION("""COMPUTED_VALUE"""),45037.0)</f>
        <v>45037</v>
      </c>
      <c r="B1313" s="16" t="str">
        <f>IFERROR(__xludf.DUMMYFUNCTION("""COMPUTED_VALUE"""),"Envia")</f>
        <v>Envia</v>
      </c>
      <c r="C1313" s="15" t="str">
        <f>IFERROR(__xludf.DUMMYFUNCTION("""COMPUTED_VALUE"""),"CÚCUTA")</f>
        <v>CÚCUTA</v>
      </c>
      <c r="D1313" s="15" t="str">
        <f>IFERROR(__xludf.DUMMYFUNCTION("""COMPUTED_VALUE"""),"MEDELLÍN")</f>
        <v>MEDELLÍN</v>
      </c>
      <c r="E1313" s="15" t="str">
        <f>IFERROR(__xludf.DUMMYFUNCTION("""COMPUTED_VALUE"""),"AREPAS LA MARY")</f>
        <v>AREPAS LA MARY</v>
      </c>
      <c r="F1313" s="17" t="str">
        <f>IFERROR(__xludf.DUMMYFUNCTION("""COMPUTED_VALUE"""),"AV. 11E N.1 35 AV. GUAIMARAL LC 3")</f>
        <v>AV. 11E N.1 35 AV. GUAIMARAL LC 3</v>
      </c>
      <c r="G1313" s="15" t="str">
        <f>IFERROR(__xludf.DUMMYFUNCTION("""COMPUTED_VALUE"""),"VITALFIT CUCUTA")</f>
        <v>VITALFIT CUCUTA</v>
      </c>
      <c r="H1313" s="16">
        <f>IFERROR(__xludf.DUMMYFUNCTION("""COMPUTED_VALUE"""),9906.0)</f>
        <v>9906</v>
      </c>
      <c r="I1313" s="18">
        <f>IFERROR(__xludf.DUMMYFUNCTION("""COMPUTED_VALUE"""),89.0)</f>
        <v>89</v>
      </c>
      <c r="J1313" s="18">
        <f>IFERROR(__xludf.DUMMYFUNCTION("""COMPUTED_VALUE"""),1.0)</f>
        <v>1</v>
      </c>
      <c r="K1313" s="18">
        <f>IFERROR(__xludf.DUMMYFUNCTION("""COMPUTED_VALUE"""),10.0)</f>
        <v>10</v>
      </c>
      <c r="L1313" s="17">
        <f>IFERROR(__xludf.DUMMYFUNCTION("""COMPUTED_VALUE"""),3.01782078E9)</f>
        <v>3017820780</v>
      </c>
      <c r="M1313" s="17" t="str">
        <f>IFERROR(__xludf.DUMMYFUNCTION("""COMPUTED_VALUE"""),"#REF!")</f>
        <v>#REF!</v>
      </c>
      <c r="N1313" s="17"/>
      <c r="O1313" s="19" t="str">
        <f>IFERROR(__xludf.DUMMYFUNCTION("""COMPUTED_VALUE"""),"")</f>
        <v/>
      </c>
      <c r="P1313" s="17" t="b">
        <f>IFERROR(__xludf.DUMMYFUNCTION("""COMPUTED_VALUE"""),FALSE)</f>
        <v>0</v>
      </c>
      <c r="Q1313" s="20" t="str">
        <f>IFERROR(__xludf.DUMMYFUNCTION("""COMPUTED_VALUE"""),"")</f>
        <v/>
      </c>
      <c r="R1313" s="22" t="str">
        <f>IFERROR(__xludf.DUMMYFUNCTION("""COMPUTED_VALUE"""),"")</f>
        <v/>
      </c>
    </row>
    <row r="1314">
      <c r="A1314" s="15">
        <f>IFERROR(__xludf.DUMMYFUNCTION("""COMPUTED_VALUE"""),45037.0)</f>
        <v>45037</v>
      </c>
      <c r="B1314" s="16" t="str">
        <f>IFERROR(__xludf.DUMMYFUNCTION("""COMPUTED_VALUE"""),"Envia")</f>
        <v>Envia</v>
      </c>
      <c r="C1314" s="15" t="str">
        <f>IFERROR(__xludf.DUMMYFUNCTION("""COMPUTED_VALUE"""),"CÚCUTA")</f>
        <v>CÚCUTA</v>
      </c>
      <c r="D1314" s="15" t="str">
        <f>IFERROR(__xludf.DUMMYFUNCTION("""COMPUTED_VALUE"""),"MEDELLÍN")</f>
        <v>MEDELLÍN</v>
      </c>
      <c r="E1314" s="15" t="str">
        <f>IFERROR(__xludf.DUMMYFUNCTION("""COMPUTED_VALUE"""),"Helados swip")</f>
        <v>Helados swip</v>
      </c>
      <c r="F1314" s="17" t="str">
        <f>IFERROR(__xludf.DUMMYFUNCTION("""COMPUTED_VALUE"""),"AV 3 E CON 15BA  / ESQUINA LOS CAOBOS  / CAOBOS JENGIBRE MERCADO")</f>
        <v>AV 3 E CON 15BA  / ESQUINA LOS CAOBOS  / CAOBOS JENGIBRE MERCADO</v>
      </c>
      <c r="G1314" s="15" t="str">
        <f>IFERROR(__xludf.DUMMYFUNCTION("""COMPUTED_VALUE"""),"CAROLINA JENGIBRE")</f>
        <v>CAROLINA JENGIBRE</v>
      </c>
      <c r="H1314" s="16">
        <f>IFERROR(__xludf.DUMMYFUNCTION("""COMPUTED_VALUE"""),9950.0)</f>
        <v>9950</v>
      </c>
      <c r="I1314" s="18">
        <f>IFERROR(__xludf.DUMMYFUNCTION("""COMPUTED_VALUE"""),10.0)</f>
        <v>10</v>
      </c>
      <c r="J1314" s="18">
        <f>IFERROR(__xludf.DUMMYFUNCTION("""COMPUTED_VALUE"""),100.0)</f>
        <v>100</v>
      </c>
      <c r="K1314" s="18">
        <f>IFERROR(__xludf.DUMMYFUNCTION("""COMPUTED_VALUE"""),70.0)</f>
        <v>70</v>
      </c>
      <c r="L1314" s="17">
        <f>IFERROR(__xludf.DUMMYFUNCTION("""COMPUTED_VALUE"""),3.005618715E9)</f>
        <v>3005618715</v>
      </c>
      <c r="M1314" s="17" t="str">
        <f>IFERROR(__xludf.DUMMYFUNCTION("""COMPUTED_VALUE"""),"#REF!")</f>
        <v>#REF!</v>
      </c>
      <c r="N1314" s="17"/>
      <c r="O1314" s="19" t="str">
        <f>IFERROR(__xludf.DUMMYFUNCTION("""COMPUTED_VALUE"""),"")</f>
        <v/>
      </c>
      <c r="P1314" s="17" t="b">
        <f>IFERROR(__xludf.DUMMYFUNCTION("""COMPUTED_VALUE"""),FALSE)</f>
        <v>0</v>
      </c>
      <c r="Q1314" s="20" t="str">
        <f>IFERROR(__xludf.DUMMYFUNCTION("""COMPUTED_VALUE"""),"")</f>
        <v/>
      </c>
      <c r="R1314" s="22" t="str">
        <f>IFERROR(__xludf.DUMMYFUNCTION("""COMPUTED_VALUE"""),"")</f>
        <v/>
      </c>
    </row>
    <row r="1315">
      <c r="A1315" s="15">
        <f>IFERROR(__xludf.DUMMYFUNCTION("""COMPUTED_VALUE"""),45037.0)</f>
        <v>45037</v>
      </c>
      <c r="B1315" s="16" t="str">
        <f>IFERROR(__xludf.DUMMYFUNCTION("""COMPUTED_VALUE"""),"Envia")</f>
        <v>Envia</v>
      </c>
      <c r="C1315" s="15" t="str">
        <f>IFERROR(__xludf.DUMMYFUNCTION("""COMPUTED_VALUE"""),"IBAGUÉ")</f>
        <v>IBAGUÉ</v>
      </c>
      <c r="D1315" s="15" t="str">
        <f>IFERROR(__xludf.DUMMYFUNCTION("""COMPUTED_VALUE"""),"BOGOTÁ")</f>
        <v>BOGOTÁ</v>
      </c>
      <c r="E1315" s="15" t="str">
        <f>IFERROR(__xludf.DUMMYFUNCTION("""COMPUTED_VALUE"""),"Mochi")</f>
        <v>Mochi</v>
      </c>
      <c r="F1315" s="17" t="str">
        <f>IFERROR(__xludf.DUMMYFUNCTION("""COMPUTED_VALUE"""),"CL 60 12 224 / centro comercial /  315 2686881")</f>
        <v>CL 60 12 224 / centro comercial /  315 2686881</v>
      </c>
      <c r="G1315" s="15" t="str">
        <f>IFERROR(__xludf.DUMMYFUNCTION("""COMPUTED_VALUE"""),"dIEGO GARCIA")</f>
        <v>dIEGO GARCIA</v>
      </c>
      <c r="H1315" s="16">
        <f>IFERROR(__xludf.DUMMYFUNCTION("""COMPUTED_VALUE"""),9995.0)</f>
        <v>9995</v>
      </c>
      <c r="I1315" s="18">
        <f>IFERROR(__xludf.DUMMYFUNCTION("""COMPUTED_VALUE"""),55.0)</f>
        <v>55</v>
      </c>
      <c r="J1315" s="18">
        <f>IFERROR(__xludf.DUMMYFUNCTION("""COMPUTED_VALUE"""),45.0)</f>
        <v>45</v>
      </c>
      <c r="K1315" s="18" t="str">
        <f>IFERROR(__xludf.DUMMYFUNCTION("""COMPUTED_VALUE"""),"52.5")</f>
        <v>52.5</v>
      </c>
      <c r="L1315" s="17">
        <f>IFERROR(__xludf.DUMMYFUNCTION("""COMPUTED_VALUE"""),3.152686881E9)</f>
        <v>3152686881</v>
      </c>
      <c r="M1315" s="17" t="str">
        <f>IFERROR(__xludf.DUMMYFUNCTION("""COMPUTED_VALUE"""),"#REF!")</f>
        <v>#REF!</v>
      </c>
      <c r="N1315" s="17"/>
      <c r="O1315" s="19" t="str">
        <f>IFERROR(__xludf.DUMMYFUNCTION("""COMPUTED_VALUE"""),"")</f>
        <v/>
      </c>
      <c r="P1315" s="17" t="b">
        <f>IFERROR(__xludf.DUMMYFUNCTION("""COMPUTED_VALUE"""),FALSE)</f>
        <v>0</v>
      </c>
      <c r="Q1315" s="20" t="str">
        <f>IFERROR(__xludf.DUMMYFUNCTION("""COMPUTED_VALUE"""),"")</f>
        <v/>
      </c>
      <c r="R1315" s="22" t="str">
        <f>IFERROR(__xludf.DUMMYFUNCTION("""COMPUTED_VALUE"""),"")</f>
        <v/>
      </c>
    </row>
    <row r="1316">
      <c r="A1316" s="15">
        <f>IFERROR(__xludf.DUMMYFUNCTION("""COMPUTED_VALUE"""),45037.0)</f>
        <v>45037</v>
      </c>
      <c r="B1316" s="16" t="str">
        <f>IFERROR(__xludf.DUMMYFUNCTION("""COMPUTED_VALUE"""),"Envia")</f>
        <v>Envia</v>
      </c>
      <c r="C1316" s="15" t="str">
        <f>IFERROR(__xludf.DUMMYFUNCTION("""COMPUTED_VALUE"""),"MEDELLÍN")</f>
        <v>MEDELLÍN</v>
      </c>
      <c r="D1316" s="15" t="str">
        <f>IFERROR(__xludf.DUMMYFUNCTION("""COMPUTED_VALUE"""),"BOGOTÁ")</f>
        <v>BOGOTÁ</v>
      </c>
      <c r="E1316" s="15" t="str">
        <f>IFERROR(__xludf.DUMMYFUNCTION("""COMPUTED_VALUE"""),"Loomifoods")</f>
        <v>Loomifoods</v>
      </c>
      <c r="F1316" s="17" t="str">
        <f>IFERROR(__xludf.DUMMYFUNCTION("""COMPUTED_VALUE"""),"Calle 4 Sur no. 43a - 195 / Oficina 253c / El Centro Ejecutivo")</f>
        <v>Calle 4 Sur no. 43a - 195 / Oficina 253c / El Centro Ejecutivo</v>
      </c>
      <c r="G1316" s="15" t="str">
        <f>IFERROR(__xludf.DUMMYFUNCTION("""COMPUTED_VALUE"""),"Manuela Carvajal")</f>
        <v>Manuela Carvajal</v>
      </c>
      <c r="H1316" s="16">
        <f>IFERROR(__xludf.DUMMYFUNCTION("""COMPUTED_VALUE"""),9973.0)</f>
        <v>9973</v>
      </c>
      <c r="I1316" s="18">
        <f>IFERROR(__xludf.DUMMYFUNCTION("""COMPUTED_VALUE"""),20.0)</f>
        <v>20</v>
      </c>
      <c r="J1316" s="18">
        <f>IFERROR(__xludf.DUMMYFUNCTION("""COMPUTED_VALUE"""),10.0)</f>
        <v>10</v>
      </c>
      <c r="K1316" s="18">
        <f>IFERROR(__xludf.DUMMYFUNCTION("""COMPUTED_VALUE"""),16.0)</f>
        <v>16</v>
      </c>
      <c r="L1316" s="17">
        <f>IFERROR(__xludf.DUMMYFUNCTION("""COMPUTED_VALUE"""),3.206685131E9)</f>
        <v>3206685131</v>
      </c>
      <c r="M1316" s="17" t="str">
        <f>IFERROR(__xludf.DUMMYFUNCTION("""COMPUTED_VALUE"""),"#REF!")</f>
        <v>#REF!</v>
      </c>
      <c r="N1316" s="17"/>
      <c r="O1316" s="19" t="str">
        <f>IFERROR(__xludf.DUMMYFUNCTION("""COMPUTED_VALUE"""),"")</f>
        <v/>
      </c>
      <c r="P1316" s="17" t="b">
        <f>IFERROR(__xludf.DUMMYFUNCTION("""COMPUTED_VALUE"""),FALSE)</f>
        <v>0</v>
      </c>
      <c r="Q1316" s="20" t="str">
        <f>IFERROR(__xludf.DUMMYFUNCTION("""COMPUTED_VALUE"""),"")</f>
        <v/>
      </c>
      <c r="R1316" s="22" t="str">
        <f>IFERROR(__xludf.DUMMYFUNCTION("""COMPUTED_VALUE"""),"")</f>
        <v/>
      </c>
    </row>
    <row r="1317">
      <c r="A1317" s="15">
        <f>IFERROR(__xludf.DUMMYFUNCTION("""COMPUTED_VALUE"""),45037.0)</f>
        <v>45037</v>
      </c>
      <c r="B1317" s="16" t="str">
        <f>IFERROR(__xludf.DUMMYFUNCTION("""COMPUTED_VALUE"""),"Envia")</f>
        <v>Envia</v>
      </c>
      <c r="C1317" s="15" t="str">
        <f>IFERROR(__xludf.DUMMYFUNCTION("""COMPUTED_VALUE"""),"MEDELLÍN")</f>
        <v>MEDELLÍN</v>
      </c>
      <c r="D1317" s="15" t="str">
        <f>IFERROR(__xludf.DUMMYFUNCTION("""COMPUTED_VALUE"""),"BOGOTÁ")</f>
        <v>BOGOTÁ</v>
      </c>
      <c r="E1317" s="15" t="str">
        <f>IFERROR(__xludf.DUMMYFUNCTION("""COMPUTED_VALUE"""),"Loomifoods")</f>
        <v>Loomifoods</v>
      </c>
      <c r="F1317" s="17" t="str">
        <f>IFERROR(__xludf.DUMMYFUNCTION("""COMPUTED_VALUE"""),"Cra 15a no. 10b - 240 / Apto 203 / Vigía de los Bosques")</f>
        <v>Cra 15a no. 10b - 240 / Apto 203 / Vigía de los Bosques</v>
      </c>
      <c r="G1317" s="15" t="str">
        <f>IFERROR(__xludf.DUMMYFUNCTION("""COMPUTED_VALUE"""),"Catalina Saldarriaga")</f>
        <v>Catalina Saldarriaga</v>
      </c>
      <c r="H1317" s="16">
        <f>IFERROR(__xludf.DUMMYFUNCTION("""COMPUTED_VALUE"""),9972.0)</f>
        <v>9972</v>
      </c>
      <c r="I1317" s="18">
        <f>IFERROR(__xludf.DUMMYFUNCTION("""COMPUTED_VALUE"""),20.0)</f>
        <v>20</v>
      </c>
      <c r="J1317" s="18">
        <f>IFERROR(__xludf.DUMMYFUNCTION("""COMPUTED_VALUE"""),10.0)</f>
        <v>10</v>
      </c>
      <c r="K1317" s="18">
        <f>IFERROR(__xludf.DUMMYFUNCTION("""COMPUTED_VALUE"""),16.0)</f>
        <v>16</v>
      </c>
      <c r="L1317" s="17">
        <f>IFERROR(__xludf.DUMMYFUNCTION("""COMPUTED_VALUE"""),3.153484788E9)</f>
        <v>3153484788</v>
      </c>
      <c r="M1317" s="17" t="str">
        <f>IFERROR(__xludf.DUMMYFUNCTION("""COMPUTED_VALUE"""),"#REF!")</f>
        <v>#REF!</v>
      </c>
      <c r="N1317" s="17"/>
      <c r="O1317" s="19" t="str">
        <f>IFERROR(__xludf.DUMMYFUNCTION("""COMPUTED_VALUE"""),"")</f>
        <v/>
      </c>
      <c r="P1317" s="17" t="b">
        <f>IFERROR(__xludf.DUMMYFUNCTION("""COMPUTED_VALUE"""),FALSE)</f>
        <v>0</v>
      </c>
      <c r="Q1317" s="20" t="str">
        <f>IFERROR(__xludf.DUMMYFUNCTION("""COMPUTED_VALUE"""),"")</f>
        <v/>
      </c>
      <c r="R1317" s="22" t="str">
        <f>IFERROR(__xludf.DUMMYFUNCTION("""COMPUTED_VALUE"""),"")</f>
        <v/>
      </c>
    </row>
    <row r="1318">
      <c r="A1318" s="15">
        <f>IFERROR(__xludf.DUMMYFUNCTION("""COMPUTED_VALUE"""),45037.0)</f>
        <v>45037</v>
      </c>
      <c r="B1318" s="16" t="str">
        <f>IFERROR(__xludf.DUMMYFUNCTION("""COMPUTED_VALUE"""),"Envia")</f>
        <v>Envia</v>
      </c>
      <c r="C1318" s="15" t="str">
        <f>IFERROR(__xludf.DUMMYFUNCTION("""COMPUTED_VALUE"""),"MEDELLÍN")</f>
        <v>MEDELLÍN</v>
      </c>
      <c r="D1318" s="15" t="str">
        <f>IFERROR(__xludf.DUMMYFUNCTION("""COMPUTED_VALUE"""),"BOGOTÁ")</f>
        <v>BOGOTÁ</v>
      </c>
      <c r="E1318" s="15" t="str">
        <f>IFERROR(__xludf.DUMMYFUNCTION("""COMPUTED_VALUE"""),"MAI ALIMENTOS S.A.S")</f>
        <v>MAI ALIMENTOS S.A.S</v>
      </c>
      <c r="F1318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1318" s="15" t="str">
        <f>IFERROR(__xludf.DUMMYFUNCTION("""COMPUTED_VALUE"""),"Novaventas - Medellin")</f>
        <v>Novaventas - Medellin</v>
      </c>
      <c r="H1318" s="16">
        <f>IFERROR(__xludf.DUMMYFUNCTION("""COMPUTED_VALUE"""),9931.0)</f>
        <v>9931</v>
      </c>
      <c r="I1318" s="18">
        <f>IFERROR(__xludf.DUMMYFUNCTION("""COMPUTED_VALUE"""),35.0)</f>
        <v>35</v>
      </c>
      <c r="J1318" s="18">
        <f>IFERROR(__xludf.DUMMYFUNCTION("""COMPUTED_VALUE"""),17.0)</f>
        <v>17</v>
      </c>
      <c r="K1318" s="18">
        <f>IFERROR(__xludf.DUMMYFUNCTION("""COMPUTED_VALUE"""),13.0)</f>
        <v>13</v>
      </c>
      <c r="L1318" s="17">
        <f>IFERROR(__xludf.DUMMYFUNCTION("""COMPUTED_VALUE"""),3.187351593E9)</f>
        <v>3187351593</v>
      </c>
      <c r="M1318" s="17" t="str">
        <f>IFERROR(__xludf.DUMMYFUNCTION("""COMPUTED_VALUE"""),"#REF!")</f>
        <v>#REF!</v>
      </c>
      <c r="N1318" s="17"/>
      <c r="O1318" s="19" t="str">
        <f>IFERROR(__xludf.DUMMYFUNCTION("""COMPUTED_VALUE"""),"")</f>
        <v/>
      </c>
      <c r="P1318" s="17" t="b">
        <f>IFERROR(__xludf.DUMMYFUNCTION("""COMPUTED_VALUE"""),FALSE)</f>
        <v>0</v>
      </c>
      <c r="Q1318" s="20" t="str">
        <f>IFERROR(__xludf.DUMMYFUNCTION("""COMPUTED_VALUE"""),"")</f>
        <v/>
      </c>
      <c r="R1318" s="22" t="str">
        <f>IFERROR(__xludf.DUMMYFUNCTION("""COMPUTED_VALUE"""),"")</f>
        <v/>
      </c>
    </row>
    <row r="1319">
      <c r="A1319" s="15">
        <f>IFERROR(__xludf.DUMMYFUNCTION("""COMPUTED_VALUE"""),45037.0)</f>
        <v>45037</v>
      </c>
      <c r="B1319" s="16" t="str">
        <f>IFERROR(__xludf.DUMMYFUNCTION("""COMPUTED_VALUE"""),"Envia")</f>
        <v>Envia</v>
      </c>
      <c r="C1319" s="15" t="str">
        <f>IFERROR(__xludf.DUMMYFUNCTION("""COMPUTED_VALUE"""),"MEDELLÍN")</f>
        <v>MEDELLÍN</v>
      </c>
      <c r="D1319" s="15" t="str">
        <f>IFERROR(__xludf.DUMMYFUNCTION("""COMPUTED_VALUE"""),"BOGOTÁ")</f>
        <v>BOGOTÁ</v>
      </c>
      <c r="E1319" s="15" t="str">
        <f>IFERROR(__xludf.DUMMYFUNCTION("""COMPUTED_VALUE"""),"Mochi")</f>
        <v>Mochi</v>
      </c>
      <c r="F1319" s="17" t="str">
        <f>IFERROR(__xludf.DUMMYFUNCTION("""COMPUTED_VALUE"""),"CENTRO COMERCIAL VIVA ENVIGADO / VIVA ENVIGADO / VIVA ENVIGADO")</f>
        <v>CENTRO COMERCIAL VIVA ENVIGADO / VIVA ENVIGADO / VIVA ENVIGADO</v>
      </c>
      <c r="G1319" s="15" t="str">
        <f>IFERROR(__xludf.DUMMYFUNCTION("""COMPUTED_VALUE"""),"TANIA VELLOJIN")</f>
        <v>TANIA VELLOJIN</v>
      </c>
      <c r="H1319" s="16">
        <f>IFERROR(__xludf.DUMMYFUNCTION("""COMPUTED_VALUE"""),9994.0)</f>
        <v>9994</v>
      </c>
      <c r="I1319" s="18">
        <f>IFERROR(__xludf.DUMMYFUNCTION("""COMPUTED_VALUE"""),55.0)</f>
        <v>55</v>
      </c>
      <c r="J1319" s="18">
        <f>IFERROR(__xludf.DUMMYFUNCTION("""COMPUTED_VALUE"""),45.0)</f>
        <v>45</v>
      </c>
      <c r="K1319" s="18" t="str">
        <f>IFERROR(__xludf.DUMMYFUNCTION("""COMPUTED_VALUE"""),"52.5")</f>
        <v>52.5</v>
      </c>
      <c r="L1319" s="17">
        <f>IFERROR(__xludf.DUMMYFUNCTION("""COMPUTED_VALUE"""),3.115177645E9)</f>
        <v>3115177645</v>
      </c>
      <c r="M1319" s="17" t="str">
        <f>IFERROR(__xludf.DUMMYFUNCTION("""COMPUTED_VALUE"""),"#REF!")</f>
        <v>#REF!</v>
      </c>
      <c r="N1319" s="17"/>
      <c r="O1319" s="19" t="str">
        <f>IFERROR(__xludf.DUMMYFUNCTION("""COMPUTED_VALUE"""),"")</f>
        <v/>
      </c>
      <c r="P1319" s="17" t="b">
        <f>IFERROR(__xludf.DUMMYFUNCTION("""COMPUTED_VALUE"""),FALSE)</f>
        <v>0</v>
      </c>
      <c r="Q1319" s="20" t="str">
        <f>IFERROR(__xludf.DUMMYFUNCTION("""COMPUTED_VALUE"""),"")</f>
        <v/>
      </c>
      <c r="R1319" s="22" t="str">
        <f>IFERROR(__xludf.DUMMYFUNCTION("""COMPUTED_VALUE"""),"")</f>
        <v/>
      </c>
    </row>
    <row r="1320">
      <c r="A1320" s="15">
        <f>IFERROR(__xludf.DUMMYFUNCTION("""COMPUTED_VALUE"""),45037.0)</f>
        <v>45037</v>
      </c>
      <c r="B1320" s="16" t="str">
        <f>IFERROR(__xludf.DUMMYFUNCTION("""COMPUTED_VALUE"""),"Envia")</f>
        <v>Envia</v>
      </c>
      <c r="C1320" s="15" t="str">
        <f>IFERROR(__xludf.DUMMYFUNCTION("""COMPUTED_VALUE"""),"MEDELLÍN")</f>
        <v>MEDELLÍN</v>
      </c>
      <c r="D1320" s="15" t="str">
        <f>IFERROR(__xludf.DUMMYFUNCTION("""COMPUTED_VALUE"""),"BOGOTÁ")</f>
        <v>BOGOTÁ</v>
      </c>
      <c r="E1320" s="15" t="str">
        <f>IFERROR(__xludf.DUMMYFUNCTION("""COMPUTED_VALUE"""),"Renata")</f>
        <v>Renata</v>
      </c>
      <c r="F1320" s="17" t="str">
        <f>IFERROR(__xludf.DUMMYFUNCTION("""COMPUTED_VALUE"""),"Carrera 32d#9-43 / Seline y cowork -restaurante  / Provenza")</f>
        <v>Carrera 32d#9-43 / Seline y cowork -restaurante  / Provenza</v>
      </c>
      <c r="G1320" s="15" t="str">
        <f>IFERROR(__xludf.DUMMYFUNCTION("""COMPUTED_VALUE"""),"Front y back hospitality group s.a.s")</f>
        <v>Front y back hospitality group s.a.s</v>
      </c>
      <c r="H1320" s="16">
        <f>IFERROR(__xludf.DUMMYFUNCTION("""COMPUTED_VALUE"""),9980.0)</f>
        <v>9980</v>
      </c>
      <c r="I1320" s="18">
        <f>IFERROR(__xludf.DUMMYFUNCTION("""COMPUTED_VALUE"""),90.0)</f>
        <v>90</v>
      </c>
      <c r="J1320" s="18">
        <f>IFERROR(__xludf.DUMMYFUNCTION("""COMPUTED_VALUE"""),70.0)</f>
        <v>70</v>
      </c>
      <c r="K1320" s="18">
        <f>IFERROR(__xludf.DUMMYFUNCTION("""COMPUTED_VALUE"""),60.0)</f>
        <v>60</v>
      </c>
      <c r="L1320" s="17">
        <f>IFERROR(__xludf.DUMMYFUNCTION("""COMPUTED_VALUE"""),3.104046378E9)</f>
        <v>3104046378</v>
      </c>
      <c r="M1320" s="17" t="str">
        <f>IFERROR(__xludf.DUMMYFUNCTION("""COMPUTED_VALUE"""),"#REF!")</f>
        <v>#REF!</v>
      </c>
      <c r="N1320" s="17"/>
      <c r="O1320" s="19" t="str">
        <f>IFERROR(__xludf.DUMMYFUNCTION("""COMPUTED_VALUE"""),"")</f>
        <v/>
      </c>
      <c r="P1320" s="17" t="b">
        <f>IFERROR(__xludf.DUMMYFUNCTION("""COMPUTED_VALUE"""),FALSE)</f>
        <v>0</v>
      </c>
      <c r="Q1320" s="20" t="str">
        <f>IFERROR(__xludf.DUMMYFUNCTION("""COMPUTED_VALUE"""),"")</f>
        <v/>
      </c>
      <c r="R1320" s="22" t="str">
        <f>IFERROR(__xludf.DUMMYFUNCTION("""COMPUTED_VALUE"""),"")</f>
        <v/>
      </c>
    </row>
    <row r="1321">
      <c r="A1321" s="15">
        <f>IFERROR(__xludf.DUMMYFUNCTION("""COMPUTED_VALUE"""),45037.0)</f>
        <v>45037</v>
      </c>
      <c r="B1321" s="16" t="str">
        <f>IFERROR(__xludf.DUMMYFUNCTION("""COMPUTED_VALUE"""),"Envia")</f>
        <v>Envia</v>
      </c>
      <c r="C1321" s="15" t="str">
        <f>IFERROR(__xludf.DUMMYFUNCTION("""COMPUTED_VALUE"""),"MEDELLÍN")</f>
        <v>MEDELLÍN</v>
      </c>
      <c r="D1321" s="15" t="str">
        <f>IFERROR(__xludf.DUMMYFUNCTION("""COMPUTED_VALUE"""),"BOGOTÁ")</f>
        <v>BOGOTÁ</v>
      </c>
      <c r="E1321" s="15" t="str">
        <f>IFERROR(__xludf.DUMMYFUNCTION("""COMPUTED_VALUE"""),"Viral Brands")</f>
        <v>Viral Brands</v>
      </c>
      <c r="F1321" s="17" t="str">
        <f>IFERROR(__xludf.DUMMYFUNCTION("""COMPUTED_VALUE"""),"Calle 1 # 29-354. / Edificio los Parra  / via el tesoro, al lado del galpón de turbo rappi")</f>
        <v>Calle 1 # 29-354. / Edificio los Parra  / via el tesoro, al lado del galpón de turbo rappi</v>
      </c>
      <c r="G1321" s="15" t="str">
        <f>IFERROR(__xludf.DUMMYFUNCTION("""COMPUTED_VALUE"""),"Eleazar Maldonado")</f>
        <v>Eleazar Maldonado</v>
      </c>
      <c r="H1321" s="16">
        <f>IFERROR(__xludf.DUMMYFUNCTION("""COMPUTED_VALUE"""),9971.0)</f>
        <v>9971</v>
      </c>
      <c r="I1321" s="18">
        <f>IFERROR(__xludf.DUMMYFUNCTION("""COMPUTED_VALUE"""),29.0)</f>
        <v>29</v>
      </c>
      <c r="J1321" s="18">
        <f>IFERROR(__xludf.DUMMYFUNCTION("""COMPUTED_VALUE"""),55.0)</f>
        <v>55</v>
      </c>
      <c r="K1321" s="18">
        <f>IFERROR(__xludf.DUMMYFUNCTION("""COMPUTED_VALUE"""),45.0)</f>
        <v>45</v>
      </c>
      <c r="L1321" s="17">
        <f>IFERROR(__xludf.DUMMYFUNCTION("""COMPUTED_VALUE"""),3.025130013E9)</f>
        <v>3025130013</v>
      </c>
      <c r="M1321" s="17" t="str">
        <f>IFERROR(__xludf.DUMMYFUNCTION("""COMPUTED_VALUE"""),"#REF!")</f>
        <v>#REF!</v>
      </c>
      <c r="N1321" s="17"/>
      <c r="O1321" s="19" t="str">
        <f>IFERROR(__xludf.DUMMYFUNCTION("""COMPUTED_VALUE"""),"")</f>
        <v/>
      </c>
      <c r="P1321" s="17" t="b">
        <f>IFERROR(__xludf.DUMMYFUNCTION("""COMPUTED_VALUE"""),FALSE)</f>
        <v>0</v>
      </c>
      <c r="Q1321" s="20" t="str">
        <f>IFERROR(__xludf.DUMMYFUNCTION("""COMPUTED_VALUE"""),"")</f>
        <v/>
      </c>
      <c r="R1321" s="22" t="str">
        <f>IFERROR(__xludf.DUMMYFUNCTION("""COMPUTED_VALUE"""),"")</f>
        <v/>
      </c>
    </row>
    <row r="1322">
      <c r="A1322" s="15">
        <f>IFERROR(__xludf.DUMMYFUNCTION("""COMPUTED_VALUE"""),45037.0)</f>
        <v>45037</v>
      </c>
      <c r="B1322" s="16" t="str">
        <f>IFERROR(__xludf.DUMMYFUNCTION("""COMPUTED_VALUE"""),"Envia")</f>
        <v>Envia</v>
      </c>
      <c r="C1322" s="15" t="str">
        <f>IFERROR(__xludf.DUMMYFUNCTION("""COMPUTED_VALUE"""),"SANTA MARTA")</f>
        <v>SANTA MARTA</v>
      </c>
      <c r="D1322" s="15" t="str">
        <f>IFERROR(__xludf.DUMMYFUNCTION("""COMPUTED_VALUE"""),"MEDELLÍN")</f>
        <v>MEDELLÍN</v>
      </c>
      <c r="E1322" s="15" t="str">
        <f>IFERROR(__xludf.DUMMYFUNCTION("""COMPUTED_VALUE"""),"Rambla")</f>
        <v>Rambla</v>
      </c>
      <c r="F1322" s="17" t="str">
        <f>IFERROR(__xludf.DUMMYFUNCTION("""COMPUTED_VALUE"""),"calle 24a #2-39 bella vista ed san marino lc 1 / NA / NA")</f>
        <v>calle 24a #2-39 bella vista ed san marino lc 1 / NA / NA</v>
      </c>
      <c r="G1322" s="15" t="str">
        <f>IFERROR(__xludf.DUMMYFUNCTION("""COMPUTED_VALUE"""),"Corozo")</f>
        <v>Corozo</v>
      </c>
      <c r="H1322" s="16">
        <f>IFERROR(__xludf.DUMMYFUNCTION("""COMPUTED_VALUE"""),9946.0)</f>
        <v>9946</v>
      </c>
      <c r="I1322" s="18">
        <f>IFERROR(__xludf.DUMMYFUNCTION("""COMPUTED_VALUE"""),26.0)</f>
        <v>26</v>
      </c>
      <c r="J1322" s="18">
        <f>IFERROR(__xludf.DUMMYFUNCTION("""COMPUTED_VALUE"""),30.0)</f>
        <v>30</v>
      </c>
      <c r="K1322" s="18">
        <f>IFERROR(__xludf.DUMMYFUNCTION("""COMPUTED_VALUE"""),32.0)</f>
        <v>32</v>
      </c>
      <c r="L1322" s="17">
        <f>IFERROR(__xludf.DUMMYFUNCTION("""COMPUTED_VALUE"""),3.173000209E9)</f>
        <v>3173000209</v>
      </c>
      <c r="M1322" s="17" t="str">
        <f>IFERROR(__xludf.DUMMYFUNCTION("""COMPUTED_VALUE"""),"#REF!")</f>
        <v>#REF!</v>
      </c>
      <c r="N1322" s="17"/>
      <c r="O1322" s="19" t="str">
        <f>IFERROR(__xludf.DUMMYFUNCTION("""COMPUTED_VALUE"""),"")</f>
        <v/>
      </c>
      <c r="P1322" s="17" t="b">
        <f>IFERROR(__xludf.DUMMYFUNCTION("""COMPUTED_VALUE"""),FALSE)</f>
        <v>0</v>
      </c>
      <c r="Q1322" s="20" t="str">
        <f>IFERROR(__xludf.DUMMYFUNCTION("""COMPUTED_VALUE"""),"")</f>
        <v/>
      </c>
      <c r="R1322" s="22" t="str">
        <f>IFERROR(__xludf.DUMMYFUNCTION("""COMPUTED_VALUE"""),"")</f>
        <v/>
      </c>
    </row>
    <row r="1323">
      <c r="A1323" s="15">
        <f>IFERROR(__xludf.DUMMYFUNCTION("""COMPUTED_VALUE"""),45037.0)</f>
        <v>45037</v>
      </c>
      <c r="B1323" s="16" t="str">
        <f>IFERROR(__xludf.DUMMYFUNCTION("""COMPUTED_VALUE"""),"Envia")</f>
        <v>Envia</v>
      </c>
      <c r="C1323" s="15" t="str">
        <f>IFERROR(__xludf.DUMMYFUNCTION("""COMPUTED_VALUE"""),"SINCELEJO")</f>
        <v>SINCELEJO</v>
      </c>
      <c r="D1323" s="15" t="str">
        <f>IFERROR(__xludf.DUMMYFUNCTION("""COMPUTED_VALUE"""),"MEDELLÍN")</f>
        <v>MEDELLÍN</v>
      </c>
      <c r="E1323" s="15" t="str">
        <f>IFERROR(__xludf.DUMMYFUNCTION("""COMPUTED_VALUE"""),"Helados swip")</f>
        <v>Helados swip</v>
      </c>
      <c r="F1323" s="17" t="str">
        <f>IFERROR(__xludf.DUMMYFUNCTION("""COMPUTED_VALUE"""),"CALLE 25# 28B 194 / ED. JUAN PABLO II / BARRIO EL SOCORRO")</f>
        <v>CALLE 25# 28B 194 / ED. JUAN PABLO II / BARRIO EL SOCORRO</v>
      </c>
      <c r="G1323" s="15" t="str">
        <f>IFERROR(__xludf.DUMMYFUNCTION("""COMPUTED_VALUE"""),"NUTREFIT")</f>
        <v>NUTREFIT</v>
      </c>
      <c r="H1323" s="16">
        <f>IFERROR(__xludf.DUMMYFUNCTION("""COMPUTED_VALUE"""),9949.0)</f>
        <v>9949</v>
      </c>
      <c r="I1323" s="18">
        <f>IFERROR(__xludf.DUMMYFUNCTION("""COMPUTED_VALUE"""),10.0)</f>
        <v>10</v>
      </c>
      <c r="J1323" s="18">
        <f>IFERROR(__xludf.DUMMYFUNCTION("""COMPUTED_VALUE"""),100.0)</f>
        <v>100</v>
      </c>
      <c r="K1323" s="18">
        <f>IFERROR(__xludf.DUMMYFUNCTION("""COMPUTED_VALUE"""),70.0)</f>
        <v>70</v>
      </c>
      <c r="L1323" s="17">
        <f>IFERROR(__xludf.DUMMYFUNCTION("""COMPUTED_VALUE"""),3.025077345E9)</f>
        <v>3025077345</v>
      </c>
      <c r="M1323" s="17" t="str">
        <f>IFERROR(__xludf.DUMMYFUNCTION("""COMPUTED_VALUE"""),"#REF!")</f>
        <v>#REF!</v>
      </c>
      <c r="N1323" s="17"/>
      <c r="O1323" s="19" t="str">
        <f>IFERROR(__xludf.DUMMYFUNCTION("""COMPUTED_VALUE"""),"")</f>
        <v/>
      </c>
      <c r="P1323" s="17" t="b">
        <f>IFERROR(__xludf.DUMMYFUNCTION("""COMPUTED_VALUE"""),FALSE)</f>
        <v>0</v>
      </c>
      <c r="Q1323" s="20" t="str">
        <f>IFERROR(__xludf.DUMMYFUNCTION("""COMPUTED_VALUE"""),"")</f>
        <v/>
      </c>
      <c r="R1323" s="22" t="str">
        <f>IFERROR(__xludf.DUMMYFUNCTION("""COMPUTED_VALUE"""),"")</f>
        <v/>
      </c>
    </row>
    <row r="1324">
      <c r="A1324" s="17" t="str">
        <f>IFERROR(__xludf.DUMMYFUNCTION("""COMPUTED_VALUE"""),"")</f>
        <v/>
      </c>
      <c r="B1324" s="17" t="str">
        <f>IFERROR(__xludf.DUMMYFUNCTION("""COMPUTED_VALUE"""),"")</f>
        <v/>
      </c>
      <c r="C1324" s="17" t="str">
        <f>IFERROR(__xludf.DUMMYFUNCTION("""COMPUTED_VALUE"""),"")</f>
        <v/>
      </c>
      <c r="D1324" s="17" t="str">
        <f>IFERROR(__xludf.DUMMYFUNCTION("""COMPUTED_VALUE"""),"")</f>
        <v/>
      </c>
      <c r="E1324" s="17" t="str">
        <f>IFERROR(__xludf.DUMMYFUNCTION("""COMPUTED_VALUE"""),"")</f>
        <v/>
      </c>
      <c r="F1324" s="17" t="str">
        <f>IFERROR(__xludf.DUMMYFUNCTION("""COMPUTED_VALUE"""),"")</f>
        <v/>
      </c>
      <c r="G1324" s="17" t="str">
        <f>IFERROR(__xludf.DUMMYFUNCTION("""COMPUTED_VALUE"""),"")</f>
        <v/>
      </c>
      <c r="H1324" s="17" t="str">
        <f>IFERROR(__xludf.DUMMYFUNCTION("""COMPUTED_VALUE"""),"")</f>
        <v/>
      </c>
      <c r="I1324" s="17" t="str">
        <f>IFERROR(__xludf.DUMMYFUNCTION("""COMPUTED_VALUE"""),"")</f>
        <v/>
      </c>
      <c r="J1324" s="17" t="str">
        <f>IFERROR(__xludf.DUMMYFUNCTION("""COMPUTED_VALUE"""),"")</f>
        <v/>
      </c>
      <c r="K1324" s="17" t="str">
        <f>IFERROR(__xludf.DUMMYFUNCTION("""COMPUTED_VALUE"""),"")</f>
        <v/>
      </c>
      <c r="L1324" s="17" t="str">
        <f>IFERROR(__xludf.DUMMYFUNCTION("""COMPUTED_VALUE"""),"")</f>
        <v/>
      </c>
      <c r="M1324" s="17" t="str">
        <f>IFERROR(__xludf.DUMMYFUNCTION("""COMPUTED_VALUE"""),"")</f>
        <v/>
      </c>
      <c r="N1324" s="17" t="str">
        <f>IFERROR(__xludf.DUMMYFUNCTION("""COMPUTED_VALUE"""),"")</f>
        <v/>
      </c>
      <c r="O1324" s="17" t="str">
        <f>IFERROR(__xludf.DUMMYFUNCTION("""COMPUTED_VALUE"""),"")</f>
        <v/>
      </c>
      <c r="P1324" s="17" t="str">
        <f>IFERROR(__xludf.DUMMYFUNCTION("""COMPUTED_VALUE"""),"")</f>
        <v/>
      </c>
      <c r="Q1324" s="17" t="str">
        <f>IFERROR(__xludf.DUMMYFUNCTION("""COMPUTED_VALUE"""),"")</f>
        <v/>
      </c>
      <c r="R1324" s="17" t="str">
        <f>IFERROR(__xludf.DUMMYFUNCTION("""COMPUTED_VALUE"""),"")</f>
        <v/>
      </c>
    </row>
    <row r="1325">
      <c r="A1325" s="15">
        <f>IFERROR(__xludf.DUMMYFUNCTION("""COMPUTED_VALUE"""),45037.0)</f>
        <v>45037</v>
      </c>
      <c r="B1325" s="16" t="str">
        <f>IFERROR(__xludf.DUMMYFUNCTION("""COMPUTED_VALUE"""),"Jeison Rubiano")</f>
        <v>Jeison Rubiano</v>
      </c>
      <c r="C1325" s="15" t="str">
        <f>IFERROR(__xludf.DUMMYFUNCTION("""COMPUTED_VALUE"""),"BARRANQUILLA")</f>
        <v>BARRANQUILLA</v>
      </c>
      <c r="D1325" s="15" t="str">
        <f>IFERROR(__xludf.DUMMYFUNCTION("""COMPUTED_VALUE"""),"MEDELLÍN")</f>
        <v>MEDELLÍN</v>
      </c>
      <c r="E1325" s="15" t="str">
        <f>IFERROR(__xludf.DUMMYFUNCTION("""COMPUTED_VALUE"""),"Rambla")</f>
        <v>Rambla</v>
      </c>
      <c r="F1325" s="17" t="str">
        <f>IFERROR(__xludf.DUMMYFUNCTION("""COMPUTED_VALUE"""),"CARRERA 74 #76-74 / NA / NA")</f>
        <v>CARRERA 74 #76-74 / NA / NA</v>
      </c>
      <c r="G1325" s="15" t="str">
        <f>IFERROR(__xludf.DUMMYFUNCTION("""COMPUTED_VALUE"""),"Fit Hub")</f>
        <v>Fit Hub</v>
      </c>
      <c r="H1325" s="16">
        <f>IFERROR(__xludf.DUMMYFUNCTION("""COMPUTED_VALUE"""),9944.0)</f>
        <v>9944</v>
      </c>
      <c r="I1325" s="18">
        <f>IFERROR(__xludf.DUMMYFUNCTION("""COMPUTED_VALUE"""),18.0)</f>
        <v>18</v>
      </c>
      <c r="J1325" s="18">
        <f>IFERROR(__xludf.DUMMYFUNCTION("""COMPUTED_VALUE"""),20.0)</f>
        <v>20</v>
      </c>
      <c r="K1325" s="18">
        <f>IFERROR(__xludf.DUMMYFUNCTION("""COMPUTED_VALUE"""),25.0)</f>
        <v>25</v>
      </c>
      <c r="L1325" s="17">
        <f>IFERROR(__xludf.DUMMYFUNCTION("""COMPUTED_VALUE"""),3.157039547E9)</f>
        <v>3157039547</v>
      </c>
      <c r="M1325" s="17" t="str">
        <f>IFERROR(__xludf.DUMMYFUNCTION("""COMPUTED_VALUE"""),"#REF!")</f>
        <v>#REF!</v>
      </c>
      <c r="N1325" s="17"/>
      <c r="O1325" s="19" t="str">
        <f>IFERROR(__xludf.DUMMYFUNCTION("""COMPUTED_VALUE"""),"")</f>
        <v/>
      </c>
      <c r="P1325" s="17" t="b">
        <f>IFERROR(__xludf.DUMMYFUNCTION("""COMPUTED_VALUE"""),FALSE)</f>
        <v>0</v>
      </c>
      <c r="Q1325" s="20" t="str">
        <f>IFERROR(__xludf.DUMMYFUNCTION("""COMPUTED_VALUE"""),"")</f>
        <v/>
      </c>
      <c r="R1325" s="22" t="str">
        <f>IFERROR(__xludf.DUMMYFUNCTION("""COMPUTED_VALUE"""),"")</f>
        <v/>
      </c>
    </row>
    <row r="1326">
      <c r="A1326" s="15">
        <f>IFERROR(__xludf.DUMMYFUNCTION("""COMPUTED_VALUE"""),45037.0)</f>
        <v>45037</v>
      </c>
      <c r="B1326" s="16" t="str">
        <f>IFERROR(__xludf.DUMMYFUNCTION("""COMPUTED_VALUE"""),"Jeison Rubiano")</f>
        <v>Jeison Rubiano</v>
      </c>
      <c r="C1326" s="15" t="str">
        <f>IFERROR(__xludf.DUMMYFUNCTION("""COMPUTED_VALUE"""),"BARRANQUILLA")</f>
        <v>BARRANQUILLA</v>
      </c>
      <c r="D1326" s="15" t="str">
        <f>IFERROR(__xludf.DUMMYFUNCTION("""COMPUTED_VALUE"""),"MEDELLÍN")</f>
        <v>MEDELLÍN</v>
      </c>
      <c r="E1326" s="15" t="str">
        <f>IFERROR(__xludf.DUMMYFUNCTION("""COMPUTED_VALUE"""),"Rambla")</f>
        <v>Rambla</v>
      </c>
      <c r="F1326" s="17" t="str">
        <f>IFERROR(__xludf.DUMMYFUNCTION("""COMPUTED_VALUE"""),"Cr 5187-50 en el exito viva Barranquilla / NA / NA")</f>
        <v>Cr 5187-50 en el exito viva Barranquilla / NA / NA</v>
      </c>
      <c r="G1326" s="15" t="str">
        <f>IFERROR(__xludf.DUMMYFUNCTION("""COMPUTED_VALUE"""),"zonazul")</f>
        <v>zonazul</v>
      </c>
      <c r="H1326" s="16">
        <f>IFERROR(__xludf.DUMMYFUNCTION("""COMPUTED_VALUE"""),9943.0)</f>
        <v>9943</v>
      </c>
      <c r="I1326" s="18">
        <f>IFERROR(__xludf.DUMMYFUNCTION("""COMPUTED_VALUE"""),24.0)</f>
        <v>24</v>
      </c>
      <c r="J1326" s="18">
        <f>IFERROR(__xludf.DUMMYFUNCTION("""COMPUTED_VALUE"""),27.0)</f>
        <v>27</v>
      </c>
      <c r="K1326" s="18">
        <f>IFERROR(__xludf.DUMMYFUNCTION("""COMPUTED_VALUE"""),30.0)</f>
        <v>30</v>
      </c>
      <c r="L1326" s="17">
        <f>IFERROR(__xludf.DUMMYFUNCTION("""COMPUTED_VALUE"""),3.105626817E9)</f>
        <v>3105626817</v>
      </c>
      <c r="M1326" s="17" t="str">
        <f>IFERROR(__xludf.DUMMYFUNCTION("""COMPUTED_VALUE"""),"#REF!")</f>
        <v>#REF!</v>
      </c>
      <c r="N1326" s="17"/>
      <c r="O1326" s="19" t="str">
        <f>IFERROR(__xludf.DUMMYFUNCTION("""COMPUTED_VALUE"""),"")</f>
        <v/>
      </c>
      <c r="P1326" s="17" t="b">
        <f>IFERROR(__xludf.DUMMYFUNCTION("""COMPUTED_VALUE"""),FALSE)</f>
        <v>0</v>
      </c>
      <c r="Q1326" s="20" t="str">
        <f>IFERROR(__xludf.DUMMYFUNCTION("""COMPUTED_VALUE"""),"")</f>
        <v/>
      </c>
      <c r="R1326" s="22" t="str">
        <f>IFERROR(__xludf.DUMMYFUNCTION("""COMPUTED_VALUE"""),"")</f>
        <v/>
      </c>
    </row>
    <row r="1327">
      <c r="A1327" s="15">
        <f>IFERROR(__xludf.DUMMYFUNCTION("""COMPUTED_VALUE"""),45037.0)</f>
        <v>45037</v>
      </c>
      <c r="B1327" s="16" t="str">
        <f>IFERROR(__xludf.DUMMYFUNCTION("""COMPUTED_VALUE"""),"Jeison Rubiano")</f>
        <v>Jeison Rubiano</v>
      </c>
      <c r="C1327" s="15" t="str">
        <f>IFERROR(__xludf.DUMMYFUNCTION("""COMPUTED_VALUE"""),"BOGOTÁ")</f>
        <v>BOGOTÁ</v>
      </c>
      <c r="D1327" s="15" t="str">
        <f>IFERROR(__xludf.DUMMYFUNCTION("""COMPUTED_VALUE"""),"MEDELLÍN")</f>
        <v>MEDELLÍN</v>
      </c>
      <c r="E1327" s="15" t="str">
        <f>IFERROR(__xludf.DUMMYFUNCTION("""COMPUTED_VALUE"""),"Baby Chef")</f>
        <v>Baby Chef</v>
      </c>
      <c r="F1327" s="17" t="str">
        <f>IFERROR(__xludf.DUMMYFUNCTION("""COMPUTED_VALUE"""),"CALLE 145 # 17 - 75  / Apto 205 Edificio Mirador de Armonia / CEDRITOS")</f>
        <v>CALLE 145 # 17 - 75  / Apto 205 Edificio Mirador de Armonia / CEDRITOS</v>
      </c>
      <c r="G1327" s="15" t="str">
        <f>IFERROR(__xludf.DUMMYFUNCTION("""COMPUTED_VALUE"""),"LAURA CARREÑO")</f>
        <v>LAURA CARREÑO</v>
      </c>
      <c r="H1327" s="16">
        <f>IFERROR(__xludf.DUMMYFUNCTION("""COMPUTED_VALUE"""),9996.0)</f>
        <v>9996</v>
      </c>
      <c r="I1327" s="18">
        <f>IFERROR(__xludf.DUMMYFUNCTION("""COMPUTED_VALUE"""),8.0)</f>
        <v>8</v>
      </c>
      <c r="J1327" s="18">
        <f>IFERROR(__xludf.DUMMYFUNCTION("""COMPUTED_VALUE"""),16.0)</f>
        <v>16</v>
      </c>
      <c r="K1327" s="18">
        <f>IFERROR(__xludf.DUMMYFUNCTION("""COMPUTED_VALUE"""),20.0)</f>
        <v>20</v>
      </c>
      <c r="L1327" s="17">
        <f>IFERROR(__xludf.DUMMYFUNCTION("""COMPUTED_VALUE"""),3.184178322E9)</f>
        <v>3184178322</v>
      </c>
      <c r="M1327" s="17" t="str">
        <f>IFERROR(__xludf.DUMMYFUNCTION("""COMPUTED_VALUE"""),"#REF!")</f>
        <v>#REF!</v>
      </c>
      <c r="N1327" s="17"/>
      <c r="O1327" s="19" t="str">
        <f>IFERROR(__xludf.DUMMYFUNCTION("""COMPUTED_VALUE"""),"")</f>
        <v/>
      </c>
      <c r="P1327" s="17" t="b">
        <f>IFERROR(__xludf.DUMMYFUNCTION("""COMPUTED_VALUE"""),FALSE)</f>
        <v>0</v>
      </c>
      <c r="Q1327" s="20" t="str">
        <f>IFERROR(__xludf.DUMMYFUNCTION("""COMPUTED_VALUE"""),"")</f>
        <v/>
      </c>
      <c r="R1327" s="22" t="str">
        <f>IFERROR(__xludf.DUMMYFUNCTION("""COMPUTED_VALUE"""),"")</f>
        <v/>
      </c>
    </row>
    <row r="1328">
      <c r="A1328" s="15">
        <f>IFERROR(__xludf.DUMMYFUNCTION("""COMPUTED_VALUE"""),45037.0)</f>
        <v>45037</v>
      </c>
      <c r="B1328" s="16" t="str">
        <f>IFERROR(__xludf.DUMMYFUNCTION("""COMPUTED_VALUE"""),"Jeison Rubiano")</f>
        <v>Jeison Rubiano</v>
      </c>
      <c r="C1328" s="15" t="str">
        <f>IFERROR(__xludf.DUMMYFUNCTION("""COMPUTED_VALUE"""),"BOGOTÁ")</f>
        <v>BOGOTÁ</v>
      </c>
      <c r="D1328" s="15" t="str">
        <f>IFERROR(__xludf.DUMMYFUNCTION("""COMPUTED_VALUE"""),"MEDELLÍN")</f>
        <v>MEDELLÍN</v>
      </c>
      <c r="E1328" s="15" t="str">
        <f>IFERROR(__xludf.DUMMYFUNCTION("""COMPUTED_VALUE"""),"Baby Chef")</f>
        <v>Baby Chef</v>
      </c>
      <c r="F1328" s="17" t="str">
        <f>IFERROR(__xludf.DUMMYFUNCTION("""COMPUTED_VALUE"""),"CALLE 64 # 1 - 15 / TORRE 1 APTO 201 - Kandisky / Chapinero alto")</f>
        <v>CALLE 64 # 1 - 15 / TORRE 1 APTO 201 - Kandisky / Chapinero alto</v>
      </c>
      <c r="G1328" s="15" t="str">
        <f>IFERROR(__xludf.DUMMYFUNCTION("""COMPUTED_VALUE"""),"DAYRA GUTIERREZ")</f>
        <v>DAYRA GUTIERREZ</v>
      </c>
      <c r="H1328" s="16">
        <f>IFERROR(__xludf.DUMMYFUNCTION("""COMPUTED_VALUE"""),9966.0)</f>
        <v>9966</v>
      </c>
      <c r="I1328" s="18">
        <f>IFERROR(__xludf.DUMMYFUNCTION("""COMPUTED_VALUE"""),8.0)</f>
        <v>8</v>
      </c>
      <c r="J1328" s="18">
        <f>IFERROR(__xludf.DUMMYFUNCTION("""COMPUTED_VALUE"""),16.0)</f>
        <v>16</v>
      </c>
      <c r="K1328" s="18">
        <f>IFERROR(__xludf.DUMMYFUNCTION("""COMPUTED_VALUE"""),20.0)</f>
        <v>20</v>
      </c>
      <c r="L1328" s="17">
        <f>IFERROR(__xludf.DUMMYFUNCTION("""COMPUTED_VALUE"""),3.134219306E9)</f>
        <v>3134219306</v>
      </c>
      <c r="M1328" s="17" t="str">
        <f>IFERROR(__xludf.DUMMYFUNCTION("""COMPUTED_VALUE"""),"#REF!")</f>
        <v>#REF!</v>
      </c>
      <c r="N1328" s="17"/>
      <c r="O1328" s="19" t="str">
        <f>IFERROR(__xludf.DUMMYFUNCTION("""COMPUTED_VALUE"""),"")</f>
        <v/>
      </c>
      <c r="P1328" s="17" t="b">
        <f>IFERROR(__xludf.DUMMYFUNCTION("""COMPUTED_VALUE"""),FALSE)</f>
        <v>0</v>
      </c>
      <c r="Q1328" s="20" t="str">
        <f>IFERROR(__xludf.DUMMYFUNCTION("""COMPUTED_VALUE"""),"")</f>
        <v/>
      </c>
      <c r="R1328" s="22" t="str">
        <f>IFERROR(__xludf.DUMMYFUNCTION("""COMPUTED_VALUE"""),"")</f>
        <v/>
      </c>
    </row>
    <row r="1329">
      <c r="A1329" s="15">
        <f>IFERROR(__xludf.DUMMYFUNCTION("""COMPUTED_VALUE"""),45037.0)</f>
        <v>45037</v>
      </c>
      <c r="B1329" s="16" t="str">
        <f>IFERROR(__xludf.DUMMYFUNCTION("""COMPUTED_VALUE"""),"Jeison Rubiano")</f>
        <v>Jeison Rubiano</v>
      </c>
      <c r="C1329" s="15" t="str">
        <f>IFERROR(__xludf.DUMMYFUNCTION("""COMPUTED_VALUE"""),"BOGOTÁ")</f>
        <v>BOGOTÁ</v>
      </c>
      <c r="D1329" s="15" t="str">
        <f>IFERROR(__xludf.DUMMYFUNCTION("""COMPUTED_VALUE"""),"MEDELLÍN")</f>
        <v>MEDELLÍN</v>
      </c>
      <c r="E1329" s="15" t="str">
        <f>IFERROR(__xludf.DUMMYFUNCTION("""COMPUTED_VALUE"""),"Baby Chef")</f>
        <v>Baby Chef</v>
      </c>
      <c r="F1329" s="17" t="str">
        <f>IFERROR(__xludf.DUMMYFUNCTION("""COMPUTED_VALUE"""),"Carrera 43#24A-05  / Apto 401 edif. Portal de quinta paredes / Apto 401 edif. Portal de quinta paredes")</f>
        <v>Carrera 43#24A-05  / Apto 401 edif. Portal de quinta paredes / Apto 401 edif. Portal de quinta paredes</v>
      </c>
      <c r="G1329" s="15" t="str">
        <f>IFERROR(__xludf.DUMMYFUNCTION("""COMPUTED_VALUE"""),"SANDRA CALIMAN")</f>
        <v>SANDRA CALIMAN</v>
      </c>
      <c r="H1329" s="16">
        <f>IFERROR(__xludf.DUMMYFUNCTION("""COMPUTED_VALUE"""),9967.0)</f>
        <v>9967</v>
      </c>
      <c r="I1329" s="18">
        <f>IFERROR(__xludf.DUMMYFUNCTION("""COMPUTED_VALUE"""),8.0)</f>
        <v>8</v>
      </c>
      <c r="J1329" s="18">
        <f>IFERROR(__xludf.DUMMYFUNCTION("""COMPUTED_VALUE"""),16.0)</f>
        <v>16</v>
      </c>
      <c r="K1329" s="18">
        <f>IFERROR(__xludf.DUMMYFUNCTION("""COMPUTED_VALUE"""),20.0)</f>
        <v>20</v>
      </c>
      <c r="L1329" s="17">
        <f>IFERROR(__xludf.DUMMYFUNCTION("""COMPUTED_VALUE"""),3.132833408E9)</f>
        <v>3132833408</v>
      </c>
      <c r="M1329" s="17" t="str">
        <f>IFERROR(__xludf.DUMMYFUNCTION("""COMPUTED_VALUE"""),"#REF!")</f>
        <v>#REF!</v>
      </c>
      <c r="N1329" s="17"/>
      <c r="O1329" s="19" t="str">
        <f>IFERROR(__xludf.DUMMYFUNCTION("""COMPUTED_VALUE"""),"")</f>
        <v/>
      </c>
      <c r="P1329" s="17" t="b">
        <f>IFERROR(__xludf.DUMMYFUNCTION("""COMPUTED_VALUE"""),FALSE)</f>
        <v>0</v>
      </c>
      <c r="Q1329" s="20" t="str">
        <f>IFERROR(__xludf.DUMMYFUNCTION("""COMPUTED_VALUE"""),"")</f>
        <v/>
      </c>
      <c r="R1329" s="22" t="str">
        <f>IFERROR(__xludf.DUMMYFUNCTION("""COMPUTED_VALUE"""),"")</f>
        <v/>
      </c>
    </row>
    <row r="1330">
      <c r="A1330" s="15">
        <f>IFERROR(__xludf.DUMMYFUNCTION("""COMPUTED_VALUE"""),45037.0)</f>
        <v>45037</v>
      </c>
      <c r="B1330" s="16" t="str">
        <f>IFERROR(__xludf.DUMMYFUNCTION("""COMPUTED_VALUE"""),"Jeison Rubiano")</f>
        <v>Jeison Rubiano</v>
      </c>
      <c r="C1330" s="15" t="str">
        <f>IFERROR(__xludf.DUMMYFUNCTION("""COMPUTED_VALUE"""),"BOGOTÁ")</f>
        <v>BOGOTÁ</v>
      </c>
      <c r="D1330" s="15" t="str">
        <f>IFERROR(__xludf.DUMMYFUNCTION("""COMPUTED_VALUE"""),"MEDELLÍN")</f>
        <v>MEDELLÍN</v>
      </c>
      <c r="E1330" s="15" t="str">
        <f>IFERROR(__xludf.DUMMYFUNCTION("""COMPUTED_VALUE"""),"Baby Chef")</f>
        <v>Baby Chef</v>
      </c>
      <c r="F1330" s="17" t="str">
        <f>IFERROR(__xludf.DUMMYFUNCTION("""COMPUTED_VALUE"""),"Cra 73 6c71 casa 60 / Agrupación H / Castilla")</f>
        <v>Cra 73 6c71 casa 60 / Agrupación H / Castilla</v>
      </c>
      <c r="G1330" s="15" t="str">
        <f>IFERROR(__xludf.DUMMYFUNCTION("""COMPUTED_VALUE"""),"ELIANA RUBIO")</f>
        <v>ELIANA RUBIO</v>
      </c>
      <c r="H1330" s="16">
        <f>IFERROR(__xludf.DUMMYFUNCTION("""COMPUTED_VALUE"""),9963.0)</f>
        <v>9963</v>
      </c>
      <c r="I1330" s="18">
        <f>IFERROR(__xludf.DUMMYFUNCTION("""COMPUTED_VALUE"""),8.0)</f>
        <v>8</v>
      </c>
      <c r="J1330" s="18">
        <f>IFERROR(__xludf.DUMMYFUNCTION("""COMPUTED_VALUE"""),16.0)</f>
        <v>16</v>
      </c>
      <c r="K1330" s="18">
        <f>IFERROR(__xludf.DUMMYFUNCTION("""COMPUTED_VALUE"""),20.0)</f>
        <v>20</v>
      </c>
      <c r="L1330" s="17">
        <f>IFERROR(__xludf.DUMMYFUNCTION("""COMPUTED_VALUE"""),3.203657309E9)</f>
        <v>3203657309</v>
      </c>
      <c r="M1330" s="17" t="str">
        <f>IFERROR(__xludf.DUMMYFUNCTION("""COMPUTED_VALUE"""),"#REF!")</f>
        <v>#REF!</v>
      </c>
      <c r="N1330" s="17"/>
      <c r="O1330" s="19" t="str">
        <f>IFERROR(__xludf.DUMMYFUNCTION("""COMPUTED_VALUE"""),"")</f>
        <v/>
      </c>
      <c r="P1330" s="17" t="b">
        <f>IFERROR(__xludf.DUMMYFUNCTION("""COMPUTED_VALUE"""),FALSE)</f>
        <v>0</v>
      </c>
      <c r="Q1330" s="20" t="str">
        <f>IFERROR(__xludf.DUMMYFUNCTION("""COMPUTED_VALUE"""),"")</f>
        <v/>
      </c>
      <c r="R1330" s="22" t="str">
        <f>IFERROR(__xludf.DUMMYFUNCTION("""COMPUTED_VALUE"""),"")</f>
        <v/>
      </c>
    </row>
    <row r="1331">
      <c r="A1331" s="15">
        <f>IFERROR(__xludf.DUMMYFUNCTION("""COMPUTED_VALUE"""),45037.0)</f>
        <v>45037</v>
      </c>
      <c r="B1331" s="16" t="str">
        <f>IFERROR(__xludf.DUMMYFUNCTION("""COMPUTED_VALUE"""),"Jeison Rubiano")</f>
        <v>Jeison Rubiano</v>
      </c>
      <c r="C1331" s="15" t="str">
        <f>IFERROR(__xludf.DUMMYFUNCTION("""COMPUTED_VALUE"""),"BOGOTÁ")</f>
        <v>BOGOTÁ</v>
      </c>
      <c r="D1331" s="15" t="str">
        <f>IFERROR(__xludf.DUMMYFUNCTION("""COMPUTED_VALUE"""),"MEDELLÍN")</f>
        <v>MEDELLÍN</v>
      </c>
      <c r="E1331" s="15" t="str">
        <f>IFERROR(__xludf.DUMMYFUNCTION("""COMPUTED_VALUE"""),"Lácteos El Pino SAS")</f>
        <v>Lácteos El Pino SAS</v>
      </c>
      <c r="F1331" s="17" t="str">
        <f>IFERROR(__xludf.DUMMYFUNCTION("""COMPUTED_VALUE"""),"CRA 13 # 118-15 / LOCAL CASA GRIS- PRIMER PISO")</f>
        <v>CRA 13 # 118-15 / LOCAL CASA GRIS- PRIMER PISO</v>
      </c>
      <c r="G1331" s="15" t="str">
        <f>IFERROR(__xludf.DUMMYFUNCTION("""COMPUTED_VALUE"""),"MARCELA POSADA")</f>
        <v>MARCELA POSADA</v>
      </c>
      <c r="H1331" s="16">
        <f>IFERROR(__xludf.DUMMYFUNCTION("""COMPUTED_VALUE"""),9961.0)</f>
        <v>9961</v>
      </c>
      <c r="I1331" s="18">
        <f>IFERROR(__xludf.DUMMYFUNCTION("""COMPUTED_VALUE"""),33.0)</f>
        <v>33</v>
      </c>
      <c r="J1331" s="18">
        <f>IFERROR(__xludf.DUMMYFUNCTION("""COMPUTED_VALUE"""),22.0)</f>
        <v>22</v>
      </c>
      <c r="K1331" s="18">
        <f>IFERROR(__xludf.DUMMYFUNCTION("""COMPUTED_VALUE"""),36.0)</f>
        <v>36</v>
      </c>
      <c r="L1331" s="17"/>
      <c r="M1331" s="17" t="str">
        <f>IFERROR(__xludf.DUMMYFUNCTION("""COMPUTED_VALUE"""),"#REF!")</f>
        <v>#REF!</v>
      </c>
      <c r="N1331" s="17"/>
      <c r="O1331" s="19" t="str">
        <f>IFERROR(__xludf.DUMMYFUNCTION("""COMPUTED_VALUE"""),"")</f>
        <v/>
      </c>
      <c r="P1331" s="17" t="b">
        <f>IFERROR(__xludf.DUMMYFUNCTION("""COMPUTED_VALUE"""),FALSE)</f>
        <v>0</v>
      </c>
      <c r="Q1331" s="20" t="str">
        <f>IFERROR(__xludf.DUMMYFUNCTION("""COMPUTED_VALUE"""),"")</f>
        <v/>
      </c>
      <c r="R1331" s="22" t="str">
        <f>IFERROR(__xludf.DUMMYFUNCTION("""COMPUTED_VALUE"""),"")</f>
        <v/>
      </c>
    </row>
    <row r="1332">
      <c r="A1332" s="15">
        <f>IFERROR(__xludf.DUMMYFUNCTION("""COMPUTED_VALUE"""),45037.0)</f>
        <v>45037</v>
      </c>
      <c r="B1332" s="16" t="str">
        <f>IFERROR(__xludf.DUMMYFUNCTION("""COMPUTED_VALUE"""),"Jeison Rubiano")</f>
        <v>Jeison Rubiano</v>
      </c>
      <c r="C1332" s="15" t="str">
        <f>IFERROR(__xludf.DUMMYFUNCTION("""COMPUTED_VALUE"""),"BOGOTÁ")</f>
        <v>BOGOTÁ</v>
      </c>
      <c r="D1332" s="15" t="str">
        <f>IFERROR(__xludf.DUMMYFUNCTION("""COMPUTED_VALUE"""),"MEDELLÍN")</f>
        <v>MEDELLÍN</v>
      </c>
      <c r="E1332" s="15" t="str">
        <f>IFERROR(__xludf.DUMMYFUNCTION("""COMPUTED_VALUE"""),"Magda")</f>
        <v>Magda</v>
      </c>
      <c r="F1332" s="17" t="str">
        <f>IFERROR(__xludf.DUMMYFUNCTION("""COMPUTED_VALUE"""),"Calle 71a # 14a22/26 / cocina oculta / San felipe")</f>
        <v>Calle 71a # 14a22/26 / cocina oculta / San felipe</v>
      </c>
      <c r="G1332" s="15" t="str">
        <f>IFERROR(__xludf.DUMMYFUNCTION("""COMPUTED_VALUE"""),"Andrez hernandez")</f>
        <v>Andrez hernandez</v>
      </c>
      <c r="H1332" s="16">
        <f>IFERROR(__xludf.DUMMYFUNCTION("""COMPUTED_VALUE"""),9955.0)</f>
        <v>9955</v>
      </c>
      <c r="I1332" s="18">
        <f>IFERROR(__xludf.DUMMYFUNCTION("""COMPUTED_VALUE"""),5.0)</f>
        <v>5</v>
      </c>
      <c r="J1332" s="18">
        <f>IFERROR(__xludf.DUMMYFUNCTION("""COMPUTED_VALUE"""),5.0)</f>
        <v>5</v>
      </c>
      <c r="K1332" s="18">
        <f>IFERROR(__xludf.DUMMYFUNCTION("""COMPUTED_VALUE"""),5.0)</f>
        <v>5</v>
      </c>
      <c r="L1332" s="17">
        <f>IFERROR(__xludf.DUMMYFUNCTION("""COMPUTED_VALUE"""),3.20414202E9)</f>
        <v>3204142020</v>
      </c>
      <c r="M1332" s="17" t="str">
        <f>IFERROR(__xludf.DUMMYFUNCTION("""COMPUTED_VALUE"""),"#REF!")</f>
        <v>#REF!</v>
      </c>
      <c r="N1332" s="17"/>
      <c r="O1332" s="19" t="str">
        <f>IFERROR(__xludf.DUMMYFUNCTION("""COMPUTED_VALUE"""),"")</f>
        <v/>
      </c>
      <c r="P1332" s="17" t="b">
        <f>IFERROR(__xludf.DUMMYFUNCTION("""COMPUTED_VALUE"""),FALSE)</f>
        <v>0</v>
      </c>
      <c r="Q1332" s="20" t="str">
        <f>IFERROR(__xludf.DUMMYFUNCTION("""COMPUTED_VALUE"""),"")</f>
        <v/>
      </c>
      <c r="R1332" s="22" t="str">
        <f>IFERROR(__xludf.DUMMYFUNCTION("""COMPUTED_VALUE"""),"")</f>
        <v/>
      </c>
    </row>
    <row r="1333">
      <c r="A1333" s="15">
        <f>IFERROR(__xludf.DUMMYFUNCTION("""COMPUTED_VALUE"""),45037.0)</f>
        <v>45037</v>
      </c>
      <c r="B1333" s="16" t="str">
        <f>IFERROR(__xludf.DUMMYFUNCTION("""COMPUTED_VALUE"""),"Jeison Rubiano")</f>
        <v>Jeison Rubiano</v>
      </c>
      <c r="C1333" s="15" t="str">
        <f>IFERROR(__xludf.DUMMYFUNCTION("""COMPUTED_VALUE"""),"BOGOTÁ")</f>
        <v>BOGOTÁ</v>
      </c>
      <c r="D1333" s="15" t="str">
        <f>IFERROR(__xludf.DUMMYFUNCTION("""COMPUTED_VALUE"""),"MEDELLÍN")</f>
        <v>MEDELLÍN</v>
      </c>
      <c r="E1333" s="15" t="str">
        <f>IFERROR(__xludf.DUMMYFUNCTION("""COMPUTED_VALUE"""),"Moloso S.A.S")</f>
        <v>Moloso S.A.S</v>
      </c>
      <c r="F1333" s="17" t="str">
        <f>IFERROR(__xludf.DUMMYFUNCTION("""COMPUTED_VALUE"""),"CARRERA 49B  74 142 / APTO 303  ED MARTHA ELENA")</f>
        <v>CARRERA 49B  74 142 / APTO 303  ED MARTHA ELENA</v>
      </c>
      <c r="G1333" s="15" t="str">
        <f>IFERROR(__xludf.DUMMYFUNCTION("""COMPUTED_VALUE"""),"SILVANA RUBIO AFRICAN")</f>
        <v>SILVANA RUBIO AFRICAN</v>
      </c>
      <c r="H1333" s="16">
        <f>IFERROR(__xludf.DUMMYFUNCTION("""COMPUTED_VALUE"""),9956.0)</f>
        <v>9956</v>
      </c>
      <c r="I1333" s="18">
        <f>IFERROR(__xludf.DUMMYFUNCTION("""COMPUTED_VALUE"""),17.0)</f>
        <v>17</v>
      </c>
      <c r="J1333" s="18">
        <f>IFERROR(__xludf.DUMMYFUNCTION("""COMPUTED_VALUE"""),15.0)</f>
        <v>15</v>
      </c>
      <c r="K1333" s="18">
        <f>IFERROR(__xludf.DUMMYFUNCTION("""COMPUTED_VALUE"""),28.0)</f>
        <v>28</v>
      </c>
      <c r="L1333" s="17" t="str">
        <f>IFERROR(__xludf.DUMMYFUNCTION("""COMPUTED_VALUE"""),"300 3469905")</f>
        <v>300 3469905</v>
      </c>
      <c r="M1333" s="17" t="str">
        <f>IFERROR(__xludf.DUMMYFUNCTION("""COMPUTED_VALUE"""),"#REF!")</f>
        <v>#REF!</v>
      </c>
      <c r="N1333" s="17"/>
      <c r="O1333" s="19" t="str">
        <f>IFERROR(__xludf.DUMMYFUNCTION("""COMPUTED_VALUE"""),"")</f>
        <v/>
      </c>
      <c r="P1333" s="17" t="b">
        <f>IFERROR(__xludf.DUMMYFUNCTION("""COMPUTED_VALUE"""),FALSE)</f>
        <v>0</v>
      </c>
      <c r="Q1333" s="20" t="str">
        <f>IFERROR(__xludf.DUMMYFUNCTION("""COMPUTED_VALUE"""),"")</f>
        <v/>
      </c>
      <c r="R1333" s="22" t="str">
        <f>IFERROR(__xludf.DUMMYFUNCTION("""COMPUTED_VALUE"""),"")</f>
        <v/>
      </c>
    </row>
    <row r="1334">
      <c r="A1334" s="15">
        <f>IFERROR(__xludf.DUMMYFUNCTION("""COMPUTED_VALUE"""),45037.0)</f>
        <v>45037</v>
      </c>
      <c r="B1334" s="16" t="str">
        <f>IFERROR(__xludf.DUMMYFUNCTION("""COMPUTED_VALUE"""),"Jeison Rubiano")</f>
        <v>Jeison Rubiano</v>
      </c>
      <c r="C1334" s="15" t="str">
        <f>IFERROR(__xludf.DUMMYFUNCTION("""COMPUTED_VALUE"""),"BOGOTÁ")</f>
        <v>BOGOTÁ</v>
      </c>
      <c r="D1334" s="15" t="str">
        <f>IFERROR(__xludf.DUMMYFUNCTION("""COMPUTED_VALUE"""),"MEDELLÍN")</f>
        <v>MEDELLÍN</v>
      </c>
      <c r="E1334" s="15" t="str">
        <f>IFERROR(__xludf.DUMMYFUNCTION("""COMPUTED_VALUE"""),"Moloso S.A.S")</f>
        <v>Moloso S.A.S</v>
      </c>
      <c r="F1334" s="17" t="str">
        <f>IFERROR(__xludf.DUMMYFUNCTION("""COMPUTED_VALUE"""),"CR 53 134A 63 / AP 301")</f>
        <v>CR 53 134A 63 / AP 301</v>
      </c>
      <c r="G1334" s="15" t="str">
        <f>IFERROR(__xludf.DUMMYFUNCTION("""COMPUTED_VALUE"""),"ANA MARIA ESPINEL SUAREZ")</f>
        <v>ANA MARIA ESPINEL SUAREZ</v>
      </c>
      <c r="H1334" s="16">
        <f>IFERROR(__xludf.DUMMYFUNCTION("""COMPUTED_VALUE"""),9990.0)</f>
        <v>9990</v>
      </c>
      <c r="I1334" s="18">
        <f>IFERROR(__xludf.DUMMYFUNCTION("""COMPUTED_VALUE"""),17.0)</f>
        <v>17</v>
      </c>
      <c r="J1334" s="18">
        <f>IFERROR(__xludf.DUMMYFUNCTION("""COMPUTED_VALUE"""),15.0)</f>
        <v>15</v>
      </c>
      <c r="K1334" s="18">
        <f>IFERROR(__xludf.DUMMYFUNCTION("""COMPUTED_VALUE"""),28.0)</f>
        <v>28</v>
      </c>
      <c r="L1334" s="17">
        <f>IFERROR(__xludf.DUMMYFUNCTION("""COMPUTED_VALUE"""),3.182804483E9)</f>
        <v>3182804483</v>
      </c>
      <c r="M1334" s="17" t="str">
        <f>IFERROR(__xludf.DUMMYFUNCTION("""COMPUTED_VALUE"""),"#REF!")</f>
        <v>#REF!</v>
      </c>
      <c r="N1334" s="17"/>
      <c r="O1334" s="19" t="str">
        <f>IFERROR(__xludf.DUMMYFUNCTION("""COMPUTED_VALUE"""),"")</f>
        <v/>
      </c>
      <c r="P1334" s="17" t="b">
        <f>IFERROR(__xludf.DUMMYFUNCTION("""COMPUTED_VALUE"""),FALSE)</f>
        <v>0</v>
      </c>
      <c r="Q1334" s="20" t="str">
        <f>IFERROR(__xludf.DUMMYFUNCTION("""COMPUTED_VALUE"""),"")</f>
        <v/>
      </c>
      <c r="R1334" s="22" t="str">
        <f>IFERROR(__xludf.DUMMYFUNCTION("""COMPUTED_VALUE"""),"")</f>
        <v/>
      </c>
    </row>
    <row r="1335">
      <c r="A1335" s="15">
        <f>IFERROR(__xludf.DUMMYFUNCTION("""COMPUTED_VALUE"""),45037.0)</f>
        <v>45037</v>
      </c>
      <c r="B1335" s="16" t="str">
        <f>IFERROR(__xludf.DUMMYFUNCTION("""COMPUTED_VALUE"""),"Jeison Rubiano")</f>
        <v>Jeison Rubiano</v>
      </c>
      <c r="C1335" s="15" t="str">
        <f>IFERROR(__xludf.DUMMYFUNCTION("""COMPUTED_VALUE"""),"BOGOTÁ")</f>
        <v>BOGOTÁ</v>
      </c>
      <c r="D1335" s="15" t="str">
        <f>IFERROR(__xludf.DUMMYFUNCTION("""COMPUTED_VALUE"""),"MEDELLÍN")</f>
        <v>MEDELLÍN</v>
      </c>
      <c r="E1335" s="15" t="str">
        <f>IFERROR(__xludf.DUMMYFUNCTION("""COMPUTED_VALUE"""),"Rambla")</f>
        <v>Rambla</v>
      </c>
      <c r="F1335" s="17" t="str">
        <f>IFERROR(__xludf.DUMMYFUNCTION("""COMPUTED_VALUE"""),"Av Cra 9 # 113-52 local 306 / na / na")</f>
        <v>Av Cra 9 # 113-52 local 306 / na / na</v>
      </c>
      <c r="G1335" s="15" t="str">
        <f>IFERROR(__xludf.DUMMYFUNCTION("""COMPUTED_VALUE"""),"Freshco")</f>
        <v>Freshco</v>
      </c>
      <c r="H1335" s="16">
        <f>IFERROR(__xludf.DUMMYFUNCTION("""COMPUTED_VALUE"""),9984.0)</f>
        <v>9984</v>
      </c>
      <c r="I1335" s="18">
        <f>IFERROR(__xludf.DUMMYFUNCTION("""COMPUTED_VALUE"""),20.0)</f>
        <v>20</v>
      </c>
      <c r="J1335" s="18">
        <f>IFERROR(__xludf.DUMMYFUNCTION("""COMPUTED_VALUE"""),24.0)</f>
        <v>24</v>
      </c>
      <c r="K1335" s="18">
        <f>IFERROR(__xludf.DUMMYFUNCTION("""COMPUTED_VALUE"""),28.0)</f>
        <v>28</v>
      </c>
      <c r="L1335" s="17">
        <f>IFERROR(__xludf.DUMMYFUNCTION("""COMPUTED_VALUE"""),3.229417869E9)</f>
        <v>3229417869</v>
      </c>
      <c r="M1335" s="17" t="str">
        <f>IFERROR(__xludf.DUMMYFUNCTION("""COMPUTED_VALUE"""),"#REF!")</f>
        <v>#REF!</v>
      </c>
      <c r="N1335" s="17"/>
      <c r="O1335" s="19" t="str">
        <f>IFERROR(__xludf.DUMMYFUNCTION("""COMPUTED_VALUE"""),"")</f>
        <v/>
      </c>
      <c r="P1335" s="17" t="b">
        <f>IFERROR(__xludf.DUMMYFUNCTION("""COMPUTED_VALUE"""),FALSE)</f>
        <v>0</v>
      </c>
      <c r="Q1335" s="20" t="str">
        <f>IFERROR(__xludf.DUMMYFUNCTION("""COMPUTED_VALUE"""),"")</f>
        <v/>
      </c>
      <c r="R1335" s="22" t="str">
        <f>IFERROR(__xludf.DUMMYFUNCTION("""COMPUTED_VALUE"""),"")</f>
        <v/>
      </c>
    </row>
    <row r="1336">
      <c r="A1336" s="15">
        <f>IFERROR(__xludf.DUMMYFUNCTION("""COMPUTED_VALUE"""),45037.0)</f>
        <v>45037</v>
      </c>
      <c r="B1336" s="16" t="str">
        <f>IFERROR(__xludf.DUMMYFUNCTION("""COMPUTED_VALUE"""),"Jeison Rubiano")</f>
        <v>Jeison Rubiano</v>
      </c>
      <c r="C1336" s="15" t="str">
        <f>IFERROR(__xludf.DUMMYFUNCTION("""COMPUTED_VALUE"""),"BOGOTÁ")</f>
        <v>BOGOTÁ</v>
      </c>
      <c r="D1336" s="15" t="str">
        <f>IFERROR(__xludf.DUMMYFUNCTION("""COMPUTED_VALUE"""),"MEDELLÍN")</f>
        <v>MEDELLÍN</v>
      </c>
      <c r="E1336" s="15" t="str">
        <f>IFERROR(__xludf.DUMMYFUNCTION("""COMPUTED_VALUE"""),"Rambla")</f>
        <v>Rambla</v>
      </c>
      <c r="F1336" s="17" t="str">
        <f>IFERROR(__xludf.DUMMYFUNCTION("""COMPUTED_VALUE"""),"calle 71 # 4 - 55 / na / na")</f>
        <v>calle 71 # 4 - 55 / na / na</v>
      </c>
      <c r="G1336" s="15" t="str">
        <f>IFERROR(__xludf.DUMMYFUNCTION("""COMPUTED_VALUE"""),"fit market")</f>
        <v>fit market</v>
      </c>
      <c r="H1336" s="16">
        <f>IFERROR(__xludf.DUMMYFUNCTION("""COMPUTED_VALUE"""),9991.0)</f>
        <v>9991</v>
      </c>
      <c r="I1336" s="18">
        <f>IFERROR(__xludf.DUMMYFUNCTION("""COMPUTED_VALUE"""),20.0)</f>
        <v>20</v>
      </c>
      <c r="J1336" s="18">
        <f>IFERROR(__xludf.DUMMYFUNCTION("""COMPUTED_VALUE"""),24.0)</f>
        <v>24</v>
      </c>
      <c r="K1336" s="18">
        <f>IFERROR(__xludf.DUMMYFUNCTION("""COMPUTED_VALUE"""),28.0)</f>
        <v>28</v>
      </c>
      <c r="L1336" s="17">
        <f>IFERROR(__xludf.DUMMYFUNCTION("""COMPUTED_VALUE"""),3.183545455E9)</f>
        <v>3183545455</v>
      </c>
      <c r="M1336" s="17" t="str">
        <f>IFERROR(__xludf.DUMMYFUNCTION("""COMPUTED_VALUE"""),"#REF!")</f>
        <v>#REF!</v>
      </c>
      <c r="N1336" s="17"/>
      <c r="O1336" s="19" t="str">
        <f>IFERROR(__xludf.DUMMYFUNCTION("""COMPUTED_VALUE"""),"")</f>
        <v/>
      </c>
      <c r="P1336" s="17" t="b">
        <f>IFERROR(__xludf.DUMMYFUNCTION("""COMPUTED_VALUE"""),FALSE)</f>
        <v>0</v>
      </c>
      <c r="Q1336" s="20" t="str">
        <f>IFERROR(__xludf.DUMMYFUNCTION("""COMPUTED_VALUE"""),"")</f>
        <v/>
      </c>
      <c r="R1336" s="22" t="str">
        <f>IFERROR(__xludf.DUMMYFUNCTION("""COMPUTED_VALUE"""),"")</f>
        <v/>
      </c>
    </row>
    <row r="1337">
      <c r="A1337" s="15">
        <f>IFERROR(__xludf.DUMMYFUNCTION("""COMPUTED_VALUE"""),45037.0)</f>
        <v>45037</v>
      </c>
      <c r="B1337" s="16" t="str">
        <f>IFERROR(__xludf.DUMMYFUNCTION("""COMPUTED_VALUE"""),"Jeison Rubiano")</f>
        <v>Jeison Rubiano</v>
      </c>
      <c r="C1337" s="15" t="str">
        <f>IFERROR(__xludf.DUMMYFUNCTION("""COMPUTED_VALUE"""),"BOGOTÁ")</f>
        <v>BOGOTÁ</v>
      </c>
      <c r="D1337" s="15" t="str">
        <f>IFERROR(__xludf.DUMMYFUNCTION("""COMPUTED_VALUE"""),"MEDELLÍN")</f>
        <v>MEDELLÍN</v>
      </c>
      <c r="E1337" s="15" t="str">
        <f>IFERROR(__xludf.DUMMYFUNCTION("""COMPUTED_VALUE"""),"Rambla")</f>
        <v>Rambla</v>
      </c>
      <c r="F1337" s="17" t="str">
        <f>IFERROR(__xludf.DUMMYFUNCTION("""COMPUTED_VALUE"""),"Cl. 93a #11-46, Barrio Chicó / na / na")</f>
        <v>Cl. 93a #11-46, Barrio Chicó / na / na</v>
      </c>
      <c r="G1337" s="15" t="str">
        <f>IFERROR(__xludf.DUMMYFUNCTION("""COMPUTED_VALUE"""),"Fit Hub")</f>
        <v>Fit Hub</v>
      </c>
      <c r="H1337" s="16">
        <f>IFERROR(__xludf.DUMMYFUNCTION("""COMPUTED_VALUE"""),9993.0)</f>
        <v>9993</v>
      </c>
      <c r="I1337" s="18">
        <f>IFERROR(__xludf.DUMMYFUNCTION("""COMPUTED_VALUE"""),20.0)</f>
        <v>20</v>
      </c>
      <c r="J1337" s="18">
        <f>IFERROR(__xludf.DUMMYFUNCTION("""COMPUTED_VALUE"""),25.0)</f>
        <v>25</v>
      </c>
      <c r="K1337" s="18">
        <f>IFERROR(__xludf.DUMMYFUNCTION("""COMPUTED_VALUE"""),28.0)</f>
        <v>28</v>
      </c>
      <c r="L1337" s="17">
        <f>IFERROR(__xludf.DUMMYFUNCTION("""COMPUTED_VALUE"""),3.015447307E9)</f>
        <v>3015447307</v>
      </c>
      <c r="M1337" s="17" t="str">
        <f>IFERROR(__xludf.DUMMYFUNCTION("""COMPUTED_VALUE"""),"#REF!")</f>
        <v>#REF!</v>
      </c>
      <c r="N1337" s="17"/>
      <c r="O1337" s="19" t="str">
        <f>IFERROR(__xludf.DUMMYFUNCTION("""COMPUTED_VALUE"""),"")</f>
        <v/>
      </c>
      <c r="P1337" s="17" t="b">
        <f>IFERROR(__xludf.DUMMYFUNCTION("""COMPUTED_VALUE"""),FALSE)</f>
        <v>0</v>
      </c>
      <c r="Q1337" s="20" t="str">
        <f>IFERROR(__xludf.DUMMYFUNCTION("""COMPUTED_VALUE"""),"")</f>
        <v/>
      </c>
      <c r="R1337" s="22" t="str">
        <f>IFERROR(__xludf.DUMMYFUNCTION("""COMPUTED_VALUE"""),"")</f>
        <v/>
      </c>
    </row>
    <row r="1338">
      <c r="A1338" s="15">
        <f>IFERROR(__xludf.DUMMYFUNCTION("""COMPUTED_VALUE"""),45037.0)</f>
        <v>45037</v>
      </c>
      <c r="B1338" s="16" t="str">
        <f>IFERROR(__xludf.DUMMYFUNCTION("""COMPUTED_VALUE"""),"Jeison Rubiano")</f>
        <v>Jeison Rubiano</v>
      </c>
      <c r="C1338" s="15" t="str">
        <f>IFERROR(__xludf.DUMMYFUNCTION("""COMPUTED_VALUE"""),"BOGOTÁ")</f>
        <v>BOGOTÁ</v>
      </c>
      <c r="D1338" s="15" t="str">
        <f>IFERROR(__xludf.DUMMYFUNCTION("""COMPUTED_VALUE"""),"MEDELLÍN")</f>
        <v>MEDELLÍN</v>
      </c>
      <c r="E1338" s="15" t="str">
        <f>IFERROR(__xludf.DUMMYFUNCTION("""COMPUTED_VALUE"""),"Rambla")</f>
        <v>Rambla</v>
      </c>
      <c r="F1338" s="17" t="str">
        <f>IFERROR(__xludf.DUMMYFUNCTION("""COMPUTED_VALUE"""),"Cra 7 No. 88-96 apto 1401 Edificio Montecarlo. El Chicó / na / na")</f>
        <v>Cra 7 No. 88-96 apto 1401 Edificio Montecarlo. El Chicó / na / na</v>
      </c>
      <c r="G1338" s="15" t="str">
        <f>IFERROR(__xludf.DUMMYFUNCTION("""COMPUTED_VALUE"""),"Betty Vargas")</f>
        <v>Betty Vargas</v>
      </c>
      <c r="H1338" s="16">
        <f>IFERROR(__xludf.DUMMYFUNCTION("""COMPUTED_VALUE"""),9983.0)</f>
        <v>9983</v>
      </c>
      <c r="I1338" s="18">
        <f>IFERROR(__xludf.DUMMYFUNCTION("""COMPUTED_VALUE"""),20.0)</f>
        <v>20</v>
      </c>
      <c r="J1338" s="18">
        <f>IFERROR(__xludf.DUMMYFUNCTION("""COMPUTED_VALUE"""),24.0)</f>
        <v>24</v>
      </c>
      <c r="K1338" s="18">
        <f>IFERROR(__xludf.DUMMYFUNCTION("""COMPUTED_VALUE"""),28.0)</f>
        <v>28</v>
      </c>
      <c r="L1338" s="17">
        <f>IFERROR(__xludf.DUMMYFUNCTION("""COMPUTED_VALUE"""),3.167936595E9)</f>
        <v>3167936595</v>
      </c>
      <c r="M1338" s="17" t="str">
        <f>IFERROR(__xludf.DUMMYFUNCTION("""COMPUTED_VALUE"""),"#REF!")</f>
        <v>#REF!</v>
      </c>
      <c r="N1338" s="17"/>
      <c r="O1338" s="19" t="str">
        <f>IFERROR(__xludf.DUMMYFUNCTION("""COMPUTED_VALUE"""),"")</f>
        <v/>
      </c>
      <c r="P1338" s="17" t="b">
        <f>IFERROR(__xludf.DUMMYFUNCTION("""COMPUTED_VALUE"""),FALSE)</f>
        <v>0</v>
      </c>
      <c r="Q1338" s="20" t="str">
        <f>IFERROR(__xludf.DUMMYFUNCTION("""COMPUTED_VALUE"""),"")</f>
        <v/>
      </c>
      <c r="R1338" s="22" t="str">
        <f>IFERROR(__xludf.DUMMYFUNCTION("""COMPUTED_VALUE"""),"")</f>
        <v/>
      </c>
    </row>
    <row r="1339">
      <c r="A1339" s="17" t="str">
        <f>IFERROR(__xludf.DUMMYFUNCTION("""COMPUTED_VALUE"""),"")</f>
        <v/>
      </c>
      <c r="B1339" s="17" t="str">
        <f>IFERROR(__xludf.DUMMYFUNCTION("""COMPUTED_VALUE"""),"")</f>
        <v/>
      </c>
      <c r="C1339" s="17" t="str">
        <f>IFERROR(__xludf.DUMMYFUNCTION("""COMPUTED_VALUE"""),"")</f>
        <v/>
      </c>
      <c r="D1339" s="17" t="str">
        <f>IFERROR(__xludf.DUMMYFUNCTION("""COMPUTED_VALUE"""),"")</f>
        <v/>
      </c>
      <c r="E1339" s="17" t="str">
        <f>IFERROR(__xludf.DUMMYFUNCTION("""COMPUTED_VALUE"""),"")</f>
        <v/>
      </c>
      <c r="F1339" s="17" t="str">
        <f>IFERROR(__xludf.DUMMYFUNCTION("""COMPUTED_VALUE"""),"")</f>
        <v/>
      </c>
      <c r="G1339" s="17" t="str">
        <f>IFERROR(__xludf.DUMMYFUNCTION("""COMPUTED_VALUE"""),"")</f>
        <v/>
      </c>
      <c r="H1339" s="17" t="str">
        <f>IFERROR(__xludf.DUMMYFUNCTION("""COMPUTED_VALUE"""),"")</f>
        <v/>
      </c>
      <c r="I1339" s="17" t="str">
        <f>IFERROR(__xludf.DUMMYFUNCTION("""COMPUTED_VALUE"""),"")</f>
        <v/>
      </c>
      <c r="J1339" s="17" t="str">
        <f>IFERROR(__xludf.DUMMYFUNCTION("""COMPUTED_VALUE"""),"")</f>
        <v/>
      </c>
      <c r="K1339" s="17" t="str">
        <f>IFERROR(__xludf.DUMMYFUNCTION("""COMPUTED_VALUE"""),"")</f>
        <v/>
      </c>
      <c r="L1339" s="17" t="str">
        <f>IFERROR(__xludf.DUMMYFUNCTION("""COMPUTED_VALUE"""),"")</f>
        <v/>
      </c>
      <c r="M1339" s="17" t="str">
        <f>IFERROR(__xludf.DUMMYFUNCTION("""COMPUTED_VALUE"""),"")</f>
        <v/>
      </c>
      <c r="N1339" s="17" t="str">
        <f>IFERROR(__xludf.DUMMYFUNCTION("""COMPUTED_VALUE"""),"")</f>
        <v/>
      </c>
      <c r="O1339" s="17" t="str">
        <f>IFERROR(__xludf.DUMMYFUNCTION("""COMPUTED_VALUE"""),"")</f>
        <v/>
      </c>
      <c r="P1339" s="17" t="str">
        <f>IFERROR(__xludf.DUMMYFUNCTION("""COMPUTED_VALUE"""),"")</f>
        <v/>
      </c>
      <c r="Q1339" s="17" t="str">
        <f>IFERROR(__xludf.DUMMYFUNCTION("""COMPUTED_VALUE"""),"")</f>
        <v/>
      </c>
      <c r="R1339" s="17" t="str">
        <f>IFERROR(__xludf.DUMMYFUNCTION("""COMPUTED_VALUE"""),"")</f>
        <v/>
      </c>
    </row>
    <row r="1340">
      <c r="A1340" s="15">
        <f>IFERROR(__xludf.DUMMYFUNCTION("""COMPUTED_VALUE"""),45037.0)</f>
        <v>45037</v>
      </c>
      <c r="B1340" s="16" t="str">
        <f>IFERROR(__xludf.DUMMYFUNCTION("""COMPUTED_VALUE"""),"Lina Gaona")</f>
        <v>Lina Gaona</v>
      </c>
      <c r="C1340" s="15" t="str">
        <f>IFERROR(__xludf.DUMMYFUNCTION("""COMPUTED_VALUE"""),"CÚCUTA")</f>
        <v>CÚCUTA</v>
      </c>
      <c r="D1340" s="15" t="str">
        <f>IFERROR(__xludf.DUMMYFUNCTION("""COMPUTED_VALUE"""),"BOGOTÁ")</f>
        <v>BOGOTÁ</v>
      </c>
      <c r="E1340" s="15" t="str">
        <f>IFERROR(__xludf.DUMMYFUNCTION("""COMPUTED_VALUE"""),"Evamazzita")</f>
        <v>Evamazzita</v>
      </c>
      <c r="F1340" s="17" t="str">
        <f>IFERROR(__xludf.DUMMYFUNCTION("""COMPUTED_VALUE"""),"Av 2E # 15A -17  / Caobos / SE ENVÍAN DOS (2) CAJAS")</f>
        <v>Av 2E # 15A -17  / Caobos / SE ENVÍAN DOS (2) CAJAS</v>
      </c>
      <c r="G1340" s="15" t="str">
        <f>IFERROR(__xludf.DUMMYFUNCTION("""COMPUTED_VALUE"""),"DACCY KARINA LOPEZ MORENO")</f>
        <v>DACCY KARINA LOPEZ MORENO</v>
      </c>
      <c r="H1340" s="16">
        <f>IFERROR(__xludf.DUMMYFUNCTION("""COMPUTED_VALUE"""),9937.0)</f>
        <v>9937</v>
      </c>
      <c r="I1340" s="18">
        <f>IFERROR(__xludf.DUMMYFUNCTION("""COMPUTED_VALUE"""),21.0)</f>
        <v>21</v>
      </c>
      <c r="J1340" s="18">
        <f>IFERROR(__xludf.DUMMYFUNCTION("""COMPUTED_VALUE"""),43.0)</f>
        <v>43</v>
      </c>
      <c r="K1340" s="18">
        <f>IFERROR(__xludf.DUMMYFUNCTION("""COMPUTED_VALUE"""),49.0)</f>
        <v>49</v>
      </c>
      <c r="L1340" s="17">
        <f>IFERROR(__xludf.DUMMYFUNCTION("""COMPUTED_VALUE"""),3.208615379E9)</f>
        <v>3208615379</v>
      </c>
      <c r="M1340" s="17" t="str">
        <f>IFERROR(__xludf.DUMMYFUNCTION("""COMPUTED_VALUE"""),"#REF!")</f>
        <v>#REF!</v>
      </c>
      <c r="N1340" s="17"/>
      <c r="O1340" s="19" t="str">
        <f>IFERROR(__xludf.DUMMYFUNCTION("""COMPUTED_VALUE"""),"")</f>
        <v/>
      </c>
      <c r="P1340" s="17" t="b">
        <f>IFERROR(__xludf.DUMMYFUNCTION("""COMPUTED_VALUE"""),FALSE)</f>
        <v>0</v>
      </c>
      <c r="Q1340" s="20" t="str">
        <f>IFERROR(__xludf.DUMMYFUNCTION("""COMPUTED_VALUE"""),"")</f>
        <v/>
      </c>
      <c r="R1340" s="22" t="str">
        <f>IFERROR(__xludf.DUMMYFUNCTION("""COMPUTED_VALUE"""),"")</f>
        <v/>
      </c>
    </row>
    <row r="1341">
      <c r="A1341" s="15">
        <f>IFERROR(__xludf.DUMMYFUNCTION("""COMPUTED_VALUE"""),45037.0)</f>
        <v>45037</v>
      </c>
      <c r="B1341" s="16" t="str">
        <f>IFERROR(__xludf.DUMMYFUNCTION("""COMPUTED_VALUE"""),"Lina Gaona")</f>
        <v>Lina Gaona</v>
      </c>
      <c r="C1341" s="15" t="str">
        <f>IFERROR(__xludf.DUMMYFUNCTION("""COMPUTED_VALUE"""),"CÚCUTA")</f>
        <v>CÚCUTA</v>
      </c>
      <c r="D1341" s="15" t="str">
        <f>IFERROR(__xludf.DUMMYFUNCTION("""COMPUTED_VALUE"""),"BOGOTÁ")</f>
        <v>BOGOTÁ</v>
      </c>
      <c r="E1341" s="15" t="str">
        <f>IFERROR(__xludf.DUMMYFUNCTION("""COMPUTED_VALUE"""),"Ins. Alimento Vital")</f>
        <v>Ins. Alimento Vital</v>
      </c>
      <c r="F1341" s="17" t="str">
        <f>IFERROR(__xludf.DUMMYFUNCTION("""COMPUTED_VALUE"""),"AV 0 AE 2 N 57  / CASA / BARRIO CAPELLANA, POR OLIMPICA DE LA 0")</f>
        <v>AV 0 AE 2 N 57  / CASA / BARRIO CAPELLANA, POR OLIMPICA DE LA 0</v>
      </c>
      <c r="G1341" s="15" t="str">
        <f>IFERROR(__xludf.DUMMYFUNCTION("""COMPUTED_VALUE"""),"ERIKA LEONOR VASQUEZ AMAYA")</f>
        <v>ERIKA LEONOR VASQUEZ AMAYA</v>
      </c>
      <c r="H1341" s="16">
        <f>IFERROR(__xludf.DUMMYFUNCTION("""COMPUTED_VALUE"""),9926.0)</f>
        <v>9926</v>
      </c>
      <c r="I1341" s="18">
        <f>IFERROR(__xludf.DUMMYFUNCTION("""COMPUTED_VALUE"""),100.0)</f>
        <v>100</v>
      </c>
      <c r="J1341" s="18">
        <f>IFERROR(__xludf.DUMMYFUNCTION("""COMPUTED_VALUE"""),10.0)</f>
        <v>10</v>
      </c>
      <c r="K1341" s="18">
        <f>IFERROR(__xludf.DUMMYFUNCTION("""COMPUTED_VALUE"""),10.0)</f>
        <v>10</v>
      </c>
      <c r="L1341" s="17">
        <f>IFERROR(__xludf.DUMMYFUNCTION("""COMPUTED_VALUE"""),3.185355209E9)</f>
        <v>3185355209</v>
      </c>
      <c r="M1341" s="17" t="str">
        <f>IFERROR(__xludf.DUMMYFUNCTION("""COMPUTED_VALUE"""),"#REF!")</f>
        <v>#REF!</v>
      </c>
      <c r="N1341" s="17"/>
      <c r="O1341" s="19" t="str">
        <f>IFERROR(__xludf.DUMMYFUNCTION("""COMPUTED_VALUE"""),"")</f>
        <v/>
      </c>
      <c r="P1341" s="17" t="b">
        <f>IFERROR(__xludf.DUMMYFUNCTION("""COMPUTED_VALUE"""),FALSE)</f>
        <v>0</v>
      </c>
      <c r="Q1341" s="20" t="str">
        <f>IFERROR(__xludf.DUMMYFUNCTION("""COMPUTED_VALUE"""),"")</f>
        <v/>
      </c>
      <c r="R1341" s="22" t="str">
        <f>IFERROR(__xludf.DUMMYFUNCTION("""COMPUTED_VALUE"""),"")</f>
        <v/>
      </c>
    </row>
    <row r="1342">
      <c r="A1342" s="15">
        <f>IFERROR(__xludf.DUMMYFUNCTION("""COMPUTED_VALUE"""),45037.0)</f>
        <v>45037</v>
      </c>
      <c r="B1342" s="16" t="str">
        <f>IFERROR(__xludf.DUMMYFUNCTION("""COMPUTED_VALUE"""),"Lina Gaona")</f>
        <v>Lina Gaona</v>
      </c>
      <c r="C1342" s="15" t="str">
        <f>IFERROR(__xludf.DUMMYFUNCTION("""COMPUTED_VALUE"""),"SANTA MARTA")</f>
        <v>SANTA MARTA</v>
      </c>
      <c r="D1342" s="15" t="str">
        <f>IFERROR(__xludf.DUMMYFUNCTION("""COMPUTED_VALUE"""),"MEDELLÍN")</f>
        <v>MEDELLÍN</v>
      </c>
      <c r="E1342" s="15" t="str">
        <f>IFERROR(__xludf.DUMMYFUNCTION("""COMPUTED_VALUE"""),"Rambla")</f>
        <v>Rambla</v>
      </c>
      <c r="F1342" s="17" t="str">
        <f>IFERROR(__xludf.DUMMYFUNCTION("""COMPUTED_VALUE"""),"CR 4 26 40 CC PRADO PLAZA LC 117 / NA / NA")</f>
        <v>CR 4 26 40 CC PRADO PLAZA LC 117 / NA / NA</v>
      </c>
      <c r="G1342" s="15" t="str">
        <f>IFERROR(__xludf.DUMMYFUNCTION("""COMPUTED_VALUE"""),"Hecho en casa")</f>
        <v>Hecho en casa</v>
      </c>
      <c r="H1342" s="16">
        <f>IFERROR(__xludf.DUMMYFUNCTION("""COMPUTED_VALUE"""),9945.0)</f>
        <v>9945</v>
      </c>
      <c r="I1342" s="18">
        <f>IFERROR(__xludf.DUMMYFUNCTION("""COMPUTED_VALUE"""),20.0)</f>
        <v>20</v>
      </c>
      <c r="J1342" s="18">
        <f>IFERROR(__xludf.DUMMYFUNCTION("""COMPUTED_VALUE"""),23.0)</f>
        <v>23</v>
      </c>
      <c r="K1342" s="18">
        <f>IFERROR(__xludf.DUMMYFUNCTION("""COMPUTED_VALUE"""),25.0)</f>
        <v>25</v>
      </c>
      <c r="L1342" s="17">
        <f>IFERROR(__xludf.DUMMYFUNCTION("""COMPUTED_VALUE"""),3.106119626E9)</f>
        <v>3106119626</v>
      </c>
      <c r="M1342" s="17" t="str">
        <f>IFERROR(__xludf.DUMMYFUNCTION("""COMPUTED_VALUE"""),"#REF!")</f>
        <v>#REF!</v>
      </c>
      <c r="N1342" s="17"/>
      <c r="O1342" s="19" t="str">
        <f>IFERROR(__xludf.DUMMYFUNCTION("""COMPUTED_VALUE"""),"")</f>
        <v/>
      </c>
      <c r="P1342" s="17" t="b">
        <f>IFERROR(__xludf.DUMMYFUNCTION("""COMPUTED_VALUE"""),FALSE)</f>
        <v>0</v>
      </c>
      <c r="Q1342" s="20" t="str">
        <f>IFERROR(__xludf.DUMMYFUNCTION("""COMPUTED_VALUE"""),"")</f>
        <v/>
      </c>
      <c r="R1342" s="22" t="str">
        <f>IFERROR(__xludf.DUMMYFUNCTION("""COMPUTED_VALUE"""),"")</f>
        <v/>
      </c>
    </row>
    <row r="1343">
      <c r="A1343" s="17" t="str">
        <f>IFERROR(__xludf.DUMMYFUNCTION("""COMPUTED_VALUE"""),"")</f>
        <v/>
      </c>
      <c r="B1343" s="17" t="str">
        <f>IFERROR(__xludf.DUMMYFUNCTION("""COMPUTED_VALUE"""),"")</f>
        <v/>
      </c>
      <c r="C1343" s="17" t="str">
        <f>IFERROR(__xludf.DUMMYFUNCTION("""COMPUTED_VALUE"""),"")</f>
        <v/>
      </c>
      <c r="D1343" s="17" t="str">
        <f>IFERROR(__xludf.DUMMYFUNCTION("""COMPUTED_VALUE"""),"")</f>
        <v/>
      </c>
      <c r="E1343" s="17" t="str">
        <f>IFERROR(__xludf.DUMMYFUNCTION("""COMPUTED_VALUE"""),"")</f>
        <v/>
      </c>
      <c r="F1343" s="17" t="str">
        <f>IFERROR(__xludf.DUMMYFUNCTION("""COMPUTED_VALUE"""),"")</f>
        <v/>
      </c>
      <c r="G1343" s="17" t="str">
        <f>IFERROR(__xludf.DUMMYFUNCTION("""COMPUTED_VALUE"""),"")</f>
        <v/>
      </c>
      <c r="H1343" s="17" t="str">
        <f>IFERROR(__xludf.DUMMYFUNCTION("""COMPUTED_VALUE"""),"")</f>
        <v/>
      </c>
      <c r="I1343" s="17" t="str">
        <f>IFERROR(__xludf.DUMMYFUNCTION("""COMPUTED_VALUE"""),"")</f>
        <v/>
      </c>
      <c r="J1343" s="17" t="str">
        <f>IFERROR(__xludf.DUMMYFUNCTION("""COMPUTED_VALUE"""),"")</f>
        <v/>
      </c>
      <c r="K1343" s="17" t="str">
        <f>IFERROR(__xludf.DUMMYFUNCTION("""COMPUTED_VALUE"""),"")</f>
        <v/>
      </c>
      <c r="L1343" s="17" t="str">
        <f>IFERROR(__xludf.DUMMYFUNCTION("""COMPUTED_VALUE"""),"")</f>
        <v/>
      </c>
      <c r="M1343" s="17" t="str">
        <f>IFERROR(__xludf.DUMMYFUNCTION("""COMPUTED_VALUE"""),"")</f>
        <v/>
      </c>
      <c r="N1343" s="17" t="str">
        <f>IFERROR(__xludf.DUMMYFUNCTION("""COMPUTED_VALUE"""),"")</f>
        <v/>
      </c>
      <c r="O1343" s="17" t="str">
        <f>IFERROR(__xludf.DUMMYFUNCTION("""COMPUTED_VALUE"""),"")</f>
        <v/>
      </c>
      <c r="P1343" s="17" t="str">
        <f>IFERROR(__xludf.DUMMYFUNCTION("""COMPUTED_VALUE"""),"")</f>
        <v/>
      </c>
      <c r="Q1343" s="17" t="str">
        <f>IFERROR(__xludf.DUMMYFUNCTION("""COMPUTED_VALUE"""),"")</f>
        <v/>
      </c>
      <c r="R1343" s="17" t="str">
        <f>IFERROR(__xludf.DUMMYFUNCTION("""COMPUTED_VALUE"""),"")</f>
        <v/>
      </c>
    </row>
    <row r="1344">
      <c r="A1344" s="15">
        <f>IFERROR(__xludf.DUMMYFUNCTION("""COMPUTED_VALUE"""),45037.0)</f>
        <v>45037</v>
      </c>
      <c r="B1344" s="16" t="str">
        <f>IFERROR(__xludf.DUMMYFUNCTION("""COMPUTED_VALUE"""),"Luis Miguel Ramirez Morales")</f>
        <v>Luis Miguel Ramirez Morales</v>
      </c>
      <c r="C1344" s="15" t="str">
        <f>IFERROR(__xludf.DUMMYFUNCTION("""COMPUTED_VALUE"""),"BOGOTÁ")</f>
        <v>BOGOTÁ</v>
      </c>
      <c r="D1344" s="15" t="str">
        <f>IFERROR(__xludf.DUMMYFUNCTION("""COMPUTED_VALUE"""),"MEDELLÍN")</f>
        <v>MEDELLÍN</v>
      </c>
      <c r="E1344" s="15" t="str">
        <f>IFERROR(__xludf.DUMMYFUNCTION("""COMPUTED_VALUE"""),"Baby Chef")</f>
        <v>Baby Chef</v>
      </c>
      <c r="F1344" s="17" t="str">
        <f>IFERROR(__xludf.DUMMYFUNCTION("""COMPUTED_VALUE"""),"Calle 118#23-35 casa 2  / Calle 118#23-35 casa 2  / Santa Barbara")</f>
        <v>Calle 118#23-35 casa 2  / Calle 118#23-35 casa 2  / Santa Barbara</v>
      </c>
      <c r="G1344" s="15" t="str">
        <f>IFERROR(__xludf.DUMMYFUNCTION("""COMPUTED_VALUE"""),"SYLVANA GÓMEZ")</f>
        <v>SYLVANA GÓMEZ</v>
      </c>
      <c r="H1344" s="16">
        <f>IFERROR(__xludf.DUMMYFUNCTION("""COMPUTED_VALUE"""),9968.0)</f>
        <v>9968</v>
      </c>
      <c r="I1344" s="18">
        <f>IFERROR(__xludf.DUMMYFUNCTION("""COMPUTED_VALUE"""),8.0)</f>
        <v>8</v>
      </c>
      <c r="J1344" s="18">
        <f>IFERROR(__xludf.DUMMYFUNCTION("""COMPUTED_VALUE"""),16.0)</f>
        <v>16</v>
      </c>
      <c r="K1344" s="18">
        <f>IFERROR(__xludf.DUMMYFUNCTION("""COMPUTED_VALUE"""),20.0)</f>
        <v>20</v>
      </c>
      <c r="L1344" s="17">
        <f>IFERROR(__xludf.DUMMYFUNCTION("""COMPUTED_VALUE"""),3.002239863E9)</f>
        <v>3002239863</v>
      </c>
      <c r="M1344" s="17" t="str">
        <f>IFERROR(__xludf.DUMMYFUNCTION("""COMPUTED_VALUE"""),"#REF!")</f>
        <v>#REF!</v>
      </c>
      <c r="N1344" s="17"/>
      <c r="O1344" s="19" t="str">
        <f>IFERROR(__xludf.DUMMYFUNCTION("""COMPUTED_VALUE"""),"")</f>
        <v/>
      </c>
      <c r="P1344" s="17" t="b">
        <f>IFERROR(__xludf.DUMMYFUNCTION("""COMPUTED_VALUE"""),FALSE)</f>
        <v>0</v>
      </c>
      <c r="Q1344" s="20" t="str">
        <f>IFERROR(__xludf.DUMMYFUNCTION("""COMPUTED_VALUE"""),"")</f>
        <v/>
      </c>
      <c r="R1344" s="22" t="str">
        <f>IFERROR(__xludf.DUMMYFUNCTION("""COMPUTED_VALUE"""),"")</f>
        <v/>
      </c>
    </row>
    <row r="1345">
      <c r="A1345" s="15">
        <f>IFERROR(__xludf.DUMMYFUNCTION("""COMPUTED_VALUE"""),45037.0)</f>
        <v>45037</v>
      </c>
      <c r="B1345" s="16" t="str">
        <f>IFERROR(__xludf.DUMMYFUNCTION("""COMPUTED_VALUE"""),"Luis Miguel Ramirez Morales")</f>
        <v>Luis Miguel Ramirez Morales</v>
      </c>
      <c r="C1345" s="15" t="str">
        <f>IFERROR(__xludf.DUMMYFUNCTION("""COMPUTED_VALUE"""),"BOGOTÁ")</f>
        <v>BOGOTÁ</v>
      </c>
      <c r="D1345" s="15" t="str">
        <f>IFERROR(__xludf.DUMMYFUNCTION("""COMPUTED_VALUE"""),"MEDELLÍN")</f>
        <v>MEDELLÍN</v>
      </c>
      <c r="E1345" s="15" t="str">
        <f>IFERROR(__xludf.DUMMYFUNCTION("""COMPUTED_VALUE"""),"Baby Chef")</f>
        <v>Baby Chef</v>
      </c>
      <c r="F1345" s="17" t="str">
        <f>IFERROR(__xludf.DUMMYFUNCTION("""COMPUTED_VALUE"""),"Calle 122 #21-21  / Apto 303 edificio Alicante / Santa Barbara Occidental")</f>
        <v>Calle 122 #21-21  / Apto 303 edificio Alicante / Santa Barbara Occidental</v>
      </c>
      <c r="G1345" s="15" t="str">
        <f>IFERROR(__xludf.DUMMYFUNCTION("""COMPUTED_VALUE"""),"ANDREA XIMENA DUARTE")</f>
        <v>ANDREA XIMENA DUARTE</v>
      </c>
      <c r="H1345" s="16">
        <f>IFERROR(__xludf.DUMMYFUNCTION("""COMPUTED_VALUE"""),9964.0)</f>
        <v>9964</v>
      </c>
      <c r="I1345" s="18">
        <f>IFERROR(__xludf.DUMMYFUNCTION("""COMPUTED_VALUE"""),8.0)</f>
        <v>8</v>
      </c>
      <c r="J1345" s="18">
        <f>IFERROR(__xludf.DUMMYFUNCTION("""COMPUTED_VALUE"""),16.0)</f>
        <v>16</v>
      </c>
      <c r="K1345" s="18">
        <f>IFERROR(__xludf.DUMMYFUNCTION("""COMPUTED_VALUE"""),20.0)</f>
        <v>20</v>
      </c>
      <c r="L1345" s="17">
        <f>IFERROR(__xludf.DUMMYFUNCTION("""COMPUTED_VALUE"""),3.114620887E9)</f>
        <v>3114620887</v>
      </c>
      <c r="M1345" s="17" t="str">
        <f>IFERROR(__xludf.DUMMYFUNCTION("""COMPUTED_VALUE"""),"#REF!")</f>
        <v>#REF!</v>
      </c>
      <c r="N1345" s="17"/>
      <c r="O1345" s="19" t="str">
        <f>IFERROR(__xludf.DUMMYFUNCTION("""COMPUTED_VALUE"""),"")</f>
        <v/>
      </c>
      <c r="P1345" s="17" t="b">
        <f>IFERROR(__xludf.DUMMYFUNCTION("""COMPUTED_VALUE"""),FALSE)</f>
        <v>0</v>
      </c>
      <c r="Q1345" s="20" t="str">
        <f>IFERROR(__xludf.DUMMYFUNCTION("""COMPUTED_VALUE"""),"")</f>
        <v/>
      </c>
      <c r="R1345" s="22" t="str">
        <f>IFERROR(__xludf.DUMMYFUNCTION("""COMPUTED_VALUE"""),"")</f>
        <v/>
      </c>
    </row>
    <row r="1346">
      <c r="A1346" s="15">
        <f>IFERROR(__xludf.DUMMYFUNCTION("""COMPUTED_VALUE"""),45037.0)</f>
        <v>45037</v>
      </c>
      <c r="B1346" s="16" t="str">
        <f>IFERROR(__xludf.DUMMYFUNCTION("""COMPUTED_VALUE"""),"Luis Miguel Ramirez Morales")</f>
        <v>Luis Miguel Ramirez Morales</v>
      </c>
      <c r="C1346" s="15" t="str">
        <f>IFERROR(__xludf.DUMMYFUNCTION("""COMPUTED_VALUE"""),"BOGOTÁ")</f>
        <v>BOGOTÁ</v>
      </c>
      <c r="D1346" s="15" t="str">
        <f>IFERROR(__xludf.DUMMYFUNCTION("""COMPUTED_VALUE"""),"MEDELLÍN")</f>
        <v>MEDELLÍN</v>
      </c>
      <c r="E1346" s="15" t="str">
        <f>IFERROR(__xludf.DUMMYFUNCTION("""COMPUTED_VALUE"""),"Baby Chef")</f>
        <v>Baby Chef</v>
      </c>
      <c r="F1346" s="17" t="str">
        <f>IFERROR(__xludf.DUMMYFUNCTION("""COMPUTED_VALUE"""),"Calle 128 bis 58b-38 / Conjunto Campania sector 1 Casa 21 / NIZA")</f>
        <v>Calle 128 bis 58b-38 / Conjunto Campania sector 1 Casa 21 / NIZA</v>
      </c>
      <c r="G1346" s="15" t="str">
        <f>IFERROR(__xludf.DUMMYFUNCTION("""COMPUTED_VALUE"""),"KATHERINE ARGOTE")</f>
        <v>KATHERINE ARGOTE</v>
      </c>
      <c r="H1346" s="16">
        <f>IFERROR(__xludf.DUMMYFUNCTION("""COMPUTED_VALUE"""),9997.0)</f>
        <v>9997</v>
      </c>
      <c r="I1346" s="18">
        <f>IFERROR(__xludf.DUMMYFUNCTION("""COMPUTED_VALUE"""),8.0)</f>
        <v>8</v>
      </c>
      <c r="J1346" s="18">
        <f>IFERROR(__xludf.DUMMYFUNCTION("""COMPUTED_VALUE"""),16.0)</f>
        <v>16</v>
      </c>
      <c r="K1346" s="18">
        <f>IFERROR(__xludf.DUMMYFUNCTION("""COMPUTED_VALUE"""),20.0)</f>
        <v>20</v>
      </c>
      <c r="L1346" s="17">
        <f>IFERROR(__xludf.DUMMYFUNCTION("""COMPUTED_VALUE"""),3.005725977E9)</f>
        <v>3005725977</v>
      </c>
      <c r="M1346" s="17" t="str">
        <f>IFERROR(__xludf.DUMMYFUNCTION("""COMPUTED_VALUE"""),"#REF!")</f>
        <v>#REF!</v>
      </c>
      <c r="N1346" s="17"/>
      <c r="O1346" s="19" t="str">
        <f>IFERROR(__xludf.DUMMYFUNCTION("""COMPUTED_VALUE"""),"")</f>
        <v/>
      </c>
      <c r="P1346" s="17" t="b">
        <f>IFERROR(__xludf.DUMMYFUNCTION("""COMPUTED_VALUE"""),FALSE)</f>
        <v>0</v>
      </c>
      <c r="Q1346" s="20" t="str">
        <f>IFERROR(__xludf.DUMMYFUNCTION("""COMPUTED_VALUE"""),"")</f>
        <v/>
      </c>
      <c r="R1346" s="22" t="str">
        <f>IFERROR(__xludf.DUMMYFUNCTION("""COMPUTED_VALUE"""),"")</f>
        <v/>
      </c>
    </row>
    <row r="1347">
      <c r="A1347" s="15">
        <f>IFERROR(__xludf.DUMMYFUNCTION("""COMPUTED_VALUE"""),45037.0)</f>
        <v>45037</v>
      </c>
      <c r="B1347" s="16" t="str">
        <f>IFERROR(__xludf.DUMMYFUNCTION("""COMPUTED_VALUE"""),"Luis Miguel Ramirez Morales")</f>
        <v>Luis Miguel Ramirez Morales</v>
      </c>
      <c r="C1347" s="15" t="str">
        <f>IFERROR(__xludf.DUMMYFUNCTION("""COMPUTED_VALUE"""),"BOGOTÁ")</f>
        <v>BOGOTÁ</v>
      </c>
      <c r="D1347" s="15" t="str">
        <f>IFERROR(__xludf.DUMMYFUNCTION("""COMPUTED_VALUE"""),"MEDELLÍN")</f>
        <v>MEDELLÍN</v>
      </c>
      <c r="E1347" s="15" t="str">
        <f>IFERROR(__xludf.DUMMYFUNCTION("""COMPUTED_VALUE"""),"Baby Chef")</f>
        <v>Baby Chef</v>
      </c>
      <c r="F1347" s="17" t="str">
        <f>IFERROR(__xludf.DUMMYFUNCTION("""COMPUTED_VALUE"""),"Cra 21 no 163-25 local de mármol  / Local de Marmol / Toberín")</f>
        <v>Cra 21 no 163-25 local de mármol  / Local de Marmol / Toberín</v>
      </c>
      <c r="G1347" s="15" t="str">
        <f>IFERROR(__xludf.DUMMYFUNCTION("""COMPUTED_VALUE"""),"ANGIE AVILA")</f>
        <v>ANGIE AVILA</v>
      </c>
      <c r="H1347" s="16">
        <f>IFERROR(__xludf.DUMMYFUNCTION("""COMPUTED_VALUE"""),9965.0)</f>
        <v>9965</v>
      </c>
      <c r="I1347" s="18">
        <f>IFERROR(__xludf.DUMMYFUNCTION("""COMPUTED_VALUE"""),8.0)</f>
        <v>8</v>
      </c>
      <c r="J1347" s="18">
        <f>IFERROR(__xludf.DUMMYFUNCTION("""COMPUTED_VALUE"""),16.0)</f>
        <v>16</v>
      </c>
      <c r="K1347" s="18">
        <f>IFERROR(__xludf.DUMMYFUNCTION("""COMPUTED_VALUE"""),20.0)</f>
        <v>20</v>
      </c>
      <c r="L1347" s="17">
        <f>IFERROR(__xludf.DUMMYFUNCTION("""COMPUTED_VALUE"""),3.183863739E9)</f>
        <v>3183863739</v>
      </c>
      <c r="M1347" s="17" t="str">
        <f>IFERROR(__xludf.DUMMYFUNCTION("""COMPUTED_VALUE"""),"#REF!")</f>
        <v>#REF!</v>
      </c>
      <c r="N1347" s="17"/>
      <c r="O1347" s="19" t="str">
        <f>IFERROR(__xludf.DUMMYFUNCTION("""COMPUTED_VALUE"""),"")</f>
        <v/>
      </c>
      <c r="P1347" s="17" t="b">
        <f>IFERROR(__xludf.DUMMYFUNCTION("""COMPUTED_VALUE"""),FALSE)</f>
        <v>0</v>
      </c>
      <c r="Q1347" s="20" t="str">
        <f>IFERROR(__xludf.DUMMYFUNCTION("""COMPUTED_VALUE"""),"")</f>
        <v/>
      </c>
      <c r="R1347" s="22" t="str">
        <f>IFERROR(__xludf.DUMMYFUNCTION("""COMPUTED_VALUE"""),"")</f>
        <v/>
      </c>
    </row>
    <row r="1348">
      <c r="A1348" s="15">
        <f>IFERROR(__xludf.DUMMYFUNCTION("""COMPUTED_VALUE"""),45037.0)</f>
        <v>45037</v>
      </c>
      <c r="B1348" s="16" t="str">
        <f>IFERROR(__xludf.DUMMYFUNCTION("""COMPUTED_VALUE"""),"Luis Miguel Ramirez Morales")</f>
        <v>Luis Miguel Ramirez Morales</v>
      </c>
      <c r="C1348" s="15" t="str">
        <f>IFERROR(__xludf.DUMMYFUNCTION("""COMPUTED_VALUE"""),"BOGOTÁ")</f>
        <v>BOGOTÁ</v>
      </c>
      <c r="D1348" s="15" t="str">
        <f>IFERROR(__xludf.DUMMYFUNCTION("""COMPUTED_VALUE"""),"MEDELLÍN")</f>
        <v>MEDELLÍN</v>
      </c>
      <c r="E1348" s="15" t="str">
        <f>IFERROR(__xludf.DUMMYFUNCTION("""COMPUTED_VALUE"""),"Moloso S.A.S")</f>
        <v>Moloso S.A.S</v>
      </c>
      <c r="F1348" s="17" t="str">
        <f>IFERROR(__xludf.DUMMYFUNCTION("""COMPUTED_VALUE"""),"CLL 118 16 32 / APT 502")</f>
        <v>CLL 118 16 32 / APT 502</v>
      </c>
      <c r="G1348" s="15" t="str">
        <f>IFERROR(__xludf.DUMMYFUNCTION("""COMPUTED_VALUE"""),"ANGELICA MANCILLA")</f>
        <v>ANGELICA MANCILLA</v>
      </c>
      <c r="H1348" s="16">
        <f>IFERROR(__xludf.DUMMYFUNCTION("""COMPUTED_VALUE"""),9960.0)</f>
        <v>9960</v>
      </c>
      <c r="I1348" s="18">
        <f>IFERROR(__xludf.DUMMYFUNCTION("""COMPUTED_VALUE"""),17.0)</f>
        <v>17</v>
      </c>
      <c r="J1348" s="18">
        <f>IFERROR(__xludf.DUMMYFUNCTION("""COMPUTED_VALUE"""),15.0)</f>
        <v>15</v>
      </c>
      <c r="K1348" s="18">
        <f>IFERROR(__xludf.DUMMYFUNCTION("""COMPUTED_VALUE"""),28.0)</f>
        <v>28</v>
      </c>
      <c r="L1348" s="17">
        <f>IFERROR(__xludf.DUMMYFUNCTION("""COMPUTED_VALUE"""),3.174401028E9)</f>
        <v>3174401028</v>
      </c>
      <c r="M1348" s="17" t="str">
        <f>IFERROR(__xludf.DUMMYFUNCTION("""COMPUTED_VALUE"""),"#REF!")</f>
        <v>#REF!</v>
      </c>
      <c r="N1348" s="17"/>
      <c r="O1348" s="19" t="str">
        <f>IFERROR(__xludf.DUMMYFUNCTION("""COMPUTED_VALUE"""),"")</f>
        <v/>
      </c>
      <c r="P1348" s="17" t="b">
        <f>IFERROR(__xludf.DUMMYFUNCTION("""COMPUTED_VALUE"""),FALSE)</f>
        <v>0</v>
      </c>
      <c r="Q1348" s="20" t="str">
        <f>IFERROR(__xludf.DUMMYFUNCTION("""COMPUTED_VALUE"""),"")</f>
        <v/>
      </c>
      <c r="R1348" s="22" t="str">
        <f>IFERROR(__xludf.DUMMYFUNCTION("""COMPUTED_VALUE"""),"")</f>
        <v/>
      </c>
    </row>
    <row r="1349">
      <c r="A1349" s="15">
        <f>IFERROR(__xludf.DUMMYFUNCTION("""COMPUTED_VALUE"""),45037.0)</f>
        <v>45037</v>
      </c>
      <c r="B1349" s="16" t="str">
        <f>IFERROR(__xludf.DUMMYFUNCTION("""COMPUTED_VALUE"""),"Luis Miguel Ramirez Morales")</f>
        <v>Luis Miguel Ramirez Morales</v>
      </c>
      <c r="C1349" s="15" t="str">
        <f>IFERROR(__xludf.DUMMYFUNCTION("""COMPUTED_VALUE"""),"BOGOTÁ")</f>
        <v>BOGOTÁ</v>
      </c>
      <c r="D1349" s="15" t="str">
        <f>IFERROR(__xludf.DUMMYFUNCTION("""COMPUTED_VALUE"""),"MEDELLÍN")</f>
        <v>MEDELLÍN</v>
      </c>
      <c r="E1349" s="15" t="str">
        <f>IFERROR(__xludf.DUMMYFUNCTION("""COMPUTED_VALUE"""),"Puro Verde")</f>
        <v>Puro Verde</v>
      </c>
      <c r="F1349" s="17" t="str">
        <f>IFERROR(__xludf.DUMMYFUNCTION("""COMPUTED_VALUE"""),"AV CRA 15 # 90-20 / LOCAL 109 / BARRIO CHICO")</f>
        <v>AV CRA 15 # 90-20 / LOCAL 109 / BARRIO CHICO</v>
      </c>
      <c r="G1349" s="15" t="str">
        <f>IFERROR(__xludf.DUMMYFUNCTION("""COMPUTED_VALUE"""),"DANDO CUERDA")</f>
        <v>DANDO CUERDA</v>
      </c>
      <c r="H1349" s="16">
        <f>IFERROR(__xludf.DUMMYFUNCTION("""COMPUTED_VALUE"""),9999.0)</f>
        <v>9999</v>
      </c>
      <c r="I1349" s="18">
        <f>IFERROR(__xludf.DUMMYFUNCTION("""COMPUTED_VALUE"""),67.0)</f>
        <v>67</v>
      </c>
      <c r="J1349" s="18">
        <f>IFERROR(__xludf.DUMMYFUNCTION("""COMPUTED_VALUE"""),65.0)</f>
        <v>65</v>
      </c>
      <c r="K1349" s="18">
        <f>IFERROR(__xludf.DUMMYFUNCTION("""COMPUTED_VALUE"""),55.0)</f>
        <v>55</v>
      </c>
      <c r="L1349" s="17">
        <f>IFERROR(__xludf.DUMMYFUNCTION("""COMPUTED_VALUE"""),3.163816691E9)</f>
        <v>3163816691</v>
      </c>
      <c r="M1349" s="17" t="str">
        <f>IFERROR(__xludf.DUMMYFUNCTION("""COMPUTED_VALUE"""),"#REF!")</f>
        <v>#REF!</v>
      </c>
      <c r="N1349" s="17"/>
      <c r="O1349" s="19" t="str">
        <f>IFERROR(__xludf.DUMMYFUNCTION("""COMPUTED_VALUE"""),"")</f>
        <v/>
      </c>
      <c r="P1349" s="17" t="b">
        <f>IFERROR(__xludf.DUMMYFUNCTION("""COMPUTED_VALUE"""),FALSE)</f>
        <v>0</v>
      </c>
      <c r="Q1349" s="20" t="str">
        <f>IFERROR(__xludf.DUMMYFUNCTION("""COMPUTED_VALUE"""),"")</f>
        <v/>
      </c>
      <c r="R1349" s="22" t="str">
        <f>IFERROR(__xludf.DUMMYFUNCTION("""COMPUTED_VALUE"""),"")</f>
        <v/>
      </c>
    </row>
    <row r="1350">
      <c r="A1350" s="15">
        <f>IFERROR(__xludf.DUMMYFUNCTION("""COMPUTED_VALUE"""),45037.0)</f>
        <v>45037</v>
      </c>
      <c r="B1350" s="16" t="str">
        <f>IFERROR(__xludf.DUMMYFUNCTION("""COMPUTED_VALUE"""),"Luis Miguel Ramirez Morales")</f>
        <v>Luis Miguel Ramirez Morales</v>
      </c>
      <c r="C1350" s="15" t="str">
        <f>IFERROR(__xludf.DUMMYFUNCTION("""COMPUTED_VALUE"""),"BOGOTÁ")</f>
        <v>BOGOTÁ</v>
      </c>
      <c r="D1350" s="15" t="str">
        <f>IFERROR(__xludf.DUMMYFUNCTION("""COMPUTED_VALUE"""),"MEDELLÍN")</f>
        <v>MEDELLÍN</v>
      </c>
      <c r="E1350" s="15" t="str">
        <f>IFERROR(__xludf.DUMMYFUNCTION("""COMPUTED_VALUE"""),"Rambla")</f>
        <v>Rambla</v>
      </c>
      <c r="F1350" s="17" t="str">
        <f>IFERROR(__xludf.DUMMYFUNCTION("""COMPUTED_VALUE"""),"Carrera 12c #151-35 interior 05  apartamento 173, Bogotá, barrio cedritos,  / na / na")</f>
        <v>Carrera 12c #151-35 interior 05  apartamento 173, Bogotá, barrio cedritos,  / na / na</v>
      </c>
      <c r="G1350" s="15" t="str">
        <f>IFERROR(__xludf.DUMMYFUNCTION("""COMPUTED_VALUE"""),"Margehrita Omarini")</f>
        <v>Margehrita Omarini</v>
      </c>
      <c r="H1350" s="16">
        <f>IFERROR(__xludf.DUMMYFUNCTION("""COMPUTED_VALUE"""),9982.0)</f>
        <v>9982</v>
      </c>
      <c r="I1350" s="18">
        <f>IFERROR(__xludf.DUMMYFUNCTION("""COMPUTED_VALUE"""),20.0)</f>
        <v>20</v>
      </c>
      <c r="J1350" s="18">
        <f>IFERROR(__xludf.DUMMYFUNCTION("""COMPUTED_VALUE"""),24.0)</f>
        <v>24</v>
      </c>
      <c r="K1350" s="18">
        <f>IFERROR(__xludf.DUMMYFUNCTION("""COMPUTED_VALUE"""),28.0)</f>
        <v>28</v>
      </c>
      <c r="L1350" s="17">
        <f>IFERROR(__xludf.DUMMYFUNCTION("""COMPUTED_VALUE"""),3.164684094E9)</f>
        <v>3164684094</v>
      </c>
      <c r="M1350" s="17" t="str">
        <f>IFERROR(__xludf.DUMMYFUNCTION("""COMPUTED_VALUE"""),"#REF!")</f>
        <v>#REF!</v>
      </c>
      <c r="N1350" s="17"/>
      <c r="O1350" s="19" t="str">
        <f>IFERROR(__xludf.DUMMYFUNCTION("""COMPUTED_VALUE"""),"")</f>
        <v/>
      </c>
      <c r="P1350" s="17" t="b">
        <f>IFERROR(__xludf.DUMMYFUNCTION("""COMPUTED_VALUE"""),FALSE)</f>
        <v>0</v>
      </c>
      <c r="Q1350" s="20" t="str">
        <f>IFERROR(__xludf.DUMMYFUNCTION("""COMPUTED_VALUE"""),"")</f>
        <v/>
      </c>
      <c r="R1350" s="22" t="str">
        <f>IFERROR(__xludf.DUMMYFUNCTION("""COMPUTED_VALUE"""),"")</f>
        <v/>
      </c>
    </row>
    <row r="1351">
      <c r="A1351" s="17" t="str">
        <f>IFERROR(__xludf.DUMMYFUNCTION("""COMPUTED_VALUE"""),"")</f>
        <v/>
      </c>
      <c r="B1351" s="17" t="str">
        <f>IFERROR(__xludf.DUMMYFUNCTION("""COMPUTED_VALUE"""),"")</f>
        <v/>
      </c>
      <c r="C1351" s="17" t="str">
        <f>IFERROR(__xludf.DUMMYFUNCTION("""COMPUTED_VALUE"""),"")</f>
        <v/>
      </c>
      <c r="D1351" s="17" t="str">
        <f>IFERROR(__xludf.DUMMYFUNCTION("""COMPUTED_VALUE"""),"")</f>
        <v/>
      </c>
      <c r="E1351" s="17" t="str">
        <f>IFERROR(__xludf.DUMMYFUNCTION("""COMPUTED_VALUE"""),"")</f>
        <v/>
      </c>
      <c r="F1351" s="17" t="str">
        <f>IFERROR(__xludf.DUMMYFUNCTION("""COMPUTED_VALUE"""),"")</f>
        <v/>
      </c>
      <c r="G1351" s="17" t="str">
        <f>IFERROR(__xludf.DUMMYFUNCTION("""COMPUTED_VALUE"""),"")</f>
        <v/>
      </c>
      <c r="H1351" s="17" t="str">
        <f>IFERROR(__xludf.DUMMYFUNCTION("""COMPUTED_VALUE"""),"")</f>
        <v/>
      </c>
      <c r="I1351" s="17" t="str">
        <f>IFERROR(__xludf.DUMMYFUNCTION("""COMPUTED_VALUE"""),"")</f>
        <v/>
      </c>
      <c r="J1351" s="17" t="str">
        <f>IFERROR(__xludf.DUMMYFUNCTION("""COMPUTED_VALUE"""),"")</f>
        <v/>
      </c>
      <c r="K1351" s="17" t="str">
        <f>IFERROR(__xludf.DUMMYFUNCTION("""COMPUTED_VALUE"""),"")</f>
        <v/>
      </c>
      <c r="L1351" s="17" t="str">
        <f>IFERROR(__xludf.DUMMYFUNCTION("""COMPUTED_VALUE"""),"")</f>
        <v/>
      </c>
      <c r="M1351" s="17" t="str">
        <f>IFERROR(__xludf.DUMMYFUNCTION("""COMPUTED_VALUE"""),"")</f>
        <v/>
      </c>
      <c r="N1351" s="17" t="str">
        <f>IFERROR(__xludf.DUMMYFUNCTION("""COMPUTED_VALUE"""),"")</f>
        <v/>
      </c>
      <c r="O1351" s="17" t="str">
        <f>IFERROR(__xludf.DUMMYFUNCTION("""COMPUTED_VALUE"""),"")</f>
        <v/>
      </c>
      <c r="P1351" s="17" t="str">
        <f>IFERROR(__xludf.DUMMYFUNCTION("""COMPUTED_VALUE"""),"")</f>
        <v/>
      </c>
      <c r="Q1351" s="17" t="str">
        <f>IFERROR(__xludf.DUMMYFUNCTION("""COMPUTED_VALUE"""),"")</f>
        <v/>
      </c>
      <c r="R1351" s="17" t="str">
        <f>IFERROR(__xludf.DUMMYFUNCTION("""COMPUTED_VALUE"""),"")</f>
        <v/>
      </c>
    </row>
    <row r="1352">
      <c r="A1352" s="15">
        <f>IFERROR(__xludf.DUMMYFUNCTION("""COMPUTED_VALUE"""),45037.0)</f>
        <v>45037</v>
      </c>
      <c r="B1352" s="16" t="str">
        <f>IFERROR(__xludf.DUMMYFUNCTION("""COMPUTED_VALUE"""),"Orlando Urdaneta Rincon ")</f>
        <v>Orlando Urdaneta Rincon </v>
      </c>
      <c r="C1352" s="15" t="str">
        <f>IFERROR(__xludf.DUMMYFUNCTION("""COMPUTED_VALUE"""),"SANTA MARTA")</f>
        <v>SANTA MARTA</v>
      </c>
      <c r="D1352" s="15" t="str">
        <f>IFERROR(__xludf.DUMMYFUNCTION("""COMPUTED_VALUE"""),"BOGOTÁ")</f>
        <v>BOGOTÁ</v>
      </c>
      <c r="E1352" s="15" t="str">
        <f>IFERROR(__xludf.DUMMYFUNCTION("""COMPUTED_VALUE"""),"Ins. Alimento Vital")</f>
        <v>Ins. Alimento Vital</v>
      </c>
      <c r="F1352" s="17" t="str">
        <f>IFERROR(__xludf.DUMMYFUNCTION("""COMPUTED_VALUE"""),"CR 1 B 26 A 109  / EDIFICIO ALMIRANTE APTO 501 / EDIFICIO ALMIRANTE")</f>
        <v>CR 1 B 26 A 109  / EDIFICIO ALMIRANTE APTO 501 / EDIFICIO ALMIRANTE</v>
      </c>
      <c r="G1352" s="15" t="str">
        <f>IFERROR(__xludf.DUMMYFUNCTION("""COMPUTED_VALUE"""),"VERONICA GOMEZ DE SUBIRIA")</f>
        <v>VERONICA GOMEZ DE SUBIRIA</v>
      </c>
      <c r="H1352" s="16">
        <f>IFERROR(__xludf.DUMMYFUNCTION("""COMPUTED_VALUE"""),9947.0)</f>
        <v>9947</v>
      </c>
      <c r="I1352" s="18">
        <f>IFERROR(__xludf.DUMMYFUNCTION("""COMPUTED_VALUE"""),100.0)</f>
        <v>100</v>
      </c>
      <c r="J1352" s="18">
        <f>IFERROR(__xludf.DUMMYFUNCTION("""COMPUTED_VALUE"""),10.0)</f>
        <v>10</v>
      </c>
      <c r="K1352" s="18">
        <f>IFERROR(__xludf.DUMMYFUNCTION("""COMPUTED_VALUE"""),27.0)</f>
        <v>27</v>
      </c>
      <c r="L1352" s="17">
        <f>IFERROR(__xludf.DUMMYFUNCTION("""COMPUTED_VALUE"""),3.107893555E9)</f>
        <v>3107893555</v>
      </c>
      <c r="M1352" s="17" t="str">
        <f>IFERROR(__xludf.DUMMYFUNCTION("""COMPUTED_VALUE"""),"#REF!")</f>
        <v>#REF!</v>
      </c>
      <c r="N1352" s="17"/>
      <c r="O1352" s="19" t="str">
        <f>IFERROR(__xludf.DUMMYFUNCTION("""COMPUTED_VALUE"""),"")</f>
        <v/>
      </c>
      <c r="P1352" s="17" t="b">
        <f>IFERROR(__xludf.DUMMYFUNCTION("""COMPUTED_VALUE"""),FALSE)</f>
        <v>0</v>
      </c>
      <c r="Q1352" s="20" t="str">
        <f>IFERROR(__xludf.DUMMYFUNCTION("""COMPUTED_VALUE"""),"")</f>
        <v/>
      </c>
      <c r="R1352" s="22" t="str">
        <f>IFERROR(__xludf.DUMMYFUNCTION("""COMPUTED_VALUE"""),"")</f>
        <v/>
      </c>
    </row>
    <row r="1353">
      <c r="A1353" s="15">
        <f>IFERROR(__xludf.DUMMYFUNCTION("""COMPUTED_VALUE"""),45037.0)</f>
        <v>45037</v>
      </c>
      <c r="B1353" s="16" t="str">
        <f>IFERROR(__xludf.DUMMYFUNCTION("""COMPUTED_VALUE"""),"Orlando Urdaneta Rincon ")</f>
        <v>Orlando Urdaneta Rincon </v>
      </c>
      <c r="C1353" s="15" t="str">
        <f>IFERROR(__xludf.DUMMYFUNCTION("""COMPUTED_VALUE"""),"SANTA MARTA")</f>
        <v>SANTA MARTA</v>
      </c>
      <c r="D1353" s="15" t="str">
        <f>IFERROR(__xludf.DUMMYFUNCTION("""COMPUTED_VALUE"""),"MEDELLÍN")</f>
        <v>MEDELLÍN</v>
      </c>
      <c r="E1353" s="15" t="str">
        <f>IFERROR(__xludf.DUMMYFUNCTION("""COMPUTED_VALUE"""),"Magda")</f>
        <v>Magda</v>
      </c>
      <c r="F1353" s="17" t="str">
        <f>IFERROR(__xludf.DUMMYFUNCTION("""COMPUTED_VALUE"""),"calle 22#6-82  / centro comercial plazuela 22 local 27 / centro")</f>
        <v>calle 22#6-82  / centro comercial plazuela 22 local 27 / centro</v>
      </c>
      <c r="G1353" s="15" t="str">
        <f>IFERROR(__xludf.DUMMYFUNCTION("""COMPUTED_VALUE"""),"Shirley Monjarres")</f>
        <v>Shirley Monjarres</v>
      </c>
      <c r="H1353" s="16">
        <f>IFERROR(__xludf.DUMMYFUNCTION("""COMPUTED_VALUE"""),9953.0)</f>
        <v>9953</v>
      </c>
      <c r="I1353" s="18">
        <f>IFERROR(__xludf.DUMMYFUNCTION("""COMPUTED_VALUE"""),5.0)</f>
        <v>5</v>
      </c>
      <c r="J1353" s="18">
        <f>IFERROR(__xludf.DUMMYFUNCTION("""COMPUTED_VALUE"""),5.0)</f>
        <v>5</v>
      </c>
      <c r="K1353" s="18">
        <f>IFERROR(__xludf.DUMMYFUNCTION("""COMPUTED_VALUE"""),5.0)</f>
        <v>5</v>
      </c>
      <c r="L1353" s="17">
        <f>IFERROR(__xludf.DUMMYFUNCTION("""COMPUTED_VALUE"""),3.054269156E9)</f>
        <v>3054269156</v>
      </c>
      <c r="M1353" s="17" t="str">
        <f>IFERROR(__xludf.DUMMYFUNCTION("""COMPUTED_VALUE"""),"#REF!")</f>
        <v>#REF!</v>
      </c>
      <c r="N1353" s="17"/>
      <c r="O1353" s="19" t="str">
        <f>IFERROR(__xludf.DUMMYFUNCTION("""COMPUTED_VALUE"""),"")</f>
        <v/>
      </c>
      <c r="P1353" s="17" t="b">
        <f>IFERROR(__xludf.DUMMYFUNCTION("""COMPUTED_VALUE"""),TRUE)</f>
        <v>1</v>
      </c>
      <c r="Q1353" s="20">
        <f>IFERROR(__xludf.DUMMYFUNCTION("""COMPUTED_VALUE"""),45040.51992010417)</f>
        <v>45040.51992</v>
      </c>
      <c r="R1353" s="22" t="str">
        <f>IFERROR(__xludf.DUMMYFUNCTION("""COMPUTED_VALUE"""),"")</f>
        <v/>
      </c>
    </row>
    <row r="1354">
      <c r="A1354" s="17" t="str">
        <f>IFERROR(__xludf.DUMMYFUNCTION("""COMPUTED_VALUE"""),"")</f>
        <v/>
      </c>
      <c r="B1354" s="17" t="str">
        <f>IFERROR(__xludf.DUMMYFUNCTION("""COMPUTED_VALUE"""),"")</f>
        <v/>
      </c>
      <c r="C1354" s="17" t="str">
        <f>IFERROR(__xludf.DUMMYFUNCTION("""COMPUTED_VALUE"""),"")</f>
        <v/>
      </c>
      <c r="D1354" s="17" t="str">
        <f>IFERROR(__xludf.DUMMYFUNCTION("""COMPUTED_VALUE"""),"")</f>
        <v/>
      </c>
      <c r="E1354" s="17" t="str">
        <f>IFERROR(__xludf.DUMMYFUNCTION("""COMPUTED_VALUE"""),"")</f>
        <v/>
      </c>
      <c r="F1354" s="17" t="str">
        <f>IFERROR(__xludf.DUMMYFUNCTION("""COMPUTED_VALUE"""),"")</f>
        <v/>
      </c>
      <c r="G1354" s="17" t="str">
        <f>IFERROR(__xludf.DUMMYFUNCTION("""COMPUTED_VALUE"""),"")</f>
        <v/>
      </c>
      <c r="H1354" s="17" t="str">
        <f>IFERROR(__xludf.DUMMYFUNCTION("""COMPUTED_VALUE"""),"")</f>
        <v/>
      </c>
      <c r="I1354" s="17" t="str">
        <f>IFERROR(__xludf.DUMMYFUNCTION("""COMPUTED_VALUE"""),"")</f>
        <v/>
      </c>
      <c r="J1354" s="17" t="str">
        <f>IFERROR(__xludf.DUMMYFUNCTION("""COMPUTED_VALUE"""),"")</f>
        <v/>
      </c>
      <c r="K1354" s="17" t="str">
        <f>IFERROR(__xludf.DUMMYFUNCTION("""COMPUTED_VALUE"""),"")</f>
        <v/>
      </c>
      <c r="L1354" s="17" t="str">
        <f>IFERROR(__xludf.DUMMYFUNCTION("""COMPUTED_VALUE"""),"")</f>
        <v/>
      </c>
      <c r="M1354" s="17" t="str">
        <f>IFERROR(__xludf.DUMMYFUNCTION("""COMPUTED_VALUE"""),"")</f>
        <v/>
      </c>
      <c r="N1354" s="17" t="str">
        <f>IFERROR(__xludf.DUMMYFUNCTION("""COMPUTED_VALUE"""),"")</f>
        <v/>
      </c>
      <c r="O1354" s="17" t="str">
        <f>IFERROR(__xludf.DUMMYFUNCTION("""COMPUTED_VALUE"""),"")</f>
        <v/>
      </c>
      <c r="P1354" s="17" t="str">
        <f>IFERROR(__xludf.DUMMYFUNCTION("""COMPUTED_VALUE"""),"")</f>
        <v/>
      </c>
      <c r="Q1354" s="17" t="str">
        <f>IFERROR(__xludf.DUMMYFUNCTION("""COMPUTED_VALUE"""),"")</f>
        <v/>
      </c>
      <c r="R1354" s="17" t="str">
        <f>IFERROR(__xludf.DUMMYFUNCTION("""COMPUTED_VALUE"""),"")</f>
        <v/>
      </c>
    </row>
    <row r="1355">
      <c r="A1355" s="15">
        <f>IFERROR(__xludf.DUMMYFUNCTION("""COMPUTED_VALUE"""),45037.0)</f>
        <v>45037</v>
      </c>
      <c r="B1355" s="16" t="str">
        <f>IFERROR(__xludf.DUMMYFUNCTION("""COMPUTED_VALUE"""),"Paula Andrea Ocampo Ospina")</f>
        <v>Paula Andrea Ocampo Ospina</v>
      </c>
      <c r="C1355" s="15" t="str">
        <f>IFERROR(__xludf.DUMMYFUNCTION("""COMPUTED_VALUE"""),"MEDELLÍN")</f>
        <v>MEDELLÍN</v>
      </c>
      <c r="D1355" s="15" t="str">
        <f>IFERROR(__xludf.DUMMYFUNCTION("""COMPUTED_VALUE"""),"BOGOTÁ")</f>
        <v>BOGOTÁ</v>
      </c>
      <c r="E1355" s="15" t="str">
        <f>IFERROR(__xludf.DUMMYFUNCTION("""COMPUTED_VALUE"""),"Frubits")</f>
        <v>Frubits</v>
      </c>
      <c r="F1355" s="17" t="str">
        <f>IFERROR(__xludf.DUMMYFUNCTION("""COMPUTED_VALUE"""),"DeModa Poblado Cl. 16 #55-129 / DeModa Poblado Cl. 16 #55-129 / DeModa Poblado Cl. 16 #55-129")</f>
        <v>DeModa Poblado Cl. 16 #55-129 / DeModa Poblado Cl. 16 #55-129 / DeModa Poblado Cl. 16 #55-129</v>
      </c>
      <c r="G1355" s="15" t="str">
        <f>IFERROR(__xludf.DUMMYFUNCTION("""COMPUTED_VALUE"""),"Etna Duque")</f>
        <v>Etna Duque</v>
      </c>
      <c r="H1355" s="16">
        <f>IFERROR(__xludf.DUMMYFUNCTION("""COMPUTED_VALUE"""),9974.0)</f>
        <v>9974</v>
      </c>
      <c r="I1355" s="18">
        <f>IFERROR(__xludf.DUMMYFUNCTION("""COMPUTED_VALUE"""),45075.0)</f>
        <v>45075</v>
      </c>
      <c r="J1355" s="18">
        <f>IFERROR(__xludf.DUMMYFUNCTION("""COMPUTED_VALUE"""),35.0)</f>
        <v>35</v>
      </c>
      <c r="K1355" s="18">
        <f>IFERROR(__xludf.DUMMYFUNCTION("""COMPUTED_VALUE"""),45071.0)</f>
        <v>45071</v>
      </c>
      <c r="L1355" s="17">
        <f>IFERROR(__xludf.DUMMYFUNCTION("""COMPUTED_VALUE"""),3.185120434E9)</f>
        <v>3185120434</v>
      </c>
      <c r="M1355" s="17" t="str">
        <f>IFERROR(__xludf.DUMMYFUNCTION("""COMPUTED_VALUE"""),"#REF!")</f>
        <v>#REF!</v>
      </c>
      <c r="N1355" s="17"/>
      <c r="O1355" s="19" t="str">
        <f>IFERROR(__xludf.DUMMYFUNCTION("""COMPUTED_VALUE"""),"")</f>
        <v/>
      </c>
      <c r="P1355" s="17" t="b">
        <f>IFERROR(__xludf.DUMMYFUNCTION("""COMPUTED_VALUE"""),FALSE)</f>
        <v>0</v>
      </c>
      <c r="Q1355" s="20" t="str">
        <f>IFERROR(__xludf.DUMMYFUNCTION("""COMPUTED_VALUE"""),"")</f>
        <v/>
      </c>
      <c r="R1355" s="22" t="str">
        <f>IFERROR(__xludf.DUMMYFUNCTION("""COMPUTED_VALUE"""),"")</f>
        <v/>
      </c>
    </row>
    <row r="1356">
      <c r="A1356" s="17" t="str">
        <f>IFERROR(__xludf.DUMMYFUNCTION("""COMPUTED_VALUE"""),"")</f>
        <v/>
      </c>
      <c r="B1356" s="17" t="str">
        <f>IFERROR(__xludf.DUMMYFUNCTION("""COMPUTED_VALUE"""),"")</f>
        <v/>
      </c>
      <c r="C1356" s="17" t="str">
        <f>IFERROR(__xludf.DUMMYFUNCTION("""COMPUTED_VALUE"""),"")</f>
        <v/>
      </c>
      <c r="D1356" s="17" t="str">
        <f>IFERROR(__xludf.DUMMYFUNCTION("""COMPUTED_VALUE"""),"")</f>
        <v/>
      </c>
      <c r="E1356" s="17" t="str">
        <f>IFERROR(__xludf.DUMMYFUNCTION("""COMPUTED_VALUE"""),"")</f>
        <v/>
      </c>
      <c r="F1356" s="17" t="str">
        <f>IFERROR(__xludf.DUMMYFUNCTION("""COMPUTED_VALUE"""),"")</f>
        <v/>
      </c>
      <c r="G1356" s="17" t="str">
        <f>IFERROR(__xludf.DUMMYFUNCTION("""COMPUTED_VALUE"""),"")</f>
        <v/>
      </c>
      <c r="H1356" s="17" t="str">
        <f>IFERROR(__xludf.DUMMYFUNCTION("""COMPUTED_VALUE"""),"")</f>
        <v/>
      </c>
      <c r="I1356" s="17" t="str">
        <f>IFERROR(__xludf.DUMMYFUNCTION("""COMPUTED_VALUE"""),"")</f>
        <v/>
      </c>
      <c r="J1356" s="17" t="str">
        <f>IFERROR(__xludf.DUMMYFUNCTION("""COMPUTED_VALUE"""),"")</f>
        <v/>
      </c>
      <c r="K1356" s="17" t="str">
        <f>IFERROR(__xludf.DUMMYFUNCTION("""COMPUTED_VALUE"""),"")</f>
        <v/>
      </c>
      <c r="L1356" s="17" t="str">
        <f>IFERROR(__xludf.DUMMYFUNCTION("""COMPUTED_VALUE"""),"")</f>
        <v/>
      </c>
      <c r="M1356" s="17" t="str">
        <f>IFERROR(__xludf.DUMMYFUNCTION("""COMPUTED_VALUE"""),"")</f>
        <v/>
      </c>
      <c r="N1356" s="17" t="str">
        <f>IFERROR(__xludf.DUMMYFUNCTION("""COMPUTED_VALUE"""),"")</f>
        <v/>
      </c>
      <c r="O1356" s="17" t="str">
        <f>IFERROR(__xludf.DUMMYFUNCTION("""COMPUTED_VALUE"""),"")</f>
        <v/>
      </c>
      <c r="P1356" s="17" t="str">
        <f>IFERROR(__xludf.DUMMYFUNCTION("""COMPUTED_VALUE"""),"")</f>
        <v/>
      </c>
      <c r="Q1356" s="17" t="str">
        <f>IFERROR(__xludf.DUMMYFUNCTION("""COMPUTED_VALUE"""),"")</f>
        <v/>
      </c>
      <c r="R1356" s="17" t="str">
        <f>IFERROR(__xludf.DUMMYFUNCTION("""COMPUTED_VALUE"""),"")</f>
        <v/>
      </c>
    </row>
    <row r="1357">
      <c r="A1357" s="15">
        <f>IFERROR(__xludf.DUMMYFUNCTION("""COMPUTED_VALUE"""),45041.0)</f>
        <v>45041</v>
      </c>
      <c r="B1357" s="17"/>
      <c r="C1357" s="15" t="str">
        <f>IFERROR(__xludf.DUMMYFUNCTION("""COMPUTED_VALUE"""),"MEDELLÍN")</f>
        <v>MEDELLÍN</v>
      </c>
      <c r="D1357" s="15" t="str">
        <f>IFERROR(__xludf.DUMMYFUNCTION("""COMPUTED_VALUE"""),"BOGOTÁ")</f>
        <v>BOGOTÁ</v>
      </c>
      <c r="E1357" s="15" t="str">
        <f>IFERROR(__xludf.DUMMYFUNCTION("""COMPUTED_VALUE"""),"Evamazzita")</f>
        <v>Evamazzita</v>
      </c>
      <c r="F1357" s="17" t="str">
        <f>IFERROR(__xludf.DUMMYFUNCTION("""COMPUTED_VALUE"""),"calle 61 sur # 39 - 70  / apto 1910 torre 2 ciudad del bosque  / SABANETA - Barrio Asdesillas")</f>
        <v>calle 61 sur # 39 - 70  / apto 1910 torre 2 ciudad del bosque  / SABANETA - Barrio Asdesillas</v>
      </c>
      <c r="G1357" s="15" t="str">
        <f>IFERROR(__xludf.DUMMYFUNCTION("""COMPUTED_VALUE"""),"PAULA ANDREA TOBON")</f>
        <v>PAULA ANDREA TOBON</v>
      </c>
      <c r="H1357" s="16">
        <f>IFERROR(__xludf.DUMMYFUNCTION("""COMPUTED_VALUE"""),10073.0)</f>
        <v>10073</v>
      </c>
      <c r="I1357" s="18">
        <f>IFERROR(__xludf.DUMMYFUNCTION("""COMPUTED_VALUE"""),10.0)</f>
        <v>10</v>
      </c>
      <c r="J1357" s="18">
        <f>IFERROR(__xludf.DUMMYFUNCTION("""COMPUTED_VALUE"""),22.0)</f>
        <v>22</v>
      </c>
      <c r="K1357" s="18">
        <f>IFERROR(__xludf.DUMMYFUNCTION("""COMPUTED_VALUE"""),18.0)</f>
        <v>18</v>
      </c>
      <c r="L1357" s="17">
        <f>IFERROR(__xludf.DUMMYFUNCTION("""COMPUTED_VALUE"""),3.13251544E9)</f>
        <v>3132515440</v>
      </c>
      <c r="M1357" s="17" t="str">
        <f>IFERROR(__xludf.DUMMYFUNCTION("""COMPUTED_VALUE"""),"#REF!")</f>
        <v>#REF!</v>
      </c>
      <c r="N1357" s="19" t="str">
        <f>IFERROR(__xludf.DUMMYFUNCTION("""COMPUTED_VALUE"""),"")</f>
        <v/>
      </c>
      <c r="O1357" s="19" t="str">
        <f>IFERROR(__xludf.DUMMYFUNCTION("""COMPUTED_VALUE"""),"")</f>
        <v/>
      </c>
      <c r="P1357" s="17" t="b">
        <f>IFERROR(__xludf.DUMMYFUNCTION("""COMPUTED_VALUE"""),FALSE)</f>
        <v>0</v>
      </c>
      <c r="Q1357" s="20" t="str">
        <f>IFERROR(__xludf.DUMMYFUNCTION("""COMPUTED_VALUE"""),"")</f>
        <v/>
      </c>
      <c r="R1357" s="22" t="str">
        <f>IFERROR(__xludf.DUMMYFUNCTION("""COMPUTED_VALUE"""),"")</f>
        <v/>
      </c>
    </row>
    <row r="1358">
      <c r="A1358" s="17" t="str">
        <f>IFERROR(__xludf.DUMMYFUNCTION("""COMPUTED_VALUE"""),"")</f>
        <v/>
      </c>
      <c r="B1358" s="17" t="str">
        <f>IFERROR(__xludf.DUMMYFUNCTION("""COMPUTED_VALUE"""),"")</f>
        <v/>
      </c>
      <c r="C1358" s="17" t="str">
        <f>IFERROR(__xludf.DUMMYFUNCTION("""COMPUTED_VALUE"""),"")</f>
        <v/>
      </c>
      <c r="D1358" s="17" t="str">
        <f>IFERROR(__xludf.DUMMYFUNCTION("""COMPUTED_VALUE"""),"")</f>
        <v/>
      </c>
      <c r="E1358" s="17" t="str">
        <f>IFERROR(__xludf.DUMMYFUNCTION("""COMPUTED_VALUE"""),"")</f>
        <v/>
      </c>
      <c r="F1358" s="17" t="str">
        <f>IFERROR(__xludf.DUMMYFUNCTION("""COMPUTED_VALUE"""),"")</f>
        <v/>
      </c>
      <c r="G1358" s="17" t="str">
        <f>IFERROR(__xludf.DUMMYFUNCTION("""COMPUTED_VALUE"""),"")</f>
        <v/>
      </c>
      <c r="H1358" s="17" t="str">
        <f>IFERROR(__xludf.DUMMYFUNCTION("""COMPUTED_VALUE"""),"")</f>
        <v/>
      </c>
      <c r="I1358" s="17" t="str">
        <f>IFERROR(__xludf.DUMMYFUNCTION("""COMPUTED_VALUE"""),"")</f>
        <v/>
      </c>
      <c r="J1358" s="17" t="str">
        <f>IFERROR(__xludf.DUMMYFUNCTION("""COMPUTED_VALUE"""),"")</f>
        <v/>
      </c>
      <c r="K1358" s="17" t="str">
        <f>IFERROR(__xludf.DUMMYFUNCTION("""COMPUTED_VALUE"""),"")</f>
        <v/>
      </c>
      <c r="L1358" s="17" t="str">
        <f>IFERROR(__xludf.DUMMYFUNCTION("""COMPUTED_VALUE"""),"")</f>
        <v/>
      </c>
      <c r="M1358" s="17" t="str">
        <f>IFERROR(__xludf.DUMMYFUNCTION("""COMPUTED_VALUE"""),"")</f>
        <v/>
      </c>
      <c r="N1358" s="17" t="str">
        <f>IFERROR(__xludf.DUMMYFUNCTION("""COMPUTED_VALUE"""),"")</f>
        <v/>
      </c>
      <c r="O1358" s="17" t="str">
        <f>IFERROR(__xludf.DUMMYFUNCTION("""COMPUTED_VALUE"""),"")</f>
        <v/>
      </c>
      <c r="P1358" s="17" t="str">
        <f>IFERROR(__xludf.DUMMYFUNCTION("""COMPUTED_VALUE"""),"")</f>
        <v/>
      </c>
      <c r="Q1358" s="17" t="str">
        <f>IFERROR(__xludf.DUMMYFUNCTION("""COMPUTED_VALUE"""),"")</f>
        <v/>
      </c>
      <c r="R1358" s="17" t="str">
        <f>IFERROR(__xludf.DUMMYFUNCTION("""COMPUTED_VALUE"""),"")</f>
        <v/>
      </c>
    </row>
    <row r="1359">
      <c r="A1359" s="15">
        <f>IFERROR(__xludf.DUMMYFUNCTION("""COMPUTED_VALUE"""),45041.0)</f>
        <v>45041</v>
      </c>
      <c r="B1359" s="16" t="str">
        <f>IFERROR(__xludf.DUMMYFUNCTION("""COMPUTED_VALUE"""),"Carlos Andres Pirachican Numpaque (Mayerli)")</f>
        <v>Carlos Andres Pirachican Numpaque (Mayerli)</v>
      </c>
      <c r="C1359" s="15" t="str">
        <f>IFERROR(__xludf.DUMMYFUNCTION("""COMPUTED_VALUE"""),"MEDELLÍN")</f>
        <v>MEDELLÍN</v>
      </c>
      <c r="D1359" s="15" t="str">
        <f>IFERROR(__xludf.DUMMYFUNCTION("""COMPUTED_VALUE"""),"BOGOTÁ")</f>
        <v>BOGOTÁ</v>
      </c>
      <c r="E1359" s="15" t="str">
        <f>IFERROR(__xludf.DUMMYFUNCTION("""COMPUTED_VALUE"""),"Viiva Fermentados")</f>
        <v>Viiva Fermentados</v>
      </c>
      <c r="F1359" s="17" t="str">
        <f>IFERROR(__xludf.DUMMYFUNCTION("""COMPUTED_VALUE"""),"Transversal 39b#77-48 Int 302 Avenida Nutibara - Laureles / Tienda Vita Integral / Laureles")</f>
        <v>Transversal 39b#77-48 Int 302 Avenida Nutibara - Laureles / Tienda Vita Integral / Laureles</v>
      </c>
      <c r="G1359" s="15" t="str">
        <f>IFERROR(__xludf.DUMMYFUNCTION("""COMPUTED_VALUE"""),"VITA INTEGRAL SAS")</f>
        <v>VITA INTEGRAL SAS</v>
      </c>
      <c r="H1359" s="16">
        <f>IFERROR(__xludf.DUMMYFUNCTION("""COMPUTED_VALUE"""),9987.0)</f>
        <v>9987</v>
      </c>
      <c r="I1359" s="18">
        <f>IFERROR(__xludf.DUMMYFUNCTION("""COMPUTED_VALUE"""),20.0)</f>
        <v>20</v>
      </c>
      <c r="J1359" s="18">
        <f>IFERROR(__xludf.DUMMYFUNCTION("""COMPUTED_VALUE"""),30.0)</f>
        <v>30</v>
      </c>
      <c r="K1359" s="18">
        <f>IFERROR(__xludf.DUMMYFUNCTION("""COMPUTED_VALUE"""),40.0)</f>
        <v>40</v>
      </c>
      <c r="L1359" s="17">
        <f>IFERROR(__xludf.DUMMYFUNCTION("""COMPUTED_VALUE"""),3.122921247E9)</f>
        <v>3122921247</v>
      </c>
      <c r="M1359" s="17" t="str">
        <f>IFERROR(__xludf.DUMMYFUNCTION("""COMPUTED_VALUE"""),"#REF!")</f>
        <v>#REF!</v>
      </c>
      <c r="N1359" s="17"/>
      <c r="O1359" s="19" t="str">
        <f>IFERROR(__xludf.DUMMYFUNCTION("""COMPUTED_VALUE"""),"")</f>
        <v/>
      </c>
      <c r="P1359" s="17" t="b">
        <f>IFERROR(__xludf.DUMMYFUNCTION("""COMPUTED_VALUE"""),TRUE)</f>
        <v>1</v>
      </c>
      <c r="Q1359" s="20">
        <f>IFERROR(__xludf.DUMMYFUNCTION("""COMPUTED_VALUE"""),45041.52324122685)</f>
        <v>45041.52324</v>
      </c>
      <c r="R1359" s="22" t="str">
        <f>IFERROR(__xludf.DUMMYFUNCTION("""COMPUTED_VALUE"""),"")</f>
        <v/>
      </c>
    </row>
    <row r="1360">
      <c r="A1360" s="15">
        <f>IFERROR(__xludf.DUMMYFUNCTION("""COMPUTED_VALUE"""),45041.0)</f>
        <v>45041</v>
      </c>
      <c r="B1360" s="16" t="str">
        <f>IFERROR(__xludf.DUMMYFUNCTION("""COMPUTED_VALUE"""),"Carlos Andres Pirachican Numpaque (Mayerli)")</f>
        <v>Carlos Andres Pirachican Numpaque (Mayerli)</v>
      </c>
      <c r="C1360" s="15" t="str">
        <f>IFERROR(__xludf.DUMMYFUNCTION("""COMPUTED_VALUE"""),"MEDELLÍN")</f>
        <v>MEDELLÍN</v>
      </c>
      <c r="D1360" s="15" t="str">
        <f>IFERROR(__xludf.DUMMYFUNCTION("""COMPUTED_VALUE"""),"BOGOTÁ")</f>
        <v>BOGOTÁ</v>
      </c>
      <c r="E1360" s="15" t="str">
        <f>IFERROR(__xludf.DUMMYFUNCTION("""COMPUTED_VALUE"""),"Vtopia")</f>
        <v>Vtopia</v>
      </c>
      <c r="F1360" s="17" t="str">
        <f>IFERROR(__xludf.DUMMYFUNCTION("""COMPUTED_VALUE"""),"Calle 75 Sur #34-140 / Apartamento 2803, Century Tower  / Sector la Doctora, Sabaneta, Antioquia")</f>
        <v>Calle 75 Sur #34-140 / Apartamento 2803, Century Tower  / Sector la Doctora, Sabaneta, Antioquia</v>
      </c>
      <c r="G1360" s="15" t="str">
        <f>IFERROR(__xludf.DUMMYFUNCTION("""COMPUTED_VALUE"""),"Carolina Henao")</f>
        <v>Carolina Henao</v>
      </c>
      <c r="H1360" s="16">
        <f>IFERROR(__xludf.DUMMYFUNCTION("""COMPUTED_VALUE"""),10017.0)</f>
        <v>10017</v>
      </c>
      <c r="I1360" s="18">
        <f>IFERROR(__xludf.DUMMYFUNCTION("""COMPUTED_VALUE"""),12.0)</f>
        <v>12</v>
      </c>
      <c r="J1360" s="18">
        <f>IFERROR(__xludf.DUMMYFUNCTION("""COMPUTED_VALUE"""),12.0)</f>
        <v>12</v>
      </c>
      <c r="K1360" s="18">
        <f>IFERROR(__xludf.DUMMYFUNCTION("""COMPUTED_VALUE"""),12.0)</f>
        <v>12</v>
      </c>
      <c r="L1360" s="17">
        <f>IFERROR(__xludf.DUMMYFUNCTION("""COMPUTED_VALUE"""),3.045474567E9)</f>
        <v>3045474567</v>
      </c>
      <c r="M1360" s="17" t="str">
        <f>IFERROR(__xludf.DUMMYFUNCTION("""COMPUTED_VALUE"""),"#REF!")</f>
        <v>#REF!</v>
      </c>
      <c r="N1360" s="17"/>
      <c r="O1360" s="19" t="str">
        <f>IFERROR(__xludf.DUMMYFUNCTION("""COMPUTED_VALUE"""),"")</f>
        <v/>
      </c>
      <c r="P1360" s="17" t="b">
        <f>IFERROR(__xludf.DUMMYFUNCTION("""COMPUTED_VALUE"""),FALSE)</f>
        <v>0</v>
      </c>
      <c r="Q1360" s="20" t="str">
        <f>IFERROR(__xludf.DUMMYFUNCTION("""COMPUTED_VALUE"""),"")</f>
        <v/>
      </c>
      <c r="R1360" s="22" t="str">
        <f>IFERROR(__xludf.DUMMYFUNCTION("""COMPUTED_VALUE"""),"")</f>
        <v/>
      </c>
    </row>
    <row r="1361">
      <c r="A1361" s="17" t="str">
        <f>IFERROR(__xludf.DUMMYFUNCTION("""COMPUTED_VALUE"""),"")</f>
        <v/>
      </c>
      <c r="B1361" s="17" t="str">
        <f>IFERROR(__xludf.DUMMYFUNCTION("""COMPUTED_VALUE"""),"")</f>
        <v/>
      </c>
      <c r="C1361" s="17" t="str">
        <f>IFERROR(__xludf.DUMMYFUNCTION("""COMPUTED_VALUE"""),"")</f>
        <v/>
      </c>
      <c r="D1361" s="17" t="str">
        <f>IFERROR(__xludf.DUMMYFUNCTION("""COMPUTED_VALUE"""),"")</f>
        <v/>
      </c>
      <c r="E1361" s="17" t="str">
        <f>IFERROR(__xludf.DUMMYFUNCTION("""COMPUTED_VALUE"""),"")</f>
        <v/>
      </c>
      <c r="F1361" s="17" t="str">
        <f>IFERROR(__xludf.DUMMYFUNCTION("""COMPUTED_VALUE"""),"")</f>
        <v/>
      </c>
      <c r="G1361" s="17" t="str">
        <f>IFERROR(__xludf.DUMMYFUNCTION("""COMPUTED_VALUE"""),"")</f>
        <v/>
      </c>
      <c r="H1361" s="17" t="str">
        <f>IFERROR(__xludf.DUMMYFUNCTION("""COMPUTED_VALUE"""),"")</f>
        <v/>
      </c>
      <c r="I1361" s="17" t="str">
        <f>IFERROR(__xludf.DUMMYFUNCTION("""COMPUTED_VALUE"""),"")</f>
        <v/>
      </c>
      <c r="J1361" s="17" t="str">
        <f>IFERROR(__xludf.DUMMYFUNCTION("""COMPUTED_VALUE"""),"")</f>
        <v/>
      </c>
      <c r="K1361" s="17" t="str">
        <f>IFERROR(__xludf.DUMMYFUNCTION("""COMPUTED_VALUE"""),"")</f>
        <v/>
      </c>
      <c r="L1361" s="17" t="str">
        <f>IFERROR(__xludf.DUMMYFUNCTION("""COMPUTED_VALUE"""),"")</f>
        <v/>
      </c>
      <c r="M1361" s="17" t="str">
        <f>IFERROR(__xludf.DUMMYFUNCTION("""COMPUTED_VALUE"""),"")</f>
        <v/>
      </c>
      <c r="N1361" s="17" t="str">
        <f>IFERROR(__xludf.DUMMYFUNCTION("""COMPUTED_VALUE"""),"")</f>
        <v/>
      </c>
      <c r="O1361" s="17" t="str">
        <f>IFERROR(__xludf.DUMMYFUNCTION("""COMPUTED_VALUE"""),"")</f>
        <v/>
      </c>
      <c r="P1361" s="17" t="str">
        <f>IFERROR(__xludf.DUMMYFUNCTION("""COMPUTED_VALUE"""),"")</f>
        <v/>
      </c>
      <c r="Q1361" s="17" t="str">
        <f>IFERROR(__xludf.DUMMYFUNCTION("""COMPUTED_VALUE"""),"")</f>
        <v/>
      </c>
      <c r="R1361" s="17" t="str">
        <f>IFERROR(__xludf.DUMMYFUNCTION("""COMPUTED_VALUE"""),"")</f>
        <v/>
      </c>
    </row>
    <row r="1362">
      <c r="A1362" s="15">
        <f>IFERROR(__xludf.DUMMYFUNCTION("""COMPUTED_VALUE"""),45041.0)</f>
        <v>45041</v>
      </c>
      <c r="B1362" s="16" t="str">
        <f>IFERROR(__xludf.DUMMYFUNCTION("""COMPUTED_VALUE"""),"Deivi Alejandro Quintero Corrales")</f>
        <v>Deivi Alejandro Quintero Corrales</v>
      </c>
      <c r="C1362" s="15" t="str">
        <f>IFERROR(__xludf.DUMMYFUNCTION("""COMPUTED_VALUE"""),"PEREIRA")</f>
        <v>PEREIRA</v>
      </c>
      <c r="D1362" s="15" t="str">
        <f>IFERROR(__xludf.DUMMYFUNCTION("""COMPUTED_VALUE"""),"BOGOTÁ")</f>
        <v>BOGOTÁ</v>
      </c>
      <c r="E1362" s="15" t="str">
        <f>IFERROR(__xludf.DUMMYFUNCTION("""COMPUTED_VALUE"""),"Ins. Alimento Vital")</f>
        <v>Ins. Alimento Vital</v>
      </c>
      <c r="F1362" s="17" t="str">
        <f>IFERROR(__xludf.DUMMYFUNCTION("""COMPUTED_VALUE"""),"CR 5 18 43 / EDIFICIO CHALJUB / BARRIO URIBE")</f>
        <v>CR 5 18 43 / EDIFICIO CHALJUB / BARRIO URIBE</v>
      </c>
      <c r="G1362" s="15" t="str">
        <f>IFERROR(__xludf.DUMMYFUNCTION("""COMPUTED_VALUE"""),"CHALJUB")</f>
        <v>CHALJUB</v>
      </c>
      <c r="H1362" s="16">
        <f>IFERROR(__xludf.DUMMYFUNCTION("""COMPUTED_VALUE"""),10021.0)</f>
        <v>10021</v>
      </c>
      <c r="I1362" s="18">
        <f>IFERROR(__xludf.DUMMYFUNCTION("""COMPUTED_VALUE"""),1.0)</f>
        <v>1</v>
      </c>
      <c r="J1362" s="18">
        <f>IFERROR(__xludf.DUMMYFUNCTION("""COMPUTED_VALUE"""),1.0)</f>
        <v>1</v>
      </c>
      <c r="K1362" s="18">
        <f>IFERROR(__xludf.DUMMYFUNCTION("""COMPUTED_VALUE"""),1.0)</f>
        <v>1</v>
      </c>
      <c r="L1362" s="17">
        <f>IFERROR(__xludf.DUMMYFUNCTION("""COMPUTED_VALUE"""),3.113678687E9)</f>
        <v>3113678687</v>
      </c>
      <c r="M1362" s="17" t="str">
        <f>IFERROR(__xludf.DUMMYFUNCTION("""COMPUTED_VALUE"""),"#REF!")</f>
        <v>#REF!</v>
      </c>
      <c r="N1362" s="17"/>
      <c r="O1362" s="19" t="str">
        <f>IFERROR(__xludf.DUMMYFUNCTION("""COMPUTED_VALUE"""),"")</f>
        <v/>
      </c>
      <c r="P1362" s="17" t="b">
        <f>IFERROR(__xludf.DUMMYFUNCTION("""COMPUTED_VALUE"""),FALSE)</f>
        <v>0</v>
      </c>
      <c r="Q1362" s="20" t="str">
        <f>IFERROR(__xludf.DUMMYFUNCTION("""COMPUTED_VALUE"""),"")</f>
        <v/>
      </c>
      <c r="R1362" s="22" t="str">
        <f>IFERROR(__xludf.DUMMYFUNCTION("""COMPUTED_VALUE"""),"")</f>
        <v/>
      </c>
    </row>
    <row r="1363">
      <c r="A1363" s="15">
        <f>IFERROR(__xludf.DUMMYFUNCTION("""COMPUTED_VALUE"""),45041.0)</f>
        <v>45041</v>
      </c>
      <c r="B1363" s="16" t="str">
        <f>IFERROR(__xludf.DUMMYFUNCTION("""COMPUTED_VALUE"""),"Deivi Alejandro Quintero Corrales")</f>
        <v>Deivi Alejandro Quintero Corrales</v>
      </c>
      <c r="C1363" s="15" t="str">
        <f>IFERROR(__xludf.DUMMYFUNCTION("""COMPUTED_VALUE"""),"PEREIRA")</f>
        <v>PEREIRA</v>
      </c>
      <c r="D1363" s="15" t="str">
        <f>IFERROR(__xludf.DUMMYFUNCTION("""COMPUTED_VALUE"""),"BOGOTÁ")</f>
        <v>BOGOTÁ</v>
      </c>
      <c r="E1363" s="15" t="str">
        <f>IFERROR(__xludf.DUMMYFUNCTION("""COMPUTED_VALUE"""),"Pan de Waffle")</f>
        <v>Pan de Waffle</v>
      </c>
      <c r="F1363" s="17" t="str">
        <f>IFERROR(__xludf.DUMMYFUNCTION("""COMPUTED_VALUE"""),"Carrera 14 # 12 - 55 / Carrera 14 # 12 - 55 / Carrera 14 # 12 - 55")</f>
        <v>Carrera 14 # 12 - 55 / Carrera 14 # 12 - 55 / Carrera 14 # 12 - 55</v>
      </c>
      <c r="G1363" s="15" t="str">
        <f>IFERROR(__xludf.DUMMYFUNCTION("""COMPUTED_VALUE"""),"VITA ECO")</f>
        <v>VITA ECO</v>
      </c>
      <c r="H1363" s="16">
        <f>IFERROR(__xludf.DUMMYFUNCTION("""COMPUTED_VALUE"""),10085.0)</f>
        <v>10085</v>
      </c>
      <c r="I1363" s="18">
        <f>IFERROR(__xludf.DUMMYFUNCTION("""COMPUTED_VALUE"""),30.0)</f>
        <v>30</v>
      </c>
      <c r="J1363" s="18">
        <f>IFERROR(__xludf.DUMMYFUNCTION("""COMPUTED_VALUE"""),30.0)</f>
        <v>30</v>
      </c>
      <c r="K1363" s="18">
        <f>IFERROR(__xludf.DUMMYFUNCTION("""COMPUTED_VALUE"""),40.0)</f>
        <v>40</v>
      </c>
      <c r="L1363" s="17">
        <f>IFERROR(__xludf.DUMMYFUNCTION("""COMPUTED_VALUE"""),3.215501948E9)</f>
        <v>3215501948</v>
      </c>
      <c r="M1363" s="17" t="str">
        <f>IFERROR(__xludf.DUMMYFUNCTION("""COMPUTED_VALUE"""),"#REF!")</f>
        <v>#REF!</v>
      </c>
      <c r="N1363" s="17"/>
      <c r="O1363" s="19" t="str">
        <f>IFERROR(__xludf.DUMMYFUNCTION("""COMPUTED_VALUE"""),"")</f>
        <v/>
      </c>
      <c r="P1363" s="17" t="b">
        <f>IFERROR(__xludf.DUMMYFUNCTION("""COMPUTED_VALUE"""),FALSE)</f>
        <v>0</v>
      </c>
      <c r="Q1363" s="20" t="str">
        <f>IFERROR(__xludf.DUMMYFUNCTION("""COMPUTED_VALUE"""),"")</f>
        <v/>
      </c>
      <c r="R1363" s="22" t="str">
        <f>IFERROR(__xludf.DUMMYFUNCTION("""COMPUTED_VALUE"""),"")</f>
        <v/>
      </c>
    </row>
    <row r="1364">
      <c r="A1364" s="15">
        <f>IFERROR(__xludf.DUMMYFUNCTION("""COMPUTED_VALUE"""),45041.0)</f>
        <v>45041</v>
      </c>
      <c r="B1364" s="16" t="str">
        <f>IFERROR(__xludf.DUMMYFUNCTION("""COMPUTED_VALUE"""),"Deivi Alejandro Quintero Corrales")</f>
        <v>Deivi Alejandro Quintero Corrales</v>
      </c>
      <c r="C1364" s="15" t="str">
        <f>IFERROR(__xludf.DUMMYFUNCTION("""COMPUTED_VALUE"""),"PEREIRA")</f>
        <v>PEREIRA</v>
      </c>
      <c r="D1364" s="15" t="str">
        <f>IFERROR(__xludf.DUMMYFUNCTION("""COMPUTED_VALUE"""),"BOGOTÁ")</f>
        <v>BOGOTÁ</v>
      </c>
      <c r="E1364" s="15" t="str">
        <f>IFERROR(__xludf.DUMMYFUNCTION("""COMPUTED_VALUE"""),"Pan de Waffle")</f>
        <v>Pan de Waffle</v>
      </c>
      <c r="F1364" s="17" t="str">
        <f>IFERROR(__xludf.DUMMYFUNCTION("""COMPUTED_VALUE"""),"Megacentro Pinares Piso 0 Local 019 / Megacentro Pinares Piso 0 Local 019 / Megacentro Pinares Piso 0 Local 019")</f>
        <v>Megacentro Pinares Piso 0 Local 019 / Megacentro Pinares Piso 0 Local 019 / Megacentro Pinares Piso 0 Local 019</v>
      </c>
      <c r="G1364" s="15" t="str">
        <f>IFERROR(__xludf.DUMMYFUNCTION("""COMPUTED_VALUE"""),"TERRASANO MERCADO SALUDABLE")</f>
        <v>TERRASANO MERCADO SALUDABLE</v>
      </c>
      <c r="H1364" s="16">
        <f>IFERROR(__xludf.DUMMYFUNCTION("""COMPUTED_VALUE"""),10083.0)</f>
        <v>10083</v>
      </c>
      <c r="I1364" s="18">
        <f>IFERROR(__xludf.DUMMYFUNCTION("""COMPUTED_VALUE"""),30.0)</f>
        <v>30</v>
      </c>
      <c r="J1364" s="18">
        <f>IFERROR(__xludf.DUMMYFUNCTION("""COMPUTED_VALUE"""),30.0)</f>
        <v>30</v>
      </c>
      <c r="K1364" s="18">
        <f>IFERROR(__xludf.DUMMYFUNCTION("""COMPUTED_VALUE"""),30.0)</f>
        <v>30</v>
      </c>
      <c r="L1364" s="17">
        <f>IFERROR(__xludf.DUMMYFUNCTION("""COMPUTED_VALUE"""),3.13703624E9)</f>
        <v>3137036240</v>
      </c>
      <c r="M1364" s="17" t="str">
        <f>IFERROR(__xludf.DUMMYFUNCTION("""COMPUTED_VALUE"""),"#REF!")</f>
        <v>#REF!</v>
      </c>
      <c r="N1364" s="17"/>
      <c r="O1364" s="19" t="str">
        <f>IFERROR(__xludf.DUMMYFUNCTION("""COMPUTED_VALUE"""),"")</f>
        <v/>
      </c>
      <c r="P1364" s="17" t="b">
        <f>IFERROR(__xludf.DUMMYFUNCTION("""COMPUTED_VALUE"""),FALSE)</f>
        <v>0</v>
      </c>
      <c r="Q1364" s="20" t="str">
        <f>IFERROR(__xludf.DUMMYFUNCTION("""COMPUTED_VALUE"""),"")</f>
        <v/>
      </c>
      <c r="R1364" s="22" t="str">
        <f>IFERROR(__xludf.DUMMYFUNCTION("""COMPUTED_VALUE"""),"")</f>
        <v/>
      </c>
    </row>
    <row r="1365">
      <c r="A1365" s="15">
        <f>IFERROR(__xludf.DUMMYFUNCTION("""COMPUTED_VALUE"""),45041.0)</f>
        <v>45041</v>
      </c>
      <c r="B1365" s="16" t="str">
        <f>IFERROR(__xludf.DUMMYFUNCTION("""COMPUTED_VALUE"""),"Deivi Alejandro Quintero Corrales")</f>
        <v>Deivi Alejandro Quintero Corrales</v>
      </c>
      <c r="C1365" s="15" t="str">
        <f>IFERROR(__xludf.DUMMYFUNCTION("""COMPUTED_VALUE"""),"PEREIRA")</f>
        <v>PEREIRA</v>
      </c>
      <c r="D1365" s="15" t="str">
        <f>IFERROR(__xludf.DUMMYFUNCTION("""COMPUTED_VALUE"""),"MEDELLÍN")</f>
        <v>MEDELLÍN</v>
      </c>
      <c r="E1365" s="15" t="str">
        <f>IFERROR(__xludf.DUMMYFUNCTION("""COMPUTED_VALUE"""),"Baby Chef")</f>
        <v>Baby Chef</v>
      </c>
      <c r="F1365" s="17" t="str">
        <f>IFERROR(__xludf.DUMMYFUNCTION("""COMPUTED_VALUE"""),"CALLE 18 # 5 - 38  / HOTEL CAFEIRA  / PEREIRA RISARALDA")</f>
        <v>CALLE 18 # 5 - 38  / HOTEL CAFEIRA  / PEREIRA RISARALDA</v>
      </c>
      <c r="G1365" s="15" t="str">
        <f>IFERROR(__xludf.DUMMYFUNCTION("""COMPUTED_VALUE"""),"KELLY POSADA")</f>
        <v>KELLY POSADA</v>
      </c>
      <c r="H1365" s="16">
        <f>IFERROR(__xludf.DUMMYFUNCTION("""COMPUTED_VALUE"""),10055.0)</f>
        <v>10055</v>
      </c>
      <c r="I1365" s="18">
        <f>IFERROR(__xludf.DUMMYFUNCTION("""COMPUTED_VALUE"""),8.0)</f>
        <v>8</v>
      </c>
      <c r="J1365" s="18">
        <f>IFERROR(__xludf.DUMMYFUNCTION("""COMPUTED_VALUE"""),16.0)</f>
        <v>16</v>
      </c>
      <c r="K1365" s="18">
        <f>IFERROR(__xludf.DUMMYFUNCTION("""COMPUTED_VALUE"""),20.0)</f>
        <v>20</v>
      </c>
      <c r="L1365" s="17">
        <f>IFERROR(__xludf.DUMMYFUNCTION("""COMPUTED_VALUE"""),3.232325352E9)</f>
        <v>3232325352</v>
      </c>
      <c r="M1365" s="17" t="str">
        <f>IFERROR(__xludf.DUMMYFUNCTION("""COMPUTED_VALUE"""),"#REF!")</f>
        <v>#REF!</v>
      </c>
      <c r="N1365" s="17"/>
      <c r="O1365" s="19" t="str">
        <f>IFERROR(__xludf.DUMMYFUNCTION("""COMPUTED_VALUE"""),"")</f>
        <v/>
      </c>
      <c r="P1365" s="17" t="b">
        <f>IFERROR(__xludf.DUMMYFUNCTION("""COMPUTED_VALUE"""),FALSE)</f>
        <v>0</v>
      </c>
      <c r="Q1365" s="20" t="str">
        <f>IFERROR(__xludf.DUMMYFUNCTION("""COMPUTED_VALUE"""),"")</f>
        <v/>
      </c>
      <c r="R1365" s="22" t="str">
        <f>IFERROR(__xludf.DUMMYFUNCTION("""COMPUTED_VALUE"""),"")</f>
        <v/>
      </c>
    </row>
    <row r="1366">
      <c r="A1366" s="15">
        <f>IFERROR(__xludf.DUMMYFUNCTION("""COMPUTED_VALUE"""),45041.0)</f>
        <v>45041</v>
      </c>
      <c r="B1366" s="16" t="str">
        <f>IFERROR(__xludf.DUMMYFUNCTION("""COMPUTED_VALUE"""),"Deivi Alejandro Quintero Corrales")</f>
        <v>Deivi Alejandro Quintero Corrales</v>
      </c>
      <c r="C1366" s="15" t="str">
        <f>IFERROR(__xludf.DUMMYFUNCTION("""COMPUTED_VALUE"""),"PEREIRA")</f>
        <v>PEREIRA</v>
      </c>
      <c r="D1366" s="15" t="str">
        <f>IFERROR(__xludf.DUMMYFUNCTION("""COMPUTED_VALUE"""),"MEDELLÍN")</f>
        <v>MEDELLÍN</v>
      </c>
      <c r="E1366" s="15" t="str">
        <f>IFERROR(__xludf.DUMMYFUNCTION("""COMPUTED_VALUE"""),"Baby Chef")</f>
        <v>Baby Chef</v>
      </c>
      <c r="F1366" s="17" t="str">
        <f>IFERROR(__xludf.DUMMYFUNCTION("""COMPUTED_VALUE"""),"Calle 33 # 13 B 32 / Conjunto Residencial Ocari Torre 2 Apto 501 / PEREIRA")</f>
        <v>Calle 33 # 13 B 32 / Conjunto Residencial Ocari Torre 2 Apto 501 / PEREIRA</v>
      </c>
      <c r="G1366" s="15" t="str">
        <f>IFERROR(__xludf.DUMMYFUNCTION("""COMPUTED_VALUE"""),"Marta Vanesa Giraldo Marín")</f>
        <v>Marta Vanesa Giraldo Marín</v>
      </c>
      <c r="H1366" s="16">
        <f>IFERROR(__xludf.DUMMYFUNCTION("""COMPUTED_VALUE"""),10056.0)</f>
        <v>10056</v>
      </c>
      <c r="I1366" s="18">
        <f>IFERROR(__xludf.DUMMYFUNCTION("""COMPUTED_VALUE"""),8.0)</f>
        <v>8</v>
      </c>
      <c r="J1366" s="18">
        <f>IFERROR(__xludf.DUMMYFUNCTION("""COMPUTED_VALUE"""),16.0)</f>
        <v>16</v>
      </c>
      <c r="K1366" s="18">
        <f>IFERROR(__xludf.DUMMYFUNCTION("""COMPUTED_VALUE"""),20.0)</f>
        <v>20</v>
      </c>
      <c r="L1366" s="17">
        <f>IFERROR(__xludf.DUMMYFUNCTION("""COMPUTED_VALUE"""),3.143931571E9)</f>
        <v>3143931571</v>
      </c>
      <c r="M1366" s="17" t="str">
        <f>IFERROR(__xludf.DUMMYFUNCTION("""COMPUTED_VALUE"""),"#REF!")</f>
        <v>#REF!</v>
      </c>
      <c r="N1366" s="17"/>
      <c r="O1366" s="19" t="str">
        <f>IFERROR(__xludf.DUMMYFUNCTION("""COMPUTED_VALUE"""),"")</f>
        <v/>
      </c>
      <c r="P1366" s="17" t="b">
        <f>IFERROR(__xludf.DUMMYFUNCTION("""COMPUTED_VALUE"""),FALSE)</f>
        <v>0</v>
      </c>
      <c r="Q1366" s="20" t="str">
        <f>IFERROR(__xludf.DUMMYFUNCTION("""COMPUTED_VALUE"""),"")</f>
        <v/>
      </c>
      <c r="R1366" s="22" t="str">
        <f>IFERROR(__xludf.DUMMYFUNCTION("""COMPUTED_VALUE"""),"")</f>
        <v/>
      </c>
    </row>
    <row r="1367">
      <c r="A1367" s="15">
        <f>IFERROR(__xludf.DUMMYFUNCTION("""COMPUTED_VALUE"""),45041.0)</f>
        <v>45041</v>
      </c>
      <c r="B1367" s="16" t="str">
        <f>IFERROR(__xludf.DUMMYFUNCTION("""COMPUTED_VALUE"""),"Deivi Alejandro Quintero Corrales")</f>
        <v>Deivi Alejandro Quintero Corrales</v>
      </c>
      <c r="C1367" s="15" t="str">
        <f>IFERROR(__xludf.DUMMYFUNCTION("""COMPUTED_VALUE"""),"PEREIRA")</f>
        <v>PEREIRA</v>
      </c>
      <c r="D1367" s="15" t="str">
        <f>IFERROR(__xludf.DUMMYFUNCTION("""COMPUTED_VALUE"""),"MEDELLÍN")</f>
        <v>MEDELLÍN</v>
      </c>
      <c r="E1367" s="15" t="str">
        <f>IFERROR(__xludf.DUMMYFUNCTION("""COMPUTED_VALUE"""),"Baby Chef")</f>
        <v>Baby Chef</v>
      </c>
      <c r="F1367" s="17" t="str">
        <f>IFERROR(__xludf.DUMMYFUNCTION("""COMPUTED_VALUE"""),"CALLE 36 # 35 B 08 / MIRADOR DE VILLA VERDE TORRE 2 APTO 1004 / PEREIRA RISARALDA")</f>
        <v>CALLE 36 # 35 B 08 / MIRADOR DE VILLA VERDE TORRE 2 APTO 1004 / PEREIRA RISARALDA</v>
      </c>
      <c r="G1367" s="15" t="str">
        <f>IFERROR(__xludf.DUMMYFUNCTION("""COMPUTED_VALUE"""),"LEIDY JOHANA LOPEZ GONZALEZ")</f>
        <v>LEIDY JOHANA LOPEZ GONZALEZ</v>
      </c>
      <c r="H1367" s="16">
        <f>IFERROR(__xludf.DUMMYFUNCTION("""COMPUTED_VALUE"""),10054.0)</f>
        <v>10054</v>
      </c>
      <c r="I1367" s="18">
        <f>IFERROR(__xludf.DUMMYFUNCTION("""COMPUTED_VALUE"""),8.0)</f>
        <v>8</v>
      </c>
      <c r="J1367" s="18">
        <f>IFERROR(__xludf.DUMMYFUNCTION("""COMPUTED_VALUE"""),16.0)</f>
        <v>16</v>
      </c>
      <c r="K1367" s="18">
        <f>IFERROR(__xludf.DUMMYFUNCTION("""COMPUTED_VALUE"""),20.0)</f>
        <v>20</v>
      </c>
      <c r="L1367" s="17">
        <f>IFERROR(__xludf.DUMMYFUNCTION("""COMPUTED_VALUE"""),3.146279825E9)</f>
        <v>3146279825</v>
      </c>
      <c r="M1367" s="17" t="str">
        <f>IFERROR(__xludf.DUMMYFUNCTION("""COMPUTED_VALUE"""),"#REF!")</f>
        <v>#REF!</v>
      </c>
      <c r="N1367" s="17"/>
      <c r="O1367" s="19" t="str">
        <f>IFERROR(__xludf.DUMMYFUNCTION("""COMPUTED_VALUE"""),"")</f>
        <v/>
      </c>
      <c r="P1367" s="17" t="b">
        <f>IFERROR(__xludf.DUMMYFUNCTION("""COMPUTED_VALUE"""),FALSE)</f>
        <v>0</v>
      </c>
      <c r="Q1367" s="20" t="str">
        <f>IFERROR(__xludf.DUMMYFUNCTION("""COMPUTED_VALUE"""),"")</f>
        <v/>
      </c>
      <c r="R1367" s="22" t="str">
        <f>IFERROR(__xludf.DUMMYFUNCTION("""COMPUTED_VALUE"""),"")</f>
        <v/>
      </c>
    </row>
    <row r="1368">
      <c r="A1368" s="15">
        <f>IFERROR(__xludf.DUMMYFUNCTION("""COMPUTED_VALUE"""),45041.0)</f>
        <v>45041</v>
      </c>
      <c r="B1368" s="16" t="str">
        <f>IFERROR(__xludf.DUMMYFUNCTION("""COMPUTED_VALUE"""),"Deivi Alejandro Quintero Corrales")</f>
        <v>Deivi Alejandro Quintero Corrales</v>
      </c>
      <c r="C1368" s="15" t="str">
        <f>IFERROR(__xludf.DUMMYFUNCTION("""COMPUTED_VALUE"""),"PEREIRA")</f>
        <v>PEREIRA</v>
      </c>
      <c r="D1368" s="15" t="str">
        <f>IFERROR(__xludf.DUMMYFUNCTION("""COMPUTED_VALUE"""),"MEDELLÍN")</f>
        <v>MEDELLÍN</v>
      </c>
      <c r="E1368" s="15" t="str">
        <f>IFERROR(__xludf.DUMMYFUNCTION("""COMPUTED_VALUE"""),"Baby Chef")</f>
        <v>Baby Chef</v>
      </c>
      <c r="F1368" s="17" t="str">
        <f>IFERROR(__xludf.DUMMYFUNCTION("""COMPUTED_VALUE"""),"CALLE 46 AV DE LAS AMERICAS # 19 - 80 / LA QUINTA CLUB HOUSE PH TORRE 1 APTO 901 / PEREIRA")</f>
        <v>CALLE 46 AV DE LAS AMERICAS # 19 - 80 / LA QUINTA CLUB HOUSE PH TORRE 1 APTO 901 / PEREIRA</v>
      </c>
      <c r="G1368" s="15" t="str">
        <f>IFERROR(__xludf.DUMMYFUNCTION("""COMPUTED_VALUE"""),"NATALIA FERNANDEZ")</f>
        <v>NATALIA FERNANDEZ</v>
      </c>
      <c r="H1368" s="16">
        <f>IFERROR(__xludf.DUMMYFUNCTION("""COMPUTED_VALUE"""),10057.0)</f>
        <v>10057</v>
      </c>
      <c r="I1368" s="18">
        <f>IFERROR(__xludf.DUMMYFUNCTION("""COMPUTED_VALUE"""),8.0)</f>
        <v>8</v>
      </c>
      <c r="J1368" s="18">
        <f>IFERROR(__xludf.DUMMYFUNCTION("""COMPUTED_VALUE"""),16.0)</f>
        <v>16</v>
      </c>
      <c r="K1368" s="18">
        <f>IFERROR(__xludf.DUMMYFUNCTION("""COMPUTED_VALUE"""),20.0)</f>
        <v>20</v>
      </c>
      <c r="L1368" s="17">
        <f>IFERROR(__xludf.DUMMYFUNCTION("""COMPUTED_VALUE"""),3.182824278E9)</f>
        <v>3182824278</v>
      </c>
      <c r="M1368" s="17" t="str">
        <f>IFERROR(__xludf.DUMMYFUNCTION("""COMPUTED_VALUE"""),"#REF!")</f>
        <v>#REF!</v>
      </c>
      <c r="N1368" s="17"/>
      <c r="O1368" s="19" t="str">
        <f>IFERROR(__xludf.DUMMYFUNCTION("""COMPUTED_VALUE"""),"")</f>
        <v/>
      </c>
      <c r="P1368" s="17" t="b">
        <f>IFERROR(__xludf.DUMMYFUNCTION("""COMPUTED_VALUE"""),FALSE)</f>
        <v>0</v>
      </c>
      <c r="Q1368" s="20" t="str">
        <f>IFERROR(__xludf.DUMMYFUNCTION("""COMPUTED_VALUE"""),"")</f>
        <v/>
      </c>
      <c r="R1368" s="22" t="str">
        <f>IFERROR(__xludf.DUMMYFUNCTION("""COMPUTED_VALUE"""),"")</f>
        <v/>
      </c>
    </row>
    <row r="1369">
      <c r="A1369" s="15">
        <f>IFERROR(__xludf.DUMMYFUNCTION("""COMPUTED_VALUE"""),45041.0)</f>
        <v>45041</v>
      </c>
      <c r="B1369" s="16" t="str">
        <f>IFERROR(__xludf.DUMMYFUNCTION("""COMPUTED_VALUE"""),"Deivi Alejandro Quintero Corrales")</f>
        <v>Deivi Alejandro Quintero Corrales</v>
      </c>
      <c r="C1369" s="15" t="str">
        <f>IFERROR(__xludf.DUMMYFUNCTION("""COMPUTED_VALUE"""),"PEREIRA")</f>
        <v>PEREIRA</v>
      </c>
      <c r="D1369" s="15" t="str">
        <f>IFERROR(__xludf.DUMMYFUNCTION("""COMPUTED_VALUE"""),"MEDELLÍN")</f>
        <v>MEDELLÍN</v>
      </c>
      <c r="E1369" s="15" t="str">
        <f>IFERROR(__xludf.DUMMYFUNCTION("""COMPUTED_VALUE"""),"Baby Chef")</f>
        <v>Baby Chef</v>
      </c>
      <c r="F1369" s="17" t="str">
        <f>IFERROR(__xludf.DUMMYFUNCTION("""COMPUTED_VALUE"""),"MANZANA 15 CASA 18 CAMPESTRE D  / MANZANA 15 CASA 18 CAMPESTRE D  / PEREIRA DOSQUEBRADAS")</f>
        <v>MANZANA 15 CASA 18 CAMPESTRE D  / MANZANA 15 CASA 18 CAMPESTRE D  / PEREIRA DOSQUEBRADAS</v>
      </c>
      <c r="G1369" s="15" t="str">
        <f>IFERROR(__xludf.DUMMYFUNCTION("""COMPUTED_VALUE"""),"DANIELA ARROYAVE")</f>
        <v>DANIELA ARROYAVE</v>
      </c>
      <c r="H1369" s="16">
        <f>IFERROR(__xludf.DUMMYFUNCTION("""COMPUTED_VALUE"""),10053.0)</f>
        <v>10053</v>
      </c>
      <c r="I1369" s="18">
        <f>IFERROR(__xludf.DUMMYFUNCTION("""COMPUTED_VALUE"""),8.0)</f>
        <v>8</v>
      </c>
      <c r="J1369" s="18">
        <f>IFERROR(__xludf.DUMMYFUNCTION("""COMPUTED_VALUE"""),16.0)</f>
        <v>16</v>
      </c>
      <c r="K1369" s="18">
        <f>IFERROR(__xludf.DUMMYFUNCTION("""COMPUTED_VALUE"""),20.0)</f>
        <v>20</v>
      </c>
      <c r="L1369" s="17">
        <f>IFERROR(__xludf.DUMMYFUNCTION("""COMPUTED_VALUE"""),3.004746092E9)</f>
        <v>3004746092</v>
      </c>
      <c r="M1369" s="17" t="str">
        <f>IFERROR(__xludf.DUMMYFUNCTION("""COMPUTED_VALUE"""),"#REF!")</f>
        <v>#REF!</v>
      </c>
      <c r="N1369" s="17"/>
      <c r="O1369" s="19" t="str">
        <f>IFERROR(__xludf.DUMMYFUNCTION("""COMPUTED_VALUE"""),"")</f>
        <v/>
      </c>
      <c r="P1369" s="17" t="b">
        <f>IFERROR(__xludf.DUMMYFUNCTION("""COMPUTED_VALUE"""),FALSE)</f>
        <v>0</v>
      </c>
      <c r="Q1369" s="20" t="str">
        <f>IFERROR(__xludf.DUMMYFUNCTION("""COMPUTED_VALUE"""),"")</f>
        <v/>
      </c>
      <c r="R1369" s="22" t="str">
        <f>IFERROR(__xludf.DUMMYFUNCTION("""COMPUTED_VALUE"""),"")</f>
        <v/>
      </c>
    </row>
    <row r="1370">
      <c r="A1370" s="15">
        <f>IFERROR(__xludf.DUMMYFUNCTION("""COMPUTED_VALUE"""),45041.0)</f>
        <v>45041</v>
      </c>
      <c r="B1370" s="16" t="str">
        <f>IFERROR(__xludf.DUMMYFUNCTION("""COMPUTED_VALUE"""),"Deivi Alejandro Quintero Corrales")</f>
        <v>Deivi Alejandro Quintero Corrales</v>
      </c>
      <c r="C1370" s="15" t="str">
        <f>IFERROR(__xludf.DUMMYFUNCTION("""COMPUTED_VALUE"""),"PEREIRA")</f>
        <v>PEREIRA</v>
      </c>
      <c r="D1370" s="15" t="str">
        <f>IFERROR(__xludf.DUMMYFUNCTION("""COMPUTED_VALUE"""),"MEDELLÍN")</f>
        <v>MEDELLÍN</v>
      </c>
      <c r="E1370" s="15" t="str">
        <f>IFERROR(__xludf.DUMMYFUNCTION("""COMPUTED_VALUE"""),"Goyo Todo por ellos")</f>
        <v>Goyo Todo por ellos</v>
      </c>
      <c r="F1370" s="17" t="str">
        <f>IFERROR(__xludf.DUMMYFUNCTION("""COMPUTED_VALUE"""),"Calle 12 bis # 16 18  / Casa Hoja Comunidad Consciente / Barrio Pinares")</f>
        <v>Calle 12 bis # 16 18  / Casa Hoja Comunidad Consciente / Barrio Pinares</v>
      </c>
      <c r="G1370" s="15" t="str">
        <f>IFERROR(__xludf.DUMMYFUNCTION("""COMPUTED_VALUE"""),"Hector Hernandez")</f>
        <v>Hector Hernandez</v>
      </c>
      <c r="H1370" s="16">
        <f>IFERROR(__xludf.DUMMYFUNCTION("""COMPUTED_VALUE"""),10042.0)</f>
        <v>10042</v>
      </c>
      <c r="I1370" s="18">
        <f>IFERROR(__xludf.DUMMYFUNCTION("""COMPUTED_VALUE"""),20.0)</f>
        <v>20</v>
      </c>
      <c r="J1370" s="18">
        <f>IFERROR(__xludf.DUMMYFUNCTION("""COMPUTED_VALUE"""),44.0)</f>
        <v>44</v>
      </c>
      <c r="K1370" s="18">
        <f>IFERROR(__xludf.DUMMYFUNCTION("""COMPUTED_VALUE"""),30.0)</f>
        <v>30</v>
      </c>
      <c r="L1370" s="17">
        <f>IFERROR(__xludf.DUMMYFUNCTION("""COMPUTED_VALUE"""),3.18591145E9)</f>
        <v>3185911450</v>
      </c>
      <c r="M1370" s="17" t="str">
        <f>IFERROR(__xludf.DUMMYFUNCTION("""COMPUTED_VALUE"""),"#REF!")</f>
        <v>#REF!</v>
      </c>
      <c r="N1370" s="17"/>
      <c r="O1370" s="19" t="str">
        <f>IFERROR(__xludf.DUMMYFUNCTION("""COMPUTED_VALUE"""),"")</f>
        <v/>
      </c>
      <c r="P1370" s="17" t="b">
        <f>IFERROR(__xludf.DUMMYFUNCTION("""COMPUTED_VALUE"""),FALSE)</f>
        <v>0</v>
      </c>
      <c r="Q1370" s="20" t="str">
        <f>IFERROR(__xludf.DUMMYFUNCTION("""COMPUTED_VALUE"""),"")</f>
        <v/>
      </c>
      <c r="R1370" s="22" t="str">
        <f>IFERROR(__xludf.DUMMYFUNCTION("""COMPUTED_VALUE"""),"")</f>
        <v/>
      </c>
    </row>
    <row r="1371">
      <c r="A1371" s="15">
        <f>IFERROR(__xludf.DUMMYFUNCTION("""COMPUTED_VALUE"""),45041.0)</f>
        <v>45041</v>
      </c>
      <c r="B1371" s="16" t="str">
        <f>IFERROR(__xludf.DUMMYFUNCTION("""COMPUTED_VALUE"""),"Deivi Alejandro Quintero Corrales")</f>
        <v>Deivi Alejandro Quintero Corrales</v>
      </c>
      <c r="C1371" s="15" t="str">
        <f>IFERROR(__xludf.DUMMYFUNCTION("""COMPUTED_VALUE"""),"PEREIRA")</f>
        <v>PEREIRA</v>
      </c>
      <c r="D1371" s="15" t="str">
        <f>IFERROR(__xludf.DUMMYFUNCTION("""COMPUTED_VALUE"""),"MEDELLÍN")</f>
        <v>MEDELLÍN</v>
      </c>
      <c r="E1371" s="15" t="str">
        <f>IFERROR(__xludf.DUMMYFUNCTION("""COMPUTED_VALUE"""),"Goyo Todo por ellos")</f>
        <v>Goyo Todo por ellos</v>
      </c>
      <c r="F1371" s="17" t="str">
        <f>IFERROR(__xludf.DUMMYFUNCTION("""COMPUTED_VALUE"""),"Calle 12 bis #16 18 / Casa Hoja / Barrio Pinares")</f>
        <v>Calle 12 bis #16 18 / Casa Hoja / Barrio Pinares</v>
      </c>
      <c r="G1371" s="15" t="str">
        <f>IFERROR(__xludf.DUMMYFUNCTION("""COMPUTED_VALUE"""),"Hector Hernandez")</f>
        <v>Hector Hernandez</v>
      </c>
      <c r="H1371" s="16">
        <f>IFERROR(__xludf.DUMMYFUNCTION("""COMPUTED_VALUE"""),10047.0)</f>
        <v>10047</v>
      </c>
      <c r="I1371" s="18">
        <f>IFERROR(__xludf.DUMMYFUNCTION("""COMPUTED_VALUE"""),13.0)</f>
        <v>13</v>
      </c>
      <c r="J1371" s="18">
        <f>IFERROR(__xludf.DUMMYFUNCTION("""COMPUTED_VALUE"""),33.0)</f>
        <v>33</v>
      </c>
      <c r="K1371" s="18">
        <f>IFERROR(__xludf.DUMMYFUNCTION("""COMPUTED_VALUE"""),18.0)</f>
        <v>18</v>
      </c>
      <c r="L1371" s="17">
        <f>IFERROR(__xludf.DUMMYFUNCTION("""COMPUTED_VALUE"""),3.18591145E9)</f>
        <v>3185911450</v>
      </c>
      <c r="M1371" s="17" t="str">
        <f>IFERROR(__xludf.DUMMYFUNCTION("""COMPUTED_VALUE"""),"#REF!")</f>
        <v>#REF!</v>
      </c>
      <c r="N1371" s="17"/>
      <c r="O1371" s="19" t="str">
        <f>IFERROR(__xludf.DUMMYFUNCTION("""COMPUTED_VALUE"""),"")</f>
        <v/>
      </c>
      <c r="P1371" s="17" t="b">
        <f>IFERROR(__xludf.DUMMYFUNCTION("""COMPUTED_VALUE"""),FALSE)</f>
        <v>0</v>
      </c>
      <c r="Q1371" s="20" t="str">
        <f>IFERROR(__xludf.DUMMYFUNCTION("""COMPUTED_VALUE"""),"")</f>
        <v/>
      </c>
      <c r="R1371" s="22" t="str">
        <f>IFERROR(__xludf.DUMMYFUNCTION("""COMPUTED_VALUE"""),"")</f>
        <v/>
      </c>
    </row>
    <row r="1372">
      <c r="A1372" s="17" t="str">
        <f>IFERROR(__xludf.DUMMYFUNCTION("""COMPUTED_VALUE"""),"")</f>
        <v/>
      </c>
      <c r="B1372" s="17" t="str">
        <f>IFERROR(__xludf.DUMMYFUNCTION("""COMPUTED_VALUE"""),"")</f>
        <v/>
      </c>
      <c r="C1372" s="17" t="str">
        <f>IFERROR(__xludf.DUMMYFUNCTION("""COMPUTED_VALUE"""),"")</f>
        <v/>
      </c>
      <c r="D1372" s="17" t="str">
        <f>IFERROR(__xludf.DUMMYFUNCTION("""COMPUTED_VALUE"""),"")</f>
        <v/>
      </c>
      <c r="E1372" s="17" t="str">
        <f>IFERROR(__xludf.DUMMYFUNCTION("""COMPUTED_VALUE"""),"")</f>
        <v/>
      </c>
      <c r="F1372" s="17" t="str">
        <f>IFERROR(__xludf.DUMMYFUNCTION("""COMPUTED_VALUE"""),"")</f>
        <v/>
      </c>
      <c r="G1372" s="17" t="str">
        <f>IFERROR(__xludf.DUMMYFUNCTION("""COMPUTED_VALUE"""),"")</f>
        <v/>
      </c>
      <c r="H1372" s="17" t="str">
        <f>IFERROR(__xludf.DUMMYFUNCTION("""COMPUTED_VALUE"""),"")</f>
        <v/>
      </c>
      <c r="I1372" s="17" t="str">
        <f>IFERROR(__xludf.DUMMYFUNCTION("""COMPUTED_VALUE"""),"")</f>
        <v/>
      </c>
      <c r="J1372" s="17" t="str">
        <f>IFERROR(__xludf.DUMMYFUNCTION("""COMPUTED_VALUE"""),"")</f>
        <v/>
      </c>
      <c r="K1372" s="17" t="str">
        <f>IFERROR(__xludf.DUMMYFUNCTION("""COMPUTED_VALUE"""),"")</f>
        <v/>
      </c>
      <c r="L1372" s="17" t="str">
        <f>IFERROR(__xludf.DUMMYFUNCTION("""COMPUTED_VALUE"""),"")</f>
        <v/>
      </c>
      <c r="M1372" s="17" t="str">
        <f>IFERROR(__xludf.DUMMYFUNCTION("""COMPUTED_VALUE"""),"")</f>
        <v/>
      </c>
      <c r="N1372" s="17" t="str">
        <f>IFERROR(__xludf.DUMMYFUNCTION("""COMPUTED_VALUE"""),"")</f>
        <v/>
      </c>
      <c r="O1372" s="17" t="str">
        <f>IFERROR(__xludf.DUMMYFUNCTION("""COMPUTED_VALUE"""),"")</f>
        <v/>
      </c>
      <c r="P1372" s="17" t="str">
        <f>IFERROR(__xludf.DUMMYFUNCTION("""COMPUTED_VALUE"""),"")</f>
        <v/>
      </c>
      <c r="Q1372" s="17" t="str">
        <f>IFERROR(__xludf.DUMMYFUNCTION("""COMPUTED_VALUE"""),"")</f>
        <v/>
      </c>
      <c r="R1372" s="17" t="str">
        <f>IFERROR(__xludf.DUMMYFUNCTION("""COMPUTED_VALUE"""),"")</f>
        <v/>
      </c>
    </row>
    <row r="1373">
      <c r="A1373" s="15">
        <f>IFERROR(__xludf.DUMMYFUNCTION("""COMPUTED_VALUE"""),45041.0)</f>
        <v>45041</v>
      </c>
      <c r="B1373" s="16" t="str">
        <f>IFERROR(__xludf.DUMMYFUNCTION("""COMPUTED_VALUE"""),"Duvan Gabriel Alvarez Giron")</f>
        <v>Duvan Gabriel Alvarez Giron</v>
      </c>
      <c r="C1373" s="15" t="str">
        <f>IFERROR(__xludf.DUMMYFUNCTION("""COMPUTED_VALUE"""),"GIRÓN")</f>
        <v>GIRÓN</v>
      </c>
      <c r="D1373" s="15" t="str">
        <f>IFERROR(__xludf.DUMMYFUNCTION("""COMPUTED_VALUE"""),"BOGOTÁ")</f>
        <v>BOGOTÁ</v>
      </c>
      <c r="E1373" s="15" t="str">
        <f>IFERROR(__xludf.DUMMYFUNCTION("""COMPUTED_VALUE"""),"Evamazzita")</f>
        <v>Evamazzita</v>
      </c>
      <c r="F1373" s="17" t="str">
        <f>IFERROR(__xludf.DUMMYFUNCTION("""COMPUTED_VALUE"""),"Calle 22#15-38  / T3 A924  / Conj Los Robles")</f>
        <v>Calle 22#15-38  / T3 A924  / Conj Los Robles</v>
      </c>
      <c r="G1373" s="15" t="str">
        <f>IFERROR(__xludf.DUMMYFUNCTION("""COMPUTED_VALUE"""),"KAROLL MARCELA VARGAS ZAMBRANO")</f>
        <v>KAROLL MARCELA VARGAS ZAMBRANO</v>
      </c>
      <c r="H1373" s="16">
        <f>IFERROR(__xludf.DUMMYFUNCTION("""COMPUTED_VALUE"""),10034.0)</f>
        <v>10034</v>
      </c>
      <c r="I1373" s="18">
        <f>IFERROR(__xludf.DUMMYFUNCTION("""COMPUTED_VALUE"""),10.0)</f>
        <v>10</v>
      </c>
      <c r="J1373" s="18">
        <f>IFERROR(__xludf.DUMMYFUNCTION("""COMPUTED_VALUE"""),25.0)</f>
        <v>25</v>
      </c>
      <c r="K1373" s="18">
        <f>IFERROR(__xludf.DUMMYFUNCTION("""COMPUTED_VALUE"""),23.0)</f>
        <v>23</v>
      </c>
      <c r="L1373" s="17">
        <f>IFERROR(__xludf.DUMMYFUNCTION("""COMPUTED_VALUE"""),3.043370015E9)</f>
        <v>3043370015</v>
      </c>
      <c r="M1373" s="17" t="str">
        <f>IFERROR(__xludf.DUMMYFUNCTION("""COMPUTED_VALUE"""),"#REF!")</f>
        <v>#REF!</v>
      </c>
      <c r="N1373" s="17"/>
      <c r="O1373" s="19" t="str">
        <f>IFERROR(__xludf.DUMMYFUNCTION("""COMPUTED_VALUE"""),"")</f>
        <v/>
      </c>
      <c r="P1373" s="17" t="b">
        <f>IFERROR(__xludf.DUMMYFUNCTION("""COMPUTED_VALUE"""),FALSE)</f>
        <v>0</v>
      </c>
      <c r="Q1373" s="20" t="str">
        <f>IFERROR(__xludf.DUMMYFUNCTION("""COMPUTED_VALUE"""),"")</f>
        <v/>
      </c>
      <c r="R1373" s="22" t="str">
        <f>IFERROR(__xludf.DUMMYFUNCTION("""COMPUTED_VALUE"""),"")</f>
        <v/>
      </c>
    </row>
    <row r="1374">
      <c r="A1374" s="15">
        <f>IFERROR(__xludf.DUMMYFUNCTION("""COMPUTED_VALUE"""),45041.0)</f>
        <v>45041</v>
      </c>
      <c r="B1374" s="16" t="str">
        <f>IFERROR(__xludf.DUMMYFUNCTION("""COMPUTED_VALUE"""),"Duvan Gabriel Alvarez Giron")</f>
        <v>Duvan Gabriel Alvarez Giron</v>
      </c>
      <c r="C1374" s="15" t="str">
        <f>IFERROR(__xludf.DUMMYFUNCTION("""COMPUTED_VALUE"""),"IBAGUÉ")</f>
        <v>IBAGUÉ</v>
      </c>
      <c r="D1374" s="15" t="str">
        <f>IFERROR(__xludf.DUMMYFUNCTION("""COMPUTED_VALUE"""),"BOGOTÁ")</f>
        <v>BOGOTÁ</v>
      </c>
      <c r="E1374" s="15" t="str">
        <f>IFERROR(__xludf.DUMMYFUNCTION("""COMPUTED_VALUE"""),"Evamazzita")</f>
        <v>Evamazzita</v>
      </c>
      <c r="F1374" s="17" t="str">
        <f>IFERROR(__xludf.DUMMYFUNCTION("""COMPUTED_VALUE"""),"CARREERA 11 A # 35 - 62 / N/A / BARRIO GAITÁN PARTE ALTA")</f>
        <v>CARREERA 11 A # 35 - 62 / N/A / BARRIO GAITÁN PARTE ALTA</v>
      </c>
      <c r="G1374" s="15" t="str">
        <f>IFERROR(__xludf.DUMMYFUNCTION("""COMPUTED_VALUE"""),"JORGE BERNARDO TORRES")</f>
        <v>JORGE BERNARDO TORRES</v>
      </c>
      <c r="H1374" s="16">
        <f>IFERROR(__xludf.DUMMYFUNCTION("""COMPUTED_VALUE"""),10032.0)</f>
        <v>10032</v>
      </c>
      <c r="I1374" s="18">
        <f>IFERROR(__xludf.DUMMYFUNCTION("""COMPUTED_VALUE"""),17.0)</f>
        <v>17</v>
      </c>
      <c r="J1374" s="18">
        <f>IFERROR(__xludf.DUMMYFUNCTION("""COMPUTED_VALUE"""),27.0)</f>
        <v>27</v>
      </c>
      <c r="K1374" s="18">
        <f>IFERROR(__xludf.DUMMYFUNCTION("""COMPUTED_VALUE"""),28.0)</f>
        <v>28</v>
      </c>
      <c r="L1374" s="17">
        <f>IFERROR(__xludf.DUMMYFUNCTION("""COMPUTED_VALUE"""),3.144530156E9)</f>
        <v>3144530156</v>
      </c>
      <c r="M1374" s="17" t="str">
        <f>IFERROR(__xludf.DUMMYFUNCTION("""COMPUTED_VALUE"""),"#REF!")</f>
        <v>#REF!</v>
      </c>
      <c r="N1374" s="17"/>
      <c r="O1374" s="19" t="str">
        <f>IFERROR(__xludf.DUMMYFUNCTION("""COMPUTED_VALUE"""),"")</f>
        <v/>
      </c>
      <c r="P1374" s="17" t="b">
        <f>IFERROR(__xludf.DUMMYFUNCTION("""COMPUTED_VALUE"""),FALSE)</f>
        <v>0</v>
      </c>
      <c r="Q1374" s="20" t="str">
        <f>IFERROR(__xludf.DUMMYFUNCTION("""COMPUTED_VALUE"""),"")</f>
        <v/>
      </c>
      <c r="R1374" s="22" t="str">
        <f>IFERROR(__xludf.DUMMYFUNCTION("""COMPUTED_VALUE"""),"")</f>
        <v/>
      </c>
    </row>
    <row r="1375">
      <c r="A1375" s="15">
        <f>IFERROR(__xludf.DUMMYFUNCTION("""COMPUTED_VALUE"""),45041.0)</f>
        <v>45041</v>
      </c>
      <c r="B1375" s="16" t="str">
        <f>IFERROR(__xludf.DUMMYFUNCTION("""COMPUTED_VALUE"""),"Duvan Gabriel Alvarez Giron")</f>
        <v>Duvan Gabriel Alvarez Giron</v>
      </c>
      <c r="C1375" s="15" t="str">
        <f>IFERROR(__xludf.DUMMYFUNCTION("""COMPUTED_VALUE"""),"IBAGUÉ")</f>
        <v>IBAGUÉ</v>
      </c>
      <c r="D1375" s="15" t="str">
        <f>IFERROR(__xludf.DUMMYFUNCTION("""COMPUTED_VALUE"""),"BOGOTÁ")</f>
        <v>BOGOTÁ</v>
      </c>
      <c r="E1375" s="15" t="str">
        <f>IFERROR(__xludf.DUMMYFUNCTION("""COMPUTED_VALUE"""),"Ins. Alimento Vital")</f>
        <v>Ins. Alimento Vital</v>
      </c>
      <c r="F1375" s="17" t="str">
        <f>IFERROR(__xludf.DUMMYFUNCTION("""COMPUTED_VALUE"""),"CASA 4 B MANZANA 4 ALAMEDA LA CAMPIÑA / ALAMEDA LA CAMPIÑA / SECTOR CALATAYUD")</f>
        <v>CASA 4 B MANZANA 4 ALAMEDA LA CAMPIÑA / ALAMEDA LA CAMPIÑA / SECTOR CALATAYUD</v>
      </c>
      <c r="G1375" s="15" t="str">
        <f>IFERROR(__xludf.DUMMYFUNCTION("""COMPUTED_VALUE"""),"JESUS DAVID DELGADO TASCON")</f>
        <v>JESUS DAVID DELGADO TASCON</v>
      </c>
      <c r="H1375" s="16">
        <f>IFERROR(__xludf.DUMMYFUNCTION("""COMPUTED_VALUE"""),10026.0)</f>
        <v>10026</v>
      </c>
      <c r="I1375" s="18">
        <f>IFERROR(__xludf.DUMMYFUNCTION("""COMPUTED_VALUE"""),1.0)</f>
        <v>1</v>
      </c>
      <c r="J1375" s="18">
        <f>IFERROR(__xludf.DUMMYFUNCTION("""COMPUTED_VALUE"""),1.0)</f>
        <v>1</v>
      </c>
      <c r="K1375" s="18">
        <f>IFERROR(__xludf.DUMMYFUNCTION("""COMPUTED_VALUE"""),1.0)</f>
        <v>1</v>
      </c>
      <c r="L1375" s="17">
        <f>IFERROR(__xludf.DUMMYFUNCTION("""COMPUTED_VALUE"""),3.196515049E9)</f>
        <v>3196515049</v>
      </c>
      <c r="M1375" s="17" t="str">
        <f>IFERROR(__xludf.DUMMYFUNCTION("""COMPUTED_VALUE"""),"#REF!")</f>
        <v>#REF!</v>
      </c>
      <c r="N1375" s="17"/>
      <c r="O1375" s="19" t="str">
        <f>IFERROR(__xludf.DUMMYFUNCTION("""COMPUTED_VALUE"""),"")</f>
        <v/>
      </c>
      <c r="P1375" s="17" t="b">
        <f>IFERROR(__xludf.DUMMYFUNCTION("""COMPUTED_VALUE"""),FALSE)</f>
        <v>0</v>
      </c>
      <c r="Q1375" s="20" t="str">
        <f>IFERROR(__xludf.DUMMYFUNCTION("""COMPUTED_VALUE"""),"")</f>
        <v/>
      </c>
      <c r="R1375" s="22" t="str">
        <f>IFERROR(__xludf.DUMMYFUNCTION("""COMPUTED_VALUE"""),"")</f>
        <v/>
      </c>
    </row>
    <row r="1376">
      <c r="A1376" s="15">
        <f>IFERROR(__xludf.DUMMYFUNCTION("""COMPUTED_VALUE"""),45041.0)</f>
        <v>45041</v>
      </c>
      <c r="B1376" s="16" t="str">
        <f>IFERROR(__xludf.DUMMYFUNCTION("""COMPUTED_VALUE"""),"Duvan Gabriel Alvarez Giron")</f>
        <v>Duvan Gabriel Alvarez Giron</v>
      </c>
      <c r="C1376" s="15" t="str">
        <f>IFERROR(__xludf.DUMMYFUNCTION("""COMPUTED_VALUE"""),"IBAGUÉ")</f>
        <v>IBAGUÉ</v>
      </c>
      <c r="D1376" s="15" t="str">
        <f>IFERROR(__xludf.DUMMYFUNCTION("""COMPUTED_VALUE"""),"BOGOTÁ")</f>
        <v>BOGOTÁ</v>
      </c>
      <c r="E1376" s="15" t="str">
        <f>IFERROR(__xludf.DUMMYFUNCTION("""COMPUTED_VALUE"""),"Pan de Waffle")</f>
        <v>Pan de Waffle</v>
      </c>
      <c r="F1376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1376" s="15" t="str">
        <f>IFERROR(__xludf.DUMMYFUNCTION("""COMPUTED_VALUE"""),"SOY NATURAL MARKET")</f>
        <v>SOY NATURAL MARKET</v>
      </c>
      <c r="H1376" s="16">
        <f>IFERROR(__xludf.DUMMYFUNCTION("""COMPUTED_VALUE"""),10084.0)</f>
        <v>10084</v>
      </c>
      <c r="I1376" s="18">
        <f>IFERROR(__xludf.DUMMYFUNCTION("""COMPUTED_VALUE"""),30.0)</f>
        <v>30</v>
      </c>
      <c r="J1376" s="18">
        <f>IFERROR(__xludf.DUMMYFUNCTION("""COMPUTED_VALUE"""),30.0)</f>
        <v>30</v>
      </c>
      <c r="K1376" s="18">
        <f>IFERROR(__xludf.DUMMYFUNCTION("""COMPUTED_VALUE"""),40.0)</f>
        <v>40</v>
      </c>
      <c r="L1376" s="17">
        <f>IFERROR(__xludf.DUMMYFUNCTION("""COMPUTED_VALUE"""),3.208565148E9)</f>
        <v>3208565148</v>
      </c>
      <c r="M1376" s="17" t="str">
        <f>IFERROR(__xludf.DUMMYFUNCTION("""COMPUTED_VALUE"""),"#REF!")</f>
        <v>#REF!</v>
      </c>
      <c r="N1376" s="17"/>
      <c r="O1376" s="19" t="str">
        <f>IFERROR(__xludf.DUMMYFUNCTION("""COMPUTED_VALUE"""),"")</f>
        <v/>
      </c>
      <c r="P1376" s="17" t="b">
        <f>IFERROR(__xludf.DUMMYFUNCTION("""COMPUTED_VALUE"""),FALSE)</f>
        <v>0</v>
      </c>
      <c r="Q1376" s="20" t="str">
        <f>IFERROR(__xludf.DUMMYFUNCTION("""COMPUTED_VALUE"""),"")</f>
        <v/>
      </c>
      <c r="R1376" s="22" t="str">
        <f>IFERROR(__xludf.DUMMYFUNCTION("""COMPUTED_VALUE"""),"")</f>
        <v/>
      </c>
    </row>
    <row r="1377">
      <c r="A1377" s="15">
        <f>IFERROR(__xludf.DUMMYFUNCTION("""COMPUTED_VALUE"""),45041.0)</f>
        <v>45041</v>
      </c>
      <c r="B1377" s="16" t="str">
        <f>IFERROR(__xludf.DUMMYFUNCTION("""COMPUTED_VALUE"""),"Duvan Gabriel Alvarez Giron")</f>
        <v>Duvan Gabriel Alvarez Giron</v>
      </c>
      <c r="C1377" s="15" t="str">
        <f>IFERROR(__xludf.DUMMYFUNCTION("""COMPUTED_VALUE"""),"IBAGUÉ")</f>
        <v>IBAGUÉ</v>
      </c>
      <c r="D1377" s="15" t="str">
        <f>IFERROR(__xludf.DUMMYFUNCTION("""COMPUTED_VALUE"""),"BOGOTÁ")</f>
        <v>BOGOTÁ</v>
      </c>
      <c r="E1377" s="15" t="str">
        <f>IFERROR(__xludf.DUMMYFUNCTION("""COMPUTED_VALUE"""),"Ventura Productos Arg")</f>
        <v>Ventura Productos Arg</v>
      </c>
      <c r="F1377" s="17" t="str">
        <f>IFERROR(__xludf.DUMMYFUNCTION("""COMPUTED_VALUE"""),"Calle 53 #7-33 / Conjunto Los Molinos, Casa 48")</f>
        <v>Calle 53 #7-33 / Conjunto Los Molinos, Casa 48</v>
      </c>
      <c r="G1377" s="15" t="str">
        <f>IFERROR(__xludf.DUMMYFUNCTION("""COMPUTED_VALUE"""),"Cesar Parra")</f>
        <v>Cesar Parra</v>
      </c>
      <c r="H1377" s="16">
        <f>IFERROR(__xludf.DUMMYFUNCTION("""COMPUTED_VALUE"""),9998.0)</f>
        <v>9998</v>
      </c>
      <c r="I1377" s="18">
        <f>IFERROR(__xludf.DUMMYFUNCTION("""COMPUTED_VALUE"""),22.0)</f>
        <v>22</v>
      </c>
      <c r="J1377" s="18">
        <f>IFERROR(__xludf.DUMMYFUNCTION("""COMPUTED_VALUE"""),17.0)</f>
        <v>17</v>
      </c>
      <c r="K1377" s="18">
        <f>IFERROR(__xludf.DUMMYFUNCTION("""COMPUTED_VALUE"""),8.0)</f>
        <v>8</v>
      </c>
      <c r="L1377" s="17">
        <f>IFERROR(__xludf.DUMMYFUNCTION("""COMPUTED_VALUE"""),3.155701942E9)</f>
        <v>3155701942</v>
      </c>
      <c r="M1377" s="17" t="str">
        <f>IFERROR(__xludf.DUMMYFUNCTION("""COMPUTED_VALUE"""),"#REF!")</f>
        <v>#REF!</v>
      </c>
      <c r="N1377" s="17"/>
      <c r="O1377" s="19" t="str">
        <f>IFERROR(__xludf.DUMMYFUNCTION("""COMPUTED_VALUE"""),"")</f>
        <v/>
      </c>
      <c r="P1377" s="17" t="b">
        <f>IFERROR(__xludf.DUMMYFUNCTION("""COMPUTED_VALUE"""),FALSE)</f>
        <v>0</v>
      </c>
      <c r="Q1377" s="20" t="str">
        <f>IFERROR(__xludf.DUMMYFUNCTION("""COMPUTED_VALUE"""),"")</f>
        <v/>
      </c>
      <c r="R1377" s="22" t="str">
        <f>IFERROR(__xludf.DUMMYFUNCTION("""COMPUTED_VALUE"""),"")</f>
        <v/>
      </c>
    </row>
    <row r="1378">
      <c r="A1378" s="15">
        <f>IFERROR(__xludf.DUMMYFUNCTION("""COMPUTED_VALUE"""),45041.0)</f>
        <v>45041</v>
      </c>
      <c r="B1378" s="16" t="str">
        <f>IFERROR(__xludf.DUMMYFUNCTION("""COMPUTED_VALUE"""),"Duvan Gabriel Alvarez Giron")</f>
        <v>Duvan Gabriel Alvarez Giron</v>
      </c>
      <c r="C1378" s="15" t="str">
        <f>IFERROR(__xludf.DUMMYFUNCTION("""COMPUTED_VALUE"""),"IBAGUÉ")</f>
        <v>IBAGUÉ</v>
      </c>
      <c r="D1378" s="15" t="str">
        <f>IFERROR(__xludf.DUMMYFUNCTION("""COMPUTED_VALUE"""),"MEDELLÍN")</f>
        <v>MEDELLÍN</v>
      </c>
      <c r="E1378" s="15" t="str">
        <f>IFERROR(__xludf.DUMMYFUNCTION("""COMPUTED_VALUE"""),"AREPAS LA MARY")</f>
        <v>AREPAS LA MARY</v>
      </c>
      <c r="F1378" s="17" t="str">
        <f>IFERROR(__xludf.DUMMYFUNCTION("""COMPUTED_VALUE"""),"cra 14 # 75 a 29 / local 5 estancia del vergel")</f>
        <v>cra 14 # 75 a 29 / local 5 estancia del vergel</v>
      </c>
      <c r="G1378" s="15" t="str">
        <f>IFERROR(__xludf.DUMMYFUNCTION("""COMPUTED_VALUE"""),"soy natural market")</f>
        <v>soy natural market</v>
      </c>
      <c r="H1378" s="16">
        <f>IFERROR(__xludf.DUMMYFUNCTION("""COMPUTED_VALUE"""),10070.0)</f>
        <v>10070</v>
      </c>
      <c r="I1378" s="18">
        <f>IFERROR(__xludf.DUMMYFUNCTION("""COMPUTED_VALUE"""),89.0)</f>
        <v>89</v>
      </c>
      <c r="J1378" s="18">
        <f>IFERROR(__xludf.DUMMYFUNCTION("""COMPUTED_VALUE"""),1.0)</f>
        <v>1</v>
      </c>
      <c r="K1378" s="18">
        <f>IFERROR(__xludf.DUMMYFUNCTION("""COMPUTED_VALUE"""),10.0)</f>
        <v>10</v>
      </c>
      <c r="L1378" s="17">
        <f>IFERROR(__xludf.DUMMYFUNCTION("""COMPUTED_VALUE"""),3.177002909E9)</f>
        <v>3177002909</v>
      </c>
      <c r="M1378" s="17" t="str">
        <f>IFERROR(__xludf.DUMMYFUNCTION("""COMPUTED_VALUE"""),"#REF!")</f>
        <v>#REF!</v>
      </c>
      <c r="N1378" s="17"/>
      <c r="O1378" s="19" t="str">
        <f>IFERROR(__xludf.DUMMYFUNCTION("""COMPUTED_VALUE"""),"")</f>
        <v/>
      </c>
      <c r="P1378" s="17" t="b">
        <f>IFERROR(__xludf.DUMMYFUNCTION("""COMPUTED_VALUE"""),FALSE)</f>
        <v>0</v>
      </c>
      <c r="Q1378" s="20" t="str">
        <f>IFERROR(__xludf.DUMMYFUNCTION("""COMPUTED_VALUE"""),"")</f>
        <v/>
      </c>
      <c r="R1378" s="22" t="str">
        <f>IFERROR(__xludf.DUMMYFUNCTION("""COMPUTED_VALUE"""),"")</f>
        <v/>
      </c>
    </row>
    <row r="1379">
      <c r="A1379" s="17" t="str">
        <f>IFERROR(__xludf.DUMMYFUNCTION("""COMPUTED_VALUE"""),"")</f>
        <v/>
      </c>
      <c r="B1379" s="17" t="str">
        <f>IFERROR(__xludf.DUMMYFUNCTION("""COMPUTED_VALUE"""),"")</f>
        <v/>
      </c>
      <c r="C1379" s="17" t="str">
        <f>IFERROR(__xludf.DUMMYFUNCTION("""COMPUTED_VALUE"""),"")</f>
        <v/>
      </c>
      <c r="D1379" s="17" t="str">
        <f>IFERROR(__xludf.DUMMYFUNCTION("""COMPUTED_VALUE"""),"")</f>
        <v/>
      </c>
      <c r="E1379" s="17" t="str">
        <f>IFERROR(__xludf.DUMMYFUNCTION("""COMPUTED_VALUE"""),"")</f>
        <v/>
      </c>
      <c r="F1379" s="17" t="str">
        <f>IFERROR(__xludf.DUMMYFUNCTION("""COMPUTED_VALUE"""),"")</f>
        <v/>
      </c>
      <c r="G1379" s="17" t="str">
        <f>IFERROR(__xludf.DUMMYFUNCTION("""COMPUTED_VALUE"""),"")</f>
        <v/>
      </c>
      <c r="H1379" s="17" t="str">
        <f>IFERROR(__xludf.DUMMYFUNCTION("""COMPUTED_VALUE"""),"")</f>
        <v/>
      </c>
      <c r="I1379" s="17" t="str">
        <f>IFERROR(__xludf.DUMMYFUNCTION("""COMPUTED_VALUE"""),"")</f>
        <v/>
      </c>
      <c r="J1379" s="17" t="str">
        <f>IFERROR(__xludf.DUMMYFUNCTION("""COMPUTED_VALUE"""),"")</f>
        <v/>
      </c>
      <c r="K1379" s="17" t="str">
        <f>IFERROR(__xludf.DUMMYFUNCTION("""COMPUTED_VALUE"""),"")</f>
        <v/>
      </c>
      <c r="L1379" s="17" t="str">
        <f>IFERROR(__xludf.DUMMYFUNCTION("""COMPUTED_VALUE"""),"")</f>
        <v/>
      </c>
      <c r="M1379" s="17" t="str">
        <f>IFERROR(__xludf.DUMMYFUNCTION("""COMPUTED_VALUE"""),"")</f>
        <v/>
      </c>
      <c r="N1379" s="17" t="str">
        <f>IFERROR(__xludf.DUMMYFUNCTION("""COMPUTED_VALUE"""),"")</f>
        <v/>
      </c>
      <c r="O1379" s="17" t="str">
        <f>IFERROR(__xludf.DUMMYFUNCTION("""COMPUTED_VALUE"""),"")</f>
        <v/>
      </c>
      <c r="P1379" s="17" t="str">
        <f>IFERROR(__xludf.DUMMYFUNCTION("""COMPUTED_VALUE"""),"")</f>
        <v/>
      </c>
      <c r="Q1379" s="17" t="str">
        <f>IFERROR(__xludf.DUMMYFUNCTION("""COMPUTED_VALUE"""),"")</f>
        <v/>
      </c>
      <c r="R1379" s="17" t="str">
        <f>IFERROR(__xludf.DUMMYFUNCTION("""COMPUTED_VALUE"""),"")</f>
        <v/>
      </c>
    </row>
    <row r="1380">
      <c r="A1380" s="15">
        <f>IFERROR(__xludf.DUMMYFUNCTION("""COMPUTED_VALUE"""),45041.0)</f>
        <v>45041</v>
      </c>
      <c r="B1380" s="16" t="str">
        <f>IFERROR(__xludf.DUMMYFUNCTION("""COMPUTED_VALUE"""),"Envia")</f>
        <v>Envia</v>
      </c>
      <c r="C1380" s="15" t="str">
        <f>IFERROR(__xludf.DUMMYFUNCTION("""COMPUTED_VALUE"""),"BOGOTÁ")</f>
        <v>BOGOTÁ</v>
      </c>
      <c r="D1380" s="15" t="str">
        <f>IFERROR(__xludf.DUMMYFUNCTION("""COMPUTED_VALUE"""),"MEDELLÍN")</f>
        <v>MEDELLÍN</v>
      </c>
      <c r="E1380" s="15" t="str">
        <f>IFERROR(__xludf.DUMMYFUNCTION("""COMPUTED_VALUE"""),"Puro Verde")</f>
        <v>Puro Verde</v>
      </c>
      <c r="F1380" s="17" t="str">
        <f>IFERROR(__xludf.DUMMYFUNCTION("""COMPUTED_VALUE"""),"AV CRA 15 # 90-20 / LOCAL 109 / BARRIO CHICO")</f>
        <v>AV CRA 15 # 90-20 / LOCAL 109 / BARRIO CHICO</v>
      </c>
      <c r="G1380" s="15" t="str">
        <f>IFERROR(__xludf.DUMMYFUNCTION("""COMPUTED_VALUE"""),"DANDO CUERDA")</f>
        <v>DANDO CUERDA</v>
      </c>
      <c r="H1380" s="16">
        <f>IFERROR(__xludf.DUMMYFUNCTION("""COMPUTED_VALUE"""),10086.0)</f>
        <v>10086</v>
      </c>
      <c r="I1380" s="18">
        <f>IFERROR(__xludf.DUMMYFUNCTION("""COMPUTED_VALUE"""),67.0)</f>
        <v>67</v>
      </c>
      <c r="J1380" s="18">
        <f>IFERROR(__xludf.DUMMYFUNCTION("""COMPUTED_VALUE"""),65.0)</f>
        <v>65</v>
      </c>
      <c r="K1380" s="18">
        <f>IFERROR(__xludf.DUMMYFUNCTION("""COMPUTED_VALUE"""),55.0)</f>
        <v>55</v>
      </c>
      <c r="L1380" s="17">
        <f>IFERROR(__xludf.DUMMYFUNCTION("""COMPUTED_VALUE"""),3.163816691E9)</f>
        <v>3163816691</v>
      </c>
      <c r="M1380" s="17" t="str">
        <f>IFERROR(__xludf.DUMMYFUNCTION("""COMPUTED_VALUE"""),"#REF!")</f>
        <v>#REF!</v>
      </c>
      <c r="N1380" s="17"/>
      <c r="O1380" s="19" t="str">
        <f>IFERROR(__xludf.DUMMYFUNCTION("""COMPUTED_VALUE"""),"")</f>
        <v/>
      </c>
      <c r="P1380" s="17" t="b">
        <f>IFERROR(__xludf.DUMMYFUNCTION("""COMPUTED_VALUE"""),FALSE)</f>
        <v>0</v>
      </c>
      <c r="Q1380" s="20" t="str">
        <f>IFERROR(__xludf.DUMMYFUNCTION("""COMPUTED_VALUE"""),"")</f>
        <v/>
      </c>
      <c r="R1380" s="22" t="str">
        <f>IFERROR(__xludf.DUMMYFUNCTION("""COMPUTED_VALUE"""),"")</f>
        <v/>
      </c>
    </row>
    <row r="1381">
      <c r="A1381" s="15">
        <f>IFERROR(__xludf.DUMMYFUNCTION("""COMPUTED_VALUE"""),45041.0)</f>
        <v>45041</v>
      </c>
      <c r="B1381" s="16" t="str">
        <f>IFERROR(__xludf.DUMMYFUNCTION("""COMPUTED_VALUE"""),"Envia")</f>
        <v>Envia</v>
      </c>
      <c r="C1381" s="15" t="str">
        <f>IFERROR(__xludf.DUMMYFUNCTION("""COMPUTED_VALUE"""),"BUCARAMANGA")</f>
        <v>BUCARAMANGA</v>
      </c>
      <c r="D1381" s="15" t="str">
        <f>IFERROR(__xludf.DUMMYFUNCTION("""COMPUTED_VALUE"""),"MEDELLÍN")</f>
        <v>MEDELLÍN</v>
      </c>
      <c r="E1381" s="15" t="str">
        <f>IFERROR(__xludf.DUMMYFUNCTION("""COMPUTED_VALUE"""),"AREPAS LA MARY")</f>
        <v>AREPAS LA MARY</v>
      </c>
      <c r="F1381" s="17" t="str">
        <f>IFERROR(__xludf.DUMMYFUNCTION("""COMPUTED_VALUE"""),"calle 34 # 22-46 / edificio picasso cubismo t2 apto 604")</f>
        <v>calle 34 # 22-46 / edificio picasso cubismo t2 apto 604</v>
      </c>
      <c r="G1381" s="15" t="str">
        <f>IFERROR(__xludf.DUMMYFUNCTION("""COMPUTED_VALUE"""),"PANERA BUCARAMANGA")</f>
        <v>PANERA BUCARAMANGA</v>
      </c>
      <c r="H1381" s="16">
        <f>IFERROR(__xludf.DUMMYFUNCTION("""COMPUTED_VALUE"""),10090.0)</f>
        <v>10090</v>
      </c>
      <c r="I1381" s="18">
        <f>IFERROR(__xludf.DUMMYFUNCTION("""COMPUTED_VALUE"""),89.0)</f>
        <v>89</v>
      </c>
      <c r="J1381" s="18">
        <f>IFERROR(__xludf.DUMMYFUNCTION("""COMPUTED_VALUE"""),1.0)</f>
        <v>1</v>
      </c>
      <c r="K1381" s="18">
        <f>IFERROR(__xludf.DUMMYFUNCTION("""COMPUTED_VALUE"""),10.0)</f>
        <v>10</v>
      </c>
      <c r="L1381" s="17">
        <f>IFERROR(__xludf.DUMMYFUNCTION("""COMPUTED_VALUE"""),3.213260509E9)</f>
        <v>3213260509</v>
      </c>
      <c r="M1381" s="17" t="str">
        <f>IFERROR(__xludf.DUMMYFUNCTION("""COMPUTED_VALUE"""),"#REF!")</f>
        <v>#REF!</v>
      </c>
      <c r="N1381" s="17"/>
      <c r="O1381" s="19" t="str">
        <f>IFERROR(__xludf.DUMMYFUNCTION("""COMPUTED_VALUE"""),"")</f>
        <v/>
      </c>
      <c r="P1381" s="17" t="b">
        <f>IFERROR(__xludf.DUMMYFUNCTION("""COMPUTED_VALUE"""),FALSE)</f>
        <v>0</v>
      </c>
      <c r="Q1381" s="20" t="str">
        <f>IFERROR(__xludf.DUMMYFUNCTION("""COMPUTED_VALUE"""),"")</f>
        <v/>
      </c>
      <c r="R1381" s="22" t="str">
        <f>IFERROR(__xludf.DUMMYFUNCTION("""COMPUTED_VALUE"""),"")</f>
        <v/>
      </c>
    </row>
    <row r="1382">
      <c r="A1382" s="15">
        <f>IFERROR(__xludf.DUMMYFUNCTION("""COMPUTED_VALUE"""),45041.0)</f>
        <v>45041</v>
      </c>
      <c r="B1382" s="16" t="str">
        <f>IFERROR(__xludf.DUMMYFUNCTION("""COMPUTED_VALUE"""),"Envia")</f>
        <v>Envia</v>
      </c>
      <c r="C1382" s="15" t="str">
        <f>IFERROR(__xludf.DUMMYFUNCTION("""COMPUTED_VALUE"""),"CALI")</f>
        <v>CALI</v>
      </c>
      <c r="D1382" s="15" t="str">
        <f>IFERROR(__xludf.DUMMYFUNCTION("""COMPUTED_VALUE"""),"BOGOTÁ")</f>
        <v>BOGOTÁ</v>
      </c>
      <c r="E1382" s="15" t="str">
        <f>IFERROR(__xludf.DUMMYFUNCTION("""COMPUTED_VALUE"""),"Evamazzita")</f>
        <v>Evamazzita</v>
      </c>
      <c r="F1382" s="17" t="str">
        <f>IFERROR(__xludf.DUMMYFUNCTION("""COMPUTED_VALUE"""),"Carrera 83 # 13b-170  / casa 20 Los Rosales  / barrio el ingenio")</f>
        <v>Carrera 83 # 13b-170  / casa 20 Los Rosales  / barrio el ingenio</v>
      </c>
      <c r="G1382" s="15" t="str">
        <f>IFERROR(__xludf.DUMMYFUNCTION("""COMPUTED_VALUE"""),"VALENTINA GUTIERREZ")</f>
        <v>VALENTINA GUTIERREZ</v>
      </c>
      <c r="H1382" s="16">
        <f>IFERROR(__xludf.DUMMYFUNCTION("""COMPUTED_VALUE"""),10036.0)</f>
        <v>10036</v>
      </c>
      <c r="I1382" s="18">
        <f>IFERROR(__xludf.DUMMYFUNCTION("""COMPUTED_VALUE"""),3.0)</f>
        <v>3</v>
      </c>
      <c r="J1382" s="18">
        <f>IFERROR(__xludf.DUMMYFUNCTION("""COMPUTED_VALUE"""),20.0)</f>
        <v>20</v>
      </c>
      <c r="K1382" s="18">
        <f>IFERROR(__xludf.DUMMYFUNCTION("""COMPUTED_VALUE"""),15.0)</f>
        <v>15</v>
      </c>
      <c r="L1382" s="17">
        <f>IFERROR(__xludf.DUMMYFUNCTION("""COMPUTED_VALUE"""),3.014785084E9)</f>
        <v>3014785084</v>
      </c>
      <c r="M1382" s="17" t="str">
        <f>IFERROR(__xludf.DUMMYFUNCTION("""COMPUTED_VALUE"""),"#REF!")</f>
        <v>#REF!</v>
      </c>
      <c r="N1382" s="17"/>
      <c r="O1382" s="19" t="str">
        <f>IFERROR(__xludf.DUMMYFUNCTION("""COMPUTED_VALUE"""),"")</f>
        <v/>
      </c>
      <c r="P1382" s="17" t="b">
        <f>IFERROR(__xludf.DUMMYFUNCTION("""COMPUTED_VALUE"""),FALSE)</f>
        <v>0</v>
      </c>
      <c r="Q1382" s="20" t="str">
        <f>IFERROR(__xludf.DUMMYFUNCTION("""COMPUTED_VALUE"""),"")</f>
        <v/>
      </c>
      <c r="R1382" s="22" t="str">
        <f>IFERROR(__xludf.DUMMYFUNCTION("""COMPUTED_VALUE"""),"")</f>
        <v/>
      </c>
    </row>
    <row r="1383">
      <c r="A1383" s="15">
        <f>IFERROR(__xludf.DUMMYFUNCTION("""COMPUTED_VALUE"""),45041.0)</f>
        <v>45041</v>
      </c>
      <c r="B1383" s="16" t="str">
        <f>IFERROR(__xludf.DUMMYFUNCTION("""COMPUTED_VALUE"""),"Envia")</f>
        <v>Envia</v>
      </c>
      <c r="C1383" s="15" t="str">
        <f>IFERROR(__xludf.DUMMYFUNCTION("""COMPUTED_VALUE"""),"CALI")</f>
        <v>CALI</v>
      </c>
      <c r="D1383" s="15" t="str">
        <f>IFERROR(__xludf.DUMMYFUNCTION("""COMPUTED_VALUE"""),"BOGOTÁ")</f>
        <v>BOGOTÁ</v>
      </c>
      <c r="E1383" s="15" t="str">
        <f>IFERROR(__xludf.DUMMYFUNCTION("""COMPUTED_VALUE"""),"Evamazzita")</f>
        <v>Evamazzita</v>
      </c>
      <c r="F1383" s="17" t="str">
        <f>IFERROR(__xludf.DUMMYFUNCTION("""COMPUTED_VALUE"""),"CRA 1C1 No. 52A BIS - 37  / N/A / BARRIO PALMERAS DEL NORTE")</f>
        <v>CRA 1C1 No. 52A BIS - 37  / N/A / BARRIO PALMERAS DEL NORTE</v>
      </c>
      <c r="G1383" s="15" t="str">
        <f>IFERROR(__xludf.DUMMYFUNCTION("""COMPUTED_VALUE"""),"SUSANA ARANDA")</f>
        <v>SUSANA ARANDA</v>
      </c>
      <c r="H1383" s="16">
        <f>IFERROR(__xludf.DUMMYFUNCTION("""COMPUTED_VALUE"""),10037.0)</f>
        <v>10037</v>
      </c>
      <c r="I1383" s="18">
        <f>IFERROR(__xludf.DUMMYFUNCTION("""COMPUTED_VALUE"""),3.0)</f>
        <v>3</v>
      </c>
      <c r="J1383" s="18">
        <f>IFERROR(__xludf.DUMMYFUNCTION("""COMPUTED_VALUE"""),20.0)</f>
        <v>20</v>
      </c>
      <c r="K1383" s="18">
        <f>IFERROR(__xludf.DUMMYFUNCTION("""COMPUTED_VALUE"""),15.0)</f>
        <v>15</v>
      </c>
      <c r="L1383" s="17">
        <f>IFERROR(__xludf.DUMMYFUNCTION("""COMPUTED_VALUE"""),3.178958402E9)</f>
        <v>3178958402</v>
      </c>
      <c r="M1383" s="17" t="str">
        <f>IFERROR(__xludf.DUMMYFUNCTION("""COMPUTED_VALUE"""),"#REF!")</f>
        <v>#REF!</v>
      </c>
      <c r="N1383" s="17"/>
      <c r="O1383" s="19" t="str">
        <f>IFERROR(__xludf.DUMMYFUNCTION("""COMPUTED_VALUE"""),"")</f>
        <v/>
      </c>
      <c r="P1383" s="17" t="b">
        <f>IFERROR(__xludf.DUMMYFUNCTION("""COMPUTED_VALUE"""),FALSE)</f>
        <v>0</v>
      </c>
      <c r="Q1383" s="20" t="str">
        <f>IFERROR(__xludf.DUMMYFUNCTION("""COMPUTED_VALUE"""),"")</f>
        <v/>
      </c>
      <c r="R1383" s="22" t="str">
        <f>IFERROR(__xludf.DUMMYFUNCTION("""COMPUTED_VALUE"""),"")</f>
        <v/>
      </c>
    </row>
    <row r="1384">
      <c r="A1384" s="15">
        <f>IFERROR(__xludf.DUMMYFUNCTION("""COMPUTED_VALUE"""),45041.0)</f>
        <v>45041</v>
      </c>
      <c r="B1384" s="16" t="str">
        <f>IFERROR(__xludf.DUMMYFUNCTION("""COMPUTED_VALUE"""),"Envia")</f>
        <v>Envia</v>
      </c>
      <c r="C1384" s="15" t="str">
        <f>IFERROR(__xludf.DUMMYFUNCTION("""COMPUTED_VALUE"""),"CALI")</f>
        <v>CALI</v>
      </c>
      <c r="D1384" s="15" t="str">
        <f>IFERROR(__xludf.DUMMYFUNCTION("""COMPUTED_VALUE"""),"BOGOTÁ")</f>
        <v>BOGOTÁ</v>
      </c>
      <c r="E1384" s="15" t="str">
        <f>IFERROR(__xludf.DUMMYFUNCTION("""COMPUTED_VALUE"""),"Viiva Fermentados")</f>
        <v>Viiva Fermentados</v>
      </c>
      <c r="F1384" s="17" t="str">
        <f>IFERROR(__xludf.DUMMYFUNCTION("""COMPUTED_VALUE"""),"Av 5 Nte # 42 - 42 la flora  / Tienda Ecohuerta Cali / La Flora")</f>
        <v>Av 5 Nte # 42 - 42 la flora  / Tienda Ecohuerta Cali / La Flora</v>
      </c>
      <c r="G1384" s="15" t="str">
        <f>IFERROR(__xludf.DUMMYFUNCTION("""COMPUTED_VALUE"""),"Isabel Cristina Ecohuerta Cali")</f>
        <v>Isabel Cristina Ecohuerta Cali</v>
      </c>
      <c r="H1384" s="16">
        <f>IFERROR(__xludf.DUMMYFUNCTION("""COMPUTED_VALUE"""),9992.0)</f>
        <v>9992</v>
      </c>
      <c r="I1384" s="18">
        <f>IFERROR(__xludf.DUMMYFUNCTION("""COMPUTED_VALUE"""),20.0)</f>
        <v>20</v>
      </c>
      <c r="J1384" s="18">
        <f>IFERROR(__xludf.DUMMYFUNCTION("""COMPUTED_VALUE"""),30.0)</f>
        <v>30</v>
      </c>
      <c r="K1384" s="18">
        <f>IFERROR(__xludf.DUMMYFUNCTION("""COMPUTED_VALUE"""),40.0)</f>
        <v>40</v>
      </c>
      <c r="L1384" s="17">
        <f>IFERROR(__xludf.DUMMYFUNCTION("""COMPUTED_VALUE"""),3.113856209E9)</f>
        <v>3113856209</v>
      </c>
      <c r="M1384" s="17" t="str">
        <f>IFERROR(__xludf.DUMMYFUNCTION("""COMPUTED_VALUE"""),"#REF!")</f>
        <v>#REF!</v>
      </c>
      <c r="N1384" s="17"/>
      <c r="O1384" s="19" t="str">
        <f>IFERROR(__xludf.DUMMYFUNCTION("""COMPUTED_VALUE"""),"")</f>
        <v/>
      </c>
      <c r="P1384" s="17" t="b">
        <f>IFERROR(__xludf.DUMMYFUNCTION("""COMPUTED_VALUE"""),FALSE)</f>
        <v>0</v>
      </c>
      <c r="Q1384" s="20" t="str">
        <f>IFERROR(__xludf.DUMMYFUNCTION("""COMPUTED_VALUE"""),"")</f>
        <v/>
      </c>
      <c r="R1384" s="22" t="str">
        <f>IFERROR(__xludf.DUMMYFUNCTION("""COMPUTED_VALUE"""),"")</f>
        <v/>
      </c>
    </row>
    <row r="1385">
      <c r="A1385" s="15">
        <f>IFERROR(__xludf.DUMMYFUNCTION("""COMPUTED_VALUE"""),45041.0)</f>
        <v>45041</v>
      </c>
      <c r="B1385" s="16" t="str">
        <f>IFERROR(__xludf.DUMMYFUNCTION("""COMPUTED_VALUE"""),"Envia")</f>
        <v>Envia</v>
      </c>
      <c r="C1385" s="15" t="str">
        <f>IFERROR(__xludf.DUMMYFUNCTION("""COMPUTED_VALUE"""),"CALI")</f>
        <v>CALI</v>
      </c>
      <c r="D1385" s="15" t="str">
        <f>IFERROR(__xludf.DUMMYFUNCTION("""COMPUTED_VALUE"""),"MEDELLÍN")</f>
        <v>MEDELLÍN</v>
      </c>
      <c r="E1385" s="15" t="str">
        <f>IFERROR(__xludf.DUMMYFUNCTION("""COMPUTED_VALUE"""),"Helados swip")</f>
        <v>Helados swip</v>
      </c>
      <c r="F1385" s="17" t="str">
        <f>IFERROR(__xludf.DUMMYFUNCTION("""COMPUTED_VALUE"""),"CALLE 6 # 37 A 56 AV ROOSELVET / AV ROOSELVET / AV ROOSELVET")</f>
        <v>CALLE 6 # 37 A 56 AV ROOSELVET / AV ROOSELVET / AV ROOSELVET</v>
      </c>
      <c r="G1385" s="15" t="str">
        <f>IFERROR(__xludf.DUMMYFUNCTION("""COMPUTED_VALUE"""),"NUTRILIGHT ROOSELVET")</f>
        <v>NUTRILIGHT ROOSELVET</v>
      </c>
      <c r="H1385" s="16">
        <f>IFERROR(__xludf.DUMMYFUNCTION("""COMPUTED_VALUE"""),10080.0)</f>
        <v>10080</v>
      </c>
      <c r="I1385" s="18">
        <f>IFERROR(__xludf.DUMMYFUNCTION("""COMPUTED_VALUE"""),10.0)</f>
        <v>10</v>
      </c>
      <c r="J1385" s="18">
        <f>IFERROR(__xludf.DUMMYFUNCTION("""COMPUTED_VALUE"""),100.0)</f>
        <v>100</v>
      </c>
      <c r="K1385" s="18">
        <f>IFERROR(__xludf.DUMMYFUNCTION("""COMPUTED_VALUE"""),70.0)</f>
        <v>70</v>
      </c>
      <c r="L1385" s="17">
        <f>IFERROR(__xludf.DUMMYFUNCTION("""COMPUTED_VALUE"""),3.127472631E9)</f>
        <v>3127472631</v>
      </c>
      <c r="M1385" s="17" t="str">
        <f>IFERROR(__xludf.DUMMYFUNCTION("""COMPUTED_VALUE"""),"#REF!")</f>
        <v>#REF!</v>
      </c>
      <c r="N1385" s="17"/>
      <c r="O1385" s="19" t="str">
        <f>IFERROR(__xludf.DUMMYFUNCTION("""COMPUTED_VALUE"""),"")</f>
        <v/>
      </c>
      <c r="P1385" s="17" t="b">
        <f>IFERROR(__xludf.DUMMYFUNCTION("""COMPUTED_VALUE"""),FALSE)</f>
        <v>0</v>
      </c>
      <c r="Q1385" s="20" t="str">
        <f>IFERROR(__xludf.DUMMYFUNCTION("""COMPUTED_VALUE"""),"")</f>
        <v/>
      </c>
      <c r="R1385" s="22" t="str">
        <f>IFERROR(__xludf.DUMMYFUNCTION("""COMPUTED_VALUE"""),"")</f>
        <v/>
      </c>
    </row>
    <row r="1386">
      <c r="A1386" s="15">
        <f>IFERROR(__xludf.DUMMYFUNCTION("""COMPUTED_VALUE"""),45041.0)</f>
        <v>45041</v>
      </c>
      <c r="B1386" s="16" t="str">
        <f>IFERROR(__xludf.DUMMYFUNCTION("""COMPUTED_VALUE"""),"Envia")</f>
        <v>Envia</v>
      </c>
      <c r="C1386" s="15" t="str">
        <f>IFERROR(__xludf.DUMMYFUNCTION("""COMPUTED_VALUE"""),"GIRÓN")</f>
        <v>GIRÓN</v>
      </c>
      <c r="D1386" s="15" t="str">
        <f>IFERROR(__xludf.DUMMYFUNCTION("""COMPUTED_VALUE"""),"BOGOTÁ")</f>
        <v>BOGOTÁ</v>
      </c>
      <c r="E1386" s="15" t="str">
        <f>IFERROR(__xludf.DUMMYFUNCTION("""COMPUTED_VALUE"""),"Evamazzita")</f>
        <v>Evamazzita</v>
      </c>
      <c r="F1386" s="17" t="str">
        <f>IFERROR(__xludf.DUMMYFUNCTION("""COMPUTED_VALUE"""),"(POR FAVOR ENTRAR HASTA EL APARTAMENTO, YA QUE LA CLIENTE NO PUEDE SALIR A RECIBIR) Cra 11 c # 11 03  / puerto viento torre 4 apto 805  / (POR FAVOR ENTRAR HASTA EL APARTAMENTO, YA QUE LA CLIENTE NO PUEDE SALIR A RECIBIR) prados de Cataluña")</f>
        <v>(POR FAVOR ENTRAR HASTA EL APARTAMENTO, YA QUE LA CLIENTE NO PUEDE SALIR A RECIBIR) Cra 11 c # 11 03  / puerto viento torre 4 apto 805  / (POR FAVOR ENTRAR HASTA EL APARTAMENTO, YA QUE LA CLIENTE NO PUEDE SALIR A RECIBIR) prados de Cataluña</v>
      </c>
      <c r="G1386" s="15" t="str">
        <f>IFERROR(__xludf.DUMMYFUNCTION("""COMPUTED_VALUE"""),"BELKIS ROCIO GAMBOA AGUDELO")</f>
        <v>BELKIS ROCIO GAMBOA AGUDELO</v>
      </c>
      <c r="H1386" s="16">
        <f>IFERROR(__xludf.DUMMYFUNCTION("""COMPUTED_VALUE"""),10033.0)</f>
        <v>10033</v>
      </c>
      <c r="I1386" s="18">
        <f>IFERROR(__xludf.DUMMYFUNCTION("""COMPUTED_VALUE"""),3.0)</f>
        <v>3</v>
      </c>
      <c r="J1386" s="18">
        <f>IFERROR(__xludf.DUMMYFUNCTION("""COMPUTED_VALUE"""),20.0)</f>
        <v>20</v>
      </c>
      <c r="K1386" s="18">
        <f>IFERROR(__xludf.DUMMYFUNCTION("""COMPUTED_VALUE"""),15.0)</f>
        <v>15</v>
      </c>
      <c r="L1386" s="17">
        <f>IFERROR(__xludf.DUMMYFUNCTION("""COMPUTED_VALUE"""),3.004212712E9)</f>
        <v>3004212712</v>
      </c>
      <c r="M1386" s="17" t="str">
        <f>IFERROR(__xludf.DUMMYFUNCTION("""COMPUTED_VALUE"""),"#REF!")</f>
        <v>#REF!</v>
      </c>
      <c r="N1386" s="17"/>
      <c r="O1386" s="19" t="str">
        <f>IFERROR(__xludf.DUMMYFUNCTION("""COMPUTED_VALUE"""),"")</f>
        <v/>
      </c>
      <c r="P1386" s="17" t="b">
        <f>IFERROR(__xludf.DUMMYFUNCTION("""COMPUTED_VALUE"""),FALSE)</f>
        <v>0</v>
      </c>
      <c r="Q1386" s="20" t="str">
        <f>IFERROR(__xludf.DUMMYFUNCTION("""COMPUTED_VALUE"""),"")</f>
        <v/>
      </c>
      <c r="R1386" s="22" t="str">
        <f>IFERROR(__xludf.DUMMYFUNCTION("""COMPUTED_VALUE"""),"")</f>
        <v/>
      </c>
    </row>
    <row r="1387">
      <c r="A1387" s="15">
        <f>IFERROR(__xludf.DUMMYFUNCTION("""COMPUTED_VALUE"""),45041.0)</f>
        <v>45041</v>
      </c>
      <c r="B1387" s="16" t="str">
        <f>IFERROR(__xludf.DUMMYFUNCTION("""COMPUTED_VALUE"""),"Envia")</f>
        <v>Envia</v>
      </c>
      <c r="C1387" s="15" t="str">
        <f>IFERROR(__xludf.DUMMYFUNCTION("""COMPUTED_VALUE"""),"IBAGUÉ")</f>
        <v>IBAGUÉ</v>
      </c>
      <c r="D1387" s="15" t="str">
        <f>IFERROR(__xludf.DUMMYFUNCTION("""COMPUTED_VALUE"""),"BOGOTÁ")</f>
        <v>BOGOTÁ</v>
      </c>
      <c r="E1387" s="15" t="str">
        <f>IFERROR(__xludf.DUMMYFUNCTION("""COMPUTED_VALUE"""),"Asociacion Agropecuaria Juana Maria")</f>
        <v>Asociacion Agropecuaria Juana Maria</v>
      </c>
      <c r="F1387" s="17" t="str">
        <f>IFERROR(__xludf.DUMMYFUNCTION("""COMPUTED_VALUE"""),"Calle 93 # 7 Sur-90 torre 8 apto 102 Conjunto Residencial Altagracia")</f>
        <v>Calle 93 # 7 Sur-90 torre 8 apto 102 Conjunto Residencial Altagracia</v>
      </c>
      <c r="G1387" s="15" t="str">
        <f>IFERROR(__xludf.DUMMYFUNCTION("""COMPUTED_VALUE"""),"Mariam Yasmin Murillo Rubio")</f>
        <v>Mariam Yasmin Murillo Rubio</v>
      </c>
      <c r="H1387" s="16">
        <f>IFERROR(__xludf.DUMMYFUNCTION("""COMPUTED_VALUE"""),10010.0)</f>
        <v>10010</v>
      </c>
      <c r="I1387" s="18">
        <f>IFERROR(__xludf.DUMMYFUNCTION("""COMPUTED_VALUE"""),21.0)</f>
        <v>21</v>
      </c>
      <c r="J1387" s="18">
        <f>IFERROR(__xludf.DUMMYFUNCTION("""COMPUTED_VALUE"""),37.0)</f>
        <v>37</v>
      </c>
      <c r="K1387" s="18">
        <f>IFERROR(__xludf.DUMMYFUNCTION("""COMPUTED_VALUE"""),30.0)</f>
        <v>30</v>
      </c>
      <c r="L1387" s="17">
        <f>IFERROR(__xludf.DUMMYFUNCTION("""COMPUTED_VALUE"""),3.105789664E9)</f>
        <v>3105789664</v>
      </c>
      <c r="M1387" s="17" t="str">
        <f>IFERROR(__xludf.DUMMYFUNCTION("""COMPUTED_VALUE"""),"#REF!")</f>
        <v>#REF!</v>
      </c>
      <c r="N1387" s="17"/>
      <c r="O1387" s="19" t="str">
        <f>IFERROR(__xludf.DUMMYFUNCTION("""COMPUTED_VALUE"""),"")</f>
        <v/>
      </c>
      <c r="P1387" s="17" t="b">
        <f>IFERROR(__xludf.DUMMYFUNCTION("""COMPUTED_VALUE"""),FALSE)</f>
        <v>0</v>
      </c>
      <c r="Q1387" s="20" t="str">
        <f>IFERROR(__xludf.DUMMYFUNCTION("""COMPUTED_VALUE"""),"")</f>
        <v/>
      </c>
      <c r="R1387" s="22" t="str">
        <f>IFERROR(__xludf.DUMMYFUNCTION("""COMPUTED_VALUE"""),"")</f>
        <v/>
      </c>
    </row>
    <row r="1388">
      <c r="A1388" s="15">
        <f>IFERROR(__xludf.DUMMYFUNCTION("""COMPUTED_VALUE"""),45041.0)</f>
        <v>45041</v>
      </c>
      <c r="B1388" s="16" t="str">
        <f>IFERROR(__xludf.DUMMYFUNCTION("""COMPUTED_VALUE"""),"Envia")</f>
        <v>Envia</v>
      </c>
      <c r="C1388" s="15" t="str">
        <f>IFERROR(__xludf.DUMMYFUNCTION("""COMPUTED_VALUE"""),"MANIZALES")</f>
        <v>MANIZALES</v>
      </c>
      <c r="D1388" s="15" t="str">
        <f>IFERROR(__xludf.DUMMYFUNCTION("""COMPUTED_VALUE"""),"MEDELLÍN")</f>
        <v>MEDELLÍN</v>
      </c>
      <c r="E1388" s="15" t="str">
        <f>IFERROR(__xludf.DUMMYFUNCTION("""COMPUTED_VALUE"""),"Rambla")</f>
        <v>Rambla</v>
      </c>
      <c r="F1388" s="17" t="str">
        <f>IFERROR(__xludf.DUMMYFUNCTION("""COMPUTED_VALUE"""),"CL 66 26 45 ED GUAYACAN DE LA 66 / na / na")</f>
        <v>CL 66 26 45 ED GUAYACAN DE LA 66 / na / na</v>
      </c>
      <c r="G1388" s="15" t="str">
        <f>IFERROR(__xludf.DUMMYFUNCTION("""COMPUTED_VALUE"""),"Mercafit")</f>
        <v>Mercafit</v>
      </c>
      <c r="H1388" s="16">
        <f>IFERROR(__xludf.DUMMYFUNCTION("""COMPUTED_VALUE"""),10093.0)</f>
        <v>10093</v>
      </c>
      <c r="I1388" s="18">
        <f>IFERROR(__xludf.DUMMYFUNCTION("""COMPUTED_VALUE"""),40.0)</f>
        <v>40</v>
      </c>
      <c r="J1388" s="18">
        <f>IFERROR(__xludf.DUMMYFUNCTION("""COMPUTED_VALUE"""),43.0)</f>
        <v>43</v>
      </c>
      <c r="K1388" s="18">
        <f>IFERROR(__xludf.DUMMYFUNCTION("""COMPUTED_VALUE"""),45.0)</f>
        <v>45</v>
      </c>
      <c r="L1388" s="17">
        <f>IFERROR(__xludf.DUMMYFUNCTION("""COMPUTED_VALUE"""),3.004648126E9)</f>
        <v>3004648126</v>
      </c>
      <c r="M1388" s="17" t="str">
        <f>IFERROR(__xludf.DUMMYFUNCTION("""COMPUTED_VALUE"""),"#REF!")</f>
        <v>#REF!</v>
      </c>
      <c r="N1388" s="17"/>
      <c r="O1388" s="19" t="str">
        <f>IFERROR(__xludf.DUMMYFUNCTION("""COMPUTED_VALUE"""),"")</f>
        <v/>
      </c>
      <c r="P1388" s="17" t="b">
        <f>IFERROR(__xludf.DUMMYFUNCTION("""COMPUTED_VALUE"""),FALSE)</f>
        <v>0</v>
      </c>
      <c r="Q1388" s="20" t="str">
        <f>IFERROR(__xludf.DUMMYFUNCTION("""COMPUTED_VALUE"""),"")</f>
        <v/>
      </c>
      <c r="R1388" s="22" t="str">
        <f>IFERROR(__xludf.DUMMYFUNCTION("""COMPUTED_VALUE"""),"")</f>
        <v/>
      </c>
    </row>
    <row r="1389">
      <c r="A1389" s="15">
        <f>IFERROR(__xludf.DUMMYFUNCTION("""COMPUTED_VALUE"""),45041.0)</f>
        <v>45041</v>
      </c>
      <c r="B1389" s="16" t="str">
        <f>IFERROR(__xludf.DUMMYFUNCTION("""COMPUTED_VALUE"""),"Envia")</f>
        <v>Envia</v>
      </c>
      <c r="C1389" s="15" t="str">
        <f>IFERROR(__xludf.DUMMYFUNCTION("""COMPUTED_VALUE"""),"MANIZALES")</f>
        <v>MANIZALES</v>
      </c>
      <c r="D1389" s="15" t="str">
        <f>IFERROR(__xludf.DUMMYFUNCTION("""COMPUTED_VALUE"""),"MEDELLÍN")</f>
        <v>MEDELLÍN</v>
      </c>
      <c r="E1389" s="15" t="str">
        <f>IFERROR(__xludf.DUMMYFUNCTION("""COMPUTED_VALUE"""),"Todo Bufala")</f>
        <v>Todo Bufala</v>
      </c>
      <c r="F1389" s="17" t="str">
        <f>IFERROR(__xludf.DUMMYFUNCTION("""COMPUTED_VALUE"""),"Call 66 23b-11 / Edifico calle larga, local 5c")</f>
        <v>Call 66 23b-11 / Edifico calle larga, local 5c</v>
      </c>
      <c r="G1389" s="15" t="str">
        <f>IFERROR(__xludf.DUMMYFUNCTION("""COMPUTED_VALUE"""),"Sebastian Perez")</f>
        <v>Sebastian Perez</v>
      </c>
      <c r="H1389" s="16">
        <f>IFERROR(__xludf.DUMMYFUNCTION("""COMPUTED_VALUE"""),10030.0)</f>
        <v>10030</v>
      </c>
      <c r="I1389" s="18">
        <f>IFERROR(__xludf.DUMMYFUNCTION("""COMPUTED_VALUE"""),40.0)</f>
        <v>40</v>
      </c>
      <c r="J1389" s="18">
        <f>IFERROR(__xludf.DUMMYFUNCTION("""COMPUTED_VALUE"""),30.0)</f>
        <v>30</v>
      </c>
      <c r="K1389" s="18">
        <f>IFERROR(__xludf.DUMMYFUNCTION("""COMPUTED_VALUE"""),20.0)</f>
        <v>20</v>
      </c>
      <c r="L1389" s="17"/>
      <c r="M1389" s="17" t="str">
        <f>IFERROR(__xludf.DUMMYFUNCTION("""COMPUTED_VALUE"""),"#REF!")</f>
        <v>#REF!</v>
      </c>
      <c r="N1389" s="17"/>
      <c r="O1389" s="19" t="str">
        <f>IFERROR(__xludf.DUMMYFUNCTION("""COMPUTED_VALUE"""),"")</f>
        <v/>
      </c>
      <c r="P1389" s="17" t="b">
        <f>IFERROR(__xludf.DUMMYFUNCTION("""COMPUTED_VALUE"""),FALSE)</f>
        <v>0</v>
      </c>
      <c r="Q1389" s="20" t="str">
        <f>IFERROR(__xludf.DUMMYFUNCTION("""COMPUTED_VALUE"""),"")</f>
        <v/>
      </c>
      <c r="R1389" s="22" t="str">
        <f>IFERROR(__xludf.DUMMYFUNCTION("""COMPUTED_VALUE"""),"")</f>
        <v/>
      </c>
    </row>
    <row r="1390">
      <c r="A1390" s="15">
        <f>IFERROR(__xludf.DUMMYFUNCTION("""COMPUTED_VALUE"""),45041.0)</f>
        <v>45041</v>
      </c>
      <c r="B1390" s="16" t="str">
        <f>IFERROR(__xludf.DUMMYFUNCTION("""COMPUTED_VALUE"""),"Envia")</f>
        <v>Envia</v>
      </c>
      <c r="C1390" s="15" t="str">
        <f>IFERROR(__xludf.DUMMYFUNCTION("""COMPUTED_VALUE"""),"MEDELLÍN")</f>
        <v>MEDELLÍN</v>
      </c>
      <c r="D1390" s="15" t="str">
        <f>IFERROR(__xludf.DUMMYFUNCTION("""COMPUTED_VALUE"""),"BOGOTÁ")</f>
        <v>BOGOTÁ</v>
      </c>
      <c r="E1390" s="15" t="str">
        <f>IFERROR(__xludf.DUMMYFUNCTION("""COMPUTED_VALUE"""),"Asociacion Agropecuaria Juana Maria")</f>
        <v>Asociacion Agropecuaria Juana Maria</v>
      </c>
      <c r="F1390" s="17" t="str">
        <f>IFERROR(__xludf.DUMMYFUNCTION("""COMPUTED_VALUE"""),"Carrera 15 BA # 30D-44 int 201")</f>
        <v>Carrera 15 BA # 30D-44 int 201</v>
      </c>
      <c r="G1390" s="15" t="str">
        <f>IFERROR(__xludf.DUMMYFUNCTION("""COMPUTED_VALUE"""),"Daniela Bedoya Blandon")</f>
        <v>Daniela Bedoya Blandon</v>
      </c>
      <c r="H1390" s="16">
        <f>IFERROR(__xludf.DUMMYFUNCTION("""COMPUTED_VALUE"""),10003.0)</f>
        <v>10003</v>
      </c>
      <c r="I1390" s="18">
        <f>IFERROR(__xludf.DUMMYFUNCTION("""COMPUTED_VALUE"""),21.0)</f>
        <v>21</v>
      </c>
      <c r="J1390" s="18">
        <f>IFERROR(__xludf.DUMMYFUNCTION("""COMPUTED_VALUE"""),37.0)</f>
        <v>37</v>
      </c>
      <c r="K1390" s="18">
        <f>IFERROR(__xludf.DUMMYFUNCTION("""COMPUTED_VALUE"""),30.0)</f>
        <v>30</v>
      </c>
      <c r="L1390" s="17">
        <f>IFERROR(__xludf.DUMMYFUNCTION("""COMPUTED_VALUE"""),3.14672822E9)</f>
        <v>3146728220</v>
      </c>
      <c r="M1390" s="17" t="str">
        <f>IFERROR(__xludf.DUMMYFUNCTION("""COMPUTED_VALUE"""),"#REF!")</f>
        <v>#REF!</v>
      </c>
      <c r="N1390" s="17"/>
      <c r="O1390" s="19" t="str">
        <f>IFERROR(__xludf.DUMMYFUNCTION("""COMPUTED_VALUE"""),"")</f>
        <v/>
      </c>
      <c r="P1390" s="17" t="b">
        <f>IFERROR(__xludf.DUMMYFUNCTION("""COMPUTED_VALUE"""),FALSE)</f>
        <v>0</v>
      </c>
      <c r="Q1390" s="20" t="str">
        <f>IFERROR(__xludf.DUMMYFUNCTION("""COMPUTED_VALUE"""),"")</f>
        <v/>
      </c>
      <c r="R1390" s="22" t="str">
        <f>IFERROR(__xludf.DUMMYFUNCTION("""COMPUTED_VALUE"""),"")</f>
        <v/>
      </c>
    </row>
    <row r="1391">
      <c r="A1391" s="15">
        <f>IFERROR(__xludf.DUMMYFUNCTION("""COMPUTED_VALUE"""),45041.0)</f>
        <v>45041</v>
      </c>
      <c r="B1391" s="16" t="str">
        <f>IFERROR(__xludf.DUMMYFUNCTION("""COMPUTED_VALUE"""),"Envia")</f>
        <v>Envia</v>
      </c>
      <c r="C1391" s="15" t="str">
        <f>IFERROR(__xludf.DUMMYFUNCTION("""COMPUTED_VALUE"""),"MEDELLÍN")</f>
        <v>MEDELLÍN</v>
      </c>
      <c r="D1391" s="15" t="str">
        <f>IFERROR(__xludf.DUMMYFUNCTION("""COMPUTED_VALUE"""),"BOGOTÁ")</f>
        <v>BOGOTÁ</v>
      </c>
      <c r="E1391" s="15" t="str">
        <f>IFERROR(__xludf.DUMMYFUNCTION("""COMPUTED_VALUE"""),"Frambascolombia sas")</f>
        <v>Frambascolombia sas</v>
      </c>
      <c r="F1391" s="17" t="str">
        <f>IFERROR(__xludf.DUMMYFUNCTION("""COMPUTED_VALUE"""),"Cl. 16 #55-129 / local 2")</f>
        <v>Cl. 16 #55-129 / local 2</v>
      </c>
      <c r="G1391" s="15" t="str">
        <f>IFERROR(__xludf.DUMMYFUNCTION("""COMPUTED_VALUE"""),"PikNPak Medellín")</f>
        <v>PikNPak Medellín</v>
      </c>
      <c r="H1391" s="16">
        <f>IFERROR(__xludf.DUMMYFUNCTION("""COMPUTED_VALUE"""),10025.0)</f>
        <v>10025</v>
      </c>
      <c r="I1391" s="18" t="str">
        <f>IFERROR(__xludf.DUMMYFUNCTION("""COMPUTED_VALUE"""),"52.5")</f>
        <v>52.5</v>
      </c>
      <c r="J1391" s="18">
        <f>IFERROR(__xludf.DUMMYFUNCTION("""COMPUTED_VALUE"""),45.0)</f>
        <v>45</v>
      </c>
      <c r="K1391" s="18">
        <f>IFERROR(__xludf.DUMMYFUNCTION("""COMPUTED_VALUE"""),55.0)</f>
        <v>55</v>
      </c>
      <c r="L1391" s="17" t="str">
        <f>IFERROR(__xludf.DUMMYFUNCTION("""COMPUTED_VALUE"""),"321 4229567")</f>
        <v>321 4229567</v>
      </c>
      <c r="M1391" s="17" t="str">
        <f>IFERROR(__xludf.DUMMYFUNCTION("""COMPUTED_VALUE"""),"#REF!")</f>
        <v>#REF!</v>
      </c>
      <c r="N1391" s="17"/>
      <c r="O1391" s="19" t="str">
        <f>IFERROR(__xludf.DUMMYFUNCTION("""COMPUTED_VALUE"""),"")</f>
        <v/>
      </c>
      <c r="P1391" s="17" t="b">
        <f>IFERROR(__xludf.DUMMYFUNCTION("""COMPUTED_VALUE"""),FALSE)</f>
        <v>0</v>
      </c>
      <c r="Q1391" s="20" t="str">
        <f>IFERROR(__xludf.DUMMYFUNCTION("""COMPUTED_VALUE"""),"")</f>
        <v/>
      </c>
      <c r="R1391" s="22" t="str">
        <f>IFERROR(__xludf.DUMMYFUNCTION("""COMPUTED_VALUE"""),"")</f>
        <v/>
      </c>
    </row>
    <row r="1392">
      <c r="A1392" s="15">
        <f>IFERROR(__xludf.DUMMYFUNCTION("""COMPUTED_VALUE"""),45041.0)</f>
        <v>45041</v>
      </c>
      <c r="B1392" s="16" t="str">
        <f>IFERROR(__xludf.DUMMYFUNCTION("""COMPUTED_VALUE"""),"Envia")</f>
        <v>Envia</v>
      </c>
      <c r="C1392" s="15" t="str">
        <f>IFERROR(__xludf.DUMMYFUNCTION("""COMPUTED_VALUE"""),"MEDELLÍN")</f>
        <v>MEDELLÍN</v>
      </c>
      <c r="D1392" s="15" t="str">
        <f>IFERROR(__xludf.DUMMYFUNCTION("""COMPUTED_VALUE"""),"BOGOTÁ")</f>
        <v>BOGOTÁ</v>
      </c>
      <c r="E1392" s="15" t="str">
        <f>IFERROR(__xludf.DUMMYFUNCTION("""COMPUTED_VALUE"""),"Ins. Alimento Vital")</f>
        <v>Ins. Alimento Vital</v>
      </c>
      <c r="F1392" s="17" t="str">
        <f>IFERROR(__xludf.DUMMYFUNCTION("""COMPUTED_VALUE"""),"AV 74B 39 B 142 / CASA BEGRA PISO 2 / BARRIO LAURELES")</f>
        <v>AV 74B 39 B 142 / CASA BEGRA PISO 2 / BARRIO LAURELES</v>
      </c>
      <c r="G1392" s="15" t="str">
        <f>IFERROR(__xludf.DUMMYFUNCTION("""COMPUTED_VALUE"""),"VELOCITY")</f>
        <v>VELOCITY</v>
      </c>
      <c r="H1392" s="16">
        <f>IFERROR(__xludf.DUMMYFUNCTION("""COMPUTED_VALUE"""),10020.0)</f>
        <v>10020</v>
      </c>
      <c r="I1392" s="18">
        <f>IFERROR(__xludf.DUMMYFUNCTION("""COMPUTED_VALUE"""),1.0)</f>
        <v>1</v>
      </c>
      <c r="J1392" s="18">
        <f>IFERROR(__xludf.DUMMYFUNCTION("""COMPUTED_VALUE"""),1.0)</f>
        <v>1</v>
      </c>
      <c r="K1392" s="18">
        <f>IFERROR(__xludf.DUMMYFUNCTION("""COMPUTED_VALUE"""),1.0)</f>
        <v>1</v>
      </c>
      <c r="L1392" s="17">
        <f>IFERROR(__xludf.DUMMYFUNCTION("""COMPUTED_VALUE"""),3.239674555E9)</f>
        <v>3239674555</v>
      </c>
      <c r="M1392" s="17" t="str">
        <f>IFERROR(__xludf.DUMMYFUNCTION("""COMPUTED_VALUE"""),"#REF!")</f>
        <v>#REF!</v>
      </c>
      <c r="N1392" s="17"/>
      <c r="O1392" s="19" t="str">
        <f>IFERROR(__xludf.DUMMYFUNCTION("""COMPUTED_VALUE"""),"")</f>
        <v/>
      </c>
      <c r="P1392" s="17" t="b">
        <f>IFERROR(__xludf.DUMMYFUNCTION("""COMPUTED_VALUE"""),FALSE)</f>
        <v>0</v>
      </c>
      <c r="Q1392" s="20" t="str">
        <f>IFERROR(__xludf.DUMMYFUNCTION("""COMPUTED_VALUE"""),"")</f>
        <v/>
      </c>
      <c r="R1392" s="22" t="str">
        <f>IFERROR(__xludf.DUMMYFUNCTION("""COMPUTED_VALUE"""),"")</f>
        <v/>
      </c>
    </row>
    <row r="1393">
      <c r="A1393" s="15">
        <f>IFERROR(__xludf.DUMMYFUNCTION("""COMPUTED_VALUE"""),45041.0)</f>
        <v>45041</v>
      </c>
      <c r="B1393" s="16" t="str">
        <f>IFERROR(__xludf.DUMMYFUNCTION("""COMPUTED_VALUE"""),"Envia")</f>
        <v>Envia</v>
      </c>
      <c r="C1393" s="15" t="str">
        <f>IFERROR(__xludf.DUMMYFUNCTION("""COMPUTED_VALUE"""),"MEDELLÍN")</f>
        <v>MEDELLÍN</v>
      </c>
      <c r="D1393" s="15" t="str">
        <f>IFERROR(__xludf.DUMMYFUNCTION("""COMPUTED_VALUE"""),"BOGOTÁ")</f>
        <v>BOGOTÁ</v>
      </c>
      <c r="E1393" s="15" t="str">
        <f>IFERROR(__xludf.DUMMYFUNCTION("""COMPUTED_VALUE"""),"MAI ALIMENTOS S.A.S")</f>
        <v>MAI ALIMENTOS S.A.S</v>
      </c>
      <c r="F1393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1393" s="15" t="str">
        <f>IFERROR(__xludf.DUMMYFUNCTION("""COMPUTED_VALUE"""),"Novaventas - Medellin")</f>
        <v>Novaventas - Medellin</v>
      </c>
      <c r="H1393" s="16">
        <f>IFERROR(__xludf.DUMMYFUNCTION("""COMPUTED_VALUE"""),9976.0)</f>
        <v>9976</v>
      </c>
      <c r="I1393" s="18">
        <f>IFERROR(__xludf.DUMMYFUNCTION("""COMPUTED_VALUE"""),35.0)</f>
        <v>35</v>
      </c>
      <c r="J1393" s="18">
        <f>IFERROR(__xludf.DUMMYFUNCTION("""COMPUTED_VALUE"""),17.0)</f>
        <v>17</v>
      </c>
      <c r="K1393" s="18">
        <f>IFERROR(__xludf.DUMMYFUNCTION("""COMPUTED_VALUE"""),13.0)</f>
        <v>13</v>
      </c>
      <c r="L1393" s="17">
        <f>IFERROR(__xludf.DUMMYFUNCTION("""COMPUTED_VALUE"""),3.187351593E9)</f>
        <v>3187351593</v>
      </c>
      <c r="M1393" s="17" t="str">
        <f>IFERROR(__xludf.DUMMYFUNCTION("""COMPUTED_VALUE"""),"#REF!")</f>
        <v>#REF!</v>
      </c>
      <c r="N1393" s="17"/>
      <c r="O1393" s="19" t="str">
        <f>IFERROR(__xludf.DUMMYFUNCTION("""COMPUTED_VALUE"""),"")</f>
        <v/>
      </c>
      <c r="P1393" s="17" t="b">
        <f>IFERROR(__xludf.DUMMYFUNCTION("""COMPUTED_VALUE"""),FALSE)</f>
        <v>0</v>
      </c>
      <c r="Q1393" s="20" t="str">
        <f>IFERROR(__xludf.DUMMYFUNCTION("""COMPUTED_VALUE"""),"")</f>
        <v/>
      </c>
      <c r="R1393" s="22" t="str">
        <f>IFERROR(__xludf.DUMMYFUNCTION("""COMPUTED_VALUE"""),"")</f>
        <v/>
      </c>
    </row>
    <row r="1394">
      <c r="A1394" s="15">
        <f>IFERROR(__xludf.DUMMYFUNCTION("""COMPUTED_VALUE"""),45041.0)</f>
        <v>45041</v>
      </c>
      <c r="B1394" s="16" t="str">
        <f>IFERROR(__xludf.DUMMYFUNCTION("""COMPUTED_VALUE"""),"Envia")</f>
        <v>Envia</v>
      </c>
      <c r="C1394" s="15" t="str">
        <f>IFERROR(__xludf.DUMMYFUNCTION("""COMPUTED_VALUE"""),"MEDELLÍN")</f>
        <v>MEDELLÍN</v>
      </c>
      <c r="D1394" s="15" t="str">
        <f>IFERROR(__xludf.DUMMYFUNCTION("""COMPUTED_VALUE"""),"BOGOTÁ")</f>
        <v>BOGOTÁ</v>
      </c>
      <c r="E1394" s="15" t="str">
        <f>IFERROR(__xludf.DUMMYFUNCTION("""COMPUTED_VALUE"""),"Ventura Productos Arg")</f>
        <v>Ventura Productos Arg</v>
      </c>
      <c r="F1394" s="17" t="str">
        <f>IFERROR(__xludf.DUMMYFUNCTION("""COMPUTED_VALUE"""),"Cra 20 #23 sur 25, Casa 146, ENVIGADO / ENVIGADO")</f>
        <v>Cra 20 #23 sur 25, Casa 146, ENVIGADO / ENVIGADO</v>
      </c>
      <c r="G1394" s="15" t="str">
        <f>IFERROR(__xludf.DUMMYFUNCTION("""COMPUTED_VALUE"""),"Gabriela Vairo")</f>
        <v>Gabriela Vairo</v>
      </c>
      <c r="H1394" s="16">
        <f>IFERROR(__xludf.DUMMYFUNCTION("""COMPUTED_VALUE"""),9921.0)</f>
        <v>9921</v>
      </c>
      <c r="I1394" s="18">
        <f>IFERROR(__xludf.DUMMYFUNCTION("""COMPUTED_VALUE"""),3.0)</f>
        <v>3</v>
      </c>
      <c r="J1394" s="18">
        <f>IFERROR(__xludf.DUMMYFUNCTION("""COMPUTED_VALUE"""),45060.0)</f>
        <v>45060</v>
      </c>
      <c r="K1394" s="18">
        <f>IFERROR(__xludf.DUMMYFUNCTION("""COMPUTED_VALUE"""),22.0)</f>
        <v>22</v>
      </c>
      <c r="L1394" s="17">
        <f>IFERROR(__xludf.DUMMYFUNCTION("""COMPUTED_VALUE"""),3.165825129E9)</f>
        <v>3165825129</v>
      </c>
      <c r="M1394" s="17" t="str">
        <f>IFERROR(__xludf.DUMMYFUNCTION("""COMPUTED_VALUE"""),"#REF!")</f>
        <v>#REF!</v>
      </c>
      <c r="N1394" s="17"/>
      <c r="O1394" s="19" t="str">
        <f>IFERROR(__xludf.DUMMYFUNCTION("""COMPUTED_VALUE"""),"")</f>
        <v/>
      </c>
      <c r="P1394" s="17" t="b">
        <f>IFERROR(__xludf.DUMMYFUNCTION("""COMPUTED_VALUE"""),FALSE)</f>
        <v>0</v>
      </c>
      <c r="Q1394" s="20" t="str">
        <f>IFERROR(__xludf.DUMMYFUNCTION("""COMPUTED_VALUE"""),"")</f>
        <v/>
      </c>
      <c r="R1394" s="22" t="str">
        <f>IFERROR(__xludf.DUMMYFUNCTION("""COMPUTED_VALUE"""),"")</f>
        <v/>
      </c>
    </row>
    <row r="1395">
      <c r="A1395" s="15">
        <f>IFERROR(__xludf.DUMMYFUNCTION("""COMPUTED_VALUE"""),45041.0)</f>
        <v>45041</v>
      </c>
      <c r="B1395" s="16" t="str">
        <f>IFERROR(__xludf.DUMMYFUNCTION("""COMPUTED_VALUE"""),"Envia")</f>
        <v>Envia</v>
      </c>
      <c r="C1395" s="15" t="str">
        <f>IFERROR(__xludf.DUMMYFUNCTION("""COMPUTED_VALUE"""),"MEDELLÍN")</f>
        <v>MEDELLÍN</v>
      </c>
      <c r="D1395" s="15" t="str">
        <f>IFERROR(__xludf.DUMMYFUNCTION("""COMPUTED_VALUE"""),"BOGOTÁ")</f>
        <v>BOGOTÁ</v>
      </c>
      <c r="E1395" s="15" t="str">
        <f>IFERROR(__xludf.DUMMYFUNCTION("""COMPUTED_VALUE"""),"Viiva Fermentados")</f>
        <v>Viiva Fermentados</v>
      </c>
      <c r="F1395" s="17" t="str">
        <f>IFERROR(__xludf.DUMMYFUNCTION("""COMPUTED_VALUE"""),"Calle 98 #50b-19  / primer piso Preguntar por Doña Fabiola  / Aranjuez")</f>
        <v>Calle 98 #50b-19  / primer piso Preguntar por Doña Fabiola  / Aranjuez</v>
      </c>
      <c r="G1395" s="15" t="str">
        <f>IFERROR(__xludf.DUMMYFUNCTION("""COMPUTED_VALUE"""),"Bayron Rodriguez")</f>
        <v>Bayron Rodriguez</v>
      </c>
      <c r="H1395" s="16">
        <f>IFERROR(__xludf.DUMMYFUNCTION("""COMPUTED_VALUE"""),9988.0)</f>
        <v>9988</v>
      </c>
      <c r="I1395" s="18">
        <f>IFERROR(__xludf.DUMMYFUNCTION("""COMPUTED_VALUE"""),20.0)</f>
        <v>20</v>
      </c>
      <c r="J1395" s="18">
        <f>IFERROR(__xludf.DUMMYFUNCTION("""COMPUTED_VALUE"""),30.0)</f>
        <v>30</v>
      </c>
      <c r="K1395" s="18">
        <f>IFERROR(__xludf.DUMMYFUNCTION("""COMPUTED_VALUE"""),40.0)</f>
        <v>40</v>
      </c>
      <c r="L1395" s="17">
        <f>IFERROR(__xludf.DUMMYFUNCTION("""COMPUTED_VALUE"""),3.166261966E9)</f>
        <v>3166261966</v>
      </c>
      <c r="M1395" s="17" t="str">
        <f>IFERROR(__xludf.DUMMYFUNCTION("""COMPUTED_VALUE"""),"#REF!")</f>
        <v>#REF!</v>
      </c>
      <c r="N1395" s="17"/>
      <c r="O1395" s="19" t="str">
        <f>IFERROR(__xludf.DUMMYFUNCTION("""COMPUTED_VALUE"""),"")</f>
        <v/>
      </c>
      <c r="P1395" s="17" t="b">
        <f>IFERROR(__xludf.DUMMYFUNCTION("""COMPUTED_VALUE"""),FALSE)</f>
        <v>0</v>
      </c>
      <c r="Q1395" s="20" t="str">
        <f>IFERROR(__xludf.DUMMYFUNCTION("""COMPUTED_VALUE"""),"")</f>
        <v/>
      </c>
      <c r="R1395" s="22" t="str">
        <f>IFERROR(__xludf.DUMMYFUNCTION("""COMPUTED_VALUE"""),"")</f>
        <v/>
      </c>
    </row>
    <row r="1396">
      <c r="A1396" s="15">
        <f>IFERROR(__xludf.DUMMYFUNCTION("""COMPUTED_VALUE"""),45041.0)</f>
        <v>45041</v>
      </c>
      <c r="B1396" s="16" t="str">
        <f>IFERROR(__xludf.DUMMYFUNCTION("""COMPUTED_VALUE"""),"Envia")</f>
        <v>Envia</v>
      </c>
      <c r="C1396" s="15" t="str">
        <f>IFERROR(__xludf.DUMMYFUNCTION("""COMPUTED_VALUE"""),"MEDELLÍN")</f>
        <v>MEDELLÍN</v>
      </c>
      <c r="D1396" s="15" t="str">
        <f>IFERROR(__xludf.DUMMYFUNCTION("""COMPUTED_VALUE"""),"BOGOTÁ")</f>
        <v>BOGOTÁ</v>
      </c>
      <c r="E1396" s="15" t="str">
        <f>IFERROR(__xludf.DUMMYFUNCTION("""COMPUTED_VALUE"""),"Viiva Fermentados")</f>
        <v>Viiva Fermentados</v>
      </c>
      <c r="F1396" s="17" t="str">
        <f>IFERROR(__xludf.DUMMYFUNCTION("""COMPUTED_VALUE"""),"Cl4 sur #48-110 CR Vegas del Poblado / apto 240 / Poblado, Se puede dejar en porteria")</f>
        <v>Cl4 sur #48-110 CR Vegas del Poblado / apto 240 / Poblado, Se puede dejar en porteria</v>
      </c>
      <c r="G1396" s="15" t="str">
        <f>IFERROR(__xludf.DUMMYFUNCTION("""COMPUTED_VALUE"""),"Jairo Agudelo")</f>
        <v>Jairo Agudelo</v>
      </c>
      <c r="H1396" s="16">
        <f>IFERROR(__xludf.DUMMYFUNCTION("""COMPUTED_VALUE"""),9989.0)</f>
        <v>9989</v>
      </c>
      <c r="I1396" s="18">
        <f>IFERROR(__xludf.DUMMYFUNCTION("""COMPUTED_VALUE"""),27.0)</f>
        <v>27</v>
      </c>
      <c r="J1396" s="18">
        <f>IFERROR(__xludf.DUMMYFUNCTION("""COMPUTED_VALUE"""),18.0)</f>
        <v>18</v>
      </c>
      <c r="K1396" s="18">
        <f>IFERROR(__xludf.DUMMYFUNCTION("""COMPUTED_VALUE"""),18.0)</f>
        <v>18</v>
      </c>
      <c r="L1396" s="17">
        <f>IFERROR(__xludf.DUMMYFUNCTION("""COMPUTED_VALUE"""),3.235811533E9)</f>
        <v>3235811533</v>
      </c>
      <c r="M1396" s="17" t="str">
        <f>IFERROR(__xludf.DUMMYFUNCTION("""COMPUTED_VALUE"""),"#REF!")</f>
        <v>#REF!</v>
      </c>
      <c r="N1396" s="17"/>
      <c r="O1396" s="19" t="str">
        <f>IFERROR(__xludf.DUMMYFUNCTION("""COMPUTED_VALUE"""),"")</f>
        <v/>
      </c>
      <c r="P1396" s="17" t="b">
        <f>IFERROR(__xludf.DUMMYFUNCTION("""COMPUTED_VALUE"""),FALSE)</f>
        <v>0</v>
      </c>
      <c r="Q1396" s="20" t="str">
        <f>IFERROR(__xludf.DUMMYFUNCTION("""COMPUTED_VALUE"""),"")</f>
        <v/>
      </c>
      <c r="R1396" s="22" t="str">
        <f>IFERROR(__xludf.DUMMYFUNCTION("""COMPUTED_VALUE"""),"")</f>
        <v/>
      </c>
    </row>
    <row r="1397">
      <c r="A1397" s="15">
        <f>IFERROR(__xludf.DUMMYFUNCTION("""COMPUTED_VALUE"""),45041.0)</f>
        <v>45041</v>
      </c>
      <c r="B1397" s="16" t="str">
        <f>IFERROR(__xludf.DUMMYFUNCTION("""COMPUTED_VALUE"""),"Envia")</f>
        <v>Envia</v>
      </c>
      <c r="C1397" s="15" t="str">
        <f>IFERROR(__xludf.DUMMYFUNCTION("""COMPUTED_VALUE"""),"MONTERIA")</f>
        <v>MONTERIA</v>
      </c>
      <c r="D1397" s="15" t="str">
        <f>IFERROR(__xludf.DUMMYFUNCTION("""COMPUTED_VALUE"""),"MEDELLÍN")</f>
        <v>MEDELLÍN</v>
      </c>
      <c r="E1397" s="15" t="str">
        <f>IFERROR(__xludf.DUMMYFUNCTION("""COMPUTED_VALUE"""),"Helados swip")</f>
        <v>Helados swip</v>
      </c>
      <c r="F1397" s="17" t="str">
        <f>IFERROR(__xludf.DUMMYFUNCTION("""COMPUTED_VALUE"""),"CALLE 64 A 3-56  / LOCAL FEELI MERCADO SALUDABLE  / EL RECREO")</f>
        <v>CALLE 64 A 3-56  / LOCAL FEELI MERCADO SALUDABLE  / EL RECREO</v>
      </c>
      <c r="G1397" s="15" t="str">
        <f>IFERROR(__xludf.DUMMYFUNCTION("""COMPUTED_VALUE"""),"FÉELI CAROLINA MARTINEZ")</f>
        <v>FÉELI CAROLINA MARTINEZ</v>
      </c>
      <c r="H1397" s="16">
        <f>IFERROR(__xludf.DUMMYFUNCTION("""COMPUTED_VALUE"""),10081.0)</f>
        <v>10081</v>
      </c>
      <c r="I1397" s="18">
        <f>IFERROR(__xludf.DUMMYFUNCTION("""COMPUTED_VALUE"""),10.0)</f>
        <v>10</v>
      </c>
      <c r="J1397" s="18">
        <f>IFERROR(__xludf.DUMMYFUNCTION("""COMPUTED_VALUE"""),100.0)</f>
        <v>100</v>
      </c>
      <c r="K1397" s="18">
        <f>IFERROR(__xludf.DUMMYFUNCTION("""COMPUTED_VALUE"""),70.0)</f>
        <v>70</v>
      </c>
      <c r="L1397" s="17">
        <f>IFERROR(__xludf.DUMMYFUNCTION("""COMPUTED_VALUE"""),3.052261719E9)</f>
        <v>3052261719</v>
      </c>
      <c r="M1397" s="17" t="str">
        <f>IFERROR(__xludf.DUMMYFUNCTION("""COMPUTED_VALUE"""),"#REF!")</f>
        <v>#REF!</v>
      </c>
      <c r="N1397" s="17"/>
      <c r="O1397" s="19" t="str">
        <f>IFERROR(__xludf.DUMMYFUNCTION("""COMPUTED_VALUE"""),"")</f>
        <v/>
      </c>
      <c r="P1397" s="17" t="b">
        <f>IFERROR(__xludf.DUMMYFUNCTION("""COMPUTED_VALUE"""),FALSE)</f>
        <v>0</v>
      </c>
      <c r="Q1397" s="20" t="str">
        <f>IFERROR(__xludf.DUMMYFUNCTION("""COMPUTED_VALUE"""),"")</f>
        <v/>
      </c>
      <c r="R1397" s="22" t="str">
        <f>IFERROR(__xludf.DUMMYFUNCTION("""COMPUTED_VALUE"""),"")</f>
        <v/>
      </c>
    </row>
    <row r="1398">
      <c r="A1398" s="15">
        <f>IFERROR(__xludf.DUMMYFUNCTION("""COMPUTED_VALUE"""),45041.0)</f>
        <v>45041</v>
      </c>
      <c r="B1398" s="16" t="str">
        <f>IFERROR(__xludf.DUMMYFUNCTION("""COMPUTED_VALUE"""),"Envia")</f>
        <v>Envia</v>
      </c>
      <c r="C1398" s="15" t="str">
        <f>IFERROR(__xludf.DUMMYFUNCTION("""COMPUTED_VALUE"""),"PEREIRA")</f>
        <v>PEREIRA</v>
      </c>
      <c r="D1398" s="15" t="str">
        <f>IFERROR(__xludf.DUMMYFUNCTION("""COMPUTED_VALUE"""),"BOGOTÁ")</f>
        <v>BOGOTÁ</v>
      </c>
      <c r="E1398" s="15" t="str">
        <f>IFERROR(__xludf.DUMMYFUNCTION("""COMPUTED_VALUE"""),"Asociacion Agropecuaria Juana Maria")</f>
        <v>Asociacion Agropecuaria Juana Maria</v>
      </c>
      <c r="F1398" s="17" t="str">
        <f>IFERROR(__xludf.DUMMYFUNCTION("""COMPUTED_VALUE"""),"Calle 153 # 23 -41 manzana 1 casa 9 sol de Galicia")</f>
        <v>Calle 153 # 23 -41 manzana 1 casa 9 sol de Galicia</v>
      </c>
      <c r="G1398" s="15" t="str">
        <f>IFERROR(__xludf.DUMMYFUNCTION("""COMPUTED_VALUE"""),"Paula Andrea Forero")</f>
        <v>Paula Andrea Forero</v>
      </c>
      <c r="H1398" s="16">
        <f>IFERROR(__xludf.DUMMYFUNCTION("""COMPUTED_VALUE"""),10009.0)</f>
        <v>10009</v>
      </c>
      <c r="I1398" s="18">
        <f>IFERROR(__xludf.DUMMYFUNCTION("""COMPUTED_VALUE"""),17.0)</f>
        <v>17</v>
      </c>
      <c r="J1398" s="18">
        <f>IFERROR(__xludf.DUMMYFUNCTION("""COMPUTED_VALUE"""),37.0)</f>
        <v>37</v>
      </c>
      <c r="K1398" s="18">
        <f>IFERROR(__xludf.DUMMYFUNCTION("""COMPUTED_VALUE"""),28.0)</f>
        <v>28</v>
      </c>
      <c r="L1398" s="17">
        <f>IFERROR(__xludf.DUMMYFUNCTION("""COMPUTED_VALUE"""),3.115760231E9)</f>
        <v>3115760231</v>
      </c>
      <c r="M1398" s="17" t="str">
        <f>IFERROR(__xludf.DUMMYFUNCTION("""COMPUTED_VALUE"""),"#REF!")</f>
        <v>#REF!</v>
      </c>
      <c r="N1398" s="17"/>
      <c r="O1398" s="19" t="str">
        <f>IFERROR(__xludf.DUMMYFUNCTION("""COMPUTED_VALUE"""),"")</f>
        <v/>
      </c>
      <c r="P1398" s="17" t="b">
        <f>IFERROR(__xludf.DUMMYFUNCTION("""COMPUTED_VALUE"""),FALSE)</f>
        <v>0</v>
      </c>
      <c r="Q1398" s="20" t="str">
        <f>IFERROR(__xludf.DUMMYFUNCTION("""COMPUTED_VALUE"""),"")</f>
        <v/>
      </c>
      <c r="R1398" s="22" t="str">
        <f>IFERROR(__xludf.DUMMYFUNCTION("""COMPUTED_VALUE"""),"")</f>
        <v/>
      </c>
    </row>
    <row r="1399">
      <c r="A1399" s="15">
        <f>IFERROR(__xludf.DUMMYFUNCTION("""COMPUTED_VALUE"""),45041.0)</f>
        <v>45041</v>
      </c>
      <c r="B1399" s="16" t="str">
        <f>IFERROR(__xludf.DUMMYFUNCTION("""COMPUTED_VALUE"""),"Envia")</f>
        <v>Envia</v>
      </c>
      <c r="C1399" s="15" t="str">
        <f>IFERROR(__xludf.DUMMYFUNCTION("""COMPUTED_VALUE"""),"PEREIRA")</f>
        <v>PEREIRA</v>
      </c>
      <c r="D1399" s="15" t="str">
        <f>IFERROR(__xludf.DUMMYFUNCTION("""COMPUTED_VALUE"""),"BOGOTÁ")</f>
        <v>BOGOTÁ</v>
      </c>
      <c r="E1399" s="15" t="str">
        <f>IFERROR(__xludf.DUMMYFUNCTION("""COMPUTED_VALUE"""),"Evamazzita")</f>
        <v>Evamazzita</v>
      </c>
      <c r="F1399" s="17" t="str">
        <f>IFERROR(__xludf.DUMMYFUNCTION("""COMPUTED_VALUE"""),"CALLE 153 # 23 - 41 / MZ 1 CASA 9 SOL DE GALICIA / GALICIA")</f>
        <v>CALLE 153 # 23 - 41 / MZ 1 CASA 9 SOL DE GALICIA / GALICIA</v>
      </c>
      <c r="G1399" s="15" t="str">
        <f>IFERROR(__xludf.DUMMYFUNCTION("""COMPUTED_VALUE"""),"PAULA FORERO")</f>
        <v>PAULA FORERO</v>
      </c>
      <c r="H1399" s="16">
        <f>IFERROR(__xludf.DUMMYFUNCTION("""COMPUTED_VALUE"""),10041.0)</f>
        <v>10041</v>
      </c>
      <c r="I1399" s="18">
        <f>IFERROR(__xludf.DUMMYFUNCTION("""COMPUTED_VALUE"""),10.0)</f>
        <v>10</v>
      </c>
      <c r="J1399" s="18">
        <f>IFERROR(__xludf.DUMMYFUNCTION("""COMPUTED_VALUE"""),38.0)</f>
        <v>38</v>
      </c>
      <c r="K1399" s="18">
        <f>IFERROR(__xludf.DUMMYFUNCTION("""COMPUTED_VALUE"""),23.0)</f>
        <v>23</v>
      </c>
      <c r="L1399" s="17">
        <f>IFERROR(__xludf.DUMMYFUNCTION("""COMPUTED_VALUE"""),3.115760231E9)</f>
        <v>3115760231</v>
      </c>
      <c r="M1399" s="17" t="str">
        <f>IFERROR(__xludf.DUMMYFUNCTION("""COMPUTED_VALUE"""),"#REF!")</f>
        <v>#REF!</v>
      </c>
      <c r="N1399" s="17"/>
      <c r="O1399" s="19" t="str">
        <f>IFERROR(__xludf.DUMMYFUNCTION("""COMPUTED_VALUE"""),"")</f>
        <v/>
      </c>
      <c r="P1399" s="17" t="b">
        <f>IFERROR(__xludf.DUMMYFUNCTION("""COMPUTED_VALUE"""),FALSE)</f>
        <v>0</v>
      </c>
      <c r="Q1399" s="20" t="str">
        <f>IFERROR(__xludf.DUMMYFUNCTION("""COMPUTED_VALUE"""),"")</f>
        <v/>
      </c>
      <c r="R1399" s="22" t="str">
        <f>IFERROR(__xludf.DUMMYFUNCTION("""COMPUTED_VALUE"""),"")</f>
        <v/>
      </c>
    </row>
    <row r="1400">
      <c r="A1400" s="17" t="str">
        <f>IFERROR(__xludf.DUMMYFUNCTION("""COMPUTED_VALUE"""),"")</f>
        <v/>
      </c>
      <c r="B1400" s="17" t="str">
        <f>IFERROR(__xludf.DUMMYFUNCTION("""COMPUTED_VALUE"""),"")</f>
        <v/>
      </c>
      <c r="C1400" s="17" t="str">
        <f>IFERROR(__xludf.DUMMYFUNCTION("""COMPUTED_VALUE"""),"")</f>
        <v/>
      </c>
      <c r="D1400" s="17" t="str">
        <f>IFERROR(__xludf.DUMMYFUNCTION("""COMPUTED_VALUE"""),"")</f>
        <v/>
      </c>
      <c r="E1400" s="17" t="str">
        <f>IFERROR(__xludf.DUMMYFUNCTION("""COMPUTED_VALUE"""),"")</f>
        <v/>
      </c>
      <c r="F1400" s="17" t="str">
        <f>IFERROR(__xludf.DUMMYFUNCTION("""COMPUTED_VALUE"""),"")</f>
        <v/>
      </c>
      <c r="G1400" s="17" t="str">
        <f>IFERROR(__xludf.DUMMYFUNCTION("""COMPUTED_VALUE"""),"")</f>
        <v/>
      </c>
      <c r="H1400" s="17" t="str">
        <f>IFERROR(__xludf.DUMMYFUNCTION("""COMPUTED_VALUE"""),"")</f>
        <v/>
      </c>
      <c r="I1400" s="17" t="str">
        <f>IFERROR(__xludf.DUMMYFUNCTION("""COMPUTED_VALUE"""),"")</f>
        <v/>
      </c>
      <c r="J1400" s="17" t="str">
        <f>IFERROR(__xludf.DUMMYFUNCTION("""COMPUTED_VALUE"""),"")</f>
        <v/>
      </c>
      <c r="K1400" s="17" t="str">
        <f>IFERROR(__xludf.DUMMYFUNCTION("""COMPUTED_VALUE"""),"")</f>
        <v/>
      </c>
      <c r="L1400" s="17" t="str">
        <f>IFERROR(__xludf.DUMMYFUNCTION("""COMPUTED_VALUE"""),"")</f>
        <v/>
      </c>
      <c r="M1400" s="17" t="str">
        <f>IFERROR(__xludf.DUMMYFUNCTION("""COMPUTED_VALUE"""),"")</f>
        <v/>
      </c>
      <c r="N1400" s="17" t="str">
        <f>IFERROR(__xludf.DUMMYFUNCTION("""COMPUTED_VALUE"""),"")</f>
        <v/>
      </c>
      <c r="O1400" s="17" t="str">
        <f>IFERROR(__xludf.DUMMYFUNCTION("""COMPUTED_VALUE"""),"")</f>
        <v/>
      </c>
      <c r="P1400" s="17" t="str">
        <f>IFERROR(__xludf.DUMMYFUNCTION("""COMPUTED_VALUE"""),"")</f>
        <v/>
      </c>
      <c r="Q1400" s="17" t="str">
        <f>IFERROR(__xludf.DUMMYFUNCTION("""COMPUTED_VALUE"""),"")</f>
        <v/>
      </c>
      <c r="R1400" s="17" t="str">
        <f>IFERROR(__xludf.DUMMYFUNCTION("""COMPUTED_VALUE"""),"")</f>
        <v/>
      </c>
    </row>
    <row r="1401">
      <c r="A1401" s="15">
        <f>IFERROR(__xludf.DUMMYFUNCTION("""COMPUTED_VALUE"""),45041.0)</f>
        <v>45041</v>
      </c>
      <c r="B1401" s="16" t="str">
        <f>IFERROR(__xludf.DUMMYFUNCTION("""COMPUTED_VALUE"""),"Jesus Manuel Herrera Medina ")</f>
        <v>Jesus Manuel Herrera Medina </v>
      </c>
      <c r="C1401" s="15" t="str">
        <f>IFERROR(__xludf.DUMMYFUNCTION("""COMPUTED_VALUE"""),"BUCARAMANGA")</f>
        <v>BUCARAMANGA</v>
      </c>
      <c r="D1401" s="15" t="str">
        <f>IFERROR(__xludf.DUMMYFUNCTION("""COMPUTED_VALUE"""),"BOGOTÁ")</f>
        <v>BOGOTÁ</v>
      </c>
      <c r="E1401" s="15" t="str">
        <f>IFERROR(__xludf.DUMMYFUNCTION("""COMPUTED_VALUE"""),"Ins. Alimento Vital")</f>
        <v>Ins. Alimento Vital</v>
      </c>
      <c r="F1401" s="17" t="str">
        <f>IFERROR(__xludf.DUMMYFUNCTION("""COMPUTED_VALUE"""),"CR 44 64 A 73 / TR 2 APTO 801 EDIFICIO MONSERRAT / BARRIO LA FLORESTA")</f>
        <v>CR 44 64 A 73 / TR 2 APTO 801 EDIFICIO MONSERRAT / BARRIO LA FLORESTA</v>
      </c>
      <c r="G1401" s="15" t="str">
        <f>IFERROR(__xludf.DUMMYFUNCTION("""COMPUTED_VALUE"""),"LUISA FERNANDA CASTELLANOS RAMIREZ")</f>
        <v>LUISA FERNANDA CASTELLANOS RAMIREZ</v>
      </c>
      <c r="H1401" s="16">
        <f>IFERROR(__xludf.DUMMYFUNCTION("""COMPUTED_VALUE"""),10027.0)</f>
        <v>10027</v>
      </c>
      <c r="I1401" s="18">
        <f>IFERROR(__xludf.DUMMYFUNCTION("""COMPUTED_VALUE"""),1.0)</f>
        <v>1</v>
      </c>
      <c r="J1401" s="18">
        <f>IFERROR(__xludf.DUMMYFUNCTION("""COMPUTED_VALUE"""),1.0)</f>
        <v>1</v>
      </c>
      <c r="K1401" s="18">
        <f>IFERROR(__xludf.DUMMYFUNCTION("""COMPUTED_VALUE"""),1.0)</f>
        <v>1</v>
      </c>
      <c r="L1401" s="17">
        <f>IFERROR(__xludf.DUMMYFUNCTION("""COMPUTED_VALUE"""),3.153976486E9)</f>
        <v>3153976486</v>
      </c>
      <c r="M1401" s="17" t="str">
        <f>IFERROR(__xludf.DUMMYFUNCTION("""COMPUTED_VALUE"""),"#REF!")</f>
        <v>#REF!</v>
      </c>
      <c r="N1401" s="17"/>
      <c r="O1401" s="19" t="str">
        <f>IFERROR(__xludf.DUMMYFUNCTION("""COMPUTED_VALUE"""),"")</f>
        <v/>
      </c>
      <c r="P1401" s="17" t="b">
        <f>IFERROR(__xludf.DUMMYFUNCTION("""COMPUTED_VALUE"""),FALSE)</f>
        <v>0</v>
      </c>
      <c r="Q1401" s="20" t="str">
        <f>IFERROR(__xludf.DUMMYFUNCTION("""COMPUTED_VALUE"""),"")</f>
        <v/>
      </c>
      <c r="R1401" s="22" t="str">
        <f>IFERROR(__xludf.DUMMYFUNCTION("""COMPUTED_VALUE"""),"")</f>
        <v/>
      </c>
    </row>
    <row r="1402">
      <c r="A1402" s="15">
        <f>IFERROR(__xludf.DUMMYFUNCTION("""COMPUTED_VALUE"""),45041.0)</f>
        <v>45041</v>
      </c>
      <c r="B1402" s="16" t="str">
        <f>IFERROR(__xludf.DUMMYFUNCTION("""COMPUTED_VALUE"""),"Jesus Manuel Herrera Medina ")</f>
        <v>Jesus Manuel Herrera Medina </v>
      </c>
      <c r="C1402" s="15" t="str">
        <f>IFERROR(__xludf.DUMMYFUNCTION("""COMPUTED_VALUE"""),"BUCARAMANGA")</f>
        <v>BUCARAMANGA</v>
      </c>
      <c r="D1402" s="15" t="str">
        <f>IFERROR(__xludf.DUMMYFUNCTION("""COMPUTED_VALUE"""),"BOGOTÁ")</f>
        <v>BOGOTÁ</v>
      </c>
      <c r="E1402" s="15" t="str">
        <f>IFERROR(__xludf.DUMMYFUNCTION("""COMPUTED_VALUE"""),"Loomifoods")</f>
        <v>Loomifoods</v>
      </c>
      <c r="F1402" s="17" t="str">
        <f>IFERROR(__xludf.DUMMYFUNCTION("""COMPUTED_VALUE"""),"Calle 18 no. 25 - 49  / Apto 1401 / Edificio SAnta Isabella, Barrio San Francisco")</f>
        <v>Calle 18 no. 25 - 49  / Apto 1401 / Edificio SAnta Isabella, Barrio San Francisco</v>
      </c>
      <c r="G1402" s="15" t="str">
        <f>IFERROR(__xludf.DUMMYFUNCTION("""COMPUTED_VALUE"""),"Shirley Alvarado")</f>
        <v>Shirley Alvarado</v>
      </c>
      <c r="H1402" s="16">
        <f>IFERROR(__xludf.DUMMYFUNCTION("""COMPUTED_VALUE"""),10088.0)</f>
        <v>10088</v>
      </c>
      <c r="I1402" s="18">
        <f>IFERROR(__xludf.DUMMYFUNCTION("""COMPUTED_VALUE"""),20.0)</f>
        <v>20</v>
      </c>
      <c r="J1402" s="18">
        <f>IFERROR(__xludf.DUMMYFUNCTION("""COMPUTED_VALUE"""),10.0)</f>
        <v>10</v>
      </c>
      <c r="K1402" s="18">
        <f>IFERROR(__xludf.DUMMYFUNCTION("""COMPUTED_VALUE"""),16.0)</f>
        <v>16</v>
      </c>
      <c r="L1402" s="17">
        <f>IFERROR(__xludf.DUMMYFUNCTION("""COMPUTED_VALUE"""),3.203548295E9)</f>
        <v>3203548295</v>
      </c>
      <c r="M1402" s="17" t="str">
        <f>IFERROR(__xludf.DUMMYFUNCTION("""COMPUTED_VALUE"""),"#REF!")</f>
        <v>#REF!</v>
      </c>
      <c r="N1402" s="17"/>
      <c r="O1402" s="19" t="str">
        <f>IFERROR(__xludf.DUMMYFUNCTION("""COMPUTED_VALUE"""),"")</f>
        <v/>
      </c>
      <c r="P1402" s="17" t="b">
        <f>IFERROR(__xludf.DUMMYFUNCTION("""COMPUTED_VALUE"""),FALSE)</f>
        <v>0</v>
      </c>
      <c r="Q1402" s="20" t="str">
        <f>IFERROR(__xludf.DUMMYFUNCTION("""COMPUTED_VALUE"""),"")</f>
        <v/>
      </c>
      <c r="R1402" s="22" t="str">
        <f>IFERROR(__xludf.DUMMYFUNCTION("""COMPUTED_VALUE"""),"")</f>
        <v/>
      </c>
    </row>
    <row r="1403">
      <c r="A1403" s="15">
        <f>IFERROR(__xludf.DUMMYFUNCTION("""COMPUTED_VALUE"""),45041.0)</f>
        <v>45041</v>
      </c>
      <c r="B1403" s="16" t="str">
        <f>IFERROR(__xludf.DUMMYFUNCTION("""COMPUTED_VALUE"""),"Jesus Manuel Herrera Medina ")</f>
        <v>Jesus Manuel Herrera Medina </v>
      </c>
      <c r="C1403" s="15" t="str">
        <f>IFERROR(__xludf.DUMMYFUNCTION("""COMPUTED_VALUE"""),"BUCARAMANGA")</f>
        <v>BUCARAMANGA</v>
      </c>
      <c r="D1403" s="15" t="str">
        <f>IFERROR(__xludf.DUMMYFUNCTION("""COMPUTED_VALUE"""),"MEDELLÍN")</f>
        <v>MEDELLÍN</v>
      </c>
      <c r="E1403" s="15" t="str">
        <f>IFERROR(__xludf.DUMMYFUNCTION("""COMPUTED_VALUE"""),"AREPAS LA MARY")</f>
        <v>AREPAS LA MARY</v>
      </c>
      <c r="F1403" s="17" t="str">
        <f>IFERROR(__xludf.DUMMYFUNCTION("""COMPUTED_VALUE"""),"calle 59 n 9 a -96 / oficina de envia")</f>
        <v>calle 59 n 9 a -96 / oficina de envia</v>
      </c>
      <c r="G1403" s="15" t="str">
        <f>IFERROR(__xludf.DUMMYFUNCTION("""COMPUTED_VALUE"""),"andrea luna")</f>
        <v>andrea luna</v>
      </c>
      <c r="H1403" s="16">
        <f>IFERROR(__xludf.DUMMYFUNCTION("""COMPUTED_VALUE"""),10091.0)</f>
        <v>10091</v>
      </c>
      <c r="I1403" s="18">
        <f>IFERROR(__xludf.DUMMYFUNCTION("""COMPUTED_VALUE"""),89.0)</f>
        <v>89</v>
      </c>
      <c r="J1403" s="18">
        <f>IFERROR(__xludf.DUMMYFUNCTION("""COMPUTED_VALUE"""),1.0)</f>
        <v>1</v>
      </c>
      <c r="K1403" s="18">
        <f>IFERROR(__xludf.DUMMYFUNCTION("""COMPUTED_VALUE"""),10.0)</f>
        <v>10</v>
      </c>
      <c r="L1403" s="17"/>
      <c r="M1403" s="17" t="str">
        <f>IFERROR(__xludf.DUMMYFUNCTION("""COMPUTED_VALUE"""),"#REF!")</f>
        <v>#REF!</v>
      </c>
      <c r="N1403" s="17"/>
      <c r="O1403" s="19" t="str">
        <f>IFERROR(__xludf.DUMMYFUNCTION("""COMPUTED_VALUE"""),"")</f>
        <v/>
      </c>
      <c r="P1403" s="17" t="b">
        <f>IFERROR(__xludf.DUMMYFUNCTION("""COMPUTED_VALUE"""),FALSE)</f>
        <v>0</v>
      </c>
      <c r="Q1403" s="20" t="str">
        <f>IFERROR(__xludf.DUMMYFUNCTION("""COMPUTED_VALUE"""),"")</f>
        <v/>
      </c>
      <c r="R1403" s="22" t="str">
        <f>IFERROR(__xludf.DUMMYFUNCTION("""COMPUTED_VALUE"""),"")</f>
        <v/>
      </c>
    </row>
    <row r="1404">
      <c r="A1404" s="15">
        <f>IFERROR(__xludf.DUMMYFUNCTION("""COMPUTED_VALUE"""),45041.0)</f>
        <v>45041</v>
      </c>
      <c r="B1404" s="16" t="str">
        <f>IFERROR(__xludf.DUMMYFUNCTION("""COMPUTED_VALUE"""),"Jesus Manuel Herrera Medina ")</f>
        <v>Jesus Manuel Herrera Medina </v>
      </c>
      <c r="C1404" s="15" t="str">
        <f>IFERROR(__xludf.DUMMYFUNCTION("""COMPUTED_VALUE"""),"BUCARAMANGA")</f>
        <v>BUCARAMANGA</v>
      </c>
      <c r="D1404" s="15" t="str">
        <f>IFERROR(__xludf.DUMMYFUNCTION("""COMPUTED_VALUE"""),"MEDELLÍN")</f>
        <v>MEDELLÍN</v>
      </c>
      <c r="E1404" s="15" t="str">
        <f>IFERROR(__xludf.DUMMYFUNCTION("""COMPUTED_VALUE"""),"Baby Chef")</f>
        <v>Baby Chef</v>
      </c>
      <c r="F1404" s="17" t="str">
        <f>IFERROR(__xludf.DUMMYFUNCTION("""COMPUTED_VALUE"""),"CALLE 24 # 23 - 22 / APTO 1303 UND RESIDENCIAL LAS PACHAS  / ALARCÓN")</f>
        <v>CALLE 24 # 23 - 22 / APTO 1303 UND RESIDENCIAL LAS PACHAS  / ALARCÓN</v>
      </c>
      <c r="G1404" s="15" t="str">
        <f>IFERROR(__xludf.DUMMYFUNCTION("""COMPUTED_VALUE"""),"JEIMMY BUENAHORA PLATA")</f>
        <v>JEIMMY BUENAHORA PLATA</v>
      </c>
      <c r="H1404" s="16">
        <f>IFERROR(__xludf.DUMMYFUNCTION("""COMPUTED_VALUE"""),10052.0)</f>
        <v>10052</v>
      </c>
      <c r="I1404" s="18">
        <f>IFERROR(__xludf.DUMMYFUNCTION("""COMPUTED_VALUE"""),8.0)</f>
        <v>8</v>
      </c>
      <c r="J1404" s="18">
        <f>IFERROR(__xludf.DUMMYFUNCTION("""COMPUTED_VALUE"""),16.0)</f>
        <v>16</v>
      </c>
      <c r="K1404" s="18">
        <f>IFERROR(__xludf.DUMMYFUNCTION("""COMPUTED_VALUE"""),20.0)</f>
        <v>20</v>
      </c>
      <c r="L1404" s="17">
        <f>IFERROR(__xludf.DUMMYFUNCTION("""COMPUTED_VALUE"""),3.163004612E9)</f>
        <v>3163004612</v>
      </c>
      <c r="M1404" s="17" t="str">
        <f>IFERROR(__xludf.DUMMYFUNCTION("""COMPUTED_VALUE"""),"#REF!")</f>
        <v>#REF!</v>
      </c>
      <c r="N1404" s="17"/>
      <c r="O1404" s="19" t="str">
        <f>IFERROR(__xludf.DUMMYFUNCTION("""COMPUTED_VALUE"""),"")</f>
        <v/>
      </c>
      <c r="P1404" s="17" t="b">
        <f>IFERROR(__xludf.DUMMYFUNCTION("""COMPUTED_VALUE"""),FALSE)</f>
        <v>0</v>
      </c>
      <c r="Q1404" s="20" t="str">
        <f>IFERROR(__xludf.DUMMYFUNCTION("""COMPUTED_VALUE"""),"")</f>
        <v/>
      </c>
      <c r="R1404" s="22" t="str">
        <f>IFERROR(__xludf.DUMMYFUNCTION("""COMPUTED_VALUE"""),"")</f>
        <v/>
      </c>
    </row>
    <row r="1405">
      <c r="A1405" s="15">
        <f>IFERROR(__xludf.DUMMYFUNCTION("""COMPUTED_VALUE"""),45041.0)</f>
        <v>45041</v>
      </c>
      <c r="B1405" s="16" t="str">
        <f>IFERROR(__xludf.DUMMYFUNCTION("""COMPUTED_VALUE"""),"Jesus Manuel Herrera Medina ")</f>
        <v>Jesus Manuel Herrera Medina </v>
      </c>
      <c r="C1405" s="15" t="str">
        <f>IFERROR(__xludf.DUMMYFUNCTION("""COMPUTED_VALUE"""),"FLORIDABLANCA")</f>
        <v>FLORIDABLANCA</v>
      </c>
      <c r="D1405" s="15" t="str">
        <f>IFERROR(__xludf.DUMMYFUNCTION("""COMPUTED_VALUE"""),"BOGOTÁ")</f>
        <v>BOGOTÁ</v>
      </c>
      <c r="E1405" s="15" t="str">
        <f>IFERROR(__xludf.DUMMYFUNCTION("""COMPUTED_VALUE"""),"Asociacion Agropecuaria Juana Maria")</f>
        <v>Asociacion Agropecuaria Juana Maria</v>
      </c>
      <c r="F1405" s="17" t="str">
        <f>IFERROR(__xludf.DUMMYFUNCTION("""COMPUTED_VALUE"""),"Calle 19 #11-37 Guanatá FLORIDABLANCA")</f>
        <v>Calle 19 #11-37 Guanatá FLORIDABLANCA</v>
      </c>
      <c r="G1405" s="15" t="str">
        <f>IFERROR(__xludf.DUMMYFUNCTION("""COMPUTED_VALUE"""),"Claudia Gonzalez")</f>
        <v>Claudia Gonzalez</v>
      </c>
      <c r="H1405" s="16">
        <f>IFERROR(__xludf.DUMMYFUNCTION("""COMPUTED_VALUE"""),10007.0)</f>
        <v>10007</v>
      </c>
      <c r="I1405" s="18">
        <f>IFERROR(__xludf.DUMMYFUNCTION("""COMPUTED_VALUE"""),21.0)</f>
        <v>21</v>
      </c>
      <c r="J1405" s="18">
        <f>IFERROR(__xludf.DUMMYFUNCTION("""COMPUTED_VALUE"""),37.0)</f>
        <v>37</v>
      </c>
      <c r="K1405" s="18">
        <f>IFERROR(__xludf.DUMMYFUNCTION("""COMPUTED_VALUE"""),30.0)</f>
        <v>30</v>
      </c>
      <c r="L1405" s="17">
        <f>IFERROR(__xludf.DUMMYFUNCTION("""COMPUTED_VALUE"""),3.002802001E9)</f>
        <v>3002802001</v>
      </c>
      <c r="M1405" s="17" t="str">
        <f>IFERROR(__xludf.DUMMYFUNCTION("""COMPUTED_VALUE"""),"#REF!")</f>
        <v>#REF!</v>
      </c>
      <c r="N1405" s="17"/>
      <c r="O1405" s="19" t="str">
        <f>IFERROR(__xludf.DUMMYFUNCTION("""COMPUTED_VALUE"""),"")</f>
        <v/>
      </c>
      <c r="P1405" s="17" t="b">
        <f>IFERROR(__xludf.DUMMYFUNCTION("""COMPUTED_VALUE"""),FALSE)</f>
        <v>0</v>
      </c>
      <c r="Q1405" s="20" t="str">
        <f>IFERROR(__xludf.DUMMYFUNCTION("""COMPUTED_VALUE"""),"")</f>
        <v/>
      </c>
      <c r="R1405" s="22" t="str">
        <f>IFERROR(__xludf.DUMMYFUNCTION("""COMPUTED_VALUE"""),"")</f>
        <v/>
      </c>
    </row>
    <row r="1406">
      <c r="A1406" s="15">
        <f>IFERROR(__xludf.DUMMYFUNCTION("""COMPUTED_VALUE"""),45041.0)</f>
        <v>45041</v>
      </c>
      <c r="B1406" s="16" t="str">
        <f>IFERROR(__xludf.DUMMYFUNCTION("""COMPUTED_VALUE"""),"Jesus Manuel Herrera Medina ")</f>
        <v>Jesus Manuel Herrera Medina </v>
      </c>
      <c r="C1406" s="15" t="str">
        <f>IFERROR(__xludf.DUMMYFUNCTION("""COMPUTED_VALUE"""),"FLORIDABLANCA")</f>
        <v>FLORIDABLANCA</v>
      </c>
      <c r="D1406" s="15" t="str">
        <f>IFERROR(__xludf.DUMMYFUNCTION("""COMPUTED_VALUE"""),"BOGOTÁ")</f>
        <v>BOGOTÁ</v>
      </c>
      <c r="E1406" s="15" t="str">
        <f>IFERROR(__xludf.DUMMYFUNCTION("""COMPUTED_VALUE"""),"Top Spun")</f>
        <v>Top Spun</v>
      </c>
      <c r="F1406" s="17" t="str">
        <f>IFERROR(__xludf.DUMMYFUNCTION("""COMPUTED_VALUE"""),"ANILLO VIAL # 21 - 462  / torre 5 Apto 204 / de Floridablanca Caminos de Providenzza")</f>
        <v>ANILLO VIAL # 21 - 462  / torre 5 Apto 204 / de Floridablanca Caminos de Providenzza</v>
      </c>
      <c r="G1406" s="15" t="str">
        <f>IFERROR(__xludf.DUMMYFUNCTION("""COMPUTED_VALUE"""),"Nadya Carolina Ibarra")</f>
        <v>Nadya Carolina Ibarra</v>
      </c>
      <c r="H1406" s="16">
        <f>IFERROR(__xludf.DUMMYFUNCTION("""COMPUTED_VALUE"""),10016.0)</f>
        <v>10016</v>
      </c>
      <c r="I1406" s="18">
        <f>IFERROR(__xludf.DUMMYFUNCTION("""COMPUTED_VALUE"""),20.0)</f>
        <v>20</v>
      </c>
      <c r="J1406" s="18">
        <f>IFERROR(__xludf.DUMMYFUNCTION("""COMPUTED_VALUE"""),10.0)</f>
        <v>10</v>
      </c>
      <c r="K1406" s="18">
        <f>IFERROR(__xludf.DUMMYFUNCTION("""COMPUTED_VALUE"""),40.0)</f>
        <v>40</v>
      </c>
      <c r="L1406" s="17">
        <f>IFERROR(__xludf.DUMMYFUNCTION("""COMPUTED_VALUE"""),3.215636596E9)</f>
        <v>3215636596</v>
      </c>
      <c r="M1406" s="17" t="str">
        <f>IFERROR(__xludf.DUMMYFUNCTION("""COMPUTED_VALUE"""),"#REF!")</f>
        <v>#REF!</v>
      </c>
      <c r="N1406" s="17"/>
      <c r="O1406" s="19" t="str">
        <f>IFERROR(__xludf.DUMMYFUNCTION("""COMPUTED_VALUE"""),"")</f>
        <v/>
      </c>
      <c r="P1406" s="17" t="b">
        <f>IFERROR(__xludf.DUMMYFUNCTION("""COMPUTED_VALUE"""),FALSE)</f>
        <v>0</v>
      </c>
      <c r="Q1406" s="20" t="str">
        <f>IFERROR(__xludf.DUMMYFUNCTION("""COMPUTED_VALUE"""),"")</f>
        <v/>
      </c>
      <c r="R1406" s="22" t="str">
        <f>IFERROR(__xludf.DUMMYFUNCTION("""COMPUTED_VALUE"""),"")</f>
        <v/>
      </c>
    </row>
    <row r="1407">
      <c r="A1407" s="15">
        <f>IFERROR(__xludf.DUMMYFUNCTION("""COMPUTED_VALUE"""),45041.0)</f>
        <v>45041</v>
      </c>
      <c r="B1407" s="16" t="str">
        <f>IFERROR(__xludf.DUMMYFUNCTION("""COMPUTED_VALUE"""),"Jesus Manuel Herrera Medina ")</f>
        <v>Jesus Manuel Herrera Medina </v>
      </c>
      <c r="C1407" s="15" t="str">
        <f>IFERROR(__xludf.DUMMYFUNCTION("""COMPUTED_VALUE"""),"PEREIRA")</f>
        <v>PEREIRA</v>
      </c>
      <c r="D1407" s="15" t="str">
        <f>IFERROR(__xludf.DUMMYFUNCTION("""COMPUTED_VALUE"""),"MEDELLÍN")</f>
        <v>MEDELLÍN</v>
      </c>
      <c r="E1407" s="15" t="str">
        <f>IFERROR(__xludf.DUMMYFUNCTION("""COMPUTED_VALUE"""),"Rambla")</f>
        <v>Rambla</v>
      </c>
      <c r="F1407" s="17" t="str">
        <f>IFERROR(__xludf.DUMMYFUNCTION("""COMPUTED_VALUE"""),"Cra 23 14 148 Trilogia apto 1505 torre1 -  Pereira. / na / na")</f>
        <v>Cra 23 14 148 Trilogia apto 1505 torre1 -  Pereira. / na / na</v>
      </c>
      <c r="G1407" s="15" t="str">
        <f>IFERROR(__xludf.DUMMYFUNCTION("""COMPUTED_VALUE"""),"Nutrishop")</f>
        <v>Nutrishop</v>
      </c>
      <c r="H1407" s="16">
        <f>IFERROR(__xludf.DUMMYFUNCTION("""COMPUTED_VALUE"""),10094.0)</f>
        <v>10094</v>
      </c>
      <c r="I1407" s="18">
        <f>IFERROR(__xludf.DUMMYFUNCTION("""COMPUTED_VALUE"""),22.0)</f>
        <v>22</v>
      </c>
      <c r="J1407" s="18">
        <f>IFERROR(__xludf.DUMMYFUNCTION("""COMPUTED_VALUE"""),25.0)</f>
        <v>25</v>
      </c>
      <c r="K1407" s="18">
        <f>IFERROR(__xludf.DUMMYFUNCTION("""COMPUTED_VALUE"""),28.0)</f>
        <v>28</v>
      </c>
      <c r="L1407" s="17">
        <f>IFERROR(__xludf.DUMMYFUNCTION("""COMPUTED_VALUE"""),3.10379892E9)</f>
        <v>3103798920</v>
      </c>
      <c r="M1407" s="17" t="str">
        <f>IFERROR(__xludf.DUMMYFUNCTION("""COMPUTED_VALUE"""),"#REF!")</f>
        <v>#REF!</v>
      </c>
      <c r="N1407" s="17"/>
      <c r="O1407" s="19" t="str">
        <f>IFERROR(__xludf.DUMMYFUNCTION("""COMPUTED_VALUE"""),"")</f>
        <v/>
      </c>
      <c r="P1407" s="17" t="b">
        <f>IFERROR(__xludf.DUMMYFUNCTION("""COMPUTED_VALUE"""),FALSE)</f>
        <v>0</v>
      </c>
      <c r="Q1407" s="20" t="str">
        <f>IFERROR(__xludf.DUMMYFUNCTION("""COMPUTED_VALUE"""),"")</f>
        <v/>
      </c>
      <c r="R1407" s="22" t="str">
        <f>IFERROR(__xludf.DUMMYFUNCTION("""COMPUTED_VALUE"""),"")</f>
        <v/>
      </c>
    </row>
    <row r="1408">
      <c r="A1408" s="15">
        <f>IFERROR(__xludf.DUMMYFUNCTION("""COMPUTED_VALUE"""),45041.0)</f>
        <v>45041</v>
      </c>
      <c r="B1408" s="16" t="str">
        <f>IFERROR(__xludf.DUMMYFUNCTION("""COMPUTED_VALUE"""),"Jesus Manuel Herrera Medina ")</f>
        <v>Jesus Manuel Herrera Medina </v>
      </c>
      <c r="C1408" s="15" t="str">
        <f>IFERROR(__xludf.DUMMYFUNCTION("""COMPUTED_VALUE"""),"PEREIRA")</f>
        <v>PEREIRA</v>
      </c>
      <c r="D1408" s="15" t="str">
        <f>IFERROR(__xludf.DUMMYFUNCTION("""COMPUTED_VALUE"""),"MEDELLÍN")</f>
        <v>MEDELLÍN</v>
      </c>
      <c r="E1408" s="15" t="str">
        <f>IFERROR(__xludf.DUMMYFUNCTION("""COMPUTED_VALUE"""),"Todo Bufala")</f>
        <v>Todo Bufala</v>
      </c>
      <c r="F1408" s="17" t="str">
        <f>IFERROR(__xludf.DUMMYFUNCTION("""COMPUTED_VALUE"""),"Cra 14n 12-55")</f>
        <v>Cra 14n 12-55</v>
      </c>
      <c r="G1408" s="15" t="str">
        <f>IFERROR(__xludf.DUMMYFUNCTION("""COMPUTED_VALUE"""),"Yeimi Jaramillo")</f>
        <v>Yeimi Jaramillo</v>
      </c>
      <c r="H1408" s="16">
        <f>IFERROR(__xludf.DUMMYFUNCTION("""COMPUTED_VALUE"""),10048.0)</f>
        <v>10048</v>
      </c>
      <c r="I1408" s="18">
        <f>IFERROR(__xludf.DUMMYFUNCTION("""COMPUTED_VALUE"""),40.0)</f>
        <v>40</v>
      </c>
      <c r="J1408" s="18">
        <f>IFERROR(__xludf.DUMMYFUNCTION("""COMPUTED_VALUE"""),30.0)</f>
        <v>30</v>
      </c>
      <c r="K1408" s="18">
        <f>IFERROR(__xludf.DUMMYFUNCTION("""COMPUTED_VALUE"""),20.0)</f>
        <v>20</v>
      </c>
      <c r="L1408" s="17"/>
      <c r="M1408" s="17" t="str">
        <f>IFERROR(__xludf.DUMMYFUNCTION("""COMPUTED_VALUE"""),"#REF!")</f>
        <v>#REF!</v>
      </c>
      <c r="N1408" s="17"/>
      <c r="O1408" s="19" t="str">
        <f>IFERROR(__xludf.DUMMYFUNCTION("""COMPUTED_VALUE"""),"")</f>
        <v/>
      </c>
      <c r="P1408" s="17" t="b">
        <f>IFERROR(__xludf.DUMMYFUNCTION("""COMPUTED_VALUE"""),FALSE)</f>
        <v>0</v>
      </c>
      <c r="Q1408" s="20" t="str">
        <f>IFERROR(__xludf.DUMMYFUNCTION("""COMPUTED_VALUE"""),"")</f>
        <v/>
      </c>
      <c r="R1408" s="22" t="str">
        <f>IFERROR(__xludf.DUMMYFUNCTION("""COMPUTED_VALUE"""),"")</f>
        <v/>
      </c>
    </row>
    <row r="1409">
      <c r="A1409" s="17" t="str">
        <f>IFERROR(__xludf.DUMMYFUNCTION("""COMPUTED_VALUE"""),"")</f>
        <v/>
      </c>
      <c r="B1409" s="17" t="str">
        <f>IFERROR(__xludf.DUMMYFUNCTION("""COMPUTED_VALUE"""),"")</f>
        <v/>
      </c>
      <c r="C1409" s="17" t="str">
        <f>IFERROR(__xludf.DUMMYFUNCTION("""COMPUTED_VALUE"""),"")</f>
        <v/>
      </c>
      <c r="D1409" s="17" t="str">
        <f>IFERROR(__xludf.DUMMYFUNCTION("""COMPUTED_VALUE"""),"")</f>
        <v/>
      </c>
      <c r="E1409" s="17" t="str">
        <f>IFERROR(__xludf.DUMMYFUNCTION("""COMPUTED_VALUE"""),"")</f>
        <v/>
      </c>
      <c r="F1409" s="17" t="str">
        <f>IFERROR(__xludf.DUMMYFUNCTION("""COMPUTED_VALUE"""),"")</f>
        <v/>
      </c>
      <c r="G1409" s="17" t="str">
        <f>IFERROR(__xludf.DUMMYFUNCTION("""COMPUTED_VALUE"""),"")</f>
        <v/>
      </c>
      <c r="H1409" s="17" t="str">
        <f>IFERROR(__xludf.DUMMYFUNCTION("""COMPUTED_VALUE"""),"")</f>
        <v/>
      </c>
      <c r="I1409" s="17" t="str">
        <f>IFERROR(__xludf.DUMMYFUNCTION("""COMPUTED_VALUE"""),"")</f>
        <v/>
      </c>
      <c r="J1409" s="17" t="str">
        <f>IFERROR(__xludf.DUMMYFUNCTION("""COMPUTED_VALUE"""),"")</f>
        <v/>
      </c>
      <c r="K1409" s="17" t="str">
        <f>IFERROR(__xludf.DUMMYFUNCTION("""COMPUTED_VALUE"""),"")</f>
        <v/>
      </c>
      <c r="L1409" s="17" t="str">
        <f>IFERROR(__xludf.DUMMYFUNCTION("""COMPUTED_VALUE"""),"")</f>
        <v/>
      </c>
      <c r="M1409" s="17" t="str">
        <f>IFERROR(__xludf.DUMMYFUNCTION("""COMPUTED_VALUE"""),"")</f>
        <v/>
      </c>
      <c r="N1409" s="17" t="str">
        <f>IFERROR(__xludf.DUMMYFUNCTION("""COMPUTED_VALUE"""),"")</f>
        <v/>
      </c>
      <c r="O1409" s="17" t="str">
        <f>IFERROR(__xludf.DUMMYFUNCTION("""COMPUTED_VALUE"""),"")</f>
        <v/>
      </c>
      <c r="P1409" s="17" t="str">
        <f>IFERROR(__xludf.DUMMYFUNCTION("""COMPUTED_VALUE"""),"")</f>
        <v/>
      </c>
      <c r="Q1409" s="17" t="str">
        <f>IFERROR(__xludf.DUMMYFUNCTION("""COMPUTED_VALUE"""),"")</f>
        <v/>
      </c>
      <c r="R1409" s="17" t="str">
        <f>IFERROR(__xludf.DUMMYFUNCTION("""COMPUTED_VALUE"""),"")</f>
        <v/>
      </c>
    </row>
    <row r="1410">
      <c r="A1410" s="15">
        <f>IFERROR(__xludf.DUMMYFUNCTION("""COMPUTED_VALUE"""),45041.0)</f>
        <v>45041</v>
      </c>
      <c r="B1410" s="16" t="str">
        <f>IFERROR(__xludf.DUMMYFUNCTION("""COMPUTED_VALUE"""),"Jhon Anderson Ceballos Hernandez")</f>
        <v>Jhon Anderson Ceballos Hernandez</v>
      </c>
      <c r="C1410" s="15" t="str">
        <f>IFERROR(__xludf.DUMMYFUNCTION("""COMPUTED_VALUE"""),"MANIZALES")</f>
        <v>MANIZALES</v>
      </c>
      <c r="D1410" s="15" t="str">
        <f>IFERROR(__xludf.DUMMYFUNCTION("""COMPUTED_VALUE"""),"BOGOTÁ")</f>
        <v>BOGOTÁ</v>
      </c>
      <c r="E1410" s="15" t="str">
        <f>IFERROR(__xludf.DUMMYFUNCTION("""COMPUTED_VALUE"""),"Asociacion Agropecuaria Juana Maria")</f>
        <v>Asociacion Agropecuaria Juana Maria</v>
      </c>
      <c r="F1410" s="17" t="str">
        <f>IFERROR(__xludf.DUMMYFUNCTION("""COMPUTED_VALUE"""),"Carrera 6A # 10A-06 apto 301 Edificio Martha Lucia Chipre Viejo")</f>
        <v>Carrera 6A # 10A-06 apto 301 Edificio Martha Lucia Chipre Viejo</v>
      </c>
      <c r="G1410" s="15" t="str">
        <f>IFERROR(__xludf.DUMMYFUNCTION("""COMPUTED_VALUE"""),"Juliana Giraldo")</f>
        <v>Juliana Giraldo</v>
      </c>
      <c r="H1410" s="16">
        <f>IFERROR(__xludf.DUMMYFUNCTION("""COMPUTED_VALUE"""),10004.0)</f>
        <v>10004</v>
      </c>
      <c r="I1410" s="18">
        <f>IFERROR(__xludf.DUMMYFUNCTION("""COMPUTED_VALUE"""),12.0)</f>
        <v>12</v>
      </c>
      <c r="J1410" s="18">
        <f>IFERROR(__xludf.DUMMYFUNCTION("""COMPUTED_VALUE"""),37.0)</f>
        <v>37</v>
      </c>
      <c r="K1410" s="18">
        <f>IFERROR(__xludf.DUMMYFUNCTION("""COMPUTED_VALUE"""),24.0)</f>
        <v>24</v>
      </c>
      <c r="L1410" s="17">
        <f>IFERROR(__xludf.DUMMYFUNCTION("""COMPUTED_VALUE"""),3.02415322E9)</f>
        <v>3024153220</v>
      </c>
      <c r="M1410" s="17" t="str">
        <f>IFERROR(__xludf.DUMMYFUNCTION("""COMPUTED_VALUE"""),"#REF!")</f>
        <v>#REF!</v>
      </c>
      <c r="N1410" s="17"/>
      <c r="O1410" s="19" t="str">
        <f>IFERROR(__xludf.DUMMYFUNCTION("""COMPUTED_VALUE"""),"")</f>
        <v/>
      </c>
      <c r="P1410" s="17" t="b">
        <f>IFERROR(__xludf.DUMMYFUNCTION("""COMPUTED_VALUE"""),FALSE)</f>
        <v>0</v>
      </c>
      <c r="Q1410" s="20" t="str">
        <f>IFERROR(__xludf.DUMMYFUNCTION("""COMPUTED_VALUE"""),"")</f>
        <v/>
      </c>
      <c r="R1410" s="22" t="str">
        <f>IFERROR(__xludf.DUMMYFUNCTION("""COMPUTED_VALUE"""),"")</f>
        <v/>
      </c>
    </row>
    <row r="1411">
      <c r="A1411" s="15">
        <f>IFERROR(__xludf.DUMMYFUNCTION("""COMPUTED_VALUE"""),45041.0)</f>
        <v>45041</v>
      </c>
      <c r="B1411" s="16" t="str">
        <f>IFERROR(__xludf.DUMMYFUNCTION("""COMPUTED_VALUE"""),"Jhon Anderson Ceballos Hernandez")</f>
        <v>Jhon Anderson Ceballos Hernandez</v>
      </c>
      <c r="C1411" s="15" t="str">
        <f>IFERROR(__xludf.DUMMYFUNCTION("""COMPUTED_VALUE"""),"MANIZALES")</f>
        <v>MANIZALES</v>
      </c>
      <c r="D1411" s="15" t="str">
        <f>IFERROR(__xludf.DUMMYFUNCTION("""COMPUTED_VALUE"""),"BOGOTÁ")</f>
        <v>BOGOTÁ</v>
      </c>
      <c r="E1411" s="15" t="str">
        <f>IFERROR(__xludf.DUMMYFUNCTION("""COMPUTED_VALUE"""),"Blond &amp; This")</f>
        <v>Blond &amp; This</v>
      </c>
      <c r="F1411" s="17" t="str">
        <f>IFERROR(__xludf.DUMMYFUNCTION("""COMPUTED_VALUE"""),"Calle 22 # 22- 26 / Edificio del comercio oficina 1206 / Manizales")</f>
        <v>Calle 22 # 22- 26 / Edificio del comercio oficina 1206 / Manizales</v>
      </c>
      <c r="G1411" s="15" t="str">
        <f>IFERROR(__xludf.DUMMYFUNCTION("""COMPUTED_VALUE"""),"Martha zuliaga")</f>
        <v>Martha zuliaga</v>
      </c>
      <c r="H1411" s="16">
        <f>IFERROR(__xludf.DUMMYFUNCTION("""COMPUTED_VALUE"""),10087.0)</f>
        <v>10087</v>
      </c>
      <c r="I1411" s="18">
        <f>IFERROR(__xludf.DUMMYFUNCTION("""COMPUTED_VALUE"""),7.0)</f>
        <v>7</v>
      </c>
      <c r="J1411" s="18">
        <f>IFERROR(__xludf.DUMMYFUNCTION("""COMPUTED_VALUE"""),26.0)</f>
        <v>26</v>
      </c>
      <c r="K1411" s="18">
        <f>IFERROR(__xludf.DUMMYFUNCTION("""COMPUTED_VALUE"""),31.0)</f>
        <v>31</v>
      </c>
      <c r="L1411" s="17">
        <f>IFERROR(__xludf.DUMMYFUNCTION("""COMPUTED_VALUE"""),3.216296861E9)</f>
        <v>3216296861</v>
      </c>
      <c r="M1411" s="17" t="str">
        <f>IFERROR(__xludf.DUMMYFUNCTION("""COMPUTED_VALUE"""),"#REF!")</f>
        <v>#REF!</v>
      </c>
      <c r="N1411" s="17"/>
      <c r="O1411" s="19" t="str">
        <f>IFERROR(__xludf.DUMMYFUNCTION("""COMPUTED_VALUE"""),"")</f>
        <v/>
      </c>
      <c r="P1411" s="17" t="b">
        <f>IFERROR(__xludf.DUMMYFUNCTION("""COMPUTED_VALUE"""),FALSE)</f>
        <v>0</v>
      </c>
      <c r="Q1411" s="20" t="str">
        <f>IFERROR(__xludf.DUMMYFUNCTION("""COMPUTED_VALUE"""),"")</f>
        <v/>
      </c>
      <c r="R1411" s="22" t="str">
        <f>IFERROR(__xludf.DUMMYFUNCTION("""COMPUTED_VALUE"""),"")</f>
        <v/>
      </c>
    </row>
    <row r="1412">
      <c r="A1412" s="15">
        <f>IFERROR(__xludf.DUMMYFUNCTION("""COMPUTED_VALUE"""),45041.0)</f>
        <v>45041</v>
      </c>
      <c r="B1412" s="16" t="str">
        <f>IFERROR(__xludf.DUMMYFUNCTION("""COMPUTED_VALUE"""),"Jhon Anderson Ceballos Hernandez")</f>
        <v>Jhon Anderson Ceballos Hernandez</v>
      </c>
      <c r="C1412" s="15" t="str">
        <f>IFERROR(__xludf.DUMMYFUNCTION("""COMPUTED_VALUE"""),"MANIZALES")</f>
        <v>MANIZALES</v>
      </c>
      <c r="D1412" s="15" t="str">
        <f>IFERROR(__xludf.DUMMYFUNCTION("""COMPUTED_VALUE"""),"BOGOTÁ")</f>
        <v>BOGOTÁ</v>
      </c>
      <c r="E1412" s="15" t="str">
        <f>IFERROR(__xludf.DUMMYFUNCTION("""COMPUTED_VALUE"""),"Evamazzita")</f>
        <v>Evamazzita</v>
      </c>
      <c r="F1412" s="17" t="str">
        <f>IFERROR(__xludf.DUMMYFUNCTION("""COMPUTED_VALUE"""),"Calle 12 #7b-71  / apto 503 edificio arcoiris   / Chipre")</f>
        <v>Calle 12 #7b-71  / apto 503 edificio arcoiris   / Chipre</v>
      </c>
      <c r="G1412" s="15" t="str">
        <f>IFERROR(__xludf.DUMMYFUNCTION("""COMPUTED_VALUE"""),"DIANA LONDOÑO")</f>
        <v>DIANA LONDOÑO</v>
      </c>
      <c r="H1412" s="16">
        <f>IFERROR(__xludf.DUMMYFUNCTION("""COMPUTED_VALUE"""),10078.0)</f>
        <v>10078</v>
      </c>
      <c r="I1412" s="18">
        <f>IFERROR(__xludf.DUMMYFUNCTION("""COMPUTED_VALUE"""),3.0)</f>
        <v>3</v>
      </c>
      <c r="J1412" s="18">
        <f>IFERROR(__xludf.DUMMYFUNCTION("""COMPUTED_VALUE"""),15.0)</f>
        <v>15</v>
      </c>
      <c r="K1412" s="18">
        <f>IFERROR(__xludf.DUMMYFUNCTION("""COMPUTED_VALUE"""),20.0)</f>
        <v>20</v>
      </c>
      <c r="L1412" s="17">
        <f>IFERROR(__xludf.DUMMYFUNCTION("""COMPUTED_VALUE"""),3.208553721E9)</f>
        <v>3208553721</v>
      </c>
      <c r="M1412" s="17" t="str">
        <f>IFERROR(__xludf.DUMMYFUNCTION("""COMPUTED_VALUE"""),"#REF!")</f>
        <v>#REF!</v>
      </c>
      <c r="N1412" s="17"/>
      <c r="O1412" s="19" t="str">
        <f>IFERROR(__xludf.DUMMYFUNCTION("""COMPUTED_VALUE"""),"")</f>
        <v/>
      </c>
      <c r="P1412" s="17" t="b">
        <f>IFERROR(__xludf.DUMMYFUNCTION("""COMPUTED_VALUE"""),FALSE)</f>
        <v>0</v>
      </c>
      <c r="Q1412" s="20" t="str">
        <f>IFERROR(__xludf.DUMMYFUNCTION("""COMPUTED_VALUE"""),"")</f>
        <v/>
      </c>
      <c r="R1412" s="22" t="str">
        <f>IFERROR(__xludf.DUMMYFUNCTION("""COMPUTED_VALUE"""),"")</f>
        <v/>
      </c>
    </row>
    <row r="1413">
      <c r="A1413" s="15">
        <f>IFERROR(__xludf.DUMMYFUNCTION("""COMPUTED_VALUE"""),45041.0)</f>
        <v>45041</v>
      </c>
      <c r="B1413" s="16" t="str">
        <f>IFERROR(__xludf.DUMMYFUNCTION("""COMPUTED_VALUE"""),"Jhon Anderson Ceballos Hernandez")</f>
        <v>Jhon Anderson Ceballos Hernandez</v>
      </c>
      <c r="C1413" s="15" t="str">
        <f>IFERROR(__xludf.DUMMYFUNCTION("""COMPUTED_VALUE"""),"MANIZALES")</f>
        <v>MANIZALES</v>
      </c>
      <c r="D1413" s="15" t="str">
        <f>IFERROR(__xludf.DUMMYFUNCTION("""COMPUTED_VALUE"""),"BOGOTÁ")</f>
        <v>BOGOTÁ</v>
      </c>
      <c r="E1413" s="15" t="str">
        <f>IFERROR(__xludf.DUMMYFUNCTION("""COMPUTED_VALUE"""),"Evamazzita")</f>
        <v>Evamazzita</v>
      </c>
      <c r="F1413" s="17" t="str">
        <f>IFERROR(__xludf.DUMMYFUNCTION("""COMPUTED_VALUE"""),"MANIZALES: CRA 6A No. 10A - 06  /  edificio martha lucia apto 301 / CHIPRE VIEJO")</f>
        <v>MANIZALES: CRA 6A No. 10A - 06  /  edificio martha lucia apto 301 / CHIPRE VIEJO</v>
      </c>
      <c r="G1413" s="15" t="str">
        <f>IFERROR(__xludf.DUMMYFUNCTION("""COMPUTED_VALUE"""),"JULIANA GIRALDO")</f>
        <v>JULIANA GIRALDO</v>
      </c>
      <c r="H1413" s="16">
        <f>IFERROR(__xludf.DUMMYFUNCTION("""COMPUTED_VALUE"""),10079.0)</f>
        <v>10079</v>
      </c>
      <c r="I1413" s="18">
        <f>IFERROR(__xludf.DUMMYFUNCTION("""COMPUTED_VALUE"""),16.0)</f>
        <v>16</v>
      </c>
      <c r="J1413" s="18">
        <f>IFERROR(__xludf.DUMMYFUNCTION("""COMPUTED_VALUE"""),19.0)</f>
        <v>19</v>
      </c>
      <c r="K1413" s="18">
        <f>IFERROR(__xludf.DUMMYFUNCTION("""COMPUTED_VALUE"""),20.0)</f>
        <v>20</v>
      </c>
      <c r="L1413" s="17">
        <f>IFERROR(__xludf.DUMMYFUNCTION("""COMPUTED_VALUE"""),3.02415322E9)</f>
        <v>3024153220</v>
      </c>
      <c r="M1413" s="17" t="str">
        <f>IFERROR(__xludf.DUMMYFUNCTION("""COMPUTED_VALUE"""),"#REF!")</f>
        <v>#REF!</v>
      </c>
      <c r="N1413" s="17"/>
      <c r="O1413" s="19" t="str">
        <f>IFERROR(__xludf.DUMMYFUNCTION("""COMPUTED_VALUE"""),"")</f>
        <v/>
      </c>
      <c r="P1413" s="17" t="b">
        <f>IFERROR(__xludf.DUMMYFUNCTION("""COMPUTED_VALUE"""),FALSE)</f>
        <v>0</v>
      </c>
      <c r="Q1413" s="20" t="str">
        <f>IFERROR(__xludf.DUMMYFUNCTION("""COMPUTED_VALUE"""),"")</f>
        <v/>
      </c>
      <c r="R1413" s="22" t="str">
        <f>IFERROR(__xludf.DUMMYFUNCTION("""COMPUTED_VALUE"""),"")</f>
        <v/>
      </c>
    </row>
    <row r="1414">
      <c r="A1414" s="15">
        <f>IFERROR(__xludf.DUMMYFUNCTION("""COMPUTED_VALUE"""),45041.0)</f>
        <v>45041</v>
      </c>
      <c r="B1414" s="16" t="str">
        <f>IFERROR(__xludf.DUMMYFUNCTION("""COMPUTED_VALUE"""),"Jhon Anderson Ceballos Hernandez")</f>
        <v>Jhon Anderson Ceballos Hernandez</v>
      </c>
      <c r="C1414" s="15" t="str">
        <f>IFERROR(__xludf.DUMMYFUNCTION("""COMPUTED_VALUE"""),"MANIZALES")</f>
        <v>MANIZALES</v>
      </c>
      <c r="D1414" s="15" t="str">
        <f>IFERROR(__xludf.DUMMYFUNCTION("""COMPUTED_VALUE"""),"BOGOTÁ")</f>
        <v>BOGOTÁ</v>
      </c>
      <c r="E1414" s="15" t="str">
        <f>IFERROR(__xludf.DUMMYFUNCTION("""COMPUTED_VALUE"""),"Ins. Alimento Vital")</f>
        <v>Ins. Alimento Vital</v>
      </c>
      <c r="F1414" s="17" t="str">
        <f>IFERROR(__xludf.DUMMYFUNCTION("""COMPUTED_VALUE"""),"CR 19 62 A 90  / CASA LA RAMBLA / CASA LA RAMBLA")</f>
        <v>CR 19 62 A 90  / CASA LA RAMBLA / CASA LA RAMBLA</v>
      </c>
      <c r="G1414" s="15" t="str">
        <f>IFERROR(__xludf.DUMMYFUNCTION("""COMPUTED_VALUE"""),"JESSICA PAOLA MURCIA HENAO")</f>
        <v>JESSICA PAOLA MURCIA HENAO</v>
      </c>
      <c r="H1414" s="16">
        <f>IFERROR(__xludf.DUMMYFUNCTION("""COMPUTED_VALUE"""),10024.0)</f>
        <v>10024</v>
      </c>
      <c r="I1414" s="18">
        <f>IFERROR(__xludf.DUMMYFUNCTION("""COMPUTED_VALUE"""),1.0)</f>
        <v>1</v>
      </c>
      <c r="J1414" s="18">
        <f>IFERROR(__xludf.DUMMYFUNCTION("""COMPUTED_VALUE"""),1.0)</f>
        <v>1</v>
      </c>
      <c r="K1414" s="18">
        <f>IFERROR(__xludf.DUMMYFUNCTION("""COMPUTED_VALUE"""),1.0)</f>
        <v>1</v>
      </c>
      <c r="L1414" s="17">
        <f>IFERROR(__xludf.DUMMYFUNCTION("""COMPUTED_VALUE"""),3.226751284E9)</f>
        <v>3226751284</v>
      </c>
      <c r="M1414" s="17" t="str">
        <f>IFERROR(__xludf.DUMMYFUNCTION("""COMPUTED_VALUE"""),"#REF!")</f>
        <v>#REF!</v>
      </c>
      <c r="N1414" s="17"/>
      <c r="O1414" s="19" t="str">
        <f>IFERROR(__xludf.DUMMYFUNCTION("""COMPUTED_VALUE"""),"")</f>
        <v/>
      </c>
      <c r="P1414" s="17" t="b">
        <f>IFERROR(__xludf.DUMMYFUNCTION("""COMPUTED_VALUE"""),FALSE)</f>
        <v>0</v>
      </c>
      <c r="Q1414" s="20" t="str">
        <f>IFERROR(__xludf.DUMMYFUNCTION("""COMPUTED_VALUE"""),"")</f>
        <v/>
      </c>
      <c r="R1414" s="22" t="str">
        <f>IFERROR(__xludf.DUMMYFUNCTION("""COMPUTED_VALUE"""),"")</f>
        <v/>
      </c>
    </row>
    <row r="1415">
      <c r="A1415" s="15">
        <f>IFERROR(__xludf.DUMMYFUNCTION("""COMPUTED_VALUE"""),45041.0)</f>
        <v>45041</v>
      </c>
      <c r="B1415" s="16" t="str">
        <f>IFERROR(__xludf.DUMMYFUNCTION("""COMPUTED_VALUE"""),"Jhon Anderson Ceballos Hernandez")</f>
        <v>Jhon Anderson Ceballos Hernandez</v>
      </c>
      <c r="C1415" s="15" t="str">
        <f>IFERROR(__xludf.DUMMYFUNCTION("""COMPUTED_VALUE"""),"MANIZALES")</f>
        <v>MANIZALES</v>
      </c>
      <c r="D1415" s="15" t="str">
        <f>IFERROR(__xludf.DUMMYFUNCTION("""COMPUTED_VALUE"""),"BOGOTÁ")</f>
        <v>BOGOTÁ</v>
      </c>
      <c r="E1415" s="15" t="str">
        <f>IFERROR(__xludf.DUMMYFUNCTION("""COMPUTED_VALUE"""),"Mavia")</f>
        <v>Mavia</v>
      </c>
      <c r="F1415" s="17" t="str">
        <f>IFERROR(__xludf.DUMMYFUNCTION("""COMPUTED_VALUE"""),"Cra 24a # 61 - 56 / Diaginal a la uniteca segundo piso / La estrella")</f>
        <v>Cra 24a # 61 - 56 / Diaginal a la uniteca segundo piso / La estrella</v>
      </c>
      <c r="G1415" s="15" t="str">
        <f>IFERROR(__xludf.DUMMYFUNCTION("""COMPUTED_VALUE"""),"Gloria muñoz")</f>
        <v>Gloria muñoz</v>
      </c>
      <c r="H1415" s="16">
        <f>IFERROR(__xludf.DUMMYFUNCTION("""COMPUTED_VALUE"""),10043.0)</f>
        <v>10043</v>
      </c>
      <c r="I1415" s="18">
        <f>IFERROR(__xludf.DUMMYFUNCTION("""COMPUTED_VALUE"""),20.0)</f>
        <v>20</v>
      </c>
      <c r="J1415" s="18">
        <f>IFERROR(__xludf.DUMMYFUNCTION("""COMPUTED_VALUE"""),10.0)</f>
        <v>10</v>
      </c>
      <c r="K1415" s="18">
        <f>IFERROR(__xludf.DUMMYFUNCTION("""COMPUTED_VALUE"""),20.0)</f>
        <v>20</v>
      </c>
      <c r="L1415" s="17">
        <f>IFERROR(__xludf.DUMMYFUNCTION("""COMPUTED_VALUE"""),3.103897253E9)</f>
        <v>3103897253</v>
      </c>
      <c r="M1415" s="17" t="str">
        <f>IFERROR(__xludf.DUMMYFUNCTION("""COMPUTED_VALUE"""),"#REF!")</f>
        <v>#REF!</v>
      </c>
      <c r="N1415" s="17"/>
      <c r="O1415" s="19" t="str">
        <f>IFERROR(__xludf.DUMMYFUNCTION("""COMPUTED_VALUE"""),"")</f>
        <v/>
      </c>
      <c r="P1415" s="17" t="b">
        <f>IFERROR(__xludf.DUMMYFUNCTION("""COMPUTED_VALUE"""),FALSE)</f>
        <v>0</v>
      </c>
      <c r="Q1415" s="20" t="str">
        <f>IFERROR(__xludf.DUMMYFUNCTION("""COMPUTED_VALUE"""),"")</f>
        <v/>
      </c>
      <c r="R1415" s="22" t="str">
        <f>IFERROR(__xludf.DUMMYFUNCTION("""COMPUTED_VALUE"""),"")</f>
        <v/>
      </c>
    </row>
    <row r="1416">
      <c r="A1416" s="17" t="str">
        <f>IFERROR(__xludf.DUMMYFUNCTION("""COMPUTED_VALUE"""),"")</f>
        <v/>
      </c>
      <c r="B1416" s="17" t="str">
        <f>IFERROR(__xludf.DUMMYFUNCTION("""COMPUTED_VALUE"""),"")</f>
        <v/>
      </c>
      <c r="C1416" s="17" t="str">
        <f>IFERROR(__xludf.DUMMYFUNCTION("""COMPUTED_VALUE"""),"")</f>
        <v/>
      </c>
      <c r="D1416" s="17" t="str">
        <f>IFERROR(__xludf.DUMMYFUNCTION("""COMPUTED_VALUE"""),"")</f>
        <v/>
      </c>
      <c r="E1416" s="17" t="str">
        <f>IFERROR(__xludf.DUMMYFUNCTION("""COMPUTED_VALUE"""),"")</f>
        <v/>
      </c>
      <c r="F1416" s="17" t="str">
        <f>IFERROR(__xludf.DUMMYFUNCTION("""COMPUTED_VALUE"""),"")</f>
        <v/>
      </c>
      <c r="G1416" s="17" t="str">
        <f>IFERROR(__xludf.DUMMYFUNCTION("""COMPUTED_VALUE"""),"")</f>
        <v/>
      </c>
      <c r="H1416" s="17" t="str">
        <f>IFERROR(__xludf.DUMMYFUNCTION("""COMPUTED_VALUE"""),"")</f>
        <v/>
      </c>
      <c r="I1416" s="17" t="str">
        <f>IFERROR(__xludf.DUMMYFUNCTION("""COMPUTED_VALUE"""),"")</f>
        <v/>
      </c>
      <c r="J1416" s="17" t="str">
        <f>IFERROR(__xludf.DUMMYFUNCTION("""COMPUTED_VALUE"""),"")</f>
        <v/>
      </c>
      <c r="K1416" s="17" t="str">
        <f>IFERROR(__xludf.DUMMYFUNCTION("""COMPUTED_VALUE"""),"")</f>
        <v/>
      </c>
      <c r="L1416" s="17" t="str">
        <f>IFERROR(__xludf.DUMMYFUNCTION("""COMPUTED_VALUE"""),"")</f>
        <v/>
      </c>
      <c r="M1416" s="17" t="str">
        <f>IFERROR(__xludf.DUMMYFUNCTION("""COMPUTED_VALUE"""),"")</f>
        <v/>
      </c>
      <c r="N1416" s="17" t="str">
        <f>IFERROR(__xludf.DUMMYFUNCTION("""COMPUTED_VALUE"""),"")</f>
        <v/>
      </c>
      <c r="O1416" s="17" t="str">
        <f>IFERROR(__xludf.DUMMYFUNCTION("""COMPUTED_VALUE"""),"")</f>
        <v/>
      </c>
      <c r="P1416" s="17" t="str">
        <f>IFERROR(__xludf.DUMMYFUNCTION("""COMPUTED_VALUE"""),"")</f>
        <v/>
      </c>
      <c r="Q1416" s="17" t="str">
        <f>IFERROR(__xludf.DUMMYFUNCTION("""COMPUTED_VALUE"""),"")</f>
        <v/>
      </c>
      <c r="R1416" s="17" t="str">
        <f>IFERROR(__xludf.DUMMYFUNCTION("""COMPUTED_VALUE"""),"")</f>
        <v/>
      </c>
    </row>
    <row r="1417">
      <c r="A1417" s="15">
        <f>IFERROR(__xludf.DUMMYFUNCTION("""COMPUTED_VALUE"""),45041.0)</f>
        <v>45041</v>
      </c>
      <c r="B1417" s="16" t="str">
        <f>IFERROR(__xludf.DUMMYFUNCTION("""COMPUTED_VALUE"""),"Jhon Anderson Ceballos Hernandez")</f>
        <v>Jhon Anderson Ceballos Hernandez</v>
      </c>
      <c r="C1417" s="15" t="str">
        <f>IFERROR(__xludf.DUMMYFUNCTION("""COMPUTED_VALUE"""),"TUNJA")</f>
        <v>TUNJA</v>
      </c>
      <c r="D1417" s="15" t="str">
        <f>IFERROR(__xludf.DUMMYFUNCTION("""COMPUTED_VALUE"""),"BOGOTÁ")</f>
        <v>BOGOTÁ</v>
      </c>
      <c r="E1417" s="15" t="str">
        <f>IFERROR(__xludf.DUMMYFUNCTION("""COMPUTED_VALUE"""),"Evamazzita")</f>
        <v>Evamazzita</v>
      </c>
      <c r="F1417" s="17" t="str">
        <f>IFERROR(__xludf.DUMMYFUNCTION("""COMPUTED_VALUE"""),"AV. UNIVERSITARIA # 46 - 21  / EDIFICIO BAVARO PLAZA 4 APTO. 608  / BARRIO LAS QUINTAS")</f>
        <v>AV. UNIVERSITARIA # 46 - 21  / EDIFICIO BAVARO PLAZA 4 APTO. 608  / BARRIO LAS QUINTAS</v>
      </c>
      <c r="G1417" s="15" t="str">
        <f>IFERROR(__xludf.DUMMYFUNCTION("""COMPUTED_VALUE"""),"SARA CATALINA CASTILLO RODRIGUEZ")</f>
        <v>SARA CATALINA CASTILLO RODRIGUEZ</v>
      </c>
      <c r="H1417" s="16">
        <f>IFERROR(__xludf.DUMMYFUNCTION("""COMPUTED_VALUE"""),10076.0)</f>
        <v>10076</v>
      </c>
      <c r="I1417" s="18">
        <f>IFERROR(__xludf.DUMMYFUNCTION("""COMPUTED_VALUE"""),3.0)</f>
        <v>3</v>
      </c>
      <c r="J1417" s="18">
        <f>IFERROR(__xludf.DUMMYFUNCTION("""COMPUTED_VALUE"""),20.0)</f>
        <v>20</v>
      </c>
      <c r="K1417" s="18">
        <f>IFERROR(__xludf.DUMMYFUNCTION("""COMPUTED_VALUE"""),15.0)</f>
        <v>15</v>
      </c>
      <c r="L1417" s="17">
        <f>IFERROR(__xludf.DUMMYFUNCTION("""COMPUTED_VALUE"""),3.123946814E9)</f>
        <v>3123946814</v>
      </c>
      <c r="M1417" s="17" t="str">
        <f>IFERROR(__xludf.DUMMYFUNCTION("""COMPUTED_VALUE"""),"#REF!")</f>
        <v>#REF!</v>
      </c>
      <c r="N1417" s="17"/>
      <c r="O1417" s="19" t="str">
        <f>IFERROR(__xludf.DUMMYFUNCTION("""COMPUTED_VALUE"""),"")</f>
        <v/>
      </c>
      <c r="P1417" s="17" t="b">
        <f>IFERROR(__xludf.DUMMYFUNCTION("""COMPUTED_VALUE"""),FALSE)</f>
        <v>0</v>
      </c>
      <c r="Q1417" s="20" t="str">
        <f>IFERROR(__xludf.DUMMYFUNCTION("""COMPUTED_VALUE"""),"")</f>
        <v/>
      </c>
      <c r="R1417" s="22" t="str">
        <f>IFERROR(__xludf.DUMMYFUNCTION("""COMPUTED_VALUE"""),"")</f>
        <v/>
      </c>
    </row>
    <row r="1418">
      <c r="A1418" s="15">
        <f>IFERROR(__xludf.DUMMYFUNCTION("""COMPUTED_VALUE"""),45041.0)</f>
        <v>45041</v>
      </c>
      <c r="B1418" s="16" t="str">
        <f>IFERROR(__xludf.DUMMYFUNCTION("""COMPUTED_VALUE"""),"Jhon Anderson Ceballos Hernandez")</f>
        <v>Jhon Anderson Ceballos Hernandez</v>
      </c>
      <c r="C1418" s="15" t="str">
        <f>IFERROR(__xludf.DUMMYFUNCTION("""COMPUTED_VALUE"""),"TUNJA")</f>
        <v>TUNJA</v>
      </c>
      <c r="D1418" s="15" t="str">
        <f>IFERROR(__xludf.DUMMYFUNCTION("""COMPUTED_VALUE"""),"BOGOTÁ")</f>
        <v>BOGOTÁ</v>
      </c>
      <c r="E1418" s="15" t="str">
        <f>IFERROR(__xludf.DUMMYFUNCTION("""COMPUTED_VALUE"""),"Evamazzita")</f>
        <v>Evamazzita</v>
      </c>
      <c r="F1418" s="17" t="str">
        <f>IFERROR(__xludf.DUMMYFUNCTION("""COMPUTED_VALUE"""),"Cra 10 N 26-84  / N/A / N/A")</f>
        <v>Cra 10 N 26-84  / N/A / N/A</v>
      </c>
      <c r="G1418" s="15" t="str">
        <f>IFERROR(__xludf.DUMMYFUNCTION("""COMPUTED_VALUE"""),"SUSSY VIVIAN PEREZ OLAVE")</f>
        <v>SUSSY VIVIAN PEREZ OLAVE</v>
      </c>
      <c r="H1418" s="16">
        <f>IFERROR(__xludf.DUMMYFUNCTION("""COMPUTED_VALUE"""),10077.0)</f>
        <v>10077</v>
      </c>
      <c r="I1418" s="18">
        <f>IFERROR(__xludf.DUMMYFUNCTION("""COMPUTED_VALUE"""),10.0)</f>
        <v>10</v>
      </c>
      <c r="J1418" s="18">
        <f>IFERROR(__xludf.DUMMYFUNCTION("""COMPUTED_VALUE"""),18.0)</f>
        <v>18</v>
      </c>
      <c r="K1418" s="18">
        <f>IFERROR(__xludf.DUMMYFUNCTION("""COMPUTED_VALUE"""),22.0)</f>
        <v>22</v>
      </c>
      <c r="L1418" s="17">
        <f>IFERROR(__xludf.DUMMYFUNCTION("""COMPUTED_VALUE"""),3.217790723E9)</f>
        <v>3217790723</v>
      </c>
      <c r="M1418" s="17" t="str">
        <f>IFERROR(__xludf.DUMMYFUNCTION("""COMPUTED_VALUE"""),"#REF!")</f>
        <v>#REF!</v>
      </c>
      <c r="N1418" s="17"/>
      <c r="O1418" s="19" t="str">
        <f>IFERROR(__xludf.DUMMYFUNCTION("""COMPUTED_VALUE"""),"")</f>
        <v/>
      </c>
      <c r="P1418" s="17" t="b">
        <f>IFERROR(__xludf.DUMMYFUNCTION("""COMPUTED_VALUE"""),FALSE)</f>
        <v>0</v>
      </c>
      <c r="Q1418" s="20" t="str">
        <f>IFERROR(__xludf.DUMMYFUNCTION("""COMPUTED_VALUE"""),"")</f>
        <v/>
      </c>
      <c r="R1418" s="22" t="str">
        <f>IFERROR(__xludf.DUMMYFUNCTION("""COMPUTED_VALUE"""),"")</f>
        <v/>
      </c>
    </row>
    <row r="1419">
      <c r="A1419" s="17" t="str">
        <f>IFERROR(__xludf.DUMMYFUNCTION("""COMPUTED_VALUE"""),"")</f>
        <v/>
      </c>
      <c r="B1419" s="17" t="str">
        <f>IFERROR(__xludf.DUMMYFUNCTION("""COMPUTED_VALUE"""),"")</f>
        <v/>
      </c>
      <c r="C1419" s="17" t="str">
        <f>IFERROR(__xludf.DUMMYFUNCTION("""COMPUTED_VALUE"""),"")</f>
        <v/>
      </c>
      <c r="D1419" s="17" t="str">
        <f>IFERROR(__xludf.DUMMYFUNCTION("""COMPUTED_VALUE"""),"")</f>
        <v/>
      </c>
      <c r="E1419" s="17" t="str">
        <f>IFERROR(__xludf.DUMMYFUNCTION("""COMPUTED_VALUE"""),"")</f>
        <v/>
      </c>
      <c r="F1419" s="17" t="str">
        <f>IFERROR(__xludf.DUMMYFUNCTION("""COMPUTED_VALUE"""),"")</f>
        <v/>
      </c>
      <c r="G1419" s="17" t="str">
        <f>IFERROR(__xludf.DUMMYFUNCTION("""COMPUTED_VALUE"""),"")</f>
        <v/>
      </c>
      <c r="H1419" s="17" t="str">
        <f>IFERROR(__xludf.DUMMYFUNCTION("""COMPUTED_VALUE"""),"")</f>
        <v/>
      </c>
      <c r="I1419" s="17" t="str">
        <f>IFERROR(__xludf.DUMMYFUNCTION("""COMPUTED_VALUE"""),"")</f>
        <v/>
      </c>
      <c r="J1419" s="17" t="str">
        <f>IFERROR(__xludf.DUMMYFUNCTION("""COMPUTED_VALUE"""),"")</f>
        <v/>
      </c>
      <c r="K1419" s="17" t="str">
        <f>IFERROR(__xludf.DUMMYFUNCTION("""COMPUTED_VALUE"""),"")</f>
        <v/>
      </c>
      <c r="L1419" s="17" t="str">
        <f>IFERROR(__xludf.DUMMYFUNCTION("""COMPUTED_VALUE"""),"")</f>
        <v/>
      </c>
      <c r="M1419" s="17" t="str">
        <f>IFERROR(__xludf.DUMMYFUNCTION("""COMPUTED_VALUE"""),"")</f>
        <v/>
      </c>
      <c r="N1419" s="17" t="str">
        <f>IFERROR(__xludf.DUMMYFUNCTION("""COMPUTED_VALUE"""),"")</f>
        <v/>
      </c>
      <c r="O1419" s="17" t="str">
        <f>IFERROR(__xludf.DUMMYFUNCTION("""COMPUTED_VALUE"""),"")</f>
        <v/>
      </c>
      <c r="P1419" s="17" t="str">
        <f>IFERROR(__xludf.DUMMYFUNCTION("""COMPUTED_VALUE"""),"")</f>
        <v/>
      </c>
      <c r="Q1419" s="17" t="str">
        <f>IFERROR(__xludf.DUMMYFUNCTION("""COMPUTED_VALUE"""),"")</f>
        <v/>
      </c>
      <c r="R1419" s="17" t="str">
        <f>IFERROR(__xludf.DUMMYFUNCTION("""COMPUTED_VALUE"""),"")</f>
        <v/>
      </c>
    </row>
    <row r="1420">
      <c r="A1420" s="15">
        <f>IFERROR(__xludf.DUMMYFUNCTION("""COMPUTED_VALUE"""),45041.0)</f>
        <v>45041</v>
      </c>
      <c r="B1420" s="16" t="str">
        <f>IFERROR(__xludf.DUMMYFUNCTION("""COMPUTED_VALUE"""),"Johan Alexander Escobar Arroyo ")</f>
        <v>Johan Alexander Escobar Arroyo </v>
      </c>
      <c r="C1420" s="15" t="str">
        <f>IFERROR(__xludf.DUMMYFUNCTION("""COMPUTED_VALUE"""),"CALI")</f>
        <v>CALI</v>
      </c>
      <c r="D1420" s="15" t="str">
        <f>IFERROR(__xludf.DUMMYFUNCTION("""COMPUTED_VALUE"""),"BOGOTÁ")</f>
        <v>BOGOTÁ</v>
      </c>
      <c r="E1420" s="15" t="str">
        <f>IFERROR(__xludf.DUMMYFUNCTION("""COMPUTED_VALUE"""),"Asociacion Agropecuaria Juana Maria")</f>
        <v>Asociacion Agropecuaria Juana Maria</v>
      </c>
      <c r="F1420" s="17" t="str">
        <f>IFERROR(__xludf.DUMMYFUNCTION("""COMPUTED_VALUE"""),"Carrera 17B # 33E-33 La Floresta vieja")</f>
        <v>Carrera 17B # 33E-33 La Floresta vieja</v>
      </c>
      <c r="G1420" s="15" t="str">
        <f>IFERROR(__xludf.DUMMYFUNCTION("""COMPUTED_VALUE"""),"Johanna acuña  Molina")</f>
        <v>Johanna acuña  Molina</v>
      </c>
      <c r="H1420" s="16">
        <f>IFERROR(__xludf.DUMMYFUNCTION("""COMPUTED_VALUE"""),10005.0)</f>
        <v>10005</v>
      </c>
      <c r="I1420" s="18">
        <f>IFERROR(__xludf.DUMMYFUNCTION("""COMPUTED_VALUE"""),16.0)</f>
        <v>16</v>
      </c>
      <c r="J1420" s="18">
        <f>IFERROR(__xludf.DUMMYFUNCTION("""COMPUTED_VALUE"""),34.0)</f>
        <v>34</v>
      </c>
      <c r="K1420" s="18">
        <f>IFERROR(__xludf.DUMMYFUNCTION("""COMPUTED_VALUE"""),25.0)</f>
        <v>25</v>
      </c>
      <c r="L1420" s="17">
        <f>IFERROR(__xludf.DUMMYFUNCTION("""COMPUTED_VALUE"""),3.218700343E9)</f>
        <v>3218700343</v>
      </c>
      <c r="M1420" s="17" t="str">
        <f>IFERROR(__xludf.DUMMYFUNCTION("""COMPUTED_VALUE"""),"#REF!")</f>
        <v>#REF!</v>
      </c>
      <c r="N1420" s="17"/>
      <c r="O1420" s="19" t="str">
        <f>IFERROR(__xludf.DUMMYFUNCTION("""COMPUTED_VALUE"""),"")</f>
        <v/>
      </c>
      <c r="P1420" s="17" t="b">
        <f>IFERROR(__xludf.DUMMYFUNCTION("""COMPUTED_VALUE"""),FALSE)</f>
        <v>0</v>
      </c>
      <c r="Q1420" s="20" t="str">
        <f>IFERROR(__xludf.DUMMYFUNCTION("""COMPUTED_VALUE"""),"")</f>
        <v/>
      </c>
      <c r="R1420" s="22" t="str">
        <f>IFERROR(__xludf.DUMMYFUNCTION("""COMPUTED_VALUE"""),"")</f>
        <v/>
      </c>
    </row>
    <row r="1421">
      <c r="A1421" s="15">
        <f>IFERROR(__xludf.DUMMYFUNCTION("""COMPUTED_VALUE"""),45041.0)</f>
        <v>45041</v>
      </c>
      <c r="B1421" s="16" t="str">
        <f>IFERROR(__xludf.DUMMYFUNCTION("""COMPUTED_VALUE"""),"Johan Alexander Escobar Arroyo ")</f>
        <v>Johan Alexander Escobar Arroyo </v>
      </c>
      <c r="C1421" s="15" t="str">
        <f>IFERROR(__xludf.DUMMYFUNCTION("""COMPUTED_VALUE"""),"CALI")</f>
        <v>CALI</v>
      </c>
      <c r="D1421" s="15" t="str">
        <f>IFERROR(__xludf.DUMMYFUNCTION("""COMPUTED_VALUE"""),"BOGOTÁ")</f>
        <v>BOGOTÁ</v>
      </c>
      <c r="E1421" s="15" t="str">
        <f>IFERROR(__xludf.DUMMYFUNCTION("""COMPUTED_VALUE"""),"Evamazzita")</f>
        <v>Evamazzita</v>
      </c>
      <c r="F1421" s="17" t="str">
        <f>IFERROR(__xludf.DUMMYFUNCTION("""COMPUTED_VALUE"""),"Avenida 2FNorte 32A30  / CR Balcones de la Flora Apto 103B   / Barrio Prados del norte")</f>
        <v>Avenida 2FNorte 32A30  / CR Balcones de la Flora Apto 103B   / Barrio Prados del norte</v>
      </c>
      <c r="G1421" s="15" t="str">
        <f>IFERROR(__xludf.DUMMYFUNCTION("""COMPUTED_VALUE"""),"DIANA ARANGO")</f>
        <v>DIANA ARANGO</v>
      </c>
      <c r="H1421" s="16">
        <f>IFERROR(__xludf.DUMMYFUNCTION("""COMPUTED_VALUE"""),10038.0)</f>
        <v>10038</v>
      </c>
      <c r="I1421" s="18">
        <f>IFERROR(__xludf.DUMMYFUNCTION("""COMPUTED_VALUE"""),10.0)</f>
        <v>10</v>
      </c>
      <c r="J1421" s="18">
        <f>IFERROR(__xludf.DUMMYFUNCTION("""COMPUTED_VALUE"""),18.0)</f>
        <v>18</v>
      </c>
      <c r="K1421" s="18">
        <f>IFERROR(__xludf.DUMMYFUNCTION("""COMPUTED_VALUE"""),22.0)</f>
        <v>22</v>
      </c>
      <c r="L1421" s="17">
        <f>IFERROR(__xludf.DUMMYFUNCTION("""COMPUTED_VALUE"""),3.105367083E9)</f>
        <v>3105367083</v>
      </c>
      <c r="M1421" s="17" t="str">
        <f>IFERROR(__xludf.DUMMYFUNCTION("""COMPUTED_VALUE"""),"#REF!")</f>
        <v>#REF!</v>
      </c>
      <c r="N1421" s="17"/>
      <c r="O1421" s="19" t="str">
        <f>IFERROR(__xludf.DUMMYFUNCTION("""COMPUTED_VALUE"""),"")</f>
        <v/>
      </c>
      <c r="P1421" s="17" t="b">
        <f>IFERROR(__xludf.DUMMYFUNCTION("""COMPUTED_VALUE"""),FALSE)</f>
        <v>0</v>
      </c>
      <c r="Q1421" s="20" t="str">
        <f>IFERROR(__xludf.DUMMYFUNCTION("""COMPUTED_VALUE"""),"")</f>
        <v/>
      </c>
      <c r="R1421" s="22" t="str">
        <f>IFERROR(__xludf.DUMMYFUNCTION("""COMPUTED_VALUE"""),"")</f>
        <v/>
      </c>
    </row>
    <row r="1422">
      <c r="A1422" s="15">
        <f>IFERROR(__xludf.DUMMYFUNCTION("""COMPUTED_VALUE"""),45041.0)</f>
        <v>45041</v>
      </c>
      <c r="B1422" s="16" t="str">
        <f>IFERROR(__xludf.DUMMYFUNCTION("""COMPUTED_VALUE"""),"Johan Alexander Escobar Arroyo ")</f>
        <v>Johan Alexander Escobar Arroyo </v>
      </c>
      <c r="C1422" s="15" t="str">
        <f>IFERROR(__xludf.DUMMYFUNCTION("""COMPUTED_VALUE"""),"CALI")</f>
        <v>CALI</v>
      </c>
      <c r="D1422" s="15" t="str">
        <f>IFERROR(__xludf.DUMMYFUNCTION("""COMPUTED_VALUE"""),"BOGOTÁ")</f>
        <v>BOGOTÁ</v>
      </c>
      <c r="E1422" s="15" t="str">
        <f>IFERROR(__xludf.DUMMYFUNCTION("""COMPUTED_VALUE"""),"Evamazzita")</f>
        <v>Evamazzita</v>
      </c>
      <c r="F1422" s="17" t="str">
        <f>IFERROR(__xludf.DUMMYFUNCTION("""COMPUTED_VALUE"""),"Calle 9c #40a 57  / Apto 201  / Barrio Los Cambulos")</f>
        <v>Calle 9c #40a 57  / Apto 201  / Barrio Los Cambulos</v>
      </c>
      <c r="G1422" s="15" t="str">
        <f>IFERROR(__xludf.DUMMYFUNCTION("""COMPUTED_VALUE"""),"GABRIELA URBANO")</f>
        <v>GABRIELA URBANO</v>
      </c>
      <c r="H1422" s="16">
        <f>IFERROR(__xludf.DUMMYFUNCTION("""COMPUTED_VALUE"""),10035.0)</f>
        <v>10035</v>
      </c>
      <c r="I1422" s="18">
        <f>IFERROR(__xludf.DUMMYFUNCTION("""COMPUTED_VALUE"""),3.0)</f>
        <v>3</v>
      </c>
      <c r="J1422" s="18">
        <f>IFERROR(__xludf.DUMMYFUNCTION("""COMPUTED_VALUE"""),20.0)</f>
        <v>20</v>
      </c>
      <c r="K1422" s="18">
        <f>IFERROR(__xludf.DUMMYFUNCTION("""COMPUTED_VALUE"""),15.0)</f>
        <v>15</v>
      </c>
      <c r="L1422" s="17">
        <f>IFERROR(__xludf.DUMMYFUNCTION("""COMPUTED_VALUE"""),3.165364257E9)</f>
        <v>3165364257</v>
      </c>
      <c r="M1422" s="17" t="str">
        <f>IFERROR(__xludf.DUMMYFUNCTION("""COMPUTED_VALUE"""),"#REF!")</f>
        <v>#REF!</v>
      </c>
      <c r="N1422" s="17"/>
      <c r="O1422" s="19" t="str">
        <f>IFERROR(__xludf.DUMMYFUNCTION("""COMPUTED_VALUE"""),"")</f>
        <v/>
      </c>
      <c r="P1422" s="17" t="b">
        <f>IFERROR(__xludf.DUMMYFUNCTION("""COMPUTED_VALUE"""),FALSE)</f>
        <v>0</v>
      </c>
      <c r="Q1422" s="20" t="str">
        <f>IFERROR(__xludf.DUMMYFUNCTION("""COMPUTED_VALUE"""),"")</f>
        <v/>
      </c>
      <c r="R1422" s="22" t="str">
        <f>IFERROR(__xludf.DUMMYFUNCTION("""COMPUTED_VALUE"""),"")</f>
        <v/>
      </c>
    </row>
    <row r="1423">
      <c r="A1423" s="15">
        <f>IFERROR(__xludf.DUMMYFUNCTION("""COMPUTED_VALUE"""),45041.0)</f>
        <v>45041</v>
      </c>
      <c r="B1423" s="16" t="str">
        <f>IFERROR(__xludf.DUMMYFUNCTION("""COMPUTED_VALUE"""),"Johan Alexander Escobar Arroyo ")</f>
        <v>Johan Alexander Escobar Arroyo </v>
      </c>
      <c r="C1423" s="15" t="str">
        <f>IFERROR(__xludf.DUMMYFUNCTION("""COMPUTED_VALUE"""),"CALI")</f>
        <v>CALI</v>
      </c>
      <c r="D1423" s="15" t="str">
        <f>IFERROR(__xludf.DUMMYFUNCTION("""COMPUTED_VALUE"""),"BOGOTÁ")</f>
        <v>BOGOTÁ</v>
      </c>
      <c r="E1423" s="15" t="str">
        <f>IFERROR(__xludf.DUMMYFUNCTION("""COMPUTED_VALUE"""),"Evamazzita")</f>
        <v>Evamazzita</v>
      </c>
      <c r="F1423" s="17" t="str">
        <f>IFERROR(__xludf.DUMMYFUNCTION("""COMPUTED_VALUE"""),"carrera 1k #59-178  / N/A / paseo de los almendros")</f>
        <v>carrera 1k #59-178  / N/A / paseo de los almendros</v>
      </c>
      <c r="G1423" s="15" t="str">
        <f>IFERROR(__xludf.DUMMYFUNCTION("""COMPUTED_VALUE"""),"MARCELA BARON")</f>
        <v>MARCELA BARON</v>
      </c>
      <c r="H1423" s="16">
        <f>IFERROR(__xludf.DUMMYFUNCTION("""COMPUTED_VALUE"""),10040.0)</f>
        <v>10040</v>
      </c>
      <c r="I1423" s="18">
        <f>IFERROR(__xludf.DUMMYFUNCTION("""COMPUTED_VALUE"""),10.0)</f>
        <v>10</v>
      </c>
      <c r="J1423" s="18">
        <f>IFERROR(__xludf.DUMMYFUNCTION("""COMPUTED_VALUE"""),18.0)</f>
        <v>18</v>
      </c>
      <c r="K1423" s="18">
        <f>IFERROR(__xludf.DUMMYFUNCTION("""COMPUTED_VALUE"""),22.0)</f>
        <v>22</v>
      </c>
      <c r="L1423" s="17">
        <f>IFERROR(__xludf.DUMMYFUNCTION("""COMPUTED_VALUE"""),3.188781592E9)</f>
        <v>3188781592</v>
      </c>
      <c r="M1423" s="17" t="str">
        <f>IFERROR(__xludf.DUMMYFUNCTION("""COMPUTED_VALUE"""),"#REF!")</f>
        <v>#REF!</v>
      </c>
      <c r="N1423" s="17"/>
      <c r="O1423" s="19" t="str">
        <f>IFERROR(__xludf.DUMMYFUNCTION("""COMPUTED_VALUE"""),"")</f>
        <v/>
      </c>
      <c r="P1423" s="17" t="b">
        <f>IFERROR(__xludf.DUMMYFUNCTION("""COMPUTED_VALUE"""),FALSE)</f>
        <v>0</v>
      </c>
      <c r="Q1423" s="20" t="str">
        <f>IFERROR(__xludf.DUMMYFUNCTION("""COMPUTED_VALUE"""),"")</f>
        <v/>
      </c>
      <c r="R1423" s="22" t="str">
        <f>IFERROR(__xludf.DUMMYFUNCTION("""COMPUTED_VALUE"""),"")</f>
        <v/>
      </c>
    </row>
    <row r="1424">
      <c r="A1424" s="15">
        <f>IFERROR(__xludf.DUMMYFUNCTION("""COMPUTED_VALUE"""),45041.0)</f>
        <v>45041</v>
      </c>
      <c r="B1424" s="16" t="str">
        <f>IFERROR(__xludf.DUMMYFUNCTION("""COMPUTED_VALUE"""),"Johan Alexander Escobar Arroyo ")</f>
        <v>Johan Alexander Escobar Arroyo </v>
      </c>
      <c r="C1424" s="15" t="str">
        <f>IFERROR(__xludf.DUMMYFUNCTION("""COMPUTED_VALUE"""),"CALI")</f>
        <v>CALI</v>
      </c>
      <c r="D1424" s="15" t="str">
        <f>IFERROR(__xludf.DUMMYFUNCTION("""COMPUTED_VALUE"""),"BOGOTÁ")</f>
        <v>BOGOTÁ</v>
      </c>
      <c r="E1424" s="15" t="str">
        <f>IFERROR(__xludf.DUMMYFUNCTION("""COMPUTED_VALUE"""),"Evamazzita")</f>
        <v>Evamazzita</v>
      </c>
      <c r="F1424" s="17" t="str">
        <f>IFERROR(__xludf.DUMMYFUNCTION("""COMPUTED_VALUE"""),"CRA 27 No. 33E - 26  / N/A / EL PARAISO")</f>
        <v>CRA 27 No. 33E - 26  / N/A / EL PARAISO</v>
      </c>
      <c r="G1424" s="15" t="str">
        <f>IFERROR(__xludf.DUMMYFUNCTION("""COMPUTED_VALUE"""),"LEIDY CARDONA")</f>
        <v>LEIDY CARDONA</v>
      </c>
      <c r="H1424" s="16">
        <f>IFERROR(__xludf.DUMMYFUNCTION("""COMPUTED_VALUE"""),10039.0)</f>
        <v>10039</v>
      </c>
      <c r="I1424" s="18">
        <f>IFERROR(__xludf.DUMMYFUNCTION("""COMPUTED_VALUE"""),3.0)</f>
        <v>3</v>
      </c>
      <c r="J1424" s="18">
        <f>IFERROR(__xludf.DUMMYFUNCTION("""COMPUTED_VALUE"""),15.0)</f>
        <v>15</v>
      </c>
      <c r="K1424" s="18">
        <f>IFERROR(__xludf.DUMMYFUNCTION("""COMPUTED_VALUE"""),20.0)</f>
        <v>20</v>
      </c>
      <c r="L1424" s="17">
        <f>IFERROR(__xludf.DUMMYFUNCTION("""COMPUTED_VALUE"""),3.113086884E9)</f>
        <v>3113086884</v>
      </c>
      <c r="M1424" s="17" t="str">
        <f>IFERROR(__xludf.DUMMYFUNCTION("""COMPUTED_VALUE"""),"#REF!")</f>
        <v>#REF!</v>
      </c>
      <c r="N1424" s="17"/>
      <c r="O1424" s="19" t="str">
        <f>IFERROR(__xludf.DUMMYFUNCTION("""COMPUTED_VALUE"""),"")</f>
        <v/>
      </c>
      <c r="P1424" s="17" t="b">
        <f>IFERROR(__xludf.DUMMYFUNCTION("""COMPUTED_VALUE"""),FALSE)</f>
        <v>0</v>
      </c>
      <c r="Q1424" s="20" t="str">
        <f>IFERROR(__xludf.DUMMYFUNCTION("""COMPUTED_VALUE"""),"")</f>
        <v/>
      </c>
      <c r="R1424" s="22" t="str">
        <f>IFERROR(__xludf.DUMMYFUNCTION("""COMPUTED_VALUE"""),"")</f>
        <v/>
      </c>
    </row>
    <row r="1425">
      <c r="A1425" s="15">
        <f>IFERROR(__xludf.DUMMYFUNCTION("""COMPUTED_VALUE"""),45041.0)</f>
        <v>45041</v>
      </c>
      <c r="B1425" s="16" t="str">
        <f>IFERROR(__xludf.DUMMYFUNCTION("""COMPUTED_VALUE"""),"Johan Alexander Escobar Arroyo ")</f>
        <v>Johan Alexander Escobar Arroyo </v>
      </c>
      <c r="C1425" s="15" t="str">
        <f>IFERROR(__xludf.DUMMYFUNCTION("""COMPUTED_VALUE"""),"IBAGUÉ")</f>
        <v>IBAGUÉ</v>
      </c>
      <c r="D1425" s="15" t="str">
        <f>IFERROR(__xludf.DUMMYFUNCTION("""COMPUTED_VALUE"""),"MEDELLÍN")</f>
        <v>MEDELLÍN</v>
      </c>
      <c r="E1425" s="15" t="str">
        <f>IFERROR(__xludf.DUMMYFUNCTION("""COMPUTED_VALUE"""),"Baby Chef")</f>
        <v>Baby Chef</v>
      </c>
      <c r="F1425" s="17" t="str">
        <f>IFERROR(__xludf.DUMMYFUNCTION("""COMPUTED_VALUE"""),"Cra 8 # 13 - 59  / Ed Torreón de la Octava Apto 102 / Pueblo Nuevo")</f>
        <v>Cra 8 # 13 - 59  / Ed Torreón de la Octava Apto 102 / Pueblo Nuevo</v>
      </c>
      <c r="G1425" s="15" t="str">
        <f>IFERROR(__xludf.DUMMYFUNCTION("""COMPUTED_VALUE"""),"ERIKA JULIETH DURÁN NARVAEZ")</f>
        <v>ERIKA JULIETH DURÁN NARVAEZ</v>
      </c>
      <c r="H1425" s="16">
        <f>IFERROR(__xludf.DUMMYFUNCTION("""COMPUTED_VALUE"""),10051.0)</f>
        <v>10051</v>
      </c>
      <c r="I1425" s="18">
        <f>IFERROR(__xludf.DUMMYFUNCTION("""COMPUTED_VALUE"""),8.0)</f>
        <v>8</v>
      </c>
      <c r="J1425" s="18">
        <f>IFERROR(__xludf.DUMMYFUNCTION("""COMPUTED_VALUE"""),16.0)</f>
        <v>16</v>
      </c>
      <c r="K1425" s="18">
        <f>IFERROR(__xludf.DUMMYFUNCTION("""COMPUTED_VALUE"""),20.0)</f>
        <v>20</v>
      </c>
      <c r="L1425" s="17">
        <f>IFERROR(__xludf.DUMMYFUNCTION("""COMPUTED_VALUE"""),3.123296686E9)</f>
        <v>3123296686</v>
      </c>
      <c r="M1425" s="17" t="str">
        <f>IFERROR(__xludf.DUMMYFUNCTION("""COMPUTED_VALUE"""),"#REF!")</f>
        <v>#REF!</v>
      </c>
      <c r="N1425" s="17"/>
      <c r="O1425" s="19" t="str">
        <f>IFERROR(__xludf.DUMMYFUNCTION("""COMPUTED_VALUE"""),"")</f>
        <v/>
      </c>
      <c r="P1425" s="17" t="b">
        <f>IFERROR(__xludf.DUMMYFUNCTION("""COMPUTED_VALUE"""),FALSE)</f>
        <v>0</v>
      </c>
      <c r="Q1425" s="20" t="str">
        <f>IFERROR(__xludf.DUMMYFUNCTION("""COMPUTED_VALUE"""),"")</f>
        <v/>
      </c>
      <c r="R1425" s="22" t="str">
        <f>IFERROR(__xludf.DUMMYFUNCTION("""COMPUTED_VALUE"""),"")</f>
        <v/>
      </c>
    </row>
    <row r="1426">
      <c r="A1426" s="15">
        <f>IFERROR(__xludf.DUMMYFUNCTION("""COMPUTED_VALUE"""),45041.0)</f>
        <v>45041</v>
      </c>
      <c r="B1426" s="16" t="str">
        <f>IFERROR(__xludf.DUMMYFUNCTION("""COMPUTED_VALUE"""),"Johan Alexander Escobar Arroyo ")</f>
        <v>Johan Alexander Escobar Arroyo </v>
      </c>
      <c r="C1426" s="15" t="str">
        <f>IFERROR(__xludf.DUMMYFUNCTION("""COMPUTED_VALUE"""),"IBAGUÉ")</f>
        <v>IBAGUÉ</v>
      </c>
      <c r="D1426" s="15" t="str">
        <f>IFERROR(__xludf.DUMMYFUNCTION("""COMPUTED_VALUE"""),"MEDELLÍN")</f>
        <v>MEDELLÍN</v>
      </c>
      <c r="E1426" s="15" t="str">
        <f>IFERROR(__xludf.DUMMYFUNCTION("""COMPUTED_VALUE"""),"Goyo Todo por ellos")</f>
        <v>Goyo Todo por ellos</v>
      </c>
      <c r="F1426" s="17" t="str">
        <f>IFERROR(__xludf.DUMMYFUNCTION("""COMPUTED_VALUE"""),"Carrera 9 #9 35 / Edificio Faro de Belén apto 401 torre 1 / Barrio Belén")</f>
        <v>Carrera 9 #9 35 / Edificio Faro de Belén apto 401 torre 1 / Barrio Belén</v>
      </c>
      <c r="G1426" s="15" t="str">
        <f>IFERROR(__xludf.DUMMYFUNCTION("""COMPUTED_VALUE"""),"Daniela Martinez Ruiz")</f>
        <v>Daniela Martinez Ruiz</v>
      </c>
      <c r="H1426" s="16">
        <f>IFERROR(__xludf.DUMMYFUNCTION("""COMPUTED_VALUE"""),10049.0)</f>
        <v>10049</v>
      </c>
      <c r="I1426" s="18">
        <f>IFERROR(__xludf.DUMMYFUNCTION("""COMPUTED_VALUE"""),13.0)</f>
        <v>13</v>
      </c>
      <c r="J1426" s="18">
        <f>IFERROR(__xludf.DUMMYFUNCTION("""COMPUTED_VALUE"""),40.0)</f>
        <v>40</v>
      </c>
      <c r="K1426" s="18">
        <f>IFERROR(__xludf.DUMMYFUNCTION("""COMPUTED_VALUE"""),28.0)</f>
        <v>28</v>
      </c>
      <c r="L1426" s="17">
        <f>IFERROR(__xludf.DUMMYFUNCTION("""COMPUTED_VALUE"""),3.228766751E9)</f>
        <v>3228766751</v>
      </c>
      <c r="M1426" s="17" t="str">
        <f>IFERROR(__xludf.DUMMYFUNCTION("""COMPUTED_VALUE"""),"#REF!")</f>
        <v>#REF!</v>
      </c>
      <c r="N1426" s="17"/>
      <c r="O1426" s="19" t="str">
        <f>IFERROR(__xludf.DUMMYFUNCTION("""COMPUTED_VALUE"""),"")</f>
        <v/>
      </c>
      <c r="P1426" s="17" t="b">
        <f>IFERROR(__xludf.DUMMYFUNCTION("""COMPUTED_VALUE"""),FALSE)</f>
        <v>0</v>
      </c>
      <c r="Q1426" s="20" t="str">
        <f>IFERROR(__xludf.DUMMYFUNCTION("""COMPUTED_VALUE"""),"")</f>
        <v/>
      </c>
      <c r="R1426" s="22" t="str">
        <f>IFERROR(__xludf.DUMMYFUNCTION("""COMPUTED_VALUE"""),"")</f>
        <v/>
      </c>
    </row>
    <row r="1427">
      <c r="A1427" s="17" t="str">
        <f>IFERROR(__xludf.DUMMYFUNCTION("""COMPUTED_VALUE"""),"")</f>
        <v/>
      </c>
      <c r="B1427" s="17" t="str">
        <f>IFERROR(__xludf.DUMMYFUNCTION("""COMPUTED_VALUE"""),"")</f>
        <v/>
      </c>
      <c r="C1427" s="17" t="str">
        <f>IFERROR(__xludf.DUMMYFUNCTION("""COMPUTED_VALUE"""),"")</f>
        <v/>
      </c>
      <c r="D1427" s="17" t="str">
        <f>IFERROR(__xludf.DUMMYFUNCTION("""COMPUTED_VALUE"""),"")</f>
        <v/>
      </c>
      <c r="E1427" s="17" t="str">
        <f>IFERROR(__xludf.DUMMYFUNCTION("""COMPUTED_VALUE"""),"")</f>
        <v/>
      </c>
      <c r="F1427" s="17" t="str">
        <f>IFERROR(__xludf.DUMMYFUNCTION("""COMPUTED_VALUE"""),"")</f>
        <v/>
      </c>
      <c r="G1427" s="17" t="str">
        <f>IFERROR(__xludf.DUMMYFUNCTION("""COMPUTED_VALUE"""),"")</f>
        <v/>
      </c>
      <c r="H1427" s="17" t="str">
        <f>IFERROR(__xludf.DUMMYFUNCTION("""COMPUTED_VALUE"""),"")</f>
        <v/>
      </c>
      <c r="I1427" s="17" t="str">
        <f>IFERROR(__xludf.DUMMYFUNCTION("""COMPUTED_VALUE"""),"")</f>
        <v/>
      </c>
      <c r="J1427" s="17" t="str">
        <f>IFERROR(__xludf.DUMMYFUNCTION("""COMPUTED_VALUE"""),"")</f>
        <v/>
      </c>
      <c r="K1427" s="17" t="str">
        <f>IFERROR(__xludf.DUMMYFUNCTION("""COMPUTED_VALUE"""),"")</f>
        <v/>
      </c>
      <c r="L1427" s="17" t="str">
        <f>IFERROR(__xludf.DUMMYFUNCTION("""COMPUTED_VALUE"""),"")</f>
        <v/>
      </c>
      <c r="M1427" s="17" t="str">
        <f>IFERROR(__xludf.DUMMYFUNCTION("""COMPUTED_VALUE"""),"")</f>
        <v/>
      </c>
      <c r="N1427" s="17" t="str">
        <f>IFERROR(__xludf.DUMMYFUNCTION("""COMPUTED_VALUE"""),"")</f>
        <v/>
      </c>
      <c r="O1427" s="17" t="str">
        <f>IFERROR(__xludf.DUMMYFUNCTION("""COMPUTED_VALUE"""),"")</f>
        <v/>
      </c>
      <c r="P1427" s="17" t="str">
        <f>IFERROR(__xludf.DUMMYFUNCTION("""COMPUTED_VALUE"""),"")</f>
        <v/>
      </c>
      <c r="Q1427" s="17" t="str">
        <f>IFERROR(__xludf.DUMMYFUNCTION("""COMPUTED_VALUE"""),"")</f>
        <v/>
      </c>
      <c r="R1427" s="17" t="str">
        <f>IFERROR(__xludf.DUMMYFUNCTION("""COMPUTED_VALUE"""),"")</f>
        <v/>
      </c>
    </row>
    <row r="1428">
      <c r="A1428" s="15">
        <f>IFERROR(__xludf.DUMMYFUNCTION("""COMPUTED_VALUE"""),45041.0)</f>
        <v>45041</v>
      </c>
      <c r="B1428" s="16" t="str">
        <f>IFERROR(__xludf.DUMMYFUNCTION("""COMPUTED_VALUE"""),"Oscar Augusto Meneses Osias")</f>
        <v>Oscar Augusto Meneses Osias</v>
      </c>
      <c r="C1428" s="15" t="str">
        <f>IFERROR(__xludf.DUMMYFUNCTION("""COMPUTED_VALUE"""),"MEDELLÍN")</f>
        <v>MEDELLÍN</v>
      </c>
      <c r="D1428" s="15" t="str">
        <f>IFERROR(__xludf.DUMMYFUNCTION("""COMPUTED_VALUE"""),"BOGOTÁ")</f>
        <v>BOGOTÁ</v>
      </c>
      <c r="E1428" s="15" t="str">
        <f>IFERROR(__xludf.DUMMYFUNCTION("""COMPUTED_VALUE"""),"Asociacion Agropecuaria Juana Maria")</f>
        <v>Asociacion Agropecuaria Juana Maria</v>
      </c>
      <c r="F1428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1428" s="15" t="str">
        <f>IFERROR(__xludf.DUMMYFUNCTION("""COMPUTED_VALUE"""),"Jennifer Sanchez Blandon")</f>
        <v>Jennifer Sanchez Blandon</v>
      </c>
      <c r="H1428" s="16">
        <f>IFERROR(__xludf.DUMMYFUNCTION("""COMPUTED_VALUE"""),10006.0)</f>
        <v>10006</v>
      </c>
      <c r="I1428" s="18">
        <f>IFERROR(__xludf.DUMMYFUNCTION("""COMPUTED_VALUE"""),21.0)</f>
        <v>21</v>
      </c>
      <c r="J1428" s="18">
        <f>IFERROR(__xludf.DUMMYFUNCTION("""COMPUTED_VALUE"""),37.0)</f>
        <v>37</v>
      </c>
      <c r="K1428" s="18">
        <f>IFERROR(__xludf.DUMMYFUNCTION("""COMPUTED_VALUE"""),30.0)</f>
        <v>30</v>
      </c>
      <c r="L1428" s="17">
        <f>IFERROR(__xludf.DUMMYFUNCTION("""COMPUTED_VALUE"""),3.016937674E9)</f>
        <v>3016937674</v>
      </c>
      <c r="M1428" s="17" t="str">
        <f>IFERROR(__xludf.DUMMYFUNCTION("""COMPUTED_VALUE"""),"#REF!")</f>
        <v>#REF!</v>
      </c>
      <c r="N1428" s="17"/>
      <c r="O1428" s="19" t="str">
        <f>IFERROR(__xludf.DUMMYFUNCTION("""COMPUTED_VALUE"""),"")</f>
        <v/>
      </c>
      <c r="P1428" s="17" t="b">
        <f>IFERROR(__xludf.DUMMYFUNCTION("""COMPUTED_VALUE"""),TRUE)</f>
        <v>1</v>
      </c>
      <c r="Q1428" s="20">
        <f>IFERROR(__xludf.DUMMYFUNCTION("""COMPUTED_VALUE"""),45041.51668585648)</f>
        <v>45041.51669</v>
      </c>
      <c r="R1428" s="22" t="str">
        <f>IFERROR(__xludf.DUMMYFUNCTION("""COMPUTED_VALUE"""),"")</f>
        <v/>
      </c>
    </row>
    <row r="1429">
      <c r="A1429" s="15">
        <f>IFERROR(__xludf.DUMMYFUNCTION("""COMPUTED_VALUE"""),45041.0)</f>
        <v>45041</v>
      </c>
      <c r="B1429" s="16" t="str">
        <f>IFERROR(__xludf.DUMMYFUNCTION("""COMPUTED_VALUE"""),"Oscar Augusto Meneses Osias")</f>
        <v>Oscar Augusto Meneses Osias</v>
      </c>
      <c r="C1429" s="15" t="str">
        <f>IFERROR(__xludf.DUMMYFUNCTION("""COMPUTED_VALUE"""),"MEDELLÍN")</f>
        <v>MEDELLÍN</v>
      </c>
      <c r="D1429" s="15" t="str">
        <f>IFERROR(__xludf.DUMMYFUNCTION("""COMPUTED_VALUE"""),"BOGOTÁ")</f>
        <v>BOGOTÁ</v>
      </c>
      <c r="E1429" s="15" t="str">
        <f>IFERROR(__xludf.DUMMYFUNCTION("""COMPUTED_VALUE"""),"Asociacion Agropecuaria Juana Maria")</f>
        <v>Asociacion Agropecuaria Juana Maria</v>
      </c>
      <c r="F1429" s="17" t="str">
        <f>IFERROR(__xludf.DUMMYFUNCTION("""COMPUTED_VALUE"""),"Cra 82C # 30A-100 apto 1202 urbanizacion Torres de Vicuña Belen los Alpes")</f>
        <v>Cra 82C # 30A-100 apto 1202 urbanizacion Torres de Vicuña Belen los Alpes</v>
      </c>
      <c r="G1429" s="15" t="str">
        <f>IFERROR(__xludf.DUMMYFUNCTION("""COMPUTED_VALUE"""),"Gloria Moreno")</f>
        <v>Gloria Moreno</v>
      </c>
      <c r="H1429" s="16">
        <f>IFERROR(__xludf.DUMMYFUNCTION("""COMPUTED_VALUE"""),10008.0)</f>
        <v>10008</v>
      </c>
      <c r="I1429" s="18">
        <f>IFERROR(__xludf.DUMMYFUNCTION("""COMPUTED_VALUE"""),21.0)</f>
        <v>21</v>
      </c>
      <c r="J1429" s="18">
        <f>IFERROR(__xludf.DUMMYFUNCTION("""COMPUTED_VALUE"""),37.0)</f>
        <v>37</v>
      </c>
      <c r="K1429" s="18">
        <f>IFERROR(__xludf.DUMMYFUNCTION("""COMPUTED_VALUE"""),30.0)</f>
        <v>30</v>
      </c>
      <c r="L1429" s="17">
        <f>IFERROR(__xludf.DUMMYFUNCTION("""COMPUTED_VALUE"""),3.162544201E9)</f>
        <v>3162544201</v>
      </c>
      <c r="M1429" s="17" t="str">
        <f>IFERROR(__xludf.DUMMYFUNCTION("""COMPUTED_VALUE"""),"#REF!")</f>
        <v>#REF!</v>
      </c>
      <c r="N1429" s="17"/>
      <c r="O1429" s="19" t="str">
        <f>IFERROR(__xludf.DUMMYFUNCTION("""COMPUTED_VALUE"""),"")</f>
        <v/>
      </c>
      <c r="P1429" s="17" t="b">
        <f>IFERROR(__xludf.DUMMYFUNCTION("""COMPUTED_VALUE"""),TRUE)</f>
        <v>1</v>
      </c>
      <c r="Q1429" s="20">
        <f>IFERROR(__xludf.DUMMYFUNCTION("""COMPUTED_VALUE"""),45041.46776546296)</f>
        <v>45041.46777</v>
      </c>
      <c r="R1429" s="22" t="str">
        <f>IFERROR(__xludf.DUMMYFUNCTION("""COMPUTED_VALUE"""),"")</f>
        <v/>
      </c>
    </row>
    <row r="1430">
      <c r="A1430" s="15">
        <f>IFERROR(__xludf.DUMMYFUNCTION("""COMPUTED_VALUE"""),45041.0)</f>
        <v>45041</v>
      </c>
      <c r="B1430" s="16" t="str">
        <f>IFERROR(__xludf.DUMMYFUNCTION("""COMPUTED_VALUE"""),"Oscar Augusto Meneses Osias")</f>
        <v>Oscar Augusto Meneses Osias</v>
      </c>
      <c r="C1430" s="15" t="str">
        <f>IFERROR(__xludf.DUMMYFUNCTION("""COMPUTED_VALUE"""),"MEDELLÍN")</f>
        <v>MEDELLÍN</v>
      </c>
      <c r="D1430" s="15" t="str">
        <f>IFERROR(__xludf.DUMMYFUNCTION("""COMPUTED_VALUE"""),"BOGOTÁ")</f>
        <v>BOGOTÁ</v>
      </c>
      <c r="E1430" s="15" t="str">
        <f>IFERROR(__xludf.DUMMYFUNCTION("""COMPUTED_VALUE"""),"Diana Rodriguez")</f>
        <v>Diana Rodriguez</v>
      </c>
      <c r="F1430" s="17" t="str">
        <f>IFERROR(__xludf.DUMMYFUNCTION("""COMPUTED_VALUE"""),"Calle 10 B N. 37-29 / Hotel Click Clack / provenza poblado")</f>
        <v>Calle 10 B N. 37-29 / Hotel Click Clack / provenza poblado</v>
      </c>
      <c r="G1430" s="15" t="str">
        <f>IFERROR(__xludf.DUMMYFUNCTION("""COMPUTED_VALUE"""),"Michael Mejía")</f>
        <v>Michael Mejía</v>
      </c>
      <c r="H1430" s="16">
        <f>IFERROR(__xludf.DUMMYFUNCTION("""COMPUTED_VALUE"""),10014.0)</f>
        <v>10014</v>
      </c>
      <c r="I1430" s="18">
        <f>IFERROR(__xludf.DUMMYFUNCTION("""COMPUTED_VALUE"""),12.0)</f>
        <v>12</v>
      </c>
      <c r="J1430" s="18">
        <f>IFERROR(__xludf.DUMMYFUNCTION("""COMPUTED_VALUE"""),16.0)</f>
        <v>16</v>
      </c>
      <c r="K1430" s="18">
        <f>IFERROR(__xludf.DUMMYFUNCTION("""COMPUTED_VALUE"""),22.0)</f>
        <v>22</v>
      </c>
      <c r="L1430" s="17">
        <f>IFERROR(__xludf.DUMMYFUNCTION("""COMPUTED_VALUE"""),3.232793596E9)</f>
        <v>3232793596</v>
      </c>
      <c r="M1430" s="17" t="str">
        <f>IFERROR(__xludf.DUMMYFUNCTION("""COMPUTED_VALUE"""),"#REF!")</f>
        <v>#REF!</v>
      </c>
      <c r="N1430" s="17"/>
      <c r="O1430" s="19" t="str">
        <f>IFERROR(__xludf.DUMMYFUNCTION("""COMPUTED_VALUE"""),"")</f>
        <v/>
      </c>
      <c r="P1430" s="17" t="b">
        <f>IFERROR(__xludf.DUMMYFUNCTION("""COMPUTED_VALUE"""),TRUE)</f>
        <v>1</v>
      </c>
      <c r="Q1430" s="20">
        <f>IFERROR(__xludf.DUMMYFUNCTION("""COMPUTED_VALUE"""),45041.56897045139)</f>
        <v>45041.56897</v>
      </c>
      <c r="R1430" s="22" t="str">
        <f>IFERROR(__xludf.DUMMYFUNCTION("""COMPUTED_VALUE"""),"")</f>
        <v/>
      </c>
    </row>
    <row r="1431">
      <c r="A1431" s="15">
        <f>IFERROR(__xludf.DUMMYFUNCTION("""COMPUTED_VALUE"""),45041.0)</f>
        <v>45041</v>
      </c>
      <c r="B1431" s="16" t="str">
        <f>IFERROR(__xludf.DUMMYFUNCTION("""COMPUTED_VALUE"""),"Oscar Augusto Meneses Osias")</f>
        <v>Oscar Augusto Meneses Osias</v>
      </c>
      <c r="C1431" s="15" t="str">
        <f>IFERROR(__xludf.DUMMYFUNCTION("""COMPUTED_VALUE"""),"MEDELLÍN")</f>
        <v>MEDELLÍN</v>
      </c>
      <c r="D1431" s="15" t="str">
        <f>IFERROR(__xludf.DUMMYFUNCTION("""COMPUTED_VALUE"""),"BOGOTÁ")</f>
        <v>BOGOTÁ</v>
      </c>
      <c r="E1431" s="15" t="str">
        <f>IFERROR(__xludf.DUMMYFUNCTION("""COMPUTED_VALUE"""),"Evamazzita")</f>
        <v>Evamazzita</v>
      </c>
      <c r="F1431" s="17" t="str">
        <f>IFERROR(__xludf.DUMMYFUNCTION("""COMPUTED_VALUE"""),"CALLE 7 No. 18 -115  / APTO 802  / EDIFICIO AZUL PACIFICO")</f>
        <v>CALLE 7 No. 18 -115  / APTO 802  / EDIFICIO AZUL PACIFICO</v>
      </c>
      <c r="G1431" s="15" t="str">
        <f>IFERROR(__xludf.DUMMYFUNCTION("""COMPUTED_VALUE"""),"LAURA SANTANA")</f>
        <v>LAURA SANTANA</v>
      </c>
      <c r="H1431" s="16">
        <f>IFERROR(__xludf.DUMMYFUNCTION("""COMPUTED_VALUE"""),10069.0)</f>
        <v>10069</v>
      </c>
      <c r="I1431" s="18">
        <f>IFERROR(__xludf.DUMMYFUNCTION("""COMPUTED_VALUE"""),3.0)</f>
        <v>3</v>
      </c>
      <c r="J1431" s="18">
        <f>IFERROR(__xludf.DUMMYFUNCTION("""COMPUTED_VALUE"""),20.0)</f>
        <v>20</v>
      </c>
      <c r="K1431" s="18">
        <f>IFERROR(__xludf.DUMMYFUNCTION("""COMPUTED_VALUE"""),15.0)</f>
        <v>15</v>
      </c>
      <c r="L1431" s="17">
        <f>IFERROR(__xludf.DUMMYFUNCTION("""COMPUTED_VALUE"""),3.187441575E9)</f>
        <v>3187441575</v>
      </c>
      <c r="M1431" s="17" t="str">
        <f>IFERROR(__xludf.DUMMYFUNCTION("""COMPUTED_VALUE"""),"#REF!")</f>
        <v>#REF!</v>
      </c>
      <c r="N1431" s="17"/>
      <c r="O1431" s="19" t="str">
        <f>IFERROR(__xludf.DUMMYFUNCTION("""COMPUTED_VALUE"""),"")</f>
        <v/>
      </c>
      <c r="P1431" s="17" t="b">
        <f>IFERROR(__xludf.DUMMYFUNCTION("""COMPUTED_VALUE"""),TRUE)</f>
        <v>1</v>
      </c>
      <c r="Q1431" s="20">
        <f>IFERROR(__xludf.DUMMYFUNCTION("""COMPUTED_VALUE"""),45041.65405431713)</f>
        <v>45041.65405</v>
      </c>
      <c r="R1431" s="22" t="str">
        <f>IFERROR(__xludf.DUMMYFUNCTION("""COMPUTED_VALUE"""),"")</f>
        <v/>
      </c>
    </row>
    <row r="1432">
      <c r="A1432" s="15">
        <f>IFERROR(__xludf.DUMMYFUNCTION("""COMPUTED_VALUE"""),45041.0)</f>
        <v>45041</v>
      </c>
      <c r="B1432" s="16" t="str">
        <f>IFERROR(__xludf.DUMMYFUNCTION("""COMPUTED_VALUE"""),"Oscar Augusto Meneses Osias")</f>
        <v>Oscar Augusto Meneses Osias</v>
      </c>
      <c r="C1432" s="15" t="str">
        <f>IFERROR(__xludf.DUMMYFUNCTION("""COMPUTED_VALUE"""),"MEDELLÍN")</f>
        <v>MEDELLÍN</v>
      </c>
      <c r="D1432" s="15" t="str">
        <f>IFERROR(__xludf.DUMMYFUNCTION("""COMPUTED_VALUE"""),"BOGOTÁ")</f>
        <v>BOGOTÁ</v>
      </c>
      <c r="E1432" s="15" t="str">
        <f>IFERROR(__xludf.DUMMYFUNCTION("""COMPUTED_VALUE"""),"Evamazzita")</f>
        <v>Evamazzita</v>
      </c>
      <c r="F1432" s="17" t="str">
        <f>IFERROR(__xludf.DUMMYFUNCTION("""COMPUTED_VALUE"""),"Carrera 40#74 sur 90  / edif. San Basilio, apto. 1623  / SABANETA - Barrio Aves Maria")</f>
        <v>Carrera 40#74 sur 90  / edif. San Basilio, apto. 1623  / SABANETA - Barrio Aves Maria</v>
      </c>
      <c r="G1432" s="15" t="str">
        <f>IFERROR(__xludf.DUMMYFUNCTION("""COMPUTED_VALUE"""),"MARIA CAMILA MORALES RIVERA")</f>
        <v>MARIA CAMILA MORALES RIVERA</v>
      </c>
      <c r="H1432" s="16">
        <f>IFERROR(__xludf.DUMMYFUNCTION("""COMPUTED_VALUE"""),10075.0)</f>
        <v>10075</v>
      </c>
      <c r="I1432" s="18">
        <f>IFERROR(__xludf.DUMMYFUNCTION("""COMPUTED_VALUE"""),3.0)</f>
        <v>3</v>
      </c>
      <c r="J1432" s="18">
        <f>IFERROR(__xludf.DUMMYFUNCTION("""COMPUTED_VALUE"""),20.0)</f>
        <v>20</v>
      </c>
      <c r="K1432" s="18">
        <f>IFERROR(__xludf.DUMMYFUNCTION("""COMPUTED_VALUE"""),15.0)</f>
        <v>15</v>
      </c>
      <c r="L1432" s="17">
        <f>IFERROR(__xludf.DUMMYFUNCTION("""COMPUTED_VALUE"""),3.042181932E9)</f>
        <v>3042181932</v>
      </c>
      <c r="M1432" s="17" t="str">
        <f>IFERROR(__xludf.DUMMYFUNCTION("""COMPUTED_VALUE"""),"#REF!")</f>
        <v>#REF!</v>
      </c>
      <c r="N1432" s="17"/>
      <c r="O1432" s="19" t="str">
        <f>IFERROR(__xludf.DUMMYFUNCTION("""COMPUTED_VALUE"""),"")</f>
        <v/>
      </c>
      <c r="P1432" s="17" t="b">
        <f>IFERROR(__xludf.DUMMYFUNCTION("""COMPUTED_VALUE"""),TRUE)</f>
        <v>1</v>
      </c>
      <c r="Q1432" s="20">
        <f>IFERROR(__xludf.DUMMYFUNCTION("""COMPUTED_VALUE"""),45041.56865523148)</f>
        <v>45041.56866</v>
      </c>
      <c r="R1432" s="22" t="str">
        <f>IFERROR(__xludf.DUMMYFUNCTION("""COMPUTED_VALUE"""),"")</f>
        <v/>
      </c>
    </row>
    <row r="1433">
      <c r="A1433" s="15">
        <f>IFERROR(__xludf.DUMMYFUNCTION("""COMPUTED_VALUE"""),45041.0)</f>
        <v>45041</v>
      </c>
      <c r="B1433" s="16" t="str">
        <f>IFERROR(__xludf.DUMMYFUNCTION("""COMPUTED_VALUE"""),"Oscar Augusto Meneses Osias")</f>
        <v>Oscar Augusto Meneses Osias</v>
      </c>
      <c r="C1433" s="15" t="str">
        <f>IFERROR(__xludf.DUMMYFUNCTION("""COMPUTED_VALUE"""),"MEDELLÍN")</f>
        <v>MEDELLÍN</v>
      </c>
      <c r="D1433" s="15" t="str">
        <f>IFERROR(__xludf.DUMMYFUNCTION("""COMPUTED_VALUE"""),"BOGOTÁ")</f>
        <v>BOGOTÁ</v>
      </c>
      <c r="E1433" s="15" t="str">
        <f>IFERROR(__xludf.DUMMYFUNCTION("""COMPUTED_VALUE"""),"Evamazzita")</f>
        <v>Evamazzita</v>
      </c>
      <c r="F1433" s="17" t="str">
        <f>IFERROR(__xludf.DUMMYFUNCTION("""COMPUTED_VALUE"""),"Cl 9B sur 79a 221  / apto 606  / Rodeo alto")</f>
        <v>Cl 9B sur 79a 221  / apto 606  / Rodeo alto</v>
      </c>
      <c r="G1433" s="15" t="str">
        <f>IFERROR(__xludf.DUMMYFUNCTION("""COMPUTED_VALUE"""),"MANUELA URIBE")</f>
        <v>MANUELA URIBE</v>
      </c>
      <c r="H1433" s="16">
        <f>IFERROR(__xludf.DUMMYFUNCTION("""COMPUTED_VALUE"""),10072.0)</f>
        <v>10072</v>
      </c>
      <c r="I1433" s="18">
        <f>IFERROR(__xludf.DUMMYFUNCTION("""COMPUTED_VALUE"""),3.0)</f>
        <v>3</v>
      </c>
      <c r="J1433" s="18">
        <f>IFERROR(__xludf.DUMMYFUNCTION("""COMPUTED_VALUE"""),20.0)</f>
        <v>20</v>
      </c>
      <c r="K1433" s="18">
        <f>IFERROR(__xludf.DUMMYFUNCTION("""COMPUTED_VALUE"""),15.0)</f>
        <v>15</v>
      </c>
      <c r="L1433" s="17">
        <f>IFERROR(__xludf.DUMMYFUNCTION("""COMPUTED_VALUE"""),3.232867608E9)</f>
        <v>3232867608</v>
      </c>
      <c r="M1433" s="17" t="str">
        <f>IFERROR(__xludf.DUMMYFUNCTION("""COMPUTED_VALUE"""),"#REF!")</f>
        <v>#REF!</v>
      </c>
      <c r="N1433" s="17"/>
      <c r="O1433" s="19" t="str">
        <f>IFERROR(__xludf.DUMMYFUNCTION("""COMPUTED_VALUE"""),"")</f>
        <v/>
      </c>
      <c r="P1433" s="17" t="b">
        <f>IFERROR(__xludf.DUMMYFUNCTION("""COMPUTED_VALUE"""),TRUE)</f>
        <v>1</v>
      </c>
      <c r="Q1433" s="20">
        <f>IFERROR(__xludf.DUMMYFUNCTION("""COMPUTED_VALUE"""),45041.69227935185)</f>
        <v>45041.69228</v>
      </c>
      <c r="R1433" s="22" t="str">
        <f>IFERROR(__xludf.DUMMYFUNCTION("""COMPUTED_VALUE"""),"")</f>
        <v/>
      </c>
    </row>
    <row r="1434">
      <c r="A1434" s="15">
        <f>IFERROR(__xludf.DUMMYFUNCTION("""COMPUTED_VALUE"""),45041.0)</f>
        <v>45041</v>
      </c>
      <c r="B1434" s="16" t="str">
        <f>IFERROR(__xludf.DUMMYFUNCTION("""COMPUTED_VALUE"""),"Oscar Augusto Meneses Osias")</f>
        <v>Oscar Augusto Meneses Osias</v>
      </c>
      <c r="C1434" s="15" t="str">
        <f>IFERROR(__xludf.DUMMYFUNCTION("""COMPUTED_VALUE"""),"MEDELLÍN")</f>
        <v>MEDELLÍN</v>
      </c>
      <c r="D1434" s="15" t="str">
        <f>IFERROR(__xludf.DUMMYFUNCTION("""COMPUTED_VALUE"""),"BOGOTÁ")</f>
        <v>BOGOTÁ</v>
      </c>
      <c r="E1434" s="15" t="str">
        <f>IFERROR(__xludf.DUMMYFUNCTION("""COMPUTED_VALUE"""),"Evamazzita")</f>
        <v>Evamazzita</v>
      </c>
      <c r="F1434" s="17" t="str">
        <f>IFERROR(__xludf.DUMMYFUNCTION("""COMPUTED_VALUE"""),"Cr 35 # 65 Sur 135  /  EDIFICIO DUBLIN apto 2804  / SABANETA - Las lomitas")</f>
        <v>Cr 35 # 65 Sur 135  /  EDIFICIO DUBLIN apto 2804  / SABANETA - Las lomitas</v>
      </c>
      <c r="G1434" s="15" t="str">
        <f>IFERROR(__xludf.DUMMYFUNCTION("""COMPUTED_VALUE"""),"VANESSA BEDOYA")</f>
        <v>VANESSA BEDOYA</v>
      </c>
      <c r="H1434" s="16">
        <f>IFERROR(__xludf.DUMMYFUNCTION("""COMPUTED_VALUE"""),10074.0)</f>
        <v>10074</v>
      </c>
      <c r="I1434" s="18">
        <f>IFERROR(__xludf.DUMMYFUNCTION("""COMPUTED_VALUE"""),3.0)</f>
        <v>3</v>
      </c>
      <c r="J1434" s="18">
        <f>IFERROR(__xludf.DUMMYFUNCTION("""COMPUTED_VALUE"""),20.0)</f>
        <v>20</v>
      </c>
      <c r="K1434" s="18">
        <f>IFERROR(__xludf.DUMMYFUNCTION("""COMPUTED_VALUE"""),15.0)</f>
        <v>15</v>
      </c>
      <c r="L1434" s="17">
        <f>IFERROR(__xludf.DUMMYFUNCTION("""COMPUTED_VALUE"""),3.1847212E9)</f>
        <v>3184721200</v>
      </c>
      <c r="M1434" s="17" t="str">
        <f>IFERROR(__xludf.DUMMYFUNCTION("""COMPUTED_VALUE"""),"#REF!")</f>
        <v>#REF!</v>
      </c>
      <c r="N1434" s="17"/>
      <c r="O1434" s="19" t="str">
        <f>IFERROR(__xludf.DUMMYFUNCTION("""COMPUTED_VALUE"""),"")</f>
        <v/>
      </c>
      <c r="P1434" s="17" t="b">
        <f>IFERROR(__xludf.DUMMYFUNCTION("""COMPUTED_VALUE"""),TRUE)</f>
        <v>1</v>
      </c>
      <c r="Q1434" s="20">
        <f>IFERROR(__xludf.DUMMYFUNCTION("""COMPUTED_VALUE"""),45041.68588625)</f>
        <v>45041.68589</v>
      </c>
      <c r="R1434" s="22" t="str">
        <f>IFERROR(__xludf.DUMMYFUNCTION("""COMPUTED_VALUE"""),"")</f>
        <v/>
      </c>
    </row>
    <row r="1435">
      <c r="A1435" s="15">
        <f>IFERROR(__xludf.DUMMYFUNCTION("""COMPUTED_VALUE"""),45041.0)</f>
        <v>45041</v>
      </c>
      <c r="B1435" s="16" t="str">
        <f>IFERROR(__xludf.DUMMYFUNCTION("""COMPUTED_VALUE"""),"Oscar Augusto Meneses Osias")</f>
        <v>Oscar Augusto Meneses Osias</v>
      </c>
      <c r="C1435" s="15" t="str">
        <f>IFERROR(__xludf.DUMMYFUNCTION("""COMPUTED_VALUE"""),"MEDELLÍN")</f>
        <v>MEDELLÍN</v>
      </c>
      <c r="D1435" s="15" t="str">
        <f>IFERROR(__xludf.DUMMYFUNCTION("""COMPUTED_VALUE"""),"BOGOTÁ")</f>
        <v>BOGOTÁ</v>
      </c>
      <c r="E1435" s="15" t="str">
        <f>IFERROR(__xludf.DUMMYFUNCTION("""COMPUTED_VALUE"""),"Evamazzita")</f>
        <v>Evamazzita</v>
      </c>
      <c r="F1435" s="17" t="str">
        <f>IFERROR(__xludf.DUMMYFUNCTION("""COMPUTED_VALUE"""),"Cr 82 # 9 a sur 79  / apto 916   Unidad florence  / Rodeo alto")</f>
        <v>Cr 82 # 9 a sur 79  / apto 916   Unidad florence  / Rodeo alto</v>
      </c>
      <c r="G1435" s="15" t="str">
        <f>IFERROR(__xludf.DUMMYFUNCTION("""COMPUTED_VALUE"""),"ANDREA ZAPATA")</f>
        <v>ANDREA ZAPATA</v>
      </c>
      <c r="H1435" s="16">
        <f>IFERROR(__xludf.DUMMYFUNCTION("""COMPUTED_VALUE"""),10071.0)</f>
        <v>10071</v>
      </c>
      <c r="I1435" s="18">
        <f>IFERROR(__xludf.DUMMYFUNCTION("""COMPUTED_VALUE"""),3.0)</f>
        <v>3</v>
      </c>
      <c r="J1435" s="18">
        <f>IFERROR(__xludf.DUMMYFUNCTION("""COMPUTED_VALUE"""),20.0)</f>
        <v>20</v>
      </c>
      <c r="K1435" s="18">
        <f>IFERROR(__xludf.DUMMYFUNCTION("""COMPUTED_VALUE"""),15.0)</f>
        <v>15</v>
      </c>
      <c r="L1435" s="17">
        <f>IFERROR(__xludf.DUMMYFUNCTION("""COMPUTED_VALUE"""),3.003482331E9)</f>
        <v>3003482331</v>
      </c>
      <c r="M1435" s="17" t="str">
        <f>IFERROR(__xludf.DUMMYFUNCTION("""COMPUTED_VALUE"""),"#REF!")</f>
        <v>#REF!</v>
      </c>
      <c r="N1435" s="17"/>
      <c r="O1435" s="19" t="str">
        <f>IFERROR(__xludf.DUMMYFUNCTION("""COMPUTED_VALUE"""),"")</f>
        <v/>
      </c>
      <c r="P1435" s="17" t="b">
        <f>IFERROR(__xludf.DUMMYFUNCTION("""COMPUTED_VALUE"""),TRUE)</f>
        <v>1</v>
      </c>
      <c r="Q1435" s="20">
        <f>IFERROR(__xludf.DUMMYFUNCTION("""COMPUTED_VALUE"""),45041.68584983796)</f>
        <v>45041.68585</v>
      </c>
      <c r="R1435" s="22" t="str">
        <f>IFERROR(__xludf.DUMMYFUNCTION("""COMPUTED_VALUE"""),"")</f>
        <v/>
      </c>
    </row>
    <row r="1436">
      <c r="A1436" s="15">
        <f>IFERROR(__xludf.DUMMYFUNCTION("""COMPUTED_VALUE"""),45041.0)</f>
        <v>45041</v>
      </c>
      <c r="B1436" s="16" t="str">
        <f>IFERROR(__xludf.DUMMYFUNCTION("""COMPUTED_VALUE"""),"Oscar Augusto Meneses Osias")</f>
        <v>Oscar Augusto Meneses Osias</v>
      </c>
      <c r="C1436" s="15" t="str">
        <f>IFERROR(__xludf.DUMMYFUNCTION("""COMPUTED_VALUE"""),"MEDELLÍN")</f>
        <v>MEDELLÍN</v>
      </c>
      <c r="D1436" s="15" t="str">
        <f>IFERROR(__xludf.DUMMYFUNCTION("""COMPUTED_VALUE"""),"BOGOTÁ")</f>
        <v>BOGOTÁ</v>
      </c>
      <c r="E1436" s="15" t="str">
        <f>IFERROR(__xludf.DUMMYFUNCTION("""COMPUTED_VALUE"""),"Evamazzita")</f>
        <v>Evamazzita</v>
      </c>
      <c r="F1436" s="17" t="str">
        <f>IFERROR(__xludf.DUMMYFUNCTION("""COMPUTED_VALUE"""),"CRA 15 BA No. 34D- 44  / INT 201  / BUENOS AIRES")</f>
        <v>CRA 15 BA No. 34D- 44  / INT 201  / BUENOS AIRES</v>
      </c>
      <c r="G1436" s="15" t="str">
        <f>IFERROR(__xludf.DUMMYFUNCTION("""COMPUTED_VALUE"""),"DANIELA BEDOYA BLANDON")</f>
        <v>DANIELA BEDOYA BLANDON</v>
      </c>
      <c r="H1436" s="16">
        <f>IFERROR(__xludf.DUMMYFUNCTION("""COMPUTED_VALUE"""),10046.0)</f>
        <v>10046</v>
      </c>
      <c r="I1436" s="18">
        <f>IFERROR(__xludf.DUMMYFUNCTION("""COMPUTED_VALUE"""),21.0)</f>
        <v>21</v>
      </c>
      <c r="J1436" s="18">
        <f>IFERROR(__xludf.DUMMYFUNCTION("""COMPUTED_VALUE"""),43.0)</f>
        <v>43</v>
      </c>
      <c r="K1436" s="18">
        <f>IFERROR(__xludf.DUMMYFUNCTION("""COMPUTED_VALUE"""),49.0)</f>
        <v>49</v>
      </c>
      <c r="L1436" s="17">
        <f>IFERROR(__xludf.DUMMYFUNCTION("""COMPUTED_VALUE"""),3.14672822E9)</f>
        <v>3146728220</v>
      </c>
      <c r="M1436" s="17" t="str">
        <f>IFERROR(__xludf.DUMMYFUNCTION("""COMPUTED_VALUE"""),"#REF!")</f>
        <v>#REF!</v>
      </c>
      <c r="N1436" s="17"/>
      <c r="O1436" s="19" t="str">
        <f>IFERROR(__xludf.DUMMYFUNCTION("""COMPUTED_VALUE"""),"")</f>
        <v/>
      </c>
      <c r="P1436" s="17" t="b">
        <f>IFERROR(__xludf.DUMMYFUNCTION("""COMPUTED_VALUE"""),TRUE)</f>
        <v>1</v>
      </c>
      <c r="Q1436" s="20">
        <f>IFERROR(__xludf.DUMMYFUNCTION("""COMPUTED_VALUE"""),45041.730329791666)</f>
        <v>45041.73033</v>
      </c>
      <c r="R1436" s="22" t="str">
        <f>IFERROR(__xludf.DUMMYFUNCTION("""COMPUTED_VALUE"""),"")</f>
        <v/>
      </c>
    </row>
    <row r="1437">
      <c r="A1437" s="15">
        <f>IFERROR(__xludf.DUMMYFUNCTION("""COMPUTED_VALUE"""),45041.0)</f>
        <v>45041</v>
      </c>
      <c r="B1437" s="16" t="str">
        <f>IFERROR(__xludf.DUMMYFUNCTION("""COMPUTED_VALUE"""),"Oscar Augusto Meneses Osias")</f>
        <v>Oscar Augusto Meneses Osias</v>
      </c>
      <c r="C1437" s="15" t="str">
        <f>IFERROR(__xludf.DUMMYFUNCTION("""COMPUTED_VALUE"""),"MEDELLÍN")</f>
        <v>MEDELLÍN</v>
      </c>
      <c r="D1437" s="15" t="str">
        <f>IFERROR(__xludf.DUMMYFUNCTION("""COMPUTED_VALUE"""),"BOGOTÁ")</f>
        <v>BOGOTÁ</v>
      </c>
      <c r="E1437" s="15" t="str">
        <f>IFERROR(__xludf.DUMMYFUNCTION("""COMPUTED_VALUE"""),"Evamazzita")</f>
        <v>Evamazzita</v>
      </c>
      <c r="F1437" s="17" t="str">
        <f>IFERROR(__xludf.DUMMYFUNCTION("""COMPUTED_VALUE"""),"CRA 39E No. 48C SUR - 103  /  T. 1 APTO 1501 C.R. MAGDALENA DE LA CUENCA / ENVIGADO - LOMA DEL BARRO")</f>
        <v>CRA 39E No. 48C SUR - 103  /  T. 1 APTO 1501 C.R. MAGDALENA DE LA CUENCA / ENVIGADO - LOMA DEL BARRO</v>
      </c>
      <c r="G1437" s="15" t="str">
        <f>IFERROR(__xludf.DUMMYFUNCTION("""COMPUTED_VALUE"""),"ANGELA GUERRA")</f>
        <v>ANGELA GUERRA</v>
      </c>
      <c r="H1437" s="16">
        <f>IFERROR(__xludf.DUMMYFUNCTION("""COMPUTED_VALUE"""),10067.0)</f>
        <v>10067</v>
      </c>
      <c r="I1437" s="18">
        <f>IFERROR(__xludf.DUMMYFUNCTION("""COMPUTED_VALUE"""),10.0)</f>
        <v>10</v>
      </c>
      <c r="J1437" s="18">
        <f>IFERROR(__xludf.DUMMYFUNCTION("""COMPUTED_VALUE"""),22.0)</f>
        <v>22</v>
      </c>
      <c r="K1437" s="18">
        <f>IFERROR(__xludf.DUMMYFUNCTION("""COMPUTED_VALUE"""),18.0)</f>
        <v>18</v>
      </c>
      <c r="L1437" s="17">
        <f>IFERROR(__xludf.DUMMYFUNCTION("""COMPUTED_VALUE"""),3.108275453E9)</f>
        <v>3108275453</v>
      </c>
      <c r="M1437" s="17" t="str">
        <f>IFERROR(__xludf.DUMMYFUNCTION("""COMPUTED_VALUE"""),"#REF!")</f>
        <v>#REF!</v>
      </c>
      <c r="N1437" s="17"/>
      <c r="O1437" s="19" t="str">
        <f>IFERROR(__xludf.DUMMYFUNCTION("""COMPUTED_VALUE"""),"")</f>
        <v/>
      </c>
      <c r="P1437" s="17" t="b">
        <f>IFERROR(__xludf.DUMMYFUNCTION("""COMPUTED_VALUE"""),TRUE)</f>
        <v>1</v>
      </c>
      <c r="Q1437" s="20">
        <f>IFERROR(__xludf.DUMMYFUNCTION("""COMPUTED_VALUE"""),45041.657677696756)</f>
        <v>45041.65768</v>
      </c>
      <c r="R1437" s="22" t="str">
        <f>IFERROR(__xludf.DUMMYFUNCTION("""COMPUTED_VALUE"""),"")</f>
        <v/>
      </c>
    </row>
    <row r="1438">
      <c r="A1438" s="15">
        <f>IFERROR(__xludf.DUMMYFUNCTION("""COMPUTED_VALUE"""),45041.0)</f>
        <v>45041</v>
      </c>
      <c r="B1438" s="16" t="str">
        <f>IFERROR(__xludf.DUMMYFUNCTION("""COMPUTED_VALUE"""),"Oscar Augusto Meneses Osias")</f>
        <v>Oscar Augusto Meneses Osias</v>
      </c>
      <c r="C1438" s="15" t="str">
        <f>IFERROR(__xludf.DUMMYFUNCTION("""COMPUTED_VALUE"""),"MEDELLÍN")</f>
        <v>MEDELLÍN</v>
      </c>
      <c r="D1438" s="15" t="str">
        <f>IFERROR(__xludf.DUMMYFUNCTION("""COMPUTED_VALUE"""),"BOGOTÁ")</f>
        <v>BOGOTÁ</v>
      </c>
      <c r="E1438" s="15" t="str">
        <f>IFERROR(__xludf.DUMMYFUNCTION("""COMPUTED_VALUE"""),"Evamazzita")</f>
        <v>Evamazzita</v>
      </c>
      <c r="F1438" s="17" t="str">
        <f>IFERROR(__xludf.DUMMYFUNCTION("""COMPUTED_VALUE"""),"Cra 58 #77-50  / Urb Laureles del sur. TORRE 3 APTO. 807  / ITAGÜÍ")</f>
        <v>Cra 58 #77-50  / Urb Laureles del sur. TORRE 3 APTO. 807  / ITAGÜÍ</v>
      </c>
      <c r="G1438" s="15" t="str">
        <f>IFERROR(__xludf.DUMMYFUNCTION("""COMPUTED_VALUE"""),"EVERLYN RIVERA")</f>
        <v>EVERLYN RIVERA</v>
      </c>
      <c r="H1438" s="16">
        <f>IFERROR(__xludf.DUMMYFUNCTION("""COMPUTED_VALUE"""),10068.0)</f>
        <v>10068</v>
      </c>
      <c r="I1438" s="18">
        <f>IFERROR(__xludf.DUMMYFUNCTION("""COMPUTED_VALUE"""),3.0)</f>
        <v>3</v>
      </c>
      <c r="J1438" s="18">
        <f>IFERROR(__xludf.DUMMYFUNCTION("""COMPUTED_VALUE"""),20.0)</f>
        <v>20</v>
      </c>
      <c r="K1438" s="18">
        <f>IFERROR(__xludf.DUMMYFUNCTION("""COMPUTED_VALUE"""),15.0)</f>
        <v>15</v>
      </c>
      <c r="L1438" s="17">
        <f>IFERROR(__xludf.DUMMYFUNCTION("""COMPUTED_VALUE"""),3.208249871E9)</f>
        <v>3208249871</v>
      </c>
      <c r="M1438" s="17" t="str">
        <f>IFERROR(__xludf.DUMMYFUNCTION("""COMPUTED_VALUE"""),"#REF!")</f>
        <v>#REF!</v>
      </c>
      <c r="N1438" s="17"/>
      <c r="O1438" s="19" t="str">
        <f>IFERROR(__xludf.DUMMYFUNCTION("""COMPUTED_VALUE"""),"")</f>
        <v/>
      </c>
      <c r="P1438" s="17" t="b">
        <f>IFERROR(__xludf.DUMMYFUNCTION("""COMPUTED_VALUE"""),TRUE)</f>
        <v>1</v>
      </c>
      <c r="Q1438" s="20">
        <f>IFERROR(__xludf.DUMMYFUNCTION("""COMPUTED_VALUE"""),45041.666445243056)</f>
        <v>45041.66645</v>
      </c>
      <c r="R1438" s="22" t="str">
        <f>IFERROR(__xludf.DUMMYFUNCTION("""COMPUTED_VALUE"""),"")</f>
        <v/>
      </c>
    </row>
    <row r="1439">
      <c r="A1439" s="15">
        <f>IFERROR(__xludf.DUMMYFUNCTION("""COMPUTED_VALUE"""),45041.0)</f>
        <v>45041</v>
      </c>
      <c r="B1439" s="16" t="str">
        <f>IFERROR(__xludf.DUMMYFUNCTION("""COMPUTED_VALUE"""),"Oscar Augusto Meneses Osias")</f>
        <v>Oscar Augusto Meneses Osias</v>
      </c>
      <c r="C1439" s="15" t="str">
        <f>IFERROR(__xludf.DUMMYFUNCTION("""COMPUTED_VALUE"""),"MEDELLÍN")</f>
        <v>MEDELLÍN</v>
      </c>
      <c r="D1439" s="15" t="str">
        <f>IFERROR(__xludf.DUMMYFUNCTION("""COMPUTED_VALUE"""),"BOGOTÁ")</f>
        <v>BOGOTÁ</v>
      </c>
      <c r="E1439" s="15" t="str">
        <f>IFERROR(__xludf.DUMMYFUNCTION("""COMPUTED_VALUE"""),"Evamazzita")</f>
        <v>Evamazzita</v>
      </c>
      <c r="F1439" s="17" t="str">
        <f>IFERROR(__xludf.DUMMYFUNCTION("""COMPUTED_VALUE"""),"CRA 66 No. 66 - 09  / VILLA DE COMFENALCO / BELLO")</f>
        <v>CRA 66 No. 66 - 09  / VILLA DE COMFENALCO / BELLO</v>
      </c>
      <c r="G1439" s="15" t="str">
        <f>IFERROR(__xludf.DUMMYFUNCTION("""COMPUTED_VALUE"""),"INGRID ALEJANDRA MORA")</f>
        <v>INGRID ALEJANDRA MORA</v>
      </c>
      <c r="H1439" s="16">
        <f>IFERROR(__xludf.DUMMYFUNCTION("""COMPUTED_VALUE"""),10066.0)</f>
        <v>10066</v>
      </c>
      <c r="I1439" s="18">
        <f>IFERROR(__xludf.DUMMYFUNCTION("""COMPUTED_VALUE"""),3.0)</f>
        <v>3</v>
      </c>
      <c r="J1439" s="18">
        <f>IFERROR(__xludf.DUMMYFUNCTION("""COMPUTED_VALUE"""),20.0)</f>
        <v>20</v>
      </c>
      <c r="K1439" s="18">
        <f>IFERROR(__xludf.DUMMYFUNCTION("""COMPUTED_VALUE"""),15.0)</f>
        <v>15</v>
      </c>
      <c r="L1439" s="17">
        <f>IFERROR(__xludf.DUMMYFUNCTION("""COMPUTED_VALUE"""),3.2038077E8)</f>
        <v>320380770</v>
      </c>
      <c r="M1439" s="17" t="str">
        <f>IFERROR(__xludf.DUMMYFUNCTION("""COMPUTED_VALUE"""),"#REF!")</f>
        <v>#REF!</v>
      </c>
      <c r="N1439" s="17"/>
      <c r="O1439" s="19" t="str">
        <f>IFERROR(__xludf.DUMMYFUNCTION("""COMPUTED_VALUE"""),"")</f>
        <v/>
      </c>
      <c r="P1439" s="17" t="b">
        <f>IFERROR(__xludf.DUMMYFUNCTION("""COMPUTED_VALUE"""),TRUE)</f>
        <v>1</v>
      </c>
      <c r="Q1439" s="20">
        <f>IFERROR(__xludf.DUMMYFUNCTION("""COMPUTED_VALUE"""),45041.46746817129)</f>
        <v>45041.46747</v>
      </c>
      <c r="R1439" s="22" t="str">
        <f>IFERROR(__xludf.DUMMYFUNCTION("""COMPUTED_VALUE"""),"")</f>
        <v/>
      </c>
    </row>
    <row r="1440">
      <c r="A1440" s="15">
        <f>IFERROR(__xludf.DUMMYFUNCTION("""COMPUTED_VALUE"""),45041.0)</f>
        <v>45041</v>
      </c>
      <c r="B1440" s="16" t="str">
        <f>IFERROR(__xludf.DUMMYFUNCTION("""COMPUTED_VALUE"""),"Oscar Augusto Meneses Osias")</f>
        <v>Oscar Augusto Meneses Osias</v>
      </c>
      <c r="C1440" s="15" t="str">
        <f>IFERROR(__xludf.DUMMYFUNCTION("""COMPUTED_VALUE"""),"MEDELLÍN")</f>
        <v>MEDELLÍN</v>
      </c>
      <c r="D1440" s="15" t="str">
        <f>IFERROR(__xludf.DUMMYFUNCTION("""COMPUTED_VALUE"""),"BOGOTÁ")</f>
        <v>BOGOTÁ</v>
      </c>
      <c r="E1440" s="15" t="str">
        <f>IFERROR(__xludf.DUMMYFUNCTION("""COMPUTED_VALUE"""),"Evamazzita")</f>
        <v>Evamazzita</v>
      </c>
      <c r="F1440" s="17" t="str">
        <f>IFERROR(__xludf.DUMMYFUNCTION("""COMPUTED_VALUE"""),"CRA 80 C CALLE 20 D -190  / TORRE 13 PISO 2 APTO. 9851 UNIDAD SIEMBRA  / BELLO - BARRIO PARIS")</f>
        <v>CRA 80 C CALLE 20 D -190  / TORRE 13 PISO 2 APTO. 9851 UNIDAD SIEMBRA  / BELLO - BARRIO PARIS</v>
      </c>
      <c r="G1440" s="15" t="str">
        <f>IFERROR(__xludf.DUMMYFUNCTION("""COMPUTED_VALUE"""),"LEIDY JOHANA URREGO RAMIREZ")</f>
        <v>LEIDY JOHANA URREGO RAMIREZ</v>
      </c>
      <c r="H1440" s="16">
        <f>IFERROR(__xludf.DUMMYFUNCTION("""COMPUTED_VALUE"""),10065.0)</f>
        <v>10065</v>
      </c>
      <c r="I1440" s="18">
        <f>IFERROR(__xludf.DUMMYFUNCTION("""COMPUTED_VALUE"""),10.0)</f>
        <v>10</v>
      </c>
      <c r="J1440" s="18">
        <f>IFERROR(__xludf.DUMMYFUNCTION("""COMPUTED_VALUE"""),18.0)</f>
        <v>18</v>
      </c>
      <c r="K1440" s="18">
        <f>IFERROR(__xludf.DUMMYFUNCTION("""COMPUTED_VALUE"""),22.0)</f>
        <v>22</v>
      </c>
      <c r="L1440" s="17">
        <f>IFERROR(__xludf.DUMMYFUNCTION("""COMPUTED_VALUE"""),3.015207697E9)</f>
        <v>3015207697</v>
      </c>
      <c r="M1440" s="17" t="str">
        <f>IFERROR(__xludf.DUMMYFUNCTION("""COMPUTED_VALUE"""),"#REF!")</f>
        <v>#REF!</v>
      </c>
      <c r="N1440" s="17"/>
      <c r="O1440" s="19" t="str">
        <f>IFERROR(__xludf.DUMMYFUNCTION("""COMPUTED_VALUE"""),"")</f>
        <v/>
      </c>
      <c r="P1440" s="17" t="b">
        <f>IFERROR(__xludf.DUMMYFUNCTION("""COMPUTED_VALUE"""),TRUE)</f>
        <v>1</v>
      </c>
      <c r="Q1440" s="20">
        <f>IFERROR(__xludf.DUMMYFUNCTION("""COMPUTED_VALUE"""),45041.66568953704)</f>
        <v>45041.66569</v>
      </c>
      <c r="R1440" s="22" t="str">
        <f>IFERROR(__xludf.DUMMYFUNCTION("""COMPUTED_VALUE"""),"")</f>
        <v/>
      </c>
    </row>
    <row r="1441">
      <c r="A1441" s="15">
        <f>IFERROR(__xludf.DUMMYFUNCTION("""COMPUTED_VALUE"""),45041.0)</f>
        <v>45041</v>
      </c>
      <c r="B1441" s="16" t="str">
        <f>IFERROR(__xludf.DUMMYFUNCTION("""COMPUTED_VALUE"""),"Oscar Augusto Meneses Osias")</f>
        <v>Oscar Augusto Meneses Osias</v>
      </c>
      <c r="C1441" s="15" t="str">
        <f>IFERROR(__xludf.DUMMYFUNCTION("""COMPUTED_VALUE"""),"MEDELLÍN")</f>
        <v>MEDELLÍN</v>
      </c>
      <c r="D1441" s="15" t="str">
        <f>IFERROR(__xludf.DUMMYFUNCTION("""COMPUTED_VALUE"""),"BOGOTÁ")</f>
        <v>BOGOTÁ</v>
      </c>
      <c r="E1441" s="15" t="str">
        <f>IFERROR(__xludf.DUMMYFUNCTION("""COMPUTED_VALUE"""),"Helados Socos")</f>
        <v>Helados Socos</v>
      </c>
      <c r="F1441" s="17" t="str">
        <f>IFERROR(__xludf.DUMMYFUNCTION("""COMPUTED_VALUE"""),"Cra 32 N° 5 G 70 Apto 2803  / Urbanización Stanza, Poblado / Medellin")</f>
        <v>Cra 32 N° 5 G 70 Apto 2803  / Urbanización Stanza, Poblado / Medellin</v>
      </c>
      <c r="G1441" s="15" t="str">
        <f>IFERROR(__xludf.DUMMYFUNCTION("""COMPUTED_VALUE"""),"Luisa Fernanda Angel")</f>
        <v>Luisa Fernanda Angel</v>
      </c>
      <c r="H1441" s="16">
        <f>IFERROR(__xludf.DUMMYFUNCTION("""COMPUTED_VALUE"""),10001.0)</f>
        <v>10001</v>
      </c>
      <c r="I1441" s="18">
        <f>IFERROR(__xludf.DUMMYFUNCTION("""COMPUTED_VALUE"""),15.0)</f>
        <v>15</v>
      </c>
      <c r="J1441" s="18">
        <f>IFERROR(__xludf.DUMMYFUNCTION("""COMPUTED_VALUE"""),15.0)</f>
        <v>15</v>
      </c>
      <c r="K1441" s="18">
        <f>IFERROR(__xludf.DUMMYFUNCTION("""COMPUTED_VALUE"""),10.0)</f>
        <v>10</v>
      </c>
      <c r="L1441" s="17">
        <f>IFERROR(__xludf.DUMMYFUNCTION("""COMPUTED_VALUE"""),3.162232002E9)</f>
        <v>3162232002</v>
      </c>
      <c r="M1441" s="17" t="str">
        <f>IFERROR(__xludf.DUMMYFUNCTION("""COMPUTED_VALUE"""),"#REF!")</f>
        <v>#REF!</v>
      </c>
      <c r="N1441" s="17"/>
      <c r="O1441" s="19" t="str">
        <f>IFERROR(__xludf.DUMMYFUNCTION("""COMPUTED_VALUE"""),"")</f>
        <v/>
      </c>
      <c r="P1441" s="17" t="b">
        <f>IFERROR(__xludf.DUMMYFUNCTION("""COMPUTED_VALUE"""),TRUE)</f>
        <v>1</v>
      </c>
      <c r="Q1441" s="20">
        <f>IFERROR(__xludf.DUMMYFUNCTION("""COMPUTED_VALUE"""),45041.51637828704)</f>
        <v>45041.51638</v>
      </c>
      <c r="R1441" s="22" t="str">
        <f>IFERROR(__xludf.DUMMYFUNCTION("""COMPUTED_VALUE"""),"")</f>
        <v/>
      </c>
    </row>
    <row r="1442">
      <c r="A1442" s="15">
        <f>IFERROR(__xludf.DUMMYFUNCTION("""COMPUTED_VALUE"""),45041.0)</f>
        <v>45041</v>
      </c>
      <c r="B1442" s="16" t="str">
        <f>IFERROR(__xludf.DUMMYFUNCTION("""COMPUTED_VALUE"""),"Oscar Augusto Meneses Osias")</f>
        <v>Oscar Augusto Meneses Osias</v>
      </c>
      <c r="C1442" s="15" t="str">
        <f>IFERROR(__xludf.DUMMYFUNCTION("""COMPUTED_VALUE"""),"MEDELLÍN")</f>
        <v>MEDELLÍN</v>
      </c>
      <c r="D1442" s="15" t="str">
        <f>IFERROR(__xludf.DUMMYFUNCTION("""COMPUTED_VALUE"""),"BOGOTÁ")</f>
        <v>BOGOTÁ</v>
      </c>
      <c r="E1442" s="15" t="str">
        <f>IFERROR(__xludf.DUMMYFUNCTION("""COMPUTED_VALUE"""),"Loomifoods")</f>
        <v>Loomifoods</v>
      </c>
      <c r="F1442" s="17" t="str">
        <f>IFERROR(__xludf.DUMMYFUNCTION("""COMPUTED_VALUE"""),"Carrera 15 BA no. 34 D - 44 / Interior 201 / Medellin")</f>
        <v>Carrera 15 BA no. 34 D - 44 / Interior 201 / Medellin</v>
      </c>
      <c r="G1442" s="15" t="str">
        <f>IFERROR(__xludf.DUMMYFUNCTION("""COMPUTED_VALUE"""),"Daniela Bedoya")</f>
        <v>Daniela Bedoya</v>
      </c>
      <c r="H1442" s="16">
        <f>IFERROR(__xludf.DUMMYFUNCTION("""COMPUTED_VALUE"""),10089.0)</f>
        <v>10089</v>
      </c>
      <c r="I1442" s="18">
        <f>IFERROR(__xludf.DUMMYFUNCTION("""COMPUTED_VALUE"""),20.0)</f>
        <v>20</v>
      </c>
      <c r="J1442" s="18">
        <f>IFERROR(__xludf.DUMMYFUNCTION("""COMPUTED_VALUE"""),10.0)</f>
        <v>10</v>
      </c>
      <c r="K1442" s="18">
        <f>IFERROR(__xludf.DUMMYFUNCTION("""COMPUTED_VALUE"""),16.0)</f>
        <v>16</v>
      </c>
      <c r="L1442" s="17">
        <f>IFERROR(__xludf.DUMMYFUNCTION("""COMPUTED_VALUE"""),3.14672822E9)</f>
        <v>3146728220</v>
      </c>
      <c r="M1442" s="17" t="str">
        <f>IFERROR(__xludf.DUMMYFUNCTION("""COMPUTED_VALUE"""),"#REF!")</f>
        <v>#REF!</v>
      </c>
      <c r="N1442" s="17"/>
      <c r="O1442" s="19" t="str">
        <f>IFERROR(__xludf.DUMMYFUNCTION("""COMPUTED_VALUE"""),"")</f>
        <v/>
      </c>
      <c r="P1442" s="17" t="b">
        <f>IFERROR(__xludf.DUMMYFUNCTION("""COMPUTED_VALUE"""),TRUE)</f>
        <v>1</v>
      </c>
      <c r="Q1442" s="20">
        <f>IFERROR(__xludf.DUMMYFUNCTION("""COMPUTED_VALUE"""),45041.46759331018)</f>
        <v>45041.46759</v>
      </c>
      <c r="R1442" s="22" t="str">
        <f>IFERROR(__xludf.DUMMYFUNCTION("""COMPUTED_VALUE"""),"")</f>
        <v/>
      </c>
    </row>
    <row r="1443">
      <c r="A1443" s="15">
        <f>IFERROR(__xludf.DUMMYFUNCTION("""COMPUTED_VALUE"""),45041.0)</f>
        <v>45041</v>
      </c>
      <c r="B1443" s="16" t="str">
        <f>IFERROR(__xludf.DUMMYFUNCTION("""COMPUTED_VALUE"""),"Oscar Augusto Meneses Osias")</f>
        <v>Oscar Augusto Meneses Osias</v>
      </c>
      <c r="C1443" s="15" t="str">
        <f>IFERROR(__xludf.DUMMYFUNCTION("""COMPUTED_VALUE"""),"MEDELLÍN")</f>
        <v>MEDELLÍN</v>
      </c>
      <c r="D1443" s="15" t="str">
        <f>IFERROR(__xludf.DUMMYFUNCTION("""COMPUTED_VALUE"""),"BOGOTÁ")</f>
        <v>BOGOTÁ</v>
      </c>
      <c r="E1443" s="15" t="str">
        <f>IFERROR(__xludf.DUMMYFUNCTION("""COMPUTED_VALUE"""),"My Choice")</f>
        <v>My Choice</v>
      </c>
      <c r="F1443" s="17" t="str">
        <f>IFERROR(__xludf.DUMMYFUNCTION("""COMPUTED_VALUE"""),"Cra. 22a ##20a Sur-19 Apto 303  Puente Aviñon- Por san lucas  / Apto 603 / Por san Lucas")</f>
        <v>Cra. 22a ##20a Sur-19 Apto 303  Puente Aviñon- Por san lucas  / Apto 603 / Por san Lucas</v>
      </c>
      <c r="G1443" s="15" t="str">
        <f>IFERROR(__xludf.DUMMYFUNCTION("""COMPUTED_VALUE"""),"Juanita Mesa")</f>
        <v>Juanita Mesa</v>
      </c>
      <c r="H1443" s="16">
        <f>IFERROR(__xludf.DUMMYFUNCTION("""COMPUTED_VALUE"""),10044.0)</f>
        <v>10044</v>
      </c>
      <c r="I1443" s="18">
        <f>IFERROR(__xludf.DUMMYFUNCTION("""COMPUTED_VALUE"""),10.0)</f>
        <v>10</v>
      </c>
      <c r="J1443" s="18">
        <f>IFERROR(__xludf.DUMMYFUNCTION("""COMPUTED_VALUE"""),33.0)</f>
        <v>33</v>
      </c>
      <c r="K1443" s="18">
        <f>IFERROR(__xludf.DUMMYFUNCTION("""COMPUTED_VALUE"""),17.0)</f>
        <v>17</v>
      </c>
      <c r="L1443" s="17">
        <f>IFERROR(__xludf.DUMMYFUNCTION("""COMPUTED_VALUE"""),3.008534213E9)</f>
        <v>3008534213</v>
      </c>
      <c r="M1443" s="17" t="str">
        <f>IFERROR(__xludf.DUMMYFUNCTION("""COMPUTED_VALUE"""),"#REF!")</f>
        <v>#REF!</v>
      </c>
      <c r="N1443" s="17"/>
      <c r="O1443" s="19" t="str">
        <f>IFERROR(__xludf.DUMMYFUNCTION("""COMPUTED_VALUE"""),"")</f>
        <v/>
      </c>
      <c r="P1443" s="17" t="b">
        <f>IFERROR(__xludf.DUMMYFUNCTION("""COMPUTED_VALUE"""),TRUE)</f>
        <v>1</v>
      </c>
      <c r="Q1443" s="20">
        <f>IFERROR(__xludf.DUMMYFUNCTION("""COMPUTED_VALUE"""),45041.65743446759)</f>
        <v>45041.65743</v>
      </c>
      <c r="R1443" s="22" t="str">
        <f>IFERROR(__xludf.DUMMYFUNCTION("""COMPUTED_VALUE"""),"")</f>
        <v/>
      </c>
    </row>
    <row r="1444">
      <c r="A1444" s="15">
        <f>IFERROR(__xludf.DUMMYFUNCTION("""COMPUTED_VALUE"""),45041.0)</f>
        <v>45041</v>
      </c>
      <c r="B1444" s="16" t="str">
        <f>IFERROR(__xludf.DUMMYFUNCTION("""COMPUTED_VALUE"""),"Oscar Augusto Meneses Osias")</f>
        <v>Oscar Augusto Meneses Osias</v>
      </c>
      <c r="C1444" s="15" t="str">
        <f>IFERROR(__xludf.DUMMYFUNCTION("""COMPUTED_VALUE"""),"MEDELLÍN")</f>
        <v>MEDELLÍN</v>
      </c>
      <c r="D1444" s="15" t="str">
        <f>IFERROR(__xludf.DUMMYFUNCTION("""COMPUTED_VALUE"""),"BOGOTÁ")</f>
        <v>BOGOTÁ</v>
      </c>
      <c r="E1444" s="15" t="str">
        <f>IFERROR(__xludf.DUMMYFUNCTION("""COMPUTED_VALUE"""),"Pan de Waffle")</f>
        <v>Pan de Waffle</v>
      </c>
      <c r="F1444" s="17" t="str">
        <f>IFERROR(__xludf.DUMMYFUNCTION("""COMPUTED_VALUE"""),"Carrera 39 # 59 - 32 / Carrera 39 # 59 - 32 / Carrera 39 # 59 - 32")</f>
        <v>Carrera 39 # 59 - 32 / Carrera 39 # 59 - 32 / Carrera 39 # 59 - 32</v>
      </c>
      <c r="G1444" s="15" t="str">
        <f>IFERROR(__xludf.DUMMYFUNCTION("""COMPUTED_VALUE"""),"FOODOLOGY")</f>
        <v>FOODOLOGY</v>
      </c>
      <c r="H1444" s="16">
        <f>IFERROR(__xludf.DUMMYFUNCTION("""COMPUTED_VALUE"""),10082.0)</f>
        <v>10082</v>
      </c>
      <c r="I1444" s="18">
        <f>IFERROR(__xludf.DUMMYFUNCTION("""COMPUTED_VALUE"""),30.0)</f>
        <v>30</v>
      </c>
      <c r="J1444" s="18">
        <f>IFERROR(__xludf.DUMMYFUNCTION("""COMPUTED_VALUE"""),40.0)</f>
        <v>40</v>
      </c>
      <c r="K1444" s="18">
        <f>IFERROR(__xludf.DUMMYFUNCTION("""COMPUTED_VALUE"""),30.0)</f>
        <v>30</v>
      </c>
      <c r="L1444" s="17">
        <f>IFERROR(__xludf.DUMMYFUNCTION("""COMPUTED_VALUE"""),3.123558292E9)</f>
        <v>3123558292</v>
      </c>
      <c r="M1444" s="17" t="str">
        <f>IFERROR(__xludf.DUMMYFUNCTION("""COMPUTED_VALUE"""),"#REF!")</f>
        <v>#REF!</v>
      </c>
      <c r="N1444" s="17"/>
      <c r="O1444" s="19" t="str">
        <f>IFERROR(__xludf.DUMMYFUNCTION("""COMPUTED_VALUE"""),"")</f>
        <v/>
      </c>
      <c r="P1444" s="17" t="b">
        <f>IFERROR(__xludf.DUMMYFUNCTION("""COMPUTED_VALUE"""),TRUE)</f>
        <v>1</v>
      </c>
      <c r="Q1444" s="20">
        <f>IFERROR(__xludf.DUMMYFUNCTION("""COMPUTED_VALUE"""),45041.65727994213)</f>
        <v>45041.65728</v>
      </c>
      <c r="R1444" s="22" t="str">
        <f>IFERROR(__xludf.DUMMYFUNCTION("""COMPUTED_VALUE"""),"")</f>
        <v/>
      </c>
    </row>
    <row r="1445">
      <c r="A1445" s="15">
        <f>IFERROR(__xludf.DUMMYFUNCTION("""COMPUTED_VALUE"""),45041.0)</f>
        <v>45041</v>
      </c>
      <c r="B1445" s="16" t="str">
        <f>IFERROR(__xludf.DUMMYFUNCTION("""COMPUTED_VALUE"""),"Oscar Augusto Meneses Osias")</f>
        <v>Oscar Augusto Meneses Osias</v>
      </c>
      <c r="C1445" s="15" t="str">
        <f>IFERROR(__xludf.DUMMYFUNCTION("""COMPUTED_VALUE"""),"MEDELLÍN")</f>
        <v>MEDELLÍN</v>
      </c>
      <c r="D1445" s="15" t="str">
        <f>IFERROR(__xludf.DUMMYFUNCTION("""COMPUTED_VALUE"""),"BOGOTÁ")</f>
        <v>BOGOTÁ</v>
      </c>
      <c r="E1445" s="15" t="str">
        <f>IFERROR(__xludf.DUMMYFUNCTION("""COMPUTED_VALUE"""),"Top Spun")</f>
        <v>Top Spun</v>
      </c>
      <c r="F1445" s="17" t="str">
        <f>IFERROR(__xludf.DUMMYFUNCTION("""COMPUTED_VALUE"""),"calle 7 # 22-31.  / Edificio Jamaica. Apto 406  / MEDELLIN")</f>
        <v>calle 7 # 22-31.  / Edificio Jamaica. Apto 406  / MEDELLIN</v>
      </c>
      <c r="G1445" s="15" t="str">
        <f>IFERROR(__xludf.DUMMYFUNCTION("""COMPUTED_VALUE"""),"Natalia Rico Gil")</f>
        <v>Natalia Rico Gil</v>
      </c>
      <c r="H1445" s="16">
        <f>IFERROR(__xludf.DUMMYFUNCTION("""COMPUTED_VALUE"""),10050.0)</f>
        <v>10050</v>
      </c>
      <c r="I1445" s="18">
        <f>IFERROR(__xludf.DUMMYFUNCTION("""COMPUTED_VALUE"""),20.0)</f>
        <v>20</v>
      </c>
      <c r="J1445" s="18">
        <f>IFERROR(__xludf.DUMMYFUNCTION("""COMPUTED_VALUE"""),10.0)</f>
        <v>10</v>
      </c>
      <c r="K1445" s="18">
        <f>IFERROR(__xludf.DUMMYFUNCTION("""COMPUTED_VALUE"""),40.0)</f>
        <v>40</v>
      </c>
      <c r="L1445" s="17">
        <f>IFERROR(__xludf.DUMMYFUNCTION("""COMPUTED_VALUE"""),3.00824324E9)</f>
        <v>3008243240</v>
      </c>
      <c r="M1445" s="17" t="str">
        <f>IFERROR(__xludf.DUMMYFUNCTION("""COMPUTED_VALUE"""),"#REF!")</f>
        <v>#REF!</v>
      </c>
      <c r="N1445" s="17"/>
      <c r="O1445" s="19" t="str">
        <f>IFERROR(__xludf.DUMMYFUNCTION("""COMPUTED_VALUE"""),"")</f>
        <v/>
      </c>
      <c r="P1445" s="17" t="b">
        <f>IFERROR(__xludf.DUMMYFUNCTION("""COMPUTED_VALUE"""),TRUE)</f>
        <v>1</v>
      </c>
      <c r="Q1445" s="20">
        <f>IFERROR(__xludf.DUMMYFUNCTION("""COMPUTED_VALUE"""),45041.65730521991)</f>
        <v>45041.65731</v>
      </c>
      <c r="R1445" s="22" t="str">
        <f>IFERROR(__xludf.DUMMYFUNCTION("""COMPUTED_VALUE"""),"")</f>
        <v/>
      </c>
    </row>
    <row r="1446">
      <c r="A1446" s="15">
        <f>IFERROR(__xludf.DUMMYFUNCTION("""COMPUTED_VALUE"""),45041.0)</f>
        <v>45041</v>
      </c>
      <c r="B1446" s="16" t="str">
        <f>IFERROR(__xludf.DUMMYFUNCTION("""COMPUTED_VALUE"""),"Oscar Augusto Meneses Osias")</f>
        <v>Oscar Augusto Meneses Osias</v>
      </c>
      <c r="C1446" s="15" t="str">
        <f>IFERROR(__xludf.DUMMYFUNCTION("""COMPUTED_VALUE"""),"MEDELLÍN")</f>
        <v>MEDELLÍN</v>
      </c>
      <c r="D1446" s="15" t="str">
        <f>IFERROR(__xludf.DUMMYFUNCTION("""COMPUTED_VALUE"""),"BOGOTÁ")</f>
        <v>BOGOTÁ</v>
      </c>
      <c r="E1446" s="15" t="str">
        <f>IFERROR(__xludf.DUMMYFUNCTION("""COMPUTED_VALUE"""),"Top Spun")</f>
        <v>Top Spun</v>
      </c>
      <c r="F1446" s="17" t="str">
        <f>IFERROR(__xludf.DUMMYFUNCTION("""COMPUTED_VALUE"""),"Diagonal 54#17-100  / Apto 1132 / Poblado niquia Bello")</f>
        <v>Diagonal 54#17-100  / Apto 1132 / Poblado niquia Bello</v>
      </c>
      <c r="G1446" s="15" t="str">
        <f>IFERROR(__xludf.DUMMYFUNCTION("""COMPUTED_VALUE"""),"Paula ruiz")</f>
        <v>Paula ruiz</v>
      </c>
      <c r="H1446" s="16">
        <f>IFERROR(__xludf.DUMMYFUNCTION("""COMPUTED_VALUE"""),10029.0)</f>
        <v>10029</v>
      </c>
      <c r="I1446" s="18">
        <f>IFERROR(__xludf.DUMMYFUNCTION("""COMPUTED_VALUE"""),20.0)</f>
        <v>20</v>
      </c>
      <c r="J1446" s="18">
        <f>IFERROR(__xludf.DUMMYFUNCTION("""COMPUTED_VALUE"""),10.0)</f>
        <v>10</v>
      </c>
      <c r="K1446" s="18">
        <f>IFERROR(__xludf.DUMMYFUNCTION("""COMPUTED_VALUE"""),40.0)</f>
        <v>40</v>
      </c>
      <c r="L1446" s="17">
        <f>IFERROR(__xludf.DUMMYFUNCTION("""COMPUTED_VALUE"""),3.147541301E9)</f>
        <v>3147541301</v>
      </c>
      <c r="M1446" s="17" t="str">
        <f>IFERROR(__xludf.DUMMYFUNCTION("""COMPUTED_VALUE"""),"#REF!")</f>
        <v>#REF!</v>
      </c>
      <c r="N1446" s="17"/>
      <c r="O1446" s="19" t="str">
        <f>IFERROR(__xludf.DUMMYFUNCTION("""COMPUTED_VALUE"""),"")</f>
        <v/>
      </c>
      <c r="P1446" s="17" t="b">
        <f>IFERROR(__xludf.DUMMYFUNCTION("""COMPUTED_VALUE"""),TRUE)</f>
        <v>1</v>
      </c>
      <c r="Q1446" s="20">
        <f>IFERROR(__xludf.DUMMYFUNCTION("""COMPUTED_VALUE"""),45041.67754679398)</f>
        <v>45041.67755</v>
      </c>
      <c r="R1446" s="22" t="str">
        <f>IFERROR(__xludf.DUMMYFUNCTION("""COMPUTED_VALUE"""),"")</f>
        <v/>
      </c>
    </row>
    <row r="1447">
      <c r="A1447" s="15">
        <f>IFERROR(__xludf.DUMMYFUNCTION("""COMPUTED_VALUE"""),45041.0)</f>
        <v>45041</v>
      </c>
      <c r="B1447" s="16" t="str">
        <f>IFERROR(__xludf.DUMMYFUNCTION("""COMPUTED_VALUE"""),"Oscar Augusto Meneses Osias")</f>
        <v>Oscar Augusto Meneses Osias</v>
      </c>
      <c r="C1447" s="15" t="str">
        <f>IFERROR(__xludf.DUMMYFUNCTION("""COMPUTED_VALUE"""),"MEDELLÍN")</f>
        <v>MEDELLÍN</v>
      </c>
      <c r="D1447" s="15" t="str">
        <f>IFERROR(__xludf.DUMMYFUNCTION("""COMPUTED_VALUE"""),"BOGOTÁ")</f>
        <v>BOGOTÁ</v>
      </c>
      <c r="E1447" s="15" t="str">
        <f>IFERROR(__xludf.DUMMYFUNCTION("""COMPUTED_VALUE"""),"Ventura Productos Arg")</f>
        <v>Ventura Productos Arg</v>
      </c>
      <c r="F1447" s="17" t="str">
        <f>IFERROR(__xludf.DUMMYFUNCTION("""COMPUTED_VALUE"""),"Cra 20 #23 sur 25, Casa 146, ENVIGADO / ENVIGADO")</f>
        <v>Cra 20 #23 sur 25, Casa 146, ENVIGADO / ENVIGADO</v>
      </c>
      <c r="G1447" s="15" t="str">
        <f>IFERROR(__xludf.DUMMYFUNCTION("""COMPUTED_VALUE"""),"Gabriela Vairo")</f>
        <v>Gabriela Vairo</v>
      </c>
      <c r="H1447" s="16">
        <f>IFERROR(__xludf.DUMMYFUNCTION("""COMPUTED_VALUE"""),9924.0)</f>
        <v>9924</v>
      </c>
      <c r="I1447" s="18">
        <f>IFERROR(__xludf.DUMMYFUNCTION("""COMPUTED_VALUE"""),3.0)</f>
        <v>3</v>
      </c>
      <c r="J1447" s="18">
        <f>IFERROR(__xludf.DUMMYFUNCTION("""COMPUTED_VALUE"""),45060.0)</f>
        <v>45060</v>
      </c>
      <c r="K1447" s="18">
        <f>IFERROR(__xludf.DUMMYFUNCTION("""COMPUTED_VALUE"""),22.0)</f>
        <v>22</v>
      </c>
      <c r="L1447" s="17">
        <f>IFERROR(__xludf.DUMMYFUNCTION("""COMPUTED_VALUE"""),3.165825129E9)</f>
        <v>3165825129</v>
      </c>
      <c r="M1447" s="17" t="str">
        <f>IFERROR(__xludf.DUMMYFUNCTION("""COMPUTED_VALUE"""),"#REF!")</f>
        <v>#REF!</v>
      </c>
      <c r="N1447" s="17"/>
      <c r="O1447" s="19" t="str">
        <f>IFERROR(__xludf.DUMMYFUNCTION("""COMPUTED_VALUE"""),"")</f>
        <v/>
      </c>
      <c r="P1447" s="17" t="b">
        <f>IFERROR(__xludf.DUMMYFUNCTION("""COMPUTED_VALUE"""),TRUE)</f>
        <v>1</v>
      </c>
      <c r="Q1447" s="20">
        <f>IFERROR(__xludf.DUMMYFUNCTION("""COMPUTED_VALUE"""),45041.56912033565)</f>
        <v>45041.56912</v>
      </c>
      <c r="R1447" s="22" t="str">
        <f>IFERROR(__xludf.DUMMYFUNCTION("""COMPUTED_VALUE"""),"")</f>
        <v/>
      </c>
    </row>
    <row r="1448">
      <c r="A1448" s="15">
        <f>IFERROR(__xludf.DUMMYFUNCTION("""COMPUTED_VALUE"""),45041.0)</f>
        <v>45041</v>
      </c>
      <c r="B1448" s="16" t="str">
        <f>IFERROR(__xludf.DUMMYFUNCTION("""COMPUTED_VALUE"""),"Oscar Augusto Meneses Osias")</f>
        <v>Oscar Augusto Meneses Osias</v>
      </c>
      <c r="C1448" s="15" t="str">
        <f>IFERROR(__xludf.DUMMYFUNCTION("""COMPUTED_VALUE"""),"MEDELLÍN")</f>
        <v>MEDELLÍN</v>
      </c>
      <c r="D1448" s="15" t="str">
        <f>IFERROR(__xludf.DUMMYFUNCTION("""COMPUTED_VALUE"""),"BOGOTÁ")</f>
        <v>BOGOTÁ</v>
      </c>
      <c r="E1448" s="15" t="str">
        <f>IFERROR(__xludf.DUMMYFUNCTION("""COMPUTED_VALUE"""),"Viiva Fermentados")</f>
        <v>Viiva Fermentados</v>
      </c>
      <c r="F1448" s="17" t="str">
        <f>IFERROR(__xludf.DUMMYFUNCTION("""COMPUTED_VALUE"""),"Calle 23 # 65 B 14 Trinidad  Segundo piso / Trinidad  Segundo piso / Trinidad")</f>
        <v>Calle 23 # 65 B 14 Trinidad  Segundo piso / Trinidad  Segundo piso / Trinidad</v>
      </c>
      <c r="G1448" s="15" t="str">
        <f>IFERROR(__xludf.DUMMYFUNCTION("""COMPUTED_VALUE"""),"Marcela de Eatsy")</f>
        <v>Marcela de Eatsy</v>
      </c>
      <c r="H1448" s="16">
        <f>IFERROR(__xludf.DUMMYFUNCTION("""COMPUTED_VALUE"""),10000.0)</f>
        <v>10000</v>
      </c>
      <c r="I1448" s="18">
        <f>IFERROR(__xludf.DUMMYFUNCTION("""COMPUTED_VALUE"""),27.0)</f>
        <v>27</v>
      </c>
      <c r="J1448" s="18">
        <f>IFERROR(__xludf.DUMMYFUNCTION("""COMPUTED_VALUE"""),30.0)</f>
        <v>30</v>
      </c>
      <c r="K1448" s="18">
        <f>IFERROR(__xludf.DUMMYFUNCTION("""COMPUTED_VALUE"""),40.0)</f>
        <v>40</v>
      </c>
      <c r="L1448" s="17">
        <f>IFERROR(__xludf.DUMMYFUNCTION("""COMPUTED_VALUE"""),3.243965697E9)</f>
        <v>3243965697</v>
      </c>
      <c r="M1448" s="17" t="str">
        <f>IFERROR(__xludf.DUMMYFUNCTION("""COMPUTED_VALUE"""),"#REF!")</f>
        <v>#REF!</v>
      </c>
      <c r="N1448" s="17"/>
      <c r="O1448" s="19" t="str">
        <f>IFERROR(__xludf.DUMMYFUNCTION("""COMPUTED_VALUE"""),"")</f>
        <v/>
      </c>
      <c r="P1448" s="17" t="b">
        <f>IFERROR(__xludf.DUMMYFUNCTION("""COMPUTED_VALUE"""),FALSE)</f>
        <v>0</v>
      </c>
      <c r="Q1448" s="20" t="str">
        <f>IFERROR(__xludf.DUMMYFUNCTION("""COMPUTED_VALUE"""),"")</f>
        <v/>
      </c>
      <c r="R1448" s="22" t="str">
        <f>IFERROR(__xludf.DUMMYFUNCTION("""COMPUTED_VALUE"""),"")</f>
        <v/>
      </c>
    </row>
    <row r="1449">
      <c r="A1449" s="17" t="str">
        <f>IFERROR(__xludf.DUMMYFUNCTION("""COMPUTED_VALUE"""),"")</f>
        <v/>
      </c>
      <c r="B1449" s="17" t="str">
        <f>IFERROR(__xludf.DUMMYFUNCTION("""COMPUTED_VALUE"""),"")</f>
        <v/>
      </c>
      <c r="C1449" s="17" t="str">
        <f>IFERROR(__xludf.DUMMYFUNCTION("""COMPUTED_VALUE"""),"")</f>
        <v/>
      </c>
      <c r="D1449" s="17" t="str">
        <f>IFERROR(__xludf.DUMMYFUNCTION("""COMPUTED_VALUE"""),"")</f>
        <v/>
      </c>
      <c r="E1449" s="17" t="str">
        <f>IFERROR(__xludf.DUMMYFUNCTION("""COMPUTED_VALUE"""),"")</f>
        <v/>
      </c>
      <c r="F1449" s="17" t="str">
        <f>IFERROR(__xludf.DUMMYFUNCTION("""COMPUTED_VALUE"""),"")</f>
        <v/>
      </c>
      <c r="G1449" s="17" t="str">
        <f>IFERROR(__xludf.DUMMYFUNCTION("""COMPUTED_VALUE"""),"")</f>
        <v/>
      </c>
      <c r="H1449" s="17" t="str">
        <f>IFERROR(__xludf.DUMMYFUNCTION("""COMPUTED_VALUE"""),"")</f>
        <v/>
      </c>
      <c r="I1449" s="17" t="str">
        <f>IFERROR(__xludf.DUMMYFUNCTION("""COMPUTED_VALUE"""),"")</f>
        <v/>
      </c>
      <c r="J1449" s="17" t="str">
        <f>IFERROR(__xludf.DUMMYFUNCTION("""COMPUTED_VALUE"""),"")</f>
        <v/>
      </c>
      <c r="K1449" s="17" t="str">
        <f>IFERROR(__xludf.DUMMYFUNCTION("""COMPUTED_VALUE"""),"")</f>
        <v/>
      </c>
      <c r="L1449" s="17" t="str">
        <f>IFERROR(__xludf.DUMMYFUNCTION("""COMPUTED_VALUE"""),"")</f>
        <v/>
      </c>
      <c r="M1449" s="17" t="str">
        <f>IFERROR(__xludf.DUMMYFUNCTION("""COMPUTED_VALUE"""),"")</f>
        <v/>
      </c>
      <c r="N1449" s="17" t="str">
        <f>IFERROR(__xludf.DUMMYFUNCTION("""COMPUTED_VALUE"""),"")</f>
        <v/>
      </c>
      <c r="O1449" s="17" t="str">
        <f>IFERROR(__xludf.DUMMYFUNCTION("""COMPUTED_VALUE"""),"")</f>
        <v/>
      </c>
      <c r="P1449" s="17" t="str">
        <f>IFERROR(__xludf.DUMMYFUNCTION("""COMPUTED_VALUE"""),"")</f>
        <v/>
      </c>
      <c r="Q1449" s="17" t="str">
        <f>IFERROR(__xludf.DUMMYFUNCTION("""COMPUTED_VALUE"""),"")</f>
        <v/>
      </c>
      <c r="R1449" s="17" t="str">
        <f>IFERROR(__xludf.DUMMYFUNCTION("""COMPUTED_VALUE"""),"")</f>
        <v/>
      </c>
    </row>
    <row r="1450">
      <c r="A1450" s="15">
        <f>IFERROR(__xludf.DUMMYFUNCTION("""COMPUTED_VALUE"""),45042.0)</f>
        <v>45042</v>
      </c>
      <c r="B1450" s="16" t="str">
        <f>IFERROR(__xludf.DUMMYFUNCTION("""COMPUTED_VALUE"""),"Anuar suarez jimenez ")</f>
        <v>Anuar suarez jimenez </v>
      </c>
      <c r="C1450" s="15" t="str">
        <f>IFERROR(__xludf.DUMMYFUNCTION("""COMPUTED_VALUE"""),"BARRANQUILLA")</f>
        <v>BARRANQUILLA</v>
      </c>
      <c r="D1450" s="15" t="str">
        <f>IFERROR(__xludf.DUMMYFUNCTION("""COMPUTED_VALUE"""),"BOGOTÁ")</f>
        <v>BOGOTÁ</v>
      </c>
      <c r="E1450" s="15" t="str">
        <f>IFERROR(__xludf.DUMMYFUNCTION("""COMPUTED_VALUE"""),"Mochi")</f>
        <v>Mochi</v>
      </c>
      <c r="F1450" s="17" t="str">
        <f>IFERROR(__xludf.DUMMYFUNCTION("""COMPUTED_VALUE"""),"centro comercial viva barranquilla / viva barranquilla / viva barranquilla")</f>
        <v>centro comercial viva barranquilla / viva barranquilla / viva barranquilla</v>
      </c>
      <c r="G1450" s="15" t="str">
        <f>IFERROR(__xludf.DUMMYFUNCTION("""COMPUTED_VALUE"""),"maria camila")</f>
        <v>maria camila</v>
      </c>
      <c r="H1450" s="16">
        <f>IFERROR(__xludf.DUMMYFUNCTION("""COMPUTED_VALUE"""),10143.0)</f>
        <v>10143</v>
      </c>
      <c r="I1450" s="18">
        <f>IFERROR(__xludf.DUMMYFUNCTION("""COMPUTED_VALUE"""),100.0)</f>
        <v>100</v>
      </c>
      <c r="J1450" s="18">
        <f>IFERROR(__xludf.DUMMYFUNCTION("""COMPUTED_VALUE"""),100.0)</f>
        <v>100</v>
      </c>
      <c r="K1450" s="18">
        <f>IFERROR(__xludf.DUMMYFUNCTION("""COMPUTED_VALUE"""),200.0)</f>
        <v>200</v>
      </c>
      <c r="L1450" s="17">
        <f>IFERROR(__xludf.DUMMYFUNCTION("""COMPUTED_VALUE"""),3.116026252E9)</f>
        <v>3116026252</v>
      </c>
      <c r="M1450" s="17" t="str">
        <f>IFERROR(__xludf.DUMMYFUNCTION("""COMPUTED_VALUE"""),"#REF!")</f>
        <v>#REF!</v>
      </c>
      <c r="N1450" s="17"/>
      <c r="O1450" s="19" t="str">
        <f>IFERROR(__xludf.DUMMYFUNCTION("""COMPUTED_VALUE"""),"")</f>
        <v/>
      </c>
      <c r="P1450" s="17" t="b">
        <f>IFERROR(__xludf.DUMMYFUNCTION("""COMPUTED_VALUE"""),FALSE)</f>
        <v>0</v>
      </c>
      <c r="Q1450" s="20" t="str">
        <f>IFERROR(__xludf.DUMMYFUNCTION("""COMPUTED_VALUE"""),"")</f>
        <v/>
      </c>
      <c r="R1450" s="22" t="str">
        <f>IFERROR(__xludf.DUMMYFUNCTION("""COMPUTED_VALUE"""),"")</f>
        <v/>
      </c>
    </row>
    <row r="1451">
      <c r="A1451" s="15">
        <f>IFERROR(__xludf.DUMMYFUNCTION("""COMPUTED_VALUE"""),45042.0)</f>
        <v>45042</v>
      </c>
      <c r="B1451" s="16" t="str">
        <f>IFERROR(__xludf.DUMMYFUNCTION("""COMPUTED_VALUE"""),"Anuar suarez jimenez ")</f>
        <v>Anuar suarez jimenez </v>
      </c>
      <c r="C1451" s="15" t="str">
        <f>IFERROR(__xludf.DUMMYFUNCTION("""COMPUTED_VALUE"""),"CARTAGENA")</f>
        <v>CARTAGENA</v>
      </c>
      <c r="D1451" s="15" t="str">
        <f>IFERROR(__xludf.DUMMYFUNCTION("""COMPUTED_VALUE"""),"BOGOTÁ")</f>
        <v>BOGOTÁ</v>
      </c>
      <c r="E1451" s="15" t="str">
        <f>IFERROR(__xludf.DUMMYFUNCTION("""COMPUTED_VALUE"""),"Mochi")</f>
        <v>Mochi</v>
      </c>
      <c r="F1451" s="17" t="str">
        <f>IFERROR(__xludf.DUMMYFUNCTION("""COMPUTED_VALUE"""),"centro comercial serrezuela / centro comercial serrezuela / serrezuela")</f>
        <v>centro comercial serrezuela / centro comercial serrezuela / serrezuela</v>
      </c>
      <c r="G1451" s="15" t="str">
        <f>IFERROR(__xludf.DUMMYFUNCTION("""COMPUTED_VALUE"""),"maria camila")</f>
        <v>maria camila</v>
      </c>
      <c r="H1451" s="16">
        <f>IFERROR(__xludf.DUMMYFUNCTION("""COMPUTED_VALUE"""),10144.0)</f>
        <v>10144</v>
      </c>
      <c r="I1451" s="18">
        <f>IFERROR(__xludf.DUMMYFUNCTION("""COMPUTED_VALUE"""),200.0)</f>
        <v>200</v>
      </c>
      <c r="J1451" s="18">
        <f>IFERROR(__xludf.DUMMYFUNCTION("""COMPUTED_VALUE"""),100.0)</f>
        <v>100</v>
      </c>
      <c r="K1451" s="18">
        <f>IFERROR(__xludf.DUMMYFUNCTION("""COMPUTED_VALUE"""),100.0)</f>
        <v>100</v>
      </c>
      <c r="L1451" s="17">
        <f>IFERROR(__xludf.DUMMYFUNCTION("""COMPUTED_VALUE"""),3.116026252E9)</f>
        <v>3116026252</v>
      </c>
      <c r="M1451" s="17" t="str">
        <f>IFERROR(__xludf.DUMMYFUNCTION("""COMPUTED_VALUE"""),"#REF!")</f>
        <v>#REF!</v>
      </c>
      <c r="N1451" s="17"/>
      <c r="O1451" s="19" t="str">
        <f>IFERROR(__xludf.DUMMYFUNCTION("""COMPUTED_VALUE"""),"")</f>
        <v/>
      </c>
      <c r="P1451" s="17" t="b">
        <f>IFERROR(__xludf.DUMMYFUNCTION("""COMPUTED_VALUE"""),FALSE)</f>
        <v>0</v>
      </c>
      <c r="Q1451" s="20" t="str">
        <f>IFERROR(__xludf.DUMMYFUNCTION("""COMPUTED_VALUE"""),"")</f>
        <v/>
      </c>
      <c r="R1451" s="22" t="str">
        <f>IFERROR(__xludf.DUMMYFUNCTION("""COMPUTED_VALUE"""),"")</f>
        <v/>
      </c>
    </row>
    <row r="1452">
      <c r="A1452" s="15">
        <f>IFERROR(__xludf.DUMMYFUNCTION("""COMPUTED_VALUE"""),45042.0)</f>
        <v>45042</v>
      </c>
      <c r="B1452" s="16" t="str">
        <f>IFERROR(__xludf.DUMMYFUNCTION("""COMPUTED_VALUE"""),"Anuar suarez jimenez ")</f>
        <v>Anuar suarez jimenez </v>
      </c>
      <c r="C1452" s="15" t="str">
        <f>IFERROR(__xludf.DUMMYFUNCTION("""COMPUTED_VALUE"""),"MONTERIA")</f>
        <v>MONTERIA</v>
      </c>
      <c r="D1452" s="15" t="str">
        <f>IFERROR(__xludf.DUMMYFUNCTION("""COMPUTED_VALUE"""),"BOGOTÁ")</f>
        <v>BOGOTÁ</v>
      </c>
      <c r="E1452" s="15" t="str">
        <f>IFERROR(__xludf.DUMMYFUNCTION("""COMPUTED_VALUE"""),"Asociacion Agropecuaria Juana Maria")</f>
        <v>Asociacion Agropecuaria Juana Maria</v>
      </c>
      <c r="F1452" s="17" t="str">
        <f>IFERROR(__xludf.DUMMYFUNCTION("""COMPUTED_VALUE"""),"Cra 14A #54-23 Barrio Monte Verde")</f>
        <v>Cra 14A #54-23 Barrio Monte Verde</v>
      </c>
      <c r="G1452" s="15" t="str">
        <f>IFERROR(__xludf.DUMMYFUNCTION("""COMPUTED_VALUE"""),"Emilia Miranda")</f>
        <v>Emilia Miranda</v>
      </c>
      <c r="H1452" s="16">
        <f>IFERROR(__xludf.DUMMYFUNCTION("""COMPUTED_VALUE"""),10012.0)</f>
        <v>10012</v>
      </c>
      <c r="I1452" s="18">
        <f>IFERROR(__xludf.DUMMYFUNCTION("""COMPUTED_VALUE"""),17.0)</f>
        <v>17</v>
      </c>
      <c r="J1452" s="18">
        <f>IFERROR(__xludf.DUMMYFUNCTION("""COMPUTED_VALUE"""),37.0)</f>
        <v>37</v>
      </c>
      <c r="K1452" s="18">
        <f>IFERROR(__xludf.DUMMYFUNCTION("""COMPUTED_VALUE"""),28.0)</f>
        <v>28</v>
      </c>
      <c r="L1452" s="17">
        <f>IFERROR(__xludf.DUMMYFUNCTION("""COMPUTED_VALUE"""),3.113438505E9)</f>
        <v>3113438505</v>
      </c>
      <c r="M1452" s="17" t="str">
        <f>IFERROR(__xludf.DUMMYFUNCTION("""COMPUTED_VALUE"""),"#REF!")</f>
        <v>#REF!</v>
      </c>
      <c r="N1452" s="17"/>
      <c r="O1452" s="19" t="str">
        <f>IFERROR(__xludf.DUMMYFUNCTION("""COMPUTED_VALUE"""),"")</f>
        <v/>
      </c>
      <c r="P1452" s="17" t="b">
        <f>IFERROR(__xludf.DUMMYFUNCTION("""COMPUTED_VALUE"""),FALSE)</f>
        <v>0</v>
      </c>
      <c r="Q1452" s="20" t="str">
        <f>IFERROR(__xludf.DUMMYFUNCTION("""COMPUTED_VALUE"""),"")</f>
        <v/>
      </c>
      <c r="R1452" s="22" t="str">
        <f>IFERROR(__xludf.DUMMYFUNCTION("""COMPUTED_VALUE"""),"")</f>
        <v/>
      </c>
    </row>
    <row r="1453">
      <c r="A1453" s="15">
        <f>IFERROR(__xludf.DUMMYFUNCTION("""COMPUTED_VALUE"""),45042.0)</f>
        <v>45042</v>
      </c>
      <c r="B1453" s="16" t="str">
        <f>IFERROR(__xludf.DUMMYFUNCTION("""COMPUTED_VALUE"""),"Anuar suarez jimenez ")</f>
        <v>Anuar suarez jimenez </v>
      </c>
      <c r="C1453" s="15" t="str">
        <f>IFERROR(__xludf.DUMMYFUNCTION("""COMPUTED_VALUE"""),"MONTERIA")</f>
        <v>MONTERIA</v>
      </c>
      <c r="D1453" s="15" t="str">
        <f>IFERROR(__xludf.DUMMYFUNCTION("""COMPUTED_VALUE"""),"BOGOTÁ")</f>
        <v>BOGOTÁ</v>
      </c>
      <c r="E1453" s="15" t="str">
        <f>IFERROR(__xludf.DUMMYFUNCTION("""COMPUTED_VALUE"""),"Evamazzita")</f>
        <v>Evamazzita</v>
      </c>
      <c r="F1453" s="17" t="str">
        <f>IFERROR(__xludf.DUMMYFUNCTION("""COMPUTED_VALUE"""),"CRA 14A No. 54 . 23  / N/A / BARRIO MONTEVERDE")</f>
        <v>CRA 14A No. 54 . 23  / N/A / BARRIO MONTEVERDE</v>
      </c>
      <c r="G1453" s="15" t="str">
        <f>IFERROR(__xludf.DUMMYFUNCTION("""COMPUTED_VALUE"""),"EMILIA MIRANDA")</f>
        <v>EMILIA MIRANDA</v>
      </c>
      <c r="H1453" s="16">
        <f>IFERROR(__xludf.DUMMYFUNCTION("""COMPUTED_VALUE"""),10045.0)</f>
        <v>10045</v>
      </c>
      <c r="I1453" s="18">
        <f>IFERROR(__xludf.DUMMYFUNCTION("""COMPUTED_VALUE"""),17.0)</f>
        <v>17</v>
      </c>
      <c r="J1453" s="18">
        <f>IFERROR(__xludf.DUMMYFUNCTION("""COMPUTED_VALUE"""),43.0)</f>
        <v>43</v>
      </c>
      <c r="K1453" s="18">
        <f>IFERROR(__xludf.DUMMYFUNCTION("""COMPUTED_VALUE"""),30.0)</f>
        <v>30</v>
      </c>
      <c r="L1453" s="17">
        <f>IFERROR(__xludf.DUMMYFUNCTION("""COMPUTED_VALUE"""),3.113438505E9)</f>
        <v>3113438505</v>
      </c>
      <c r="M1453" s="17" t="str">
        <f>IFERROR(__xludf.DUMMYFUNCTION("""COMPUTED_VALUE"""),"#REF!")</f>
        <v>#REF!</v>
      </c>
      <c r="N1453" s="17"/>
      <c r="O1453" s="19" t="str">
        <f>IFERROR(__xludf.DUMMYFUNCTION("""COMPUTED_VALUE"""),"")</f>
        <v/>
      </c>
      <c r="P1453" s="17" t="b">
        <f>IFERROR(__xludf.DUMMYFUNCTION("""COMPUTED_VALUE"""),FALSE)</f>
        <v>0</v>
      </c>
      <c r="Q1453" s="20" t="str">
        <f>IFERROR(__xludf.DUMMYFUNCTION("""COMPUTED_VALUE"""),"")</f>
        <v/>
      </c>
      <c r="R1453" s="22" t="str">
        <f>IFERROR(__xludf.DUMMYFUNCTION("""COMPUTED_VALUE"""),"")</f>
        <v/>
      </c>
    </row>
    <row r="1454">
      <c r="A1454" s="15">
        <f>IFERROR(__xludf.DUMMYFUNCTION("""COMPUTED_VALUE"""),45042.0)</f>
        <v>45042</v>
      </c>
      <c r="B1454" s="16" t="str">
        <f>IFERROR(__xludf.DUMMYFUNCTION("""COMPUTED_VALUE"""),"Anuar suarez jimenez ")</f>
        <v>Anuar suarez jimenez </v>
      </c>
      <c r="C1454" s="15" t="str">
        <f>IFERROR(__xludf.DUMMYFUNCTION("""COMPUTED_VALUE"""),"MONTERIA")</f>
        <v>MONTERIA</v>
      </c>
      <c r="D1454" s="15" t="str">
        <f>IFERROR(__xludf.DUMMYFUNCTION("""COMPUTED_VALUE"""),"BOGOTÁ")</f>
        <v>BOGOTÁ</v>
      </c>
      <c r="E1454" s="15" t="str">
        <f>IFERROR(__xludf.DUMMYFUNCTION("""COMPUTED_VALUE"""),"MAI ALIMENTOS S.A.S")</f>
        <v>MAI ALIMENTOS S.A.S</v>
      </c>
      <c r="F1454" s="17" t="str">
        <f>IFERROR(__xludf.DUMMYFUNCTION("""COMPUTED_VALUE"""),"Calle 44#10-91 / Local 4")</f>
        <v>Calle 44#10-91 / Local 4</v>
      </c>
      <c r="G1454" s="15" t="str">
        <f>IFERROR(__xludf.DUMMYFUNCTION("""COMPUTED_VALUE"""),"Angie Paola Negrette")</f>
        <v>Angie Paola Negrette</v>
      </c>
      <c r="H1454" s="16">
        <f>IFERROR(__xludf.DUMMYFUNCTION("""COMPUTED_VALUE"""),9975.0)</f>
        <v>9975</v>
      </c>
      <c r="I1454" s="18">
        <f>IFERROR(__xludf.DUMMYFUNCTION("""COMPUTED_VALUE"""),28.0)</f>
        <v>28</v>
      </c>
      <c r="J1454" s="18">
        <f>IFERROR(__xludf.DUMMYFUNCTION("""COMPUTED_VALUE"""),17.0)</f>
        <v>17</v>
      </c>
      <c r="K1454" s="18">
        <f>IFERROR(__xludf.DUMMYFUNCTION("""COMPUTED_VALUE"""),13.0)</f>
        <v>13</v>
      </c>
      <c r="L1454" s="17">
        <f>IFERROR(__xludf.DUMMYFUNCTION("""COMPUTED_VALUE"""),3.002161363E9)</f>
        <v>3002161363</v>
      </c>
      <c r="M1454" s="17" t="str">
        <f>IFERROR(__xludf.DUMMYFUNCTION("""COMPUTED_VALUE"""),"#REF!")</f>
        <v>#REF!</v>
      </c>
      <c r="N1454" s="17"/>
      <c r="O1454" s="19" t="str">
        <f>IFERROR(__xludf.DUMMYFUNCTION("""COMPUTED_VALUE"""),"")</f>
        <v/>
      </c>
      <c r="P1454" s="17" t="b">
        <f>IFERROR(__xludf.DUMMYFUNCTION("""COMPUTED_VALUE"""),FALSE)</f>
        <v>0</v>
      </c>
      <c r="Q1454" s="20" t="str">
        <f>IFERROR(__xludf.DUMMYFUNCTION("""COMPUTED_VALUE"""),"")</f>
        <v/>
      </c>
      <c r="R1454" s="22" t="str">
        <f>IFERROR(__xludf.DUMMYFUNCTION("""COMPUTED_VALUE"""),"")</f>
        <v/>
      </c>
    </row>
    <row r="1455">
      <c r="A1455" s="17" t="str">
        <f>IFERROR(__xludf.DUMMYFUNCTION("""COMPUTED_VALUE"""),"")</f>
        <v/>
      </c>
      <c r="B1455" s="17" t="str">
        <f>IFERROR(__xludf.DUMMYFUNCTION("""COMPUTED_VALUE"""),"")</f>
        <v/>
      </c>
      <c r="C1455" s="17" t="str">
        <f>IFERROR(__xludf.DUMMYFUNCTION("""COMPUTED_VALUE"""),"")</f>
        <v/>
      </c>
      <c r="D1455" s="17" t="str">
        <f>IFERROR(__xludf.DUMMYFUNCTION("""COMPUTED_VALUE"""),"")</f>
        <v/>
      </c>
      <c r="E1455" s="17" t="str">
        <f>IFERROR(__xludf.DUMMYFUNCTION("""COMPUTED_VALUE"""),"")</f>
        <v/>
      </c>
      <c r="F1455" s="17" t="str">
        <f>IFERROR(__xludf.DUMMYFUNCTION("""COMPUTED_VALUE"""),"")</f>
        <v/>
      </c>
      <c r="G1455" s="17" t="str">
        <f>IFERROR(__xludf.DUMMYFUNCTION("""COMPUTED_VALUE"""),"")</f>
        <v/>
      </c>
      <c r="H1455" s="17" t="str">
        <f>IFERROR(__xludf.DUMMYFUNCTION("""COMPUTED_VALUE"""),"")</f>
        <v/>
      </c>
      <c r="I1455" s="17" t="str">
        <f>IFERROR(__xludf.DUMMYFUNCTION("""COMPUTED_VALUE"""),"")</f>
        <v/>
      </c>
      <c r="J1455" s="17" t="str">
        <f>IFERROR(__xludf.DUMMYFUNCTION("""COMPUTED_VALUE"""),"")</f>
        <v/>
      </c>
      <c r="K1455" s="17" t="str">
        <f>IFERROR(__xludf.DUMMYFUNCTION("""COMPUTED_VALUE"""),"")</f>
        <v/>
      </c>
      <c r="L1455" s="17" t="str">
        <f>IFERROR(__xludf.DUMMYFUNCTION("""COMPUTED_VALUE"""),"")</f>
        <v/>
      </c>
      <c r="M1455" s="17" t="str">
        <f>IFERROR(__xludf.DUMMYFUNCTION("""COMPUTED_VALUE"""),"")</f>
        <v/>
      </c>
      <c r="N1455" s="17" t="str">
        <f>IFERROR(__xludf.DUMMYFUNCTION("""COMPUTED_VALUE"""),"")</f>
        <v/>
      </c>
      <c r="O1455" s="17" t="str">
        <f>IFERROR(__xludf.DUMMYFUNCTION("""COMPUTED_VALUE"""),"")</f>
        <v/>
      </c>
      <c r="P1455" s="17" t="str">
        <f>IFERROR(__xludf.DUMMYFUNCTION("""COMPUTED_VALUE"""),"")</f>
        <v/>
      </c>
      <c r="Q1455" s="17" t="str">
        <f>IFERROR(__xludf.DUMMYFUNCTION("""COMPUTED_VALUE"""),"")</f>
        <v/>
      </c>
      <c r="R1455" s="17" t="str">
        <f>IFERROR(__xludf.DUMMYFUNCTION("""COMPUTED_VALUE"""),"")</f>
        <v/>
      </c>
    </row>
    <row r="1456">
      <c r="A1456" s="15">
        <f>IFERROR(__xludf.DUMMYFUNCTION("""COMPUTED_VALUE"""),45042.0)</f>
        <v>45042</v>
      </c>
      <c r="B1456" s="16" t="str">
        <f>IFERROR(__xludf.DUMMYFUNCTION("""COMPUTED_VALUE"""),"Envia")</f>
        <v>Envia</v>
      </c>
      <c r="C1456" s="15" t="str">
        <f>IFERROR(__xludf.DUMMYFUNCTION("""COMPUTED_VALUE"""),"BOGOTÁ")</f>
        <v>BOGOTÁ</v>
      </c>
      <c r="D1456" s="15" t="str">
        <f>IFERROR(__xludf.DUMMYFUNCTION("""COMPUTED_VALUE"""),"MEDELLÍN")</f>
        <v>MEDELLÍN</v>
      </c>
      <c r="E1456" s="15" t="str">
        <f>IFERROR(__xludf.DUMMYFUNCTION("""COMPUTED_VALUE"""),"Lácteos El Pino SAS")</f>
        <v>Lácteos El Pino SAS</v>
      </c>
      <c r="F1456" s="17" t="str">
        <f>IFERROR(__xludf.DUMMYFUNCTION("""COMPUTED_VALUE"""),"CALLE 93# 18 -81 / ENTREGAR EN EL LOCAL")</f>
        <v>CALLE 93# 18 -81 / ENTREGAR EN EL LOCAL</v>
      </c>
      <c r="G1456" s="15" t="str">
        <f>IFERROR(__xludf.DUMMYFUNCTION("""COMPUTED_VALUE"""),"KIM")</f>
        <v>KIM</v>
      </c>
      <c r="H1456" s="16">
        <f>IFERROR(__xludf.DUMMYFUNCTION("""COMPUTED_VALUE"""),10095.0)</f>
        <v>10095</v>
      </c>
      <c r="I1456" s="18">
        <f>IFERROR(__xludf.DUMMYFUNCTION("""COMPUTED_VALUE"""),33.0)</f>
        <v>33</v>
      </c>
      <c r="J1456" s="18">
        <f>IFERROR(__xludf.DUMMYFUNCTION("""COMPUTED_VALUE"""),22.0)</f>
        <v>22</v>
      </c>
      <c r="K1456" s="18">
        <f>IFERROR(__xludf.DUMMYFUNCTION("""COMPUTED_VALUE"""),36.0)</f>
        <v>36</v>
      </c>
      <c r="L1456" s="17"/>
      <c r="M1456" s="17" t="str">
        <f>IFERROR(__xludf.DUMMYFUNCTION("""COMPUTED_VALUE"""),"#REF!")</f>
        <v>#REF!</v>
      </c>
      <c r="N1456" s="17"/>
      <c r="O1456" s="19" t="str">
        <f>IFERROR(__xludf.DUMMYFUNCTION("""COMPUTED_VALUE"""),"")</f>
        <v/>
      </c>
      <c r="P1456" s="17" t="b">
        <f>IFERROR(__xludf.DUMMYFUNCTION("""COMPUTED_VALUE"""),FALSE)</f>
        <v>0</v>
      </c>
      <c r="Q1456" s="20" t="str">
        <f>IFERROR(__xludf.DUMMYFUNCTION("""COMPUTED_VALUE"""),"")</f>
        <v/>
      </c>
      <c r="R1456" s="22" t="str">
        <f>IFERROR(__xludf.DUMMYFUNCTION("""COMPUTED_VALUE"""),"")</f>
        <v/>
      </c>
    </row>
    <row r="1457">
      <c r="A1457" s="15">
        <f>IFERROR(__xludf.DUMMYFUNCTION("""COMPUTED_VALUE"""),45042.0)</f>
        <v>45042</v>
      </c>
      <c r="B1457" s="16" t="str">
        <f>IFERROR(__xludf.DUMMYFUNCTION("""COMPUTED_VALUE"""),"Envia")</f>
        <v>Envia</v>
      </c>
      <c r="C1457" s="15" t="str">
        <f>IFERROR(__xludf.DUMMYFUNCTION("""COMPUTED_VALUE"""),"BOGOTÁ")</f>
        <v>BOGOTÁ</v>
      </c>
      <c r="D1457" s="15" t="str">
        <f>IFERROR(__xludf.DUMMYFUNCTION("""COMPUTED_VALUE"""),"MEDELLÍN")</f>
        <v>MEDELLÍN</v>
      </c>
      <c r="E1457" s="15" t="str">
        <f>IFERROR(__xludf.DUMMYFUNCTION("""COMPUTED_VALUE"""),"Moloso S.A.S")</f>
        <v>Moloso S.A.S</v>
      </c>
      <c r="F1457" s="17" t="str">
        <f>IFERROR(__xludf.DUMMYFUNCTION("""COMPUTED_VALUE"""),"CL 23C 69B 56 / APTO 804 TORRE 4 CONJUNTO ALBORARIA")</f>
        <v>CL 23C 69B 56 / APTO 804 TORRE 4 CONJUNTO ALBORARIA</v>
      </c>
      <c r="G1457" s="15" t="str">
        <f>IFERROR(__xludf.DUMMYFUNCTION("""COMPUTED_VALUE"""),"CLAUDIA LILIANA SANCHEZ FINO")</f>
        <v>CLAUDIA LILIANA SANCHEZ FINO</v>
      </c>
      <c r="H1457" s="16">
        <f>IFERROR(__xludf.DUMMYFUNCTION("""COMPUTED_VALUE"""),10147.0)</f>
        <v>10147</v>
      </c>
      <c r="I1457" s="18">
        <f>IFERROR(__xludf.DUMMYFUNCTION("""COMPUTED_VALUE"""),17.0)</f>
        <v>17</v>
      </c>
      <c r="J1457" s="18">
        <f>IFERROR(__xludf.DUMMYFUNCTION("""COMPUTED_VALUE"""),15.0)</f>
        <v>15</v>
      </c>
      <c r="K1457" s="18">
        <f>IFERROR(__xludf.DUMMYFUNCTION("""COMPUTED_VALUE"""),28.0)</f>
        <v>28</v>
      </c>
      <c r="L1457" s="17" t="str">
        <f>IFERROR(__xludf.DUMMYFUNCTION("""COMPUTED_VALUE"""),"313 2626232")</f>
        <v>313 2626232</v>
      </c>
      <c r="M1457" s="17" t="str">
        <f>IFERROR(__xludf.DUMMYFUNCTION("""COMPUTED_VALUE"""),"#REF!")</f>
        <v>#REF!</v>
      </c>
      <c r="N1457" s="17"/>
      <c r="O1457" s="19" t="str">
        <f>IFERROR(__xludf.DUMMYFUNCTION("""COMPUTED_VALUE"""),"")</f>
        <v/>
      </c>
      <c r="P1457" s="17" t="b">
        <f>IFERROR(__xludf.DUMMYFUNCTION("""COMPUTED_VALUE"""),FALSE)</f>
        <v>0</v>
      </c>
      <c r="Q1457" s="20" t="str">
        <f>IFERROR(__xludf.DUMMYFUNCTION("""COMPUTED_VALUE"""),"")</f>
        <v/>
      </c>
      <c r="R1457" s="22" t="str">
        <f>IFERROR(__xludf.DUMMYFUNCTION("""COMPUTED_VALUE"""),"")</f>
        <v/>
      </c>
    </row>
    <row r="1458">
      <c r="A1458" s="15">
        <f>IFERROR(__xludf.DUMMYFUNCTION("""COMPUTED_VALUE"""),45042.0)</f>
        <v>45042</v>
      </c>
      <c r="B1458" s="16" t="str">
        <f>IFERROR(__xludf.DUMMYFUNCTION("""COMPUTED_VALUE"""),"Envia")</f>
        <v>Envia</v>
      </c>
      <c r="C1458" s="15" t="str">
        <f>IFERROR(__xludf.DUMMYFUNCTION("""COMPUTED_VALUE"""),"BOGOTÁ")</f>
        <v>BOGOTÁ</v>
      </c>
      <c r="D1458" s="15" t="str">
        <f>IFERROR(__xludf.DUMMYFUNCTION("""COMPUTED_VALUE"""),"MEDELLÍN")</f>
        <v>MEDELLÍN</v>
      </c>
      <c r="E1458" s="15" t="str">
        <f>IFERROR(__xludf.DUMMYFUNCTION("""COMPUTED_VALUE"""),"The Smoked House")</f>
        <v>The Smoked House</v>
      </c>
      <c r="F1458" s="17" t="str">
        <f>IFERROR(__xludf.DUMMYFUNCTION("""COMPUTED_VALUE"""),"Bog  / Bog  / Bog")</f>
        <v>Bog  / Bog  / Bog</v>
      </c>
      <c r="G1458" s="15" t="str">
        <f>IFERROR(__xludf.DUMMYFUNCTION("""COMPUTED_VALUE"""),"Alejandro Mendieta")</f>
        <v>Alejandro Mendieta</v>
      </c>
      <c r="H1458" s="16">
        <f>IFERROR(__xludf.DUMMYFUNCTION("""COMPUTED_VALUE"""),10019.0)</f>
        <v>10019</v>
      </c>
      <c r="I1458" s="18">
        <f>IFERROR(__xludf.DUMMYFUNCTION("""COMPUTED_VALUE"""),35.0)</f>
        <v>35</v>
      </c>
      <c r="J1458" s="18">
        <f>IFERROR(__xludf.DUMMYFUNCTION("""COMPUTED_VALUE"""),30.0)</f>
        <v>30</v>
      </c>
      <c r="K1458" s="18">
        <f>IFERROR(__xludf.DUMMYFUNCTION("""COMPUTED_VALUE"""),35.0)</f>
        <v>35</v>
      </c>
      <c r="L1458" s="17">
        <f>IFERROR(__xludf.DUMMYFUNCTION("""COMPUTED_VALUE"""),3.187029168E9)</f>
        <v>3187029168</v>
      </c>
      <c r="M1458" s="17" t="str">
        <f>IFERROR(__xludf.DUMMYFUNCTION("""COMPUTED_VALUE"""),"#REF!")</f>
        <v>#REF!</v>
      </c>
      <c r="N1458" s="17"/>
      <c r="O1458" s="19" t="str">
        <f>IFERROR(__xludf.DUMMYFUNCTION("""COMPUTED_VALUE"""),"")</f>
        <v/>
      </c>
      <c r="P1458" s="17" t="b">
        <f>IFERROR(__xludf.DUMMYFUNCTION("""COMPUTED_VALUE"""),FALSE)</f>
        <v>0</v>
      </c>
      <c r="Q1458" s="20" t="str">
        <f>IFERROR(__xludf.DUMMYFUNCTION("""COMPUTED_VALUE"""),"")</f>
        <v/>
      </c>
      <c r="R1458" s="22" t="str">
        <f>IFERROR(__xludf.DUMMYFUNCTION("""COMPUTED_VALUE"""),"")</f>
        <v/>
      </c>
    </row>
    <row r="1459">
      <c r="A1459" s="15">
        <f>IFERROR(__xludf.DUMMYFUNCTION("""COMPUTED_VALUE"""),45042.0)</f>
        <v>45042</v>
      </c>
      <c r="B1459" s="16" t="str">
        <f>IFERROR(__xludf.DUMMYFUNCTION("""COMPUTED_VALUE"""),"Envia")</f>
        <v>Envia</v>
      </c>
      <c r="C1459" s="15" t="str">
        <f>IFERROR(__xludf.DUMMYFUNCTION("""COMPUTED_VALUE"""),"BOGOTÁ")</f>
        <v>BOGOTÁ</v>
      </c>
      <c r="D1459" s="15" t="str">
        <f>IFERROR(__xludf.DUMMYFUNCTION("""COMPUTED_VALUE"""),"MEDELLÍN")</f>
        <v>MEDELLÍN</v>
      </c>
      <c r="E1459" s="15" t="str">
        <f>IFERROR(__xludf.DUMMYFUNCTION("""COMPUTED_VALUE"""),"The Smoked House")</f>
        <v>The Smoked House</v>
      </c>
      <c r="F1459" s="17" t="str">
        <f>IFERROR(__xludf.DUMMYFUNCTION("""COMPUTED_VALUE"""),"Bogotá  / Bogotá  / Bogotá")</f>
        <v>Bogotá  / Bogotá  / Bogotá</v>
      </c>
      <c r="G1459" s="15" t="str">
        <f>IFERROR(__xludf.DUMMYFUNCTION("""COMPUTED_VALUE"""),"Alejandro Mendieta")</f>
        <v>Alejandro Mendieta</v>
      </c>
      <c r="H1459" s="16">
        <f>IFERROR(__xludf.DUMMYFUNCTION("""COMPUTED_VALUE"""),10018.0)</f>
        <v>10018</v>
      </c>
      <c r="I1459" s="18">
        <f>IFERROR(__xludf.DUMMYFUNCTION("""COMPUTED_VALUE"""),35.0)</f>
        <v>35</v>
      </c>
      <c r="J1459" s="18">
        <f>IFERROR(__xludf.DUMMYFUNCTION("""COMPUTED_VALUE"""),30.0)</f>
        <v>30</v>
      </c>
      <c r="K1459" s="18">
        <f>IFERROR(__xludf.DUMMYFUNCTION("""COMPUTED_VALUE"""),35.0)</f>
        <v>35</v>
      </c>
      <c r="L1459" s="17">
        <f>IFERROR(__xludf.DUMMYFUNCTION("""COMPUTED_VALUE"""),3.187029168E9)</f>
        <v>3187029168</v>
      </c>
      <c r="M1459" s="17" t="str">
        <f>IFERROR(__xludf.DUMMYFUNCTION("""COMPUTED_VALUE"""),"#REF!")</f>
        <v>#REF!</v>
      </c>
      <c r="N1459" s="17"/>
      <c r="O1459" s="19" t="str">
        <f>IFERROR(__xludf.DUMMYFUNCTION("""COMPUTED_VALUE"""),"")</f>
        <v/>
      </c>
      <c r="P1459" s="17" t="b">
        <f>IFERROR(__xludf.DUMMYFUNCTION("""COMPUTED_VALUE"""),FALSE)</f>
        <v>0</v>
      </c>
      <c r="Q1459" s="20" t="str">
        <f>IFERROR(__xludf.DUMMYFUNCTION("""COMPUTED_VALUE"""),"")</f>
        <v/>
      </c>
      <c r="R1459" s="22" t="str">
        <f>IFERROR(__xludf.DUMMYFUNCTION("""COMPUTED_VALUE"""),"")</f>
        <v/>
      </c>
    </row>
    <row r="1460">
      <c r="A1460" s="15">
        <f>IFERROR(__xludf.DUMMYFUNCTION("""COMPUTED_VALUE"""),45042.0)</f>
        <v>45042</v>
      </c>
      <c r="B1460" s="16" t="str">
        <f>IFERROR(__xludf.DUMMYFUNCTION("""COMPUTED_VALUE"""),"Envia")</f>
        <v>Envia</v>
      </c>
      <c r="C1460" s="15" t="str">
        <f>IFERROR(__xludf.DUMMYFUNCTION("""COMPUTED_VALUE"""),"CALI")</f>
        <v>CALI</v>
      </c>
      <c r="D1460" s="15" t="str">
        <f>IFERROR(__xludf.DUMMYFUNCTION("""COMPUTED_VALUE"""),"MEDELLÍN")</f>
        <v>MEDELLÍN</v>
      </c>
      <c r="E1460" s="15" t="str">
        <f>IFERROR(__xludf.DUMMYFUNCTION("""COMPUTED_VALUE"""),"Baby Chef")</f>
        <v>Baby Chef</v>
      </c>
      <c r="F1460" s="17" t="str">
        <f>IFERROR(__xludf.DUMMYFUNCTION("""COMPUTED_VALUE"""),"Carrera 103 # 11 - 40 / Casa L2  Sendero del Polo Club casa L2 / Ciudad jardín")</f>
        <v>Carrera 103 # 11 - 40 / Casa L2  Sendero del Polo Club casa L2 / Ciudad jardín</v>
      </c>
      <c r="G1460" s="15" t="str">
        <f>IFERROR(__xludf.DUMMYFUNCTION("""COMPUTED_VALUE"""),"Manuela Escobar Fernández")</f>
        <v>Manuela Escobar Fernández</v>
      </c>
      <c r="H1460" s="16">
        <f>IFERROR(__xludf.DUMMYFUNCTION("""COMPUTED_VALUE"""),10146.0)</f>
        <v>10146</v>
      </c>
      <c r="I1460" s="18">
        <f>IFERROR(__xludf.DUMMYFUNCTION("""COMPUTED_VALUE"""),8.0)</f>
        <v>8</v>
      </c>
      <c r="J1460" s="18">
        <f>IFERROR(__xludf.DUMMYFUNCTION("""COMPUTED_VALUE"""),16.0)</f>
        <v>16</v>
      </c>
      <c r="K1460" s="18">
        <f>IFERROR(__xludf.DUMMYFUNCTION("""COMPUTED_VALUE"""),20.0)</f>
        <v>20</v>
      </c>
      <c r="L1460" s="17">
        <f>IFERROR(__xludf.DUMMYFUNCTION("""COMPUTED_VALUE"""),3.103997635E9)</f>
        <v>3103997635</v>
      </c>
      <c r="M1460" s="17" t="str">
        <f>IFERROR(__xludf.DUMMYFUNCTION("""COMPUTED_VALUE"""),"#REF!")</f>
        <v>#REF!</v>
      </c>
      <c r="N1460" s="17"/>
      <c r="O1460" s="19" t="str">
        <f>IFERROR(__xludf.DUMMYFUNCTION("""COMPUTED_VALUE"""),"")</f>
        <v/>
      </c>
      <c r="P1460" s="17" t="b">
        <f>IFERROR(__xludf.DUMMYFUNCTION("""COMPUTED_VALUE"""),FALSE)</f>
        <v>0</v>
      </c>
      <c r="Q1460" s="20" t="str">
        <f>IFERROR(__xludf.DUMMYFUNCTION("""COMPUTED_VALUE"""),"")</f>
        <v/>
      </c>
      <c r="R1460" s="22" t="str">
        <f>IFERROR(__xludf.DUMMYFUNCTION("""COMPUTED_VALUE"""),"")</f>
        <v/>
      </c>
    </row>
    <row r="1461">
      <c r="A1461" s="15">
        <f>IFERROR(__xludf.DUMMYFUNCTION("""COMPUTED_VALUE"""),45042.0)</f>
        <v>45042</v>
      </c>
      <c r="B1461" s="16" t="str">
        <f>IFERROR(__xludf.DUMMYFUNCTION("""COMPUTED_VALUE"""),"Envia")</f>
        <v>Envia</v>
      </c>
      <c r="C1461" s="15" t="str">
        <f>IFERROR(__xludf.DUMMYFUNCTION("""COMPUTED_VALUE"""),"CALI")</f>
        <v>CALI</v>
      </c>
      <c r="D1461" s="15" t="str">
        <f>IFERROR(__xludf.DUMMYFUNCTION("""COMPUTED_VALUE"""),"MEDELLÍN")</f>
        <v>MEDELLÍN</v>
      </c>
      <c r="E1461" s="15" t="str">
        <f>IFERROR(__xludf.DUMMYFUNCTION("""COMPUTED_VALUE"""),"Moloso S.A.S")</f>
        <v>Moloso S.A.S</v>
      </c>
      <c r="F1461" s="17" t="str">
        <f>IFERROR(__xludf.DUMMYFUNCTION("""COMPUTED_VALUE"""),"AVENIDA 3 OESTE 13 94 / EDIF SOL DEL OESTE APT 702")</f>
        <v>AVENIDA 3 OESTE 13 94 / EDIF SOL DEL OESTE APT 702</v>
      </c>
      <c r="G1461" s="15" t="str">
        <f>IFERROR(__xludf.DUMMYFUNCTION("""COMPUTED_VALUE"""),"LAURA HERNÁNDEZ ALVIAR")</f>
        <v>LAURA HERNÁNDEZ ALVIAR</v>
      </c>
      <c r="H1461" s="16">
        <f>IFERROR(__xludf.DUMMYFUNCTION("""COMPUTED_VALUE"""),10111.0)</f>
        <v>10111</v>
      </c>
      <c r="I1461" s="18">
        <f>IFERROR(__xludf.DUMMYFUNCTION("""COMPUTED_VALUE"""),17.0)</f>
        <v>17</v>
      </c>
      <c r="J1461" s="18">
        <f>IFERROR(__xludf.DUMMYFUNCTION("""COMPUTED_VALUE"""),15.0)</f>
        <v>15</v>
      </c>
      <c r="K1461" s="18">
        <f>IFERROR(__xludf.DUMMYFUNCTION("""COMPUTED_VALUE"""),28.0)</f>
        <v>28</v>
      </c>
      <c r="L1461" s="17" t="str">
        <f>IFERROR(__xludf.DUMMYFUNCTION("""COMPUTED_VALUE"""),"315 5762974")</f>
        <v>315 5762974</v>
      </c>
      <c r="M1461" s="17" t="str">
        <f>IFERROR(__xludf.DUMMYFUNCTION("""COMPUTED_VALUE"""),"#REF!")</f>
        <v>#REF!</v>
      </c>
      <c r="N1461" s="17"/>
      <c r="O1461" s="19" t="str">
        <f>IFERROR(__xludf.DUMMYFUNCTION("""COMPUTED_VALUE"""),"")</f>
        <v/>
      </c>
      <c r="P1461" s="17" t="b">
        <f>IFERROR(__xludf.DUMMYFUNCTION("""COMPUTED_VALUE"""),FALSE)</f>
        <v>0</v>
      </c>
      <c r="Q1461" s="20" t="str">
        <f>IFERROR(__xludf.DUMMYFUNCTION("""COMPUTED_VALUE"""),"")</f>
        <v/>
      </c>
      <c r="R1461" s="22" t="str">
        <f>IFERROR(__xludf.DUMMYFUNCTION("""COMPUTED_VALUE"""),"")</f>
        <v/>
      </c>
    </row>
    <row r="1462">
      <c r="A1462" s="15">
        <f>IFERROR(__xludf.DUMMYFUNCTION("""COMPUTED_VALUE"""),45042.0)</f>
        <v>45042</v>
      </c>
      <c r="B1462" s="16" t="str">
        <f>IFERROR(__xludf.DUMMYFUNCTION("""COMPUTED_VALUE"""),"Envia")</f>
        <v>Envia</v>
      </c>
      <c r="C1462" s="15" t="str">
        <f>IFERROR(__xludf.DUMMYFUNCTION("""COMPUTED_VALUE"""),"CALI")</f>
        <v>CALI</v>
      </c>
      <c r="D1462" s="15" t="str">
        <f>IFERROR(__xludf.DUMMYFUNCTION("""COMPUTED_VALUE"""),"MEDELLÍN")</f>
        <v>MEDELLÍN</v>
      </c>
      <c r="E1462" s="15" t="str">
        <f>IFERROR(__xludf.DUMMYFUNCTION("""COMPUTED_VALUE"""),"Rambla")</f>
        <v>Rambla</v>
      </c>
      <c r="F1462" s="17" t="str">
        <f>IFERROR(__xludf.DUMMYFUNCTION("""COMPUTED_VALUE"""),"avenida 4 norte #7n-46 lc 129 centro comercial centenario  / na / na")</f>
        <v>avenida 4 norte #7n-46 lc 129 centro comercial centenario  / na / na</v>
      </c>
      <c r="G1462" s="15" t="str">
        <f>IFERROR(__xludf.DUMMYFUNCTION("""COMPUTED_VALUE"""),"Vitafitnes")</f>
        <v>Vitafitnes</v>
      </c>
      <c r="H1462" s="16">
        <f>IFERROR(__xludf.DUMMYFUNCTION("""COMPUTED_VALUE"""),10115.0)</f>
        <v>10115</v>
      </c>
      <c r="I1462" s="18">
        <f>IFERROR(__xludf.DUMMYFUNCTION("""COMPUTED_VALUE"""),36.0)</f>
        <v>36</v>
      </c>
      <c r="J1462" s="18">
        <f>IFERROR(__xludf.DUMMYFUNCTION("""COMPUTED_VALUE"""),40.0)</f>
        <v>40</v>
      </c>
      <c r="K1462" s="18">
        <f>IFERROR(__xludf.DUMMYFUNCTION("""COMPUTED_VALUE"""),42.0)</f>
        <v>42</v>
      </c>
      <c r="L1462" s="17">
        <f>IFERROR(__xludf.DUMMYFUNCTION("""COMPUTED_VALUE"""),3.103420337E9)</f>
        <v>3103420337</v>
      </c>
      <c r="M1462" s="17" t="str">
        <f>IFERROR(__xludf.DUMMYFUNCTION("""COMPUTED_VALUE"""),"#REF!")</f>
        <v>#REF!</v>
      </c>
      <c r="N1462" s="17"/>
      <c r="O1462" s="19" t="str">
        <f>IFERROR(__xludf.DUMMYFUNCTION("""COMPUTED_VALUE"""),"")</f>
        <v/>
      </c>
      <c r="P1462" s="17" t="b">
        <f>IFERROR(__xludf.DUMMYFUNCTION("""COMPUTED_VALUE"""),FALSE)</f>
        <v>0</v>
      </c>
      <c r="Q1462" s="20" t="str">
        <f>IFERROR(__xludf.DUMMYFUNCTION("""COMPUTED_VALUE"""),"")</f>
        <v/>
      </c>
      <c r="R1462" s="22" t="str">
        <f>IFERROR(__xludf.DUMMYFUNCTION("""COMPUTED_VALUE"""),"")</f>
        <v/>
      </c>
    </row>
    <row r="1463">
      <c r="A1463" s="15">
        <f>IFERROR(__xludf.DUMMYFUNCTION("""COMPUTED_VALUE"""),45042.0)</f>
        <v>45042</v>
      </c>
      <c r="B1463" s="16" t="str">
        <f>IFERROR(__xludf.DUMMYFUNCTION("""COMPUTED_VALUE"""),"Envia")</f>
        <v>Envia</v>
      </c>
      <c r="C1463" s="15" t="str">
        <f>IFERROR(__xludf.DUMMYFUNCTION("""COMPUTED_VALUE"""),"CÚCUTA")</f>
        <v>CÚCUTA</v>
      </c>
      <c r="D1463" s="15" t="str">
        <f>IFERROR(__xludf.DUMMYFUNCTION("""COMPUTED_VALUE"""),"BOGOTÁ")</f>
        <v>BOGOTÁ</v>
      </c>
      <c r="E1463" s="15" t="str">
        <f>IFERROR(__xludf.DUMMYFUNCTION("""COMPUTED_VALUE"""),"Asociacion Agropecuaria Juana Maria")</f>
        <v>Asociacion Agropecuaria Juana Maria</v>
      </c>
      <c r="F1463" s="17" t="str">
        <f>IFERROR(__xludf.DUMMYFUNCTION("""COMPUTED_VALUE"""),"AV. 2E # 15 A -17   PISTACHO FIT MARKET BARRIO CAOBOS")</f>
        <v>AV. 2E # 15 A -17   PISTACHO FIT MARKET BARRIO CAOBOS</v>
      </c>
      <c r="G1463" s="15" t="str">
        <f>IFERROR(__xludf.DUMMYFUNCTION("""COMPUTED_VALUE"""),"DACCY KARINA LOPEZ")</f>
        <v>DACCY KARINA LOPEZ</v>
      </c>
      <c r="H1463" s="16">
        <f>IFERROR(__xludf.DUMMYFUNCTION("""COMPUTED_VALUE"""),10011.0)</f>
        <v>10011</v>
      </c>
      <c r="I1463" s="18" t="str">
        <f>IFERROR(__xludf.DUMMYFUNCTION("""COMPUTED_VALUE"""),"52.5")</f>
        <v>52.5</v>
      </c>
      <c r="J1463" s="18">
        <f>IFERROR(__xludf.DUMMYFUNCTION("""COMPUTED_VALUE"""),45.0)</f>
        <v>45</v>
      </c>
      <c r="K1463" s="18">
        <f>IFERROR(__xludf.DUMMYFUNCTION("""COMPUTED_VALUE"""),55.0)</f>
        <v>55</v>
      </c>
      <c r="L1463" s="17">
        <f>IFERROR(__xludf.DUMMYFUNCTION("""COMPUTED_VALUE"""),3.208615379E9)</f>
        <v>3208615379</v>
      </c>
      <c r="M1463" s="17" t="str">
        <f>IFERROR(__xludf.DUMMYFUNCTION("""COMPUTED_VALUE"""),"#REF!")</f>
        <v>#REF!</v>
      </c>
      <c r="N1463" s="17"/>
      <c r="O1463" s="19" t="str">
        <f>IFERROR(__xludf.DUMMYFUNCTION("""COMPUTED_VALUE"""),"")</f>
        <v/>
      </c>
      <c r="P1463" s="17" t="b">
        <f>IFERROR(__xludf.DUMMYFUNCTION("""COMPUTED_VALUE"""),FALSE)</f>
        <v>0</v>
      </c>
      <c r="Q1463" s="20" t="str">
        <f>IFERROR(__xludf.DUMMYFUNCTION("""COMPUTED_VALUE"""),"")</f>
        <v/>
      </c>
      <c r="R1463" s="22" t="str">
        <f>IFERROR(__xludf.DUMMYFUNCTION("""COMPUTED_VALUE"""),"")</f>
        <v/>
      </c>
    </row>
    <row r="1464">
      <c r="A1464" s="15">
        <f>IFERROR(__xludf.DUMMYFUNCTION("""COMPUTED_VALUE"""),45042.0)</f>
        <v>45042</v>
      </c>
      <c r="B1464" s="16" t="str">
        <f>IFERROR(__xludf.DUMMYFUNCTION("""COMPUTED_VALUE"""),"Envia")</f>
        <v>Envia</v>
      </c>
      <c r="C1464" s="15" t="str">
        <f>IFERROR(__xludf.DUMMYFUNCTION("""COMPUTED_VALUE"""),"CÚCUTA")</f>
        <v>CÚCUTA</v>
      </c>
      <c r="D1464" s="15" t="str">
        <f>IFERROR(__xludf.DUMMYFUNCTION("""COMPUTED_VALUE"""),"MEDELLÍN")</f>
        <v>MEDELLÍN</v>
      </c>
      <c r="E1464" s="15" t="str">
        <f>IFERROR(__xludf.DUMMYFUNCTION("""COMPUTED_VALUE"""),"Momo Tea S.A.S Gabriel Echavarría")</f>
        <v>Momo Tea S.A.S Gabriel Echavarría</v>
      </c>
      <c r="F1464" s="17" t="str">
        <f>IFERROR(__xludf.DUMMYFUNCTION("""COMPUTED_VALUE"""),"CL 11 N 16 E 35 / CA B 1")</f>
        <v>CL 11 N 16 E 35 / CA B 1</v>
      </c>
      <c r="G1464" s="15" t="str">
        <f>IFERROR(__xludf.DUMMYFUNCTION("""COMPUTED_VALUE"""),"Gabriel Echavarría")</f>
        <v>Gabriel Echavarría</v>
      </c>
      <c r="H1464" s="16">
        <f>IFERROR(__xludf.DUMMYFUNCTION("""COMPUTED_VALUE"""),10058.0)</f>
        <v>10058</v>
      </c>
      <c r="I1464" s="18">
        <f>IFERROR(__xludf.DUMMYFUNCTION("""COMPUTED_VALUE"""),21.0)</f>
        <v>21</v>
      </c>
      <c r="J1464" s="18">
        <f>IFERROR(__xludf.DUMMYFUNCTION("""COMPUTED_VALUE"""),29.0)</f>
        <v>29</v>
      </c>
      <c r="K1464" s="18">
        <f>IFERROR(__xludf.DUMMYFUNCTION("""COMPUTED_VALUE"""),29.0)</f>
        <v>29</v>
      </c>
      <c r="L1464" s="17">
        <f>IFERROR(__xludf.DUMMYFUNCTION("""COMPUTED_VALUE"""),3.017909548E9)</f>
        <v>3017909548</v>
      </c>
      <c r="M1464" s="17" t="str">
        <f>IFERROR(__xludf.DUMMYFUNCTION("""COMPUTED_VALUE"""),"#REF!")</f>
        <v>#REF!</v>
      </c>
      <c r="N1464" s="17"/>
      <c r="O1464" s="19" t="str">
        <f>IFERROR(__xludf.DUMMYFUNCTION("""COMPUTED_VALUE"""),"")</f>
        <v/>
      </c>
      <c r="P1464" s="17" t="b">
        <f>IFERROR(__xludf.DUMMYFUNCTION("""COMPUTED_VALUE"""),FALSE)</f>
        <v>0</v>
      </c>
      <c r="Q1464" s="20" t="str">
        <f>IFERROR(__xludf.DUMMYFUNCTION("""COMPUTED_VALUE"""),"")</f>
        <v/>
      </c>
      <c r="R1464" s="22" t="str">
        <f>IFERROR(__xludf.DUMMYFUNCTION("""COMPUTED_VALUE"""),"")</f>
        <v/>
      </c>
    </row>
    <row r="1465">
      <c r="A1465" s="15">
        <f>IFERROR(__xludf.DUMMYFUNCTION("""COMPUTED_VALUE"""),45042.0)</f>
        <v>45042</v>
      </c>
      <c r="B1465" s="16" t="str">
        <f>IFERROR(__xludf.DUMMYFUNCTION("""COMPUTED_VALUE"""),"Envia")</f>
        <v>Envia</v>
      </c>
      <c r="C1465" s="15" t="str">
        <f>IFERROR(__xludf.DUMMYFUNCTION("""COMPUTED_VALUE"""),"CÚCUTA")</f>
        <v>CÚCUTA</v>
      </c>
      <c r="D1465" s="15" t="str">
        <f>IFERROR(__xludf.DUMMYFUNCTION("""COMPUTED_VALUE"""),"MEDELLÍN")</f>
        <v>MEDELLÍN</v>
      </c>
      <c r="E1465" s="15" t="str">
        <f>IFERROR(__xludf.DUMMYFUNCTION("""COMPUTED_VALUE"""),"Momo Tea S.A.S Gabriel Echavarría")</f>
        <v>Momo Tea S.A.S Gabriel Echavarría</v>
      </c>
      <c r="F1465" s="17" t="str">
        <f>IFERROR(__xludf.DUMMYFUNCTION("""COMPUTED_VALUE"""),"CL 11 N 16 E 35 / CA B 1")</f>
        <v>CL 11 N 16 E 35 / CA B 1</v>
      </c>
      <c r="G1465" s="15" t="str">
        <f>IFERROR(__xludf.DUMMYFUNCTION("""COMPUTED_VALUE"""),"Gabriel Echavarría")</f>
        <v>Gabriel Echavarría</v>
      </c>
      <c r="H1465" s="16">
        <f>IFERROR(__xludf.DUMMYFUNCTION("""COMPUTED_VALUE"""),10059.0)</f>
        <v>10059</v>
      </c>
      <c r="I1465" s="18" t="str">
        <f>IFERROR(__xludf.DUMMYFUNCTION("""COMPUTED_VALUE"""),"34.5")</f>
        <v>34.5</v>
      </c>
      <c r="J1465" s="18">
        <f>IFERROR(__xludf.DUMMYFUNCTION("""COMPUTED_VALUE"""),54.0)</f>
        <v>54</v>
      </c>
      <c r="K1465" s="18">
        <f>IFERROR(__xludf.DUMMYFUNCTION("""COMPUTED_VALUE"""),26.0)</f>
        <v>26</v>
      </c>
      <c r="L1465" s="17">
        <f>IFERROR(__xludf.DUMMYFUNCTION("""COMPUTED_VALUE"""),3.017909548E9)</f>
        <v>3017909548</v>
      </c>
      <c r="M1465" s="17" t="str">
        <f>IFERROR(__xludf.DUMMYFUNCTION("""COMPUTED_VALUE"""),"#REF!")</f>
        <v>#REF!</v>
      </c>
      <c r="N1465" s="17"/>
      <c r="O1465" s="19" t="str">
        <f>IFERROR(__xludf.DUMMYFUNCTION("""COMPUTED_VALUE"""),"")</f>
        <v/>
      </c>
      <c r="P1465" s="17" t="b">
        <f>IFERROR(__xludf.DUMMYFUNCTION("""COMPUTED_VALUE"""),FALSE)</f>
        <v>0</v>
      </c>
      <c r="Q1465" s="20" t="str">
        <f>IFERROR(__xludf.DUMMYFUNCTION("""COMPUTED_VALUE"""),"")</f>
        <v/>
      </c>
      <c r="R1465" s="22" t="str">
        <f>IFERROR(__xludf.DUMMYFUNCTION("""COMPUTED_VALUE"""),"")</f>
        <v/>
      </c>
    </row>
    <row r="1466">
      <c r="A1466" s="15">
        <f>IFERROR(__xludf.DUMMYFUNCTION("""COMPUTED_VALUE"""),45042.0)</f>
        <v>45042</v>
      </c>
      <c r="B1466" s="16" t="str">
        <f>IFERROR(__xludf.DUMMYFUNCTION("""COMPUTED_VALUE"""),"Envia")</f>
        <v>Envia</v>
      </c>
      <c r="C1466" s="15" t="str">
        <f>IFERROR(__xludf.DUMMYFUNCTION("""COMPUTED_VALUE"""),"CÚCUTA")</f>
        <v>CÚCUTA</v>
      </c>
      <c r="D1466" s="15" t="str">
        <f>IFERROR(__xludf.DUMMYFUNCTION("""COMPUTED_VALUE"""),"MEDELLÍN")</f>
        <v>MEDELLÍN</v>
      </c>
      <c r="E1466" s="15" t="str">
        <f>IFERROR(__xludf.DUMMYFUNCTION("""COMPUTED_VALUE"""),"Momo Tea S.A.S Gabriel Echavarría")</f>
        <v>Momo Tea S.A.S Gabriel Echavarría</v>
      </c>
      <c r="F1466" s="17" t="str">
        <f>IFERROR(__xludf.DUMMYFUNCTION("""COMPUTED_VALUE"""),"CL 11 N 16 E 35 / CA B 1")</f>
        <v>CL 11 N 16 E 35 / CA B 1</v>
      </c>
      <c r="G1466" s="15" t="str">
        <f>IFERROR(__xludf.DUMMYFUNCTION("""COMPUTED_VALUE"""),"Gabriel Echavarría")</f>
        <v>Gabriel Echavarría</v>
      </c>
      <c r="H1466" s="16">
        <f>IFERROR(__xludf.DUMMYFUNCTION("""COMPUTED_VALUE"""),10060.0)</f>
        <v>10060</v>
      </c>
      <c r="I1466" s="18">
        <f>IFERROR(__xludf.DUMMYFUNCTION("""COMPUTED_VALUE"""),24.0)</f>
        <v>24</v>
      </c>
      <c r="J1466" s="18">
        <f>IFERROR(__xludf.DUMMYFUNCTION("""COMPUTED_VALUE"""),3.0)</f>
        <v>3</v>
      </c>
      <c r="K1466" s="18">
        <f>IFERROR(__xludf.DUMMYFUNCTION("""COMPUTED_VALUE"""),26.0)</f>
        <v>26</v>
      </c>
      <c r="L1466" s="17">
        <f>IFERROR(__xludf.DUMMYFUNCTION("""COMPUTED_VALUE"""),3.017909548E9)</f>
        <v>3017909548</v>
      </c>
      <c r="M1466" s="17" t="str">
        <f>IFERROR(__xludf.DUMMYFUNCTION("""COMPUTED_VALUE"""),"#REF!")</f>
        <v>#REF!</v>
      </c>
      <c r="N1466" s="17"/>
      <c r="O1466" s="19" t="str">
        <f>IFERROR(__xludf.DUMMYFUNCTION("""COMPUTED_VALUE"""),"")</f>
        <v/>
      </c>
      <c r="P1466" s="17" t="b">
        <f>IFERROR(__xludf.DUMMYFUNCTION("""COMPUTED_VALUE"""),FALSE)</f>
        <v>0</v>
      </c>
      <c r="Q1466" s="20" t="str">
        <f>IFERROR(__xludf.DUMMYFUNCTION("""COMPUTED_VALUE"""),"")</f>
        <v/>
      </c>
      <c r="R1466" s="22" t="str">
        <f>IFERROR(__xludf.DUMMYFUNCTION("""COMPUTED_VALUE"""),"")</f>
        <v/>
      </c>
    </row>
    <row r="1467">
      <c r="A1467" s="15">
        <f>IFERROR(__xludf.DUMMYFUNCTION("""COMPUTED_VALUE"""),45042.0)</f>
        <v>45042</v>
      </c>
      <c r="B1467" s="16" t="str">
        <f>IFERROR(__xludf.DUMMYFUNCTION("""COMPUTED_VALUE"""),"Envia")</f>
        <v>Envia</v>
      </c>
      <c r="C1467" s="15" t="str">
        <f>IFERROR(__xludf.DUMMYFUNCTION("""COMPUTED_VALUE"""),"CÚCUTA")</f>
        <v>CÚCUTA</v>
      </c>
      <c r="D1467" s="15" t="str">
        <f>IFERROR(__xludf.DUMMYFUNCTION("""COMPUTED_VALUE"""),"MEDELLÍN")</f>
        <v>MEDELLÍN</v>
      </c>
      <c r="E1467" s="15" t="str">
        <f>IFERROR(__xludf.DUMMYFUNCTION("""COMPUTED_VALUE"""),"Momo Tea S.A.S Gabriel Echavarría")</f>
        <v>Momo Tea S.A.S Gabriel Echavarría</v>
      </c>
      <c r="F1467" s="17" t="str">
        <f>IFERROR(__xludf.DUMMYFUNCTION("""COMPUTED_VALUE"""),"CL 11 N 16 E 35 / CA B 1")</f>
        <v>CL 11 N 16 E 35 / CA B 1</v>
      </c>
      <c r="G1467" s="15" t="str">
        <f>IFERROR(__xludf.DUMMYFUNCTION("""COMPUTED_VALUE"""),"Gabriel Echavarría")</f>
        <v>Gabriel Echavarría</v>
      </c>
      <c r="H1467" s="16">
        <f>IFERROR(__xludf.DUMMYFUNCTION("""COMPUTED_VALUE"""),10061.0)</f>
        <v>10061</v>
      </c>
      <c r="I1467" s="18">
        <f>IFERROR(__xludf.DUMMYFUNCTION("""COMPUTED_VALUE"""),19.0)</f>
        <v>19</v>
      </c>
      <c r="J1467" s="18">
        <f>IFERROR(__xludf.DUMMYFUNCTION("""COMPUTED_VALUE"""),11.0)</f>
        <v>11</v>
      </c>
      <c r="K1467" s="18">
        <f>IFERROR(__xludf.DUMMYFUNCTION("""COMPUTED_VALUE"""),32.0)</f>
        <v>32</v>
      </c>
      <c r="L1467" s="17">
        <f>IFERROR(__xludf.DUMMYFUNCTION("""COMPUTED_VALUE"""),3.017909548E9)</f>
        <v>3017909548</v>
      </c>
      <c r="M1467" s="17" t="str">
        <f>IFERROR(__xludf.DUMMYFUNCTION("""COMPUTED_VALUE"""),"#REF!")</f>
        <v>#REF!</v>
      </c>
      <c r="N1467" s="17"/>
      <c r="O1467" s="19" t="str">
        <f>IFERROR(__xludf.DUMMYFUNCTION("""COMPUTED_VALUE"""),"")</f>
        <v/>
      </c>
      <c r="P1467" s="17" t="b">
        <f>IFERROR(__xludf.DUMMYFUNCTION("""COMPUTED_VALUE"""),FALSE)</f>
        <v>0</v>
      </c>
      <c r="Q1467" s="20" t="str">
        <f>IFERROR(__xludf.DUMMYFUNCTION("""COMPUTED_VALUE"""),"")</f>
        <v/>
      </c>
      <c r="R1467" s="22" t="str">
        <f>IFERROR(__xludf.DUMMYFUNCTION("""COMPUTED_VALUE"""),"")</f>
        <v/>
      </c>
    </row>
    <row r="1468">
      <c r="A1468" s="15">
        <f>IFERROR(__xludf.DUMMYFUNCTION("""COMPUTED_VALUE"""),45042.0)</f>
        <v>45042</v>
      </c>
      <c r="B1468" s="16" t="str">
        <f>IFERROR(__xludf.DUMMYFUNCTION("""COMPUTED_VALUE"""),"Envia")</f>
        <v>Envia</v>
      </c>
      <c r="C1468" s="15" t="str">
        <f>IFERROR(__xludf.DUMMYFUNCTION("""COMPUTED_VALUE"""),"CÚCUTA")</f>
        <v>CÚCUTA</v>
      </c>
      <c r="D1468" s="15" t="str">
        <f>IFERROR(__xludf.DUMMYFUNCTION("""COMPUTED_VALUE"""),"MEDELLÍN")</f>
        <v>MEDELLÍN</v>
      </c>
      <c r="E1468" s="15" t="str">
        <f>IFERROR(__xludf.DUMMYFUNCTION("""COMPUTED_VALUE"""),"Momo Tea S.A.S Gabriel Echavarría")</f>
        <v>Momo Tea S.A.S Gabriel Echavarría</v>
      </c>
      <c r="F1468" s="17" t="str">
        <f>IFERROR(__xludf.DUMMYFUNCTION("""COMPUTED_VALUE"""),"CL 11 N 16 E 35 / CA B 1")</f>
        <v>CL 11 N 16 E 35 / CA B 1</v>
      </c>
      <c r="G1468" s="15" t="str">
        <f>IFERROR(__xludf.DUMMYFUNCTION("""COMPUTED_VALUE"""),"Gabriel Echavarría")</f>
        <v>Gabriel Echavarría</v>
      </c>
      <c r="H1468" s="16">
        <f>IFERROR(__xludf.DUMMYFUNCTION("""COMPUTED_VALUE"""),10062.0)</f>
        <v>10062</v>
      </c>
      <c r="I1468" s="18">
        <f>IFERROR(__xludf.DUMMYFUNCTION("""COMPUTED_VALUE"""),17.0)</f>
        <v>17</v>
      </c>
      <c r="J1468" s="18">
        <f>IFERROR(__xludf.DUMMYFUNCTION("""COMPUTED_VALUE"""),17.0)</f>
        <v>17</v>
      </c>
      <c r="K1468" s="18">
        <f>IFERROR(__xludf.DUMMYFUNCTION("""COMPUTED_VALUE"""),23.0)</f>
        <v>23</v>
      </c>
      <c r="L1468" s="17">
        <f>IFERROR(__xludf.DUMMYFUNCTION("""COMPUTED_VALUE"""),3.017909548E9)</f>
        <v>3017909548</v>
      </c>
      <c r="M1468" s="17" t="str">
        <f>IFERROR(__xludf.DUMMYFUNCTION("""COMPUTED_VALUE"""),"#REF!")</f>
        <v>#REF!</v>
      </c>
      <c r="N1468" s="17"/>
      <c r="O1468" s="19" t="str">
        <f>IFERROR(__xludf.DUMMYFUNCTION("""COMPUTED_VALUE"""),"")</f>
        <v/>
      </c>
      <c r="P1468" s="17" t="b">
        <f>IFERROR(__xludf.DUMMYFUNCTION("""COMPUTED_VALUE"""),FALSE)</f>
        <v>0</v>
      </c>
      <c r="Q1468" s="20" t="str">
        <f>IFERROR(__xludf.DUMMYFUNCTION("""COMPUTED_VALUE"""),"")</f>
        <v/>
      </c>
      <c r="R1468" s="22" t="str">
        <f>IFERROR(__xludf.DUMMYFUNCTION("""COMPUTED_VALUE"""),"")</f>
        <v/>
      </c>
    </row>
    <row r="1469">
      <c r="A1469" s="17" t="str">
        <f>IFERROR(__xludf.DUMMYFUNCTION("""COMPUTED_VALUE"""),"")</f>
        <v/>
      </c>
      <c r="B1469" s="17" t="str">
        <f>IFERROR(__xludf.DUMMYFUNCTION("""COMPUTED_VALUE"""),"")</f>
        <v/>
      </c>
      <c r="C1469" s="17" t="str">
        <f>IFERROR(__xludf.DUMMYFUNCTION("""COMPUTED_VALUE"""),"")</f>
        <v/>
      </c>
      <c r="D1469" s="17" t="str">
        <f>IFERROR(__xludf.DUMMYFUNCTION("""COMPUTED_VALUE"""),"")</f>
        <v/>
      </c>
      <c r="E1469" s="17" t="str">
        <f>IFERROR(__xludf.DUMMYFUNCTION("""COMPUTED_VALUE"""),"")</f>
        <v/>
      </c>
      <c r="F1469" s="17" t="str">
        <f>IFERROR(__xludf.DUMMYFUNCTION("""COMPUTED_VALUE"""),"")</f>
        <v/>
      </c>
      <c r="G1469" s="17" t="str">
        <f>IFERROR(__xludf.DUMMYFUNCTION("""COMPUTED_VALUE"""),"")</f>
        <v/>
      </c>
      <c r="H1469" s="17" t="str">
        <f>IFERROR(__xludf.DUMMYFUNCTION("""COMPUTED_VALUE"""),"")</f>
        <v/>
      </c>
      <c r="I1469" s="17" t="str">
        <f>IFERROR(__xludf.DUMMYFUNCTION("""COMPUTED_VALUE"""),"")</f>
        <v/>
      </c>
      <c r="J1469" s="17" t="str">
        <f>IFERROR(__xludf.DUMMYFUNCTION("""COMPUTED_VALUE"""),"")</f>
        <v/>
      </c>
      <c r="K1469" s="17" t="str">
        <f>IFERROR(__xludf.DUMMYFUNCTION("""COMPUTED_VALUE"""),"")</f>
        <v/>
      </c>
      <c r="L1469" s="17" t="str">
        <f>IFERROR(__xludf.DUMMYFUNCTION("""COMPUTED_VALUE"""),"")</f>
        <v/>
      </c>
      <c r="M1469" s="17" t="str">
        <f>IFERROR(__xludf.DUMMYFUNCTION("""COMPUTED_VALUE"""),"")</f>
        <v/>
      </c>
      <c r="N1469" s="17" t="str">
        <f>IFERROR(__xludf.DUMMYFUNCTION("""COMPUTED_VALUE"""),"")</f>
        <v/>
      </c>
      <c r="O1469" s="17" t="str">
        <f>IFERROR(__xludf.DUMMYFUNCTION("""COMPUTED_VALUE"""),"")</f>
        <v/>
      </c>
      <c r="P1469" s="17" t="str">
        <f>IFERROR(__xludf.DUMMYFUNCTION("""COMPUTED_VALUE"""),"")</f>
        <v/>
      </c>
      <c r="Q1469" s="17" t="str">
        <f>IFERROR(__xludf.DUMMYFUNCTION("""COMPUTED_VALUE"""),"")</f>
        <v/>
      </c>
      <c r="R1469" s="17" t="str">
        <f>IFERROR(__xludf.DUMMYFUNCTION("""COMPUTED_VALUE"""),"")</f>
        <v/>
      </c>
    </row>
    <row r="1470">
      <c r="A1470" s="15">
        <f>IFERROR(__xludf.DUMMYFUNCTION("""COMPUTED_VALUE"""),45042.0)</f>
        <v>45042</v>
      </c>
      <c r="B1470" s="16" t="str">
        <f>IFERROR(__xludf.DUMMYFUNCTION("""COMPUTED_VALUE"""),"Jeison Rubiano")</f>
        <v>Jeison Rubiano</v>
      </c>
      <c r="C1470" s="15" t="str">
        <f>IFERROR(__xludf.DUMMYFUNCTION("""COMPUTED_VALUE"""),"BOGOTÁ")</f>
        <v>BOGOTÁ</v>
      </c>
      <c r="D1470" s="15" t="str">
        <f>IFERROR(__xludf.DUMMYFUNCTION("""COMPUTED_VALUE"""),"MEDELLÍN")</f>
        <v>MEDELLÍN</v>
      </c>
      <c r="E1470" s="15" t="str">
        <f>IFERROR(__xludf.DUMMYFUNCTION("""COMPUTED_VALUE"""),"AREPAS LA MARY")</f>
        <v>AREPAS LA MARY</v>
      </c>
      <c r="F1470" s="17" t="str">
        <f>IFERROR(__xludf.DUMMYFUNCTION("""COMPUTED_VALUE"""),"CALLE 15#2- 50 CASA 25 / PUENTE DE LA CRUZ")</f>
        <v>CALLE 15#2- 50 CASA 25 / PUENTE DE LA CRUZ</v>
      </c>
      <c r="G1470" s="15" t="str">
        <f>IFERROR(__xludf.DUMMYFUNCTION("""COMPUTED_VALUE"""),"MARCELA PUERTO")</f>
        <v>MARCELA PUERTO</v>
      </c>
      <c r="H1470" s="16">
        <f>IFERROR(__xludf.DUMMYFUNCTION("""COMPUTED_VALUE"""),10110.0)</f>
        <v>10110</v>
      </c>
      <c r="I1470" s="18">
        <f>IFERROR(__xludf.DUMMYFUNCTION("""COMPUTED_VALUE"""),89.0)</f>
        <v>89</v>
      </c>
      <c r="J1470" s="18">
        <f>IFERROR(__xludf.DUMMYFUNCTION("""COMPUTED_VALUE"""),1.0)</f>
        <v>1</v>
      </c>
      <c r="K1470" s="18">
        <f>IFERROR(__xludf.DUMMYFUNCTION("""COMPUTED_VALUE"""),10.0)</f>
        <v>10</v>
      </c>
      <c r="L1470" s="17">
        <f>IFERROR(__xludf.DUMMYFUNCTION("""COMPUTED_VALUE"""),3.202969338E9)</f>
        <v>3202969338</v>
      </c>
      <c r="M1470" s="17" t="str">
        <f>IFERROR(__xludf.DUMMYFUNCTION("""COMPUTED_VALUE"""),"#REF!")</f>
        <v>#REF!</v>
      </c>
      <c r="N1470" s="17"/>
      <c r="O1470" s="19" t="str">
        <f>IFERROR(__xludf.DUMMYFUNCTION("""COMPUTED_VALUE"""),"")</f>
        <v/>
      </c>
      <c r="P1470" s="17" t="b">
        <f>IFERROR(__xludf.DUMMYFUNCTION("""COMPUTED_VALUE"""),FALSE)</f>
        <v>0</v>
      </c>
      <c r="Q1470" s="20" t="str">
        <f>IFERROR(__xludf.DUMMYFUNCTION("""COMPUTED_VALUE"""),"")</f>
        <v/>
      </c>
      <c r="R1470" s="22" t="str">
        <f>IFERROR(__xludf.DUMMYFUNCTION("""COMPUTED_VALUE"""),"")</f>
        <v/>
      </c>
    </row>
    <row r="1471">
      <c r="A1471" s="15">
        <f>IFERROR(__xludf.DUMMYFUNCTION("""COMPUTED_VALUE"""),45042.0)</f>
        <v>45042</v>
      </c>
      <c r="B1471" s="16" t="str">
        <f>IFERROR(__xludf.DUMMYFUNCTION("""COMPUTED_VALUE"""),"Jeison Rubiano")</f>
        <v>Jeison Rubiano</v>
      </c>
      <c r="C1471" s="15" t="str">
        <f>IFERROR(__xludf.DUMMYFUNCTION("""COMPUTED_VALUE"""),"BOGOTÁ")</f>
        <v>BOGOTÁ</v>
      </c>
      <c r="D1471" s="15" t="str">
        <f>IFERROR(__xludf.DUMMYFUNCTION("""COMPUTED_VALUE"""),"MEDELLÍN")</f>
        <v>MEDELLÍN</v>
      </c>
      <c r="E1471" s="15" t="str">
        <f>IFERROR(__xludf.DUMMYFUNCTION("""COMPUTED_VALUE"""),"AREPAS LA MARY")</f>
        <v>AREPAS LA MARY</v>
      </c>
      <c r="F1471" s="17" t="str">
        <f>IFERROR(__xludf.DUMMYFUNCTION("""COMPUTED_VALUE"""),"CRA 13 # 93-13 LOCAL 103 / LOCAL 103")</f>
        <v>CRA 13 # 93-13 LOCAL 103 / LOCAL 103</v>
      </c>
      <c r="G1471" s="15" t="str">
        <f>IFERROR(__xludf.DUMMYFUNCTION("""COMPUTED_VALUE"""),"HEALING FOODS")</f>
        <v>HEALING FOODS</v>
      </c>
      <c r="H1471" s="16">
        <f>IFERROR(__xludf.DUMMYFUNCTION("""COMPUTED_VALUE"""),10148.0)</f>
        <v>10148</v>
      </c>
      <c r="I1471" s="18">
        <f>IFERROR(__xludf.DUMMYFUNCTION("""COMPUTED_VALUE"""),89.0)</f>
        <v>89</v>
      </c>
      <c r="J1471" s="18">
        <f>IFERROR(__xludf.DUMMYFUNCTION("""COMPUTED_VALUE"""),1.0)</f>
        <v>1</v>
      </c>
      <c r="K1471" s="18">
        <f>IFERROR(__xludf.DUMMYFUNCTION("""COMPUTED_VALUE"""),10.0)</f>
        <v>10</v>
      </c>
      <c r="L1471" s="17">
        <f>IFERROR(__xludf.DUMMYFUNCTION("""COMPUTED_VALUE"""),3.142647408E9)</f>
        <v>3142647408</v>
      </c>
      <c r="M1471" s="17" t="str">
        <f>IFERROR(__xludf.DUMMYFUNCTION("""COMPUTED_VALUE"""),"#REF!")</f>
        <v>#REF!</v>
      </c>
      <c r="N1471" s="17"/>
      <c r="O1471" s="19" t="str">
        <f>IFERROR(__xludf.DUMMYFUNCTION("""COMPUTED_VALUE"""),"")</f>
        <v/>
      </c>
      <c r="P1471" s="17" t="b">
        <f>IFERROR(__xludf.DUMMYFUNCTION("""COMPUTED_VALUE"""),TRUE)</f>
        <v>1</v>
      </c>
      <c r="Q1471" s="20">
        <f>IFERROR(__xludf.DUMMYFUNCTION("""COMPUTED_VALUE"""),45042.83166200231)</f>
        <v>45042.83166</v>
      </c>
      <c r="R1471" s="22" t="str">
        <f>IFERROR(__xludf.DUMMYFUNCTION("""COMPUTED_VALUE"""),"")</f>
        <v/>
      </c>
    </row>
    <row r="1472">
      <c r="A1472" s="15">
        <f>IFERROR(__xludf.DUMMYFUNCTION("""COMPUTED_VALUE"""),45042.0)</f>
        <v>45042</v>
      </c>
      <c r="B1472" s="16" t="str">
        <f>IFERROR(__xludf.DUMMYFUNCTION("""COMPUTED_VALUE"""),"Jeison Rubiano")</f>
        <v>Jeison Rubiano</v>
      </c>
      <c r="C1472" s="15" t="str">
        <f>IFERROR(__xludf.DUMMYFUNCTION("""COMPUTED_VALUE"""),"BOGOTÁ")</f>
        <v>BOGOTÁ</v>
      </c>
      <c r="D1472" s="15" t="str">
        <f>IFERROR(__xludf.DUMMYFUNCTION("""COMPUTED_VALUE"""),"MEDELLÍN")</f>
        <v>MEDELLÍN</v>
      </c>
      <c r="E1472" s="15" t="str">
        <f>IFERROR(__xludf.DUMMYFUNCTION("""COMPUTED_VALUE"""),"Baby Chef")</f>
        <v>Baby Chef</v>
      </c>
      <c r="F1472" s="17" t="str">
        <f>IFERROR(__xludf.DUMMYFUNCTION("""COMPUTED_VALUE"""),"Calle 12 C # 71 C 3  / Torre 3 Apto 804  / BOGOTÁ")</f>
        <v>Calle 12 C # 71 C 3  / Torre 3 Apto 804  / BOGOTÁ</v>
      </c>
      <c r="G1472" s="15" t="str">
        <f>IFERROR(__xludf.DUMMYFUNCTION("""COMPUTED_VALUE"""),"Yudy Astrid Perez Cardozo")</f>
        <v>Yudy Astrid Perez Cardozo</v>
      </c>
      <c r="H1472" s="16">
        <f>IFERROR(__xludf.DUMMYFUNCTION("""COMPUTED_VALUE"""),10125.0)</f>
        <v>10125</v>
      </c>
      <c r="I1472" s="18">
        <f>IFERROR(__xludf.DUMMYFUNCTION("""COMPUTED_VALUE"""),8.0)</f>
        <v>8</v>
      </c>
      <c r="J1472" s="18">
        <f>IFERROR(__xludf.DUMMYFUNCTION("""COMPUTED_VALUE"""),16.0)</f>
        <v>16</v>
      </c>
      <c r="K1472" s="18">
        <f>IFERROR(__xludf.DUMMYFUNCTION("""COMPUTED_VALUE"""),20.0)</f>
        <v>20</v>
      </c>
      <c r="L1472" s="17">
        <f>IFERROR(__xludf.DUMMYFUNCTION("""COMPUTED_VALUE"""),3.214634038E9)</f>
        <v>3214634038</v>
      </c>
      <c r="M1472" s="17" t="str">
        <f>IFERROR(__xludf.DUMMYFUNCTION("""COMPUTED_VALUE"""),"#REF!")</f>
        <v>#REF!</v>
      </c>
      <c r="N1472" s="17"/>
      <c r="O1472" s="19" t="str">
        <f>IFERROR(__xludf.DUMMYFUNCTION("""COMPUTED_VALUE"""),"")</f>
        <v/>
      </c>
      <c r="P1472" s="17" t="b">
        <f>IFERROR(__xludf.DUMMYFUNCTION("""COMPUTED_VALUE"""),FALSE)</f>
        <v>0</v>
      </c>
      <c r="Q1472" s="20" t="str">
        <f>IFERROR(__xludf.DUMMYFUNCTION("""COMPUTED_VALUE"""),"")</f>
        <v/>
      </c>
      <c r="R1472" s="22" t="str">
        <f>IFERROR(__xludf.DUMMYFUNCTION("""COMPUTED_VALUE"""),"")</f>
        <v/>
      </c>
    </row>
    <row r="1473">
      <c r="A1473" s="15">
        <f>IFERROR(__xludf.DUMMYFUNCTION("""COMPUTED_VALUE"""),45042.0)</f>
        <v>45042</v>
      </c>
      <c r="B1473" s="16" t="str">
        <f>IFERROR(__xludf.DUMMYFUNCTION("""COMPUTED_VALUE"""),"Jeison Rubiano")</f>
        <v>Jeison Rubiano</v>
      </c>
      <c r="C1473" s="15" t="str">
        <f>IFERROR(__xludf.DUMMYFUNCTION("""COMPUTED_VALUE"""),"BOGOTÁ")</f>
        <v>BOGOTÁ</v>
      </c>
      <c r="D1473" s="15" t="str">
        <f>IFERROR(__xludf.DUMMYFUNCTION("""COMPUTED_VALUE"""),"MEDELLÍN")</f>
        <v>MEDELLÍN</v>
      </c>
      <c r="E1473" s="15" t="str">
        <f>IFERROR(__xludf.DUMMYFUNCTION("""COMPUTED_VALUE"""),"Baby Chef")</f>
        <v>Baby Chef</v>
      </c>
      <c r="F1473" s="17" t="str">
        <f>IFERROR(__xludf.DUMMYFUNCTION("""COMPUTED_VALUE"""),"Calle 159 # 7 - 74  / Conjunto Séptima Avenida / Barrancas")</f>
        <v>Calle 159 # 7 - 74  / Conjunto Séptima Avenida / Barrancas</v>
      </c>
      <c r="G1473" s="15" t="str">
        <f>IFERROR(__xludf.DUMMYFUNCTION("""COMPUTED_VALUE"""),"Mayra Alejandra Mendez Santos")</f>
        <v>Mayra Alejandra Mendez Santos</v>
      </c>
      <c r="H1473" s="16">
        <f>IFERROR(__xludf.DUMMYFUNCTION("""COMPUTED_VALUE"""),10123.0)</f>
        <v>10123</v>
      </c>
      <c r="I1473" s="18">
        <f>IFERROR(__xludf.DUMMYFUNCTION("""COMPUTED_VALUE"""),8.0)</f>
        <v>8</v>
      </c>
      <c r="J1473" s="18">
        <f>IFERROR(__xludf.DUMMYFUNCTION("""COMPUTED_VALUE"""),16.0)</f>
        <v>16</v>
      </c>
      <c r="K1473" s="18">
        <f>IFERROR(__xludf.DUMMYFUNCTION("""COMPUTED_VALUE"""),20.0)</f>
        <v>20</v>
      </c>
      <c r="L1473" s="17">
        <f>IFERROR(__xludf.DUMMYFUNCTION("""COMPUTED_VALUE"""),3.212155064E9)</f>
        <v>3212155064</v>
      </c>
      <c r="M1473" s="17" t="str">
        <f>IFERROR(__xludf.DUMMYFUNCTION("""COMPUTED_VALUE"""),"#REF!")</f>
        <v>#REF!</v>
      </c>
      <c r="N1473" s="17"/>
      <c r="O1473" s="19" t="str">
        <f>IFERROR(__xludf.DUMMYFUNCTION("""COMPUTED_VALUE"""),"")</f>
        <v/>
      </c>
      <c r="P1473" s="17" t="b">
        <f>IFERROR(__xludf.DUMMYFUNCTION("""COMPUTED_VALUE"""),FALSE)</f>
        <v>0</v>
      </c>
      <c r="Q1473" s="20" t="str">
        <f>IFERROR(__xludf.DUMMYFUNCTION("""COMPUTED_VALUE"""),"")</f>
        <v/>
      </c>
      <c r="R1473" s="22" t="str">
        <f>IFERROR(__xludf.DUMMYFUNCTION("""COMPUTED_VALUE"""),"")</f>
        <v/>
      </c>
    </row>
    <row r="1474">
      <c r="A1474" s="15">
        <f>IFERROR(__xludf.DUMMYFUNCTION("""COMPUTED_VALUE"""),45042.0)</f>
        <v>45042</v>
      </c>
      <c r="B1474" s="16" t="str">
        <f>IFERROR(__xludf.DUMMYFUNCTION("""COMPUTED_VALUE"""),"Jeison Rubiano")</f>
        <v>Jeison Rubiano</v>
      </c>
      <c r="C1474" s="15" t="str">
        <f>IFERROR(__xludf.DUMMYFUNCTION("""COMPUTED_VALUE"""),"BOGOTÁ")</f>
        <v>BOGOTÁ</v>
      </c>
      <c r="D1474" s="15" t="str">
        <f>IFERROR(__xludf.DUMMYFUNCTION("""COMPUTED_VALUE"""),"MEDELLÍN")</f>
        <v>MEDELLÍN</v>
      </c>
      <c r="E1474" s="15" t="str">
        <f>IFERROR(__xludf.DUMMYFUNCTION("""COMPUTED_VALUE"""),"Baby Chef")</f>
        <v>Baby Chef</v>
      </c>
      <c r="F1474" s="17" t="str">
        <f>IFERROR(__xludf.DUMMYFUNCTION("""COMPUTED_VALUE"""),"Carrera  5 sur no.40 - 07 / zona industrial sur  trilladora Fortaleza diagonal colegio la fragua / BOGOTA")</f>
        <v>Carrera  5 sur no.40 - 07 / zona industrial sur  trilladora Fortaleza diagonal colegio la fragua / BOGOTA</v>
      </c>
      <c r="G1474" s="15" t="str">
        <f>IFERROR(__xludf.DUMMYFUNCTION("""COMPUTED_VALUE"""),"Lucero Peña Franco")</f>
        <v>Lucero Peña Franco</v>
      </c>
      <c r="H1474" s="16">
        <f>IFERROR(__xludf.DUMMYFUNCTION("""COMPUTED_VALUE"""),10145.0)</f>
        <v>10145</v>
      </c>
      <c r="I1474" s="18">
        <f>IFERROR(__xludf.DUMMYFUNCTION("""COMPUTED_VALUE"""),8.0)</f>
        <v>8</v>
      </c>
      <c r="J1474" s="18">
        <f>IFERROR(__xludf.DUMMYFUNCTION("""COMPUTED_VALUE"""),16.0)</f>
        <v>16</v>
      </c>
      <c r="K1474" s="18">
        <f>IFERROR(__xludf.DUMMYFUNCTION("""COMPUTED_VALUE"""),20.0)</f>
        <v>20</v>
      </c>
      <c r="L1474" s="17">
        <f>IFERROR(__xludf.DUMMYFUNCTION("""COMPUTED_VALUE"""),3.174299358E9)</f>
        <v>3174299358</v>
      </c>
      <c r="M1474" s="17" t="str">
        <f>IFERROR(__xludf.DUMMYFUNCTION("""COMPUTED_VALUE"""),"#REF!")</f>
        <v>#REF!</v>
      </c>
      <c r="N1474" s="17"/>
      <c r="O1474" s="19" t="str">
        <f>IFERROR(__xludf.DUMMYFUNCTION("""COMPUTED_VALUE"""),"")</f>
        <v/>
      </c>
      <c r="P1474" s="17" t="b">
        <f>IFERROR(__xludf.DUMMYFUNCTION("""COMPUTED_VALUE"""),FALSE)</f>
        <v>0</v>
      </c>
      <c r="Q1474" s="20" t="str">
        <f>IFERROR(__xludf.DUMMYFUNCTION("""COMPUTED_VALUE"""),"")</f>
        <v/>
      </c>
      <c r="R1474" s="22" t="str">
        <f>IFERROR(__xludf.DUMMYFUNCTION("""COMPUTED_VALUE"""),"")</f>
        <v/>
      </c>
    </row>
    <row r="1475">
      <c r="A1475" s="15">
        <f>IFERROR(__xludf.DUMMYFUNCTION("""COMPUTED_VALUE"""),45042.0)</f>
        <v>45042</v>
      </c>
      <c r="B1475" s="16" t="str">
        <f>IFERROR(__xludf.DUMMYFUNCTION("""COMPUTED_VALUE"""),"Jeison Rubiano")</f>
        <v>Jeison Rubiano</v>
      </c>
      <c r="C1475" s="15" t="str">
        <f>IFERROR(__xludf.DUMMYFUNCTION("""COMPUTED_VALUE"""),"BOGOTÁ")</f>
        <v>BOGOTÁ</v>
      </c>
      <c r="D1475" s="15" t="str">
        <f>IFERROR(__xludf.DUMMYFUNCTION("""COMPUTED_VALUE"""),"MEDELLÍN")</f>
        <v>MEDELLÍN</v>
      </c>
      <c r="E1475" s="15" t="str">
        <f>IFERROR(__xludf.DUMMYFUNCTION("""COMPUTED_VALUE"""),"Baby Chef")</f>
        <v>Baby Chef</v>
      </c>
      <c r="F1475" s="17" t="str">
        <f>IFERROR(__xludf.DUMMYFUNCTION("""COMPUTED_VALUE"""),"Cra 116 A # 15 C 70 / Reserva de fontibon Torre 11 apto 801 / BOGOTÁ")</f>
        <v>Cra 116 A # 15 C 70 / Reserva de fontibon Torre 11 apto 801 / BOGOTÁ</v>
      </c>
      <c r="G1475" s="15" t="str">
        <f>IFERROR(__xludf.DUMMYFUNCTION("""COMPUTED_VALUE"""),"Yulieth Roa")</f>
        <v>Yulieth Roa</v>
      </c>
      <c r="H1475" s="16">
        <f>IFERROR(__xludf.DUMMYFUNCTION("""COMPUTED_VALUE"""),10122.0)</f>
        <v>10122</v>
      </c>
      <c r="I1475" s="18">
        <f>IFERROR(__xludf.DUMMYFUNCTION("""COMPUTED_VALUE"""),8.0)</f>
        <v>8</v>
      </c>
      <c r="J1475" s="18">
        <f>IFERROR(__xludf.DUMMYFUNCTION("""COMPUTED_VALUE"""),16.0)</f>
        <v>16</v>
      </c>
      <c r="K1475" s="18">
        <f>IFERROR(__xludf.DUMMYFUNCTION("""COMPUTED_VALUE"""),20.0)</f>
        <v>20</v>
      </c>
      <c r="L1475" s="17">
        <f>IFERROR(__xludf.DUMMYFUNCTION("""COMPUTED_VALUE"""),3.054660863E9)</f>
        <v>3054660863</v>
      </c>
      <c r="M1475" s="17" t="str">
        <f>IFERROR(__xludf.DUMMYFUNCTION("""COMPUTED_VALUE"""),"#REF!")</f>
        <v>#REF!</v>
      </c>
      <c r="N1475" s="17"/>
      <c r="O1475" s="19" t="str">
        <f>IFERROR(__xludf.DUMMYFUNCTION("""COMPUTED_VALUE"""),"")</f>
        <v/>
      </c>
      <c r="P1475" s="17" t="b">
        <f>IFERROR(__xludf.DUMMYFUNCTION("""COMPUTED_VALUE"""),FALSE)</f>
        <v>0</v>
      </c>
      <c r="Q1475" s="20" t="str">
        <f>IFERROR(__xludf.DUMMYFUNCTION("""COMPUTED_VALUE"""),"")</f>
        <v/>
      </c>
      <c r="R1475" s="22" t="str">
        <f>IFERROR(__xludf.DUMMYFUNCTION("""COMPUTED_VALUE"""),"")</f>
        <v/>
      </c>
    </row>
    <row r="1476">
      <c r="A1476" s="15">
        <f>IFERROR(__xludf.DUMMYFUNCTION("""COMPUTED_VALUE"""),45042.0)</f>
        <v>45042</v>
      </c>
      <c r="B1476" s="16" t="str">
        <f>IFERROR(__xludf.DUMMYFUNCTION("""COMPUTED_VALUE"""),"Jeison Rubiano")</f>
        <v>Jeison Rubiano</v>
      </c>
      <c r="C1476" s="15" t="str">
        <f>IFERROR(__xludf.DUMMYFUNCTION("""COMPUTED_VALUE"""),"BOGOTÁ")</f>
        <v>BOGOTÁ</v>
      </c>
      <c r="D1476" s="15" t="str">
        <f>IFERROR(__xludf.DUMMYFUNCTION("""COMPUTED_VALUE"""),"MEDELLÍN")</f>
        <v>MEDELLÍN</v>
      </c>
      <c r="E1476" s="15" t="str">
        <f>IFERROR(__xludf.DUMMYFUNCTION("""COMPUTED_VALUE"""),"Baby Chef")</f>
        <v>Baby Chef</v>
      </c>
      <c r="F1476" s="17" t="str">
        <f>IFERROR(__xludf.DUMMYFUNCTION("""COMPUTED_VALUE"""),"Cra 21 # 102 - 12 / Apto 206 / CHICÓ")</f>
        <v>Cra 21 # 102 - 12 / Apto 206 / CHICÓ</v>
      </c>
      <c r="G1476" s="15" t="str">
        <f>IFERROR(__xludf.DUMMYFUNCTION("""COMPUTED_VALUE"""),"Paola Manotas")</f>
        <v>Paola Manotas</v>
      </c>
      <c r="H1476" s="16">
        <f>IFERROR(__xludf.DUMMYFUNCTION("""COMPUTED_VALUE"""),10121.0)</f>
        <v>10121</v>
      </c>
      <c r="I1476" s="18">
        <f>IFERROR(__xludf.DUMMYFUNCTION("""COMPUTED_VALUE"""),8.0)</f>
        <v>8</v>
      </c>
      <c r="J1476" s="18">
        <f>IFERROR(__xludf.DUMMYFUNCTION("""COMPUTED_VALUE"""),16.0)</f>
        <v>16</v>
      </c>
      <c r="K1476" s="18">
        <f>IFERROR(__xludf.DUMMYFUNCTION("""COMPUTED_VALUE"""),20.0)</f>
        <v>20</v>
      </c>
      <c r="L1476" s="17">
        <f>IFERROR(__xludf.DUMMYFUNCTION("""COMPUTED_VALUE"""),3.002235678E9)</f>
        <v>3002235678</v>
      </c>
      <c r="M1476" s="17" t="str">
        <f>IFERROR(__xludf.DUMMYFUNCTION("""COMPUTED_VALUE"""),"#REF!")</f>
        <v>#REF!</v>
      </c>
      <c r="N1476" s="17"/>
      <c r="O1476" s="19" t="str">
        <f>IFERROR(__xludf.DUMMYFUNCTION("""COMPUTED_VALUE"""),"")</f>
        <v/>
      </c>
      <c r="P1476" s="17" t="b">
        <f>IFERROR(__xludf.DUMMYFUNCTION("""COMPUTED_VALUE"""),FALSE)</f>
        <v>0</v>
      </c>
      <c r="Q1476" s="20" t="str">
        <f>IFERROR(__xludf.DUMMYFUNCTION("""COMPUTED_VALUE"""),"")</f>
        <v/>
      </c>
      <c r="R1476" s="22" t="str">
        <f>IFERROR(__xludf.DUMMYFUNCTION("""COMPUTED_VALUE"""),"")</f>
        <v/>
      </c>
    </row>
    <row r="1477">
      <c r="A1477" s="15">
        <f>IFERROR(__xludf.DUMMYFUNCTION("""COMPUTED_VALUE"""),45042.0)</f>
        <v>45042</v>
      </c>
      <c r="B1477" s="16" t="str">
        <f>IFERROR(__xludf.DUMMYFUNCTION("""COMPUTED_VALUE"""),"Jeison Rubiano")</f>
        <v>Jeison Rubiano</v>
      </c>
      <c r="C1477" s="15" t="str">
        <f>IFERROR(__xludf.DUMMYFUNCTION("""COMPUTED_VALUE"""),"BOGOTÁ")</f>
        <v>BOGOTÁ</v>
      </c>
      <c r="D1477" s="15" t="str">
        <f>IFERROR(__xludf.DUMMYFUNCTION("""COMPUTED_VALUE"""),"MEDELLÍN")</f>
        <v>MEDELLÍN</v>
      </c>
      <c r="E1477" s="15" t="str">
        <f>IFERROR(__xludf.DUMMYFUNCTION("""COMPUTED_VALUE"""),"Baby Chef")</f>
        <v>Baby Chef</v>
      </c>
      <c r="F1477" s="17" t="str">
        <f>IFERROR(__xludf.DUMMYFUNCTION("""COMPUTED_VALUE"""),"CRA 7A 97 - 19  / APTO 201 / BOGOTÁ")</f>
        <v>CRA 7A 97 - 19  / APTO 201 / BOGOTÁ</v>
      </c>
      <c r="G1477" s="15" t="str">
        <f>IFERROR(__xludf.DUMMYFUNCTION("""COMPUTED_VALUE"""),"MARIANA AGUDELO")</f>
        <v>MARIANA AGUDELO</v>
      </c>
      <c r="H1477" s="16">
        <f>IFERROR(__xludf.DUMMYFUNCTION("""COMPUTED_VALUE"""),10119.0)</f>
        <v>10119</v>
      </c>
      <c r="I1477" s="18">
        <f>IFERROR(__xludf.DUMMYFUNCTION("""COMPUTED_VALUE"""),8.0)</f>
        <v>8</v>
      </c>
      <c r="J1477" s="18">
        <f>IFERROR(__xludf.DUMMYFUNCTION("""COMPUTED_VALUE"""),16.0)</f>
        <v>16</v>
      </c>
      <c r="K1477" s="18">
        <f>IFERROR(__xludf.DUMMYFUNCTION("""COMPUTED_VALUE"""),20.0)</f>
        <v>20</v>
      </c>
      <c r="L1477" s="17">
        <f>IFERROR(__xludf.DUMMYFUNCTION("""COMPUTED_VALUE"""),3.232329857E9)</f>
        <v>3232329857</v>
      </c>
      <c r="M1477" s="17" t="str">
        <f>IFERROR(__xludf.DUMMYFUNCTION("""COMPUTED_VALUE"""),"#REF!")</f>
        <v>#REF!</v>
      </c>
      <c r="N1477" s="17"/>
      <c r="O1477" s="19" t="str">
        <f>IFERROR(__xludf.DUMMYFUNCTION("""COMPUTED_VALUE"""),"")</f>
        <v/>
      </c>
      <c r="P1477" s="17" t="b">
        <f>IFERROR(__xludf.DUMMYFUNCTION("""COMPUTED_VALUE"""),FALSE)</f>
        <v>0</v>
      </c>
      <c r="Q1477" s="20" t="str">
        <f>IFERROR(__xludf.DUMMYFUNCTION("""COMPUTED_VALUE"""),"")</f>
        <v/>
      </c>
      <c r="R1477" s="22" t="str">
        <f>IFERROR(__xludf.DUMMYFUNCTION("""COMPUTED_VALUE"""),"")</f>
        <v/>
      </c>
    </row>
    <row r="1478">
      <c r="A1478" s="15">
        <f>IFERROR(__xludf.DUMMYFUNCTION("""COMPUTED_VALUE"""),45042.0)</f>
        <v>45042</v>
      </c>
      <c r="B1478" s="16" t="str">
        <f>IFERROR(__xludf.DUMMYFUNCTION("""COMPUTED_VALUE"""),"Jeison Rubiano")</f>
        <v>Jeison Rubiano</v>
      </c>
      <c r="C1478" s="15" t="str">
        <f>IFERROR(__xludf.DUMMYFUNCTION("""COMPUTED_VALUE"""),"BOGOTÁ")</f>
        <v>BOGOTÁ</v>
      </c>
      <c r="D1478" s="15" t="str">
        <f>IFERROR(__xludf.DUMMYFUNCTION("""COMPUTED_VALUE"""),"MEDELLÍN")</f>
        <v>MEDELLÍN</v>
      </c>
      <c r="E1478" s="15" t="str">
        <f>IFERROR(__xludf.DUMMYFUNCTION("""COMPUTED_VALUE"""),"Baby Chef")</f>
        <v>Baby Chef</v>
      </c>
      <c r="F1478" s="17" t="str">
        <f>IFERROR(__xludf.DUMMYFUNCTION("""COMPUTED_VALUE"""),"crr 10#8-55 sur  / edificio Ten Life Apto 603 / Ciudad Berna")</f>
        <v>crr 10#8-55 sur  / edificio Ten Life Apto 603 / Ciudad Berna</v>
      </c>
      <c r="G1478" s="15" t="str">
        <f>IFERROR(__xludf.DUMMYFUNCTION("""COMPUTED_VALUE"""),"Jennifer Ballen")</f>
        <v>Jennifer Ballen</v>
      </c>
      <c r="H1478" s="16">
        <f>IFERROR(__xludf.DUMMYFUNCTION("""COMPUTED_VALUE"""),10126.0)</f>
        <v>10126</v>
      </c>
      <c r="I1478" s="18">
        <f>IFERROR(__xludf.DUMMYFUNCTION("""COMPUTED_VALUE"""),8.0)</f>
        <v>8</v>
      </c>
      <c r="J1478" s="18">
        <f>IFERROR(__xludf.DUMMYFUNCTION("""COMPUTED_VALUE"""),16.0)</f>
        <v>16</v>
      </c>
      <c r="K1478" s="18">
        <f>IFERROR(__xludf.DUMMYFUNCTION("""COMPUTED_VALUE"""),20.0)</f>
        <v>20</v>
      </c>
      <c r="L1478" s="17">
        <f>IFERROR(__xludf.DUMMYFUNCTION("""COMPUTED_VALUE"""),3.204744266E9)</f>
        <v>3204744266</v>
      </c>
      <c r="M1478" s="17" t="str">
        <f>IFERROR(__xludf.DUMMYFUNCTION("""COMPUTED_VALUE"""),"#REF!")</f>
        <v>#REF!</v>
      </c>
      <c r="N1478" s="17"/>
      <c r="O1478" s="19" t="str">
        <f>IFERROR(__xludf.DUMMYFUNCTION("""COMPUTED_VALUE"""),"")</f>
        <v/>
      </c>
      <c r="P1478" s="17" t="b">
        <f>IFERROR(__xludf.DUMMYFUNCTION("""COMPUTED_VALUE"""),FALSE)</f>
        <v>0</v>
      </c>
      <c r="Q1478" s="20" t="str">
        <f>IFERROR(__xludf.DUMMYFUNCTION("""COMPUTED_VALUE"""),"")</f>
        <v/>
      </c>
      <c r="R1478" s="22" t="str">
        <f>IFERROR(__xludf.DUMMYFUNCTION("""COMPUTED_VALUE"""),"")</f>
        <v/>
      </c>
    </row>
    <row r="1479">
      <c r="A1479" s="15">
        <f>IFERROR(__xludf.DUMMYFUNCTION("""COMPUTED_VALUE"""),45042.0)</f>
        <v>45042</v>
      </c>
      <c r="B1479" s="16" t="str">
        <f>IFERROR(__xludf.DUMMYFUNCTION("""COMPUTED_VALUE"""),"Jeison Rubiano")</f>
        <v>Jeison Rubiano</v>
      </c>
      <c r="C1479" s="15" t="str">
        <f>IFERROR(__xludf.DUMMYFUNCTION("""COMPUTED_VALUE"""),"BOGOTÁ")</f>
        <v>BOGOTÁ</v>
      </c>
      <c r="D1479" s="15" t="str">
        <f>IFERROR(__xludf.DUMMYFUNCTION("""COMPUTED_VALUE"""),"MEDELLÍN")</f>
        <v>MEDELLÍN</v>
      </c>
      <c r="E1479" s="15" t="str">
        <f>IFERROR(__xludf.DUMMYFUNCTION("""COMPUTED_VALUE"""),"Felicidad Bakery Bogotá")</f>
        <v>Felicidad Bakery Bogotá</v>
      </c>
      <c r="F1479" s="17" t="str">
        <f>IFERROR(__xludf.DUMMYFUNCTION("""COMPUTED_VALUE"""),"Calle 92 15 62 / Edificio centro chico / Local 103")</f>
        <v>Calle 92 15 62 / Edificio centro chico / Local 103</v>
      </c>
      <c r="G1479" s="15" t="str">
        <f>IFERROR(__xludf.DUMMYFUNCTION("""COMPUTED_VALUE"""),"Camilo Hernandez")</f>
        <v>Camilo Hernandez</v>
      </c>
      <c r="H1479" s="16">
        <f>IFERROR(__xludf.DUMMYFUNCTION("""COMPUTED_VALUE"""),10141.0)</f>
        <v>10141</v>
      </c>
      <c r="I1479" s="18">
        <f>IFERROR(__xludf.DUMMYFUNCTION("""COMPUTED_VALUE"""),1.0)</f>
        <v>1</v>
      </c>
      <c r="J1479" s="18">
        <f>IFERROR(__xludf.DUMMYFUNCTION("""COMPUTED_VALUE"""),1.0)</f>
        <v>1</v>
      </c>
      <c r="K1479" s="18">
        <f>IFERROR(__xludf.DUMMYFUNCTION("""COMPUTED_VALUE"""),1.0)</f>
        <v>1</v>
      </c>
      <c r="L1479" s="17">
        <f>IFERROR(__xludf.DUMMYFUNCTION("""COMPUTED_VALUE"""),3.013527163E9)</f>
        <v>3013527163</v>
      </c>
      <c r="M1479" s="17" t="str">
        <f>IFERROR(__xludf.DUMMYFUNCTION("""COMPUTED_VALUE"""),"#REF!")</f>
        <v>#REF!</v>
      </c>
      <c r="N1479" s="17"/>
      <c r="O1479" s="19" t="str">
        <f>IFERROR(__xludf.DUMMYFUNCTION("""COMPUTED_VALUE"""),"")</f>
        <v/>
      </c>
      <c r="P1479" s="17" t="b">
        <f>IFERROR(__xludf.DUMMYFUNCTION("""COMPUTED_VALUE"""),FALSE)</f>
        <v>0</v>
      </c>
      <c r="Q1479" s="20" t="str">
        <f>IFERROR(__xludf.DUMMYFUNCTION("""COMPUTED_VALUE"""),"")</f>
        <v/>
      </c>
      <c r="R1479" s="22" t="str">
        <f>IFERROR(__xludf.DUMMYFUNCTION("""COMPUTED_VALUE"""),"")</f>
        <v/>
      </c>
    </row>
    <row r="1480">
      <c r="A1480" s="15">
        <f>IFERROR(__xludf.DUMMYFUNCTION("""COMPUTED_VALUE"""),45042.0)</f>
        <v>45042</v>
      </c>
      <c r="B1480" s="16" t="str">
        <f>IFERROR(__xludf.DUMMYFUNCTION("""COMPUTED_VALUE"""),"Jeison Rubiano")</f>
        <v>Jeison Rubiano</v>
      </c>
      <c r="C1480" s="15" t="str">
        <f>IFERROR(__xludf.DUMMYFUNCTION("""COMPUTED_VALUE"""),"BOGOTÁ")</f>
        <v>BOGOTÁ</v>
      </c>
      <c r="D1480" s="15" t="str">
        <f>IFERROR(__xludf.DUMMYFUNCTION("""COMPUTED_VALUE"""),"MEDELLÍN")</f>
        <v>MEDELLÍN</v>
      </c>
      <c r="E1480" s="15" t="str">
        <f>IFERROR(__xludf.DUMMYFUNCTION("""COMPUTED_VALUE"""),"Felicidad Bakery Bogotá")</f>
        <v>Felicidad Bakery Bogotá</v>
      </c>
      <c r="F1480" s="17" t="str">
        <f>IFERROR(__xludf.DUMMYFUNCTION("""COMPUTED_VALUE"""),"Calle 92 15 92 / Edificio centro Chicó  / Local 103")</f>
        <v>Calle 92 15 92 / Edificio centro Chicó  / Local 103</v>
      </c>
      <c r="G1480" s="15" t="str">
        <f>IFERROR(__xludf.DUMMYFUNCTION("""COMPUTED_VALUE"""),"Camilo Hernandez")</f>
        <v>Camilo Hernandez</v>
      </c>
      <c r="H1480" s="16">
        <f>IFERROR(__xludf.DUMMYFUNCTION("""COMPUTED_VALUE"""),10140.0)</f>
        <v>10140</v>
      </c>
      <c r="I1480" s="18">
        <f>IFERROR(__xludf.DUMMYFUNCTION("""COMPUTED_VALUE"""),1.0)</f>
        <v>1</v>
      </c>
      <c r="J1480" s="18">
        <f>IFERROR(__xludf.DUMMYFUNCTION("""COMPUTED_VALUE"""),1.0)</f>
        <v>1</v>
      </c>
      <c r="K1480" s="18">
        <f>IFERROR(__xludf.DUMMYFUNCTION("""COMPUTED_VALUE"""),1.0)</f>
        <v>1</v>
      </c>
      <c r="L1480" s="17">
        <f>IFERROR(__xludf.DUMMYFUNCTION("""COMPUTED_VALUE"""),3.013527163E9)</f>
        <v>3013527163</v>
      </c>
      <c r="M1480" s="17" t="str">
        <f>IFERROR(__xludf.DUMMYFUNCTION("""COMPUTED_VALUE"""),"#REF!")</f>
        <v>#REF!</v>
      </c>
      <c r="N1480" s="17"/>
      <c r="O1480" s="19" t="str">
        <f>IFERROR(__xludf.DUMMYFUNCTION("""COMPUTED_VALUE"""),"")</f>
        <v/>
      </c>
      <c r="P1480" s="17" t="b">
        <f>IFERROR(__xludf.DUMMYFUNCTION("""COMPUTED_VALUE"""),TRUE)</f>
        <v>1</v>
      </c>
      <c r="Q1480" s="20">
        <f>IFERROR(__xludf.DUMMYFUNCTION("""COMPUTED_VALUE"""),45042.83207087963)</f>
        <v>45042.83207</v>
      </c>
      <c r="R1480" s="22" t="str">
        <f>IFERROR(__xludf.DUMMYFUNCTION("""COMPUTED_VALUE"""),"")</f>
        <v/>
      </c>
    </row>
    <row r="1481">
      <c r="A1481" s="15">
        <f>IFERROR(__xludf.DUMMYFUNCTION("""COMPUTED_VALUE"""),45042.0)</f>
        <v>45042</v>
      </c>
      <c r="B1481" s="16" t="str">
        <f>IFERROR(__xludf.DUMMYFUNCTION("""COMPUTED_VALUE"""),"Jeison Rubiano")</f>
        <v>Jeison Rubiano</v>
      </c>
      <c r="C1481" s="15" t="str">
        <f>IFERROR(__xludf.DUMMYFUNCTION("""COMPUTED_VALUE"""),"MONTERIA")</f>
        <v>MONTERIA</v>
      </c>
      <c r="D1481" s="15" t="str">
        <f>IFERROR(__xludf.DUMMYFUNCTION("""COMPUTED_VALUE"""),"BOGOTÁ")</f>
        <v>BOGOTÁ</v>
      </c>
      <c r="E1481" s="15" t="str">
        <f>IFERROR(__xludf.DUMMYFUNCTION("""COMPUTED_VALUE"""),"Top Spun")</f>
        <v>Top Spun</v>
      </c>
      <c r="F1481" s="17" t="str">
        <f>IFERROR(__xludf.DUMMYFUNCTION("""COMPUTED_VALUE"""),"Carrera 22 #34-79 / Casa /  barrio san jose monteria cordoba")</f>
        <v>Carrera 22 #34-79 / Casa /  barrio san jose monteria cordoba</v>
      </c>
      <c r="G1481" s="15" t="str">
        <f>IFERROR(__xludf.DUMMYFUNCTION("""COMPUTED_VALUE"""),"Luisa fernánda rey hernande")</f>
        <v>Luisa fernánda rey hernande</v>
      </c>
      <c r="H1481" s="16">
        <f>IFERROR(__xludf.DUMMYFUNCTION("""COMPUTED_VALUE"""),10015.0)</f>
        <v>10015</v>
      </c>
      <c r="I1481" s="18">
        <f>IFERROR(__xludf.DUMMYFUNCTION("""COMPUTED_VALUE"""),20.0)</f>
        <v>20</v>
      </c>
      <c r="J1481" s="18">
        <f>IFERROR(__xludf.DUMMYFUNCTION("""COMPUTED_VALUE"""),10.0)</f>
        <v>10</v>
      </c>
      <c r="K1481" s="18">
        <f>IFERROR(__xludf.DUMMYFUNCTION("""COMPUTED_VALUE"""),40.0)</f>
        <v>40</v>
      </c>
      <c r="L1481" s="17">
        <f>IFERROR(__xludf.DUMMYFUNCTION("""COMPUTED_VALUE"""),3.017249055E9)</f>
        <v>3017249055</v>
      </c>
      <c r="M1481" s="17" t="str">
        <f>IFERROR(__xludf.DUMMYFUNCTION("""COMPUTED_VALUE"""),"#REF!")</f>
        <v>#REF!</v>
      </c>
      <c r="N1481" s="17"/>
      <c r="O1481" s="19" t="str">
        <f>IFERROR(__xludf.DUMMYFUNCTION("""COMPUTED_VALUE"""),"")</f>
        <v/>
      </c>
      <c r="P1481" s="17" t="b">
        <f>IFERROR(__xludf.DUMMYFUNCTION("""COMPUTED_VALUE"""),FALSE)</f>
        <v>0</v>
      </c>
      <c r="Q1481" s="20" t="str">
        <f>IFERROR(__xludf.DUMMYFUNCTION("""COMPUTED_VALUE"""),"")</f>
        <v/>
      </c>
      <c r="R1481" s="22" t="str">
        <f>IFERROR(__xludf.DUMMYFUNCTION("""COMPUTED_VALUE"""),"")</f>
        <v/>
      </c>
    </row>
    <row r="1482">
      <c r="A1482" s="15">
        <f>IFERROR(__xludf.DUMMYFUNCTION("""COMPUTED_VALUE"""),45042.0)</f>
        <v>45042</v>
      </c>
      <c r="B1482" s="16" t="str">
        <f>IFERROR(__xludf.DUMMYFUNCTION("""COMPUTED_VALUE"""),"Jeison Rubiano")</f>
        <v>Jeison Rubiano</v>
      </c>
      <c r="C1482" s="15" t="str">
        <f>IFERROR(__xludf.DUMMYFUNCTION("""COMPUTED_VALUE"""),"MONTERIA")</f>
        <v>MONTERIA</v>
      </c>
      <c r="D1482" s="15" t="str">
        <f>IFERROR(__xludf.DUMMYFUNCTION("""COMPUTED_VALUE"""),"MEDELLÍN")</f>
        <v>MEDELLÍN</v>
      </c>
      <c r="E1482" s="15" t="str">
        <f>IFERROR(__xludf.DUMMYFUNCTION("""COMPUTED_VALUE"""),"Rambla")</f>
        <v>Rambla</v>
      </c>
      <c r="F1482" s="17" t="str">
        <f>IFERROR(__xludf.DUMMYFUNCTION("""COMPUTED_VALUE"""),"calle 44 #10-91 lc 4 cc alamedas / na / na")</f>
        <v>calle 44 #10-91 lc 4 cc alamedas / na / na</v>
      </c>
      <c r="G1482" s="15" t="str">
        <f>IFERROR(__xludf.DUMMYFUNCTION("""COMPUTED_VALUE"""),"Enjoy Fit Food Market")</f>
        <v>Enjoy Fit Food Market</v>
      </c>
      <c r="H1482" s="16">
        <f>IFERROR(__xludf.DUMMYFUNCTION("""COMPUTED_VALUE"""),10118.0)</f>
        <v>10118</v>
      </c>
      <c r="I1482" s="18">
        <f>IFERROR(__xludf.DUMMYFUNCTION("""COMPUTED_VALUE"""),27.0)</f>
        <v>27</v>
      </c>
      <c r="J1482" s="18">
        <f>IFERROR(__xludf.DUMMYFUNCTION("""COMPUTED_VALUE"""),28.0)</f>
        <v>28</v>
      </c>
      <c r="K1482" s="18">
        <f>IFERROR(__xludf.DUMMYFUNCTION("""COMPUTED_VALUE"""),32.0)</f>
        <v>32</v>
      </c>
      <c r="L1482" s="17">
        <f>IFERROR(__xludf.DUMMYFUNCTION("""COMPUTED_VALUE"""),3.107294683E9)</f>
        <v>3107294683</v>
      </c>
      <c r="M1482" s="17" t="str">
        <f>IFERROR(__xludf.DUMMYFUNCTION("""COMPUTED_VALUE"""),"#REF!")</f>
        <v>#REF!</v>
      </c>
      <c r="N1482" s="17"/>
      <c r="O1482" s="19" t="str">
        <f>IFERROR(__xludf.DUMMYFUNCTION("""COMPUTED_VALUE"""),"")</f>
        <v/>
      </c>
      <c r="P1482" s="17" t="b">
        <f>IFERROR(__xludf.DUMMYFUNCTION("""COMPUTED_VALUE"""),FALSE)</f>
        <v>0</v>
      </c>
      <c r="Q1482" s="20" t="str">
        <f>IFERROR(__xludf.DUMMYFUNCTION("""COMPUTED_VALUE"""),"")</f>
        <v/>
      </c>
      <c r="R1482" s="22" t="str">
        <f>IFERROR(__xludf.DUMMYFUNCTION("""COMPUTED_VALUE"""),"")</f>
        <v/>
      </c>
    </row>
    <row r="1483">
      <c r="A1483" s="17" t="str">
        <f>IFERROR(__xludf.DUMMYFUNCTION("""COMPUTED_VALUE"""),"")</f>
        <v/>
      </c>
      <c r="B1483" s="17" t="str">
        <f>IFERROR(__xludf.DUMMYFUNCTION("""COMPUTED_VALUE"""),"")</f>
        <v/>
      </c>
      <c r="C1483" s="17" t="str">
        <f>IFERROR(__xludf.DUMMYFUNCTION("""COMPUTED_VALUE"""),"")</f>
        <v/>
      </c>
      <c r="D1483" s="17" t="str">
        <f>IFERROR(__xludf.DUMMYFUNCTION("""COMPUTED_VALUE"""),"")</f>
        <v/>
      </c>
      <c r="E1483" s="17" t="str">
        <f>IFERROR(__xludf.DUMMYFUNCTION("""COMPUTED_VALUE"""),"")</f>
        <v/>
      </c>
      <c r="F1483" s="17" t="str">
        <f>IFERROR(__xludf.DUMMYFUNCTION("""COMPUTED_VALUE"""),"")</f>
        <v/>
      </c>
      <c r="G1483" s="17" t="str">
        <f>IFERROR(__xludf.DUMMYFUNCTION("""COMPUTED_VALUE"""),"")</f>
        <v/>
      </c>
      <c r="H1483" s="17" t="str">
        <f>IFERROR(__xludf.DUMMYFUNCTION("""COMPUTED_VALUE"""),"")</f>
        <v/>
      </c>
      <c r="I1483" s="17" t="str">
        <f>IFERROR(__xludf.DUMMYFUNCTION("""COMPUTED_VALUE"""),"")</f>
        <v/>
      </c>
      <c r="J1483" s="17" t="str">
        <f>IFERROR(__xludf.DUMMYFUNCTION("""COMPUTED_VALUE"""),"")</f>
        <v/>
      </c>
      <c r="K1483" s="17" t="str">
        <f>IFERROR(__xludf.DUMMYFUNCTION("""COMPUTED_VALUE"""),"")</f>
        <v/>
      </c>
      <c r="L1483" s="17" t="str">
        <f>IFERROR(__xludf.DUMMYFUNCTION("""COMPUTED_VALUE"""),"")</f>
        <v/>
      </c>
      <c r="M1483" s="17" t="str">
        <f>IFERROR(__xludf.DUMMYFUNCTION("""COMPUTED_VALUE"""),"")</f>
        <v/>
      </c>
      <c r="N1483" s="17" t="str">
        <f>IFERROR(__xludf.DUMMYFUNCTION("""COMPUTED_VALUE"""),"")</f>
        <v/>
      </c>
      <c r="O1483" s="17" t="str">
        <f>IFERROR(__xludf.DUMMYFUNCTION("""COMPUTED_VALUE"""),"")</f>
        <v/>
      </c>
      <c r="P1483" s="17" t="str">
        <f>IFERROR(__xludf.DUMMYFUNCTION("""COMPUTED_VALUE"""),"")</f>
        <v/>
      </c>
      <c r="Q1483" s="17" t="str">
        <f>IFERROR(__xludf.DUMMYFUNCTION("""COMPUTED_VALUE"""),"")</f>
        <v/>
      </c>
      <c r="R1483" s="17" t="str">
        <f>IFERROR(__xludf.DUMMYFUNCTION("""COMPUTED_VALUE"""),"")</f>
        <v/>
      </c>
    </row>
    <row r="1484">
      <c r="A1484" s="15">
        <f>IFERROR(__xludf.DUMMYFUNCTION("""COMPUTED_VALUE"""),45042.0)</f>
        <v>45042</v>
      </c>
      <c r="B1484" s="16" t="str">
        <f>IFERROR(__xludf.DUMMYFUNCTION("""COMPUTED_VALUE"""),"Johan Alexander Escobar Arroyo ")</f>
        <v>Johan Alexander Escobar Arroyo </v>
      </c>
      <c r="C1484" s="15" t="str">
        <f>IFERROR(__xludf.DUMMYFUNCTION("""COMPUTED_VALUE"""),"CALI")</f>
        <v>CALI</v>
      </c>
      <c r="D1484" s="15" t="str">
        <f>IFERROR(__xludf.DUMMYFUNCTION("""COMPUTED_VALUE"""),"MEDELLÍN")</f>
        <v>MEDELLÍN</v>
      </c>
      <c r="E1484" s="15" t="str">
        <f>IFERROR(__xludf.DUMMYFUNCTION("""COMPUTED_VALUE"""),"Baby Chef")</f>
        <v>Baby Chef</v>
      </c>
      <c r="F1484" s="17" t="str">
        <f>IFERROR(__xludf.DUMMYFUNCTION("""COMPUTED_VALUE"""),"AV 3G NORTE # 62 N 63 / Apartamento 505 torre 1 Keretaro del viento / CALI")</f>
        <v>AV 3G NORTE # 62 N 63 / Apartamento 505 torre 1 Keretaro del viento / CALI</v>
      </c>
      <c r="G1484" s="15" t="str">
        <f>IFERROR(__xludf.DUMMYFUNCTION("""COMPUTED_VALUE"""),"NATHALY OCAMPO")</f>
        <v>NATHALY OCAMPO</v>
      </c>
      <c r="H1484" s="16">
        <f>IFERROR(__xludf.DUMMYFUNCTION("""COMPUTED_VALUE"""),10130.0)</f>
        <v>10130</v>
      </c>
      <c r="I1484" s="18">
        <f>IFERROR(__xludf.DUMMYFUNCTION("""COMPUTED_VALUE"""),8.0)</f>
        <v>8</v>
      </c>
      <c r="J1484" s="18">
        <f>IFERROR(__xludf.DUMMYFUNCTION("""COMPUTED_VALUE"""),16.0)</f>
        <v>16</v>
      </c>
      <c r="K1484" s="18">
        <f>IFERROR(__xludf.DUMMYFUNCTION("""COMPUTED_VALUE"""),20.0)</f>
        <v>20</v>
      </c>
      <c r="L1484" s="17">
        <f>IFERROR(__xludf.DUMMYFUNCTION("""COMPUTED_VALUE"""),3.11362272E9)</f>
        <v>3113622720</v>
      </c>
      <c r="M1484" s="17" t="str">
        <f>IFERROR(__xludf.DUMMYFUNCTION("""COMPUTED_VALUE"""),"#REF!")</f>
        <v>#REF!</v>
      </c>
      <c r="N1484" s="17"/>
      <c r="O1484" s="19" t="str">
        <f>IFERROR(__xludf.DUMMYFUNCTION("""COMPUTED_VALUE"""),"")</f>
        <v/>
      </c>
      <c r="P1484" s="17" t="b">
        <f>IFERROR(__xludf.DUMMYFUNCTION("""COMPUTED_VALUE"""),FALSE)</f>
        <v>0</v>
      </c>
      <c r="Q1484" s="20" t="str">
        <f>IFERROR(__xludf.DUMMYFUNCTION("""COMPUTED_VALUE"""),"")</f>
        <v/>
      </c>
      <c r="R1484" s="22" t="str">
        <f>IFERROR(__xludf.DUMMYFUNCTION("""COMPUTED_VALUE"""),"")</f>
        <v/>
      </c>
    </row>
    <row r="1485">
      <c r="A1485" s="15">
        <f>IFERROR(__xludf.DUMMYFUNCTION("""COMPUTED_VALUE"""),45042.0)</f>
        <v>45042</v>
      </c>
      <c r="B1485" s="16" t="str">
        <f>IFERROR(__xludf.DUMMYFUNCTION("""COMPUTED_VALUE"""),"Johan Alexander Escobar Arroyo ")</f>
        <v>Johan Alexander Escobar Arroyo </v>
      </c>
      <c r="C1485" s="15" t="str">
        <f>IFERROR(__xludf.DUMMYFUNCTION("""COMPUTED_VALUE"""),"CALI")</f>
        <v>CALI</v>
      </c>
      <c r="D1485" s="15" t="str">
        <f>IFERROR(__xludf.DUMMYFUNCTION("""COMPUTED_VALUE"""),"MEDELLÍN")</f>
        <v>MEDELLÍN</v>
      </c>
      <c r="E1485" s="15" t="str">
        <f>IFERROR(__xludf.DUMMYFUNCTION("""COMPUTED_VALUE"""),"Baby Chef")</f>
        <v>Baby Chef</v>
      </c>
      <c r="F1485" s="17" t="str">
        <f>IFERROR(__xludf.DUMMYFUNCTION("""COMPUTED_VALUE"""),"Calle 1 B oeste # 4 A oeste - 201 / apto 704 B / Sierra de Normandia  / Normandia")</f>
        <v>Calle 1 B oeste # 4 A oeste - 201 / apto 704 B / Sierra de Normandia  / Normandia</v>
      </c>
      <c r="G1485" s="15" t="str">
        <f>IFERROR(__xludf.DUMMYFUNCTION("""COMPUTED_VALUE"""),"Carolina Moreno Vaca")</f>
        <v>Carolina Moreno Vaca</v>
      </c>
      <c r="H1485" s="16">
        <f>IFERROR(__xludf.DUMMYFUNCTION("""COMPUTED_VALUE"""),10138.0)</f>
        <v>10138</v>
      </c>
      <c r="I1485" s="18">
        <f>IFERROR(__xludf.DUMMYFUNCTION("""COMPUTED_VALUE"""),8.0)</f>
        <v>8</v>
      </c>
      <c r="J1485" s="18">
        <f>IFERROR(__xludf.DUMMYFUNCTION("""COMPUTED_VALUE"""),16.0)</f>
        <v>16</v>
      </c>
      <c r="K1485" s="18">
        <f>IFERROR(__xludf.DUMMYFUNCTION("""COMPUTED_VALUE"""),20.0)</f>
        <v>20</v>
      </c>
      <c r="L1485" s="17">
        <f>IFERROR(__xludf.DUMMYFUNCTION("""COMPUTED_VALUE"""),3.213438316E9)</f>
        <v>3213438316</v>
      </c>
      <c r="M1485" s="17" t="str">
        <f>IFERROR(__xludf.DUMMYFUNCTION("""COMPUTED_VALUE"""),"#REF!")</f>
        <v>#REF!</v>
      </c>
      <c r="N1485" s="17"/>
      <c r="O1485" s="19" t="str">
        <f>IFERROR(__xludf.DUMMYFUNCTION("""COMPUTED_VALUE"""),"")</f>
        <v/>
      </c>
      <c r="P1485" s="17" t="b">
        <f>IFERROR(__xludf.DUMMYFUNCTION("""COMPUTED_VALUE"""),FALSE)</f>
        <v>0</v>
      </c>
      <c r="Q1485" s="20" t="str">
        <f>IFERROR(__xludf.DUMMYFUNCTION("""COMPUTED_VALUE"""),"")</f>
        <v/>
      </c>
      <c r="R1485" s="22" t="str">
        <f>IFERROR(__xludf.DUMMYFUNCTION("""COMPUTED_VALUE"""),"")</f>
        <v/>
      </c>
    </row>
    <row r="1486">
      <c r="A1486" s="15">
        <f>IFERROR(__xludf.DUMMYFUNCTION("""COMPUTED_VALUE"""),45042.0)</f>
        <v>45042</v>
      </c>
      <c r="B1486" s="16" t="str">
        <f>IFERROR(__xludf.DUMMYFUNCTION("""COMPUTED_VALUE"""),"Johan Alexander Escobar Arroyo ")</f>
        <v>Johan Alexander Escobar Arroyo </v>
      </c>
      <c r="C1486" s="15" t="str">
        <f>IFERROR(__xludf.DUMMYFUNCTION("""COMPUTED_VALUE"""),"CALI")</f>
        <v>CALI</v>
      </c>
      <c r="D1486" s="15" t="str">
        <f>IFERROR(__xludf.DUMMYFUNCTION("""COMPUTED_VALUE"""),"MEDELLÍN")</f>
        <v>MEDELLÍN</v>
      </c>
      <c r="E1486" s="15" t="str">
        <f>IFERROR(__xludf.DUMMYFUNCTION("""COMPUTED_VALUE"""),"Baby Chef")</f>
        <v>Baby Chef</v>
      </c>
      <c r="F1486" s="17" t="str">
        <f>IFERROR(__xludf.DUMMYFUNCTION("""COMPUTED_VALUE"""),"Calle 3 oeste # 56-75 casa 17  / Calle 3 oeste # 56-75 casa 17  / CEMINARIO")</f>
        <v>Calle 3 oeste # 56-75 casa 17  / Calle 3 oeste # 56-75 casa 17  / CEMINARIO</v>
      </c>
      <c r="G1486" s="15" t="str">
        <f>IFERROR(__xludf.DUMMYFUNCTION("""COMPUTED_VALUE"""),"FRANCIA DAZA")</f>
        <v>FRANCIA DAZA</v>
      </c>
      <c r="H1486" s="16">
        <f>IFERROR(__xludf.DUMMYFUNCTION("""COMPUTED_VALUE"""),10132.0)</f>
        <v>10132</v>
      </c>
      <c r="I1486" s="18">
        <f>IFERROR(__xludf.DUMMYFUNCTION("""COMPUTED_VALUE"""),8.0)</f>
        <v>8</v>
      </c>
      <c r="J1486" s="18">
        <f>IFERROR(__xludf.DUMMYFUNCTION("""COMPUTED_VALUE"""),16.0)</f>
        <v>16</v>
      </c>
      <c r="K1486" s="18">
        <f>IFERROR(__xludf.DUMMYFUNCTION("""COMPUTED_VALUE"""),20.0)</f>
        <v>20</v>
      </c>
      <c r="L1486" s="17">
        <f>IFERROR(__xludf.DUMMYFUNCTION("""COMPUTED_VALUE"""),3.105213765E9)</f>
        <v>3105213765</v>
      </c>
      <c r="M1486" s="17" t="str">
        <f>IFERROR(__xludf.DUMMYFUNCTION("""COMPUTED_VALUE"""),"#REF!")</f>
        <v>#REF!</v>
      </c>
      <c r="N1486" s="17"/>
      <c r="O1486" s="19" t="str">
        <f>IFERROR(__xludf.DUMMYFUNCTION("""COMPUTED_VALUE"""),"")</f>
        <v/>
      </c>
      <c r="P1486" s="17" t="b">
        <f>IFERROR(__xludf.DUMMYFUNCTION("""COMPUTED_VALUE"""),FALSE)</f>
        <v>0</v>
      </c>
      <c r="Q1486" s="20" t="str">
        <f>IFERROR(__xludf.DUMMYFUNCTION("""COMPUTED_VALUE"""),"")</f>
        <v/>
      </c>
      <c r="R1486" s="22" t="str">
        <f>IFERROR(__xludf.DUMMYFUNCTION("""COMPUTED_VALUE"""),"")</f>
        <v/>
      </c>
    </row>
    <row r="1487">
      <c r="A1487" s="15">
        <f>IFERROR(__xludf.DUMMYFUNCTION("""COMPUTED_VALUE"""),45042.0)</f>
        <v>45042</v>
      </c>
      <c r="B1487" s="16" t="str">
        <f>IFERROR(__xludf.DUMMYFUNCTION("""COMPUTED_VALUE"""),"Johan Alexander Escobar Arroyo ")</f>
        <v>Johan Alexander Escobar Arroyo </v>
      </c>
      <c r="C1487" s="15" t="str">
        <f>IFERROR(__xludf.DUMMYFUNCTION("""COMPUTED_VALUE"""),"CALI")</f>
        <v>CALI</v>
      </c>
      <c r="D1487" s="15" t="str">
        <f>IFERROR(__xludf.DUMMYFUNCTION("""COMPUTED_VALUE"""),"MEDELLÍN")</f>
        <v>MEDELLÍN</v>
      </c>
      <c r="E1487" s="15" t="str">
        <f>IFERROR(__xludf.DUMMYFUNCTION("""COMPUTED_VALUE"""),"Baby Chef")</f>
        <v>Baby Chef</v>
      </c>
      <c r="F1487" s="17" t="str">
        <f>IFERROR(__xludf.DUMMYFUNCTION("""COMPUTED_VALUE"""),"Calle 38 a norte 4-105 la flora / Calle 38 a norte 4-105 la flora / CALI")</f>
        <v>Calle 38 a norte 4-105 la flora / Calle 38 a norte 4-105 la flora / CALI</v>
      </c>
      <c r="G1487" s="15" t="str">
        <f>IFERROR(__xludf.DUMMYFUNCTION("""COMPUTED_VALUE"""),"Cindy Sanchez")</f>
        <v>Cindy Sanchez</v>
      </c>
      <c r="H1487" s="16">
        <f>IFERROR(__xludf.DUMMYFUNCTION("""COMPUTED_VALUE"""),10139.0)</f>
        <v>10139</v>
      </c>
      <c r="I1487" s="18">
        <f>IFERROR(__xludf.DUMMYFUNCTION("""COMPUTED_VALUE"""),8.0)</f>
        <v>8</v>
      </c>
      <c r="J1487" s="18">
        <f>IFERROR(__xludf.DUMMYFUNCTION("""COMPUTED_VALUE"""),16.0)</f>
        <v>16</v>
      </c>
      <c r="K1487" s="18">
        <f>IFERROR(__xludf.DUMMYFUNCTION("""COMPUTED_VALUE"""),20.0)</f>
        <v>20</v>
      </c>
      <c r="L1487" s="17">
        <f>IFERROR(__xludf.DUMMYFUNCTION("""COMPUTED_VALUE"""),3.154345603E9)</f>
        <v>3154345603</v>
      </c>
      <c r="M1487" s="17" t="str">
        <f>IFERROR(__xludf.DUMMYFUNCTION("""COMPUTED_VALUE"""),"#REF!")</f>
        <v>#REF!</v>
      </c>
      <c r="N1487" s="17"/>
      <c r="O1487" s="19" t="str">
        <f>IFERROR(__xludf.DUMMYFUNCTION("""COMPUTED_VALUE"""),"")</f>
        <v/>
      </c>
      <c r="P1487" s="17" t="b">
        <f>IFERROR(__xludf.DUMMYFUNCTION("""COMPUTED_VALUE"""),FALSE)</f>
        <v>0</v>
      </c>
      <c r="Q1487" s="20" t="str">
        <f>IFERROR(__xludf.DUMMYFUNCTION("""COMPUTED_VALUE"""),"")</f>
        <v/>
      </c>
      <c r="R1487" s="22" t="str">
        <f>IFERROR(__xludf.DUMMYFUNCTION("""COMPUTED_VALUE"""),"")</f>
        <v/>
      </c>
    </row>
    <row r="1488">
      <c r="A1488" s="15">
        <f>IFERROR(__xludf.DUMMYFUNCTION("""COMPUTED_VALUE"""),45042.0)</f>
        <v>45042</v>
      </c>
      <c r="B1488" s="16" t="str">
        <f>IFERROR(__xludf.DUMMYFUNCTION("""COMPUTED_VALUE"""),"Johan Alexander Escobar Arroyo ")</f>
        <v>Johan Alexander Escobar Arroyo </v>
      </c>
      <c r="C1488" s="15" t="str">
        <f>IFERROR(__xludf.DUMMYFUNCTION("""COMPUTED_VALUE"""),"CALI")</f>
        <v>CALI</v>
      </c>
      <c r="D1488" s="15" t="str">
        <f>IFERROR(__xludf.DUMMYFUNCTION("""COMPUTED_VALUE"""),"MEDELLÍN")</f>
        <v>MEDELLÍN</v>
      </c>
      <c r="E1488" s="15" t="str">
        <f>IFERROR(__xludf.DUMMYFUNCTION("""COMPUTED_VALUE"""),"Baby Chef")</f>
        <v>Baby Chef</v>
      </c>
      <c r="F1488" s="17" t="str">
        <f>IFERROR(__xludf.DUMMYFUNCTION("""COMPUTED_VALUE"""),"Calle 4 # 118 - 50 / Condominio Llanos de Pance Casa 59 / CALI")</f>
        <v>Calle 4 # 118 - 50 / Condominio Llanos de Pance Casa 59 / CALI</v>
      </c>
      <c r="G1488" s="15" t="str">
        <f>IFERROR(__xludf.DUMMYFUNCTION("""COMPUTED_VALUE"""),"Claudia Lascano")</f>
        <v>Claudia Lascano</v>
      </c>
      <c r="H1488" s="16">
        <f>IFERROR(__xludf.DUMMYFUNCTION("""COMPUTED_VALUE"""),10137.0)</f>
        <v>10137</v>
      </c>
      <c r="I1488" s="18">
        <f>IFERROR(__xludf.DUMMYFUNCTION("""COMPUTED_VALUE"""),8.0)</f>
        <v>8</v>
      </c>
      <c r="J1488" s="18">
        <f>IFERROR(__xludf.DUMMYFUNCTION("""COMPUTED_VALUE"""),16.0)</f>
        <v>16</v>
      </c>
      <c r="K1488" s="18">
        <f>IFERROR(__xludf.DUMMYFUNCTION("""COMPUTED_VALUE"""),20.0)</f>
        <v>20</v>
      </c>
      <c r="L1488" s="17">
        <f>IFERROR(__xludf.DUMMYFUNCTION("""COMPUTED_VALUE"""),3.166669796E9)</f>
        <v>3166669796</v>
      </c>
      <c r="M1488" s="17" t="str">
        <f>IFERROR(__xludf.DUMMYFUNCTION("""COMPUTED_VALUE"""),"#REF!")</f>
        <v>#REF!</v>
      </c>
      <c r="N1488" s="17"/>
      <c r="O1488" s="19" t="str">
        <f>IFERROR(__xludf.DUMMYFUNCTION("""COMPUTED_VALUE"""),"")</f>
        <v/>
      </c>
      <c r="P1488" s="17" t="b">
        <f>IFERROR(__xludf.DUMMYFUNCTION("""COMPUTED_VALUE"""),FALSE)</f>
        <v>0</v>
      </c>
      <c r="Q1488" s="20" t="str">
        <f>IFERROR(__xludf.DUMMYFUNCTION("""COMPUTED_VALUE"""),"")</f>
        <v/>
      </c>
      <c r="R1488" s="22" t="str">
        <f>IFERROR(__xludf.DUMMYFUNCTION("""COMPUTED_VALUE"""),"")</f>
        <v/>
      </c>
    </row>
    <row r="1489">
      <c r="A1489" s="15">
        <f>IFERROR(__xludf.DUMMYFUNCTION("""COMPUTED_VALUE"""),45042.0)</f>
        <v>45042</v>
      </c>
      <c r="B1489" s="16" t="str">
        <f>IFERROR(__xludf.DUMMYFUNCTION("""COMPUTED_VALUE"""),"Johan Alexander Escobar Arroyo ")</f>
        <v>Johan Alexander Escobar Arroyo </v>
      </c>
      <c r="C1489" s="15" t="str">
        <f>IFERROR(__xludf.DUMMYFUNCTION("""COMPUTED_VALUE"""),"CALI")</f>
        <v>CALI</v>
      </c>
      <c r="D1489" s="15" t="str">
        <f>IFERROR(__xludf.DUMMYFUNCTION("""COMPUTED_VALUE"""),"MEDELLÍN")</f>
        <v>MEDELLÍN</v>
      </c>
      <c r="E1489" s="15" t="str">
        <f>IFERROR(__xludf.DUMMYFUNCTION("""COMPUTED_VALUE"""),"Baby Chef")</f>
        <v>Baby Chef</v>
      </c>
      <c r="F1489" s="17" t="str">
        <f>IFERROR(__xludf.DUMMYFUNCTION("""COMPUTED_VALUE"""),"Calle 62 A 1 - 210  / Villa del Sol Sector 1 Torre E Apto 216 / CALI")</f>
        <v>Calle 62 A 1 - 210  / Villa del Sol Sector 1 Torre E Apto 216 / CALI</v>
      </c>
      <c r="G1489" s="15" t="str">
        <f>IFERROR(__xludf.DUMMYFUNCTION("""COMPUTED_VALUE"""),"GILIANA HERNANDEZ")</f>
        <v>GILIANA HERNANDEZ</v>
      </c>
      <c r="H1489" s="16">
        <f>IFERROR(__xludf.DUMMYFUNCTION("""COMPUTED_VALUE"""),10133.0)</f>
        <v>10133</v>
      </c>
      <c r="I1489" s="18">
        <f>IFERROR(__xludf.DUMMYFUNCTION("""COMPUTED_VALUE"""),8.0)</f>
        <v>8</v>
      </c>
      <c r="J1489" s="18">
        <f>IFERROR(__xludf.DUMMYFUNCTION("""COMPUTED_VALUE"""),16.0)</f>
        <v>16</v>
      </c>
      <c r="K1489" s="18">
        <f>IFERROR(__xludf.DUMMYFUNCTION("""COMPUTED_VALUE"""),20.0)</f>
        <v>20</v>
      </c>
      <c r="L1489" s="17">
        <f>IFERROR(__xludf.DUMMYFUNCTION("""COMPUTED_VALUE"""),3.233985341E9)</f>
        <v>3233985341</v>
      </c>
      <c r="M1489" s="17" t="str">
        <f>IFERROR(__xludf.DUMMYFUNCTION("""COMPUTED_VALUE"""),"#REF!")</f>
        <v>#REF!</v>
      </c>
      <c r="N1489" s="17"/>
      <c r="O1489" s="19" t="str">
        <f>IFERROR(__xludf.DUMMYFUNCTION("""COMPUTED_VALUE"""),"")</f>
        <v/>
      </c>
      <c r="P1489" s="17" t="b">
        <f>IFERROR(__xludf.DUMMYFUNCTION("""COMPUTED_VALUE"""),FALSE)</f>
        <v>0</v>
      </c>
      <c r="Q1489" s="20" t="str">
        <f>IFERROR(__xludf.DUMMYFUNCTION("""COMPUTED_VALUE"""),"")</f>
        <v/>
      </c>
      <c r="R1489" s="22" t="str">
        <f>IFERROR(__xludf.DUMMYFUNCTION("""COMPUTED_VALUE"""),"")</f>
        <v/>
      </c>
    </row>
    <row r="1490">
      <c r="A1490" s="15">
        <f>IFERROR(__xludf.DUMMYFUNCTION("""COMPUTED_VALUE"""),45042.0)</f>
        <v>45042</v>
      </c>
      <c r="B1490" s="16" t="str">
        <f>IFERROR(__xludf.DUMMYFUNCTION("""COMPUTED_VALUE"""),"Johan Alexander Escobar Arroyo ")</f>
        <v>Johan Alexander Escobar Arroyo </v>
      </c>
      <c r="C1490" s="15" t="str">
        <f>IFERROR(__xludf.DUMMYFUNCTION("""COMPUTED_VALUE"""),"CALI")</f>
        <v>CALI</v>
      </c>
      <c r="D1490" s="15" t="str">
        <f>IFERROR(__xludf.DUMMYFUNCTION("""COMPUTED_VALUE"""),"MEDELLÍN")</f>
        <v>MEDELLÍN</v>
      </c>
      <c r="E1490" s="15" t="str">
        <f>IFERROR(__xludf.DUMMYFUNCTION("""COMPUTED_VALUE"""),"Baby Chef")</f>
        <v>Baby Chef</v>
      </c>
      <c r="F1490" s="17" t="str">
        <f>IFERROR(__xludf.DUMMYFUNCTION("""COMPUTED_VALUE"""),"Carrera 103 # 11-40 / Sendero del Polo club, casa P1 / CALI")</f>
        <v>Carrera 103 # 11-40 / Sendero del Polo club, casa P1 / CALI</v>
      </c>
      <c r="G1490" s="15" t="str">
        <f>IFERROR(__xludf.DUMMYFUNCTION("""COMPUTED_VALUE"""),"Johanna Rojas")</f>
        <v>Johanna Rojas</v>
      </c>
      <c r="H1490" s="16">
        <f>IFERROR(__xludf.DUMMYFUNCTION("""COMPUTED_VALUE"""),10135.0)</f>
        <v>10135</v>
      </c>
      <c r="I1490" s="18">
        <f>IFERROR(__xludf.DUMMYFUNCTION("""COMPUTED_VALUE"""),8.0)</f>
        <v>8</v>
      </c>
      <c r="J1490" s="18">
        <f>IFERROR(__xludf.DUMMYFUNCTION("""COMPUTED_VALUE"""),16.0)</f>
        <v>16</v>
      </c>
      <c r="K1490" s="18">
        <f>IFERROR(__xludf.DUMMYFUNCTION("""COMPUTED_VALUE"""),20.0)</f>
        <v>20</v>
      </c>
      <c r="L1490" s="17">
        <f>IFERROR(__xludf.DUMMYFUNCTION("""COMPUTED_VALUE"""),3.183307191E9)</f>
        <v>3183307191</v>
      </c>
      <c r="M1490" s="17" t="str">
        <f>IFERROR(__xludf.DUMMYFUNCTION("""COMPUTED_VALUE"""),"#REF!")</f>
        <v>#REF!</v>
      </c>
      <c r="N1490" s="17"/>
      <c r="O1490" s="19" t="str">
        <f>IFERROR(__xludf.DUMMYFUNCTION("""COMPUTED_VALUE"""),"")</f>
        <v/>
      </c>
      <c r="P1490" s="17" t="b">
        <f>IFERROR(__xludf.DUMMYFUNCTION("""COMPUTED_VALUE"""),FALSE)</f>
        <v>0</v>
      </c>
      <c r="Q1490" s="20" t="str">
        <f>IFERROR(__xludf.DUMMYFUNCTION("""COMPUTED_VALUE"""),"")</f>
        <v/>
      </c>
      <c r="R1490" s="22" t="str">
        <f>IFERROR(__xludf.DUMMYFUNCTION("""COMPUTED_VALUE"""),"")</f>
        <v/>
      </c>
    </row>
    <row r="1491">
      <c r="A1491" s="15">
        <f>IFERROR(__xludf.DUMMYFUNCTION("""COMPUTED_VALUE"""),45042.0)</f>
        <v>45042</v>
      </c>
      <c r="B1491" s="16" t="str">
        <f>IFERROR(__xludf.DUMMYFUNCTION("""COMPUTED_VALUE"""),"Johan Alexander Escobar Arroyo ")</f>
        <v>Johan Alexander Escobar Arroyo </v>
      </c>
      <c r="C1491" s="15" t="str">
        <f>IFERROR(__xludf.DUMMYFUNCTION("""COMPUTED_VALUE"""),"CALI")</f>
        <v>CALI</v>
      </c>
      <c r="D1491" s="15" t="str">
        <f>IFERROR(__xludf.DUMMYFUNCTION("""COMPUTED_VALUE"""),"MEDELLÍN")</f>
        <v>MEDELLÍN</v>
      </c>
      <c r="E1491" s="15" t="str">
        <f>IFERROR(__xludf.DUMMYFUNCTION("""COMPUTED_VALUE"""),"Baby Chef")</f>
        <v>Baby Chef</v>
      </c>
      <c r="F1491" s="17" t="str">
        <f>IFERROR(__xludf.DUMMYFUNCTION("""COMPUTED_VALUE"""),"Cra 11 # 54 - 75 La Base (Casa Rejas Blancas)  / Cra 11 # 54 - 75 La Base (Casa Rejas Blancas)  / CALI")</f>
        <v>Cra 11 # 54 - 75 La Base (Casa Rejas Blancas)  / Cra 11 # 54 - 75 La Base (Casa Rejas Blancas)  / CALI</v>
      </c>
      <c r="G1491" s="15" t="str">
        <f>IFERROR(__xludf.DUMMYFUNCTION("""COMPUTED_VALUE"""),"CATRIN PARK")</f>
        <v>CATRIN PARK</v>
      </c>
      <c r="H1491" s="16">
        <f>IFERROR(__xludf.DUMMYFUNCTION("""COMPUTED_VALUE"""),10131.0)</f>
        <v>10131</v>
      </c>
      <c r="I1491" s="18">
        <f>IFERROR(__xludf.DUMMYFUNCTION("""COMPUTED_VALUE"""),8.0)</f>
        <v>8</v>
      </c>
      <c r="J1491" s="18">
        <f>IFERROR(__xludf.DUMMYFUNCTION("""COMPUTED_VALUE"""),16.0)</f>
        <v>16</v>
      </c>
      <c r="K1491" s="18">
        <f>IFERROR(__xludf.DUMMYFUNCTION("""COMPUTED_VALUE"""),20.0)</f>
        <v>20</v>
      </c>
      <c r="L1491" s="17">
        <f>IFERROR(__xludf.DUMMYFUNCTION("""COMPUTED_VALUE"""),3.208705916E9)</f>
        <v>3208705916</v>
      </c>
      <c r="M1491" s="17" t="str">
        <f>IFERROR(__xludf.DUMMYFUNCTION("""COMPUTED_VALUE"""),"#REF!")</f>
        <v>#REF!</v>
      </c>
      <c r="N1491" s="17"/>
      <c r="O1491" s="19" t="str">
        <f>IFERROR(__xludf.DUMMYFUNCTION("""COMPUTED_VALUE"""),"")</f>
        <v/>
      </c>
      <c r="P1491" s="17" t="b">
        <f>IFERROR(__xludf.DUMMYFUNCTION("""COMPUTED_VALUE"""),FALSE)</f>
        <v>0</v>
      </c>
      <c r="Q1491" s="20" t="str">
        <f>IFERROR(__xludf.DUMMYFUNCTION("""COMPUTED_VALUE"""),"")</f>
        <v/>
      </c>
      <c r="R1491" s="22" t="str">
        <f>IFERROR(__xludf.DUMMYFUNCTION("""COMPUTED_VALUE"""),"")</f>
        <v/>
      </c>
    </row>
    <row r="1492">
      <c r="A1492" s="15">
        <f>IFERROR(__xludf.DUMMYFUNCTION("""COMPUTED_VALUE"""),45042.0)</f>
        <v>45042</v>
      </c>
      <c r="B1492" s="16" t="str">
        <f>IFERROR(__xludf.DUMMYFUNCTION("""COMPUTED_VALUE"""),"Johan Alexander Escobar Arroyo ")</f>
        <v>Johan Alexander Escobar Arroyo </v>
      </c>
      <c r="C1492" s="15" t="str">
        <f>IFERROR(__xludf.DUMMYFUNCTION("""COMPUTED_VALUE"""),"CALI")</f>
        <v>CALI</v>
      </c>
      <c r="D1492" s="15" t="str">
        <f>IFERROR(__xludf.DUMMYFUNCTION("""COMPUTED_VALUE"""),"MEDELLÍN")</f>
        <v>MEDELLÍN</v>
      </c>
      <c r="E1492" s="15" t="str">
        <f>IFERROR(__xludf.DUMMYFUNCTION("""COMPUTED_VALUE"""),"Baby Chef")</f>
        <v>Baby Chef</v>
      </c>
      <c r="F1492" s="17" t="str">
        <f>IFERROR(__xludf.DUMMYFUNCTION("""COMPUTED_VALUE"""),"Cra 138 # 4 - 133  / Condominio Batik Casa 75 Barrio Ponce / CALI")</f>
        <v>Cra 138 # 4 - 133  / Condominio Batik Casa 75 Barrio Ponce / CALI</v>
      </c>
      <c r="G1492" s="15" t="str">
        <f>IFERROR(__xludf.DUMMYFUNCTION("""COMPUTED_VALUE"""),"Carolina Cerón")</f>
        <v>Carolina Cerón</v>
      </c>
      <c r="H1492" s="16">
        <f>IFERROR(__xludf.DUMMYFUNCTION("""COMPUTED_VALUE"""),10136.0)</f>
        <v>10136</v>
      </c>
      <c r="I1492" s="18">
        <f>IFERROR(__xludf.DUMMYFUNCTION("""COMPUTED_VALUE"""),8.0)</f>
        <v>8</v>
      </c>
      <c r="J1492" s="18">
        <f>IFERROR(__xludf.DUMMYFUNCTION("""COMPUTED_VALUE"""),16.0)</f>
        <v>16</v>
      </c>
      <c r="K1492" s="18">
        <f>IFERROR(__xludf.DUMMYFUNCTION("""COMPUTED_VALUE"""),20.0)</f>
        <v>20</v>
      </c>
      <c r="L1492" s="17">
        <f>IFERROR(__xludf.DUMMYFUNCTION("""COMPUTED_VALUE"""),3.00419566E9)</f>
        <v>3004195660</v>
      </c>
      <c r="M1492" s="17" t="str">
        <f>IFERROR(__xludf.DUMMYFUNCTION("""COMPUTED_VALUE"""),"#REF!")</f>
        <v>#REF!</v>
      </c>
      <c r="N1492" s="17"/>
      <c r="O1492" s="19" t="str">
        <f>IFERROR(__xludf.DUMMYFUNCTION("""COMPUTED_VALUE"""),"")</f>
        <v/>
      </c>
      <c r="P1492" s="17" t="b">
        <f>IFERROR(__xludf.DUMMYFUNCTION("""COMPUTED_VALUE"""),FALSE)</f>
        <v>0</v>
      </c>
      <c r="Q1492" s="20" t="str">
        <f>IFERROR(__xludf.DUMMYFUNCTION("""COMPUTED_VALUE"""),"")</f>
        <v/>
      </c>
      <c r="R1492" s="22" t="str">
        <f>IFERROR(__xludf.DUMMYFUNCTION("""COMPUTED_VALUE"""),"")</f>
        <v/>
      </c>
    </row>
    <row r="1493">
      <c r="A1493" s="15">
        <f>IFERROR(__xludf.DUMMYFUNCTION("""COMPUTED_VALUE"""),45042.0)</f>
        <v>45042</v>
      </c>
      <c r="B1493" s="16" t="str">
        <f>IFERROR(__xludf.DUMMYFUNCTION("""COMPUTED_VALUE"""),"Johan Alexander Escobar Arroyo ")</f>
        <v>Johan Alexander Escobar Arroyo </v>
      </c>
      <c r="C1493" s="15" t="str">
        <f>IFERROR(__xludf.DUMMYFUNCTION("""COMPUTED_VALUE"""),"CALI")</f>
        <v>CALI</v>
      </c>
      <c r="D1493" s="15" t="str">
        <f>IFERROR(__xludf.DUMMYFUNCTION("""COMPUTED_VALUE"""),"MEDELLÍN")</f>
        <v>MEDELLÍN</v>
      </c>
      <c r="E1493" s="15" t="str">
        <f>IFERROR(__xludf.DUMMYFUNCTION("""COMPUTED_VALUE"""),"JD Bufala")</f>
        <v>JD Bufala</v>
      </c>
      <c r="F1493" s="17" t="str">
        <f>IFERROR(__xludf.DUMMYFUNCTION("""COMPUTED_VALUE"""),"Calle 51norte#4bn72 / Delhuertopizzeria  / La flora")</f>
        <v>Calle 51norte#4bn72 / Delhuertopizzeria  / La flora</v>
      </c>
      <c r="G1493" s="15" t="str">
        <f>IFERROR(__xludf.DUMMYFUNCTION("""COMPUTED_VALUE"""),"Javier Rodríguez")</f>
        <v>Javier Rodríguez</v>
      </c>
      <c r="H1493" s="16">
        <f>IFERROR(__xludf.DUMMYFUNCTION("""COMPUTED_VALUE"""),10112.0)</f>
        <v>10112</v>
      </c>
      <c r="I1493" s="18">
        <f>IFERROR(__xludf.DUMMYFUNCTION("""COMPUTED_VALUE"""),45066.0)</f>
        <v>45066</v>
      </c>
      <c r="J1493" s="18">
        <f>IFERROR(__xludf.DUMMYFUNCTION("""COMPUTED_VALUE"""),28.0)</f>
        <v>28</v>
      </c>
      <c r="K1493" s="18">
        <f>IFERROR(__xludf.DUMMYFUNCTION("""COMPUTED_VALUE"""),40.0)</f>
        <v>40</v>
      </c>
      <c r="L1493" s="17">
        <f>IFERROR(__xludf.DUMMYFUNCTION("""COMPUTED_VALUE"""),3.104919761E9)</f>
        <v>3104919761</v>
      </c>
      <c r="M1493" s="17" t="str">
        <f>IFERROR(__xludf.DUMMYFUNCTION("""COMPUTED_VALUE"""),"#REF!")</f>
        <v>#REF!</v>
      </c>
      <c r="N1493" s="17"/>
      <c r="O1493" s="19" t="str">
        <f>IFERROR(__xludf.DUMMYFUNCTION("""COMPUTED_VALUE"""),"")</f>
        <v/>
      </c>
      <c r="P1493" s="17" t="b">
        <f>IFERROR(__xludf.DUMMYFUNCTION("""COMPUTED_VALUE"""),FALSE)</f>
        <v>0</v>
      </c>
      <c r="Q1493" s="20" t="str">
        <f>IFERROR(__xludf.DUMMYFUNCTION("""COMPUTED_VALUE"""),"")</f>
        <v/>
      </c>
      <c r="R1493" s="22" t="str">
        <f>IFERROR(__xludf.DUMMYFUNCTION("""COMPUTED_VALUE"""),"")</f>
        <v/>
      </c>
    </row>
    <row r="1494">
      <c r="A1494" s="15">
        <f>IFERROR(__xludf.DUMMYFUNCTION("""COMPUTED_VALUE"""),45042.0)</f>
        <v>45042</v>
      </c>
      <c r="B1494" s="16" t="str">
        <f>IFERROR(__xludf.DUMMYFUNCTION("""COMPUTED_VALUE"""),"Johan Alexander Escobar Arroyo ")</f>
        <v>Johan Alexander Escobar Arroyo </v>
      </c>
      <c r="C1494" s="15" t="str">
        <f>IFERROR(__xludf.DUMMYFUNCTION("""COMPUTED_VALUE"""),"CÚCUTA")</f>
        <v>CÚCUTA</v>
      </c>
      <c r="D1494" s="15" t="str">
        <f>IFERROR(__xludf.DUMMYFUNCTION("""COMPUTED_VALUE"""),"MEDELLÍN")</f>
        <v>MEDELLÍN</v>
      </c>
      <c r="E1494" s="15" t="str">
        <f>IFERROR(__xludf.DUMMYFUNCTION("""COMPUTED_VALUE"""),"Momo Tea S.A.S Gabriel Echavarría")</f>
        <v>Momo Tea S.A.S Gabriel Echavarría</v>
      </c>
      <c r="F1494" s="17" t="str">
        <f>IFERROR(__xludf.DUMMYFUNCTION("""COMPUTED_VALUE"""),"CL 11 N 16 E 35 / CA B 1")</f>
        <v>CL 11 N 16 E 35 / CA B 1</v>
      </c>
      <c r="G1494" s="15" t="str">
        <f>IFERROR(__xludf.DUMMYFUNCTION("""COMPUTED_VALUE"""),"Gabriel Echavarría")</f>
        <v>Gabriel Echavarría</v>
      </c>
      <c r="H1494" s="16">
        <f>IFERROR(__xludf.DUMMYFUNCTION("""COMPUTED_VALUE"""),10063.0)</f>
        <v>10063</v>
      </c>
      <c r="I1494" s="18">
        <f>IFERROR(__xludf.DUMMYFUNCTION("""COMPUTED_VALUE"""),17.0)</f>
        <v>17</v>
      </c>
      <c r="J1494" s="18">
        <f>IFERROR(__xludf.DUMMYFUNCTION("""COMPUTED_VALUE"""),13.0)</f>
        <v>13</v>
      </c>
      <c r="K1494" s="18">
        <f>IFERROR(__xludf.DUMMYFUNCTION("""COMPUTED_VALUE"""),20.0)</f>
        <v>20</v>
      </c>
      <c r="L1494" s="17">
        <f>IFERROR(__xludf.DUMMYFUNCTION("""COMPUTED_VALUE"""),3.017909548E9)</f>
        <v>3017909548</v>
      </c>
      <c r="M1494" s="17" t="str">
        <f>IFERROR(__xludf.DUMMYFUNCTION("""COMPUTED_VALUE"""),"#REF!")</f>
        <v>#REF!</v>
      </c>
      <c r="N1494" s="17"/>
      <c r="O1494" s="19" t="str">
        <f>IFERROR(__xludf.DUMMYFUNCTION("""COMPUTED_VALUE"""),"")</f>
        <v/>
      </c>
      <c r="P1494" s="17" t="b">
        <f>IFERROR(__xludf.DUMMYFUNCTION("""COMPUTED_VALUE"""),FALSE)</f>
        <v>0</v>
      </c>
      <c r="Q1494" s="20" t="str">
        <f>IFERROR(__xludf.DUMMYFUNCTION("""COMPUTED_VALUE"""),"")</f>
        <v/>
      </c>
      <c r="R1494" s="22" t="str">
        <f>IFERROR(__xludf.DUMMYFUNCTION("""COMPUTED_VALUE"""),"")</f>
        <v/>
      </c>
    </row>
    <row r="1495">
      <c r="A1495" s="15">
        <f>IFERROR(__xludf.DUMMYFUNCTION("""COMPUTED_VALUE"""),45042.0)</f>
        <v>45042</v>
      </c>
      <c r="B1495" s="16" t="str">
        <f>IFERROR(__xludf.DUMMYFUNCTION("""COMPUTED_VALUE"""),"Johan Alexander Escobar Arroyo ")</f>
        <v>Johan Alexander Escobar Arroyo </v>
      </c>
      <c r="C1495" s="15" t="str">
        <f>IFERROR(__xludf.DUMMYFUNCTION("""COMPUTED_VALUE"""),"CÚCUTA")</f>
        <v>CÚCUTA</v>
      </c>
      <c r="D1495" s="15" t="str">
        <f>IFERROR(__xludf.DUMMYFUNCTION("""COMPUTED_VALUE"""),"MEDELLÍN")</f>
        <v>MEDELLÍN</v>
      </c>
      <c r="E1495" s="15" t="str">
        <f>IFERROR(__xludf.DUMMYFUNCTION("""COMPUTED_VALUE"""),"Momo Tea S.A.S Gabriel Echavarría")</f>
        <v>Momo Tea S.A.S Gabriel Echavarría</v>
      </c>
      <c r="F1495" s="17" t="str">
        <f>IFERROR(__xludf.DUMMYFUNCTION("""COMPUTED_VALUE"""),"CL 11 N 16 E 35 / CA B 1")</f>
        <v>CL 11 N 16 E 35 / CA B 1</v>
      </c>
      <c r="G1495" s="15" t="str">
        <f>IFERROR(__xludf.DUMMYFUNCTION("""COMPUTED_VALUE"""),"Gabriel Echavarría")</f>
        <v>Gabriel Echavarría</v>
      </c>
      <c r="H1495" s="16">
        <f>IFERROR(__xludf.DUMMYFUNCTION("""COMPUTED_VALUE"""),10064.0)</f>
        <v>10064</v>
      </c>
      <c r="I1495" s="18">
        <f>IFERROR(__xludf.DUMMYFUNCTION("""COMPUTED_VALUE"""),63.0)</f>
        <v>63</v>
      </c>
      <c r="J1495" s="18">
        <f>IFERROR(__xludf.DUMMYFUNCTION("""COMPUTED_VALUE"""),10.0)</f>
        <v>10</v>
      </c>
      <c r="K1495" s="18">
        <f>IFERROR(__xludf.DUMMYFUNCTION("""COMPUTED_VALUE"""),9.0)</f>
        <v>9</v>
      </c>
      <c r="L1495" s="17">
        <f>IFERROR(__xludf.DUMMYFUNCTION("""COMPUTED_VALUE"""),3.017909548E9)</f>
        <v>3017909548</v>
      </c>
      <c r="M1495" s="17" t="str">
        <f>IFERROR(__xludf.DUMMYFUNCTION("""COMPUTED_VALUE"""),"#REF!")</f>
        <v>#REF!</v>
      </c>
      <c r="N1495" s="17"/>
      <c r="O1495" s="19" t="str">
        <f>IFERROR(__xludf.DUMMYFUNCTION("""COMPUTED_VALUE"""),"")</f>
        <v/>
      </c>
      <c r="P1495" s="17" t="b">
        <f>IFERROR(__xludf.DUMMYFUNCTION("""COMPUTED_VALUE"""),FALSE)</f>
        <v>0</v>
      </c>
      <c r="Q1495" s="20" t="str">
        <f>IFERROR(__xludf.DUMMYFUNCTION("""COMPUTED_VALUE"""),"")</f>
        <v/>
      </c>
      <c r="R1495" s="22" t="str">
        <f>IFERROR(__xludf.DUMMYFUNCTION("""COMPUTED_VALUE"""),"")</f>
        <v/>
      </c>
    </row>
    <row r="1496">
      <c r="A1496" s="17" t="str">
        <f>IFERROR(__xludf.DUMMYFUNCTION("""COMPUTED_VALUE"""),"")</f>
        <v/>
      </c>
      <c r="B1496" s="17" t="str">
        <f>IFERROR(__xludf.DUMMYFUNCTION("""COMPUTED_VALUE"""),"")</f>
        <v/>
      </c>
      <c r="C1496" s="17" t="str">
        <f>IFERROR(__xludf.DUMMYFUNCTION("""COMPUTED_VALUE"""),"")</f>
        <v/>
      </c>
      <c r="D1496" s="17" t="str">
        <f>IFERROR(__xludf.DUMMYFUNCTION("""COMPUTED_VALUE"""),"")</f>
        <v/>
      </c>
      <c r="E1496" s="17" t="str">
        <f>IFERROR(__xludf.DUMMYFUNCTION("""COMPUTED_VALUE"""),"")</f>
        <v/>
      </c>
      <c r="F1496" s="17" t="str">
        <f>IFERROR(__xludf.DUMMYFUNCTION("""COMPUTED_VALUE"""),"")</f>
        <v/>
      </c>
      <c r="G1496" s="17" t="str">
        <f>IFERROR(__xludf.DUMMYFUNCTION("""COMPUTED_VALUE"""),"")</f>
        <v/>
      </c>
      <c r="H1496" s="17" t="str">
        <f>IFERROR(__xludf.DUMMYFUNCTION("""COMPUTED_VALUE"""),"")</f>
        <v/>
      </c>
      <c r="I1496" s="17" t="str">
        <f>IFERROR(__xludf.DUMMYFUNCTION("""COMPUTED_VALUE"""),"")</f>
        <v/>
      </c>
      <c r="J1496" s="17" t="str">
        <f>IFERROR(__xludf.DUMMYFUNCTION("""COMPUTED_VALUE"""),"")</f>
        <v/>
      </c>
      <c r="K1496" s="17" t="str">
        <f>IFERROR(__xludf.DUMMYFUNCTION("""COMPUTED_VALUE"""),"")</f>
        <v/>
      </c>
      <c r="L1496" s="17" t="str">
        <f>IFERROR(__xludf.DUMMYFUNCTION("""COMPUTED_VALUE"""),"")</f>
        <v/>
      </c>
      <c r="M1496" s="17" t="str">
        <f>IFERROR(__xludf.DUMMYFUNCTION("""COMPUTED_VALUE"""),"")</f>
        <v/>
      </c>
      <c r="N1496" s="17" t="str">
        <f>IFERROR(__xludf.DUMMYFUNCTION("""COMPUTED_VALUE"""),"")</f>
        <v/>
      </c>
      <c r="O1496" s="17" t="str">
        <f>IFERROR(__xludf.DUMMYFUNCTION("""COMPUTED_VALUE"""),"")</f>
        <v/>
      </c>
      <c r="P1496" s="17" t="str">
        <f>IFERROR(__xludf.DUMMYFUNCTION("""COMPUTED_VALUE"""),"")</f>
        <v/>
      </c>
      <c r="Q1496" s="17" t="str">
        <f>IFERROR(__xludf.DUMMYFUNCTION("""COMPUTED_VALUE"""),"")</f>
        <v/>
      </c>
      <c r="R1496" s="17" t="str">
        <f>IFERROR(__xludf.DUMMYFUNCTION("""COMPUTED_VALUE"""),"")</f>
        <v/>
      </c>
    </row>
    <row r="1497">
      <c r="A1497" s="15">
        <f>IFERROR(__xludf.DUMMYFUNCTION("""COMPUTED_VALUE"""),45042.0)</f>
        <v>45042</v>
      </c>
      <c r="B1497" s="16" t="str">
        <f>IFERROR(__xludf.DUMMYFUNCTION("""COMPUTED_VALUE"""),"Luis Miguel Ramirez Morales")</f>
        <v>Luis Miguel Ramirez Morales</v>
      </c>
      <c r="C1497" s="15" t="str">
        <f>IFERROR(__xludf.DUMMYFUNCTION("""COMPUTED_VALUE"""),"BOGOTÁ")</f>
        <v>BOGOTÁ</v>
      </c>
      <c r="D1497" s="15" t="str">
        <f>IFERROR(__xludf.DUMMYFUNCTION("""COMPUTED_VALUE"""),"MEDELLÍN")</f>
        <v>MEDELLÍN</v>
      </c>
      <c r="E1497" s="15" t="str">
        <f>IFERROR(__xludf.DUMMYFUNCTION("""COMPUTED_VALUE"""),"AREPAS LA MARY")</f>
        <v>AREPAS LA MARY</v>
      </c>
      <c r="F1497" s="17" t="str">
        <f>IFERROR(__xludf.DUMMYFUNCTION("""COMPUTED_VALUE"""),"CALLE 67F 107 05 / CASA")</f>
        <v>CALLE 67F 107 05 / CASA</v>
      </c>
      <c r="G1497" s="15" t="str">
        <f>IFERROR(__xludf.DUMMYFUNCTION("""COMPUTED_VALUE"""),"MARIA CAMILA MORERA")</f>
        <v>MARIA CAMILA MORERA</v>
      </c>
      <c r="H1497" s="16">
        <f>IFERROR(__xludf.DUMMYFUNCTION("""COMPUTED_VALUE"""),10107.0)</f>
        <v>10107</v>
      </c>
      <c r="I1497" s="18">
        <f>IFERROR(__xludf.DUMMYFUNCTION("""COMPUTED_VALUE"""),89.0)</f>
        <v>89</v>
      </c>
      <c r="J1497" s="18">
        <f>IFERROR(__xludf.DUMMYFUNCTION("""COMPUTED_VALUE"""),1.0)</f>
        <v>1</v>
      </c>
      <c r="K1497" s="18">
        <f>IFERROR(__xludf.DUMMYFUNCTION("""COMPUTED_VALUE"""),10.0)</f>
        <v>10</v>
      </c>
      <c r="L1497" s="17" t="str">
        <f>IFERROR(__xludf.DUMMYFUNCTION("""COMPUTED_VALUE"""),"310 5616777")</f>
        <v>310 5616777</v>
      </c>
      <c r="M1497" s="17" t="str">
        <f>IFERROR(__xludf.DUMMYFUNCTION("""COMPUTED_VALUE"""),"#REF!")</f>
        <v>#REF!</v>
      </c>
      <c r="N1497" s="17"/>
      <c r="O1497" s="19" t="str">
        <f>IFERROR(__xludf.DUMMYFUNCTION("""COMPUTED_VALUE"""),"")</f>
        <v/>
      </c>
      <c r="P1497" s="17" t="b">
        <f>IFERROR(__xludf.DUMMYFUNCTION("""COMPUTED_VALUE"""),FALSE)</f>
        <v>0</v>
      </c>
      <c r="Q1497" s="20" t="str">
        <f>IFERROR(__xludf.DUMMYFUNCTION("""COMPUTED_VALUE"""),"")</f>
        <v/>
      </c>
      <c r="R1497" s="22" t="str">
        <f>IFERROR(__xludf.DUMMYFUNCTION("""COMPUTED_VALUE"""),"")</f>
        <v/>
      </c>
    </row>
    <row r="1498">
      <c r="A1498" s="15">
        <f>IFERROR(__xludf.DUMMYFUNCTION("""COMPUTED_VALUE"""),45042.0)</f>
        <v>45042</v>
      </c>
      <c r="B1498" s="16" t="str">
        <f>IFERROR(__xludf.DUMMYFUNCTION("""COMPUTED_VALUE"""),"Luis Miguel Ramirez Morales")</f>
        <v>Luis Miguel Ramirez Morales</v>
      </c>
      <c r="C1498" s="15" t="str">
        <f>IFERROR(__xludf.DUMMYFUNCTION("""COMPUTED_VALUE"""),"BOGOTÁ")</f>
        <v>BOGOTÁ</v>
      </c>
      <c r="D1498" s="15" t="str">
        <f>IFERROR(__xludf.DUMMYFUNCTION("""COMPUTED_VALUE"""),"MEDELLÍN")</f>
        <v>MEDELLÍN</v>
      </c>
      <c r="E1498" s="15" t="str">
        <f>IFERROR(__xludf.DUMMYFUNCTION("""COMPUTED_VALUE"""),"AREPAS LA MARY")</f>
        <v>AREPAS LA MARY</v>
      </c>
      <c r="F1498" s="17" t="str">
        <f>IFERROR(__xludf.DUMMYFUNCTION("""COMPUTED_VALUE"""),"cra 20 #101-74 / apto 502")</f>
        <v>cra 20 #101-74 / apto 502</v>
      </c>
      <c r="G1498" s="15" t="str">
        <f>IFERROR(__xludf.DUMMYFUNCTION("""COMPUTED_VALUE"""),"PATRICIA VELEZ")</f>
        <v>PATRICIA VELEZ</v>
      </c>
      <c r="H1498" s="16">
        <f>IFERROR(__xludf.DUMMYFUNCTION("""COMPUTED_VALUE"""),10002.0)</f>
        <v>10002</v>
      </c>
      <c r="I1498" s="18">
        <f>IFERROR(__xludf.DUMMYFUNCTION("""COMPUTED_VALUE"""),89.0)</f>
        <v>89</v>
      </c>
      <c r="J1498" s="18">
        <f>IFERROR(__xludf.DUMMYFUNCTION("""COMPUTED_VALUE"""),1.0)</f>
        <v>1</v>
      </c>
      <c r="K1498" s="18">
        <f>IFERROR(__xludf.DUMMYFUNCTION("""COMPUTED_VALUE"""),10.0)</f>
        <v>10</v>
      </c>
      <c r="L1498" s="17">
        <f>IFERROR(__xludf.DUMMYFUNCTION("""COMPUTED_VALUE"""),3.124513144E9)</f>
        <v>3124513144</v>
      </c>
      <c r="M1498" s="17" t="str">
        <f>IFERROR(__xludf.DUMMYFUNCTION("""COMPUTED_VALUE"""),"#REF!")</f>
        <v>#REF!</v>
      </c>
      <c r="N1498" s="17"/>
      <c r="O1498" s="19" t="str">
        <f>IFERROR(__xludf.DUMMYFUNCTION("""COMPUTED_VALUE"""),"")</f>
        <v/>
      </c>
      <c r="P1498" s="17" t="b">
        <f>IFERROR(__xludf.DUMMYFUNCTION("""COMPUTED_VALUE"""),FALSE)</f>
        <v>0</v>
      </c>
      <c r="Q1498" s="20" t="str">
        <f>IFERROR(__xludf.DUMMYFUNCTION("""COMPUTED_VALUE"""),"")</f>
        <v/>
      </c>
      <c r="R1498" s="22" t="str">
        <f>IFERROR(__xludf.DUMMYFUNCTION("""COMPUTED_VALUE"""),"")</f>
        <v/>
      </c>
    </row>
    <row r="1499">
      <c r="A1499" s="15">
        <f>IFERROR(__xludf.DUMMYFUNCTION("""COMPUTED_VALUE"""),45042.0)</f>
        <v>45042</v>
      </c>
      <c r="B1499" s="16" t="str">
        <f>IFERROR(__xludf.DUMMYFUNCTION("""COMPUTED_VALUE"""),"Luis Miguel Ramirez Morales")</f>
        <v>Luis Miguel Ramirez Morales</v>
      </c>
      <c r="C1499" s="15" t="str">
        <f>IFERROR(__xludf.DUMMYFUNCTION("""COMPUTED_VALUE"""),"BOGOTÁ")</f>
        <v>BOGOTÁ</v>
      </c>
      <c r="D1499" s="15" t="str">
        <f>IFERROR(__xludf.DUMMYFUNCTION("""COMPUTED_VALUE"""),"MEDELLÍN")</f>
        <v>MEDELLÍN</v>
      </c>
      <c r="E1499" s="15" t="str">
        <f>IFERROR(__xludf.DUMMYFUNCTION("""COMPUTED_VALUE"""),"AREPAS LA MARY")</f>
        <v>AREPAS LA MARY</v>
      </c>
      <c r="F1499" s="17" t="str">
        <f>IFERROR(__xludf.DUMMYFUNCTION("""COMPUTED_VALUE"""),"CRA 7B N.124 39 APTO 606 / MOSAICO 124")</f>
        <v>CRA 7B N.124 39 APTO 606 / MOSAICO 124</v>
      </c>
      <c r="G1499" s="15" t="str">
        <f>IFERROR(__xludf.DUMMYFUNCTION("""COMPUTED_VALUE"""),"DIANA CALDERON")</f>
        <v>DIANA CALDERON</v>
      </c>
      <c r="H1499" s="16">
        <f>IFERROR(__xludf.DUMMYFUNCTION("""COMPUTED_VALUE"""),10108.0)</f>
        <v>10108</v>
      </c>
      <c r="I1499" s="18">
        <f>IFERROR(__xludf.DUMMYFUNCTION("""COMPUTED_VALUE"""),89.0)</f>
        <v>89</v>
      </c>
      <c r="J1499" s="18">
        <f>IFERROR(__xludf.DUMMYFUNCTION("""COMPUTED_VALUE"""),1.0)</f>
        <v>1</v>
      </c>
      <c r="K1499" s="18">
        <f>IFERROR(__xludf.DUMMYFUNCTION("""COMPUTED_VALUE"""),10.0)</f>
        <v>10</v>
      </c>
      <c r="L1499" s="17">
        <f>IFERROR(__xludf.DUMMYFUNCTION("""COMPUTED_VALUE"""),3.107625615E9)</f>
        <v>3107625615</v>
      </c>
      <c r="M1499" s="17" t="str">
        <f>IFERROR(__xludf.DUMMYFUNCTION("""COMPUTED_VALUE"""),"#REF!")</f>
        <v>#REF!</v>
      </c>
      <c r="N1499" s="17"/>
      <c r="O1499" s="19" t="str">
        <f>IFERROR(__xludf.DUMMYFUNCTION("""COMPUTED_VALUE"""),"")</f>
        <v/>
      </c>
      <c r="P1499" s="17" t="b">
        <f>IFERROR(__xludf.DUMMYFUNCTION("""COMPUTED_VALUE"""),FALSE)</f>
        <v>0</v>
      </c>
      <c r="Q1499" s="20" t="str">
        <f>IFERROR(__xludf.DUMMYFUNCTION("""COMPUTED_VALUE"""),"")</f>
        <v/>
      </c>
      <c r="R1499" s="22" t="str">
        <f>IFERROR(__xludf.DUMMYFUNCTION("""COMPUTED_VALUE"""),"")</f>
        <v/>
      </c>
    </row>
    <row r="1500">
      <c r="A1500" s="15">
        <f>IFERROR(__xludf.DUMMYFUNCTION("""COMPUTED_VALUE"""),45042.0)</f>
        <v>45042</v>
      </c>
      <c r="B1500" s="16" t="str">
        <f>IFERROR(__xludf.DUMMYFUNCTION("""COMPUTED_VALUE"""),"Luis Miguel Ramirez Morales")</f>
        <v>Luis Miguel Ramirez Morales</v>
      </c>
      <c r="C1500" s="15" t="str">
        <f>IFERROR(__xludf.DUMMYFUNCTION("""COMPUTED_VALUE"""),"BOGOTÁ")</f>
        <v>BOGOTÁ</v>
      </c>
      <c r="D1500" s="15" t="str">
        <f>IFERROR(__xludf.DUMMYFUNCTION("""COMPUTED_VALUE"""),"MEDELLÍN")</f>
        <v>MEDELLÍN</v>
      </c>
      <c r="E1500" s="15" t="str">
        <f>IFERROR(__xludf.DUMMYFUNCTION("""COMPUTED_VALUE"""),"Baby Chef")</f>
        <v>Baby Chef</v>
      </c>
      <c r="F1500" s="17" t="str">
        <f>IFERROR(__xludf.DUMMYFUNCTION("""COMPUTED_VALUE"""),"Calle 127b bis # 20-66  / Apto 306 edificio pórtico 3  /  la calleja")</f>
        <v>Calle 127b bis # 20-66  / Apto 306 edificio pórtico 3  /  la calleja</v>
      </c>
      <c r="G1500" s="15" t="str">
        <f>IFERROR(__xludf.DUMMYFUNCTION("""COMPUTED_VALUE"""),"Viviana Fandiño")</f>
        <v>Viviana Fandiño</v>
      </c>
      <c r="H1500" s="16">
        <f>IFERROR(__xludf.DUMMYFUNCTION("""COMPUTED_VALUE"""),10127.0)</f>
        <v>10127</v>
      </c>
      <c r="I1500" s="18">
        <f>IFERROR(__xludf.DUMMYFUNCTION("""COMPUTED_VALUE"""),8.0)</f>
        <v>8</v>
      </c>
      <c r="J1500" s="18">
        <f>IFERROR(__xludf.DUMMYFUNCTION("""COMPUTED_VALUE"""),16.0)</f>
        <v>16</v>
      </c>
      <c r="K1500" s="18">
        <f>IFERROR(__xludf.DUMMYFUNCTION("""COMPUTED_VALUE"""),20.0)</f>
        <v>20</v>
      </c>
      <c r="L1500" s="17">
        <f>IFERROR(__xludf.DUMMYFUNCTION("""COMPUTED_VALUE"""),3.202185275E9)</f>
        <v>3202185275</v>
      </c>
      <c r="M1500" s="17" t="str">
        <f>IFERROR(__xludf.DUMMYFUNCTION("""COMPUTED_VALUE"""),"#REF!")</f>
        <v>#REF!</v>
      </c>
      <c r="N1500" s="17"/>
      <c r="O1500" s="19" t="str">
        <f>IFERROR(__xludf.DUMMYFUNCTION("""COMPUTED_VALUE"""),"")</f>
        <v/>
      </c>
      <c r="P1500" s="17" t="b">
        <f>IFERROR(__xludf.DUMMYFUNCTION("""COMPUTED_VALUE"""),FALSE)</f>
        <v>0</v>
      </c>
      <c r="Q1500" s="20" t="str">
        <f>IFERROR(__xludf.DUMMYFUNCTION("""COMPUTED_VALUE"""),"")</f>
        <v/>
      </c>
      <c r="R1500" s="22" t="str">
        <f>IFERROR(__xludf.DUMMYFUNCTION("""COMPUTED_VALUE"""),"")</f>
        <v/>
      </c>
    </row>
    <row r="1501">
      <c r="A1501" s="15">
        <f>IFERROR(__xludf.DUMMYFUNCTION("""COMPUTED_VALUE"""),45042.0)</f>
        <v>45042</v>
      </c>
      <c r="B1501" s="16" t="str">
        <f>IFERROR(__xludf.DUMMYFUNCTION("""COMPUTED_VALUE"""),"Luis Miguel Ramirez Morales")</f>
        <v>Luis Miguel Ramirez Morales</v>
      </c>
      <c r="C1501" s="15" t="str">
        <f>IFERROR(__xludf.DUMMYFUNCTION("""COMPUTED_VALUE"""),"BOGOTÁ")</f>
        <v>BOGOTÁ</v>
      </c>
      <c r="D1501" s="15" t="str">
        <f>IFERROR(__xludf.DUMMYFUNCTION("""COMPUTED_VALUE"""),"MEDELLÍN")</f>
        <v>MEDELLÍN</v>
      </c>
      <c r="E1501" s="15" t="str">
        <f>IFERROR(__xludf.DUMMYFUNCTION("""COMPUTED_VALUE"""),"Baby Chef")</f>
        <v>Baby Chef</v>
      </c>
      <c r="F1501" s="17" t="str">
        <f>IFERROR(__xludf.DUMMYFUNCTION("""COMPUTED_VALUE"""),"CALLE 167 D # 8 - 58 / TORRE 3 APTO 212 / BOGOTA")</f>
        <v>CALLE 167 D # 8 - 58 / TORRE 3 APTO 212 / BOGOTA</v>
      </c>
      <c r="G1501" s="15" t="str">
        <f>IFERROR(__xludf.DUMMYFUNCTION("""COMPUTED_VALUE"""),"PAMELA GARZÓN MARTÍNEZ")</f>
        <v>PAMELA GARZÓN MARTÍNEZ</v>
      </c>
      <c r="H1501" s="16">
        <f>IFERROR(__xludf.DUMMYFUNCTION("""COMPUTED_VALUE"""),10120.0)</f>
        <v>10120</v>
      </c>
      <c r="I1501" s="18">
        <f>IFERROR(__xludf.DUMMYFUNCTION("""COMPUTED_VALUE"""),8.0)</f>
        <v>8</v>
      </c>
      <c r="J1501" s="18">
        <f>IFERROR(__xludf.DUMMYFUNCTION("""COMPUTED_VALUE"""),16.0)</f>
        <v>16</v>
      </c>
      <c r="K1501" s="18">
        <f>IFERROR(__xludf.DUMMYFUNCTION("""COMPUTED_VALUE"""),20.0)</f>
        <v>20</v>
      </c>
      <c r="L1501" s="17">
        <f>IFERROR(__xludf.DUMMYFUNCTION("""COMPUTED_VALUE"""),3.164800026E9)</f>
        <v>3164800026</v>
      </c>
      <c r="M1501" s="17" t="str">
        <f>IFERROR(__xludf.DUMMYFUNCTION("""COMPUTED_VALUE"""),"#REF!")</f>
        <v>#REF!</v>
      </c>
      <c r="N1501" s="17"/>
      <c r="O1501" s="19" t="str">
        <f>IFERROR(__xludf.DUMMYFUNCTION("""COMPUTED_VALUE"""),"")</f>
        <v/>
      </c>
      <c r="P1501" s="17" t="b">
        <f>IFERROR(__xludf.DUMMYFUNCTION("""COMPUTED_VALUE"""),FALSE)</f>
        <v>0</v>
      </c>
      <c r="Q1501" s="20" t="str">
        <f>IFERROR(__xludf.DUMMYFUNCTION("""COMPUTED_VALUE"""),"")</f>
        <v/>
      </c>
      <c r="R1501" s="22" t="str">
        <f>IFERROR(__xludf.DUMMYFUNCTION("""COMPUTED_VALUE"""),"")</f>
        <v/>
      </c>
    </row>
    <row r="1502">
      <c r="A1502" s="15">
        <f>IFERROR(__xludf.DUMMYFUNCTION("""COMPUTED_VALUE"""),45042.0)</f>
        <v>45042</v>
      </c>
      <c r="B1502" s="16" t="str">
        <f>IFERROR(__xludf.DUMMYFUNCTION("""COMPUTED_VALUE"""),"Luis Miguel Ramirez Morales")</f>
        <v>Luis Miguel Ramirez Morales</v>
      </c>
      <c r="C1502" s="15" t="str">
        <f>IFERROR(__xludf.DUMMYFUNCTION("""COMPUTED_VALUE"""),"BOGOTÁ")</f>
        <v>BOGOTÁ</v>
      </c>
      <c r="D1502" s="15" t="str">
        <f>IFERROR(__xludf.DUMMYFUNCTION("""COMPUTED_VALUE"""),"MEDELLÍN")</f>
        <v>MEDELLÍN</v>
      </c>
      <c r="E1502" s="15" t="str">
        <f>IFERROR(__xludf.DUMMYFUNCTION("""COMPUTED_VALUE"""),"Baby Chef")</f>
        <v>Baby Chef</v>
      </c>
      <c r="F1502" s="17" t="str">
        <f>IFERROR(__xludf.DUMMYFUNCTION("""COMPUTED_VALUE"""),"Calle 39 B SUR 87 D 63 / Casa segundo piso / BOGOTÁ")</f>
        <v>Calle 39 B SUR 87 D 63 / Casa segundo piso / BOGOTÁ</v>
      </c>
      <c r="G1502" s="15" t="str">
        <f>IFERROR(__xludf.DUMMYFUNCTION("""COMPUTED_VALUE"""),"Diana Milena Vargas")</f>
        <v>Diana Milena Vargas</v>
      </c>
      <c r="H1502" s="16">
        <f>IFERROR(__xludf.DUMMYFUNCTION("""COMPUTED_VALUE"""),10129.0)</f>
        <v>10129</v>
      </c>
      <c r="I1502" s="18">
        <f>IFERROR(__xludf.DUMMYFUNCTION("""COMPUTED_VALUE"""),8.0)</f>
        <v>8</v>
      </c>
      <c r="J1502" s="18">
        <f>IFERROR(__xludf.DUMMYFUNCTION("""COMPUTED_VALUE"""),16.0)</f>
        <v>16</v>
      </c>
      <c r="K1502" s="18">
        <f>IFERROR(__xludf.DUMMYFUNCTION("""COMPUTED_VALUE"""),20.0)</f>
        <v>20</v>
      </c>
      <c r="L1502" s="17">
        <f>IFERROR(__xludf.DUMMYFUNCTION("""COMPUTED_VALUE"""),3.114633406E9)</f>
        <v>3114633406</v>
      </c>
      <c r="M1502" s="17" t="str">
        <f>IFERROR(__xludf.DUMMYFUNCTION("""COMPUTED_VALUE"""),"#REF!")</f>
        <v>#REF!</v>
      </c>
      <c r="N1502" s="17"/>
      <c r="O1502" s="19" t="str">
        <f>IFERROR(__xludf.DUMMYFUNCTION("""COMPUTED_VALUE"""),"")</f>
        <v/>
      </c>
      <c r="P1502" s="17" t="b">
        <f>IFERROR(__xludf.DUMMYFUNCTION("""COMPUTED_VALUE"""),FALSE)</f>
        <v>0</v>
      </c>
      <c r="Q1502" s="20" t="str">
        <f>IFERROR(__xludf.DUMMYFUNCTION("""COMPUTED_VALUE"""),"")</f>
        <v/>
      </c>
      <c r="R1502" s="22" t="str">
        <f>IFERROR(__xludf.DUMMYFUNCTION("""COMPUTED_VALUE"""),"")</f>
        <v/>
      </c>
    </row>
    <row r="1503">
      <c r="A1503" s="15">
        <f>IFERROR(__xludf.DUMMYFUNCTION("""COMPUTED_VALUE"""),45042.0)</f>
        <v>45042</v>
      </c>
      <c r="B1503" s="16" t="str">
        <f>IFERROR(__xludf.DUMMYFUNCTION("""COMPUTED_VALUE"""),"Luis Miguel Ramirez Morales")</f>
        <v>Luis Miguel Ramirez Morales</v>
      </c>
      <c r="C1503" s="15" t="str">
        <f>IFERROR(__xludf.DUMMYFUNCTION("""COMPUTED_VALUE"""),"BOGOTÁ")</f>
        <v>BOGOTÁ</v>
      </c>
      <c r="D1503" s="15" t="str">
        <f>IFERROR(__xludf.DUMMYFUNCTION("""COMPUTED_VALUE"""),"MEDELLÍN")</f>
        <v>MEDELLÍN</v>
      </c>
      <c r="E1503" s="15" t="str">
        <f>IFERROR(__xludf.DUMMYFUNCTION("""COMPUTED_VALUE"""),"Baby Chef")</f>
        <v>Baby Chef</v>
      </c>
      <c r="F1503" s="17" t="str">
        <f>IFERROR(__xludf.DUMMYFUNCTION("""COMPUTED_VALUE"""),"Calle 60 sur número 66 38 (casa)  / Madelena / Madelena")</f>
        <v>Calle 60 sur número 66 38 (casa)  / Madelena / Madelena</v>
      </c>
      <c r="G1503" s="15" t="str">
        <f>IFERROR(__xludf.DUMMYFUNCTION("""COMPUTED_VALUE"""),"Tatiana Ramírez Bello")</f>
        <v>Tatiana Ramírez Bello</v>
      </c>
      <c r="H1503" s="16">
        <f>IFERROR(__xludf.DUMMYFUNCTION("""COMPUTED_VALUE"""),10124.0)</f>
        <v>10124</v>
      </c>
      <c r="I1503" s="18">
        <f>IFERROR(__xludf.DUMMYFUNCTION("""COMPUTED_VALUE"""),8.0)</f>
        <v>8</v>
      </c>
      <c r="J1503" s="18">
        <f>IFERROR(__xludf.DUMMYFUNCTION("""COMPUTED_VALUE"""),16.0)</f>
        <v>16</v>
      </c>
      <c r="K1503" s="18">
        <f>IFERROR(__xludf.DUMMYFUNCTION("""COMPUTED_VALUE"""),20.0)</f>
        <v>20</v>
      </c>
      <c r="L1503" s="17">
        <f>IFERROR(__xludf.DUMMYFUNCTION("""COMPUTED_VALUE"""),3.105874049E9)</f>
        <v>3105874049</v>
      </c>
      <c r="M1503" s="17" t="str">
        <f>IFERROR(__xludf.DUMMYFUNCTION("""COMPUTED_VALUE"""),"#REF!")</f>
        <v>#REF!</v>
      </c>
      <c r="N1503" s="17"/>
      <c r="O1503" s="19" t="str">
        <f>IFERROR(__xludf.DUMMYFUNCTION("""COMPUTED_VALUE"""),"")</f>
        <v/>
      </c>
      <c r="P1503" s="17" t="b">
        <f>IFERROR(__xludf.DUMMYFUNCTION("""COMPUTED_VALUE"""),FALSE)</f>
        <v>0</v>
      </c>
      <c r="Q1503" s="20" t="str">
        <f>IFERROR(__xludf.DUMMYFUNCTION("""COMPUTED_VALUE"""),"")</f>
        <v/>
      </c>
      <c r="R1503" s="22" t="str">
        <f>IFERROR(__xludf.DUMMYFUNCTION("""COMPUTED_VALUE"""),"")</f>
        <v/>
      </c>
    </row>
    <row r="1504">
      <c r="A1504" s="15">
        <f>IFERROR(__xludf.DUMMYFUNCTION("""COMPUTED_VALUE"""),45042.0)</f>
        <v>45042</v>
      </c>
      <c r="B1504" s="16" t="str">
        <f>IFERROR(__xludf.DUMMYFUNCTION("""COMPUTED_VALUE"""),"Luis Miguel Ramirez Morales")</f>
        <v>Luis Miguel Ramirez Morales</v>
      </c>
      <c r="C1504" s="15" t="str">
        <f>IFERROR(__xludf.DUMMYFUNCTION("""COMPUTED_VALUE"""),"BOGOTÁ")</f>
        <v>BOGOTÁ</v>
      </c>
      <c r="D1504" s="15" t="str">
        <f>IFERROR(__xludf.DUMMYFUNCTION("""COMPUTED_VALUE"""),"MEDELLÍN")</f>
        <v>MEDELLÍN</v>
      </c>
      <c r="E1504" s="15" t="str">
        <f>IFERROR(__xludf.DUMMYFUNCTION("""COMPUTED_VALUE"""),"Baby Chef")</f>
        <v>Baby Chef</v>
      </c>
      <c r="F1504" s="17" t="str">
        <f>IFERROR(__xludf.DUMMYFUNCTION("""COMPUTED_VALUE"""),"Cra 69 D # 1 - 51 Sur / Torre 3 Apto 123  / BOGOTÁ")</f>
        <v>Cra 69 D # 1 - 51 Sur / Torre 3 Apto 123  / BOGOTÁ</v>
      </c>
      <c r="G1504" s="15" t="str">
        <f>IFERROR(__xludf.DUMMYFUNCTION("""COMPUTED_VALUE"""),"Yineth Alvarado")</f>
        <v>Yineth Alvarado</v>
      </c>
      <c r="H1504" s="16">
        <f>IFERROR(__xludf.DUMMYFUNCTION("""COMPUTED_VALUE"""),10128.0)</f>
        <v>10128</v>
      </c>
      <c r="I1504" s="18">
        <f>IFERROR(__xludf.DUMMYFUNCTION("""COMPUTED_VALUE"""),8.0)</f>
        <v>8</v>
      </c>
      <c r="J1504" s="18">
        <f>IFERROR(__xludf.DUMMYFUNCTION("""COMPUTED_VALUE"""),16.0)</f>
        <v>16</v>
      </c>
      <c r="K1504" s="18">
        <f>IFERROR(__xludf.DUMMYFUNCTION("""COMPUTED_VALUE"""),20.0)</f>
        <v>20</v>
      </c>
      <c r="L1504" s="17">
        <f>IFERROR(__xludf.DUMMYFUNCTION("""COMPUTED_VALUE"""),3.003557229E9)</f>
        <v>3003557229</v>
      </c>
      <c r="M1504" s="17" t="str">
        <f>IFERROR(__xludf.DUMMYFUNCTION("""COMPUTED_VALUE"""),"#REF!")</f>
        <v>#REF!</v>
      </c>
      <c r="N1504" s="17"/>
      <c r="O1504" s="19" t="str">
        <f>IFERROR(__xludf.DUMMYFUNCTION("""COMPUTED_VALUE"""),"")</f>
        <v/>
      </c>
      <c r="P1504" s="17" t="b">
        <f>IFERROR(__xludf.DUMMYFUNCTION("""COMPUTED_VALUE"""),FALSE)</f>
        <v>0</v>
      </c>
      <c r="Q1504" s="20" t="str">
        <f>IFERROR(__xludf.DUMMYFUNCTION("""COMPUTED_VALUE"""),"")</f>
        <v/>
      </c>
      <c r="R1504" s="22" t="str">
        <f>IFERROR(__xludf.DUMMYFUNCTION("""COMPUTED_VALUE"""),"")</f>
        <v/>
      </c>
    </row>
    <row r="1505">
      <c r="A1505" s="15">
        <f>IFERROR(__xludf.DUMMYFUNCTION("""COMPUTED_VALUE"""),45042.0)</f>
        <v>45042</v>
      </c>
      <c r="B1505" s="16" t="str">
        <f>IFERROR(__xludf.DUMMYFUNCTION("""COMPUTED_VALUE"""),"Luis Miguel Ramirez Morales")</f>
        <v>Luis Miguel Ramirez Morales</v>
      </c>
      <c r="C1505" s="15" t="str">
        <f>IFERROR(__xludf.DUMMYFUNCTION("""COMPUTED_VALUE"""),"BOGOTÁ")</f>
        <v>BOGOTÁ</v>
      </c>
      <c r="D1505" s="15" t="str">
        <f>IFERROR(__xludf.DUMMYFUNCTION("""COMPUTED_VALUE"""),"MEDELLÍN")</f>
        <v>MEDELLÍN</v>
      </c>
      <c r="E1505" s="15" t="str">
        <f>IFERROR(__xludf.DUMMYFUNCTION("""COMPUTED_VALUE"""),"Lácteos El Pino SAS")</f>
        <v>Lácteos El Pino SAS</v>
      </c>
      <c r="F1505" s="17" t="str">
        <f>IFERROR(__xludf.DUMMYFUNCTION("""COMPUTED_VALUE"""),"CALLE 93 # 17 - 23 APTO 202 EDIFICIO INFINITI / ENTREGAR EN EL APARTAMENTO")</f>
        <v>CALLE 93 # 17 - 23 APTO 202 EDIFICIO INFINITI / ENTREGAR EN EL APARTAMENTO</v>
      </c>
      <c r="G1505" s="15" t="str">
        <f>IFERROR(__xludf.DUMMYFUNCTION("""COMPUTED_VALUE"""),"CAROLINA ECHEVERRI")</f>
        <v>CAROLINA ECHEVERRI</v>
      </c>
      <c r="H1505" s="16">
        <f>IFERROR(__xludf.DUMMYFUNCTION("""COMPUTED_VALUE"""),10096.0)</f>
        <v>10096</v>
      </c>
      <c r="I1505" s="18">
        <f>IFERROR(__xludf.DUMMYFUNCTION("""COMPUTED_VALUE"""),12.0)</f>
        <v>12</v>
      </c>
      <c r="J1505" s="18">
        <f>IFERROR(__xludf.DUMMYFUNCTION("""COMPUTED_VALUE"""),22.0)</f>
        <v>22</v>
      </c>
      <c r="K1505" s="18">
        <f>IFERROR(__xludf.DUMMYFUNCTION("""COMPUTED_VALUE"""),13.0)</f>
        <v>13</v>
      </c>
      <c r="L1505" s="17"/>
      <c r="M1505" s="17" t="str">
        <f>IFERROR(__xludf.DUMMYFUNCTION("""COMPUTED_VALUE"""),"#REF!")</f>
        <v>#REF!</v>
      </c>
      <c r="N1505" s="17"/>
      <c r="O1505" s="19" t="str">
        <f>IFERROR(__xludf.DUMMYFUNCTION("""COMPUTED_VALUE"""),"")</f>
        <v/>
      </c>
      <c r="P1505" s="17" t="b">
        <f>IFERROR(__xludf.DUMMYFUNCTION("""COMPUTED_VALUE"""),FALSE)</f>
        <v>0</v>
      </c>
      <c r="Q1505" s="20" t="str">
        <f>IFERROR(__xludf.DUMMYFUNCTION("""COMPUTED_VALUE"""),"")</f>
        <v/>
      </c>
      <c r="R1505" s="22" t="str">
        <f>IFERROR(__xludf.DUMMYFUNCTION("""COMPUTED_VALUE"""),"")</f>
        <v/>
      </c>
    </row>
    <row r="1506">
      <c r="A1506" s="17" t="str">
        <f>IFERROR(__xludf.DUMMYFUNCTION("""COMPUTED_VALUE"""),"")</f>
        <v/>
      </c>
      <c r="B1506" s="17" t="str">
        <f>IFERROR(__xludf.DUMMYFUNCTION("""COMPUTED_VALUE"""),"")</f>
        <v/>
      </c>
      <c r="C1506" s="17" t="str">
        <f>IFERROR(__xludf.DUMMYFUNCTION("""COMPUTED_VALUE"""),"")</f>
        <v/>
      </c>
      <c r="D1506" s="17" t="str">
        <f>IFERROR(__xludf.DUMMYFUNCTION("""COMPUTED_VALUE"""),"")</f>
        <v/>
      </c>
      <c r="E1506" s="17" t="str">
        <f>IFERROR(__xludf.DUMMYFUNCTION("""COMPUTED_VALUE"""),"")</f>
        <v/>
      </c>
      <c r="F1506" s="17" t="str">
        <f>IFERROR(__xludf.DUMMYFUNCTION("""COMPUTED_VALUE"""),"")</f>
        <v/>
      </c>
      <c r="G1506" s="17" t="str">
        <f>IFERROR(__xludf.DUMMYFUNCTION("""COMPUTED_VALUE"""),"")</f>
        <v/>
      </c>
      <c r="H1506" s="17" t="str">
        <f>IFERROR(__xludf.DUMMYFUNCTION("""COMPUTED_VALUE"""),"")</f>
        <v/>
      </c>
      <c r="I1506" s="17" t="str">
        <f>IFERROR(__xludf.DUMMYFUNCTION("""COMPUTED_VALUE"""),"")</f>
        <v/>
      </c>
      <c r="J1506" s="17" t="str">
        <f>IFERROR(__xludf.DUMMYFUNCTION("""COMPUTED_VALUE"""),"")</f>
        <v/>
      </c>
      <c r="K1506" s="17" t="str">
        <f>IFERROR(__xludf.DUMMYFUNCTION("""COMPUTED_VALUE"""),"")</f>
        <v/>
      </c>
      <c r="L1506" s="17" t="str">
        <f>IFERROR(__xludf.DUMMYFUNCTION("""COMPUTED_VALUE"""),"")</f>
        <v/>
      </c>
      <c r="M1506" s="17" t="str">
        <f>IFERROR(__xludf.DUMMYFUNCTION("""COMPUTED_VALUE"""),"")</f>
        <v/>
      </c>
      <c r="N1506" s="17" t="str">
        <f>IFERROR(__xludf.DUMMYFUNCTION("""COMPUTED_VALUE"""),"")</f>
        <v/>
      </c>
      <c r="O1506" s="17" t="str">
        <f>IFERROR(__xludf.DUMMYFUNCTION("""COMPUTED_VALUE"""),"")</f>
        <v/>
      </c>
      <c r="P1506" s="17" t="str">
        <f>IFERROR(__xludf.DUMMYFUNCTION("""COMPUTED_VALUE"""),"")</f>
        <v/>
      </c>
      <c r="Q1506" s="17" t="str">
        <f>IFERROR(__xludf.DUMMYFUNCTION("""COMPUTED_VALUE"""),"")</f>
        <v/>
      </c>
      <c r="R1506" s="17" t="str">
        <f>IFERROR(__xludf.DUMMYFUNCTION("""COMPUTED_VALUE"""),"")</f>
        <v/>
      </c>
    </row>
    <row r="1507">
      <c r="A1507" s="15">
        <f>IFERROR(__xludf.DUMMYFUNCTION("""COMPUTED_VALUE"""),45043.0)</f>
        <v>45043</v>
      </c>
      <c r="B1507" s="16" t="str">
        <f>IFERROR(__xludf.DUMMYFUNCTION("""COMPUTED_VALUE"""),"Angie Daniela Meneses ")</f>
        <v>Angie Daniela Meneses </v>
      </c>
      <c r="C1507" s="15" t="str">
        <f>IFERROR(__xludf.DUMMYFUNCTION("""COMPUTED_VALUE"""),"YOPAL")</f>
        <v>YOPAL</v>
      </c>
      <c r="D1507" s="15" t="str">
        <f>IFERROR(__xludf.DUMMYFUNCTION("""COMPUTED_VALUE"""),"BOGOTÁ")</f>
        <v>BOGOTÁ</v>
      </c>
      <c r="E1507" s="15" t="str">
        <f>IFERROR(__xludf.DUMMYFUNCTION("""COMPUTED_VALUE"""),"Lunchy Kids")</f>
        <v>Lunchy Kids</v>
      </c>
      <c r="F1507" s="17" t="str">
        <f>IFERROR(__xludf.DUMMYFUNCTION("""COMPUTED_VALUE"""),"Calle 13 # 29-36 / Clinica Casanare / Los Helechos. Al lado de Unicentro")</f>
        <v>Calle 13 # 29-36 / Clinica Casanare / Los Helechos. Al lado de Unicentro</v>
      </c>
      <c r="G1507" s="15" t="str">
        <f>IFERROR(__xludf.DUMMYFUNCTION("""COMPUTED_VALUE"""),"Gloria Guicela Chaves")</f>
        <v>Gloria Guicela Chaves</v>
      </c>
      <c r="H1507" s="16">
        <f>IFERROR(__xludf.DUMMYFUNCTION("""COMPUTED_VALUE"""),10099.0)</f>
        <v>10099</v>
      </c>
      <c r="I1507" s="18">
        <f>IFERROR(__xludf.DUMMYFUNCTION("""COMPUTED_VALUE"""),24.0)</f>
        <v>24</v>
      </c>
      <c r="J1507" s="18">
        <f>IFERROR(__xludf.DUMMYFUNCTION("""COMPUTED_VALUE"""),25.0)</f>
        <v>25</v>
      </c>
      <c r="K1507" s="18">
        <f>IFERROR(__xludf.DUMMYFUNCTION("""COMPUTED_VALUE"""),13.0)</f>
        <v>13</v>
      </c>
      <c r="L1507" s="17">
        <f>IFERROR(__xludf.DUMMYFUNCTION("""COMPUTED_VALUE"""),3.235824281E9)</f>
        <v>3235824281</v>
      </c>
      <c r="M1507" s="17" t="str">
        <f>IFERROR(__xludf.DUMMYFUNCTION("""COMPUTED_VALUE"""),"#REF!")</f>
        <v>#REF!</v>
      </c>
      <c r="N1507" s="17"/>
      <c r="O1507" s="19" t="str">
        <f>IFERROR(__xludf.DUMMYFUNCTION("""COMPUTED_VALUE"""),"")</f>
        <v/>
      </c>
      <c r="P1507" s="17" t="b">
        <f>IFERROR(__xludf.DUMMYFUNCTION("""COMPUTED_VALUE"""),TRUE)</f>
        <v>1</v>
      </c>
      <c r="Q1507" s="20">
        <f>IFERROR(__xludf.DUMMYFUNCTION("""COMPUTED_VALUE"""),45044.67353921296)</f>
        <v>45044.67354</v>
      </c>
      <c r="R1507" s="22" t="str">
        <f>IFERROR(__xludf.DUMMYFUNCTION("""COMPUTED_VALUE"""),"")</f>
        <v/>
      </c>
    </row>
    <row r="1508">
      <c r="A1508" s="15">
        <f>IFERROR(__xludf.DUMMYFUNCTION("""COMPUTED_VALUE"""),45043.0)</f>
        <v>45043</v>
      </c>
      <c r="B1508" s="16" t="str">
        <f>IFERROR(__xludf.DUMMYFUNCTION("""COMPUTED_VALUE"""),"Angie Daniela Meneses ")</f>
        <v>Angie Daniela Meneses </v>
      </c>
      <c r="C1508" s="15" t="str">
        <f>IFERROR(__xludf.DUMMYFUNCTION("""COMPUTED_VALUE"""),"YOPAL")</f>
        <v>YOPAL</v>
      </c>
      <c r="D1508" s="15" t="str">
        <f>IFERROR(__xludf.DUMMYFUNCTION("""COMPUTED_VALUE"""),"BOGOTÁ")</f>
        <v>BOGOTÁ</v>
      </c>
      <c r="E1508" s="15" t="str">
        <f>IFERROR(__xludf.DUMMYFUNCTION("""COMPUTED_VALUE"""),"Lunchy Kids")</f>
        <v>Lunchy Kids</v>
      </c>
      <c r="F1508" s="17" t="str">
        <f>IFERROR(__xludf.DUMMYFUNCTION("""COMPUTED_VALUE"""),"Calle 30 # 28-46. / Altos de Manare. Torre 1. Apto 504  /  Yopal")</f>
        <v>Calle 30 # 28-46. / Altos de Manare. Torre 1. Apto 504  /  Yopal</v>
      </c>
      <c r="G1508" s="15" t="str">
        <f>IFERROR(__xludf.DUMMYFUNCTION("""COMPUTED_VALUE"""),"Betty Osa")</f>
        <v>Betty Osa</v>
      </c>
      <c r="H1508" s="16">
        <f>IFERROR(__xludf.DUMMYFUNCTION("""COMPUTED_VALUE"""),10100.0)</f>
        <v>10100</v>
      </c>
      <c r="I1508" s="18">
        <f>IFERROR(__xludf.DUMMYFUNCTION("""COMPUTED_VALUE"""),16.0)</f>
        <v>16</v>
      </c>
      <c r="J1508" s="18">
        <f>IFERROR(__xludf.DUMMYFUNCTION("""COMPUTED_VALUE"""),30.0)</f>
        <v>30</v>
      </c>
      <c r="K1508" s="18">
        <f>IFERROR(__xludf.DUMMYFUNCTION("""COMPUTED_VALUE"""),9.0)</f>
        <v>9</v>
      </c>
      <c r="L1508" s="17">
        <f>IFERROR(__xludf.DUMMYFUNCTION("""COMPUTED_VALUE"""),3.158806671E9)</f>
        <v>3158806671</v>
      </c>
      <c r="M1508" s="17" t="str">
        <f>IFERROR(__xludf.DUMMYFUNCTION("""COMPUTED_VALUE"""),"#REF!")</f>
        <v>#REF!</v>
      </c>
      <c r="N1508" s="17"/>
      <c r="O1508" s="19" t="str">
        <f>IFERROR(__xludf.DUMMYFUNCTION("""COMPUTED_VALUE"""),"")</f>
        <v/>
      </c>
      <c r="P1508" s="17" t="b">
        <f>IFERROR(__xludf.DUMMYFUNCTION("""COMPUTED_VALUE"""),FALSE)</f>
        <v>0</v>
      </c>
      <c r="Q1508" s="20" t="str">
        <f>IFERROR(__xludf.DUMMYFUNCTION("""COMPUTED_VALUE"""),"")</f>
        <v/>
      </c>
      <c r="R1508" s="22" t="str">
        <f>IFERROR(__xludf.DUMMYFUNCTION("""COMPUTED_VALUE"""),"")</f>
        <v/>
      </c>
    </row>
    <row r="1509">
      <c r="A1509" s="17" t="str">
        <f>IFERROR(__xludf.DUMMYFUNCTION("""COMPUTED_VALUE"""),"")</f>
        <v/>
      </c>
      <c r="B1509" s="17" t="str">
        <f>IFERROR(__xludf.DUMMYFUNCTION("""COMPUTED_VALUE"""),"")</f>
        <v/>
      </c>
      <c r="C1509" s="17" t="str">
        <f>IFERROR(__xludf.DUMMYFUNCTION("""COMPUTED_VALUE"""),"")</f>
        <v/>
      </c>
      <c r="D1509" s="17" t="str">
        <f>IFERROR(__xludf.DUMMYFUNCTION("""COMPUTED_VALUE"""),"")</f>
        <v/>
      </c>
      <c r="E1509" s="17" t="str">
        <f>IFERROR(__xludf.DUMMYFUNCTION("""COMPUTED_VALUE"""),"")</f>
        <v/>
      </c>
      <c r="F1509" s="17" t="str">
        <f>IFERROR(__xludf.DUMMYFUNCTION("""COMPUTED_VALUE"""),"")</f>
        <v/>
      </c>
      <c r="G1509" s="17" t="str">
        <f>IFERROR(__xludf.DUMMYFUNCTION("""COMPUTED_VALUE"""),"")</f>
        <v/>
      </c>
      <c r="H1509" s="17" t="str">
        <f>IFERROR(__xludf.DUMMYFUNCTION("""COMPUTED_VALUE"""),"")</f>
        <v/>
      </c>
      <c r="I1509" s="17" t="str">
        <f>IFERROR(__xludf.DUMMYFUNCTION("""COMPUTED_VALUE"""),"")</f>
        <v/>
      </c>
      <c r="J1509" s="17" t="str">
        <f>IFERROR(__xludf.DUMMYFUNCTION("""COMPUTED_VALUE"""),"")</f>
        <v/>
      </c>
      <c r="K1509" s="17" t="str">
        <f>IFERROR(__xludf.DUMMYFUNCTION("""COMPUTED_VALUE"""),"")</f>
        <v/>
      </c>
      <c r="L1509" s="17" t="str">
        <f>IFERROR(__xludf.DUMMYFUNCTION("""COMPUTED_VALUE"""),"")</f>
        <v/>
      </c>
      <c r="M1509" s="17" t="str">
        <f>IFERROR(__xludf.DUMMYFUNCTION("""COMPUTED_VALUE"""),"")</f>
        <v/>
      </c>
      <c r="N1509" s="17" t="str">
        <f>IFERROR(__xludf.DUMMYFUNCTION("""COMPUTED_VALUE"""),"")</f>
        <v/>
      </c>
      <c r="O1509" s="17" t="str">
        <f>IFERROR(__xludf.DUMMYFUNCTION("""COMPUTED_VALUE"""),"")</f>
        <v/>
      </c>
      <c r="P1509" s="17" t="str">
        <f>IFERROR(__xludf.DUMMYFUNCTION("""COMPUTED_VALUE"""),"")</f>
        <v/>
      </c>
      <c r="Q1509" s="17" t="str">
        <f>IFERROR(__xludf.DUMMYFUNCTION("""COMPUTED_VALUE"""),"")</f>
        <v/>
      </c>
      <c r="R1509" s="17" t="str">
        <f>IFERROR(__xludf.DUMMYFUNCTION("""COMPUTED_VALUE"""),"")</f>
        <v/>
      </c>
    </row>
    <row r="1510">
      <c r="A1510" s="15">
        <f>IFERROR(__xludf.DUMMYFUNCTION("""COMPUTED_VALUE"""),45043.0)</f>
        <v>45043</v>
      </c>
      <c r="B1510" s="16" t="str">
        <f>IFERROR(__xludf.DUMMYFUNCTION("""COMPUTED_VALUE"""),"David Sanmartin Bello")</f>
        <v>David Sanmartin Bello</v>
      </c>
      <c r="C1510" s="15" t="str">
        <f>IFERROR(__xludf.DUMMYFUNCTION("""COMPUTED_VALUE"""),"CARTAGENA")</f>
        <v>CARTAGENA</v>
      </c>
      <c r="D1510" s="15" t="str">
        <f>IFERROR(__xludf.DUMMYFUNCTION("""COMPUTED_VALUE"""),"BOGOTÁ")</f>
        <v>BOGOTÁ</v>
      </c>
      <c r="E1510" s="15" t="str">
        <f>IFERROR(__xludf.DUMMYFUNCTION("""COMPUTED_VALUE"""),"MAI ALIMENTOS S.A.S")</f>
        <v>MAI ALIMENTOS S.A.S</v>
      </c>
      <c r="F1510" s="17" t="str">
        <f>IFERROR(__xludf.DUMMYFUNCTION("""COMPUTED_VALUE"""),"Cra 3 A #31-23 Calle Ricaurte, Centro / Plaza Santa teresa / Restaurante Harry Sasson")</f>
        <v>Cra 3 A #31-23 Calle Ricaurte, Centro / Plaza Santa teresa / Restaurante Harry Sasson</v>
      </c>
      <c r="G1510" s="15" t="str">
        <f>IFERROR(__xludf.DUMMYFUNCTION("""COMPUTED_VALUE"""),"Harry Sasson Cartagena")</f>
        <v>Harry Sasson Cartagena</v>
      </c>
      <c r="H1510" s="16">
        <f>IFERROR(__xludf.DUMMYFUNCTION("""COMPUTED_VALUE"""),9978.0)</f>
        <v>9978</v>
      </c>
      <c r="I1510" s="18">
        <f>IFERROR(__xludf.DUMMYFUNCTION("""COMPUTED_VALUE"""),35.0)</f>
        <v>35</v>
      </c>
      <c r="J1510" s="18">
        <f>IFERROR(__xludf.DUMMYFUNCTION("""COMPUTED_VALUE"""),17.0)</f>
        <v>17</v>
      </c>
      <c r="K1510" s="18">
        <f>IFERROR(__xludf.DUMMYFUNCTION("""COMPUTED_VALUE"""),13.0)</f>
        <v>13</v>
      </c>
      <c r="L1510" s="17">
        <f>IFERROR(__xludf.DUMMYFUNCTION("""COMPUTED_VALUE"""),3.174374246E9)</f>
        <v>3174374246</v>
      </c>
      <c r="M1510" s="17" t="str">
        <f>IFERROR(__xludf.DUMMYFUNCTION("""COMPUTED_VALUE"""),"#REF!")</f>
        <v>#REF!</v>
      </c>
      <c r="N1510" s="17"/>
      <c r="O1510" s="19" t="str">
        <f>IFERROR(__xludf.DUMMYFUNCTION("""COMPUTED_VALUE"""),"")</f>
        <v/>
      </c>
      <c r="P1510" s="17" t="b">
        <f>IFERROR(__xludf.DUMMYFUNCTION("""COMPUTED_VALUE"""),TRUE)</f>
        <v>1</v>
      </c>
      <c r="Q1510" s="20">
        <f>IFERROR(__xludf.DUMMYFUNCTION("""COMPUTED_VALUE"""),45043.50477384259)</f>
        <v>45043.50477</v>
      </c>
      <c r="R1510" s="22" t="str">
        <f>IFERROR(__xludf.DUMMYFUNCTION("""COMPUTED_VALUE"""),"")</f>
        <v/>
      </c>
    </row>
    <row r="1511">
      <c r="A1511" s="15">
        <f>IFERROR(__xludf.DUMMYFUNCTION("""COMPUTED_VALUE"""),45043.0)</f>
        <v>45043</v>
      </c>
      <c r="B1511" s="16" t="str">
        <f>IFERROR(__xludf.DUMMYFUNCTION("""COMPUTED_VALUE"""),"David Sanmartin Bello")</f>
        <v>David Sanmartin Bello</v>
      </c>
      <c r="C1511" s="15" t="str">
        <f>IFERROR(__xludf.DUMMYFUNCTION("""COMPUTED_VALUE"""),"CARTAGENA")</f>
        <v>CARTAGENA</v>
      </c>
      <c r="D1511" s="15" t="str">
        <f>IFERROR(__xludf.DUMMYFUNCTION("""COMPUTED_VALUE"""),"BOGOTÁ")</f>
        <v>BOGOTÁ</v>
      </c>
      <c r="E1511" s="15" t="str">
        <f>IFERROR(__xludf.DUMMYFUNCTION("""COMPUTED_VALUE"""),"SISU PARTNERS SAS")</f>
        <v>SISU PARTNERS SAS</v>
      </c>
      <c r="F1511" s="17" t="str">
        <f>IFERROR(__xludf.DUMMYFUNCTION("""COMPUTED_VALUE"""),"Carrera 7 no. 38-48 local 3 / Local Mary &amp; George")</f>
        <v>Carrera 7 no. 38-48 local 3 / Local Mary &amp; George</v>
      </c>
      <c r="G1511" s="15" t="str">
        <f>IFERROR(__xludf.DUMMYFUNCTION("""COMPUTED_VALUE"""),"Carolyne Bailey")</f>
        <v>Carolyne Bailey</v>
      </c>
      <c r="H1511" s="16">
        <f>IFERROR(__xludf.DUMMYFUNCTION("""COMPUTED_VALUE"""),10098.0)</f>
        <v>10098</v>
      </c>
      <c r="I1511" s="18" t="str">
        <f>IFERROR(__xludf.DUMMYFUNCTION("""COMPUTED_VALUE"""),"52.5")</f>
        <v>52.5</v>
      </c>
      <c r="J1511" s="18">
        <f>IFERROR(__xludf.DUMMYFUNCTION("""COMPUTED_VALUE"""),45.0)</f>
        <v>45</v>
      </c>
      <c r="K1511" s="18">
        <f>IFERROR(__xludf.DUMMYFUNCTION("""COMPUTED_VALUE"""),55.0)</f>
        <v>55</v>
      </c>
      <c r="L1511" s="17">
        <f>IFERROR(__xludf.DUMMYFUNCTION("""COMPUTED_VALUE"""),3.105510381E9)</f>
        <v>3105510381</v>
      </c>
      <c r="M1511" s="17" t="str">
        <f>IFERROR(__xludf.DUMMYFUNCTION("""COMPUTED_VALUE"""),"#REF!")</f>
        <v>#REF!</v>
      </c>
      <c r="N1511" s="17"/>
      <c r="O1511" s="19" t="str">
        <f>IFERROR(__xludf.DUMMYFUNCTION("""COMPUTED_VALUE"""),"")</f>
        <v/>
      </c>
      <c r="P1511" s="17" t="b">
        <f>IFERROR(__xludf.DUMMYFUNCTION("""COMPUTED_VALUE"""),FALSE)</f>
        <v>0</v>
      </c>
      <c r="Q1511" s="20" t="str">
        <f>IFERROR(__xludf.DUMMYFUNCTION("""COMPUTED_VALUE"""),"")</f>
        <v/>
      </c>
      <c r="R1511" s="22" t="str">
        <f>IFERROR(__xludf.DUMMYFUNCTION("""COMPUTED_VALUE"""),"")</f>
        <v/>
      </c>
    </row>
    <row r="1512">
      <c r="A1512" s="17" t="str">
        <f>IFERROR(__xludf.DUMMYFUNCTION("""COMPUTED_VALUE"""),"")</f>
        <v/>
      </c>
      <c r="B1512" s="17" t="str">
        <f>IFERROR(__xludf.DUMMYFUNCTION("""COMPUTED_VALUE"""),"")</f>
        <v/>
      </c>
      <c r="C1512" s="17" t="str">
        <f>IFERROR(__xludf.DUMMYFUNCTION("""COMPUTED_VALUE"""),"")</f>
        <v/>
      </c>
      <c r="D1512" s="17" t="str">
        <f>IFERROR(__xludf.DUMMYFUNCTION("""COMPUTED_VALUE"""),"")</f>
        <v/>
      </c>
      <c r="E1512" s="17" t="str">
        <f>IFERROR(__xludf.DUMMYFUNCTION("""COMPUTED_VALUE"""),"")</f>
        <v/>
      </c>
      <c r="F1512" s="17" t="str">
        <f>IFERROR(__xludf.DUMMYFUNCTION("""COMPUTED_VALUE"""),"")</f>
        <v/>
      </c>
      <c r="G1512" s="17" t="str">
        <f>IFERROR(__xludf.DUMMYFUNCTION("""COMPUTED_VALUE"""),"")</f>
        <v/>
      </c>
      <c r="H1512" s="17" t="str">
        <f>IFERROR(__xludf.DUMMYFUNCTION("""COMPUTED_VALUE"""),"")</f>
        <v/>
      </c>
      <c r="I1512" s="17" t="str">
        <f>IFERROR(__xludf.DUMMYFUNCTION("""COMPUTED_VALUE"""),"")</f>
        <v/>
      </c>
      <c r="J1512" s="17" t="str">
        <f>IFERROR(__xludf.DUMMYFUNCTION("""COMPUTED_VALUE"""),"")</f>
        <v/>
      </c>
      <c r="K1512" s="17" t="str">
        <f>IFERROR(__xludf.DUMMYFUNCTION("""COMPUTED_VALUE"""),"")</f>
        <v/>
      </c>
      <c r="L1512" s="17" t="str">
        <f>IFERROR(__xludf.DUMMYFUNCTION("""COMPUTED_VALUE"""),"")</f>
        <v/>
      </c>
      <c r="M1512" s="17" t="str">
        <f>IFERROR(__xludf.DUMMYFUNCTION("""COMPUTED_VALUE"""),"")</f>
        <v/>
      </c>
      <c r="N1512" s="17" t="str">
        <f>IFERROR(__xludf.DUMMYFUNCTION("""COMPUTED_VALUE"""),"")</f>
        <v/>
      </c>
      <c r="O1512" s="17" t="str">
        <f>IFERROR(__xludf.DUMMYFUNCTION("""COMPUTED_VALUE"""),"")</f>
        <v/>
      </c>
      <c r="P1512" s="17" t="str">
        <f>IFERROR(__xludf.DUMMYFUNCTION("""COMPUTED_VALUE"""),"")</f>
        <v/>
      </c>
      <c r="Q1512" s="17" t="str">
        <f>IFERROR(__xludf.DUMMYFUNCTION("""COMPUTED_VALUE"""),"")</f>
        <v/>
      </c>
      <c r="R1512" s="17" t="str">
        <f>IFERROR(__xludf.DUMMYFUNCTION("""COMPUTED_VALUE"""),"")</f>
        <v/>
      </c>
    </row>
    <row r="1513">
      <c r="A1513" s="15">
        <f>IFERROR(__xludf.DUMMYFUNCTION("""COMPUTED_VALUE"""),45043.0)</f>
        <v>45043</v>
      </c>
      <c r="B1513" s="16" t="str">
        <f>IFERROR(__xludf.DUMMYFUNCTION("""COMPUTED_VALUE"""),"Envia")</f>
        <v>Envia</v>
      </c>
      <c r="C1513" s="15" t="str">
        <f>IFERROR(__xludf.DUMMYFUNCTION("""COMPUTED_VALUE"""),"ARMENIA")</f>
        <v>ARMENIA</v>
      </c>
      <c r="D1513" s="15" t="str">
        <f>IFERROR(__xludf.DUMMYFUNCTION("""COMPUTED_VALUE"""),"MEDELLÍN")</f>
        <v>MEDELLÍN</v>
      </c>
      <c r="E1513" s="15" t="str">
        <f>IFERROR(__xludf.DUMMYFUNCTION("""COMPUTED_VALUE"""),"Rambla")</f>
        <v>Rambla</v>
      </c>
      <c r="F1513" s="17" t="str">
        <f>IFERROR(__xludf.DUMMYFUNCTION("""COMPUTED_VALUE"""),"Cra 15 #22 norte 77 ed. Oasis de laureles local 1316 deagonal al teatro de la cruz roja Armenia / na / na")</f>
        <v>Cra 15 #22 norte 77 ed. Oasis de laureles local 1316 deagonal al teatro de la cruz roja Armenia / na / na</v>
      </c>
      <c r="G1513" s="15" t="str">
        <f>IFERROR(__xludf.DUMMYFUNCTION("""COMPUTED_VALUE"""),"tienda fitnes eco")</f>
        <v>tienda fitnes eco</v>
      </c>
      <c r="H1513" s="16">
        <f>IFERROR(__xludf.DUMMYFUNCTION("""COMPUTED_VALUE"""),10170.0)</f>
        <v>10170</v>
      </c>
      <c r="I1513" s="18">
        <f>IFERROR(__xludf.DUMMYFUNCTION("""COMPUTED_VALUE"""),22.0)</f>
        <v>22</v>
      </c>
      <c r="J1513" s="18">
        <f>IFERROR(__xludf.DUMMYFUNCTION("""COMPUTED_VALUE"""),25.0)</f>
        <v>25</v>
      </c>
      <c r="K1513" s="18">
        <f>IFERROR(__xludf.DUMMYFUNCTION("""COMPUTED_VALUE"""),28.0)</f>
        <v>28</v>
      </c>
      <c r="L1513" s="17">
        <f>IFERROR(__xludf.DUMMYFUNCTION("""COMPUTED_VALUE"""),3.217007417E9)</f>
        <v>3217007417</v>
      </c>
      <c r="M1513" s="17" t="str">
        <f>IFERROR(__xludf.DUMMYFUNCTION("""COMPUTED_VALUE"""),"#REF!")</f>
        <v>#REF!</v>
      </c>
      <c r="N1513" s="17"/>
      <c r="O1513" s="19" t="str">
        <f>IFERROR(__xludf.DUMMYFUNCTION("""COMPUTED_VALUE"""),"")</f>
        <v/>
      </c>
      <c r="P1513" s="17" t="b">
        <f>IFERROR(__xludf.DUMMYFUNCTION("""COMPUTED_VALUE"""),FALSE)</f>
        <v>0</v>
      </c>
      <c r="Q1513" s="20" t="str">
        <f>IFERROR(__xludf.DUMMYFUNCTION("""COMPUTED_VALUE"""),"")</f>
        <v/>
      </c>
      <c r="R1513" s="22" t="str">
        <f>IFERROR(__xludf.DUMMYFUNCTION("""COMPUTED_VALUE"""),"")</f>
        <v/>
      </c>
    </row>
    <row r="1514">
      <c r="A1514" s="15">
        <f>IFERROR(__xludf.DUMMYFUNCTION("""COMPUTED_VALUE"""),45043.0)</f>
        <v>45043</v>
      </c>
      <c r="B1514" s="16" t="str">
        <f>IFERROR(__xludf.DUMMYFUNCTION("""COMPUTED_VALUE"""),"Envia")</f>
        <v>Envia</v>
      </c>
      <c r="C1514" s="15" t="str">
        <f>IFERROR(__xludf.DUMMYFUNCTION("""COMPUTED_VALUE"""),"BUCARAMANGA")</f>
        <v>BUCARAMANGA</v>
      </c>
      <c r="D1514" s="15" t="str">
        <f>IFERROR(__xludf.DUMMYFUNCTION("""COMPUTED_VALUE"""),"BOGOTÁ")</f>
        <v>BOGOTÁ</v>
      </c>
      <c r="E1514" s="15" t="str">
        <f>IFERROR(__xludf.DUMMYFUNCTION("""COMPUTED_VALUE"""),"Ins. Alimento Vital")</f>
        <v>Ins. Alimento Vital</v>
      </c>
      <c r="F1514" s="17" t="str">
        <f>IFERROR(__xludf.DUMMYFUNCTION("""COMPUTED_VALUE"""),"CL 31 30 08 / APTO 501  / AURORA ROYAL")</f>
        <v>CL 31 30 08 / APTO 501  / AURORA ROYAL</v>
      </c>
      <c r="G1514" s="15" t="str">
        <f>IFERROR(__xludf.DUMMYFUNCTION("""COMPUTED_VALUE"""),"LARRY ALBERTO LOPEZ MACANA")</f>
        <v>LARRY ALBERTO LOPEZ MACANA</v>
      </c>
      <c r="H1514" s="16">
        <f>IFERROR(__xludf.DUMMYFUNCTION("""COMPUTED_VALUE"""),10150.0)</f>
        <v>10150</v>
      </c>
      <c r="I1514" s="18">
        <f>IFERROR(__xludf.DUMMYFUNCTION("""COMPUTED_VALUE"""),1.0)</f>
        <v>1</v>
      </c>
      <c r="J1514" s="18">
        <f>IFERROR(__xludf.DUMMYFUNCTION("""COMPUTED_VALUE"""),1.0)</f>
        <v>1</v>
      </c>
      <c r="K1514" s="18">
        <f>IFERROR(__xludf.DUMMYFUNCTION("""COMPUTED_VALUE"""),1.0)</f>
        <v>1</v>
      </c>
      <c r="L1514" s="17">
        <f>IFERROR(__xludf.DUMMYFUNCTION("""COMPUTED_VALUE"""),3.185709801E9)</f>
        <v>3185709801</v>
      </c>
      <c r="M1514" s="17" t="str">
        <f>IFERROR(__xludf.DUMMYFUNCTION("""COMPUTED_VALUE"""),"#REF!")</f>
        <v>#REF!</v>
      </c>
      <c r="N1514" s="17"/>
      <c r="O1514" s="19" t="str">
        <f>IFERROR(__xludf.DUMMYFUNCTION("""COMPUTED_VALUE"""),"")</f>
        <v/>
      </c>
      <c r="P1514" s="17" t="b">
        <f>IFERROR(__xludf.DUMMYFUNCTION("""COMPUTED_VALUE"""),FALSE)</f>
        <v>0</v>
      </c>
      <c r="Q1514" s="20" t="str">
        <f>IFERROR(__xludf.DUMMYFUNCTION("""COMPUTED_VALUE"""),"")</f>
        <v/>
      </c>
      <c r="R1514" s="22" t="str">
        <f>IFERROR(__xludf.DUMMYFUNCTION("""COMPUTED_VALUE"""),"")</f>
        <v/>
      </c>
    </row>
    <row r="1515">
      <c r="A1515" s="15">
        <f>IFERROR(__xludf.DUMMYFUNCTION("""COMPUTED_VALUE"""),45043.0)</f>
        <v>45043</v>
      </c>
      <c r="B1515" s="16" t="str">
        <f>IFERROR(__xludf.DUMMYFUNCTION("""COMPUTED_VALUE"""),"Envia")</f>
        <v>Envia</v>
      </c>
      <c r="C1515" s="15" t="str">
        <f>IFERROR(__xludf.DUMMYFUNCTION("""COMPUTED_VALUE"""),"BUCARAMANGA")</f>
        <v>BUCARAMANGA</v>
      </c>
      <c r="D1515" s="15" t="str">
        <f>IFERROR(__xludf.DUMMYFUNCTION("""COMPUTED_VALUE"""),"BOGOTÁ")</f>
        <v>BOGOTÁ</v>
      </c>
      <c r="E1515" s="15" t="str">
        <f>IFERROR(__xludf.DUMMYFUNCTION("""COMPUTED_VALUE"""),"Ins. Alimento Vital")</f>
        <v>Ins. Alimento Vital</v>
      </c>
      <c r="F1515" s="17" t="str">
        <f>IFERROR(__xludf.DUMMYFUNCTION("""COMPUTED_VALUE"""),"CR 48 30 21  / TR 1, APTO 204, EDIFICIO BOSQUES DEL VENADO / EDIFICIO BOSQUES DEL VENADO")</f>
        <v>CR 48 30 21  / TR 1, APTO 204, EDIFICIO BOSQUES DEL VENADO / EDIFICIO BOSQUES DEL VENADO</v>
      </c>
      <c r="G1515" s="15" t="str">
        <f>IFERROR(__xludf.DUMMYFUNCTION("""COMPUTED_VALUE"""),"LEIDY CATERINE PATIÑO RODRIGUEZ")</f>
        <v>LEIDY CATERINE PATIÑO RODRIGUEZ</v>
      </c>
      <c r="H1515" s="16">
        <f>IFERROR(__xludf.DUMMYFUNCTION("""COMPUTED_VALUE"""),10151.0)</f>
        <v>10151</v>
      </c>
      <c r="I1515" s="18">
        <f>IFERROR(__xludf.DUMMYFUNCTION("""COMPUTED_VALUE"""),1.0)</f>
        <v>1</v>
      </c>
      <c r="J1515" s="18">
        <f>IFERROR(__xludf.DUMMYFUNCTION("""COMPUTED_VALUE"""),1.0)</f>
        <v>1</v>
      </c>
      <c r="K1515" s="18">
        <f>IFERROR(__xludf.DUMMYFUNCTION("""COMPUTED_VALUE"""),1.0)</f>
        <v>1</v>
      </c>
      <c r="L1515" s="17">
        <f>IFERROR(__xludf.DUMMYFUNCTION("""COMPUTED_VALUE"""),3.132936789E9)</f>
        <v>3132936789</v>
      </c>
      <c r="M1515" s="17" t="str">
        <f>IFERROR(__xludf.DUMMYFUNCTION("""COMPUTED_VALUE"""),"#REF!")</f>
        <v>#REF!</v>
      </c>
      <c r="N1515" s="17"/>
      <c r="O1515" s="19" t="str">
        <f>IFERROR(__xludf.DUMMYFUNCTION("""COMPUTED_VALUE"""),"")</f>
        <v/>
      </c>
      <c r="P1515" s="17" t="b">
        <f>IFERROR(__xludf.DUMMYFUNCTION("""COMPUTED_VALUE"""),FALSE)</f>
        <v>0</v>
      </c>
      <c r="Q1515" s="20" t="str">
        <f>IFERROR(__xludf.DUMMYFUNCTION("""COMPUTED_VALUE"""),"")</f>
        <v/>
      </c>
      <c r="R1515" s="22" t="str">
        <f>IFERROR(__xludf.DUMMYFUNCTION("""COMPUTED_VALUE"""),"")</f>
        <v/>
      </c>
    </row>
    <row r="1516">
      <c r="A1516" s="15">
        <f>IFERROR(__xludf.DUMMYFUNCTION("""COMPUTED_VALUE"""),45043.0)</f>
        <v>45043</v>
      </c>
      <c r="B1516" s="16" t="str">
        <f>IFERROR(__xludf.DUMMYFUNCTION("""COMPUTED_VALUE"""),"Envia")</f>
        <v>Envia</v>
      </c>
      <c r="C1516" s="15" t="str">
        <f>IFERROR(__xludf.DUMMYFUNCTION("""COMPUTED_VALUE"""),"MEDELLÍN")</f>
        <v>MEDELLÍN</v>
      </c>
      <c r="D1516" s="15" t="str">
        <f>IFERROR(__xludf.DUMMYFUNCTION("""COMPUTED_VALUE"""),"BOGOTÁ")</f>
        <v>BOGOTÁ</v>
      </c>
      <c r="E1516" s="15" t="str">
        <f>IFERROR(__xludf.DUMMYFUNCTION("""COMPUTED_VALUE"""),"Frambascolombia sas")</f>
        <v>Frambascolombia sas</v>
      </c>
      <c r="F1516" s="17" t="str">
        <f>IFERROR(__xludf.DUMMYFUNCTION("""COMPUTED_VALUE"""),"Cl. 16 #55-129 / local 2")</f>
        <v>Cl. 16 #55-129 / local 2</v>
      </c>
      <c r="G1516" s="15" t="str">
        <f>IFERROR(__xludf.DUMMYFUNCTION("""COMPUTED_VALUE"""),"PikNPak Medellín")</f>
        <v>PikNPak Medellín</v>
      </c>
      <c r="H1516" s="16">
        <f>IFERROR(__xludf.DUMMYFUNCTION("""COMPUTED_VALUE"""),10176.0)</f>
        <v>10176</v>
      </c>
      <c r="I1516" s="18" t="str">
        <f>IFERROR(__xludf.DUMMYFUNCTION("""COMPUTED_VALUE"""),"52.5")</f>
        <v>52.5</v>
      </c>
      <c r="J1516" s="18">
        <f>IFERROR(__xludf.DUMMYFUNCTION("""COMPUTED_VALUE"""),45.0)</f>
        <v>45</v>
      </c>
      <c r="K1516" s="18">
        <f>IFERROR(__xludf.DUMMYFUNCTION("""COMPUTED_VALUE"""),55.0)</f>
        <v>55</v>
      </c>
      <c r="L1516" s="17" t="str">
        <f>IFERROR(__xludf.DUMMYFUNCTION("""COMPUTED_VALUE"""),"321 4229567")</f>
        <v>321 4229567</v>
      </c>
      <c r="M1516" s="17" t="str">
        <f>IFERROR(__xludf.DUMMYFUNCTION("""COMPUTED_VALUE"""),"#REF!")</f>
        <v>#REF!</v>
      </c>
      <c r="N1516" s="17"/>
      <c r="O1516" s="19" t="str">
        <f>IFERROR(__xludf.DUMMYFUNCTION("""COMPUTED_VALUE"""),"")</f>
        <v/>
      </c>
      <c r="P1516" s="17" t="b">
        <f>IFERROR(__xludf.DUMMYFUNCTION("""COMPUTED_VALUE"""),FALSE)</f>
        <v>0</v>
      </c>
      <c r="Q1516" s="20" t="str">
        <f>IFERROR(__xludf.DUMMYFUNCTION("""COMPUTED_VALUE"""),"")</f>
        <v/>
      </c>
      <c r="R1516" s="22" t="str">
        <f>IFERROR(__xludf.DUMMYFUNCTION("""COMPUTED_VALUE"""),"")</f>
        <v/>
      </c>
    </row>
    <row r="1517">
      <c r="A1517" s="15">
        <f>IFERROR(__xludf.DUMMYFUNCTION("""COMPUTED_VALUE"""),45043.0)</f>
        <v>45043</v>
      </c>
      <c r="B1517" s="16" t="str">
        <f>IFERROR(__xludf.DUMMYFUNCTION("""COMPUTED_VALUE"""),"Envia")</f>
        <v>Envia</v>
      </c>
      <c r="C1517" s="15" t="str">
        <f>IFERROR(__xludf.DUMMYFUNCTION("""COMPUTED_VALUE"""),"MEDELLÍN")</f>
        <v>MEDELLÍN</v>
      </c>
      <c r="D1517" s="15" t="str">
        <f>IFERROR(__xludf.DUMMYFUNCTION("""COMPUTED_VALUE"""),"BOGOTÁ")</f>
        <v>BOGOTÁ</v>
      </c>
      <c r="E1517" s="15" t="str">
        <f>IFERROR(__xludf.DUMMYFUNCTION("""COMPUTED_VALUE"""),"SISU PARTNERS SAS")</f>
        <v>SISU PARTNERS SAS</v>
      </c>
      <c r="F1517" s="17" t="str">
        <f>IFERROR(__xludf.DUMMYFUNCTION("""COMPUTED_VALUE"""),"Carrera 34 no. 7-86 / Local Mary &amp; George")</f>
        <v>Carrera 34 no. 7-86 / Local Mary &amp; George</v>
      </c>
      <c r="G1517" s="15" t="str">
        <f>IFERROR(__xludf.DUMMYFUNCTION("""COMPUTED_VALUE"""),"Maria Paulina Pérez")</f>
        <v>Maria Paulina Pérez</v>
      </c>
      <c r="H1517" s="16">
        <f>IFERROR(__xludf.DUMMYFUNCTION("""COMPUTED_VALUE"""),10097.0)</f>
        <v>10097</v>
      </c>
      <c r="I1517" s="18" t="str">
        <f>IFERROR(__xludf.DUMMYFUNCTION("""COMPUTED_VALUE"""),"52.5")</f>
        <v>52.5</v>
      </c>
      <c r="J1517" s="18">
        <f>IFERROR(__xludf.DUMMYFUNCTION("""COMPUTED_VALUE"""),45.0)</f>
        <v>45</v>
      </c>
      <c r="K1517" s="18">
        <f>IFERROR(__xludf.DUMMYFUNCTION("""COMPUTED_VALUE"""),55.0)</f>
        <v>55</v>
      </c>
      <c r="L1517" s="17">
        <f>IFERROR(__xludf.DUMMYFUNCTION("""COMPUTED_VALUE"""),3.182186058E9)</f>
        <v>3182186058</v>
      </c>
      <c r="M1517" s="17" t="str">
        <f>IFERROR(__xludf.DUMMYFUNCTION("""COMPUTED_VALUE"""),"#REF!")</f>
        <v>#REF!</v>
      </c>
      <c r="N1517" s="17"/>
      <c r="O1517" s="19" t="str">
        <f>IFERROR(__xludf.DUMMYFUNCTION("""COMPUTED_VALUE"""),"")</f>
        <v/>
      </c>
      <c r="P1517" s="17" t="b">
        <f>IFERROR(__xludf.DUMMYFUNCTION("""COMPUTED_VALUE"""),FALSE)</f>
        <v>0</v>
      </c>
      <c r="Q1517" s="20" t="str">
        <f>IFERROR(__xludf.DUMMYFUNCTION("""COMPUTED_VALUE"""),"")</f>
        <v/>
      </c>
      <c r="R1517" s="22" t="str">
        <f>IFERROR(__xludf.DUMMYFUNCTION("""COMPUTED_VALUE"""),"")</f>
        <v/>
      </c>
    </row>
    <row r="1518">
      <c r="A1518" s="15">
        <f>IFERROR(__xludf.DUMMYFUNCTION("""COMPUTED_VALUE"""),45043.0)</f>
        <v>45043</v>
      </c>
      <c r="B1518" s="16" t="str">
        <f>IFERROR(__xludf.DUMMYFUNCTION("""COMPUTED_VALUE"""),"Envia")</f>
        <v>Envia</v>
      </c>
      <c r="C1518" s="15" t="str">
        <f>IFERROR(__xludf.DUMMYFUNCTION("""COMPUTED_VALUE"""),"MEDELLÍN")</f>
        <v>MEDELLÍN</v>
      </c>
      <c r="D1518" s="15" t="str">
        <f>IFERROR(__xludf.DUMMYFUNCTION("""COMPUTED_VALUE"""),"BOGOTÁ")</f>
        <v>BOGOTÁ</v>
      </c>
      <c r="E1518" s="15" t="str">
        <f>IFERROR(__xludf.DUMMYFUNCTION("""COMPUTED_VALUE"""),"Viral Brands")</f>
        <v>Viral Brands</v>
      </c>
      <c r="F1518" s="17" t="str">
        <f>IFERROR(__xludf.DUMMYFUNCTION("""COMPUTED_VALUE"""),"Calle 1 # 29-354. / edificio los Parra cocina 1 / cocina 1 chuzales")</f>
        <v>Calle 1 # 29-354. / edificio los Parra cocina 1 / cocina 1 chuzales</v>
      </c>
      <c r="G1518" s="15" t="str">
        <f>IFERROR(__xludf.DUMMYFUNCTION("""COMPUTED_VALUE"""),"viral Brand poblado")</f>
        <v>viral Brand poblado</v>
      </c>
      <c r="H1518" s="16">
        <f>IFERROR(__xludf.DUMMYFUNCTION("""COMPUTED_VALUE"""),10161.0)</f>
        <v>10161</v>
      </c>
      <c r="I1518" s="18">
        <f>IFERROR(__xludf.DUMMYFUNCTION("""COMPUTED_VALUE"""),29.0)</f>
        <v>29</v>
      </c>
      <c r="J1518" s="18">
        <f>IFERROR(__xludf.DUMMYFUNCTION("""COMPUTED_VALUE"""),55.0)</f>
        <v>55</v>
      </c>
      <c r="K1518" s="18">
        <f>IFERROR(__xludf.DUMMYFUNCTION("""COMPUTED_VALUE"""),45.0)</f>
        <v>45</v>
      </c>
      <c r="L1518" s="17">
        <f>IFERROR(__xludf.DUMMYFUNCTION("""COMPUTED_VALUE"""),3.025130013E9)</f>
        <v>3025130013</v>
      </c>
      <c r="M1518" s="17" t="str">
        <f>IFERROR(__xludf.DUMMYFUNCTION("""COMPUTED_VALUE"""),"#REF!")</f>
        <v>#REF!</v>
      </c>
      <c r="N1518" s="17"/>
      <c r="O1518" s="19" t="str">
        <f>IFERROR(__xludf.DUMMYFUNCTION("""COMPUTED_VALUE"""),"")</f>
        <v/>
      </c>
      <c r="P1518" s="17" t="b">
        <f>IFERROR(__xludf.DUMMYFUNCTION("""COMPUTED_VALUE"""),FALSE)</f>
        <v>0</v>
      </c>
      <c r="Q1518" s="20" t="str">
        <f>IFERROR(__xludf.DUMMYFUNCTION("""COMPUTED_VALUE"""),"")</f>
        <v/>
      </c>
      <c r="R1518" s="22" t="str">
        <f>IFERROR(__xludf.DUMMYFUNCTION("""COMPUTED_VALUE"""),"")</f>
        <v/>
      </c>
    </row>
    <row r="1519">
      <c r="A1519" s="15">
        <f>IFERROR(__xludf.DUMMYFUNCTION("""COMPUTED_VALUE"""),45043.0)</f>
        <v>45043</v>
      </c>
      <c r="B1519" s="16" t="str">
        <f>IFERROR(__xludf.DUMMYFUNCTION("""COMPUTED_VALUE"""),"Envia")</f>
        <v>Envia</v>
      </c>
      <c r="C1519" s="15" t="str">
        <f>IFERROR(__xludf.DUMMYFUNCTION("""COMPUTED_VALUE"""),"SINCELEJO")</f>
        <v>SINCELEJO</v>
      </c>
      <c r="D1519" s="15" t="str">
        <f>IFERROR(__xludf.DUMMYFUNCTION("""COMPUTED_VALUE"""),"MEDELLÍN")</f>
        <v>MEDELLÍN</v>
      </c>
      <c r="E1519" s="15" t="str">
        <f>IFERROR(__xludf.DUMMYFUNCTION("""COMPUTED_VALUE"""),"Rambla")</f>
        <v>Rambla</v>
      </c>
      <c r="F1519" s="17" t="str">
        <f>IFERROR(__xludf.DUMMYFUNCTION("""COMPUTED_VALUE"""),"calle 32 #33 -119 local 101 cc living mall brr vene / na / na")</f>
        <v>calle 32 #33 -119 local 101 cc living mall brr vene / na / na</v>
      </c>
      <c r="G1519" s="15" t="str">
        <f>IFERROR(__xludf.DUMMYFUNCTION("""COMPUTED_VALUE"""),"Oliva")</f>
        <v>Oliva</v>
      </c>
      <c r="H1519" s="16">
        <f>IFERROR(__xludf.DUMMYFUNCTION("""COMPUTED_VALUE"""),10114.0)</f>
        <v>10114</v>
      </c>
      <c r="I1519" s="18">
        <f>IFERROR(__xludf.DUMMYFUNCTION("""COMPUTED_VALUE"""),28.0)</f>
        <v>28</v>
      </c>
      <c r="J1519" s="18">
        <f>IFERROR(__xludf.DUMMYFUNCTION("""COMPUTED_VALUE"""),31.0)</f>
        <v>31</v>
      </c>
      <c r="K1519" s="18">
        <f>IFERROR(__xludf.DUMMYFUNCTION("""COMPUTED_VALUE"""),35.0)</f>
        <v>35</v>
      </c>
      <c r="L1519" s="17">
        <f>IFERROR(__xludf.DUMMYFUNCTION("""COMPUTED_VALUE"""),3.022293728E9)</f>
        <v>3022293728</v>
      </c>
      <c r="M1519" s="17" t="str">
        <f>IFERROR(__xludf.DUMMYFUNCTION("""COMPUTED_VALUE"""),"#REF!")</f>
        <v>#REF!</v>
      </c>
      <c r="N1519" s="17"/>
      <c r="O1519" s="19" t="str">
        <f>IFERROR(__xludf.DUMMYFUNCTION("""COMPUTED_VALUE"""),"")</f>
        <v/>
      </c>
      <c r="P1519" s="17" t="b">
        <f>IFERROR(__xludf.DUMMYFUNCTION("""COMPUTED_VALUE"""),FALSE)</f>
        <v>0</v>
      </c>
      <c r="Q1519" s="20" t="str">
        <f>IFERROR(__xludf.DUMMYFUNCTION("""COMPUTED_VALUE"""),"")</f>
        <v/>
      </c>
      <c r="R1519" s="22" t="str">
        <f>IFERROR(__xludf.DUMMYFUNCTION("""COMPUTED_VALUE"""),"")</f>
        <v/>
      </c>
    </row>
    <row r="1520">
      <c r="A1520" s="15">
        <f>IFERROR(__xludf.DUMMYFUNCTION("""COMPUTED_VALUE"""),45043.0)</f>
        <v>45043</v>
      </c>
      <c r="B1520" s="16" t="str">
        <f>IFERROR(__xludf.DUMMYFUNCTION("""COMPUTED_VALUE"""),"Envia")</f>
        <v>Envia</v>
      </c>
      <c r="C1520" s="15" t="str">
        <f>IFERROR(__xludf.DUMMYFUNCTION("""COMPUTED_VALUE"""),"VILLAVICENCIO")</f>
        <v>VILLAVICENCIO</v>
      </c>
      <c r="D1520" s="15" t="str">
        <f>IFERROR(__xludf.DUMMYFUNCTION("""COMPUTED_VALUE"""),"MEDELLÍN")</f>
        <v>MEDELLÍN</v>
      </c>
      <c r="E1520" s="15" t="str">
        <f>IFERROR(__xludf.DUMMYFUNCTION("""COMPUTED_VALUE"""),"AREPAS LA MARY")</f>
        <v>AREPAS LA MARY</v>
      </c>
      <c r="F1520" s="17" t="str">
        <f>IFERROR(__xludf.DUMMYFUNCTION("""COMPUTED_VALUE"""),"CALLE 35 N.35 17 BARZAL / CASA A MEDIA CUADRA DE LA CLINICA MARTHA")</f>
        <v>CALLE 35 N.35 17 BARZAL / CASA A MEDIA CUADRA DE LA CLINICA MARTHA</v>
      </c>
      <c r="G1520" s="15" t="str">
        <f>IFERROR(__xludf.DUMMYFUNCTION("""COMPUTED_VALUE"""),"FREDDY ALBERTO CESPEDES")</f>
        <v>FREDDY ALBERTO CESPEDES</v>
      </c>
      <c r="H1520" s="16">
        <f>IFERROR(__xludf.DUMMYFUNCTION("""COMPUTED_VALUE"""),10106.0)</f>
        <v>10106</v>
      </c>
      <c r="I1520" s="18">
        <f>IFERROR(__xludf.DUMMYFUNCTION("""COMPUTED_VALUE"""),89.0)</f>
        <v>89</v>
      </c>
      <c r="J1520" s="18">
        <f>IFERROR(__xludf.DUMMYFUNCTION("""COMPUTED_VALUE"""),1.0)</f>
        <v>1</v>
      </c>
      <c r="K1520" s="18">
        <f>IFERROR(__xludf.DUMMYFUNCTION("""COMPUTED_VALUE"""),10.0)</f>
        <v>10</v>
      </c>
      <c r="L1520" s="17">
        <f>IFERROR(__xludf.DUMMYFUNCTION("""COMPUTED_VALUE"""),3.115583327E9)</f>
        <v>3115583327</v>
      </c>
      <c r="M1520" s="17" t="str">
        <f>IFERROR(__xludf.DUMMYFUNCTION("""COMPUTED_VALUE"""),"#REF!")</f>
        <v>#REF!</v>
      </c>
      <c r="N1520" s="17"/>
      <c r="O1520" s="19" t="str">
        <f>IFERROR(__xludf.DUMMYFUNCTION("""COMPUTED_VALUE"""),"")</f>
        <v/>
      </c>
      <c r="P1520" s="17" t="b">
        <f>IFERROR(__xludf.DUMMYFUNCTION("""COMPUTED_VALUE"""),FALSE)</f>
        <v>0</v>
      </c>
      <c r="Q1520" s="20" t="str">
        <f>IFERROR(__xludf.DUMMYFUNCTION("""COMPUTED_VALUE"""),"")</f>
        <v/>
      </c>
      <c r="R1520" s="22" t="str">
        <f>IFERROR(__xludf.DUMMYFUNCTION("""COMPUTED_VALUE"""),"")</f>
        <v/>
      </c>
    </row>
    <row r="1521">
      <c r="A1521" s="15">
        <f>IFERROR(__xludf.DUMMYFUNCTION("""COMPUTED_VALUE"""),45043.0)</f>
        <v>45043</v>
      </c>
      <c r="B1521" s="16" t="str">
        <f>IFERROR(__xludf.DUMMYFUNCTION("""COMPUTED_VALUE"""),"Envia")</f>
        <v>Envia</v>
      </c>
      <c r="C1521" s="15" t="str">
        <f>IFERROR(__xludf.DUMMYFUNCTION("""COMPUTED_VALUE"""),"VILLAVICENCIO")</f>
        <v>VILLAVICENCIO</v>
      </c>
      <c r="D1521" s="15" t="str">
        <f>IFERROR(__xludf.DUMMYFUNCTION("""COMPUTED_VALUE"""),"MEDELLÍN")</f>
        <v>MEDELLÍN</v>
      </c>
      <c r="E1521" s="15" t="str">
        <f>IFERROR(__xludf.DUMMYFUNCTION("""COMPUTED_VALUE"""),"AREPAS LA MARY")</f>
        <v>AREPAS LA MARY</v>
      </c>
      <c r="F1521" s="17" t="str">
        <f>IFERROR(__xludf.DUMMYFUNCTION("""COMPUTED_VALUE"""),"CLLE 15 N.44 116 / LOCAL 5")</f>
        <v>CLLE 15 N.44 116 / LOCAL 5</v>
      </c>
      <c r="G1521" s="15" t="str">
        <f>IFERROR(__xludf.DUMMYFUNCTION("""COMPUTED_VALUE"""),"SANA TENTACION")</f>
        <v>SANA TENTACION</v>
      </c>
      <c r="H1521" s="16">
        <f>IFERROR(__xludf.DUMMYFUNCTION("""COMPUTED_VALUE"""),10104.0)</f>
        <v>10104</v>
      </c>
      <c r="I1521" s="18">
        <f>IFERROR(__xludf.DUMMYFUNCTION("""COMPUTED_VALUE"""),89.0)</f>
        <v>89</v>
      </c>
      <c r="J1521" s="18">
        <f>IFERROR(__xludf.DUMMYFUNCTION("""COMPUTED_VALUE"""),1.0)</f>
        <v>1</v>
      </c>
      <c r="K1521" s="18">
        <f>IFERROR(__xludf.DUMMYFUNCTION("""COMPUTED_VALUE"""),10.0)</f>
        <v>10</v>
      </c>
      <c r="L1521" s="17">
        <f>IFERROR(__xludf.DUMMYFUNCTION("""COMPUTED_VALUE"""),3.008383044E9)</f>
        <v>3008383044</v>
      </c>
      <c r="M1521" s="17" t="str">
        <f>IFERROR(__xludf.DUMMYFUNCTION("""COMPUTED_VALUE"""),"#REF!")</f>
        <v>#REF!</v>
      </c>
      <c r="N1521" s="17"/>
      <c r="O1521" s="19" t="str">
        <f>IFERROR(__xludf.DUMMYFUNCTION("""COMPUTED_VALUE"""),"")</f>
        <v/>
      </c>
      <c r="P1521" s="17" t="b">
        <f>IFERROR(__xludf.DUMMYFUNCTION("""COMPUTED_VALUE"""),FALSE)</f>
        <v>0</v>
      </c>
      <c r="Q1521" s="20" t="str">
        <f>IFERROR(__xludf.DUMMYFUNCTION("""COMPUTED_VALUE"""),"")</f>
        <v/>
      </c>
      <c r="R1521" s="22" t="str">
        <f>IFERROR(__xludf.DUMMYFUNCTION("""COMPUTED_VALUE"""),"")</f>
        <v/>
      </c>
    </row>
    <row r="1522">
      <c r="A1522" s="17" t="str">
        <f>IFERROR(__xludf.DUMMYFUNCTION("""COMPUTED_VALUE"""),"")</f>
        <v/>
      </c>
      <c r="B1522" s="17" t="str">
        <f>IFERROR(__xludf.DUMMYFUNCTION("""COMPUTED_VALUE"""),"")</f>
        <v/>
      </c>
      <c r="C1522" s="17" t="str">
        <f>IFERROR(__xludf.DUMMYFUNCTION("""COMPUTED_VALUE"""),"")</f>
        <v/>
      </c>
      <c r="D1522" s="17" t="str">
        <f>IFERROR(__xludf.DUMMYFUNCTION("""COMPUTED_VALUE"""),"")</f>
        <v/>
      </c>
      <c r="E1522" s="17" t="str">
        <f>IFERROR(__xludf.DUMMYFUNCTION("""COMPUTED_VALUE"""),"")</f>
        <v/>
      </c>
      <c r="F1522" s="17" t="str">
        <f>IFERROR(__xludf.DUMMYFUNCTION("""COMPUTED_VALUE"""),"")</f>
        <v/>
      </c>
      <c r="G1522" s="17" t="str">
        <f>IFERROR(__xludf.DUMMYFUNCTION("""COMPUTED_VALUE"""),"")</f>
        <v/>
      </c>
      <c r="H1522" s="17" t="str">
        <f>IFERROR(__xludf.DUMMYFUNCTION("""COMPUTED_VALUE"""),"")</f>
        <v/>
      </c>
      <c r="I1522" s="17" t="str">
        <f>IFERROR(__xludf.DUMMYFUNCTION("""COMPUTED_VALUE"""),"")</f>
        <v/>
      </c>
      <c r="J1522" s="17" t="str">
        <f>IFERROR(__xludf.DUMMYFUNCTION("""COMPUTED_VALUE"""),"")</f>
        <v/>
      </c>
      <c r="K1522" s="17" t="str">
        <f>IFERROR(__xludf.DUMMYFUNCTION("""COMPUTED_VALUE"""),"")</f>
        <v/>
      </c>
      <c r="L1522" s="17" t="str">
        <f>IFERROR(__xludf.DUMMYFUNCTION("""COMPUTED_VALUE"""),"")</f>
        <v/>
      </c>
      <c r="M1522" s="17" t="str">
        <f>IFERROR(__xludf.DUMMYFUNCTION("""COMPUTED_VALUE"""),"")</f>
        <v/>
      </c>
      <c r="N1522" s="17" t="str">
        <f>IFERROR(__xludf.DUMMYFUNCTION("""COMPUTED_VALUE"""),"")</f>
        <v/>
      </c>
      <c r="O1522" s="17" t="str">
        <f>IFERROR(__xludf.DUMMYFUNCTION("""COMPUTED_VALUE"""),"")</f>
        <v/>
      </c>
      <c r="P1522" s="17" t="str">
        <f>IFERROR(__xludf.DUMMYFUNCTION("""COMPUTED_VALUE"""),"")</f>
        <v/>
      </c>
      <c r="Q1522" s="17" t="str">
        <f>IFERROR(__xludf.DUMMYFUNCTION("""COMPUTED_VALUE"""),"")</f>
        <v/>
      </c>
      <c r="R1522" s="17" t="str">
        <f>IFERROR(__xludf.DUMMYFUNCTION("""COMPUTED_VALUE"""),"")</f>
        <v/>
      </c>
    </row>
    <row r="1523">
      <c r="A1523" s="15">
        <f>IFERROR(__xludf.DUMMYFUNCTION("""COMPUTED_VALUE"""),45043.0)</f>
        <v>45043</v>
      </c>
      <c r="B1523" s="16" t="str">
        <f>IFERROR(__xludf.DUMMYFUNCTION("""COMPUTED_VALUE"""),"Gustavo Medina Ibañez")</f>
        <v>Gustavo Medina Ibañez</v>
      </c>
      <c r="C1523" s="15" t="str">
        <f>IFERROR(__xludf.DUMMYFUNCTION("""COMPUTED_VALUE"""),"CARTAGENA")</f>
        <v>CARTAGENA</v>
      </c>
      <c r="D1523" s="15" t="str">
        <f>IFERROR(__xludf.DUMMYFUNCTION("""COMPUTED_VALUE"""),"MEDELLÍN")</f>
        <v>MEDELLÍN</v>
      </c>
      <c r="E1523" s="15" t="str">
        <f>IFERROR(__xludf.DUMMYFUNCTION("""COMPUTED_VALUE"""),"Goyo Todo por ellos")</f>
        <v>Goyo Todo por ellos</v>
      </c>
      <c r="F1523" s="17" t="str">
        <f>IFERROR(__xludf.DUMMYFUNCTION("""COMPUTED_VALUE"""),"Kilometro 9 vía al mar, Barcelona de Indias, Etapa Predalbes, casa 2   / Kilometro 9 Via al mar, Barcelona de Indias, Etapa Predalbes Casa 2  / Kilometro 9 via al mar")</f>
        <v>Kilometro 9 vía al mar, Barcelona de Indias, Etapa Predalbes, casa 2   / Kilometro 9 Via al mar, Barcelona de Indias, Etapa Predalbes Casa 2  / Kilometro 9 via al mar</v>
      </c>
      <c r="G1523" s="15" t="str">
        <f>IFERROR(__xludf.DUMMYFUNCTION("""COMPUTED_VALUE"""),"Patricia Posso")</f>
        <v>Patricia Posso</v>
      </c>
      <c r="H1523" s="16">
        <f>IFERROR(__xludf.DUMMYFUNCTION("""COMPUTED_VALUE"""),10113.0)</f>
        <v>10113</v>
      </c>
      <c r="I1523" s="18">
        <f>IFERROR(__xludf.DUMMYFUNCTION("""COMPUTED_VALUE"""),13.0)</f>
        <v>13</v>
      </c>
      <c r="J1523" s="18">
        <f>IFERROR(__xludf.DUMMYFUNCTION("""COMPUTED_VALUE"""),40.0)</f>
        <v>40</v>
      </c>
      <c r="K1523" s="18">
        <f>IFERROR(__xludf.DUMMYFUNCTION("""COMPUTED_VALUE"""),28.0)</f>
        <v>28</v>
      </c>
      <c r="L1523" s="17">
        <f>IFERROR(__xludf.DUMMYFUNCTION("""COMPUTED_VALUE"""),3.104278213E9)</f>
        <v>3104278213</v>
      </c>
      <c r="M1523" s="17" t="str">
        <f>IFERROR(__xludf.DUMMYFUNCTION("""COMPUTED_VALUE"""),"#REF!")</f>
        <v>#REF!</v>
      </c>
      <c r="N1523" s="17"/>
      <c r="O1523" s="19" t="str">
        <f>IFERROR(__xludf.DUMMYFUNCTION("""COMPUTED_VALUE"""),"")</f>
        <v/>
      </c>
      <c r="P1523" s="17" t="b">
        <f>IFERROR(__xludf.DUMMYFUNCTION("""COMPUTED_VALUE"""),TRUE)</f>
        <v>1</v>
      </c>
      <c r="Q1523" s="20">
        <f>IFERROR(__xludf.DUMMYFUNCTION("""COMPUTED_VALUE"""),45044.51321936343)</f>
        <v>45044.51322</v>
      </c>
      <c r="R1523" s="22" t="str">
        <f>IFERROR(__xludf.DUMMYFUNCTION("""COMPUTED_VALUE"""),"")</f>
        <v/>
      </c>
    </row>
    <row r="1524">
      <c r="A1524" s="15">
        <f>IFERROR(__xludf.DUMMYFUNCTION("""COMPUTED_VALUE"""),45043.0)</f>
        <v>45043</v>
      </c>
      <c r="B1524" s="16" t="str">
        <f>IFERROR(__xludf.DUMMYFUNCTION("""COMPUTED_VALUE"""),"Gustavo Medina Ibañez")</f>
        <v>Gustavo Medina Ibañez</v>
      </c>
      <c r="C1524" s="15" t="str">
        <f>IFERROR(__xludf.DUMMYFUNCTION("""COMPUTED_VALUE"""),"CARTAGENA")</f>
        <v>CARTAGENA</v>
      </c>
      <c r="D1524" s="15" t="str">
        <f>IFERROR(__xludf.DUMMYFUNCTION("""COMPUTED_VALUE"""),"MEDELLÍN")</f>
        <v>MEDELLÍN</v>
      </c>
      <c r="E1524" s="15" t="str">
        <f>IFERROR(__xludf.DUMMYFUNCTION("""COMPUTED_VALUE"""),"Rambla")</f>
        <v>Rambla</v>
      </c>
      <c r="F1524" s="17" t="str">
        <f>IFERROR(__xludf.DUMMYFUNCTION("""COMPUTED_VALUE"""),"cra 2 #7-47 local 3 barrio bocagrande / na / na")</f>
        <v>cra 2 #7-47 local 3 barrio bocagrande / na / na</v>
      </c>
      <c r="G1524" s="15" t="str">
        <f>IFERROR(__xludf.DUMMYFUNCTION("""COMPUTED_VALUE"""),"Enjoy Fit Food Market")</f>
        <v>Enjoy Fit Food Market</v>
      </c>
      <c r="H1524" s="16">
        <f>IFERROR(__xludf.DUMMYFUNCTION("""COMPUTED_VALUE"""),10117.0)</f>
        <v>10117</v>
      </c>
      <c r="I1524" s="18">
        <f>IFERROR(__xludf.DUMMYFUNCTION("""COMPUTED_VALUE"""),25.0)</f>
        <v>25</v>
      </c>
      <c r="J1524" s="18">
        <f>IFERROR(__xludf.DUMMYFUNCTION("""COMPUTED_VALUE"""),27.0)</f>
        <v>27</v>
      </c>
      <c r="K1524" s="18">
        <f>IFERROR(__xludf.DUMMYFUNCTION("""COMPUTED_VALUE"""),30.0)</f>
        <v>30</v>
      </c>
      <c r="L1524" s="17">
        <f>IFERROR(__xludf.DUMMYFUNCTION("""COMPUTED_VALUE"""),3.144759636E9)</f>
        <v>3144759636</v>
      </c>
      <c r="M1524" s="17" t="str">
        <f>IFERROR(__xludf.DUMMYFUNCTION("""COMPUTED_VALUE"""),"#REF!")</f>
        <v>#REF!</v>
      </c>
      <c r="N1524" s="17"/>
      <c r="O1524" s="19" t="str">
        <f>IFERROR(__xludf.DUMMYFUNCTION("""COMPUTED_VALUE"""),"")</f>
        <v/>
      </c>
      <c r="P1524" s="17" t="b">
        <f>IFERROR(__xludf.DUMMYFUNCTION("""COMPUTED_VALUE"""),TRUE)</f>
        <v>1</v>
      </c>
      <c r="Q1524" s="20">
        <f>IFERROR(__xludf.DUMMYFUNCTION("""COMPUTED_VALUE"""),45044.51323197917)</f>
        <v>45044.51323</v>
      </c>
      <c r="R1524" s="22" t="str">
        <f>IFERROR(__xludf.DUMMYFUNCTION("""COMPUTED_VALUE"""),"")</f>
        <v/>
      </c>
    </row>
    <row r="1525">
      <c r="A1525" s="15">
        <f>IFERROR(__xludf.DUMMYFUNCTION("""COMPUTED_VALUE"""),45043.0)</f>
        <v>45043</v>
      </c>
      <c r="B1525" s="16" t="str">
        <f>IFERROR(__xludf.DUMMYFUNCTION("""COMPUTED_VALUE"""),"Gustavo Medina Ibañez")</f>
        <v>Gustavo Medina Ibañez</v>
      </c>
      <c r="C1525" s="15" t="str">
        <f>IFERROR(__xludf.DUMMYFUNCTION("""COMPUTED_VALUE"""),"YOPAL")</f>
        <v>YOPAL</v>
      </c>
      <c r="D1525" s="15" t="str">
        <f>IFERROR(__xludf.DUMMYFUNCTION("""COMPUTED_VALUE"""),"BOGOTÁ")</f>
        <v>BOGOTÁ</v>
      </c>
      <c r="E1525" s="15" t="str">
        <f>IFERROR(__xludf.DUMMYFUNCTION("""COMPUTED_VALUE"""),"Evamazzita")</f>
        <v>Evamazzita</v>
      </c>
      <c r="F1525" s="17" t="str">
        <f>IFERROR(__xludf.DUMMYFUNCTION("""COMPUTED_VALUE"""),"Calle 15 n 27 16  / CASA  / ES UN CONJUNTO RESIDENCIAL, PERO LA CASA ESTÁ POR FUERA")</f>
        <v>Calle 15 n 27 16  / CASA  / ES UN CONJUNTO RESIDENCIAL, PERO LA CASA ESTÁ POR FUERA</v>
      </c>
      <c r="G1525" s="15" t="str">
        <f>IFERROR(__xludf.DUMMYFUNCTION("""COMPUTED_VALUE"""),"ESTELA MUÑOZ")</f>
        <v>ESTELA MUÑOZ</v>
      </c>
      <c r="H1525" s="16">
        <f>IFERROR(__xludf.DUMMYFUNCTION("""COMPUTED_VALUE"""),10159.0)</f>
        <v>10159</v>
      </c>
      <c r="I1525" s="18">
        <f>IFERROR(__xludf.DUMMYFUNCTION("""COMPUTED_VALUE"""),10.0)</f>
        <v>10</v>
      </c>
      <c r="J1525" s="18">
        <f>IFERROR(__xludf.DUMMYFUNCTION("""COMPUTED_VALUE"""),22.0)</f>
        <v>22</v>
      </c>
      <c r="K1525" s="18">
        <f>IFERROR(__xludf.DUMMYFUNCTION("""COMPUTED_VALUE"""),18.0)</f>
        <v>18</v>
      </c>
      <c r="L1525" s="17">
        <f>IFERROR(__xludf.DUMMYFUNCTION("""COMPUTED_VALUE"""),3.11506336E9)</f>
        <v>3115063360</v>
      </c>
      <c r="M1525" s="17" t="str">
        <f>IFERROR(__xludf.DUMMYFUNCTION("""COMPUTED_VALUE"""),"#REF!")</f>
        <v>#REF!</v>
      </c>
      <c r="N1525" s="17"/>
      <c r="O1525" s="19" t="str">
        <f>IFERROR(__xludf.DUMMYFUNCTION("""COMPUTED_VALUE"""),"")</f>
        <v/>
      </c>
      <c r="P1525" s="17" t="b">
        <f>IFERROR(__xludf.DUMMYFUNCTION("""COMPUTED_VALUE"""),TRUE)</f>
        <v>1</v>
      </c>
      <c r="Q1525" s="20">
        <f>IFERROR(__xludf.DUMMYFUNCTION("""COMPUTED_VALUE"""),45044.51323197917)</f>
        <v>45044.51323</v>
      </c>
      <c r="R1525" s="22" t="str">
        <f>IFERROR(__xludf.DUMMYFUNCTION("""COMPUTED_VALUE"""),"")</f>
        <v/>
      </c>
    </row>
    <row r="1526">
      <c r="A1526" s="15">
        <f>IFERROR(__xludf.DUMMYFUNCTION("""COMPUTED_VALUE"""),45043.0)</f>
        <v>45043</v>
      </c>
      <c r="B1526" s="16" t="str">
        <f>IFERROR(__xludf.DUMMYFUNCTION("""COMPUTED_VALUE"""),"Gustavo Medina Ibañez")</f>
        <v>Gustavo Medina Ibañez</v>
      </c>
      <c r="C1526" s="15" t="str">
        <f>IFERROR(__xludf.DUMMYFUNCTION("""COMPUTED_VALUE"""),"YOPAL")</f>
        <v>YOPAL</v>
      </c>
      <c r="D1526" s="15" t="str">
        <f>IFERROR(__xludf.DUMMYFUNCTION("""COMPUTED_VALUE"""),"BOGOTÁ")</f>
        <v>BOGOTÁ</v>
      </c>
      <c r="E1526" s="15" t="str">
        <f>IFERROR(__xludf.DUMMYFUNCTION("""COMPUTED_VALUE"""),"Evamazzita")</f>
        <v>Evamazzita</v>
      </c>
      <c r="F1526" s="17" t="str">
        <f>IFERROR(__xludf.DUMMYFUNCTION("""COMPUTED_VALUE"""),"TRANSV 18 No. 10 - 32  / N/A / CENTRO")</f>
        <v>TRANSV 18 No. 10 - 32  / N/A / CENTRO</v>
      </c>
      <c r="G1526" s="15" t="str">
        <f>IFERROR(__xludf.DUMMYFUNCTION("""COMPUTED_VALUE"""),"YINETH IZQUIERDO")</f>
        <v>YINETH IZQUIERDO</v>
      </c>
      <c r="H1526" s="16">
        <f>IFERROR(__xludf.DUMMYFUNCTION("""COMPUTED_VALUE"""),10158.0)</f>
        <v>10158</v>
      </c>
      <c r="I1526" s="18">
        <f>IFERROR(__xludf.DUMMYFUNCTION("""COMPUTED_VALUE"""),10.0)</f>
        <v>10</v>
      </c>
      <c r="J1526" s="18">
        <f>IFERROR(__xludf.DUMMYFUNCTION("""COMPUTED_VALUE"""),23.0)</f>
        <v>23</v>
      </c>
      <c r="K1526" s="18">
        <f>IFERROR(__xludf.DUMMYFUNCTION("""COMPUTED_VALUE"""),25.0)</f>
        <v>25</v>
      </c>
      <c r="L1526" s="17">
        <f>IFERROR(__xludf.DUMMYFUNCTION("""COMPUTED_VALUE"""),3.124537394E9)</f>
        <v>3124537394</v>
      </c>
      <c r="M1526" s="17" t="str">
        <f>IFERROR(__xludf.DUMMYFUNCTION("""COMPUTED_VALUE"""),"#REF!")</f>
        <v>#REF!</v>
      </c>
      <c r="N1526" s="17"/>
      <c r="O1526" s="19" t="str">
        <f>IFERROR(__xludf.DUMMYFUNCTION("""COMPUTED_VALUE"""),"")</f>
        <v/>
      </c>
      <c r="P1526" s="17" t="b">
        <f>IFERROR(__xludf.DUMMYFUNCTION("""COMPUTED_VALUE"""),TRUE)</f>
        <v>1</v>
      </c>
      <c r="Q1526" s="20">
        <f>IFERROR(__xludf.DUMMYFUNCTION("""COMPUTED_VALUE"""),45044.51324731481)</f>
        <v>45044.51325</v>
      </c>
      <c r="R1526" s="22" t="str">
        <f>IFERROR(__xludf.DUMMYFUNCTION("""COMPUTED_VALUE"""),"")</f>
        <v/>
      </c>
    </row>
    <row r="1527">
      <c r="A1527" s="17" t="str">
        <f>IFERROR(__xludf.DUMMYFUNCTION("""COMPUTED_VALUE"""),"")</f>
        <v/>
      </c>
      <c r="B1527" s="17" t="str">
        <f>IFERROR(__xludf.DUMMYFUNCTION("""COMPUTED_VALUE"""),"")</f>
        <v/>
      </c>
      <c r="C1527" s="17" t="str">
        <f>IFERROR(__xludf.DUMMYFUNCTION("""COMPUTED_VALUE"""),"")</f>
        <v/>
      </c>
      <c r="D1527" s="17" t="str">
        <f>IFERROR(__xludf.DUMMYFUNCTION("""COMPUTED_VALUE"""),"")</f>
        <v/>
      </c>
      <c r="E1527" s="17" t="str">
        <f>IFERROR(__xludf.DUMMYFUNCTION("""COMPUTED_VALUE"""),"")</f>
        <v/>
      </c>
      <c r="F1527" s="17" t="str">
        <f>IFERROR(__xludf.DUMMYFUNCTION("""COMPUTED_VALUE"""),"")</f>
        <v/>
      </c>
      <c r="G1527" s="17" t="str">
        <f>IFERROR(__xludf.DUMMYFUNCTION("""COMPUTED_VALUE"""),"")</f>
        <v/>
      </c>
      <c r="H1527" s="17" t="str">
        <f>IFERROR(__xludf.DUMMYFUNCTION("""COMPUTED_VALUE"""),"")</f>
        <v/>
      </c>
      <c r="I1527" s="17" t="str">
        <f>IFERROR(__xludf.DUMMYFUNCTION("""COMPUTED_VALUE"""),"")</f>
        <v/>
      </c>
      <c r="J1527" s="17" t="str">
        <f>IFERROR(__xludf.DUMMYFUNCTION("""COMPUTED_VALUE"""),"")</f>
        <v/>
      </c>
      <c r="K1527" s="17" t="str">
        <f>IFERROR(__xludf.DUMMYFUNCTION("""COMPUTED_VALUE"""),"")</f>
        <v/>
      </c>
      <c r="L1527" s="17" t="str">
        <f>IFERROR(__xludf.DUMMYFUNCTION("""COMPUTED_VALUE"""),"")</f>
        <v/>
      </c>
      <c r="M1527" s="17" t="str">
        <f>IFERROR(__xludf.DUMMYFUNCTION("""COMPUTED_VALUE"""),"")</f>
        <v/>
      </c>
      <c r="N1527" s="17" t="str">
        <f>IFERROR(__xludf.DUMMYFUNCTION("""COMPUTED_VALUE"""),"")</f>
        <v/>
      </c>
      <c r="O1527" s="17" t="str">
        <f>IFERROR(__xludf.DUMMYFUNCTION("""COMPUTED_VALUE"""),"")</f>
        <v/>
      </c>
      <c r="P1527" s="17" t="str">
        <f>IFERROR(__xludf.DUMMYFUNCTION("""COMPUTED_VALUE"""),"")</f>
        <v/>
      </c>
      <c r="Q1527" s="17" t="str">
        <f>IFERROR(__xludf.DUMMYFUNCTION("""COMPUTED_VALUE"""),"")</f>
        <v/>
      </c>
      <c r="R1527" s="17" t="str">
        <f>IFERROR(__xludf.DUMMYFUNCTION("""COMPUTED_VALUE"""),"")</f>
        <v/>
      </c>
    </row>
    <row r="1528">
      <c r="A1528" s="15">
        <f>IFERROR(__xludf.DUMMYFUNCTION("""COMPUTED_VALUE"""),45043.0)</f>
        <v>45043</v>
      </c>
      <c r="B1528" s="16" t="str">
        <f>IFERROR(__xludf.DUMMYFUNCTION("""COMPUTED_VALUE"""),"Jesus Manuel Herrera Medina ")</f>
        <v>Jesus Manuel Herrera Medina </v>
      </c>
      <c r="C1528" s="15" t="str">
        <f>IFERROR(__xludf.DUMMYFUNCTION("""COMPUTED_VALUE"""),"BUCARAMANGA")</f>
        <v>BUCARAMANGA</v>
      </c>
      <c r="D1528" s="15" t="str">
        <f>IFERROR(__xludf.DUMMYFUNCTION("""COMPUTED_VALUE"""),"BOGOTÁ")</f>
        <v>BOGOTÁ</v>
      </c>
      <c r="E1528" s="15" t="str">
        <f>IFERROR(__xludf.DUMMYFUNCTION("""COMPUTED_VALUE"""),"Evamazzita")</f>
        <v>Evamazzita</v>
      </c>
      <c r="F1528" s="17" t="str">
        <f>IFERROR(__xludf.DUMMYFUNCTION("""COMPUTED_VALUE"""),"CARRERA 20 # 7 - 11  / N/A / BARRIO COMUNEROS")</f>
        <v>CARRERA 20 # 7 - 11  / N/A / BARRIO COMUNEROS</v>
      </c>
      <c r="G1528" s="15" t="str">
        <f>IFERROR(__xludf.DUMMYFUNCTION("""COMPUTED_VALUE"""),"MARIO JOSÉ CORTÉS PARADA")</f>
        <v>MARIO JOSÉ CORTÉS PARADA</v>
      </c>
      <c r="H1528" s="16">
        <f>IFERROR(__xludf.DUMMYFUNCTION("""COMPUTED_VALUE"""),10160.0)</f>
        <v>10160</v>
      </c>
      <c r="I1528" s="18">
        <f>IFERROR(__xludf.DUMMYFUNCTION("""COMPUTED_VALUE"""),18.0)</f>
        <v>18</v>
      </c>
      <c r="J1528" s="18">
        <f>IFERROR(__xludf.DUMMYFUNCTION("""COMPUTED_VALUE"""),44.0)</f>
        <v>44</v>
      </c>
      <c r="K1528" s="18">
        <f>IFERROR(__xludf.DUMMYFUNCTION("""COMPUTED_VALUE"""),29.0)</f>
        <v>29</v>
      </c>
      <c r="L1528" s="17">
        <f>IFERROR(__xludf.DUMMYFUNCTION("""COMPUTED_VALUE"""),3.123394474E9)</f>
        <v>3123394474</v>
      </c>
      <c r="M1528" s="17" t="str">
        <f>IFERROR(__xludf.DUMMYFUNCTION("""COMPUTED_VALUE"""),"#REF!")</f>
        <v>#REF!</v>
      </c>
      <c r="N1528" s="17"/>
      <c r="O1528" s="19" t="str">
        <f>IFERROR(__xludf.DUMMYFUNCTION("""COMPUTED_VALUE"""),"")</f>
        <v/>
      </c>
      <c r="P1528" s="17" t="b">
        <f>IFERROR(__xludf.DUMMYFUNCTION("""COMPUTED_VALUE"""),FALSE)</f>
        <v>0</v>
      </c>
      <c r="Q1528" s="20" t="str">
        <f>IFERROR(__xludf.DUMMYFUNCTION("""COMPUTED_VALUE"""),"")</f>
        <v/>
      </c>
      <c r="R1528" s="22" t="str">
        <f>IFERROR(__xludf.DUMMYFUNCTION("""COMPUTED_VALUE"""),"")</f>
        <v/>
      </c>
    </row>
    <row r="1529">
      <c r="A1529" s="15">
        <f>IFERROR(__xludf.DUMMYFUNCTION("""COMPUTED_VALUE"""),45043.0)</f>
        <v>45043</v>
      </c>
      <c r="B1529" s="16" t="str">
        <f>IFERROR(__xludf.DUMMYFUNCTION("""COMPUTED_VALUE"""),"Jesus Manuel Herrera Medina ")</f>
        <v>Jesus Manuel Herrera Medina </v>
      </c>
      <c r="C1529" s="15" t="str">
        <f>IFERROR(__xludf.DUMMYFUNCTION("""COMPUTED_VALUE"""),"PASTO")</f>
        <v>PASTO</v>
      </c>
      <c r="D1529" s="15" t="str">
        <f>IFERROR(__xludf.DUMMYFUNCTION("""COMPUTED_VALUE"""),"CALI")</f>
        <v>CALI</v>
      </c>
      <c r="E1529" s="15" t="str">
        <f>IFERROR(__xludf.DUMMYFUNCTION("""COMPUTED_VALUE"""),"Sabor Típico")</f>
        <v>Sabor Típico</v>
      </c>
      <c r="F1529" s="17" t="str">
        <f>IFERROR(__xludf.DUMMYFUNCTION("""COMPUTED_VALUE"""),"Calle 14 #13B-41, Barrio Las Violetas II / Pets de Colombia / Barrio Las Violetas II")</f>
        <v>Calle 14 #13B-41, Barrio Las Violetas II / Pets de Colombia / Barrio Las Violetas II</v>
      </c>
      <c r="G1529" s="15" t="str">
        <f>IFERROR(__xludf.DUMMYFUNCTION("""COMPUTED_VALUE"""),"Karol Fabiana Goyes - Pets de Colombia")</f>
        <v>Karol Fabiana Goyes - Pets de Colombia</v>
      </c>
      <c r="H1529" s="16">
        <f>IFERROR(__xludf.DUMMYFUNCTION("""COMPUTED_VALUE"""),10028.0)</f>
        <v>10028</v>
      </c>
      <c r="I1529" s="18">
        <f>IFERROR(__xludf.DUMMYFUNCTION("""COMPUTED_VALUE"""),9.0)</f>
        <v>9</v>
      </c>
      <c r="J1529" s="18">
        <f>IFERROR(__xludf.DUMMYFUNCTION("""COMPUTED_VALUE"""),30.0)</f>
        <v>30</v>
      </c>
      <c r="K1529" s="18">
        <f>IFERROR(__xludf.DUMMYFUNCTION("""COMPUTED_VALUE"""),22.0)</f>
        <v>22</v>
      </c>
      <c r="L1529" s="17">
        <f>IFERROR(__xludf.DUMMYFUNCTION("""COMPUTED_VALUE"""),3.185525744E9)</f>
        <v>3185525744</v>
      </c>
      <c r="M1529" s="17" t="str">
        <f>IFERROR(__xludf.DUMMYFUNCTION("""COMPUTED_VALUE"""),"#REF!")</f>
        <v>#REF!</v>
      </c>
      <c r="N1529" s="17"/>
      <c r="O1529" s="19" t="str">
        <f>IFERROR(__xludf.DUMMYFUNCTION("""COMPUTED_VALUE"""),"")</f>
        <v/>
      </c>
      <c r="P1529" s="17" t="b">
        <f>IFERROR(__xludf.DUMMYFUNCTION("""COMPUTED_VALUE"""),TRUE)</f>
        <v>1</v>
      </c>
      <c r="Q1529" s="20">
        <f>IFERROR(__xludf.DUMMYFUNCTION("""COMPUTED_VALUE"""),45044.275572557875)</f>
        <v>45044.27557</v>
      </c>
      <c r="R1529" s="22" t="str">
        <f>IFERROR(__xludf.DUMMYFUNCTION("""COMPUTED_VALUE"""),"")</f>
        <v/>
      </c>
    </row>
    <row r="1530">
      <c r="A1530" s="17" t="str">
        <f>IFERROR(__xludf.DUMMYFUNCTION("""COMPUTED_VALUE"""),"")</f>
        <v/>
      </c>
      <c r="B1530" s="17" t="str">
        <f>IFERROR(__xludf.DUMMYFUNCTION("""COMPUTED_VALUE"""),"")</f>
        <v/>
      </c>
      <c r="C1530" s="17" t="str">
        <f>IFERROR(__xludf.DUMMYFUNCTION("""COMPUTED_VALUE"""),"")</f>
        <v/>
      </c>
      <c r="D1530" s="17" t="str">
        <f>IFERROR(__xludf.DUMMYFUNCTION("""COMPUTED_VALUE"""),"")</f>
        <v/>
      </c>
      <c r="E1530" s="17" t="str">
        <f>IFERROR(__xludf.DUMMYFUNCTION("""COMPUTED_VALUE"""),"")</f>
        <v/>
      </c>
      <c r="F1530" s="17" t="str">
        <f>IFERROR(__xludf.DUMMYFUNCTION("""COMPUTED_VALUE"""),"")</f>
        <v/>
      </c>
      <c r="G1530" s="17" t="str">
        <f>IFERROR(__xludf.DUMMYFUNCTION("""COMPUTED_VALUE"""),"")</f>
        <v/>
      </c>
      <c r="H1530" s="17" t="str">
        <f>IFERROR(__xludf.DUMMYFUNCTION("""COMPUTED_VALUE"""),"")</f>
        <v/>
      </c>
      <c r="I1530" s="17" t="str">
        <f>IFERROR(__xludf.DUMMYFUNCTION("""COMPUTED_VALUE"""),"")</f>
        <v/>
      </c>
      <c r="J1530" s="17" t="str">
        <f>IFERROR(__xludf.DUMMYFUNCTION("""COMPUTED_VALUE"""),"")</f>
        <v/>
      </c>
      <c r="K1530" s="17" t="str">
        <f>IFERROR(__xludf.DUMMYFUNCTION("""COMPUTED_VALUE"""),"")</f>
        <v/>
      </c>
      <c r="L1530" s="17" t="str">
        <f>IFERROR(__xludf.DUMMYFUNCTION("""COMPUTED_VALUE"""),"")</f>
        <v/>
      </c>
      <c r="M1530" s="17" t="str">
        <f>IFERROR(__xludf.DUMMYFUNCTION("""COMPUTED_VALUE"""),"")</f>
        <v/>
      </c>
      <c r="N1530" s="17" t="str">
        <f>IFERROR(__xludf.DUMMYFUNCTION("""COMPUTED_VALUE"""),"")</f>
        <v/>
      </c>
      <c r="O1530" s="17" t="str">
        <f>IFERROR(__xludf.DUMMYFUNCTION("""COMPUTED_VALUE"""),"")</f>
        <v/>
      </c>
      <c r="P1530" s="17" t="str">
        <f>IFERROR(__xludf.DUMMYFUNCTION("""COMPUTED_VALUE"""),"")</f>
        <v/>
      </c>
      <c r="Q1530" s="17" t="str">
        <f>IFERROR(__xludf.DUMMYFUNCTION("""COMPUTED_VALUE"""),"")</f>
        <v/>
      </c>
      <c r="R1530" s="17" t="str">
        <f>IFERROR(__xludf.DUMMYFUNCTION("""COMPUTED_VALUE"""),"")</f>
        <v/>
      </c>
    </row>
    <row r="1531">
      <c r="A1531" s="15">
        <f>IFERROR(__xludf.DUMMYFUNCTION("""COMPUTED_VALUE"""),45043.0)</f>
        <v>45043</v>
      </c>
      <c r="B1531" s="16" t="str">
        <f>IFERROR(__xludf.DUMMYFUNCTION("""COMPUTED_VALUE"""),"Julian Calderon Rodriguez ")</f>
        <v>Julian Calderon Rodriguez </v>
      </c>
      <c r="C1531" s="15" t="str">
        <f>IFERROR(__xludf.DUMMYFUNCTION("""COMPUTED_VALUE"""),"POPAYAN")</f>
        <v>POPAYAN</v>
      </c>
      <c r="D1531" s="15" t="str">
        <f>IFERROR(__xludf.DUMMYFUNCTION("""COMPUTED_VALUE"""),"BOGOTÁ")</f>
        <v>BOGOTÁ</v>
      </c>
      <c r="E1531" s="15" t="str">
        <f>IFERROR(__xludf.DUMMYFUNCTION("""COMPUTED_VALUE"""),"Evamazzita")</f>
        <v>Evamazzita</v>
      </c>
      <c r="F1531" s="17" t="str">
        <f>IFERROR(__xludf.DUMMYFUNCTION("""COMPUTED_VALUE"""),"CRA 6 # 27N - 58  / LOCAL 1  - VIVEA MERCADO SALUDABLE / BARRIO LOS HOYOS")</f>
        <v>CRA 6 # 27N - 58  / LOCAL 1  - VIVEA MERCADO SALUDABLE / BARRIO LOS HOYOS</v>
      </c>
      <c r="G1531" s="15" t="str">
        <f>IFERROR(__xludf.DUMMYFUNCTION("""COMPUTED_VALUE"""),"VIVIANA ANDREA CHAMORRO YANZA")</f>
        <v>VIVIANA ANDREA CHAMORRO YANZA</v>
      </c>
      <c r="H1531" s="16">
        <f>IFERROR(__xludf.DUMMYFUNCTION("""COMPUTED_VALUE"""),10167.0)</f>
        <v>10167</v>
      </c>
      <c r="I1531" s="18">
        <f>IFERROR(__xludf.DUMMYFUNCTION("""COMPUTED_VALUE"""),1.0)</f>
        <v>1</v>
      </c>
      <c r="J1531" s="18">
        <f>IFERROR(__xludf.DUMMYFUNCTION("""COMPUTED_VALUE"""),1.0)</f>
        <v>1</v>
      </c>
      <c r="K1531" s="18">
        <f>IFERROR(__xludf.DUMMYFUNCTION("""COMPUTED_VALUE"""),1.0)</f>
        <v>1</v>
      </c>
      <c r="L1531" s="17">
        <f>IFERROR(__xludf.DUMMYFUNCTION("""COMPUTED_VALUE"""),3.122971002E9)</f>
        <v>3122971002</v>
      </c>
      <c r="M1531" s="17" t="str">
        <f>IFERROR(__xludf.DUMMYFUNCTION("""COMPUTED_VALUE"""),"#REF!")</f>
        <v>#REF!</v>
      </c>
      <c r="N1531" s="17"/>
      <c r="O1531" s="17"/>
      <c r="P1531" s="17" t="b">
        <f>IFERROR(__xludf.DUMMYFUNCTION("""COMPUTED_VALUE"""),TRUE)</f>
        <v>1</v>
      </c>
      <c r="Q1531" s="20">
        <f>IFERROR(__xludf.DUMMYFUNCTION("""COMPUTED_VALUE"""),0.0)</f>
        <v>0</v>
      </c>
      <c r="R1531" s="22" t="str">
        <f>IFERROR(__xludf.DUMMYFUNCTION("""COMPUTED_VALUE"""),"")</f>
        <v/>
      </c>
    </row>
    <row r="1532">
      <c r="A1532" s="15">
        <f>IFERROR(__xludf.DUMMYFUNCTION("""COMPUTED_VALUE"""),45043.0)</f>
        <v>45043</v>
      </c>
      <c r="B1532" s="16" t="str">
        <f>IFERROR(__xludf.DUMMYFUNCTION("""COMPUTED_VALUE"""),"Julian Calderon Rodriguez ")</f>
        <v>Julian Calderon Rodriguez </v>
      </c>
      <c r="C1532" s="15" t="str">
        <f>IFERROR(__xludf.DUMMYFUNCTION("""COMPUTED_VALUE"""),"POPAYAN")</f>
        <v>POPAYAN</v>
      </c>
      <c r="D1532" s="15" t="str">
        <f>IFERROR(__xludf.DUMMYFUNCTION("""COMPUTED_VALUE"""),"BOGOTÁ")</f>
        <v>BOGOTÁ</v>
      </c>
      <c r="E1532" s="15" t="str">
        <f>IFERROR(__xludf.DUMMYFUNCTION("""COMPUTED_VALUE"""),"Evamazzita")</f>
        <v>Evamazzita</v>
      </c>
      <c r="F1532" s="17" t="str">
        <f>IFERROR(__xludf.DUMMYFUNCTION("""COMPUTED_VALUE"""),"Transversal 9#56n78  /  casa 23 / Condominio Monserrat")</f>
        <v>Transversal 9#56n78  /  casa 23 / Condominio Monserrat</v>
      </c>
      <c r="G1532" s="15" t="str">
        <f>IFERROR(__xludf.DUMMYFUNCTION("""COMPUTED_VALUE"""),"JULIANA ESPINOSA RUIZ")</f>
        <v>JULIANA ESPINOSA RUIZ</v>
      </c>
      <c r="H1532" s="16">
        <f>IFERROR(__xludf.DUMMYFUNCTION("""COMPUTED_VALUE"""),10153.0)</f>
        <v>10153</v>
      </c>
      <c r="I1532" s="18">
        <f>IFERROR(__xludf.DUMMYFUNCTION("""COMPUTED_VALUE"""),5.0)</f>
        <v>5</v>
      </c>
      <c r="J1532" s="18">
        <f>IFERROR(__xludf.DUMMYFUNCTION("""COMPUTED_VALUE"""),17.0)</f>
        <v>17</v>
      </c>
      <c r="K1532" s="18">
        <f>IFERROR(__xludf.DUMMYFUNCTION("""COMPUTED_VALUE"""),9.0)</f>
        <v>9</v>
      </c>
      <c r="L1532" s="17">
        <f>IFERROR(__xludf.DUMMYFUNCTION("""COMPUTED_VALUE"""),3.217821618E9)</f>
        <v>3217821618</v>
      </c>
      <c r="M1532" s="17" t="str">
        <f>IFERROR(__xludf.DUMMYFUNCTION("""COMPUTED_VALUE"""),"#REF!")</f>
        <v>#REF!</v>
      </c>
      <c r="N1532" s="17"/>
      <c r="O1532" s="17"/>
      <c r="P1532" s="17" t="b">
        <f>IFERROR(__xludf.DUMMYFUNCTION("""COMPUTED_VALUE"""),TRUE)</f>
        <v>1</v>
      </c>
      <c r="Q1532" s="20">
        <f>IFERROR(__xludf.DUMMYFUNCTION("""COMPUTED_VALUE"""),0.0)</f>
        <v>0</v>
      </c>
      <c r="R1532" s="22" t="str">
        <f>IFERROR(__xludf.DUMMYFUNCTION("""COMPUTED_VALUE"""),"")</f>
        <v/>
      </c>
    </row>
    <row r="1533">
      <c r="A1533" s="15">
        <f>IFERROR(__xludf.DUMMYFUNCTION("""COMPUTED_VALUE"""),45043.0)</f>
        <v>45043</v>
      </c>
      <c r="B1533" s="16" t="str">
        <f>IFERROR(__xludf.DUMMYFUNCTION("""COMPUTED_VALUE"""),"Julian Calderon Rodriguez ")</f>
        <v>Julian Calderon Rodriguez </v>
      </c>
      <c r="C1533" s="15" t="str">
        <f>IFERROR(__xludf.DUMMYFUNCTION("""COMPUTED_VALUE"""),"VILLAVICENCIO")</f>
        <v>VILLAVICENCIO</v>
      </c>
      <c r="D1533" s="15" t="str">
        <f>IFERROR(__xludf.DUMMYFUNCTION("""COMPUTED_VALUE"""),"BOGOTÁ")</f>
        <v>BOGOTÁ</v>
      </c>
      <c r="E1533" s="15" t="str">
        <f>IFERROR(__xludf.DUMMYFUNCTION("""COMPUTED_VALUE"""),"Asociacion Agropecuaria Juana Maria")</f>
        <v>Asociacion Agropecuaria Juana Maria</v>
      </c>
      <c r="F1533" s="17" t="str">
        <f>IFERROR(__xludf.DUMMYFUNCTION("""COMPUTED_VALUE"""),"Cra 12 Sur Este # 10- 30 BArrio Sociego")</f>
        <v>Cra 12 Sur Este # 10- 30 BArrio Sociego</v>
      </c>
      <c r="G1533" s="15" t="str">
        <f>IFERROR(__xludf.DUMMYFUNCTION("""COMPUTED_VALUE"""),"SANDRA MILENA RUIZ")</f>
        <v>SANDRA MILENA RUIZ</v>
      </c>
      <c r="H1533" s="16">
        <f>IFERROR(__xludf.DUMMYFUNCTION("""COMPUTED_VALUE"""),10013.0)</f>
        <v>10013</v>
      </c>
      <c r="I1533" s="18">
        <f>IFERROR(__xludf.DUMMYFUNCTION("""COMPUTED_VALUE"""),25.0)</f>
        <v>25</v>
      </c>
      <c r="J1533" s="18">
        <f>IFERROR(__xludf.DUMMYFUNCTION("""COMPUTED_VALUE"""),18.0)</f>
        <v>18</v>
      </c>
      <c r="K1533" s="18">
        <f>IFERROR(__xludf.DUMMYFUNCTION("""COMPUTED_VALUE"""),3.0)</f>
        <v>3</v>
      </c>
      <c r="L1533" s="17">
        <f>IFERROR(__xludf.DUMMYFUNCTION("""COMPUTED_VALUE"""),3.002740942E9)</f>
        <v>3002740942</v>
      </c>
      <c r="M1533" s="17" t="str">
        <f>IFERROR(__xludf.DUMMYFUNCTION("""COMPUTED_VALUE"""),"#REF!")</f>
        <v>#REF!</v>
      </c>
      <c r="N1533" s="17"/>
      <c r="O1533" s="17"/>
      <c r="P1533" s="17" t="b">
        <f>IFERROR(__xludf.DUMMYFUNCTION("""COMPUTED_VALUE"""),TRUE)</f>
        <v>1</v>
      </c>
      <c r="Q1533" s="20">
        <f>IFERROR(__xludf.DUMMYFUNCTION("""COMPUTED_VALUE"""),0.0)</f>
        <v>0</v>
      </c>
      <c r="R1533" s="22" t="str">
        <f>IFERROR(__xludf.DUMMYFUNCTION("""COMPUTED_VALUE"""),"")</f>
        <v/>
      </c>
    </row>
    <row r="1534">
      <c r="A1534" s="15">
        <f>IFERROR(__xludf.DUMMYFUNCTION("""COMPUTED_VALUE"""),45043.0)</f>
        <v>45043</v>
      </c>
      <c r="B1534" s="16" t="str">
        <f>IFERROR(__xludf.DUMMYFUNCTION("""COMPUTED_VALUE"""),"Julian Calderon Rodriguez ")</f>
        <v>Julian Calderon Rodriguez </v>
      </c>
      <c r="C1534" s="15" t="str">
        <f>IFERROR(__xludf.DUMMYFUNCTION("""COMPUTED_VALUE"""),"VILLAVICENCIO")</f>
        <v>VILLAVICENCIO</v>
      </c>
      <c r="D1534" s="15" t="str">
        <f>IFERROR(__xludf.DUMMYFUNCTION("""COMPUTED_VALUE"""),"BOGOTÁ")</f>
        <v>BOGOTÁ</v>
      </c>
      <c r="E1534" s="15" t="str">
        <f>IFERROR(__xludf.DUMMYFUNCTION("""COMPUTED_VALUE"""),"Evamazzita")</f>
        <v>Evamazzita</v>
      </c>
      <c r="F1534" s="17" t="str">
        <f>IFERROR(__xludf.DUMMYFUNCTION("""COMPUTED_VALUE"""),"Cll 12 sur 18 07  / N/A / Barrio doña luz")</f>
        <v>Cll 12 sur 18 07  / N/A / Barrio doña luz</v>
      </c>
      <c r="G1534" s="15" t="str">
        <f>IFERROR(__xludf.DUMMYFUNCTION("""COMPUTED_VALUE"""),"LAURA MARIA ARGÜELLO PERDOMO")</f>
        <v>LAURA MARIA ARGÜELLO PERDOMO</v>
      </c>
      <c r="H1534" s="16">
        <f>IFERROR(__xludf.DUMMYFUNCTION("""COMPUTED_VALUE"""),10156.0)</f>
        <v>10156</v>
      </c>
      <c r="I1534" s="18">
        <f>IFERROR(__xludf.DUMMYFUNCTION("""COMPUTED_VALUE"""),3.0)</f>
        <v>3</v>
      </c>
      <c r="J1534" s="18">
        <f>IFERROR(__xludf.DUMMYFUNCTION("""COMPUTED_VALUE"""),20.0)</f>
        <v>20</v>
      </c>
      <c r="K1534" s="18">
        <f>IFERROR(__xludf.DUMMYFUNCTION("""COMPUTED_VALUE"""),15.0)</f>
        <v>15</v>
      </c>
      <c r="L1534" s="17">
        <f>IFERROR(__xludf.DUMMYFUNCTION("""COMPUTED_VALUE"""),3.21260194E9)</f>
        <v>3212601940</v>
      </c>
      <c r="M1534" s="17" t="str">
        <f>IFERROR(__xludf.DUMMYFUNCTION("""COMPUTED_VALUE"""),"#REF!")</f>
        <v>#REF!</v>
      </c>
      <c r="N1534" s="17"/>
      <c r="O1534" s="17"/>
      <c r="P1534" s="17" t="b">
        <f>IFERROR(__xludf.DUMMYFUNCTION("""COMPUTED_VALUE"""),TRUE)</f>
        <v>1</v>
      </c>
      <c r="Q1534" s="20">
        <f>IFERROR(__xludf.DUMMYFUNCTION("""COMPUTED_VALUE"""),0.0)</f>
        <v>0</v>
      </c>
      <c r="R1534" s="22" t="str">
        <f>IFERROR(__xludf.DUMMYFUNCTION("""COMPUTED_VALUE"""),"")</f>
        <v/>
      </c>
    </row>
    <row r="1535">
      <c r="A1535" s="15">
        <f>IFERROR(__xludf.DUMMYFUNCTION("""COMPUTED_VALUE"""),45043.0)</f>
        <v>45043</v>
      </c>
      <c r="B1535" s="16" t="str">
        <f>IFERROR(__xludf.DUMMYFUNCTION("""COMPUTED_VALUE"""),"Julian Calderon Rodriguez ")</f>
        <v>Julian Calderon Rodriguez </v>
      </c>
      <c r="C1535" s="15" t="str">
        <f>IFERROR(__xludf.DUMMYFUNCTION("""COMPUTED_VALUE"""),"VILLAVICENCIO")</f>
        <v>VILLAVICENCIO</v>
      </c>
      <c r="D1535" s="15" t="str">
        <f>IFERROR(__xludf.DUMMYFUNCTION("""COMPUTED_VALUE"""),"BOGOTÁ")</f>
        <v>BOGOTÁ</v>
      </c>
      <c r="E1535" s="15" t="str">
        <f>IFERROR(__xludf.DUMMYFUNCTION("""COMPUTED_VALUE"""),"Evamazzita")</f>
        <v>Evamazzita</v>
      </c>
      <c r="F1535" s="17" t="str">
        <f>IFERROR(__xludf.DUMMYFUNCTION("""COMPUTED_VALUE"""),"Cra 19 D # 22-15  / N/A / Barrio urbanización Macarena")</f>
        <v>Cra 19 D # 22-15  / N/A / Barrio urbanización Macarena</v>
      </c>
      <c r="G1535" s="15" t="str">
        <f>IFERROR(__xludf.DUMMYFUNCTION("""COMPUTED_VALUE"""),"MARIA SARMIENTO")</f>
        <v>MARIA SARMIENTO</v>
      </c>
      <c r="H1535" s="16">
        <f>IFERROR(__xludf.DUMMYFUNCTION("""COMPUTED_VALUE"""),10157.0)</f>
        <v>10157</v>
      </c>
      <c r="I1535" s="18">
        <f>IFERROR(__xludf.DUMMYFUNCTION("""COMPUTED_VALUE"""),10.0)</f>
        <v>10</v>
      </c>
      <c r="J1535" s="18">
        <f>IFERROR(__xludf.DUMMYFUNCTION("""COMPUTED_VALUE"""),18.0)</f>
        <v>18</v>
      </c>
      <c r="K1535" s="18">
        <f>IFERROR(__xludf.DUMMYFUNCTION("""COMPUTED_VALUE"""),22.0)</f>
        <v>22</v>
      </c>
      <c r="L1535" s="17">
        <f>IFERROR(__xludf.DUMMYFUNCTION("""COMPUTED_VALUE"""),3.173537967E9)</f>
        <v>3173537967</v>
      </c>
      <c r="M1535" s="17" t="str">
        <f>IFERROR(__xludf.DUMMYFUNCTION("""COMPUTED_VALUE"""),"#REF!")</f>
        <v>#REF!</v>
      </c>
      <c r="N1535" s="17"/>
      <c r="O1535" s="17"/>
      <c r="P1535" s="17" t="b">
        <f>IFERROR(__xludf.DUMMYFUNCTION("""COMPUTED_VALUE"""),TRUE)</f>
        <v>1</v>
      </c>
      <c r="Q1535" s="20">
        <f>IFERROR(__xludf.DUMMYFUNCTION("""COMPUTED_VALUE"""),0.0)</f>
        <v>0</v>
      </c>
      <c r="R1535" s="22" t="str">
        <f>IFERROR(__xludf.DUMMYFUNCTION("""COMPUTED_VALUE"""),"")</f>
        <v/>
      </c>
    </row>
    <row r="1536">
      <c r="A1536" s="17" t="str">
        <f>IFERROR(__xludf.DUMMYFUNCTION("""COMPUTED_VALUE"""),"")</f>
        <v/>
      </c>
      <c r="B1536" s="17" t="str">
        <f>IFERROR(__xludf.DUMMYFUNCTION("""COMPUTED_VALUE"""),"")</f>
        <v/>
      </c>
      <c r="C1536" s="17" t="str">
        <f>IFERROR(__xludf.DUMMYFUNCTION("""COMPUTED_VALUE"""),"")</f>
        <v/>
      </c>
      <c r="D1536" s="17" t="str">
        <f>IFERROR(__xludf.DUMMYFUNCTION("""COMPUTED_VALUE"""),"")</f>
        <v/>
      </c>
      <c r="E1536" s="17" t="str">
        <f>IFERROR(__xludf.DUMMYFUNCTION("""COMPUTED_VALUE"""),"")</f>
        <v/>
      </c>
      <c r="F1536" s="17" t="str">
        <f>IFERROR(__xludf.DUMMYFUNCTION("""COMPUTED_VALUE"""),"")</f>
        <v/>
      </c>
      <c r="G1536" s="17" t="str">
        <f>IFERROR(__xludf.DUMMYFUNCTION("""COMPUTED_VALUE"""),"")</f>
        <v/>
      </c>
      <c r="H1536" s="17" t="str">
        <f>IFERROR(__xludf.DUMMYFUNCTION("""COMPUTED_VALUE"""),"")</f>
        <v/>
      </c>
      <c r="I1536" s="17" t="str">
        <f>IFERROR(__xludf.DUMMYFUNCTION("""COMPUTED_VALUE"""),"")</f>
        <v/>
      </c>
      <c r="J1536" s="17" t="str">
        <f>IFERROR(__xludf.DUMMYFUNCTION("""COMPUTED_VALUE"""),"")</f>
        <v/>
      </c>
      <c r="K1536" s="17" t="str">
        <f>IFERROR(__xludf.DUMMYFUNCTION("""COMPUTED_VALUE"""),"")</f>
        <v/>
      </c>
      <c r="L1536" s="17" t="str">
        <f>IFERROR(__xludf.DUMMYFUNCTION("""COMPUTED_VALUE"""),"")</f>
        <v/>
      </c>
      <c r="M1536" s="17" t="str">
        <f>IFERROR(__xludf.DUMMYFUNCTION("""COMPUTED_VALUE"""),"")</f>
        <v/>
      </c>
      <c r="N1536" s="17" t="str">
        <f>IFERROR(__xludf.DUMMYFUNCTION("""COMPUTED_VALUE"""),"")</f>
        <v/>
      </c>
      <c r="O1536" s="17" t="str">
        <f>IFERROR(__xludf.DUMMYFUNCTION("""COMPUTED_VALUE"""),"")</f>
        <v/>
      </c>
      <c r="P1536" s="17" t="str">
        <f>IFERROR(__xludf.DUMMYFUNCTION("""COMPUTED_VALUE"""),"")</f>
        <v/>
      </c>
      <c r="Q1536" s="17" t="str">
        <f>IFERROR(__xludf.DUMMYFUNCTION("""COMPUTED_VALUE"""),"")</f>
        <v/>
      </c>
      <c r="R1536" s="17" t="str">
        <f>IFERROR(__xludf.DUMMYFUNCTION("""COMPUTED_VALUE"""),"")</f>
        <v/>
      </c>
    </row>
    <row r="1537">
      <c r="A1537" s="15">
        <f>IFERROR(__xludf.DUMMYFUNCTION("""COMPUTED_VALUE"""),45043.0)</f>
        <v>45043</v>
      </c>
      <c r="B1537" s="16" t="str">
        <f>IFERROR(__xludf.DUMMYFUNCTION("""COMPUTED_VALUE"""),"Oscar Augusto Meneses Osias")</f>
        <v>Oscar Augusto Meneses Osias</v>
      </c>
      <c r="C1537" s="15" t="str">
        <f>IFERROR(__xludf.DUMMYFUNCTION("""COMPUTED_VALUE"""),"SINCELEJO")</f>
        <v>SINCELEJO</v>
      </c>
      <c r="D1537" s="15" t="str">
        <f>IFERROR(__xludf.DUMMYFUNCTION("""COMPUTED_VALUE"""),"MEDELLÍN")</f>
        <v>MEDELLÍN</v>
      </c>
      <c r="E1537" s="15" t="str">
        <f>IFERROR(__xludf.DUMMYFUNCTION("""COMPUTED_VALUE"""),"Rambla")</f>
        <v>Rambla</v>
      </c>
      <c r="F1537" s="17" t="str">
        <f>IFERROR(__xludf.DUMMYFUNCTION("""COMPUTED_VALUE"""),"Calle 25 # 28b - 194 Barrio el socorro Edificio Juan Pablo II  / na / na")</f>
        <v>Calle 25 # 28b - 194 Barrio el socorro Edificio Juan Pablo II  / na / na</v>
      </c>
      <c r="G1537" s="15" t="str">
        <f>IFERROR(__xludf.DUMMYFUNCTION("""COMPUTED_VALUE"""),"NUTRIFIT")</f>
        <v>NUTRIFIT</v>
      </c>
      <c r="H1537" s="16">
        <f>IFERROR(__xludf.DUMMYFUNCTION("""COMPUTED_VALUE"""),10116.0)</f>
        <v>10116</v>
      </c>
      <c r="I1537" s="18">
        <f>IFERROR(__xludf.DUMMYFUNCTION("""COMPUTED_VALUE"""),23.0)</f>
        <v>23</v>
      </c>
      <c r="J1537" s="18">
        <f>IFERROR(__xludf.DUMMYFUNCTION("""COMPUTED_VALUE"""),25.0)</f>
        <v>25</v>
      </c>
      <c r="K1537" s="18">
        <f>IFERROR(__xludf.DUMMYFUNCTION("""COMPUTED_VALUE"""),27.0)</f>
        <v>27</v>
      </c>
      <c r="L1537" s="17">
        <f>IFERROR(__xludf.DUMMYFUNCTION("""COMPUTED_VALUE"""),3.025077345E9)</f>
        <v>3025077345</v>
      </c>
      <c r="M1537" s="17" t="str">
        <f>IFERROR(__xludf.DUMMYFUNCTION("""COMPUTED_VALUE"""),"#REF!")</f>
        <v>#REF!</v>
      </c>
      <c r="N1537" s="17"/>
      <c r="O1537" s="17"/>
      <c r="P1537" s="17" t="b">
        <f>IFERROR(__xludf.DUMMYFUNCTION("""COMPUTED_VALUE"""),FALSE)</f>
        <v>0</v>
      </c>
      <c r="Q1537" s="20" t="str">
        <f>IFERROR(__xludf.DUMMYFUNCTION("""COMPUTED_VALUE"""),"")</f>
        <v/>
      </c>
      <c r="R1537" s="22" t="str">
        <f>IFERROR(__xludf.DUMMYFUNCTION("""COMPUTED_VALUE"""),"")</f>
        <v/>
      </c>
    </row>
    <row r="1538">
      <c r="A1538" s="17" t="str">
        <f>IFERROR(__xludf.DUMMYFUNCTION("""COMPUTED_VALUE"""),"")</f>
        <v/>
      </c>
      <c r="B1538" s="17" t="str">
        <f>IFERROR(__xludf.DUMMYFUNCTION("""COMPUTED_VALUE"""),"")</f>
        <v/>
      </c>
      <c r="C1538" s="17" t="str">
        <f>IFERROR(__xludf.DUMMYFUNCTION("""COMPUTED_VALUE"""),"")</f>
        <v/>
      </c>
      <c r="D1538" s="17" t="str">
        <f>IFERROR(__xludf.DUMMYFUNCTION("""COMPUTED_VALUE"""),"")</f>
        <v/>
      </c>
      <c r="E1538" s="17" t="str">
        <f>IFERROR(__xludf.DUMMYFUNCTION("""COMPUTED_VALUE"""),"")</f>
        <v/>
      </c>
      <c r="F1538" s="17" t="str">
        <f>IFERROR(__xludf.DUMMYFUNCTION("""COMPUTED_VALUE"""),"")</f>
        <v/>
      </c>
      <c r="G1538" s="17" t="str">
        <f>IFERROR(__xludf.DUMMYFUNCTION("""COMPUTED_VALUE"""),"")</f>
        <v/>
      </c>
      <c r="H1538" s="17" t="str">
        <f>IFERROR(__xludf.DUMMYFUNCTION("""COMPUTED_VALUE"""),"")</f>
        <v/>
      </c>
      <c r="I1538" s="17" t="str">
        <f>IFERROR(__xludf.DUMMYFUNCTION("""COMPUTED_VALUE"""),"")</f>
        <v/>
      </c>
      <c r="J1538" s="17" t="str">
        <f>IFERROR(__xludf.DUMMYFUNCTION("""COMPUTED_VALUE"""),"")</f>
        <v/>
      </c>
      <c r="K1538" s="17" t="str">
        <f>IFERROR(__xludf.DUMMYFUNCTION("""COMPUTED_VALUE"""),"")</f>
        <v/>
      </c>
      <c r="L1538" s="17" t="str">
        <f>IFERROR(__xludf.DUMMYFUNCTION("""COMPUTED_VALUE"""),"")</f>
        <v/>
      </c>
      <c r="M1538" s="17" t="str">
        <f>IFERROR(__xludf.DUMMYFUNCTION("""COMPUTED_VALUE"""),"")</f>
        <v/>
      </c>
      <c r="N1538" s="17" t="str">
        <f>IFERROR(__xludf.DUMMYFUNCTION("""COMPUTED_VALUE"""),"")</f>
        <v/>
      </c>
      <c r="O1538" s="17" t="str">
        <f>IFERROR(__xludf.DUMMYFUNCTION("""COMPUTED_VALUE"""),"")</f>
        <v/>
      </c>
      <c r="P1538" s="17" t="str">
        <f>IFERROR(__xludf.DUMMYFUNCTION("""COMPUTED_VALUE"""),"")</f>
        <v/>
      </c>
      <c r="Q1538" s="17" t="str">
        <f>IFERROR(__xludf.DUMMYFUNCTION("""COMPUTED_VALUE"""),"")</f>
        <v/>
      </c>
      <c r="R1538" s="17" t="str">
        <f>IFERROR(__xludf.DUMMYFUNCTION("""COMPUTED_VALUE"""),"")</f>
        <v/>
      </c>
    </row>
    <row r="1539">
      <c r="A1539" s="15">
        <f>IFERROR(__xludf.DUMMYFUNCTION("""COMPUTED_VALUE"""),45044.0)</f>
        <v>45044</v>
      </c>
      <c r="B1539" s="16" t="str">
        <f>IFERROR(__xludf.DUMMYFUNCTION("""COMPUTED_VALUE"""),"Daniel José sandoval gonzalez")</f>
        <v>Daniel José sandoval gonzalez</v>
      </c>
      <c r="C1539" s="15" t="str">
        <f>IFERROR(__xludf.DUMMYFUNCTION("""COMPUTED_VALUE"""),"BARRANQUILLA")</f>
        <v>BARRANQUILLA</v>
      </c>
      <c r="D1539" s="15" t="str">
        <f>IFERROR(__xludf.DUMMYFUNCTION("""COMPUTED_VALUE"""),"BOGOTÁ")</f>
        <v>BOGOTÁ</v>
      </c>
      <c r="E1539" s="15" t="str">
        <f>IFERROR(__xludf.DUMMYFUNCTION("""COMPUTED_VALUE"""),"Frambascolombia sas")</f>
        <v>Frambascolombia sas</v>
      </c>
      <c r="F1539" s="17" t="str">
        <f>IFERROR(__xludf.DUMMYFUNCTION("""COMPUTED_VALUE"""),"Cra. 53 # 68-55 / local 2")</f>
        <v>Cra. 53 # 68-55 / local 2</v>
      </c>
      <c r="G1539" s="15" t="str">
        <f>IFERROR(__xludf.DUMMYFUNCTION("""COMPUTED_VALUE"""),"PikNPak Barranquilla")</f>
        <v>PikNPak Barranquilla</v>
      </c>
      <c r="H1539" s="16">
        <f>IFERROR(__xludf.DUMMYFUNCTION("""COMPUTED_VALUE"""),10022.0)</f>
        <v>10022</v>
      </c>
      <c r="I1539" s="18">
        <f>IFERROR(__xludf.DUMMYFUNCTION("""COMPUTED_VALUE"""),8.0)</f>
        <v>8</v>
      </c>
      <c r="J1539" s="18">
        <f>IFERROR(__xludf.DUMMYFUNCTION("""COMPUTED_VALUE"""),44992.0)</f>
        <v>44992</v>
      </c>
      <c r="K1539" s="18">
        <f>IFERROR(__xludf.DUMMYFUNCTION("""COMPUTED_VALUE"""),44992.0)</f>
        <v>44992</v>
      </c>
      <c r="L1539" s="17" t="str">
        <f>IFERROR(__xludf.DUMMYFUNCTION("""COMPUTED_VALUE"""),"321 4229567")</f>
        <v>321 4229567</v>
      </c>
      <c r="M1539" s="17" t="str">
        <f>IFERROR(__xludf.DUMMYFUNCTION("""COMPUTED_VALUE"""),"#REF!")</f>
        <v>#REF!</v>
      </c>
      <c r="N1539" s="17"/>
      <c r="O1539" s="17"/>
      <c r="P1539" s="17" t="b">
        <f>IFERROR(__xludf.DUMMYFUNCTION("""COMPUTED_VALUE"""),FALSE)</f>
        <v>0</v>
      </c>
      <c r="Q1539" s="20" t="str">
        <f>IFERROR(__xludf.DUMMYFUNCTION("""COMPUTED_VALUE"""),"")</f>
        <v/>
      </c>
      <c r="R1539" s="22" t="str">
        <f>IFERROR(__xludf.DUMMYFUNCTION("""COMPUTED_VALUE"""),"")</f>
        <v/>
      </c>
    </row>
    <row r="1540">
      <c r="A1540" s="15">
        <f>IFERROR(__xludf.DUMMYFUNCTION("""COMPUTED_VALUE"""),45044.0)</f>
        <v>45044</v>
      </c>
      <c r="B1540" s="16" t="str">
        <f>IFERROR(__xludf.DUMMYFUNCTION("""COMPUTED_VALUE"""),"Daniel José sandoval gonzalez")</f>
        <v>Daniel José sandoval gonzalez</v>
      </c>
      <c r="C1540" s="15" t="str">
        <f>IFERROR(__xludf.DUMMYFUNCTION("""COMPUTED_VALUE"""),"BARRANQUILLA")</f>
        <v>BARRANQUILLA</v>
      </c>
      <c r="D1540" s="15" t="str">
        <f>IFERROR(__xludf.DUMMYFUNCTION("""COMPUTED_VALUE"""),"BOGOTÁ")</f>
        <v>BOGOTÁ</v>
      </c>
      <c r="E1540" s="15" t="str">
        <f>IFERROR(__xludf.DUMMYFUNCTION("""COMPUTED_VALUE"""),"Frambascolombia sas")</f>
        <v>Frambascolombia sas</v>
      </c>
      <c r="F1540" s="17" t="str">
        <f>IFERROR(__xludf.DUMMYFUNCTION("""COMPUTED_VALUE"""),"Cra. 53 # 68-55 / local 2")</f>
        <v>Cra. 53 # 68-55 / local 2</v>
      </c>
      <c r="G1540" s="15" t="str">
        <f>IFERROR(__xludf.DUMMYFUNCTION("""COMPUTED_VALUE"""),"PikNPak Barranquilla")</f>
        <v>PikNPak Barranquilla</v>
      </c>
      <c r="H1540" s="16">
        <f>IFERROR(__xludf.DUMMYFUNCTION("""COMPUTED_VALUE"""),10023.0)</f>
        <v>10023</v>
      </c>
      <c r="I1540" s="18">
        <f>IFERROR(__xludf.DUMMYFUNCTION("""COMPUTED_VALUE"""),11.0)</f>
        <v>11</v>
      </c>
      <c r="J1540" s="18">
        <f>IFERROR(__xludf.DUMMYFUNCTION("""COMPUTED_VALUE"""),9.0)</f>
        <v>9</v>
      </c>
      <c r="K1540" s="18">
        <f>IFERROR(__xludf.DUMMYFUNCTION("""COMPUTED_VALUE"""),9.0)</f>
        <v>9</v>
      </c>
      <c r="L1540" s="17" t="str">
        <f>IFERROR(__xludf.DUMMYFUNCTION("""COMPUTED_VALUE"""),"321 4229567")</f>
        <v>321 4229567</v>
      </c>
      <c r="M1540" s="17" t="str">
        <f>IFERROR(__xludf.DUMMYFUNCTION("""COMPUTED_VALUE"""),"#REF!")</f>
        <v>#REF!</v>
      </c>
      <c r="N1540" s="17"/>
      <c r="O1540" s="17"/>
      <c r="P1540" s="17" t="b">
        <f>IFERROR(__xludf.DUMMYFUNCTION("""COMPUTED_VALUE"""),FALSE)</f>
        <v>0</v>
      </c>
      <c r="Q1540" s="20" t="str">
        <f>IFERROR(__xludf.DUMMYFUNCTION("""COMPUTED_VALUE"""),"")</f>
        <v/>
      </c>
      <c r="R1540" s="22" t="str">
        <f>IFERROR(__xludf.DUMMYFUNCTION("""COMPUTED_VALUE"""),"")</f>
        <v/>
      </c>
    </row>
    <row r="1541">
      <c r="A1541" s="15">
        <f>IFERROR(__xludf.DUMMYFUNCTION("""COMPUTED_VALUE"""),45044.0)</f>
        <v>45044</v>
      </c>
      <c r="B1541" s="16" t="str">
        <f>IFERROR(__xludf.DUMMYFUNCTION("""COMPUTED_VALUE"""),"Daniel José sandoval gonzalez")</f>
        <v>Daniel José sandoval gonzalez</v>
      </c>
      <c r="C1541" s="15" t="str">
        <f>IFERROR(__xludf.DUMMYFUNCTION("""COMPUTED_VALUE"""),"BARRANQUILLA")</f>
        <v>BARRANQUILLA</v>
      </c>
      <c r="D1541" s="15" t="str">
        <f>IFERROR(__xludf.DUMMYFUNCTION("""COMPUTED_VALUE"""),"BOGOTÁ")</f>
        <v>BOGOTÁ</v>
      </c>
      <c r="E1541" s="15" t="str">
        <f>IFERROR(__xludf.DUMMYFUNCTION("""COMPUTED_VALUE"""),"Lunchy Kids")</f>
        <v>Lunchy Kids</v>
      </c>
      <c r="F1541" s="17" t="str">
        <f>IFERROR(__xludf.DUMMYFUNCTION("""COMPUTED_VALUE"""),"Cra 47 # 102- 170. / Edificio La Ria. Apto 203. Torre 1. / Barranquilla")</f>
        <v>Cra 47 # 102- 170. / Edificio La Ria. Apto 203. Torre 1. / Barranquilla</v>
      </c>
      <c r="G1541" s="15" t="str">
        <f>IFERROR(__xludf.DUMMYFUNCTION("""COMPUTED_VALUE"""),"Lila Acuña")</f>
        <v>Lila Acuña</v>
      </c>
      <c r="H1541" s="16">
        <f>IFERROR(__xludf.DUMMYFUNCTION("""COMPUTED_VALUE"""),10101.0)</f>
        <v>10101</v>
      </c>
      <c r="I1541" s="18">
        <f>IFERROR(__xludf.DUMMYFUNCTION("""COMPUTED_VALUE"""),18.0)</f>
        <v>18</v>
      </c>
      <c r="J1541" s="18">
        <f>IFERROR(__xludf.DUMMYFUNCTION("""COMPUTED_VALUE"""),7.0)</f>
        <v>7</v>
      </c>
      <c r="K1541" s="18">
        <f>IFERROR(__xludf.DUMMYFUNCTION("""COMPUTED_VALUE"""),30.0)</f>
        <v>30</v>
      </c>
      <c r="L1541" s="17">
        <f>IFERROR(__xludf.DUMMYFUNCTION("""COMPUTED_VALUE"""),3.164548533E9)</f>
        <v>3164548533</v>
      </c>
      <c r="M1541" s="17" t="str">
        <f>IFERROR(__xludf.DUMMYFUNCTION("""COMPUTED_VALUE"""),"#REF!")</f>
        <v>#REF!</v>
      </c>
      <c r="N1541" s="17"/>
      <c r="O1541" s="17"/>
      <c r="P1541" s="17" t="b">
        <f>IFERROR(__xludf.DUMMYFUNCTION("""COMPUTED_VALUE"""),FALSE)</f>
        <v>0</v>
      </c>
      <c r="Q1541" s="20" t="str">
        <f>IFERROR(__xludf.DUMMYFUNCTION("""COMPUTED_VALUE"""),"")</f>
        <v/>
      </c>
      <c r="R1541" s="22" t="str">
        <f>IFERROR(__xludf.DUMMYFUNCTION("""COMPUTED_VALUE"""),"")</f>
        <v/>
      </c>
    </row>
    <row r="1542">
      <c r="A1542" s="15">
        <f>IFERROR(__xludf.DUMMYFUNCTION("""COMPUTED_VALUE"""),45044.0)</f>
        <v>45044</v>
      </c>
      <c r="B1542" s="16" t="str">
        <f>IFERROR(__xludf.DUMMYFUNCTION("""COMPUTED_VALUE"""),"Daniel José sandoval gonzalez")</f>
        <v>Daniel José sandoval gonzalez</v>
      </c>
      <c r="C1542" s="15" t="str">
        <f>IFERROR(__xludf.DUMMYFUNCTION("""COMPUTED_VALUE"""),"BARRANQUILLA")</f>
        <v>BARRANQUILLA</v>
      </c>
      <c r="D1542" s="15" t="str">
        <f>IFERROR(__xludf.DUMMYFUNCTION("""COMPUTED_VALUE"""),"BOGOTÁ")</f>
        <v>BOGOTÁ</v>
      </c>
      <c r="E1542" s="15" t="str">
        <f>IFERROR(__xludf.DUMMYFUNCTION("""COMPUTED_VALUE"""),"MAI ALIMENTOS S.A.S")</f>
        <v>MAI ALIMENTOS S.A.S</v>
      </c>
      <c r="F1542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1542" s="15" t="str">
        <f>IFERROR(__xludf.DUMMYFUNCTION("""COMPUTED_VALUE"""),"Fithub Barranquilla")</f>
        <v>Fithub Barranquilla</v>
      </c>
      <c r="H1542" s="16">
        <f>IFERROR(__xludf.DUMMYFUNCTION("""COMPUTED_VALUE"""),9977.0)</f>
        <v>9977</v>
      </c>
      <c r="I1542" s="18">
        <f>IFERROR(__xludf.DUMMYFUNCTION("""COMPUTED_VALUE"""),28.0)</f>
        <v>28</v>
      </c>
      <c r="J1542" s="18">
        <f>IFERROR(__xludf.DUMMYFUNCTION("""COMPUTED_VALUE"""),17.0)</f>
        <v>17</v>
      </c>
      <c r="K1542" s="18">
        <f>IFERROR(__xludf.DUMMYFUNCTION("""COMPUTED_VALUE"""),13.0)</f>
        <v>13</v>
      </c>
      <c r="L1542" s="17"/>
      <c r="M1542" s="17" t="str">
        <f>IFERROR(__xludf.DUMMYFUNCTION("""COMPUTED_VALUE"""),"#REF!")</f>
        <v>#REF!</v>
      </c>
      <c r="N1542" s="17"/>
      <c r="O1542" s="17"/>
      <c r="P1542" s="17" t="b">
        <f>IFERROR(__xludf.DUMMYFUNCTION("""COMPUTED_VALUE"""),FALSE)</f>
        <v>0</v>
      </c>
      <c r="Q1542" s="20" t="str">
        <f>IFERROR(__xludf.DUMMYFUNCTION("""COMPUTED_VALUE"""),"")</f>
        <v/>
      </c>
      <c r="R1542" s="22" t="str">
        <f>IFERROR(__xludf.DUMMYFUNCTION("""COMPUTED_VALUE"""),"")</f>
        <v/>
      </c>
    </row>
    <row r="1543">
      <c r="A1543" s="15">
        <f>IFERROR(__xludf.DUMMYFUNCTION("""COMPUTED_VALUE"""),45044.0)</f>
        <v>45044</v>
      </c>
      <c r="B1543" s="16" t="str">
        <f>IFERROR(__xludf.DUMMYFUNCTION("""COMPUTED_VALUE"""),"Daniel José sandoval gonzalez")</f>
        <v>Daniel José sandoval gonzalez</v>
      </c>
      <c r="C1543" s="15" t="str">
        <f>IFERROR(__xludf.DUMMYFUNCTION("""COMPUTED_VALUE"""),"BARRANQUILLA")</f>
        <v>BARRANQUILLA</v>
      </c>
      <c r="D1543" s="15" t="str">
        <f>IFERROR(__xludf.DUMMYFUNCTION("""COMPUTED_VALUE"""),"BOGOTÁ")</f>
        <v>BOGOTÁ</v>
      </c>
      <c r="E1543" s="15" t="str">
        <f>IFERROR(__xludf.DUMMYFUNCTION("""COMPUTED_VALUE"""),"Pan de Waffle")</f>
        <v>Pan de Waffle</v>
      </c>
      <c r="F1543" s="17" t="str">
        <f>IFERROR(__xludf.DUMMYFUNCTION("""COMPUTED_VALUE"""),"Carrera 45 # 85 - 168 / Carrera 45 # 85 - 168 / Carrera 45 # 85 - 168")</f>
        <v>Carrera 45 # 85 - 168 / Carrera 45 # 85 - 168 / Carrera 45 # 85 - 168</v>
      </c>
      <c r="G1543" s="15" t="str">
        <f>IFERROR(__xludf.DUMMYFUNCTION("""COMPUTED_VALUE"""),"FOODOLOGY")</f>
        <v>FOODOLOGY</v>
      </c>
      <c r="H1543" s="16">
        <f>IFERROR(__xludf.DUMMYFUNCTION("""COMPUTED_VALUE"""),10149.0)</f>
        <v>10149</v>
      </c>
      <c r="I1543" s="18">
        <f>IFERROR(__xludf.DUMMYFUNCTION("""COMPUTED_VALUE"""),40.0)</f>
        <v>40</v>
      </c>
      <c r="J1543" s="18">
        <f>IFERROR(__xludf.DUMMYFUNCTION("""COMPUTED_VALUE"""),30.0)</f>
        <v>30</v>
      </c>
      <c r="K1543" s="18">
        <f>IFERROR(__xludf.DUMMYFUNCTION("""COMPUTED_VALUE"""),40.0)</f>
        <v>40</v>
      </c>
      <c r="L1543" s="17">
        <f>IFERROR(__xludf.DUMMYFUNCTION("""COMPUTED_VALUE"""),3.017001909E9)</f>
        <v>3017001909</v>
      </c>
      <c r="M1543" s="17" t="str">
        <f>IFERROR(__xludf.DUMMYFUNCTION("""COMPUTED_VALUE"""),"#REF!")</f>
        <v>#REF!</v>
      </c>
      <c r="N1543" s="17"/>
      <c r="O1543" s="17"/>
      <c r="P1543" s="17" t="b">
        <f>IFERROR(__xludf.DUMMYFUNCTION("""COMPUTED_VALUE"""),FALSE)</f>
        <v>0</v>
      </c>
      <c r="Q1543" s="20" t="str">
        <f>IFERROR(__xludf.DUMMYFUNCTION("""COMPUTED_VALUE"""),"")</f>
        <v/>
      </c>
      <c r="R1543" s="22" t="str">
        <f>IFERROR(__xludf.DUMMYFUNCTION("""COMPUTED_VALUE"""),"")</f>
        <v/>
      </c>
    </row>
    <row r="1544">
      <c r="A1544" s="15">
        <f>IFERROR(__xludf.DUMMYFUNCTION("""COMPUTED_VALUE"""),45044.0)</f>
        <v>45044</v>
      </c>
      <c r="B1544" s="16" t="str">
        <f>IFERROR(__xludf.DUMMYFUNCTION("""COMPUTED_VALUE"""),"Daniel José sandoval gonzalez")</f>
        <v>Daniel José sandoval gonzalez</v>
      </c>
      <c r="C1544" s="15" t="str">
        <f>IFERROR(__xludf.DUMMYFUNCTION("""COMPUTED_VALUE"""),"BARRANQUILLA")</f>
        <v>BARRANQUILLA</v>
      </c>
      <c r="D1544" s="15" t="str">
        <f>IFERROR(__xludf.DUMMYFUNCTION("""COMPUTED_VALUE"""),"CALI")</f>
        <v>CALI</v>
      </c>
      <c r="E1544" s="15" t="str">
        <f>IFERROR(__xludf.DUMMYFUNCTION("""COMPUTED_VALUE"""),"Sabor Típico")</f>
        <v>Sabor Típico</v>
      </c>
      <c r="F1544" s="17" t="str">
        <f>IFERROR(__xludf.DUMMYFUNCTION("""COMPUTED_VALUE"""),"Carrera 39 # 71-31 , Apto 201 , Barrio Las Delicias / Carrera 39 # 71-31 , Apto 201 , Barrio Las Delicias / Carrera 39 # 71-31 , Apto 201 , Barrio Las Delicias")</f>
        <v>Carrera 39 # 71-31 , Apto 201 , Barrio Las Delicias / Carrera 39 # 71-31 , Apto 201 , Barrio Las Delicias / Carrera 39 # 71-31 , Apto 201 , Barrio Las Delicias</v>
      </c>
      <c r="G1544" s="15" t="str">
        <f>IFERROR(__xludf.DUMMYFUNCTION("""COMPUTED_VALUE"""),"Jorge Humberto Gonzalez Molina")</f>
        <v>Jorge Humberto Gonzalez Molina</v>
      </c>
      <c r="H1544" s="16">
        <f>IFERROR(__xludf.DUMMYFUNCTION("""COMPUTED_VALUE"""),10031.0)</f>
        <v>10031</v>
      </c>
      <c r="I1544" s="18">
        <f>IFERROR(__xludf.DUMMYFUNCTION("""COMPUTED_VALUE"""),9.0)</f>
        <v>9</v>
      </c>
      <c r="J1544" s="18">
        <f>IFERROR(__xludf.DUMMYFUNCTION("""COMPUTED_VALUE"""),30.0)</f>
        <v>30</v>
      </c>
      <c r="K1544" s="18">
        <f>IFERROR(__xludf.DUMMYFUNCTION("""COMPUTED_VALUE"""),22.0)</f>
        <v>22</v>
      </c>
      <c r="L1544" s="17">
        <f>IFERROR(__xludf.DUMMYFUNCTION("""COMPUTED_VALUE"""),3.153577858E9)</f>
        <v>3153577858</v>
      </c>
      <c r="M1544" s="17" t="str">
        <f>IFERROR(__xludf.DUMMYFUNCTION("""COMPUTED_VALUE"""),"#REF!")</f>
        <v>#REF!</v>
      </c>
      <c r="N1544" s="17"/>
      <c r="O1544" s="17"/>
      <c r="P1544" s="17" t="b">
        <f>IFERROR(__xludf.DUMMYFUNCTION("""COMPUTED_VALUE"""),FALSE)</f>
        <v>0</v>
      </c>
      <c r="Q1544" s="20" t="str">
        <f>IFERROR(__xludf.DUMMYFUNCTION("""COMPUTED_VALUE"""),"")</f>
        <v/>
      </c>
      <c r="R1544" s="22" t="str">
        <f>IFERROR(__xludf.DUMMYFUNCTION("""COMPUTED_VALUE"""),"")</f>
        <v/>
      </c>
    </row>
    <row r="1545">
      <c r="A1545" s="15">
        <f>IFERROR(__xludf.DUMMYFUNCTION("""COMPUTED_VALUE"""),45044.0)</f>
        <v>45044</v>
      </c>
      <c r="B1545" s="16" t="str">
        <f>IFERROR(__xludf.DUMMYFUNCTION("""COMPUTED_VALUE"""),"Daniel José sandoval gonzalez")</f>
        <v>Daniel José sandoval gonzalez</v>
      </c>
      <c r="C1545" s="15" t="str">
        <f>IFERROR(__xludf.DUMMYFUNCTION("""COMPUTED_VALUE"""),"BARRANQUILLA")</f>
        <v>BARRANQUILLA</v>
      </c>
      <c r="D1545" s="15" t="str">
        <f>IFERROR(__xludf.DUMMYFUNCTION("""COMPUTED_VALUE"""),"MEDELLÍN")</f>
        <v>MEDELLÍN</v>
      </c>
      <c r="E1545" s="15" t="str">
        <f>IFERROR(__xludf.DUMMYFUNCTION("""COMPUTED_VALUE"""),"Magda")</f>
        <v>Magda</v>
      </c>
      <c r="F1545" s="17" t="str">
        <f>IFERROR(__xludf.DUMMYFUNCTION("""COMPUTED_VALUE"""),"Cra 53 No. 68-55 / Cocina oculta  / Alto Prado")</f>
        <v>Cra 53 No. 68-55 / Cocina oculta  / Alto Prado</v>
      </c>
      <c r="G1545" s="15" t="str">
        <f>IFERROR(__xludf.DUMMYFUNCTION("""COMPUTED_VALUE"""),"María José Cervantes")</f>
        <v>María José Cervantes</v>
      </c>
      <c r="H1545" s="16">
        <f>IFERROR(__xludf.DUMMYFUNCTION("""COMPUTED_VALUE"""),10187.0)</f>
        <v>10187</v>
      </c>
      <c r="I1545" s="18">
        <f>IFERROR(__xludf.DUMMYFUNCTION("""COMPUTED_VALUE"""),5.0)</f>
        <v>5</v>
      </c>
      <c r="J1545" s="18">
        <f>IFERROR(__xludf.DUMMYFUNCTION("""COMPUTED_VALUE"""),5.0)</f>
        <v>5</v>
      </c>
      <c r="K1545" s="18">
        <f>IFERROR(__xludf.DUMMYFUNCTION("""COMPUTED_VALUE"""),5.0)</f>
        <v>5</v>
      </c>
      <c r="L1545" s="17">
        <f>IFERROR(__xludf.DUMMYFUNCTION("""COMPUTED_VALUE"""),3.113152215E9)</f>
        <v>3113152215</v>
      </c>
      <c r="M1545" s="17" t="str">
        <f>IFERROR(__xludf.DUMMYFUNCTION("""COMPUTED_VALUE"""),"#REF!")</f>
        <v>#REF!</v>
      </c>
      <c r="N1545" s="17"/>
      <c r="O1545" s="17"/>
      <c r="P1545" s="17" t="b">
        <f>IFERROR(__xludf.DUMMYFUNCTION("""COMPUTED_VALUE"""),FALSE)</f>
        <v>0</v>
      </c>
      <c r="Q1545" s="20" t="str">
        <f>IFERROR(__xludf.DUMMYFUNCTION("""COMPUTED_VALUE"""),"")</f>
        <v/>
      </c>
      <c r="R1545" s="22" t="str">
        <f>IFERROR(__xludf.DUMMYFUNCTION("""COMPUTED_VALUE"""),"")</f>
        <v/>
      </c>
    </row>
    <row r="1546">
      <c r="A1546" s="17" t="str">
        <f>IFERROR(__xludf.DUMMYFUNCTION("""COMPUTED_VALUE"""),"")</f>
        <v/>
      </c>
      <c r="B1546" s="17" t="str">
        <f>IFERROR(__xludf.DUMMYFUNCTION("""COMPUTED_VALUE"""),"")</f>
        <v/>
      </c>
      <c r="C1546" s="17" t="str">
        <f>IFERROR(__xludf.DUMMYFUNCTION("""COMPUTED_VALUE"""),"")</f>
        <v/>
      </c>
      <c r="D1546" s="17" t="str">
        <f>IFERROR(__xludf.DUMMYFUNCTION("""COMPUTED_VALUE"""),"")</f>
        <v/>
      </c>
      <c r="E1546" s="17" t="str">
        <f>IFERROR(__xludf.DUMMYFUNCTION("""COMPUTED_VALUE"""),"")</f>
        <v/>
      </c>
      <c r="F1546" s="17" t="str">
        <f>IFERROR(__xludf.DUMMYFUNCTION("""COMPUTED_VALUE"""),"")</f>
        <v/>
      </c>
      <c r="G1546" s="17" t="str">
        <f>IFERROR(__xludf.DUMMYFUNCTION("""COMPUTED_VALUE"""),"")</f>
        <v/>
      </c>
      <c r="H1546" s="17" t="str">
        <f>IFERROR(__xludf.DUMMYFUNCTION("""COMPUTED_VALUE"""),"")</f>
        <v/>
      </c>
      <c r="I1546" s="17" t="str">
        <f>IFERROR(__xludf.DUMMYFUNCTION("""COMPUTED_VALUE"""),"")</f>
        <v/>
      </c>
      <c r="J1546" s="17" t="str">
        <f>IFERROR(__xludf.DUMMYFUNCTION("""COMPUTED_VALUE"""),"")</f>
        <v/>
      </c>
      <c r="K1546" s="17" t="str">
        <f>IFERROR(__xludf.DUMMYFUNCTION("""COMPUTED_VALUE"""),"")</f>
        <v/>
      </c>
      <c r="L1546" s="17" t="str">
        <f>IFERROR(__xludf.DUMMYFUNCTION("""COMPUTED_VALUE"""),"")</f>
        <v/>
      </c>
      <c r="M1546" s="17" t="str">
        <f>IFERROR(__xludf.DUMMYFUNCTION("""COMPUTED_VALUE"""),"")</f>
        <v/>
      </c>
      <c r="N1546" s="17" t="str">
        <f>IFERROR(__xludf.DUMMYFUNCTION("""COMPUTED_VALUE"""),"")</f>
        <v/>
      </c>
      <c r="O1546" s="17" t="str">
        <f>IFERROR(__xludf.DUMMYFUNCTION("""COMPUTED_VALUE"""),"")</f>
        <v/>
      </c>
      <c r="P1546" s="17" t="str">
        <f>IFERROR(__xludf.DUMMYFUNCTION("""COMPUTED_VALUE"""),"")</f>
        <v/>
      </c>
      <c r="Q1546" s="17" t="str">
        <f>IFERROR(__xludf.DUMMYFUNCTION("""COMPUTED_VALUE"""),"")</f>
        <v/>
      </c>
      <c r="R1546" s="17" t="str">
        <f>IFERROR(__xludf.DUMMYFUNCTION("""COMPUTED_VALUE"""),"")</f>
        <v/>
      </c>
    </row>
    <row r="1547">
      <c r="A1547" s="15">
        <f>IFERROR(__xludf.DUMMYFUNCTION("""COMPUTED_VALUE"""),45044.0)</f>
        <v>45044</v>
      </c>
      <c r="B1547" s="16" t="str">
        <f>IFERROR(__xludf.DUMMYFUNCTION("""COMPUTED_VALUE"""),"Envia")</f>
        <v>Envia</v>
      </c>
      <c r="C1547" s="15" t="str">
        <f>IFERROR(__xludf.DUMMYFUNCTION("""COMPUTED_VALUE"""),"BARRANQUILLA")</f>
        <v>BARRANQUILLA</v>
      </c>
      <c r="D1547" s="15" t="str">
        <f>IFERROR(__xludf.DUMMYFUNCTION("""COMPUTED_VALUE"""),"BOGOTÁ")</f>
        <v>BOGOTÁ</v>
      </c>
      <c r="E1547" s="15" t="str">
        <f>IFERROR(__xludf.DUMMYFUNCTION("""COMPUTED_VALUE"""),"Top Spun")</f>
        <v>Top Spun</v>
      </c>
      <c r="F1547" s="17" t="str">
        <f>IFERROR(__xludf.DUMMYFUNCTION("""COMPUTED_VALUE"""),"Cra 42g # 82 - 182  / Apto 605 Edificio Charlotte  / Barranquilla")</f>
        <v>Cra 42g # 82 - 182  / Apto 605 Edificio Charlotte  / Barranquilla</v>
      </c>
      <c r="G1547" s="15" t="str">
        <f>IFERROR(__xludf.DUMMYFUNCTION("""COMPUTED_VALUE"""),"Catalina Moya")</f>
        <v>Catalina Moya</v>
      </c>
      <c r="H1547" s="16">
        <f>IFERROR(__xludf.DUMMYFUNCTION("""COMPUTED_VALUE"""),10142.0)</f>
        <v>10142</v>
      </c>
      <c r="I1547" s="18">
        <f>IFERROR(__xludf.DUMMYFUNCTION("""COMPUTED_VALUE"""),20.0)</f>
        <v>20</v>
      </c>
      <c r="J1547" s="18">
        <f>IFERROR(__xludf.DUMMYFUNCTION("""COMPUTED_VALUE"""),10.0)</f>
        <v>10</v>
      </c>
      <c r="K1547" s="18">
        <f>IFERROR(__xludf.DUMMYFUNCTION("""COMPUTED_VALUE"""),40.0)</f>
        <v>40</v>
      </c>
      <c r="L1547" s="17">
        <f>IFERROR(__xludf.DUMMYFUNCTION("""COMPUTED_VALUE"""),3.009483769E9)</f>
        <v>3009483769</v>
      </c>
      <c r="M1547" s="17" t="str">
        <f>IFERROR(__xludf.DUMMYFUNCTION("""COMPUTED_VALUE"""),"#REF!")</f>
        <v>#REF!</v>
      </c>
      <c r="N1547" s="17"/>
      <c r="O1547" s="17"/>
      <c r="P1547" s="17" t="b">
        <f>IFERROR(__xludf.DUMMYFUNCTION("""COMPUTED_VALUE"""),FALSE)</f>
        <v>0</v>
      </c>
      <c r="Q1547" s="20" t="str">
        <f>IFERROR(__xludf.DUMMYFUNCTION("""COMPUTED_VALUE"""),"")</f>
        <v/>
      </c>
      <c r="R1547" s="22" t="str">
        <f>IFERROR(__xludf.DUMMYFUNCTION("""COMPUTED_VALUE"""),"")</f>
        <v/>
      </c>
    </row>
    <row r="1548">
      <c r="A1548" s="15">
        <f>IFERROR(__xludf.DUMMYFUNCTION("""COMPUTED_VALUE"""),45044.0)</f>
        <v>45044</v>
      </c>
      <c r="B1548" s="16" t="str">
        <f>IFERROR(__xludf.DUMMYFUNCTION("""COMPUTED_VALUE"""),"Envia")</f>
        <v>Envia</v>
      </c>
      <c r="C1548" s="15" t="str">
        <f>IFERROR(__xludf.DUMMYFUNCTION("""COMPUTED_VALUE"""),"BARRANQUILLA")</f>
        <v>BARRANQUILLA</v>
      </c>
      <c r="D1548" s="15" t="str">
        <f>IFERROR(__xludf.DUMMYFUNCTION("""COMPUTED_VALUE"""),"MEDELLÍN")</f>
        <v>MEDELLÍN</v>
      </c>
      <c r="E1548" s="15" t="str">
        <f>IFERROR(__xludf.DUMMYFUNCTION("""COMPUTED_VALUE"""),"Rambla")</f>
        <v>Rambla</v>
      </c>
      <c r="F1548" s="17" t="str">
        <f>IFERROR(__xludf.DUMMYFUNCTION("""COMPUTED_VALUE"""),"carrera 53 #80-284 lc 8 / na / na")</f>
        <v>carrera 53 #80-284 lc 8 / na / na</v>
      </c>
      <c r="G1548" s="15" t="str">
        <f>IFERROR(__xludf.DUMMYFUNCTION("""COMPUTED_VALUE"""),"Corpofit")</f>
        <v>Corpofit</v>
      </c>
      <c r="H1548" s="16">
        <f>IFERROR(__xludf.DUMMYFUNCTION("""COMPUTED_VALUE"""),10171.0)</f>
        <v>10171</v>
      </c>
      <c r="I1548" s="18">
        <f>IFERROR(__xludf.DUMMYFUNCTION("""COMPUTED_VALUE"""),27.0)</f>
        <v>27</v>
      </c>
      <c r="J1548" s="18">
        <f>IFERROR(__xludf.DUMMYFUNCTION("""COMPUTED_VALUE"""),32.0)</f>
        <v>32</v>
      </c>
      <c r="K1548" s="18">
        <f>IFERROR(__xludf.DUMMYFUNCTION("""COMPUTED_VALUE"""),35.0)</f>
        <v>35</v>
      </c>
      <c r="L1548" s="17">
        <f>IFERROR(__xludf.DUMMYFUNCTION("""COMPUTED_VALUE"""),3.006125263E9)</f>
        <v>3006125263</v>
      </c>
      <c r="M1548" s="17" t="str">
        <f>IFERROR(__xludf.DUMMYFUNCTION("""COMPUTED_VALUE"""),"#REF!")</f>
        <v>#REF!</v>
      </c>
      <c r="N1548" s="17"/>
      <c r="O1548" s="17"/>
      <c r="P1548" s="17" t="b">
        <f>IFERROR(__xludf.DUMMYFUNCTION("""COMPUTED_VALUE"""),FALSE)</f>
        <v>0</v>
      </c>
      <c r="Q1548" s="20" t="str">
        <f>IFERROR(__xludf.DUMMYFUNCTION("""COMPUTED_VALUE"""),"")</f>
        <v/>
      </c>
      <c r="R1548" s="22" t="str">
        <f>IFERROR(__xludf.DUMMYFUNCTION("""COMPUTED_VALUE"""),"")</f>
        <v/>
      </c>
    </row>
    <row r="1549">
      <c r="A1549" s="15">
        <f>IFERROR(__xludf.DUMMYFUNCTION("""COMPUTED_VALUE"""),45044.0)</f>
        <v>45044</v>
      </c>
      <c r="B1549" s="16" t="str">
        <f>IFERROR(__xludf.DUMMYFUNCTION("""COMPUTED_VALUE"""),"Envia")</f>
        <v>Envia</v>
      </c>
      <c r="C1549" s="15" t="str">
        <f>IFERROR(__xludf.DUMMYFUNCTION("""COMPUTED_VALUE"""),"BARRANQUILLA")</f>
        <v>BARRANQUILLA</v>
      </c>
      <c r="D1549" s="15" t="str">
        <f>IFERROR(__xludf.DUMMYFUNCTION("""COMPUTED_VALUE"""),"MEDELLÍN")</f>
        <v>MEDELLÍN</v>
      </c>
      <c r="E1549" s="15" t="str">
        <f>IFERROR(__xludf.DUMMYFUNCTION("""COMPUTED_VALUE"""),"Todo Bufala")</f>
        <v>Todo Bufala</v>
      </c>
      <c r="F1549" s="17" t="str">
        <f>IFERROR(__xludf.DUMMYFUNCTION("""COMPUTED_VALUE"""),"cra 43 n. 84-74 / centro nutricional local 3")</f>
        <v>cra 43 n. 84-74 / centro nutricional local 3</v>
      </c>
      <c r="G1549" s="15" t="str">
        <f>IFERROR(__xludf.DUMMYFUNCTION("""COMPUTED_VALUE"""),"Eliana Sarmiento")</f>
        <v>Eliana Sarmiento</v>
      </c>
      <c r="H1549" s="16">
        <f>IFERROR(__xludf.DUMMYFUNCTION("""COMPUTED_VALUE"""),10105.0)</f>
        <v>10105</v>
      </c>
      <c r="I1549" s="18">
        <f>IFERROR(__xludf.DUMMYFUNCTION("""COMPUTED_VALUE"""),40.0)</f>
        <v>40</v>
      </c>
      <c r="J1549" s="18">
        <f>IFERROR(__xludf.DUMMYFUNCTION("""COMPUTED_VALUE"""),30.0)</f>
        <v>30</v>
      </c>
      <c r="K1549" s="18">
        <f>IFERROR(__xludf.DUMMYFUNCTION("""COMPUTED_VALUE"""),20.0)</f>
        <v>20</v>
      </c>
      <c r="L1549" s="17">
        <f>IFERROR(__xludf.DUMMYFUNCTION("""COMPUTED_VALUE"""),3.226082052E9)</f>
        <v>3226082052</v>
      </c>
      <c r="M1549" s="17" t="str">
        <f>IFERROR(__xludf.DUMMYFUNCTION("""COMPUTED_VALUE"""),"#REF!")</f>
        <v>#REF!</v>
      </c>
      <c r="N1549" s="17"/>
      <c r="O1549" s="17"/>
      <c r="P1549" s="17" t="b">
        <f>IFERROR(__xludf.DUMMYFUNCTION("""COMPUTED_VALUE"""),FALSE)</f>
        <v>0</v>
      </c>
      <c r="Q1549" s="20" t="str">
        <f>IFERROR(__xludf.DUMMYFUNCTION("""COMPUTED_VALUE"""),"")</f>
        <v/>
      </c>
      <c r="R1549" s="22" t="str">
        <f>IFERROR(__xludf.DUMMYFUNCTION("""COMPUTED_VALUE"""),"")</f>
        <v/>
      </c>
    </row>
    <row r="1550">
      <c r="A1550" s="15">
        <f>IFERROR(__xludf.DUMMYFUNCTION("""COMPUTED_VALUE"""),45044.0)</f>
        <v>45044</v>
      </c>
      <c r="B1550" s="16" t="str">
        <f>IFERROR(__xludf.DUMMYFUNCTION("""COMPUTED_VALUE"""),"Envia")</f>
        <v>Envia</v>
      </c>
      <c r="C1550" s="15" t="str">
        <f>IFERROR(__xludf.DUMMYFUNCTION("""COMPUTED_VALUE"""),"BOGOTÁ")</f>
        <v>BOGOTÁ</v>
      </c>
      <c r="D1550" s="15" t="str">
        <f>IFERROR(__xludf.DUMMYFUNCTION("""COMPUTED_VALUE"""),"MEDELLÍN")</f>
        <v>MEDELLÍN</v>
      </c>
      <c r="E1550" s="15" t="str">
        <f>IFERROR(__xludf.DUMMYFUNCTION("""COMPUTED_VALUE"""),"JD Bufala")</f>
        <v>JD Bufala</v>
      </c>
      <c r="F1550" s="17" t="str">
        <f>IFERROR(__xludf.DUMMYFUNCTION("""COMPUTED_VALUE"""),"Calle 80#73b27local2  / Centro comercial San Francisco  / Centro comercial San Francisco")</f>
        <v>Calle 80#73b27local2  / Centro comercial San Francisco  / Centro comercial San Francisco</v>
      </c>
      <c r="G1550" s="15" t="str">
        <f>IFERROR(__xludf.DUMMYFUNCTION("""COMPUTED_VALUE"""),"Gloria Cecilia Lara Achinte")</f>
        <v>Gloria Cecilia Lara Achinte</v>
      </c>
      <c r="H1550" s="16">
        <f>IFERROR(__xludf.DUMMYFUNCTION("""COMPUTED_VALUE"""),10184.0)</f>
        <v>10184</v>
      </c>
      <c r="I1550" s="18">
        <f>IFERROR(__xludf.DUMMYFUNCTION("""COMPUTED_VALUE"""),45066.0)</f>
        <v>45066</v>
      </c>
      <c r="J1550" s="18">
        <f>IFERROR(__xludf.DUMMYFUNCTION("""COMPUTED_VALUE"""),28.0)</f>
        <v>28</v>
      </c>
      <c r="K1550" s="18">
        <f>IFERROR(__xludf.DUMMYFUNCTION("""COMPUTED_VALUE"""),40.0)</f>
        <v>40</v>
      </c>
      <c r="L1550" s="17">
        <f>IFERROR(__xludf.DUMMYFUNCTION("""COMPUTED_VALUE"""),3.002695397E9)</f>
        <v>3002695397</v>
      </c>
      <c r="M1550" s="17" t="str">
        <f>IFERROR(__xludf.DUMMYFUNCTION("""COMPUTED_VALUE"""),"#REF!")</f>
        <v>#REF!</v>
      </c>
      <c r="N1550" s="17"/>
      <c r="O1550" s="17"/>
      <c r="P1550" s="17" t="b">
        <f>IFERROR(__xludf.DUMMYFUNCTION("""COMPUTED_VALUE"""),FALSE)</f>
        <v>0</v>
      </c>
      <c r="Q1550" s="20" t="str">
        <f>IFERROR(__xludf.DUMMYFUNCTION("""COMPUTED_VALUE"""),"")</f>
        <v/>
      </c>
      <c r="R1550" s="22" t="str">
        <f>IFERROR(__xludf.DUMMYFUNCTION("""COMPUTED_VALUE"""),"")</f>
        <v/>
      </c>
    </row>
    <row r="1551">
      <c r="A1551" s="15">
        <f>IFERROR(__xludf.DUMMYFUNCTION("""COMPUTED_VALUE"""),45044.0)</f>
        <v>45044</v>
      </c>
      <c r="B1551" s="16" t="str">
        <f>IFERROR(__xludf.DUMMYFUNCTION("""COMPUTED_VALUE"""),"Envia")</f>
        <v>Envia</v>
      </c>
      <c r="C1551" s="15" t="str">
        <f>IFERROR(__xludf.DUMMYFUNCTION("""COMPUTED_VALUE"""),"BOGOTÁ")</f>
        <v>BOGOTÁ</v>
      </c>
      <c r="D1551" s="15" t="str">
        <f>IFERROR(__xludf.DUMMYFUNCTION("""COMPUTED_VALUE"""),"MEDELLÍN")</f>
        <v>MEDELLÍN</v>
      </c>
      <c r="E1551" s="15" t="str">
        <f>IFERROR(__xludf.DUMMYFUNCTION("""COMPUTED_VALUE"""),"Moloso S.A.S")</f>
        <v>Moloso S.A.S</v>
      </c>
      <c r="F1551" s="17" t="str">
        <f>IFERROR(__xludf.DUMMYFUNCTION("""COMPUTED_VALUE"""),"CL 66 59 31 / T 9 AP 508")</f>
        <v>CL 66 59 31 / T 9 AP 508</v>
      </c>
      <c r="G1551" s="15" t="str">
        <f>IFERROR(__xludf.DUMMYFUNCTION("""COMPUTED_VALUE"""),"LINA MARÍA RUIZ PEÑOLOZA")</f>
        <v>LINA MARÍA RUIZ PEÑOLOZA</v>
      </c>
      <c r="H1551" s="16">
        <f>IFERROR(__xludf.DUMMYFUNCTION("""COMPUTED_VALUE"""),10192.0)</f>
        <v>10192</v>
      </c>
      <c r="I1551" s="18">
        <f>IFERROR(__xludf.DUMMYFUNCTION("""COMPUTED_VALUE"""),17.0)</f>
        <v>17</v>
      </c>
      <c r="J1551" s="18">
        <f>IFERROR(__xludf.DUMMYFUNCTION("""COMPUTED_VALUE"""),15.0)</f>
        <v>15</v>
      </c>
      <c r="K1551" s="18">
        <f>IFERROR(__xludf.DUMMYFUNCTION("""COMPUTED_VALUE"""),28.0)</f>
        <v>28</v>
      </c>
      <c r="L1551" s="17" t="str">
        <f>IFERROR(__xludf.DUMMYFUNCTION("""COMPUTED_VALUE"""),"311 2476852")</f>
        <v>311 2476852</v>
      </c>
      <c r="M1551" s="17" t="str">
        <f>IFERROR(__xludf.DUMMYFUNCTION("""COMPUTED_VALUE"""),"#REF!")</f>
        <v>#REF!</v>
      </c>
      <c r="N1551" s="17"/>
      <c r="O1551" s="17"/>
      <c r="P1551" s="17" t="b">
        <f>IFERROR(__xludf.DUMMYFUNCTION("""COMPUTED_VALUE"""),FALSE)</f>
        <v>0</v>
      </c>
      <c r="Q1551" s="20" t="str">
        <f>IFERROR(__xludf.DUMMYFUNCTION("""COMPUTED_VALUE"""),"")</f>
        <v/>
      </c>
      <c r="R1551" s="22" t="str">
        <f>IFERROR(__xludf.DUMMYFUNCTION("""COMPUTED_VALUE"""),"")</f>
        <v/>
      </c>
    </row>
    <row r="1552">
      <c r="A1552" s="15">
        <f>IFERROR(__xludf.DUMMYFUNCTION("""COMPUTED_VALUE"""),45044.0)</f>
        <v>45044</v>
      </c>
      <c r="B1552" s="16" t="str">
        <f>IFERROR(__xludf.DUMMYFUNCTION("""COMPUTED_VALUE"""),"Envia")</f>
        <v>Envia</v>
      </c>
      <c r="C1552" s="15" t="str">
        <f>IFERROR(__xludf.DUMMYFUNCTION("""COMPUTED_VALUE"""),"BOGOTÁ")</f>
        <v>BOGOTÁ</v>
      </c>
      <c r="D1552" s="15" t="str">
        <f>IFERROR(__xludf.DUMMYFUNCTION("""COMPUTED_VALUE"""),"MEDELLÍN")</f>
        <v>MEDELLÍN</v>
      </c>
      <c r="E1552" s="15" t="str">
        <f>IFERROR(__xludf.DUMMYFUNCTION("""COMPUTED_VALUE"""),"Rambla")</f>
        <v>Rambla</v>
      </c>
      <c r="F1552" s="17" t="str">
        <f>IFERROR(__xludf.DUMMYFUNCTION("""COMPUTED_VALUE"""),"Cll 8 sur # 39 _34. Ciudad montes / na / na")</f>
        <v>Cll 8 sur # 39 _34. Ciudad montes / na / na</v>
      </c>
      <c r="G1552" s="15" t="str">
        <f>IFERROR(__xludf.DUMMYFUNCTION("""COMPUTED_VALUE"""),"Tierra Fertil")</f>
        <v>Tierra Fertil</v>
      </c>
      <c r="H1552" s="16">
        <f>IFERROR(__xludf.DUMMYFUNCTION("""COMPUTED_VALUE"""),10208.0)</f>
        <v>10208</v>
      </c>
      <c r="I1552" s="18">
        <f>IFERROR(__xludf.DUMMYFUNCTION("""COMPUTED_VALUE"""),28.0)</f>
        <v>28</v>
      </c>
      <c r="J1552" s="18">
        <f>IFERROR(__xludf.DUMMYFUNCTION("""COMPUTED_VALUE"""),30.0)</f>
        <v>30</v>
      </c>
      <c r="K1552" s="18">
        <f>IFERROR(__xludf.DUMMYFUNCTION("""COMPUTED_VALUE"""),33.0)</f>
        <v>33</v>
      </c>
      <c r="L1552" s="17">
        <f>IFERROR(__xludf.DUMMYFUNCTION("""COMPUTED_VALUE"""),3.112876801E9)</f>
        <v>3112876801</v>
      </c>
      <c r="M1552" s="17" t="str">
        <f>IFERROR(__xludf.DUMMYFUNCTION("""COMPUTED_VALUE"""),"#REF!")</f>
        <v>#REF!</v>
      </c>
      <c r="N1552" s="17"/>
      <c r="O1552" s="17"/>
      <c r="P1552" s="17" t="b">
        <f>IFERROR(__xludf.DUMMYFUNCTION("""COMPUTED_VALUE"""),FALSE)</f>
        <v>0</v>
      </c>
      <c r="Q1552" s="20" t="str">
        <f>IFERROR(__xludf.DUMMYFUNCTION("""COMPUTED_VALUE"""),"")</f>
        <v/>
      </c>
      <c r="R1552" s="22" t="str">
        <f>IFERROR(__xludf.DUMMYFUNCTION("""COMPUTED_VALUE"""),"")</f>
        <v/>
      </c>
    </row>
    <row r="1553">
      <c r="A1553" s="15">
        <f>IFERROR(__xludf.DUMMYFUNCTION("""COMPUTED_VALUE"""),45044.0)</f>
        <v>45044</v>
      </c>
      <c r="B1553" s="16" t="str">
        <f>IFERROR(__xludf.DUMMYFUNCTION("""COMPUTED_VALUE"""),"Envia")</f>
        <v>Envia</v>
      </c>
      <c r="C1553" s="15" t="str">
        <f>IFERROR(__xludf.DUMMYFUNCTION("""COMPUTED_VALUE"""),"BOGOTÁ")</f>
        <v>BOGOTÁ</v>
      </c>
      <c r="D1553" s="15" t="str">
        <f>IFERROR(__xludf.DUMMYFUNCTION("""COMPUTED_VALUE"""),"MEDELLÍN")</f>
        <v>MEDELLÍN</v>
      </c>
      <c r="E1553" s="15" t="str">
        <f>IFERROR(__xludf.DUMMYFUNCTION("""COMPUTED_VALUE"""),"Terravocado")</f>
        <v>Terravocado</v>
      </c>
      <c r="F1553" s="17" t="str">
        <f>IFERROR(__xludf.DUMMYFUNCTION("""COMPUTED_VALUE"""),"kr 13 # 98 - 48 / 0 / chico norte")</f>
        <v>kr 13 # 98 - 48 / 0 / chico norte</v>
      </c>
      <c r="G1553" s="15" t="str">
        <f>IFERROR(__xludf.DUMMYFUNCTION("""COMPUTED_VALUE"""),"ALPARKE SAS (Alejandra)")</f>
        <v>ALPARKE SAS (Alejandra)</v>
      </c>
      <c r="H1553" s="16">
        <f>IFERROR(__xludf.DUMMYFUNCTION("""COMPUTED_VALUE"""),10134.0)</f>
        <v>10134</v>
      </c>
      <c r="I1553" s="18">
        <f>IFERROR(__xludf.DUMMYFUNCTION("""COMPUTED_VALUE"""),20.0)</f>
        <v>20</v>
      </c>
      <c r="J1553" s="18">
        <f>IFERROR(__xludf.DUMMYFUNCTION("""COMPUTED_VALUE"""),24.0)</f>
        <v>24</v>
      </c>
      <c r="K1553" s="18">
        <f>IFERROR(__xludf.DUMMYFUNCTION("""COMPUTED_VALUE"""),34.0)</f>
        <v>34</v>
      </c>
      <c r="L1553" s="17">
        <f>IFERROR(__xludf.DUMMYFUNCTION("""COMPUTED_VALUE"""),3.19535029E9)</f>
        <v>3195350290</v>
      </c>
      <c r="M1553" s="17" t="str">
        <f>IFERROR(__xludf.DUMMYFUNCTION("""COMPUTED_VALUE"""),"#REF!")</f>
        <v>#REF!</v>
      </c>
      <c r="N1553" s="17"/>
      <c r="O1553" s="17"/>
      <c r="P1553" s="17" t="b">
        <f>IFERROR(__xludf.DUMMYFUNCTION("""COMPUTED_VALUE"""),FALSE)</f>
        <v>0</v>
      </c>
      <c r="Q1553" s="20" t="str">
        <f>IFERROR(__xludf.DUMMYFUNCTION("""COMPUTED_VALUE"""),"")</f>
        <v/>
      </c>
      <c r="R1553" s="22" t="str">
        <f>IFERROR(__xludf.DUMMYFUNCTION("""COMPUTED_VALUE"""),"")</f>
        <v/>
      </c>
    </row>
    <row r="1554">
      <c r="A1554" s="15">
        <f>IFERROR(__xludf.DUMMYFUNCTION("""COMPUTED_VALUE"""),45044.0)</f>
        <v>45044</v>
      </c>
      <c r="B1554" s="16" t="str">
        <f>IFERROR(__xludf.DUMMYFUNCTION("""COMPUTED_VALUE"""),"Envia")</f>
        <v>Envia</v>
      </c>
      <c r="C1554" s="15" t="str">
        <f>IFERROR(__xludf.DUMMYFUNCTION("""COMPUTED_VALUE"""),"CALI")</f>
        <v>CALI</v>
      </c>
      <c r="D1554" s="15" t="str">
        <f>IFERROR(__xludf.DUMMYFUNCTION("""COMPUTED_VALUE"""),"BOGOTÁ")</f>
        <v>BOGOTÁ</v>
      </c>
      <c r="E1554" s="15" t="str">
        <f>IFERROR(__xludf.DUMMYFUNCTION("""COMPUTED_VALUE"""),"Renata")</f>
        <v>Renata</v>
      </c>
      <c r="F1554" s="17" t="str">
        <f>IFERROR(__xludf.DUMMYFUNCTION("""COMPUTED_VALUE"""),"Carrera 3#3a-83 / Patio 34 food containers -restaurante  / San Fernando")</f>
        <v>Carrera 3#3a-83 / Patio 34 food containers -restaurante  / San Fernando</v>
      </c>
      <c r="G1554" s="15" t="str">
        <f>IFERROR(__xludf.DUMMYFUNCTION("""COMPUTED_VALUE"""),"Retaco sas")</f>
        <v>Retaco sas</v>
      </c>
      <c r="H1554" s="16">
        <f>IFERROR(__xludf.DUMMYFUNCTION("""COMPUTED_VALUE"""),10191.0)</f>
        <v>10191</v>
      </c>
      <c r="I1554" s="18">
        <f>IFERROR(__xludf.DUMMYFUNCTION("""COMPUTED_VALUE"""),90.0)</f>
        <v>90</v>
      </c>
      <c r="J1554" s="18">
        <f>IFERROR(__xludf.DUMMYFUNCTION("""COMPUTED_VALUE"""),70.0)</f>
        <v>70</v>
      </c>
      <c r="K1554" s="18">
        <f>IFERROR(__xludf.DUMMYFUNCTION("""COMPUTED_VALUE"""),60.0)</f>
        <v>60</v>
      </c>
      <c r="L1554" s="17">
        <f>IFERROR(__xludf.DUMMYFUNCTION("""COMPUTED_VALUE"""),3.134720976E9)</f>
        <v>3134720976</v>
      </c>
      <c r="M1554" s="17" t="str">
        <f>IFERROR(__xludf.DUMMYFUNCTION("""COMPUTED_VALUE"""),"#REF!")</f>
        <v>#REF!</v>
      </c>
      <c r="N1554" s="17"/>
      <c r="O1554" s="17"/>
      <c r="P1554" s="17" t="b">
        <f>IFERROR(__xludf.DUMMYFUNCTION("""COMPUTED_VALUE"""),FALSE)</f>
        <v>0</v>
      </c>
      <c r="Q1554" s="20" t="str">
        <f>IFERROR(__xludf.DUMMYFUNCTION("""COMPUTED_VALUE"""),"")</f>
        <v/>
      </c>
      <c r="R1554" s="22" t="str">
        <f>IFERROR(__xludf.DUMMYFUNCTION("""COMPUTED_VALUE"""),"")</f>
        <v/>
      </c>
    </row>
    <row r="1555">
      <c r="A1555" s="15">
        <f>IFERROR(__xludf.DUMMYFUNCTION("""COMPUTED_VALUE"""),45044.0)</f>
        <v>45044</v>
      </c>
      <c r="B1555" s="16" t="str">
        <f>IFERROR(__xludf.DUMMYFUNCTION("""COMPUTED_VALUE"""),"Envia")</f>
        <v>Envia</v>
      </c>
      <c r="C1555" s="15" t="str">
        <f>IFERROR(__xludf.DUMMYFUNCTION("""COMPUTED_VALUE"""),"CALI")</f>
        <v>CALI</v>
      </c>
      <c r="D1555" s="15" t="str">
        <f>IFERROR(__xludf.DUMMYFUNCTION("""COMPUTED_VALUE"""),"BOGOTÁ")</f>
        <v>BOGOTÁ</v>
      </c>
      <c r="E1555" s="15" t="str">
        <f>IFERROR(__xludf.DUMMYFUNCTION("""COMPUTED_VALUE"""),"Viral Brands")</f>
        <v>Viral Brands</v>
      </c>
      <c r="F1555" s="17" t="str">
        <f>IFERROR(__xludf.DUMMYFUNCTION("""COMPUTED_VALUE"""),"Avenida 5a 25n 39 / Edificio / San vicente")</f>
        <v>Avenida 5a 25n 39 / Edificio / San vicente</v>
      </c>
      <c r="G1555" s="15" t="str">
        <f>IFERROR(__xludf.DUMMYFUNCTION("""COMPUTED_VALUE"""),"Lisbet gamez")</f>
        <v>Lisbet gamez</v>
      </c>
      <c r="H1555" s="16">
        <f>IFERROR(__xludf.DUMMYFUNCTION("""COMPUTED_VALUE"""),10195.0)</f>
        <v>10195</v>
      </c>
      <c r="I1555" s="18">
        <f>IFERROR(__xludf.DUMMYFUNCTION("""COMPUTED_VALUE"""),45.0)</f>
        <v>45</v>
      </c>
      <c r="J1555" s="18">
        <f>IFERROR(__xludf.DUMMYFUNCTION("""COMPUTED_VALUE"""),29.0)</f>
        <v>29</v>
      </c>
      <c r="K1555" s="18">
        <f>IFERROR(__xludf.DUMMYFUNCTION("""COMPUTED_VALUE"""),55.0)</f>
        <v>55</v>
      </c>
      <c r="L1555" s="17">
        <f>IFERROR(__xludf.DUMMYFUNCTION("""COMPUTED_VALUE"""),3.218280504E9)</f>
        <v>3218280504</v>
      </c>
      <c r="M1555" s="17" t="str">
        <f>IFERROR(__xludf.DUMMYFUNCTION("""COMPUTED_VALUE"""),"#REF!")</f>
        <v>#REF!</v>
      </c>
      <c r="N1555" s="17"/>
      <c r="O1555" s="17"/>
      <c r="P1555" s="17" t="b">
        <f>IFERROR(__xludf.DUMMYFUNCTION("""COMPUTED_VALUE"""),FALSE)</f>
        <v>0</v>
      </c>
      <c r="Q1555" s="20" t="str">
        <f>IFERROR(__xludf.DUMMYFUNCTION("""COMPUTED_VALUE"""),"")</f>
        <v/>
      </c>
      <c r="R1555" s="22" t="str">
        <f>IFERROR(__xludf.DUMMYFUNCTION("""COMPUTED_VALUE"""),"")</f>
        <v/>
      </c>
    </row>
    <row r="1556">
      <c r="A1556" s="15">
        <f>IFERROR(__xludf.DUMMYFUNCTION("""COMPUTED_VALUE"""),45044.0)</f>
        <v>45044</v>
      </c>
      <c r="B1556" s="16" t="str">
        <f>IFERROR(__xludf.DUMMYFUNCTION("""COMPUTED_VALUE"""),"Envia")</f>
        <v>Envia</v>
      </c>
      <c r="C1556" s="15" t="str">
        <f>IFERROR(__xludf.DUMMYFUNCTION("""COMPUTED_VALUE"""),"CÚCUTA")</f>
        <v>CÚCUTA</v>
      </c>
      <c r="D1556" s="15" t="str">
        <f>IFERROR(__xludf.DUMMYFUNCTION("""COMPUTED_VALUE"""),"MEDELLÍN")</f>
        <v>MEDELLÍN</v>
      </c>
      <c r="E1556" s="15" t="str">
        <f>IFERROR(__xludf.DUMMYFUNCTION("""COMPUTED_VALUE"""),"Rambla")</f>
        <v>Rambla</v>
      </c>
      <c r="F1556" s="17" t="str">
        <f>IFERROR(__xludf.DUMMYFUNCTION("""COMPUTED_VALUE"""),"av 2e #15a-17 los caobos / na / na")</f>
        <v>av 2e #15a-17 los caobos / na / na</v>
      </c>
      <c r="G1556" s="15" t="str">
        <f>IFERROR(__xludf.DUMMYFUNCTION("""COMPUTED_VALUE"""),"Pistacho Fit Market")</f>
        <v>Pistacho Fit Market</v>
      </c>
      <c r="H1556" s="16">
        <f>IFERROR(__xludf.DUMMYFUNCTION("""COMPUTED_VALUE"""),10174.0)</f>
        <v>10174</v>
      </c>
      <c r="I1556" s="18">
        <f>IFERROR(__xludf.DUMMYFUNCTION("""COMPUTED_VALUE"""),27.0)</f>
        <v>27</v>
      </c>
      <c r="J1556" s="18">
        <f>IFERROR(__xludf.DUMMYFUNCTION("""COMPUTED_VALUE"""),30.0)</f>
        <v>30</v>
      </c>
      <c r="K1556" s="18">
        <f>IFERROR(__xludf.DUMMYFUNCTION("""COMPUTED_VALUE"""),32.0)</f>
        <v>32</v>
      </c>
      <c r="L1556" s="17">
        <f>IFERROR(__xludf.DUMMYFUNCTION("""COMPUTED_VALUE"""),3.133032295E9)</f>
        <v>3133032295</v>
      </c>
      <c r="M1556" s="17" t="str">
        <f>IFERROR(__xludf.DUMMYFUNCTION("""COMPUTED_VALUE"""),"#REF!")</f>
        <v>#REF!</v>
      </c>
      <c r="N1556" s="17"/>
      <c r="O1556" s="17"/>
      <c r="P1556" s="17" t="b">
        <f>IFERROR(__xludf.DUMMYFUNCTION("""COMPUTED_VALUE"""),FALSE)</f>
        <v>0</v>
      </c>
      <c r="Q1556" s="20" t="str">
        <f>IFERROR(__xludf.DUMMYFUNCTION("""COMPUTED_VALUE"""),"")</f>
        <v/>
      </c>
      <c r="R1556" s="22" t="str">
        <f>IFERROR(__xludf.DUMMYFUNCTION("""COMPUTED_VALUE"""),"")</f>
        <v/>
      </c>
    </row>
    <row r="1557">
      <c r="A1557" s="15">
        <f>IFERROR(__xludf.DUMMYFUNCTION("""COMPUTED_VALUE"""),45044.0)</f>
        <v>45044</v>
      </c>
      <c r="B1557" s="16" t="str">
        <f>IFERROR(__xludf.DUMMYFUNCTION("""COMPUTED_VALUE"""),"Envia")</f>
        <v>Envia</v>
      </c>
      <c r="C1557" s="15" t="str">
        <f>IFERROR(__xludf.DUMMYFUNCTION("""COMPUTED_VALUE"""),"CÚCUTA")</f>
        <v>CÚCUTA</v>
      </c>
      <c r="D1557" s="15" t="str">
        <f>IFERROR(__xludf.DUMMYFUNCTION("""COMPUTED_VALUE"""),"MEDELLÍN")</f>
        <v>MEDELLÍN</v>
      </c>
      <c r="E1557" s="15" t="str">
        <f>IFERROR(__xludf.DUMMYFUNCTION("""COMPUTED_VALUE"""),"Rambla")</f>
        <v>Rambla</v>
      </c>
      <c r="F1557" s="17" t="str">
        <f>IFERROR(__xludf.DUMMYFUNCTION("""COMPUTED_VALUE"""),"avenida  9e 7-12 la riviera / na / na")</f>
        <v>avenida  9e 7-12 la riviera / na / na</v>
      </c>
      <c r="G1557" s="15" t="str">
        <f>IFERROR(__xludf.DUMMYFUNCTION("""COMPUTED_VALUE"""),"Sexto sentido")</f>
        <v>Sexto sentido</v>
      </c>
      <c r="H1557" s="16">
        <f>IFERROR(__xludf.DUMMYFUNCTION("""COMPUTED_VALUE"""),10173.0)</f>
        <v>10173</v>
      </c>
      <c r="I1557" s="18">
        <f>IFERROR(__xludf.DUMMYFUNCTION("""COMPUTED_VALUE"""),27.0)</f>
        <v>27</v>
      </c>
      <c r="J1557" s="18">
        <f>IFERROR(__xludf.DUMMYFUNCTION("""COMPUTED_VALUE"""),32.0)</f>
        <v>32</v>
      </c>
      <c r="K1557" s="18">
        <f>IFERROR(__xludf.DUMMYFUNCTION("""COMPUTED_VALUE"""),35.0)</f>
        <v>35</v>
      </c>
      <c r="L1557" s="17">
        <f>IFERROR(__xludf.DUMMYFUNCTION("""COMPUTED_VALUE"""),3.154996494E9)</f>
        <v>3154996494</v>
      </c>
      <c r="M1557" s="17" t="str">
        <f>IFERROR(__xludf.DUMMYFUNCTION("""COMPUTED_VALUE"""),"#REF!")</f>
        <v>#REF!</v>
      </c>
      <c r="N1557" s="17"/>
      <c r="O1557" s="17"/>
      <c r="P1557" s="17" t="b">
        <f>IFERROR(__xludf.DUMMYFUNCTION("""COMPUTED_VALUE"""),FALSE)</f>
        <v>0</v>
      </c>
      <c r="Q1557" s="20" t="str">
        <f>IFERROR(__xludf.DUMMYFUNCTION("""COMPUTED_VALUE"""),"")</f>
        <v/>
      </c>
      <c r="R1557" s="22" t="str">
        <f>IFERROR(__xludf.DUMMYFUNCTION("""COMPUTED_VALUE"""),"")</f>
        <v/>
      </c>
    </row>
    <row r="1558">
      <c r="A1558" s="15">
        <f>IFERROR(__xludf.DUMMYFUNCTION("""COMPUTED_VALUE"""),45044.0)</f>
        <v>45044</v>
      </c>
      <c r="B1558" s="16" t="str">
        <f>IFERROR(__xludf.DUMMYFUNCTION("""COMPUTED_VALUE"""),"Envia")</f>
        <v>Envia</v>
      </c>
      <c r="C1558" s="15" t="str">
        <f>IFERROR(__xludf.DUMMYFUNCTION("""COMPUTED_VALUE"""),"MEDELLÍN")</f>
        <v>MEDELLÍN</v>
      </c>
      <c r="D1558" s="15" t="str">
        <f>IFERROR(__xludf.DUMMYFUNCTION("""COMPUTED_VALUE"""),"BOGOTÁ")</f>
        <v>BOGOTÁ</v>
      </c>
      <c r="E1558" s="15" t="str">
        <f>IFERROR(__xludf.DUMMYFUNCTION("""COMPUTED_VALUE"""),"Forever Dog")</f>
        <v>Forever Dog</v>
      </c>
      <c r="F1558" s="17" t="str">
        <f>IFERROR(__xludf.DUMMYFUNCTION("""COMPUTED_VALUE"""),"Calle 37 B # 81 a 109 / Torre Gabriel apto 103 / Jenn Sua")</f>
        <v>Calle 37 B # 81 a 109 / Torre Gabriel apto 103 / Jenn Sua</v>
      </c>
      <c r="G1558" s="15" t="str">
        <f>IFERROR(__xludf.DUMMYFUNCTION("""COMPUTED_VALUE"""),"Jenn Sua")</f>
        <v>Jenn Sua</v>
      </c>
      <c r="H1558" s="16">
        <f>IFERROR(__xludf.DUMMYFUNCTION("""COMPUTED_VALUE"""),10185.0)</f>
        <v>10185</v>
      </c>
      <c r="I1558" s="18">
        <f>IFERROR(__xludf.DUMMYFUNCTION("""COMPUTED_VALUE"""),28.0)</f>
        <v>28</v>
      </c>
      <c r="J1558" s="18">
        <f>IFERROR(__xludf.DUMMYFUNCTION("""COMPUTED_VALUE"""),38.0)</f>
        <v>38</v>
      </c>
      <c r="K1558" s="18">
        <f>IFERROR(__xludf.DUMMYFUNCTION("""COMPUTED_VALUE"""),23.0)</f>
        <v>23</v>
      </c>
      <c r="L1558" s="17">
        <f>IFERROR(__xludf.DUMMYFUNCTION("""COMPUTED_VALUE"""),3.14202892E9)</f>
        <v>3142028920</v>
      </c>
      <c r="M1558" s="17" t="str">
        <f>IFERROR(__xludf.DUMMYFUNCTION("""COMPUTED_VALUE"""),"#REF!")</f>
        <v>#REF!</v>
      </c>
      <c r="N1558" s="17"/>
      <c r="O1558" s="17"/>
      <c r="P1558" s="17" t="b">
        <f>IFERROR(__xludf.DUMMYFUNCTION("""COMPUTED_VALUE"""),FALSE)</f>
        <v>0</v>
      </c>
      <c r="Q1558" s="20" t="str">
        <f>IFERROR(__xludf.DUMMYFUNCTION("""COMPUTED_VALUE"""),"")</f>
        <v/>
      </c>
      <c r="R1558" s="22" t="str">
        <f>IFERROR(__xludf.DUMMYFUNCTION("""COMPUTED_VALUE"""),"")</f>
        <v/>
      </c>
    </row>
    <row r="1559">
      <c r="A1559" s="15">
        <f>IFERROR(__xludf.DUMMYFUNCTION("""COMPUTED_VALUE"""),45044.0)</f>
        <v>45044</v>
      </c>
      <c r="B1559" s="16" t="str">
        <f>IFERROR(__xludf.DUMMYFUNCTION("""COMPUTED_VALUE"""),"Envia")</f>
        <v>Envia</v>
      </c>
      <c r="C1559" s="15" t="str">
        <f>IFERROR(__xludf.DUMMYFUNCTION("""COMPUTED_VALUE"""),"MEDELLÍN")</f>
        <v>MEDELLÍN</v>
      </c>
      <c r="D1559" s="15" t="str">
        <f>IFERROR(__xludf.DUMMYFUNCTION("""COMPUTED_VALUE"""),"BOGOTÁ")</f>
        <v>BOGOTÁ</v>
      </c>
      <c r="E1559" s="15" t="str">
        <f>IFERROR(__xludf.DUMMYFUNCTION("""COMPUTED_VALUE"""),"Lunchy Kids")</f>
        <v>Lunchy Kids</v>
      </c>
      <c r="F1559" s="17" t="str">
        <f>IFERROR(__xludf.DUMMYFUNCTION("""COMPUTED_VALUE"""),"Calle 49 # 56-06 / Local 101. Edificio Bodegas la 49. / Centro Medellin")</f>
        <v>Calle 49 # 56-06 / Local 101. Edificio Bodegas la 49. / Centro Medellin</v>
      </c>
      <c r="G1559" s="15" t="str">
        <f>IFERROR(__xludf.DUMMYFUNCTION("""COMPUTED_VALUE"""),"Yency Caterine Ramirez")</f>
        <v>Yency Caterine Ramirez</v>
      </c>
      <c r="H1559" s="16">
        <f>IFERROR(__xludf.DUMMYFUNCTION("""COMPUTED_VALUE"""),10102.0)</f>
        <v>10102</v>
      </c>
      <c r="I1559" s="18">
        <f>IFERROR(__xludf.DUMMYFUNCTION("""COMPUTED_VALUE"""),18.0)</f>
        <v>18</v>
      </c>
      <c r="J1559" s="18">
        <f>IFERROR(__xludf.DUMMYFUNCTION("""COMPUTED_VALUE"""),28.0)</f>
        <v>28</v>
      </c>
      <c r="K1559" s="18">
        <f>IFERROR(__xludf.DUMMYFUNCTION("""COMPUTED_VALUE"""),9.0)</f>
        <v>9</v>
      </c>
      <c r="L1559" s="17">
        <f>IFERROR(__xludf.DUMMYFUNCTION("""COMPUTED_VALUE"""),3.004629284E9)</f>
        <v>3004629284</v>
      </c>
      <c r="M1559" s="17" t="str">
        <f>IFERROR(__xludf.DUMMYFUNCTION("""COMPUTED_VALUE"""),"#REF!")</f>
        <v>#REF!</v>
      </c>
      <c r="N1559" s="17"/>
      <c r="O1559" s="17"/>
      <c r="P1559" s="17" t="b">
        <f>IFERROR(__xludf.DUMMYFUNCTION("""COMPUTED_VALUE"""),FALSE)</f>
        <v>0</v>
      </c>
      <c r="Q1559" s="20" t="str">
        <f>IFERROR(__xludf.DUMMYFUNCTION("""COMPUTED_VALUE"""),"")</f>
        <v/>
      </c>
      <c r="R1559" s="22" t="str">
        <f>IFERROR(__xludf.DUMMYFUNCTION("""COMPUTED_VALUE"""),"")</f>
        <v/>
      </c>
    </row>
    <row r="1560">
      <c r="A1560" s="15">
        <f>IFERROR(__xludf.DUMMYFUNCTION("""COMPUTED_VALUE"""),45044.0)</f>
        <v>45044</v>
      </c>
      <c r="B1560" s="16" t="str">
        <f>IFERROR(__xludf.DUMMYFUNCTION("""COMPUTED_VALUE"""),"Envia")</f>
        <v>Envia</v>
      </c>
      <c r="C1560" s="15" t="str">
        <f>IFERROR(__xludf.DUMMYFUNCTION("""COMPUTED_VALUE"""),"MEDELLÍN")</f>
        <v>MEDELLÍN</v>
      </c>
      <c r="D1560" s="15" t="str">
        <f>IFERROR(__xludf.DUMMYFUNCTION("""COMPUTED_VALUE"""),"BOGOTÁ")</f>
        <v>BOGOTÁ</v>
      </c>
      <c r="E1560" s="15" t="str">
        <f>IFERROR(__xludf.DUMMYFUNCTION("""COMPUTED_VALUE"""),"Mochi")</f>
        <v>Mochi</v>
      </c>
      <c r="F1560" s="17" t="str">
        <f>IFERROR(__xludf.DUMMYFUNCTION("""COMPUTED_VALUE"""),"CEntro comercial viva envigao / viva envigao / viva envigao")</f>
        <v>CEntro comercial viva envigao / viva envigao / viva envigao</v>
      </c>
      <c r="G1560" s="15" t="str">
        <f>IFERROR(__xludf.DUMMYFUNCTION("""COMPUTED_VALUE"""),"Tania vellojin")</f>
        <v>Tania vellojin</v>
      </c>
      <c r="H1560" s="16">
        <f>IFERROR(__xludf.DUMMYFUNCTION("""COMPUTED_VALUE"""),10190.0)</f>
        <v>10190</v>
      </c>
      <c r="I1560" s="18">
        <f>IFERROR(__xludf.DUMMYFUNCTION("""COMPUTED_VALUE"""),300.0)</f>
        <v>300</v>
      </c>
      <c r="J1560" s="18">
        <f>IFERROR(__xludf.DUMMYFUNCTION("""COMPUTED_VALUE"""),100.0)</f>
        <v>100</v>
      </c>
      <c r="K1560" s="18">
        <f>IFERROR(__xludf.DUMMYFUNCTION("""COMPUTED_VALUE"""),100.0)</f>
        <v>100</v>
      </c>
      <c r="L1560" s="17">
        <f>IFERROR(__xludf.DUMMYFUNCTION("""COMPUTED_VALUE"""),3.142587995E9)</f>
        <v>3142587995</v>
      </c>
      <c r="M1560" s="17" t="str">
        <f>IFERROR(__xludf.DUMMYFUNCTION("""COMPUTED_VALUE"""),"#REF!")</f>
        <v>#REF!</v>
      </c>
      <c r="N1560" s="17"/>
      <c r="O1560" s="17"/>
      <c r="P1560" s="17" t="b">
        <f>IFERROR(__xludf.DUMMYFUNCTION("""COMPUTED_VALUE"""),FALSE)</f>
        <v>0</v>
      </c>
      <c r="Q1560" s="20" t="str">
        <f>IFERROR(__xludf.DUMMYFUNCTION("""COMPUTED_VALUE"""),"")</f>
        <v/>
      </c>
      <c r="R1560" s="22" t="str">
        <f>IFERROR(__xludf.DUMMYFUNCTION("""COMPUTED_VALUE"""),"")</f>
        <v/>
      </c>
    </row>
    <row r="1561">
      <c r="A1561" s="15">
        <f>IFERROR(__xludf.DUMMYFUNCTION("""COMPUTED_VALUE"""),45044.0)</f>
        <v>45044</v>
      </c>
      <c r="B1561" s="16" t="str">
        <f>IFERROR(__xludf.DUMMYFUNCTION("""COMPUTED_VALUE"""),"Envia")</f>
        <v>Envia</v>
      </c>
      <c r="C1561" s="15" t="str">
        <f>IFERROR(__xludf.DUMMYFUNCTION("""COMPUTED_VALUE"""),"MEDELLÍN")</f>
        <v>MEDELLÍN</v>
      </c>
      <c r="D1561" s="15" t="str">
        <f>IFERROR(__xludf.DUMMYFUNCTION("""COMPUTED_VALUE"""),"BOGOTÁ")</f>
        <v>BOGOTÁ</v>
      </c>
      <c r="E1561" s="15" t="str">
        <f>IFERROR(__xludf.DUMMYFUNCTION("""COMPUTED_VALUE"""),"Pan de Waffle")</f>
        <v>Pan de Waffle</v>
      </c>
      <c r="F1561" s="17" t="str">
        <f>IFERROR(__xludf.DUMMYFUNCTION("""COMPUTED_VALUE"""),"Carrera 25a # 1a sur - 45, local 9100 / Carrera 25a # 1a sur - 45, local 9100 / Carrera 25a # 1a sur - 45, local 9100")</f>
        <v>Carrera 25a # 1a sur - 45, local 9100 / Carrera 25a # 1a sur - 45, local 9100 / Carrera 25a # 1a sur - 45, local 9100</v>
      </c>
      <c r="G1561" s="15" t="str">
        <f>IFERROR(__xludf.DUMMYFUNCTION("""COMPUTED_VALUE"""),"MERKAORGANICO")</f>
        <v>MERKAORGANICO</v>
      </c>
      <c r="H1561" s="16">
        <f>IFERROR(__xludf.DUMMYFUNCTION("""COMPUTED_VALUE"""),10181.0)</f>
        <v>10181</v>
      </c>
      <c r="I1561" s="18">
        <f>IFERROR(__xludf.DUMMYFUNCTION("""COMPUTED_VALUE"""),30.0)</f>
        <v>30</v>
      </c>
      <c r="J1561" s="18">
        <f>IFERROR(__xludf.DUMMYFUNCTION("""COMPUTED_VALUE"""),40.0)</f>
        <v>40</v>
      </c>
      <c r="K1561" s="18">
        <f>IFERROR(__xludf.DUMMYFUNCTION("""COMPUTED_VALUE"""),30.0)</f>
        <v>30</v>
      </c>
      <c r="L1561" s="17">
        <f>IFERROR(__xludf.DUMMYFUNCTION("""COMPUTED_VALUE"""),3.134502755E9)</f>
        <v>3134502755</v>
      </c>
      <c r="M1561" s="17" t="str">
        <f>IFERROR(__xludf.DUMMYFUNCTION("""COMPUTED_VALUE"""),"#REF!")</f>
        <v>#REF!</v>
      </c>
      <c r="N1561" s="17"/>
      <c r="O1561" s="17"/>
      <c r="P1561" s="17" t="b">
        <f>IFERROR(__xludf.DUMMYFUNCTION("""COMPUTED_VALUE"""),FALSE)</f>
        <v>0</v>
      </c>
      <c r="Q1561" s="20" t="str">
        <f>IFERROR(__xludf.DUMMYFUNCTION("""COMPUTED_VALUE"""),"")</f>
        <v/>
      </c>
      <c r="R1561" s="22" t="str">
        <f>IFERROR(__xludf.DUMMYFUNCTION("""COMPUTED_VALUE"""),"")</f>
        <v/>
      </c>
    </row>
    <row r="1562">
      <c r="A1562" s="15">
        <f>IFERROR(__xludf.DUMMYFUNCTION("""COMPUTED_VALUE"""),45044.0)</f>
        <v>45044</v>
      </c>
      <c r="B1562" s="16" t="str">
        <f>IFERROR(__xludf.DUMMYFUNCTION("""COMPUTED_VALUE"""),"Envia")</f>
        <v>Envia</v>
      </c>
      <c r="C1562" s="15" t="str">
        <f>IFERROR(__xludf.DUMMYFUNCTION("""COMPUTED_VALUE"""),"MEDELLÍN")</f>
        <v>MEDELLÍN</v>
      </c>
      <c r="D1562" s="15" t="str">
        <f>IFERROR(__xludf.DUMMYFUNCTION("""COMPUTED_VALUE"""),"BOGOTÁ")</f>
        <v>BOGOTÁ</v>
      </c>
      <c r="E1562" s="15" t="str">
        <f>IFERROR(__xludf.DUMMYFUNCTION("""COMPUTED_VALUE"""),"Pan de Waffle")</f>
        <v>Pan de Waffle</v>
      </c>
      <c r="F1562" s="17" t="str">
        <f>IFERROR(__xludf.DUMMYFUNCTION("""COMPUTED_VALUE"""),"Carrera 39 # 59 - 32 / Carrera 39 # 59 - 32 / Carrera 39 # 59 - 32")</f>
        <v>Carrera 39 # 59 - 32 / Carrera 39 # 59 - 32 / Carrera 39 # 59 - 32</v>
      </c>
      <c r="G1562" s="15" t="str">
        <f>IFERROR(__xludf.DUMMYFUNCTION("""COMPUTED_VALUE"""),"FOODOLOGY")</f>
        <v>FOODOLOGY</v>
      </c>
      <c r="H1562" s="16">
        <f>IFERROR(__xludf.DUMMYFUNCTION("""COMPUTED_VALUE"""),10183.0)</f>
        <v>10183</v>
      </c>
      <c r="I1562" s="18">
        <f>IFERROR(__xludf.DUMMYFUNCTION("""COMPUTED_VALUE"""),40.0)</f>
        <v>40</v>
      </c>
      <c r="J1562" s="18">
        <f>IFERROR(__xludf.DUMMYFUNCTION("""COMPUTED_VALUE"""),30.0)</f>
        <v>30</v>
      </c>
      <c r="K1562" s="18">
        <f>IFERROR(__xludf.DUMMYFUNCTION("""COMPUTED_VALUE"""),40.0)</f>
        <v>40</v>
      </c>
      <c r="L1562" s="17">
        <f>IFERROR(__xludf.DUMMYFUNCTION("""COMPUTED_VALUE"""),3.123558292E9)</f>
        <v>3123558292</v>
      </c>
      <c r="M1562" s="17" t="str">
        <f>IFERROR(__xludf.DUMMYFUNCTION("""COMPUTED_VALUE"""),"#REF!")</f>
        <v>#REF!</v>
      </c>
      <c r="N1562" s="17"/>
      <c r="O1562" s="17"/>
      <c r="P1562" s="17" t="b">
        <f>IFERROR(__xludf.DUMMYFUNCTION("""COMPUTED_VALUE"""),FALSE)</f>
        <v>0</v>
      </c>
      <c r="Q1562" s="20" t="str">
        <f>IFERROR(__xludf.DUMMYFUNCTION("""COMPUTED_VALUE"""),"")</f>
        <v/>
      </c>
      <c r="R1562" s="22" t="str">
        <f>IFERROR(__xludf.DUMMYFUNCTION("""COMPUTED_VALUE"""),"")</f>
        <v/>
      </c>
    </row>
    <row r="1563">
      <c r="A1563" s="15">
        <f>IFERROR(__xludf.DUMMYFUNCTION("""COMPUTED_VALUE"""),45044.0)</f>
        <v>45044</v>
      </c>
      <c r="B1563" s="16" t="str">
        <f>IFERROR(__xludf.DUMMYFUNCTION("""COMPUTED_VALUE"""),"Envia")</f>
        <v>Envia</v>
      </c>
      <c r="C1563" s="15" t="str">
        <f>IFERROR(__xludf.DUMMYFUNCTION("""COMPUTED_VALUE"""),"MEDELLÍN")</f>
        <v>MEDELLÍN</v>
      </c>
      <c r="D1563" s="15" t="str">
        <f>IFERROR(__xludf.DUMMYFUNCTION("""COMPUTED_VALUE"""),"BOGOTÁ")</f>
        <v>BOGOTÁ</v>
      </c>
      <c r="E1563" s="15" t="str">
        <f>IFERROR(__xludf.DUMMYFUNCTION("""COMPUTED_VALUE"""),"Pan de Waffle")</f>
        <v>Pan de Waffle</v>
      </c>
      <c r="F1563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1563" s="15" t="str">
        <f>IFERROR(__xludf.DUMMYFUNCTION("""COMPUTED_VALUE"""),"VITA INTEGRAL")</f>
        <v>VITA INTEGRAL</v>
      </c>
      <c r="H1563" s="16">
        <f>IFERROR(__xludf.DUMMYFUNCTION("""COMPUTED_VALUE"""),10182.0)</f>
        <v>10182</v>
      </c>
      <c r="I1563" s="18">
        <f>IFERROR(__xludf.DUMMYFUNCTION("""COMPUTED_VALUE"""),40.0)</f>
        <v>40</v>
      </c>
      <c r="J1563" s="18">
        <f>IFERROR(__xludf.DUMMYFUNCTION("""COMPUTED_VALUE"""),20.0)</f>
        <v>20</v>
      </c>
      <c r="K1563" s="18">
        <f>IFERROR(__xludf.DUMMYFUNCTION("""COMPUTED_VALUE"""),40.0)</f>
        <v>40</v>
      </c>
      <c r="L1563" s="17">
        <f>IFERROR(__xludf.DUMMYFUNCTION("""COMPUTED_VALUE"""),3.122921247E9)</f>
        <v>3122921247</v>
      </c>
      <c r="M1563" s="17" t="str">
        <f>IFERROR(__xludf.DUMMYFUNCTION("""COMPUTED_VALUE"""),"#REF!")</f>
        <v>#REF!</v>
      </c>
      <c r="N1563" s="17"/>
      <c r="O1563" s="17"/>
      <c r="P1563" s="17" t="b">
        <f>IFERROR(__xludf.DUMMYFUNCTION("""COMPUTED_VALUE"""),FALSE)</f>
        <v>0</v>
      </c>
      <c r="Q1563" s="20" t="str">
        <f>IFERROR(__xludf.DUMMYFUNCTION("""COMPUTED_VALUE"""),"")</f>
        <v/>
      </c>
      <c r="R1563" s="22" t="str">
        <f>IFERROR(__xludf.DUMMYFUNCTION("""COMPUTED_VALUE"""),"")</f>
        <v/>
      </c>
    </row>
    <row r="1564">
      <c r="A1564" s="15">
        <f>IFERROR(__xludf.DUMMYFUNCTION("""COMPUTED_VALUE"""),45044.0)</f>
        <v>45044</v>
      </c>
      <c r="B1564" s="16" t="str">
        <f>IFERROR(__xludf.DUMMYFUNCTION("""COMPUTED_VALUE"""),"Envia")</f>
        <v>Envia</v>
      </c>
      <c r="C1564" s="15" t="str">
        <f>IFERROR(__xludf.DUMMYFUNCTION("""COMPUTED_VALUE"""),"MEDELLÍN")</f>
        <v>MEDELLÍN</v>
      </c>
      <c r="D1564" s="15" t="str">
        <f>IFERROR(__xludf.DUMMYFUNCTION("""COMPUTED_VALUE"""),"BOGOTÁ")</f>
        <v>BOGOTÁ</v>
      </c>
      <c r="E1564" s="15" t="str">
        <f>IFERROR(__xludf.DUMMYFUNCTION("""COMPUTED_VALUE"""),"Renata")</f>
        <v>Renata</v>
      </c>
      <c r="F1564" s="17" t="str">
        <f>IFERROR(__xludf.DUMMYFUNCTION("""COMPUTED_VALUE"""),"Carrera 32d-#9-43 / Seline y cowork -restaurante  / Provenza")</f>
        <v>Carrera 32d-#9-43 / Seline y cowork -restaurante  / Provenza</v>
      </c>
      <c r="G1564" s="15" t="str">
        <f>IFERROR(__xludf.DUMMYFUNCTION("""COMPUTED_VALUE"""),"Front y back hospitality group")</f>
        <v>Front y back hospitality group</v>
      </c>
      <c r="H1564" s="16">
        <f>IFERROR(__xludf.DUMMYFUNCTION("""COMPUTED_VALUE"""),10193.0)</f>
        <v>10193</v>
      </c>
      <c r="I1564" s="18">
        <f>IFERROR(__xludf.DUMMYFUNCTION("""COMPUTED_VALUE"""),90.0)</f>
        <v>90</v>
      </c>
      <c r="J1564" s="18">
        <f>IFERROR(__xludf.DUMMYFUNCTION("""COMPUTED_VALUE"""),70.0)</f>
        <v>70</v>
      </c>
      <c r="K1564" s="18">
        <f>IFERROR(__xludf.DUMMYFUNCTION("""COMPUTED_VALUE"""),60.0)</f>
        <v>60</v>
      </c>
      <c r="L1564" s="17">
        <f>IFERROR(__xludf.DUMMYFUNCTION("""COMPUTED_VALUE"""),3.104046378E9)</f>
        <v>3104046378</v>
      </c>
      <c r="M1564" s="17" t="str">
        <f>IFERROR(__xludf.DUMMYFUNCTION("""COMPUTED_VALUE"""),"#REF!")</f>
        <v>#REF!</v>
      </c>
      <c r="N1564" s="17"/>
      <c r="O1564" s="17"/>
      <c r="P1564" s="17" t="b">
        <f>IFERROR(__xludf.DUMMYFUNCTION("""COMPUTED_VALUE"""),FALSE)</f>
        <v>0</v>
      </c>
      <c r="Q1564" s="20" t="str">
        <f>IFERROR(__xludf.DUMMYFUNCTION("""COMPUTED_VALUE"""),"")</f>
        <v/>
      </c>
      <c r="R1564" s="22" t="str">
        <f>IFERROR(__xludf.DUMMYFUNCTION("""COMPUTED_VALUE"""),"")</f>
        <v/>
      </c>
    </row>
    <row r="1565">
      <c r="A1565" s="15">
        <f>IFERROR(__xludf.DUMMYFUNCTION("""COMPUTED_VALUE"""),45044.0)</f>
        <v>45044</v>
      </c>
      <c r="B1565" s="16" t="str">
        <f>IFERROR(__xludf.DUMMYFUNCTION("""COMPUTED_VALUE"""),"Envia")</f>
        <v>Envia</v>
      </c>
      <c r="C1565" s="15" t="str">
        <f>IFERROR(__xludf.DUMMYFUNCTION("""COMPUTED_VALUE"""),"SANTA MARTA")</f>
        <v>SANTA MARTA</v>
      </c>
      <c r="D1565" s="15" t="str">
        <f>IFERROR(__xludf.DUMMYFUNCTION("""COMPUTED_VALUE"""),"BOGOTÁ")</f>
        <v>BOGOTÁ</v>
      </c>
      <c r="E1565" s="15" t="str">
        <f>IFERROR(__xludf.DUMMYFUNCTION("""COMPUTED_VALUE"""),"Evamazzita")</f>
        <v>Evamazzita</v>
      </c>
      <c r="F1565" s="17" t="str">
        <f>IFERROR(__xludf.DUMMYFUNCTION("""COMPUTED_VALUE"""),"Calle 5 #14-63  / esquina tienda la preferida.  / Barrio 20 de julio")</f>
        <v>Calle 5 #14-63  / esquina tienda la preferida.  / Barrio 20 de julio</v>
      </c>
      <c r="G1565" s="15" t="str">
        <f>IFERROR(__xludf.DUMMYFUNCTION("""COMPUTED_VALUE"""),"KENDRY HENAO DIAZ")</f>
        <v>KENDRY HENAO DIAZ</v>
      </c>
      <c r="H1565" s="16">
        <f>IFERROR(__xludf.DUMMYFUNCTION("""COMPUTED_VALUE"""),10155.0)</f>
        <v>10155</v>
      </c>
      <c r="I1565" s="18">
        <f>IFERROR(__xludf.DUMMYFUNCTION("""COMPUTED_VALUE"""),3.0)</f>
        <v>3</v>
      </c>
      <c r="J1565" s="18">
        <f>IFERROR(__xludf.DUMMYFUNCTION("""COMPUTED_VALUE"""),20.0)</f>
        <v>20</v>
      </c>
      <c r="K1565" s="18">
        <f>IFERROR(__xludf.DUMMYFUNCTION("""COMPUTED_VALUE"""),15.0)</f>
        <v>15</v>
      </c>
      <c r="L1565" s="17">
        <f>IFERROR(__xludf.DUMMYFUNCTION("""COMPUTED_VALUE"""),3.045393949E9)</f>
        <v>3045393949</v>
      </c>
      <c r="M1565" s="17" t="str">
        <f>IFERROR(__xludf.DUMMYFUNCTION("""COMPUTED_VALUE"""),"#REF!")</f>
        <v>#REF!</v>
      </c>
      <c r="N1565" s="17"/>
      <c r="O1565" s="17"/>
      <c r="P1565" s="17" t="b">
        <f>IFERROR(__xludf.DUMMYFUNCTION("""COMPUTED_VALUE"""),FALSE)</f>
        <v>0</v>
      </c>
      <c r="Q1565" s="20" t="str">
        <f>IFERROR(__xludf.DUMMYFUNCTION("""COMPUTED_VALUE"""),"")</f>
        <v/>
      </c>
      <c r="R1565" s="22" t="str">
        <f>IFERROR(__xludf.DUMMYFUNCTION("""COMPUTED_VALUE"""),"")</f>
        <v/>
      </c>
    </row>
    <row r="1566">
      <c r="A1566" s="15">
        <f>IFERROR(__xludf.DUMMYFUNCTION("""COMPUTED_VALUE"""),45044.0)</f>
        <v>45044</v>
      </c>
      <c r="B1566" s="16" t="str">
        <f>IFERROR(__xludf.DUMMYFUNCTION("""COMPUTED_VALUE"""),"Envia")</f>
        <v>Envia</v>
      </c>
      <c r="C1566" s="15" t="str">
        <f>IFERROR(__xludf.DUMMYFUNCTION("""COMPUTED_VALUE"""),"SANTA MARTA")</f>
        <v>SANTA MARTA</v>
      </c>
      <c r="D1566" s="15" t="str">
        <f>IFERROR(__xludf.DUMMYFUNCTION("""COMPUTED_VALUE"""),"BOGOTÁ")</f>
        <v>BOGOTÁ</v>
      </c>
      <c r="E1566" s="15" t="str">
        <f>IFERROR(__xludf.DUMMYFUNCTION("""COMPUTED_VALUE"""),"Evamazzita")</f>
        <v>Evamazzita</v>
      </c>
      <c r="F1566" s="17" t="str">
        <f>IFERROR(__xludf.DUMMYFUNCTION("""COMPUTED_VALUE"""),"Carrera 4 #21-180  / conjunto puerto banus casa 33   / Rodadero")</f>
        <v>Carrera 4 #21-180  / conjunto puerto banus casa 33   / Rodadero</v>
      </c>
      <c r="G1566" s="15" t="str">
        <f>IFERROR(__xludf.DUMMYFUNCTION("""COMPUTED_VALUE"""),"ADRIANA RODRIGUEZ")</f>
        <v>ADRIANA RODRIGUEZ</v>
      </c>
      <c r="H1566" s="16">
        <f>IFERROR(__xludf.DUMMYFUNCTION("""COMPUTED_VALUE"""),10154.0)</f>
        <v>10154</v>
      </c>
      <c r="I1566" s="18">
        <f>IFERROR(__xludf.DUMMYFUNCTION("""COMPUTED_VALUE"""),10.0)</f>
        <v>10</v>
      </c>
      <c r="J1566" s="18">
        <f>IFERROR(__xludf.DUMMYFUNCTION("""COMPUTED_VALUE"""),18.0)</f>
        <v>18</v>
      </c>
      <c r="K1566" s="18">
        <f>IFERROR(__xludf.DUMMYFUNCTION("""COMPUTED_VALUE"""),22.0)</f>
        <v>22</v>
      </c>
      <c r="L1566" s="17">
        <f>IFERROR(__xludf.DUMMYFUNCTION("""COMPUTED_VALUE"""),3.17300301E9)</f>
        <v>3173003010</v>
      </c>
      <c r="M1566" s="17" t="str">
        <f>IFERROR(__xludf.DUMMYFUNCTION("""COMPUTED_VALUE"""),"#REF!")</f>
        <v>#REF!</v>
      </c>
      <c r="N1566" s="17"/>
      <c r="O1566" s="17"/>
      <c r="P1566" s="17" t="b">
        <f>IFERROR(__xludf.DUMMYFUNCTION("""COMPUTED_VALUE"""),FALSE)</f>
        <v>0</v>
      </c>
      <c r="Q1566" s="20" t="str">
        <f>IFERROR(__xludf.DUMMYFUNCTION("""COMPUTED_VALUE"""),"")</f>
        <v/>
      </c>
      <c r="R1566" s="22" t="str">
        <f>IFERROR(__xludf.DUMMYFUNCTION("""COMPUTED_VALUE"""),"")</f>
        <v/>
      </c>
    </row>
    <row r="1567">
      <c r="A1567" s="15">
        <f>IFERROR(__xludf.DUMMYFUNCTION("""COMPUTED_VALUE"""),45044.0)</f>
        <v>45044</v>
      </c>
      <c r="B1567" s="16" t="str">
        <f>IFERROR(__xludf.DUMMYFUNCTION("""COMPUTED_VALUE"""),"Envia")</f>
        <v>Envia</v>
      </c>
      <c r="C1567" s="15" t="str">
        <f>IFERROR(__xludf.DUMMYFUNCTION("""COMPUTED_VALUE"""),"SANTA MARTA")</f>
        <v>SANTA MARTA</v>
      </c>
      <c r="D1567" s="15" t="str">
        <f>IFERROR(__xludf.DUMMYFUNCTION("""COMPUTED_VALUE"""),"MEDELLÍN")</f>
        <v>MEDELLÍN</v>
      </c>
      <c r="E1567" s="15" t="str">
        <f>IFERROR(__xludf.DUMMYFUNCTION("""COMPUTED_VALUE"""),"Rambla")</f>
        <v>Rambla</v>
      </c>
      <c r="F1567" s="17" t="str">
        <f>IFERROR(__xludf.DUMMYFUNCTION("""COMPUTED_VALUE"""),"Direccion: Cra 1c # 23-56 Barrio BellaVista / na / na")</f>
        <v>Direccion: Cra 1c # 23-56 Barrio BellaVista / na / na</v>
      </c>
      <c r="G1567" s="15" t="str">
        <f>IFERROR(__xludf.DUMMYFUNCTION("""COMPUTED_VALUE"""),"FRESCO")</f>
        <v>FRESCO</v>
      </c>
      <c r="H1567" s="16">
        <f>IFERROR(__xludf.DUMMYFUNCTION("""COMPUTED_VALUE"""),10172.0)</f>
        <v>10172</v>
      </c>
      <c r="I1567" s="18">
        <f>IFERROR(__xludf.DUMMYFUNCTION("""COMPUTED_VALUE"""),25.0)</f>
        <v>25</v>
      </c>
      <c r="J1567" s="18">
        <f>IFERROR(__xludf.DUMMYFUNCTION("""COMPUTED_VALUE"""),27.0)</f>
        <v>27</v>
      </c>
      <c r="K1567" s="18">
        <f>IFERROR(__xludf.DUMMYFUNCTION("""COMPUTED_VALUE"""),30.0)</f>
        <v>30</v>
      </c>
      <c r="L1567" s="17">
        <f>IFERROR(__xludf.DUMMYFUNCTION("""COMPUTED_VALUE"""),3.104615133E9)</f>
        <v>3104615133</v>
      </c>
      <c r="M1567" s="17" t="str">
        <f>IFERROR(__xludf.DUMMYFUNCTION("""COMPUTED_VALUE"""),"#REF!")</f>
        <v>#REF!</v>
      </c>
      <c r="N1567" s="17"/>
      <c r="O1567" s="17"/>
      <c r="P1567" s="17" t="b">
        <f>IFERROR(__xludf.DUMMYFUNCTION("""COMPUTED_VALUE"""),FALSE)</f>
        <v>0</v>
      </c>
      <c r="Q1567" s="20" t="str">
        <f>IFERROR(__xludf.DUMMYFUNCTION("""COMPUTED_VALUE"""),"")</f>
        <v/>
      </c>
      <c r="R1567" s="22" t="str">
        <f>IFERROR(__xludf.DUMMYFUNCTION("""COMPUTED_VALUE"""),"")</f>
        <v/>
      </c>
    </row>
    <row r="1568">
      <c r="A1568" s="17" t="str">
        <f>IFERROR(__xludf.DUMMYFUNCTION("""COMPUTED_VALUE"""),"")</f>
        <v/>
      </c>
      <c r="B1568" s="17" t="str">
        <f>IFERROR(__xludf.DUMMYFUNCTION("""COMPUTED_VALUE"""),"")</f>
        <v/>
      </c>
      <c r="C1568" s="17" t="str">
        <f>IFERROR(__xludf.DUMMYFUNCTION("""COMPUTED_VALUE"""),"")</f>
        <v/>
      </c>
      <c r="D1568" s="17" t="str">
        <f>IFERROR(__xludf.DUMMYFUNCTION("""COMPUTED_VALUE"""),"")</f>
        <v/>
      </c>
      <c r="E1568" s="17" t="str">
        <f>IFERROR(__xludf.DUMMYFUNCTION("""COMPUTED_VALUE"""),"")</f>
        <v/>
      </c>
      <c r="F1568" s="17" t="str">
        <f>IFERROR(__xludf.DUMMYFUNCTION("""COMPUTED_VALUE"""),"")</f>
        <v/>
      </c>
      <c r="G1568" s="17" t="str">
        <f>IFERROR(__xludf.DUMMYFUNCTION("""COMPUTED_VALUE"""),"")</f>
        <v/>
      </c>
      <c r="H1568" s="17" t="str">
        <f>IFERROR(__xludf.DUMMYFUNCTION("""COMPUTED_VALUE"""),"")</f>
        <v/>
      </c>
      <c r="I1568" s="17" t="str">
        <f>IFERROR(__xludf.DUMMYFUNCTION("""COMPUTED_VALUE"""),"")</f>
        <v/>
      </c>
      <c r="J1568" s="17" t="str">
        <f>IFERROR(__xludf.DUMMYFUNCTION("""COMPUTED_VALUE"""),"")</f>
        <v/>
      </c>
      <c r="K1568" s="17" t="str">
        <f>IFERROR(__xludf.DUMMYFUNCTION("""COMPUTED_VALUE"""),"")</f>
        <v/>
      </c>
      <c r="L1568" s="17" t="str">
        <f>IFERROR(__xludf.DUMMYFUNCTION("""COMPUTED_VALUE"""),"")</f>
        <v/>
      </c>
      <c r="M1568" s="17" t="str">
        <f>IFERROR(__xludf.DUMMYFUNCTION("""COMPUTED_VALUE"""),"")</f>
        <v/>
      </c>
      <c r="N1568" s="17" t="str">
        <f>IFERROR(__xludf.DUMMYFUNCTION("""COMPUTED_VALUE"""),"")</f>
        <v/>
      </c>
      <c r="O1568" s="17" t="str">
        <f>IFERROR(__xludf.DUMMYFUNCTION("""COMPUTED_VALUE"""),"")</f>
        <v/>
      </c>
      <c r="P1568" s="17" t="str">
        <f>IFERROR(__xludf.DUMMYFUNCTION("""COMPUTED_VALUE"""),"")</f>
        <v/>
      </c>
      <c r="Q1568" s="17" t="str">
        <f>IFERROR(__xludf.DUMMYFUNCTION("""COMPUTED_VALUE"""),"")</f>
        <v/>
      </c>
      <c r="R1568" s="17" t="str">
        <f>IFERROR(__xludf.DUMMYFUNCTION("""COMPUTED_VALUE"""),"")</f>
        <v/>
      </c>
    </row>
    <row r="1569">
      <c r="A1569" s="15">
        <f>IFERROR(__xludf.DUMMYFUNCTION("""COMPUTED_VALUE"""),45044.0)</f>
        <v>45044</v>
      </c>
      <c r="B1569" s="16" t="str">
        <f>IFERROR(__xludf.DUMMYFUNCTION("""COMPUTED_VALUE"""),"Jeison Rubiano")</f>
        <v>Jeison Rubiano</v>
      </c>
      <c r="C1569" s="15" t="str">
        <f>IFERROR(__xludf.DUMMYFUNCTION("""COMPUTED_VALUE"""),"BOGOTÁ")</f>
        <v>BOGOTÁ</v>
      </c>
      <c r="D1569" s="15" t="str">
        <f>IFERROR(__xludf.DUMMYFUNCTION("""COMPUTED_VALUE"""),"MEDELLÍN")</f>
        <v>MEDELLÍN</v>
      </c>
      <c r="E1569" s="15" t="str">
        <f>IFERROR(__xludf.DUMMYFUNCTION("""COMPUTED_VALUE"""),"AREPAS LA MARY")</f>
        <v>AREPAS LA MARY</v>
      </c>
      <c r="F1569" s="17" t="str">
        <f>IFERROR(__xludf.DUMMYFUNCTION("""COMPUTED_VALUE"""),"CALLE 18 77 51 LOCAL 131 / MERIDIANO 13 DEL ESTE")</f>
        <v>CALLE 18 77 51 LOCAL 131 / MERIDIANO 13 DEL ESTE</v>
      </c>
      <c r="G1569" s="15" t="str">
        <f>IFERROR(__xludf.DUMMYFUNCTION("""COMPUTED_VALUE"""),"GREEN FIT BOGOTA")</f>
        <v>GREEN FIT BOGOTA</v>
      </c>
      <c r="H1569" s="16">
        <f>IFERROR(__xludf.DUMMYFUNCTION("""COMPUTED_VALUE"""),10165.0)</f>
        <v>10165</v>
      </c>
      <c r="I1569" s="18">
        <f>IFERROR(__xludf.DUMMYFUNCTION("""COMPUTED_VALUE"""),89.0)</f>
        <v>89</v>
      </c>
      <c r="J1569" s="18">
        <f>IFERROR(__xludf.DUMMYFUNCTION("""COMPUTED_VALUE"""),1.0)</f>
        <v>1</v>
      </c>
      <c r="K1569" s="18">
        <f>IFERROR(__xludf.DUMMYFUNCTION("""COMPUTED_VALUE"""),10.0)</f>
        <v>10</v>
      </c>
      <c r="L1569" s="17" t="str">
        <f>IFERROR(__xludf.DUMMYFUNCTION("""COMPUTED_VALUE"""),"310 5577438")</f>
        <v>310 5577438</v>
      </c>
      <c r="M1569" s="17" t="str">
        <f>IFERROR(__xludf.DUMMYFUNCTION("""COMPUTED_VALUE"""),"#REF!")</f>
        <v>#REF!</v>
      </c>
      <c r="N1569" s="17"/>
      <c r="O1569" s="17"/>
      <c r="P1569" s="17" t="b">
        <f>IFERROR(__xludf.DUMMYFUNCTION("""COMPUTED_VALUE"""),FALSE)</f>
        <v>0</v>
      </c>
      <c r="Q1569" s="20" t="str">
        <f>IFERROR(__xludf.DUMMYFUNCTION("""COMPUTED_VALUE"""),"")</f>
        <v/>
      </c>
      <c r="R1569" s="22" t="str">
        <f>IFERROR(__xludf.DUMMYFUNCTION("""COMPUTED_VALUE"""),"")</f>
        <v/>
      </c>
    </row>
    <row r="1570">
      <c r="A1570" s="15">
        <f>IFERROR(__xludf.DUMMYFUNCTION("""COMPUTED_VALUE"""),45044.0)</f>
        <v>45044</v>
      </c>
      <c r="B1570" s="16" t="str">
        <f>IFERROR(__xludf.DUMMYFUNCTION("""COMPUTED_VALUE"""),"Jeison Rubiano")</f>
        <v>Jeison Rubiano</v>
      </c>
      <c r="C1570" s="15" t="str">
        <f>IFERROR(__xludf.DUMMYFUNCTION("""COMPUTED_VALUE"""),"BOGOTÁ")</f>
        <v>BOGOTÁ</v>
      </c>
      <c r="D1570" s="15" t="str">
        <f>IFERROR(__xludf.DUMMYFUNCTION("""COMPUTED_VALUE"""),"MEDELLÍN")</f>
        <v>MEDELLÍN</v>
      </c>
      <c r="E1570" s="15" t="str">
        <f>IFERROR(__xludf.DUMMYFUNCTION("""COMPUTED_VALUE"""),"Baby Chef")</f>
        <v>Baby Chef</v>
      </c>
      <c r="F1570" s="17" t="str">
        <f>IFERROR(__xludf.DUMMYFUNCTION("""COMPUTED_VALUE"""),"Calle 101 16 50 / Edificio DaVinci 101  Apto 501 / BOGOTÁ")</f>
        <v>Calle 101 16 50 / Edificio DaVinci 101  Apto 501 / BOGOTÁ</v>
      </c>
      <c r="G1570" s="15" t="str">
        <f>IFERROR(__xludf.DUMMYFUNCTION("""COMPUTED_VALUE"""),"Andrea Castaño")</f>
        <v>Andrea Castaño</v>
      </c>
      <c r="H1570" s="16">
        <f>IFERROR(__xludf.DUMMYFUNCTION("""COMPUTED_VALUE"""),10213.0)</f>
        <v>10213</v>
      </c>
      <c r="I1570" s="18">
        <f>IFERROR(__xludf.DUMMYFUNCTION("""COMPUTED_VALUE"""),8.0)</f>
        <v>8</v>
      </c>
      <c r="J1570" s="18">
        <f>IFERROR(__xludf.DUMMYFUNCTION("""COMPUTED_VALUE"""),16.0)</f>
        <v>16</v>
      </c>
      <c r="K1570" s="18">
        <f>IFERROR(__xludf.DUMMYFUNCTION("""COMPUTED_VALUE"""),20.0)</f>
        <v>20</v>
      </c>
      <c r="L1570" s="17">
        <f>IFERROR(__xludf.DUMMYFUNCTION("""COMPUTED_VALUE"""),3.102472575E9)</f>
        <v>3102472575</v>
      </c>
      <c r="M1570" s="17" t="str">
        <f>IFERROR(__xludf.DUMMYFUNCTION("""COMPUTED_VALUE"""),"#REF!")</f>
        <v>#REF!</v>
      </c>
      <c r="N1570" s="17"/>
      <c r="O1570" s="17"/>
      <c r="P1570" s="17" t="b">
        <f>IFERROR(__xludf.DUMMYFUNCTION("""COMPUTED_VALUE"""),FALSE)</f>
        <v>0</v>
      </c>
      <c r="Q1570" s="20" t="str">
        <f>IFERROR(__xludf.DUMMYFUNCTION("""COMPUTED_VALUE"""),"")</f>
        <v/>
      </c>
      <c r="R1570" s="22" t="str">
        <f>IFERROR(__xludf.DUMMYFUNCTION("""COMPUTED_VALUE"""),"")</f>
        <v/>
      </c>
    </row>
    <row r="1571">
      <c r="A1571" s="15">
        <f>IFERROR(__xludf.DUMMYFUNCTION("""COMPUTED_VALUE"""),45044.0)</f>
        <v>45044</v>
      </c>
      <c r="B1571" s="16" t="str">
        <f>IFERROR(__xludf.DUMMYFUNCTION("""COMPUTED_VALUE"""),"Jeison Rubiano")</f>
        <v>Jeison Rubiano</v>
      </c>
      <c r="C1571" s="15" t="str">
        <f>IFERROR(__xludf.DUMMYFUNCTION("""COMPUTED_VALUE"""),"BOGOTÁ")</f>
        <v>BOGOTÁ</v>
      </c>
      <c r="D1571" s="15" t="str">
        <f>IFERROR(__xludf.DUMMYFUNCTION("""COMPUTED_VALUE"""),"MEDELLÍN")</f>
        <v>MEDELLÍN</v>
      </c>
      <c r="E1571" s="15" t="str">
        <f>IFERROR(__xludf.DUMMYFUNCTION("""COMPUTED_VALUE"""),"Baby Chef")</f>
        <v>Baby Chef</v>
      </c>
      <c r="F1571" s="17" t="str">
        <f>IFERROR(__xludf.DUMMYFUNCTION("""COMPUTED_VALUE"""),"Calle 145 A # 12 A 68 / Ed El Ancora Apto 101 / CEDRITOS")</f>
        <v>Calle 145 A # 12 A 68 / Ed El Ancora Apto 101 / CEDRITOS</v>
      </c>
      <c r="G1571" s="15" t="str">
        <f>IFERROR(__xludf.DUMMYFUNCTION("""COMPUTED_VALUE"""),"Jorge Gutierrez")</f>
        <v>Jorge Gutierrez</v>
      </c>
      <c r="H1571" s="16">
        <f>IFERROR(__xludf.DUMMYFUNCTION("""COMPUTED_VALUE"""),10202.0)</f>
        <v>10202</v>
      </c>
      <c r="I1571" s="18">
        <f>IFERROR(__xludf.DUMMYFUNCTION("""COMPUTED_VALUE"""),8.0)</f>
        <v>8</v>
      </c>
      <c r="J1571" s="18">
        <f>IFERROR(__xludf.DUMMYFUNCTION("""COMPUTED_VALUE"""),16.0)</f>
        <v>16</v>
      </c>
      <c r="K1571" s="18">
        <f>IFERROR(__xludf.DUMMYFUNCTION("""COMPUTED_VALUE"""),20.0)</f>
        <v>20</v>
      </c>
      <c r="L1571" s="17">
        <f>IFERROR(__xludf.DUMMYFUNCTION("""COMPUTED_VALUE"""),3.502984795E9)</f>
        <v>3502984795</v>
      </c>
      <c r="M1571" s="17" t="str">
        <f>IFERROR(__xludf.DUMMYFUNCTION("""COMPUTED_VALUE"""),"#REF!")</f>
        <v>#REF!</v>
      </c>
      <c r="N1571" s="17"/>
      <c r="O1571" s="17"/>
      <c r="P1571" s="17" t="b">
        <f>IFERROR(__xludf.DUMMYFUNCTION("""COMPUTED_VALUE"""),FALSE)</f>
        <v>0</v>
      </c>
      <c r="Q1571" s="20" t="str">
        <f>IFERROR(__xludf.DUMMYFUNCTION("""COMPUTED_VALUE"""),"")</f>
        <v/>
      </c>
      <c r="R1571" s="22" t="str">
        <f>IFERROR(__xludf.DUMMYFUNCTION("""COMPUTED_VALUE"""),"")</f>
        <v/>
      </c>
    </row>
    <row r="1572">
      <c r="A1572" s="15">
        <f>IFERROR(__xludf.DUMMYFUNCTION("""COMPUTED_VALUE"""),45044.0)</f>
        <v>45044</v>
      </c>
      <c r="B1572" s="16" t="str">
        <f>IFERROR(__xludf.DUMMYFUNCTION("""COMPUTED_VALUE"""),"Jeison Rubiano")</f>
        <v>Jeison Rubiano</v>
      </c>
      <c r="C1572" s="15" t="str">
        <f>IFERROR(__xludf.DUMMYFUNCTION("""COMPUTED_VALUE"""),"BOGOTÁ")</f>
        <v>BOGOTÁ</v>
      </c>
      <c r="D1572" s="15" t="str">
        <f>IFERROR(__xludf.DUMMYFUNCTION("""COMPUTED_VALUE"""),"MEDELLÍN")</f>
        <v>MEDELLÍN</v>
      </c>
      <c r="E1572" s="15" t="str">
        <f>IFERROR(__xludf.DUMMYFUNCTION("""COMPUTED_VALUE"""),"Baby Chef")</f>
        <v>Baby Chef</v>
      </c>
      <c r="F1572" s="17" t="str">
        <f>IFERROR(__xludf.DUMMYFUNCTION("""COMPUTED_VALUE"""),"Calle 95 # 71 - 11 / Bloque 4 Apto 701 / Parque Central Pontevedra etapa 3")</f>
        <v>Calle 95 # 71 - 11 / Bloque 4 Apto 701 / Parque Central Pontevedra etapa 3</v>
      </c>
      <c r="G1572" s="15" t="str">
        <f>IFERROR(__xludf.DUMMYFUNCTION("""COMPUTED_VALUE"""),"Javier Riveros")</f>
        <v>Javier Riveros</v>
      </c>
      <c r="H1572" s="16">
        <f>IFERROR(__xludf.DUMMYFUNCTION("""COMPUTED_VALUE"""),10203.0)</f>
        <v>10203</v>
      </c>
      <c r="I1572" s="18">
        <f>IFERROR(__xludf.DUMMYFUNCTION("""COMPUTED_VALUE"""),8.0)</f>
        <v>8</v>
      </c>
      <c r="J1572" s="18">
        <f>IFERROR(__xludf.DUMMYFUNCTION("""COMPUTED_VALUE"""),16.0)</f>
        <v>16</v>
      </c>
      <c r="K1572" s="18">
        <f>IFERROR(__xludf.DUMMYFUNCTION("""COMPUTED_VALUE"""),20.0)</f>
        <v>20</v>
      </c>
      <c r="L1572" s="17">
        <f>IFERROR(__xludf.DUMMYFUNCTION("""COMPUTED_VALUE"""),3.213439795E9)</f>
        <v>3213439795</v>
      </c>
      <c r="M1572" s="17" t="str">
        <f>IFERROR(__xludf.DUMMYFUNCTION("""COMPUTED_VALUE"""),"#REF!")</f>
        <v>#REF!</v>
      </c>
      <c r="N1572" s="17"/>
      <c r="O1572" s="17"/>
      <c r="P1572" s="17" t="b">
        <f>IFERROR(__xludf.DUMMYFUNCTION("""COMPUTED_VALUE"""),FALSE)</f>
        <v>0</v>
      </c>
      <c r="Q1572" s="20" t="str">
        <f>IFERROR(__xludf.DUMMYFUNCTION("""COMPUTED_VALUE"""),"")</f>
        <v/>
      </c>
      <c r="R1572" s="22" t="str">
        <f>IFERROR(__xludf.DUMMYFUNCTION("""COMPUTED_VALUE"""),"")</f>
        <v/>
      </c>
    </row>
    <row r="1573">
      <c r="A1573" s="15">
        <f>IFERROR(__xludf.DUMMYFUNCTION("""COMPUTED_VALUE"""),45044.0)</f>
        <v>45044</v>
      </c>
      <c r="B1573" s="16" t="str">
        <f>IFERROR(__xludf.DUMMYFUNCTION("""COMPUTED_VALUE"""),"Jeison Rubiano")</f>
        <v>Jeison Rubiano</v>
      </c>
      <c r="C1573" s="15" t="str">
        <f>IFERROR(__xludf.DUMMYFUNCTION("""COMPUTED_VALUE"""),"BOGOTÁ")</f>
        <v>BOGOTÁ</v>
      </c>
      <c r="D1573" s="15" t="str">
        <f>IFERROR(__xludf.DUMMYFUNCTION("""COMPUTED_VALUE"""),"MEDELLÍN")</f>
        <v>MEDELLÍN</v>
      </c>
      <c r="E1573" s="15" t="str">
        <f>IFERROR(__xludf.DUMMYFUNCTION("""COMPUTED_VALUE"""),"Baby Chef")</f>
        <v>Baby Chef</v>
      </c>
      <c r="F1573" s="17" t="str">
        <f>IFERROR(__xludf.DUMMYFUNCTION("""COMPUTED_VALUE"""),"Cra 21 # 63 B 04 Timbre 202 / Cra 21 # 63 B 04 Timbre 202 / BOGOTÁ")</f>
        <v>Cra 21 # 63 B 04 Timbre 202 / Cra 21 # 63 B 04 Timbre 202 / BOGOTÁ</v>
      </c>
      <c r="G1573" s="15" t="str">
        <f>IFERROR(__xludf.DUMMYFUNCTION("""COMPUTED_VALUE"""),"Juana González")</f>
        <v>Juana González</v>
      </c>
      <c r="H1573" s="16">
        <f>IFERROR(__xludf.DUMMYFUNCTION("""COMPUTED_VALUE"""),10198.0)</f>
        <v>10198</v>
      </c>
      <c r="I1573" s="18">
        <f>IFERROR(__xludf.DUMMYFUNCTION("""COMPUTED_VALUE"""),8.0)</f>
        <v>8</v>
      </c>
      <c r="J1573" s="18">
        <f>IFERROR(__xludf.DUMMYFUNCTION("""COMPUTED_VALUE"""),16.0)</f>
        <v>16</v>
      </c>
      <c r="K1573" s="18">
        <f>IFERROR(__xludf.DUMMYFUNCTION("""COMPUTED_VALUE"""),20.0)</f>
        <v>20</v>
      </c>
      <c r="L1573" s="17">
        <f>IFERROR(__xludf.DUMMYFUNCTION("""COMPUTED_VALUE"""),3.134102162E9)</f>
        <v>3134102162</v>
      </c>
      <c r="M1573" s="17" t="str">
        <f>IFERROR(__xludf.DUMMYFUNCTION("""COMPUTED_VALUE"""),"#REF!")</f>
        <v>#REF!</v>
      </c>
      <c r="N1573" s="17"/>
      <c r="O1573" s="17"/>
      <c r="P1573" s="17" t="b">
        <f>IFERROR(__xludf.DUMMYFUNCTION("""COMPUTED_VALUE"""),FALSE)</f>
        <v>0</v>
      </c>
      <c r="Q1573" s="20" t="str">
        <f>IFERROR(__xludf.DUMMYFUNCTION("""COMPUTED_VALUE"""),"")</f>
        <v/>
      </c>
      <c r="R1573" s="22" t="str">
        <f>IFERROR(__xludf.DUMMYFUNCTION("""COMPUTED_VALUE"""),"")</f>
        <v/>
      </c>
    </row>
    <row r="1574">
      <c r="A1574" s="15">
        <f>IFERROR(__xludf.DUMMYFUNCTION("""COMPUTED_VALUE"""),45044.0)</f>
        <v>45044</v>
      </c>
      <c r="B1574" s="16" t="str">
        <f>IFERROR(__xludf.DUMMYFUNCTION("""COMPUTED_VALUE"""),"Jeison Rubiano")</f>
        <v>Jeison Rubiano</v>
      </c>
      <c r="C1574" s="15" t="str">
        <f>IFERROR(__xludf.DUMMYFUNCTION("""COMPUTED_VALUE"""),"BOGOTÁ")</f>
        <v>BOGOTÁ</v>
      </c>
      <c r="D1574" s="15" t="str">
        <f>IFERROR(__xludf.DUMMYFUNCTION("""COMPUTED_VALUE"""),"MEDELLÍN")</f>
        <v>MEDELLÍN</v>
      </c>
      <c r="E1574" s="15" t="str">
        <f>IFERROR(__xludf.DUMMYFUNCTION("""COMPUTED_VALUE"""),"Baby Chef")</f>
        <v>Baby Chef</v>
      </c>
      <c r="F1574" s="17" t="str">
        <f>IFERROR(__xludf.DUMMYFUNCTION("""COMPUTED_VALUE"""),"Cra 58 # 67 - 10 / Cra 58 # 67 - 10 / modelo norte")</f>
        <v>Cra 58 # 67 - 10 / Cra 58 # 67 - 10 / modelo norte</v>
      </c>
      <c r="G1574" s="15" t="str">
        <f>IFERROR(__xludf.DUMMYFUNCTION("""COMPUTED_VALUE"""),"Paula Caceres Gómez")</f>
        <v>Paula Caceres Gómez</v>
      </c>
      <c r="H1574" s="16">
        <f>IFERROR(__xludf.DUMMYFUNCTION("""COMPUTED_VALUE"""),10211.0)</f>
        <v>10211</v>
      </c>
      <c r="I1574" s="18">
        <f>IFERROR(__xludf.DUMMYFUNCTION("""COMPUTED_VALUE"""),8.0)</f>
        <v>8</v>
      </c>
      <c r="J1574" s="18">
        <f>IFERROR(__xludf.DUMMYFUNCTION("""COMPUTED_VALUE"""),16.0)</f>
        <v>16</v>
      </c>
      <c r="K1574" s="18">
        <f>IFERROR(__xludf.DUMMYFUNCTION("""COMPUTED_VALUE"""),20.0)</f>
        <v>20</v>
      </c>
      <c r="L1574" s="17">
        <f>IFERROR(__xludf.DUMMYFUNCTION("""COMPUTED_VALUE"""),3.017901401E9)</f>
        <v>3017901401</v>
      </c>
      <c r="M1574" s="17" t="str">
        <f>IFERROR(__xludf.DUMMYFUNCTION("""COMPUTED_VALUE"""),"#REF!")</f>
        <v>#REF!</v>
      </c>
      <c r="N1574" s="17"/>
      <c r="O1574" s="17"/>
      <c r="P1574" s="17" t="b">
        <f>IFERROR(__xludf.DUMMYFUNCTION("""COMPUTED_VALUE"""),FALSE)</f>
        <v>0</v>
      </c>
      <c r="Q1574" s="20" t="str">
        <f>IFERROR(__xludf.DUMMYFUNCTION("""COMPUTED_VALUE"""),"")</f>
        <v/>
      </c>
      <c r="R1574" s="22" t="str">
        <f>IFERROR(__xludf.DUMMYFUNCTION("""COMPUTED_VALUE"""),"")</f>
        <v/>
      </c>
    </row>
    <row r="1575">
      <c r="A1575" s="15">
        <f>IFERROR(__xludf.DUMMYFUNCTION("""COMPUTED_VALUE"""),45044.0)</f>
        <v>45044</v>
      </c>
      <c r="B1575" s="16" t="str">
        <f>IFERROR(__xludf.DUMMYFUNCTION("""COMPUTED_VALUE"""),"Jeison Rubiano")</f>
        <v>Jeison Rubiano</v>
      </c>
      <c r="C1575" s="15" t="str">
        <f>IFERROR(__xludf.DUMMYFUNCTION("""COMPUTED_VALUE"""),"BOGOTÁ")</f>
        <v>BOGOTÁ</v>
      </c>
      <c r="D1575" s="15" t="str">
        <f>IFERROR(__xludf.DUMMYFUNCTION("""COMPUTED_VALUE"""),"MEDELLÍN")</f>
        <v>MEDELLÍN</v>
      </c>
      <c r="E1575" s="15" t="str">
        <f>IFERROR(__xludf.DUMMYFUNCTION("""COMPUTED_VALUE"""),"Baby Chef")</f>
        <v>Baby Chef</v>
      </c>
      <c r="F1575" s="17" t="str">
        <f>IFERROR(__xludf.DUMMYFUNCTION("""COMPUTED_VALUE"""),"Cra 67 # 175 - 65 Casa 1 / Cra 67 # 175 - 65 Casa 1 / BOGOTA")</f>
        <v>Cra 67 # 175 - 65 Casa 1 / Cra 67 # 175 - 65 Casa 1 / BOGOTA</v>
      </c>
      <c r="G1575" s="15" t="str">
        <f>IFERROR(__xludf.DUMMYFUNCTION("""COMPUTED_VALUE"""),"Diana Vega")</f>
        <v>Diana Vega</v>
      </c>
      <c r="H1575" s="16">
        <f>IFERROR(__xludf.DUMMYFUNCTION("""COMPUTED_VALUE"""),10214.0)</f>
        <v>10214</v>
      </c>
      <c r="I1575" s="18">
        <f>IFERROR(__xludf.DUMMYFUNCTION("""COMPUTED_VALUE"""),8.0)</f>
        <v>8</v>
      </c>
      <c r="J1575" s="18">
        <f>IFERROR(__xludf.DUMMYFUNCTION("""COMPUTED_VALUE"""),16.0)</f>
        <v>16</v>
      </c>
      <c r="K1575" s="18">
        <f>IFERROR(__xludf.DUMMYFUNCTION("""COMPUTED_VALUE"""),20.0)</f>
        <v>20</v>
      </c>
      <c r="L1575" s="17">
        <f>IFERROR(__xludf.DUMMYFUNCTION("""COMPUTED_VALUE"""),3.126046975E9)</f>
        <v>3126046975</v>
      </c>
      <c r="M1575" s="17" t="str">
        <f>IFERROR(__xludf.DUMMYFUNCTION("""COMPUTED_VALUE"""),"#REF!")</f>
        <v>#REF!</v>
      </c>
      <c r="N1575" s="17"/>
      <c r="O1575" s="17"/>
      <c r="P1575" s="17" t="b">
        <f>IFERROR(__xludf.DUMMYFUNCTION("""COMPUTED_VALUE"""),FALSE)</f>
        <v>0</v>
      </c>
      <c r="Q1575" s="20" t="str">
        <f>IFERROR(__xludf.DUMMYFUNCTION("""COMPUTED_VALUE"""),"")</f>
        <v/>
      </c>
      <c r="R1575" s="22" t="str">
        <f>IFERROR(__xludf.DUMMYFUNCTION("""COMPUTED_VALUE"""),"")</f>
        <v/>
      </c>
    </row>
    <row r="1576">
      <c r="A1576" s="15">
        <f>IFERROR(__xludf.DUMMYFUNCTION("""COMPUTED_VALUE"""),45044.0)</f>
        <v>45044</v>
      </c>
      <c r="B1576" s="16" t="str">
        <f>IFERROR(__xludf.DUMMYFUNCTION("""COMPUTED_VALUE"""),"Jeison Rubiano")</f>
        <v>Jeison Rubiano</v>
      </c>
      <c r="C1576" s="15" t="str">
        <f>IFERROR(__xludf.DUMMYFUNCTION("""COMPUTED_VALUE"""),"BOGOTÁ")</f>
        <v>BOGOTÁ</v>
      </c>
      <c r="D1576" s="15" t="str">
        <f>IFERROR(__xludf.DUMMYFUNCTION("""COMPUTED_VALUE"""),"MEDELLÍN")</f>
        <v>MEDELLÍN</v>
      </c>
      <c r="E1576" s="15" t="str">
        <f>IFERROR(__xludf.DUMMYFUNCTION("""COMPUTED_VALUE"""),"Baby Chef")</f>
        <v>Baby Chef</v>
      </c>
      <c r="F1576" s="17" t="str">
        <f>IFERROR(__xludf.DUMMYFUNCTION("""COMPUTED_VALUE"""),"Cra 69 # 12 - 70 / Torre 2 apto 1909, conjunto la flora alsacia reservado  / nueva villa alsacia")</f>
        <v>Cra 69 # 12 - 70 / Torre 2 apto 1909, conjunto la flora alsacia reservado  / nueva villa alsacia</v>
      </c>
      <c r="G1576" s="15" t="str">
        <f>IFERROR(__xludf.DUMMYFUNCTION("""COMPUTED_VALUE"""),"Sandra Jysel Enciso Suarez")</f>
        <v>Sandra Jysel Enciso Suarez</v>
      </c>
      <c r="H1576" s="16">
        <f>IFERROR(__xludf.DUMMYFUNCTION("""COMPUTED_VALUE"""),10205.0)</f>
        <v>10205</v>
      </c>
      <c r="I1576" s="18">
        <f>IFERROR(__xludf.DUMMYFUNCTION("""COMPUTED_VALUE"""),8.0)</f>
        <v>8</v>
      </c>
      <c r="J1576" s="18">
        <f>IFERROR(__xludf.DUMMYFUNCTION("""COMPUTED_VALUE"""),16.0)</f>
        <v>16</v>
      </c>
      <c r="K1576" s="18">
        <f>IFERROR(__xludf.DUMMYFUNCTION("""COMPUTED_VALUE"""),20.0)</f>
        <v>20</v>
      </c>
      <c r="L1576" s="17">
        <f>IFERROR(__xludf.DUMMYFUNCTION("""COMPUTED_VALUE"""),3.003127802E9)</f>
        <v>3003127802</v>
      </c>
      <c r="M1576" s="17" t="str">
        <f>IFERROR(__xludf.DUMMYFUNCTION("""COMPUTED_VALUE"""),"#REF!")</f>
        <v>#REF!</v>
      </c>
      <c r="N1576" s="17"/>
      <c r="O1576" s="17"/>
      <c r="P1576" s="17" t="b">
        <f>IFERROR(__xludf.DUMMYFUNCTION("""COMPUTED_VALUE"""),FALSE)</f>
        <v>0</v>
      </c>
      <c r="Q1576" s="20" t="str">
        <f>IFERROR(__xludf.DUMMYFUNCTION("""COMPUTED_VALUE"""),"")</f>
        <v/>
      </c>
      <c r="R1576" s="22" t="str">
        <f>IFERROR(__xludf.DUMMYFUNCTION("""COMPUTED_VALUE"""),"")</f>
        <v/>
      </c>
    </row>
    <row r="1577">
      <c r="A1577" s="15">
        <f>IFERROR(__xludf.DUMMYFUNCTION("""COMPUTED_VALUE"""),45044.0)</f>
        <v>45044</v>
      </c>
      <c r="B1577" s="16" t="str">
        <f>IFERROR(__xludf.DUMMYFUNCTION("""COMPUTED_VALUE"""),"Jeison Rubiano")</f>
        <v>Jeison Rubiano</v>
      </c>
      <c r="C1577" s="15" t="str">
        <f>IFERROR(__xludf.DUMMYFUNCTION("""COMPUTED_VALUE"""),"BOGOTÁ")</f>
        <v>BOGOTÁ</v>
      </c>
      <c r="D1577" s="15" t="str">
        <f>IFERROR(__xludf.DUMMYFUNCTION("""COMPUTED_VALUE"""),"MEDELLÍN")</f>
        <v>MEDELLÍN</v>
      </c>
      <c r="E1577" s="15" t="str">
        <f>IFERROR(__xludf.DUMMYFUNCTION("""COMPUTED_VALUE"""),"Baby Chef")</f>
        <v>Baby Chef</v>
      </c>
      <c r="F1577" s="17" t="str">
        <f>IFERROR(__xludf.DUMMYFUNCTION("""COMPUTED_VALUE"""),"Transv 56 # 104 B 05 / Edificio el marques CLub House / Puente largo, Bogotá")</f>
        <v>Transv 56 # 104 B 05 / Edificio el marques CLub House / Puente largo, Bogotá</v>
      </c>
      <c r="G1577" s="15" t="str">
        <f>IFERROR(__xludf.DUMMYFUNCTION("""COMPUTED_VALUE"""),"Julian Sanchez")</f>
        <v>Julian Sanchez</v>
      </c>
      <c r="H1577" s="16">
        <f>IFERROR(__xludf.DUMMYFUNCTION("""COMPUTED_VALUE"""),10199.0)</f>
        <v>10199</v>
      </c>
      <c r="I1577" s="18">
        <f>IFERROR(__xludf.DUMMYFUNCTION("""COMPUTED_VALUE"""),8.0)</f>
        <v>8</v>
      </c>
      <c r="J1577" s="18">
        <f>IFERROR(__xludf.DUMMYFUNCTION("""COMPUTED_VALUE"""),16.0)</f>
        <v>16</v>
      </c>
      <c r="K1577" s="18">
        <f>IFERROR(__xludf.DUMMYFUNCTION("""COMPUTED_VALUE"""),20.0)</f>
        <v>20</v>
      </c>
      <c r="L1577" s="17">
        <f>IFERROR(__xludf.DUMMYFUNCTION("""COMPUTED_VALUE"""),3.153094127E9)</f>
        <v>3153094127</v>
      </c>
      <c r="M1577" s="17" t="str">
        <f>IFERROR(__xludf.DUMMYFUNCTION("""COMPUTED_VALUE"""),"#REF!")</f>
        <v>#REF!</v>
      </c>
      <c r="N1577" s="17"/>
      <c r="O1577" s="17"/>
      <c r="P1577" s="17" t="b">
        <f>IFERROR(__xludf.DUMMYFUNCTION("""COMPUTED_VALUE"""),FALSE)</f>
        <v>0</v>
      </c>
      <c r="Q1577" s="20" t="str">
        <f>IFERROR(__xludf.DUMMYFUNCTION("""COMPUTED_VALUE"""),"")</f>
        <v/>
      </c>
      <c r="R1577" s="22" t="str">
        <f>IFERROR(__xludf.DUMMYFUNCTION("""COMPUTED_VALUE"""),"")</f>
        <v/>
      </c>
    </row>
    <row r="1578">
      <c r="A1578" s="15">
        <f>IFERROR(__xludf.DUMMYFUNCTION("""COMPUTED_VALUE"""),45044.0)</f>
        <v>45044</v>
      </c>
      <c r="B1578" s="16" t="str">
        <f>IFERROR(__xludf.DUMMYFUNCTION("""COMPUTED_VALUE"""),"Jeison Rubiano")</f>
        <v>Jeison Rubiano</v>
      </c>
      <c r="C1578" s="15" t="str">
        <f>IFERROR(__xludf.DUMMYFUNCTION("""COMPUTED_VALUE"""),"BOGOTÁ")</f>
        <v>BOGOTÁ</v>
      </c>
      <c r="D1578" s="15" t="str">
        <f>IFERROR(__xludf.DUMMYFUNCTION("""COMPUTED_VALUE"""),"MEDELLÍN")</f>
        <v>MEDELLÍN</v>
      </c>
      <c r="E1578" s="15" t="str">
        <f>IFERROR(__xludf.DUMMYFUNCTION("""COMPUTED_VALUE"""),"Baby Chef")</f>
        <v>Baby Chef</v>
      </c>
      <c r="F1578" s="17" t="str">
        <f>IFERROR(__xludf.DUMMYFUNCTION("""COMPUTED_VALUE"""),"Tv 78 C 6 B 20 Casa 27  / Tv 78 C 6 B 20 Casa 27  / BOGOTÁ")</f>
        <v>Tv 78 C 6 B 20 Casa 27  / Tv 78 C 6 B 20 Casa 27  / BOGOTÁ</v>
      </c>
      <c r="G1578" s="15" t="str">
        <f>IFERROR(__xludf.DUMMYFUNCTION("""COMPUTED_VALUE"""),"Diana Carolina Camargo")</f>
        <v>Diana Carolina Camargo</v>
      </c>
      <c r="H1578" s="16">
        <f>IFERROR(__xludf.DUMMYFUNCTION("""COMPUTED_VALUE"""),10201.0)</f>
        <v>10201</v>
      </c>
      <c r="I1578" s="18">
        <f>IFERROR(__xludf.DUMMYFUNCTION("""COMPUTED_VALUE"""),8.0)</f>
        <v>8</v>
      </c>
      <c r="J1578" s="18">
        <f>IFERROR(__xludf.DUMMYFUNCTION("""COMPUTED_VALUE"""),16.0)</f>
        <v>16</v>
      </c>
      <c r="K1578" s="18">
        <f>IFERROR(__xludf.DUMMYFUNCTION("""COMPUTED_VALUE"""),20.0)</f>
        <v>20</v>
      </c>
      <c r="L1578" s="17">
        <f>IFERROR(__xludf.DUMMYFUNCTION("""COMPUTED_VALUE"""),3.204464655E9)</f>
        <v>3204464655</v>
      </c>
      <c r="M1578" s="17" t="str">
        <f>IFERROR(__xludf.DUMMYFUNCTION("""COMPUTED_VALUE"""),"#REF!")</f>
        <v>#REF!</v>
      </c>
      <c r="N1578" s="17"/>
      <c r="O1578" s="17"/>
      <c r="P1578" s="17" t="b">
        <f>IFERROR(__xludf.DUMMYFUNCTION("""COMPUTED_VALUE"""),FALSE)</f>
        <v>0</v>
      </c>
      <c r="Q1578" s="20" t="str">
        <f>IFERROR(__xludf.DUMMYFUNCTION("""COMPUTED_VALUE"""),"")</f>
        <v/>
      </c>
      <c r="R1578" s="22" t="str">
        <f>IFERROR(__xludf.DUMMYFUNCTION("""COMPUTED_VALUE"""),"")</f>
        <v/>
      </c>
    </row>
    <row r="1579">
      <c r="A1579" s="15">
        <f>IFERROR(__xludf.DUMMYFUNCTION("""COMPUTED_VALUE"""),45044.0)</f>
        <v>45044</v>
      </c>
      <c r="B1579" s="16" t="str">
        <f>IFERROR(__xludf.DUMMYFUNCTION("""COMPUTED_VALUE"""),"Jeison Rubiano")</f>
        <v>Jeison Rubiano</v>
      </c>
      <c r="C1579" s="15" t="str">
        <f>IFERROR(__xludf.DUMMYFUNCTION("""COMPUTED_VALUE"""),"BOGOTÁ")</f>
        <v>BOGOTÁ</v>
      </c>
      <c r="D1579" s="15" t="str">
        <f>IFERROR(__xludf.DUMMYFUNCTION("""COMPUTED_VALUE"""),"MEDELLÍN")</f>
        <v>MEDELLÍN</v>
      </c>
      <c r="E1579" s="15" t="str">
        <f>IFERROR(__xludf.DUMMYFUNCTION("""COMPUTED_VALUE"""),"Magda")</f>
        <v>Magda</v>
      </c>
      <c r="F1579" s="17" t="str">
        <f>IFERROR(__xludf.DUMMYFUNCTION("""COMPUTED_VALUE"""),"Calle 71a # 14a22/26 / Cocinas ocultas  / San felipe")</f>
        <v>Calle 71a # 14a22/26 / Cocinas ocultas  / San felipe</v>
      </c>
      <c r="G1579" s="15" t="str">
        <f>IFERROR(__xludf.DUMMYFUNCTION("""COMPUTED_VALUE"""),"Andrez hernandez")</f>
        <v>Andrez hernandez</v>
      </c>
      <c r="H1579" s="16">
        <f>IFERROR(__xludf.DUMMYFUNCTION("""COMPUTED_VALUE"""),10188.0)</f>
        <v>10188</v>
      </c>
      <c r="I1579" s="18">
        <f>IFERROR(__xludf.DUMMYFUNCTION("""COMPUTED_VALUE"""),5.0)</f>
        <v>5</v>
      </c>
      <c r="J1579" s="18">
        <f>IFERROR(__xludf.DUMMYFUNCTION("""COMPUTED_VALUE"""),5.0)</f>
        <v>5</v>
      </c>
      <c r="K1579" s="18">
        <f>IFERROR(__xludf.DUMMYFUNCTION("""COMPUTED_VALUE"""),5.0)</f>
        <v>5</v>
      </c>
      <c r="L1579" s="17">
        <f>IFERROR(__xludf.DUMMYFUNCTION("""COMPUTED_VALUE"""),3.20414202E9)</f>
        <v>3204142020</v>
      </c>
      <c r="M1579" s="17" t="str">
        <f>IFERROR(__xludf.DUMMYFUNCTION("""COMPUTED_VALUE"""),"#REF!")</f>
        <v>#REF!</v>
      </c>
      <c r="N1579" s="17"/>
      <c r="O1579" s="17"/>
      <c r="P1579" s="17" t="b">
        <f>IFERROR(__xludf.DUMMYFUNCTION("""COMPUTED_VALUE"""),FALSE)</f>
        <v>0</v>
      </c>
      <c r="Q1579" s="20" t="str">
        <f>IFERROR(__xludf.DUMMYFUNCTION("""COMPUTED_VALUE"""),"")</f>
        <v/>
      </c>
      <c r="R1579" s="22" t="str">
        <f>IFERROR(__xludf.DUMMYFUNCTION("""COMPUTED_VALUE"""),"")</f>
        <v/>
      </c>
    </row>
    <row r="1580">
      <c r="A1580" s="15">
        <f>IFERROR(__xludf.DUMMYFUNCTION("""COMPUTED_VALUE"""),45044.0)</f>
        <v>45044</v>
      </c>
      <c r="B1580" s="16" t="str">
        <f>IFERROR(__xludf.DUMMYFUNCTION("""COMPUTED_VALUE"""),"Jeison Rubiano")</f>
        <v>Jeison Rubiano</v>
      </c>
      <c r="C1580" s="15" t="str">
        <f>IFERROR(__xludf.DUMMYFUNCTION("""COMPUTED_VALUE"""),"BOGOTÁ")</f>
        <v>BOGOTÁ</v>
      </c>
      <c r="D1580" s="15" t="str">
        <f>IFERROR(__xludf.DUMMYFUNCTION("""COMPUTED_VALUE"""),"MEDELLÍN")</f>
        <v>MEDELLÍN</v>
      </c>
      <c r="E1580" s="15" t="str">
        <f>IFERROR(__xludf.DUMMYFUNCTION("""COMPUTED_VALUE"""),"Moloso S.A.S")</f>
        <v>Moloso S.A.S</v>
      </c>
      <c r="F1580" s="17" t="str">
        <f>IFERROR(__xludf.DUMMYFUNCTION("""COMPUTED_VALUE"""),"CRA 18C 112 76 / APTO. 402")</f>
        <v>CRA 18C 112 76 / APTO. 402</v>
      </c>
      <c r="G1580" s="15" t="str">
        <f>IFERROR(__xludf.DUMMYFUNCTION("""COMPUTED_VALUE"""),"MARIA OCHOA MARTELO")</f>
        <v>MARIA OCHOA MARTELO</v>
      </c>
      <c r="H1580" s="16">
        <f>IFERROR(__xludf.DUMMYFUNCTION("""COMPUTED_VALUE"""),10194.0)</f>
        <v>10194</v>
      </c>
      <c r="I1580" s="18">
        <f>IFERROR(__xludf.DUMMYFUNCTION("""COMPUTED_VALUE"""),17.0)</f>
        <v>17</v>
      </c>
      <c r="J1580" s="18">
        <f>IFERROR(__xludf.DUMMYFUNCTION("""COMPUTED_VALUE"""),15.0)</f>
        <v>15</v>
      </c>
      <c r="K1580" s="18">
        <f>IFERROR(__xludf.DUMMYFUNCTION("""COMPUTED_VALUE"""),28.0)</f>
        <v>28</v>
      </c>
      <c r="L1580" s="17" t="str">
        <f>IFERROR(__xludf.DUMMYFUNCTION("""COMPUTED_VALUE"""),"301 7890418")</f>
        <v>301 7890418</v>
      </c>
      <c r="M1580" s="17" t="str">
        <f>IFERROR(__xludf.DUMMYFUNCTION("""COMPUTED_VALUE"""),"#REF!")</f>
        <v>#REF!</v>
      </c>
      <c r="N1580" s="17"/>
      <c r="O1580" s="17"/>
      <c r="P1580" s="17" t="b">
        <f>IFERROR(__xludf.DUMMYFUNCTION("""COMPUTED_VALUE"""),FALSE)</f>
        <v>0</v>
      </c>
      <c r="Q1580" s="20" t="str">
        <f>IFERROR(__xludf.DUMMYFUNCTION("""COMPUTED_VALUE"""),"")</f>
        <v/>
      </c>
      <c r="R1580" s="22" t="str">
        <f>IFERROR(__xludf.DUMMYFUNCTION("""COMPUTED_VALUE"""),"")</f>
        <v/>
      </c>
    </row>
    <row r="1581">
      <c r="A1581" s="15">
        <f>IFERROR(__xludf.DUMMYFUNCTION("""COMPUTED_VALUE"""),45044.0)</f>
        <v>45044</v>
      </c>
      <c r="B1581" s="16" t="str">
        <f>IFERROR(__xludf.DUMMYFUNCTION("""COMPUTED_VALUE"""),"Jeison Rubiano")</f>
        <v>Jeison Rubiano</v>
      </c>
      <c r="C1581" s="15" t="str">
        <f>IFERROR(__xludf.DUMMYFUNCTION("""COMPUTED_VALUE"""),"BOGOTÁ")</f>
        <v>BOGOTÁ</v>
      </c>
      <c r="D1581" s="15" t="str">
        <f>IFERROR(__xludf.DUMMYFUNCTION("""COMPUTED_VALUE"""),"MEDELLÍN")</f>
        <v>MEDELLÍN</v>
      </c>
      <c r="E1581" s="15" t="str">
        <f>IFERROR(__xludf.DUMMYFUNCTION("""COMPUTED_VALUE"""),"Puro Verde")</f>
        <v>Puro Verde</v>
      </c>
      <c r="F1581" s="17" t="str">
        <f>IFERROR(__xludf.DUMMYFUNCTION("""COMPUTED_VALUE"""),"AV CRA 15 # 90-20 / LOCAL 109 / BARRIO CHICO")</f>
        <v>AV CRA 15 # 90-20 / LOCAL 109 / BARRIO CHICO</v>
      </c>
      <c r="G1581" s="15" t="str">
        <f>IFERROR(__xludf.DUMMYFUNCTION("""COMPUTED_VALUE"""),"DANDO CUERDA")</f>
        <v>DANDO CUERDA</v>
      </c>
      <c r="H1581" s="16">
        <f>IFERROR(__xludf.DUMMYFUNCTION("""COMPUTED_VALUE"""),10189.0)</f>
        <v>10189</v>
      </c>
      <c r="I1581" s="18">
        <f>IFERROR(__xludf.DUMMYFUNCTION("""COMPUTED_VALUE"""),67.0)</f>
        <v>67</v>
      </c>
      <c r="J1581" s="18">
        <f>IFERROR(__xludf.DUMMYFUNCTION("""COMPUTED_VALUE"""),65.0)</f>
        <v>65</v>
      </c>
      <c r="K1581" s="18">
        <f>IFERROR(__xludf.DUMMYFUNCTION("""COMPUTED_VALUE"""),55.0)</f>
        <v>55</v>
      </c>
      <c r="L1581" s="17">
        <f>IFERROR(__xludf.DUMMYFUNCTION("""COMPUTED_VALUE"""),3.163816691E9)</f>
        <v>3163816691</v>
      </c>
      <c r="M1581" s="17" t="str">
        <f>IFERROR(__xludf.DUMMYFUNCTION("""COMPUTED_VALUE"""),"#REF!")</f>
        <v>#REF!</v>
      </c>
      <c r="N1581" s="17"/>
      <c r="O1581" s="17"/>
      <c r="P1581" s="17" t="b">
        <f>IFERROR(__xludf.DUMMYFUNCTION("""COMPUTED_VALUE"""),FALSE)</f>
        <v>0</v>
      </c>
      <c r="Q1581" s="20" t="str">
        <f>IFERROR(__xludf.DUMMYFUNCTION("""COMPUTED_VALUE"""),"")</f>
        <v/>
      </c>
      <c r="R1581" s="22" t="str">
        <f>IFERROR(__xludf.DUMMYFUNCTION("""COMPUTED_VALUE"""),"")</f>
        <v/>
      </c>
    </row>
    <row r="1582">
      <c r="A1582" s="15">
        <f>IFERROR(__xludf.DUMMYFUNCTION("""COMPUTED_VALUE"""),45044.0)</f>
        <v>45044</v>
      </c>
      <c r="B1582" s="16" t="str">
        <f>IFERROR(__xludf.DUMMYFUNCTION("""COMPUTED_VALUE"""),"Jeison Rubiano")</f>
        <v>Jeison Rubiano</v>
      </c>
      <c r="C1582" s="15" t="str">
        <f>IFERROR(__xludf.DUMMYFUNCTION("""COMPUTED_VALUE"""),"BOGOTÁ")</f>
        <v>BOGOTÁ</v>
      </c>
      <c r="D1582" s="15" t="str">
        <f>IFERROR(__xludf.DUMMYFUNCTION("""COMPUTED_VALUE"""),"MEDELLÍN")</f>
        <v>MEDELLÍN</v>
      </c>
      <c r="E1582" s="15" t="str">
        <f>IFERROR(__xludf.DUMMYFUNCTION("""COMPUTED_VALUE"""),"Rambla")</f>
        <v>Rambla</v>
      </c>
      <c r="F1582" s="17" t="str">
        <f>IFERROR(__xludf.DUMMYFUNCTION("""COMPUTED_VALUE"""),"Cl. 93a #11-46, Barrio Chicó / na / na")</f>
        <v>Cl. 93a #11-46, Barrio Chicó / na / na</v>
      </c>
      <c r="G1582" s="15" t="str">
        <f>IFERROR(__xludf.DUMMYFUNCTION("""COMPUTED_VALUE"""),"fit hub")</f>
        <v>fit hub</v>
      </c>
      <c r="H1582" s="16">
        <f>IFERROR(__xludf.DUMMYFUNCTION("""COMPUTED_VALUE"""),10206.0)</f>
        <v>10206</v>
      </c>
      <c r="I1582" s="18">
        <f>IFERROR(__xludf.DUMMYFUNCTION("""COMPUTED_VALUE"""),28.0)</f>
        <v>28</v>
      </c>
      <c r="J1582" s="18">
        <f>IFERROR(__xludf.DUMMYFUNCTION("""COMPUTED_VALUE"""),30.0)</f>
        <v>30</v>
      </c>
      <c r="K1582" s="18">
        <f>IFERROR(__xludf.DUMMYFUNCTION("""COMPUTED_VALUE"""),33.0)</f>
        <v>33</v>
      </c>
      <c r="L1582" s="17">
        <f>IFERROR(__xludf.DUMMYFUNCTION("""COMPUTED_VALUE"""),3.015447307E9)</f>
        <v>3015447307</v>
      </c>
      <c r="M1582" s="17" t="str">
        <f>IFERROR(__xludf.DUMMYFUNCTION("""COMPUTED_VALUE"""),"#REF!")</f>
        <v>#REF!</v>
      </c>
      <c r="N1582" s="17"/>
      <c r="O1582" s="17"/>
      <c r="P1582" s="17" t="b">
        <f>IFERROR(__xludf.DUMMYFUNCTION("""COMPUTED_VALUE"""),FALSE)</f>
        <v>0</v>
      </c>
      <c r="Q1582" s="20" t="str">
        <f>IFERROR(__xludf.DUMMYFUNCTION("""COMPUTED_VALUE"""),"")</f>
        <v/>
      </c>
      <c r="R1582" s="22" t="str">
        <f>IFERROR(__xludf.DUMMYFUNCTION("""COMPUTED_VALUE"""),"")</f>
        <v/>
      </c>
    </row>
    <row r="1583">
      <c r="A1583" s="15">
        <f>IFERROR(__xludf.DUMMYFUNCTION("""COMPUTED_VALUE"""),45044.0)</f>
        <v>45044</v>
      </c>
      <c r="B1583" s="16" t="str">
        <f>IFERROR(__xludf.DUMMYFUNCTION("""COMPUTED_VALUE"""),"Jeison Rubiano")</f>
        <v>Jeison Rubiano</v>
      </c>
      <c r="C1583" s="15" t="str">
        <f>IFERROR(__xludf.DUMMYFUNCTION("""COMPUTED_VALUE"""),"BOGOTÁ")</f>
        <v>BOGOTÁ</v>
      </c>
      <c r="D1583" s="15" t="str">
        <f>IFERROR(__xludf.DUMMYFUNCTION("""COMPUTED_VALUE"""),"MEDELLÍN")</f>
        <v>MEDELLÍN</v>
      </c>
      <c r="E1583" s="15" t="str">
        <f>IFERROR(__xludf.DUMMYFUNCTION("""COMPUTED_VALUE"""),"Rambla")</f>
        <v>Rambla</v>
      </c>
      <c r="F1583" s="17" t="str">
        <f>IFERROR(__xludf.DUMMYFUNCTION("""COMPUTED_VALUE"""),"Cra 21 # 169 30  - Encargada Claudia Rodriguez / na / na")</f>
        <v>Cra 21 # 169 30  - Encargada Claudia Rodriguez / na / na</v>
      </c>
      <c r="G1583" s="15" t="str">
        <f>IFERROR(__xludf.DUMMYFUNCTION("""COMPUTED_VALUE"""),"Fitcook - Mary Mendez")</f>
        <v>Fitcook - Mary Mendez</v>
      </c>
      <c r="H1583" s="16">
        <f>IFERROR(__xludf.DUMMYFUNCTION("""COMPUTED_VALUE"""),10209.0)</f>
        <v>10209</v>
      </c>
      <c r="I1583" s="18">
        <f>IFERROR(__xludf.DUMMYFUNCTION("""COMPUTED_VALUE"""),28.0)</f>
        <v>28</v>
      </c>
      <c r="J1583" s="18">
        <f>IFERROR(__xludf.DUMMYFUNCTION("""COMPUTED_VALUE"""),30.0)</f>
        <v>30</v>
      </c>
      <c r="K1583" s="18">
        <f>IFERROR(__xludf.DUMMYFUNCTION("""COMPUTED_VALUE"""),33.0)</f>
        <v>33</v>
      </c>
      <c r="L1583" s="17">
        <f>IFERROR(__xludf.DUMMYFUNCTION("""COMPUTED_VALUE"""),3.505306579E9)</f>
        <v>3505306579</v>
      </c>
      <c r="M1583" s="17" t="str">
        <f>IFERROR(__xludf.DUMMYFUNCTION("""COMPUTED_VALUE"""),"#REF!")</f>
        <v>#REF!</v>
      </c>
      <c r="N1583" s="17"/>
      <c r="O1583" s="17"/>
      <c r="P1583" s="17" t="b">
        <f>IFERROR(__xludf.DUMMYFUNCTION("""COMPUTED_VALUE"""),FALSE)</f>
        <v>0</v>
      </c>
      <c r="Q1583" s="20" t="str">
        <f>IFERROR(__xludf.DUMMYFUNCTION("""COMPUTED_VALUE"""),"")</f>
        <v/>
      </c>
      <c r="R1583" s="22" t="str">
        <f>IFERROR(__xludf.DUMMYFUNCTION("""COMPUTED_VALUE"""),"")</f>
        <v/>
      </c>
    </row>
    <row r="1584">
      <c r="A1584" s="15">
        <f>IFERROR(__xludf.DUMMYFUNCTION("""COMPUTED_VALUE"""),45044.0)</f>
        <v>45044</v>
      </c>
      <c r="B1584" s="16" t="str">
        <f>IFERROR(__xludf.DUMMYFUNCTION("""COMPUTED_VALUE"""),"Jeison Rubiano")</f>
        <v>Jeison Rubiano</v>
      </c>
      <c r="C1584" s="15" t="str">
        <f>IFERROR(__xludf.DUMMYFUNCTION("""COMPUTED_VALUE"""),"BOGOTÁ")</f>
        <v>BOGOTÁ</v>
      </c>
      <c r="D1584" s="15" t="str">
        <f>IFERROR(__xludf.DUMMYFUNCTION("""COMPUTED_VALUE"""),"MEDELLÍN")</f>
        <v>MEDELLÍN</v>
      </c>
      <c r="E1584" s="15" t="str">
        <f>IFERROR(__xludf.DUMMYFUNCTION("""COMPUTED_VALUE"""),"Rambla")</f>
        <v>Rambla</v>
      </c>
      <c r="F1584" s="17" t="str">
        <f>IFERROR(__xludf.DUMMYFUNCTION("""COMPUTED_VALUE"""),"Km 1.5 via Chia Cajica 100 mts antes de Fontanar / na / na")</f>
        <v>Km 1.5 via Chia Cajica 100 mts antes de Fontanar / na / na</v>
      </c>
      <c r="G1584" s="15" t="str">
        <f>IFERROR(__xludf.DUMMYFUNCTION("""COMPUTED_VALUE"""),"The Choice")</f>
        <v>The Choice</v>
      </c>
      <c r="H1584" s="16">
        <f>IFERROR(__xludf.DUMMYFUNCTION("""COMPUTED_VALUE"""),10207.0)</f>
        <v>10207</v>
      </c>
      <c r="I1584" s="18">
        <f>IFERROR(__xludf.DUMMYFUNCTION("""COMPUTED_VALUE"""),28.0)</f>
        <v>28</v>
      </c>
      <c r="J1584" s="18">
        <f>IFERROR(__xludf.DUMMYFUNCTION("""COMPUTED_VALUE"""),30.0)</f>
        <v>30</v>
      </c>
      <c r="K1584" s="18">
        <f>IFERROR(__xludf.DUMMYFUNCTION("""COMPUTED_VALUE"""),33.0)</f>
        <v>33</v>
      </c>
      <c r="L1584" s="17">
        <f>IFERROR(__xludf.DUMMYFUNCTION("""COMPUTED_VALUE"""),3.212415592E9)</f>
        <v>3212415592</v>
      </c>
      <c r="M1584" s="17" t="str">
        <f>IFERROR(__xludf.DUMMYFUNCTION("""COMPUTED_VALUE"""),"#REF!")</f>
        <v>#REF!</v>
      </c>
      <c r="N1584" s="17"/>
      <c r="O1584" s="17"/>
      <c r="P1584" s="17" t="b">
        <f>IFERROR(__xludf.DUMMYFUNCTION("""COMPUTED_VALUE"""),FALSE)</f>
        <v>0</v>
      </c>
      <c r="Q1584" s="20" t="str">
        <f>IFERROR(__xludf.DUMMYFUNCTION("""COMPUTED_VALUE"""),"")</f>
        <v/>
      </c>
      <c r="R1584" s="22" t="str">
        <f>IFERROR(__xludf.DUMMYFUNCTION("""COMPUTED_VALUE"""),"")</f>
        <v/>
      </c>
    </row>
    <row r="1585">
      <c r="A1585" s="15">
        <f>IFERROR(__xludf.DUMMYFUNCTION("""COMPUTED_VALUE"""),45044.0)</f>
        <v>45044</v>
      </c>
      <c r="B1585" s="16" t="str">
        <f>IFERROR(__xludf.DUMMYFUNCTION("""COMPUTED_VALUE"""),"Jeison Rubiano")</f>
        <v>Jeison Rubiano</v>
      </c>
      <c r="C1585" s="15" t="str">
        <f>IFERROR(__xludf.DUMMYFUNCTION("""COMPUTED_VALUE"""),"CARTAGENA")</f>
        <v>CARTAGENA</v>
      </c>
      <c r="D1585" s="15" t="str">
        <f>IFERROR(__xludf.DUMMYFUNCTION("""COMPUTED_VALUE"""),"BOGOTÁ")</f>
        <v>BOGOTÁ</v>
      </c>
      <c r="E1585" s="15" t="str">
        <f>IFERROR(__xludf.DUMMYFUNCTION("""COMPUTED_VALUE"""),"Athenas")</f>
        <v>Athenas</v>
      </c>
      <c r="F1585" s="17" t="str">
        <f>IFERROR(__xludf.DUMMYFUNCTION("""COMPUTED_VALUE"""),"KRA 1 # 12-113 / CENTRO COMERCIAL PLAZA BOCAGRANDE 5 PISO / CAFETERIAS ATHENAS BODYTECH")</f>
        <v>KRA 1 # 12-113 / CENTRO COMERCIAL PLAZA BOCAGRANDE 5 PISO / CAFETERIAS ATHENAS BODYTECH</v>
      </c>
      <c r="G1585" s="15" t="str">
        <f>IFERROR(__xludf.DUMMYFUNCTION("""COMPUTED_VALUE"""),"MEYLER LEE REALES")</f>
        <v>MEYLER LEE REALES</v>
      </c>
      <c r="H1585" s="16">
        <f>IFERROR(__xludf.DUMMYFUNCTION("""COMPUTED_VALUE"""),10169.0)</f>
        <v>10169</v>
      </c>
      <c r="I1585" s="18">
        <f>IFERROR(__xludf.DUMMYFUNCTION("""COMPUTED_VALUE"""),21.0)</f>
        <v>21</v>
      </c>
      <c r="J1585" s="18">
        <f>IFERROR(__xludf.DUMMYFUNCTION("""COMPUTED_VALUE"""),50.0)</f>
        <v>50</v>
      </c>
      <c r="K1585" s="18">
        <f>IFERROR(__xludf.DUMMYFUNCTION("""COMPUTED_VALUE"""),30.0)</f>
        <v>30</v>
      </c>
      <c r="L1585" s="17">
        <f>IFERROR(__xludf.DUMMYFUNCTION("""COMPUTED_VALUE"""),3.233856067E9)</f>
        <v>3233856067</v>
      </c>
      <c r="M1585" s="17" t="str">
        <f>IFERROR(__xludf.DUMMYFUNCTION("""COMPUTED_VALUE"""),"#REF!")</f>
        <v>#REF!</v>
      </c>
      <c r="N1585" s="17"/>
      <c r="O1585" s="17"/>
      <c r="P1585" s="17" t="b">
        <f>IFERROR(__xludf.DUMMYFUNCTION("""COMPUTED_VALUE"""),FALSE)</f>
        <v>0</v>
      </c>
      <c r="Q1585" s="20" t="str">
        <f>IFERROR(__xludf.DUMMYFUNCTION("""COMPUTED_VALUE"""),"")</f>
        <v/>
      </c>
      <c r="R1585" s="22" t="str">
        <f>IFERROR(__xludf.DUMMYFUNCTION("""COMPUTED_VALUE"""),"")</f>
        <v/>
      </c>
    </row>
    <row r="1586">
      <c r="A1586" s="17" t="str">
        <f>IFERROR(__xludf.DUMMYFUNCTION("""COMPUTED_VALUE"""),"")</f>
        <v/>
      </c>
      <c r="B1586" s="17" t="str">
        <f>IFERROR(__xludf.DUMMYFUNCTION("""COMPUTED_VALUE"""),"")</f>
        <v/>
      </c>
      <c r="C1586" s="17" t="str">
        <f>IFERROR(__xludf.DUMMYFUNCTION("""COMPUTED_VALUE"""),"")</f>
        <v/>
      </c>
      <c r="D1586" s="17" t="str">
        <f>IFERROR(__xludf.DUMMYFUNCTION("""COMPUTED_VALUE"""),"")</f>
        <v/>
      </c>
      <c r="E1586" s="17" t="str">
        <f>IFERROR(__xludf.DUMMYFUNCTION("""COMPUTED_VALUE"""),"")</f>
        <v/>
      </c>
      <c r="F1586" s="17" t="str">
        <f>IFERROR(__xludf.DUMMYFUNCTION("""COMPUTED_VALUE"""),"")</f>
        <v/>
      </c>
      <c r="G1586" s="17" t="str">
        <f>IFERROR(__xludf.DUMMYFUNCTION("""COMPUTED_VALUE"""),"")</f>
        <v/>
      </c>
      <c r="H1586" s="17" t="str">
        <f>IFERROR(__xludf.DUMMYFUNCTION("""COMPUTED_VALUE"""),"")</f>
        <v/>
      </c>
      <c r="I1586" s="17" t="str">
        <f>IFERROR(__xludf.DUMMYFUNCTION("""COMPUTED_VALUE"""),"")</f>
        <v/>
      </c>
      <c r="J1586" s="17" t="str">
        <f>IFERROR(__xludf.DUMMYFUNCTION("""COMPUTED_VALUE"""),"")</f>
        <v/>
      </c>
      <c r="K1586" s="17" t="str">
        <f>IFERROR(__xludf.DUMMYFUNCTION("""COMPUTED_VALUE"""),"")</f>
        <v/>
      </c>
      <c r="L1586" s="17" t="str">
        <f>IFERROR(__xludf.DUMMYFUNCTION("""COMPUTED_VALUE"""),"")</f>
        <v/>
      </c>
      <c r="M1586" s="17" t="str">
        <f>IFERROR(__xludf.DUMMYFUNCTION("""COMPUTED_VALUE"""),"")</f>
        <v/>
      </c>
      <c r="N1586" s="17" t="str">
        <f>IFERROR(__xludf.DUMMYFUNCTION("""COMPUTED_VALUE"""),"")</f>
        <v/>
      </c>
      <c r="O1586" s="17" t="str">
        <f>IFERROR(__xludf.DUMMYFUNCTION("""COMPUTED_VALUE"""),"")</f>
        <v/>
      </c>
      <c r="P1586" s="17" t="str">
        <f>IFERROR(__xludf.DUMMYFUNCTION("""COMPUTED_VALUE"""),"")</f>
        <v/>
      </c>
      <c r="Q1586" s="17" t="str">
        <f>IFERROR(__xludf.DUMMYFUNCTION("""COMPUTED_VALUE"""),"")</f>
        <v/>
      </c>
      <c r="R1586" s="17" t="str">
        <f>IFERROR(__xludf.DUMMYFUNCTION("""COMPUTED_VALUE"""),"")</f>
        <v/>
      </c>
    </row>
    <row r="1587">
      <c r="A1587" s="15">
        <f>IFERROR(__xludf.DUMMYFUNCTION("""COMPUTED_VALUE"""),45044.0)</f>
        <v>45044</v>
      </c>
      <c r="B1587" s="16" t="str">
        <f>IFERROR(__xludf.DUMMYFUNCTION("""COMPUTED_VALUE"""),"Lina Gaona")</f>
        <v>Lina Gaona</v>
      </c>
      <c r="C1587" s="15" t="str">
        <f>IFERROR(__xludf.DUMMYFUNCTION("""COMPUTED_VALUE"""),"CÚCUTA")</f>
        <v>CÚCUTA</v>
      </c>
      <c r="D1587" s="15" t="str">
        <f>IFERROR(__xludf.DUMMYFUNCTION("""COMPUTED_VALUE"""),"BOGOTÁ")</f>
        <v>BOGOTÁ</v>
      </c>
      <c r="E1587" s="15" t="str">
        <f>IFERROR(__xludf.DUMMYFUNCTION("""COMPUTED_VALUE"""),"Evamazzita")</f>
        <v>Evamazzita</v>
      </c>
      <c r="F1587" s="17" t="str">
        <f>IFERROR(__xludf.DUMMYFUNCTION("""COMPUTED_VALUE"""),"Av 2E # 15A -17  / Caobos / SE ENVÍAN TRES (3) CAJAS")</f>
        <v>Av 2E # 15A -17  / Caobos / SE ENVÍAN TRES (3) CAJAS</v>
      </c>
      <c r="G1587" s="15" t="str">
        <f>IFERROR(__xludf.DUMMYFUNCTION("""COMPUTED_VALUE"""),"DACCY KARINA LOPEZ MORENO")</f>
        <v>DACCY KARINA LOPEZ MORENO</v>
      </c>
      <c r="H1587" s="16">
        <f>IFERROR(__xludf.DUMMYFUNCTION("""COMPUTED_VALUE"""),10166.0)</f>
        <v>10166</v>
      </c>
      <c r="I1587" s="18">
        <f>IFERROR(__xludf.DUMMYFUNCTION("""COMPUTED_VALUE"""),27.0)</f>
        <v>27</v>
      </c>
      <c r="J1587" s="18">
        <f>IFERROR(__xludf.DUMMYFUNCTION("""COMPUTED_VALUE"""),40.0)</f>
        <v>40</v>
      </c>
      <c r="K1587" s="18">
        <f>IFERROR(__xludf.DUMMYFUNCTION("""COMPUTED_VALUE"""),45.0)</f>
        <v>45</v>
      </c>
      <c r="L1587" s="17">
        <f>IFERROR(__xludf.DUMMYFUNCTION("""COMPUTED_VALUE"""),3.208615379E9)</f>
        <v>3208615379</v>
      </c>
      <c r="M1587" s="17" t="str">
        <f>IFERROR(__xludf.DUMMYFUNCTION("""COMPUTED_VALUE"""),"#REF!")</f>
        <v>#REF!</v>
      </c>
      <c r="N1587" s="17"/>
      <c r="O1587" s="17"/>
      <c r="P1587" s="17" t="b">
        <f>IFERROR(__xludf.DUMMYFUNCTION("""COMPUTED_VALUE"""),FALSE)</f>
        <v>0</v>
      </c>
      <c r="Q1587" s="20" t="str">
        <f>IFERROR(__xludf.DUMMYFUNCTION("""COMPUTED_VALUE"""),"")</f>
        <v/>
      </c>
      <c r="R1587" s="22" t="str">
        <f>IFERROR(__xludf.DUMMYFUNCTION("""COMPUTED_VALUE"""),"")</f>
        <v/>
      </c>
    </row>
    <row r="1588">
      <c r="A1588" s="15">
        <f>IFERROR(__xludf.DUMMYFUNCTION("""COMPUTED_VALUE"""),45044.0)</f>
        <v>45044</v>
      </c>
      <c r="B1588" s="16" t="str">
        <f>IFERROR(__xludf.DUMMYFUNCTION("""COMPUTED_VALUE"""),"Lina Gaona")</f>
        <v>Lina Gaona</v>
      </c>
      <c r="C1588" s="15" t="str">
        <f>IFERROR(__xludf.DUMMYFUNCTION("""COMPUTED_VALUE"""),"CÚCUTA")</f>
        <v>CÚCUTA</v>
      </c>
      <c r="D1588" s="15" t="str">
        <f>IFERROR(__xludf.DUMMYFUNCTION("""COMPUTED_VALUE"""),"BOGOTÁ")</f>
        <v>BOGOTÁ</v>
      </c>
      <c r="E1588" s="15" t="str">
        <f>IFERROR(__xludf.DUMMYFUNCTION("""COMPUTED_VALUE"""),"Evamazzita")</f>
        <v>Evamazzita</v>
      </c>
      <c r="F1588" s="17" t="str">
        <f>IFERROR(__xludf.DUMMYFUNCTION("""COMPUTED_VALUE"""),"Av 4 # 8-24   / Daniel jordan   / LOS PATIOS")</f>
        <v>Av 4 # 8-24   / Daniel jordan   / LOS PATIOS</v>
      </c>
      <c r="G1588" s="15" t="str">
        <f>IFERROR(__xludf.DUMMYFUNCTION("""COMPUTED_VALUE"""),"KAREM JULIETH RODRIGUEZ MORALES")</f>
        <v>KAREM JULIETH RODRIGUEZ MORALES</v>
      </c>
      <c r="H1588" s="16">
        <f>IFERROR(__xludf.DUMMYFUNCTION("""COMPUTED_VALUE"""),10152.0)</f>
        <v>10152</v>
      </c>
      <c r="I1588" s="18">
        <f>IFERROR(__xludf.DUMMYFUNCTION("""COMPUTED_VALUE"""),7.0)</f>
        <v>7</v>
      </c>
      <c r="J1588" s="18">
        <f>IFERROR(__xludf.DUMMYFUNCTION("""COMPUTED_VALUE"""),9.0)</f>
        <v>9</v>
      </c>
      <c r="K1588" s="18">
        <f>IFERROR(__xludf.DUMMYFUNCTION("""COMPUTED_VALUE"""),19.0)</f>
        <v>19</v>
      </c>
      <c r="L1588" s="17">
        <f>IFERROR(__xludf.DUMMYFUNCTION("""COMPUTED_VALUE"""),3.212886197E9)</f>
        <v>3212886197</v>
      </c>
      <c r="M1588" s="17" t="str">
        <f>IFERROR(__xludf.DUMMYFUNCTION("""COMPUTED_VALUE"""),"#REF!")</f>
        <v>#REF!</v>
      </c>
      <c r="N1588" s="17"/>
      <c r="O1588" s="17"/>
      <c r="P1588" s="17" t="b">
        <f>IFERROR(__xludf.DUMMYFUNCTION("""COMPUTED_VALUE"""),FALSE)</f>
        <v>0</v>
      </c>
      <c r="Q1588" s="20" t="str">
        <f>IFERROR(__xludf.DUMMYFUNCTION("""COMPUTED_VALUE"""),"")</f>
        <v/>
      </c>
      <c r="R1588" s="22" t="str">
        <f>IFERROR(__xludf.DUMMYFUNCTION("""COMPUTED_VALUE"""),"")</f>
        <v/>
      </c>
    </row>
    <row r="1589">
      <c r="A1589" s="15">
        <f>IFERROR(__xludf.DUMMYFUNCTION("""COMPUTED_VALUE"""),45044.0)</f>
        <v>45044</v>
      </c>
      <c r="B1589" s="16" t="str">
        <f>IFERROR(__xludf.DUMMYFUNCTION("""COMPUTED_VALUE"""),"Lina Gaona")</f>
        <v>Lina Gaona</v>
      </c>
      <c r="C1589" s="15" t="str">
        <f>IFERROR(__xludf.DUMMYFUNCTION("""COMPUTED_VALUE"""),"PASTO")</f>
        <v>PASTO</v>
      </c>
      <c r="D1589" s="15" t="str">
        <f>IFERROR(__xludf.DUMMYFUNCTION("""COMPUTED_VALUE"""),"MEDELLÍN")</f>
        <v>MEDELLÍN</v>
      </c>
      <c r="E1589" s="15" t="str">
        <f>IFERROR(__xludf.DUMMYFUNCTION("""COMPUTED_VALUE"""),"AREPAS LA MARY")</f>
        <v>AREPAS LA MARY</v>
      </c>
      <c r="F1589" s="17" t="str">
        <f>IFERROR(__xludf.DUMMYFUNCTION("""COMPUTED_VALUE"""),"CALLE 9 N 30 -178 / ED ALTO VERDE APTO 501")</f>
        <v>CALLE 9 N 30 -178 / ED ALTO VERDE APTO 501</v>
      </c>
      <c r="G1589" s="15" t="str">
        <f>IFERROR(__xludf.DUMMYFUNCTION("""COMPUTED_VALUE"""),"BIO MARKET PASTO")</f>
        <v>BIO MARKET PASTO</v>
      </c>
      <c r="H1589" s="16">
        <f>IFERROR(__xludf.DUMMYFUNCTION("""COMPUTED_VALUE"""),10164.0)</f>
        <v>10164</v>
      </c>
      <c r="I1589" s="18">
        <f>IFERROR(__xludf.DUMMYFUNCTION("""COMPUTED_VALUE"""),89.0)</f>
        <v>89</v>
      </c>
      <c r="J1589" s="18">
        <f>IFERROR(__xludf.DUMMYFUNCTION("""COMPUTED_VALUE"""),1.0)</f>
        <v>1</v>
      </c>
      <c r="K1589" s="18">
        <f>IFERROR(__xludf.DUMMYFUNCTION("""COMPUTED_VALUE"""),10.0)</f>
        <v>10</v>
      </c>
      <c r="L1589" s="17">
        <f>IFERROR(__xludf.DUMMYFUNCTION("""COMPUTED_VALUE"""),3.117472072E9)</f>
        <v>3117472072</v>
      </c>
      <c r="M1589" s="17" t="str">
        <f>IFERROR(__xludf.DUMMYFUNCTION("""COMPUTED_VALUE"""),"#REF!")</f>
        <v>#REF!</v>
      </c>
      <c r="N1589" s="17"/>
      <c r="O1589" s="17"/>
      <c r="P1589" s="17" t="b">
        <f>IFERROR(__xludf.DUMMYFUNCTION("""COMPUTED_VALUE"""),FALSE)</f>
        <v>0</v>
      </c>
      <c r="Q1589" s="20" t="str">
        <f>IFERROR(__xludf.DUMMYFUNCTION("""COMPUTED_VALUE"""),"")</f>
        <v/>
      </c>
      <c r="R1589" s="22" t="str">
        <f>IFERROR(__xludf.DUMMYFUNCTION("""COMPUTED_VALUE"""),"")</f>
        <v/>
      </c>
    </row>
    <row r="1590">
      <c r="A1590" s="15">
        <f>IFERROR(__xludf.DUMMYFUNCTION("""COMPUTED_VALUE"""),45044.0)</f>
        <v>45044</v>
      </c>
      <c r="B1590" s="16" t="str">
        <f>IFERROR(__xludf.DUMMYFUNCTION("""COMPUTED_VALUE"""),"Lina Gaona")</f>
        <v>Lina Gaona</v>
      </c>
      <c r="C1590" s="15" t="str">
        <f>IFERROR(__xludf.DUMMYFUNCTION("""COMPUTED_VALUE"""),"SANTA MARTA")</f>
        <v>SANTA MARTA</v>
      </c>
      <c r="D1590" s="15" t="str">
        <f>IFERROR(__xludf.DUMMYFUNCTION("""COMPUTED_VALUE"""),"MEDELLÍN")</f>
        <v>MEDELLÍN</v>
      </c>
      <c r="E1590" s="15" t="str">
        <f>IFERROR(__xludf.DUMMYFUNCTION("""COMPUTED_VALUE"""),"Rambla")</f>
        <v>Rambla</v>
      </c>
      <c r="F1590" s="17" t="str">
        <f>IFERROR(__xludf.DUMMYFUNCTION("""COMPUTED_VALUE"""),"cra 21 #21-153 local 105 centro comercial plaza jardín  / na / na")</f>
        <v>cra 21 #21-153 local 105 centro comercial plaza jardín  / na / na</v>
      </c>
      <c r="G1590" s="15" t="str">
        <f>IFERROR(__xludf.DUMMYFUNCTION("""COMPUTED_VALUE"""),"punto saludable")</f>
        <v>punto saludable</v>
      </c>
      <c r="H1590" s="16">
        <f>IFERROR(__xludf.DUMMYFUNCTION("""COMPUTED_VALUE"""),10175.0)</f>
        <v>10175</v>
      </c>
      <c r="I1590" s="18">
        <f>IFERROR(__xludf.DUMMYFUNCTION("""COMPUTED_VALUE"""),22.0)</f>
        <v>22</v>
      </c>
      <c r="J1590" s="18">
        <f>IFERROR(__xludf.DUMMYFUNCTION("""COMPUTED_VALUE"""),25.0)</f>
        <v>25</v>
      </c>
      <c r="K1590" s="18">
        <f>IFERROR(__xludf.DUMMYFUNCTION("""COMPUTED_VALUE"""),28.0)</f>
        <v>28</v>
      </c>
      <c r="L1590" s="17">
        <f>IFERROR(__xludf.DUMMYFUNCTION("""COMPUTED_VALUE"""),3.013146331E9)</f>
        <v>3013146331</v>
      </c>
      <c r="M1590" s="17" t="str">
        <f>IFERROR(__xludf.DUMMYFUNCTION("""COMPUTED_VALUE"""),"#REF!")</f>
        <v>#REF!</v>
      </c>
      <c r="N1590" s="17"/>
      <c r="O1590" s="17"/>
      <c r="P1590" s="17" t="b">
        <f>IFERROR(__xludf.DUMMYFUNCTION("""COMPUTED_VALUE"""),FALSE)</f>
        <v>0</v>
      </c>
      <c r="Q1590" s="20" t="str">
        <f>IFERROR(__xludf.DUMMYFUNCTION("""COMPUTED_VALUE"""),"")</f>
        <v/>
      </c>
      <c r="R1590" s="22" t="str">
        <f>IFERROR(__xludf.DUMMYFUNCTION("""COMPUTED_VALUE"""),"")</f>
        <v/>
      </c>
    </row>
    <row r="1591">
      <c r="A1591" s="17" t="str">
        <f>IFERROR(__xludf.DUMMYFUNCTION("""COMPUTED_VALUE"""),"")</f>
        <v/>
      </c>
      <c r="B1591" s="17" t="str">
        <f>IFERROR(__xludf.DUMMYFUNCTION("""COMPUTED_VALUE"""),"")</f>
        <v/>
      </c>
      <c r="C1591" s="17" t="str">
        <f>IFERROR(__xludf.DUMMYFUNCTION("""COMPUTED_VALUE"""),"")</f>
        <v/>
      </c>
      <c r="D1591" s="17" t="str">
        <f>IFERROR(__xludf.DUMMYFUNCTION("""COMPUTED_VALUE"""),"")</f>
        <v/>
      </c>
      <c r="E1591" s="17" t="str">
        <f>IFERROR(__xludf.DUMMYFUNCTION("""COMPUTED_VALUE"""),"")</f>
        <v/>
      </c>
      <c r="F1591" s="17" t="str">
        <f>IFERROR(__xludf.DUMMYFUNCTION("""COMPUTED_VALUE"""),"")</f>
        <v/>
      </c>
      <c r="G1591" s="17" t="str">
        <f>IFERROR(__xludf.DUMMYFUNCTION("""COMPUTED_VALUE"""),"")</f>
        <v/>
      </c>
      <c r="H1591" s="17" t="str">
        <f>IFERROR(__xludf.DUMMYFUNCTION("""COMPUTED_VALUE"""),"")</f>
        <v/>
      </c>
      <c r="I1591" s="17" t="str">
        <f>IFERROR(__xludf.DUMMYFUNCTION("""COMPUTED_VALUE"""),"")</f>
        <v/>
      </c>
      <c r="J1591" s="17" t="str">
        <f>IFERROR(__xludf.DUMMYFUNCTION("""COMPUTED_VALUE"""),"")</f>
        <v/>
      </c>
      <c r="K1591" s="17" t="str">
        <f>IFERROR(__xludf.DUMMYFUNCTION("""COMPUTED_VALUE"""),"")</f>
        <v/>
      </c>
      <c r="L1591" s="17" t="str">
        <f>IFERROR(__xludf.DUMMYFUNCTION("""COMPUTED_VALUE"""),"")</f>
        <v/>
      </c>
      <c r="M1591" s="17" t="str">
        <f>IFERROR(__xludf.DUMMYFUNCTION("""COMPUTED_VALUE"""),"")</f>
        <v/>
      </c>
      <c r="N1591" s="17" t="str">
        <f>IFERROR(__xludf.DUMMYFUNCTION("""COMPUTED_VALUE"""),"")</f>
        <v/>
      </c>
      <c r="O1591" s="17" t="str">
        <f>IFERROR(__xludf.DUMMYFUNCTION("""COMPUTED_VALUE"""),"")</f>
        <v/>
      </c>
      <c r="P1591" s="17" t="str">
        <f>IFERROR(__xludf.DUMMYFUNCTION("""COMPUTED_VALUE"""),"")</f>
        <v/>
      </c>
      <c r="Q1591" s="17" t="str">
        <f>IFERROR(__xludf.DUMMYFUNCTION("""COMPUTED_VALUE"""),"")</f>
        <v/>
      </c>
      <c r="R1591" s="17" t="str">
        <f>IFERROR(__xludf.DUMMYFUNCTION("""COMPUTED_VALUE"""),"")</f>
        <v/>
      </c>
    </row>
    <row r="1592">
      <c r="A1592" s="15">
        <f>IFERROR(__xludf.DUMMYFUNCTION("""COMPUTED_VALUE"""),45044.0)</f>
        <v>45044</v>
      </c>
      <c r="B1592" s="16" t="str">
        <f>IFERROR(__xludf.DUMMYFUNCTION("""COMPUTED_VALUE"""),"Luis Miguel Ramirez Morales")</f>
        <v>Luis Miguel Ramirez Morales</v>
      </c>
      <c r="C1592" s="15" t="str">
        <f>IFERROR(__xludf.DUMMYFUNCTION("""COMPUTED_VALUE"""),"BOGOTÁ")</f>
        <v>BOGOTÁ</v>
      </c>
      <c r="D1592" s="15" t="str">
        <f>IFERROR(__xludf.DUMMYFUNCTION("""COMPUTED_VALUE"""),"CALI")</f>
        <v>CALI</v>
      </c>
      <c r="E1592" s="15" t="str">
        <f>IFERROR(__xludf.DUMMYFUNCTION("""COMPUTED_VALUE"""),"Maralu Kids")</f>
        <v>Maralu Kids</v>
      </c>
      <c r="F1592" s="17" t="str">
        <f>IFERROR(__xludf.DUMMYFUNCTION("""COMPUTED_VALUE"""),"Cl 138 10A-97  / Edificio Teyuna  / Apto 1209")</f>
        <v>Cl 138 10A-97  / Edificio Teyuna  / Apto 1209</v>
      </c>
      <c r="G1592" s="15" t="str">
        <f>IFERROR(__xludf.DUMMYFUNCTION("""COMPUTED_VALUE"""),"Laura Soto")</f>
        <v>Laura Soto</v>
      </c>
      <c r="H1592" s="16">
        <f>IFERROR(__xludf.DUMMYFUNCTION("""COMPUTED_VALUE"""),10216.0)</f>
        <v>10216</v>
      </c>
      <c r="I1592" s="18">
        <f>IFERROR(__xludf.DUMMYFUNCTION("""COMPUTED_VALUE"""),30.0)</f>
        <v>30</v>
      </c>
      <c r="J1592" s="18">
        <f>IFERROR(__xludf.DUMMYFUNCTION("""COMPUTED_VALUE"""),35.0)</f>
        <v>35</v>
      </c>
      <c r="K1592" s="18">
        <f>IFERROR(__xludf.DUMMYFUNCTION("""COMPUTED_VALUE"""),30.0)</f>
        <v>30</v>
      </c>
      <c r="L1592" s="17">
        <f>IFERROR(__xludf.DUMMYFUNCTION("""COMPUTED_VALUE"""),3.044255994E9)</f>
        <v>3044255994</v>
      </c>
      <c r="M1592" s="17" t="str">
        <f>IFERROR(__xludf.DUMMYFUNCTION("""COMPUTED_VALUE"""),"#REF!")</f>
        <v>#REF!</v>
      </c>
      <c r="N1592" s="17"/>
      <c r="O1592" s="17"/>
      <c r="P1592" s="17" t="b">
        <f>IFERROR(__xludf.DUMMYFUNCTION("""COMPUTED_VALUE"""),FALSE)</f>
        <v>0</v>
      </c>
      <c r="Q1592" s="20" t="str">
        <f>IFERROR(__xludf.DUMMYFUNCTION("""COMPUTED_VALUE"""),"")</f>
        <v/>
      </c>
      <c r="R1592" s="22" t="str">
        <f>IFERROR(__xludf.DUMMYFUNCTION("""COMPUTED_VALUE"""),"")</f>
        <v/>
      </c>
    </row>
    <row r="1593">
      <c r="A1593" s="15">
        <f>IFERROR(__xludf.DUMMYFUNCTION("""COMPUTED_VALUE"""),45044.0)</f>
        <v>45044</v>
      </c>
      <c r="B1593" s="16" t="str">
        <f>IFERROR(__xludf.DUMMYFUNCTION("""COMPUTED_VALUE"""),"Luis Miguel Ramirez Morales")</f>
        <v>Luis Miguel Ramirez Morales</v>
      </c>
      <c r="C1593" s="15" t="str">
        <f>IFERROR(__xludf.DUMMYFUNCTION("""COMPUTED_VALUE"""),"BOGOTÁ")</f>
        <v>BOGOTÁ</v>
      </c>
      <c r="D1593" s="15" t="str">
        <f>IFERROR(__xludf.DUMMYFUNCTION("""COMPUTED_VALUE"""),"CALI")</f>
        <v>CALI</v>
      </c>
      <c r="E1593" s="15" t="str">
        <f>IFERROR(__xludf.DUMMYFUNCTION("""COMPUTED_VALUE"""),"Maralu Kids")</f>
        <v>Maralu Kids</v>
      </c>
      <c r="F1593" s="17" t="str">
        <f>IFERROR(__xludf.DUMMYFUNCTION("""COMPUTED_VALUE"""),"Cra 80 a # 17-85  conjunto torrehayuelos  / Torre 8 apto 1031 / Hayuelos")</f>
        <v>Cra 80 a # 17-85  conjunto torrehayuelos  / Torre 8 apto 1031 / Hayuelos</v>
      </c>
      <c r="G1593" s="15" t="str">
        <f>IFERROR(__xludf.DUMMYFUNCTION("""COMPUTED_VALUE"""),"Marcela cely")</f>
        <v>Marcela cely</v>
      </c>
      <c r="H1593" s="16">
        <f>IFERROR(__xludf.DUMMYFUNCTION("""COMPUTED_VALUE"""),10217.0)</f>
        <v>10217</v>
      </c>
      <c r="I1593" s="18">
        <f>IFERROR(__xludf.DUMMYFUNCTION("""COMPUTED_VALUE"""),12.0)</f>
        <v>12</v>
      </c>
      <c r="J1593" s="18">
        <f>IFERROR(__xludf.DUMMYFUNCTION("""COMPUTED_VALUE"""),30.0)</f>
        <v>30</v>
      </c>
      <c r="K1593" s="18">
        <f>IFERROR(__xludf.DUMMYFUNCTION("""COMPUTED_VALUE"""),30.0)</f>
        <v>30</v>
      </c>
      <c r="L1593" s="17">
        <f>IFERROR(__xludf.DUMMYFUNCTION("""COMPUTED_VALUE"""),3.138309754E9)</f>
        <v>3138309754</v>
      </c>
      <c r="M1593" s="17" t="str">
        <f>IFERROR(__xludf.DUMMYFUNCTION("""COMPUTED_VALUE"""),"#REF!")</f>
        <v>#REF!</v>
      </c>
      <c r="N1593" s="17"/>
      <c r="O1593" s="17"/>
      <c r="P1593" s="17" t="b">
        <f>IFERROR(__xludf.DUMMYFUNCTION("""COMPUTED_VALUE"""),FALSE)</f>
        <v>0</v>
      </c>
      <c r="Q1593" s="20" t="str">
        <f>IFERROR(__xludf.DUMMYFUNCTION("""COMPUTED_VALUE"""),"")</f>
        <v/>
      </c>
      <c r="R1593" s="22" t="str">
        <f>IFERROR(__xludf.DUMMYFUNCTION("""COMPUTED_VALUE"""),"")</f>
        <v/>
      </c>
    </row>
    <row r="1594">
      <c r="A1594" s="15">
        <f>IFERROR(__xludf.DUMMYFUNCTION("""COMPUTED_VALUE"""),45044.0)</f>
        <v>45044</v>
      </c>
      <c r="B1594" s="16" t="str">
        <f>IFERROR(__xludf.DUMMYFUNCTION("""COMPUTED_VALUE"""),"Luis Miguel Ramirez Morales")</f>
        <v>Luis Miguel Ramirez Morales</v>
      </c>
      <c r="C1594" s="15" t="str">
        <f>IFERROR(__xludf.DUMMYFUNCTION("""COMPUTED_VALUE"""),"BOGOTÁ")</f>
        <v>BOGOTÁ</v>
      </c>
      <c r="D1594" s="15" t="str">
        <f>IFERROR(__xludf.DUMMYFUNCTION("""COMPUTED_VALUE"""),"MEDELLÍN")</f>
        <v>MEDELLÍN</v>
      </c>
      <c r="E1594" s="15" t="str">
        <f>IFERROR(__xludf.DUMMYFUNCTION("""COMPUTED_VALUE"""),"Baby Chef")</f>
        <v>Baby Chef</v>
      </c>
      <c r="F1594" s="17" t="str">
        <f>IFERROR(__xludf.DUMMYFUNCTION("""COMPUTED_VALUE"""),"Calle 106 A # 54 -78 / Apartamento 201. Edificio Govinda / Puente Largo")</f>
        <v>Calle 106 A # 54 -78 / Apartamento 201. Edificio Govinda / Puente Largo</v>
      </c>
      <c r="G1594" s="15" t="str">
        <f>IFERROR(__xludf.DUMMYFUNCTION("""COMPUTED_VALUE"""),"Oscar Andres Espinosa")</f>
        <v>Oscar Andres Espinosa</v>
      </c>
      <c r="H1594" s="16">
        <f>IFERROR(__xludf.DUMMYFUNCTION("""COMPUTED_VALUE"""),10204.0)</f>
        <v>10204</v>
      </c>
      <c r="I1594" s="18">
        <f>IFERROR(__xludf.DUMMYFUNCTION("""COMPUTED_VALUE"""),8.0)</f>
        <v>8</v>
      </c>
      <c r="J1594" s="18">
        <f>IFERROR(__xludf.DUMMYFUNCTION("""COMPUTED_VALUE"""),16.0)</f>
        <v>16</v>
      </c>
      <c r="K1594" s="18">
        <f>IFERROR(__xludf.DUMMYFUNCTION("""COMPUTED_VALUE"""),20.0)</f>
        <v>20</v>
      </c>
      <c r="L1594" s="17">
        <f>IFERROR(__xludf.DUMMYFUNCTION("""COMPUTED_VALUE"""),3.184560864E9)</f>
        <v>3184560864</v>
      </c>
      <c r="M1594" s="17" t="str">
        <f>IFERROR(__xludf.DUMMYFUNCTION("""COMPUTED_VALUE"""),"#REF!")</f>
        <v>#REF!</v>
      </c>
      <c r="N1594" s="17"/>
      <c r="O1594" s="17"/>
      <c r="P1594" s="17" t="b">
        <f>IFERROR(__xludf.DUMMYFUNCTION("""COMPUTED_VALUE"""),FALSE)</f>
        <v>0</v>
      </c>
      <c r="Q1594" s="20" t="str">
        <f>IFERROR(__xludf.DUMMYFUNCTION("""COMPUTED_VALUE"""),"")</f>
        <v/>
      </c>
      <c r="R1594" s="22" t="str">
        <f>IFERROR(__xludf.DUMMYFUNCTION("""COMPUTED_VALUE"""),"")</f>
        <v/>
      </c>
    </row>
    <row r="1595">
      <c r="A1595" s="15">
        <f>IFERROR(__xludf.DUMMYFUNCTION("""COMPUTED_VALUE"""),45044.0)</f>
        <v>45044</v>
      </c>
      <c r="B1595" s="16" t="str">
        <f>IFERROR(__xludf.DUMMYFUNCTION("""COMPUTED_VALUE"""),"Luis Miguel Ramirez Morales")</f>
        <v>Luis Miguel Ramirez Morales</v>
      </c>
      <c r="C1595" s="15" t="str">
        <f>IFERROR(__xludf.DUMMYFUNCTION("""COMPUTED_VALUE"""),"BOGOTÁ")</f>
        <v>BOGOTÁ</v>
      </c>
      <c r="D1595" s="15" t="str">
        <f>IFERROR(__xludf.DUMMYFUNCTION("""COMPUTED_VALUE"""),"MEDELLÍN")</f>
        <v>MEDELLÍN</v>
      </c>
      <c r="E1595" s="15" t="str">
        <f>IFERROR(__xludf.DUMMYFUNCTION("""COMPUTED_VALUE"""),"Baby Chef")</f>
        <v>Baby Chef</v>
      </c>
      <c r="F1595" s="17" t="str">
        <f>IFERROR(__xludf.DUMMYFUNCTION("""COMPUTED_VALUE"""),"Calle 128 B # 22 - 30 / Apto 207 Balcones La Calleja / BOGOTA")</f>
        <v>Calle 128 B # 22 - 30 / Apto 207 Balcones La Calleja / BOGOTA</v>
      </c>
      <c r="G1595" s="15" t="str">
        <f>IFERROR(__xludf.DUMMYFUNCTION("""COMPUTED_VALUE"""),"Laura Lucía Torres Pinzón")</f>
        <v>Laura Lucía Torres Pinzón</v>
      </c>
      <c r="H1595" s="16">
        <f>IFERROR(__xludf.DUMMYFUNCTION("""COMPUTED_VALUE"""),10215.0)</f>
        <v>10215</v>
      </c>
      <c r="I1595" s="18">
        <f>IFERROR(__xludf.DUMMYFUNCTION("""COMPUTED_VALUE"""),8.0)</f>
        <v>8</v>
      </c>
      <c r="J1595" s="18">
        <f>IFERROR(__xludf.DUMMYFUNCTION("""COMPUTED_VALUE"""),16.0)</f>
        <v>16</v>
      </c>
      <c r="K1595" s="18">
        <f>IFERROR(__xludf.DUMMYFUNCTION("""COMPUTED_VALUE"""),20.0)</f>
        <v>20</v>
      </c>
      <c r="L1595" s="17">
        <f>IFERROR(__xludf.DUMMYFUNCTION("""COMPUTED_VALUE"""),3.046479051E9)</f>
        <v>3046479051</v>
      </c>
      <c r="M1595" s="17" t="str">
        <f>IFERROR(__xludf.DUMMYFUNCTION("""COMPUTED_VALUE"""),"#REF!")</f>
        <v>#REF!</v>
      </c>
      <c r="N1595" s="17"/>
      <c r="O1595" s="17"/>
      <c r="P1595" s="17" t="b">
        <f>IFERROR(__xludf.DUMMYFUNCTION("""COMPUTED_VALUE"""),FALSE)</f>
        <v>0</v>
      </c>
      <c r="Q1595" s="20" t="str">
        <f>IFERROR(__xludf.DUMMYFUNCTION("""COMPUTED_VALUE"""),"")</f>
        <v/>
      </c>
      <c r="R1595" s="22" t="str">
        <f>IFERROR(__xludf.DUMMYFUNCTION("""COMPUTED_VALUE"""),"")</f>
        <v/>
      </c>
    </row>
    <row r="1596">
      <c r="A1596" s="15">
        <f>IFERROR(__xludf.DUMMYFUNCTION("""COMPUTED_VALUE"""),45044.0)</f>
        <v>45044</v>
      </c>
      <c r="B1596" s="16" t="str">
        <f>IFERROR(__xludf.DUMMYFUNCTION("""COMPUTED_VALUE"""),"Luis Miguel Ramirez Morales")</f>
        <v>Luis Miguel Ramirez Morales</v>
      </c>
      <c r="C1596" s="15" t="str">
        <f>IFERROR(__xludf.DUMMYFUNCTION("""COMPUTED_VALUE"""),"BOGOTÁ")</f>
        <v>BOGOTÁ</v>
      </c>
      <c r="D1596" s="15" t="str">
        <f>IFERROR(__xludf.DUMMYFUNCTION("""COMPUTED_VALUE"""),"MEDELLÍN")</f>
        <v>MEDELLÍN</v>
      </c>
      <c r="E1596" s="15" t="str">
        <f>IFERROR(__xludf.DUMMYFUNCTION("""COMPUTED_VALUE"""),"Baby Chef")</f>
        <v>Baby Chef</v>
      </c>
      <c r="F1596" s="17" t="str">
        <f>IFERROR(__xludf.DUMMYFUNCTION("""COMPUTED_VALUE"""),"Calle 81 # 115 - 80 / Torre 4 Apto 309 / BOGOTA")</f>
        <v>Calle 81 # 115 - 80 / Torre 4 Apto 309 / BOGOTA</v>
      </c>
      <c r="G1596" s="15" t="str">
        <f>IFERROR(__xludf.DUMMYFUNCTION("""COMPUTED_VALUE"""),"Alejandra Sánchez")</f>
        <v>Alejandra Sánchez</v>
      </c>
      <c r="H1596" s="16">
        <f>IFERROR(__xludf.DUMMYFUNCTION("""COMPUTED_VALUE"""),10196.0)</f>
        <v>10196</v>
      </c>
      <c r="I1596" s="18">
        <f>IFERROR(__xludf.DUMMYFUNCTION("""COMPUTED_VALUE"""),8.0)</f>
        <v>8</v>
      </c>
      <c r="J1596" s="18">
        <f>IFERROR(__xludf.DUMMYFUNCTION("""COMPUTED_VALUE"""),16.0)</f>
        <v>16</v>
      </c>
      <c r="K1596" s="18">
        <f>IFERROR(__xludf.DUMMYFUNCTION("""COMPUTED_VALUE"""),20.0)</f>
        <v>20</v>
      </c>
      <c r="L1596" s="17">
        <f>IFERROR(__xludf.DUMMYFUNCTION("""COMPUTED_VALUE"""),3.142355571E9)</f>
        <v>3142355571</v>
      </c>
      <c r="M1596" s="17" t="str">
        <f>IFERROR(__xludf.DUMMYFUNCTION("""COMPUTED_VALUE"""),"#REF!")</f>
        <v>#REF!</v>
      </c>
      <c r="N1596" s="17"/>
      <c r="O1596" s="17"/>
      <c r="P1596" s="17" t="b">
        <f>IFERROR(__xludf.DUMMYFUNCTION("""COMPUTED_VALUE"""),FALSE)</f>
        <v>0</v>
      </c>
      <c r="Q1596" s="20" t="str">
        <f>IFERROR(__xludf.DUMMYFUNCTION("""COMPUTED_VALUE"""),"")</f>
        <v/>
      </c>
      <c r="R1596" s="22" t="str">
        <f>IFERROR(__xludf.DUMMYFUNCTION("""COMPUTED_VALUE"""),"")</f>
        <v/>
      </c>
    </row>
    <row r="1597">
      <c r="A1597" s="15">
        <f>IFERROR(__xludf.DUMMYFUNCTION("""COMPUTED_VALUE"""),45044.0)</f>
        <v>45044</v>
      </c>
      <c r="B1597" s="16" t="str">
        <f>IFERROR(__xludf.DUMMYFUNCTION("""COMPUTED_VALUE"""),"Luis Miguel Ramirez Morales")</f>
        <v>Luis Miguel Ramirez Morales</v>
      </c>
      <c r="C1597" s="15" t="str">
        <f>IFERROR(__xludf.DUMMYFUNCTION("""COMPUTED_VALUE"""),"BOGOTÁ")</f>
        <v>BOGOTÁ</v>
      </c>
      <c r="D1597" s="15" t="str">
        <f>IFERROR(__xludf.DUMMYFUNCTION("""COMPUTED_VALUE"""),"MEDELLÍN")</f>
        <v>MEDELLÍN</v>
      </c>
      <c r="E1597" s="15" t="str">
        <f>IFERROR(__xludf.DUMMYFUNCTION("""COMPUTED_VALUE"""),"Baby Chef")</f>
        <v>Baby Chef</v>
      </c>
      <c r="F1597" s="17" t="str">
        <f>IFERROR(__xludf.DUMMYFUNCTION("""COMPUTED_VALUE"""),"Calle 97 # 70 C - 95 / Portal de Pontevedra 5 Torre 1 Apto 801 / BOGOTÁ")</f>
        <v>Calle 97 # 70 C - 95 / Portal de Pontevedra 5 Torre 1 Apto 801 / BOGOTÁ</v>
      </c>
      <c r="G1597" s="15" t="str">
        <f>IFERROR(__xludf.DUMMYFUNCTION("""COMPUTED_VALUE"""),"Jhoana Alexandra Guzmán León")</f>
        <v>Jhoana Alexandra Guzmán León</v>
      </c>
      <c r="H1597" s="16">
        <f>IFERROR(__xludf.DUMMYFUNCTION("""COMPUTED_VALUE"""),10200.0)</f>
        <v>10200</v>
      </c>
      <c r="I1597" s="18">
        <f>IFERROR(__xludf.DUMMYFUNCTION("""COMPUTED_VALUE"""),8.0)</f>
        <v>8</v>
      </c>
      <c r="J1597" s="18">
        <f>IFERROR(__xludf.DUMMYFUNCTION("""COMPUTED_VALUE"""),16.0)</f>
        <v>16</v>
      </c>
      <c r="K1597" s="18">
        <f>IFERROR(__xludf.DUMMYFUNCTION("""COMPUTED_VALUE"""),20.0)</f>
        <v>20</v>
      </c>
      <c r="L1597" s="17">
        <f>IFERROR(__xludf.DUMMYFUNCTION("""COMPUTED_VALUE"""),3.043455492E9)</f>
        <v>3043455492</v>
      </c>
      <c r="M1597" s="17" t="str">
        <f>IFERROR(__xludf.DUMMYFUNCTION("""COMPUTED_VALUE"""),"#REF!")</f>
        <v>#REF!</v>
      </c>
      <c r="N1597" s="17"/>
      <c r="O1597" s="17"/>
      <c r="P1597" s="17" t="b">
        <f>IFERROR(__xludf.DUMMYFUNCTION("""COMPUTED_VALUE"""),FALSE)</f>
        <v>0</v>
      </c>
      <c r="Q1597" s="20" t="str">
        <f>IFERROR(__xludf.DUMMYFUNCTION("""COMPUTED_VALUE"""),"")</f>
        <v/>
      </c>
      <c r="R1597" s="22" t="str">
        <f>IFERROR(__xludf.DUMMYFUNCTION("""COMPUTED_VALUE"""),"")</f>
        <v/>
      </c>
    </row>
    <row r="1598">
      <c r="A1598" s="15">
        <f>IFERROR(__xludf.DUMMYFUNCTION("""COMPUTED_VALUE"""),45044.0)</f>
        <v>45044</v>
      </c>
      <c r="B1598" s="16" t="str">
        <f>IFERROR(__xludf.DUMMYFUNCTION("""COMPUTED_VALUE"""),"Luis Miguel Ramirez Morales")</f>
        <v>Luis Miguel Ramirez Morales</v>
      </c>
      <c r="C1598" s="15" t="str">
        <f>IFERROR(__xludf.DUMMYFUNCTION("""COMPUTED_VALUE"""),"BOGOTÁ")</f>
        <v>BOGOTÁ</v>
      </c>
      <c r="D1598" s="15" t="str">
        <f>IFERROR(__xludf.DUMMYFUNCTION("""COMPUTED_VALUE"""),"MEDELLÍN")</f>
        <v>MEDELLÍN</v>
      </c>
      <c r="E1598" s="15" t="str">
        <f>IFERROR(__xludf.DUMMYFUNCTION("""COMPUTED_VALUE"""),"Baby Chef")</f>
        <v>Baby Chef</v>
      </c>
      <c r="F1598" s="17" t="str">
        <f>IFERROR(__xludf.DUMMYFUNCTION("""COMPUTED_VALUE"""),"Carrera 54 # 152 60 / apto 702 torre 1 Mazuren  / BOGOTÁ")</f>
        <v>Carrera 54 # 152 60 / apto 702 torre 1 Mazuren  / BOGOTÁ</v>
      </c>
      <c r="G1598" s="15" t="str">
        <f>IFERROR(__xludf.DUMMYFUNCTION("""COMPUTED_VALUE"""),"Stefania Cortés Mejía")</f>
        <v>Stefania Cortés Mejía</v>
      </c>
      <c r="H1598" s="16">
        <f>IFERROR(__xludf.DUMMYFUNCTION("""COMPUTED_VALUE"""),10212.0)</f>
        <v>10212</v>
      </c>
      <c r="I1598" s="18">
        <f>IFERROR(__xludf.DUMMYFUNCTION("""COMPUTED_VALUE"""),8.0)</f>
        <v>8</v>
      </c>
      <c r="J1598" s="18">
        <f>IFERROR(__xludf.DUMMYFUNCTION("""COMPUTED_VALUE"""),16.0)</f>
        <v>16</v>
      </c>
      <c r="K1598" s="18">
        <f>IFERROR(__xludf.DUMMYFUNCTION("""COMPUTED_VALUE"""),20.0)</f>
        <v>20</v>
      </c>
      <c r="L1598" s="17">
        <f>IFERROR(__xludf.DUMMYFUNCTION("""COMPUTED_VALUE"""),3.18383761E9)</f>
        <v>3183837610</v>
      </c>
      <c r="M1598" s="17" t="str">
        <f>IFERROR(__xludf.DUMMYFUNCTION("""COMPUTED_VALUE"""),"#REF!")</f>
        <v>#REF!</v>
      </c>
      <c r="N1598" s="17"/>
      <c r="O1598" s="17"/>
      <c r="P1598" s="17" t="b">
        <f>IFERROR(__xludf.DUMMYFUNCTION("""COMPUTED_VALUE"""),FALSE)</f>
        <v>0</v>
      </c>
      <c r="Q1598" s="20" t="str">
        <f>IFERROR(__xludf.DUMMYFUNCTION("""COMPUTED_VALUE"""),"")</f>
        <v/>
      </c>
      <c r="R1598" s="22" t="str">
        <f>IFERROR(__xludf.DUMMYFUNCTION("""COMPUTED_VALUE"""),"")</f>
        <v/>
      </c>
    </row>
    <row r="1599">
      <c r="A1599" s="15">
        <f>IFERROR(__xludf.DUMMYFUNCTION("""COMPUTED_VALUE"""),45044.0)</f>
        <v>45044</v>
      </c>
      <c r="B1599" s="16" t="str">
        <f>IFERROR(__xludf.DUMMYFUNCTION("""COMPUTED_VALUE"""),"Luis Miguel Ramirez Morales")</f>
        <v>Luis Miguel Ramirez Morales</v>
      </c>
      <c r="C1599" s="15" t="str">
        <f>IFERROR(__xludf.DUMMYFUNCTION("""COMPUTED_VALUE"""),"BOGOTÁ")</f>
        <v>BOGOTÁ</v>
      </c>
      <c r="D1599" s="15" t="str">
        <f>IFERROR(__xludf.DUMMYFUNCTION("""COMPUTED_VALUE"""),"MEDELLÍN")</f>
        <v>MEDELLÍN</v>
      </c>
      <c r="E1599" s="15" t="str">
        <f>IFERROR(__xludf.DUMMYFUNCTION("""COMPUTED_VALUE"""),"Baby Chef")</f>
        <v>Baby Chef</v>
      </c>
      <c r="F1599" s="17" t="str">
        <f>IFERROR(__xludf.DUMMYFUNCTION("""COMPUTED_VALUE"""),"Cra 7B #  134 B 11 / Apto 1105 Torre 1 Condominio Country Reservado  / Barrio Lisboa")</f>
        <v>Cra 7B #  134 B 11 / Apto 1105 Torre 1 Condominio Country Reservado  / Barrio Lisboa</v>
      </c>
      <c r="G1599" s="15" t="str">
        <f>IFERROR(__xludf.DUMMYFUNCTION("""COMPUTED_VALUE"""),"Tania Pinzón Saavedra")</f>
        <v>Tania Pinzón Saavedra</v>
      </c>
      <c r="H1599" s="16">
        <f>IFERROR(__xludf.DUMMYFUNCTION("""COMPUTED_VALUE"""),10197.0)</f>
        <v>10197</v>
      </c>
      <c r="I1599" s="18">
        <f>IFERROR(__xludf.DUMMYFUNCTION("""COMPUTED_VALUE"""),8.0)</f>
        <v>8</v>
      </c>
      <c r="J1599" s="18">
        <f>IFERROR(__xludf.DUMMYFUNCTION("""COMPUTED_VALUE"""),16.0)</f>
        <v>16</v>
      </c>
      <c r="K1599" s="18">
        <f>IFERROR(__xludf.DUMMYFUNCTION("""COMPUTED_VALUE"""),20.0)</f>
        <v>20</v>
      </c>
      <c r="L1599" s="17">
        <f>IFERROR(__xludf.DUMMYFUNCTION("""COMPUTED_VALUE"""),3.014863725E9)</f>
        <v>3014863725</v>
      </c>
      <c r="M1599" s="17" t="str">
        <f>IFERROR(__xludf.DUMMYFUNCTION("""COMPUTED_VALUE"""),"#REF!")</f>
        <v>#REF!</v>
      </c>
      <c r="N1599" s="17"/>
      <c r="O1599" s="17"/>
      <c r="P1599" s="17" t="b">
        <f>IFERROR(__xludf.DUMMYFUNCTION("""COMPUTED_VALUE"""),FALSE)</f>
        <v>0</v>
      </c>
      <c r="Q1599" s="20" t="str">
        <f>IFERROR(__xludf.DUMMYFUNCTION("""COMPUTED_VALUE"""),"")</f>
        <v/>
      </c>
      <c r="R1599" s="22" t="str">
        <f>IFERROR(__xludf.DUMMYFUNCTION("""COMPUTED_VALUE"""),"")</f>
        <v/>
      </c>
    </row>
    <row r="1600">
      <c r="A1600" s="15">
        <f>IFERROR(__xludf.DUMMYFUNCTION("""COMPUTED_VALUE"""),45044.0)</f>
        <v>45044</v>
      </c>
      <c r="B1600" s="16" t="str">
        <f>IFERROR(__xludf.DUMMYFUNCTION("""COMPUTED_VALUE"""),"Luis Miguel Ramirez Morales")</f>
        <v>Luis Miguel Ramirez Morales</v>
      </c>
      <c r="C1600" s="15" t="str">
        <f>IFERROR(__xludf.DUMMYFUNCTION("""COMPUTED_VALUE"""),"BOGOTÁ")</f>
        <v>BOGOTÁ</v>
      </c>
      <c r="D1600" s="15" t="str">
        <f>IFERROR(__xludf.DUMMYFUNCTION("""COMPUTED_VALUE"""),"MEDELLÍN")</f>
        <v>MEDELLÍN</v>
      </c>
      <c r="E1600" s="15" t="str">
        <f>IFERROR(__xludf.DUMMYFUNCTION("""COMPUTED_VALUE"""),"Lácteos El Pino SAS")</f>
        <v>Lácteos El Pino SAS</v>
      </c>
      <c r="F1600" s="17" t="str">
        <f>IFERROR(__xludf.DUMMYFUNCTION("""COMPUTED_VALUE"""),"CALLE 93 # 17 - 23 APTO 202 EDIFICIO INFINITI / ENTREGAR EN EL APARTAMENTO")</f>
        <v>CALLE 93 # 17 - 23 APTO 202 EDIFICIO INFINITI / ENTREGAR EN EL APARTAMENTO</v>
      </c>
      <c r="G1600" s="15" t="str">
        <f>IFERROR(__xludf.DUMMYFUNCTION("""COMPUTED_VALUE"""),"CAROLINA ECHEVERRI")</f>
        <v>CAROLINA ECHEVERRI</v>
      </c>
      <c r="H1600" s="16">
        <f>IFERROR(__xludf.DUMMYFUNCTION("""COMPUTED_VALUE"""),10220.0)</f>
        <v>10220</v>
      </c>
      <c r="I1600" s="18">
        <f>IFERROR(__xludf.DUMMYFUNCTION("""COMPUTED_VALUE"""),12.0)</f>
        <v>12</v>
      </c>
      <c r="J1600" s="18">
        <f>IFERROR(__xludf.DUMMYFUNCTION("""COMPUTED_VALUE"""),22.0)</f>
        <v>22</v>
      </c>
      <c r="K1600" s="18">
        <f>IFERROR(__xludf.DUMMYFUNCTION("""COMPUTED_VALUE"""),13.0)</f>
        <v>13</v>
      </c>
      <c r="L1600" s="17"/>
      <c r="M1600" s="17" t="str">
        <f>IFERROR(__xludf.DUMMYFUNCTION("""COMPUTED_VALUE"""),"#REF!")</f>
        <v>#REF!</v>
      </c>
      <c r="N1600" s="17"/>
      <c r="O1600" s="17"/>
      <c r="P1600" s="17" t="b">
        <f>IFERROR(__xludf.DUMMYFUNCTION("""COMPUTED_VALUE"""),FALSE)</f>
        <v>0</v>
      </c>
      <c r="Q1600" s="20" t="str">
        <f>IFERROR(__xludf.DUMMYFUNCTION("""COMPUTED_VALUE"""),"")</f>
        <v/>
      </c>
      <c r="R1600" s="22" t="str">
        <f>IFERROR(__xludf.DUMMYFUNCTION("""COMPUTED_VALUE"""),"")</f>
        <v/>
      </c>
    </row>
    <row r="1601">
      <c r="A1601" s="15">
        <f>IFERROR(__xludf.DUMMYFUNCTION("""COMPUTED_VALUE"""),45044.0)</f>
        <v>45044</v>
      </c>
      <c r="B1601" s="16" t="str">
        <f>IFERROR(__xludf.DUMMYFUNCTION("""COMPUTED_VALUE"""),"Luis Miguel Ramirez Morales")</f>
        <v>Luis Miguel Ramirez Morales</v>
      </c>
      <c r="C1601" s="15" t="str">
        <f>IFERROR(__xludf.DUMMYFUNCTION("""COMPUTED_VALUE"""),"BOGOTÁ")</f>
        <v>BOGOTÁ</v>
      </c>
      <c r="D1601" s="15" t="str">
        <f>IFERROR(__xludf.DUMMYFUNCTION("""COMPUTED_VALUE"""),"MEDELLÍN")</f>
        <v>MEDELLÍN</v>
      </c>
      <c r="E1601" s="15" t="str">
        <f>IFERROR(__xludf.DUMMYFUNCTION("""COMPUTED_VALUE"""),"Rambla")</f>
        <v>Rambla</v>
      </c>
      <c r="F1601" s="17" t="str">
        <f>IFERROR(__xludf.DUMMYFUNCTION("""COMPUTED_VALUE"""),"Av Cra 9 # 113-52 local 306 / na / na")</f>
        <v>Av Cra 9 # 113-52 local 306 / na / na</v>
      </c>
      <c r="G1601" s="15" t="str">
        <f>IFERROR(__xludf.DUMMYFUNCTION("""COMPUTED_VALUE"""),"FRESHCO")</f>
        <v>FRESHCO</v>
      </c>
      <c r="H1601" s="16">
        <f>IFERROR(__xludf.DUMMYFUNCTION("""COMPUTED_VALUE"""),10210.0)</f>
        <v>10210</v>
      </c>
      <c r="I1601" s="18">
        <f>IFERROR(__xludf.DUMMYFUNCTION("""COMPUTED_VALUE"""),28.0)</f>
        <v>28</v>
      </c>
      <c r="J1601" s="18">
        <f>IFERROR(__xludf.DUMMYFUNCTION("""COMPUTED_VALUE"""),30.0)</f>
        <v>30</v>
      </c>
      <c r="K1601" s="18">
        <f>IFERROR(__xludf.DUMMYFUNCTION("""COMPUTED_VALUE"""),33.0)</f>
        <v>33</v>
      </c>
      <c r="L1601" s="17">
        <f>IFERROR(__xludf.DUMMYFUNCTION("""COMPUTED_VALUE"""),3.229417869E9)</f>
        <v>3229417869</v>
      </c>
      <c r="M1601" s="17" t="str">
        <f>IFERROR(__xludf.DUMMYFUNCTION("""COMPUTED_VALUE"""),"#REF!")</f>
        <v>#REF!</v>
      </c>
      <c r="N1601" s="17"/>
      <c r="O1601" s="17"/>
      <c r="P1601" s="17" t="b">
        <f>IFERROR(__xludf.DUMMYFUNCTION("""COMPUTED_VALUE"""),FALSE)</f>
        <v>0</v>
      </c>
      <c r="Q1601" s="20" t="str">
        <f>IFERROR(__xludf.DUMMYFUNCTION("""COMPUTED_VALUE"""),"")</f>
        <v/>
      </c>
      <c r="R1601" s="22" t="str">
        <f>IFERROR(__xludf.DUMMYFUNCTION("""COMPUTED_VALUE"""),"")</f>
        <v/>
      </c>
    </row>
    <row r="1602">
      <c r="A1602" s="15">
        <f>IFERROR(__xludf.DUMMYFUNCTION("""COMPUTED_VALUE"""),45044.0)</f>
        <v>45044</v>
      </c>
      <c r="B1602" s="16" t="str">
        <f>IFERROR(__xludf.DUMMYFUNCTION("""COMPUTED_VALUE"""),"Luis Miguel Ramirez Morales")</f>
        <v>Luis Miguel Ramirez Morales</v>
      </c>
      <c r="C1602" s="15" t="str">
        <f>IFERROR(__xludf.DUMMYFUNCTION("""COMPUTED_VALUE"""),"POPAYAN")</f>
        <v>POPAYAN</v>
      </c>
      <c r="D1602" s="15" t="str">
        <f>IFERROR(__xludf.DUMMYFUNCTION("""COMPUTED_VALUE"""),"MEDELLÍN")</f>
        <v>MEDELLÍN</v>
      </c>
      <c r="E1602" s="15" t="str">
        <f>IFERROR(__xludf.DUMMYFUNCTION("""COMPUTED_VALUE"""),"Baby Chef")</f>
        <v>Baby Chef</v>
      </c>
      <c r="F1602" s="17" t="str">
        <f>IFERROR(__xludf.DUMMYFUNCTION("""COMPUTED_VALUE"""),"Cra 7 # 18 N 32  / Ciudad jardín / Ciudad Jardín - Popayán Cauca")</f>
        <v>Cra 7 # 18 N 32  / Ciudad jardín / Ciudad Jardín - Popayán Cauca</v>
      </c>
      <c r="G1602" s="15" t="str">
        <f>IFERROR(__xludf.DUMMYFUNCTION("""COMPUTED_VALUE"""),"CAROLINA VIANA")</f>
        <v>CAROLINA VIANA</v>
      </c>
      <c r="H1602" s="16">
        <f>IFERROR(__xludf.DUMMYFUNCTION("""COMPUTED_VALUE"""),10168.0)</f>
        <v>10168</v>
      </c>
      <c r="I1602" s="18">
        <f>IFERROR(__xludf.DUMMYFUNCTION("""COMPUTED_VALUE"""),8.0)</f>
        <v>8</v>
      </c>
      <c r="J1602" s="18">
        <f>IFERROR(__xludf.DUMMYFUNCTION("""COMPUTED_VALUE"""),16.0)</f>
        <v>16</v>
      </c>
      <c r="K1602" s="18">
        <f>IFERROR(__xludf.DUMMYFUNCTION("""COMPUTED_VALUE"""),20.0)</f>
        <v>20</v>
      </c>
      <c r="L1602" s="17">
        <f>IFERROR(__xludf.DUMMYFUNCTION("""COMPUTED_VALUE"""),3.004975E9)</f>
        <v>3004975000</v>
      </c>
      <c r="M1602" s="17" t="str">
        <f>IFERROR(__xludf.DUMMYFUNCTION("""COMPUTED_VALUE"""),"#REF!")</f>
        <v>#REF!</v>
      </c>
      <c r="N1602" s="17"/>
      <c r="O1602" s="17"/>
      <c r="P1602" s="17" t="b">
        <f>IFERROR(__xludf.DUMMYFUNCTION("""COMPUTED_VALUE"""),FALSE)</f>
        <v>0</v>
      </c>
      <c r="Q1602" s="20" t="str">
        <f>IFERROR(__xludf.DUMMYFUNCTION("""COMPUTED_VALUE"""),"")</f>
        <v/>
      </c>
      <c r="R1602" s="22" t="str">
        <f>IFERROR(__xludf.DUMMYFUNCTION("""COMPUTED_VALUE"""),"")</f>
        <v/>
      </c>
    </row>
    <row r="1603">
      <c r="A1603" s="17" t="str">
        <f>IFERROR(__xludf.DUMMYFUNCTION("""COMPUTED_VALUE"""),"")</f>
        <v/>
      </c>
      <c r="B1603" s="17" t="str">
        <f>IFERROR(__xludf.DUMMYFUNCTION("""COMPUTED_VALUE"""),"")</f>
        <v/>
      </c>
      <c r="C1603" s="17" t="str">
        <f>IFERROR(__xludf.DUMMYFUNCTION("""COMPUTED_VALUE"""),"")</f>
        <v/>
      </c>
      <c r="D1603" s="17" t="str">
        <f>IFERROR(__xludf.DUMMYFUNCTION("""COMPUTED_VALUE"""),"")</f>
        <v/>
      </c>
      <c r="E1603" s="17" t="str">
        <f>IFERROR(__xludf.DUMMYFUNCTION("""COMPUTED_VALUE"""),"")</f>
        <v/>
      </c>
      <c r="F1603" s="17" t="str">
        <f>IFERROR(__xludf.DUMMYFUNCTION("""COMPUTED_VALUE"""),"")</f>
        <v/>
      </c>
      <c r="G1603" s="17" t="str">
        <f>IFERROR(__xludf.DUMMYFUNCTION("""COMPUTED_VALUE"""),"")</f>
        <v/>
      </c>
      <c r="H1603" s="17" t="str">
        <f>IFERROR(__xludf.DUMMYFUNCTION("""COMPUTED_VALUE"""),"")</f>
        <v/>
      </c>
      <c r="I1603" s="17" t="str">
        <f>IFERROR(__xludf.DUMMYFUNCTION("""COMPUTED_VALUE"""),"")</f>
        <v/>
      </c>
      <c r="J1603" s="17" t="str">
        <f>IFERROR(__xludf.DUMMYFUNCTION("""COMPUTED_VALUE"""),"")</f>
        <v/>
      </c>
      <c r="K1603" s="17" t="str">
        <f>IFERROR(__xludf.DUMMYFUNCTION("""COMPUTED_VALUE"""),"")</f>
        <v/>
      </c>
      <c r="L1603" s="17" t="str">
        <f>IFERROR(__xludf.DUMMYFUNCTION("""COMPUTED_VALUE"""),"")</f>
        <v/>
      </c>
      <c r="M1603" s="17" t="str">
        <f>IFERROR(__xludf.DUMMYFUNCTION("""COMPUTED_VALUE"""),"")</f>
        <v/>
      </c>
      <c r="N1603" s="17" t="str">
        <f>IFERROR(__xludf.DUMMYFUNCTION("""COMPUTED_VALUE"""),"")</f>
        <v/>
      </c>
      <c r="O1603" s="17" t="str">
        <f>IFERROR(__xludf.DUMMYFUNCTION("""COMPUTED_VALUE"""),"")</f>
        <v/>
      </c>
      <c r="P1603" s="17" t="str">
        <f>IFERROR(__xludf.DUMMYFUNCTION("""COMPUTED_VALUE"""),"")</f>
        <v/>
      </c>
      <c r="Q1603" s="17" t="str">
        <f>IFERROR(__xludf.DUMMYFUNCTION("""COMPUTED_VALUE"""),"")</f>
        <v/>
      </c>
      <c r="R1603" s="17" t="str">
        <f>IFERROR(__xludf.DUMMYFUNCTION("""COMPUTED_VALUE"""),"")</f>
        <v/>
      </c>
    </row>
    <row r="1604">
      <c r="A1604" s="15">
        <f>IFERROR(__xludf.DUMMYFUNCTION("""COMPUTED_VALUE"""),45044.0)</f>
        <v>45044</v>
      </c>
      <c r="B1604" s="16" t="str">
        <f>IFERROR(__xludf.DUMMYFUNCTION("""COMPUTED_VALUE"""),"Orlando Urdaneta Rincon ")</f>
        <v>Orlando Urdaneta Rincon </v>
      </c>
      <c r="C1604" s="15" t="str">
        <f>IFERROR(__xludf.DUMMYFUNCTION("""COMPUTED_VALUE"""),"BOGOTÁ")</f>
        <v>BOGOTÁ</v>
      </c>
      <c r="D1604" s="15" t="str">
        <f>IFERROR(__xludf.DUMMYFUNCTION("""COMPUTED_VALUE"""),"MEDELLÍN")</f>
        <v>MEDELLÍN</v>
      </c>
      <c r="E1604" s="15" t="str">
        <f>IFERROR(__xludf.DUMMYFUNCTION("""COMPUTED_VALUE"""),"The Smoked House")</f>
        <v>The Smoked House</v>
      </c>
      <c r="F1604" s="17" t="str">
        <f>IFERROR(__xludf.DUMMYFUNCTION("""COMPUTED_VALUE"""),"Bta  / Bta  / Bta")</f>
        <v>Bta  / Bta  / Bta</v>
      </c>
      <c r="G1604" s="15" t="str">
        <f>IFERROR(__xludf.DUMMYFUNCTION("""COMPUTED_VALUE"""),"Alejandro Mendieta")</f>
        <v>Alejandro Mendieta</v>
      </c>
      <c r="H1604" s="16">
        <f>IFERROR(__xludf.DUMMYFUNCTION("""COMPUTED_VALUE"""),10180.0)</f>
        <v>10180</v>
      </c>
      <c r="I1604" s="18">
        <f>IFERROR(__xludf.DUMMYFUNCTION("""COMPUTED_VALUE"""),1.0)</f>
        <v>1</v>
      </c>
      <c r="J1604" s="18">
        <f>IFERROR(__xludf.DUMMYFUNCTION("""COMPUTED_VALUE"""),1.0)</f>
        <v>1</v>
      </c>
      <c r="K1604" s="18">
        <f>IFERROR(__xludf.DUMMYFUNCTION("""COMPUTED_VALUE"""),1.0)</f>
        <v>1</v>
      </c>
      <c r="L1604" s="17">
        <f>IFERROR(__xludf.DUMMYFUNCTION("""COMPUTED_VALUE"""),3.158825395E9)</f>
        <v>3158825395</v>
      </c>
      <c r="M1604" s="17" t="str">
        <f>IFERROR(__xludf.DUMMYFUNCTION("""COMPUTED_VALUE"""),"#REF!")</f>
        <v>#REF!</v>
      </c>
      <c r="N1604" s="17"/>
      <c r="O1604" s="17"/>
      <c r="P1604" s="17" t="b">
        <f>IFERROR(__xludf.DUMMYFUNCTION("""COMPUTED_VALUE"""),FALSE)</f>
        <v>0</v>
      </c>
      <c r="Q1604" s="20" t="str">
        <f>IFERROR(__xludf.DUMMYFUNCTION("""COMPUTED_VALUE"""),"")</f>
        <v/>
      </c>
      <c r="R1604" s="22" t="str">
        <f>IFERROR(__xludf.DUMMYFUNCTION("""COMPUTED_VALUE"""),"")</f>
        <v/>
      </c>
    </row>
    <row r="1605">
      <c r="A1605" s="15">
        <f>IFERROR(__xludf.DUMMYFUNCTION("""COMPUTED_VALUE"""),45044.0)</f>
        <v>45044</v>
      </c>
      <c r="B1605" s="16" t="str">
        <f>IFERROR(__xludf.DUMMYFUNCTION("""COMPUTED_VALUE"""),"Orlando Urdaneta Rincon ")</f>
        <v>Orlando Urdaneta Rincon </v>
      </c>
      <c r="C1605" s="15" t="str">
        <f>IFERROR(__xludf.DUMMYFUNCTION("""COMPUTED_VALUE"""),"CHÍA")</f>
        <v>CHÍA</v>
      </c>
      <c r="D1605" s="15" t="str">
        <f>IFERROR(__xludf.DUMMYFUNCTION("""COMPUTED_VALUE"""),"MEDELLÍN")</f>
        <v>MEDELLÍN</v>
      </c>
      <c r="E1605" s="15" t="str">
        <f>IFERROR(__xludf.DUMMYFUNCTION("""COMPUTED_VALUE"""),"Terravocado")</f>
        <v>Terravocado</v>
      </c>
      <c r="F1605" s="17" t="str">
        <f>IFERROR(__xludf.DUMMYFUNCTION("""COMPUTED_VALUE"""),"Cll 29# 6 - 44  / Torre 2 apt 504 / Chia")</f>
        <v>Cll 29# 6 - 44  / Torre 2 apt 504 / Chia</v>
      </c>
      <c r="G1605" s="15" t="str">
        <f>IFERROR(__xludf.DUMMYFUNCTION("""COMPUTED_VALUE"""),"Carlos Andres Rodriguez Serpa")</f>
        <v>Carlos Andres Rodriguez Serpa</v>
      </c>
      <c r="H1605" s="16">
        <f>IFERROR(__xludf.DUMMYFUNCTION("""COMPUTED_VALUE"""),10178.0)</f>
        <v>10178</v>
      </c>
      <c r="I1605" s="18">
        <f>IFERROR(__xludf.DUMMYFUNCTION("""COMPUTED_VALUE"""),55.0)</f>
        <v>55</v>
      </c>
      <c r="J1605" s="18">
        <f>IFERROR(__xludf.DUMMYFUNCTION("""COMPUTED_VALUE"""),45.0)</f>
        <v>45</v>
      </c>
      <c r="K1605" s="18">
        <f>IFERROR(__xludf.DUMMYFUNCTION("""COMPUTED_VALUE"""),29.0)</f>
        <v>29</v>
      </c>
      <c r="L1605" s="17">
        <f>IFERROR(__xludf.DUMMYFUNCTION("""COMPUTED_VALUE"""),3.23322817E9)</f>
        <v>3233228170</v>
      </c>
      <c r="M1605" s="17" t="str">
        <f>IFERROR(__xludf.DUMMYFUNCTION("""COMPUTED_VALUE"""),"#REF!")</f>
        <v>#REF!</v>
      </c>
      <c r="N1605" s="17"/>
      <c r="O1605" s="17"/>
      <c r="P1605" s="17" t="b">
        <f>IFERROR(__xludf.DUMMYFUNCTION("""COMPUTED_VALUE"""),FALSE)</f>
        <v>0</v>
      </c>
      <c r="Q1605" s="20" t="str">
        <f>IFERROR(__xludf.DUMMYFUNCTION("""COMPUTED_VALUE"""),"")</f>
        <v/>
      </c>
      <c r="R1605" s="22" t="str">
        <f>IFERROR(__xludf.DUMMYFUNCTION("""COMPUTED_VALUE"""),"")</f>
        <v/>
      </c>
    </row>
    <row r="1606">
      <c r="A1606" s="15">
        <f>IFERROR(__xludf.DUMMYFUNCTION("""COMPUTED_VALUE"""),45044.0)</f>
        <v>45044</v>
      </c>
      <c r="B1606" s="16" t="str">
        <f>IFERROR(__xludf.DUMMYFUNCTION("""COMPUTED_VALUE"""),"Orlando Urdaneta Rincon ")</f>
        <v>Orlando Urdaneta Rincon </v>
      </c>
      <c r="C1606" s="15" t="str">
        <f>IFERROR(__xludf.DUMMYFUNCTION("""COMPUTED_VALUE"""),"SANTA MARTA")</f>
        <v>SANTA MARTA</v>
      </c>
      <c r="D1606" s="15" t="str">
        <f>IFERROR(__xludf.DUMMYFUNCTION("""COMPUTED_VALUE"""),"BOGOTÁ")</f>
        <v>BOGOTÁ</v>
      </c>
      <c r="E1606" s="15" t="str">
        <f>IFERROR(__xludf.DUMMYFUNCTION("""COMPUTED_VALUE"""),"Ins. Alimento Vital")</f>
        <v>Ins. Alimento Vital</v>
      </c>
      <c r="F1606" s="17" t="str">
        <f>IFERROR(__xludf.DUMMYFUNCTION("""COMPUTED_VALUE"""),"CR 1 B 26 A 109 / EDIFICIO ALMIRANTE, APTO 501 / EDIFICIO ALMIRANTE")</f>
        <v>CR 1 B 26 A 109 / EDIFICIO ALMIRANTE, APTO 501 / EDIFICIO ALMIRANTE</v>
      </c>
      <c r="G1606" s="15" t="str">
        <f>IFERROR(__xludf.DUMMYFUNCTION("""COMPUTED_VALUE"""),"VERONICA GOMEZ DE SUBIRIA")</f>
        <v>VERONICA GOMEZ DE SUBIRIA</v>
      </c>
      <c r="H1606" s="16">
        <f>IFERROR(__xludf.DUMMYFUNCTION("""COMPUTED_VALUE"""),10162.0)</f>
        <v>10162</v>
      </c>
      <c r="I1606" s="18">
        <f>IFERROR(__xludf.DUMMYFUNCTION("""COMPUTED_VALUE"""),1.0)</f>
        <v>1</v>
      </c>
      <c r="J1606" s="18">
        <f>IFERROR(__xludf.DUMMYFUNCTION("""COMPUTED_VALUE"""),1.0)</f>
        <v>1</v>
      </c>
      <c r="K1606" s="18">
        <f>IFERROR(__xludf.DUMMYFUNCTION("""COMPUTED_VALUE"""),1.0)</f>
        <v>1</v>
      </c>
      <c r="L1606" s="17">
        <f>IFERROR(__xludf.DUMMYFUNCTION("""COMPUTED_VALUE"""),3.107893555E9)</f>
        <v>3107893555</v>
      </c>
      <c r="M1606" s="17" t="str">
        <f>IFERROR(__xludf.DUMMYFUNCTION("""COMPUTED_VALUE"""),"#REF!")</f>
        <v>#REF!</v>
      </c>
      <c r="N1606" s="17"/>
      <c r="O1606" s="17"/>
      <c r="P1606" s="17" t="b">
        <f>IFERROR(__xludf.DUMMYFUNCTION("""COMPUTED_VALUE"""),FALSE)</f>
        <v>0</v>
      </c>
      <c r="Q1606" s="20" t="str">
        <f>IFERROR(__xludf.DUMMYFUNCTION("""COMPUTED_VALUE"""),"")</f>
        <v/>
      </c>
      <c r="R1606" s="22" t="str">
        <f>IFERROR(__xludf.DUMMYFUNCTION("""COMPUTED_VALUE"""),"")</f>
        <v/>
      </c>
    </row>
    <row r="1607">
      <c r="A1607" s="15">
        <f>IFERROR(__xludf.DUMMYFUNCTION("""COMPUTED_VALUE"""),45044.0)</f>
        <v>45044</v>
      </c>
      <c r="B1607" s="16" t="str">
        <f>IFERROR(__xludf.DUMMYFUNCTION("""COMPUTED_VALUE"""),"Orlando Urdaneta Rincon ")</f>
        <v>Orlando Urdaneta Rincon </v>
      </c>
      <c r="C1607" s="15" t="str">
        <f>IFERROR(__xludf.DUMMYFUNCTION("""COMPUTED_VALUE"""),"SANTA MARTA")</f>
        <v>SANTA MARTA</v>
      </c>
      <c r="D1607" s="15" t="str">
        <f>IFERROR(__xludf.DUMMYFUNCTION("""COMPUTED_VALUE"""),"MEDELLÍN")</f>
        <v>MEDELLÍN</v>
      </c>
      <c r="E1607" s="15" t="str">
        <f>IFERROR(__xludf.DUMMYFUNCTION("""COMPUTED_VALUE"""),"Magda")</f>
        <v>Magda</v>
      </c>
      <c r="F1607" s="17" t="str">
        <f>IFERROR(__xludf.DUMMYFUNCTION("""COMPUTED_VALUE"""),"calle 22#6-82  / ""centro comercial plazuela 22 local 27 "" / Centro")</f>
        <v>calle 22#6-82  / "centro comercial plazuela 22 local 27 " / Centro</v>
      </c>
      <c r="G1607" s="15" t="str">
        <f>IFERROR(__xludf.DUMMYFUNCTION("""COMPUTED_VALUE"""),"Shirley Monjarres")</f>
        <v>Shirley Monjarres</v>
      </c>
      <c r="H1607" s="16">
        <f>IFERROR(__xludf.DUMMYFUNCTION("""COMPUTED_VALUE"""),10186.0)</f>
        <v>10186</v>
      </c>
      <c r="I1607" s="18">
        <f>IFERROR(__xludf.DUMMYFUNCTION("""COMPUTED_VALUE"""),5.0)</f>
        <v>5</v>
      </c>
      <c r="J1607" s="18">
        <f>IFERROR(__xludf.DUMMYFUNCTION("""COMPUTED_VALUE"""),5.0)</f>
        <v>5</v>
      </c>
      <c r="K1607" s="18">
        <f>IFERROR(__xludf.DUMMYFUNCTION("""COMPUTED_VALUE"""),5.0)</f>
        <v>5</v>
      </c>
      <c r="L1607" s="17">
        <f>IFERROR(__xludf.DUMMYFUNCTION("""COMPUTED_VALUE"""),3.054269156E9)</f>
        <v>3054269156</v>
      </c>
      <c r="M1607" s="17" t="str">
        <f>IFERROR(__xludf.DUMMYFUNCTION("""COMPUTED_VALUE"""),"#REF!")</f>
        <v>#REF!</v>
      </c>
      <c r="N1607" s="17"/>
      <c r="O1607" s="17"/>
      <c r="P1607" s="17" t="b">
        <f>IFERROR(__xludf.DUMMYFUNCTION("""COMPUTED_VALUE"""),FALSE)</f>
        <v>0</v>
      </c>
      <c r="Q1607" s="20" t="str">
        <f>IFERROR(__xludf.DUMMYFUNCTION("""COMPUTED_VALUE"""),"")</f>
        <v/>
      </c>
      <c r="R1607" s="22" t="str">
        <f>IFERROR(__xludf.DUMMYFUNCTION("""COMPUTED_VALUE"""),"")</f>
        <v/>
      </c>
    </row>
    <row r="1608">
      <c r="A1608" s="17" t="str">
        <f>IFERROR(__xludf.DUMMYFUNCTION("""COMPUTED_VALUE"""),"")</f>
        <v/>
      </c>
      <c r="B1608" s="17" t="str">
        <f>IFERROR(__xludf.DUMMYFUNCTION("""COMPUTED_VALUE"""),"")</f>
        <v/>
      </c>
      <c r="C1608" s="17" t="str">
        <f>IFERROR(__xludf.DUMMYFUNCTION("""COMPUTED_VALUE"""),"")</f>
        <v/>
      </c>
      <c r="D1608" s="17" t="str">
        <f>IFERROR(__xludf.DUMMYFUNCTION("""COMPUTED_VALUE"""),"")</f>
        <v/>
      </c>
      <c r="E1608" s="17" t="str">
        <f>IFERROR(__xludf.DUMMYFUNCTION("""COMPUTED_VALUE"""),"")</f>
        <v/>
      </c>
      <c r="F1608" s="17" t="str">
        <f>IFERROR(__xludf.DUMMYFUNCTION("""COMPUTED_VALUE"""),"")</f>
        <v/>
      </c>
      <c r="G1608" s="17" t="str">
        <f>IFERROR(__xludf.DUMMYFUNCTION("""COMPUTED_VALUE"""),"")</f>
        <v/>
      </c>
      <c r="H1608" s="17" t="str">
        <f>IFERROR(__xludf.DUMMYFUNCTION("""COMPUTED_VALUE"""),"")</f>
        <v/>
      </c>
      <c r="I1608" s="17" t="str">
        <f>IFERROR(__xludf.DUMMYFUNCTION("""COMPUTED_VALUE"""),"")</f>
        <v/>
      </c>
      <c r="J1608" s="17" t="str">
        <f>IFERROR(__xludf.DUMMYFUNCTION("""COMPUTED_VALUE"""),"")</f>
        <v/>
      </c>
      <c r="K1608" s="17" t="str">
        <f>IFERROR(__xludf.DUMMYFUNCTION("""COMPUTED_VALUE"""),"")</f>
        <v/>
      </c>
      <c r="L1608" s="17" t="str">
        <f>IFERROR(__xludf.DUMMYFUNCTION("""COMPUTED_VALUE"""),"")</f>
        <v/>
      </c>
      <c r="M1608" s="17" t="str">
        <f>IFERROR(__xludf.DUMMYFUNCTION("""COMPUTED_VALUE"""),"")</f>
        <v/>
      </c>
      <c r="N1608" s="17" t="str">
        <f>IFERROR(__xludf.DUMMYFUNCTION("""COMPUTED_VALUE"""),"")</f>
        <v/>
      </c>
      <c r="O1608" s="17" t="str">
        <f>IFERROR(__xludf.DUMMYFUNCTION("""COMPUTED_VALUE"""),"")</f>
        <v/>
      </c>
      <c r="P1608" s="17" t="str">
        <f>IFERROR(__xludf.DUMMYFUNCTION("""COMPUTED_VALUE"""),"")</f>
        <v/>
      </c>
      <c r="Q1608" s="17" t="str">
        <f>IFERROR(__xludf.DUMMYFUNCTION("""COMPUTED_VALUE"""),"")</f>
        <v/>
      </c>
      <c r="R1608" s="17" t="str">
        <f>IFERROR(__xludf.DUMMYFUNCTION("""COMPUTED_VALUE"""),"")</f>
        <v/>
      </c>
    </row>
    <row r="1609">
      <c r="A1609" s="15">
        <f>IFERROR(__xludf.DUMMYFUNCTION("""COMPUTED_VALUE"""),45044.0)</f>
        <v>45044</v>
      </c>
      <c r="B1609" s="16" t="str">
        <f>IFERROR(__xludf.DUMMYFUNCTION("""COMPUTED_VALUE"""),"Oscar Augusto Meneses Osias")</f>
        <v>Oscar Augusto Meneses Osias</v>
      </c>
      <c r="C1609" s="15" t="str">
        <f>IFERROR(__xludf.DUMMYFUNCTION("""COMPUTED_VALUE"""),"MEDELLÍN")</f>
        <v>MEDELLÍN</v>
      </c>
      <c r="D1609" s="15" t="str">
        <f>IFERROR(__xludf.DUMMYFUNCTION("""COMPUTED_VALUE"""),"BOGOTÁ")</f>
        <v>BOGOTÁ</v>
      </c>
      <c r="E1609" s="15" t="str">
        <f>IFERROR(__xludf.DUMMYFUNCTION("""COMPUTED_VALUE"""),"50 Gr Alfajores")</f>
        <v>50 Gr Alfajores</v>
      </c>
      <c r="F1609" s="17" t="str">
        <f>IFERROR(__xludf.DUMMYFUNCTION("""COMPUTED_VALUE"""),"Calle 7 # 83-31 / Siempre Verde / A1917 / torre 5 / Medellín")</f>
        <v>Calle 7 # 83-31 / Siempre Verde / A1917 / torre 5 / Medellín</v>
      </c>
      <c r="G1609" s="15" t="str">
        <f>IFERROR(__xludf.DUMMYFUNCTION("""COMPUTED_VALUE"""),"Santiago Arango")</f>
        <v>Santiago Arango</v>
      </c>
      <c r="H1609" s="16">
        <f>IFERROR(__xludf.DUMMYFUNCTION("""COMPUTED_VALUE"""),10179.0)</f>
        <v>10179</v>
      </c>
      <c r="I1609" s="18">
        <f>IFERROR(__xludf.DUMMYFUNCTION("""COMPUTED_VALUE"""),5.0)</f>
        <v>5</v>
      </c>
      <c r="J1609" s="18">
        <f>IFERROR(__xludf.DUMMYFUNCTION("""COMPUTED_VALUE"""),19.0)</f>
        <v>19</v>
      </c>
      <c r="K1609" s="18">
        <f>IFERROR(__xludf.DUMMYFUNCTION("""COMPUTED_VALUE"""),19.0)</f>
        <v>19</v>
      </c>
      <c r="L1609" s="17">
        <f>IFERROR(__xludf.DUMMYFUNCTION("""COMPUTED_VALUE"""),3.137434886E9)</f>
        <v>3137434886</v>
      </c>
      <c r="M1609" s="17" t="str">
        <f>IFERROR(__xludf.DUMMYFUNCTION("""COMPUTED_VALUE"""),"#REF!")</f>
        <v>#REF!</v>
      </c>
      <c r="N1609" s="17"/>
      <c r="O1609" s="17"/>
      <c r="P1609" s="17" t="b">
        <f>IFERROR(__xludf.DUMMYFUNCTION("""COMPUTED_VALUE"""),FALSE)</f>
        <v>0</v>
      </c>
      <c r="Q1609" s="20" t="str">
        <f>IFERROR(__xludf.DUMMYFUNCTION("""COMPUTED_VALUE"""),"")</f>
        <v/>
      </c>
      <c r="R1609" s="22" t="str">
        <f>IFERROR(__xludf.DUMMYFUNCTION("""COMPUTED_VALUE"""),"")</f>
        <v/>
      </c>
    </row>
    <row r="1610">
      <c r="A1610" s="15">
        <f>IFERROR(__xludf.DUMMYFUNCTION("""COMPUTED_VALUE"""),45044.0)</f>
        <v>45044</v>
      </c>
      <c r="B1610" s="16" t="str">
        <f>IFERROR(__xludf.DUMMYFUNCTION("""COMPUTED_VALUE"""),"Oscar Augusto Meneses Osias")</f>
        <v>Oscar Augusto Meneses Osias</v>
      </c>
      <c r="C1610" s="15" t="str">
        <f>IFERROR(__xludf.DUMMYFUNCTION("""COMPUTED_VALUE"""),"MEDELLÍN")</f>
        <v>MEDELLÍN</v>
      </c>
      <c r="D1610" s="15" t="str">
        <f>IFERROR(__xludf.DUMMYFUNCTION("""COMPUTED_VALUE"""),"BOGOTÁ")</f>
        <v>BOGOTÁ</v>
      </c>
      <c r="E1610" s="15" t="str">
        <f>IFERROR(__xludf.DUMMYFUNCTION("""COMPUTED_VALUE"""),"MAI ALIMENTOS S.A.S")</f>
        <v>MAI ALIMENTOS S.A.S</v>
      </c>
      <c r="F1610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1610" s="15" t="str">
        <f>IFERROR(__xludf.DUMMYFUNCTION("""COMPUTED_VALUE"""),"Novaventas - Medellin")</f>
        <v>Novaventas - Medellin</v>
      </c>
      <c r="H1610" s="16">
        <f>IFERROR(__xludf.DUMMYFUNCTION("""COMPUTED_VALUE"""),10109.0)</f>
        <v>10109</v>
      </c>
      <c r="I1610" s="18">
        <f>IFERROR(__xludf.DUMMYFUNCTION("""COMPUTED_VALUE"""),35.0)</f>
        <v>35</v>
      </c>
      <c r="J1610" s="18">
        <f>IFERROR(__xludf.DUMMYFUNCTION("""COMPUTED_VALUE"""),17.0)</f>
        <v>17</v>
      </c>
      <c r="K1610" s="18">
        <f>IFERROR(__xludf.DUMMYFUNCTION("""COMPUTED_VALUE"""),13.0)</f>
        <v>13</v>
      </c>
      <c r="L1610" s="17">
        <f>IFERROR(__xludf.DUMMYFUNCTION("""COMPUTED_VALUE"""),3.187351593E9)</f>
        <v>3187351593</v>
      </c>
      <c r="M1610" s="17" t="str">
        <f>IFERROR(__xludf.DUMMYFUNCTION("""COMPUTED_VALUE"""),"#REF!")</f>
        <v>#REF!</v>
      </c>
      <c r="N1610" s="17"/>
      <c r="O1610" s="17"/>
      <c r="P1610" s="17" t="b">
        <f>IFERROR(__xludf.DUMMYFUNCTION("""COMPUTED_VALUE"""),FALSE)</f>
        <v>0</v>
      </c>
      <c r="Q1610" s="20" t="str">
        <f>IFERROR(__xludf.DUMMYFUNCTION("""COMPUTED_VALUE"""),"")</f>
        <v/>
      </c>
      <c r="R1610" s="22" t="str">
        <f>IFERROR(__xludf.DUMMYFUNCTION("""COMPUTED_VALUE"""),"")</f>
        <v/>
      </c>
    </row>
    <row r="1611">
      <c r="A1611" s="17" t="str">
        <f>IFERROR(__xludf.DUMMYFUNCTION("""COMPUTED_VALUE"""),"")</f>
        <v/>
      </c>
      <c r="B1611" s="17" t="str">
        <f>IFERROR(__xludf.DUMMYFUNCTION("""COMPUTED_VALUE"""),"")</f>
        <v/>
      </c>
      <c r="C1611" s="17" t="str">
        <f>IFERROR(__xludf.DUMMYFUNCTION("""COMPUTED_VALUE"""),"")</f>
        <v/>
      </c>
      <c r="D1611" s="17" t="str">
        <f>IFERROR(__xludf.DUMMYFUNCTION("""COMPUTED_VALUE"""),"")</f>
        <v/>
      </c>
      <c r="E1611" s="17" t="str">
        <f>IFERROR(__xludf.DUMMYFUNCTION("""COMPUTED_VALUE"""),"")</f>
        <v/>
      </c>
      <c r="F1611" s="17" t="str">
        <f>IFERROR(__xludf.DUMMYFUNCTION("""COMPUTED_VALUE"""),"")</f>
        <v/>
      </c>
      <c r="G1611" s="17" t="str">
        <f>IFERROR(__xludf.DUMMYFUNCTION("""COMPUTED_VALUE"""),"")</f>
        <v/>
      </c>
      <c r="H1611" s="17" t="str">
        <f>IFERROR(__xludf.DUMMYFUNCTION("""COMPUTED_VALUE"""),"")</f>
        <v/>
      </c>
      <c r="I1611" s="17" t="str">
        <f>IFERROR(__xludf.DUMMYFUNCTION("""COMPUTED_VALUE"""),"")</f>
        <v/>
      </c>
      <c r="J1611" s="17" t="str">
        <f>IFERROR(__xludf.DUMMYFUNCTION("""COMPUTED_VALUE"""),"")</f>
        <v/>
      </c>
      <c r="K1611" s="17" t="str">
        <f>IFERROR(__xludf.DUMMYFUNCTION("""COMPUTED_VALUE"""),"")</f>
        <v/>
      </c>
      <c r="L1611" s="17" t="str">
        <f>IFERROR(__xludf.DUMMYFUNCTION("""COMPUTED_VALUE"""),"")</f>
        <v/>
      </c>
      <c r="M1611" s="17" t="str">
        <f>IFERROR(__xludf.DUMMYFUNCTION("""COMPUTED_VALUE"""),"")</f>
        <v/>
      </c>
      <c r="N1611" s="17" t="str">
        <f>IFERROR(__xludf.DUMMYFUNCTION("""COMPUTED_VALUE"""),"")</f>
        <v/>
      </c>
      <c r="O1611" s="17" t="str">
        <f>IFERROR(__xludf.DUMMYFUNCTION("""COMPUTED_VALUE"""),"")</f>
        <v/>
      </c>
      <c r="P1611" s="17" t="str">
        <f>IFERROR(__xludf.DUMMYFUNCTION("""COMPUTED_VALUE"""),"")</f>
        <v/>
      </c>
      <c r="Q1611" s="17" t="str">
        <f>IFERROR(__xludf.DUMMYFUNCTION("""COMPUTED_VALUE"""),"")</f>
        <v/>
      </c>
      <c r="R1611" s="17" t="str">
        <f>IFERROR(__xludf.DUMMYFUNCTION("""COMPUTED_VALUE"""),"")</f>
        <v/>
      </c>
    </row>
    <row r="1612">
      <c r="A1612" s="15">
        <f>IFERROR(__xludf.DUMMYFUNCTION("""COMPUTED_VALUE"""),45049.0)</f>
        <v>45049</v>
      </c>
      <c r="B1612" s="17"/>
      <c r="C1612" s="15" t="str">
        <f>IFERROR(__xludf.DUMMYFUNCTION("""COMPUTED_VALUE"""),"MEDELLÍN")</f>
        <v>MEDELLÍN</v>
      </c>
      <c r="D1612" s="15" t="str">
        <f>IFERROR(__xludf.DUMMYFUNCTION("""COMPUTED_VALUE"""),"BOGOTÁ")</f>
        <v>BOGOTÁ</v>
      </c>
      <c r="E1612" s="15" t="str">
        <f>IFERROR(__xludf.DUMMYFUNCTION("""COMPUTED_VALUE"""),"Pan de Waffle")</f>
        <v>Pan de Waffle</v>
      </c>
      <c r="F1612" s="17" t="str">
        <f>IFERROR(__xludf.DUMMYFUNCTION("""COMPUTED_VALUE"""),"Carrera 43G # 19 - 142 Edif. La Riviere Apto 1020 Ciudad del Rio - Medellin / Carrera 43G # 19 - 142 Edif. La Riviere Apto 1020 Ciudad del Rio - Medellin / Carrera 43G # 19 - 142 Edif. La Riviere Apto 1020 Ciudad del Rio - Medellin")</f>
        <v>Carrera 43G # 19 - 142 Edif. La Riviere Apto 1020 Ciudad del Rio - Medellin / Carrera 43G # 19 - 142 Edif. La Riviere Apto 1020 Ciudad del Rio - Medellin / Carrera 43G # 19 - 142 Edif. La Riviere Apto 1020 Ciudad del Rio - Medellin</v>
      </c>
      <c r="G1612" s="15" t="str">
        <f>IFERROR(__xludf.DUMMYFUNCTION("""COMPUTED_VALUE"""),"KATHRIN ABDALA")</f>
        <v>KATHRIN ABDALA</v>
      </c>
      <c r="H1612" s="16">
        <f>IFERROR(__xludf.DUMMYFUNCTION("""COMPUTED_VALUE"""),10294.0)</f>
        <v>10294</v>
      </c>
      <c r="I1612" s="18">
        <f>IFERROR(__xludf.DUMMYFUNCTION("""COMPUTED_VALUE"""),40.0)</f>
        <v>40</v>
      </c>
      <c r="J1612" s="18">
        <f>IFERROR(__xludf.DUMMYFUNCTION("""COMPUTED_VALUE"""),20.0)</f>
        <v>20</v>
      </c>
      <c r="K1612" s="18">
        <f>IFERROR(__xludf.DUMMYFUNCTION("""COMPUTED_VALUE"""),40.0)</f>
        <v>40</v>
      </c>
      <c r="L1612" s="17">
        <f>IFERROR(__xludf.DUMMYFUNCTION("""COMPUTED_VALUE"""),3.106142841E9)</f>
        <v>3106142841</v>
      </c>
      <c r="M1612" s="17" t="str">
        <f>IFERROR(__xludf.DUMMYFUNCTION("""COMPUTED_VALUE"""),"#REF!")</f>
        <v>#REF!</v>
      </c>
      <c r="N1612" s="17"/>
      <c r="O1612" s="19">
        <f>IFERROR(__xludf.DUMMYFUNCTION("""COMPUTED_VALUE"""),6000.0)</f>
        <v>6000</v>
      </c>
      <c r="P1612" s="17" t="b">
        <f>IFERROR(__xludf.DUMMYFUNCTION("""COMPUTED_VALUE"""),FALSE)</f>
        <v>0</v>
      </c>
      <c r="Q1612" s="20" t="str">
        <f>IFERROR(__xludf.DUMMYFUNCTION("""COMPUTED_VALUE"""),"")</f>
        <v/>
      </c>
      <c r="R1612" s="22" t="str">
        <f>IFERROR(__xludf.DUMMYFUNCTION("""COMPUTED_VALUE"""),"")</f>
        <v/>
      </c>
    </row>
    <row r="1613">
      <c r="A1613" s="17" t="str">
        <f>IFERROR(__xludf.DUMMYFUNCTION("""COMPUTED_VALUE"""),"")</f>
        <v/>
      </c>
      <c r="B1613" s="17" t="str">
        <f>IFERROR(__xludf.DUMMYFUNCTION("""COMPUTED_VALUE"""),"")</f>
        <v/>
      </c>
      <c r="C1613" s="17" t="str">
        <f>IFERROR(__xludf.DUMMYFUNCTION("""COMPUTED_VALUE"""),"")</f>
        <v/>
      </c>
      <c r="D1613" s="17" t="str">
        <f>IFERROR(__xludf.DUMMYFUNCTION("""COMPUTED_VALUE"""),"")</f>
        <v/>
      </c>
      <c r="E1613" s="17" t="str">
        <f>IFERROR(__xludf.DUMMYFUNCTION("""COMPUTED_VALUE"""),"")</f>
        <v/>
      </c>
      <c r="F1613" s="17" t="str">
        <f>IFERROR(__xludf.DUMMYFUNCTION("""COMPUTED_VALUE"""),"")</f>
        <v/>
      </c>
      <c r="G1613" s="17" t="str">
        <f>IFERROR(__xludf.DUMMYFUNCTION("""COMPUTED_VALUE"""),"")</f>
        <v/>
      </c>
      <c r="H1613" s="17" t="str">
        <f>IFERROR(__xludf.DUMMYFUNCTION("""COMPUTED_VALUE"""),"")</f>
        <v/>
      </c>
      <c r="I1613" s="17" t="str">
        <f>IFERROR(__xludf.DUMMYFUNCTION("""COMPUTED_VALUE"""),"")</f>
        <v/>
      </c>
      <c r="J1613" s="17" t="str">
        <f>IFERROR(__xludf.DUMMYFUNCTION("""COMPUTED_VALUE"""),"")</f>
        <v/>
      </c>
      <c r="K1613" s="17" t="str">
        <f>IFERROR(__xludf.DUMMYFUNCTION("""COMPUTED_VALUE"""),"")</f>
        <v/>
      </c>
      <c r="L1613" s="17" t="str">
        <f>IFERROR(__xludf.DUMMYFUNCTION("""COMPUTED_VALUE"""),"")</f>
        <v/>
      </c>
      <c r="M1613" s="17" t="str">
        <f>IFERROR(__xludf.DUMMYFUNCTION("""COMPUTED_VALUE"""),"")</f>
        <v/>
      </c>
      <c r="N1613" s="17" t="str">
        <f>IFERROR(__xludf.DUMMYFUNCTION("""COMPUTED_VALUE"""),"")</f>
        <v/>
      </c>
      <c r="O1613" s="17" t="str">
        <f>IFERROR(__xludf.DUMMYFUNCTION("""COMPUTED_VALUE"""),"")</f>
        <v/>
      </c>
      <c r="P1613" s="17" t="str">
        <f>IFERROR(__xludf.DUMMYFUNCTION("""COMPUTED_VALUE"""),"")</f>
        <v/>
      </c>
      <c r="Q1613" s="17" t="str">
        <f>IFERROR(__xludf.DUMMYFUNCTION("""COMPUTED_VALUE"""),"")</f>
        <v/>
      </c>
      <c r="R1613" s="17" t="str">
        <f>IFERROR(__xludf.DUMMYFUNCTION("""COMPUTED_VALUE"""),"")</f>
        <v/>
      </c>
    </row>
    <row r="1614">
      <c r="A1614" s="15">
        <f>IFERROR(__xludf.DUMMYFUNCTION("""COMPUTED_VALUE"""),45049.0)</f>
        <v>45049</v>
      </c>
      <c r="B1614" s="16" t="str">
        <f>IFERROR(__xludf.DUMMYFUNCTION("""COMPUTED_VALUE"""),"Deivi Alejandro Quintero Corrales")</f>
        <v>Deivi Alejandro Quintero Corrales</v>
      </c>
      <c r="C1614" s="15" t="str">
        <f>IFERROR(__xludf.DUMMYFUNCTION("""COMPUTED_VALUE"""),"PEREIRA")</f>
        <v>PEREIRA</v>
      </c>
      <c r="D1614" s="15" t="str">
        <f>IFERROR(__xludf.DUMMYFUNCTION("""COMPUTED_VALUE"""),"BOGOTÁ")</f>
        <v>BOGOTÁ</v>
      </c>
      <c r="E1614" s="15" t="str">
        <f>IFERROR(__xludf.DUMMYFUNCTION("""COMPUTED_VALUE"""),"Evamazzita")</f>
        <v>Evamazzita</v>
      </c>
      <c r="F1614" s="17" t="str">
        <f>IFERROR(__xludf.DUMMYFUNCTION("""COMPUTED_VALUE"""),"CALLE 153 # 23 - 41  / SOL DE GALICIA MZ 1 CASA 9 / GALICIA")</f>
        <v>CALLE 153 # 23 - 41  / SOL DE GALICIA MZ 1 CASA 9 / GALICIA</v>
      </c>
      <c r="G1614" s="15" t="str">
        <f>IFERROR(__xludf.DUMMYFUNCTION("""COMPUTED_VALUE"""),"PAULA FORERO")</f>
        <v>PAULA FORERO</v>
      </c>
      <c r="H1614" s="16">
        <f>IFERROR(__xludf.DUMMYFUNCTION("""COMPUTED_VALUE"""),10267.0)</f>
        <v>10267</v>
      </c>
      <c r="I1614" s="18">
        <f>IFERROR(__xludf.DUMMYFUNCTION("""COMPUTED_VALUE"""),20.0)</f>
        <v>20</v>
      </c>
      <c r="J1614" s="18">
        <f>IFERROR(__xludf.DUMMYFUNCTION("""COMPUTED_VALUE"""),24.0)</f>
        <v>24</v>
      </c>
      <c r="K1614" s="18">
        <f>IFERROR(__xludf.DUMMYFUNCTION("""COMPUTED_VALUE"""),22.0)</f>
        <v>22</v>
      </c>
      <c r="L1614" s="17">
        <f>IFERROR(__xludf.DUMMYFUNCTION("""COMPUTED_VALUE"""),3.115760231E9)</f>
        <v>3115760231</v>
      </c>
      <c r="M1614" s="17" t="str">
        <f>IFERROR(__xludf.DUMMYFUNCTION("""COMPUTED_VALUE"""),"#REF!")</f>
        <v>#REF!</v>
      </c>
      <c r="N1614" s="17"/>
      <c r="O1614" s="19">
        <f>IFERROR(__xludf.DUMMYFUNCTION("""COMPUTED_VALUE"""),6000.0)</f>
        <v>6000</v>
      </c>
      <c r="P1614" s="17" t="b">
        <f>IFERROR(__xludf.DUMMYFUNCTION("""COMPUTED_VALUE"""),FALSE)</f>
        <v>0</v>
      </c>
      <c r="Q1614" s="20" t="str">
        <f>IFERROR(__xludf.DUMMYFUNCTION("""COMPUTED_VALUE"""),"")</f>
        <v/>
      </c>
      <c r="R1614" s="22" t="str">
        <f>IFERROR(__xludf.DUMMYFUNCTION("""COMPUTED_VALUE"""),"")</f>
        <v/>
      </c>
    </row>
    <row r="1615">
      <c r="A1615" s="15">
        <f>IFERROR(__xludf.DUMMYFUNCTION("""COMPUTED_VALUE"""),45049.0)</f>
        <v>45049</v>
      </c>
      <c r="B1615" s="16" t="str">
        <f>IFERROR(__xludf.DUMMYFUNCTION("""COMPUTED_VALUE"""),"Deivi Alejandro Quintero Corrales")</f>
        <v>Deivi Alejandro Quintero Corrales</v>
      </c>
      <c r="C1615" s="15" t="str">
        <f>IFERROR(__xludf.DUMMYFUNCTION("""COMPUTED_VALUE"""),"PEREIRA")</f>
        <v>PEREIRA</v>
      </c>
      <c r="D1615" s="15" t="str">
        <f>IFERROR(__xludf.DUMMYFUNCTION("""COMPUTED_VALUE"""),"BOGOTÁ")</f>
        <v>BOGOTÁ</v>
      </c>
      <c r="E1615" s="15" t="str">
        <f>IFERROR(__xludf.DUMMYFUNCTION("""COMPUTED_VALUE"""),"Ins. Alimento Vital")</f>
        <v>Ins. Alimento Vital</v>
      </c>
      <c r="F1615" s="17" t="str">
        <f>IFERROR(__xludf.DUMMYFUNCTION("""COMPUTED_VALUE"""),"CR 5 18 43 / EDIFICIO CHALJUB / BARRIO URIBE")</f>
        <v>CR 5 18 43 / EDIFICIO CHALJUB / BARRIO URIBE</v>
      </c>
      <c r="G1615" s="15" t="str">
        <f>IFERROR(__xludf.DUMMYFUNCTION("""COMPUTED_VALUE"""),"CHALJUB")</f>
        <v>CHALJUB</v>
      </c>
      <c r="H1615" s="16">
        <f>IFERROR(__xludf.DUMMYFUNCTION("""COMPUTED_VALUE"""),10258.0)</f>
        <v>10258</v>
      </c>
      <c r="I1615" s="18">
        <f>IFERROR(__xludf.DUMMYFUNCTION("""COMPUTED_VALUE"""),1.0)</f>
        <v>1</v>
      </c>
      <c r="J1615" s="18">
        <f>IFERROR(__xludf.DUMMYFUNCTION("""COMPUTED_VALUE"""),1.0)</f>
        <v>1</v>
      </c>
      <c r="K1615" s="18">
        <f>IFERROR(__xludf.DUMMYFUNCTION("""COMPUTED_VALUE"""),1.0)</f>
        <v>1</v>
      </c>
      <c r="L1615" s="17">
        <f>IFERROR(__xludf.DUMMYFUNCTION("""COMPUTED_VALUE"""),3.008252529E9)</f>
        <v>3008252529</v>
      </c>
      <c r="M1615" s="17" t="str">
        <f>IFERROR(__xludf.DUMMYFUNCTION("""COMPUTED_VALUE"""),"#REF!")</f>
        <v>#REF!</v>
      </c>
      <c r="N1615" s="17"/>
      <c r="O1615" s="17"/>
      <c r="P1615" s="17" t="b">
        <f>IFERROR(__xludf.DUMMYFUNCTION("""COMPUTED_VALUE"""),FALSE)</f>
        <v>0</v>
      </c>
      <c r="Q1615" s="20" t="str">
        <f>IFERROR(__xludf.DUMMYFUNCTION("""COMPUTED_VALUE"""),"")</f>
        <v/>
      </c>
      <c r="R1615" s="22" t="str">
        <f>IFERROR(__xludf.DUMMYFUNCTION("""COMPUTED_VALUE"""),"")</f>
        <v/>
      </c>
    </row>
    <row r="1616">
      <c r="A1616" s="15">
        <f>IFERROR(__xludf.DUMMYFUNCTION("""COMPUTED_VALUE"""),45049.0)</f>
        <v>45049</v>
      </c>
      <c r="B1616" s="16" t="str">
        <f>IFERROR(__xludf.DUMMYFUNCTION("""COMPUTED_VALUE"""),"Deivi Alejandro Quintero Corrales")</f>
        <v>Deivi Alejandro Quintero Corrales</v>
      </c>
      <c r="C1616" s="15" t="str">
        <f>IFERROR(__xludf.DUMMYFUNCTION("""COMPUTED_VALUE"""),"PEREIRA")</f>
        <v>PEREIRA</v>
      </c>
      <c r="D1616" s="15" t="str">
        <f>IFERROR(__xludf.DUMMYFUNCTION("""COMPUTED_VALUE"""),"BOGOTÁ")</f>
        <v>BOGOTÁ</v>
      </c>
      <c r="E1616" s="15" t="str">
        <f>IFERROR(__xludf.DUMMYFUNCTION("""COMPUTED_VALUE"""),"Pan de Waffle")</f>
        <v>Pan de Waffle</v>
      </c>
      <c r="F1616" s="17" t="str">
        <f>IFERROR(__xludf.DUMMYFUNCTION("""COMPUTED_VALUE"""),"Calle 14 # 13 73 Esquina Sector Invicto / Calle 14 # 13 73 Esquina Sector Invicto / Calle 14 # 13 73 Esquina Sector Invicto")</f>
        <v>Calle 14 # 13 73 Esquina Sector Invicto / Calle 14 # 13 73 Esquina Sector Invicto / Calle 14 # 13 73 Esquina Sector Invicto</v>
      </c>
      <c r="G1616" s="15" t="str">
        <f>IFERROR(__xludf.DUMMYFUNCTION("""COMPUTED_VALUE"""),"MERCAFIT")</f>
        <v>MERCAFIT</v>
      </c>
      <c r="H1616" s="16">
        <f>IFERROR(__xludf.DUMMYFUNCTION("""COMPUTED_VALUE"""),10291.0)</f>
        <v>10291</v>
      </c>
      <c r="I1616" s="18">
        <f>IFERROR(__xludf.DUMMYFUNCTION("""COMPUTED_VALUE"""),40.0)</f>
        <v>40</v>
      </c>
      <c r="J1616" s="18">
        <f>IFERROR(__xludf.DUMMYFUNCTION("""COMPUTED_VALUE"""),30.0)</f>
        <v>30</v>
      </c>
      <c r="K1616" s="18">
        <f>IFERROR(__xludf.DUMMYFUNCTION("""COMPUTED_VALUE"""),20.0)</f>
        <v>20</v>
      </c>
      <c r="L1616" s="17">
        <f>IFERROR(__xludf.DUMMYFUNCTION("""COMPUTED_VALUE"""),3.004648126E9)</f>
        <v>3004648126</v>
      </c>
      <c r="M1616" s="17" t="str">
        <f>IFERROR(__xludf.DUMMYFUNCTION("""COMPUTED_VALUE"""),"#REF!")</f>
        <v>#REF!</v>
      </c>
      <c r="N1616" s="17"/>
      <c r="O1616" s="19">
        <f>IFERROR(__xludf.DUMMYFUNCTION("""COMPUTED_VALUE"""),7000.0)</f>
        <v>7000</v>
      </c>
      <c r="P1616" s="17" t="b">
        <f>IFERROR(__xludf.DUMMYFUNCTION("""COMPUTED_VALUE"""),FALSE)</f>
        <v>0</v>
      </c>
      <c r="Q1616" s="20" t="str">
        <f>IFERROR(__xludf.DUMMYFUNCTION("""COMPUTED_VALUE"""),"")</f>
        <v/>
      </c>
      <c r="R1616" s="22" t="str">
        <f>IFERROR(__xludf.DUMMYFUNCTION("""COMPUTED_VALUE"""),"")</f>
        <v/>
      </c>
    </row>
    <row r="1617">
      <c r="A1617" s="17" t="str">
        <f>IFERROR(__xludf.DUMMYFUNCTION("""COMPUTED_VALUE"""),"")</f>
        <v/>
      </c>
      <c r="B1617" s="17" t="str">
        <f>IFERROR(__xludf.DUMMYFUNCTION("""COMPUTED_VALUE"""),"")</f>
        <v/>
      </c>
      <c r="C1617" s="17" t="str">
        <f>IFERROR(__xludf.DUMMYFUNCTION("""COMPUTED_VALUE"""),"")</f>
        <v/>
      </c>
      <c r="D1617" s="17" t="str">
        <f>IFERROR(__xludf.DUMMYFUNCTION("""COMPUTED_VALUE"""),"")</f>
        <v/>
      </c>
      <c r="E1617" s="17" t="str">
        <f>IFERROR(__xludf.DUMMYFUNCTION("""COMPUTED_VALUE"""),"")</f>
        <v/>
      </c>
      <c r="F1617" s="17" t="str">
        <f>IFERROR(__xludf.DUMMYFUNCTION("""COMPUTED_VALUE"""),"")</f>
        <v/>
      </c>
      <c r="G1617" s="17" t="str">
        <f>IFERROR(__xludf.DUMMYFUNCTION("""COMPUTED_VALUE"""),"")</f>
        <v/>
      </c>
      <c r="H1617" s="17" t="str">
        <f>IFERROR(__xludf.DUMMYFUNCTION("""COMPUTED_VALUE"""),"")</f>
        <v/>
      </c>
      <c r="I1617" s="17" t="str">
        <f>IFERROR(__xludf.DUMMYFUNCTION("""COMPUTED_VALUE"""),"")</f>
        <v/>
      </c>
      <c r="J1617" s="17" t="str">
        <f>IFERROR(__xludf.DUMMYFUNCTION("""COMPUTED_VALUE"""),"")</f>
        <v/>
      </c>
      <c r="K1617" s="17" t="str">
        <f>IFERROR(__xludf.DUMMYFUNCTION("""COMPUTED_VALUE"""),"")</f>
        <v/>
      </c>
      <c r="L1617" s="17" t="str">
        <f>IFERROR(__xludf.DUMMYFUNCTION("""COMPUTED_VALUE"""),"")</f>
        <v/>
      </c>
      <c r="M1617" s="17" t="str">
        <f>IFERROR(__xludf.DUMMYFUNCTION("""COMPUTED_VALUE"""),"")</f>
        <v/>
      </c>
      <c r="N1617" s="17" t="str">
        <f>IFERROR(__xludf.DUMMYFUNCTION("""COMPUTED_VALUE"""),"")</f>
        <v/>
      </c>
      <c r="O1617" s="17" t="str">
        <f>IFERROR(__xludf.DUMMYFUNCTION("""COMPUTED_VALUE"""),"")</f>
        <v/>
      </c>
      <c r="P1617" s="17" t="str">
        <f>IFERROR(__xludf.DUMMYFUNCTION("""COMPUTED_VALUE"""),"")</f>
        <v/>
      </c>
      <c r="Q1617" s="17" t="str">
        <f>IFERROR(__xludf.DUMMYFUNCTION("""COMPUTED_VALUE"""),"")</f>
        <v/>
      </c>
      <c r="R1617" s="17" t="str">
        <f>IFERROR(__xludf.DUMMYFUNCTION("""COMPUTED_VALUE"""),"")</f>
        <v/>
      </c>
    </row>
    <row r="1618">
      <c r="A1618" s="15">
        <f>IFERROR(__xludf.DUMMYFUNCTION("""COMPUTED_VALUE"""),45049.0)</f>
        <v>45049</v>
      </c>
      <c r="B1618" s="16" t="str">
        <f>IFERROR(__xludf.DUMMYFUNCTION("""COMPUTED_VALUE"""),"Duvan Gabriel Alvarez Giron")</f>
        <v>Duvan Gabriel Alvarez Giron</v>
      </c>
      <c r="C1618" s="15" t="str">
        <f>IFERROR(__xludf.DUMMYFUNCTION("""COMPUTED_VALUE"""),"IBAGUÉ")</f>
        <v>IBAGUÉ</v>
      </c>
      <c r="D1618" s="15" t="str">
        <f>IFERROR(__xludf.DUMMYFUNCTION("""COMPUTED_VALUE"""),"BOGOTÁ")</f>
        <v>BOGOTÁ</v>
      </c>
      <c r="E1618" s="15" t="str">
        <f>IFERROR(__xludf.DUMMYFUNCTION("""COMPUTED_VALUE"""),"Asociacion Agropecuaria Juana Maria")</f>
        <v>Asociacion Agropecuaria Juana Maria</v>
      </c>
      <c r="F1618" s="17" t="str">
        <f>IFERROR(__xludf.DUMMYFUNCTION("""COMPUTED_VALUE"""),"Calle 93 # 7 Sur-90 torre 8 apto 102 Conjunto Residencial Altagracia")</f>
        <v>Calle 93 # 7 Sur-90 torre 8 apto 102 Conjunto Residencial Altagracia</v>
      </c>
      <c r="G1618" s="15" t="str">
        <f>IFERROR(__xludf.DUMMYFUNCTION("""COMPUTED_VALUE"""),"Mariam Yasmin Murillo Rubio")</f>
        <v>Mariam Yasmin Murillo Rubio</v>
      </c>
      <c r="H1618" s="16">
        <f>IFERROR(__xludf.DUMMYFUNCTION("""COMPUTED_VALUE"""),10234.0)</f>
        <v>10234</v>
      </c>
      <c r="I1618" s="18">
        <f>IFERROR(__xludf.DUMMYFUNCTION("""COMPUTED_VALUE"""),21.0)</f>
        <v>21</v>
      </c>
      <c r="J1618" s="18">
        <f>IFERROR(__xludf.DUMMYFUNCTION("""COMPUTED_VALUE"""),37.0)</f>
        <v>37</v>
      </c>
      <c r="K1618" s="18">
        <f>IFERROR(__xludf.DUMMYFUNCTION("""COMPUTED_VALUE"""),30.0)</f>
        <v>30</v>
      </c>
      <c r="L1618" s="17">
        <f>IFERROR(__xludf.DUMMYFUNCTION("""COMPUTED_VALUE"""),3.105789664E9)</f>
        <v>3105789664</v>
      </c>
      <c r="M1618" s="17" t="str">
        <f>IFERROR(__xludf.DUMMYFUNCTION("""COMPUTED_VALUE"""),"#REF!")</f>
        <v>#REF!</v>
      </c>
      <c r="N1618" s="17"/>
      <c r="O1618" s="19">
        <f>IFERROR(__xludf.DUMMYFUNCTION("""COMPUTED_VALUE"""),7000.0)</f>
        <v>7000</v>
      </c>
      <c r="P1618" s="17" t="b">
        <f>IFERROR(__xludf.DUMMYFUNCTION("""COMPUTED_VALUE"""),FALSE)</f>
        <v>0</v>
      </c>
      <c r="Q1618" s="20" t="str">
        <f>IFERROR(__xludf.DUMMYFUNCTION("""COMPUTED_VALUE"""),"")</f>
        <v/>
      </c>
      <c r="R1618" s="22" t="str">
        <f>IFERROR(__xludf.DUMMYFUNCTION("""COMPUTED_VALUE"""),"")</f>
        <v/>
      </c>
    </row>
    <row r="1619">
      <c r="A1619" s="15">
        <f>IFERROR(__xludf.DUMMYFUNCTION("""COMPUTED_VALUE"""),45049.0)</f>
        <v>45049</v>
      </c>
      <c r="B1619" s="16" t="str">
        <f>IFERROR(__xludf.DUMMYFUNCTION("""COMPUTED_VALUE"""),"Duvan Gabriel Alvarez Giron")</f>
        <v>Duvan Gabriel Alvarez Giron</v>
      </c>
      <c r="C1619" s="15" t="str">
        <f>IFERROR(__xludf.DUMMYFUNCTION("""COMPUTED_VALUE"""),"IBAGUÉ")</f>
        <v>IBAGUÉ</v>
      </c>
      <c r="D1619" s="15" t="str">
        <f>IFERROR(__xludf.DUMMYFUNCTION("""COMPUTED_VALUE"""),"BOGOTÁ")</f>
        <v>BOGOTÁ</v>
      </c>
      <c r="E1619" s="15" t="str">
        <f>IFERROR(__xludf.DUMMYFUNCTION("""COMPUTED_VALUE"""),"Evamazzita")</f>
        <v>Evamazzita</v>
      </c>
      <c r="F1619" s="17" t="str">
        <f>IFERROR(__xludf.DUMMYFUNCTION("""COMPUTED_VALUE"""),"CARRERA 11 A # 35 - 62  / N/A / BARRIO GAITÁN PARTE ALTA")</f>
        <v>CARRERA 11 A # 35 - 62  / N/A / BARRIO GAITÁN PARTE ALTA</v>
      </c>
      <c r="G1619" s="15" t="str">
        <f>IFERROR(__xludf.DUMMYFUNCTION("""COMPUTED_VALUE"""),"JORGE BERNARDO TORRES")</f>
        <v>JORGE BERNARDO TORRES</v>
      </c>
      <c r="H1619" s="16">
        <f>IFERROR(__xludf.DUMMYFUNCTION("""COMPUTED_VALUE"""),10282.0)</f>
        <v>10282</v>
      </c>
      <c r="I1619" s="18">
        <f>IFERROR(__xludf.DUMMYFUNCTION("""COMPUTED_VALUE"""),19.0)</f>
        <v>19</v>
      </c>
      <c r="J1619" s="18">
        <f>IFERROR(__xludf.DUMMYFUNCTION("""COMPUTED_VALUE"""),23.0)</f>
        <v>23</v>
      </c>
      <c r="K1619" s="18">
        <f>IFERROR(__xludf.DUMMYFUNCTION("""COMPUTED_VALUE"""),38.0)</f>
        <v>38</v>
      </c>
      <c r="L1619" s="17">
        <f>IFERROR(__xludf.DUMMYFUNCTION("""COMPUTED_VALUE"""),3.144530156E9)</f>
        <v>3144530156</v>
      </c>
      <c r="M1619" s="17" t="str">
        <f>IFERROR(__xludf.DUMMYFUNCTION("""COMPUTED_VALUE"""),"#REF!")</f>
        <v>#REF!</v>
      </c>
      <c r="N1619" s="17"/>
      <c r="O1619" s="19">
        <f>IFERROR(__xludf.DUMMYFUNCTION("""COMPUTED_VALUE"""),7000.0)</f>
        <v>7000</v>
      </c>
      <c r="P1619" s="17" t="b">
        <f>IFERROR(__xludf.DUMMYFUNCTION("""COMPUTED_VALUE"""),FALSE)</f>
        <v>0</v>
      </c>
      <c r="Q1619" s="20" t="str">
        <f>IFERROR(__xludf.DUMMYFUNCTION("""COMPUTED_VALUE"""),"")</f>
        <v/>
      </c>
      <c r="R1619" s="22" t="str">
        <f>IFERROR(__xludf.DUMMYFUNCTION("""COMPUTED_VALUE"""),"")</f>
        <v/>
      </c>
    </row>
    <row r="1620">
      <c r="A1620" s="15">
        <f>IFERROR(__xludf.DUMMYFUNCTION("""COMPUTED_VALUE"""),45049.0)</f>
        <v>45049</v>
      </c>
      <c r="B1620" s="16" t="str">
        <f>IFERROR(__xludf.DUMMYFUNCTION("""COMPUTED_VALUE"""),"Duvan Gabriel Alvarez Giron")</f>
        <v>Duvan Gabriel Alvarez Giron</v>
      </c>
      <c r="C1620" s="15" t="str">
        <f>IFERROR(__xludf.DUMMYFUNCTION("""COMPUTED_VALUE"""),"IBAGUÉ")</f>
        <v>IBAGUÉ</v>
      </c>
      <c r="D1620" s="15" t="str">
        <f>IFERROR(__xludf.DUMMYFUNCTION("""COMPUTED_VALUE"""),"BOGOTÁ")</f>
        <v>BOGOTÁ</v>
      </c>
      <c r="E1620" s="15" t="str">
        <f>IFERROR(__xludf.DUMMYFUNCTION("""COMPUTED_VALUE"""),"Ins. Alimento Vital")</f>
        <v>Ins. Alimento Vital</v>
      </c>
      <c r="F1620" s="17" t="str">
        <f>IFERROR(__xludf.DUMMYFUNCTION("""COMPUTED_VALUE"""),"CL 26 5 45 / BARRIO BELALCAZAR / BARRIO BELALCAZAR")</f>
        <v>CL 26 5 45 / BARRIO BELALCAZAR / BARRIO BELALCAZAR</v>
      </c>
      <c r="G1620" s="15" t="str">
        <f>IFERROR(__xludf.DUMMYFUNCTION("""COMPUTED_VALUE"""),"LEIDY PAOLA GOMEZ BARRERA")</f>
        <v>LEIDY PAOLA GOMEZ BARRERA</v>
      </c>
      <c r="H1620" s="16">
        <f>IFERROR(__xludf.DUMMYFUNCTION("""COMPUTED_VALUE"""),10257.0)</f>
        <v>10257</v>
      </c>
      <c r="I1620" s="18">
        <f>IFERROR(__xludf.DUMMYFUNCTION("""COMPUTED_VALUE"""),1.0)</f>
        <v>1</v>
      </c>
      <c r="J1620" s="18">
        <f>IFERROR(__xludf.DUMMYFUNCTION("""COMPUTED_VALUE"""),1.0)</f>
        <v>1</v>
      </c>
      <c r="K1620" s="18">
        <f>IFERROR(__xludf.DUMMYFUNCTION("""COMPUTED_VALUE"""),1.0)</f>
        <v>1</v>
      </c>
      <c r="L1620" s="17">
        <f>IFERROR(__xludf.DUMMYFUNCTION("""COMPUTED_VALUE"""),3.043758112E9)</f>
        <v>3043758112</v>
      </c>
      <c r="M1620" s="17" t="str">
        <f>IFERROR(__xludf.DUMMYFUNCTION("""COMPUTED_VALUE"""),"#REF!")</f>
        <v>#REF!</v>
      </c>
      <c r="N1620" s="17"/>
      <c r="O1620" s="19">
        <f>IFERROR(__xludf.DUMMYFUNCTION("""COMPUTED_VALUE"""),7000.0)</f>
        <v>7000</v>
      </c>
      <c r="P1620" s="17" t="b">
        <f>IFERROR(__xludf.DUMMYFUNCTION("""COMPUTED_VALUE"""),FALSE)</f>
        <v>0</v>
      </c>
      <c r="Q1620" s="20" t="str">
        <f>IFERROR(__xludf.DUMMYFUNCTION("""COMPUTED_VALUE"""),"")</f>
        <v/>
      </c>
      <c r="R1620" s="22" t="str">
        <f>IFERROR(__xludf.DUMMYFUNCTION("""COMPUTED_VALUE"""),"")</f>
        <v/>
      </c>
    </row>
    <row r="1621">
      <c r="A1621" s="15">
        <f>IFERROR(__xludf.DUMMYFUNCTION("""COMPUTED_VALUE"""),45049.0)</f>
        <v>45049</v>
      </c>
      <c r="B1621" s="16" t="str">
        <f>IFERROR(__xludf.DUMMYFUNCTION("""COMPUTED_VALUE"""),"Duvan Gabriel Alvarez Giron")</f>
        <v>Duvan Gabriel Alvarez Giron</v>
      </c>
      <c r="C1621" s="15" t="str">
        <f>IFERROR(__xludf.DUMMYFUNCTION("""COMPUTED_VALUE"""),"IBAGUÉ")</f>
        <v>IBAGUÉ</v>
      </c>
      <c r="D1621" s="15" t="str">
        <f>IFERROR(__xludf.DUMMYFUNCTION("""COMPUTED_VALUE"""),"BOGOTÁ")</f>
        <v>BOGOTÁ</v>
      </c>
      <c r="E1621" s="15" t="str">
        <f>IFERROR(__xludf.DUMMYFUNCTION("""COMPUTED_VALUE"""),"Ins. Alimento Vital")</f>
        <v>Ins. Alimento Vital</v>
      </c>
      <c r="F1621" s="17" t="str">
        <f>IFERROR(__xludf.DUMMYFUNCTION("""COMPUTED_VALUE"""),"MANZANA 13 CASA 26  / CONJUNTO RESIDENCIAL LA ARBOLEDA VIA PICALEÑA / CONJUNTO DE SOLO CASAS ENTRADA A LA CASA DE LA MONEDA")</f>
        <v>MANZANA 13 CASA 26  / CONJUNTO RESIDENCIAL LA ARBOLEDA VIA PICALEÑA / CONJUNTO DE SOLO CASAS ENTRADA A LA CASA DE LA MONEDA</v>
      </c>
      <c r="G1621" s="15" t="str">
        <f>IFERROR(__xludf.DUMMYFUNCTION("""COMPUTED_VALUE"""),"IVONNE MARITZA ESPINOSA RODRIGUEZ")</f>
        <v>IVONNE MARITZA ESPINOSA RODRIGUEZ</v>
      </c>
      <c r="H1621" s="16">
        <f>IFERROR(__xludf.DUMMYFUNCTION("""COMPUTED_VALUE"""),10256.0)</f>
        <v>10256</v>
      </c>
      <c r="I1621" s="18">
        <f>IFERROR(__xludf.DUMMYFUNCTION("""COMPUTED_VALUE"""),1.0)</f>
        <v>1</v>
      </c>
      <c r="J1621" s="18">
        <f>IFERROR(__xludf.DUMMYFUNCTION("""COMPUTED_VALUE"""),1.0)</f>
        <v>1</v>
      </c>
      <c r="K1621" s="18">
        <f>IFERROR(__xludf.DUMMYFUNCTION("""COMPUTED_VALUE"""),1.0)</f>
        <v>1</v>
      </c>
      <c r="L1621" s="17">
        <f>IFERROR(__xludf.DUMMYFUNCTION("""COMPUTED_VALUE"""),3.017288399E9)</f>
        <v>3017288399</v>
      </c>
      <c r="M1621" s="17" t="str">
        <f>IFERROR(__xludf.DUMMYFUNCTION("""COMPUTED_VALUE"""),"#REF!")</f>
        <v>#REF!</v>
      </c>
      <c r="N1621" s="17"/>
      <c r="O1621" s="17"/>
      <c r="P1621" s="17" t="b">
        <f>IFERROR(__xludf.DUMMYFUNCTION("""COMPUTED_VALUE"""),FALSE)</f>
        <v>0</v>
      </c>
      <c r="Q1621" s="20" t="str">
        <f>IFERROR(__xludf.DUMMYFUNCTION("""COMPUTED_VALUE"""),"")</f>
        <v/>
      </c>
      <c r="R1621" s="22" t="str">
        <f>IFERROR(__xludf.DUMMYFUNCTION("""COMPUTED_VALUE"""),"")</f>
        <v/>
      </c>
    </row>
    <row r="1622">
      <c r="A1622" s="15">
        <f>IFERROR(__xludf.DUMMYFUNCTION("""COMPUTED_VALUE"""),45049.0)</f>
        <v>45049</v>
      </c>
      <c r="B1622" s="16" t="str">
        <f>IFERROR(__xludf.DUMMYFUNCTION("""COMPUTED_VALUE"""),"Duvan Gabriel Alvarez Giron")</f>
        <v>Duvan Gabriel Alvarez Giron</v>
      </c>
      <c r="C1622" s="15" t="str">
        <f>IFERROR(__xludf.DUMMYFUNCTION("""COMPUTED_VALUE"""),"PIEDECUESTA")</f>
        <v>PIEDECUESTA</v>
      </c>
      <c r="D1622" s="15" t="str">
        <f>IFERROR(__xludf.DUMMYFUNCTION("""COMPUTED_VALUE"""),"BOGOTÁ")</f>
        <v>BOGOTÁ</v>
      </c>
      <c r="E1622" s="15" t="str">
        <f>IFERROR(__xludf.DUMMYFUNCTION("""COMPUTED_VALUE"""),"Ins. Alimento Vital")</f>
        <v>Ins. Alimento Vital</v>
      </c>
      <c r="F1622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1622" s="15" t="str">
        <f>IFERROR(__xludf.DUMMYFUNCTION("""COMPUTED_VALUE"""),"LORENA GRANADOS BARCO")</f>
        <v>LORENA GRANADOS BARCO</v>
      </c>
      <c r="H1622" s="16">
        <f>IFERROR(__xludf.DUMMYFUNCTION("""COMPUTED_VALUE"""),10252.0)</f>
        <v>10252</v>
      </c>
      <c r="I1622" s="18">
        <f>IFERROR(__xludf.DUMMYFUNCTION("""COMPUTED_VALUE"""),1.0)</f>
        <v>1</v>
      </c>
      <c r="J1622" s="18">
        <f>IFERROR(__xludf.DUMMYFUNCTION("""COMPUTED_VALUE"""),1.0)</f>
        <v>1</v>
      </c>
      <c r="K1622" s="18">
        <f>IFERROR(__xludf.DUMMYFUNCTION("""COMPUTED_VALUE"""),1.0)</f>
        <v>1</v>
      </c>
      <c r="L1622" s="17">
        <f>IFERROR(__xludf.DUMMYFUNCTION("""COMPUTED_VALUE"""),3.003286319E9)</f>
        <v>3003286319</v>
      </c>
      <c r="M1622" s="17" t="str">
        <f>IFERROR(__xludf.DUMMYFUNCTION("""COMPUTED_VALUE"""),"#REF!")</f>
        <v>#REF!</v>
      </c>
      <c r="N1622" s="17"/>
      <c r="O1622" s="17"/>
      <c r="P1622" s="17" t="b">
        <f>IFERROR(__xludf.DUMMYFUNCTION("""COMPUTED_VALUE"""),FALSE)</f>
        <v>0</v>
      </c>
      <c r="Q1622" s="20" t="str">
        <f>IFERROR(__xludf.DUMMYFUNCTION("""COMPUTED_VALUE"""),"")</f>
        <v/>
      </c>
      <c r="R1622" s="22" t="str">
        <f>IFERROR(__xludf.DUMMYFUNCTION("""COMPUTED_VALUE"""),"")</f>
        <v/>
      </c>
    </row>
    <row r="1623">
      <c r="A1623" s="17" t="str">
        <f>IFERROR(__xludf.DUMMYFUNCTION("""COMPUTED_VALUE"""),"")</f>
        <v/>
      </c>
      <c r="B1623" s="17" t="str">
        <f>IFERROR(__xludf.DUMMYFUNCTION("""COMPUTED_VALUE"""),"")</f>
        <v/>
      </c>
      <c r="C1623" s="17" t="str">
        <f>IFERROR(__xludf.DUMMYFUNCTION("""COMPUTED_VALUE"""),"")</f>
        <v/>
      </c>
      <c r="D1623" s="17" t="str">
        <f>IFERROR(__xludf.DUMMYFUNCTION("""COMPUTED_VALUE"""),"")</f>
        <v/>
      </c>
      <c r="E1623" s="17" t="str">
        <f>IFERROR(__xludf.DUMMYFUNCTION("""COMPUTED_VALUE"""),"")</f>
        <v/>
      </c>
      <c r="F1623" s="17" t="str">
        <f>IFERROR(__xludf.DUMMYFUNCTION("""COMPUTED_VALUE"""),"")</f>
        <v/>
      </c>
      <c r="G1623" s="17" t="str">
        <f>IFERROR(__xludf.DUMMYFUNCTION("""COMPUTED_VALUE"""),"")</f>
        <v/>
      </c>
      <c r="H1623" s="17" t="str">
        <f>IFERROR(__xludf.DUMMYFUNCTION("""COMPUTED_VALUE"""),"")</f>
        <v/>
      </c>
      <c r="I1623" s="17" t="str">
        <f>IFERROR(__xludf.DUMMYFUNCTION("""COMPUTED_VALUE"""),"")</f>
        <v/>
      </c>
      <c r="J1623" s="17" t="str">
        <f>IFERROR(__xludf.DUMMYFUNCTION("""COMPUTED_VALUE"""),"")</f>
        <v/>
      </c>
      <c r="K1623" s="17" t="str">
        <f>IFERROR(__xludf.DUMMYFUNCTION("""COMPUTED_VALUE"""),"")</f>
        <v/>
      </c>
      <c r="L1623" s="17" t="str">
        <f>IFERROR(__xludf.DUMMYFUNCTION("""COMPUTED_VALUE"""),"")</f>
        <v/>
      </c>
      <c r="M1623" s="17" t="str">
        <f>IFERROR(__xludf.DUMMYFUNCTION("""COMPUTED_VALUE"""),"")</f>
        <v/>
      </c>
      <c r="N1623" s="17" t="str">
        <f>IFERROR(__xludf.DUMMYFUNCTION("""COMPUTED_VALUE"""),"")</f>
        <v/>
      </c>
      <c r="O1623" s="17" t="str">
        <f>IFERROR(__xludf.DUMMYFUNCTION("""COMPUTED_VALUE"""),"")</f>
        <v/>
      </c>
      <c r="P1623" s="17" t="str">
        <f>IFERROR(__xludf.DUMMYFUNCTION("""COMPUTED_VALUE"""),"")</f>
        <v/>
      </c>
      <c r="Q1623" s="17" t="str">
        <f>IFERROR(__xludf.DUMMYFUNCTION("""COMPUTED_VALUE"""),"")</f>
        <v/>
      </c>
      <c r="R1623" s="17" t="str">
        <f>IFERROR(__xludf.DUMMYFUNCTION("""COMPUTED_VALUE"""),"")</f>
        <v/>
      </c>
    </row>
    <row r="1624">
      <c r="A1624" s="15">
        <f>IFERROR(__xludf.DUMMYFUNCTION("""COMPUTED_VALUE"""),45049.0)</f>
        <v>45049</v>
      </c>
      <c r="B1624" s="16" t="str">
        <f>IFERROR(__xludf.DUMMYFUNCTION("""COMPUTED_VALUE"""),"Envia")</f>
        <v>Envia</v>
      </c>
      <c r="C1624" s="15" t="str">
        <f>IFERROR(__xludf.DUMMYFUNCTION("""COMPUTED_VALUE"""),"ARMENIA")</f>
        <v>ARMENIA</v>
      </c>
      <c r="D1624" s="15" t="str">
        <f>IFERROR(__xludf.DUMMYFUNCTION("""COMPUTED_VALUE"""),"BOGOTÁ")</f>
        <v>BOGOTÁ</v>
      </c>
      <c r="E1624" s="15" t="str">
        <f>IFERROR(__xludf.DUMMYFUNCTION("""COMPUTED_VALUE"""),"Evamazzita")</f>
        <v>Evamazzita</v>
      </c>
      <c r="F1624" s="17" t="str">
        <f>IFERROR(__xludf.DUMMYFUNCTION("""COMPUTED_VALUE"""),"CALLE 30 # 30 - 11  / N/A / BARRIO QUINDÍO")</f>
        <v>CALLE 30 # 30 - 11  / N/A / BARRIO QUINDÍO</v>
      </c>
      <c r="G1624" s="15" t="str">
        <f>IFERROR(__xludf.DUMMYFUNCTION("""COMPUTED_VALUE"""),"YORMARY JIMENEZ")</f>
        <v>YORMARY JIMENEZ</v>
      </c>
      <c r="H1624" s="16">
        <f>IFERROR(__xludf.DUMMYFUNCTION("""COMPUTED_VALUE"""),10268.0)</f>
        <v>10268</v>
      </c>
      <c r="I1624" s="18">
        <f>IFERROR(__xludf.DUMMYFUNCTION("""COMPUTED_VALUE"""),20.0)</f>
        <v>20</v>
      </c>
      <c r="J1624" s="18">
        <f>IFERROR(__xludf.DUMMYFUNCTION("""COMPUTED_VALUE"""),23.0)</f>
        <v>23</v>
      </c>
      <c r="K1624" s="18">
        <f>IFERROR(__xludf.DUMMYFUNCTION("""COMPUTED_VALUE"""),38.0)</f>
        <v>38</v>
      </c>
      <c r="L1624" s="17">
        <f>IFERROR(__xludf.DUMMYFUNCTION("""COMPUTED_VALUE"""),3.113196178E9)</f>
        <v>3113196178</v>
      </c>
      <c r="M1624" s="17" t="str">
        <f>IFERROR(__xludf.DUMMYFUNCTION("""COMPUTED_VALUE"""),"#REF!")</f>
        <v>#REF!</v>
      </c>
      <c r="N1624" s="17"/>
      <c r="O1624" s="17"/>
      <c r="P1624" s="17" t="b">
        <f>IFERROR(__xludf.DUMMYFUNCTION("""COMPUTED_VALUE"""),FALSE)</f>
        <v>0</v>
      </c>
      <c r="Q1624" s="20" t="str">
        <f>IFERROR(__xludf.DUMMYFUNCTION("""COMPUTED_VALUE"""),"")</f>
        <v/>
      </c>
      <c r="R1624" s="22" t="str">
        <f>IFERROR(__xludf.DUMMYFUNCTION("""COMPUTED_VALUE"""),"")</f>
        <v/>
      </c>
    </row>
    <row r="1625">
      <c r="A1625" s="15">
        <f>IFERROR(__xludf.DUMMYFUNCTION("""COMPUTED_VALUE"""),45049.0)</f>
        <v>45049</v>
      </c>
      <c r="B1625" s="16" t="str">
        <f>IFERROR(__xludf.DUMMYFUNCTION("""COMPUTED_VALUE"""),"Envia")</f>
        <v>Envia</v>
      </c>
      <c r="C1625" s="15" t="str">
        <f>IFERROR(__xludf.DUMMYFUNCTION("""COMPUTED_VALUE"""),"ARMENIA")</f>
        <v>ARMENIA</v>
      </c>
      <c r="D1625" s="15" t="str">
        <f>IFERROR(__xludf.DUMMYFUNCTION("""COMPUTED_VALUE"""),"BOGOTÁ")</f>
        <v>BOGOTÁ</v>
      </c>
      <c r="E1625" s="15" t="str">
        <f>IFERROR(__xludf.DUMMYFUNCTION("""COMPUTED_VALUE"""),"Evamazzita")</f>
        <v>Evamazzita</v>
      </c>
      <c r="F1625" s="17" t="str">
        <f>IFERROR(__xludf.DUMMYFUNCTION("""COMPUTED_VALUE"""),"carrera 19 # 30norte-65  / mz B casa 7 / condominio la aurora")</f>
        <v>carrera 19 # 30norte-65  / mz B casa 7 / condominio la aurora</v>
      </c>
      <c r="G1625" s="15" t="str">
        <f>IFERROR(__xludf.DUMMYFUNCTION("""COMPUTED_VALUE"""),"MARIA DEL MAR HURTADO")</f>
        <v>MARIA DEL MAR HURTADO</v>
      </c>
      <c r="H1625" s="16">
        <f>IFERROR(__xludf.DUMMYFUNCTION("""COMPUTED_VALUE"""),10264.0)</f>
        <v>10264</v>
      </c>
      <c r="I1625" s="18">
        <f>IFERROR(__xludf.DUMMYFUNCTION("""COMPUTED_VALUE"""),8.0)</f>
        <v>8</v>
      </c>
      <c r="J1625" s="18">
        <f>IFERROR(__xludf.DUMMYFUNCTION("""COMPUTED_VALUE"""),18.0)</f>
        <v>18</v>
      </c>
      <c r="K1625" s="18">
        <f>IFERROR(__xludf.DUMMYFUNCTION("""COMPUTED_VALUE"""),22.0)</f>
        <v>22</v>
      </c>
      <c r="L1625" s="17">
        <f>IFERROR(__xludf.DUMMYFUNCTION("""COMPUTED_VALUE"""),3.024680664E9)</f>
        <v>3024680664</v>
      </c>
      <c r="M1625" s="17" t="str">
        <f>IFERROR(__xludf.DUMMYFUNCTION("""COMPUTED_VALUE"""),"#REF!")</f>
        <v>#REF!</v>
      </c>
      <c r="N1625" s="17"/>
      <c r="O1625" s="17"/>
      <c r="P1625" s="17" t="b">
        <f>IFERROR(__xludf.DUMMYFUNCTION("""COMPUTED_VALUE"""),FALSE)</f>
        <v>0</v>
      </c>
      <c r="Q1625" s="20" t="str">
        <f>IFERROR(__xludf.DUMMYFUNCTION("""COMPUTED_VALUE"""),"")</f>
        <v/>
      </c>
      <c r="R1625" s="22" t="str">
        <f>IFERROR(__xludf.DUMMYFUNCTION("""COMPUTED_VALUE"""),"")</f>
        <v/>
      </c>
    </row>
    <row r="1626">
      <c r="A1626" s="15">
        <f>IFERROR(__xludf.DUMMYFUNCTION("""COMPUTED_VALUE"""),45049.0)</f>
        <v>45049</v>
      </c>
      <c r="B1626" s="16" t="str">
        <f>IFERROR(__xludf.DUMMYFUNCTION("""COMPUTED_VALUE"""),"Envia")</f>
        <v>Envia</v>
      </c>
      <c r="C1626" s="15" t="str">
        <f>IFERROR(__xludf.DUMMYFUNCTION("""COMPUTED_VALUE"""),"BOGOTÁ")</f>
        <v>BOGOTÁ</v>
      </c>
      <c r="D1626" s="15" t="str">
        <f>IFERROR(__xludf.DUMMYFUNCTION("""COMPUTED_VALUE"""),"MEDELLÍN")</f>
        <v>MEDELLÍN</v>
      </c>
      <c r="E1626" s="15" t="str">
        <f>IFERROR(__xludf.DUMMYFUNCTION("""COMPUTED_VALUE"""),"Panki Waffle")</f>
        <v>Panki Waffle</v>
      </c>
      <c r="F1626" s="17" t="str">
        <f>IFERROR(__xludf.DUMMYFUNCTION("""COMPUTED_VALUE"""),"Cra 15 # 136-26 apto 402 / ed Daniela PH barrio cedritos  / Ciudad: Bogotá")</f>
        <v>Cra 15 # 136-26 apto 402 / ed Daniela PH barrio cedritos  / Ciudad: Bogotá</v>
      </c>
      <c r="G1626" s="15" t="str">
        <f>IFERROR(__xludf.DUMMYFUNCTION("""COMPUTED_VALUE"""),"Alejandra Pineda Beltrán")</f>
        <v>Alejandra Pineda Beltrán</v>
      </c>
      <c r="H1626" s="16">
        <f>IFERROR(__xludf.DUMMYFUNCTION("""COMPUTED_VALUE"""),10314.0)</f>
        <v>10314</v>
      </c>
      <c r="I1626" s="18">
        <f>IFERROR(__xludf.DUMMYFUNCTION("""COMPUTED_VALUE"""),15.0)</f>
        <v>15</v>
      </c>
      <c r="J1626" s="18">
        <f>IFERROR(__xludf.DUMMYFUNCTION("""COMPUTED_VALUE"""),12.0)</f>
        <v>12</v>
      </c>
      <c r="K1626" s="18">
        <f>IFERROR(__xludf.DUMMYFUNCTION("""COMPUTED_VALUE"""),22.0)</f>
        <v>22</v>
      </c>
      <c r="L1626" s="17">
        <f>IFERROR(__xludf.DUMMYFUNCTION("""COMPUTED_VALUE"""),3.202267977E9)</f>
        <v>3202267977</v>
      </c>
      <c r="M1626" s="17" t="str">
        <f>IFERROR(__xludf.DUMMYFUNCTION("""COMPUTED_VALUE"""),"#REF!")</f>
        <v>#REF!</v>
      </c>
      <c r="N1626" s="17"/>
      <c r="O1626" s="17"/>
      <c r="P1626" s="17" t="b">
        <f>IFERROR(__xludf.DUMMYFUNCTION("""COMPUTED_VALUE"""),FALSE)</f>
        <v>0</v>
      </c>
      <c r="Q1626" s="20" t="str">
        <f>IFERROR(__xludf.DUMMYFUNCTION("""COMPUTED_VALUE"""),"")</f>
        <v/>
      </c>
      <c r="R1626" s="22" t="str">
        <f>IFERROR(__xludf.DUMMYFUNCTION("""COMPUTED_VALUE"""),"")</f>
        <v/>
      </c>
    </row>
    <row r="1627">
      <c r="A1627" s="15">
        <f>IFERROR(__xludf.DUMMYFUNCTION("""COMPUTED_VALUE"""),45049.0)</f>
        <v>45049</v>
      </c>
      <c r="B1627" s="16" t="str">
        <f>IFERROR(__xludf.DUMMYFUNCTION("""COMPUTED_VALUE"""),"Envia")</f>
        <v>Envia</v>
      </c>
      <c r="C1627" s="15" t="str">
        <f>IFERROR(__xludf.DUMMYFUNCTION("""COMPUTED_VALUE"""),"BUCARAMANGA")</f>
        <v>BUCARAMANGA</v>
      </c>
      <c r="D1627" s="15" t="str">
        <f>IFERROR(__xludf.DUMMYFUNCTION("""COMPUTED_VALUE"""),"BOGOTÁ")</f>
        <v>BOGOTÁ</v>
      </c>
      <c r="E1627" s="15" t="str">
        <f>IFERROR(__xludf.DUMMYFUNCTION("""COMPUTED_VALUE"""),"Lunchy Kids")</f>
        <v>Lunchy Kids</v>
      </c>
      <c r="F1627" s="17" t="str">
        <f>IFERROR(__xludf.DUMMYFUNCTION("""COMPUTED_VALUE"""),"Calle 104g # 7a-76  / apto 202 - Conjunto altos del porvenir / Bucaramanga")</f>
        <v>Calle 104g # 7a-76  / apto 202 - Conjunto altos del porvenir / Bucaramanga</v>
      </c>
      <c r="G1627" s="15" t="str">
        <f>IFERROR(__xludf.DUMMYFUNCTION("""COMPUTED_VALUE"""),"Laura Isabel Leal Noriega")</f>
        <v>Laura Isabel Leal Noriega</v>
      </c>
      <c r="H1627" s="16">
        <f>IFERROR(__xludf.DUMMYFUNCTION("""COMPUTED_VALUE"""),10250.0)</f>
        <v>10250</v>
      </c>
      <c r="I1627" s="18">
        <f>IFERROR(__xludf.DUMMYFUNCTION("""COMPUTED_VALUE"""),12.0)</f>
        <v>12</v>
      </c>
      <c r="J1627" s="18">
        <f>IFERROR(__xludf.DUMMYFUNCTION("""COMPUTED_VALUE"""),39.0)</f>
        <v>39</v>
      </c>
      <c r="K1627" s="18">
        <f>IFERROR(__xludf.DUMMYFUNCTION("""COMPUTED_VALUE"""),26.0)</f>
        <v>26</v>
      </c>
      <c r="L1627" s="17">
        <f>IFERROR(__xludf.DUMMYFUNCTION("""COMPUTED_VALUE"""),3.10666503E9)</f>
        <v>3106665030</v>
      </c>
      <c r="M1627" s="17" t="str">
        <f>IFERROR(__xludf.DUMMYFUNCTION("""COMPUTED_VALUE"""),"#REF!")</f>
        <v>#REF!</v>
      </c>
      <c r="N1627" s="17"/>
      <c r="O1627" s="17"/>
      <c r="P1627" s="17" t="b">
        <f>IFERROR(__xludf.DUMMYFUNCTION("""COMPUTED_VALUE"""),FALSE)</f>
        <v>0</v>
      </c>
      <c r="Q1627" s="20" t="str">
        <f>IFERROR(__xludf.DUMMYFUNCTION("""COMPUTED_VALUE"""),"")</f>
        <v/>
      </c>
      <c r="R1627" s="22" t="str">
        <f>IFERROR(__xludf.DUMMYFUNCTION("""COMPUTED_VALUE"""),"")</f>
        <v/>
      </c>
    </row>
    <row r="1628">
      <c r="A1628" s="15">
        <f>IFERROR(__xludf.DUMMYFUNCTION("""COMPUTED_VALUE"""),45049.0)</f>
        <v>45049</v>
      </c>
      <c r="B1628" s="16" t="str">
        <f>IFERROR(__xludf.DUMMYFUNCTION("""COMPUTED_VALUE"""),"Envia")</f>
        <v>Envia</v>
      </c>
      <c r="C1628" s="15" t="str">
        <f>IFERROR(__xludf.DUMMYFUNCTION("""COMPUTED_VALUE"""),"BUCARAMANGA")</f>
        <v>BUCARAMANGA</v>
      </c>
      <c r="D1628" s="15" t="str">
        <f>IFERROR(__xludf.DUMMYFUNCTION("""COMPUTED_VALUE"""),"BOGOTÁ")</f>
        <v>BOGOTÁ</v>
      </c>
      <c r="E1628" s="15" t="str">
        <f>IFERROR(__xludf.DUMMYFUNCTION("""COMPUTED_VALUE"""),"Lunchy Kids")</f>
        <v>Lunchy Kids</v>
      </c>
      <c r="F1628" s="17" t="str">
        <f>IFERROR(__xludf.DUMMYFUNCTION("""COMPUTED_VALUE"""),"Calle Real - Portal de San Sebastian  / Apto 1102 - Torre 5 / Real de Minas")</f>
        <v>Calle Real - Portal de San Sebastian  / Apto 1102 - Torre 5 / Real de Minas</v>
      </c>
      <c r="G1628" s="15" t="str">
        <f>IFERROR(__xludf.DUMMYFUNCTION("""COMPUTED_VALUE"""),"Nini Johana Ardila")</f>
        <v>Nini Johana Ardila</v>
      </c>
      <c r="H1628" s="16">
        <f>IFERROR(__xludf.DUMMYFUNCTION("""COMPUTED_VALUE"""),10249.0)</f>
        <v>10249</v>
      </c>
      <c r="I1628" s="18">
        <f>IFERROR(__xludf.DUMMYFUNCTION("""COMPUTED_VALUE"""),18.0)</f>
        <v>18</v>
      </c>
      <c r="J1628" s="18">
        <f>IFERROR(__xludf.DUMMYFUNCTION("""COMPUTED_VALUE"""),33.0)</f>
        <v>33</v>
      </c>
      <c r="K1628" s="18">
        <f>IFERROR(__xludf.DUMMYFUNCTION("""COMPUTED_VALUE"""),6.0)</f>
        <v>6</v>
      </c>
      <c r="L1628" s="17">
        <f>IFERROR(__xludf.DUMMYFUNCTION("""COMPUTED_VALUE"""),3.003204229E9)</f>
        <v>3003204229</v>
      </c>
      <c r="M1628" s="17" t="str">
        <f>IFERROR(__xludf.DUMMYFUNCTION("""COMPUTED_VALUE"""),"#REF!")</f>
        <v>#REF!</v>
      </c>
      <c r="N1628" s="17"/>
      <c r="O1628" s="17"/>
      <c r="P1628" s="17" t="b">
        <f>IFERROR(__xludf.DUMMYFUNCTION("""COMPUTED_VALUE"""),FALSE)</f>
        <v>0</v>
      </c>
      <c r="Q1628" s="20" t="str">
        <f>IFERROR(__xludf.DUMMYFUNCTION("""COMPUTED_VALUE"""),"")</f>
        <v/>
      </c>
      <c r="R1628" s="22" t="str">
        <f>IFERROR(__xludf.DUMMYFUNCTION("""COMPUTED_VALUE"""),"")</f>
        <v/>
      </c>
    </row>
    <row r="1629">
      <c r="A1629" s="15">
        <f>IFERROR(__xludf.DUMMYFUNCTION("""COMPUTED_VALUE"""),45049.0)</f>
        <v>45049</v>
      </c>
      <c r="B1629" s="16" t="str">
        <f>IFERROR(__xludf.DUMMYFUNCTION("""COMPUTED_VALUE"""),"Envia")</f>
        <v>Envia</v>
      </c>
      <c r="C1629" s="15" t="str">
        <f>IFERROR(__xludf.DUMMYFUNCTION("""COMPUTED_VALUE"""),"CALI")</f>
        <v>CALI</v>
      </c>
      <c r="D1629" s="15" t="str">
        <f>IFERROR(__xludf.DUMMYFUNCTION("""COMPUTED_VALUE"""),"BOGOTÁ")</f>
        <v>BOGOTÁ</v>
      </c>
      <c r="E1629" s="15" t="str">
        <f>IFERROR(__xludf.DUMMYFUNCTION("""COMPUTED_VALUE"""),"My Choice")</f>
        <v>My Choice</v>
      </c>
      <c r="F1629" s="17" t="str">
        <f>IFERROR(__xludf.DUMMYFUNCTION("""COMPUTED_VALUE"""),"Cra 117 #9-159 edificio scala , apto 102A / Edificio scala , apto 102 A  / Pance")</f>
        <v>Cra 117 #9-159 edificio scala , apto 102A / Edificio scala , apto 102 A  / Pance</v>
      </c>
      <c r="G1629" s="15" t="str">
        <f>IFERROR(__xludf.DUMMYFUNCTION("""COMPUTED_VALUE"""),"Vanessa Gomez")</f>
        <v>Vanessa Gomez</v>
      </c>
      <c r="H1629" s="16">
        <f>IFERROR(__xludf.DUMMYFUNCTION("""COMPUTED_VALUE"""),10298.0)</f>
        <v>10298</v>
      </c>
      <c r="I1629" s="18">
        <f>IFERROR(__xludf.DUMMYFUNCTION("""COMPUTED_VALUE"""),10.0)</f>
        <v>10</v>
      </c>
      <c r="J1629" s="18">
        <f>IFERROR(__xludf.DUMMYFUNCTION("""COMPUTED_VALUE"""),11.0)</f>
        <v>11</v>
      </c>
      <c r="K1629" s="18">
        <f>IFERROR(__xludf.DUMMYFUNCTION("""COMPUTED_VALUE"""),26.0)</f>
        <v>26</v>
      </c>
      <c r="L1629" s="17">
        <f>IFERROR(__xludf.DUMMYFUNCTION("""COMPUTED_VALUE"""),3.173655711E9)</f>
        <v>3173655711</v>
      </c>
      <c r="M1629" s="17" t="str">
        <f>IFERROR(__xludf.DUMMYFUNCTION("""COMPUTED_VALUE"""),"#REF!")</f>
        <v>#REF!</v>
      </c>
      <c r="N1629" s="17"/>
      <c r="O1629" s="17"/>
      <c r="P1629" s="17" t="b">
        <f>IFERROR(__xludf.DUMMYFUNCTION("""COMPUTED_VALUE"""),FALSE)</f>
        <v>0</v>
      </c>
      <c r="Q1629" s="20" t="str">
        <f>IFERROR(__xludf.DUMMYFUNCTION("""COMPUTED_VALUE"""),"")</f>
        <v/>
      </c>
      <c r="R1629" s="22" t="str">
        <f>IFERROR(__xludf.DUMMYFUNCTION("""COMPUTED_VALUE"""),"")</f>
        <v/>
      </c>
    </row>
    <row r="1630">
      <c r="A1630" s="15">
        <f>IFERROR(__xludf.DUMMYFUNCTION("""COMPUTED_VALUE"""),45049.0)</f>
        <v>45049</v>
      </c>
      <c r="B1630" s="16" t="str">
        <f>IFERROR(__xludf.DUMMYFUNCTION("""COMPUTED_VALUE"""),"Envia")</f>
        <v>Envia</v>
      </c>
      <c r="C1630" s="15" t="str">
        <f>IFERROR(__xludf.DUMMYFUNCTION("""COMPUTED_VALUE"""),"CALI")</f>
        <v>CALI</v>
      </c>
      <c r="D1630" s="15" t="str">
        <f>IFERROR(__xludf.DUMMYFUNCTION("""COMPUTED_VALUE"""),"BOGOTÁ")</f>
        <v>BOGOTÁ</v>
      </c>
      <c r="E1630" s="15" t="str">
        <f>IFERROR(__xludf.DUMMYFUNCTION("""COMPUTED_VALUE"""),"Pan de Waffle")</f>
        <v>Pan de Waffle</v>
      </c>
      <c r="F1630" s="17" t="str">
        <f>IFERROR(__xludf.DUMMYFUNCTION("""COMPUTED_VALUE"""),"Calle 18 norte # 9n-45 Cali  / Calle 18 norte # 9n-45 Cali  / Calle 18 norte # 9n-45 Cali")</f>
        <v>Calle 18 norte # 9n-45 Cali  / Calle 18 norte # 9n-45 Cali  / Calle 18 norte # 9n-45 Cali</v>
      </c>
      <c r="G1630" s="15" t="str">
        <f>IFERROR(__xludf.DUMMYFUNCTION("""COMPUTED_VALUE"""),"NUTRICION EN MOVIMIENTO")</f>
        <v>NUTRICION EN MOVIMIENTO</v>
      </c>
      <c r="H1630" s="16">
        <f>IFERROR(__xludf.DUMMYFUNCTION("""COMPUTED_VALUE"""),10290.0)</f>
        <v>10290</v>
      </c>
      <c r="I1630" s="18">
        <f>IFERROR(__xludf.DUMMYFUNCTION("""COMPUTED_VALUE"""),30.0)</f>
        <v>30</v>
      </c>
      <c r="J1630" s="18">
        <f>IFERROR(__xludf.DUMMYFUNCTION("""COMPUTED_VALUE"""),20.0)</f>
        <v>20</v>
      </c>
      <c r="K1630" s="18">
        <f>IFERROR(__xludf.DUMMYFUNCTION("""COMPUTED_VALUE"""),20.0)</f>
        <v>20</v>
      </c>
      <c r="L1630" s="17">
        <f>IFERROR(__xludf.DUMMYFUNCTION("""COMPUTED_VALUE"""),3.148101084E9)</f>
        <v>3148101084</v>
      </c>
      <c r="M1630" s="17" t="str">
        <f>IFERROR(__xludf.DUMMYFUNCTION("""COMPUTED_VALUE"""),"#REF!")</f>
        <v>#REF!</v>
      </c>
      <c r="N1630" s="17"/>
      <c r="O1630" s="17"/>
      <c r="P1630" s="17" t="b">
        <f>IFERROR(__xludf.DUMMYFUNCTION("""COMPUTED_VALUE"""),FALSE)</f>
        <v>0</v>
      </c>
      <c r="Q1630" s="20" t="str">
        <f>IFERROR(__xludf.DUMMYFUNCTION("""COMPUTED_VALUE"""),"")</f>
        <v/>
      </c>
      <c r="R1630" s="22" t="str">
        <f>IFERROR(__xludf.DUMMYFUNCTION("""COMPUTED_VALUE"""),"")</f>
        <v/>
      </c>
    </row>
    <row r="1631">
      <c r="A1631" s="15">
        <f>IFERROR(__xludf.DUMMYFUNCTION("""COMPUTED_VALUE"""),45049.0)</f>
        <v>45049</v>
      </c>
      <c r="B1631" s="16" t="str">
        <f>IFERROR(__xludf.DUMMYFUNCTION("""COMPUTED_VALUE"""),"Envia")</f>
        <v>Envia</v>
      </c>
      <c r="C1631" s="15" t="str">
        <f>IFERROR(__xludf.DUMMYFUNCTION("""COMPUTED_VALUE"""),"FLORIDABLANCA")</f>
        <v>FLORIDABLANCA</v>
      </c>
      <c r="D1631" s="15" t="str">
        <f>IFERROR(__xludf.DUMMYFUNCTION("""COMPUTED_VALUE"""),"BOGOTÁ")</f>
        <v>BOGOTÁ</v>
      </c>
      <c r="E1631" s="15" t="str">
        <f>IFERROR(__xludf.DUMMYFUNCTION("""COMPUTED_VALUE"""),"Asociacion Agropecuaria Juana Maria")</f>
        <v>Asociacion Agropecuaria Juana Maria</v>
      </c>
      <c r="F1631" s="17" t="str">
        <f>IFERROR(__xludf.DUMMYFUNCTION("""COMPUTED_VALUE"""),"Calle 19 #11-37 Guanatá FLORIDABLANCA")</f>
        <v>Calle 19 #11-37 Guanatá FLORIDABLANCA</v>
      </c>
      <c r="G1631" s="15" t="str">
        <f>IFERROR(__xludf.DUMMYFUNCTION("""COMPUTED_VALUE"""),"Claudia Gonzalez")</f>
        <v>Claudia Gonzalez</v>
      </c>
      <c r="H1631" s="16">
        <f>IFERROR(__xludf.DUMMYFUNCTION("""COMPUTED_VALUE"""),10232.0)</f>
        <v>10232</v>
      </c>
      <c r="I1631" s="18">
        <f>IFERROR(__xludf.DUMMYFUNCTION("""COMPUTED_VALUE"""),21.0)</f>
        <v>21</v>
      </c>
      <c r="J1631" s="18">
        <f>IFERROR(__xludf.DUMMYFUNCTION("""COMPUTED_VALUE"""),37.0)</f>
        <v>37</v>
      </c>
      <c r="K1631" s="18">
        <f>IFERROR(__xludf.DUMMYFUNCTION("""COMPUTED_VALUE"""),30.0)</f>
        <v>30</v>
      </c>
      <c r="L1631" s="17">
        <f>IFERROR(__xludf.DUMMYFUNCTION("""COMPUTED_VALUE"""),3.002802001E9)</f>
        <v>3002802001</v>
      </c>
      <c r="M1631" s="17" t="str">
        <f>IFERROR(__xludf.DUMMYFUNCTION("""COMPUTED_VALUE"""),"#REF!")</f>
        <v>#REF!</v>
      </c>
      <c r="N1631" s="17"/>
      <c r="O1631" s="17"/>
      <c r="P1631" s="17" t="b">
        <f>IFERROR(__xludf.DUMMYFUNCTION("""COMPUTED_VALUE"""),FALSE)</f>
        <v>0</v>
      </c>
      <c r="Q1631" s="20" t="str">
        <f>IFERROR(__xludf.DUMMYFUNCTION("""COMPUTED_VALUE"""),"")</f>
        <v/>
      </c>
      <c r="R1631" s="22" t="str">
        <f>IFERROR(__xludf.DUMMYFUNCTION("""COMPUTED_VALUE"""),"")</f>
        <v/>
      </c>
    </row>
    <row r="1632">
      <c r="A1632" s="15">
        <f>IFERROR(__xludf.DUMMYFUNCTION("""COMPUTED_VALUE"""),45049.0)</f>
        <v>45049</v>
      </c>
      <c r="B1632" s="16" t="str">
        <f>IFERROR(__xludf.DUMMYFUNCTION("""COMPUTED_VALUE"""),"Envia")</f>
        <v>Envia</v>
      </c>
      <c r="C1632" s="15" t="str">
        <f>IFERROR(__xludf.DUMMYFUNCTION("""COMPUTED_VALUE"""),"FLORIDABLANCA")</f>
        <v>FLORIDABLANCA</v>
      </c>
      <c r="D1632" s="15" t="str">
        <f>IFERROR(__xludf.DUMMYFUNCTION("""COMPUTED_VALUE"""),"BOGOTÁ")</f>
        <v>BOGOTÁ</v>
      </c>
      <c r="E1632" s="15" t="str">
        <f>IFERROR(__xludf.DUMMYFUNCTION("""COMPUTED_VALUE"""),"Asociacion Agropecuaria Juana Maria")</f>
        <v>Asociacion Agropecuaria Juana Maria</v>
      </c>
      <c r="F1632" s="17" t="str">
        <f>IFERROR(__xludf.DUMMYFUNCTION("""COMPUTED_VALUE"""),"Calle 19 #11-37 Guanatá FLORIDABLANCA")</f>
        <v>Calle 19 #11-37 Guanatá FLORIDABLANCA</v>
      </c>
      <c r="G1632" s="15" t="str">
        <f>IFERROR(__xludf.DUMMYFUNCTION("""COMPUTED_VALUE"""),"Claudia Gonzalez")</f>
        <v>Claudia Gonzalez</v>
      </c>
      <c r="H1632" s="16">
        <f>IFERROR(__xludf.DUMMYFUNCTION("""COMPUTED_VALUE"""),10233.0)</f>
        <v>10233</v>
      </c>
      <c r="I1632" s="18">
        <f>IFERROR(__xludf.DUMMYFUNCTION("""COMPUTED_VALUE"""),10.0)</f>
        <v>10</v>
      </c>
      <c r="J1632" s="18">
        <f>IFERROR(__xludf.DUMMYFUNCTION("""COMPUTED_VALUE"""),34.0)</f>
        <v>34</v>
      </c>
      <c r="K1632" s="18">
        <f>IFERROR(__xludf.DUMMYFUNCTION("""COMPUTED_VALUE"""),18.0)</f>
        <v>18</v>
      </c>
      <c r="L1632" s="17">
        <f>IFERROR(__xludf.DUMMYFUNCTION("""COMPUTED_VALUE"""),3.002802001E9)</f>
        <v>3002802001</v>
      </c>
      <c r="M1632" s="17" t="str">
        <f>IFERROR(__xludf.DUMMYFUNCTION("""COMPUTED_VALUE"""),"#REF!")</f>
        <v>#REF!</v>
      </c>
      <c r="N1632" s="17"/>
      <c r="O1632" s="17"/>
      <c r="P1632" s="17" t="b">
        <f>IFERROR(__xludf.DUMMYFUNCTION("""COMPUTED_VALUE"""),FALSE)</f>
        <v>0</v>
      </c>
      <c r="Q1632" s="20" t="str">
        <f>IFERROR(__xludf.DUMMYFUNCTION("""COMPUTED_VALUE"""),"")</f>
        <v/>
      </c>
      <c r="R1632" s="22" t="str">
        <f>IFERROR(__xludf.DUMMYFUNCTION("""COMPUTED_VALUE"""),"")</f>
        <v/>
      </c>
    </row>
    <row r="1633">
      <c r="A1633" s="15">
        <f>IFERROR(__xludf.DUMMYFUNCTION("""COMPUTED_VALUE"""),45049.0)</f>
        <v>45049</v>
      </c>
      <c r="B1633" s="16" t="str">
        <f>IFERROR(__xludf.DUMMYFUNCTION("""COMPUTED_VALUE"""),"Envia")</f>
        <v>Envia</v>
      </c>
      <c r="C1633" s="15" t="str">
        <f>IFERROR(__xludf.DUMMYFUNCTION("""COMPUTED_VALUE"""),"GIRÓN")</f>
        <v>GIRÓN</v>
      </c>
      <c r="D1633" s="15" t="str">
        <f>IFERROR(__xludf.DUMMYFUNCTION("""COMPUTED_VALUE"""),"BOGOTÁ")</f>
        <v>BOGOTÁ</v>
      </c>
      <c r="E1633" s="15" t="str">
        <f>IFERROR(__xludf.DUMMYFUNCTION("""COMPUTED_VALUE"""),"Evamazzita")</f>
        <v>Evamazzita</v>
      </c>
      <c r="F1633" s="17" t="str">
        <f>IFERROR(__xludf.DUMMYFUNCTION("""COMPUTED_VALUE"""),"Calle 37 #23- 105  / piso 2  / Barrio Poblado")</f>
        <v>Calle 37 #23- 105  / piso 2  / Barrio Poblado</v>
      </c>
      <c r="G1633" s="15" t="str">
        <f>IFERROR(__xludf.DUMMYFUNCTION("""COMPUTED_VALUE"""),"YESENIA RODRIGUEZ")</f>
        <v>YESENIA RODRIGUEZ</v>
      </c>
      <c r="H1633" s="16">
        <f>IFERROR(__xludf.DUMMYFUNCTION("""COMPUTED_VALUE"""),10263.0)</f>
        <v>10263</v>
      </c>
      <c r="I1633" s="18">
        <f>IFERROR(__xludf.DUMMYFUNCTION("""COMPUTED_VALUE"""),4.0)</f>
        <v>4</v>
      </c>
      <c r="J1633" s="18">
        <f>IFERROR(__xludf.DUMMYFUNCTION("""COMPUTED_VALUE"""),11.0)</f>
        <v>11</v>
      </c>
      <c r="K1633" s="18">
        <f>IFERROR(__xludf.DUMMYFUNCTION("""COMPUTED_VALUE"""),17.0)</f>
        <v>17</v>
      </c>
      <c r="L1633" s="17">
        <f>IFERROR(__xludf.DUMMYFUNCTION("""COMPUTED_VALUE"""),3.157756829E9)</f>
        <v>3157756829</v>
      </c>
      <c r="M1633" s="17" t="str">
        <f>IFERROR(__xludf.DUMMYFUNCTION("""COMPUTED_VALUE"""),"#REF!")</f>
        <v>#REF!</v>
      </c>
      <c r="N1633" s="17"/>
      <c r="O1633" s="17"/>
      <c r="P1633" s="17" t="b">
        <f>IFERROR(__xludf.DUMMYFUNCTION("""COMPUTED_VALUE"""),FALSE)</f>
        <v>0</v>
      </c>
      <c r="Q1633" s="20" t="str">
        <f>IFERROR(__xludf.DUMMYFUNCTION("""COMPUTED_VALUE"""),"")</f>
        <v/>
      </c>
      <c r="R1633" s="22" t="str">
        <f>IFERROR(__xludf.DUMMYFUNCTION("""COMPUTED_VALUE"""),"")</f>
        <v/>
      </c>
    </row>
    <row r="1634">
      <c r="A1634" s="15">
        <f>IFERROR(__xludf.DUMMYFUNCTION("""COMPUTED_VALUE"""),45049.0)</f>
        <v>45049</v>
      </c>
      <c r="B1634" s="16" t="str">
        <f>IFERROR(__xludf.DUMMYFUNCTION("""COMPUTED_VALUE"""),"Envia")</f>
        <v>Envia</v>
      </c>
      <c r="C1634" s="15" t="str">
        <f>IFERROR(__xludf.DUMMYFUNCTION("""COMPUTED_VALUE"""),"IBAGUÉ")</f>
        <v>IBAGUÉ</v>
      </c>
      <c r="D1634" s="15" t="str">
        <f>IFERROR(__xludf.DUMMYFUNCTION("""COMPUTED_VALUE"""),"BOGOTÁ")</f>
        <v>BOGOTÁ</v>
      </c>
      <c r="E1634" s="15" t="str">
        <f>IFERROR(__xludf.DUMMYFUNCTION("""COMPUTED_VALUE"""),"Banana Bread")</f>
        <v>Banana Bread</v>
      </c>
      <c r="F1634" s="17" t="str">
        <f>IFERROR(__xludf.DUMMYFUNCTION("""COMPUTED_VALUE"""),"carrera23 sur #87-08 / conjunto santo domingo  torre 1 apto 806 / conjunto santo domingo")</f>
        <v>carrera23 sur #87-08 / conjunto santo domingo  torre 1 apto 806 / conjunto santo domingo</v>
      </c>
      <c r="G1634" s="15" t="str">
        <f>IFERROR(__xludf.DUMMYFUNCTION("""COMPUTED_VALUE"""),"daniela osorio")</f>
        <v>daniela osorio</v>
      </c>
      <c r="H1634" s="16">
        <f>IFERROR(__xludf.DUMMYFUNCTION("""COMPUTED_VALUE"""),10327.0)</f>
        <v>10327</v>
      </c>
      <c r="I1634" s="18">
        <f>IFERROR(__xludf.DUMMYFUNCTION("""COMPUTED_VALUE"""),12.0)</f>
        <v>12</v>
      </c>
      <c r="J1634" s="18">
        <f>IFERROR(__xludf.DUMMYFUNCTION("""COMPUTED_VALUE"""),35.0)</f>
        <v>35</v>
      </c>
      <c r="K1634" s="18">
        <f>IFERROR(__xludf.DUMMYFUNCTION("""COMPUTED_VALUE"""),35.0)</f>
        <v>35</v>
      </c>
      <c r="L1634" s="17">
        <f>IFERROR(__xludf.DUMMYFUNCTION("""COMPUTED_VALUE"""),3.213431372E9)</f>
        <v>3213431372</v>
      </c>
      <c r="M1634" s="17" t="str">
        <f>IFERROR(__xludf.DUMMYFUNCTION("""COMPUTED_VALUE"""),"#REF!")</f>
        <v>#REF!</v>
      </c>
      <c r="N1634" s="17"/>
      <c r="O1634" s="17"/>
      <c r="P1634" s="17" t="b">
        <f>IFERROR(__xludf.DUMMYFUNCTION("""COMPUTED_VALUE"""),FALSE)</f>
        <v>0</v>
      </c>
      <c r="Q1634" s="20" t="str">
        <f>IFERROR(__xludf.DUMMYFUNCTION("""COMPUTED_VALUE"""),"")</f>
        <v/>
      </c>
      <c r="R1634" s="22" t="str">
        <f>IFERROR(__xludf.DUMMYFUNCTION("""COMPUTED_VALUE"""),"")</f>
        <v/>
      </c>
    </row>
    <row r="1635">
      <c r="A1635" s="15">
        <f>IFERROR(__xludf.DUMMYFUNCTION("""COMPUTED_VALUE"""),45049.0)</f>
        <v>45049</v>
      </c>
      <c r="B1635" s="16" t="str">
        <f>IFERROR(__xludf.DUMMYFUNCTION("""COMPUTED_VALUE"""),"Envia")</f>
        <v>Envia</v>
      </c>
      <c r="C1635" s="15" t="str">
        <f>IFERROR(__xludf.DUMMYFUNCTION("""COMPUTED_VALUE"""),"MANIZALES")</f>
        <v>MANIZALES</v>
      </c>
      <c r="D1635" s="15" t="str">
        <f>IFERROR(__xludf.DUMMYFUNCTION("""COMPUTED_VALUE"""),"BOGOTÁ")</f>
        <v>BOGOTÁ</v>
      </c>
      <c r="E1635" s="15" t="str">
        <f>IFERROR(__xludf.DUMMYFUNCTION("""COMPUTED_VALUE"""),"Evamazzita")</f>
        <v>Evamazzita</v>
      </c>
      <c r="F1635" s="17" t="str">
        <f>IFERROR(__xludf.DUMMYFUNCTION("""COMPUTED_VALUE"""),"CRA 9 CALLE 16 - 9   / MZ 28 CASA 2 CONJUNTO MIRADOR DE LAS LOMAS  / BARRIO LA FLORIDA - VILLAMARÍA")</f>
        <v>CRA 9 CALLE 16 - 9   / MZ 28 CASA 2 CONJUNTO MIRADOR DE LAS LOMAS  / BARRIO LA FLORIDA - VILLAMARÍA</v>
      </c>
      <c r="G1635" s="15" t="str">
        <f>IFERROR(__xludf.DUMMYFUNCTION("""COMPUTED_VALUE"""),"ANA MARIA GARZON")</f>
        <v>ANA MARIA GARZON</v>
      </c>
      <c r="H1635" s="16">
        <f>IFERROR(__xludf.DUMMYFUNCTION("""COMPUTED_VALUE"""),10266.0)</f>
        <v>10266</v>
      </c>
      <c r="I1635" s="18">
        <f>IFERROR(__xludf.DUMMYFUNCTION("""COMPUTED_VALUE"""),7.0)</f>
        <v>7</v>
      </c>
      <c r="J1635" s="18">
        <f>IFERROR(__xludf.DUMMYFUNCTION("""COMPUTED_VALUE"""),20.0)</f>
        <v>20</v>
      </c>
      <c r="K1635" s="18">
        <f>IFERROR(__xludf.DUMMYFUNCTION("""COMPUTED_VALUE"""),25.0)</f>
        <v>25</v>
      </c>
      <c r="L1635" s="17">
        <f>IFERROR(__xludf.DUMMYFUNCTION("""COMPUTED_VALUE"""),3.21566191E9)</f>
        <v>3215661910</v>
      </c>
      <c r="M1635" s="17" t="str">
        <f>IFERROR(__xludf.DUMMYFUNCTION("""COMPUTED_VALUE"""),"#REF!")</f>
        <v>#REF!</v>
      </c>
      <c r="N1635" s="17"/>
      <c r="O1635" s="17"/>
      <c r="P1635" s="17" t="b">
        <f>IFERROR(__xludf.DUMMYFUNCTION("""COMPUTED_VALUE"""),FALSE)</f>
        <v>0</v>
      </c>
      <c r="Q1635" s="20" t="str">
        <f>IFERROR(__xludf.DUMMYFUNCTION("""COMPUTED_VALUE"""),"")</f>
        <v/>
      </c>
      <c r="R1635" s="22" t="str">
        <f>IFERROR(__xludf.DUMMYFUNCTION("""COMPUTED_VALUE"""),"")</f>
        <v/>
      </c>
    </row>
    <row r="1636">
      <c r="A1636" s="15">
        <f>IFERROR(__xludf.DUMMYFUNCTION("""COMPUTED_VALUE"""),45049.0)</f>
        <v>45049</v>
      </c>
      <c r="B1636" s="16" t="str">
        <f>IFERROR(__xludf.DUMMYFUNCTION("""COMPUTED_VALUE"""),"Envia")</f>
        <v>Envia</v>
      </c>
      <c r="C1636" s="15" t="str">
        <f>IFERROR(__xludf.DUMMYFUNCTION("""COMPUTED_VALUE"""),"MEDELLÍN")</f>
        <v>MEDELLÍN</v>
      </c>
      <c r="D1636" s="15" t="str">
        <f>IFERROR(__xludf.DUMMYFUNCTION("""COMPUTED_VALUE"""),"BOGOTÁ")</f>
        <v>BOGOTÁ</v>
      </c>
      <c r="E1636" s="15" t="str">
        <f>IFERROR(__xludf.DUMMYFUNCTION("""COMPUTED_VALUE"""),"Asociacion Agropecuaria Juana Maria")</f>
        <v>Asociacion Agropecuaria Juana Maria</v>
      </c>
      <c r="F1636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1636" s="15" t="str">
        <f>IFERROR(__xludf.DUMMYFUNCTION("""COMPUTED_VALUE"""),"Jennifer Sanchez Blandon")</f>
        <v>Jennifer Sanchez Blandon</v>
      </c>
      <c r="H1636" s="16">
        <f>IFERROR(__xludf.DUMMYFUNCTION("""COMPUTED_VALUE"""),10235.0)</f>
        <v>10235</v>
      </c>
      <c r="I1636" s="18">
        <f>IFERROR(__xludf.DUMMYFUNCTION("""COMPUTED_VALUE"""),21.0)</f>
        <v>21</v>
      </c>
      <c r="J1636" s="18">
        <f>IFERROR(__xludf.DUMMYFUNCTION("""COMPUTED_VALUE"""),37.0)</f>
        <v>37</v>
      </c>
      <c r="K1636" s="18">
        <f>IFERROR(__xludf.DUMMYFUNCTION("""COMPUTED_VALUE"""),30.0)</f>
        <v>30</v>
      </c>
      <c r="L1636" s="17">
        <f>IFERROR(__xludf.DUMMYFUNCTION("""COMPUTED_VALUE"""),3.016937674E9)</f>
        <v>3016937674</v>
      </c>
      <c r="M1636" s="17" t="str">
        <f>IFERROR(__xludf.DUMMYFUNCTION("""COMPUTED_VALUE"""),"#REF!")</f>
        <v>#REF!</v>
      </c>
      <c r="N1636" s="17"/>
      <c r="O1636" s="17"/>
      <c r="P1636" s="17" t="b">
        <f>IFERROR(__xludf.DUMMYFUNCTION("""COMPUTED_VALUE"""),FALSE)</f>
        <v>0</v>
      </c>
      <c r="Q1636" s="20" t="str">
        <f>IFERROR(__xludf.DUMMYFUNCTION("""COMPUTED_VALUE"""),"")</f>
        <v/>
      </c>
      <c r="R1636" s="22" t="str">
        <f>IFERROR(__xludf.DUMMYFUNCTION("""COMPUTED_VALUE"""),"")</f>
        <v/>
      </c>
    </row>
    <row r="1637">
      <c r="A1637" s="15">
        <f>IFERROR(__xludf.DUMMYFUNCTION("""COMPUTED_VALUE"""),45049.0)</f>
        <v>45049</v>
      </c>
      <c r="B1637" s="16" t="str">
        <f>IFERROR(__xludf.DUMMYFUNCTION("""COMPUTED_VALUE"""),"Envia")</f>
        <v>Envia</v>
      </c>
      <c r="C1637" s="15" t="str">
        <f>IFERROR(__xludf.DUMMYFUNCTION("""COMPUTED_VALUE"""),"MEDELLÍN")</f>
        <v>MEDELLÍN</v>
      </c>
      <c r="D1637" s="15" t="str">
        <f>IFERROR(__xludf.DUMMYFUNCTION("""COMPUTED_VALUE"""),"BOGOTÁ")</f>
        <v>BOGOTÁ</v>
      </c>
      <c r="E1637" s="15" t="str">
        <f>IFERROR(__xludf.DUMMYFUNCTION("""COMPUTED_VALUE"""),"Evamazzita")</f>
        <v>Evamazzita</v>
      </c>
      <c r="F1637" s="17" t="str">
        <f>IFERROR(__xludf.DUMMYFUNCTION("""COMPUTED_VALUE"""),"Cra 53 N 73 sur 40  / Unidad entrebosques Apto 1513   / Barrio Santa catalina - ITAGÜÍ")</f>
        <v>Cra 53 N 73 sur 40  / Unidad entrebosques Apto 1513   / Barrio Santa catalina - ITAGÜÍ</v>
      </c>
      <c r="G1637" s="15" t="str">
        <f>IFERROR(__xludf.DUMMYFUNCTION("""COMPUTED_VALUE"""),"ALEJANDRA PEREZ GIL")</f>
        <v>ALEJANDRA PEREZ GIL</v>
      </c>
      <c r="H1637" s="16">
        <f>IFERROR(__xludf.DUMMYFUNCTION("""COMPUTED_VALUE"""),10273.0)</f>
        <v>10273</v>
      </c>
      <c r="I1637" s="18">
        <f>IFERROR(__xludf.DUMMYFUNCTION("""COMPUTED_VALUE"""),3.0)</f>
        <v>3</v>
      </c>
      <c r="J1637" s="18">
        <f>IFERROR(__xludf.DUMMYFUNCTION("""COMPUTED_VALUE"""),15.0)</f>
        <v>15</v>
      </c>
      <c r="K1637" s="18">
        <f>IFERROR(__xludf.DUMMYFUNCTION("""COMPUTED_VALUE"""),20.0)</f>
        <v>20</v>
      </c>
      <c r="L1637" s="17">
        <f>IFERROR(__xludf.DUMMYFUNCTION("""COMPUTED_VALUE"""),3.137292194E9)</f>
        <v>3137292194</v>
      </c>
      <c r="M1637" s="17" t="str">
        <f>IFERROR(__xludf.DUMMYFUNCTION("""COMPUTED_VALUE"""),"#REF!")</f>
        <v>#REF!</v>
      </c>
      <c r="N1637" s="17"/>
      <c r="O1637" s="17"/>
      <c r="P1637" s="17" t="b">
        <f>IFERROR(__xludf.DUMMYFUNCTION("""COMPUTED_VALUE"""),FALSE)</f>
        <v>0</v>
      </c>
      <c r="Q1637" s="20" t="str">
        <f>IFERROR(__xludf.DUMMYFUNCTION("""COMPUTED_VALUE"""),"")</f>
        <v/>
      </c>
      <c r="R1637" s="22" t="str">
        <f>IFERROR(__xludf.DUMMYFUNCTION("""COMPUTED_VALUE"""),"")</f>
        <v/>
      </c>
    </row>
    <row r="1638">
      <c r="A1638" s="15">
        <f>IFERROR(__xludf.DUMMYFUNCTION("""COMPUTED_VALUE"""),45049.0)</f>
        <v>45049</v>
      </c>
      <c r="B1638" s="16" t="str">
        <f>IFERROR(__xludf.DUMMYFUNCTION("""COMPUTED_VALUE"""),"Envia")</f>
        <v>Envia</v>
      </c>
      <c r="C1638" s="15" t="str">
        <f>IFERROR(__xludf.DUMMYFUNCTION("""COMPUTED_VALUE"""),"MEDELLÍN")</f>
        <v>MEDELLÍN</v>
      </c>
      <c r="D1638" s="15" t="str">
        <f>IFERROR(__xludf.DUMMYFUNCTION("""COMPUTED_VALUE"""),"BOGOTÁ")</f>
        <v>BOGOTÁ</v>
      </c>
      <c r="E1638" s="15" t="str">
        <f>IFERROR(__xludf.DUMMYFUNCTION("""COMPUTED_VALUE"""),"Evamazzita")</f>
        <v>Evamazzita</v>
      </c>
      <c r="F1638" s="17" t="str">
        <f>IFERROR(__xludf.DUMMYFUNCTION("""COMPUTED_VALUE"""),"TRANSV 34DD SUR No. 30A - 22  / APTO 201 Y 301 CASA   BARRIO MANUEL URIBE ANGEL  / ENVIGADO")</f>
        <v>TRANSV 34DD SUR No. 30A - 22  / APTO 201 Y 301 CASA   BARRIO MANUEL URIBE ANGEL  / ENVIGADO</v>
      </c>
      <c r="G1638" s="15" t="str">
        <f>IFERROR(__xludf.DUMMYFUNCTION("""COMPUTED_VALUE"""),"MARLEN LONDOÑO CIFUENTES")</f>
        <v>MARLEN LONDOÑO CIFUENTES</v>
      </c>
      <c r="H1638" s="16">
        <f>IFERROR(__xludf.DUMMYFUNCTION("""COMPUTED_VALUE"""),10272.0)</f>
        <v>10272</v>
      </c>
      <c r="I1638" s="18">
        <f>IFERROR(__xludf.DUMMYFUNCTION("""COMPUTED_VALUE"""),3.0)</f>
        <v>3</v>
      </c>
      <c r="J1638" s="18">
        <f>IFERROR(__xludf.DUMMYFUNCTION("""COMPUTED_VALUE"""),20.0)</f>
        <v>20</v>
      </c>
      <c r="K1638" s="18">
        <f>IFERROR(__xludf.DUMMYFUNCTION("""COMPUTED_VALUE"""),15.0)</f>
        <v>15</v>
      </c>
      <c r="L1638" s="17">
        <f>IFERROR(__xludf.DUMMYFUNCTION("""COMPUTED_VALUE"""),3.156672207E9)</f>
        <v>3156672207</v>
      </c>
      <c r="M1638" s="17" t="str">
        <f>IFERROR(__xludf.DUMMYFUNCTION("""COMPUTED_VALUE"""),"#REF!")</f>
        <v>#REF!</v>
      </c>
      <c r="N1638" s="17"/>
      <c r="O1638" s="17"/>
      <c r="P1638" s="17" t="b">
        <f>IFERROR(__xludf.DUMMYFUNCTION("""COMPUTED_VALUE"""),FALSE)</f>
        <v>0</v>
      </c>
      <c r="Q1638" s="20" t="str">
        <f>IFERROR(__xludf.DUMMYFUNCTION("""COMPUTED_VALUE"""),"")</f>
        <v/>
      </c>
      <c r="R1638" s="22" t="str">
        <f>IFERROR(__xludf.DUMMYFUNCTION("""COMPUTED_VALUE"""),"")</f>
        <v/>
      </c>
    </row>
    <row r="1639">
      <c r="A1639" s="15">
        <f>IFERROR(__xludf.DUMMYFUNCTION("""COMPUTED_VALUE"""),45049.0)</f>
        <v>45049</v>
      </c>
      <c r="B1639" s="16" t="str">
        <f>IFERROR(__xludf.DUMMYFUNCTION("""COMPUTED_VALUE"""),"Envia")</f>
        <v>Envia</v>
      </c>
      <c r="C1639" s="15" t="str">
        <f>IFERROR(__xludf.DUMMYFUNCTION("""COMPUTED_VALUE"""),"MEDELLÍN")</f>
        <v>MEDELLÍN</v>
      </c>
      <c r="D1639" s="15" t="str">
        <f>IFERROR(__xludf.DUMMYFUNCTION("""COMPUTED_VALUE"""),"BOGOTÁ")</f>
        <v>BOGOTÁ</v>
      </c>
      <c r="E1639" s="15" t="str">
        <f>IFERROR(__xludf.DUMMYFUNCTION("""COMPUTED_VALUE"""),"Lunchy Kids")</f>
        <v>Lunchy Kids</v>
      </c>
      <c r="F1639" s="17" t="str">
        <f>IFERROR(__xludf.DUMMYFUNCTION("""COMPUTED_VALUE"""),"Cra 20n 12 sur -424  /  apt 1906 Urbanizacion Duville  / Poblado")</f>
        <v>Cra 20n 12 sur -424  /  apt 1906 Urbanizacion Duville  / Poblado</v>
      </c>
      <c r="G1639" s="15" t="str">
        <f>IFERROR(__xludf.DUMMYFUNCTION("""COMPUTED_VALUE"""),"Karen Marin")</f>
        <v>Karen Marin</v>
      </c>
      <c r="H1639" s="16">
        <f>IFERROR(__xludf.DUMMYFUNCTION("""COMPUTED_VALUE"""),10253.0)</f>
        <v>10253</v>
      </c>
      <c r="I1639" s="18">
        <f>IFERROR(__xludf.DUMMYFUNCTION("""COMPUTED_VALUE"""),10.0)</f>
        <v>10</v>
      </c>
      <c r="J1639" s="18">
        <f>IFERROR(__xludf.DUMMYFUNCTION("""COMPUTED_VALUE"""),25.0)</f>
        <v>25</v>
      </c>
      <c r="K1639" s="18">
        <f>IFERROR(__xludf.DUMMYFUNCTION("""COMPUTED_VALUE"""),10.0)</f>
        <v>10</v>
      </c>
      <c r="L1639" s="17">
        <f>IFERROR(__xludf.DUMMYFUNCTION("""COMPUTED_VALUE"""),3.122925243E9)</f>
        <v>3122925243</v>
      </c>
      <c r="M1639" s="17" t="str">
        <f>IFERROR(__xludf.DUMMYFUNCTION("""COMPUTED_VALUE"""),"#REF!")</f>
        <v>#REF!</v>
      </c>
      <c r="N1639" s="17"/>
      <c r="O1639" s="17"/>
      <c r="P1639" s="17" t="b">
        <f>IFERROR(__xludf.DUMMYFUNCTION("""COMPUTED_VALUE"""),FALSE)</f>
        <v>0</v>
      </c>
      <c r="Q1639" s="20" t="str">
        <f>IFERROR(__xludf.DUMMYFUNCTION("""COMPUTED_VALUE"""),"")</f>
        <v/>
      </c>
      <c r="R1639" s="22" t="str">
        <f>IFERROR(__xludf.DUMMYFUNCTION("""COMPUTED_VALUE"""),"")</f>
        <v/>
      </c>
    </row>
    <row r="1640">
      <c r="A1640" s="15">
        <f>IFERROR(__xludf.DUMMYFUNCTION("""COMPUTED_VALUE"""),45049.0)</f>
        <v>45049</v>
      </c>
      <c r="B1640" s="16" t="str">
        <f>IFERROR(__xludf.DUMMYFUNCTION("""COMPUTED_VALUE"""),"Envia")</f>
        <v>Envia</v>
      </c>
      <c r="C1640" s="15" t="str">
        <f>IFERROR(__xludf.DUMMYFUNCTION("""COMPUTED_VALUE"""),"MEDELLÍN")</f>
        <v>MEDELLÍN</v>
      </c>
      <c r="D1640" s="15" t="str">
        <f>IFERROR(__xludf.DUMMYFUNCTION("""COMPUTED_VALUE"""),"BOGOTÁ")</f>
        <v>BOGOTÁ</v>
      </c>
      <c r="E1640" s="15" t="str">
        <f>IFERROR(__xludf.DUMMYFUNCTION("""COMPUTED_VALUE"""),"Top Spun")</f>
        <v>Top Spun</v>
      </c>
      <c r="F1640" s="17" t="str">
        <f>IFERROR(__xludf.DUMMYFUNCTION("""COMPUTED_VALUE"""),"Cra 27 D # 34 DD sur 69 / Edificio quebec apto 808  / Envigado Antioquia")</f>
        <v>Cra 27 D # 34 DD sur 69 / Edificio quebec apto 808  / Envigado Antioquia</v>
      </c>
      <c r="G1640" s="15" t="str">
        <f>IFERROR(__xludf.DUMMYFUNCTION("""COMPUTED_VALUE"""),"Laura alejandra Gutiérrez cajica")</f>
        <v>Laura alejandra Gutiérrez cajica</v>
      </c>
      <c r="H1640" s="16">
        <f>IFERROR(__xludf.DUMMYFUNCTION("""COMPUTED_VALUE"""),10226.0)</f>
        <v>10226</v>
      </c>
      <c r="I1640" s="18">
        <f>IFERROR(__xludf.DUMMYFUNCTION("""COMPUTED_VALUE"""),20.0)</f>
        <v>20</v>
      </c>
      <c r="J1640" s="18">
        <f>IFERROR(__xludf.DUMMYFUNCTION("""COMPUTED_VALUE"""),10.0)</f>
        <v>10</v>
      </c>
      <c r="K1640" s="18">
        <f>IFERROR(__xludf.DUMMYFUNCTION("""COMPUTED_VALUE"""),40.0)</f>
        <v>40</v>
      </c>
      <c r="L1640" s="17">
        <f>IFERROR(__xludf.DUMMYFUNCTION("""COMPUTED_VALUE"""),3.022927874E9)</f>
        <v>3022927874</v>
      </c>
      <c r="M1640" s="17" t="str">
        <f>IFERROR(__xludf.DUMMYFUNCTION("""COMPUTED_VALUE"""),"#REF!")</f>
        <v>#REF!</v>
      </c>
      <c r="N1640" s="17"/>
      <c r="O1640" s="17"/>
      <c r="P1640" s="17" t="b">
        <f>IFERROR(__xludf.DUMMYFUNCTION("""COMPUTED_VALUE"""),FALSE)</f>
        <v>0</v>
      </c>
      <c r="Q1640" s="20" t="str">
        <f>IFERROR(__xludf.DUMMYFUNCTION("""COMPUTED_VALUE"""),"")</f>
        <v/>
      </c>
      <c r="R1640" s="22" t="str">
        <f>IFERROR(__xludf.DUMMYFUNCTION("""COMPUTED_VALUE"""),"")</f>
        <v/>
      </c>
    </row>
    <row r="1641">
      <c r="A1641" s="15">
        <f>IFERROR(__xludf.DUMMYFUNCTION("""COMPUTED_VALUE"""),45049.0)</f>
        <v>45049</v>
      </c>
      <c r="B1641" s="16" t="str">
        <f>IFERROR(__xludf.DUMMYFUNCTION("""COMPUTED_VALUE"""),"Envia")</f>
        <v>Envia</v>
      </c>
      <c r="C1641" s="15" t="str">
        <f>IFERROR(__xludf.DUMMYFUNCTION("""COMPUTED_VALUE"""),"MEDELLÍN")</f>
        <v>MEDELLÍN</v>
      </c>
      <c r="D1641" s="15" t="str">
        <f>IFERROR(__xludf.DUMMYFUNCTION("""COMPUTED_VALUE"""),"BOGOTÁ")</f>
        <v>BOGOTÁ</v>
      </c>
      <c r="E1641" s="15" t="str">
        <f>IFERROR(__xludf.DUMMYFUNCTION("""COMPUTED_VALUE"""),"Top Spun")</f>
        <v>Top Spun</v>
      </c>
      <c r="F1641" s="17" t="str">
        <f>IFERROR(__xludf.DUMMYFUNCTION("""COMPUTED_VALUE"""),"Cra 40 a #40 f sur 82 apto 301 / Ed portal de la sierra  / Envigado -barrio el dorado")</f>
        <v>Cra 40 a #40 f sur 82 apto 301 / Ed portal de la sierra  / Envigado -barrio el dorado</v>
      </c>
      <c r="G1641" s="15" t="str">
        <f>IFERROR(__xludf.DUMMYFUNCTION("""COMPUTED_VALUE"""),"Liliana Agudelo Salazar")</f>
        <v>Liliana Agudelo Salazar</v>
      </c>
      <c r="H1641" s="16">
        <f>IFERROR(__xludf.DUMMYFUNCTION("""COMPUTED_VALUE"""),10229.0)</f>
        <v>10229</v>
      </c>
      <c r="I1641" s="18">
        <f>IFERROR(__xludf.DUMMYFUNCTION("""COMPUTED_VALUE"""),20.0)</f>
        <v>20</v>
      </c>
      <c r="J1641" s="18">
        <f>IFERROR(__xludf.DUMMYFUNCTION("""COMPUTED_VALUE"""),10.0)</f>
        <v>10</v>
      </c>
      <c r="K1641" s="18">
        <f>IFERROR(__xludf.DUMMYFUNCTION("""COMPUTED_VALUE"""),40.0)</f>
        <v>40</v>
      </c>
      <c r="L1641" s="17">
        <f>IFERROR(__xludf.DUMMYFUNCTION("""COMPUTED_VALUE"""),3.128338528E9)</f>
        <v>3128338528</v>
      </c>
      <c r="M1641" s="17" t="str">
        <f>IFERROR(__xludf.DUMMYFUNCTION("""COMPUTED_VALUE"""),"#REF!")</f>
        <v>#REF!</v>
      </c>
      <c r="N1641" s="17"/>
      <c r="O1641" s="17"/>
      <c r="P1641" s="17" t="b">
        <f>IFERROR(__xludf.DUMMYFUNCTION("""COMPUTED_VALUE"""),FALSE)</f>
        <v>0</v>
      </c>
      <c r="Q1641" s="20" t="str">
        <f>IFERROR(__xludf.DUMMYFUNCTION("""COMPUTED_VALUE"""),"")</f>
        <v/>
      </c>
      <c r="R1641" s="22" t="str">
        <f>IFERROR(__xludf.DUMMYFUNCTION("""COMPUTED_VALUE"""),"")</f>
        <v/>
      </c>
    </row>
    <row r="1642">
      <c r="A1642" s="15">
        <f>IFERROR(__xludf.DUMMYFUNCTION("""COMPUTED_VALUE"""),45049.0)</f>
        <v>45049</v>
      </c>
      <c r="B1642" s="16" t="str">
        <f>IFERROR(__xludf.DUMMYFUNCTION("""COMPUTED_VALUE"""),"Envia")</f>
        <v>Envia</v>
      </c>
      <c r="C1642" s="15" t="str">
        <f>IFERROR(__xludf.DUMMYFUNCTION("""COMPUTED_VALUE"""),"PEREIRA")</f>
        <v>PEREIRA</v>
      </c>
      <c r="D1642" s="15" t="str">
        <f>IFERROR(__xludf.DUMMYFUNCTION("""COMPUTED_VALUE"""),"BOGOTÁ")</f>
        <v>BOGOTÁ</v>
      </c>
      <c r="E1642" s="15" t="str">
        <f>IFERROR(__xludf.DUMMYFUNCTION("""COMPUTED_VALUE"""),"Asociacion Agropecuaria Juana Maria")</f>
        <v>Asociacion Agropecuaria Juana Maria</v>
      </c>
      <c r="F1642" s="17" t="str">
        <f>IFERROR(__xludf.DUMMYFUNCTION("""COMPUTED_VALUE"""),"Calle 153 # 23 -41 manzana 1 casa 9 sol de Galicia")</f>
        <v>Calle 153 # 23 -41 manzana 1 casa 9 sol de Galicia</v>
      </c>
      <c r="G1642" s="15" t="str">
        <f>IFERROR(__xludf.DUMMYFUNCTION("""COMPUTED_VALUE"""),"Paula Andrea Forero")</f>
        <v>Paula Andrea Forero</v>
      </c>
      <c r="H1642" s="16">
        <f>IFERROR(__xludf.DUMMYFUNCTION("""COMPUTED_VALUE"""),10236.0)</f>
        <v>10236</v>
      </c>
      <c r="I1642" s="18">
        <f>IFERROR(__xludf.DUMMYFUNCTION("""COMPUTED_VALUE"""),10.0)</f>
        <v>10</v>
      </c>
      <c r="J1642" s="18">
        <f>IFERROR(__xludf.DUMMYFUNCTION("""COMPUTED_VALUE"""),34.0)</f>
        <v>34</v>
      </c>
      <c r="K1642" s="18">
        <f>IFERROR(__xludf.DUMMYFUNCTION("""COMPUTED_VALUE"""),18.0)</f>
        <v>18</v>
      </c>
      <c r="L1642" s="17">
        <f>IFERROR(__xludf.DUMMYFUNCTION("""COMPUTED_VALUE"""),3.115760231E9)</f>
        <v>3115760231</v>
      </c>
      <c r="M1642" s="17" t="str">
        <f>IFERROR(__xludf.DUMMYFUNCTION("""COMPUTED_VALUE"""),"#REF!")</f>
        <v>#REF!</v>
      </c>
      <c r="N1642" s="17"/>
      <c r="O1642" s="17"/>
      <c r="P1642" s="17" t="b">
        <f>IFERROR(__xludf.DUMMYFUNCTION("""COMPUTED_VALUE"""),FALSE)</f>
        <v>0</v>
      </c>
      <c r="Q1642" s="20" t="str">
        <f>IFERROR(__xludf.DUMMYFUNCTION("""COMPUTED_VALUE"""),"")</f>
        <v/>
      </c>
      <c r="R1642" s="22" t="str">
        <f>IFERROR(__xludf.DUMMYFUNCTION("""COMPUTED_VALUE"""),"")</f>
        <v/>
      </c>
    </row>
    <row r="1643">
      <c r="A1643" s="17" t="str">
        <f>IFERROR(__xludf.DUMMYFUNCTION("""COMPUTED_VALUE"""),"")</f>
        <v/>
      </c>
      <c r="B1643" s="17" t="str">
        <f>IFERROR(__xludf.DUMMYFUNCTION("""COMPUTED_VALUE"""),"")</f>
        <v/>
      </c>
      <c r="C1643" s="17" t="str">
        <f>IFERROR(__xludf.DUMMYFUNCTION("""COMPUTED_VALUE"""),"")</f>
        <v/>
      </c>
      <c r="D1643" s="17" t="str">
        <f>IFERROR(__xludf.DUMMYFUNCTION("""COMPUTED_VALUE"""),"")</f>
        <v/>
      </c>
      <c r="E1643" s="17" t="str">
        <f>IFERROR(__xludf.DUMMYFUNCTION("""COMPUTED_VALUE"""),"")</f>
        <v/>
      </c>
      <c r="F1643" s="17" t="str">
        <f>IFERROR(__xludf.DUMMYFUNCTION("""COMPUTED_VALUE"""),"")</f>
        <v/>
      </c>
      <c r="G1643" s="17" t="str">
        <f>IFERROR(__xludf.DUMMYFUNCTION("""COMPUTED_VALUE"""),"")</f>
        <v/>
      </c>
      <c r="H1643" s="17" t="str">
        <f>IFERROR(__xludf.DUMMYFUNCTION("""COMPUTED_VALUE"""),"")</f>
        <v/>
      </c>
      <c r="I1643" s="17" t="str">
        <f>IFERROR(__xludf.DUMMYFUNCTION("""COMPUTED_VALUE"""),"")</f>
        <v/>
      </c>
      <c r="J1643" s="17" t="str">
        <f>IFERROR(__xludf.DUMMYFUNCTION("""COMPUTED_VALUE"""),"")</f>
        <v/>
      </c>
      <c r="K1643" s="17" t="str">
        <f>IFERROR(__xludf.DUMMYFUNCTION("""COMPUTED_VALUE"""),"")</f>
        <v/>
      </c>
      <c r="L1643" s="17" t="str">
        <f>IFERROR(__xludf.DUMMYFUNCTION("""COMPUTED_VALUE"""),"")</f>
        <v/>
      </c>
      <c r="M1643" s="17" t="str">
        <f>IFERROR(__xludf.DUMMYFUNCTION("""COMPUTED_VALUE"""),"")</f>
        <v/>
      </c>
      <c r="N1643" s="17" t="str">
        <f>IFERROR(__xludf.DUMMYFUNCTION("""COMPUTED_VALUE"""),"")</f>
        <v/>
      </c>
      <c r="O1643" s="17" t="str">
        <f>IFERROR(__xludf.DUMMYFUNCTION("""COMPUTED_VALUE"""),"")</f>
        <v/>
      </c>
      <c r="P1643" s="17" t="str">
        <f>IFERROR(__xludf.DUMMYFUNCTION("""COMPUTED_VALUE"""),"")</f>
        <v/>
      </c>
      <c r="Q1643" s="17" t="str">
        <f>IFERROR(__xludf.DUMMYFUNCTION("""COMPUTED_VALUE"""),"")</f>
        <v/>
      </c>
      <c r="R1643" s="17" t="str">
        <f>IFERROR(__xludf.DUMMYFUNCTION("""COMPUTED_VALUE"""),"")</f>
        <v/>
      </c>
    </row>
    <row r="1644">
      <c r="A1644" s="15">
        <f>IFERROR(__xludf.DUMMYFUNCTION("""COMPUTED_VALUE"""),45049.0)</f>
        <v>45049</v>
      </c>
      <c r="B1644" s="16" t="str">
        <f>IFERROR(__xludf.DUMMYFUNCTION("""COMPUTED_VALUE"""),"Jeison Rubiano")</f>
        <v>Jeison Rubiano</v>
      </c>
      <c r="C1644" s="15" t="str">
        <f>IFERROR(__xludf.DUMMYFUNCTION("""COMPUTED_VALUE"""),"BOGOTÁ")</f>
        <v>BOGOTÁ</v>
      </c>
      <c r="D1644" s="15" t="str">
        <f>IFERROR(__xludf.DUMMYFUNCTION("""COMPUTED_VALUE"""),"MEDELLÍN")</f>
        <v>MEDELLÍN</v>
      </c>
      <c r="E1644" s="15" t="str">
        <f>IFERROR(__xludf.DUMMYFUNCTION("""COMPUTED_VALUE"""),"AREPAS LA MARY")</f>
        <v>AREPAS LA MARY</v>
      </c>
      <c r="F1644" s="17" t="str">
        <f>IFERROR(__xludf.DUMMYFUNCTION("""COMPUTED_VALUE"""),"CRA 13 # 93-13 LOCAL 103 / LOCAL 103")</f>
        <v>CRA 13 # 93-13 LOCAL 103 / LOCAL 103</v>
      </c>
      <c r="G1644" s="15" t="str">
        <f>IFERROR(__xludf.DUMMYFUNCTION("""COMPUTED_VALUE"""),"HEALING FOODS")</f>
        <v>HEALING FOODS</v>
      </c>
      <c r="H1644" s="16">
        <f>IFERROR(__xludf.DUMMYFUNCTION("""COMPUTED_VALUE"""),10244.0)</f>
        <v>10244</v>
      </c>
      <c r="I1644" s="18">
        <f>IFERROR(__xludf.DUMMYFUNCTION("""COMPUTED_VALUE"""),89.0)</f>
        <v>89</v>
      </c>
      <c r="J1644" s="18">
        <f>IFERROR(__xludf.DUMMYFUNCTION("""COMPUTED_VALUE"""),1.0)</f>
        <v>1</v>
      </c>
      <c r="K1644" s="18">
        <f>IFERROR(__xludf.DUMMYFUNCTION("""COMPUTED_VALUE"""),10.0)</f>
        <v>10</v>
      </c>
      <c r="L1644" s="17">
        <f>IFERROR(__xludf.DUMMYFUNCTION("""COMPUTED_VALUE"""),3.142647408E9)</f>
        <v>3142647408</v>
      </c>
      <c r="M1644" s="17" t="str">
        <f>IFERROR(__xludf.DUMMYFUNCTION("""COMPUTED_VALUE"""),"#REF!")</f>
        <v>#REF!</v>
      </c>
      <c r="N1644" s="17"/>
      <c r="O1644" s="17"/>
      <c r="P1644" s="17" t="b">
        <f>IFERROR(__xludf.DUMMYFUNCTION("""COMPUTED_VALUE"""),TRUE)</f>
        <v>1</v>
      </c>
      <c r="Q1644" s="20">
        <f>IFERROR(__xludf.DUMMYFUNCTION("""COMPUTED_VALUE"""),45049.70215157408)</f>
        <v>45049.70215</v>
      </c>
      <c r="R1644" s="22" t="str">
        <f>IFERROR(__xludf.DUMMYFUNCTION("""COMPUTED_VALUE"""),"")</f>
        <v/>
      </c>
    </row>
    <row r="1645">
      <c r="A1645" s="15">
        <f>IFERROR(__xludf.DUMMYFUNCTION("""COMPUTED_VALUE"""),45049.0)</f>
        <v>45049</v>
      </c>
      <c r="B1645" s="16" t="str">
        <f>IFERROR(__xludf.DUMMYFUNCTION("""COMPUTED_VALUE"""),"Jeison Rubiano")</f>
        <v>Jeison Rubiano</v>
      </c>
      <c r="C1645" s="15" t="str">
        <f>IFERROR(__xludf.DUMMYFUNCTION("""COMPUTED_VALUE"""),"BOGOTÁ")</f>
        <v>BOGOTÁ</v>
      </c>
      <c r="D1645" s="15" t="str">
        <f>IFERROR(__xludf.DUMMYFUNCTION("""COMPUTED_VALUE"""),"MEDELLÍN")</f>
        <v>MEDELLÍN</v>
      </c>
      <c r="E1645" s="15" t="str">
        <f>IFERROR(__xludf.DUMMYFUNCTION("""COMPUTED_VALUE"""),"AREPAS LA MARY")</f>
        <v>AREPAS LA MARY</v>
      </c>
      <c r="F1645" s="17" t="str">
        <f>IFERROR(__xludf.DUMMYFUNCTION("""COMPUTED_VALUE"""),"CRA 81F N.41F 17 SUR / CASA")</f>
        <v>CRA 81F N.41F 17 SUR / CASA</v>
      </c>
      <c r="G1645" s="15" t="str">
        <f>IFERROR(__xludf.DUMMYFUNCTION("""COMPUTED_VALUE"""),"FREDDY ALBERTO VELOZA")</f>
        <v>FREDDY ALBERTO VELOZA</v>
      </c>
      <c r="H1645" s="16">
        <f>IFERROR(__xludf.DUMMYFUNCTION("""COMPUTED_VALUE"""),10245.0)</f>
        <v>10245</v>
      </c>
      <c r="I1645" s="18">
        <f>IFERROR(__xludf.DUMMYFUNCTION("""COMPUTED_VALUE"""),89.0)</f>
        <v>89</v>
      </c>
      <c r="J1645" s="18">
        <f>IFERROR(__xludf.DUMMYFUNCTION("""COMPUTED_VALUE"""),1.0)</f>
        <v>1</v>
      </c>
      <c r="K1645" s="18">
        <f>IFERROR(__xludf.DUMMYFUNCTION("""COMPUTED_VALUE"""),10.0)</f>
        <v>10</v>
      </c>
      <c r="L1645" s="17">
        <f>IFERROR(__xludf.DUMMYFUNCTION("""COMPUTED_VALUE"""),3.208576423E9)</f>
        <v>3208576423</v>
      </c>
      <c r="M1645" s="17" t="str">
        <f>IFERROR(__xludf.DUMMYFUNCTION("""COMPUTED_VALUE"""),"#REF!")</f>
        <v>#REF!</v>
      </c>
      <c r="N1645" s="17"/>
      <c r="O1645" s="17"/>
      <c r="P1645" s="17" t="b">
        <f>IFERROR(__xludf.DUMMYFUNCTION("""COMPUTED_VALUE"""),FALSE)</f>
        <v>0</v>
      </c>
      <c r="Q1645" s="20" t="str">
        <f>IFERROR(__xludf.DUMMYFUNCTION("""COMPUTED_VALUE"""),"")</f>
        <v/>
      </c>
      <c r="R1645" s="22" t="str">
        <f>IFERROR(__xludf.DUMMYFUNCTION("""COMPUTED_VALUE"""),"")</f>
        <v/>
      </c>
    </row>
    <row r="1646">
      <c r="A1646" s="15">
        <f>IFERROR(__xludf.DUMMYFUNCTION("""COMPUTED_VALUE"""),45049.0)</f>
        <v>45049</v>
      </c>
      <c r="B1646" s="16" t="str">
        <f>IFERROR(__xludf.DUMMYFUNCTION("""COMPUTED_VALUE"""),"Jeison Rubiano")</f>
        <v>Jeison Rubiano</v>
      </c>
      <c r="C1646" s="15" t="str">
        <f>IFERROR(__xludf.DUMMYFUNCTION("""COMPUTED_VALUE"""),"BOGOTÁ")</f>
        <v>BOGOTÁ</v>
      </c>
      <c r="D1646" s="15" t="str">
        <f>IFERROR(__xludf.DUMMYFUNCTION("""COMPUTED_VALUE"""),"MEDELLÍN")</f>
        <v>MEDELLÍN</v>
      </c>
      <c r="E1646" s="15" t="str">
        <f>IFERROR(__xludf.DUMMYFUNCTION("""COMPUTED_VALUE"""),"Baby Chef")</f>
        <v>Baby Chef</v>
      </c>
      <c r="F1646" s="17" t="str">
        <f>IFERROR(__xludf.DUMMYFUNCTION("""COMPUTED_VALUE"""),"Calle 3a # 8b-35 sur  / Nariño sur  / Cerca a la cárcel distrital")</f>
        <v>Calle 3a # 8b-35 sur  / Nariño sur  / Cerca a la cárcel distrital</v>
      </c>
      <c r="G1646" s="15" t="str">
        <f>IFERROR(__xludf.DUMMYFUNCTION("""COMPUTED_VALUE"""),"Vanesa Dominguez")</f>
        <v>Vanesa Dominguez</v>
      </c>
      <c r="H1646" s="16">
        <f>IFERROR(__xludf.DUMMYFUNCTION("""COMPUTED_VALUE"""),10315.0)</f>
        <v>10315</v>
      </c>
      <c r="I1646" s="18">
        <f>IFERROR(__xludf.DUMMYFUNCTION("""COMPUTED_VALUE"""),8.0)</f>
        <v>8</v>
      </c>
      <c r="J1646" s="18">
        <f>IFERROR(__xludf.DUMMYFUNCTION("""COMPUTED_VALUE"""),16.0)</f>
        <v>16</v>
      </c>
      <c r="K1646" s="18">
        <f>IFERROR(__xludf.DUMMYFUNCTION("""COMPUTED_VALUE"""),20.0)</f>
        <v>20</v>
      </c>
      <c r="L1646" s="17">
        <f>IFERROR(__xludf.DUMMYFUNCTION("""COMPUTED_VALUE"""),3.219208081E9)</f>
        <v>3219208081</v>
      </c>
      <c r="M1646" s="17" t="str">
        <f>IFERROR(__xludf.DUMMYFUNCTION("""COMPUTED_VALUE"""),"#REF!")</f>
        <v>#REF!</v>
      </c>
      <c r="N1646" s="17"/>
      <c r="O1646" s="17"/>
      <c r="P1646" s="17" t="b">
        <f>IFERROR(__xludf.DUMMYFUNCTION("""COMPUTED_VALUE"""),FALSE)</f>
        <v>0</v>
      </c>
      <c r="Q1646" s="20" t="str">
        <f>IFERROR(__xludf.DUMMYFUNCTION("""COMPUTED_VALUE"""),"")</f>
        <v/>
      </c>
      <c r="R1646" s="22" t="str">
        <f>IFERROR(__xludf.DUMMYFUNCTION("""COMPUTED_VALUE"""),"")</f>
        <v/>
      </c>
    </row>
    <row r="1647">
      <c r="A1647" s="15">
        <f>IFERROR(__xludf.DUMMYFUNCTION("""COMPUTED_VALUE"""),45049.0)</f>
        <v>45049</v>
      </c>
      <c r="B1647" s="16" t="str">
        <f>IFERROR(__xludf.DUMMYFUNCTION("""COMPUTED_VALUE"""),"Jeison Rubiano")</f>
        <v>Jeison Rubiano</v>
      </c>
      <c r="C1647" s="15" t="str">
        <f>IFERROR(__xludf.DUMMYFUNCTION("""COMPUTED_VALUE"""),"BOGOTÁ")</f>
        <v>BOGOTÁ</v>
      </c>
      <c r="D1647" s="15" t="str">
        <f>IFERROR(__xludf.DUMMYFUNCTION("""COMPUTED_VALUE"""),"MEDELLÍN")</f>
        <v>MEDELLÍN</v>
      </c>
      <c r="E1647" s="15" t="str">
        <f>IFERROR(__xludf.DUMMYFUNCTION("""COMPUTED_VALUE"""),"Baby Chef")</f>
        <v>Baby Chef</v>
      </c>
      <c r="F1647" s="17" t="str">
        <f>IFERROR(__xludf.DUMMYFUNCTION("""COMPUTED_VALUE"""),"Cra 77 # 18 - 51  / Conjunto La Arboleda Torre 4 Apto 402 / BOGOTÁ")</f>
        <v>Cra 77 # 18 - 51  / Conjunto La Arboleda Torre 4 Apto 402 / BOGOTÁ</v>
      </c>
      <c r="G1647" s="15" t="str">
        <f>IFERROR(__xludf.DUMMYFUNCTION("""COMPUTED_VALUE"""),"Kate Figueroa")</f>
        <v>Kate Figueroa</v>
      </c>
      <c r="H1647" s="16">
        <f>IFERROR(__xludf.DUMMYFUNCTION("""COMPUTED_VALUE"""),10321.0)</f>
        <v>10321</v>
      </c>
      <c r="I1647" s="18">
        <f>IFERROR(__xludf.DUMMYFUNCTION("""COMPUTED_VALUE"""),8.0)</f>
        <v>8</v>
      </c>
      <c r="J1647" s="18">
        <f>IFERROR(__xludf.DUMMYFUNCTION("""COMPUTED_VALUE"""),16.0)</f>
        <v>16</v>
      </c>
      <c r="K1647" s="18">
        <f>IFERROR(__xludf.DUMMYFUNCTION("""COMPUTED_VALUE"""),20.0)</f>
        <v>20</v>
      </c>
      <c r="L1647" s="17">
        <f>IFERROR(__xludf.DUMMYFUNCTION("""COMPUTED_VALUE"""),3.502970217E9)</f>
        <v>3502970217</v>
      </c>
      <c r="M1647" s="17" t="str">
        <f>IFERROR(__xludf.DUMMYFUNCTION("""COMPUTED_VALUE"""),"#REF!")</f>
        <v>#REF!</v>
      </c>
      <c r="N1647" s="17"/>
      <c r="O1647" s="17"/>
      <c r="P1647" s="17" t="b">
        <f>IFERROR(__xludf.DUMMYFUNCTION("""COMPUTED_VALUE"""),TRUE)</f>
        <v>1</v>
      </c>
      <c r="Q1647" s="20">
        <f>IFERROR(__xludf.DUMMYFUNCTION("""COMPUTED_VALUE"""),45049.69838189815)</f>
        <v>45049.69838</v>
      </c>
      <c r="R1647" s="22" t="str">
        <f>IFERROR(__xludf.DUMMYFUNCTION("""COMPUTED_VALUE"""),"")</f>
        <v/>
      </c>
    </row>
    <row r="1648">
      <c r="A1648" s="15">
        <f>IFERROR(__xludf.DUMMYFUNCTION("""COMPUTED_VALUE"""),45049.0)</f>
        <v>45049</v>
      </c>
      <c r="B1648" s="16" t="str">
        <f>IFERROR(__xludf.DUMMYFUNCTION("""COMPUTED_VALUE"""),"Jeison Rubiano")</f>
        <v>Jeison Rubiano</v>
      </c>
      <c r="C1648" s="15" t="str">
        <f>IFERROR(__xludf.DUMMYFUNCTION("""COMPUTED_VALUE"""),"BOGOTÁ")</f>
        <v>BOGOTÁ</v>
      </c>
      <c r="D1648" s="15" t="str">
        <f>IFERROR(__xludf.DUMMYFUNCTION("""COMPUTED_VALUE"""),"MEDELLÍN")</f>
        <v>MEDELLÍN</v>
      </c>
      <c r="E1648" s="15" t="str">
        <f>IFERROR(__xludf.DUMMYFUNCTION("""COMPUTED_VALUE"""),"Lácteos El Pino SAS")</f>
        <v>Lácteos El Pino SAS</v>
      </c>
      <c r="F1648" s="17" t="str">
        <f>IFERROR(__xludf.DUMMYFUNCTION("""COMPUTED_VALUE"""),"CALLE 93# 18 -81 / ENTREGAR EN EL LOCAL")</f>
        <v>CALLE 93# 18 -81 / ENTREGAR EN EL LOCAL</v>
      </c>
      <c r="G1648" s="15" t="str">
        <f>IFERROR(__xludf.DUMMYFUNCTION("""COMPUTED_VALUE"""),"KIM")</f>
        <v>KIM</v>
      </c>
      <c r="H1648" s="16">
        <f>IFERROR(__xludf.DUMMYFUNCTION("""COMPUTED_VALUE"""),10251.0)</f>
        <v>10251</v>
      </c>
      <c r="I1648" s="18">
        <f>IFERROR(__xludf.DUMMYFUNCTION("""COMPUTED_VALUE"""),33.0)</f>
        <v>33</v>
      </c>
      <c r="J1648" s="18">
        <f>IFERROR(__xludf.DUMMYFUNCTION("""COMPUTED_VALUE"""),22.0)</f>
        <v>22</v>
      </c>
      <c r="K1648" s="18">
        <f>IFERROR(__xludf.DUMMYFUNCTION("""COMPUTED_VALUE"""),36.0)</f>
        <v>36</v>
      </c>
      <c r="L1648" s="17"/>
      <c r="M1648" s="17" t="str">
        <f>IFERROR(__xludf.DUMMYFUNCTION("""COMPUTED_VALUE"""),"#REF!")</f>
        <v>#REF!</v>
      </c>
      <c r="N1648" s="17"/>
      <c r="O1648" s="17"/>
      <c r="P1648" s="17" t="b">
        <f>IFERROR(__xludf.DUMMYFUNCTION("""COMPUTED_VALUE"""),FALSE)</f>
        <v>0</v>
      </c>
      <c r="Q1648" s="20" t="str">
        <f>IFERROR(__xludf.DUMMYFUNCTION("""COMPUTED_VALUE"""),"")</f>
        <v/>
      </c>
      <c r="R1648" s="22" t="str">
        <f>IFERROR(__xludf.DUMMYFUNCTION("""COMPUTED_VALUE"""),"")</f>
        <v/>
      </c>
    </row>
    <row r="1649">
      <c r="A1649" s="15">
        <f>IFERROR(__xludf.DUMMYFUNCTION("""COMPUTED_VALUE"""),45049.0)</f>
        <v>45049</v>
      </c>
      <c r="B1649" s="16" t="str">
        <f>IFERROR(__xludf.DUMMYFUNCTION("""COMPUTED_VALUE"""),"Jeison Rubiano")</f>
        <v>Jeison Rubiano</v>
      </c>
      <c r="C1649" s="15" t="str">
        <f>IFERROR(__xludf.DUMMYFUNCTION("""COMPUTED_VALUE"""),"BOGOTÁ")</f>
        <v>BOGOTÁ</v>
      </c>
      <c r="D1649" s="15" t="str">
        <f>IFERROR(__xludf.DUMMYFUNCTION("""COMPUTED_VALUE"""),"MEDELLÍN")</f>
        <v>MEDELLÍN</v>
      </c>
      <c r="E1649" s="15" t="str">
        <f>IFERROR(__xludf.DUMMYFUNCTION("""COMPUTED_VALUE"""),"Moloso S.A.S")</f>
        <v>Moloso S.A.S</v>
      </c>
      <c r="F1649" s="17" t="str">
        <f>IFERROR(__xludf.DUMMYFUNCTION("""COMPUTED_VALUE"""),"CRA 18C 112 76 / APTO. 402")</f>
        <v>CRA 18C 112 76 / APTO. 402</v>
      </c>
      <c r="G1649" s="15" t="str">
        <f>IFERROR(__xludf.DUMMYFUNCTION("""COMPUTED_VALUE"""),"MARIA OCHOA MARTELO")</f>
        <v>MARIA OCHOA MARTELO</v>
      </c>
      <c r="H1649" s="16">
        <f>IFERROR(__xludf.DUMMYFUNCTION("""COMPUTED_VALUE"""),10300.0)</f>
        <v>10300</v>
      </c>
      <c r="I1649" s="18">
        <f>IFERROR(__xludf.DUMMYFUNCTION("""COMPUTED_VALUE"""),17.0)</f>
        <v>17</v>
      </c>
      <c r="J1649" s="18">
        <f>IFERROR(__xludf.DUMMYFUNCTION("""COMPUTED_VALUE"""),15.0)</f>
        <v>15</v>
      </c>
      <c r="K1649" s="18">
        <f>IFERROR(__xludf.DUMMYFUNCTION("""COMPUTED_VALUE"""),28.0)</f>
        <v>28</v>
      </c>
      <c r="L1649" s="17" t="str">
        <f>IFERROR(__xludf.DUMMYFUNCTION("""COMPUTED_VALUE"""),"301 7890418")</f>
        <v>301 7890418</v>
      </c>
      <c r="M1649" s="17" t="str">
        <f>IFERROR(__xludf.DUMMYFUNCTION("""COMPUTED_VALUE"""),"#REF!")</f>
        <v>#REF!</v>
      </c>
      <c r="N1649" s="17"/>
      <c r="O1649" s="17"/>
      <c r="P1649" s="17" t="b">
        <f>IFERROR(__xludf.DUMMYFUNCTION("""COMPUTED_VALUE"""),FALSE)</f>
        <v>0</v>
      </c>
      <c r="Q1649" s="20" t="str">
        <f>IFERROR(__xludf.DUMMYFUNCTION("""COMPUTED_VALUE"""),"")</f>
        <v/>
      </c>
      <c r="R1649" s="22" t="str">
        <f>IFERROR(__xludf.DUMMYFUNCTION("""COMPUTED_VALUE"""),"")</f>
        <v/>
      </c>
    </row>
    <row r="1650">
      <c r="A1650" s="15">
        <f>IFERROR(__xludf.DUMMYFUNCTION("""COMPUTED_VALUE"""),45049.0)</f>
        <v>45049</v>
      </c>
      <c r="B1650" s="16" t="str">
        <f>IFERROR(__xludf.DUMMYFUNCTION("""COMPUTED_VALUE"""),"Jeison Rubiano")</f>
        <v>Jeison Rubiano</v>
      </c>
      <c r="C1650" s="15" t="str">
        <f>IFERROR(__xludf.DUMMYFUNCTION("""COMPUTED_VALUE"""),"MANIZALES")</f>
        <v>MANIZALES</v>
      </c>
      <c r="D1650" s="15" t="str">
        <f>IFERROR(__xludf.DUMMYFUNCTION("""COMPUTED_VALUE"""),"MEDELLÍN")</f>
        <v>MEDELLÍN</v>
      </c>
      <c r="E1650" s="15" t="str">
        <f>IFERROR(__xludf.DUMMYFUNCTION("""COMPUTED_VALUE"""),"Todo Bufala")</f>
        <v>Todo Bufala</v>
      </c>
      <c r="F1650" s="17" t="str">
        <f>IFERROR(__xludf.DUMMYFUNCTION("""COMPUTED_VALUE"""),"Call 66 23b-11 / Edifico calle larga, local 5c")</f>
        <v>Call 66 23b-11 / Edifico calle larga, local 5c</v>
      </c>
      <c r="G1650" s="15" t="str">
        <f>IFERROR(__xludf.DUMMYFUNCTION("""COMPUTED_VALUE"""),"Sebastian Perez")</f>
        <v>Sebastian Perez</v>
      </c>
      <c r="H1650" s="16">
        <f>IFERROR(__xludf.DUMMYFUNCTION("""COMPUTED_VALUE"""),10265.0)</f>
        <v>10265</v>
      </c>
      <c r="I1650" s="18">
        <f>IFERROR(__xludf.DUMMYFUNCTION("""COMPUTED_VALUE"""),40.0)</f>
        <v>40</v>
      </c>
      <c r="J1650" s="18">
        <f>IFERROR(__xludf.DUMMYFUNCTION("""COMPUTED_VALUE"""),30.0)</f>
        <v>30</v>
      </c>
      <c r="K1650" s="18">
        <f>IFERROR(__xludf.DUMMYFUNCTION("""COMPUTED_VALUE"""),20.0)</f>
        <v>20</v>
      </c>
      <c r="L1650" s="17"/>
      <c r="M1650" s="17" t="str">
        <f>IFERROR(__xludf.DUMMYFUNCTION("""COMPUTED_VALUE"""),"#REF!")</f>
        <v>#REF!</v>
      </c>
      <c r="N1650" s="17"/>
      <c r="O1650" s="19">
        <f>IFERROR(__xludf.DUMMYFUNCTION("""COMPUTED_VALUE"""),11000.0)</f>
        <v>11000</v>
      </c>
      <c r="P1650" s="17" t="b">
        <f>IFERROR(__xludf.DUMMYFUNCTION("""COMPUTED_VALUE"""),FALSE)</f>
        <v>0</v>
      </c>
      <c r="Q1650" s="20" t="str">
        <f>IFERROR(__xludf.DUMMYFUNCTION("""COMPUTED_VALUE"""),"")</f>
        <v/>
      </c>
      <c r="R1650" s="22" t="str">
        <f>IFERROR(__xludf.DUMMYFUNCTION("""COMPUTED_VALUE"""),"")</f>
        <v/>
      </c>
    </row>
    <row r="1651">
      <c r="A1651" s="17" t="str">
        <f>IFERROR(__xludf.DUMMYFUNCTION("""COMPUTED_VALUE"""),"")</f>
        <v/>
      </c>
      <c r="B1651" s="17" t="str">
        <f>IFERROR(__xludf.DUMMYFUNCTION("""COMPUTED_VALUE"""),"")</f>
        <v/>
      </c>
      <c r="C1651" s="17" t="str">
        <f>IFERROR(__xludf.DUMMYFUNCTION("""COMPUTED_VALUE"""),"")</f>
        <v/>
      </c>
      <c r="D1651" s="17" t="str">
        <f>IFERROR(__xludf.DUMMYFUNCTION("""COMPUTED_VALUE"""),"")</f>
        <v/>
      </c>
      <c r="E1651" s="17" t="str">
        <f>IFERROR(__xludf.DUMMYFUNCTION("""COMPUTED_VALUE"""),"")</f>
        <v/>
      </c>
      <c r="F1651" s="17" t="str">
        <f>IFERROR(__xludf.DUMMYFUNCTION("""COMPUTED_VALUE"""),"")</f>
        <v/>
      </c>
      <c r="G1651" s="17" t="str">
        <f>IFERROR(__xludf.DUMMYFUNCTION("""COMPUTED_VALUE"""),"")</f>
        <v/>
      </c>
      <c r="H1651" s="17" t="str">
        <f>IFERROR(__xludf.DUMMYFUNCTION("""COMPUTED_VALUE"""),"")</f>
        <v/>
      </c>
      <c r="I1651" s="17" t="str">
        <f>IFERROR(__xludf.DUMMYFUNCTION("""COMPUTED_VALUE"""),"")</f>
        <v/>
      </c>
      <c r="J1651" s="17" t="str">
        <f>IFERROR(__xludf.DUMMYFUNCTION("""COMPUTED_VALUE"""),"")</f>
        <v/>
      </c>
      <c r="K1651" s="17" t="str">
        <f>IFERROR(__xludf.DUMMYFUNCTION("""COMPUTED_VALUE"""),"")</f>
        <v/>
      </c>
      <c r="L1651" s="17" t="str">
        <f>IFERROR(__xludf.DUMMYFUNCTION("""COMPUTED_VALUE"""),"")</f>
        <v/>
      </c>
      <c r="M1651" s="17" t="str">
        <f>IFERROR(__xludf.DUMMYFUNCTION("""COMPUTED_VALUE"""),"")</f>
        <v/>
      </c>
      <c r="N1651" s="17" t="str">
        <f>IFERROR(__xludf.DUMMYFUNCTION("""COMPUTED_VALUE"""),"")</f>
        <v/>
      </c>
      <c r="O1651" s="17" t="str">
        <f>IFERROR(__xludf.DUMMYFUNCTION("""COMPUTED_VALUE"""),"")</f>
        <v/>
      </c>
      <c r="P1651" s="17" t="str">
        <f>IFERROR(__xludf.DUMMYFUNCTION("""COMPUTED_VALUE"""),"")</f>
        <v/>
      </c>
      <c r="Q1651" s="17" t="str">
        <f>IFERROR(__xludf.DUMMYFUNCTION("""COMPUTED_VALUE"""),"")</f>
        <v/>
      </c>
      <c r="R1651" s="17" t="str">
        <f>IFERROR(__xludf.DUMMYFUNCTION("""COMPUTED_VALUE"""),"")</f>
        <v/>
      </c>
    </row>
    <row r="1652">
      <c r="A1652" s="15">
        <f>IFERROR(__xludf.DUMMYFUNCTION("""COMPUTED_VALUE"""),45049.0)</f>
        <v>45049</v>
      </c>
      <c r="B1652" s="16" t="str">
        <f>IFERROR(__xludf.DUMMYFUNCTION("""COMPUTED_VALUE"""),"Jesus Manuel Herrera Medina ")</f>
        <v>Jesus Manuel Herrera Medina </v>
      </c>
      <c r="C1652" s="15" t="str">
        <f>IFERROR(__xludf.DUMMYFUNCTION("""COMPUTED_VALUE"""),"BUCARAMANGA")</f>
        <v>BUCARAMANGA</v>
      </c>
      <c r="D1652" s="15" t="str">
        <f>IFERROR(__xludf.DUMMYFUNCTION("""COMPUTED_VALUE"""),"BOGOTÁ")</f>
        <v>BOGOTÁ</v>
      </c>
      <c r="E1652" s="15" t="str">
        <f>IFERROR(__xludf.DUMMYFUNCTION("""COMPUTED_VALUE"""),"Helados Socos")</f>
        <v>Helados Socos</v>
      </c>
      <c r="F1652" s="17" t="str">
        <f>IFERROR(__xludf.DUMMYFUNCTION("""COMPUTED_VALUE"""),"Calle 55 # 29-45  / Casa / Bucaramanga Santader")</f>
        <v>Calle 55 # 29-45  / Casa / Bucaramanga Santader</v>
      </c>
      <c r="G1652" s="15" t="str">
        <f>IFERROR(__xludf.DUMMYFUNCTION("""COMPUTED_VALUE"""),"Mariela Guarín")</f>
        <v>Mariela Guarín</v>
      </c>
      <c r="H1652" s="16">
        <f>IFERROR(__xludf.DUMMYFUNCTION("""COMPUTED_VALUE"""),10221.0)</f>
        <v>10221</v>
      </c>
      <c r="I1652" s="18">
        <f>IFERROR(__xludf.DUMMYFUNCTION("""COMPUTED_VALUE"""),18.0)</f>
        <v>18</v>
      </c>
      <c r="J1652" s="18">
        <f>IFERROR(__xludf.DUMMYFUNCTION("""COMPUTED_VALUE"""),15.0)</f>
        <v>15</v>
      </c>
      <c r="K1652" s="18">
        <f>IFERROR(__xludf.DUMMYFUNCTION("""COMPUTED_VALUE"""),10.0)</f>
        <v>10</v>
      </c>
      <c r="L1652" s="17">
        <f>IFERROR(__xludf.DUMMYFUNCTION("""COMPUTED_VALUE"""),3.158524692E9)</f>
        <v>3158524692</v>
      </c>
      <c r="M1652" s="17" t="str">
        <f>IFERROR(__xludf.DUMMYFUNCTION("""COMPUTED_VALUE"""),"#REF!")</f>
        <v>#REF!</v>
      </c>
      <c r="N1652" s="17"/>
      <c r="O1652" s="19">
        <f>IFERROR(__xludf.DUMMYFUNCTION("""COMPUTED_VALUE"""),11000.0)</f>
        <v>11000</v>
      </c>
      <c r="P1652" s="17" t="b">
        <f>IFERROR(__xludf.DUMMYFUNCTION("""COMPUTED_VALUE"""),FALSE)</f>
        <v>0</v>
      </c>
      <c r="Q1652" s="20" t="str">
        <f>IFERROR(__xludf.DUMMYFUNCTION("""COMPUTED_VALUE"""),"")</f>
        <v/>
      </c>
      <c r="R1652" s="22" t="str">
        <f>IFERROR(__xludf.DUMMYFUNCTION("""COMPUTED_VALUE"""),"")</f>
        <v/>
      </c>
    </row>
    <row r="1653">
      <c r="A1653" s="15">
        <f>IFERROR(__xludf.DUMMYFUNCTION("""COMPUTED_VALUE"""),45049.0)</f>
        <v>45049</v>
      </c>
      <c r="B1653" s="16" t="str">
        <f>IFERROR(__xludf.DUMMYFUNCTION("""COMPUTED_VALUE"""),"Jesus Manuel Herrera Medina ")</f>
        <v>Jesus Manuel Herrera Medina </v>
      </c>
      <c r="C1653" s="15" t="str">
        <f>IFERROR(__xludf.DUMMYFUNCTION("""COMPUTED_VALUE"""),"FLORIDABLANCA")</f>
        <v>FLORIDABLANCA</v>
      </c>
      <c r="D1653" s="15" t="str">
        <f>IFERROR(__xludf.DUMMYFUNCTION("""COMPUTED_VALUE"""),"BOGOTÁ")</f>
        <v>BOGOTÁ</v>
      </c>
      <c r="E1653" s="15" t="str">
        <f>IFERROR(__xludf.DUMMYFUNCTION("""COMPUTED_VALUE"""),"Viiva Fermentados")</f>
        <v>Viiva Fermentados</v>
      </c>
      <c r="F1653" s="17" t="str">
        <f>IFERROR(__xludf.DUMMYFUNCTION("""COMPUTED_VALUE"""),"Calle 31a 26-34  / local 2 / Cañaveral")</f>
        <v>Calle 31a 26-34  / local 2 / Cañaveral</v>
      </c>
      <c r="G1653" s="15" t="str">
        <f>IFERROR(__xludf.DUMMYFUNCTION("""COMPUTED_VALUE"""),"Natalia Ortiz de Olivetta Health Shop")</f>
        <v>Natalia Ortiz de Olivetta Health Shop</v>
      </c>
      <c r="H1653" s="16">
        <f>IFERROR(__xludf.DUMMYFUNCTION("""COMPUTED_VALUE"""),10177.0)</f>
        <v>10177</v>
      </c>
      <c r="I1653" s="18">
        <f>IFERROR(__xludf.DUMMYFUNCTION("""COMPUTED_VALUE"""),27.0)</f>
        <v>27</v>
      </c>
      <c r="J1653" s="18">
        <f>IFERROR(__xludf.DUMMYFUNCTION("""COMPUTED_VALUE"""),40.0)</f>
        <v>40</v>
      </c>
      <c r="K1653" s="18">
        <f>IFERROR(__xludf.DUMMYFUNCTION("""COMPUTED_VALUE"""),30.0)</f>
        <v>30</v>
      </c>
      <c r="L1653" s="17">
        <f>IFERROR(__xludf.DUMMYFUNCTION("""COMPUTED_VALUE"""),3.022371202E9)</f>
        <v>3022371202</v>
      </c>
      <c r="M1653" s="17" t="str">
        <f>IFERROR(__xludf.DUMMYFUNCTION("""COMPUTED_VALUE"""),"#REF!")</f>
        <v>#REF!</v>
      </c>
      <c r="N1653" s="17"/>
      <c r="O1653" s="19">
        <f>IFERROR(__xludf.DUMMYFUNCTION("""COMPUTED_VALUE"""),9000.0)</f>
        <v>9000</v>
      </c>
      <c r="P1653" s="17" t="b">
        <f>IFERROR(__xludf.DUMMYFUNCTION("""COMPUTED_VALUE"""),FALSE)</f>
        <v>0</v>
      </c>
      <c r="Q1653" s="20" t="str">
        <f>IFERROR(__xludf.DUMMYFUNCTION("""COMPUTED_VALUE"""),"")</f>
        <v/>
      </c>
      <c r="R1653" s="22" t="str">
        <f>IFERROR(__xludf.DUMMYFUNCTION("""COMPUTED_VALUE"""),"")</f>
        <v/>
      </c>
    </row>
    <row r="1654">
      <c r="A1654" s="15">
        <f>IFERROR(__xludf.DUMMYFUNCTION("""COMPUTED_VALUE"""),45049.0)</f>
        <v>45049</v>
      </c>
      <c r="B1654" s="16" t="str">
        <f>IFERROR(__xludf.DUMMYFUNCTION("""COMPUTED_VALUE"""),"Jesus Manuel Herrera Medina ")</f>
        <v>Jesus Manuel Herrera Medina </v>
      </c>
      <c r="C1654" s="15" t="str">
        <f>IFERROR(__xludf.DUMMYFUNCTION("""COMPUTED_VALUE"""),"FLORIDABLANCA")</f>
        <v>FLORIDABLANCA</v>
      </c>
      <c r="D1654" s="15" t="str">
        <f>IFERROR(__xludf.DUMMYFUNCTION("""COMPUTED_VALUE"""),"MEDELLÍN")</f>
        <v>MEDELLÍN</v>
      </c>
      <c r="E1654" s="15" t="str">
        <f>IFERROR(__xludf.DUMMYFUNCTION("""COMPUTED_VALUE"""),"AREPAS LA MARY")</f>
        <v>AREPAS LA MARY</v>
      </c>
      <c r="F1654" s="17" t="str">
        <f>IFERROR(__xludf.DUMMYFUNCTION("""COMPUTED_VALUE"""),"calle 113 n 32-79 / torres del bicentenario local 14")</f>
        <v>calle 113 n 32-79 / torres del bicentenario local 14</v>
      </c>
      <c r="G1654" s="15" t="str">
        <f>IFERROR(__xludf.DUMMYFUNCTION("""COMPUTED_VALUE"""),"aguacateria chepita")</f>
        <v>aguacateria chepita</v>
      </c>
      <c r="H1654" s="16">
        <f>IFERROR(__xludf.DUMMYFUNCTION("""COMPUTED_VALUE"""),10222.0)</f>
        <v>10222</v>
      </c>
      <c r="I1654" s="18">
        <f>IFERROR(__xludf.DUMMYFUNCTION("""COMPUTED_VALUE"""),89.0)</f>
        <v>89</v>
      </c>
      <c r="J1654" s="18">
        <f>IFERROR(__xludf.DUMMYFUNCTION("""COMPUTED_VALUE"""),1.0)</f>
        <v>1</v>
      </c>
      <c r="K1654" s="18">
        <f>IFERROR(__xludf.DUMMYFUNCTION("""COMPUTED_VALUE"""),10.0)</f>
        <v>10</v>
      </c>
      <c r="L1654" s="17">
        <f>IFERROR(__xludf.DUMMYFUNCTION("""COMPUTED_VALUE"""),3.174880009E9)</f>
        <v>3174880009</v>
      </c>
      <c r="M1654" s="17" t="str">
        <f>IFERROR(__xludf.DUMMYFUNCTION("""COMPUTED_VALUE"""),"#REF!")</f>
        <v>#REF!</v>
      </c>
      <c r="N1654" s="17"/>
      <c r="O1654" s="19">
        <f>IFERROR(__xludf.DUMMYFUNCTION("""COMPUTED_VALUE"""),20000.0)</f>
        <v>20000</v>
      </c>
      <c r="P1654" s="17" t="b">
        <f>IFERROR(__xludf.DUMMYFUNCTION("""COMPUTED_VALUE"""),FALSE)</f>
        <v>0</v>
      </c>
      <c r="Q1654" s="20" t="str">
        <f>IFERROR(__xludf.DUMMYFUNCTION("""COMPUTED_VALUE"""),"")</f>
        <v/>
      </c>
      <c r="R1654" s="22" t="str">
        <f>IFERROR(__xludf.DUMMYFUNCTION("""COMPUTED_VALUE"""),"")</f>
        <v/>
      </c>
    </row>
    <row r="1655">
      <c r="A1655" s="15">
        <f>IFERROR(__xludf.DUMMYFUNCTION("""COMPUTED_VALUE"""),45049.0)</f>
        <v>45049</v>
      </c>
      <c r="B1655" s="16" t="str">
        <f>IFERROR(__xludf.DUMMYFUNCTION("""COMPUTED_VALUE"""),"Jesus Manuel Herrera Medina ")</f>
        <v>Jesus Manuel Herrera Medina </v>
      </c>
      <c r="C1655" s="15" t="str">
        <f>IFERROR(__xludf.DUMMYFUNCTION("""COMPUTED_VALUE"""),"PEREIRA")</f>
        <v>PEREIRA</v>
      </c>
      <c r="D1655" s="15" t="str">
        <f>IFERROR(__xludf.DUMMYFUNCTION("""COMPUTED_VALUE"""),"MEDELLÍN")</f>
        <v>MEDELLÍN</v>
      </c>
      <c r="E1655" s="15" t="str">
        <f>IFERROR(__xludf.DUMMYFUNCTION("""COMPUTED_VALUE"""),"Baby Chef")</f>
        <v>Baby Chef</v>
      </c>
      <c r="F1655" s="17" t="str">
        <f>IFERROR(__xludf.DUMMYFUNCTION("""COMPUTED_VALUE"""),"Calle 10 15 B 28 / Apto 202 Ed Chiminando - Los Alpes / PEREIRA")</f>
        <v>Calle 10 15 B 28 / Apto 202 Ed Chiminando - Los Alpes / PEREIRA</v>
      </c>
      <c r="G1655" s="15" t="str">
        <f>IFERROR(__xludf.DUMMYFUNCTION("""COMPUTED_VALUE"""),"Natalia Velásquez")</f>
        <v>Natalia Velásquez</v>
      </c>
      <c r="H1655" s="16">
        <f>IFERROR(__xludf.DUMMYFUNCTION("""COMPUTED_VALUE"""),10323.0)</f>
        <v>10323</v>
      </c>
      <c r="I1655" s="18">
        <f>IFERROR(__xludf.DUMMYFUNCTION("""COMPUTED_VALUE"""),8.0)</f>
        <v>8</v>
      </c>
      <c r="J1655" s="18">
        <f>IFERROR(__xludf.DUMMYFUNCTION("""COMPUTED_VALUE"""),16.0)</f>
        <v>16</v>
      </c>
      <c r="K1655" s="18">
        <f>IFERROR(__xludf.DUMMYFUNCTION("""COMPUTED_VALUE"""),20.0)</f>
        <v>20</v>
      </c>
      <c r="L1655" s="17">
        <f>IFERROR(__xludf.DUMMYFUNCTION("""COMPUTED_VALUE"""),3.137537729E9)</f>
        <v>3137537729</v>
      </c>
      <c r="M1655" s="17" t="str">
        <f>IFERROR(__xludf.DUMMYFUNCTION("""COMPUTED_VALUE"""),"#REF!")</f>
        <v>#REF!</v>
      </c>
      <c r="N1655" s="17"/>
      <c r="O1655" s="17"/>
      <c r="P1655" s="17" t="b">
        <f>IFERROR(__xludf.DUMMYFUNCTION("""COMPUTED_VALUE"""),FALSE)</f>
        <v>0</v>
      </c>
      <c r="Q1655" s="20" t="str">
        <f>IFERROR(__xludf.DUMMYFUNCTION("""COMPUTED_VALUE"""),"")</f>
        <v/>
      </c>
      <c r="R1655" s="22" t="str">
        <f>IFERROR(__xludf.DUMMYFUNCTION("""COMPUTED_VALUE"""),"")</f>
        <v/>
      </c>
    </row>
    <row r="1656">
      <c r="A1656" s="15">
        <f>IFERROR(__xludf.DUMMYFUNCTION("""COMPUTED_VALUE"""),45049.0)</f>
        <v>45049</v>
      </c>
      <c r="B1656" s="16" t="str">
        <f>IFERROR(__xludf.DUMMYFUNCTION("""COMPUTED_VALUE"""),"Jesus Manuel Herrera Medina ")</f>
        <v>Jesus Manuel Herrera Medina </v>
      </c>
      <c r="C1656" s="15" t="str">
        <f>IFERROR(__xludf.DUMMYFUNCTION("""COMPUTED_VALUE"""),"PEREIRA")</f>
        <v>PEREIRA</v>
      </c>
      <c r="D1656" s="15" t="str">
        <f>IFERROR(__xludf.DUMMYFUNCTION("""COMPUTED_VALUE"""),"MEDELLÍN")</f>
        <v>MEDELLÍN</v>
      </c>
      <c r="E1656" s="15" t="str">
        <f>IFERROR(__xludf.DUMMYFUNCTION("""COMPUTED_VALUE"""),"Rambla")</f>
        <v>Rambla</v>
      </c>
      <c r="F1656" s="17" t="str">
        <f>IFERROR(__xludf.DUMMYFUNCTION("""COMPUTED_VALUE"""),"CARRERA 14 -12-55 / na / na")</f>
        <v>CARRERA 14 -12-55 / na / na</v>
      </c>
      <c r="G1656" s="15" t="str">
        <f>IFERROR(__xludf.DUMMYFUNCTION("""COMPUTED_VALUE"""),"vita eco")</f>
        <v>vita eco</v>
      </c>
      <c r="H1656" s="16">
        <f>IFERROR(__xludf.DUMMYFUNCTION("""COMPUTED_VALUE"""),10310.0)</f>
        <v>10310</v>
      </c>
      <c r="I1656" s="18">
        <f>IFERROR(__xludf.DUMMYFUNCTION("""COMPUTED_VALUE"""),29.0)</f>
        <v>29</v>
      </c>
      <c r="J1656" s="18">
        <f>IFERROR(__xludf.DUMMYFUNCTION("""COMPUTED_VALUE"""),31.0)</f>
        <v>31</v>
      </c>
      <c r="K1656" s="18">
        <f>IFERROR(__xludf.DUMMYFUNCTION("""COMPUTED_VALUE"""),33.0)</f>
        <v>33</v>
      </c>
      <c r="L1656" s="17">
        <f>IFERROR(__xludf.DUMMYFUNCTION("""COMPUTED_VALUE"""),3.215501948E9)</f>
        <v>3215501948</v>
      </c>
      <c r="M1656" s="17" t="str">
        <f>IFERROR(__xludf.DUMMYFUNCTION("""COMPUTED_VALUE"""),"#REF!")</f>
        <v>#REF!</v>
      </c>
      <c r="N1656" s="17"/>
      <c r="O1656" s="19">
        <f>IFERROR(__xludf.DUMMYFUNCTION("""COMPUTED_VALUE"""),7000.0)</f>
        <v>7000</v>
      </c>
      <c r="P1656" s="17" t="b">
        <f>IFERROR(__xludf.DUMMYFUNCTION("""COMPUTED_VALUE"""),FALSE)</f>
        <v>0</v>
      </c>
      <c r="Q1656" s="20" t="str">
        <f>IFERROR(__xludf.DUMMYFUNCTION("""COMPUTED_VALUE"""),"")</f>
        <v/>
      </c>
      <c r="R1656" s="22" t="str">
        <f>IFERROR(__xludf.DUMMYFUNCTION("""COMPUTED_VALUE"""),"")</f>
        <v/>
      </c>
    </row>
    <row r="1657">
      <c r="A1657" s="17" t="str">
        <f>IFERROR(__xludf.DUMMYFUNCTION("""COMPUTED_VALUE"""),"")</f>
        <v/>
      </c>
      <c r="B1657" s="17" t="str">
        <f>IFERROR(__xludf.DUMMYFUNCTION("""COMPUTED_VALUE"""),"")</f>
        <v/>
      </c>
      <c r="C1657" s="17" t="str">
        <f>IFERROR(__xludf.DUMMYFUNCTION("""COMPUTED_VALUE"""),"")</f>
        <v/>
      </c>
      <c r="D1657" s="17" t="str">
        <f>IFERROR(__xludf.DUMMYFUNCTION("""COMPUTED_VALUE"""),"")</f>
        <v/>
      </c>
      <c r="E1657" s="17" t="str">
        <f>IFERROR(__xludf.DUMMYFUNCTION("""COMPUTED_VALUE"""),"")</f>
        <v/>
      </c>
      <c r="F1657" s="17" t="str">
        <f>IFERROR(__xludf.DUMMYFUNCTION("""COMPUTED_VALUE"""),"")</f>
        <v/>
      </c>
      <c r="G1657" s="17" t="str">
        <f>IFERROR(__xludf.DUMMYFUNCTION("""COMPUTED_VALUE"""),"")</f>
        <v/>
      </c>
      <c r="H1657" s="17" t="str">
        <f>IFERROR(__xludf.DUMMYFUNCTION("""COMPUTED_VALUE"""),"")</f>
        <v/>
      </c>
      <c r="I1657" s="17" t="str">
        <f>IFERROR(__xludf.DUMMYFUNCTION("""COMPUTED_VALUE"""),"")</f>
        <v/>
      </c>
      <c r="J1657" s="17" t="str">
        <f>IFERROR(__xludf.DUMMYFUNCTION("""COMPUTED_VALUE"""),"")</f>
        <v/>
      </c>
      <c r="K1657" s="17" t="str">
        <f>IFERROR(__xludf.DUMMYFUNCTION("""COMPUTED_VALUE"""),"")</f>
        <v/>
      </c>
      <c r="L1657" s="17" t="str">
        <f>IFERROR(__xludf.DUMMYFUNCTION("""COMPUTED_VALUE"""),"")</f>
        <v/>
      </c>
      <c r="M1657" s="17" t="str">
        <f>IFERROR(__xludf.DUMMYFUNCTION("""COMPUTED_VALUE"""),"")</f>
        <v/>
      </c>
      <c r="N1657" s="17" t="str">
        <f>IFERROR(__xludf.DUMMYFUNCTION("""COMPUTED_VALUE"""),"")</f>
        <v/>
      </c>
      <c r="O1657" s="17" t="str">
        <f>IFERROR(__xludf.DUMMYFUNCTION("""COMPUTED_VALUE"""),"")</f>
        <v/>
      </c>
      <c r="P1657" s="17" t="str">
        <f>IFERROR(__xludf.DUMMYFUNCTION("""COMPUTED_VALUE"""),"")</f>
        <v/>
      </c>
      <c r="Q1657" s="17" t="str">
        <f>IFERROR(__xludf.DUMMYFUNCTION("""COMPUTED_VALUE"""),"")</f>
        <v/>
      </c>
      <c r="R1657" s="17" t="str">
        <f>IFERROR(__xludf.DUMMYFUNCTION("""COMPUTED_VALUE"""),"")</f>
        <v/>
      </c>
    </row>
    <row r="1658">
      <c r="A1658" s="15">
        <f>IFERROR(__xludf.DUMMYFUNCTION("""COMPUTED_VALUE"""),45049.0)</f>
        <v>45049</v>
      </c>
      <c r="B1658" s="16" t="str">
        <f>IFERROR(__xludf.DUMMYFUNCTION("""COMPUTED_VALUE"""),"Jhon Anderson Ceballos Hernandez")</f>
        <v>Jhon Anderson Ceballos Hernandez</v>
      </c>
      <c r="C1658" s="15" t="str">
        <f>IFERROR(__xludf.DUMMYFUNCTION("""COMPUTED_VALUE"""),"MANIZALES")</f>
        <v>MANIZALES</v>
      </c>
      <c r="D1658" s="15" t="str">
        <f>IFERROR(__xludf.DUMMYFUNCTION("""COMPUTED_VALUE"""),"BOGOTÁ")</f>
        <v>BOGOTÁ</v>
      </c>
      <c r="E1658" s="15" t="str">
        <f>IFERROR(__xludf.DUMMYFUNCTION("""COMPUTED_VALUE"""),"Blond &amp; This")</f>
        <v>Blond &amp; This</v>
      </c>
      <c r="F1658" s="17" t="str">
        <f>IFERROR(__xludf.DUMMYFUNCTION("""COMPUTED_VALUE"""),"cr23#73-86 / rest farfalla / milan")</f>
        <v>cr23#73-86 / rest farfalla / milan</v>
      </c>
      <c r="G1658" s="15" t="str">
        <f>IFERROR(__xludf.DUMMYFUNCTION("""COMPUTED_VALUE"""),"omairla lopez")</f>
        <v>omairla lopez</v>
      </c>
      <c r="H1658" s="16">
        <f>IFERROR(__xludf.DUMMYFUNCTION("""COMPUTED_VALUE"""),10309.0)</f>
        <v>10309</v>
      </c>
      <c r="I1658" s="18">
        <f>IFERROR(__xludf.DUMMYFUNCTION("""COMPUTED_VALUE"""),14.0)</f>
        <v>14</v>
      </c>
      <c r="J1658" s="18">
        <f>IFERROR(__xludf.DUMMYFUNCTION("""COMPUTED_VALUE"""),26.0)</f>
        <v>26</v>
      </c>
      <c r="K1658" s="18">
        <f>IFERROR(__xludf.DUMMYFUNCTION("""COMPUTED_VALUE"""),31.0)</f>
        <v>31</v>
      </c>
      <c r="L1658" s="17">
        <f>IFERROR(__xludf.DUMMYFUNCTION("""COMPUTED_VALUE"""),3.10421678E9)</f>
        <v>3104216780</v>
      </c>
      <c r="M1658" s="17" t="str">
        <f>IFERROR(__xludf.DUMMYFUNCTION("""COMPUTED_VALUE"""),"#REF!")</f>
        <v>#REF!</v>
      </c>
      <c r="N1658" s="17"/>
      <c r="O1658" s="19">
        <f>IFERROR(__xludf.DUMMYFUNCTION("""COMPUTED_VALUE"""),7000.0)</f>
        <v>7000</v>
      </c>
      <c r="P1658" s="17" t="b">
        <f>IFERROR(__xludf.DUMMYFUNCTION("""COMPUTED_VALUE"""),FALSE)</f>
        <v>0</v>
      </c>
      <c r="Q1658" s="20" t="str">
        <f>IFERROR(__xludf.DUMMYFUNCTION("""COMPUTED_VALUE"""),"")</f>
        <v/>
      </c>
      <c r="R1658" s="22" t="str">
        <f>IFERROR(__xludf.DUMMYFUNCTION("""COMPUTED_VALUE"""),"")</f>
        <v/>
      </c>
    </row>
    <row r="1659">
      <c r="A1659" s="15">
        <f>IFERROR(__xludf.DUMMYFUNCTION("""COMPUTED_VALUE"""),45049.0)</f>
        <v>45049</v>
      </c>
      <c r="B1659" s="16" t="str">
        <f>IFERROR(__xludf.DUMMYFUNCTION("""COMPUTED_VALUE"""),"Jhon Anderson Ceballos Hernandez")</f>
        <v>Jhon Anderson Ceballos Hernandez</v>
      </c>
      <c r="C1659" s="15" t="str">
        <f>IFERROR(__xludf.DUMMYFUNCTION("""COMPUTED_VALUE"""),"MEDELLÍN")</f>
        <v>MEDELLÍN</v>
      </c>
      <c r="D1659" s="15" t="str">
        <f>IFERROR(__xludf.DUMMYFUNCTION("""COMPUTED_VALUE"""),"BOGOTÁ")</f>
        <v>BOGOTÁ</v>
      </c>
      <c r="E1659" s="15" t="str">
        <f>IFERROR(__xludf.DUMMYFUNCTION("""COMPUTED_VALUE"""),"Viiva Fermentados")</f>
        <v>Viiva Fermentados</v>
      </c>
      <c r="F1659" s="17" t="str">
        <f>IFERROR(__xludf.DUMMYFUNCTION("""COMPUTED_VALUE"""),"CR 42 # 08 -39 / LC PISO 1  / El Poblado")</f>
        <v>CR 42 # 08 -39 / LC PISO 1  / El Poblado</v>
      </c>
      <c r="G1659" s="15" t="str">
        <f>IFERROR(__xludf.DUMMYFUNCTION("""COMPUTED_VALUE"""),"Julia Correa Ochoa La Real Vegetal")</f>
        <v>Julia Correa Ochoa La Real Vegetal</v>
      </c>
      <c r="H1659" s="16">
        <f>IFERROR(__xludf.DUMMYFUNCTION("""COMPUTED_VALUE"""),10231.0)</f>
        <v>10231</v>
      </c>
      <c r="I1659" s="18">
        <f>IFERROR(__xludf.DUMMYFUNCTION("""COMPUTED_VALUE"""),27.0)</f>
        <v>27</v>
      </c>
      <c r="J1659" s="18">
        <f>IFERROR(__xludf.DUMMYFUNCTION("""COMPUTED_VALUE"""),40.0)</f>
        <v>40</v>
      </c>
      <c r="K1659" s="18">
        <f>IFERROR(__xludf.DUMMYFUNCTION("""COMPUTED_VALUE"""),30.0)</f>
        <v>30</v>
      </c>
      <c r="L1659" s="17">
        <f>IFERROR(__xludf.DUMMYFUNCTION("""COMPUTED_VALUE"""),3.116345472E9)</f>
        <v>3116345472</v>
      </c>
      <c r="M1659" s="17" t="str">
        <f>IFERROR(__xludf.DUMMYFUNCTION("""COMPUTED_VALUE"""),"#REF!")</f>
        <v>#REF!</v>
      </c>
      <c r="N1659" s="17"/>
      <c r="O1659" s="17"/>
      <c r="P1659" s="17" t="b">
        <f>IFERROR(__xludf.DUMMYFUNCTION("""COMPUTED_VALUE"""),FALSE)</f>
        <v>0</v>
      </c>
      <c r="Q1659" s="20" t="str">
        <f>IFERROR(__xludf.DUMMYFUNCTION("""COMPUTED_VALUE"""),"")</f>
        <v/>
      </c>
      <c r="R1659" s="22" t="str">
        <f>IFERROR(__xludf.DUMMYFUNCTION("""COMPUTED_VALUE"""),"")</f>
        <v/>
      </c>
    </row>
    <row r="1660">
      <c r="A1660" s="15">
        <f>IFERROR(__xludf.DUMMYFUNCTION("""COMPUTED_VALUE"""),45049.0)</f>
        <v>45049</v>
      </c>
      <c r="B1660" s="16" t="str">
        <f>IFERROR(__xludf.DUMMYFUNCTION("""COMPUTED_VALUE"""),"Jhon Anderson Ceballos Hernandez")</f>
        <v>Jhon Anderson Ceballos Hernandez</v>
      </c>
      <c r="C1660" s="15" t="str">
        <f>IFERROR(__xludf.DUMMYFUNCTION("""COMPUTED_VALUE"""),"TUNJA")</f>
        <v>TUNJA</v>
      </c>
      <c r="D1660" s="15" t="str">
        <f>IFERROR(__xludf.DUMMYFUNCTION("""COMPUTED_VALUE"""),"BOGOTÁ")</f>
        <v>BOGOTÁ</v>
      </c>
      <c r="E1660" s="15" t="str">
        <f>IFERROR(__xludf.DUMMYFUNCTION("""COMPUTED_VALUE"""),"Evamazzita")</f>
        <v>Evamazzita</v>
      </c>
      <c r="F1660" s="17" t="str">
        <f>IFERROR(__xludf.DUMMYFUNCTION("""COMPUTED_VALUE"""),"Diagonal 66A # 4-20  / N/A / Barrio Los Muiscas")</f>
        <v>Diagonal 66A # 4-20  / N/A / Barrio Los Muiscas</v>
      </c>
      <c r="G1660" s="15" t="str">
        <f>IFERROR(__xludf.DUMMYFUNCTION("""COMPUTED_VALUE"""),"MERY YOLIMA URIBE RIOS")</f>
        <v>MERY YOLIMA URIBE RIOS</v>
      </c>
      <c r="H1660" s="16">
        <f>IFERROR(__xludf.DUMMYFUNCTION("""COMPUTED_VALUE"""),10260.0)</f>
        <v>10260</v>
      </c>
      <c r="I1660" s="18">
        <f>IFERROR(__xludf.DUMMYFUNCTION("""COMPUTED_VALUE"""),8.0)</f>
        <v>8</v>
      </c>
      <c r="J1660" s="18">
        <f>IFERROR(__xludf.DUMMYFUNCTION("""COMPUTED_VALUE"""),12.0)</f>
        <v>12</v>
      </c>
      <c r="K1660" s="18">
        <f>IFERROR(__xludf.DUMMYFUNCTION("""COMPUTED_VALUE"""),21.0)</f>
        <v>21</v>
      </c>
      <c r="L1660" s="17">
        <f>IFERROR(__xludf.DUMMYFUNCTION("""COMPUTED_VALUE"""),3.102399974E9)</f>
        <v>3102399974</v>
      </c>
      <c r="M1660" s="17" t="str">
        <f>IFERROR(__xludf.DUMMYFUNCTION("""COMPUTED_VALUE"""),"#REF!")</f>
        <v>#REF!</v>
      </c>
      <c r="N1660" s="17"/>
      <c r="O1660" s="19">
        <f>IFERROR(__xludf.DUMMYFUNCTION("""COMPUTED_VALUE"""),10000.0)</f>
        <v>10000</v>
      </c>
      <c r="P1660" s="17" t="b">
        <f>IFERROR(__xludf.DUMMYFUNCTION("""COMPUTED_VALUE"""),FALSE)</f>
        <v>0</v>
      </c>
      <c r="Q1660" s="20" t="str">
        <f>IFERROR(__xludf.DUMMYFUNCTION("""COMPUTED_VALUE"""),"")</f>
        <v/>
      </c>
      <c r="R1660" s="22" t="str">
        <f>IFERROR(__xludf.DUMMYFUNCTION("""COMPUTED_VALUE"""),"")</f>
        <v/>
      </c>
    </row>
    <row r="1661">
      <c r="A1661" s="17" t="str">
        <f>IFERROR(__xludf.DUMMYFUNCTION("""COMPUTED_VALUE"""),"")</f>
        <v/>
      </c>
      <c r="B1661" s="17" t="str">
        <f>IFERROR(__xludf.DUMMYFUNCTION("""COMPUTED_VALUE"""),"")</f>
        <v/>
      </c>
      <c r="C1661" s="17" t="str">
        <f>IFERROR(__xludf.DUMMYFUNCTION("""COMPUTED_VALUE"""),"")</f>
        <v/>
      </c>
      <c r="D1661" s="17" t="str">
        <f>IFERROR(__xludf.DUMMYFUNCTION("""COMPUTED_VALUE"""),"")</f>
        <v/>
      </c>
      <c r="E1661" s="17" t="str">
        <f>IFERROR(__xludf.DUMMYFUNCTION("""COMPUTED_VALUE"""),"")</f>
        <v/>
      </c>
      <c r="F1661" s="17" t="str">
        <f>IFERROR(__xludf.DUMMYFUNCTION("""COMPUTED_VALUE"""),"")</f>
        <v/>
      </c>
      <c r="G1661" s="17" t="str">
        <f>IFERROR(__xludf.DUMMYFUNCTION("""COMPUTED_VALUE"""),"")</f>
        <v/>
      </c>
      <c r="H1661" s="17" t="str">
        <f>IFERROR(__xludf.DUMMYFUNCTION("""COMPUTED_VALUE"""),"")</f>
        <v/>
      </c>
      <c r="I1661" s="17" t="str">
        <f>IFERROR(__xludf.DUMMYFUNCTION("""COMPUTED_VALUE"""),"")</f>
        <v/>
      </c>
      <c r="J1661" s="17" t="str">
        <f>IFERROR(__xludf.DUMMYFUNCTION("""COMPUTED_VALUE"""),"")</f>
        <v/>
      </c>
      <c r="K1661" s="17" t="str">
        <f>IFERROR(__xludf.DUMMYFUNCTION("""COMPUTED_VALUE"""),"")</f>
        <v/>
      </c>
      <c r="L1661" s="17" t="str">
        <f>IFERROR(__xludf.DUMMYFUNCTION("""COMPUTED_VALUE"""),"")</f>
        <v/>
      </c>
      <c r="M1661" s="17" t="str">
        <f>IFERROR(__xludf.DUMMYFUNCTION("""COMPUTED_VALUE"""),"")</f>
        <v/>
      </c>
      <c r="N1661" s="17" t="str">
        <f>IFERROR(__xludf.DUMMYFUNCTION("""COMPUTED_VALUE"""),"")</f>
        <v/>
      </c>
      <c r="O1661" s="17" t="str">
        <f>IFERROR(__xludf.DUMMYFUNCTION("""COMPUTED_VALUE"""),"")</f>
        <v/>
      </c>
      <c r="P1661" s="17" t="str">
        <f>IFERROR(__xludf.DUMMYFUNCTION("""COMPUTED_VALUE"""),"")</f>
        <v/>
      </c>
      <c r="Q1661" s="17" t="str">
        <f>IFERROR(__xludf.DUMMYFUNCTION("""COMPUTED_VALUE"""),"")</f>
        <v/>
      </c>
      <c r="R1661" s="17" t="str">
        <f>IFERROR(__xludf.DUMMYFUNCTION("""COMPUTED_VALUE"""),"")</f>
        <v/>
      </c>
    </row>
    <row r="1662">
      <c r="A1662" s="17" t="str">
        <f>IFERROR(__xludf.DUMMYFUNCTION("""COMPUTED_VALUE"""),"")</f>
        <v/>
      </c>
      <c r="B1662" s="17" t="str">
        <f>IFERROR(__xludf.DUMMYFUNCTION("""COMPUTED_VALUE"""),"")</f>
        <v/>
      </c>
      <c r="C1662" s="17" t="str">
        <f>IFERROR(__xludf.DUMMYFUNCTION("""COMPUTED_VALUE"""),"")</f>
        <v/>
      </c>
      <c r="D1662" s="17" t="str">
        <f>IFERROR(__xludf.DUMMYFUNCTION("""COMPUTED_VALUE"""),"")</f>
        <v/>
      </c>
      <c r="E1662" s="17" t="str">
        <f>IFERROR(__xludf.DUMMYFUNCTION("""COMPUTED_VALUE"""),"")</f>
        <v/>
      </c>
      <c r="F1662" s="17" t="str">
        <f>IFERROR(__xludf.DUMMYFUNCTION("""COMPUTED_VALUE"""),"")</f>
        <v/>
      </c>
      <c r="G1662" s="17" t="str">
        <f>IFERROR(__xludf.DUMMYFUNCTION("""COMPUTED_VALUE"""),"")</f>
        <v/>
      </c>
      <c r="H1662" s="17" t="str">
        <f>IFERROR(__xludf.DUMMYFUNCTION("""COMPUTED_VALUE"""),"")</f>
        <v/>
      </c>
      <c r="I1662" s="17" t="str">
        <f>IFERROR(__xludf.DUMMYFUNCTION("""COMPUTED_VALUE"""),"")</f>
        <v/>
      </c>
      <c r="J1662" s="17" t="str">
        <f>IFERROR(__xludf.DUMMYFUNCTION("""COMPUTED_VALUE"""),"")</f>
        <v/>
      </c>
      <c r="K1662" s="17" t="str">
        <f>IFERROR(__xludf.DUMMYFUNCTION("""COMPUTED_VALUE"""),"")</f>
        <v/>
      </c>
      <c r="L1662" s="17" t="str">
        <f>IFERROR(__xludf.DUMMYFUNCTION("""COMPUTED_VALUE"""),"")</f>
        <v/>
      </c>
      <c r="M1662" s="17" t="str">
        <f>IFERROR(__xludf.DUMMYFUNCTION("""COMPUTED_VALUE"""),"")</f>
        <v/>
      </c>
      <c r="N1662" s="17" t="str">
        <f>IFERROR(__xludf.DUMMYFUNCTION("""COMPUTED_VALUE"""),"")</f>
        <v/>
      </c>
      <c r="O1662" s="17" t="str">
        <f>IFERROR(__xludf.DUMMYFUNCTION("""COMPUTED_VALUE"""),"")</f>
        <v/>
      </c>
      <c r="P1662" s="17" t="str">
        <f>IFERROR(__xludf.DUMMYFUNCTION("""COMPUTED_VALUE"""),"")</f>
        <v/>
      </c>
      <c r="Q1662" s="17" t="str">
        <f>IFERROR(__xludf.DUMMYFUNCTION("""COMPUTED_VALUE"""),"")</f>
        <v/>
      </c>
      <c r="R1662" s="17" t="str">
        <f>IFERROR(__xludf.DUMMYFUNCTION("""COMPUTED_VALUE"""),"")</f>
        <v/>
      </c>
    </row>
    <row r="1663">
      <c r="A1663" s="15">
        <f>IFERROR(__xludf.DUMMYFUNCTION("""COMPUTED_VALUE"""),45049.0)</f>
        <v>45049</v>
      </c>
      <c r="B1663" s="16" t="str">
        <f>IFERROR(__xludf.DUMMYFUNCTION("""COMPUTED_VALUE"""),"Johan Alexander Escobar Arroyo ")</f>
        <v>Johan Alexander Escobar Arroyo </v>
      </c>
      <c r="C1663" s="15" t="str">
        <f>IFERROR(__xludf.DUMMYFUNCTION("""COMPUTED_VALUE"""),"CALI")</f>
        <v>CALI</v>
      </c>
      <c r="D1663" s="15" t="str">
        <f>IFERROR(__xludf.DUMMYFUNCTION("""COMPUTED_VALUE"""),"BOGOTÁ")</f>
        <v>BOGOTÁ</v>
      </c>
      <c r="E1663" s="15" t="str">
        <f>IFERROR(__xludf.DUMMYFUNCTION("""COMPUTED_VALUE"""),"Evamazzita")</f>
        <v>Evamazzita</v>
      </c>
      <c r="F1663" s="17" t="str">
        <f>IFERROR(__xludf.DUMMYFUNCTION("""COMPUTED_VALUE"""),"Calle 6 # 29-104 avenida Roosvelt Cali / Local Ferrollaves Ortiz  / Recibe: Jhonatan Castillo  Cel.: 3128308962")</f>
        <v>Calle 6 # 29-104 avenida Roosvelt Cali / Local Ferrollaves Ortiz  / Recibe: Jhonatan Castillo  Cel.: 3128308962</v>
      </c>
      <c r="G1663" s="15" t="str">
        <f>IFERROR(__xludf.DUMMYFUNCTION("""COMPUTED_VALUE"""),"YINA MARCELA GUERRERO ESPAÑA")</f>
        <v>YINA MARCELA GUERRERO ESPAÑA</v>
      </c>
      <c r="H1663" s="16">
        <f>IFERROR(__xludf.DUMMYFUNCTION("""COMPUTED_VALUE"""),10284.0)</f>
        <v>10284</v>
      </c>
      <c r="I1663" s="18">
        <f>IFERROR(__xludf.DUMMYFUNCTION("""COMPUTED_VALUE"""),3.0)</f>
        <v>3</v>
      </c>
      <c r="J1663" s="18">
        <f>IFERROR(__xludf.DUMMYFUNCTION("""COMPUTED_VALUE"""),20.0)</f>
        <v>20</v>
      </c>
      <c r="K1663" s="18">
        <f>IFERROR(__xludf.DUMMYFUNCTION("""COMPUTED_VALUE"""),15.0)</f>
        <v>15</v>
      </c>
      <c r="L1663" s="17">
        <f>IFERROR(__xludf.DUMMYFUNCTION("""COMPUTED_VALUE"""),3.157731149E9)</f>
        <v>3157731149</v>
      </c>
      <c r="M1663" s="17" t="str">
        <f>IFERROR(__xludf.DUMMYFUNCTION("""COMPUTED_VALUE"""),"#REF!")</f>
        <v>#REF!</v>
      </c>
      <c r="N1663" s="17"/>
      <c r="O1663" s="19">
        <f>IFERROR(__xludf.DUMMYFUNCTION("""COMPUTED_VALUE"""),10000.0)</f>
        <v>10000</v>
      </c>
      <c r="P1663" s="17" t="b">
        <f>IFERROR(__xludf.DUMMYFUNCTION("""COMPUTED_VALUE"""),FALSE)</f>
        <v>0</v>
      </c>
      <c r="Q1663" s="20" t="str">
        <f>IFERROR(__xludf.DUMMYFUNCTION("""COMPUTED_VALUE"""),"")</f>
        <v/>
      </c>
      <c r="R1663" s="22" t="str">
        <f>IFERROR(__xludf.DUMMYFUNCTION("""COMPUTED_VALUE"""),"")</f>
        <v/>
      </c>
    </row>
    <row r="1664">
      <c r="A1664" s="15">
        <f>IFERROR(__xludf.DUMMYFUNCTION("""COMPUTED_VALUE"""),45049.0)</f>
        <v>45049</v>
      </c>
      <c r="B1664" s="16" t="str">
        <f>IFERROR(__xludf.DUMMYFUNCTION("""COMPUTED_VALUE"""),"Johan Alexander Escobar Arroyo ")</f>
        <v>Johan Alexander Escobar Arroyo </v>
      </c>
      <c r="C1664" s="15" t="str">
        <f>IFERROR(__xludf.DUMMYFUNCTION("""COMPUTED_VALUE"""),"CALI")</f>
        <v>CALI</v>
      </c>
      <c r="D1664" s="15" t="str">
        <f>IFERROR(__xludf.DUMMYFUNCTION("""COMPUTED_VALUE"""),"BOGOTÁ")</f>
        <v>BOGOTÁ</v>
      </c>
      <c r="E1664" s="15" t="str">
        <f>IFERROR(__xludf.DUMMYFUNCTION("""COMPUTED_VALUE"""),"Evamazzita")</f>
        <v>Evamazzita</v>
      </c>
      <c r="F1664" s="17" t="str">
        <f>IFERROR(__xludf.DUMMYFUNCTION("""COMPUTED_VALUE"""),"CALLE 73 1 J 49 / N/A / N/A")</f>
        <v>CALLE 73 1 J 49 / N/A / N/A</v>
      </c>
      <c r="G1664" s="15" t="str">
        <f>IFERROR(__xludf.DUMMYFUNCTION("""COMPUTED_VALUE"""),"LINA OTALVARO")</f>
        <v>LINA OTALVARO</v>
      </c>
      <c r="H1664" s="16">
        <f>IFERROR(__xludf.DUMMYFUNCTION("""COMPUTED_VALUE"""),10286.0)</f>
        <v>10286</v>
      </c>
      <c r="I1664" s="18">
        <f>IFERROR(__xludf.DUMMYFUNCTION("""COMPUTED_VALUE"""),3.0)</f>
        <v>3</v>
      </c>
      <c r="J1664" s="18">
        <f>IFERROR(__xludf.DUMMYFUNCTION("""COMPUTED_VALUE"""),20.0)</f>
        <v>20</v>
      </c>
      <c r="K1664" s="18">
        <f>IFERROR(__xludf.DUMMYFUNCTION("""COMPUTED_VALUE"""),15.0)</f>
        <v>15</v>
      </c>
      <c r="L1664" s="17">
        <f>IFERROR(__xludf.DUMMYFUNCTION("""COMPUTED_VALUE"""),3.148781509E9)</f>
        <v>3148781509</v>
      </c>
      <c r="M1664" s="17" t="str">
        <f>IFERROR(__xludf.DUMMYFUNCTION("""COMPUTED_VALUE"""),"#REF!")</f>
        <v>#REF!</v>
      </c>
      <c r="N1664" s="17"/>
      <c r="O1664" s="19">
        <f>IFERROR(__xludf.DUMMYFUNCTION("""COMPUTED_VALUE"""),10000.0)</f>
        <v>10000</v>
      </c>
      <c r="P1664" s="17" t="b">
        <f>IFERROR(__xludf.DUMMYFUNCTION("""COMPUTED_VALUE"""),FALSE)</f>
        <v>0</v>
      </c>
      <c r="Q1664" s="20" t="str">
        <f>IFERROR(__xludf.DUMMYFUNCTION("""COMPUTED_VALUE"""),"")</f>
        <v/>
      </c>
      <c r="R1664" s="22" t="str">
        <f>IFERROR(__xludf.DUMMYFUNCTION("""COMPUTED_VALUE"""),"")</f>
        <v/>
      </c>
    </row>
    <row r="1665">
      <c r="A1665" s="15">
        <f>IFERROR(__xludf.DUMMYFUNCTION("""COMPUTED_VALUE"""),45049.0)</f>
        <v>45049</v>
      </c>
      <c r="B1665" s="16" t="str">
        <f>IFERROR(__xludf.DUMMYFUNCTION("""COMPUTED_VALUE"""),"Johan Alexander Escobar Arroyo ")</f>
        <v>Johan Alexander Escobar Arroyo </v>
      </c>
      <c r="C1665" s="15" t="str">
        <f>IFERROR(__xludf.DUMMYFUNCTION("""COMPUTED_VALUE"""),"CALI")</f>
        <v>CALI</v>
      </c>
      <c r="D1665" s="15" t="str">
        <f>IFERROR(__xludf.DUMMYFUNCTION("""COMPUTED_VALUE"""),"BOGOTÁ")</f>
        <v>BOGOTÁ</v>
      </c>
      <c r="E1665" s="15" t="str">
        <f>IFERROR(__xludf.DUMMYFUNCTION("""COMPUTED_VALUE"""),"Evamazzita")</f>
        <v>Evamazzita</v>
      </c>
      <c r="F1665" s="17" t="str">
        <f>IFERROR(__xludf.DUMMYFUNCTION("""COMPUTED_VALUE"""),"Carrera 105  No. 11-145  / Conjunto  Residencial Polo Club 1 casa  7   / Barrio ciudad jardín")</f>
        <v>Carrera 105  No. 11-145  / Conjunto  Residencial Polo Club 1 casa  7   / Barrio ciudad jardín</v>
      </c>
      <c r="G1665" s="15" t="str">
        <f>IFERROR(__xludf.DUMMYFUNCTION("""COMPUTED_VALUE"""),"KATERIN JOHANA PAREDES VEGA")</f>
        <v>KATERIN JOHANA PAREDES VEGA</v>
      </c>
      <c r="H1665" s="16">
        <f>IFERROR(__xludf.DUMMYFUNCTION("""COMPUTED_VALUE"""),10283.0)</f>
        <v>10283</v>
      </c>
      <c r="I1665" s="18">
        <f>IFERROR(__xludf.DUMMYFUNCTION("""COMPUTED_VALUE"""),3.0)</f>
        <v>3</v>
      </c>
      <c r="J1665" s="18">
        <f>IFERROR(__xludf.DUMMYFUNCTION("""COMPUTED_VALUE"""),20.0)</f>
        <v>20</v>
      </c>
      <c r="K1665" s="18">
        <f>IFERROR(__xludf.DUMMYFUNCTION("""COMPUTED_VALUE"""),15.0)</f>
        <v>15</v>
      </c>
      <c r="L1665" s="17">
        <f>IFERROR(__xludf.DUMMYFUNCTION("""COMPUTED_VALUE"""),3.234879088E9)</f>
        <v>3234879088</v>
      </c>
      <c r="M1665" s="17" t="str">
        <f>IFERROR(__xludf.DUMMYFUNCTION("""COMPUTED_VALUE"""),"#REF!")</f>
        <v>#REF!</v>
      </c>
      <c r="N1665" s="17"/>
      <c r="O1665" s="19">
        <f>IFERROR(__xludf.DUMMYFUNCTION("""COMPUTED_VALUE"""),10000.0)</f>
        <v>10000</v>
      </c>
      <c r="P1665" s="17" t="b">
        <f>IFERROR(__xludf.DUMMYFUNCTION("""COMPUTED_VALUE"""),FALSE)</f>
        <v>0</v>
      </c>
      <c r="Q1665" s="20" t="str">
        <f>IFERROR(__xludf.DUMMYFUNCTION("""COMPUTED_VALUE"""),"")</f>
        <v/>
      </c>
      <c r="R1665" s="22" t="str">
        <f>IFERROR(__xludf.DUMMYFUNCTION("""COMPUTED_VALUE"""),"")</f>
        <v/>
      </c>
    </row>
    <row r="1666">
      <c r="A1666" s="15">
        <f>IFERROR(__xludf.DUMMYFUNCTION("""COMPUTED_VALUE"""),45049.0)</f>
        <v>45049</v>
      </c>
      <c r="B1666" s="16" t="str">
        <f>IFERROR(__xludf.DUMMYFUNCTION("""COMPUTED_VALUE"""),"Johan Alexander Escobar Arroyo ")</f>
        <v>Johan Alexander Escobar Arroyo </v>
      </c>
      <c r="C1666" s="15" t="str">
        <f>IFERROR(__xludf.DUMMYFUNCTION("""COMPUTED_VALUE"""),"CALI")</f>
        <v>CALI</v>
      </c>
      <c r="D1666" s="15" t="str">
        <f>IFERROR(__xludf.DUMMYFUNCTION("""COMPUTED_VALUE"""),"BOGOTÁ")</f>
        <v>BOGOTÁ</v>
      </c>
      <c r="E1666" s="15" t="str">
        <f>IFERROR(__xludf.DUMMYFUNCTION("""COMPUTED_VALUE"""),"Lunchy Kids")</f>
        <v>Lunchy Kids</v>
      </c>
      <c r="F1666" s="17" t="str">
        <f>IFERROR(__xludf.DUMMYFUNCTION("""COMPUTED_VALUE"""),"Calle 15 #122-151  / condominio palo verde Apto 201 A   / Cali")</f>
        <v>Calle 15 #122-151  / condominio palo verde Apto 201 A   / Cali</v>
      </c>
      <c r="G1666" s="15" t="str">
        <f>IFERROR(__xludf.DUMMYFUNCTION("""COMPUTED_VALUE"""),"Maria Lucia Padrón")</f>
        <v>Maria Lucia Padrón</v>
      </c>
      <c r="H1666" s="16">
        <f>IFERROR(__xludf.DUMMYFUNCTION("""COMPUTED_VALUE"""),10279.0)</f>
        <v>10279</v>
      </c>
      <c r="I1666" s="18">
        <f>IFERROR(__xludf.DUMMYFUNCTION("""COMPUTED_VALUE"""),23.0)</f>
        <v>23</v>
      </c>
      <c r="J1666" s="18">
        <f>IFERROR(__xludf.DUMMYFUNCTION("""COMPUTED_VALUE"""),32.0)</f>
        <v>32</v>
      </c>
      <c r="K1666" s="18">
        <f>IFERROR(__xludf.DUMMYFUNCTION("""COMPUTED_VALUE"""),18.0)</f>
        <v>18</v>
      </c>
      <c r="L1666" s="17">
        <f>IFERROR(__xludf.DUMMYFUNCTION("""COMPUTED_VALUE"""),3.006934735E9)</f>
        <v>3006934735</v>
      </c>
      <c r="M1666" s="17" t="str">
        <f>IFERROR(__xludf.DUMMYFUNCTION("""COMPUTED_VALUE"""),"#REF!")</f>
        <v>#REF!</v>
      </c>
      <c r="N1666" s="17"/>
      <c r="O1666" s="19">
        <f>IFERROR(__xludf.DUMMYFUNCTION("""COMPUTED_VALUE"""),10000.0)</f>
        <v>10000</v>
      </c>
      <c r="P1666" s="17" t="b">
        <f>IFERROR(__xludf.DUMMYFUNCTION("""COMPUTED_VALUE"""),FALSE)</f>
        <v>0</v>
      </c>
      <c r="Q1666" s="20" t="str">
        <f>IFERROR(__xludf.DUMMYFUNCTION("""COMPUTED_VALUE"""),"")</f>
        <v/>
      </c>
      <c r="R1666" s="22" t="str">
        <f>IFERROR(__xludf.DUMMYFUNCTION("""COMPUTED_VALUE"""),"")</f>
        <v/>
      </c>
    </row>
    <row r="1667">
      <c r="A1667" s="15">
        <f>IFERROR(__xludf.DUMMYFUNCTION("""COMPUTED_VALUE"""),45049.0)</f>
        <v>45049</v>
      </c>
      <c r="B1667" s="16" t="str">
        <f>IFERROR(__xludf.DUMMYFUNCTION("""COMPUTED_VALUE"""),"Johan Alexander Escobar Arroyo ")</f>
        <v>Johan Alexander Escobar Arroyo </v>
      </c>
      <c r="C1667" s="15" t="str">
        <f>IFERROR(__xludf.DUMMYFUNCTION("""COMPUTED_VALUE"""),"CALI")</f>
        <v>CALI</v>
      </c>
      <c r="D1667" s="15" t="str">
        <f>IFERROR(__xludf.DUMMYFUNCTION("""COMPUTED_VALUE"""),"BOGOTÁ")</f>
        <v>BOGOTÁ</v>
      </c>
      <c r="E1667" s="15" t="str">
        <f>IFERROR(__xludf.DUMMYFUNCTION("""COMPUTED_VALUE"""),"My Choice")</f>
        <v>My Choice</v>
      </c>
      <c r="F1667" s="17" t="str">
        <f>IFERROR(__xludf.DUMMYFUNCTION("""COMPUTED_VALUE"""),"Vía dapa km 1, colinas de arroyohondo  / Casa 57-6 , condominio Colinas de Arroyohondo  / Vía a dapa")</f>
        <v>Vía dapa km 1, colinas de arroyohondo  / Casa 57-6 , condominio Colinas de Arroyohondo  / Vía a dapa</v>
      </c>
      <c r="G1667" s="15" t="str">
        <f>IFERROR(__xludf.DUMMYFUNCTION("""COMPUTED_VALUE"""),"Alejandra castillo")</f>
        <v>Alejandra castillo</v>
      </c>
      <c r="H1667" s="16">
        <f>IFERROR(__xludf.DUMMYFUNCTION("""COMPUTED_VALUE"""),10299.0)</f>
        <v>10299</v>
      </c>
      <c r="I1667" s="18">
        <f>IFERROR(__xludf.DUMMYFUNCTION("""COMPUTED_VALUE"""),10.0)</f>
        <v>10</v>
      </c>
      <c r="J1667" s="18">
        <f>IFERROR(__xludf.DUMMYFUNCTION("""COMPUTED_VALUE"""),11.0)</f>
        <v>11</v>
      </c>
      <c r="K1667" s="18">
        <f>IFERROR(__xludf.DUMMYFUNCTION("""COMPUTED_VALUE"""),26.0)</f>
        <v>26</v>
      </c>
      <c r="L1667" s="17">
        <f>IFERROR(__xludf.DUMMYFUNCTION("""COMPUTED_VALUE"""),3.232263656E9)</f>
        <v>3232263656</v>
      </c>
      <c r="M1667" s="17" t="str">
        <f>IFERROR(__xludf.DUMMYFUNCTION("""COMPUTED_VALUE"""),"#REF!")</f>
        <v>#REF!</v>
      </c>
      <c r="N1667" s="17"/>
      <c r="O1667" s="19">
        <f>IFERROR(__xludf.DUMMYFUNCTION("""COMPUTED_VALUE"""),10000.0)</f>
        <v>10000</v>
      </c>
      <c r="P1667" s="17" t="b">
        <f>IFERROR(__xludf.DUMMYFUNCTION("""COMPUTED_VALUE"""),TRUE)</f>
        <v>1</v>
      </c>
      <c r="Q1667" s="20">
        <f>IFERROR(__xludf.DUMMYFUNCTION("""COMPUTED_VALUE"""),45049.64385396991)</f>
        <v>45049.64385</v>
      </c>
      <c r="R1667" s="22" t="str">
        <f>IFERROR(__xludf.DUMMYFUNCTION("""COMPUTED_VALUE"""),"")</f>
        <v/>
      </c>
    </row>
    <row r="1668">
      <c r="A1668" s="15">
        <f>IFERROR(__xludf.DUMMYFUNCTION("""COMPUTED_VALUE"""),45049.0)</f>
        <v>45049</v>
      </c>
      <c r="B1668" s="16" t="str">
        <f>IFERROR(__xludf.DUMMYFUNCTION("""COMPUTED_VALUE"""),"Johan Alexander Escobar Arroyo ")</f>
        <v>Johan Alexander Escobar Arroyo </v>
      </c>
      <c r="C1668" s="15" t="str">
        <f>IFERROR(__xludf.DUMMYFUNCTION("""COMPUTED_VALUE"""),"IBAGUÉ")</f>
        <v>IBAGUÉ</v>
      </c>
      <c r="D1668" s="15" t="str">
        <f>IFERROR(__xludf.DUMMYFUNCTION("""COMPUTED_VALUE"""),"MEDELLÍN")</f>
        <v>MEDELLÍN</v>
      </c>
      <c r="E1668" s="15" t="str">
        <f>IFERROR(__xludf.DUMMYFUNCTION("""COMPUTED_VALUE"""),"Baby Chef")</f>
        <v>Baby Chef</v>
      </c>
      <c r="F1668" s="17" t="str">
        <f>IFERROR(__xludf.DUMMYFUNCTION("""COMPUTED_VALUE"""),"Calle 93 #20-40 Sur / Torre1 Apto 1102 Mirador De Los Andes / IBAGUE")</f>
        <v>Calle 93 #20-40 Sur / Torre1 Apto 1102 Mirador De Los Andes / IBAGUE</v>
      </c>
      <c r="G1668" s="15" t="str">
        <f>IFERROR(__xludf.DUMMYFUNCTION("""COMPUTED_VALUE"""),"Monica Suarez")</f>
        <v>Monica Suarez</v>
      </c>
      <c r="H1668" s="16">
        <f>IFERROR(__xludf.DUMMYFUNCTION("""COMPUTED_VALUE"""),10322.0)</f>
        <v>10322</v>
      </c>
      <c r="I1668" s="18">
        <f>IFERROR(__xludf.DUMMYFUNCTION("""COMPUTED_VALUE"""),8.0)</f>
        <v>8</v>
      </c>
      <c r="J1668" s="18">
        <f>IFERROR(__xludf.DUMMYFUNCTION("""COMPUTED_VALUE"""),16.0)</f>
        <v>16</v>
      </c>
      <c r="K1668" s="18">
        <f>IFERROR(__xludf.DUMMYFUNCTION("""COMPUTED_VALUE"""),20.0)</f>
        <v>20</v>
      </c>
      <c r="L1668" s="17">
        <f>IFERROR(__xludf.DUMMYFUNCTION("""COMPUTED_VALUE"""),3.154282865E9)</f>
        <v>3154282865</v>
      </c>
      <c r="M1668" s="17" t="str">
        <f>IFERROR(__xludf.DUMMYFUNCTION("""COMPUTED_VALUE"""),"#REF!")</f>
        <v>#REF!</v>
      </c>
      <c r="N1668" s="17"/>
      <c r="O1668" s="17"/>
      <c r="P1668" s="17" t="b">
        <f>IFERROR(__xludf.DUMMYFUNCTION("""COMPUTED_VALUE"""),FALSE)</f>
        <v>0</v>
      </c>
      <c r="Q1668" s="20" t="str">
        <f>IFERROR(__xludf.DUMMYFUNCTION("""COMPUTED_VALUE"""),"")</f>
        <v/>
      </c>
      <c r="R1668" s="22" t="str">
        <f>IFERROR(__xludf.DUMMYFUNCTION("""COMPUTED_VALUE"""),"")</f>
        <v/>
      </c>
    </row>
    <row r="1669">
      <c r="A1669" s="15">
        <f>IFERROR(__xludf.DUMMYFUNCTION("""COMPUTED_VALUE"""),45049.0)</f>
        <v>45049</v>
      </c>
      <c r="B1669" s="16" t="str">
        <f>IFERROR(__xludf.DUMMYFUNCTION("""COMPUTED_VALUE"""),"Johan Alexander Escobar Arroyo ")</f>
        <v>Johan Alexander Escobar Arroyo </v>
      </c>
      <c r="C1669" s="15" t="str">
        <f>IFERROR(__xludf.DUMMYFUNCTION("""COMPUTED_VALUE"""),"IBAGUÉ")</f>
        <v>IBAGUÉ</v>
      </c>
      <c r="D1669" s="15" t="str">
        <f>IFERROR(__xludf.DUMMYFUNCTION("""COMPUTED_VALUE"""),"MEDELLÍN")</f>
        <v>MEDELLÍN</v>
      </c>
      <c r="E1669" s="15" t="str">
        <f>IFERROR(__xludf.DUMMYFUNCTION("""COMPUTED_VALUE"""),"Rambla")</f>
        <v>Rambla</v>
      </c>
      <c r="F1669" s="17" t="str">
        <f>IFERROR(__xludf.DUMMYFUNCTION("""COMPUTED_VALUE"""),"Cra 14 #75A-29 local 5 estancia del vergel ibague - Tolima / na / na")</f>
        <v>Cra 14 #75A-29 local 5 estancia del vergel ibague - Tolima / na / na</v>
      </c>
      <c r="G1669" s="15" t="str">
        <f>IFERROR(__xludf.DUMMYFUNCTION("""COMPUTED_VALUE"""),"Soy natural market fit")</f>
        <v>Soy natural market fit</v>
      </c>
      <c r="H1669" s="16">
        <f>IFERROR(__xludf.DUMMYFUNCTION("""COMPUTED_VALUE"""),10311.0)</f>
        <v>10311</v>
      </c>
      <c r="I1669" s="18">
        <f>IFERROR(__xludf.DUMMYFUNCTION("""COMPUTED_VALUE"""),29.0)</f>
        <v>29</v>
      </c>
      <c r="J1669" s="18">
        <f>IFERROR(__xludf.DUMMYFUNCTION("""COMPUTED_VALUE"""),27.0)</f>
        <v>27</v>
      </c>
      <c r="K1669" s="18">
        <f>IFERROR(__xludf.DUMMYFUNCTION("""COMPUTED_VALUE"""),32.0)</f>
        <v>32</v>
      </c>
      <c r="L1669" s="17">
        <f>IFERROR(__xludf.DUMMYFUNCTION("""COMPUTED_VALUE"""),3.177002909E9)</f>
        <v>3177002909</v>
      </c>
      <c r="M1669" s="17" t="str">
        <f>IFERROR(__xludf.DUMMYFUNCTION("""COMPUTED_VALUE"""),"#REF!")</f>
        <v>#REF!</v>
      </c>
      <c r="N1669" s="17"/>
      <c r="O1669" s="19">
        <f>IFERROR(__xludf.DUMMYFUNCTION("""COMPUTED_VALUE"""),5000.0)</f>
        <v>5000</v>
      </c>
      <c r="P1669" s="17" t="b">
        <f>IFERROR(__xludf.DUMMYFUNCTION("""COMPUTED_VALUE"""),TRUE)</f>
        <v>1</v>
      </c>
      <c r="Q1669" s="20">
        <f>IFERROR(__xludf.DUMMYFUNCTION("""COMPUTED_VALUE"""),45049.43469746527)</f>
        <v>45049.4347</v>
      </c>
      <c r="R1669" s="22" t="str">
        <f>IFERROR(__xludf.DUMMYFUNCTION("""COMPUTED_VALUE"""),"")</f>
        <v/>
      </c>
    </row>
    <row r="1670">
      <c r="A1670" s="17" t="str">
        <f>IFERROR(__xludf.DUMMYFUNCTION("""COMPUTED_VALUE"""),"")</f>
        <v/>
      </c>
      <c r="B1670" s="17" t="str">
        <f>IFERROR(__xludf.DUMMYFUNCTION("""COMPUTED_VALUE"""),"")</f>
        <v/>
      </c>
      <c r="C1670" s="17" t="str">
        <f>IFERROR(__xludf.DUMMYFUNCTION("""COMPUTED_VALUE"""),"")</f>
        <v/>
      </c>
      <c r="D1670" s="17" t="str">
        <f>IFERROR(__xludf.DUMMYFUNCTION("""COMPUTED_VALUE"""),"")</f>
        <v/>
      </c>
      <c r="E1670" s="17" t="str">
        <f>IFERROR(__xludf.DUMMYFUNCTION("""COMPUTED_VALUE"""),"")</f>
        <v/>
      </c>
      <c r="F1670" s="17" t="str">
        <f>IFERROR(__xludf.DUMMYFUNCTION("""COMPUTED_VALUE"""),"")</f>
        <v/>
      </c>
      <c r="G1670" s="17" t="str">
        <f>IFERROR(__xludf.DUMMYFUNCTION("""COMPUTED_VALUE"""),"")</f>
        <v/>
      </c>
      <c r="H1670" s="17" t="str">
        <f>IFERROR(__xludf.DUMMYFUNCTION("""COMPUTED_VALUE"""),"")</f>
        <v/>
      </c>
      <c r="I1670" s="17" t="str">
        <f>IFERROR(__xludf.DUMMYFUNCTION("""COMPUTED_VALUE"""),"")</f>
        <v/>
      </c>
      <c r="J1670" s="17" t="str">
        <f>IFERROR(__xludf.DUMMYFUNCTION("""COMPUTED_VALUE"""),"")</f>
        <v/>
      </c>
      <c r="K1670" s="17" t="str">
        <f>IFERROR(__xludf.DUMMYFUNCTION("""COMPUTED_VALUE"""),"")</f>
        <v/>
      </c>
      <c r="L1670" s="17" t="str">
        <f>IFERROR(__xludf.DUMMYFUNCTION("""COMPUTED_VALUE"""),"")</f>
        <v/>
      </c>
      <c r="M1670" s="17" t="str">
        <f>IFERROR(__xludf.DUMMYFUNCTION("""COMPUTED_VALUE"""),"")</f>
        <v/>
      </c>
      <c r="N1670" s="17" t="str">
        <f>IFERROR(__xludf.DUMMYFUNCTION("""COMPUTED_VALUE"""),"")</f>
        <v/>
      </c>
      <c r="O1670" s="17" t="str">
        <f>IFERROR(__xludf.DUMMYFUNCTION("""COMPUTED_VALUE"""),"")</f>
        <v/>
      </c>
      <c r="P1670" s="17" t="str">
        <f>IFERROR(__xludf.DUMMYFUNCTION("""COMPUTED_VALUE"""),"")</f>
        <v/>
      </c>
      <c r="Q1670" s="17" t="str">
        <f>IFERROR(__xludf.DUMMYFUNCTION("""COMPUTED_VALUE"""),"")</f>
        <v/>
      </c>
      <c r="R1670" s="17" t="str">
        <f>IFERROR(__xludf.DUMMYFUNCTION("""COMPUTED_VALUE"""),"")</f>
        <v/>
      </c>
    </row>
    <row r="1671">
      <c r="A1671" s="15">
        <f>IFERROR(__xludf.DUMMYFUNCTION("""COMPUTED_VALUE"""),45049.0)</f>
        <v>45049</v>
      </c>
      <c r="B1671" s="16" t="str">
        <f>IFERROR(__xludf.DUMMYFUNCTION("""COMPUTED_VALUE"""),"Jonathan Steven Taborda")</f>
        <v>Jonathan Steven Taborda</v>
      </c>
      <c r="C1671" s="15" t="str">
        <f>IFERROR(__xludf.DUMMYFUNCTION("""COMPUTED_VALUE"""),"BOGOTÁ")</f>
        <v>BOGOTÁ</v>
      </c>
      <c r="D1671" s="15" t="str">
        <f>IFERROR(__xludf.DUMMYFUNCTION("""COMPUTED_VALUE"""),"MEDELLÍN")</f>
        <v>MEDELLÍN</v>
      </c>
      <c r="E1671" s="15" t="str">
        <f>IFERROR(__xludf.DUMMYFUNCTION("""COMPUTED_VALUE"""),"Rambla")</f>
        <v>Rambla</v>
      </c>
      <c r="F1671" s="17" t="str">
        <f>IFERROR(__xludf.DUMMYFUNCTION("""COMPUTED_VALUE"""),"CL 29 6 54 Apto 201. Torre 2 / na / na")</f>
        <v>CL 29 6 54 Apto 201. Torre 2 / na / na</v>
      </c>
      <c r="G1671" s="15" t="str">
        <f>IFERROR(__xludf.DUMMYFUNCTION("""COMPUTED_VALUE"""),"Salama")</f>
        <v>Salama</v>
      </c>
      <c r="H1671" s="16">
        <f>IFERROR(__xludf.DUMMYFUNCTION("""COMPUTED_VALUE"""),10313.0)</f>
        <v>10313</v>
      </c>
      <c r="I1671" s="18">
        <f>IFERROR(__xludf.DUMMYFUNCTION("""COMPUTED_VALUE"""),18.0)</f>
        <v>18</v>
      </c>
      <c r="J1671" s="18">
        <f>IFERROR(__xludf.DUMMYFUNCTION("""COMPUTED_VALUE"""),20.0)</f>
        <v>20</v>
      </c>
      <c r="K1671" s="18">
        <f>IFERROR(__xludf.DUMMYFUNCTION("""COMPUTED_VALUE"""),23.0)</f>
        <v>23</v>
      </c>
      <c r="L1671" s="17">
        <f>IFERROR(__xludf.DUMMYFUNCTION("""COMPUTED_VALUE"""),3.183745233E9)</f>
        <v>3183745233</v>
      </c>
      <c r="M1671" s="17" t="str">
        <f>IFERROR(__xludf.DUMMYFUNCTION("""COMPUTED_VALUE"""),"#REF!")</f>
        <v>#REF!</v>
      </c>
      <c r="N1671" s="17"/>
      <c r="O1671" s="17"/>
      <c r="P1671" s="17" t="b">
        <f>IFERROR(__xludf.DUMMYFUNCTION("""COMPUTED_VALUE"""),FALSE)</f>
        <v>0</v>
      </c>
      <c r="Q1671" s="20" t="str">
        <f>IFERROR(__xludf.DUMMYFUNCTION("""COMPUTED_VALUE"""),"")</f>
        <v/>
      </c>
      <c r="R1671" s="22" t="str">
        <f>IFERROR(__xludf.DUMMYFUNCTION("""COMPUTED_VALUE"""),"")</f>
        <v/>
      </c>
    </row>
    <row r="1672">
      <c r="A1672" s="15">
        <f>IFERROR(__xludf.DUMMYFUNCTION("""COMPUTED_VALUE"""),45049.0)</f>
        <v>45049</v>
      </c>
      <c r="B1672" s="16" t="str">
        <f>IFERROR(__xludf.DUMMYFUNCTION("""COMPUTED_VALUE"""),"Jonathan Steven Taborda")</f>
        <v>Jonathan Steven Taborda</v>
      </c>
      <c r="C1672" s="15" t="str">
        <f>IFERROR(__xludf.DUMMYFUNCTION("""COMPUTED_VALUE"""),"GIRARDOT")</f>
        <v>GIRARDOT</v>
      </c>
      <c r="D1672" s="15" t="str">
        <f>IFERROR(__xludf.DUMMYFUNCTION("""COMPUTED_VALUE"""),"BOGOTÁ")</f>
        <v>BOGOTÁ</v>
      </c>
      <c r="E1672" s="15" t="str">
        <f>IFERROR(__xludf.DUMMYFUNCTION("""COMPUTED_VALUE"""),"Coffit")</f>
        <v>Coffit</v>
      </c>
      <c r="F1672" s="17" t="str">
        <f>IFERROR(__xludf.DUMMYFUNCTION("""COMPUTED_VALUE"""),"carrera 9 n 19-53 local 107 edificio rafael díaz  / diagonal glorieta leon  / glorieta leon")</f>
        <v>carrera 9 n 19-53 local 107 edificio rafael díaz  / diagonal glorieta leon  / glorieta leon</v>
      </c>
      <c r="G1672" s="15" t="str">
        <f>IFERROR(__xludf.DUMMYFUNCTION("""COMPUTED_VALUE"""),"coffit market")</f>
        <v>coffit market</v>
      </c>
      <c r="H1672" s="16">
        <f>IFERROR(__xludf.DUMMYFUNCTION("""COMPUTED_VALUE"""),10328.0)</f>
        <v>10328</v>
      </c>
      <c r="I1672" s="18">
        <f>IFERROR(__xludf.DUMMYFUNCTION("""COMPUTED_VALUE"""),1.0)</f>
        <v>1</v>
      </c>
      <c r="J1672" s="18">
        <f>IFERROR(__xludf.DUMMYFUNCTION("""COMPUTED_VALUE"""),1.0)</f>
        <v>1</v>
      </c>
      <c r="K1672" s="18">
        <f>IFERROR(__xludf.DUMMYFUNCTION("""COMPUTED_VALUE"""),1.0)</f>
        <v>1</v>
      </c>
      <c r="L1672" s="17">
        <f>IFERROR(__xludf.DUMMYFUNCTION("""COMPUTED_VALUE"""),3.166279434E9)</f>
        <v>3166279434</v>
      </c>
      <c r="M1672" s="17" t="str">
        <f>IFERROR(__xludf.DUMMYFUNCTION("""COMPUTED_VALUE"""),"#REF!")</f>
        <v>#REF!</v>
      </c>
      <c r="N1672" s="17"/>
      <c r="O1672" s="17"/>
      <c r="P1672" s="17" t="b">
        <f>IFERROR(__xludf.DUMMYFUNCTION("""COMPUTED_VALUE"""),FALSE)</f>
        <v>0</v>
      </c>
      <c r="Q1672" s="20" t="str">
        <f>IFERROR(__xludf.DUMMYFUNCTION("""COMPUTED_VALUE"""),"")</f>
        <v/>
      </c>
      <c r="R1672" s="22" t="str">
        <f>IFERROR(__xludf.DUMMYFUNCTION("""COMPUTED_VALUE"""),"")</f>
        <v/>
      </c>
    </row>
    <row r="1673">
      <c r="A1673" s="17" t="str">
        <f>IFERROR(__xludf.DUMMYFUNCTION("""COMPUTED_VALUE"""),"")</f>
        <v/>
      </c>
      <c r="B1673" s="17" t="str">
        <f>IFERROR(__xludf.DUMMYFUNCTION("""COMPUTED_VALUE"""),"")</f>
        <v/>
      </c>
      <c r="C1673" s="17" t="str">
        <f>IFERROR(__xludf.DUMMYFUNCTION("""COMPUTED_VALUE"""),"")</f>
        <v/>
      </c>
      <c r="D1673" s="17" t="str">
        <f>IFERROR(__xludf.DUMMYFUNCTION("""COMPUTED_VALUE"""),"")</f>
        <v/>
      </c>
      <c r="E1673" s="17" t="str">
        <f>IFERROR(__xludf.DUMMYFUNCTION("""COMPUTED_VALUE"""),"")</f>
        <v/>
      </c>
      <c r="F1673" s="17" t="str">
        <f>IFERROR(__xludf.DUMMYFUNCTION("""COMPUTED_VALUE"""),"")</f>
        <v/>
      </c>
      <c r="G1673" s="17" t="str">
        <f>IFERROR(__xludf.DUMMYFUNCTION("""COMPUTED_VALUE"""),"")</f>
        <v/>
      </c>
      <c r="H1673" s="17" t="str">
        <f>IFERROR(__xludf.DUMMYFUNCTION("""COMPUTED_VALUE"""),"")</f>
        <v/>
      </c>
      <c r="I1673" s="17" t="str">
        <f>IFERROR(__xludf.DUMMYFUNCTION("""COMPUTED_VALUE"""),"")</f>
        <v/>
      </c>
      <c r="J1673" s="17" t="str">
        <f>IFERROR(__xludf.DUMMYFUNCTION("""COMPUTED_VALUE"""),"")</f>
        <v/>
      </c>
      <c r="K1673" s="17" t="str">
        <f>IFERROR(__xludf.DUMMYFUNCTION("""COMPUTED_VALUE"""),"")</f>
        <v/>
      </c>
      <c r="L1673" s="17" t="str">
        <f>IFERROR(__xludf.DUMMYFUNCTION("""COMPUTED_VALUE"""),"")</f>
        <v/>
      </c>
      <c r="M1673" s="17" t="str">
        <f>IFERROR(__xludf.DUMMYFUNCTION("""COMPUTED_VALUE"""),"")</f>
        <v/>
      </c>
      <c r="N1673" s="17" t="str">
        <f>IFERROR(__xludf.DUMMYFUNCTION("""COMPUTED_VALUE"""),"")</f>
        <v/>
      </c>
      <c r="O1673" s="17" t="str">
        <f>IFERROR(__xludf.DUMMYFUNCTION("""COMPUTED_VALUE"""),"")</f>
        <v/>
      </c>
      <c r="P1673" s="17" t="str">
        <f>IFERROR(__xludf.DUMMYFUNCTION("""COMPUTED_VALUE"""),"")</f>
        <v/>
      </c>
      <c r="Q1673" s="17" t="str">
        <f>IFERROR(__xludf.DUMMYFUNCTION("""COMPUTED_VALUE"""),"")</f>
        <v/>
      </c>
      <c r="R1673" s="17" t="str">
        <f>IFERROR(__xludf.DUMMYFUNCTION("""COMPUTED_VALUE"""),"")</f>
        <v/>
      </c>
    </row>
    <row r="1674">
      <c r="A1674" s="15">
        <f>IFERROR(__xludf.DUMMYFUNCTION("""COMPUTED_VALUE"""),45049.0)</f>
        <v>45049</v>
      </c>
      <c r="B1674" s="16" t="str">
        <f>IFERROR(__xludf.DUMMYFUNCTION("""COMPUTED_VALUE"""),"Luis Miguel Ramirez Morales")</f>
        <v>Luis Miguel Ramirez Morales</v>
      </c>
      <c r="C1674" s="15" t="str">
        <f>IFERROR(__xludf.DUMMYFUNCTION("""COMPUTED_VALUE"""),"BOGOTÁ")</f>
        <v>BOGOTÁ</v>
      </c>
      <c r="D1674" s="15" t="str">
        <f>IFERROR(__xludf.DUMMYFUNCTION("""COMPUTED_VALUE"""),"MEDELLÍN")</f>
        <v>MEDELLÍN</v>
      </c>
      <c r="E1674" s="15" t="str">
        <f>IFERROR(__xludf.DUMMYFUNCTION("""COMPUTED_VALUE"""),"AREPAS LA MARY")</f>
        <v>AREPAS LA MARY</v>
      </c>
      <c r="F1674" s="17" t="str">
        <f>IFERROR(__xludf.DUMMYFUNCTION("""COMPUTED_VALUE"""),"CALLE 152 # 9 - 80  TORRE 4 APTO 1102 / CEDRO VERDE")</f>
        <v>CALLE 152 # 9 - 80  TORRE 4 APTO 1102 / CEDRO VERDE</v>
      </c>
      <c r="G1674" s="15" t="str">
        <f>IFERROR(__xludf.DUMMYFUNCTION("""COMPUTED_VALUE"""),"YANETH ROCIO BACCA")</f>
        <v>YANETH ROCIO BACCA</v>
      </c>
      <c r="H1674" s="16">
        <f>IFERROR(__xludf.DUMMYFUNCTION("""COMPUTED_VALUE"""),10230.0)</f>
        <v>10230</v>
      </c>
      <c r="I1674" s="18">
        <f>IFERROR(__xludf.DUMMYFUNCTION("""COMPUTED_VALUE"""),89.0)</f>
        <v>89</v>
      </c>
      <c r="J1674" s="18">
        <f>IFERROR(__xludf.DUMMYFUNCTION("""COMPUTED_VALUE"""),1.0)</f>
        <v>1</v>
      </c>
      <c r="K1674" s="18">
        <f>IFERROR(__xludf.DUMMYFUNCTION("""COMPUTED_VALUE"""),10.0)</f>
        <v>10</v>
      </c>
      <c r="L1674" s="17">
        <f>IFERROR(__xludf.DUMMYFUNCTION("""COMPUTED_VALUE"""),3.185841288E9)</f>
        <v>3185841288</v>
      </c>
      <c r="M1674" s="17" t="str">
        <f>IFERROR(__xludf.DUMMYFUNCTION("""COMPUTED_VALUE"""),"#REF!")</f>
        <v>#REF!</v>
      </c>
      <c r="N1674" s="17"/>
      <c r="O1674" s="17"/>
      <c r="P1674" s="17" t="b">
        <f>IFERROR(__xludf.DUMMYFUNCTION("""COMPUTED_VALUE"""),FALSE)</f>
        <v>0</v>
      </c>
      <c r="Q1674" s="20" t="str">
        <f>IFERROR(__xludf.DUMMYFUNCTION("""COMPUTED_VALUE"""),"")</f>
        <v/>
      </c>
      <c r="R1674" s="22" t="str">
        <f>IFERROR(__xludf.DUMMYFUNCTION("""COMPUTED_VALUE"""),"")</f>
        <v/>
      </c>
    </row>
    <row r="1675">
      <c r="A1675" s="15">
        <f>IFERROR(__xludf.DUMMYFUNCTION("""COMPUTED_VALUE"""),45049.0)</f>
        <v>45049</v>
      </c>
      <c r="B1675" s="16" t="str">
        <f>IFERROR(__xludf.DUMMYFUNCTION("""COMPUTED_VALUE"""),"Luis Miguel Ramirez Morales")</f>
        <v>Luis Miguel Ramirez Morales</v>
      </c>
      <c r="C1675" s="15" t="str">
        <f>IFERROR(__xludf.DUMMYFUNCTION("""COMPUTED_VALUE"""),"BOGOTÁ")</f>
        <v>BOGOTÁ</v>
      </c>
      <c r="D1675" s="15" t="str">
        <f>IFERROR(__xludf.DUMMYFUNCTION("""COMPUTED_VALUE"""),"MEDELLÍN")</f>
        <v>MEDELLÍN</v>
      </c>
      <c r="E1675" s="15" t="str">
        <f>IFERROR(__xludf.DUMMYFUNCTION("""COMPUTED_VALUE"""),"Baby Chef")</f>
        <v>Baby Chef</v>
      </c>
      <c r="F1675" s="17" t="str">
        <f>IFERROR(__xludf.DUMMYFUNCTION("""COMPUTED_VALUE"""),"Calle 119 # 53 A 44 /  Calle 119 # 53 A 44 / Barrio Malibu")</f>
        <v>Calle 119 # 53 A 44 /  Calle 119 # 53 A 44 / Barrio Malibu</v>
      </c>
      <c r="G1675" s="15" t="str">
        <f>IFERROR(__xludf.DUMMYFUNCTION("""COMPUTED_VALUE"""),"Clara Clavijo")</f>
        <v>Clara Clavijo</v>
      </c>
      <c r="H1675" s="16">
        <f>IFERROR(__xludf.DUMMYFUNCTION("""COMPUTED_VALUE"""),10317.0)</f>
        <v>10317</v>
      </c>
      <c r="I1675" s="18">
        <f>IFERROR(__xludf.DUMMYFUNCTION("""COMPUTED_VALUE"""),8.0)</f>
        <v>8</v>
      </c>
      <c r="J1675" s="18">
        <f>IFERROR(__xludf.DUMMYFUNCTION("""COMPUTED_VALUE"""),16.0)</f>
        <v>16</v>
      </c>
      <c r="K1675" s="18">
        <f>IFERROR(__xludf.DUMMYFUNCTION("""COMPUTED_VALUE"""),20.0)</f>
        <v>20</v>
      </c>
      <c r="L1675" s="17">
        <f>IFERROR(__xludf.DUMMYFUNCTION("""COMPUTED_VALUE"""),3.187075103E9)</f>
        <v>3187075103</v>
      </c>
      <c r="M1675" s="17" t="str">
        <f>IFERROR(__xludf.DUMMYFUNCTION("""COMPUTED_VALUE"""),"#REF!")</f>
        <v>#REF!</v>
      </c>
      <c r="N1675" s="17"/>
      <c r="O1675" s="17"/>
      <c r="P1675" s="17" t="b">
        <f>IFERROR(__xludf.DUMMYFUNCTION("""COMPUTED_VALUE"""),FALSE)</f>
        <v>0</v>
      </c>
      <c r="Q1675" s="20" t="str">
        <f>IFERROR(__xludf.DUMMYFUNCTION("""COMPUTED_VALUE"""),"")</f>
        <v/>
      </c>
      <c r="R1675" s="22" t="str">
        <f>IFERROR(__xludf.DUMMYFUNCTION("""COMPUTED_VALUE"""),"")</f>
        <v/>
      </c>
    </row>
    <row r="1676">
      <c r="A1676" s="15">
        <f>IFERROR(__xludf.DUMMYFUNCTION("""COMPUTED_VALUE"""),45049.0)</f>
        <v>45049</v>
      </c>
      <c r="B1676" s="16" t="str">
        <f>IFERROR(__xludf.DUMMYFUNCTION("""COMPUTED_VALUE"""),"Luis Miguel Ramirez Morales")</f>
        <v>Luis Miguel Ramirez Morales</v>
      </c>
      <c r="C1676" s="15" t="str">
        <f>IFERROR(__xludf.DUMMYFUNCTION("""COMPUTED_VALUE"""),"BOGOTÁ")</f>
        <v>BOGOTÁ</v>
      </c>
      <c r="D1676" s="15" t="str">
        <f>IFERROR(__xludf.DUMMYFUNCTION("""COMPUTED_VALUE"""),"MEDELLÍN")</f>
        <v>MEDELLÍN</v>
      </c>
      <c r="E1676" s="15" t="str">
        <f>IFERROR(__xludf.DUMMYFUNCTION("""COMPUTED_VALUE"""),"Baby Chef")</f>
        <v>Baby Chef</v>
      </c>
      <c r="F1676" s="17" t="str">
        <f>IFERROR(__xludf.DUMMYFUNCTION("""COMPUTED_VALUE"""),"Carrera 70b#22-64 SUR  / Barrio carvajal / Barrio carvajal")</f>
        <v>Carrera 70b#22-64 SUR  / Barrio carvajal / Barrio carvajal</v>
      </c>
      <c r="G1676" s="15" t="str">
        <f>IFERROR(__xludf.DUMMYFUNCTION("""COMPUTED_VALUE"""),"Diana Bejarano")</f>
        <v>Diana Bejarano</v>
      </c>
      <c r="H1676" s="16">
        <f>IFERROR(__xludf.DUMMYFUNCTION("""COMPUTED_VALUE"""),10320.0)</f>
        <v>10320</v>
      </c>
      <c r="I1676" s="18">
        <f>IFERROR(__xludf.DUMMYFUNCTION("""COMPUTED_VALUE"""),8.0)</f>
        <v>8</v>
      </c>
      <c r="J1676" s="18">
        <f>IFERROR(__xludf.DUMMYFUNCTION("""COMPUTED_VALUE"""),16.0)</f>
        <v>16</v>
      </c>
      <c r="K1676" s="18">
        <f>IFERROR(__xludf.DUMMYFUNCTION("""COMPUTED_VALUE"""),20.0)</f>
        <v>20</v>
      </c>
      <c r="L1676" s="17">
        <f>IFERROR(__xludf.DUMMYFUNCTION("""COMPUTED_VALUE"""),3.212015459E9)</f>
        <v>3212015459</v>
      </c>
      <c r="M1676" s="17" t="str">
        <f>IFERROR(__xludf.DUMMYFUNCTION("""COMPUTED_VALUE"""),"#REF!")</f>
        <v>#REF!</v>
      </c>
      <c r="N1676" s="17"/>
      <c r="O1676" s="17"/>
      <c r="P1676" s="17" t="b">
        <f>IFERROR(__xludf.DUMMYFUNCTION("""COMPUTED_VALUE"""),FALSE)</f>
        <v>0</v>
      </c>
      <c r="Q1676" s="20" t="str">
        <f>IFERROR(__xludf.DUMMYFUNCTION("""COMPUTED_VALUE"""),"")</f>
        <v/>
      </c>
      <c r="R1676" s="22" t="str">
        <f>IFERROR(__xludf.DUMMYFUNCTION("""COMPUTED_VALUE"""),"")</f>
        <v/>
      </c>
    </row>
    <row r="1677">
      <c r="A1677" s="15">
        <f>IFERROR(__xludf.DUMMYFUNCTION("""COMPUTED_VALUE"""),45049.0)</f>
        <v>45049</v>
      </c>
      <c r="B1677" s="16" t="str">
        <f>IFERROR(__xludf.DUMMYFUNCTION("""COMPUTED_VALUE"""),"Luis Miguel Ramirez Morales")</f>
        <v>Luis Miguel Ramirez Morales</v>
      </c>
      <c r="C1677" s="15" t="str">
        <f>IFERROR(__xludf.DUMMYFUNCTION("""COMPUTED_VALUE"""),"BOGOTÁ")</f>
        <v>BOGOTÁ</v>
      </c>
      <c r="D1677" s="15" t="str">
        <f>IFERROR(__xludf.DUMMYFUNCTION("""COMPUTED_VALUE"""),"MEDELLÍN")</f>
        <v>MEDELLÍN</v>
      </c>
      <c r="E1677" s="15" t="str">
        <f>IFERROR(__xludf.DUMMYFUNCTION("""COMPUTED_VALUE"""),"Baby Chef")</f>
        <v>Baby Chef</v>
      </c>
      <c r="F1677" s="17" t="str">
        <f>IFERROR(__xludf.DUMMYFUNCTION("""COMPUTED_VALUE"""),"Cl 9 #80f-14 / piso 1 apto 101 / Valladolid")</f>
        <v>Cl 9 #80f-14 / piso 1 apto 101 / Valladolid</v>
      </c>
      <c r="G1677" s="15" t="str">
        <f>IFERROR(__xludf.DUMMYFUNCTION("""COMPUTED_VALUE"""),"Isabel Marín")</f>
        <v>Isabel Marín</v>
      </c>
      <c r="H1677" s="16">
        <f>IFERROR(__xludf.DUMMYFUNCTION("""COMPUTED_VALUE"""),10319.0)</f>
        <v>10319</v>
      </c>
      <c r="I1677" s="18">
        <f>IFERROR(__xludf.DUMMYFUNCTION("""COMPUTED_VALUE"""),8.0)</f>
        <v>8</v>
      </c>
      <c r="J1677" s="18">
        <f>IFERROR(__xludf.DUMMYFUNCTION("""COMPUTED_VALUE"""),16.0)</f>
        <v>16</v>
      </c>
      <c r="K1677" s="18">
        <f>IFERROR(__xludf.DUMMYFUNCTION("""COMPUTED_VALUE"""),20.0)</f>
        <v>20</v>
      </c>
      <c r="L1677" s="17">
        <f>IFERROR(__xludf.DUMMYFUNCTION("""COMPUTED_VALUE"""),3.112648882E9)</f>
        <v>3112648882</v>
      </c>
      <c r="M1677" s="17" t="str">
        <f>IFERROR(__xludf.DUMMYFUNCTION("""COMPUTED_VALUE"""),"#REF!")</f>
        <v>#REF!</v>
      </c>
      <c r="N1677" s="17"/>
      <c r="O1677" s="17"/>
      <c r="P1677" s="17" t="b">
        <f>IFERROR(__xludf.DUMMYFUNCTION("""COMPUTED_VALUE"""),FALSE)</f>
        <v>0</v>
      </c>
      <c r="Q1677" s="20" t="str">
        <f>IFERROR(__xludf.DUMMYFUNCTION("""COMPUTED_VALUE"""),"")</f>
        <v/>
      </c>
      <c r="R1677" s="22" t="str">
        <f>IFERROR(__xludf.DUMMYFUNCTION("""COMPUTED_VALUE"""),"")</f>
        <v/>
      </c>
    </row>
    <row r="1678">
      <c r="A1678" s="15">
        <f>IFERROR(__xludf.DUMMYFUNCTION("""COMPUTED_VALUE"""),45049.0)</f>
        <v>45049</v>
      </c>
      <c r="B1678" s="16" t="str">
        <f>IFERROR(__xludf.DUMMYFUNCTION("""COMPUTED_VALUE"""),"Luis Miguel Ramirez Morales")</f>
        <v>Luis Miguel Ramirez Morales</v>
      </c>
      <c r="C1678" s="15" t="str">
        <f>IFERROR(__xludf.DUMMYFUNCTION("""COMPUTED_VALUE"""),"BOGOTÁ")</f>
        <v>BOGOTÁ</v>
      </c>
      <c r="D1678" s="15" t="str">
        <f>IFERROR(__xludf.DUMMYFUNCTION("""COMPUTED_VALUE"""),"MEDELLÍN")</f>
        <v>MEDELLÍN</v>
      </c>
      <c r="E1678" s="15" t="str">
        <f>IFERROR(__xludf.DUMMYFUNCTION("""COMPUTED_VALUE"""),"Baby Chef")</f>
        <v>Baby Chef</v>
      </c>
      <c r="F1678" s="17" t="str">
        <f>IFERROR(__xludf.DUMMYFUNCTION("""COMPUTED_VALUE"""),"Cra 4 # 59 - 54  / Edificio Colina de la Salle Apto 504 / Chapinero Alto")</f>
        <v>Cra 4 # 59 - 54  / Edificio Colina de la Salle Apto 504 / Chapinero Alto</v>
      </c>
      <c r="G1678" s="15" t="str">
        <f>IFERROR(__xludf.DUMMYFUNCTION("""COMPUTED_VALUE"""),"Eliana Lileth Folleco David")</f>
        <v>Eliana Lileth Folleco David</v>
      </c>
      <c r="H1678" s="16">
        <f>IFERROR(__xludf.DUMMYFUNCTION("""COMPUTED_VALUE"""),10316.0)</f>
        <v>10316</v>
      </c>
      <c r="I1678" s="18">
        <f>IFERROR(__xludf.DUMMYFUNCTION("""COMPUTED_VALUE"""),8.0)</f>
        <v>8</v>
      </c>
      <c r="J1678" s="18">
        <f>IFERROR(__xludf.DUMMYFUNCTION("""COMPUTED_VALUE"""),16.0)</f>
        <v>16</v>
      </c>
      <c r="K1678" s="18">
        <f>IFERROR(__xludf.DUMMYFUNCTION("""COMPUTED_VALUE"""),20.0)</f>
        <v>20</v>
      </c>
      <c r="L1678" s="17">
        <f>IFERROR(__xludf.DUMMYFUNCTION("""COMPUTED_VALUE"""),3.165349554E9)</f>
        <v>3165349554</v>
      </c>
      <c r="M1678" s="17" t="str">
        <f>IFERROR(__xludf.DUMMYFUNCTION("""COMPUTED_VALUE"""),"#REF!")</f>
        <v>#REF!</v>
      </c>
      <c r="N1678" s="17"/>
      <c r="O1678" s="17"/>
      <c r="P1678" s="17" t="b">
        <f>IFERROR(__xludf.DUMMYFUNCTION("""COMPUTED_VALUE"""),FALSE)</f>
        <v>0</v>
      </c>
      <c r="Q1678" s="20" t="str">
        <f>IFERROR(__xludf.DUMMYFUNCTION("""COMPUTED_VALUE"""),"")</f>
        <v/>
      </c>
      <c r="R1678" s="22" t="str">
        <f>IFERROR(__xludf.DUMMYFUNCTION("""COMPUTED_VALUE"""),"")</f>
        <v/>
      </c>
    </row>
    <row r="1679">
      <c r="A1679" s="15">
        <f>IFERROR(__xludf.DUMMYFUNCTION("""COMPUTED_VALUE"""),45049.0)</f>
        <v>45049</v>
      </c>
      <c r="B1679" s="16" t="str">
        <f>IFERROR(__xludf.DUMMYFUNCTION("""COMPUTED_VALUE"""),"Luis Miguel Ramirez Morales")</f>
        <v>Luis Miguel Ramirez Morales</v>
      </c>
      <c r="C1679" s="15" t="str">
        <f>IFERROR(__xludf.DUMMYFUNCTION("""COMPUTED_VALUE"""),"BOGOTÁ")</f>
        <v>BOGOTÁ</v>
      </c>
      <c r="D1679" s="15" t="str">
        <f>IFERROR(__xludf.DUMMYFUNCTION("""COMPUTED_VALUE"""),"MEDELLÍN")</f>
        <v>MEDELLÍN</v>
      </c>
      <c r="E1679" s="15" t="str">
        <f>IFERROR(__xludf.DUMMYFUNCTION("""COMPUTED_VALUE"""),"Baby Chef")</f>
        <v>Baby Chef</v>
      </c>
      <c r="F1679" s="17" t="str">
        <f>IFERROR(__xludf.DUMMYFUNCTION("""COMPUTED_VALUE"""),"Cra 72 # 23 - 24 / Int 8 Apto 105 Conjunto Carlos Lleras Manzana B1 / El conjunto queda de sur hacia norte por la Av boyaca")</f>
        <v>Cra 72 # 23 - 24 / Int 8 Apto 105 Conjunto Carlos Lleras Manzana B1 / El conjunto queda de sur hacia norte por la Av boyaca</v>
      </c>
      <c r="G1679" s="15" t="str">
        <f>IFERROR(__xludf.DUMMYFUNCTION("""COMPUTED_VALUE"""),"Ingrid Lilians Mayorquin González")</f>
        <v>Ingrid Lilians Mayorquin González</v>
      </c>
      <c r="H1679" s="16">
        <f>IFERROR(__xludf.DUMMYFUNCTION("""COMPUTED_VALUE"""),10318.0)</f>
        <v>10318</v>
      </c>
      <c r="I1679" s="18">
        <f>IFERROR(__xludf.DUMMYFUNCTION("""COMPUTED_VALUE"""),8.0)</f>
        <v>8</v>
      </c>
      <c r="J1679" s="18">
        <f>IFERROR(__xludf.DUMMYFUNCTION("""COMPUTED_VALUE"""),16.0)</f>
        <v>16</v>
      </c>
      <c r="K1679" s="18">
        <f>IFERROR(__xludf.DUMMYFUNCTION("""COMPUTED_VALUE"""),20.0)</f>
        <v>20</v>
      </c>
      <c r="L1679" s="17">
        <f>IFERROR(__xludf.DUMMYFUNCTION("""COMPUTED_VALUE"""),3.114530532E9)</f>
        <v>3114530532</v>
      </c>
      <c r="M1679" s="17" t="str">
        <f>IFERROR(__xludf.DUMMYFUNCTION("""COMPUTED_VALUE"""),"#REF!")</f>
        <v>#REF!</v>
      </c>
      <c r="N1679" s="17"/>
      <c r="O1679" s="17"/>
      <c r="P1679" s="17" t="b">
        <f>IFERROR(__xludf.DUMMYFUNCTION("""COMPUTED_VALUE"""),FALSE)</f>
        <v>0</v>
      </c>
      <c r="Q1679" s="20" t="str">
        <f>IFERROR(__xludf.DUMMYFUNCTION("""COMPUTED_VALUE"""),"")</f>
        <v/>
      </c>
      <c r="R1679" s="22" t="str">
        <f>IFERROR(__xludf.DUMMYFUNCTION("""COMPUTED_VALUE"""),"")</f>
        <v/>
      </c>
    </row>
    <row r="1680">
      <c r="A1680" s="15">
        <f>IFERROR(__xludf.DUMMYFUNCTION("""COMPUTED_VALUE"""),45049.0)</f>
        <v>45049</v>
      </c>
      <c r="B1680" s="16" t="str">
        <f>IFERROR(__xludf.DUMMYFUNCTION("""COMPUTED_VALUE"""),"Luis Miguel Ramirez Morales")</f>
        <v>Luis Miguel Ramirez Morales</v>
      </c>
      <c r="C1680" s="15" t="str">
        <f>IFERROR(__xludf.DUMMYFUNCTION("""COMPUTED_VALUE"""),"BOGOTÁ")</f>
        <v>BOGOTÁ</v>
      </c>
      <c r="D1680" s="15" t="str">
        <f>IFERROR(__xludf.DUMMYFUNCTION("""COMPUTED_VALUE"""),"MEDELLÍN")</f>
        <v>MEDELLÍN</v>
      </c>
      <c r="E1680" s="15" t="str">
        <f>IFERROR(__xludf.DUMMYFUNCTION("""COMPUTED_VALUE"""),"Moloso S.A.S")</f>
        <v>Moloso S.A.S</v>
      </c>
      <c r="F1680" s="17" t="str">
        <f>IFERROR(__xludf.DUMMYFUNCTION("""COMPUTED_VALUE"""),"	 CRA 9 BIS 97 06 / APTO 604")</f>
        <v>	 CRA 9 BIS 97 06 / APTO 604</v>
      </c>
      <c r="G1680" s="15" t="str">
        <f>IFERROR(__xludf.DUMMYFUNCTION("""COMPUTED_VALUE"""),"MARIA XIMENA GUZMAN DEL CASTILLO")</f>
        <v>MARIA XIMENA GUZMAN DEL CASTILLO</v>
      </c>
      <c r="H1680" s="16">
        <f>IFERROR(__xludf.DUMMYFUNCTION("""COMPUTED_VALUE"""),10301.0)</f>
        <v>10301</v>
      </c>
      <c r="I1680" s="18">
        <f>IFERROR(__xludf.DUMMYFUNCTION("""COMPUTED_VALUE"""),17.0)</f>
        <v>17</v>
      </c>
      <c r="J1680" s="18">
        <f>IFERROR(__xludf.DUMMYFUNCTION("""COMPUTED_VALUE"""),15.0)</f>
        <v>15</v>
      </c>
      <c r="K1680" s="18">
        <f>IFERROR(__xludf.DUMMYFUNCTION("""COMPUTED_VALUE"""),28.0)</f>
        <v>28</v>
      </c>
      <c r="L1680" s="17" t="str">
        <f>IFERROR(__xludf.DUMMYFUNCTION("""COMPUTED_VALUE"""),"311 2848381")</f>
        <v>311 2848381</v>
      </c>
      <c r="M1680" s="17" t="str">
        <f>IFERROR(__xludf.DUMMYFUNCTION("""COMPUTED_VALUE"""),"#REF!")</f>
        <v>#REF!</v>
      </c>
      <c r="N1680" s="17"/>
      <c r="O1680" s="17"/>
      <c r="P1680" s="17" t="b">
        <f>IFERROR(__xludf.DUMMYFUNCTION("""COMPUTED_VALUE"""),FALSE)</f>
        <v>0</v>
      </c>
      <c r="Q1680" s="20" t="str">
        <f>IFERROR(__xludf.DUMMYFUNCTION("""COMPUTED_VALUE"""),"")</f>
        <v/>
      </c>
      <c r="R1680" s="22" t="str">
        <f>IFERROR(__xludf.DUMMYFUNCTION("""COMPUTED_VALUE"""),"")</f>
        <v/>
      </c>
    </row>
    <row r="1681">
      <c r="A1681" s="15">
        <f>IFERROR(__xludf.DUMMYFUNCTION("""COMPUTED_VALUE"""),45049.0)</f>
        <v>45049</v>
      </c>
      <c r="B1681" s="16" t="str">
        <f>IFERROR(__xludf.DUMMYFUNCTION("""COMPUTED_VALUE"""),"Luis Miguel Ramirez Morales")</f>
        <v>Luis Miguel Ramirez Morales</v>
      </c>
      <c r="C1681" s="15" t="str">
        <f>IFERROR(__xludf.DUMMYFUNCTION("""COMPUTED_VALUE"""),"MANIZALES")</f>
        <v>MANIZALES</v>
      </c>
      <c r="D1681" s="15" t="str">
        <f>IFERROR(__xludf.DUMMYFUNCTION("""COMPUTED_VALUE"""),"BOGOTÁ")</f>
        <v>BOGOTÁ</v>
      </c>
      <c r="E1681" s="15" t="str">
        <f>IFERROR(__xludf.DUMMYFUNCTION("""COMPUTED_VALUE"""),"Evamazzita")</f>
        <v>Evamazzita</v>
      </c>
      <c r="F1681" s="17" t="str">
        <f>IFERROR(__xludf.DUMMYFUNCTION("""COMPUTED_VALUE"""),"Cra 28 D # 70-46   / N/A / Palermo")</f>
        <v>Cra 28 D # 70-46   / N/A / Palermo</v>
      </c>
      <c r="G1681" s="15" t="str">
        <f>IFERROR(__xludf.DUMMYFUNCTION("""COMPUTED_VALUE"""),"PAULA XIMENA BOLAÑOS")</f>
        <v>PAULA XIMENA BOLAÑOS</v>
      </c>
      <c r="H1681" s="16">
        <f>IFERROR(__xludf.DUMMYFUNCTION("""COMPUTED_VALUE"""),10261.0)</f>
        <v>10261</v>
      </c>
      <c r="I1681" s="18">
        <f>IFERROR(__xludf.DUMMYFUNCTION("""COMPUTED_VALUE"""),6.0)</f>
        <v>6</v>
      </c>
      <c r="J1681" s="18">
        <f>IFERROR(__xludf.DUMMYFUNCTION("""COMPUTED_VALUE"""),14.0)</f>
        <v>14</v>
      </c>
      <c r="K1681" s="18">
        <f>IFERROR(__xludf.DUMMYFUNCTION("""COMPUTED_VALUE"""),24.0)</f>
        <v>24</v>
      </c>
      <c r="L1681" s="17">
        <f>IFERROR(__xludf.DUMMYFUNCTION("""COMPUTED_VALUE"""),3.10398467E9)</f>
        <v>3103984670</v>
      </c>
      <c r="M1681" s="17" t="str">
        <f>IFERROR(__xludf.DUMMYFUNCTION("""COMPUTED_VALUE"""),"#REF!")</f>
        <v>#REF!</v>
      </c>
      <c r="N1681" s="17"/>
      <c r="O1681" s="19">
        <f>IFERROR(__xludf.DUMMYFUNCTION("""COMPUTED_VALUE"""),10000.0)</f>
        <v>10000</v>
      </c>
      <c r="P1681" s="17" t="b">
        <f>IFERROR(__xludf.DUMMYFUNCTION("""COMPUTED_VALUE"""),FALSE)</f>
        <v>0</v>
      </c>
      <c r="Q1681" s="20" t="str">
        <f>IFERROR(__xludf.DUMMYFUNCTION("""COMPUTED_VALUE"""),"")</f>
        <v/>
      </c>
      <c r="R1681" s="22" t="str">
        <f>IFERROR(__xludf.DUMMYFUNCTION("""COMPUTED_VALUE"""),"")</f>
        <v/>
      </c>
    </row>
    <row r="1682">
      <c r="A1682" s="17" t="str">
        <f>IFERROR(__xludf.DUMMYFUNCTION("""COMPUTED_VALUE"""),"")</f>
        <v/>
      </c>
      <c r="B1682" s="17" t="str">
        <f>IFERROR(__xludf.DUMMYFUNCTION("""COMPUTED_VALUE"""),"")</f>
        <v/>
      </c>
      <c r="C1682" s="17" t="str">
        <f>IFERROR(__xludf.DUMMYFUNCTION("""COMPUTED_VALUE"""),"")</f>
        <v/>
      </c>
      <c r="D1682" s="17" t="str">
        <f>IFERROR(__xludf.DUMMYFUNCTION("""COMPUTED_VALUE"""),"")</f>
        <v/>
      </c>
      <c r="E1682" s="17" t="str">
        <f>IFERROR(__xludf.DUMMYFUNCTION("""COMPUTED_VALUE"""),"")</f>
        <v/>
      </c>
      <c r="F1682" s="17" t="str">
        <f>IFERROR(__xludf.DUMMYFUNCTION("""COMPUTED_VALUE"""),"")</f>
        <v/>
      </c>
      <c r="G1682" s="17" t="str">
        <f>IFERROR(__xludf.DUMMYFUNCTION("""COMPUTED_VALUE"""),"")</f>
        <v/>
      </c>
      <c r="H1682" s="17" t="str">
        <f>IFERROR(__xludf.DUMMYFUNCTION("""COMPUTED_VALUE"""),"")</f>
        <v/>
      </c>
      <c r="I1682" s="17" t="str">
        <f>IFERROR(__xludf.DUMMYFUNCTION("""COMPUTED_VALUE"""),"")</f>
        <v/>
      </c>
      <c r="J1682" s="17" t="str">
        <f>IFERROR(__xludf.DUMMYFUNCTION("""COMPUTED_VALUE"""),"")</f>
        <v/>
      </c>
      <c r="K1682" s="17" t="str">
        <f>IFERROR(__xludf.DUMMYFUNCTION("""COMPUTED_VALUE"""),"")</f>
        <v/>
      </c>
      <c r="L1682" s="17" t="str">
        <f>IFERROR(__xludf.DUMMYFUNCTION("""COMPUTED_VALUE"""),"")</f>
        <v/>
      </c>
      <c r="M1682" s="17" t="str">
        <f>IFERROR(__xludf.DUMMYFUNCTION("""COMPUTED_VALUE"""),"")</f>
        <v/>
      </c>
      <c r="N1682" s="17" t="str">
        <f>IFERROR(__xludf.DUMMYFUNCTION("""COMPUTED_VALUE"""),"")</f>
        <v/>
      </c>
      <c r="O1682" s="17" t="str">
        <f>IFERROR(__xludf.DUMMYFUNCTION("""COMPUTED_VALUE"""),"")</f>
        <v/>
      </c>
      <c r="P1682" s="17" t="str">
        <f>IFERROR(__xludf.DUMMYFUNCTION("""COMPUTED_VALUE"""),"")</f>
        <v/>
      </c>
      <c r="Q1682" s="17" t="str">
        <f>IFERROR(__xludf.DUMMYFUNCTION("""COMPUTED_VALUE"""),"")</f>
        <v/>
      </c>
      <c r="R1682" s="17" t="str">
        <f>IFERROR(__xludf.DUMMYFUNCTION("""COMPUTED_VALUE"""),"")</f>
        <v/>
      </c>
    </row>
    <row r="1683">
      <c r="A1683" s="15">
        <f>IFERROR(__xludf.DUMMYFUNCTION("""COMPUTED_VALUE"""),45049.0)</f>
        <v>45049</v>
      </c>
      <c r="B1683" s="16" t="str">
        <f>IFERROR(__xludf.DUMMYFUNCTION("""COMPUTED_VALUE"""),"Oscar Augusto Meneses Osias")</f>
        <v>Oscar Augusto Meneses Osias</v>
      </c>
      <c r="C1683" s="15" t="str">
        <f>IFERROR(__xludf.DUMMYFUNCTION("""COMPUTED_VALUE"""),"MEDELLÍN")</f>
        <v>MEDELLÍN</v>
      </c>
      <c r="D1683" s="15" t="str">
        <f>IFERROR(__xludf.DUMMYFUNCTION("""COMPUTED_VALUE"""),"BOGOTÁ")</f>
        <v>BOGOTÁ</v>
      </c>
      <c r="E1683" s="15" t="str">
        <f>IFERROR(__xludf.DUMMYFUNCTION("""COMPUTED_VALUE"""),"Asociacion Agropecuaria Juana Maria")</f>
        <v>Asociacion Agropecuaria Juana Maria</v>
      </c>
      <c r="F1683" s="17" t="str">
        <f>IFERROR(__xludf.DUMMYFUNCTION("""COMPUTED_VALUE"""),"Carrera 15 BA # 30D-44 int 201")</f>
        <v>Carrera 15 BA # 30D-44 int 201</v>
      </c>
      <c r="G1683" s="15" t="str">
        <f>IFERROR(__xludf.DUMMYFUNCTION("""COMPUTED_VALUE"""),"Daniela Bedoya Blandon")</f>
        <v>Daniela Bedoya Blandon</v>
      </c>
      <c r="H1683" s="16">
        <f>IFERROR(__xludf.DUMMYFUNCTION("""COMPUTED_VALUE"""),10237.0)</f>
        <v>10237</v>
      </c>
      <c r="I1683" s="18">
        <f>IFERROR(__xludf.DUMMYFUNCTION("""COMPUTED_VALUE"""),28.0)</f>
        <v>28</v>
      </c>
      <c r="J1683" s="18">
        <f>IFERROR(__xludf.DUMMYFUNCTION("""COMPUTED_VALUE"""),37.0)</f>
        <v>37</v>
      </c>
      <c r="K1683" s="18">
        <f>IFERROR(__xludf.DUMMYFUNCTION("""COMPUTED_VALUE"""),27.0)</f>
        <v>27</v>
      </c>
      <c r="L1683" s="17">
        <f>IFERROR(__xludf.DUMMYFUNCTION("""COMPUTED_VALUE"""),3.14672822E9)</f>
        <v>3146728220</v>
      </c>
      <c r="M1683" s="17" t="str">
        <f>IFERROR(__xludf.DUMMYFUNCTION("""COMPUTED_VALUE"""),"#REF!")</f>
        <v>#REF!</v>
      </c>
      <c r="N1683" s="17"/>
      <c r="O1683" s="19">
        <f>IFERROR(__xludf.DUMMYFUNCTION("""COMPUTED_VALUE"""),10000.0)</f>
        <v>10000</v>
      </c>
      <c r="P1683" s="17" t="b">
        <f>IFERROR(__xludf.DUMMYFUNCTION("""COMPUTED_VALUE"""),FALSE)</f>
        <v>0</v>
      </c>
      <c r="Q1683" s="20" t="str">
        <f>IFERROR(__xludf.DUMMYFUNCTION("""COMPUTED_VALUE"""),"")</f>
        <v/>
      </c>
      <c r="R1683" s="22" t="str">
        <f>IFERROR(__xludf.DUMMYFUNCTION("""COMPUTED_VALUE"""),"")</f>
        <v/>
      </c>
    </row>
    <row r="1684">
      <c r="A1684" s="15">
        <f>IFERROR(__xludf.DUMMYFUNCTION("""COMPUTED_VALUE"""),45049.0)</f>
        <v>45049</v>
      </c>
      <c r="B1684" s="16" t="str">
        <f>IFERROR(__xludf.DUMMYFUNCTION("""COMPUTED_VALUE"""),"Oscar Augusto Meneses Osias")</f>
        <v>Oscar Augusto Meneses Osias</v>
      </c>
      <c r="C1684" s="15" t="str">
        <f>IFERROR(__xludf.DUMMYFUNCTION("""COMPUTED_VALUE"""),"MEDELLÍN")</f>
        <v>MEDELLÍN</v>
      </c>
      <c r="D1684" s="15" t="str">
        <f>IFERROR(__xludf.DUMMYFUNCTION("""COMPUTED_VALUE"""),"BOGOTÁ")</f>
        <v>BOGOTÁ</v>
      </c>
      <c r="E1684" s="15" t="str">
        <f>IFERROR(__xludf.DUMMYFUNCTION("""COMPUTED_VALUE"""),"Evamazzita")</f>
        <v>Evamazzita</v>
      </c>
      <c r="F1684" s="17" t="str">
        <f>IFERROR(__xludf.DUMMYFUNCTION("""COMPUTED_VALUE"""),"CALLE 36 No. 6 - 12  / VILLA ILUSION TORRE TUPINAMBA APTO 402 / BELLO")</f>
        <v>CALLE 36 No. 6 - 12  / VILLA ILUSION TORRE TUPINAMBA APTO 402 / BELLO</v>
      </c>
      <c r="G1684" s="15" t="str">
        <f>IFERROR(__xludf.DUMMYFUNCTION("""COMPUTED_VALUE"""),"ERIKA CEBALLOS")</f>
        <v>ERIKA CEBALLOS</v>
      </c>
      <c r="H1684" s="16">
        <f>IFERROR(__xludf.DUMMYFUNCTION("""COMPUTED_VALUE"""),10270.0)</f>
        <v>10270</v>
      </c>
      <c r="I1684" s="18">
        <f>IFERROR(__xludf.DUMMYFUNCTION("""COMPUTED_VALUE"""),3.0)</f>
        <v>3</v>
      </c>
      <c r="J1684" s="18">
        <f>IFERROR(__xludf.DUMMYFUNCTION("""COMPUTED_VALUE"""),20.0)</f>
        <v>20</v>
      </c>
      <c r="K1684" s="18">
        <f>IFERROR(__xludf.DUMMYFUNCTION("""COMPUTED_VALUE"""),15.0)</f>
        <v>15</v>
      </c>
      <c r="L1684" s="17">
        <f>IFERROR(__xludf.DUMMYFUNCTION("""COMPUTED_VALUE"""),3.206135304E9)</f>
        <v>3206135304</v>
      </c>
      <c r="M1684" s="17" t="str">
        <f>IFERROR(__xludf.DUMMYFUNCTION("""COMPUTED_VALUE"""),"#REF!")</f>
        <v>#REF!</v>
      </c>
      <c r="N1684" s="17"/>
      <c r="O1684" s="19">
        <f>IFERROR(__xludf.DUMMYFUNCTION("""COMPUTED_VALUE"""),10000.0)</f>
        <v>10000</v>
      </c>
      <c r="P1684" s="17" t="b">
        <f>IFERROR(__xludf.DUMMYFUNCTION("""COMPUTED_VALUE"""),FALSE)</f>
        <v>0</v>
      </c>
      <c r="Q1684" s="20" t="str">
        <f>IFERROR(__xludf.DUMMYFUNCTION("""COMPUTED_VALUE"""),"")</f>
        <v/>
      </c>
      <c r="R1684" s="22" t="str">
        <f>IFERROR(__xludf.DUMMYFUNCTION("""COMPUTED_VALUE"""),"")</f>
        <v/>
      </c>
    </row>
    <row r="1685">
      <c r="A1685" s="15">
        <f>IFERROR(__xludf.DUMMYFUNCTION("""COMPUTED_VALUE"""),45049.0)</f>
        <v>45049</v>
      </c>
      <c r="B1685" s="16" t="str">
        <f>IFERROR(__xludf.DUMMYFUNCTION("""COMPUTED_VALUE"""),"Oscar Augusto Meneses Osias")</f>
        <v>Oscar Augusto Meneses Osias</v>
      </c>
      <c r="C1685" s="15" t="str">
        <f>IFERROR(__xludf.DUMMYFUNCTION("""COMPUTED_VALUE"""),"MEDELLÍN")</f>
        <v>MEDELLÍN</v>
      </c>
      <c r="D1685" s="15" t="str">
        <f>IFERROR(__xludf.DUMMYFUNCTION("""COMPUTED_VALUE"""),"BOGOTÁ")</f>
        <v>BOGOTÁ</v>
      </c>
      <c r="E1685" s="15" t="str">
        <f>IFERROR(__xludf.DUMMYFUNCTION("""COMPUTED_VALUE"""),"Evamazzita")</f>
        <v>Evamazzita</v>
      </c>
      <c r="F1685" s="17" t="str">
        <f>IFERROR(__xludf.DUMMYFUNCTION("""COMPUTED_VALUE"""),"calle 38b # 66-25  / apto 301 / ITAGÜÍ -  Barrio villa lia- por la glorieta de ditaires")</f>
        <v>calle 38b # 66-25  / apto 301 / ITAGÜÍ -  Barrio villa lia- por la glorieta de ditaires</v>
      </c>
      <c r="G1685" s="15" t="str">
        <f>IFERROR(__xludf.DUMMYFUNCTION("""COMPUTED_VALUE"""),"MARIA ELENA CONTRERAS MATTOS")</f>
        <v>MARIA ELENA CONTRERAS MATTOS</v>
      </c>
      <c r="H1685" s="16">
        <f>IFERROR(__xludf.DUMMYFUNCTION("""COMPUTED_VALUE"""),10274.0)</f>
        <v>10274</v>
      </c>
      <c r="I1685" s="18">
        <f>IFERROR(__xludf.DUMMYFUNCTION("""COMPUTED_VALUE"""),3.0)</f>
        <v>3</v>
      </c>
      <c r="J1685" s="18">
        <f>IFERROR(__xludf.DUMMYFUNCTION("""COMPUTED_VALUE"""),20.0)</f>
        <v>20</v>
      </c>
      <c r="K1685" s="18">
        <f>IFERROR(__xludf.DUMMYFUNCTION("""COMPUTED_VALUE"""),15.0)</f>
        <v>15</v>
      </c>
      <c r="L1685" s="17">
        <f>IFERROR(__xludf.DUMMYFUNCTION("""COMPUTED_VALUE"""),3.165204659E9)</f>
        <v>3165204659</v>
      </c>
      <c r="M1685" s="17" t="str">
        <f>IFERROR(__xludf.DUMMYFUNCTION("""COMPUTED_VALUE"""),"#REF!")</f>
        <v>#REF!</v>
      </c>
      <c r="N1685" s="17"/>
      <c r="O1685" s="19">
        <f>IFERROR(__xludf.DUMMYFUNCTION("""COMPUTED_VALUE"""),10000.0)</f>
        <v>10000</v>
      </c>
      <c r="P1685" s="17" t="b">
        <f>IFERROR(__xludf.DUMMYFUNCTION("""COMPUTED_VALUE"""),FALSE)</f>
        <v>0</v>
      </c>
      <c r="Q1685" s="20" t="str">
        <f>IFERROR(__xludf.DUMMYFUNCTION("""COMPUTED_VALUE"""),"")</f>
        <v/>
      </c>
      <c r="R1685" s="22" t="str">
        <f>IFERROR(__xludf.DUMMYFUNCTION("""COMPUTED_VALUE"""),"")</f>
        <v/>
      </c>
    </row>
    <row r="1686">
      <c r="A1686" s="15">
        <f>IFERROR(__xludf.DUMMYFUNCTION("""COMPUTED_VALUE"""),45049.0)</f>
        <v>45049</v>
      </c>
      <c r="B1686" s="16" t="str">
        <f>IFERROR(__xludf.DUMMYFUNCTION("""COMPUTED_VALUE"""),"Oscar Augusto Meneses Osias")</f>
        <v>Oscar Augusto Meneses Osias</v>
      </c>
      <c r="C1686" s="15" t="str">
        <f>IFERROR(__xludf.DUMMYFUNCTION("""COMPUTED_VALUE"""),"MEDELLÍN")</f>
        <v>MEDELLÍN</v>
      </c>
      <c r="D1686" s="15" t="str">
        <f>IFERROR(__xludf.DUMMYFUNCTION("""COMPUTED_VALUE"""),"BOGOTÁ")</f>
        <v>BOGOTÁ</v>
      </c>
      <c r="E1686" s="15" t="str">
        <f>IFERROR(__xludf.DUMMYFUNCTION("""COMPUTED_VALUE"""),"Evamazzita")</f>
        <v>Evamazzita</v>
      </c>
      <c r="F1686" s="17" t="str">
        <f>IFERROR(__xludf.DUMMYFUNCTION("""COMPUTED_VALUE"""),"CALLE 39 No. 52-95  / OCEANA CIUDAD FABRICATO APTO 1821 / BELLO")</f>
        <v>CALLE 39 No. 52-95  / OCEANA CIUDAD FABRICATO APTO 1821 / BELLO</v>
      </c>
      <c r="G1686" s="15" t="str">
        <f>IFERROR(__xludf.DUMMYFUNCTION("""COMPUTED_VALUE"""),"DANIELA GOMEZ RAMIREZ")</f>
        <v>DANIELA GOMEZ RAMIREZ</v>
      </c>
      <c r="H1686" s="16">
        <f>IFERROR(__xludf.DUMMYFUNCTION("""COMPUTED_VALUE"""),10269.0)</f>
        <v>10269</v>
      </c>
      <c r="I1686" s="18">
        <f>IFERROR(__xludf.DUMMYFUNCTION("""COMPUTED_VALUE"""),3.0)</f>
        <v>3</v>
      </c>
      <c r="J1686" s="18">
        <f>IFERROR(__xludf.DUMMYFUNCTION("""COMPUTED_VALUE"""),20.0)</f>
        <v>20</v>
      </c>
      <c r="K1686" s="18">
        <f>IFERROR(__xludf.DUMMYFUNCTION("""COMPUTED_VALUE"""),15.0)</f>
        <v>15</v>
      </c>
      <c r="L1686" s="17">
        <f>IFERROR(__xludf.DUMMYFUNCTION("""COMPUTED_VALUE"""),3.023763992E9)</f>
        <v>3023763992</v>
      </c>
      <c r="M1686" s="17" t="str">
        <f>IFERROR(__xludf.DUMMYFUNCTION("""COMPUTED_VALUE"""),"#REF!")</f>
        <v>#REF!</v>
      </c>
      <c r="N1686" s="17"/>
      <c r="O1686" s="19">
        <f>IFERROR(__xludf.DUMMYFUNCTION("""COMPUTED_VALUE"""),10000.0)</f>
        <v>10000</v>
      </c>
      <c r="P1686" s="17" t="b">
        <f>IFERROR(__xludf.DUMMYFUNCTION("""COMPUTED_VALUE"""),FALSE)</f>
        <v>0</v>
      </c>
      <c r="Q1686" s="20" t="str">
        <f>IFERROR(__xludf.DUMMYFUNCTION("""COMPUTED_VALUE"""),"")</f>
        <v/>
      </c>
      <c r="R1686" s="22" t="str">
        <f>IFERROR(__xludf.DUMMYFUNCTION("""COMPUTED_VALUE"""),"")</f>
        <v/>
      </c>
    </row>
    <row r="1687">
      <c r="A1687" s="15">
        <f>IFERROR(__xludf.DUMMYFUNCTION("""COMPUTED_VALUE"""),45049.0)</f>
        <v>45049</v>
      </c>
      <c r="B1687" s="16" t="str">
        <f>IFERROR(__xludf.DUMMYFUNCTION("""COMPUTED_VALUE"""),"Oscar Augusto Meneses Osias")</f>
        <v>Oscar Augusto Meneses Osias</v>
      </c>
      <c r="C1687" s="15" t="str">
        <f>IFERROR(__xludf.DUMMYFUNCTION("""COMPUTED_VALUE"""),"MEDELLÍN")</f>
        <v>MEDELLÍN</v>
      </c>
      <c r="D1687" s="15" t="str">
        <f>IFERROR(__xludf.DUMMYFUNCTION("""COMPUTED_VALUE"""),"BOGOTÁ")</f>
        <v>BOGOTÁ</v>
      </c>
      <c r="E1687" s="15" t="str">
        <f>IFERROR(__xludf.DUMMYFUNCTION("""COMPUTED_VALUE"""),"Evamazzita")</f>
        <v>Evamazzita</v>
      </c>
      <c r="F1687" s="17" t="str">
        <f>IFERROR(__xludf.DUMMYFUNCTION("""COMPUTED_VALUE"""),"CALLE 83 B # 57 88  / PRIMER PISO VIVIENDAS DEL SUR  / ITAGÜÍ")</f>
        <v>CALLE 83 B # 57 88  / PRIMER PISO VIVIENDAS DEL SUR  / ITAGÜÍ</v>
      </c>
      <c r="G1687" s="15" t="str">
        <f>IFERROR(__xludf.DUMMYFUNCTION("""COMPUTED_VALUE"""),"JUSTINE COLORADO GUTIERREZ")</f>
        <v>JUSTINE COLORADO GUTIERREZ</v>
      </c>
      <c r="H1687" s="16">
        <f>IFERROR(__xludf.DUMMYFUNCTION("""COMPUTED_VALUE"""),10275.0)</f>
        <v>10275</v>
      </c>
      <c r="I1687" s="18">
        <f>IFERROR(__xludf.DUMMYFUNCTION("""COMPUTED_VALUE"""),3.0)</f>
        <v>3</v>
      </c>
      <c r="J1687" s="18">
        <f>IFERROR(__xludf.DUMMYFUNCTION("""COMPUTED_VALUE"""),20.0)</f>
        <v>20</v>
      </c>
      <c r="K1687" s="18">
        <f>IFERROR(__xludf.DUMMYFUNCTION("""COMPUTED_VALUE"""),15.0)</f>
        <v>15</v>
      </c>
      <c r="L1687" s="17">
        <f>IFERROR(__xludf.DUMMYFUNCTION("""COMPUTED_VALUE"""),3.146532342E9)</f>
        <v>3146532342</v>
      </c>
      <c r="M1687" s="17" t="str">
        <f>IFERROR(__xludf.DUMMYFUNCTION("""COMPUTED_VALUE"""),"#REF!")</f>
        <v>#REF!</v>
      </c>
      <c r="N1687" s="17"/>
      <c r="O1687" s="19">
        <f>IFERROR(__xludf.DUMMYFUNCTION("""COMPUTED_VALUE"""),10000.0)</f>
        <v>10000</v>
      </c>
      <c r="P1687" s="17" t="b">
        <f>IFERROR(__xludf.DUMMYFUNCTION("""COMPUTED_VALUE"""),FALSE)</f>
        <v>0</v>
      </c>
      <c r="Q1687" s="20" t="str">
        <f>IFERROR(__xludf.DUMMYFUNCTION("""COMPUTED_VALUE"""),"")</f>
        <v/>
      </c>
      <c r="R1687" s="22" t="str">
        <f>IFERROR(__xludf.DUMMYFUNCTION("""COMPUTED_VALUE"""),"")</f>
        <v/>
      </c>
    </row>
    <row r="1688">
      <c r="A1688" s="15">
        <f>IFERROR(__xludf.DUMMYFUNCTION("""COMPUTED_VALUE"""),45049.0)</f>
        <v>45049</v>
      </c>
      <c r="B1688" s="16" t="str">
        <f>IFERROR(__xludf.DUMMYFUNCTION("""COMPUTED_VALUE"""),"Oscar Augusto Meneses Osias")</f>
        <v>Oscar Augusto Meneses Osias</v>
      </c>
      <c r="C1688" s="15" t="str">
        <f>IFERROR(__xludf.DUMMYFUNCTION("""COMPUTED_VALUE"""),"MEDELLÍN")</f>
        <v>MEDELLÍN</v>
      </c>
      <c r="D1688" s="15" t="str">
        <f>IFERROR(__xludf.DUMMYFUNCTION("""COMPUTED_VALUE"""),"BOGOTÁ")</f>
        <v>BOGOTÁ</v>
      </c>
      <c r="E1688" s="15" t="str">
        <f>IFERROR(__xludf.DUMMYFUNCTION("""COMPUTED_VALUE"""),"Evamazzita")</f>
        <v>Evamazzita</v>
      </c>
      <c r="F1688" s="17" t="str">
        <f>IFERROR(__xludf.DUMMYFUNCTION("""COMPUTED_VALUE"""),"Carrera 55A # 34-41   / San José Obrero / BELLO")</f>
        <v>Carrera 55A # 34-41   / San José Obrero / BELLO</v>
      </c>
      <c r="G1688" s="15" t="str">
        <f>IFERROR(__xludf.DUMMYFUNCTION("""COMPUTED_VALUE"""),"KATHERINE LOPERA TORRES")</f>
        <v>KATHERINE LOPERA TORRES</v>
      </c>
      <c r="H1688" s="16">
        <f>IFERROR(__xludf.DUMMYFUNCTION("""COMPUTED_VALUE"""),10271.0)</f>
        <v>10271</v>
      </c>
      <c r="I1688" s="18">
        <f>IFERROR(__xludf.DUMMYFUNCTION("""COMPUTED_VALUE"""),3.0)</f>
        <v>3</v>
      </c>
      <c r="J1688" s="18">
        <f>IFERROR(__xludf.DUMMYFUNCTION("""COMPUTED_VALUE"""),20.0)</f>
        <v>20</v>
      </c>
      <c r="K1688" s="18">
        <f>IFERROR(__xludf.DUMMYFUNCTION("""COMPUTED_VALUE"""),15.0)</f>
        <v>15</v>
      </c>
      <c r="L1688" s="17">
        <f>IFERROR(__xludf.DUMMYFUNCTION("""COMPUTED_VALUE"""),3.207076905E9)</f>
        <v>3207076905</v>
      </c>
      <c r="M1688" s="17" t="str">
        <f>IFERROR(__xludf.DUMMYFUNCTION("""COMPUTED_VALUE"""),"#REF!")</f>
        <v>#REF!</v>
      </c>
      <c r="N1688" s="17"/>
      <c r="O1688" s="19">
        <f>IFERROR(__xludf.DUMMYFUNCTION("""COMPUTED_VALUE"""),10000.0)</f>
        <v>10000</v>
      </c>
      <c r="P1688" s="17" t="b">
        <f>IFERROR(__xludf.DUMMYFUNCTION("""COMPUTED_VALUE"""),FALSE)</f>
        <v>0</v>
      </c>
      <c r="Q1688" s="20" t="str">
        <f>IFERROR(__xludf.DUMMYFUNCTION("""COMPUTED_VALUE"""),"")</f>
        <v/>
      </c>
      <c r="R1688" s="22" t="str">
        <f>IFERROR(__xludf.DUMMYFUNCTION("""COMPUTED_VALUE"""),"")</f>
        <v/>
      </c>
    </row>
    <row r="1689">
      <c r="A1689" s="15">
        <f>IFERROR(__xludf.DUMMYFUNCTION("""COMPUTED_VALUE"""),45049.0)</f>
        <v>45049</v>
      </c>
      <c r="B1689" s="16" t="str">
        <f>IFERROR(__xludf.DUMMYFUNCTION("""COMPUTED_VALUE"""),"Oscar Augusto Meneses Osias")</f>
        <v>Oscar Augusto Meneses Osias</v>
      </c>
      <c r="C1689" s="15" t="str">
        <f>IFERROR(__xludf.DUMMYFUNCTION("""COMPUTED_VALUE"""),"MEDELLÍN")</f>
        <v>MEDELLÍN</v>
      </c>
      <c r="D1689" s="15" t="str">
        <f>IFERROR(__xludf.DUMMYFUNCTION("""COMPUTED_VALUE"""),"BOGOTÁ")</f>
        <v>BOGOTÁ</v>
      </c>
      <c r="E1689" s="15" t="str">
        <f>IFERROR(__xludf.DUMMYFUNCTION("""COMPUTED_VALUE"""),"Evamazzita")</f>
        <v>Evamazzita</v>
      </c>
      <c r="F1689" s="17" t="str">
        <f>IFERROR(__xludf.DUMMYFUNCTION("""COMPUTED_VALUE"""),"Cll 48 # 48-14   /  C.C. Nuevo Mundo oficina 1304  / diagonal al éxito de San Antonio")</f>
        <v>Cll 48 # 48-14   /  C.C. Nuevo Mundo oficina 1304  / diagonal al éxito de San Antonio</v>
      </c>
      <c r="G1689" s="15" t="str">
        <f>IFERROR(__xludf.DUMMYFUNCTION("""COMPUTED_VALUE"""),"LEYDY BIBIANA RAMIREZ GOMEZ")</f>
        <v>LEYDY BIBIANA RAMIREZ GOMEZ</v>
      </c>
      <c r="H1689" s="16">
        <f>IFERROR(__xludf.DUMMYFUNCTION("""COMPUTED_VALUE"""),10280.0)</f>
        <v>10280</v>
      </c>
      <c r="I1689" s="18">
        <f>IFERROR(__xludf.DUMMYFUNCTION("""COMPUTED_VALUE"""),10.0)</f>
        <v>10</v>
      </c>
      <c r="J1689" s="18">
        <f>IFERROR(__xludf.DUMMYFUNCTION("""COMPUTED_VALUE"""),23.0)</f>
        <v>23</v>
      </c>
      <c r="K1689" s="18">
        <f>IFERROR(__xludf.DUMMYFUNCTION("""COMPUTED_VALUE"""),25.0)</f>
        <v>25</v>
      </c>
      <c r="L1689" s="17">
        <f>IFERROR(__xludf.DUMMYFUNCTION("""COMPUTED_VALUE"""),3.234107262E9)</f>
        <v>3234107262</v>
      </c>
      <c r="M1689" s="17" t="str">
        <f>IFERROR(__xludf.DUMMYFUNCTION("""COMPUTED_VALUE"""),"#REF!")</f>
        <v>#REF!</v>
      </c>
      <c r="N1689" s="17"/>
      <c r="O1689" s="19">
        <f>IFERROR(__xludf.DUMMYFUNCTION("""COMPUTED_VALUE"""),10000.0)</f>
        <v>10000</v>
      </c>
      <c r="P1689" s="17" t="b">
        <f>IFERROR(__xludf.DUMMYFUNCTION("""COMPUTED_VALUE"""),FALSE)</f>
        <v>0</v>
      </c>
      <c r="Q1689" s="20" t="str">
        <f>IFERROR(__xludf.DUMMYFUNCTION("""COMPUTED_VALUE"""),"")</f>
        <v/>
      </c>
      <c r="R1689" s="22" t="str">
        <f>IFERROR(__xludf.DUMMYFUNCTION("""COMPUTED_VALUE"""),"")</f>
        <v/>
      </c>
    </row>
    <row r="1690">
      <c r="A1690" s="15">
        <f>IFERROR(__xludf.DUMMYFUNCTION("""COMPUTED_VALUE"""),45049.0)</f>
        <v>45049</v>
      </c>
      <c r="B1690" s="16" t="str">
        <f>IFERROR(__xludf.DUMMYFUNCTION("""COMPUTED_VALUE"""),"Oscar Augusto Meneses Osias")</f>
        <v>Oscar Augusto Meneses Osias</v>
      </c>
      <c r="C1690" s="15" t="str">
        <f>IFERROR(__xludf.DUMMYFUNCTION("""COMPUTED_VALUE"""),"MEDELLÍN")</f>
        <v>MEDELLÍN</v>
      </c>
      <c r="D1690" s="15" t="str">
        <f>IFERROR(__xludf.DUMMYFUNCTION("""COMPUTED_VALUE"""),"BOGOTÁ")</f>
        <v>BOGOTÁ</v>
      </c>
      <c r="E1690" s="15" t="str">
        <f>IFERROR(__xludf.DUMMYFUNCTION("""COMPUTED_VALUE"""),"Evamazzita")</f>
        <v>Evamazzita</v>
      </c>
      <c r="F1690" s="17" t="str">
        <f>IFERROR(__xludf.DUMMYFUNCTION("""COMPUTED_VALUE"""),"CRA 15 BA No. 34D- 44  / INT 201  / BUENOS AIRES")</f>
        <v>CRA 15 BA No. 34D- 44  / INT 201  / BUENOS AIRES</v>
      </c>
      <c r="G1690" s="15" t="str">
        <f>IFERROR(__xludf.DUMMYFUNCTION("""COMPUTED_VALUE"""),"DANIELA BEDOYA BLANDON")</f>
        <v>DANIELA BEDOYA BLANDON</v>
      </c>
      <c r="H1690" s="16">
        <f>IFERROR(__xludf.DUMMYFUNCTION("""COMPUTED_VALUE"""),10287.0)</f>
        <v>10287</v>
      </c>
      <c r="I1690" s="18">
        <f>IFERROR(__xludf.DUMMYFUNCTION("""COMPUTED_VALUE"""),15.0)</f>
        <v>15</v>
      </c>
      <c r="J1690" s="18">
        <f>IFERROR(__xludf.DUMMYFUNCTION("""COMPUTED_VALUE"""),23.0)</f>
        <v>23</v>
      </c>
      <c r="K1690" s="18">
        <f>IFERROR(__xludf.DUMMYFUNCTION("""COMPUTED_VALUE"""),38.0)</f>
        <v>38</v>
      </c>
      <c r="L1690" s="17">
        <f>IFERROR(__xludf.DUMMYFUNCTION("""COMPUTED_VALUE"""),3.14672822E9)</f>
        <v>3146728220</v>
      </c>
      <c r="M1690" s="17" t="str">
        <f>IFERROR(__xludf.DUMMYFUNCTION("""COMPUTED_VALUE"""),"#REF!")</f>
        <v>#REF!</v>
      </c>
      <c r="N1690" s="17"/>
      <c r="O1690" s="19">
        <f>IFERROR(__xludf.DUMMYFUNCTION("""COMPUTED_VALUE"""),10000.0)</f>
        <v>10000</v>
      </c>
      <c r="P1690" s="17" t="b">
        <f>IFERROR(__xludf.DUMMYFUNCTION("""COMPUTED_VALUE"""),FALSE)</f>
        <v>0</v>
      </c>
      <c r="Q1690" s="20" t="str">
        <f>IFERROR(__xludf.DUMMYFUNCTION("""COMPUTED_VALUE"""),"")</f>
        <v/>
      </c>
      <c r="R1690" s="22" t="str">
        <f>IFERROR(__xludf.DUMMYFUNCTION("""COMPUTED_VALUE"""),"")</f>
        <v/>
      </c>
    </row>
    <row r="1691">
      <c r="A1691" s="15">
        <f>IFERROR(__xludf.DUMMYFUNCTION("""COMPUTED_VALUE"""),45049.0)</f>
        <v>45049</v>
      </c>
      <c r="B1691" s="16" t="str">
        <f>IFERROR(__xludf.DUMMYFUNCTION("""COMPUTED_VALUE"""),"Oscar Augusto Meneses Osias")</f>
        <v>Oscar Augusto Meneses Osias</v>
      </c>
      <c r="C1691" s="15" t="str">
        <f>IFERROR(__xludf.DUMMYFUNCTION("""COMPUTED_VALUE"""),"MEDELLÍN")</f>
        <v>MEDELLÍN</v>
      </c>
      <c r="D1691" s="15" t="str">
        <f>IFERROR(__xludf.DUMMYFUNCTION("""COMPUTED_VALUE"""),"BOGOTÁ")</f>
        <v>BOGOTÁ</v>
      </c>
      <c r="E1691" s="15" t="str">
        <f>IFERROR(__xludf.DUMMYFUNCTION("""COMPUTED_VALUE"""),"Evamazzita")</f>
        <v>Evamazzita</v>
      </c>
      <c r="F1691" s="17" t="str">
        <f>IFERROR(__xludf.DUMMYFUNCTION("""COMPUTED_VALUE"""),"RECOGE EN CENTRO DE ACOPIO / RECOGE EN CENTRO DE ACOPIO / RECOGE EN CENTRO DE ACOPIO")</f>
        <v>RECOGE EN CENTRO DE ACOPIO / RECOGE EN CENTRO DE ACOPIO / RECOGE EN CENTRO DE ACOPIO</v>
      </c>
      <c r="G1691" s="15" t="str">
        <f>IFERROR(__xludf.DUMMYFUNCTION("""COMPUTED_VALUE"""),"ANGELA MARIA GIRALDO")</f>
        <v>ANGELA MARIA GIRALDO</v>
      </c>
      <c r="H1691" s="16">
        <f>IFERROR(__xludf.DUMMYFUNCTION("""COMPUTED_VALUE"""),10281.0)</f>
        <v>10281</v>
      </c>
      <c r="I1691" s="18">
        <f>IFERROR(__xludf.DUMMYFUNCTION("""COMPUTED_VALUE"""),23.0)</f>
        <v>23</v>
      </c>
      <c r="J1691" s="18">
        <f>IFERROR(__xludf.DUMMYFUNCTION("""COMPUTED_VALUE"""),25.0)</f>
        <v>25</v>
      </c>
      <c r="K1691" s="18">
        <f>IFERROR(__xludf.DUMMYFUNCTION("""COMPUTED_VALUE"""),20.0)</f>
        <v>20</v>
      </c>
      <c r="L1691" s="17">
        <f>IFERROR(__xludf.DUMMYFUNCTION("""COMPUTED_VALUE"""),3.006140932E9)</f>
        <v>3006140932</v>
      </c>
      <c r="M1691" s="17" t="str">
        <f>IFERROR(__xludf.DUMMYFUNCTION("""COMPUTED_VALUE"""),"#REF!")</f>
        <v>#REF!</v>
      </c>
      <c r="N1691" s="17"/>
      <c r="O1691" s="19">
        <f>IFERROR(__xludf.DUMMYFUNCTION("""COMPUTED_VALUE"""),10000.0)</f>
        <v>10000</v>
      </c>
      <c r="P1691" s="17" t="b">
        <f>IFERROR(__xludf.DUMMYFUNCTION("""COMPUTED_VALUE"""),FALSE)</f>
        <v>0</v>
      </c>
      <c r="Q1691" s="20" t="str">
        <f>IFERROR(__xludf.DUMMYFUNCTION("""COMPUTED_VALUE"""),"")</f>
        <v/>
      </c>
      <c r="R1691" s="22" t="str">
        <f>IFERROR(__xludf.DUMMYFUNCTION("""COMPUTED_VALUE"""),"")</f>
        <v/>
      </c>
    </row>
    <row r="1692">
      <c r="A1692" s="15">
        <f>IFERROR(__xludf.DUMMYFUNCTION("""COMPUTED_VALUE"""),45049.0)</f>
        <v>45049</v>
      </c>
      <c r="B1692" s="16" t="str">
        <f>IFERROR(__xludf.DUMMYFUNCTION("""COMPUTED_VALUE"""),"Oscar Augusto Meneses Osias")</f>
        <v>Oscar Augusto Meneses Osias</v>
      </c>
      <c r="C1692" s="15" t="str">
        <f>IFERROR(__xludf.DUMMYFUNCTION("""COMPUTED_VALUE"""),"MEDELLÍN")</f>
        <v>MEDELLÍN</v>
      </c>
      <c r="D1692" s="15" t="str">
        <f>IFERROR(__xludf.DUMMYFUNCTION("""COMPUTED_VALUE"""),"BOGOTÁ")</f>
        <v>BOGOTÁ</v>
      </c>
      <c r="E1692" s="15" t="str">
        <f>IFERROR(__xludf.DUMMYFUNCTION("""COMPUTED_VALUE"""),"Frubits")</f>
        <v>Frubits</v>
      </c>
      <c r="F1692" s="17" t="str">
        <f>IFERROR(__xludf.DUMMYFUNCTION("""COMPUTED_VALUE"""),"Calle 27sur #27-92,Tierra Grata el Esmeradal-Apto 1211, Medellin. / Calle 27sur #27-92,Tierra Grata el Esmeradal-Apto 1211, Medellin. / Calle 27sur #27-92,Tierra Grata el Esmeradal-Apto 1211, Medellin.")</f>
        <v>Calle 27sur #27-92,Tierra Grata el Esmeradal-Apto 1211, Medellin. / Calle 27sur #27-92,Tierra Grata el Esmeradal-Apto 1211, Medellin. / Calle 27sur #27-92,Tierra Grata el Esmeradal-Apto 1211, Medellin.</v>
      </c>
      <c r="G1692" s="15" t="str">
        <f>IFERROR(__xludf.DUMMYFUNCTION("""COMPUTED_VALUE"""),"Verónica San Juan")</f>
        <v>Verónica San Juan</v>
      </c>
      <c r="H1692" s="16">
        <f>IFERROR(__xludf.DUMMYFUNCTION("""COMPUTED_VALUE"""),10288.0)</f>
        <v>10288</v>
      </c>
      <c r="I1692" s="18">
        <f>IFERROR(__xludf.DUMMYFUNCTION("""COMPUTED_VALUE"""),12.0)</f>
        <v>12</v>
      </c>
      <c r="J1692" s="18">
        <f>IFERROR(__xludf.DUMMYFUNCTION("""COMPUTED_VALUE"""),12.0)</f>
        <v>12</v>
      </c>
      <c r="K1692" s="18">
        <f>IFERROR(__xludf.DUMMYFUNCTION("""COMPUTED_VALUE"""),12.0)</f>
        <v>12</v>
      </c>
      <c r="L1692" s="17">
        <f>IFERROR(__xludf.DUMMYFUNCTION("""COMPUTED_VALUE"""),3.112551341E9)</f>
        <v>3112551341</v>
      </c>
      <c r="M1692" s="17" t="str">
        <f>IFERROR(__xludf.DUMMYFUNCTION("""COMPUTED_VALUE"""),"#REF!")</f>
        <v>#REF!</v>
      </c>
      <c r="N1692" s="17"/>
      <c r="O1692" s="19">
        <f>IFERROR(__xludf.DUMMYFUNCTION("""COMPUTED_VALUE"""),10000.0)</f>
        <v>10000</v>
      </c>
      <c r="P1692" s="17" t="b">
        <f>IFERROR(__xludf.DUMMYFUNCTION("""COMPUTED_VALUE"""),FALSE)</f>
        <v>0</v>
      </c>
      <c r="Q1692" s="20" t="str">
        <f>IFERROR(__xludf.DUMMYFUNCTION("""COMPUTED_VALUE"""),"")</f>
        <v/>
      </c>
      <c r="R1692" s="22" t="str">
        <f>IFERROR(__xludf.DUMMYFUNCTION("""COMPUTED_VALUE"""),"")</f>
        <v/>
      </c>
    </row>
    <row r="1693">
      <c r="A1693" s="15">
        <f>IFERROR(__xludf.DUMMYFUNCTION("""COMPUTED_VALUE"""),45049.0)</f>
        <v>45049</v>
      </c>
      <c r="B1693" s="16" t="str">
        <f>IFERROR(__xludf.DUMMYFUNCTION("""COMPUTED_VALUE"""),"Oscar Augusto Meneses Osias")</f>
        <v>Oscar Augusto Meneses Osias</v>
      </c>
      <c r="C1693" s="15" t="str">
        <f>IFERROR(__xludf.DUMMYFUNCTION("""COMPUTED_VALUE"""),"MEDELLÍN")</f>
        <v>MEDELLÍN</v>
      </c>
      <c r="D1693" s="15" t="str">
        <f>IFERROR(__xludf.DUMMYFUNCTION("""COMPUTED_VALUE"""),"BOGOTÁ")</f>
        <v>BOGOTÁ</v>
      </c>
      <c r="E1693" s="15" t="str">
        <f>IFERROR(__xludf.DUMMYFUNCTION("""COMPUTED_VALUE"""),"Ins. Alimento Vital")</f>
        <v>Ins. Alimento Vital</v>
      </c>
      <c r="F1693" s="17" t="str">
        <f>IFERROR(__xludf.DUMMYFUNCTION("""COMPUTED_VALUE"""),"AV 74B 39 B 142 / CASA NEGRA 2 PISO / BARRIO LAURELES")</f>
        <v>AV 74B 39 B 142 / CASA NEGRA 2 PISO / BARRIO LAURELES</v>
      </c>
      <c r="G1693" s="15" t="str">
        <f>IFERROR(__xludf.DUMMYFUNCTION("""COMPUTED_VALUE"""),"VELOCITY")</f>
        <v>VELOCITY</v>
      </c>
      <c r="H1693" s="16">
        <f>IFERROR(__xludf.DUMMYFUNCTION("""COMPUTED_VALUE"""),10259.0)</f>
        <v>10259</v>
      </c>
      <c r="I1693" s="18">
        <f>IFERROR(__xludf.DUMMYFUNCTION("""COMPUTED_VALUE"""),1.0)</f>
        <v>1</v>
      </c>
      <c r="J1693" s="18">
        <f>IFERROR(__xludf.DUMMYFUNCTION("""COMPUTED_VALUE"""),1.0)</f>
        <v>1</v>
      </c>
      <c r="K1693" s="18">
        <f>IFERROR(__xludf.DUMMYFUNCTION("""COMPUTED_VALUE"""),1.0)</f>
        <v>1</v>
      </c>
      <c r="L1693" s="17">
        <f>IFERROR(__xludf.DUMMYFUNCTION("""COMPUTED_VALUE"""),3.239674555E9)</f>
        <v>3239674555</v>
      </c>
      <c r="M1693" s="17" t="str">
        <f>IFERROR(__xludf.DUMMYFUNCTION("""COMPUTED_VALUE"""),"#REF!")</f>
        <v>#REF!</v>
      </c>
      <c r="N1693" s="17"/>
      <c r="O1693" s="19">
        <f>IFERROR(__xludf.DUMMYFUNCTION("""COMPUTED_VALUE"""),10000.0)</f>
        <v>10000</v>
      </c>
      <c r="P1693" s="17" t="b">
        <f>IFERROR(__xludf.DUMMYFUNCTION("""COMPUTED_VALUE"""),FALSE)</f>
        <v>0</v>
      </c>
      <c r="Q1693" s="20" t="str">
        <f>IFERROR(__xludf.DUMMYFUNCTION("""COMPUTED_VALUE"""),"")</f>
        <v/>
      </c>
      <c r="R1693" s="22" t="str">
        <f>IFERROR(__xludf.DUMMYFUNCTION("""COMPUTED_VALUE"""),"")</f>
        <v/>
      </c>
    </row>
    <row r="1694">
      <c r="A1694" s="15">
        <f>IFERROR(__xludf.DUMMYFUNCTION("""COMPUTED_VALUE"""),45049.0)</f>
        <v>45049</v>
      </c>
      <c r="B1694" s="16" t="str">
        <f>IFERROR(__xludf.DUMMYFUNCTION("""COMPUTED_VALUE"""),"Oscar Augusto Meneses Osias")</f>
        <v>Oscar Augusto Meneses Osias</v>
      </c>
      <c r="C1694" s="15" t="str">
        <f>IFERROR(__xludf.DUMMYFUNCTION("""COMPUTED_VALUE"""),"MEDELLÍN")</f>
        <v>MEDELLÍN</v>
      </c>
      <c r="D1694" s="15" t="str">
        <f>IFERROR(__xludf.DUMMYFUNCTION("""COMPUTED_VALUE"""),"BOGOTÁ")</f>
        <v>BOGOTÁ</v>
      </c>
      <c r="E1694" s="15" t="str">
        <f>IFERROR(__xludf.DUMMYFUNCTION("""COMPUTED_VALUE"""),"Lunchy Kids")</f>
        <v>Lunchy Kids</v>
      </c>
      <c r="F1694" s="17" t="str">
        <f>IFERROR(__xludf.DUMMYFUNCTION("""COMPUTED_VALUE"""),"Carrera 47 # 27 sur - 59 / Unidad Jardines de Otraparte 2 / Jardines - Envigado")</f>
        <v>Carrera 47 # 27 sur - 59 / Unidad Jardines de Otraparte 2 / Jardines - Envigado</v>
      </c>
      <c r="G1694" s="15" t="str">
        <f>IFERROR(__xludf.DUMMYFUNCTION("""COMPUTED_VALUE"""),"Natalia Goez")</f>
        <v>Natalia Goez</v>
      </c>
      <c r="H1694" s="16">
        <f>IFERROR(__xludf.DUMMYFUNCTION("""COMPUTED_VALUE"""),10246.0)</f>
        <v>10246</v>
      </c>
      <c r="I1694" s="18">
        <f>IFERROR(__xludf.DUMMYFUNCTION("""COMPUTED_VALUE"""),12.0)</f>
        <v>12</v>
      </c>
      <c r="J1694" s="18">
        <f>IFERROR(__xludf.DUMMYFUNCTION("""COMPUTED_VALUE"""),33.0)</f>
        <v>33</v>
      </c>
      <c r="K1694" s="18">
        <f>IFERROR(__xludf.DUMMYFUNCTION("""COMPUTED_VALUE"""),5.0)</f>
        <v>5</v>
      </c>
      <c r="L1694" s="17">
        <f>IFERROR(__xludf.DUMMYFUNCTION("""COMPUTED_VALUE"""),3.004638651E9)</f>
        <v>3004638651</v>
      </c>
      <c r="M1694" s="17" t="str">
        <f>IFERROR(__xludf.DUMMYFUNCTION("""COMPUTED_VALUE"""),"#REF!")</f>
        <v>#REF!</v>
      </c>
      <c r="N1694" s="17"/>
      <c r="O1694" s="19">
        <f>IFERROR(__xludf.DUMMYFUNCTION("""COMPUTED_VALUE"""),10000.0)</f>
        <v>10000</v>
      </c>
      <c r="P1694" s="17" t="b">
        <f>IFERROR(__xludf.DUMMYFUNCTION("""COMPUTED_VALUE"""),FALSE)</f>
        <v>0</v>
      </c>
      <c r="Q1694" s="20" t="str">
        <f>IFERROR(__xludf.DUMMYFUNCTION("""COMPUTED_VALUE"""),"")</f>
        <v/>
      </c>
      <c r="R1694" s="22" t="str">
        <f>IFERROR(__xludf.DUMMYFUNCTION("""COMPUTED_VALUE"""),"")</f>
        <v/>
      </c>
    </row>
    <row r="1695">
      <c r="A1695" s="15">
        <f>IFERROR(__xludf.DUMMYFUNCTION("""COMPUTED_VALUE"""),45049.0)</f>
        <v>45049</v>
      </c>
      <c r="B1695" s="16" t="str">
        <f>IFERROR(__xludf.DUMMYFUNCTION("""COMPUTED_VALUE"""),"Oscar Augusto Meneses Osias")</f>
        <v>Oscar Augusto Meneses Osias</v>
      </c>
      <c r="C1695" s="15" t="str">
        <f>IFERROR(__xludf.DUMMYFUNCTION("""COMPUTED_VALUE"""),"MEDELLÍN")</f>
        <v>MEDELLÍN</v>
      </c>
      <c r="D1695" s="15" t="str">
        <f>IFERROR(__xludf.DUMMYFUNCTION("""COMPUTED_VALUE"""),"BOGOTÁ")</f>
        <v>BOGOTÁ</v>
      </c>
      <c r="E1695" s="15" t="str">
        <f>IFERROR(__xludf.DUMMYFUNCTION("""COMPUTED_VALUE"""),"MAI ALIMENTOS S.A.S")</f>
        <v>MAI ALIMENTOS S.A.S</v>
      </c>
      <c r="F1695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1695" s="15" t="str">
        <f>IFERROR(__xludf.DUMMYFUNCTION("""COMPUTED_VALUE"""),"Novaventas - Medellin")</f>
        <v>Novaventas - Medellin</v>
      </c>
      <c r="H1695" s="16">
        <f>IFERROR(__xludf.DUMMYFUNCTION("""COMPUTED_VALUE"""),10276.0)</f>
        <v>10276</v>
      </c>
      <c r="I1695" s="18">
        <f>IFERROR(__xludf.DUMMYFUNCTION("""COMPUTED_VALUE"""),35.0)</f>
        <v>35</v>
      </c>
      <c r="J1695" s="18">
        <f>IFERROR(__xludf.DUMMYFUNCTION("""COMPUTED_VALUE"""),17.0)</f>
        <v>17</v>
      </c>
      <c r="K1695" s="18">
        <f>IFERROR(__xludf.DUMMYFUNCTION("""COMPUTED_VALUE"""),13.0)</f>
        <v>13</v>
      </c>
      <c r="L1695" s="17">
        <f>IFERROR(__xludf.DUMMYFUNCTION("""COMPUTED_VALUE"""),3.187351593E9)</f>
        <v>3187351593</v>
      </c>
      <c r="M1695" s="17" t="str">
        <f>IFERROR(__xludf.DUMMYFUNCTION("""COMPUTED_VALUE"""),"#REF!")</f>
        <v>#REF!</v>
      </c>
      <c r="N1695" s="17"/>
      <c r="O1695" s="19">
        <f>IFERROR(__xludf.DUMMYFUNCTION("""COMPUTED_VALUE"""),10000.0)</f>
        <v>10000</v>
      </c>
      <c r="P1695" s="17" t="b">
        <f>IFERROR(__xludf.DUMMYFUNCTION("""COMPUTED_VALUE"""),FALSE)</f>
        <v>0</v>
      </c>
      <c r="Q1695" s="20" t="str">
        <f>IFERROR(__xludf.DUMMYFUNCTION("""COMPUTED_VALUE"""),"")</f>
        <v/>
      </c>
      <c r="R1695" s="22" t="str">
        <f>IFERROR(__xludf.DUMMYFUNCTION("""COMPUTED_VALUE"""),"")</f>
        <v/>
      </c>
    </row>
    <row r="1696">
      <c r="A1696" s="15">
        <f>IFERROR(__xludf.DUMMYFUNCTION("""COMPUTED_VALUE"""),45049.0)</f>
        <v>45049</v>
      </c>
      <c r="B1696" s="16" t="str">
        <f>IFERROR(__xludf.DUMMYFUNCTION("""COMPUTED_VALUE"""),"Oscar Augusto Meneses Osias")</f>
        <v>Oscar Augusto Meneses Osias</v>
      </c>
      <c r="C1696" s="15" t="str">
        <f>IFERROR(__xludf.DUMMYFUNCTION("""COMPUTED_VALUE"""),"MEDELLÍN")</f>
        <v>MEDELLÍN</v>
      </c>
      <c r="D1696" s="15" t="str">
        <f>IFERROR(__xludf.DUMMYFUNCTION("""COMPUTED_VALUE"""),"BOGOTÁ")</f>
        <v>BOGOTÁ</v>
      </c>
      <c r="E1696" s="15" t="str">
        <f>IFERROR(__xludf.DUMMYFUNCTION("""COMPUTED_VALUE"""),"Pan de Waffle")</f>
        <v>Pan de Waffle</v>
      </c>
      <c r="F1696" s="17" t="str">
        <f>IFERROR(__xludf.DUMMYFUNCTION("""COMPUTED_VALUE"""),"Calle 30A # 83 - 25  Apto 703  / Calle 30A # 83 - 25  Apto 703  / Calle 30A # 83 - 25  Apto 703")</f>
        <v>Calle 30A # 83 - 25  Apto 703  / Calle 30A # 83 - 25  Apto 703  / Calle 30A # 83 - 25  Apto 703</v>
      </c>
      <c r="G1696" s="15" t="str">
        <f>IFERROR(__xludf.DUMMYFUNCTION("""COMPUTED_VALUE"""),"PAULINA MAYA")</f>
        <v>PAULINA MAYA</v>
      </c>
      <c r="H1696" s="16">
        <f>IFERROR(__xludf.DUMMYFUNCTION("""COMPUTED_VALUE"""),10292.0)</f>
        <v>10292</v>
      </c>
      <c r="I1696" s="18">
        <f>IFERROR(__xludf.DUMMYFUNCTION("""COMPUTED_VALUE"""),30.0)</f>
        <v>30</v>
      </c>
      <c r="J1696" s="18">
        <f>IFERROR(__xludf.DUMMYFUNCTION("""COMPUTED_VALUE"""),30.0)</f>
        <v>30</v>
      </c>
      <c r="K1696" s="18">
        <f>IFERROR(__xludf.DUMMYFUNCTION("""COMPUTED_VALUE"""),40.0)</f>
        <v>40</v>
      </c>
      <c r="L1696" s="17">
        <f>IFERROR(__xludf.DUMMYFUNCTION("""COMPUTED_VALUE"""),3.50444882E9)</f>
        <v>3504448820</v>
      </c>
      <c r="M1696" s="17" t="str">
        <f>IFERROR(__xludf.DUMMYFUNCTION("""COMPUTED_VALUE"""),"#REF!")</f>
        <v>#REF!</v>
      </c>
      <c r="N1696" s="17"/>
      <c r="O1696" s="19">
        <f>IFERROR(__xludf.DUMMYFUNCTION("""COMPUTED_VALUE"""),10000.0)</f>
        <v>10000</v>
      </c>
      <c r="P1696" s="17" t="b">
        <f>IFERROR(__xludf.DUMMYFUNCTION("""COMPUTED_VALUE"""),FALSE)</f>
        <v>0</v>
      </c>
      <c r="Q1696" s="20" t="str">
        <f>IFERROR(__xludf.DUMMYFUNCTION("""COMPUTED_VALUE"""),"")</f>
        <v/>
      </c>
      <c r="R1696" s="22" t="str">
        <f>IFERROR(__xludf.DUMMYFUNCTION("""COMPUTED_VALUE"""),"")</f>
        <v/>
      </c>
    </row>
    <row r="1697">
      <c r="A1697" s="15">
        <f>IFERROR(__xludf.DUMMYFUNCTION("""COMPUTED_VALUE"""),45049.0)</f>
        <v>45049</v>
      </c>
      <c r="B1697" s="16" t="str">
        <f>IFERROR(__xludf.DUMMYFUNCTION("""COMPUTED_VALUE"""),"Oscar Augusto Meneses Osias")</f>
        <v>Oscar Augusto Meneses Osias</v>
      </c>
      <c r="C1697" s="15" t="str">
        <f>IFERROR(__xludf.DUMMYFUNCTION("""COMPUTED_VALUE"""),"MEDELLÍN")</f>
        <v>MEDELLÍN</v>
      </c>
      <c r="D1697" s="15" t="str">
        <f>IFERROR(__xludf.DUMMYFUNCTION("""COMPUTED_VALUE"""),"BOGOTÁ")</f>
        <v>BOGOTÁ</v>
      </c>
      <c r="E1697" s="15" t="str">
        <f>IFERROR(__xludf.DUMMYFUNCTION("""COMPUTED_VALUE"""),"Pan de Waffle")</f>
        <v>Pan de Waffle</v>
      </c>
      <c r="F1697" s="17" t="str">
        <f>IFERROR(__xludf.DUMMYFUNCTION("""COMPUTED_VALUE"""),"Calle 30A # 83 - 25  Apto 703  / Calle 30A # 83 - 25  Apto 703  / Calle 30A # 83 - 25  Apto 703")</f>
        <v>Calle 30A # 83 - 25  Apto 703  / Calle 30A # 83 - 25  Apto 703  / Calle 30A # 83 - 25  Apto 703</v>
      </c>
      <c r="G1697" s="15" t="str">
        <f>IFERROR(__xludf.DUMMYFUNCTION("""COMPUTED_VALUE"""),"PAULINA MAYA")</f>
        <v>PAULINA MAYA</v>
      </c>
      <c r="H1697" s="16">
        <f>IFERROR(__xludf.DUMMYFUNCTION("""COMPUTED_VALUE"""),10295.0)</f>
        <v>10295</v>
      </c>
      <c r="I1697" s="18">
        <f>IFERROR(__xludf.DUMMYFUNCTION("""COMPUTED_VALUE"""),20.0)</f>
        <v>20</v>
      </c>
      <c r="J1697" s="18">
        <f>IFERROR(__xludf.DUMMYFUNCTION("""COMPUTED_VALUE"""),40.0)</f>
        <v>40</v>
      </c>
      <c r="K1697" s="18">
        <f>IFERROR(__xludf.DUMMYFUNCTION("""COMPUTED_VALUE"""),30.0)</f>
        <v>30</v>
      </c>
      <c r="L1697" s="17">
        <f>IFERROR(__xludf.DUMMYFUNCTION("""COMPUTED_VALUE"""),3.50444882E9)</f>
        <v>3504448820</v>
      </c>
      <c r="M1697" s="17" t="str">
        <f>IFERROR(__xludf.DUMMYFUNCTION("""COMPUTED_VALUE"""),"#REF!")</f>
        <v>#REF!</v>
      </c>
      <c r="N1697" s="17"/>
      <c r="O1697" s="19">
        <f>IFERROR(__xludf.DUMMYFUNCTION("""COMPUTED_VALUE"""),10000.0)</f>
        <v>10000</v>
      </c>
      <c r="P1697" s="17" t="b">
        <f>IFERROR(__xludf.DUMMYFUNCTION("""COMPUTED_VALUE"""),FALSE)</f>
        <v>0</v>
      </c>
      <c r="Q1697" s="20" t="str">
        <f>IFERROR(__xludf.DUMMYFUNCTION("""COMPUTED_VALUE"""),"")</f>
        <v/>
      </c>
      <c r="R1697" s="22" t="str">
        <f>IFERROR(__xludf.DUMMYFUNCTION("""COMPUTED_VALUE"""),"")</f>
        <v/>
      </c>
    </row>
    <row r="1698">
      <c r="A1698" s="15">
        <f>IFERROR(__xludf.DUMMYFUNCTION("""COMPUTED_VALUE"""),45049.0)</f>
        <v>45049</v>
      </c>
      <c r="B1698" s="16" t="str">
        <f>IFERROR(__xludf.DUMMYFUNCTION("""COMPUTED_VALUE"""),"Oscar Augusto Meneses Osias")</f>
        <v>Oscar Augusto Meneses Osias</v>
      </c>
      <c r="C1698" s="15" t="str">
        <f>IFERROR(__xludf.DUMMYFUNCTION("""COMPUTED_VALUE"""),"MEDELLÍN")</f>
        <v>MEDELLÍN</v>
      </c>
      <c r="D1698" s="15" t="str">
        <f>IFERROR(__xludf.DUMMYFUNCTION("""COMPUTED_VALUE"""),"BOGOTÁ")</f>
        <v>BOGOTÁ</v>
      </c>
      <c r="E1698" s="15" t="str">
        <f>IFERROR(__xludf.DUMMYFUNCTION("""COMPUTED_VALUE"""),"Pan de Waffle")</f>
        <v>Pan de Waffle</v>
      </c>
      <c r="F1698" s="17" t="str">
        <f>IFERROR(__xludf.DUMMYFUNCTION("""COMPUTED_VALUE"""),"Calle 77 as nro 50 b 47 Campo Caldes, Medellin / Calle 77 as nro 50 b 47 Campo Caldes, Medellin / Calle 77 as nro 50 b 47 Campo Caldes, Medellin")</f>
        <v>Calle 77 as nro 50 b 47 Campo Caldes, Medellin / Calle 77 as nro 50 b 47 Campo Caldes, Medellin / Calle 77 as nro 50 b 47 Campo Caldes, Medellin</v>
      </c>
      <c r="G1698" s="15" t="str">
        <f>IFERROR(__xludf.DUMMYFUNCTION("""COMPUTED_VALUE"""),"SANDRA PEREZ")</f>
        <v>SANDRA PEREZ</v>
      </c>
      <c r="H1698" s="16">
        <f>IFERROR(__xludf.DUMMYFUNCTION("""COMPUTED_VALUE"""),10293.0)</f>
        <v>10293</v>
      </c>
      <c r="I1698" s="18">
        <f>IFERROR(__xludf.DUMMYFUNCTION("""COMPUTED_VALUE"""),40.0)</f>
        <v>40</v>
      </c>
      <c r="J1698" s="18">
        <f>IFERROR(__xludf.DUMMYFUNCTION("""COMPUTED_VALUE"""),20.0)</f>
        <v>20</v>
      </c>
      <c r="K1698" s="18">
        <f>IFERROR(__xludf.DUMMYFUNCTION("""COMPUTED_VALUE"""),30.0)</f>
        <v>30</v>
      </c>
      <c r="L1698" s="17">
        <f>IFERROR(__xludf.DUMMYFUNCTION("""COMPUTED_VALUE"""),3.022877124E9)</f>
        <v>3022877124</v>
      </c>
      <c r="M1698" s="17" t="str">
        <f>IFERROR(__xludf.DUMMYFUNCTION("""COMPUTED_VALUE"""),"#REF!")</f>
        <v>#REF!</v>
      </c>
      <c r="N1698" s="17"/>
      <c r="O1698" s="17"/>
      <c r="P1698" s="17" t="b">
        <f>IFERROR(__xludf.DUMMYFUNCTION("""COMPUTED_VALUE"""),FALSE)</f>
        <v>0</v>
      </c>
      <c r="Q1698" s="20" t="str">
        <f>IFERROR(__xludf.DUMMYFUNCTION("""COMPUTED_VALUE"""),"")</f>
        <v/>
      </c>
      <c r="R1698" s="22" t="str">
        <f>IFERROR(__xludf.DUMMYFUNCTION("""COMPUTED_VALUE"""),"")</f>
        <v/>
      </c>
    </row>
    <row r="1699">
      <c r="A1699" s="15">
        <f>IFERROR(__xludf.DUMMYFUNCTION("""COMPUTED_VALUE"""),45049.0)</f>
        <v>45049</v>
      </c>
      <c r="B1699" s="16" t="str">
        <f>IFERROR(__xludf.DUMMYFUNCTION("""COMPUTED_VALUE"""),"Oscar Augusto Meneses Osias")</f>
        <v>Oscar Augusto Meneses Osias</v>
      </c>
      <c r="C1699" s="15" t="str">
        <f>IFERROR(__xludf.DUMMYFUNCTION("""COMPUTED_VALUE"""),"MEDELLÍN")</f>
        <v>MEDELLÍN</v>
      </c>
      <c r="D1699" s="15" t="str">
        <f>IFERROR(__xludf.DUMMYFUNCTION("""COMPUTED_VALUE"""),"BOGOTÁ")</f>
        <v>BOGOTÁ</v>
      </c>
      <c r="E1699" s="15" t="str">
        <f>IFERROR(__xludf.DUMMYFUNCTION("""COMPUTED_VALUE"""),"Top Spun")</f>
        <v>Top Spun</v>
      </c>
      <c r="F1699" s="17" t="str">
        <f>IFERROR(__xludf.DUMMYFUNCTION("""COMPUTED_VALUE"""),"Carrera 29E # 11 Sur 50 / Edifico Saint Marteen Apto 1603. Barrio El / Poblado. Medellín")</f>
        <v>Carrera 29E # 11 Sur 50 / Edifico Saint Marteen Apto 1603. Barrio El / Poblado. Medellín</v>
      </c>
      <c r="G1699" s="15" t="str">
        <f>IFERROR(__xludf.DUMMYFUNCTION("""COMPUTED_VALUE"""),"Camila Escobar Uribe")</f>
        <v>Camila Escobar Uribe</v>
      </c>
      <c r="H1699" s="16">
        <f>IFERROR(__xludf.DUMMYFUNCTION("""COMPUTED_VALUE"""),10225.0)</f>
        <v>10225</v>
      </c>
      <c r="I1699" s="18">
        <f>IFERROR(__xludf.DUMMYFUNCTION("""COMPUTED_VALUE"""),20.0)</f>
        <v>20</v>
      </c>
      <c r="J1699" s="18">
        <f>IFERROR(__xludf.DUMMYFUNCTION("""COMPUTED_VALUE"""),10.0)</f>
        <v>10</v>
      </c>
      <c r="K1699" s="18">
        <f>IFERROR(__xludf.DUMMYFUNCTION("""COMPUTED_VALUE"""),40.0)</f>
        <v>40</v>
      </c>
      <c r="L1699" s="17">
        <f>IFERROR(__xludf.DUMMYFUNCTION("""COMPUTED_VALUE"""),3.233168967E9)</f>
        <v>3233168967</v>
      </c>
      <c r="M1699" s="17" t="str">
        <f>IFERROR(__xludf.DUMMYFUNCTION("""COMPUTED_VALUE"""),"#REF!")</f>
        <v>#REF!</v>
      </c>
      <c r="N1699" s="17"/>
      <c r="O1699" s="17"/>
      <c r="P1699" s="17" t="b">
        <f>IFERROR(__xludf.DUMMYFUNCTION("""COMPUTED_VALUE"""),FALSE)</f>
        <v>0</v>
      </c>
      <c r="Q1699" s="20" t="str">
        <f>IFERROR(__xludf.DUMMYFUNCTION("""COMPUTED_VALUE"""),"")</f>
        <v/>
      </c>
      <c r="R1699" s="22" t="str">
        <f>IFERROR(__xludf.DUMMYFUNCTION("""COMPUTED_VALUE"""),"")</f>
        <v/>
      </c>
    </row>
    <row r="1700">
      <c r="A1700" s="17" t="str">
        <f>IFERROR(__xludf.DUMMYFUNCTION("""COMPUTED_VALUE"""),"")</f>
        <v/>
      </c>
      <c r="B1700" s="17" t="str">
        <f>IFERROR(__xludf.DUMMYFUNCTION("""COMPUTED_VALUE"""),"")</f>
        <v/>
      </c>
      <c r="C1700" s="17" t="str">
        <f>IFERROR(__xludf.DUMMYFUNCTION("""COMPUTED_VALUE"""),"")</f>
        <v/>
      </c>
      <c r="D1700" s="17" t="str">
        <f>IFERROR(__xludf.DUMMYFUNCTION("""COMPUTED_VALUE"""),"")</f>
        <v/>
      </c>
      <c r="E1700" s="17" t="str">
        <f>IFERROR(__xludf.DUMMYFUNCTION("""COMPUTED_VALUE"""),"")</f>
        <v/>
      </c>
      <c r="F1700" s="17" t="str">
        <f>IFERROR(__xludf.DUMMYFUNCTION("""COMPUTED_VALUE"""),"")</f>
        <v/>
      </c>
      <c r="G1700" s="17" t="str">
        <f>IFERROR(__xludf.DUMMYFUNCTION("""COMPUTED_VALUE"""),"")</f>
        <v/>
      </c>
      <c r="H1700" s="17" t="str">
        <f>IFERROR(__xludf.DUMMYFUNCTION("""COMPUTED_VALUE"""),"")</f>
        <v/>
      </c>
      <c r="I1700" s="17" t="str">
        <f>IFERROR(__xludf.DUMMYFUNCTION("""COMPUTED_VALUE"""),"")</f>
        <v/>
      </c>
      <c r="J1700" s="17" t="str">
        <f>IFERROR(__xludf.DUMMYFUNCTION("""COMPUTED_VALUE"""),"")</f>
        <v/>
      </c>
      <c r="K1700" s="17" t="str">
        <f>IFERROR(__xludf.DUMMYFUNCTION("""COMPUTED_VALUE"""),"")</f>
        <v/>
      </c>
      <c r="L1700" s="17" t="str">
        <f>IFERROR(__xludf.DUMMYFUNCTION("""COMPUTED_VALUE"""),"")</f>
        <v/>
      </c>
      <c r="M1700" s="17" t="str">
        <f>IFERROR(__xludf.DUMMYFUNCTION("""COMPUTED_VALUE"""),"")</f>
        <v/>
      </c>
      <c r="N1700" s="17" t="str">
        <f>IFERROR(__xludf.DUMMYFUNCTION("""COMPUTED_VALUE"""),"")</f>
        <v/>
      </c>
      <c r="O1700" s="17" t="str">
        <f>IFERROR(__xludf.DUMMYFUNCTION("""COMPUTED_VALUE"""),"")</f>
        <v/>
      </c>
      <c r="P1700" s="17" t="str">
        <f>IFERROR(__xludf.DUMMYFUNCTION("""COMPUTED_VALUE"""),"")</f>
        <v/>
      </c>
      <c r="Q1700" s="17" t="str">
        <f>IFERROR(__xludf.DUMMYFUNCTION("""COMPUTED_VALUE"""),"")</f>
        <v/>
      </c>
      <c r="R1700" s="17" t="str">
        <f>IFERROR(__xludf.DUMMYFUNCTION("""COMPUTED_VALUE"""),"")</f>
        <v/>
      </c>
    </row>
    <row r="1701">
      <c r="A1701" s="15">
        <f>IFERROR(__xludf.DUMMYFUNCTION("""COMPUTED_VALUE"""),45050.0)</f>
        <v>45050</v>
      </c>
      <c r="B1701" s="17"/>
      <c r="C1701" s="15" t="str">
        <f>IFERROR(__xludf.DUMMYFUNCTION("""COMPUTED_VALUE"""),"MONTERIA")</f>
        <v>MONTERIA</v>
      </c>
      <c r="D1701" s="15" t="str">
        <f>IFERROR(__xludf.DUMMYFUNCTION("""COMPUTED_VALUE"""),"MEDELLÍN")</f>
        <v>MEDELLÍN</v>
      </c>
      <c r="E1701" s="15" t="str">
        <f>IFERROR(__xludf.DUMMYFUNCTION("""COMPUTED_VALUE"""),"Rambla")</f>
        <v>Rambla</v>
      </c>
      <c r="F1701" s="17" t="str">
        <f>IFERROR(__xludf.DUMMYFUNCTION("""COMPUTED_VALUE"""),"calle 62  #6 45lc  2 barrio los alcazares cr7 / na / na")</f>
        <v>calle 62  #6 45lc  2 barrio los alcazares cr7 / na / na</v>
      </c>
      <c r="G1701" s="15" t="str">
        <f>IFERROR(__xludf.DUMMYFUNCTION("""COMPUTED_VALUE"""),"Felii Restaurante")</f>
        <v>Felii Restaurante</v>
      </c>
      <c r="H1701" s="16">
        <f>IFERROR(__xludf.DUMMYFUNCTION("""COMPUTED_VALUE"""),10356.0)</f>
        <v>10356</v>
      </c>
      <c r="I1701" s="18">
        <f>IFERROR(__xludf.DUMMYFUNCTION("""COMPUTED_VALUE"""),27.0)</f>
        <v>27</v>
      </c>
      <c r="J1701" s="18">
        <f>IFERROR(__xludf.DUMMYFUNCTION("""COMPUTED_VALUE"""),30.0)</f>
        <v>30</v>
      </c>
      <c r="K1701" s="18">
        <f>IFERROR(__xludf.DUMMYFUNCTION("""COMPUTED_VALUE"""),32.0)</f>
        <v>32</v>
      </c>
      <c r="L1701" s="17">
        <f>IFERROR(__xludf.DUMMYFUNCTION("""COMPUTED_VALUE"""),6.027894758E9)</f>
        <v>6027894758</v>
      </c>
      <c r="M1701" s="17" t="str">
        <f>IFERROR(__xludf.DUMMYFUNCTION("""COMPUTED_VALUE"""),"#REF!")</f>
        <v>#REF!</v>
      </c>
      <c r="N1701" s="17"/>
      <c r="O1701" s="17"/>
      <c r="P1701" s="17" t="b">
        <f>IFERROR(__xludf.DUMMYFUNCTION("""COMPUTED_VALUE"""),FALSE)</f>
        <v>0</v>
      </c>
      <c r="Q1701" s="20" t="str">
        <f>IFERROR(__xludf.DUMMYFUNCTION("""COMPUTED_VALUE"""),"")</f>
        <v/>
      </c>
      <c r="R1701" s="22" t="str">
        <f>IFERROR(__xludf.DUMMYFUNCTION("""COMPUTED_VALUE"""),"")</f>
        <v/>
      </c>
    </row>
    <row r="1702">
      <c r="A1702" s="17" t="str">
        <f>IFERROR(__xludf.DUMMYFUNCTION("""COMPUTED_VALUE"""),"")</f>
        <v/>
      </c>
      <c r="B1702" s="17" t="str">
        <f>IFERROR(__xludf.DUMMYFUNCTION("""COMPUTED_VALUE"""),"")</f>
        <v/>
      </c>
      <c r="C1702" s="17" t="str">
        <f>IFERROR(__xludf.DUMMYFUNCTION("""COMPUTED_VALUE"""),"")</f>
        <v/>
      </c>
      <c r="D1702" s="17" t="str">
        <f>IFERROR(__xludf.DUMMYFUNCTION("""COMPUTED_VALUE"""),"")</f>
        <v/>
      </c>
      <c r="E1702" s="17" t="str">
        <f>IFERROR(__xludf.DUMMYFUNCTION("""COMPUTED_VALUE"""),"")</f>
        <v/>
      </c>
      <c r="F1702" s="17" t="str">
        <f>IFERROR(__xludf.DUMMYFUNCTION("""COMPUTED_VALUE"""),"")</f>
        <v/>
      </c>
      <c r="G1702" s="17" t="str">
        <f>IFERROR(__xludf.DUMMYFUNCTION("""COMPUTED_VALUE"""),"")</f>
        <v/>
      </c>
      <c r="H1702" s="17" t="str">
        <f>IFERROR(__xludf.DUMMYFUNCTION("""COMPUTED_VALUE"""),"")</f>
        <v/>
      </c>
      <c r="I1702" s="17" t="str">
        <f>IFERROR(__xludf.DUMMYFUNCTION("""COMPUTED_VALUE"""),"")</f>
        <v/>
      </c>
      <c r="J1702" s="17" t="str">
        <f>IFERROR(__xludf.DUMMYFUNCTION("""COMPUTED_VALUE"""),"")</f>
        <v/>
      </c>
      <c r="K1702" s="17" t="str">
        <f>IFERROR(__xludf.DUMMYFUNCTION("""COMPUTED_VALUE"""),"")</f>
        <v/>
      </c>
      <c r="L1702" s="17" t="str">
        <f>IFERROR(__xludf.DUMMYFUNCTION("""COMPUTED_VALUE"""),"")</f>
        <v/>
      </c>
      <c r="M1702" s="17" t="str">
        <f>IFERROR(__xludf.DUMMYFUNCTION("""COMPUTED_VALUE"""),"")</f>
        <v/>
      </c>
      <c r="N1702" s="17" t="str">
        <f>IFERROR(__xludf.DUMMYFUNCTION("""COMPUTED_VALUE"""),"")</f>
        <v/>
      </c>
      <c r="O1702" s="17" t="str">
        <f>IFERROR(__xludf.DUMMYFUNCTION("""COMPUTED_VALUE"""),"")</f>
        <v/>
      </c>
      <c r="P1702" s="17" t="str">
        <f>IFERROR(__xludf.DUMMYFUNCTION("""COMPUTED_VALUE"""),"")</f>
        <v/>
      </c>
      <c r="Q1702" s="17" t="str">
        <f>IFERROR(__xludf.DUMMYFUNCTION("""COMPUTED_VALUE"""),"")</f>
        <v/>
      </c>
      <c r="R1702" s="17" t="str">
        <f>IFERROR(__xludf.DUMMYFUNCTION("""COMPUTED_VALUE"""),"")</f>
        <v/>
      </c>
    </row>
    <row r="1703">
      <c r="A1703" s="15">
        <f>IFERROR(__xludf.DUMMYFUNCTION("""COMPUTED_VALUE"""),45050.0)</f>
        <v>45050</v>
      </c>
      <c r="B1703" s="16" t="str">
        <f>IFERROR(__xludf.DUMMYFUNCTION("""COMPUTED_VALUE"""),"Anuar suarez jimenez ")</f>
        <v>Anuar suarez jimenez </v>
      </c>
      <c r="C1703" s="15" t="str">
        <f>IFERROR(__xludf.DUMMYFUNCTION("""COMPUTED_VALUE"""),"BOGOTÁ")</f>
        <v>BOGOTÁ</v>
      </c>
      <c r="D1703" s="15" t="str">
        <f>IFERROR(__xludf.DUMMYFUNCTION("""COMPUTED_VALUE"""),"CALI")</f>
        <v>CALI</v>
      </c>
      <c r="E1703" s="15" t="str">
        <f>IFERROR(__xludf.DUMMYFUNCTION("""COMPUTED_VALUE"""),"Natalia Carreño")</f>
        <v>Natalia Carreño</v>
      </c>
      <c r="F1703" s="17" t="str">
        <f>IFERROR(__xludf.DUMMYFUNCTION("""COMPUTED_VALUE"""),"Cra 27 no 70-83 / Casa curuba / Barrio alcazares")</f>
        <v>Cra 27 no 70-83 / Casa curuba / Barrio alcazares</v>
      </c>
      <c r="G1703" s="15" t="str">
        <f>IFERROR(__xludf.DUMMYFUNCTION("""COMPUTED_VALUE"""),"Natalia carrwno")</f>
        <v>Natalia carrwno</v>
      </c>
      <c r="H1703" s="16">
        <f>IFERROR(__xludf.DUMMYFUNCTION("""COMPUTED_VALUE"""),10326.0)</f>
        <v>10326</v>
      </c>
      <c r="I1703" s="18">
        <f>IFERROR(__xludf.DUMMYFUNCTION("""COMPUTED_VALUE"""),40.0)</f>
        <v>40</v>
      </c>
      <c r="J1703" s="18">
        <f>IFERROR(__xludf.DUMMYFUNCTION("""COMPUTED_VALUE"""),40.0)</f>
        <v>40</v>
      </c>
      <c r="K1703" s="18">
        <f>IFERROR(__xludf.DUMMYFUNCTION("""COMPUTED_VALUE"""),60.0)</f>
        <v>60</v>
      </c>
      <c r="L1703" s="17">
        <f>IFERROR(__xludf.DUMMYFUNCTION("""COMPUTED_VALUE"""),4.11561131E9)</f>
        <v>4115611310</v>
      </c>
      <c r="M1703" s="17" t="str">
        <f>IFERROR(__xludf.DUMMYFUNCTION("""COMPUTED_VALUE"""),"#REF!")</f>
        <v>#REF!</v>
      </c>
      <c r="N1703" s="17"/>
      <c r="O1703" s="17"/>
      <c r="P1703" s="17" t="b">
        <f>IFERROR(__xludf.DUMMYFUNCTION("""COMPUTED_VALUE"""),FALSE)</f>
        <v>0</v>
      </c>
      <c r="Q1703" s="20" t="str">
        <f>IFERROR(__xludf.DUMMYFUNCTION("""COMPUTED_VALUE"""),"")</f>
        <v/>
      </c>
      <c r="R1703" s="22" t="str">
        <f>IFERROR(__xludf.DUMMYFUNCTION("""COMPUTED_VALUE"""),"")</f>
        <v/>
      </c>
    </row>
    <row r="1704">
      <c r="A1704" s="15">
        <f>IFERROR(__xludf.DUMMYFUNCTION("""COMPUTED_VALUE"""),45050.0)</f>
        <v>45050</v>
      </c>
      <c r="B1704" s="16" t="str">
        <f>IFERROR(__xludf.DUMMYFUNCTION("""COMPUTED_VALUE"""),"Anuar suarez jimenez ")</f>
        <v>Anuar suarez jimenez </v>
      </c>
      <c r="C1704" s="15" t="str">
        <f>IFERROR(__xludf.DUMMYFUNCTION("""COMPUTED_VALUE"""),"MONTERIA")</f>
        <v>MONTERIA</v>
      </c>
      <c r="D1704" s="15" t="str">
        <f>IFERROR(__xludf.DUMMYFUNCTION("""COMPUTED_VALUE"""),"BOGOTÁ")</f>
        <v>BOGOTÁ</v>
      </c>
      <c r="E1704" s="15" t="str">
        <f>IFERROR(__xludf.DUMMYFUNCTION("""COMPUTED_VALUE"""),"Asociacion Agropecuaria Juana Maria")</f>
        <v>Asociacion Agropecuaria Juana Maria</v>
      </c>
      <c r="F1704" s="17" t="str">
        <f>IFERROR(__xludf.DUMMYFUNCTION("""COMPUTED_VALUE"""),"Cra 14A #54-23 Barrio Monte Verde")</f>
        <v>Cra 14A #54-23 Barrio Monte Verde</v>
      </c>
      <c r="G1704" s="15" t="str">
        <f>IFERROR(__xludf.DUMMYFUNCTION("""COMPUTED_VALUE"""),"Emilia Miranda")</f>
        <v>Emilia Miranda</v>
      </c>
      <c r="H1704" s="16">
        <f>IFERROR(__xludf.DUMMYFUNCTION("""COMPUTED_VALUE"""),10241.0)</f>
        <v>10241</v>
      </c>
      <c r="I1704" s="18">
        <f>IFERROR(__xludf.DUMMYFUNCTION("""COMPUTED_VALUE"""),12.0)</f>
        <v>12</v>
      </c>
      <c r="J1704" s="18">
        <f>IFERROR(__xludf.DUMMYFUNCTION("""COMPUTED_VALUE"""),37.0)</f>
        <v>37</v>
      </c>
      <c r="K1704" s="18">
        <f>IFERROR(__xludf.DUMMYFUNCTION("""COMPUTED_VALUE"""),20.0)</f>
        <v>20</v>
      </c>
      <c r="L1704" s="17">
        <f>IFERROR(__xludf.DUMMYFUNCTION("""COMPUTED_VALUE"""),3.113438505E9)</f>
        <v>3113438505</v>
      </c>
      <c r="M1704" s="17" t="str">
        <f>IFERROR(__xludf.DUMMYFUNCTION("""COMPUTED_VALUE"""),"#REF!")</f>
        <v>#REF!</v>
      </c>
      <c r="N1704" s="17"/>
      <c r="O1704" s="17"/>
      <c r="P1704" s="17" t="b">
        <f>IFERROR(__xludf.DUMMYFUNCTION("""COMPUTED_VALUE"""),FALSE)</f>
        <v>0</v>
      </c>
      <c r="Q1704" s="20" t="str">
        <f>IFERROR(__xludf.DUMMYFUNCTION("""COMPUTED_VALUE"""),"")</f>
        <v/>
      </c>
      <c r="R1704" s="22" t="str">
        <f>IFERROR(__xludf.DUMMYFUNCTION("""COMPUTED_VALUE"""),"")</f>
        <v/>
      </c>
    </row>
    <row r="1705">
      <c r="A1705" s="15">
        <f>IFERROR(__xludf.DUMMYFUNCTION("""COMPUTED_VALUE"""),45050.0)</f>
        <v>45050</v>
      </c>
      <c r="B1705" s="16" t="str">
        <f>IFERROR(__xludf.DUMMYFUNCTION("""COMPUTED_VALUE"""),"Anuar suarez jimenez ")</f>
        <v>Anuar suarez jimenez </v>
      </c>
      <c r="C1705" s="15" t="str">
        <f>IFERROR(__xludf.DUMMYFUNCTION("""COMPUTED_VALUE"""),"MONTERIA")</f>
        <v>MONTERIA</v>
      </c>
      <c r="D1705" s="15" t="str">
        <f>IFERROR(__xludf.DUMMYFUNCTION("""COMPUTED_VALUE"""),"MEDELLÍN")</f>
        <v>MEDELLÍN</v>
      </c>
      <c r="E1705" s="15" t="str">
        <f>IFERROR(__xludf.DUMMYFUNCTION("""COMPUTED_VALUE"""),"Baby Chef")</f>
        <v>Baby Chef</v>
      </c>
      <c r="F1705" s="17" t="str">
        <f>IFERROR(__xludf.DUMMYFUNCTION("""COMPUTED_VALUE"""),"Cra 12 # 57-12 / Torres de la castellana Apto 504 torre 2 / Montería Cordoba")</f>
        <v>Cra 12 # 57-12 / Torres de la castellana Apto 504 torre 2 / Montería Cordoba</v>
      </c>
      <c r="G1705" s="15" t="str">
        <f>IFERROR(__xludf.DUMMYFUNCTION("""COMPUTED_VALUE"""),"Rina Regino")</f>
        <v>Rina Regino</v>
      </c>
      <c r="H1705" s="16">
        <f>IFERROR(__xludf.DUMMYFUNCTION("""COMPUTED_VALUE"""),10355.0)</f>
        <v>10355</v>
      </c>
      <c r="I1705" s="18">
        <f>IFERROR(__xludf.DUMMYFUNCTION("""COMPUTED_VALUE"""),8.0)</f>
        <v>8</v>
      </c>
      <c r="J1705" s="18">
        <f>IFERROR(__xludf.DUMMYFUNCTION("""COMPUTED_VALUE"""),16.0)</f>
        <v>16</v>
      </c>
      <c r="K1705" s="18">
        <f>IFERROR(__xludf.DUMMYFUNCTION("""COMPUTED_VALUE"""),20.0)</f>
        <v>20</v>
      </c>
      <c r="L1705" s="17">
        <f>IFERROR(__xludf.DUMMYFUNCTION("""COMPUTED_VALUE"""),3.022886586E9)</f>
        <v>3022886586</v>
      </c>
      <c r="M1705" s="17" t="str">
        <f>IFERROR(__xludf.DUMMYFUNCTION("""COMPUTED_VALUE"""),"#REF!")</f>
        <v>#REF!</v>
      </c>
      <c r="N1705" s="17"/>
      <c r="O1705" s="17"/>
      <c r="P1705" s="17" t="b">
        <f>IFERROR(__xludf.DUMMYFUNCTION("""COMPUTED_VALUE"""),FALSE)</f>
        <v>0</v>
      </c>
      <c r="Q1705" s="20" t="str">
        <f>IFERROR(__xludf.DUMMYFUNCTION("""COMPUTED_VALUE"""),"")</f>
        <v/>
      </c>
      <c r="R1705" s="22" t="str">
        <f>IFERROR(__xludf.DUMMYFUNCTION("""COMPUTED_VALUE"""),"")</f>
        <v/>
      </c>
    </row>
    <row r="1706">
      <c r="A1706" s="15">
        <f>IFERROR(__xludf.DUMMYFUNCTION("""COMPUTED_VALUE"""),45050.0)</f>
        <v>45050</v>
      </c>
      <c r="B1706" s="16" t="str">
        <f>IFERROR(__xludf.DUMMYFUNCTION("""COMPUTED_VALUE"""),"Anuar suarez jimenez ")</f>
        <v>Anuar suarez jimenez </v>
      </c>
      <c r="C1706" s="15" t="str">
        <f>IFERROR(__xludf.DUMMYFUNCTION("""COMPUTED_VALUE"""),"POPAYAN")</f>
        <v>POPAYAN</v>
      </c>
      <c r="D1706" s="15" t="str">
        <f>IFERROR(__xludf.DUMMYFUNCTION("""COMPUTED_VALUE"""),"BOGOTÁ")</f>
        <v>BOGOTÁ</v>
      </c>
      <c r="E1706" s="15" t="str">
        <f>IFERROR(__xludf.DUMMYFUNCTION("""COMPUTED_VALUE"""),"Forever Dog")</f>
        <v>Forever Dog</v>
      </c>
      <c r="F1706" s="17" t="str">
        <f>IFERROR(__xludf.DUMMYFUNCTION("""COMPUTED_VALUE"""),"Carrera 9 # 74N - 201 / Casa 7 conjunto Cataluña  / Barrio el Placer")</f>
        <v>Carrera 9 # 74N - 201 / Casa 7 conjunto Cataluña  / Barrio el Placer</v>
      </c>
      <c r="G1706" s="15" t="str">
        <f>IFERROR(__xludf.DUMMYFUNCTION("""COMPUTED_VALUE"""),"Maria Piedad Mejia")</f>
        <v>Maria Piedad Mejia</v>
      </c>
      <c r="H1706" s="16">
        <f>IFERROR(__xludf.DUMMYFUNCTION("""COMPUTED_VALUE"""),10103.0)</f>
        <v>10103</v>
      </c>
      <c r="I1706" s="18">
        <f>IFERROR(__xludf.DUMMYFUNCTION("""COMPUTED_VALUE"""),26.0)</f>
        <v>26</v>
      </c>
      <c r="J1706" s="18">
        <f>IFERROR(__xludf.DUMMYFUNCTION("""COMPUTED_VALUE"""),32.0)</f>
        <v>32</v>
      </c>
      <c r="K1706" s="18">
        <f>IFERROR(__xludf.DUMMYFUNCTION("""COMPUTED_VALUE"""),40.0)</f>
        <v>40</v>
      </c>
      <c r="L1706" s="17">
        <f>IFERROR(__xludf.DUMMYFUNCTION("""COMPUTED_VALUE"""),3.014407993E9)</f>
        <v>3014407993</v>
      </c>
      <c r="M1706" s="17" t="str">
        <f>IFERROR(__xludf.DUMMYFUNCTION("""COMPUTED_VALUE"""),"#REF!")</f>
        <v>#REF!</v>
      </c>
      <c r="N1706" s="17"/>
      <c r="O1706" s="17"/>
      <c r="P1706" s="17" t="b">
        <f>IFERROR(__xludf.DUMMYFUNCTION("""COMPUTED_VALUE"""),FALSE)</f>
        <v>0</v>
      </c>
      <c r="Q1706" s="20" t="str">
        <f>IFERROR(__xludf.DUMMYFUNCTION("""COMPUTED_VALUE"""),"")</f>
        <v/>
      </c>
      <c r="R1706" s="22" t="str">
        <f>IFERROR(__xludf.DUMMYFUNCTION("""COMPUTED_VALUE"""),"")</f>
        <v/>
      </c>
    </row>
    <row r="1707">
      <c r="A1707" s="15">
        <f>IFERROR(__xludf.DUMMYFUNCTION("""COMPUTED_VALUE"""),45050.0)</f>
        <v>45050</v>
      </c>
      <c r="B1707" s="16" t="str">
        <f>IFERROR(__xludf.DUMMYFUNCTION("""COMPUTED_VALUE"""),"Anuar suarez jimenez ")</f>
        <v>Anuar suarez jimenez </v>
      </c>
      <c r="C1707" s="15" t="str">
        <f>IFERROR(__xludf.DUMMYFUNCTION("""COMPUTED_VALUE"""),"POPAYAN")</f>
        <v>POPAYAN</v>
      </c>
      <c r="D1707" s="15" t="str">
        <f>IFERROR(__xludf.DUMMYFUNCTION("""COMPUTED_VALUE"""),"BOGOTÁ")</f>
        <v>BOGOTÁ</v>
      </c>
      <c r="E1707" s="15" t="str">
        <f>IFERROR(__xludf.DUMMYFUNCTION("""COMPUTED_VALUE"""),"Forever Dog")</f>
        <v>Forever Dog</v>
      </c>
      <c r="F1707" s="17" t="str">
        <f>IFERROR(__xludf.DUMMYFUNCTION("""COMPUTED_VALUE"""),"Carrera 9#74n-201 / Casa 7 / Conjunto Cataluña, Barrio el Placer")</f>
        <v>Carrera 9#74n-201 / Casa 7 / Conjunto Cataluña, Barrio el Placer</v>
      </c>
      <c r="G1707" s="15" t="str">
        <f>IFERROR(__xludf.DUMMYFUNCTION("""COMPUTED_VALUE"""),"Maria Piedad Mejia")</f>
        <v>Maria Piedad Mejia</v>
      </c>
      <c r="H1707" s="16">
        <f>IFERROR(__xludf.DUMMYFUNCTION("""COMPUTED_VALUE"""),10331.0)</f>
        <v>10331</v>
      </c>
      <c r="I1707" s="18">
        <f>IFERROR(__xludf.DUMMYFUNCTION("""COMPUTED_VALUE"""),21.0)</f>
        <v>21</v>
      </c>
      <c r="J1707" s="18">
        <f>IFERROR(__xludf.DUMMYFUNCTION("""COMPUTED_VALUE"""),50.0)</f>
        <v>50</v>
      </c>
      <c r="K1707" s="18">
        <f>IFERROR(__xludf.DUMMYFUNCTION("""COMPUTED_VALUE"""),30.0)</f>
        <v>30</v>
      </c>
      <c r="L1707" s="17">
        <f>IFERROR(__xludf.DUMMYFUNCTION("""COMPUTED_VALUE"""),3.014407993E9)</f>
        <v>3014407993</v>
      </c>
      <c r="M1707" s="17" t="str">
        <f>IFERROR(__xludf.DUMMYFUNCTION("""COMPUTED_VALUE"""),"#REF!")</f>
        <v>#REF!</v>
      </c>
      <c r="N1707" s="17"/>
      <c r="O1707" s="19">
        <f>IFERROR(__xludf.DUMMYFUNCTION("""COMPUTED_VALUE"""),12000.0)</f>
        <v>12000</v>
      </c>
      <c r="P1707" s="17" t="b">
        <f>IFERROR(__xludf.DUMMYFUNCTION("""COMPUTED_VALUE"""),FALSE)</f>
        <v>0</v>
      </c>
      <c r="Q1707" s="20" t="str">
        <f>IFERROR(__xludf.DUMMYFUNCTION("""COMPUTED_VALUE"""),"")</f>
        <v/>
      </c>
      <c r="R1707" s="22" t="str">
        <f>IFERROR(__xludf.DUMMYFUNCTION("""COMPUTED_VALUE"""),"")</f>
        <v/>
      </c>
    </row>
    <row r="1708">
      <c r="A1708" s="17" t="str">
        <f>IFERROR(__xludf.DUMMYFUNCTION("""COMPUTED_VALUE"""),"")</f>
        <v/>
      </c>
      <c r="B1708" s="17" t="str">
        <f>IFERROR(__xludf.DUMMYFUNCTION("""COMPUTED_VALUE"""),"")</f>
        <v/>
      </c>
      <c r="C1708" s="17" t="str">
        <f>IFERROR(__xludf.DUMMYFUNCTION("""COMPUTED_VALUE"""),"")</f>
        <v/>
      </c>
      <c r="D1708" s="17" t="str">
        <f>IFERROR(__xludf.DUMMYFUNCTION("""COMPUTED_VALUE"""),"")</f>
        <v/>
      </c>
      <c r="E1708" s="17" t="str">
        <f>IFERROR(__xludf.DUMMYFUNCTION("""COMPUTED_VALUE"""),"")</f>
        <v/>
      </c>
      <c r="F1708" s="17" t="str">
        <f>IFERROR(__xludf.DUMMYFUNCTION("""COMPUTED_VALUE"""),"")</f>
        <v/>
      </c>
      <c r="G1708" s="17" t="str">
        <f>IFERROR(__xludf.DUMMYFUNCTION("""COMPUTED_VALUE"""),"")</f>
        <v/>
      </c>
      <c r="H1708" s="17" t="str">
        <f>IFERROR(__xludf.DUMMYFUNCTION("""COMPUTED_VALUE"""),"")</f>
        <v/>
      </c>
      <c r="I1708" s="17" t="str">
        <f>IFERROR(__xludf.DUMMYFUNCTION("""COMPUTED_VALUE"""),"")</f>
        <v/>
      </c>
      <c r="J1708" s="17" t="str">
        <f>IFERROR(__xludf.DUMMYFUNCTION("""COMPUTED_VALUE"""),"")</f>
        <v/>
      </c>
      <c r="K1708" s="17" t="str">
        <f>IFERROR(__xludf.DUMMYFUNCTION("""COMPUTED_VALUE"""),"")</f>
        <v/>
      </c>
      <c r="L1708" s="17" t="str">
        <f>IFERROR(__xludf.DUMMYFUNCTION("""COMPUTED_VALUE"""),"")</f>
        <v/>
      </c>
      <c r="M1708" s="17" t="str">
        <f>IFERROR(__xludf.DUMMYFUNCTION("""COMPUTED_VALUE"""),"")</f>
        <v/>
      </c>
      <c r="N1708" s="17" t="str">
        <f>IFERROR(__xludf.DUMMYFUNCTION("""COMPUTED_VALUE"""),"")</f>
        <v/>
      </c>
      <c r="O1708" s="17" t="str">
        <f>IFERROR(__xludf.DUMMYFUNCTION("""COMPUTED_VALUE"""),"")</f>
        <v/>
      </c>
      <c r="P1708" s="17" t="str">
        <f>IFERROR(__xludf.DUMMYFUNCTION("""COMPUTED_VALUE"""),"")</f>
        <v/>
      </c>
      <c r="Q1708" s="17" t="str">
        <f>IFERROR(__xludf.DUMMYFUNCTION("""COMPUTED_VALUE"""),"")</f>
        <v/>
      </c>
      <c r="R1708" s="17" t="str">
        <f>IFERROR(__xludf.DUMMYFUNCTION("""COMPUTED_VALUE"""),"")</f>
        <v/>
      </c>
    </row>
    <row r="1709">
      <c r="A1709" s="15">
        <f>IFERROR(__xludf.DUMMYFUNCTION("""COMPUTED_VALUE"""),45050.0)</f>
        <v>45050</v>
      </c>
      <c r="B1709" s="16" t="str">
        <f>IFERROR(__xludf.DUMMYFUNCTION("""COMPUTED_VALUE"""),"David Sanmartin Bello")</f>
        <v>David Sanmartin Bello</v>
      </c>
      <c r="C1709" s="15" t="str">
        <f>IFERROR(__xludf.DUMMYFUNCTION("""COMPUTED_VALUE"""),"CARTAGENA")</f>
        <v>CARTAGENA</v>
      </c>
      <c r="D1709" s="15" t="str">
        <f>IFERROR(__xludf.DUMMYFUNCTION("""COMPUTED_VALUE"""),"BOGOTÁ")</f>
        <v>BOGOTÁ</v>
      </c>
      <c r="E1709" s="15" t="str">
        <f>IFERROR(__xludf.DUMMYFUNCTION("""COMPUTED_VALUE"""),"Asociacion Agropecuaria Juana Maria")</f>
        <v>Asociacion Agropecuaria Juana Maria</v>
      </c>
      <c r="F1709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1709" s="15" t="str">
        <f>IFERROR(__xludf.DUMMYFUNCTION("""COMPUTED_VALUE"""),"LUZ ELENA GIL BENAVIDES")</f>
        <v>LUZ ELENA GIL BENAVIDES</v>
      </c>
      <c r="H1709" s="16">
        <f>IFERROR(__xludf.DUMMYFUNCTION("""COMPUTED_VALUE"""),10239.0)</f>
        <v>10239</v>
      </c>
      <c r="I1709" s="18">
        <f>IFERROR(__xludf.DUMMYFUNCTION("""COMPUTED_VALUE"""),16.0)</f>
        <v>16</v>
      </c>
      <c r="J1709" s="18">
        <f>IFERROR(__xludf.DUMMYFUNCTION("""COMPUTED_VALUE"""),34.0)</f>
        <v>34</v>
      </c>
      <c r="K1709" s="18">
        <f>IFERROR(__xludf.DUMMYFUNCTION("""COMPUTED_VALUE"""),25.0)</f>
        <v>25</v>
      </c>
      <c r="L1709" s="17">
        <f>IFERROR(__xludf.DUMMYFUNCTION("""COMPUTED_VALUE"""),3.054312334E9)</f>
        <v>3054312334</v>
      </c>
      <c r="M1709" s="17" t="str">
        <f>IFERROR(__xludf.DUMMYFUNCTION("""COMPUTED_VALUE"""),"#REF!")</f>
        <v>#REF!</v>
      </c>
      <c r="N1709" s="17"/>
      <c r="O1709" s="19">
        <f>IFERROR(__xludf.DUMMYFUNCTION("""COMPUTED_VALUE"""),12000.0)</f>
        <v>12000</v>
      </c>
      <c r="P1709" s="17" t="b">
        <f>IFERROR(__xludf.DUMMYFUNCTION("""COMPUTED_VALUE"""),FALSE)</f>
        <v>0</v>
      </c>
      <c r="Q1709" s="20" t="str">
        <f>IFERROR(__xludf.DUMMYFUNCTION("""COMPUTED_VALUE"""),"")</f>
        <v/>
      </c>
      <c r="R1709" s="22" t="str">
        <f>IFERROR(__xludf.DUMMYFUNCTION("""COMPUTED_VALUE"""),"")</f>
        <v/>
      </c>
    </row>
    <row r="1710">
      <c r="A1710" s="15">
        <f>IFERROR(__xludf.DUMMYFUNCTION("""COMPUTED_VALUE"""),45050.0)</f>
        <v>45050</v>
      </c>
      <c r="B1710" s="16" t="str">
        <f>IFERROR(__xludf.DUMMYFUNCTION("""COMPUTED_VALUE"""),"David Sanmartin Bello")</f>
        <v>David Sanmartin Bello</v>
      </c>
      <c r="C1710" s="15" t="str">
        <f>IFERROR(__xludf.DUMMYFUNCTION("""COMPUTED_VALUE"""),"CARTAGENA")</f>
        <v>CARTAGENA</v>
      </c>
      <c r="D1710" s="15" t="str">
        <f>IFERROR(__xludf.DUMMYFUNCTION("""COMPUTED_VALUE"""),"BOGOTÁ")</f>
        <v>BOGOTÁ</v>
      </c>
      <c r="E1710" s="15" t="str">
        <f>IFERROR(__xludf.DUMMYFUNCTION("""COMPUTED_VALUE"""),"Evamazzita")</f>
        <v>Evamazzita</v>
      </c>
      <c r="F1710" s="17" t="str">
        <f>IFERROR(__xludf.DUMMYFUNCTION("""COMPUTED_VALUE"""),"Cll 32B No 80 589  / Condominio Copacabana T4 Apto 706    / Villa Estrella")</f>
        <v>Cll 32B No 80 589  / Condominio Copacabana T4 Apto 706    / Villa Estrella</v>
      </c>
      <c r="G1710" s="15" t="str">
        <f>IFERROR(__xludf.DUMMYFUNCTION("""COMPUTED_VALUE"""),"LUZ ELENA GIL BENAVIDES")</f>
        <v>LUZ ELENA GIL BENAVIDES</v>
      </c>
      <c r="H1710" s="16">
        <f>IFERROR(__xludf.DUMMYFUNCTION("""COMPUTED_VALUE"""),10289.0)</f>
        <v>10289</v>
      </c>
      <c r="I1710" s="18">
        <f>IFERROR(__xludf.DUMMYFUNCTION("""COMPUTED_VALUE"""),15.0)</f>
        <v>15</v>
      </c>
      <c r="J1710" s="18">
        <f>IFERROR(__xludf.DUMMYFUNCTION("""COMPUTED_VALUE"""),25.0)</f>
        <v>25</v>
      </c>
      <c r="K1710" s="18">
        <f>IFERROR(__xludf.DUMMYFUNCTION("""COMPUTED_VALUE"""),38.0)</f>
        <v>38</v>
      </c>
      <c r="L1710" s="17">
        <f>IFERROR(__xludf.DUMMYFUNCTION("""COMPUTED_VALUE"""),3.054312334E9)</f>
        <v>3054312334</v>
      </c>
      <c r="M1710" s="17" t="str">
        <f>IFERROR(__xludf.DUMMYFUNCTION("""COMPUTED_VALUE"""),"#REF!")</f>
        <v>#REF!</v>
      </c>
      <c r="N1710" s="17"/>
      <c r="O1710" s="19">
        <f>IFERROR(__xludf.DUMMYFUNCTION("""COMPUTED_VALUE"""),12000.0)</f>
        <v>12000</v>
      </c>
      <c r="P1710" s="17" t="b">
        <f>IFERROR(__xludf.DUMMYFUNCTION("""COMPUTED_VALUE"""),FALSE)</f>
        <v>0</v>
      </c>
      <c r="Q1710" s="20" t="str">
        <f>IFERROR(__xludf.DUMMYFUNCTION("""COMPUTED_VALUE"""),"")</f>
        <v/>
      </c>
      <c r="R1710" s="22" t="str">
        <f>IFERROR(__xludf.DUMMYFUNCTION("""COMPUTED_VALUE"""),"")</f>
        <v/>
      </c>
    </row>
    <row r="1711">
      <c r="A1711" s="15">
        <f>IFERROR(__xludf.DUMMYFUNCTION("""COMPUTED_VALUE"""),45050.0)</f>
        <v>45050</v>
      </c>
      <c r="B1711" s="16" t="str">
        <f>IFERROR(__xludf.DUMMYFUNCTION("""COMPUTED_VALUE"""),"David Sanmartin Bello")</f>
        <v>David Sanmartin Bello</v>
      </c>
      <c r="C1711" s="15" t="str">
        <f>IFERROR(__xludf.DUMMYFUNCTION("""COMPUTED_VALUE"""),"CARTAGENA")</f>
        <v>CARTAGENA</v>
      </c>
      <c r="D1711" s="15" t="str">
        <f>IFERROR(__xludf.DUMMYFUNCTION("""COMPUTED_VALUE"""),"BOGOTÁ")</f>
        <v>BOGOTÁ</v>
      </c>
      <c r="E1711" s="15" t="str">
        <f>IFERROR(__xludf.DUMMYFUNCTION("""COMPUTED_VALUE"""),"MAI ALIMENTOS S.A.S")</f>
        <v>MAI ALIMENTOS S.A.S</v>
      </c>
      <c r="F1711" s="17" t="str">
        <f>IFERROR(__xludf.DUMMYFUNCTION("""COMPUTED_VALUE"""),"Cra 3 A #31-23 Calle Ricaurte, Centro / Plaza Santa teresa / Restaurante Harry Sasson")</f>
        <v>Cra 3 A #31-23 Calle Ricaurte, Centro / Plaza Santa teresa / Restaurante Harry Sasson</v>
      </c>
      <c r="G1711" s="15" t="str">
        <f>IFERROR(__xludf.DUMMYFUNCTION("""COMPUTED_VALUE"""),"Harry Sasson Cartagena")</f>
        <v>Harry Sasson Cartagena</v>
      </c>
      <c r="H1711" s="16">
        <f>IFERROR(__xludf.DUMMYFUNCTION("""COMPUTED_VALUE"""),10277.0)</f>
        <v>10277</v>
      </c>
      <c r="I1711" s="18">
        <f>IFERROR(__xludf.DUMMYFUNCTION("""COMPUTED_VALUE"""),35.0)</f>
        <v>35</v>
      </c>
      <c r="J1711" s="18">
        <f>IFERROR(__xludf.DUMMYFUNCTION("""COMPUTED_VALUE"""),17.0)</f>
        <v>17</v>
      </c>
      <c r="K1711" s="18">
        <f>IFERROR(__xludf.DUMMYFUNCTION("""COMPUTED_VALUE"""),13.0)</f>
        <v>13</v>
      </c>
      <c r="L1711" s="17">
        <f>IFERROR(__xludf.DUMMYFUNCTION("""COMPUTED_VALUE"""),3.174374246E9)</f>
        <v>3174374246</v>
      </c>
      <c r="M1711" s="17" t="str">
        <f>IFERROR(__xludf.DUMMYFUNCTION("""COMPUTED_VALUE"""),"#REF!")</f>
        <v>#REF!</v>
      </c>
      <c r="N1711" s="17"/>
      <c r="O1711" s="19">
        <f>IFERROR(__xludf.DUMMYFUNCTION("""COMPUTED_VALUE"""),12000.0)</f>
        <v>12000</v>
      </c>
      <c r="P1711" s="17" t="b">
        <f>IFERROR(__xludf.DUMMYFUNCTION("""COMPUTED_VALUE"""),FALSE)</f>
        <v>0</v>
      </c>
      <c r="Q1711" s="20" t="str">
        <f>IFERROR(__xludf.DUMMYFUNCTION("""COMPUTED_VALUE"""),"")</f>
        <v/>
      </c>
      <c r="R1711" s="22" t="str">
        <f>IFERROR(__xludf.DUMMYFUNCTION("""COMPUTED_VALUE"""),"")</f>
        <v/>
      </c>
    </row>
    <row r="1712">
      <c r="A1712" s="15">
        <f>IFERROR(__xludf.DUMMYFUNCTION("""COMPUTED_VALUE"""),45050.0)</f>
        <v>45050</v>
      </c>
      <c r="B1712" s="16" t="str">
        <f>IFERROR(__xludf.DUMMYFUNCTION("""COMPUTED_VALUE"""),"David Sanmartin Bello")</f>
        <v>David Sanmartin Bello</v>
      </c>
      <c r="C1712" s="15" t="str">
        <f>IFERROR(__xludf.DUMMYFUNCTION("""COMPUTED_VALUE"""),"CARTAGENA")</f>
        <v>CARTAGENA</v>
      </c>
      <c r="D1712" s="15" t="str">
        <f>IFERROR(__xludf.DUMMYFUNCTION("""COMPUTED_VALUE"""),"BOGOTÁ")</f>
        <v>BOGOTÁ</v>
      </c>
      <c r="E1712" s="15" t="str">
        <f>IFERROR(__xludf.DUMMYFUNCTION("""COMPUTED_VALUE"""),"Mochi")</f>
        <v>Mochi</v>
      </c>
      <c r="F1712" s="17" t="str">
        <f>IFERROR(__xludf.DUMMYFUNCTION("""COMPUTED_VALUE"""),"CENTRO COMERCIAL SERREZUELA / CENTRO COMERCIAL SERREZUELA / CENTRO COMERCIAL SERREZUELA")</f>
        <v>CENTRO COMERCIAL SERREZUELA / CENTRO COMERCIAL SERREZUELA / CENTRO COMERCIAL SERREZUELA</v>
      </c>
      <c r="G1712" s="15" t="str">
        <f>IFERROR(__xludf.DUMMYFUNCTION("""COMPUTED_VALUE"""),"mARIA CAMILA")</f>
        <v>mARIA CAMILA</v>
      </c>
      <c r="H1712" s="16">
        <f>IFERROR(__xludf.DUMMYFUNCTION("""COMPUTED_VALUE"""),10346.0)</f>
        <v>10346</v>
      </c>
      <c r="I1712" s="18">
        <f>IFERROR(__xludf.DUMMYFUNCTION("""COMPUTED_VALUE"""),100.0)</f>
        <v>100</v>
      </c>
      <c r="J1712" s="18">
        <f>IFERROR(__xludf.DUMMYFUNCTION("""COMPUTED_VALUE"""),100.0)</f>
        <v>100</v>
      </c>
      <c r="K1712" s="18">
        <f>IFERROR(__xludf.DUMMYFUNCTION("""COMPUTED_VALUE"""),200.0)</f>
        <v>200</v>
      </c>
      <c r="L1712" s="17">
        <f>IFERROR(__xludf.DUMMYFUNCTION("""COMPUTED_VALUE"""),3.116026252E9)</f>
        <v>3116026252</v>
      </c>
      <c r="M1712" s="17" t="str">
        <f>IFERROR(__xludf.DUMMYFUNCTION("""COMPUTED_VALUE"""),"#REF!")</f>
        <v>#REF!</v>
      </c>
      <c r="N1712" s="17"/>
      <c r="O1712" s="17"/>
      <c r="P1712" s="17" t="b">
        <f>IFERROR(__xludf.DUMMYFUNCTION("""COMPUTED_VALUE"""),FALSE)</f>
        <v>0</v>
      </c>
      <c r="Q1712" s="20" t="str">
        <f>IFERROR(__xludf.DUMMYFUNCTION("""COMPUTED_VALUE"""),"")</f>
        <v/>
      </c>
      <c r="R1712" s="22" t="str">
        <f>IFERROR(__xludf.DUMMYFUNCTION("""COMPUTED_VALUE"""),"")</f>
        <v/>
      </c>
    </row>
    <row r="1713">
      <c r="A1713" s="15">
        <f>IFERROR(__xludf.DUMMYFUNCTION("""COMPUTED_VALUE"""),45050.0)</f>
        <v>45050</v>
      </c>
      <c r="B1713" s="16" t="str">
        <f>IFERROR(__xludf.DUMMYFUNCTION("""COMPUTED_VALUE"""),"David Sanmartin Bello")</f>
        <v>David Sanmartin Bello</v>
      </c>
      <c r="C1713" s="15" t="str">
        <f>IFERROR(__xludf.DUMMYFUNCTION("""COMPUTED_VALUE"""),"CARTAGENA")</f>
        <v>CARTAGENA</v>
      </c>
      <c r="D1713" s="15" t="str">
        <f>IFERROR(__xludf.DUMMYFUNCTION("""COMPUTED_VALUE"""),"MEDELLÍN")</f>
        <v>MEDELLÍN</v>
      </c>
      <c r="E1713" s="15" t="str">
        <f>IFERROR(__xludf.DUMMYFUNCTION("""COMPUTED_VALUE"""),"AREPAS LA MARY")</f>
        <v>AREPAS LA MARY</v>
      </c>
      <c r="F1713" s="17" t="str">
        <f>IFERROR(__xludf.DUMMYFUNCTION("""COMPUTED_VALUE"""),"CALLE 6 N 4 20 / CENTRO COMERCIAL LA ESTACION")</f>
        <v>CALLE 6 N 4 20 / CENTRO COMERCIAL LA ESTACION</v>
      </c>
      <c r="G1713" s="15" t="str">
        <f>IFERROR(__xludf.DUMMYFUNCTION("""COMPUTED_VALUE"""),"COCOFIT MERCADO SALUDABLE")</f>
        <v>COCOFIT MERCADO SALUDABLE</v>
      </c>
      <c r="H1713" s="16">
        <f>IFERROR(__xludf.DUMMYFUNCTION("""COMPUTED_VALUE"""),10228.0)</f>
        <v>10228</v>
      </c>
      <c r="I1713" s="18">
        <f>IFERROR(__xludf.DUMMYFUNCTION("""COMPUTED_VALUE"""),89.0)</f>
        <v>89</v>
      </c>
      <c r="J1713" s="18">
        <f>IFERROR(__xludf.DUMMYFUNCTION("""COMPUTED_VALUE"""),1.0)</f>
        <v>1</v>
      </c>
      <c r="K1713" s="18">
        <f>IFERROR(__xludf.DUMMYFUNCTION("""COMPUTED_VALUE"""),10.0)</f>
        <v>10</v>
      </c>
      <c r="L1713" s="17"/>
      <c r="M1713" s="17" t="str">
        <f>IFERROR(__xludf.DUMMYFUNCTION("""COMPUTED_VALUE"""),"#REF!")</f>
        <v>#REF!</v>
      </c>
      <c r="N1713" s="17"/>
      <c r="O1713" s="17"/>
      <c r="P1713" s="17" t="b">
        <f>IFERROR(__xludf.DUMMYFUNCTION("""COMPUTED_VALUE"""),FALSE)</f>
        <v>0</v>
      </c>
      <c r="Q1713" s="20" t="str">
        <f>IFERROR(__xludf.DUMMYFUNCTION("""COMPUTED_VALUE"""),"")</f>
        <v/>
      </c>
      <c r="R1713" s="22" t="str">
        <f>IFERROR(__xludf.DUMMYFUNCTION("""COMPUTED_VALUE"""),"")</f>
        <v/>
      </c>
    </row>
    <row r="1714">
      <c r="A1714" s="17" t="str">
        <f>IFERROR(__xludf.DUMMYFUNCTION("""COMPUTED_VALUE"""),"")</f>
        <v/>
      </c>
      <c r="B1714" s="17" t="str">
        <f>IFERROR(__xludf.DUMMYFUNCTION("""COMPUTED_VALUE"""),"")</f>
        <v/>
      </c>
      <c r="C1714" s="17" t="str">
        <f>IFERROR(__xludf.DUMMYFUNCTION("""COMPUTED_VALUE"""),"")</f>
        <v/>
      </c>
      <c r="D1714" s="17" t="str">
        <f>IFERROR(__xludf.DUMMYFUNCTION("""COMPUTED_VALUE"""),"")</f>
        <v/>
      </c>
      <c r="E1714" s="17" t="str">
        <f>IFERROR(__xludf.DUMMYFUNCTION("""COMPUTED_VALUE"""),"")</f>
        <v/>
      </c>
      <c r="F1714" s="17" t="str">
        <f>IFERROR(__xludf.DUMMYFUNCTION("""COMPUTED_VALUE"""),"")</f>
        <v/>
      </c>
      <c r="G1714" s="17" t="str">
        <f>IFERROR(__xludf.DUMMYFUNCTION("""COMPUTED_VALUE"""),"")</f>
        <v/>
      </c>
      <c r="H1714" s="17" t="str">
        <f>IFERROR(__xludf.DUMMYFUNCTION("""COMPUTED_VALUE"""),"")</f>
        <v/>
      </c>
      <c r="I1714" s="17" t="str">
        <f>IFERROR(__xludf.DUMMYFUNCTION("""COMPUTED_VALUE"""),"")</f>
        <v/>
      </c>
      <c r="J1714" s="17" t="str">
        <f>IFERROR(__xludf.DUMMYFUNCTION("""COMPUTED_VALUE"""),"")</f>
        <v/>
      </c>
      <c r="K1714" s="17" t="str">
        <f>IFERROR(__xludf.DUMMYFUNCTION("""COMPUTED_VALUE"""),"")</f>
        <v/>
      </c>
      <c r="L1714" s="17" t="str">
        <f>IFERROR(__xludf.DUMMYFUNCTION("""COMPUTED_VALUE"""),"")</f>
        <v/>
      </c>
      <c r="M1714" s="17" t="str">
        <f>IFERROR(__xludf.DUMMYFUNCTION("""COMPUTED_VALUE"""),"")</f>
        <v/>
      </c>
      <c r="N1714" s="17" t="str">
        <f>IFERROR(__xludf.DUMMYFUNCTION("""COMPUTED_VALUE"""),"")</f>
        <v/>
      </c>
      <c r="O1714" s="17" t="str">
        <f>IFERROR(__xludf.DUMMYFUNCTION("""COMPUTED_VALUE"""),"")</f>
        <v/>
      </c>
      <c r="P1714" s="17" t="str">
        <f>IFERROR(__xludf.DUMMYFUNCTION("""COMPUTED_VALUE"""),"")</f>
        <v/>
      </c>
      <c r="Q1714" s="17" t="str">
        <f>IFERROR(__xludf.DUMMYFUNCTION("""COMPUTED_VALUE"""),"")</f>
        <v/>
      </c>
      <c r="R1714" s="17" t="str">
        <f>IFERROR(__xludf.DUMMYFUNCTION("""COMPUTED_VALUE"""),"")</f>
        <v/>
      </c>
    </row>
    <row r="1715">
      <c r="A1715" s="15">
        <f>IFERROR(__xludf.DUMMYFUNCTION("""COMPUTED_VALUE"""),45050.0)</f>
        <v>45050</v>
      </c>
      <c r="B1715" s="16" t="str">
        <f>IFERROR(__xludf.DUMMYFUNCTION("""COMPUTED_VALUE"""),"Envia")</f>
        <v>Envia</v>
      </c>
      <c r="C1715" s="15" t="str">
        <f>IFERROR(__xludf.DUMMYFUNCTION("""COMPUTED_VALUE"""),"ARMENIA")</f>
        <v>ARMENIA</v>
      </c>
      <c r="D1715" s="15" t="str">
        <f>IFERROR(__xludf.DUMMYFUNCTION("""COMPUTED_VALUE"""),"MEDELLÍN")</f>
        <v>MEDELLÍN</v>
      </c>
      <c r="E1715" s="15" t="str">
        <f>IFERROR(__xludf.DUMMYFUNCTION("""COMPUTED_VALUE"""),"Todo Bufala")</f>
        <v>Todo Bufala</v>
      </c>
      <c r="F1715" s="17" t="str">
        <f>IFERROR(__xludf.DUMMYFUNCTION("""COMPUTED_VALUE"""),"Cr 5 26n-02 / Apto 304")</f>
        <v>Cr 5 26n-02 / Apto 304</v>
      </c>
      <c r="G1715" s="15" t="str">
        <f>IFERROR(__xludf.DUMMYFUNCTION("""COMPUTED_VALUE"""),"Yenny Franco")</f>
        <v>Yenny Franco</v>
      </c>
      <c r="H1715" s="16">
        <f>IFERROR(__xludf.DUMMYFUNCTION("""COMPUTED_VALUE"""),10163.0)</f>
        <v>10163</v>
      </c>
      <c r="I1715" s="18">
        <f>IFERROR(__xludf.DUMMYFUNCTION("""COMPUTED_VALUE"""),40.0)</f>
        <v>40</v>
      </c>
      <c r="J1715" s="18">
        <f>IFERROR(__xludf.DUMMYFUNCTION("""COMPUTED_VALUE"""),30.0)</f>
        <v>30</v>
      </c>
      <c r="K1715" s="18">
        <f>IFERROR(__xludf.DUMMYFUNCTION("""COMPUTED_VALUE"""),20.0)</f>
        <v>20</v>
      </c>
      <c r="L1715" s="17">
        <f>IFERROR(__xludf.DUMMYFUNCTION("""COMPUTED_VALUE"""),3.232062261E9)</f>
        <v>3232062261</v>
      </c>
      <c r="M1715" s="17" t="str">
        <f>IFERROR(__xludf.DUMMYFUNCTION("""COMPUTED_VALUE"""),"#REF!")</f>
        <v>#REF!</v>
      </c>
      <c r="N1715" s="17"/>
      <c r="O1715" s="17"/>
      <c r="P1715" s="17" t="b">
        <f>IFERROR(__xludf.DUMMYFUNCTION("""COMPUTED_VALUE"""),FALSE)</f>
        <v>0</v>
      </c>
      <c r="Q1715" s="20" t="str">
        <f>IFERROR(__xludf.DUMMYFUNCTION("""COMPUTED_VALUE"""),"")</f>
        <v/>
      </c>
      <c r="R1715" s="22" t="str">
        <f>IFERROR(__xludf.DUMMYFUNCTION("""COMPUTED_VALUE"""),"")</f>
        <v/>
      </c>
    </row>
    <row r="1716">
      <c r="A1716" s="15">
        <f>IFERROR(__xludf.DUMMYFUNCTION("""COMPUTED_VALUE"""),45050.0)</f>
        <v>45050</v>
      </c>
      <c r="B1716" s="16" t="str">
        <f>IFERROR(__xludf.DUMMYFUNCTION("""COMPUTED_VALUE"""),"Envia")</f>
        <v>Envia</v>
      </c>
      <c r="C1716" s="15" t="str">
        <f>IFERROR(__xludf.DUMMYFUNCTION("""COMPUTED_VALUE"""),"ARMENIA")</f>
        <v>ARMENIA</v>
      </c>
      <c r="D1716" s="15" t="str">
        <f>IFERROR(__xludf.DUMMYFUNCTION("""COMPUTED_VALUE"""),"MEDELLÍN")</f>
        <v>MEDELLÍN</v>
      </c>
      <c r="E1716" s="15" t="str">
        <f>IFERROR(__xludf.DUMMYFUNCTION("""COMPUTED_VALUE"""),"TOLEDALES S.A.S")</f>
        <v>TOLEDALES S.A.S</v>
      </c>
      <c r="F1716" s="17" t="str">
        <f>IFERROR(__xludf.DUMMYFUNCTION("""COMPUTED_VALUE"""),"Cll23A norte 19 47 / casa 2")</f>
        <v>Cll23A norte 19 47 / casa 2</v>
      </c>
      <c r="G1716" s="15" t="str">
        <f>IFERROR(__xludf.DUMMYFUNCTION("""COMPUTED_VALUE"""),"sandra salas")</f>
        <v>sandra salas</v>
      </c>
      <c r="H1716" s="16">
        <f>IFERROR(__xludf.DUMMYFUNCTION("""COMPUTED_VALUE"""),10223.0)</f>
        <v>10223</v>
      </c>
      <c r="I1716" s="18">
        <f>IFERROR(__xludf.DUMMYFUNCTION("""COMPUTED_VALUE"""),15.0)</f>
        <v>15</v>
      </c>
      <c r="J1716" s="18">
        <f>IFERROR(__xludf.DUMMYFUNCTION("""COMPUTED_VALUE"""),20.0)</f>
        <v>20</v>
      </c>
      <c r="K1716" s="18">
        <f>IFERROR(__xludf.DUMMYFUNCTION("""COMPUTED_VALUE"""),5.0)</f>
        <v>5</v>
      </c>
      <c r="L1716" s="17">
        <f>IFERROR(__xludf.DUMMYFUNCTION("""COMPUTED_VALUE"""),3.176643506E9)</f>
        <v>3176643506</v>
      </c>
      <c r="M1716" s="17" t="str">
        <f>IFERROR(__xludf.DUMMYFUNCTION("""COMPUTED_VALUE"""),"#REF!")</f>
        <v>#REF!</v>
      </c>
      <c r="N1716" s="17"/>
      <c r="O1716" s="17"/>
      <c r="P1716" s="17" t="b">
        <f>IFERROR(__xludf.DUMMYFUNCTION("""COMPUTED_VALUE"""),FALSE)</f>
        <v>0</v>
      </c>
      <c r="Q1716" s="20" t="str">
        <f>IFERROR(__xludf.DUMMYFUNCTION("""COMPUTED_VALUE"""),"")</f>
        <v/>
      </c>
      <c r="R1716" s="22" t="str">
        <f>IFERROR(__xludf.DUMMYFUNCTION("""COMPUTED_VALUE"""),"")</f>
        <v/>
      </c>
    </row>
    <row r="1717">
      <c r="A1717" s="15">
        <f>IFERROR(__xludf.DUMMYFUNCTION("""COMPUTED_VALUE"""),45050.0)</f>
        <v>45050</v>
      </c>
      <c r="B1717" s="16" t="str">
        <f>IFERROR(__xludf.DUMMYFUNCTION("""COMPUTED_VALUE"""),"Envia")</f>
        <v>Envia</v>
      </c>
      <c r="C1717" s="15" t="str">
        <f>IFERROR(__xludf.DUMMYFUNCTION("""COMPUTED_VALUE"""),"BARRANQUILLA")</f>
        <v>BARRANQUILLA</v>
      </c>
      <c r="D1717" s="15" t="str">
        <f>IFERROR(__xludf.DUMMYFUNCTION("""COMPUTED_VALUE"""),"BOGOTÁ")</f>
        <v>BOGOTÁ</v>
      </c>
      <c r="E1717" s="15" t="str">
        <f>IFERROR(__xludf.DUMMYFUNCTION("""COMPUTED_VALUE"""),"Mochi")</f>
        <v>Mochi</v>
      </c>
      <c r="F1717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1717" s="15" t="str">
        <f>IFERROR(__xludf.DUMMYFUNCTION("""COMPUTED_VALUE"""),"MARIUA CAMILA")</f>
        <v>MARIUA CAMILA</v>
      </c>
      <c r="H1717" s="16">
        <f>IFERROR(__xludf.DUMMYFUNCTION("""COMPUTED_VALUE"""),10347.0)</f>
        <v>10347</v>
      </c>
      <c r="I1717" s="18">
        <f>IFERROR(__xludf.DUMMYFUNCTION("""COMPUTED_VALUE"""),100.0)</f>
        <v>100</v>
      </c>
      <c r="J1717" s="18">
        <f>IFERROR(__xludf.DUMMYFUNCTION("""COMPUTED_VALUE"""),100.0)</f>
        <v>100</v>
      </c>
      <c r="K1717" s="18">
        <f>IFERROR(__xludf.DUMMYFUNCTION("""COMPUTED_VALUE"""),200.0)</f>
        <v>200</v>
      </c>
      <c r="L1717" s="17">
        <f>IFERROR(__xludf.DUMMYFUNCTION("""COMPUTED_VALUE"""),3.116026252E9)</f>
        <v>3116026252</v>
      </c>
      <c r="M1717" s="17" t="str">
        <f>IFERROR(__xludf.DUMMYFUNCTION("""COMPUTED_VALUE"""),"#REF!")</f>
        <v>#REF!</v>
      </c>
      <c r="N1717" s="17"/>
      <c r="O1717" s="17"/>
      <c r="P1717" s="17" t="b">
        <f>IFERROR(__xludf.DUMMYFUNCTION("""COMPUTED_VALUE"""),FALSE)</f>
        <v>0</v>
      </c>
      <c r="Q1717" s="20" t="str">
        <f>IFERROR(__xludf.DUMMYFUNCTION("""COMPUTED_VALUE"""),"")</f>
        <v/>
      </c>
      <c r="R1717" s="22" t="str">
        <f>IFERROR(__xludf.DUMMYFUNCTION("""COMPUTED_VALUE"""),"")</f>
        <v/>
      </c>
    </row>
    <row r="1718">
      <c r="A1718" s="15">
        <f>IFERROR(__xludf.DUMMYFUNCTION("""COMPUTED_VALUE"""),45050.0)</f>
        <v>45050</v>
      </c>
      <c r="B1718" s="16" t="str">
        <f>IFERROR(__xludf.DUMMYFUNCTION("""COMPUTED_VALUE"""),"Envia")</f>
        <v>Envia</v>
      </c>
      <c r="C1718" s="15" t="str">
        <f>IFERROR(__xludf.DUMMYFUNCTION("""COMPUTED_VALUE"""),"BOGOTÁ")</f>
        <v>BOGOTÁ</v>
      </c>
      <c r="D1718" s="15" t="str">
        <f>IFERROR(__xludf.DUMMYFUNCTION("""COMPUTED_VALUE"""),"MEDELLÍN")</f>
        <v>MEDELLÍN</v>
      </c>
      <c r="E1718" s="15" t="str">
        <f>IFERROR(__xludf.DUMMYFUNCTION("""COMPUTED_VALUE"""),"AREPAS LA MARY")</f>
        <v>AREPAS LA MARY</v>
      </c>
      <c r="F1718" s="17" t="str">
        <f>IFERROR(__xludf.DUMMYFUNCTION("""COMPUTED_VALUE"""),"AUTOPISTA NORTE 120 37")</f>
        <v>AUTOPISTA NORTE 120 37</v>
      </c>
      <c r="G1718" s="15" t="str">
        <f>IFERROR(__xludf.DUMMYFUNCTION("""COMPUTED_VALUE"""),"EA VE MARIA")</f>
        <v>EA VE MARIA</v>
      </c>
      <c r="H1718" s="16">
        <f>IFERROR(__xludf.DUMMYFUNCTION("""COMPUTED_VALUE"""),10227.0)</f>
        <v>10227</v>
      </c>
      <c r="I1718" s="18">
        <f>IFERROR(__xludf.DUMMYFUNCTION("""COMPUTED_VALUE"""),89.0)</f>
        <v>89</v>
      </c>
      <c r="J1718" s="18">
        <f>IFERROR(__xludf.DUMMYFUNCTION("""COMPUTED_VALUE"""),1.0)</f>
        <v>1</v>
      </c>
      <c r="K1718" s="18">
        <f>IFERROR(__xludf.DUMMYFUNCTION("""COMPUTED_VALUE"""),10.0)</f>
        <v>10</v>
      </c>
      <c r="L1718" s="17" t="str">
        <f>IFERROR(__xludf.DUMMYFUNCTION("""COMPUTED_VALUE"""),"320 274 90 55")</f>
        <v>320 274 90 55</v>
      </c>
      <c r="M1718" s="17" t="str">
        <f>IFERROR(__xludf.DUMMYFUNCTION("""COMPUTED_VALUE"""),"#REF!")</f>
        <v>#REF!</v>
      </c>
      <c r="N1718" s="17"/>
      <c r="O1718" s="17"/>
      <c r="P1718" s="17" t="b">
        <f>IFERROR(__xludf.DUMMYFUNCTION("""COMPUTED_VALUE"""),FALSE)</f>
        <v>0</v>
      </c>
      <c r="Q1718" s="20" t="str">
        <f>IFERROR(__xludf.DUMMYFUNCTION("""COMPUTED_VALUE"""),"")</f>
        <v/>
      </c>
      <c r="R1718" s="22" t="str">
        <f>IFERROR(__xludf.DUMMYFUNCTION("""COMPUTED_VALUE"""),"")</f>
        <v/>
      </c>
    </row>
    <row r="1719">
      <c r="A1719" s="15">
        <f>IFERROR(__xludf.DUMMYFUNCTION("""COMPUTED_VALUE"""),45050.0)</f>
        <v>45050</v>
      </c>
      <c r="B1719" s="16" t="str">
        <f>IFERROR(__xludf.DUMMYFUNCTION("""COMPUTED_VALUE"""),"Envia")</f>
        <v>Envia</v>
      </c>
      <c r="C1719" s="15" t="str">
        <f>IFERROR(__xludf.DUMMYFUNCTION("""COMPUTED_VALUE"""),"CALI")</f>
        <v>CALI</v>
      </c>
      <c r="D1719" s="15" t="str">
        <f>IFERROR(__xludf.DUMMYFUNCTION("""COMPUTED_VALUE"""),"MEDELLÍN")</f>
        <v>MEDELLÍN</v>
      </c>
      <c r="E1719" s="15" t="str">
        <f>IFERROR(__xludf.DUMMYFUNCTION("""COMPUTED_VALUE"""),"Rambla")</f>
        <v>Rambla</v>
      </c>
      <c r="F1719" s="17" t="str">
        <f>IFERROR(__xludf.DUMMYFUNCTION("""COMPUTED_VALUE"""),"Cra 100 #15 a -61 Local 104 / NA / NA")</f>
        <v>Cra 100 #15 a -61 Local 104 / NA / NA</v>
      </c>
      <c r="G1719" s="15" t="str">
        <f>IFERROR(__xludf.DUMMYFUNCTION("""COMPUTED_VALUE"""),"NUTRILIGHT")</f>
        <v>NUTRILIGHT</v>
      </c>
      <c r="H1719" s="16">
        <f>IFERROR(__xludf.DUMMYFUNCTION("""COMPUTED_VALUE"""),10359.0)</f>
        <v>10359</v>
      </c>
      <c r="I1719" s="18">
        <f>IFERROR(__xludf.DUMMYFUNCTION("""COMPUTED_VALUE"""),23.0)</f>
        <v>23</v>
      </c>
      <c r="J1719" s="18">
        <f>IFERROR(__xludf.DUMMYFUNCTION("""COMPUTED_VALUE"""),25.0)</f>
        <v>25</v>
      </c>
      <c r="K1719" s="18">
        <f>IFERROR(__xludf.DUMMYFUNCTION("""COMPUTED_VALUE"""),28.0)</f>
        <v>28</v>
      </c>
      <c r="L1719" s="17">
        <f>IFERROR(__xludf.DUMMYFUNCTION("""COMPUTED_VALUE"""),3.146112262E9)</f>
        <v>3146112262</v>
      </c>
      <c r="M1719" s="17" t="str">
        <f>IFERROR(__xludf.DUMMYFUNCTION("""COMPUTED_VALUE"""),"#REF!")</f>
        <v>#REF!</v>
      </c>
      <c r="N1719" s="17"/>
      <c r="O1719" s="17"/>
      <c r="P1719" s="17" t="b">
        <f>IFERROR(__xludf.DUMMYFUNCTION("""COMPUTED_VALUE"""),FALSE)</f>
        <v>0</v>
      </c>
      <c r="Q1719" s="20" t="str">
        <f>IFERROR(__xludf.DUMMYFUNCTION("""COMPUTED_VALUE"""),"")</f>
        <v/>
      </c>
      <c r="R1719" s="22" t="str">
        <f>IFERROR(__xludf.DUMMYFUNCTION("""COMPUTED_VALUE"""),"")</f>
        <v/>
      </c>
    </row>
    <row r="1720">
      <c r="A1720" s="15">
        <f>IFERROR(__xludf.DUMMYFUNCTION("""COMPUTED_VALUE"""),45050.0)</f>
        <v>45050</v>
      </c>
      <c r="B1720" s="16" t="str">
        <f>IFERROR(__xludf.DUMMYFUNCTION("""COMPUTED_VALUE"""),"Envia")</f>
        <v>Envia</v>
      </c>
      <c r="C1720" s="15" t="str">
        <f>IFERROR(__xludf.DUMMYFUNCTION("""COMPUTED_VALUE"""),"CALI")</f>
        <v>CALI</v>
      </c>
      <c r="D1720" s="15" t="str">
        <f>IFERROR(__xludf.DUMMYFUNCTION("""COMPUTED_VALUE"""),"MEDELLÍN")</f>
        <v>MEDELLÍN</v>
      </c>
      <c r="E1720" s="15" t="str">
        <f>IFERROR(__xludf.DUMMYFUNCTION("""COMPUTED_VALUE"""),"Rambla")</f>
        <v>Rambla</v>
      </c>
      <c r="F1720" s="17" t="str">
        <f>IFERROR(__xludf.DUMMYFUNCTION("""COMPUTED_VALUE"""),"CRA 105 #15B45 LOCAL 15 CENTRO COMERCIAL LAS VELAS  cali / na / na")</f>
        <v>CRA 105 #15B45 LOCAL 15 CENTRO COMERCIAL LAS VELAS  cali / na / na</v>
      </c>
      <c r="G1720" s="15" t="str">
        <f>IFERROR(__xludf.DUMMYFUNCTION("""COMPUTED_VALUE"""),"wealthy market")</f>
        <v>wealthy market</v>
      </c>
      <c r="H1720" s="16">
        <f>IFERROR(__xludf.DUMMYFUNCTION("""COMPUTED_VALUE"""),10357.0)</f>
        <v>10357</v>
      </c>
      <c r="I1720" s="18">
        <f>IFERROR(__xludf.DUMMYFUNCTION("""COMPUTED_VALUE"""),28.0)</f>
        <v>28</v>
      </c>
      <c r="J1720" s="18">
        <f>IFERROR(__xludf.DUMMYFUNCTION("""COMPUTED_VALUE"""),31.0)</f>
        <v>31</v>
      </c>
      <c r="K1720" s="18">
        <f>IFERROR(__xludf.DUMMYFUNCTION("""COMPUTED_VALUE"""),34.0)</f>
        <v>34</v>
      </c>
      <c r="L1720" s="17">
        <f>IFERROR(__xludf.DUMMYFUNCTION("""COMPUTED_VALUE"""),3.057675698E9)</f>
        <v>3057675698</v>
      </c>
      <c r="M1720" s="17" t="str">
        <f>IFERROR(__xludf.DUMMYFUNCTION("""COMPUTED_VALUE"""),"#REF!")</f>
        <v>#REF!</v>
      </c>
      <c r="N1720" s="17"/>
      <c r="O1720" s="17"/>
      <c r="P1720" s="17" t="b">
        <f>IFERROR(__xludf.DUMMYFUNCTION("""COMPUTED_VALUE"""),FALSE)</f>
        <v>0</v>
      </c>
      <c r="Q1720" s="20" t="str">
        <f>IFERROR(__xludf.DUMMYFUNCTION("""COMPUTED_VALUE"""),"")</f>
        <v/>
      </c>
      <c r="R1720" s="22" t="str">
        <f>IFERROR(__xludf.DUMMYFUNCTION("""COMPUTED_VALUE"""),"")</f>
        <v/>
      </c>
    </row>
    <row r="1721">
      <c r="A1721" s="15">
        <f>IFERROR(__xludf.DUMMYFUNCTION("""COMPUTED_VALUE"""),45050.0)</f>
        <v>45050</v>
      </c>
      <c r="B1721" s="16" t="str">
        <f>IFERROR(__xludf.DUMMYFUNCTION("""COMPUTED_VALUE"""),"Envia")</f>
        <v>Envia</v>
      </c>
      <c r="C1721" s="15" t="str">
        <f>IFERROR(__xludf.DUMMYFUNCTION("""COMPUTED_VALUE"""),"CARTAGENA")</f>
        <v>CARTAGENA</v>
      </c>
      <c r="D1721" s="15" t="str">
        <f>IFERROR(__xludf.DUMMYFUNCTION("""COMPUTED_VALUE"""),"BOGOTÁ")</f>
        <v>BOGOTÁ</v>
      </c>
      <c r="E1721" s="15" t="str">
        <f>IFERROR(__xludf.DUMMYFUNCTION("""COMPUTED_VALUE"""),"Asociacion Agropecuaria Juana Maria")</f>
        <v>Asociacion Agropecuaria Juana Maria</v>
      </c>
      <c r="F1721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1721" s="15" t="str">
        <f>IFERROR(__xludf.DUMMYFUNCTION("""COMPUTED_VALUE"""),"LUZ ELENA GIL BENAVIDES")</f>
        <v>LUZ ELENA GIL BENAVIDES</v>
      </c>
      <c r="H1721" s="16">
        <f>IFERROR(__xludf.DUMMYFUNCTION("""COMPUTED_VALUE"""),10238.0)</f>
        <v>10238</v>
      </c>
      <c r="I1721" s="18">
        <f>IFERROR(__xludf.DUMMYFUNCTION("""COMPUTED_VALUE"""),21.0)</f>
        <v>21</v>
      </c>
      <c r="J1721" s="18">
        <f>IFERROR(__xludf.DUMMYFUNCTION("""COMPUTED_VALUE"""),37.0)</f>
        <v>37</v>
      </c>
      <c r="K1721" s="18">
        <f>IFERROR(__xludf.DUMMYFUNCTION("""COMPUTED_VALUE"""),30.0)</f>
        <v>30</v>
      </c>
      <c r="L1721" s="17">
        <f>IFERROR(__xludf.DUMMYFUNCTION("""COMPUTED_VALUE"""),3.054312334E9)</f>
        <v>3054312334</v>
      </c>
      <c r="M1721" s="17" t="str">
        <f>IFERROR(__xludf.DUMMYFUNCTION("""COMPUTED_VALUE"""),"#REF!")</f>
        <v>#REF!</v>
      </c>
      <c r="N1721" s="17"/>
      <c r="O1721" s="17"/>
      <c r="P1721" s="17" t="b">
        <f>IFERROR(__xludf.DUMMYFUNCTION("""COMPUTED_VALUE"""),FALSE)</f>
        <v>0</v>
      </c>
      <c r="Q1721" s="20" t="str">
        <f>IFERROR(__xludf.DUMMYFUNCTION("""COMPUTED_VALUE"""),"")</f>
        <v/>
      </c>
      <c r="R1721" s="22" t="str">
        <f>IFERROR(__xludf.DUMMYFUNCTION("""COMPUTED_VALUE"""),"")</f>
        <v/>
      </c>
    </row>
    <row r="1722">
      <c r="A1722" s="15">
        <f>IFERROR(__xludf.DUMMYFUNCTION("""COMPUTED_VALUE"""),45050.0)</f>
        <v>45050</v>
      </c>
      <c r="B1722" s="16" t="str">
        <f>IFERROR(__xludf.DUMMYFUNCTION("""COMPUTED_VALUE"""),"Envia")</f>
        <v>Envia</v>
      </c>
      <c r="C1722" s="15" t="str">
        <f>IFERROR(__xludf.DUMMYFUNCTION("""COMPUTED_VALUE"""),"CARTAGENA")</f>
        <v>CARTAGENA</v>
      </c>
      <c r="D1722" s="15" t="str">
        <f>IFERROR(__xludf.DUMMYFUNCTION("""COMPUTED_VALUE"""),"BOGOTÁ")</f>
        <v>BOGOTÁ</v>
      </c>
      <c r="E1722" s="15" t="str">
        <f>IFERROR(__xludf.DUMMYFUNCTION("""COMPUTED_VALUE"""),"Lunchy Kids")</f>
        <v>Lunchy Kids</v>
      </c>
      <c r="F1722" s="17" t="str">
        <f>IFERROR(__xludf.DUMMYFUNCTION("""COMPUTED_VALUE"""),"Crespo cll 63 No. 1-74   /  Edificio Terrazas del caribe - Apto 511 / Cartagena")</f>
        <v>Crespo cll 63 No. 1-74   /  Edificio Terrazas del caribe - Apto 511 / Cartagena</v>
      </c>
      <c r="G1722" s="15" t="str">
        <f>IFERROR(__xludf.DUMMYFUNCTION("""COMPUTED_VALUE"""),"Alexandra Mercado")</f>
        <v>Alexandra Mercado</v>
      </c>
      <c r="H1722" s="16">
        <f>IFERROR(__xludf.DUMMYFUNCTION("""COMPUTED_VALUE"""),10248.0)</f>
        <v>10248</v>
      </c>
      <c r="I1722" s="18">
        <f>IFERROR(__xludf.DUMMYFUNCTION("""COMPUTED_VALUE"""),15.0)</f>
        <v>15</v>
      </c>
      <c r="J1722" s="18">
        <f>IFERROR(__xludf.DUMMYFUNCTION("""COMPUTED_VALUE"""),10.0)</f>
        <v>10</v>
      </c>
      <c r="K1722" s="18">
        <f>IFERROR(__xludf.DUMMYFUNCTION("""COMPUTED_VALUE"""),30.0)</f>
        <v>30</v>
      </c>
      <c r="L1722" s="17">
        <f>IFERROR(__xludf.DUMMYFUNCTION("""COMPUTED_VALUE"""),3.106233693E9)</f>
        <v>3106233693</v>
      </c>
      <c r="M1722" s="17" t="str">
        <f>IFERROR(__xludf.DUMMYFUNCTION("""COMPUTED_VALUE"""),"#REF!")</f>
        <v>#REF!</v>
      </c>
      <c r="N1722" s="17"/>
      <c r="O1722" s="17"/>
      <c r="P1722" s="17" t="b">
        <f>IFERROR(__xludf.DUMMYFUNCTION("""COMPUTED_VALUE"""),FALSE)</f>
        <v>0</v>
      </c>
      <c r="Q1722" s="20" t="str">
        <f>IFERROR(__xludf.DUMMYFUNCTION("""COMPUTED_VALUE"""),"")</f>
        <v/>
      </c>
      <c r="R1722" s="22" t="str">
        <f>IFERROR(__xludf.DUMMYFUNCTION("""COMPUTED_VALUE"""),"")</f>
        <v/>
      </c>
    </row>
    <row r="1723">
      <c r="A1723" s="15">
        <f>IFERROR(__xludf.DUMMYFUNCTION("""COMPUTED_VALUE"""),45050.0)</f>
        <v>45050</v>
      </c>
      <c r="B1723" s="16" t="str">
        <f>IFERROR(__xludf.DUMMYFUNCTION("""COMPUTED_VALUE"""),"Envia")</f>
        <v>Envia</v>
      </c>
      <c r="C1723" s="15" t="str">
        <f>IFERROR(__xludf.DUMMYFUNCTION("""COMPUTED_VALUE"""),"CARTAGENA")</f>
        <v>CARTAGENA</v>
      </c>
      <c r="D1723" s="15" t="str">
        <f>IFERROR(__xludf.DUMMYFUNCTION("""COMPUTED_VALUE"""),"MEDELLÍN")</f>
        <v>MEDELLÍN</v>
      </c>
      <c r="E1723" s="15" t="str">
        <f>IFERROR(__xludf.DUMMYFUNCTION("""COMPUTED_VALUE"""),"Baby Chef")</f>
        <v>Baby Chef</v>
      </c>
      <c r="F1723" s="17" t="str">
        <f>IFERROR(__xludf.DUMMYFUNCTION("""COMPUTED_VALUE"""),"ternera urbanización Beirut 2 casa 3 /  ternera urbanización Beirut 2 casa 3 /  ternera urbanización Beirut 2 casa 3")</f>
        <v>ternera urbanización Beirut 2 casa 3 /  ternera urbanización Beirut 2 casa 3 /  ternera urbanización Beirut 2 casa 3</v>
      </c>
      <c r="G1723" s="15" t="str">
        <f>IFERROR(__xludf.DUMMYFUNCTION("""COMPUTED_VALUE"""),"María Carolina Ortega")</f>
        <v>María Carolina Ortega</v>
      </c>
      <c r="H1723" s="16">
        <f>IFERROR(__xludf.DUMMYFUNCTION("""COMPUTED_VALUE"""),10325.0)</f>
        <v>10325</v>
      </c>
      <c r="I1723" s="18">
        <f>IFERROR(__xludf.DUMMYFUNCTION("""COMPUTED_VALUE"""),8.0)</f>
        <v>8</v>
      </c>
      <c r="J1723" s="18">
        <f>IFERROR(__xludf.DUMMYFUNCTION("""COMPUTED_VALUE"""),16.0)</f>
        <v>16</v>
      </c>
      <c r="K1723" s="18">
        <f>IFERROR(__xludf.DUMMYFUNCTION("""COMPUTED_VALUE"""),20.0)</f>
        <v>20</v>
      </c>
      <c r="L1723" s="17">
        <f>IFERROR(__xludf.DUMMYFUNCTION("""COMPUTED_VALUE"""),3.156249384E9)</f>
        <v>3156249384</v>
      </c>
      <c r="M1723" s="17" t="str">
        <f>IFERROR(__xludf.DUMMYFUNCTION("""COMPUTED_VALUE"""),"#REF!")</f>
        <v>#REF!</v>
      </c>
      <c r="N1723" s="17"/>
      <c r="O1723" s="17"/>
      <c r="P1723" s="17" t="b">
        <f>IFERROR(__xludf.DUMMYFUNCTION("""COMPUTED_VALUE"""),FALSE)</f>
        <v>0</v>
      </c>
      <c r="Q1723" s="20" t="str">
        <f>IFERROR(__xludf.DUMMYFUNCTION("""COMPUTED_VALUE"""),"")</f>
        <v/>
      </c>
      <c r="R1723" s="22" t="str">
        <f>IFERROR(__xludf.DUMMYFUNCTION("""COMPUTED_VALUE"""),"")</f>
        <v/>
      </c>
    </row>
    <row r="1724">
      <c r="A1724" s="15">
        <f>IFERROR(__xludf.DUMMYFUNCTION("""COMPUTED_VALUE"""),45050.0)</f>
        <v>45050</v>
      </c>
      <c r="B1724" s="16" t="str">
        <f>IFERROR(__xludf.DUMMYFUNCTION("""COMPUTED_VALUE"""),"Envia")</f>
        <v>Envia</v>
      </c>
      <c r="C1724" s="15" t="str">
        <f>IFERROR(__xludf.DUMMYFUNCTION("""COMPUTED_VALUE"""),"CARTAGENA")</f>
        <v>CARTAGENA</v>
      </c>
      <c r="D1724" s="15" t="str">
        <f>IFERROR(__xludf.DUMMYFUNCTION("""COMPUTED_VALUE"""),"MEDELLÍN")</f>
        <v>MEDELLÍN</v>
      </c>
      <c r="E1724" s="15" t="str">
        <f>IFERROR(__xludf.DUMMYFUNCTION("""COMPUTED_VALUE"""),"Rambla")</f>
        <v>Rambla</v>
      </c>
      <c r="F1724" s="17" t="str">
        <f>IFERROR(__xludf.DUMMYFUNCTION("""COMPUTED_VALUE"""),"CRA 12  5A-09 Apto 2101 Edificio Ponce de León Cartagena / na / na")</f>
        <v>CRA 12  5A-09 Apto 2101 Edificio Ponce de León Cartagena / na / na</v>
      </c>
      <c r="G1724" s="15" t="str">
        <f>IFERROR(__xludf.DUMMYFUNCTION("""COMPUTED_VALUE"""),"Guadalupe Yidios G.")</f>
        <v>Guadalupe Yidios G.</v>
      </c>
      <c r="H1724" s="16">
        <f>IFERROR(__xludf.DUMMYFUNCTION("""COMPUTED_VALUE"""),10312.0)</f>
        <v>10312</v>
      </c>
      <c r="I1724" s="18">
        <f>IFERROR(__xludf.DUMMYFUNCTION("""COMPUTED_VALUE"""),19.0)</f>
        <v>19</v>
      </c>
      <c r="J1724" s="18">
        <f>IFERROR(__xludf.DUMMYFUNCTION("""COMPUTED_VALUE"""),22.0)</f>
        <v>22</v>
      </c>
      <c r="K1724" s="18">
        <f>IFERROR(__xludf.DUMMYFUNCTION("""COMPUTED_VALUE"""),25.0)</f>
        <v>25</v>
      </c>
      <c r="L1724" s="17">
        <f>IFERROR(__xludf.DUMMYFUNCTION("""COMPUTED_VALUE"""),3.157312839E9)</f>
        <v>3157312839</v>
      </c>
      <c r="M1724" s="17" t="str">
        <f>IFERROR(__xludf.DUMMYFUNCTION("""COMPUTED_VALUE"""),"#REF!")</f>
        <v>#REF!</v>
      </c>
      <c r="N1724" s="17"/>
      <c r="O1724" s="17"/>
      <c r="P1724" s="17" t="b">
        <f>IFERROR(__xludf.DUMMYFUNCTION("""COMPUTED_VALUE"""),FALSE)</f>
        <v>0</v>
      </c>
      <c r="Q1724" s="20" t="str">
        <f>IFERROR(__xludf.DUMMYFUNCTION("""COMPUTED_VALUE"""),"")</f>
        <v/>
      </c>
      <c r="R1724" s="22" t="str">
        <f>IFERROR(__xludf.DUMMYFUNCTION("""COMPUTED_VALUE"""),"")</f>
        <v/>
      </c>
    </row>
    <row r="1725">
      <c r="A1725" s="15">
        <f>IFERROR(__xludf.DUMMYFUNCTION("""COMPUTED_VALUE"""),45050.0)</f>
        <v>45050</v>
      </c>
      <c r="B1725" s="16" t="str">
        <f>IFERROR(__xludf.DUMMYFUNCTION("""COMPUTED_VALUE"""),"Envia")</f>
        <v>Envia</v>
      </c>
      <c r="C1725" s="15" t="str">
        <f>IFERROR(__xludf.DUMMYFUNCTION("""COMPUTED_VALUE"""),"CARTAGO")</f>
        <v>CARTAGO</v>
      </c>
      <c r="D1725" s="15" t="str">
        <f>IFERROR(__xludf.DUMMYFUNCTION("""COMPUTED_VALUE"""),"BOGOTÁ")</f>
        <v>BOGOTÁ</v>
      </c>
      <c r="E1725" s="15" t="str">
        <f>IFERROR(__xludf.DUMMYFUNCTION("""COMPUTED_VALUE"""),"Pan de Waffle")</f>
        <v>Pan de Waffle</v>
      </c>
      <c r="F1725" s="17" t="str">
        <f>IFERROR(__xludf.DUMMYFUNCTION("""COMPUTED_VALUE"""),"CR 4 # 16 107 / CR 4 # 16 107 / CR 4 # 16 107")</f>
        <v>CR 4 # 16 107 / CR 4 # 16 107 / CR 4 # 16 107</v>
      </c>
      <c r="G1725" s="15" t="str">
        <f>IFERROR(__xludf.DUMMYFUNCTION("""COMPUTED_VALUE"""),"THE NATURAL CARTAGO")</f>
        <v>THE NATURAL CARTAGO</v>
      </c>
      <c r="H1725" s="16">
        <f>IFERROR(__xludf.DUMMYFUNCTION("""COMPUTED_VALUE"""),10342.0)</f>
        <v>10342</v>
      </c>
      <c r="I1725" s="18">
        <f>IFERROR(__xludf.DUMMYFUNCTION("""COMPUTED_VALUE"""),40.0)</f>
        <v>40</v>
      </c>
      <c r="J1725" s="18">
        <f>IFERROR(__xludf.DUMMYFUNCTION("""COMPUTED_VALUE"""),30.0)</f>
        <v>30</v>
      </c>
      <c r="K1725" s="18">
        <f>IFERROR(__xludf.DUMMYFUNCTION("""COMPUTED_VALUE"""),30.0)</f>
        <v>30</v>
      </c>
      <c r="L1725" s="17">
        <f>IFERROR(__xludf.DUMMYFUNCTION("""COMPUTED_VALUE"""),3.146025882E9)</f>
        <v>3146025882</v>
      </c>
      <c r="M1725" s="17" t="str">
        <f>IFERROR(__xludf.DUMMYFUNCTION("""COMPUTED_VALUE"""),"#REF!")</f>
        <v>#REF!</v>
      </c>
      <c r="N1725" s="17"/>
      <c r="O1725" s="17"/>
      <c r="P1725" s="17" t="b">
        <f>IFERROR(__xludf.DUMMYFUNCTION("""COMPUTED_VALUE"""),FALSE)</f>
        <v>0</v>
      </c>
      <c r="Q1725" s="20" t="str">
        <f>IFERROR(__xludf.DUMMYFUNCTION("""COMPUTED_VALUE"""),"")</f>
        <v/>
      </c>
      <c r="R1725" s="22" t="str">
        <f>IFERROR(__xludf.DUMMYFUNCTION("""COMPUTED_VALUE"""),"")</f>
        <v/>
      </c>
    </row>
    <row r="1726">
      <c r="A1726" s="15">
        <f>IFERROR(__xludf.DUMMYFUNCTION("""COMPUTED_VALUE"""),45050.0)</f>
        <v>45050</v>
      </c>
      <c r="B1726" s="16" t="str">
        <f>IFERROR(__xludf.DUMMYFUNCTION("""COMPUTED_VALUE"""),"Envia")</f>
        <v>Envia</v>
      </c>
      <c r="C1726" s="15" t="str">
        <f>IFERROR(__xludf.DUMMYFUNCTION("""COMPUTED_VALUE"""),"CÚCUTA")</f>
        <v>CÚCUTA</v>
      </c>
      <c r="D1726" s="15" t="str">
        <f>IFERROR(__xludf.DUMMYFUNCTION("""COMPUTED_VALUE"""),"MEDELLÍN")</f>
        <v>MEDELLÍN</v>
      </c>
      <c r="E1726" s="15" t="str">
        <f>IFERROR(__xludf.DUMMYFUNCTION("""COMPUTED_VALUE"""),"Momo Tea S.A.S Gabriel Echavarría")</f>
        <v>Momo Tea S.A.S Gabriel Echavarría</v>
      </c>
      <c r="F1726" s="17" t="str">
        <f>IFERROR(__xludf.DUMMYFUNCTION("""COMPUTED_VALUE"""),"CL 11 N 16 E 35 / CA B 1")</f>
        <v>CL 11 N 16 E 35 / CA B 1</v>
      </c>
      <c r="G1726" s="15" t="str">
        <f>IFERROR(__xludf.DUMMYFUNCTION("""COMPUTED_VALUE"""),"Gabriel Echavarría")</f>
        <v>Gabriel Echavarría</v>
      </c>
      <c r="H1726" s="16">
        <f>IFERROR(__xludf.DUMMYFUNCTION("""COMPUTED_VALUE"""),10302.0)</f>
        <v>10302</v>
      </c>
      <c r="I1726" s="18">
        <f>IFERROR(__xludf.DUMMYFUNCTION("""COMPUTED_VALUE"""),21.0)</f>
        <v>21</v>
      </c>
      <c r="J1726" s="18">
        <f>IFERROR(__xludf.DUMMYFUNCTION("""COMPUTED_VALUE"""),29.0)</f>
        <v>29</v>
      </c>
      <c r="K1726" s="18">
        <f>IFERROR(__xludf.DUMMYFUNCTION("""COMPUTED_VALUE"""),29.0)</f>
        <v>29</v>
      </c>
      <c r="L1726" s="17">
        <f>IFERROR(__xludf.DUMMYFUNCTION("""COMPUTED_VALUE"""),3.017909548E9)</f>
        <v>3017909548</v>
      </c>
      <c r="M1726" s="17" t="str">
        <f>IFERROR(__xludf.DUMMYFUNCTION("""COMPUTED_VALUE"""),"#REF!")</f>
        <v>#REF!</v>
      </c>
      <c r="N1726" s="17"/>
      <c r="O1726" s="17"/>
      <c r="P1726" s="17" t="b">
        <f>IFERROR(__xludf.DUMMYFUNCTION("""COMPUTED_VALUE"""),FALSE)</f>
        <v>0</v>
      </c>
      <c r="Q1726" s="20" t="str">
        <f>IFERROR(__xludf.DUMMYFUNCTION("""COMPUTED_VALUE"""),"")</f>
        <v/>
      </c>
      <c r="R1726" s="22" t="str">
        <f>IFERROR(__xludf.DUMMYFUNCTION("""COMPUTED_VALUE"""),"")</f>
        <v/>
      </c>
    </row>
    <row r="1727">
      <c r="A1727" s="15">
        <f>IFERROR(__xludf.DUMMYFUNCTION("""COMPUTED_VALUE"""),45050.0)</f>
        <v>45050</v>
      </c>
      <c r="B1727" s="16" t="str">
        <f>IFERROR(__xludf.DUMMYFUNCTION("""COMPUTED_VALUE"""),"Envia")</f>
        <v>Envia</v>
      </c>
      <c r="C1727" s="15" t="str">
        <f>IFERROR(__xludf.DUMMYFUNCTION("""COMPUTED_VALUE"""),"CÚCUTA")</f>
        <v>CÚCUTA</v>
      </c>
      <c r="D1727" s="15" t="str">
        <f>IFERROR(__xludf.DUMMYFUNCTION("""COMPUTED_VALUE"""),"MEDELLÍN")</f>
        <v>MEDELLÍN</v>
      </c>
      <c r="E1727" s="15" t="str">
        <f>IFERROR(__xludf.DUMMYFUNCTION("""COMPUTED_VALUE"""),"Momo Tea S.A.S Gabriel Echavarría")</f>
        <v>Momo Tea S.A.S Gabriel Echavarría</v>
      </c>
      <c r="F1727" s="17" t="str">
        <f>IFERROR(__xludf.DUMMYFUNCTION("""COMPUTED_VALUE"""),"CL 11 N 16 E 35 / CA B 1")</f>
        <v>CL 11 N 16 E 35 / CA B 1</v>
      </c>
      <c r="G1727" s="15" t="str">
        <f>IFERROR(__xludf.DUMMYFUNCTION("""COMPUTED_VALUE"""),"Gabriel Echavarría")</f>
        <v>Gabriel Echavarría</v>
      </c>
      <c r="H1727" s="16">
        <f>IFERROR(__xludf.DUMMYFUNCTION("""COMPUTED_VALUE"""),10303.0)</f>
        <v>10303</v>
      </c>
      <c r="I1727" s="18">
        <f>IFERROR(__xludf.DUMMYFUNCTION("""COMPUTED_VALUE"""),48.0)</f>
        <v>48</v>
      </c>
      <c r="J1727" s="18">
        <f>IFERROR(__xludf.DUMMYFUNCTION("""COMPUTED_VALUE"""),52.0)</f>
        <v>52</v>
      </c>
      <c r="K1727" s="18">
        <f>IFERROR(__xludf.DUMMYFUNCTION("""COMPUTED_VALUE"""),38.0)</f>
        <v>38</v>
      </c>
      <c r="L1727" s="17">
        <f>IFERROR(__xludf.DUMMYFUNCTION("""COMPUTED_VALUE"""),3.017909548E9)</f>
        <v>3017909548</v>
      </c>
      <c r="M1727" s="17" t="str">
        <f>IFERROR(__xludf.DUMMYFUNCTION("""COMPUTED_VALUE"""),"#REF!")</f>
        <v>#REF!</v>
      </c>
      <c r="N1727" s="17"/>
      <c r="O1727" s="17"/>
      <c r="P1727" s="17" t="b">
        <f>IFERROR(__xludf.DUMMYFUNCTION("""COMPUTED_VALUE"""),FALSE)</f>
        <v>0</v>
      </c>
      <c r="Q1727" s="20" t="str">
        <f>IFERROR(__xludf.DUMMYFUNCTION("""COMPUTED_VALUE"""),"")</f>
        <v/>
      </c>
      <c r="R1727" s="22" t="str">
        <f>IFERROR(__xludf.DUMMYFUNCTION("""COMPUTED_VALUE"""),"")</f>
        <v/>
      </c>
    </row>
    <row r="1728">
      <c r="A1728" s="15">
        <f>IFERROR(__xludf.DUMMYFUNCTION("""COMPUTED_VALUE"""),45050.0)</f>
        <v>45050</v>
      </c>
      <c r="B1728" s="16" t="str">
        <f>IFERROR(__xludf.DUMMYFUNCTION("""COMPUTED_VALUE"""),"Envia")</f>
        <v>Envia</v>
      </c>
      <c r="C1728" s="15" t="str">
        <f>IFERROR(__xludf.DUMMYFUNCTION("""COMPUTED_VALUE"""),"CÚCUTA")</f>
        <v>CÚCUTA</v>
      </c>
      <c r="D1728" s="15" t="str">
        <f>IFERROR(__xludf.DUMMYFUNCTION("""COMPUTED_VALUE"""),"MEDELLÍN")</f>
        <v>MEDELLÍN</v>
      </c>
      <c r="E1728" s="15" t="str">
        <f>IFERROR(__xludf.DUMMYFUNCTION("""COMPUTED_VALUE"""),"Momo Tea S.A.S Gabriel Echavarría")</f>
        <v>Momo Tea S.A.S Gabriel Echavarría</v>
      </c>
      <c r="F1728" s="17" t="str">
        <f>IFERROR(__xludf.DUMMYFUNCTION("""COMPUTED_VALUE"""),"CL 11 N 16 E 35 / CA B 1")</f>
        <v>CL 11 N 16 E 35 / CA B 1</v>
      </c>
      <c r="G1728" s="15" t="str">
        <f>IFERROR(__xludf.DUMMYFUNCTION("""COMPUTED_VALUE"""),"Gabriel Echavarría")</f>
        <v>Gabriel Echavarría</v>
      </c>
      <c r="H1728" s="16">
        <f>IFERROR(__xludf.DUMMYFUNCTION("""COMPUTED_VALUE"""),10304.0)</f>
        <v>10304</v>
      </c>
      <c r="I1728" s="18" t="str">
        <f>IFERROR(__xludf.DUMMYFUNCTION("""COMPUTED_VALUE"""),"34.5")</f>
        <v>34.5</v>
      </c>
      <c r="J1728" s="18">
        <f>IFERROR(__xludf.DUMMYFUNCTION("""COMPUTED_VALUE"""),54.0)</f>
        <v>54</v>
      </c>
      <c r="K1728" s="18">
        <f>IFERROR(__xludf.DUMMYFUNCTION("""COMPUTED_VALUE"""),26.0)</f>
        <v>26</v>
      </c>
      <c r="L1728" s="17">
        <f>IFERROR(__xludf.DUMMYFUNCTION("""COMPUTED_VALUE"""),3.017909548E9)</f>
        <v>3017909548</v>
      </c>
      <c r="M1728" s="17" t="str">
        <f>IFERROR(__xludf.DUMMYFUNCTION("""COMPUTED_VALUE"""),"#REF!")</f>
        <v>#REF!</v>
      </c>
      <c r="N1728" s="17"/>
      <c r="O1728" s="17"/>
      <c r="P1728" s="17" t="b">
        <f>IFERROR(__xludf.DUMMYFUNCTION("""COMPUTED_VALUE"""),FALSE)</f>
        <v>0</v>
      </c>
      <c r="Q1728" s="20" t="str">
        <f>IFERROR(__xludf.DUMMYFUNCTION("""COMPUTED_VALUE"""),"")</f>
        <v/>
      </c>
      <c r="R1728" s="22" t="str">
        <f>IFERROR(__xludf.DUMMYFUNCTION("""COMPUTED_VALUE"""),"")</f>
        <v/>
      </c>
    </row>
    <row r="1729">
      <c r="A1729" s="15">
        <f>IFERROR(__xludf.DUMMYFUNCTION("""COMPUTED_VALUE"""),45050.0)</f>
        <v>45050</v>
      </c>
      <c r="B1729" s="16" t="str">
        <f>IFERROR(__xludf.DUMMYFUNCTION("""COMPUTED_VALUE"""),"Envia")</f>
        <v>Envia</v>
      </c>
      <c r="C1729" s="15" t="str">
        <f>IFERROR(__xludf.DUMMYFUNCTION("""COMPUTED_VALUE"""),"CÚCUTA")</f>
        <v>CÚCUTA</v>
      </c>
      <c r="D1729" s="15" t="str">
        <f>IFERROR(__xludf.DUMMYFUNCTION("""COMPUTED_VALUE"""),"MEDELLÍN")</f>
        <v>MEDELLÍN</v>
      </c>
      <c r="E1729" s="15" t="str">
        <f>IFERROR(__xludf.DUMMYFUNCTION("""COMPUTED_VALUE"""),"Momo Tea S.A.S Gabriel Echavarría")</f>
        <v>Momo Tea S.A.S Gabriel Echavarría</v>
      </c>
      <c r="F1729" s="17" t="str">
        <f>IFERROR(__xludf.DUMMYFUNCTION("""COMPUTED_VALUE"""),"CL 11 N 16 E 35 / CA B 1")</f>
        <v>CL 11 N 16 E 35 / CA B 1</v>
      </c>
      <c r="G1729" s="15" t="str">
        <f>IFERROR(__xludf.DUMMYFUNCTION("""COMPUTED_VALUE"""),"Gabriel Echavarría")</f>
        <v>Gabriel Echavarría</v>
      </c>
      <c r="H1729" s="16">
        <f>IFERROR(__xludf.DUMMYFUNCTION("""COMPUTED_VALUE"""),10305.0)</f>
        <v>10305</v>
      </c>
      <c r="I1729" s="18">
        <f>IFERROR(__xludf.DUMMYFUNCTION("""COMPUTED_VALUE"""),13.0)</f>
        <v>13</v>
      </c>
      <c r="J1729" s="18">
        <f>IFERROR(__xludf.DUMMYFUNCTION("""COMPUTED_VALUE"""),19.0)</f>
        <v>19</v>
      </c>
      <c r="K1729" s="18">
        <f>IFERROR(__xludf.DUMMYFUNCTION("""COMPUTED_VALUE"""),19.0)</f>
        <v>19</v>
      </c>
      <c r="L1729" s="17">
        <f>IFERROR(__xludf.DUMMYFUNCTION("""COMPUTED_VALUE"""),3.017909548E9)</f>
        <v>3017909548</v>
      </c>
      <c r="M1729" s="17" t="str">
        <f>IFERROR(__xludf.DUMMYFUNCTION("""COMPUTED_VALUE"""),"#REF!")</f>
        <v>#REF!</v>
      </c>
      <c r="N1729" s="17"/>
      <c r="O1729" s="17"/>
      <c r="P1729" s="17" t="b">
        <f>IFERROR(__xludf.DUMMYFUNCTION("""COMPUTED_VALUE"""),FALSE)</f>
        <v>0</v>
      </c>
      <c r="Q1729" s="20" t="str">
        <f>IFERROR(__xludf.DUMMYFUNCTION("""COMPUTED_VALUE"""),"")</f>
        <v/>
      </c>
      <c r="R1729" s="22" t="str">
        <f>IFERROR(__xludf.DUMMYFUNCTION("""COMPUTED_VALUE"""),"")</f>
        <v/>
      </c>
    </row>
    <row r="1730">
      <c r="A1730" s="15">
        <f>IFERROR(__xludf.DUMMYFUNCTION("""COMPUTED_VALUE"""),45050.0)</f>
        <v>45050</v>
      </c>
      <c r="B1730" s="16" t="str">
        <f>IFERROR(__xludf.DUMMYFUNCTION("""COMPUTED_VALUE"""),"Envia")</f>
        <v>Envia</v>
      </c>
      <c r="C1730" s="15" t="str">
        <f>IFERROR(__xludf.DUMMYFUNCTION("""COMPUTED_VALUE"""),"CÚCUTA")</f>
        <v>CÚCUTA</v>
      </c>
      <c r="D1730" s="15" t="str">
        <f>IFERROR(__xludf.DUMMYFUNCTION("""COMPUTED_VALUE"""),"MEDELLÍN")</f>
        <v>MEDELLÍN</v>
      </c>
      <c r="E1730" s="15" t="str">
        <f>IFERROR(__xludf.DUMMYFUNCTION("""COMPUTED_VALUE"""),"Momo Tea S.A.S Gabriel Echavarría")</f>
        <v>Momo Tea S.A.S Gabriel Echavarría</v>
      </c>
      <c r="F1730" s="17" t="str">
        <f>IFERROR(__xludf.DUMMYFUNCTION("""COMPUTED_VALUE"""),"CL 11 N 16 E 35 / CA B 1")</f>
        <v>CL 11 N 16 E 35 / CA B 1</v>
      </c>
      <c r="G1730" s="15" t="str">
        <f>IFERROR(__xludf.DUMMYFUNCTION("""COMPUTED_VALUE"""),"Gabriel Echavarría")</f>
        <v>Gabriel Echavarría</v>
      </c>
      <c r="H1730" s="16">
        <f>IFERROR(__xludf.DUMMYFUNCTION("""COMPUTED_VALUE"""),10306.0)</f>
        <v>10306</v>
      </c>
      <c r="I1730" s="18">
        <f>IFERROR(__xludf.DUMMYFUNCTION("""COMPUTED_VALUE"""),19.0)</f>
        <v>19</v>
      </c>
      <c r="J1730" s="18">
        <f>IFERROR(__xludf.DUMMYFUNCTION("""COMPUTED_VALUE"""),11.0)</f>
        <v>11</v>
      </c>
      <c r="K1730" s="18">
        <f>IFERROR(__xludf.DUMMYFUNCTION("""COMPUTED_VALUE"""),32.0)</f>
        <v>32</v>
      </c>
      <c r="L1730" s="17">
        <f>IFERROR(__xludf.DUMMYFUNCTION("""COMPUTED_VALUE"""),3.017909548E9)</f>
        <v>3017909548</v>
      </c>
      <c r="M1730" s="17" t="str">
        <f>IFERROR(__xludf.DUMMYFUNCTION("""COMPUTED_VALUE"""),"#REF!")</f>
        <v>#REF!</v>
      </c>
      <c r="N1730" s="17"/>
      <c r="O1730" s="17"/>
      <c r="P1730" s="17" t="b">
        <f>IFERROR(__xludf.DUMMYFUNCTION("""COMPUTED_VALUE"""),FALSE)</f>
        <v>0</v>
      </c>
      <c r="Q1730" s="20" t="str">
        <f>IFERROR(__xludf.DUMMYFUNCTION("""COMPUTED_VALUE"""),"")</f>
        <v/>
      </c>
      <c r="R1730" s="22" t="str">
        <f>IFERROR(__xludf.DUMMYFUNCTION("""COMPUTED_VALUE"""),"")</f>
        <v/>
      </c>
    </row>
    <row r="1731">
      <c r="A1731" s="15">
        <f>IFERROR(__xludf.DUMMYFUNCTION("""COMPUTED_VALUE"""),45050.0)</f>
        <v>45050</v>
      </c>
      <c r="B1731" s="16" t="str">
        <f>IFERROR(__xludf.DUMMYFUNCTION("""COMPUTED_VALUE"""),"Envia")</f>
        <v>Envia</v>
      </c>
      <c r="C1731" s="15" t="str">
        <f>IFERROR(__xludf.DUMMYFUNCTION("""COMPUTED_VALUE"""),"MEDELLÍN")</f>
        <v>MEDELLÍN</v>
      </c>
      <c r="D1731" s="15" t="str">
        <f>IFERROR(__xludf.DUMMYFUNCTION("""COMPUTED_VALUE"""),"BOGOTÁ")</f>
        <v>BOGOTÁ</v>
      </c>
      <c r="E1731" s="15" t="str">
        <f>IFERROR(__xludf.DUMMYFUNCTION("""COMPUTED_VALUE"""),"Viral Brands")</f>
        <v>Viral Brands</v>
      </c>
      <c r="F1731" s="17" t="str">
        <f>IFERROR(__xludf.DUMMYFUNCTION("""COMPUTED_VALUE"""),"Calle 1 sur # 29 - 354 / Cocina de chuzales y min burger, al lado de la bodega de turbo rappi  / Loma de los parra Poblado")</f>
        <v>Calle 1 sur # 29 - 354 / Cocina de chuzales y min burger, al lado de la bodega de turbo rappi  / Loma de los parra Poblado</v>
      </c>
      <c r="G1731" s="15" t="str">
        <f>IFERROR(__xludf.DUMMYFUNCTION("""COMPUTED_VALUE"""),"Carlos olivero")</f>
        <v>Carlos olivero</v>
      </c>
      <c r="H1731" s="16">
        <f>IFERROR(__xludf.DUMMYFUNCTION("""COMPUTED_VALUE"""),10332.0)</f>
        <v>10332</v>
      </c>
      <c r="I1731" s="18">
        <f>IFERROR(__xludf.DUMMYFUNCTION("""COMPUTED_VALUE"""),29.0)</f>
        <v>29</v>
      </c>
      <c r="J1731" s="18">
        <f>IFERROR(__xludf.DUMMYFUNCTION("""COMPUTED_VALUE"""),55.0)</f>
        <v>55</v>
      </c>
      <c r="K1731" s="18">
        <f>IFERROR(__xludf.DUMMYFUNCTION("""COMPUTED_VALUE"""),45.0)</f>
        <v>45</v>
      </c>
      <c r="L1731" s="17">
        <f>IFERROR(__xludf.DUMMYFUNCTION("""COMPUTED_VALUE"""),3.043480219E9)</f>
        <v>3043480219</v>
      </c>
      <c r="M1731" s="17" t="str">
        <f>IFERROR(__xludf.DUMMYFUNCTION("""COMPUTED_VALUE"""),"#REF!")</f>
        <v>#REF!</v>
      </c>
      <c r="N1731" s="17"/>
      <c r="O1731" s="17"/>
      <c r="P1731" s="17" t="b">
        <f>IFERROR(__xludf.DUMMYFUNCTION("""COMPUTED_VALUE"""),TRUE)</f>
        <v>1</v>
      </c>
      <c r="Q1731" s="20">
        <f>IFERROR(__xludf.DUMMYFUNCTION("""COMPUTED_VALUE"""),45050.69176984954)</f>
        <v>45050.69177</v>
      </c>
      <c r="R1731" s="22" t="str">
        <f>IFERROR(__xludf.DUMMYFUNCTION("""COMPUTED_VALUE"""),"")</f>
        <v/>
      </c>
    </row>
    <row r="1732">
      <c r="A1732" s="15">
        <f>IFERROR(__xludf.DUMMYFUNCTION("""COMPUTED_VALUE"""),45050.0)</f>
        <v>45050</v>
      </c>
      <c r="B1732" s="16" t="str">
        <f>IFERROR(__xludf.DUMMYFUNCTION("""COMPUTED_VALUE"""),"Envia")</f>
        <v>Envia</v>
      </c>
      <c r="C1732" s="15" t="str">
        <f>IFERROR(__xludf.DUMMYFUNCTION("""COMPUTED_VALUE"""),"MONTERIA")</f>
        <v>MONTERIA</v>
      </c>
      <c r="D1732" s="15" t="str">
        <f>IFERROR(__xludf.DUMMYFUNCTION("""COMPUTED_VALUE"""),"MEDELLÍN")</f>
        <v>MEDELLÍN</v>
      </c>
      <c r="E1732" s="15" t="str">
        <f>IFERROR(__xludf.DUMMYFUNCTION("""COMPUTED_VALUE"""),"Moloso S.A.S")</f>
        <v>Moloso S.A.S</v>
      </c>
      <c r="F1732" s="17" t="str">
        <f>IFERROR(__xludf.DUMMYFUNCTION("""COMPUTED_VALUE"""),"CALLE 68  5-51 / BO D AP 301")</f>
        <v>CALLE 68  5-51 / BO D AP 301</v>
      </c>
      <c r="G1732" s="15" t="str">
        <f>IFERROR(__xludf.DUMMYFUNCTION("""COMPUTED_VALUE"""),"MARIA BEATRIZ PUCHE")</f>
        <v>MARIA BEATRIZ PUCHE</v>
      </c>
      <c r="H1732" s="16">
        <f>IFERROR(__xludf.DUMMYFUNCTION("""COMPUTED_VALUE"""),10340.0)</f>
        <v>10340</v>
      </c>
      <c r="I1732" s="18">
        <f>IFERROR(__xludf.DUMMYFUNCTION("""COMPUTED_VALUE"""),17.0)</f>
        <v>17</v>
      </c>
      <c r="J1732" s="18">
        <f>IFERROR(__xludf.DUMMYFUNCTION("""COMPUTED_VALUE"""),15.0)</f>
        <v>15</v>
      </c>
      <c r="K1732" s="18">
        <f>IFERROR(__xludf.DUMMYFUNCTION("""COMPUTED_VALUE"""),28.0)</f>
        <v>28</v>
      </c>
      <c r="L1732" s="17">
        <f>IFERROR(__xludf.DUMMYFUNCTION("""COMPUTED_VALUE"""),3.103549972E9)</f>
        <v>3103549972</v>
      </c>
      <c r="M1732" s="17" t="str">
        <f>IFERROR(__xludf.DUMMYFUNCTION("""COMPUTED_VALUE"""),"#REF!")</f>
        <v>#REF!</v>
      </c>
      <c r="N1732" s="17"/>
      <c r="O1732" s="17"/>
      <c r="P1732" s="17" t="b">
        <f>IFERROR(__xludf.DUMMYFUNCTION("""COMPUTED_VALUE"""),FALSE)</f>
        <v>0</v>
      </c>
      <c r="Q1732" s="20" t="str">
        <f>IFERROR(__xludf.DUMMYFUNCTION("""COMPUTED_VALUE"""),"")</f>
        <v/>
      </c>
      <c r="R1732" s="22" t="str">
        <f>IFERROR(__xludf.DUMMYFUNCTION("""COMPUTED_VALUE"""),"")</f>
        <v/>
      </c>
    </row>
    <row r="1733">
      <c r="A1733" s="15">
        <f>IFERROR(__xludf.DUMMYFUNCTION("""COMPUTED_VALUE"""),45050.0)</f>
        <v>45050</v>
      </c>
      <c r="B1733" s="16" t="str">
        <f>IFERROR(__xludf.DUMMYFUNCTION("""COMPUTED_VALUE"""),"Envia")</f>
        <v>Envia</v>
      </c>
      <c r="C1733" s="15" t="str">
        <f>IFERROR(__xludf.DUMMYFUNCTION("""COMPUTED_VALUE"""),"PASTO")</f>
        <v>PASTO</v>
      </c>
      <c r="D1733" s="15" t="str">
        <f>IFERROR(__xludf.DUMMYFUNCTION("""COMPUTED_VALUE"""),"BOGOTÁ")</f>
        <v>BOGOTÁ</v>
      </c>
      <c r="E1733" s="15" t="str">
        <f>IFERROR(__xludf.DUMMYFUNCTION("""COMPUTED_VALUE"""),"Evamazzita")</f>
        <v>Evamazzita</v>
      </c>
      <c r="F1733" s="17" t="str">
        <f>IFERROR(__xludf.DUMMYFUNCTION("""COMPUTED_VALUE"""),"CALLE 16B No. 33-16  / N/A / BARRIO MARIDIAZ")</f>
        <v>CALLE 16B No. 33-16  / N/A / BARRIO MARIDIAZ</v>
      </c>
      <c r="G1733" s="15" t="str">
        <f>IFERROR(__xludf.DUMMYFUNCTION("""COMPUTED_VALUE"""),"KELLY DAVID")</f>
        <v>KELLY DAVID</v>
      </c>
      <c r="H1733" s="16">
        <f>IFERROR(__xludf.DUMMYFUNCTION("""COMPUTED_VALUE"""),10262.0)</f>
        <v>10262</v>
      </c>
      <c r="I1733" s="18">
        <f>IFERROR(__xludf.DUMMYFUNCTION("""COMPUTED_VALUE"""),6.0)</f>
        <v>6</v>
      </c>
      <c r="J1733" s="18">
        <f>IFERROR(__xludf.DUMMYFUNCTION("""COMPUTED_VALUE"""),21.0)</f>
        <v>21</v>
      </c>
      <c r="K1733" s="18">
        <f>IFERROR(__xludf.DUMMYFUNCTION("""COMPUTED_VALUE"""),15.0)</f>
        <v>15</v>
      </c>
      <c r="L1733" s="17">
        <f>IFERROR(__xludf.DUMMYFUNCTION("""COMPUTED_VALUE"""),3.178539569E9)</f>
        <v>3178539569</v>
      </c>
      <c r="M1733" s="17" t="str">
        <f>IFERROR(__xludf.DUMMYFUNCTION("""COMPUTED_VALUE"""),"#REF!")</f>
        <v>#REF!</v>
      </c>
      <c r="N1733" s="17"/>
      <c r="O1733" s="17"/>
      <c r="P1733" s="17" t="b">
        <f>IFERROR(__xludf.DUMMYFUNCTION("""COMPUTED_VALUE"""),FALSE)</f>
        <v>0</v>
      </c>
      <c r="Q1733" s="20" t="str">
        <f>IFERROR(__xludf.DUMMYFUNCTION("""COMPUTED_VALUE"""),"")</f>
        <v/>
      </c>
      <c r="R1733" s="22" t="str">
        <f>IFERROR(__xludf.DUMMYFUNCTION("""COMPUTED_VALUE"""),"")</f>
        <v/>
      </c>
    </row>
    <row r="1734">
      <c r="A1734" s="17" t="str">
        <f>IFERROR(__xludf.DUMMYFUNCTION("""COMPUTED_VALUE"""),"")</f>
        <v/>
      </c>
      <c r="B1734" s="17" t="str">
        <f>IFERROR(__xludf.DUMMYFUNCTION("""COMPUTED_VALUE"""),"")</f>
        <v/>
      </c>
      <c r="C1734" s="17" t="str">
        <f>IFERROR(__xludf.DUMMYFUNCTION("""COMPUTED_VALUE"""),"")</f>
        <v/>
      </c>
      <c r="D1734" s="17" t="str">
        <f>IFERROR(__xludf.DUMMYFUNCTION("""COMPUTED_VALUE"""),"")</f>
        <v/>
      </c>
      <c r="E1734" s="17" t="str">
        <f>IFERROR(__xludf.DUMMYFUNCTION("""COMPUTED_VALUE"""),"")</f>
        <v/>
      </c>
      <c r="F1734" s="17" t="str">
        <f>IFERROR(__xludf.DUMMYFUNCTION("""COMPUTED_VALUE"""),"")</f>
        <v/>
      </c>
      <c r="G1734" s="17" t="str">
        <f>IFERROR(__xludf.DUMMYFUNCTION("""COMPUTED_VALUE"""),"")</f>
        <v/>
      </c>
      <c r="H1734" s="17" t="str">
        <f>IFERROR(__xludf.DUMMYFUNCTION("""COMPUTED_VALUE"""),"")</f>
        <v/>
      </c>
      <c r="I1734" s="17" t="str">
        <f>IFERROR(__xludf.DUMMYFUNCTION("""COMPUTED_VALUE"""),"")</f>
        <v/>
      </c>
      <c r="J1734" s="17" t="str">
        <f>IFERROR(__xludf.DUMMYFUNCTION("""COMPUTED_VALUE"""),"")</f>
        <v/>
      </c>
      <c r="K1734" s="17" t="str">
        <f>IFERROR(__xludf.DUMMYFUNCTION("""COMPUTED_VALUE"""),"")</f>
        <v/>
      </c>
      <c r="L1734" s="17" t="str">
        <f>IFERROR(__xludf.DUMMYFUNCTION("""COMPUTED_VALUE"""),"")</f>
        <v/>
      </c>
      <c r="M1734" s="17" t="str">
        <f>IFERROR(__xludf.DUMMYFUNCTION("""COMPUTED_VALUE"""),"")</f>
        <v/>
      </c>
      <c r="N1734" s="17" t="str">
        <f>IFERROR(__xludf.DUMMYFUNCTION("""COMPUTED_VALUE"""),"")</f>
        <v/>
      </c>
      <c r="O1734" s="17" t="str">
        <f>IFERROR(__xludf.DUMMYFUNCTION("""COMPUTED_VALUE"""),"")</f>
        <v/>
      </c>
      <c r="P1734" s="17" t="str">
        <f>IFERROR(__xludf.DUMMYFUNCTION("""COMPUTED_VALUE"""),"")</f>
        <v/>
      </c>
      <c r="Q1734" s="17" t="str">
        <f>IFERROR(__xludf.DUMMYFUNCTION("""COMPUTED_VALUE"""),"")</f>
        <v/>
      </c>
      <c r="R1734" s="17" t="str">
        <f>IFERROR(__xludf.DUMMYFUNCTION("""COMPUTED_VALUE"""),"")</f>
        <v/>
      </c>
    </row>
    <row r="1735">
      <c r="A1735" s="15">
        <f>IFERROR(__xludf.DUMMYFUNCTION("""COMPUTED_VALUE"""),45050.0)</f>
        <v>45050</v>
      </c>
      <c r="B1735" s="16" t="str">
        <f>IFERROR(__xludf.DUMMYFUNCTION("""COMPUTED_VALUE"""),"Johan Alexander Escobar Arroyo ")</f>
        <v>Johan Alexander Escobar Arroyo </v>
      </c>
      <c r="C1735" s="15" t="str">
        <f>IFERROR(__xludf.DUMMYFUNCTION("""COMPUTED_VALUE"""),"CALI")</f>
        <v>CALI</v>
      </c>
      <c r="D1735" s="15" t="str">
        <f>IFERROR(__xludf.DUMMYFUNCTION("""COMPUTED_VALUE"""),"MEDELLÍN")</f>
        <v>MEDELLÍN</v>
      </c>
      <c r="E1735" s="15" t="str">
        <f>IFERROR(__xludf.DUMMYFUNCTION("""COMPUTED_VALUE"""),"Baby Chef")</f>
        <v>Baby Chef</v>
      </c>
      <c r="F1735" s="17" t="str">
        <f>IFERROR(__xludf.DUMMYFUNCTION("""COMPUTED_VALUE"""),"Calle 3 oeste # 56-75  / casa 17  / Barrio : ceminario")</f>
        <v>Calle 3 oeste # 56-75  / casa 17  / Barrio : ceminario</v>
      </c>
      <c r="G1735" s="15" t="str">
        <f>IFERROR(__xludf.DUMMYFUNCTION("""COMPUTED_VALUE"""),"FRANCIA DAZA")</f>
        <v>FRANCIA DAZA</v>
      </c>
      <c r="H1735" s="16">
        <f>IFERROR(__xludf.DUMMYFUNCTION("""COMPUTED_VALUE"""),10348.0)</f>
        <v>10348</v>
      </c>
      <c r="I1735" s="18">
        <f>IFERROR(__xludf.DUMMYFUNCTION("""COMPUTED_VALUE"""),8.0)</f>
        <v>8</v>
      </c>
      <c r="J1735" s="18">
        <f>IFERROR(__xludf.DUMMYFUNCTION("""COMPUTED_VALUE"""),16.0)</f>
        <v>16</v>
      </c>
      <c r="K1735" s="18">
        <f>IFERROR(__xludf.DUMMYFUNCTION("""COMPUTED_VALUE"""),20.0)</f>
        <v>20</v>
      </c>
      <c r="L1735" s="17">
        <f>IFERROR(__xludf.DUMMYFUNCTION("""COMPUTED_VALUE"""),3.105213765E9)</f>
        <v>3105213765</v>
      </c>
      <c r="M1735" s="17" t="str">
        <f>IFERROR(__xludf.DUMMYFUNCTION("""COMPUTED_VALUE"""),"#REF!")</f>
        <v>#REF!</v>
      </c>
      <c r="N1735" s="17"/>
      <c r="O1735" s="17"/>
      <c r="P1735" s="17" t="b">
        <f>IFERROR(__xludf.DUMMYFUNCTION("""COMPUTED_VALUE"""),FALSE)</f>
        <v>0</v>
      </c>
      <c r="Q1735" s="20" t="str">
        <f>IFERROR(__xludf.DUMMYFUNCTION("""COMPUTED_VALUE"""),"")</f>
        <v/>
      </c>
      <c r="R1735" s="22" t="str">
        <f>IFERROR(__xludf.DUMMYFUNCTION("""COMPUTED_VALUE"""),"")</f>
        <v/>
      </c>
    </row>
    <row r="1736">
      <c r="A1736" s="15">
        <f>IFERROR(__xludf.DUMMYFUNCTION("""COMPUTED_VALUE"""),45050.0)</f>
        <v>45050</v>
      </c>
      <c r="B1736" s="16" t="str">
        <f>IFERROR(__xludf.DUMMYFUNCTION("""COMPUTED_VALUE"""),"Johan Alexander Escobar Arroyo ")</f>
        <v>Johan Alexander Escobar Arroyo </v>
      </c>
      <c r="C1736" s="15" t="str">
        <f>IFERROR(__xludf.DUMMYFUNCTION("""COMPUTED_VALUE"""),"CALI")</f>
        <v>CALI</v>
      </c>
      <c r="D1736" s="15" t="str">
        <f>IFERROR(__xludf.DUMMYFUNCTION("""COMPUTED_VALUE"""),"MEDELLÍN")</f>
        <v>MEDELLÍN</v>
      </c>
      <c r="E1736" s="15" t="str">
        <f>IFERROR(__xludf.DUMMYFUNCTION("""COMPUTED_VALUE"""),"Baby Chef")</f>
        <v>Baby Chef</v>
      </c>
      <c r="F1736" s="17" t="str">
        <f>IFERROR(__xludf.DUMMYFUNCTION("""COMPUTED_VALUE"""),"Calle 40 4 B 57 / Casa 1 piso / barrio las delicias")</f>
        <v>Calle 40 4 B 57 / Casa 1 piso / barrio las delicias</v>
      </c>
      <c r="G1736" s="15" t="str">
        <f>IFERROR(__xludf.DUMMYFUNCTION("""COMPUTED_VALUE"""),"María Gómez")</f>
        <v>María Gómez</v>
      </c>
      <c r="H1736" s="16">
        <f>IFERROR(__xludf.DUMMYFUNCTION("""COMPUTED_VALUE"""),10349.0)</f>
        <v>10349</v>
      </c>
      <c r="I1736" s="18">
        <f>IFERROR(__xludf.DUMMYFUNCTION("""COMPUTED_VALUE"""),8.0)</f>
        <v>8</v>
      </c>
      <c r="J1736" s="18">
        <f>IFERROR(__xludf.DUMMYFUNCTION("""COMPUTED_VALUE"""),16.0)</f>
        <v>16</v>
      </c>
      <c r="K1736" s="18">
        <f>IFERROR(__xludf.DUMMYFUNCTION("""COMPUTED_VALUE"""),20.0)</f>
        <v>20</v>
      </c>
      <c r="L1736" s="17">
        <f>IFERROR(__xludf.DUMMYFUNCTION("""COMPUTED_VALUE"""),3.152519365E9)</f>
        <v>3152519365</v>
      </c>
      <c r="M1736" s="17" t="str">
        <f>IFERROR(__xludf.DUMMYFUNCTION("""COMPUTED_VALUE"""),"#REF!")</f>
        <v>#REF!</v>
      </c>
      <c r="N1736" s="17"/>
      <c r="O1736" s="17"/>
      <c r="P1736" s="17" t="b">
        <f>IFERROR(__xludf.DUMMYFUNCTION("""COMPUTED_VALUE"""),TRUE)</f>
        <v>1</v>
      </c>
      <c r="Q1736" s="20">
        <f>IFERROR(__xludf.DUMMYFUNCTION("""COMPUTED_VALUE"""),45050.69115269676)</f>
        <v>45050.69115</v>
      </c>
      <c r="R1736" s="22" t="str">
        <f>IFERROR(__xludf.DUMMYFUNCTION("""COMPUTED_VALUE"""),"")</f>
        <v/>
      </c>
    </row>
    <row r="1737">
      <c r="A1737" s="15">
        <f>IFERROR(__xludf.DUMMYFUNCTION("""COMPUTED_VALUE"""),45050.0)</f>
        <v>45050</v>
      </c>
      <c r="B1737" s="16" t="str">
        <f>IFERROR(__xludf.DUMMYFUNCTION("""COMPUTED_VALUE"""),"Johan Alexander Escobar Arroyo ")</f>
        <v>Johan Alexander Escobar Arroyo </v>
      </c>
      <c r="C1737" s="15" t="str">
        <f>IFERROR(__xludf.DUMMYFUNCTION("""COMPUTED_VALUE"""),"CALI")</f>
        <v>CALI</v>
      </c>
      <c r="D1737" s="15" t="str">
        <f>IFERROR(__xludf.DUMMYFUNCTION("""COMPUTED_VALUE"""),"MEDELLÍN")</f>
        <v>MEDELLÍN</v>
      </c>
      <c r="E1737" s="15" t="str">
        <f>IFERROR(__xludf.DUMMYFUNCTION("""COMPUTED_VALUE"""),"Baby Chef")</f>
        <v>Baby Chef</v>
      </c>
      <c r="F1737" s="17" t="str">
        <f>IFERROR(__xludf.DUMMYFUNCTION("""COMPUTED_VALUE"""),"carrera 79b # 9-18 / Torres de montealto 803D / Barrio capri")</f>
        <v>carrera 79b # 9-18 / Torres de montealto 803D / Barrio capri</v>
      </c>
      <c r="G1737" s="15" t="str">
        <f>IFERROR(__xludf.DUMMYFUNCTION("""COMPUTED_VALUE"""),"Juanita Mena")</f>
        <v>Juanita Mena</v>
      </c>
      <c r="H1737" s="16">
        <f>IFERROR(__xludf.DUMMYFUNCTION("""COMPUTED_VALUE"""),10350.0)</f>
        <v>10350</v>
      </c>
      <c r="I1737" s="18">
        <f>IFERROR(__xludf.DUMMYFUNCTION("""COMPUTED_VALUE"""),8.0)</f>
        <v>8</v>
      </c>
      <c r="J1737" s="18">
        <f>IFERROR(__xludf.DUMMYFUNCTION("""COMPUTED_VALUE"""),16.0)</f>
        <v>16</v>
      </c>
      <c r="K1737" s="18">
        <f>IFERROR(__xludf.DUMMYFUNCTION("""COMPUTED_VALUE"""),20.0)</f>
        <v>20</v>
      </c>
      <c r="L1737" s="17">
        <f>IFERROR(__xludf.DUMMYFUNCTION("""COMPUTED_VALUE"""),3.012338773E9)</f>
        <v>3012338773</v>
      </c>
      <c r="M1737" s="17" t="str">
        <f>IFERROR(__xludf.DUMMYFUNCTION("""COMPUTED_VALUE"""),"#REF!")</f>
        <v>#REF!</v>
      </c>
      <c r="N1737" s="17"/>
      <c r="O1737" s="17"/>
      <c r="P1737" s="17" t="b">
        <f>IFERROR(__xludf.DUMMYFUNCTION("""COMPUTED_VALUE"""),FALSE)</f>
        <v>0</v>
      </c>
      <c r="Q1737" s="20" t="str">
        <f>IFERROR(__xludf.DUMMYFUNCTION("""COMPUTED_VALUE"""),"")</f>
        <v/>
      </c>
      <c r="R1737" s="22" t="str">
        <f>IFERROR(__xludf.DUMMYFUNCTION("""COMPUTED_VALUE"""),"")</f>
        <v/>
      </c>
    </row>
    <row r="1738">
      <c r="A1738" s="15">
        <f>IFERROR(__xludf.DUMMYFUNCTION("""COMPUTED_VALUE"""),45050.0)</f>
        <v>45050</v>
      </c>
      <c r="B1738" s="16" t="str">
        <f>IFERROR(__xludf.DUMMYFUNCTION("""COMPUTED_VALUE"""),"Johan Alexander Escobar Arroyo ")</f>
        <v>Johan Alexander Escobar Arroyo </v>
      </c>
      <c r="C1738" s="15" t="str">
        <f>IFERROR(__xludf.DUMMYFUNCTION("""COMPUTED_VALUE"""),"CALI")</f>
        <v>CALI</v>
      </c>
      <c r="D1738" s="15" t="str">
        <f>IFERROR(__xludf.DUMMYFUNCTION("""COMPUTED_VALUE"""),"MEDELLÍN")</f>
        <v>MEDELLÍN</v>
      </c>
      <c r="E1738" s="15" t="str">
        <f>IFERROR(__xludf.DUMMYFUNCTION("""COMPUTED_VALUE"""),"JD Bufala")</f>
        <v>JD Bufala</v>
      </c>
      <c r="F1738" s="17" t="str">
        <f>IFERROR(__xludf.DUMMYFUNCTION("""COMPUTED_VALUE"""),"Calle 51 norte #4bn72 / Delhuertopizzeria  / La Flora")</f>
        <v>Calle 51 norte #4bn72 / Delhuertopizzeria  / La Flora</v>
      </c>
      <c r="G1738" s="15" t="str">
        <f>IFERROR(__xludf.DUMMYFUNCTION("""COMPUTED_VALUE"""),"Javier Rodríguez")</f>
        <v>Javier Rodríguez</v>
      </c>
      <c r="H1738" s="16">
        <f>IFERROR(__xludf.DUMMYFUNCTION("""COMPUTED_VALUE"""),10297.0)</f>
        <v>10297</v>
      </c>
      <c r="I1738" s="18">
        <f>IFERROR(__xludf.DUMMYFUNCTION("""COMPUTED_VALUE"""),45066.0)</f>
        <v>45066</v>
      </c>
      <c r="J1738" s="18">
        <f>IFERROR(__xludf.DUMMYFUNCTION("""COMPUTED_VALUE"""),28.0)</f>
        <v>28</v>
      </c>
      <c r="K1738" s="18">
        <f>IFERROR(__xludf.DUMMYFUNCTION("""COMPUTED_VALUE"""),40.0)</f>
        <v>40</v>
      </c>
      <c r="L1738" s="17">
        <f>IFERROR(__xludf.DUMMYFUNCTION("""COMPUTED_VALUE"""),3.104919761E9)</f>
        <v>3104919761</v>
      </c>
      <c r="M1738" s="17" t="str">
        <f>IFERROR(__xludf.DUMMYFUNCTION("""COMPUTED_VALUE"""),"#REF!")</f>
        <v>#REF!</v>
      </c>
      <c r="N1738" s="17"/>
      <c r="O1738" s="17"/>
      <c r="P1738" s="17" t="b">
        <f>IFERROR(__xludf.DUMMYFUNCTION("""COMPUTED_VALUE"""),FALSE)</f>
        <v>0</v>
      </c>
      <c r="Q1738" s="20" t="str">
        <f>IFERROR(__xludf.DUMMYFUNCTION("""COMPUTED_VALUE"""),"")</f>
        <v/>
      </c>
      <c r="R1738" s="22" t="str">
        <f>IFERROR(__xludf.DUMMYFUNCTION("""COMPUTED_VALUE"""),"")</f>
        <v/>
      </c>
    </row>
    <row r="1739">
      <c r="A1739" s="15">
        <f>IFERROR(__xludf.DUMMYFUNCTION("""COMPUTED_VALUE"""),45050.0)</f>
        <v>45050</v>
      </c>
      <c r="B1739" s="16" t="str">
        <f>IFERROR(__xludf.DUMMYFUNCTION("""COMPUTED_VALUE"""),"Johan Alexander Escobar Arroyo ")</f>
        <v>Johan Alexander Escobar Arroyo </v>
      </c>
      <c r="C1739" s="15" t="str">
        <f>IFERROR(__xludf.DUMMYFUNCTION("""COMPUTED_VALUE"""),"CALI")</f>
        <v>CALI</v>
      </c>
      <c r="D1739" s="15" t="str">
        <f>IFERROR(__xludf.DUMMYFUNCTION("""COMPUTED_VALUE"""),"MEDELLÍN")</f>
        <v>MEDELLÍN</v>
      </c>
      <c r="E1739" s="15" t="str">
        <f>IFERROR(__xludf.DUMMYFUNCTION("""COMPUTED_VALUE"""),"Moloso S.A.S")</f>
        <v>Moloso S.A.S</v>
      </c>
      <c r="F1739" s="17" t="str">
        <f>IFERROR(__xludf.DUMMYFUNCTION("""COMPUTED_VALUE"""),"CR 12 50 07 / CASA P 2")</f>
        <v>CR 12 50 07 / CASA P 2</v>
      </c>
      <c r="G1739" s="15" t="str">
        <f>IFERROR(__xludf.DUMMYFUNCTION("""COMPUTED_VALUE"""),"NATALIA GONZALEZ VASQUEZ")</f>
        <v>NATALIA GONZALEZ VASQUEZ</v>
      </c>
      <c r="H1739" s="16">
        <f>IFERROR(__xludf.DUMMYFUNCTION("""COMPUTED_VALUE"""),10338.0)</f>
        <v>10338</v>
      </c>
      <c r="I1739" s="18">
        <f>IFERROR(__xludf.DUMMYFUNCTION("""COMPUTED_VALUE"""),17.0)</f>
        <v>17</v>
      </c>
      <c r="J1739" s="18">
        <f>IFERROR(__xludf.DUMMYFUNCTION("""COMPUTED_VALUE"""),15.0)</f>
        <v>15</v>
      </c>
      <c r="K1739" s="18">
        <f>IFERROR(__xludf.DUMMYFUNCTION("""COMPUTED_VALUE"""),28.0)</f>
        <v>28</v>
      </c>
      <c r="L1739" s="17" t="str">
        <f>IFERROR(__xludf.DUMMYFUNCTION("""COMPUTED_VALUE"""),"312 8814825")</f>
        <v>312 8814825</v>
      </c>
      <c r="M1739" s="17" t="str">
        <f>IFERROR(__xludf.DUMMYFUNCTION("""COMPUTED_VALUE"""),"#REF!")</f>
        <v>#REF!</v>
      </c>
      <c r="N1739" s="17"/>
      <c r="O1739" s="17"/>
      <c r="P1739" s="17" t="b">
        <f>IFERROR(__xludf.DUMMYFUNCTION("""COMPUTED_VALUE"""),FALSE)</f>
        <v>0</v>
      </c>
      <c r="Q1739" s="20" t="str">
        <f>IFERROR(__xludf.DUMMYFUNCTION("""COMPUTED_VALUE"""),"")</f>
        <v/>
      </c>
      <c r="R1739" s="22" t="str">
        <f>IFERROR(__xludf.DUMMYFUNCTION("""COMPUTED_VALUE"""),"")</f>
        <v/>
      </c>
    </row>
    <row r="1740">
      <c r="A1740" s="15">
        <f>IFERROR(__xludf.DUMMYFUNCTION("""COMPUTED_VALUE"""),45050.0)</f>
        <v>45050</v>
      </c>
      <c r="B1740" s="16" t="str">
        <f>IFERROR(__xludf.DUMMYFUNCTION("""COMPUTED_VALUE"""),"Johan Alexander Escobar Arroyo ")</f>
        <v>Johan Alexander Escobar Arroyo </v>
      </c>
      <c r="C1740" s="15" t="str">
        <f>IFERROR(__xludf.DUMMYFUNCTION("""COMPUTED_VALUE"""),"IBAGUÉ")</f>
        <v>IBAGUÉ</v>
      </c>
      <c r="D1740" s="15" t="str">
        <f>IFERROR(__xludf.DUMMYFUNCTION("""COMPUTED_VALUE"""),"MANIZALES")</f>
        <v>MANIZALES</v>
      </c>
      <c r="E1740" s="15" t="str">
        <f>IFERROR(__xludf.DUMMYFUNCTION("""COMPUTED_VALUE"""),"Congelados Típicos")</f>
        <v>Congelados Típicos</v>
      </c>
      <c r="F1740" s="17" t="str">
        <f>IFERROR(__xludf.DUMMYFUNCTION("""COMPUTED_VALUE"""),"Carrera 16 sur no. 96-48 b  Oficinas mercacentro  Barrio el poblado  / Supermercado mercacentro - oficinas  / El poblado")</f>
        <v>Carrera 16 sur no. 96-48 b  Oficinas mercacentro  Barrio el poblado  / Supermercado mercacentro - oficinas  / El poblado</v>
      </c>
      <c r="G1740" s="15" t="str">
        <f>IFERROR(__xludf.DUMMYFUNCTION("""COMPUTED_VALUE"""),"Luz marina Alvarado")</f>
        <v>Luz marina Alvarado</v>
      </c>
      <c r="H1740" s="16">
        <f>IFERROR(__xludf.DUMMYFUNCTION("""COMPUTED_VALUE"""),10330.0)</f>
        <v>10330</v>
      </c>
      <c r="I1740" s="18">
        <f>IFERROR(__xludf.DUMMYFUNCTION("""COMPUTED_VALUE"""),21.0)</f>
        <v>21</v>
      </c>
      <c r="J1740" s="18">
        <f>IFERROR(__xludf.DUMMYFUNCTION("""COMPUTED_VALUE"""),50.0)</f>
        <v>50</v>
      </c>
      <c r="K1740" s="18">
        <f>IFERROR(__xludf.DUMMYFUNCTION("""COMPUTED_VALUE"""),30.0)</f>
        <v>30</v>
      </c>
      <c r="L1740" s="17">
        <f>IFERROR(__xludf.DUMMYFUNCTION("""COMPUTED_VALUE"""),3.108121368E9)</f>
        <v>3108121368</v>
      </c>
      <c r="M1740" s="17" t="str">
        <f>IFERROR(__xludf.DUMMYFUNCTION("""COMPUTED_VALUE"""),"#REF!")</f>
        <v>#REF!</v>
      </c>
      <c r="N1740" s="17"/>
      <c r="O1740" s="17"/>
      <c r="P1740" s="17" t="b">
        <f>IFERROR(__xludf.DUMMYFUNCTION("""COMPUTED_VALUE"""),FALSE)</f>
        <v>0</v>
      </c>
      <c r="Q1740" s="20" t="str">
        <f>IFERROR(__xludf.DUMMYFUNCTION("""COMPUTED_VALUE"""),"")</f>
        <v/>
      </c>
      <c r="R1740" s="22" t="str">
        <f>IFERROR(__xludf.DUMMYFUNCTION("""COMPUTED_VALUE"""),"")</f>
        <v/>
      </c>
    </row>
    <row r="1741">
      <c r="A1741" s="15">
        <f>IFERROR(__xludf.DUMMYFUNCTION("""COMPUTED_VALUE"""),45050.0)</f>
        <v>45050</v>
      </c>
      <c r="B1741" s="16" t="str">
        <f>IFERROR(__xludf.DUMMYFUNCTION("""COMPUTED_VALUE"""),"Johan Alexander Escobar Arroyo ")</f>
        <v>Johan Alexander Escobar Arroyo </v>
      </c>
      <c r="C1741" s="15" t="str">
        <f>IFERROR(__xludf.DUMMYFUNCTION("""COMPUTED_VALUE"""),"SINCELEJO")</f>
        <v>SINCELEJO</v>
      </c>
      <c r="D1741" s="15" t="str">
        <f>IFERROR(__xludf.DUMMYFUNCTION("""COMPUTED_VALUE"""),"BOGOTÁ")</f>
        <v>BOGOTÁ</v>
      </c>
      <c r="E1741" s="15" t="str">
        <f>IFERROR(__xludf.DUMMYFUNCTION("""COMPUTED_VALUE"""),"Pan de Waffle")</f>
        <v>Pan de Waffle</v>
      </c>
      <c r="F1741" s="17" t="str">
        <f>IFERROR(__xludf.DUMMYFUNCTION("""COMPUTED_VALUE"""),"Calle 25a # 36a - 148 Esquina Piso 1  / Calle 25a # 36a - 148 Esquina Piso 1  / Calle 25a # 36a - 148 Esquina Piso 1")</f>
        <v>Calle 25a # 36a - 148 Esquina Piso 1  / Calle 25a # 36a - 148 Esquina Piso 1  / Calle 25a # 36a - 148 Esquina Piso 1</v>
      </c>
      <c r="G1741" s="15" t="str">
        <f>IFERROR(__xludf.DUMMYFUNCTION("""COMPUTED_VALUE"""),"Sana Ricura Fitness Food")</f>
        <v>Sana Ricura Fitness Food</v>
      </c>
      <c r="H1741" s="16">
        <f>IFERROR(__xludf.DUMMYFUNCTION("""COMPUTED_VALUE"""),10296.0)</f>
        <v>10296</v>
      </c>
      <c r="I1741" s="18">
        <f>IFERROR(__xludf.DUMMYFUNCTION("""COMPUTED_VALUE"""),20.0)</f>
        <v>20</v>
      </c>
      <c r="J1741" s="18">
        <f>IFERROR(__xludf.DUMMYFUNCTION("""COMPUTED_VALUE"""),40.0)</f>
        <v>40</v>
      </c>
      <c r="K1741" s="18">
        <f>IFERROR(__xludf.DUMMYFUNCTION("""COMPUTED_VALUE"""),30.0)</f>
        <v>30</v>
      </c>
      <c r="L1741" s="17">
        <f>IFERROR(__xludf.DUMMYFUNCTION("""COMPUTED_VALUE"""),3.20865425E9)</f>
        <v>3208654250</v>
      </c>
      <c r="M1741" s="17" t="str">
        <f>IFERROR(__xludf.DUMMYFUNCTION("""COMPUTED_VALUE"""),"#REF!")</f>
        <v>#REF!</v>
      </c>
      <c r="N1741" s="17"/>
      <c r="O1741" s="17"/>
      <c r="P1741" s="17" t="b">
        <f>IFERROR(__xludf.DUMMYFUNCTION("""COMPUTED_VALUE"""),FALSE)</f>
        <v>0</v>
      </c>
      <c r="Q1741" s="20" t="str">
        <f>IFERROR(__xludf.DUMMYFUNCTION("""COMPUTED_VALUE"""),"")</f>
        <v/>
      </c>
      <c r="R1741" s="22" t="str">
        <f>IFERROR(__xludf.DUMMYFUNCTION("""COMPUTED_VALUE"""),"")</f>
        <v/>
      </c>
    </row>
    <row r="1742">
      <c r="A1742" s="17" t="str">
        <f>IFERROR(__xludf.DUMMYFUNCTION("""COMPUTED_VALUE"""),"")</f>
        <v/>
      </c>
      <c r="B1742" s="17" t="str">
        <f>IFERROR(__xludf.DUMMYFUNCTION("""COMPUTED_VALUE"""),"")</f>
        <v/>
      </c>
      <c r="C1742" s="17" t="str">
        <f>IFERROR(__xludf.DUMMYFUNCTION("""COMPUTED_VALUE"""),"")</f>
        <v/>
      </c>
      <c r="D1742" s="17" t="str">
        <f>IFERROR(__xludf.DUMMYFUNCTION("""COMPUTED_VALUE"""),"")</f>
        <v/>
      </c>
      <c r="E1742" s="17" t="str">
        <f>IFERROR(__xludf.DUMMYFUNCTION("""COMPUTED_VALUE"""),"")</f>
        <v/>
      </c>
      <c r="F1742" s="17" t="str">
        <f>IFERROR(__xludf.DUMMYFUNCTION("""COMPUTED_VALUE"""),"")</f>
        <v/>
      </c>
      <c r="G1742" s="17" t="str">
        <f>IFERROR(__xludf.DUMMYFUNCTION("""COMPUTED_VALUE"""),"")</f>
        <v/>
      </c>
      <c r="H1742" s="17" t="str">
        <f>IFERROR(__xludf.DUMMYFUNCTION("""COMPUTED_VALUE"""),"")</f>
        <v/>
      </c>
      <c r="I1742" s="17" t="str">
        <f>IFERROR(__xludf.DUMMYFUNCTION("""COMPUTED_VALUE"""),"")</f>
        <v/>
      </c>
      <c r="J1742" s="17" t="str">
        <f>IFERROR(__xludf.DUMMYFUNCTION("""COMPUTED_VALUE"""),"")</f>
        <v/>
      </c>
      <c r="K1742" s="17" t="str">
        <f>IFERROR(__xludf.DUMMYFUNCTION("""COMPUTED_VALUE"""),"")</f>
        <v/>
      </c>
      <c r="L1742" s="17" t="str">
        <f>IFERROR(__xludf.DUMMYFUNCTION("""COMPUTED_VALUE"""),"")</f>
        <v/>
      </c>
      <c r="M1742" s="17" t="str">
        <f>IFERROR(__xludf.DUMMYFUNCTION("""COMPUTED_VALUE"""),"")</f>
        <v/>
      </c>
      <c r="N1742" s="17" t="str">
        <f>IFERROR(__xludf.DUMMYFUNCTION("""COMPUTED_VALUE"""),"")</f>
        <v/>
      </c>
      <c r="O1742" s="17" t="str">
        <f>IFERROR(__xludf.DUMMYFUNCTION("""COMPUTED_VALUE"""),"")</f>
        <v/>
      </c>
      <c r="P1742" s="17" t="str">
        <f>IFERROR(__xludf.DUMMYFUNCTION("""COMPUTED_VALUE"""),"")</f>
        <v/>
      </c>
      <c r="Q1742" s="17" t="str">
        <f>IFERROR(__xludf.DUMMYFUNCTION("""COMPUTED_VALUE"""),"")</f>
        <v/>
      </c>
      <c r="R1742" s="17" t="str">
        <f>IFERROR(__xludf.DUMMYFUNCTION("""COMPUTED_VALUE"""),"")</f>
        <v/>
      </c>
    </row>
    <row r="1743">
      <c r="A1743" s="15">
        <f>IFERROR(__xludf.DUMMYFUNCTION("""COMPUTED_VALUE"""),45050.0)</f>
        <v>45050</v>
      </c>
      <c r="B1743" s="16" t="str">
        <f>IFERROR(__xludf.DUMMYFUNCTION("""COMPUTED_VALUE"""),"Jonathan Steven Taborda")</f>
        <v>Jonathan Steven Taborda</v>
      </c>
      <c r="C1743" s="15" t="str">
        <f>IFERROR(__xludf.DUMMYFUNCTION("""COMPUTED_VALUE"""),"CÚCUTA")</f>
        <v>CÚCUTA</v>
      </c>
      <c r="D1743" s="15" t="str">
        <f>IFERROR(__xludf.DUMMYFUNCTION("""COMPUTED_VALUE"""),"MEDELLÍN")</f>
        <v>MEDELLÍN</v>
      </c>
      <c r="E1743" s="15" t="str">
        <f>IFERROR(__xludf.DUMMYFUNCTION("""COMPUTED_VALUE"""),"Momo Tea S.A.S Gabriel Echavarría")</f>
        <v>Momo Tea S.A.S Gabriel Echavarría</v>
      </c>
      <c r="F1743" s="17" t="str">
        <f>IFERROR(__xludf.DUMMYFUNCTION("""COMPUTED_VALUE"""),"CL 11 N 16 E 35 / CA B 1")</f>
        <v>CL 11 N 16 E 35 / CA B 1</v>
      </c>
      <c r="G1743" s="15" t="str">
        <f>IFERROR(__xludf.DUMMYFUNCTION("""COMPUTED_VALUE"""),"Gabriel Echavarría")</f>
        <v>Gabriel Echavarría</v>
      </c>
      <c r="H1743" s="16">
        <f>IFERROR(__xludf.DUMMYFUNCTION("""COMPUTED_VALUE"""),10307.0)</f>
        <v>10307</v>
      </c>
      <c r="I1743" s="18">
        <f>IFERROR(__xludf.DUMMYFUNCTION("""COMPUTED_VALUE"""),17.0)</f>
        <v>17</v>
      </c>
      <c r="J1743" s="18">
        <f>IFERROR(__xludf.DUMMYFUNCTION("""COMPUTED_VALUE"""),17.0)</f>
        <v>17</v>
      </c>
      <c r="K1743" s="18">
        <f>IFERROR(__xludf.DUMMYFUNCTION("""COMPUTED_VALUE"""),23.0)</f>
        <v>23</v>
      </c>
      <c r="L1743" s="17">
        <f>IFERROR(__xludf.DUMMYFUNCTION("""COMPUTED_VALUE"""),3.017909548E9)</f>
        <v>3017909548</v>
      </c>
      <c r="M1743" s="17" t="str">
        <f>IFERROR(__xludf.DUMMYFUNCTION("""COMPUTED_VALUE"""),"#REF!")</f>
        <v>#REF!</v>
      </c>
      <c r="N1743" s="17"/>
      <c r="O1743" s="17"/>
      <c r="P1743" s="17" t="b">
        <f>IFERROR(__xludf.DUMMYFUNCTION("""COMPUTED_VALUE"""),FALSE)</f>
        <v>0</v>
      </c>
      <c r="Q1743" s="20" t="str">
        <f>IFERROR(__xludf.DUMMYFUNCTION("""COMPUTED_VALUE"""),"")</f>
        <v/>
      </c>
      <c r="R1743" s="22" t="str">
        <f>IFERROR(__xludf.DUMMYFUNCTION("""COMPUTED_VALUE"""),"")</f>
        <v/>
      </c>
    </row>
    <row r="1744">
      <c r="A1744" s="15">
        <f>IFERROR(__xludf.DUMMYFUNCTION("""COMPUTED_VALUE"""),45050.0)</f>
        <v>45050</v>
      </c>
      <c r="B1744" s="16" t="str">
        <f>IFERROR(__xludf.DUMMYFUNCTION("""COMPUTED_VALUE"""),"Jonathan Steven Taborda")</f>
        <v>Jonathan Steven Taborda</v>
      </c>
      <c r="C1744" s="15" t="str">
        <f>IFERROR(__xludf.DUMMYFUNCTION("""COMPUTED_VALUE"""),"CÚCUTA")</f>
        <v>CÚCUTA</v>
      </c>
      <c r="D1744" s="15" t="str">
        <f>IFERROR(__xludf.DUMMYFUNCTION("""COMPUTED_VALUE"""),"MEDELLÍN")</f>
        <v>MEDELLÍN</v>
      </c>
      <c r="E1744" s="15" t="str">
        <f>IFERROR(__xludf.DUMMYFUNCTION("""COMPUTED_VALUE"""),"Momo Tea S.A.S Gabriel Echavarría")</f>
        <v>Momo Tea S.A.S Gabriel Echavarría</v>
      </c>
      <c r="F1744" s="17" t="str">
        <f>IFERROR(__xludf.DUMMYFUNCTION("""COMPUTED_VALUE"""),"CL 11 N 16 E 35 / CA B 1")</f>
        <v>CL 11 N 16 E 35 / CA B 1</v>
      </c>
      <c r="G1744" s="15" t="str">
        <f>IFERROR(__xludf.DUMMYFUNCTION("""COMPUTED_VALUE"""),"Gabriel Echavarría")</f>
        <v>Gabriel Echavarría</v>
      </c>
      <c r="H1744" s="16">
        <f>IFERROR(__xludf.DUMMYFUNCTION("""COMPUTED_VALUE"""),10308.0)</f>
        <v>10308</v>
      </c>
      <c r="I1744" s="18">
        <f>IFERROR(__xludf.DUMMYFUNCTION("""COMPUTED_VALUE"""),17.0)</f>
        <v>17</v>
      </c>
      <c r="J1744" s="18">
        <f>IFERROR(__xludf.DUMMYFUNCTION("""COMPUTED_VALUE"""),13.0)</f>
        <v>13</v>
      </c>
      <c r="K1744" s="18">
        <f>IFERROR(__xludf.DUMMYFUNCTION("""COMPUTED_VALUE"""),20.0)</f>
        <v>20</v>
      </c>
      <c r="L1744" s="17">
        <f>IFERROR(__xludf.DUMMYFUNCTION("""COMPUTED_VALUE"""),3.017909548E9)</f>
        <v>3017909548</v>
      </c>
      <c r="M1744" s="17" t="str">
        <f>IFERROR(__xludf.DUMMYFUNCTION("""COMPUTED_VALUE"""),"#REF!")</f>
        <v>#REF!</v>
      </c>
      <c r="N1744" s="17"/>
      <c r="O1744" s="17"/>
      <c r="P1744" s="17" t="b">
        <f>IFERROR(__xludf.DUMMYFUNCTION("""COMPUTED_VALUE"""),FALSE)</f>
        <v>0</v>
      </c>
      <c r="Q1744" s="20" t="str">
        <f>IFERROR(__xludf.DUMMYFUNCTION("""COMPUTED_VALUE"""),"")</f>
        <v/>
      </c>
      <c r="R1744" s="22" t="str">
        <f>IFERROR(__xludf.DUMMYFUNCTION("""COMPUTED_VALUE"""),"")</f>
        <v/>
      </c>
    </row>
    <row r="1745">
      <c r="A1745" s="17" t="str">
        <f>IFERROR(__xludf.DUMMYFUNCTION("""COMPUTED_VALUE"""),"")</f>
        <v/>
      </c>
      <c r="B1745" s="17" t="str">
        <f>IFERROR(__xludf.DUMMYFUNCTION("""COMPUTED_VALUE"""),"")</f>
        <v/>
      </c>
      <c r="C1745" s="17" t="str">
        <f>IFERROR(__xludf.DUMMYFUNCTION("""COMPUTED_VALUE"""),"")</f>
        <v/>
      </c>
      <c r="D1745" s="17" t="str">
        <f>IFERROR(__xludf.DUMMYFUNCTION("""COMPUTED_VALUE"""),"")</f>
        <v/>
      </c>
      <c r="E1745" s="17" t="str">
        <f>IFERROR(__xludf.DUMMYFUNCTION("""COMPUTED_VALUE"""),"")</f>
        <v/>
      </c>
      <c r="F1745" s="17" t="str">
        <f>IFERROR(__xludf.DUMMYFUNCTION("""COMPUTED_VALUE"""),"")</f>
        <v/>
      </c>
      <c r="G1745" s="17" t="str">
        <f>IFERROR(__xludf.DUMMYFUNCTION("""COMPUTED_VALUE"""),"")</f>
        <v/>
      </c>
      <c r="H1745" s="17" t="str">
        <f>IFERROR(__xludf.DUMMYFUNCTION("""COMPUTED_VALUE"""),"")</f>
        <v/>
      </c>
      <c r="I1745" s="17" t="str">
        <f>IFERROR(__xludf.DUMMYFUNCTION("""COMPUTED_VALUE"""),"")</f>
        <v/>
      </c>
      <c r="J1745" s="17" t="str">
        <f>IFERROR(__xludf.DUMMYFUNCTION("""COMPUTED_VALUE"""),"")</f>
        <v/>
      </c>
      <c r="K1745" s="17" t="str">
        <f>IFERROR(__xludf.DUMMYFUNCTION("""COMPUTED_VALUE"""),"")</f>
        <v/>
      </c>
      <c r="L1745" s="17" t="str">
        <f>IFERROR(__xludf.DUMMYFUNCTION("""COMPUTED_VALUE"""),"")</f>
        <v/>
      </c>
      <c r="M1745" s="17" t="str">
        <f>IFERROR(__xludf.DUMMYFUNCTION("""COMPUTED_VALUE"""),"")</f>
        <v/>
      </c>
      <c r="N1745" s="17" t="str">
        <f>IFERROR(__xludf.DUMMYFUNCTION("""COMPUTED_VALUE"""),"")</f>
        <v/>
      </c>
      <c r="O1745" s="17" t="str">
        <f>IFERROR(__xludf.DUMMYFUNCTION("""COMPUTED_VALUE"""),"")</f>
        <v/>
      </c>
      <c r="P1745" s="17" t="str">
        <f>IFERROR(__xludf.DUMMYFUNCTION("""COMPUTED_VALUE"""),"")</f>
        <v/>
      </c>
      <c r="Q1745" s="17" t="str">
        <f>IFERROR(__xludf.DUMMYFUNCTION("""COMPUTED_VALUE"""),"")</f>
        <v/>
      </c>
      <c r="R1745" s="17" t="str">
        <f>IFERROR(__xludf.DUMMYFUNCTION("""COMPUTED_VALUE"""),"")</f>
        <v/>
      </c>
    </row>
    <row r="1746">
      <c r="A1746" s="15">
        <f>IFERROR(__xludf.DUMMYFUNCTION("""COMPUTED_VALUE"""),45051.0)</f>
        <v>45051</v>
      </c>
      <c r="B1746" s="17"/>
      <c r="C1746" s="15" t="str">
        <f>IFERROR(__xludf.DUMMYFUNCTION("""COMPUTED_VALUE"""),"VILLAVICENCIO")</f>
        <v>VILLAVICENCIO</v>
      </c>
      <c r="D1746" s="15" t="str">
        <f>IFERROR(__xludf.DUMMYFUNCTION("""COMPUTED_VALUE"""),"BOGOTÁ")</f>
        <v>BOGOTÁ</v>
      </c>
      <c r="E1746" s="15" t="str">
        <f>IFERROR(__xludf.DUMMYFUNCTION("""COMPUTED_VALUE"""),"Lunchy Kids")</f>
        <v>Lunchy Kids</v>
      </c>
      <c r="F1746" s="17" t="str">
        <f>IFERROR(__xludf.DUMMYFUNCTION("""COMPUTED_VALUE"""),"Carrera 26A #4D-68  / Casa / BARRIO LA ALBORADA")</f>
        <v>Carrera 26A #4D-68  / Casa / BARRIO LA ALBORADA</v>
      </c>
      <c r="G1746" s="15" t="str">
        <f>IFERROR(__xludf.DUMMYFUNCTION("""COMPUTED_VALUE"""),"Diana Franco Mora")</f>
        <v>Diana Franco Mora</v>
      </c>
      <c r="H1746" s="16">
        <f>IFERROR(__xludf.DUMMYFUNCTION("""COMPUTED_VALUE"""),10255.0)</f>
        <v>10255</v>
      </c>
      <c r="I1746" s="18">
        <f>IFERROR(__xludf.DUMMYFUNCTION("""COMPUTED_VALUE"""),10.0)</f>
        <v>10</v>
      </c>
      <c r="J1746" s="18">
        <f>IFERROR(__xludf.DUMMYFUNCTION("""COMPUTED_VALUE"""),10.0)</f>
        <v>10</v>
      </c>
      <c r="K1746" s="18">
        <f>IFERROR(__xludf.DUMMYFUNCTION("""COMPUTED_VALUE"""),25.0)</f>
        <v>25</v>
      </c>
      <c r="L1746" s="17">
        <f>IFERROR(__xludf.DUMMYFUNCTION("""COMPUTED_VALUE"""),3.156028131E9)</f>
        <v>3156028131</v>
      </c>
      <c r="M1746" s="17" t="str">
        <f>IFERROR(__xludf.DUMMYFUNCTION("""COMPUTED_VALUE"""),"#REF!")</f>
        <v>#REF!</v>
      </c>
      <c r="N1746" s="17"/>
      <c r="O1746" s="17"/>
      <c r="P1746" s="17" t="b">
        <f>IFERROR(__xludf.DUMMYFUNCTION("""COMPUTED_VALUE"""),FALSE)</f>
        <v>0</v>
      </c>
      <c r="Q1746" s="20" t="str">
        <f>IFERROR(__xludf.DUMMYFUNCTION("""COMPUTED_VALUE"""),"")</f>
        <v/>
      </c>
      <c r="R1746" s="22" t="str">
        <f>IFERROR(__xludf.DUMMYFUNCTION("""COMPUTED_VALUE"""),"")</f>
        <v/>
      </c>
    </row>
    <row r="1747">
      <c r="A1747" s="17" t="str">
        <f>IFERROR(__xludf.DUMMYFUNCTION("""COMPUTED_VALUE"""),"")</f>
        <v/>
      </c>
      <c r="B1747" s="17" t="str">
        <f>IFERROR(__xludf.DUMMYFUNCTION("""COMPUTED_VALUE"""),"")</f>
        <v/>
      </c>
      <c r="C1747" s="17" t="str">
        <f>IFERROR(__xludf.DUMMYFUNCTION("""COMPUTED_VALUE"""),"")</f>
        <v/>
      </c>
      <c r="D1747" s="17" t="str">
        <f>IFERROR(__xludf.DUMMYFUNCTION("""COMPUTED_VALUE"""),"")</f>
        <v/>
      </c>
      <c r="E1747" s="17" t="str">
        <f>IFERROR(__xludf.DUMMYFUNCTION("""COMPUTED_VALUE"""),"")</f>
        <v/>
      </c>
      <c r="F1747" s="17" t="str">
        <f>IFERROR(__xludf.DUMMYFUNCTION("""COMPUTED_VALUE"""),"")</f>
        <v/>
      </c>
      <c r="G1747" s="17" t="str">
        <f>IFERROR(__xludf.DUMMYFUNCTION("""COMPUTED_VALUE"""),"")</f>
        <v/>
      </c>
      <c r="H1747" s="17" t="str">
        <f>IFERROR(__xludf.DUMMYFUNCTION("""COMPUTED_VALUE"""),"")</f>
        <v/>
      </c>
      <c r="I1747" s="17" t="str">
        <f>IFERROR(__xludf.DUMMYFUNCTION("""COMPUTED_VALUE"""),"")</f>
        <v/>
      </c>
      <c r="J1747" s="17" t="str">
        <f>IFERROR(__xludf.DUMMYFUNCTION("""COMPUTED_VALUE"""),"")</f>
        <v/>
      </c>
      <c r="K1747" s="17" t="str">
        <f>IFERROR(__xludf.DUMMYFUNCTION("""COMPUTED_VALUE"""),"")</f>
        <v/>
      </c>
      <c r="L1747" s="17" t="str">
        <f>IFERROR(__xludf.DUMMYFUNCTION("""COMPUTED_VALUE"""),"")</f>
        <v/>
      </c>
      <c r="M1747" s="17" t="str">
        <f>IFERROR(__xludf.DUMMYFUNCTION("""COMPUTED_VALUE"""),"")</f>
        <v/>
      </c>
      <c r="N1747" s="17" t="str">
        <f>IFERROR(__xludf.DUMMYFUNCTION("""COMPUTED_VALUE"""),"")</f>
        <v/>
      </c>
      <c r="O1747" s="17" t="str">
        <f>IFERROR(__xludf.DUMMYFUNCTION("""COMPUTED_VALUE"""),"")</f>
        <v/>
      </c>
      <c r="P1747" s="17" t="str">
        <f>IFERROR(__xludf.DUMMYFUNCTION("""COMPUTED_VALUE"""),"")</f>
        <v/>
      </c>
      <c r="Q1747" s="17" t="str">
        <f>IFERROR(__xludf.DUMMYFUNCTION("""COMPUTED_VALUE"""),"")</f>
        <v/>
      </c>
      <c r="R1747" s="17" t="str">
        <f>IFERROR(__xludf.DUMMYFUNCTION("""COMPUTED_VALUE"""),"")</f>
        <v/>
      </c>
    </row>
    <row r="1748">
      <c r="A1748" s="15">
        <f>IFERROR(__xludf.DUMMYFUNCTION("""COMPUTED_VALUE"""),45051.0)</f>
        <v>45051</v>
      </c>
      <c r="B1748" s="16" t="str">
        <f>IFERROR(__xludf.DUMMYFUNCTION("""COMPUTED_VALUE"""),"Andres felipe maya bautista ")</f>
        <v>Andres felipe maya bautista </v>
      </c>
      <c r="C1748" s="15" t="str">
        <f>IFERROR(__xludf.DUMMYFUNCTION("""COMPUTED_VALUE"""),"BOGOTÁ")</f>
        <v>BOGOTÁ</v>
      </c>
      <c r="D1748" s="15" t="str">
        <f>IFERROR(__xludf.DUMMYFUNCTION("""COMPUTED_VALUE"""),"MEDELLÍN")</f>
        <v>MEDELLÍN</v>
      </c>
      <c r="E1748" s="15" t="str">
        <f>IFERROR(__xludf.DUMMYFUNCTION("""COMPUTED_VALUE"""),"AREPAS LA MARY")</f>
        <v>AREPAS LA MARY</v>
      </c>
      <c r="F1748" s="17" t="str">
        <f>IFERROR(__xludf.DUMMYFUNCTION("""COMPUTED_VALUE"""),"CRA 21 # 106 B-29 / ANCORA")</f>
        <v>CRA 21 # 106 B-29 / ANCORA</v>
      </c>
      <c r="G1748" s="15" t="str">
        <f>IFERROR(__xludf.DUMMYFUNCTION("""COMPUTED_VALUE"""),"JUAN CARLOS AMAYA")</f>
        <v>JUAN CARLOS AMAYA</v>
      </c>
      <c r="H1748" s="16">
        <f>IFERROR(__xludf.DUMMYFUNCTION("""COMPUTED_VALUE"""),10385.0)</f>
        <v>10385</v>
      </c>
      <c r="I1748" s="18">
        <f>IFERROR(__xludf.DUMMYFUNCTION("""COMPUTED_VALUE"""),89.0)</f>
        <v>89</v>
      </c>
      <c r="J1748" s="18">
        <f>IFERROR(__xludf.DUMMYFUNCTION("""COMPUTED_VALUE"""),1.0)</f>
        <v>1</v>
      </c>
      <c r="K1748" s="18">
        <f>IFERROR(__xludf.DUMMYFUNCTION("""COMPUTED_VALUE"""),10.0)</f>
        <v>10</v>
      </c>
      <c r="L1748" s="17">
        <f>IFERROR(__xludf.DUMMYFUNCTION("""COMPUTED_VALUE"""),3.174387238E9)</f>
        <v>3174387238</v>
      </c>
      <c r="M1748" s="17" t="str">
        <f>IFERROR(__xludf.DUMMYFUNCTION("""COMPUTED_VALUE"""),"#REF!")</f>
        <v>#REF!</v>
      </c>
      <c r="N1748" s="17"/>
      <c r="O1748" s="17"/>
      <c r="P1748" s="17" t="b">
        <f>IFERROR(__xludf.DUMMYFUNCTION("""COMPUTED_VALUE"""),FALSE)</f>
        <v>0</v>
      </c>
      <c r="Q1748" s="20" t="str">
        <f>IFERROR(__xludf.DUMMYFUNCTION("""COMPUTED_VALUE"""),"")</f>
        <v/>
      </c>
      <c r="R1748" s="22" t="str">
        <f>IFERROR(__xludf.DUMMYFUNCTION("""COMPUTED_VALUE"""),"")</f>
        <v/>
      </c>
    </row>
    <row r="1749">
      <c r="A1749" s="15">
        <f>IFERROR(__xludf.DUMMYFUNCTION("""COMPUTED_VALUE"""),45051.0)</f>
        <v>45051</v>
      </c>
      <c r="B1749" s="16" t="str">
        <f>IFERROR(__xludf.DUMMYFUNCTION("""COMPUTED_VALUE"""),"Andres felipe maya bautista ")</f>
        <v>Andres felipe maya bautista </v>
      </c>
      <c r="C1749" s="15" t="str">
        <f>IFERROR(__xludf.DUMMYFUNCTION("""COMPUTED_VALUE"""),"BOGOTÁ")</f>
        <v>BOGOTÁ</v>
      </c>
      <c r="D1749" s="15" t="str">
        <f>IFERROR(__xludf.DUMMYFUNCTION("""COMPUTED_VALUE"""),"MEDELLÍN")</f>
        <v>MEDELLÍN</v>
      </c>
      <c r="E1749" s="15" t="str">
        <f>IFERROR(__xludf.DUMMYFUNCTION("""COMPUTED_VALUE"""),"Magda")</f>
        <v>Magda</v>
      </c>
      <c r="F1749" s="17" t="str">
        <f>IFERROR(__xludf.DUMMYFUNCTION("""COMPUTED_VALUE"""),"Calle 71a # 14a22/26 / Cocinas ocultas / San felipe")</f>
        <v>Calle 71a # 14a22/26 / Cocinas ocultas / San felipe</v>
      </c>
      <c r="G1749" s="15" t="str">
        <f>IFERROR(__xludf.DUMMYFUNCTION("""COMPUTED_VALUE"""),"Andrez hernandez")</f>
        <v>Andrez hernandez</v>
      </c>
      <c r="H1749" s="16">
        <f>IFERROR(__xludf.DUMMYFUNCTION("""COMPUTED_VALUE"""),10368.0)</f>
        <v>10368</v>
      </c>
      <c r="I1749" s="18">
        <f>IFERROR(__xludf.DUMMYFUNCTION("""COMPUTED_VALUE"""),5.0)</f>
        <v>5</v>
      </c>
      <c r="J1749" s="18">
        <f>IFERROR(__xludf.DUMMYFUNCTION("""COMPUTED_VALUE"""),5.0)</f>
        <v>5</v>
      </c>
      <c r="K1749" s="18">
        <f>IFERROR(__xludf.DUMMYFUNCTION("""COMPUTED_VALUE"""),5.0)</f>
        <v>5</v>
      </c>
      <c r="L1749" s="17">
        <f>IFERROR(__xludf.DUMMYFUNCTION("""COMPUTED_VALUE"""),3.20414202E9)</f>
        <v>3204142020</v>
      </c>
      <c r="M1749" s="17" t="str">
        <f>IFERROR(__xludf.DUMMYFUNCTION("""COMPUTED_VALUE"""),"#REF!")</f>
        <v>#REF!</v>
      </c>
      <c r="N1749" s="17"/>
      <c r="O1749" s="17"/>
      <c r="P1749" s="17" t="b">
        <f>IFERROR(__xludf.DUMMYFUNCTION("""COMPUTED_VALUE"""),FALSE)</f>
        <v>0</v>
      </c>
      <c r="Q1749" s="20" t="str">
        <f>IFERROR(__xludf.DUMMYFUNCTION("""COMPUTED_VALUE"""),"")</f>
        <v/>
      </c>
      <c r="R1749" s="22" t="str">
        <f>IFERROR(__xludf.DUMMYFUNCTION("""COMPUTED_VALUE"""),"")</f>
        <v/>
      </c>
    </row>
    <row r="1750">
      <c r="A1750" s="15">
        <f>IFERROR(__xludf.DUMMYFUNCTION("""COMPUTED_VALUE"""),45051.0)</f>
        <v>45051</v>
      </c>
      <c r="B1750" s="16" t="str">
        <f>IFERROR(__xludf.DUMMYFUNCTION("""COMPUTED_VALUE"""),"Andres felipe maya bautista ")</f>
        <v>Andres felipe maya bautista </v>
      </c>
      <c r="C1750" s="15" t="str">
        <f>IFERROR(__xludf.DUMMYFUNCTION("""COMPUTED_VALUE"""),"BOGOTÁ")</f>
        <v>BOGOTÁ</v>
      </c>
      <c r="D1750" s="15" t="str">
        <f>IFERROR(__xludf.DUMMYFUNCTION("""COMPUTED_VALUE"""),"MEDELLÍN")</f>
        <v>MEDELLÍN</v>
      </c>
      <c r="E1750" s="15" t="str">
        <f>IFERROR(__xludf.DUMMYFUNCTION("""COMPUTED_VALUE"""),"Rambla")</f>
        <v>Rambla</v>
      </c>
      <c r="F1750" s="17" t="str">
        <f>IFERROR(__xludf.DUMMYFUNCTION("""COMPUTED_VALUE"""),"Carrera 1A No. 20 - 138 Urbanizacion El Sol - Soacha / na / na")</f>
        <v>Carrera 1A No. 20 - 138 Urbanizacion El Sol - Soacha / na / na</v>
      </c>
      <c r="G1750" s="15" t="str">
        <f>IFERROR(__xludf.DUMMYFUNCTION("""COMPUTED_VALUE"""),"Diana Marcela Velasquez Castañeda")</f>
        <v>Diana Marcela Velasquez Castañeda</v>
      </c>
      <c r="H1750" s="16">
        <f>IFERROR(__xludf.DUMMYFUNCTION("""COMPUTED_VALUE"""),10397.0)</f>
        <v>10397</v>
      </c>
      <c r="I1750" s="18">
        <f>IFERROR(__xludf.DUMMYFUNCTION("""COMPUTED_VALUE"""),20.0)</f>
        <v>20</v>
      </c>
      <c r="J1750" s="18">
        <f>IFERROR(__xludf.DUMMYFUNCTION("""COMPUTED_VALUE"""),23.0)</f>
        <v>23</v>
      </c>
      <c r="K1750" s="18">
        <f>IFERROR(__xludf.DUMMYFUNCTION("""COMPUTED_VALUE"""),25.0)</f>
        <v>25</v>
      </c>
      <c r="L1750" s="17">
        <f>IFERROR(__xludf.DUMMYFUNCTION("""COMPUTED_VALUE"""),3.107768763E9)</f>
        <v>3107768763</v>
      </c>
      <c r="M1750" s="17" t="str">
        <f>IFERROR(__xludf.DUMMYFUNCTION("""COMPUTED_VALUE"""),"#REF!")</f>
        <v>#REF!</v>
      </c>
      <c r="N1750" s="17"/>
      <c r="O1750" s="19">
        <f>IFERROR(__xludf.DUMMYFUNCTION("""COMPUTED_VALUE"""),8300.0)</f>
        <v>8300</v>
      </c>
      <c r="P1750" s="17" t="b">
        <f>IFERROR(__xludf.DUMMYFUNCTION("""COMPUTED_VALUE"""),FALSE)</f>
        <v>0</v>
      </c>
      <c r="Q1750" s="20" t="str">
        <f>IFERROR(__xludf.DUMMYFUNCTION("""COMPUTED_VALUE"""),"")</f>
        <v/>
      </c>
      <c r="R1750" s="22" t="str">
        <f>IFERROR(__xludf.DUMMYFUNCTION("""COMPUTED_VALUE"""),"")</f>
        <v/>
      </c>
    </row>
    <row r="1751">
      <c r="A1751" s="17" t="str">
        <f>IFERROR(__xludf.DUMMYFUNCTION("""COMPUTED_VALUE"""),"")</f>
        <v/>
      </c>
      <c r="B1751" s="17" t="str">
        <f>IFERROR(__xludf.DUMMYFUNCTION("""COMPUTED_VALUE"""),"")</f>
        <v/>
      </c>
      <c r="C1751" s="17" t="str">
        <f>IFERROR(__xludf.DUMMYFUNCTION("""COMPUTED_VALUE"""),"")</f>
        <v/>
      </c>
      <c r="D1751" s="17" t="str">
        <f>IFERROR(__xludf.DUMMYFUNCTION("""COMPUTED_VALUE"""),"")</f>
        <v/>
      </c>
      <c r="E1751" s="17" t="str">
        <f>IFERROR(__xludf.DUMMYFUNCTION("""COMPUTED_VALUE"""),"")</f>
        <v/>
      </c>
      <c r="F1751" s="17" t="str">
        <f>IFERROR(__xludf.DUMMYFUNCTION("""COMPUTED_VALUE"""),"")</f>
        <v/>
      </c>
      <c r="G1751" s="17" t="str">
        <f>IFERROR(__xludf.DUMMYFUNCTION("""COMPUTED_VALUE"""),"")</f>
        <v/>
      </c>
      <c r="H1751" s="17" t="str">
        <f>IFERROR(__xludf.DUMMYFUNCTION("""COMPUTED_VALUE"""),"")</f>
        <v/>
      </c>
      <c r="I1751" s="17" t="str">
        <f>IFERROR(__xludf.DUMMYFUNCTION("""COMPUTED_VALUE"""),"")</f>
        <v/>
      </c>
      <c r="J1751" s="17" t="str">
        <f>IFERROR(__xludf.DUMMYFUNCTION("""COMPUTED_VALUE"""),"")</f>
        <v/>
      </c>
      <c r="K1751" s="17" t="str">
        <f>IFERROR(__xludf.DUMMYFUNCTION("""COMPUTED_VALUE"""),"")</f>
        <v/>
      </c>
      <c r="L1751" s="17" t="str">
        <f>IFERROR(__xludf.DUMMYFUNCTION("""COMPUTED_VALUE"""),"")</f>
        <v/>
      </c>
      <c r="M1751" s="17" t="str">
        <f>IFERROR(__xludf.DUMMYFUNCTION("""COMPUTED_VALUE"""),"")</f>
        <v/>
      </c>
      <c r="N1751" s="17" t="str">
        <f>IFERROR(__xludf.DUMMYFUNCTION("""COMPUTED_VALUE"""),"")</f>
        <v/>
      </c>
      <c r="O1751" s="17" t="str">
        <f>IFERROR(__xludf.DUMMYFUNCTION("""COMPUTED_VALUE"""),"")</f>
        <v/>
      </c>
      <c r="P1751" s="17" t="str">
        <f>IFERROR(__xludf.DUMMYFUNCTION("""COMPUTED_VALUE"""),"")</f>
        <v/>
      </c>
      <c r="Q1751" s="17" t="str">
        <f>IFERROR(__xludf.DUMMYFUNCTION("""COMPUTED_VALUE"""),"")</f>
        <v/>
      </c>
      <c r="R1751" s="17" t="str">
        <f>IFERROR(__xludf.DUMMYFUNCTION("""COMPUTED_VALUE"""),"")</f>
        <v/>
      </c>
    </row>
    <row r="1752">
      <c r="A1752" s="15">
        <f>IFERROR(__xludf.DUMMYFUNCTION("""COMPUTED_VALUE"""),45051.0)</f>
        <v>45051</v>
      </c>
      <c r="B1752" s="16" t="str">
        <f>IFERROR(__xludf.DUMMYFUNCTION("""COMPUTED_VALUE"""),"Daniel José sandoval gonzalez")</f>
        <v>Daniel José sandoval gonzalez</v>
      </c>
      <c r="C1752" s="15" t="str">
        <f>IFERROR(__xludf.DUMMYFUNCTION("""COMPUTED_VALUE"""),"BARRANQUILLA")</f>
        <v>BARRANQUILLA</v>
      </c>
      <c r="D1752" s="15" t="str">
        <f>IFERROR(__xludf.DUMMYFUNCTION("""COMPUTED_VALUE"""),"BOGOTÁ")</f>
        <v>BOGOTÁ</v>
      </c>
      <c r="E1752" s="15" t="str">
        <f>IFERROR(__xludf.DUMMYFUNCTION("""COMPUTED_VALUE"""),"Asociacion Agropecuaria Juana Maria")</f>
        <v>Asociacion Agropecuaria Juana Maria</v>
      </c>
      <c r="F1752" s="17" t="str">
        <f>IFERROR(__xludf.DUMMYFUNCTION("""COMPUTED_VALUE"""),"Calle 82 # 49C-50 Local 3")</f>
        <v>Calle 82 # 49C-50 Local 3</v>
      </c>
      <c r="G1752" s="15" t="str">
        <f>IFERROR(__xludf.DUMMYFUNCTION("""COMPUTED_VALUE"""),"STALIN ALBERTO NAVARRO POLO")</f>
        <v>STALIN ALBERTO NAVARRO POLO</v>
      </c>
      <c r="H1752" s="16">
        <f>IFERROR(__xludf.DUMMYFUNCTION("""COMPUTED_VALUE"""),10240.0)</f>
        <v>10240</v>
      </c>
      <c r="I1752" s="18">
        <f>IFERROR(__xludf.DUMMYFUNCTION("""COMPUTED_VALUE"""),21.0)</f>
        <v>21</v>
      </c>
      <c r="J1752" s="18">
        <f>IFERROR(__xludf.DUMMYFUNCTION("""COMPUTED_VALUE"""),37.0)</f>
        <v>37</v>
      </c>
      <c r="K1752" s="18">
        <f>IFERROR(__xludf.DUMMYFUNCTION("""COMPUTED_VALUE"""),30.0)</f>
        <v>30</v>
      </c>
      <c r="L1752" s="17">
        <f>IFERROR(__xludf.DUMMYFUNCTION("""COMPUTED_VALUE"""),3.135021201E9)</f>
        <v>3135021201</v>
      </c>
      <c r="M1752" s="17" t="str">
        <f>IFERROR(__xludf.DUMMYFUNCTION("""COMPUTED_VALUE"""),"#REF!")</f>
        <v>#REF!</v>
      </c>
      <c r="N1752" s="17"/>
      <c r="O1752" s="19">
        <f>IFERROR(__xludf.DUMMYFUNCTION("""COMPUTED_VALUE"""),8300.0)</f>
        <v>8300</v>
      </c>
      <c r="P1752" s="17" t="b">
        <f>IFERROR(__xludf.DUMMYFUNCTION("""COMPUTED_VALUE"""),FALSE)</f>
        <v>0</v>
      </c>
      <c r="Q1752" s="20" t="str">
        <f>IFERROR(__xludf.DUMMYFUNCTION("""COMPUTED_VALUE"""),"")</f>
        <v/>
      </c>
      <c r="R1752" s="22" t="str">
        <f>IFERROR(__xludf.DUMMYFUNCTION("""COMPUTED_VALUE"""),"")</f>
        <v/>
      </c>
    </row>
    <row r="1753">
      <c r="A1753" s="15">
        <f>IFERROR(__xludf.DUMMYFUNCTION("""COMPUTED_VALUE"""),45051.0)</f>
        <v>45051</v>
      </c>
      <c r="B1753" s="16" t="str">
        <f>IFERROR(__xludf.DUMMYFUNCTION("""COMPUTED_VALUE"""),"Daniel José sandoval gonzalez")</f>
        <v>Daniel José sandoval gonzalez</v>
      </c>
      <c r="C1753" s="15" t="str">
        <f>IFERROR(__xludf.DUMMYFUNCTION("""COMPUTED_VALUE"""),"BARRANQUILLA")</f>
        <v>BARRANQUILLA</v>
      </c>
      <c r="D1753" s="15" t="str">
        <f>IFERROR(__xludf.DUMMYFUNCTION("""COMPUTED_VALUE"""),"BOGOTÁ")</f>
        <v>BOGOTÁ</v>
      </c>
      <c r="E1753" s="15" t="str">
        <f>IFERROR(__xludf.DUMMYFUNCTION("""COMPUTED_VALUE"""),"Athenas")</f>
        <v>Athenas</v>
      </c>
      <c r="F1753" s="17" t="str">
        <f>IFERROR(__xludf.DUMMYFUNCTION("""COMPUTED_VALUE"""),"Cra 43 #99-50 / Cafetería Athenas Bodytech  / Centro comercial Miramar piso 3")</f>
        <v>Cra 43 #99-50 / Cafetería Athenas Bodytech  / Centro comercial Miramar piso 3</v>
      </c>
      <c r="G1753" s="15" t="str">
        <f>IFERROR(__xludf.DUMMYFUNCTION("""COMPUTED_VALUE"""),"Yasser Gutierrez Reales")</f>
        <v>Yasser Gutierrez Reales</v>
      </c>
      <c r="H1753" s="16">
        <f>IFERROR(__xludf.DUMMYFUNCTION("""COMPUTED_VALUE"""),10341.0)</f>
        <v>10341</v>
      </c>
      <c r="I1753" s="18" t="str">
        <f>IFERROR(__xludf.DUMMYFUNCTION("""COMPUTED_VALUE"""),"52.5")</f>
        <v>52.5</v>
      </c>
      <c r="J1753" s="18">
        <f>IFERROR(__xludf.DUMMYFUNCTION("""COMPUTED_VALUE"""),55.0)</f>
        <v>55</v>
      </c>
      <c r="K1753" s="18">
        <f>IFERROR(__xludf.DUMMYFUNCTION("""COMPUTED_VALUE"""),45.0)</f>
        <v>45</v>
      </c>
      <c r="L1753" s="17">
        <f>IFERROR(__xludf.DUMMYFUNCTION("""COMPUTED_VALUE"""),3.106158334E9)</f>
        <v>3106158334</v>
      </c>
      <c r="M1753" s="17" t="str">
        <f>IFERROR(__xludf.DUMMYFUNCTION("""COMPUTED_VALUE"""),"#REF!")</f>
        <v>#REF!</v>
      </c>
      <c r="N1753" s="17"/>
      <c r="O1753" s="19">
        <f>IFERROR(__xludf.DUMMYFUNCTION("""COMPUTED_VALUE"""),8300.0)</f>
        <v>8300</v>
      </c>
      <c r="P1753" s="17" t="b">
        <f>IFERROR(__xludf.DUMMYFUNCTION("""COMPUTED_VALUE"""),FALSE)</f>
        <v>0</v>
      </c>
      <c r="Q1753" s="20" t="str">
        <f>IFERROR(__xludf.DUMMYFUNCTION("""COMPUTED_VALUE"""),"")</f>
        <v/>
      </c>
      <c r="R1753" s="22" t="str">
        <f>IFERROR(__xludf.DUMMYFUNCTION("""COMPUTED_VALUE"""),"")</f>
        <v/>
      </c>
    </row>
    <row r="1754">
      <c r="A1754" s="15">
        <f>IFERROR(__xludf.DUMMYFUNCTION("""COMPUTED_VALUE"""),45051.0)</f>
        <v>45051</v>
      </c>
      <c r="B1754" s="16" t="str">
        <f>IFERROR(__xludf.DUMMYFUNCTION("""COMPUTED_VALUE"""),"Daniel José sandoval gonzalez")</f>
        <v>Daniel José sandoval gonzalez</v>
      </c>
      <c r="C1754" s="15" t="str">
        <f>IFERROR(__xludf.DUMMYFUNCTION("""COMPUTED_VALUE"""),"BARRANQUILLA")</f>
        <v>BARRANQUILLA</v>
      </c>
      <c r="D1754" s="15" t="str">
        <f>IFERROR(__xludf.DUMMYFUNCTION("""COMPUTED_VALUE"""),"BOGOTÁ")</f>
        <v>BOGOTÁ</v>
      </c>
      <c r="E1754" s="15" t="str">
        <f>IFERROR(__xludf.DUMMYFUNCTION("""COMPUTED_VALUE"""),"Evamazzita")</f>
        <v>Evamazzita</v>
      </c>
      <c r="F1754" s="17" t="str">
        <f>IFERROR(__xludf.DUMMYFUNCTION("""COMPUTED_VALUE"""),"Carrera 43#70-144 / (ENTREGAR DE 8AM A 5PM) / (ENTREGAR DE 8AM A 5PM)")</f>
        <v>Carrera 43#70-144 / (ENTREGAR DE 8AM A 5PM) / (ENTREGAR DE 8AM A 5PM)</v>
      </c>
      <c r="G1754" s="15" t="str">
        <f>IFERROR(__xludf.DUMMYFUNCTION("""COMPUTED_VALUE"""),"NORAIMA ORTIZ")</f>
        <v>NORAIMA ORTIZ</v>
      </c>
      <c r="H1754" s="16">
        <f>IFERROR(__xludf.DUMMYFUNCTION("""COMPUTED_VALUE"""),10335.0)</f>
        <v>10335</v>
      </c>
      <c r="I1754" s="18">
        <f>IFERROR(__xludf.DUMMYFUNCTION("""COMPUTED_VALUE"""),3.0)</f>
        <v>3</v>
      </c>
      <c r="J1754" s="18">
        <f>IFERROR(__xludf.DUMMYFUNCTION("""COMPUTED_VALUE"""),15.0)</f>
        <v>15</v>
      </c>
      <c r="K1754" s="18">
        <f>IFERROR(__xludf.DUMMYFUNCTION("""COMPUTED_VALUE"""),20.0)</f>
        <v>20</v>
      </c>
      <c r="L1754" s="17">
        <f>IFERROR(__xludf.DUMMYFUNCTION("""COMPUTED_VALUE"""),3.008827851E9)</f>
        <v>3008827851</v>
      </c>
      <c r="M1754" s="17" t="str">
        <f>IFERROR(__xludf.DUMMYFUNCTION("""COMPUTED_VALUE"""),"#REF!")</f>
        <v>#REF!</v>
      </c>
      <c r="N1754" s="17"/>
      <c r="O1754" s="19">
        <f>IFERROR(__xludf.DUMMYFUNCTION("""COMPUTED_VALUE"""),8300.0)</f>
        <v>8300</v>
      </c>
      <c r="P1754" s="17" t="b">
        <f>IFERROR(__xludf.DUMMYFUNCTION("""COMPUTED_VALUE"""),FALSE)</f>
        <v>0</v>
      </c>
      <c r="Q1754" s="20" t="str">
        <f>IFERROR(__xludf.DUMMYFUNCTION("""COMPUTED_VALUE"""),"")</f>
        <v/>
      </c>
      <c r="R1754" s="22" t="str">
        <f>IFERROR(__xludf.DUMMYFUNCTION("""COMPUTED_VALUE"""),"")</f>
        <v/>
      </c>
    </row>
    <row r="1755">
      <c r="A1755" s="15">
        <f>IFERROR(__xludf.DUMMYFUNCTION("""COMPUTED_VALUE"""),45051.0)</f>
        <v>45051</v>
      </c>
      <c r="B1755" s="16" t="str">
        <f>IFERROR(__xludf.DUMMYFUNCTION("""COMPUTED_VALUE"""),"Daniel José sandoval gonzalez")</f>
        <v>Daniel José sandoval gonzalez</v>
      </c>
      <c r="C1755" s="15" t="str">
        <f>IFERROR(__xludf.DUMMYFUNCTION("""COMPUTED_VALUE"""),"BARRANQUILLA")</f>
        <v>BARRANQUILLA</v>
      </c>
      <c r="D1755" s="15" t="str">
        <f>IFERROR(__xludf.DUMMYFUNCTION("""COMPUTED_VALUE"""),"BOGOTÁ")</f>
        <v>BOGOTÁ</v>
      </c>
      <c r="E1755" s="15" t="str">
        <f>IFERROR(__xludf.DUMMYFUNCTION("""COMPUTED_VALUE"""),"Evamazzita")</f>
        <v>Evamazzita</v>
      </c>
      <c r="F1755" s="17" t="str">
        <f>IFERROR(__xludf.DUMMYFUNCTION("""COMPUTED_VALUE"""),"carrera 50 # 46-93  / piso 2 apto 1  (edificio de color blanco de esquina)   / entrada principal por la calle 47 Barrio abajo")</f>
        <v>carrera 50 # 46-93  / piso 2 apto 1  (edificio de color blanco de esquina)   / entrada principal por la calle 47 Barrio abajo</v>
      </c>
      <c r="G1755" s="15" t="str">
        <f>IFERROR(__xludf.DUMMYFUNCTION("""COMPUTED_VALUE"""),"IVETH BARRERA REINA")</f>
        <v>IVETH BARRERA REINA</v>
      </c>
      <c r="H1755" s="16">
        <f>IFERROR(__xludf.DUMMYFUNCTION("""COMPUTED_VALUE"""),10336.0)</f>
        <v>10336</v>
      </c>
      <c r="I1755" s="18">
        <f>IFERROR(__xludf.DUMMYFUNCTION("""COMPUTED_VALUE"""),3.0)</f>
        <v>3</v>
      </c>
      <c r="J1755" s="18">
        <f>IFERROR(__xludf.DUMMYFUNCTION("""COMPUTED_VALUE"""),20.0)</f>
        <v>20</v>
      </c>
      <c r="K1755" s="18">
        <f>IFERROR(__xludf.DUMMYFUNCTION("""COMPUTED_VALUE"""),15.0)</f>
        <v>15</v>
      </c>
      <c r="L1755" s="17">
        <f>IFERROR(__xludf.DUMMYFUNCTION("""COMPUTED_VALUE"""),3.013669213E9)</f>
        <v>3013669213</v>
      </c>
      <c r="M1755" s="17" t="str">
        <f>IFERROR(__xludf.DUMMYFUNCTION("""COMPUTED_VALUE"""),"#REF!")</f>
        <v>#REF!</v>
      </c>
      <c r="N1755" s="17"/>
      <c r="O1755" s="19">
        <f>IFERROR(__xludf.DUMMYFUNCTION("""COMPUTED_VALUE"""),8300.0)</f>
        <v>8300</v>
      </c>
      <c r="P1755" s="17" t="b">
        <f>IFERROR(__xludf.DUMMYFUNCTION("""COMPUTED_VALUE"""),FALSE)</f>
        <v>0</v>
      </c>
      <c r="Q1755" s="20" t="str">
        <f>IFERROR(__xludf.DUMMYFUNCTION("""COMPUTED_VALUE"""),"")</f>
        <v/>
      </c>
      <c r="R1755" s="22" t="str">
        <f>IFERROR(__xludf.DUMMYFUNCTION("""COMPUTED_VALUE"""),"")</f>
        <v/>
      </c>
    </row>
    <row r="1756">
      <c r="A1756" s="15">
        <f>IFERROR(__xludf.DUMMYFUNCTION("""COMPUTED_VALUE"""),45051.0)</f>
        <v>45051</v>
      </c>
      <c r="B1756" s="16" t="str">
        <f>IFERROR(__xludf.DUMMYFUNCTION("""COMPUTED_VALUE"""),"Daniel José sandoval gonzalez")</f>
        <v>Daniel José sandoval gonzalez</v>
      </c>
      <c r="C1756" s="15" t="str">
        <f>IFERROR(__xludf.DUMMYFUNCTION("""COMPUTED_VALUE"""),"BARRANQUILLA")</f>
        <v>BARRANQUILLA</v>
      </c>
      <c r="D1756" s="15" t="str">
        <f>IFERROR(__xludf.DUMMYFUNCTION("""COMPUTED_VALUE"""),"BOGOTÁ")</f>
        <v>BOGOTÁ</v>
      </c>
      <c r="E1756" s="15" t="str">
        <f>IFERROR(__xludf.DUMMYFUNCTION("""COMPUTED_VALUE"""),"Evamazzita")</f>
        <v>Evamazzita</v>
      </c>
      <c r="F1756" s="17" t="str">
        <f>IFERROR(__xludf.DUMMYFUNCTION("""COMPUTED_VALUE"""),"Cra 42f no 79 60  / ap 304  / Ciudad jardin")</f>
        <v>Cra 42f no 79 60  / ap 304  / Ciudad jardin</v>
      </c>
      <c r="G1756" s="15" t="str">
        <f>IFERROR(__xludf.DUMMYFUNCTION("""COMPUTED_VALUE"""),"MARGARITA SILVA GARCIA")</f>
        <v>MARGARITA SILVA GARCIA</v>
      </c>
      <c r="H1756" s="16">
        <f>IFERROR(__xludf.DUMMYFUNCTION("""COMPUTED_VALUE"""),10334.0)</f>
        <v>10334</v>
      </c>
      <c r="I1756" s="18">
        <f>IFERROR(__xludf.DUMMYFUNCTION("""COMPUTED_VALUE"""),3.0)</f>
        <v>3</v>
      </c>
      <c r="J1756" s="18">
        <f>IFERROR(__xludf.DUMMYFUNCTION("""COMPUTED_VALUE"""),20.0)</f>
        <v>20</v>
      </c>
      <c r="K1756" s="18">
        <f>IFERROR(__xludf.DUMMYFUNCTION("""COMPUTED_VALUE"""),15.0)</f>
        <v>15</v>
      </c>
      <c r="L1756" s="17">
        <f>IFERROR(__xludf.DUMMYFUNCTION("""COMPUTED_VALUE"""),3.008157819E9)</f>
        <v>3008157819</v>
      </c>
      <c r="M1756" s="17" t="str">
        <f>IFERROR(__xludf.DUMMYFUNCTION("""COMPUTED_VALUE"""),"#REF!")</f>
        <v>#REF!</v>
      </c>
      <c r="N1756" s="17"/>
      <c r="O1756" s="19">
        <f>IFERROR(__xludf.DUMMYFUNCTION("""COMPUTED_VALUE"""),8300.0)</f>
        <v>8300</v>
      </c>
      <c r="P1756" s="17" t="b">
        <f>IFERROR(__xludf.DUMMYFUNCTION("""COMPUTED_VALUE"""),FALSE)</f>
        <v>0</v>
      </c>
      <c r="Q1756" s="20" t="str">
        <f>IFERROR(__xludf.DUMMYFUNCTION("""COMPUTED_VALUE"""),"")</f>
        <v/>
      </c>
      <c r="R1756" s="22" t="str">
        <f>IFERROR(__xludf.DUMMYFUNCTION("""COMPUTED_VALUE"""),"")</f>
        <v/>
      </c>
    </row>
    <row r="1757">
      <c r="A1757" s="15">
        <f>IFERROR(__xludf.DUMMYFUNCTION("""COMPUTED_VALUE"""),45051.0)</f>
        <v>45051</v>
      </c>
      <c r="B1757" s="16" t="str">
        <f>IFERROR(__xludf.DUMMYFUNCTION("""COMPUTED_VALUE"""),"Daniel José sandoval gonzalez")</f>
        <v>Daniel José sandoval gonzalez</v>
      </c>
      <c r="C1757" s="15" t="str">
        <f>IFERROR(__xludf.DUMMYFUNCTION("""COMPUTED_VALUE"""),"BARRANQUILLA")</f>
        <v>BARRANQUILLA</v>
      </c>
      <c r="D1757" s="15" t="str">
        <f>IFERROR(__xludf.DUMMYFUNCTION("""COMPUTED_VALUE"""),"BOGOTÁ")</f>
        <v>BOGOTÁ</v>
      </c>
      <c r="E1757" s="15" t="str">
        <f>IFERROR(__xludf.DUMMYFUNCTION("""COMPUTED_VALUE"""),"Evamazzita")</f>
        <v>Evamazzita</v>
      </c>
      <c r="F1757" s="17" t="str">
        <f>IFERROR(__xludf.DUMMYFUNCTION("""COMPUTED_VALUE"""),"Cra 47#66-23  /  EDF marbert apto 202.  / Barrio Boston")</f>
        <v>Cra 47#66-23  /  EDF marbert apto 202.  / Barrio Boston</v>
      </c>
      <c r="G1757" s="15" t="str">
        <f>IFERROR(__xludf.DUMMYFUNCTION("""COMPUTED_VALUE"""),"MARIA FERNANDA  GONZALEZ")</f>
        <v>MARIA FERNANDA  GONZALEZ</v>
      </c>
      <c r="H1757" s="16">
        <f>IFERROR(__xludf.DUMMYFUNCTION("""COMPUTED_VALUE"""),10337.0)</f>
        <v>10337</v>
      </c>
      <c r="I1757" s="18">
        <f>IFERROR(__xludf.DUMMYFUNCTION("""COMPUTED_VALUE"""),10.0)</f>
        <v>10</v>
      </c>
      <c r="J1757" s="18">
        <f>IFERROR(__xludf.DUMMYFUNCTION("""COMPUTED_VALUE"""),18.0)</f>
        <v>18</v>
      </c>
      <c r="K1757" s="18">
        <f>IFERROR(__xludf.DUMMYFUNCTION("""COMPUTED_VALUE"""),22.0)</f>
        <v>22</v>
      </c>
      <c r="L1757" s="17">
        <f>IFERROR(__xludf.DUMMYFUNCTION("""COMPUTED_VALUE"""),3.178953446E9)</f>
        <v>3178953446</v>
      </c>
      <c r="M1757" s="17" t="str">
        <f>IFERROR(__xludf.DUMMYFUNCTION("""COMPUTED_VALUE"""),"#REF!")</f>
        <v>#REF!</v>
      </c>
      <c r="N1757" s="17"/>
      <c r="O1757" s="19">
        <f>IFERROR(__xludf.DUMMYFUNCTION("""COMPUTED_VALUE"""),8300.0)</f>
        <v>8300</v>
      </c>
      <c r="P1757" s="17" t="b">
        <f>IFERROR(__xludf.DUMMYFUNCTION("""COMPUTED_VALUE"""),FALSE)</f>
        <v>0</v>
      </c>
      <c r="Q1757" s="20" t="str">
        <f>IFERROR(__xludf.DUMMYFUNCTION("""COMPUTED_VALUE"""),"")</f>
        <v/>
      </c>
      <c r="R1757" s="22" t="str">
        <f>IFERROR(__xludf.DUMMYFUNCTION("""COMPUTED_VALUE"""),"")</f>
        <v/>
      </c>
    </row>
    <row r="1758">
      <c r="A1758" s="15">
        <f>IFERROR(__xludf.DUMMYFUNCTION("""COMPUTED_VALUE"""),45051.0)</f>
        <v>45051</v>
      </c>
      <c r="B1758" s="16" t="str">
        <f>IFERROR(__xludf.DUMMYFUNCTION("""COMPUTED_VALUE"""),"Daniel José sandoval gonzalez")</f>
        <v>Daniel José sandoval gonzalez</v>
      </c>
      <c r="C1758" s="15" t="str">
        <f>IFERROR(__xludf.DUMMYFUNCTION("""COMPUTED_VALUE"""),"BARRANQUILLA")</f>
        <v>BARRANQUILLA</v>
      </c>
      <c r="D1758" s="15" t="str">
        <f>IFERROR(__xludf.DUMMYFUNCTION("""COMPUTED_VALUE"""),"BOGOTÁ")</f>
        <v>BOGOTÁ</v>
      </c>
      <c r="E1758" s="15" t="str">
        <f>IFERROR(__xludf.DUMMYFUNCTION("""COMPUTED_VALUE"""),"Lunchy Kids")</f>
        <v>Lunchy Kids</v>
      </c>
      <c r="F1758" s="17" t="str">
        <f>IFERROR(__xludf.DUMMYFUNCTION("""COMPUTED_VALUE"""),"Calle 85c #71-51   / Casa / Barranquilla ATL Colombia")</f>
        <v>Calle 85c #71-51   / Casa / Barranquilla ATL Colombia</v>
      </c>
      <c r="G1758" s="15" t="str">
        <f>IFERROR(__xludf.DUMMYFUNCTION("""COMPUTED_VALUE"""),"Bleidy Velandia")</f>
        <v>Bleidy Velandia</v>
      </c>
      <c r="H1758" s="16">
        <f>IFERROR(__xludf.DUMMYFUNCTION("""COMPUTED_VALUE"""),10254.0)</f>
        <v>10254</v>
      </c>
      <c r="I1758" s="18">
        <f>IFERROR(__xludf.DUMMYFUNCTION("""COMPUTED_VALUE"""),16.0)</f>
        <v>16</v>
      </c>
      <c r="J1758" s="18">
        <f>IFERROR(__xludf.DUMMYFUNCTION("""COMPUTED_VALUE"""),33.0)</f>
        <v>33</v>
      </c>
      <c r="K1758" s="18">
        <f>IFERROR(__xludf.DUMMYFUNCTION("""COMPUTED_VALUE"""),20.0)</f>
        <v>20</v>
      </c>
      <c r="L1758" s="17">
        <f>IFERROR(__xludf.DUMMYFUNCTION("""COMPUTED_VALUE"""),3.008331219E9)</f>
        <v>3008331219</v>
      </c>
      <c r="M1758" s="17" t="str">
        <f>IFERROR(__xludf.DUMMYFUNCTION("""COMPUTED_VALUE"""),"#REF!")</f>
        <v>#REF!</v>
      </c>
      <c r="N1758" s="17"/>
      <c r="O1758" s="19">
        <f>IFERROR(__xludf.DUMMYFUNCTION("""COMPUTED_VALUE"""),8300.0)</f>
        <v>8300</v>
      </c>
      <c r="P1758" s="17" t="b">
        <f>IFERROR(__xludf.DUMMYFUNCTION("""COMPUTED_VALUE"""),FALSE)</f>
        <v>0</v>
      </c>
      <c r="Q1758" s="20" t="str">
        <f>IFERROR(__xludf.DUMMYFUNCTION("""COMPUTED_VALUE"""),"")</f>
        <v/>
      </c>
      <c r="R1758" s="22" t="str">
        <f>IFERROR(__xludf.DUMMYFUNCTION("""COMPUTED_VALUE"""),"")</f>
        <v/>
      </c>
    </row>
    <row r="1759">
      <c r="A1759" s="15">
        <f>IFERROR(__xludf.DUMMYFUNCTION("""COMPUTED_VALUE"""),45051.0)</f>
        <v>45051</v>
      </c>
      <c r="B1759" s="16" t="str">
        <f>IFERROR(__xludf.DUMMYFUNCTION("""COMPUTED_VALUE"""),"Daniel José sandoval gonzalez")</f>
        <v>Daniel José sandoval gonzalez</v>
      </c>
      <c r="C1759" s="15" t="str">
        <f>IFERROR(__xludf.DUMMYFUNCTION("""COMPUTED_VALUE"""),"BARRANQUILLA")</f>
        <v>BARRANQUILLA</v>
      </c>
      <c r="D1759" s="15" t="str">
        <f>IFERROR(__xludf.DUMMYFUNCTION("""COMPUTED_VALUE"""),"BOGOTÁ")</f>
        <v>BOGOTÁ</v>
      </c>
      <c r="E1759" s="15" t="str">
        <f>IFERROR(__xludf.DUMMYFUNCTION("""COMPUTED_VALUE"""),"MAI ALIMENTOS S.A.S")</f>
        <v>MAI ALIMENTOS S.A.S</v>
      </c>
      <c r="F1759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1759" s="15" t="str">
        <f>IFERROR(__xludf.DUMMYFUNCTION("""COMPUTED_VALUE"""),"Fithub Barranquilla")</f>
        <v>Fithub Barranquilla</v>
      </c>
      <c r="H1759" s="16">
        <f>IFERROR(__xludf.DUMMYFUNCTION("""COMPUTED_VALUE"""),10278.0)</f>
        <v>10278</v>
      </c>
      <c r="I1759" s="18">
        <f>IFERROR(__xludf.DUMMYFUNCTION("""COMPUTED_VALUE"""),28.0)</f>
        <v>28</v>
      </c>
      <c r="J1759" s="18">
        <f>IFERROR(__xludf.DUMMYFUNCTION("""COMPUTED_VALUE"""),17.0)</f>
        <v>17</v>
      </c>
      <c r="K1759" s="18">
        <f>IFERROR(__xludf.DUMMYFUNCTION("""COMPUTED_VALUE"""),13.0)</f>
        <v>13</v>
      </c>
      <c r="L1759" s="17"/>
      <c r="M1759" s="17" t="str">
        <f>IFERROR(__xludf.DUMMYFUNCTION("""COMPUTED_VALUE"""),"#REF!")</f>
        <v>#REF!</v>
      </c>
      <c r="N1759" s="17"/>
      <c r="O1759" s="19">
        <f>IFERROR(__xludf.DUMMYFUNCTION("""COMPUTED_VALUE"""),8300.0)</f>
        <v>8300</v>
      </c>
      <c r="P1759" s="17" t="b">
        <f>IFERROR(__xludf.DUMMYFUNCTION("""COMPUTED_VALUE"""),FALSE)</f>
        <v>0</v>
      </c>
      <c r="Q1759" s="20" t="str">
        <f>IFERROR(__xludf.DUMMYFUNCTION("""COMPUTED_VALUE"""),"")</f>
        <v/>
      </c>
      <c r="R1759" s="22" t="str">
        <f>IFERROR(__xludf.DUMMYFUNCTION("""COMPUTED_VALUE"""),"")</f>
        <v/>
      </c>
    </row>
    <row r="1760">
      <c r="A1760" s="15">
        <f>IFERROR(__xludf.DUMMYFUNCTION("""COMPUTED_VALUE"""),45051.0)</f>
        <v>45051</v>
      </c>
      <c r="B1760" s="16" t="str">
        <f>IFERROR(__xludf.DUMMYFUNCTION("""COMPUTED_VALUE"""),"Daniel José sandoval gonzalez")</f>
        <v>Daniel José sandoval gonzalez</v>
      </c>
      <c r="C1760" s="15" t="str">
        <f>IFERROR(__xludf.DUMMYFUNCTION("""COMPUTED_VALUE"""),"BARRANQUILLA")</f>
        <v>BARRANQUILLA</v>
      </c>
      <c r="D1760" s="15" t="str">
        <f>IFERROR(__xludf.DUMMYFUNCTION("""COMPUTED_VALUE"""),"BOGOTÁ")</f>
        <v>BOGOTÁ</v>
      </c>
      <c r="E1760" s="15" t="str">
        <f>IFERROR(__xludf.DUMMYFUNCTION("""COMPUTED_VALUE"""),"Ser Fit")</f>
        <v>Ser Fit</v>
      </c>
      <c r="F1760" s="17" t="str">
        <f>IFERROR(__xludf.DUMMYFUNCTION("""COMPUTED_VALUE"""),"Calle 81 #67-09 / Apto 5A / Paraiso")</f>
        <v>Calle 81 #67-09 / Apto 5A / Paraiso</v>
      </c>
      <c r="G1760" s="15" t="str">
        <f>IFERROR(__xludf.DUMMYFUNCTION("""COMPUTED_VALUE"""),"Angie ocampo")</f>
        <v>Angie ocampo</v>
      </c>
      <c r="H1760" s="16">
        <f>IFERROR(__xludf.DUMMYFUNCTION("""COMPUTED_VALUE"""),10363.0)</f>
        <v>10363</v>
      </c>
      <c r="I1760" s="18">
        <f>IFERROR(__xludf.DUMMYFUNCTION("""COMPUTED_VALUE"""),10.0)</f>
        <v>10</v>
      </c>
      <c r="J1760" s="18">
        <f>IFERROR(__xludf.DUMMYFUNCTION("""COMPUTED_VALUE"""),10.0)</f>
        <v>10</v>
      </c>
      <c r="K1760" s="18">
        <f>IFERROR(__xludf.DUMMYFUNCTION("""COMPUTED_VALUE"""),10.0)</f>
        <v>10</v>
      </c>
      <c r="L1760" s="17">
        <f>IFERROR(__xludf.DUMMYFUNCTION("""COMPUTED_VALUE"""),3.114855592E9)</f>
        <v>3114855592</v>
      </c>
      <c r="M1760" s="17" t="str">
        <f>IFERROR(__xludf.DUMMYFUNCTION("""COMPUTED_VALUE"""),"#REF!")</f>
        <v>#REF!</v>
      </c>
      <c r="N1760" s="17"/>
      <c r="O1760" s="19">
        <f>IFERROR(__xludf.DUMMYFUNCTION("""COMPUTED_VALUE"""),8300.0)</f>
        <v>8300</v>
      </c>
      <c r="P1760" s="17" t="b">
        <f>IFERROR(__xludf.DUMMYFUNCTION("""COMPUTED_VALUE"""),FALSE)</f>
        <v>0</v>
      </c>
      <c r="Q1760" s="20" t="str">
        <f>IFERROR(__xludf.DUMMYFUNCTION("""COMPUTED_VALUE"""),"")</f>
        <v/>
      </c>
      <c r="R1760" s="22" t="str">
        <f>IFERROR(__xludf.DUMMYFUNCTION("""COMPUTED_VALUE"""),"")</f>
        <v/>
      </c>
    </row>
    <row r="1761">
      <c r="A1761" s="15">
        <f>IFERROR(__xludf.DUMMYFUNCTION("""COMPUTED_VALUE"""),45051.0)</f>
        <v>45051</v>
      </c>
      <c r="B1761" s="16" t="str">
        <f>IFERROR(__xludf.DUMMYFUNCTION("""COMPUTED_VALUE"""),"Daniel José sandoval gonzalez")</f>
        <v>Daniel José sandoval gonzalez</v>
      </c>
      <c r="C1761" s="15" t="str">
        <f>IFERROR(__xludf.DUMMYFUNCTION("""COMPUTED_VALUE"""),"BARRANQUILLA")</f>
        <v>BARRANQUILLA</v>
      </c>
      <c r="D1761" s="15" t="str">
        <f>IFERROR(__xludf.DUMMYFUNCTION("""COMPUTED_VALUE"""),"BOGOTÁ")</f>
        <v>BOGOTÁ</v>
      </c>
      <c r="E1761" s="15" t="str">
        <f>IFERROR(__xludf.DUMMYFUNCTION("""COMPUTED_VALUE"""),"Top Spun")</f>
        <v>Top Spun</v>
      </c>
      <c r="F1761" s="17" t="str">
        <f>IFERROR(__xludf.DUMMYFUNCTION("""COMPUTED_VALUE"""),"Cra 42g # 82 - 182  / Apto 605 Edificio Charlotte  / Barranquilla")</f>
        <v>Cra 42g # 82 - 182  / Apto 605 Edificio Charlotte  / Barranquilla</v>
      </c>
      <c r="G1761" s="15" t="str">
        <f>IFERROR(__xludf.DUMMYFUNCTION("""COMPUTED_VALUE"""),"Catalina Moya")</f>
        <v>Catalina Moya</v>
      </c>
      <c r="H1761" s="16">
        <f>IFERROR(__xludf.DUMMYFUNCTION("""COMPUTED_VALUE"""),10329.0)</f>
        <v>10329</v>
      </c>
      <c r="I1761" s="18">
        <f>IFERROR(__xludf.DUMMYFUNCTION("""COMPUTED_VALUE"""),15.0)</f>
        <v>15</v>
      </c>
      <c r="J1761" s="18">
        <f>IFERROR(__xludf.DUMMYFUNCTION("""COMPUTED_VALUE"""),10.0)</f>
        <v>10</v>
      </c>
      <c r="K1761" s="18">
        <f>IFERROR(__xludf.DUMMYFUNCTION("""COMPUTED_VALUE"""),30.0)</f>
        <v>30</v>
      </c>
      <c r="L1761" s="17">
        <f>IFERROR(__xludf.DUMMYFUNCTION("""COMPUTED_VALUE"""),3.009483769E9)</f>
        <v>3009483769</v>
      </c>
      <c r="M1761" s="17" t="str">
        <f>IFERROR(__xludf.DUMMYFUNCTION("""COMPUTED_VALUE"""),"#REF!")</f>
        <v>#REF!</v>
      </c>
      <c r="N1761" s="17"/>
      <c r="O1761" s="19">
        <f>IFERROR(__xludf.DUMMYFUNCTION("""COMPUTED_VALUE"""),8300.0)</f>
        <v>8300</v>
      </c>
      <c r="P1761" s="17" t="b">
        <f>IFERROR(__xludf.DUMMYFUNCTION("""COMPUTED_VALUE"""),FALSE)</f>
        <v>0</v>
      </c>
      <c r="Q1761" s="20" t="str">
        <f>IFERROR(__xludf.DUMMYFUNCTION("""COMPUTED_VALUE"""),"")</f>
        <v/>
      </c>
      <c r="R1761" s="22" t="str">
        <f>IFERROR(__xludf.DUMMYFUNCTION("""COMPUTED_VALUE"""),"")</f>
        <v/>
      </c>
    </row>
    <row r="1762">
      <c r="A1762" s="15">
        <f>IFERROR(__xludf.DUMMYFUNCTION("""COMPUTED_VALUE"""),45051.0)</f>
        <v>45051</v>
      </c>
      <c r="B1762" s="16" t="str">
        <f>IFERROR(__xludf.DUMMYFUNCTION("""COMPUTED_VALUE"""),"Daniel José sandoval gonzalez")</f>
        <v>Daniel José sandoval gonzalez</v>
      </c>
      <c r="C1762" s="15" t="str">
        <f>IFERROR(__xludf.DUMMYFUNCTION("""COMPUTED_VALUE"""),"BARRANQUILLA")</f>
        <v>BARRANQUILLA</v>
      </c>
      <c r="D1762" s="15" t="str">
        <f>IFERROR(__xludf.DUMMYFUNCTION("""COMPUTED_VALUE"""),"MEDELLÍN")</f>
        <v>MEDELLÍN</v>
      </c>
      <c r="E1762" s="15" t="str">
        <f>IFERROR(__xludf.DUMMYFUNCTION("""COMPUTED_VALUE"""),"Baby Chef")</f>
        <v>Baby Chef</v>
      </c>
      <c r="F1762" s="17" t="str">
        <f>IFERROR(__xludf.DUMMYFUNCTION("""COMPUTED_VALUE"""),"Cra 56 # 87 66 / Riomar / Barranquilla")</f>
        <v>Cra 56 # 87 66 / Riomar / Barranquilla</v>
      </c>
      <c r="G1762" s="15" t="str">
        <f>IFERROR(__xludf.DUMMYFUNCTION("""COMPUTED_VALUE"""),"Ninhotzka Murcia")</f>
        <v>Ninhotzka Murcia</v>
      </c>
      <c r="H1762" s="16">
        <f>IFERROR(__xludf.DUMMYFUNCTION("""COMPUTED_VALUE"""),10351.0)</f>
        <v>10351</v>
      </c>
      <c r="I1762" s="18">
        <f>IFERROR(__xludf.DUMMYFUNCTION("""COMPUTED_VALUE"""),8.0)</f>
        <v>8</v>
      </c>
      <c r="J1762" s="18">
        <f>IFERROR(__xludf.DUMMYFUNCTION("""COMPUTED_VALUE"""),16.0)</f>
        <v>16</v>
      </c>
      <c r="K1762" s="18">
        <f>IFERROR(__xludf.DUMMYFUNCTION("""COMPUTED_VALUE"""),20.0)</f>
        <v>20</v>
      </c>
      <c r="L1762" s="17">
        <f>IFERROR(__xludf.DUMMYFUNCTION("""COMPUTED_VALUE"""),3.046267123E9)</f>
        <v>3046267123</v>
      </c>
      <c r="M1762" s="17" t="str">
        <f>IFERROR(__xludf.DUMMYFUNCTION("""COMPUTED_VALUE"""),"#REF!")</f>
        <v>#REF!</v>
      </c>
      <c r="N1762" s="17"/>
      <c r="O1762" s="19">
        <f>IFERROR(__xludf.DUMMYFUNCTION("""COMPUTED_VALUE"""),8300.0)</f>
        <v>8300</v>
      </c>
      <c r="P1762" s="17" t="b">
        <f>IFERROR(__xludf.DUMMYFUNCTION("""COMPUTED_VALUE"""),FALSE)</f>
        <v>0</v>
      </c>
      <c r="Q1762" s="20" t="str">
        <f>IFERROR(__xludf.DUMMYFUNCTION("""COMPUTED_VALUE"""),"")</f>
        <v/>
      </c>
      <c r="R1762" s="22" t="str">
        <f>IFERROR(__xludf.DUMMYFUNCTION("""COMPUTED_VALUE"""),"")</f>
        <v/>
      </c>
    </row>
    <row r="1763">
      <c r="A1763" s="15">
        <f>IFERROR(__xludf.DUMMYFUNCTION("""COMPUTED_VALUE"""),45051.0)</f>
        <v>45051</v>
      </c>
      <c r="B1763" s="16" t="str">
        <f>IFERROR(__xludf.DUMMYFUNCTION("""COMPUTED_VALUE"""),"Daniel José sandoval gonzalez")</f>
        <v>Daniel José sandoval gonzalez</v>
      </c>
      <c r="C1763" s="15" t="str">
        <f>IFERROR(__xludf.DUMMYFUNCTION("""COMPUTED_VALUE"""),"BARRANQUILLA")</f>
        <v>BARRANQUILLA</v>
      </c>
      <c r="D1763" s="15" t="str">
        <f>IFERROR(__xludf.DUMMYFUNCTION("""COMPUTED_VALUE"""),"MEDELLÍN")</f>
        <v>MEDELLÍN</v>
      </c>
      <c r="E1763" s="15" t="str">
        <f>IFERROR(__xludf.DUMMYFUNCTION("""COMPUTED_VALUE"""),"Baby Chef")</f>
        <v>Baby Chef</v>
      </c>
      <c r="F1763" s="17" t="str">
        <f>IFERROR(__xludf.DUMMYFUNCTION("""COMPUTED_VALUE"""),"Cra 59B # 91-74 / apto 1002 Edificio Trivento  / Barrio: Riomar")</f>
        <v>Cra 59B # 91-74 / apto 1002 Edificio Trivento  / Barrio: Riomar</v>
      </c>
      <c r="G1763" s="15" t="str">
        <f>IFERROR(__xludf.DUMMYFUNCTION("""COMPUTED_VALUE"""),"Milena Pereira Bonfante")</f>
        <v>Milena Pereira Bonfante</v>
      </c>
      <c r="H1763" s="16">
        <f>IFERROR(__xludf.DUMMYFUNCTION("""COMPUTED_VALUE"""),10353.0)</f>
        <v>10353</v>
      </c>
      <c r="I1763" s="18">
        <f>IFERROR(__xludf.DUMMYFUNCTION("""COMPUTED_VALUE"""),8.0)</f>
        <v>8</v>
      </c>
      <c r="J1763" s="18">
        <f>IFERROR(__xludf.DUMMYFUNCTION("""COMPUTED_VALUE"""),16.0)</f>
        <v>16</v>
      </c>
      <c r="K1763" s="18">
        <f>IFERROR(__xludf.DUMMYFUNCTION("""COMPUTED_VALUE"""),20.0)</f>
        <v>20</v>
      </c>
      <c r="L1763" s="17">
        <f>IFERROR(__xludf.DUMMYFUNCTION("""COMPUTED_VALUE"""),3.044774024E9)</f>
        <v>3044774024</v>
      </c>
      <c r="M1763" s="17" t="str">
        <f>IFERROR(__xludf.DUMMYFUNCTION("""COMPUTED_VALUE"""),"#REF!")</f>
        <v>#REF!</v>
      </c>
      <c r="N1763" s="17"/>
      <c r="O1763" s="17"/>
      <c r="P1763" s="17" t="b">
        <f>IFERROR(__xludf.DUMMYFUNCTION("""COMPUTED_VALUE"""),FALSE)</f>
        <v>0</v>
      </c>
      <c r="Q1763" s="20" t="str">
        <f>IFERROR(__xludf.DUMMYFUNCTION("""COMPUTED_VALUE"""),"")</f>
        <v/>
      </c>
      <c r="R1763" s="22" t="str">
        <f>IFERROR(__xludf.DUMMYFUNCTION("""COMPUTED_VALUE"""),"")</f>
        <v/>
      </c>
    </row>
    <row r="1764">
      <c r="A1764" s="15">
        <f>IFERROR(__xludf.DUMMYFUNCTION("""COMPUTED_VALUE"""),45051.0)</f>
        <v>45051</v>
      </c>
      <c r="B1764" s="16" t="str">
        <f>IFERROR(__xludf.DUMMYFUNCTION("""COMPUTED_VALUE"""),"Daniel José sandoval gonzalez")</f>
        <v>Daniel José sandoval gonzalez</v>
      </c>
      <c r="C1764" s="15" t="str">
        <f>IFERROR(__xludf.DUMMYFUNCTION("""COMPUTED_VALUE"""),"MEDELLÍN")</f>
        <v>MEDELLÍN</v>
      </c>
      <c r="D1764" s="15" t="str">
        <f>IFERROR(__xludf.DUMMYFUNCTION("""COMPUTED_VALUE"""),"BOGOTÁ")</f>
        <v>BOGOTÁ</v>
      </c>
      <c r="E1764" s="15" t="str">
        <f>IFERROR(__xludf.DUMMYFUNCTION("""COMPUTED_VALUE"""),"Renata")</f>
        <v>Renata</v>
      </c>
      <c r="F1764" s="17" t="str">
        <f>IFERROR(__xludf.DUMMYFUNCTION("""COMPUTED_VALUE"""),"Carrera 32d#9-43 / Seline y cowork -restaurante  / Provenza")</f>
        <v>Carrera 32d#9-43 / Seline y cowork -restaurante  / Provenza</v>
      </c>
      <c r="G1764" s="15" t="str">
        <f>IFERROR(__xludf.DUMMYFUNCTION("""COMPUTED_VALUE"""),"Front y back hospitality group")</f>
        <v>Front y back hospitality group</v>
      </c>
      <c r="H1764" s="16">
        <f>IFERROR(__xludf.DUMMYFUNCTION("""COMPUTED_VALUE"""),10384.0)</f>
        <v>10384</v>
      </c>
      <c r="I1764" s="18">
        <f>IFERROR(__xludf.DUMMYFUNCTION("""COMPUTED_VALUE"""),90.0)</f>
        <v>90</v>
      </c>
      <c r="J1764" s="18">
        <f>IFERROR(__xludf.DUMMYFUNCTION("""COMPUTED_VALUE"""),70.0)</f>
        <v>70</v>
      </c>
      <c r="K1764" s="18">
        <f>IFERROR(__xludf.DUMMYFUNCTION("""COMPUTED_VALUE"""),60.0)</f>
        <v>60</v>
      </c>
      <c r="L1764" s="17">
        <f>IFERROR(__xludf.DUMMYFUNCTION("""COMPUTED_VALUE"""),3.104047368E9)</f>
        <v>3104047368</v>
      </c>
      <c r="M1764" s="17" t="str">
        <f>IFERROR(__xludf.DUMMYFUNCTION("""COMPUTED_VALUE"""),"#REF!")</f>
        <v>#REF!</v>
      </c>
      <c r="N1764" s="17"/>
      <c r="O1764" s="17"/>
      <c r="P1764" s="17" t="b">
        <f>IFERROR(__xludf.DUMMYFUNCTION("""COMPUTED_VALUE"""),FALSE)</f>
        <v>0</v>
      </c>
      <c r="Q1764" s="20" t="str">
        <f>IFERROR(__xludf.DUMMYFUNCTION("""COMPUTED_VALUE"""),"")</f>
        <v/>
      </c>
      <c r="R1764" s="22" t="str">
        <f>IFERROR(__xludf.DUMMYFUNCTION("""COMPUTED_VALUE"""),"")</f>
        <v/>
      </c>
    </row>
    <row r="1765">
      <c r="A1765" s="17" t="str">
        <f>IFERROR(__xludf.DUMMYFUNCTION("""COMPUTED_VALUE"""),"")</f>
        <v/>
      </c>
      <c r="B1765" s="17" t="str">
        <f>IFERROR(__xludf.DUMMYFUNCTION("""COMPUTED_VALUE"""),"")</f>
        <v/>
      </c>
      <c r="C1765" s="17" t="str">
        <f>IFERROR(__xludf.DUMMYFUNCTION("""COMPUTED_VALUE"""),"")</f>
        <v/>
      </c>
      <c r="D1765" s="17" t="str">
        <f>IFERROR(__xludf.DUMMYFUNCTION("""COMPUTED_VALUE"""),"")</f>
        <v/>
      </c>
      <c r="E1765" s="17" t="str">
        <f>IFERROR(__xludf.DUMMYFUNCTION("""COMPUTED_VALUE"""),"")</f>
        <v/>
      </c>
      <c r="F1765" s="17" t="str">
        <f>IFERROR(__xludf.DUMMYFUNCTION("""COMPUTED_VALUE"""),"")</f>
        <v/>
      </c>
      <c r="G1765" s="17" t="str">
        <f>IFERROR(__xludf.DUMMYFUNCTION("""COMPUTED_VALUE"""),"")</f>
        <v/>
      </c>
      <c r="H1765" s="17" t="str">
        <f>IFERROR(__xludf.DUMMYFUNCTION("""COMPUTED_VALUE"""),"")</f>
        <v/>
      </c>
      <c r="I1765" s="17" t="str">
        <f>IFERROR(__xludf.DUMMYFUNCTION("""COMPUTED_VALUE"""),"")</f>
        <v/>
      </c>
      <c r="J1765" s="17" t="str">
        <f>IFERROR(__xludf.DUMMYFUNCTION("""COMPUTED_VALUE"""),"")</f>
        <v/>
      </c>
      <c r="K1765" s="17" t="str">
        <f>IFERROR(__xludf.DUMMYFUNCTION("""COMPUTED_VALUE"""),"")</f>
        <v/>
      </c>
      <c r="L1765" s="17" t="str">
        <f>IFERROR(__xludf.DUMMYFUNCTION("""COMPUTED_VALUE"""),"")</f>
        <v/>
      </c>
      <c r="M1765" s="17" t="str">
        <f>IFERROR(__xludf.DUMMYFUNCTION("""COMPUTED_VALUE"""),"")</f>
        <v/>
      </c>
      <c r="N1765" s="17" t="str">
        <f>IFERROR(__xludf.DUMMYFUNCTION("""COMPUTED_VALUE"""),"")</f>
        <v/>
      </c>
      <c r="O1765" s="17" t="str">
        <f>IFERROR(__xludf.DUMMYFUNCTION("""COMPUTED_VALUE"""),"")</f>
        <v/>
      </c>
      <c r="P1765" s="17" t="str">
        <f>IFERROR(__xludf.DUMMYFUNCTION("""COMPUTED_VALUE"""),"")</f>
        <v/>
      </c>
      <c r="Q1765" s="17" t="str">
        <f>IFERROR(__xludf.DUMMYFUNCTION("""COMPUTED_VALUE"""),"")</f>
        <v/>
      </c>
      <c r="R1765" s="17" t="str">
        <f>IFERROR(__xludf.DUMMYFUNCTION("""COMPUTED_VALUE"""),"")</f>
        <v/>
      </c>
    </row>
    <row r="1766">
      <c r="A1766" s="15">
        <f>IFERROR(__xludf.DUMMYFUNCTION("""COMPUTED_VALUE"""),45051.0)</f>
        <v>45051</v>
      </c>
      <c r="B1766" s="16" t="str">
        <f>IFERROR(__xludf.DUMMYFUNCTION("""COMPUTED_VALUE"""),"Envia")</f>
        <v>Envia</v>
      </c>
      <c r="C1766" s="15" t="str">
        <f>IFERROR(__xludf.DUMMYFUNCTION("""COMPUTED_VALUE"""),"BARRANQUILLA")</f>
        <v>BARRANQUILLA</v>
      </c>
      <c r="D1766" s="15" t="str">
        <f>IFERROR(__xludf.DUMMYFUNCTION("""COMPUTED_VALUE"""),"MEDELLÍN")</f>
        <v>MEDELLÍN</v>
      </c>
      <c r="E1766" s="15" t="str">
        <f>IFERROR(__xludf.DUMMYFUNCTION("""COMPUTED_VALUE"""),"Baby Chef")</f>
        <v>Baby Chef</v>
      </c>
      <c r="F1766" s="17" t="str">
        <f>IFERROR(__xludf.DUMMYFUNCTION("""COMPUTED_VALUE"""),"Cra 65 No 99-109  / Altos de limonar  Conjunto central garden  Apto 213 / Altos de limonar  Conjunto central garden  Apto 213")</f>
        <v>Cra 65 No 99-109  / Altos de limonar  Conjunto central garden  Apto 213 / Altos de limonar  Conjunto central garden  Apto 213</v>
      </c>
      <c r="G1766" s="15" t="str">
        <f>IFERROR(__xludf.DUMMYFUNCTION("""COMPUTED_VALUE"""),"Natali Niebles")</f>
        <v>Natali Niebles</v>
      </c>
      <c r="H1766" s="16">
        <f>IFERROR(__xludf.DUMMYFUNCTION("""COMPUTED_VALUE"""),10352.0)</f>
        <v>10352</v>
      </c>
      <c r="I1766" s="18">
        <f>IFERROR(__xludf.DUMMYFUNCTION("""COMPUTED_VALUE"""),8.0)</f>
        <v>8</v>
      </c>
      <c r="J1766" s="18">
        <f>IFERROR(__xludf.DUMMYFUNCTION("""COMPUTED_VALUE"""),16.0)</f>
        <v>16</v>
      </c>
      <c r="K1766" s="18">
        <f>IFERROR(__xludf.DUMMYFUNCTION("""COMPUTED_VALUE"""),20.0)</f>
        <v>20</v>
      </c>
      <c r="L1766" s="17">
        <f>IFERROR(__xludf.DUMMYFUNCTION("""COMPUTED_VALUE"""),3.013442593E9)</f>
        <v>3013442593</v>
      </c>
      <c r="M1766" s="17" t="str">
        <f>IFERROR(__xludf.DUMMYFUNCTION("""COMPUTED_VALUE"""),"#REF!")</f>
        <v>#REF!</v>
      </c>
      <c r="N1766" s="17"/>
      <c r="O1766" s="17"/>
      <c r="P1766" s="17" t="b">
        <f>IFERROR(__xludf.DUMMYFUNCTION("""COMPUTED_VALUE"""),FALSE)</f>
        <v>0</v>
      </c>
      <c r="Q1766" s="20" t="str">
        <f>IFERROR(__xludf.DUMMYFUNCTION("""COMPUTED_VALUE"""),"")</f>
        <v/>
      </c>
      <c r="R1766" s="22" t="str">
        <f>IFERROR(__xludf.DUMMYFUNCTION("""COMPUTED_VALUE"""),"")</f>
        <v/>
      </c>
    </row>
    <row r="1767">
      <c r="A1767" s="15">
        <f>IFERROR(__xludf.DUMMYFUNCTION("""COMPUTED_VALUE"""),45051.0)</f>
        <v>45051</v>
      </c>
      <c r="B1767" s="16" t="str">
        <f>IFERROR(__xludf.DUMMYFUNCTION("""COMPUTED_VALUE"""),"Envia")</f>
        <v>Envia</v>
      </c>
      <c r="C1767" s="15" t="str">
        <f>IFERROR(__xludf.DUMMYFUNCTION("""COMPUTED_VALUE"""),"BARRANQUILLA")</f>
        <v>BARRANQUILLA</v>
      </c>
      <c r="D1767" s="15" t="str">
        <f>IFERROR(__xludf.DUMMYFUNCTION("""COMPUTED_VALUE"""),"MEDELLÍN")</f>
        <v>MEDELLÍN</v>
      </c>
      <c r="E1767" s="15" t="str">
        <f>IFERROR(__xludf.DUMMYFUNCTION("""COMPUTED_VALUE"""),"Magda")</f>
        <v>Magda</v>
      </c>
      <c r="F1767" s="17" t="str">
        <f>IFERROR(__xludf.DUMMYFUNCTION("""COMPUTED_VALUE"""),"Cra 53 No. 68-55 / cocina oculta / Alto prado")</f>
        <v>Cra 53 No. 68-55 / cocina oculta / Alto prado</v>
      </c>
      <c r="G1767" s="15" t="str">
        <f>IFERROR(__xludf.DUMMYFUNCTION("""COMPUTED_VALUE"""),"María José Cervantes")</f>
        <v>María José Cervantes</v>
      </c>
      <c r="H1767" s="16">
        <f>IFERROR(__xludf.DUMMYFUNCTION("""COMPUTED_VALUE"""),10367.0)</f>
        <v>10367</v>
      </c>
      <c r="I1767" s="18">
        <f>IFERROR(__xludf.DUMMYFUNCTION("""COMPUTED_VALUE"""),5.0)</f>
        <v>5</v>
      </c>
      <c r="J1767" s="18">
        <f>IFERROR(__xludf.DUMMYFUNCTION("""COMPUTED_VALUE"""),5.0)</f>
        <v>5</v>
      </c>
      <c r="K1767" s="18">
        <f>IFERROR(__xludf.DUMMYFUNCTION("""COMPUTED_VALUE"""),5.0)</f>
        <v>5</v>
      </c>
      <c r="L1767" s="17">
        <f>IFERROR(__xludf.DUMMYFUNCTION("""COMPUTED_VALUE"""),3.113152215E9)</f>
        <v>3113152215</v>
      </c>
      <c r="M1767" s="17" t="str">
        <f>IFERROR(__xludf.DUMMYFUNCTION("""COMPUTED_VALUE"""),"#REF!")</f>
        <v>#REF!</v>
      </c>
      <c r="N1767" s="17"/>
      <c r="O1767" s="17"/>
      <c r="P1767" s="17" t="b">
        <f>IFERROR(__xludf.DUMMYFUNCTION("""COMPUTED_VALUE"""),FALSE)</f>
        <v>0</v>
      </c>
      <c r="Q1767" s="20" t="str">
        <f>IFERROR(__xludf.DUMMYFUNCTION("""COMPUTED_VALUE"""),"")</f>
        <v/>
      </c>
      <c r="R1767" s="22" t="str">
        <f>IFERROR(__xludf.DUMMYFUNCTION("""COMPUTED_VALUE"""),"")</f>
        <v/>
      </c>
    </row>
    <row r="1768">
      <c r="A1768" s="15">
        <f>IFERROR(__xludf.DUMMYFUNCTION("""COMPUTED_VALUE"""),45051.0)</f>
        <v>45051</v>
      </c>
      <c r="B1768" s="16" t="str">
        <f>IFERROR(__xludf.DUMMYFUNCTION("""COMPUTED_VALUE"""),"Envia")</f>
        <v>Envia</v>
      </c>
      <c r="C1768" s="15" t="str">
        <f>IFERROR(__xludf.DUMMYFUNCTION("""COMPUTED_VALUE"""),"BARRANQUILLA")</f>
        <v>BARRANQUILLA</v>
      </c>
      <c r="D1768" s="15" t="str">
        <f>IFERROR(__xludf.DUMMYFUNCTION("""COMPUTED_VALUE"""),"MEDELLÍN")</f>
        <v>MEDELLÍN</v>
      </c>
      <c r="E1768" s="15" t="str">
        <f>IFERROR(__xludf.DUMMYFUNCTION("""COMPUTED_VALUE"""),"Rambla")</f>
        <v>Rambla</v>
      </c>
      <c r="F1768" s="17" t="str">
        <f>IFERROR(__xludf.DUMMYFUNCTION("""COMPUTED_VALUE"""),"Cra 72 # 94-63 edificio Rincón 94 apt 202b barranquilla / NA / NA")</f>
        <v>Cra 72 # 94-63 edificio Rincón 94 apt 202b barranquilla / NA / NA</v>
      </c>
      <c r="G1768" s="15" t="str">
        <f>IFERROR(__xludf.DUMMYFUNCTION("""COMPUTED_VALUE"""),"TIENDA GUAJIRA")</f>
        <v>TIENDA GUAJIRA</v>
      </c>
      <c r="H1768" s="16">
        <f>IFERROR(__xludf.DUMMYFUNCTION("""COMPUTED_VALUE"""),10358.0)</f>
        <v>10358</v>
      </c>
      <c r="I1768" s="18">
        <f>IFERROR(__xludf.DUMMYFUNCTION("""COMPUTED_VALUE"""),28.0)</f>
        <v>28</v>
      </c>
      <c r="J1768" s="18">
        <f>IFERROR(__xludf.DUMMYFUNCTION("""COMPUTED_VALUE"""),31.0)</f>
        <v>31</v>
      </c>
      <c r="K1768" s="18">
        <f>IFERROR(__xludf.DUMMYFUNCTION("""COMPUTED_VALUE"""),34.0)</f>
        <v>34</v>
      </c>
      <c r="L1768" s="17">
        <f>IFERROR(__xludf.DUMMYFUNCTION("""COMPUTED_VALUE"""),3.138600187E9)</f>
        <v>3138600187</v>
      </c>
      <c r="M1768" s="17" t="str">
        <f>IFERROR(__xludf.DUMMYFUNCTION("""COMPUTED_VALUE"""),"#REF!")</f>
        <v>#REF!</v>
      </c>
      <c r="N1768" s="17"/>
      <c r="O1768" s="17"/>
      <c r="P1768" s="17" t="b">
        <f>IFERROR(__xludf.DUMMYFUNCTION("""COMPUTED_VALUE"""),FALSE)</f>
        <v>0</v>
      </c>
      <c r="Q1768" s="20" t="str">
        <f>IFERROR(__xludf.DUMMYFUNCTION("""COMPUTED_VALUE"""),"")</f>
        <v/>
      </c>
      <c r="R1768" s="22" t="str">
        <f>IFERROR(__xludf.DUMMYFUNCTION("""COMPUTED_VALUE"""),"")</f>
        <v/>
      </c>
    </row>
    <row r="1769">
      <c r="A1769" s="15">
        <f>IFERROR(__xludf.DUMMYFUNCTION("""COMPUTED_VALUE"""),45051.0)</f>
        <v>45051</v>
      </c>
      <c r="B1769" s="16" t="str">
        <f>IFERROR(__xludf.DUMMYFUNCTION("""COMPUTED_VALUE"""),"Envia")</f>
        <v>Envia</v>
      </c>
      <c r="C1769" s="15" t="str">
        <f>IFERROR(__xludf.DUMMYFUNCTION("""COMPUTED_VALUE"""),"BOGOTÁ")</f>
        <v>BOGOTÁ</v>
      </c>
      <c r="D1769" s="15" t="str">
        <f>IFERROR(__xludf.DUMMYFUNCTION("""COMPUTED_VALUE"""),"MEDELLÍN")</f>
        <v>MEDELLÍN</v>
      </c>
      <c r="E1769" s="15" t="str">
        <f>IFERROR(__xludf.DUMMYFUNCTION("""COMPUTED_VALUE"""),"Baby Chef")</f>
        <v>Baby Chef</v>
      </c>
      <c r="F1769" s="17" t="str">
        <f>IFERROR(__xludf.DUMMYFUNCTION("""COMPUTED_VALUE"""),"Calle 182 # 45 24  / Conjunto Residencial Alameda de Santafé Torre 3 Apto 702 / Barrio Nueva Zelanda")</f>
        <v>Calle 182 # 45 24  / Conjunto Residencial Alameda de Santafé Torre 3 Apto 702 / Barrio Nueva Zelanda</v>
      </c>
      <c r="G1769" s="15" t="str">
        <f>IFERROR(__xludf.DUMMYFUNCTION("""COMPUTED_VALUE"""),"Tatiana Olaya")</f>
        <v>Tatiana Olaya</v>
      </c>
      <c r="H1769" s="16">
        <f>IFERROR(__xludf.DUMMYFUNCTION("""COMPUTED_VALUE"""),10386.0)</f>
        <v>10386</v>
      </c>
      <c r="I1769" s="18">
        <f>IFERROR(__xludf.DUMMYFUNCTION("""COMPUTED_VALUE"""),8.0)</f>
        <v>8</v>
      </c>
      <c r="J1769" s="18">
        <f>IFERROR(__xludf.DUMMYFUNCTION("""COMPUTED_VALUE"""),16.0)</f>
        <v>16</v>
      </c>
      <c r="K1769" s="18">
        <f>IFERROR(__xludf.DUMMYFUNCTION("""COMPUTED_VALUE"""),20.0)</f>
        <v>20</v>
      </c>
      <c r="L1769" s="17">
        <f>IFERROR(__xludf.DUMMYFUNCTION("""COMPUTED_VALUE"""),3.11568834E9)</f>
        <v>3115688340</v>
      </c>
      <c r="M1769" s="17" t="str">
        <f>IFERROR(__xludf.DUMMYFUNCTION("""COMPUTED_VALUE"""),"#REF!")</f>
        <v>#REF!</v>
      </c>
      <c r="N1769" s="17"/>
      <c r="O1769" s="17"/>
      <c r="P1769" s="17" t="b">
        <f>IFERROR(__xludf.DUMMYFUNCTION("""COMPUTED_VALUE"""),FALSE)</f>
        <v>0</v>
      </c>
      <c r="Q1769" s="20" t="str">
        <f>IFERROR(__xludf.DUMMYFUNCTION("""COMPUTED_VALUE"""),"")</f>
        <v/>
      </c>
      <c r="R1769" s="22" t="str">
        <f>IFERROR(__xludf.DUMMYFUNCTION("""COMPUTED_VALUE"""),"")</f>
        <v/>
      </c>
    </row>
    <row r="1770">
      <c r="A1770" s="15">
        <f>IFERROR(__xludf.DUMMYFUNCTION("""COMPUTED_VALUE"""),45051.0)</f>
        <v>45051</v>
      </c>
      <c r="B1770" s="16" t="str">
        <f>IFERROR(__xludf.DUMMYFUNCTION("""COMPUTED_VALUE"""),"Envia")</f>
        <v>Envia</v>
      </c>
      <c r="C1770" s="15" t="str">
        <f>IFERROR(__xludf.DUMMYFUNCTION("""COMPUTED_VALUE"""),"BOGOTÁ")</f>
        <v>BOGOTÁ</v>
      </c>
      <c r="D1770" s="15" t="str">
        <f>IFERROR(__xludf.DUMMYFUNCTION("""COMPUTED_VALUE"""),"MEDELLÍN")</f>
        <v>MEDELLÍN</v>
      </c>
      <c r="E1770" s="15" t="str">
        <f>IFERROR(__xludf.DUMMYFUNCTION("""COMPUTED_VALUE"""),"Moloso S.A.S")</f>
        <v>Moloso S.A.S</v>
      </c>
      <c r="F1770" s="17" t="str">
        <f>IFERROR(__xludf.DUMMYFUNCTION("""COMPUTED_VALUE"""),"CALLE 138 # 57 - 38 TORRE 3 / APTO 401")</f>
        <v>CALLE 138 # 57 - 38 TORRE 3 / APTO 401</v>
      </c>
      <c r="G1770" s="15" t="str">
        <f>IFERROR(__xludf.DUMMYFUNCTION("""COMPUTED_VALUE"""),"DAVID PULIDO ROMERO")</f>
        <v>DAVID PULIDO ROMERO</v>
      </c>
      <c r="H1770" s="16">
        <f>IFERROR(__xludf.DUMMYFUNCTION("""COMPUTED_VALUE"""),10382.0)</f>
        <v>10382</v>
      </c>
      <c r="I1770" s="18">
        <f>IFERROR(__xludf.DUMMYFUNCTION("""COMPUTED_VALUE"""),17.0)</f>
        <v>17</v>
      </c>
      <c r="J1770" s="18">
        <f>IFERROR(__xludf.DUMMYFUNCTION("""COMPUTED_VALUE"""),15.0)</f>
        <v>15</v>
      </c>
      <c r="K1770" s="18">
        <f>IFERROR(__xludf.DUMMYFUNCTION("""COMPUTED_VALUE"""),28.0)</f>
        <v>28</v>
      </c>
      <c r="L1770" s="17">
        <f>IFERROR(__xludf.DUMMYFUNCTION("""COMPUTED_VALUE"""),3.053165403E9)</f>
        <v>3053165403</v>
      </c>
      <c r="M1770" s="17" t="str">
        <f>IFERROR(__xludf.DUMMYFUNCTION("""COMPUTED_VALUE"""),"#REF!")</f>
        <v>#REF!</v>
      </c>
      <c r="N1770" s="17"/>
      <c r="O1770" s="17"/>
      <c r="P1770" s="17" t="b">
        <f>IFERROR(__xludf.DUMMYFUNCTION("""COMPUTED_VALUE"""),FALSE)</f>
        <v>0</v>
      </c>
      <c r="Q1770" s="20" t="str">
        <f>IFERROR(__xludf.DUMMYFUNCTION("""COMPUTED_VALUE"""),"")</f>
        <v/>
      </c>
      <c r="R1770" s="22" t="str">
        <f>IFERROR(__xludf.DUMMYFUNCTION("""COMPUTED_VALUE"""),"")</f>
        <v/>
      </c>
    </row>
    <row r="1771">
      <c r="A1771" s="15">
        <f>IFERROR(__xludf.DUMMYFUNCTION("""COMPUTED_VALUE"""),45051.0)</f>
        <v>45051</v>
      </c>
      <c r="B1771" s="16" t="str">
        <f>IFERROR(__xludf.DUMMYFUNCTION("""COMPUTED_VALUE"""),"Envia")</f>
        <v>Envia</v>
      </c>
      <c r="C1771" s="15" t="str">
        <f>IFERROR(__xludf.DUMMYFUNCTION("""COMPUTED_VALUE"""),"BOGOTÁ")</f>
        <v>BOGOTÁ</v>
      </c>
      <c r="D1771" s="15" t="str">
        <f>IFERROR(__xludf.DUMMYFUNCTION("""COMPUTED_VALUE"""),"MEDELLÍN")</f>
        <v>MEDELLÍN</v>
      </c>
      <c r="E1771" s="15" t="str">
        <f>IFERROR(__xludf.DUMMYFUNCTION("""COMPUTED_VALUE"""),"Rambla")</f>
        <v>Rambla</v>
      </c>
      <c r="F1771" s="17" t="str">
        <f>IFERROR(__xludf.DUMMYFUNCTION("""COMPUTED_VALUE"""),"Calle 41 a número 8-25 bulevar 42 apto 707 b  / na / na")</f>
        <v>Calle 41 a número 8-25 bulevar 42 apto 707 b  / na / na</v>
      </c>
      <c r="G1771" s="15" t="str">
        <f>IFERROR(__xludf.DUMMYFUNCTION("""COMPUTED_VALUE"""),"Nutriclicstore")</f>
        <v>Nutriclicstore</v>
      </c>
      <c r="H1771" s="16">
        <f>IFERROR(__xludf.DUMMYFUNCTION("""COMPUTED_VALUE"""),10395.0)</f>
        <v>10395</v>
      </c>
      <c r="I1771" s="18">
        <f>IFERROR(__xludf.DUMMYFUNCTION("""COMPUTED_VALUE"""),20.0)</f>
        <v>20</v>
      </c>
      <c r="J1771" s="18">
        <f>IFERROR(__xludf.DUMMYFUNCTION("""COMPUTED_VALUE"""),23.0)</f>
        <v>23</v>
      </c>
      <c r="K1771" s="18">
        <f>IFERROR(__xludf.DUMMYFUNCTION("""COMPUTED_VALUE"""),25.0)</f>
        <v>25</v>
      </c>
      <c r="L1771" s="17">
        <f>IFERROR(__xludf.DUMMYFUNCTION("""COMPUTED_VALUE"""),3.102661625E9)</f>
        <v>3102661625</v>
      </c>
      <c r="M1771" s="17" t="str">
        <f>IFERROR(__xludf.DUMMYFUNCTION("""COMPUTED_VALUE"""),"#REF!")</f>
        <v>#REF!</v>
      </c>
      <c r="N1771" s="17"/>
      <c r="O1771" s="17"/>
      <c r="P1771" s="17" t="b">
        <f>IFERROR(__xludf.DUMMYFUNCTION("""COMPUTED_VALUE"""),FALSE)</f>
        <v>0</v>
      </c>
      <c r="Q1771" s="20" t="str">
        <f>IFERROR(__xludf.DUMMYFUNCTION("""COMPUTED_VALUE"""),"")</f>
        <v/>
      </c>
      <c r="R1771" s="22" t="str">
        <f>IFERROR(__xludf.DUMMYFUNCTION("""COMPUTED_VALUE"""),"")</f>
        <v/>
      </c>
    </row>
    <row r="1772">
      <c r="A1772" s="15">
        <f>IFERROR(__xludf.DUMMYFUNCTION("""COMPUTED_VALUE"""),45051.0)</f>
        <v>45051</v>
      </c>
      <c r="B1772" s="16" t="str">
        <f>IFERROR(__xludf.DUMMYFUNCTION("""COMPUTED_VALUE"""),"Envia")</f>
        <v>Envia</v>
      </c>
      <c r="C1772" s="15" t="str">
        <f>IFERROR(__xludf.DUMMYFUNCTION("""COMPUTED_VALUE"""),"BOGOTÁ")</f>
        <v>BOGOTÁ</v>
      </c>
      <c r="D1772" s="15" t="str">
        <f>IFERROR(__xludf.DUMMYFUNCTION("""COMPUTED_VALUE"""),"MEDELLÍN")</f>
        <v>MEDELLÍN</v>
      </c>
      <c r="E1772" s="15" t="str">
        <f>IFERROR(__xludf.DUMMYFUNCTION("""COMPUTED_VALUE"""),"Rambla")</f>
        <v>Rambla</v>
      </c>
      <c r="F1772" s="17" t="str">
        <f>IFERROR(__xludf.DUMMYFUNCTION("""COMPUTED_VALUE"""),"Calle 7 No 1A - 91 Este- Centro Comercial Casa Blanca local 75 Madrid Cundinamarca   / na / na")</f>
        <v>Calle 7 No 1A - 91 Este- Centro Comercial Casa Blanca local 75 Madrid Cundinamarca   / na / na</v>
      </c>
      <c r="G1772" s="15" t="str">
        <f>IFERROR(__xludf.DUMMYFUNCTION("""COMPUTED_VALUE"""),"Mecato  natural")</f>
        <v>Mecato  natural</v>
      </c>
      <c r="H1772" s="16">
        <f>IFERROR(__xludf.DUMMYFUNCTION("""COMPUTED_VALUE"""),10399.0)</f>
        <v>10399</v>
      </c>
      <c r="I1772" s="18">
        <f>IFERROR(__xludf.DUMMYFUNCTION("""COMPUTED_VALUE"""),20.0)</f>
        <v>20</v>
      </c>
      <c r="J1772" s="18">
        <f>IFERROR(__xludf.DUMMYFUNCTION("""COMPUTED_VALUE"""),23.0)</f>
        <v>23</v>
      </c>
      <c r="K1772" s="18">
        <f>IFERROR(__xludf.DUMMYFUNCTION("""COMPUTED_VALUE"""),25.0)</f>
        <v>25</v>
      </c>
      <c r="L1772" s="17">
        <f>IFERROR(__xludf.DUMMYFUNCTION("""COMPUTED_VALUE"""),3.126370098E9)</f>
        <v>3126370098</v>
      </c>
      <c r="M1772" s="17" t="str">
        <f>IFERROR(__xludf.DUMMYFUNCTION("""COMPUTED_VALUE"""),"#REF!")</f>
        <v>#REF!</v>
      </c>
      <c r="N1772" s="17"/>
      <c r="O1772" s="17"/>
      <c r="P1772" s="17" t="b">
        <f>IFERROR(__xludf.DUMMYFUNCTION("""COMPUTED_VALUE"""),FALSE)</f>
        <v>0</v>
      </c>
      <c r="Q1772" s="20" t="str">
        <f>IFERROR(__xludf.DUMMYFUNCTION("""COMPUTED_VALUE"""),"")</f>
        <v/>
      </c>
      <c r="R1772" s="22" t="str">
        <f>IFERROR(__xludf.DUMMYFUNCTION("""COMPUTED_VALUE"""),"")</f>
        <v/>
      </c>
    </row>
    <row r="1773">
      <c r="A1773" s="15">
        <f>IFERROR(__xludf.DUMMYFUNCTION("""COMPUTED_VALUE"""),45051.0)</f>
        <v>45051</v>
      </c>
      <c r="B1773" s="16" t="str">
        <f>IFERROR(__xludf.DUMMYFUNCTION("""COMPUTED_VALUE"""),"Envia")</f>
        <v>Envia</v>
      </c>
      <c r="C1773" s="15" t="str">
        <f>IFERROR(__xludf.DUMMYFUNCTION("""COMPUTED_VALUE"""),"BUCARAMANGA")</f>
        <v>BUCARAMANGA</v>
      </c>
      <c r="D1773" s="15" t="str">
        <f>IFERROR(__xludf.DUMMYFUNCTION("""COMPUTED_VALUE"""),"BOGOTÁ")</f>
        <v>BOGOTÁ</v>
      </c>
      <c r="E1773" s="15" t="str">
        <f>IFERROR(__xludf.DUMMYFUNCTION("""COMPUTED_VALUE"""),"Evamazzita")</f>
        <v>Evamazzita</v>
      </c>
      <c r="F1773" s="17" t="str">
        <f>IFERROR(__xludf.DUMMYFUNCTION("""COMPUTED_VALUE"""),"CARRERA 20 # 7 - 11 / N/A / BARRIO COMUNEROS")</f>
        <v>CARRERA 20 # 7 - 11 / N/A / BARRIO COMUNEROS</v>
      </c>
      <c r="G1773" s="15" t="str">
        <f>IFERROR(__xludf.DUMMYFUNCTION("""COMPUTED_VALUE"""),"MARIO JOSÉ CORTÉS PARADA")</f>
        <v>MARIO JOSÉ CORTÉS PARADA</v>
      </c>
      <c r="H1773" s="16">
        <f>IFERROR(__xludf.DUMMYFUNCTION("""COMPUTED_VALUE"""),10373.0)</f>
        <v>10373</v>
      </c>
      <c r="I1773" s="18">
        <f>IFERROR(__xludf.DUMMYFUNCTION("""COMPUTED_VALUE"""),19.0)</f>
        <v>19</v>
      </c>
      <c r="J1773" s="18">
        <f>IFERROR(__xludf.DUMMYFUNCTION("""COMPUTED_VALUE"""),36.0)</f>
        <v>36</v>
      </c>
      <c r="K1773" s="18">
        <f>IFERROR(__xludf.DUMMYFUNCTION("""COMPUTED_VALUE"""),49.0)</f>
        <v>49</v>
      </c>
      <c r="L1773" s="17">
        <f>IFERROR(__xludf.DUMMYFUNCTION("""COMPUTED_VALUE"""),3.123394474E9)</f>
        <v>3123394474</v>
      </c>
      <c r="M1773" s="17" t="str">
        <f>IFERROR(__xludf.DUMMYFUNCTION("""COMPUTED_VALUE"""),"#REF!")</f>
        <v>#REF!</v>
      </c>
      <c r="N1773" s="17"/>
      <c r="O1773" s="17"/>
      <c r="P1773" s="17" t="b">
        <f>IFERROR(__xludf.DUMMYFUNCTION("""COMPUTED_VALUE"""),FALSE)</f>
        <v>0</v>
      </c>
      <c r="Q1773" s="20" t="str">
        <f>IFERROR(__xludf.DUMMYFUNCTION("""COMPUTED_VALUE"""),"")</f>
        <v/>
      </c>
      <c r="R1773" s="22" t="str">
        <f>IFERROR(__xludf.DUMMYFUNCTION("""COMPUTED_VALUE"""),"")</f>
        <v/>
      </c>
    </row>
    <row r="1774">
      <c r="A1774" s="15">
        <f>IFERROR(__xludf.DUMMYFUNCTION("""COMPUTED_VALUE"""),45051.0)</f>
        <v>45051</v>
      </c>
      <c r="B1774" s="16" t="str">
        <f>IFERROR(__xludf.DUMMYFUNCTION("""COMPUTED_VALUE"""),"Envia")</f>
        <v>Envia</v>
      </c>
      <c r="C1774" s="15" t="str">
        <f>IFERROR(__xludf.DUMMYFUNCTION("""COMPUTED_VALUE"""),"CALI")</f>
        <v>CALI</v>
      </c>
      <c r="D1774" s="15" t="str">
        <f>IFERROR(__xludf.DUMMYFUNCTION("""COMPUTED_VALUE"""),"BOGOTÁ")</f>
        <v>BOGOTÁ</v>
      </c>
      <c r="E1774" s="15" t="str">
        <f>IFERROR(__xludf.DUMMYFUNCTION("""COMPUTED_VALUE"""),"Renata")</f>
        <v>Renata</v>
      </c>
      <c r="F1774" s="17" t="str">
        <f>IFERROR(__xludf.DUMMYFUNCTION("""COMPUTED_VALUE"""),"Carrera 3#3a-83 / Patio 34 food containers -restaurante  / San Fernando")</f>
        <v>Carrera 3#3a-83 / Patio 34 food containers -restaurante  / San Fernando</v>
      </c>
      <c r="G1774" s="15" t="str">
        <f>IFERROR(__xludf.DUMMYFUNCTION("""COMPUTED_VALUE"""),"Retaco sas")</f>
        <v>Retaco sas</v>
      </c>
      <c r="H1774" s="16">
        <f>IFERROR(__xludf.DUMMYFUNCTION("""COMPUTED_VALUE"""),10383.0)</f>
        <v>10383</v>
      </c>
      <c r="I1774" s="18">
        <f>IFERROR(__xludf.DUMMYFUNCTION("""COMPUTED_VALUE"""),90.0)</f>
        <v>90</v>
      </c>
      <c r="J1774" s="18">
        <f>IFERROR(__xludf.DUMMYFUNCTION("""COMPUTED_VALUE"""),70.0)</f>
        <v>70</v>
      </c>
      <c r="K1774" s="18">
        <f>IFERROR(__xludf.DUMMYFUNCTION("""COMPUTED_VALUE"""),60.0)</f>
        <v>60</v>
      </c>
      <c r="L1774" s="17">
        <f>IFERROR(__xludf.DUMMYFUNCTION("""COMPUTED_VALUE"""),3.134720976E9)</f>
        <v>3134720976</v>
      </c>
      <c r="M1774" s="17" t="str">
        <f>IFERROR(__xludf.DUMMYFUNCTION("""COMPUTED_VALUE"""),"#REF!")</f>
        <v>#REF!</v>
      </c>
      <c r="N1774" s="17"/>
      <c r="O1774" s="17"/>
      <c r="P1774" s="17" t="b">
        <f>IFERROR(__xludf.DUMMYFUNCTION("""COMPUTED_VALUE"""),FALSE)</f>
        <v>0</v>
      </c>
      <c r="Q1774" s="20" t="str">
        <f>IFERROR(__xludf.DUMMYFUNCTION("""COMPUTED_VALUE"""),"")</f>
        <v/>
      </c>
      <c r="R1774" s="22" t="str">
        <f>IFERROR(__xludf.DUMMYFUNCTION("""COMPUTED_VALUE"""),"")</f>
        <v/>
      </c>
    </row>
    <row r="1775">
      <c r="A1775" s="15">
        <f>IFERROR(__xludf.DUMMYFUNCTION("""COMPUTED_VALUE"""),45051.0)</f>
        <v>45051</v>
      </c>
      <c r="B1775" s="16" t="str">
        <f>IFERROR(__xludf.DUMMYFUNCTION("""COMPUTED_VALUE"""),"Envia")</f>
        <v>Envia</v>
      </c>
      <c r="C1775" s="15" t="str">
        <f>IFERROR(__xludf.DUMMYFUNCTION("""COMPUTED_VALUE"""),"CÚCUTA")</f>
        <v>CÚCUTA</v>
      </c>
      <c r="D1775" s="15" t="str">
        <f>IFERROR(__xludf.DUMMYFUNCTION("""COMPUTED_VALUE"""),"BOGOTÁ")</f>
        <v>BOGOTÁ</v>
      </c>
      <c r="E1775" s="15" t="str">
        <f>IFERROR(__xludf.DUMMYFUNCTION("""COMPUTED_VALUE"""),"Lunchy Kids")</f>
        <v>Lunchy Kids</v>
      </c>
      <c r="F1775" s="17" t="str">
        <f>IFERROR(__xludf.DUMMYFUNCTION("""COMPUTED_VALUE"""),"Conjunto palmas country house -  Via bocono  / Casa A9 / Via Boconó")</f>
        <v>Conjunto palmas country house -  Via bocono  / Casa A9 / Via Boconó</v>
      </c>
      <c r="G1775" s="15" t="str">
        <f>IFERROR(__xludf.DUMMYFUNCTION("""COMPUTED_VALUE"""),"Yuliana Villamizar")</f>
        <v>Yuliana Villamizar</v>
      </c>
      <c r="H1775" s="16">
        <f>IFERROR(__xludf.DUMMYFUNCTION("""COMPUTED_VALUE"""),10247.0)</f>
        <v>10247</v>
      </c>
      <c r="I1775" s="18">
        <f>IFERROR(__xludf.DUMMYFUNCTION("""COMPUTED_VALUE"""),22.0)</f>
        <v>22</v>
      </c>
      <c r="J1775" s="18">
        <f>IFERROR(__xludf.DUMMYFUNCTION("""COMPUTED_VALUE"""),35.0)</f>
        <v>35</v>
      </c>
      <c r="K1775" s="18">
        <f>IFERROR(__xludf.DUMMYFUNCTION("""COMPUTED_VALUE"""),6.0)</f>
        <v>6</v>
      </c>
      <c r="L1775" s="17">
        <f>IFERROR(__xludf.DUMMYFUNCTION("""COMPUTED_VALUE"""),3.04291368E9)</f>
        <v>3042913680</v>
      </c>
      <c r="M1775" s="17" t="str">
        <f>IFERROR(__xludf.DUMMYFUNCTION("""COMPUTED_VALUE"""),"#REF!")</f>
        <v>#REF!</v>
      </c>
      <c r="N1775" s="17"/>
      <c r="O1775" s="17"/>
      <c r="P1775" s="17" t="b">
        <f>IFERROR(__xludf.DUMMYFUNCTION("""COMPUTED_VALUE"""),FALSE)</f>
        <v>0</v>
      </c>
      <c r="Q1775" s="20" t="str">
        <f>IFERROR(__xludf.DUMMYFUNCTION("""COMPUTED_VALUE"""),"")</f>
        <v/>
      </c>
      <c r="R1775" s="22" t="str">
        <f>IFERROR(__xludf.DUMMYFUNCTION("""COMPUTED_VALUE"""),"")</f>
        <v/>
      </c>
    </row>
    <row r="1776">
      <c r="A1776" s="15">
        <f>IFERROR(__xludf.DUMMYFUNCTION("""COMPUTED_VALUE"""),45051.0)</f>
        <v>45051</v>
      </c>
      <c r="B1776" s="16" t="str">
        <f>IFERROR(__xludf.DUMMYFUNCTION("""COMPUTED_VALUE"""),"Envia")</f>
        <v>Envia</v>
      </c>
      <c r="C1776" s="15" t="str">
        <f>IFERROR(__xludf.DUMMYFUNCTION("""COMPUTED_VALUE"""),"CÚCUTA")</f>
        <v>CÚCUTA</v>
      </c>
      <c r="D1776" s="15" t="str">
        <f>IFERROR(__xludf.DUMMYFUNCTION("""COMPUTED_VALUE"""),"BOGOTÁ")</f>
        <v>BOGOTÁ</v>
      </c>
      <c r="E1776" s="15" t="str">
        <f>IFERROR(__xludf.DUMMYFUNCTION("""COMPUTED_VALUE"""),"Pan de Waffle")</f>
        <v>Pan de Waffle</v>
      </c>
      <c r="F1776" s="17" t="str">
        <f>IFERROR(__xludf.DUMMYFUNCTION("""COMPUTED_VALUE"""),"Avenida 3e # 6cn - 12 Ceiba 2 / Avenida 3e # 6cn - 12 Ceiba 2 / Avenida 3e # 6cn - 12 Ceiba 2")</f>
        <v>Avenida 3e # 6cn - 12 Ceiba 2 / Avenida 3e # 6cn - 12 Ceiba 2 / Avenida 3e # 6cn - 12 Ceiba 2</v>
      </c>
      <c r="G1776" s="15" t="str">
        <f>IFERROR(__xludf.DUMMYFUNCTION("""COMPUTED_VALUE"""),"LA BODEGUITA MARKET FIT")</f>
        <v>LA BODEGUITA MARKET FIT</v>
      </c>
      <c r="H1776" s="16">
        <f>IFERROR(__xludf.DUMMYFUNCTION("""COMPUTED_VALUE"""),10343.0)</f>
        <v>10343</v>
      </c>
      <c r="I1776" s="18">
        <f>IFERROR(__xludf.DUMMYFUNCTION("""COMPUTED_VALUE"""),30.0)</f>
        <v>30</v>
      </c>
      <c r="J1776" s="18">
        <f>IFERROR(__xludf.DUMMYFUNCTION("""COMPUTED_VALUE"""),30.0)</f>
        <v>30</v>
      </c>
      <c r="K1776" s="18">
        <f>IFERROR(__xludf.DUMMYFUNCTION("""COMPUTED_VALUE"""),40.0)</f>
        <v>40</v>
      </c>
      <c r="L1776" s="17">
        <f>IFERROR(__xludf.DUMMYFUNCTION("""COMPUTED_VALUE"""),3.00384312E9)</f>
        <v>3003843120</v>
      </c>
      <c r="M1776" s="17" t="str">
        <f>IFERROR(__xludf.DUMMYFUNCTION("""COMPUTED_VALUE"""),"#REF!")</f>
        <v>#REF!</v>
      </c>
      <c r="N1776" s="17"/>
      <c r="O1776" s="17"/>
      <c r="P1776" s="17" t="b">
        <f>IFERROR(__xludf.DUMMYFUNCTION("""COMPUTED_VALUE"""),FALSE)</f>
        <v>0</v>
      </c>
      <c r="Q1776" s="20" t="str">
        <f>IFERROR(__xludf.DUMMYFUNCTION("""COMPUTED_VALUE"""),"")</f>
        <v/>
      </c>
      <c r="R1776" s="22" t="str">
        <f>IFERROR(__xludf.DUMMYFUNCTION("""COMPUTED_VALUE"""),"")</f>
        <v/>
      </c>
    </row>
    <row r="1777">
      <c r="A1777" s="15">
        <f>IFERROR(__xludf.DUMMYFUNCTION("""COMPUTED_VALUE"""),45051.0)</f>
        <v>45051</v>
      </c>
      <c r="B1777" s="16" t="str">
        <f>IFERROR(__xludf.DUMMYFUNCTION("""COMPUTED_VALUE"""),"Envia")</f>
        <v>Envia</v>
      </c>
      <c r="C1777" s="15" t="str">
        <f>IFERROR(__xludf.DUMMYFUNCTION("""COMPUTED_VALUE"""),"MEDELLÍN")</f>
        <v>MEDELLÍN</v>
      </c>
      <c r="D1777" s="15" t="str">
        <f>IFERROR(__xludf.DUMMYFUNCTION("""COMPUTED_VALUE"""),"BOGOTÁ")</f>
        <v>BOGOTÁ</v>
      </c>
      <c r="E1777" s="15" t="str">
        <f>IFERROR(__xludf.DUMMYFUNCTION("""COMPUTED_VALUE"""),"Loomifoods")</f>
        <v>Loomifoods</v>
      </c>
      <c r="F1777" s="17" t="str">
        <f>IFERROR(__xludf.DUMMYFUNCTION("""COMPUTED_VALUE"""),"Calle 14a no. 40a - 75 / Edificio toulhose, Castropol / El Poblado")</f>
        <v>Calle 14a no. 40a - 75 / Edificio toulhose, Castropol / El Poblado</v>
      </c>
      <c r="G1777" s="15" t="str">
        <f>IFERROR(__xludf.DUMMYFUNCTION("""COMPUTED_VALUE"""),"Carla García")</f>
        <v>Carla García</v>
      </c>
      <c r="H1777" s="16">
        <f>IFERROR(__xludf.DUMMYFUNCTION("""COMPUTED_VALUE"""),10391.0)</f>
        <v>10391</v>
      </c>
      <c r="I1777" s="18">
        <f>IFERROR(__xludf.DUMMYFUNCTION("""COMPUTED_VALUE"""),20.0)</f>
        <v>20</v>
      </c>
      <c r="J1777" s="18">
        <f>IFERROR(__xludf.DUMMYFUNCTION("""COMPUTED_VALUE"""),10.0)</f>
        <v>10</v>
      </c>
      <c r="K1777" s="18">
        <f>IFERROR(__xludf.DUMMYFUNCTION("""COMPUTED_VALUE"""),16.0)</f>
        <v>16</v>
      </c>
      <c r="L1777" s="17">
        <f>IFERROR(__xludf.DUMMYFUNCTION("""COMPUTED_VALUE"""),3.104795116E9)</f>
        <v>3104795116</v>
      </c>
      <c r="M1777" s="17" t="str">
        <f>IFERROR(__xludf.DUMMYFUNCTION("""COMPUTED_VALUE"""),"#REF!")</f>
        <v>#REF!</v>
      </c>
      <c r="N1777" s="17"/>
      <c r="O1777" s="17"/>
      <c r="P1777" s="17" t="b">
        <f>IFERROR(__xludf.DUMMYFUNCTION("""COMPUTED_VALUE"""),FALSE)</f>
        <v>0</v>
      </c>
      <c r="Q1777" s="20" t="str">
        <f>IFERROR(__xludf.DUMMYFUNCTION("""COMPUTED_VALUE"""),"")</f>
        <v/>
      </c>
      <c r="R1777" s="22" t="str">
        <f>IFERROR(__xludf.DUMMYFUNCTION("""COMPUTED_VALUE"""),"")</f>
        <v/>
      </c>
    </row>
    <row r="1778">
      <c r="A1778" s="15">
        <f>IFERROR(__xludf.DUMMYFUNCTION("""COMPUTED_VALUE"""),45051.0)</f>
        <v>45051</v>
      </c>
      <c r="B1778" s="16" t="str">
        <f>IFERROR(__xludf.DUMMYFUNCTION("""COMPUTED_VALUE"""),"Envia")</f>
        <v>Envia</v>
      </c>
      <c r="C1778" s="15" t="str">
        <f>IFERROR(__xludf.DUMMYFUNCTION("""COMPUTED_VALUE"""),"MEDELLÍN")</f>
        <v>MEDELLÍN</v>
      </c>
      <c r="D1778" s="15" t="str">
        <f>IFERROR(__xludf.DUMMYFUNCTION("""COMPUTED_VALUE"""),"BOGOTÁ")</f>
        <v>BOGOTÁ</v>
      </c>
      <c r="E1778" s="15" t="str">
        <f>IFERROR(__xludf.DUMMYFUNCTION("""COMPUTED_VALUE"""),"MAI ALIMENTOS S.A.S")</f>
        <v>MAI ALIMENTOS S.A.S</v>
      </c>
      <c r="F1778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1778" s="15" t="str">
        <f>IFERROR(__xludf.DUMMYFUNCTION("""COMPUTED_VALUE"""),"Novaventas - Medellin")</f>
        <v>Novaventas - Medellin</v>
      </c>
      <c r="H1778" s="16">
        <f>IFERROR(__xludf.DUMMYFUNCTION("""COMPUTED_VALUE"""),10339.0)</f>
        <v>10339</v>
      </c>
      <c r="I1778" s="18">
        <f>IFERROR(__xludf.DUMMYFUNCTION("""COMPUTED_VALUE"""),35.0)</f>
        <v>35</v>
      </c>
      <c r="J1778" s="18">
        <f>IFERROR(__xludf.DUMMYFUNCTION("""COMPUTED_VALUE"""),17.0)</f>
        <v>17</v>
      </c>
      <c r="K1778" s="18">
        <f>IFERROR(__xludf.DUMMYFUNCTION("""COMPUTED_VALUE"""),13.0)</f>
        <v>13</v>
      </c>
      <c r="L1778" s="17">
        <f>IFERROR(__xludf.DUMMYFUNCTION("""COMPUTED_VALUE"""),3.187351593E9)</f>
        <v>3187351593</v>
      </c>
      <c r="M1778" s="17" t="str">
        <f>IFERROR(__xludf.DUMMYFUNCTION("""COMPUTED_VALUE"""),"#REF!")</f>
        <v>#REF!</v>
      </c>
      <c r="N1778" s="17"/>
      <c r="O1778" s="17"/>
      <c r="P1778" s="17" t="b">
        <f>IFERROR(__xludf.DUMMYFUNCTION("""COMPUTED_VALUE"""),FALSE)</f>
        <v>0</v>
      </c>
      <c r="Q1778" s="20" t="str">
        <f>IFERROR(__xludf.DUMMYFUNCTION("""COMPUTED_VALUE"""),"")</f>
        <v/>
      </c>
      <c r="R1778" s="22" t="str">
        <f>IFERROR(__xludf.DUMMYFUNCTION("""COMPUTED_VALUE"""),"")</f>
        <v/>
      </c>
    </row>
    <row r="1779">
      <c r="A1779" s="15">
        <f>IFERROR(__xludf.DUMMYFUNCTION("""COMPUTED_VALUE"""),45051.0)</f>
        <v>45051</v>
      </c>
      <c r="B1779" s="16" t="str">
        <f>IFERROR(__xludf.DUMMYFUNCTION("""COMPUTED_VALUE"""),"Envia")</f>
        <v>Envia</v>
      </c>
      <c r="C1779" s="15" t="str">
        <f>IFERROR(__xludf.DUMMYFUNCTION("""COMPUTED_VALUE"""),"MEDELLÍN")</f>
        <v>MEDELLÍN</v>
      </c>
      <c r="D1779" s="15" t="str">
        <f>IFERROR(__xludf.DUMMYFUNCTION("""COMPUTED_VALUE"""),"BOGOTÁ")</f>
        <v>BOGOTÁ</v>
      </c>
      <c r="E1779" s="15" t="str">
        <f>IFERROR(__xludf.DUMMYFUNCTION("""COMPUTED_VALUE"""),"Pan de Waffle")</f>
        <v>Pan de Waffle</v>
      </c>
      <c r="F1779" s="17" t="str">
        <f>IFERROR(__xludf.DUMMYFUNCTION("""COMPUTED_VALUE"""),"Carrera 39 # 59 - 32 / Carrera 39 # 59 - 32 / Carrera 39 # 59 - 32")</f>
        <v>Carrera 39 # 59 - 32 / Carrera 39 # 59 - 32 / Carrera 39 # 59 - 32</v>
      </c>
      <c r="G1779" s="15" t="str">
        <f>IFERROR(__xludf.DUMMYFUNCTION("""COMPUTED_VALUE"""),"FOODOLOGY MEDELLIN")</f>
        <v>FOODOLOGY MEDELLIN</v>
      </c>
      <c r="H1779" s="16">
        <f>IFERROR(__xludf.DUMMYFUNCTION("""COMPUTED_VALUE"""),10345.0)</f>
        <v>10345</v>
      </c>
      <c r="I1779" s="18">
        <f>IFERROR(__xludf.DUMMYFUNCTION("""COMPUTED_VALUE"""),40.0)</f>
        <v>40</v>
      </c>
      <c r="J1779" s="18">
        <f>IFERROR(__xludf.DUMMYFUNCTION("""COMPUTED_VALUE"""),40.0)</f>
        <v>40</v>
      </c>
      <c r="K1779" s="18">
        <f>IFERROR(__xludf.DUMMYFUNCTION("""COMPUTED_VALUE"""),30.0)</f>
        <v>30</v>
      </c>
      <c r="L1779" s="17">
        <f>IFERROR(__xludf.DUMMYFUNCTION("""COMPUTED_VALUE"""),3.123558292E9)</f>
        <v>3123558292</v>
      </c>
      <c r="M1779" s="17" t="str">
        <f>IFERROR(__xludf.DUMMYFUNCTION("""COMPUTED_VALUE"""),"#REF!")</f>
        <v>#REF!</v>
      </c>
      <c r="N1779" s="17"/>
      <c r="O1779" s="17"/>
      <c r="P1779" s="17" t="b">
        <f>IFERROR(__xludf.DUMMYFUNCTION("""COMPUTED_VALUE"""),FALSE)</f>
        <v>0</v>
      </c>
      <c r="Q1779" s="20" t="str">
        <f>IFERROR(__xludf.DUMMYFUNCTION("""COMPUTED_VALUE"""),"")</f>
        <v/>
      </c>
      <c r="R1779" s="22" t="str">
        <f>IFERROR(__xludf.DUMMYFUNCTION("""COMPUTED_VALUE"""),"")</f>
        <v/>
      </c>
    </row>
    <row r="1780">
      <c r="A1780" s="15">
        <f>IFERROR(__xludf.DUMMYFUNCTION("""COMPUTED_VALUE"""),45051.0)</f>
        <v>45051</v>
      </c>
      <c r="B1780" s="16" t="str">
        <f>IFERROR(__xludf.DUMMYFUNCTION("""COMPUTED_VALUE"""),"Envia")</f>
        <v>Envia</v>
      </c>
      <c r="C1780" s="15" t="str">
        <f>IFERROR(__xludf.DUMMYFUNCTION("""COMPUTED_VALUE"""),"MEDELLÍN")</f>
        <v>MEDELLÍN</v>
      </c>
      <c r="D1780" s="15" t="str">
        <f>IFERROR(__xludf.DUMMYFUNCTION("""COMPUTED_VALUE"""),"BOGOTÁ")</f>
        <v>BOGOTÁ</v>
      </c>
      <c r="E1780" s="15" t="str">
        <f>IFERROR(__xludf.DUMMYFUNCTION("""COMPUTED_VALUE"""),"SISU PARTNERS SAS")</f>
        <v>SISU PARTNERS SAS</v>
      </c>
      <c r="F1780" s="17" t="str">
        <f>IFERROR(__xludf.DUMMYFUNCTION("""COMPUTED_VALUE"""),"Carrera 34 no. 7-86 / Local Mary &amp; George")</f>
        <v>Carrera 34 no. 7-86 / Local Mary &amp; George</v>
      </c>
      <c r="G1780" s="15" t="str">
        <f>IFERROR(__xludf.DUMMYFUNCTION("""COMPUTED_VALUE"""),"Maria Paulina Pérez")</f>
        <v>Maria Paulina Pérez</v>
      </c>
      <c r="H1780" s="16">
        <f>IFERROR(__xludf.DUMMYFUNCTION("""COMPUTED_VALUE"""),10370.0)</f>
        <v>10370</v>
      </c>
      <c r="I1780" s="18" t="str">
        <f>IFERROR(__xludf.DUMMYFUNCTION("""COMPUTED_VALUE"""),"52.5")</f>
        <v>52.5</v>
      </c>
      <c r="J1780" s="18">
        <f>IFERROR(__xludf.DUMMYFUNCTION("""COMPUTED_VALUE"""),45.0)</f>
        <v>45</v>
      </c>
      <c r="K1780" s="18">
        <f>IFERROR(__xludf.DUMMYFUNCTION("""COMPUTED_VALUE"""),55.0)</f>
        <v>55</v>
      </c>
      <c r="L1780" s="17">
        <f>IFERROR(__xludf.DUMMYFUNCTION("""COMPUTED_VALUE"""),3.182186058E9)</f>
        <v>3182186058</v>
      </c>
      <c r="M1780" s="17" t="str">
        <f>IFERROR(__xludf.DUMMYFUNCTION("""COMPUTED_VALUE"""),"#REF!")</f>
        <v>#REF!</v>
      </c>
      <c r="N1780" s="17"/>
      <c r="O1780" s="17"/>
      <c r="P1780" s="17" t="b">
        <f>IFERROR(__xludf.DUMMYFUNCTION("""COMPUTED_VALUE"""),FALSE)</f>
        <v>0</v>
      </c>
      <c r="Q1780" s="20" t="str">
        <f>IFERROR(__xludf.DUMMYFUNCTION("""COMPUTED_VALUE"""),"")</f>
        <v/>
      </c>
      <c r="R1780" s="22" t="str">
        <f>IFERROR(__xludf.DUMMYFUNCTION("""COMPUTED_VALUE"""),"")</f>
        <v/>
      </c>
    </row>
    <row r="1781">
      <c r="A1781" s="15">
        <f>IFERROR(__xludf.DUMMYFUNCTION("""COMPUTED_VALUE"""),45051.0)</f>
        <v>45051</v>
      </c>
      <c r="B1781" s="16" t="str">
        <f>IFERROR(__xludf.DUMMYFUNCTION("""COMPUTED_VALUE"""),"Envia")</f>
        <v>Envia</v>
      </c>
      <c r="C1781" s="15" t="str">
        <f>IFERROR(__xludf.DUMMYFUNCTION("""COMPUTED_VALUE"""),"MOSQUERA")</f>
        <v>MOSQUERA</v>
      </c>
      <c r="D1781" s="15" t="str">
        <f>IFERROR(__xludf.DUMMYFUNCTION("""COMPUTED_VALUE"""),"BOGOTÁ")</f>
        <v>BOGOTÁ</v>
      </c>
      <c r="E1781" s="15" t="str">
        <f>IFERROR(__xludf.DUMMYFUNCTION("""COMPUTED_VALUE"""),"Viiva Fermentados")</f>
        <v>Viiva Fermentados</v>
      </c>
      <c r="F1781" s="17" t="str">
        <f>IFERROR(__xludf.DUMMYFUNCTION("""COMPUTED_VALUE"""),"Calle 10 # 14A- 85 sur.  / Torre 6 apto 721.  / Conjunto Sol Creciente. Ciudad del sol,")</f>
        <v>Calle 10 # 14A- 85 sur.  / Torre 6 apto 721.  / Conjunto Sol Creciente. Ciudad del sol,</v>
      </c>
      <c r="G1781" s="15" t="str">
        <f>IFERROR(__xludf.DUMMYFUNCTION("""COMPUTED_VALUE"""),"Yuri Andrea")</f>
        <v>Yuri Andrea</v>
      </c>
      <c r="H1781" s="16">
        <f>IFERROR(__xludf.DUMMYFUNCTION("""COMPUTED_VALUE"""),10224.0)</f>
        <v>10224</v>
      </c>
      <c r="I1781" s="18">
        <f>IFERROR(__xludf.DUMMYFUNCTION("""COMPUTED_VALUE"""),27.0)</f>
        <v>27</v>
      </c>
      <c r="J1781" s="18">
        <f>IFERROR(__xludf.DUMMYFUNCTION("""COMPUTED_VALUE"""),40.0)</f>
        <v>40</v>
      </c>
      <c r="K1781" s="18">
        <f>IFERROR(__xludf.DUMMYFUNCTION("""COMPUTED_VALUE"""),30.0)</f>
        <v>30</v>
      </c>
      <c r="L1781" s="17">
        <f>IFERROR(__xludf.DUMMYFUNCTION("""COMPUTED_VALUE"""),3.166819934E9)</f>
        <v>3166819934</v>
      </c>
      <c r="M1781" s="17" t="str">
        <f>IFERROR(__xludf.DUMMYFUNCTION("""COMPUTED_VALUE"""),"#REF!")</f>
        <v>#REF!</v>
      </c>
      <c r="N1781" s="17"/>
      <c r="O1781" s="17"/>
      <c r="P1781" s="17" t="b">
        <f>IFERROR(__xludf.DUMMYFUNCTION("""COMPUTED_VALUE"""),FALSE)</f>
        <v>0</v>
      </c>
      <c r="Q1781" s="20" t="str">
        <f>IFERROR(__xludf.DUMMYFUNCTION("""COMPUTED_VALUE"""),"")</f>
        <v/>
      </c>
      <c r="R1781" s="22" t="str">
        <f>IFERROR(__xludf.DUMMYFUNCTION("""COMPUTED_VALUE"""),"")</f>
        <v/>
      </c>
    </row>
    <row r="1782">
      <c r="A1782" s="15">
        <f>IFERROR(__xludf.DUMMYFUNCTION("""COMPUTED_VALUE"""),45051.0)</f>
        <v>45051</v>
      </c>
      <c r="B1782" s="16" t="str">
        <f>IFERROR(__xludf.DUMMYFUNCTION("""COMPUTED_VALUE"""),"Envia")</f>
        <v>Envia</v>
      </c>
      <c r="C1782" s="15" t="str">
        <f>IFERROR(__xludf.DUMMYFUNCTION("""COMPUTED_VALUE"""),"NEIVA")</f>
        <v>NEIVA</v>
      </c>
      <c r="D1782" s="15" t="str">
        <f>IFERROR(__xludf.DUMMYFUNCTION("""COMPUTED_VALUE"""),"BOGOTÁ")</f>
        <v>BOGOTÁ</v>
      </c>
      <c r="E1782" s="15" t="str">
        <f>IFERROR(__xludf.DUMMYFUNCTION("""COMPUTED_VALUE"""),"Evamazzita")</f>
        <v>Evamazzita</v>
      </c>
      <c r="F1782" s="17" t="str">
        <f>IFERROR(__xludf.DUMMYFUNCTION("""COMPUTED_VALUE"""),"CALLE 17 SUR No. 21 - 23  / N/A / BARRIO TIMANCO")</f>
        <v>CALLE 17 SUR No. 21 - 23  / N/A / BARRIO TIMANCO</v>
      </c>
      <c r="G1782" s="15" t="str">
        <f>IFERROR(__xludf.DUMMYFUNCTION("""COMPUTED_VALUE"""),"DIANA MARCELA RINCON")</f>
        <v>DIANA MARCELA RINCON</v>
      </c>
      <c r="H1782" s="16">
        <f>IFERROR(__xludf.DUMMYFUNCTION("""COMPUTED_VALUE"""),10377.0)</f>
        <v>10377</v>
      </c>
      <c r="I1782" s="18">
        <f>IFERROR(__xludf.DUMMYFUNCTION("""COMPUTED_VALUE"""),3.0)</f>
        <v>3</v>
      </c>
      <c r="J1782" s="18">
        <f>IFERROR(__xludf.DUMMYFUNCTION("""COMPUTED_VALUE"""),20.0)</f>
        <v>20</v>
      </c>
      <c r="K1782" s="18">
        <f>IFERROR(__xludf.DUMMYFUNCTION("""COMPUTED_VALUE"""),15.0)</f>
        <v>15</v>
      </c>
      <c r="L1782" s="17">
        <f>IFERROR(__xludf.DUMMYFUNCTION("""COMPUTED_VALUE"""),3.118885423E9)</f>
        <v>3118885423</v>
      </c>
      <c r="M1782" s="17" t="str">
        <f>IFERROR(__xludf.DUMMYFUNCTION("""COMPUTED_VALUE"""),"#REF!")</f>
        <v>#REF!</v>
      </c>
      <c r="N1782" s="17"/>
      <c r="O1782" s="17"/>
      <c r="P1782" s="17" t="b">
        <f>IFERROR(__xludf.DUMMYFUNCTION("""COMPUTED_VALUE"""),FALSE)</f>
        <v>0</v>
      </c>
      <c r="Q1782" s="20" t="str">
        <f>IFERROR(__xludf.DUMMYFUNCTION("""COMPUTED_VALUE"""),"")</f>
        <v/>
      </c>
      <c r="R1782" s="22" t="str">
        <f>IFERROR(__xludf.DUMMYFUNCTION("""COMPUTED_VALUE"""),"")</f>
        <v/>
      </c>
    </row>
    <row r="1783">
      <c r="A1783" s="15">
        <f>IFERROR(__xludf.DUMMYFUNCTION("""COMPUTED_VALUE"""),45051.0)</f>
        <v>45051</v>
      </c>
      <c r="B1783" s="16" t="str">
        <f>IFERROR(__xludf.DUMMYFUNCTION("""COMPUTED_VALUE"""),"Envia")</f>
        <v>Envia</v>
      </c>
      <c r="C1783" s="15" t="str">
        <f>IFERROR(__xludf.DUMMYFUNCTION("""COMPUTED_VALUE"""),"NEIVA")</f>
        <v>NEIVA</v>
      </c>
      <c r="D1783" s="15" t="str">
        <f>IFERROR(__xludf.DUMMYFUNCTION("""COMPUTED_VALUE"""),"BOGOTÁ")</f>
        <v>BOGOTÁ</v>
      </c>
      <c r="E1783" s="15" t="str">
        <f>IFERROR(__xludf.DUMMYFUNCTION("""COMPUTED_VALUE"""),"Evamazzita")</f>
        <v>Evamazzita</v>
      </c>
      <c r="F1783" s="17" t="str">
        <f>IFERROR(__xludf.DUMMYFUNCTION("""COMPUTED_VALUE"""),"Carrera 12 # 14 -57  / N/A / barrio Chapinero")</f>
        <v>Carrera 12 # 14 -57  / N/A / barrio Chapinero</v>
      </c>
      <c r="G1783" s="15" t="str">
        <f>IFERROR(__xludf.DUMMYFUNCTION("""COMPUTED_VALUE"""),"ZAIRA LORENA GUEVARA MUÑOZ")</f>
        <v>ZAIRA LORENA GUEVARA MUÑOZ</v>
      </c>
      <c r="H1783" s="16">
        <f>IFERROR(__xludf.DUMMYFUNCTION("""COMPUTED_VALUE"""),10375.0)</f>
        <v>10375</v>
      </c>
      <c r="I1783" s="18">
        <f>IFERROR(__xludf.DUMMYFUNCTION("""COMPUTED_VALUE"""),3.0)</f>
        <v>3</v>
      </c>
      <c r="J1783" s="18">
        <f>IFERROR(__xludf.DUMMYFUNCTION("""COMPUTED_VALUE"""),15.0)</f>
        <v>15</v>
      </c>
      <c r="K1783" s="18">
        <f>IFERROR(__xludf.DUMMYFUNCTION("""COMPUTED_VALUE"""),20.0)</f>
        <v>20</v>
      </c>
      <c r="L1783" s="17">
        <f>IFERROR(__xludf.DUMMYFUNCTION("""COMPUTED_VALUE"""),3.229105112E9)</f>
        <v>3229105112</v>
      </c>
      <c r="M1783" s="17" t="str">
        <f>IFERROR(__xludf.DUMMYFUNCTION("""COMPUTED_VALUE"""),"#REF!")</f>
        <v>#REF!</v>
      </c>
      <c r="N1783" s="17"/>
      <c r="O1783" s="17"/>
      <c r="P1783" s="17" t="b">
        <f>IFERROR(__xludf.DUMMYFUNCTION("""COMPUTED_VALUE"""),FALSE)</f>
        <v>0</v>
      </c>
      <c r="Q1783" s="20" t="str">
        <f>IFERROR(__xludf.DUMMYFUNCTION("""COMPUTED_VALUE"""),"")</f>
        <v/>
      </c>
      <c r="R1783" s="22" t="str">
        <f>IFERROR(__xludf.DUMMYFUNCTION("""COMPUTED_VALUE"""),"")</f>
        <v/>
      </c>
    </row>
    <row r="1784">
      <c r="A1784" s="15">
        <f>IFERROR(__xludf.DUMMYFUNCTION("""COMPUTED_VALUE"""),45051.0)</f>
        <v>45051</v>
      </c>
      <c r="B1784" s="16" t="str">
        <f>IFERROR(__xludf.DUMMYFUNCTION("""COMPUTED_VALUE"""),"Envia")</f>
        <v>Envia</v>
      </c>
      <c r="C1784" s="15" t="str">
        <f>IFERROR(__xludf.DUMMYFUNCTION("""COMPUTED_VALUE"""),"NEIVA")</f>
        <v>NEIVA</v>
      </c>
      <c r="D1784" s="15" t="str">
        <f>IFERROR(__xludf.DUMMYFUNCTION("""COMPUTED_VALUE"""),"BOGOTÁ")</f>
        <v>BOGOTÁ</v>
      </c>
      <c r="E1784" s="15" t="str">
        <f>IFERROR(__xludf.DUMMYFUNCTION("""COMPUTED_VALUE"""),"Evamazzita")</f>
        <v>Evamazzita</v>
      </c>
      <c r="F1784" s="17" t="str">
        <f>IFERROR(__xludf.DUMMYFUNCTION("""COMPUTED_VALUE"""),"carrera 42 #18a 08  / apto 903 torre E conjunto bosques de santa ana  / Barrio El Vergel")</f>
        <v>carrera 42 #18a 08  / apto 903 torre E conjunto bosques de santa ana  / Barrio El Vergel</v>
      </c>
      <c r="G1784" s="15" t="str">
        <f>IFERROR(__xludf.DUMMYFUNCTION("""COMPUTED_VALUE"""),"EDNA ROCIO LIZCANO")</f>
        <v>EDNA ROCIO LIZCANO</v>
      </c>
      <c r="H1784" s="16">
        <f>IFERROR(__xludf.DUMMYFUNCTION("""COMPUTED_VALUE"""),10376.0)</f>
        <v>10376</v>
      </c>
      <c r="I1784" s="18">
        <f>IFERROR(__xludf.DUMMYFUNCTION("""COMPUTED_VALUE"""),3.0)</f>
        <v>3</v>
      </c>
      <c r="J1784" s="18">
        <f>IFERROR(__xludf.DUMMYFUNCTION("""COMPUTED_VALUE"""),20.0)</f>
        <v>20</v>
      </c>
      <c r="K1784" s="18">
        <f>IFERROR(__xludf.DUMMYFUNCTION("""COMPUTED_VALUE"""),15.0)</f>
        <v>15</v>
      </c>
      <c r="L1784" s="17">
        <f>IFERROR(__xludf.DUMMYFUNCTION("""COMPUTED_VALUE"""),3.103264971E9)</f>
        <v>3103264971</v>
      </c>
      <c r="M1784" s="17" t="str">
        <f>IFERROR(__xludf.DUMMYFUNCTION("""COMPUTED_VALUE"""),"#REF!")</f>
        <v>#REF!</v>
      </c>
      <c r="N1784" s="17"/>
      <c r="O1784" s="17"/>
      <c r="P1784" s="17" t="b">
        <f>IFERROR(__xludf.DUMMYFUNCTION("""COMPUTED_VALUE"""),FALSE)</f>
        <v>0</v>
      </c>
      <c r="Q1784" s="20" t="str">
        <f>IFERROR(__xludf.DUMMYFUNCTION("""COMPUTED_VALUE"""),"")</f>
        <v/>
      </c>
      <c r="R1784" s="22" t="str">
        <f>IFERROR(__xludf.DUMMYFUNCTION("""COMPUTED_VALUE"""),"")</f>
        <v/>
      </c>
    </row>
    <row r="1785">
      <c r="A1785" s="15">
        <f>IFERROR(__xludf.DUMMYFUNCTION("""COMPUTED_VALUE"""),45051.0)</f>
        <v>45051</v>
      </c>
      <c r="B1785" s="16" t="str">
        <f>IFERROR(__xludf.DUMMYFUNCTION("""COMPUTED_VALUE"""),"Envia")</f>
        <v>Envia</v>
      </c>
      <c r="C1785" s="15" t="str">
        <f>IFERROR(__xludf.DUMMYFUNCTION("""COMPUTED_VALUE"""),"NEIVA")</f>
        <v>NEIVA</v>
      </c>
      <c r="D1785" s="15" t="str">
        <f>IFERROR(__xludf.DUMMYFUNCTION("""COMPUTED_VALUE"""),"BOGOTÁ")</f>
        <v>BOGOTÁ</v>
      </c>
      <c r="E1785" s="15" t="str">
        <f>IFERROR(__xludf.DUMMYFUNCTION("""COMPUTED_VALUE"""),"Evamazzita")</f>
        <v>Evamazzita</v>
      </c>
      <c r="F1785" s="17" t="str">
        <f>IFERROR(__xludf.DUMMYFUNCTION("""COMPUTED_VALUE"""),"CRA 55 No. 11 - 49  /  APTO 305 TORRE 1B  / RESERVA DE LA SIERRA")</f>
        <v>CRA 55 No. 11 - 49  /  APTO 305 TORRE 1B  / RESERVA DE LA SIERRA</v>
      </c>
      <c r="G1785" s="15" t="str">
        <f>IFERROR(__xludf.DUMMYFUNCTION("""COMPUTED_VALUE"""),"JENNIFFER AYALA")</f>
        <v>JENNIFFER AYALA</v>
      </c>
      <c r="H1785" s="16">
        <f>IFERROR(__xludf.DUMMYFUNCTION("""COMPUTED_VALUE"""),10374.0)</f>
        <v>10374</v>
      </c>
      <c r="I1785" s="18">
        <f>IFERROR(__xludf.DUMMYFUNCTION("""COMPUTED_VALUE"""),3.0)</f>
        <v>3</v>
      </c>
      <c r="J1785" s="18">
        <f>IFERROR(__xludf.DUMMYFUNCTION("""COMPUTED_VALUE"""),20.0)</f>
        <v>20</v>
      </c>
      <c r="K1785" s="18">
        <f>IFERROR(__xludf.DUMMYFUNCTION("""COMPUTED_VALUE"""),15.0)</f>
        <v>15</v>
      </c>
      <c r="L1785" s="17">
        <f>IFERROR(__xludf.DUMMYFUNCTION("""COMPUTED_VALUE"""),3.172905444E9)</f>
        <v>3172905444</v>
      </c>
      <c r="M1785" s="17" t="str">
        <f>IFERROR(__xludf.DUMMYFUNCTION("""COMPUTED_VALUE"""),"#REF!")</f>
        <v>#REF!</v>
      </c>
      <c r="N1785" s="17"/>
      <c r="O1785" s="17"/>
      <c r="P1785" s="17" t="b">
        <f>IFERROR(__xludf.DUMMYFUNCTION("""COMPUTED_VALUE"""),FALSE)</f>
        <v>0</v>
      </c>
      <c r="Q1785" s="20" t="str">
        <f>IFERROR(__xludf.DUMMYFUNCTION("""COMPUTED_VALUE"""),"")</f>
        <v/>
      </c>
      <c r="R1785" s="22" t="str">
        <f>IFERROR(__xludf.DUMMYFUNCTION("""COMPUTED_VALUE"""),"")</f>
        <v/>
      </c>
    </row>
    <row r="1786">
      <c r="A1786" s="15">
        <f>IFERROR(__xludf.DUMMYFUNCTION("""COMPUTED_VALUE"""),45051.0)</f>
        <v>45051</v>
      </c>
      <c r="B1786" s="16" t="str">
        <f>IFERROR(__xludf.DUMMYFUNCTION("""COMPUTED_VALUE"""),"Envia")</f>
        <v>Envia</v>
      </c>
      <c r="C1786" s="15" t="str">
        <f>IFERROR(__xludf.DUMMYFUNCTION("""COMPUTED_VALUE"""),"NEIVA")</f>
        <v>NEIVA</v>
      </c>
      <c r="D1786" s="15" t="str">
        <f>IFERROR(__xludf.DUMMYFUNCTION("""COMPUTED_VALUE"""),"BOGOTÁ")</f>
        <v>BOGOTÁ</v>
      </c>
      <c r="E1786" s="15" t="str">
        <f>IFERROR(__xludf.DUMMYFUNCTION("""COMPUTED_VALUE"""),"Pan de Waffle")</f>
        <v>Pan de Waffle</v>
      </c>
      <c r="F1786" s="17" t="str">
        <f>IFERROR(__xludf.DUMMYFUNCTION("""COMPUTED_VALUE"""),"Calle 7 N 27-34 barrio la gaitana / Calle 7 N 27-34 barrio la gaitana / Calle 7 N 27-34 barrio la gaitana")</f>
        <v>Calle 7 N 27-34 barrio la gaitana / Calle 7 N 27-34 barrio la gaitana / Calle 7 N 27-34 barrio la gaitana</v>
      </c>
      <c r="G1786" s="15" t="str">
        <f>IFERROR(__xludf.DUMMYFUNCTION("""COMPUTED_VALUE"""),"CERESFIT")</f>
        <v>CERESFIT</v>
      </c>
      <c r="H1786" s="16">
        <f>IFERROR(__xludf.DUMMYFUNCTION("""COMPUTED_VALUE"""),10344.0)</f>
        <v>10344</v>
      </c>
      <c r="I1786" s="18">
        <f>IFERROR(__xludf.DUMMYFUNCTION("""COMPUTED_VALUE"""),40.0)</f>
        <v>40</v>
      </c>
      <c r="J1786" s="18">
        <f>IFERROR(__xludf.DUMMYFUNCTION("""COMPUTED_VALUE"""),40.0)</f>
        <v>40</v>
      </c>
      <c r="K1786" s="18">
        <f>IFERROR(__xludf.DUMMYFUNCTION("""COMPUTED_VALUE"""),30.0)</f>
        <v>30</v>
      </c>
      <c r="L1786" s="17">
        <f>IFERROR(__xludf.DUMMYFUNCTION("""COMPUTED_VALUE"""),3.00751896E9)</f>
        <v>3007518960</v>
      </c>
      <c r="M1786" s="17" t="str">
        <f>IFERROR(__xludf.DUMMYFUNCTION("""COMPUTED_VALUE"""),"#REF!")</f>
        <v>#REF!</v>
      </c>
      <c r="N1786" s="17"/>
      <c r="O1786" s="17"/>
      <c r="P1786" s="17" t="b">
        <f>IFERROR(__xludf.DUMMYFUNCTION("""COMPUTED_VALUE"""),FALSE)</f>
        <v>0</v>
      </c>
      <c r="Q1786" s="20" t="str">
        <f>IFERROR(__xludf.DUMMYFUNCTION("""COMPUTED_VALUE"""),"")</f>
        <v/>
      </c>
      <c r="R1786" s="22" t="str">
        <f>IFERROR(__xludf.DUMMYFUNCTION("""COMPUTED_VALUE"""),"")</f>
        <v/>
      </c>
    </row>
    <row r="1787">
      <c r="A1787" s="15">
        <f>IFERROR(__xludf.DUMMYFUNCTION("""COMPUTED_VALUE"""),45051.0)</f>
        <v>45051</v>
      </c>
      <c r="B1787" s="16" t="str">
        <f>IFERROR(__xludf.DUMMYFUNCTION("""COMPUTED_VALUE"""),"Envia")</f>
        <v>Envia</v>
      </c>
      <c r="C1787" s="15" t="str">
        <f>IFERROR(__xludf.DUMMYFUNCTION("""COMPUTED_VALUE"""),"NEIVA")</f>
        <v>NEIVA</v>
      </c>
      <c r="D1787" s="15" t="str">
        <f>IFERROR(__xludf.DUMMYFUNCTION("""COMPUTED_VALUE"""),"MEDELLÍN")</f>
        <v>MEDELLÍN</v>
      </c>
      <c r="E1787" s="15" t="str">
        <f>IFERROR(__xludf.DUMMYFUNCTION("""COMPUTED_VALUE"""),"Baby Chef")</f>
        <v>Baby Chef</v>
      </c>
      <c r="F1787" s="17" t="str">
        <f>IFERROR(__xludf.DUMMYFUNCTION("""COMPUTED_VALUE"""),"Carrera 2 # 10 - 62  / Local Tienda Naturista El Marañón / Local Tienda Naturista El Marañón")</f>
        <v>Carrera 2 # 10 - 62  / Local Tienda Naturista El Marañón / Local Tienda Naturista El Marañón</v>
      </c>
      <c r="G1787" s="15" t="str">
        <f>IFERROR(__xludf.DUMMYFUNCTION("""COMPUTED_VALUE"""),"Diego Ricardo Cruz Guauña")</f>
        <v>Diego Ricardo Cruz Guauña</v>
      </c>
      <c r="H1787" s="16">
        <f>IFERROR(__xludf.DUMMYFUNCTION("""COMPUTED_VALUE"""),10324.0)</f>
        <v>10324</v>
      </c>
      <c r="I1787" s="18">
        <f>IFERROR(__xludf.DUMMYFUNCTION("""COMPUTED_VALUE"""),8.0)</f>
        <v>8</v>
      </c>
      <c r="J1787" s="18">
        <f>IFERROR(__xludf.DUMMYFUNCTION("""COMPUTED_VALUE"""),16.0)</f>
        <v>16</v>
      </c>
      <c r="K1787" s="18">
        <f>IFERROR(__xludf.DUMMYFUNCTION("""COMPUTED_VALUE"""),20.0)</f>
        <v>20</v>
      </c>
      <c r="L1787" s="17">
        <f>IFERROR(__xludf.DUMMYFUNCTION("""COMPUTED_VALUE"""),3.185288605E9)</f>
        <v>3185288605</v>
      </c>
      <c r="M1787" s="17" t="str">
        <f>IFERROR(__xludf.DUMMYFUNCTION("""COMPUTED_VALUE"""),"#REF!")</f>
        <v>#REF!</v>
      </c>
      <c r="N1787" s="17"/>
      <c r="O1787" s="17"/>
      <c r="P1787" s="17" t="b">
        <f>IFERROR(__xludf.DUMMYFUNCTION("""COMPUTED_VALUE"""),FALSE)</f>
        <v>0</v>
      </c>
      <c r="Q1787" s="20" t="str">
        <f>IFERROR(__xludf.DUMMYFUNCTION("""COMPUTED_VALUE"""),"")</f>
        <v/>
      </c>
      <c r="R1787" s="22" t="str">
        <f>IFERROR(__xludf.DUMMYFUNCTION("""COMPUTED_VALUE"""),"")</f>
        <v/>
      </c>
    </row>
    <row r="1788">
      <c r="A1788" s="15">
        <f>IFERROR(__xludf.DUMMYFUNCTION("""COMPUTED_VALUE"""),45051.0)</f>
        <v>45051</v>
      </c>
      <c r="B1788" s="16" t="str">
        <f>IFERROR(__xludf.DUMMYFUNCTION("""COMPUTED_VALUE"""),"Envia")</f>
        <v>Envia</v>
      </c>
      <c r="C1788" s="15" t="str">
        <f>IFERROR(__xludf.DUMMYFUNCTION("""COMPUTED_VALUE"""),"SANTA MARTA")</f>
        <v>SANTA MARTA</v>
      </c>
      <c r="D1788" s="15" t="str">
        <f>IFERROR(__xludf.DUMMYFUNCTION("""COMPUTED_VALUE"""),"MEDELLÍN")</f>
        <v>MEDELLÍN</v>
      </c>
      <c r="E1788" s="15" t="str">
        <f>IFERROR(__xludf.DUMMYFUNCTION("""COMPUTED_VALUE"""),"Baby Chef")</f>
        <v>Baby Chef</v>
      </c>
      <c r="F1788" s="17" t="str">
        <f>IFERROR(__xludf.DUMMYFUNCTION("""COMPUTED_VALUE"""),"Calle 11A #5-40 / Rodadero, Santa Marta, Magdalena / Rodadero, Santa Marta, Magdalena")</f>
        <v>Calle 11A #5-40 / Rodadero, Santa Marta, Magdalena / Rodadero, Santa Marta, Magdalena</v>
      </c>
      <c r="G1788" s="15" t="str">
        <f>IFERROR(__xludf.DUMMYFUNCTION("""COMPUTED_VALUE"""),"Melissa Caballero")</f>
        <v>Melissa Caballero</v>
      </c>
      <c r="H1788" s="16">
        <f>IFERROR(__xludf.DUMMYFUNCTION("""COMPUTED_VALUE"""),10354.0)</f>
        <v>10354</v>
      </c>
      <c r="I1788" s="18">
        <f>IFERROR(__xludf.DUMMYFUNCTION("""COMPUTED_VALUE"""),8.0)</f>
        <v>8</v>
      </c>
      <c r="J1788" s="18">
        <f>IFERROR(__xludf.DUMMYFUNCTION("""COMPUTED_VALUE"""),16.0)</f>
        <v>16</v>
      </c>
      <c r="K1788" s="18">
        <f>IFERROR(__xludf.DUMMYFUNCTION("""COMPUTED_VALUE"""),20.0)</f>
        <v>20</v>
      </c>
      <c r="L1788" s="17">
        <f>IFERROR(__xludf.DUMMYFUNCTION("""COMPUTED_VALUE"""),3.044614918E9)</f>
        <v>3044614918</v>
      </c>
      <c r="M1788" s="17" t="str">
        <f>IFERROR(__xludf.DUMMYFUNCTION("""COMPUTED_VALUE"""),"#REF!")</f>
        <v>#REF!</v>
      </c>
      <c r="N1788" s="17"/>
      <c r="O1788" s="17"/>
      <c r="P1788" s="17" t="b">
        <f>IFERROR(__xludf.DUMMYFUNCTION("""COMPUTED_VALUE"""),TRUE)</f>
        <v>1</v>
      </c>
      <c r="Q1788" s="20">
        <f>IFERROR(__xludf.DUMMYFUNCTION("""COMPUTED_VALUE"""),45051.71693372686)</f>
        <v>45051.71693</v>
      </c>
      <c r="R1788" s="22" t="str">
        <f>IFERROR(__xludf.DUMMYFUNCTION("""COMPUTED_VALUE"""),"")</f>
        <v/>
      </c>
    </row>
    <row r="1789">
      <c r="A1789" s="17" t="str">
        <f>IFERROR(__xludf.DUMMYFUNCTION("""COMPUTED_VALUE"""),"")</f>
        <v/>
      </c>
      <c r="B1789" s="17" t="str">
        <f>IFERROR(__xludf.DUMMYFUNCTION("""COMPUTED_VALUE"""),"")</f>
        <v/>
      </c>
      <c r="C1789" s="17" t="str">
        <f>IFERROR(__xludf.DUMMYFUNCTION("""COMPUTED_VALUE"""),"")</f>
        <v/>
      </c>
      <c r="D1789" s="17" t="str">
        <f>IFERROR(__xludf.DUMMYFUNCTION("""COMPUTED_VALUE"""),"")</f>
        <v/>
      </c>
      <c r="E1789" s="17" t="str">
        <f>IFERROR(__xludf.DUMMYFUNCTION("""COMPUTED_VALUE"""),"")</f>
        <v/>
      </c>
      <c r="F1789" s="17" t="str">
        <f>IFERROR(__xludf.DUMMYFUNCTION("""COMPUTED_VALUE"""),"")</f>
        <v/>
      </c>
      <c r="G1789" s="17" t="str">
        <f>IFERROR(__xludf.DUMMYFUNCTION("""COMPUTED_VALUE"""),"")</f>
        <v/>
      </c>
      <c r="H1789" s="17" t="str">
        <f>IFERROR(__xludf.DUMMYFUNCTION("""COMPUTED_VALUE"""),"")</f>
        <v/>
      </c>
      <c r="I1789" s="17" t="str">
        <f>IFERROR(__xludf.DUMMYFUNCTION("""COMPUTED_VALUE"""),"")</f>
        <v/>
      </c>
      <c r="J1789" s="17" t="str">
        <f>IFERROR(__xludf.DUMMYFUNCTION("""COMPUTED_VALUE"""),"")</f>
        <v/>
      </c>
      <c r="K1789" s="17" t="str">
        <f>IFERROR(__xludf.DUMMYFUNCTION("""COMPUTED_VALUE"""),"")</f>
        <v/>
      </c>
      <c r="L1789" s="17" t="str">
        <f>IFERROR(__xludf.DUMMYFUNCTION("""COMPUTED_VALUE"""),"")</f>
        <v/>
      </c>
      <c r="M1789" s="17" t="str">
        <f>IFERROR(__xludf.DUMMYFUNCTION("""COMPUTED_VALUE"""),"")</f>
        <v/>
      </c>
      <c r="N1789" s="17" t="str">
        <f>IFERROR(__xludf.DUMMYFUNCTION("""COMPUTED_VALUE"""),"")</f>
        <v/>
      </c>
      <c r="O1789" s="17" t="str">
        <f>IFERROR(__xludf.DUMMYFUNCTION("""COMPUTED_VALUE"""),"")</f>
        <v/>
      </c>
      <c r="P1789" s="17" t="str">
        <f>IFERROR(__xludf.DUMMYFUNCTION("""COMPUTED_VALUE"""),"")</f>
        <v/>
      </c>
      <c r="Q1789" s="17" t="str">
        <f>IFERROR(__xludf.DUMMYFUNCTION("""COMPUTED_VALUE"""),"")</f>
        <v/>
      </c>
      <c r="R1789" s="17" t="str">
        <f>IFERROR(__xludf.DUMMYFUNCTION("""COMPUTED_VALUE"""),"")</f>
        <v/>
      </c>
    </row>
    <row r="1790">
      <c r="A1790" s="15">
        <f>IFERROR(__xludf.DUMMYFUNCTION("""COMPUTED_VALUE"""),45051.0)</f>
        <v>45051</v>
      </c>
      <c r="B1790" s="16" t="str">
        <f>IFERROR(__xludf.DUMMYFUNCTION("""COMPUTED_VALUE"""),"Jeison Rubiano")</f>
        <v>Jeison Rubiano</v>
      </c>
      <c r="C1790" s="15" t="str">
        <f>IFERROR(__xludf.DUMMYFUNCTION("""COMPUTED_VALUE"""),"BOGOTÁ")</f>
        <v>BOGOTÁ</v>
      </c>
      <c r="D1790" s="15" t="str">
        <f>IFERROR(__xludf.DUMMYFUNCTION("""COMPUTED_VALUE"""),"MEDELLÍN")</f>
        <v>MEDELLÍN</v>
      </c>
      <c r="E1790" s="15" t="str">
        <f>IFERROR(__xludf.DUMMYFUNCTION("""COMPUTED_VALUE"""),"Baby Chef")</f>
        <v>Baby Chef</v>
      </c>
      <c r="F1790" s="17" t="str">
        <f>IFERROR(__xludf.DUMMYFUNCTION("""COMPUTED_VALUE"""),"Calle 174 A # 48 - 03  / Casa 6  / Villa del Prado")</f>
        <v>Calle 174 A # 48 - 03  / Casa 6  / Villa del Prado</v>
      </c>
      <c r="G1790" s="15" t="str">
        <f>IFERROR(__xludf.DUMMYFUNCTION("""COMPUTED_VALUE"""),"Adriana Díaz")</f>
        <v>Adriana Díaz</v>
      </c>
      <c r="H1790" s="16">
        <f>IFERROR(__xludf.DUMMYFUNCTION("""COMPUTED_VALUE"""),10390.0)</f>
        <v>10390</v>
      </c>
      <c r="I1790" s="18">
        <f>IFERROR(__xludf.DUMMYFUNCTION("""COMPUTED_VALUE"""),8.0)</f>
        <v>8</v>
      </c>
      <c r="J1790" s="18">
        <f>IFERROR(__xludf.DUMMYFUNCTION("""COMPUTED_VALUE"""),16.0)</f>
        <v>16</v>
      </c>
      <c r="K1790" s="18">
        <f>IFERROR(__xludf.DUMMYFUNCTION("""COMPUTED_VALUE"""),20.0)</f>
        <v>20</v>
      </c>
      <c r="L1790" s="17">
        <f>IFERROR(__xludf.DUMMYFUNCTION("""COMPUTED_VALUE"""),3.504286874E9)</f>
        <v>3504286874</v>
      </c>
      <c r="M1790" s="17" t="str">
        <f>IFERROR(__xludf.DUMMYFUNCTION("""COMPUTED_VALUE"""),"#REF!")</f>
        <v>#REF!</v>
      </c>
      <c r="N1790" s="17"/>
      <c r="O1790" s="17"/>
      <c r="P1790" s="17" t="b">
        <f>IFERROR(__xludf.DUMMYFUNCTION("""COMPUTED_VALUE"""),FALSE)</f>
        <v>0</v>
      </c>
      <c r="Q1790" s="20" t="str">
        <f>IFERROR(__xludf.DUMMYFUNCTION("""COMPUTED_VALUE"""),"")</f>
        <v/>
      </c>
      <c r="R1790" s="22" t="str">
        <f>IFERROR(__xludf.DUMMYFUNCTION("""COMPUTED_VALUE"""),"")</f>
        <v/>
      </c>
    </row>
    <row r="1791">
      <c r="A1791" s="15">
        <f>IFERROR(__xludf.DUMMYFUNCTION("""COMPUTED_VALUE"""),45051.0)</f>
        <v>45051</v>
      </c>
      <c r="B1791" s="16" t="str">
        <f>IFERROR(__xludf.DUMMYFUNCTION("""COMPUTED_VALUE"""),"Jeison Rubiano")</f>
        <v>Jeison Rubiano</v>
      </c>
      <c r="C1791" s="15" t="str">
        <f>IFERROR(__xludf.DUMMYFUNCTION("""COMPUTED_VALUE"""),"BOGOTÁ")</f>
        <v>BOGOTÁ</v>
      </c>
      <c r="D1791" s="15" t="str">
        <f>IFERROR(__xludf.DUMMYFUNCTION("""COMPUTED_VALUE"""),"MEDELLÍN")</f>
        <v>MEDELLÍN</v>
      </c>
      <c r="E1791" s="15" t="str">
        <f>IFERROR(__xludf.DUMMYFUNCTION("""COMPUTED_VALUE"""),"Rambla")</f>
        <v>Rambla</v>
      </c>
      <c r="F1791" s="17" t="str">
        <f>IFERROR(__xludf.DUMMYFUNCTION("""COMPUTED_VALUE"""),"calle 134c # 53b 52 apto 301 casa gris tercer piso. Barrio spring / na / na")</f>
        <v>calle 134c # 53b 52 apto 301 casa gris tercer piso. Barrio spring / na / na</v>
      </c>
      <c r="G1791" s="15" t="str">
        <f>IFERROR(__xludf.DUMMYFUNCTION("""COMPUTED_VALUE"""),"Ana María Ríos Moreno")</f>
        <v>Ana María Ríos Moreno</v>
      </c>
      <c r="H1791" s="16">
        <f>IFERROR(__xludf.DUMMYFUNCTION("""COMPUTED_VALUE"""),10396.0)</f>
        <v>10396</v>
      </c>
      <c r="I1791" s="18">
        <f>IFERROR(__xludf.DUMMYFUNCTION("""COMPUTED_VALUE"""),20.0)</f>
        <v>20</v>
      </c>
      <c r="J1791" s="18">
        <f>IFERROR(__xludf.DUMMYFUNCTION("""COMPUTED_VALUE"""),23.0)</f>
        <v>23</v>
      </c>
      <c r="K1791" s="18">
        <f>IFERROR(__xludf.DUMMYFUNCTION("""COMPUTED_VALUE"""),25.0)</f>
        <v>25</v>
      </c>
      <c r="L1791" s="17">
        <f>IFERROR(__xludf.DUMMYFUNCTION("""COMPUTED_VALUE"""),3.00661678E9)</f>
        <v>3006616780</v>
      </c>
      <c r="M1791" s="17" t="str">
        <f>IFERROR(__xludf.DUMMYFUNCTION("""COMPUTED_VALUE"""),"#REF!")</f>
        <v>#REF!</v>
      </c>
      <c r="N1791" s="17"/>
      <c r="O1791" s="17"/>
      <c r="P1791" s="17" t="b">
        <f>IFERROR(__xludf.DUMMYFUNCTION("""COMPUTED_VALUE"""),FALSE)</f>
        <v>0</v>
      </c>
      <c r="Q1791" s="20" t="str">
        <f>IFERROR(__xludf.DUMMYFUNCTION("""COMPUTED_VALUE"""),"")</f>
        <v/>
      </c>
      <c r="R1791" s="22" t="str">
        <f>IFERROR(__xludf.DUMMYFUNCTION("""COMPUTED_VALUE"""),"")</f>
        <v/>
      </c>
    </row>
    <row r="1792">
      <c r="A1792" s="15">
        <f>IFERROR(__xludf.DUMMYFUNCTION("""COMPUTED_VALUE"""),45051.0)</f>
        <v>45051</v>
      </c>
      <c r="B1792" s="16" t="str">
        <f>IFERROR(__xludf.DUMMYFUNCTION("""COMPUTED_VALUE"""),"Jeison Rubiano")</f>
        <v>Jeison Rubiano</v>
      </c>
      <c r="C1792" s="15" t="str">
        <f>IFERROR(__xludf.DUMMYFUNCTION("""COMPUTED_VALUE"""),"CARTAGENA")</f>
        <v>CARTAGENA</v>
      </c>
      <c r="D1792" s="15" t="str">
        <f>IFERROR(__xludf.DUMMYFUNCTION("""COMPUTED_VALUE"""),"BOGOTÁ")</f>
        <v>BOGOTÁ</v>
      </c>
      <c r="E1792" s="15" t="str">
        <f>IFERROR(__xludf.DUMMYFUNCTION("""COMPUTED_VALUE"""),"SISU PARTNERS SAS")</f>
        <v>SISU PARTNERS SAS</v>
      </c>
      <c r="F1792" s="17" t="str">
        <f>IFERROR(__xludf.DUMMYFUNCTION("""COMPUTED_VALUE"""),"Carrera 7 no. 38-48 local 3 / Local Mary &amp; George")</f>
        <v>Carrera 7 no. 38-48 local 3 / Local Mary &amp; George</v>
      </c>
      <c r="G1792" s="15" t="str">
        <f>IFERROR(__xludf.DUMMYFUNCTION("""COMPUTED_VALUE"""),"Carolyne Bailey")</f>
        <v>Carolyne Bailey</v>
      </c>
      <c r="H1792" s="16">
        <f>IFERROR(__xludf.DUMMYFUNCTION("""COMPUTED_VALUE"""),10371.0)</f>
        <v>10371</v>
      </c>
      <c r="I1792" s="18" t="str">
        <f>IFERROR(__xludf.DUMMYFUNCTION("""COMPUTED_VALUE"""),"52.5")</f>
        <v>52.5</v>
      </c>
      <c r="J1792" s="18">
        <f>IFERROR(__xludf.DUMMYFUNCTION("""COMPUTED_VALUE"""),45.0)</f>
        <v>45</v>
      </c>
      <c r="K1792" s="18">
        <f>IFERROR(__xludf.DUMMYFUNCTION("""COMPUTED_VALUE"""),55.0)</f>
        <v>55</v>
      </c>
      <c r="L1792" s="17">
        <f>IFERROR(__xludf.DUMMYFUNCTION("""COMPUTED_VALUE"""),3.105510381E9)</f>
        <v>3105510381</v>
      </c>
      <c r="M1792" s="17" t="str">
        <f>IFERROR(__xludf.DUMMYFUNCTION("""COMPUTED_VALUE"""),"#REF!")</f>
        <v>#REF!</v>
      </c>
      <c r="N1792" s="17"/>
      <c r="O1792" s="17"/>
      <c r="P1792" s="17" t="b">
        <f>IFERROR(__xludf.DUMMYFUNCTION("""COMPUTED_VALUE"""),FALSE)</f>
        <v>0</v>
      </c>
      <c r="Q1792" s="20" t="str">
        <f>IFERROR(__xludf.DUMMYFUNCTION("""COMPUTED_VALUE"""),"")</f>
        <v/>
      </c>
      <c r="R1792" s="22" t="str">
        <f>IFERROR(__xludf.DUMMYFUNCTION("""COMPUTED_VALUE"""),"")</f>
        <v/>
      </c>
    </row>
    <row r="1793">
      <c r="A1793" s="15">
        <f>IFERROR(__xludf.DUMMYFUNCTION("""COMPUTED_VALUE"""),45051.0)</f>
        <v>45051</v>
      </c>
      <c r="B1793" s="16" t="str">
        <f>IFERROR(__xludf.DUMMYFUNCTION("""COMPUTED_VALUE"""),"Jeison Rubiano")</f>
        <v>Jeison Rubiano</v>
      </c>
      <c r="C1793" s="15" t="str">
        <f>IFERROR(__xludf.DUMMYFUNCTION("""COMPUTED_VALUE"""),"POPAYAN")</f>
        <v>POPAYAN</v>
      </c>
      <c r="D1793" s="15" t="str">
        <f>IFERROR(__xludf.DUMMYFUNCTION("""COMPUTED_VALUE"""),"MEDELLÍN")</f>
        <v>MEDELLÍN</v>
      </c>
      <c r="E1793" s="15" t="str">
        <f>IFERROR(__xludf.DUMMYFUNCTION("""COMPUTED_VALUE"""),"Rambla")</f>
        <v>Rambla</v>
      </c>
      <c r="F1793" s="17" t="str">
        <f>IFERROR(__xludf.DUMMYFUNCTION("""COMPUTED_VALUE"""),"Carrera 9 # 18N - 239 Local 4 Terrazas del norte Barrio: Catay Popayán, Catay / NA / NA")</f>
        <v>Carrera 9 # 18N - 239 Local 4 Terrazas del norte Barrio: Catay Popayán, Catay / NA / NA</v>
      </c>
      <c r="G1793" s="15" t="str">
        <f>IFERROR(__xludf.DUMMYFUNCTION("""COMPUTED_VALUE"""),"Vitafit")</f>
        <v>Vitafit</v>
      </c>
      <c r="H1793" s="16">
        <f>IFERROR(__xludf.DUMMYFUNCTION("""COMPUTED_VALUE"""),10360.0)</f>
        <v>10360</v>
      </c>
      <c r="I1793" s="18">
        <f>IFERROR(__xludf.DUMMYFUNCTION("""COMPUTED_VALUE"""),28.0)</f>
        <v>28</v>
      </c>
      <c r="J1793" s="18">
        <f>IFERROR(__xludf.DUMMYFUNCTION("""COMPUTED_VALUE"""),31.0)</f>
        <v>31</v>
      </c>
      <c r="K1793" s="18">
        <f>IFERROR(__xludf.DUMMYFUNCTION("""COMPUTED_VALUE"""),34.0)</f>
        <v>34</v>
      </c>
      <c r="L1793" s="17">
        <f>IFERROR(__xludf.DUMMYFUNCTION("""COMPUTED_VALUE"""),3.017324093E9)</f>
        <v>3017324093</v>
      </c>
      <c r="M1793" s="17" t="str">
        <f>IFERROR(__xludf.DUMMYFUNCTION("""COMPUTED_VALUE"""),"#REF!")</f>
        <v>#REF!</v>
      </c>
      <c r="N1793" s="17"/>
      <c r="O1793" s="17"/>
      <c r="P1793" s="17" t="b">
        <f>IFERROR(__xludf.DUMMYFUNCTION("""COMPUTED_VALUE"""),FALSE)</f>
        <v>0</v>
      </c>
      <c r="Q1793" s="20" t="str">
        <f>IFERROR(__xludf.DUMMYFUNCTION("""COMPUTED_VALUE"""),"")</f>
        <v/>
      </c>
      <c r="R1793" s="22" t="str">
        <f>IFERROR(__xludf.DUMMYFUNCTION("""COMPUTED_VALUE"""),"")</f>
        <v/>
      </c>
    </row>
    <row r="1794">
      <c r="A1794" s="17" t="str">
        <f>IFERROR(__xludf.DUMMYFUNCTION("""COMPUTED_VALUE"""),"")</f>
        <v/>
      </c>
      <c r="B1794" s="17" t="str">
        <f>IFERROR(__xludf.DUMMYFUNCTION("""COMPUTED_VALUE"""),"")</f>
        <v/>
      </c>
      <c r="C1794" s="17" t="str">
        <f>IFERROR(__xludf.DUMMYFUNCTION("""COMPUTED_VALUE"""),"")</f>
        <v/>
      </c>
      <c r="D1794" s="17" t="str">
        <f>IFERROR(__xludf.DUMMYFUNCTION("""COMPUTED_VALUE"""),"")</f>
        <v/>
      </c>
      <c r="E1794" s="17" t="str">
        <f>IFERROR(__xludf.DUMMYFUNCTION("""COMPUTED_VALUE"""),"")</f>
        <v/>
      </c>
      <c r="F1794" s="17" t="str">
        <f>IFERROR(__xludf.DUMMYFUNCTION("""COMPUTED_VALUE"""),"")</f>
        <v/>
      </c>
      <c r="G1794" s="17" t="str">
        <f>IFERROR(__xludf.DUMMYFUNCTION("""COMPUTED_VALUE"""),"")</f>
        <v/>
      </c>
      <c r="H1794" s="17" t="str">
        <f>IFERROR(__xludf.DUMMYFUNCTION("""COMPUTED_VALUE"""),"")</f>
        <v/>
      </c>
      <c r="I1794" s="17" t="str">
        <f>IFERROR(__xludf.DUMMYFUNCTION("""COMPUTED_VALUE"""),"")</f>
        <v/>
      </c>
      <c r="J1794" s="17" t="str">
        <f>IFERROR(__xludf.DUMMYFUNCTION("""COMPUTED_VALUE"""),"")</f>
        <v/>
      </c>
      <c r="K1794" s="17" t="str">
        <f>IFERROR(__xludf.DUMMYFUNCTION("""COMPUTED_VALUE"""),"")</f>
        <v/>
      </c>
      <c r="L1794" s="17" t="str">
        <f>IFERROR(__xludf.DUMMYFUNCTION("""COMPUTED_VALUE"""),"")</f>
        <v/>
      </c>
      <c r="M1794" s="17" t="str">
        <f>IFERROR(__xludf.DUMMYFUNCTION("""COMPUTED_VALUE"""),"")</f>
        <v/>
      </c>
      <c r="N1794" s="17" t="str">
        <f>IFERROR(__xludf.DUMMYFUNCTION("""COMPUTED_VALUE"""),"")</f>
        <v/>
      </c>
      <c r="O1794" s="17" t="str">
        <f>IFERROR(__xludf.DUMMYFUNCTION("""COMPUTED_VALUE"""),"")</f>
        <v/>
      </c>
      <c r="P1794" s="17" t="str">
        <f>IFERROR(__xludf.DUMMYFUNCTION("""COMPUTED_VALUE"""),"")</f>
        <v/>
      </c>
      <c r="Q1794" s="17" t="str">
        <f>IFERROR(__xludf.DUMMYFUNCTION("""COMPUTED_VALUE"""),"")</f>
        <v/>
      </c>
      <c r="R1794" s="17" t="str">
        <f>IFERROR(__xludf.DUMMYFUNCTION("""COMPUTED_VALUE"""),"")</f>
        <v/>
      </c>
    </row>
    <row r="1795">
      <c r="A1795" s="15">
        <f>IFERROR(__xludf.DUMMYFUNCTION("""COMPUTED_VALUE"""),45051.0)</f>
        <v>45051</v>
      </c>
      <c r="B1795" s="16" t="str">
        <f>IFERROR(__xludf.DUMMYFUNCTION("""COMPUTED_VALUE"""),"JOSE ALFREDO RAMIREZ VERGARA ")</f>
        <v>JOSE ALFREDO RAMIREZ VERGARA </v>
      </c>
      <c r="C1795" s="15" t="str">
        <f>IFERROR(__xludf.DUMMYFUNCTION("""COMPUTED_VALUE"""),"BOGOTÁ")</f>
        <v>BOGOTÁ</v>
      </c>
      <c r="D1795" s="15" t="str">
        <f>IFERROR(__xludf.DUMMYFUNCTION("""COMPUTED_VALUE"""),"MEDELLÍN")</f>
        <v>MEDELLÍN</v>
      </c>
      <c r="E1795" s="15" t="str">
        <f>IFERROR(__xludf.DUMMYFUNCTION("""COMPUTED_VALUE"""),"AREPAS LA MARY")</f>
        <v>AREPAS LA MARY</v>
      </c>
      <c r="F1795" s="17" t="str">
        <f>IFERROR(__xludf.DUMMYFUNCTION("""COMPUTED_VALUE"""),"AUTOPISTA NORTE 120 37")</f>
        <v>AUTOPISTA NORTE 120 37</v>
      </c>
      <c r="G1795" s="15" t="str">
        <f>IFERROR(__xludf.DUMMYFUNCTION("""COMPUTED_VALUE"""),"EA VE MARIA")</f>
        <v>EA VE MARIA</v>
      </c>
      <c r="H1795" s="16">
        <f>IFERROR(__xludf.DUMMYFUNCTION("""COMPUTED_VALUE"""),10369.0)</f>
        <v>10369</v>
      </c>
      <c r="I1795" s="18">
        <f>IFERROR(__xludf.DUMMYFUNCTION("""COMPUTED_VALUE"""),89.0)</f>
        <v>89</v>
      </c>
      <c r="J1795" s="18">
        <f>IFERROR(__xludf.DUMMYFUNCTION("""COMPUTED_VALUE"""),1.0)</f>
        <v>1</v>
      </c>
      <c r="K1795" s="18">
        <f>IFERROR(__xludf.DUMMYFUNCTION("""COMPUTED_VALUE"""),10.0)</f>
        <v>10</v>
      </c>
      <c r="L1795" s="17" t="str">
        <f>IFERROR(__xludf.DUMMYFUNCTION("""COMPUTED_VALUE"""),"320 274 90 55")</f>
        <v>320 274 90 55</v>
      </c>
      <c r="M1795" s="17" t="str">
        <f>IFERROR(__xludf.DUMMYFUNCTION("""COMPUTED_VALUE"""),"#REF!")</f>
        <v>#REF!</v>
      </c>
      <c r="N1795" s="17"/>
      <c r="O1795" s="17"/>
      <c r="P1795" s="17" t="b">
        <f>IFERROR(__xludf.DUMMYFUNCTION("""COMPUTED_VALUE"""),FALSE)</f>
        <v>0</v>
      </c>
      <c r="Q1795" s="20" t="str">
        <f>IFERROR(__xludf.DUMMYFUNCTION("""COMPUTED_VALUE"""),"")</f>
        <v/>
      </c>
      <c r="R1795" s="22" t="str">
        <f>IFERROR(__xludf.DUMMYFUNCTION("""COMPUTED_VALUE"""),"")</f>
        <v/>
      </c>
    </row>
    <row r="1796">
      <c r="A1796" s="15">
        <f>IFERROR(__xludf.DUMMYFUNCTION("""COMPUTED_VALUE"""),45051.0)</f>
        <v>45051</v>
      </c>
      <c r="B1796" s="16" t="str">
        <f>IFERROR(__xludf.DUMMYFUNCTION("""COMPUTED_VALUE"""),"JOSE ALFREDO RAMIREZ VERGARA ")</f>
        <v>JOSE ALFREDO RAMIREZ VERGARA </v>
      </c>
      <c r="C1796" s="15" t="str">
        <f>IFERROR(__xludf.DUMMYFUNCTION("""COMPUTED_VALUE"""),"BOGOTÁ")</f>
        <v>BOGOTÁ</v>
      </c>
      <c r="D1796" s="15" t="str">
        <f>IFERROR(__xludf.DUMMYFUNCTION("""COMPUTED_VALUE"""),"MEDELLÍN")</f>
        <v>MEDELLÍN</v>
      </c>
      <c r="E1796" s="15" t="str">
        <f>IFERROR(__xludf.DUMMYFUNCTION("""COMPUTED_VALUE"""),"Baby Chef")</f>
        <v>Baby Chef</v>
      </c>
      <c r="F1796" s="17" t="str">
        <f>IFERROR(__xludf.DUMMYFUNCTION("""COMPUTED_VALUE"""),"Calle 115 #11a-30 / Apto 201 / Barrio campo alegre")</f>
        <v>Calle 115 #11a-30 / Apto 201 / Barrio campo alegre</v>
      </c>
      <c r="G1796" s="15" t="str">
        <f>IFERROR(__xludf.DUMMYFUNCTION("""COMPUTED_VALUE"""),"Lina Soler")</f>
        <v>Lina Soler</v>
      </c>
      <c r="H1796" s="16">
        <f>IFERROR(__xludf.DUMMYFUNCTION("""COMPUTED_VALUE"""),10387.0)</f>
        <v>10387</v>
      </c>
      <c r="I1796" s="18">
        <f>IFERROR(__xludf.DUMMYFUNCTION("""COMPUTED_VALUE"""),8.0)</f>
        <v>8</v>
      </c>
      <c r="J1796" s="18">
        <f>IFERROR(__xludf.DUMMYFUNCTION("""COMPUTED_VALUE"""),16.0)</f>
        <v>16</v>
      </c>
      <c r="K1796" s="18">
        <f>IFERROR(__xludf.DUMMYFUNCTION("""COMPUTED_VALUE"""),20.0)</f>
        <v>20</v>
      </c>
      <c r="L1796" s="17">
        <f>IFERROR(__xludf.DUMMYFUNCTION("""COMPUTED_VALUE"""),3.102485654E9)</f>
        <v>3102485654</v>
      </c>
      <c r="M1796" s="17" t="str">
        <f>IFERROR(__xludf.DUMMYFUNCTION("""COMPUTED_VALUE"""),"#REF!")</f>
        <v>#REF!</v>
      </c>
      <c r="N1796" s="17"/>
      <c r="O1796" s="17"/>
      <c r="P1796" s="17" t="b">
        <f>IFERROR(__xludf.DUMMYFUNCTION("""COMPUTED_VALUE"""),FALSE)</f>
        <v>0</v>
      </c>
      <c r="Q1796" s="20" t="str">
        <f>IFERROR(__xludf.DUMMYFUNCTION("""COMPUTED_VALUE"""),"")</f>
        <v/>
      </c>
      <c r="R1796" s="22" t="str">
        <f>IFERROR(__xludf.DUMMYFUNCTION("""COMPUTED_VALUE"""),"")</f>
        <v/>
      </c>
    </row>
    <row r="1797">
      <c r="A1797" s="15">
        <f>IFERROR(__xludf.DUMMYFUNCTION("""COMPUTED_VALUE"""),45051.0)</f>
        <v>45051</v>
      </c>
      <c r="B1797" s="16" t="str">
        <f>IFERROR(__xludf.DUMMYFUNCTION("""COMPUTED_VALUE"""),"JOSE ALFREDO RAMIREZ VERGARA ")</f>
        <v>JOSE ALFREDO RAMIREZ VERGARA </v>
      </c>
      <c r="C1797" s="15" t="str">
        <f>IFERROR(__xludf.DUMMYFUNCTION("""COMPUTED_VALUE"""),"BOGOTÁ")</f>
        <v>BOGOTÁ</v>
      </c>
      <c r="D1797" s="15" t="str">
        <f>IFERROR(__xludf.DUMMYFUNCTION("""COMPUTED_VALUE"""),"MEDELLÍN")</f>
        <v>MEDELLÍN</v>
      </c>
      <c r="E1797" s="15" t="str">
        <f>IFERROR(__xludf.DUMMYFUNCTION("""COMPUTED_VALUE"""),"Baby Chef")</f>
        <v>Baby Chef</v>
      </c>
      <c r="F1797" s="17" t="str">
        <f>IFERROR(__xludf.DUMMYFUNCTION("""COMPUTED_VALUE"""),"Calle 94 # 72 A 96 / Torre 4 Apto 603 Conjunto Cabopino / BOGOTA")</f>
        <v>Calle 94 # 72 A 96 / Torre 4 Apto 603 Conjunto Cabopino / BOGOTA</v>
      </c>
      <c r="G1797" s="15" t="str">
        <f>IFERROR(__xludf.DUMMYFUNCTION("""COMPUTED_VALUE"""),"Andrea Rengifo")</f>
        <v>Andrea Rengifo</v>
      </c>
      <c r="H1797" s="16">
        <f>IFERROR(__xludf.DUMMYFUNCTION("""COMPUTED_VALUE"""),10388.0)</f>
        <v>10388</v>
      </c>
      <c r="I1797" s="18">
        <f>IFERROR(__xludf.DUMMYFUNCTION("""COMPUTED_VALUE"""),8.0)</f>
        <v>8</v>
      </c>
      <c r="J1797" s="18">
        <f>IFERROR(__xludf.DUMMYFUNCTION("""COMPUTED_VALUE"""),16.0)</f>
        <v>16</v>
      </c>
      <c r="K1797" s="18">
        <f>IFERROR(__xludf.DUMMYFUNCTION("""COMPUTED_VALUE"""),20.0)</f>
        <v>20</v>
      </c>
      <c r="L1797" s="17">
        <f>IFERROR(__xludf.DUMMYFUNCTION("""COMPUTED_VALUE"""),3.005567929E9)</f>
        <v>3005567929</v>
      </c>
      <c r="M1797" s="17" t="str">
        <f>IFERROR(__xludf.DUMMYFUNCTION("""COMPUTED_VALUE"""),"#REF!")</f>
        <v>#REF!</v>
      </c>
      <c r="N1797" s="17"/>
      <c r="O1797" s="17"/>
      <c r="P1797" s="17" t="b">
        <f>IFERROR(__xludf.DUMMYFUNCTION("""COMPUTED_VALUE"""),FALSE)</f>
        <v>0</v>
      </c>
      <c r="Q1797" s="20" t="str">
        <f>IFERROR(__xludf.DUMMYFUNCTION("""COMPUTED_VALUE"""),"")</f>
        <v/>
      </c>
      <c r="R1797" s="22" t="str">
        <f>IFERROR(__xludf.DUMMYFUNCTION("""COMPUTED_VALUE"""),"")</f>
        <v/>
      </c>
    </row>
    <row r="1798">
      <c r="A1798" s="15">
        <f>IFERROR(__xludf.DUMMYFUNCTION("""COMPUTED_VALUE"""),45051.0)</f>
        <v>45051</v>
      </c>
      <c r="B1798" s="16" t="str">
        <f>IFERROR(__xludf.DUMMYFUNCTION("""COMPUTED_VALUE"""),"JOSE ALFREDO RAMIREZ VERGARA ")</f>
        <v>JOSE ALFREDO RAMIREZ VERGARA </v>
      </c>
      <c r="C1798" s="15" t="str">
        <f>IFERROR(__xludf.DUMMYFUNCTION("""COMPUTED_VALUE"""),"BOGOTÁ")</f>
        <v>BOGOTÁ</v>
      </c>
      <c r="D1798" s="15" t="str">
        <f>IFERROR(__xludf.DUMMYFUNCTION("""COMPUTED_VALUE"""),"MEDELLÍN")</f>
        <v>MEDELLÍN</v>
      </c>
      <c r="E1798" s="15" t="str">
        <f>IFERROR(__xludf.DUMMYFUNCTION("""COMPUTED_VALUE"""),"El Molde")</f>
        <v>El Molde</v>
      </c>
      <c r="F1798" s="17" t="str">
        <f>IFERROR(__xludf.DUMMYFUNCTION("""COMPUTED_VALUE"""),"calle 22d # 72-41 La Cascada Apto 1402 Torre 4")</f>
        <v>calle 22d # 72-41 La Cascada Apto 1402 Torre 4</v>
      </c>
      <c r="G1798" s="15" t="str">
        <f>IFERROR(__xludf.DUMMYFUNCTION("""COMPUTED_VALUE"""),"sabrina salim")</f>
        <v>sabrina salim</v>
      </c>
      <c r="H1798" s="16">
        <f>IFERROR(__xludf.DUMMYFUNCTION("""COMPUTED_VALUE"""),10379.0)</f>
        <v>10379</v>
      </c>
      <c r="I1798" s="18">
        <f>IFERROR(__xludf.DUMMYFUNCTION("""COMPUTED_VALUE"""),5.0)</f>
        <v>5</v>
      </c>
      <c r="J1798" s="18">
        <f>IFERROR(__xludf.DUMMYFUNCTION("""COMPUTED_VALUE"""),12.0)</f>
        <v>12</v>
      </c>
      <c r="K1798" s="18">
        <f>IFERROR(__xludf.DUMMYFUNCTION("""COMPUTED_VALUE"""),45060.0)</f>
        <v>45060</v>
      </c>
      <c r="L1798" s="17" t="str">
        <f>IFERROR(__xludf.DUMMYFUNCTION("""COMPUTED_VALUE"""),"311 2062550")</f>
        <v>311 2062550</v>
      </c>
      <c r="M1798" s="17" t="str">
        <f>IFERROR(__xludf.DUMMYFUNCTION("""COMPUTED_VALUE"""),"#REF!")</f>
        <v>#REF!</v>
      </c>
      <c r="N1798" s="17"/>
      <c r="O1798" s="17"/>
      <c r="P1798" s="17" t="b">
        <f>IFERROR(__xludf.DUMMYFUNCTION("""COMPUTED_VALUE"""),FALSE)</f>
        <v>0</v>
      </c>
      <c r="Q1798" s="20" t="str">
        <f>IFERROR(__xludf.DUMMYFUNCTION("""COMPUTED_VALUE"""),"")</f>
        <v/>
      </c>
      <c r="R1798" s="22" t="str">
        <f>IFERROR(__xludf.DUMMYFUNCTION("""COMPUTED_VALUE"""),"")</f>
        <v/>
      </c>
    </row>
    <row r="1799">
      <c r="A1799" s="15">
        <f>IFERROR(__xludf.DUMMYFUNCTION("""COMPUTED_VALUE"""),45051.0)</f>
        <v>45051</v>
      </c>
      <c r="B1799" s="16" t="str">
        <f>IFERROR(__xludf.DUMMYFUNCTION("""COMPUTED_VALUE"""),"JOSE ALFREDO RAMIREZ VERGARA ")</f>
        <v>JOSE ALFREDO RAMIREZ VERGARA </v>
      </c>
      <c r="C1799" s="15" t="str">
        <f>IFERROR(__xludf.DUMMYFUNCTION("""COMPUTED_VALUE"""),"BOGOTÁ")</f>
        <v>BOGOTÁ</v>
      </c>
      <c r="D1799" s="15" t="str">
        <f>IFERROR(__xludf.DUMMYFUNCTION("""COMPUTED_VALUE"""),"MEDELLÍN")</f>
        <v>MEDELLÍN</v>
      </c>
      <c r="E1799" s="15" t="str">
        <f>IFERROR(__xludf.DUMMYFUNCTION("""COMPUTED_VALUE"""),"Moloso S.A.S")</f>
        <v>Moloso S.A.S</v>
      </c>
      <c r="F1799" s="17" t="str">
        <f>IFERROR(__xludf.DUMMYFUNCTION("""COMPUTED_VALUE"""),"CL 77 A   70 20 / CA P01")</f>
        <v>CL 77 A   70 20 / CA P01</v>
      </c>
      <c r="G1799" s="15" t="str">
        <f>IFERROR(__xludf.DUMMYFUNCTION("""COMPUTED_VALUE"""),"SOFIA OSPINA ROJAS")</f>
        <v>SOFIA OSPINA ROJAS</v>
      </c>
      <c r="H1799" s="16">
        <f>IFERROR(__xludf.DUMMYFUNCTION("""COMPUTED_VALUE"""),10381.0)</f>
        <v>10381</v>
      </c>
      <c r="I1799" s="18">
        <f>IFERROR(__xludf.DUMMYFUNCTION("""COMPUTED_VALUE"""),17.0)</f>
        <v>17</v>
      </c>
      <c r="J1799" s="18">
        <f>IFERROR(__xludf.DUMMYFUNCTION("""COMPUTED_VALUE"""),15.0)</f>
        <v>15</v>
      </c>
      <c r="K1799" s="18">
        <f>IFERROR(__xludf.DUMMYFUNCTION("""COMPUTED_VALUE"""),28.0)</f>
        <v>28</v>
      </c>
      <c r="L1799" s="17">
        <f>IFERROR(__xludf.DUMMYFUNCTION("""COMPUTED_VALUE"""),3.194441348E9)</f>
        <v>3194441348</v>
      </c>
      <c r="M1799" s="17" t="str">
        <f>IFERROR(__xludf.DUMMYFUNCTION("""COMPUTED_VALUE"""),"#REF!")</f>
        <v>#REF!</v>
      </c>
      <c r="N1799" s="17"/>
      <c r="O1799" s="19">
        <f>IFERROR(__xludf.DUMMYFUNCTION("""COMPUTED_VALUE"""),7000.0)</f>
        <v>7000</v>
      </c>
      <c r="P1799" s="17" t="b">
        <f>IFERROR(__xludf.DUMMYFUNCTION("""COMPUTED_VALUE"""),FALSE)</f>
        <v>0</v>
      </c>
      <c r="Q1799" s="20" t="str">
        <f>IFERROR(__xludf.DUMMYFUNCTION("""COMPUTED_VALUE"""),"")</f>
        <v/>
      </c>
      <c r="R1799" s="22" t="str">
        <f>IFERROR(__xludf.DUMMYFUNCTION("""COMPUTED_VALUE"""),"")</f>
        <v/>
      </c>
    </row>
    <row r="1800">
      <c r="A1800" s="17" t="str">
        <f>IFERROR(__xludf.DUMMYFUNCTION("""COMPUTED_VALUE"""),"")</f>
        <v/>
      </c>
      <c r="B1800" s="17" t="str">
        <f>IFERROR(__xludf.DUMMYFUNCTION("""COMPUTED_VALUE"""),"")</f>
        <v/>
      </c>
      <c r="C1800" s="17" t="str">
        <f>IFERROR(__xludf.DUMMYFUNCTION("""COMPUTED_VALUE"""),"")</f>
        <v/>
      </c>
      <c r="D1800" s="17" t="str">
        <f>IFERROR(__xludf.DUMMYFUNCTION("""COMPUTED_VALUE"""),"")</f>
        <v/>
      </c>
      <c r="E1800" s="17" t="str">
        <f>IFERROR(__xludf.DUMMYFUNCTION("""COMPUTED_VALUE"""),"")</f>
        <v/>
      </c>
      <c r="F1800" s="17" t="str">
        <f>IFERROR(__xludf.DUMMYFUNCTION("""COMPUTED_VALUE"""),"")</f>
        <v/>
      </c>
      <c r="G1800" s="17" t="str">
        <f>IFERROR(__xludf.DUMMYFUNCTION("""COMPUTED_VALUE"""),"")</f>
        <v/>
      </c>
      <c r="H1800" s="17" t="str">
        <f>IFERROR(__xludf.DUMMYFUNCTION("""COMPUTED_VALUE"""),"")</f>
        <v/>
      </c>
      <c r="I1800" s="17" t="str">
        <f>IFERROR(__xludf.DUMMYFUNCTION("""COMPUTED_VALUE"""),"")</f>
        <v/>
      </c>
      <c r="J1800" s="17" t="str">
        <f>IFERROR(__xludf.DUMMYFUNCTION("""COMPUTED_VALUE"""),"")</f>
        <v/>
      </c>
      <c r="K1800" s="17" t="str">
        <f>IFERROR(__xludf.DUMMYFUNCTION("""COMPUTED_VALUE"""),"")</f>
        <v/>
      </c>
      <c r="L1800" s="17" t="str">
        <f>IFERROR(__xludf.DUMMYFUNCTION("""COMPUTED_VALUE"""),"")</f>
        <v/>
      </c>
      <c r="M1800" s="17" t="str">
        <f>IFERROR(__xludf.DUMMYFUNCTION("""COMPUTED_VALUE"""),"")</f>
        <v/>
      </c>
      <c r="N1800" s="17" t="str">
        <f>IFERROR(__xludf.DUMMYFUNCTION("""COMPUTED_VALUE"""),"")</f>
        <v/>
      </c>
      <c r="O1800" s="17" t="str">
        <f>IFERROR(__xludf.DUMMYFUNCTION("""COMPUTED_VALUE"""),"")</f>
        <v/>
      </c>
      <c r="P1800" s="17" t="str">
        <f>IFERROR(__xludf.DUMMYFUNCTION("""COMPUTED_VALUE"""),"")</f>
        <v/>
      </c>
      <c r="Q1800" s="17" t="str">
        <f>IFERROR(__xludf.DUMMYFUNCTION("""COMPUTED_VALUE"""),"")</f>
        <v/>
      </c>
      <c r="R1800" s="17" t="str">
        <f>IFERROR(__xludf.DUMMYFUNCTION("""COMPUTED_VALUE"""),"")</f>
        <v/>
      </c>
    </row>
    <row r="1801">
      <c r="A1801" s="15">
        <f>IFERROR(__xludf.DUMMYFUNCTION("""COMPUTED_VALUE"""),45051.0)</f>
        <v>45051</v>
      </c>
      <c r="B1801" s="16" t="str">
        <f>IFERROR(__xludf.DUMMYFUNCTION("""COMPUTED_VALUE"""),"Lina Gaona")</f>
        <v>Lina Gaona</v>
      </c>
      <c r="C1801" s="15" t="str">
        <f>IFERROR(__xludf.DUMMYFUNCTION("""COMPUTED_VALUE"""),"CÚCUTA")</f>
        <v>CÚCUTA</v>
      </c>
      <c r="D1801" s="15" t="str">
        <f>IFERROR(__xludf.DUMMYFUNCTION("""COMPUTED_VALUE"""),"BOGOTÁ")</f>
        <v>BOGOTÁ</v>
      </c>
      <c r="E1801" s="15" t="str">
        <f>IFERROR(__xludf.DUMMYFUNCTION("""COMPUTED_VALUE"""),"Asociacion Agropecuaria Juana Maria")</f>
        <v>Asociacion Agropecuaria Juana Maria</v>
      </c>
      <c r="F1801" s="17" t="str">
        <f>IFERROR(__xludf.DUMMYFUNCTION("""COMPUTED_VALUE"""),"Avenida 11E # 1 - 35 Avenida Guaimaral Barrario Quinta Oriental Local 3")</f>
        <v>Avenida 11E # 1 - 35 Avenida Guaimaral Barrario Quinta Oriental Local 3</v>
      </c>
      <c r="G1801" s="15" t="str">
        <f>IFERROR(__xludf.DUMMYFUNCTION("""COMPUTED_VALUE"""),"Vanesa Muñoz")</f>
        <v>Vanesa Muñoz</v>
      </c>
      <c r="H1801" s="16">
        <f>IFERROR(__xludf.DUMMYFUNCTION("""COMPUTED_VALUE"""),10242.0)</f>
        <v>10242</v>
      </c>
      <c r="I1801" s="18">
        <f>IFERROR(__xludf.DUMMYFUNCTION("""COMPUTED_VALUE"""),21.0)</f>
        <v>21</v>
      </c>
      <c r="J1801" s="18">
        <f>IFERROR(__xludf.DUMMYFUNCTION("""COMPUTED_VALUE"""),37.0)</f>
        <v>37</v>
      </c>
      <c r="K1801" s="18">
        <f>IFERROR(__xludf.DUMMYFUNCTION("""COMPUTED_VALUE"""),30.0)</f>
        <v>30</v>
      </c>
      <c r="L1801" s="17">
        <f>IFERROR(__xludf.DUMMYFUNCTION("""COMPUTED_VALUE"""),3.163018657E9)</f>
        <v>3163018657</v>
      </c>
      <c r="M1801" s="17" t="str">
        <f>IFERROR(__xludf.DUMMYFUNCTION("""COMPUTED_VALUE"""),"#REF!")</f>
        <v>#REF!</v>
      </c>
      <c r="N1801" s="17"/>
      <c r="O1801" s="19">
        <f>IFERROR(__xludf.DUMMYFUNCTION("""COMPUTED_VALUE"""),7000.0)</f>
        <v>7000</v>
      </c>
      <c r="P1801" s="17" t="b">
        <f>IFERROR(__xludf.DUMMYFUNCTION("""COMPUTED_VALUE"""),FALSE)</f>
        <v>0</v>
      </c>
      <c r="Q1801" s="20" t="str">
        <f>IFERROR(__xludf.DUMMYFUNCTION("""COMPUTED_VALUE"""),"")</f>
        <v/>
      </c>
      <c r="R1801" s="22" t="str">
        <f>IFERROR(__xludf.DUMMYFUNCTION("""COMPUTED_VALUE"""),"")</f>
        <v/>
      </c>
    </row>
    <row r="1802">
      <c r="A1802" s="15">
        <f>IFERROR(__xludf.DUMMYFUNCTION("""COMPUTED_VALUE"""),45051.0)</f>
        <v>45051</v>
      </c>
      <c r="B1802" s="16" t="str">
        <f>IFERROR(__xludf.DUMMYFUNCTION("""COMPUTED_VALUE"""),"Lina Gaona")</f>
        <v>Lina Gaona</v>
      </c>
      <c r="C1802" s="15" t="str">
        <f>IFERROR(__xludf.DUMMYFUNCTION("""COMPUTED_VALUE"""),"CÚCUTA")</f>
        <v>CÚCUTA</v>
      </c>
      <c r="D1802" s="15" t="str">
        <f>IFERROR(__xludf.DUMMYFUNCTION("""COMPUTED_VALUE"""),"BOGOTÁ")</f>
        <v>BOGOTÁ</v>
      </c>
      <c r="E1802" s="15" t="str">
        <f>IFERROR(__xludf.DUMMYFUNCTION("""COMPUTED_VALUE"""),"Asociacion Agropecuaria Juana Maria")</f>
        <v>Asociacion Agropecuaria Juana Maria</v>
      </c>
      <c r="F1802" s="17" t="str">
        <f>IFERROR(__xludf.DUMMYFUNCTION("""COMPUTED_VALUE"""),"Avenida 11E # 1 - 35 Avenida Guaimaral Barrario Quinta Oriental Local 3")</f>
        <v>Avenida 11E # 1 - 35 Avenida Guaimaral Barrario Quinta Oriental Local 3</v>
      </c>
      <c r="G1802" s="15" t="str">
        <f>IFERROR(__xludf.DUMMYFUNCTION("""COMPUTED_VALUE"""),"Vanesa Muñoz")</f>
        <v>Vanesa Muñoz</v>
      </c>
      <c r="H1802" s="16">
        <f>IFERROR(__xludf.DUMMYFUNCTION("""COMPUTED_VALUE"""),10243.0)</f>
        <v>10243</v>
      </c>
      <c r="I1802" s="18">
        <f>IFERROR(__xludf.DUMMYFUNCTION("""COMPUTED_VALUE"""),16.0)</f>
        <v>16</v>
      </c>
      <c r="J1802" s="18">
        <f>IFERROR(__xludf.DUMMYFUNCTION("""COMPUTED_VALUE"""),34.0)</f>
        <v>34</v>
      </c>
      <c r="K1802" s="18">
        <f>IFERROR(__xludf.DUMMYFUNCTION("""COMPUTED_VALUE"""),25.0)</f>
        <v>25</v>
      </c>
      <c r="L1802" s="17">
        <f>IFERROR(__xludf.DUMMYFUNCTION("""COMPUTED_VALUE"""),3.163018657E9)</f>
        <v>3163018657</v>
      </c>
      <c r="M1802" s="17" t="str">
        <f>IFERROR(__xludf.DUMMYFUNCTION("""COMPUTED_VALUE"""),"#REF!")</f>
        <v>#REF!</v>
      </c>
      <c r="N1802" s="17"/>
      <c r="O1802" s="19">
        <f>IFERROR(__xludf.DUMMYFUNCTION("""COMPUTED_VALUE"""),7000.0)</f>
        <v>7000</v>
      </c>
      <c r="P1802" s="17" t="b">
        <f>IFERROR(__xludf.DUMMYFUNCTION("""COMPUTED_VALUE"""),FALSE)</f>
        <v>0</v>
      </c>
      <c r="Q1802" s="20" t="str">
        <f>IFERROR(__xludf.DUMMYFUNCTION("""COMPUTED_VALUE"""),"")</f>
        <v/>
      </c>
      <c r="R1802" s="22" t="str">
        <f>IFERROR(__xludf.DUMMYFUNCTION("""COMPUTED_VALUE"""),"")</f>
        <v/>
      </c>
    </row>
    <row r="1803">
      <c r="A1803" s="15">
        <f>IFERROR(__xludf.DUMMYFUNCTION("""COMPUTED_VALUE"""),45051.0)</f>
        <v>45051</v>
      </c>
      <c r="B1803" s="16" t="str">
        <f>IFERROR(__xludf.DUMMYFUNCTION("""COMPUTED_VALUE"""),"Lina Gaona")</f>
        <v>Lina Gaona</v>
      </c>
      <c r="C1803" s="15" t="str">
        <f>IFERROR(__xludf.DUMMYFUNCTION("""COMPUTED_VALUE"""),"CÚCUTA")</f>
        <v>CÚCUTA</v>
      </c>
      <c r="D1803" s="15" t="str">
        <f>IFERROR(__xludf.DUMMYFUNCTION("""COMPUTED_VALUE"""),"BOGOTÁ")</f>
        <v>BOGOTÁ</v>
      </c>
      <c r="E1803" s="15" t="str">
        <f>IFERROR(__xludf.DUMMYFUNCTION("""COMPUTED_VALUE"""),"Evamazzita")</f>
        <v>Evamazzita</v>
      </c>
      <c r="F1803" s="17" t="str">
        <f>IFERROR(__xludf.DUMMYFUNCTION("""COMPUTED_VALUE"""),"Av 2E # 15A -17  / Caobos / SE ENVÍAN TRES (3) CAJAS")</f>
        <v>Av 2E # 15A -17  / Caobos / SE ENVÍAN TRES (3) CAJAS</v>
      </c>
      <c r="G1803" s="15" t="str">
        <f>IFERROR(__xludf.DUMMYFUNCTION("""COMPUTED_VALUE"""),"DACCY KARINA LOPEZ MORENO")</f>
        <v>DACCY KARINA LOPEZ MORENO</v>
      </c>
      <c r="H1803" s="16">
        <f>IFERROR(__xludf.DUMMYFUNCTION("""COMPUTED_VALUE"""),10333.0)</f>
        <v>10333</v>
      </c>
      <c r="I1803" s="18">
        <f>IFERROR(__xludf.DUMMYFUNCTION("""COMPUTED_VALUE"""),25.0)</f>
        <v>25</v>
      </c>
      <c r="J1803" s="18">
        <f>IFERROR(__xludf.DUMMYFUNCTION("""COMPUTED_VALUE"""),30.0)</f>
        <v>30</v>
      </c>
      <c r="K1803" s="18">
        <f>IFERROR(__xludf.DUMMYFUNCTION("""COMPUTED_VALUE"""),40.0)</f>
        <v>40</v>
      </c>
      <c r="L1803" s="17">
        <f>IFERROR(__xludf.DUMMYFUNCTION("""COMPUTED_VALUE"""),3.208615379E9)</f>
        <v>3208615379</v>
      </c>
      <c r="M1803" s="17" t="str">
        <f>IFERROR(__xludf.DUMMYFUNCTION("""COMPUTED_VALUE"""),"#REF!")</f>
        <v>#REF!</v>
      </c>
      <c r="N1803" s="17"/>
      <c r="O1803" s="17"/>
      <c r="P1803" s="17" t="b">
        <f>IFERROR(__xludf.DUMMYFUNCTION("""COMPUTED_VALUE"""),FALSE)</f>
        <v>0</v>
      </c>
      <c r="Q1803" s="20" t="str">
        <f>IFERROR(__xludf.DUMMYFUNCTION("""COMPUTED_VALUE"""),"")</f>
        <v/>
      </c>
      <c r="R1803" s="22" t="str">
        <f>IFERROR(__xludf.DUMMYFUNCTION("""COMPUTED_VALUE"""),"")</f>
        <v/>
      </c>
    </row>
    <row r="1804">
      <c r="A1804" s="15">
        <f>IFERROR(__xludf.DUMMYFUNCTION("""COMPUTED_VALUE"""),45051.0)</f>
        <v>45051</v>
      </c>
      <c r="B1804" s="16" t="str">
        <f>IFERROR(__xludf.DUMMYFUNCTION("""COMPUTED_VALUE"""),"Lina Gaona")</f>
        <v>Lina Gaona</v>
      </c>
      <c r="C1804" s="15" t="str">
        <f>IFERROR(__xludf.DUMMYFUNCTION("""COMPUTED_VALUE"""),"SANTA MARTA")</f>
        <v>SANTA MARTA</v>
      </c>
      <c r="D1804" s="15" t="str">
        <f>IFERROR(__xludf.DUMMYFUNCTION("""COMPUTED_VALUE"""),"MEDELLÍN")</f>
        <v>MEDELLÍN</v>
      </c>
      <c r="E1804" s="15" t="str">
        <f>IFERROR(__xludf.DUMMYFUNCTION("""COMPUTED_VALUE"""),"Magda")</f>
        <v>Magda</v>
      </c>
      <c r="F1804" s="17" t="str">
        <f>IFERROR(__xludf.DUMMYFUNCTION("""COMPUTED_VALUE"""),"calle 22#6-82  / ""centro comercial plazuela 22 local 27 "" / Centro")</f>
        <v>calle 22#6-82  / "centro comercial plazuela 22 local 27 " / Centro</v>
      </c>
      <c r="G1804" s="15" t="str">
        <f>IFERROR(__xludf.DUMMYFUNCTION("""COMPUTED_VALUE"""),"Shirley Monjarres")</f>
        <v>Shirley Monjarres</v>
      </c>
      <c r="H1804" s="16">
        <f>IFERROR(__xludf.DUMMYFUNCTION("""COMPUTED_VALUE"""),10366.0)</f>
        <v>10366</v>
      </c>
      <c r="I1804" s="18">
        <f>IFERROR(__xludf.DUMMYFUNCTION("""COMPUTED_VALUE"""),5.0)</f>
        <v>5</v>
      </c>
      <c r="J1804" s="18">
        <f>IFERROR(__xludf.DUMMYFUNCTION("""COMPUTED_VALUE"""),5.0)</f>
        <v>5</v>
      </c>
      <c r="K1804" s="18">
        <f>IFERROR(__xludf.DUMMYFUNCTION("""COMPUTED_VALUE"""),5.0)</f>
        <v>5</v>
      </c>
      <c r="L1804" s="17">
        <f>IFERROR(__xludf.DUMMYFUNCTION("""COMPUTED_VALUE"""),3.054269156E9)</f>
        <v>3054269156</v>
      </c>
      <c r="M1804" s="17" t="str">
        <f>IFERROR(__xludf.DUMMYFUNCTION("""COMPUTED_VALUE"""),"#REF!")</f>
        <v>#REF!</v>
      </c>
      <c r="N1804" s="17"/>
      <c r="O1804" s="17"/>
      <c r="P1804" s="17" t="b">
        <f>IFERROR(__xludf.DUMMYFUNCTION("""COMPUTED_VALUE"""),FALSE)</f>
        <v>0</v>
      </c>
      <c r="Q1804" s="20" t="str">
        <f>IFERROR(__xludf.DUMMYFUNCTION("""COMPUTED_VALUE"""),"")</f>
        <v/>
      </c>
      <c r="R1804" s="22" t="str">
        <f>IFERROR(__xludf.DUMMYFUNCTION("""COMPUTED_VALUE"""),"")</f>
        <v/>
      </c>
    </row>
    <row r="1805">
      <c r="A1805" s="17" t="str">
        <f>IFERROR(__xludf.DUMMYFUNCTION("""COMPUTED_VALUE"""),"")</f>
        <v/>
      </c>
      <c r="B1805" s="17" t="str">
        <f>IFERROR(__xludf.DUMMYFUNCTION("""COMPUTED_VALUE"""),"")</f>
        <v/>
      </c>
      <c r="C1805" s="17" t="str">
        <f>IFERROR(__xludf.DUMMYFUNCTION("""COMPUTED_VALUE"""),"")</f>
        <v/>
      </c>
      <c r="D1805" s="17" t="str">
        <f>IFERROR(__xludf.DUMMYFUNCTION("""COMPUTED_VALUE"""),"")</f>
        <v/>
      </c>
      <c r="E1805" s="17" t="str">
        <f>IFERROR(__xludf.DUMMYFUNCTION("""COMPUTED_VALUE"""),"")</f>
        <v/>
      </c>
      <c r="F1805" s="17" t="str">
        <f>IFERROR(__xludf.DUMMYFUNCTION("""COMPUTED_VALUE"""),"")</f>
        <v/>
      </c>
      <c r="G1805" s="17" t="str">
        <f>IFERROR(__xludf.DUMMYFUNCTION("""COMPUTED_VALUE"""),"")</f>
        <v/>
      </c>
      <c r="H1805" s="17" t="str">
        <f>IFERROR(__xludf.DUMMYFUNCTION("""COMPUTED_VALUE"""),"")</f>
        <v/>
      </c>
      <c r="I1805" s="17" t="str">
        <f>IFERROR(__xludf.DUMMYFUNCTION("""COMPUTED_VALUE"""),"")</f>
        <v/>
      </c>
      <c r="J1805" s="17" t="str">
        <f>IFERROR(__xludf.DUMMYFUNCTION("""COMPUTED_VALUE"""),"")</f>
        <v/>
      </c>
      <c r="K1805" s="17" t="str">
        <f>IFERROR(__xludf.DUMMYFUNCTION("""COMPUTED_VALUE"""),"")</f>
        <v/>
      </c>
      <c r="L1805" s="17" t="str">
        <f>IFERROR(__xludf.DUMMYFUNCTION("""COMPUTED_VALUE"""),"")</f>
        <v/>
      </c>
      <c r="M1805" s="17" t="str">
        <f>IFERROR(__xludf.DUMMYFUNCTION("""COMPUTED_VALUE"""),"")</f>
        <v/>
      </c>
      <c r="N1805" s="17" t="str">
        <f>IFERROR(__xludf.DUMMYFUNCTION("""COMPUTED_VALUE"""),"")</f>
        <v/>
      </c>
      <c r="O1805" s="17" t="str">
        <f>IFERROR(__xludf.DUMMYFUNCTION("""COMPUTED_VALUE"""),"")</f>
        <v/>
      </c>
      <c r="P1805" s="17" t="str">
        <f>IFERROR(__xludf.DUMMYFUNCTION("""COMPUTED_VALUE"""),"")</f>
        <v/>
      </c>
      <c r="Q1805" s="17" t="str">
        <f>IFERROR(__xludf.DUMMYFUNCTION("""COMPUTED_VALUE"""),"")</f>
        <v/>
      </c>
      <c r="R1805" s="17" t="str">
        <f>IFERROR(__xludf.DUMMYFUNCTION("""COMPUTED_VALUE"""),"")</f>
        <v/>
      </c>
    </row>
    <row r="1806">
      <c r="A1806" s="15">
        <f>IFERROR(__xludf.DUMMYFUNCTION("""COMPUTED_VALUE"""),45051.0)</f>
        <v>45051</v>
      </c>
      <c r="B1806" s="16" t="str">
        <f>IFERROR(__xludf.DUMMYFUNCTION("""COMPUTED_VALUE"""),"Luis Miguel Ramirez Morales")</f>
        <v>Luis Miguel Ramirez Morales</v>
      </c>
      <c r="C1806" s="15" t="str">
        <f>IFERROR(__xludf.DUMMYFUNCTION("""COMPUTED_VALUE"""),"BOGOTÁ")</f>
        <v>BOGOTÁ</v>
      </c>
      <c r="D1806" s="15" t="str">
        <f>IFERROR(__xludf.DUMMYFUNCTION("""COMPUTED_VALUE"""),"MEDELLÍN")</f>
        <v>MEDELLÍN</v>
      </c>
      <c r="E1806" s="15" t="str">
        <f>IFERROR(__xludf.DUMMYFUNCTION("""COMPUTED_VALUE"""),"Baby Chef")</f>
        <v>Baby Chef</v>
      </c>
      <c r="F1806" s="17" t="str">
        <f>IFERROR(__xludf.DUMMYFUNCTION("""COMPUTED_VALUE"""),"Calle 172 # 57 -04  / Conjunto los Colibries Casa  / Villa del Prado")</f>
        <v>Calle 172 # 57 -04  / Conjunto los Colibries Casa  / Villa del Prado</v>
      </c>
      <c r="G1806" s="15" t="str">
        <f>IFERROR(__xludf.DUMMYFUNCTION("""COMPUTED_VALUE"""),"Sandra Montealegre")</f>
        <v>Sandra Montealegre</v>
      </c>
      <c r="H1806" s="16">
        <f>IFERROR(__xludf.DUMMYFUNCTION("""COMPUTED_VALUE"""),10389.0)</f>
        <v>10389</v>
      </c>
      <c r="I1806" s="18">
        <f>IFERROR(__xludf.DUMMYFUNCTION("""COMPUTED_VALUE"""),8.0)</f>
        <v>8</v>
      </c>
      <c r="J1806" s="18">
        <f>IFERROR(__xludf.DUMMYFUNCTION("""COMPUTED_VALUE"""),16.0)</f>
        <v>16</v>
      </c>
      <c r="K1806" s="18">
        <f>IFERROR(__xludf.DUMMYFUNCTION("""COMPUTED_VALUE"""),20.0)</f>
        <v>20</v>
      </c>
      <c r="L1806" s="17">
        <f>IFERROR(__xludf.DUMMYFUNCTION("""COMPUTED_VALUE"""),3.209027108E9)</f>
        <v>3209027108</v>
      </c>
      <c r="M1806" s="17" t="str">
        <f>IFERROR(__xludf.DUMMYFUNCTION("""COMPUTED_VALUE"""),"#REF!")</f>
        <v>#REF!</v>
      </c>
      <c r="N1806" s="17"/>
      <c r="O1806" s="17"/>
      <c r="P1806" s="17" t="b">
        <f>IFERROR(__xludf.DUMMYFUNCTION("""COMPUTED_VALUE"""),FALSE)</f>
        <v>0</v>
      </c>
      <c r="Q1806" s="20" t="str">
        <f>IFERROR(__xludf.DUMMYFUNCTION("""COMPUTED_VALUE"""),"")</f>
        <v/>
      </c>
      <c r="R1806" s="22" t="str">
        <f>IFERROR(__xludf.DUMMYFUNCTION("""COMPUTED_VALUE"""),"")</f>
        <v/>
      </c>
    </row>
    <row r="1807">
      <c r="A1807" s="15">
        <f>IFERROR(__xludf.DUMMYFUNCTION("""COMPUTED_VALUE"""),45051.0)</f>
        <v>45051</v>
      </c>
      <c r="B1807" s="16" t="str">
        <f>IFERROR(__xludf.DUMMYFUNCTION("""COMPUTED_VALUE"""),"Luis Miguel Ramirez Morales")</f>
        <v>Luis Miguel Ramirez Morales</v>
      </c>
      <c r="C1807" s="15" t="str">
        <f>IFERROR(__xludf.DUMMYFUNCTION("""COMPUTED_VALUE"""),"BOGOTÁ")</f>
        <v>BOGOTÁ</v>
      </c>
      <c r="D1807" s="15" t="str">
        <f>IFERROR(__xludf.DUMMYFUNCTION("""COMPUTED_VALUE"""),"MEDELLÍN")</f>
        <v>MEDELLÍN</v>
      </c>
      <c r="E1807" s="15" t="str">
        <f>IFERROR(__xludf.DUMMYFUNCTION("""COMPUTED_VALUE"""),"Puro Verde")</f>
        <v>Puro Verde</v>
      </c>
      <c r="F1807" s="17" t="str">
        <f>IFERROR(__xludf.DUMMYFUNCTION("""COMPUTED_VALUE"""),"AV CRA 15 # 90-20.  / LOCAL 109 / BARRIO CHICO")</f>
        <v>AV CRA 15 # 90-20.  / LOCAL 109 / BARRIO CHICO</v>
      </c>
      <c r="G1807" s="15" t="str">
        <f>IFERROR(__xludf.DUMMYFUNCTION("""COMPUTED_VALUE"""),"DANDO CUERDA")</f>
        <v>DANDO CUERDA</v>
      </c>
      <c r="H1807" s="16">
        <f>IFERROR(__xludf.DUMMYFUNCTION("""COMPUTED_VALUE"""),10378.0)</f>
        <v>10378</v>
      </c>
      <c r="I1807" s="18">
        <f>IFERROR(__xludf.DUMMYFUNCTION("""COMPUTED_VALUE"""),67.0)</f>
        <v>67</v>
      </c>
      <c r="J1807" s="18">
        <f>IFERROR(__xludf.DUMMYFUNCTION("""COMPUTED_VALUE"""),65.0)</f>
        <v>65</v>
      </c>
      <c r="K1807" s="18">
        <f>IFERROR(__xludf.DUMMYFUNCTION("""COMPUTED_VALUE"""),55.0)</f>
        <v>55</v>
      </c>
      <c r="L1807" s="17">
        <f>IFERROR(__xludf.DUMMYFUNCTION("""COMPUTED_VALUE"""),3.163816691E9)</f>
        <v>3163816691</v>
      </c>
      <c r="M1807" s="17" t="str">
        <f>IFERROR(__xludf.DUMMYFUNCTION("""COMPUTED_VALUE"""),"#REF!")</f>
        <v>#REF!</v>
      </c>
      <c r="N1807" s="17"/>
      <c r="O1807" s="17"/>
      <c r="P1807" s="17" t="b">
        <f>IFERROR(__xludf.DUMMYFUNCTION("""COMPUTED_VALUE"""),FALSE)</f>
        <v>0</v>
      </c>
      <c r="Q1807" s="20" t="str">
        <f>IFERROR(__xludf.DUMMYFUNCTION("""COMPUTED_VALUE"""),"")</f>
        <v/>
      </c>
      <c r="R1807" s="22" t="str">
        <f>IFERROR(__xludf.DUMMYFUNCTION("""COMPUTED_VALUE"""),"")</f>
        <v/>
      </c>
    </row>
    <row r="1808">
      <c r="A1808" s="15">
        <f>IFERROR(__xludf.DUMMYFUNCTION("""COMPUTED_VALUE"""),45051.0)</f>
        <v>45051</v>
      </c>
      <c r="B1808" s="16" t="str">
        <f>IFERROR(__xludf.DUMMYFUNCTION("""COMPUTED_VALUE"""),"Luis Miguel Ramirez Morales")</f>
        <v>Luis Miguel Ramirez Morales</v>
      </c>
      <c r="C1808" s="15" t="str">
        <f>IFERROR(__xludf.DUMMYFUNCTION("""COMPUTED_VALUE"""),"BOGOTÁ")</f>
        <v>BOGOTÁ</v>
      </c>
      <c r="D1808" s="15" t="str">
        <f>IFERROR(__xludf.DUMMYFUNCTION("""COMPUTED_VALUE"""),"MEDELLÍN")</f>
        <v>MEDELLÍN</v>
      </c>
      <c r="E1808" s="15" t="str">
        <f>IFERROR(__xludf.DUMMYFUNCTION("""COMPUTED_VALUE"""),"Rambla")</f>
        <v>Rambla</v>
      </c>
      <c r="F1808" s="17" t="str">
        <f>IFERROR(__xludf.DUMMYFUNCTION("""COMPUTED_VALUE"""),"Carrera 8 #167D-62 TORRE 1 APTO 1212 / na / na")</f>
        <v>Carrera 8 #167D-62 TORRE 1 APTO 1212 / na / na</v>
      </c>
      <c r="G1808" s="15" t="str">
        <f>IFERROR(__xludf.DUMMYFUNCTION("""COMPUTED_VALUE"""),"Lechuga y Lulo")</f>
        <v>Lechuga y Lulo</v>
      </c>
      <c r="H1808" s="16">
        <f>IFERROR(__xludf.DUMMYFUNCTION("""COMPUTED_VALUE"""),10394.0)</f>
        <v>10394</v>
      </c>
      <c r="I1808" s="18">
        <f>IFERROR(__xludf.DUMMYFUNCTION("""COMPUTED_VALUE"""),20.0)</f>
        <v>20</v>
      </c>
      <c r="J1808" s="18">
        <f>IFERROR(__xludf.DUMMYFUNCTION("""COMPUTED_VALUE"""),23.0)</f>
        <v>23</v>
      </c>
      <c r="K1808" s="18">
        <f>IFERROR(__xludf.DUMMYFUNCTION("""COMPUTED_VALUE"""),25.0)</f>
        <v>25</v>
      </c>
      <c r="L1808" s="17">
        <f>IFERROR(__xludf.DUMMYFUNCTION("""COMPUTED_VALUE"""),3.154145568E9)</f>
        <v>3154145568</v>
      </c>
      <c r="M1808" s="17" t="str">
        <f>IFERROR(__xludf.DUMMYFUNCTION("""COMPUTED_VALUE"""),"#REF!")</f>
        <v>#REF!</v>
      </c>
      <c r="N1808" s="17"/>
      <c r="O1808" s="19">
        <f>IFERROR(__xludf.DUMMYFUNCTION("""COMPUTED_VALUE"""),12000.0)</f>
        <v>12000</v>
      </c>
      <c r="P1808" s="17" t="b">
        <f>IFERROR(__xludf.DUMMYFUNCTION("""COMPUTED_VALUE"""),FALSE)</f>
        <v>0</v>
      </c>
      <c r="Q1808" s="20" t="str">
        <f>IFERROR(__xludf.DUMMYFUNCTION("""COMPUTED_VALUE"""),"")</f>
        <v/>
      </c>
      <c r="R1808" s="22" t="str">
        <f>IFERROR(__xludf.DUMMYFUNCTION("""COMPUTED_VALUE"""),"")</f>
        <v/>
      </c>
    </row>
    <row r="1809">
      <c r="A1809" s="17" t="str">
        <f>IFERROR(__xludf.DUMMYFUNCTION("""COMPUTED_VALUE"""),"")</f>
        <v/>
      </c>
      <c r="B1809" s="17" t="str">
        <f>IFERROR(__xludf.DUMMYFUNCTION("""COMPUTED_VALUE"""),"")</f>
        <v/>
      </c>
      <c r="C1809" s="17" t="str">
        <f>IFERROR(__xludf.DUMMYFUNCTION("""COMPUTED_VALUE"""),"")</f>
        <v/>
      </c>
      <c r="D1809" s="17" t="str">
        <f>IFERROR(__xludf.DUMMYFUNCTION("""COMPUTED_VALUE"""),"")</f>
        <v/>
      </c>
      <c r="E1809" s="17" t="str">
        <f>IFERROR(__xludf.DUMMYFUNCTION("""COMPUTED_VALUE"""),"")</f>
        <v/>
      </c>
      <c r="F1809" s="17" t="str">
        <f>IFERROR(__xludf.DUMMYFUNCTION("""COMPUTED_VALUE"""),"")</f>
        <v/>
      </c>
      <c r="G1809" s="17" t="str">
        <f>IFERROR(__xludf.DUMMYFUNCTION("""COMPUTED_VALUE"""),"")</f>
        <v/>
      </c>
      <c r="H1809" s="17" t="str">
        <f>IFERROR(__xludf.DUMMYFUNCTION("""COMPUTED_VALUE"""),"")</f>
        <v/>
      </c>
      <c r="I1809" s="17" t="str">
        <f>IFERROR(__xludf.DUMMYFUNCTION("""COMPUTED_VALUE"""),"")</f>
        <v/>
      </c>
      <c r="J1809" s="17" t="str">
        <f>IFERROR(__xludf.DUMMYFUNCTION("""COMPUTED_VALUE"""),"")</f>
        <v/>
      </c>
      <c r="K1809" s="17" t="str">
        <f>IFERROR(__xludf.DUMMYFUNCTION("""COMPUTED_VALUE"""),"")</f>
        <v/>
      </c>
      <c r="L1809" s="17" t="str">
        <f>IFERROR(__xludf.DUMMYFUNCTION("""COMPUTED_VALUE"""),"")</f>
        <v/>
      </c>
      <c r="M1809" s="17" t="str">
        <f>IFERROR(__xludf.DUMMYFUNCTION("""COMPUTED_VALUE"""),"")</f>
        <v/>
      </c>
      <c r="N1809" s="17" t="str">
        <f>IFERROR(__xludf.DUMMYFUNCTION("""COMPUTED_VALUE"""),"")</f>
        <v/>
      </c>
      <c r="O1809" s="17" t="str">
        <f>IFERROR(__xludf.DUMMYFUNCTION("""COMPUTED_VALUE"""),"")</f>
        <v/>
      </c>
      <c r="P1809" s="17" t="str">
        <f>IFERROR(__xludf.DUMMYFUNCTION("""COMPUTED_VALUE"""),"")</f>
        <v/>
      </c>
      <c r="Q1809" s="17" t="str">
        <f>IFERROR(__xludf.DUMMYFUNCTION("""COMPUTED_VALUE"""),"")</f>
        <v/>
      </c>
      <c r="R1809" s="17" t="str">
        <f>IFERROR(__xludf.DUMMYFUNCTION("""COMPUTED_VALUE"""),"")</f>
        <v/>
      </c>
    </row>
    <row r="1810">
      <c r="A1810" s="15">
        <f>IFERROR(__xludf.DUMMYFUNCTION("""COMPUTED_VALUE"""),45051.0)</f>
        <v>45051</v>
      </c>
      <c r="B1810" s="16" t="str">
        <f>IFERROR(__xludf.DUMMYFUNCTION("""COMPUTED_VALUE"""),"Oscar Augusto Meneses Osias")</f>
        <v>Oscar Augusto Meneses Osias</v>
      </c>
      <c r="C1810" s="15" t="str">
        <f>IFERROR(__xludf.DUMMYFUNCTION("""COMPUTED_VALUE"""),"CALI")</f>
        <v>CALI</v>
      </c>
      <c r="D1810" s="15" t="str">
        <f>IFERROR(__xludf.DUMMYFUNCTION("""COMPUTED_VALUE"""),"BOGOTÁ")</f>
        <v>BOGOTÁ</v>
      </c>
      <c r="E1810" s="15" t="str">
        <f>IFERROR(__xludf.DUMMYFUNCTION("""COMPUTED_VALUE"""),"Mochi")</f>
        <v>Mochi</v>
      </c>
      <c r="F1810" s="17" t="str">
        <f>IFERROR(__xludf.DUMMYFUNCTION("""COMPUTED_VALUE"""),"Cl. 15 Nte. #9n-16, Santiago de Cali, Colombi / Cl. 15 Nte. #9n-16, Santiago de Cali, Colombi / Cl. 15 Nte. #9n-16, Santiago de Cali, Colombi")</f>
        <v>Cl. 15 Nte. #9n-16, Santiago de Cali, Colombi / Cl. 15 Nte. #9n-16, Santiago de Cali, Colombi / Cl. 15 Nte. #9n-16, Santiago de Cali, Colombi</v>
      </c>
      <c r="G1810" s="15" t="str">
        <f>IFERROR(__xludf.DUMMYFUNCTION("""COMPUTED_VALUE"""),"Estefania")</f>
        <v>Estefania</v>
      </c>
      <c r="H1810" s="16">
        <f>IFERROR(__xludf.DUMMYFUNCTION("""COMPUTED_VALUE"""),10398.0)</f>
        <v>10398</v>
      </c>
      <c r="I1810" s="18">
        <f>IFERROR(__xludf.DUMMYFUNCTION("""COMPUTED_VALUE"""),100.0)</f>
        <v>100</v>
      </c>
      <c r="J1810" s="18">
        <f>IFERROR(__xludf.DUMMYFUNCTION("""COMPUTED_VALUE"""),100.0)</f>
        <v>100</v>
      </c>
      <c r="K1810" s="18">
        <f>IFERROR(__xludf.DUMMYFUNCTION("""COMPUTED_VALUE"""),100.0)</f>
        <v>100</v>
      </c>
      <c r="L1810" s="17">
        <f>IFERROR(__xludf.DUMMYFUNCTION("""COMPUTED_VALUE"""),3.115177646E9)</f>
        <v>3115177646</v>
      </c>
      <c r="M1810" s="17" t="str">
        <f>IFERROR(__xludf.DUMMYFUNCTION("""COMPUTED_VALUE"""),"#REF!")</f>
        <v>#REF!</v>
      </c>
      <c r="N1810" s="17"/>
      <c r="O1810" s="19">
        <f>IFERROR(__xludf.DUMMYFUNCTION("""COMPUTED_VALUE"""),12000.0)</f>
        <v>12000</v>
      </c>
      <c r="P1810" s="17" t="b">
        <f>IFERROR(__xludf.DUMMYFUNCTION("""COMPUTED_VALUE"""),FALSE)</f>
        <v>0</v>
      </c>
      <c r="Q1810" s="20" t="str">
        <f>IFERROR(__xludf.DUMMYFUNCTION("""COMPUTED_VALUE"""),"")</f>
        <v/>
      </c>
      <c r="R1810" s="22" t="str">
        <f>IFERROR(__xludf.DUMMYFUNCTION("""COMPUTED_VALUE"""),"")</f>
        <v/>
      </c>
    </row>
    <row r="1811">
      <c r="A1811" s="15">
        <f>IFERROR(__xludf.DUMMYFUNCTION("""COMPUTED_VALUE"""),45051.0)</f>
        <v>45051</v>
      </c>
      <c r="B1811" s="16" t="str">
        <f>IFERROR(__xludf.DUMMYFUNCTION("""COMPUTED_VALUE"""),"Oscar Augusto Meneses Osias")</f>
        <v>Oscar Augusto Meneses Osias</v>
      </c>
      <c r="C1811" s="15" t="str">
        <f>IFERROR(__xludf.DUMMYFUNCTION("""COMPUTED_VALUE"""),"MEDELLÍN")</f>
        <v>MEDELLÍN</v>
      </c>
      <c r="D1811" s="15" t="str">
        <f>IFERROR(__xludf.DUMMYFUNCTION("""COMPUTED_VALUE"""),"BOGOTÁ")</f>
        <v>BOGOTÁ</v>
      </c>
      <c r="E1811" s="15" t="str">
        <f>IFERROR(__xludf.DUMMYFUNCTION("""COMPUTED_VALUE"""),"La Poderosa")</f>
        <v>La Poderosa</v>
      </c>
      <c r="F1811" s="17" t="str">
        <f>IFERROR(__xludf.DUMMYFUNCTION("""COMPUTED_VALUE"""),"Laureles Tr 39b 77-40 / Bodega / Laureles")</f>
        <v>Laureles Tr 39b 77-40 / Bodega / Laureles</v>
      </c>
      <c r="G1811" s="15" t="str">
        <f>IFERROR(__xludf.DUMMYFUNCTION("""COMPUTED_VALUE"""),"Vita integral")</f>
        <v>Vita integral</v>
      </c>
      <c r="H1811" s="16">
        <f>IFERROR(__xludf.DUMMYFUNCTION("""COMPUTED_VALUE"""),10372.0)</f>
        <v>10372</v>
      </c>
      <c r="I1811" s="18">
        <f>IFERROR(__xludf.DUMMYFUNCTION("""COMPUTED_VALUE"""),21.0)</f>
        <v>21</v>
      </c>
      <c r="J1811" s="18">
        <f>IFERROR(__xludf.DUMMYFUNCTION("""COMPUTED_VALUE"""),50.0)</f>
        <v>50</v>
      </c>
      <c r="K1811" s="18">
        <f>IFERROR(__xludf.DUMMYFUNCTION("""COMPUTED_VALUE"""),30.0)</f>
        <v>30</v>
      </c>
      <c r="L1811" s="17">
        <f>IFERROR(__xludf.DUMMYFUNCTION("""COMPUTED_VALUE"""),3.122921247E9)</f>
        <v>3122921247</v>
      </c>
      <c r="M1811" s="17" t="str">
        <f>IFERROR(__xludf.DUMMYFUNCTION("""COMPUTED_VALUE"""),"#REF!")</f>
        <v>#REF!</v>
      </c>
      <c r="N1811" s="17"/>
      <c r="O1811" s="17"/>
      <c r="P1811" s="17" t="b">
        <f>IFERROR(__xludf.DUMMYFUNCTION("""COMPUTED_VALUE"""),TRUE)</f>
        <v>1</v>
      </c>
      <c r="Q1811" s="20">
        <f>IFERROR(__xludf.DUMMYFUNCTION("""COMPUTED_VALUE"""),45051.715116527776)</f>
        <v>45051.71512</v>
      </c>
      <c r="R1811" s="22" t="str">
        <f>IFERROR(__xludf.DUMMYFUNCTION("""COMPUTED_VALUE"""),"")</f>
        <v/>
      </c>
    </row>
    <row r="1812">
      <c r="A1812" s="15">
        <f>IFERROR(__xludf.DUMMYFUNCTION("""COMPUTED_VALUE"""),45051.0)</f>
        <v>45051</v>
      </c>
      <c r="B1812" s="16" t="str">
        <f>IFERROR(__xludf.DUMMYFUNCTION("""COMPUTED_VALUE"""),"Oscar Augusto Meneses Osias")</f>
        <v>Oscar Augusto Meneses Osias</v>
      </c>
      <c r="C1812" s="15" t="str">
        <f>IFERROR(__xludf.DUMMYFUNCTION("""COMPUTED_VALUE"""),"MEDELLÍN")</f>
        <v>MEDELLÍN</v>
      </c>
      <c r="D1812" s="15" t="str">
        <f>IFERROR(__xludf.DUMMYFUNCTION("""COMPUTED_VALUE"""),"BOGOTÁ")</f>
        <v>BOGOTÁ</v>
      </c>
      <c r="E1812" s="15" t="str">
        <f>IFERROR(__xludf.DUMMYFUNCTION("""COMPUTED_VALUE"""),"Loomifoods")</f>
        <v>Loomifoods</v>
      </c>
      <c r="F1812" s="17" t="str">
        <f>IFERROR(__xludf.DUMMYFUNCTION("""COMPUTED_VALUE"""),"Calle 7 no. 70 - 500 /  Bloque 9, Apto 402 / El Enclave,")</f>
        <v>Calle 7 no. 70 - 500 /  Bloque 9, Apto 402 / El Enclave,</v>
      </c>
      <c r="G1812" s="15" t="str">
        <f>IFERROR(__xludf.DUMMYFUNCTION("""COMPUTED_VALUE"""),"Aída Guzmán")</f>
        <v>Aída Guzmán</v>
      </c>
      <c r="H1812" s="16">
        <f>IFERROR(__xludf.DUMMYFUNCTION("""COMPUTED_VALUE"""),10392.0)</f>
        <v>10392</v>
      </c>
      <c r="I1812" s="18">
        <f>IFERROR(__xludf.DUMMYFUNCTION("""COMPUTED_VALUE"""),20.0)</f>
        <v>20</v>
      </c>
      <c r="J1812" s="18">
        <f>IFERROR(__xludf.DUMMYFUNCTION("""COMPUTED_VALUE"""),10.0)</f>
        <v>10</v>
      </c>
      <c r="K1812" s="18">
        <f>IFERROR(__xludf.DUMMYFUNCTION("""COMPUTED_VALUE"""),16.0)</f>
        <v>16</v>
      </c>
      <c r="L1812" s="17">
        <f>IFERROR(__xludf.DUMMYFUNCTION("""COMPUTED_VALUE"""),3.113701662E9)</f>
        <v>3113701662</v>
      </c>
      <c r="M1812" s="17" t="str">
        <f>IFERROR(__xludf.DUMMYFUNCTION("""COMPUTED_VALUE"""),"#REF!")</f>
        <v>#REF!</v>
      </c>
      <c r="N1812" s="17"/>
      <c r="O1812" s="17"/>
      <c r="P1812" s="17" t="b">
        <f>IFERROR(__xludf.DUMMYFUNCTION("""COMPUTED_VALUE"""),FALSE)</f>
        <v>0</v>
      </c>
      <c r="Q1812" s="20" t="str">
        <f>IFERROR(__xludf.DUMMYFUNCTION("""COMPUTED_VALUE"""),"")</f>
        <v/>
      </c>
      <c r="R1812" s="22" t="str">
        <f>IFERROR(__xludf.DUMMYFUNCTION("""COMPUTED_VALUE"""),"")</f>
        <v/>
      </c>
    </row>
    <row r="1813">
      <c r="A1813" s="15">
        <f>IFERROR(__xludf.DUMMYFUNCTION("""COMPUTED_VALUE"""),45051.0)</f>
        <v>45051</v>
      </c>
      <c r="B1813" s="16" t="str">
        <f>IFERROR(__xludf.DUMMYFUNCTION("""COMPUTED_VALUE"""),"Oscar Augusto Meneses Osias")</f>
        <v>Oscar Augusto Meneses Osias</v>
      </c>
      <c r="C1813" s="15" t="str">
        <f>IFERROR(__xludf.DUMMYFUNCTION("""COMPUTED_VALUE"""),"MEDELLÍN")</f>
        <v>MEDELLÍN</v>
      </c>
      <c r="D1813" s="15" t="str">
        <f>IFERROR(__xludf.DUMMYFUNCTION("""COMPUTED_VALUE"""),"BOGOTÁ")</f>
        <v>BOGOTÁ</v>
      </c>
      <c r="E1813" s="15" t="str">
        <f>IFERROR(__xludf.DUMMYFUNCTION("""COMPUTED_VALUE"""),"Loomifoods")</f>
        <v>Loomifoods</v>
      </c>
      <c r="F1813" s="17" t="str">
        <f>IFERROR(__xludf.DUMMYFUNCTION("""COMPUTED_VALUE"""),"Cra 35N no, 15B - 143 / Edificio 35 Las Palmas / Oficina Piso 4 Nivel, Al lado de Carulla de Palmas")</f>
        <v>Cra 35N no, 15B - 143 / Edificio 35 Las Palmas / Oficina Piso 4 Nivel, Al lado de Carulla de Palmas</v>
      </c>
      <c r="G1813" s="15" t="str">
        <f>IFERROR(__xludf.DUMMYFUNCTION("""COMPUTED_VALUE"""),"Maria Camila Arbelaez")</f>
        <v>Maria Camila Arbelaez</v>
      </c>
      <c r="H1813" s="16">
        <f>IFERROR(__xludf.DUMMYFUNCTION("""COMPUTED_VALUE"""),10393.0)</f>
        <v>10393</v>
      </c>
      <c r="I1813" s="18">
        <f>IFERROR(__xludf.DUMMYFUNCTION("""COMPUTED_VALUE"""),20.0)</f>
        <v>20</v>
      </c>
      <c r="J1813" s="18">
        <f>IFERROR(__xludf.DUMMYFUNCTION("""COMPUTED_VALUE"""),10.0)</f>
        <v>10</v>
      </c>
      <c r="K1813" s="18">
        <f>IFERROR(__xludf.DUMMYFUNCTION("""COMPUTED_VALUE"""),16.0)</f>
        <v>16</v>
      </c>
      <c r="L1813" s="17">
        <f>IFERROR(__xludf.DUMMYFUNCTION("""COMPUTED_VALUE"""),3.16977122E9)</f>
        <v>3169771220</v>
      </c>
      <c r="M1813" s="17" t="str">
        <f>IFERROR(__xludf.DUMMYFUNCTION("""COMPUTED_VALUE"""),"#REF!")</f>
        <v>#REF!</v>
      </c>
      <c r="N1813" s="17"/>
      <c r="O1813" s="17"/>
      <c r="P1813" s="17" t="b">
        <f>IFERROR(__xludf.DUMMYFUNCTION("""COMPUTED_VALUE"""),FALSE)</f>
        <v>0</v>
      </c>
      <c r="Q1813" s="20" t="str">
        <f>IFERROR(__xludf.DUMMYFUNCTION("""COMPUTED_VALUE"""),"")</f>
        <v/>
      </c>
      <c r="R1813" s="22" t="str">
        <f>IFERROR(__xludf.DUMMYFUNCTION("""COMPUTED_VALUE"""),"")</f>
        <v/>
      </c>
    </row>
    <row r="1814">
      <c r="A1814" s="17" t="str">
        <f>IFERROR(__xludf.DUMMYFUNCTION("""COMPUTED_VALUE"""),"")</f>
        <v/>
      </c>
      <c r="B1814" s="17" t="str">
        <f>IFERROR(__xludf.DUMMYFUNCTION("""COMPUTED_VALUE"""),"")</f>
        <v/>
      </c>
      <c r="C1814" s="17" t="str">
        <f>IFERROR(__xludf.DUMMYFUNCTION("""COMPUTED_VALUE"""),"")</f>
        <v/>
      </c>
      <c r="D1814" s="17" t="str">
        <f>IFERROR(__xludf.DUMMYFUNCTION("""COMPUTED_VALUE"""),"")</f>
        <v/>
      </c>
      <c r="E1814" s="17" t="str">
        <f>IFERROR(__xludf.DUMMYFUNCTION("""COMPUTED_VALUE"""),"")</f>
        <v/>
      </c>
      <c r="F1814" s="17" t="str">
        <f>IFERROR(__xludf.DUMMYFUNCTION("""COMPUTED_VALUE"""),"")</f>
        <v/>
      </c>
      <c r="G1814" s="17" t="str">
        <f>IFERROR(__xludf.DUMMYFUNCTION("""COMPUTED_VALUE"""),"")</f>
        <v/>
      </c>
      <c r="H1814" s="17" t="str">
        <f>IFERROR(__xludf.DUMMYFUNCTION("""COMPUTED_VALUE"""),"")</f>
        <v/>
      </c>
      <c r="I1814" s="17" t="str">
        <f>IFERROR(__xludf.DUMMYFUNCTION("""COMPUTED_VALUE"""),"")</f>
        <v/>
      </c>
      <c r="J1814" s="17" t="str">
        <f>IFERROR(__xludf.DUMMYFUNCTION("""COMPUTED_VALUE"""),"")</f>
        <v/>
      </c>
      <c r="K1814" s="17" t="str">
        <f>IFERROR(__xludf.DUMMYFUNCTION("""COMPUTED_VALUE"""),"")</f>
        <v/>
      </c>
      <c r="L1814" s="17" t="str">
        <f>IFERROR(__xludf.DUMMYFUNCTION("""COMPUTED_VALUE"""),"")</f>
        <v/>
      </c>
      <c r="M1814" s="17" t="str">
        <f>IFERROR(__xludf.DUMMYFUNCTION("""COMPUTED_VALUE"""),"")</f>
        <v/>
      </c>
      <c r="N1814" s="17" t="str">
        <f>IFERROR(__xludf.DUMMYFUNCTION("""COMPUTED_VALUE"""),"")</f>
        <v/>
      </c>
      <c r="O1814" s="17" t="str">
        <f>IFERROR(__xludf.DUMMYFUNCTION("""COMPUTED_VALUE"""),"")</f>
        <v/>
      </c>
      <c r="P1814" s="17" t="str">
        <f>IFERROR(__xludf.DUMMYFUNCTION("""COMPUTED_VALUE"""),"")</f>
        <v/>
      </c>
      <c r="Q1814" s="17" t="str">
        <f>IFERROR(__xludf.DUMMYFUNCTION("""COMPUTED_VALUE"""),"")</f>
        <v/>
      </c>
      <c r="R1814" s="17" t="str">
        <f>IFERROR(__xludf.DUMMYFUNCTION("""COMPUTED_VALUE"""),"")</f>
        <v/>
      </c>
    </row>
    <row r="1815">
      <c r="A1815" s="15">
        <f>IFERROR(__xludf.DUMMYFUNCTION("""COMPUTED_VALUE"""),45052.0)</f>
        <v>45052</v>
      </c>
      <c r="B1815" s="16" t="str">
        <f>IFERROR(__xludf.DUMMYFUNCTION("""COMPUTED_VALUE"""),"Envia")</f>
        <v>Envia</v>
      </c>
      <c r="C1815" s="15" t="str">
        <f>IFERROR(__xludf.DUMMYFUNCTION("""COMPUTED_VALUE"""),"MEDELLÍN")</f>
        <v>MEDELLÍN</v>
      </c>
      <c r="D1815" s="15" t="str">
        <f>IFERROR(__xludf.DUMMYFUNCTION("""COMPUTED_VALUE"""),"BOGOTÁ")</f>
        <v>BOGOTÁ</v>
      </c>
      <c r="E1815" s="15" t="str">
        <f>IFERROR(__xludf.DUMMYFUNCTION("""COMPUTED_VALUE"""),"Carlos Alberto Rios")</f>
        <v>Carlos Alberto Rios</v>
      </c>
      <c r="F1815" s="17" t="str">
        <f>IFERROR(__xludf.DUMMYFUNCTION("""COMPUTED_VALUE"""),"Carrera 32d#9-43 / Renata tacos  / Barrio provenza Medellín")</f>
        <v>Carrera 32d#9-43 / Renata tacos  / Barrio provenza Medellín</v>
      </c>
      <c r="G1815" s="15" t="str">
        <f>IFERROR(__xludf.DUMMYFUNCTION("""COMPUTED_VALUE"""),"Alberto Rios")</f>
        <v>Alberto Rios</v>
      </c>
      <c r="H1815" s="16">
        <f>IFERROR(__xludf.DUMMYFUNCTION("""COMPUTED_VALUE"""),10380.0)</f>
        <v>10380</v>
      </c>
      <c r="I1815" s="18">
        <f>IFERROR(__xludf.DUMMYFUNCTION("""COMPUTED_VALUE"""),40.0)</f>
        <v>40</v>
      </c>
      <c r="J1815" s="18">
        <f>IFERROR(__xludf.DUMMYFUNCTION("""COMPUTED_VALUE"""),40.0)</f>
        <v>40</v>
      </c>
      <c r="K1815" s="18">
        <f>IFERROR(__xludf.DUMMYFUNCTION("""COMPUTED_VALUE"""),30.0)</f>
        <v>30</v>
      </c>
      <c r="L1815" s="17">
        <f>IFERROR(__xludf.DUMMYFUNCTION("""COMPUTED_VALUE"""),3.104047368E9)</f>
        <v>3104047368</v>
      </c>
      <c r="M1815" s="17" t="str">
        <f>IFERROR(__xludf.DUMMYFUNCTION("""COMPUTED_VALUE"""),"#REF!")</f>
        <v>#REF!</v>
      </c>
      <c r="N1815" s="17"/>
      <c r="O1815" s="17"/>
      <c r="P1815" s="17" t="b">
        <f>IFERROR(__xludf.DUMMYFUNCTION("""COMPUTED_VALUE"""),FALSE)</f>
        <v>0</v>
      </c>
      <c r="Q1815" s="20" t="str">
        <f>IFERROR(__xludf.DUMMYFUNCTION("""COMPUTED_VALUE"""),"")</f>
        <v/>
      </c>
      <c r="R1815" s="22" t="str">
        <f>IFERROR(__xludf.DUMMYFUNCTION("""COMPUTED_VALUE"""),"")</f>
        <v/>
      </c>
    </row>
    <row r="1816">
      <c r="A1816" s="15">
        <f>IFERROR(__xludf.DUMMYFUNCTION("""COMPUTED_VALUE"""),45052.0)</f>
        <v>45052</v>
      </c>
      <c r="B1816" s="16" t="str">
        <f>IFERROR(__xludf.DUMMYFUNCTION("""COMPUTED_VALUE"""),"Envia")</f>
        <v>Envia</v>
      </c>
      <c r="C1816" s="15" t="str">
        <f>IFERROR(__xludf.DUMMYFUNCTION("""COMPUTED_VALUE"""),"MEDELLÍN")</f>
        <v>MEDELLÍN</v>
      </c>
      <c r="D1816" s="15" t="str">
        <f>IFERROR(__xludf.DUMMYFUNCTION("""COMPUTED_VALUE"""),"BOGOTÁ")</f>
        <v>BOGOTÁ</v>
      </c>
      <c r="E1816" s="15" t="str">
        <f>IFERROR(__xludf.DUMMYFUNCTION("""COMPUTED_VALUE"""),"Mochi")</f>
        <v>Mochi</v>
      </c>
      <c r="F1816" s="17" t="str">
        <f>IFERROR(__xludf.DUMMYFUNCTION("""COMPUTED_VALUE"""),"CENTRO COMERCIAL VIVA ENVIGADO / CENTRO COMERCIAL VIVA ENVIGADO / CENTRO COMERCIAL VIVA ENVIGADO")</f>
        <v>CENTRO COMERCIAL VIVA ENVIGADO / CENTRO COMERCIAL VIVA ENVIGADO / CENTRO COMERCIAL VIVA ENVIGADO</v>
      </c>
      <c r="G1816" s="15" t="str">
        <f>IFERROR(__xludf.DUMMYFUNCTION("""COMPUTED_VALUE"""),"TANIA VELLOJIN")</f>
        <v>TANIA VELLOJIN</v>
      </c>
      <c r="H1816" s="16">
        <f>IFERROR(__xludf.DUMMYFUNCTION("""COMPUTED_VALUE"""),10400.0)</f>
        <v>10400</v>
      </c>
      <c r="I1816" s="18">
        <f>IFERROR(__xludf.DUMMYFUNCTION("""COMPUTED_VALUE"""),100.0)</f>
        <v>100</v>
      </c>
      <c r="J1816" s="18">
        <f>IFERROR(__xludf.DUMMYFUNCTION("""COMPUTED_VALUE"""),100.0)</f>
        <v>100</v>
      </c>
      <c r="K1816" s="18">
        <f>IFERROR(__xludf.DUMMYFUNCTION("""COMPUTED_VALUE"""),300.0)</f>
        <v>300</v>
      </c>
      <c r="L1816" s="17">
        <f>IFERROR(__xludf.DUMMYFUNCTION("""COMPUTED_VALUE"""),3.142587995E9)</f>
        <v>3142587995</v>
      </c>
      <c r="M1816" s="17" t="str">
        <f>IFERROR(__xludf.DUMMYFUNCTION("""COMPUTED_VALUE"""),"#REF!")</f>
        <v>#REF!</v>
      </c>
      <c r="N1816" s="17"/>
      <c r="O1816" s="19">
        <f>IFERROR(__xludf.DUMMYFUNCTION("""COMPUTED_VALUE"""),7000.0)</f>
        <v>7000</v>
      </c>
      <c r="P1816" s="17" t="b">
        <f>IFERROR(__xludf.DUMMYFUNCTION("""COMPUTED_VALUE"""),FALSE)</f>
        <v>0</v>
      </c>
      <c r="Q1816" s="20" t="str">
        <f>IFERROR(__xludf.DUMMYFUNCTION("""COMPUTED_VALUE"""),"")</f>
        <v/>
      </c>
      <c r="R1816" s="22" t="str">
        <f>IFERROR(__xludf.DUMMYFUNCTION("""COMPUTED_VALUE"""),"")</f>
        <v/>
      </c>
    </row>
    <row r="1817">
      <c r="A1817" s="17" t="str">
        <f>IFERROR(__xludf.DUMMYFUNCTION("""COMPUTED_VALUE"""),"")</f>
        <v/>
      </c>
      <c r="B1817" s="17" t="str">
        <f>IFERROR(__xludf.DUMMYFUNCTION("""COMPUTED_VALUE"""),"")</f>
        <v/>
      </c>
      <c r="C1817" s="17" t="str">
        <f>IFERROR(__xludf.DUMMYFUNCTION("""COMPUTED_VALUE"""),"")</f>
        <v/>
      </c>
      <c r="D1817" s="17" t="str">
        <f>IFERROR(__xludf.DUMMYFUNCTION("""COMPUTED_VALUE"""),"")</f>
        <v/>
      </c>
      <c r="E1817" s="17" t="str">
        <f>IFERROR(__xludf.DUMMYFUNCTION("""COMPUTED_VALUE"""),"")</f>
        <v/>
      </c>
      <c r="F1817" s="17" t="str">
        <f>IFERROR(__xludf.DUMMYFUNCTION("""COMPUTED_VALUE"""),"")</f>
        <v/>
      </c>
      <c r="G1817" s="17" t="str">
        <f>IFERROR(__xludf.DUMMYFUNCTION("""COMPUTED_VALUE"""),"")</f>
        <v/>
      </c>
      <c r="H1817" s="17" t="str">
        <f>IFERROR(__xludf.DUMMYFUNCTION("""COMPUTED_VALUE"""),"")</f>
        <v/>
      </c>
      <c r="I1817" s="17" t="str">
        <f>IFERROR(__xludf.DUMMYFUNCTION("""COMPUTED_VALUE"""),"")</f>
        <v/>
      </c>
      <c r="J1817" s="17" t="str">
        <f>IFERROR(__xludf.DUMMYFUNCTION("""COMPUTED_VALUE"""),"")</f>
        <v/>
      </c>
      <c r="K1817" s="17" t="str">
        <f>IFERROR(__xludf.DUMMYFUNCTION("""COMPUTED_VALUE"""),"")</f>
        <v/>
      </c>
      <c r="L1817" s="17" t="str">
        <f>IFERROR(__xludf.DUMMYFUNCTION("""COMPUTED_VALUE"""),"")</f>
        <v/>
      </c>
      <c r="M1817" s="17" t="str">
        <f>IFERROR(__xludf.DUMMYFUNCTION("""COMPUTED_VALUE"""),"")</f>
        <v/>
      </c>
      <c r="N1817" s="17" t="str">
        <f>IFERROR(__xludf.DUMMYFUNCTION("""COMPUTED_VALUE"""),"")</f>
        <v/>
      </c>
      <c r="O1817" s="17" t="str">
        <f>IFERROR(__xludf.DUMMYFUNCTION("""COMPUTED_VALUE"""),"")</f>
        <v/>
      </c>
      <c r="P1817" s="17" t="str">
        <f>IFERROR(__xludf.DUMMYFUNCTION("""COMPUTED_VALUE"""),"")</f>
        <v/>
      </c>
      <c r="Q1817" s="17" t="str">
        <f>IFERROR(__xludf.DUMMYFUNCTION("""COMPUTED_VALUE"""),"")</f>
        <v/>
      </c>
      <c r="R1817" s="17" t="str">
        <f>IFERROR(__xludf.DUMMYFUNCTION("""COMPUTED_VALUE"""),"")</f>
        <v/>
      </c>
    </row>
    <row r="1818">
      <c r="A1818" s="15">
        <f>IFERROR(__xludf.DUMMYFUNCTION("""COMPUTED_VALUE"""),45055.0)</f>
        <v>45055</v>
      </c>
      <c r="B1818" s="16" t="str">
        <f>IFERROR(__xludf.DUMMYFUNCTION("""COMPUTED_VALUE"""),"Deivi Alejandro Quintero Corrales")</f>
        <v>Deivi Alejandro Quintero Corrales</v>
      </c>
      <c r="C1818" s="15" t="str">
        <f>IFERROR(__xludf.DUMMYFUNCTION("""COMPUTED_VALUE"""),"PEREIRA")</f>
        <v>PEREIRA</v>
      </c>
      <c r="D1818" s="15" t="str">
        <f>IFERROR(__xludf.DUMMYFUNCTION("""COMPUTED_VALUE"""),"BOGOTÁ")</f>
        <v>BOGOTÁ</v>
      </c>
      <c r="E1818" s="15" t="str">
        <f>IFERROR(__xludf.DUMMYFUNCTION("""COMPUTED_VALUE"""),"Evamazzita")</f>
        <v>Evamazzita</v>
      </c>
      <c r="F1818" s="17" t="str">
        <f>IFERROR(__xludf.DUMMYFUNCTION("""COMPUTED_VALUE"""),"CALLE 153 # 23 - 41  / SOL DE GALICIA MZ 1 CASA 9 / GALICIA")</f>
        <v>CALLE 153 # 23 - 41  / SOL DE GALICIA MZ 1 CASA 9 / GALICIA</v>
      </c>
      <c r="G1818" s="15" t="str">
        <f>IFERROR(__xludf.DUMMYFUNCTION("""COMPUTED_VALUE"""),"PAULA FORERO")</f>
        <v>PAULA FORERO</v>
      </c>
      <c r="H1818" s="16">
        <f>IFERROR(__xludf.DUMMYFUNCTION("""COMPUTED_VALUE"""),10452.0)</f>
        <v>10452</v>
      </c>
      <c r="I1818" s="18">
        <f>IFERROR(__xludf.DUMMYFUNCTION("""COMPUTED_VALUE"""),15.0)</f>
        <v>15</v>
      </c>
      <c r="J1818" s="18">
        <f>IFERROR(__xludf.DUMMYFUNCTION("""COMPUTED_VALUE"""),27.0)</f>
        <v>27</v>
      </c>
      <c r="K1818" s="18">
        <f>IFERROR(__xludf.DUMMYFUNCTION("""COMPUTED_VALUE"""),22.0)</f>
        <v>22</v>
      </c>
      <c r="L1818" s="17">
        <f>IFERROR(__xludf.DUMMYFUNCTION("""COMPUTED_VALUE"""),3.115760231E9)</f>
        <v>3115760231</v>
      </c>
      <c r="M1818" s="17" t="str">
        <f>IFERROR(__xludf.DUMMYFUNCTION("""COMPUTED_VALUE"""),"#REF!")</f>
        <v>#REF!</v>
      </c>
      <c r="N1818" s="17"/>
      <c r="O1818" s="19">
        <f>IFERROR(__xludf.DUMMYFUNCTION("""COMPUTED_VALUE"""),7000.0)</f>
        <v>7000</v>
      </c>
      <c r="P1818" s="17" t="b">
        <f>IFERROR(__xludf.DUMMYFUNCTION("""COMPUTED_VALUE"""),FALSE)</f>
        <v>0</v>
      </c>
      <c r="Q1818" s="20" t="str">
        <f>IFERROR(__xludf.DUMMYFUNCTION("""COMPUTED_VALUE"""),"")</f>
        <v/>
      </c>
      <c r="R1818" s="22" t="str">
        <f>IFERROR(__xludf.DUMMYFUNCTION("""COMPUTED_VALUE"""),"")</f>
        <v/>
      </c>
    </row>
    <row r="1819">
      <c r="A1819" s="15">
        <f>IFERROR(__xludf.DUMMYFUNCTION("""COMPUTED_VALUE"""),45055.0)</f>
        <v>45055</v>
      </c>
      <c r="B1819" s="16" t="str">
        <f>IFERROR(__xludf.DUMMYFUNCTION("""COMPUTED_VALUE"""),"Deivi Alejandro Quintero Corrales")</f>
        <v>Deivi Alejandro Quintero Corrales</v>
      </c>
      <c r="C1819" s="15" t="str">
        <f>IFERROR(__xludf.DUMMYFUNCTION("""COMPUTED_VALUE"""),"PEREIRA")</f>
        <v>PEREIRA</v>
      </c>
      <c r="D1819" s="15" t="str">
        <f>IFERROR(__xludf.DUMMYFUNCTION("""COMPUTED_VALUE"""),"BOGOTÁ")</f>
        <v>BOGOTÁ</v>
      </c>
      <c r="E1819" s="15" t="str">
        <f>IFERROR(__xludf.DUMMYFUNCTION("""COMPUTED_VALUE"""),"Ins. Alimento Vital")</f>
        <v>Ins. Alimento Vital</v>
      </c>
      <c r="F1819" s="17" t="str">
        <f>IFERROR(__xludf.DUMMYFUNCTION("""COMPUTED_VALUE"""),"CR 5 18 43 / EDIFICIO CHALJUB / BARRIO URIBE")</f>
        <v>CR 5 18 43 / EDIFICIO CHALJUB / BARRIO URIBE</v>
      </c>
      <c r="G1819" s="15" t="str">
        <f>IFERROR(__xludf.DUMMYFUNCTION("""COMPUTED_VALUE"""),"CHALJUB")</f>
        <v>CHALJUB</v>
      </c>
      <c r="H1819" s="16">
        <f>IFERROR(__xludf.DUMMYFUNCTION("""COMPUTED_VALUE"""),10425.0)</f>
        <v>10425</v>
      </c>
      <c r="I1819" s="18">
        <f>IFERROR(__xludf.DUMMYFUNCTION("""COMPUTED_VALUE"""),1.0)</f>
        <v>1</v>
      </c>
      <c r="J1819" s="18">
        <f>IFERROR(__xludf.DUMMYFUNCTION("""COMPUTED_VALUE"""),1.0)</f>
        <v>1</v>
      </c>
      <c r="K1819" s="18">
        <f>IFERROR(__xludf.DUMMYFUNCTION("""COMPUTED_VALUE"""),1.0)</f>
        <v>1</v>
      </c>
      <c r="L1819" s="17">
        <f>IFERROR(__xludf.DUMMYFUNCTION("""COMPUTED_VALUE"""),3.008252529E9)</f>
        <v>3008252529</v>
      </c>
      <c r="M1819" s="17" t="str">
        <f>IFERROR(__xludf.DUMMYFUNCTION("""COMPUTED_VALUE"""),"#REF!")</f>
        <v>#REF!</v>
      </c>
      <c r="N1819" s="17"/>
      <c r="O1819" s="19">
        <f>IFERROR(__xludf.DUMMYFUNCTION("""COMPUTED_VALUE"""),7000.0)</f>
        <v>7000</v>
      </c>
      <c r="P1819" s="17" t="b">
        <f>IFERROR(__xludf.DUMMYFUNCTION("""COMPUTED_VALUE"""),FALSE)</f>
        <v>0</v>
      </c>
      <c r="Q1819" s="20" t="str">
        <f>IFERROR(__xludf.DUMMYFUNCTION("""COMPUTED_VALUE"""),"")</f>
        <v/>
      </c>
      <c r="R1819" s="22" t="str">
        <f>IFERROR(__xludf.DUMMYFUNCTION("""COMPUTED_VALUE"""),"")</f>
        <v/>
      </c>
    </row>
    <row r="1820">
      <c r="A1820" s="15">
        <f>IFERROR(__xludf.DUMMYFUNCTION("""COMPUTED_VALUE"""),45055.0)</f>
        <v>45055</v>
      </c>
      <c r="B1820" s="16" t="str">
        <f>IFERROR(__xludf.DUMMYFUNCTION("""COMPUTED_VALUE"""),"Deivi Alejandro Quintero Corrales")</f>
        <v>Deivi Alejandro Quintero Corrales</v>
      </c>
      <c r="C1820" s="15" t="str">
        <f>IFERROR(__xludf.DUMMYFUNCTION("""COMPUTED_VALUE"""),"PEREIRA")</f>
        <v>PEREIRA</v>
      </c>
      <c r="D1820" s="15" t="str">
        <f>IFERROR(__xludf.DUMMYFUNCTION("""COMPUTED_VALUE"""),"MEDELLÍN")</f>
        <v>MEDELLÍN</v>
      </c>
      <c r="E1820" s="15" t="str">
        <f>IFERROR(__xludf.DUMMYFUNCTION("""COMPUTED_VALUE"""),"AREPAS LA MARY")</f>
        <v>AREPAS LA MARY</v>
      </c>
      <c r="F1820" s="17" t="str">
        <f>IFERROR(__xludf.DUMMYFUNCTION("""COMPUTED_VALUE"""),"kilometro 4 via cerritos entrada 1 / unidad piedras blancas apto 101 torre 1")</f>
        <v>kilometro 4 via cerritos entrada 1 / unidad piedras blancas apto 101 torre 1</v>
      </c>
      <c r="G1820" s="15" t="str">
        <f>IFERROR(__xludf.DUMMYFUNCTION("""COMPUTED_VALUE"""),"esperanza castaño")</f>
        <v>esperanza castaño</v>
      </c>
      <c r="H1820" s="16">
        <f>IFERROR(__xludf.DUMMYFUNCTION("""COMPUTED_VALUE"""),10493.0)</f>
        <v>10493</v>
      </c>
      <c r="I1820" s="18">
        <f>IFERROR(__xludf.DUMMYFUNCTION("""COMPUTED_VALUE"""),89.0)</f>
        <v>89</v>
      </c>
      <c r="J1820" s="18">
        <f>IFERROR(__xludf.DUMMYFUNCTION("""COMPUTED_VALUE"""),1.0)</f>
        <v>1</v>
      </c>
      <c r="K1820" s="18">
        <f>IFERROR(__xludf.DUMMYFUNCTION("""COMPUTED_VALUE"""),10.0)</f>
        <v>10</v>
      </c>
      <c r="L1820" s="17">
        <f>IFERROR(__xludf.DUMMYFUNCTION("""COMPUTED_VALUE"""),3.146452424E9)</f>
        <v>3146452424</v>
      </c>
      <c r="M1820" s="17" t="str">
        <f>IFERROR(__xludf.DUMMYFUNCTION("""COMPUTED_VALUE"""),"#REF!")</f>
        <v>#REF!</v>
      </c>
      <c r="N1820" s="17"/>
      <c r="O1820" s="19">
        <f>IFERROR(__xludf.DUMMYFUNCTION("""COMPUTED_VALUE"""),7000.0)</f>
        <v>7000</v>
      </c>
      <c r="P1820" s="17" t="b">
        <f>IFERROR(__xludf.DUMMYFUNCTION("""COMPUTED_VALUE"""),FALSE)</f>
        <v>0</v>
      </c>
      <c r="Q1820" s="20" t="str">
        <f>IFERROR(__xludf.DUMMYFUNCTION("""COMPUTED_VALUE"""),"")</f>
        <v/>
      </c>
      <c r="R1820" s="22" t="str">
        <f>IFERROR(__xludf.DUMMYFUNCTION("""COMPUTED_VALUE"""),"")</f>
        <v/>
      </c>
    </row>
    <row r="1821">
      <c r="A1821" s="15">
        <f>IFERROR(__xludf.DUMMYFUNCTION("""COMPUTED_VALUE"""),45055.0)</f>
        <v>45055</v>
      </c>
      <c r="B1821" s="16" t="str">
        <f>IFERROR(__xludf.DUMMYFUNCTION("""COMPUTED_VALUE"""),"Deivi Alejandro Quintero Corrales")</f>
        <v>Deivi Alejandro Quintero Corrales</v>
      </c>
      <c r="C1821" s="15" t="str">
        <f>IFERROR(__xludf.DUMMYFUNCTION("""COMPUTED_VALUE"""),"PEREIRA")</f>
        <v>PEREIRA</v>
      </c>
      <c r="D1821" s="15" t="str">
        <f>IFERROR(__xludf.DUMMYFUNCTION("""COMPUTED_VALUE"""),"MEDELLÍN")</f>
        <v>MEDELLÍN</v>
      </c>
      <c r="E1821" s="15" t="str">
        <f>IFERROR(__xludf.DUMMYFUNCTION("""COMPUTED_VALUE"""),"Baby Chef")</f>
        <v>Baby Chef</v>
      </c>
      <c r="F1821" s="17" t="str">
        <f>IFERROR(__xludf.DUMMYFUNCTION("""COMPUTED_VALUE"""),"cconjunto batara parque central torre 3 apto 408 / cconjunto batara parque central torre 3 apto 408 / cconjunto batara parque central torre 3 apto 408")</f>
        <v>cconjunto batara parque central torre 3 apto 408 / cconjunto batara parque central torre 3 apto 408 / cconjunto batara parque central torre 3 apto 408</v>
      </c>
      <c r="G1821" s="15" t="str">
        <f>IFERROR(__xludf.DUMMYFUNCTION("""COMPUTED_VALUE"""),"Angela Marín Gutiérrez")</f>
        <v>Angela Marín Gutiérrez</v>
      </c>
      <c r="H1821" s="16">
        <f>IFERROR(__xludf.DUMMYFUNCTION("""COMPUTED_VALUE"""),10476.0)</f>
        <v>10476</v>
      </c>
      <c r="I1821" s="18">
        <f>IFERROR(__xludf.DUMMYFUNCTION("""COMPUTED_VALUE"""),8.0)</f>
        <v>8</v>
      </c>
      <c r="J1821" s="18">
        <f>IFERROR(__xludf.DUMMYFUNCTION("""COMPUTED_VALUE"""),16.0)</f>
        <v>16</v>
      </c>
      <c r="K1821" s="18">
        <f>IFERROR(__xludf.DUMMYFUNCTION("""COMPUTED_VALUE"""),20.0)</f>
        <v>20</v>
      </c>
      <c r="L1821" s="17">
        <f>IFERROR(__xludf.DUMMYFUNCTION("""COMPUTED_VALUE"""),3.128423688E9)</f>
        <v>3128423688</v>
      </c>
      <c r="M1821" s="17" t="str">
        <f>IFERROR(__xludf.DUMMYFUNCTION("""COMPUTED_VALUE"""),"#REF!")</f>
        <v>#REF!</v>
      </c>
      <c r="N1821" s="17"/>
      <c r="O1821" s="19">
        <f>IFERROR(__xludf.DUMMYFUNCTION("""COMPUTED_VALUE"""),7000.0)</f>
        <v>7000</v>
      </c>
      <c r="P1821" s="17" t="b">
        <f>IFERROR(__xludf.DUMMYFUNCTION("""COMPUTED_VALUE"""),TRUE)</f>
        <v>1</v>
      </c>
      <c r="Q1821" s="20">
        <f>IFERROR(__xludf.DUMMYFUNCTION("""COMPUTED_VALUE"""),45056.31518258102)</f>
        <v>45056.31518</v>
      </c>
      <c r="R1821" s="22" t="str">
        <f>IFERROR(__xludf.DUMMYFUNCTION("""COMPUTED_VALUE"""),"")</f>
        <v/>
      </c>
    </row>
    <row r="1822">
      <c r="A1822" s="15">
        <f>IFERROR(__xludf.DUMMYFUNCTION("""COMPUTED_VALUE"""),45055.0)</f>
        <v>45055</v>
      </c>
      <c r="B1822" s="16" t="str">
        <f>IFERROR(__xludf.DUMMYFUNCTION("""COMPUTED_VALUE"""),"Deivi Alejandro Quintero Corrales")</f>
        <v>Deivi Alejandro Quintero Corrales</v>
      </c>
      <c r="C1822" s="15" t="str">
        <f>IFERROR(__xludf.DUMMYFUNCTION("""COMPUTED_VALUE"""),"PEREIRA")</f>
        <v>PEREIRA</v>
      </c>
      <c r="D1822" s="15" t="str">
        <f>IFERROR(__xludf.DUMMYFUNCTION("""COMPUTED_VALUE"""),"MEDELLÍN")</f>
        <v>MEDELLÍN</v>
      </c>
      <c r="E1822" s="15" t="str">
        <f>IFERROR(__xludf.DUMMYFUNCTION("""COMPUTED_VALUE"""),"Elizabeth Arango")</f>
        <v>Elizabeth Arango</v>
      </c>
      <c r="F1822" s="17" t="str">
        <f>IFERROR(__xludf.DUMMYFUNCTION("""COMPUTED_VALUE"""),"Calle 12 bis # 16-18 pinares / Casa Hoja / Casa Hoja")</f>
        <v>Calle 12 bis # 16-18 pinares / Casa Hoja / Casa Hoja</v>
      </c>
      <c r="G1822" s="15" t="str">
        <f>IFERROR(__xludf.DUMMYFUNCTION("""COMPUTED_VALUE"""),"Casa hoja Héctor Hernández")</f>
        <v>Casa hoja Héctor Hernández</v>
      </c>
      <c r="H1822" s="16">
        <f>IFERROR(__xludf.DUMMYFUNCTION("""COMPUTED_VALUE"""),10441.0)</f>
        <v>10441</v>
      </c>
      <c r="I1822" s="18">
        <f>IFERROR(__xludf.DUMMYFUNCTION("""COMPUTED_VALUE"""),12.0)</f>
        <v>12</v>
      </c>
      <c r="J1822" s="18">
        <f>IFERROR(__xludf.DUMMYFUNCTION("""COMPUTED_VALUE"""),12.0)</f>
        <v>12</v>
      </c>
      <c r="K1822" s="18">
        <f>IFERROR(__xludf.DUMMYFUNCTION("""COMPUTED_VALUE"""),23.0)</f>
        <v>23</v>
      </c>
      <c r="L1822" s="17">
        <f>IFERROR(__xludf.DUMMYFUNCTION("""COMPUTED_VALUE"""),3.18591145E9)</f>
        <v>3185911450</v>
      </c>
      <c r="M1822" s="17" t="str">
        <f>IFERROR(__xludf.DUMMYFUNCTION("""COMPUTED_VALUE"""),"#REF!")</f>
        <v>#REF!</v>
      </c>
      <c r="N1822" s="17"/>
      <c r="O1822" s="17"/>
      <c r="P1822" s="17" t="b">
        <f>IFERROR(__xludf.DUMMYFUNCTION("""COMPUTED_VALUE"""),FALSE)</f>
        <v>0</v>
      </c>
      <c r="Q1822" s="20" t="str">
        <f>IFERROR(__xludf.DUMMYFUNCTION("""COMPUTED_VALUE"""),"")</f>
        <v/>
      </c>
      <c r="R1822" s="22" t="str">
        <f>IFERROR(__xludf.DUMMYFUNCTION("""COMPUTED_VALUE"""),"")</f>
        <v/>
      </c>
    </row>
    <row r="1823">
      <c r="A1823" s="15">
        <f>IFERROR(__xludf.DUMMYFUNCTION("""COMPUTED_VALUE"""),45055.0)</f>
        <v>45055</v>
      </c>
      <c r="B1823" s="16" t="str">
        <f>IFERROR(__xludf.DUMMYFUNCTION("""COMPUTED_VALUE"""),"Deivi Alejandro Quintero Corrales")</f>
        <v>Deivi Alejandro Quintero Corrales</v>
      </c>
      <c r="C1823" s="15" t="str">
        <f>IFERROR(__xludf.DUMMYFUNCTION("""COMPUTED_VALUE"""),"PEREIRA")</f>
        <v>PEREIRA</v>
      </c>
      <c r="D1823" s="15" t="str">
        <f>IFERROR(__xludf.DUMMYFUNCTION("""COMPUTED_VALUE"""),"MEDELLÍN")</f>
        <v>MEDELLÍN</v>
      </c>
      <c r="E1823" s="15" t="str">
        <f>IFERROR(__xludf.DUMMYFUNCTION("""COMPUTED_VALUE"""),"Goyo Todo por ellos")</f>
        <v>Goyo Todo por ellos</v>
      </c>
      <c r="F1823" s="17" t="str">
        <f>IFERROR(__xludf.DUMMYFUNCTION("""COMPUTED_VALUE"""),"Calle 12 Bis # 16 18 / Casa hoja comunidad consciente  / Barrio Pinares")</f>
        <v>Calle 12 Bis # 16 18 / Casa hoja comunidad consciente  / Barrio Pinares</v>
      </c>
      <c r="G1823" s="15" t="str">
        <f>IFERROR(__xludf.DUMMYFUNCTION("""COMPUTED_VALUE"""),"Hector Hernandez")</f>
        <v>Hector Hernandez</v>
      </c>
      <c r="H1823" s="16">
        <f>IFERROR(__xludf.DUMMYFUNCTION("""COMPUTED_VALUE"""),10448.0)</f>
        <v>10448</v>
      </c>
      <c r="I1823" s="18">
        <f>IFERROR(__xludf.DUMMYFUNCTION("""COMPUTED_VALUE"""),19.0)</f>
        <v>19</v>
      </c>
      <c r="J1823" s="18">
        <f>IFERROR(__xludf.DUMMYFUNCTION("""COMPUTED_VALUE"""),43.0)</f>
        <v>43</v>
      </c>
      <c r="K1823" s="18">
        <f>IFERROR(__xludf.DUMMYFUNCTION("""COMPUTED_VALUE"""),31.0)</f>
        <v>31</v>
      </c>
      <c r="L1823" s="17">
        <f>IFERROR(__xludf.DUMMYFUNCTION("""COMPUTED_VALUE"""),3.18591145E9)</f>
        <v>3185911450</v>
      </c>
      <c r="M1823" s="17" t="str">
        <f>IFERROR(__xludf.DUMMYFUNCTION("""COMPUTED_VALUE"""),"#REF!")</f>
        <v>#REF!</v>
      </c>
      <c r="N1823" s="17"/>
      <c r="O1823" s="19">
        <f>IFERROR(__xludf.DUMMYFUNCTION("""COMPUTED_VALUE"""),8000.0)</f>
        <v>8000</v>
      </c>
      <c r="P1823" s="17" t="b">
        <f>IFERROR(__xludf.DUMMYFUNCTION("""COMPUTED_VALUE"""),TRUE)</f>
        <v>1</v>
      </c>
      <c r="Q1823" s="20">
        <f>IFERROR(__xludf.DUMMYFUNCTION("""COMPUTED_VALUE"""),45055.43426675926)</f>
        <v>45055.43427</v>
      </c>
      <c r="R1823" s="22" t="str">
        <f>IFERROR(__xludf.DUMMYFUNCTION("""COMPUTED_VALUE"""),"")</f>
        <v/>
      </c>
    </row>
    <row r="1824">
      <c r="A1824" s="17" t="str">
        <f>IFERROR(__xludf.DUMMYFUNCTION("""COMPUTED_VALUE"""),"")</f>
        <v/>
      </c>
      <c r="B1824" s="17" t="str">
        <f>IFERROR(__xludf.DUMMYFUNCTION("""COMPUTED_VALUE"""),"")</f>
        <v/>
      </c>
      <c r="C1824" s="17" t="str">
        <f>IFERROR(__xludf.DUMMYFUNCTION("""COMPUTED_VALUE"""),"")</f>
        <v/>
      </c>
      <c r="D1824" s="17" t="str">
        <f>IFERROR(__xludf.DUMMYFUNCTION("""COMPUTED_VALUE"""),"")</f>
        <v/>
      </c>
      <c r="E1824" s="17" t="str">
        <f>IFERROR(__xludf.DUMMYFUNCTION("""COMPUTED_VALUE"""),"")</f>
        <v/>
      </c>
      <c r="F1824" s="17" t="str">
        <f>IFERROR(__xludf.DUMMYFUNCTION("""COMPUTED_VALUE"""),"")</f>
        <v/>
      </c>
      <c r="G1824" s="17" t="str">
        <f>IFERROR(__xludf.DUMMYFUNCTION("""COMPUTED_VALUE"""),"")</f>
        <v/>
      </c>
      <c r="H1824" s="17" t="str">
        <f>IFERROR(__xludf.DUMMYFUNCTION("""COMPUTED_VALUE"""),"")</f>
        <v/>
      </c>
      <c r="I1824" s="17" t="str">
        <f>IFERROR(__xludf.DUMMYFUNCTION("""COMPUTED_VALUE"""),"")</f>
        <v/>
      </c>
      <c r="J1824" s="17" t="str">
        <f>IFERROR(__xludf.DUMMYFUNCTION("""COMPUTED_VALUE"""),"")</f>
        <v/>
      </c>
      <c r="K1824" s="17" t="str">
        <f>IFERROR(__xludf.DUMMYFUNCTION("""COMPUTED_VALUE"""),"")</f>
        <v/>
      </c>
      <c r="L1824" s="17" t="str">
        <f>IFERROR(__xludf.DUMMYFUNCTION("""COMPUTED_VALUE"""),"")</f>
        <v/>
      </c>
      <c r="M1824" s="17" t="str">
        <f>IFERROR(__xludf.DUMMYFUNCTION("""COMPUTED_VALUE"""),"")</f>
        <v/>
      </c>
      <c r="N1824" s="17" t="str">
        <f>IFERROR(__xludf.DUMMYFUNCTION("""COMPUTED_VALUE"""),"")</f>
        <v/>
      </c>
      <c r="O1824" s="17" t="str">
        <f>IFERROR(__xludf.DUMMYFUNCTION("""COMPUTED_VALUE"""),"")</f>
        <v/>
      </c>
      <c r="P1824" s="17" t="str">
        <f>IFERROR(__xludf.DUMMYFUNCTION("""COMPUTED_VALUE"""),"")</f>
        <v/>
      </c>
      <c r="Q1824" s="17" t="str">
        <f>IFERROR(__xludf.DUMMYFUNCTION("""COMPUTED_VALUE"""),"")</f>
        <v/>
      </c>
      <c r="R1824" s="17" t="str">
        <f>IFERROR(__xludf.DUMMYFUNCTION("""COMPUTED_VALUE"""),"")</f>
        <v/>
      </c>
    </row>
    <row r="1825">
      <c r="A1825" s="15">
        <f>IFERROR(__xludf.DUMMYFUNCTION("""COMPUTED_VALUE"""),45055.0)</f>
        <v>45055</v>
      </c>
      <c r="B1825" s="16" t="str">
        <f>IFERROR(__xludf.DUMMYFUNCTION("""COMPUTED_VALUE"""),"Duvan Gabriel Alvarez Giron")</f>
        <v>Duvan Gabriel Alvarez Giron</v>
      </c>
      <c r="C1825" s="15" t="str">
        <f>IFERROR(__xludf.DUMMYFUNCTION("""COMPUTED_VALUE"""),"FLORIDABLANCA")</f>
        <v>FLORIDABLANCA</v>
      </c>
      <c r="D1825" s="15" t="str">
        <f>IFERROR(__xludf.DUMMYFUNCTION("""COMPUTED_VALUE"""),"BOGOTÁ")</f>
        <v>BOGOTÁ</v>
      </c>
      <c r="E1825" s="15" t="str">
        <f>IFERROR(__xludf.DUMMYFUNCTION("""COMPUTED_VALUE"""),"MAI ALIMENTOS S.A.S")</f>
        <v>MAI ALIMENTOS S.A.S</v>
      </c>
      <c r="F1825" s="17" t="str">
        <f>IFERROR(__xludf.DUMMYFUNCTION("""COMPUTED_VALUE"""),"Calle 31 # 22 - 97 / Barrio Cañaveral, Floridablanca")</f>
        <v>Calle 31 # 22 - 97 / Barrio Cañaveral, Floridablanca</v>
      </c>
      <c r="G1825" s="15" t="str">
        <f>IFERROR(__xludf.DUMMYFUNCTION("""COMPUTED_VALUE"""),"Claudia Prada")</f>
        <v>Claudia Prada</v>
      </c>
      <c r="H1825" s="16">
        <f>IFERROR(__xludf.DUMMYFUNCTION("""COMPUTED_VALUE"""),10405.0)</f>
        <v>10405</v>
      </c>
      <c r="I1825" s="18">
        <f>IFERROR(__xludf.DUMMYFUNCTION("""COMPUTED_VALUE"""),28.0)</f>
        <v>28</v>
      </c>
      <c r="J1825" s="18">
        <f>IFERROR(__xludf.DUMMYFUNCTION("""COMPUTED_VALUE"""),17.0)</f>
        <v>17</v>
      </c>
      <c r="K1825" s="18">
        <f>IFERROR(__xludf.DUMMYFUNCTION("""COMPUTED_VALUE"""),13.0)</f>
        <v>13</v>
      </c>
      <c r="L1825" s="17">
        <f>IFERROR(__xludf.DUMMYFUNCTION("""COMPUTED_VALUE"""),3.005711168E9)</f>
        <v>3005711168</v>
      </c>
      <c r="M1825" s="17" t="str">
        <f>IFERROR(__xludf.DUMMYFUNCTION("""COMPUTED_VALUE"""),"#REF!")</f>
        <v>#REF!</v>
      </c>
      <c r="N1825" s="17"/>
      <c r="O1825" s="19">
        <f>IFERROR(__xludf.DUMMYFUNCTION("""COMPUTED_VALUE"""),7500.0)</f>
        <v>7500</v>
      </c>
      <c r="P1825" s="17" t="b">
        <f>IFERROR(__xludf.DUMMYFUNCTION("""COMPUTED_VALUE"""),TRUE)</f>
        <v>1</v>
      </c>
      <c r="Q1825" s="20">
        <f>IFERROR(__xludf.DUMMYFUNCTION("""COMPUTED_VALUE"""),45055.43421928241)</f>
        <v>45055.43422</v>
      </c>
      <c r="R1825" s="22" t="str">
        <f>IFERROR(__xludf.DUMMYFUNCTION("""COMPUTED_VALUE"""),"")</f>
        <v/>
      </c>
    </row>
    <row r="1826">
      <c r="A1826" s="15">
        <f>IFERROR(__xludf.DUMMYFUNCTION("""COMPUTED_VALUE"""),45055.0)</f>
        <v>45055</v>
      </c>
      <c r="B1826" s="16" t="str">
        <f>IFERROR(__xludf.DUMMYFUNCTION("""COMPUTED_VALUE"""),"Duvan Gabriel Alvarez Giron")</f>
        <v>Duvan Gabriel Alvarez Giron</v>
      </c>
      <c r="C1826" s="15" t="str">
        <f>IFERROR(__xludf.DUMMYFUNCTION("""COMPUTED_VALUE"""),"IBAGUÉ")</f>
        <v>IBAGUÉ</v>
      </c>
      <c r="D1826" s="15" t="str">
        <f>IFERROR(__xludf.DUMMYFUNCTION("""COMPUTED_VALUE"""),"BOGOTÁ")</f>
        <v>BOGOTÁ</v>
      </c>
      <c r="E1826" s="15" t="str">
        <f>IFERROR(__xludf.DUMMYFUNCTION("""COMPUTED_VALUE"""),"Evamazzita")</f>
        <v>Evamazzita</v>
      </c>
      <c r="F1826" s="17" t="str">
        <f>IFERROR(__xludf.DUMMYFUNCTION("""COMPUTED_VALUE"""),"CARRERA 11 A # 35 - 62 / N/A / BARRIO GAITÁN PARTE ALTA")</f>
        <v>CARRERA 11 A # 35 - 62 / N/A / BARRIO GAITÁN PARTE ALTA</v>
      </c>
      <c r="G1826" s="15" t="str">
        <f>IFERROR(__xludf.DUMMYFUNCTION("""COMPUTED_VALUE"""),"JORGE BERNARDO TORRES")</f>
        <v>JORGE BERNARDO TORRES</v>
      </c>
      <c r="H1826" s="16">
        <f>IFERROR(__xludf.DUMMYFUNCTION("""COMPUTED_VALUE"""),10431.0)</f>
        <v>10431</v>
      </c>
      <c r="I1826" s="18">
        <f>IFERROR(__xludf.DUMMYFUNCTION("""COMPUTED_VALUE"""),33.0)</f>
        <v>33</v>
      </c>
      <c r="J1826" s="18">
        <f>IFERROR(__xludf.DUMMYFUNCTION("""COMPUTED_VALUE"""),30.0)</f>
        <v>30</v>
      </c>
      <c r="K1826" s="18">
        <f>IFERROR(__xludf.DUMMYFUNCTION("""COMPUTED_VALUE"""),21.0)</f>
        <v>21</v>
      </c>
      <c r="L1826" s="17">
        <f>IFERROR(__xludf.DUMMYFUNCTION("""COMPUTED_VALUE"""),3.144530156E9)</f>
        <v>3144530156</v>
      </c>
      <c r="M1826" s="17" t="str">
        <f>IFERROR(__xludf.DUMMYFUNCTION("""COMPUTED_VALUE"""),"#REF!")</f>
        <v>#REF!</v>
      </c>
      <c r="N1826" s="17"/>
      <c r="O1826" s="17"/>
      <c r="P1826" s="17" t="b">
        <f>IFERROR(__xludf.DUMMYFUNCTION("""COMPUTED_VALUE"""),FALSE)</f>
        <v>0</v>
      </c>
      <c r="Q1826" s="20" t="str">
        <f>IFERROR(__xludf.DUMMYFUNCTION("""COMPUTED_VALUE"""),"")</f>
        <v/>
      </c>
      <c r="R1826" s="22" t="str">
        <f>IFERROR(__xludf.DUMMYFUNCTION("""COMPUTED_VALUE"""),"")</f>
        <v/>
      </c>
    </row>
    <row r="1827">
      <c r="A1827" s="15">
        <f>IFERROR(__xludf.DUMMYFUNCTION("""COMPUTED_VALUE"""),45055.0)</f>
        <v>45055</v>
      </c>
      <c r="B1827" s="16" t="str">
        <f>IFERROR(__xludf.DUMMYFUNCTION("""COMPUTED_VALUE"""),"Duvan Gabriel Alvarez Giron")</f>
        <v>Duvan Gabriel Alvarez Giron</v>
      </c>
      <c r="C1827" s="15" t="str">
        <f>IFERROR(__xludf.DUMMYFUNCTION("""COMPUTED_VALUE"""),"IBAGUÉ")</f>
        <v>IBAGUÉ</v>
      </c>
      <c r="D1827" s="15" t="str">
        <f>IFERROR(__xludf.DUMMYFUNCTION("""COMPUTED_VALUE"""),"BOGOTÁ")</f>
        <v>BOGOTÁ</v>
      </c>
      <c r="E1827" s="15" t="str">
        <f>IFERROR(__xludf.DUMMYFUNCTION("""COMPUTED_VALUE"""),"Frambascolombia sas")</f>
        <v>Frambascolombia sas</v>
      </c>
      <c r="F1827" s="17" t="str">
        <f>IFERROR(__xludf.DUMMYFUNCTION("""COMPUTED_VALUE"""),"Cra 14 # 75A-29 Local 5
 / local 2")</f>
        <v>Cra 14 # 75A-29 Local 5
 / local 2</v>
      </c>
      <c r="G1827" s="15" t="str">
        <f>IFERROR(__xludf.DUMMYFUNCTION("""COMPUTED_VALUE"""),"Daniela Tatiana Lopez Arbelaez")</f>
        <v>Daniela Tatiana Lopez Arbelaez</v>
      </c>
      <c r="H1827" s="16">
        <f>IFERROR(__xludf.DUMMYFUNCTION("""COMPUTED_VALUE"""),10364.0)</f>
        <v>10364</v>
      </c>
      <c r="I1827" s="18">
        <f>IFERROR(__xludf.DUMMYFUNCTION("""COMPUTED_VALUE"""),11.0)</f>
        <v>11</v>
      </c>
      <c r="J1827" s="18">
        <f>IFERROR(__xludf.DUMMYFUNCTION("""COMPUTED_VALUE"""),9.0)</f>
        <v>9</v>
      </c>
      <c r="K1827" s="18">
        <f>IFERROR(__xludf.DUMMYFUNCTION("""COMPUTED_VALUE"""),9.0)</f>
        <v>9</v>
      </c>
      <c r="L1827" s="17">
        <f>IFERROR(__xludf.DUMMYFUNCTION("""COMPUTED_VALUE"""),3.177002909E9)</f>
        <v>3177002909</v>
      </c>
      <c r="M1827" s="17" t="str">
        <f>IFERROR(__xludf.DUMMYFUNCTION("""COMPUTED_VALUE"""),"#REF!")</f>
        <v>#REF!</v>
      </c>
      <c r="N1827" s="17"/>
      <c r="O1827" s="17"/>
      <c r="P1827" s="17" t="b">
        <f>IFERROR(__xludf.DUMMYFUNCTION("""COMPUTED_VALUE"""),FALSE)</f>
        <v>0</v>
      </c>
      <c r="Q1827" s="20" t="str">
        <f>IFERROR(__xludf.DUMMYFUNCTION("""COMPUTED_VALUE"""),"")</f>
        <v/>
      </c>
      <c r="R1827" s="22" t="str">
        <f>IFERROR(__xludf.DUMMYFUNCTION("""COMPUTED_VALUE"""),"")</f>
        <v/>
      </c>
    </row>
    <row r="1828">
      <c r="A1828" s="17" t="str">
        <f>IFERROR(__xludf.DUMMYFUNCTION("""COMPUTED_VALUE"""),"")</f>
        <v/>
      </c>
      <c r="B1828" s="17" t="str">
        <f>IFERROR(__xludf.DUMMYFUNCTION("""COMPUTED_VALUE"""),"")</f>
        <v/>
      </c>
      <c r="C1828" s="17" t="str">
        <f>IFERROR(__xludf.DUMMYFUNCTION("""COMPUTED_VALUE"""),"")</f>
        <v/>
      </c>
      <c r="D1828" s="17" t="str">
        <f>IFERROR(__xludf.DUMMYFUNCTION("""COMPUTED_VALUE"""),"")</f>
        <v/>
      </c>
      <c r="E1828" s="17" t="str">
        <f>IFERROR(__xludf.DUMMYFUNCTION("""COMPUTED_VALUE"""),"")</f>
        <v/>
      </c>
      <c r="F1828" s="17" t="str">
        <f>IFERROR(__xludf.DUMMYFUNCTION("""COMPUTED_VALUE"""),"")</f>
        <v/>
      </c>
      <c r="G1828" s="17" t="str">
        <f>IFERROR(__xludf.DUMMYFUNCTION("""COMPUTED_VALUE"""),"")</f>
        <v/>
      </c>
      <c r="H1828" s="17" t="str">
        <f>IFERROR(__xludf.DUMMYFUNCTION("""COMPUTED_VALUE"""),"")</f>
        <v/>
      </c>
      <c r="I1828" s="17" t="str">
        <f>IFERROR(__xludf.DUMMYFUNCTION("""COMPUTED_VALUE"""),"")</f>
        <v/>
      </c>
      <c r="J1828" s="17" t="str">
        <f>IFERROR(__xludf.DUMMYFUNCTION("""COMPUTED_VALUE"""),"")</f>
        <v/>
      </c>
      <c r="K1828" s="17" t="str">
        <f>IFERROR(__xludf.DUMMYFUNCTION("""COMPUTED_VALUE"""),"")</f>
        <v/>
      </c>
      <c r="L1828" s="17" t="str">
        <f>IFERROR(__xludf.DUMMYFUNCTION("""COMPUTED_VALUE"""),"")</f>
        <v/>
      </c>
      <c r="M1828" s="17" t="str">
        <f>IFERROR(__xludf.DUMMYFUNCTION("""COMPUTED_VALUE"""),"")</f>
        <v/>
      </c>
      <c r="N1828" s="17" t="str">
        <f>IFERROR(__xludf.DUMMYFUNCTION("""COMPUTED_VALUE"""),"")</f>
        <v/>
      </c>
      <c r="O1828" s="17" t="str">
        <f>IFERROR(__xludf.DUMMYFUNCTION("""COMPUTED_VALUE"""),"")</f>
        <v/>
      </c>
      <c r="P1828" s="17" t="str">
        <f>IFERROR(__xludf.DUMMYFUNCTION("""COMPUTED_VALUE"""),"")</f>
        <v/>
      </c>
      <c r="Q1828" s="17" t="str">
        <f>IFERROR(__xludf.DUMMYFUNCTION("""COMPUTED_VALUE"""),"")</f>
        <v/>
      </c>
      <c r="R1828" s="17" t="str">
        <f>IFERROR(__xludf.DUMMYFUNCTION("""COMPUTED_VALUE"""),"")</f>
        <v/>
      </c>
    </row>
    <row r="1829">
      <c r="A1829" s="15">
        <f>IFERROR(__xludf.DUMMYFUNCTION("""COMPUTED_VALUE"""),45055.0)</f>
        <v>45055</v>
      </c>
      <c r="B1829" s="16" t="str">
        <f>IFERROR(__xludf.DUMMYFUNCTION("""COMPUTED_VALUE"""),"Envia")</f>
        <v>Envia</v>
      </c>
      <c r="C1829" s="15" t="str">
        <f>IFERROR(__xludf.DUMMYFUNCTION("""COMPUTED_VALUE"""),"ARMENIA")</f>
        <v>ARMENIA</v>
      </c>
      <c r="D1829" s="15" t="str">
        <f>IFERROR(__xludf.DUMMYFUNCTION("""COMPUTED_VALUE"""),"BOGOTÁ")</f>
        <v>BOGOTÁ</v>
      </c>
      <c r="E1829" s="15" t="str">
        <f>IFERROR(__xludf.DUMMYFUNCTION("""COMPUTED_VALUE"""),"Asociacion Agropecuaria Juana Maria")</f>
        <v>Asociacion Agropecuaria Juana Maria</v>
      </c>
      <c r="F1829" s="17" t="str">
        <f>IFERROR(__xludf.DUMMYFUNCTION("""COMPUTED_VALUE"""),"Cra 24a # 15-71 Barrio Corbones")</f>
        <v>Cra 24a # 15-71 Barrio Corbones</v>
      </c>
      <c r="G1829" s="15" t="str">
        <f>IFERROR(__xludf.DUMMYFUNCTION("""COMPUTED_VALUE"""),"Leidy Viviana Giraldo")</f>
        <v>Leidy Viviana Giraldo</v>
      </c>
      <c r="H1829" s="16">
        <f>IFERROR(__xludf.DUMMYFUNCTION("""COMPUTED_VALUE"""),10421.0)</f>
        <v>10421</v>
      </c>
      <c r="I1829" s="18">
        <f>IFERROR(__xludf.DUMMYFUNCTION("""COMPUTED_VALUE"""),25.0)</f>
        <v>25</v>
      </c>
      <c r="J1829" s="18">
        <f>IFERROR(__xludf.DUMMYFUNCTION("""COMPUTED_VALUE"""),18.0)</f>
        <v>18</v>
      </c>
      <c r="K1829" s="18">
        <f>IFERROR(__xludf.DUMMYFUNCTION("""COMPUTED_VALUE"""),3.0)</f>
        <v>3</v>
      </c>
      <c r="L1829" s="17" t="str">
        <f>IFERROR(__xludf.DUMMYFUNCTION("""COMPUTED_VALUE"""),"321 4604801")</f>
        <v>321 4604801</v>
      </c>
      <c r="M1829" s="17" t="str">
        <f>IFERROR(__xludf.DUMMYFUNCTION("""COMPUTED_VALUE"""),"#REF!")</f>
        <v>#REF!</v>
      </c>
      <c r="N1829" s="17"/>
      <c r="O1829" s="17"/>
      <c r="P1829" s="17" t="b">
        <f>IFERROR(__xludf.DUMMYFUNCTION("""COMPUTED_VALUE"""),FALSE)</f>
        <v>0</v>
      </c>
      <c r="Q1829" s="20" t="str">
        <f>IFERROR(__xludf.DUMMYFUNCTION("""COMPUTED_VALUE"""),"")</f>
        <v/>
      </c>
      <c r="R1829" s="22" t="str">
        <f>IFERROR(__xludf.DUMMYFUNCTION("""COMPUTED_VALUE"""),"")</f>
        <v/>
      </c>
    </row>
    <row r="1830">
      <c r="A1830" s="15">
        <f>IFERROR(__xludf.DUMMYFUNCTION("""COMPUTED_VALUE"""),45055.0)</f>
        <v>45055</v>
      </c>
      <c r="B1830" s="16" t="str">
        <f>IFERROR(__xludf.DUMMYFUNCTION("""COMPUTED_VALUE"""),"Envia")</f>
        <v>Envia</v>
      </c>
      <c r="C1830" s="15" t="str">
        <f>IFERROR(__xludf.DUMMYFUNCTION("""COMPUTED_VALUE"""),"ARMENIA")</f>
        <v>ARMENIA</v>
      </c>
      <c r="D1830" s="15" t="str">
        <f>IFERROR(__xludf.DUMMYFUNCTION("""COMPUTED_VALUE"""),"BOGOTÁ")</f>
        <v>BOGOTÁ</v>
      </c>
      <c r="E1830" s="15" t="str">
        <f>IFERROR(__xludf.DUMMYFUNCTION("""COMPUTED_VALUE"""),"Evamazzita")</f>
        <v>Evamazzita</v>
      </c>
      <c r="F1830" s="17" t="str">
        <f>IFERROR(__xludf.DUMMYFUNCTION("""COMPUTED_VALUE"""),"CARRERA 24 A # 15 - 71   / N/A / BARRIO CORBONES")</f>
        <v>CARRERA 24 A # 15 - 71   / N/A / BARRIO CORBONES</v>
      </c>
      <c r="G1830" s="15" t="str">
        <f>IFERROR(__xludf.DUMMYFUNCTION("""COMPUTED_VALUE"""),"LEIDY VIVIANA GIRALDO")</f>
        <v>LEIDY VIVIANA GIRALDO</v>
      </c>
      <c r="H1830" s="16">
        <f>IFERROR(__xludf.DUMMYFUNCTION("""COMPUTED_VALUE"""),10462.0)</f>
        <v>10462</v>
      </c>
      <c r="I1830" s="18">
        <f>IFERROR(__xludf.DUMMYFUNCTION("""COMPUTED_VALUE"""),6.0)</f>
        <v>6</v>
      </c>
      <c r="J1830" s="18">
        <f>IFERROR(__xludf.DUMMYFUNCTION("""COMPUTED_VALUE"""),16.0)</f>
        <v>16</v>
      </c>
      <c r="K1830" s="18">
        <f>IFERROR(__xludf.DUMMYFUNCTION("""COMPUTED_VALUE"""),21.0)</f>
        <v>21</v>
      </c>
      <c r="L1830" s="17">
        <f>IFERROR(__xludf.DUMMYFUNCTION("""COMPUTED_VALUE"""),3.214604801E9)</f>
        <v>3214604801</v>
      </c>
      <c r="M1830" s="17" t="str">
        <f>IFERROR(__xludf.DUMMYFUNCTION("""COMPUTED_VALUE"""),"#REF!")</f>
        <v>#REF!</v>
      </c>
      <c r="N1830" s="17"/>
      <c r="O1830" s="17"/>
      <c r="P1830" s="17" t="b">
        <f>IFERROR(__xludf.DUMMYFUNCTION("""COMPUTED_VALUE"""),FALSE)</f>
        <v>0</v>
      </c>
      <c r="Q1830" s="20" t="str">
        <f>IFERROR(__xludf.DUMMYFUNCTION("""COMPUTED_VALUE"""),"")</f>
        <v/>
      </c>
      <c r="R1830" s="22" t="str">
        <f>IFERROR(__xludf.DUMMYFUNCTION("""COMPUTED_VALUE"""),"")</f>
        <v/>
      </c>
    </row>
    <row r="1831">
      <c r="A1831" s="15">
        <f>IFERROR(__xludf.DUMMYFUNCTION("""COMPUTED_VALUE"""),45055.0)</f>
        <v>45055</v>
      </c>
      <c r="B1831" s="16" t="str">
        <f>IFERROR(__xludf.DUMMYFUNCTION("""COMPUTED_VALUE"""),"Envia")</f>
        <v>Envia</v>
      </c>
      <c r="C1831" s="15" t="str">
        <f>IFERROR(__xludf.DUMMYFUNCTION("""COMPUTED_VALUE"""),"ARMENIA")</f>
        <v>ARMENIA</v>
      </c>
      <c r="D1831" s="15" t="str">
        <f>IFERROR(__xludf.DUMMYFUNCTION("""COMPUTED_VALUE"""),"BOGOTÁ")</f>
        <v>BOGOTÁ</v>
      </c>
      <c r="E1831" s="15" t="str">
        <f>IFERROR(__xludf.DUMMYFUNCTION("""COMPUTED_VALUE"""),"Pan de Waffle")</f>
        <v>Pan de Waffle</v>
      </c>
      <c r="F1831" s="17" t="str">
        <f>IFERROR(__xludf.DUMMYFUNCTION("""COMPUTED_VALUE"""),"Conjunto Residencial Cantabria MZ-C CASA 9 Circasia - Quindio / Conjunto Residencial Cantabria MZ-C CASA 9 Circasia - Quindio / Conjunto Residencial Cantabria MZ-C CASA 9 Circasia - Quindio")</f>
        <v>Conjunto Residencial Cantabria MZ-C CASA 9 Circasia - Quindio / Conjunto Residencial Cantabria MZ-C CASA 9 Circasia - Quindio / Conjunto Residencial Cantabria MZ-C CASA 9 Circasia - Quindio</v>
      </c>
      <c r="G1831" s="15" t="str">
        <f>IFERROR(__xludf.DUMMYFUNCTION("""COMPUTED_VALUE"""),"TIENDA ANTOJITOS FITNESS")</f>
        <v>TIENDA ANTOJITOS FITNESS</v>
      </c>
      <c r="H1831" s="16">
        <f>IFERROR(__xludf.DUMMYFUNCTION("""COMPUTED_VALUE"""),10473.0)</f>
        <v>10473</v>
      </c>
      <c r="I1831" s="18">
        <f>IFERROR(__xludf.DUMMYFUNCTION("""COMPUTED_VALUE"""),30.0)</f>
        <v>30</v>
      </c>
      <c r="J1831" s="18">
        <f>IFERROR(__xludf.DUMMYFUNCTION("""COMPUTED_VALUE"""),40.0)</f>
        <v>40</v>
      </c>
      <c r="K1831" s="18">
        <f>IFERROR(__xludf.DUMMYFUNCTION("""COMPUTED_VALUE"""),30.0)</f>
        <v>30</v>
      </c>
      <c r="L1831" s="17">
        <f>IFERROR(__xludf.DUMMYFUNCTION("""COMPUTED_VALUE"""),3.204937012E9)</f>
        <v>3204937012</v>
      </c>
      <c r="M1831" s="17" t="str">
        <f>IFERROR(__xludf.DUMMYFUNCTION("""COMPUTED_VALUE"""),"#REF!")</f>
        <v>#REF!</v>
      </c>
      <c r="N1831" s="17"/>
      <c r="O1831" s="17"/>
      <c r="P1831" s="17" t="b">
        <f>IFERROR(__xludf.DUMMYFUNCTION("""COMPUTED_VALUE"""),FALSE)</f>
        <v>0</v>
      </c>
      <c r="Q1831" s="20" t="str">
        <f>IFERROR(__xludf.DUMMYFUNCTION("""COMPUTED_VALUE"""),"")</f>
        <v/>
      </c>
      <c r="R1831" s="22" t="str">
        <f>IFERROR(__xludf.DUMMYFUNCTION("""COMPUTED_VALUE"""),"")</f>
        <v/>
      </c>
    </row>
    <row r="1832">
      <c r="A1832" s="15">
        <f>IFERROR(__xludf.DUMMYFUNCTION("""COMPUTED_VALUE"""),45055.0)</f>
        <v>45055</v>
      </c>
      <c r="B1832" s="16" t="str">
        <f>IFERROR(__xludf.DUMMYFUNCTION("""COMPUTED_VALUE"""),"Envia")</f>
        <v>Envia</v>
      </c>
      <c r="C1832" s="15" t="str">
        <f>IFERROR(__xludf.DUMMYFUNCTION("""COMPUTED_VALUE"""),"BOGOTÁ")</f>
        <v>BOGOTÁ</v>
      </c>
      <c r="D1832" s="15" t="str">
        <f>IFERROR(__xludf.DUMMYFUNCTION("""COMPUTED_VALUE"""),"MEDELLÍN")</f>
        <v>MEDELLÍN</v>
      </c>
      <c r="E1832" s="15" t="str">
        <f>IFERROR(__xludf.DUMMYFUNCTION("""COMPUTED_VALUE"""),"Cosmo Cookies")</f>
        <v>Cosmo Cookies</v>
      </c>
      <c r="F1832" s="17" t="str">
        <f>IFERROR(__xludf.DUMMYFUNCTION("""COMPUTED_VALUE"""),"Barrio El Polo. CRA 24 # 86A 32 / Primero piso. Al lado de la farmacia / El Polo Bogotá")</f>
        <v>Barrio El Polo. CRA 24 # 86A 32 / Primero piso. Al lado de la farmacia / El Polo Bogotá</v>
      </c>
      <c r="G1832" s="15" t="str">
        <f>IFERROR(__xludf.DUMMYFUNCTION("""COMPUTED_VALUE"""),"Bibiana")</f>
        <v>Bibiana</v>
      </c>
      <c r="H1832" s="16">
        <f>IFERROR(__xludf.DUMMYFUNCTION("""COMPUTED_VALUE"""),10491.0)</f>
        <v>10491</v>
      </c>
      <c r="I1832" s="18">
        <f>IFERROR(__xludf.DUMMYFUNCTION("""COMPUTED_VALUE"""),6.0)</f>
        <v>6</v>
      </c>
      <c r="J1832" s="18">
        <f>IFERROR(__xludf.DUMMYFUNCTION("""COMPUTED_VALUE"""),15.0)</f>
        <v>15</v>
      </c>
      <c r="K1832" s="18">
        <f>IFERROR(__xludf.DUMMYFUNCTION("""COMPUTED_VALUE"""),30.0)</f>
        <v>30</v>
      </c>
      <c r="L1832" s="17">
        <f>IFERROR(__xludf.DUMMYFUNCTION("""COMPUTED_VALUE"""),3.208371486E9)</f>
        <v>3208371486</v>
      </c>
      <c r="M1832" s="17" t="str">
        <f>IFERROR(__xludf.DUMMYFUNCTION("""COMPUTED_VALUE"""),"#REF!")</f>
        <v>#REF!</v>
      </c>
      <c r="N1832" s="17"/>
      <c r="O1832" s="17"/>
      <c r="P1832" s="17" t="b">
        <f>IFERROR(__xludf.DUMMYFUNCTION("""COMPUTED_VALUE"""),FALSE)</f>
        <v>0</v>
      </c>
      <c r="Q1832" s="20" t="str">
        <f>IFERROR(__xludf.DUMMYFUNCTION("""COMPUTED_VALUE"""),"")</f>
        <v/>
      </c>
      <c r="R1832" s="22" t="str">
        <f>IFERROR(__xludf.DUMMYFUNCTION("""COMPUTED_VALUE"""),"")</f>
        <v/>
      </c>
    </row>
    <row r="1833">
      <c r="A1833" s="15">
        <f>IFERROR(__xludf.DUMMYFUNCTION("""COMPUTED_VALUE"""),45055.0)</f>
        <v>45055</v>
      </c>
      <c r="B1833" s="16" t="str">
        <f>IFERROR(__xludf.DUMMYFUNCTION("""COMPUTED_VALUE"""),"Envia")</f>
        <v>Envia</v>
      </c>
      <c r="C1833" s="15" t="str">
        <f>IFERROR(__xludf.DUMMYFUNCTION("""COMPUTED_VALUE"""),"BUCARAMANGA")</f>
        <v>BUCARAMANGA</v>
      </c>
      <c r="D1833" s="15" t="str">
        <f>IFERROR(__xludf.DUMMYFUNCTION("""COMPUTED_VALUE"""),"MEDELLÍN")</f>
        <v>MEDELLÍN</v>
      </c>
      <c r="E1833" s="15" t="str">
        <f>IFERROR(__xludf.DUMMYFUNCTION("""COMPUTED_VALUE"""),"Baby Chef")</f>
        <v>Baby Chef</v>
      </c>
      <c r="F1833" s="17" t="str">
        <f>IFERROR(__xludf.DUMMYFUNCTION("""COMPUTED_VALUE"""),"Calle 30#28-42 / edificio San José de la aurora apto 904 / edificio San José de la aurora apto 904")</f>
        <v>Calle 30#28-42 / edificio San José de la aurora apto 904 / edificio San José de la aurora apto 904</v>
      </c>
      <c r="G1833" s="15" t="str">
        <f>IFERROR(__xludf.DUMMYFUNCTION("""COMPUTED_VALUE"""),"Tatiana Pontón")</f>
        <v>Tatiana Pontón</v>
      </c>
      <c r="H1833" s="16">
        <f>IFERROR(__xludf.DUMMYFUNCTION("""COMPUTED_VALUE"""),10477.0)</f>
        <v>10477</v>
      </c>
      <c r="I1833" s="18">
        <f>IFERROR(__xludf.DUMMYFUNCTION("""COMPUTED_VALUE"""),8.0)</f>
        <v>8</v>
      </c>
      <c r="J1833" s="18">
        <f>IFERROR(__xludf.DUMMYFUNCTION("""COMPUTED_VALUE"""),16.0)</f>
        <v>16</v>
      </c>
      <c r="K1833" s="18">
        <f>IFERROR(__xludf.DUMMYFUNCTION("""COMPUTED_VALUE"""),20.0)</f>
        <v>20</v>
      </c>
      <c r="L1833" s="17">
        <f>IFERROR(__xludf.DUMMYFUNCTION("""COMPUTED_VALUE"""),3.114849862E9)</f>
        <v>3114849862</v>
      </c>
      <c r="M1833" s="17" t="str">
        <f>IFERROR(__xludf.DUMMYFUNCTION("""COMPUTED_VALUE"""),"#REF!")</f>
        <v>#REF!</v>
      </c>
      <c r="N1833" s="17"/>
      <c r="O1833" s="17"/>
      <c r="P1833" s="17" t="b">
        <f>IFERROR(__xludf.DUMMYFUNCTION("""COMPUTED_VALUE"""),FALSE)</f>
        <v>0</v>
      </c>
      <c r="Q1833" s="20" t="str">
        <f>IFERROR(__xludf.DUMMYFUNCTION("""COMPUTED_VALUE"""),"")</f>
        <v/>
      </c>
      <c r="R1833" s="22" t="str">
        <f>IFERROR(__xludf.DUMMYFUNCTION("""COMPUTED_VALUE"""),"")</f>
        <v/>
      </c>
    </row>
    <row r="1834">
      <c r="A1834" s="15">
        <f>IFERROR(__xludf.DUMMYFUNCTION("""COMPUTED_VALUE"""),45055.0)</f>
        <v>45055</v>
      </c>
      <c r="B1834" s="16" t="str">
        <f>IFERROR(__xludf.DUMMYFUNCTION("""COMPUTED_VALUE"""),"Envia")</f>
        <v>Envia</v>
      </c>
      <c r="C1834" s="15" t="str">
        <f>IFERROR(__xludf.DUMMYFUNCTION("""COMPUTED_VALUE"""),"BUCARAMANGA")</f>
        <v>BUCARAMANGA</v>
      </c>
      <c r="D1834" s="15" t="str">
        <f>IFERROR(__xludf.DUMMYFUNCTION("""COMPUTED_VALUE"""),"MEDELLÍN")</f>
        <v>MEDELLÍN</v>
      </c>
      <c r="E1834" s="15" t="str">
        <f>IFERROR(__xludf.DUMMYFUNCTION("""COMPUTED_VALUE"""),"Puro Verde")</f>
        <v>Puro Verde</v>
      </c>
      <c r="F1834" s="17" t="str">
        <f>IFERROR(__xludf.DUMMYFUNCTION("""COMPUTED_VALUE"""),"CALLE 51 # 23-95.   / APTO 405. EDIFICIO BONARDI. / BARRIO NUEVOSOTOMAYOR")</f>
        <v>CALLE 51 # 23-95.   / APTO 405. EDIFICIO BONARDI. / BARRIO NUEVOSOTOMAYOR</v>
      </c>
      <c r="G1834" s="15" t="str">
        <f>IFERROR(__xludf.DUMMYFUNCTION("""COMPUTED_VALUE"""),"SANDRA MILENA RESTREPO")</f>
        <v>SANDRA MILENA RESTREPO</v>
      </c>
      <c r="H1834" s="16">
        <f>IFERROR(__xludf.DUMMYFUNCTION("""COMPUTED_VALUE"""),10401.0)</f>
        <v>10401</v>
      </c>
      <c r="I1834" s="18">
        <f>IFERROR(__xludf.DUMMYFUNCTION("""COMPUTED_VALUE"""),12.0)</f>
        <v>12</v>
      </c>
      <c r="J1834" s="18">
        <f>IFERROR(__xludf.DUMMYFUNCTION("""COMPUTED_VALUE"""),18.0)</f>
        <v>18</v>
      </c>
      <c r="K1834" s="18">
        <f>IFERROR(__xludf.DUMMYFUNCTION("""COMPUTED_VALUE"""),45.0)</f>
        <v>45</v>
      </c>
      <c r="L1834" s="17">
        <f>IFERROR(__xludf.DUMMYFUNCTION("""COMPUTED_VALUE"""),3.204491255E9)</f>
        <v>3204491255</v>
      </c>
      <c r="M1834" s="17" t="str">
        <f>IFERROR(__xludf.DUMMYFUNCTION("""COMPUTED_VALUE"""),"#REF!")</f>
        <v>#REF!</v>
      </c>
      <c r="N1834" s="17"/>
      <c r="O1834" s="17"/>
      <c r="P1834" s="17" t="b">
        <f>IFERROR(__xludf.DUMMYFUNCTION("""COMPUTED_VALUE"""),FALSE)</f>
        <v>0</v>
      </c>
      <c r="Q1834" s="20" t="str">
        <f>IFERROR(__xludf.DUMMYFUNCTION("""COMPUTED_VALUE"""),"")</f>
        <v/>
      </c>
      <c r="R1834" s="22" t="str">
        <f>IFERROR(__xludf.DUMMYFUNCTION("""COMPUTED_VALUE"""),"")</f>
        <v/>
      </c>
    </row>
    <row r="1835">
      <c r="A1835" s="15">
        <f>IFERROR(__xludf.DUMMYFUNCTION("""COMPUTED_VALUE"""),45055.0)</f>
        <v>45055</v>
      </c>
      <c r="B1835" s="16" t="str">
        <f>IFERROR(__xludf.DUMMYFUNCTION("""COMPUTED_VALUE"""),"Envia")</f>
        <v>Envia</v>
      </c>
      <c r="C1835" s="15" t="str">
        <f>IFERROR(__xludf.DUMMYFUNCTION("""COMPUTED_VALUE"""),"CALI")</f>
        <v>CALI</v>
      </c>
      <c r="D1835" s="15" t="str">
        <f>IFERROR(__xludf.DUMMYFUNCTION("""COMPUTED_VALUE"""),"BOGOTÁ")</f>
        <v>BOGOTÁ</v>
      </c>
      <c r="E1835" s="15" t="str">
        <f>IFERROR(__xludf.DUMMYFUNCTION("""COMPUTED_VALUE"""),"Evamazzita")</f>
        <v>Evamazzita</v>
      </c>
      <c r="F1835" s="17" t="str">
        <f>IFERROR(__xludf.DUMMYFUNCTION("""COMPUTED_VALUE"""),"CALI: cra 89# 18-61  / casa 81  / villas de san joaquin 1")</f>
        <v>CALI: cra 89# 18-61  / casa 81  / villas de san joaquin 1</v>
      </c>
      <c r="G1835" s="15" t="str">
        <f>IFERROR(__xludf.DUMMYFUNCTION("""COMPUTED_VALUE"""),"TATIANA GONZALEZ")</f>
        <v>TATIANA GONZALEZ</v>
      </c>
      <c r="H1835" s="16">
        <f>IFERROR(__xludf.DUMMYFUNCTION("""COMPUTED_VALUE"""),10458.0)</f>
        <v>10458</v>
      </c>
      <c r="I1835" s="18">
        <f>IFERROR(__xludf.DUMMYFUNCTION("""COMPUTED_VALUE"""),3.0)</f>
        <v>3</v>
      </c>
      <c r="J1835" s="18">
        <f>IFERROR(__xludf.DUMMYFUNCTION("""COMPUTED_VALUE"""),20.0)</f>
        <v>20</v>
      </c>
      <c r="K1835" s="18">
        <f>IFERROR(__xludf.DUMMYFUNCTION("""COMPUTED_VALUE"""),15.0)</f>
        <v>15</v>
      </c>
      <c r="L1835" s="17">
        <f>IFERROR(__xludf.DUMMYFUNCTION("""COMPUTED_VALUE"""),3.104643005E9)</f>
        <v>3104643005</v>
      </c>
      <c r="M1835" s="17" t="str">
        <f>IFERROR(__xludf.DUMMYFUNCTION("""COMPUTED_VALUE"""),"#REF!")</f>
        <v>#REF!</v>
      </c>
      <c r="N1835" s="17"/>
      <c r="O1835" s="17"/>
      <c r="P1835" s="17" t="b">
        <f>IFERROR(__xludf.DUMMYFUNCTION("""COMPUTED_VALUE"""),FALSE)</f>
        <v>0</v>
      </c>
      <c r="Q1835" s="20" t="str">
        <f>IFERROR(__xludf.DUMMYFUNCTION("""COMPUTED_VALUE"""),"")</f>
        <v/>
      </c>
      <c r="R1835" s="22" t="str">
        <f>IFERROR(__xludf.DUMMYFUNCTION("""COMPUTED_VALUE"""),"")</f>
        <v/>
      </c>
    </row>
    <row r="1836">
      <c r="A1836" s="15">
        <f>IFERROR(__xludf.DUMMYFUNCTION("""COMPUTED_VALUE"""),45055.0)</f>
        <v>45055</v>
      </c>
      <c r="B1836" s="16" t="str">
        <f>IFERROR(__xludf.DUMMYFUNCTION("""COMPUTED_VALUE"""),"Envia")</f>
        <v>Envia</v>
      </c>
      <c r="C1836" s="15" t="str">
        <f>IFERROR(__xludf.DUMMYFUNCTION("""COMPUTED_VALUE"""),"CALI")</f>
        <v>CALI</v>
      </c>
      <c r="D1836" s="15" t="str">
        <f>IFERROR(__xludf.DUMMYFUNCTION("""COMPUTED_VALUE"""),"BOGOTÁ")</f>
        <v>BOGOTÁ</v>
      </c>
      <c r="E1836" s="15" t="str">
        <f>IFERROR(__xludf.DUMMYFUNCTION("""COMPUTED_VALUE"""),"Loomifoods")</f>
        <v>Loomifoods</v>
      </c>
      <c r="F1836" s="17" t="str">
        <f>IFERROR(__xludf.DUMMYFUNCTION("""COMPUTED_VALUE"""),"Calle 15b no. 4n - 114 / Casa / Yumbo")</f>
        <v>Calle 15b no. 4n - 114 / Casa / Yumbo</v>
      </c>
      <c r="G1836" s="15" t="str">
        <f>IFERROR(__xludf.DUMMYFUNCTION("""COMPUTED_VALUE"""),"Katherin Gallego")</f>
        <v>Katherin Gallego</v>
      </c>
      <c r="H1836" s="16">
        <f>IFERROR(__xludf.DUMMYFUNCTION("""COMPUTED_VALUE"""),10484.0)</f>
        <v>10484</v>
      </c>
      <c r="I1836" s="18">
        <f>IFERROR(__xludf.DUMMYFUNCTION("""COMPUTED_VALUE"""),20.0)</f>
        <v>20</v>
      </c>
      <c r="J1836" s="18">
        <f>IFERROR(__xludf.DUMMYFUNCTION("""COMPUTED_VALUE"""),10.0)</f>
        <v>10</v>
      </c>
      <c r="K1836" s="18">
        <f>IFERROR(__xludf.DUMMYFUNCTION("""COMPUTED_VALUE"""),16.0)</f>
        <v>16</v>
      </c>
      <c r="L1836" s="17">
        <f>IFERROR(__xludf.DUMMYFUNCTION("""COMPUTED_VALUE"""),3.145260443E9)</f>
        <v>3145260443</v>
      </c>
      <c r="M1836" s="17" t="str">
        <f>IFERROR(__xludf.DUMMYFUNCTION("""COMPUTED_VALUE"""),"#REF!")</f>
        <v>#REF!</v>
      </c>
      <c r="N1836" s="17"/>
      <c r="O1836" s="17"/>
      <c r="P1836" s="17" t="b">
        <f>IFERROR(__xludf.DUMMYFUNCTION("""COMPUTED_VALUE"""),FALSE)</f>
        <v>0</v>
      </c>
      <c r="Q1836" s="20" t="str">
        <f>IFERROR(__xludf.DUMMYFUNCTION("""COMPUTED_VALUE"""),"")</f>
        <v/>
      </c>
      <c r="R1836" s="22" t="str">
        <f>IFERROR(__xludf.DUMMYFUNCTION("""COMPUTED_VALUE"""),"")</f>
        <v/>
      </c>
    </row>
    <row r="1837">
      <c r="A1837" s="15">
        <f>IFERROR(__xludf.DUMMYFUNCTION("""COMPUTED_VALUE"""),45055.0)</f>
        <v>45055</v>
      </c>
      <c r="B1837" s="16" t="str">
        <f>IFERROR(__xludf.DUMMYFUNCTION("""COMPUTED_VALUE"""),"Envia")</f>
        <v>Envia</v>
      </c>
      <c r="C1837" s="15" t="str">
        <f>IFERROR(__xludf.DUMMYFUNCTION("""COMPUTED_VALUE"""),"CALI")</f>
        <v>CALI</v>
      </c>
      <c r="D1837" s="15" t="str">
        <f>IFERROR(__xludf.DUMMYFUNCTION("""COMPUTED_VALUE"""),"BOGOTÁ")</f>
        <v>BOGOTÁ</v>
      </c>
      <c r="E1837" s="15" t="str">
        <f>IFERROR(__xludf.DUMMYFUNCTION("""COMPUTED_VALUE"""),"Loomifoods")</f>
        <v>Loomifoods</v>
      </c>
      <c r="F1837" s="17" t="str">
        <f>IFERROR(__xludf.DUMMYFUNCTION("""COMPUTED_VALUE"""),"Calle 5 no. 80 - 00 / Hospital Psiquiatrico Universitario del Valle / Cali")</f>
        <v>Calle 5 no. 80 - 00 / Hospital Psiquiatrico Universitario del Valle / Cali</v>
      </c>
      <c r="G1837" s="15" t="str">
        <f>IFERROR(__xludf.DUMMYFUNCTION("""COMPUTED_VALUE"""),"Claudia Ramirez Toscano")</f>
        <v>Claudia Ramirez Toscano</v>
      </c>
      <c r="H1837" s="16">
        <f>IFERROR(__xludf.DUMMYFUNCTION("""COMPUTED_VALUE"""),10487.0)</f>
        <v>10487</v>
      </c>
      <c r="I1837" s="18">
        <f>IFERROR(__xludf.DUMMYFUNCTION("""COMPUTED_VALUE"""),20.0)</f>
        <v>20</v>
      </c>
      <c r="J1837" s="18">
        <f>IFERROR(__xludf.DUMMYFUNCTION("""COMPUTED_VALUE"""),10.0)</f>
        <v>10</v>
      </c>
      <c r="K1837" s="18">
        <f>IFERROR(__xludf.DUMMYFUNCTION("""COMPUTED_VALUE"""),16.0)</f>
        <v>16</v>
      </c>
      <c r="L1837" s="17">
        <f>IFERROR(__xludf.DUMMYFUNCTION("""COMPUTED_VALUE"""),3.104065707E9)</f>
        <v>3104065707</v>
      </c>
      <c r="M1837" s="17" t="str">
        <f>IFERROR(__xludf.DUMMYFUNCTION("""COMPUTED_VALUE"""),"#REF!")</f>
        <v>#REF!</v>
      </c>
      <c r="N1837" s="17"/>
      <c r="O1837" s="17"/>
      <c r="P1837" s="17" t="b">
        <f>IFERROR(__xludf.DUMMYFUNCTION("""COMPUTED_VALUE"""),FALSE)</f>
        <v>0</v>
      </c>
      <c r="Q1837" s="20" t="str">
        <f>IFERROR(__xludf.DUMMYFUNCTION("""COMPUTED_VALUE"""),"")</f>
        <v/>
      </c>
      <c r="R1837" s="22" t="str">
        <f>IFERROR(__xludf.DUMMYFUNCTION("""COMPUTED_VALUE"""),"")</f>
        <v/>
      </c>
    </row>
    <row r="1838">
      <c r="A1838" s="15">
        <f>IFERROR(__xludf.DUMMYFUNCTION("""COMPUTED_VALUE"""),45055.0)</f>
        <v>45055</v>
      </c>
      <c r="B1838" s="16" t="str">
        <f>IFERROR(__xludf.DUMMYFUNCTION("""COMPUTED_VALUE"""),"Envia")</f>
        <v>Envia</v>
      </c>
      <c r="C1838" s="15" t="str">
        <f>IFERROR(__xludf.DUMMYFUNCTION("""COMPUTED_VALUE"""),"CALI")</f>
        <v>CALI</v>
      </c>
      <c r="D1838" s="15" t="str">
        <f>IFERROR(__xludf.DUMMYFUNCTION("""COMPUTED_VALUE"""),"BOGOTÁ")</f>
        <v>BOGOTÁ</v>
      </c>
      <c r="E1838" s="15" t="str">
        <f>IFERROR(__xludf.DUMMYFUNCTION("""COMPUTED_VALUE"""),"Pan de Waffle")</f>
        <v>Pan de Waffle</v>
      </c>
      <c r="F1838" s="17" t="str">
        <f>IFERROR(__xludf.DUMMYFUNCTION("""COMPUTED_VALUE"""),"Calle 34 Norte # 2bn - 33 Luz Helena Gomez / Calle 34 Norte # 2bn - 33 Luz Helena Gomez / Calle 34 Norte # 2bn - 33 Luz Helena Gomez")</f>
        <v>Calle 34 Norte # 2bn - 33 Luz Helena Gomez / Calle 34 Norte # 2bn - 33 Luz Helena Gomez / Calle 34 Norte # 2bn - 33 Luz Helena Gomez</v>
      </c>
      <c r="G1838" s="15" t="str">
        <f>IFERROR(__xludf.DUMMYFUNCTION("""COMPUTED_VALUE"""),"FOODOLOGY CALI")</f>
        <v>FOODOLOGY CALI</v>
      </c>
      <c r="H1838" s="16">
        <f>IFERROR(__xludf.DUMMYFUNCTION("""COMPUTED_VALUE"""),10472.0)</f>
        <v>10472</v>
      </c>
      <c r="I1838" s="18">
        <f>IFERROR(__xludf.DUMMYFUNCTION("""COMPUTED_VALUE"""),40.0)</f>
        <v>40</v>
      </c>
      <c r="J1838" s="18">
        <f>IFERROR(__xludf.DUMMYFUNCTION("""COMPUTED_VALUE"""),30.0)</f>
        <v>30</v>
      </c>
      <c r="K1838" s="18">
        <f>IFERROR(__xludf.DUMMYFUNCTION("""COMPUTED_VALUE"""),40.0)</f>
        <v>40</v>
      </c>
      <c r="L1838" s="17">
        <f>IFERROR(__xludf.DUMMYFUNCTION("""COMPUTED_VALUE"""),3.148159112E9)</f>
        <v>3148159112</v>
      </c>
      <c r="M1838" s="17" t="str">
        <f>IFERROR(__xludf.DUMMYFUNCTION("""COMPUTED_VALUE"""),"#REF!")</f>
        <v>#REF!</v>
      </c>
      <c r="N1838" s="17"/>
      <c r="O1838" s="17"/>
      <c r="P1838" s="17" t="b">
        <f>IFERROR(__xludf.DUMMYFUNCTION("""COMPUTED_VALUE"""),FALSE)</f>
        <v>0</v>
      </c>
      <c r="Q1838" s="20" t="str">
        <f>IFERROR(__xludf.DUMMYFUNCTION("""COMPUTED_VALUE"""),"")</f>
        <v/>
      </c>
      <c r="R1838" s="22" t="str">
        <f>IFERROR(__xludf.DUMMYFUNCTION("""COMPUTED_VALUE"""),"")</f>
        <v/>
      </c>
    </row>
    <row r="1839">
      <c r="A1839" s="15">
        <f>IFERROR(__xludf.DUMMYFUNCTION("""COMPUTED_VALUE"""),45055.0)</f>
        <v>45055</v>
      </c>
      <c r="B1839" s="16" t="str">
        <f>IFERROR(__xludf.DUMMYFUNCTION("""COMPUTED_VALUE"""),"Envia")</f>
        <v>Envia</v>
      </c>
      <c r="C1839" s="15" t="str">
        <f>IFERROR(__xludf.DUMMYFUNCTION("""COMPUTED_VALUE"""),"FLORIDABLANCA")</f>
        <v>FLORIDABLANCA</v>
      </c>
      <c r="D1839" s="15" t="str">
        <f>IFERROR(__xludf.DUMMYFUNCTION("""COMPUTED_VALUE"""),"BOGOTÁ")</f>
        <v>BOGOTÁ</v>
      </c>
      <c r="E1839" s="15" t="str">
        <f>IFERROR(__xludf.DUMMYFUNCTION("""COMPUTED_VALUE"""),"Lunchy Kids")</f>
        <v>Lunchy Kids</v>
      </c>
      <c r="F1839" s="17" t="str">
        <f>IFERROR(__xludf.DUMMYFUNCTION("""COMPUTED_VALUE"""),"Calle 195 #27-156  / Bellomonte Apto 1702 T1, frente colegio Agustiniano  / Floridablanca")</f>
        <v>Calle 195 #27-156  / Bellomonte Apto 1702 T1, frente colegio Agustiniano  / Floridablanca</v>
      </c>
      <c r="G1839" s="15" t="str">
        <f>IFERROR(__xludf.DUMMYFUNCTION("""COMPUTED_VALUE"""),"DAYANY HERRERA Floridablanca SAN Colombia")</f>
        <v>DAYANY HERRERA Floridablanca SAN Colombia</v>
      </c>
      <c r="H1839" s="16">
        <f>IFERROR(__xludf.DUMMYFUNCTION("""COMPUTED_VALUE"""),10430.0)</f>
        <v>10430</v>
      </c>
      <c r="I1839" s="18">
        <f>IFERROR(__xludf.DUMMYFUNCTION("""COMPUTED_VALUE"""),20.0)</f>
        <v>20</v>
      </c>
      <c r="J1839" s="18">
        <f>IFERROR(__xludf.DUMMYFUNCTION("""COMPUTED_VALUE"""),11.0)</f>
        <v>11</v>
      </c>
      <c r="K1839" s="18">
        <f>IFERROR(__xludf.DUMMYFUNCTION("""COMPUTED_VALUE"""),29.0)</f>
        <v>29</v>
      </c>
      <c r="L1839" s="17">
        <f>IFERROR(__xludf.DUMMYFUNCTION("""COMPUTED_VALUE"""),3.147345955E9)</f>
        <v>3147345955</v>
      </c>
      <c r="M1839" s="17" t="str">
        <f>IFERROR(__xludf.DUMMYFUNCTION("""COMPUTED_VALUE"""),"#REF!")</f>
        <v>#REF!</v>
      </c>
      <c r="N1839" s="17"/>
      <c r="O1839" s="17"/>
      <c r="P1839" s="17" t="b">
        <f>IFERROR(__xludf.DUMMYFUNCTION("""COMPUTED_VALUE"""),FALSE)</f>
        <v>0</v>
      </c>
      <c r="Q1839" s="20" t="str">
        <f>IFERROR(__xludf.DUMMYFUNCTION("""COMPUTED_VALUE"""),"")</f>
        <v/>
      </c>
      <c r="R1839" s="22" t="str">
        <f>IFERROR(__xludf.DUMMYFUNCTION("""COMPUTED_VALUE"""),"")</f>
        <v/>
      </c>
    </row>
    <row r="1840">
      <c r="A1840" s="15">
        <f>IFERROR(__xludf.DUMMYFUNCTION("""COMPUTED_VALUE"""),45055.0)</f>
        <v>45055</v>
      </c>
      <c r="B1840" s="16" t="str">
        <f>IFERROR(__xludf.DUMMYFUNCTION("""COMPUTED_VALUE"""),"Envia")</f>
        <v>Envia</v>
      </c>
      <c r="C1840" s="15" t="str">
        <f>IFERROR(__xludf.DUMMYFUNCTION("""COMPUTED_VALUE"""),"FUNZA")</f>
        <v>FUNZA</v>
      </c>
      <c r="D1840" s="15" t="str">
        <f>IFERROR(__xludf.DUMMYFUNCTION("""COMPUTED_VALUE"""),"MANIZALES")</f>
        <v>MANIZALES</v>
      </c>
      <c r="E1840" s="15" t="str">
        <f>IFERROR(__xludf.DUMMYFUNCTION("""COMPUTED_VALUE"""),"Congelados Típicos")</f>
        <v>Congelados Típicos</v>
      </c>
      <c r="F1840" s="17" t="str">
        <f>IFERROR(__xludf.DUMMYFUNCTION("""COMPUTED_VALUE"""),"Autopista Medellín Vía Siberia - La Vega Km 7 Parque industrial Interpark lote 79 Frubana-Red Polar / Parque industrial Interpark lote 79 Frubana-Red Polar / Autopista Bogota Medellin - Funza")</f>
        <v>Autopista Medellín Vía Siberia - La Vega Km 7 Parque industrial Interpark lote 79 Frubana-Red Polar / Parque industrial Interpark lote 79 Frubana-Red Polar / Autopista Bogota Medellin - Funza</v>
      </c>
      <c r="G1840" s="15" t="str">
        <f>IFERROR(__xludf.DUMMYFUNCTION("""COMPUTED_VALUE"""),"FRUBANA S.A.S")</f>
        <v>FRUBANA S.A.S</v>
      </c>
      <c r="H1840" s="16">
        <f>IFERROR(__xludf.DUMMYFUNCTION("""COMPUTED_VALUE"""),10444.0)</f>
        <v>10444</v>
      </c>
      <c r="I1840" s="18" t="str">
        <f>IFERROR(__xludf.DUMMYFUNCTION("""COMPUTED_VALUE"""),"52.5")</f>
        <v>52.5</v>
      </c>
      <c r="J1840" s="18">
        <f>IFERROR(__xludf.DUMMYFUNCTION("""COMPUTED_VALUE"""),55.0)</f>
        <v>55</v>
      </c>
      <c r="K1840" s="18">
        <f>IFERROR(__xludf.DUMMYFUNCTION("""COMPUTED_VALUE"""),45.0)</f>
        <v>45</v>
      </c>
      <c r="L1840" s="17">
        <f>IFERROR(__xludf.DUMMYFUNCTION("""COMPUTED_VALUE"""),3.186187006E9)</f>
        <v>3186187006</v>
      </c>
      <c r="M1840" s="17" t="str">
        <f>IFERROR(__xludf.DUMMYFUNCTION("""COMPUTED_VALUE"""),"#REF!")</f>
        <v>#REF!</v>
      </c>
      <c r="N1840" s="17"/>
      <c r="O1840" s="17"/>
      <c r="P1840" s="17" t="b">
        <f>IFERROR(__xludf.DUMMYFUNCTION("""COMPUTED_VALUE"""),FALSE)</f>
        <v>0</v>
      </c>
      <c r="Q1840" s="20" t="str">
        <f>IFERROR(__xludf.DUMMYFUNCTION("""COMPUTED_VALUE"""),"")</f>
        <v/>
      </c>
      <c r="R1840" s="22" t="str">
        <f>IFERROR(__xludf.DUMMYFUNCTION("""COMPUTED_VALUE"""),"")</f>
        <v/>
      </c>
    </row>
    <row r="1841">
      <c r="A1841" s="15">
        <f>IFERROR(__xludf.DUMMYFUNCTION("""COMPUTED_VALUE"""),45055.0)</f>
        <v>45055</v>
      </c>
      <c r="B1841" s="16" t="str">
        <f>IFERROR(__xludf.DUMMYFUNCTION("""COMPUTED_VALUE"""),"Envia")</f>
        <v>Envia</v>
      </c>
      <c r="C1841" s="15" t="str">
        <f>IFERROR(__xludf.DUMMYFUNCTION("""COMPUTED_VALUE"""),"FUNZA")</f>
        <v>FUNZA</v>
      </c>
      <c r="D1841" s="15" t="str">
        <f>IFERROR(__xludf.DUMMYFUNCTION("""COMPUTED_VALUE"""),"MANIZALES")</f>
        <v>MANIZALES</v>
      </c>
      <c r="E1841" s="15" t="str">
        <f>IFERROR(__xludf.DUMMYFUNCTION("""COMPUTED_VALUE"""),"Congelados Típicos")</f>
        <v>Congelados Típicos</v>
      </c>
      <c r="F1841" s="17" t="str">
        <f>IFERROR(__xludf.DUMMYFUNCTION("""COMPUTED_VALUE"""),"Autopista Medellín Vía Siberia - La Vega Km 7 Parque industrial Interpark lote 79 Frubana-Red Polar / Parque industrial Interpark lote 79 Frubana-Red Polar / Autopista Bogota Medellin - Funza")</f>
        <v>Autopista Medellín Vía Siberia - La Vega Km 7 Parque industrial Interpark lote 79 Frubana-Red Polar / Parque industrial Interpark lote 79 Frubana-Red Polar / Autopista Bogota Medellin - Funza</v>
      </c>
      <c r="G1841" s="15" t="str">
        <f>IFERROR(__xludf.DUMMYFUNCTION("""COMPUTED_VALUE"""),"FRUBANA S.A.S")</f>
        <v>FRUBANA S.A.S</v>
      </c>
      <c r="H1841" s="16">
        <f>IFERROR(__xludf.DUMMYFUNCTION("""COMPUTED_VALUE"""),10446.0)</f>
        <v>10446</v>
      </c>
      <c r="I1841" s="18" t="str">
        <f>IFERROR(__xludf.DUMMYFUNCTION("""COMPUTED_VALUE"""),"52.5")</f>
        <v>52.5</v>
      </c>
      <c r="J1841" s="18">
        <f>IFERROR(__xludf.DUMMYFUNCTION("""COMPUTED_VALUE"""),55.0)</f>
        <v>55</v>
      </c>
      <c r="K1841" s="18">
        <f>IFERROR(__xludf.DUMMYFUNCTION("""COMPUTED_VALUE"""),45.0)</f>
        <v>45</v>
      </c>
      <c r="L1841" s="17">
        <f>IFERROR(__xludf.DUMMYFUNCTION("""COMPUTED_VALUE"""),3.186187006E9)</f>
        <v>3186187006</v>
      </c>
      <c r="M1841" s="17" t="str">
        <f>IFERROR(__xludf.DUMMYFUNCTION("""COMPUTED_VALUE"""),"#REF!")</f>
        <v>#REF!</v>
      </c>
      <c r="N1841" s="17"/>
      <c r="O1841" s="17"/>
      <c r="P1841" s="17" t="b">
        <f>IFERROR(__xludf.DUMMYFUNCTION("""COMPUTED_VALUE"""),FALSE)</f>
        <v>0</v>
      </c>
      <c r="Q1841" s="20" t="str">
        <f>IFERROR(__xludf.DUMMYFUNCTION("""COMPUTED_VALUE"""),"")</f>
        <v/>
      </c>
      <c r="R1841" s="22" t="str">
        <f>IFERROR(__xludf.DUMMYFUNCTION("""COMPUTED_VALUE"""),"")</f>
        <v/>
      </c>
    </row>
    <row r="1842">
      <c r="A1842" s="15">
        <f>IFERROR(__xludf.DUMMYFUNCTION("""COMPUTED_VALUE"""),45055.0)</f>
        <v>45055</v>
      </c>
      <c r="B1842" s="16" t="str">
        <f>IFERROR(__xludf.DUMMYFUNCTION("""COMPUTED_VALUE"""),"Envia")</f>
        <v>Envia</v>
      </c>
      <c r="C1842" s="15" t="str">
        <f>IFERROR(__xludf.DUMMYFUNCTION("""COMPUTED_VALUE"""),"IBAGUÉ")</f>
        <v>IBAGUÉ</v>
      </c>
      <c r="D1842" s="15" t="str">
        <f>IFERROR(__xludf.DUMMYFUNCTION("""COMPUTED_VALUE"""),"BOGOTÁ")</f>
        <v>BOGOTÁ</v>
      </c>
      <c r="E1842" s="15" t="str">
        <f>IFERROR(__xludf.DUMMYFUNCTION("""COMPUTED_VALUE"""),"Asociacion Agropecuaria Juana Maria")</f>
        <v>Asociacion Agropecuaria Juana Maria</v>
      </c>
      <c r="F1842" s="17" t="str">
        <f>IFERROR(__xludf.DUMMYFUNCTION("""COMPUTED_VALUE"""),"Calle 93 # 7 Sur-90 torre 8 apto 102 Conjunto Residencial Altagracia")</f>
        <v>Calle 93 # 7 Sur-90 torre 8 apto 102 Conjunto Residencial Altagracia</v>
      </c>
      <c r="G1842" s="15" t="str">
        <f>IFERROR(__xludf.DUMMYFUNCTION("""COMPUTED_VALUE"""),"Mariam Yasmin Murillo Rubio")</f>
        <v>Mariam Yasmin Murillo Rubio</v>
      </c>
      <c r="H1842" s="16">
        <f>IFERROR(__xludf.DUMMYFUNCTION("""COMPUTED_VALUE"""),10411.0)</f>
        <v>10411</v>
      </c>
      <c r="I1842" s="18">
        <f>IFERROR(__xludf.DUMMYFUNCTION("""COMPUTED_VALUE"""),21.0)</f>
        <v>21</v>
      </c>
      <c r="J1842" s="18">
        <f>IFERROR(__xludf.DUMMYFUNCTION("""COMPUTED_VALUE"""),37.0)</f>
        <v>37</v>
      </c>
      <c r="K1842" s="18">
        <f>IFERROR(__xludf.DUMMYFUNCTION("""COMPUTED_VALUE"""),30.0)</f>
        <v>30</v>
      </c>
      <c r="L1842" s="17">
        <f>IFERROR(__xludf.DUMMYFUNCTION("""COMPUTED_VALUE"""),3.105789664E9)</f>
        <v>3105789664</v>
      </c>
      <c r="M1842" s="17" t="str">
        <f>IFERROR(__xludf.DUMMYFUNCTION("""COMPUTED_VALUE"""),"#REF!")</f>
        <v>#REF!</v>
      </c>
      <c r="N1842" s="17"/>
      <c r="O1842" s="17"/>
      <c r="P1842" s="17" t="b">
        <f>IFERROR(__xludf.DUMMYFUNCTION("""COMPUTED_VALUE"""),FALSE)</f>
        <v>0</v>
      </c>
      <c r="Q1842" s="20" t="str">
        <f>IFERROR(__xludf.DUMMYFUNCTION("""COMPUTED_VALUE"""),"")</f>
        <v/>
      </c>
      <c r="R1842" s="22" t="str">
        <f>IFERROR(__xludf.DUMMYFUNCTION("""COMPUTED_VALUE"""),"")</f>
        <v/>
      </c>
    </row>
    <row r="1843">
      <c r="A1843" s="15">
        <f>IFERROR(__xludf.DUMMYFUNCTION("""COMPUTED_VALUE"""),45055.0)</f>
        <v>45055</v>
      </c>
      <c r="B1843" s="16" t="str">
        <f>IFERROR(__xludf.DUMMYFUNCTION("""COMPUTED_VALUE"""),"Envia")</f>
        <v>Envia</v>
      </c>
      <c r="C1843" s="15" t="str">
        <f>IFERROR(__xludf.DUMMYFUNCTION("""COMPUTED_VALUE"""),"MANIZALES")</f>
        <v>MANIZALES</v>
      </c>
      <c r="D1843" s="15" t="str">
        <f>IFERROR(__xludf.DUMMYFUNCTION("""COMPUTED_VALUE"""),"BOGOTÁ")</f>
        <v>BOGOTÁ</v>
      </c>
      <c r="E1843" s="15" t="str">
        <f>IFERROR(__xludf.DUMMYFUNCTION("""COMPUTED_VALUE"""),"Evamazzita")</f>
        <v>Evamazzita</v>
      </c>
      <c r="F1843" s="17" t="str">
        <f>IFERROR(__xludf.DUMMYFUNCTION("""COMPUTED_VALUE"""),"MANIZALES: CRA 6A No. 10A - 06  /  edificio martha lucia apto 301 / CHIPRE VIEJO")</f>
        <v>MANIZALES: CRA 6A No. 10A - 06  /  edificio martha lucia apto 301 / CHIPRE VIEJO</v>
      </c>
      <c r="G1843" s="15" t="str">
        <f>IFERROR(__xludf.DUMMYFUNCTION("""COMPUTED_VALUE"""),"JULIANA GIRALDO")</f>
        <v>JULIANA GIRALDO</v>
      </c>
      <c r="H1843" s="16">
        <f>IFERROR(__xludf.DUMMYFUNCTION("""COMPUTED_VALUE"""),10433.0)</f>
        <v>10433</v>
      </c>
      <c r="I1843" s="18">
        <f>IFERROR(__xludf.DUMMYFUNCTION("""COMPUTED_VALUE"""),21.0)</f>
        <v>21</v>
      </c>
      <c r="J1843" s="18">
        <f>IFERROR(__xludf.DUMMYFUNCTION("""COMPUTED_VALUE"""),22.0)</f>
        <v>22</v>
      </c>
      <c r="K1843" s="18">
        <f>IFERROR(__xludf.DUMMYFUNCTION("""COMPUTED_VALUE"""),23.0)</f>
        <v>23</v>
      </c>
      <c r="L1843" s="17">
        <f>IFERROR(__xludf.DUMMYFUNCTION("""COMPUTED_VALUE"""),3.02415322E9)</f>
        <v>3024153220</v>
      </c>
      <c r="M1843" s="17" t="str">
        <f>IFERROR(__xludf.DUMMYFUNCTION("""COMPUTED_VALUE"""),"#REF!")</f>
        <v>#REF!</v>
      </c>
      <c r="N1843" s="17"/>
      <c r="O1843" s="17"/>
      <c r="P1843" s="17" t="b">
        <f>IFERROR(__xludf.DUMMYFUNCTION("""COMPUTED_VALUE"""),FALSE)</f>
        <v>0</v>
      </c>
      <c r="Q1843" s="20" t="str">
        <f>IFERROR(__xludf.DUMMYFUNCTION("""COMPUTED_VALUE"""),"")</f>
        <v/>
      </c>
      <c r="R1843" s="22" t="str">
        <f>IFERROR(__xludf.DUMMYFUNCTION("""COMPUTED_VALUE"""),"")</f>
        <v/>
      </c>
    </row>
    <row r="1844">
      <c r="A1844" s="15">
        <f>IFERROR(__xludf.DUMMYFUNCTION("""COMPUTED_VALUE"""),45055.0)</f>
        <v>45055</v>
      </c>
      <c r="B1844" s="16" t="str">
        <f>IFERROR(__xludf.DUMMYFUNCTION("""COMPUTED_VALUE"""),"Envia")</f>
        <v>Envia</v>
      </c>
      <c r="C1844" s="15" t="str">
        <f>IFERROR(__xludf.DUMMYFUNCTION("""COMPUTED_VALUE"""),"MANIZALES")</f>
        <v>MANIZALES</v>
      </c>
      <c r="D1844" s="15" t="str">
        <f>IFERROR(__xludf.DUMMYFUNCTION("""COMPUTED_VALUE"""),"BOGOTÁ")</f>
        <v>BOGOTÁ</v>
      </c>
      <c r="E1844" s="15" t="str">
        <f>IFERROR(__xludf.DUMMYFUNCTION("""COMPUTED_VALUE"""),"Loomifoods")</f>
        <v>Loomifoods</v>
      </c>
      <c r="F1844" s="17" t="str">
        <f>IFERROR(__xludf.DUMMYFUNCTION("""COMPUTED_VALUE"""),"Calle 85 no. 25 - 120 / Reserva de Hungría, Apto 1402 / Manizales")</f>
        <v>Calle 85 no. 25 - 120 / Reserva de Hungría, Apto 1402 / Manizales</v>
      </c>
      <c r="G1844" s="15" t="str">
        <f>IFERROR(__xludf.DUMMYFUNCTION("""COMPUTED_VALUE"""),"Manuela Giraldo")</f>
        <v>Manuela Giraldo</v>
      </c>
      <c r="H1844" s="16">
        <f>IFERROR(__xludf.DUMMYFUNCTION("""COMPUTED_VALUE"""),10480.0)</f>
        <v>10480</v>
      </c>
      <c r="I1844" s="18">
        <f>IFERROR(__xludf.DUMMYFUNCTION("""COMPUTED_VALUE"""),20.0)</f>
        <v>20</v>
      </c>
      <c r="J1844" s="18">
        <f>IFERROR(__xludf.DUMMYFUNCTION("""COMPUTED_VALUE"""),10.0)</f>
        <v>10</v>
      </c>
      <c r="K1844" s="18">
        <f>IFERROR(__xludf.DUMMYFUNCTION("""COMPUTED_VALUE"""),16.0)</f>
        <v>16</v>
      </c>
      <c r="L1844" s="17">
        <f>IFERROR(__xludf.DUMMYFUNCTION("""COMPUTED_VALUE"""),3.128320753E9)</f>
        <v>3128320753</v>
      </c>
      <c r="M1844" s="17" t="str">
        <f>IFERROR(__xludf.DUMMYFUNCTION("""COMPUTED_VALUE"""),"#REF!")</f>
        <v>#REF!</v>
      </c>
      <c r="N1844" s="17"/>
      <c r="O1844" s="17"/>
      <c r="P1844" s="17" t="b">
        <f>IFERROR(__xludf.DUMMYFUNCTION("""COMPUTED_VALUE"""),FALSE)</f>
        <v>0</v>
      </c>
      <c r="Q1844" s="20" t="str">
        <f>IFERROR(__xludf.DUMMYFUNCTION("""COMPUTED_VALUE"""),"")</f>
        <v/>
      </c>
      <c r="R1844" s="22" t="str">
        <f>IFERROR(__xludf.DUMMYFUNCTION("""COMPUTED_VALUE"""),"")</f>
        <v/>
      </c>
    </row>
    <row r="1845">
      <c r="A1845" s="15">
        <f>IFERROR(__xludf.DUMMYFUNCTION("""COMPUTED_VALUE"""),45055.0)</f>
        <v>45055</v>
      </c>
      <c r="B1845" s="16" t="str">
        <f>IFERROR(__xludf.DUMMYFUNCTION("""COMPUTED_VALUE"""),"Envia")</f>
        <v>Envia</v>
      </c>
      <c r="C1845" s="15" t="str">
        <f>IFERROR(__xludf.DUMMYFUNCTION("""COMPUTED_VALUE"""),"MANIZALES")</f>
        <v>MANIZALES</v>
      </c>
      <c r="D1845" s="15" t="str">
        <f>IFERROR(__xludf.DUMMYFUNCTION("""COMPUTED_VALUE"""),"MEDELLÍN")</f>
        <v>MEDELLÍN</v>
      </c>
      <c r="E1845" s="15" t="str">
        <f>IFERROR(__xludf.DUMMYFUNCTION("""COMPUTED_VALUE"""),"Todo Bufala")</f>
        <v>Todo Bufala</v>
      </c>
      <c r="F1845" s="17" t="str">
        <f>IFERROR(__xludf.DUMMYFUNCTION("""COMPUTED_VALUE"""),"Call 66 23b-11 / Edifico calle larga, local 5c")</f>
        <v>Call 66 23b-11 / Edifico calle larga, local 5c</v>
      </c>
      <c r="G1845" s="15" t="str">
        <f>IFERROR(__xludf.DUMMYFUNCTION("""COMPUTED_VALUE"""),"Sebastian Perez")</f>
        <v>Sebastian Perez</v>
      </c>
      <c r="H1845" s="16">
        <f>IFERROR(__xludf.DUMMYFUNCTION("""COMPUTED_VALUE"""),10403.0)</f>
        <v>10403</v>
      </c>
      <c r="I1845" s="18">
        <f>IFERROR(__xludf.DUMMYFUNCTION("""COMPUTED_VALUE"""),40.0)</f>
        <v>40</v>
      </c>
      <c r="J1845" s="18">
        <f>IFERROR(__xludf.DUMMYFUNCTION("""COMPUTED_VALUE"""),30.0)</f>
        <v>30</v>
      </c>
      <c r="K1845" s="18">
        <f>IFERROR(__xludf.DUMMYFUNCTION("""COMPUTED_VALUE"""),20.0)</f>
        <v>20</v>
      </c>
      <c r="L1845" s="17"/>
      <c r="M1845" s="17" t="str">
        <f>IFERROR(__xludf.DUMMYFUNCTION("""COMPUTED_VALUE"""),"#REF!")</f>
        <v>#REF!</v>
      </c>
      <c r="N1845" s="17"/>
      <c r="O1845" s="17"/>
      <c r="P1845" s="17" t="b">
        <f>IFERROR(__xludf.DUMMYFUNCTION("""COMPUTED_VALUE"""),FALSE)</f>
        <v>0</v>
      </c>
      <c r="Q1845" s="20" t="str">
        <f>IFERROR(__xludf.DUMMYFUNCTION("""COMPUTED_VALUE"""),"")</f>
        <v/>
      </c>
      <c r="R1845" s="22" t="str">
        <f>IFERROR(__xludf.DUMMYFUNCTION("""COMPUTED_VALUE"""),"")</f>
        <v/>
      </c>
    </row>
    <row r="1846">
      <c r="A1846" s="15">
        <f>IFERROR(__xludf.DUMMYFUNCTION("""COMPUTED_VALUE"""),45055.0)</f>
        <v>45055</v>
      </c>
      <c r="B1846" s="16" t="str">
        <f>IFERROR(__xludf.DUMMYFUNCTION("""COMPUTED_VALUE"""),"Envia")</f>
        <v>Envia</v>
      </c>
      <c r="C1846" s="15" t="str">
        <f>IFERROR(__xludf.DUMMYFUNCTION("""COMPUTED_VALUE"""),"MEDELLÍN")</f>
        <v>MEDELLÍN</v>
      </c>
      <c r="D1846" s="15" t="str">
        <f>IFERROR(__xludf.DUMMYFUNCTION("""COMPUTED_VALUE"""),"BOGOTÁ")</f>
        <v>BOGOTÁ</v>
      </c>
      <c r="E1846" s="15" t="str">
        <f>IFERROR(__xludf.DUMMYFUNCTION("""COMPUTED_VALUE"""),"Asociacion Agropecuaria Juana Maria")</f>
        <v>Asociacion Agropecuaria Juana Maria</v>
      </c>
      <c r="F1846" s="17" t="str">
        <f>IFERROR(__xludf.DUMMYFUNCTION("""COMPUTED_VALUE"""),"Carrera 15 BA # 30D-44 int 201")</f>
        <v>Carrera 15 BA # 30D-44 int 201</v>
      </c>
      <c r="G1846" s="15" t="str">
        <f>IFERROR(__xludf.DUMMYFUNCTION("""COMPUTED_VALUE"""),"Daniela Bedoya Blandon")</f>
        <v>Daniela Bedoya Blandon</v>
      </c>
      <c r="H1846" s="16">
        <f>IFERROR(__xludf.DUMMYFUNCTION("""COMPUTED_VALUE"""),10419.0)</f>
        <v>10419</v>
      </c>
      <c r="I1846" s="18">
        <f>IFERROR(__xludf.DUMMYFUNCTION("""COMPUTED_VALUE"""),12.0)</f>
        <v>12</v>
      </c>
      <c r="J1846" s="18">
        <f>IFERROR(__xludf.DUMMYFUNCTION("""COMPUTED_VALUE"""),37.0)</f>
        <v>37</v>
      </c>
      <c r="K1846" s="18">
        <f>IFERROR(__xludf.DUMMYFUNCTION("""COMPUTED_VALUE"""),20.0)</f>
        <v>20</v>
      </c>
      <c r="L1846" s="17">
        <f>IFERROR(__xludf.DUMMYFUNCTION("""COMPUTED_VALUE"""),3.14672822E9)</f>
        <v>3146728220</v>
      </c>
      <c r="M1846" s="17" t="str">
        <f>IFERROR(__xludf.DUMMYFUNCTION("""COMPUTED_VALUE"""),"#REF!")</f>
        <v>#REF!</v>
      </c>
      <c r="N1846" s="17"/>
      <c r="O1846" s="17"/>
      <c r="P1846" s="17" t="b">
        <f>IFERROR(__xludf.DUMMYFUNCTION("""COMPUTED_VALUE"""),FALSE)</f>
        <v>0</v>
      </c>
      <c r="Q1846" s="20" t="str">
        <f>IFERROR(__xludf.DUMMYFUNCTION("""COMPUTED_VALUE"""),"")</f>
        <v/>
      </c>
      <c r="R1846" s="22" t="str">
        <f>IFERROR(__xludf.DUMMYFUNCTION("""COMPUTED_VALUE"""),"")</f>
        <v/>
      </c>
    </row>
    <row r="1847">
      <c r="A1847" s="15">
        <f>IFERROR(__xludf.DUMMYFUNCTION("""COMPUTED_VALUE"""),45055.0)</f>
        <v>45055</v>
      </c>
      <c r="B1847" s="16" t="str">
        <f>IFERROR(__xludf.DUMMYFUNCTION("""COMPUTED_VALUE"""),"Envia")</f>
        <v>Envia</v>
      </c>
      <c r="C1847" s="15" t="str">
        <f>IFERROR(__xludf.DUMMYFUNCTION("""COMPUTED_VALUE"""),"MEDELLÍN")</f>
        <v>MEDELLÍN</v>
      </c>
      <c r="D1847" s="15" t="str">
        <f>IFERROR(__xludf.DUMMYFUNCTION("""COMPUTED_VALUE"""),"BOGOTÁ")</f>
        <v>BOGOTÁ</v>
      </c>
      <c r="E1847" s="15" t="str">
        <f>IFERROR(__xludf.DUMMYFUNCTION("""COMPUTED_VALUE"""),"Asociacion Agropecuaria Juana Maria")</f>
        <v>Asociacion Agropecuaria Juana Maria</v>
      </c>
      <c r="F184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1847" s="15" t="str">
        <f>IFERROR(__xludf.DUMMYFUNCTION("""COMPUTED_VALUE"""),"Jennifer Sanchez Blandon")</f>
        <v>Jennifer Sanchez Blandon</v>
      </c>
      <c r="H1847" s="16">
        <f>IFERROR(__xludf.DUMMYFUNCTION("""COMPUTED_VALUE"""),10420.0)</f>
        <v>10420</v>
      </c>
      <c r="I1847" s="18">
        <f>IFERROR(__xludf.DUMMYFUNCTION("""COMPUTED_VALUE"""),28.0)</f>
        <v>28</v>
      </c>
      <c r="J1847" s="18">
        <f>IFERROR(__xludf.DUMMYFUNCTION("""COMPUTED_VALUE"""),37.0)</f>
        <v>37</v>
      </c>
      <c r="K1847" s="18">
        <f>IFERROR(__xludf.DUMMYFUNCTION("""COMPUTED_VALUE"""),27.0)</f>
        <v>27</v>
      </c>
      <c r="L1847" s="17">
        <f>IFERROR(__xludf.DUMMYFUNCTION("""COMPUTED_VALUE"""),3.016937674E9)</f>
        <v>3016937674</v>
      </c>
      <c r="M1847" s="17" t="str">
        <f>IFERROR(__xludf.DUMMYFUNCTION("""COMPUTED_VALUE"""),"#REF!")</f>
        <v>#REF!</v>
      </c>
      <c r="N1847" s="17"/>
      <c r="O1847" s="17"/>
      <c r="P1847" s="17" t="b">
        <f>IFERROR(__xludf.DUMMYFUNCTION("""COMPUTED_VALUE"""),FALSE)</f>
        <v>0</v>
      </c>
      <c r="Q1847" s="20" t="str">
        <f>IFERROR(__xludf.DUMMYFUNCTION("""COMPUTED_VALUE"""),"")</f>
        <v/>
      </c>
      <c r="R1847" s="22" t="str">
        <f>IFERROR(__xludf.DUMMYFUNCTION("""COMPUTED_VALUE"""),"")</f>
        <v/>
      </c>
    </row>
    <row r="1848">
      <c r="A1848" s="15">
        <f>IFERROR(__xludf.DUMMYFUNCTION("""COMPUTED_VALUE"""),45055.0)</f>
        <v>45055</v>
      </c>
      <c r="B1848" s="16" t="str">
        <f>IFERROR(__xludf.DUMMYFUNCTION("""COMPUTED_VALUE"""),"Envia")</f>
        <v>Envia</v>
      </c>
      <c r="C1848" s="15" t="str">
        <f>IFERROR(__xludf.DUMMYFUNCTION("""COMPUTED_VALUE"""),"MEDELLÍN")</f>
        <v>MEDELLÍN</v>
      </c>
      <c r="D1848" s="15" t="str">
        <f>IFERROR(__xludf.DUMMYFUNCTION("""COMPUTED_VALUE"""),"BOGOTÁ")</f>
        <v>BOGOTÁ</v>
      </c>
      <c r="E1848" s="15" t="str">
        <f>IFERROR(__xludf.DUMMYFUNCTION("""COMPUTED_VALUE"""),"Evamazzita")</f>
        <v>Evamazzita</v>
      </c>
      <c r="F1848" s="17" t="str">
        <f>IFERROR(__xludf.DUMMYFUNCTION("""COMPUTED_VALUE"""),"CRA 65 CALLE 52 - 120  / APTO 1803 EDIFICIO CANTARES DE RIACHUELOS   B. EL CARMELO / BELLO")</f>
        <v>CRA 65 CALLE 52 - 120  / APTO 1803 EDIFICIO CANTARES DE RIACHUELOS   B. EL CARMELO / BELLO</v>
      </c>
      <c r="G1848" s="15" t="str">
        <f>IFERROR(__xludf.DUMMYFUNCTION("""COMPUTED_VALUE"""),"SARA ISABEL FULLA")</f>
        <v>SARA ISABEL FULLA</v>
      </c>
      <c r="H1848" s="16">
        <f>IFERROR(__xludf.DUMMYFUNCTION("""COMPUTED_VALUE"""),10434.0)</f>
        <v>10434</v>
      </c>
      <c r="I1848" s="18">
        <f>IFERROR(__xludf.DUMMYFUNCTION("""COMPUTED_VALUE"""),3.0)</f>
        <v>3</v>
      </c>
      <c r="J1848" s="18">
        <f>IFERROR(__xludf.DUMMYFUNCTION("""COMPUTED_VALUE"""),20.0)</f>
        <v>20</v>
      </c>
      <c r="K1848" s="18">
        <f>IFERROR(__xludf.DUMMYFUNCTION("""COMPUTED_VALUE"""),15.0)</f>
        <v>15</v>
      </c>
      <c r="L1848" s="17">
        <f>IFERROR(__xludf.DUMMYFUNCTION("""COMPUTED_VALUE"""),3.006755314E9)</f>
        <v>3006755314</v>
      </c>
      <c r="M1848" s="17" t="str">
        <f>IFERROR(__xludf.DUMMYFUNCTION("""COMPUTED_VALUE"""),"#REF!")</f>
        <v>#REF!</v>
      </c>
      <c r="N1848" s="17"/>
      <c r="O1848" s="17"/>
      <c r="P1848" s="17" t="b">
        <f>IFERROR(__xludf.DUMMYFUNCTION("""COMPUTED_VALUE"""),FALSE)</f>
        <v>0</v>
      </c>
      <c r="Q1848" s="20" t="str">
        <f>IFERROR(__xludf.DUMMYFUNCTION("""COMPUTED_VALUE"""),"")</f>
        <v/>
      </c>
      <c r="R1848" s="22" t="str">
        <f>IFERROR(__xludf.DUMMYFUNCTION("""COMPUTED_VALUE"""),"")</f>
        <v/>
      </c>
    </row>
    <row r="1849">
      <c r="A1849" s="15">
        <f>IFERROR(__xludf.DUMMYFUNCTION("""COMPUTED_VALUE"""),45055.0)</f>
        <v>45055</v>
      </c>
      <c r="B1849" s="16" t="str">
        <f>IFERROR(__xludf.DUMMYFUNCTION("""COMPUTED_VALUE"""),"Envia")</f>
        <v>Envia</v>
      </c>
      <c r="C1849" s="15" t="str">
        <f>IFERROR(__xludf.DUMMYFUNCTION("""COMPUTED_VALUE"""),"MEDELLÍN")</f>
        <v>MEDELLÍN</v>
      </c>
      <c r="D1849" s="15" t="str">
        <f>IFERROR(__xludf.DUMMYFUNCTION("""COMPUTED_VALUE"""),"BOGOTÁ")</f>
        <v>BOGOTÁ</v>
      </c>
      <c r="E1849" s="15" t="str">
        <f>IFERROR(__xludf.DUMMYFUNCTION("""COMPUTED_VALUE"""),"Evamazzita")</f>
        <v>Evamazzita</v>
      </c>
      <c r="F1849" s="17" t="str">
        <f>IFERROR(__xludf.DUMMYFUNCTION("""COMPUTED_VALUE"""),"KRA 89 #66-97  / unidad condado de Ávila casa 112 Robledo / (POR FAVOR ENTREGAR EN LA PUERTA DE LA CASA, YA QUE LA CLIENTE NO PUEDE SALIR)")</f>
        <v>KRA 89 #66-97  / unidad condado de Ávila casa 112 Robledo / (POR FAVOR ENTREGAR EN LA PUERTA DE LA CASA, YA QUE LA CLIENTE NO PUEDE SALIR)</v>
      </c>
      <c r="G1849" s="15" t="str">
        <f>IFERROR(__xludf.DUMMYFUNCTION("""COMPUTED_VALUE"""),"YOANA ANDREA LOPEZ AGUDELO")</f>
        <v>YOANA ANDREA LOPEZ AGUDELO</v>
      </c>
      <c r="H1849" s="16">
        <f>IFERROR(__xludf.DUMMYFUNCTION("""COMPUTED_VALUE"""),10439.0)</f>
        <v>10439</v>
      </c>
      <c r="I1849" s="18">
        <f>IFERROR(__xludf.DUMMYFUNCTION("""COMPUTED_VALUE"""),10.0)</f>
        <v>10</v>
      </c>
      <c r="J1849" s="18">
        <f>IFERROR(__xludf.DUMMYFUNCTION("""COMPUTED_VALUE"""),18.0)</f>
        <v>18</v>
      </c>
      <c r="K1849" s="18">
        <f>IFERROR(__xludf.DUMMYFUNCTION("""COMPUTED_VALUE"""),22.0)</f>
        <v>22</v>
      </c>
      <c r="L1849" s="17">
        <f>IFERROR(__xludf.DUMMYFUNCTION("""COMPUTED_VALUE"""),3.136249009E9)</f>
        <v>3136249009</v>
      </c>
      <c r="M1849" s="17" t="str">
        <f>IFERROR(__xludf.DUMMYFUNCTION("""COMPUTED_VALUE"""),"#REF!")</f>
        <v>#REF!</v>
      </c>
      <c r="N1849" s="17"/>
      <c r="O1849" s="17"/>
      <c r="P1849" s="17" t="b">
        <f>IFERROR(__xludf.DUMMYFUNCTION("""COMPUTED_VALUE"""),FALSE)</f>
        <v>0</v>
      </c>
      <c r="Q1849" s="20" t="str">
        <f>IFERROR(__xludf.DUMMYFUNCTION("""COMPUTED_VALUE"""),"")</f>
        <v/>
      </c>
      <c r="R1849" s="22" t="str">
        <f>IFERROR(__xludf.DUMMYFUNCTION("""COMPUTED_VALUE"""),"")</f>
        <v/>
      </c>
    </row>
    <row r="1850">
      <c r="A1850" s="15">
        <f>IFERROR(__xludf.DUMMYFUNCTION("""COMPUTED_VALUE"""),45055.0)</f>
        <v>45055</v>
      </c>
      <c r="B1850" s="16" t="str">
        <f>IFERROR(__xludf.DUMMYFUNCTION("""COMPUTED_VALUE"""),"Envia")</f>
        <v>Envia</v>
      </c>
      <c r="C1850" s="15" t="str">
        <f>IFERROR(__xludf.DUMMYFUNCTION("""COMPUTED_VALUE"""),"MEDELLÍN")</f>
        <v>MEDELLÍN</v>
      </c>
      <c r="D1850" s="15" t="str">
        <f>IFERROR(__xludf.DUMMYFUNCTION("""COMPUTED_VALUE"""),"BOGOTÁ")</f>
        <v>BOGOTÁ</v>
      </c>
      <c r="E1850" s="15" t="str">
        <f>IFERROR(__xludf.DUMMYFUNCTION("""COMPUTED_VALUE"""),"Lunchy Kids")</f>
        <v>Lunchy Kids</v>
      </c>
      <c r="F1850" s="17" t="str">
        <f>IFERROR(__xludf.DUMMYFUNCTION("""COMPUTED_VALUE"""),"Calle 1 B sur # 38-30 / edificio portales de san antonio. Apto 402  / Medellin")</f>
        <v>Calle 1 B sur # 38-30 / edificio portales de san antonio. Apto 402  / Medellin</v>
      </c>
      <c r="G1850" s="15" t="str">
        <f>IFERROR(__xludf.DUMMYFUNCTION("""COMPUTED_VALUE"""),"Isabel Cristina Zapata Bermudez")</f>
        <v>Isabel Cristina Zapata Bermudez</v>
      </c>
      <c r="H1850" s="16">
        <f>IFERROR(__xludf.DUMMYFUNCTION("""COMPUTED_VALUE"""),10429.0)</f>
        <v>10429</v>
      </c>
      <c r="I1850" s="18">
        <f>IFERROR(__xludf.DUMMYFUNCTION("""COMPUTED_VALUE"""),11.0)</f>
        <v>11</v>
      </c>
      <c r="J1850" s="18">
        <f>IFERROR(__xludf.DUMMYFUNCTION("""COMPUTED_VALUE"""),20.0)</f>
        <v>20</v>
      </c>
      <c r="K1850" s="18">
        <f>IFERROR(__xludf.DUMMYFUNCTION("""COMPUTED_VALUE"""),20.0)</f>
        <v>20</v>
      </c>
      <c r="L1850" s="17">
        <f>IFERROR(__xludf.DUMMYFUNCTION("""COMPUTED_VALUE"""),3.206726048E9)</f>
        <v>3206726048</v>
      </c>
      <c r="M1850" s="17" t="str">
        <f>IFERROR(__xludf.DUMMYFUNCTION("""COMPUTED_VALUE"""),"#REF!")</f>
        <v>#REF!</v>
      </c>
      <c r="N1850" s="17"/>
      <c r="O1850" s="17"/>
      <c r="P1850" s="17" t="b">
        <f>IFERROR(__xludf.DUMMYFUNCTION("""COMPUTED_VALUE"""),FALSE)</f>
        <v>0</v>
      </c>
      <c r="Q1850" s="20" t="str">
        <f>IFERROR(__xludf.DUMMYFUNCTION("""COMPUTED_VALUE"""),"")</f>
        <v/>
      </c>
      <c r="R1850" s="22" t="str">
        <f>IFERROR(__xludf.DUMMYFUNCTION("""COMPUTED_VALUE"""),"")</f>
        <v/>
      </c>
    </row>
    <row r="1851">
      <c r="A1851" s="15">
        <f>IFERROR(__xludf.DUMMYFUNCTION("""COMPUTED_VALUE"""),45055.0)</f>
        <v>45055</v>
      </c>
      <c r="B1851" s="16" t="str">
        <f>IFERROR(__xludf.DUMMYFUNCTION("""COMPUTED_VALUE"""),"Envia")</f>
        <v>Envia</v>
      </c>
      <c r="C1851" s="15" t="str">
        <f>IFERROR(__xludf.DUMMYFUNCTION("""COMPUTED_VALUE"""),"MEDELLÍN")</f>
        <v>MEDELLÍN</v>
      </c>
      <c r="D1851" s="15" t="str">
        <f>IFERROR(__xludf.DUMMYFUNCTION("""COMPUTED_VALUE"""),"BOGOTÁ")</f>
        <v>BOGOTÁ</v>
      </c>
      <c r="E1851" s="15" t="str">
        <f>IFERROR(__xludf.DUMMYFUNCTION("""COMPUTED_VALUE"""),"Lunchy Kids")</f>
        <v>Lunchy Kids</v>
      </c>
      <c r="F1851" s="17" t="str">
        <f>IFERROR(__xludf.DUMMYFUNCTION("""COMPUTED_VALUE"""),"Calle 54 # 81 - 55   / Unidad acuarela del parque Calazans. Apto 2201  /  Medellin")</f>
        <v>Calle 54 # 81 - 55   / Unidad acuarela del parque Calazans. Apto 2201  /  Medellin</v>
      </c>
      <c r="G1851" s="15" t="str">
        <f>IFERROR(__xludf.DUMMYFUNCTION("""COMPUTED_VALUE"""),"Mariana Munera")</f>
        <v>Mariana Munera</v>
      </c>
      <c r="H1851" s="16">
        <f>IFERROR(__xludf.DUMMYFUNCTION("""COMPUTED_VALUE"""),10428.0)</f>
        <v>10428</v>
      </c>
      <c r="I1851" s="18">
        <f>IFERROR(__xludf.DUMMYFUNCTION("""COMPUTED_VALUE"""),19.0)</f>
        <v>19</v>
      </c>
      <c r="J1851" s="18">
        <f>IFERROR(__xludf.DUMMYFUNCTION("""COMPUTED_VALUE"""),30.0)</f>
        <v>30</v>
      </c>
      <c r="K1851" s="18">
        <f>IFERROR(__xludf.DUMMYFUNCTION("""COMPUTED_VALUE"""),9.0)</f>
        <v>9</v>
      </c>
      <c r="L1851" s="17">
        <f>IFERROR(__xludf.DUMMYFUNCTION("""COMPUTED_VALUE"""),3.146790242E9)</f>
        <v>3146790242</v>
      </c>
      <c r="M1851" s="17" t="str">
        <f>IFERROR(__xludf.DUMMYFUNCTION("""COMPUTED_VALUE"""),"#REF!")</f>
        <v>#REF!</v>
      </c>
      <c r="N1851" s="17"/>
      <c r="O1851" s="17"/>
      <c r="P1851" s="17" t="b">
        <f>IFERROR(__xludf.DUMMYFUNCTION("""COMPUTED_VALUE"""),FALSE)</f>
        <v>0</v>
      </c>
      <c r="Q1851" s="20" t="str">
        <f>IFERROR(__xludf.DUMMYFUNCTION("""COMPUTED_VALUE"""),"")</f>
        <v/>
      </c>
      <c r="R1851" s="22" t="str">
        <f>IFERROR(__xludf.DUMMYFUNCTION("""COMPUTED_VALUE"""),"")</f>
        <v/>
      </c>
    </row>
    <row r="1852">
      <c r="A1852" s="15">
        <f>IFERROR(__xludf.DUMMYFUNCTION("""COMPUTED_VALUE"""),45055.0)</f>
        <v>45055</v>
      </c>
      <c r="B1852" s="16" t="str">
        <f>IFERROR(__xludf.DUMMYFUNCTION("""COMPUTED_VALUE"""),"Envia")</f>
        <v>Envia</v>
      </c>
      <c r="C1852" s="15" t="str">
        <f>IFERROR(__xludf.DUMMYFUNCTION("""COMPUTED_VALUE"""),"PEREIRA")</f>
        <v>PEREIRA</v>
      </c>
      <c r="D1852" s="15" t="str">
        <f>IFERROR(__xludf.DUMMYFUNCTION("""COMPUTED_VALUE"""),"BOGOTÁ")</f>
        <v>BOGOTÁ</v>
      </c>
      <c r="E1852" s="15" t="str">
        <f>IFERROR(__xludf.DUMMYFUNCTION("""COMPUTED_VALUE"""),"Asociacion Agropecuaria Juana Maria")</f>
        <v>Asociacion Agropecuaria Juana Maria</v>
      </c>
      <c r="F1852" s="17" t="str">
        <f>IFERROR(__xludf.DUMMYFUNCTION("""COMPUTED_VALUE"""),"Calle 153 # 23 -41 manzana 1 casa 9 sol de Galicia")</f>
        <v>Calle 153 # 23 -41 manzana 1 casa 9 sol de Galicia</v>
      </c>
      <c r="G1852" s="15" t="str">
        <f>IFERROR(__xludf.DUMMYFUNCTION("""COMPUTED_VALUE"""),"Paula Andrea Forero")</f>
        <v>Paula Andrea Forero</v>
      </c>
      <c r="H1852" s="16">
        <f>IFERROR(__xludf.DUMMYFUNCTION("""COMPUTED_VALUE"""),10408.0)</f>
        <v>10408</v>
      </c>
      <c r="I1852" s="18">
        <f>IFERROR(__xludf.DUMMYFUNCTION("""COMPUTED_VALUE"""),10.0)</f>
        <v>10</v>
      </c>
      <c r="J1852" s="18">
        <f>IFERROR(__xludf.DUMMYFUNCTION("""COMPUTED_VALUE"""),34.0)</f>
        <v>34</v>
      </c>
      <c r="K1852" s="18">
        <f>IFERROR(__xludf.DUMMYFUNCTION("""COMPUTED_VALUE"""),18.0)</f>
        <v>18</v>
      </c>
      <c r="L1852" s="17">
        <f>IFERROR(__xludf.DUMMYFUNCTION("""COMPUTED_VALUE"""),3.115760231E9)</f>
        <v>3115760231</v>
      </c>
      <c r="M1852" s="17" t="str">
        <f>IFERROR(__xludf.DUMMYFUNCTION("""COMPUTED_VALUE"""),"#REF!")</f>
        <v>#REF!</v>
      </c>
      <c r="N1852" s="17"/>
      <c r="O1852" s="19">
        <f>IFERROR(__xludf.DUMMYFUNCTION("""COMPUTED_VALUE"""),0.0)</f>
        <v>0</v>
      </c>
      <c r="P1852" s="17" t="b">
        <f>IFERROR(__xludf.DUMMYFUNCTION("""COMPUTED_VALUE"""),FALSE)</f>
        <v>0</v>
      </c>
      <c r="Q1852" s="20" t="str">
        <f>IFERROR(__xludf.DUMMYFUNCTION("""COMPUTED_VALUE"""),"")</f>
        <v/>
      </c>
      <c r="R1852" s="22" t="str">
        <f>IFERROR(__xludf.DUMMYFUNCTION("""COMPUTED_VALUE"""),"")</f>
        <v/>
      </c>
    </row>
    <row r="1853">
      <c r="A1853" s="17" t="str">
        <f>IFERROR(__xludf.DUMMYFUNCTION("""COMPUTED_VALUE"""),"")</f>
        <v/>
      </c>
      <c r="B1853" s="17" t="str">
        <f>IFERROR(__xludf.DUMMYFUNCTION("""COMPUTED_VALUE"""),"")</f>
        <v/>
      </c>
      <c r="C1853" s="17" t="str">
        <f>IFERROR(__xludf.DUMMYFUNCTION("""COMPUTED_VALUE"""),"")</f>
        <v/>
      </c>
      <c r="D1853" s="17" t="str">
        <f>IFERROR(__xludf.DUMMYFUNCTION("""COMPUTED_VALUE"""),"")</f>
        <v/>
      </c>
      <c r="E1853" s="17" t="str">
        <f>IFERROR(__xludf.DUMMYFUNCTION("""COMPUTED_VALUE"""),"")</f>
        <v/>
      </c>
      <c r="F1853" s="17" t="str">
        <f>IFERROR(__xludf.DUMMYFUNCTION("""COMPUTED_VALUE"""),"")</f>
        <v/>
      </c>
      <c r="G1853" s="17" t="str">
        <f>IFERROR(__xludf.DUMMYFUNCTION("""COMPUTED_VALUE"""),"")</f>
        <v/>
      </c>
      <c r="H1853" s="17" t="str">
        <f>IFERROR(__xludf.DUMMYFUNCTION("""COMPUTED_VALUE"""),"")</f>
        <v/>
      </c>
      <c r="I1853" s="17" t="str">
        <f>IFERROR(__xludf.DUMMYFUNCTION("""COMPUTED_VALUE"""),"")</f>
        <v/>
      </c>
      <c r="J1853" s="17" t="str">
        <f>IFERROR(__xludf.DUMMYFUNCTION("""COMPUTED_VALUE"""),"")</f>
        <v/>
      </c>
      <c r="K1853" s="17" t="str">
        <f>IFERROR(__xludf.DUMMYFUNCTION("""COMPUTED_VALUE"""),"")</f>
        <v/>
      </c>
      <c r="L1853" s="17" t="str">
        <f>IFERROR(__xludf.DUMMYFUNCTION("""COMPUTED_VALUE"""),"")</f>
        <v/>
      </c>
      <c r="M1853" s="17" t="str">
        <f>IFERROR(__xludf.DUMMYFUNCTION("""COMPUTED_VALUE"""),"")</f>
        <v/>
      </c>
      <c r="N1853" s="17" t="str">
        <f>IFERROR(__xludf.DUMMYFUNCTION("""COMPUTED_VALUE"""),"")</f>
        <v/>
      </c>
      <c r="O1853" s="17" t="str">
        <f>IFERROR(__xludf.DUMMYFUNCTION("""COMPUTED_VALUE"""),"")</f>
        <v/>
      </c>
      <c r="P1853" s="17" t="str">
        <f>IFERROR(__xludf.DUMMYFUNCTION("""COMPUTED_VALUE"""),"")</f>
        <v/>
      </c>
      <c r="Q1853" s="17" t="str">
        <f>IFERROR(__xludf.DUMMYFUNCTION("""COMPUTED_VALUE"""),"")</f>
        <v/>
      </c>
      <c r="R1853" s="17" t="str">
        <f>IFERROR(__xludf.DUMMYFUNCTION("""COMPUTED_VALUE"""),"")</f>
        <v/>
      </c>
    </row>
    <row r="1854">
      <c r="A1854" s="15">
        <f>IFERROR(__xludf.DUMMYFUNCTION("""COMPUTED_VALUE"""),45055.0)</f>
        <v>45055</v>
      </c>
      <c r="B1854" s="16" t="str">
        <f>IFERROR(__xludf.DUMMYFUNCTION("""COMPUTED_VALUE"""),"Jesus Manuel Herrera Medina ")</f>
        <v>Jesus Manuel Herrera Medina </v>
      </c>
      <c r="C1854" s="15" t="str">
        <f>IFERROR(__xludf.DUMMYFUNCTION("""COMPUTED_VALUE"""),"BUCARAMANGA")</f>
        <v>BUCARAMANGA</v>
      </c>
      <c r="D1854" s="15" t="str">
        <f>IFERROR(__xludf.DUMMYFUNCTION("""COMPUTED_VALUE"""),"BOGOTÁ")</f>
        <v>BOGOTÁ</v>
      </c>
      <c r="E1854" s="15" t="str">
        <f>IFERROR(__xludf.DUMMYFUNCTION("""COMPUTED_VALUE"""),"Frambascolombia sas")</f>
        <v>Frambascolombia sas</v>
      </c>
      <c r="F1854" s="17" t="str">
        <f>IFERROR(__xludf.DUMMYFUNCTION("""COMPUTED_VALUE"""),"Cra 53a # 54-113 / local 2")</f>
        <v>Cra 53a # 54-113 / local 2</v>
      </c>
      <c r="G1854" s="15" t="str">
        <f>IFERROR(__xludf.DUMMYFUNCTION("""COMPUTED_VALUE"""),"Bucaramanga BRUNCH &amp; MUNCH")</f>
        <v>Bucaramanga BRUNCH &amp; MUNCH</v>
      </c>
      <c r="H1854" s="16">
        <f>IFERROR(__xludf.DUMMYFUNCTION("""COMPUTED_VALUE"""),10485.0)</f>
        <v>10485</v>
      </c>
      <c r="I1854" s="18">
        <f>IFERROR(__xludf.DUMMYFUNCTION("""COMPUTED_VALUE"""),8.0)</f>
        <v>8</v>
      </c>
      <c r="J1854" s="18">
        <f>IFERROR(__xludf.DUMMYFUNCTION("""COMPUTED_VALUE"""),44992.0)</f>
        <v>44992</v>
      </c>
      <c r="K1854" s="18">
        <f>IFERROR(__xludf.DUMMYFUNCTION("""COMPUTED_VALUE"""),44992.0)</f>
        <v>44992</v>
      </c>
      <c r="L1854" s="17"/>
      <c r="M1854" s="17" t="str">
        <f>IFERROR(__xludf.DUMMYFUNCTION("""COMPUTED_VALUE"""),"#REF!")</f>
        <v>#REF!</v>
      </c>
      <c r="N1854" s="17"/>
      <c r="O1854" s="19">
        <f>IFERROR(__xludf.DUMMYFUNCTION("""COMPUTED_VALUE"""),11000.0)</f>
        <v>11000</v>
      </c>
      <c r="P1854" s="17" t="b">
        <f>IFERROR(__xludf.DUMMYFUNCTION("""COMPUTED_VALUE"""),FALSE)</f>
        <v>0</v>
      </c>
      <c r="Q1854" s="20" t="str">
        <f>IFERROR(__xludf.DUMMYFUNCTION("""COMPUTED_VALUE"""),"")</f>
        <v/>
      </c>
      <c r="R1854" s="22" t="str">
        <f>IFERROR(__xludf.DUMMYFUNCTION("""COMPUTED_VALUE"""),"")</f>
        <v/>
      </c>
    </row>
    <row r="1855">
      <c r="A1855" s="15">
        <f>IFERROR(__xludf.DUMMYFUNCTION("""COMPUTED_VALUE"""),45055.0)</f>
        <v>45055</v>
      </c>
      <c r="B1855" s="16" t="str">
        <f>IFERROR(__xludf.DUMMYFUNCTION("""COMPUTED_VALUE"""),"Jesus Manuel Herrera Medina ")</f>
        <v>Jesus Manuel Herrera Medina </v>
      </c>
      <c r="C1855" s="15" t="str">
        <f>IFERROR(__xludf.DUMMYFUNCTION("""COMPUTED_VALUE"""),"BUCARAMANGA")</f>
        <v>BUCARAMANGA</v>
      </c>
      <c r="D1855" s="15" t="str">
        <f>IFERROR(__xludf.DUMMYFUNCTION("""COMPUTED_VALUE"""),"BOGOTÁ")</f>
        <v>BOGOTÁ</v>
      </c>
      <c r="E1855" s="15" t="str">
        <f>IFERROR(__xludf.DUMMYFUNCTION("""COMPUTED_VALUE"""),"Loomifoods")</f>
        <v>Loomifoods</v>
      </c>
      <c r="F1855" s="17" t="str">
        <f>IFERROR(__xludf.DUMMYFUNCTION("""COMPUTED_VALUE"""),"Calle 18 no. 25 - 49 / Apto 1401 / Edificio Santa Isabella, Barrio SAn Francisco")</f>
        <v>Calle 18 no. 25 - 49 / Apto 1401 / Edificio Santa Isabella, Barrio SAn Francisco</v>
      </c>
      <c r="G1855" s="15" t="str">
        <f>IFERROR(__xludf.DUMMYFUNCTION("""COMPUTED_VALUE"""),"Shirley Alvarado")</f>
        <v>Shirley Alvarado</v>
      </c>
      <c r="H1855" s="16">
        <f>IFERROR(__xludf.DUMMYFUNCTION("""COMPUTED_VALUE"""),10482.0)</f>
        <v>10482</v>
      </c>
      <c r="I1855" s="18">
        <f>IFERROR(__xludf.DUMMYFUNCTION("""COMPUTED_VALUE"""),20.0)</f>
        <v>20</v>
      </c>
      <c r="J1855" s="18">
        <f>IFERROR(__xludf.DUMMYFUNCTION("""COMPUTED_VALUE"""),10.0)</f>
        <v>10</v>
      </c>
      <c r="K1855" s="18">
        <f>IFERROR(__xludf.DUMMYFUNCTION("""COMPUTED_VALUE"""),16.0)</f>
        <v>16</v>
      </c>
      <c r="L1855" s="17">
        <f>IFERROR(__xludf.DUMMYFUNCTION("""COMPUTED_VALUE"""),3.203548295E9)</f>
        <v>3203548295</v>
      </c>
      <c r="M1855" s="17" t="str">
        <f>IFERROR(__xludf.DUMMYFUNCTION("""COMPUTED_VALUE"""),"#REF!")</f>
        <v>#REF!</v>
      </c>
      <c r="N1855" s="17"/>
      <c r="O1855" s="19">
        <f>IFERROR(__xludf.DUMMYFUNCTION("""COMPUTED_VALUE"""),11000.0)</f>
        <v>11000</v>
      </c>
      <c r="P1855" s="17" t="b">
        <f>IFERROR(__xludf.DUMMYFUNCTION("""COMPUTED_VALUE"""),FALSE)</f>
        <v>0</v>
      </c>
      <c r="Q1855" s="20" t="str">
        <f>IFERROR(__xludf.DUMMYFUNCTION("""COMPUTED_VALUE"""),"")</f>
        <v/>
      </c>
      <c r="R1855" s="22" t="str">
        <f>IFERROR(__xludf.DUMMYFUNCTION("""COMPUTED_VALUE"""),"")</f>
        <v/>
      </c>
    </row>
    <row r="1856">
      <c r="A1856" s="15">
        <f>IFERROR(__xludf.DUMMYFUNCTION("""COMPUTED_VALUE"""),45055.0)</f>
        <v>45055</v>
      </c>
      <c r="B1856" s="16" t="str">
        <f>IFERROR(__xludf.DUMMYFUNCTION("""COMPUTED_VALUE"""),"Jesus Manuel Herrera Medina ")</f>
        <v>Jesus Manuel Herrera Medina </v>
      </c>
      <c r="C1856" s="15" t="str">
        <f>IFERROR(__xludf.DUMMYFUNCTION("""COMPUTED_VALUE"""),"BUCARAMANGA")</f>
        <v>BUCARAMANGA</v>
      </c>
      <c r="D1856" s="15" t="str">
        <f>IFERROR(__xludf.DUMMYFUNCTION("""COMPUTED_VALUE"""),"BOGOTÁ")</f>
        <v>BOGOTÁ</v>
      </c>
      <c r="E1856" s="15" t="str">
        <f>IFERROR(__xludf.DUMMYFUNCTION("""COMPUTED_VALUE"""),"Pan de Waffle")</f>
        <v>Pan de Waffle</v>
      </c>
      <c r="F1856" s="17" t="str">
        <f>IFERROR(__xludf.DUMMYFUNCTION("""COMPUTED_VALUE"""),"Calle 45 # 28 - 64 Soto Mayor / Calle 45 # 28 - 64 Soto Mayor / Calle 45 # 28 - 64 Soto Mayor")</f>
        <v>Calle 45 # 28 - 64 Soto Mayor / Calle 45 # 28 - 64 Soto Mayor / Calle 45 # 28 - 64 Soto Mayor</v>
      </c>
      <c r="G1856" s="15" t="str">
        <f>IFERROR(__xludf.DUMMYFUNCTION("""COMPUTED_VALUE"""),"TIENDA FITBUK")</f>
        <v>TIENDA FITBUK</v>
      </c>
      <c r="H1856" s="16">
        <f>IFERROR(__xludf.DUMMYFUNCTION("""COMPUTED_VALUE"""),10488.0)</f>
        <v>10488</v>
      </c>
      <c r="I1856" s="18">
        <f>IFERROR(__xludf.DUMMYFUNCTION("""COMPUTED_VALUE"""),30.0)</f>
        <v>30</v>
      </c>
      <c r="J1856" s="18">
        <f>IFERROR(__xludf.DUMMYFUNCTION("""COMPUTED_VALUE"""),30.0)</f>
        <v>30</v>
      </c>
      <c r="K1856" s="18">
        <f>IFERROR(__xludf.DUMMYFUNCTION("""COMPUTED_VALUE"""),30.0)</f>
        <v>30</v>
      </c>
      <c r="L1856" s="17">
        <f>IFERROR(__xludf.DUMMYFUNCTION("""COMPUTED_VALUE"""),3.170802664E9)</f>
        <v>3170802664</v>
      </c>
      <c r="M1856" s="17" t="str">
        <f>IFERROR(__xludf.DUMMYFUNCTION("""COMPUTED_VALUE"""),"#REF!")</f>
        <v>#REF!</v>
      </c>
      <c r="N1856" s="17"/>
      <c r="O1856" s="19">
        <f>IFERROR(__xludf.DUMMYFUNCTION("""COMPUTED_VALUE"""),11000.0)</f>
        <v>11000</v>
      </c>
      <c r="P1856" s="17" t="b">
        <f>IFERROR(__xludf.DUMMYFUNCTION("""COMPUTED_VALUE"""),FALSE)</f>
        <v>0</v>
      </c>
      <c r="Q1856" s="20" t="str">
        <f>IFERROR(__xludf.DUMMYFUNCTION("""COMPUTED_VALUE"""),"")</f>
        <v/>
      </c>
      <c r="R1856" s="22" t="str">
        <f>IFERROR(__xludf.DUMMYFUNCTION("""COMPUTED_VALUE"""),"")</f>
        <v/>
      </c>
    </row>
    <row r="1857">
      <c r="A1857" s="15">
        <f>IFERROR(__xludf.DUMMYFUNCTION("""COMPUTED_VALUE"""),45055.0)</f>
        <v>45055</v>
      </c>
      <c r="B1857" s="16" t="str">
        <f>IFERROR(__xludf.DUMMYFUNCTION("""COMPUTED_VALUE"""),"Jesus Manuel Herrera Medina ")</f>
        <v>Jesus Manuel Herrera Medina </v>
      </c>
      <c r="C1857" s="15" t="str">
        <f>IFERROR(__xludf.DUMMYFUNCTION("""COMPUTED_VALUE"""),"BUCARAMANGA")</f>
        <v>BUCARAMANGA</v>
      </c>
      <c r="D1857" s="15" t="str">
        <f>IFERROR(__xludf.DUMMYFUNCTION("""COMPUTED_VALUE"""),"BOGOTÁ")</f>
        <v>BOGOTÁ</v>
      </c>
      <c r="E1857" s="15" t="str">
        <f>IFERROR(__xludf.DUMMYFUNCTION("""COMPUTED_VALUE"""),"Pan de Waffle")</f>
        <v>Pan de Waffle</v>
      </c>
      <c r="F1857" s="17" t="str">
        <f>IFERROR(__xludf.DUMMYFUNCTION("""COMPUTED_VALUE"""),"Carrera 35a # 54 - 113 / Carrera 35a # 54 - 113 / Carrera 35a # 54 - 113")</f>
        <v>Carrera 35a # 54 - 113 / Carrera 35a # 54 - 113 / Carrera 35a # 54 - 113</v>
      </c>
      <c r="G1857" s="15" t="str">
        <f>IFERROR(__xludf.DUMMYFUNCTION("""COMPUTED_VALUE"""),"FOODOLOGY BUCARAMANGA")</f>
        <v>FOODOLOGY BUCARAMANGA</v>
      </c>
      <c r="H1857" s="16">
        <f>IFERROR(__xludf.DUMMYFUNCTION("""COMPUTED_VALUE"""),10474.0)</f>
        <v>10474</v>
      </c>
      <c r="I1857" s="18">
        <f>IFERROR(__xludf.DUMMYFUNCTION("""COMPUTED_VALUE"""),40.0)</f>
        <v>40</v>
      </c>
      <c r="J1857" s="18">
        <f>IFERROR(__xludf.DUMMYFUNCTION("""COMPUTED_VALUE"""),40.0)</f>
        <v>40</v>
      </c>
      <c r="K1857" s="18">
        <f>IFERROR(__xludf.DUMMYFUNCTION("""COMPUTED_VALUE"""),30.0)</f>
        <v>30</v>
      </c>
      <c r="L1857" s="17">
        <f>IFERROR(__xludf.DUMMYFUNCTION("""COMPUTED_VALUE"""),3.017001909E9)</f>
        <v>3017001909</v>
      </c>
      <c r="M1857" s="17" t="str">
        <f>IFERROR(__xludf.DUMMYFUNCTION("""COMPUTED_VALUE"""),"#REF!")</f>
        <v>#REF!</v>
      </c>
      <c r="N1857" s="17"/>
      <c r="O1857" s="19">
        <f>IFERROR(__xludf.DUMMYFUNCTION("""COMPUTED_VALUE"""),12000.0)</f>
        <v>12000</v>
      </c>
      <c r="P1857" s="17" t="b">
        <f>IFERROR(__xludf.DUMMYFUNCTION("""COMPUTED_VALUE"""),FALSE)</f>
        <v>0</v>
      </c>
      <c r="Q1857" s="20" t="str">
        <f>IFERROR(__xludf.DUMMYFUNCTION("""COMPUTED_VALUE"""),"")</f>
        <v/>
      </c>
      <c r="R1857" s="22" t="str">
        <f>IFERROR(__xludf.DUMMYFUNCTION("""COMPUTED_VALUE"""),"")</f>
        <v/>
      </c>
    </row>
    <row r="1858">
      <c r="A1858" s="15">
        <f>IFERROR(__xludf.DUMMYFUNCTION("""COMPUTED_VALUE"""),45055.0)</f>
        <v>45055</v>
      </c>
      <c r="B1858" s="16" t="str">
        <f>IFERROR(__xludf.DUMMYFUNCTION("""COMPUTED_VALUE"""),"Jesus Manuel Herrera Medina ")</f>
        <v>Jesus Manuel Herrera Medina </v>
      </c>
      <c r="C1858" s="15" t="str">
        <f>IFERROR(__xludf.DUMMYFUNCTION("""COMPUTED_VALUE"""),"BUCARAMANGA")</f>
        <v>BUCARAMANGA</v>
      </c>
      <c r="D1858" s="15" t="str">
        <f>IFERROR(__xludf.DUMMYFUNCTION("""COMPUTED_VALUE"""),"MEDELLÍN")</f>
        <v>MEDELLÍN</v>
      </c>
      <c r="E1858" s="15" t="str">
        <f>IFERROR(__xludf.DUMMYFUNCTION("""COMPUTED_VALUE"""),"AREPAS LA MARY")</f>
        <v>AREPAS LA MARY</v>
      </c>
      <c r="F1858" s="17" t="str">
        <f>IFERROR(__xludf.DUMMYFUNCTION("""COMPUTED_VALUE"""),"CALLE 55 # 13 -56 PISO 3")</f>
        <v>CALLE 55 # 13 -56 PISO 3</v>
      </c>
      <c r="G1858" s="15" t="str">
        <f>IFERROR(__xludf.DUMMYFUNCTION("""COMPUTED_VALUE"""),"ARANDANO")</f>
        <v>ARANDANO</v>
      </c>
      <c r="H1858" s="16">
        <f>IFERROR(__xludf.DUMMYFUNCTION("""COMPUTED_VALUE"""),10489.0)</f>
        <v>10489</v>
      </c>
      <c r="I1858" s="18">
        <f>IFERROR(__xludf.DUMMYFUNCTION("""COMPUTED_VALUE"""),89.0)</f>
        <v>89</v>
      </c>
      <c r="J1858" s="18">
        <f>IFERROR(__xludf.DUMMYFUNCTION("""COMPUTED_VALUE"""),1.0)</f>
        <v>1</v>
      </c>
      <c r="K1858" s="18">
        <f>IFERROR(__xludf.DUMMYFUNCTION("""COMPUTED_VALUE"""),10.0)</f>
        <v>10</v>
      </c>
      <c r="L1858" s="17">
        <f>IFERROR(__xludf.DUMMYFUNCTION("""COMPUTED_VALUE"""),3.158600162E9)</f>
        <v>3158600162</v>
      </c>
      <c r="M1858" s="17" t="str">
        <f>IFERROR(__xludf.DUMMYFUNCTION("""COMPUTED_VALUE"""),"#REF!")</f>
        <v>#REF!</v>
      </c>
      <c r="N1858" s="17"/>
      <c r="O1858" s="19">
        <f>IFERROR(__xludf.DUMMYFUNCTION("""COMPUTED_VALUE"""),11000.0)</f>
        <v>11000</v>
      </c>
      <c r="P1858" s="17" t="b">
        <f>IFERROR(__xludf.DUMMYFUNCTION("""COMPUTED_VALUE"""),FALSE)</f>
        <v>0</v>
      </c>
      <c r="Q1858" s="20" t="str">
        <f>IFERROR(__xludf.DUMMYFUNCTION("""COMPUTED_VALUE"""),"")</f>
        <v/>
      </c>
      <c r="R1858" s="22" t="str">
        <f>IFERROR(__xludf.DUMMYFUNCTION("""COMPUTED_VALUE"""),"")</f>
        <v/>
      </c>
    </row>
    <row r="1859">
      <c r="A1859" s="15">
        <f>IFERROR(__xludf.DUMMYFUNCTION("""COMPUTED_VALUE"""),45055.0)</f>
        <v>45055</v>
      </c>
      <c r="B1859" s="16" t="str">
        <f>IFERROR(__xludf.DUMMYFUNCTION("""COMPUTED_VALUE"""),"Jesus Manuel Herrera Medina ")</f>
        <v>Jesus Manuel Herrera Medina </v>
      </c>
      <c r="C1859" s="15" t="str">
        <f>IFERROR(__xludf.DUMMYFUNCTION("""COMPUTED_VALUE"""),"BUCARAMANGA")</f>
        <v>BUCARAMANGA</v>
      </c>
      <c r="D1859" s="15" t="str">
        <f>IFERROR(__xludf.DUMMYFUNCTION("""COMPUTED_VALUE"""),"MEDELLÍN")</f>
        <v>MEDELLÍN</v>
      </c>
      <c r="E1859" s="15" t="str">
        <f>IFERROR(__xludf.DUMMYFUNCTION("""COMPUTED_VALUE"""),"Baby Chef")</f>
        <v>Baby Chef</v>
      </c>
      <c r="F1859" s="17" t="str">
        <f>IFERROR(__xludf.DUMMYFUNCTION("""COMPUTED_VALUE"""),"Cra 27a #48-16 / Edificio Onix San Pedro apto **1404 / barrio Soto mayor")</f>
        <v>Cra 27a #48-16 / Edificio Onix San Pedro apto **1404 / barrio Soto mayor</v>
      </c>
      <c r="G1859" s="15" t="str">
        <f>IFERROR(__xludf.DUMMYFUNCTION("""COMPUTED_VALUE"""),"Malka Irina Wadnipar Gutiérrez")</f>
        <v>Malka Irina Wadnipar Gutiérrez</v>
      </c>
      <c r="H1859" s="16">
        <f>IFERROR(__xludf.DUMMYFUNCTION("""COMPUTED_VALUE"""),10475.0)</f>
        <v>10475</v>
      </c>
      <c r="I1859" s="18">
        <f>IFERROR(__xludf.DUMMYFUNCTION("""COMPUTED_VALUE"""),8.0)</f>
        <v>8</v>
      </c>
      <c r="J1859" s="18">
        <f>IFERROR(__xludf.DUMMYFUNCTION("""COMPUTED_VALUE"""),16.0)</f>
        <v>16</v>
      </c>
      <c r="K1859" s="18">
        <f>IFERROR(__xludf.DUMMYFUNCTION("""COMPUTED_VALUE"""),20.0)</f>
        <v>20</v>
      </c>
      <c r="L1859" s="17">
        <f>IFERROR(__xludf.DUMMYFUNCTION("""COMPUTED_VALUE"""),3.007651588E9)</f>
        <v>3007651588</v>
      </c>
      <c r="M1859" s="17" t="str">
        <f>IFERROR(__xludf.DUMMYFUNCTION("""COMPUTED_VALUE"""),"#REF!")</f>
        <v>#REF!</v>
      </c>
      <c r="N1859" s="17"/>
      <c r="O1859" s="19">
        <f>IFERROR(__xludf.DUMMYFUNCTION("""COMPUTED_VALUE"""),11000.0)</f>
        <v>11000</v>
      </c>
      <c r="P1859" s="17" t="b">
        <f>IFERROR(__xludf.DUMMYFUNCTION("""COMPUTED_VALUE"""),FALSE)</f>
        <v>0</v>
      </c>
      <c r="Q1859" s="20" t="str">
        <f>IFERROR(__xludf.DUMMYFUNCTION("""COMPUTED_VALUE"""),"")</f>
        <v/>
      </c>
      <c r="R1859" s="22" t="str">
        <f>IFERROR(__xludf.DUMMYFUNCTION("""COMPUTED_VALUE"""),"")</f>
        <v/>
      </c>
    </row>
    <row r="1860">
      <c r="A1860" s="15">
        <f>IFERROR(__xludf.DUMMYFUNCTION("""COMPUTED_VALUE"""),45055.0)</f>
        <v>45055</v>
      </c>
      <c r="B1860" s="16" t="str">
        <f>IFERROR(__xludf.DUMMYFUNCTION("""COMPUTED_VALUE"""),"Jesus Manuel Herrera Medina ")</f>
        <v>Jesus Manuel Herrera Medina </v>
      </c>
      <c r="C1860" s="15" t="str">
        <f>IFERROR(__xludf.DUMMYFUNCTION("""COMPUTED_VALUE"""),"FLORIDABLANCA")</f>
        <v>FLORIDABLANCA</v>
      </c>
      <c r="D1860" s="15" t="str">
        <f>IFERROR(__xludf.DUMMYFUNCTION("""COMPUTED_VALUE"""),"BOGOTÁ")</f>
        <v>BOGOTÁ</v>
      </c>
      <c r="E1860" s="15" t="str">
        <f>IFERROR(__xludf.DUMMYFUNCTION("""COMPUTED_VALUE"""),"Asociacion Agropecuaria Juana Maria")</f>
        <v>Asociacion Agropecuaria Juana Maria</v>
      </c>
      <c r="F1860" s="17" t="str">
        <f>IFERROR(__xludf.DUMMYFUNCTION("""COMPUTED_VALUE"""),"Calle 19 #11-37 Guanatá FLORIDABLANCA")</f>
        <v>Calle 19 #11-37 Guanatá FLORIDABLANCA</v>
      </c>
      <c r="G1860" s="15" t="str">
        <f>IFERROR(__xludf.DUMMYFUNCTION("""COMPUTED_VALUE"""),"Claudia Gonzalez")</f>
        <v>Claudia Gonzalez</v>
      </c>
      <c r="H1860" s="16">
        <f>IFERROR(__xludf.DUMMYFUNCTION("""COMPUTED_VALUE"""),10412.0)</f>
        <v>10412</v>
      </c>
      <c r="I1860" s="18">
        <f>IFERROR(__xludf.DUMMYFUNCTION("""COMPUTED_VALUE"""),21.0)</f>
        <v>21</v>
      </c>
      <c r="J1860" s="18">
        <f>IFERROR(__xludf.DUMMYFUNCTION("""COMPUTED_VALUE"""),37.0)</f>
        <v>37</v>
      </c>
      <c r="K1860" s="18">
        <f>IFERROR(__xludf.DUMMYFUNCTION("""COMPUTED_VALUE"""),30.0)</f>
        <v>30</v>
      </c>
      <c r="L1860" s="17">
        <f>IFERROR(__xludf.DUMMYFUNCTION("""COMPUTED_VALUE"""),3.002802001E9)</f>
        <v>3002802001</v>
      </c>
      <c r="M1860" s="17" t="str">
        <f>IFERROR(__xludf.DUMMYFUNCTION("""COMPUTED_VALUE"""),"#REF!")</f>
        <v>#REF!</v>
      </c>
      <c r="N1860" s="17"/>
      <c r="O1860" s="19">
        <f>IFERROR(__xludf.DUMMYFUNCTION("""COMPUTED_VALUE"""),11000.0)</f>
        <v>11000</v>
      </c>
      <c r="P1860" s="17" t="b">
        <f>IFERROR(__xludf.DUMMYFUNCTION("""COMPUTED_VALUE"""),FALSE)</f>
        <v>0</v>
      </c>
      <c r="Q1860" s="20" t="str">
        <f>IFERROR(__xludf.DUMMYFUNCTION("""COMPUTED_VALUE"""),"")</f>
        <v/>
      </c>
      <c r="R1860" s="22" t="str">
        <f>IFERROR(__xludf.DUMMYFUNCTION("""COMPUTED_VALUE"""),"")</f>
        <v/>
      </c>
    </row>
    <row r="1861">
      <c r="A1861" s="15">
        <f>IFERROR(__xludf.DUMMYFUNCTION("""COMPUTED_VALUE"""),45055.0)</f>
        <v>45055</v>
      </c>
      <c r="B1861" s="16" t="str">
        <f>IFERROR(__xludf.DUMMYFUNCTION("""COMPUTED_VALUE"""),"Jesus Manuel Herrera Medina ")</f>
        <v>Jesus Manuel Herrera Medina </v>
      </c>
      <c r="C1861" s="15" t="str">
        <f>IFERROR(__xludf.DUMMYFUNCTION("""COMPUTED_VALUE"""),"FLORIDABLANCA")</f>
        <v>FLORIDABLANCA</v>
      </c>
      <c r="D1861" s="15" t="str">
        <f>IFERROR(__xludf.DUMMYFUNCTION("""COMPUTED_VALUE"""),"BOGOTÁ")</f>
        <v>BOGOTÁ</v>
      </c>
      <c r="E1861" s="15" t="str">
        <f>IFERROR(__xludf.DUMMYFUNCTION("""COMPUTED_VALUE"""),"Asociacion Agropecuaria Juana Maria")</f>
        <v>Asociacion Agropecuaria Juana Maria</v>
      </c>
      <c r="F1861" s="17" t="str">
        <f>IFERROR(__xludf.DUMMYFUNCTION("""COMPUTED_VALUE"""),"Calle 19 #11-37 Guanatá FLORIDABLANCA")</f>
        <v>Calle 19 #11-37 Guanatá FLORIDABLANCA</v>
      </c>
      <c r="G1861" s="15" t="str">
        <f>IFERROR(__xludf.DUMMYFUNCTION("""COMPUTED_VALUE"""),"Claudia Gonzalez")</f>
        <v>Claudia Gonzalez</v>
      </c>
      <c r="H1861" s="16">
        <f>IFERROR(__xludf.DUMMYFUNCTION("""COMPUTED_VALUE"""),10413.0)</f>
        <v>10413</v>
      </c>
      <c r="I1861" s="18">
        <f>IFERROR(__xludf.DUMMYFUNCTION("""COMPUTED_VALUE"""),17.0)</f>
        <v>17</v>
      </c>
      <c r="J1861" s="18">
        <f>IFERROR(__xludf.DUMMYFUNCTION("""COMPUTED_VALUE"""),37.0)</f>
        <v>37</v>
      </c>
      <c r="K1861" s="18">
        <f>IFERROR(__xludf.DUMMYFUNCTION("""COMPUTED_VALUE"""),28.0)</f>
        <v>28</v>
      </c>
      <c r="L1861" s="17">
        <f>IFERROR(__xludf.DUMMYFUNCTION("""COMPUTED_VALUE"""),3.002802001E9)</f>
        <v>3002802001</v>
      </c>
      <c r="M1861" s="17" t="str">
        <f>IFERROR(__xludf.DUMMYFUNCTION("""COMPUTED_VALUE"""),"#REF!")</f>
        <v>#REF!</v>
      </c>
      <c r="N1861" s="17"/>
      <c r="O1861" s="19">
        <f>IFERROR(__xludf.DUMMYFUNCTION("""COMPUTED_VALUE"""),11000.0)</f>
        <v>11000</v>
      </c>
      <c r="P1861" s="17" t="b">
        <f>IFERROR(__xludf.DUMMYFUNCTION("""COMPUTED_VALUE"""),TRUE)</f>
        <v>1</v>
      </c>
      <c r="Q1861" s="20">
        <f>IFERROR(__xludf.DUMMYFUNCTION("""COMPUTED_VALUE"""),45056.37980113426)</f>
        <v>45056.3798</v>
      </c>
      <c r="R1861" s="22" t="str">
        <f>IFERROR(__xludf.DUMMYFUNCTION("""COMPUTED_VALUE"""),"")</f>
        <v/>
      </c>
    </row>
    <row r="1862">
      <c r="A1862" s="15">
        <f>IFERROR(__xludf.DUMMYFUNCTION("""COMPUTED_VALUE"""),45055.0)</f>
        <v>45055</v>
      </c>
      <c r="B1862" s="16" t="str">
        <f>IFERROR(__xludf.DUMMYFUNCTION("""COMPUTED_VALUE"""),"Jesus Manuel Herrera Medina ")</f>
        <v>Jesus Manuel Herrera Medina </v>
      </c>
      <c r="C1862" s="15" t="str">
        <f>IFERROR(__xludf.DUMMYFUNCTION("""COMPUTED_VALUE"""),"FLORIDABLANCA")</f>
        <v>FLORIDABLANCA</v>
      </c>
      <c r="D1862" s="15" t="str">
        <f>IFERROR(__xludf.DUMMYFUNCTION("""COMPUTED_VALUE"""),"BOGOTÁ")</f>
        <v>BOGOTÁ</v>
      </c>
      <c r="E1862" s="15" t="str">
        <f>IFERROR(__xludf.DUMMYFUNCTION("""COMPUTED_VALUE"""),"Loomifoods")</f>
        <v>Loomifoods</v>
      </c>
      <c r="F1862" s="17" t="str">
        <f>IFERROR(__xludf.DUMMYFUNCTION("""COMPUTED_VALUE"""),"Circunvalar 29 no. 22 - 16 / APTO 203, EDIFICIO GAIA / Barrio Cañaveral")</f>
        <v>Circunvalar 29 no. 22 - 16 / APTO 203, EDIFICIO GAIA / Barrio Cañaveral</v>
      </c>
      <c r="G1862" s="15" t="str">
        <f>IFERROR(__xludf.DUMMYFUNCTION("""COMPUTED_VALUE"""),"Maria Carolina Pereira")</f>
        <v>Maria Carolina Pereira</v>
      </c>
      <c r="H1862" s="16">
        <f>IFERROR(__xludf.DUMMYFUNCTION("""COMPUTED_VALUE"""),10486.0)</f>
        <v>10486</v>
      </c>
      <c r="I1862" s="18">
        <f>IFERROR(__xludf.DUMMYFUNCTION("""COMPUTED_VALUE"""),20.0)</f>
        <v>20</v>
      </c>
      <c r="J1862" s="18">
        <f>IFERROR(__xludf.DUMMYFUNCTION("""COMPUTED_VALUE"""),10.0)</f>
        <v>10</v>
      </c>
      <c r="K1862" s="18">
        <f>IFERROR(__xludf.DUMMYFUNCTION("""COMPUTED_VALUE"""),16.0)</f>
        <v>16</v>
      </c>
      <c r="L1862" s="17">
        <f>IFERROR(__xludf.DUMMYFUNCTION("""COMPUTED_VALUE"""),3.123591791E9)</f>
        <v>3123591791</v>
      </c>
      <c r="M1862" s="17" t="str">
        <f>IFERROR(__xludf.DUMMYFUNCTION("""COMPUTED_VALUE"""),"#REF!")</f>
        <v>#REF!</v>
      </c>
      <c r="N1862" s="17"/>
      <c r="O1862" s="19">
        <f>IFERROR(__xludf.DUMMYFUNCTION("""COMPUTED_VALUE"""),11000.0)</f>
        <v>11000</v>
      </c>
      <c r="P1862" s="17" t="b">
        <f>IFERROR(__xludf.DUMMYFUNCTION("""COMPUTED_VALUE"""),FALSE)</f>
        <v>0</v>
      </c>
      <c r="Q1862" s="20" t="str">
        <f>IFERROR(__xludf.DUMMYFUNCTION("""COMPUTED_VALUE"""),"")</f>
        <v/>
      </c>
      <c r="R1862" s="22" t="str">
        <f>IFERROR(__xludf.DUMMYFUNCTION("""COMPUTED_VALUE"""),"")</f>
        <v/>
      </c>
    </row>
    <row r="1863">
      <c r="A1863" s="15">
        <f>IFERROR(__xludf.DUMMYFUNCTION("""COMPUTED_VALUE"""),45055.0)</f>
        <v>45055</v>
      </c>
      <c r="B1863" s="16" t="str">
        <f>IFERROR(__xludf.DUMMYFUNCTION("""COMPUTED_VALUE"""),"Jesus Manuel Herrera Medina ")</f>
        <v>Jesus Manuel Herrera Medina </v>
      </c>
      <c r="C1863" s="15" t="str">
        <f>IFERROR(__xludf.DUMMYFUNCTION("""COMPUTED_VALUE"""),"PEREIRA")</f>
        <v>PEREIRA</v>
      </c>
      <c r="D1863" s="15" t="str">
        <f>IFERROR(__xludf.DUMMYFUNCTION("""COMPUTED_VALUE"""),"MEDELLÍN")</f>
        <v>MEDELLÍN</v>
      </c>
      <c r="E1863" s="15" t="str">
        <f>IFERROR(__xludf.DUMMYFUNCTION("""COMPUTED_VALUE"""),"Rambla")</f>
        <v>Rambla</v>
      </c>
      <c r="F1863" s="17" t="str">
        <f>IFERROR(__xludf.DUMMYFUNCTION("""COMPUTED_VALUE"""),"CARRERA 14 -12-55 / NA / NA")</f>
        <v>CARRERA 14 -12-55 / NA / NA</v>
      </c>
      <c r="G1863" s="15" t="str">
        <f>IFERROR(__xludf.DUMMYFUNCTION("""COMPUTED_VALUE"""),"vita eco")</f>
        <v>vita eco</v>
      </c>
      <c r="H1863" s="16">
        <f>IFERROR(__xludf.DUMMYFUNCTION("""COMPUTED_VALUE"""),10479.0)</f>
        <v>10479</v>
      </c>
      <c r="I1863" s="18">
        <f>IFERROR(__xludf.DUMMYFUNCTION("""COMPUTED_VALUE"""),20.0)</f>
        <v>20</v>
      </c>
      <c r="J1863" s="18">
        <f>IFERROR(__xludf.DUMMYFUNCTION("""COMPUTED_VALUE"""),23.0)</f>
        <v>23</v>
      </c>
      <c r="K1863" s="18">
        <f>IFERROR(__xludf.DUMMYFUNCTION("""COMPUTED_VALUE"""),25.0)</f>
        <v>25</v>
      </c>
      <c r="L1863" s="17">
        <f>IFERROR(__xludf.DUMMYFUNCTION("""COMPUTED_VALUE"""),3.215501948E9)</f>
        <v>3215501948</v>
      </c>
      <c r="M1863" s="17" t="str">
        <f>IFERROR(__xludf.DUMMYFUNCTION("""COMPUTED_VALUE"""),"#REF!")</f>
        <v>#REF!</v>
      </c>
      <c r="N1863" s="17"/>
      <c r="O1863" s="17"/>
      <c r="P1863" s="17" t="b">
        <f>IFERROR(__xludf.DUMMYFUNCTION("""COMPUTED_VALUE"""),FALSE)</f>
        <v>0</v>
      </c>
      <c r="Q1863" s="20" t="str">
        <f>IFERROR(__xludf.DUMMYFUNCTION("""COMPUTED_VALUE"""),"")</f>
        <v/>
      </c>
      <c r="R1863" s="22" t="str">
        <f>IFERROR(__xludf.DUMMYFUNCTION("""COMPUTED_VALUE"""),"")</f>
        <v/>
      </c>
    </row>
    <row r="1864">
      <c r="A1864" s="15">
        <f>IFERROR(__xludf.DUMMYFUNCTION("""COMPUTED_VALUE"""),45055.0)</f>
        <v>45055</v>
      </c>
      <c r="B1864" s="16" t="str">
        <f>IFERROR(__xludf.DUMMYFUNCTION("""COMPUTED_VALUE"""),"Jesus Manuel Herrera Medina ")</f>
        <v>Jesus Manuel Herrera Medina </v>
      </c>
      <c r="C1864" s="15" t="str">
        <f>IFERROR(__xludf.DUMMYFUNCTION("""COMPUTED_VALUE"""),"PEREIRA")</f>
        <v>PEREIRA</v>
      </c>
      <c r="D1864" s="15" t="str">
        <f>IFERROR(__xludf.DUMMYFUNCTION("""COMPUTED_VALUE"""),"MEDELLÍN")</f>
        <v>MEDELLÍN</v>
      </c>
      <c r="E1864" s="15" t="str">
        <f>IFERROR(__xludf.DUMMYFUNCTION("""COMPUTED_VALUE"""),"TOLEDALES S.A.S")</f>
        <v>TOLEDALES S.A.S</v>
      </c>
      <c r="F1864" s="17" t="str">
        <f>IFERROR(__xludf.DUMMYFUNCTION("""COMPUTED_VALUE"""),"carrera 30 #93-50 / casa 7")</f>
        <v>carrera 30 #93-50 / casa 7</v>
      </c>
      <c r="G1864" s="15" t="str">
        <f>IFERROR(__xludf.DUMMYFUNCTION("""COMPUTED_VALUE"""),"David Gutierrez morales")</f>
        <v>David Gutierrez morales</v>
      </c>
      <c r="H1864" s="16">
        <f>IFERROR(__xludf.DUMMYFUNCTION("""COMPUTED_VALUE"""),10407.0)</f>
        <v>10407</v>
      </c>
      <c r="I1864" s="18">
        <f>IFERROR(__xludf.DUMMYFUNCTION("""COMPUTED_VALUE"""),15.0)</f>
        <v>15</v>
      </c>
      <c r="J1864" s="18">
        <f>IFERROR(__xludf.DUMMYFUNCTION("""COMPUTED_VALUE"""),20.0)</f>
        <v>20</v>
      </c>
      <c r="K1864" s="18">
        <f>IFERROR(__xludf.DUMMYFUNCTION("""COMPUTED_VALUE"""),5.0)</f>
        <v>5</v>
      </c>
      <c r="L1864" s="17">
        <f>IFERROR(__xludf.DUMMYFUNCTION("""COMPUTED_VALUE"""),3.126747149E9)</f>
        <v>3126747149</v>
      </c>
      <c r="M1864" s="17" t="str">
        <f>IFERROR(__xludf.DUMMYFUNCTION("""COMPUTED_VALUE"""),"#REF!")</f>
        <v>#REF!</v>
      </c>
      <c r="N1864" s="17"/>
      <c r="O1864" s="19">
        <f>IFERROR(__xludf.DUMMYFUNCTION("""COMPUTED_VALUE"""),7000.0)</f>
        <v>7000</v>
      </c>
      <c r="P1864" s="17" t="b">
        <f>IFERROR(__xludf.DUMMYFUNCTION("""COMPUTED_VALUE"""),FALSE)</f>
        <v>0</v>
      </c>
      <c r="Q1864" s="20" t="str">
        <f>IFERROR(__xludf.DUMMYFUNCTION("""COMPUTED_VALUE"""),"")</f>
        <v/>
      </c>
      <c r="R1864" s="22" t="str">
        <f>IFERROR(__xludf.DUMMYFUNCTION("""COMPUTED_VALUE"""),"")</f>
        <v/>
      </c>
    </row>
    <row r="1865">
      <c r="A1865" s="17" t="str">
        <f>IFERROR(__xludf.DUMMYFUNCTION("""COMPUTED_VALUE"""),"")</f>
        <v/>
      </c>
      <c r="B1865" s="17" t="str">
        <f>IFERROR(__xludf.DUMMYFUNCTION("""COMPUTED_VALUE"""),"")</f>
        <v/>
      </c>
      <c r="C1865" s="17" t="str">
        <f>IFERROR(__xludf.DUMMYFUNCTION("""COMPUTED_VALUE"""),"")</f>
        <v/>
      </c>
      <c r="D1865" s="17" t="str">
        <f>IFERROR(__xludf.DUMMYFUNCTION("""COMPUTED_VALUE"""),"")</f>
        <v/>
      </c>
      <c r="E1865" s="17" t="str">
        <f>IFERROR(__xludf.DUMMYFUNCTION("""COMPUTED_VALUE"""),"")</f>
        <v/>
      </c>
      <c r="F1865" s="17" t="str">
        <f>IFERROR(__xludf.DUMMYFUNCTION("""COMPUTED_VALUE"""),"")</f>
        <v/>
      </c>
      <c r="G1865" s="17" t="str">
        <f>IFERROR(__xludf.DUMMYFUNCTION("""COMPUTED_VALUE"""),"")</f>
        <v/>
      </c>
      <c r="H1865" s="17" t="str">
        <f>IFERROR(__xludf.DUMMYFUNCTION("""COMPUTED_VALUE"""),"")</f>
        <v/>
      </c>
      <c r="I1865" s="17" t="str">
        <f>IFERROR(__xludf.DUMMYFUNCTION("""COMPUTED_VALUE"""),"")</f>
        <v/>
      </c>
      <c r="J1865" s="17" t="str">
        <f>IFERROR(__xludf.DUMMYFUNCTION("""COMPUTED_VALUE"""),"")</f>
        <v/>
      </c>
      <c r="K1865" s="17" t="str">
        <f>IFERROR(__xludf.DUMMYFUNCTION("""COMPUTED_VALUE"""),"")</f>
        <v/>
      </c>
      <c r="L1865" s="17" t="str">
        <f>IFERROR(__xludf.DUMMYFUNCTION("""COMPUTED_VALUE"""),"")</f>
        <v/>
      </c>
      <c r="M1865" s="17" t="str">
        <f>IFERROR(__xludf.DUMMYFUNCTION("""COMPUTED_VALUE"""),"")</f>
        <v/>
      </c>
      <c r="N1865" s="17" t="str">
        <f>IFERROR(__xludf.DUMMYFUNCTION("""COMPUTED_VALUE"""),"")</f>
        <v/>
      </c>
      <c r="O1865" s="17" t="str">
        <f>IFERROR(__xludf.DUMMYFUNCTION("""COMPUTED_VALUE"""),"")</f>
        <v/>
      </c>
      <c r="P1865" s="17" t="str">
        <f>IFERROR(__xludf.DUMMYFUNCTION("""COMPUTED_VALUE"""),"")</f>
        <v/>
      </c>
      <c r="Q1865" s="17" t="str">
        <f>IFERROR(__xludf.DUMMYFUNCTION("""COMPUTED_VALUE"""),"")</f>
        <v/>
      </c>
      <c r="R1865" s="17" t="str">
        <f>IFERROR(__xludf.DUMMYFUNCTION("""COMPUTED_VALUE"""),"")</f>
        <v/>
      </c>
    </row>
    <row r="1866">
      <c r="A1866" s="15">
        <f>IFERROR(__xludf.DUMMYFUNCTION("""COMPUTED_VALUE"""),45055.0)</f>
        <v>45055</v>
      </c>
      <c r="B1866" s="16" t="str">
        <f>IFERROR(__xludf.DUMMYFUNCTION("""COMPUTED_VALUE"""),"Jhon Anderson Ceballos Hernandez")</f>
        <v>Jhon Anderson Ceballos Hernandez</v>
      </c>
      <c r="C1866" s="15" t="str">
        <f>IFERROR(__xludf.DUMMYFUNCTION("""COMPUTED_VALUE"""),"MANIZALES")</f>
        <v>MANIZALES</v>
      </c>
      <c r="D1866" s="15" t="str">
        <f>IFERROR(__xludf.DUMMYFUNCTION("""COMPUTED_VALUE"""),"BOGOTÁ")</f>
        <v>BOGOTÁ</v>
      </c>
      <c r="E1866" s="15" t="str">
        <f>IFERROR(__xludf.DUMMYFUNCTION("""COMPUTED_VALUE"""),"Asociacion Agropecuaria Juana Maria")</f>
        <v>Asociacion Agropecuaria Juana Maria</v>
      </c>
      <c r="F1866" s="17" t="str">
        <f>IFERROR(__xludf.DUMMYFUNCTION("""COMPUTED_VALUE"""),"Carrera 6A # 10A-06 apto 301 Edificio Martha Lucia Chipre Viejo")</f>
        <v>Carrera 6A # 10A-06 apto 301 Edificio Martha Lucia Chipre Viejo</v>
      </c>
      <c r="G1866" s="15" t="str">
        <f>IFERROR(__xludf.DUMMYFUNCTION("""COMPUTED_VALUE"""),"Juliana Giraldo")</f>
        <v>Juliana Giraldo</v>
      </c>
      <c r="H1866" s="16">
        <f>IFERROR(__xludf.DUMMYFUNCTION("""COMPUTED_VALUE"""),10414.0)</f>
        <v>10414</v>
      </c>
      <c r="I1866" s="18">
        <f>IFERROR(__xludf.DUMMYFUNCTION("""COMPUTED_VALUE"""),17.0)</f>
        <v>17</v>
      </c>
      <c r="J1866" s="18">
        <f>IFERROR(__xludf.DUMMYFUNCTION("""COMPUTED_VALUE"""),37.0)</f>
        <v>37</v>
      </c>
      <c r="K1866" s="18">
        <f>IFERROR(__xludf.DUMMYFUNCTION("""COMPUTED_VALUE"""),28.0)</f>
        <v>28</v>
      </c>
      <c r="L1866" s="17">
        <f>IFERROR(__xludf.DUMMYFUNCTION("""COMPUTED_VALUE"""),3.02415322E9)</f>
        <v>3024153220</v>
      </c>
      <c r="M1866" s="17" t="str">
        <f>IFERROR(__xludf.DUMMYFUNCTION("""COMPUTED_VALUE"""),"#REF!")</f>
        <v>#REF!</v>
      </c>
      <c r="N1866" s="17"/>
      <c r="O1866" s="19">
        <f>IFERROR(__xludf.DUMMYFUNCTION("""COMPUTED_VALUE"""),7000.0)</f>
        <v>7000</v>
      </c>
      <c r="P1866" s="17" t="b">
        <f>IFERROR(__xludf.DUMMYFUNCTION("""COMPUTED_VALUE"""),FALSE)</f>
        <v>0</v>
      </c>
      <c r="Q1866" s="20" t="str">
        <f>IFERROR(__xludf.DUMMYFUNCTION("""COMPUTED_VALUE"""),"")</f>
        <v/>
      </c>
      <c r="R1866" s="22" t="str">
        <f>IFERROR(__xludf.DUMMYFUNCTION("""COMPUTED_VALUE"""),"")</f>
        <v/>
      </c>
    </row>
    <row r="1867">
      <c r="A1867" s="15">
        <f>IFERROR(__xludf.DUMMYFUNCTION("""COMPUTED_VALUE"""),45055.0)</f>
        <v>45055</v>
      </c>
      <c r="B1867" s="16" t="str">
        <f>IFERROR(__xludf.DUMMYFUNCTION("""COMPUTED_VALUE"""),"Jhon Anderson Ceballos Hernandez")</f>
        <v>Jhon Anderson Ceballos Hernandez</v>
      </c>
      <c r="C1867" s="15" t="str">
        <f>IFERROR(__xludf.DUMMYFUNCTION("""COMPUTED_VALUE"""),"MANIZALES")</f>
        <v>MANIZALES</v>
      </c>
      <c r="D1867" s="15" t="str">
        <f>IFERROR(__xludf.DUMMYFUNCTION("""COMPUTED_VALUE"""),"BOGOTÁ")</f>
        <v>BOGOTÁ</v>
      </c>
      <c r="E1867" s="15" t="str">
        <f>IFERROR(__xludf.DUMMYFUNCTION("""COMPUTED_VALUE"""),"Asociacion Agropecuaria Juana Maria")</f>
        <v>Asociacion Agropecuaria Juana Maria</v>
      </c>
      <c r="F1867" s="17" t="str">
        <f>IFERROR(__xludf.DUMMYFUNCTION("""COMPUTED_VALUE"""),"CRA 9 # 16-9 MANZANA 28 CASA 2 CONJUNTO MIRADOR DE LAS LOMAS - BARRIO LA FLORIDA VILLAMARIA CALDAS")</f>
        <v>CRA 9 # 16-9 MANZANA 28 CASA 2 CONJUNTO MIRADOR DE LAS LOMAS - BARRIO LA FLORIDA VILLAMARIA CALDAS</v>
      </c>
      <c r="G1867" s="15" t="str">
        <f>IFERROR(__xludf.DUMMYFUNCTION("""COMPUTED_VALUE"""),"ANA MARIA GARZON")</f>
        <v>ANA MARIA GARZON</v>
      </c>
      <c r="H1867" s="16">
        <f>IFERROR(__xludf.DUMMYFUNCTION("""COMPUTED_VALUE"""),10422.0)</f>
        <v>10422</v>
      </c>
      <c r="I1867" s="18">
        <f>IFERROR(__xludf.DUMMYFUNCTION("""COMPUTED_VALUE"""),25.0)</f>
        <v>25</v>
      </c>
      <c r="J1867" s="18">
        <f>IFERROR(__xludf.DUMMYFUNCTION("""COMPUTED_VALUE"""),18.0)</f>
        <v>18</v>
      </c>
      <c r="K1867" s="18">
        <f>IFERROR(__xludf.DUMMYFUNCTION("""COMPUTED_VALUE"""),3.0)</f>
        <v>3</v>
      </c>
      <c r="L1867" s="17">
        <f>IFERROR(__xludf.DUMMYFUNCTION("""COMPUTED_VALUE"""),3.21566191E9)</f>
        <v>3215661910</v>
      </c>
      <c r="M1867" s="17" t="str">
        <f>IFERROR(__xludf.DUMMYFUNCTION("""COMPUTED_VALUE"""),"#REF!")</f>
        <v>#REF!</v>
      </c>
      <c r="N1867" s="17"/>
      <c r="O1867" s="19">
        <f>IFERROR(__xludf.DUMMYFUNCTION("""COMPUTED_VALUE"""),7000.0)</f>
        <v>7000</v>
      </c>
      <c r="P1867" s="17" t="b">
        <f>IFERROR(__xludf.DUMMYFUNCTION("""COMPUTED_VALUE"""),FALSE)</f>
        <v>0</v>
      </c>
      <c r="Q1867" s="20" t="str">
        <f>IFERROR(__xludf.DUMMYFUNCTION("""COMPUTED_VALUE"""),"")</f>
        <v/>
      </c>
      <c r="R1867" s="22" t="str">
        <f>IFERROR(__xludf.DUMMYFUNCTION("""COMPUTED_VALUE"""),"")</f>
        <v/>
      </c>
    </row>
    <row r="1868">
      <c r="A1868" s="15">
        <f>IFERROR(__xludf.DUMMYFUNCTION("""COMPUTED_VALUE"""),45055.0)</f>
        <v>45055</v>
      </c>
      <c r="B1868" s="16" t="str">
        <f>IFERROR(__xludf.DUMMYFUNCTION("""COMPUTED_VALUE"""),"Jhon Anderson Ceballos Hernandez")</f>
        <v>Jhon Anderson Ceballos Hernandez</v>
      </c>
      <c r="C1868" s="15" t="str">
        <f>IFERROR(__xludf.DUMMYFUNCTION("""COMPUTED_VALUE"""),"MEDELLÍN")</f>
        <v>MEDELLÍN</v>
      </c>
      <c r="D1868" s="15" t="str">
        <f>IFERROR(__xludf.DUMMYFUNCTION("""COMPUTED_VALUE"""),"BOGOTÁ")</f>
        <v>BOGOTÁ</v>
      </c>
      <c r="E1868" s="15" t="str">
        <f>IFERROR(__xludf.DUMMYFUNCTION("""COMPUTED_VALUE"""),"MAI ALIMENTOS S.A.S")</f>
        <v>MAI ALIMENTOS S.A.S</v>
      </c>
      <c r="F1868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1868" s="15" t="str">
        <f>IFERROR(__xludf.DUMMYFUNCTION("""COMPUTED_VALUE"""),"Novaventas - Medellin")</f>
        <v>Novaventas - Medellin</v>
      </c>
      <c r="H1868" s="16">
        <f>IFERROR(__xludf.DUMMYFUNCTION("""COMPUTED_VALUE"""),10404.0)</f>
        <v>10404</v>
      </c>
      <c r="I1868" s="18">
        <f>IFERROR(__xludf.DUMMYFUNCTION("""COMPUTED_VALUE"""),35.0)</f>
        <v>35</v>
      </c>
      <c r="J1868" s="18">
        <f>IFERROR(__xludf.DUMMYFUNCTION("""COMPUTED_VALUE"""),17.0)</f>
        <v>17</v>
      </c>
      <c r="K1868" s="18">
        <f>IFERROR(__xludf.DUMMYFUNCTION("""COMPUTED_VALUE"""),13.0)</f>
        <v>13</v>
      </c>
      <c r="L1868" s="17">
        <f>IFERROR(__xludf.DUMMYFUNCTION("""COMPUTED_VALUE"""),3.187351593E9)</f>
        <v>3187351593</v>
      </c>
      <c r="M1868" s="17" t="str">
        <f>IFERROR(__xludf.DUMMYFUNCTION("""COMPUTED_VALUE"""),"#REF!")</f>
        <v>#REF!</v>
      </c>
      <c r="N1868" s="17"/>
      <c r="O1868" s="17"/>
      <c r="P1868" s="17" t="b">
        <f>IFERROR(__xludf.DUMMYFUNCTION("""COMPUTED_VALUE"""),FALSE)</f>
        <v>0</v>
      </c>
      <c r="Q1868" s="20" t="str">
        <f>IFERROR(__xludf.DUMMYFUNCTION("""COMPUTED_VALUE"""),"")</f>
        <v/>
      </c>
      <c r="R1868" s="22" t="str">
        <f>IFERROR(__xludf.DUMMYFUNCTION("""COMPUTED_VALUE"""),"")</f>
        <v/>
      </c>
    </row>
    <row r="1869">
      <c r="A1869" s="15">
        <f>IFERROR(__xludf.DUMMYFUNCTION("""COMPUTED_VALUE"""),45055.0)</f>
        <v>45055</v>
      </c>
      <c r="B1869" s="16" t="str">
        <f>IFERROR(__xludf.DUMMYFUNCTION("""COMPUTED_VALUE"""),"Jhon Anderson Ceballos Hernandez")</f>
        <v>Jhon Anderson Ceballos Hernandez</v>
      </c>
      <c r="C1869" s="15" t="str">
        <f>IFERROR(__xludf.DUMMYFUNCTION("""COMPUTED_VALUE"""),"TUNJA")</f>
        <v>TUNJA</v>
      </c>
      <c r="D1869" s="15" t="str">
        <f>IFERROR(__xludf.DUMMYFUNCTION("""COMPUTED_VALUE"""),"BOGOTÁ")</f>
        <v>BOGOTÁ</v>
      </c>
      <c r="E1869" s="15" t="str">
        <f>IFERROR(__xludf.DUMMYFUNCTION("""COMPUTED_VALUE"""),"Evamazzita")</f>
        <v>Evamazzita</v>
      </c>
      <c r="F1869" s="17" t="str">
        <f>IFERROR(__xludf.DUMMYFUNCTION("""COMPUTED_VALUE"""),"Av universitaria # 49-50  / casa 51 conjunto portal de Altagracia   / Barrio Altagracia")</f>
        <v>Av universitaria # 49-50  / casa 51 conjunto portal de Altagracia   / Barrio Altagracia</v>
      </c>
      <c r="G1869" s="15" t="str">
        <f>IFERROR(__xludf.DUMMYFUNCTION("""COMPUTED_VALUE"""),"LINA FERNANDA CASTILLO AMAYA")</f>
        <v>LINA FERNANDA CASTILLO AMAYA</v>
      </c>
      <c r="H1869" s="16">
        <f>IFERROR(__xludf.DUMMYFUNCTION("""COMPUTED_VALUE"""),10453.0)</f>
        <v>10453</v>
      </c>
      <c r="I1869" s="18">
        <f>IFERROR(__xludf.DUMMYFUNCTION("""COMPUTED_VALUE"""),5.0)</f>
        <v>5</v>
      </c>
      <c r="J1869" s="18">
        <f>IFERROR(__xludf.DUMMYFUNCTION("""COMPUTED_VALUE"""),17.0)</f>
        <v>17</v>
      </c>
      <c r="K1869" s="18">
        <f>IFERROR(__xludf.DUMMYFUNCTION("""COMPUTED_VALUE"""),23.0)</f>
        <v>23</v>
      </c>
      <c r="L1869" s="17">
        <f>IFERROR(__xludf.DUMMYFUNCTION("""COMPUTED_VALUE"""),3.142230007E9)</f>
        <v>3142230007</v>
      </c>
      <c r="M1869" s="17" t="str">
        <f>IFERROR(__xludf.DUMMYFUNCTION("""COMPUTED_VALUE"""),"#REF!")</f>
        <v>#REF!</v>
      </c>
      <c r="N1869" s="17"/>
      <c r="O1869" s="19">
        <f>IFERROR(__xludf.DUMMYFUNCTION("""COMPUTED_VALUE"""),10000.0)</f>
        <v>10000</v>
      </c>
      <c r="P1869" s="17" t="b">
        <f>IFERROR(__xludf.DUMMYFUNCTION("""COMPUTED_VALUE"""),FALSE)</f>
        <v>0</v>
      </c>
      <c r="Q1869" s="20" t="str">
        <f>IFERROR(__xludf.DUMMYFUNCTION("""COMPUTED_VALUE"""),"")</f>
        <v/>
      </c>
      <c r="R1869" s="22" t="str">
        <f>IFERROR(__xludf.DUMMYFUNCTION("""COMPUTED_VALUE"""),"")</f>
        <v/>
      </c>
    </row>
    <row r="1870">
      <c r="A1870" s="17" t="str">
        <f>IFERROR(__xludf.DUMMYFUNCTION("""COMPUTED_VALUE"""),"")</f>
        <v/>
      </c>
      <c r="B1870" s="17" t="str">
        <f>IFERROR(__xludf.DUMMYFUNCTION("""COMPUTED_VALUE"""),"")</f>
        <v/>
      </c>
      <c r="C1870" s="17" t="str">
        <f>IFERROR(__xludf.DUMMYFUNCTION("""COMPUTED_VALUE"""),"")</f>
        <v/>
      </c>
      <c r="D1870" s="17" t="str">
        <f>IFERROR(__xludf.DUMMYFUNCTION("""COMPUTED_VALUE"""),"")</f>
        <v/>
      </c>
      <c r="E1870" s="17" t="str">
        <f>IFERROR(__xludf.DUMMYFUNCTION("""COMPUTED_VALUE"""),"")</f>
        <v/>
      </c>
      <c r="F1870" s="17" t="str">
        <f>IFERROR(__xludf.DUMMYFUNCTION("""COMPUTED_VALUE"""),"")</f>
        <v/>
      </c>
      <c r="G1870" s="17" t="str">
        <f>IFERROR(__xludf.DUMMYFUNCTION("""COMPUTED_VALUE"""),"")</f>
        <v/>
      </c>
      <c r="H1870" s="17" t="str">
        <f>IFERROR(__xludf.DUMMYFUNCTION("""COMPUTED_VALUE"""),"")</f>
        <v/>
      </c>
      <c r="I1870" s="17" t="str">
        <f>IFERROR(__xludf.DUMMYFUNCTION("""COMPUTED_VALUE"""),"")</f>
        <v/>
      </c>
      <c r="J1870" s="17" t="str">
        <f>IFERROR(__xludf.DUMMYFUNCTION("""COMPUTED_VALUE"""),"")</f>
        <v/>
      </c>
      <c r="K1870" s="17" t="str">
        <f>IFERROR(__xludf.DUMMYFUNCTION("""COMPUTED_VALUE"""),"")</f>
        <v/>
      </c>
      <c r="L1870" s="17" t="str">
        <f>IFERROR(__xludf.DUMMYFUNCTION("""COMPUTED_VALUE"""),"")</f>
        <v/>
      </c>
      <c r="M1870" s="17" t="str">
        <f>IFERROR(__xludf.DUMMYFUNCTION("""COMPUTED_VALUE"""),"")</f>
        <v/>
      </c>
      <c r="N1870" s="17" t="str">
        <f>IFERROR(__xludf.DUMMYFUNCTION("""COMPUTED_VALUE"""),"")</f>
        <v/>
      </c>
      <c r="O1870" s="17" t="str">
        <f>IFERROR(__xludf.DUMMYFUNCTION("""COMPUTED_VALUE"""),"")</f>
        <v/>
      </c>
      <c r="P1870" s="17" t="str">
        <f>IFERROR(__xludf.DUMMYFUNCTION("""COMPUTED_VALUE"""),"")</f>
        <v/>
      </c>
      <c r="Q1870" s="17" t="str">
        <f>IFERROR(__xludf.DUMMYFUNCTION("""COMPUTED_VALUE"""),"")</f>
        <v/>
      </c>
      <c r="R1870" s="17" t="str">
        <f>IFERROR(__xludf.DUMMYFUNCTION("""COMPUTED_VALUE"""),"")</f>
        <v/>
      </c>
    </row>
    <row r="1871">
      <c r="A1871" s="15">
        <f>IFERROR(__xludf.DUMMYFUNCTION("""COMPUTED_VALUE"""),45055.0)</f>
        <v>45055</v>
      </c>
      <c r="B1871" s="16" t="str">
        <f>IFERROR(__xludf.DUMMYFUNCTION("""COMPUTED_VALUE"""),"Johan Alexander Escobar Arroyo ")</f>
        <v>Johan Alexander Escobar Arroyo </v>
      </c>
      <c r="C1871" s="15" t="str">
        <f>IFERROR(__xludf.DUMMYFUNCTION("""COMPUTED_VALUE"""),"CALI")</f>
        <v>CALI</v>
      </c>
      <c r="D1871" s="15" t="str">
        <f>IFERROR(__xludf.DUMMYFUNCTION("""COMPUTED_VALUE"""),"BOGOTÁ")</f>
        <v>BOGOTÁ</v>
      </c>
      <c r="E1871" s="15" t="str">
        <f>IFERROR(__xludf.DUMMYFUNCTION("""COMPUTED_VALUE"""),"Asociacion Agropecuaria Juana Maria")</f>
        <v>Asociacion Agropecuaria Juana Maria</v>
      </c>
      <c r="F1871" s="17" t="str">
        <f>IFERROR(__xludf.DUMMYFUNCTION("""COMPUTED_VALUE"""),"Carrera 17B # 33E-33 La Floresta vieja")</f>
        <v>Carrera 17B # 33E-33 La Floresta vieja</v>
      </c>
      <c r="G1871" s="15" t="str">
        <f>IFERROR(__xludf.DUMMYFUNCTION("""COMPUTED_VALUE"""),"Johanna acuña  Molina")</f>
        <v>Johanna acuña  Molina</v>
      </c>
      <c r="H1871" s="16">
        <f>IFERROR(__xludf.DUMMYFUNCTION("""COMPUTED_VALUE"""),10410.0)</f>
        <v>10410</v>
      </c>
      <c r="I1871" s="18">
        <f>IFERROR(__xludf.DUMMYFUNCTION("""COMPUTED_VALUE"""),10.0)</f>
        <v>10</v>
      </c>
      <c r="J1871" s="18">
        <f>IFERROR(__xludf.DUMMYFUNCTION("""COMPUTED_VALUE"""),34.0)</f>
        <v>34</v>
      </c>
      <c r="K1871" s="18">
        <f>IFERROR(__xludf.DUMMYFUNCTION("""COMPUTED_VALUE"""),18.0)</f>
        <v>18</v>
      </c>
      <c r="L1871" s="17">
        <f>IFERROR(__xludf.DUMMYFUNCTION("""COMPUTED_VALUE"""),3.218700343E9)</f>
        <v>3218700343</v>
      </c>
      <c r="M1871" s="17" t="str">
        <f>IFERROR(__xludf.DUMMYFUNCTION("""COMPUTED_VALUE"""),"#REF!")</f>
        <v>#REF!</v>
      </c>
      <c r="N1871" s="17"/>
      <c r="O1871" s="19">
        <f>IFERROR(__xludf.DUMMYFUNCTION("""COMPUTED_VALUE"""),10000.0)</f>
        <v>10000</v>
      </c>
      <c r="P1871" s="17" t="b">
        <f>IFERROR(__xludf.DUMMYFUNCTION("""COMPUTED_VALUE"""),FALSE)</f>
        <v>0</v>
      </c>
      <c r="Q1871" s="20" t="str">
        <f>IFERROR(__xludf.DUMMYFUNCTION("""COMPUTED_VALUE"""),"")</f>
        <v/>
      </c>
      <c r="R1871" s="22" t="str">
        <f>IFERROR(__xludf.DUMMYFUNCTION("""COMPUTED_VALUE"""),"")</f>
        <v/>
      </c>
    </row>
    <row r="1872">
      <c r="A1872" s="15">
        <f>IFERROR(__xludf.DUMMYFUNCTION("""COMPUTED_VALUE"""),45055.0)</f>
        <v>45055</v>
      </c>
      <c r="B1872" s="16" t="str">
        <f>IFERROR(__xludf.DUMMYFUNCTION("""COMPUTED_VALUE"""),"Johan Alexander Escobar Arroyo ")</f>
        <v>Johan Alexander Escobar Arroyo </v>
      </c>
      <c r="C1872" s="15" t="str">
        <f>IFERROR(__xludf.DUMMYFUNCTION("""COMPUTED_VALUE"""),"CALI")</f>
        <v>CALI</v>
      </c>
      <c r="D1872" s="15" t="str">
        <f>IFERROR(__xludf.DUMMYFUNCTION("""COMPUTED_VALUE"""),"BOGOTÁ")</f>
        <v>BOGOTÁ</v>
      </c>
      <c r="E1872" s="15" t="str">
        <f>IFERROR(__xludf.DUMMYFUNCTION("""COMPUTED_VALUE"""),"Evamazzita")</f>
        <v>Evamazzita</v>
      </c>
      <c r="F1872" s="17" t="str">
        <f>IFERROR(__xludf.DUMMYFUNCTION("""COMPUTED_VALUE"""),"(NO ENTREGAR ENTRE 12 Y 1PM) Cra 1a4c #70c1-49  / bloque 88 apt 501  Los Alcazares / (NO ENTREGAR ENTRE 12 Y 1PM)")</f>
        <v>(NO ENTREGAR ENTRE 12 Y 1PM) Cra 1a4c #70c1-49  / bloque 88 apt 501  Los Alcazares / (NO ENTREGAR ENTRE 12 Y 1PM)</v>
      </c>
      <c r="G1872" s="15" t="str">
        <f>IFERROR(__xludf.DUMMYFUNCTION("""COMPUTED_VALUE"""),"YENNY PATRICIA MONTAÑO")</f>
        <v>YENNY PATRICIA MONTAÑO</v>
      </c>
      <c r="H1872" s="16">
        <f>IFERROR(__xludf.DUMMYFUNCTION("""COMPUTED_VALUE"""),10456.0)</f>
        <v>10456</v>
      </c>
      <c r="I1872" s="18">
        <f>IFERROR(__xludf.DUMMYFUNCTION("""COMPUTED_VALUE"""),3.0)</f>
        <v>3</v>
      </c>
      <c r="J1872" s="18">
        <f>IFERROR(__xludf.DUMMYFUNCTION("""COMPUTED_VALUE"""),15.0)</f>
        <v>15</v>
      </c>
      <c r="K1872" s="18">
        <f>IFERROR(__xludf.DUMMYFUNCTION("""COMPUTED_VALUE"""),20.0)</f>
        <v>20</v>
      </c>
      <c r="L1872" s="17">
        <f>IFERROR(__xludf.DUMMYFUNCTION("""COMPUTED_VALUE"""),3.206663943E9)</f>
        <v>3206663943</v>
      </c>
      <c r="M1872" s="17" t="str">
        <f>IFERROR(__xludf.DUMMYFUNCTION("""COMPUTED_VALUE"""),"#REF!")</f>
        <v>#REF!</v>
      </c>
      <c r="N1872" s="17"/>
      <c r="O1872" s="19">
        <f>IFERROR(__xludf.DUMMYFUNCTION("""COMPUTED_VALUE"""),10000.0)</f>
        <v>10000</v>
      </c>
      <c r="P1872" s="17" t="b">
        <f>IFERROR(__xludf.DUMMYFUNCTION("""COMPUTED_VALUE"""),FALSE)</f>
        <v>0</v>
      </c>
      <c r="Q1872" s="20" t="str">
        <f>IFERROR(__xludf.DUMMYFUNCTION("""COMPUTED_VALUE"""),"")</f>
        <v/>
      </c>
      <c r="R1872" s="22" t="str">
        <f>IFERROR(__xludf.DUMMYFUNCTION("""COMPUTED_VALUE"""),"")</f>
        <v/>
      </c>
    </row>
    <row r="1873">
      <c r="A1873" s="15">
        <f>IFERROR(__xludf.DUMMYFUNCTION("""COMPUTED_VALUE"""),45055.0)</f>
        <v>45055</v>
      </c>
      <c r="B1873" s="16" t="str">
        <f>IFERROR(__xludf.DUMMYFUNCTION("""COMPUTED_VALUE"""),"Johan Alexander Escobar Arroyo ")</f>
        <v>Johan Alexander Escobar Arroyo </v>
      </c>
      <c r="C1873" s="15" t="str">
        <f>IFERROR(__xludf.DUMMYFUNCTION("""COMPUTED_VALUE"""),"CALI")</f>
        <v>CALI</v>
      </c>
      <c r="D1873" s="15" t="str">
        <f>IFERROR(__xludf.DUMMYFUNCTION("""COMPUTED_VALUE"""),"BOGOTÁ")</f>
        <v>BOGOTÁ</v>
      </c>
      <c r="E1873" s="15" t="str">
        <f>IFERROR(__xludf.DUMMYFUNCTION("""COMPUTED_VALUE"""),"Evamazzita")</f>
        <v>Evamazzita</v>
      </c>
      <c r="F1873" s="17" t="str">
        <f>IFERROR(__xludf.DUMMYFUNCTION("""COMPUTED_VALUE"""),"CALI: CRA 44 No. 13 - 63  / GUABAL  / RESTAURANTE DRAGON ORIENTAL")</f>
        <v>CALI: CRA 44 No. 13 - 63  / GUABAL  / RESTAURANTE DRAGON ORIENTAL</v>
      </c>
      <c r="G1873" s="15" t="str">
        <f>IFERROR(__xludf.DUMMYFUNCTION("""COMPUTED_VALUE"""),"LINA CARDONA")</f>
        <v>LINA CARDONA</v>
      </c>
      <c r="H1873" s="16">
        <f>IFERROR(__xludf.DUMMYFUNCTION("""COMPUTED_VALUE"""),10461.0)</f>
        <v>10461</v>
      </c>
      <c r="I1873" s="18">
        <f>IFERROR(__xludf.DUMMYFUNCTION("""COMPUTED_VALUE"""),3.0)</f>
        <v>3</v>
      </c>
      <c r="J1873" s="18">
        <f>IFERROR(__xludf.DUMMYFUNCTION("""COMPUTED_VALUE"""),20.0)</f>
        <v>20</v>
      </c>
      <c r="K1873" s="18">
        <f>IFERROR(__xludf.DUMMYFUNCTION("""COMPUTED_VALUE"""),15.0)</f>
        <v>15</v>
      </c>
      <c r="L1873" s="17">
        <f>IFERROR(__xludf.DUMMYFUNCTION("""COMPUTED_VALUE"""),3.183849217E9)</f>
        <v>3183849217</v>
      </c>
      <c r="M1873" s="17" t="str">
        <f>IFERROR(__xludf.DUMMYFUNCTION("""COMPUTED_VALUE"""),"#REF!")</f>
        <v>#REF!</v>
      </c>
      <c r="N1873" s="17"/>
      <c r="O1873" s="19">
        <f>IFERROR(__xludf.DUMMYFUNCTION("""COMPUTED_VALUE"""),10000.0)</f>
        <v>10000</v>
      </c>
      <c r="P1873" s="17" t="b">
        <f>IFERROR(__xludf.DUMMYFUNCTION("""COMPUTED_VALUE"""),FALSE)</f>
        <v>0</v>
      </c>
      <c r="Q1873" s="20" t="str">
        <f>IFERROR(__xludf.DUMMYFUNCTION("""COMPUTED_VALUE"""),"")</f>
        <v/>
      </c>
      <c r="R1873" s="22" t="str">
        <f>IFERROR(__xludf.DUMMYFUNCTION("""COMPUTED_VALUE"""),"")</f>
        <v/>
      </c>
    </row>
    <row r="1874">
      <c r="A1874" s="15">
        <f>IFERROR(__xludf.DUMMYFUNCTION("""COMPUTED_VALUE"""),45055.0)</f>
        <v>45055</v>
      </c>
      <c r="B1874" s="16" t="str">
        <f>IFERROR(__xludf.DUMMYFUNCTION("""COMPUTED_VALUE"""),"Johan Alexander Escobar Arroyo ")</f>
        <v>Johan Alexander Escobar Arroyo </v>
      </c>
      <c r="C1874" s="15" t="str">
        <f>IFERROR(__xludf.DUMMYFUNCTION("""COMPUTED_VALUE"""),"CALI")</f>
        <v>CALI</v>
      </c>
      <c r="D1874" s="15" t="str">
        <f>IFERROR(__xludf.DUMMYFUNCTION("""COMPUTED_VALUE"""),"BOGOTÁ")</f>
        <v>BOGOTÁ</v>
      </c>
      <c r="E1874" s="15" t="str">
        <f>IFERROR(__xludf.DUMMYFUNCTION("""COMPUTED_VALUE"""),"Evamazzita")</f>
        <v>Evamazzita</v>
      </c>
      <c r="F1874" s="17" t="str">
        <f>IFERROR(__xludf.DUMMYFUNCTION("""COMPUTED_VALUE"""),"Cll 9C # 40A-57  / Apto 201  / Los Cambulos")</f>
        <v>Cll 9C # 40A-57  / Apto 201  / Los Cambulos</v>
      </c>
      <c r="G1874" s="15" t="str">
        <f>IFERROR(__xludf.DUMMYFUNCTION("""COMPUTED_VALUE"""),"RAUL ALEXIS SAAVEDRA ROLDAN")</f>
        <v>RAUL ALEXIS SAAVEDRA ROLDAN</v>
      </c>
      <c r="H1874" s="16">
        <f>IFERROR(__xludf.DUMMYFUNCTION("""COMPUTED_VALUE"""),10457.0)</f>
        <v>10457</v>
      </c>
      <c r="I1874" s="18">
        <f>IFERROR(__xludf.DUMMYFUNCTION("""COMPUTED_VALUE"""),3.0)</f>
        <v>3</v>
      </c>
      <c r="J1874" s="18">
        <f>IFERROR(__xludf.DUMMYFUNCTION("""COMPUTED_VALUE"""),20.0)</f>
        <v>20</v>
      </c>
      <c r="K1874" s="18">
        <f>IFERROR(__xludf.DUMMYFUNCTION("""COMPUTED_VALUE"""),15.0)</f>
        <v>15</v>
      </c>
      <c r="L1874" s="17">
        <f>IFERROR(__xludf.DUMMYFUNCTION("""COMPUTED_VALUE"""),3.154033516E9)</f>
        <v>3154033516</v>
      </c>
      <c r="M1874" s="17" t="str">
        <f>IFERROR(__xludf.DUMMYFUNCTION("""COMPUTED_VALUE"""),"#REF!")</f>
        <v>#REF!</v>
      </c>
      <c r="N1874" s="17"/>
      <c r="O1874" s="19">
        <f>IFERROR(__xludf.DUMMYFUNCTION("""COMPUTED_VALUE"""),10000.0)</f>
        <v>10000</v>
      </c>
      <c r="P1874" s="17" t="b">
        <f>IFERROR(__xludf.DUMMYFUNCTION("""COMPUTED_VALUE"""),FALSE)</f>
        <v>0</v>
      </c>
      <c r="Q1874" s="20" t="str">
        <f>IFERROR(__xludf.DUMMYFUNCTION("""COMPUTED_VALUE"""),"")</f>
        <v/>
      </c>
      <c r="R1874" s="22" t="str">
        <f>IFERROR(__xludf.DUMMYFUNCTION("""COMPUTED_VALUE"""),"")</f>
        <v/>
      </c>
    </row>
    <row r="1875">
      <c r="A1875" s="15">
        <f>IFERROR(__xludf.DUMMYFUNCTION("""COMPUTED_VALUE"""),45055.0)</f>
        <v>45055</v>
      </c>
      <c r="B1875" s="16" t="str">
        <f>IFERROR(__xludf.DUMMYFUNCTION("""COMPUTED_VALUE"""),"Johan Alexander Escobar Arroyo ")</f>
        <v>Johan Alexander Escobar Arroyo </v>
      </c>
      <c r="C1875" s="15" t="str">
        <f>IFERROR(__xludf.DUMMYFUNCTION("""COMPUTED_VALUE"""),"CALI")</f>
        <v>CALI</v>
      </c>
      <c r="D1875" s="15" t="str">
        <f>IFERROR(__xludf.DUMMYFUNCTION("""COMPUTED_VALUE"""),"BOGOTÁ")</f>
        <v>BOGOTÁ</v>
      </c>
      <c r="E1875" s="15" t="str">
        <f>IFERROR(__xludf.DUMMYFUNCTION("""COMPUTED_VALUE"""),"Evamazzita")</f>
        <v>Evamazzita</v>
      </c>
      <c r="F1875" s="17" t="str">
        <f>IFERROR(__xludf.DUMMYFUNCTION("""COMPUTED_VALUE"""),"CrA 101 A # 45-109   / N/A / Valle de Lili")</f>
        <v>CrA 101 A # 45-109   / N/A / Valle de Lili</v>
      </c>
      <c r="G1875" s="15" t="str">
        <f>IFERROR(__xludf.DUMMYFUNCTION("""COMPUTED_VALUE"""),"SHERLLEY GONZALEZ")</f>
        <v>SHERLLEY GONZALEZ</v>
      </c>
      <c r="H1875" s="16">
        <f>IFERROR(__xludf.DUMMYFUNCTION("""COMPUTED_VALUE"""),10454.0)</f>
        <v>10454</v>
      </c>
      <c r="I1875" s="18">
        <f>IFERROR(__xludf.DUMMYFUNCTION("""COMPUTED_VALUE"""),3.0)</f>
        <v>3</v>
      </c>
      <c r="J1875" s="18">
        <f>IFERROR(__xludf.DUMMYFUNCTION("""COMPUTED_VALUE"""),20.0)</f>
        <v>20</v>
      </c>
      <c r="K1875" s="18">
        <f>IFERROR(__xludf.DUMMYFUNCTION("""COMPUTED_VALUE"""),15.0)</f>
        <v>15</v>
      </c>
      <c r="L1875" s="17">
        <f>IFERROR(__xludf.DUMMYFUNCTION("""COMPUTED_VALUE"""),3.123809562E9)</f>
        <v>3123809562</v>
      </c>
      <c r="M1875" s="17" t="str">
        <f>IFERROR(__xludf.DUMMYFUNCTION("""COMPUTED_VALUE"""),"#REF!")</f>
        <v>#REF!</v>
      </c>
      <c r="N1875" s="17"/>
      <c r="O1875" s="19">
        <f>IFERROR(__xludf.DUMMYFUNCTION("""COMPUTED_VALUE"""),10000.0)</f>
        <v>10000</v>
      </c>
      <c r="P1875" s="17" t="b">
        <f>IFERROR(__xludf.DUMMYFUNCTION("""COMPUTED_VALUE"""),FALSE)</f>
        <v>0</v>
      </c>
      <c r="Q1875" s="20" t="str">
        <f>IFERROR(__xludf.DUMMYFUNCTION("""COMPUTED_VALUE"""),"")</f>
        <v/>
      </c>
      <c r="R1875" s="22" t="str">
        <f>IFERROR(__xludf.DUMMYFUNCTION("""COMPUTED_VALUE"""),"")</f>
        <v/>
      </c>
    </row>
    <row r="1876">
      <c r="A1876" s="15">
        <f>IFERROR(__xludf.DUMMYFUNCTION("""COMPUTED_VALUE"""),45055.0)</f>
        <v>45055</v>
      </c>
      <c r="B1876" s="16" t="str">
        <f>IFERROR(__xludf.DUMMYFUNCTION("""COMPUTED_VALUE"""),"Johan Alexander Escobar Arroyo ")</f>
        <v>Johan Alexander Escobar Arroyo </v>
      </c>
      <c r="C1876" s="15" t="str">
        <f>IFERROR(__xludf.DUMMYFUNCTION("""COMPUTED_VALUE"""),"CALI")</f>
        <v>CALI</v>
      </c>
      <c r="D1876" s="15" t="str">
        <f>IFERROR(__xludf.DUMMYFUNCTION("""COMPUTED_VALUE"""),"BOGOTÁ")</f>
        <v>BOGOTÁ</v>
      </c>
      <c r="E1876" s="15" t="str">
        <f>IFERROR(__xludf.DUMMYFUNCTION("""COMPUTED_VALUE"""),"Evamazzita")</f>
        <v>Evamazzita</v>
      </c>
      <c r="F1876" s="17" t="str">
        <f>IFERROR(__xludf.DUMMYFUNCTION("""COMPUTED_VALUE"""),"Cra 79 #13b-110  / apto 203C Torres de santorino  / Barrio quintas de don Simón")</f>
        <v>Cra 79 #13b-110  / apto 203C Torres de santorino  / Barrio quintas de don Simón</v>
      </c>
      <c r="G1876" s="15" t="str">
        <f>IFERROR(__xludf.DUMMYFUNCTION("""COMPUTED_VALUE"""),"CAROLINA RUBIANO ARANGO")</f>
        <v>CAROLINA RUBIANO ARANGO</v>
      </c>
      <c r="H1876" s="16">
        <f>IFERROR(__xludf.DUMMYFUNCTION("""COMPUTED_VALUE"""),10455.0)</f>
        <v>10455</v>
      </c>
      <c r="I1876" s="18">
        <f>IFERROR(__xludf.DUMMYFUNCTION("""COMPUTED_VALUE"""),3.0)</f>
        <v>3</v>
      </c>
      <c r="J1876" s="18">
        <f>IFERROR(__xludf.DUMMYFUNCTION("""COMPUTED_VALUE"""),20.0)</f>
        <v>20</v>
      </c>
      <c r="K1876" s="18">
        <f>IFERROR(__xludf.DUMMYFUNCTION("""COMPUTED_VALUE"""),15.0)</f>
        <v>15</v>
      </c>
      <c r="L1876" s="17">
        <f>IFERROR(__xludf.DUMMYFUNCTION("""COMPUTED_VALUE"""),3.113311218E9)</f>
        <v>3113311218</v>
      </c>
      <c r="M1876" s="17" t="str">
        <f>IFERROR(__xludf.DUMMYFUNCTION("""COMPUTED_VALUE"""),"#REF!")</f>
        <v>#REF!</v>
      </c>
      <c r="N1876" s="17"/>
      <c r="O1876" s="19">
        <f>IFERROR(__xludf.DUMMYFUNCTION("""COMPUTED_VALUE"""),10000.0)</f>
        <v>10000</v>
      </c>
      <c r="P1876" s="17" t="b">
        <f>IFERROR(__xludf.DUMMYFUNCTION("""COMPUTED_VALUE"""),FALSE)</f>
        <v>0</v>
      </c>
      <c r="Q1876" s="20" t="str">
        <f>IFERROR(__xludf.DUMMYFUNCTION("""COMPUTED_VALUE"""),"")</f>
        <v/>
      </c>
      <c r="R1876" s="22" t="str">
        <f>IFERROR(__xludf.DUMMYFUNCTION("""COMPUTED_VALUE"""),"")</f>
        <v/>
      </c>
    </row>
    <row r="1877">
      <c r="A1877" s="15">
        <f>IFERROR(__xludf.DUMMYFUNCTION("""COMPUTED_VALUE"""),45055.0)</f>
        <v>45055</v>
      </c>
      <c r="B1877" s="16" t="str">
        <f>IFERROR(__xludf.DUMMYFUNCTION("""COMPUTED_VALUE"""),"Johan Alexander Escobar Arroyo ")</f>
        <v>Johan Alexander Escobar Arroyo </v>
      </c>
      <c r="C1877" s="15" t="str">
        <f>IFERROR(__xludf.DUMMYFUNCTION("""COMPUTED_VALUE"""),"CALI")</f>
        <v>CALI</v>
      </c>
      <c r="D1877" s="15" t="str">
        <f>IFERROR(__xludf.DUMMYFUNCTION("""COMPUTED_VALUE"""),"BOGOTÁ")</f>
        <v>BOGOTÁ</v>
      </c>
      <c r="E1877" s="15" t="str">
        <f>IFERROR(__xludf.DUMMYFUNCTION("""COMPUTED_VALUE"""),"Ins. Alimento Vital")</f>
        <v>Ins. Alimento Vital</v>
      </c>
      <c r="F1877" s="17" t="str">
        <f>IFERROR(__xludf.DUMMYFUNCTION("""COMPUTED_VALUE"""),"CL 34 N 2BN 33 / BODEGA / BARRIO SAN VICENTE")</f>
        <v>CL 34 N 2BN 33 / BODEGA / BARRIO SAN VICENTE</v>
      </c>
      <c r="G1877" s="15" t="str">
        <f>IFERROR(__xludf.DUMMYFUNCTION("""COMPUTED_VALUE"""),"VELOCITY")</f>
        <v>VELOCITY</v>
      </c>
      <c r="H1877" s="16">
        <f>IFERROR(__xludf.DUMMYFUNCTION("""COMPUTED_VALUE"""),10427.0)</f>
        <v>10427</v>
      </c>
      <c r="I1877" s="18">
        <f>IFERROR(__xludf.DUMMYFUNCTION("""COMPUTED_VALUE"""),1.0)</f>
        <v>1</v>
      </c>
      <c r="J1877" s="18">
        <f>IFERROR(__xludf.DUMMYFUNCTION("""COMPUTED_VALUE"""),1.0)</f>
        <v>1</v>
      </c>
      <c r="K1877" s="18">
        <f>IFERROR(__xludf.DUMMYFUNCTION("""COMPUTED_VALUE"""),1.0)</f>
        <v>1</v>
      </c>
      <c r="L1877" s="17">
        <f>IFERROR(__xludf.DUMMYFUNCTION("""COMPUTED_VALUE"""),3.117591055E9)</f>
        <v>3117591055</v>
      </c>
      <c r="M1877" s="17" t="str">
        <f>IFERROR(__xludf.DUMMYFUNCTION("""COMPUTED_VALUE"""),"#REF!")</f>
        <v>#REF!</v>
      </c>
      <c r="N1877" s="17"/>
      <c r="O1877" s="19">
        <f>IFERROR(__xludf.DUMMYFUNCTION("""COMPUTED_VALUE"""),10000.0)</f>
        <v>10000</v>
      </c>
      <c r="P1877" s="17" t="b">
        <f>IFERROR(__xludf.DUMMYFUNCTION("""COMPUTED_VALUE"""),FALSE)</f>
        <v>0</v>
      </c>
      <c r="Q1877" s="20" t="str">
        <f>IFERROR(__xludf.DUMMYFUNCTION("""COMPUTED_VALUE"""),"")</f>
        <v/>
      </c>
      <c r="R1877" s="22" t="str">
        <f>IFERROR(__xludf.DUMMYFUNCTION("""COMPUTED_VALUE"""),"")</f>
        <v/>
      </c>
    </row>
    <row r="1878">
      <c r="A1878" s="15">
        <f>IFERROR(__xludf.DUMMYFUNCTION("""COMPUTED_VALUE"""),45055.0)</f>
        <v>45055</v>
      </c>
      <c r="B1878" s="16" t="str">
        <f>IFERROR(__xludf.DUMMYFUNCTION("""COMPUTED_VALUE"""),"Johan Alexander Escobar Arroyo ")</f>
        <v>Johan Alexander Escobar Arroyo </v>
      </c>
      <c r="C1878" s="15" t="str">
        <f>IFERROR(__xludf.DUMMYFUNCTION("""COMPUTED_VALUE"""),"CALI")</f>
        <v>CALI</v>
      </c>
      <c r="D1878" s="15" t="str">
        <f>IFERROR(__xludf.DUMMYFUNCTION("""COMPUTED_VALUE"""),"BOGOTÁ")</f>
        <v>BOGOTÁ</v>
      </c>
      <c r="E1878" s="15" t="str">
        <f>IFERROR(__xludf.DUMMYFUNCTION("""COMPUTED_VALUE"""),"Loomifoods")</f>
        <v>Loomifoods</v>
      </c>
      <c r="F1878" s="17" t="str">
        <f>IFERROR(__xludf.DUMMYFUNCTION("""COMPUTED_VALUE"""),"Calle 21 AN no. 9 AN - 81 / Edificio Tali, apto 503 / Barrio Santa Mónica")</f>
        <v>Calle 21 AN no. 9 AN - 81 / Edificio Tali, apto 503 / Barrio Santa Mónica</v>
      </c>
      <c r="G1878" s="15" t="str">
        <f>IFERROR(__xludf.DUMMYFUNCTION("""COMPUTED_VALUE"""),"Alejandra Gomez")</f>
        <v>Alejandra Gomez</v>
      </c>
      <c r="H1878" s="16">
        <f>IFERROR(__xludf.DUMMYFUNCTION("""COMPUTED_VALUE"""),10483.0)</f>
        <v>10483</v>
      </c>
      <c r="I1878" s="18">
        <f>IFERROR(__xludf.DUMMYFUNCTION("""COMPUTED_VALUE"""),20.0)</f>
        <v>20</v>
      </c>
      <c r="J1878" s="18">
        <f>IFERROR(__xludf.DUMMYFUNCTION("""COMPUTED_VALUE"""),10.0)</f>
        <v>10</v>
      </c>
      <c r="K1878" s="18">
        <f>IFERROR(__xludf.DUMMYFUNCTION("""COMPUTED_VALUE"""),16.0)</f>
        <v>16</v>
      </c>
      <c r="L1878" s="17">
        <f>IFERROR(__xludf.DUMMYFUNCTION("""COMPUTED_VALUE"""),3.012249591E9)</f>
        <v>3012249591</v>
      </c>
      <c r="M1878" s="17" t="str">
        <f>IFERROR(__xludf.DUMMYFUNCTION("""COMPUTED_VALUE"""),"#REF!")</f>
        <v>#REF!</v>
      </c>
      <c r="N1878" s="17"/>
      <c r="O1878" s="19">
        <f>IFERROR(__xludf.DUMMYFUNCTION("""COMPUTED_VALUE"""),10000.0)</f>
        <v>10000</v>
      </c>
      <c r="P1878" s="17" t="b">
        <f>IFERROR(__xludf.DUMMYFUNCTION("""COMPUTED_VALUE"""),FALSE)</f>
        <v>0</v>
      </c>
      <c r="Q1878" s="20" t="str">
        <f>IFERROR(__xludf.DUMMYFUNCTION("""COMPUTED_VALUE"""),"")</f>
        <v/>
      </c>
      <c r="R1878" s="22" t="str">
        <f>IFERROR(__xludf.DUMMYFUNCTION("""COMPUTED_VALUE"""),"")</f>
        <v/>
      </c>
    </row>
    <row r="1879">
      <c r="A1879" s="15">
        <f>IFERROR(__xludf.DUMMYFUNCTION("""COMPUTED_VALUE"""),45055.0)</f>
        <v>45055</v>
      </c>
      <c r="B1879" s="16" t="str">
        <f>IFERROR(__xludf.DUMMYFUNCTION("""COMPUTED_VALUE"""),"Johan Alexander Escobar Arroyo ")</f>
        <v>Johan Alexander Escobar Arroyo </v>
      </c>
      <c r="C1879" s="15" t="str">
        <f>IFERROR(__xludf.DUMMYFUNCTION("""COMPUTED_VALUE"""),"IBAGUÉ")</f>
        <v>IBAGUÉ</v>
      </c>
      <c r="D1879" s="15" t="str">
        <f>IFERROR(__xludf.DUMMYFUNCTION("""COMPUTED_VALUE"""),"BOGOTÁ")</f>
        <v>BOGOTÁ</v>
      </c>
      <c r="E1879" s="15" t="str">
        <f>IFERROR(__xludf.DUMMYFUNCTION("""COMPUTED_VALUE"""),"Pan de Waffle")</f>
        <v>Pan de Waffle</v>
      </c>
      <c r="F1879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1879" s="15" t="str">
        <f>IFERROR(__xludf.DUMMYFUNCTION("""COMPUTED_VALUE"""),"SOY NATURAL SEDE EL VERGEL")</f>
        <v>SOY NATURAL SEDE EL VERGEL</v>
      </c>
      <c r="H1879" s="16">
        <f>IFERROR(__xludf.DUMMYFUNCTION("""COMPUTED_VALUE"""),10471.0)</f>
        <v>10471</v>
      </c>
      <c r="I1879" s="18">
        <f>IFERROR(__xludf.DUMMYFUNCTION("""COMPUTED_VALUE"""),40.0)</f>
        <v>40</v>
      </c>
      <c r="J1879" s="18">
        <f>IFERROR(__xludf.DUMMYFUNCTION("""COMPUTED_VALUE"""),40.0)</f>
        <v>40</v>
      </c>
      <c r="K1879" s="18">
        <f>IFERROR(__xludf.DUMMYFUNCTION("""COMPUTED_VALUE"""),30.0)</f>
        <v>30</v>
      </c>
      <c r="L1879" s="17">
        <f>IFERROR(__xludf.DUMMYFUNCTION("""COMPUTED_VALUE"""),3.208565148E9)</f>
        <v>3208565148</v>
      </c>
      <c r="M1879" s="17" t="str">
        <f>IFERROR(__xludf.DUMMYFUNCTION("""COMPUTED_VALUE"""),"#REF!")</f>
        <v>#REF!</v>
      </c>
      <c r="N1879" s="17"/>
      <c r="O1879" s="17"/>
      <c r="P1879" s="17" t="b">
        <f>IFERROR(__xludf.DUMMYFUNCTION("""COMPUTED_VALUE"""),FALSE)</f>
        <v>0</v>
      </c>
      <c r="Q1879" s="20" t="str">
        <f>IFERROR(__xludf.DUMMYFUNCTION("""COMPUTED_VALUE"""),"")</f>
        <v/>
      </c>
      <c r="R1879" s="22" t="str">
        <f>IFERROR(__xludf.DUMMYFUNCTION("""COMPUTED_VALUE"""),"")</f>
        <v/>
      </c>
    </row>
    <row r="1880">
      <c r="A1880" s="15">
        <f>IFERROR(__xludf.DUMMYFUNCTION("""COMPUTED_VALUE"""),45055.0)</f>
        <v>45055</v>
      </c>
      <c r="B1880" s="16" t="str">
        <f>IFERROR(__xludf.DUMMYFUNCTION("""COMPUTED_VALUE"""),"Johan Alexander Escobar Arroyo ")</f>
        <v>Johan Alexander Escobar Arroyo </v>
      </c>
      <c r="C1880" s="15" t="str">
        <f>IFERROR(__xludf.DUMMYFUNCTION("""COMPUTED_VALUE"""),"IBAGUÉ")</f>
        <v>IBAGUÉ</v>
      </c>
      <c r="D1880" s="15" t="str">
        <f>IFERROR(__xludf.DUMMYFUNCTION("""COMPUTED_VALUE"""),"BOGOTÁ")</f>
        <v>BOGOTÁ</v>
      </c>
      <c r="E1880" s="15" t="str">
        <f>IFERROR(__xludf.DUMMYFUNCTION("""COMPUTED_VALUE"""),"Pan de Waffle")</f>
        <v>Pan de Waffle</v>
      </c>
      <c r="F1880" s="17" t="str">
        <f>IFERROR(__xludf.DUMMYFUNCTION("""COMPUTED_VALUE"""),"Carrera 6a # 61 - 71 Prados del Norte / Carrera 6a # 61 - 71 Prados del Norte / Carrera 6a # 61 - 71 Prados del Norte")</f>
        <v>Carrera 6a # 61 - 71 Prados del Norte / Carrera 6a # 61 - 71 Prados del Norte / Carrera 6a # 61 - 71 Prados del Norte</v>
      </c>
      <c r="G1880" s="15" t="str">
        <f>IFERROR(__xludf.DUMMYFUNCTION("""COMPUTED_VALUE"""),"SOY NATURAL SEDE 60")</f>
        <v>SOY NATURAL SEDE 60</v>
      </c>
      <c r="H1880" s="16">
        <f>IFERROR(__xludf.DUMMYFUNCTION("""COMPUTED_VALUE"""),10470.0)</f>
        <v>10470</v>
      </c>
      <c r="I1880" s="18">
        <f>IFERROR(__xludf.DUMMYFUNCTION("""COMPUTED_VALUE"""),20.0)</f>
        <v>20</v>
      </c>
      <c r="J1880" s="18">
        <f>IFERROR(__xludf.DUMMYFUNCTION("""COMPUTED_VALUE"""),30.0)</f>
        <v>30</v>
      </c>
      <c r="K1880" s="18">
        <f>IFERROR(__xludf.DUMMYFUNCTION("""COMPUTED_VALUE"""),30.0)</f>
        <v>30</v>
      </c>
      <c r="L1880" s="17">
        <f>IFERROR(__xludf.DUMMYFUNCTION("""COMPUTED_VALUE"""),3.183851902E9)</f>
        <v>3183851902</v>
      </c>
      <c r="M1880" s="17" t="str">
        <f>IFERROR(__xludf.DUMMYFUNCTION("""COMPUTED_VALUE"""),"#REF!")</f>
        <v>#REF!</v>
      </c>
      <c r="N1880" s="17"/>
      <c r="O1880" s="19">
        <f>IFERROR(__xludf.DUMMYFUNCTION("""COMPUTED_VALUE"""),10000.0)</f>
        <v>10000</v>
      </c>
      <c r="P1880" s="17" t="b">
        <f>IFERROR(__xludf.DUMMYFUNCTION("""COMPUTED_VALUE"""),FALSE)</f>
        <v>0</v>
      </c>
      <c r="Q1880" s="20" t="str">
        <f>IFERROR(__xludf.DUMMYFUNCTION("""COMPUTED_VALUE"""),"")</f>
        <v/>
      </c>
      <c r="R1880" s="22" t="str">
        <f>IFERROR(__xludf.DUMMYFUNCTION("""COMPUTED_VALUE"""),"")</f>
        <v/>
      </c>
    </row>
    <row r="1881">
      <c r="A1881" s="17" t="str">
        <f>IFERROR(__xludf.DUMMYFUNCTION("""COMPUTED_VALUE"""),"")</f>
        <v/>
      </c>
      <c r="B1881" s="17" t="str">
        <f>IFERROR(__xludf.DUMMYFUNCTION("""COMPUTED_VALUE"""),"")</f>
        <v/>
      </c>
      <c r="C1881" s="17" t="str">
        <f>IFERROR(__xludf.DUMMYFUNCTION("""COMPUTED_VALUE"""),"")</f>
        <v/>
      </c>
      <c r="D1881" s="17" t="str">
        <f>IFERROR(__xludf.DUMMYFUNCTION("""COMPUTED_VALUE"""),"")</f>
        <v/>
      </c>
      <c r="E1881" s="17" t="str">
        <f>IFERROR(__xludf.DUMMYFUNCTION("""COMPUTED_VALUE"""),"")</f>
        <v/>
      </c>
      <c r="F1881" s="17" t="str">
        <f>IFERROR(__xludf.DUMMYFUNCTION("""COMPUTED_VALUE"""),"")</f>
        <v/>
      </c>
      <c r="G1881" s="17" t="str">
        <f>IFERROR(__xludf.DUMMYFUNCTION("""COMPUTED_VALUE"""),"")</f>
        <v/>
      </c>
      <c r="H1881" s="17" t="str">
        <f>IFERROR(__xludf.DUMMYFUNCTION("""COMPUTED_VALUE"""),"")</f>
        <v/>
      </c>
      <c r="I1881" s="17" t="str">
        <f>IFERROR(__xludf.DUMMYFUNCTION("""COMPUTED_VALUE"""),"")</f>
        <v/>
      </c>
      <c r="J1881" s="17" t="str">
        <f>IFERROR(__xludf.DUMMYFUNCTION("""COMPUTED_VALUE"""),"")</f>
        <v/>
      </c>
      <c r="K1881" s="17" t="str">
        <f>IFERROR(__xludf.DUMMYFUNCTION("""COMPUTED_VALUE"""),"")</f>
        <v/>
      </c>
      <c r="L1881" s="17" t="str">
        <f>IFERROR(__xludf.DUMMYFUNCTION("""COMPUTED_VALUE"""),"")</f>
        <v/>
      </c>
      <c r="M1881" s="17" t="str">
        <f>IFERROR(__xludf.DUMMYFUNCTION("""COMPUTED_VALUE"""),"")</f>
        <v/>
      </c>
      <c r="N1881" s="17" t="str">
        <f>IFERROR(__xludf.DUMMYFUNCTION("""COMPUTED_VALUE"""),"")</f>
        <v/>
      </c>
      <c r="O1881" s="17" t="str">
        <f>IFERROR(__xludf.DUMMYFUNCTION("""COMPUTED_VALUE"""),"")</f>
        <v/>
      </c>
      <c r="P1881" s="17" t="str">
        <f>IFERROR(__xludf.DUMMYFUNCTION("""COMPUTED_VALUE"""),"")</f>
        <v/>
      </c>
      <c r="Q1881" s="17" t="str">
        <f>IFERROR(__xludf.DUMMYFUNCTION("""COMPUTED_VALUE"""),"")</f>
        <v/>
      </c>
      <c r="R1881" s="17" t="str">
        <f>IFERROR(__xludf.DUMMYFUNCTION("""COMPUTED_VALUE"""),"")</f>
        <v/>
      </c>
    </row>
    <row r="1882">
      <c r="A1882" s="15">
        <f>IFERROR(__xludf.DUMMYFUNCTION("""COMPUTED_VALUE"""),45055.0)</f>
        <v>45055</v>
      </c>
      <c r="B1882" s="16" t="str">
        <f>IFERROR(__xludf.DUMMYFUNCTION("""COMPUTED_VALUE"""),"Jonathan Steven Taborda")</f>
        <v>Jonathan Steven Taborda</v>
      </c>
      <c r="C1882" s="15" t="str">
        <f>IFERROR(__xludf.DUMMYFUNCTION("""COMPUTED_VALUE"""),"FUNZA")</f>
        <v>FUNZA</v>
      </c>
      <c r="D1882" s="15" t="str">
        <f>IFERROR(__xludf.DUMMYFUNCTION("""COMPUTED_VALUE"""),"MANIZALES")</f>
        <v>MANIZALES</v>
      </c>
      <c r="E1882" s="15" t="str">
        <f>IFERROR(__xludf.DUMMYFUNCTION("""COMPUTED_VALUE"""),"Congelados Típicos")</f>
        <v>Congelados Típicos</v>
      </c>
      <c r="F1882" s="17" t="str">
        <f>IFERROR(__xludf.DUMMYFUNCTION("""COMPUTED_VALUE"""),"Autopista Medellín Vía Siberia - La Vega Km 7 Parque industrial Interpark lote 79 Frubana-Red Polar / Parque industrial Interpark lote 79 Frubana-Red Polar / Autopista Bogota Medellin - Funza")</f>
        <v>Autopista Medellín Vía Siberia - La Vega Km 7 Parque industrial Interpark lote 79 Frubana-Red Polar / Parque industrial Interpark lote 79 Frubana-Red Polar / Autopista Bogota Medellin - Funza</v>
      </c>
      <c r="G1882" s="15" t="str">
        <f>IFERROR(__xludf.DUMMYFUNCTION("""COMPUTED_VALUE"""),"FRUBANA S.A.S")</f>
        <v>FRUBANA S.A.S</v>
      </c>
      <c r="H1882" s="16">
        <f>IFERROR(__xludf.DUMMYFUNCTION("""COMPUTED_VALUE"""),10445.0)</f>
        <v>10445</v>
      </c>
      <c r="I1882" s="18" t="str">
        <f>IFERROR(__xludf.DUMMYFUNCTION("""COMPUTED_VALUE"""),"52.5")</f>
        <v>52.5</v>
      </c>
      <c r="J1882" s="18">
        <f>IFERROR(__xludf.DUMMYFUNCTION("""COMPUTED_VALUE"""),55.0)</f>
        <v>55</v>
      </c>
      <c r="K1882" s="18">
        <f>IFERROR(__xludf.DUMMYFUNCTION("""COMPUTED_VALUE"""),45.0)</f>
        <v>45</v>
      </c>
      <c r="L1882" s="17">
        <f>IFERROR(__xludf.DUMMYFUNCTION("""COMPUTED_VALUE"""),3.1861887006E10)</f>
        <v>31861887006</v>
      </c>
      <c r="M1882" s="17" t="str">
        <f>IFERROR(__xludf.DUMMYFUNCTION("""COMPUTED_VALUE"""),"#REF!")</f>
        <v>#REF!</v>
      </c>
      <c r="N1882" s="17"/>
      <c r="O1882" s="17"/>
      <c r="P1882" s="17" t="b">
        <f>IFERROR(__xludf.DUMMYFUNCTION("""COMPUTED_VALUE"""),FALSE)</f>
        <v>0</v>
      </c>
      <c r="Q1882" s="20" t="str">
        <f>IFERROR(__xludf.DUMMYFUNCTION("""COMPUTED_VALUE"""),"")</f>
        <v/>
      </c>
      <c r="R1882" s="22" t="str">
        <f>IFERROR(__xludf.DUMMYFUNCTION("""COMPUTED_VALUE"""),"")</f>
        <v/>
      </c>
    </row>
    <row r="1883">
      <c r="A1883" s="15">
        <f>IFERROR(__xludf.DUMMYFUNCTION("""COMPUTED_VALUE"""),45055.0)</f>
        <v>45055</v>
      </c>
      <c r="B1883" s="16" t="str">
        <f>IFERROR(__xludf.DUMMYFUNCTION("""COMPUTED_VALUE"""),"Jonathan Steven Taborda")</f>
        <v>Jonathan Steven Taborda</v>
      </c>
      <c r="C1883" s="15" t="str">
        <f>IFERROR(__xludf.DUMMYFUNCTION("""COMPUTED_VALUE"""),"FUNZA")</f>
        <v>FUNZA</v>
      </c>
      <c r="D1883" s="15" t="str">
        <f>IFERROR(__xludf.DUMMYFUNCTION("""COMPUTED_VALUE"""),"MANIZALES")</f>
        <v>MANIZALES</v>
      </c>
      <c r="E1883" s="15" t="str">
        <f>IFERROR(__xludf.DUMMYFUNCTION("""COMPUTED_VALUE"""),"Congelados Típicos")</f>
        <v>Congelados Típicos</v>
      </c>
      <c r="F1883" s="17" t="str">
        <f>IFERROR(__xludf.DUMMYFUNCTION("""COMPUTED_VALUE"""),"Autopista Medellín Vía Siberia - La Vega Km 7 Parque industrial Interpark lote 79 Frubana-Red Polar / Parque industrial Interpark lote 79 Frubana-Red Polar / Autopista Bogota Medellin - Funza")</f>
        <v>Autopista Medellín Vía Siberia - La Vega Km 7 Parque industrial Interpark lote 79 Frubana-Red Polar / Parque industrial Interpark lote 79 Frubana-Red Polar / Autopista Bogota Medellin - Funza</v>
      </c>
      <c r="G1883" s="15" t="str">
        <f>IFERROR(__xludf.DUMMYFUNCTION("""COMPUTED_VALUE"""),"FRUBANA S.A.S")</f>
        <v>FRUBANA S.A.S</v>
      </c>
      <c r="H1883" s="16">
        <f>IFERROR(__xludf.DUMMYFUNCTION("""COMPUTED_VALUE"""),10447.0)</f>
        <v>10447</v>
      </c>
      <c r="I1883" s="18" t="str">
        <f>IFERROR(__xludf.DUMMYFUNCTION("""COMPUTED_VALUE"""),"52.5")</f>
        <v>52.5</v>
      </c>
      <c r="J1883" s="18">
        <f>IFERROR(__xludf.DUMMYFUNCTION("""COMPUTED_VALUE"""),55.0)</f>
        <v>55</v>
      </c>
      <c r="K1883" s="18">
        <f>IFERROR(__xludf.DUMMYFUNCTION("""COMPUTED_VALUE"""),45.0)</f>
        <v>45</v>
      </c>
      <c r="L1883" s="17">
        <f>IFERROR(__xludf.DUMMYFUNCTION("""COMPUTED_VALUE"""),3.186187006E9)</f>
        <v>3186187006</v>
      </c>
      <c r="M1883" s="17" t="str">
        <f>IFERROR(__xludf.DUMMYFUNCTION("""COMPUTED_VALUE"""),"#REF!")</f>
        <v>#REF!</v>
      </c>
      <c r="N1883" s="17"/>
      <c r="O1883" s="19">
        <f>IFERROR(__xludf.DUMMYFUNCTION("""COMPUTED_VALUE"""),0.0)</f>
        <v>0</v>
      </c>
      <c r="P1883" s="17" t="b">
        <f>IFERROR(__xludf.DUMMYFUNCTION("""COMPUTED_VALUE"""),TRUE)</f>
        <v>1</v>
      </c>
      <c r="Q1883" s="20">
        <f>IFERROR(__xludf.DUMMYFUNCTION("""COMPUTED_VALUE"""),45056.39709190972)</f>
        <v>45056.39709</v>
      </c>
      <c r="R1883" s="22" t="str">
        <f>IFERROR(__xludf.DUMMYFUNCTION("""COMPUTED_VALUE"""),"")</f>
        <v/>
      </c>
    </row>
    <row r="1884">
      <c r="A1884" s="17" t="str">
        <f>IFERROR(__xludf.DUMMYFUNCTION("""COMPUTED_VALUE"""),"")</f>
        <v/>
      </c>
      <c r="B1884" s="17" t="str">
        <f>IFERROR(__xludf.DUMMYFUNCTION("""COMPUTED_VALUE"""),"")</f>
        <v/>
      </c>
      <c r="C1884" s="17" t="str">
        <f>IFERROR(__xludf.DUMMYFUNCTION("""COMPUTED_VALUE"""),"")</f>
        <v/>
      </c>
      <c r="D1884" s="17" t="str">
        <f>IFERROR(__xludf.DUMMYFUNCTION("""COMPUTED_VALUE"""),"")</f>
        <v/>
      </c>
      <c r="E1884" s="17" t="str">
        <f>IFERROR(__xludf.DUMMYFUNCTION("""COMPUTED_VALUE"""),"")</f>
        <v/>
      </c>
      <c r="F1884" s="17" t="str">
        <f>IFERROR(__xludf.DUMMYFUNCTION("""COMPUTED_VALUE"""),"")</f>
        <v/>
      </c>
      <c r="G1884" s="17" t="str">
        <f>IFERROR(__xludf.DUMMYFUNCTION("""COMPUTED_VALUE"""),"")</f>
        <v/>
      </c>
      <c r="H1884" s="17" t="str">
        <f>IFERROR(__xludf.DUMMYFUNCTION("""COMPUTED_VALUE"""),"")</f>
        <v/>
      </c>
      <c r="I1884" s="17" t="str">
        <f>IFERROR(__xludf.DUMMYFUNCTION("""COMPUTED_VALUE"""),"")</f>
        <v/>
      </c>
      <c r="J1884" s="17" t="str">
        <f>IFERROR(__xludf.DUMMYFUNCTION("""COMPUTED_VALUE"""),"")</f>
        <v/>
      </c>
      <c r="K1884" s="17" t="str">
        <f>IFERROR(__xludf.DUMMYFUNCTION("""COMPUTED_VALUE"""),"")</f>
        <v/>
      </c>
      <c r="L1884" s="17" t="str">
        <f>IFERROR(__xludf.DUMMYFUNCTION("""COMPUTED_VALUE"""),"")</f>
        <v/>
      </c>
      <c r="M1884" s="17" t="str">
        <f>IFERROR(__xludf.DUMMYFUNCTION("""COMPUTED_VALUE"""),"")</f>
        <v/>
      </c>
      <c r="N1884" s="17" t="str">
        <f>IFERROR(__xludf.DUMMYFUNCTION("""COMPUTED_VALUE"""),"")</f>
        <v/>
      </c>
      <c r="O1884" s="17" t="str">
        <f>IFERROR(__xludf.DUMMYFUNCTION("""COMPUTED_VALUE"""),"")</f>
        <v/>
      </c>
      <c r="P1884" s="17" t="str">
        <f>IFERROR(__xludf.DUMMYFUNCTION("""COMPUTED_VALUE"""),"")</f>
        <v/>
      </c>
      <c r="Q1884" s="17" t="str">
        <f>IFERROR(__xludf.DUMMYFUNCTION("""COMPUTED_VALUE"""),"")</f>
        <v/>
      </c>
      <c r="R1884" s="17" t="str">
        <f>IFERROR(__xludf.DUMMYFUNCTION("""COMPUTED_VALUE"""),"")</f>
        <v/>
      </c>
    </row>
    <row r="1885">
      <c r="A1885" s="15">
        <f>IFERROR(__xludf.DUMMYFUNCTION("""COMPUTED_VALUE"""),45055.0)</f>
        <v>45055</v>
      </c>
      <c r="B1885" s="16" t="str">
        <f>IFERROR(__xludf.DUMMYFUNCTION("""COMPUTED_VALUE"""),"Oscar Augusto Meneses Osias")</f>
        <v>Oscar Augusto Meneses Osias</v>
      </c>
      <c r="C1885" s="15" t="str">
        <f>IFERROR(__xludf.DUMMYFUNCTION("""COMPUTED_VALUE"""),"MEDELLÍN")</f>
        <v>MEDELLÍN</v>
      </c>
      <c r="D1885" s="15" t="str">
        <f>IFERROR(__xludf.DUMMYFUNCTION("""COMPUTED_VALUE"""),"BOGOTÁ")</f>
        <v>BOGOTÁ</v>
      </c>
      <c r="E1885" s="15" t="str">
        <f>IFERROR(__xludf.DUMMYFUNCTION("""COMPUTED_VALUE"""),"Asociacion Agropecuaria Juana Maria")</f>
        <v>Asociacion Agropecuaria Juana Maria</v>
      </c>
      <c r="F1885" s="17" t="str">
        <f>IFERROR(__xludf.DUMMYFUNCTION("""COMPUTED_VALUE"""),"Carrera 15 BA # 30D-44 int 201")</f>
        <v>Carrera 15 BA # 30D-44 int 201</v>
      </c>
      <c r="G1885" s="15" t="str">
        <f>IFERROR(__xludf.DUMMYFUNCTION("""COMPUTED_VALUE"""),"Daniela Bedoya Blandon")</f>
        <v>Daniela Bedoya Blandon</v>
      </c>
      <c r="H1885" s="16">
        <f>IFERROR(__xludf.DUMMYFUNCTION("""COMPUTED_VALUE"""),10418.0)</f>
        <v>10418</v>
      </c>
      <c r="I1885" s="18">
        <f>IFERROR(__xludf.DUMMYFUNCTION("""COMPUTED_VALUE"""),21.0)</f>
        <v>21</v>
      </c>
      <c r="J1885" s="18">
        <f>IFERROR(__xludf.DUMMYFUNCTION("""COMPUTED_VALUE"""),37.0)</f>
        <v>37</v>
      </c>
      <c r="K1885" s="18">
        <f>IFERROR(__xludf.DUMMYFUNCTION("""COMPUTED_VALUE"""),30.0)</f>
        <v>30</v>
      </c>
      <c r="L1885" s="17">
        <f>IFERROR(__xludf.DUMMYFUNCTION("""COMPUTED_VALUE"""),3.14672822E9)</f>
        <v>3146728220</v>
      </c>
      <c r="M1885" s="17" t="str">
        <f>IFERROR(__xludf.DUMMYFUNCTION("""COMPUTED_VALUE"""),"#REF!")</f>
        <v>#REF!</v>
      </c>
      <c r="N1885" s="17"/>
      <c r="O1885" s="19">
        <f>IFERROR(__xludf.DUMMYFUNCTION("""COMPUTED_VALUE"""),10000.0)</f>
        <v>10000</v>
      </c>
      <c r="P1885" s="17" t="b">
        <f>IFERROR(__xludf.DUMMYFUNCTION("""COMPUTED_VALUE"""),TRUE)</f>
        <v>1</v>
      </c>
      <c r="Q1885" s="20">
        <f>IFERROR(__xludf.DUMMYFUNCTION("""COMPUTED_VALUE"""),45055.425322083334)</f>
        <v>45055.42532</v>
      </c>
      <c r="R1885" s="22" t="str">
        <f>IFERROR(__xludf.DUMMYFUNCTION("""COMPUTED_VALUE"""),"")</f>
        <v/>
      </c>
    </row>
    <row r="1886">
      <c r="A1886" s="15">
        <f>IFERROR(__xludf.DUMMYFUNCTION("""COMPUTED_VALUE"""),45055.0)</f>
        <v>45055</v>
      </c>
      <c r="B1886" s="16" t="str">
        <f>IFERROR(__xludf.DUMMYFUNCTION("""COMPUTED_VALUE"""),"Oscar Augusto Meneses Osias")</f>
        <v>Oscar Augusto Meneses Osias</v>
      </c>
      <c r="C1886" s="15" t="str">
        <f>IFERROR(__xludf.DUMMYFUNCTION("""COMPUTED_VALUE"""),"MEDELLÍN")</f>
        <v>MEDELLÍN</v>
      </c>
      <c r="D1886" s="15" t="str">
        <f>IFERROR(__xludf.DUMMYFUNCTION("""COMPUTED_VALUE"""),"BOGOTÁ")</f>
        <v>BOGOTÁ</v>
      </c>
      <c r="E1886" s="15" t="str">
        <f>IFERROR(__xludf.DUMMYFUNCTION("""COMPUTED_VALUE"""),"Asociacion Agropecuaria Juana Maria")</f>
        <v>Asociacion Agropecuaria Juana Maria</v>
      </c>
      <c r="F1886" s="17" t="str">
        <f>IFERROR(__xludf.DUMMYFUNCTION("""COMPUTED_VALUE"""),"Cra 82C # 30A-100 apto 1202 urbanizacion Torres de Vicuña Belen los Alpes")</f>
        <v>Cra 82C # 30A-100 apto 1202 urbanizacion Torres de Vicuña Belen los Alpes</v>
      </c>
      <c r="G1886" s="15" t="str">
        <f>IFERROR(__xludf.DUMMYFUNCTION("""COMPUTED_VALUE"""),"Gloria Moreno")</f>
        <v>Gloria Moreno</v>
      </c>
      <c r="H1886" s="16">
        <f>IFERROR(__xludf.DUMMYFUNCTION("""COMPUTED_VALUE"""),10409.0)</f>
        <v>10409</v>
      </c>
      <c r="I1886" s="18">
        <f>IFERROR(__xludf.DUMMYFUNCTION("""COMPUTED_VALUE"""),21.0)</f>
        <v>21</v>
      </c>
      <c r="J1886" s="18">
        <f>IFERROR(__xludf.DUMMYFUNCTION("""COMPUTED_VALUE"""),37.0)</f>
        <v>37</v>
      </c>
      <c r="K1886" s="18">
        <f>IFERROR(__xludf.DUMMYFUNCTION("""COMPUTED_VALUE"""),30.0)</f>
        <v>30</v>
      </c>
      <c r="L1886" s="17">
        <f>IFERROR(__xludf.DUMMYFUNCTION("""COMPUTED_VALUE"""),3.162544201E9)</f>
        <v>3162544201</v>
      </c>
      <c r="M1886" s="17" t="str">
        <f>IFERROR(__xludf.DUMMYFUNCTION("""COMPUTED_VALUE"""),"#REF!")</f>
        <v>#REF!</v>
      </c>
      <c r="N1886" s="17"/>
      <c r="O1886" s="19">
        <f>IFERROR(__xludf.DUMMYFUNCTION("""COMPUTED_VALUE"""),10000.0)</f>
        <v>10000</v>
      </c>
      <c r="P1886" s="17" t="b">
        <f>IFERROR(__xludf.DUMMYFUNCTION("""COMPUTED_VALUE"""),TRUE)</f>
        <v>1</v>
      </c>
      <c r="Q1886" s="20">
        <f>IFERROR(__xludf.DUMMYFUNCTION("""COMPUTED_VALUE"""),45055.42582902778)</f>
        <v>45055.42583</v>
      </c>
      <c r="R1886" s="22" t="str">
        <f>IFERROR(__xludf.DUMMYFUNCTION("""COMPUTED_VALUE"""),"")</f>
        <v/>
      </c>
    </row>
    <row r="1887">
      <c r="A1887" s="15">
        <f>IFERROR(__xludf.DUMMYFUNCTION("""COMPUTED_VALUE"""),45055.0)</f>
        <v>45055</v>
      </c>
      <c r="B1887" s="16" t="str">
        <f>IFERROR(__xludf.DUMMYFUNCTION("""COMPUTED_VALUE"""),"Oscar Augusto Meneses Osias")</f>
        <v>Oscar Augusto Meneses Osias</v>
      </c>
      <c r="C1887" s="15" t="str">
        <f>IFERROR(__xludf.DUMMYFUNCTION("""COMPUTED_VALUE"""),"MEDELLÍN")</f>
        <v>MEDELLÍN</v>
      </c>
      <c r="D1887" s="15" t="str">
        <f>IFERROR(__xludf.DUMMYFUNCTION("""COMPUTED_VALUE"""),"BOGOTÁ")</f>
        <v>BOGOTÁ</v>
      </c>
      <c r="E1887" s="15" t="str">
        <f>IFERROR(__xludf.DUMMYFUNCTION("""COMPUTED_VALUE"""),"Evamazzita")</f>
        <v>Evamazzita</v>
      </c>
      <c r="F1887" s="17" t="str">
        <f>IFERROR(__xludf.DUMMYFUNCTION("""COMPUTED_VALUE"""),"CALLE 38B SUR No. 26-02  / C.R. MONTEPIEDRA TORRE 2 APTO 1620 / ENVIGADO")</f>
        <v>CALLE 38B SUR No. 26-02  / C.R. MONTEPIEDRA TORRE 2 APTO 1620 / ENVIGADO</v>
      </c>
      <c r="G1887" s="15" t="str">
        <f>IFERROR(__xludf.DUMMYFUNCTION("""COMPUTED_VALUE"""),"PAULA HERRERA")</f>
        <v>PAULA HERRERA</v>
      </c>
      <c r="H1887" s="16">
        <f>IFERROR(__xludf.DUMMYFUNCTION("""COMPUTED_VALUE"""),10435.0)</f>
        <v>10435</v>
      </c>
      <c r="I1887" s="18">
        <f>IFERROR(__xludf.DUMMYFUNCTION("""COMPUTED_VALUE"""),10.0)</f>
        <v>10</v>
      </c>
      <c r="J1887" s="18">
        <f>IFERROR(__xludf.DUMMYFUNCTION("""COMPUTED_VALUE"""),18.0)</f>
        <v>18</v>
      </c>
      <c r="K1887" s="18">
        <f>IFERROR(__xludf.DUMMYFUNCTION("""COMPUTED_VALUE"""),22.0)</f>
        <v>22</v>
      </c>
      <c r="L1887" s="17">
        <f>IFERROR(__xludf.DUMMYFUNCTION("""COMPUTED_VALUE"""),3.229513692E9)</f>
        <v>3229513692</v>
      </c>
      <c r="M1887" s="17" t="str">
        <f>IFERROR(__xludf.DUMMYFUNCTION("""COMPUTED_VALUE"""),"#REF!")</f>
        <v>#REF!</v>
      </c>
      <c r="N1887" s="17"/>
      <c r="O1887" s="19">
        <f>IFERROR(__xludf.DUMMYFUNCTION("""COMPUTED_VALUE"""),10000.0)</f>
        <v>10000</v>
      </c>
      <c r="P1887" s="17" t="b">
        <f>IFERROR(__xludf.DUMMYFUNCTION("""COMPUTED_VALUE"""),TRUE)</f>
        <v>1</v>
      </c>
      <c r="Q1887" s="20">
        <f>IFERROR(__xludf.DUMMYFUNCTION("""COMPUTED_VALUE"""),45055.5506133912)</f>
        <v>45055.55061</v>
      </c>
      <c r="R1887" s="22" t="str">
        <f>IFERROR(__xludf.DUMMYFUNCTION("""COMPUTED_VALUE"""),"")</f>
        <v/>
      </c>
    </row>
    <row r="1888">
      <c r="A1888" s="15">
        <f>IFERROR(__xludf.DUMMYFUNCTION("""COMPUTED_VALUE"""),45055.0)</f>
        <v>45055</v>
      </c>
      <c r="B1888" s="16" t="str">
        <f>IFERROR(__xludf.DUMMYFUNCTION("""COMPUTED_VALUE"""),"Oscar Augusto Meneses Osias")</f>
        <v>Oscar Augusto Meneses Osias</v>
      </c>
      <c r="C1888" s="15" t="str">
        <f>IFERROR(__xludf.DUMMYFUNCTION("""COMPUTED_VALUE"""),"MEDELLÍN")</f>
        <v>MEDELLÍN</v>
      </c>
      <c r="D1888" s="15" t="str">
        <f>IFERROR(__xludf.DUMMYFUNCTION("""COMPUTED_VALUE"""),"BOGOTÁ")</f>
        <v>BOGOTÁ</v>
      </c>
      <c r="E1888" s="15" t="str">
        <f>IFERROR(__xludf.DUMMYFUNCTION("""COMPUTED_VALUE"""),"Evamazzita")</f>
        <v>Evamazzita</v>
      </c>
      <c r="F1888" s="17" t="str">
        <f>IFERROR(__xludf.DUMMYFUNCTION("""COMPUTED_VALUE"""),"CALLE 71 SUR # 34 - 314  / EDIFICIO MANTIS APTO. 201 / SABANETA")</f>
        <v>CALLE 71 SUR # 34 - 314  / EDIFICIO MANTIS APTO. 201 / SABANETA</v>
      </c>
      <c r="G1888" s="15" t="str">
        <f>IFERROR(__xludf.DUMMYFUNCTION("""COMPUTED_VALUE"""),"NATALI ARANGO")</f>
        <v>NATALI ARANGO</v>
      </c>
      <c r="H1888" s="16">
        <f>IFERROR(__xludf.DUMMYFUNCTION("""COMPUTED_VALUE"""),10450.0)</f>
        <v>10450</v>
      </c>
      <c r="I1888" s="18">
        <f>IFERROR(__xludf.DUMMYFUNCTION("""COMPUTED_VALUE"""),10.0)</f>
        <v>10</v>
      </c>
      <c r="J1888" s="18">
        <f>IFERROR(__xludf.DUMMYFUNCTION("""COMPUTED_VALUE"""),18.0)</f>
        <v>18</v>
      </c>
      <c r="K1888" s="18">
        <f>IFERROR(__xludf.DUMMYFUNCTION("""COMPUTED_VALUE"""),22.0)</f>
        <v>22</v>
      </c>
      <c r="L1888" s="17">
        <f>IFERROR(__xludf.DUMMYFUNCTION("""COMPUTED_VALUE"""),3.054175407E9)</f>
        <v>3054175407</v>
      </c>
      <c r="M1888" s="17" t="str">
        <f>IFERROR(__xludf.DUMMYFUNCTION("""COMPUTED_VALUE"""),"#REF!")</f>
        <v>#REF!</v>
      </c>
      <c r="N1888" s="17"/>
      <c r="O1888" s="19">
        <f>IFERROR(__xludf.DUMMYFUNCTION("""COMPUTED_VALUE"""),10000.0)</f>
        <v>10000</v>
      </c>
      <c r="P1888" s="17" t="b">
        <f>IFERROR(__xludf.DUMMYFUNCTION("""COMPUTED_VALUE"""),TRUE)</f>
        <v>1</v>
      </c>
      <c r="Q1888" s="20">
        <f>IFERROR(__xludf.DUMMYFUNCTION("""COMPUTED_VALUE"""),45055.42548119213)</f>
        <v>45055.42548</v>
      </c>
      <c r="R1888" s="22" t="str">
        <f>IFERROR(__xludf.DUMMYFUNCTION("""COMPUTED_VALUE"""),"")</f>
        <v/>
      </c>
    </row>
    <row r="1889">
      <c r="A1889" s="15">
        <f>IFERROR(__xludf.DUMMYFUNCTION("""COMPUTED_VALUE"""),45055.0)</f>
        <v>45055</v>
      </c>
      <c r="B1889" s="16" t="str">
        <f>IFERROR(__xludf.DUMMYFUNCTION("""COMPUTED_VALUE"""),"Oscar Augusto Meneses Osias")</f>
        <v>Oscar Augusto Meneses Osias</v>
      </c>
      <c r="C1889" s="15" t="str">
        <f>IFERROR(__xludf.DUMMYFUNCTION("""COMPUTED_VALUE"""),"MEDELLÍN")</f>
        <v>MEDELLÍN</v>
      </c>
      <c r="D1889" s="15" t="str">
        <f>IFERROR(__xludf.DUMMYFUNCTION("""COMPUTED_VALUE"""),"BOGOTÁ")</f>
        <v>BOGOTÁ</v>
      </c>
      <c r="E1889" s="15" t="str">
        <f>IFERROR(__xludf.DUMMYFUNCTION("""COMPUTED_VALUE"""),"Evamazzita")</f>
        <v>Evamazzita</v>
      </c>
      <c r="F1889" s="17" t="str">
        <f>IFERROR(__xludf.DUMMYFUNCTION("""COMPUTED_VALUE"""),"Calle 73 A # 52cc - 10  / Edificio Santa María 2 apto. 301  / ITAGÜÍ - Barrio Santa María")</f>
        <v>Calle 73 A # 52cc - 10  / Edificio Santa María 2 apto. 301  / ITAGÜÍ - Barrio Santa María</v>
      </c>
      <c r="G1889" s="15" t="str">
        <f>IFERROR(__xludf.DUMMYFUNCTION("""COMPUTED_VALUE"""),"NEIVY MARA AGUDELO")</f>
        <v>NEIVY MARA AGUDELO</v>
      </c>
      <c r="H1889" s="16">
        <f>IFERROR(__xludf.DUMMYFUNCTION("""COMPUTED_VALUE"""),10437.0)</f>
        <v>10437</v>
      </c>
      <c r="I1889" s="18">
        <f>IFERROR(__xludf.DUMMYFUNCTION("""COMPUTED_VALUE"""),3.0)</f>
        <v>3</v>
      </c>
      <c r="J1889" s="18">
        <f>IFERROR(__xludf.DUMMYFUNCTION("""COMPUTED_VALUE"""),20.0)</f>
        <v>20</v>
      </c>
      <c r="K1889" s="18">
        <f>IFERROR(__xludf.DUMMYFUNCTION("""COMPUTED_VALUE"""),15.0)</f>
        <v>15</v>
      </c>
      <c r="L1889" s="17">
        <f>IFERROR(__xludf.DUMMYFUNCTION("""COMPUTED_VALUE"""),3.20774535E9)</f>
        <v>3207745350</v>
      </c>
      <c r="M1889" s="17" t="str">
        <f>IFERROR(__xludf.DUMMYFUNCTION("""COMPUTED_VALUE"""),"#REF!")</f>
        <v>#REF!</v>
      </c>
      <c r="N1889" s="17"/>
      <c r="O1889" s="19">
        <f>IFERROR(__xludf.DUMMYFUNCTION("""COMPUTED_VALUE"""),10000.0)</f>
        <v>10000</v>
      </c>
      <c r="P1889" s="17" t="b">
        <f>IFERROR(__xludf.DUMMYFUNCTION("""COMPUTED_VALUE"""),TRUE)</f>
        <v>1</v>
      </c>
      <c r="Q1889" s="20">
        <f>IFERROR(__xludf.DUMMYFUNCTION("""COMPUTED_VALUE"""),45055.606343125)</f>
        <v>45055.60634</v>
      </c>
      <c r="R1889" s="22" t="str">
        <f>IFERROR(__xludf.DUMMYFUNCTION("""COMPUTED_VALUE"""),"")</f>
        <v/>
      </c>
    </row>
    <row r="1890">
      <c r="A1890" s="15">
        <f>IFERROR(__xludf.DUMMYFUNCTION("""COMPUTED_VALUE"""),45055.0)</f>
        <v>45055</v>
      </c>
      <c r="B1890" s="16" t="str">
        <f>IFERROR(__xludf.DUMMYFUNCTION("""COMPUTED_VALUE"""),"Oscar Augusto Meneses Osias")</f>
        <v>Oscar Augusto Meneses Osias</v>
      </c>
      <c r="C1890" s="15" t="str">
        <f>IFERROR(__xludf.DUMMYFUNCTION("""COMPUTED_VALUE"""),"MEDELLÍN")</f>
        <v>MEDELLÍN</v>
      </c>
      <c r="D1890" s="15" t="str">
        <f>IFERROR(__xludf.DUMMYFUNCTION("""COMPUTED_VALUE"""),"BOGOTÁ")</f>
        <v>BOGOTÁ</v>
      </c>
      <c r="E1890" s="15" t="str">
        <f>IFERROR(__xludf.DUMMYFUNCTION("""COMPUTED_VALUE"""),"Evamazzita")</f>
        <v>Evamazzita</v>
      </c>
      <c r="F1890" s="17" t="str">
        <f>IFERROR(__xludf.DUMMYFUNCTION("""COMPUTED_VALUE"""),"CALLE 9 No. 72- 50  /  APTO 405 / URBANIZACION BIZET 1")</f>
        <v>CALLE 9 No. 72- 50  /  APTO 405 / URBANIZACION BIZET 1</v>
      </c>
      <c r="G1890" s="15" t="str">
        <f>IFERROR(__xludf.DUMMYFUNCTION("""COMPUTED_VALUE"""),"JENNY GOMEZ")</f>
        <v>JENNY GOMEZ</v>
      </c>
      <c r="H1890" s="16">
        <f>IFERROR(__xludf.DUMMYFUNCTION("""COMPUTED_VALUE"""),10449.0)</f>
        <v>10449</v>
      </c>
      <c r="I1890" s="18">
        <f>IFERROR(__xludf.DUMMYFUNCTION("""COMPUTED_VALUE"""),3.0)</f>
        <v>3</v>
      </c>
      <c r="J1890" s="18">
        <f>IFERROR(__xludf.DUMMYFUNCTION("""COMPUTED_VALUE"""),20.0)</f>
        <v>20</v>
      </c>
      <c r="K1890" s="18">
        <f>IFERROR(__xludf.DUMMYFUNCTION("""COMPUTED_VALUE"""),15.0)</f>
        <v>15</v>
      </c>
      <c r="L1890" s="17">
        <f>IFERROR(__xludf.DUMMYFUNCTION("""COMPUTED_VALUE"""),3.216466679E9)</f>
        <v>3216466679</v>
      </c>
      <c r="M1890" s="17" t="str">
        <f>IFERROR(__xludf.DUMMYFUNCTION("""COMPUTED_VALUE"""),"#REF!")</f>
        <v>#REF!</v>
      </c>
      <c r="N1890" s="17"/>
      <c r="O1890" s="19">
        <f>IFERROR(__xludf.DUMMYFUNCTION("""COMPUTED_VALUE"""),10000.0)</f>
        <v>10000</v>
      </c>
      <c r="P1890" s="17" t="b">
        <f>IFERROR(__xludf.DUMMYFUNCTION("""COMPUTED_VALUE"""),TRUE)</f>
        <v>1</v>
      </c>
      <c r="Q1890" s="20">
        <f>IFERROR(__xludf.DUMMYFUNCTION("""COMPUTED_VALUE"""),45055.551095601855)</f>
        <v>45055.5511</v>
      </c>
      <c r="R1890" s="22" t="str">
        <f>IFERROR(__xludf.DUMMYFUNCTION("""COMPUTED_VALUE"""),"")</f>
        <v/>
      </c>
    </row>
    <row r="1891">
      <c r="A1891" s="15">
        <f>IFERROR(__xludf.DUMMYFUNCTION("""COMPUTED_VALUE"""),45055.0)</f>
        <v>45055</v>
      </c>
      <c r="B1891" s="16" t="str">
        <f>IFERROR(__xludf.DUMMYFUNCTION("""COMPUTED_VALUE"""),"Oscar Augusto Meneses Osias")</f>
        <v>Oscar Augusto Meneses Osias</v>
      </c>
      <c r="C1891" s="15" t="str">
        <f>IFERROR(__xludf.DUMMYFUNCTION("""COMPUTED_VALUE"""),"MEDELLÍN")</f>
        <v>MEDELLÍN</v>
      </c>
      <c r="D1891" s="15" t="str">
        <f>IFERROR(__xludf.DUMMYFUNCTION("""COMPUTED_VALUE"""),"BOGOTÁ")</f>
        <v>BOGOTÁ</v>
      </c>
      <c r="E1891" s="15" t="str">
        <f>IFERROR(__xludf.DUMMYFUNCTION("""COMPUTED_VALUE"""),"Evamazzita")</f>
        <v>Evamazzita</v>
      </c>
      <c r="F1891" s="17" t="str">
        <f>IFERROR(__xludf.DUMMYFUNCTION("""COMPUTED_VALUE"""),"CRA 15 BA No. 34D- 44  / INT 201  / BUENOS AIRES")</f>
        <v>CRA 15 BA No. 34D- 44  / INT 201  / BUENOS AIRES</v>
      </c>
      <c r="G1891" s="15" t="str">
        <f>IFERROR(__xludf.DUMMYFUNCTION("""COMPUTED_VALUE"""),"DANIELA BEDOYA BLANDON")</f>
        <v>DANIELA BEDOYA BLANDON</v>
      </c>
      <c r="H1891" s="16">
        <f>IFERROR(__xludf.DUMMYFUNCTION("""COMPUTED_VALUE"""),10451.0)</f>
        <v>10451</v>
      </c>
      <c r="I1891" s="18">
        <f>IFERROR(__xludf.DUMMYFUNCTION("""COMPUTED_VALUE"""),14.0)</f>
        <v>14</v>
      </c>
      <c r="J1891" s="18">
        <f>IFERROR(__xludf.DUMMYFUNCTION("""COMPUTED_VALUE"""),50.0)</f>
        <v>50</v>
      </c>
      <c r="K1891" s="18">
        <f>IFERROR(__xludf.DUMMYFUNCTION("""COMPUTED_VALUE"""),33.0)</f>
        <v>33</v>
      </c>
      <c r="L1891" s="17">
        <f>IFERROR(__xludf.DUMMYFUNCTION("""COMPUTED_VALUE"""),3.14672822E9)</f>
        <v>3146728220</v>
      </c>
      <c r="M1891" s="17" t="str">
        <f>IFERROR(__xludf.DUMMYFUNCTION("""COMPUTED_VALUE"""),"#REF!")</f>
        <v>#REF!</v>
      </c>
      <c r="N1891" s="17"/>
      <c r="O1891" s="19">
        <f>IFERROR(__xludf.DUMMYFUNCTION("""COMPUTED_VALUE"""),10000.0)</f>
        <v>10000</v>
      </c>
      <c r="P1891" s="17" t="b">
        <f>IFERROR(__xludf.DUMMYFUNCTION("""COMPUTED_VALUE"""),TRUE)</f>
        <v>1</v>
      </c>
      <c r="Q1891" s="20">
        <f>IFERROR(__xludf.DUMMYFUNCTION("""COMPUTED_VALUE"""),45055.550788078704)</f>
        <v>45055.55079</v>
      </c>
      <c r="R1891" s="22" t="str">
        <f>IFERROR(__xludf.DUMMYFUNCTION("""COMPUTED_VALUE"""),"")</f>
        <v/>
      </c>
    </row>
    <row r="1892">
      <c r="A1892" s="15">
        <f>IFERROR(__xludf.DUMMYFUNCTION("""COMPUTED_VALUE"""),45055.0)</f>
        <v>45055</v>
      </c>
      <c r="B1892" s="16" t="str">
        <f>IFERROR(__xludf.DUMMYFUNCTION("""COMPUTED_VALUE"""),"Oscar Augusto Meneses Osias")</f>
        <v>Oscar Augusto Meneses Osias</v>
      </c>
      <c r="C1892" s="15" t="str">
        <f>IFERROR(__xludf.DUMMYFUNCTION("""COMPUTED_VALUE"""),"MEDELLÍN")</f>
        <v>MEDELLÍN</v>
      </c>
      <c r="D1892" s="15" t="str">
        <f>IFERROR(__xludf.DUMMYFUNCTION("""COMPUTED_VALUE"""),"BOGOTÁ")</f>
        <v>BOGOTÁ</v>
      </c>
      <c r="E1892" s="15" t="str">
        <f>IFERROR(__xludf.DUMMYFUNCTION("""COMPUTED_VALUE"""),"Evamazzita")</f>
        <v>Evamazzita</v>
      </c>
      <c r="F1892" s="17" t="str">
        <f>IFERROR(__xludf.DUMMYFUNCTION("""COMPUTED_VALUE"""),"Cra 24 n 27 sur 191.  / Ginebra Houses. Casa 112.  Loma del Chocho.  / ENVIGADO")</f>
        <v>Cra 24 n 27 sur 191.  / Ginebra Houses. Casa 112.  Loma del Chocho.  / ENVIGADO</v>
      </c>
      <c r="G1892" s="15" t="str">
        <f>IFERROR(__xludf.DUMMYFUNCTION("""COMPUTED_VALUE"""),"CAROLINA VALLEJO YEPES")</f>
        <v>CAROLINA VALLEJO YEPES</v>
      </c>
      <c r="H1892" s="16">
        <f>IFERROR(__xludf.DUMMYFUNCTION("""COMPUTED_VALUE"""),10436.0)</f>
        <v>10436</v>
      </c>
      <c r="I1892" s="18">
        <f>IFERROR(__xludf.DUMMYFUNCTION("""COMPUTED_VALUE"""),3.0)</f>
        <v>3</v>
      </c>
      <c r="J1892" s="18">
        <f>IFERROR(__xludf.DUMMYFUNCTION("""COMPUTED_VALUE"""),20.0)</f>
        <v>20</v>
      </c>
      <c r="K1892" s="18">
        <f>IFERROR(__xludf.DUMMYFUNCTION("""COMPUTED_VALUE"""),15.0)</f>
        <v>15</v>
      </c>
      <c r="L1892" s="17">
        <f>IFERROR(__xludf.DUMMYFUNCTION("""COMPUTED_VALUE"""),3.20694448E9)</f>
        <v>3206944480</v>
      </c>
      <c r="M1892" s="17" t="str">
        <f>IFERROR(__xludf.DUMMYFUNCTION("""COMPUTED_VALUE"""),"#REF!")</f>
        <v>#REF!</v>
      </c>
      <c r="N1892" s="17"/>
      <c r="O1892" s="19">
        <f>IFERROR(__xludf.DUMMYFUNCTION("""COMPUTED_VALUE"""),10000.0)</f>
        <v>10000</v>
      </c>
      <c r="P1892" s="17" t="b">
        <f>IFERROR(__xludf.DUMMYFUNCTION("""COMPUTED_VALUE"""),TRUE)</f>
        <v>1</v>
      </c>
      <c r="Q1892" s="20">
        <f>IFERROR(__xludf.DUMMYFUNCTION("""COMPUTED_VALUE"""),45055.5510214699)</f>
        <v>45055.55102</v>
      </c>
      <c r="R1892" s="22" t="str">
        <f>IFERROR(__xludf.DUMMYFUNCTION("""COMPUTED_VALUE"""),"")</f>
        <v/>
      </c>
    </row>
    <row r="1893">
      <c r="A1893" s="15">
        <f>IFERROR(__xludf.DUMMYFUNCTION("""COMPUTED_VALUE"""),45055.0)</f>
        <v>45055</v>
      </c>
      <c r="B1893" s="16" t="str">
        <f>IFERROR(__xludf.DUMMYFUNCTION("""COMPUTED_VALUE"""),"Oscar Augusto Meneses Osias")</f>
        <v>Oscar Augusto Meneses Osias</v>
      </c>
      <c r="C1893" s="15" t="str">
        <f>IFERROR(__xludf.DUMMYFUNCTION("""COMPUTED_VALUE"""),"MEDELLÍN")</f>
        <v>MEDELLÍN</v>
      </c>
      <c r="D1893" s="15" t="str">
        <f>IFERROR(__xludf.DUMMYFUNCTION("""COMPUTED_VALUE"""),"BOGOTÁ")</f>
        <v>BOGOTÁ</v>
      </c>
      <c r="E1893" s="15" t="str">
        <f>IFERROR(__xludf.DUMMYFUNCTION("""COMPUTED_VALUE"""),"Evamazzita")</f>
        <v>Evamazzita</v>
      </c>
      <c r="F1893" s="17" t="str">
        <f>IFERROR(__xludf.DUMMYFUNCTION("""COMPUTED_VALUE"""),"CRA 34 a #43-29 / N/A /  Salvador")</f>
        <v>CRA 34 a #43-29 / N/A /  Salvador</v>
      </c>
      <c r="G1893" s="15" t="str">
        <f>IFERROR(__xludf.DUMMYFUNCTION("""COMPUTED_VALUE"""),"DIANA MARIA GUTIERREZ GOMEZ")</f>
        <v>DIANA MARIA GUTIERREZ GOMEZ</v>
      </c>
      <c r="H1893" s="16">
        <f>IFERROR(__xludf.DUMMYFUNCTION("""COMPUTED_VALUE"""),10438.0)</f>
        <v>10438</v>
      </c>
      <c r="I1893" s="18">
        <f>IFERROR(__xludf.DUMMYFUNCTION("""COMPUTED_VALUE"""),3.0)</f>
        <v>3</v>
      </c>
      <c r="J1893" s="18">
        <f>IFERROR(__xludf.DUMMYFUNCTION("""COMPUTED_VALUE"""),15.0)</f>
        <v>15</v>
      </c>
      <c r="K1893" s="18">
        <f>IFERROR(__xludf.DUMMYFUNCTION("""COMPUTED_VALUE"""),20.0)</f>
        <v>20</v>
      </c>
      <c r="L1893" s="17">
        <f>IFERROR(__xludf.DUMMYFUNCTION("""COMPUTED_VALUE"""),3.146104553E9)</f>
        <v>3146104553</v>
      </c>
      <c r="M1893" s="17" t="str">
        <f>IFERROR(__xludf.DUMMYFUNCTION("""COMPUTED_VALUE"""),"#REF!")</f>
        <v>#REF!</v>
      </c>
      <c r="N1893" s="17"/>
      <c r="O1893" s="19">
        <f>IFERROR(__xludf.DUMMYFUNCTION("""COMPUTED_VALUE"""),10000.0)</f>
        <v>10000</v>
      </c>
      <c r="P1893" s="17" t="b">
        <f>IFERROR(__xludf.DUMMYFUNCTION("""COMPUTED_VALUE"""),TRUE)</f>
        <v>1</v>
      </c>
      <c r="Q1893" s="20">
        <f>IFERROR(__xludf.DUMMYFUNCTION("""COMPUTED_VALUE"""),45055.433738796295)</f>
        <v>45055.43374</v>
      </c>
      <c r="R1893" s="22" t="str">
        <f>IFERROR(__xludf.DUMMYFUNCTION("""COMPUTED_VALUE"""),"")</f>
        <v/>
      </c>
    </row>
    <row r="1894">
      <c r="A1894" s="15">
        <f>IFERROR(__xludf.DUMMYFUNCTION("""COMPUTED_VALUE"""),45055.0)</f>
        <v>45055</v>
      </c>
      <c r="B1894" s="16" t="str">
        <f>IFERROR(__xludf.DUMMYFUNCTION("""COMPUTED_VALUE"""),"Oscar Augusto Meneses Osias")</f>
        <v>Oscar Augusto Meneses Osias</v>
      </c>
      <c r="C1894" s="15" t="str">
        <f>IFERROR(__xludf.DUMMYFUNCTION("""COMPUTED_VALUE"""),"MEDELLÍN")</f>
        <v>MEDELLÍN</v>
      </c>
      <c r="D1894" s="15" t="str">
        <f>IFERROR(__xludf.DUMMYFUNCTION("""COMPUTED_VALUE"""),"BOGOTÁ")</f>
        <v>BOGOTÁ</v>
      </c>
      <c r="E1894" s="15" t="str">
        <f>IFERROR(__xludf.DUMMYFUNCTION("""COMPUTED_VALUE"""),"Evamazzita")</f>
        <v>Evamazzita</v>
      </c>
      <c r="F1894" s="17" t="str">
        <f>IFERROR(__xludf.DUMMYFUNCTION("""COMPUTED_VALUE"""),"Cra 71 27 106  / apto 508 Unidad Rosales del parque  / Belen granada")</f>
        <v>Cra 71 27 106  / apto 508 Unidad Rosales del parque  / Belen granada</v>
      </c>
      <c r="G1894" s="15" t="str">
        <f>IFERROR(__xludf.DUMMYFUNCTION("""COMPUTED_VALUE"""),"MARITZA MENDIVELSO")</f>
        <v>MARITZA MENDIVELSO</v>
      </c>
      <c r="H1894" s="16">
        <f>IFERROR(__xludf.DUMMYFUNCTION("""COMPUTED_VALUE"""),10440.0)</f>
        <v>10440</v>
      </c>
      <c r="I1894" s="18">
        <f>IFERROR(__xludf.DUMMYFUNCTION("""COMPUTED_VALUE"""),3.0)</f>
        <v>3</v>
      </c>
      <c r="J1894" s="18">
        <f>IFERROR(__xludf.DUMMYFUNCTION("""COMPUTED_VALUE"""),20.0)</f>
        <v>20</v>
      </c>
      <c r="K1894" s="18">
        <f>IFERROR(__xludf.DUMMYFUNCTION("""COMPUTED_VALUE"""),15.0)</f>
        <v>15</v>
      </c>
      <c r="L1894" s="17">
        <f>IFERROR(__xludf.DUMMYFUNCTION("""COMPUTED_VALUE"""),3.114757627E9)</f>
        <v>3114757627</v>
      </c>
      <c r="M1894" s="17" t="str">
        <f>IFERROR(__xludf.DUMMYFUNCTION("""COMPUTED_VALUE"""),"#REF!")</f>
        <v>#REF!</v>
      </c>
      <c r="N1894" s="17"/>
      <c r="O1894" s="19">
        <f>IFERROR(__xludf.DUMMYFUNCTION("""COMPUTED_VALUE"""),10000.0)</f>
        <v>10000</v>
      </c>
      <c r="P1894" s="17" t="b">
        <f>IFERROR(__xludf.DUMMYFUNCTION("""COMPUTED_VALUE"""),TRUE)</f>
        <v>1</v>
      </c>
      <c r="Q1894" s="20">
        <f>IFERROR(__xludf.DUMMYFUNCTION("""COMPUTED_VALUE"""),45055.550847060185)</f>
        <v>45055.55085</v>
      </c>
      <c r="R1894" s="22" t="str">
        <f>IFERROR(__xludf.DUMMYFUNCTION("""COMPUTED_VALUE"""),"")</f>
        <v/>
      </c>
    </row>
    <row r="1895">
      <c r="A1895" s="15">
        <f>IFERROR(__xludf.DUMMYFUNCTION("""COMPUTED_VALUE"""),45055.0)</f>
        <v>45055</v>
      </c>
      <c r="B1895" s="16" t="str">
        <f>IFERROR(__xludf.DUMMYFUNCTION("""COMPUTED_VALUE"""),"Oscar Augusto Meneses Osias")</f>
        <v>Oscar Augusto Meneses Osias</v>
      </c>
      <c r="C1895" s="15" t="str">
        <f>IFERROR(__xludf.DUMMYFUNCTION("""COMPUTED_VALUE"""),"MEDELLÍN")</f>
        <v>MEDELLÍN</v>
      </c>
      <c r="D1895" s="15" t="str">
        <f>IFERROR(__xludf.DUMMYFUNCTION("""COMPUTED_VALUE"""),"BOGOTÁ")</f>
        <v>BOGOTÁ</v>
      </c>
      <c r="E1895" s="15" t="str">
        <f>IFERROR(__xludf.DUMMYFUNCTION("""COMPUTED_VALUE"""),"Ins. Alimento Vital")</f>
        <v>Ins. Alimento Vital</v>
      </c>
      <c r="F1895" s="17" t="str">
        <f>IFERROR(__xludf.DUMMYFUNCTION("""COMPUTED_VALUE"""),"AV 74B 39B 142 / CASA NEGRA 2 PISO / BARRIO LAURELES")</f>
        <v>AV 74B 39B 142 / CASA NEGRA 2 PISO / BARRIO LAURELES</v>
      </c>
      <c r="G1895" s="15" t="str">
        <f>IFERROR(__xludf.DUMMYFUNCTION("""COMPUTED_VALUE"""),"VELOCITY")</f>
        <v>VELOCITY</v>
      </c>
      <c r="H1895" s="16">
        <f>IFERROR(__xludf.DUMMYFUNCTION("""COMPUTED_VALUE"""),10426.0)</f>
        <v>10426</v>
      </c>
      <c r="I1895" s="18">
        <f>IFERROR(__xludf.DUMMYFUNCTION("""COMPUTED_VALUE"""),1.0)</f>
        <v>1</v>
      </c>
      <c r="J1895" s="18">
        <f>IFERROR(__xludf.DUMMYFUNCTION("""COMPUTED_VALUE"""),1.0)</f>
        <v>1</v>
      </c>
      <c r="K1895" s="18">
        <f>IFERROR(__xludf.DUMMYFUNCTION("""COMPUTED_VALUE"""),1.0)</f>
        <v>1</v>
      </c>
      <c r="L1895" s="17">
        <f>IFERROR(__xludf.DUMMYFUNCTION("""COMPUTED_VALUE"""),3.239674555E9)</f>
        <v>3239674555</v>
      </c>
      <c r="M1895" s="17" t="str">
        <f>IFERROR(__xludf.DUMMYFUNCTION("""COMPUTED_VALUE"""),"#REF!")</f>
        <v>#REF!</v>
      </c>
      <c r="N1895" s="17"/>
      <c r="O1895" s="17"/>
      <c r="P1895" s="17" t="b">
        <f>IFERROR(__xludf.DUMMYFUNCTION("""COMPUTED_VALUE"""),FALSE)</f>
        <v>0</v>
      </c>
      <c r="Q1895" s="20" t="str">
        <f>IFERROR(__xludf.DUMMYFUNCTION("""COMPUTED_VALUE"""),"")</f>
        <v/>
      </c>
      <c r="R1895" s="22" t="str">
        <f>IFERROR(__xludf.DUMMYFUNCTION("""COMPUTED_VALUE"""),"")</f>
        <v/>
      </c>
    </row>
    <row r="1896">
      <c r="A1896" s="15">
        <f>IFERROR(__xludf.DUMMYFUNCTION("""COMPUTED_VALUE"""),45055.0)</f>
        <v>45055</v>
      </c>
      <c r="B1896" s="16" t="str">
        <f>IFERROR(__xludf.DUMMYFUNCTION("""COMPUTED_VALUE"""),"Oscar Augusto Meneses Osias")</f>
        <v>Oscar Augusto Meneses Osias</v>
      </c>
      <c r="C1896" s="15" t="str">
        <f>IFERROR(__xludf.DUMMYFUNCTION("""COMPUTED_VALUE"""),"MEDELLÍN")</f>
        <v>MEDELLÍN</v>
      </c>
      <c r="D1896" s="15" t="str">
        <f>IFERROR(__xludf.DUMMYFUNCTION("""COMPUTED_VALUE"""),"BOGOTÁ")</f>
        <v>BOGOTÁ</v>
      </c>
      <c r="E1896" s="15" t="str">
        <f>IFERROR(__xludf.DUMMYFUNCTION("""COMPUTED_VALUE"""),"La Poderosa")</f>
        <v>La Poderosa</v>
      </c>
      <c r="F1896" s="17" t="str">
        <f>IFERROR(__xludf.DUMMYFUNCTION("""COMPUTED_VALUE"""),"Laureles Tr 39b 77-40 / Bodega / Laureles")</f>
        <v>Laureles Tr 39b 77-40 / Bodega / Laureles</v>
      </c>
      <c r="G1896" s="15" t="str">
        <f>IFERROR(__xludf.DUMMYFUNCTION("""COMPUTED_VALUE"""),"Vita integral")</f>
        <v>Vita integral</v>
      </c>
      <c r="H1896" s="16">
        <f>IFERROR(__xludf.DUMMYFUNCTION("""COMPUTED_VALUE"""),10424.0)</f>
        <v>10424</v>
      </c>
      <c r="I1896" s="18">
        <f>IFERROR(__xludf.DUMMYFUNCTION("""COMPUTED_VALUE"""),21.0)</f>
        <v>21</v>
      </c>
      <c r="J1896" s="18">
        <f>IFERROR(__xludf.DUMMYFUNCTION("""COMPUTED_VALUE"""),50.0)</f>
        <v>50</v>
      </c>
      <c r="K1896" s="18">
        <f>IFERROR(__xludf.DUMMYFUNCTION("""COMPUTED_VALUE"""),30.0)</f>
        <v>30</v>
      </c>
      <c r="L1896" s="17">
        <f>IFERROR(__xludf.DUMMYFUNCTION("""COMPUTED_VALUE"""),3.122921247E9)</f>
        <v>3122921247</v>
      </c>
      <c r="M1896" s="17" t="str">
        <f>IFERROR(__xludf.DUMMYFUNCTION("""COMPUTED_VALUE"""),"#REF!")</f>
        <v>#REF!</v>
      </c>
      <c r="N1896" s="17"/>
      <c r="O1896" s="17"/>
      <c r="P1896" s="17" t="b">
        <f>IFERROR(__xludf.DUMMYFUNCTION("""COMPUTED_VALUE"""),FALSE)</f>
        <v>0</v>
      </c>
      <c r="Q1896" s="20" t="str">
        <f>IFERROR(__xludf.DUMMYFUNCTION("""COMPUTED_VALUE"""),"")</f>
        <v/>
      </c>
      <c r="R1896" s="22" t="str">
        <f>IFERROR(__xludf.DUMMYFUNCTION("""COMPUTED_VALUE"""),"")</f>
        <v/>
      </c>
    </row>
    <row r="1897">
      <c r="A1897" s="17" t="str">
        <f>IFERROR(__xludf.DUMMYFUNCTION("""COMPUTED_VALUE"""),"")</f>
        <v/>
      </c>
      <c r="B1897" s="17" t="str">
        <f>IFERROR(__xludf.DUMMYFUNCTION("""COMPUTED_VALUE"""),"")</f>
        <v/>
      </c>
      <c r="C1897" s="17" t="str">
        <f>IFERROR(__xludf.DUMMYFUNCTION("""COMPUTED_VALUE"""),"")</f>
        <v/>
      </c>
      <c r="D1897" s="17" t="str">
        <f>IFERROR(__xludf.DUMMYFUNCTION("""COMPUTED_VALUE"""),"")</f>
        <v/>
      </c>
      <c r="E1897" s="17" t="str">
        <f>IFERROR(__xludf.DUMMYFUNCTION("""COMPUTED_VALUE"""),"")</f>
        <v/>
      </c>
      <c r="F1897" s="17" t="str">
        <f>IFERROR(__xludf.DUMMYFUNCTION("""COMPUTED_VALUE"""),"")</f>
        <v/>
      </c>
      <c r="G1897" s="17" t="str">
        <f>IFERROR(__xludf.DUMMYFUNCTION("""COMPUTED_VALUE"""),"")</f>
        <v/>
      </c>
      <c r="H1897" s="17" t="str">
        <f>IFERROR(__xludf.DUMMYFUNCTION("""COMPUTED_VALUE"""),"")</f>
        <v/>
      </c>
      <c r="I1897" s="17" t="str">
        <f>IFERROR(__xludf.DUMMYFUNCTION("""COMPUTED_VALUE"""),"")</f>
        <v/>
      </c>
      <c r="J1897" s="17" t="str">
        <f>IFERROR(__xludf.DUMMYFUNCTION("""COMPUTED_VALUE"""),"")</f>
        <v/>
      </c>
      <c r="K1897" s="17" t="str">
        <f>IFERROR(__xludf.DUMMYFUNCTION("""COMPUTED_VALUE"""),"")</f>
        <v/>
      </c>
      <c r="L1897" s="17" t="str">
        <f>IFERROR(__xludf.DUMMYFUNCTION("""COMPUTED_VALUE"""),"")</f>
        <v/>
      </c>
      <c r="M1897" s="17" t="str">
        <f>IFERROR(__xludf.DUMMYFUNCTION("""COMPUTED_VALUE"""),"")</f>
        <v/>
      </c>
      <c r="N1897" s="17" t="str">
        <f>IFERROR(__xludf.DUMMYFUNCTION("""COMPUTED_VALUE"""),"")</f>
        <v/>
      </c>
      <c r="O1897" s="17" t="str">
        <f>IFERROR(__xludf.DUMMYFUNCTION("""COMPUTED_VALUE"""),"")</f>
        <v/>
      </c>
      <c r="P1897" s="17" t="str">
        <f>IFERROR(__xludf.DUMMYFUNCTION("""COMPUTED_VALUE"""),"")</f>
        <v/>
      </c>
      <c r="Q1897" s="17" t="str">
        <f>IFERROR(__xludf.DUMMYFUNCTION("""COMPUTED_VALUE"""),"")</f>
        <v/>
      </c>
      <c r="R1897" s="17" t="str">
        <f>IFERROR(__xludf.DUMMYFUNCTION("""COMPUTED_VALUE"""),"")</f>
        <v/>
      </c>
    </row>
    <row r="1898">
      <c r="A1898" s="15">
        <f>IFERROR(__xludf.DUMMYFUNCTION("""COMPUTED_VALUE"""),45056.0)</f>
        <v>45056</v>
      </c>
      <c r="B1898" s="16" t="str">
        <f>IFERROR(__xludf.DUMMYFUNCTION("""COMPUTED_VALUE"""),"Andres felipe maya bautista ")</f>
        <v>Andres felipe maya bautista </v>
      </c>
      <c r="C1898" s="15" t="str">
        <f>IFERROR(__xludf.DUMMYFUNCTION("""COMPUTED_VALUE"""),"BOGOTÁ")</f>
        <v>BOGOTÁ</v>
      </c>
      <c r="D1898" s="15" t="str">
        <f>IFERROR(__xludf.DUMMYFUNCTION("""COMPUTED_VALUE"""),"MEDELLÍN")</f>
        <v>MEDELLÍN</v>
      </c>
      <c r="E1898" s="15" t="str">
        <f>IFERROR(__xludf.DUMMYFUNCTION("""COMPUTED_VALUE"""),"AREPAS LA MARY")</f>
        <v>AREPAS LA MARY</v>
      </c>
      <c r="F1898" s="17" t="str">
        <f>IFERROR(__xludf.DUMMYFUNCTION("""COMPUTED_VALUE"""),"CRA 1 ESTE N.74 76 APTO 401 / MONTECAPIRO")</f>
        <v>CRA 1 ESTE N.74 76 APTO 401 / MONTECAPIRO</v>
      </c>
      <c r="G1898" s="15" t="str">
        <f>IFERROR(__xludf.DUMMYFUNCTION("""COMPUTED_VALUE"""),"MARIA PATRICIA URREA")</f>
        <v>MARIA PATRICIA URREA</v>
      </c>
      <c r="H1898" s="16">
        <f>IFERROR(__xludf.DUMMYFUNCTION("""COMPUTED_VALUE"""),10494.0)</f>
        <v>10494</v>
      </c>
      <c r="I1898" s="18">
        <f>IFERROR(__xludf.DUMMYFUNCTION("""COMPUTED_VALUE"""),89.0)</f>
        <v>89</v>
      </c>
      <c r="J1898" s="18">
        <f>IFERROR(__xludf.DUMMYFUNCTION("""COMPUTED_VALUE"""),1.0)</f>
        <v>1</v>
      </c>
      <c r="K1898" s="18">
        <f>IFERROR(__xludf.DUMMYFUNCTION("""COMPUTED_VALUE"""),10.0)</f>
        <v>10</v>
      </c>
      <c r="L1898" s="17">
        <f>IFERROR(__xludf.DUMMYFUNCTION("""COMPUTED_VALUE"""),3.208357705E9)</f>
        <v>3208357705</v>
      </c>
      <c r="M1898" s="17" t="str">
        <f>IFERROR(__xludf.DUMMYFUNCTION("""COMPUTED_VALUE"""),"#REF!")</f>
        <v>#REF!</v>
      </c>
      <c r="N1898" s="17"/>
      <c r="O1898" s="17"/>
      <c r="P1898" s="17" t="b">
        <f>IFERROR(__xludf.DUMMYFUNCTION("""COMPUTED_VALUE"""),FALSE)</f>
        <v>0</v>
      </c>
      <c r="Q1898" s="20" t="str">
        <f>IFERROR(__xludf.DUMMYFUNCTION("""COMPUTED_VALUE"""),"")</f>
        <v/>
      </c>
      <c r="R1898" s="22" t="str">
        <f>IFERROR(__xludf.DUMMYFUNCTION("""COMPUTED_VALUE"""),"")</f>
        <v/>
      </c>
    </row>
    <row r="1899">
      <c r="A1899" s="15">
        <f>IFERROR(__xludf.DUMMYFUNCTION("""COMPUTED_VALUE"""),45056.0)</f>
        <v>45056</v>
      </c>
      <c r="B1899" s="16" t="str">
        <f>IFERROR(__xludf.DUMMYFUNCTION("""COMPUTED_VALUE"""),"Andres felipe maya bautista ")</f>
        <v>Andres felipe maya bautista </v>
      </c>
      <c r="C1899" s="15" t="str">
        <f>IFERROR(__xludf.DUMMYFUNCTION("""COMPUTED_VALUE"""),"BOGOTÁ")</f>
        <v>BOGOTÁ</v>
      </c>
      <c r="D1899" s="15" t="str">
        <f>IFERROR(__xludf.DUMMYFUNCTION("""COMPUTED_VALUE"""),"MEDELLÍN")</f>
        <v>MEDELLÍN</v>
      </c>
      <c r="E1899" s="15" t="str">
        <f>IFERROR(__xludf.DUMMYFUNCTION("""COMPUTED_VALUE"""),"Baby Chef")</f>
        <v>Baby Chef</v>
      </c>
      <c r="F1899" s="17" t="str">
        <f>IFERROR(__xludf.DUMMYFUNCTION("""COMPUTED_VALUE"""),"Cra 103 # 128 F - 09 / Casa Piso 2 / BOGOTÁ")</f>
        <v>Cra 103 # 128 F - 09 / Casa Piso 2 / BOGOTÁ</v>
      </c>
      <c r="G1899" s="15" t="str">
        <f>IFERROR(__xludf.DUMMYFUNCTION("""COMPUTED_VALUE"""),"Natty Mariño")</f>
        <v>Natty Mariño</v>
      </c>
      <c r="H1899" s="16">
        <f>IFERROR(__xludf.DUMMYFUNCTION("""COMPUTED_VALUE"""),10526.0)</f>
        <v>10526</v>
      </c>
      <c r="I1899" s="18">
        <f>IFERROR(__xludf.DUMMYFUNCTION("""COMPUTED_VALUE"""),8.0)</f>
        <v>8</v>
      </c>
      <c r="J1899" s="18">
        <f>IFERROR(__xludf.DUMMYFUNCTION("""COMPUTED_VALUE"""),16.0)</f>
        <v>16</v>
      </c>
      <c r="K1899" s="18">
        <f>IFERROR(__xludf.DUMMYFUNCTION("""COMPUTED_VALUE"""),20.0)</f>
        <v>20</v>
      </c>
      <c r="L1899" s="17">
        <f>IFERROR(__xludf.DUMMYFUNCTION("""COMPUTED_VALUE"""),3.103351029E9)</f>
        <v>3103351029</v>
      </c>
      <c r="M1899" s="17" t="str">
        <f>IFERROR(__xludf.DUMMYFUNCTION("""COMPUTED_VALUE"""),"#REF!")</f>
        <v>#REF!</v>
      </c>
      <c r="N1899" s="17"/>
      <c r="O1899" s="17"/>
      <c r="P1899" s="17" t="b">
        <f>IFERROR(__xludf.DUMMYFUNCTION("""COMPUTED_VALUE"""),FALSE)</f>
        <v>0</v>
      </c>
      <c r="Q1899" s="20" t="str">
        <f>IFERROR(__xludf.DUMMYFUNCTION("""COMPUTED_VALUE"""),"")</f>
        <v/>
      </c>
      <c r="R1899" s="22" t="str">
        <f>IFERROR(__xludf.DUMMYFUNCTION("""COMPUTED_VALUE"""),"")</f>
        <v/>
      </c>
    </row>
    <row r="1900">
      <c r="A1900" s="15">
        <f>IFERROR(__xludf.DUMMYFUNCTION("""COMPUTED_VALUE"""),45056.0)</f>
        <v>45056</v>
      </c>
      <c r="B1900" s="16" t="str">
        <f>IFERROR(__xludf.DUMMYFUNCTION("""COMPUTED_VALUE"""),"Andres felipe maya bautista ")</f>
        <v>Andres felipe maya bautista </v>
      </c>
      <c r="C1900" s="15" t="str">
        <f>IFERROR(__xludf.DUMMYFUNCTION("""COMPUTED_VALUE"""),"BOGOTÁ")</f>
        <v>BOGOTÁ</v>
      </c>
      <c r="D1900" s="15" t="str">
        <f>IFERROR(__xludf.DUMMYFUNCTION("""COMPUTED_VALUE"""),"MEDELLÍN")</f>
        <v>MEDELLÍN</v>
      </c>
      <c r="E1900" s="15" t="str">
        <f>IFERROR(__xludf.DUMMYFUNCTION("""COMPUTED_VALUE"""),"Lácteos El Pino SAS")</f>
        <v>Lácteos El Pino SAS</v>
      </c>
      <c r="F1900" s="17" t="str">
        <f>IFERROR(__xludf.DUMMYFUNCTION("""COMPUTED_VALUE"""),"CALLE 24A #57-60 / RECIBO EN ZONA DE CARGA POR EL DEPRIMIDO- COMPRAS")</f>
        <v>CALLE 24A #57-60 / RECIBO EN ZONA DE CARGA POR EL DEPRIMIDO- COMPRAS</v>
      </c>
      <c r="G1900" s="15" t="str">
        <f>IFERROR(__xludf.DUMMYFUNCTION("""COMPUTED_VALUE"""),"HOTEL GRAND HYATT BOGOTA")</f>
        <v>HOTEL GRAND HYATT BOGOTA</v>
      </c>
      <c r="H1900" s="16">
        <f>IFERROR(__xludf.DUMMYFUNCTION("""COMPUTED_VALUE"""),10504.0)</f>
        <v>10504</v>
      </c>
      <c r="I1900" s="18">
        <f>IFERROR(__xludf.DUMMYFUNCTION("""COMPUTED_VALUE"""),33.0)</f>
        <v>33</v>
      </c>
      <c r="J1900" s="18">
        <f>IFERROR(__xludf.DUMMYFUNCTION("""COMPUTED_VALUE"""),22.0)</f>
        <v>22</v>
      </c>
      <c r="K1900" s="18">
        <f>IFERROR(__xludf.DUMMYFUNCTION("""COMPUTED_VALUE"""),36.0)</f>
        <v>36</v>
      </c>
      <c r="L1900" s="17"/>
      <c r="M1900" s="17" t="str">
        <f>IFERROR(__xludf.DUMMYFUNCTION("""COMPUTED_VALUE"""),"#REF!")</f>
        <v>#REF!</v>
      </c>
      <c r="N1900" s="17"/>
      <c r="O1900" s="17"/>
      <c r="P1900" s="17" t="b">
        <f>IFERROR(__xludf.DUMMYFUNCTION("""COMPUTED_VALUE"""),FALSE)</f>
        <v>0</v>
      </c>
      <c r="Q1900" s="20" t="str">
        <f>IFERROR(__xludf.DUMMYFUNCTION("""COMPUTED_VALUE"""),"")</f>
        <v/>
      </c>
      <c r="R1900" s="22" t="str">
        <f>IFERROR(__xludf.DUMMYFUNCTION("""COMPUTED_VALUE"""),"")</f>
        <v/>
      </c>
    </row>
    <row r="1901">
      <c r="A1901" s="17" t="str">
        <f>IFERROR(__xludf.DUMMYFUNCTION("""COMPUTED_VALUE"""),"")</f>
        <v/>
      </c>
      <c r="B1901" s="17" t="str">
        <f>IFERROR(__xludf.DUMMYFUNCTION("""COMPUTED_VALUE"""),"")</f>
        <v/>
      </c>
      <c r="C1901" s="17" t="str">
        <f>IFERROR(__xludf.DUMMYFUNCTION("""COMPUTED_VALUE"""),"")</f>
        <v/>
      </c>
      <c r="D1901" s="17" t="str">
        <f>IFERROR(__xludf.DUMMYFUNCTION("""COMPUTED_VALUE"""),"")</f>
        <v/>
      </c>
      <c r="E1901" s="17" t="str">
        <f>IFERROR(__xludf.DUMMYFUNCTION("""COMPUTED_VALUE"""),"")</f>
        <v/>
      </c>
      <c r="F1901" s="17" t="str">
        <f>IFERROR(__xludf.DUMMYFUNCTION("""COMPUTED_VALUE"""),"")</f>
        <v/>
      </c>
      <c r="G1901" s="17" t="str">
        <f>IFERROR(__xludf.DUMMYFUNCTION("""COMPUTED_VALUE"""),"")</f>
        <v/>
      </c>
      <c r="H1901" s="17" t="str">
        <f>IFERROR(__xludf.DUMMYFUNCTION("""COMPUTED_VALUE"""),"")</f>
        <v/>
      </c>
      <c r="I1901" s="17" t="str">
        <f>IFERROR(__xludf.DUMMYFUNCTION("""COMPUTED_VALUE"""),"")</f>
        <v/>
      </c>
      <c r="J1901" s="17" t="str">
        <f>IFERROR(__xludf.DUMMYFUNCTION("""COMPUTED_VALUE"""),"")</f>
        <v/>
      </c>
      <c r="K1901" s="17" t="str">
        <f>IFERROR(__xludf.DUMMYFUNCTION("""COMPUTED_VALUE"""),"")</f>
        <v/>
      </c>
      <c r="L1901" s="17" t="str">
        <f>IFERROR(__xludf.DUMMYFUNCTION("""COMPUTED_VALUE"""),"")</f>
        <v/>
      </c>
      <c r="M1901" s="17" t="str">
        <f>IFERROR(__xludf.DUMMYFUNCTION("""COMPUTED_VALUE"""),"")</f>
        <v/>
      </c>
      <c r="N1901" s="17" t="str">
        <f>IFERROR(__xludf.DUMMYFUNCTION("""COMPUTED_VALUE"""),"")</f>
        <v/>
      </c>
      <c r="O1901" s="17" t="str">
        <f>IFERROR(__xludf.DUMMYFUNCTION("""COMPUTED_VALUE"""),"")</f>
        <v/>
      </c>
      <c r="P1901" s="17" t="str">
        <f>IFERROR(__xludf.DUMMYFUNCTION("""COMPUTED_VALUE"""),"")</f>
        <v/>
      </c>
      <c r="Q1901" s="17" t="str">
        <f>IFERROR(__xludf.DUMMYFUNCTION("""COMPUTED_VALUE"""),"")</f>
        <v/>
      </c>
      <c r="R1901" s="17" t="str">
        <f>IFERROR(__xludf.DUMMYFUNCTION("""COMPUTED_VALUE"""),"")</f>
        <v/>
      </c>
    </row>
    <row r="1902">
      <c r="A1902" s="15">
        <f>IFERROR(__xludf.DUMMYFUNCTION("""COMPUTED_VALUE"""),45056.0)</f>
        <v>45056</v>
      </c>
      <c r="B1902" s="16" t="str">
        <f>IFERROR(__xludf.DUMMYFUNCTION("""COMPUTED_VALUE"""),"Anuar suarez jimenez ")</f>
        <v>Anuar suarez jimenez </v>
      </c>
      <c r="C1902" s="15" t="str">
        <f>IFERROR(__xludf.DUMMYFUNCTION("""COMPUTED_VALUE"""),"BARRANQUILLA")</f>
        <v>BARRANQUILLA</v>
      </c>
      <c r="D1902" s="15" t="str">
        <f>IFERROR(__xludf.DUMMYFUNCTION("""COMPUTED_VALUE"""),"BOGOTÁ")</f>
        <v>BOGOTÁ</v>
      </c>
      <c r="E1902" s="15" t="str">
        <f>IFERROR(__xludf.DUMMYFUNCTION("""COMPUTED_VALUE"""),"Mochi")</f>
        <v>Mochi</v>
      </c>
      <c r="F1902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1902" s="15" t="str">
        <f>IFERROR(__xludf.DUMMYFUNCTION("""COMPUTED_VALUE"""),"Maria Camila")</f>
        <v>Maria Camila</v>
      </c>
      <c r="H1902" s="16">
        <f>IFERROR(__xludf.DUMMYFUNCTION("""COMPUTED_VALUE"""),10538.0)</f>
        <v>10538</v>
      </c>
      <c r="I1902" s="18">
        <f>IFERROR(__xludf.DUMMYFUNCTION("""COMPUTED_VALUE"""),100.0)</f>
        <v>100</v>
      </c>
      <c r="J1902" s="18">
        <f>IFERROR(__xludf.DUMMYFUNCTION("""COMPUTED_VALUE"""),100.0)</f>
        <v>100</v>
      </c>
      <c r="K1902" s="18">
        <f>IFERROR(__xludf.DUMMYFUNCTION("""COMPUTED_VALUE"""),200.0)</f>
        <v>200</v>
      </c>
      <c r="L1902" s="17">
        <f>IFERROR(__xludf.DUMMYFUNCTION("""COMPUTED_VALUE"""),3.116026252E9)</f>
        <v>3116026252</v>
      </c>
      <c r="M1902" s="17" t="str">
        <f>IFERROR(__xludf.DUMMYFUNCTION("""COMPUTED_VALUE"""),"#REF!")</f>
        <v>#REF!</v>
      </c>
      <c r="N1902" s="17"/>
      <c r="O1902" s="17"/>
      <c r="P1902" s="17" t="b">
        <f>IFERROR(__xludf.DUMMYFUNCTION("""COMPUTED_VALUE"""),FALSE)</f>
        <v>0</v>
      </c>
      <c r="Q1902" s="20" t="str">
        <f>IFERROR(__xludf.DUMMYFUNCTION("""COMPUTED_VALUE"""),"")</f>
        <v/>
      </c>
      <c r="R1902" s="22" t="str">
        <f>IFERROR(__xludf.DUMMYFUNCTION("""COMPUTED_VALUE"""),"")</f>
        <v/>
      </c>
    </row>
    <row r="1903">
      <c r="A1903" s="15">
        <f>IFERROR(__xludf.DUMMYFUNCTION("""COMPUTED_VALUE"""),45056.0)</f>
        <v>45056</v>
      </c>
      <c r="B1903" s="16" t="str">
        <f>IFERROR(__xludf.DUMMYFUNCTION("""COMPUTED_VALUE"""),"Anuar suarez jimenez ")</f>
        <v>Anuar suarez jimenez </v>
      </c>
      <c r="C1903" s="15" t="str">
        <f>IFERROR(__xludf.DUMMYFUNCTION("""COMPUTED_VALUE"""),"CARTAGENA")</f>
        <v>CARTAGENA</v>
      </c>
      <c r="D1903" s="15" t="str">
        <f>IFERROR(__xludf.DUMMYFUNCTION("""COMPUTED_VALUE"""),"BOGOTÁ")</f>
        <v>BOGOTÁ</v>
      </c>
      <c r="E1903" s="15" t="str">
        <f>IFERROR(__xludf.DUMMYFUNCTION("""COMPUTED_VALUE"""),"Mochi")</f>
        <v>Mochi</v>
      </c>
      <c r="F1903" s="17" t="str">
        <f>IFERROR(__xludf.DUMMYFUNCTION("""COMPUTED_VALUE"""),"Centro comercial serrezuela / Centro comercial serrezuela / Centro comercial serrezuela")</f>
        <v>Centro comercial serrezuela / Centro comercial serrezuela / Centro comercial serrezuela</v>
      </c>
      <c r="G1903" s="15" t="str">
        <f>IFERROR(__xludf.DUMMYFUNCTION("""COMPUTED_VALUE"""),"maria camila")</f>
        <v>maria camila</v>
      </c>
      <c r="H1903" s="16">
        <f>IFERROR(__xludf.DUMMYFUNCTION("""COMPUTED_VALUE"""),10537.0)</f>
        <v>10537</v>
      </c>
      <c r="I1903" s="18">
        <f>IFERROR(__xludf.DUMMYFUNCTION("""COMPUTED_VALUE"""),100.0)</f>
        <v>100</v>
      </c>
      <c r="J1903" s="18">
        <f>IFERROR(__xludf.DUMMYFUNCTION("""COMPUTED_VALUE"""),200.0)</f>
        <v>200</v>
      </c>
      <c r="K1903" s="18">
        <f>IFERROR(__xludf.DUMMYFUNCTION("""COMPUTED_VALUE"""),100.0)</f>
        <v>100</v>
      </c>
      <c r="L1903" s="17">
        <f>IFERROR(__xludf.DUMMYFUNCTION("""COMPUTED_VALUE"""),3.116026252E9)</f>
        <v>3116026252</v>
      </c>
      <c r="M1903" s="17" t="str">
        <f>IFERROR(__xludf.DUMMYFUNCTION("""COMPUTED_VALUE"""),"#REF!")</f>
        <v>#REF!</v>
      </c>
      <c r="N1903" s="17"/>
      <c r="O1903" s="17"/>
      <c r="P1903" s="17" t="b">
        <f>IFERROR(__xludf.DUMMYFUNCTION("""COMPUTED_VALUE"""),FALSE)</f>
        <v>0</v>
      </c>
      <c r="Q1903" s="20" t="str">
        <f>IFERROR(__xludf.DUMMYFUNCTION("""COMPUTED_VALUE"""),"")</f>
        <v/>
      </c>
      <c r="R1903" s="22" t="str">
        <f>IFERROR(__xludf.DUMMYFUNCTION("""COMPUTED_VALUE"""),"")</f>
        <v/>
      </c>
    </row>
    <row r="1904">
      <c r="A1904" s="15">
        <f>IFERROR(__xludf.DUMMYFUNCTION("""COMPUTED_VALUE"""),45056.0)</f>
        <v>45056</v>
      </c>
      <c r="B1904" s="16" t="str">
        <f>IFERROR(__xludf.DUMMYFUNCTION("""COMPUTED_VALUE"""),"Anuar suarez jimenez ")</f>
        <v>Anuar suarez jimenez </v>
      </c>
      <c r="C1904" s="15" t="str">
        <f>IFERROR(__xludf.DUMMYFUNCTION("""COMPUTED_VALUE"""),"MONTERIA")</f>
        <v>MONTERIA</v>
      </c>
      <c r="D1904" s="15" t="str">
        <f>IFERROR(__xludf.DUMMYFUNCTION("""COMPUTED_VALUE"""),"BOGOTÁ")</f>
        <v>BOGOTÁ</v>
      </c>
      <c r="E1904" s="15" t="str">
        <f>IFERROR(__xludf.DUMMYFUNCTION("""COMPUTED_VALUE"""),"Asociacion Agropecuaria Juana Maria")</f>
        <v>Asociacion Agropecuaria Juana Maria</v>
      </c>
      <c r="F1904" s="17" t="str">
        <f>IFERROR(__xludf.DUMMYFUNCTION("""COMPUTED_VALUE"""),"Cra 14A #54-23 Barrio Monte Verde")</f>
        <v>Cra 14A #54-23 Barrio Monte Verde</v>
      </c>
      <c r="G1904" s="15" t="str">
        <f>IFERROR(__xludf.DUMMYFUNCTION("""COMPUTED_VALUE"""),"Emilia Miranda")</f>
        <v>Emilia Miranda</v>
      </c>
      <c r="H1904" s="16">
        <f>IFERROR(__xludf.DUMMYFUNCTION("""COMPUTED_VALUE"""),10415.0)</f>
        <v>10415</v>
      </c>
      <c r="I1904" s="18">
        <f>IFERROR(__xludf.DUMMYFUNCTION("""COMPUTED_VALUE"""),21.0)</f>
        <v>21</v>
      </c>
      <c r="J1904" s="18">
        <f>IFERROR(__xludf.DUMMYFUNCTION("""COMPUTED_VALUE"""),37.0)</f>
        <v>37</v>
      </c>
      <c r="K1904" s="18">
        <f>IFERROR(__xludf.DUMMYFUNCTION("""COMPUTED_VALUE"""),30.0)</f>
        <v>30</v>
      </c>
      <c r="L1904" s="17">
        <f>IFERROR(__xludf.DUMMYFUNCTION("""COMPUTED_VALUE"""),3.113438505E9)</f>
        <v>3113438505</v>
      </c>
      <c r="M1904" s="17" t="str">
        <f>IFERROR(__xludf.DUMMYFUNCTION("""COMPUTED_VALUE"""),"#REF!")</f>
        <v>#REF!</v>
      </c>
      <c r="N1904" s="17"/>
      <c r="O1904" s="17"/>
      <c r="P1904" s="17" t="b">
        <f>IFERROR(__xludf.DUMMYFUNCTION("""COMPUTED_VALUE"""),FALSE)</f>
        <v>0</v>
      </c>
      <c r="Q1904" s="20" t="str">
        <f>IFERROR(__xludf.DUMMYFUNCTION("""COMPUTED_VALUE"""),"")</f>
        <v/>
      </c>
      <c r="R1904" s="22" t="str">
        <f>IFERROR(__xludf.DUMMYFUNCTION("""COMPUTED_VALUE"""),"")</f>
        <v/>
      </c>
    </row>
    <row r="1905">
      <c r="A1905" s="15">
        <f>IFERROR(__xludf.DUMMYFUNCTION("""COMPUTED_VALUE"""),45056.0)</f>
        <v>45056</v>
      </c>
      <c r="B1905" s="16" t="str">
        <f>IFERROR(__xludf.DUMMYFUNCTION("""COMPUTED_VALUE"""),"Anuar suarez jimenez ")</f>
        <v>Anuar suarez jimenez </v>
      </c>
      <c r="C1905" s="15" t="str">
        <f>IFERROR(__xludf.DUMMYFUNCTION("""COMPUTED_VALUE"""),"MONTERIA")</f>
        <v>MONTERIA</v>
      </c>
      <c r="D1905" s="15" t="str">
        <f>IFERROR(__xludf.DUMMYFUNCTION("""COMPUTED_VALUE"""),"BOGOTÁ")</f>
        <v>BOGOTÁ</v>
      </c>
      <c r="E1905" s="15" t="str">
        <f>IFERROR(__xludf.DUMMYFUNCTION("""COMPUTED_VALUE"""),"Evamazzita")</f>
        <v>Evamazzita</v>
      </c>
      <c r="F1905" s="17" t="str">
        <f>IFERROR(__xludf.DUMMYFUNCTION("""COMPUTED_VALUE"""),"CRA 14A No. 54 . 23  / N/A / BARRIO MONTEVERDE")</f>
        <v>CRA 14A No. 54 . 23  / N/A / BARRIO MONTEVERDE</v>
      </c>
      <c r="G1905" s="15" t="str">
        <f>IFERROR(__xludf.DUMMYFUNCTION("""COMPUTED_VALUE"""),"EMILIA MIRANDA")</f>
        <v>EMILIA MIRANDA</v>
      </c>
      <c r="H1905" s="16">
        <f>IFERROR(__xludf.DUMMYFUNCTION("""COMPUTED_VALUE"""),10432.0)</f>
        <v>10432</v>
      </c>
      <c r="I1905" s="18">
        <f>IFERROR(__xludf.DUMMYFUNCTION("""COMPUTED_VALUE"""),22.0)</f>
        <v>22</v>
      </c>
      <c r="J1905" s="18">
        <f>IFERROR(__xludf.DUMMYFUNCTION("""COMPUTED_VALUE"""),44.0)</f>
        <v>44</v>
      </c>
      <c r="K1905" s="18">
        <f>IFERROR(__xludf.DUMMYFUNCTION("""COMPUTED_VALUE"""),22.0)</f>
        <v>22</v>
      </c>
      <c r="L1905" s="17">
        <f>IFERROR(__xludf.DUMMYFUNCTION("""COMPUTED_VALUE"""),3.113438505E9)</f>
        <v>3113438505</v>
      </c>
      <c r="M1905" s="17" t="str">
        <f>IFERROR(__xludf.DUMMYFUNCTION("""COMPUTED_VALUE"""),"#REF!")</f>
        <v>#REF!</v>
      </c>
      <c r="N1905" s="17"/>
      <c r="O1905" s="17"/>
      <c r="P1905" s="17" t="b">
        <f>IFERROR(__xludf.DUMMYFUNCTION("""COMPUTED_VALUE"""),FALSE)</f>
        <v>0</v>
      </c>
      <c r="Q1905" s="20" t="str">
        <f>IFERROR(__xludf.DUMMYFUNCTION("""COMPUTED_VALUE"""),"")</f>
        <v/>
      </c>
      <c r="R1905" s="22" t="str">
        <f>IFERROR(__xludf.DUMMYFUNCTION("""COMPUTED_VALUE"""),"")</f>
        <v/>
      </c>
    </row>
    <row r="1906">
      <c r="A1906" s="17" t="str">
        <f>IFERROR(__xludf.DUMMYFUNCTION("""COMPUTED_VALUE"""),"")</f>
        <v/>
      </c>
      <c r="B1906" s="17" t="str">
        <f>IFERROR(__xludf.DUMMYFUNCTION("""COMPUTED_VALUE"""),"")</f>
        <v/>
      </c>
      <c r="C1906" s="17" t="str">
        <f>IFERROR(__xludf.DUMMYFUNCTION("""COMPUTED_VALUE"""),"")</f>
        <v/>
      </c>
      <c r="D1906" s="17" t="str">
        <f>IFERROR(__xludf.DUMMYFUNCTION("""COMPUTED_VALUE"""),"")</f>
        <v/>
      </c>
      <c r="E1906" s="17" t="str">
        <f>IFERROR(__xludf.DUMMYFUNCTION("""COMPUTED_VALUE"""),"")</f>
        <v/>
      </c>
      <c r="F1906" s="17" t="str">
        <f>IFERROR(__xludf.DUMMYFUNCTION("""COMPUTED_VALUE"""),"")</f>
        <v/>
      </c>
      <c r="G1906" s="17" t="str">
        <f>IFERROR(__xludf.DUMMYFUNCTION("""COMPUTED_VALUE"""),"")</f>
        <v/>
      </c>
      <c r="H1906" s="17" t="str">
        <f>IFERROR(__xludf.DUMMYFUNCTION("""COMPUTED_VALUE"""),"")</f>
        <v/>
      </c>
      <c r="I1906" s="17" t="str">
        <f>IFERROR(__xludf.DUMMYFUNCTION("""COMPUTED_VALUE"""),"")</f>
        <v/>
      </c>
      <c r="J1906" s="17" t="str">
        <f>IFERROR(__xludf.DUMMYFUNCTION("""COMPUTED_VALUE"""),"")</f>
        <v/>
      </c>
      <c r="K1906" s="17" t="str">
        <f>IFERROR(__xludf.DUMMYFUNCTION("""COMPUTED_VALUE"""),"")</f>
        <v/>
      </c>
      <c r="L1906" s="17" t="str">
        <f>IFERROR(__xludf.DUMMYFUNCTION("""COMPUTED_VALUE"""),"")</f>
        <v/>
      </c>
      <c r="M1906" s="17" t="str">
        <f>IFERROR(__xludf.DUMMYFUNCTION("""COMPUTED_VALUE"""),"")</f>
        <v/>
      </c>
      <c r="N1906" s="17" t="str">
        <f>IFERROR(__xludf.DUMMYFUNCTION("""COMPUTED_VALUE"""),"")</f>
        <v/>
      </c>
      <c r="O1906" s="17" t="str">
        <f>IFERROR(__xludf.DUMMYFUNCTION("""COMPUTED_VALUE"""),"")</f>
        <v/>
      </c>
      <c r="P1906" s="17" t="str">
        <f>IFERROR(__xludf.DUMMYFUNCTION("""COMPUTED_VALUE"""),"")</f>
        <v/>
      </c>
      <c r="Q1906" s="17" t="str">
        <f>IFERROR(__xludf.DUMMYFUNCTION("""COMPUTED_VALUE"""),"")</f>
        <v/>
      </c>
      <c r="R1906" s="17" t="str">
        <f>IFERROR(__xludf.DUMMYFUNCTION("""COMPUTED_VALUE"""),"")</f>
        <v/>
      </c>
    </row>
    <row r="1907">
      <c r="A1907" s="15">
        <f>IFERROR(__xludf.DUMMYFUNCTION("""COMPUTED_VALUE"""),45056.0)</f>
        <v>45056</v>
      </c>
      <c r="B1907" s="16" t="str">
        <f>IFERROR(__xludf.DUMMYFUNCTION("""COMPUTED_VALUE"""),"Envia")</f>
        <v>Envia</v>
      </c>
      <c r="C1907" s="15" t="str">
        <f>IFERROR(__xludf.DUMMYFUNCTION("""COMPUTED_VALUE"""),"BOGOTÁ")</f>
        <v>BOGOTÁ</v>
      </c>
      <c r="D1907" s="15" t="str">
        <f>IFERROR(__xludf.DUMMYFUNCTION("""COMPUTED_VALUE"""),"MEDELLÍN")</f>
        <v>MEDELLÍN</v>
      </c>
      <c r="E1907" s="15" t="str">
        <f>IFERROR(__xludf.DUMMYFUNCTION("""COMPUTED_VALUE"""),"Baby Chef")</f>
        <v>Baby Chef</v>
      </c>
      <c r="F1907" s="17" t="str">
        <f>IFERROR(__xludf.DUMMYFUNCTION("""COMPUTED_VALUE"""),"Cra 118 # 86 - 20 / Conjunto los Almendros Interior 30 Apto 103 / BOGOTA")</f>
        <v>Cra 118 # 86 - 20 / Conjunto los Almendros Interior 30 Apto 103 / BOGOTA</v>
      </c>
      <c r="G1907" s="15" t="str">
        <f>IFERROR(__xludf.DUMMYFUNCTION("""COMPUTED_VALUE"""),"Shirley Roldan")</f>
        <v>Shirley Roldan</v>
      </c>
      <c r="H1907" s="16">
        <f>IFERROR(__xludf.DUMMYFUNCTION("""COMPUTED_VALUE"""),10528.0)</f>
        <v>10528</v>
      </c>
      <c r="I1907" s="18">
        <f>IFERROR(__xludf.DUMMYFUNCTION("""COMPUTED_VALUE"""),8.0)</f>
        <v>8</v>
      </c>
      <c r="J1907" s="18">
        <f>IFERROR(__xludf.DUMMYFUNCTION("""COMPUTED_VALUE"""),16.0)</f>
        <v>16</v>
      </c>
      <c r="K1907" s="18">
        <f>IFERROR(__xludf.DUMMYFUNCTION("""COMPUTED_VALUE"""),20.0)</f>
        <v>20</v>
      </c>
      <c r="L1907" s="17">
        <f>IFERROR(__xludf.DUMMYFUNCTION("""COMPUTED_VALUE"""),3.016725674E9)</f>
        <v>3016725674</v>
      </c>
      <c r="M1907" s="17" t="str">
        <f>IFERROR(__xludf.DUMMYFUNCTION("""COMPUTED_VALUE"""),"#REF!")</f>
        <v>#REF!</v>
      </c>
      <c r="N1907" s="17"/>
      <c r="O1907" s="17"/>
      <c r="P1907" s="17" t="b">
        <f>IFERROR(__xludf.DUMMYFUNCTION("""COMPUTED_VALUE"""),FALSE)</f>
        <v>0</v>
      </c>
      <c r="Q1907" s="20" t="str">
        <f>IFERROR(__xludf.DUMMYFUNCTION("""COMPUTED_VALUE"""),"")</f>
        <v/>
      </c>
      <c r="R1907" s="22" t="str">
        <f>IFERROR(__xludf.DUMMYFUNCTION("""COMPUTED_VALUE"""),"")</f>
        <v/>
      </c>
    </row>
    <row r="1908">
      <c r="A1908" s="15">
        <f>IFERROR(__xludf.DUMMYFUNCTION("""COMPUTED_VALUE"""),45056.0)</f>
        <v>45056</v>
      </c>
      <c r="B1908" s="16" t="str">
        <f>IFERROR(__xludf.DUMMYFUNCTION("""COMPUTED_VALUE"""),"Envia")</f>
        <v>Envia</v>
      </c>
      <c r="C1908" s="15" t="str">
        <f>IFERROR(__xludf.DUMMYFUNCTION("""COMPUTED_VALUE"""),"BOGOTÁ")</f>
        <v>BOGOTÁ</v>
      </c>
      <c r="D1908" s="15" t="str">
        <f>IFERROR(__xludf.DUMMYFUNCTION("""COMPUTED_VALUE"""),"MEDELLÍN")</f>
        <v>MEDELLÍN</v>
      </c>
      <c r="E1908" s="15" t="str">
        <f>IFERROR(__xludf.DUMMYFUNCTION("""COMPUTED_VALUE"""),"Moloso S.A.S")</f>
        <v>Moloso S.A.S</v>
      </c>
      <c r="F1908" s="17" t="str">
        <f>IFERROR(__xludf.DUMMYFUNCTION("""COMPUTED_VALUE"""),"CLL 118 16 32 / APT 502")</f>
        <v>CLL 118 16 32 / APT 502</v>
      </c>
      <c r="G1908" s="15" t="str">
        <f>IFERROR(__xludf.DUMMYFUNCTION("""COMPUTED_VALUE"""),"ANGELICA MANCILLA")</f>
        <v>ANGELICA MANCILLA</v>
      </c>
      <c r="H1908" s="16">
        <f>IFERROR(__xludf.DUMMYFUNCTION("""COMPUTED_VALUE"""),10510.0)</f>
        <v>10510</v>
      </c>
      <c r="I1908" s="18">
        <f>IFERROR(__xludf.DUMMYFUNCTION("""COMPUTED_VALUE"""),17.0)</f>
        <v>17</v>
      </c>
      <c r="J1908" s="18">
        <f>IFERROR(__xludf.DUMMYFUNCTION("""COMPUTED_VALUE"""),15.0)</f>
        <v>15</v>
      </c>
      <c r="K1908" s="18">
        <f>IFERROR(__xludf.DUMMYFUNCTION("""COMPUTED_VALUE"""),28.0)</f>
        <v>28</v>
      </c>
      <c r="L1908" s="17">
        <f>IFERROR(__xludf.DUMMYFUNCTION("""COMPUTED_VALUE"""),3.174401028E9)</f>
        <v>3174401028</v>
      </c>
      <c r="M1908" s="17" t="str">
        <f>IFERROR(__xludf.DUMMYFUNCTION("""COMPUTED_VALUE"""),"#REF!")</f>
        <v>#REF!</v>
      </c>
      <c r="N1908" s="17"/>
      <c r="O1908" s="17"/>
      <c r="P1908" s="17" t="b">
        <f>IFERROR(__xludf.DUMMYFUNCTION("""COMPUTED_VALUE"""),FALSE)</f>
        <v>0</v>
      </c>
      <c r="Q1908" s="20" t="str">
        <f>IFERROR(__xludf.DUMMYFUNCTION("""COMPUTED_VALUE"""),"")</f>
        <v/>
      </c>
      <c r="R1908" s="22" t="str">
        <f>IFERROR(__xludf.DUMMYFUNCTION("""COMPUTED_VALUE"""),"")</f>
        <v/>
      </c>
    </row>
    <row r="1909">
      <c r="A1909" s="15">
        <f>IFERROR(__xludf.DUMMYFUNCTION("""COMPUTED_VALUE"""),45056.0)</f>
        <v>45056</v>
      </c>
      <c r="B1909" s="16" t="str">
        <f>IFERROR(__xludf.DUMMYFUNCTION("""COMPUTED_VALUE"""),"Envia")</f>
        <v>Envia</v>
      </c>
      <c r="C1909" s="15" t="str">
        <f>IFERROR(__xludf.DUMMYFUNCTION("""COMPUTED_VALUE"""),"BOGOTÁ")</f>
        <v>BOGOTÁ</v>
      </c>
      <c r="D1909" s="15" t="str">
        <f>IFERROR(__xludf.DUMMYFUNCTION("""COMPUTED_VALUE"""),"MEDELLÍN")</f>
        <v>MEDELLÍN</v>
      </c>
      <c r="E1909" s="15" t="str">
        <f>IFERROR(__xludf.DUMMYFUNCTION("""COMPUTED_VALUE"""),"TOLEDALES S.A.S")</f>
        <v>TOLEDALES S.A.S</v>
      </c>
      <c r="F1909" s="17" t="str">
        <f>IFERROR(__xludf.DUMMYFUNCTION("""COMPUTED_VALUE"""),"Diagonal 40a# 8- 91 / apto 407")</f>
        <v>Diagonal 40a# 8- 91 / apto 407</v>
      </c>
      <c r="G1909" s="15" t="str">
        <f>IFERROR(__xludf.DUMMYFUNCTION("""COMPUTED_VALUE"""),"Viviana Gómez")</f>
        <v>Viviana Gómez</v>
      </c>
      <c r="H1909" s="16">
        <f>IFERROR(__xludf.DUMMYFUNCTION("""COMPUTED_VALUE"""),10546.0)</f>
        <v>10546</v>
      </c>
      <c r="I1909" s="18">
        <f>IFERROR(__xludf.DUMMYFUNCTION("""COMPUTED_VALUE"""),7.0)</f>
        <v>7</v>
      </c>
      <c r="J1909" s="18">
        <f>IFERROR(__xludf.DUMMYFUNCTION("""COMPUTED_VALUE"""),23.0)</f>
        <v>23</v>
      </c>
      <c r="K1909" s="18">
        <f>IFERROR(__xludf.DUMMYFUNCTION("""COMPUTED_VALUE"""),30.0)</f>
        <v>30</v>
      </c>
      <c r="L1909" s="17" t="str">
        <f>IFERROR(__xludf.DUMMYFUNCTION("""COMPUTED_VALUE"""),"318 7825864")</f>
        <v>318 7825864</v>
      </c>
      <c r="M1909" s="17" t="str">
        <f>IFERROR(__xludf.DUMMYFUNCTION("""COMPUTED_VALUE"""),"#REF!")</f>
        <v>#REF!</v>
      </c>
      <c r="N1909" s="17"/>
      <c r="O1909" s="17"/>
      <c r="P1909" s="17" t="b">
        <f>IFERROR(__xludf.DUMMYFUNCTION("""COMPUTED_VALUE"""),FALSE)</f>
        <v>0</v>
      </c>
      <c r="Q1909" s="20" t="str">
        <f>IFERROR(__xludf.DUMMYFUNCTION("""COMPUTED_VALUE"""),"")</f>
        <v/>
      </c>
      <c r="R1909" s="22" t="str">
        <f>IFERROR(__xludf.DUMMYFUNCTION("""COMPUTED_VALUE"""),"")</f>
        <v/>
      </c>
    </row>
    <row r="1910">
      <c r="A1910" s="15">
        <f>IFERROR(__xludf.DUMMYFUNCTION("""COMPUTED_VALUE"""),45056.0)</f>
        <v>45056</v>
      </c>
      <c r="B1910" s="16" t="str">
        <f>IFERROR(__xludf.DUMMYFUNCTION("""COMPUTED_VALUE"""),"Envia")</f>
        <v>Envia</v>
      </c>
      <c r="C1910" s="15" t="str">
        <f>IFERROR(__xludf.DUMMYFUNCTION("""COMPUTED_VALUE"""),"CALI")</f>
        <v>CALI</v>
      </c>
      <c r="D1910" s="15" t="str">
        <f>IFERROR(__xludf.DUMMYFUNCTION("""COMPUTED_VALUE"""),"MEDELLÍN")</f>
        <v>MEDELLÍN</v>
      </c>
      <c r="E1910" s="15" t="str">
        <f>IFERROR(__xludf.DUMMYFUNCTION("""COMPUTED_VALUE"""),"Moloso S.A.S")</f>
        <v>Moloso S.A.S</v>
      </c>
      <c r="F1910" s="17" t="str">
        <f>IFERROR(__xludf.DUMMYFUNCTION("""COMPUTED_VALUE"""),"AVENIDA 3 OESTE 13 94 / EDIF SOL DEL OESTE APT 702")</f>
        <v>AVENIDA 3 OESTE 13 94 / EDIF SOL DEL OESTE APT 702</v>
      </c>
      <c r="G1910" s="15" t="str">
        <f>IFERROR(__xludf.DUMMYFUNCTION("""COMPUTED_VALUE"""),"LAURA HERNÁNDEZ ALVIAR")</f>
        <v>LAURA HERNÁNDEZ ALVIAR</v>
      </c>
      <c r="H1910" s="16">
        <f>IFERROR(__xludf.DUMMYFUNCTION("""COMPUTED_VALUE"""),10511.0)</f>
        <v>10511</v>
      </c>
      <c r="I1910" s="18">
        <f>IFERROR(__xludf.DUMMYFUNCTION("""COMPUTED_VALUE"""),17.0)</f>
        <v>17</v>
      </c>
      <c r="J1910" s="18">
        <f>IFERROR(__xludf.DUMMYFUNCTION("""COMPUTED_VALUE"""),15.0)</f>
        <v>15</v>
      </c>
      <c r="K1910" s="18">
        <f>IFERROR(__xludf.DUMMYFUNCTION("""COMPUTED_VALUE"""),28.0)</f>
        <v>28</v>
      </c>
      <c r="L1910" s="17" t="str">
        <f>IFERROR(__xludf.DUMMYFUNCTION("""COMPUTED_VALUE"""),"315 5762974")</f>
        <v>315 5762974</v>
      </c>
      <c r="M1910" s="17" t="str">
        <f>IFERROR(__xludf.DUMMYFUNCTION("""COMPUTED_VALUE"""),"#REF!")</f>
        <v>#REF!</v>
      </c>
      <c r="N1910" s="17"/>
      <c r="O1910" s="17"/>
      <c r="P1910" s="17" t="b">
        <f>IFERROR(__xludf.DUMMYFUNCTION("""COMPUTED_VALUE"""),FALSE)</f>
        <v>0</v>
      </c>
      <c r="Q1910" s="20" t="str">
        <f>IFERROR(__xludf.DUMMYFUNCTION("""COMPUTED_VALUE"""),"")</f>
        <v/>
      </c>
      <c r="R1910" s="22" t="str">
        <f>IFERROR(__xludf.DUMMYFUNCTION("""COMPUTED_VALUE"""),"")</f>
        <v/>
      </c>
    </row>
    <row r="1911">
      <c r="A1911" s="15">
        <f>IFERROR(__xludf.DUMMYFUNCTION("""COMPUTED_VALUE"""),45056.0)</f>
        <v>45056</v>
      </c>
      <c r="B1911" s="16" t="str">
        <f>IFERROR(__xludf.DUMMYFUNCTION("""COMPUTED_VALUE"""),"Envia")</f>
        <v>Envia</v>
      </c>
      <c r="C1911" s="15" t="str">
        <f>IFERROR(__xludf.DUMMYFUNCTION("""COMPUTED_VALUE"""),"CALI")</f>
        <v>CALI</v>
      </c>
      <c r="D1911" s="15" t="str">
        <f>IFERROR(__xludf.DUMMYFUNCTION("""COMPUTED_VALUE"""),"MEDELLÍN")</f>
        <v>MEDELLÍN</v>
      </c>
      <c r="E1911" s="15" t="str">
        <f>IFERROR(__xludf.DUMMYFUNCTION("""COMPUTED_VALUE"""),"Todo Bufala")</f>
        <v>Todo Bufala</v>
      </c>
      <c r="F1911" s="17" t="str">
        <f>IFERROR(__xludf.DUMMYFUNCTION("""COMPUTED_VALUE"""),"Avenida 4B Norte #37AN136 hotel Avanti hotel")</f>
        <v>Avenida 4B Norte #37AN136 hotel Avanti hotel</v>
      </c>
      <c r="G1911" s="15" t="str">
        <f>IFERROR(__xludf.DUMMYFUNCTION("""COMPUTED_VALUE"""),"Juan Carlos Minotta Juri")</f>
        <v>Juan Carlos Minotta Juri</v>
      </c>
      <c r="H1911" s="16">
        <f>IFERROR(__xludf.DUMMYFUNCTION("""COMPUTED_VALUE"""),10402.0)</f>
        <v>10402</v>
      </c>
      <c r="I1911" s="18">
        <f>IFERROR(__xludf.DUMMYFUNCTION("""COMPUTED_VALUE"""),40.0)</f>
        <v>40</v>
      </c>
      <c r="J1911" s="18">
        <f>IFERROR(__xludf.DUMMYFUNCTION("""COMPUTED_VALUE"""),30.0)</f>
        <v>30</v>
      </c>
      <c r="K1911" s="18">
        <f>IFERROR(__xludf.DUMMYFUNCTION("""COMPUTED_VALUE"""),20.0)</f>
        <v>20</v>
      </c>
      <c r="L1911" s="17"/>
      <c r="M1911" s="17" t="str">
        <f>IFERROR(__xludf.DUMMYFUNCTION("""COMPUTED_VALUE"""),"#REF!")</f>
        <v>#REF!</v>
      </c>
      <c r="N1911" s="17"/>
      <c r="O1911" s="17"/>
      <c r="P1911" s="17" t="b">
        <f>IFERROR(__xludf.DUMMYFUNCTION("""COMPUTED_VALUE"""),FALSE)</f>
        <v>0</v>
      </c>
      <c r="Q1911" s="20" t="str">
        <f>IFERROR(__xludf.DUMMYFUNCTION("""COMPUTED_VALUE"""),"")</f>
        <v/>
      </c>
      <c r="R1911" s="22" t="str">
        <f>IFERROR(__xludf.DUMMYFUNCTION("""COMPUTED_VALUE"""),"")</f>
        <v/>
      </c>
    </row>
    <row r="1912">
      <c r="A1912" s="15">
        <f>IFERROR(__xludf.DUMMYFUNCTION("""COMPUTED_VALUE"""),45056.0)</f>
        <v>45056</v>
      </c>
      <c r="B1912" s="16" t="str">
        <f>IFERROR(__xludf.DUMMYFUNCTION("""COMPUTED_VALUE"""),"Envia")</f>
        <v>Envia</v>
      </c>
      <c r="C1912" s="15" t="str">
        <f>IFERROR(__xludf.DUMMYFUNCTION("""COMPUTED_VALUE"""),"CHÍA")</f>
        <v>CHÍA</v>
      </c>
      <c r="D1912" s="15" t="str">
        <f>IFERROR(__xludf.DUMMYFUNCTION("""COMPUTED_VALUE"""),"MEDELLÍN")</f>
        <v>MEDELLÍN</v>
      </c>
      <c r="E1912" s="15" t="str">
        <f>IFERROR(__xludf.DUMMYFUNCTION("""COMPUTED_VALUE"""),"Baby Chef")</f>
        <v>Baby Chef</v>
      </c>
      <c r="F1912" s="17" t="str">
        <f>IFERROR(__xludf.DUMMYFUNCTION("""COMPUTED_VALUE"""),"Vereda Bojacá Carrera 11 conjunto Bosque La Fontana, vía Guanatá  Casa 35 / Vereda Bojacá Carrera 11 conjunto Bosque La Fontana, vía Guanatá  Casa 35 / Vereda Bojacá Carrera 11 conjunto Bosque La Fontana, vía Guanatá  Casa 35")</f>
        <v>Vereda Bojacá Carrera 11 conjunto Bosque La Fontana, vía Guanatá  Casa 35 / Vereda Bojacá Carrera 11 conjunto Bosque La Fontana, vía Guanatá  Casa 35 / Vereda Bojacá Carrera 11 conjunto Bosque La Fontana, vía Guanatá  Casa 35</v>
      </c>
      <c r="G1912" s="15" t="str">
        <f>IFERROR(__xludf.DUMMYFUNCTION("""COMPUTED_VALUE"""),"Maria Camila Granados")</f>
        <v>Maria Camila Granados</v>
      </c>
      <c r="H1912" s="16">
        <f>IFERROR(__xludf.DUMMYFUNCTION("""COMPUTED_VALUE"""),10525.0)</f>
        <v>10525</v>
      </c>
      <c r="I1912" s="18">
        <f>IFERROR(__xludf.DUMMYFUNCTION("""COMPUTED_VALUE"""),8.0)</f>
        <v>8</v>
      </c>
      <c r="J1912" s="18">
        <f>IFERROR(__xludf.DUMMYFUNCTION("""COMPUTED_VALUE"""),16.0)</f>
        <v>16</v>
      </c>
      <c r="K1912" s="18">
        <f>IFERROR(__xludf.DUMMYFUNCTION("""COMPUTED_VALUE"""),20.0)</f>
        <v>20</v>
      </c>
      <c r="L1912" s="17">
        <f>IFERROR(__xludf.DUMMYFUNCTION("""COMPUTED_VALUE"""),3.197777247E9)</f>
        <v>3197777247</v>
      </c>
      <c r="M1912" s="17" t="str">
        <f>IFERROR(__xludf.DUMMYFUNCTION("""COMPUTED_VALUE"""),"#REF!")</f>
        <v>#REF!</v>
      </c>
      <c r="N1912" s="17"/>
      <c r="O1912" s="17"/>
      <c r="P1912" s="17" t="b">
        <f>IFERROR(__xludf.DUMMYFUNCTION("""COMPUTED_VALUE"""),FALSE)</f>
        <v>0</v>
      </c>
      <c r="Q1912" s="20" t="str">
        <f>IFERROR(__xludf.DUMMYFUNCTION("""COMPUTED_VALUE"""),"")</f>
        <v/>
      </c>
      <c r="R1912" s="22" t="str">
        <f>IFERROR(__xludf.DUMMYFUNCTION("""COMPUTED_VALUE"""),"")</f>
        <v/>
      </c>
    </row>
    <row r="1913">
      <c r="A1913" s="15">
        <f>IFERROR(__xludf.DUMMYFUNCTION("""COMPUTED_VALUE"""),45056.0)</f>
        <v>45056</v>
      </c>
      <c r="B1913" s="16" t="str">
        <f>IFERROR(__xludf.DUMMYFUNCTION("""COMPUTED_VALUE"""),"Envia")</f>
        <v>Envia</v>
      </c>
      <c r="C1913" s="15" t="str">
        <f>IFERROR(__xludf.DUMMYFUNCTION("""COMPUTED_VALUE"""),"CÚCUTA")</f>
        <v>CÚCUTA</v>
      </c>
      <c r="D1913" s="15" t="str">
        <f>IFERROR(__xludf.DUMMYFUNCTION("""COMPUTED_VALUE"""),"BOGOTÁ")</f>
        <v>BOGOTÁ</v>
      </c>
      <c r="E1913" s="15" t="str">
        <f>IFERROR(__xludf.DUMMYFUNCTION("""COMPUTED_VALUE"""),"Asociacion Agropecuaria Juana Maria")</f>
        <v>Asociacion Agropecuaria Juana Maria</v>
      </c>
      <c r="F1913" s="17" t="str">
        <f>IFERROR(__xludf.DUMMYFUNCTION("""COMPUTED_VALUE"""),"AV. 2E # 15 A -17   PISTACHO FIT MARKET BARRIO CAOBOS")</f>
        <v>AV. 2E # 15 A -17   PISTACHO FIT MARKET BARRIO CAOBOS</v>
      </c>
      <c r="G1913" s="15" t="str">
        <f>IFERROR(__xludf.DUMMYFUNCTION("""COMPUTED_VALUE"""),"DACCY KARINA LOPEZ")</f>
        <v>DACCY KARINA LOPEZ</v>
      </c>
      <c r="H1913" s="16">
        <f>IFERROR(__xludf.DUMMYFUNCTION("""COMPUTED_VALUE"""),10416.0)</f>
        <v>10416</v>
      </c>
      <c r="I1913" s="18">
        <f>IFERROR(__xludf.DUMMYFUNCTION("""COMPUTED_VALUE"""),30.0)</f>
        <v>30</v>
      </c>
      <c r="J1913" s="18">
        <f>IFERROR(__xludf.DUMMYFUNCTION("""COMPUTED_VALUE"""),50.0)</f>
        <v>50</v>
      </c>
      <c r="K1913" s="18">
        <f>IFERROR(__xludf.DUMMYFUNCTION("""COMPUTED_VALUE"""),21.0)</f>
        <v>21</v>
      </c>
      <c r="L1913" s="17">
        <f>IFERROR(__xludf.DUMMYFUNCTION("""COMPUTED_VALUE"""),3.208615379E9)</f>
        <v>3208615379</v>
      </c>
      <c r="M1913" s="17" t="str">
        <f>IFERROR(__xludf.DUMMYFUNCTION("""COMPUTED_VALUE"""),"#REF!")</f>
        <v>#REF!</v>
      </c>
      <c r="N1913" s="17"/>
      <c r="O1913" s="17"/>
      <c r="P1913" s="17" t="b">
        <f>IFERROR(__xludf.DUMMYFUNCTION("""COMPUTED_VALUE"""),FALSE)</f>
        <v>0</v>
      </c>
      <c r="Q1913" s="20" t="str">
        <f>IFERROR(__xludf.DUMMYFUNCTION("""COMPUTED_VALUE"""),"")</f>
        <v/>
      </c>
      <c r="R1913" s="22" t="str">
        <f>IFERROR(__xludf.DUMMYFUNCTION("""COMPUTED_VALUE"""),"")</f>
        <v/>
      </c>
    </row>
    <row r="1914">
      <c r="A1914" s="15">
        <f>IFERROR(__xludf.DUMMYFUNCTION("""COMPUTED_VALUE"""),45056.0)</f>
        <v>45056</v>
      </c>
      <c r="B1914" s="16" t="str">
        <f>IFERROR(__xludf.DUMMYFUNCTION("""COMPUTED_VALUE"""),"Envia")</f>
        <v>Envia</v>
      </c>
      <c r="C1914" s="15" t="str">
        <f>IFERROR(__xludf.DUMMYFUNCTION("""COMPUTED_VALUE"""),"MEDELLÍN")</f>
        <v>MEDELLÍN</v>
      </c>
      <c r="D1914" s="15" t="str">
        <f>IFERROR(__xludf.DUMMYFUNCTION("""COMPUTED_VALUE"""),"PEREIRA")</f>
        <v>PEREIRA</v>
      </c>
      <c r="E1914" s="15" t="str">
        <f>IFERROR(__xludf.DUMMYFUNCTION("""COMPUTED_VALUE"""),"Rambla")</f>
        <v>Rambla</v>
      </c>
      <c r="F1914" s="17" t="str">
        <f>IFERROR(__xludf.DUMMYFUNCTION("""COMPUTED_VALUE"""),"carrera 43a n 32b sur 38  / rejas grises / san marcos")</f>
        <v>carrera 43a n 32b sur 38  / rejas grises / san marcos</v>
      </c>
      <c r="G1914" s="15" t="str">
        <f>IFERROR(__xludf.DUMMYFUNCTION("""COMPUTED_VALUE"""),"carnes la rambla")</f>
        <v>carnes la rambla</v>
      </c>
      <c r="H1914" s="16">
        <f>IFERROR(__xludf.DUMMYFUNCTION("""COMPUTED_VALUE"""),10516.0)</f>
        <v>10516</v>
      </c>
      <c r="I1914" s="18">
        <f>IFERROR(__xludf.DUMMYFUNCTION("""COMPUTED_VALUE"""),23.0)</f>
        <v>23</v>
      </c>
      <c r="J1914" s="18">
        <f>IFERROR(__xludf.DUMMYFUNCTION("""COMPUTED_VALUE"""),20.0)</f>
        <v>20</v>
      </c>
      <c r="K1914" s="18">
        <f>IFERROR(__xludf.DUMMYFUNCTION("""COMPUTED_VALUE"""),32.0)</f>
        <v>32</v>
      </c>
      <c r="L1914" s="17">
        <f>IFERROR(__xludf.DUMMYFUNCTION("""COMPUTED_VALUE"""),3.005006258E9)</f>
        <v>3005006258</v>
      </c>
      <c r="M1914" s="17" t="str">
        <f>IFERROR(__xludf.DUMMYFUNCTION("""COMPUTED_VALUE"""),"#REF!")</f>
        <v>#REF!</v>
      </c>
      <c r="N1914" s="17"/>
      <c r="O1914" s="17"/>
      <c r="P1914" s="17" t="b">
        <f>IFERROR(__xludf.DUMMYFUNCTION("""COMPUTED_VALUE"""),FALSE)</f>
        <v>0</v>
      </c>
      <c r="Q1914" s="20" t="str">
        <f>IFERROR(__xludf.DUMMYFUNCTION("""COMPUTED_VALUE"""),"")</f>
        <v/>
      </c>
      <c r="R1914" s="22" t="str">
        <f>IFERROR(__xludf.DUMMYFUNCTION("""COMPUTED_VALUE"""),"")</f>
        <v/>
      </c>
    </row>
    <row r="1915">
      <c r="A1915" s="15">
        <f>IFERROR(__xludf.DUMMYFUNCTION("""COMPUTED_VALUE"""),45056.0)</f>
        <v>45056</v>
      </c>
      <c r="B1915" s="16" t="str">
        <f>IFERROR(__xludf.DUMMYFUNCTION("""COMPUTED_VALUE"""),"Envia")</f>
        <v>Envia</v>
      </c>
      <c r="C1915" s="15" t="str">
        <f>IFERROR(__xludf.DUMMYFUNCTION("""COMPUTED_VALUE"""),"MONTERIA")</f>
        <v>MONTERIA</v>
      </c>
      <c r="D1915" s="15" t="str">
        <f>IFERROR(__xludf.DUMMYFUNCTION("""COMPUTED_VALUE"""),"BOGOTÁ")</f>
        <v>BOGOTÁ</v>
      </c>
      <c r="E1915" s="15" t="str">
        <f>IFERROR(__xludf.DUMMYFUNCTION("""COMPUTED_VALUE"""),"Loomifoods")</f>
        <v>Loomifoods</v>
      </c>
      <c r="F1915" s="17" t="str">
        <f>IFERROR(__xludf.DUMMYFUNCTION("""COMPUTED_VALUE"""),"Calle 73 no. 3 - 106 / Barrio Recreo / Apto 701, Edificio Marqeuz de Sevilla")</f>
        <v>Calle 73 no. 3 - 106 / Barrio Recreo / Apto 701, Edificio Marqeuz de Sevilla</v>
      </c>
      <c r="G1915" s="15" t="str">
        <f>IFERROR(__xludf.DUMMYFUNCTION("""COMPUTED_VALUE"""),"Yuliett Nova")</f>
        <v>Yuliett Nova</v>
      </c>
      <c r="H1915" s="16">
        <f>IFERROR(__xludf.DUMMYFUNCTION("""COMPUTED_VALUE"""),10481.0)</f>
        <v>10481</v>
      </c>
      <c r="I1915" s="18">
        <f>IFERROR(__xludf.DUMMYFUNCTION("""COMPUTED_VALUE"""),20.0)</f>
        <v>20</v>
      </c>
      <c r="J1915" s="18">
        <f>IFERROR(__xludf.DUMMYFUNCTION("""COMPUTED_VALUE"""),10.0)</f>
        <v>10</v>
      </c>
      <c r="K1915" s="18">
        <f>IFERROR(__xludf.DUMMYFUNCTION("""COMPUTED_VALUE"""),16.0)</f>
        <v>16</v>
      </c>
      <c r="L1915" s="17">
        <f>IFERROR(__xludf.DUMMYFUNCTION("""COMPUTED_VALUE"""),3.008469907E9)</f>
        <v>3008469907</v>
      </c>
      <c r="M1915" s="17" t="str">
        <f>IFERROR(__xludf.DUMMYFUNCTION("""COMPUTED_VALUE"""),"#REF!")</f>
        <v>#REF!</v>
      </c>
      <c r="N1915" s="17"/>
      <c r="O1915" s="17"/>
      <c r="P1915" s="17" t="b">
        <f>IFERROR(__xludf.DUMMYFUNCTION("""COMPUTED_VALUE"""),FALSE)</f>
        <v>0</v>
      </c>
      <c r="Q1915" s="20" t="str">
        <f>IFERROR(__xludf.DUMMYFUNCTION("""COMPUTED_VALUE"""),"")</f>
        <v/>
      </c>
      <c r="R1915" s="22" t="str">
        <f>IFERROR(__xludf.DUMMYFUNCTION("""COMPUTED_VALUE"""),"")</f>
        <v/>
      </c>
    </row>
    <row r="1916">
      <c r="A1916" s="17" t="str">
        <f>IFERROR(__xludf.DUMMYFUNCTION("""COMPUTED_VALUE"""),"")</f>
        <v/>
      </c>
      <c r="B1916" s="17" t="str">
        <f>IFERROR(__xludf.DUMMYFUNCTION("""COMPUTED_VALUE"""),"")</f>
        <v/>
      </c>
      <c r="C1916" s="17" t="str">
        <f>IFERROR(__xludf.DUMMYFUNCTION("""COMPUTED_VALUE"""),"")</f>
        <v/>
      </c>
      <c r="D1916" s="17" t="str">
        <f>IFERROR(__xludf.DUMMYFUNCTION("""COMPUTED_VALUE"""),"")</f>
        <v/>
      </c>
      <c r="E1916" s="17" t="str">
        <f>IFERROR(__xludf.DUMMYFUNCTION("""COMPUTED_VALUE"""),"")</f>
        <v/>
      </c>
      <c r="F1916" s="17" t="str">
        <f>IFERROR(__xludf.DUMMYFUNCTION("""COMPUTED_VALUE"""),"")</f>
        <v/>
      </c>
      <c r="G1916" s="17" t="str">
        <f>IFERROR(__xludf.DUMMYFUNCTION("""COMPUTED_VALUE"""),"")</f>
        <v/>
      </c>
      <c r="H1916" s="17" t="str">
        <f>IFERROR(__xludf.DUMMYFUNCTION("""COMPUTED_VALUE"""),"")</f>
        <v/>
      </c>
      <c r="I1916" s="17" t="str">
        <f>IFERROR(__xludf.DUMMYFUNCTION("""COMPUTED_VALUE"""),"")</f>
        <v/>
      </c>
      <c r="J1916" s="17" t="str">
        <f>IFERROR(__xludf.DUMMYFUNCTION("""COMPUTED_VALUE"""),"")</f>
        <v/>
      </c>
      <c r="K1916" s="17" t="str">
        <f>IFERROR(__xludf.DUMMYFUNCTION("""COMPUTED_VALUE"""),"")</f>
        <v/>
      </c>
      <c r="L1916" s="17" t="str">
        <f>IFERROR(__xludf.DUMMYFUNCTION("""COMPUTED_VALUE"""),"")</f>
        <v/>
      </c>
      <c r="M1916" s="17" t="str">
        <f>IFERROR(__xludf.DUMMYFUNCTION("""COMPUTED_VALUE"""),"")</f>
        <v/>
      </c>
      <c r="N1916" s="17" t="str">
        <f>IFERROR(__xludf.DUMMYFUNCTION("""COMPUTED_VALUE"""),"")</f>
        <v/>
      </c>
      <c r="O1916" s="17" t="str">
        <f>IFERROR(__xludf.DUMMYFUNCTION("""COMPUTED_VALUE"""),"")</f>
        <v/>
      </c>
      <c r="P1916" s="17" t="str">
        <f>IFERROR(__xludf.DUMMYFUNCTION("""COMPUTED_VALUE"""),"")</f>
        <v/>
      </c>
      <c r="Q1916" s="17" t="str">
        <f>IFERROR(__xludf.DUMMYFUNCTION("""COMPUTED_VALUE"""),"")</f>
        <v/>
      </c>
      <c r="R1916" s="17" t="str">
        <f>IFERROR(__xludf.DUMMYFUNCTION("""COMPUTED_VALUE"""),"")</f>
        <v/>
      </c>
    </row>
    <row r="1917">
      <c r="A1917" s="15">
        <f>IFERROR(__xludf.DUMMYFUNCTION("""COMPUTED_VALUE"""),45056.0)</f>
        <v>45056</v>
      </c>
      <c r="B1917" s="16" t="str">
        <f>IFERROR(__xludf.DUMMYFUNCTION("""COMPUTED_VALUE"""),"Jeison Rubiano")</f>
        <v>Jeison Rubiano</v>
      </c>
      <c r="C1917" s="15" t="str">
        <f>IFERROR(__xludf.DUMMYFUNCTION("""COMPUTED_VALUE"""),"BOGOTÁ")</f>
        <v>BOGOTÁ</v>
      </c>
      <c r="D1917" s="15" t="str">
        <f>IFERROR(__xludf.DUMMYFUNCTION("""COMPUTED_VALUE"""),"MEDELLÍN")</f>
        <v>MEDELLÍN</v>
      </c>
      <c r="E1917" s="15" t="str">
        <f>IFERROR(__xludf.DUMMYFUNCTION("""COMPUTED_VALUE"""),"Baby Chef")</f>
        <v>Baby Chef</v>
      </c>
      <c r="F1917" s="17" t="str">
        <f>IFERROR(__xludf.DUMMYFUNCTION("""COMPUTED_VALUE"""),"Cra 96 B # 17 A - 10 / Apto 1205 Conjunto Portón de Hayuelos 3 / Apto 1205 Conjunto Portón de Hayuelos 3")</f>
        <v>Cra 96 B # 17 A - 10 / Apto 1205 Conjunto Portón de Hayuelos 3 / Apto 1205 Conjunto Portón de Hayuelos 3</v>
      </c>
      <c r="G1917" s="15" t="str">
        <f>IFERROR(__xludf.DUMMYFUNCTION("""COMPUTED_VALUE"""),"Johana Malagón")</f>
        <v>Johana Malagón</v>
      </c>
      <c r="H1917" s="16">
        <f>IFERROR(__xludf.DUMMYFUNCTION("""COMPUTED_VALUE"""),10527.0)</f>
        <v>10527</v>
      </c>
      <c r="I1917" s="18">
        <f>IFERROR(__xludf.DUMMYFUNCTION("""COMPUTED_VALUE"""),8.0)</f>
        <v>8</v>
      </c>
      <c r="J1917" s="18">
        <f>IFERROR(__xludf.DUMMYFUNCTION("""COMPUTED_VALUE"""),16.0)</f>
        <v>16</v>
      </c>
      <c r="K1917" s="18">
        <f>IFERROR(__xludf.DUMMYFUNCTION("""COMPUTED_VALUE"""),20.0)</f>
        <v>20</v>
      </c>
      <c r="L1917" s="17">
        <f>IFERROR(__xludf.DUMMYFUNCTION("""COMPUTED_VALUE"""),3.124711144E9)</f>
        <v>3124711144</v>
      </c>
      <c r="M1917" s="17" t="str">
        <f>IFERROR(__xludf.DUMMYFUNCTION("""COMPUTED_VALUE"""),"#REF!")</f>
        <v>#REF!</v>
      </c>
      <c r="N1917" s="17"/>
      <c r="O1917" s="17"/>
      <c r="P1917" s="17" t="b">
        <f>IFERROR(__xludf.DUMMYFUNCTION("""COMPUTED_VALUE"""),FALSE)</f>
        <v>0</v>
      </c>
      <c r="Q1917" s="20" t="str">
        <f>IFERROR(__xludf.DUMMYFUNCTION("""COMPUTED_VALUE"""),"")</f>
        <v/>
      </c>
      <c r="R1917" s="22" t="str">
        <f>IFERROR(__xludf.DUMMYFUNCTION("""COMPUTED_VALUE"""),"")</f>
        <v/>
      </c>
    </row>
    <row r="1918">
      <c r="A1918" s="15">
        <f>IFERROR(__xludf.DUMMYFUNCTION("""COMPUTED_VALUE"""),45056.0)</f>
        <v>45056</v>
      </c>
      <c r="B1918" s="16" t="str">
        <f>IFERROR(__xludf.DUMMYFUNCTION("""COMPUTED_VALUE"""),"Jeison Rubiano")</f>
        <v>Jeison Rubiano</v>
      </c>
      <c r="C1918" s="15" t="str">
        <f>IFERROR(__xludf.DUMMYFUNCTION("""COMPUTED_VALUE"""),"BOGOTÁ")</f>
        <v>BOGOTÁ</v>
      </c>
      <c r="D1918" s="15" t="str">
        <f>IFERROR(__xludf.DUMMYFUNCTION("""COMPUTED_VALUE"""),"MEDELLÍN")</f>
        <v>MEDELLÍN</v>
      </c>
      <c r="E1918" s="15" t="str">
        <f>IFERROR(__xludf.DUMMYFUNCTION("""COMPUTED_VALUE"""),"JD Bufala")</f>
        <v>JD Bufala</v>
      </c>
      <c r="F1918" s="17" t="str">
        <f>IFERROR(__xludf.DUMMYFUNCTION("""COMPUTED_VALUE"""),"Calle 80#73b27 local 2 / Panetteria  / Localidad Engativá")</f>
        <v>Calle 80#73b27 local 2 / Panetteria  / Localidad Engativá</v>
      </c>
      <c r="G1918" s="15" t="str">
        <f>IFERROR(__xludf.DUMMYFUNCTION("""COMPUTED_VALUE"""),"Gloria lara")</f>
        <v>Gloria lara</v>
      </c>
      <c r="H1918" s="16">
        <f>IFERROR(__xludf.DUMMYFUNCTION("""COMPUTED_VALUE"""),10507.0)</f>
        <v>10507</v>
      </c>
      <c r="I1918" s="18">
        <f>IFERROR(__xludf.DUMMYFUNCTION("""COMPUTED_VALUE"""),41.0)</f>
        <v>41</v>
      </c>
      <c r="J1918" s="18">
        <f>IFERROR(__xludf.DUMMYFUNCTION("""COMPUTED_VALUE"""),28.0)</f>
        <v>28</v>
      </c>
      <c r="K1918" s="18">
        <f>IFERROR(__xludf.DUMMYFUNCTION("""COMPUTED_VALUE"""),40.0)</f>
        <v>40</v>
      </c>
      <c r="L1918" s="17">
        <f>IFERROR(__xludf.DUMMYFUNCTION("""COMPUTED_VALUE"""),3.002695397E9)</f>
        <v>3002695397</v>
      </c>
      <c r="M1918" s="17" t="str">
        <f>IFERROR(__xludf.DUMMYFUNCTION("""COMPUTED_VALUE"""),"#REF!")</f>
        <v>#REF!</v>
      </c>
      <c r="N1918" s="17"/>
      <c r="O1918" s="17"/>
      <c r="P1918" s="17" t="b">
        <f>IFERROR(__xludf.DUMMYFUNCTION("""COMPUTED_VALUE"""),FALSE)</f>
        <v>0</v>
      </c>
      <c r="Q1918" s="20" t="str">
        <f>IFERROR(__xludf.DUMMYFUNCTION("""COMPUTED_VALUE"""),"")</f>
        <v/>
      </c>
      <c r="R1918" s="22" t="str">
        <f>IFERROR(__xludf.DUMMYFUNCTION("""COMPUTED_VALUE"""),"")</f>
        <v/>
      </c>
    </row>
    <row r="1919">
      <c r="A1919" s="15">
        <f>IFERROR(__xludf.DUMMYFUNCTION("""COMPUTED_VALUE"""),45056.0)</f>
        <v>45056</v>
      </c>
      <c r="B1919" s="16" t="str">
        <f>IFERROR(__xludf.DUMMYFUNCTION("""COMPUTED_VALUE"""),"Jeison Rubiano")</f>
        <v>Jeison Rubiano</v>
      </c>
      <c r="C1919" s="15" t="str">
        <f>IFERROR(__xludf.DUMMYFUNCTION("""COMPUTED_VALUE"""),"BOGOTÁ")</f>
        <v>BOGOTÁ</v>
      </c>
      <c r="D1919" s="15" t="str">
        <f>IFERROR(__xludf.DUMMYFUNCTION("""COMPUTED_VALUE"""),"MEDELLÍN")</f>
        <v>MEDELLÍN</v>
      </c>
      <c r="E1919" s="15" t="str">
        <f>IFERROR(__xludf.DUMMYFUNCTION("""COMPUTED_VALUE"""),"Moloso S.A.S")</f>
        <v>Moloso S.A.S</v>
      </c>
      <c r="F1919" s="17" t="str">
        <f>IFERROR(__xludf.DUMMYFUNCTION("""COMPUTED_VALUE"""),"CRA 67A 95 63 ED AV 68 / APT 805")</f>
        <v>CRA 67A 95 63 ED AV 68 / APT 805</v>
      </c>
      <c r="G1919" s="15" t="str">
        <f>IFERROR(__xludf.DUMMYFUNCTION("""COMPUTED_VALUE"""),"MARIA FERNANDA GIRALDO CUADROS")</f>
        <v>MARIA FERNANDA GIRALDO CUADROS</v>
      </c>
      <c r="H1919" s="16">
        <f>IFERROR(__xludf.DUMMYFUNCTION("""COMPUTED_VALUE"""),10512.0)</f>
        <v>10512</v>
      </c>
      <c r="I1919" s="18">
        <f>IFERROR(__xludf.DUMMYFUNCTION("""COMPUTED_VALUE"""),17.0)</f>
        <v>17</v>
      </c>
      <c r="J1919" s="18">
        <f>IFERROR(__xludf.DUMMYFUNCTION("""COMPUTED_VALUE"""),15.0)</f>
        <v>15</v>
      </c>
      <c r="K1919" s="18">
        <f>IFERROR(__xludf.DUMMYFUNCTION("""COMPUTED_VALUE"""),28.0)</f>
        <v>28</v>
      </c>
      <c r="L1919" s="17"/>
      <c r="M1919" s="17" t="str">
        <f>IFERROR(__xludf.DUMMYFUNCTION("""COMPUTED_VALUE"""),"#REF!")</f>
        <v>#REF!</v>
      </c>
      <c r="N1919" s="17"/>
      <c r="O1919" s="17"/>
      <c r="P1919" s="17" t="b">
        <f>IFERROR(__xludf.DUMMYFUNCTION("""COMPUTED_VALUE"""),FALSE)</f>
        <v>0</v>
      </c>
      <c r="Q1919" s="20" t="str">
        <f>IFERROR(__xludf.DUMMYFUNCTION("""COMPUTED_VALUE"""),"")</f>
        <v/>
      </c>
      <c r="R1919" s="22" t="str">
        <f>IFERROR(__xludf.DUMMYFUNCTION("""COMPUTED_VALUE"""),"")</f>
        <v/>
      </c>
    </row>
    <row r="1920">
      <c r="A1920" s="15">
        <f>IFERROR(__xludf.DUMMYFUNCTION("""COMPUTED_VALUE"""),45056.0)</f>
        <v>45056</v>
      </c>
      <c r="B1920" s="16" t="str">
        <f>IFERROR(__xludf.DUMMYFUNCTION("""COMPUTED_VALUE"""),"Jeison Rubiano")</f>
        <v>Jeison Rubiano</v>
      </c>
      <c r="C1920" s="15" t="str">
        <f>IFERROR(__xludf.DUMMYFUNCTION("""COMPUTED_VALUE"""),"BOGOTÁ")</f>
        <v>BOGOTÁ</v>
      </c>
      <c r="D1920" s="15" t="str">
        <f>IFERROR(__xludf.DUMMYFUNCTION("""COMPUTED_VALUE"""),"MEDELLÍN")</f>
        <v>MEDELLÍN</v>
      </c>
      <c r="E1920" s="15" t="str">
        <f>IFERROR(__xludf.DUMMYFUNCTION("""COMPUTED_VALUE"""),"Todo Bufala")</f>
        <v>Todo Bufala</v>
      </c>
      <c r="F1920" s="17" t="str">
        <f>IFERROR(__xludf.DUMMYFUNCTION("""COMPUTED_VALUE"""),"Calle 96 # 21-33 apt 304.")</f>
        <v>Calle 96 # 21-33 apt 304.</v>
      </c>
      <c r="G1920" s="15" t="str">
        <f>IFERROR(__xludf.DUMMYFUNCTION("""COMPUTED_VALUE"""),"Juliana Gómez")</f>
        <v>Juliana Gómez</v>
      </c>
      <c r="H1920" s="16">
        <f>IFERROR(__xludf.DUMMYFUNCTION("""COMPUTED_VALUE"""),10508.0)</f>
        <v>10508</v>
      </c>
      <c r="I1920" s="18">
        <f>IFERROR(__xludf.DUMMYFUNCTION("""COMPUTED_VALUE"""),11.0)</f>
        <v>11</v>
      </c>
      <c r="J1920" s="18">
        <f>IFERROR(__xludf.DUMMYFUNCTION("""COMPUTED_VALUE"""),21.0)</f>
        <v>21</v>
      </c>
      <c r="K1920" s="18">
        <f>IFERROR(__xludf.DUMMYFUNCTION("""COMPUTED_VALUE"""),30.0)</f>
        <v>30</v>
      </c>
      <c r="L1920" s="17"/>
      <c r="M1920" s="17" t="str">
        <f>IFERROR(__xludf.DUMMYFUNCTION("""COMPUTED_VALUE"""),"#REF!")</f>
        <v>#REF!</v>
      </c>
      <c r="N1920" s="17"/>
      <c r="O1920" s="19">
        <f>IFERROR(__xludf.DUMMYFUNCTION("""COMPUTED_VALUE"""),10000.0)</f>
        <v>10000</v>
      </c>
      <c r="P1920" s="17" t="b">
        <f>IFERROR(__xludf.DUMMYFUNCTION("""COMPUTED_VALUE"""),FALSE)</f>
        <v>0</v>
      </c>
      <c r="Q1920" s="20" t="str">
        <f>IFERROR(__xludf.DUMMYFUNCTION("""COMPUTED_VALUE"""),"")</f>
        <v/>
      </c>
      <c r="R1920" s="22" t="str">
        <f>IFERROR(__xludf.DUMMYFUNCTION("""COMPUTED_VALUE"""),"")</f>
        <v/>
      </c>
    </row>
    <row r="1921">
      <c r="A1921" s="17" t="str">
        <f>IFERROR(__xludf.DUMMYFUNCTION("""COMPUTED_VALUE"""),"")</f>
        <v/>
      </c>
      <c r="B1921" s="17" t="str">
        <f>IFERROR(__xludf.DUMMYFUNCTION("""COMPUTED_VALUE"""),"")</f>
        <v/>
      </c>
      <c r="C1921" s="17" t="str">
        <f>IFERROR(__xludf.DUMMYFUNCTION("""COMPUTED_VALUE"""),"")</f>
        <v/>
      </c>
      <c r="D1921" s="17" t="str">
        <f>IFERROR(__xludf.DUMMYFUNCTION("""COMPUTED_VALUE"""),"")</f>
        <v/>
      </c>
      <c r="E1921" s="17" t="str">
        <f>IFERROR(__xludf.DUMMYFUNCTION("""COMPUTED_VALUE"""),"")</f>
        <v/>
      </c>
      <c r="F1921" s="17" t="str">
        <f>IFERROR(__xludf.DUMMYFUNCTION("""COMPUTED_VALUE"""),"")</f>
        <v/>
      </c>
      <c r="G1921" s="17" t="str">
        <f>IFERROR(__xludf.DUMMYFUNCTION("""COMPUTED_VALUE"""),"")</f>
        <v/>
      </c>
      <c r="H1921" s="17" t="str">
        <f>IFERROR(__xludf.DUMMYFUNCTION("""COMPUTED_VALUE"""),"")</f>
        <v/>
      </c>
      <c r="I1921" s="17" t="str">
        <f>IFERROR(__xludf.DUMMYFUNCTION("""COMPUTED_VALUE"""),"")</f>
        <v/>
      </c>
      <c r="J1921" s="17" t="str">
        <f>IFERROR(__xludf.DUMMYFUNCTION("""COMPUTED_VALUE"""),"")</f>
        <v/>
      </c>
      <c r="K1921" s="17" t="str">
        <f>IFERROR(__xludf.DUMMYFUNCTION("""COMPUTED_VALUE"""),"")</f>
        <v/>
      </c>
      <c r="L1921" s="17" t="str">
        <f>IFERROR(__xludf.DUMMYFUNCTION("""COMPUTED_VALUE"""),"")</f>
        <v/>
      </c>
      <c r="M1921" s="17" t="str">
        <f>IFERROR(__xludf.DUMMYFUNCTION("""COMPUTED_VALUE"""),"")</f>
        <v/>
      </c>
      <c r="N1921" s="17" t="str">
        <f>IFERROR(__xludf.DUMMYFUNCTION("""COMPUTED_VALUE"""),"")</f>
        <v/>
      </c>
      <c r="O1921" s="17" t="str">
        <f>IFERROR(__xludf.DUMMYFUNCTION("""COMPUTED_VALUE"""),"")</f>
        <v/>
      </c>
      <c r="P1921" s="17" t="str">
        <f>IFERROR(__xludf.DUMMYFUNCTION("""COMPUTED_VALUE"""),"")</f>
        <v/>
      </c>
      <c r="Q1921" s="17" t="str">
        <f>IFERROR(__xludf.DUMMYFUNCTION("""COMPUTED_VALUE"""),"")</f>
        <v/>
      </c>
      <c r="R1921" s="17" t="str">
        <f>IFERROR(__xludf.DUMMYFUNCTION("""COMPUTED_VALUE"""),"")</f>
        <v/>
      </c>
    </row>
    <row r="1922">
      <c r="A1922" s="15">
        <f>IFERROR(__xludf.DUMMYFUNCTION("""COMPUTED_VALUE"""),45056.0)</f>
        <v>45056</v>
      </c>
      <c r="B1922" s="16" t="str">
        <f>IFERROR(__xludf.DUMMYFUNCTION("""COMPUTED_VALUE"""),"Johan Alexander Escobar Arroyo ")</f>
        <v>Johan Alexander Escobar Arroyo </v>
      </c>
      <c r="C1922" s="15" t="str">
        <f>IFERROR(__xludf.DUMMYFUNCTION("""COMPUTED_VALUE"""),"CALI")</f>
        <v>CALI</v>
      </c>
      <c r="D1922" s="15" t="str">
        <f>IFERROR(__xludf.DUMMYFUNCTION("""COMPUTED_VALUE"""),"MEDELLÍN")</f>
        <v>MEDELLÍN</v>
      </c>
      <c r="E1922" s="15" t="str">
        <f>IFERROR(__xludf.DUMMYFUNCTION("""COMPUTED_VALUE"""),"AREPAS LA MARY")</f>
        <v>AREPAS LA MARY</v>
      </c>
      <c r="F1922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1922" s="15" t="str">
        <f>IFERROR(__xludf.DUMMYFUNCTION("""COMPUTED_VALUE"""),"VITALFINESS CALI")</f>
        <v>VITALFINESS CALI</v>
      </c>
      <c r="H1922" s="16">
        <f>IFERROR(__xludf.DUMMYFUNCTION("""COMPUTED_VALUE"""),10490.0)</f>
        <v>10490</v>
      </c>
      <c r="I1922" s="18">
        <f>IFERROR(__xludf.DUMMYFUNCTION("""COMPUTED_VALUE"""),89.0)</f>
        <v>89</v>
      </c>
      <c r="J1922" s="18">
        <f>IFERROR(__xludf.DUMMYFUNCTION("""COMPUTED_VALUE"""),1.0)</f>
        <v>1</v>
      </c>
      <c r="K1922" s="18">
        <f>IFERROR(__xludf.DUMMYFUNCTION("""COMPUTED_VALUE"""),10.0)</f>
        <v>10</v>
      </c>
      <c r="L1922" s="17">
        <f>IFERROR(__xludf.DUMMYFUNCTION("""COMPUTED_VALUE"""),3.226925759E9)</f>
        <v>3226925759</v>
      </c>
      <c r="M1922" s="17" t="str">
        <f>IFERROR(__xludf.DUMMYFUNCTION("""COMPUTED_VALUE"""),"#REF!")</f>
        <v>#REF!</v>
      </c>
      <c r="N1922" s="17"/>
      <c r="O1922" s="19">
        <f>IFERROR(__xludf.DUMMYFUNCTION("""COMPUTED_VALUE"""),10000.0)</f>
        <v>10000</v>
      </c>
      <c r="P1922" s="17" t="b">
        <f>IFERROR(__xludf.DUMMYFUNCTION("""COMPUTED_VALUE"""),FALSE)</f>
        <v>0</v>
      </c>
      <c r="Q1922" s="20" t="str">
        <f>IFERROR(__xludf.DUMMYFUNCTION("""COMPUTED_VALUE"""),"")</f>
        <v/>
      </c>
      <c r="R1922" s="22" t="str">
        <f>IFERROR(__xludf.DUMMYFUNCTION("""COMPUTED_VALUE"""),"")</f>
        <v/>
      </c>
    </row>
    <row r="1923">
      <c r="A1923" s="15">
        <f>IFERROR(__xludf.DUMMYFUNCTION("""COMPUTED_VALUE"""),45056.0)</f>
        <v>45056</v>
      </c>
      <c r="B1923" s="16" t="str">
        <f>IFERROR(__xludf.DUMMYFUNCTION("""COMPUTED_VALUE"""),"Johan Alexander Escobar Arroyo ")</f>
        <v>Johan Alexander Escobar Arroyo </v>
      </c>
      <c r="C1923" s="15" t="str">
        <f>IFERROR(__xludf.DUMMYFUNCTION("""COMPUTED_VALUE"""),"CALI")</f>
        <v>CALI</v>
      </c>
      <c r="D1923" s="15" t="str">
        <f>IFERROR(__xludf.DUMMYFUNCTION("""COMPUTED_VALUE"""),"MEDELLÍN")</f>
        <v>MEDELLÍN</v>
      </c>
      <c r="E1923" s="15" t="str">
        <f>IFERROR(__xludf.DUMMYFUNCTION("""COMPUTED_VALUE"""),"Baby Chef")</f>
        <v>Baby Chef</v>
      </c>
      <c r="F1923" s="17" t="str">
        <f>IFERROR(__xludf.DUMMYFUNCTION("""COMPUTED_VALUE"""),"Carrera 5 # 22 73 / barrio San Nicolás  empresa terminados y barnizados u.v / barrio San Nicolás  empresa terminados y barnizados u.v")</f>
        <v>Carrera 5 # 22 73 / barrio San Nicolás  empresa terminados y barnizados u.v / barrio San Nicolás  empresa terminados y barnizados u.v</v>
      </c>
      <c r="G1923" s="15" t="str">
        <f>IFERROR(__xludf.DUMMYFUNCTION("""COMPUTED_VALUE"""),"Linda Parra")</f>
        <v>Linda Parra</v>
      </c>
      <c r="H1923" s="16">
        <f>IFERROR(__xludf.DUMMYFUNCTION("""COMPUTED_VALUE"""),10530.0)</f>
        <v>10530</v>
      </c>
      <c r="I1923" s="18">
        <f>IFERROR(__xludf.DUMMYFUNCTION("""COMPUTED_VALUE"""),8.0)</f>
        <v>8</v>
      </c>
      <c r="J1923" s="18">
        <f>IFERROR(__xludf.DUMMYFUNCTION("""COMPUTED_VALUE"""),16.0)</f>
        <v>16</v>
      </c>
      <c r="K1923" s="18">
        <f>IFERROR(__xludf.DUMMYFUNCTION("""COMPUTED_VALUE"""),20.0)</f>
        <v>20</v>
      </c>
      <c r="L1923" s="17">
        <f>IFERROR(__xludf.DUMMYFUNCTION("""COMPUTED_VALUE"""),3.105151584E9)</f>
        <v>3105151584</v>
      </c>
      <c r="M1923" s="17" t="str">
        <f>IFERROR(__xludf.DUMMYFUNCTION("""COMPUTED_VALUE"""),"#REF!")</f>
        <v>#REF!</v>
      </c>
      <c r="N1923" s="17"/>
      <c r="O1923" s="19">
        <f>IFERROR(__xludf.DUMMYFUNCTION("""COMPUTED_VALUE"""),10000.0)</f>
        <v>10000</v>
      </c>
      <c r="P1923" s="17" t="b">
        <f>IFERROR(__xludf.DUMMYFUNCTION("""COMPUTED_VALUE"""),FALSE)</f>
        <v>0</v>
      </c>
      <c r="Q1923" s="20" t="str">
        <f>IFERROR(__xludf.DUMMYFUNCTION("""COMPUTED_VALUE"""),"")</f>
        <v/>
      </c>
      <c r="R1923" s="22" t="str">
        <f>IFERROR(__xludf.DUMMYFUNCTION("""COMPUTED_VALUE"""),"")</f>
        <v/>
      </c>
    </row>
    <row r="1924">
      <c r="A1924" s="15">
        <f>IFERROR(__xludf.DUMMYFUNCTION("""COMPUTED_VALUE"""),45056.0)</f>
        <v>45056</v>
      </c>
      <c r="B1924" s="16" t="str">
        <f>IFERROR(__xludf.DUMMYFUNCTION("""COMPUTED_VALUE"""),"Johan Alexander Escobar Arroyo ")</f>
        <v>Johan Alexander Escobar Arroyo </v>
      </c>
      <c r="C1924" s="15" t="str">
        <f>IFERROR(__xludf.DUMMYFUNCTION("""COMPUTED_VALUE"""),"CALI")</f>
        <v>CALI</v>
      </c>
      <c r="D1924" s="15" t="str">
        <f>IFERROR(__xludf.DUMMYFUNCTION("""COMPUTED_VALUE"""),"MEDELLÍN")</f>
        <v>MEDELLÍN</v>
      </c>
      <c r="E1924" s="15" t="str">
        <f>IFERROR(__xludf.DUMMYFUNCTION("""COMPUTED_VALUE"""),"Baby Chef")</f>
        <v>Baby Chef</v>
      </c>
      <c r="F1924" s="17" t="str">
        <f>IFERROR(__xludf.DUMMYFUNCTION("""COMPUTED_VALUE"""),"Cra 103 # 11 - 40 / Sendero del Polo Club Casa P1  / Sendero del Polo Club Casa P1")</f>
        <v>Cra 103 # 11 - 40 / Sendero del Polo Club Casa P1  / Sendero del Polo Club Casa P1</v>
      </c>
      <c r="G1924" s="15" t="str">
        <f>IFERROR(__xludf.DUMMYFUNCTION("""COMPUTED_VALUE"""),"Johanna Rojas")</f>
        <v>Johanna Rojas</v>
      </c>
      <c r="H1924" s="16">
        <f>IFERROR(__xludf.DUMMYFUNCTION("""COMPUTED_VALUE"""),10532.0)</f>
        <v>10532</v>
      </c>
      <c r="I1924" s="18">
        <f>IFERROR(__xludf.DUMMYFUNCTION("""COMPUTED_VALUE"""),8.0)</f>
        <v>8</v>
      </c>
      <c r="J1924" s="18">
        <f>IFERROR(__xludf.DUMMYFUNCTION("""COMPUTED_VALUE"""),16.0)</f>
        <v>16</v>
      </c>
      <c r="K1924" s="18">
        <f>IFERROR(__xludf.DUMMYFUNCTION("""COMPUTED_VALUE"""),20.0)</f>
        <v>20</v>
      </c>
      <c r="L1924" s="17">
        <f>IFERROR(__xludf.DUMMYFUNCTION("""COMPUTED_VALUE"""),3.183307191E9)</f>
        <v>3183307191</v>
      </c>
      <c r="M1924" s="17" t="str">
        <f>IFERROR(__xludf.DUMMYFUNCTION("""COMPUTED_VALUE"""),"#REF!")</f>
        <v>#REF!</v>
      </c>
      <c r="N1924" s="17"/>
      <c r="O1924" s="19">
        <f>IFERROR(__xludf.DUMMYFUNCTION("""COMPUTED_VALUE"""),10000.0)</f>
        <v>10000</v>
      </c>
      <c r="P1924" s="17" t="b">
        <f>IFERROR(__xludf.DUMMYFUNCTION("""COMPUTED_VALUE"""),FALSE)</f>
        <v>0</v>
      </c>
      <c r="Q1924" s="20" t="str">
        <f>IFERROR(__xludf.DUMMYFUNCTION("""COMPUTED_VALUE"""),"")</f>
        <v/>
      </c>
      <c r="R1924" s="22" t="str">
        <f>IFERROR(__xludf.DUMMYFUNCTION("""COMPUTED_VALUE"""),"")</f>
        <v/>
      </c>
    </row>
    <row r="1925">
      <c r="A1925" s="15">
        <f>IFERROR(__xludf.DUMMYFUNCTION("""COMPUTED_VALUE"""),45056.0)</f>
        <v>45056</v>
      </c>
      <c r="B1925" s="16" t="str">
        <f>IFERROR(__xludf.DUMMYFUNCTION("""COMPUTED_VALUE"""),"Johan Alexander Escobar Arroyo ")</f>
        <v>Johan Alexander Escobar Arroyo </v>
      </c>
      <c r="C1925" s="15" t="str">
        <f>IFERROR(__xludf.DUMMYFUNCTION("""COMPUTED_VALUE"""),"CALI")</f>
        <v>CALI</v>
      </c>
      <c r="D1925" s="15" t="str">
        <f>IFERROR(__xludf.DUMMYFUNCTION("""COMPUTED_VALUE"""),"MEDELLÍN")</f>
        <v>MEDELLÍN</v>
      </c>
      <c r="E1925" s="15" t="str">
        <f>IFERROR(__xludf.DUMMYFUNCTION("""COMPUTED_VALUE"""),"Baby Chef")</f>
        <v>Baby Chef</v>
      </c>
      <c r="F1925" s="17" t="str">
        <f>IFERROR(__xludf.DUMMYFUNCTION("""COMPUTED_VALUE"""),"Cra 103 # 6-85 / apto 704 torre1 edificio Ankara /  Ciudad Jardín")</f>
        <v>Cra 103 # 6-85 / apto 704 torre1 edificio Ankara /  Ciudad Jardín</v>
      </c>
      <c r="G1925" s="15" t="str">
        <f>IFERROR(__xludf.DUMMYFUNCTION("""COMPUTED_VALUE"""),"Luz Mariela Rojas")</f>
        <v>Luz Mariela Rojas</v>
      </c>
      <c r="H1925" s="16">
        <f>IFERROR(__xludf.DUMMYFUNCTION("""COMPUTED_VALUE"""),10531.0)</f>
        <v>10531</v>
      </c>
      <c r="I1925" s="18">
        <f>IFERROR(__xludf.DUMMYFUNCTION("""COMPUTED_VALUE"""),8.0)</f>
        <v>8</v>
      </c>
      <c r="J1925" s="18">
        <f>IFERROR(__xludf.DUMMYFUNCTION("""COMPUTED_VALUE"""),16.0)</f>
        <v>16</v>
      </c>
      <c r="K1925" s="18">
        <f>IFERROR(__xludf.DUMMYFUNCTION("""COMPUTED_VALUE"""),20.0)</f>
        <v>20</v>
      </c>
      <c r="L1925" s="17">
        <f>IFERROR(__xludf.DUMMYFUNCTION("""COMPUTED_VALUE"""),4.91774006414E11)</f>
        <v>491774006414</v>
      </c>
      <c r="M1925" s="17" t="str">
        <f>IFERROR(__xludf.DUMMYFUNCTION("""COMPUTED_VALUE"""),"#REF!")</f>
        <v>#REF!</v>
      </c>
      <c r="N1925" s="17"/>
      <c r="O1925" s="17"/>
      <c r="P1925" s="17" t="b">
        <f>IFERROR(__xludf.DUMMYFUNCTION("""COMPUTED_VALUE"""),FALSE)</f>
        <v>0</v>
      </c>
      <c r="Q1925" s="20" t="str">
        <f>IFERROR(__xludf.DUMMYFUNCTION("""COMPUTED_VALUE"""),"")</f>
        <v/>
      </c>
      <c r="R1925" s="22" t="str">
        <f>IFERROR(__xludf.DUMMYFUNCTION("""COMPUTED_VALUE"""),"")</f>
        <v/>
      </c>
    </row>
    <row r="1926">
      <c r="A1926" s="15">
        <f>IFERROR(__xludf.DUMMYFUNCTION("""COMPUTED_VALUE"""),45056.0)</f>
        <v>45056</v>
      </c>
      <c r="B1926" s="16" t="str">
        <f>IFERROR(__xludf.DUMMYFUNCTION("""COMPUTED_VALUE"""),"Johan Alexander Escobar Arroyo ")</f>
        <v>Johan Alexander Escobar Arroyo </v>
      </c>
      <c r="C1926" s="15" t="str">
        <f>IFERROR(__xludf.DUMMYFUNCTION("""COMPUTED_VALUE"""),"CALI")</f>
        <v>CALI</v>
      </c>
      <c r="D1926" s="15" t="str">
        <f>IFERROR(__xludf.DUMMYFUNCTION("""COMPUTED_VALUE"""),"MEDELLÍN")</f>
        <v>MEDELLÍN</v>
      </c>
      <c r="E1926" s="15" t="str">
        <f>IFERROR(__xludf.DUMMYFUNCTION("""COMPUTED_VALUE"""),"Baby Chef")</f>
        <v>Baby Chef</v>
      </c>
      <c r="F1926" s="17" t="str">
        <f>IFERROR(__xludf.DUMMYFUNCTION("""COMPUTED_VALUE"""),"Cra 68 # 16-07 Apto. 204E Portón de Asturias  / Cra 68 # 16-07 Apto. 204E Portón de Asturias  / B/ La Hacienda - Cali")</f>
        <v>Cra 68 # 16-07 Apto. 204E Portón de Asturias  / Cra 68 # 16-07 Apto. 204E Portón de Asturias  / B/ La Hacienda - Cali</v>
      </c>
      <c r="G1926" s="15" t="str">
        <f>IFERROR(__xludf.DUMMYFUNCTION("""COMPUTED_VALUE"""),"Silvia Narvaez Zambrano")</f>
        <v>Silvia Narvaez Zambrano</v>
      </c>
      <c r="H1926" s="16">
        <f>IFERROR(__xludf.DUMMYFUNCTION("""COMPUTED_VALUE"""),10529.0)</f>
        <v>10529</v>
      </c>
      <c r="I1926" s="18">
        <f>IFERROR(__xludf.DUMMYFUNCTION("""COMPUTED_VALUE"""),8.0)</f>
        <v>8</v>
      </c>
      <c r="J1926" s="18">
        <f>IFERROR(__xludf.DUMMYFUNCTION("""COMPUTED_VALUE"""),16.0)</f>
        <v>16</v>
      </c>
      <c r="K1926" s="18">
        <f>IFERROR(__xludf.DUMMYFUNCTION("""COMPUTED_VALUE"""),20.0)</f>
        <v>20</v>
      </c>
      <c r="L1926" s="17">
        <f>IFERROR(__xludf.DUMMYFUNCTION("""COMPUTED_VALUE"""),3.173703258E9)</f>
        <v>3173703258</v>
      </c>
      <c r="M1926" s="17" t="str">
        <f>IFERROR(__xludf.DUMMYFUNCTION("""COMPUTED_VALUE"""),"#REF!")</f>
        <v>#REF!</v>
      </c>
      <c r="N1926" s="17"/>
      <c r="O1926" s="19">
        <f>IFERROR(__xludf.DUMMYFUNCTION("""COMPUTED_VALUE"""),10000.0)</f>
        <v>10000</v>
      </c>
      <c r="P1926" s="17" t="b">
        <f>IFERROR(__xludf.DUMMYFUNCTION("""COMPUTED_VALUE"""),FALSE)</f>
        <v>0</v>
      </c>
      <c r="Q1926" s="20" t="str">
        <f>IFERROR(__xludf.DUMMYFUNCTION("""COMPUTED_VALUE"""),"")</f>
        <v/>
      </c>
      <c r="R1926" s="22" t="str">
        <f>IFERROR(__xludf.DUMMYFUNCTION("""COMPUTED_VALUE"""),"")</f>
        <v/>
      </c>
    </row>
    <row r="1927">
      <c r="A1927" s="15">
        <f>IFERROR(__xludf.DUMMYFUNCTION("""COMPUTED_VALUE"""),45056.0)</f>
        <v>45056</v>
      </c>
      <c r="B1927" s="16" t="str">
        <f>IFERROR(__xludf.DUMMYFUNCTION("""COMPUTED_VALUE"""),"Johan Alexander Escobar Arroyo ")</f>
        <v>Johan Alexander Escobar Arroyo </v>
      </c>
      <c r="C1927" s="15" t="str">
        <f>IFERROR(__xludf.DUMMYFUNCTION("""COMPUTED_VALUE"""),"CALI")</f>
        <v>CALI</v>
      </c>
      <c r="D1927" s="15" t="str">
        <f>IFERROR(__xludf.DUMMYFUNCTION("""COMPUTED_VALUE"""),"MEDELLÍN")</f>
        <v>MEDELLÍN</v>
      </c>
      <c r="E1927" s="15" t="str">
        <f>IFERROR(__xludf.DUMMYFUNCTION("""COMPUTED_VALUE"""),"JD Bufala")</f>
        <v>JD Bufala</v>
      </c>
      <c r="F1927" s="17" t="str">
        <f>IFERROR(__xludf.DUMMYFUNCTION("""COMPUTED_VALUE"""),"Calle 51norte #4bn72 / Delhuertopizzeria  / La flora")</f>
        <v>Calle 51norte #4bn72 / Delhuertopizzeria  / La flora</v>
      </c>
      <c r="G1927" s="15" t="str">
        <f>IFERROR(__xludf.DUMMYFUNCTION("""COMPUTED_VALUE"""),"Javier Rodríguez")</f>
        <v>Javier Rodríguez</v>
      </c>
      <c r="H1927" s="16">
        <f>IFERROR(__xludf.DUMMYFUNCTION("""COMPUTED_VALUE"""),10506.0)</f>
        <v>10506</v>
      </c>
      <c r="I1927" s="18" t="str">
        <f>IFERROR(__xludf.DUMMYFUNCTION("""COMPUTED_VALUE"""),"102.5")</f>
        <v>102.5</v>
      </c>
      <c r="J1927" s="18">
        <f>IFERROR(__xludf.DUMMYFUNCTION("""COMPUTED_VALUE"""),28.0)</f>
        <v>28</v>
      </c>
      <c r="K1927" s="18">
        <f>IFERROR(__xludf.DUMMYFUNCTION("""COMPUTED_VALUE"""),40.0)</f>
        <v>40</v>
      </c>
      <c r="L1927" s="17">
        <f>IFERROR(__xludf.DUMMYFUNCTION("""COMPUTED_VALUE"""),3.104919761E9)</f>
        <v>3104919761</v>
      </c>
      <c r="M1927" s="17" t="str">
        <f>IFERROR(__xludf.DUMMYFUNCTION("""COMPUTED_VALUE"""),"#REF!")</f>
        <v>#REF!</v>
      </c>
      <c r="N1927" s="17"/>
      <c r="O1927" s="19">
        <f>IFERROR(__xludf.DUMMYFUNCTION("""COMPUTED_VALUE"""),10000.0)</f>
        <v>10000</v>
      </c>
      <c r="P1927" s="17" t="b">
        <f>IFERROR(__xludf.DUMMYFUNCTION("""COMPUTED_VALUE"""),FALSE)</f>
        <v>0</v>
      </c>
      <c r="Q1927" s="20" t="str">
        <f>IFERROR(__xludf.DUMMYFUNCTION("""COMPUTED_VALUE"""),"")</f>
        <v/>
      </c>
      <c r="R1927" s="22" t="str">
        <f>IFERROR(__xludf.DUMMYFUNCTION("""COMPUTED_VALUE"""),"")</f>
        <v/>
      </c>
    </row>
    <row r="1928">
      <c r="A1928" s="15">
        <f>IFERROR(__xludf.DUMMYFUNCTION("""COMPUTED_VALUE"""),45056.0)</f>
        <v>45056</v>
      </c>
      <c r="B1928" s="16" t="str">
        <f>IFERROR(__xludf.DUMMYFUNCTION("""COMPUTED_VALUE"""),"Johan Alexander Escobar Arroyo ")</f>
        <v>Johan Alexander Escobar Arroyo </v>
      </c>
      <c r="C1928" s="15" t="str">
        <f>IFERROR(__xludf.DUMMYFUNCTION("""COMPUTED_VALUE"""),"CÚCUTA")</f>
        <v>CÚCUTA</v>
      </c>
      <c r="D1928" s="15" t="str">
        <f>IFERROR(__xludf.DUMMYFUNCTION("""COMPUTED_VALUE"""),"BOGOTÁ")</f>
        <v>BOGOTÁ</v>
      </c>
      <c r="E1928" s="15" t="str">
        <f>IFERROR(__xludf.DUMMYFUNCTION("""COMPUTED_VALUE"""),"Asociacion Agropecuaria Juana Maria")</f>
        <v>Asociacion Agropecuaria Juana Maria</v>
      </c>
      <c r="F1928" s="17" t="str">
        <f>IFERROR(__xludf.DUMMYFUNCTION("""COMPUTED_VALUE"""),"AV. 2E # 15 A -17   PISTACHO FIT MARKET BARRIO CAOBOS")</f>
        <v>AV. 2E # 15 A -17   PISTACHO FIT MARKET BARRIO CAOBOS</v>
      </c>
      <c r="G1928" s="15" t="str">
        <f>IFERROR(__xludf.DUMMYFUNCTION("""COMPUTED_VALUE"""),"DACCY KARINA LOPEZ")</f>
        <v>DACCY KARINA LOPEZ</v>
      </c>
      <c r="H1928" s="16">
        <f>IFERROR(__xludf.DUMMYFUNCTION("""COMPUTED_VALUE"""),10417.0)</f>
        <v>10417</v>
      </c>
      <c r="I1928" s="18">
        <f>IFERROR(__xludf.DUMMYFUNCTION("""COMPUTED_VALUE"""),29.0)</f>
        <v>29</v>
      </c>
      <c r="J1928" s="18">
        <f>IFERROR(__xludf.DUMMYFUNCTION("""COMPUTED_VALUE"""),45.0)</f>
        <v>45</v>
      </c>
      <c r="K1928" s="18">
        <f>IFERROR(__xludf.DUMMYFUNCTION("""COMPUTED_VALUE"""),55.0)</f>
        <v>55</v>
      </c>
      <c r="L1928" s="17">
        <f>IFERROR(__xludf.DUMMYFUNCTION("""COMPUTED_VALUE"""),3.208615379E9)</f>
        <v>3208615379</v>
      </c>
      <c r="M1928" s="17" t="str">
        <f>IFERROR(__xludf.DUMMYFUNCTION("""COMPUTED_VALUE"""),"#REF!")</f>
        <v>#REF!</v>
      </c>
      <c r="N1928" s="17"/>
      <c r="O1928" s="17"/>
      <c r="P1928" s="17" t="b">
        <f>IFERROR(__xludf.DUMMYFUNCTION("""COMPUTED_VALUE"""),FALSE)</f>
        <v>0</v>
      </c>
      <c r="Q1928" s="20" t="str">
        <f>IFERROR(__xludf.DUMMYFUNCTION("""COMPUTED_VALUE"""),"")</f>
        <v/>
      </c>
      <c r="R1928" s="22" t="str">
        <f>IFERROR(__xludf.DUMMYFUNCTION("""COMPUTED_VALUE"""),"")</f>
        <v/>
      </c>
    </row>
    <row r="1929">
      <c r="A1929" s="15">
        <f>IFERROR(__xludf.DUMMYFUNCTION("""COMPUTED_VALUE"""),45056.0)</f>
        <v>45056</v>
      </c>
      <c r="B1929" s="16" t="str">
        <f>IFERROR(__xludf.DUMMYFUNCTION("""COMPUTED_VALUE"""),"Johan Alexander Escobar Arroyo ")</f>
        <v>Johan Alexander Escobar Arroyo </v>
      </c>
      <c r="C1929" s="15" t="str">
        <f>IFERROR(__xludf.DUMMYFUNCTION("""COMPUTED_VALUE"""),"SINCELEJO")</f>
        <v>SINCELEJO</v>
      </c>
      <c r="D1929" s="15" t="str">
        <f>IFERROR(__xludf.DUMMYFUNCTION("""COMPUTED_VALUE"""),"MEDELLÍN")</f>
        <v>MEDELLÍN</v>
      </c>
      <c r="E1929" s="15" t="str">
        <f>IFERROR(__xludf.DUMMYFUNCTION("""COMPUTED_VALUE"""),"Rambla")</f>
        <v>Rambla</v>
      </c>
      <c r="F1929" s="17" t="str">
        <f>IFERROR(__xludf.DUMMYFUNCTION("""COMPUTED_VALUE"""),"calle 32 #33 -119 local 101 cc living mall brr vene / NA / NA")</f>
        <v>calle 32 #33 -119 local 101 cc living mall brr vene / NA / NA</v>
      </c>
      <c r="G1929" s="15" t="str">
        <f>IFERROR(__xludf.DUMMYFUNCTION("""COMPUTED_VALUE"""),"Oliva")</f>
        <v>Oliva</v>
      </c>
      <c r="H1929" s="16">
        <f>IFERROR(__xludf.DUMMYFUNCTION("""COMPUTED_VALUE"""),10521.0)</f>
        <v>10521</v>
      </c>
      <c r="I1929" s="18">
        <f>IFERROR(__xludf.DUMMYFUNCTION("""COMPUTED_VALUE"""),30.0)</f>
        <v>30</v>
      </c>
      <c r="J1929" s="18">
        <f>IFERROR(__xludf.DUMMYFUNCTION("""COMPUTED_VALUE"""),33.0)</f>
        <v>33</v>
      </c>
      <c r="K1929" s="18">
        <f>IFERROR(__xludf.DUMMYFUNCTION("""COMPUTED_VALUE"""),35.0)</f>
        <v>35</v>
      </c>
      <c r="L1929" s="17">
        <f>IFERROR(__xludf.DUMMYFUNCTION("""COMPUTED_VALUE"""),3.022293728E9)</f>
        <v>3022293728</v>
      </c>
      <c r="M1929" s="17" t="str">
        <f>IFERROR(__xludf.DUMMYFUNCTION("""COMPUTED_VALUE"""),"#REF!")</f>
        <v>#REF!</v>
      </c>
      <c r="N1929" s="17"/>
      <c r="O1929" s="17"/>
      <c r="P1929" s="17" t="b">
        <f>IFERROR(__xludf.DUMMYFUNCTION("""COMPUTED_VALUE"""),FALSE)</f>
        <v>0</v>
      </c>
      <c r="Q1929" s="20" t="str">
        <f>IFERROR(__xludf.DUMMYFUNCTION("""COMPUTED_VALUE"""),"")</f>
        <v/>
      </c>
      <c r="R1929" s="22" t="str">
        <f>IFERROR(__xludf.DUMMYFUNCTION("""COMPUTED_VALUE"""),"")</f>
        <v/>
      </c>
    </row>
    <row r="1930">
      <c r="A1930" s="17" t="str">
        <f>IFERROR(__xludf.DUMMYFUNCTION("""COMPUTED_VALUE"""),"")</f>
        <v/>
      </c>
      <c r="B1930" s="17" t="str">
        <f>IFERROR(__xludf.DUMMYFUNCTION("""COMPUTED_VALUE"""),"")</f>
        <v/>
      </c>
      <c r="C1930" s="17" t="str">
        <f>IFERROR(__xludf.DUMMYFUNCTION("""COMPUTED_VALUE"""),"")</f>
        <v/>
      </c>
      <c r="D1930" s="17" t="str">
        <f>IFERROR(__xludf.DUMMYFUNCTION("""COMPUTED_VALUE"""),"")</f>
        <v/>
      </c>
      <c r="E1930" s="17" t="str">
        <f>IFERROR(__xludf.DUMMYFUNCTION("""COMPUTED_VALUE"""),"")</f>
        <v/>
      </c>
      <c r="F1930" s="17" t="str">
        <f>IFERROR(__xludf.DUMMYFUNCTION("""COMPUTED_VALUE"""),"")</f>
        <v/>
      </c>
      <c r="G1930" s="17" t="str">
        <f>IFERROR(__xludf.DUMMYFUNCTION("""COMPUTED_VALUE"""),"")</f>
        <v/>
      </c>
      <c r="H1930" s="17" t="str">
        <f>IFERROR(__xludf.DUMMYFUNCTION("""COMPUTED_VALUE"""),"")</f>
        <v/>
      </c>
      <c r="I1930" s="17" t="str">
        <f>IFERROR(__xludf.DUMMYFUNCTION("""COMPUTED_VALUE"""),"")</f>
        <v/>
      </c>
      <c r="J1930" s="17" t="str">
        <f>IFERROR(__xludf.DUMMYFUNCTION("""COMPUTED_VALUE"""),"")</f>
        <v/>
      </c>
      <c r="K1930" s="17" t="str">
        <f>IFERROR(__xludf.DUMMYFUNCTION("""COMPUTED_VALUE"""),"")</f>
        <v/>
      </c>
      <c r="L1930" s="17" t="str">
        <f>IFERROR(__xludf.DUMMYFUNCTION("""COMPUTED_VALUE"""),"")</f>
        <v/>
      </c>
      <c r="M1930" s="17" t="str">
        <f>IFERROR(__xludf.DUMMYFUNCTION("""COMPUTED_VALUE"""),"")</f>
        <v/>
      </c>
      <c r="N1930" s="17" t="str">
        <f>IFERROR(__xludf.DUMMYFUNCTION("""COMPUTED_VALUE"""),"")</f>
        <v/>
      </c>
      <c r="O1930" s="17" t="str">
        <f>IFERROR(__xludf.DUMMYFUNCTION("""COMPUTED_VALUE"""),"")</f>
        <v/>
      </c>
      <c r="P1930" s="17" t="str">
        <f>IFERROR(__xludf.DUMMYFUNCTION("""COMPUTED_VALUE"""),"")</f>
        <v/>
      </c>
      <c r="Q1930" s="17" t="str">
        <f>IFERROR(__xludf.DUMMYFUNCTION("""COMPUTED_VALUE"""),"")</f>
        <v/>
      </c>
      <c r="R1930" s="17" t="str">
        <f>IFERROR(__xludf.DUMMYFUNCTION("""COMPUTED_VALUE"""),"")</f>
        <v/>
      </c>
    </row>
    <row r="1931">
      <c r="A1931" s="15">
        <f>IFERROR(__xludf.DUMMYFUNCTION("""COMPUTED_VALUE"""),45056.0)</f>
        <v>45056</v>
      </c>
      <c r="B1931" s="16" t="str">
        <f>IFERROR(__xludf.DUMMYFUNCTION("""COMPUTED_VALUE"""),"JOSE ALFREDO RAMIREZ VERGARA ")</f>
        <v>JOSE ALFREDO RAMIREZ VERGARA </v>
      </c>
      <c r="C1931" s="15" t="str">
        <f>IFERROR(__xludf.DUMMYFUNCTION("""COMPUTED_VALUE"""),"BOGOTÁ")</f>
        <v>BOGOTÁ</v>
      </c>
      <c r="D1931" s="15" t="str">
        <f>IFERROR(__xludf.DUMMYFUNCTION("""COMPUTED_VALUE"""),"MEDELLÍN")</f>
        <v>MEDELLÍN</v>
      </c>
      <c r="E1931" s="15" t="str">
        <f>IFERROR(__xludf.DUMMYFUNCTION("""COMPUTED_VALUE"""),"Terravocado")</f>
        <v>Terravocado</v>
      </c>
      <c r="F1931" s="17" t="str">
        <f>IFERROR(__xludf.DUMMYFUNCTION("""COMPUTED_VALUE"""),"Carrera 20#168-32 / Toberin / Toberin")</f>
        <v>Carrera 20#168-32 / Toberin / Toberin</v>
      </c>
      <c r="G1931" s="15" t="str">
        <f>IFERROR(__xludf.DUMMYFUNCTION("""COMPUTED_VALUE"""),"BUKOI")</f>
        <v>BUKOI</v>
      </c>
      <c r="H1931" s="16">
        <f>IFERROR(__xludf.DUMMYFUNCTION("""COMPUTED_VALUE"""),10459.0)</f>
        <v>10459</v>
      </c>
      <c r="I1931" s="18">
        <f>IFERROR(__xludf.DUMMYFUNCTION("""COMPUTED_VALUE"""),20.0)</f>
        <v>20</v>
      </c>
      <c r="J1931" s="18">
        <f>IFERROR(__xludf.DUMMYFUNCTION("""COMPUTED_VALUE"""),25.0)</f>
        <v>25</v>
      </c>
      <c r="K1931" s="18">
        <f>IFERROR(__xludf.DUMMYFUNCTION("""COMPUTED_VALUE"""),34.0)</f>
        <v>34</v>
      </c>
      <c r="L1931" s="17">
        <f>IFERROR(__xludf.DUMMYFUNCTION("""COMPUTED_VALUE"""),3.103668164E9)</f>
        <v>3103668164</v>
      </c>
      <c r="M1931" s="17" t="str">
        <f>IFERROR(__xludf.DUMMYFUNCTION("""COMPUTED_VALUE"""),"#REF!")</f>
        <v>#REF!</v>
      </c>
      <c r="N1931" s="17"/>
      <c r="O1931" s="17"/>
      <c r="P1931" s="17" t="b">
        <f>IFERROR(__xludf.DUMMYFUNCTION("""COMPUTED_VALUE"""),FALSE)</f>
        <v>0</v>
      </c>
      <c r="Q1931" s="20" t="str">
        <f>IFERROR(__xludf.DUMMYFUNCTION("""COMPUTED_VALUE"""),"")</f>
        <v/>
      </c>
      <c r="R1931" s="22" t="str">
        <f>IFERROR(__xludf.DUMMYFUNCTION("""COMPUTED_VALUE"""),"")</f>
        <v/>
      </c>
    </row>
    <row r="1932">
      <c r="A1932" s="15">
        <f>IFERROR(__xludf.DUMMYFUNCTION("""COMPUTED_VALUE"""),45056.0)</f>
        <v>45056</v>
      </c>
      <c r="B1932" s="16" t="str">
        <f>IFERROR(__xludf.DUMMYFUNCTION("""COMPUTED_VALUE"""),"JOSE ALFREDO RAMIREZ VERGARA ")</f>
        <v>JOSE ALFREDO RAMIREZ VERGARA </v>
      </c>
      <c r="C1932" s="15" t="str">
        <f>IFERROR(__xludf.DUMMYFUNCTION("""COMPUTED_VALUE"""),"MONTERIA")</f>
        <v>MONTERIA</v>
      </c>
      <c r="D1932" s="15" t="str">
        <f>IFERROR(__xludf.DUMMYFUNCTION("""COMPUTED_VALUE"""),"MEDELLÍN")</f>
        <v>MEDELLÍN</v>
      </c>
      <c r="E1932" s="15" t="str">
        <f>IFERROR(__xludf.DUMMYFUNCTION("""COMPUTED_VALUE"""),"Moloso S.A.S")</f>
        <v>Moloso S.A.S</v>
      </c>
      <c r="F1932" s="17" t="str">
        <f>IFERROR(__xludf.DUMMYFUNCTION("""COMPUTED_VALUE"""),"CL 55 9 02")</f>
        <v>CL 55 9 02</v>
      </c>
      <c r="G1932" s="15" t="str">
        <f>IFERROR(__xludf.DUMMYFUNCTION("""COMPUTED_VALUE"""),"MELISSA SOFIA ESPINOSA CANO")</f>
        <v>MELISSA SOFIA ESPINOSA CANO</v>
      </c>
      <c r="H1932" s="16">
        <f>IFERROR(__xludf.DUMMYFUNCTION("""COMPUTED_VALUE"""),10509.0)</f>
        <v>10509</v>
      </c>
      <c r="I1932" s="18">
        <f>IFERROR(__xludf.DUMMYFUNCTION("""COMPUTED_VALUE"""),17.0)</f>
        <v>17</v>
      </c>
      <c r="J1932" s="18">
        <f>IFERROR(__xludf.DUMMYFUNCTION("""COMPUTED_VALUE"""),15.0)</f>
        <v>15</v>
      </c>
      <c r="K1932" s="18">
        <f>IFERROR(__xludf.DUMMYFUNCTION("""COMPUTED_VALUE"""),28.0)</f>
        <v>28</v>
      </c>
      <c r="L1932" s="17">
        <f>IFERROR(__xludf.DUMMYFUNCTION("""COMPUTED_VALUE"""),3.143429803E9)</f>
        <v>3143429803</v>
      </c>
      <c r="M1932" s="17" t="str">
        <f>IFERROR(__xludf.DUMMYFUNCTION("""COMPUTED_VALUE"""),"#REF!")</f>
        <v>#REF!</v>
      </c>
      <c r="N1932" s="17"/>
      <c r="O1932" s="17"/>
      <c r="P1932" s="17" t="b">
        <f>IFERROR(__xludf.DUMMYFUNCTION("""COMPUTED_VALUE"""),FALSE)</f>
        <v>0</v>
      </c>
      <c r="Q1932" s="20" t="str">
        <f>IFERROR(__xludf.DUMMYFUNCTION("""COMPUTED_VALUE"""),"")</f>
        <v/>
      </c>
      <c r="R1932" s="22" t="str">
        <f>IFERROR(__xludf.DUMMYFUNCTION("""COMPUTED_VALUE"""),"")</f>
        <v/>
      </c>
    </row>
    <row r="1933">
      <c r="A1933" s="17" t="str">
        <f>IFERROR(__xludf.DUMMYFUNCTION("""COMPUTED_VALUE"""),"")</f>
        <v/>
      </c>
      <c r="B1933" s="17" t="str">
        <f>IFERROR(__xludf.DUMMYFUNCTION("""COMPUTED_VALUE"""),"")</f>
        <v/>
      </c>
      <c r="C1933" s="17" t="str">
        <f>IFERROR(__xludf.DUMMYFUNCTION("""COMPUTED_VALUE"""),"")</f>
        <v/>
      </c>
      <c r="D1933" s="17" t="str">
        <f>IFERROR(__xludf.DUMMYFUNCTION("""COMPUTED_VALUE"""),"")</f>
        <v/>
      </c>
      <c r="E1933" s="17" t="str">
        <f>IFERROR(__xludf.DUMMYFUNCTION("""COMPUTED_VALUE"""),"")</f>
        <v/>
      </c>
      <c r="F1933" s="17" t="str">
        <f>IFERROR(__xludf.DUMMYFUNCTION("""COMPUTED_VALUE"""),"")</f>
        <v/>
      </c>
      <c r="G1933" s="17" t="str">
        <f>IFERROR(__xludf.DUMMYFUNCTION("""COMPUTED_VALUE"""),"")</f>
        <v/>
      </c>
      <c r="H1933" s="17" t="str">
        <f>IFERROR(__xludf.DUMMYFUNCTION("""COMPUTED_VALUE"""),"")</f>
        <v/>
      </c>
      <c r="I1933" s="17" t="str">
        <f>IFERROR(__xludf.DUMMYFUNCTION("""COMPUTED_VALUE"""),"")</f>
        <v/>
      </c>
      <c r="J1933" s="17" t="str">
        <f>IFERROR(__xludf.DUMMYFUNCTION("""COMPUTED_VALUE"""),"")</f>
        <v/>
      </c>
      <c r="K1933" s="17" t="str">
        <f>IFERROR(__xludf.DUMMYFUNCTION("""COMPUTED_VALUE"""),"")</f>
        <v/>
      </c>
      <c r="L1933" s="17" t="str">
        <f>IFERROR(__xludf.DUMMYFUNCTION("""COMPUTED_VALUE"""),"")</f>
        <v/>
      </c>
      <c r="M1933" s="17" t="str">
        <f>IFERROR(__xludf.DUMMYFUNCTION("""COMPUTED_VALUE"""),"")</f>
        <v/>
      </c>
      <c r="N1933" s="17" t="str">
        <f>IFERROR(__xludf.DUMMYFUNCTION("""COMPUTED_VALUE"""),"")</f>
        <v/>
      </c>
      <c r="O1933" s="17" t="str">
        <f>IFERROR(__xludf.DUMMYFUNCTION("""COMPUTED_VALUE"""),"")</f>
        <v/>
      </c>
      <c r="P1933" s="17" t="str">
        <f>IFERROR(__xludf.DUMMYFUNCTION("""COMPUTED_VALUE"""),"")</f>
        <v/>
      </c>
      <c r="Q1933" s="17" t="str">
        <f>IFERROR(__xludf.DUMMYFUNCTION("""COMPUTED_VALUE"""),"")</f>
        <v/>
      </c>
      <c r="R1933" s="17" t="str">
        <f>IFERROR(__xludf.DUMMYFUNCTION("""COMPUTED_VALUE"""),"")</f>
        <v/>
      </c>
    </row>
    <row r="1934">
      <c r="A1934" s="15">
        <f>IFERROR(__xludf.DUMMYFUNCTION("""COMPUTED_VALUE"""),45056.0)</f>
        <v>45056</v>
      </c>
      <c r="B1934" s="16" t="str">
        <f>IFERROR(__xludf.DUMMYFUNCTION("""COMPUTED_VALUE"""),"Luis Miguel Ramirez Morales")</f>
        <v>Luis Miguel Ramirez Morales</v>
      </c>
      <c r="C1934" s="15" t="str">
        <f>IFERROR(__xludf.DUMMYFUNCTION("""COMPUTED_VALUE"""),"BOGOTÁ")</f>
        <v>BOGOTÁ</v>
      </c>
      <c r="D1934" s="15" t="str">
        <f>IFERROR(__xludf.DUMMYFUNCTION("""COMPUTED_VALUE"""),"CALI")</f>
        <v>CALI</v>
      </c>
      <c r="E1934" s="15" t="str">
        <f>IFERROR(__xludf.DUMMYFUNCTION("""COMPUTED_VALUE"""),"Natalia Carreño")</f>
        <v>Natalia Carreño</v>
      </c>
      <c r="F1934" s="17" t="str">
        <f>IFERROR(__xludf.DUMMYFUNCTION("""COMPUTED_VALUE"""),"Cra 27 no 70-83 / Casa curuba / Barrio alcazares")</f>
        <v>Cra 27 no 70-83 / Casa curuba / Barrio alcazares</v>
      </c>
      <c r="G1934" s="15" t="str">
        <f>IFERROR(__xludf.DUMMYFUNCTION("""COMPUTED_VALUE"""),"Natalia carrwno")</f>
        <v>Natalia carrwno</v>
      </c>
      <c r="H1934" s="16">
        <f>IFERROR(__xludf.DUMMYFUNCTION("""COMPUTED_VALUE"""),10478.0)</f>
        <v>10478</v>
      </c>
      <c r="I1934" s="18">
        <f>IFERROR(__xludf.DUMMYFUNCTION("""COMPUTED_VALUE"""),40.0)</f>
        <v>40</v>
      </c>
      <c r="J1934" s="18">
        <f>IFERROR(__xludf.DUMMYFUNCTION("""COMPUTED_VALUE"""),40.0)</f>
        <v>40</v>
      </c>
      <c r="K1934" s="18">
        <f>IFERROR(__xludf.DUMMYFUNCTION("""COMPUTED_VALUE"""),60.0)</f>
        <v>60</v>
      </c>
      <c r="L1934" s="17">
        <f>IFERROR(__xludf.DUMMYFUNCTION("""COMPUTED_VALUE"""),3.11561131E9)</f>
        <v>3115611310</v>
      </c>
      <c r="M1934" s="17" t="str">
        <f>IFERROR(__xludf.DUMMYFUNCTION("""COMPUTED_VALUE"""),"#REF!")</f>
        <v>#REF!</v>
      </c>
      <c r="N1934" s="17"/>
      <c r="O1934" s="17"/>
      <c r="P1934" s="17" t="b">
        <f>IFERROR(__xludf.DUMMYFUNCTION("""COMPUTED_VALUE"""),FALSE)</f>
        <v>0</v>
      </c>
      <c r="Q1934" s="20" t="str">
        <f>IFERROR(__xludf.DUMMYFUNCTION("""COMPUTED_VALUE"""),"")</f>
        <v/>
      </c>
      <c r="R1934" s="22" t="str">
        <f>IFERROR(__xludf.DUMMYFUNCTION("""COMPUTED_VALUE"""),"")</f>
        <v/>
      </c>
    </row>
    <row r="1935">
      <c r="A1935" s="15">
        <f>IFERROR(__xludf.DUMMYFUNCTION("""COMPUTED_VALUE"""),45056.0)</f>
        <v>45056</v>
      </c>
      <c r="B1935" s="16" t="str">
        <f>IFERROR(__xludf.DUMMYFUNCTION("""COMPUTED_VALUE"""),"Luis Miguel Ramirez Morales")</f>
        <v>Luis Miguel Ramirez Morales</v>
      </c>
      <c r="C1935" s="15" t="str">
        <f>IFERROR(__xludf.DUMMYFUNCTION("""COMPUTED_VALUE"""),"BOGOTÁ")</f>
        <v>BOGOTÁ</v>
      </c>
      <c r="D1935" s="15" t="str">
        <f>IFERROR(__xludf.DUMMYFUNCTION("""COMPUTED_VALUE"""),"MEDELLÍN")</f>
        <v>MEDELLÍN</v>
      </c>
      <c r="E1935" s="15" t="str">
        <f>IFERROR(__xludf.DUMMYFUNCTION("""COMPUTED_VALUE"""),"Baby Chef")</f>
        <v>Baby Chef</v>
      </c>
      <c r="F1935" s="17" t="str">
        <f>IFERROR(__xludf.DUMMYFUNCTION("""COMPUTED_VALUE"""),"Calle 142 # 6 - 69 / Torre 14 Apto 101 Condominio Bosques de la Cañada / Torre 14 Apto 101 Condominio Bosques de la Cañada")</f>
        <v>Calle 142 # 6 - 69 / Torre 14 Apto 101 Condominio Bosques de la Cañada / Torre 14 Apto 101 Condominio Bosques de la Cañada</v>
      </c>
      <c r="G1935" s="15" t="str">
        <f>IFERROR(__xludf.DUMMYFUNCTION("""COMPUTED_VALUE"""),"Rosa Maria Muñoz Diaz")</f>
        <v>Rosa Maria Muñoz Diaz</v>
      </c>
      <c r="H1935" s="16">
        <f>IFERROR(__xludf.DUMMYFUNCTION("""COMPUTED_VALUE"""),10524.0)</f>
        <v>10524</v>
      </c>
      <c r="I1935" s="18">
        <f>IFERROR(__xludf.DUMMYFUNCTION("""COMPUTED_VALUE"""),8.0)</f>
        <v>8</v>
      </c>
      <c r="J1935" s="18">
        <f>IFERROR(__xludf.DUMMYFUNCTION("""COMPUTED_VALUE"""),16.0)</f>
        <v>16</v>
      </c>
      <c r="K1935" s="18">
        <f>IFERROR(__xludf.DUMMYFUNCTION("""COMPUTED_VALUE"""),20.0)</f>
        <v>20</v>
      </c>
      <c r="L1935" s="17">
        <f>IFERROR(__xludf.DUMMYFUNCTION("""COMPUTED_VALUE"""),3.057285752E9)</f>
        <v>3057285752</v>
      </c>
      <c r="M1935" s="17" t="str">
        <f>IFERROR(__xludf.DUMMYFUNCTION("""COMPUTED_VALUE"""),"#REF!")</f>
        <v>#REF!</v>
      </c>
      <c r="N1935" s="17"/>
      <c r="O1935" s="17"/>
      <c r="P1935" s="17" t="b">
        <f>IFERROR(__xludf.DUMMYFUNCTION("""COMPUTED_VALUE"""),FALSE)</f>
        <v>0</v>
      </c>
      <c r="Q1935" s="20" t="str">
        <f>IFERROR(__xludf.DUMMYFUNCTION("""COMPUTED_VALUE"""),"")</f>
        <v/>
      </c>
      <c r="R1935" s="22" t="str">
        <f>IFERROR(__xludf.DUMMYFUNCTION("""COMPUTED_VALUE"""),"")</f>
        <v/>
      </c>
    </row>
    <row r="1936">
      <c r="A1936" s="15">
        <f>IFERROR(__xludf.DUMMYFUNCTION("""COMPUTED_VALUE"""),45056.0)</f>
        <v>45056</v>
      </c>
      <c r="B1936" s="16" t="str">
        <f>IFERROR(__xludf.DUMMYFUNCTION("""COMPUTED_VALUE"""),"Luis Miguel Ramirez Morales")</f>
        <v>Luis Miguel Ramirez Morales</v>
      </c>
      <c r="C1936" s="15" t="str">
        <f>IFERROR(__xludf.DUMMYFUNCTION("""COMPUTED_VALUE"""),"BOGOTÁ")</f>
        <v>BOGOTÁ</v>
      </c>
      <c r="D1936" s="15" t="str">
        <f>IFERROR(__xludf.DUMMYFUNCTION("""COMPUTED_VALUE"""),"MEDELLÍN")</f>
        <v>MEDELLÍN</v>
      </c>
      <c r="E1936" s="15" t="str">
        <f>IFERROR(__xludf.DUMMYFUNCTION("""COMPUTED_VALUE"""),"Puro Verde")</f>
        <v>Puro Verde</v>
      </c>
      <c r="F1936" s="17" t="str">
        <f>IFERROR(__xludf.DUMMYFUNCTION("""COMPUTED_VALUE"""),"AV CRA 15 # 90-20.  / LOCAL 109 / BARRIO CHICO")</f>
        <v>AV CRA 15 # 90-20.  / LOCAL 109 / BARRIO CHICO</v>
      </c>
      <c r="G1936" s="15" t="str">
        <f>IFERROR(__xludf.DUMMYFUNCTION("""COMPUTED_VALUE"""),"DANDO CUERDA")</f>
        <v>DANDO CUERDA</v>
      </c>
      <c r="H1936" s="16">
        <f>IFERROR(__xludf.DUMMYFUNCTION("""COMPUTED_VALUE"""),10492.0)</f>
        <v>10492</v>
      </c>
      <c r="I1936" s="18">
        <f>IFERROR(__xludf.DUMMYFUNCTION("""COMPUTED_VALUE"""),67.0)</f>
        <v>67</v>
      </c>
      <c r="J1936" s="18">
        <f>IFERROR(__xludf.DUMMYFUNCTION("""COMPUTED_VALUE"""),65.0)</f>
        <v>65</v>
      </c>
      <c r="K1936" s="18">
        <f>IFERROR(__xludf.DUMMYFUNCTION("""COMPUTED_VALUE"""),55.0)</f>
        <v>55</v>
      </c>
      <c r="L1936" s="17">
        <f>IFERROR(__xludf.DUMMYFUNCTION("""COMPUTED_VALUE"""),3.163816691E9)</f>
        <v>3163816691</v>
      </c>
      <c r="M1936" s="17" t="str">
        <f>IFERROR(__xludf.DUMMYFUNCTION("""COMPUTED_VALUE"""),"#REF!")</f>
        <v>#REF!</v>
      </c>
      <c r="N1936" s="17"/>
      <c r="O1936" s="19">
        <f>IFERROR(__xludf.DUMMYFUNCTION("""COMPUTED_VALUE"""),11000.0)</f>
        <v>11000</v>
      </c>
      <c r="P1936" s="17" t="b">
        <f>IFERROR(__xludf.DUMMYFUNCTION("""COMPUTED_VALUE"""),FALSE)</f>
        <v>0</v>
      </c>
      <c r="Q1936" s="20" t="str">
        <f>IFERROR(__xludf.DUMMYFUNCTION("""COMPUTED_VALUE"""),"")</f>
        <v/>
      </c>
      <c r="R1936" s="22" t="str">
        <f>IFERROR(__xludf.DUMMYFUNCTION("""COMPUTED_VALUE"""),"")</f>
        <v/>
      </c>
    </row>
    <row r="1937">
      <c r="A1937" s="17" t="str">
        <f>IFERROR(__xludf.DUMMYFUNCTION("""COMPUTED_VALUE"""),"")</f>
        <v/>
      </c>
      <c r="B1937" s="17" t="str">
        <f>IFERROR(__xludf.DUMMYFUNCTION("""COMPUTED_VALUE"""),"")</f>
        <v/>
      </c>
      <c r="C1937" s="17" t="str">
        <f>IFERROR(__xludf.DUMMYFUNCTION("""COMPUTED_VALUE"""),"")</f>
        <v/>
      </c>
      <c r="D1937" s="17" t="str">
        <f>IFERROR(__xludf.DUMMYFUNCTION("""COMPUTED_VALUE"""),"")</f>
        <v/>
      </c>
      <c r="E1937" s="17" t="str">
        <f>IFERROR(__xludf.DUMMYFUNCTION("""COMPUTED_VALUE"""),"")</f>
        <v/>
      </c>
      <c r="F1937" s="17" t="str">
        <f>IFERROR(__xludf.DUMMYFUNCTION("""COMPUTED_VALUE"""),"")</f>
        <v/>
      </c>
      <c r="G1937" s="17" t="str">
        <f>IFERROR(__xludf.DUMMYFUNCTION("""COMPUTED_VALUE"""),"")</f>
        <v/>
      </c>
      <c r="H1937" s="17" t="str">
        <f>IFERROR(__xludf.DUMMYFUNCTION("""COMPUTED_VALUE"""),"")</f>
        <v/>
      </c>
      <c r="I1937" s="17" t="str">
        <f>IFERROR(__xludf.DUMMYFUNCTION("""COMPUTED_VALUE"""),"")</f>
        <v/>
      </c>
      <c r="J1937" s="17" t="str">
        <f>IFERROR(__xludf.DUMMYFUNCTION("""COMPUTED_VALUE"""),"")</f>
        <v/>
      </c>
      <c r="K1937" s="17" t="str">
        <f>IFERROR(__xludf.DUMMYFUNCTION("""COMPUTED_VALUE"""),"")</f>
        <v/>
      </c>
      <c r="L1937" s="17" t="str">
        <f>IFERROR(__xludf.DUMMYFUNCTION("""COMPUTED_VALUE"""),"")</f>
        <v/>
      </c>
      <c r="M1937" s="17" t="str">
        <f>IFERROR(__xludf.DUMMYFUNCTION("""COMPUTED_VALUE"""),"")</f>
        <v/>
      </c>
      <c r="N1937" s="17" t="str">
        <f>IFERROR(__xludf.DUMMYFUNCTION("""COMPUTED_VALUE"""),"")</f>
        <v/>
      </c>
      <c r="O1937" s="17" t="str">
        <f>IFERROR(__xludf.DUMMYFUNCTION("""COMPUTED_VALUE"""),"")</f>
        <v/>
      </c>
      <c r="P1937" s="17" t="str">
        <f>IFERROR(__xludf.DUMMYFUNCTION("""COMPUTED_VALUE"""),"")</f>
        <v/>
      </c>
      <c r="Q1937" s="17" t="str">
        <f>IFERROR(__xludf.DUMMYFUNCTION("""COMPUTED_VALUE"""),"")</f>
        <v/>
      </c>
      <c r="R1937" s="17" t="str">
        <f>IFERROR(__xludf.DUMMYFUNCTION("""COMPUTED_VALUE"""),"")</f>
        <v/>
      </c>
    </row>
    <row r="1938">
      <c r="A1938" s="15">
        <f>IFERROR(__xludf.DUMMYFUNCTION("""COMPUTED_VALUE"""),45057.0)</f>
        <v>45057</v>
      </c>
      <c r="B1938" s="16" t="str">
        <f>IFERROR(__xludf.DUMMYFUNCTION("""COMPUTED_VALUE"""),"David Sanmartin Bello")</f>
        <v>David Sanmartin Bello</v>
      </c>
      <c r="C1938" s="15" t="str">
        <f>IFERROR(__xludf.DUMMYFUNCTION("""COMPUTED_VALUE"""),"BARRANQUILLA")</f>
        <v>BARRANQUILLA</v>
      </c>
      <c r="D1938" s="15" t="str">
        <f>IFERROR(__xludf.DUMMYFUNCTION("""COMPUTED_VALUE"""),"MANIZALES")</f>
        <v>MANIZALES</v>
      </c>
      <c r="E1938" s="15" t="str">
        <f>IFERROR(__xludf.DUMMYFUNCTION("""COMPUTED_VALUE"""),"Congelados Típicos")</f>
        <v>Congelados Típicos</v>
      </c>
      <c r="F1938" s="17" t="str">
        <f>IFERROR(__xludf.DUMMYFUNCTION("""COMPUTED_VALUE"""),"Calle 30 # 5A - 121 / centro de acopio dando lora  / centro de acopio dando lora")</f>
        <v>Calle 30 # 5A - 121 / centro de acopio dando lora  / centro de acopio dando lora</v>
      </c>
      <c r="G1938" s="15" t="str">
        <f>IFERROR(__xludf.DUMMYFUNCTION("""COMPUTED_VALUE"""),"DANIEL ROBLEDO Coppiano")</f>
        <v>DANIEL ROBLEDO Coppiano</v>
      </c>
      <c r="H1938" s="16">
        <f>IFERROR(__xludf.DUMMYFUNCTION("""COMPUTED_VALUE"""),10514.0)</f>
        <v>10514</v>
      </c>
      <c r="I1938" s="18" t="str">
        <f>IFERROR(__xludf.DUMMYFUNCTION("""COMPUTED_VALUE"""),"52.5")</f>
        <v>52.5</v>
      </c>
      <c r="J1938" s="18">
        <f>IFERROR(__xludf.DUMMYFUNCTION("""COMPUTED_VALUE"""),55.0)</f>
        <v>55</v>
      </c>
      <c r="K1938" s="18">
        <f>IFERROR(__xludf.DUMMYFUNCTION("""COMPUTED_VALUE"""),45.0)</f>
        <v>45</v>
      </c>
      <c r="L1938" s="17">
        <f>IFERROR(__xludf.DUMMYFUNCTION("""COMPUTED_VALUE"""),3.113744276E9)</f>
        <v>3113744276</v>
      </c>
      <c r="M1938" s="17" t="str">
        <f>IFERROR(__xludf.DUMMYFUNCTION("""COMPUTED_VALUE"""),"#REF!")</f>
        <v>#REF!</v>
      </c>
      <c r="N1938" s="17"/>
      <c r="O1938" s="19">
        <f>IFERROR(__xludf.DUMMYFUNCTION("""COMPUTED_VALUE"""),11000.0)</f>
        <v>11000</v>
      </c>
      <c r="P1938" s="17" t="b">
        <f>IFERROR(__xludf.DUMMYFUNCTION("""COMPUTED_VALUE"""),FALSE)</f>
        <v>0</v>
      </c>
      <c r="Q1938" s="20" t="str">
        <f>IFERROR(__xludf.DUMMYFUNCTION("""COMPUTED_VALUE"""),"")</f>
        <v/>
      </c>
      <c r="R1938" s="22" t="str">
        <f>IFERROR(__xludf.DUMMYFUNCTION("""COMPUTED_VALUE"""),"")</f>
        <v/>
      </c>
    </row>
    <row r="1939">
      <c r="A1939" s="15">
        <f>IFERROR(__xludf.DUMMYFUNCTION("""COMPUTED_VALUE"""),45057.0)</f>
        <v>45057</v>
      </c>
      <c r="B1939" s="16" t="str">
        <f>IFERROR(__xludf.DUMMYFUNCTION("""COMPUTED_VALUE"""),"David Sanmartin Bello")</f>
        <v>David Sanmartin Bello</v>
      </c>
      <c r="C1939" s="15" t="str">
        <f>IFERROR(__xludf.DUMMYFUNCTION("""COMPUTED_VALUE"""),"BARRANQUILLA")</f>
        <v>BARRANQUILLA</v>
      </c>
      <c r="D1939" s="15" t="str">
        <f>IFERROR(__xludf.DUMMYFUNCTION("""COMPUTED_VALUE"""),"MANIZALES")</f>
        <v>MANIZALES</v>
      </c>
      <c r="E1939" s="15" t="str">
        <f>IFERROR(__xludf.DUMMYFUNCTION("""COMPUTED_VALUE"""),"Congelados Típicos")</f>
        <v>Congelados Típicos</v>
      </c>
      <c r="F1939" s="17" t="str">
        <f>IFERROR(__xludf.DUMMYFUNCTION("""COMPUTED_VALUE"""),"Calle 30 # 5A - 121 / centro de acopio dando lora  / centro de acopio dando lora")</f>
        <v>Calle 30 # 5A - 121 / centro de acopio dando lora  / centro de acopio dando lora</v>
      </c>
      <c r="G1939" s="15" t="str">
        <f>IFERROR(__xludf.DUMMYFUNCTION("""COMPUTED_VALUE"""),"DANIEL ROBLEDO Coppiano")</f>
        <v>DANIEL ROBLEDO Coppiano</v>
      </c>
      <c r="H1939" s="16">
        <f>IFERROR(__xludf.DUMMYFUNCTION("""COMPUTED_VALUE"""),10515.0)</f>
        <v>10515</v>
      </c>
      <c r="I1939" s="18" t="str">
        <f>IFERROR(__xludf.DUMMYFUNCTION("""COMPUTED_VALUE"""),"52.5")</f>
        <v>52.5</v>
      </c>
      <c r="J1939" s="18">
        <f>IFERROR(__xludf.DUMMYFUNCTION("""COMPUTED_VALUE"""),55.0)</f>
        <v>55</v>
      </c>
      <c r="K1939" s="18">
        <f>IFERROR(__xludf.DUMMYFUNCTION("""COMPUTED_VALUE"""),45.0)</f>
        <v>45</v>
      </c>
      <c r="L1939" s="17">
        <f>IFERROR(__xludf.DUMMYFUNCTION("""COMPUTED_VALUE"""),3.113744276E9)</f>
        <v>3113744276</v>
      </c>
      <c r="M1939" s="17" t="str">
        <f>IFERROR(__xludf.DUMMYFUNCTION("""COMPUTED_VALUE"""),"#REF!")</f>
        <v>#REF!</v>
      </c>
      <c r="N1939" s="17"/>
      <c r="O1939" s="19">
        <f>IFERROR(__xludf.DUMMYFUNCTION("""COMPUTED_VALUE"""),11000.0)</f>
        <v>11000</v>
      </c>
      <c r="P1939" s="17" t="b">
        <f>IFERROR(__xludf.DUMMYFUNCTION("""COMPUTED_VALUE"""),FALSE)</f>
        <v>0</v>
      </c>
      <c r="Q1939" s="20" t="str">
        <f>IFERROR(__xludf.DUMMYFUNCTION("""COMPUTED_VALUE"""),"")</f>
        <v/>
      </c>
      <c r="R1939" s="22" t="str">
        <f>IFERROR(__xludf.DUMMYFUNCTION("""COMPUTED_VALUE"""),"")</f>
        <v/>
      </c>
    </row>
    <row r="1940">
      <c r="A1940" s="15">
        <f>IFERROR(__xludf.DUMMYFUNCTION("""COMPUTED_VALUE"""),45057.0)</f>
        <v>45057</v>
      </c>
      <c r="B1940" s="16" t="str">
        <f>IFERROR(__xludf.DUMMYFUNCTION("""COMPUTED_VALUE"""),"David Sanmartin Bello")</f>
        <v>David Sanmartin Bello</v>
      </c>
      <c r="C1940" s="15" t="str">
        <f>IFERROR(__xludf.DUMMYFUNCTION("""COMPUTED_VALUE"""),"CARTAGENA")</f>
        <v>CARTAGENA</v>
      </c>
      <c r="D1940" s="15" t="str">
        <f>IFERROR(__xludf.DUMMYFUNCTION("""COMPUTED_VALUE"""),"BOGOTÁ")</f>
        <v>BOGOTÁ</v>
      </c>
      <c r="E1940" s="15" t="str">
        <f>IFERROR(__xludf.DUMMYFUNCTION("""COMPUTED_VALUE"""),"Evamazzita")</f>
        <v>Evamazzita</v>
      </c>
      <c r="F1940" s="17" t="str">
        <f>IFERROR(__xludf.DUMMYFUNCTION("""COMPUTED_VALUE"""),"Avenida 2 #65-104  / Edificio Sol Caribe Apto 302  / Barrio Crespo")</f>
        <v>Avenida 2 #65-104  / Edificio Sol Caribe Apto 302  / Barrio Crespo</v>
      </c>
      <c r="G1940" s="15" t="str">
        <f>IFERROR(__xludf.DUMMYFUNCTION("""COMPUTED_VALUE"""),"MARCELA RAMOS")</f>
        <v>MARCELA RAMOS</v>
      </c>
      <c r="H1940" s="16">
        <f>IFERROR(__xludf.DUMMYFUNCTION("""COMPUTED_VALUE"""),10518.0)</f>
        <v>10518</v>
      </c>
      <c r="I1940" s="18">
        <f>IFERROR(__xludf.DUMMYFUNCTION("""COMPUTED_VALUE"""),3.0)</f>
        <v>3</v>
      </c>
      <c r="J1940" s="18">
        <f>IFERROR(__xludf.DUMMYFUNCTION("""COMPUTED_VALUE"""),20.0)</f>
        <v>20</v>
      </c>
      <c r="K1940" s="18">
        <f>IFERROR(__xludf.DUMMYFUNCTION("""COMPUTED_VALUE"""),15.0)</f>
        <v>15</v>
      </c>
      <c r="L1940" s="17">
        <f>IFERROR(__xludf.DUMMYFUNCTION("""COMPUTED_VALUE"""),3.15777661E9)</f>
        <v>3157776610</v>
      </c>
      <c r="M1940" s="17" t="str">
        <f>IFERROR(__xludf.DUMMYFUNCTION("""COMPUTED_VALUE"""),"#REF!")</f>
        <v>#REF!</v>
      </c>
      <c r="N1940" s="17"/>
      <c r="O1940" s="19">
        <f>IFERROR(__xludf.DUMMYFUNCTION("""COMPUTED_VALUE"""),11000.0)</f>
        <v>11000</v>
      </c>
      <c r="P1940" s="17" t="b">
        <f>IFERROR(__xludf.DUMMYFUNCTION("""COMPUTED_VALUE"""),FALSE)</f>
        <v>0</v>
      </c>
      <c r="Q1940" s="20" t="str">
        <f>IFERROR(__xludf.DUMMYFUNCTION("""COMPUTED_VALUE"""),"")</f>
        <v/>
      </c>
      <c r="R1940" s="22" t="str">
        <f>IFERROR(__xludf.DUMMYFUNCTION("""COMPUTED_VALUE"""),"")</f>
        <v/>
      </c>
    </row>
    <row r="1941">
      <c r="A1941" s="15">
        <f>IFERROR(__xludf.DUMMYFUNCTION("""COMPUTED_VALUE"""),45057.0)</f>
        <v>45057</v>
      </c>
      <c r="B1941" s="16" t="str">
        <f>IFERROR(__xludf.DUMMYFUNCTION("""COMPUTED_VALUE"""),"David Sanmartin Bello")</f>
        <v>David Sanmartin Bello</v>
      </c>
      <c r="C1941" s="15" t="str">
        <f>IFERROR(__xludf.DUMMYFUNCTION("""COMPUTED_VALUE"""),"CARTAGENA")</f>
        <v>CARTAGENA</v>
      </c>
      <c r="D1941" s="15" t="str">
        <f>IFERROR(__xludf.DUMMYFUNCTION("""COMPUTED_VALUE"""),"BOGOTÁ")</f>
        <v>BOGOTÁ</v>
      </c>
      <c r="E1941" s="15" t="str">
        <f>IFERROR(__xludf.DUMMYFUNCTION("""COMPUTED_VALUE"""),"Evamazzita")</f>
        <v>Evamazzita</v>
      </c>
      <c r="F1941" s="17" t="str">
        <f>IFERROR(__xludf.DUMMYFUNCTION("""COMPUTED_VALUE"""),"Calle 35 # 102 - 10  / Condominio Torres de San José Apto. 407 B  / Barrio San José de los campanos")</f>
        <v>Calle 35 # 102 - 10  / Condominio Torres de San José Apto. 407 B  / Barrio San José de los campanos</v>
      </c>
      <c r="G1941" s="15" t="str">
        <f>IFERROR(__xludf.DUMMYFUNCTION("""COMPUTED_VALUE"""),"FANNY CABARCAS ARTEAGA")</f>
        <v>FANNY CABARCAS ARTEAGA</v>
      </c>
      <c r="H1941" s="16">
        <f>IFERROR(__xludf.DUMMYFUNCTION("""COMPUTED_VALUE"""),10519.0)</f>
        <v>10519</v>
      </c>
      <c r="I1941" s="18">
        <f>IFERROR(__xludf.DUMMYFUNCTION("""COMPUTED_VALUE"""),3.0)</f>
        <v>3</v>
      </c>
      <c r="J1941" s="18">
        <f>IFERROR(__xludf.DUMMYFUNCTION("""COMPUTED_VALUE"""),15.0)</f>
        <v>15</v>
      </c>
      <c r="K1941" s="18">
        <f>IFERROR(__xludf.DUMMYFUNCTION("""COMPUTED_VALUE"""),20.0)</f>
        <v>20</v>
      </c>
      <c r="L1941" s="17">
        <f>IFERROR(__xludf.DUMMYFUNCTION("""COMPUTED_VALUE"""),3.014081162E9)</f>
        <v>3014081162</v>
      </c>
      <c r="M1941" s="17" t="str">
        <f>IFERROR(__xludf.DUMMYFUNCTION("""COMPUTED_VALUE"""),"#REF!")</f>
        <v>#REF!</v>
      </c>
      <c r="N1941" s="17"/>
      <c r="O1941" s="19">
        <f>IFERROR(__xludf.DUMMYFUNCTION("""COMPUTED_VALUE"""),11000.0)</f>
        <v>11000</v>
      </c>
      <c r="P1941" s="17" t="b">
        <f>IFERROR(__xludf.DUMMYFUNCTION("""COMPUTED_VALUE"""),FALSE)</f>
        <v>0</v>
      </c>
      <c r="Q1941" s="20" t="str">
        <f>IFERROR(__xludf.DUMMYFUNCTION("""COMPUTED_VALUE"""),"")</f>
        <v/>
      </c>
      <c r="R1941" s="22" t="str">
        <f>IFERROR(__xludf.DUMMYFUNCTION("""COMPUTED_VALUE"""),"")</f>
        <v/>
      </c>
    </row>
    <row r="1942">
      <c r="A1942" s="15">
        <f>IFERROR(__xludf.DUMMYFUNCTION("""COMPUTED_VALUE"""),45057.0)</f>
        <v>45057</v>
      </c>
      <c r="B1942" s="16" t="str">
        <f>IFERROR(__xludf.DUMMYFUNCTION("""COMPUTED_VALUE"""),"David Sanmartin Bello")</f>
        <v>David Sanmartin Bello</v>
      </c>
      <c r="C1942" s="15" t="str">
        <f>IFERROR(__xludf.DUMMYFUNCTION("""COMPUTED_VALUE"""),"CARTAGENA")</f>
        <v>CARTAGENA</v>
      </c>
      <c r="D1942" s="15" t="str">
        <f>IFERROR(__xludf.DUMMYFUNCTION("""COMPUTED_VALUE"""),"BOGOTÁ")</f>
        <v>BOGOTÁ</v>
      </c>
      <c r="E1942" s="15" t="str">
        <f>IFERROR(__xludf.DUMMYFUNCTION("""COMPUTED_VALUE"""),"Evamazzita")</f>
        <v>Evamazzita</v>
      </c>
      <c r="F1942" s="17" t="str">
        <f>IFERROR(__xludf.DUMMYFUNCTION("""COMPUTED_VALUE"""),"CONDOMINIO CARIOCA EDIFICIO IPANEMA  / TORRE 4 APTO 402 / BARRIO VILLA ESTRELLA")</f>
        <v>CONDOMINIO CARIOCA EDIFICIO IPANEMA  / TORRE 4 APTO 402 / BARRIO VILLA ESTRELLA</v>
      </c>
      <c r="G1942" s="15" t="str">
        <f>IFERROR(__xludf.DUMMYFUNCTION("""COMPUTED_VALUE"""),"TAMMY CAROLINA URUETA REBOLLEDO")</f>
        <v>TAMMY CAROLINA URUETA REBOLLEDO</v>
      </c>
      <c r="H1942" s="16">
        <f>IFERROR(__xludf.DUMMYFUNCTION("""COMPUTED_VALUE"""),10517.0)</f>
        <v>10517</v>
      </c>
      <c r="I1942" s="18">
        <f>IFERROR(__xludf.DUMMYFUNCTION("""COMPUTED_VALUE"""),3.0)</f>
        <v>3</v>
      </c>
      <c r="J1942" s="18">
        <f>IFERROR(__xludf.DUMMYFUNCTION("""COMPUTED_VALUE"""),20.0)</f>
        <v>20</v>
      </c>
      <c r="K1942" s="18">
        <f>IFERROR(__xludf.DUMMYFUNCTION("""COMPUTED_VALUE"""),15.0)</f>
        <v>15</v>
      </c>
      <c r="L1942" s="17">
        <f>IFERROR(__xludf.DUMMYFUNCTION("""COMPUTED_VALUE"""),3.042103443E9)</f>
        <v>3042103443</v>
      </c>
      <c r="M1942" s="17" t="str">
        <f>IFERROR(__xludf.DUMMYFUNCTION("""COMPUTED_VALUE"""),"#REF!")</f>
        <v>#REF!</v>
      </c>
      <c r="N1942" s="17"/>
      <c r="O1942" s="17"/>
      <c r="P1942" s="17" t="b">
        <f>IFERROR(__xludf.DUMMYFUNCTION("""COMPUTED_VALUE"""),FALSE)</f>
        <v>0</v>
      </c>
      <c r="Q1942" s="20" t="str">
        <f>IFERROR(__xludf.DUMMYFUNCTION("""COMPUTED_VALUE"""),"")</f>
        <v/>
      </c>
      <c r="R1942" s="22" t="str">
        <f>IFERROR(__xludf.DUMMYFUNCTION("""COMPUTED_VALUE"""),"")</f>
        <v/>
      </c>
    </row>
    <row r="1943">
      <c r="A1943" s="15">
        <f>IFERROR(__xludf.DUMMYFUNCTION("""COMPUTED_VALUE"""),45057.0)</f>
        <v>45057</v>
      </c>
      <c r="B1943" s="16" t="str">
        <f>IFERROR(__xludf.DUMMYFUNCTION("""COMPUTED_VALUE"""),"David Sanmartin Bello")</f>
        <v>David Sanmartin Bello</v>
      </c>
      <c r="C1943" s="15" t="str">
        <f>IFERROR(__xludf.DUMMYFUNCTION("""COMPUTED_VALUE"""),"CARTAGENA")</f>
        <v>CARTAGENA</v>
      </c>
      <c r="D1943" s="15" t="str">
        <f>IFERROR(__xludf.DUMMYFUNCTION("""COMPUTED_VALUE"""),"BOGOTÁ")</f>
        <v>BOGOTÁ</v>
      </c>
      <c r="E1943" s="15" t="str">
        <f>IFERROR(__xludf.DUMMYFUNCTION("""COMPUTED_VALUE"""),"SISU PARTNERS SAS")</f>
        <v>SISU PARTNERS SAS</v>
      </c>
      <c r="F1943" s="17" t="str">
        <f>IFERROR(__xludf.DUMMYFUNCTION("""COMPUTED_VALUE"""),"Carrera 7 no. 38-48 local 3 / Local Mary &amp; George")</f>
        <v>Carrera 7 no. 38-48 local 3 / Local Mary &amp; George</v>
      </c>
      <c r="G1943" s="15" t="str">
        <f>IFERROR(__xludf.DUMMYFUNCTION("""COMPUTED_VALUE"""),"Carolyne Bailey")</f>
        <v>Carolyne Bailey</v>
      </c>
      <c r="H1943" s="16">
        <f>IFERROR(__xludf.DUMMYFUNCTION("""COMPUTED_VALUE"""),10554.0)</f>
        <v>10554</v>
      </c>
      <c r="I1943" s="18">
        <f>IFERROR(__xludf.DUMMYFUNCTION("""COMPUTED_VALUE"""),29.0)</f>
        <v>29</v>
      </c>
      <c r="J1943" s="18">
        <f>IFERROR(__xludf.DUMMYFUNCTION("""COMPUTED_VALUE"""),45.0)</f>
        <v>45</v>
      </c>
      <c r="K1943" s="18">
        <f>IFERROR(__xludf.DUMMYFUNCTION("""COMPUTED_VALUE"""),55.0)</f>
        <v>55</v>
      </c>
      <c r="L1943" s="17">
        <f>IFERROR(__xludf.DUMMYFUNCTION("""COMPUTED_VALUE"""),3.105510381E9)</f>
        <v>3105510381</v>
      </c>
      <c r="M1943" s="17" t="str">
        <f>IFERROR(__xludf.DUMMYFUNCTION("""COMPUTED_VALUE"""),"#REF!")</f>
        <v>#REF!</v>
      </c>
      <c r="N1943" s="17"/>
      <c r="O1943" s="17"/>
      <c r="P1943" s="17" t="b">
        <f>IFERROR(__xludf.DUMMYFUNCTION("""COMPUTED_VALUE"""),FALSE)</f>
        <v>0</v>
      </c>
      <c r="Q1943" s="20" t="str">
        <f>IFERROR(__xludf.DUMMYFUNCTION("""COMPUTED_VALUE"""),"")</f>
        <v/>
      </c>
      <c r="R1943" s="22" t="str">
        <f>IFERROR(__xludf.DUMMYFUNCTION("""COMPUTED_VALUE"""),"")</f>
        <v/>
      </c>
    </row>
    <row r="1944">
      <c r="A1944" s="17" t="str">
        <f>IFERROR(__xludf.DUMMYFUNCTION("""COMPUTED_VALUE"""),"")</f>
        <v/>
      </c>
      <c r="B1944" s="17" t="str">
        <f>IFERROR(__xludf.DUMMYFUNCTION("""COMPUTED_VALUE"""),"")</f>
        <v/>
      </c>
      <c r="C1944" s="17" t="str">
        <f>IFERROR(__xludf.DUMMYFUNCTION("""COMPUTED_VALUE"""),"")</f>
        <v/>
      </c>
      <c r="D1944" s="17" t="str">
        <f>IFERROR(__xludf.DUMMYFUNCTION("""COMPUTED_VALUE"""),"")</f>
        <v/>
      </c>
      <c r="E1944" s="17" t="str">
        <f>IFERROR(__xludf.DUMMYFUNCTION("""COMPUTED_VALUE"""),"")</f>
        <v/>
      </c>
      <c r="F1944" s="17" t="str">
        <f>IFERROR(__xludf.DUMMYFUNCTION("""COMPUTED_VALUE"""),"")</f>
        <v/>
      </c>
      <c r="G1944" s="17" t="str">
        <f>IFERROR(__xludf.DUMMYFUNCTION("""COMPUTED_VALUE"""),"")</f>
        <v/>
      </c>
      <c r="H1944" s="17" t="str">
        <f>IFERROR(__xludf.DUMMYFUNCTION("""COMPUTED_VALUE"""),"")</f>
        <v/>
      </c>
      <c r="I1944" s="17" t="str">
        <f>IFERROR(__xludf.DUMMYFUNCTION("""COMPUTED_VALUE"""),"")</f>
        <v/>
      </c>
      <c r="J1944" s="17" t="str">
        <f>IFERROR(__xludf.DUMMYFUNCTION("""COMPUTED_VALUE"""),"")</f>
        <v/>
      </c>
      <c r="K1944" s="17" t="str">
        <f>IFERROR(__xludf.DUMMYFUNCTION("""COMPUTED_VALUE"""),"")</f>
        <v/>
      </c>
      <c r="L1944" s="17" t="str">
        <f>IFERROR(__xludf.DUMMYFUNCTION("""COMPUTED_VALUE"""),"")</f>
        <v/>
      </c>
      <c r="M1944" s="17" t="str">
        <f>IFERROR(__xludf.DUMMYFUNCTION("""COMPUTED_VALUE"""),"")</f>
        <v/>
      </c>
      <c r="N1944" s="17" t="str">
        <f>IFERROR(__xludf.DUMMYFUNCTION("""COMPUTED_VALUE"""),"")</f>
        <v/>
      </c>
      <c r="O1944" s="17" t="str">
        <f>IFERROR(__xludf.DUMMYFUNCTION("""COMPUTED_VALUE"""),"")</f>
        <v/>
      </c>
      <c r="P1944" s="17" t="str">
        <f>IFERROR(__xludf.DUMMYFUNCTION("""COMPUTED_VALUE"""),"")</f>
        <v/>
      </c>
      <c r="Q1944" s="17" t="str">
        <f>IFERROR(__xludf.DUMMYFUNCTION("""COMPUTED_VALUE"""),"")</f>
        <v/>
      </c>
      <c r="R1944" s="17" t="str">
        <f>IFERROR(__xludf.DUMMYFUNCTION("""COMPUTED_VALUE"""),"")</f>
        <v/>
      </c>
    </row>
    <row r="1945">
      <c r="A1945" s="15">
        <f>IFERROR(__xludf.DUMMYFUNCTION("""COMPUTED_VALUE"""),45057.0)</f>
        <v>45057</v>
      </c>
      <c r="B1945" s="16" t="str">
        <f>IFERROR(__xludf.DUMMYFUNCTION("""COMPUTED_VALUE"""),"Envia")</f>
        <v>Envia</v>
      </c>
      <c r="C1945" s="15" t="str">
        <f>IFERROR(__xludf.DUMMYFUNCTION("""COMPUTED_VALUE"""),"ARMENIA")</f>
        <v>ARMENIA</v>
      </c>
      <c r="D1945" s="15" t="str">
        <f>IFERROR(__xludf.DUMMYFUNCTION("""COMPUTED_VALUE"""),"MEDELLÍN")</f>
        <v>MEDELLÍN</v>
      </c>
      <c r="E1945" s="15" t="str">
        <f>IFERROR(__xludf.DUMMYFUNCTION("""COMPUTED_VALUE"""),"Todo Bufala")</f>
        <v>Todo Bufala</v>
      </c>
      <c r="F1945" s="17" t="str">
        <f>IFERROR(__xludf.DUMMYFUNCTION("""COMPUTED_VALUE"""),"Cr 5 26n-02 / Apto 304")</f>
        <v>Cr 5 26n-02 / Apto 304</v>
      </c>
      <c r="G1945" s="15" t="str">
        <f>IFERROR(__xludf.DUMMYFUNCTION("""COMPUTED_VALUE"""),"Yenny Franco")</f>
        <v>Yenny Franco</v>
      </c>
      <c r="H1945" s="16">
        <f>IFERROR(__xludf.DUMMYFUNCTION("""COMPUTED_VALUE"""),10361.0)</f>
        <v>10361</v>
      </c>
      <c r="I1945" s="18">
        <f>IFERROR(__xludf.DUMMYFUNCTION("""COMPUTED_VALUE"""),40.0)</f>
        <v>40</v>
      </c>
      <c r="J1945" s="18">
        <f>IFERROR(__xludf.DUMMYFUNCTION("""COMPUTED_VALUE"""),30.0)</f>
        <v>30</v>
      </c>
      <c r="K1945" s="18">
        <f>IFERROR(__xludf.DUMMYFUNCTION("""COMPUTED_VALUE"""),20.0)</f>
        <v>20</v>
      </c>
      <c r="L1945" s="17">
        <f>IFERROR(__xludf.DUMMYFUNCTION("""COMPUTED_VALUE"""),3.232062261E9)</f>
        <v>3232062261</v>
      </c>
      <c r="M1945" s="17" t="str">
        <f>IFERROR(__xludf.DUMMYFUNCTION("""COMPUTED_VALUE"""),"#REF!")</f>
        <v>#REF!</v>
      </c>
      <c r="N1945" s="17"/>
      <c r="O1945" s="17"/>
      <c r="P1945" s="17" t="b">
        <f>IFERROR(__xludf.DUMMYFUNCTION("""COMPUTED_VALUE"""),FALSE)</f>
        <v>0</v>
      </c>
      <c r="Q1945" s="20" t="str">
        <f>IFERROR(__xludf.DUMMYFUNCTION("""COMPUTED_VALUE"""),"")</f>
        <v/>
      </c>
      <c r="R1945" s="22" t="str">
        <f>IFERROR(__xludf.DUMMYFUNCTION("""COMPUTED_VALUE"""),"")</f>
        <v/>
      </c>
    </row>
    <row r="1946">
      <c r="A1946" s="15">
        <f>IFERROR(__xludf.DUMMYFUNCTION("""COMPUTED_VALUE"""),45057.0)</f>
        <v>45057</v>
      </c>
      <c r="B1946" s="16" t="str">
        <f>IFERROR(__xludf.DUMMYFUNCTION("""COMPUTED_VALUE"""),"Envia")</f>
        <v>Envia</v>
      </c>
      <c r="C1946" s="15" t="str">
        <f>IFERROR(__xludf.DUMMYFUNCTION("""COMPUTED_VALUE"""),"ARMENIA")</f>
        <v>ARMENIA</v>
      </c>
      <c r="D1946" s="15" t="str">
        <f>IFERROR(__xludf.DUMMYFUNCTION("""COMPUTED_VALUE"""),"MEDELLÍN")</f>
        <v>MEDELLÍN</v>
      </c>
      <c r="E1946" s="15" t="str">
        <f>IFERROR(__xludf.DUMMYFUNCTION("""COMPUTED_VALUE"""),"TOLEDALES S.A.S")</f>
        <v>TOLEDALES S.A.S</v>
      </c>
      <c r="F1946" s="17" t="str">
        <f>IFERROR(__xludf.DUMMYFUNCTION("""COMPUTED_VALUE"""),"Cra 14 # 46 norte -41 mall zona de oro")</f>
        <v>Cra 14 # 46 norte -41 mall zona de oro</v>
      </c>
      <c r="G1946" s="15" t="str">
        <f>IFERROR(__xludf.DUMMYFUNCTION("""COMPUTED_VALUE"""),"paola andrea gomez")</f>
        <v>paola andrea gomez</v>
      </c>
      <c r="H1946" s="16">
        <f>IFERROR(__xludf.DUMMYFUNCTION("""COMPUTED_VALUE"""),10545.0)</f>
        <v>10545</v>
      </c>
      <c r="I1946" s="18">
        <f>IFERROR(__xludf.DUMMYFUNCTION("""COMPUTED_VALUE"""),7.0)</f>
        <v>7</v>
      </c>
      <c r="J1946" s="18">
        <f>IFERROR(__xludf.DUMMYFUNCTION("""COMPUTED_VALUE"""),19.0)</f>
        <v>19</v>
      </c>
      <c r="K1946" s="18">
        <f>IFERROR(__xludf.DUMMYFUNCTION("""COMPUTED_VALUE"""),30.0)</f>
        <v>30</v>
      </c>
      <c r="L1946" s="17">
        <f>IFERROR(__xludf.DUMMYFUNCTION("""COMPUTED_VALUE"""),3.003222972E9)</f>
        <v>3003222972</v>
      </c>
      <c r="M1946" s="17" t="str">
        <f>IFERROR(__xludf.DUMMYFUNCTION("""COMPUTED_VALUE"""),"#REF!")</f>
        <v>#REF!</v>
      </c>
      <c r="N1946" s="17"/>
      <c r="O1946" s="17"/>
      <c r="P1946" s="17" t="b">
        <f>IFERROR(__xludf.DUMMYFUNCTION("""COMPUTED_VALUE"""),FALSE)</f>
        <v>0</v>
      </c>
      <c r="Q1946" s="20" t="str">
        <f>IFERROR(__xludf.DUMMYFUNCTION("""COMPUTED_VALUE"""),"")</f>
        <v/>
      </c>
      <c r="R1946" s="22" t="str">
        <f>IFERROR(__xludf.DUMMYFUNCTION("""COMPUTED_VALUE"""),"")</f>
        <v/>
      </c>
    </row>
    <row r="1947">
      <c r="A1947" s="15">
        <f>IFERROR(__xludf.DUMMYFUNCTION("""COMPUTED_VALUE"""),45057.0)</f>
        <v>45057</v>
      </c>
      <c r="B1947" s="16" t="str">
        <f>IFERROR(__xludf.DUMMYFUNCTION("""COMPUTED_VALUE"""),"Envia")</f>
        <v>Envia</v>
      </c>
      <c r="C1947" s="15" t="str">
        <f>IFERROR(__xludf.DUMMYFUNCTION("""COMPUTED_VALUE"""),"BARRANQUILLA")</f>
        <v>BARRANQUILLA</v>
      </c>
      <c r="D1947" s="15" t="str">
        <f>IFERROR(__xludf.DUMMYFUNCTION("""COMPUTED_VALUE"""),"MANIZALES")</f>
        <v>MANIZALES</v>
      </c>
      <c r="E1947" s="15" t="str">
        <f>IFERROR(__xludf.DUMMYFUNCTION("""COMPUTED_VALUE"""),"Congelados Típicos")</f>
        <v>Congelados Típicos</v>
      </c>
      <c r="F1947" s="17" t="str">
        <f>IFERROR(__xludf.DUMMYFUNCTION("""COMPUTED_VALUE"""),"Calle 30 # 5A - 121 / centro de acopio dando lora  / centro de acopio dando lora")</f>
        <v>Calle 30 # 5A - 121 / centro de acopio dando lora  / centro de acopio dando lora</v>
      </c>
      <c r="G1947" s="15" t="str">
        <f>IFERROR(__xludf.DUMMYFUNCTION("""COMPUTED_VALUE"""),"DANIEL ROBLEDO Coppiano")</f>
        <v>DANIEL ROBLEDO Coppiano</v>
      </c>
      <c r="H1947" s="16">
        <f>IFERROR(__xludf.DUMMYFUNCTION("""COMPUTED_VALUE"""),10513.0)</f>
        <v>10513</v>
      </c>
      <c r="I1947" s="18" t="str">
        <f>IFERROR(__xludf.DUMMYFUNCTION("""COMPUTED_VALUE"""),"52.5")</f>
        <v>52.5</v>
      </c>
      <c r="J1947" s="18">
        <f>IFERROR(__xludf.DUMMYFUNCTION("""COMPUTED_VALUE"""),55.0)</f>
        <v>55</v>
      </c>
      <c r="K1947" s="18">
        <f>IFERROR(__xludf.DUMMYFUNCTION("""COMPUTED_VALUE"""),44.0)</f>
        <v>44</v>
      </c>
      <c r="L1947" s="17">
        <f>IFERROR(__xludf.DUMMYFUNCTION("""COMPUTED_VALUE"""),3.113744276E9)</f>
        <v>3113744276</v>
      </c>
      <c r="M1947" s="17" t="str">
        <f>IFERROR(__xludf.DUMMYFUNCTION("""COMPUTED_VALUE"""),"#REF!")</f>
        <v>#REF!</v>
      </c>
      <c r="N1947" s="17"/>
      <c r="O1947" s="17"/>
      <c r="P1947" s="17" t="b">
        <f>IFERROR(__xludf.DUMMYFUNCTION("""COMPUTED_VALUE"""),FALSE)</f>
        <v>0</v>
      </c>
      <c r="Q1947" s="20" t="str">
        <f>IFERROR(__xludf.DUMMYFUNCTION("""COMPUTED_VALUE"""),"")</f>
        <v/>
      </c>
      <c r="R1947" s="22" t="str">
        <f>IFERROR(__xludf.DUMMYFUNCTION("""COMPUTED_VALUE"""),"")</f>
        <v/>
      </c>
    </row>
    <row r="1948">
      <c r="A1948" s="15">
        <f>IFERROR(__xludf.DUMMYFUNCTION("""COMPUTED_VALUE"""),45057.0)</f>
        <v>45057</v>
      </c>
      <c r="B1948" s="16" t="str">
        <f>IFERROR(__xludf.DUMMYFUNCTION("""COMPUTED_VALUE"""),"Envia")</f>
        <v>Envia</v>
      </c>
      <c r="C1948" s="15" t="str">
        <f>IFERROR(__xludf.DUMMYFUNCTION("""COMPUTED_VALUE"""),"BOGOTÁ")</f>
        <v>BOGOTÁ</v>
      </c>
      <c r="D1948" s="15" t="str">
        <f>IFERROR(__xludf.DUMMYFUNCTION("""COMPUTED_VALUE"""),"MEDELLÍN")</f>
        <v>MEDELLÍN</v>
      </c>
      <c r="E1948" s="15" t="str">
        <f>IFERROR(__xludf.DUMMYFUNCTION("""COMPUTED_VALUE"""),"Cosmo Cookies")</f>
        <v>Cosmo Cookies</v>
      </c>
      <c r="F1948" s="17" t="str">
        <f>IFERROR(__xludf.DUMMYFUNCTION("""COMPUTED_VALUE"""),"Barrio El Polo. CRA 24 # 86A 32 / Barrios el Polo al lado de la farmacia.  / 1er piso. Puerta amarilla")</f>
        <v>Barrio El Polo. CRA 24 # 86A 32 / Barrios el Polo al lado de la farmacia.  / 1er piso. Puerta amarilla</v>
      </c>
      <c r="G1948" s="15" t="str">
        <f>IFERROR(__xludf.DUMMYFUNCTION("""COMPUTED_VALUE"""),"Bibiana Granados")</f>
        <v>Bibiana Granados</v>
      </c>
      <c r="H1948" s="16">
        <f>IFERROR(__xludf.DUMMYFUNCTION("""COMPUTED_VALUE"""),10558.0)</f>
        <v>10558</v>
      </c>
      <c r="I1948" s="18">
        <f>IFERROR(__xludf.DUMMYFUNCTION("""COMPUTED_VALUE"""),55.0)</f>
        <v>55</v>
      </c>
      <c r="J1948" s="18">
        <f>IFERROR(__xludf.DUMMYFUNCTION("""COMPUTED_VALUE"""),45.0)</f>
        <v>45</v>
      </c>
      <c r="K1948" s="18" t="str">
        <f>IFERROR(__xludf.DUMMYFUNCTION("""COMPUTED_VALUE"""),"52.5")</f>
        <v>52.5</v>
      </c>
      <c r="L1948" s="17">
        <f>IFERROR(__xludf.DUMMYFUNCTION("""COMPUTED_VALUE"""),3.208371486E9)</f>
        <v>3208371486</v>
      </c>
      <c r="M1948" s="17" t="str">
        <f>IFERROR(__xludf.DUMMYFUNCTION("""COMPUTED_VALUE"""),"#REF!")</f>
        <v>#REF!</v>
      </c>
      <c r="N1948" s="17"/>
      <c r="O1948" s="17"/>
      <c r="P1948" s="17" t="b">
        <f>IFERROR(__xludf.DUMMYFUNCTION("""COMPUTED_VALUE"""),FALSE)</f>
        <v>0</v>
      </c>
      <c r="Q1948" s="20" t="str">
        <f>IFERROR(__xludf.DUMMYFUNCTION("""COMPUTED_VALUE"""),"")</f>
        <v/>
      </c>
      <c r="R1948" s="22" t="str">
        <f>IFERROR(__xludf.DUMMYFUNCTION("""COMPUTED_VALUE"""),"")</f>
        <v/>
      </c>
    </row>
    <row r="1949">
      <c r="A1949" s="15">
        <f>IFERROR(__xludf.DUMMYFUNCTION("""COMPUTED_VALUE"""),45057.0)</f>
        <v>45057</v>
      </c>
      <c r="B1949" s="16" t="str">
        <f>IFERROR(__xludf.DUMMYFUNCTION("""COMPUTED_VALUE"""),"Envia")</f>
        <v>Envia</v>
      </c>
      <c r="C1949" s="15" t="str">
        <f>IFERROR(__xludf.DUMMYFUNCTION("""COMPUTED_VALUE"""),"BUCARAMANGA")</f>
        <v>BUCARAMANGA</v>
      </c>
      <c r="D1949" s="15" t="str">
        <f>IFERROR(__xludf.DUMMYFUNCTION("""COMPUTED_VALUE"""),"BOGOTÁ")</f>
        <v>BOGOTÁ</v>
      </c>
      <c r="E1949" s="15" t="str">
        <f>IFERROR(__xludf.DUMMYFUNCTION("""COMPUTED_VALUE"""),"50 Gr Alfajores")</f>
        <v>50 Gr Alfajores</v>
      </c>
      <c r="F1949" s="17" t="str">
        <f>IFERROR(__xludf.DUMMYFUNCTION("""COMPUTED_VALUE"""),"Calle 44 # 36-30 / Portal de la sierra/apto 801 / Barrio cabecera")</f>
        <v>Calle 44 # 36-30 / Portal de la sierra/apto 801 / Barrio cabecera</v>
      </c>
      <c r="G1949" s="15" t="str">
        <f>IFERROR(__xludf.DUMMYFUNCTION("""COMPUTED_VALUE"""),"Alberto Ordóñez Perez")</f>
        <v>Alberto Ordóñez Perez</v>
      </c>
      <c r="H1949" s="16">
        <f>IFERROR(__xludf.DUMMYFUNCTION("""COMPUTED_VALUE"""),10551.0)</f>
        <v>10551</v>
      </c>
      <c r="I1949" s="18">
        <f>IFERROR(__xludf.DUMMYFUNCTION("""COMPUTED_VALUE"""),5.0)</f>
        <v>5</v>
      </c>
      <c r="J1949" s="18">
        <f>IFERROR(__xludf.DUMMYFUNCTION("""COMPUTED_VALUE"""),19.0)</f>
        <v>19</v>
      </c>
      <c r="K1949" s="18">
        <f>IFERROR(__xludf.DUMMYFUNCTION("""COMPUTED_VALUE"""),19.0)</f>
        <v>19</v>
      </c>
      <c r="L1949" s="17">
        <f>IFERROR(__xludf.DUMMYFUNCTION("""COMPUTED_VALUE"""),3.175170387E9)</f>
        <v>3175170387</v>
      </c>
      <c r="M1949" s="17" t="str">
        <f>IFERROR(__xludf.DUMMYFUNCTION("""COMPUTED_VALUE"""),"#REF!")</f>
        <v>#REF!</v>
      </c>
      <c r="N1949" s="17"/>
      <c r="O1949" s="17"/>
      <c r="P1949" s="17" t="b">
        <f>IFERROR(__xludf.DUMMYFUNCTION("""COMPUTED_VALUE"""),FALSE)</f>
        <v>0</v>
      </c>
      <c r="Q1949" s="20" t="str">
        <f>IFERROR(__xludf.DUMMYFUNCTION("""COMPUTED_VALUE"""),"")</f>
        <v/>
      </c>
      <c r="R1949" s="22" t="str">
        <f>IFERROR(__xludf.DUMMYFUNCTION("""COMPUTED_VALUE"""),"")</f>
        <v/>
      </c>
    </row>
    <row r="1950">
      <c r="A1950" s="15">
        <f>IFERROR(__xludf.DUMMYFUNCTION("""COMPUTED_VALUE"""),45057.0)</f>
        <v>45057</v>
      </c>
      <c r="B1950" s="16" t="str">
        <f>IFERROR(__xludf.DUMMYFUNCTION("""COMPUTED_VALUE"""),"Envia")</f>
        <v>Envia</v>
      </c>
      <c r="C1950" s="15" t="str">
        <f>IFERROR(__xludf.DUMMYFUNCTION("""COMPUTED_VALUE"""),"BUCARAMANGA")</f>
        <v>BUCARAMANGA</v>
      </c>
      <c r="D1950" s="15" t="str">
        <f>IFERROR(__xludf.DUMMYFUNCTION("""COMPUTED_VALUE"""),"BOGOTÁ")</f>
        <v>BOGOTÁ</v>
      </c>
      <c r="E1950" s="15" t="str">
        <f>IFERROR(__xludf.DUMMYFUNCTION("""COMPUTED_VALUE"""),"Evamazzita")</f>
        <v>Evamazzita</v>
      </c>
      <c r="F1950" s="17" t="str">
        <f>IFERROR(__xludf.DUMMYFUNCTION("""COMPUTED_VALUE"""),"CARRERA 20 # 7 - 11 / N/A / BARRIO COMUNEROS")</f>
        <v>CARRERA 20 # 7 - 11 / N/A / BARRIO COMUNEROS</v>
      </c>
      <c r="G1950" s="15" t="str">
        <f>IFERROR(__xludf.DUMMYFUNCTION("""COMPUTED_VALUE"""),"MARIO JOSÉ CORTÉS PARADA")</f>
        <v>MARIO JOSÉ CORTÉS PARADA</v>
      </c>
      <c r="H1950" s="16">
        <f>IFERROR(__xludf.DUMMYFUNCTION("""COMPUTED_VALUE"""),10570.0)</f>
        <v>10570</v>
      </c>
      <c r="I1950" s="18">
        <f>IFERROR(__xludf.DUMMYFUNCTION("""COMPUTED_VALUE"""),34.0)</f>
        <v>34</v>
      </c>
      <c r="J1950" s="18">
        <f>IFERROR(__xludf.DUMMYFUNCTION("""COMPUTED_VALUE"""),37.0)</f>
        <v>37</v>
      </c>
      <c r="K1950" s="18">
        <f>IFERROR(__xludf.DUMMYFUNCTION("""COMPUTED_VALUE"""),23.0)</f>
        <v>23</v>
      </c>
      <c r="L1950" s="17">
        <f>IFERROR(__xludf.DUMMYFUNCTION("""COMPUTED_VALUE"""),3.123394474E9)</f>
        <v>3123394474</v>
      </c>
      <c r="M1950" s="17" t="str">
        <f>IFERROR(__xludf.DUMMYFUNCTION("""COMPUTED_VALUE"""),"#REF!")</f>
        <v>#REF!</v>
      </c>
      <c r="N1950" s="17"/>
      <c r="O1950" s="17"/>
      <c r="P1950" s="17" t="b">
        <f>IFERROR(__xludf.DUMMYFUNCTION("""COMPUTED_VALUE"""),FALSE)</f>
        <v>0</v>
      </c>
      <c r="Q1950" s="20" t="str">
        <f>IFERROR(__xludf.DUMMYFUNCTION("""COMPUTED_VALUE"""),"")</f>
        <v/>
      </c>
      <c r="R1950" s="22" t="str">
        <f>IFERROR(__xludf.DUMMYFUNCTION("""COMPUTED_VALUE"""),"")</f>
        <v/>
      </c>
    </row>
    <row r="1951">
      <c r="A1951" s="15">
        <f>IFERROR(__xludf.DUMMYFUNCTION("""COMPUTED_VALUE"""),45057.0)</f>
        <v>45057</v>
      </c>
      <c r="B1951" s="16" t="str">
        <f>IFERROR(__xludf.DUMMYFUNCTION("""COMPUTED_VALUE"""),"Envia")</f>
        <v>Envia</v>
      </c>
      <c r="C1951" s="15" t="str">
        <f>IFERROR(__xludf.DUMMYFUNCTION("""COMPUTED_VALUE"""),"CALI")</f>
        <v>CALI</v>
      </c>
      <c r="D1951" s="15" t="str">
        <f>IFERROR(__xludf.DUMMYFUNCTION("""COMPUTED_VALUE"""),"BOGOTÁ")</f>
        <v>BOGOTÁ</v>
      </c>
      <c r="E1951" s="15" t="str">
        <f>IFERROR(__xludf.DUMMYFUNCTION("""COMPUTED_VALUE"""),"Chocao")</f>
        <v>Chocao</v>
      </c>
      <c r="F1951" s="17" t="str">
        <f>IFERROR(__xludf.DUMMYFUNCTION("""COMPUTED_VALUE"""),"Calle 51 norte # 3 in 08 B / Heladeria pop lovers  / La flora")</f>
        <v>Calle 51 norte # 3 in 08 B / Heladeria pop lovers  / La flora</v>
      </c>
      <c r="G1951" s="15" t="str">
        <f>IFERROR(__xludf.DUMMYFUNCTION("""COMPUTED_VALUE"""),"Edgar mejia")</f>
        <v>Edgar mejia</v>
      </c>
      <c r="H1951" s="16">
        <f>IFERROR(__xludf.DUMMYFUNCTION("""COMPUTED_VALUE"""),10572.0)</f>
        <v>10572</v>
      </c>
      <c r="I1951" s="18">
        <f>IFERROR(__xludf.DUMMYFUNCTION("""COMPUTED_VALUE"""),34.0)</f>
        <v>34</v>
      </c>
      <c r="J1951" s="18">
        <f>IFERROR(__xludf.DUMMYFUNCTION("""COMPUTED_VALUE"""),35.0)</f>
        <v>35</v>
      </c>
      <c r="K1951" s="18">
        <f>IFERROR(__xludf.DUMMYFUNCTION("""COMPUTED_VALUE"""),30.0)</f>
        <v>30</v>
      </c>
      <c r="L1951" s="17">
        <f>IFERROR(__xludf.DUMMYFUNCTION("""COMPUTED_VALUE"""),3.192525211E9)</f>
        <v>3192525211</v>
      </c>
      <c r="M1951" s="17" t="str">
        <f>IFERROR(__xludf.DUMMYFUNCTION("""COMPUTED_VALUE"""),"#REF!")</f>
        <v>#REF!</v>
      </c>
      <c r="N1951" s="17"/>
      <c r="O1951" s="17"/>
      <c r="P1951" s="17" t="b">
        <f>IFERROR(__xludf.DUMMYFUNCTION("""COMPUTED_VALUE"""),FALSE)</f>
        <v>0</v>
      </c>
      <c r="Q1951" s="20" t="str">
        <f>IFERROR(__xludf.DUMMYFUNCTION("""COMPUTED_VALUE"""),"")</f>
        <v/>
      </c>
      <c r="R1951" s="22" t="str">
        <f>IFERROR(__xludf.DUMMYFUNCTION("""COMPUTED_VALUE"""),"")</f>
        <v/>
      </c>
    </row>
    <row r="1952">
      <c r="A1952" s="15">
        <f>IFERROR(__xludf.DUMMYFUNCTION("""COMPUTED_VALUE"""),45057.0)</f>
        <v>45057</v>
      </c>
      <c r="B1952" s="16" t="str">
        <f>IFERROR(__xludf.DUMMYFUNCTION("""COMPUTED_VALUE"""),"Envia")</f>
        <v>Envia</v>
      </c>
      <c r="C1952" s="15" t="str">
        <f>IFERROR(__xludf.DUMMYFUNCTION("""COMPUTED_VALUE"""),"CARTAGENA")</f>
        <v>CARTAGENA</v>
      </c>
      <c r="D1952" s="15" t="str">
        <f>IFERROR(__xludf.DUMMYFUNCTION("""COMPUTED_VALUE"""),"BOGOTÁ")</f>
        <v>BOGOTÁ</v>
      </c>
      <c r="E1952" s="15" t="str">
        <f>IFERROR(__xludf.DUMMYFUNCTION("""COMPUTED_VALUE"""),"Ins. Alimento Vital")</f>
        <v>Ins. Alimento Vital</v>
      </c>
      <c r="F1952" s="17" t="str">
        <f>IFERROR(__xludf.DUMMYFUNCTION("""COMPUTED_VALUE"""),"BARRIO EL RECREO EDIFICIO FIORENTTI  / TORRE 1, APTO 106 / BARRIO EL RECREO")</f>
        <v>BARRIO EL RECREO EDIFICIO FIORENTTI  / TORRE 1, APTO 106 / BARRIO EL RECREO</v>
      </c>
      <c r="G1952" s="15" t="str">
        <f>IFERROR(__xludf.DUMMYFUNCTION("""COMPUTED_VALUE"""),"YURI PAOLA ECHEVERRY MONTOYA")</f>
        <v>YURI PAOLA ECHEVERRY MONTOYA</v>
      </c>
      <c r="H1952" s="16">
        <f>IFERROR(__xludf.DUMMYFUNCTION("""COMPUTED_VALUE"""),10505.0)</f>
        <v>10505</v>
      </c>
      <c r="I1952" s="18">
        <f>IFERROR(__xludf.DUMMYFUNCTION("""COMPUTED_VALUE"""),1.0)</f>
        <v>1</v>
      </c>
      <c r="J1952" s="18">
        <f>IFERROR(__xludf.DUMMYFUNCTION("""COMPUTED_VALUE"""),1.0)</f>
        <v>1</v>
      </c>
      <c r="K1952" s="18">
        <f>IFERROR(__xludf.DUMMYFUNCTION("""COMPUTED_VALUE"""),1.0)</f>
        <v>1</v>
      </c>
      <c r="L1952" s="17">
        <f>IFERROR(__xludf.DUMMYFUNCTION("""COMPUTED_VALUE"""),3.02384128E9)</f>
        <v>3023841280</v>
      </c>
      <c r="M1952" s="17" t="str">
        <f>IFERROR(__xludf.DUMMYFUNCTION("""COMPUTED_VALUE"""),"#REF!")</f>
        <v>#REF!</v>
      </c>
      <c r="N1952" s="17"/>
      <c r="O1952" s="17"/>
      <c r="P1952" s="17" t="b">
        <f>IFERROR(__xludf.DUMMYFUNCTION("""COMPUTED_VALUE"""),FALSE)</f>
        <v>0</v>
      </c>
      <c r="Q1952" s="20" t="str">
        <f>IFERROR(__xludf.DUMMYFUNCTION("""COMPUTED_VALUE"""),"")</f>
        <v/>
      </c>
      <c r="R1952" s="22" t="str">
        <f>IFERROR(__xludf.DUMMYFUNCTION("""COMPUTED_VALUE"""),"")</f>
        <v/>
      </c>
    </row>
    <row r="1953">
      <c r="A1953" s="15">
        <f>IFERROR(__xludf.DUMMYFUNCTION("""COMPUTED_VALUE"""),45057.0)</f>
        <v>45057</v>
      </c>
      <c r="B1953" s="16" t="str">
        <f>IFERROR(__xludf.DUMMYFUNCTION("""COMPUTED_VALUE"""),"Envia")</f>
        <v>Envia</v>
      </c>
      <c r="C1953" s="15" t="str">
        <f>IFERROR(__xludf.DUMMYFUNCTION("""COMPUTED_VALUE"""),"CARTAGENA")</f>
        <v>CARTAGENA</v>
      </c>
      <c r="D1953" s="15" t="str">
        <f>IFERROR(__xludf.DUMMYFUNCTION("""COMPUTED_VALUE"""),"BOGOTÁ")</f>
        <v>BOGOTÁ</v>
      </c>
      <c r="E1953" s="15" t="str">
        <f>IFERROR(__xludf.DUMMYFUNCTION("""COMPUTED_VALUE"""),"Karem foods")</f>
        <v>Karem foods</v>
      </c>
      <c r="F1953" s="17" t="str">
        <f>IFERROR(__xludf.DUMMYFUNCTION("""COMPUTED_VALUE"""),"Calle 6 # 4 -20 / local 1 - 10 / Cc la estación")</f>
        <v>Calle 6 # 4 -20 / local 1 - 10 / Cc la estación</v>
      </c>
      <c r="G1953" s="15" t="str">
        <f>IFERROR(__xludf.DUMMYFUNCTION("""COMPUTED_VALUE"""),"Cocofit Mercado saludable")</f>
        <v>Cocofit Mercado saludable</v>
      </c>
      <c r="H1953" s="16">
        <f>IFERROR(__xludf.DUMMYFUNCTION("""COMPUTED_VALUE"""),10535.0)</f>
        <v>10535</v>
      </c>
      <c r="I1953" s="18">
        <f>IFERROR(__xludf.DUMMYFUNCTION("""COMPUTED_VALUE"""),15.0)</f>
        <v>15</v>
      </c>
      <c r="J1953" s="18">
        <f>IFERROR(__xludf.DUMMYFUNCTION("""COMPUTED_VALUE"""),25.0)</f>
        <v>25</v>
      </c>
      <c r="K1953" s="18">
        <f>IFERROR(__xludf.DUMMYFUNCTION("""COMPUTED_VALUE"""),35.0)</f>
        <v>35</v>
      </c>
      <c r="L1953" s="17">
        <f>IFERROR(__xludf.DUMMYFUNCTION("""COMPUTED_VALUE"""),3.117033423E9)</f>
        <v>3117033423</v>
      </c>
      <c r="M1953" s="17" t="str">
        <f>IFERROR(__xludf.DUMMYFUNCTION("""COMPUTED_VALUE"""),"#REF!")</f>
        <v>#REF!</v>
      </c>
      <c r="N1953" s="17"/>
      <c r="O1953" s="17"/>
      <c r="P1953" s="17" t="b">
        <f>IFERROR(__xludf.DUMMYFUNCTION("""COMPUTED_VALUE"""),FALSE)</f>
        <v>0</v>
      </c>
      <c r="Q1953" s="20" t="str">
        <f>IFERROR(__xludf.DUMMYFUNCTION("""COMPUTED_VALUE"""),"")</f>
        <v/>
      </c>
      <c r="R1953" s="22" t="str">
        <f>IFERROR(__xludf.DUMMYFUNCTION("""COMPUTED_VALUE"""),"")</f>
        <v/>
      </c>
    </row>
    <row r="1954">
      <c r="A1954" s="15">
        <f>IFERROR(__xludf.DUMMYFUNCTION("""COMPUTED_VALUE"""),45057.0)</f>
        <v>45057</v>
      </c>
      <c r="B1954" s="16" t="str">
        <f>IFERROR(__xludf.DUMMYFUNCTION("""COMPUTED_VALUE"""),"Envia")</f>
        <v>Envia</v>
      </c>
      <c r="C1954" s="15" t="str">
        <f>IFERROR(__xludf.DUMMYFUNCTION("""COMPUTED_VALUE"""),"CARTAGENA")</f>
        <v>CARTAGENA</v>
      </c>
      <c r="D1954" s="15" t="str">
        <f>IFERROR(__xludf.DUMMYFUNCTION("""COMPUTED_VALUE"""),"MEDELLÍN")</f>
        <v>MEDELLÍN</v>
      </c>
      <c r="E1954" s="15" t="str">
        <f>IFERROR(__xludf.DUMMYFUNCTION("""COMPUTED_VALUE"""),"Rambla")</f>
        <v>Rambla</v>
      </c>
      <c r="F1954" s="17" t="str">
        <f>IFERROR(__xludf.DUMMYFUNCTION("""COMPUTED_VALUE"""),"CALLE 6 #20 CC LA ESTANCIA LC 1 10 BRR  CASTILLO GRANDE  / NA / NA")</f>
        <v>CALLE 6 #20 CC LA ESTANCIA LC 1 10 BRR  CASTILLO GRANDE  / NA / NA</v>
      </c>
      <c r="G1954" s="15" t="str">
        <f>IFERROR(__xludf.DUMMYFUNCTION("""COMPUTED_VALUE"""),"Cocofit Mercado Saludable S.A.S")</f>
        <v>Cocofit Mercado Saludable S.A.S</v>
      </c>
      <c r="H1954" s="16">
        <f>IFERROR(__xludf.DUMMYFUNCTION("""COMPUTED_VALUE"""),10523.0)</f>
        <v>10523</v>
      </c>
      <c r="I1954" s="18">
        <f>IFERROR(__xludf.DUMMYFUNCTION("""COMPUTED_VALUE"""),43.0)</f>
        <v>43</v>
      </c>
      <c r="J1954" s="18">
        <f>IFERROR(__xludf.DUMMYFUNCTION("""COMPUTED_VALUE"""),45.0)</f>
        <v>45</v>
      </c>
      <c r="K1954" s="18">
        <f>IFERROR(__xludf.DUMMYFUNCTION("""COMPUTED_VALUE"""),46.0)</f>
        <v>46</v>
      </c>
      <c r="L1954" s="17">
        <f>IFERROR(__xludf.DUMMYFUNCTION("""COMPUTED_VALUE"""),3.135781119E9)</f>
        <v>3135781119</v>
      </c>
      <c r="M1954" s="17" t="str">
        <f>IFERROR(__xludf.DUMMYFUNCTION("""COMPUTED_VALUE"""),"#REF!")</f>
        <v>#REF!</v>
      </c>
      <c r="N1954" s="17"/>
      <c r="O1954" s="17"/>
      <c r="P1954" s="17" t="b">
        <f>IFERROR(__xludf.DUMMYFUNCTION("""COMPUTED_VALUE"""),FALSE)</f>
        <v>0</v>
      </c>
      <c r="Q1954" s="20" t="str">
        <f>IFERROR(__xludf.DUMMYFUNCTION("""COMPUTED_VALUE"""),"")</f>
        <v/>
      </c>
      <c r="R1954" s="22" t="str">
        <f>IFERROR(__xludf.DUMMYFUNCTION("""COMPUTED_VALUE"""),"")</f>
        <v/>
      </c>
    </row>
    <row r="1955">
      <c r="A1955" s="15">
        <f>IFERROR(__xludf.DUMMYFUNCTION("""COMPUTED_VALUE"""),45057.0)</f>
        <v>45057</v>
      </c>
      <c r="B1955" s="16" t="str">
        <f>IFERROR(__xludf.DUMMYFUNCTION("""COMPUTED_VALUE"""),"Envia")</f>
        <v>Envia</v>
      </c>
      <c r="C1955" s="15" t="str">
        <f>IFERROR(__xludf.DUMMYFUNCTION("""COMPUTED_VALUE"""),"CARTAGENA")</f>
        <v>CARTAGENA</v>
      </c>
      <c r="D1955" s="15" t="str">
        <f>IFERROR(__xludf.DUMMYFUNCTION("""COMPUTED_VALUE"""),"MEDELLÍN")</f>
        <v>MEDELLÍN</v>
      </c>
      <c r="E1955" s="15" t="str">
        <f>IFERROR(__xludf.DUMMYFUNCTION("""COMPUTED_VALUE"""),"Rambla")</f>
        <v>Rambla</v>
      </c>
      <c r="F1955" s="17" t="str">
        <f>IFERROR(__xludf.DUMMYFUNCTION("""COMPUTED_VALUE"""),"Calle 9#3-19 Edif bahía Bolívar apto 501 Barrio bocagrande Cartagena  / NA / NA")</f>
        <v>Calle 9#3-19 Edif bahía Bolívar apto 501 Barrio bocagrande Cartagena  / NA / NA</v>
      </c>
      <c r="G1955" s="15" t="str">
        <f>IFERROR(__xludf.DUMMYFUNCTION("""COMPUTED_VALUE"""),"Katerin bustillo")</f>
        <v>Katerin bustillo</v>
      </c>
      <c r="H1955" s="16">
        <f>IFERROR(__xludf.DUMMYFUNCTION("""COMPUTED_VALUE"""),10533.0)</f>
        <v>10533</v>
      </c>
      <c r="I1955" s="18">
        <f>IFERROR(__xludf.DUMMYFUNCTION("""COMPUTED_VALUE"""),26.0)</f>
        <v>26</v>
      </c>
      <c r="J1955" s="18">
        <f>IFERROR(__xludf.DUMMYFUNCTION("""COMPUTED_VALUE"""),29.0)</f>
        <v>29</v>
      </c>
      <c r="K1955" s="18">
        <f>IFERROR(__xludf.DUMMYFUNCTION("""COMPUTED_VALUE"""),23.0)</f>
        <v>23</v>
      </c>
      <c r="L1955" s="17">
        <f>IFERROR(__xludf.DUMMYFUNCTION("""COMPUTED_VALUE"""),3.127642343E9)</f>
        <v>3127642343</v>
      </c>
      <c r="M1955" s="17" t="str">
        <f>IFERROR(__xludf.DUMMYFUNCTION("""COMPUTED_VALUE"""),"#REF!")</f>
        <v>#REF!</v>
      </c>
      <c r="N1955" s="17"/>
      <c r="O1955" s="17"/>
      <c r="P1955" s="17" t="b">
        <f>IFERROR(__xludf.DUMMYFUNCTION("""COMPUTED_VALUE"""),FALSE)</f>
        <v>0</v>
      </c>
      <c r="Q1955" s="20" t="str">
        <f>IFERROR(__xludf.DUMMYFUNCTION("""COMPUTED_VALUE"""),"")</f>
        <v/>
      </c>
      <c r="R1955" s="22" t="str">
        <f>IFERROR(__xludf.DUMMYFUNCTION("""COMPUTED_VALUE"""),"")</f>
        <v/>
      </c>
    </row>
    <row r="1956">
      <c r="A1956" s="15">
        <f>IFERROR(__xludf.DUMMYFUNCTION("""COMPUTED_VALUE"""),45057.0)</f>
        <v>45057</v>
      </c>
      <c r="B1956" s="16" t="str">
        <f>IFERROR(__xludf.DUMMYFUNCTION("""COMPUTED_VALUE"""),"Envia")</f>
        <v>Envia</v>
      </c>
      <c r="C1956" s="15" t="str">
        <f>IFERROR(__xludf.DUMMYFUNCTION("""COMPUTED_VALUE"""),"LA DORADA")</f>
        <v>LA DORADA</v>
      </c>
      <c r="D1956" s="15" t="str">
        <f>IFERROR(__xludf.DUMMYFUNCTION("""COMPUTED_VALUE"""),"BOGOTÁ")</f>
        <v>BOGOTÁ</v>
      </c>
      <c r="E1956" s="15" t="str">
        <f>IFERROR(__xludf.DUMMYFUNCTION("""COMPUTED_VALUE"""),"Ins. Alimento Vital")</f>
        <v>Ins. Alimento Vital</v>
      </c>
      <c r="F1956" s="17" t="str">
        <f>IFERROR(__xludf.DUMMYFUNCTION("""COMPUTED_VALUE"""),"CR 5A 1 46  / CASA / LA DORADA")</f>
        <v>CR 5A 1 46  / CASA / LA DORADA</v>
      </c>
      <c r="G1956" s="15" t="str">
        <f>IFERROR(__xludf.DUMMYFUNCTION("""COMPUTED_VALUE"""),"SANTIAGO VERA ACOSTA")</f>
        <v>SANTIAGO VERA ACOSTA</v>
      </c>
      <c r="H1956" s="16">
        <f>IFERROR(__xludf.DUMMYFUNCTION("""COMPUTED_VALUE"""),10561.0)</f>
        <v>10561</v>
      </c>
      <c r="I1956" s="18">
        <f>IFERROR(__xludf.DUMMYFUNCTION("""COMPUTED_VALUE"""),1.0)</f>
        <v>1</v>
      </c>
      <c r="J1956" s="18">
        <f>IFERROR(__xludf.DUMMYFUNCTION("""COMPUTED_VALUE"""),1.0)</f>
        <v>1</v>
      </c>
      <c r="K1956" s="18">
        <f>IFERROR(__xludf.DUMMYFUNCTION("""COMPUTED_VALUE"""),1.0)</f>
        <v>1</v>
      </c>
      <c r="L1956" s="17">
        <f>IFERROR(__xludf.DUMMYFUNCTION("""COMPUTED_VALUE"""),3.214887531E9)</f>
        <v>3214887531</v>
      </c>
      <c r="M1956" s="17" t="str">
        <f>IFERROR(__xludf.DUMMYFUNCTION("""COMPUTED_VALUE"""),"#REF!")</f>
        <v>#REF!</v>
      </c>
      <c r="N1956" s="17"/>
      <c r="O1956" s="17"/>
      <c r="P1956" s="17" t="b">
        <f>IFERROR(__xludf.DUMMYFUNCTION("""COMPUTED_VALUE"""),FALSE)</f>
        <v>0</v>
      </c>
      <c r="Q1956" s="20" t="str">
        <f>IFERROR(__xludf.DUMMYFUNCTION("""COMPUTED_VALUE"""),"")</f>
        <v/>
      </c>
      <c r="R1956" s="22" t="str">
        <f>IFERROR(__xludf.DUMMYFUNCTION("""COMPUTED_VALUE"""),"")</f>
        <v/>
      </c>
    </row>
    <row r="1957">
      <c r="A1957" s="15">
        <f>IFERROR(__xludf.DUMMYFUNCTION("""COMPUTED_VALUE"""),45057.0)</f>
        <v>45057</v>
      </c>
      <c r="B1957" s="16" t="str">
        <f>IFERROR(__xludf.DUMMYFUNCTION("""COMPUTED_VALUE"""),"Envia")</f>
        <v>Envia</v>
      </c>
      <c r="C1957" s="15" t="str">
        <f>IFERROR(__xludf.DUMMYFUNCTION("""COMPUTED_VALUE"""),"MEDELLÍN")</f>
        <v>MEDELLÍN</v>
      </c>
      <c r="D1957" s="15" t="str">
        <f>IFERROR(__xludf.DUMMYFUNCTION("""COMPUTED_VALUE"""),"BOGOTÁ")</f>
        <v>BOGOTÁ</v>
      </c>
      <c r="E1957" s="15" t="str">
        <f>IFERROR(__xludf.DUMMYFUNCTION("""COMPUTED_VALUE"""),"Forever Dog")</f>
        <v>Forever Dog</v>
      </c>
      <c r="F1957" s="17" t="str">
        <f>IFERROR(__xludf.DUMMYFUNCTION("""COMPUTED_VALUE"""),"Cra 28# 37b sur / Edf. Torre san miguel apto 501 / Envigado, Barrio Loma de las Brujas")</f>
        <v>Cra 28# 37b sur / Edf. Torre san miguel apto 501 / Envigado, Barrio Loma de las Brujas</v>
      </c>
      <c r="G1957" s="15" t="str">
        <f>IFERROR(__xludf.DUMMYFUNCTION("""COMPUTED_VALUE"""),"Dustin Torres")</f>
        <v>Dustin Torres</v>
      </c>
      <c r="H1957" s="16">
        <f>IFERROR(__xludf.DUMMYFUNCTION("""COMPUTED_VALUE"""),10443.0)</f>
        <v>10443</v>
      </c>
      <c r="I1957" s="18">
        <f>IFERROR(__xludf.DUMMYFUNCTION("""COMPUTED_VALUE"""),51.0)</f>
        <v>51</v>
      </c>
      <c r="J1957" s="18">
        <f>IFERROR(__xludf.DUMMYFUNCTION("""COMPUTED_VALUE"""),50.0)</f>
        <v>50</v>
      </c>
      <c r="K1957" s="18">
        <f>IFERROR(__xludf.DUMMYFUNCTION("""COMPUTED_VALUE"""),30.0)</f>
        <v>30</v>
      </c>
      <c r="L1957" s="17">
        <f>IFERROR(__xludf.DUMMYFUNCTION("""COMPUTED_VALUE"""),3.013390836E9)</f>
        <v>3013390836</v>
      </c>
      <c r="M1957" s="17" t="str">
        <f>IFERROR(__xludf.DUMMYFUNCTION("""COMPUTED_VALUE"""),"#REF!")</f>
        <v>#REF!</v>
      </c>
      <c r="N1957" s="17"/>
      <c r="O1957" s="17"/>
      <c r="P1957" s="17" t="b">
        <f>IFERROR(__xludf.DUMMYFUNCTION("""COMPUTED_VALUE"""),FALSE)</f>
        <v>0</v>
      </c>
      <c r="Q1957" s="20" t="str">
        <f>IFERROR(__xludf.DUMMYFUNCTION("""COMPUTED_VALUE"""),"")</f>
        <v/>
      </c>
      <c r="R1957" s="22" t="str">
        <f>IFERROR(__xludf.DUMMYFUNCTION("""COMPUTED_VALUE"""),"")</f>
        <v/>
      </c>
    </row>
    <row r="1958">
      <c r="A1958" s="15">
        <f>IFERROR(__xludf.DUMMYFUNCTION("""COMPUTED_VALUE"""),45057.0)</f>
        <v>45057</v>
      </c>
      <c r="B1958" s="16" t="str">
        <f>IFERROR(__xludf.DUMMYFUNCTION("""COMPUTED_VALUE"""),"Envia")</f>
        <v>Envia</v>
      </c>
      <c r="C1958" s="15" t="str">
        <f>IFERROR(__xludf.DUMMYFUNCTION("""COMPUTED_VALUE"""),"MEDELLÍN")</f>
        <v>MEDELLÍN</v>
      </c>
      <c r="D1958" s="15" t="str">
        <f>IFERROR(__xludf.DUMMYFUNCTION("""COMPUTED_VALUE"""),"BOGOTÁ")</f>
        <v>BOGOTÁ</v>
      </c>
      <c r="E1958" s="15" t="str">
        <f>IFERROR(__xludf.DUMMYFUNCTION("""COMPUTED_VALUE"""),"Ins. Alimento Vital")</f>
        <v>Ins. Alimento Vital</v>
      </c>
      <c r="F1958" s="17" t="str">
        <f>IFERROR(__xludf.DUMMYFUNCTION("""COMPUTED_VALUE"""),"AV 74B 39B 142 / CASA NEGRA 2 PISO / BARRIO LAURELES")</f>
        <v>AV 74B 39B 142 / CASA NEGRA 2 PISO / BARRIO LAURELES</v>
      </c>
      <c r="G1958" s="15" t="str">
        <f>IFERROR(__xludf.DUMMYFUNCTION("""COMPUTED_VALUE"""),"VELOCITY")</f>
        <v>VELOCITY</v>
      </c>
      <c r="H1958" s="16">
        <f>IFERROR(__xludf.DUMMYFUNCTION("""COMPUTED_VALUE"""),10573.0)</f>
        <v>10573</v>
      </c>
      <c r="I1958" s="18">
        <f>IFERROR(__xludf.DUMMYFUNCTION("""COMPUTED_VALUE"""),1.0)</f>
        <v>1</v>
      </c>
      <c r="J1958" s="18">
        <f>IFERROR(__xludf.DUMMYFUNCTION("""COMPUTED_VALUE"""),1.0)</f>
        <v>1</v>
      </c>
      <c r="K1958" s="18">
        <f>IFERROR(__xludf.DUMMYFUNCTION("""COMPUTED_VALUE"""),1.0)</f>
        <v>1</v>
      </c>
      <c r="L1958" s="17">
        <f>IFERROR(__xludf.DUMMYFUNCTION("""COMPUTED_VALUE"""),3.239674555E9)</f>
        <v>3239674555</v>
      </c>
      <c r="M1958" s="17" t="str">
        <f>IFERROR(__xludf.DUMMYFUNCTION("""COMPUTED_VALUE"""),"#REF!")</f>
        <v>#REF!</v>
      </c>
      <c r="N1958" s="17"/>
      <c r="O1958" s="17"/>
      <c r="P1958" s="17" t="b">
        <f>IFERROR(__xludf.DUMMYFUNCTION("""COMPUTED_VALUE"""),FALSE)</f>
        <v>0</v>
      </c>
      <c r="Q1958" s="20" t="str">
        <f>IFERROR(__xludf.DUMMYFUNCTION("""COMPUTED_VALUE"""),"")</f>
        <v/>
      </c>
      <c r="R1958" s="22" t="str">
        <f>IFERROR(__xludf.DUMMYFUNCTION("""COMPUTED_VALUE"""),"")</f>
        <v/>
      </c>
    </row>
    <row r="1959">
      <c r="A1959" s="15">
        <f>IFERROR(__xludf.DUMMYFUNCTION("""COMPUTED_VALUE"""),45057.0)</f>
        <v>45057</v>
      </c>
      <c r="B1959" s="16" t="str">
        <f>IFERROR(__xludf.DUMMYFUNCTION("""COMPUTED_VALUE"""),"Envia")</f>
        <v>Envia</v>
      </c>
      <c r="C1959" s="15" t="str">
        <f>IFERROR(__xludf.DUMMYFUNCTION("""COMPUTED_VALUE"""),"MEDELLÍN")</f>
        <v>MEDELLÍN</v>
      </c>
      <c r="D1959" s="15" t="str">
        <f>IFERROR(__xludf.DUMMYFUNCTION("""COMPUTED_VALUE"""),"BOGOTÁ")</f>
        <v>BOGOTÁ</v>
      </c>
      <c r="E1959" s="15" t="str">
        <f>IFERROR(__xludf.DUMMYFUNCTION("""COMPUTED_VALUE"""),"SISU PARTNERS SAS")</f>
        <v>SISU PARTNERS SAS</v>
      </c>
      <c r="F1959" s="17" t="str">
        <f>IFERROR(__xludf.DUMMYFUNCTION("""COMPUTED_VALUE"""),"Carrera 34 no. 7-86 / Local Mary &amp; George")</f>
        <v>Carrera 34 no. 7-86 / Local Mary &amp; George</v>
      </c>
      <c r="G1959" s="15" t="str">
        <f>IFERROR(__xludf.DUMMYFUNCTION("""COMPUTED_VALUE"""),"Maria Paulina Pérez")</f>
        <v>Maria Paulina Pérez</v>
      </c>
      <c r="H1959" s="16">
        <f>IFERROR(__xludf.DUMMYFUNCTION("""COMPUTED_VALUE"""),10553.0)</f>
        <v>10553</v>
      </c>
      <c r="I1959" s="18" t="str">
        <f>IFERROR(__xludf.DUMMYFUNCTION("""COMPUTED_VALUE"""),"52.5")</f>
        <v>52.5</v>
      </c>
      <c r="J1959" s="18">
        <f>IFERROR(__xludf.DUMMYFUNCTION("""COMPUTED_VALUE"""),45.0)</f>
        <v>45</v>
      </c>
      <c r="K1959" s="18">
        <f>IFERROR(__xludf.DUMMYFUNCTION("""COMPUTED_VALUE"""),55.0)</f>
        <v>55</v>
      </c>
      <c r="L1959" s="17">
        <f>IFERROR(__xludf.DUMMYFUNCTION("""COMPUTED_VALUE"""),3.182186058E9)</f>
        <v>3182186058</v>
      </c>
      <c r="M1959" s="17" t="str">
        <f>IFERROR(__xludf.DUMMYFUNCTION("""COMPUTED_VALUE"""),"#REF!")</f>
        <v>#REF!</v>
      </c>
      <c r="N1959" s="17"/>
      <c r="O1959" s="17"/>
      <c r="P1959" s="17" t="b">
        <f>IFERROR(__xludf.DUMMYFUNCTION("""COMPUTED_VALUE"""),FALSE)</f>
        <v>0</v>
      </c>
      <c r="Q1959" s="20" t="str">
        <f>IFERROR(__xludf.DUMMYFUNCTION("""COMPUTED_VALUE"""),"")</f>
        <v/>
      </c>
      <c r="R1959" s="22" t="str">
        <f>IFERROR(__xludf.DUMMYFUNCTION("""COMPUTED_VALUE"""),"")</f>
        <v/>
      </c>
    </row>
    <row r="1960">
      <c r="A1960" s="15">
        <f>IFERROR(__xludf.DUMMYFUNCTION("""COMPUTED_VALUE"""),45057.0)</f>
        <v>45057</v>
      </c>
      <c r="B1960" s="16" t="str">
        <f>IFERROR(__xludf.DUMMYFUNCTION("""COMPUTED_VALUE"""),"Envia")</f>
        <v>Envia</v>
      </c>
      <c r="C1960" s="15" t="str">
        <f>IFERROR(__xludf.DUMMYFUNCTION("""COMPUTED_VALUE"""),"MEDELLÍN")</f>
        <v>MEDELLÍN</v>
      </c>
      <c r="D1960" s="15" t="str">
        <f>IFERROR(__xludf.DUMMYFUNCTION("""COMPUTED_VALUE"""),"CALI")</f>
        <v>CALI</v>
      </c>
      <c r="E1960" s="15" t="str">
        <f>IFERROR(__xludf.DUMMYFUNCTION("""COMPUTED_VALUE"""),"Vallar")</f>
        <v>Vallar</v>
      </c>
      <c r="F1960" s="17" t="str">
        <f>IFERROR(__xludf.DUMMYFUNCTION("""COMPUTED_VALUE"""),"Cra 17 # 2-161 Apto 2004, Urbanizacion calera alta / Urbanizacion Calera Alta / Urbanizacion Calera Alta")</f>
        <v>Cra 17 # 2-161 Apto 2004, Urbanizacion calera alta / Urbanizacion Calera Alta / Urbanizacion Calera Alta</v>
      </c>
      <c r="G1960" s="15" t="str">
        <f>IFERROR(__xludf.DUMMYFUNCTION("""COMPUTED_VALUE"""),"Manuela Mejia")</f>
        <v>Manuela Mejia</v>
      </c>
      <c r="H1960" s="16">
        <f>IFERROR(__xludf.DUMMYFUNCTION("""COMPUTED_VALUE"""),10575.0)</f>
        <v>10575</v>
      </c>
      <c r="I1960" s="18">
        <f>IFERROR(__xludf.DUMMYFUNCTION("""COMPUTED_VALUE"""),55.0)</f>
        <v>55</v>
      </c>
      <c r="J1960" s="18">
        <f>IFERROR(__xludf.DUMMYFUNCTION("""COMPUTED_VALUE"""),45.0)</f>
        <v>45</v>
      </c>
      <c r="K1960" s="18">
        <f>IFERROR(__xludf.DUMMYFUNCTION("""COMPUTED_VALUE"""),52.0)</f>
        <v>52</v>
      </c>
      <c r="L1960" s="17">
        <f>IFERROR(__xludf.DUMMYFUNCTION("""COMPUTED_VALUE"""),3.108239729E9)</f>
        <v>3108239729</v>
      </c>
      <c r="M1960" s="17" t="str">
        <f>IFERROR(__xludf.DUMMYFUNCTION("""COMPUTED_VALUE"""),"#REF!")</f>
        <v>#REF!</v>
      </c>
      <c r="N1960" s="17"/>
      <c r="O1960" s="17"/>
      <c r="P1960" s="17" t="b">
        <f>IFERROR(__xludf.DUMMYFUNCTION("""COMPUTED_VALUE"""),TRUE)</f>
        <v>1</v>
      </c>
      <c r="Q1960" s="20">
        <f>IFERROR(__xludf.DUMMYFUNCTION("""COMPUTED_VALUE"""),45057.67543418982)</f>
        <v>45057.67543</v>
      </c>
      <c r="R1960" s="22" t="str">
        <f>IFERROR(__xludf.DUMMYFUNCTION("""COMPUTED_VALUE"""),"")</f>
        <v/>
      </c>
    </row>
    <row r="1961">
      <c r="A1961" s="15">
        <f>IFERROR(__xludf.DUMMYFUNCTION("""COMPUTED_VALUE"""),45057.0)</f>
        <v>45057</v>
      </c>
      <c r="B1961" s="16" t="str">
        <f>IFERROR(__xludf.DUMMYFUNCTION("""COMPUTED_VALUE"""),"Envia")</f>
        <v>Envia</v>
      </c>
      <c r="C1961" s="15" t="str">
        <f>IFERROR(__xludf.DUMMYFUNCTION("""COMPUTED_VALUE"""),"MOSQUERA")</f>
        <v>MOSQUERA</v>
      </c>
      <c r="D1961" s="15" t="str">
        <f>IFERROR(__xludf.DUMMYFUNCTION("""COMPUTED_VALUE"""),"BOGOTÁ")</f>
        <v>BOGOTÁ</v>
      </c>
      <c r="E1961" s="15" t="str">
        <f>IFERROR(__xludf.DUMMYFUNCTION("""COMPUTED_VALUE"""),"Viiva Fermentados")</f>
        <v>Viiva Fermentados</v>
      </c>
      <c r="F1961" s="17" t="str">
        <f>IFERROR(__xludf.DUMMYFUNCTION("""COMPUTED_VALUE"""),"Cra 3A 17 sur 93.  / Local 124.  / Mall comercial Meridiano Novaterra.")</f>
        <v>Cra 3A 17 sur 93.  / Local 124.  / Mall comercial Meridiano Novaterra.</v>
      </c>
      <c r="G1961" s="15" t="str">
        <f>IFERROR(__xludf.DUMMYFUNCTION("""COMPUTED_VALUE"""),"Tienda Bida")</f>
        <v>Tienda Bida</v>
      </c>
      <c r="H1961" s="16">
        <f>IFERROR(__xludf.DUMMYFUNCTION("""COMPUTED_VALUE"""),10550.0)</f>
        <v>10550</v>
      </c>
      <c r="I1961" s="18">
        <f>IFERROR(__xludf.DUMMYFUNCTION("""COMPUTED_VALUE"""),15.0)</f>
        <v>15</v>
      </c>
      <c r="J1961" s="18">
        <f>IFERROR(__xludf.DUMMYFUNCTION("""COMPUTED_VALUE"""),40.0)</f>
        <v>40</v>
      </c>
      <c r="K1961" s="18">
        <f>IFERROR(__xludf.DUMMYFUNCTION("""COMPUTED_VALUE"""),30.0)</f>
        <v>30</v>
      </c>
      <c r="L1961" s="17">
        <f>IFERROR(__xludf.DUMMYFUNCTION("""COMPUTED_VALUE"""),3.166819934E9)</f>
        <v>3166819934</v>
      </c>
      <c r="M1961" s="17" t="str">
        <f>IFERROR(__xludf.DUMMYFUNCTION("""COMPUTED_VALUE"""),"#REF!")</f>
        <v>#REF!</v>
      </c>
      <c r="N1961" s="17"/>
      <c r="O1961" s="17"/>
      <c r="P1961" s="17" t="b">
        <f>IFERROR(__xludf.DUMMYFUNCTION("""COMPUTED_VALUE"""),TRUE)</f>
        <v>1</v>
      </c>
      <c r="Q1961" s="20">
        <f>IFERROR(__xludf.DUMMYFUNCTION("""COMPUTED_VALUE"""),45057.675526770836)</f>
        <v>45057.67553</v>
      </c>
      <c r="R1961" s="22" t="str">
        <f>IFERROR(__xludf.DUMMYFUNCTION("""COMPUTED_VALUE"""),"")</f>
        <v/>
      </c>
    </row>
    <row r="1962">
      <c r="A1962" s="15">
        <f>IFERROR(__xludf.DUMMYFUNCTION("""COMPUTED_VALUE"""),45057.0)</f>
        <v>45057</v>
      </c>
      <c r="B1962" s="16" t="str">
        <f>IFERROR(__xludf.DUMMYFUNCTION("""COMPUTED_VALUE"""),"Envia")</f>
        <v>Envia</v>
      </c>
      <c r="C1962" s="15" t="str">
        <f>IFERROR(__xludf.DUMMYFUNCTION("""COMPUTED_VALUE"""),"NEIVA")</f>
        <v>NEIVA</v>
      </c>
      <c r="D1962" s="15" t="str">
        <f>IFERROR(__xludf.DUMMYFUNCTION("""COMPUTED_VALUE"""),"BOGOTÁ")</f>
        <v>BOGOTÁ</v>
      </c>
      <c r="E1962" s="15" t="str">
        <f>IFERROR(__xludf.DUMMYFUNCTION("""COMPUTED_VALUE"""),"Asociacion Agropecuaria Juana Maria")</f>
        <v>Asociacion Agropecuaria Juana Maria</v>
      </c>
      <c r="F1962" s="17" t="str">
        <f>IFERROR(__xludf.DUMMYFUNCTION("""COMPUTED_VALUE"""),"CARRERA 46 #17-13 CONDOMINIO ALTAVISTA CASA 31")</f>
        <v>CARRERA 46 #17-13 CONDOMINIO ALTAVISTA CASA 31</v>
      </c>
      <c r="G1962" s="15" t="str">
        <f>IFERROR(__xludf.DUMMYFUNCTION("""COMPUTED_VALUE"""),"JENNIFFER FERNANDEZ")</f>
        <v>JENNIFFER FERNANDEZ</v>
      </c>
      <c r="H1962" s="16">
        <f>IFERROR(__xludf.DUMMYFUNCTION("""COMPUTED_VALUE"""),10423.0)</f>
        <v>10423</v>
      </c>
      <c r="I1962" s="18">
        <f>IFERROR(__xludf.DUMMYFUNCTION("""COMPUTED_VALUE"""),16.0)</f>
        <v>16</v>
      </c>
      <c r="J1962" s="18">
        <f>IFERROR(__xludf.DUMMYFUNCTION("""COMPUTED_VALUE"""),34.0)</f>
        <v>34</v>
      </c>
      <c r="K1962" s="18">
        <f>IFERROR(__xludf.DUMMYFUNCTION("""COMPUTED_VALUE"""),25.0)</f>
        <v>25</v>
      </c>
      <c r="L1962" s="17">
        <f>IFERROR(__xludf.DUMMYFUNCTION("""COMPUTED_VALUE"""),3.167942612E9)</f>
        <v>3167942612</v>
      </c>
      <c r="M1962" s="17" t="str">
        <f>IFERROR(__xludf.DUMMYFUNCTION("""COMPUTED_VALUE"""),"#REF!")</f>
        <v>#REF!</v>
      </c>
      <c r="N1962" s="17"/>
      <c r="O1962" s="17"/>
      <c r="P1962" s="17" t="b">
        <f>IFERROR(__xludf.DUMMYFUNCTION("""COMPUTED_VALUE"""),FALSE)</f>
        <v>0</v>
      </c>
      <c r="Q1962" s="20" t="str">
        <f>IFERROR(__xludf.DUMMYFUNCTION("""COMPUTED_VALUE"""),"")</f>
        <v/>
      </c>
      <c r="R1962" s="22" t="str">
        <f>IFERROR(__xludf.DUMMYFUNCTION("""COMPUTED_VALUE"""),"")</f>
        <v/>
      </c>
    </row>
    <row r="1963">
      <c r="A1963" s="15">
        <f>IFERROR(__xludf.DUMMYFUNCTION("""COMPUTED_VALUE"""),45057.0)</f>
        <v>45057</v>
      </c>
      <c r="B1963" s="16" t="str">
        <f>IFERROR(__xludf.DUMMYFUNCTION("""COMPUTED_VALUE"""),"Envia")</f>
        <v>Envia</v>
      </c>
      <c r="C1963" s="15" t="str">
        <f>IFERROR(__xludf.DUMMYFUNCTION("""COMPUTED_VALUE"""),"NEIVA")</f>
        <v>NEIVA</v>
      </c>
      <c r="D1963" s="15" t="str">
        <f>IFERROR(__xludf.DUMMYFUNCTION("""COMPUTED_VALUE"""),"BOGOTÁ")</f>
        <v>BOGOTÁ</v>
      </c>
      <c r="E1963" s="15" t="str">
        <f>IFERROR(__xludf.DUMMYFUNCTION("""COMPUTED_VALUE"""),"Evamazzita")</f>
        <v>Evamazzita</v>
      </c>
      <c r="F1963" s="17" t="str">
        <f>IFERROR(__xludf.DUMMYFUNCTION("""COMPUTED_VALUE"""),"CARRERA 31 # 51 - 60  / TORRE 3 APARTAMENTO 1003 / N/A")</f>
        <v>CARRERA 31 # 51 - 60  / TORRE 3 APARTAMENTO 1003 / N/A</v>
      </c>
      <c r="G1963" s="15" t="str">
        <f>IFERROR(__xludf.DUMMYFUNCTION("""COMPUTED_VALUE"""),"DIANA PINEDA")</f>
        <v>DIANA PINEDA</v>
      </c>
      <c r="H1963" s="16">
        <f>IFERROR(__xludf.DUMMYFUNCTION("""COMPUTED_VALUE"""),10564.0)</f>
        <v>10564</v>
      </c>
      <c r="I1963" s="18">
        <f>IFERROR(__xludf.DUMMYFUNCTION("""COMPUTED_VALUE"""),15.0)</f>
        <v>15</v>
      </c>
      <c r="J1963" s="18">
        <f>IFERROR(__xludf.DUMMYFUNCTION("""COMPUTED_VALUE"""),2.0)</f>
        <v>2</v>
      </c>
      <c r="K1963" s="18">
        <f>IFERROR(__xludf.DUMMYFUNCTION("""COMPUTED_VALUE"""),25.0)</f>
        <v>25</v>
      </c>
      <c r="L1963" s="17">
        <f>IFERROR(__xludf.DUMMYFUNCTION("""COMPUTED_VALUE"""),3.176827293E9)</f>
        <v>3176827293</v>
      </c>
      <c r="M1963" s="17" t="str">
        <f>IFERROR(__xludf.DUMMYFUNCTION("""COMPUTED_VALUE"""),"#REF!")</f>
        <v>#REF!</v>
      </c>
      <c r="N1963" s="17"/>
      <c r="O1963" s="17"/>
      <c r="P1963" s="17" t="b">
        <f>IFERROR(__xludf.DUMMYFUNCTION("""COMPUTED_VALUE"""),TRUE)</f>
        <v>1</v>
      </c>
      <c r="Q1963" s="20">
        <f>IFERROR(__xludf.DUMMYFUNCTION("""COMPUTED_VALUE"""),45057.69849018518)</f>
        <v>45057.69849</v>
      </c>
      <c r="R1963" s="22" t="str">
        <f>IFERROR(__xludf.DUMMYFUNCTION("""COMPUTED_VALUE"""),"")</f>
        <v/>
      </c>
    </row>
    <row r="1964">
      <c r="A1964" s="15">
        <f>IFERROR(__xludf.DUMMYFUNCTION("""COMPUTED_VALUE"""),45057.0)</f>
        <v>45057</v>
      </c>
      <c r="B1964" s="16" t="str">
        <f>IFERROR(__xludf.DUMMYFUNCTION("""COMPUTED_VALUE"""),"Envia")</f>
        <v>Envia</v>
      </c>
      <c r="C1964" s="15" t="str">
        <f>IFERROR(__xludf.DUMMYFUNCTION("""COMPUTED_VALUE"""),"NEIVA")</f>
        <v>NEIVA</v>
      </c>
      <c r="D1964" s="15" t="str">
        <f>IFERROR(__xludf.DUMMYFUNCTION("""COMPUTED_VALUE"""),"BOGOTÁ")</f>
        <v>BOGOTÁ</v>
      </c>
      <c r="E1964" s="15" t="str">
        <f>IFERROR(__xludf.DUMMYFUNCTION("""COMPUTED_VALUE"""),"Ind. Karpos")</f>
        <v>Ind. Karpos</v>
      </c>
      <c r="F1964" s="17" t="str">
        <f>IFERROR(__xludf.DUMMYFUNCTION("""COMPUTED_VALUE"""),"CARRERA 8 # 41 - 11 LOCAL 103 / HELADERIA DELISH / BARRIO LAS GRANJAS, NEIVA")</f>
        <v>CARRERA 8 # 41 - 11 LOCAL 103 / HELADERIA DELISH / BARRIO LAS GRANJAS, NEIVA</v>
      </c>
      <c r="G1964" s="15" t="str">
        <f>IFERROR(__xludf.DUMMYFUNCTION("""COMPUTED_VALUE"""),"ALEJANDRA MOLINA")</f>
        <v>ALEJANDRA MOLINA</v>
      </c>
      <c r="H1964" s="16">
        <f>IFERROR(__xludf.DUMMYFUNCTION("""COMPUTED_VALUE"""),10534.0)</f>
        <v>10534</v>
      </c>
      <c r="I1964" s="18">
        <f>IFERROR(__xludf.DUMMYFUNCTION("""COMPUTED_VALUE"""),10.0)</f>
        <v>10</v>
      </c>
      <c r="J1964" s="18">
        <f>IFERROR(__xludf.DUMMYFUNCTION("""COMPUTED_VALUE"""),24.0)</f>
        <v>24</v>
      </c>
      <c r="K1964" s="18">
        <f>IFERROR(__xludf.DUMMYFUNCTION("""COMPUTED_VALUE"""),24.0)</f>
        <v>24</v>
      </c>
      <c r="L1964" s="17">
        <f>IFERROR(__xludf.DUMMYFUNCTION("""COMPUTED_VALUE"""),3.144830152E9)</f>
        <v>3144830152</v>
      </c>
      <c r="M1964" s="17" t="str">
        <f>IFERROR(__xludf.DUMMYFUNCTION("""COMPUTED_VALUE"""),"#REF!")</f>
        <v>#REF!</v>
      </c>
      <c r="N1964" s="17"/>
      <c r="O1964" s="17"/>
      <c r="P1964" s="17" t="b">
        <f>IFERROR(__xludf.DUMMYFUNCTION("""COMPUTED_VALUE"""),TRUE)</f>
        <v>1</v>
      </c>
      <c r="Q1964" s="20">
        <f>IFERROR(__xludf.DUMMYFUNCTION("""COMPUTED_VALUE"""),45057.698103310184)</f>
        <v>45057.6981</v>
      </c>
      <c r="R1964" s="22" t="str">
        <f>IFERROR(__xludf.DUMMYFUNCTION("""COMPUTED_VALUE"""),"")</f>
        <v/>
      </c>
    </row>
    <row r="1965">
      <c r="A1965" s="15">
        <f>IFERROR(__xludf.DUMMYFUNCTION("""COMPUTED_VALUE"""),45057.0)</f>
        <v>45057</v>
      </c>
      <c r="B1965" s="16" t="str">
        <f>IFERROR(__xludf.DUMMYFUNCTION("""COMPUTED_VALUE"""),"Envia")</f>
        <v>Envia</v>
      </c>
      <c r="C1965" s="15" t="str">
        <f>IFERROR(__xludf.DUMMYFUNCTION("""COMPUTED_VALUE"""),"NEIVA")</f>
        <v>NEIVA</v>
      </c>
      <c r="D1965" s="15" t="str">
        <f>IFERROR(__xludf.DUMMYFUNCTION("""COMPUTED_VALUE"""),"BOGOTÁ")</f>
        <v>BOGOTÁ</v>
      </c>
      <c r="E1965" s="15" t="str">
        <f>IFERROR(__xludf.DUMMYFUNCTION("""COMPUTED_VALUE"""),"Viiva Fermentados")</f>
        <v>Viiva Fermentados</v>
      </c>
      <c r="F1965" s="17" t="str">
        <f>IFERROR(__xludf.DUMMYFUNCTION("""COMPUTED_VALUE"""),"Calle 8 No. 30-121   / Tienda Ecotienda Saludable / barrio las brisas")</f>
        <v>Calle 8 No. 30-121   / Tienda Ecotienda Saludable / barrio las brisas</v>
      </c>
      <c r="G1965" s="15" t="str">
        <f>IFERROR(__xludf.DUMMYFUNCTION("""COMPUTED_VALUE"""),"Nury Dianey Vargas Bonilla - Tienda Ecovida")</f>
        <v>Nury Dianey Vargas Bonilla - Tienda Ecovida</v>
      </c>
      <c r="H1965" s="16">
        <f>IFERROR(__xludf.DUMMYFUNCTION("""COMPUTED_VALUE"""),10547.0)</f>
        <v>10547</v>
      </c>
      <c r="I1965" s="18">
        <f>IFERROR(__xludf.DUMMYFUNCTION("""COMPUTED_VALUE"""),25.0)</f>
        <v>25</v>
      </c>
      <c r="J1965" s="18">
        <f>IFERROR(__xludf.DUMMYFUNCTION("""COMPUTED_VALUE"""),40.0)</f>
        <v>40</v>
      </c>
      <c r="K1965" s="18">
        <f>IFERROR(__xludf.DUMMYFUNCTION("""COMPUTED_VALUE"""),30.0)</f>
        <v>30</v>
      </c>
      <c r="L1965" s="17">
        <f>IFERROR(__xludf.DUMMYFUNCTION("""COMPUTED_VALUE"""),3.16834206E9)</f>
        <v>3168342060</v>
      </c>
      <c r="M1965" s="17" t="str">
        <f>IFERROR(__xludf.DUMMYFUNCTION("""COMPUTED_VALUE"""),"#REF!")</f>
        <v>#REF!</v>
      </c>
      <c r="N1965" s="17"/>
      <c r="O1965" s="17"/>
      <c r="P1965" s="17" t="b">
        <f>IFERROR(__xludf.DUMMYFUNCTION("""COMPUTED_VALUE"""),TRUE)</f>
        <v>1</v>
      </c>
      <c r="Q1965" s="20">
        <f>IFERROR(__xludf.DUMMYFUNCTION("""COMPUTED_VALUE"""),45057.698103310184)</f>
        <v>45057.6981</v>
      </c>
      <c r="R1965" s="22" t="str">
        <f>IFERROR(__xludf.DUMMYFUNCTION("""COMPUTED_VALUE"""),"")</f>
        <v/>
      </c>
    </row>
    <row r="1966">
      <c r="A1966" s="15">
        <f>IFERROR(__xludf.DUMMYFUNCTION("""COMPUTED_VALUE"""),45057.0)</f>
        <v>45057</v>
      </c>
      <c r="B1966" s="16" t="str">
        <f>IFERROR(__xludf.DUMMYFUNCTION("""COMPUTED_VALUE"""),"Envia")</f>
        <v>Envia</v>
      </c>
      <c r="C1966" s="15" t="str">
        <f>IFERROR(__xludf.DUMMYFUNCTION("""COMPUTED_VALUE"""),"VALLEDUPAR")</f>
        <v>VALLEDUPAR</v>
      </c>
      <c r="D1966" s="15" t="str">
        <f>IFERROR(__xludf.DUMMYFUNCTION("""COMPUTED_VALUE"""),"BOGOTÁ")</f>
        <v>BOGOTÁ</v>
      </c>
      <c r="E1966" s="15" t="str">
        <f>IFERROR(__xludf.DUMMYFUNCTION("""COMPUTED_VALUE"""),"Evamazzita")</f>
        <v>Evamazzita</v>
      </c>
      <c r="F1966" s="17" t="str">
        <f>IFERROR(__xludf.DUMMYFUNCTION("""COMPUTED_VALUE"""),"CONDOMINIO PALMETTO  / TORRE 8 APTO. 601 / CONDOMINIO PALMETTO")</f>
        <v>CONDOMINIO PALMETTO  / TORRE 8 APTO. 601 / CONDOMINIO PALMETTO</v>
      </c>
      <c r="G1966" s="15" t="str">
        <f>IFERROR(__xludf.DUMMYFUNCTION("""COMPUTED_VALUE"""),"KAREN LORENA ESCALANTE JACOME")</f>
        <v>KAREN LORENA ESCALANTE JACOME</v>
      </c>
      <c r="H1966" s="16">
        <f>IFERROR(__xludf.DUMMYFUNCTION("""COMPUTED_VALUE"""),10568.0)</f>
        <v>10568</v>
      </c>
      <c r="I1966" s="18">
        <f>IFERROR(__xludf.DUMMYFUNCTION("""COMPUTED_VALUE"""),3.0)</f>
        <v>3</v>
      </c>
      <c r="J1966" s="18">
        <f>IFERROR(__xludf.DUMMYFUNCTION("""COMPUTED_VALUE"""),20.0)</f>
        <v>20</v>
      </c>
      <c r="K1966" s="18">
        <f>IFERROR(__xludf.DUMMYFUNCTION("""COMPUTED_VALUE"""),15.0)</f>
        <v>15</v>
      </c>
      <c r="L1966" s="17">
        <f>IFERROR(__xludf.DUMMYFUNCTION("""COMPUTED_VALUE"""),3.114684116E9)</f>
        <v>3114684116</v>
      </c>
      <c r="M1966" s="17" t="str">
        <f>IFERROR(__xludf.DUMMYFUNCTION("""COMPUTED_VALUE"""),"#REF!")</f>
        <v>#REF!</v>
      </c>
      <c r="N1966" s="17"/>
      <c r="O1966" s="17"/>
      <c r="P1966" s="17" t="b">
        <f>IFERROR(__xludf.DUMMYFUNCTION("""COMPUTED_VALUE"""),FALSE)</f>
        <v>0</v>
      </c>
      <c r="Q1966" s="20" t="str">
        <f>IFERROR(__xludf.DUMMYFUNCTION("""COMPUTED_VALUE"""),"")</f>
        <v/>
      </c>
      <c r="R1966" s="22" t="str">
        <f>IFERROR(__xludf.DUMMYFUNCTION("""COMPUTED_VALUE"""),"")</f>
        <v/>
      </c>
    </row>
    <row r="1967">
      <c r="A1967" s="15">
        <f>IFERROR(__xludf.DUMMYFUNCTION("""COMPUTED_VALUE"""),45057.0)</f>
        <v>45057</v>
      </c>
      <c r="B1967" s="16" t="str">
        <f>IFERROR(__xludf.DUMMYFUNCTION("""COMPUTED_VALUE"""),"Envia")</f>
        <v>Envia</v>
      </c>
      <c r="C1967" s="15" t="str">
        <f>IFERROR(__xludf.DUMMYFUNCTION("""COMPUTED_VALUE"""),"VALLEDUPAR")</f>
        <v>VALLEDUPAR</v>
      </c>
      <c r="D1967" s="15" t="str">
        <f>IFERROR(__xludf.DUMMYFUNCTION("""COMPUTED_VALUE"""),"BOGOTÁ")</f>
        <v>BOGOTÁ</v>
      </c>
      <c r="E1967" s="15" t="str">
        <f>IFERROR(__xludf.DUMMYFUNCTION("""COMPUTED_VALUE"""),"Evamazzita")</f>
        <v>Evamazzita</v>
      </c>
      <c r="F1967" s="17" t="str">
        <f>IFERROR(__xludf.DUMMYFUNCTION("""COMPUTED_VALUE"""),"MANZANA 88 CASA 5  / BARRIO GARUPAL  / 4TA ETAPA")</f>
        <v>MANZANA 88 CASA 5  / BARRIO GARUPAL  / 4TA ETAPA</v>
      </c>
      <c r="G1967" s="15" t="str">
        <f>IFERROR(__xludf.DUMMYFUNCTION("""COMPUTED_VALUE"""),"LICETH CAROLINA DAZA VERGARA")</f>
        <v>LICETH CAROLINA DAZA VERGARA</v>
      </c>
      <c r="H1967" s="16">
        <f>IFERROR(__xludf.DUMMYFUNCTION("""COMPUTED_VALUE"""),10569.0)</f>
        <v>10569</v>
      </c>
      <c r="I1967" s="18">
        <f>IFERROR(__xludf.DUMMYFUNCTION("""COMPUTED_VALUE"""),18.0)</f>
        <v>18</v>
      </c>
      <c r="J1967" s="18">
        <f>IFERROR(__xludf.DUMMYFUNCTION("""COMPUTED_VALUE"""),22.0)</f>
        <v>22</v>
      </c>
      <c r="K1967" s="18">
        <f>IFERROR(__xludf.DUMMYFUNCTION("""COMPUTED_VALUE"""),20.0)</f>
        <v>20</v>
      </c>
      <c r="L1967" s="17">
        <f>IFERROR(__xludf.DUMMYFUNCTION("""COMPUTED_VALUE"""),3.053620759E9)</f>
        <v>3053620759</v>
      </c>
      <c r="M1967" s="17" t="str">
        <f>IFERROR(__xludf.DUMMYFUNCTION("""COMPUTED_VALUE"""),"#REF!")</f>
        <v>#REF!</v>
      </c>
      <c r="N1967" s="17"/>
      <c r="O1967" s="17"/>
      <c r="P1967" s="17" t="b">
        <f>IFERROR(__xludf.DUMMYFUNCTION("""COMPUTED_VALUE"""),FALSE)</f>
        <v>0</v>
      </c>
      <c r="Q1967" s="20" t="str">
        <f>IFERROR(__xludf.DUMMYFUNCTION("""COMPUTED_VALUE"""),"")</f>
        <v/>
      </c>
      <c r="R1967" s="22" t="str">
        <f>IFERROR(__xludf.DUMMYFUNCTION("""COMPUTED_VALUE"""),"")</f>
        <v/>
      </c>
    </row>
    <row r="1968">
      <c r="A1968" s="15">
        <f>IFERROR(__xludf.DUMMYFUNCTION("""COMPUTED_VALUE"""),45057.0)</f>
        <v>45057</v>
      </c>
      <c r="B1968" s="16" t="str">
        <f>IFERROR(__xludf.DUMMYFUNCTION("""COMPUTED_VALUE"""),"Envia")</f>
        <v>Envia</v>
      </c>
      <c r="C1968" s="15" t="str">
        <f>IFERROR(__xludf.DUMMYFUNCTION("""COMPUTED_VALUE"""),"VALLEDUPAR")</f>
        <v>VALLEDUPAR</v>
      </c>
      <c r="D1968" s="15" t="str">
        <f>IFERROR(__xludf.DUMMYFUNCTION("""COMPUTED_VALUE"""),"BOGOTÁ")</f>
        <v>BOGOTÁ</v>
      </c>
      <c r="E1968" s="15" t="str">
        <f>IFERROR(__xludf.DUMMYFUNCTION("""COMPUTED_VALUE"""),"Evamazzita")</f>
        <v>Evamazzita</v>
      </c>
      <c r="F1968" s="17" t="str">
        <f>IFERROR(__xludf.DUMMYFUNCTION("""COMPUTED_VALUE"""),"TRANSVERSAL 26 # 18 A - 22  / N/A / BARRIO FUNDADORES")</f>
        <v>TRANSVERSAL 26 # 18 A - 22  / N/A / BARRIO FUNDADORES</v>
      </c>
      <c r="G1968" s="15" t="str">
        <f>IFERROR(__xludf.DUMMYFUNCTION("""COMPUTED_VALUE"""),"LAUREN AREVALO")</f>
        <v>LAUREN AREVALO</v>
      </c>
      <c r="H1968" s="16">
        <f>IFERROR(__xludf.DUMMYFUNCTION("""COMPUTED_VALUE"""),10566.0)</f>
        <v>10566</v>
      </c>
      <c r="I1968" s="18">
        <f>IFERROR(__xludf.DUMMYFUNCTION("""COMPUTED_VALUE"""),3.0)</f>
        <v>3</v>
      </c>
      <c r="J1968" s="18">
        <f>IFERROR(__xludf.DUMMYFUNCTION("""COMPUTED_VALUE"""),20.0)</f>
        <v>20</v>
      </c>
      <c r="K1968" s="18">
        <f>IFERROR(__xludf.DUMMYFUNCTION("""COMPUTED_VALUE"""),15.0)</f>
        <v>15</v>
      </c>
      <c r="L1968" s="17">
        <f>IFERROR(__xludf.DUMMYFUNCTION("""COMPUTED_VALUE"""),3.23494871E9)</f>
        <v>3234948710</v>
      </c>
      <c r="M1968" s="17" t="str">
        <f>IFERROR(__xludf.DUMMYFUNCTION("""COMPUTED_VALUE"""),"#REF!")</f>
        <v>#REF!</v>
      </c>
      <c r="N1968" s="17"/>
      <c r="O1968" s="17"/>
      <c r="P1968" s="17" t="b">
        <f>IFERROR(__xludf.DUMMYFUNCTION("""COMPUTED_VALUE"""),FALSE)</f>
        <v>0</v>
      </c>
      <c r="Q1968" s="20" t="str">
        <f>IFERROR(__xludf.DUMMYFUNCTION("""COMPUTED_VALUE"""),"")</f>
        <v/>
      </c>
      <c r="R1968" s="22" t="str">
        <f>IFERROR(__xludf.DUMMYFUNCTION("""COMPUTED_VALUE"""),"")</f>
        <v/>
      </c>
    </row>
    <row r="1969">
      <c r="A1969" s="17" t="str">
        <f>IFERROR(__xludf.DUMMYFUNCTION("""COMPUTED_VALUE"""),"")</f>
        <v/>
      </c>
      <c r="B1969" s="17" t="str">
        <f>IFERROR(__xludf.DUMMYFUNCTION("""COMPUTED_VALUE"""),"")</f>
        <v/>
      </c>
      <c r="C1969" s="17" t="str">
        <f>IFERROR(__xludf.DUMMYFUNCTION("""COMPUTED_VALUE"""),"")</f>
        <v/>
      </c>
      <c r="D1969" s="17" t="str">
        <f>IFERROR(__xludf.DUMMYFUNCTION("""COMPUTED_VALUE"""),"")</f>
        <v/>
      </c>
      <c r="E1969" s="17" t="str">
        <f>IFERROR(__xludf.DUMMYFUNCTION("""COMPUTED_VALUE"""),"")</f>
        <v/>
      </c>
      <c r="F1969" s="17" t="str">
        <f>IFERROR(__xludf.DUMMYFUNCTION("""COMPUTED_VALUE"""),"")</f>
        <v/>
      </c>
      <c r="G1969" s="17" t="str">
        <f>IFERROR(__xludf.DUMMYFUNCTION("""COMPUTED_VALUE"""),"")</f>
        <v/>
      </c>
      <c r="H1969" s="17" t="str">
        <f>IFERROR(__xludf.DUMMYFUNCTION("""COMPUTED_VALUE"""),"")</f>
        <v/>
      </c>
      <c r="I1969" s="17" t="str">
        <f>IFERROR(__xludf.DUMMYFUNCTION("""COMPUTED_VALUE"""),"")</f>
        <v/>
      </c>
      <c r="J1969" s="17" t="str">
        <f>IFERROR(__xludf.DUMMYFUNCTION("""COMPUTED_VALUE"""),"")</f>
        <v/>
      </c>
      <c r="K1969" s="17" t="str">
        <f>IFERROR(__xludf.DUMMYFUNCTION("""COMPUTED_VALUE"""),"")</f>
        <v/>
      </c>
      <c r="L1969" s="17" t="str">
        <f>IFERROR(__xludf.DUMMYFUNCTION("""COMPUTED_VALUE"""),"")</f>
        <v/>
      </c>
      <c r="M1969" s="17" t="str">
        <f>IFERROR(__xludf.DUMMYFUNCTION("""COMPUTED_VALUE"""),"")</f>
        <v/>
      </c>
      <c r="N1969" s="17" t="str">
        <f>IFERROR(__xludf.DUMMYFUNCTION("""COMPUTED_VALUE"""),"")</f>
        <v/>
      </c>
      <c r="O1969" s="17" t="str">
        <f>IFERROR(__xludf.DUMMYFUNCTION("""COMPUTED_VALUE"""),"")</f>
        <v/>
      </c>
      <c r="P1969" s="17" t="str">
        <f>IFERROR(__xludf.DUMMYFUNCTION("""COMPUTED_VALUE"""),"")</f>
        <v/>
      </c>
      <c r="Q1969" s="17" t="str">
        <f>IFERROR(__xludf.DUMMYFUNCTION("""COMPUTED_VALUE"""),"")</f>
        <v/>
      </c>
      <c r="R1969" s="17" t="str">
        <f>IFERROR(__xludf.DUMMYFUNCTION("""COMPUTED_VALUE"""),"")</f>
        <v/>
      </c>
    </row>
    <row r="1970">
      <c r="A1970" s="15">
        <f>IFERROR(__xludf.DUMMYFUNCTION("""COMPUTED_VALUE"""),45057.0)</f>
        <v>45057</v>
      </c>
      <c r="B1970" s="16" t="str">
        <f>IFERROR(__xludf.DUMMYFUNCTION("""COMPUTED_VALUE"""),"Jesus Manuel Herrera Medina ")</f>
        <v>Jesus Manuel Herrera Medina </v>
      </c>
      <c r="C1970" s="15" t="str">
        <f>IFERROR(__xludf.DUMMYFUNCTION("""COMPUTED_VALUE"""),"ARMENIA")</f>
        <v>ARMENIA</v>
      </c>
      <c r="D1970" s="15" t="str">
        <f>IFERROR(__xludf.DUMMYFUNCTION("""COMPUTED_VALUE"""),"MEDELLÍN")</f>
        <v>MEDELLÍN</v>
      </c>
      <c r="E1970" s="15" t="str">
        <f>IFERROR(__xludf.DUMMYFUNCTION("""COMPUTED_VALUE"""),"Todo Bufala")</f>
        <v>Todo Bufala</v>
      </c>
      <c r="F1970" s="17" t="str">
        <f>IFERROR(__xludf.DUMMYFUNCTION("""COMPUTED_VALUE"""),"Cr 5 26n-02 / Apto 304")</f>
        <v>Cr 5 26n-02 / Apto 304</v>
      </c>
      <c r="G1970" s="15" t="str">
        <f>IFERROR(__xludf.DUMMYFUNCTION("""COMPUTED_VALUE"""),"Yenny Franco")</f>
        <v>Yenny Franco</v>
      </c>
      <c r="H1970" s="16">
        <f>IFERROR(__xludf.DUMMYFUNCTION("""COMPUTED_VALUE"""),10520.0)</f>
        <v>10520</v>
      </c>
      <c r="I1970" s="18">
        <f>IFERROR(__xludf.DUMMYFUNCTION("""COMPUTED_VALUE"""),40.0)</f>
        <v>40</v>
      </c>
      <c r="J1970" s="18">
        <f>IFERROR(__xludf.DUMMYFUNCTION("""COMPUTED_VALUE"""),30.0)</f>
        <v>30</v>
      </c>
      <c r="K1970" s="18">
        <f>IFERROR(__xludf.DUMMYFUNCTION("""COMPUTED_VALUE"""),20.0)</f>
        <v>20</v>
      </c>
      <c r="L1970" s="17">
        <f>IFERROR(__xludf.DUMMYFUNCTION("""COMPUTED_VALUE"""),3.232062261E9)</f>
        <v>3232062261</v>
      </c>
      <c r="M1970" s="17" t="str">
        <f>IFERROR(__xludf.DUMMYFUNCTION("""COMPUTED_VALUE"""),"#REF!")</f>
        <v>#REF!</v>
      </c>
      <c r="N1970" s="17"/>
      <c r="O1970" s="17"/>
      <c r="P1970" s="17" t="b">
        <f>IFERROR(__xludf.DUMMYFUNCTION("""COMPUTED_VALUE"""),FALSE)</f>
        <v>0</v>
      </c>
      <c r="Q1970" s="20" t="str">
        <f>IFERROR(__xludf.DUMMYFUNCTION("""COMPUTED_VALUE"""),"")</f>
        <v/>
      </c>
      <c r="R1970" s="22" t="str">
        <f>IFERROR(__xludf.DUMMYFUNCTION("""COMPUTED_VALUE"""),"")</f>
        <v/>
      </c>
    </row>
    <row r="1971">
      <c r="A1971" s="17" t="str">
        <f>IFERROR(__xludf.DUMMYFUNCTION("""COMPUTED_VALUE"""),"")</f>
        <v/>
      </c>
      <c r="B1971" s="17" t="str">
        <f>IFERROR(__xludf.DUMMYFUNCTION("""COMPUTED_VALUE"""),"")</f>
        <v/>
      </c>
      <c r="C1971" s="17" t="str">
        <f>IFERROR(__xludf.DUMMYFUNCTION("""COMPUTED_VALUE"""),"")</f>
        <v/>
      </c>
      <c r="D1971" s="17" t="str">
        <f>IFERROR(__xludf.DUMMYFUNCTION("""COMPUTED_VALUE"""),"")</f>
        <v/>
      </c>
      <c r="E1971" s="17" t="str">
        <f>IFERROR(__xludf.DUMMYFUNCTION("""COMPUTED_VALUE"""),"")</f>
        <v/>
      </c>
      <c r="F1971" s="17" t="str">
        <f>IFERROR(__xludf.DUMMYFUNCTION("""COMPUTED_VALUE"""),"")</f>
        <v/>
      </c>
      <c r="G1971" s="17" t="str">
        <f>IFERROR(__xludf.DUMMYFUNCTION("""COMPUTED_VALUE"""),"")</f>
        <v/>
      </c>
      <c r="H1971" s="17" t="str">
        <f>IFERROR(__xludf.DUMMYFUNCTION("""COMPUTED_VALUE"""),"")</f>
        <v/>
      </c>
      <c r="I1971" s="17" t="str">
        <f>IFERROR(__xludf.DUMMYFUNCTION("""COMPUTED_VALUE"""),"")</f>
        <v/>
      </c>
      <c r="J1971" s="17" t="str">
        <f>IFERROR(__xludf.DUMMYFUNCTION("""COMPUTED_VALUE"""),"")</f>
        <v/>
      </c>
      <c r="K1971" s="17" t="str">
        <f>IFERROR(__xludf.DUMMYFUNCTION("""COMPUTED_VALUE"""),"")</f>
        <v/>
      </c>
      <c r="L1971" s="17" t="str">
        <f>IFERROR(__xludf.DUMMYFUNCTION("""COMPUTED_VALUE"""),"")</f>
        <v/>
      </c>
      <c r="M1971" s="17" t="str">
        <f>IFERROR(__xludf.DUMMYFUNCTION("""COMPUTED_VALUE"""),"")</f>
        <v/>
      </c>
      <c r="N1971" s="17" t="str">
        <f>IFERROR(__xludf.DUMMYFUNCTION("""COMPUTED_VALUE"""),"")</f>
        <v/>
      </c>
      <c r="O1971" s="17" t="str">
        <f>IFERROR(__xludf.DUMMYFUNCTION("""COMPUTED_VALUE"""),"")</f>
        <v/>
      </c>
      <c r="P1971" s="17" t="str">
        <f>IFERROR(__xludf.DUMMYFUNCTION("""COMPUTED_VALUE"""),"")</f>
        <v/>
      </c>
      <c r="Q1971" s="17" t="str">
        <f>IFERROR(__xludf.DUMMYFUNCTION("""COMPUTED_VALUE"""),"")</f>
        <v/>
      </c>
      <c r="R1971" s="17" t="str">
        <f>IFERROR(__xludf.DUMMYFUNCTION("""COMPUTED_VALUE"""),"")</f>
        <v/>
      </c>
    </row>
    <row r="1972">
      <c r="A1972" s="15">
        <f>IFERROR(__xludf.DUMMYFUNCTION("""COMPUTED_VALUE"""),45057.0)</f>
        <v>45057</v>
      </c>
      <c r="B1972" s="16" t="str">
        <f>IFERROR(__xludf.DUMMYFUNCTION("""COMPUTED_VALUE"""),"Jonathan Steven Taborda")</f>
        <v>Jonathan Steven Taborda</v>
      </c>
      <c r="C1972" s="15" t="str">
        <f>IFERROR(__xludf.DUMMYFUNCTION("""COMPUTED_VALUE"""),"ARMENIA")</f>
        <v>ARMENIA</v>
      </c>
      <c r="D1972" s="15" t="str">
        <f>IFERROR(__xludf.DUMMYFUNCTION("""COMPUTED_VALUE"""),"MEDELLÍN")</f>
        <v>MEDELLÍN</v>
      </c>
      <c r="E1972" s="15" t="str">
        <f>IFERROR(__xludf.DUMMYFUNCTION("""COMPUTED_VALUE"""),"Baby Chef")</f>
        <v>Baby Chef</v>
      </c>
      <c r="F1972" s="17" t="str">
        <f>IFERROR(__xludf.DUMMYFUNCTION("""COMPUTED_VALUE"""),"Cra 13 # 14 - 33 IGAC / Cra 13 # 14 - 33 IGAC / Cra 13 # 14 - 33 IGAC")</f>
        <v>Cra 13 # 14 - 33 IGAC / Cra 13 # 14 - 33 IGAC / Cra 13 # 14 - 33 IGAC</v>
      </c>
      <c r="G1972" s="15" t="str">
        <f>IFERROR(__xludf.DUMMYFUNCTION("""COMPUTED_VALUE"""),"Ana Cardona")</f>
        <v>Ana Cardona</v>
      </c>
      <c r="H1972" s="16">
        <f>IFERROR(__xludf.DUMMYFUNCTION("""COMPUTED_VALUE"""),10582.0)</f>
        <v>10582</v>
      </c>
      <c r="I1972" s="18">
        <f>IFERROR(__xludf.DUMMYFUNCTION("""COMPUTED_VALUE"""),8.0)</f>
        <v>8</v>
      </c>
      <c r="J1972" s="18">
        <f>IFERROR(__xludf.DUMMYFUNCTION("""COMPUTED_VALUE"""),16.0)</f>
        <v>16</v>
      </c>
      <c r="K1972" s="18">
        <f>IFERROR(__xludf.DUMMYFUNCTION("""COMPUTED_VALUE"""),20.0)</f>
        <v>20</v>
      </c>
      <c r="L1972" s="17">
        <f>IFERROR(__xludf.DUMMYFUNCTION("""COMPUTED_VALUE"""),3.017493972E9)</f>
        <v>3017493972</v>
      </c>
      <c r="M1972" s="17" t="str">
        <f>IFERROR(__xludf.DUMMYFUNCTION("""COMPUTED_VALUE"""),"#REF!")</f>
        <v>#REF!</v>
      </c>
      <c r="N1972" s="17"/>
      <c r="O1972" s="17"/>
      <c r="P1972" s="17" t="b">
        <f>IFERROR(__xludf.DUMMYFUNCTION("""COMPUTED_VALUE"""),FALSE)</f>
        <v>0</v>
      </c>
      <c r="Q1972" s="20" t="str">
        <f>IFERROR(__xludf.DUMMYFUNCTION("""COMPUTED_VALUE"""),"")</f>
        <v/>
      </c>
      <c r="R1972" s="22" t="str">
        <f>IFERROR(__xludf.DUMMYFUNCTION("""COMPUTED_VALUE"""),"")</f>
        <v/>
      </c>
    </row>
    <row r="1973">
      <c r="A1973" s="15">
        <f>IFERROR(__xludf.DUMMYFUNCTION("""COMPUTED_VALUE"""),45057.0)</f>
        <v>45057</v>
      </c>
      <c r="B1973" s="16" t="str">
        <f>IFERROR(__xludf.DUMMYFUNCTION("""COMPUTED_VALUE"""),"Jonathan Steven Taborda")</f>
        <v>Jonathan Steven Taborda</v>
      </c>
      <c r="C1973" s="15" t="str">
        <f>IFERROR(__xludf.DUMMYFUNCTION("""COMPUTED_VALUE"""),"VILLAVICENCIO")</f>
        <v>VILLAVICENCIO</v>
      </c>
      <c r="D1973" s="15" t="str">
        <f>IFERROR(__xludf.DUMMYFUNCTION("""COMPUTED_VALUE"""),"BOGOTÁ")</f>
        <v>BOGOTÁ</v>
      </c>
      <c r="E1973" s="15" t="str">
        <f>IFERROR(__xludf.DUMMYFUNCTION("""COMPUTED_VALUE"""),"Pan de Waffle")</f>
        <v>Pan de Waffle</v>
      </c>
      <c r="F1973" s="17" t="str">
        <f>IFERROR(__xludf.DUMMYFUNCTION("""COMPUTED_VALUE"""),"Calle 15 # 44D - 28 LOCAL 1 Edifi. Palos de Caña / Calle 15 # 44D - 28 LOCAL 1 Edifi. Palos de Caña / Calle 15 # 44D - 28 LOCAL 1 Edifi. Palos de Caña")</f>
        <v>Calle 15 # 44D - 28 LOCAL 1 Edifi. Palos de Caña / Calle 15 # 44D - 28 LOCAL 1 Edifi. Palos de Caña / Calle 15 # 44D - 28 LOCAL 1 Edifi. Palos de Caña</v>
      </c>
      <c r="G1973" s="15" t="str">
        <f>IFERROR(__xludf.DUMMYFUNCTION("""COMPUTED_VALUE"""),"SANA TENTACION")</f>
        <v>SANA TENTACION</v>
      </c>
      <c r="H1973" s="16">
        <f>IFERROR(__xludf.DUMMYFUNCTION("""COMPUTED_VALUE"""),10559.0)</f>
        <v>10559</v>
      </c>
      <c r="I1973" s="18">
        <f>IFERROR(__xludf.DUMMYFUNCTION("""COMPUTED_VALUE"""),40.0)</f>
        <v>40</v>
      </c>
      <c r="J1973" s="18">
        <f>IFERROR(__xludf.DUMMYFUNCTION("""COMPUTED_VALUE"""),40.0)</f>
        <v>40</v>
      </c>
      <c r="K1973" s="18">
        <f>IFERROR(__xludf.DUMMYFUNCTION("""COMPUTED_VALUE"""),30.0)</f>
        <v>30</v>
      </c>
      <c r="L1973" s="17">
        <f>IFERROR(__xludf.DUMMYFUNCTION("""COMPUTED_VALUE"""),3.008383033E9)</f>
        <v>3008383033</v>
      </c>
      <c r="M1973" s="17" t="str">
        <f>IFERROR(__xludf.DUMMYFUNCTION("""COMPUTED_VALUE"""),"#REF!")</f>
        <v>#REF!</v>
      </c>
      <c r="N1973" s="17"/>
      <c r="O1973" s="17"/>
      <c r="P1973" s="17" t="b">
        <f>IFERROR(__xludf.DUMMYFUNCTION("""COMPUTED_VALUE"""),FALSE)</f>
        <v>0</v>
      </c>
      <c r="Q1973" s="20" t="str">
        <f>IFERROR(__xludf.DUMMYFUNCTION("""COMPUTED_VALUE"""),"")</f>
        <v/>
      </c>
      <c r="R1973" s="22" t="str">
        <f>IFERROR(__xludf.DUMMYFUNCTION("""COMPUTED_VALUE"""),"")</f>
        <v/>
      </c>
    </row>
    <row r="1974">
      <c r="A1974" s="15">
        <f>IFERROR(__xludf.DUMMYFUNCTION("""COMPUTED_VALUE"""),45057.0)</f>
        <v>45057</v>
      </c>
      <c r="B1974" s="16" t="str">
        <f>IFERROR(__xludf.DUMMYFUNCTION("""COMPUTED_VALUE"""),"Jonathan Steven Taborda")</f>
        <v>Jonathan Steven Taborda</v>
      </c>
      <c r="C1974" s="15" t="str">
        <f>IFERROR(__xludf.DUMMYFUNCTION("""COMPUTED_VALUE"""),"VILLAVICENCIO")</f>
        <v>VILLAVICENCIO</v>
      </c>
      <c r="D1974" s="15" t="str">
        <f>IFERROR(__xludf.DUMMYFUNCTION("""COMPUTED_VALUE"""),"MEDELLÍN")</f>
        <v>MEDELLÍN</v>
      </c>
      <c r="E1974" s="15" t="str">
        <f>IFERROR(__xludf.DUMMYFUNCTION("""COMPUTED_VALUE"""),"Rambla")</f>
        <v>Rambla</v>
      </c>
      <c r="F1974" s="17" t="str">
        <f>IFERROR(__xludf.DUMMYFUNCTION("""COMPUTED_VALUE"""),"Calle 15 número 44 116 Hotel casa corona Local 5 Barrio el buque Villavicencio meta / NA / NA")</f>
        <v>Calle 15 número 44 116 Hotel casa corona Local 5 Barrio el buque Villavicencio meta / NA / NA</v>
      </c>
      <c r="G1974" s="15" t="str">
        <f>IFERROR(__xludf.DUMMYFUNCTION("""COMPUTED_VALUE"""),"Sana tentación")</f>
        <v>Sana tentación</v>
      </c>
      <c r="H1974" s="16">
        <f>IFERROR(__xludf.DUMMYFUNCTION("""COMPUTED_VALUE"""),10522.0)</f>
        <v>10522</v>
      </c>
      <c r="I1974" s="18">
        <f>IFERROR(__xludf.DUMMYFUNCTION("""COMPUTED_VALUE"""),32.0)</f>
        <v>32</v>
      </c>
      <c r="J1974" s="18">
        <f>IFERROR(__xludf.DUMMYFUNCTION("""COMPUTED_VALUE"""),35.0)</f>
        <v>35</v>
      </c>
      <c r="K1974" s="18">
        <f>IFERROR(__xludf.DUMMYFUNCTION("""COMPUTED_VALUE"""),38.0)</f>
        <v>38</v>
      </c>
      <c r="L1974" s="17">
        <f>IFERROR(__xludf.DUMMYFUNCTION("""COMPUTED_VALUE"""),3.008383044E9)</f>
        <v>3008383044</v>
      </c>
      <c r="M1974" s="17" t="str">
        <f>IFERROR(__xludf.DUMMYFUNCTION("""COMPUTED_VALUE"""),"#REF!")</f>
        <v>#REF!</v>
      </c>
      <c r="N1974" s="17"/>
      <c r="O1974" s="17"/>
      <c r="P1974" s="17" t="b">
        <f>IFERROR(__xludf.DUMMYFUNCTION("""COMPUTED_VALUE"""),FALSE)</f>
        <v>0</v>
      </c>
      <c r="Q1974" s="20" t="str">
        <f>IFERROR(__xludf.DUMMYFUNCTION("""COMPUTED_VALUE"""),"")</f>
        <v/>
      </c>
      <c r="R1974" s="22" t="str">
        <f>IFERROR(__xludf.DUMMYFUNCTION("""COMPUTED_VALUE"""),"")</f>
        <v/>
      </c>
    </row>
    <row r="1975">
      <c r="A1975" s="17" t="str">
        <f>IFERROR(__xludf.DUMMYFUNCTION("""COMPUTED_VALUE"""),"")</f>
        <v/>
      </c>
      <c r="B1975" s="17" t="str">
        <f>IFERROR(__xludf.DUMMYFUNCTION("""COMPUTED_VALUE"""),"")</f>
        <v/>
      </c>
      <c r="C1975" s="17" t="str">
        <f>IFERROR(__xludf.DUMMYFUNCTION("""COMPUTED_VALUE"""),"")</f>
        <v/>
      </c>
      <c r="D1975" s="17" t="str">
        <f>IFERROR(__xludf.DUMMYFUNCTION("""COMPUTED_VALUE"""),"")</f>
        <v/>
      </c>
      <c r="E1975" s="17" t="str">
        <f>IFERROR(__xludf.DUMMYFUNCTION("""COMPUTED_VALUE"""),"")</f>
        <v/>
      </c>
      <c r="F1975" s="17" t="str">
        <f>IFERROR(__xludf.DUMMYFUNCTION("""COMPUTED_VALUE"""),"")</f>
        <v/>
      </c>
      <c r="G1975" s="17" t="str">
        <f>IFERROR(__xludf.DUMMYFUNCTION("""COMPUTED_VALUE"""),"")</f>
        <v/>
      </c>
      <c r="H1975" s="17" t="str">
        <f>IFERROR(__xludf.DUMMYFUNCTION("""COMPUTED_VALUE"""),"")</f>
        <v/>
      </c>
      <c r="I1975" s="17" t="str">
        <f>IFERROR(__xludf.DUMMYFUNCTION("""COMPUTED_VALUE"""),"")</f>
        <v/>
      </c>
      <c r="J1975" s="17" t="str">
        <f>IFERROR(__xludf.DUMMYFUNCTION("""COMPUTED_VALUE"""),"")</f>
        <v/>
      </c>
      <c r="K1975" s="17" t="str">
        <f>IFERROR(__xludf.DUMMYFUNCTION("""COMPUTED_VALUE"""),"")</f>
        <v/>
      </c>
      <c r="L1975" s="17" t="str">
        <f>IFERROR(__xludf.DUMMYFUNCTION("""COMPUTED_VALUE"""),"")</f>
        <v/>
      </c>
      <c r="M1975" s="17" t="str">
        <f>IFERROR(__xludf.DUMMYFUNCTION("""COMPUTED_VALUE"""),"")</f>
        <v/>
      </c>
      <c r="N1975" s="17" t="str">
        <f>IFERROR(__xludf.DUMMYFUNCTION("""COMPUTED_VALUE"""),"")</f>
        <v/>
      </c>
      <c r="O1975" s="17" t="str">
        <f>IFERROR(__xludf.DUMMYFUNCTION("""COMPUTED_VALUE"""),"")</f>
        <v/>
      </c>
      <c r="P1975" s="17" t="str">
        <f>IFERROR(__xludf.DUMMYFUNCTION("""COMPUTED_VALUE"""),"")</f>
        <v/>
      </c>
      <c r="Q1975" s="17" t="str">
        <f>IFERROR(__xludf.DUMMYFUNCTION("""COMPUTED_VALUE"""),"")</f>
        <v/>
      </c>
      <c r="R1975" s="17" t="str">
        <f>IFERROR(__xludf.DUMMYFUNCTION("""COMPUTED_VALUE"""),"")</f>
        <v/>
      </c>
    </row>
    <row r="1976">
      <c r="A1976" s="15">
        <f>IFERROR(__xludf.DUMMYFUNCTION("""COMPUTED_VALUE"""),45057.0)</f>
        <v>45057</v>
      </c>
      <c r="B1976" s="16" t="str">
        <f>IFERROR(__xludf.DUMMYFUNCTION("""COMPUTED_VALUE"""),"Oscar Augusto Meneses Osias")</f>
        <v>Oscar Augusto Meneses Osias</v>
      </c>
      <c r="C1976" s="15" t="str">
        <f>IFERROR(__xludf.DUMMYFUNCTION("""COMPUTED_VALUE"""),"CALI")</f>
        <v>CALI</v>
      </c>
      <c r="D1976" s="15" t="str">
        <f>IFERROR(__xludf.DUMMYFUNCTION("""COMPUTED_VALUE"""),"BOGOTÁ")</f>
        <v>BOGOTÁ</v>
      </c>
      <c r="E1976" s="15" t="str">
        <f>IFERROR(__xludf.DUMMYFUNCTION("""COMPUTED_VALUE"""),"Viral Brands")</f>
        <v>Viral Brands</v>
      </c>
      <c r="F1976" s="17" t="str">
        <f>IFERROR(__xludf.DUMMYFUNCTION("""COMPUTED_VALUE"""),"Avenida 5a 25n-39 / Edificio / Barrio san vicente")</f>
        <v>Avenida 5a 25n-39 / Edificio / Barrio san vicente</v>
      </c>
      <c r="G1976" s="15" t="str">
        <f>IFERROR(__xludf.DUMMYFUNCTION("""COMPUTED_VALUE"""),"Lisbet gamez")</f>
        <v>Lisbet gamez</v>
      </c>
      <c r="H1976" s="16">
        <f>IFERROR(__xludf.DUMMYFUNCTION("""COMPUTED_VALUE"""),10577.0)</f>
        <v>10577</v>
      </c>
      <c r="I1976" s="18">
        <f>IFERROR(__xludf.DUMMYFUNCTION("""COMPUTED_VALUE"""),55.0)</f>
        <v>55</v>
      </c>
      <c r="J1976" s="18">
        <f>IFERROR(__xludf.DUMMYFUNCTION("""COMPUTED_VALUE"""),46.0)</f>
        <v>46</v>
      </c>
      <c r="K1976" s="18">
        <f>IFERROR(__xludf.DUMMYFUNCTION("""COMPUTED_VALUE"""),52.0)</f>
        <v>52</v>
      </c>
      <c r="L1976" s="17">
        <f>IFERROR(__xludf.DUMMYFUNCTION("""COMPUTED_VALUE"""),3.218280504E9)</f>
        <v>3218280504</v>
      </c>
      <c r="M1976" s="17" t="str">
        <f>IFERROR(__xludf.DUMMYFUNCTION("""COMPUTED_VALUE"""),"#REF!")</f>
        <v>#REF!</v>
      </c>
      <c r="N1976" s="17"/>
      <c r="O1976" s="17"/>
      <c r="P1976" s="17" t="b">
        <f>IFERROR(__xludf.DUMMYFUNCTION("""COMPUTED_VALUE"""),FALSE)</f>
        <v>0</v>
      </c>
      <c r="Q1976" s="20" t="str">
        <f>IFERROR(__xludf.DUMMYFUNCTION("""COMPUTED_VALUE"""),"")</f>
        <v/>
      </c>
      <c r="R1976" s="22" t="str">
        <f>IFERROR(__xludf.DUMMYFUNCTION("""COMPUTED_VALUE"""),"")</f>
        <v/>
      </c>
    </row>
    <row r="1977">
      <c r="A1977" s="17" t="str">
        <f>IFERROR(__xludf.DUMMYFUNCTION("""COMPUTED_VALUE"""),"")</f>
        <v/>
      </c>
      <c r="B1977" s="17" t="str">
        <f>IFERROR(__xludf.DUMMYFUNCTION("""COMPUTED_VALUE"""),"")</f>
        <v/>
      </c>
      <c r="C1977" s="17" t="str">
        <f>IFERROR(__xludf.DUMMYFUNCTION("""COMPUTED_VALUE"""),"")</f>
        <v/>
      </c>
      <c r="D1977" s="17" t="str">
        <f>IFERROR(__xludf.DUMMYFUNCTION("""COMPUTED_VALUE"""),"")</f>
        <v/>
      </c>
      <c r="E1977" s="17" t="str">
        <f>IFERROR(__xludf.DUMMYFUNCTION("""COMPUTED_VALUE"""),"")</f>
        <v/>
      </c>
      <c r="F1977" s="17" t="str">
        <f>IFERROR(__xludf.DUMMYFUNCTION("""COMPUTED_VALUE"""),"")</f>
        <v/>
      </c>
      <c r="G1977" s="17" t="str">
        <f>IFERROR(__xludf.DUMMYFUNCTION("""COMPUTED_VALUE"""),"")</f>
        <v/>
      </c>
      <c r="H1977" s="17" t="str">
        <f>IFERROR(__xludf.DUMMYFUNCTION("""COMPUTED_VALUE"""),"")</f>
        <v/>
      </c>
      <c r="I1977" s="17" t="str">
        <f>IFERROR(__xludf.DUMMYFUNCTION("""COMPUTED_VALUE"""),"")</f>
        <v/>
      </c>
      <c r="J1977" s="17" t="str">
        <f>IFERROR(__xludf.DUMMYFUNCTION("""COMPUTED_VALUE"""),"")</f>
        <v/>
      </c>
      <c r="K1977" s="17" t="str">
        <f>IFERROR(__xludf.DUMMYFUNCTION("""COMPUTED_VALUE"""),"")</f>
        <v/>
      </c>
      <c r="L1977" s="17" t="str">
        <f>IFERROR(__xludf.DUMMYFUNCTION("""COMPUTED_VALUE"""),"")</f>
        <v/>
      </c>
      <c r="M1977" s="17" t="str">
        <f>IFERROR(__xludf.DUMMYFUNCTION("""COMPUTED_VALUE"""),"")</f>
        <v/>
      </c>
      <c r="N1977" s="17" t="str">
        <f>IFERROR(__xludf.DUMMYFUNCTION("""COMPUTED_VALUE"""),"")</f>
        <v/>
      </c>
      <c r="O1977" s="17" t="str">
        <f>IFERROR(__xludf.DUMMYFUNCTION("""COMPUTED_VALUE"""),"")</f>
        <v/>
      </c>
      <c r="P1977" s="17" t="str">
        <f>IFERROR(__xludf.DUMMYFUNCTION("""COMPUTED_VALUE"""),"")</f>
        <v/>
      </c>
      <c r="Q1977" s="17" t="str">
        <f>IFERROR(__xludf.DUMMYFUNCTION("""COMPUTED_VALUE"""),"")</f>
        <v/>
      </c>
      <c r="R1977" s="17" t="str">
        <f>IFERROR(__xludf.DUMMYFUNCTION("""COMPUTED_VALUE"""),"")</f>
        <v/>
      </c>
    </row>
    <row r="1978">
      <c r="A1978" s="15">
        <f>IFERROR(__xludf.DUMMYFUNCTION("""COMPUTED_VALUE"""),45058.0)</f>
        <v>45058</v>
      </c>
      <c r="B1978" s="17"/>
      <c r="C1978" s="15" t="str">
        <f>IFERROR(__xludf.DUMMYFUNCTION("""COMPUTED_VALUE"""),"BARRANQUILLA")</f>
        <v>BARRANQUILLA</v>
      </c>
      <c r="D1978" s="15" t="str">
        <f>IFERROR(__xludf.DUMMYFUNCTION("""COMPUTED_VALUE"""),"BOGOTÁ")</f>
        <v>BOGOTÁ</v>
      </c>
      <c r="E1978" s="15" t="str">
        <f>IFERROR(__xludf.DUMMYFUNCTION("""COMPUTED_VALUE"""),"MAI ALIMENTOS S.A.S")</f>
        <v>MAI ALIMENTOS S.A.S</v>
      </c>
      <c r="F1978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1978" s="15" t="str">
        <f>IFERROR(__xludf.DUMMYFUNCTION("""COMPUTED_VALUE"""),"Fithub Barranquilla")</f>
        <v>Fithub Barranquilla</v>
      </c>
      <c r="H1978" s="16">
        <f>IFERROR(__xludf.DUMMYFUNCTION("""COMPUTED_VALUE"""),10406.0)</f>
        <v>10406</v>
      </c>
      <c r="I1978" s="18">
        <f>IFERROR(__xludf.DUMMYFUNCTION("""COMPUTED_VALUE"""),28.0)</f>
        <v>28</v>
      </c>
      <c r="J1978" s="18">
        <f>IFERROR(__xludf.DUMMYFUNCTION("""COMPUTED_VALUE"""),17.0)</f>
        <v>17</v>
      </c>
      <c r="K1978" s="18">
        <f>IFERROR(__xludf.DUMMYFUNCTION("""COMPUTED_VALUE"""),13.0)</f>
        <v>13</v>
      </c>
      <c r="L1978" s="17"/>
      <c r="M1978" s="17" t="str">
        <f>IFERROR(__xludf.DUMMYFUNCTION("""COMPUTED_VALUE"""),"#REF!")</f>
        <v>#REF!</v>
      </c>
      <c r="N1978" s="17"/>
      <c r="O1978" s="17"/>
      <c r="P1978" s="17" t="b">
        <f>IFERROR(__xludf.DUMMYFUNCTION("""COMPUTED_VALUE"""),FALSE)</f>
        <v>0</v>
      </c>
      <c r="Q1978" s="20" t="str">
        <f>IFERROR(__xludf.DUMMYFUNCTION("""COMPUTED_VALUE"""),"")</f>
        <v/>
      </c>
      <c r="R1978" s="22" t="str">
        <f>IFERROR(__xludf.DUMMYFUNCTION("""COMPUTED_VALUE"""),"")</f>
        <v/>
      </c>
    </row>
    <row r="1979">
      <c r="A1979" s="15">
        <f>IFERROR(__xludf.DUMMYFUNCTION("""COMPUTED_VALUE"""),45058.0)</f>
        <v>45058</v>
      </c>
      <c r="B1979" s="17"/>
      <c r="C1979" s="15" t="str">
        <f>IFERROR(__xludf.DUMMYFUNCTION("""COMPUTED_VALUE"""),"CÚCUTA")</f>
        <v>CÚCUTA</v>
      </c>
      <c r="D1979" s="15" t="str">
        <f>IFERROR(__xludf.DUMMYFUNCTION("""COMPUTED_VALUE"""),"MEDELLÍN")</f>
        <v>MEDELLÍN</v>
      </c>
      <c r="E1979" s="15" t="str">
        <f>IFERROR(__xludf.DUMMYFUNCTION("""COMPUTED_VALUE"""),"Baby Chef")</f>
        <v>Baby Chef</v>
      </c>
      <c r="F1979" s="17" t="str">
        <f>IFERROR(__xludf.DUMMYFUNCTION("""COMPUTED_VALUE"""),"Av 5 Bis # 9 - 26 Prados del Este Conjunto Callejas de Este A Casa B3 / Av 5 Bis # 9 - 26 Prados del Este Conjunto Callejas de Este A Casa B3 / Av 5 Bis # 9 - 26 Prados del Este Conjunto Callejas de Este A Casa B3")</f>
        <v>Av 5 Bis # 9 - 26 Prados del Este Conjunto Callejas de Este A Casa B3 / Av 5 Bis # 9 - 26 Prados del Este Conjunto Callejas de Este A Casa B3 / Av 5 Bis # 9 - 26 Prados del Este Conjunto Callejas de Este A Casa B3</v>
      </c>
      <c r="G1979" s="15" t="str">
        <f>IFERROR(__xludf.DUMMYFUNCTION("""COMPUTED_VALUE"""),"Stephany Carreño")</f>
        <v>Stephany Carreño</v>
      </c>
      <c r="H1979" s="16">
        <f>IFERROR(__xludf.DUMMYFUNCTION("""COMPUTED_VALUE"""),10581.0)</f>
        <v>10581</v>
      </c>
      <c r="I1979" s="18">
        <f>IFERROR(__xludf.DUMMYFUNCTION("""COMPUTED_VALUE"""),8.0)</f>
        <v>8</v>
      </c>
      <c r="J1979" s="18">
        <f>IFERROR(__xludf.DUMMYFUNCTION("""COMPUTED_VALUE"""),16.0)</f>
        <v>16</v>
      </c>
      <c r="K1979" s="18">
        <f>IFERROR(__xludf.DUMMYFUNCTION("""COMPUTED_VALUE"""),20.0)</f>
        <v>20</v>
      </c>
      <c r="L1979" s="17">
        <f>IFERROR(__xludf.DUMMYFUNCTION("""COMPUTED_VALUE"""),3.246827585E9)</f>
        <v>3246827585</v>
      </c>
      <c r="M1979" s="17" t="str">
        <f>IFERROR(__xludf.DUMMYFUNCTION("""COMPUTED_VALUE"""),"#REF!")</f>
        <v>#REF!</v>
      </c>
      <c r="N1979" s="17"/>
      <c r="O1979" s="17"/>
      <c r="P1979" s="17" t="b">
        <f>IFERROR(__xludf.DUMMYFUNCTION("""COMPUTED_VALUE"""),FALSE)</f>
        <v>0</v>
      </c>
      <c r="Q1979" s="20" t="str">
        <f>IFERROR(__xludf.DUMMYFUNCTION("""COMPUTED_VALUE"""),"")</f>
        <v/>
      </c>
      <c r="R1979" s="22" t="str">
        <f>IFERROR(__xludf.DUMMYFUNCTION("""COMPUTED_VALUE"""),"")</f>
        <v/>
      </c>
    </row>
    <row r="1980">
      <c r="A1980" s="15">
        <f>IFERROR(__xludf.DUMMYFUNCTION("""COMPUTED_VALUE"""),45058.0)</f>
        <v>45058</v>
      </c>
      <c r="B1980" s="17"/>
      <c r="C1980" s="15" t="str">
        <f>IFERROR(__xludf.DUMMYFUNCTION("""COMPUTED_VALUE"""),"CÚCUTA")</f>
        <v>CÚCUTA</v>
      </c>
      <c r="D1980" s="15" t="str">
        <f>IFERROR(__xludf.DUMMYFUNCTION("""COMPUTED_VALUE"""),"MEDELLÍN")</f>
        <v>MEDELLÍN</v>
      </c>
      <c r="E1980" s="15" t="str">
        <f>IFERROR(__xludf.DUMMYFUNCTION("""COMPUTED_VALUE"""),"La Bodeguita")</f>
        <v>La Bodeguita</v>
      </c>
      <c r="F1980" s="17" t="str">
        <f>IFERROR(__xludf.DUMMYFUNCTION("""COMPUTED_VALUE"""),"Av 3e No 6cn-12 / Local comercial / Ceiba dos")</f>
        <v>Av 3e No 6cn-12 / Local comercial / Ceiba dos</v>
      </c>
      <c r="G1980" s="15" t="str">
        <f>IFERROR(__xludf.DUMMYFUNCTION("""COMPUTED_VALUE"""),"La bodeguita market fit")</f>
        <v>La bodeguita market fit</v>
      </c>
      <c r="H1980" s="16">
        <f>IFERROR(__xludf.DUMMYFUNCTION("""COMPUTED_VALUE"""),10576.0)</f>
        <v>10576</v>
      </c>
      <c r="I1980" s="18">
        <f>IFERROR(__xludf.DUMMYFUNCTION("""COMPUTED_VALUE"""),19.0)</f>
        <v>19</v>
      </c>
      <c r="J1980" s="18">
        <f>IFERROR(__xludf.DUMMYFUNCTION("""COMPUTED_VALUE"""),37.0)</f>
        <v>37</v>
      </c>
      <c r="K1980" s="18">
        <f>IFERROR(__xludf.DUMMYFUNCTION("""COMPUTED_VALUE"""),50.0)</f>
        <v>50</v>
      </c>
      <c r="L1980" s="17">
        <f>IFERROR(__xludf.DUMMYFUNCTION("""COMPUTED_VALUE"""),3.209091389E9)</f>
        <v>3209091389</v>
      </c>
      <c r="M1980" s="17" t="str">
        <f>IFERROR(__xludf.DUMMYFUNCTION("""COMPUTED_VALUE"""),"#REF!")</f>
        <v>#REF!</v>
      </c>
      <c r="N1980" s="17"/>
      <c r="O1980" s="17"/>
      <c r="P1980" s="17" t="b">
        <f>IFERROR(__xludf.DUMMYFUNCTION("""COMPUTED_VALUE"""),FALSE)</f>
        <v>0</v>
      </c>
      <c r="Q1980" s="20" t="str">
        <f>IFERROR(__xludf.DUMMYFUNCTION("""COMPUTED_VALUE"""),"")</f>
        <v/>
      </c>
      <c r="R1980" s="22" t="str">
        <f>IFERROR(__xludf.DUMMYFUNCTION("""COMPUTED_VALUE"""),"")</f>
        <v/>
      </c>
    </row>
    <row r="1981">
      <c r="A1981" s="15">
        <f>IFERROR(__xludf.DUMMYFUNCTION("""COMPUTED_VALUE"""),45058.0)</f>
        <v>45058</v>
      </c>
      <c r="B1981" s="17"/>
      <c r="C1981" s="15" t="str">
        <f>IFERROR(__xludf.DUMMYFUNCTION("""COMPUTED_VALUE"""),"CÚCUTA")</f>
        <v>CÚCUTA</v>
      </c>
      <c r="D1981" s="15" t="str">
        <f>IFERROR(__xludf.DUMMYFUNCTION("""COMPUTED_VALUE"""),"MEDELLÍN")</f>
        <v>MEDELLÍN</v>
      </c>
      <c r="E1981" s="15" t="str">
        <f>IFERROR(__xludf.DUMMYFUNCTION("""COMPUTED_VALUE"""),"Momo Tea S.A.S Gabriel Echavarría")</f>
        <v>Momo Tea S.A.S Gabriel Echavarría</v>
      </c>
      <c r="F1981" s="17" t="str">
        <f>IFERROR(__xludf.DUMMYFUNCTION("""COMPUTED_VALUE"""),"CL 11 N 16 E 35 / CA B 1")</f>
        <v>CL 11 N 16 E 35 / CA B 1</v>
      </c>
      <c r="G1981" s="15" t="str">
        <f>IFERROR(__xludf.DUMMYFUNCTION("""COMPUTED_VALUE"""),"Gabriel Echavarría")</f>
        <v>Gabriel Echavarría</v>
      </c>
      <c r="H1981" s="16">
        <f>IFERROR(__xludf.DUMMYFUNCTION("""COMPUTED_VALUE"""),10463.0)</f>
        <v>10463</v>
      </c>
      <c r="I1981" s="18">
        <f>IFERROR(__xludf.DUMMYFUNCTION("""COMPUTED_VALUE"""),21.0)</f>
        <v>21</v>
      </c>
      <c r="J1981" s="18">
        <f>IFERROR(__xludf.DUMMYFUNCTION("""COMPUTED_VALUE"""),29.0)</f>
        <v>29</v>
      </c>
      <c r="K1981" s="18">
        <f>IFERROR(__xludf.DUMMYFUNCTION("""COMPUTED_VALUE"""),29.0)</f>
        <v>29</v>
      </c>
      <c r="L1981" s="17">
        <f>IFERROR(__xludf.DUMMYFUNCTION("""COMPUTED_VALUE"""),3.017909548E9)</f>
        <v>3017909548</v>
      </c>
      <c r="M1981" s="17" t="str">
        <f>IFERROR(__xludf.DUMMYFUNCTION("""COMPUTED_VALUE"""),"#REF!")</f>
        <v>#REF!</v>
      </c>
      <c r="N1981" s="17"/>
      <c r="O1981" s="17"/>
      <c r="P1981" s="17" t="b">
        <f>IFERROR(__xludf.DUMMYFUNCTION("""COMPUTED_VALUE"""),FALSE)</f>
        <v>0</v>
      </c>
      <c r="Q1981" s="20" t="str">
        <f>IFERROR(__xludf.DUMMYFUNCTION("""COMPUTED_VALUE"""),"")</f>
        <v/>
      </c>
      <c r="R1981" s="22" t="str">
        <f>IFERROR(__xludf.DUMMYFUNCTION("""COMPUTED_VALUE"""),"")</f>
        <v/>
      </c>
    </row>
    <row r="1982">
      <c r="A1982" s="15">
        <f>IFERROR(__xludf.DUMMYFUNCTION("""COMPUTED_VALUE"""),45058.0)</f>
        <v>45058</v>
      </c>
      <c r="B1982" s="17"/>
      <c r="C1982" s="15" t="str">
        <f>IFERROR(__xludf.DUMMYFUNCTION("""COMPUTED_VALUE"""),"CÚCUTA")</f>
        <v>CÚCUTA</v>
      </c>
      <c r="D1982" s="15" t="str">
        <f>IFERROR(__xludf.DUMMYFUNCTION("""COMPUTED_VALUE"""),"MEDELLÍN")</f>
        <v>MEDELLÍN</v>
      </c>
      <c r="E1982" s="15" t="str">
        <f>IFERROR(__xludf.DUMMYFUNCTION("""COMPUTED_VALUE"""),"Momo Tea S.A.S Gabriel Echavarría")</f>
        <v>Momo Tea S.A.S Gabriel Echavarría</v>
      </c>
      <c r="F1982" s="17" t="str">
        <f>IFERROR(__xludf.DUMMYFUNCTION("""COMPUTED_VALUE"""),"CL 11 N 16 E 35 / CA B 1")</f>
        <v>CL 11 N 16 E 35 / CA B 1</v>
      </c>
      <c r="G1982" s="15" t="str">
        <f>IFERROR(__xludf.DUMMYFUNCTION("""COMPUTED_VALUE"""),"Gabriel Echavarría")</f>
        <v>Gabriel Echavarría</v>
      </c>
      <c r="H1982" s="16">
        <f>IFERROR(__xludf.DUMMYFUNCTION("""COMPUTED_VALUE"""),10464.0)</f>
        <v>10464</v>
      </c>
      <c r="I1982" s="18" t="str">
        <f>IFERROR(__xludf.DUMMYFUNCTION("""COMPUTED_VALUE"""),"34.5")</f>
        <v>34.5</v>
      </c>
      <c r="J1982" s="18">
        <f>IFERROR(__xludf.DUMMYFUNCTION("""COMPUTED_VALUE"""),54.0)</f>
        <v>54</v>
      </c>
      <c r="K1982" s="18">
        <f>IFERROR(__xludf.DUMMYFUNCTION("""COMPUTED_VALUE"""),26.0)</f>
        <v>26</v>
      </c>
      <c r="L1982" s="17">
        <f>IFERROR(__xludf.DUMMYFUNCTION("""COMPUTED_VALUE"""),3.017909548E9)</f>
        <v>3017909548</v>
      </c>
      <c r="M1982" s="17" t="str">
        <f>IFERROR(__xludf.DUMMYFUNCTION("""COMPUTED_VALUE"""),"#REF!")</f>
        <v>#REF!</v>
      </c>
      <c r="N1982" s="17"/>
      <c r="O1982" s="17"/>
      <c r="P1982" s="17" t="b">
        <f>IFERROR(__xludf.DUMMYFUNCTION("""COMPUTED_VALUE"""),FALSE)</f>
        <v>0</v>
      </c>
      <c r="Q1982" s="20" t="str">
        <f>IFERROR(__xludf.DUMMYFUNCTION("""COMPUTED_VALUE"""),"")</f>
        <v/>
      </c>
      <c r="R1982" s="22" t="str">
        <f>IFERROR(__xludf.DUMMYFUNCTION("""COMPUTED_VALUE"""),"")</f>
        <v/>
      </c>
    </row>
    <row r="1983">
      <c r="A1983" s="15">
        <f>IFERROR(__xludf.DUMMYFUNCTION("""COMPUTED_VALUE"""),45058.0)</f>
        <v>45058</v>
      </c>
      <c r="B1983" s="17"/>
      <c r="C1983" s="15" t="str">
        <f>IFERROR(__xludf.DUMMYFUNCTION("""COMPUTED_VALUE"""),"CÚCUTA")</f>
        <v>CÚCUTA</v>
      </c>
      <c r="D1983" s="15" t="str">
        <f>IFERROR(__xludf.DUMMYFUNCTION("""COMPUTED_VALUE"""),"MEDELLÍN")</f>
        <v>MEDELLÍN</v>
      </c>
      <c r="E1983" s="15" t="str">
        <f>IFERROR(__xludf.DUMMYFUNCTION("""COMPUTED_VALUE"""),"Momo Tea S.A.S Gabriel Echavarría")</f>
        <v>Momo Tea S.A.S Gabriel Echavarría</v>
      </c>
      <c r="F1983" s="17" t="str">
        <f>IFERROR(__xludf.DUMMYFUNCTION("""COMPUTED_VALUE"""),"CL 11 N 16 E 35 / CA B 1")</f>
        <v>CL 11 N 16 E 35 / CA B 1</v>
      </c>
      <c r="G1983" s="15" t="str">
        <f>IFERROR(__xludf.DUMMYFUNCTION("""COMPUTED_VALUE"""),"Gabriel Echavarría")</f>
        <v>Gabriel Echavarría</v>
      </c>
      <c r="H1983" s="16">
        <f>IFERROR(__xludf.DUMMYFUNCTION("""COMPUTED_VALUE"""),10465.0)</f>
        <v>10465</v>
      </c>
      <c r="I1983" s="18">
        <f>IFERROR(__xludf.DUMMYFUNCTION("""COMPUTED_VALUE"""),24.0)</f>
        <v>24</v>
      </c>
      <c r="J1983" s="18">
        <f>IFERROR(__xludf.DUMMYFUNCTION("""COMPUTED_VALUE"""),3.0)</f>
        <v>3</v>
      </c>
      <c r="K1983" s="18">
        <f>IFERROR(__xludf.DUMMYFUNCTION("""COMPUTED_VALUE"""),26.0)</f>
        <v>26</v>
      </c>
      <c r="L1983" s="17">
        <f>IFERROR(__xludf.DUMMYFUNCTION("""COMPUTED_VALUE"""),3.017909548E9)</f>
        <v>3017909548</v>
      </c>
      <c r="M1983" s="17" t="str">
        <f>IFERROR(__xludf.DUMMYFUNCTION("""COMPUTED_VALUE"""),"#REF!")</f>
        <v>#REF!</v>
      </c>
      <c r="N1983" s="17"/>
      <c r="O1983" s="17"/>
      <c r="P1983" s="17" t="b">
        <f>IFERROR(__xludf.DUMMYFUNCTION("""COMPUTED_VALUE"""),FALSE)</f>
        <v>0</v>
      </c>
      <c r="Q1983" s="20" t="str">
        <f>IFERROR(__xludf.DUMMYFUNCTION("""COMPUTED_VALUE"""),"")</f>
        <v/>
      </c>
      <c r="R1983" s="22" t="str">
        <f>IFERROR(__xludf.DUMMYFUNCTION("""COMPUTED_VALUE"""),"")</f>
        <v/>
      </c>
    </row>
    <row r="1984">
      <c r="A1984" s="15">
        <f>IFERROR(__xludf.DUMMYFUNCTION("""COMPUTED_VALUE"""),45058.0)</f>
        <v>45058</v>
      </c>
      <c r="B1984" s="17"/>
      <c r="C1984" s="15" t="str">
        <f>IFERROR(__xludf.DUMMYFUNCTION("""COMPUTED_VALUE"""),"CÚCUTA")</f>
        <v>CÚCUTA</v>
      </c>
      <c r="D1984" s="15" t="str">
        <f>IFERROR(__xludf.DUMMYFUNCTION("""COMPUTED_VALUE"""),"MEDELLÍN")</f>
        <v>MEDELLÍN</v>
      </c>
      <c r="E1984" s="15" t="str">
        <f>IFERROR(__xludf.DUMMYFUNCTION("""COMPUTED_VALUE"""),"Momo Tea S.A.S Gabriel Echavarría")</f>
        <v>Momo Tea S.A.S Gabriel Echavarría</v>
      </c>
      <c r="F1984" s="17" t="str">
        <f>IFERROR(__xludf.DUMMYFUNCTION("""COMPUTED_VALUE"""),"CL 11 N 16 E 35 / CA B 1")</f>
        <v>CL 11 N 16 E 35 / CA B 1</v>
      </c>
      <c r="G1984" s="15" t="str">
        <f>IFERROR(__xludf.DUMMYFUNCTION("""COMPUTED_VALUE"""),"Gabriel Echavarría")</f>
        <v>Gabriel Echavarría</v>
      </c>
      <c r="H1984" s="16">
        <f>IFERROR(__xludf.DUMMYFUNCTION("""COMPUTED_VALUE"""),10466.0)</f>
        <v>10466</v>
      </c>
      <c r="I1984" s="18">
        <f>IFERROR(__xludf.DUMMYFUNCTION("""COMPUTED_VALUE"""),19.0)</f>
        <v>19</v>
      </c>
      <c r="J1984" s="18">
        <f>IFERROR(__xludf.DUMMYFUNCTION("""COMPUTED_VALUE"""),11.0)</f>
        <v>11</v>
      </c>
      <c r="K1984" s="18">
        <f>IFERROR(__xludf.DUMMYFUNCTION("""COMPUTED_VALUE"""),32.0)</f>
        <v>32</v>
      </c>
      <c r="L1984" s="17">
        <f>IFERROR(__xludf.DUMMYFUNCTION("""COMPUTED_VALUE"""),3.017909548E9)</f>
        <v>3017909548</v>
      </c>
      <c r="M1984" s="17" t="str">
        <f>IFERROR(__xludf.DUMMYFUNCTION("""COMPUTED_VALUE"""),"#REF!")</f>
        <v>#REF!</v>
      </c>
      <c r="N1984" s="17"/>
      <c r="O1984" s="17"/>
      <c r="P1984" s="17" t="b">
        <f>IFERROR(__xludf.DUMMYFUNCTION("""COMPUTED_VALUE"""),FALSE)</f>
        <v>0</v>
      </c>
      <c r="Q1984" s="20" t="str">
        <f>IFERROR(__xludf.DUMMYFUNCTION("""COMPUTED_VALUE"""),"")</f>
        <v/>
      </c>
      <c r="R1984" s="22" t="str">
        <f>IFERROR(__xludf.DUMMYFUNCTION("""COMPUTED_VALUE"""),"")</f>
        <v/>
      </c>
    </row>
    <row r="1985">
      <c r="A1985" s="15">
        <f>IFERROR(__xludf.DUMMYFUNCTION("""COMPUTED_VALUE"""),45058.0)</f>
        <v>45058</v>
      </c>
      <c r="B1985" s="17"/>
      <c r="C1985" s="15" t="str">
        <f>IFERROR(__xludf.DUMMYFUNCTION("""COMPUTED_VALUE"""),"CÚCUTA")</f>
        <v>CÚCUTA</v>
      </c>
      <c r="D1985" s="15" t="str">
        <f>IFERROR(__xludf.DUMMYFUNCTION("""COMPUTED_VALUE"""),"MEDELLÍN")</f>
        <v>MEDELLÍN</v>
      </c>
      <c r="E1985" s="15" t="str">
        <f>IFERROR(__xludf.DUMMYFUNCTION("""COMPUTED_VALUE"""),"Momo Tea S.A.S Gabriel Echavarría")</f>
        <v>Momo Tea S.A.S Gabriel Echavarría</v>
      </c>
      <c r="F1985" s="17" t="str">
        <f>IFERROR(__xludf.DUMMYFUNCTION("""COMPUTED_VALUE"""),"CL 11 N 16 E 35 / CA B 1")</f>
        <v>CL 11 N 16 E 35 / CA B 1</v>
      </c>
      <c r="G1985" s="15" t="str">
        <f>IFERROR(__xludf.DUMMYFUNCTION("""COMPUTED_VALUE"""),"Gabriel Echavarría")</f>
        <v>Gabriel Echavarría</v>
      </c>
      <c r="H1985" s="16">
        <f>IFERROR(__xludf.DUMMYFUNCTION("""COMPUTED_VALUE"""),10467.0)</f>
        <v>10467</v>
      </c>
      <c r="I1985" s="18">
        <f>IFERROR(__xludf.DUMMYFUNCTION("""COMPUTED_VALUE"""),17.0)</f>
        <v>17</v>
      </c>
      <c r="J1985" s="18">
        <f>IFERROR(__xludf.DUMMYFUNCTION("""COMPUTED_VALUE"""),17.0)</f>
        <v>17</v>
      </c>
      <c r="K1985" s="18">
        <f>IFERROR(__xludf.DUMMYFUNCTION("""COMPUTED_VALUE"""),23.0)</f>
        <v>23</v>
      </c>
      <c r="L1985" s="17">
        <f>IFERROR(__xludf.DUMMYFUNCTION("""COMPUTED_VALUE"""),3.017909548E9)</f>
        <v>3017909548</v>
      </c>
      <c r="M1985" s="17" t="str">
        <f>IFERROR(__xludf.DUMMYFUNCTION("""COMPUTED_VALUE"""),"#REF!")</f>
        <v>#REF!</v>
      </c>
      <c r="N1985" s="17"/>
      <c r="O1985" s="17"/>
      <c r="P1985" s="17" t="b">
        <f>IFERROR(__xludf.DUMMYFUNCTION("""COMPUTED_VALUE"""),FALSE)</f>
        <v>0</v>
      </c>
      <c r="Q1985" s="20" t="str">
        <f>IFERROR(__xludf.DUMMYFUNCTION("""COMPUTED_VALUE"""),"")</f>
        <v/>
      </c>
      <c r="R1985" s="22" t="str">
        <f>IFERROR(__xludf.DUMMYFUNCTION("""COMPUTED_VALUE"""),"")</f>
        <v/>
      </c>
    </row>
    <row r="1986">
      <c r="A1986" s="15">
        <f>IFERROR(__xludf.DUMMYFUNCTION("""COMPUTED_VALUE"""),45058.0)</f>
        <v>45058</v>
      </c>
      <c r="B1986" s="17"/>
      <c r="C1986" s="15" t="str">
        <f>IFERROR(__xludf.DUMMYFUNCTION("""COMPUTED_VALUE"""),"CÚCUTA")</f>
        <v>CÚCUTA</v>
      </c>
      <c r="D1986" s="15" t="str">
        <f>IFERROR(__xludf.DUMMYFUNCTION("""COMPUTED_VALUE"""),"MEDELLÍN")</f>
        <v>MEDELLÍN</v>
      </c>
      <c r="E1986" s="15" t="str">
        <f>IFERROR(__xludf.DUMMYFUNCTION("""COMPUTED_VALUE"""),"Momo Tea S.A.S Gabriel Echavarría")</f>
        <v>Momo Tea S.A.S Gabriel Echavarría</v>
      </c>
      <c r="F1986" s="17" t="str">
        <f>IFERROR(__xludf.DUMMYFUNCTION("""COMPUTED_VALUE"""),"CL 11 N 16 E 35 / CA B 1")</f>
        <v>CL 11 N 16 E 35 / CA B 1</v>
      </c>
      <c r="G1986" s="15" t="str">
        <f>IFERROR(__xludf.DUMMYFUNCTION("""COMPUTED_VALUE"""),"Gabriel Echavarría")</f>
        <v>Gabriel Echavarría</v>
      </c>
      <c r="H1986" s="16">
        <f>IFERROR(__xludf.DUMMYFUNCTION("""COMPUTED_VALUE"""),10469.0)</f>
        <v>10469</v>
      </c>
      <c r="I1986" s="18">
        <f>IFERROR(__xludf.DUMMYFUNCTION("""COMPUTED_VALUE"""),63.0)</f>
        <v>63</v>
      </c>
      <c r="J1986" s="18">
        <f>IFERROR(__xludf.DUMMYFUNCTION("""COMPUTED_VALUE"""),10.0)</f>
        <v>10</v>
      </c>
      <c r="K1986" s="18">
        <f>IFERROR(__xludf.DUMMYFUNCTION("""COMPUTED_VALUE"""),9.0)</f>
        <v>9</v>
      </c>
      <c r="L1986" s="17">
        <f>IFERROR(__xludf.DUMMYFUNCTION("""COMPUTED_VALUE"""),3.017909548E9)</f>
        <v>3017909548</v>
      </c>
      <c r="M1986" s="17" t="str">
        <f>IFERROR(__xludf.DUMMYFUNCTION("""COMPUTED_VALUE"""),"#REF!")</f>
        <v>#REF!</v>
      </c>
      <c r="N1986" s="17"/>
      <c r="O1986" s="17"/>
      <c r="P1986" s="17" t="b">
        <f>IFERROR(__xludf.DUMMYFUNCTION("""COMPUTED_VALUE"""),FALSE)</f>
        <v>0</v>
      </c>
      <c r="Q1986" s="20" t="str">
        <f>IFERROR(__xludf.DUMMYFUNCTION("""COMPUTED_VALUE"""),"")</f>
        <v/>
      </c>
      <c r="R1986" s="22" t="str">
        <f>IFERROR(__xludf.DUMMYFUNCTION("""COMPUTED_VALUE"""),"")</f>
        <v/>
      </c>
    </row>
    <row r="1987">
      <c r="A1987" s="17" t="str">
        <f>IFERROR(__xludf.DUMMYFUNCTION("""COMPUTED_VALUE"""),"")</f>
        <v/>
      </c>
      <c r="B1987" s="17" t="str">
        <f>IFERROR(__xludf.DUMMYFUNCTION("""COMPUTED_VALUE"""),"")</f>
        <v/>
      </c>
      <c r="C1987" s="17" t="str">
        <f>IFERROR(__xludf.DUMMYFUNCTION("""COMPUTED_VALUE"""),"")</f>
        <v/>
      </c>
      <c r="D1987" s="17" t="str">
        <f>IFERROR(__xludf.DUMMYFUNCTION("""COMPUTED_VALUE"""),"")</f>
        <v/>
      </c>
      <c r="E1987" s="17" t="str">
        <f>IFERROR(__xludf.DUMMYFUNCTION("""COMPUTED_VALUE"""),"")</f>
        <v/>
      </c>
      <c r="F1987" s="17" t="str">
        <f>IFERROR(__xludf.DUMMYFUNCTION("""COMPUTED_VALUE"""),"")</f>
        <v/>
      </c>
      <c r="G1987" s="17" t="str">
        <f>IFERROR(__xludf.DUMMYFUNCTION("""COMPUTED_VALUE"""),"")</f>
        <v/>
      </c>
      <c r="H1987" s="17" t="str">
        <f>IFERROR(__xludf.DUMMYFUNCTION("""COMPUTED_VALUE"""),"")</f>
        <v/>
      </c>
      <c r="I1987" s="17" t="str">
        <f>IFERROR(__xludf.DUMMYFUNCTION("""COMPUTED_VALUE"""),"")</f>
        <v/>
      </c>
      <c r="J1987" s="17" t="str">
        <f>IFERROR(__xludf.DUMMYFUNCTION("""COMPUTED_VALUE"""),"")</f>
        <v/>
      </c>
      <c r="K1987" s="17" t="str">
        <f>IFERROR(__xludf.DUMMYFUNCTION("""COMPUTED_VALUE"""),"")</f>
        <v/>
      </c>
      <c r="L1987" s="17" t="str">
        <f>IFERROR(__xludf.DUMMYFUNCTION("""COMPUTED_VALUE"""),"")</f>
        <v/>
      </c>
      <c r="M1987" s="17" t="str">
        <f>IFERROR(__xludf.DUMMYFUNCTION("""COMPUTED_VALUE"""),"")</f>
        <v/>
      </c>
      <c r="N1987" s="17" t="str">
        <f>IFERROR(__xludf.DUMMYFUNCTION("""COMPUTED_VALUE"""),"")</f>
        <v/>
      </c>
      <c r="O1987" s="17" t="str">
        <f>IFERROR(__xludf.DUMMYFUNCTION("""COMPUTED_VALUE"""),"")</f>
        <v/>
      </c>
      <c r="P1987" s="17" t="str">
        <f>IFERROR(__xludf.DUMMYFUNCTION("""COMPUTED_VALUE"""),"")</f>
        <v/>
      </c>
      <c r="Q1987" s="17" t="str">
        <f>IFERROR(__xludf.DUMMYFUNCTION("""COMPUTED_VALUE"""),"")</f>
        <v/>
      </c>
      <c r="R1987" s="17" t="str">
        <f>IFERROR(__xludf.DUMMYFUNCTION("""COMPUTED_VALUE"""),"")</f>
        <v/>
      </c>
    </row>
    <row r="1988">
      <c r="A1988" s="15">
        <f>IFERROR(__xludf.DUMMYFUNCTION("""COMPUTED_VALUE"""),45058.0)</f>
        <v>45058</v>
      </c>
      <c r="B1988" s="16" t="str">
        <f>IFERROR(__xludf.DUMMYFUNCTION("""COMPUTED_VALUE"""),"Andres felipe maya bautista ")</f>
        <v>Andres felipe maya bautista </v>
      </c>
      <c r="C1988" s="15" t="str">
        <f>IFERROR(__xludf.DUMMYFUNCTION("""COMPUTED_VALUE"""),"BOGOTÁ")</f>
        <v>BOGOTÁ</v>
      </c>
      <c r="D1988" s="15" t="str">
        <f>IFERROR(__xludf.DUMMYFUNCTION("""COMPUTED_VALUE"""),"MEDELLÍN")</f>
        <v>MEDELLÍN</v>
      </c>
      <c r="E1988" s="15" t="str">
        <f>IFERROR(__xludf.DUMMYFUNCTION("""COMPUTED_VALUE"""),"AREPAS LA MARY")</f>
        <v>AREPAS LA MARY</v>
      </c>
      <c r="F1988" s="17" t="str">
        <f>IFERROR(__xludf.DUMMYFUNCTION("""COMPUTED_VALUE"""),"CLLLE 104 A N.45 A 60 APTO 409 / SOTTAVENTO")</f>
        <v>CLLLE 104 A N.45 A 60 APTO 409 / SOTTAVENTO</v>
      </c>
      <c r="G1988" s="15" t="str">
        <f>IFERROR(__xludf.DUMMYFUNCTION("""COMPUTED_VALUE"""),"JENNY VERA")</f>
        <v>JENNY VERA</v>
      </c>
      <c r="H1988" s="16">
        <f>IFERROR(__xludf.DUMMYFUNCTION("""COMPUTED_VALUE"""),10591.0)</f>
        <v>10591</v>
      </c>
      <c r="I1988" s="18">
        <f>IFERROR(__xludf.DUMMYFUNCTION("""COMPUTED_VALUE"""),89.0)</f>
        <v>89</v>
      </c>
      <c r="J1988" s="18">
        <f>IFERROR(__xludf.DUMMYFUNCTION("""COMPUTED_VALUE"""),1.0)</f>
        <v>1</v>
      </c>
      <c r="K1988" s="18">
        <f>IFERROR(__xludf.DUMMYFUNCTION("""COMPUTED_VALUE"""),10.0)</f>
        <v>10</v>
      </c>
      <c r="L1988" s="17">
        <f>IFERROR(__xludf.DUMMYFUNCTION("""COMPUTED_VALUE"""),3.204061788E9)</f>
        <v>3204061788</v>
      </c>
      <c r="M1988" s="17" t="str">
        <f>IFERROR(__xludf.DUMMYFUNCTION("""COMPUTED_VALUE"""),"#REF!")</f>
        <v>#REF!</v>
      </c>
      <c r="N1988" s="17"/>
      <c r="O1988" s="17"/>
      <c r="P1988" s="17" t="b">
        <f>IFERROR(__xludf.DUMMYFUNCTION("""COMPUTED_VALUE"""),FALSE)</f>
        <v>0</v>
      </c>
      <c r="Q1988" s="20" t="str">
        <f>IFERROR(__xludf.DUMMYFUNCTION("""COMPUTED_VALUE"""),"")</f>
        <v/>
      </c>
      <c r="R1988" s="22" t="str">
        <f>IFERROR(__xludf.DUMMYFUNCTION("""COMPUTED_VALUE"""),"")</f>
        <v/>
      </c>
    </row>
    <row r="1989">
      <c r="A1989" s="15">
        <f>IFERROR(__xludf.DUMMYFUNCTION("""COMPUTED_VALUE"""),45058.0)</f>
        <v>45058</v>
      </c>
      <c r="B1989" s="16" t="str">
        <f>IFERROR(__xludf.DUMMYFUNCTION("""COMPUTED_VALUE"""),"Andres felipe maya bautista ")</f>
        <v>Andres felipe maya bautista </v>
      </c>
      <c r="C1989" s="15" t="str">
        <f>IFERROR(__xludf.DUMMYFUNCTION("""COMPUTED_VALUE"""),"BOGOTÁ")</f>
        <v>BOGOTÁ</v>
      </c>
      <c r="D1989" s="15" t="str">
        <f>IFERROR(__xludf.DUMMYFUNCTION("""COMPUTED_VALUE"""),"MEDELLÍN")</f>
        <v>MEDELLÍN</v>
      </c>
      <c r="E1989" s="15" t="str">
        <f>IFERROR(__xludf.DUMMYFUNCTION("""COMPUTED_VALUE"""),"AREPAS LA MARY")</f>
        <v>AREPAS LA MARY</v>
      </c>
      <c r="F1989" s="17" t="str">
        <f>IFERROR(__xludf.DUMMYFUNCTION("""COMPUTED_VALUE"""),"CRA 72B 52A 23 / CASA")</f>
        <v>CRA 72B 52A 23 / CASA</v>
      </c>
      <c r="G1989" s="15" t="str">
        <f>IFERROR(__xludf.DUMMYFUNCTION("""COMPUTED_VALUE"""),"LINA MARIA CORTES")</f>
        <v>LINA MARIA CORTES</v>
      </c>
      <c r="H1989" s="16">
        <f>IFERROR(__xludf.DUMMYFUNCTION("""COMPUTED_VALUE"""),10590.0)</f>
        <v>10590</v>
      </c>
      <c r="I1989" s="18">
        <f>IFERROR(__xludf.DUMMYFUNCTION("""COMPUTED_VALUE"""),89.0)</f>
        <v>89</v>
      </c>
      <c r="J1989" s="18">
        <f>IFERROR(__xludf.DUMMYFUNCTION("""COMPUTED_VALUE"""),1.0)</f>
        <v>1</v>
      </c>
      <c r="K1989" s="18">
        <f>IFERROR(__xludf.DUMMYFUNCTION("""COMPUTED_VALUE"""),10.0)</f>
        <v>10</v>
      </c>
      <c r="L1989" s="17">
        <f>IFERROR(__xludf.DUMMYFUNCTION("""COMPUTED_VALUE"""),3.132602587E9)</f>
        <v>3132602587</v>
      </c>
      <c r="M1989" s="17" t="str">
        <f>IFERROR(__xludf.DUMMYFUNCTION("""COMPUTED_VALUE"""),"#REF!")</f>
        <v>#REF!</v>
      </c>
      <c r="N1989" s="17"/>
      <c r="O1989" s="17"/>
      <c r="P1989" s="17" t="b">
        <f>IFERROR(__xludf.DUMMYFUNCTION("""COMPUTED_VALUE"""),FALSE)</f>
        <v>0</v>
      </c>
      <c r="Q1989" s="20" t="str">
        <f>IFERROR(__xludf.DUMMYFUNCTION("""COMPUTED_VALUE"""),"")</f>
        <v/>
      </c>
      <c r="R1989" s="22" t="str">
        <f>IFERROR(__xludf.DUMMYFUNCTION("""COMPUTED_VALUE"""),"")</f>
        <v/>
      </c>
    </row>
    <row r="1990">
      <c r="A1990" s="15">
        <f>IFERROR(__xludf.DUMMYFUNCTION("""COMPUTED_VALUE"""),45058.0)</f>
        <v>45058</v>
      </c>
      <c r="B1990" s="16" t="str">
        <f>IFERROR(__xludf.DUMMYFUNCTION("""COMPUTED_VALUE"""),"Andres felipe maya bautista ")</f>
        <v>Andres felipe maya bautista </v>
      </c>
      <c r="C1990" s="15" t="str">
        <f>IFERROR(__xludf.DUMMYFUNCTION("""COMPUTED_VALUE"""),"BOGOTÁ")</f>
        <v>BOGOTÁ</v>
      </c>
      <c r="D1990" s="15" t="str">
        <f>IFERROR(__xludf.DUMMYFUNCTION("""COMPUTED_VALUE"""),"MEDELLÍN")</f>
        <v>MEDELLÍN</v>
      </c>
      <c r="E1990" s="15" t="str">
        <f>IFERROR(__xludf.DUMMYFUNCTION("""COMPUTED_VALUE"""),"Puro Verde")</f>
        <v>Puro Verde</v>
      </c>
      <c r="F1990" s="17" t="str">
        <f>IFERROR(__xludf.DUMMYFUNCTION("""COMPUTED_VALUE"""),"AV CRA 15 # 90-20.  / LOCAL 109 / BARRIO CHICO")</f>
        <v>AV CRA 15 # 90-20.  / LOCAL 109 / BARRIO CHICO</v>
      </c>
      <c r="G1990" s="15" t="str">
        <f>IFERROR(__xludf.DUMMYFUNCTION("""COMPUTED_VALUE"""),"DANDO CUERDA")</f>
        <v>DANDO CUERDA</v>
      </c>
      <c r="H1990" s="16">
        <f>IFERROR(__xludf.DUMMYFUNCTION("""COMPUTED_VALUE"""),10625.0)</f>
        <v>10625</v>
      </c>
      <c r="I1990" s="18">
        <f>IFERROR(__xludf.DUMMYFUNCTION("""COMPUTED_VALUE"""),55.0)</f>
        <v>55</v>
      </c>
      <c r="J1990" s="18">
        <f>IFERROR(__xludf.DUMMYFUNCTION("""COMPUTED_VALUE"""),45.0)</f>
        <v>45</v>
      </c>
      <c r="K1990" s="18" t="str">
        <f>IFERROR(__xludf.DUMMYFUNCTION("""COMPUTED_VALUE"""),"52.5")</f>
        <v>52.5</v>
      </c>
      <c r="L1990" s="17">
        <f>IFERROR(__xludf.DUMMYFUNCTION("""COMPUTED_VALUE"""),3.163816691E9)</f>
        <v>3163816691</v>
      </c>
      <c r="M1990" s="17" t="str">
        <f>IFERROR(__xludf.DUMMYFUNCTION("""COMPUTED_VALUE"""),"#REF!")</f>
        <v>#REF!</v>
      </c>
      <c r="N1990" s="17"/>
      <c r="O1990" s="17"/>
      <c r="P1990" s="17" t="b">
        <f>IFERROR(__xludf.DUMMYFUNCTION("""COMPUTED_VALUE"""),FALSE)</f>
        <v>0</v>
      </c>
      <c r="Q1990" s="20" t="str">
        <f>IFERROR(__xludf.DUMMYFUNCTION("""COMPUTED_VALUE"""),"")</f>
        <v/>
      </c>
      <c r="R1990" s="22" t="str">
        <f>IFERROR(__xludf.DUMMYFUNCTION("""COMPUTED_VALUE"""),"")</f>
        <v/>
      </c>
    </row>
    <row r="1991">
      <c r="A1991" s="15">
        <f>IFERROR(__xludf.DUMMYFUNCTION("""COMPUTED_VALUE"""),45058.0)</f>
        <v>45058</v>
      </c>
      <c r="B1991" s="16" t="str">
        <f>IFERROR(__xludf.DUMMYFUNCTION("""COMPUTED_VALUE"""),"Andres felipe maya bautista ")</f>
        <v>Andres felipe maya bautista </v>
      </c>
      <c r="C1991" s="15" t="str">
        <f>IFERROR(__xludf.DUMMYFUNCTION("""COMPUTED_VALUE"""),"BOGOTÁ")</f>
        <v>BOGOTÁ</v>
      </c>
      <c r="D1991" s="15" t="str">
        <f>IFERROR(__xludf.DUMMYFUNCTION("""COMPUTED_VALUE"""),"MEDELLÍN")</f>
        <v>MEDELLÍN</v>
      </c>
      <c r="E1991" s="15" t="str">
        <f>IFERROR(__xludf.DUMMYFUNCTION("""COMPUTED_VALUE"""),"Rambla")</f>
        <v>Rambla</v>
      </c>
      <c r="F1991" s="17" t="str">
        <f>IFERROR(__xludf.DUMMYFUNCTION("""COMPUTED_VALUE"""),"Carrera 23 # 104-45  Apto 602  Edificio DosLunas Chico Bogota / NA / NA")</f>
        <v>Carrera 23 # 104-45  Apto 602  Edificio DosLunas Chico Bogota / NA / NA</v>
      </c>
      <c r="G1991" s="15" t="str">
        <f>IFERROR(__xludf.DUMMYFUNCTION("""COMPUTED_VALUE"""),"Angela Ma. Bustamante")</f>
        <v>Angela Ma. Bustamante</v>
      </c>
      <c r="H1991" s="16">
        <f>IFERROR(__xludf.DUMMYFUNCTION("""COMPUTED_VALUE"""),10612.0)</f>
        <v>10612</v>
      </c>
      <c r="I1991" s="18">
        <f>IFERROR(__xludf.DUMMYFUNCTION("""COMPUTED_VALUE"""),18.0)</f>
        <v>18</v>
      </c>
      <c r="J1991" s="18">
        <f>IFERROR(__xludf.DUMMYFUNCTION("""COMPUTED_VALUE"""),21.0)</f>
        <v>21</v>
      </c>
      <c r="K1991" s="18">
        <f>IFERROR(__xludf.DUMMYFUNCTION("""COMPUTED_VALUE"""),25.0)</f>
        <v>25</v>
      </c>
      <c r="L1991" s="17">
        <f>IFERROR(__xludf.DUMMYFUNCTION("""COMPUTED_VALUE"""),3.107776964E9)</f>
        <v>3107776964</v>
      </c>
      <c r="M1991" s="17" t="str">
        <f>IFERROR(__xludf.DUMMYFUNCTION("""COMPUTED_VALUE"""),"#REF!")</f>
        <v>#REF!</v>
      </c>
      <c r="N1991" s="17"/>
      <c r="O1991" s="17"/>
      <c r="P1991" s="17" t="b">
        <f>IFERROR(__xludf.DUMMYFUNCTION("""COMPUTED_VALUE"""),FALSE)</f>
        <v>0</v>
      </c>
      <c r="Q1991" s="20" t="str">
        <f>IFERROR(__xludf.DUMMYFUNCTION("""COMPUTED_VALUE"""),"")</f>
        <v/>
      </c>
      <c r="R1991" s="22" t="str">
        <f>IFERROR(__xludf.DUMMYFUNCTION("""COMPUTED_VALUE"""),"")</f>
        <v/>
      </c>
    </row>
    <row r="1992">
      <c r="A1992" s="15">
        <f>IFERROR(__xludf.DUMMYFUNCTION("""COMPUTED_VALUE"""),45058.0)</f>
        <v>45058</v>
      </c>
      <c r="B1992" s="16" t="str">
        <f>IFERROR(__xludf.DUMMYFUNCTION("""COMPUTED_VALUE"""),"Andres felipe maya bautista ")</f>
        <v>Andres felipe maya bautista </v>
      </c>
      <c r="C1992" s="15" t="str">
        <f>IFERROR(__xludf.DUMMYFUNCTION("""COMPUTED_VALUE"""),"BOGOTÁ")</f>
        <v>BOGOTÁ</v>
      </c>
      <c r="D1992" s="15" t="str">
        <f>IFERROR(__xludf.DUMMYFUNCTION("""COMPUTED_VALUE"""),"MEDELLÍN")</f>
        <v>MEDELLÍN</v>
      </c>
      <c r="E1992" s="15" t="str">
        <f>IFERROR(__xludf.DUMMYFUNCTION("""COMPUTED_VALUE"""),"Rambla")</f>
        <v>Rambla</v>
      </c>
      <c r="F1992" s="17" t="str">
        <f>IFERROR(__xludf.DUMMYFUNCTION("""COMPUTED_VALUE"""),"Carrera 23 # 114-61  Apto 504 Edificio Sassari  Barrio San Patricio Bogotá / NA / NA")</f>
        <v>Carrera 23 # 114-61  Apto 504 Edificio Sassari  Barrio San Patricio Bogotá / NA / NA</v>
      </c>
      <c r="G1992" s="15" t="str">
        <f>IFERROR(__xludf.DUMMYFUNCTION("""COMPUTED_VALUE"""),"Keila Cuadros")</f>
        <v>Keila Cuadros</v>
      </c>
      <c r="H1992" s="16">
        <f>IFERROR(__xludf.DUMMYFUNCTION("""COMPUTED_VALUE"""),10620.0)</f>
        <v>10620</v>
      </c>
      <c r="I1992" s="18">
        <f>IFERROR(__xludf.DUMMYFUNCTION("""COMPUTED_VALUE"""),18.0)</f>
        <v>18</v>
      </c>
      <c r="J1992" s="18">
        <f>IFERROR(__xludf.DUMMYFUNCTION("""COMPUTED_VALUE"""),21.0)</f>
        <v>21</v>
      </c>
      <c r="K1992" s="18">
        <f>IFERROR(__xludf.DUMMYFUNCTION("""COMPUTED_VALUE"""),25.0)</f>
        <v>25</v>
      </c>
      <c r="L1992" s="17">
        <f>IFERROR(__xludf.DUMMYFUNCTION("""COMPUTED_VALUE"""),3.187652355E9)</f>
        <v>3187652355</v>
      </c>
      <c r="M1992" s="17" t="str">
        <f>IFERROR(__xludf.DUMMYFUNCTION("""COMPUTED_VALUE"""),"#REF!")</f>
        <v>#REF!</v>
      </c>
      <c r="N1992" s="17"/>
      <c r="O1992" s="17"/>
      <c r="P1992" s="17" t="b">
        <f>IFERROR(__xludf.DUMMYFUNCTION("""COMPUTED_VALUE"""),FALSE)</f>
        <v>0</v>
      </c>
      <c r="Q1992" s="20" t="str">
        <f>IFERROR(__xludf.DUMMYFUNCTION("""COMPUTED_VALUE"""),"")</f>
        <v/>
      </c>
      <c r="R1992" s="22" t="str">
        <f>IFERROR(__xludf.DUMMYFUNCTION("""COMPUTED_VALUE"""),"")</f>
        <v/>
      </c>
    </row>
    <row r="1993">
      <c r="A1993" s="17" t="str">
        <f>IFERROR(__xludf.DUMMYFUNCTION("""COMPUTED_VALUE"""),"")</f>
        <v/>
      </c>
      <c r="B1993" s="17" t="str">
        <f>IFERROR(__xludf.DUMMYFUNCTION("""COMPUTED_VALUE"""),"")</f>
        <v/>
      </c>
      <c r="C1993" s="17" t="str">
        <f>IFERROR(__xludf.DUMMYFUNCTION("""COMPUTED_VALUE"""),"")</f>
        <v/>
      </c>
      <c r="D1993" s="17" t="str">
        <f>IFERROR(__xludf.DUMMYFUNCTION("""COMPUTED_VALUE"""),"")</f>
        <v/>
      </c>
      <c r="E1993" s="17" t="str">
        <f>IFERROR(__xludf.DUMMYFUNCTION("""COMPUTED_VALUE"""),"")</f>
        <v/>
      </c>
      <c r="F1993" s="17" t="str">
        <f>IFERROR(__xludf.DUMMYFUNCTION("""COMPUTED_VALUE"""),"")</f>
        <v/>
      </c>
      <c r="G1993" s="17" t="str">
        <f>IFERROR(__xludf.DUMMYFUNCTION("""COMPUTED_VALUE"""),"")</f>
        <v/>
      </c>
      <c r="H1993" s="17" t="str">
        <f>IFERROR(__xludf.DUMMYFUNCTION("""COMPUTED_VALUE"""),"")</f>
        <v/>
      </c>
      <c r="I1993" s="17" t="str">
        <f>IFERROR(__xludf.DUMMYFUNCTION("""COMPUTED_VALUE"""),"")</f>
        <v/>
      </c>
      <c r="J1993" s="17" t="str">
        <f>IFERROR(__xludf.DUMMYFUNCTION("""COMPUTED_VALUE"""),"")</f>
        <v/>
      </c>
      <c r="K1993" s="17" t="str">
        <f>IFERROR(__xludf.DUMMYFUNCTION("""COMPUTED_VALUE"""),"")</f>
        <v/>
      </c>
      <c r="L1993" s="17" t="str">
        <f>IFERROR(__xludf.DUMMYFUNCTION("""COMPUTED_VALUE"""),"")</f>
        <v/>
      </c>
      <c r="M1993" s="17" t="str">
        <f>IFERROR(__xludf.DUMMYFUNCTION("""COMPUTED_VALUE"""),"")</f>
        <v/>
      </c>
      <c r="N1993" s="17" t="str">
        <f>IFERROR(__xludf.DUMMYFUNCTION("""COMPUTED_VALUE"""),"")</f>
        <v/>
      </c>
      <c r="O1993" s="17" t="str">
        <f>IFERROR(__xludf.DUMMYFUNCTION("""COMPUTED_VALUE"""),"")</f>
        <v/>
      </c>
      <c r="P1993" s="17" t="str">
        <f>IFERROR(__xludf.DUMMYFUNCTION("""COMPUTED_VALUE"""),"")</f>
        <v/>
      </c>
      <c r="Q1993" s="17" t="str">
        <f>IFERROR(__xludf.DUMMYFUNCTION("""COMPUTED_VALUE"""),"")</f>
        <v/>
      </c>
      <c r="R1993" s="17" t="str">
        <f>IFERROR(__xludf.DUMMYFUNCTION("""COMPUTED_VALUE"""),"")</f>
        <v/>
      </c>
    </row>
    <row r="1994">
      <c r="A1994" s="15">
        <f>IFERROR(__xludf.DUMMYFUNCTION("""COMPUTED_VALUE"""),45058.0)</f>
        <v>45058</v>
      </c>
      <c r="B1994" s="16" t="str">
        <f>IFERROR(__xludf.DUMMYFUNCTION("""COMPUTED_VALUE"""),"Daniel José sandoval gonzalez")</f>
        <v>Daniel José sandoval gonzalez</v>
      </c>
      <c r="C1994" s="15" t="str">
        <f>IFERROR(__xludf.DUMMYFUNCTION("""COMPUTED_VALUE"""),"BARRANQUILLA")</f>
        <v>BARRANQUILLA</v>
      </c>
      <c r="D1994" s="15" t="str">
        <f>IFERROR(__xludf.DUMMYFUNCTION("""COMPUTED_VALUE"""),"BOGOTÁ")</f>
        <v>BOGOTÁ</v>
      </c>
      <c r="E1994" s="15" t="str">
        <f>IFERROR(__xludf.DUMMYFUNCTION("""COMPUTED_VALUE"""),"Frambascolombia sas")</f>
        <v>Frambascolombia sas</v>
      </c>
      <c r="F1994" s="17" t="str">
        <f>IFERROR(__xludf.DUMMYFUNCTION("""COMPUTED_VALUE"""),"Carrera 45 # 85-168 / local 2")</f>
        <v>Carrera 45 # 85-168 / local 2</v>
      </c>
      <c r="G1994" s="15" t="str">
        <f>IFERROR(__xludf.DUMMYFUNCTION("""COMPUTED_VALUE"""),"Barranquilla BRUNCH &amp; MUNCH")</f>
        <v>Barranquilla BRUNCH &amp; MUNCH</v>
      </c>
      <c r="H1994" s="16">
        <f>IFERROR(__xludf.DUMMYFUNCTION("""COMPUTED_VALUE"""),10556.0)</f>
        <v>10556</v>
      </c>
      <c r="I1994" s="18">
        <f>IFERROR(__xludf.DUMMYFUNCTION("""COMPUTED_VALUE"""),8.0)</f>
        <v>8</v>
      </c>
      <c r="J1994" s="18">
        <f>IFERROR(__xludf.DUMMYFUNCTION("""COMPUTED_VALUE"""),44992.0)</f>
        <v>44992</v>
      </c>
      <c r="K1994" s="18">
        <f>IFERROR(__xludf.DUMMYFUNCTION("""COMPUTED_VALUE"""),44992.0)</f>
        <v>44992</v>
      </c>
      <c r="L1994" s="17">
        <f>IFERROR(__xludf.DUMMYFUNCTION("""COMPUTED_VALUE"""),3.173836649E9)</f>
        <v>3173836649</v>
      </c>
      <c r="M1994" s="17" t="str">
        <f>IFERROR(__xludf.DUMMYFUNCTION("""COMPUTED_VALUE"""),"#REF!")</f>
        <v>#REF!</v>
      </c>
      <c r="N1994" s="17"/>
      <c r="O1994" s="17"/>
      <c r="P1994" s="17" t="b">
        <f>IFERROR(__xludf.DUMMYFUNCTION("""COMPUTED_VALUE"""),FALSE)</f>
        <v>0</v>
      </c>
      <c r="Q1994" s="20" t="str">
        <f>IFERROR(__xludf.DUMMYFUNCTION("""COMPUTED_VALUE"""),"")</f>
        <v/>
      </c>
      <c r="R1994" s="22" t="str">
        <f>IFERROR(__xludf.DUMMYFUNCTION("""COMPUTED_VALUE"""),"")</f>
        <v/>
      </c>
    </row>
    <row r="1995">
      <c r="A1995" s="15">
        <f>IFERROR(__xludf.DUMMYFUNCTION("""COMPUTED_VALUE"""),45058.0)</f>
        <v>45058</v>
      </c>
      <c r="B1995" s="16" t="str">
        <f>IFERROR(__xludf.DUMMYFUNCTION("""COMPUTED_VALUE"""),"Daniel José sandoval gonzalez")</f>
        <v>Daniel José sandoval gonzalez</v>
      </c>
      <c r="C1995" s="15" t="str">
        <f>IFERROR(__xludf.DUMMYFUNCTION("""COMPUTED_VALUE"""),"BARRANQUILLA")</f>
        <v>BARRANQUILLA</v>
      </c>
      <c r="D1995" s="15" t="str">
        <f>IFERROR(__xludf.DUMMYFUNCTION("""COMPUTED_VALUE"""),"BOGOTÁ")</f>
        <v>BOGOTÁ</v>
      </c>
      <c r="E1995" s="15" t="str">
        <f>IFERROR(__xludf.DUMMYFUNCTION("""COMPUTED_VALUE"""),"Spirulina Fresca")</f>
        <v>Spirulina Fresca</v>
      </c>
      <c r="F1995" s="17" t="str">
        <f>IFERROR(__xludf.DUMMYFUNCTION("""COMPUTED_VALUE"""),"Cr 55#80-176 / Apto 203 edificio Summit  / Alto Prado")</f>
        <v>Cr 55#80-176 / Apto 203 edificio Summit  / Alto Prado</v>
      </c>
      <c r="G1995" s="15" t="str">
        <f>IFERROR(__xludf.DUMMYFUNCTION("""COMPUTED_VALUE"""),"María Pilar Sandoval")</f>
        <v>María Pilar Sandoval</v>
      </c>
      <c r="H1995" s="16">
        <f>IFERROR(__xludf.DUMMYFUNCTION("""COMPUTED_VALUE"""),10540.0)</f>
        <v>10540</v>
      </c>
      <c r="I1995" s="18">
        <f>IFERROR(__xludf.DUMMYFUNCTION("""COMPUTED_VALUE"""),10.0)</f>
        <v>10</v>
      </c>
      <c r="J1995" s="18">
        <f>IFERROR(__xludf.DUMMYFUNCTION("""COMPUTED_VALUE"""),12.0)</f>
        <v>12</v>
      </c>
      <c r="K1995" s="18">
        <f>IFERROR(__xludf.DUMMYFUNCTION("""COMPUTED_VALUE"""),22.0)</f>
        <v>22</v>
      </c>
      <c r="L1995" s="17">
        <f>IFERROR(__xludf.DUMMYFUNCTION("""COMPUTED_VALUE"""),3.204891959E9)</f>
        <v>3204891959</v>
      </c>
      <c r="M1995" s="17" t="str">
        <f>IFERROR(__xludf.DUMMYFUNCTION("""COMPUTED_VALUE"""),"#REF!")</f>
        <v>#REF!</v>
      </c>
      <c r="N1995" s="17"/>
      <c r="O1995" s="17"/>
      <c r="P1995" s="17" t="b">
        <f>IFERROR(__xludf.DUMMYFUNCTION("""COMPUTED_VALUE"""),FALSE)</f>
        <v>0</v>
      </c>
      <c r="Q1995" s="20" t="str">
        <f>IFERROR(__xludf.DUMMYFUNCTION("""COMPUTED_VALUE"""),"")</f>
        <v/>
      </c>
      <c r="R1995" s="22" t="str">
        <f>IFERROR(__xludf.DUMMYFUNCTION("""COMPUTED_VALUE"""),"")</f>
        <v/>
      </c>
    </row>
    <row r="1996">
      <c r="A1996" s="15">
        <f>IFERROR(__xludf.DUMMYFUNCTION("""COMPUTED_VALUE"""),45058.0)</f>
        <v>45058</v>
      </c>
      <c r="B1996" s="16" t="str">
        <f>IFERROR(__xludf.DUMMYFUNCTION("""COMPUTED_VALUE"""),"Daniel José sandoval gonzalez")</f>
        <v>Daniel José sandoval gonzalez</v>
      </c>
      <c r="C1996" s="15" t="str">
        <f>IFERROR(__xludf.DUMMYFUNCTION("""COMPUTED_VALUE"""),"BARRANQUILLA")</f>
        <v>BARRANQUILLA</v>
      </c>
      <c r="D1996" s="15" t="str">
        <f>IFERROR(__xludf.DUMMYFUNCTION("""COMPUTED_VALUE"""),"BOGOTÁ")</f>
        <v>BOGOTÁ</v>
      </c>
      <c r="E1996" s="15" t="str">
        <f>IFERROR(__xludf.DUMMYFUNCTION("""COMPUTED_VALUE"""),"Ventura Productos Arg")</f>
        <v>Ventura Productos Arg</v>
      </c>
      <c r="F1996" s="17" t="str">
        <f>IFERROR(__xludf.DUMMYFUNCTION("""COMPUTED_VALUE"""),"Cra 35 #69c-60 casa, apto 201 / Casa, apto 201")</f>
        <v>Cra 35 #69c-60 casa, apto 201 / Casa, apto 201</v>
      </c>
      <c r="G1996" s="15" t="str">
        <f>IFERROR(__xludf.DUMMYFUNCTION("""COMPUTED_VALUE"""),"Ana María Ramírez")</f>
        <v>Ana María Ramírez</v>
      </c>
      <c r="H1996" s="16">
        <f>IFERROR(__xludf.DUMMYFUNCTION("""COMPUTED_VALUE"""),10497.0)</f>
        <v>10497</v>
      </c>
      <c r="I1996" s="18">
        <f>IFERROR(__xludf.DUMMYFUNCTION("""COMPUTED_VALUE"""),22.0)</f>
        <v>22</v>
      </c>
      <c r="J1996" s="18">
        <f>IFERROR(__xludf.DUMMYFUNCTION("""COMPUTED_VALUE"""),17.0)</f>
        <v>17</v>
      </c>
      <c r="K1996" s="18">
        <f>IFERROR(__xludf.DUMMYFUNCTION("""COMPUTED_VALUE"""),8.0)</f>
        <v>8</v>
      </c>
      <c r="L1996" s="17">
        <f>IFERROR(__xludf.DUMMYFUNCTION("""COMPUTED_VALUE"""),3.213744514E9)</f>
        <v>3213744514</v>
      </c>
      <c r="M1996" s="17" t="str">
        <f>IFERROR(__xludf.DUMMYFUNCTION("""COMPUTED_VALUE"""),"#REF!")</f>
        <v>#REF!</v>
      </c>
      <c r="N1996" s="17"/>
      <c r="O1996" s="17"/>
      <c r="P1996" s="17" t="b">
        <f>IFERROR(__xludf.DUMMYFUNCTION("""COMPUTED_VALUE"""),FALSE)</f>
        <v>0</v>
      </c>
      <c r="Q1996" s="20" t="str">
        <f>IFERROR(__xludf.DUMMYFUNCTION("""COMPUTED_VALUE"""),"")</f>
        <v/>
      </c>
      <c r="R1996" s="22" t="str">
        <f>IFERROR(__xludf.DUMMYFUNCTION("""COMPUTED_VALUE"""),"")</f>
        <v/>
      </c>
    </row>
    <row r="1997">
      <c r="A1997" s="15">
        <f>IFERROR(__xludf.DUMMYFUNCTION("""COMPUTED_VALUE"""),45058.0)</f>
        <v>45058</v>
      </c>
      <c r="B1997" s="16" t="str">
        <f>IFERROR(__xludf.DUMMYFUNCTION("""COMPUTED_VALUE"""),"Daniel José sandoval gonzalez")</f>
        <v>Daniel José sandoval gonzalez</v>
      </c>
      <c r="C1997" s="15" t="str">
        <f>IFERROR(__xludf.DUMMYFUNCTION("""COMPUTED_VALUE"""),"BARRANQUILLA")</f>
        <v>BARRANQUILLA</v>
      </c>
      <c r="D1997" s="15" t="str">
        <f>IFERROR(__xludf.DUMMYFUNCTION("""COMPUTED_VALUE"""),"MEDELLÍN")</f>
        <v>MEDELLÍN</v>
      </c>
      <c r="E1997" s="15" t="str">
        <f>IFERROR(__xludf.DUMMYFUNCTION("""COMPUTED_VALUE"""),"Magda")</f>
        <v>Magda</v>
      </c>
      <c r="F1997" s="17" t="str">
        <f>IFERROR(__xludf.DUMMYFUNCTION("""COMPUTED_VALUE"""),"Cra 53 No. 68-55 / Cocina oculta / Alto Prado")</f>
        <v>Cra 53 No. 68-55 / Cocina oculta / Alto Prado</v>
      </c>
      <c r="G1997" s="15" t="str">
        <f>IFERROR(__xludf.DUMMYFUNCTION("""COMPUTED_VALUE"""),"María José Cervantes")</f>
        <v>María José Cervantes</v>
      </c>
      <c r="H1997" s="16">
        <f>IFERROR(__xludf.DUMMYFUNCTION("""COMPUTED_VALUE"""),10600.0)</f>
        <v>10600</v>
      </c>
      <c r="I1997" s="18">
        <f>IFERROR(__xludf.DUMMYFUNCTION("""COMPUTED_VALUE"""),5.0)</f>
        <v>5</v>
      </c>
      <c r="J1997" s="18">
        <f>IFERROR(__xludf.DUMMYFUNCTION("""COMPUTED_VALUE"""),5.0)</f>
        <v>5</v>
      </c>
      <c r="K1997" s="18">
        <f>IFERROR(__xludf.DUMMYFUNCTION("""COMPUTED_VALUE"""),5.0)</f>
        <v>5</v>
      </c>
      <c r="L1997" s="17">
        <f>IFERROR(__xludf.DUMMYFUNCTION("""COMPUTED_VALUE"""),3.113152215E9)</f>
        <v>3113152215</v>
      </c>
      <c r="M1997" s="17" t="str">
        <f>IFERROR(__xludf.DUMMYFUNCTION("""COMPUTED_VALUE"""),"#REF!")</f>
        <v>#REF!</v>
      </c>
      <c r="N1997" s="17"/>
      <c r="O1997" s="17"/>
      <c r="P1997" s="17" t="b">
        <f>IFERROR(__xludf.DUMMYFUNCTION("""COMPUTED_VALUE"""),TRUE)</f>
        <v>1</v>
      </c>
      <c r="Q1997" s="20">
        <f>IFERROR(__xludf.DUMMYFUNCTION("""COMPUTED_VALUE"""),45061.10737172454)</f>
        <v>45061.10737</v>
      </c>
      <c r="R1997" s="22" t="str">
        <f>IFERROR(__xludf.DUMMYFUNCTION("""COMPUTED_VALUE"""),"")</f>
        <v/>
      </c>
    </row>
    <row r="1998">
      <c r="A1998" s="15">
        <f>IFERROR(__xludf.DUMMYFUNCTION("""COMPUTED_VALUE"""),45058.0)</f>
        <v>45058</v>
      </c>
      <c r="B1998" s="16" t="str">
        <f>IFERROR(__xludf.DUMMYFUNCTION("""COMPUTED_VALUE"""),"Daniel José sandoval gonzalez")</f>
        <v>Daniel José sandoval gonzalez</v>
      </c>
      <c r="C1998" s="15" t="str">
        <f>IFERROR(__xludf.DUMMYFUNCTION("""COMPUTED_VALUE"""),"MEDELLÍN")</f>
        <v>MEDELLÍN</v>
      </c>
      <c r="D1998" s="15" t="str">
        <f>IFERROR(__xludf.DUMMYFUNCTION("""COMPUTED_VALUE"""),"BOGOTÁ")</f>
        <v>BOGOTÁ</v>
      </c>
      <c r="E1998" s="15" t="str">
        <f>IFERROR(__xludf.DUMMYFUNCTION("""COMPUTED_VALUE"""),"Viiva Fermentados")</f>
        <v>Viiva Fermentados</v>
      </c>
      <c r="F1998" s="17" t="str">
        <f>IFERROR(__xludf.DUMMYFUNCTION("""COMPUTED_VALUE"""),"CR 42 # 08 -39 / LC PISO 1 / El poblado")</f>
        <v>CR 42 # 08 -39 / LC PISO 1 / El poblado</v>
      </c>
      <c r="G1998" s="15" t="str">
        <f>IFERROR(__xludf.DUMMYFUNCTION("""COMPUTED_VALUE"""),"Julia Correa Ochoa - La Real Vegetal")</f>
        <v>Julia Correa Ochoa - La Real Vegetal</v>
      </c>
      <c r="H1998" s="16">
        <f>IFERROR(__xludf.DUMMYFUNCTION("""COMPUTED_VALUE"""),10548.0)</f>
        <v>10548</v>
      </c>
      <c r="I1998" s="18">
        <f>IFERROR(__xludf.DUMMYFUNCTION("""COMPUTED_VALUE"""),28.0)</f>
        <v>28</v>
      </c>
      <c r="J1998" s="18">
        <f>IFERROR(__xludf.DUMMYFUNCTION("""COMPUTED_VALUE"""),40.0)</f>
        <v>40</v>
      </c>
      <c r="K1998" s="18">
        <f>IFERROR(__xludf.DUMMYFUNCTION("""COMPUTED_VALUE"""),30.0)</f>
        <v>30</v>
      </c>
      <c r="L1998" s="17">
        <f>IFERROR(__xludf.DUMMYFUNCTION("""COMPUTED_VALUE"""),3.116345472E9)</f>
        <v>3116345472</v>
      </c>
      <c r="M1998" s="17" t="str">
        <f>IFERROR(__xludf.DUMMYFUNCTION("""COMPUTED_VALUE"""),"#REF!")</f>
        <v>#REF!</v>
      </c>
      <c r="N1998" s="17"/>
      <c r="O1998" s="17"/>
      <c r="P1998" s="17" t="b">
        <f>IFERROR(__xludf.DUMMYFUNCTION("""COMPUTED_VALUE"""),TRUE)</f>
        <v>1</v>
      </c>
      <c r="Q1998" s="20">
        <f>IFERROR(__xludf.DUMMYFUNCTION("""COMPUTED_VALUE"""),45061.10737172454)</f>
        <v>45061.10737</v>
      </c>
      <c r="R1998" s="22" t="str">
        <f>IFERROR(__xludf.DUMMYFUNCTION("""COMPUTED_VALUE"""),"")</f>
        <v/>
      </c>
    </row>
    <row r="1999">
      <c r="A1999" s="15">
        <f>IFERROR(__xludf.DUMMYFUNCTION("""COMPUTED_VALUE"""),45058.0)</f>
        <v>45058</v>
      </c>
      <c r="B1999" s="16" t="str">
        <f>IFERROR(__xludf.DUMMYFUNCTION("""COMPUTED_VALUE"""),"Daniel José sandoval gonzalez")</f>
        <v>Daniel José sandoval gonzalez</v>
      </c>
      <c r="C1999" s="15" t="str">
        <f>IFERROR(__xludf.DUMMYFUNCTION("""COMPUTED_VALUE"""),"MEDELLÍN")</f>
        <v>MEDELLÍN</v>
      </c>
      <c r="D1999" s="15" t="str">
        <f>IFERROR(__xludf.DUMMYFUNCTION("""COMPUTED_VALUE"""),"BOGOTÁ")</f>
        <v>BOGOTÁ</v>
      </c>
      <c r="E1999" s="15" t="str">
        <f>IFERROR(__xludf.DUMMYFUNCTION("""COMPUTED_VALUE"""),"Viiva Fermentados")</f>
        <v>Viiva Fermentados</v>
      </c>
      <c r="F1999" s="17" t="str">
        <f>IFERROR(__xludf.DUMMYFUNCTION("""COMPUTED_VALUE"""),"Transversal 39b#77-48 / interior 302 / Laureles")</f>
        <v>Transversal 39b#77-48 / interior 302 / Laureles</v>
      </c>
      <c r="G1999" s="15" t="str">
        <f>IFERROR(__xludf.DUMMYFUNCTION("""COMPUTED_VALUE"""),"VITA INTEGRAL SAS (reciben hasta las 3pm)")</f>
        <v>VITA INTEGRAL SAS (reciben hasta las 3pm)</v>
      </c>
      <c r="H1999" s="16">
        <f>IFERROR(__xludf.DUMMYFUNCTION("""COMPUTED_VALUE"""),10549.0)</f>
        <v>10549</v>
      </c>
      <c r="I1999" s="18">
        <f>IFERROR(__xludf.DUMMYFUNCTION("""COMPUTED_VALUE"""),12.0)</f>
        <v>12</v>
      </c>
      <c r="J1999" s="18">
        <f>IFERROR(__xludf.DUMMYFUNCTION("""COMPUTED_VALUE"""),40.0)</f>
        <v>40</v>
      </c>
      <c r="K1999" s="18">
        <f>IFERROR(__xludf.DUMMYFUNCTION("""COMPUTED_VALUE"""),30.0)</f>
        <v>30</v>
      </c>
      <c r="L1999" s="17">
        <f>IFERROR(__xludf.DUMMYFUNCTION("""COMPUTED_VALUE"""),3.122921247E9)</f>
        <v>3122921247</v>
      </c>
      <c r="M1999" s="17" t="str">
        <f>IFERROR(__xludf.DUMMYFUNCTION("""COMPUTED_VALUE"""),"#REF!")</f>
        <v>#REF!</v>
      </c>
      <c r="N1999" s="17"/>
      <c r="O1999" s="17"/>
      <c r="P1999" s="17" t="b">
        <f>IFERROR(__xludf.DUMMYFUNCTION("""COMPUTED_VALUE"""),FALSE)</f>
        <v>0</v>
      </c>
      <c r="Q1999" s="20" t="str">
        <f>IFERROR(__xludf.DUMMYFUNCTION("""COMPUTED_VALUE"""),"")</f>
        <v/>
      </c>
      <c r="R1999" s="22" t="str">
        <f>IFERROR(__xludf.DUMMYFUNCTION("""COMPUTED_VALUE"""),"")</f>
        <v/>
      </c>
    </row>
    <row r="2000">
      <c r="A2000" s="17" t="str">
        <f>IFERROR(__xludf.DUMMYFUNCTION("""COMPUTED_VALUE"""),"")</f>
        <v/>
      </c>
      <c r="B2000" s="17" t="str">
        <f>IFERROR(__xludf.DUMMYFUNCTION("""COMPUTED_VALUE"""),"")</f>
        <v/>
      </c>
      <c r="C2000" s="17" t="str">
        <f>IFERROR(__xludf.DUMMYFUNCTION("""COMPUTED_VALUE"""),"")</f>
        <v/>
      </c>
      <c r="D2000" s="17" t="str">
        <f>IFERROR(__xludf.DUMMYFUNCTION("""COMPUTED_VALUE"""),"")</f>
        <v/>
      </c>
      <c r="E2000" s="17" t="str">
        <f>IFERROR(__xludf.DUMMYFUNCTION("""COMPUTED_VALUE"""),"")</f>
        <v/>
      </c>
      <c r="F2000" s="17" t="str">
        <f>IFERROR(__xludf.DUMMYFUNCTION("""COMPUTED_VALUE"""),"")</f>
        <v/>
      </c>
      <c r="G2000" s="17" t="str">
        <f>IFERROR(__xludf.DUMMYFUNCTION("""COMPUTED_VALUE"""),"")</f>
        <v/>
      </c>
      <c r="H2000" s="17" t="str">
        <f>IFERROR(__xludf.DUMMYFUNCTION("""COMPUTED_VALUE"""),"")</f>
        <v/>
      </c>
      <c r="I2000" s="17" t="str">
        <f>IFERROR(__xludf.DUMMYFUNCTION("""COMPUTED_VALUE"""),"")</f>
        <v/>
      </c>
      <c r="J2000" s="17" t="str">
        <f>IFERROR(__xludf.DUMMYFUNCTION("""COMPUTED_VALUE"""),"")</f>
        <v/>
      </c>
      <c r="K2000" s="17" t="str">
        <f>IFERROR(__xludf.DUMMYFUNCTION("""COMPUTED_VALUE"""),"")</f>
        <v/>
      </c>
      <c r="L2000" s="17" t="str">
        <f>IFERROR(__xludf.DUMMYFUNCTION("""COMPUTED_VALUE"""),"")</f>
        <v/>
      </c>
      <c r="M2000" s="17" t="str">
        <f>IFERROR(__xludf.DUMMYFUNCTION("""COMPUTED_VALUE"""),"")</f>
        <v/>
      </c>
      <c r="N2000" s="17" t="str">
        <f>IFERROR(__xludf.DUMMYFUNCTION("""COMPUTED_VALUE"""),"")</f>
        <v/>
      </c>
      <c r="O2000" s="17" t="str">
        <f>IFERROR(__xludf.DUMMYFUNCTION("""COMPUTED_VALUE"""),"")</f>
        <v/>
      </c>
      <c r="P2000" s="17" t="str">
        <f>IFERROR(__xludf.DUMMYFUNCTION("""COMPUTED_VALUE"""),"")</f>
        <v/>
      </c>
      <c r="Q2000" s="17" t="str">
        <f>IFERROR(__xludf.DUMMYFUNCTION("""COMPUTED_VALUE"""),"")</f>
        <v/>
      </c>
      <c r="R2000" s="17" t="str">
        <f>IFERROR(__xludf.DUMMYFUNCTION("""COMPUTED_VALUE"""),"")</f>
        <v/>
      </c>
    </row>
    <row r="2001">
      <c r="A2001" s="15">
        <f>IFERROR(__xludf.DUMMYFUNCTION("""COMPUTED_VALUE"""),45058.0)</f>
        <v>45058</v>
      </c>
      <c r="B2001" s="16" t="str">
        <f>IFERROR(__xludf.DUMMYFUNCTION("""COMPUTED_VALUE"""),"Envia")</f>
        <v>Envia</v>
      </c>
      <c r="C2001" s="15" t="str">
        <f>IFERROR(__xludf.DUMMYFUNCTION("""COMPUTED_VALUE"""),"BARRANQUILLA")</f>
        <v>BARRANQUILLA</v>
      </c>
      <c r="D2001" s="15" t="str">
        <f>IFERROR(__xludf.DUMMYFUNCTION("""COMPUTED_VALUE"""),"BOGOTÁ")</f>
        <v>BOGOTÁ</v>
      </c>
      <c r="E2001" s="15" t="str">
        <f>IFERROR(__xludf.DUMMYFUNCTION("""COMPUTED_VALUE"""),"Top Spun")</f>
        <v>Top Spun</v>
      </c>
      <c r="F2001" s="17" t="str">
        <f>IFERROR(__xludf.DUMMYFUNCTION("""COMPUTED_VALUE"""),"CRA 4 # 5 - 123  / APTO 1602 EDIFICIO ACUERELA BOCAGRANDE / BOCAGRANDE")</f>
        <v>CRA 4 # 5 - 123  / APTO 1602 EDIFICIO ACUERELA BOCAGRANDE / BOCAGRANDE</v>
      </c>
      <c r="G2001" s="15" t="str">
        <f>IFERROR(__xludf.DUMMYFUNCTION("""COMPUTED_VALUE"""),"Jacqueline Farah")</f>
        <v>Jacqueline Farah</v>
      </c>
      <c r="H2001" s="16">
        <f>IFERROR(__xludf.DUMMYFUNCTION("""COMPUTED_VALUE"""),10536.0)</f>
        <v>10536</v>
      </c>
      <c r="I2001" s="18">
        <f>IFERROR(__xludf.DUMMYFUNCTION("""COMPUTED_VALUE"""),20.0)</f>
        <v>20</v>
      </c>
      <c r="J2001" s="18">
        <f>IFERROR(__xludf.DUMMYFUNCTION("""COMPUTED_VALUE"""),10.0)</f>
        <v>10</v>
      </c>
      <c r="K2001" s="18">
        <f>IFERROR(__xludf.DUMMYFUNCTION("""COMPUTED_VALUE"""),40.0)</f>
        <v>40</v>
      </c>
      <c r="L2001" s="17">
        <f>IFERROR(__xludf.DUMMYFUNCTION("""COMPUTED_VALUE"""),3.203337464E9)</f>
        <v>3203337464</v>
      </c>
      <c r="M2001" s="17" t="str">
        <f>IFERROR(__xludf.DUMMYFUNCTION("""COMPUTED_VALUE"""),"#REF!")</f>
        <v>#REF!</v>
      </c>
      <c r="N2001" s="17"/>
      <c r="O2001" s="17"/>
      <c r="P2001" s="17" t="b">
        <f>IFERROR(__xludf.DUMMYFUNCTION("""COMPUTED_VALUE"""),FALSE)</f>
        <v>0</v>
      </c>
      <c r="Q2001" s="20" t="str">
        <f>IFERROR(__xludf.DUMMYFUNCTION("""COMPUTED_VALUE"""),"")</f>
        <v/>
      </c>
      <c r="R2001" s="22" t="str">
        <f>IFERROR(__xludf.DUMMYFUNCTION("""COMPUTED_VALUE"""),"")</f>
        <v/>
      </c>
    </row>
    <row r="2002">
      <c r="A2002" s="15">
        <f>IFERROR(__xludf.DUMMYFUNCTION("""COMPUTED_VALUE"""),45058.0)</f>
        <v>45058</v>
      </c>
      <c r="B2002" s="16" t="str">
        <f>IFERROR(__xludf.DUMMYFUNCTION("""COMPUTED_VALUE"""),"Envia")</f>
        <v>Envia</v>
      </c>
      <c r="C2002" s="15" t="str">
        <f>IFERROR(__xludf.DUMMYFUNCTION("""COMPUTED_VALUE"""),"BOGOTÁ")</f>
        <v>BOGOTÁ</v>
      </c>
      <c r="D2002" s="15" t="str">
        <f>IFERROR(__xludf.DUMMYFUNCTION("""COMPUTED_VALUE"""),"MEDELLÍN")</f>
        <v>MEDELLÍN</v>
      </c>
      <c r="E2002" s="15" t="str">
        <f>IFERROR(__xludf.DUMMYFUNCTION("""COMPUTED_VALUE"""),"Felicidad Bakery Bogotá")</f>
        <v>Felicidad Bakery Bogotá</v>
      </c>
      <c r="F2002" s="17" t="str">
        <f>IFERROR(__xludf.DUMMYFUNCTION("""COMPUTED_VALUE"""),"Calle 92 15 62 / Local 103 / Edificio centro chico")</f>
        <v>Calle 92 15 62 / Local 103 / Edificio centro chico</v>
      </c>
      <c r="G2002" s="15" t="str">
        <f>IFERROR(__xludf.DUMMYFUNCTION("""COMPUTED_VALUE"""),"Camilo hernandez")</f>
        <v>Camilo hernandez</v>
      </c>
      <c r="H2002" s="16">
        <f>IFERROR(__xludf.DUMMYFUNCTION("""COMPUTED_VALUE"""),10597.0)</f>
        <v>10597</v>
      </c>
      <c r="I2002" s="18">
        <f>IFERROR(__xludf.DUMMYFUNCTION("""COMPUTED_VALUE"""),36.0)</f>
        <v>36</v>
      </c>
      <c r="J2002" s="18">
        <f>IFERROR(__xludf.DUMMYFUNCTION("""COMPUTED_VALUE"""),47.0)</f>
        <v>47</v>
      </c>
      <c r="K2002" s="18">
        <f>IFERROR(__xludf.DUMMYFUNCTION("""COMPUTED_VALUE"""),55.0)</f>
        <v>55</v>
      </c>
      <c r="L2002" s="17">
        <f>IFERROR(__xludf.DUMMYFUNCTION("""COMPUTED_VALUE"""),3.013527163E9)</f>
        <v>3013527163</v>
      </c>
      <c r="M2002" s="17" t="str">
        <f>IFERROR(__xludf.DUMMYFUNCTION("""COMPUTED_VALUE"""),"#REF!")</f>
        <v>#REF!</v>
      </c>
      <c r="N2002" s="17"/>
      <c r="O2002" s="17"/>
      <c r="P2002" s="17" t="b">
        <f>IFERROR(__xludf.DUMMYFUNCTION("""COMPUTED_VALUE"""),FALSE)</f>
        <v>0</v>
      </c>
      <c r="Q2002" s="20" t="str">
        <f>IFERROR(__xludf.DUMMYFUNCTION("""COMPUTED_VALUE"""),"")</f>
        <v/>
      </c>
      <c r="R2002" s="22" t="str">
        <f>IFERROR(__xludf.DUMMYFUNCTION("""COMPUTED_VALUE"""),"")</f>
        <v/>
      </c>
    </row>
    <row r="2003">
      <c r="A2003" s="15">
        <f>IFERROR(__xludf.DUMMYFUNCTION("""COMPUTED_VALUE"""),45058.0)</f>
        <v>45058</v>
      </c>
      <c r="B2003" s="16" t="str">
        <f>IFERROR(__xludf.DUMMYFUNCTION("""COMPUTED_VALUE"""),"Envia")</f>
        <v>Envia</v>
      </c>
      <c r="C2003" s="15" t="str">
        <f>IFERROR(__xludf.DUMMYFUNCTION("""COMPUTED_VALUE"""),"BOGOTÁ")</f>
        <v>BOGOTÁ</v>
      </c>
      <c r="D2003" s="15" t="str">
        <f>IFERROR(__xludf.DUMMYFUNCTION("""COMPUTED_VALUE"""),"MEDELLÍN")</f>
        <v>MEDELLÍN</v>
      </c>
      <c r="E2003" s="15" t="str">
        <f>IFERROR(__xludf.DUMMYFUNCTION("""COMPUTED_VALUE"""),"Moloso S.A.S")</f>
        <v>Moloso S.A.S</v>
      </c>
      <c r="F2003" s="17" t="str">
        <f>IFERROR(__xludf.DUMMYFUNCTION("""COMPUTED_VALUE"""),"cll 1f 26 72")</f>
        <v>cll 1f 26 72</v>
      </c>
      <c r="G2003" s="15" t="str">
        <f>IFERROR(__xludf.DUMMYFUNCTION("""COMPUTED_VALUE"""),"PAULA ALEJANDRA BARRIGA GÓMEZ")</f>
        <v>PAULA ALEJANDRA BARRIGA GÓMEZ</v>
      </c>
      <c r="H2003" s="16">
        <f>IFERROR(__xludf.DUMMYFUNCTION("""COMPUTED_VALUE"""),10595.0)</f>
        <v>10595</v>
      </c>
      <c r="I2003" s="18">
        <f>IFERROR(__xludf.DUMMYFUNCTION("""COMPUTED_VALUE"""),17.0)</f>
        <v>17</v>
      </c>
      <c r="J2003" s="18">
        <f>IFERROR(__xludf.DUMMYFUNCTION("""COMPUTED_VALUE"""),15.0)</f>
        <v>15</v>
      </c>
      <c r="K2003" s="18">
        <f>IFERROR(__xludf.DUMMYFUNCTION("""COMPUTED_VALUE"""),28.0)</f>
        <v>28</v>
      </c>
      <c r="L2003" s="17" t="str">
        <f>IFERROR(__xludf.DUMMYFUNCTION("""COMPUTED_VALUE"""),"300 3705565")</f>
        <v>300 3705565</v>
      </c>
      <c r="M2003" s="17" t="str">
        <f>IFERROR(__xludf.DUMMYFUNCTION("""COMPUTED_VALUE"""),"#REF!")</f>
        <v>#REF!</v>
      </c>
      <c r="N2003" s="17"/>
      <c r="O2003" s="17"/>
      <c r="P2003" s="17" t="b">
        <f>IFERROR(__xludf.DUMMYFUNCTION("""COMPUTED_VALUE"""),TRUE)</f>
        <v>1</v>
      </c>
      <c r="Q2003" s="20">
        <f>IFERROR(__xludf.DUMMYFUNCTION("""COMPUTED_VALUE"""),45061.10737172454)</f>
        <v>45061.10737</v>
      </c>
      <c r="R2003" s="22" t="str">
        <f>IFERROR(__xludf.DUMMYFUNCTION("""COMPUTED_VALUE"""),"")</f>
        <v/>
      </c>
    </row>
    <row r="2004">
      <c r="A2004" s="15">
        <f>IFERROR(__xludf.DUMMYFUNCTION("""COMPUTED_VALUE"""),45058.0)</f>
        <v>45058</v>
      </c>
      <c r="B2004" s="16" t="str">
        <f>IFERROR(__xludf.DUMMYFUNCTION("""COMPUTED_VALUE"""),"Envia")</f>
        <v>Envia</v>
      </c>
      <c r="C2004" s="15" t="str">
        <f>IFERROR(__xludf.DUMMYFUNCTION("""COMPUTED_VALUE"""),"CALI")</f>
        <v>CALI</v>
      </c>
      <c r="D2004" s="15" t="str">
        <f>IFERROR(__xludf.DUMMYFUNCTION("""COMPUTED_VALUE"""),"BOGOTÁ")</f>
        <v>BOGOTÁ</v>
      </c>
      <c r="E2004" s="15" t="str">
        <f>IFERROR(__xludf.DUMMYFUNCTION("""COMPUTED_VALUE"""),"Renata")</f>
        <v>Renata</v>
      </c>
      <c r="F2004" s="17" t="str">
        <f>IFERROR(__xludf.DUMMYFUNCTION("""COMPUTED_VALUE"""),"Carrera 3#3a-83 / Patio 34 food containers -restaurante  / San Fernando")</f>
        <v>Carrera 3#3a-83 / Patio 34 food containers -restaurante  / San Fernando</v>
      </c>
      <c r="G2004" s="15" t="str">
        <f>IFERROR(__xludf.DUMMYFUNCTION("""COMPUTED_VALUE"""),"Retaco sas")</f>
        <v>Retaco sas</v>
      </c>
      <c r="H2004" s="16">
        <f>IFERROR(__xludf.DUMMYFUNCTION("""COMPUTED_VALUE"""),10603.0)</f>
        <v>10603</v>
      </c>
      <c r="I2004" s="18">
        <f>IFERROR(__xludf.DUMMYFUNCTION("""COMPUTED_VALUE"""),55.0)</f>
        <v>55</v>
      </c>
      <c r="J2004" s="18">
        <f>IFERROR(__xludf.DUMMYFUNCTION("""COMPUTED_VALUE"""),45.0)</f>
        <v>45</v>
      </c>
      <c r="K2004" s="18" t="str">
        <f>IFERROR(__xludf.DUMMYFUNCTION("""COMPUTED_VALUE"""),"52.5")</f>
        <v>52.5</v>
      </c>
      <c r="L2004" s="17">
        <f>IFERROR(__xludf.DUMMYFUNCTION("""COMPUTED_VALUE"""),3.134720976E9)</f>
        <v>3134720976</v>
      </c>
      <c r="M2004" s="17" t="str">
        <f>IFERROR(__xludf.DUMMYFUNCTION("""COMPUTED_VALUE"""),"#REF!")</f>
        <v>#REF!</v>
      </c>
      <c r="N2004" s="17"/>
      <c r="O2004" s="17"/>
      <c r="P2004" s="17" t="b">
        <f>IFERROR(__xludf.DUMMYFUNCTION("""COMPUTED_VALUE"""),FALSE)</f>
        <v>0</v>
      </c>
      <c r="Q2004" s="20" t="str">
        <f>IFERROR(__xludf.DUMMYFUNCTION("""COMPUTED_VALUE"""),"")</f>
        <v/>
      </c>
      <c r="R2004" s="22" t="str">
        <f>IFERROR(__xludf.DUMMYFUNCTION("""COMPUTED_VALUE"""),"")</f>
        <v/>
      </c>
    </row>
    <row r="2005">
      <c r="A2005" s="15">
        <f>IFERROR(__xludf.DUMMYFUNCTION("""COMPUTED_VALUE"""),45058.0)</f>
        <v>45058</v>
      </c>
      <c r="B2005" s="16" t="str">
        <f>IFERROR(__xludf.DUMMYFUNCTION("""COMPUTED_VALUE"""),"Envia")</f>
        <v>Envia</v>
      </c>
      <c r="C2005" s="15" t="str">
        <f>IFERROR(__xludf.DUMMYFUNCTION("""COMPUTED_VALUE"""),"CÚCUTA")</f>
        <v>CÚCUTA</v>
      </c>
      <c r="D2005" s="15" t="str">
        <f>IFERROR(__xludf.DUMMYFUNCTION("""COMPUTED_VALUE"""),"MEDELLÍN")</f>
        <v>MEDELLÍN</v>
      </c>
      <c r="E2005" s="15" t="str">
        <f>IFERROR(__xludf.DUMMYFUNCTION("""COMPUTED_VALUE"""),"Momo Tea S.A.S Gabriel Echavarría")</f>
        <v>Momo Tea S.A.S Gabriel Echavarría</v>
      </c>
      <c r="F2005" s="17" t="str">
        <f>IFERROR(__xludf.DUMMYFUNCTION("""COMPUTED_VALUE"""),"CL 11 N 16 E 35 / CA B 1")</f>
        <v>CL 11 N 16 E 35 / CA B 1</v>
      </c>
      <c r="G2005" s="15" t="str">
        <f>IFERROR(__xludf.DUMMYFUNCTION("""COMPUTED_VALUE"""),"Gabriel Echavarría")</f>
        <v>Gabriel Echavarría</v>
      </c>
      <c r="H2005" s="16">
        <f>IFERROR(__xludf.DUMMYFUNCTION("""COMPUTED_VALUE"""),10468.0)</f>
        <v>10468</v>
      </c>
      <c r="I2005" s="18">
        <f>IFERROR(__xludf.DUMMYFUNCTION("""COMPUTED_VALUE"""),17.0)</f>
        <v>17</v>
      </c>
      <c r="J2005" s="18">
        <f>IFERROR(__xludf.DUMMYFUNCTION("""COMPUTED_VALUE"""),13.0)</f>
        <v>13</v>
      </c>
      <c r="K2005" s="18">
        <f>IFERROR(__xludf.DUMMYFUNCTION("""COMPUTED_VALUE"""),20.0)</f>
        <v>20</v>
      </c>
      <c r="L2005" s="17">
        <f>IFERROR(__xludf.DUMMYFUNCTION("""COMPUTED_VALUE"""),3.017909548E9)</f>
        <v>3017909548</v>
      </c>
      <c r="M2005" s="17" t="str">
        <f>IFERROR(__xludf.DUMMYFUNCTION("""COMPUTED_VALUE"""),"#REF!")</f>
        <v>#REF!</v>
      </c>
      <c r="N2005" s="17"/>
      <c r="O2005" s="17"/>
      <c r="P2005" s="17" t="b">
        <f>IFERROR(__xludf.DUMMYFUNCTION("""COMPUTED_VALUE"""),FALSE)</f>
        <v>0</v>
      </c>
      <c r="Q2005" s="20" t="str">
        <f>IFERROR(__xludf.DUMMYFUNCTION("""COMPUTED_VALUE"""),"")</f>
        <v/>
      </c>
      <c r="R2005" s="22" t="str">
        <f>IFERROR(__xludf.DUMMYFUNCTION("""COMPUTED_VALUE"""),"")</f>
        <v/>
      </c>
    </row>
    <row r="2006">
      <c r="A2006" s="15">
        <f>IFERROR(__xludf.DUMMYFUNCTION("""COMPUTED_VALUE"""),45058.0)</f>
        <v>45058</v>
      </c>
      <c r="B2006" s="16" t="str">
        <f>IFERROR(__xludf.DUMMYFUNCTION("""COMPUTED_VALUE"""),"Envia")</f>
        <v>Envia</v>
      </c>
      <c r="C2006" s="15" t="str">
        <f>IFERROR(__xludf.DUMMYFUNCTION("""COMPUTED_VALUE"""),"MEDELLÍN")</f>
        <v>MEDELLÍN</v>
      </c>
      <c r="D2006" s="15" t="str">
        <f>IFERROR(__xludf.DUMMYFUNCTION("""COMPUTED_VALUE"""),"BOGOTÁ")</f>
        <v>BOGOTÁ</v>
      </c>
      <c r="E2006" s="15" t="str">
        <f>IFERROR(__xludf.DUMMYFUNCTION("""COMPUTED_VALUE"""),"Forever Dog")</f>
        <v>Forever Dog</v>
      </c>
      <c r="F2006" s="17" t="str">
        <f>IFERROR(__xludf.DUMMYFUNCTION("""COMPUTED_VALUE"""),"Calle 36 sur # 27 - 10  / apto 9615 torre 3 / unidad residencial entreparques")</f>
        <v>Calle 36 sur # 27 - 10  / apto 9615 torre 3 / unidad residencial entreparques</v>
      </c>
      <c r="G2006" s="15" t="str">
        <f>IFERROR(__xludf.DUMMYFUNCTION("""COMPUTED_VALUE"""),"Alejandra Maya")</f>
        <v>Alejandra Maya</v>
      </c>
      <c r="H2006" s="16">
        <f>IFERROR(__xludf.DUMMYFUNCTION("""COMPUTED_VALUE"""),10442.0)</f>
        <v>10442</v>
      </c>
      <c r="I2006" s="18">
        <f>IFERROR(__xludf.DUMMYFUNCTION("""COMPUTED_VALUE"""),51.0)</f>
        <v>51</v>
      </c>
      <c r="J2006" s="18">
        <f>IFERROR(__xludf.DUMMYFUNCTION("""COMPUTED_VALUE"""),50.0)</f>
        <v>50</v>
      </c>
      <c r="K2006" s="18">
        <f>IFERROR(__xludf.DUMMYFUNCTION("""COMPUTED_VALUE"""),30.0)</f>
        <v>30</v>
      </c>
      <c r="L2006" s="17">
        <f>IFERROR(__xludf.DUMMYFUNCTION("""COMPUTED_VALUE"""),3.016427229E9)</f>
        <v>3016427229</v>
      </c>
      <c r="M2006" s="17" t="str">
        <f>IFERROR(__xludf.DUMMYFUNCTION("""COMPUTED_VALUE"""),"#REF!")</f>
        <v>#REF!</v>
      </c>
      <c r="N2006" s="17"/>
      <c r="O2006" s="17"/>
      <c r="P2006" s="17" t="b">
        <f>IFERROR(__xludf.DUMMYFUNCTION("""COMPUTED_VALUE"""),TRUE)</f>
        <v>1</v>
      </c>
      <c r="Q2006" s="20">
        <f>IFERROR(__xludf.DUMMYFUNCTION("""COMPUTED_VALUE"""),45061.10737172454)</f>
        <v>45061.10737</v>
      </c>
      <c r="R2006" s="22" t="str">
        <f>IFERROR(__xludf.DUMMYFUNCTION("""COMPUTED_VALUE"""),"")</f>
        <v/>
      </c>
    </row>
    <row r="2007">
      <c r="A2007" s="15">
        <f>IFERROR(__xludf.DUMMYFUNCTION("""COMPUTED_VALUE"""),45058.0)</f>
        <v>45058</v>
      </c>
      <c r="B2007" s="16" t="str">
        <f>IFERROR(__xludf.DUMMYFUNCTION("""COMPUTED_VALUE"""),"Envia")</f>
        <v>Envia</v>
      </c>
      <c r="C2007" s="15" t="str">
        <f>IFERROR(__xludf.DUMMYFUNCTION("""COMPUTED_VALUE"""),"MEDELLÍN")</f>
        <v>MEDELLÍN</v>
      </c>
      <c r="D2007" s="15" t="str">
        <f>IFERROR(__xludf.DUMMYFUNCTION("""COMPUTED_VALUE"""),"BOGOTÁ")</f>
        <v>BOGOTÁ</v>
      </c>
      <c r="E2007" s="15" t="str">
        <f>IFERROR(__xludf.DUMMYFUNCTION("""COMPUTED_VALUE"""),"Lunchy Kids")</f>
        <v>Lunchy Kids</v>
      </c>
      <c r="F2007" s="17" t="str">
        <f>IFERROR(__xludf.DUMMYFUNCTION("""COMPUTED_VALUE"""),"Diagonal 43 # 34e 20   / Torre 5 Apartamento 1639  / Bello Antioquia")</f>
        <v>Diagonal 43 # 34e 20   / Torre 5 Apartamento 1639  / Bello Antioquia</v>
      </c>
      <c r="G2007" s="15" t="str">
        <f>IFERROR(__xludf.DUMMYFUNCTION("""COMPUTED_VALUE"""),"Julissa Anaya")</f>
        <v>Julissa Anaya</v>
      </c>
      <c r="H2007" s="16">
        <f>IFERROR(__xludf.DUMMYFUNCTION("""COMPUTED_VALUE"""),10623.0)</f>
        <v>10623</v>
      </c>
      <c r="I2007" s="18">
        <f>IFERROR(__xludf.DUMMYFUNCTION("""COMPUTED_VALUE"""),13.0)</f>
        <v>13</v>
      </c>
      <c r="J2007" s="18">
        <f>IFERROR(__xludf.DUMMYFUNCTION("""COMPUTED_VALUE"""),29.0)</f>
        <v>29</v>
      </c>
      <c r="K2007" s="18">
        <f>IFERROR(__xludf.DUMMYFUNCTION("""COMPUTED_VALUE"""),11.0)</f>
        <v>11</v>
      </c>
      <c r="L2007" s="17">
        <f>IFERROR(__xludf.DUMMYFUNCTION("""COMPUTED_VALUE"""),3.104301008E9)</f>
        <v>3104301008</v>
      </c>
      <c r="M2007" s="17" t="str">
        <f>IFERROR(__xludf.DUMMYFUNCTION("""COMPUTED_VALUE"""),"#REF!")</f>
        <v>#REF!</v>
      </c>
      <c r="N2007" s="17"/>
      <c r="O2007" s="17"/>
      <c r="P2007" s="17" t="b">
        <f>IFERROR(__xludf.DUMMYFUNCTION("""COMPUTED_VALUE"""),FALSE)</f>
        <v>0</v>
      </c>
      <c r="Q2007" s="20" t="str">
        <f>IFERROR(__xludf.DUMMYFUNCTION("""COMPUTED_VALUE"""),"")</f>
        <v/>
      </c>
      <c r="R2007" s="22" t="str">
        <f>IFERROR(__xludf.DUMMYFUNCTION("""COMPUTED_VALUE"""),"")</f>
        <v/>
      </c>
    </row>
    <row r="2008">
      <c r="A2008" s="15">
        <f>IFERROR(__xludf.DUMMYFUNCTION("""COMPUTED_VALUE"""),45058.0)</f>
        <v>45058</v>
      </c>
      <c r="B2008" s="16" t="str">
        <f>IFERROR(__xludf.DUMMYFUNCTION("""COMPUTED_VALUE"""),"Envia")</f>
        <v>Envia</v>
      </c>
      <c r="C2008" s="15" t="str">
        <f>IFERROR(__xludf.DUMMYFUNCTION("""COMPUTED_VALUE"""),"MEDELLÍN")</f>
        <v>MEDELLÍN</v>
      </c>
      <c r="D2008" s="15" t="str">
        <f>IFERROR(__xludf.DUMMYFUNCTION("""COMPUTED_VALUE"""),"BOGOTÁ")</f>
        <v>BOGOTÁ</v>
      </c>
      <c r="E2008" s="15" t="str">
        <f>IFERROR(__xludf.DUMMYFUNCTION("""COMPUTED_VALUE"""),"MAI ALIMENTOS S.A.S")</f>
        <v>MAI ALIMENTOS S.A.S</v>
      </c>
      <c r="F2008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008" s="15" t="str">
        <f>IFERROR(__xludf.DUMMYFUNCTION("""COMPUTED_VALUE"""),"Novaventas - Medellin")</f>
        <v>Novaventas - Medellin</v>
      </c>
      <c r="H2008" s="16">
        <f>IFERROR(__xludf.DUMMYFUNCTION("""COMPUTED_VALUE"""),10552.0)</f>
        <v>10552</v>
      </c>
      <c r="I2008" s="18">
        <f>IFERROR(__xludf.DUMMYFUNCTION("""COMPUTED_VALUE"""),35.0)</f>
        <v>35</v>
      </c>
      <c r="J2008" s="18">
        <f>IFERROR(__xludf.DUMMYFUNCTION("""COMPUTED_VALUE"""),17.0)</f>
        <v>17</v>
      </c>
      <c r="K2008" s="18">
        <f>IFERROR(__xludf.DUMMYFUNCTION("""COMPUTED_VALUE"""),13.0)</f>
        <v>13</v>
      </c>
      <c r="L2008" s="17">
        <f>IFERROR(__xludf.DUMMYFUNCTION("""COMPUTED_VALUE"""),3.187351593E9)</f>
        <v>3187351593</v>
      </c>
      <c r="M2008" s="17" t="str">
        <f>IFERROR(__xludf.DUMMYFUNCTION("""COMPUTED_VALUE"""),"#REF!")</f>
        <v>#REF!</v>
      </c>
      <c r="N2008" s="17"/>
      <c r="O2008" s="17"/>
      <c r="P2008" s="17" t="b">
        <f>IFERROR(__xludf.DUMMYFUNCTION("""COMPUTED_VALUE"""),FALSE)</f>
        <v>0</v>
      </c>
      <c r="Q2008" s="20" t="str">
        <f>IFERROR(__xludf.DUMMYFUNCTION("""COMPUTED_VALUE"""),"")</f>
        <v/>
      </c>
      <c r="R2008" s="22" t="str">
        <f>IFERROR(__xludf.DUMMYFUNCTION("""COMPUTED_VALUE"""),"")</f>
        <v/>
      </c>
    </row>
    <row r="2009">
      <c r="A2009" s="15">
        <f>IFERROR(__xludf.DUMMYFUNCTION("""COMPUTED_VALUE"""),45058.0)</f>
        <v>45058</v>
      </c>
      <c r="B2009" s="16" t="str">
        <f>IFERROR(__xludf.DUMMYFUNCTION("""COMPUTED_VALUE"""),"Envia")</f>
        <v>Envia</v>
      </c>
      <c r="C2009" s="15" t="str">
        <f>IFERROR(__xludf.DUMMYFUNCTION("""COMPUTED_VALUE"""),"MEDELLÍN")</f>
        <v>MEDELLÍN</v>
      </c>
      <c r="D2009" s="15" t="str">
        <f>IFERROR(__xludf.DUMMYFUNCTION("""COMPUTED_VALUE"""),"BOGOTÁ")</f>
        <v>BOGOTÁ</v>
      </c>
      <c r="E2009" s="15" t="str">
        <f>IFERROR(__xludf.DUMMYFUNCTION("""COMPUTED_VALUE"""),"Mochi")</f>
        <v>Mochi</v>
      </c>
      <c r="F2009" s="17" t="str">
        <f>IFERROR(__xludf.DUMMYFUNCTION("""COMPUTED_VALUE"""),"centro comercial viva envigado / centro comercial viva envigado / centro comercial viva envigado")</f>
        <v>centro comercial viva envigado / centro comercial viva envigado / centro comercial viva envigado</v>
      </c>
      <c r="G2009" s="15" t="str">
        <f>IFERROR(__xludf.DUMMYFUNCTION("""COMPUTED_VALUE"""),"Tania vellojin")</f>
        <v>Tania vellojin</v>
      </c>
      <c r="H2009" s="16">
        <f>IFERROR(__xludf.DUMMYFUNCTION("""COMPUTED_VALUE"""),10622.0)</f>
        <v>10622</v>
      </c>
      <c r="I2009" s="18">
        <f>IFERROR(__xludf.DUMMYFUNCTION("""COMPUTED_VALUE"""),55.0)</f>
        <v>55</v>
      </c>
      <c r="J2009" s="18">
        <f>IFERROR(__xludf.DUMMYFUNCTION("""COMPUTED_VALUE"""),45.0)</f>
        <v>45</v>
      </c>
      <c r="K2009" s="18" t="str">
        <f>IFERROR(__xludf.DUMMYFUNCTION("""COMPUTED_VALUE"""),"52.5")</f>
        <v>52.5</v>
      </c>
      <c r="L2009" s="17">
        <f>IFERROR(__xludf.DUMMYFUNCTION("""COMPUTED_VALUE"""),3.142587995E9)</f>
        <v>3142587995</v>
      </c>
      <c r="M2009" s="17" t="str">
        <f>IFERROR(__xludf.DUMMYFUNCTION("""COMPUTED_VALUE"""),"#REF!")</f>
        <v>#REF!</v>
      </c>
      <c r="N2009" s="17"/>
      <c r="O2009" s="17"/>
      <c r="P2009" s="17" t="b">
        <f>IFERROR(__xludf.DUMMYFUNCTION("""COMPUTED_VALUE"""),FALSE)</f>
        <v>0</v>
      </c>
      <c r="Q2009" s="20" t="str">
        <f>IFERROR(__xludf.DUMMYFUNCTION("""COMPUTED_VALUE"""),"")</f>
        <v/>
      </c>
      <c r="R2009" s="22" t="str">
        <f>IFERROR(__xludf.DUMMYFUNCTION("""COMPUTED_VALUE"""),"")</f>
        <v/>
      </c>
    </row>
    <row r="2010">
      <c r="A2010" s="15">
        <f>IFERROR(__xludf.DUMMYFUNCTION("""COMPUTED_VALUE"""),45058.0)</f>
        <v>45058</v>
      </c>
      <c r="B2010" s="16" t="str">
        <f>IFERROR(__xludf.DUMMYFUNCTION("""COMPUTED_VALUE"""),"Envia")</f>
        <v>Envia</v>
      </c>
      <c r="C2010" s="15" t="str">
        <f>IFERROR(__xludf.DUMMYFUNCTION("""COMPUTED_VALUE"""),"MEDELLÍN")</f>
        <v>MEDELLÍN</v>
      </c>
      <c r="D2010" s="15" t="str">
        <f>IFERROR(__xludf.DUMMYFUNCTION("""COMPUTED_VALUE"""),"BOGOTÁ")</f>
        <v>BOGOTÁ</v>
      </c>
      <c r="E2010" s="15" t="str">
        <f>IFERROR(__xludf.DUMMYFUNCTION("""COMPUTED_VALUE"""),"Renata")</f>
        <v>Renata</v>
      </c>
      <c r="F2010" s="17" t="str">
        <f>IFERROR(__xludf.DUMMYFUNCTION("""COMPUTED_VALUE"""),"Carrera 32d#9-42 / Seline y cowork -restaurante  / Provenza")</f>
        <v>Carrera 32d#9-42 / Seline y cowork -restaurante  / Provenza</v>
      </c>
      <c r="G2010" s="15" t="str">
        <f>IFERROR(__xludf.DUMMYFUNCTION("""COMPUTED_VALUE"""),"Front y back hospitality group")</f>
        <v>Front y back hospitality group</v>
      </c>
      <c r="H2010" s="16">
        <f>IFERROR(__xludf.DUMMYFUNCTION("""COMPUTED_VALUE"""),10604.0)</f>
        <v>10604</v>
      </c>
      <c r="I2010" s="18">
        <f>IFERROR(__xludf.DUMMYFUNCTION("""COMPUTED_VALUE"""),55.0)</f>
        <v>55</v>
      </c>
      <c r="J2010" s="18">
        <f>IFERROR(__xludf.DUMMYFUNCTION("""COMPUTED_VALUE"""),45.0)</f>
        <v>45</v>
      </c>
      <c r="K2010" s="18" t="str">
        <f>IFERROR(__xludf.DUMMYFUNCTION("""COMPUTED_VALUE"""),"52.5")</f>
        <v>52.5</v>
      </c>
      <c r="L2010" s="17">
        <f>IFERROR(__xludf.DUMMYFUNCTION("""COMPUTED_VALUE"""),3.104047368E9)</f>
        <v>3104047368</v>
      </c>
      <c r="M2010" s="17" t="str">
        <f>IFERROR(__xludf.DUMMYFUNCTION("""COMPUTED_VALUE"""),"#REF!")</f>
        <v>#REF!</v>
      </c>
      <c r="N2010" s="17"/>
      <c r="O2010" s="17"/>
      <c r="P2010" s="17" t="b">
        <f>IFERROR(__xludf.DUMMYFUNCTION("""COMPUTED_VALUE"""),FALSE)</f>
        <v>0</v>
      </c>
      <c r="Q2010" s="20" t="str">
        <f>IFERROR(__xludf.DUMMYFUNCTION("""COMPUTED_VALUE"""),"")</f>
        <v/>
      </c>
      <c r="R2010" s="22" t="str">
        <f>IFERROR(__xludf.DUMMYFUNCTION("""COMPUTED_VALUE"""),"")</f>
        <v/>
      </c>
    </row>
    <row r="2011">
      <c r="A2011" s="15">
        <f>IFERROR(__xludf.DUMMYFUNCTION("""COMPUTED_VALUE"""),45058.0)</f>
        <v>45058</v>
      </c>
      <c r="B2011" s="16" t="str">
        <f>IFERROR(__xludf.DUMMYFUNCTION("""COMPUTED_VALUE"""),"Envia")</f>
        <v>Envia</v>
      </c>
      <c r="C2011" s="15" t="str">
        <f>IFERROR(__xludf.DUMMYFUNCTION("""COMPUTED_VALUE"""),"MEDELLÍN")</f>
        <v>MEDELLÍN</v>
      </c>
      <c r="D2011" s="15" t="str">
        <f>IFERROR(__xludf.DUMMYFUNCTION("""COMPUTED_VALUE"""),"BOGOTÁ")</f>
        <v>BOGOTÁ</v>
      </c>
      <c r="E2011" s="15" t="str">
        <f>IFERROR(__xludf.DUMMYFUNCTION("""COMPUTED_VALUE"""),"Susana Cuartas")</f>
        <v>Susana Cuartas</v>
      </c>
      <c r="F2011" s="17" t="str">
        <f>IFERROR(__xludf.DUMMYFUNCTION("""COMPUTED_VALUE"""),"Carrera 27 b # 27 d sur 99 Envigado Casa 246  / Quebrada clara casa 246 / El frente del colegio cumbres")</f>
        <v>Carrera 27 b # 27 d sur 99 Envigado Casa 246  / Quebrada clara casa 246 / El frente del colegio cumbres</v>
      </c>
      <c r="G2011" s="15" t="str">
        <f>IFERROR(__xludf.DUMMYFUNCTION("""COMPUTED_VALUE"""),"Susana cuartas")</f>
        <v>Susana cuartas</v>
      </c>
      <c r="H2011" s="16">
        <f>IFERROR(__xludf.DUMMYFUNCTION("""COMPUTED_VALUE"""),10585.0)</f>
        <v>10585</v>
      </c>
      <c r="I2011" s="18">
        <f>IFERROR(__xludf.DUMMYFUNCTION("""COMPUTED_VALUE"""),40.0)</f>
        <v>40</v>
      </c>
      <c r="J2011" s="18">
        <f>IFERROR(__xludf.DUMMYFUNCTION("""COMPUTED_VALUE"""),50.0)</f>
        <v>50</v>
      </c>
      <c r="K2011" s="18">
        <f>IFERROR(__xludf.DUMMYFUNCTION("""COMPUTED_VALUE"""),40.0)</f>
        <v>40</v>
      </c>
      <c r="L2011" s="17">
        <f>IFERROR(__xludf.DUMMYFUNCTION("""COMPUTED_VALUE"""),3.116353963E9)</f>
        <v>3116353963</v>
      </c>
      <c r="M2011" s="17" t="str">
        <f>IFERROR(__xludf.DUMMYFUNCTION("""COMPUTED_VALUE"""),"#REF!")</f>
        <v>#REF!</v>
      </c>
      <c r="N2011" s="17"/>
      <c r="O2011" s="17"/>
      <c r="P2011" s="17" t="b">
        <f>IFERROR(__xludf.DUMMYFUNCTION("""COMPUTED_VALUE"""),FALSE)</f>
        <v>0</v>
      </c>
      <c r="Q2011" s="20" t="str">
        <f>IFERROR(__xludf.DUMMYFUNCTION("""COMPUTED_VALUE"""),"")</f>
        <v/>
      </c>
      <c r="R2011" s="22" t="str">
        <f>IFERROR(__xludf.DUMMYFUNCTION("""COMPUTED_VALUE"""),"")</f>
        <v/>
      </c>
    </row>
    <row r="2012">
      <c r="A2012" s="15">
        <f>IFERROR(__xludf.DUMMYFUNCTION("""COMPUTED_VALUE"""),45058.0)</f>
        <v>45058</v>
      </c>
      <c r="B2012" s="16" t="str">
        <f>IFERROR(__xludf.DUMMYFUNCTION("""COMPUTED_VALUE"""),"Envia")</f>
        <v>Envia</v>
      </c>
      <c r="C2012" s="15" t="str">
        <f>IFERROR(__xludf.DUMMYFUNCTION("""COMPUTED_VALUE"""),"SANTA MARTA")</f>
        <v>SANTA MARTA</v>
      </c>
      <c r="D2012" s="15" t="str">
        <f>IFERROR(__xludf.DUMMYFUNCTION("""COMPUTED_VALUE"""),"BOGOTÁ")</f>
        <v>BOGOTÁ</v>
      </c>
      <c r="E2012" s="15" t="str">
        <f>IFERROR(__xludf.DUMMYFUNCTION("""COMPUTED_VALUE"""),"Spirulina Fresca")</f>
        <v>Spirulina Fresca</v>
      </c>
      <c r="F2012" s="17" t="str">
        <f>IFERROR(__xludf.DUMMYFUNCTION("""COMPUTED_VALUE"""),"Cr2#29-144  / Playa Salguero edificio casa del mar apto 302 / Playa Salguero el Rodadero")</f>
        <v>Cr2#29-144  / Playa Salguero edificio casa del mar apto 302 / Playa Salguero el Rodadero</v>
      </c>
      <c r="G2012" s="15" t="str">
        <f>IFERROR(__xludf.DUMMYFUNCTION("""COMPUTED_VALUE"""),"Olga Severino")</f>
        <v>Olga Severino</v>
      </c>
      <c r="H2012" s="16">
        <f>IFERROR(__xludf.DUMMYFUNCTION("""COMPUTED_VALUE"""),10539.0)</f>
        <v>10539</v>
      </c>
      <c r="I2012" s="18">
        <f>IFERROR(__xludf.DUMMYFUNCTION("""COMPUTED_VALUE"""),10.0)</f>
        <v>10</v>
      </c>
      <c r="J2012" s="18">
        <f>IFERROR(__xludf.DUMMYFUNCTION("""COMPUTED_VALUE"""),12.0)</f>
        <v>12</v>
      </c>
      <c r="K2012" s="18">
        <f>IFERROR(__xludf.DUMMYFUNCTION("""COMPUTED_VALUE"""),22.0)</f>
        <v>22</v>
      </c>
      <c r="L2012" s="17">
        <f>IFERROR(__xludf.DUMMYFUNCTION("""COMPUTED_VALUE"""),3.12491148E9)</f>
        <v>3124911480</v>
      </c>
      <c r="M2012" s="17" t="str">
        <f>IFERROR(__xludf.DUMMYFUNCTION("""COMPUTED_VALUE"""),"#REF!")</f>
        <v>#REF!</v>
      </c>
      <c r="N2012" s="17"/>
      <c r="O2012" s="17"/>
      <c r="P2012" s="17" t="b">
        <f>IFERROR(__xludf.DUMMYFUNCTION("""COMPUTED_VALUE"""),FALSE)</f>
        <v>0</v>
      </c>
      <c r="Q2012" s="20" t="str">
        <f>IFERROR(__xludf.DUMMYFUNCTION("""COMPUTED_VALUE"""),"")</f>
        <v/>
      </c>
      <c r="R2012" s="22" t="str">
        <f>IFERROR(__xludf.DUMMYFUNCTION("""COMPUTED_VALUE"""),"")</f>
        <v/>
      </c>
    </row>
    <row r="2013">
      <c r="A2013" s="15">
        <f>IFERROR(__xludf.DUMMYFUNCTION("""COMPUTED_VALUE"""),45058.0)</f>
        <v>45058</v>
      </c>
      <c r="B2013" s="16" t="str">
        <f>IFERROR(__xludf.DUMMYFUNCTION("""COMPUTED_VALUE"""),"Envia")</f>
        <v>Envia</v>
      </c>
      <c r="C2013" s="15" t="str">
        <f>IFERROR(__xludf.DUMMYFUNCTION("""COMPUTED_VALUE"""),"SANTA MARTA")</f>
        <v>SANTA MARTA</v>
      </c>
      <c r="D2013" s="15" t="str">
        <f>IFERROR(__xludf.DUMMYFUNCTION("""COMPUTED_VALUE"""),"MEDELLÍN")</f>
        <v>MEDELLÍN</v>
      </c>
      <c r="E2013" s="15" t="str">
        <f>IFERROR(__xludf.DUMMYFUNCTION("""COMPUTED_VALUE"""),"Magda")</f>
        <v>Magda</v>
      </c>
      <c r="F2013" s="17" t="str">
        <f>IFERROR(__xludf.DUMMYFUNCTION("""COMPUTED_VALUE"""),"calle 22#6-82  / ""centro comercial plazuela 22 local 27 "" / Centro")</f>
        <v>calle 22#6-82  / "centro comercial plazuela 22 local 27 " / Centro</v>
      </c>
      <c r="G2013" s="15" t="str">
        <f>IFERROR(__xludf.DUMMYFUNCTION("""COMPUTED_VALUE"""),"Shirley Monjarres")</f>
        <v>Shirley Monjarres</v>
      </c>
      <c r="H2013" s="16">
        <f>IFERROR(__xludf.DUMMYFUNCTION("""COMPUTED_VALUE"""),10599.0)</f>
        <v>10599</v>
      </c>
      <c r="I2013" s="18">
        <f>IFERROR(__xludf.DUMMYFUNCTION("""COMPUTED_VALUE"""),5.0)</f>
        <v>5</v>
      </c>
      <c r="J2013" s="18">
        <f>IFERROR(__xludf.DUMMYFUNCTION("""COMPUTED_VALUE"""),5.0)</f>
        <v>5</v>
      </c>
      <c r="K2013" s="18">
        <f>IFERROR(__xludf.DUMMYFUNCTION("""COMPUTED_VALUE"""),5.0)</f>
        <v>5</v>
      </c>
      <c r="L2013" s="17">
        <f>IFERROR(__xludf.DUMMYFUNCTION("""COMPUTED_VALUE"""),3.054269156E9)</f>
        <v>3054269156</v>
      </c>
      <c r="M2013" s="17" t="str">
        <f>IFERROR(__xludf.DUMMYFUNCTION("""COMPUTED_VALUE"""),"#REF!")</f>
        <v>#REF!</v>
      </c>
      <c r="N2013" s="17"/>
      <c r="O2013" s="17"/>
      <c r="P2013" s="17" t="b">
        <f>IFERROR(__xludf.DUMMYFUNCTION("""COMPUTED_VALUE"""),FALSE)</f>
        <v>0</v>
      </c>
      <c r="Q2013" s="20" t="str">
        <f>IFERROR(__xludf.DUMMYFUNCTION("""COMPUTED_VALUE"""),"")</f>
        <v/>
      </c>
      <c r="R2013" s="22" t="str">
        <f>IFERROR(__xludf.DUMMYFUNCTION("""COMPUTED_VALUE"""),"")</f>
        <v/>
      </c>
    </row>
    <row r="2014">
      <c r="A2014" s="17" t="str">
        <f>IFERROR(__xludf.DUMMYFUNCTION("""COMPUTED_VALUE"""),"")</f>
        <v/>
      </c>
      <c r="B2014" s="17" t="str">
        <f>IFERROR(__xludf.DUMMYFUNCTION("""COMPUTED_VALUE"""),"")</f>
        <v/>
      </c>
      <c r="C2014" s="17" t="str">
        <f>IFERROR(__xludf.DUMMYFUNCTION("""COMPUTED_VALUE"""),"")</f>
        <v/>
      </c>
      <c r="D2014" s="17" t="str">
        <f>IFERROR(__xludf.DUMMYFUNCTION("""COMPUTED_VALUE"""),"")</f>
        <v/>
      </c>
      <c r="E2014" s="17" t="str">
        <f>IFERROR(__xludf.DUMMYFUNCTION("""COMPUTED_VALUE"""),"")</f>
        <v/>
      </c>
      <c r="F2014" s="17" t="str">
        <f>IFERROR(__xludf.DUMMYFUNCTION("""COMPUTED_VALUE"""),"")</f>
        <v/>
      </c>
      <c r="G2014" s="17" t="str">
        <f>IFERROR(__xludf.DUMMYFUNCTION("""COMPUTED_VALUE"""),"")</f>
        <v/>
      </c>
      <c r="H2014" s="17" t="str">
        <f>IFERROR(__xludf.DUMMYFUNCTION("""COMPUTED_VALUE"""),"")</f>
        <v/>
      </c>
      <c r="I2014" s="17" t="str">
        <f>IFERROR(__xludf.DUMMYFUNCTION("""COMPUTED_VALUE"""),"")</f>
        <v/>
      </c>
      <c r="J2014" s="17" t="str">
        <f>IFERROR(__xludf.DUMMYFUNCTION("""COMPUTED_VALUE"""),"")</f>
        <v/>
      </c>
      <c r="K2014" s="17" t="str">
        <f>IFERROR(__xludf.DUMMYFUNCTION("""COMPUTED_VALUE"""),"")</f>
        <v/>
      </c>
      <c r="L2014" s="17" t="str">
        <f>IFERROR(__xludf.DUMMYFUNCTION("""COMPUTED_VALUE"""),"")</f>
        <v/>
      </c>
      <c r="M2014" s="17" t="str">
        <f>IFERROR(__xludf.DUMMYFUNCTION("""COMPUTED_VALUE"""),"")</f>
        <v/>
      </c>
      <c r="N2014" s="17" t="str">
        <f>IFERROR(__xludf.DUMMYFUNCTION("""COMPUTED_VALUE"""),"")</f>
        <v/>
      </c>
      <c r="O2014" s="17" t="str">
        <f>IFERROR(__xludf.DUMMYFUNCTION("""COMPUTED_VALUE"""),"")</f>
        <v/>
      </c>
      <c r="P2014" s="17" t="str">
        <f>IFERROR(__xludf.DUMMYFUNCTION("""COMPUTED_VALUE"""),"")</f>
        <v/>
      </c>
      <c r="Q2014" s="17" t="str">
        <f>IFERROR(__xludf.DUMMYFUNCTION("""COMPUTED_VALUE"""),"")</f>
        <v/>
      </c>
      <c r="R2014" s="17" t="str">
        <f>IFERROR(__xludf.DUMMYFUNCTION("""COMPUTED_VALUE"""),"")</f>
        <v/>
      </c>
    </row>
    <row r="2015">
      <c r="A2015" s="15">
        <f>IFERROR(__xludf.DUMMYFUNCTION("""COMPUTED_VALUE"""),45058.0)</f>
        <v>45058</v>
      </c>
      <c r="B2015" s="16" t="str">
        <f>IFERROR(__xludf.DUMMYFUNCTION("""COMPUTED_VALUE"""),"Jeison Rubiano")</f>
        <v>Jeison Rubiano</v>
      </c>
      <c r="C2015" s="15" t="str">
        <f>IFERROR(__xludf.DUMMYFUNCTION("""COMPUTED_VALUE"""),"BOGOTÁ")</f>
        <v>BOGOTÁ</v>
      </c>
      <c r="D2015" s="15" t="str">
        <f>IFERROR(__xludf.DUMMYFUNCTION("""COMPUTED_VALUE"""),"MEDELLÍN")</f>
        <v>MEDELLÍN</v>
      </c>
      <c r="E2015" s="15" t="str">
        <f>IFERROR(__xludf.DUMMYFUNCTION("""COMPUTED_VALUE"""),"Baby Chef")</f>
        <v>Baby Chef</v>
      </c>
      <c r="F2015" s="17" t="str">
        <f>IFERROR(__xludf.DUMMYFUNCTION("""COMPUTED_VALUE"""),"Calle 77B # 120A-40, bloque 2 Apartamento 609 / Calle 77B # 120A-40, bloque 2 Apartamento 609 / Gran Granada")</f>
        <v>Calle 77B # 120A-40, bloque 2 Apartamento 609 / Calle 77B # 120A-40, bloque 2 Apartamento 609 / Gran Granada</v>
      </c>
      <c r="G2015" s="15" t="str">
        <f>IFERROR(__xludf.DUMMYFUNCTION("""COMPUTED_VALUE"""),"Adriana Marcela Molano Gongora")</f>
        <v>Adriana Marcela Molano Gongora</v>
      </c>
      <c r="H2015" s="16">
        <f>IFERROR(__xludf.DUMMYFUNCTION("""COMPUTED_VALUE"""),10606.0)</f>
        <v>10606</v>
      </c>
      <c r="I2015" s="18">
        <f>IFERROR(__xludf.DUMMYFUNCTION("""COMPUTED_VALUE"""),8.0)</f>
        <v>8</v>
      </c>
      <c r="J2015" s="18">
        <f>IFERROR(__xludf.DUMMYFUNCTION("""COMPUTED_VALUE"""),16.0)</f>
        <v>16</v>
      </c>
      <c r="K2015" s="18">
        <f>IFERROR(__xludf.DUMMYFUNCTION("""COMPUTED_VALUE"""),20.0)</f>
        <v>20</v>
      </c>
      <c r="L2015" s="17">
        <f>IFERROR(__xludf.DUMMYFUNCTION("""COMPUTED_VALUE"""),3.12557894E9)</f>
        <v>3125578940</v>
      </c>
      <c r="M2015" s="17" t="str">
        <f>IFERROR(__xludf.DUMMYFUNCTION("""COMPUTED_VALUE"""),"#REF!")</f>
        <v>#REF!</v>
      </c>
      <c r="N2015" s="17"/>
      <c r="O2015" s="17"/>
      <c r="P2015" s="17" t="b">
        <f>IFERROR(__xludf.DUMMYFUNCTION("""COMPUTED_VALUE"""),FALSE)</f>
        <v>0</v>
      </c>
      <c r="Q2015" s="20" t="str">
        <f>IFERROR(__xludf.DUMMYFUNCTION("""COMPUTED_VALUE"""),"")</f>
        <v/>
      </c>
      <c r="R2015" s="22" t="str">
        <f>IFERROR(__xludf.DUMMYFUNCTION("""COMPUTED_VALUE"""),"")</f>
        <v/>
      </c>
    </row>
    <row r="2016">
      <c r="A2016" s="15">
        <f>IFERROR(__xludf.DUMMYFUNCTION("""COMPUTED_VALUE"""),45058.0)</f>
        <v>45058</v>
      </c>
      <c r="B2016" s="16" t="str">
        <f>IFERROR(__xludf.DUMMYFUNCTION("""COMPUTED_VALUE"""),"Jeison Rubiano")</f>
        <v>Jeison Rubiano</v>
      </c>
      <c r="C2016" s="15" t="str">
        <f>IFERROR(__xludf.DUMMYFUNCTION("""COMPUTED_VALUE"""),"BOGOTÁ")</f>
        <v>BOGOTÁ</v>
      </c>
      <c r="D2016" s="15" t="str">
        <f>IFERROR(__xludf.DUMMYFUNCTION("""COMPUTED_VALUE"""),"MEDELLÍN")</f>
        <v>MEDELLÍN</v>
      </c>
      <c r="E2016" s="15" t="str">
        <f>IFERROR(__xludf.DUMMYFUNCTION("""COMPUTED_VALUE"""),"Lácteos El Pino SAS")</f>
        <v>Lácteos El Pino SAS</v>
      </c>
      <c r="F2016" s="17" t="str">
        <f>IFERROR(__xludf.DUMMYFUNCTION("""COMPUTED_VALUE"""),"CALLE 93# 18 -81 / ENTREGAR EN EL LOCAL")</f>
        <v>CALLE 93# 18 -81 / ENTREGAR EN EL LOCAL</v>
      </c>
      <c r="G2016" s="15" t="str">
        <f>IFERROR(__xludf.DUMMYFUNCTION("""COMPUTED_VALUE"""),"KIM")</f>
        <v>KIM</v>
      </c>
      <c r="H2016" s="16">
        <f>IFERROR(__xludf.DUMMYFUNCTION("""COMPUTED_VALUE"""),10584.0)</f>
        <v>10584</v>
      </c>
      <c r="I2016" s="18">
        <f>IFERROR(__xludf.DUMMYFUNCTION("""COMPUTED_VALUE"""),33.0)</f>
        <v>33</v>
      </c>
      <c r="J2016" s="18">
        <f>IFERROR(__xludf.DUMMYFUNCTION("""COMPUTED_VALUE"""),22.0)</f>
        <v>22</v>
      </c>
      <c r="K2016" s="18">
        <f>IFERROR(__xludf.DUMMYFUNCTION("""COMPUTED_VALUE"""),36.0)</f>
        <v>36</v>
      </c>
      <c r="L2016" s="17">
        <f>IFERROR(__xludf.DUMMYFUNCTION("""COMPUTED_VALUE"""),3.24566062E9)</f>
        <v>3245660620</v>
      </c>
      <c r="M2016" s="17" t="str">
        <f>IFERROR(__xludf.DUMMYFUNCTION("""COMPUTED_VALUE"""),"#REF!")</f>
        <v>#REF!</v>
      </c>
      <c r="N2016" s="17"/>
      <c r="O2016" s="17"/>
      <c r="P2016" s="17" t="b">
        <f>IFERROR(__xludf.DUMMYFUNCTION("""COMPUTED_VALUE"""),FALSE)</f>
        <v>0</v>
      </c>
      <c r="Q2016" s="20" t="str">
        <f>IFERROR(__xludf.DUMMYFUNCTION("""COMPUTED_VALUE"""),"")</f>
        <v/>
      </c>
      <c r="R2016" s="22" t="str">
        <f>IFERROR(__xludf.DUMMYFUNCTION("""COMPUTED_VALUE"""),"")</f>
        <v/>
      </c>
    </row>
    <row r="2017">
      <c r="A2017" s="15">
        <f>IFERROR(__xludf.DUMMYFUNCTION("""COMPUTED_VALUE"""),45058.0)</f>
        <v>45058</v>
      </c>
      <c r="B2017" s="16" t="str">
        <f>IFERROR(__xludf.DUMMYFUNCTION("""COMPUTED_VALUE"""),"Jeison Rubiano")</f>
        <v>Jeison Rubiano</v>
      </c>
      <c r="C2017" s="15" t="str">
        <f>IFERROR(__xludf.DUMMYFUNCTION("""COMPUTED_VALUE"""),"BOGOTÁ")</f>
        <v>BOGOTÁ</v>
      </c>
      <c r="D2017" s="15" t="str">
        <f>IFERROR(__xludf.DUMMYFUNCTION("""COMPUTED_VALUE"""),"MEDELLÍN")</f>
        <v>MEDELLÍN</v>
      </c>
      <c r="E2017" s="15" t="str">
        <f>IFERROR(__xludf.DUMMYFUNCTION("""COMPUTED_VALUE"""),"Moloso S.A.S")</f>
        <v>Moloso S.A.S</v>
      </c>
      <c r="F2017" s="17" t="str">
        <f>IFERROR(__xludf.DUMMYFUNCTION("""COMPUTED_VALUE"""),"CR 23 106 B 64 / EDF MYSTIQUE 106")</f>
        <v>CR 23 106 B 64 / EDF MYSTIQUE 106</v>
      </c>
      <c r="G2017" s="15" t="str">
        <f>IFERROR(__xludf.DUMMYFUNCTION("""COMPUTED_VALUE"""),"MARIANA OSPINA")</f>
        <v>MARIANA OSPINA</v>
      </c>
      <c r="H2017" s="16">
        <f>IFERROR(__xludf.DUMMYFUNCTION("""COMPUTED_VALUE"""),10593.0)</f>
        <v>10593</v>
      </c>
      <c r="I2017" s="18">
        <f>IFERROR(__xludf.DUMMYFUNCTION("""COMPUTED_VALUE"""),17.0)</f>
        <v>17</v>
      </c>
      <c r="J2017" s="18">
        <f>IFERROR(__xludf.DUMMYFUNCTION("""COMPUTED_VALUE"""),15.0)</f>
        <v>15</v>
      </c>
      <c r="K2017" s="18">
        <f>IFERROR(__xludf.DUMMYFUNCTION("""COMPUTED_VALUE"""),28.0)</f>
        <v>28</v>
      </c>
      <c r="L2017" s="17">
        <f>IFERROR(__xludf.DUMMYFUNCTION("""COMPUTED_VALUE"""),3.017656611E9)</f>
        <v>3017656611</v>
      </c>
      <c r="M2017" s="17" t="str">
        <f>IFERROR(__xludf.DUMMYFUNCTION("""COMPUTED_VALUE"""),"#REF!")</f>
        <v>#REF!</v>
      </c>
      <c r="N2017" s="17"/>
      <c r="O2017" s="17"/>
      <c r="P2017" s="17" t="b">
        <f>IFERROR(__xludf.DUMMYFUNCTION("""COMPUTED_VALUE"""),FALSE)</f>
        <v>0</v>
      </c>
      <c r="Q2017" s="20" t="str">
        <f>IFERROR(__xludf.DUMMYFUNCTION("""COMPUTED_VALUE"""),"")</f>
        <v/>
      </c>
      <c r="R2017" s="22" t="str">
        <f>IFERROR(__xludf.DUMMYFUNCTION("""COMPUTED_VALUE"""),"")</f>
        <v/>
      </c>
    </row>
    <row r="2018">
      <c r="A2018" s="15">
        <f>IFERROR(__xludf.DUMMYFUNCTION("""COMPUTED_VALUE"""),45058.0)</f>
        <v>45058</v>
      </c>
      <c r="B2018" s="16" t="str">
        <f>IFERROR(__xludf.DUMMYFUNCTION("""COMPUTED_VALUE"""),"Jeison Rubiano")</f>
        <v>Jeison Rubiano</v>
      </c>
      <c r="C2018" s="15" t="str">
        <f>IFERROR(__xludf.DUMMYFUNCTION("""COMPUTED_VALUE"""),"BOGOTÁ")</f>
        <v>BOGOTÁ</v>
      </c>
      <c r="D2018" s="15" t="str">
        <f>IFERROR(__xludf.DUMMYFUNCTION("""COMPUTED_VALUE"""),"MEDELLÍN")</f>
        <v>MEDELLÍN</v>
      </c>
      <c r="E2018" s="15" t="str">
        <f>IFERROR(__xludf.DUMMYFUNCTION("""COMPUTED_VALUE"""),"Rambla")</f>
        <v>Rambla</v>
      </c>
      <c r="F2018" s="17" t="str">
        <f>IFERROR(__xludf.DUMMYFUNCTION("""COMPUTED_VALUE"""),"Calle 24 # 80B -82 - Modelia / NA / NA")</f>
        <v>Calle 24 # 80B -82 - Modelia / NA / NA</v>
      </c>
      <c r="G2018" s="15" t="str">
        <f>IFERROR(__xludf.DUMMYFUNCTION("""COMPUTED_VALUE"""),"Mercado Origenes")</f>
        <v>Mercado Origenes</v>
      </c>
      <c r="H2018" s="16">
        <f>IFERROR(__xludf.DUMMYFUNCTION("""COMPUTED_VALUE"""),10614.0)</f>
        <v>10614</v>
      </c>
      <c r="I2018" s="18">
        <f>IFERROR(__xludf.DUMMYFUNCTION("""COMPUTED_VALUE"""),18.0)</f>
        <v>18</v>
      </c>
      <c r="J2018" s="18">
        <f>IFERROR(__xludf.DUMMYFUNCTION("""COMPUTED_VALUE"""),21.0)</f>
        <v>21</v>
      </c>
      <c r="K2018" s="18">
        <f>IFERROR(__xludf.DUMMYFUNCTION("""COMPUTED_VALUE"""),25.0)</f>
        <v>25</v>
      </c>
      <c r="L2018" s="17">
        <f>IFERROR(__xludf.DUMMYFUNCTION("""COMPUTED_VALUE"""),3.136299043E9)</f>
        <v>3136299043</v>
      </c>
      <c r="M2018" s="17" t="str">
        <f>IFERROR(__xludf.DUMMYFUNCTION("""COMPUTED_VALUE"""),"#REF!")</f>
        <v>#REF!</v>
      </c>
      <c r="N2018" s="17"/>
      <c r="O2018" s="17"/>
      <c r="P2018" s="17" t="b">
        <f>IFERROR(__xludf.DUMMYFUNCTION("""COMPUTED_VALUE"""),FALSE)</f>
        <v>0</v>
      </c>
      <c r="Q2018" s="20" t="str">
        <f>IFERROR(__xludf.DUMMYFUNCTION("""COMPUTED_VALUE"""),"")</f>
        <v/>
      </c>
      <c r="R2018" s="22" t="str">
        <f>IFERROR(__xludf.DUMMYFUNCTION("""COMPUTED_VALUE"""),"")</f>
        <v/>
      </c>
    </row>
    <row r="2019">
      <c r="A2019" s="15">
        <f>IFERROR(__xludf.DUMMYFUNCTION("""COMPUTED_VALUE"""),45058.0)</f>
        <v>45058</v>
      </c>
      <c r="B2019" s="16" t="str">
        <f>IFERROR(__xludf.DUMMYFUNCTION("""COMPUTED_VALUE"""),"Jeison Rubiano")</f>
        <v>Jeison Rubiano</v>
      </c>
      <c r="C2019" s="15" t="str">
        <f>IFERROR(__xludf.DUMMYFUNCTION("""COMPUTED_VALUE"""),"BOGOTÁ")</f>
        <v>BOGOTÁ</v>
      </c>
      <c r="D2019" s="15" t="str">
        <f>IFERROR(__xludf.DUMMYFUNCTION("""COMPUTED_VALUE"""),"MEDELLÍN")</f>
        <v>MEDELLÍN</v>
      </c>
      <c r="E2019" s="15" t="str">
        <f>IFERROR(__xludf.DUMMYFUNCTION("""COMPUTED_VALUE"""),"Rambla")</f>
        <v>Rambla</v>
      </c>
      <c r="F2019" s="17" t="str">
        <f>IFERROR(__xludf.DUMMYFUNCTION("""COMPUTED_VALUE"""),"Cll 8 sur # 39 _34. Ciudad montes / NA / NA")</f>
        <v>Cll 8 sur # 39 _34. Ciudad montes / NA / NA</v>
      </c>
      <c r="G2019" s="15" t="str">
        <f>IFERROR(__xludf.DUMMYFUNCTION("""COMPUTED_VALUE"""),"Tierra Fértil")</f>
        <v>Tierra Fértil</v>
      </c>
      <c r="H2019" s="16">
        <f>IFERROR(__xludf.DUMMYFUNCTION("""COMPUTED_VALUE"""),10615.0)</f>
        <v>10615</v>
      </c>
      <c r="I2019" s="18">
        <f>IFERROR(__xludf.DUMMYFUNCTION("""COMPUTED_VALUE"""),18.0)</f>
        <v>18</v>
      </c>
      <c r="J2019" s="18">
        <f>IFERROR(__xludf.DUMMYFUNCTION("""COMPUTED_VALUE"""),21.0)</f>
        <v>21</v>
      </c>
      <c r="K2019" s="18">
        <f>IFERROR(__xludf.DUMMYFUNCTION("""COMPUTED_VALUE"""),25.0)</f>
        <v>25</v>
      </c>
      <c r="L2019" s="17">
        <f>IFERROR(__xludf.DUMMYFUNCTION("""COMPUTED_VALUE"""),3.112876801E9)</f>
        <v>3112876801</v>
      </c>
      <c r="M2019" s="17" t="str">
        <f>IFERROR(__xludf.DUMMYFUNCTION("""COMPUTED_VALUE"""),"#REF!")</f>
        <v>#REF!</v>
      </c>
      <c r="N2019" s="17"/>
      <c r="O2019" s="17"/>
      <c r="P2019" s="17" t="b">
        <f>IFERROR(__xludf.DUMMYFUNCTION("""COMPUTED_VALUE"""),FALSE)</f>
        <v>0</v>
      </c>
      <c r="Q2019" s="20" t="str">
        <f>IFERROR(__xludf.DUMMYFUNCTION("""COMPUTED_VALUE"""),"")</f>
        <v/>
      </c>
      <c r="R2019" s="22" t="str">
        <f>IFERROR(__xludf.DUMMYFUNCTION("""COMPUTED_VALUE"""),"")</f>
        <v/>
      </c>
    </row>
    <row r="2020">
      <c r="A2020" s="15">
        <f>IFERROR(__xludf.DUMMYFUNCTION("""COMPUTED_VALUE"""),45058.0)</f>
        <v>45058</v>
      </c>
      <c r="B2020" s="16" t="str">
        <f>IFERROR(__xludf.DUMMYFUNCTION("""COMPUTED_VALUE"""),"Jeison Rubiano")</f>
        <v>Jeison Rubiano</v>
      </c>
      <c r="C2020" s="15" t="str">
        <f>IFERROR(__xludf.DUMMYFUNCTION("""COMPUTED_VALUE"""),"BOGOTÁ")</f>
        <v>BOGOTÁ</v>
      </c>
      <c r="D2020" s="15" t="str">
        <f>IFERROR(__xludf.DUMMYFUNCTION("""COMPUTED_VALUE"""),"MEDELLÍN")</f>
        <v>MEDELLÍN</v>
      </c>
      <c r="E2020" s="15" t="str">
        <f>IFERROR(__xludf.DUMMYFUNCTION("""COMPUTED_VALUE"""),"Rambla")</f>
        <v>Rambla</v>
      </c>
      <c r="F2020" s="17" t="str">
        <f>IFERROR(__xludf.DUMMYFUNCTION("""COMPUTED_VALUE"""),"Km 1.5 via Chia Cajica 100 mts antes de Fontanar / NA / NA")</f>
        <v>Km 1.5 via Chia Cajica 100 mts antes de Fontanar / NA / NA</v>
      </c>
      <c r="G2020" s="15" t="str">
        <f>IFERROR(__xludf.DUMMYFUNCTION("""COMPUTED_VALUE"""),"The Choice")</f>
        <v>The Choice</v>
      </c>
      <c r="H2020" s="16">
        <f>IFERROR(__xludf.DUMMYFUNCTION("""COMPUTED_VALUE"""),10608.0)</f>
        <v>10608</v>
      </c>
      <c r="I2020" s="18">
        <f>IFERROR(__xludf.DUMMYFUNCTION("""COMPUTED_VALUE"""),18.0)</f>
        <v>18</v>
      </c>
      <c r="J2020" s="18">
        <f>IFERROR(__xludf.DUMMYFUNCTION("""COMPUTED_VALUE"""),21.0)</f>
        <v>21</v>
      </c>
      <c r="K2020" s="18">
        <f>IFERROR(__xludf.DUMMYFUNCTION("""COMPUTED_VALUE"""),25.0)</f>
        <v>25</v>
      </c>
      <c r="L2020" s="17">
        <f>IFERROR(__xludf.DUMMYFUNCTION("""COMPUTED_VALUE"""),3.212415592E9)</f>
        <v>3212415592</v>
      </c>
      <c r="M2020" s="17" t="str">
        <f>IFERROR(__xludf.DUMMYFUNCTION("""COMPUTED_VALUE"""),"#REF!")</f>
        <v>#REF!</v>
      </c>
      <c r="N2020" s="17"/>
      <c r="O2020" s="17"/>
      <c r="P2020" s="17" t="b">
        <f>IFERROR(__xludf.DUMMYFUNCTION("""COMPUTED_VALUE"""),FALSE)</f>
        <v>0</v>
      </c>
      <c r="Q2020" s="20" t="str">
        <f>IFERROR(__xludf.DUMMYFUNCTION("""COMPUTED_VALUE"""),"")</f>
        <v/>
      </c>
      <c r="R2020" s="22" t="str">
        <f>IFERROR(__xludf.DUMMYFUNCTION("""COMPUTED_VALUE"""),"")</f>
        <v/>
      </c>
    </row>
    <row r="2021">
      <c r="A2021" s="17" t="str">
        <f>IFERROR(__xludf.DUMMYFUNCTION("""COMPUTED_VALUE"""),"")</f>
        <v/>
      </c>
      <c r="B2021" s="17" t="str">
        <f>IFERROR(__xludf.DUMMYFUNCTION("""COMPUTED_VALUE"""),"")</f>
        <v/>
      </c>
      <c r="C2021" s="17" t="str">
        <f>IFERROR(__xludf.DUMMYFUNCTION("""COMPUTED_VALUE"""),"")</f>
        <v/>
      </c>
      <c r="D2021" s="17" t="str">
        <f>IFERROR(__xludf.DUMMYFUNCTION("""COMPUTED_VALUE"""),"")</f>
        <v/>
      </c>
      <c r="E2021" s="17" t="str">
        <f>IFERROR(__xludf.DUMMYFUNCTION("""COMPUTED_VALUE"""),"")</f>
        <v/>
      </c>
      <c r="F2021" s="17" t="str">
        <f>IFERROR(__xludf.DUMMYFUNCTION("""COMPUTED_VALUE"""),"")</f>
        <v/>
      </c>
      <c r="G2021" s="17" t="str">
        <f>IFERROR(__xludf.DUMMYFUNCTION("""COMPUTED_VALUE"""),"")</f>
        <v/>
      </c>
      <c r="H2021" s="17" t="str">
        <f>IFERROR(__xludf.DUMMYFUNCTION("""COMPUTED_VALUE"""),"")</f>
        <v/>
      </c>
      <c r="I2021" s="17" t="str">
        <f>IFERROR(__xludf.DUMMYFUNCTION("""COMPUTED_VALUE"""),"")</f>
        <v/>
      </c>
      <c r="J2021" s="17" t="str">
        <f>IFERROR(__xludf.DUMMYFUNCTION("""COMPUTED_VALUE"""),"")</f>
        <v/>
      </c>
      <c r="K2021" s="17" t="str">
        <f>IFERROR(__xludf.DUMMYFUNCTION("""COMPUTED_VALUE"""),"")</f>
        <v/>
      </c>
      <c r="L2021" s="17" t="str">
        <f>IFERROR(__xludf.DUMMYFUNCTION("""COMPUTED_VALUE"""),"")</f>
        <v/>
      </c>
      <c r="M2021" s="17" t="str">
        <f>IFERROR(__xludf.DUMMYFUNCTION("""COMPUTED_VALUE"""),"")</f>
        <v/>
      </c>
      <c r="N2021" s="17" t="str">
        <f>IFERROR(__xludf.DUMMYFUNCTION("""COMPUTED_VALUE"""),"")</f>
        <v/>
      </c>
      <c r="O2021" s="17" t="str">
        <f>IFERROR(__xludf.DUMMYFUNCTION("""COMPUTED_VALUE"""),"")</f>
        <v/>
      </c>
      <c r="P2021" s="17" t="str">
        <f>IFERROR(__xludf.DUMMYFUNCTION("""COMPUTED_VALUE"""),"")</f>
        <v/>
      </c>
      <c r="Q2021" s="17" t="str">
        <f>IFERROR(__xludf.DUMMYFUNCTION("""COMPUTED_VALUE"""),"")</f>
        <v/>
      </c>
      <c r="R2021" s="17" t="str">
        <f>IFERROR(__xludf.DUMMYFUNCTION("""COMPUTED_VALUE"""),"")</f>
        <v/>
      </c>
    </row>
    <row r="2022">
      <c r="A2022" s="15">
        <f>IFERROR(__xludf.DUMMYFUNCTION("""COMPUTED_VALUE"""),45058.0)</f>
        <v>45058</v>
      </c>
      <c r="B2022" s="16" t="str">
        <f>IFERROR(__xludf.DUMMYFUNCTION("""COMPUTED_VALUE"""),"JOSE ALFREDO RAMIREZ VERGARA ")</f>
        <v>JOSE ALFREDO RAMIREZ VERGARA </v>
      </c>
      <c r="C2022" s="15" t="str">
        <f>IFERROR(__xludf.DUMMYFUNCTION("""COMPUTED_VALUE"""),"BARRANQUILLA")</f>
        <v>BARRANQUILLA</v>
      </c>
      <c r="D2022" s="15" t="str">
        <f>IFERROR(__xludf.DUMMYFUNCTION("""COMPUTED_VALUE"""),"MEDELLÍN")</f>
        <v>MEDELLÍN</v>
      </c>
      <c r="E2022" s="15" t="str">
        <f>IFERROR(__xludf.DUMMYFUNCTION("""COMPUTED_VALUE"""),"Rambla")</f>
        <v>Rambla</v>
      </c>
      <c r="F2022" s="17" t="str">
        <f>IFERROR(__xludf.DUMMYFUNCTION("""COMPUTED_VALUE"""),"carrera 53 #80-284 lc 8 / na / na")</f>
        <v>carrera 53 #80-284 lc 8 / na / na</v>
      </c>
      <c r="G2022" s="15" t="str">
        <f>IFERROR(__xludf.DUMMYFUNCTION("""COMPUTED_VALUE"""),"Corpofit")</f>
        <v>Corpofit</v>
      </c>
      <c r="H2022" s="16">
        <f>IFERROR(__xludf.DUMMYFUNCTION("""COMPUTED_VALUE"""),10579.0)</f>
        <v>10579</v>
      </c>
      <c r="I2022" s="18">
        <f>IFERROR(__xludf.DUMMYFUNCTION("""COMPUTED_VALUE"""),28.0)</f>
        <v>28</v>
      </c>
      <c r="J2022" s="18">
        <f>IFERROR(__xludf.DUMMYFUNCTION("""COMPUTED_VALUE"""),32.0)</f>
        <v>32</v>
      </c>
      <c r="K2022" s="18">
        <f>IFERROR(__xludf.DUMMYFUNCTION("""COMPUTED_VALUE"""),34.0)</f>
        <v>34</v>
      </c>
      <c r="L2022" s="17">
        <f>IFERROR(__xludf.DUMMYFUNCTION("""COMPUTED_VALUE"""),3.006125263E9)</f>
        <v>3006125263</v>
      </c>
      <c r="M2022" s="17" t="str">
        <f>IFERROR(__xludf.DUMMYFUNCTION("""COMPUTED_VALUE"""),"#REF!")</f>
        <v>#REF!</v>
      </c>
      <c r="N2022" s="17"/>
      <c r="O2022" s="17"/>
      <c r="P2022" s="17" t="b">
        <f>IFERROR(__xludf.DUMMYFUNCTION("""COMPUTED_VALUE"""),FALSE)</f>
        <v>0</v>
      </c>
      <c r="Q2022" s="20" t="str">
        <f>IFERROR(__xludf.DUMMYFUNCTION("""COMPUTED_VALUE"""),"")</f>
        <v/>
      </c>
      <c r="R2022" s="22" t="str">
        <f>IFERROR(__xludf.DUMMYFUNCTION("""COMPUTED_VALUE"""),"")</f>
        <v/>
      </c>
    </row>
    <row r="2023">
      <c r="A2023" s="15">
        <f>IFERROR(__xludf.DUMMYFUNCTION("""COMPUTED_VALUE"""),45058.0)</f>
        <v>45058</v>
      </c>
      <c r="B2023" s="16" t="str">
        <f>IFERROR(__xludf.DUMMYFUNCTION("""COMPUTED_VALUE"""),"JOSE ALFREDO RAMIREZ VERGARA ")</f>
        <v>JOSE ALFREDO RAMIREZ VERGARA </v>
      </c>
      <c r="C2023" s="15" t="str">
        <f>IFERROR(__xludf.DUMMYFUNCTION("""COMPUTED_VALUE"""),"BARRANQUILLA")</f>
        <v>BARRANQUILLA</v>
      </c>
      <c r="D2023" s="15" t="str">
        <f>IFERROR(__xludf.DUMMYFUNCTION("""COMPUTED_VALUE"""),"MEDELLÍN")</f>
        <v>MEDELLÍN</v>
      </c>
      <c r="E2023" s="15" t="str">
        <f>IFERROR(__xludf.DUMMYFUNCTION("""COMPUTED_VALUE"""),"Rambla")</f>
        <v>Rambla</v>
      </c>
      <c r="F2023" s="17" t="str">
        <f>IFERROR(__xludf.DUMMYFUNCTION("""COMPUTED_VALUE"""),"CARRERA 74 #76-74 / na / na")</f>
        <v>CARRERA 74 #76-74 / na / na</v>
      </c>
      <c r="G2023" s="15" t="str">
        <f>IFERROR(__xludf.DUMMYFUNCTION("""COMPUTED_VALUE"""),"fit hub")</f>
        <v>fit hub</v>
      </c>
      <c r="H2023" s="16">
        <f>IFERROR(__xludf.DUMMYFUNCTION("""COMPUTED_VALUE"""),10578.0)</f>
        <v>10578</v>
      </c>
      <c r="I2023" s="18">
        <f>IFERROR(__xludf.DUMMYFUNCTION("""COMPUTED_VALUE"""),25.0)</f>
        <v>25</v>
      </c>
      <c r="J2023" s="18">
        <f>IFERROR(__xludf.DUMMYFUNCTION("""COMPUTED_VALUE"""),27.0)</f>
        <v>27</v>
      </c>
      <c r="K2023" s="18">
        <f>IFERROR(__xludf.DUMMYFUNCTION("""COMPUTED_VALUE"""),30.0)</f>
        <v>30</v>
      </c>
      <c r="L2023" s="17">
        <f>IFERROR(__xludf.DUMMYFUNCTION("""COMPUTED_VALUE"""),3.157039547E9)</f>
        <v>3157039547</v>
      </c>
      <c r="M2023" s="17" t="str">
        <f>IFERROR(__xludf.DUMMYFUNCTION("""COMPUTED_VALUE"""),"#REF!")</f>
        <v>#REF!</v>
      </c>
      <c r="N2023" s="17"/>
      <c r="O2023" s="17"/>
      <c r="P2023" s="17" t="b">
        <f>IFERROR(__xludf.DUMMYFUNCTION("""COMPUTED_VALUE"""),FALSE)</f>
        <v>0</v>
      </c>
      <c r="Q2023" s="20" t="str">
        <f>IFERROR(__xludf.DUMMYFUNCTION("""COMPUTED_VALUE"""),"")</f>
        <v/>
      </c>
      <c r="R2023" s="22" t="str">
        <f>IFERROR(__xludf.DUMMYFUNCTION("""COMPUTED_VALUE"""),"")</f>
        <v/>
      </c>
    </row>
    <row r="2024">
      <c r="A2024" s="15">
        <f>IFERROR(__xludf.DUMMYFUNCTION("""COMPUTED_VALUE"""),45058.0)</f>
        <v>45058</v>
      </c>
      <c r="B2024" s="16" t="str">
        <f>IFERROR(__xludf.DUMMYFUNCTION("""COMPUTED_VALUE"""),"JOSE ALFREDO RAMIREZ VERGARA ")</f>
        <v>JOSE ALFREDO RAMIREZ VERGARA </v>
      </c>
      <c r="C2024" s="15" t="str">
        <f>IFERROR(__xludf.DUMMYFUNCTION("""COMPUTED_VALUE"""),"BOGOTÁ")</f>
        <v>BOGOTÁ</v>
      </c>
      <c r="D2024" s="15" t="str">
        <f>IFERROR(__xludf.DUMMYFUNCTION("""COMPUTED_VALUE"""),"MEDELLÍN")</f>
        <v>MEDELLÍN</v>
      </c>
      <c r="E2024" s="15" t="str">
        <f>IFERROR(__xludf.DUMMYFUNCTION("""COMPUTED_VALUE"""),"Baby Chef")</f>
        <v>Baby Chef</v>
      </c>
      <c r="F2024" s="17" t="str">
        <f>IFERROR(__xludf.DUMMYFUNCTION("""COMPUTED_VALUE"""),"Calle 127 c bis # 7-20 apt 505 Bella suiza / Calle 127 c bis # 7-20 apt 505 Bella suiza / Calle 127 c bis # 7-20 apt 505 Bella suiza")</f>
        <v>Calle 127 c bis # 7-20 apt 505 Bella suiza / Calle 127 c bis # 7-20 apt 505 Bella suiza / Calle 127 c bis # 7-20 apt 505 Bella suiza</v>
      </c>
      <c r="G2024" s="15" t="str">
        <f>IFERROR(__xludf.DUMMYFUNCTION("""COMPUTED_VALUE"""),"Valentina arango")</f>
        <v>Valentina arango</v>
      </c>
      <c r="H2024" s="16">
        <f>IFERROR(__xludf.DUMMYFUNCTION("""COMPUTED_VALUE"""),10605.0)</f>
        <v>10605</v>
      </c>
      <c r="I2024" s="18">
        <f>IFERROR(__xludf.DUMMYFUNCTION("""COMPUTED_VALUE"""),8.0)</f>
        <v>8</v>
      </c>
      <c r="J2024" s="18">
        <f>IFERROR(__xludf.DUMMYFUNCTION("""COMPUTED_VALUE"""),16.0)</f>
        <v>16</v>
      </c>
      <c r="K2024" s="18">
        <f>IFERROR(__xludf.DUMMYFUNCTION("""COMPUTED_VALUE"""),20.0)</f>
        <v>20</v>
      </c>
      <c r="L2024" s="17">
        <f>IFERROR(__xludf.DUMMYFUNCTION("""COMPUTED_VALUE"""),3.108941287E9)</f>
        <v>3108941287</v>
      </c>
      <c r="M2024" s="17" t="str">
        <f>IFERROR(__xludf.DUMMYFUNCTION("""COMPUTED_VALUE"""),"#REF!")</f>
        <v>#REF!</v>
      </c>
      <c r="N2024" s="17"/>
      <c r="O2024" s="17"/>
      <c r="P2024" s="17" t="b">
        <f>IFERROR(__xludf.DUMMYFUNCTION("""COMPUTED_VALUE"""),FALSE)</f>
        <v>0</v>
      </c>
      <c r="Q2024" s="20" t="str">
        <f>IFERROR(__xludf.DUMMYFUNCTION("""COMPUTED_VALUE"""),"")</f>
        <v/>
      </c>
      <c r="R2024" s="22" t="str">
        <f>IFERROR(__xludf.DUMMYFUNCTION("""COMPUTED_VALUE"""),"")</f>
        <v/>
      </c>
    </row>
    <row r="2025">
      <c r="A2025" s="15">
        <f>IFERROR(__xludf.DUMMYFUNCTION("""COMPUTED_VALUE"""),45058.0)</f>
        <v>45058</v>
      </c>
      <c r="B2025" s="16" t="str">
        <f>IFERROR(__xludf.DUMMYFUNCTION("""COMPUTED_VALUE"""),"JOSE ALFREDO RAMIREZ VERGARA ")</f>
        <v>JOSE ALFREDO RAMIREZ VERGARA </v>
      </c>
      <c r="C2025" s="15" t="str">
        <f>IFERROR(__xludf.DUMMYFUNCTION("""COMPUTED_VALUE"""),"BOGOTÁ")</f>
        <v>BOGOTÁ</v>
      </c>
      <c r="D2025" s="15" t="str">
        <f>IFERROR(__xludf.DUMMYFUNCTION("""COMPUTED_VALUE"""),"MEDELLÍN")</f>
        <v>MEDELLÍN</v>
      </c>
      <c r="E2025" s="15" t="str">
        <f>IFERROR(__xludf.DUMMYFUNCTION("""COMPUTED_VALUE"""),"Baby Chef")</f>
        <v>Baby Chef</v>
      </c>
      <c r="F2025" s="17" t="str">
        <f>IFERROR(__xludf.DUMMYFUNCTION("""COMPUTED_VALUE"""),"Calle 65 B N 86 86 int 5 apto 101 Álamos / ""Calle 65 B N 86 86 int 5 apto 101 Álamos"" / ""Calle 65 B N 86 86 int 5 apto 101 Álamos""")</f>
        <v>Calle 65 B N 86 86 int 5 apto 101 Álamos / "Calle 65 B N 86 86 int 5 apto 101 Álamos" / "Calle 65 B N 86 86 int 5 apto 101 Álamos"</v>
      </c>
      <c r="G2025" s="15" t="str">
        <f>IFERROR(__xludf.DUMMYFUNCTION("""COMPUTED_VALUE"""),"Jenny Paola Ramos Aguilar")</f>
        <v>Jenny Paola Ramos Aguilar</v>
      </c>
      <c r="H2025" s="16">
        <f>IFERROR(__xludf.DUMMYFUNCTION("""COMPUTED_VALUE"""),10607.0)</f>
        <v>10607</v>
      </c>
      <c r="I2025" s="18">
        <f>IFERROR(__xludf.DUMMYFUNCTION("""COMPUTED_VALUE"""),8.0)</f>
        <v>8</v>
      </c>
      <c r="J2025" s="18">
        <f>IFERROR(__xludf.DUMMYFUNCTION("""COMPUTED_VALUE"""),16.0)</f>
        <v>16</v>
      </c>
      <c r="K2025" s="18">
        <f>IFERROR(__xludf.DUMMYFUNCTION("""COMPUTED_VALUE"""),20.0)</f>
        <v>20</v>
      </c>
      <c r="L2025" s="17">
        <f>IFERROR(__xludf.DUMMYFUNCTION("""COMPUTED_VALUE"""),3.103219051E9)</f>
        <v>3103219051</v>
      </c>
      <c r="M2025" s="17" t="str">
        <f>IFERROR(__xludf.DUMMYFUNCTION("""COMPUTED_VALUE"""),"#REF!")</f>
        <v>#REF!</v>
      </c>
      <c r="N2025" s="17"/>
      <c r="O2025" s="17"/>
      <c r="P2025" s="17" t="b">
        <f>IFERROR(__xludf.DUMMYFUNCTION("""COMPUTED_VALUE"""),FALSE)</f>
        <v>0</v>
      </c>
      <c r="Q2025" s="20" t="str">
        <f>IFERROR(__xludf.DUMMYFUNCTION("""COMPUTED_VALUE"""),"")</f>
        <v/>
      </c>
      <c r="R2025" s="22" t="str">
        <f>IFERROR(__xludf.DUMMYFUNCTION("""COMPUTED_VALUE"""),"")</f>
        <v/>
      </c>
    </row>
    <row r="2026">
      <c r="A2026" s="15">
        <f>IFERROR(__xludf.DUMMYFUNCTION("""COMPUTED_VALUE"""),45058.0)</f>
        <v>45058</v>
      </c>
      <c r="B2026" s="16" t="str">
        <f>IFERROR(__xludf.DUMMYFUNCTION("""COMPUTED_VALUE"""),"JOSE ALFREDO RAMIREZ VERGARA ")</f>
        <v>JOSE ALFREDO RAMIREZ VERGARA </v>
      </c>
      <c r="C2026" s="15" t="str">
        <f>IFERROR(__xludf.DUMMYFUNCTION("""COMPUTED_VALUE"""),"BOGOTÁ")</f>
        <v>BOGOTÁ</v>
      </c>
      <c r="D2026" s="15" t="str">
        <f>IFERROR(__xludf.DUMMYFUNCTION("""COMPUTED_VALUE"""),"MEDELLÍN")</f>
        <v>MEDELLÍN</v>
      </c>
      <c r="E2026" s="15" t="str">
        <f>IFERROR(__xludf.DUMMYFUNCTION("""COMPUTED_VALUE"""),"Felicidad Bakery Bogotá")</f>
        <v>Felicidad Bakery Bogotá</v>
      </c>
      <c r="F2026" s="17" t="str">
        <f>IFERROR(__xludf.DUMMYFUNCTION("""COMPUTED_VALUE"""),"Calle 92 #15-62 / Local 103 / Edificio centro chico")</f>
        <v>Calle 92 #15-62 / Local 103 / Edificio centro chico</v>
      </c>
      <c r="G2026" s="15" t="str">
        <f>IFERROR(__xludf.DUMMYFUNCTION("""COMPUTED_VALUE"""),"Camilo hernandez")</f>
        <v>Camilo hernandez</v>
      </c>
      <c r="H2026" s="16">
        <f>IFERROR(__xludf.DUMMYFUNCTION("""COMPUTED_VALUE"""),10596.0)</f>
        <v>10596</v>
      </c>
      <c r="I2026" s="18">
        <f>IFERROR(__xludf.DUMMYFUNCTION("""COMPUTED_VALUE"""),100.0)</f>
        <v>100</v>
      </c>
      <c r="J2026" s="18">
        <f>IFERROR(__xludf.DUMMYFUNCTION("""COMPUTED_VALUE"""),10.0)</f>
        <v>10</v>
      </c>
      <c r="K2026" s="18">
        <f>IFERROR(__xludf.DUMMYFUNCTION("""COMPUTED_VALUE"""),45163.0)</f>
        <v>45163</v>
      </c>
      <c r="L2026" s="17">
        <f>IFERROR(__xludf.DUMMYFUNCTION("""COMPUTED_VALUE"""),3.013527163E9)</f>
        <v>3013527163</v>
      </c>
      <c r="M2026" s="17" t="str">
        <f>IFERROR(__xludf.DUMMYFUNCTION("""COMPUTED_VALUE"""),"#REF!")</f>
        <v>#REF!</v>
      </c>
      <c r="N2026" s="17"/>
      <c r="O2026" s="17"/>
      <c r="P2026" s="17" t="b">
        <f>IFERROR(__xludf.DUMMYFUNCTION("""COMPUTED_VALUE"""),FALSE)</f>
        <v>0</v>
      </c>
      <c r="Q2026" s="20" t="str">
        <f>IFERROR(__xludf.DUMMYFUNCTION("""COMPUTED_VALUE"""),"")</f>
        <v/>
      </c>
      <c r="R2026" s="22" t="str">
        <f>IFERROR(__xludf.DUMMYFUNCTION("""COMPUTED_VALUE"""),"")</f>
        <v/>
      </c>
    </row>
    <row r="2027">
      <c r="A2027" s="15">
        <f>IFERROR(__xludf.DUMMYFUNCTION("""COMPUTED_VALUE"""),45058.0)</f>
        <v>45058</v>
      </c>
      <c r="B2027" s="16" t="str">
        <f>IFERROR(__xludf.DUMMYFUNCTION("""COMPUTED_VALUE"""),"JOSE ALFREDO RAMIREZ VERGARA ")</f>
        <v>JOSE ALFREDO RAMIREZ VERGARA </v>
      </c>
      <c r="C2027" s="15" t="str">
        <f>IFERROR(__xludf.DUMMYFUNCTION("""COMPUTED_VALUE"""),"BOGOTÁ")</f>
        <v>BOGOTÁ</v>
      </c>
      <c r="D2027" s="15" t="str">
        <f>IFERROR(__xludf.DUMMYFUNCTION("""COMPUTED_VALUE"""),"MEDELLÍN")</f>
        <v>MEDELLÍN</v>
      </c>
      <c r="E2027" s="15" t="str">
        <f>IFERROR(__xludf.DUMMYFUNCTION("""COMPUTED_VALUE"""),"Moloso S.A.S")</f>
        <v>Moloso S.A.S</v>
      </c>
      <c r="F2027" s="17" t="str">
        <f>IFERROR(__xludf.DUMMYFUNCTION("""COMPUTED_VALUE"""),"CRR 6 123A 12 / Torre 6 Apto 201 ENTREMONTES")</f>
        <v>CRR 6 123A 12 / Torre 6 Apto 201 ENTREMONTES</v>
      </c>
      <c r="G2027" s="15" t="str">
        <f>IFERROR(__xludf.DUMMYFUNCTION("""COMPUTED_VALUE"""),"MARCELA ARENAS SANIN")</f>
        <v>MARCELA ARENAS SANIN</v>
      </c>
      <c r="H2027" s="16">
        <f>IFERROR(__xludf.DUMMYFUNCTION("""COMPUTED_VALUE"""),10594.0)</f>
        <v>10594</v>
      </c>
      <c r="I2027" s="18">
        <f>IFERROR(__xludf.DUMMYFUNCTION("""COMPUTED_VALUE"""),17.0)</f>
        <v>17</v>
      </c>
      <c r="J2027" s="18">
        <f>IFERROR(__xludf.DUMMYFUNCTION("""COMPUTED_VALUE"""),15.0)</f>
        <v>15</v>
      </c>
      <c r="K2027" s="18">
        <f>IFERROR(__xludf.DUMMYFUNCTION("""COMPUTED_VALUE"""),28.0)</f>
        <v>28</v>
      </c>
      <c r="L2027" s="17" t="str">
        <f>IFERROR(__xludf.DUMMYFUNCTION("""COMPUTED_VALUE"""),"317 4008085")</f>
        <v>317 4008085</v>
      </c>
      <c r="M2027" s="17" t="str">
        <f>IFERROR(__xludf.DUMMYFUNCTION("""COMPUTED_VALUE"""),"#REF!")</f>
        <v>#REF!</v>
      </c>
      <c r="N2027" s="17"/>
      <c r="O2027" s="17"/>
      <c r="P2027" s="17" t="b">
        <f>IFERROR(__xludf.DUMMYFUNCTION("""COMPUTED_VALUE"""),FALSE)</f>
        <v>0</v>
      </c>
      <c r="Q2027" s="20" t="str">
        <f>IFERROR(__xludf.DUMMYFUNCTION("""COMPUTED_VALUE"""),"")</f>
        <v/>
      </c>
      <c r="R2027" s="22" t="str">
        <f>IFERROR(__xludf.DUMMYFUNCTION("""COMPUTED_VALUE"""),"")</f>
        <v/>
      </c>
    </row>
    <row r="2028">
      <c r="A2028" s="15">
        <f>IFERROR(__xludf.DUMMYFUNCTION("""COMPUTED_VALUE"""),45058.0)</f>
        <v>45058</v>
      </c>
      <c r="B2028" s="16" t="str">
        <f>IFERROR(__xludf.DUMMYFUNCTION("""COMPUTED_VALUE"""),"JOSE ALFREDO RAMIREZ VERGARA ")</f>
        <v>JOSE ALFREDO RAMIREZ VERGARA </v>
      </c>
      <c r="C2028" s="15" t="str">
        <f>IFERROR(__xludf.DUMMYFUNCTION("""COMPUTED_VALUE"""),"BOGOTÁ")</f>
        <v>BOGOTÁ</v>
      </c>
      <c r="D2028" s="15" t="str">
        <f>IFERROR(__xludf.DUMMYFUNCTION("""COMPUTED_VALUE"""),"MEDELLÍN")</f>
        <v>MEDELLÍN</v>
      </c>
      <c r="E2028" s="15" t="str">
        <f>IFERROR(__xludf.DUMMYFUNCTION("""COMPUTED_VALUE"""),"Panki Waffle")</f>
        <v>Panki Waffle</v>
      </c>
      <c r="F2028" s="17" t="str">
        <f>IFERROR(__xludf.DUMMYFUNCTION("""COMPUTED_VALUE"""),"calle 146#13-67 / apto 502 / barrio Cedritos / Bogotá")</f>
        <v>calle 146#13-67 / apto 502 / barrio Cedritos / Bogotá</v>
      </c>
      <c r="G2028" s="15" t="str">
        <f>IFERROR(__xludf.DUMMYFUNCTION("""COMPUTED_VALUE"""),"Pilar Salazar")</f>
        <v>Pilar Salazar</v>
      </c>
      <c r="H2028" s="16">
        <f>IFERROR(__xludf.DUMMYFUNCTION("""COMPUTED_VALUE"""),10624.0)</f>
        <v>10624</v>
      </c>
      <c r="I2028" s="18">
        <f>IFERROR(__xludf.DUMMYFUNCTION("""COMPUTED_VALUE"""),18.0)</f>
        <v>18</v>
      </c>
      <c r="J2028" s="18">
        <f>IFERROR(__xludf.DUMMYFUNCTION("""COMPUTED_VALUE"""),45062.0)</f>
        <v>45062</v>
      </c>
      <c r="K2028" s="18">
        <f>IFERROR(__xludf.DUMMYFUNCTION("""COMPUTED_VALUE"""),23.0)</f>
        <v>23</v>
      </c>
      <c r="L2028" s="17">
        <f>IFERROR(__xludf.DUMMYFUNCTION("""COMPUTED_VALUE"""),3.043409433E9)</f>
        <v>3043409433</v>
      </c>
      <c r="M2028" s="17" t="str">
        <f>IFERROR(__xludf.DUMMYFUNCTION("""COMPUTED_VALUE"""),"#REF!")</f>
        <v>#REF!</v>
      </c>
      <c r="N2028" s="17"/>
      <c r="O2028" s="17"/>
      <c r="P2028" s="17" t="b">
        <f>IFERROR(__xludf.DUMMYFUNCTION("""COMPUTED_VALUE"""),FALSE)</f>
        <v>0</v>
      </c>
      <c r="Q2028" s="20" t="str">
        <f>IFERROR(__xludf.DUMMYFUNCTION("""COMPUTED_VALUE"""),"")</f>
        <v/>
      </c>
      <c r="R2028" s="22" t="str">
        <f>IFERROR(__xludf.DUMMYFUNCTION("""COMPUTED_VALUE"""),"")</f>
        <v/>
      </c>
    </row>
    <row r="2029">
      <c r="A2029" s="15">
        <f>IFERROR(__xludf.DUMMYFUNCTION("""COMPUTED_VALUE"""),45058.0)</f>
        <v>45058</v>
      </c>
      <c r="B2029" s="16" t="str">
        <f>IFERROR(__xludf.DUMMYFUNCTION("""COMPUTED_VALUE"""),"JOSE ALFREDO RAMIREZ VERGARA ")</f>
        <v>JOSE ALFREDO RAMIREZ VERGARA </v>
      </c>
      <c r="C2029" s="15" t="str">
        <f>IFERROR(__xludf.DUMMYFUNCTION("""COMPUTED_VALUE"""),"BOGOTÁ")</f>
        <v>BOGOTÁ</v>
      </c>
      <c r="D2029" s="15" t="str">
        <f>IFERROR(__xludf.DUMMYFUNCTION("""COMPUTED_VALUE"""),"MEDELLÍN")</f>
        <v>MEDELLÍN</v>
      </c>
      <c r="E2029" s="15" t="str">
        <f>IFERROR(__xludf.DUMMYFUNCTION("""COMPUTED_VALUE"""),"Rambla")</f>
        <v>Rambla</v>
      </c>
      <c r="F2029" s="17" t="str">
        <f>IFERROR(__xludf.DUMMYFUNCTION("""COMPUTED_VALUE"""),"Calle 20 sur # 12B 26 apto 402 barrio ciudad jardín sur / NA / NA")</f>
        <v>Calle 20 sur # 12B 26 apto 402 barrio ciudad jardín sur / NA / NA</v>
      </c>
      <c r="G2029" s="15" t="str">
        <f>IFERROR(__xludf.DUMMYFUNCTION("""COMPUTED_VALUE"""),"Elisa Joya")</f>
        <v>Elisa Joya</v>
      </c>
      <c r="H2029" s="16">
        <f>IFERROR(__xludf.DUMMYFUNCTION("""COMPUTED_VALUE"""),10616.0)</f>
        <v>10616</v>
      </c>
      <c r="I2029" s="18">
        <f>IFERROR(__xludf.DUMMYFUNCTION("""COMPUTED_VALUE"""),18.0)</f>
        <v>18</v>
      </c>
      <c r="J2029" s="18">
        <f>IFERROR(__xludf.DUMMYFUNCTION("""COMPUTED_VALUE"""),21.0)</f>
        <v>21</v>
      </c>
      <c r="K2029" s="18">
        <f>IFERROR(__xludf.DUMMYFUNCTION("""COMPUTED_VALUE"""),25.0)</f>
        <v>25</v>
      </c>
      <c r="L2029" s="17">
        <f>IFERROR(__xludf.DUMMYFUNCTION("""COMPUTED_VALUE"""),3.115842241E9)</f>
        <v>3115842241</v>
      </c>
      <c r="M2029" s="17" t="str">
        <f>IFERROR(__xludf.DUMMYFUNCTION("""COMPUTED_VALUE"""),"#REF!")</f>
        <v>#REF!</v>
      </c>
      <c r="N2029" s="17"/>
      <c r="O2029" s="17"/>
      <c r="P2029" s="17" t="b">
        <f>IFERROR(__xludf.DUMMYFUNCTION("""COMPUTED_VALUE"""),TRUE)</f>
        <v>1</v>
      </c>
      <c r="Q2029" s="20">
        <f>IFERROR(__xludf.DUMMYFUNCTION("""COMPUTED_VALUE"""),45061.10737172454)</f>
        <v>45061.10737</v>
      </c>
      <c r="R2029" s="22" t="str">
        <f>IFERROR(__xludf.DUMMYFUNCTION("""COMPUTED_VALUE"""),"")</f>
        <v/>
      </c>
    </row>
    <row r="2030">
      <c r="A2030" s="15">
        <f>IFERROR(__xludf.DUMMYFUNCTION("""COMPUTED_VALUE"""),45058.0)</f>
        <v>45058</v>
      </c>
      <c r="B2030" s="16" t="str">
        <f>IFERROR(__xludf.DUMMYFUNCTION("""COMPUTED_VALUE"""),"JOSE ALFREDO RAMIREZ VERGARA ")</f>
        <v>JOSE ALFREDO RAMIREZ VERGARA </v>
      </c>
      <c r="C2030" s="15" t="str">
        <f>IFERROR(__xludf.DUMMYFUNCTION("""COMPUTED_VALUE"""),"BOGOTÁ")</f>
        <v>BOGOTÁ</v>
      </c>
      <c r="D2030" s="15" t="str">
        <f>IFERROR(__xludf.DUMMYFUNCTION("""COMPUTED_VALUE"""),"MEDELLÍN")</f>
        <v>MEDELLÍN</v>
      </c>
      <c r="E2030" s="15" t="str">
        <f>IFERROR(__xludf.DUMMYFUNCTION("""COMPUTED_VALUE"""),"Rambla")</f>
        <v>Rambla</v>
      </c>
      <c r="F2030" s="17" t="str">
        <f>IFERROR(__xludf.DUMMYFUNCTION("""COMPUTED_VALUE"""),"Cll 43 sur # 80 i 29 / NA / NA")</f>
        <v>Cll 43 sur # 80 i 29 / NA / NA</v>
      </c>
      <c r="G2030" s="15" t="str">
        <f>IFERROR(__xludf.DUMMYFUNCTION("""COMPUTED_VALUE"""),"Diana Martínez")</f>
        <v>Diana Martínez</v>
      </c>
      <c r="H2030" s="16">
        <f>IFERROR(__xludf.DUMMYFUNCTION("""COMPUTED_VALUE"""),10618.0)</f>
        <v>10618</v>
      </c>
      <c r="I2030" s="18">
        <f>IFERROR(__xludf.DUMMYFUNCTION("""COMPUTED_VALUE"""),18.0)</f>
        <v>18</v>
      </c>
      <c r="J2030" s="18">
        <f>IFERROR(__xludf.DUMMYFUNCTION("""COMPUTED_VALUE"""),21.0)</f>
        <v>21</v>
      </c>
      <c r="K2030" s="18">
        <f>IFERROR(__xludf.DUMMYFUNCTION("""COMPUTED_VALUE"""),25.0)</f>
        <v>25</v>
      </c>
      <c r="L2030" s="17">
        <f>IFERROR(__xludf.DUMMYFUNCTION("""COMPUTED_VALUE"""),3.215092937E9)</f>
        <v>3215092937</v>
      </c>
      <c r="M2030" s="17" t="str">
        <f>IFERROR(__xludf.DUMMYFUNCTION("""COMPUTED_VALUE"""),"#REF!")</f>
        <v>#REF!</v>
      </c>
      <c r="N2030" s="17"/>
      <c r="O2030" s="17"/>
      <c r="P2030" s="17" t="b">
        <f>IFERROR(__xludf.DUMMYFUNCTION("""COMPUTED_VALUE"""),FALSE)</f>
        <v>0</v>
      </c>
      <c r="Q2030" s="20" t="str">
        <f>IFERROR(__xludf.DUMMYFUNCTION("""COMPUTED_VALUE"""),"")</f>
        <v/>
      </c>
      <c r="R2030" s="22" t="str">
        <f>IFERROR(__xludf.DUMMYFUNCTION("""COMPUTED_VALUE"""),"")</f>
        <v/>
      </c>
    </row>
    <row r="2031">
      <c r="A2031" s="17" t="str">
        <f>IFERROR(__xludf.DUMMYFUNCTION("""COMPUTED_VALUE"""),"")</f>
        <v/>
      </c>
      <c r="B2031" s="17" t="str">
        <f>IFERROR(__xludf.DUMMYFUNCTION("""COMPUTED_VALUE"""),"")</f>
        <v/>
      </c>
      <c r="C2031" s="17" t="str">
        <f>IFERROR(__xludf.DUMMYFUNCTION("""COMPUTED_VALUE"""),"")</f>
        <v/>
      </c>
      <c r="D2031" s="17" t="str">
        <f>IFERROR(__xludf.DUMMYFUNCTION("""COMPUTED_VALUE"""),"")</f>
        <v/>
      </c>
      <c r="E2031" s="17" t="str">
        <f>IFERROR(__xludf.DUMMYFUNCTION("""COMPUTED_VALUE"""),"")</f>
        <v/>
      </c>
      <c r="F2031" s="17" t="str">
        <f>IFERROR(__xludf.DUMMYFUNCTION("""COMPUTED_VALUE"""),"")</f>
        <v/>
      </c>
      <c r="G2031" s="17" t="str">
        <f>IFERROR(__xludf.DUMMYFUNCTION("""COMPUTED_VALUE"""),"")</f>
        <v/>
      </c>
      <c r="H2031" s="17" t="str">
        <f>IFERROR(__xludf.DUMMYFUNCTION("""COMPUTED_VALUE"""),"")</f>
        <v/>
      </c>
      <c r="I2031" s="17" t="str">
        <f>IFERROR(__xludf.DUMMYFUNCTION("""COMPUTED_VALUE"""),"")</f>
        <v/>
      </c>
      <c r="J2031" s="17" t="str">
        <f>IFERROR(__xludf.DUMMYFUNCTION("""COMPUTED_VALUE"""),"")</f>
        <v/>
      </c>
      <c r="K2031" s="17" t="str">
        <f>IFERROR(__xludf.DUMMYFUNCTION("""COMPUTED_VALUE"""),"")</f>
        <v/>
      </c>
      <c r="L2031" s="17" t="str">
        <f>IFERROR(__xludf.DUMMYFUNCTION("""COMPUTED_VALUE"""),"")</f>
        <v/>
      </c>
      <c r="M2031" s="17" t="str">
        <f>IFERROR(__xludf.DUMMYFUNCTION("""COMPUTED_VALUE"""),"")</f>
        <v/>
      </c>
      <c r="N2031" s="17" t="str">
        <f>IFERROR(__xludf.DUMMYFUNCTION("""COMPUTED_VALUE"""),"")</f>
        <v/>
      </c>
      <c r="O2031" s="17" t="str">
        <f>IFERROR(__xludf.DUMMYFUNCTION("""COMPUTED_VALUE"""),"")</f>
        <v/>
      </c>
      <c r="P2031" s="17" t="str">
        <f>IFERROR(__xludf.DUMMYFUNCTION("""COMPUTED_VALUE"""),"")</f>
        <v/>
      </c>
      <c r="Q2031" s="17" t="str">
        <f>IFERROR(__xludf.DUMMYFUNCTION("""COMPUTED_VALUE"""),"")</f>
        <v/>
      </c>
      <c r="R2031" s="17" t="str">
        <f>IFERROR(__xludf.DUMMYFUNCTION("""COMPUTED_VALUE"""),"")</f>
        <v/>
      </c>
    </row>
    <row r="2032">
      <c r="A2032" s="15">
        <f>IFERROR(__xludf.DUMMYFUNCTION("""COMPUTED_VALUE"""),45058.0)</f>
        <v>45058</v>
      </c>
      <c r="B2032" s="16" t="str">
        <f>IFERROR(__xludf.DUMMYFUNCTION("""COMPUTED_VALUE"""),"Lina Gaona")</f>
        <v>Lina Gaona</v>
      </c>
      <c r="C2032" s="15" t="str">
        <f>IFERROR(__xludf.DUMMYFUNCTION("""COMPUTED_VALUE"""),"CÚCUTA")</f>
        <v>CÚCUTA</v>
      </c>
      <c r="D2032" s="15" t="str">
        <f>IFERROR(__xludf.DUMMYFUNCTION("""COMPUTED_VALUE"""),"BOGOTÁ")</f>
        <v>BOGOTÁ</v>
      </c>
      <c r="E2032" s="15" t="str">
        <f>IFERROR(__xludf.DUMMYFUNCTION("""COMPUTED_VALUE"""),"Evamazzita")</f>
        <v>Evamazzita</v>
      </c>
      <c r="F2032" s="17" t="str">
        <f>IFERROR(__xludf.DUMMYFUNCTION("""COMPUTED_VALUE"""),"Av 2E # 15A -17  / Caobos / SE ENVÍAN DOS (2) CAJAS")</f>
        <v>Av 2E # 15A -17  / Caobos / SE ENVÍAN DOS (2) CAJAS</v>
      </c>
      <c r="G2032" s="15" t="str">
        <f>IFERROR(__xludf.DUMMYFUNCTION("""COMPUTED_VALUE"""),"DACCY KARINA LOPEZ MORENO")</f>
        <v>DACCY KARINA LOPEZ MORENO</v>
      </c>
      <c r="H2032" s="16">
        <f>IFERROR(__xludf.DUMMYFUNCTION("""COMPUTED_VALUE"""),10571.0)</f>
        <v>10571</v>
      </c>
      <c r="I2032" s="18">
        <f>IFERROR(__xludf.DUMMYFUNCTION("""COMPUTED_VALUE"""),20.0)</f>
        <v>20</v>
      </c>
      <c r="J2032" s="18">
        <f>IFERROR(__xludf.DUMMYFUNCTION("""COMPUTED_VALUE"""),35.0)</f>
        <v>35</v>
      </c>
      <c r="K2032" s="18">
        <f>IFERROR(__xludf.DUMMYFUNCTION("""COMPUTED_VALUE"""),49.0)</f>
        <v>49</v>
      </c>
      <c r="L2032" s="17">
        <f>IFERROR(__xludf.DUMMYFUNCTION("""COMPUTED_VALUE"""),3.208615379E9)</f>
        <v>3208615379</v>
      </c>
      <c r="M2032" s="17" t="str">
        <f>IFERROR(__xludf.DUMMYFUNCTION("""COMPUTED_VALUE"""),"#REF!")</f>
        <v>#REF!</v>
      </c>
      <c r="N2032" s="17"/>
      <c r="O2032" s="17"/>
      <c r="P2032" s="17" t="b">
        <f>IFERROR(__xludf.DUMMYFUNCTION("""COMPUTED_VALUE"""),FALSE)</f>
        <v>0</v>
      </c>
      <c r="Q2032" s="20" t="str">
        <f>IFERROR(__xludf.DUMMYFUNCTION("""COMPUTED_VALUE"""),"")</f>
        <v/>
      </c>
      <c r="R2032" s="22" t="str">
        <f>IFERROR(__xludf.DUMMYFUNCTION("""COMPUTED_VALUE"""),"")</f>
        <v/>
      </c>
    </row>
    <row r="2033">
      <c r="A2033" s="15">
        <f>IFERROR(__xludf.DUMMYFUNCTION("""COMPUTED_VALUE"""),45058.0)</f>
        <v>45058</v>
      </c>
      <c r="B2033" s="16" t="str">
        <f>IFERROR(__xludf.DUMMYFUNCTION("""COMPUTED_VALUE"""),"Lina Gaona")</f>
        <v>Lina Gaona</v>
      </c>
      <c r="C2033" s="15" t="str">
        <f>IFERROR(__xludf.DUMMYFUNCTION("""COMPUTED_VALUE"""),"CÚCUTA")</f>
        <v>CÚCUTA</v>
      </c>
      <c r="D2033" s="15" t="str">
        <f>IFERROR(__xludf.DUMMYFUNCTION("""COMPUTED_VALUE"""),"BOGOTÁ")</f>
        <v>BOGOTÁ</v>
      </c>
      <c r="E2033" s="15" t="str">
        <f>IFERROR(__xludf.DUMMYFUNCTION("""COMPUTED_VALUE"""),"Evamazzita")</f>
        <v>Evamazzita</v>
      </c>
      <c r="F2033" s="17" t="str">
        <f>IFERROR(__xludf.DUMMYFUNCTION("""COMPUTED_VALUE"""),"Conjunto Tamacoa campestre  / casa A23A  / vía bocono")</f>
        <v>Conjunto Tamacoa campestre  / casa A23A  / vía bocono</v>
      </c>
      <c r="G2033" s="15" t="str">
        <f>IFERROR(__xludf.DUMMYFUNCTION("""COMPUTED_VALUE"""),"DAYANA LIZETH AYALA NAVARRO")</f>
        <v>DAYANA LIZETH AYALA NAVARRO</v>
      </c>
      <c r="H2033" s="16">
        <f>IFERROR(__xludf.DUMMYFUNCTION("""COMPUTED_VALUE"""),10565.0)</f>
        <v>10565</v>
      </c>
      <c r="I2033" s="18">
        <f>IFERROR(__xludf.DUMMYFUNCTION("""COMPUTED_VALUE"""),5.0)</f>
        <v>5</v>
      </c>
      <c r="J2033" s="18">
        <f>IFERROR(__xludf.DUMMYFUNCTION("""COMPUTED_VALUE"""),20.0)</f>
        <v>20</v>
      </c>
      <c r="K2033" s="18">
        <f>IFERROR(__xludf.DUMMYFUNCTION("""COMPUTED_VALUE"""),21.0)</f>
        <v>21</v>
      </c>
      <c r="L2033" s="17">
        <f>IFERROR(__xludf.DUMMYFUNCTION("""COMPUTED_VALUE"""),3.106865793E9)</f>
        <v>3106865793</v>
      </c>
      <c r="M2033" s="17" t="str">
        <f>IFERROR(__xludf.DUMMYFUNCTION("""COMPUTED_VALUE"""),"#REF!")</f>
        <v>#REF!</v>
      </c>
      <c r="N2033" s="17"/>
      <c r="O2033" s="17"/>
      <c r="P2033" s="17" t="b">
        <f>IFERROR(__xludf.DUMMYFUNCTION("""COMPUTED_VALUE"""),FALSE)</f>
        <v>0</v>
      </c>
      <c r="Q2033" s="20" t="str">
        <f>IFERROR(__xludf.DUMMYFUNCTION("""COMPUTED_VALUE"""),"")</f>
        <v/>
      </c>
      <c r="R2033" s="22" t="str">
        <f>IFERROR(__xludf.DUMMYFUNCTION("""COMPUTED_VALUE"""),"")</f>
        <v/>
      </c>
    </row>
    <row r="2034">
      <c r="A2034" s="15">
        <f>IFERROR(__xludf.DUMMYFUNCTION("""COMPUTED_VALUE"""),45058.0)</f>
        <v>45058</v>
      </c>
      <c r="B2034" s="16" t="str">
        <f>IFERROR(__xludf.DUMMYFUNCTION("""COMPUTED_VALUE"""),"Lina Gaona")</f>
        <v>Lina Gaona</v>
      </c>
      <c r="C2034" s="15" t="str">
        <f>IFERROR(__xludf.DUMMYFUNCTION("""COMPUTED_VALUE"""),"SANTA MARTA")</f>
        <v>SANTA MARTA</v>
      </c>
      <c r="D2034" s="15" t="str">
        <f>IFERROR(__xludf.DUMMYFUNCTION("""COMPUTED_VALUE"""),"MEDELLÍN")</f>
        <v>MEDELLÍN</v>
      </c>
      <c r="E2034" s="15" t="str">
        <f>IFERROR(__xludf.DUMMYFUNCTION("""COMPUTED_VALUE"""),"Rambla")</f>
        <v>Rambla</v>
      </c>
      <c r="F2034" s="17" t="str">
        <f>IFERROR(__xludf.DUMMYFUNCTION("""COMPUTED_VALUE"""),"CR 4 26 40 CC PRADO PLAZA LC 117 / na / na")</f>
        <v>CR 4 26 40 CC PRADO PLAZA LC 117 / na / na</v>
      </c>
      <c r="G2034" s="15" t="str">
        <f>IFERROR(__xludf.DUMMYFUNCTION("""COMPUTED_VALUE"""),"Hecho en casa")</f>
        <v>Hecho en casa</v>
      </c>
      <c r="H2034" s="16">
        <f>IFERROR(__xludf.DUMMYFUNCTION("""COMPUTED_VALUE"""),10580.0)</f>
        <v>10580</v>
      </c>
      <c r="I2034" s="18">
        <f>IFERROR(__xludf.DUMMYFUNCTION("""COMPUTED_VALUE"""),22.0)</f>
        <v>22</v>
      </c>
      <c r="J2034" s="18">
        <f>IFERROR(__xludf.DUMMYFUNCTION("""COMPUTED_VALUE"""),25.0)</f>
        <v>25</v>
      </c>
      <c r="K2034" s="18">
        <f>IFERROR(__xludf.DUMMYFUNCTION("""COMPUTED_VALUE"""),28.0)</f>
        <v>28</v>
      </c>
      <c r="L2034" s="17">
        <f>IFERROR(__xludf.DUMMYFUNCTION("""COMPUTED_VALUE"""),3.106119626E9)</f>
        <v>3106119626</v>
      </c>
      <c r="M2034" s="17" t="str">
        <f>IFERROR(__xludf.DUMMYFUNCTION("""COMPUTED_VALUE"""),"#REF!")</f>
        <v>#REF!</v>
      </c>
      <c r="N2034" s="17"/>
      <c r="O2034" s="17"/>
      <c r="P2034" s="17" t="b">
        <f>IFERROR(__xludf.DUMMYFUNCTION("""COMPUTED_VALUE"""),FALSE)</f>
        <v>0</v>
      </c>
      <c r="Q2034" s="20" t="str">
        <f>IFERROR(__xludf.DUMMYFUNCTION("""COMPUTED_VALUE"""),"")</f>
        <v/>
      </c>
      <c r="R2034" s="22" t="str">
        <f>IFERROR(__xludf.DUMMYFUNCTION("""COMPUTED_VALUE"""),"")</f>
        <v/>
      </c>
    </row>
    <row r="2035">
      <c r="A2035" s="15">
        <f>IFERROR(__xludf.DUMMYFUNCTION("""COMPUTED_VALUE"""),45058.0)</f>
        <v>45058</v>
      </c>
      <c r="B2035" s="16" t="str">
        <f>IFERROR(__xludf.DUMMYFUNCTION("""COMPUTED_VALUE"""),"Lina Gaona")</f>
        <v>Lina Gaona</v>
      </c>
      <c r="C2035" s="15" t="str">
        <f>IFERROR(__xludf.DUMMYFUNCTION("""COMPUTED_VALUE"""),"SANTA MARTA")</f>
        <v>SANTA MARTA</v>
      </c>
      <c r="D2035" s="15" t="str">
        <f>IFERROR(__xludf.DUMMYFUNCTION("""COMPUTED_VALUE"""),"MEDELLÍN")</f>
        <v>MEDELLÍN</v>
      </c>
      <c r="E2035" s="15" t="str">
        <f>IFERROR(__xludf.DUMMYFUNCTION("""COMPUTED_VALUE"""),"Terravocado")</f>
        <v>Terravocado</v>
      </c>
      <c r="F2035" s="17" t="str">
        <f>IFERROR(__xludf.DUMMYFUNCTION("""COMPUTED_VALUE"""),"Calle 18 # 4-5 / nbarrio centro / barrio centro")</f>
        <v>Calle 18 # 4-5 / nbarrio centro / barrio centro</v>
      </c>
      <c r="G2035" s="15" t="str">
        <f>IFERROR(__xludf.DUMMYFUNCTION("""COMPUTED_VALUE"""),"Dealer Taqueria")</f>
        <v>Dealer Taqueria</v>
      </c>
      <c r="H2035" s="16">
        <f>IFERROR(__xludf.DUMMYFUNCTION("""COMPUTED_VALUE"""),10460.0)</f>
        <v>10460</v>
      </c>
      <c r="I2035" s="18">
        <f>IFERROR(__xludf.DUMMYFUNCTION("""COMPUTED_VALUE"""),20.0)</f>
        <v>20</v>
      </c>
      <c r="J2035" s="18">
        <f>IFERROR(__xludf.DUMMYFUNCTION("""COMPUTED_VALUE"""),25.0)</f>
        <v>25</v>
      </c>
      <c r="K2035" s="18">
        <f>IFERROR(__xludf.DUMMYFUNCTION("""COMPUTED_VALUE"""),34.0)</f>
        <v>34</v>
      </c>
      <c r="L2035" s="17">
        <f>IFERROR(__xludf.DUMMYFUNCTION("""COMPUTED_VALUE"""),3.13672152E9)</f>
        <v>3136721520</v>
      </c>
      <c r="M2035" s="17" t="str">
        <f>IFERROR(__xludf.DUMMYFUNCTION("""COMPUTED_VALUE"""),"#REF!")</f>
        <v>#REF!</v>
      </c>
      <c r="N2035" s="17"/>
      <c r="O2035" s="17"/>
      <c r="P2035" s="17" t="b">
        <f>IFERROR(__xludf.DUMMYFUNCTION("""COMPUTED_VALUE"""),FALSE)</f>
        <v>0</v>
      </c>
      <c r="Q2035" s="20" t="str">
        <f>IFERROR(__xludf.DUMMYFUNCTION("""COMPUTED_VALUE"""),"")</f>
        <v/>
      </c>
      <c r="R2035" s="22" t="str">
        <f>IFERROR(__xludf.DUMMYFUNCTION("""COMPUTED_VALUE"""),"")</f>
        <v/>
      </c>
    </row>
    <row r="2036">
      <c r="A2036" s="17" t="str">
        <f>IFERROR(__xludf.DUMMYFUNCTION("""COMPUTED_VALUE"""),"")</f>
        <v/>
      </c>
      <c r="B2036" s="17" t="str">
        <f>IFERROR(__xludf.DUMMYFUNCTION("""COMPUTED_VALUE"""),"")</f>
        <v/>
      </c>
      <c r="C2036" s="17" t="str">
        <f>IFERROR(__xludf.DUMMYFUNCTION("""COMPUTED_VALUE"""),"")</f>
        <v/>
      </c>
      <c r="D2036" s="17" t="str">
        <f>IFERROR(__xludf.DUMMYFUNCTION("""COMPUTED_VALUE"""),"")</f>
        <v/>
      </c>
      <c r="E2036" s="17" t="str">
        <f>IFERROR(__xludf.DUMMYFUNCTION("""COMPUTED_VALUE"""),"")</f>
        <v/>
      </c>
      <c r="F2036" s="17" t="str">
        <f>IFERROR(__xludf.DUMMYFUNCTION("""COMPUTED_VALUE"""),"")</f>
        <v/>
      </c>
      <c r="G2036" s="17" t="str">
        <f>IFERROR(__xludf.DUMMYFUNCTION("""COMPUTED_VALUE"""),"")</f>
        <v/>
      </c>
      <c r="H2036" s="17" t="str">
        <f>IFERROR(__xludf.DUMMYFUNCTION("""COMPUTED_VALUE"""),"")</f>
        <v/>
      </c>
      <c r="I2036" s="17" t="str">
        <f>IFERROR(__xludf.DUMMYFUNCTION("""COMPUTED_VALUE"""),"")</f>
        <v/>
      </c>
      <c r="J2036" s="17" t="str">
        <f>IFERROR(__xludf.DUMMYFUNCTION("""COMPUTED_VALUE"""),"")</f>
        <v/>
      </c>
      <c r="K2036" s="17" t="str">
        <f>IFERROR(__xludf.DUMMYFUNCTION("""COMPUTED_VALUE"""),"")</f>
        <v/>
      </c>
      <c r="L2036" s="17" t="str">
        <f>IFERROR(__xludf.DUMMYFUNCTION("""COMPUTED_VALUE"""),"")</f>
        <v/>
      </c>
      <c r="M2036" s="17" t="str">
        <f>IFERROR(__xludf.DUMMYFUNCTION("""COMPUTED_VALUE"""),"")</f>
        <v/>
      </c>
      <c r="N2036" s="17" t="str">
        <f>IFERROR(__xludf.DUMMYFUNCTION("""COMPUTED_VALUE"""),"")</f>
        <v/>
      </c>
      <c r="O2036" s="17" t="str">
        <f>IFERROR(__xludf.DUMMYFUNCTION("""COMPUTED_VALUE"""),"")</f>
        <v/>
      </c>
      <c r="P2036" s="17" t="str">
        <f>IFERROR(__xludf.DUMMYFUNCTION("""COMPUTED_VALUE"""),"")</f>
        <v/>
      </c>
      <c r="Q2036" s="17" t="str">
        <f>IFERROR(__xludf.DUMMYFUNCTION("""COMPUTED_VALUE"""),"")</f>
        <v/>
      </c>
      <c r="R2036" s="17" t="str">
        <f>IFERROR(__xludf.DUMMYFUNCTION("""COMPUTED_VALUE"""),"")</f>
        <v/>
      </c>
    </row>
    <row r="2037">
      <c r="A2037" s="15">
        <f>IFERROR(__xludf.DUMMYFUNCTION("""COMPUTED_VALUE"""),45058.0)</f>
        <v>45058</v>
      </c>
      <c r="B2037" s="16" t="str">
        <f>IFERROR(__xludf.DUMMYFUNCTION("""COMPUTED_VALUE"""),"Luis Miguel Ramirez Morales")</f>
        <v>Luis Miguel Ramirez Morales</v>
      </c>
      <c r="C2037" s="15" t="str">
        <f>IFERROR(__xludf.DUMMYFUNCTION("""COMPUTED_VALUE"""),"BOGOTÁ")</f>
        <v>BOGOTÁ</v>
      </c>
      <c r="D2037" s="15" t="str">
        <f>IFERROR(__xludf.DUMMYFUNCTION("""COMPUTED_VALUE"""),"MEDELLÍN")</f>
        <v>MEDELLÍN</v>
      </c>
      <c r="E2037" s="15" t="str">
        <f>IFERROR(__xludf.DUMMYFUNCTION("""COMPUTED_VALUE"""),"AREPAS LA MARY")</f>
        <v>AREPAS LA MARY</v>
      </c>
      <c r="F2037" s="17" t="str">
        <f>IFERROR(__xludf.DUMMYFUNCTION("""COMPUTED_VALUE"""),"CALLE 130 BIS N.57 A 93 / 1 CASA	")</f>
        <v>CALLE 130 BIS N.57 A 93 / 1 CASA	</v>
      </c>
      <c r="G2037" s="15" t="str">
        <f>IFERROR(__xludf.DUMMYFUNCTION("""COMPUTED_VALUE"""),"almond")</f>
        <v>almond</v>
      </c>
      <c r="H2037" s="16">
        <f>IFERROR(__xludf.DUMMYFUNCTION("""COMPUTED_VALUE"""),10567.0)</f>
        <v>10567</v>
      </c>
      <c r="I2037" s="18">
        <f>IFERROR(__xludf.DUMMYFUNCTION("""COMPUTED_VALUE"""),89.0)</f>
        <v>89</v>
      </c>
      <c r="J2037" s="18">
        <f>IFERROR(__xludf.DUMMYFUNCTION("""COMPUTED_VALUE"""),1.0)</f>
        <v>1</v>
      </c>
      <c r="K2037" s="18">
        <f>IFERROR(__xludf.DUMMYFUNCTION("""COMPUTED_VALUE"""),10.0)</f>
        <v>10</v>
      </c>
      <c r="L2037" s="17" t="str">
        <f>IFERROR(__xludf.DUMMYFUNCTION("""COMPUTED_VALUE"""),"311 8636679")</f>
        <v>311 8636679</v>
      </c>
      <c r="M2037" s="17" t="str">
        <f>IFERROR(__xludf.DUMMYFUNCTION("""COMPUTED_VALUE"""),"#REF!")</f>
        <v>#REF!</v>
      </c>
      <c r="N2037" s="17"/>
      <c r="O2037" s="17"/>
      <c r="P2037" s="17" t="b">
        <f>IFERROR(__xludf.DUMMYFUNCTION("""COMPUTED_VALUE"""),FALSE)</f>
        <v>0</v>
      </c>
      <c r="Q2037" s="20" t="str">
        <f>IFERROR(__xludf.DUMMYFUNCTION("""COMPUTED_VALUE"""),"")</f>
        <v/>
      </c>
      <c r="R2037" s="22" t="str">
        <f>IFERROR(__xludf.DUMMYFUNCTION("""COMPUTED_VALUE"""),"")</f>
        <v/>
      </c>
    </row>
    <row r="2038">
      <c r="A2038" s="15">
        <f>IFERROR(__xludf.DUMMYFUNCTION("""COMPUTED_VALUE"""),45058.0)</f>
        <v>45058</v>
      </c>
      <c r="B2038" s="16" t="str">
        <f>IFERROR(__xludf.DUMMYFUNCTION("""COMPUTED_VALUE"""),"Luis Miguel Ramirez Morales")</f>
        <v>Luis Miguel Ramirez Morales</v>
      </c>
      <c r="C2038" s="15" t="str">
        <f>IFERROR(__xludf.DUMMYFUNCTION("""COMPUTED_VALUE"""),"BOGOTÁ")</f>
        <v>BOGOTÁ</v>
      </c>
      <c r="D2038" s="15" t="str">
        <f>IFERROR(__xludf.DUMMYFUNCTION("""COMPUTED_VALUE"""),"MEDELLÍN")</f>
        <v>MEDELLÍN</v>
      </c>
      <c r="E2038" s="15" t="str">
        <f>IFERROR(__xludf.DUMMYFUNCTION("""COMPUTED_VALUE"""),"Magda")</f>
        <v>Magda</v>
      </c>
      <c r="F2038" s="17" t="str">
        <f>IFERROR(__xludf.DUMMYFUNCTION("""COMPUTED_VALUE"""),"Calle 71a # 14a22/26 / cocina oculta  / san felipe")</f>
        <v>Calle 71a # 14a22/26 / cocina oculta  / san felipe</v>
      </c>
      <c r="G2038" s="15" t="str">
        <f>IFERROR(__xludf.DUMMYFUNCTION("""COMPUTED_VALUE"""),"Andrez hernandez")</f>
        <v>Andrez hernandez</v>
      </c>
      <c r="H2038" s="16">
        <f>IFERROR(__xludf.DUMMYFUNCTION("""COMPUTED_VALUE"""),10601.0)</f>
        <v>10601</v>
      </c>
      <c r="I2038" s="18">
        <f>IFERROR(__xludf.DUMMYFUNCTION("""COMPUTED_VALUE"""),5.0)</f>
        <v>5</v>
      </c>
      <c r="J2038" s="18">
        <f>IFERROR(__xludf.DUMMYFUNCTION("""COMPUTED_VALUE"""),5.0)</f>
        <v>5</v>
      </c>
      <c r="K2038" s="18">
        <f>IFERROR(__xludf.DUMMYFUNCTION("""COMPUTED_VALUE"""),5.0)</f>
        <v>5</v>
      </c>
      <c r="L2038" s="17">
        <f>IFERROR(__xludf.DUMMYFUNCTION("""COMPUTED_VALUE"""),3.20414202E9)</f>
        <v>3204142020</v>
      </c>
      <c r="M2038" s="17" t="str">
        <f>IFERROR(__xludf.DUMMYFUNCTION("""COMPUTED_VALUE"""),"#REF!")</f>
        <v>#REF!</v>
      </c>
      <c r="N2038" s="17"/>
      <c r="O2038" s="17"/>
      <c r="P2038" s="17" t="b">
        <f>IFERROR(__xludf.DUMMYFUNCTION("""COMPUTED_VALUE"""),FALSE)</f>
        <v>0</v>
      </c>
      <c r="Q2038" s="20" t="str">
        <f>IFERROR(__xludf.DUMMYFUNCTION("""COMPUTED_VALUE"""),"")</f>
        <v/>
      </c>
      <c r="R2038" s="22" t="str">
        <f>IFERROR(__xludf.DUMMYFUNCTION("""COMPUTED_VALUE"""),"")</f>
        <v/>
      </c>
    </row>
    <row r="2039">
      <c r="A2039" s="15">
        <f>IFERROR(__xludf.DUMMYFUNCTION("""COMPUTED_VALUE"""),45058.0)</f>
        <v>45058</v>
      </c>
      <c r="B2039" s="16" t="str">
        <f>IFERROR(__xludf.DUMMYFUNCTION("""COMPUTED_VALUE"""),"Luis Miguel Ramirez Morales")</f>
        <v>Luis Miguel Ramirez Morales</v>
      </c>
      <c r="C2039" s="15" t="str">
        <f>IFERROR(__xludf.DUMMYFUNCTION("""COMPUTED_VALUE"""),"BOGOTÁ")</f>
        <v>BOGOTÁ</v>
      </c>
      <c r="D2039" s="15" t="str">
        <f>IFERROR(__xludf.DUMMYFUNCTION("""COMPUTED_VALUE"""),"MEDELLÍN")</f>
        <v>MEDELLÍN</v>
      </c>
      <c r="E2039" s="15" t="str">
        <f>IFERROR(__xludf.DUMMYFUNCTION("""COMPUTED_VALUE"""),"Moloso S.A.S")</f>
        <v>Moloso S.A.S</v>
      </c>
      <c r="F2039" s="17" t="str">
        <f>IFERROR(__xludf.DUMMYFUNCTION("""COMPUTED_VALUE"""),"CR 75 24 D 80 / FLORISTERIA FLORALIA")</f>
        <v>CR 75 24 D 80 / FLORISTERIA FLORALIA</v>
      </c>
      <c r="G2039" s="15" t="str">
        <f>IFERROR(__xludf.DUMMYFUNCTION("""COMPUTED_VALUE"""),"MARIA JOSE MELO BONILLA")</f>
        <v>MARIA JOSE MELO BONILLA</v>
      </c>
      <c r="H2039" s="16">
        <f>IFERROR(__xludf.DUMMYFUNCTION("""COMPUTED_VALUE"""),10602.0)</f>
        <v>10602</v>
      </c>
      <c r="I2039" s="18">
        <f>IFERROR(__xludf.DUMMYFUNCTION("""COMPUTED_VALUE"""),17.0)</f>
        <v>17</v>
      </c>
      <c r="J2039" s="18">
        <f>IFERROR(__xludf.DUMMYFUNCTION("""COMPUTED_VALUE"""),15.0)</f>
        <v>15</v>
      </c>
      <c r="K2039" s="18">
        <f>IFERROR(__xludf.DUMMYFUNCTION("""COMPUTED_VALUE"""),28.0)</f>
        <v>28</v>
      </c>
      <c r="L2039" s="17">
        <f>IFERROR(__xludf.DUMMYFUNCTION("""COMPUTED_VALUE"""),3.143504351E9)</f>
        <v>3143504351</v>
      </c>
      <c r="M2039" s="17" t="str">
        <f>IFERROR(__xludf.DUMMYFUNCTION("""COMPUTED_VALUE"""),"#REF!")</f>
        <v>#REF!</v>
      </c>
      <c r="N2039" s="17"/>
      <c r="O2039" s="17"/>
      <c r="P2039" s="17" t="b">
        <f>IFERROR(__xludf.DUMMYFUNCTION("""COMPUTED_VALUE"""),FALSE)</f>
        <v>0</v>
      </c>
      <c r="Q2039" s="20" t="str">
        <f>IFERROR(__xludf.DUMMYFUNCTION("""COMPUTED_VALUE"""),"")</f>
        <v/>
      </c>
      <c r="R2039" s="22" t="str">
        <f>IFERROR(__xludf.DUMMYFUNCTION("""COMPUTED_VALUE"""),"")</f>
        <v/>
      </c>
    </row>
    <row r="2040">
      <c r="A2040" s="15">
        <f>IFERROR(__xludf.DUMMYFUNCTION("""COMPUTED_VALUE"""),45058.0)</f>
        <v>45058</v>
      </c>
      <c r="B2040" s="16" t="str">
        <f>IFERROR(__xludf.DUMMYFUNCTION("""COMPUTED_VALUE"""),"Luis Miguel Ramirez Morales")</f>
        <v>Luis Miguel Ramirez Morales</v>
      </c>
      <c r="C2040" s="15" t="str">
        <f>IFERROR(__xludf.DUMMYFUNCTION("""COMPUTED_VALUE"""),"BOGOTÁ")</f>
        <v>BOGOTÁ</v>
      </c>
      <c r="D2040" s="15" t="str">
        <f>IFERROR(__xludf.DUMMYFUNCTION("""COMPUTED_VALUE"""),"MEDELLÍN")</f>
        <v>MEDELLÍN</v>
      </c>
      <c r="E2040" s="15" t="str">
        <f>IFERROR(__xludf.DUMMYFUNCTION("""COMPUTED_VALUE"""),"Rambla")</f>
        <v>Rambla</v>
      </c>
      <c r="F2040" s="17" t="str">
        <f>IFERROR(__xludf.DUMMYFUNCTION("""COMPUTED_VALUE"""),"calle 12 c #71 b 60 torre 3 apto 508 conjunto Santa María de Alsacia  / NA / NA")</f>
        <v>calle 12 c #71 b 60 torre 3 apto 508 conjunto Santa María de Alsacia  / NA / NA</v>
      </c>
      <c r="G2040" s="15" t="str">
        <f>IFERROR(__xludf.DUMMYFUNCTION("""COMPUTED_VALUE"""),"Laura Marcela Rolón Camacho")</f>
        <v>Laura Marcela Rolón Camacho</v>
      </c>
      <c r="H2040" s="16">
        <f>IFERROR(__xludf.DUMMYFUNCTION("""COMPUTED_VALUE"""),10621.0)</f>
        <v>10621</v>
      </c>
      <c r="I2040" s="18">
        <f>IFERROR(__xludf.DUMMYFUNCTION("""COMPUTED_VALUE"""),18.0)</f>
        <v>18</v>
      </c>
      <c r="J2040" s="18">
        <f>IFERROR(__xludf.DUMMYFUNCTION("""COMPUTED_VALUE"""),21.0)</f>
        <v>21</v>
      </c>
      <c r="K2040" s="18">
        <f>IFERROR(__xludf.DUMMYFUNCTION("""COMPUTED_VALUE"""),25.0)</f>
        <v>25</v>
      </c>
      <c r="L2040" s="17">
        <f>IFERROR(__xludf.DUMMYFUNCTION("""COMPUTED_VALUE"""),3.002902428E9)</f>
        <v>3002902428</v>
      </c>
      <c r="M2040" s="17" t="str">
        <f>IFERROR(__xludf.DUMMYFUNCTION("""COMPUTED_VALUE"""),"#REF!")</f>
        <v>#REF!</v>
      </c>
      <c r="N2040" s="17"/>
      <c r="O2040" s="17"/>
      <c r="P2040" s="17" t="b">
        <f>IFERROR(__xludf.DUMMYFUNCTION("""COMPUTED_VALUE"""),FALSE)</f>
        <v>0</v>
      </c>
      <c r="Q2040" s="20" t="str">
        <f>IFERROR(__xludf.DUMMYFUNCTION("""COMPUTED_VALUE"""),"")</f>
        <v/>
      </c>
      <c r="R2040" s="22" t="str">
        <f>IFERROR(__xludf.DUMMYFUNCTION("""COMPUTED_VALUE"""),"")</f>
        <v/>
      </c>
    </row>
    <row r="2041">
      <c r="A2041" s="15">
        <f>IFERROR(__xludf.DUMMYFUNCTION("""COMPUTED_VALUE"""),45058.0)</f>
        <v>45058</v>
      </c>
      <c r="B2041" s="16" t="str">
        <f>IFERROR(__xludf.DUMMYFUNCTION("""COMPUTED_VALUE"""),"Luis Miguel Ramirez Morales")</f>
        <v>Luis Miguel Ramirez Morales</v>
      </c>
      <c r="C2041" s="15" t="str">
        <f>IFERROR(__xludf.DUMMYFUNCTION("""COMPUTED_VALUE"""),"BOGOTÁ")</f>
        <v>BOGOTÁ</v>
      </c>
      <c r="D2041" s="15" t="str">
        <f>IFERROR(__xludf.DUMMYFUNCTION("""COMPUTED_VALUE"""),"MEDELLÍN")</f>
        <v>MEDELLÍN</v>
      </c>
      <c r="E2041" s="15" t="str">
        <f>IFERROR(__xludf.DUMMYFUNCTION("""COMPUTED_VALUE"""),"Rambla")</f>
        <v>Rambla</v>
      </c>
      <c r="F2041" s="17" t="str">
        <f>IFERROR(__xludf.DUMMYFUNCTION("""COMPUTED_VALUE"""),"Calle 41 a número 8-25 bulevar 42 apto 707 b  / NA / NA")</f>
        <v>Calle 41 a número 8-25 bulevar 42 apto 707 b  / NA / NA</v>
      </c>
      <c r="G2041" s="15" t="str">
        <f>IFERROR(__xludf.DUMMYFUNCTION("""COMPUTED_VALUE"""),"Nutriclicstore")</f>
        <v>Nutriclicstore</v>
      </c>
      <c r="H2041" s="16">
        <f>IFERROR(__xludf.DUMMYFUNCTION("""COMPUTED_VALUE"""),10610.0)</f>
        <v>10610</v>
      </c>
      <c r="I2041" s="18">
        <f>IFERROR(__xludf.DUMMYFUNCTION("""COMPUTED_VALUE"""),18.0)</f>
        <v>18</v>
      </c>
      <c r="J2041" s="18">
        <f>IFERROR(__xludf.DUMMYFUNCTION("""COMPUTED_VALUE"""),21.0)</f>
        <v>21</v>
      </c>
      <c r="K2041" s="18">
        <f>IFERROR(__xludf.DUMMYFUNCTION("""COMPUTED_VALUE"""),25.0)</f>
        <v>25</v>
      </c>
      <c r="L2041" s="17">
        <f>IFERROR(__xludf.DUMMYFUNCTION("""COMPUTED_VALUE"""),3.102661625E9)</f>
        <v>3102661625</v>
      </c>
      <c r="M2041" s="17" t="str">
        <f>IFERROR(__xludf.DUMMYFUNCTION("""COMPUTED_VALUE"""),"#REF!")</f>
        <v>#REF!</v>
      </c>
      <c r="N2041" s="17"/>
      <c r="O2041" s="17"/>
      <c r="P2041" s="17" t="b">
        <f>IFERROR(__xludf.DUMMYFUNCTION("""COMPUTED_VALUE"""),FALSE)</f>
        <v>0</v>
      </c>
      <c r="Q2041" s="20" t="str">
        <f>IFERROR(__xludf.DUMMYFUNCTION("""COMPUTED_VALUE"""),"")</f>
        <v/>
      </c>
      <c r="R2041" s="22" t="str">
        <f>IFERROR(__xludf.DUMMYFUNCTION("""COMPUTED_VALUE"""),"")</f>
        <v/>
      </c>
    </row>
    <row r="2042">
      <c r="A2042" s="15">
        <f>IFERROR(__xludf.DUMMYFUNCTION("""COMPUTED_VALUE"""),45058.0)</f>
        <v>45058</v>
      </c>
      <c r="B2042" s="16" t="str">
        <f>IFERROR(__xludf.DUMMYFUNCTION("""COMPUTED_VALUE"""),"Luis Miguel Ramirez Morales")</f>
        <v>Luis Miguel Ramirez Morales</v>
      </c>
      <c r="C2042" s="15" t="str">
        <f>IFERROR(__xludf.DUMMYFUNCTION("""COMPUTED_VALUE"""),"BOGOTÁ")</f>
        <v>BOGOTÁ</v>
      </c>
      <c r="D2042" s="15" t="str">
        <f>IFERROR(__xludf.DUMMYFUNCTION("""COMPUTED_VALUE"""),"MEDELLÍN")</f>
        <v>MEDELLÍN</v>
      </c>
      <c r="E2042" s="15" t="str">
        <f>IFERROR(__xludf.DUMMYFUNCTION("""COMPUTED_VALUE"""),"Rambla")</f>
        <v>Rambla</v>
      </c>
      <c r="F2042" s="17" t="str">
        <f>IFERROR(__xludf.DUMMYFUNCTION("""COMPUTED_VALUE"""),"Calle 95# 71-11 bloque 1 apto 801 parque central Pontevedra 3  / NA / NA")</f>
        <v>Calle 95# 71-11 bloque 1 apto 801 parque central Pontevedra 3  / NA / NA</v>
      </c>
      <c r="G2042" s="15" t="str">
        <f>IFERROR(__xludf.DUMMYFUNCTION("""COMPUTED_VALUE"""),"Marcela Delgado")</f>
        <v>Marcela Delgado</v>
      </c>
      <c r="H2042" s="16">
        <f>IFERROR(__xludf.DUMMYFUNCTION("""COMPUTED_VALUE"""),10611.0)</f>
        <v>10611</v>
      </c>
      <c r="I2042" s="18">
        <f>IFERROR(__xludf.DUMMYFUNCTION("""COMPUTED_VALUE"""),18.0)</f>
        <v>18</v>
      </c>
      <c r="J2042" s="18">
        <f>IFERROR(__xludf.DUMMYFUNCTION("""COMPUTED_VALUE"""),21.0)</f>
        <v>21</v>
      </c>
      <c r="K2042" s="18">
        <f>IFERROR(__xludf.DUMMYFUNCTION("""COMPUTED_VALUE"""),25.0)</f>
        <v>25</v>
      </c>
      <c r="L2042" s="17">
        <f>IFERROR(__xludf.DUMMYFUNCTION("""COMPUTED_VALUE"""),3.16691461E9)</f>
        <v>3166914610</v>
      </c>
      <c r="M2042" s="17" t="str">
        <f>IFERROR(__xludf.DUMMYFUNCTION("""COMPUTED_VALUE"""),"#REF!")</f>
        <v>#REF!</v>
      </c>
      <c r="N2042" s="17"/>
      <c r="O2042" s="17"/>
      <c r="P2042" s="17" t="b">
        <f>IFERROR(__xludf.DUMMYFUNCTION("""COMPUTED_VALUE"""),FALSE)</f>
        <v>0</v>
      </c>
      <c r="Q2042" s="20" t="str">
        <f>IFERROR(__xludf.DUMMYFUNCTION("""COMPUTED_VALUE"""),"")</f>
        <v/>
      </c>
      <c r="R2042" s="22" t="str">
        <f>IFERROR(__xludf.DUMMYFUNCTION("""COMPUTED_VALUE"""),"")</f>
        <v/>
      </c>
    </row>
    <row r="2043">
      <c r="A2043" s="15">
        <f>IFERROR(__xludf.DUMMYFUNCTION("""COMPUTED_VALUE"""),45058.0)</f>
        <v>45058</v>
      </c>
      <c r="B2043" s="16" t="str">
        <f>IFERROR(__xludf.DUMMYFUNCTION("""COMPUTED_VALUE"""),"Luis Miguel Ramirez Morales")</f>
        <v>Luis Miguel Ramirez Morales</v>
      </c>
      <c r="C2043" s="15" t="str">
        <f>IFERROR(__xludf.DUMMYFUNCTION("""COMPUTED_VALUE"""),"BOGOTÁ")</f>
        <v>BOGOTÁ</v>
      </c>
      <c r="D2043" s="15" t="str">
        <f>IFERROR(__xludf.DUMMYFUNCTION("""COMPUTED_VALUE"""),"MEDELLÍN")</f>
        <v>MEDELLÍN</v>
      </c>
      <c r="E2043" s="15" t="str">
        <f>IFERROR(__xludf.DUMMYFUNCTION("""COMPUTED_VALUE"""),"Rambla")</f>
        <v>Rambla</v>
      </c>
      <c r="F2043" s="17" t="str">
        <f>IFERROR(__xludf.DUMMYFUNCTION("""COMPUTED_VALUE"""),"carrera 111C#81-10  apto 501 - int 14 Conjunto los Gualandayes  Ciudadela colsubsidio  Bogotá  / NA / NA")</f>
        <v>carrera 111C#81-10  apto 501 - int 14 Conjunto los Gualandayes  Ciudadela colsubsidio  Bogotá  / NA / NA</v>
      </c>
      <c r="G2043" s="15" t="str">
        <f>IFERROR(__xludf.DUMMYFUNCTION("""COMPUTED_VALUE"""),"Britta Sophia Brand Ortiz")</f>
        <v>Britta Sophia Brand Ortiz</v>
      </c>
      <c r="H2043" s="16">
        <f>IFERROR(__xludf.DUMMYFUNCTION("""COMPUTED_VALUE"""),10609.0)</f>
        <v>10609</v>
      </c>
      <c r="I2043" s="18">
        <f>IFERROR(__xludf.DUMMYFUNCTION("""COMPUTED_VALUE"""),18.0)</f>
        <v>18</v>
      </c>
      <c r="J2043" s="18">
        <f>IFERROR(__xludf.DUMMYFUNCTION("""COMPUTED_VALUE"""),21.0)</f>
        <v>21</v>
      </c>
      <c r="K2043" s="18">
        <f>IFERROR(__xludf.DUMMYFUNCTION("""COMPUTED_VALUE"""),25.0)</f>
        <v>25</v>
      </c>
      <c r="L2043" s="17">
        <f>IFERROR(__xludf.DUMMYFUNCTION("""COMPUTED_VALUE"""),3.203064579E9)</f>
        <v>3203064579</v>
      </c>
      <c r="M2043" s="17" t="str">
        <f>IFERROR(__xludf.DUMMYFUNCTION("""COMPUTED_VALUE"""),"#REF!")</f>
        <v>#REF!</v>
      </c>
      <c r="N2043" s="17"/>
      <c r="O2043" s="17"/>
      <c r="P2043" s="17" t="b">
        <f>IFERROR(__xludf.DUMMYFUNCTION("""COMPUTED_VALUE"""),TRUE)</f>
        <v>1</v>
      </c>
      <c r="Q2043" s="20">
        <f>IFERROR(__xludf.DUMMYFUNCTION("""COMPUTED_VALUE"""),45061.107371736114)</f>
        <v>45061.10737</v>
      </c>
      <c r="R2043" s="22" t="str">
        <f>IFERROR(__xludf.DUMMYFUNCTION("""COMPUTED_VALUE"""),"")</f>
        <v/>
      </c>
    </row>
    <row r="2044">
      <c r="A2044" s="15">
        <f>IFERROR(__xludf.DUMMYFUNCTION("""COMPUTED_VALUE"""),45058.0)</f>
        <v>45058</v>
      </c>
      <c r="B2044" s="16" t="str">
        <f>IFERROR(__xludf.DUMMYFUNCTION("""COMPUTED_VALUE"""),"Luis Miguel Ramirez Morales")</f>
        <v>Luis Miguel Ramirez Morales</v>
      </c>
      <c r="C2044" s="15" t="str">
        <f>IFERROR(__xludf.DUMMYFUNCTION("""COMPUTED_VALUE"""),"BOGOTÁ")</f>
        <v>BOGOTÁ</v>
      </c>
      <c r="D2044" s="15" t="str">
        <f>IFERROR(__xludf.DUMMYFUNCTION("""COMPUTED_VALUE"""),"MEDELLÍN")</f>
        <v>MEDELLÍN</v>
      </c>
      <c r="E2044" s="15" t="str">
        <f>IFERROR(__xludf.DUMMYFUNCTION("""COMPUTED_VALUE"""),"Rambla")</f>
        <v>Rambla</v>
      </c>
      <c r="F2044" s="17" t="str">
        <f>IFERROR(__xludf.DUMMYFUNCTION("""COMPUTED_VALUE"""),"Carrera 26 #61f29apto 502 edificio fontanella barrio Campin / NA / NA")</f>
        <v>Carrera 26 #61f29apto 502 edificio fontanella barrio Campin / NA / NA</v>
      </c>
      <c r="G2044" s="15" t="str">
        <f>IFERROR(__xludf.DUMMYFUNCTION("""COMPUTED_VALUE"""),"Claudia Alvarez")</f>
        <v>Claudia Alvarez</v>
      </c>
      <c r="H2044" s="16">
        <f>IFERROR(__xludf.DUMMYFUNCTION("""COMPUTED_VALUE"""),10613.0)</f>
        <v>10613</v>
      </c>
      <c r="I2044" s="18">
        <f>IFERROR(__xludf.DUMMYFUNCTION("""COMPUTED_VALUE"""),18.0)</f>
        <v>18</v>
      </c>
      <c r="J2044" s="18">
        <f>IFERROR(__xludf.DUMMYFUNCTION("""COMPUTED_VALUE"""),21.0)</f>
        <v>21</v>
      </c>
      <c r="K2044" s="18">
        <f>IFERROR(__xludf.DUMMYFUNCTION("""COMPUTED_VALUE"""),25.0)</f>
        <v>25</v>
      </c>
      <c r="L2044" s="17">
        <f>IFERROR(__xludf.DUMMYFUNCTION("""COMPUTED_VALUE"""),3.006089904E9)</f>
        <v>3006089904</v>
      </c>
      <c r="M2044" s="17" t="str">
        <f>IFERROR(__xludf.DUMMYFUNCTION("""COMPUTED_VALUE"""),"#REF!")</f>
        <v>#REF!</v>
      </c>
      <c r="N2044" s="17"/>
      <c r="O2044" s="17"/>
      <c r="P2044" s="17" t="b">
        <f>IFERROR(__xludf.DUMMYFUNCTION("""COMPUTED_VALUE"""),TRUE)</f>
        <v>1</v>
      </c>
      <c r="Q2044" s="20">
        <f>IFERROR(__xludf.DUMMYFUNCTION("""COMPUTED_VALUE"""),45061.107371736114)</f>
        <v>45061.10737</v>
      </c>
      <c r="R2044" s="22" t="str">
        <f>IFERROR(__xludf.DUMMYFUNCTION("""COMPUTED_VALUE"""),"")</f>
        <v/>
      </c>
    </row>
    <row r="2045">
      <c r="A2045" s="15">
        <f>IFERROR(__xludf.DUMMYFUNCTION("""COMPUTED_VALUE"""),45058.0)</f>
        <v>45058</v>
      </c>
      <c r="B2045" s="16" t="str">
        <f>IFERROR(__xludf.DUMMYFUNCTION("""COMPUTED_VALUE"""),"Luis Miguel Ramirez Morales")</f>
        <v>Luis Miguel Ramirez Morales</v>
      </c>
      <c r="C2045" s="15" t="str">
        <f>IFERROR(__xludf.DUMMYFUNCTION("""COMPUTED_VALUE"""),"BOGOTÁ")</f>
        <v>BOGOTÁ</v>
      </c>
      <c r="D2045" s="15" t="str">
        <f>IFERROR(__xludf.DUMMYFUNCTION("""COMPUTED_VALUE"""),"MEDELLÍN")</f>
        <v>MEDELLÍN</v>
      </c>
      <c r="E2045" s="15" t="str">
        <f>IFERROR(__xludf.DUMMYFUNCTION("""COMPUTED_VALUE"""),"Rambla")</f>
        <v>Rambla</v>
      </c>
      <c r="F2045" s="17" t="str">
        <f>IFERROR(__xludf.DUMMYFUNCTION("""COMPUTED_VALUE"""),"Cl. 93a #11-46, Barrio Chicó / NA / NA")</f>
        <v>Cl. 93a #11-46, Barrio Chicó / NA / NA</v>
      </c>
      <c r="G2045" s="15" t="str">
        <f>IFERROR(__xludf.DUMMYFUNCTION("""COMPUTED_VALUE"""),"FIT HUB")</f>
        <v>FIT HUB</v>
      </c>
      <c r="H2045" s="16">
        <f>IFERROR(__xludf.DUMMYFUNCTION("""COMPUTED_VALUE"""),10617.0)</f>
        <v>10617</v>
      </c>
      <c r="I2045" s="18">
        <f>IFERROR(__xludf.DUMMYFUNCTION("""COMPUTED_VALUE"""),18.0)</f>
        <v>18</v>
      </c>
      <c r="J2045" s="18">
        <f>IFERROR(__xludf.DUMMYFUNCTION("""COMPUTED_VALUE"""),21.0)</f>
        <v>21</v>
      </c>
      <c r="K2045" s="18">
        <f>IFERROR(__xludf.DUMMYFUNCTION("""COMPUTED_VALUE"""),25.0)</f>
        <v>25</v>
      </c>
      <c r="L2045" s="17">
        <f>IFERROR(__xludf.DUMMYFUNCTION("""COMPUTED_VALUE"""),3.015447307E9)</f>
        <v>3015447307</v>
      </c>
      <c r="M2045" s="17" t="str">
        <f>IFERROR(__xludf.DUMMYFUNCTION("""COMPUTED_VALUE"""),"#REF!")</f>
        <v>#REF!</v>
      </c>
      <c r="N2045" s="17"/>
      <c r="O2045" s="17"/>
      <c r="P2045" s="17" t="b">
        <f>IFERROR(__xludf.DUMMYFUNCTION("""COMPUTED_VALUE"""),TRUE)</f>
        <v>1</v>
      </c>
      <c r="Q2045" s="20">
        <f>IFERROR(__xludf.DUMMYFUNCTION("""COMPUTED_VALUE"""),45061.107371736114)</f>
        <v>45061.10737</v>
      </c>
      <c r="R2045" s="22" t="str">
        <f>IFERROR(__xludf.DUMMYFUNCTION("""COMPUTED_VALUE"""),"")</f>
        <v/>
      </c>
    </row>
    <row r="2046">
      <c r="A2046" s="17" t="str">
        <f>IFERROR(__xludf.DUMMYFUNCTION("""COMPUTED_VALUE"""),"")</f>
        <v/>
      </c>
      <c r="B2046" s="17" t="str">
        <f>IFERROR(__xludf.DUMMYFUNCTION("""COMPUTED_VALUE"""),"")</f>
        <v/>
      </c>
      <c r="C2046" s="17" t="str">
        <f>IFERROR(__xludf.DUMMYFUNCTION("""COMPUTED_VALUE"""),"")</f>
        <v/>
      </c>
      <c r="D2046" s="17" t="str">
        <f>IFERROR(__xludf.DUMMYFUNCTION("""COMPUTED_VALUE"""),"")</f>
        <v/>
      </c>
      <c r="E2046" s="17" t="str">
        <f>IFERROR(__xludf.DUMMYFUNCTION("""COMPUTED_VALUE"""),"")</f>
        <v/>
      </c>
      <c r="F2046" s="17" t="str">
        <f>IFERROR(__xludf.DUMMYFUNCTION("""COMPUTED_VALUE"""),"")</f>
        <v/>
      </c>
      <c r="G2046" s="17" t="str">
        <f>IFERROR(__xludf.DUMMYFUNCTION("""COMPUTED_VALUE"""),"")</f>
        <v/>
      </c>
      <c r="H2046" s="17" t="str">
        <f>IFERROR(__xludf.DUMMYFUNCTION("""COMPUTED_VALUE"""),"")</f>
        <v/>
      </c>
      <c r="I2046" s="17" t="str">
        <f>IFERROR(__xludf.DUMMYFUNCTION("""COMPUTED_VALUE"""),"")</f>
        <v/>
      </c>
      <c r="J2046" s="17" t="str">
        <f>IFERROR(__xludf.DUMMYFUNCTION("""COMPUTED_VALUE"""),"")</f>
        <v/>
      </c>
      <c r="K2046" s="17" t="str">
        <f>IFERROR(__xludf.DUMMYFUNCTION("""COMPUTED_VALUE"""),"")</f>
        <v/>
      </c>
      <c r="L2046" s="17" t="str">
        <f>IFERROR(__xludf.DUMMYFUNCTION("""COMPUTED_VALUE"""),"")</f>
        <v/>
      </c>
      <c r="M2046" s="17" t="str">
        <f>IFERROR(__xludf.DUMMYFUNCTION("""COMPUTED_VALUE"""),"")</f>
        <v/>
      </c>
      <c r="N2046" s="17" t="str">
        <f>IFERROR(__xludf.DUMMYFUNCTION("""COMPUTED_VALUE"""),"")</f>
        <v/>
      </c>
      <c r="O2046" s="17" t="str">
        <f>IFERROR(__xludf.DUMMYFUNCTION("""COMPUTED_VALUE"""),"")</f>
        <v/>
      </c>
      <c r="P2046" s="17" t="str">
        <f>IFERROR(__xludf.DUMMYFUNCTION("""COMPUTED_VALUE"""),"")</f>
        <v/>
      </c>
      <c r="Q2046" s="17" t="str">
        <f>IFERROR(__xludf.DUMMYFUNCTION("""COMPUTED_VALUE"""),"")</f>
        <v/>
      </c>
      <c r="R2046" s="17" t="str">
        <f>IFERROR(__xludf.DUMMYFUNCTION("""COMPUTED_VALUE"""),"")</f>
        <v/>
      </c>
    </row>
    <row r="2047">
      <c r="A2047" s="15">
        <f>IFERROR(__xludf.DUMMYFUNCTION("""COMPUTED_VALUE"""),45058.0)</f>
        <v>45058</v>
      </c>
      <c r="B2047" s="16" t="str">
        <f>IFERROR(__xludf.DUMMYFUNCTION("""COMPUTED_VALUE"""),"Orlando Urdaneta Rincon ")</f>
        <v>Orlando Urdaneta Rincon </v>
      </c>
      <c r="C2047" s="15" t="str">
        <f>IFERROR(__xludf.DUMMYFUNCTION("""COMPUTED_VALUE"""),"BOGOTÁ")</f>
        <v>BOGOTÁ</v>
      </c>
      <c r="D2047" s="15" t="str">
        <f>IFERROR(__xludf.DUMMYFUNCTION("""COMPUTED_VALUE"""),"MEDELLÍN")</f>
        <v>MEDELLÍN</v>
      </c>
      <c r="E2047" s="15" t="str">
        <f>IFERROR(__xludf.DUMMYFUNCTION("""COMPUTED_VALUE"""),"Vendedora Crepes")</f>
        <v>Vendedora Crepes</v>
      </c>
      <c r="F2047" s="17" t="str">
        <f>IFERROR(__xludf.DUMMYFUNCTION("""COMPUTED_VALUE"""),"Calle 147 # 13-67 / apartamento 105 / apartamento 105")</f>
        <v>Calle 147 # 13-67 / apartamento 105 / apartamento 105</v>
      </c>
      <c r="G2047" s="15" t="str">
        <f>IFERROR(__xludf.DUMMYFUNCTION("""COMPUTED_VALUE"""),"Mónica Torres")</f>
        <v>Mónica Torres</v>
      </c>
      <c r="H2047" s="16">
        <f>IFERROR(__xludf.DUMMYFUNCTION("""COMPUTED_VALUE"""),10586.0)</f>
        <v>10586</v>
      </c>
      <c r="I2047" s="18">
        <f>IFERROR(__xludf.DUMMYFUNCTION("""COMPUTED_VALUE"""),9.0)</f>
        <v>9</v>
      </c>
      <c r="J2047" s="18">
        <f>IFERROR(__xludf.DUMMYFUNCTION("""COMPUTED_VALUE"""),25.0)</f>
        <v>25</v>
      </c>
      <c r="K2047" s="18">
        <f>IFERROR(__xludf.DUMMYFUNCTION("""COMPUTED_VALUE"""),27.0)</f>
        <v>27</v>
      </c>
      <c r="L2047" s="17">
        <f>IFERROR(__xludf.DUMMYFUNCTION("""COMPUTED_VALUE"""),3.104804558E9)</f>
        <v>3104804558</v>
      </c>
      <c r="M2047" s="17" t="str">
        <f>IFERROR(__xludf.DUMMYFUNCTION("""COMPUTED_VALUE"""),"#REF!")</f>
        <v>#REF!</v>
      </c>
      <c r="N2047" s="17"/>
      <c r="O2047" s="17"/>
      <c r="P2047" s="17" t="b">
        <f>IFERROR(__xludf.DUMMYFUNCTION("""COMPUTED_VALUE"""),TRUE)</f>
        <v>1</v>
      </c>
      <c r="Q2047" s="20">
        <f>IFERROR(__xludf.DUMMYFUNCTION("""COMPUTED_VALUE"""),45061.107371736114)</f>
        <v>45061.10737</v>
      </c>
      <c r="R2047" s="22" t="str">
        <f>IFERROR(__xludf.DUMMYFUNCTION("""COMPUTED_VALUE"""),"")</f>
        <v/>
      </c>
    </row>
    <row r="2048">
      <c r="A2048" s="15">
        <f>IFERROR(__xludf.DUMMYFUNCTION("""COMPUTED_VALUE"""),45058.0)</f>
        <v>45058</v>
      </c>
      <c r="B2048" s="16" t="str">
        <f>IFERROR(__xludf.DUMMYFUNCTION("""COMPUTED_VALUE"""),"Orlando Urdaneta Rincon ")</f>
        <v>Orlando Urdaneta Rincon </v>
      </c>
      <c r="C2048" s="15" t="str">
        <f>IFERROR(__xludf.DUMMYFUNCTION("""COMPUTED_VALUE"""),"CAJICÁ")</f>
        <v>CAJICÁ</v>
      </c>
      <c r="D2048" s="15" t="str">
        <f>IFERROR(__xludf.DUMMYFUNCTION("""COMPUTED_VALUE"""),"MEDELLÍN")</f>
        <v>MEDELLÍN</v>
      </c>
      <c r="E2048" s="15" t="str">
        <f>IFERROR(__xludf.DUMMYFUNCTION("""COMPUTED_VALUE"""),"Rambla")</f>
        <v>Rambla</v>
      </c>
      <c r="F2048" s="17" t="str">
        <f>IFERROR(__xludf.DUMMYFUNCTION("""COMPUTED_VALUE"""),"Calle 3 # 19-307 torre 3 apto 404 Conjunto park place Barrio el tejar Cajica- cundinamarca / NA / NA")</f>
        <v>Calle 3 # 19-307 torre 3 apto 404 Conjunto park place Barrio el tejar Cajica- cundinamarca / NA / NA</v>
      </c>
      <c r="G2048" s="15" t="str">
        <f>IFERROR(__xludf.DUMMYFUNCTION("""COMPUTED_VALUE"""),"Monica Mora")</f>
        <v>Monica Mora</v>
      </c>
      <c r="H2048" s="16">
        <f>IFERROR(__xludf.DUMMYFUNCTION("""COMPUTED_VALUE"""),10619.0)</f>
        <v>10619</v>
      </c>
      <c r="I2048" s="18">
        <f>IFERROR(__xludf.DUMMYFUNCTION("""COMPUTED_VALUE"""),18.0)</f>
        <v>18</v>
      </c>
      <c r="J2048" s="18">
        <f>IFERROR(__xludf.DUMMYFUNCTION("""COMPUTED_VALUE"""),21.0)</f>
        <v>21</v>
      </c>
      <c r="K2048" s="18">
        <f>IFERROR(__xludf.DUMMYFUNCTION("""COMPUTED_VALUE"""),25.0)</f>
        <v>25</v>
      </c>
      <c r="L2048" s="17">
        <f>IFERROR(__xludf.DUMMYFUNCTION("""COMPUTED_VALUE"""),3.118572752E9)</f>
        <v>3118572752</v>
      </c>
      <c r="M2048" s="17" t="str">
        <f>IFERROR(__xludf.DUMMYFUNCTION("""COMPUTED_VALUE"""),"#REF!")</f>
        <v>#REF!</v>
      </c>
      <c r="N2048" s="17"/>
      <c r="O2048" s="17"/>
      <c r="P2048" s="17" t="b">
        <f>IFERROR(__xludf.DUMMYFUNCTION("""COMPUTED_VALUE"""),TRUE)</f>
        <v>1</v>
      </c>
      <c r="Q2048" s="20">
        <f>IFERROR(__xludf.DUMMYFUNCTION("""COMPUTED_VALUE"""),45061.107371736114)</f>
        <v>45061.10737</v>
      </c>
      <c r="R2048" s="22" t="str">
        <f>IFERROR(__xludf.DUMMYFUNCTION("""COMPUTED_VALUE"""),"")</f>
        <v/>
      </c>
    </row>
    <row r="2049">
      <c r="A2049" s="15">
        <f>IFERROR(__xludf.DUMMYFUNCTION("""COMPUTED_VALUE"""),45058.0)</f>
        <v>45058</v>
      </c>
      <c r="B2049" s="16" t="str">
        <f>IFERROR(__xludf.DUMMYFUNCTION("""COMPUTED_VALUE"""),"Orlando Urdaneta Rincon ")</f>
        <v>Orlando Urdaneta Rincon </v>
      </c>
      <c r="C2049" s="15" t="str">
        <f>IFERROR(__xludf.DUMMYFUNCTION("""COMPUTED_VALUE"""),"SANTA MARTA")</f>
        <v>SANTA MARTA</v>
      </c>
      <c r="D2049" s="15" t="str">
        <f>IFERROR(__xludf.DUMMYFUNCTION("""COMPUTED_VALUE"""),"BOGOTÁ")</f>
        <v>BOGOTÁ</v>
      </c>
      <c r="E2049" s="15" t="str">
        <f>IFERROR(__xludf.DUMMYFUNCTION("""COMPUTED_VALUE"""),"Evamazzita")</f>
        <v>Evamazzita</v>
      </c>
      <c r="F2049" s="17" t="str">
        <f>IFERROR(__xludf.DUMMYFUNCTION("""COMPUTED_VALUE"""),"Calle 22 #17-10  / apto 202.  / Al lado de Envia  Barrio alcázares")</f>
        <v>Calle 22 #17-10  / apto 202.  / Al lado de Envia  Barrio alcázares</v>
      </c>
      <c r="G2049" s="15" t="str">
        <f>IFERROR(__xludf.DUMMYFUNCTION("""COMPUTED_VALUE"""),"MARIA ANGELICA RINCON")</f>
        <v>MARIA ANGELICA RINCON</v>
      </c>
      <c r="H2049" s="16">
        <f>IFERROR(__xludf.DUMMYFUNCTION("""COMPUTED_VALUE"""),10562.0)</f>
        <v>10562</v>
      </c>
      <c r="I2049" s="18">
        <f>IFERROR(__xludf.DUMMYFUNCTION("""COMPUTED_VALUE"""),10.0)</f>
        <v>10</v>
      </c>
      <c r="J2049" s="18">
        <f>IFERROR(__xludf.DUMMYFUNCTION("""COMPUTED_VALUE"""),18.0)</f>
        <v>18</v>
      </c>
      <c r="K2049" s="18">
        <f>IFERROR(__xludf.DUMMYFUNCTION("""COMPUTED_VALUE"""),22.0)</f>
        <v>22</v>
      </c>
      <c r="L2049" s="17">
        <f>IFERROR(__xludf.DUMMYFUNCTION("""COMPUTED_VALUE"""),3.046823353E9)</f>
        <v>3046823353</v>
      </c>
      <c r="M2049" s="17" t="str">
        <f>IFERROR(__xludf.DUMMYFUNCTION("""COMPUTED_VALUE"""),"#REF!")</f>
        <v>#REF!</v>
      </c>
      <c r="N2049" s="17"/>
      <c r="O2049" s="17"/>
      <c r="P2049" s="17" t="b">
        <f>IFERROR(__xludf.DUMMYFUNCTION("""COMPUTED_VALUE"""),TRUE)</f>
        <v>1</v>
      </c>
      <c r="Q2049" s="20">
        <f>IFERROR(__xludf.DUMMYFUNCTION("""COMPUTED_VALUE"""),45061.107371736114)</f>
        <v>45061.10737</v>
      </c>
      <c r="R2049" s="22" t="str">
        <f>IFERROR(__xludf.DUMMYFUNCTION("""COMPUTED_VALUE"""),"")</f>
        <v/>
      </c>
    </row>
    <row r="2050">
      <c r="A2050" s="15">
        <f>IFERROR(__xludf.DUMMYFUNCTION("""COMPUTED_VALUE"""),45058.0)</f>
        <v>45058</v>
      </c>
      <c r="B2050" s="16" t="str">
        <f>IFERROR(__xludf.DUMMYFUNCTION("""COMPUTED_VALUE"""),"Orlando Urdaneta Rincon ")</f>
        <v>Orlando Urdaneta Rincon </v>
      </c>
      <c r="C2050" s="15" t="str">
        <f>IFERROR(__xludf.DUMMYFUNCTION("""COMPUTED_VALUE"""),"SANTA MARTA")</f>
        <v>SANTA MARTA</v>
      </c>
      <c r="D2050" s="15" t="str">
        <f>IFERROR(__xludf.DUMMYFUNCTION("""COMPUTED_VALUE"""),"BOGOTÁ")</f>
        <v>BOGOTÁ</v>
      </c>
      <c r="E2050" s="15" t="str">
        <f>IFERROR(__xludf.DUMMYFUNCTION("""COMPUTED_VALUE"""),"Evamazzita")</f>
        <v>Evamazzita</v>
      </c>
      <c r="F2050" s="17" t="str">
        <f>IFERROR(__xludf.DUMMYFUNCTION("""COMPUTED_VALUE"""),"URBANIZACION SIERRA DENTRO / MANZANA 8 CASA 5 / URBANIZACION SIERRA DENTRO")</f>
        <v>URBANIZACION SIERRA DENTRO / MANZANA 8 CASA 5 / URBANIZACION SIERRA DENTRO</v>
      </c>
      <c r="G2050" s="15" t="str">
        <f>IFERROR(__xludf.DUMMYFUNCTION("""COMPUTED_VALUE"""),"YULIANA MOSQUERA CASTAÑO")</f>
        <v>YULIANA MOSQUERA CASTAÑO</v>
      </c>
      <c r="H2050" s="16">
        <f>IFERROR(__xludf.DUMMYFUNCTION("""COMPUTED_VALUE"""),10563.0)</f>
        <v>10563</v>
      </c>
      <c r="I2050" s="18">
        <f>IFERROR(__xludf.DUMMYFUNCTION("""COMPUTED_VALUE"""),3.0)</f>
        <v>3</v>
      </c>
      <c r="J2050" s="18">
        <f>IFERROR(__xludf.DUMMYFUNCTION("""COMPUTED_VALUE"""),20.0)</f>
        <v>20</v>
      </c>
      <c r="K2050" s="18">
        <f>IFERROR(__xludf.DUMMYFUNCTION("""COMPUTED_VALUE"""),15.0)</f>
        <v>15</v>
      </c>
      <c r="L2050" s="17">
        <f>IFERROR(__xludf.DUMMYFUNCTION("""COMPUTED_VALUE"""),3.123318584E9)</f>
        <v>3123318584</v>
      </c>
      <c r="M2050" s="17" t="str">
        <f>IFERROR(__xludf.DUMMYFUNCTION("""COMPUTED_VALUE"""),"#REF!")</f>
        <v>#REF!</v>
      </c>
      <c r="N2050" s="17"/>
      <c r="O2050" s="17"/>
      <c r="P2050" s="17" t="b">
        <f>IFERROR(__xludf.DUMMYFUNCTION("""COMPUTED_VALUE"""),FALSE)</f>
        <v>0</v>
      </c>
      <c r="Q2050" s="20" t="str">
        <f>IFERROR(__xludf.DUMMYFUNCTION("""COMPUTED_VALUE"""),"")</f>
        <v/>
      </c>
      <c r="R2050" s="22" t="str">
        <f>IFERROR(__xludf.DUMMYFUNCTION("""COMPUTED_VALUE"""),"")</f>
        <v/>
      </c>
    </row>
    <row r="2051">
      <c r="A2051" s="15">
        <f>IFERROR(__xludf.DUMMYFUNCTION("""COMPUTED_VALUE"""),45058.0)</f>
        <v>45058</v>
      </c>
      <c r="B2051" s="16" t="str">
        <f>IFERROR(__xludf.DUMMYFUNCTION("""COMPUTED_VALUE"""),"Orlando Urdaneta Rincon ")</f>
        <v>Orlando Urdaneta Rincon </v>
      </c>
      <c r="C2051" s="15" t="str">
        <f>IFERROR(__xludf.DUMMYFUNCTION("""COMPUTED_VALUE"""),"SANTA MARTA")</f>
        <v>SANTA MARTA</v>
      </c>
      <c r="D2051" s="15" t="str">
        <f>IFERROR(__xludf.DUMMYFUNCTION("""COMPUTED_VALUE"""),"BOGOTÁ")</f>
        <v>BOGOTÁ</v>
      </c>
      <c r="E2051" s="15" t="str">
        <f>IFERROR(__xludf.DUMMYFUNCTION("""COMPUTED_VALUE"""),"Frambascolombia sas")</f>
        <v>Frambascolombia sas</v>
      </c>
      <c r="F2051" s="17" t="str">
        <f>IFERROR(__xludf.DUMMYFUNCTION("""COMPUTED_VALUE"""),"KM 13 vía aeropuerto Int. Simon Bolivar / local 2")</f>
        <v>KM 13 vía aeropuerto Int. Simon Bolivar / local 2</v>
      </c>
      <c r="G2051" s="15" t="str">
        <f>IFERROR(__xludf.DUMMYFUNCTION("""COMPUTED_VALUE"""),"Santa Marta BRUNCH &amp; MUNCH")</f>
        <v>Santa Marta BRUNCH &amp; MUNCH</v>
      </c>
      <c r="H2051" s="16">
        <f>IFERROR(__xludf.DUMMYFUNCTION("""COMPUTED_VALUE"""),10557.0)</f>
        <v>10557</v>
      </c>
      <c r="I2051" s="18">
        <f>IFERROR(__xludf.DUMMYFUNCTION("""COMPUTED_VALUE"""),8.0)</f>
        <v>8</v>
      </c>
      <c r="J2051" s="18">
        <f>IFERROR(__xludf.DUMMYFUNCTION("""COMPUTED_VALUE"""),44992.0)</f>
        <v>44992</v>
      </c>
      <c r="K2051" s="18">
        <f>IFERROR(__xludf.DUMMYFUNCTION("""COMPUTED_VALUE"""),44992.0)</f>
        <v>44992</v>
      </c>
      <c r="L2051" s="17">
        <f>IFERROR(__xludf.DUMMYFUNCTION("""COMPUTED_VALUE"""),3.173836649E9)</f>
        <v>3173836649</v>
      </c>
      <c r="M2051" s="17" t="str">
        <f>IFERROR(__xludf.DUMMYFUNCTION("""COMPUTED_VALUE"""),"#REF!")</f>
        <v>#REF!</v>
      </c>
      <c r="N2051" s="17"/>
      <c r="O2051" s="17"/>
      <c r="P2051" s="17" t="b">
        <f>IFERROR(__xludf.DUMMYFUNCTION("""COMPUTED_VALUE"""),FALSE)</f>
        <v>0</v>
      </c>
      <c r="Q2051" s="20" t="str">
        <f>IFERROR(__xludf.DUMMYFUNCTION("""COMPUTED_VALUE"""),"")</f>
        <v/>
      </c>
      <c r="R2051" s="22" t="str">
        <f>IFERROR(__xludf.DUMMYFUNCTION("""COMPUTED_VALUE"""),"")</f>
        <v/>
      </c>
    </row>
    <row r="2052">
      <c r="A2052" s="15">
        <f>IFERROR(__xludf.DUMMYFUNCTION("""COMPUTED_VALUE"""),45058.0)</f>
        <v>45058</v>
      </c>
      <c r="B2052" s="16" t="str">
        <f>IFERROR(__xludf.DUMMYFUNCTION("""COMPUTED_VALUE"""),"Orlando Urdaneta Rincon ")</f>
        <v>Orlando Urdaneta Rincon </v>
      </c>
      <c r="C2052" s="15" t="str">
        <f>IFERROR(__xludf.DUMMYFUNCTION("""COMPUTED_VALUE"""),"SANTA MARTA")</f>
        <v>SANTA MARTA</v>
      </c>
      <c r="D2052" s="15" t="str">
        <f>IFERROR(__xludf.DUMMYFUNCTION("""COMPUTED_VALUE"""),"BOGOTÁ")</f>
        <v>BOGOTÁ</v>
      </c>
      <c r="E2052" s="15" t="str">
        <f>IFERROR(__xludf.DUMMYFUNCTION("""COMPUTED_VALUE"""),"Ins. Alimento Vital")</f>
        <v>Ins. Alimento Vital</v>
      </c>
      <c r="F2052" s="17" t="str">
        <f>IFERROR(__xludf.DUMMYFUNCTION("""COMPUTED_VALUE"""),"CR 1 B 26 A 109 / EDIFICIO ALMIRANTE APTO 501 / EDIFICIO ALMIRANTE")</f>
        <v>CR 1 B 26 A 109 / EDIFICIO ALMIRANTE APTO 501 / EDIFICIO ALMIRANTE</v>
      </c>
      <c r="G2052" s="15" t="str">
        <f>IFERROR(__xludf.DUMMYFUNCTION("""COMPUTED_VALUE"""),"VERONICA GOMEZ DE SUBIRIA")</f>
        <v>VERONICA GOMEZ DE SUBIRIA</v>
      </c>
      <c r="H2052" s="16">
        <f>IFERROR(__xludf.DUMMYFUNCTION("""COMPUTED_VALUE"""),10560.0)</f>
        <v>10560</v>
      </c>
      <c r="I2052" s="18">
        <f>IFERROR(__xludf.DUMMYFUNCTION("""COMPUTED_VALUE"""),1.0)</f>
        <v>1</v>
      </c>
      <c r="J2052" s="18">
        <f>IFERROR(__xludf.DUMMYFUNCTION("""COMPUTED_VALUE"""),1.0)</f>
        <v>1</v>
      </c>
      <c r="K2052" s="18">
        <f>IFERROR(__xludf.DUMMYFUNCTION("""COMPUTED_VALUE"""),1.0)</f>
        <v>1</v>
      </c>
      <c r="L2052" s="17">
        <f>IFERROR(__xludf.DUMMYFUNCTION("""COMPUTED_VALUE"""),3.107893555E9)</f>
        <v>3107893555</v>
      </c>
      <c r="M2052" s="17" t="str">
        <f>IFERROR(__xludf.DUMMYFUNCTION("""COMPUTED_VALUE"""),"#REF!")</f>
        <v>#REF!</v>
      </c>
      <c r="N2052" s="17"/>
      <c r="O2052" s="17"/>
      <c r="P2052" s="17" t="b">
        <f>IFERROR(__xludf.DUMMYFUNCTION("""COMPUTED_VALUE"""),FALSE)</f>
        <v>0</v>
      </c>
      <c r="Q2052" s="20" t="str">
        <f>IFERROR(__xludf.DUMMYFUNCTION("""COMPUTED_VALUE"""),"")</f>
        <v/>
      </c>
      <c r="R2052" s="22" t="str">
        <f>IFERROR(__xludf.DUMMYFUNCTION("""COMPUTED_VALUE"""),"")</f>
        <v/>
      </c>
    </row>
    <row r="2053">
      <c r="A2053" s="15">
        <f>IFERROR(__xludf.DUMMYFUNCTION("""COMPUTED_VALUE"""),45058.0)</f>
        <v>45058</v>
      </c>
      <c r="B2053" s="16" t="str">
        <f>IFERROR(__xludf.DUMMYFUNCTION("""COMPUTED_VALUE"""),"Orlando Urdaneta Rincon ")</f>
        <v>Orlando Urdaneta Rincon </v>
      </c>
      <c r="C2053" s="15" t="str">
        <f>IFERROR(__xludf.DUMMYFUNCTION("""COMPUTED_VALUE"""),"SANTA MARTA")</f>
        <v>SANTA MARTA</v>
      </c>
      <c r="D2053" s="15" t="str">
        <f>IFERROR(__xludf.DUMMYFUNCTION("""COMPUTED_VALUE"""),"MEDELLÍN")</f>
        <v>MEDELLÍN</v>
      </c>
      <c r="E2053" s="15" t="str">
        <f>IFERROR(__xludf.DUMMYFUNCTION("""COMPUTED_VALUE"""),"Baby Chef")</f>
        <v>Baby Chef</v>
      </c>
      <c r="F2053" s="17" t="str">
        <f>IFERROR(__xludf.DUMMYFUNCTION("""COMPUTED_VALUE"""),"Carrera 1a#23-84 edificio ancon apto 702  Barrio los cocos - Santa Marta / ""Carrera 1a#23-84 edificio ancon apto 702  Barrio los cocos - Santa Marta"" / ""Carrera 1a#23-84 edificio ancon apto 702  Barrio los cocos - Santa Marta""")</f>
        <v>Carrera 1a#23-84 edificio ancon apto 702  Barrio los cocos - Santa Marta / "Carrera 1a#23-84 edificio ancon apto 702  Barrio los cocos - Santa Marta" / "Carrera 1a#23-84 edificio ancon apto 702  Barrio los cocos - Santa Marta"</v>
      </c>
      <c r="G2053" s="15" t="str">
        <f>IFERROR(__xludf.DUMMYFUNCTION("""COMPUTED_VALUE"""),"Estefania Ruiz")</f>
        <v>Estefania Ruiz</v>
      </c>
      <c r="H2053" s="16">
        <f>IFERROR(__xludf.DUMMYFUNCTION("""COMPUTED_VALUE"""),10583.0)</f>
        <v>10583</v>
      </c>
      <c r="I2053" s="18">
        <f>IFERROR(__xludf.DUMMYFUNCTION("""COMPUTED_VALUE"""),8.0)</f>
        <v>8</v>
      </c>
      <c r="J2053" s="18">
        <f>IFERROR(__xludf.DUMMYFUNCTION("""COMPUTED_VALUE"""),16.0)</f>
        <v>16</v>
      </c>
      <c r="K2053" s="18">
        <f>IFERROR(__xludf.DUMMYFUNCTION("""COMPUTED_VALUE"""),20.0)</f>
        <v>20</v>
      </c>
      <c r="L2053" s="17">
        <f>IFERROR(__xludf.DUMMYFUNCTION("""COMPUTED_VALUE"""),3.146758961E9)</f>
        <v>3146758961</v>
      </c>
      <c r="M2053" s="17" t="str">
        <f>IFERROR(__xludf.DUMMYFUNCTION("""COMPUTED_VALUE"""),"#REF!")</f>
        <v>#REF!</v>
      </c>
      <c r="N2053" s="17"/>
      <c r="O2053" s="17"/>
      <c r="P2053" s="17" t="b">
        <f>IFERROR(__xludf.DUMMYFUNCTION("""COMPUTED_VALUE"""),FALSE)</f>
        <v>0</v>
      </c>
      <c r="Q2053" s="20" t="str">
        <f>IFERROR(__xludf.DUMMYFUNCTION("""COMPUTED_VALUE"""),"")</f>
        <v/>
      </c>
      <c r="R2053" s="22" t="str">
        <f>IFERROR(__xludf.DUMMYFUNCTION("""COMPUTED_VALUE"""),"")</f>
        <v/>
      </c>
    </row>
    <row r="2054">
      <c r="A2054" s="17" t="str">
        <f>IFERROR(__xludf.DUMMYFUNCTION("""COMPUTED_VALUE"""),"")</f>
        <v/>
      </c>
      <c r="B2054" s="17" t="str">
        <f>IFERROR(__xludf.DUMMYFUNCTION("""COMPUTED_VALUE"""),"")</f>
        <v/>
      </c>
      <c r="C2054" s="17" t="str">
        <f>IFERROR(__xludf.DUMMYFUNCTION("""COMPUTED_VALUE"""),"")</f>
        <v/>
      </c>
      <c r="D2054" s="17" t="str">
        <f>IFERROR(__xludf.DUMMYFUNCTION("""COMPUTED_VALUE"""),"")</f>
        <v/>
      </c>
      <c r="E2054" s="17" t="str">
        <f>IFERROR(__xludf.DUMMYFUNCTION("""COMPUTED_VALUE"""),"")</f>
        <v/>
      </c>
      <c r="F2054" s="17" t="str">
        <f>IFERROR(__xludf.DUMMYFUNCTION("""COMPUTED_VALUE"""),"")</f>
        <v/>
      </c>
      <c r="G2054" s="17" t="str">
        <f>IFERROR(__xludf.DUMMYFUNCTION("""COMPUTED_VALUE"""),"")</f>
        <v/>
      </c>
      <c r="H2054" s="17" t="str">
        <f>IFERROR(__xludf.DUMMYFUNCTION("""COMPUTED_VALUE"""),"")</f>
        <v/>
      </c>
      <c r="I2054" s="17" t="str">
        <f>IFERROR(__xludf.DUMMYFUNCTION("""COMPUTED_VALUE"""),"")</f>
        <v/>
      </c>
      <c r="J2054" s="17" t="str">
        <f>IFERROR(__xludf.DUMMYFUNCTION("""COMPUTED_VALUE"""),"")</f>
        <v/>
      </c>
      <c r="K2054" s="17" t="str">
        <f>IFERROR(__xludf.DUMMYFUNCTION("""COMPUTED_VALUE"""),"")</f>
        <v/>
      </c>
      <c r="L2054" s="17" t="str">
        <f>IFERROR(__xludf.DUMMYFUNCTION("""COMPUTED_VALUE"""),"")</f>
        <v/>
      </c>
      <c r="M2054" s="17" t="str">
        <f>IFERROR(__xludf.DUMMYFUNCTION("""COMPUTED_VALUE"""),"")</f>
        <v/>
      </c>
      <c r="N2054" s="17" t="str">
        <f>IFERROR(__xludf.DUMMYFUNCTION("""COMPUTED_VALUE"""),"")</f>
        <v/>
      </c>
      <c r="O2054" s="17" t="str">
        <f>IFERROR(__xludf.DUMMYFUNCTION("""COMPUTED_VALUE"""),"")</f>
        <v/>
      </c>
      <c r="P2054" s="17" t="str">
        <f>IFERROR(__xludf.DUMMYFUNCTION("""COMPUTED_VALUE"""),"")</f>
        <v/>
      </c>
      <c r="Q2054" s="17" t="str">
        <f>IFERROR(__xludf.DUMMYFUNCTION("""COMPUTED_VALUE"""),"")</f>
        <v/>
      </c>
      <c r="R2054" s="17" t="str">
        <f>IFERROR(__xludf.DUMMYFUNCTION("""COMPUTED_VALUE"""),"")</f>
        <v/>
      </c>
    </row>
    <row r="2055">
      <c r="A2055" s="15">
        <f>IFERROR(__xludf.DUMMYFUNCTION("""COMPUTED_VALUE"""),45058.0)</f>
        <v>45058</v>
      </c>
      <c r="B2055" s="16" t="str">
        <f>IFERROR(__xludf.DUMMYFUNCTION("""COMPUTED_VALUE"""),"Oscar Augusto Meneses Osias")</f>
        <v>Oscar Augusto Meneses Osias</v>
      </c>
      <c r="C2055" s="15" t="str">
        <f>IFERROR(__xludf.DUMMYFUNCTION("""COMPUTED_VALUE"""),"MEDELLÍN")</f>
        <v>MEDELLÍN</v>
      </c>
      <c r="D2055" s="15" t="str">
        <f>IFERROR(__xludf.DUMMYFUNCTION("""COMPUTED_VALUE"""),"BOGOTÁ")</f>
        <v>BOGOTÁ</v>
      </c>
      <c r="E2055" s="15" t="str">
        <f>IFERROR(__xludf.DUMMYFUNCTION("""COMPUTED_VALUE"""),"Pan de Waffle")</f>
        <v>Pan de Waffle</v>
      </c>
      <c r="F2055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2055" s="15" t="str">
        <f>IFERROR(__xludf.DUMMYFUNCTION("""COMPUTED_VALUE"""),"VITA INTEGRAL - MEDELLIN")</f>
        <v>VITA INTEGRAL - MEDELLIN</v>
      </c>
      <c r="H2055" s="16">
        <f>IFERROR(__xludf.DUMMYFUNCTION("""COMPUTED_VALUE"""),10592.0)</f>
        <v>10592</v>
      </c>
      <c r="I2055" s="18">
        <f>IFERROR(__xludf.DUMMYFUNCTION("""COMPUTED_VALUE"""),40.0)</f>
        <v>40</v>
      </c>
      <c r="J2055" s="18">
        <f>IFERROR(__xludf.DUMMYFUNCTION("""COMPUTED_VALUE"""),30.0)</f>
        <v>30</v>
      </c>
      <c r="K2055" s="18">
        <f>IFERROR(__xludf.DUMMYFUNCTION("""COMPUTED_VALUE"""),30.0)</f>
        <v>30</v>
      </c>
      <c r="L2055" s="17">
        <f>IFERROR(__xludf.DUMMYFUNCTION("""COMPUTED_VALUE"""),3.20865425E9)</f>
        <v>3208654250</v>
      </c>
      <c r="M2055" s="17" t="str">
        <f>IFERROR(__xludf.DUMMYFUNCTION("""COMPUTED_VALUE"""),"#REF!")</f>
        <v>#REF!</v>
      </c>
      <c r="N2055" s="17"/>
      <c r="O2055" s="17"/>
      <c r="P2055" s="17" t="b">
        <f>IFERROR(__xludf.DUMMYFUNCTION("""COMPUTED_VALUE"""),FALSE)</f>
        <v>0</v>
      </c>
      <c r="Q2055" s="20" t="str">
        <f>IFERROR(__xludf.DUMMYFUNCTION("""COMPUTED_VALUE"""),"")</f>
        <v/>
      </c>
      <c r="R2055" s="22" t="str">
        <f>IFERROR(__xludf.DUMMYFUNCTION("""COMPUTED_VALUE"""),"")</f>
        <v/>
      </c>
    </row>
    <row r="2056">
      <c r="A2056" s="17" t="str">
        <f>IFERROR(__xludf.DUMMYFUNCTION("""COMPUTED_VALUE"""),"")</f>
        <v/>
      </c>
      <c r="B2056" s="17" t="str">
        <f>IFERROR(__xludf.DUMMYFUNCTION("""COMPUTED_VALUE"""),"")</f>
        <v/>
      </c>
      <c r="C2056" s="17" t="str">
        <f>IFERROR(__xludf.DUMMYFUNCTION("""COMPUTED_VALUE"""),"")</f>
        <v/>
      </c>
      <c r="D2056" s="17" t="str">
        <f>IFERROR(__xludf.DUMMYFUNCTION("""COMPUTED_VALUE"""),"")</f>
        <v/>
      </c>
      <c r="E2056" s="17" t="str">
        <f>IFERROR(__xludf.DUMMYFUNCTION("""COMPUTED_VALUE"""),"")</f>
        <v/>
      </c>
      <c r="F2056" s="17" t="str">
        <f>IFERROR(__xludf.DUMMYFUNCTION("""COMPUTED_VALUE"""),"")</f>
        <v/>
      </c>
      <c r="G2056" s="17" t="str">
        <f>IFERROR(__xludf.DUMMYFUNCTION("""COMPUTED_VALUE"""),"")</f>
        <v/>
      </c>
      <c r="H2056" s="17" t="str">
        <f>IFERROR(__xludf.DUMMYFUNCTION("""COMPUTED_VALUE"""),"")</f>
        <v/>
      </c>
      <c r="I2056" s="17" t="str">
        <f>IFERROR(__xludf.DUMMYFUNCTION("""COMPUTED_VALUE"""),"")</f>
        <v/>
      </c>
      <c r="J2056" s="17" t="str">
        <f>IFERROR(__xludf.DUMMYFUNCTION("""COMPUTED_VALUE"""),"")</f>
        <v/>
      </c>
      <c r="K2056" s="17" t="str">
        <f>IFERROR(__xludf.DUMMYFUNCTION("""COMPUTED_VALUE"""),"")</f>
        <v/>
      </c>
      <c r="L2056" s="17" t="str">
        <f>IFERROR(__xludf.DUMMYFUNCTION("""COMPUTED_VALUE"""),"")</f>
        <v/>
      </c>
      <c r="M2056" s="17" t="str">
        <f>IFERROR(__xludf.DUMMYFUNCTION("""COMPUTED_VALUE"""),"")</f>
        <v/>
      </c>
      <c r="N2056" s="17" t="str">
        <f>IFERROR(__xludf.DUMMYFUNCTION("""COMPUTED_VALUE"""),"")</f>
        <v/>
      </c>
      <c r="O2056" s="17" t="str">
        <f>IFERROR(__xludf.DUMMYFUNCTION("""COMPUTED_VALUE"""),"")</f>
        <v/>
      </c>
      <c r="P2056" s="17" t="str">
        <f>IFERROR(__xludf.DUMMYFUNCTION("""COMPUTED_VALUE"""),"")</f>
        <v/>
      </c>
      <c r="Q2056" s="17" t="str">
        <f>IFERROR(__xludf.DUMMYFUNCTION("""COMPUTED_VALUE"""),"")</f>
        <v/>
      </c>
      <c r="R2056" s="17" t="str">
        <f>IFERROR(__xludf.DUMMYFUNCTION("""COMPUTED_VALUE"""),"")</f>
        <v/>
      </c>
    </row>
    <row r="2057">
      <c r="A2057" s="15">
        <f>IFERROR(__xludf.DUMMYFUNCTION("""COMPUTED_VALUE"""),45059.0)</f>
        <v>45059</v>
      </c>
      <c r="B2057" s="16" t="str">
        <f>IFERROR(__xludf.DUMMYFUNCTION("""COMPUTED_VALUE"""),"Oscar Augusto Meneses Osias")</f>
        <v>Oscar Augusto Meneses Osias</v>
      </c>
      <c r="C2057" s="15" t="str">
        <f>IFERROR(__xludf.DUMMYFUNCTION("""COMPUTED_VALUE"""),"IBAGUÉ")</f>
        <v>IBAGUÉ</v>
      </c>
      <c r="D2057" s="15" t="str">
        <f>IFERROR(__xludf.DUMMYFUNCTION("""COMPUTED_VALUE"""),"BOGOTÁ")</f>
        <v>BOGOTÁ</v>
      </c>
      <c r="E2057" s="15" t="str">
        <f>IFERROR(__xludf.DUMMYFUNCTION("""COMPUTED_VALUE"""),"Mochi")</f>
        <v>Mochi</v>
      </c>
      <c r="F2057" s="17" t="str">
        <f>IFERROR(__xludf.DUMMYFUNCTION("""COMPUTED_VALUE"""),"CL 60 12 224 centro comercial la estacion isla 101-2 / centro comercial la estacion isla 101-2 / centro comercial la estacion isla 101-2")</f>
        <v>CL 60 12 224 centro comercial la estacion isla 101-2 / centro comercial la estacion isla 101-2 / centro comercial la estacion isla 101-2</v>
      </c>
      <c r="G2057" s="15" t="str">
        <f>IFERROR(__xludf.DUMMYFUNCTION("""COMPUTED_VALUE"""),"Diego Garcia")</f>
        <v>Diego Garcia</v>
      </c>
      <c r="H2057" s="16">
        <f>IFERROR(__xludf.DUMMYFUNCTION("""COMPUTED_VALUE"""),10627.0)</f>
        <v>10627</v>
      </c>
      <c r="I2057" s="18">
        <f>IFERROR(__xludf.DUMMYFUNCTION("""COMPUTED_VALUE"""),100.0)</f>
        <v>100</v>
      </c>
      <c r="J2057" s="18">
        <f>IFERROR(__xludf.DUMMYFUNCTION("""COMPUTED_VALUE"""),100.0)</f>
        <v>100</v>
      </c>
      <c r="K2057" s="18">
        <f>IFERROR(__xludf.DUMMYFUNCTION("""COMPUTED_VALUE"""),100.0)</f>
        <v>100</v>
      </c>
      <c r="L2057" s="17">
        <f>IFERROR(__xludf.DUMMYFUNCTION("""COMPUTED_VALUE"""),3.152686881E9)</f>
        <v>3152686881</v>
      </c>
      <c r="M2057" s="17" t="str">
        <f>IFERROR(__xludf.DUMMYFUNCTION("""COMPUTED_VALUE"""),"#REF!")</f>
        <v>#REF!</v>
      </c>
      <c r="N2057" s="17"/>
      <c r="O2057" s="17"/>
      <c r="P2057" s="17" t="b">
        <f>IFERROR(__xludf.DUMMYFUNCTION("""COMPUTED_VALUE"""),TRUE)</f>
        <v>1</v>
      </c>
      <c r="Q2057" s="20">
        <f>IFERROR(__xludf.DUMMYFUNCTION("""COMPUTED_VALUE"""),45062.64871376158)</f>
        <v>45062.64871</v>
      </c>
      <c r="R2057" s="22" t="str">
        <f>IFERROR(__xludf.DUMMYFUNCTION("""COMPUTED_VALUE"""),"")</f>
        <v/>
      </c>
    </row>
    <row r="2058">
      <c r="A2058" s="17" t="str">
        <f>IFERROR(__xludf.DUMMYFUNCTION("""COMPUTED_VALUE"""),"")</f>
        <v/>
      </c>
      <c r="B2058" s="17" t="str">
        <f>IFERROR(__xludf.DUMMYFUNCTION("""COMPUTED_VALUE"""),"")</f>
        <v/>
      </c>
      <c r="C2058" s="17" t="str">
        <f>IFERROR(__xludf.DUMMYFUNCTION("""COMPUTED_VALUE"""),"")</f>
        <v/>
      </c>
      <c r="D2058" s="17" t="str">
        <f>IFERROR(__xludf.DUMMYFUNCTION("""COMPUTED_VALUE"""),"")</f>
        <v/>
      </c>
      <c r="E2058" s="17" t="str">
        <f>IFERROR(__xludf.DUMMYFUNCTION("""COMPUTED_VALUE"""),"")</f>
        <v/>
      </c>
      <c r="F2058" s="17" t="str">
        <f>IFERROR(__xludf.DUMMYFUNCTION("""COMPUTED_VALUE"""),"")</f>
        <v/>
      </c>
      <c r="G2058" s="17" t="str">
        <f>IFERROR(__xludf.DUMMYFUNCTION("""COMPUTED_VALUE"""),"")</f>
        <v/>
      </c>
      <c r="H2058" s="17" t="str">
        <f>IFERROR(__xludf.DUMMYFUNCTION("""COMPUTED_VALUE"""),"")</f>
        <v/>
      </c>
      <c r="I2058" s="17" t="str">
        <f>IFERROR(__xludf.DUMMYFUNCTION("""COMPUTED_VALUE"""),"")</f>
        <v/>
      </c>
      <c r="J2058" s="17" t="str">
        <f>IFERROR(__xludf.DUMMYFUNCTION("""COMPUTED_VALUE"""),"")</f>
        <v/>
      </c>
      <c r="K2058" s="17" t="str">
        <f>IFERROR(__xludf.DUMMYFUNCTION("""COMPUTED_VALUE"""),"")</f>
        <v/>
      </c>
      <c r="L2058" s="17" t="str">
        <f>IFERROR(__xludf.DUMMYFUNCTION("""COMPUTED_VALUE"""),"")</f>
        <v/>
      </c>
      <c r="M2058" s="17" t="str">
        <f>IFERROR(__xludf.DUMMYFUNCTION("""COMPUTED_VALUE"""),"")</f>
        <v/>
      </c>
      <c r="N2058" s="17" t="str">
        <f>IFERROR(__xludf.DUMMYFUNCTION("""COMPUTED_VALUE"""),"")</f>
        <v/>
      </c>
      <c r="O2058" s="17" t="str">
        <f>IFERROR(__xludf.DUMMYFUNCTION("""COMPUTED_VALUE"""),"")</f>
        <v/>
      </c>
      <c r="P2058" s="17" t="str">
        <f>IFERROR(__xludf.DUMMYFUNCTION("""COMPUTED_VALUE"""),"")</f>
        <v/>
      </c>
      <c r="Q2058" s="17" t="str">
        <f>IFERROR(__xludf.DUMMYFUNCTION("""COMPUTED_VALUE"""),"")</f>
        <v/>
      </c>
      <c r="R2058" s="17" t="str">
        <f>IFERROR(__xludf.DUMMYFUNCTION("""COMPUTED_VALUE"""),"")</f>
        <v/>
      </c>
    </row>
    <row r="2059">
      <c r="A2059" s="15">
        <f>IFERROR(__xludf.DUMMYFUNCTION("""COMPUTED_VALUE"""),45062.0)</f>
        <v>45062</v>
      </c>
      <c r="B2059" s="16" t="str">
        <f>IFERROR(__xludf.DUMMYFUNCTION("""COMPUTED_VALUE"""),"Deivi Alejandro Quintero Corrales")</f>
        <v>Deivi Alejandro Quintero Corrales</v>
      </c>
      <c r="C2059" s="15" t="str">
        <f>IFERROR(__xludf.DUMMYFUNCTION("""COMPUTED_VALUE"""),"ARMENIA")</f>
        <v>ARMENIA</v>
      </c>
      <c r="D2059" s="15" t="str">
        <f>IFERROR(__xludf.DUMMYFUNCTION("""COMPUTED_VALUE"""),"BOGOTÁ")</f>
        <v>BOGOTÁ</v>
      </c>
      <c r="E2059" s="15" t="str">
        <f>IFERROR(__xludf.DUMMYFUNCTION("""COMPUTED_VALUE"""),"Asociacion Agropecuaria Juana Maria")</f>
        <v>Asociacion Agropecuaria Juana Maria</v>
      </c>
      <c r="F2059" s="17" t="str">
        <f>IFERROR(__xludf.DUMMYFUNCTION("""COMPUTED_VALUE"""),"URBANIZACION ENTREVERDES MANZANA 8 CASA 7")</f>
        <v>URBANIZACION ENTREVERDES MANZANA 8 CASA 7</v>
      </c>
      <c r="G2059" s="15" t="str">
        <f>IFERROR(__xludf.DUMMYFUNCTION("""COMPUTED_VALUE"""),"Claudia Castillo")</f>
        <v>Claudia Castillo</v>
      </c>
      <c r="H2059" s="16">
        <f>IFERROR(__xludf.DUMMYFUNCTION("""COMPUTED_VALUE"""),10659.0)</f>
        <v>10659</v>
      </c>
      <c r="I2059" s="18">
        <f>IFERROR(__xludf.DUMMYFUNCTION("""COMPUTED_VALUE"""),21.0)</f>
        <v>21</v>
      </c>
      <c r="J2059" s="18">
        <f>IFERROR(__xludf.DUMMYFUNCTION("""COMPUTED_VALUE"""),37.0)</f>
        <v>37</v>
      </c>
      <c r="K2059" s="18">
        <f>IFERROR(__xludf.DUMMYFUNCTION("""COMPUTED_VALUE"""),30.0)</f>
        <v>30</v>
      </c>
      <c r="L2059" s="17">
        <f>IFERROR(__xludf.DUMMYFUNCTION("""COMPUTED_VALUE"""),3.20804821E9)</f>
        <v>3208048210</v>
      </c>
      <c r="M2059" s="17" t="str">
        <f>IFERROR(__xludf.DUMMYFUNCTION("""COMPUTED_VALUE"""),"#REF!")</f>
        <v>#REF!</v>
      </c>
      <c r="N2059" s="17"/>
      <c r="O2059" s="17"/>
      <c r="P2059" s="17" t="b">
        <f>IFERROR(__xludf.DUMMYFUNCTION("""COMPUTED_VALUE"""),FALSE)</f>
        <v>0</v>
      </c>
      <c r="Q2059" s="20" t="str">
        <f>IFERROR(__xludf.DUMMYFUNCTION("""COMPUTED_VALUE"""),"")</f>
        <v/>
      </c>
      <c r="R2059" s="22" t="str">
        <f>IFERROR(__xludf.DUMMYFUNCTION("""COMPUTED_VALUE"""),"")</f>
        <v/>
      </c>
    </row>
    <row r="2060">
      <c r="A2060" s="15">
        <f>IFERROR(__xludf.DUMMYFUNCTION("""COMPUTED_VALUE"""),45062.0)</f>
        <v>45062</v>
      </c>
      <c r="B2060" s="16" t="str">
        <f>IFERROR(__xludf.DUMMYFUNCTION("""COMPUTED_VALUE"""),"Deivi Alejandro Quintero Corrales")</f>
        <v>Deivi Alejandro Quintero Corrales</v>
      </c>
      <c r="C2060" s="15" t="str">
        <f>IFERROR(__xludf.DUMMYFUNCTION("""COMPUTED_VALUE"""),"ARMENIA")</f>
        <v>ARMENIA</v>
      </c>
      <c r="D2060" s="15" t="str">
        <f>IFERROR(__xludf.DUMMYFUNCTION("""COMPUTED_VALUE"""),"BOGOTÁ")</f>
        <v>BOGOTÁ</v>
      </c>
      <c r="E2060" s="15" t="str">
        <f>IFERROR(__xludf.DUMMYFUNCTION("""COMPUTED_VALUE"""),"Evamazzita")</f>
        <v>Evamazzita</v>
      </c>
      <c r="F2060" s="17" t="str">
        <f>IFERROR(__xludf.DUMMYFUNCTION("""COMPUTED_VALUE"""),"CALLE 26 No. 22-08  /  APTO 203 / SENDEROS DEL BOSQUE")</f>
        <v>CALLE 26 No. 22-08  /  APTO 203 / SENDEROS DEL BOSQUE</v>
      </c>
      <c r="G2060" s="15" t="str">
        <f>IFERROR(__xludf.DUMMYFUNCTION("""COMPUTED_VALUE"""),"DAYAN ALVAREZ GALEANO")</f>
        <v>DAYAN ALVAREZ GALEANO</v>
      </c>
      <c r="H2060" s="16">
        <f>IFERROR(__xludf.DUMMYFUNCTION("""COMPUTED_VALUE"""),10712.0)</f>
        <v>10712</v>
      </c>
      <c r="I2060" s="18">
        <f>IFERROR(__xludf.DUMMYFUNCTION("""COMPUTED_VALUE"""),5.0)</f>
        <v>5</v>
      </c>
      <c r="J2060" s="18">
        <f>IFERROR(__xludf.DUMMYFUNCTION("""COMPUTED_VALUE"""),22.0)</f>
        <v>22</v>
      </c>
      <c r="K2060" s="18">
        <f>IFERROR(__xludf.DUMMYFUNCTION("""COMPUTED_VALUE"""),15.0)</f>
        <v>15</v>
      </c>
      <c r="L2060" s="17">
        <f>IFERROR(__xludf.DUMMYFUNCTION("""COMPUTED_VALUE"""),3.177864747E9)</f>
        <v>3177864747</v>
      </c>
      <c r="M2060" s="17" t="str">
        <f>IFERROR(__xludf.DUMMYFUNCTION("""COMPUTED_VALUE"""),"#REF!")</f>
        <v>#REF!</v>
      </c>
      <c r="N2060" s="17"/>
      <c r="O2060" s="17"/>
      <c r="P2060" s="17" t="b">
        <f>IFERROR(__xludf.DUMMYFUNCTION("""COMPUTED_VALUE"""),FALSE)</f>
        <v>0</v>
      </c>
      <c r="Q2060" s="20" t="str">
        <f>IFERROR(__xludf.DUMMYFUNCTION("""COMPUTED_VALUE"""),"")</f>
        <v/>
      </c>
      <c r="R2060" s="22" t="str">
        <f>IFERROR(__xludf.DUMMYFUNCTION("""COMPUTED_VALUE"""),"")</f>
        <v/>
      </c>
    </row>
    <row r="2061">
      <c r="A2061" s="15">
        <f>IFERROR(__xludf.DUMMYFUNCTION("""COMPUTED_VALUE"""),45062.0)</f>
        <v>45062</v>
      </c>
      <c r="B2061" s="16" t="str">
        <f>IFERROR(__xludf.DUMMYFUNCTION("""COMPUTED_VALUE"""),"Deivi Alejandro Quintero Corrales")</f>
        <v>Deivi Alejandro Quintero Corrales</v>
      </c>
      <c r="C2061" s="15" t="str">
        <f>IFERROR(__xludf.DUMMYFUNCTION("""COMPUTED_VALUE"""),"PEREIRA")</f>
        <v>PEREIRA</v>
      </c>
      <c r="D2061" s="15" t="str">
        <f>IFERROR(__xludf.DUMMYFUNCTION("""COMPUTED_VALUE"""),"BOGOTÁ")</f>
        <v>BOGOTÁ</v>
      </c>
      <c r="E2061" s="15" t="str">
        <f>IFERROR(__xludf.DUMMYFUNCTION("""COMPUTED_VALUE"""),"Pan de Waffle")</f>
        <v>Pan de Waffle</v>
      </c>
      <c r="F2061" s="17" t="str">
        <f>IFERROR(__xludf.DUMMYFUNCTION("""COMPUTED_VALUE"""),"Av. De las Americas Mercasa, zp 17 Bodega 2 - Pereira / Av. De las Americas Mercasa, zp 17 Bodega 2 - Pereira / Av. De las Americas Mercasa, zp 17 Bodega 2 - Pereira")</f>
        <v>Av. De las Americas Mercasa, zp 17 Bodega 2 - Pereira / Av. De las Americas Mercasa, zp 17 Bodega 2 - Pereira / Av. De las Americas Mercasa, zp 17 Bodega 2 - Pereira</v>
      </c>
      <c r="G2061" s="15" t="str">
        <f>IFERROR(__xludf.DUMMYFUNCTION("""COMPUTED_VALUE"""),"EL ORIGEN PEREIRA")</f>
        <v>EL ORIGEN PEREIRA</v>
      </c>
      <c r="H2061" s="16">
        <f>IFERROR(__xludf.DUMMYFUNCTION("""COMPUTED_VALUE"""),10653.0)</f>
        <v>10653</v>
      </c>
      <c r="I2061" s="18">
        <f>IFERROR(__xludf.DUMMYFUNCTION("""COMPUTED_VALUE"""),40.0)</f>
        <v>40</v>
      </c>
      <c r="J2061" s="18">
        <f>IFERROR(__xludf.DUMMYFUNCTION("""COMPUTED_VALUE"""),30.0)</f>
        <v>30</v>
      </c>
      <c r="K2061" s="18">
        <f>IFERROR(__xludf.DUMMYFUNCTION("""COMPUTED_VALUE"""),40.0)</f>
        <v>40</v>
      </c>
      <c r="L2061" s="17">
        <f>IFERROR(__xludf.DUMMYFUNCTION("""COMPUTED_VALUE"""),3.184341572E9)</f>
        <v>3184341572</v>
      </c>
      <c r="M2061" s="17" t="str">
        <f>IFERROR(__xludf.DUMMYFUNCTION("""COMPUTED_VALUE"""),"#REF!")</f>
        <v>#REF!</v>
      </c>
      <c r="N2061" s="17"/>
      <c r="O2061" s="17"/>
      <c r="P2061" s="17" t="b">
        <f>IFERROR(__xludf.DUMMYFUNCTION("""COMPUTED_VALUE"""),FALSE)</f>
        <v>0</v>
      </c>
      <c r="Q2061" s="20" t="str">
        <f>IFERROR(__xludf.DUMMYFUNCTION("""COMPUTED_VALUE"""),"")</f>
        <v/>
      </c>
      <c r="R2061" s="22" t="str">
        <f>IFERROR(__xludf.DUMMYFUNCTION("""COMPUTED_VALUE"""),"")</f>
        <v/>
      </c>
    </row>
    <row r="2062">
      <c r="A2062" s="15">
        <f>IFERROR(__xludf.DUMMYFUNCTION("""COMPUTED_VALUE"""),45062.0)</f>
        <v>45062</v>
      </c>
      <c r="B2062" s="16" t="str">
        <f>IFERROR(__xludf.DUMMYFUNCTION("""COMPUTED_VALUE"""),"Deivi Alejandro Quintero Corrales")</f>
        <v>Deivi Alejandro Quintero Corrales</v>
      </c>
      <c r="C2062" s="15" t="str">
        <f>IFERROR(__xludf.DUMMYFUNCTION("""COMPUTED_VALUE"""),"PEREIRA")</f>
        <v>PEREIRA</v>
      </c>
      <c r="D2062" s="15" t="str">
        <f>IFERROR(__xludf.DUMMYFUNCTION("""COMPUTED_VALUE"""),"BOGOTÁ")</f>
        <v>BOGOTÁ</v>
      </c>
      <c r="E2062" s="15" t="str">
        <f>IFERROR(__xludf.DUMMYFUNCTION("""COMPUTED_VALUE"""),"Pan de Waffle")</f>
        <v>Pan de Waffle</v>
      </c>
      <c r="F2062" s="17" t="str">
        <f>IFERROR(__xludf.DUMMYFUNCTION("""COMPUTED_VALUE"""),"Carrera 14 # 12 - 55 / Carrera 14 # 12 - 55 / Carrera 14 # 12 - 55")</f>
        <v>Carrera 14 # 12 - 55 / Carrera 14 # 12 - 55 / Carrera 14 # 12 - 55</v>
      </c>
      <c r="G2062" s="15" t="str">
        <f>IFERROR(__xludf.DUMMYFUNCTION("""COMPUTED_VALUE"""),"VITA ECO PEREIRA")</f>
        <v>VITA ECO PEREIRA</v>
      </c>
      <c r="H2062" s="16">
        <f>IFERROR(__xludf.DUMMYFUNCTION("""COMPUTED_VALUE"""),10655.0)</f>
        <v>10655</v>
      </c>
      <c r="I2062" s="18">
        <f>IFERROR(__xludf.DUMMYFUNCTION("""COMPUTED_VALUE"""),40.0)</f>
        <v>40</v>
      </c>
      <c r="J2062" s="18">
        <f>IFERROR(__xludf.DUMMYFUNCTION("""COMPUTED_VALUE"""),40.0)</f>
        <v>40</v>
      </c>
      <c r="K2062" s="18">
        <f>IFERROR(__xludf.DUMMYFUNCTION("""COMPUTED_VALUE"""),30.0)</f>
        <v>30</v>
      </c>
      <c r="L2062" s="17">
        <f>IFERROR(__xludf.DUMMYFUNCTION("""COMPUTED_VALUE"""),3.215501948E9)</f>
        <v>3215501948</v>
      </c>
      <c r="M2062" s="17" t="str">
        <f>IFERROR(__xludf.DUMMYFUNCTION("""COMPUTED_VALUE"""),"#REF!")</f>
        <v>#REF!</v>
      </c>
      <c r="N2062" s="17"/>
      <c r="O2062" s="17"/>
      <c r="P2062" s="17" t="b">
        <f>IFERROR(__xludf.DUMMYFUNCTION("""COMPUTED_VALUE"""),FALSE)</f>
        <v>0</v>
      </c>
      <c r="Q2062" s="20" t="str">
        <f>IFERROR(__xludf.DUMMYFUNCTION("""COMPUTED_VALUE"""),"")</f>
        <v/>
      </c>
      <c r="R2062" s="22" t="str">
        <f>IFERROR(__xludf.DUMMYFUNCTION("""COMPUTED_VALUE"""),"")</f>
        <v/>
      </c>
    </row>
    <row r="2063">
      <c r="A2063" s="15">
        <f>IFERROR(__xludf.DUMMYFUNCTION("""COMPUTED_VALUE"""),45062.0)</f>
        <v>45062</v>
      </c>
      <c r="B2063" s="16" t="str">
        <f>IFERROR(__xludf.DUMMYFUNCTION("""COMPUTED_VALUE"""),"Deivi Alejandro Quintero Corrales")</f>
        <v>Deivi Alejandro Quintero Corrales</v>
      </c>
      <c r="C2063" s="15" t="str">
        <f>IFERROR(__xludf.DUMMYFUNCTION("""COMPUTED_VALUE"""),"PEREIRA")</f>
        <v>PEREIRA</v>
      </c>
      <c r="D2063" s="15" t="str">
        <f>IFERROR(__xludf.DUMMYFUNCTION("""COMPUTED_VALUE"""),"MEDELLÍN")</f>
        <v>MEDELLÍN</v>
      </c>
      <c r="E2063" s="15" t="str">
        <f>IFERROR(__xludf.DUMMYFUNCTION("""COMPUTED_VALUE"""),"AREPAS LA MARY")</f>
        <v>AREPAS LA MARY</v>
      </c>
      <c r="F2063" s="17" t="str">
        <f>IFERROR(__xludf.DUMMYFUNCTION("""COMPUTED_VALUE"""),"CALLE 14 # 14-15")</f>
        <v>CALLE 14 # 14-15</v>
      </c>
      <c r="G2063" s="15" t="str">
        <f>IFERROR(__xludf.DUMMYFUNCTION("""COMPUTED_VALUE"""),"MAJANA FIT TIENDA 1")</f>
        <v>MAJANA FIT TIENDA 1</v>
      </c>
      <c r="H2063" s="16">
        <f>IFERROR(__xludf.DUMMYFUNCTION("""COMPUTED_VALUE"""),10738.0)</f>
        <v>10738</v>
      </c>
      <c r="I2063" s="18">
        <f>IFERROR(__xludf.DUMMYFUNCTION("""COMPUTED_VALUE"""),89.0)</f>
        <v>89</v>
      </c>
      <c r="J2063" s="18">
        <f>IFERROR(__xludf.DUMMYFUNCTION("""COMPUTED_VALUE"""),1.0)</f>
        <v>1</v>
      </c>
      <c r="K2063" s="18">
        <f>IFERROR(__xludf.DUMMYFUNCTION("""COMPUTED_VALUE"""),10.0)</f>
        <v>10</v>
      </c>
      <c r="L2063" s="17" t="str">
        <f>IFERROR(__xludf.DUMMYFUNCTION("""COMPUTED_VALUE"""),"311 6123447")</f>
        <v>311 6123447</v>
      </c>
      <c r="M2063" s="17" t="str">
        <f>IFERROR(__xludf.DUMMYFUNCTION("""COMPUTED_VALUE"""),"#REF!")</f>
        <v>#REF!</v>
      </c>
      <c r="N2063" s="17"/>
      <c r="O2063" s="17"/>
      <c r="P2063" s="17" t="b">
        <f>IFERROR(__xludf.DUMMYFUNCTION("""COMPUTED_VALUE"""),FALSE)</f>
        <v>0</v>
      </c>
      <c r="Q2063" s="20" t="str">
        <f>IFERROR(__xludf.DUMMYFUNCTION("""COMPUTED_VALUE"""),"")</f>
        <v/>
      </c>
      <c r="R2063" s="22" t="str">
        <f>IFERROR(__xludf.DUMMYFUNCTION("""COMPUTED_VALUE"""),"")</f>
        <v/>
      </c>
    </row>
    <row r="2064">
      <c r="A2064" s="15">
        <f>IFERROR(__xludf.DUMMYFUNCTION("""COMPUTED_VALUE"""),45062.0)</f>
        <v>45062</v>
      </c>
      <c r="B2064" s="16" t="str">
        <f>IFERROR(__xludf.DUMMYFUNCTION("""COMPUTED_VALUE"""),"Deivi Alejandro Quintero Corrales")</f>
        <v>Deivi Alejandro Quintero Corrales</v>
      </c>
      <c r="C2064" s="15" t="str">
        <f>IFERROR(__xludf.DUMMYFUNCTION("""COMPUTED_VALUE"""),"PEREIRA")</f>
        <v>PEREIRA</v>
      </c>
      <c r="D2064" s="15" t="str">
        <f>IFERROR(__xludf.DUMMYFUNCTION("""COMPUTED_VALUE"""),"MEDELLÍN")</f>
        <v>MEDELLÍN</v>
      </c>
      <c r="E2064" s="15" t="str">
        <f>IFERROR(__xludf.DUMMYFUNCTION("""COMPUTED_VALUE"""),"Rambla")</f>
        <v>Rambla</v>
      </c>
      <c r="F2064" s="17" t="str">
        <f>IFERROR(__xludf.DUMMYFUNCTION("""COMPUTED_VALUE"""),"CARRERA 14 -12-55 / NA / NA")</f>
        <v>CARRERA 14 -12-55 / NA / NA</v>
      </c>
      <c r="G2064" s="15" t="str">
        <f>IFERROR(__xludf.DUMMYFUNCTION("""COMPUTED_VALUE"""),"Vita eco")</f>
        <v>Vita eco</v>
      </c>
      <c r="H2064" s="16">
        <f>IFERROR(__xludf.DUMMYFUNCTION("""COMPUTED_VALUE"""),10759.0)</f>
        <v>10759</v>
      </c>
      <c r="I2064" s="18">
        <f>IFERROR(__xludf.DUMMYFUNCTION("""COMPUTED_VALUE"""),30.0)</f>
        <v>30</v>
      </c>
      <c r="J2064" s="18">
        <f>IFERROR(__xludf.DUMMYFUNCTION("""COMPUTED_VALUE"""),32.0)</f>
        <v>32</v>
      </c>
      <c r="K2064" s="18">
        <f>IFERROR(__xludf.DUMMYFUNCTION("""COMPUTED_VALUE"""),35.0)</f>
        <v>35</v>
      </c>
      <c r="L2064" s="17">
        <f>IFERROR(__xludf.DUMMYFUNCTION("""COMPUTED_VALUE"""),3.215501948E9)</f>
        <v>3215501948</v>
      </c>
      <c r="M2064" s="17" t="str">
        <f>IFERROR(__xludf.DUMMYFUNCTION("""COMPUTED_VALUE"""),"#REF!")</f>
        <v>#REF!</v>
      </c>
      <c r="N2064" s="17"/>
      <c r="O2064" s="17"/>
      <c r="P2064" s="17" t="b">
        <f>IFERROR(__xludf.DUMMYFUNCTION("""COMPUTED_VALUE"""),TRUE)</f>
        <v>1</v>
      </c>
      <c r="Q2064" s="20">
        <f>IFERROR(__xludf.DUMMYFUNCTION("""COMPUTED_VALUE"""),45062.65209004629)</f>
        <v>45062.65209</v>
      </c>
      <c r="R2064" s="22" t="str">
        <f>IFERROR(__xludf.DUMMYFUNCTION("""COMPUTED_VALUE"""),"")</f>
        <v/>
      </c>
    </row>
    <row r="2065">
      <c r="A2065" s="15">
        <f>IFERROR(__xludf.DUMMYFUNCTION("""COMPUTED_VALUE"""),45062.0)</f>
        <v>45062</v>
      </c>
      <c r="B2065" s="16" t="str">
        <f>IFERROR(__xludf.DUMMYFUNCTION("""COMPUTED_VALUE"""),"Deivi Alejandro Quintero Corrales")</f>
        <v>Deivi Alejandro Quintero Corrales</v>
      </c>
      <c r="C2065" s="15" t="str">
        <f>IFERROR(__xludf.DUMMYFUNCTION("""COMPUTED_VALUE"""),"PEREIRA")</f>
        <v>PEREIRA</v>
      </c>
      <c r="D2065" s="15" t="str">
        <f>IFERROR(__xludf.DUMMYFUNCTION("""COMPUTED_VALUE"""),"MEDELLÍN")</f>
        <v>MEDELLÍN</v>
      </c>
      <c r="E2065" s="15" t="str">
        <f>IFERROR(__xludf.DUMMYFUNCTION("""COMPUTED_VALUE"""),"Rambla")</f>
        <v>Rambla</v>
      </c>
      <c r="F2065" s="17" t="str">
        <f>IFERROR(__xludf.DUMMYFUNCTION("""COMPUTED_VALUE"""),"Cra 23 14 148 Trilogia apto 1505 torre1 -  Pereira. / NA / NA")</f>
        <v>Cra 23 14 148 Trilogia apto 1505 torre1 -  Pereira. / NA / NA</v>
      </c>
      <c r="G2065" s="15" t="str">
        <f>IFERROR(__xludf.DUMMYFUNCTION("""COMPUTED_VALUE"""),"Nutrishop")</f>
        <v>Nutrishop</v>
      </c>
      <c r="H2065" s="16">
        <f>IFERROR(__xludf.DUMMYFUNCTION("""COMPUTED_VALUE"""),10760.0)</f>
        <v>10760</v>
      </c>
      <c r="I2065" s="18">
        <f>IFERROR(__xludf.DUMMYFUNCTION("""COMPUTED_VALUE"""),22.0)</f>
        <v>22</v>
      </c>
      <c r="J2065" s="18">
        <f>IFERROR(__xludf.DUMMYFUNCTION("""COMPUTED_VALUE"""),25.0)</f>
        <v>25</v>
      </c>
      <c r="K2065" s="18">
        <f>IFERROR(__xludf.DUMMYFUNCTION("""COMPUTED_VALUE"""),28.0)</f>
        <v>28</v>
      </c>
      <c r="L2065" s="17">
        <f>IFERROR(__xludf.DUMMYFUNCTION("""COMPUTED_VALUE"""),3.10379892E9)</f>
        <v>3103798920</v>
      </c>
      <c r="M2065" s="17" t="str">
        <f>IFERROR(__xludf.DUMMYFUNCTION("""COMPUTED_VALUE"""),"#REF!")</f>
        <v>#REF!</v>
      </c>
      <c r="N2065" s="17"/>
      <c r="O2065" s="17"/>
      <c r="P2065" s="17" t="b">
        <f>IFERROR(__xludf.DUMMYFUNCTION("""COMPUTED_VALUE"""),FALSE)</f>
        <v>0</v>
      </c>
      <c r="Q2065" s="20" t="str">
        <f>IFERROR(__xludf.DUMMYFUNCTION("""COMPUTED_VALUE"""),"")</f>
        <v/>
      </c>
      <c r="R2065" s="22" t="str">
        <f>IFERROR(__xludf.DUMMYFUNCTION("""COMPUTED_VALUE"""),"")</f>
        <v/>
      </c>
    </row>
    <row r="2066">
      <c r="A2066" s="17" t="str">
        <f>IFERROR(__xludf.DUMMYFUNCTION("""COMPUTED_VALUE"""),"")</f>
        <v/>
      </c>
      <c r="B2066" s="17" t="str">
        <f>IFERROR(__xludf.DUMMYFUNCTION("""COMPUTED_VALUE"""),"")</f>
        <v/>
      </c>
      <c r="C2066" s="17" t="str">
        <f>IFERROR(__xludf.DUMMYFUNCTION("""COMPUTED_VALUE"""),"")</f>
        <v/>
      </c>
      <c r="D2066" s="17" t="str">
        <f>IFERROR(__xludf.DUMMYFUNCTION("""COMPUTED_VALUE"""),"")</f>
        <v/>
      </c>
      <c r="E2066" s="17" t="str">
        <f>IFERROR(__xludf.DUMMYFUNCTION("""COMPUTED_VALUE"""),"")</f>
        <v/>
      </c>
      <c r="F2066" s="17" t="str">
        <f>IFERROR(__xludf.DUMMYFUNCTION("""COMPUTED_VALUE"""),"")</f>
        <v/>
      </c>
      <c r="G2066" s="17" t="str">
        <f>IFERROR(__xludf.DUMMYFUNCTION("""COMPUTED_VALUE"""),"")</f>
        <v/>
      </c>
      <c r="H2066" s="17" t="str">
        <f>IFERROR(__xludf.DUMMYFUNCTION("""COMPUTED_VALUE"""),"")</f>
        <v/>
      </c>
      <c r="I2066" s="17" t="str">
        <f>IFERROR(__xludf.DUMMYFUNCTION("""COMPUTED_VALUE"""),"")</f>
        <v/>
      </c>
      <c r="J2066" s="17" t="str">
        <f>IFERROR(__xludf.DUMMYFUNCTION("""COMPUTED_VALUE"""),"")</f>
        <v/>
      </c>
      <c r="K2066" s="17" t="str">
        <f>IFERROR(__xludf.DUMMYFUNCTION("""COMPUTED_VALUE"""),"")</f>
        <v/>
      </c>
      <c r="L2066" s="17" t="str">
        <f>IFERROR(__xludf.DUMMYFUNCTION("""COMPUTED_VALUE"""),"")</f>
        <v/>
      </c>
      <c r="M2066" s="17" t="str">
        <f>IFERROR(__xludf.DUMMYFUNCTION("""COMPUTED_VALUE"""),"")</f>
        <v/>
      </c>
      <c r="N2066" s="17" t="str">
        <f>IFERROR(__xludf.DUMMYFUNCTION("""COMPUTED_VALUE"""),"")</f>
        <v/>
      </c>
      <c r="O2066" s="17" t="str">
        <f>IFERROR(__xludf.DUMMYFUNCTION("""COMPUTED_VALUE"""),"")</f>
        <v/>
      </c>
      <c r="P2066" s="17" t="str">
        <f>IFERROR(__xludf.DUMMYFUNCTION("""COMPUTED_VALUE"""),"")</f>
        <v/>
      </c>
      <c r="Q2066" s="17" t="str">
        <f>IFERROR(__xludf.DUMMYFUNCTION("""COMPUTED_VALUE"""),"")</f>
        <v/>
      </c>
      <c r="R2066" s="17" t="str">
        <f>IFERROR(__xludf.DUMMYFUNCTION("""COMPUTED_VALUE"""),"")</f>
        <v/>
      </c>
    </row>
    <row r="2067">
      <c r="A2067" s="15">
        <f>IFERROR(__xludf.DUMMYFUNCTION("""COMPUTED_VALUE"""),45062.0)</f>
        <v>45062</v>
      </c>
      <c r="B2067" s="16" t="str">
        <f>IFERROR(__xludf.DUMMYFUNCTION("""COMPUTED_VALUE"""),"Duvan Gabriel Alvarez Giron")</f>
        <v>Duvan Gabriel Alvarez Giron</v>
      </c>
      <c r="C2067" s="15" t="str">
        <f>IFERROR(__xludf.DUMMYFUNCTION("""COMPUTED_VALUE"""),"FLORIDABLANCA")</f>
        <v>FLORIDABLANCA</v>
      </c>
      <c r="D2067" s="15" t="str">
        <f>IFERROR(__xludf.DUMMYFUNCTION("""COMPUTED_VALUE"""),"MEDELLÍN")</f>
        <v>MEDELLÍN</v>
      </c>
      <c r="E2067" s="15" t="str">
        <f>IFERROR(__xludf.DUMMYFUNCTION("""COMPUTED_VALUE"""),"AREPAS LA MARY")</f>
        <v>AREPAS LA MARY</v>
      </c>
      <c r="F2067" s="17" t="str">
        <f>IFERROR(__xludf.DUMMYFUNCTION("""COMPUTED_VALUE"""),"carrera 21 # 26 -83 / conjunto torres del club apto 903")</f>
        <v>carrera 21 # 26 -83 / conjunto torres del club apto 903</v>
      </c>
      <c r="G2067" s="15" t="str">
        <f>IFERROR(__xludf.DUMMYFUNCTION("""COMPUTED_VALUE"""),"DIANA ORTEGA")</f>
        <v>DIANA ORTEGA</v>
      </c>
      <c r="H2067" s="16">
        <f>IFERROR(__xludf.DUMMYFUNCTION("""COMPUTED_VALUE"""),10737.0)</f>
        <v>10737</v>
      </c>
      <c r="I2067" s="18">
        <f>IFERROR(__xludf.DUMMYFUNCTION("""COMPUTED_VALUE"""),89.0)</f>
        <v>89</v>
      </c>
      <c r="J2067" s="18">
        <f>IFERROR(__xludf.DUMMYFUNCTION("""COMPUTED_VALUE"""),1.0)</f>
        <v>1</v>
      </c>
      <c r="K2067" s="18">
        <f>IFERROR(__xludf.DUMMYFUNCTION("""COMPUTED_VALUE"""),10.0)</f>
        <v>10</v>
      </c>
      <c r="L2067" s="17">
        <f>IFERROR(__xludf.DUMMYFUNCTION("""COMPUTED_VALUE"""),3.183455498E9)</f>
        <v>3183455498</v>
      </c>
      <c r="M2067" s="17" t="str">
        <f>IFERROR(__xludf.DUMMYFUNCTION("""COMPUTED_VALUE"""),"#REF!")</f>
        <v>#REF!</v>
      </c>
      <c r="N2067" s="17"/>
      <c r="O2067" s="17"/>
      <c r="P2067" s="17" t="b">
        <f>IFERROR(__xludf.DUMMYFUNCTION("""COMPUTED_VALUE"""),TRUE)</f>
        <v>1</v>
      </c>
      <c r="Q2067" s="20">
        <f>IFERROR(__xludf.DUMMYFUNCTION("""COMPUTED_VALUE"""),45062.65210665509)</f>
        <v>45062.65211</v>
      </c>
      <c r="R2067" s="22" t="str">
        <f>IFERROR(__xludf.DUMMYFUNCTION("""COMPUTED_VALUE"""),"")</f>
        <v/>
      </c>
    </row>
    <row r="2068">
      <c r="A2068" s="15">
        <f>IFERROR(__xludf.DUMMYFUNCTION("""COMPUTED_VALUE"""),45062.0)</f>
        <v>45062</v>
      </c>
      <c r="B2068" s="16" t="str">
        <f>IFERROR(__xludf.DUMMYFUNCTION("""COMPUTED_VALUE"""),"Duvan Gabriel Alvarez Giron")</f>
        <v>Duvan Gabriel Alvarez Giron</v>
      </c>
      <c r="C2068" s="15" t="str">
        <f>IFERROR(__xludf.DUMMYFUNCTION("""COMPUTED_VALUE"""),"IBAGUÉ")</f>
        <v>IBAGUÉ</v>
      </c>
      <c r="D2068" s="15" t="str">
        <f>IFERROR(__xludf.DUMMYFUNCTION("""COMPUTED_VALUE"""),"BOGOTÁ")</f>
        <v>BOGOTÁ</v>
      </c>
      <c r="E2068" s="15" t="str">
        <f>IFERROR(__xludf.DUMMYFUNCTION("""COMPUTED_VALUE"""),"Asociacion Agropecuaria Juana Maria")</f>
        <v>Asociacion Agropecuaria Juana Maria</v>
      </c>
      <c r="F2068" s="17" t="str">
        <f>IFERROR(__xludf.DUMMYFUNCTION("""COMPUTED_VALUE"""),"Calle 93 # 7 Sur-90 torre 8 apto 102 Conjunto Residencial Altagracia")</f>
        <v>Calle 93 # 7 Sur-90 torre 8 apto 102 Conjunto Residencial Altagracia</v>
      </c>
      <c r="G2068" s="15" t="str">
        <f>IFERROR(__xludf.DUMMYFUNCTION("""COMPUTED_VALUE"""),"Mariam Yasmin Murillo Rubio")</f>
        <v>Mariam Yasmin Murillo Rubio</v>
      </c>
      <c r="H2068" s="16">
        <f>IFERROR(__xludf.DUMMYFUNCTION("""COMPUTED_VALUE"""),10662.0)</f>
        <v>10662</v>
      </c>
      <c r="I2068" s="18">
        <f>IFERROR(__xludf.DUMMYFUNCTION("""COMPUTED_VALUE"""),16.0)</f>
        <v>16</v>
      </c>
      <c r="J2068" s="18">
        <f>IFERROR(__xludf.DUMMYFUNCTION("""COMPUTED_VALUE"""),34.0)</f>
        <v>34</v>
      </c>
      <c r="K2068" s="18">
        <f>IFERROR(__xludf.DUMMYFUNCTION("""COMPUTED_VALUE"""),25.0)</f>
        <v>25</v>
      </c>
      <c r="L2068" s="17">
        <f>IFERROR(__xludf.DUMMYFUNCTION("""COMPUTED_VALUE"""),3.105789664E9)</f>
        <v>3105789664</v>
      </c>
      <c r="M2068" s="17" t="str">
        <f>IFERROR(__xludf.DUMMYFUNCTION("""COMPUTED_VALUE"""),"#REF!")</f>
        <v>#REF!</v>
      </c>
      <c r="N2068" s="17"/>
      <c r="O2068" s="17"/>
      <c r="P2068" s="17" t="b">
        <f>IFERROR(__xludf.DUMMYFUNCTION("""COMPUTED_VALUE"""),FALSE)</f>
        <v>0</v>
      </c>
      <c r="Q2068" s="20" t="str">
        <f>IFERROR(__xludf.DUMMYFUNCTION("""COMPUTED_VALUE"""),"")</f>
        <v/>
      </c>
      <c r="R2068" s="22" t="str">
        <f>IFERROR(__xludf.DUMMYFUNCTION("""COMPUTED_VALUE"""),"")</f>
        <v/>
      </c>
    </row>
    <row r="2069">
      <c r="A2069" s="15">
        <f>IFERROR(__xludf.DUMMYFUNCTION("""COMPUTED_VALUE"""),45062.0)</f>
        <v>45062</v>
      </c>
      <c r="B2069" s="16" t="str">
        <f>IFERROR(__xludf.DUMMYFUNCTION("""COMPUTED_VALUE"""),"Duvan Gabriel Alvarez Giron")</f>
        <v>Duvan Gabriel Alvarez Giron</v>
      </c>
      <c r="C2069" s="15" t="str">
        <f>IFERROR(__xludf.DUMMYFUNCTION("""COMPUTED_VALUE"""),"IBAGUÉ")</f>
        <v>IBAGUÉ</v>
      </c>
      <c r="D2069" s="15" t="str">
        <f>IFERROR(__xludf.DUMMYFUNCTION("""COMPUTED_VALUE"""),"BOGOTÁ")</f>
        <v>BOGOTÁ</v>
      </c>
      <c r="E2069" s="15" t="str">
        <f>IFERROR(__xludf.DUMMYFUNCTION("""COMPUTED_VALUE"""),"Evamazzita")</f>
        <v>Evamazzita</v>
      </c>
      <c r="F2069" s="17" t="str">
        <f>IFERROR(__xludf.DUMMYFUNCTION("""COMPUTED_VALUE"""),"CARRERA 11 A # 35 - 62 / N/A / BARRIO GAITÁN PARTE ALTA")</f>
        <v>CARRERA 11 A # 35 - 62 / N/A / BARRIO GAITÁN PARTE ALTA</v>
      </c>
      <c r="G2069" s="15" t="str">
        <f>IFERROR(__xludf.DUMMYFUNCTION("""COMPUTED_VALUE"""),"JORGE BERNARDO TORRES")</f>
        <v>JORGE BERNARDO TORRES</v>
      </c>
      <c r="H2069" s="16">
        <f>IFERROR(__xludf.DUMMYFUNCTION("""COMPUTED_VALUE"""),10721.0)</f>
        <v>10721</v>
      </c>
      <c r="I2069" s="18">
        <f>IFERROR(__xludf.DUMMYFUNCTION("""COMPUTED_VALUE"""),10.0)</f>
        <v>10</v>
      </c>
      <c r="J2069" s="18">
        <f>IFERROR(__xludf.DUMMYFUNCTION("""COMPUTED_VALUE"""),23.0)</f>
        <v>23</v>
      </c>
      <c r="K2069" s="18">
        <f>IFERROR(__xludf.DUMMYFUNCTION("""COMPUTED_VALUE"""),14.0)</f>
        <v>14</v>
      </c>
      <c r="L2069" s="17">
        <f>IFERROR(__xludf.DUMMYFUNCTION("""COMPUTED_VALUE"""),3.144530156E9)</f>
        <v>3144530156</v>
      </c>
      <c r="M2069" s="17" t="str">
        <f>IFERROR(__xludf.DUMMYFUNCTION("""COMPUTED_VALUE"""),"#REF!")</f>
        <v>#REF!</v>
      </c>
      <c r="N2069" s="17"/>
      <c r="O2069" s="17"/>
      <c r="P2069" s="17" t="b">
        <f>IFERROR(__xludf.DUMMYFUNCTION("""COMPUTED_VALUE"""),TRUE)</f>
        <v>1</v>
      </c>
      <c r="Q2069" s="20">
        <f>IFERROR(__xludf.DUMMYFUNCTION("""COMPUTED_VALUE"""),45062.65807627315)</f>
        <v>45062.65808</v>
      </c>
      <c r="R2069" s="22" t="str">
        <f>IFERROR(__xludf.DUMMYFUNCTION("""COMPUTED_VALUE"""),"")</f>
        <v/>
      </c>
    </row>
    <row r="2070">
      <c r="A2070" s="15">
        <f>IFERROR(__xludf.DUMMYFUNCTION("""COMPUTED_VALUE"""),45062.0)</f>
        <v>45062</v>
      </c>
      <c r="B2070" s="16" t="str">
        <f>IFERROR(__xludf.DUMMYFUNCTION("""COMPUTED_VALUE"""),"Duvan Gabriel Alvarez Giron")</f>
        <v>Duvan Gabriel Alvarez Giron</v>
      </c>
      <c r="C2070" s="15" t="str">
        <f>IFERROR(__xludf.DUMMYFUNCTION("""COMPUTED_VALUE"""),"PIEDECUESTA")</f>
        <v>PIEDECUESTA</v>
      </c>
      <c r="D2070" s="15" t="str">
        <f>IFERROR(__xludf.DUMMYFUNCTION("""COMPUTED_VALUE"""),"BOGOTÁ")</f>
        <v>BOGOTÁ</v>
      </c>
      <c r="E2070" s="15" t="str">
        <f>IFERROR(__xludf.DUMMYFUNCTION("""COMPUTED_VALUE"""),"Ins. Alimento Vital")</f>
        <v>Ins. Alimento Vital</v>
      </c>
      <c r="F2070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2070" s="15" t="str">
        <f>IFERROR(__xludf.DUMMYFUNCTION("""COMPUTED_VALUE"""),"LORENA GRANADOS BARCO")</f>
        <v>LORENA GRANADOS BARCO</v>
      </c>
      <c r="H2070" s="16">
        <f>IFERROR(__xludf.DUMMYFUNCTION("""COMPUTED_VALUE"""),10709.0)</f>
        <v>10709</v>
      </c>
      <c r="I2070" s="18">
        <f>IFERROR(__xludf.DUMMYFUNCTION("""COMPUTED_VALUE"""),1.0)</f>
        <v>1</v>
      </c>
      <c r="J2070" s="18">
        <f>IFERROR(__xludf.DUMMYFUNCTION("""COMPUTED_VALUE"""),1.0)</f>
        <v>1</v>
      </c>
      <c r="K2070" s="18">
        <f>IFERROR(__xludf.DUMMYFUNCTION("""COMPUTED_VALUE"""),1.0)</f>
        <v>1</v>
      </c>
      <c r="L2070" s="17">
        <f>IFERROR(__xludf.DUMMYFUNCTION("""COMPUTED_VALUE"""),3.003286319E9)</f>
        <v>3003286319</v>
      </c>
      <c r="M2070" s="17" t="str">
        <f>IFERROR(__xludf.DUMMYFUNCTION("""COMPUTED_VALUE"""),"#REF!")</f>
        <v>#REF!</v>
      </c>
      <c r="N2070" s="17"/>
      <c r="O2070" s="17"/>
      <c r="P2070" s="17" t="b">
        <f>IFERROR(__xludf.DUMMYFUNCTION("""COMPUTED_VALUE"""),TRUE)</f>
        <v>1</v>
      </c>
      <c r="Q2070" s="20">
        <f>IFERROR(__xludf.DUMMYFUNCTION("""COMPUTED_VALUE"""),45062.64871376158)</f>
        <v>45062.64871</v>
      </c>
      <c r="R2070" s="22" t="str">
        <f>IFERROR(__xludf.DUMMYFUNCTION("""COMPUTED_VALUE"""),"")</f>
        <v/>
      </c>
    </row>
    <row r="2071">
      <c r="A2071" s="17" t="str">
        <f>IFERROR(__xludf.DUMMYFUNCTION("""COMPUTED_VALUE"""),"")</f>
        <v/>
      </c>
      <c r="B2071" s="17" t="str">
        <f>IFERROR(__xludf.DUMMYFUNCTION("""COMPUTED_VALUE"""),"")</f>
        <v/>
      </c>
      <c r="C2071" s="17" t="str">
        <f>IFERROR(__xludf.DUMMYFUNCTION("""COMPUTED_VALUE"""),"")</f>
        <v/>
      </c>
      <c r="D2071" s="17" t="str">
        <f>IFERROR(__xludf.DUMMYFUNCTION("""COMPUTED_VALUE"""),"")</f>
        <v/>
      </c>
      <c r="E2071" s="17" t="str">
        <f>IFERROR(__xludf.DUMMYFUNCTION("""COMPUTED_VALUE"""),"")</f>
        <v/>
      </c>
      <c r="F2071" s="17" t="str">
        <f>IFERROR(__xludf.DUMMYFUNCTION("""COMPUTED_VALUE"""),"")</f>
        <v/>
      </c>
      <c r="G2071" s="17" t="str">
        <f>IFERROR(__xludf.DUMMYFUNCTION("""COMPUTED_VALUE"""),"")</f>
        <v/>
      </c>
      <c r="H2071" s="17" t="str">
        <f>IFERROR(__xludf.DUMMYFUNCTION("""COMPUTED_VALUE"""),"")</f>
        <v/>
      </c>
      <c r="I2071" s="17" t="str">
        <f>IFERROR(__xludf.DUMMYFUNCTION("""COMPUTED_VALUE"""),"")</f>
        <v/>
      </c>
      <c r="J2071" s="17" t="str">
        <f>IFERROR(__xludf.DUMMYFUNCTION("""COMPUTED_VALUE"""),"")</f>
        <v/>
      </c>
      <c r="K2071" s="17" t="str">
        <f>IFERROR(__xludf.DUMMYFUNCTION("""COMPUTED_VALUE"""),"")</f>
        <v/>
      </c>
      <c r="L2071" s="17" t="str">
        <f>IFERROR(__xludf.DUMMYFUNCTION("""COMPUTED_VALUE"""),"")</f>
        <v/>
      </c>
      <c r="M2071" s="17" t="str">
        <f>IFERROR(__xludf.DUMMYFUNCTION("""COMPUTED_VALUE"""),"")</f>
        <v/>
      </c>
      <c r="N2071" s="17" t="str">
        <f>IFERROR(__xludf.DUMMYFUNCTION("""COMPUTED_VALUE"""),"")</f>
        <v/>
      </c>
      <c r="O2071" s="17" t="str">
        <f>IFERROR(__xludf.DUMMYFUNCTION("""COMPUTED_VALUE"""),"")</f>
        <v/>
      </c>
      <c r="P2071" s="17" t="str">
        <f>IFERROR(__xludf.DUMMYFUNCTION("""COMPUTED_VALUE"""),"")</f>
        <v/>
      </c>
      <c r="Q2071" s="17" t="str">
        <f>IFERROR(__xludf.DUMMYFUNCTION("""COMPUTED_VALUE"""),"")</f>
        <v/>
      </c>
      <c r="R2071" s="17" t="str">
        <f>IFERROR(__xludf.DUMMYFUNCTION("""COMPUTED_VALUE"""),"")</f>
        <v/>
      </c>
    </row>
    <row r="2072">
      <c r="A2072" s="15">
        <f>IFERROR(__xludf.DUMMYFUNCTION("""COMPUTED_VALUE"""),45062.0)</f>
        <v>45062</v>
      </c>
      <c r="B2072" s="16" t="str">
        <f>IFERROR(__xludf.DUMMYFUNCTION("""COMPUTED_VALUE"""),"Envia")</f>
        <v>Envia</v>
      </c>
      <c r="C2072" s="15" t="str">
        <f>IFERROR(__xludf.DUMMYFUNCTION("""COMPUTED_VALUE"""),"BOGOTÁ")</f>
        <v>BOGOTÁ</v>
      </c>
      <c r="D2072" s="15" t="str">
        <f>IFERROR(__xludf.DUMMYFUNCTION("""COMPUTED_VALUE"""),"MEDELLÍN")</f>
        <v>MEDELLÍN</v>
      </c>
      <c r="E2072" s="15" t="str">
        <f>IFERROR(__xludf.DUMMYFUNCTION("""COMPUTED_VALUE"""),"Helados swip")</f>
        <v>Helados swip</v>
      </c>
      <c r="F2072" s="17" t="str">
        <f>IFERROR(__xludf.DUMMYFUNCTION("""COMPUTED_VALUE"""),"CALLE 140# 13-50  / FIT MARKET TIENDA 140 / FIT MARKET TIENDA 140")</f>
        <v>CALLE 140# 13-50  / FIT MARKET TIENDA 140 / FIT MARKET TIENDA 140</v>
      </c>
      <c r="G2072" s="15" t="str">
        <f>IFERROR(__xludf.DUMMYFUNCTION("""COMPUTED_VALUE"""),"FIT MARKET 140")</f>
        <v>FIT MARKET 140</v>
      </c>
      <c r="H2072" s="16">
        <f>IFERROR(__xludf.DUMMYFUNCTION("""COMPUTED_VALUE"""),10742.0)</f>
        <v>10742</v>
      </c>
      <c r="I2072" s="18">
        <f>IFERROR(__xludf.DUMMYFUNCTION("""COMPUTED_VALUE"""),65.0)</f>
        <v>65</v>
      </c>
      <c r="J2072" s="18">
        <f>IFERROR(__xludf.DUMMYFUNCTION("""COMPUTED_VALUE"""),55.0)</f>
        <v>55</v>
      </c>
      <c r="K2072" s="18">
        <f>IFERROR(__xludf.DUMMYFUNCTION("""COMPUTED_VALUE"""),45.0)</f>
        <v>45</v>
      </c>
      <c r="L2072" s="17">
        <f>IFERROR(__xludf.DUMMYFUNCTION("""COMPUTED_VALUE"""),3.184646644E9)</f>
        <v>3184646644</v>
      </c>
      <c r="M2072" s="17" t="str">
        <f>IFERROR(__xludf.DUMMYFUNCTION("""COMPUTED_VALUE"""),"#REF!")</f>
        <v>#REF!</v>
      </c>
      <c r="N2072" s="17"/>
      <c r="O2072" s="17"/>
      <c r="P2072" s="17" t="b">
        <f>IFERROR(__xludf.DUMMYFUNCTION("""COMPUTED_VALUE"""),TRUE)</f>
        <v>1</v>
      </c>
      <c r="Q2072" s="20">
        <f>IFERROR(__xludf.DUMMYFUNCTION("""COMPUTED_VALUE"""),45062.69236199074)</f>
        <v>45062.69236</v>
      </c>
      <c r="R2072" s="22" t="str">
        <f>IFERROR(__xludf.DUMMYFUNCTION("""COMPUTED_VALUE"""),"")</f>
        <v/>
      </c>
    </row>
    <row r="2073">
      <c r="A2073" s="15">
        <f>IFERROR(__xludf.DUMMYFUNCTION("""COMPUTED_VALUE"""),45062.0)</f>
        <v>45062</v>
      </c>
      <c r="B2073" s="16" t="str">
        <f>IFERROR(__xludf.DUMMYFUNCTION("""COMPUTED_VALUE"""),"Envia")</f>
        <v>Envia</v>
      </c>
      <c r="C2073" s="15" t="str">
        <f>IFERROR(__xludf.DUMMYFUNCTION("""COMPUTED_VALUE"""),"BUCARAMANGA")</f>
        <v>BUCARAMANGA</v>
      </c>
      <c r="D2073" s="15" t="str">
        <f>IFERROR(__xludf.DUMMYFUNCTION("""COMPUTED_VALUE"""),"BOGOTÁ")</f>
        <v>BOGOTÁ</v>
      </c>
      <c r="E2073" s="15" t="str">
        <f>IFERROR(__xludf.DUMMYFUNCTION("""COMPUTED_VALUE"""),"Ins. Alimento Vital")</f>
        <v>Ins. Alimento Vital</v>
      </c>
      <c r="F2073" s="17" t="str">
        <f>IFERROR(__xludf.DUMMYFUNCTION("""COMPUTED_VALUE"""),"CL 31 30 08  / APTO 501 / AURORA ROYAL")</f>
        <v>CL 31 30 08  / APTO 501 / AURORA ROYAL</v>
      </c>
      <c r="G2073" s="15" t="str">
        <f>IFERROR(__xludf.DUMMYFUNCTION("""COMPUTED_VALUE"""),"LARRY ALBERTO LOPEZ MACANA")</f>
        <v>LARRY ALBERTO LOPEZ MACANA</v>
      </c>
      <c r="H2073" s="16">
        <f>IFERROR(__xludf.DUMMYFUNCTION("""COMPUTED_VALUE"""),10724.0)</f>
        <v>10724</v>
      </c>
      <c r="I2073" s="18">
        <f>IFERROR(__xludf.DUMMYFUNCTION("""COMPUTED_VALUE"""),1.0)</f>
        <v>1</v>
      </c>
      <c r="J2073" s="18">
        <f>IFERROR(__xludf.DUMMYFUNCTION("""COMPUTED_VALUE"""),1.0)</f>
        <v>1</v>
      </c>
      <c r="K2073" s="18">
        <f>IFERROR(__xludf.DUMMYFUNCTION("""COMPUTED_VALUE"""),1.0)</f>
        <v>1</v>
      </c>
      <c r="L2073" s="17">
        <f>IFERROR(__xludf.DUMMYFUNCTION("""COMPUTED_VALUE"""),3.185709801E9)</f>
        <v>3185709801</v>
      </c>
      <c r="M2073" s="17" t="str">
        <f>IFERROR(__xludf.DUMMYFUNCTION("""COMPUTED_VALUE"""),"#REF!")</f>
        <v>#REF!</v>
      </c>
      <c r="N2073" s="17"/>
      <c r="O2073" s="17"/>
      <c r="P2073" s="17" t="b">
        <f>IFERROR(__xludf.DUMMYFUNCTION("""COMPUTED_VALUE"""),TRUE)</f>
        <v>1</v>
      </c>
      <c r="Q2073" s="20">
        <f>IFERROR(__xludf.DUMMYFUNCTION("""COMPUTED_VALUE"""),45062.65765520833)</f>
        <v>45062.65766</v>
      </c>
      <c r="R2073" s="22" t="str">
        <f>IFERROR(__xludf.DUMMYFUNCTION("""COMPUTED_VALUE"""),"")</f>
        <v/>
      </c>
    </row>
    <row r="2074">
      <c r="A2074" s="15">
        <f>IFERROR(__xludf.DUMMYFUNCTION("""COMPUTED_VALUE"""),45062.0)</f>
        <v>45062</v>
      </c>
      <c r="B2074" s="16" t="str">
        <f>IFERROR(__xludf.DUMMYFUNCTION("""COMPUTED_VALUE"""),"Envia")</f>
        <v>Envia</v>
      </c>
      <c r="C2074" s="15" t="str">
        <f>IFERROR(__xludf.DUMMYFUNCTION("""COMPUTED_VALUE"""),"BUCARAMANGA")</f>
        <v>BUCARAMANGA</v>
      </c>
      <c r="D2074" s="15" t="str">
        <f>IFERROR(__xludf.DUMMYFUNCTION("""COMPUTED_VALUE"""),"BOGOTÁ")</f>
        <v>BOGOTÁ</v>
      </c>
      <c r="E2074" s="15" t="str">
        <f>IFERROR(__xludf.DUMMYFUNCTION("""COMPUTED_VALUE"""),"Tok Tok")</f>
        <v>Tok Tok</v>
      </c>
      <c r="F2074" s="17" t="str">
        <f>IFERROR(__xludf.DUMMYFUNCTION("""COMPUTED_VALUE"""),"Calle 52 #37-12 / Multifit - cabecera bucaramanga  / Cabecera")</f>
        <v>Calle 52 #37-12 / Multifit - cabecera bucaramanga  / Cabecera</v>
      </c>
      <c r="G2074" s="15" t="str">
        <f>IFERROR(__xludf.DUMMYFUNCTION("""COMPUTED_VALUE"""),"multifit - Oscar Julián Rincón Azuero")</f>
        <v>multifit - Oscar Julián Rincón Azuero</v>
      </c>
      <c r="H2074" s="16">
        <f>IFERROR(__xludf.DUMMYFUNCTION("""COMPUTED_VALUE"""),10710.0)</f>
        <v>10710</v>
      </c>
      <c r="I2074" s="18">
        <f>IFERROR(__xludf.DUMMYFUNCTION("""COMPUTED_VALUE"""),100.0)</f>
        <v>100</v>
      </c>
      <c r="J2074" s="18">
        <f>IFERROR(__xludf.DUMMYFUNCTION("""COMPUTED_VALUE"""),100.0)</f>
        <v>100</v>
      </c>
      <c r="K2074" s="18">
        <f>IFERROR(__xludf.DUMMYFUNCTION("""COMPUTED_VALUE"""),100.0)</f>
        <v>100</v>
      </c>
      <c r="L2074" s="17">
        <f>IFERROR(__xludf.DUMMYFUNCTION("""COMPUTED_VALUE"""),3.158785729E9)</f>
        <v>3158785729</v>
      </c>
      <c r="M2074" s="17" t="str">
        <f>IFERROR(__xludf.DUMMYFUNCTION("""COMPUTED_VALUE"""),"#REF!")</f>
        <v>#REF!</v>
      </c>
      <c r="N2074" s="17"/>
      <c r="O2074" s="17"/>
      <c r="P2074" s="17" t="b">
        <f>IFERROR(__xludf.DUMMYFUNCTION("""COMPUTED_VALUE"""),TRUE)</f>
        <v>1</v>
      </c>
      <c r="Q2074" s="20">
        <f>IFERROR(__xludf.DUMMYFUNCTION("""COMPUTED_VALUE"""),45062.68013011574)</f>
        <v>45062.68013</v>
      </c>
      <c r="R2074" s="22" t="str">
        <f>IFERROR(__xludf.DUMMYFUNCTION("""COMPUTED_VALUE"""),"")</f>
        <v/>
      </c>
    </row>
    <row r="2075">
      <c r="A2075" s="15">
        <f>IFERROR(__xludf.DUMMYFUNCTION("""COMPUTED_VALUE"""),45062.0)</f>
        <v>45062</v>
      </c>
      <c r="B2075" s="16" t="str">
        <f>IFERROR(__xludf.DUMMYFUNCTION("""COMPUTED_VALUE"""),"Envia")</f>
        <v>Envia</v>
      </c>
      <c r="C2075" s="15" t="str">
        <f>IFERROR(__xludf.DUMMYFUNCTION("""COMPUTED_VALUE"""),"BUCARAMANGA")</f>
        <v>BUCARAMANGA</v>
      </c>
      <c r="D2075" s="15" t="str">
        <f>IFERROR(__xludf.DUMMYFUNCTION("""COMPUTED_VALUE"""),"MEDELLÍN")</f>
        <v>MEDELLÍN</v>
      </c>
      <c r="E2075" s="15" t="str">
        <f>IFERROR(__xludf.DUMMYFUNCTION("""COMPUTED_VALUE"""),"AREPAS LA MARY")</f>
        <v>AREPAS LA MARY</v>
      </c>
      <c r="F2075" s="17" t="str">
        <f>IFERROR(__xludf.DUMMYFUNCTION("""COMPUTED_VALUE"""),"CALLE 55 # 13 -56 PISO 3")</f>
        <v>CALLE 55 # 13 -56 PISO 3</v>
      </c>
      <c r="G2075" s="15" t="str">
        <f>IFERROR(__xludf.DUMMYFUNCTION("""COMPUTED_VALUE"""),"ARANDANO")</f>
        <v>ARANDANO</v>
      </c>
      <c r="H2075" s="16">
        <f>IFERROR(__xludf.DUMMYFUNCTION("""COMPUTED_VALUE"""),10736.0)</f>
        <v>10736</v>
      </c>
      <c r="I2075" s="18">
        <f>IFERROR(__xludf.DUMMYFUNCTION("""COMPUTED_VALUE"""),89.0)</f>
        <v>89</v>
      </c>
      <c r="J2075" s="18">
        <f>IFERROR(__xludf.DUMMYFUNCTION("""COMPUTED_VALUE"""),1.0)</f>
        <v>1</v>
      </c>
      <c r="K2075" s="18">
        <f>IFERROR(__xludf.DUMMYFUNCTION("""COMPUTED_VALUE"""),10.0)</f>
        <v>10</v>
      </c>
      <c r="L2075" s="17">
        <f>IFERROR(__xludf.DUMMYFUNCTION("""COMPUTED_VALUE"""),3.158600162E9)</f>
        <v>3158600162</v>
      </c>
      <c r="M2075" s="17" t="str">
        <f>IFERROR(__xludf.DUMMYFUNCTION("""COMPUTED_VALUE"""),"#REF!")</f>
        <v>#REF!</v>
      </c>
      <c r="N2075" s="17"/>
      <c r="O2075" s="17"/>
      <c r="P2075" s="17" t="b">
        <f>IFERROR(__xludf.DUMMYFUNCTION("""COMPUTED_VALUE"""),TRUE)</f>
        <v>1</v>
      </c>
      <c r="Q2075" s="20">
        <f>IFERROR(__xludf.DUMMYFUNCTION("""COMPUTED_VALUE"""),45062.64871376158)</f>
        <v>45062.64871</v>
      </c>
      <c r="R2075" s="22" t="str">
        <f>IFERROR(__xludf.DUMMYFUNCTION("""COMPUTED_VALUE"""),"")</f>
        <v/>
      </c>
    </row>
    <row r="2076">
      <c r="A2076" s="15">
        <f>IFERROR(__xludf.DUMMYFUNCTION("""COMPUTED_VALUE"""),45062.0)</f>
        <v>45062</v>
      </c>
      <c r="B2076" s="16" t="str">
        <f>IFERROR(__xludf.DUMMYFUNCTION("""COMPUTED_VALUE"""),"Envia")</f>
        <v>Envia</v>
      </c>
      <c r="C2076" s="15" t="str">
        <f>IFERROR(__xludf.DUMMYFUNCTION("""COMPUTED_VALUE"""),"BUCARAMANGA")</f>
        <v>BUCARAMANGA</v>
      </c>
      <c r="D2076" s="15" t="str">
        <f>IFERROR(__xludf.DUMMYFUNCTION("""COMPUTED_VALUE"""),"MEDELLÍN")</f>
        <v>MEDELLÍN</v>
      </c>
      <c r="E2076" s="15" t="str">
        <f>IFERROR(__xludf.DUMMYFUNCTION("""COMPUTED_VALUE"""),"Helados swip")</f>
        <v>Helados swip</v>
      </c>
      <c r="F2076" s="17" t="str">
        <f>IFERROR(__xludf.DUMMYFUNCTION("""COMPUTED_VALUE"""),"CALLE 52 # 37-12 / MULTIFIT / MULTIFIT")</f>
        <v>CALLE 52 # 37-12 / MULTIFIT / MULTIFIT</v>
      </c>
      <c r="G2076" s="15" t="str">
        <f>IFERROR(__xludf.DUMMYFUNCTION("""COMPUTED_VALUE"""),"MULTIFIT")</f>
        <v>MULTIFIT</v>
      </c>
      <c r="H2076" s="16">
        <f>IFERROR(__xludf.DUMMYFUNCTION("""COMPUTED_VALUE"""),10743.0)</f>
        <v>10743</v>
      </c>
      <c r="I2076" s="18">
        <f>IFERROR(__xludf.DUMMYFUNCTION("""COMPUTED_VALUE"""),65.0)</f>
        <v>65</v>
      </c>
      <c r="J2076" s="18">
        <f>IFERROR(__xludf.DUMMYFUNCTION("""COMPUTED_VALUE"""),55.0)</f>
        <v>55</v>
      </c>
      <c r="K2076" s="18">
        <f>IFERROR(__xludf.DUMMYFUNCTION("""COMPUTED_VALUE"""),45.0)</f>
        <v>45</v>
      </c>
      <c r="L2076" s="17">
        <f>IFERROR(__xludf.DUMMYFUNCTION("""COMPUTED_VALUE"""),3.158785729E9)</f>
        <v>3158785729</v>
      </c>
      <c r="M2076" s="17" t="str">
        <f>IFERROR(__xludf.DUMMYFUNCTION("""COMPUTED_VALUE"""),"#REF!")</f>
        <v>#REF!</v>
      </c>
      <c r="N2076" s="17"/>
      <c r="O2076" s="17"/>
      <c r="P2076" s="17" t="b">
        <f>IFERROR(__xludf.DUMMYFUNCTION("""COMPUTED_VALUE"""),TRUE)</f>
        <v>1</v>
      </c>
      <c r="Q2076" s="20">
        <f>IFERROR(__xludf.DUMMYFUNCTION("""COMPUTED_VALUE"""),45062.64871376158)</f>
        <v>45062.64871</v>
      </c>
      <c r="R2076" s="22" t="str">
        <f>IFERROR(__xludf.DUMMYFUNCTION("""COMPUTED_VALUE"""),"")</f>
        <v/>
      </c>
    </row>
    <row r="2077">
      <c r="A2077" s="15">
        <f>IFERROR(__xludf.DUMMYFUNCTION("""COMPUTED_VALUE"""),45062.0)</f>
        <v>45062</v>
      </c>
      <c r="B2077" s="16" t="str">
        <f>IFERROR(__xludf.DUMMYFUNCTION("""COMPUTED_VALUE"""),"Envia")</f>
        <v>Envia</v>
      </c>
      <c r="C2077" s="15" t="str">
        <f>IFERROR(__xludf.DUMMYFUNCTION("""COMPUTED_VALUE"""),"CALI")</f>
        <v>CALI</v>
      </c>
      <c r="D2077" s="15" t="str">
        <f>IFERROR(__xludf.DUMMYFUNCTION("""COMPUTED_VALUE"""),"BOGOTÁ")</f>
        <v>BOGOTÁ</v>
      </c>
      <c r="E2077" s="15" t="str">
        <f>IFERROR(__xludf.DUMMYFUNCTION("""COMPUTED_VALUE"""),"Evamazzita")</f>
        <v>Evamazzita</v>
      </c>
      <c r="F2077" s="17" t="str">
        <f>IFERROR(__xludf.DUMMYFUNCTION("""COMPUTED_VALUE"""),"Avenida 2A #75HN-35  / Torre i-402 Conjunto Gualanday  / en el barrio Brisas de los Álamos")</f>
        <v>Avenida 2A #75HN-35  / Torre i-402 Conjunto Gualanday  / en el barrio Brisas de los Álamos</v>
      </c>
      <c r="G2077" s="15" t="str">
        <f>IFERROR(__xludf.DUMMYFUNCTION("""COMPUTED_VALUE"""),"YULIANA DIAZ AYALA")</f>
        <v>YULIANA DIAZ AYALA</v>
      </c>
      <c r="H2077" s="16">
        <f>IFERROR(__xludf.DUMMYFUNCTION("""COMPUTED_VALUE"""),10729.0)</f>
        <v>10729</v>
      </c>
      <c r="I2077" s="18">
        <f>IFERROR(__xludf.DUMMYFUNCTION("""COMPUTED_VALUE"""),3.0)</f>
        <v>3</v>
      </c>
      <c r="J2077" s="18">
        <f>IFERROR(__xludf.DUMMYFUNCTION("""COMPUTED_VALUE"""),20.0)</f>
        <v>20</v>
      </c>
      <c r="K2077" s="18">
        <f>IFERROR(__xludf.DUMMYFUNCTION("""COMPUTED_VALUE"""),15.0)</f>
        <v>15</v>
      </c>
      <c r="L2077" s="17">
        <f>IFERROR(__xludf.DUMMYFUNCTION("""COMPUTED_VALUE"""),3.206210843E9)</f>
        <v>3206210843</v>
      </c>
      <c r="M2077" s="17" t="str">
        <f>IFERROR(__xludf.DUMMYFUNCTION("""COMPUTED_VALUE"""),"#REF!")</f>
        <v>#REF!</v>
      </c>
      <c r="N2077" s="17"/>
      <c r="O2077" s="17"/>
      <c r="P2077" s="17" t="b">
        <f>IFERROR(__xludf.DUMMYFUNCTION("""COMPUTED_VALUE"""),TRUE)</f>
        <v>1</v>
      </c>
      <c r="Q2077" s="20">
        <f>IFERROR(__xludf.DUMMYFUNCTION("""COMPUTED_VALUE"""),45062.65714232639)</f>
        <v>45062.65714</v>
      </c>
      <c r="R2077" s="22" t="str">
        <f>IFERROR(__xludf.DUMMYFUNCTION("""COMPUTED_VALUE"""),"")</f>
        <v/>
      </c>
    </row>
    <row r="2078">
      <c r="A2078" s="15">
        <f>IFERROR(__xludf.DUMMYFUNCTION("""COMPUTED_VALUE"""),45062.0)</f>
        <v>45062</v>
      </c>
      <c r="B2078" s="16" t="str">
        <f>IFERROR(__xludf.DUMMYFUNCTION("""COMPUTED_VALUE"""),"Envia")</f>
        <v>Envia</v>
      </c>
      <c r="C2078" s="15" t="str">
        <f>IFERROR(__xludf.DUMMYFUNCTION("""COMPUTED_VALUE"""),"CALI")</f>
        <v>CALI</v>
      </c>
      <c r="D2078" s="15" t="str">
        <f>IFERROR(__xludf.DUMMYFUNCTION("""COMPUTED_VALUE"""),"BOGOTÁ")</f>
        <v>BOGOTÁ</v>
      </c>
      <c r="E2078" s="15" t="str">
        <f>IFERROR(__xludf.DUMMYFUNCTION("""COMPUTED_VALUE"""),"Evamazzita")</f>
        <v>Evamazzita</v>
      </c>
      <c r="F2078" s="17" t="str">
        <f>IFERROR(__xludf.DUMMYFUNCTION("""COMPUTED_VALUE"""),"Carrera 1ENorte #82-50  / Segundo piso  / Es un pasillo pero se puede entrar normal. Barrio comfenalco")</f>
        <v>Carrera 1ENorte #82-50  / Segundo piso  / Es un pasillo pero se puede entrar normal. Barrio comfenalco</v>
      </c>
      <c r="G2078" s="15" t="str">
        <f>IFERROR(__xludf.DUMMYFUNCTION("""COMPUTED_VALUE"""),"YULY RESTREPO")</f>
        <v>YULY RESTREPO</v>
      </c>
      <c r="H2078" s="16">
        <f>IFERROR(__xludf.DUMMYFUNCTION("""COMPUTED_VALUE"""),10732.0)</f>
        <v>10732</v>
      </c>
      <c r="I2078" s="18">
        <f>IFERROR(__xludf.DUMMYFUNCTION("""COMPUTED_VALUE"""),3.0)</f>
        <v>3</v>
      </c>
      <c r="J2078" s="18">
        <f>IFERROR(__xludf.DUMMYFUNCTION("""COMPUTED_VALUE"""),20.0)</f>
        <v>20</v>
      </c>
      <c r="K2078" s="18">
        <f>IFERROR(__xludf.DUMMYFUNCTION("""COMPUTED_VALUE"""),15.0)</f>
        <v>15</v>
      </c>
      <c r="L2078" s="17">
        <f>IFERROR(__xludf.DUMMYFUNCTION("""COMPUTED_VALUE"""),3.218446195E9)</f>
        <v>3218446195</v>
      </c>
      <c r="M2078" s="17" t="str">
        <f>IFERROR(__xludf.DUMMYFUNCTION("""COMPUTED_VALUE"""),"#REF!")</f>
        <v>#REF!</v>
      </c>
      <c r="N2078" s="17"/>
      <c r="O2078" s="17"/>
      <c r="P2078" s="17" t="b">
        <f>IFERROR(__xludf.DUMMYFUNCTION("""COMPUTED_VALUE"""),TRUE)</f>
        <v>1</v>
      </c>
      <c r="Q2078" s="20">
        <f>IFERROR(__xludf.DUMMYFUNCTION("""COMPUTED_VALUE"""),45062.657812199075)</f>
        <v>45062.65781</v>
      </c>
      <c r="R2078" s="22" t="str">
        <f>IFERROR(__xludf.DUMMYFUNCTION("""COMPUTED_VALUE"""),"")</f>
        <v/>
      </c>
    </row>
    <row r="2079">
      <c r="A2079" s="15">
        <f>IFERROR(__xludf.DUMMYFUNCTION("""COMPUTED_VALUE"""),45062.0)</f>
        <v>45062</v>
      </c>
      <c r="B2079" s="16" t="str">
        <f>IFERROR(__xludf.DUMMYFUNCTION("""COMPUTED_VALUE"""),"Envia")</f>
        <v>Envia</v>
      </c>
      <c r="C2079" s="15" t="str">
        <f>IFERROR(__xludf.DUMMYFUNCTION("""COMPUTED_VALUE"""),"CALI")</f>
        <v>CALI</v>
      </c>
      <c r="D2079" s="15" t="str">
        <f>IFERROR(__xludf.DUMMYFUNCTION("""COMPUTED_VALUE"""),"BOGOTÁ")</f>
        <v>BOGOTÁ</v>
      </c>
      <c r="E2079" s="15" t="str">
        <f>IFERROR(__xludf.DUMMYFUNCTION("""COMPUTED_VALUE"""),"Viiva Fermentados")</f>
        <v>Viiva Fermentados</v>
      </c>
      <c r="F2079" s="17" t="str">
        <f>IFERROR(__xludf.DUMMYFUNCTION("""COMPUTED_VALUE"""),"Av 5 Nte # 42 - 42 la flora  / Tienda Ecohuerta / la flora")</f>
        <v>Av 5 Nte # 42 - 42 la flora  / Tienda Ecohuerta / la flora</v>
      </c>
      <c r="G2079" s="15" t="str">
        <f>IFERROR(__xludf.DUMMYFUNCTION("""COMPUTED_VALUE"""),"Isabel Cristina Ecohuerta Cali")</f>
        <v>Isabel Cristina Ecohuerta Cali</v>
      </c>
      <c r="H2079" s="16">
        <f>IFERROR(__xludf.DUMMYFUNCTION("""COMPUTED_VALUE"""),10632.0)</f>
        <v>10632</v>
      </c>
      <c r="I2079" s="18">
        <f>IFERROR(__xludf.DUMMYFUNCTION("""COMPUTED_VALUE"""),17.0)</f>
        <v>17</v>
      </c>
      <c r="J2079" s="18">
        <f>IFERROR(__xludf.DUMMYFUNCTION("""COMPUTED_VALUE"""),40.0)</f>
        <v>40</v>
      </c>
      <c r="K2079" s="18">
        <f>IFERROR(__xludf.DUMMYFUNCTION("""COMPUTED_VALUE"""),30.0)</f>
        <v>30</v>
      </c>
      <c r="L2079" s="17">
        <f>IFERROR(__xludf.DUMMYFUNCTION("""COMPUTED_VALUE"""),3.113856209E9)</f>
        <v>3113856209</v>
      </c>
      <c r="M2079" s="17" t="str">
        <f>IFERROR(__xludf.DUMMYFUNCTION("""COMPUTED_VALUE"""),"#REF!")</f>
        <v>#REF!</v>
      </c>
      <c r="N2079" s="17"/>
      <c r="O2079" s="17"/>
      <c r="P2079" s="17" t="b">
        <f>IFERROR(__xludf.DUMMYFUNCTION("""COMPUTED_VALUE"""),FALSE)</f>
        <v>0</v>
      </c>
      <c r="Q2079" s="20" t="str">
        <f>IFERROR(__xludf.DUMMYFUNCTION("""COMPUTED_VALUE"""),"")</f>
        <v/>
      </c>
      <c r="R2079" s="22" t="str">
        <f>IFERROR(__xludf.DUMMYFUNCTION("""COMPUTED_VALUE"""),"")</f>
        <v/>
      </c>
    </row>
    <row r="2080">
      <c r="A2080" s="15">
        <f>IFERROR(__xludf.DUMMYFUNCTION("""COMPUTED_VALUE"""),45062.0)</f>
        <v>45062</v>
      </c>
      <c r="B2080" s="16" t="str">
        <f>IFERROR(__xludf.DUMMYFUNCTION("""COMPUTED_VALUE"""),"Envia")</f>
        <v>Envia</v>
      </c>
      <c r="C2080" s="15" t="str">
        <f>IFERROR(__xludf.DUMMYFUNCTION("""COMPUTED_VALUE"""),"IBAGUÉ")</f>
        <v>IBAGUÉ</v>
      </c>
      <c r="D2080" s="15" t="str">
        <f>IFERROR(__xludf.DUMMYFUNCTION("""COMPUTED_VALUE"""),"BOGOTÁ")</f>
        <v>BOGOTÁ</v>
      </c>
      <c r="E2080" s="15" t="str">
        <f>IFERROR(__xludf.DUMMYFUNCTION("""COMPUTED_VALUE"""),"Ins. Alimento Vital")</f>
        <v>Ins. Alimento Vital</v>
      </c>
      <c r="F2080" s="17" t="str">
        <f>IFERROR(__xludf.DUMMYFUNCTION("""COMPUTED_VALUE"""),"MANCAZA M CASA 2 / CASA 2 / BARRIO ALKALA")</f>
        <v>MANCAZA M CASA 2 / CASA 2 / BARRIO ALKALA</v>
      </c>
      <c r="G2080" s="15" t="str">
        <f>IFERROR(__xludf.DUMMYFUNCTION("""COMPUTED_VALUE"""),"MIRYAM TORRES")</f>
        <v>MIRYAM TORRES</v>
      </c>
      <c r="H2080" s="16">
        <f>IFERROR(__xludf.DUMMYFUNCTION("""COMPUTED_VALUE"""),10708.0)</f>
        <v>10708</v>
      </c>
      <c r="I2080" s="18">
        <f>IFERROR(__xludf.DUMMYFUNCTION("""COMPUTED_VALUE"""),1.0)</f>
        <v>1</v>
      </c>
      <c r="J2080" s="18">
        <f>IFERROR(__xludf.DUMMYFUNCTION("""COMPUTED_VALUE"""),1.0)</f>
        <v>1</v>
      </c>
      <c r="K2080" s="18">
        <f>IFERROR(__xludf.DUMMYFUNCTION("""COMPUTED_VALUE"""),1.0)</f>
        <v>1</v>
      </c>
      <c r="L2080" s="17">
        <f>IFERROR(__xludf.DUMMYFUNCTION("""COMPUTED_VALUE"""),3.134502277E9)</f>
        <v>3134502277</v>
      </c>
      <c r="M2080" s="17" t="str">
        <f>IFERROR(__xludf.DUMMYFUNCTION("""COMPUTED_VALUE"""),"#REF!")</f>
        <v>#REF!</v>
      </c>
      <c r="N2080" s="17"/>
      <c r="O2080" s="17"/>
      <c r="P2080" s="17" t="b">
        <f>IFERROR(__xludf.DUMMYFUNCTION("""COMPUTED_VALUE"""),TRUE)</f>
        <v>1</v>
      </c>
      <c r="Q2080" s="20">
        <f>IFERROR(__xludf.DUMMYFUNCTION("""COMPUTED_VALUE"""),45062.69282913195)</f>
        <v>45062.69283</v>
      </c>
      <c r="R2080" s="22" t="str">
        <f>IFERROR(__xludf.DUMMYFUNCTION("""COMPUTED_VALUE"""),"")</f>
        <v/>
      </c>
    </row>
    <row r="2081">
      <c r="A2081" s="15">
        <f>IFERROR(__xludf.DUMMYFUNCTION("""COMPUTED_VALUE"""),45062.0)</f>
        <v>45062</v>
      </c>
      <c r="B2081" s="16" t="str">
        <f>IFERROR(__xludf.DUMMYFUNCTION("""COMPUTED_VALUE"""),"Envia")</f>
        <v>Envia</v>
      </c>
      <c r="C2081" s="15" t="str">
        <f>IFERROR(__xludf.DUMMYFUNCTION("""COMPUTED_VALUE"""),"MANIZALES")</f>
        <v>MANIZALES</v>
      </c>
      <c r="D2081" s="15" t="str">
        <f>IFERROR(__xludf.DUMMYFUNCTION("""COMPUTED_VALUE"""),"BOGOTÁ")</f>
        <v>BOGOTÁ</v>
      </c>
      <c r="E2081" s="15" t="str">
        <f>IFERROR(__xludf.DUMMYFUNCTION("""COMPUTED_VALUE"""),"Ins. Alimento Vital")</f>
        <v>Ins. Alimento Vital</v>
      </c>
      <c r="F2081" s="17" t="str">
        <f>IFERROR(__xludf.DUMMYFUNCTION("""COMPUTED_VALUE"""),"CL 60 35 89 / CASA / BARRIO FATIMA SAN LUIS")</f>
        <v>CL 60 35 89 / CASA / BARRIO FATIMA SAN LUIS</v>
      </c>
      <c r="G2081" s="15" t="str">
        <f>IFERROR(__xludf.DUMMYFUNCTION("""COMPUTED_VALUE"""),"JUAN PABLO RENDON")</f>
        <v>JUAN PABLO RENDON</v>
      </c>
      <c r="H2081" s="16">
        <f>IFERROR(__xludf.DUMMYFUNCTION("""COMPUTED_VALUE"""),10745.0)</f>
        <v>10745</v>
      </c>
      <c r="I2081" s="18">
        <f>IFERROR(__xludf.DUMMYFUNCTION("""COMPUTED_VALUE"""),1.0)</f>
        <v>1</v>
      </c>
      <c r="J2081" s="18">
        <f>IFERROR(__xludf.DUMMYFUNCTION("""COMPUTED_VALUE"""),1.0)</f>
        <v>1</v>
      </c>
      <c r="K2081" s="18">
        <f>IFERROR(__xludf.DUMMYFUNCTION("""COMPUTED_VALUE"""),1.0)</f>
        <v>1</v>
      </c>
      <c r="L2081" s="17">
        <f>IFERROR(__xludf.DUMMYFUNCTION("""COMPUTED_VALUE"""),3.233463589E9)</f>
        <v>3233463589</v>
      </c>
      <c r="M2081" s="17" t="str">
        <f>IFERROR(__xludf.DUMMYFUNCTION("""COMPUTED_VALUE"""),"#REF!")</f>
        <v>#REF!</v>
      </c>
      <c r="N2081" s="17"/>
      <c r="O2081" s="17"/>
      <c r="P2081" s="17" t="b">
        <f>IFERROR(__xludf.DUMMYFUNCTION("""COMPUTED_VALUE"""),TRUE)</f>
        <v>1</v>
      </c>
      <c r="Q2081" s="20">
        <f>IFERROR(__xludf.DUMMYFUNCTION("""COMPUTED_VALUE"""),45062.6547131713)</f>
        <v>45062.65471</v>
      </c>
      <c r="R2081" s="22" t="str">
        <f>IFERROR(__xludf.DUMMYFUNCTION("""COMPUTED_VALUE"""),"")</f>
        <v/>
      </c>
    </row>
    <row r="2082">
      <c r="A2082" s="15">
        <f>IFERROR(__xludf.DUMMYFUNCTION("""COMPUTED_VALUE"""),45062.0)</f>
        <v>45062</v>
      </c>
      <c r="B2082" s="16" t="str">
        <f>IFERROR(__xludf.DUMMYFUNCTION("""COMPUTED_VALUE"""),"Envia")</f>
        <v>Envia</v>
      </c>
      <c r="C2082" s="15" t="str">
        <f>IFERROR(__xludf.DUMMYFUNCTION("""COMPUTED_VALUE"""),"MANIZALES")</f>
        <v>MANIZALES</v>
      </c>
      <c r="D2082" s="15" t="str">
        <f>IFERROR(__xludf.DUMMYFUNCTION("""COMPUTED_VALUE"""),"BOGOTÁ")</f>
        <v>BOGOTÁ</v>
      </c>
      <c r="E2082" s="15" t="str">
        <f>IFERROR(__xludf.DUMMYFUNCTION("""COMPUTED_VALUE"""),"Ins. Alimento Vital")</f>
        <v>Ins. Alimento Vital</v>
      </c>
      <c r="F2082" s="17" t="str">
        <f>IFERROR(__xludf.DUMMYFUNCTION("""COMPUTED_VALUE"""),"CR 19 62 A 90 / CASA LA RAMBLA / CASA LA RAMBLA")</f>
        <v>CR 19 62 A 90 / CASA LA RAMBLA / CASA LA RAMBLA</v>
      </c>
      <c r="G2082" s="15" t="str">
        <f>IFERROR(__xludf.DUMMYFUNCTION("""COMPUTED_VALUE"""),"JESSICA PAOLA MURCIA HENAO")</f>
        <v>JESSICA PAOLA MURCIA HENAO</v>
      </c>
      <c r="H2082" s="16">
        <f>IFERROR(__xludf.DUMMYFUNCTION("""COMPUTED_VALUE"""),10707.0)</f>
        <v>10707</v>
      </c>
      <c r="I2082" s="18">
        <f>IFERROR(__xludf.DUMMYFUNCTION("""COMPUTED_VALUE"""),1.0)</f>
        <v>1</v>
      </c>
      <c r="J2082" s="18">
        <f>IFERROR(__xludf.DUMMYFUNCTION("""COMPUTED_VALUE"""),1.0)</f>
        <v>1</v>
      </c>
      <c r="K2082" s="18">
        <f>IFERROR(__xludf.DUMMYFUNCTION("""COMPUTED_VALUE"""),1.0)</f>
        <v>1</v>
      </c>
      <c r="L2082" s="17">
        <f>IFERROR(__xludf.DUMMYFUNCTION("""COMPUTED_VALUE"""),3.226751284E9)</f>
        <v>3226751284</v>
      </c>
      <c r="M2082" s="17" t="str">
        <f>IFERROR(__xludf.DUMMYFUNCTION("""COMPUTED_VALUE"""),"#REF!")</f>
        <v>#REF!</v>
      </c>
      <c r="N2082" s="17"/>
      <c r="O2082" s="17"/>
      <c r="P2082" s="17" t="b">
        <f>IFERROR(__xludf.DUMMYFUNCTION("""COMPUTED_VALUE"""),TRUE)</f>
        <v>1</v>
      </c>
      <c r="Q2082" s="20">
        <f>IFERROR(__xludf.DUMMYFUNCTION("""COMPUTED_VALUE"""),45062.64871376158)</f>
        <v>45062.64871</v>
      </c>
      <c r="R2082" s="22" t="str">
        <f>IFERROR(__xludf.DUMMYFUNCTION("""COMPUTED_VALUE"""),"")</f>
        <v/>
      </c>
    </row>
    <row r="2083">
      <c r="A2083" s="15">
        <f>IFERROR(__xludf.DUMMYFUNCTION("""COMPUTED_VALUE"""),45062.0)</f>
        <v>45062</v>
      </c>
      <c r="B2083" s="16" t="str">
        <f>IFERROR(__xludf.DUMMYFUNCTION("""COMPUTED_VALUE"""),"Envia")</f>
        <v>Envia</v>
      </c>
      <c r="C2083" s="15" t="str">
        <f>IFERROR(__xludf.DUMMYFUNCTION("""COMPUTED_VALUE"""),"MANIZALES")</f>
        <v>MANIZALES</v>
      </c>
      <c r="D2083" s="15" t="str">
        <f>IFERROR(__xludf.DUMMYFUNCTION("""COMPUTED_VALUE"""),"MEDELLÍN")</f>
        <v>MEDELLÍN</v>
      </c>
      <c r="E2083" s="15" t="str">
        <f>IFERROR(__xludf.DUMMYFUNCTION("""COMPUTED_VALUE"""),"Todo Bufala")</f>
        <v>Todo Bufala</v>
      </c>
      <c r="F2083" s="17" t="str">
        <f>IFERROR(__xludf.DUMMYFUNCTION("""COMPUTED_VALUE"""),"Call 66 23b-11 / Edifico calle larga, local 5c")</f>
        <v>Call 66 23b-11 / Edifico calle larga, local 5c</v>
      </c>
      <c r="G2083" s="15" t="str">
        <f>IFERROR(__xludf.DUMMYFUNCTION("""COMPUTED_VALUE"""),"Sebastian Perez")</f>
        <v>Sebastian Perez</v>
      </c>
      <c r="H2083" s="16">
        <f>IFERROR(__xludf.DUMMYFUNCTION("""COMPUTED_VALUE"""),10747.0)</f>
        <v>10747</v>
      </c>
      <c r="I2083" s="18">
        <f>IFERROR(__xludf.DUMMYFUNCTION("""COMPUTED_VALUE"""),40.0)</f>
        <v>40</v>
      </c>
      <c r="J2083" s="18">
        <f>IFERROR(__xludf.DUMMYFUNCTION("""COMPUTED_VALUE"""),30.0)</f>
        <v>30</v>
      </c>
      <c r="K2083" s="18">
        <f>IFERROR(__xludf.DUMMYFUNCTION("""COMPUTED_VALUE"""),20.0)</f>
        <v>20</v>
      </c>
      <c r="L2083" s="17"/>
      <c r="M2083" s="17" t="str">
        <f>IFERROR(__xludf.DUMMYFUNCTION("""COMPUTED_VALUE"""),"#REF!")</f>
        <v>#REF!</v>
      </c>
      <c r="N2083" s="17"/>
      <c r="O2083" s="17"/>
      <c r="P2083" s="17" t="b">
        <f>IFERROR(__xludf.DUMMYFUNCTION("""COMPUTED_VALUE"""),TRUE)</f>
        <v>1</v>
      </c>
      <c r="Q2083" s="20">
        <f>IFERROR(__xludf.DUMMYFUNCTION("""COMPUTED_VALUE"""),45062.654805405095)</f>
        <v>45062.65481</v>
      </c>
      <c r="R2083" s="22" t="str">
        <f>IFERROR(__xludf.DUMMYFUNCTION("""COMPUTED_VALUE"""),"")</f>
        <v/>
      </c>
    </row>
    <row r="2084">
      <c r="A2084" s="15">
        <f>IFERROR(__xludf.DUMMYFUNCTION("""COMPUTED_VALUE"""),45062.0)</f>
        <v>45062</v>
      </c>
      <c r="B2084" s="16" t="str">
        <f>IFERROR(__xludf.DUMMYFUNCTION("""COMPUTED_VALUE"""),"Envia")</f>
        <v>Envia</v>
      </c>
      <c r="C2084" s="15" t="str">
        <f>IFERROR(__xludf.DUMMYFUNCTION("""COMPUTED_VALUE"""),"MEDELLÍN")</f>
        <v>MEDELLÍN</v>
      </c>
      <c r="D2084" s="15" t="str">
        <f>IFERROR(__xludf.DUMMYFUNCTION("""COMPUTED_VALUE"""),"BOGOTÁ")</f>
        <v>BOGOTÁ</v>
      </c>
      <c r="E2084" s="15" t="str">
        <f>IFERROR(__xludf.DUMMYFUNCTION("""COMPUTED_VALUE"""),"Asociacion Agropecuaria Juana Maria")</f>
        <v>Asociacion Agropecuaria Juana Maria</v>
      </c>
      <c r="F2084" s="17" t="str">
        <f>IFERROR(__xludf.DUMMYFUNCTION("""COMPUTED_VALUE"""),"Carrera 15 BA # 30D-44 int 201")</f>
        <v>Carrera 15 BA # 30D-44 int 201</v>
      </c>
      <c r="G2084" s="15" t="str">
        <f>IFERROR(__xludf.DUMMYFUNCTION("""COMPUTED_VALUE"""),"Daniela Bedoya Blandon")</f>
        <v>Daniela Bedoya Blandon</v>
      </c>
      <c r="H2084" s="16">
        <f>IFERROR(__xludf.DUMMYFUNCTION("""COMPUTED_VALUE"""),10660.0)</f>
        <v>10660</v>
      </c>
      <c r="I2084" s="18">
        <f>IFERROR(__xludf.DUMMYFUNCTION("""COMPUTED_VALUE"""),21.0)</f>
        <v>21</v>
      </c>
      <c r="J2084" s="18">
        <f>IFERROR(__xludf.DUMMYFUNCTION("""COMPUTED_VALUE"""),37.0)</f>
        <v>37</v>
      </c>
      <c r="K2084" s="18">
        <f>IFERROR(__xludf.DUMMYFUNCTION("""COMPUTED_VALUE"""),30.0)</f>
        <v>30</v>
      </c>
      <c r="L2084" s="17">
        <f>IFERROR(__xludf.DUMMYFUNCTION("""COMPUTED_VALUE"""),3.14672822E9)</f>
        <v>3146728220</v>
      </c>
      <c r="M2084" s="17" t="str">
        <f>IFERROR(__xludf.DUMMYFUNCTION("""COMPUTED_VALUE"""),"#REF!")</f>
        <v>#REF!</v>
      </c>
      <c r="N2084" s="17"/>
      <c r="O2084" s="17"/>
      <c r="P2084" s="17" t="b">
        <f>IFERROR(__xludf.DUMMYFUNCTION("""COMPUTED_VALUE"""),TRUE)</f>
        <v>1</v>
      </c>
      <c r="Q2084" s="20">
        <f>IFERROR(__xludf.DUMMYFUNCTION("""COMPUTED_VALUE"""),45062.65745322917)</f>
        <v>45062.65745</v>
      </c>
      <c r="R2084" s="22" t="str">
        <f>IFERROR(__xludf.DUMMYFUNCTION("""COMPUTED_VALUE"""),"")</f>
        <v/>
      </c>
    </row>
    <row r="2085">
      <c r="A2085" s="15">
        <f>IFERROR(__xludf.DUMMYFUNCTION("""COMPUTED_VALUE"""),45062.0)</f>
        <v>45062</v>
      </c>
      <c r="B2085" s="16" t="str">
        <f>IFERROR(__xludf.DUMMYFUNCTION("""COMPUTED_VALUE"""),"Envia")</f>
        <v>Envia</v>
      </c>
      <c r="C2085" s="15" t="str">
        <f>IFERROR(__xludf.DUMMYFUNCTION("""COMPUTED_VALUE"""),"MEDELLÍN")</f>
        <v>MEDELLÍN</v>
      </c>
      <c r="D2085" s="15" t="str">
        <f>IFERROR(__xludf.DUMMYFUNCTION("""COMPUTED_VALUE"""),"BOGOTÁ")</f>
        <v>BOGOTÁ</v>
      </c>
      <c r="E2085" s="15" t="str">
        <f>IFERROR(__xludf.DUMMYFUNCTION("""COMPUTED_VALUE"""),"Asociacion Agropecuaria Juana Maria")</f>
        <v>Asociacion Agropecuaria Juana Maria</v>
      </c>
      <c r="F2085" s="17" t="str">
        <f>IFERROR(__xludf.DUMMYFUNCTION("""COMPUTED_VALUE"""),"Cra 82C # 30A-100 apto 1202 urbanizacion Torres de Vicuña Belen los Alpes")</f>
        <v>Cra 82C # 30A-100 apto 1202 urbanizacion Torres de Vicuña Belen los Alpes</v>
      </c>
      <c r="G2085" s="15" t="str">
        <f>IFERROR(__xludf.DUMMYFUNCTION("""COMPUTED_VALUE"""),"Gloria Moreno")</f>
        <v>Gloria Moreno</v>
      </c>
      <c r="H2085" s="16">
        <f>IFERROR(__xludf.DUMMYFUNCTION("""COMPUTED_VALUE"""),10661.0)</f>
        <v>10661</v>
      </c>
      <c r="I2085" s="18">
        <f>IFERROR(__xludf.DUMMYFUNCTION("""COMPUTED_VALUE"""),16.0)</f>
        <v>16</v>
      </c>
      <c r="J2085" s="18">
        <f>IFERROR(__xludf.DUMMYFUNCTION("""COMPUTED_VALUE"""),34.0)</f>
        <v>34</v>
      </c>
      <c r="K2085" s="18">
        <f>IFERROR(__xludf.DUMMYFUNCTION("""COMPUTED_VALUE"""),25.0)</f>
        <v>25</v>
      </c>
      <c r="L2085" s="17">
        <f>IFERROR(__xludf.DUMMYFUNCTION("""COMPUTED_VALUE"""),3.162544201E9)</f>
        <v>3162544201</v>
      </c>
      <c r="M2085" s="17" t="str">
        <f>IFERROR(__xludf.DUMMYFUNCTION("""COMPUTED_VALUE"""),"#REF!")</f>
        <v>#REF!</v>
      </c>
      <c r="N2085" s="17"/>
      <c r="O2085" s="17"/>
      <c r="P2085" s="17" t="b">
        <f>IFERROR(__xludf.DUMMYFUNCTION("""COMPUTED_VALUE"""),TRUE)</f>
        <v>1</v>
      </c>
      <c r="Q2085" s="20">
        <f>IFERROR(__xludf.DUMMYFUNCTION("""COMPUTED_VALUE"""),45062.67488618055)</f>
        <v>45062.67489</v>
      </c>
      <c r="R2085" s="22" t="str">
        <f>IFERROR(__xludf.DUMMYFUNCTION("""COMPUTED_VALUE"""),"")</f>
        <v/>
      </c>
    </row>
    <row r="2086">
      <c r="A2086" s="15">
        <f>IFERROR(__xludf.DUMMYFUNCTION("""COMPUTED_VALUE"""),45062.0)</f>
        <v>45062</v>
      </c>
      <c r="B2086" s="16" t="str">
        <f>IFERROR(__xludf.DUMMYFUNCTION("""COMPUTED_VALUE"""),"Envia")</f>
        <v>Envia</v>
      </c>
      <c r="C2086" s="15" t="str">
        <f>IFERROR(__xludf.DUMMYFUNCTION("""COMPUTED_VALUE"""),"MEDELLÍN")</f>
        <v>MEDELLÍN</v>
      </c>
      <c r="D2086" s="15" t="str">
        <f>IFERROR(__xludf.DUMMYFUNCTION("""COMPUTED_VALUE"""),"BOGOTÁ")</f>
        <v>BOGOTÁ</v>
      </c>
      <c r="E2086" s="15" t="str">
        <f>IFERROR(__xludf.DUMMYFUNCTION("""COMPUTED_VALUE"""),"Evamazzita")</f>
        <v>Evamazzita</v>
      </c>
      <c r="F2086" s="17" t="str">
        <f>IFERROR(__xludf.DUMMYFUNCTION("""COMPUTED_VALUE"""),"CALLE 70 # 59 - 193  / URBANIZACIÓN SENDERO VERDE TORRE 6 APTO 130  / ITAGÜÍ - BARRIO LOMA LOS GÓMEZ")</f>
        <v>CALLE 70 # 59 - 193  / URBANIZACIÓN SENDERO VERDE TORRE 6 APTO 130  / ITAGÜÍ - BARRIO LOMA LOS GÓMEZ</v>
      </c>
      <c r="G2086" s="15" t="str">
        <f>IFERROR(__xludf.DUMMYFUNCTION("""COMPUTED_VALUE"""),"MARIA ISABEL MORALES")</f>
        <v>MARIA ISABEL MORALES</v>
      </c>
      <c r="H2086" s="16">
        <f>IFERROR(__xludf.DUMMYFUNCTION("""COMPUTED_VALUE"""),10727.0)</f>
        <v>10727</v>
      </c>
      <c r="I2086" s="18">
        <f>IFERROR(__xludf.DUMMYFUNCTION("""COMPUTED_VALUE"""),3.0)</f>
        <v>3</v>
      </c>
      <c r="J2086" s="18">
        <f>IFERROR(__xludf.DUMMYFUNCTION("""COMPUTED_VALUE"""),20.0)</f>
        <v>20</v>
      </c>
      <c r="K2086" s="18">
        <f>IFERROR(__xludf.DUMMYFUNCTION("""COMPUTED_VALUE"""),15.0)</f>
        <v>15</v>
      </c>
      <c r="L2086" s="17">
        <f>IFERROR(__xludf.DUMMYFUNCTION("""COMPUTED_VALUE"""),3.017240947E9)</f>
        <v>3017240947</v>
      </c>
      <c r="M2086" s="17" t="str">
        <f>IFERROR(__xludf.DUMMYFUNCTION("""COMPUTED_VALUE"""),"#REF!")</f>
        <v>#REF!</v>
      </c>
      <c r="N2086" s="17"/>
      <c r="O2086" s="17"/>
      <c r="P2086" s="17" t="b">
        <f>IFERROR(__xludf.DUMMYFUNCTION("""COMPUTED_VALUE"""),TRUE)</f>
        <v>1</v>
      </c>
      <c r="Q2086" s="20">
        <f>IFERROR(__xludf.DUMMYFUNCTION("""COMPUTED_VALUE"""),45062.64871376158)</f>
        <v>45062.64871</v>
      </c>
      <c r="R2086" s="22" t="str">
        <f>IFERROR(__xludf.DUMMYFUNCTION("""COMPUTED_VALUE"""),"")</f>
        <v/>
      </c>
    </row>
    <row r="2087">
      <c r="A2087" s="15">
        <f>IFERROR(__xludf.DUMMYFUNCTION("""COMPUTED_VALUE"""),45062.0)</f>
        <v>45062</v>
      </c>
      <c r="B2087" s="16" t="str">
        <f>IFERROR(__xludf.DUMMYFUNCTION("""COMPUTED_VALUE"""),"Envia")</f>
        <v>Envia</v>
      </c>
      <c r="C2087" s="15" t="str">
        <f>IFERROR(__xludf.DUMMYFUNCTION("""COMPUTED_VALUE"""),"MEDELLÍN")</f>
        <v>MEDELLÍN</v>
      </c>
      <c r="D2087" s="15" t="str">
        <f>IFERROR(__xludf.DUMMYFUNCTION("""COMPUTED_VALUE"""),"BOGOTÁ")</f>
        <v>BOGOTÁ</v>
      </c>
      <c r="E2087" s="15" t="str">
        <f>IFERROR(__xludf.DUMMYFUNCTION("""COMPUTED_VALUE"""),"Evamazzita")</f>
        <v>Evamazzita</v>
      </c>
      <c r="F2087" s="17" t="str">
        <f>IFERROR(__xludf.DUMMYFUNCTION("""COMPUTED_VALUE"""),"CRA 27G No. 35SUR - 175  / APTO 1406  / UNIDAD SALTAMONTE GRAND EN EL ESCOBERO")</f>
        <v>CRA 27G No. 35SUR - 175  / APTO 1406  / UNIDAD SALTAMONTE GRAND EN EL ESCOBERO</v>
      </c>
      <c r="G2087" s="15" t="str">
        <f>IFERROR(__xludf.DUMMYFUNCTION("""COMPUTED_VALUE"""),"SANDRA LILIANA VELASQUEZ PALACIO")</f>
        <v>SANDRA LILIANA VELASQUEZ PALACIO</v>
      </c>
      <c r="H2087" s="16">
        <f>IFERROR(__xludf.DUMMYFUNCTION("""COMPUTED_VALUE"""),10726.0)</f>
        <v>10726</v>
      </c>
      <c r="I2087" s="18">
        <f>IFERROR(__xludf.DUMMYFUNCTION("""COMPUTED_VALUE"""),10.0)</f>
        <v>10</v>
      </c>
      <c r="J2087" s="18">
        <f>IFERROR(__xludf.DUMMYFUNCTION("""COMPUTED_VALUE"""),18.0)</f>
        <v>18</v>
      </c>
      <c r="K2087" s="18">
        <f>IFERROR(__xludf.DUMMYFUNCTION("""COMPUTED_VALUE"""),22.0)</f>
        <v>22</v>
      </c>
      <c r="L2087" s="17">
        <f>IFERROR(__xludf.DUMMYFUNCTION("""COMPUTED_VALUE"""),3.042414222E9)</f>
        <v>3042414222</v>
      </c>
      <c r="M2087" s="17" t="str">
        <f>IFERROR(__xludf.DUMMYFUNCTION("""COMPUTED_VALUE"""),"#REF!")</f>
        <v>#REF!</v>
      </c>
      <c r="N2087" s="17"/>
      <c r="O2087" s="17"/>
      <c r="P2087" s="17" t="b">
        <f>IFERROR(__xludf.DUMMYFUNCTION("""COMPUTED_VALUE"""),TRUE)</f>
        <v>1</v>
      </c>
      <c r="Q2087" s="20">
        <f>IFERROR(__xludf.DUMMYFUNCTION("""COMPUTED_VALUE"""),45062.700527696754)</f>
        <v>45062.70053</v>
      </c>
      <c r="R2087" s="22" t="str">
        <f>IFERROR(__xludf.DUMMYFUNCTION("""COMPUTED_VALUE"""),"")</f>
        <v/>
      </c>
    </row>
    <row r="2088">
      <c r="A2088" s="15">
        <f>IFERROR(__xludf.DUMMYFUNCTION("""COMPUTED_VALUE"""),45062.0)</f>
        <v>45062</v>
      </c>
      <c r="B2088" s="16" t="str">
        <f>IFERROR(__xludf.DUMMYFUNCTION("""COMPUTED_VALUE"""),"Envia")</f>
        <v>Envia</v>
      </c>
      <c r="C2088" s="15" t="str">
        <f>IFERROR(__xludf.DUMMYFUNCTION("""COMPUTED_VALUE"""),"MEDELLÍN")</f>
        <v>MEDELLÍN</v>
      </c>
      <c r="D2088" s="15" t="str">
        <f>IFERROR(__xludf.DUMMYFUNCTION("""COMPUTED_VALUE"""),"BOGOTÁ")</f>
        <v>BOGOTÁ</v>
      </c>
      <c r="E2088" s="15" t="str">
        <f>IFERROR(__xludf.DUMMYFUNCTION("""COMPUTED_VALUE"""),"Ins. Alimento Vital")</f>
        <v>Ins. Alimento Vital</v>
      </c>
      <c r="F2088" s="17" t="str">
        <f>IFERROR(__xludf.DUMMYFUNCTION("""COMPUTED_VALUE"""),"AV 74B 39B 142 / CASA NEGRA 2 PISO / BARRIO LAURELES")</f>
        <v>AV 74B 39B 142 / CASA NEGRA 2 PISO / BARRIO LAURELES</v>
      </c>
      <c r="G2088" s="15" t="str">
        <f>IFERROR(__xludf.DUMMYFUNCTION("""COMPUTED_VALUE"""),"VELOCITY MEDELLIN")</f>
        <v>VELOCITY MEDELLIN</v>
      </c>
      <c r="H2088" s="16">
        <f>IFERROR(__xludf.DUMMYFUNCTION("""COMPUTED_VALUE"""),10706.0)</f>
        <v>10706</v>
      </c>
      <c r="I2088" s="18">
        <f>IFERROR(__xludf.DUMMYFUNCTION("""COMPUTED_VALUE"""),1.0)</f>
        <v>1</v>
      </c>
      <c r="J2088" s="18">
        <f>IFERROR(__xludf.DUMMYFUNCTION("""COMPUTED_VALUE"""),1.0)</f>
        <v>1</v>
      </c>
      <c r="K2088" s="18">
        <f>IFERROR(__xludf.DUMMYFUNCTION("""COMPUTED_VALUE"""),1.0)</f>
        <v>1</v>
      </c>
      <c r="L2088" s="17">
        <f>IFERROR(__xludf.DUMMYFUNCTION("""COMPUTED_VALUE"""),3.239674555E9)</f>
        <v>3239674555</v>
      </c>
      <c r="M2088" s="17" t="str">
        <f>IFERROR(__xludf.DUMMYFUNCTION("""COMPUTED_VALUE"""),"#REF!")</f>
        <v>#REF!</v>
      </c>
      <c r="N2088" s="17"/>
      <c r="O2088" s="17"/>
      <c r="P2088" s="17" t="b">
        <f>IFERROR(__xludf.DUMMYFUNCTION("""COMPUTED_VALUE"""),TRUE)</f>
        <v>1</v>
      </c>
      <c r="Q2088" s="20">
        <f>IFERROR(__xludf.DUMMYFUNCTION("""COMPUTED_VALUE"""),45062.64871376158)</f>
        <v>45062.64871</v>
      </c>
      <c r="R2088" s="22" t="str">
        <f>IFERROR(__xludf.DUMMYFUNCTION("""COMPUTED_VALUE"""),"")</f>
        <v/>
      </c>
    </row>
    <row r="2089">
      <c r="A2089" s="15">
        <f>IFERROR(__xludf.DUMMYFUNCTION("""COMPUTED_VALUE"""),45062.0)</f>
        <v>45062</v>
      </c>
      <c r="B2089" s="16" t="str">
        <f>IFERROR(__xludf.DUMMYFUNCTION("""COMPUTED_VALUE"""),"Envia")</f>
        <v>Envia</v>
      </c>
      <c r="C2089" s="15" t="str">
        <f>IFERROR(__xludf.DUMMYFUNCTION("""COMPUTED_VALUE"""),"MEDELLÍN")</f>
        <v>MEDELLÍN</v>
      </c>
      <c r="D2089" s="15" t="str">
        <f>IFERROR(__xludf.DUMMYFUNCTION("""COMPUTED_VALUE"""),"BOGOTÁ")</f>
        <v>BOGOTÁ</v>
      </c>
      <c r="E2089" s="15" t="str">
        <f>IFERROR(__xludf.DUMMYFUNCTION("""COMPUTED_VALUE"""),"MAI ALIMENTOS S.A.S")</f>
        <v>MAI ALIMENTOS S.A.S</v>
      </c>
      <c r="F2089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089" s="15" t="str">
        <f>IFERROR(__xludf.DUMMYFUNCTION("""COMPUTED_VALUE"""),"Novaventas - Medellin")</f>
        <v>Novaventas - Medellin</v>
      </c>
      <c r="H2089" s="16">
        <f>IFERROR(__xludf.DUMMYFUNCTION("""COMPUTED_VALUE"""),10588.0)</f>
        <v>10588</v>
      </c>
      <c r="I2089" s="18">
        <f>IFERROR(__xludf.DUMMYFUNCTION("""COMPUTED_VALUE"""),35.0)</f>
        <v>35</v>
      </c>
      <c r="J2089" s="18">
        <f>IFERROR(__xludf.DUMMYFUNCTION("""COMPUTED_VALUE"""),17.0)</f>
        <v>17</v>
      </c>
      <c r="K2089" s="18">
        <f>IFERROR(__xludf.DUMMYFUNCTION("""COMPUTED_VALUE"""),13.0)</f>
        <v>13</v>
      </c>
      <c r="L2089" s="17">
        <f>IFERROR(__xludf.DUMMYFUNCTION("""COMPUTED_VALUE"""),3.187351593E9)</f>
        <v>3187351593</v>
      </c>
      <c r="M2089" s="17" t="str">
        <f>IFERROR(__xludf.DUMMYFUNCTION("""COMPUTED_VALUE"""),"#REF!")</f>
        <v>#REF!</v>
      </c>
      <c r="N2089" s="17"/>
      <c r="O2089" s="17"/>
      <c r="P2089" s="17" t="b">
        <f>IFERROR(__xludf.DUMMYFUNCTION("""COMPUTED_VALUE"""),TRUE)</f>
        <v>1</v>
      </c>
      <c r="Q2089" s="20">
        <f>IFERROR(__xludf.DUMMYFUNCTION("""COMPUTED_VALUE"""),45062.64871376158)</f>
        <v>45062.64871</v>
      </c>
      <c r="R2089" s="22" t="str">
        <f>IFERROR(__xludf.DUMMYFUNCTION("""COMPUTED_VALUE"""),"")</f>
        <v/>
      </c>
    </row>
    <row r="2090">
      <c r="A2090" s="15">
        <f>IFERROR(__xludf.DUMMYFUNCTION("""COMPUTED_VALUE"""),45062.0)</f>
        <v>45062</v>
      </c>
      <c r="B2090" s="16" t="str">
        <f>IFERROR(__xludf.DUMMYFUNCTION("""COMPUTED_VALUE"""),"Envia")</f>
        <v>Envia</v>
      </c>
      <c r="C2090" s="15" t="str">
        <f>IFERROR(__xludf.DUMMYFUNCTION("""COMPUTED_VALUE"""),"MEDELLÍN")</f>
        <v>MEDELLÍN</v>
      </c>
      <c r="D2090" s="15" t="str">
        <f>IFERROR(__xludf.DUMMYFUNCTION("""COMPUTED_VALUE"""),"BOGOTÁ")</f>
        <v>BOGOTÁ</v>
      </c>
      <c r="E2090" s="15" t="str">
        <f>IFERROR(__xludf.DUMMYFUNCTION("""COMPUTED_VALUE"""),"Top Spun")</f>
        <v>Top Spun</v>
      </c>
      <c r="F2090" s="17" t="str">
        <f>IFERROR(__xludf.DUMMYFUNCTION("""COMPUTED_VALUE"""),"CRA 27 D # 34 DD SUR 69 / EDIFICIO QUEBEC APTO 808 / ENVIGADO ANTIOQUIA")</f>
        <v>CRA 27 D # 34 DD SUR 69 / EDIFICIO QUEBEC APTO 808 / ENVIGADO ANTIOQUIA</v>
      </c>
      <c r="G2090" s="15" t="str">
        <f>IFERROR(__xludf.DUMMYFUNCTION("""COMPUTED_VALUE"""),"LAURA ALEJANDRA Gutiérrez CAJICA")</f>
        <v>LAURA ALEJANDRA Gutiérrez CAJICA</v>
      </c>
      <c r="H2090" s="16">
        <f>IFERROR(__xludf.DUMMYFUNCTION("""COMPUTED_VALUE"""),10725.0)</f>
        <v>10725</v>
      </c>
      <c r="I2090" s="18">
        <f>IFERROR(__xludf.DUMMYFUNCTION("""COMPUTED_VALUE"""),20.0)</f>
        <v>20</v>
      </c>
      <c r="J2090" s="18">
        <f>IFERROR(__xludf.DUMMYFUNCTION("""COMPUTED_VALUE"""),10.0)</f>
        <v>10</v>
      </c>
      <c r="K2090" s="18">
        <f>IFERROR(__xludf.DUMMYFUNCTION("""COMPUTED_VALUE"""),40.0)</f>
        <v>40</v>
      </c>
      <c r="L2090" s="17">
        <f>IFERROR(__xludf.DUMMYFUNCTION("""COMPUTED_VALUE"""),3.022927874E9)</f>
        <v>3022927874</v>
      </c>
      <c r="M2090" s="17" t="str">
        <f>IFERROR(__xludf.DUMMYFUNCTION("""COMPUTED_VALUE"""),"#REF!")</f>
        <v>#REF!</v>
      </c>
      <c r="N2090" s="17"/>
      <c r="O2090" s="17"/>
      <c r="P2090" s="17" t="b">
        <f>IFERROR(__xludf.DUMMYFUNCTION("""COMPUTED_VALUE"""),FALSE)</f>
        <v>0</v>
      </c>
      <c r="Q2090" s="20" t="str">
        <f>IFERROR(__xludf.DUMMYFUNCTION("""COMPUTED_VALUE"""),"")</f>
        <v/>
      </c>
      <c r="R2090" s="22" t="str">
        <f>IFERROR(__xludf.DUMMYFUNCTION("""COMPUTED_VALUE"""),"")</f>
        <v/>
      </c>
    </row>
    <row r="2091">
      <c r="A2091" s="15">
        <f>IFERROR(__xludf.DUMMYFUNCTION("""COMPUTED_VALUE"""),45062.0)</f>
        <v>45062</v>
      </c>
      <c r="B2091" s="16" t="str">
        <f>IFERROR(__xludf.DUMMYFUNCTION("""COMPUTED_VALUE"""),"Envia")</f>
        <v>Envia</v>
      </c>
      <c r="C2091" s="15" t="str">
        <f>IFERROR(__xludf.DUMMYFUNCTION("""COMPUTED_VALUE"""),"PEREIRA")</f>
        <v>PEREIRA</v>
      </c>
      <c r="D2091" s="15" t="str">
        <f>IFERROR(__xludf.DUMMYFUNCTION("""COMPUTED_VALUE"""),"BOGOTÁ")</f>
        <v>BOGOTÁ</v>
      </c>
      <c r="E2091" s="15" t="str">
        <f>IFERROR(__xludf.DUMMYFUNCTION("""COMPUTED_VALUE"""),"Lunchy Kids")</f>
        <v>Lunchy Kids</v>
      </c>
      <c r="F2091" s="17" t="str">
        <f>IFERROR(__xludf.DUMMYFUNCTION("""COMPUTED_VALUE"""),"calle 12 no 22-43  / Casa / Alamos - Pereira")</f>
        <v>calle 12 no 22-43  / Casa / Alamos - Pereira</v>
      </c>
      <c r="G2091" s="15" t="str">
        <f>IFERROR(__xludf.DUMMYFUNCTION("""COMPUTED_VALUE"""),"Sofia Vela")</f>
        <v>Sofia Vela</v>
      </c>
      <c r="H2091" s="16">
        <f>IFERROR(__xludf.DUMMYFUNCTION("""COMPUTED_VALUE"""),10716.0)</f>
        <v>10716</v>
      </c>
      <c r="I2091" s="18">
        <f>IFERROR(__xludf.DUMMYFUNCTION("""COMPUTED_VALUE"""),20.0)</f>
        <v>20</v>
      </c>
      <c r="J2091" s="18">
        <f>IFERROR(__xludf.DUMMYFUNCTION("""COMPUTED_VALUE"""),30.0)</f>
        <v>30</v>
      </c>
      <c r="K2091" s="18">
        <f>IFERROR(__xludf.DUMMYFUNCTION("""COMPUTED_VALUE"""),8.0)</f>
        <v>8</v>
      </c>
      <c r="L2091" s="17">
        <f>IFERROR(__xludf.DUMMYFUNCTION("""COMPUTED_VALUE"""),3.232912015E9)</f>
        <v>3232912015</v>
      </c>
      <c r="M2091" s="17" t="str">
        <f>IFERROR(__xludf.DUMMYFUNCTION("""COMPUTED_VALUE"""),"#REF!")</f>
        <v>#REF!</v>
      </c>
      <c r="N2091" s="17"/>
      <c r="O2091" s="17"/>
      <c r="P2091" s="17" t="b">
        <f>IFERROR(__xludf.DUMMYFUNCTION("""COMPUTED_VALUE"""),TRUE)</f>
        <v>1</v>
      </c>
      <c r="Q2091" s="20">
        <f>IFERROR(__xludf.DUMMYFUNCTION("""COMPUTED_VALUE"""),45062.64871376158)</f>
        <v>45062.64871</v>
      </c>
      <c r="R2091" s="22" t="str">
        <f>IFERROR(__xludf.DUMMYFUNCTION("""COMPUTED_VALUE"""),"")</f>
        <v/>
      </c>
    </row>
    <row r="2092">
      <c r="A2092" s="15">
        <f>IFERROR(__xludf.DUMMYFUNCTION("""COMPUTED_VALUE"""),45062.0)</f>
        <v>45062</v>
      </c>
      <c r="B2092" s="16" t="str">
        <f>IFERROR(__xludf.DUMMYFUNCTION("""COMPUTED_VALUE"""),"Envia")</f>
        <v>Envia</v>
      </c>
      <c r="C2092" s="15" t="str">
        <f>IFERROR(__xludf.DUMMYFUNCTION("""COMPUTED_VALUE"""),"PEREIRA")</f>
        <v>PEREIRA</v>
      </c>
      <c r="D2092" s="15" t="str">
        <f>IFERROR(__xludf.DUMMYFUNCTION("""COMPUTED_VALUE"""),"MEDELLÍN")</f>
        <v>MEDELLÍN</v>
      </c>
      <c r="E2092" s="15" t="str">
        <f>IFERROR(__xludf.DUMMYFUNCTION("""COMPUTED_VALUE"""),"Sottas")</f>
        <v>Sottas</v>
      </c>
      <c r="F2092" s="17" t="str">
        <f>IFERROR(__xludf.DUMMYFUNCTION("""COMPUTED_VALUE"""),"Calle 12bis #16-18 / Casa  / Barrio pinares")</f>
        <v>Calle 12bis #16-18 / Casa  / Barrio pinares</v>
      </c>
      <c r="G2092" s="15" t="str">
        <f>IFERROR(__xludf.DUMMYFUNCTION("""COMPUTED_VALUE"""),"Héctor Hernández")</f>
        <v>Héctor Hernández</v>
      </c>
      <c r="H2092" s="16">
        <f>IFERROR(__xludf.DUMMYFUNCTION("""COMPUTED_VALUE"""),10718.0)</f>
        <v>10718</v>
      </c>
      <c r="I2092" s="18">
        <f>IFERROR(__xludf.DUMMYFUNCTION("""COMPUTED_VALUE"""),13.0)</f>
        <v>13</v>
      </c>
      <c r="J2092" s="18">
        <f>IFERROR(__xludf.DUMMYFUNCTION("""COMPUTED_VALUE"""),28.0)</f>
        <v>28</v>
      </c>
      <c r="K2092" s="18">
        <f>IFERROR(__xludf.DUMMYFUNCTION("""COMPUTED_VALUE"""),18.0)</f>
        <v>18</v>
      </c>
      <c r="L2092" s="17">
        <f>IFERROR(__xludf.DUMMYFUNCTION("""COMPUTED_VALUE"""),3.18591145E9)</f>
        <v>3185911450</v>
      </c>
      <c r="M2092" s="17" t="str">
        <f>IFERROR(__xludf.DUMMYFUNCTION("""COMPUTED_VALUE"""),"#REF!")</f>
        <v>#REF!</v>
      </c>
      <c r="N2092" s="17"/>
      <c r="O2092" s="17"/>
      <c r="P2092" s="17" t="b">
        <f>IFERROR(__xludf.DUMMYFUNCTION("""COMPUTED_VALUE"""),TRUE)</f>
        <v>1</v>
      </c>
      <c r="Q2092" s="20">
        <f>IFERROR(__xludf.DUMMYFUNCTION("""COMPUTED_VALUE"""),45062.64871376158)</f>
        <v>45062.64871</v>
      </c>
      <c r="R2092" s="22" t="str">
        <f>IFERROR(__xludf.DUMMYFUNCTION("""COMPUTED_VALUE"""),"")</f>
        <v/>
      </c>
    </row>
    <row r="2093">
      <c r="A2093" s="15">
        <f>IFERROR(__xludf.DUMMYFUNCTION("""COMPUTED_VALUE"""),45062.0)</f>
        <v>45062</v>
      </c>
      <c r="B2093" s="16" t="str">
        <f>IFERROR(__xludf.DUMMYFUNCTION("""COMPUTED_VALUE"""),"Envia")</f>
        <v>Envia</v>
      </c>
      <c r="C2093" s="15" t="str">
        <f>IFERROR(__xludf.DUMMYFUNCTION("""COMPUTED_VALUE"""),"PEREIRA")</f>
        <v>PEREIRA</v>
      </c>
      <c r="D2093" s="15" t="str">
        <f>IFERROR(__xludf.DUMMYFUNCTION("""COMPUTED_VALUE"""),"MEDELLÍN")</f>
        <v>MEDELLÍN</v>
      </c>
      <c r="E2093" s="15" t="str">
        <f>IFERROR(__xludf.DUMMYFUNCTION("""COMPUTED_VALUE"""),"Todo Bufala")</f>
        <v>Todo Bufala</v>
      </c>
      <c r="F2093" s="17" t="str">
        <f>IFERROR(__xludf.DUMMYFUNCTION("""COMPUTED_VALUE"""),"Cra 14n 12-55")</f>
        <v>Cra 14n 12-55</v>
      </c>
      <c r="G2093" s="15" t="str">
        <f>IFERROR(__xludf.DUMMYFUNCTION("""COMPUTED_VALUE"""),"Yeimi Jaramillo")</f>
        <v>Yeimi Jaramillo</v>
      </c>
      <c r="H2093" s="16">
        <f>IFERROR(__xludf.DUMMYFUNCTION("""COMPUTED_VALUE"""),10746.0)</f>
        <v>10746</v>
      </c>
      <c r="I2093" s="18">
        <f>IFERROR(__xludf.DUMMYFUNCTION("""COMPUTED_VALUE"""),40.0)</f>
        <v>40</v>
      </c>
      <c r="J2093" s="18">
        <f>IFERROR(__xludf.DUMMYFUNCTION("""COMPUTED_VALUE"""),30.0)</f>
        <v>30</v>
      </c>
      <c r="K2093" s="18">
        <f>IFERROR(__xludf.DUMMYFUNCTION("""COMPUTED_VALUE"""),20.0)</f>
        <v>20</v>
      </c>
      <c r="L2093" s="17"/>
      <c r="M2093" s="17" t="str">
        <f>IFERROR(__xludf.DUMMYFUNCTION("""COMPUTED_VALUE"""),"#REF!")</f>
        <v>#REF!</v>
      </c>
      <c r="N2093" s="17"/>
      <c r="O2093" s="17"/>
      <c r="P2093" s="17" t="b">
        <f>IFERROR(__xludf.DUMMYFUNCTION("""COMPUTED_VALUE"""),TRUE)</f>
        <v>1</v>
      </c>
      <c r="Q2093" s="20">
        <f>IFERROR(__xludf.DUMMYFUNCTION("""COMPUTED_VALUE"""),45062.64871376158)</f>
        <v>45062.64871</v>
      </c>
      <c r="R2093" s="22" t="str">
        <f>IFERROR(__xludf.DUMMYFUNCTION("""COMPUTED_VALUE"""),"")</f>
        <v/>
      </c>
    </row>
    <row r="2094">
      <c r="A2094" s="17" t="str">
        <f>IFERROR(__xludf.DUMMYFUNCTION("""COMPUTED_VALUE"""),"")</f>
        <v/>
      </c>
      <c r="B2094" s="17" t="str">
        <f>IFERROR(__xludf.DUMMYFUNCTION("""COMPUTED_VALUE"""),"")</f>
        <v/>
      </c>
      <c r="C2094" s="17" t="str">
        <f>IFERROR(__xludf.DUMMYFUNCTION("""COMPUTED_VALUE"""),"")</f>
        <v/>
      </c>
      <c r="D2094" s="17" t="str">
        <f>IFERROR(__xludf.DUMMYFUNCTION("""COMPUTED_VALUE"""),"")</f>
        <v/>
      </c>
      <c r="E2094" s="17" t="str">
        <f>IFERROR(__xludf.DUMMYFUNCTION("""COMPUTED_VALUE"""),"")</f>
        <v/>
      </c>
      <c r="F2094" s="17" t="str">
        <f>IFERROR(__xludf.DUMMYFUNCTION("""COMPUTED_VALUE"""),"")</f>
        <v/>
      </c>
      <c r="G2094" s="17" t="str">
        <f>IFERROR(__xludf.DUMMYFUNCTION("""COMPUTED_VALUE"""),"")</f>
        <v/>
      </c>
      <c r="H2094" s="17" t="str">
        <f>IFERROR(__xludf.DUMMYFUNCTION("""COMPUTED_VALUE"""),"")</f>
        <v/>
      </c>
      <c r="I2094" s="17" t="str">
        <f>IFERROR(__xludf.DUMMYFUNCTION("""COMPUTED_VALUE"""),"")</f>
        <v/>
      </c>
      <c r="J2094" s="17" t="str">
        <f>IFERROR(__xludf.DUMMYFUNCTION("""COMPUTED_VALUE"""),"")</f>
        <v/>
      </c>
      <c r="K2094" s="17" t="str">
        <f>IFERROR(__xludf.DUMMYFUNCTION("""COMPUTED_VALUE"""),"")</f>
        <v/>
      </c>
      <c r="L2094" s="17" t="str">
        <f>IFERROR(__xludf.DUMMYFUNCTION("""COMPUTED_VALUE"""),"")</f>
        <v/>
      </c>
      <c r="M2094" s="17" t="str">
        <f>IFERROR(__xludf.DUMMYFUNCTION("""COMPUTED_VALUE"""),"")</f>
        <v/>
      </c>
      <c r="N2094" s="17" t="str">
        <f>IFERROR(__xludf.DUMMYFUNCTION("""COMPUTED_VALUE"""),"")</f>
        <v/>
      </c>
      <c r="O2094" s="17" t="str">
        <f>IFERROR(__xludf.DUMMYFUNCTION("""COMPUTED_VALUE"""),"")</f>
        <v/>
      </c>
      <c r="P2094" s="17" t="str">
        <f>IFERROR(__xludf.DUMMYFUNCTION("""COMPUTED_VALUE"""),"")</f>
        <v/>
      </c>
      <c r="Q2094" s="17" t="str">
        <f>IFERROR(__xludf.DUMMYFUNCTION("""COMPUTED_VALUE"""),"")</f>
        <v/>
      </c>
      <c r="R2094" s="17" t="str">
        <f>IFERROR(__xludf.DUMMYFUNCTION("""COMPUTED_VALUE"""),"")</f>
        <v/>
      </c>
    </row>
    <row r="2095">
      <c r="A2095" s="15">
        <f>IFERROR(__xludf.DUMMYFUNCTION("""COMPUTED_VALUE"""),45062.0)</f>
        <v>45062</v>
      </c>
      <c r="B2095" s="16" t="str">
        <f>IFERROR(__xludf.DUMMYFUNCTION("""COMPUTED_VALUE"""),"Jesus Manuel Herrera Medina ")</f>
        <v>Jesus Manuel Herrera Medina </v>
      </c>
      <c r="C2095" s="15" t="str">
        <f>IFERROR(__xludf.DUMMYFUNCTION("""COMPUTED_VALUE"""),"BUCARAMANGA")</f>
        <v>BUCARAMANGA</v>
      </c>
      <c r="D2095" s="15" t="str">
        <f>IFERROR(__xludf.DUMMYFUNCTION("""COMPUTED_VALUE"""),"BOGOTÁ")</f>
        <v>BOGOTÁ</v>
      </c>
      <c r="E2095" s="15" t="str">
        <f>IFERROR(__xludf.DUMMYFUNCTION("""COMPUTED_VALUE"""),"Pan de Yuca")</f>
        <v>Pan de Yuca</v>
      </c>
      <c r="F2095" s="17" t="str">
        <f>IFERROR(__xludf.DUMMYFUNCTION("""COMPUTED_VALUE"""),"Carrera 37 # 53 - 08 / Casa / Cabecera")</f>
        <v>Carrera 37 # 53 - 08 / Casa / Cabecera</v>
      </c>
      <c r="G2095" s="15" t="str">
        <f>IFERROR(__xludf.DUMMYFUNCTION("""COMPUTED_VALUE"""),"Daniela Ordóñez")</f>
        <v>Daniela Ordóñez</v>
      </c>
      <c r="H2095" s="16">
        <f>IFERROR(__xludf.DUMMYFUNCTION("""COMPUTED_VALUE"""),10717.0)</f>
        <v>10717</v>
      </c>
      <c r="I2095" s="18">
        <f>IFERROR(__xludf.DUMMYFUNCTION("""COMPUTED_VALUE"""),30.0)</f>
        <v>30</v>
      </c>
      <c r="J2095" s="18">
        <f>IFERROR(__xludf.DUMMYFUNCTION("""COMPUTED_VALUE"""),32.0)</f>
        <v>32</v>
      </c>
      <c r="K2095" s="18">
        <f>IFERROR(__xludf.DUMMYFUNCTION("""COMPUTED_VALUE"""),43.0)</f>
        <v>43</v>
      </c>
      <c r="L2095" s="17">
        <f>IFERROR(__xludf.DUMMYFUNCTION("""COMPUTED_VALUE"""),3.002833712E9)</f>
        <v>3002833712</v>
      </c>
      <c r="M2095" s="17" t="str">
        <f>IFERROR(__xludf.DUMMYFUNCTION("""COMPUTED_VALUE"""),"#REF!")</f>
        <v>#REF!</v>
      </c>
      <c r="N2095" s="17"/>
      <c r="O2095" s="17"/>
      <c r="P2095" s="17" t="b">
        <f>IFERROR(__xludf.DUMMYFUNCTION("""COMPUTED_VALUE"""),TRUE)</f>
        <v>1</v>
      </c>
      <c r="Q2095" s="20">
        <f>IFERROR(__xludf.DUMMYFUNCTION("""COMPUTED_VALUE"""),45062.64871376158)</f>
        <v>45062.64871</v>
      </c>
      <c r="R2095" s="22" t="str">
        <f>IFERROR(__xludf.DUMMYFUNCTION("""COMPUTED_VALUE"""),"")</f>
        <v/>
      </c>
    </row>
    <row r="2096">
      <c r="A2096" s="15">
        <f>IFERROR(__xludf.DUMMYFUNCTION("""COMPUTED_VALUE"""),45062.0)</f>
        <v>45062</v>
      </c>
      <c r="B2096" s="16" t="str">
        <f>IFERROR(__xludf.DUMMYFUNCTION("""COMPUTED_VALUE"""),"Jesus Manuel Herrera Medina ")</f>
        <v>Jesus Manuel Herrera Medina </v>
      </c>
      <c r="C2096" s="15" t="str">
        <f>IFERROR(__xludf.DUMMYFUNCTION("""COMPUTED_VALUE"""),"BUCARAMANGA")</f>
        <v>BUCARAMANGA</v>
      </c>
      <c r="D2096" s="15" t="str">
        <f>IFERROR(__xludf.DUMMYFUNCTION("""COMPUTED_VALUE"""),"MEDELLÍN")</f>
        <v>MEDELLÍN</v>
      </c>
      <c r="E2096" s="15" t="str">
        <f>IFERROR(__xludf.DUMMYFUNCTION("""COMPUTED_VALUE"""),"Baby Chef")</f>
        <v>Baby Chef</v>
      </c>
      <c r="F2096" s="17" t="str">
        <f>IFERROR(__xludf.DUMMYFUNCTION("""COMPUTED_VALUE"""),"Av Bucaros # 60 - 168 Torre C Apto 304 Torres de las Cigarras - Real de las Minas / Av Bucaros # 60 - 168 Torre C Apto 304 Torres de las Cigarras - Real de las Minas / Av Bucaros # 60 - 168 Torre C Apto 304 Torres de las Cigarras - Real de las Minas")</f>
        <v>Av Bucaros # 60 - 168 Torre C Apto 304 Torres de las Cigarras - Real de las Minas / Av Bucaros # 60 - 168 Torre C Apto 304 Torres de las Cigarras - Real de las Minas / Av Bucaros # 60 - 168 Torre C Apto 304 Torres de las Cigarras - Real de las Minas</v>
      </c>
      <c r="G2096" s="15" t="str">
        <f>IFERROR(__xludf.DUMMYFUNCTION("""COMPUTED_VALUE"""),"Mariela Anaya")</f>
        <v>Mariela Anaya</v>
      </c>
      <c r="H2096" s="16">
        <f>IFERROR(__xludf.DUMMYFUNCTION("""COMPUTED_VALUE"""),10749.0)</f>
        <v>10749</v>
      </c>
      <c r="I2096" s="18">
        <f>IFERROR(__xludf.DUMMYFUNCTION("""COMPUTED_VALUE"""),8.0)</f>
        <v>8</v>
      </c>
      <c r="J2096" s="18">
        <f>IFERROR(__xludf.DUMMYFUNCTION("""COMPUTED_VALUE"""),16.0)</f>
        <v>16</v>
      </c>
      <c r="K2096" s="18">
        <f>IFERROR(__xludf.DUMMYFUNCTION("""COMPUTED_VALUE"""),20.0)</f>
        <v>20</v>
      </c>
      <c r="L2096" s="17">
        <f>IFERROR(__xludf.DUMMYFUNCTION("""COMPUTED_VALUE"""),3.168761842E9)</f>
        <v>3168761842</v>
      </c>
      <c r="M2096" s="17" t="str">
        <f>IFERROR(__xludf.DUMMYFUNCTION("""COMPUTED_VALUE"""),"#REF!")</f>
        <v>#REF!</v>
      </c>
      <c r="N2096" s="17"/>
      <c r="O2096" s="17"/>
      <c r="P2096" s="17" t="b">
        <f>IFERROR(__xludf.DUMMYFUNCTION("""COMPUTED_VALUE"""),FALSE)</f>
        <v>0</v>
      </c>
      <c r="Q2096" s="20" t="str">
        <f>IFERROR(__xludf.DUMMYFUNCTION("""COMPUTED_VALUE"""),"")</f>
        <v/>
      </c>
      <c r="R2096" s="22" t="str">
        <f>IFERROR(__xludf.DUMMYFUNCTION("""COMPUTED_VALUE"""),"")</f>
        <v/>
      </c>
    </row>
    <row r="2097">
      <c r="A2097" s="15">
        <f>IFERROR(__xludf.DUMMYFUNCTION("""COMPUTED_VALUE"""),45062.0)</f>
        <v>45062</v>
      </c>
      <c r="B2097" s="16" t="str">
        <f>IFERROR(__xludf.DUMMYFUNCTION("""COMPUTED_VALUE"""),"Jesus Manuel Herrera Medina ")</f>
        <v>Jesus Manuel Herrera Medina </v>
      </c>
      <c r="C2097" s="15" t="str">
        <f>IFERROR(__xludf.DUMMYFUNCTION("""COMPUTED_VALUE"""),"BUCARAMANGA")</f>
        <v>BUCARAMANGA</v>
      </c>
      <c r="D2097" s="15" t="str">
        <f>IFERROR(__xludf.DUMMYFUNCTION("""COMPUTED_VALUE"""),"MEDELLÍN")</f>
        <v>MEDELLÍN</v>
      </c>
      <c r="E2097" s="15" t="str">
        <f>IFERROR(__xludf.DUMMYFUNCTION("""COMPUTED_VALUE"""),"Todo Bufala")</f>
        <v>Todo Bufala</v>
      </c>
      <c r="F2097" s="17" t="str">
        <f>IFERROR(__xludf.DUMMYFUNCTION("""COMPUTED_VALUE"""),"Calle 51 23 45 / apto 1705 edificio condominio Ara")</f>
        <v>Calle 51 23 45 / apto 1705 edificio condominio Ara</v>
      </c>
      <c r="G2097" s="15" t="str">
        <f>IFERROR(__xludf.DUMMYFUNCTION("""COMPUTED_VALUE"""),"Angie Murillo")</f>
        <v>Angie Murillo</v>
      </c>
      <c r="H2097" s="16">
        <f>IFERROR(__xludf.DUMMYFUNCTION("""COMPUTED_VALUE"""),10735.0)</f>
        <v>10735</v>
      </c>
      <c r="I2097" s="18">
        <f>IFERROR(__xludf.DUMMYFUNCTION("""COMPUTED_VALUE"""),15.0)</f>
        <v>15</v>
      </c>
      <c r="J2097" s="18">
        <f>IFERROR(__xludf.DUMMYFUNCTION("""COMPUTED_VALUE"""),18.0)</f>
        <v>18</v>
      </c>
      <c r="K2097" s="18">
        <f>IFERROR(__xludf.DUMMYFUNCTION("""COMPUTED_VALUE"""),21.0)</f>
        <v>21</v>
      </c>
      <c r="L2097" s="17" t="str">
        <f>IFERROR(__xludf.DUMMYFUNCTION("""COMPUTED_VALUE"""),"300 3615694")</f>
        <v>300 3615694</v>
      </c>
      <c r="M2097" s="17" t="str">
        <f>IFERROR(__xludf.DUMMYFUNCTION("""COMPUTED_VALUE"""),"#REF!")</f>
        <v>#REF!</v>
      </c>
      <c r="N2097" s="17"/>
      <c r="O2097" s="17"/>
      <c r="P2097" s="17" t="b">
        <f>IFERROR(__xludf.DUMMYFUNCTION("""COMPUTED_VALUE"""),FALSE)</f>
        <v>0</v>
      </c>
      <c r="Q2097" s="20" t="str">
        <f>IFERROR(__xludf.DUMMYFUNCTION("""COMPUTED_VALUE"""),"")</f>
        <v/>
      </c>
      <c r="R2097" s="22" t="str">
        <f>IFERROR(__xludf.DUMMYFUNCTION("""COMPUTED_VALUE"""),"")</f>
        <v/>
      </c>
    </row>
    <row r="2098">
      <c r="A2098" s="15">
        <f>IFERROR(__xludf.DUMMYFUNCTION("""COMPUTED_VALUE"""),45062.0)</f>
        <v>45062</v>
      </c>
      <c r="B2098" s="16" t="str">
        <f>IFERROR(__xludf.DUMMYFUNCTION("""COMPUTED_VALUE"""),"Jesus Manuel Herrera Medina ")</f>
        <v>Jesus Manuel Herrera Medina </v>
      </c>
      <c r="C2098" s="15" t="str">
        <f>IFERROR(__xludf.DUMMYFUNCTION("""COMPUTED_VALUE"""),"FLORIDABLANCA")</f>
        <v>FLORIDABLANCA</v>
      </c>
      <c r="D2098" s="15" t="str">
        <f>IFERROR(__xludf.DUMMYFUNCTION("""COMPUTED_VALUE"""),"BOGOTÁ")</f>
        <v>BOGOTÁ</v>
      </c>
      <c r="E2098" s="15" t="str">
        <f>IFERROR(__xludf.DUMMYFUNCTION("""COMPUTED_VALUE"""),"Asociacion Agropecuaria Juana Maria")</f>
        <v>Asociacion Agropecuaria Juana Maria</v>
      </c>
      <c r="F2098" s="17" t="str">
        <f>IFERROR(__xludf.DUMMYFUNCTION("""COMPUTED_VALUE"""),"Calle 19 #11-37 Guanatá FLORIDABLANCA")</f>
        <v>Calle 19 #11-37 Guanatá FLORIDABLANCA</v>
      </c>
      <c r="G2098" s="15" t="str">
        <f>IFERROR(__xludf.DUMMYFUNCTION("""COMPUTED_VALUE"""),"Claudia Gonzalez")</f>
        <v>Claudia Gonzalez</v>
      </c>
      <c r="H2098" s="16">
        <f>IFERROR(__xludf.DUMMYFUNCTION("""COMPUTED_VALUE"""),10664.0)</f>
        <v>10664</v>
      </c>
      <c r="I2098" s="18">
        <f>IFERROR(__xludf.DUMMYFUNCTION("""COMPUTED_VALUE"""),21.0)</f>
        <v>21</v>
      </c>
      <c r="J2098" s="18">
        <f>IFERROR(__xludf.DUMMYFUNCTION("""COMPUTED_VALUE"""),37.0)</f>
        <v>37</v>
      </c>
      <c r="K2098" s="18">
        <f>IFERROR(__xludf.DUMMYFUNCTION("""COMPUTED_VALUE"""),30.0)</f>
        <v>30</v>
      </c>
      <c r="L2098" s="17">
        <f>IFERROR(__xludf.DUMMYFUNCTION("""COMPUTED_VALUE"""),3.002802001E9)</f>
        <v>3002802001</v>
      </c>
      <c r="M2098" s="17" t="str">
        <f>IFERROR(__xludf.DUMMYFUNCTION("""COMPUTED_VALUE"""),"#REF!")</f>
        <v>#REF!</v>
      </c>
      <c r="N2098" s="17"/>
      <c r="O2098" s="17"/>
      <c r="P2098" s="17" t="b">
        <f>IFERROR(__xludf.DUMMYFUNCTION("""COMPUTED_VALUE"""),FALSE)</f>
        <v>0</v>
      </c>
      <c r="Q2098" s="20" t="str">
        <f>IFERROR(__xludf.DUMMYFUNCTION("""COMPUTED_VALUE"""),"")</f>
        <v/>
      </c>
      <c r="R2098" s="22" t="str">
        <f>IFERROR(__xludf.DUMMYFUNCTION("""COMPUTED_VALUE"""),"")</f>
        <v/>
      </c>
    </row>
    <row r="2099">
      <c r="A2099" s="15">
        <f>IFERROR(__xludf.DUMMYFUNCTION("""COMPUTED_VALUE"""),45062.0)</f>
        <v>45062</v>
      </c>
      <c r="B2099" s="16" t="str">
        <f>IFERROR(__xludf.DUMMYFUNCTION("""COMPUTED_VALUE"""),"Jesus Manuel Herrera Medina ")</f>
        <v>Jesus Manuel Herrera Medina </v>
      </c>
      <c r="C2099" s="15" t="str">
        <f>IFERROR(__xludf.DUMMYFUNCTION("""COMPUTED_VALUE"""),"FLORIDABLANCA")</f>
        <v>FLORIDABLANCA</v>
      </c>
      <c r="D2099" s="15" t="str">
        <f>IFERROR(__xludf.DUMMYFUNCTION("""COMPUTED_VALUE"""),"BOGOTÁ")</f>
        <v>BOGOTÁ</v>
      </c>
      <c r="E2099" s="15" t="str">
        <f>IFERROR(__xludf.DUMMYFUNCTION("""COMPUTED_VALUE"""),"Ins. Alimento Vital")</f>
        <v>Ins. Alimento Vital</v>
      </c>
      <c r="F2099" s="17" t="str">
        <f>IFERROR(__xludf.DUMMYFUNCTION("""COMPUTED_VALUE"""),"CONDOMINIO ROUITIQUE / CASA 39 / CONJUNTO LA PRADERA")</f>
        <v>CONDOMINIO ROUITIQUE / CASA 39 / CONJUNTO LA PRADERA</v>
      </c>
      <c r="G2099" s="15" t="str">
        <f>IFERROR(__xludf.DUMMYFUNCTION("""COMPUTED_VALUE"""),"ADRIANA MARIA BARRERA SARMIENTO")</f>
        <v>ADRIANA MARIA BARRERA SARMIENTO</v>
      </c>
      <c r="H2099" s="16">
        <f>IFERROR(__xludf.DUMMYFUNCTION("""COMPUTED_VALUE"""),10720.0)</f>
        <v>10720</v>
      </c>
      <c r="I2099" s="18">
        <f>IFERROR(__xludf.DUMMYFUNCTION("""COMPUTED_VALUE"""),1.0)</f>
        <v>1</v>
      </c>
      <c r="J2099" s="18">
        <f>IFERROR(__xludf.DUMMYFUNCTION("""COMPUTED_VALUE"""),1.0)</f>
        <v>1</v>
      </c>
      <c r="K2099" s="18">
        <f>IFERROR(__xludf.DUMMYFUNCTION("""COMPUTED_VALUE"""),1.0)</f>
        <v>1</v>
      </c>
      <c r="L2099" s="17">
        <f>IFERROR(__xludf.DUMMYFUNCTION("""COMPUTED_VALUE"""),3.21372563E9)</f>
        <v>3213725630</v>
      </c>
      <c r="M2099" s="17" t="str">
        <f>IFERROR(__xludf.DUMMYFUNCTION("""COMPUTED_VALUE"""),"#REF!")</f>
        <v>#REF!</v>
      </c>
      <c r="N2099" s="17"/>
      <c r="O2099" s="17"/>
      <c r="P2099" s="17" t="b">
        <f>IFERROR(__xludf.DUMMYFUNCTION("""COMPUTED_VALUE"""),FALSE)</f>
        <v>0</v>
      </c>
      <c r="Q2099" s="20" t="str">
        <f>IFERROR(__xludf.DUMMYFUNCTION("""COMPUTED_VALUE"""),"")</f>
        <v/>
      </c>
      <c r="R2099" s="22" t="str">
        <f>IFERROR(__xludf.DUMMYFUNCTION("""COMPUTED_VALUE"""),"")</f>
        <v/>
      </c>
    </row>
    <row r="2100">
      <c r="A2100" s="17" t="str">
        <f>IFERROR(__xludf.DUMMYFUNCTION("""COMPUTED_VALUE"""),"")</f>
        <v/>
      </c>
      <c r="B2100" s="17" t="str">
        <f>IFERROR(__xludf.DUMMYFUNCTION("""COMPUTED_VALUE"""),"")</f>
        <v/>
      </c>
      <c r="C2100" s="17" t="str">
        <f>IFERROR(__xludf.DUMMYFUNCTION("""COMPUTED_VALUE"""),"")</f>
        <v/>
      </c>
      <c r="D2100" s="17" t="str">
        <f>IFERROR(__xludf.DUMMYFUNCTION("""COMPUTED_VALUE"""),"")</f>
        <v/>
      </c>
      <c r="E2100" s="17" t="str">
        <f>IFERROR(__xludf.DUMMYFUNCTION("""COMPUTED_VALUE"""),"")</f>
        <v/>
      </c>
      <c r="F2100" s="17" t="str">
        <f>IFERROR(__xludf.DUMMYFUNCTION("""COMPUTED_VALUE"""),"")</f>
        <v/>
      </c>
      <c r="G2100" s="17" t="str">
        <f>IFERROR(__xludf.DUMMYFUNCTION("""COMPUTED_VALUE"""),"")</f>
        <v/>
      </c>
      <c r="H2100" s="17" t="str">
        <f>IFERROR(__xludf.DUMMYFUNCTION("""COMPUTED_VALUE"""),"")</f>
        <v/>
      </c>
      <c r="I2100" s="17" t="str">
        <f>IFERROR(__xludf.DUMMYFUNCTION("""COMPUTED_VALUE"""),"")</f>
        <v/>
      </c>
      <c r="J2100" s="17" t="str">
        <f>IFERROR(__xludf.DUMMYFUNCTION("""COMPUTED_VALUE"""),"")</f>
        <v/>
      </c>
      <c r="K2100" s="17" t="str">
        <f>IFERROR(__xludf.DUMMYFUNCTION("""COMPUTED_VALUE"""),"")</f>
        <v/>
      </c>
      <c r="L2100" s="17" t="str">
        <f>IFERROR(__xludf.DUMMYFUNCTION("""COMPUTED_VALUE"""),"")</f>
        <v/>
      </c>
      <c r="M2100" s="17" t="str">
        <f>IFERROR(__xludf.DUMMYFUNCTION("""COMPUTED_VALUE"""),"")</f>
        <v/>
      </c>
      <c r="N2100" s="17" t="str">
        <f>IFERROR(__xludf.DUMMYFUNCTION("""COMPUTED_VALUE"""),"")</f>
        <v/>
      </c>
      <c r="O2100" s="17" t="str">
        <f>IFERROR(__xludf.DUMMYFUNCTION("""COMPUTED_VALUE"""),"")</f>
        <v/>
      </c>
      <c r="P2100" s="17" t="str">
        <f>IFERROR(__xludf.DUMMYFUNCTION("""COMPUTED_VALUE"""),"")</f>
        <v/>
      </c>
      <c r="Q2100" s="17" t="str">
        <f>IFERROR(__xludf.DUMMYFUNCTION("""COMPUTED_VALUE"""),"")</f>
        <v/>
      </c>
      <c r="R2100" s="17" t="str">
        <f>IFERROR(__xludf.DUMMYFUNCTION("""COMPUTED_VALUE"""),"")</f>
        <v/>
      </c>
    </row>
    <row r="2101">
      <c r="A2101" s="15">
        <f>IFERROR(__xludf.DUMMYFUNCTION("""COMPUTED_VALUE"""),45062.0)</f>
        <v>45062</v>
      </c>
      <c r="B2101" s="16" t="str">
        <f>IFERROR(__xludf.DUMMYFUNCTION("""COMPUTED_VALUE"""),"Jhon Anderson Ceballos Hernandez")</f>
        <v>Jhon Anderson Ceballos Hernandez</v>
      </c>
      <c r="C2101" s="15" t="str">
        <f>IFERROR(__xludf.DUMMYFUNCTION("""COMPUTED_VALUE"""),"MANIZALES")</f>
        <v>MANIZALES</v>
      </c>
      <c r="D2101" s="15" t="str">
        <f>IFERROR(__xludf.DUMMYFUNCTION("""COMPUTED_VALUE"""),"BOGOTÁ")</f>
        <v>BOGOTÁ</v>
      </c>
      <c r="E2101" s="15" t="str">
        <f>IFERROR(__xludf.DUMMYFUNCTION("""COMPUTED_VALUE"""),"Blond &amp; This")</f>
        <v>Blond &amp; This</v>
      </c>
      <c r="F2101" s="17" t="str">
        <f>IFERROR(__xludf.DUMMYFUNCTION("""COMPUTED_VALUE"""),"calle22#22-26 / ed. el comercio oficina 1206 / manizales")</f>
        <v>calle22#22-26 / ed. el comercio oficina 1206 / manizales</v>
      </c>
      <c r="G2101" s="15" t="str">
        <f>IFERROR(__xludf.DUMMYFUNCTION("""COMPUTED_VALUE"""),"martha luz zuluaga")</f>
        <v>martha luz zuluaga</v>
      </c>
      <c r="H2101" s="16">
        <f>IFERROR(__xludf.DUMMYFUNCTION("""COMPUTED_VALUE"""),10740.0)</f>
        <v>10740</v>
      </c>
      <c r="I2101" s="18">
        <f>IFERROR(__xludf.DUMMYFUNCTION("""COMPUTED_VALUE"""),14.0)</f>
        <v>14</v>
      </c>
      <c r="J2101" s="18">
        <f>IFERROR(__xludf.DUMMYFUNCTION("""COMPUTED_VALUE"""),26.0)</f>
        <v>26</v>
      </c>
      <c r="K2101" s="18">
        <f>IFERROR(__xludf.DUMMYFUNCTION("""COMPUTED_VALUE"""),31.0)</f>
        <v>31</v>
      </c>
      <c r="L2101" s="17">
        <f>IFERROR(__xludf.DUMMYFUNCTION("""COMPUTED_VALUE"""),3.216296861E9)</f>
        <v>3216296861</v>
      </c>
      <c r="M2101" s="17" t="str">
        <f>IFERROR(__xludf.DUMMYFUNCTION("""COMPUTED_VALUE"""),"#REF!")</f>
        <v>#REF!</v>
      </c>
      <c r="N2101" s="17"/>
      <c r="O2101" s="17"/>
      <c r="P2101" s="17" t="b">
        <f>IFERROR(__xludf.DUMMYFUNCTION("""COMPUTED_VALUE"""),FALSE)</f>
        <v>0</v>
      </c>
      <c r="Q2101" s="20" t="str">
        <f>IFERROR(__xludf.DUMMYFUNCTION("""COMPUTED_VALUE"""),"")</f>
        <v/>
      </c>
      <c r="R2101" s="22" t="str">
        <f>IFERROR(__xludf.DUMMYFUNCTION("""COMPUTED_VALUE"""),"")</f>
        <v/>
      </c>
    </row>
    <row r="2102">
      <c r="A2102" s="15">
        <f>IFERROR(__xludf.DUMMYFUNCTION("""COMPUTED_VALUE"""),45062.0)</f>
        <v>45062</v>
      </c>
      <c r="B2102" s="16" t="str">
        <f>IFERROR(__xludf.DUMMYFUNCTION("""COMPUTED_VALUE"""),"Jhon Anderson Ceballos Hernandez")</f>
        <v>Jhon Anderson Ceballos Hernandez</v>
      </c>
      <c r="C2102" s="15" t="str">
        <f>IFERROR(__xludf.DUMMYFUNCTION("""COMPUTED_VALUE"""),"MANIZALES")</f>
        <v>MANIZALES</v>
      </c>
      <c r="D2102" s="15" t="str">
        <f>IFERROR(__xludf.DUMMYFUNCTION("""COMPUTED_VALUE"""),"BOGOTÁ")</f>
        <v>BOGOTÁ</v>
      </c>
      <c r="E2102" s="15" t="str">
        <f>IFERROR(__xludf.DUMMYFUNCTION("""COMPUTED_VALUE"""),"Blond &amp; This")</f>
        <v>Blond &amp; This</v>
      </c>
      <c r="F2102" s="17" t="str">
        <f>IFERROR(__xludf.DUMMYFUNCTION("""COMPUTED_VALUE"""),"cra23#73-86 / restaurante la farfalla / milan")</f>
        <v>cra23#73-86 / restaurante la farfalla / milan</v>
      </c>
      <c r="G2102" s="15" t="str">
        <f>IFERROR(__xludf.DUMMYFUNCTION("""COMPUTED_VALUE"""),"omaira lopez")</f>
        <v>omaira lopez</v>
      </c>
      <c r="H2102" s="16">
        <f>IFERROR(__xludf.DUMMYFUNCTION("""COMPUTED_VALUE"""),10739.0)</f>
        <v>10739</v>
      </c>
      <c r="I2102" s="18">
        <f>IFERROR(__xludf.DUMMYFUNCTION("""COMPUTED_VALUE"""),14.0)</f>
        <v>14</v>
      </c>
      <c r="J2102" s="18">
        <f>IFERROR(__xludf.DUMMYFUNCTION("""COMPUTED_VALUE"""),26.0)</f>
        <v>26</v>
      </c>
      <c r="K2102" s="18">
        <f>IFERROR(__xludf.DUMMYFUNCTION("""COMPUTED_VALUE"""),31.0)</f>
        <v>31</v>
      </c>
      <c r="L2102" s="17">
        <f>IFERROR(__xludf.DUMMYFUNCTION("""COMPUTED_VALUE"""),3.10421678E9)</f>
        <v>3104216780</v>
      </c>
      <c r="M2102" s="17" t="str">
        <f>IFERROR(__xludf.DUMMYFUNCTION("""COMPUTED_VALUE"""),"#REF!")</f>
        <v>#REF!</v>
      </c>
      <c r="N2102" s="17"/>
      <c r="O2102" s="17"/>
      <c r="P2102" s="17" t="b">
        <f>IFERROR(__xludf.DUMMYFUNCTION("""COMPUTED_VALUE"""),FALSE)</f>
        <v>0</v>
      </c>
      <c r="Q2102" s="20" t="str">
        <f>IFERROR(__xludf.DUMMYFUNCTION("""COMPUTED_VALUE"""),"")</f>
        <v/>
      </c>
      <c r="R2102" s="22" t="str">
        <f>IFERROR(__xludf.DUMMYFUNCTION("""COMPUTED_VALUE"""),"")</f>
        <v/>
      </c>
    </row>
    <row r="2103">
      <c r="A2103" s="15">
        <f>IFERROR(__xludf.DUMMYFUNCTION("""COMPUTED_VALUE"""),45062.0)</f>
        <v>45062</v>
      </c>
      <c r="B2103" s="16" t="str">
        <f>IFERROR(__xludf.DUMMYFUNCTION("""COMPUTED_VALUE"""),"Jhon Anderson Ceballos Hernandez")</f>
        <v>Jhon Anderson Ceballos Hernandez</v>
      </c>
      <c r="C2103" s="15" t="str">
        <f>IFERROR(__xludf.DUMMYFUNCTION("""COMPUTED_VALUE"""),"MANIZALES")</f>
        <v>MANIZALES</v>
      </c>
      <c r="D2103" s="15" t="str">
        <f>IFERROR(__xludf.DUMMYFUNCTION("""COMPUTED_VALUE"""),"BOGOTÁ")</f>
        <v>BOGOTÁ</v>
      </c>
      <c r="E2103" s="15" t="str">
        <f>IFERROR(__xludf.DUMMYFUNCTION("""COMPUTED_VALUE"""),"Evamazzita")</f>
        <v>Evamazzita</v>
      </c>
      <c r="F2103" s="17" t="str">
        <f>IFERROR(__xludf.DUMMYFUNCTION("""COMPUTED_VALUE"""),"CALLE 4D No. 34A - 14  / N/A / BARRIO ASTURIAS")</f>
        <v>CALLE 4D No. 34A - 14  / N/A / BARRIO ASTURIAS</v>
      </c>
      <c r="G2103" s="15" t="str">
        <f>IFERROR(__xludf.DUMMYFUNCTION("""COMPUTED_VALUE"""),"SANDRA ARISTIZABAL")</f>
        <v>SANDRA ARISTIZABAL</v>
      </c>
      <c r="H2103" s="16">
        <f>IFERROR(__xludf.DUMMYFUNCTION("""COMPUTED_VALUE"""),10722.0)</f>
        <v>10722</v>
      </c>
      <c r="I2103" s="18">
        <f>IFERROR(__xludf.DUMMYFUNCTION("""COMPUTED_VALUE"""),3.0)</f>
        <v>3</v>
      </c>
      <c r="J2103" s="18">
        <f>IFERROR(__xludf.DUMMYFUNCTION("""COMPUTED_VALUE"""),20.0)</f>
        <v>20</v>
      </c>
      <c r="K2103" s="18">
        <f>IFERROR(__xludf.DUMMYFUNCTION("""COMPUTED_VALUE"""),15.0)</f>
        <v>15</v>
      </c>
      <c r="L2103" s="17">
        <f>IFERROR(__xludf.DUMMYFUNCTION("""COMPUTED_VALUE"""),3.122756054E9)</f>
        <v>3122756054</v>
      </c>
      <c r="M2103" s="17" t="str">
        <f>IFERROR(__xludf.DUMMYFUNCTION("""COMPUTED_VALUE"""),"#REF!")</f>
        <v>#REF!</v>
      </c>
      <c r="N2103" s="17"/>
      <c r="O2103" s="17"/>
      <c r="P2103" s="17" t="b">
        <f>IFERROR(__xludf.DUMMYFUNCTION("""COMPUTED_VALUE"""),FALSE)</f>
        <v>0</v>
      </c>
      <c r="Q2103" s="20" t="str">
        <f>IFERROR(__xludf.DUMMYFUNCTION("""COMPUTED_VALUE"""),"")</f>
        <v/>
      </c>
      <c r="R2103" s="22" t="str">
        <f>IFERROR(__xludf.DUMMYFUNCTION("""COMPUTED_VALUE"""),"")</f>
        <v/>
      </c>
    </row>
    <row r="2104">
      <c r="A2104" s="15">
        <f>IFERROR(__xludf.DUMMYFUNCTION("""COMPUTED_VALUE"""),45062.0)</f>
        <v>45062</v>
      </c>
      <c r="B2104" s="16" t="str">
        <f>IFERROR(__xludf.DUMMYFUNCTION("""COMPUTED_VALUE"""),"Jhon Anderson Ceballos Hernandez")</f>
        <v>Jhon Anderson Ceballos Hernandez</v>
      </c>
      <c r="C2104" s="15" t="str">
        <f>IFERROR(__xludf.DUMMYFUNCTION("""COMPUTED_VALUE"""),"MANIZALES")</f>
        <v>MANIZALES</v>
      </c>
      <c r="D2104" s="15" t="str">
        <f>IFERROR(__xludf.DUMMYFUNCTION("""COMPUTED_VALUE"""),"BOGOTÁ")</f>
        <v>BOGOTÁ</v>
      </c>
      <c r="E2104" s="15" t="str">
        <f>IFERROR(__xludf.DUMMYFUNCTION("""COMPUTED_VALUE"""),"Evamazzita")</f>
        <v>Evamazzita</v>
      </c>
      <c r="F2104" s="17" t="str">
        <f>IFERROR(__xludf.DUMMYFUNCTION("""COMPUTED_VALUE"""),"VIA AL CERRO DE ORO No. 67 - 02  / APTO 201 BOSQUES DEL CERRO  / DIAGONAL AL AVION DE CERRO DE ORO")</f>
        <v>VIA AL CERRO DE ORO No. 67 - 02  / APTO 201 BOSQUES DEL CERRO  / DIAGONAL AL AVION DE CERRO DE ORO</v>
      </c>
      <c r="G2104" s="15" t="str">
        <f>IFERROR(__xludf.DUMMYFUNCTION("""COMPUTED_VALUE"""),"MARIA LUISA GALVEZ")</f>
        <v>MARIA LUISA GALVEZ</v>
      </c>
      <c r="H2104" s="16">
        <f>IFERROR(__xludf.DUMMYFUNCTION("""COMPUTED_VALUE"""),10723.0)</f>
        <v>10723</v>
      </c>
      <c r="I2104" s="18">
        <f>IFERROR(__xludf.DUMMYFUNCTION("""COMPUTED_VALUE"""),3.0)</f>
        <v>3</v>
      </c>
      <c r="J2104" s="18">
        <f>IFERROR(__xludf.DUMMYFUNCTION("""COMPUTED_VALUE"""),15.0)</f>
        <v>15</v>
      </c>
      <c r="K2104" s="18">
        <f>IFERROR(__xludf.DUMMYFUNCTION("""COMPUTED_VALUE"""),20.0)</f>
        <v>20</v>
      </c>
      <c r="L2104" s="17">
        <f>IFERROR(__xludf.DUMMYFUNCTION("""COMPUTED_VALUE"""),3.152381362E9)</f>
        <v>3152381362</v>
      </c>
      <c r="M2104" s="17" t="str">
        <f>IFERROR(__xludf.DUMMYFUNCTION("""COMPUTED_VALUE"""),"#REF!")</f>
        <v>#REF!</v>
      </c>
      <c r="N2104" s="17"/>
      <c r="O2104" s="17"/>
      <c r="P2104" s="17" t="b">
        <f>IFERROR(__xludf.DUMMYFUNCTION("""COMPUTED_VALUE"""),TRUE)</f>
        <v>1</v>
      </c>
      <c r="Q2104" s="20">
        <f>IFERROR(__xludf.DUMMYFUNCTION("""COMPUTED_VALUE"""),45062.64871376158)</f>
        <v>45062.64871</v>
      </c>
      <c r="R2104" s="22" t="str">
        <f>IFERROR(__xludf.DUMMYFUNCTION("""COMPUTED_VALUE"""),"")</f>
        <v/>
      </c>
    </row>
    <row r="2105">
      <c r="A2105" s="15">
        <f>IFERROR(__xludf.DUMMYFUNCTION("""COMPUTED_VALUE"""),45062.0)</f>
        <v>45062</v>
      </c>
      <c r="B2105" s="16" t="str">
        <f>IFERROR(__xludf.DUMMYFUNCTION("""COMPUTED_VALUE"""),"Jhon Anderson Ceballos Hernandez")</f>
        <v>Jhon Anderson Ceballos Hernandez</v>
      </c>
      <c r="C2105" s="15" t="str">
        <f>IFERROR(__xludf.DUMMYFUNCTION("""COMPUTED_VALUE"""),"MEDELLÍN")</f>
        <v>MEDELLÍN</v>
      </c>
      <c r="D2105" s="15" t="str">
        <f>IFERROR(__xludf.DUMMYFUNCTION("""COMPUTED_VALUE"""),"BOGOTÁ")</f>
        <v>BOGOTÁ</v>
      </c>
      <c r="E2105" s="15" t="str">
        <f>IFERROR(__xludf.DUMMYFUNCTION("""COMPUTED_VALUE"""),"Viiva Fermentados")</f>
        <v>Viiva Fermentados</v>
      </c>
      <c r="F2105" s="17" t="str">
        <f>IFERROR(__xludf.DUMMYFUNCTION("""COMPUTED_VALUE"""),"Calle 23 # 65 B 14 / piso 2 / Trinidad")</f>
        <v>Calle 23 # 65 B 14 / piso 2 / Trinidad</v>
      </c>
      <c r="G2105" s="15" t="str">
        <f>IFERROR(__xludf.DUMMYFUNCTION("""COMPUTED_VALUE"""),"Eatsy - Marcela")</f>
        <v>Eatsy - Marcela</v>
      </c>
      <c r="H2105" s="16">
        <f>IFERROR(__xludf.DUMMYFUNCTION("""COMPUTED_VALUE"""),10598.0)</f>
        <v>10598</v>
      </c>
      <c r="I2105" s="18">
        <f>IFERROR(__xludf.DUMMYFUNCTION("""COMPUTED_VALUE"""),17.0)</f>
        <v>17</v>
      </c>
      <c r="J2105" s="18">
        <f>IFERROR(__xludf.DUMMYFUNCTION("""COMPUTED_VALUE"""),40.0)</f>
        <v>40</v>
      </c>
      <c r="K2105" s="18">
        <f>IFERROR(__xludf.DUMMYFUNCTION("""COMPUTED_VALUE"""),30.0)</f>
        <v>30</v>
      </c>
      <c r="L2105" s="17">
        <f>IFERROR(__xludf.DUMMYFUNCTION("""COMPUTED_VALUE"""),3.243965697E9)</f>
        <v>3243965697</v>
      </c>
      <c r="M2105" s="17" t="str">
        <f>IFERROR(__xludf.DUMMYFUNCTION("""COMPUTED_VALUE"""),"#REF!")</f>
        <v>#REF!</v>
      </c>
      <c r="N2105" s="17"/>
      <c r="O2105" s="17"/>
      <c r="P2105" s="17" t="b">
        <f>IFERROR(__xludf.DUMMYFUNCTION("""COMPUTED_VALUE"""),TRUE)</f>
        <v>1</v>
      </c>
      <c r="Q2105" s="20">
        <f>IFERROR(__xludf.DUMMYFUNCTION("""COMPUTED_VALUE"""),45062.64871376158)</f>
        <v>45062.64871</v>
      </c>
      <c r="R2105" s="22" t="str">
        <f>IFERROR(__xludf.DUMMYFUNCTION("""COMPUTED_VALUE"""),"")</f>
        <v/>
      </c>
    </row>
    <row r="2106">
      <c r="A2106" s="15">
        <f>IFERROR(__xludf.DUMMYFUNCTION("""COMPUTED_VALUE"""),45062.0)</f>
        <v>45062</v>
      </c>
      <c r="B2106" s="16" t="str">
        <f>IFERROR(__xludf.DUMMYFUNCTION("""COMPUTED_VALUE"""),"Jhon Anderson Ceballos Hernandez")</f>
        <v>Jhon Anderson Ceballos Hernandez</v>
      </c>
      <c r="C2106" s="15" t="str">
        <f>IFERROR(__xludf.DUMMYFUNCTION("""COMPUTED_VALUE"""),"TUNJA")</f>
        <v>TUNJA</v>
      </c>
      <c r="D2106" s="15" t="str">
        <f>IFERROR(__xludf.DUMMYFUNCTION("""COMPUTED_VALUE"""),"BOGOTÁ")</f>
        <v>BOGOTÁ</v>
      </c>
      <c r="E2106" s="15" t="str">
        <f>IFERROR(__xludf.DUMMYFUNCTION("""COMPUTED_VALUE"""),"Lunchy Kids")</f>
        <v>Lunchy Kids</v>
      </c>
      <c r="F2106" s="17" t="str">
        <f>IFERROR(__xludf.DUMMYFUNCTION("""COMPUTED_VALUE"""),"Cra 3 # 77-22  / Casa  / portal de canapro")</f>
        <v>Cra 3 # 77-22  / Casa  / portal de canapro</v>
      </c>
      <c r="G2106" s="15" t="str">
        <f>IFERROR(__xludf.DUMMYFUNCTION("""COMPUTED_VALUE"""),"Ivonne Paredes")</f>
        <v>Ivonne Paredes</v>
      </c>
      <c r="H2106" s="16">
        <f>IFERROR(__xludf.DUMMYFUNCTION("""COMPUTED_VALUE"""),10713.0)</f>
        <v>10713</v>
      </c>
      <c r="I2106" s="18">
        <f>IFERROR(__xludf.DUMMYFUNCTION("""COMPUTED_VALUE"""),22.0)</f>
        <v>22</v>
      </c>
      <c r="J2106" s="18">
        <f>IFERROR(__xludf.DUMMYFUNCTION("""COMPUTED_VALUE"""),30.0)</f>
        <v>30</v>
      </c>
      <c r="K2106" s="18">
        <f>IFERROR(__xludf.DUMMYFUNCTION("""COMPUTED_VALUE"""),8.0)</f>
        <v>8</v>
      </c>
      <c r="L2106" s="17">
        <f>IFERROR(__xludf.DUMMYFUNCTION("""COMPUTED_VALUE"""),3.156416992E9)</f>
        <v>3156416992</v>
      </c>
      <c r="M2106" s="17" t="str">
        <f>IFERROR(__xludf.DUMMYFUNCTION("""COMPUTED_VALUE"""),"#REF!")</f>
        <v>#REF!</v>
      </c>
      <c r="N2106" s="17"/>
      <c r="O2106" s="17"/>
      <c r="P2106" s="17" t="b">
        <f>IFERROR(__xludf.DUMMYFUNCTION("""COMPUTED_VALUE"""),TRUE)</f>
        <v>1</v>
      </c>
      <c r="Q2106" s="20">
        <f>IFERROR(__xludf.DUMMYFUNCTION("""COMPUTED_VALUE"""),45062.64871376158)</f>
        <v>45062.64871</v>
      </c>
      <c r="R2106" s="22" t="str">
        <f>IFERROR(__xludf.DUMMYFUNCTION("""COMPUTED_VALUE"""),"")</f>
        <v/>
      </c>
    </row>
    <row r="2107">
      <c r="A2107" s="17" t="str">
        <f>IFERROR(__xludf.DUMMYFUNCTION("""COMPUTED_VALUE"""),"")</f>
        <v/>
      </c>
      <c r="B2107" s="17" t="str">
        <f>IFERROR(__xludf.DUMMYFUNCTION("""COMPUTED_VALUE"""),"")</f>
        <v/>
      </c>
      <c r="C2107" s="17" t="str">
        <f>IFERROR(__xludf.DUMMYFUNCTION("""COMPUTED_VALUE"""),"")</f>
        <v/>
      </c>
      <c r="D2107" s="17" t="str">
        <f>IFERROR(__xludf.DUMMYFUNCTION("""COMPUTED_VALUE"""),"")</f>
        <v/>
      </c>
      <c r="E2107" s="17" t="str">
        <f>IFERROR(__xludf.DUMMYFUNCTION("""COMPUTED_VALUE"""),"")</f>
        <v/>
      </c>
      <c r="F2107" s="17" t="str">
        <f>IFERROR(__xludf.DUMMYFUNCTION("""COMPUTED_VALUE"""),"")</f>
        <v/>
      </c>
      <c r="G2107" s="17" t="str">
        <f>IFERROR(__xludf.DUMMYFUNCTION("""COMPUTED_VALUE"""),"")</f>
        <v/>
      </c>
      <c r="H2107" s="17" t="str">
        <f>IFERROR(__xludf.DUMMYFUNCTION("""COMPUTED_VALUE"""),"")</f>
        <v/>
      </c>
      <c r="I2107" s="17" t="str">
        <f>IFERROR(__xludf.DUMMYFUNCTION("""COMPUTED_VALUE"""),"")</f>
        <v/>
      </c>
      <c r="J2107" s="17" t="str">
        <f>IFERROR(__xludf.DUMMYFUNCTION("""COMPUTED_VALUE"""),"")</f>
        <v/>
      </c>
      <c r="K2107" s="17" t="str">
        <f>IFERROR(__xludf.DUMMYFUNCTION("""COMPUTED_VALUE"""),"")</f>
        <v/>
      </c>
      <c r="L2107" s="17" t="str">
        <f>IFERROR(__xludf.DUMMYFUNCTION("""COMPUTED_VALUE"""),"")</f>
        <v/>
      </c>
      <c r="M2107" s="17" t="str">
        <f>IFERROR(__xludf.DUMMYFUNCTION("""COMPUTED_VALUE"""),"")</f>
        <v/>
      </c>
      <c r="N2107" s="17" t="str">
        <f>IFERROR(__xludf.DUMMYFUNCTION("""COMPUTED_VALUE"""),"")</f>
        <v/>
      </c>
      <c r="O2107" s="17" t="str">
        <f>IFERROR(__xludf.DUMMYFUNCTION("""COMPUTED_VALUE"""),"")</f>
        <v/>
      </c>
      <c r="P2107" s="17" t="str">
        <f>IFERROR(__xludf.DUMMYFUNCTION("""COMPUTED_VALUE"""),"")</f>
        <v/>
      </c>
      <c r="Q2107" s="17" t="str">
        <f>IFERROR(__xludf.DUMMYFUNCTION("""COMPUTED_VALUE"""),"")</f>
        <v/>
      </c>
      <c r="R2107" s="17" t="str">
        <f>IFERROR(__xludf.DUMMYFUNCTION("""COMPUTED_VALUE"""),"")</f>
        <v/>
      </c>
    </row>
    <row r="2108">
      <c r="A2108" s="15">
        <f>IFERROR(__xludf.DUMMYFUNCTION("""COMPUTED_VALUE"""),45062.0)</f>
        <v>45062</v>
      </c>
      <c r="B2108" s="16" t="str">
        <f>IFERROR(__xludf.DUMMYFUNCTION("""COMPUTED_VALUE"""),"Johan Alexander Escobar Arroyo ")</f>
        <v>Johan Alexander Escobar Arroyo </v>
      </c>
      <c r="C2108" s="15" t="str">
        <f>IFERROR(__xludf.DUMMYFUNCTION("""COMPUTED_VALUE"""),"CALI")</f>
        <v>CALI</v>
      </c>
      <c r="D2108" s="15" t="str">
        <f>IFERROR(__xludf.DUMMYFUNCTION("""COMPUTED_VALUE"""),"BOGOTÁ")</f>
        <v>BOGOTÁ</v>
      </c>
      <c r="E2108" s="15" t="str">
        <f>IFERROR(__xludf.DUMMYFUNCTION("""COMPUTED_VALUE"""),"Evamazzita")</f>
        <v>Evamazzita</v>
      </c>
      <c r="F2108" s="17" t="str">
        <f>IFERROR(__xludf.DUMMYFUNCTION("""COMPUTED_VALUE"""),"CALI: CRA 46C No. 55A - 15  / N/A / BARRIO CIUDAD CORDOBA")</f>
        <v>CALI: CRA 46C No. 55A - 15  / N/A / BARRIO CIUDAD CORDOBA</v>
      </c>
      <c r="G2108" s="15" t="str">
        <f>IFERROR(__xludf.DUMMYFUNCTION("""COMPUTED_VALUE"""),"CLAUDIA CANTERO")</f>
        <v>CLAUDIA CANTERO</v>
      </c>
      <c r="H2108" s="16">
        <f>IFERROR(__xludf.DUMMYFUNCTION("""COMPUTED_VALUE"""),10734.0)</f>
        <v>10734</v>
      </c>
      <c r="I2108" s="18">
        <f>IFERROR(__xludf.DUMMYFUNCTION("""COMPUTED_VALUE"""),3.0)</f>
        <v>3</v>
      </c>
      <c r="J2108" s="18">
        <f>IFERROR(__xludf.DUMMYFUNCTION("""COMPUTED_VALUE"""),20.0)</f>
        <v>20</v>
      </c>
      <c r="K2108" s="18">
        <f>IFERROR(__xludf.DUMMYFUNCTION("""COMPUTED_VALUE"""),15.0)</f>
        <v>15</v>
      </c>
      <c r="L2108" s="17">
        <f>IFERROR(__xludf.DUMMYFUNCTION("""COMPUTED_VALUE"""),3.176248548E9)</f>
        <v>3176248548</v>
      </c>
      <c r="M2108" s="17" t="str">
        <f>IFERROR(__xludf.DUMMYFUNCTION("""COMPUTED_VALUE"""),"#REF!")</f>
        <v>#REF!</v>
      </c>
      <c r="N2108" s="17"/>
      <c r="O2108" s="17"/>
      <c r="P2108" s="17" t="b">
        <f>IFERROR(__xludf.DUMMYFUNCTION("""COMPUTED_VALUE"""),TRUE)</f>
        <v>1</v>
      </c>
      <c r="Q2108" s="20">
        <f>IFERROR(__xludf.DUMMYFUNCTION("""COMPUTED_VALUE"""),45062.648713773146)</f>
        <v>45062.64871</v>
      </c>
      <c r="R2108" s="22" t="str">
        <f>IFERROR(__xludf.DUMMYFUNCTION("""COMPUTED_VALUE"""),"")</f>
        <v/>
      </c>
    </row>
    <row r="2109">
      <c r="A2109" s="15">
        <f>IFERROR(__xludf.DUMMYFUNCTION("""COMPUTED_VALUE"""),45062.0)</f>
        <v>45062</v>
      </c>
      <c r="B2109" s="16" t="str">
        <f>IFERROR(__xludf.DUMMYFUNCTION("""COMPUTED_VALUE"""),"Johan Alexander Escobar Arroyo ")</f>
        <v>Johan Alexander Escobar Arroyo </v>
      </c>
      <c r="C2109" s="15" t="str">
        <f>IFERROR(__xludf.DUMMYFUNCTION("""COMPUTED_VALUE"""),"CALI")</f>
        <v>CALI</v>
      </c>
      <c r="D2109" s="15" t="str">
        <f>IFERROR(__xludf.DUMMYFUNCTION("""COMPUTED_VALUE"""),"BOGOTÁ")</f>
        <v>BOGOTÁ</v>
      </c>
      <c r="E2109" s="15" t="str">
        <f>IFERROR(__xludf.DUMMYFUNCTION("""COMPUTED_VALUE"""),"Evamazzita")</f>
        <v>Evamazzita</v>
      </c>
      <c r="F2109" s="17" t="str">
        <f>IFERROR(__xludf.DUMMYFUNCTION("""COMPUTED_VALUE"""),"CALLE 49A No. 80B - 26   / N/A / CIUDAD REAL")</f>
        <v>CALLE 49A No. 80B - 26   / N/A / CIUDAD REAL</v>
      </c>
      <c r="G2109" s="15" t="str">
        <f>IFERROR(__xludf.DUMMYFUNCTION("""COMPUTED_VALUE"""),"GINNA CAICEDO")</f>
        <v>GINNA CAICEDO</v>
      </c>
      <c r="H2109" s="16">
        <f>IFERROR(__xludf.DUMMYFUNCTION("""COMPUTED_VALUE"""),10730.0)</f>
        <v>10730</v>
      </c>
      <c r="I2109" s="18">
        <f>IFERROR(__xludf.DUMMYFUNCTION("""COMPUTED_VALUE"""),3.0)</f>
        <v>3</v>
      </c>
      <c r="J2109" s="18">
        <f>IFERROR(__xludf.DUMMYFUNCTION("""COMPUTED_VALUE"""),20.0)</f>
        <v>20</v>
      </c>
      <c r="K2109" s="18">
        <f>IFERROR(__xludf.DUMMYFUNCTION("""COMPUTED_VALUE"""),15.0)</f>
        <v>15</v>
      </c>
      <c r="L2109" s="17">
        <f>IFERROR(__xludf.DUMMYFUNCTION("""COMPUTED_VALUE"""),3.108216619E9)</f>
        <v>3108216619</v>
      </c>
      <c r="M2109" s="17" t="str">
        <f>IFERROR(__xludf.DUMMYFUNCTION("""COMPUTED_VALUE"""),"#REF!")</f>
        <v>#REF!</v>
      </c>
      <c r="N2109" s="17"/>
      <c r="O2109" s="17"/>
      <c r="P2109" s="17" t="b">
        <f>IFERROR(__xludf.DUMMYFUNCTION("""COMPUTED_VALUE"""),TRUE)</f>
        <v>1</v>
      </c>
      <c r="Q2109" s="20">
        <f>IFERROR(__xludf.DUMMYFUNCTION("""COMPUTED_VALUE"""),45062.648713773146)</f>
        <v>45062.64871</v>
      </c>
      <c r="R2109" s="22" t="str">
        <f>IFERROR(__xludf.DUMMYFUNCTION("""COMPUTED_VALUE"""),"")</f>
        <v/>
      </c>
    </row>
    <row r="2110">
      <c r="A2110" s="15">
        <f>IFERROR(__xludf.DUMMYFUNCTION("""COMPUTED_VALUE"""),45062.0)</f>
        <v>45062</v>
      </c>
      <c r="B2110" s="16" t="str">
        <f>IFERROR(__xludf.DUMMYFUNCTION("""COMPUTED_VALUE"""),"Johan Alexander Escobar Arroyo ")</f>
        <v>Johan Alexander Escobar Arroyo </v>
      </c>
      <c r="C2110" s="15" t="str">
        <f>IFERROR(__xludf.DUMMYFUNCTION("""COMPUTED_VALUE"""),"CALI")</f>
        <v>CALI</v>
      </c>
      <c r="D2110" s="15" t="str">
        <f>IFERROR(__xludf.DUMMYFUNCTION("""COMPUTED_VALUE"""),"BOGOTÁ")</f>
        <v>BOGOTÁ</v>
      </c>
      <c r="E2110" s="15" t="str">
        <f>IFERROR(__xludf.DUMMYFUNCTION("""COMPUTED_VALUE"""),"Evamazzita")</f>
        <v>Evamazzita</v>
      </c>
      <c r="F2110" s="17" t="str">
        <f>IFERROR(__xludf.DUMMYFUNCTION("""COMPUTED_VALUE"""),"Carrera 2 norte #4n-06   /   APTO 701 / Edificio Centenario")</f>
        <v>Carrera 2 norte #4n-06   /   APTO 701 / Edificio Centenario</v>
      </c>
      <c r="G2110" s="15" t="str">
        <f>IFERROR(__xludf.DUMMYFUNCTION("""COMPUTED_VALUE"""),"MARIA JIMENA BEDOYA")</f>
        <v>MARIA JIMENA BEDOYA</v>
      </c>
      <c r="H2110" s="16">
        <f>IFERROR(__xludf.DUMMYFUNCTION("""COMPUTED_VALUE"""),10733.0)</f>
        <v>10733</v>
      </c>
      <c r="I2110" s="18">
        <f>IFERROR(__xludf.DUMMYFUNCTION("""COMPUTED_VALUE"""),3.0)</f>
        <v>3</v>
      </c>
      <c r="J2110" s="18">
        <f>IFERROR(__xludf.DUMMYFUNCTION("""COMPUTED_VALUE"""),15.0)</f>
        <v>15</v>
      </c>
      <c r="K2110" s="18">
        <f>IFERROR(__xludf.DUMMYFUNCTION("""COMPUTED_VALUE"""),20.0)</f>
        <v>20</v>
      </c>
      <c r="L2110" s="17">
        <f>IFERROR(__xludf.DUMMYFUNCTION("""COMPUTED_VALUE"""),3.113677538E9)</f>
        <v>3113677538</v>
      </c>
      <c r="M2110" s="17" t="str">
        <f>IFERROR(__xludf.DUMMYFUNCTION("""COMPUTED_VALUE"""),"#REF!")</f>
        <v>#REF!</v>
      </c>
      <c r="N2110" s="17"/>
      <c r="O2110" s="17"/>
      <c r="P2110" s="17" t="b">
        <f>IFERROR(__xludf.DUMMYFUNCTION("""COMPUTED_VALUE"""),FALSE)</f>
        <v>0</v>
      </c>
      <c r="Q2110" s="20" t="str">
        <f>IFERROR(__xludf.DUMMYFUNCTION("""COMPUTED_VALUE"""),"")</f>
        <v/>
      </c>
      <c r="R2110" s="22" t="str">
        <f>IFERROR(__xludf.DUMMYFUNCTION("""COMPUTED_VALUE"""),"")</f>
        <v/>
      </c>
    </row>
    <row r="2111">
      <c r="A2111" s="15">
        <f>IFERROR(__xludf.DUMMYFUNCTION("""COMPUTED_VALUE"""),45062.0)</f>
        <v>45062</v>
      </c>
      <c r="B2111" s="16" t="str">
        <f>IFERROR(__xludf.DUMMYFUNCTION("""COMPUTED_VALUE"""),"Johan Alexander Escobar Arroyo ")</f>
        <v>Johan Alexander Escobar Arroyo </v>
      </c>
      <c r="C2111" s="15" t="str">
        <f>IFERROR(__xludf.DUMMYFUNCTION("""COMPUTED_VALUE"""),"CALI")</f>
        <v>CALI</v>
      </c>
      <c r="D2111" s="15" t="str">
        <f>IFERROR(__xludf.DUMMYFUNCTION("""COMPUTED_VALUE"""),"BOGOTÁ")</f>
        <v>BOGOTÁ</v>
      </c>
      <c r="E2111" s="15" t="str">
        <f>IFERROR(__xludf.DUMMYFUNCTION("""COMPUTED_VALUE"""),"Evamazzita")</f>
        <v>Evamazzita</v>
      </c>
      <c r="F2111" s="17" t="str">
        <f>IFERROR(__xludf.DUMMYFUNCTION("""COMPUTED_VALUE"""),"Cl 16#61-24   / apto 337 torre J  / unidad torremolinos")</f>
        <v>Cl 16#61-24   / apto 337 torre J  / unidad torremolinos</v>
      </c>
      <c r="G2111" s="15" t="str">
        <f>IFERROR(__xludf.DUMMYFUNCTION("""COMPUTED_VALUE"""),"CATERINE ZAPATA")</f>
        <v>CATERINE ZAPATA</v>
      </c>
      <c r="H2111" s="16">
        <f>IFERROR(__xludf.DUMMYFUNCTION("""COMPUTED_VALUE"""),10731.0)</f>
        <v>10731</v>
      </c>
      <c r="I2111" s="18">
        <f>IFERROR(__xludf.DUMMYFUNCTION("""COMPUTED_VALUE"""),3.0)</f>
        <v>3</v>
      </c>
      <c r="J2111" s="18">
        <f>IFERROR(__xludf.DUMMYFUNCTION("""COMPUTED_VALUE"""),20.0)</f>
        <v>20</v>
      </c>
      <c r="K2111" s="18">
        <f>IFERROR(__xludf.DUMMYFUNCTION("""COMPUTED_VALUE"""),15.0)</f>
        <v>15</v>
      </c>
      <c r="L2111" s="17">
        <f>IFERROR(__xludf.DUMMYFUNCTION("""COMPUTED_VALUE"""),3.229070901E9)</f>
        <v>3229070901</v>
      </c>
      <c r="M2111" s="17" t="str">
        <f>IFERROR(__xludf.DUMMYFUNCTION("""COMPUTED_VALUE"""),"#REF!")</f>
        <v>#REF!</v>
      </c>
      <c r="N2111" s="17"/>
      <c r="O2111" s="17"/>
      <c r="P2111" s="17" t="b">
        <f>IFERROR(__xludf.DUMMYFUNCTION("""COMPUTED_VALUE"""),FALSE)</f>
        <v>0</v>
      </c>
      <c r="Q2111" s="20" t="str">
        <f>IFERROR(__xludf.DUMMYFUNCTION("""COMPUTED_VALUE"""),"")</f>
        <v/>
      </c>
      <c r="R2111" s="22" t="str">
        <f>IFERROR(__xludf.DUMMYFUNCTION("""COMPUTED_VALUE"""),"")</f>
        <v/>
      </c>
    </row>
    <row r="2112">
      <c r="A2112" s="15">
        <f>IFERROR(__xludf.DUMMYFUNCTION("""COMPUTED_VALUE"""),45062.0)</f>
        <v>45062</v>
      </c>
      <c r="B2112" s="16" t="str">
        <f>IFERROR(__xludf.DUMMYFUNCTION("""COMPUTED_VALUE"""),"Johan Alexander Escobar Arroyo ")</f>
        <v>Johan Alexander Escobar Arroyo </v>
      </c>
      <c r="C2112" s="15" t="str">
        <f>IFERROR(__xludf.DUMMYFUNCTION("""COMPUTED_VALUE"""),"IBAGUÉ")</f>
        <v>IBAGUÉ</v>
      </c>
      <c r="D2112" s="15" t="str">
        <f>IFERROR(__xludf.DUMMYFUNCTION("""COMPUTED_VALUE"""),"BOGOTÁ")</f>
        <v>BOGOTÁ</v>
      </c>
      <c r="E2112" s="15" t="str">
        <f>IFERROR(__xludf.DUMMYFUNCTION("""COMPUTED_VALUE"""),"Pan de Waffle")</f>
        <v>Pan de Waffle</v>
      </c>
      <c r="F2112" s="17" t="str">
        <f>IFERROR(__xludf.DUMMYFUNCTION("""COMPUTED_VALUE"""),"Calle 10 # 3 - 01 local 2  / Calle 10 # 3 - 01 local 2  / Calle 10 # 3 - 01 local 2")</f>
        <v>Calle 10 # 3 - 01 local 2  / Calle 10 # 3 - 01 local 2  / Calle 10 # 3 - 01 local 2</v>
      </c>
      <c r="G2112" s="15" t="str">
        <f>IFERROR(__xludf.DUMMYFUNCTION("""COMPUTED_VALUE"""),"SOY NATURAL SEDE PLAZA BOLIVAR")</f>
        <v>SOY NATURAL SEDE PLAZA BOLIVAR</v>
      </c>
      <c r="H2112" s="16">
        <f>IFERROR(__xludf.DUMMYFUNCTION("""COMPUTED_VALUE"""),10654.0)</f>
        <v>10654</v>
      </c>
      <c r="I2112" s="18">
        <f>IFERROR(__xludf.DUMMYFUNCTION("""COMPUTED_VALUE"""),30.0)</f>
        <v>30</v>
      </c>
      <c r="J2112" s="18">
        <f>IFERROR(__xludf.DUMMYFUNCTION("""COMPUTED_VALUE"""),40.0)</f>
        <v>40</v>
      </c>
      <c r="K2112" s="18">
        <f>IFERROR(__xludf.DUMMYFUNCTION("""COMPUTED_VALUE"""),30.0)</f>
        <v>30</v>
      </c>
      <c r="L2112" s="17">
        <f>IFERROR(__xludf.DUMMYFUNCTION("""COMPUTED_VALUE"""),3.04665347E9)</f>
        <v>3046653470</v>
      </c>
      <c r="M2112" s="17" t="str">
        <f>IFERROR(__xludf.DUMMYFUNCTION("""COMPUTED_VALUE"""),"#REF!")</f>
        <v>#REF!</v>
      </c>
      <c r="N2112" s="17"/>
      <c r="O2112" s="17"/>
      <c r="P2112" s="17" t="b">
        <f>IFERROR(__xludf.DUMMYFUNCTION("""COMPUTED_VALUE"""),FALSE)</f>
        <v>0</v>
      </c>
      <c r="Q2112" s="20" t="str">
        <f>IFERROR(__xludf.DUMMYFUNCTION("""COMPUTED_VALUE"""),"")</f>
        <v/>
      </c>
      <c r="R2112" s="22" t="str">
        <f>IFERROR(__xludf.DUMMYFUNCTION("""COMPUTED_VALUE"""),"")</f>
        <v/>
      </c>
    </row>
    <row r="2113">
      <c r="A2113" s="15">
        <f>IFERROR(__xludf.DUMMYFUNCTION("""COMPUTED_VALUE"""),45062.0)</f>
        <v>45062</v>
      </c>
      <c r="B2113" s="16" t="str">
        <f>IFERROR(__xludf.DUMMYFUNCTION("""COMPUTED_VALUE"""),"Johan Alexander Escobar Arroyo ")</f>
        <v>Johan Alexander Escobar Arroyo </v>
      </c>
      <c r="C2113" s="15" t="str">
        <f>IFERROR(__xludf.DUMMYFUNCTION("""COMPUTED_VALUE"""),"IBAGUÉ")</f>
        <v>IBAGUÉ</v>
      </c>
      <c r="D2113" s="15" t="str">
        <f>IFERROR(__xludf.DUMMYFUNCTION("""COMPUTED_VALUE"""),"MEDELLÍN")</f>
        <v>MEDELLÍN</v>
      </c>
      <c r="E2113" s="15" t="str">
        <f>IFERROR(__xludf.DUMMYFUNCTION("""COMPUTED_VALUE"""),"Rambla")</f>
        <v>Rambla</v>
      </c>
      <c r="F2113" s="17" t="str">
        <f>IFERROR(__xludf.DUMMYFUNCTION("""COMPUTED_VALUE"""),"Cra 14 #75A-29 local 5 estancia del vergel ibague - Tolima / NA / NA")</f>
        <v>Cra 14 #75A-29 local 5 estancia del vergel ibague - Tolima / NA / NA</v>
      </c>
      <c r="G2113" s="15" t="str">
        <f>IFERROR(__xludf.DUMMYFUNCTION("""COMPUTED_VALUE"""),"Soy natural market fit")</f>
        <v>Soy natural market fit</v>
      </c>
      <c r="H2113" s="16">
        <f>IFERROR(__xludf.DUMMYFUNCTION("""COMPUTED_VALUE"""),10761.0)</f>
        <v>10761</v>
      </c>
      <c r="I2113" s="18">
        <f>IFERROR(__xludf.DUMMYFUNCTION("""COMPUTED_VALUE"""),22.0)</f>
        <v>22</v>
      </c>
      <c r="J2113" s="18">
        <f>IFERROR(__xludf.DUMMYFUNCTION("""COMPUTED_VALUE"""),25.0)</f>
        <v>25</v>
      </c>
      <c r="K2113" s="18">
        <f>IFERROR(__xludf.DUMMYFUNCTION("""COMPUTED_VALUE"""),28.0)</f>
        <v>28</v>
      </c>
      <c r="L2113" s="17">
        <f>IFERROR(__xludf.DUMMYFUNCTION("""COMPUTED_VALUE"""),3.177002909E9)</f>
        <v>3177002909</v>
      </c>
      <c r="M2113" s="17" t="str">
        <f>IFERROR(__xludf.DUMMYFUNCTION("""COMPUTED_VALUE"""),"#REF!")</f>
        <v>#REF!</v>
      </c>
      <c r="N2113" s="17"/>
      <c r="O2113" s="17"/>
      <c r="P2113" s="17" t="b">
        <f>IFERROR(__xludf.DUMMYFUNCTION("""COMPUTED_VALUE"""),TRUE)</f>
        <v>1</v>
      </c>
      <c r="Q2113" s="20">
        <f>IFERROR(__xludf.DUMMYFUNCTION("""COMPUTED_VALUE"""),45062.648713773146)</f>
        <v>45062.64871</v>
      </c>
      <c r="R2113" s="22" t="str">
        <f>IFERROR(__xludf.DUMMYFUNCTION("""COMPUTED_VALUE"""),"")</f>
        <v/>
      </c>
    </row>
    <row r="2114">
      <c r="A2114" s="17" t="str">
        <f>IFERROR(__xludf.DUMMYFUNCTION("""COMPUTED_VALUE"""),"")</f>
        <v/>
      </c>
      <c r="B2114" s="17" t="str">
        <f>IFERROR(__xludf.DUMMYFUNCTION("""COMPUTED_VALUE"""),"")</f>
        <v/>
      </c>
      <c r="C2114" s="17" t="str">
        <f>IFERROR(__xludf.DUMMYFUNCTION("""COMPUTED_VALUE"""),"")</f>
        <v/>
      </c>
      <c r="D2114" s="17" t="str">
        <f>IFERROR(__xludf.DUMMYFUNCTION("""COMPUTED_VALUE"""),"")</f>
        <v/>
      </c>
      <c r="E2114" s="17" t="str">
        <f>IFERROR(__xludf.DUMMYFUNCTION("""COMPUTED_VALUE"""),"")</f>
        <v/>
      </c>
      <c r="F2114" s="17" t="str">
        <f>IFERROR(__xludf.DUMMYFUNCTION("""COMPUTED_VALUE"""),"")</f>
        <v/>
      </c>
      <c r="G2114" s="17" t="str">
        <f>IFERROR(__xludf.DUMMYFUNCTION("""COMPUTED_VALUE"""),"")</f>
        <v/>
      </c>
      <c r="H2114" s="17" t="str">
        <f>IFERROR(__xludf.DUMMYFUNCTION("""COMPUTED_VALUE"""),"")</f>
        <v/>
      </c>
      <c r="I2114" s="17" t="str">
        <f>IFERROR(__xludf.DUMMYFUNCTION("""COMPUTED_VALUE"""),"")</f>
        <v/>
      </c>
      <c r="J2114" s="17" t="str">
        <f>IFERROR(__xludf.DUMMYFUNCTION("""COMPUTED_VALUE"""),"")</f>
        <v/>
      </c>
      <c r="K2114" s="17" t="str">
        <f>IFERROR(__xludf.DUMMYFUNCTION("""COMPUTED_VALUE"""),"")</f>
        <v/>
      </c>
      <c r="L2114" s="17" t="str">
        <f>IFERROR(__xludf.DUMMYFUNCTION("""COMPUTED_VALUE"""),"")</f>
        <v/>
      </c>
      <c r="M2114" s="17" t="str">
        <f>IFERROR(__xludf.DUMMYFUNCTION("""COMPUTED_VALUE"""),"")</f>
        <v/>
      </c>
      <c r="N2114" s="17" t="str">
        <f>IFERROR(__xludf.DUMMYFUNCTION("""COMPUTED_VALUE"""),"")</f>
        <v/>
      </c>
      <c r="O2114" s="17" t="str">
        <f>IFERROR(__xludf.DUMMYFUNCTION("""COMPUTED_VALUE"""),"")</f>
        <v/>
      </c>
      <c r="P2114" s="17" t="str">
        <f>IFERROR(__xludf.DUMMYFUNCTION("""COMPUTED_VALUE"""),"")</f>
        <v/>
      </c>
      <c r="Q2114" s="17" t="str">
        <f>IFERROR(__xludf.DUMMYFUNCTION("""COMPUTED_VALUE"""),"")</f>
        <v/>
      </c>
      <c r="R2114" s="17" t="str">
        <f>IFERROR(__xludf.DUMMYFUNCTION("""COMPUTED_VALUE"""),"")</f>
        <v/>
      </c>
    </row>
    <row r="2115">
      <c r="A2115" s="15">
        <f>IFERROR(__xludf.DUMMYFUNCTION("""COMPUTED_VALUE"""),45062.0)</f>
        <v>45062</v>
      </c>
      <c r="B2115" s="16" t="str">
        <f>IFERROR(__xludf.DUMMYFUNCTION("""COMPUTED_VALUE"""),"Jonathan Steven Taborda")</f>
        <v>Jonathan Steven Taborda</v>
      </c>
      <c r="C2115" s="15" t="str">
        <f>IFERROR(__xludf.DUMMYFUNCTION("""COMPUTED_VALUE"""),"BOGOTÁ")</f>
        <v>BOGOTÁ</v>
      </c>
      <c r="D2115" s="15" t="str">
        <f>IFERROR(__xludf.DUMMYFUNCTION("""COMPUTED_VALUE"""),"MEDELLÍN")</f>
        <v>MEDELLÍN</v>
      </c>
      <c r="E2115" s="15" t="str">
        <f>IFERROR(__xludf.DUMMYFUNCTION("""COMPUTED_VALUE"""),"Helados swip")</f>
        <v>Helados swip</v>
      </c>
      <c r="F2115" s="17" t="str">
        <f>IFERROR(__xludf.DUMMYFUNCTION("""COMPUTED_VALUE"""),"CALLE 90 # 13-23  / LOCAL 2 / FIT MARKET 90")</f>
        <v>CALLE 90 # 13-23  / LOCAL 2 / FIT MARKET 90</v>
      </c>
      <c r="G2115" s="15" t="str">
        <f>IFERROR(__xludf.DUMMYFUNCTION("""COMPUTED_VALUE"""),"FIT MARKET TIENDA 90")</f>
        <v>FIT MARKET TIENDA 90</v>
      </c>
      <c r="H2115" s="16">
        <f>IFERROR(__xludf.DUMMYFUNCTION("""COMPUTED_VALUE"""),10741.0)</f>
        <v>10741</v>
      </c>
      <c r="I2115" s="18">
        <f>IFERROR(__xludf.DUMMYFUNCTION("""COMPUTED_VALUE"""),65.0)</f>
        <v>65</v>
      </c>
      <c r="J2115" s="18">
        <f>IFERROR(__xludf.DUMMYFUNCTION("""COMPUTED_VALUE"""),55.0)</f>
        <v>55</v>
      </c>
      <c r="K2115" s="18">
        <f>IFERROR(__xludf.DUMMYFUNCTION("""COMPUTED_VALUE"""),45.0)</f>
        <v>45</v>
      </c>
      <c r="L2115" s="17">
        <f>IFERROR(__xludf.DUMMYFUNCTION("""COMPUTED_VALUE"""),3.154237527E9)</f>
        <v>3154237527</v>
      </c>
      <c r="M2115" s="17" t="str">
        <f>IFERROR(__xludf.DUMMYFUNCTION("""COMPUTED_VALUE"""),"#REF!")</f>
        <v>#REF!</v>
      </c>
      <c r="N2115" s="17"/>
      <c r="O2115" s="17"/>
      <c r="P2115" s="17" t="b">
        <f>IFERROR(__xludf.DUMMYFUNCTION("""COMPUTED_VALUE"""),FALSE)</f>
        <v>0</v>
      </c>
      <c r="Q2115" s="20" t="str">
        <f>IFERROR(__xludf.DUMMYFUNCTION("""COMPUTED_VALUE"""),"")</f>
        <v/>
      </c>
      <c r="R2115" s="22" t="str">
        <f>IFERROR(__xludf.DUMMYFUNCTION("""COMPUTED_VALUE"""),"")</f>
        <v/>
      </c>
    </row>
    <row r="2116">
      <c r="A2116" s="17" t="str">
        <f>IFERROR(__xludf.DUMMYFUNCTION("""COMPUTED_VALUE"""),"")</f>
        <v/>
      </c>
      <c r="B2116" s="17" t="str">
        <f>IFERROR(__xludf.DUMMYFUNCTION("""COMPUTED_VALUE"""),"")</f>
        <v/>
      </c>
      <c r="C2116" s="17" t="str">
        <f>IFERROR(__xludf.DUMMYFUNCTION("""COMPUTED_VALUE"""),"")</f>
        <v/>
      </c>
      <c r="D2116" s="17" t="str">
        <f>IFERROR(__xludf.DUMMYFUNCTION("""COMPUTED_VALUE"""),"")</f>
        <v/>
      </c>
      <c r="E2116" s="17" t="str">
        <f>IFERROR(__xludf.DUMMYFUNCTION("""COMPUTED_VALUE"""),"")</f>
        <v/>
      </c>
      <c r="F2116" s="17" t="str">
        <f>IFERROR(__xludf.DUMMYFUNCTION("""COMPUTED_VALUE"""),"")</f>
        <v/>
      </c>
      <c r="G2116" s="17" t="str">
        <f>IFERROR(__xludf.DUMMYFUNCTION("""COMPUTED_VALUE"""),"")</f>
        <v/>
      </c>
      <c r="H2116" s="17" t="str">
        <f>IFERROR(__xludf.DUMMYFUNCTION("""COMPUTED_VALUE"""),"")</f>
        <v/>
      </c>
      <c r="I2116" s="17" t="str">
        <f>IFERROR(__xludf.DUMMYFUNCTION("""COMPUTED_VALUE"""),"")</f>
        <v/>
      </c>
      <c r="J2116" s="17" t="str">
        <f>IFERROR(__xludf.DUMMYFUNCTION("""COMPUTED_VALUE"""),"")</f>
        <v/>
      </c>
      <c r="K2116" s="17" t="str">
        <f>IFERROR(__xludf.DUMMYFUNCTION("""COMPUTED_VALUE"""),"")</f>
        <v/>
      </c>
      <c r="L2116" s="17" t="str">
        <f>IFERROR(__xludf.DUMMYFUNCTION("""COMPUTED_VALUE"""),"")</f>
        <v/>
      </c>
      <c r="M2116" s="17" t="str">
        <f>IFERROR(__xludf.DUMMYFUNCTION("""COMPUTED_VALUE"""),"")</f>
        <v/>
      </c>
      <c r="N2116" s="17" t="str">
        <f>IFERROR(__xludf.DUMMYFUNCTION("""COMPUTED_VALUE"""),"")</f>
        <v/>
      </c>
      <c r="O2116" s="17" t="str">
        <f>IFERROR(__xludf.DUMMYFUNCTION("""COMPUTED_VALUE"""),"")</f>
        <v/>
      </c>
      <c r="P2116" s="17" t="str">
        <f>IFERROR(__xludf.DUMMYFUNCTION("""COMPUTED_VALUE"""),"")</f>
        <v/>
      </c>
      <c r="Q2116" s="17" t="str">
        <f>IFERROR(__xludf.DUMMYFUNCTION("""COMPUTED_VALUE"""),"")</f>
        <v/>
      </c>
      <c r="R2116" s="17" t="str">
        <f>IFERROR(__xludf.DUMMYFUNCTION("""COMPUTED_VALUE"""),"")</f>
        <v/>
      </c>
    </row>
    <row r="2117">
      <c r="A2117" s="15">
        <f>IFERROR(__xludf.DUMMYFUNCTION("""COMPUTED_VALUE"""),45062.0)</f>
        <v>45062</v>
      </c>
      <c r="B2117" s="16" t="str">
        <f>IFERROR(__xludf.DUMMYFUNCTION("""COMPUTED_VALUE"""),"Oscar Augusto Meneses Osias")</f>
        <v>Oscar Augusto Meneses Osias</v>
      </c>
      <c r="C2117" s="15" t="str">
        <f>IFERROR(__xludf.DUMMYFUNCTION("""COMPUTED_VALUE"""),"MEDELLÍN")</f>
        <v>MEDELLÍN</v>
      </c>
      <c r="D2117" s="15" t="str">
        <f>IFERROR(__xludf.DUMMYFUNCTION("""COMPUTED_VALUE"""),"BOGOTÁ")</f>
        <v>BOGOTÁ</v>
      </c>
      <c r="E2117" s="15" t="str">
        <f>IFERROR(__xludf.DUMMYFUNCTION("""COMPUTED_VALUE"""),"Asociacion Agropecuaria Juana Maria")</f>
        <v>Asociacion Agropecuaria Juana Maria</v>
      </c>
      <c r="F211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2117" s="15" t="str">
        <f>IFERROR(__xludf.DUMMYFUNCTION("""COMPUTED_VALUE"""),"Jennifer Sanchez Blandon")</f>
        <v>Jennifer Sanchez Blandon</v>
      </c>
      <c r="H2117" s="16">
        <f>IFERROR(__xludf.DUMMYFUNCTION("""COMPUTED_VALUE"""),10658.0)</f>
        <v>10658</v>
      </c>
      <c r="I2117" s="18">
        <f>IFERROR(__xludf.DUMMYFUNCTION("""COMPUTED_VALUE"""),21.0)</f>
        <v>21</v>
      </c>
      <c r="J2117" s="18">
        <f>IFERROR(__xludf.DUMMYFUNCTION("""COMPUTED_VALUE"""),37.0)</f>
        <v>37</v>
      </c>
      <c r="K2117" s="18">
        <f>IFERROR(__xludf.DUMMYFUNCTION("""COMPUTED_VALUE"""),30.0)</f>
        <v>30</v>
      </c>
      <c r="L2117" s="17">
        <f>IFERROR(__xludf.DUMMYFUNCTION("""COMPUTED_VALUE"""),3.016937674E9)</f>
        <v>3016937674</v>
      </c>
      <c r="M2117" s="17" t="str">
        <f>IFERROR(__xludf.DUMMYFUNCTION("""COMPUTED_VALUE"""),"#REF!")</f>
        <v>#REF!</v>
      </c>
      <c r="N2117" s="17"/>
      <c r="O2117" s="17"/>
      <c r="P2117" s="17" t="b">
        <f>IFERROR(__xludf.DUMMYFUNCTION("""COMPUTED_VALUE"""),TRUE)</f>
        <v>1</v>
      </c>
      <c r="Q2117" s="20">
        <f>IFERROR(__xludf.DUMMYFUNCTION("""COMPUTED_VALUE"""),45062.648713773146)</f>
        <v>45062.64871</v>
      </c>
      <c r="R2117" s="22" t="str">
        <f>IFERROR(__xludf.DUMMYFUNCTION("""COMPUTED_VALUE"""),"")</f>
        <v/>
      </c>
    </row>
    <row r="2118">
      <c r="A2118" s="15">
        <f>IFERROR(__xludf.DUMMYFUNCTION("""COMPUTED_VALUE"""),45062.0)</f>
        <v>45062</v>
      </c>
      <c r="B2118" s="16" t="str">
        <f>IFERROR(__xludf.DUMMYFUNCTION("""COMPUTED_VALUE"""),"Oscar Augusto Meneses Osias")</f>
        <v>Oscar Augusto Meneses Osias</v>
      </c>
      <c r="C2118" s="15" t="str">
        <f>IFERROR(__xludf.DUMMYFUNCTION("""COMPUTED_VALUE"""),"MEDELLÍN")</f>
        <v>MEDELLÍN</v>
      </c>
      <c r="D2118" s="15" t="str">
        <f>IFERROR(__xludf.DUMMYFUNCTION("""COMPUTED_VALUE"""),"BOGOTÁ")</f>
        <v>BOGOTÁ</v>
      </c>
      <c r="E2118" s="15" t="str">
        <f>IFERROR(__xludf.DUMMYFUNCTION("""COMPUTED_VALUE"""),"Evamazzita")</f>
        <v>Evamazzita</v>
      </c>
      <c r="F2118" s="17" t="str">
        <f>IFERROR(__xludf.DUMMYFUNCTION("""COMPUTED_VALUE"""),"CRA 15 BA No. 34D- 44  / INT 201 BUENOS AIRES / SE ENVÍAN DOS (2) CAJAS")</f>
        <v>CRA 15 BA No. 34D- 44  / INT 201 BUENOS AIRES / SE ENVÍAN DOS (2) CAJAS</v>
      </c>
      <c r="G2118" s="15" t="str">
        <f>IFERROR(__xludf.DUMMYFUNCTION("""COMPUTED_VALUE"""),"DANIELA BEDOYA BLANDON")</f>
        <v>DANIELA BEDOYA BLANDON</v>
      </c>
      <c r="H2118" s="16">
        <f>IFERROR(__xludf.DUMMYFUNCTION("""COMPUTED_VALUE"""),10711.0)</f>
        <v>10711</v>
      </c>
      <c r="I2118" s="18">
        <f>IFERROR(__xludf.DUMMYFUNCTION("""COMPUTED_VALUE"""),21.0)</f>
        <v>21</v>
      </c>
      <c r="J2118" s="18">
        <f>IFERROR(__xludf.DUMMYFUNCTION("""COMPUTED_VALUE"""),48.0)</f>
        <v>48</v>
      </c>
      <c r="K2118" s="18">
        <f>IFERROR(__xludf.DUMMYFUNCTION("""COMPUTED_VALUE"""),41.0)</f>
        <v>41</v>
      </c>
      <c r="L2118" s="17">
        <f>IFERROR(__xludf.DUMMYFUNCTION("""COMPUTED_VALUE"""),3.14672822E9)</f>
        <v>3146728220</v>
      </c>
      <c r="M2118" s="17" t="str">
        <f>IFERROR(__xludf.DUMMYFUNCTION("""COMPUTED_VALUE"""),"#REF!")</f>
        <v>#REF!</v>
      </c>
      <c r="N2118" s="17"/>
      <c r="O2118" s="17"/>
      <c r="P2118" s="17" t="b">
        <f>IFERROR(__xludf.DUMMYFUNCTION("""COMPUTED_VALUE"""),FALSE)</f>
        <v>0</v>
      </c>
      <c r="Q2118" s="20" t="str">
        <f>IFERROR(__xludf.DUMMYFUNCTION("""COMPUTED_VALUE"""),"")</f>
        <v/>
      </c>
      <c r="R2118" s="22" t="str">
        <f>IFERROR(__xludf.DUMMYFUNCTION("""COMPUTED_VALUE"""),"")</f>
        <v/>
      </c>
    </row>
    <row r="2119">
      <c r="A2119" s="15">
        <f>IFERROR(__xludf.DUMMYFUNCTION("""COMPUTED_VALUE"""),45062.0)</f>
        <v>45062</v>
      </c>
      <c r="B2119" s="16" t="str">
        <f>IFERROR(__xludf.DUMMYFUNCTION("""COMPUTED_VALUE"""),"Oscar Augusto Meneses Osias")</f>
        <v>Oscar Augusto Meneses Osias</v>
      </c>
      <c r="C2119" s="15" t="str">
        <f>IFERROR(__xludf.DUMMYFUNCTION("""COMPUTED_VALUE"""),"MEDELLÍN")</f>
        <v>MEDELLÍN</v>
      </c>
      <c r="D2119" s="15" t="str">
        <f>IFERROR(__xludf.DUMMYFUNCTION("""COMPUTED_VALUE"""),"BOGOTÁ")</f>
        <v>BOGOTÁ</v>
      </c>
      <c r="E2119" s="15" t="str">
        <f>IFERROR(__xludf.DUMMYFUNCTION("""COMPUTED_VALUE"""),"Evamazzita")</f>
        <v>Evamazzita</v>
      </c>
      <c r="F2119" s="17" t="str">
        <f>IFERROR(__xludf.DUMMYFUNCTION("""COMPUTED_VALUE"""),"Cra 44 No 60 sur 35  / Apto 1809 Urbanización Puerta de Mayorca  / SABANETA")</f>
        <v>Cra 44 No 60 sur 35  / Apto 1809 Urbanización Puerta de Mayorca  / SABANETA</v>
      </c>
      <c r="G2119" s="15" t="str">
        <f>IFERROR(__xludf.DUMMYFUNCTION("""COMPUTED_VALUE"""),"LINA ISABEL GONZALEZ")</f>
        <v>LINA ISABEL GONZALEZ</v>
      </c>
      <c r="H2119" s="16">
        <f>IFERROR(__xludf.DUMMYFUNCTION("""COMPUTED_VALUE"""),10728.0)</f>
        <v>10728</v>
      </c>
      <c r="I2119" s="18">
        <f>IFERROR(__xludf.DUMMYFUNCTION("""COMPUTED_VALUE"""),10.0)</f>
        <v>10</v>
      </c>
      <c r="J2119" s="18">
        <f>IFERROR(__xludf.DUMMYFUNCTION("""COMPUTED_VALUE"""),22.0)</f>
        <v>22</v>
      </c>
      <c r="K2119" s="18">
        <f>IFERROR(__xludf.DUMMYFUNCTION("""COMPUTED_VALUE"""),18.0)</f>
        <v>18</v>
      </c>
      <c r="L2119" s="17">
        <f>IFERROR(__xludf.DUMMYFUNCTION("""COMPUTED_VALUE"""),3.012163028E9)</f>
        <v>3012163028</v>
      </c>
      <c r="M2119" s="17" t="str">
        <f>IFERROR(__xludf.DUMMYFUNCTION("""COMPUTED_VALUE"""),"#REF!")</f>
        <v>#REF!</v>
      </c>
      <c r="N2119" s="17"/>
      <c r="O2119" s="17"/>
      <c r="P2119" s="17" t="b">
        <f>IFERROR(__xludf.DUMMYFUNCTION("""COMPUTED_VALUE"""),FALSE)</f>
        <v>0</v>
      </c>
      <c r="Q2119" s="20" t="str">
        <f>IFERROR(__xludf.DUMMYFUNCTION("""COMPUTED_VALUE"""),"")</f>
        <v/>
      </c>
      <c r="R2119" s="22" t="str">
        <f>IFERROR(__xludf.DUMMYFUNCTION("""COMPUTED_VALUE"""),"")</f>
        <v/>
      </c>
    </row>
    <row r="2120">
      <c r="A2120" s="15">
        <f>IFERROR(__xludf.DUMMYFUNCTION("""COMPUTED_VALUE"""),45062.0)</f>
        <v>45062</v>
      </c>
      <c r="B2120" s="16" t="str">
        <f>IFERROR(__xludf.DUMMYFUNCTION("""COMPUTED_VALUE"""),"Oscar Augusto Meneses Osias")</f>
        <v>Oscar Augusto Meneses Osias</v>
      </c>
      <c r="C2120" s="15" t="str">
        <f>IFERROR(__xludf.DUMMYFUNCTION("""COMPUTED_VALUE"""),"MEDELLÍN")</f>
        <v>MEDELLÍN</v>
      </c>
      <c r="D2120" s="15" t="str">
        <f>IFERROR(__xludf.DUMMYFUNCTION("""COMPUTED_VALUE"""),"BOGOTÁ")</f>
        <v>BOGOTÁ</v>
      </c>
      <c r="E2120" s="15" t="str">
        <f>IFERROR(__xludf.DUMMYFUNCTION("""COMPUTED_VALUE"""),"Loomifoods")</f>
        <v>Loomifoods</v>
      </c>
      <c r="F2120" s="17" t="str">
        <f>IFERROR(__xludf.DUMMYFUNCTION("""COMPUTED_VALUE"""),"Cra 15BA no. 34D - 44 / Interior 201 / Medellin")</f>
        <v>Cra 15BA no. 34D - 44 / Interior 201 / Medellin</v>
      </c>
      <c r="G2120" s="15" t="str">
        <f>IFERROR(__xludf.DUMMYFUNCTION("""COMPUTED_VALUE"""),"Daniela Bedoya")</f>
        <v>Daniela Bedoya</v>
      </c>
      <c r="H2120" s="16">
        <f>IFERROR(__xludf.DUMMYFUNCTION("""COMPUTED_VALUE"""),10744.0)</f>
        <v>10744</v>
      </c>
      <c r="I2120" s="18">
        <f>IFERROR(__xludf.DUMMYFUNCTION("""COMPUTED_VALUE"""),20.0)</f>
        <v>20</v>
      </c>
      <c r="J2120" s="18">
        <f>IFERROR(__xludf.DUMMYFUNCTION("""COMPUTED_VALUE"""),10.0)</f>
        <v>10</v>
      </c>
      <c r="K2120" s="18">
        <f>IFERROR(__xludf.DUMMYFUNCTION("""COMPUTED_VALUE"""),16.0)</f>
        <v>16</v>
      </c>
      <c r="L2120" s="17">
        <f>IFERROR(__xludf.DUMMYFUNCTION("""COMPUTED_VALUE"""),3.14672822E9)</f>
        <v>3146728220</v>
      </c>
      <c r="M2120" s="17" t="str">
        <f>IFERROR(__xludf.DUMMYFUNCTION("""COMPUTED_VALUE"""),"#REF!")</f>
        <v>#REF!</v>
      </c>
      <c r="N2120" s="17"/>
      <c r="O2120" s="17"/>
      <c r="P2120" s="17" t="b">
        <f>IFERROR(__xludf.DUMMYFUNCTION("""COMPUTED_VALUE"""),FALSE)</f>
        <v>0</v>
      </c>
      <c r="Q2120" s="20" t="str">
        <f>IFERROR(__xludf.DUMMYFUNCTION("""COMPUTED_VALUE"""),"")</f>
        <v/>
      </c>
      <c r="R2120" s="22" t="str">
        <f>IFERROR(__xludf.DUMMYFUNCTION("""COMPUTED_VALUE"""),"")</f>
        <v/>
      </c>
    </row>
    <row r="2121">
      <c r="A2121" s="15">
        <f>IFERROR(__xludf.DUMMYFUNCTION("""COMPUTED_VALUE"""),45062.0)</f>
        <v>45062</v>
      </c>
      <c r="B2121" s="16" t="str">
        <f>IFERROR(__xludf.DUMMYFUNCTION("""COMPUTED_VALUE"""),"Oscar Augusto Meneses Osias")</f>
        <v>Oscar Augusto Meneses Osias</v>
      </c>
      <c r="C2121" s="15" t="str">
        <f>IFERROR(__xludf.DUMMYFUNCTION("""COMPUTED_VALUE"""),"MEDELLÍN")</f>
        <v>MEDELLÍN</v>
      </c>
      <c r="D2121" s="15" t="str">
        <f>IFERROR(__xludf.DUMMYFUNCTION("""COMPUTED_VALUE"""),"BOGOTÁ")</f>
        <v>BOGOTÁ</v>
      </c>
      <c r="E2121" s="15" t="str">
        <f>IFERROR(__xludf.DUMMYFUNCTION("""COMPUTED_VALUE"""),"Pan de Waffle")</f>
        <v>Pan de Waffle</v>
      </c>
      <c r="F2121" s="17" t="str">
        <f>IFERROR(__xludf.DUMMYFUNCTION("""COMPUTED_VALUE"""),"Carrera 39 # 59 - 32 / Carrera 39 # 59 - 32 / Carrera 39 # 59 - 32")</f>
        <v>Carrera 39 # 59 - 32 / Carrera 39 # 59 - 32 / Carrera 39 # 59 - 32</v>
      </c>
      <c r="G2121" s="15" t="str">
        <f>IFERROR(__xludf.DUMMYFUNCTION("""COMPUTED_VALUE"""),"FOODOLOGY MEDELLIN")</f>
        <v>FOODOLOGY MEDELLIN</v>
      </c>
      <c r="H2121" s="16">
        <f>IFERROR(__xludf.DUMMYFUNCTION("""COMPUTED_VALUE"""),10657.0)</f>
        <v>10657</v>
      </c>
      <c r="I2121" s="18">
        <f>IFERROR(__xludf.DUMMYFUNCTION("""COMPUTED_VALUE"""),40.0)</f>
        <v>40</v>
      </c>
      <c r="J2121" s="18">
        <f>IFERROR(__xludf.DUMMYFUNCTION("""COMPUTED_VALUE"""),30.0)</f>
        <v>30</v>
      </c>
      <c r="K2121" s="18">
        <f>IFERROR(__xludf.DUMMYFUNCTION("""COMPUTED_VALUE"""),40.0)</f>
        <v>40</v>
      </c>
      <c r="L2121" s="17">
        <f>IFERROR(__xludf.DUMMYFUNCTION("""COMPUTED_VALUE"""),3.123558292E9)</f>
        <v>3123558292</v>
      </c>
      <c r="M2121" s="17" t="str">
        <f>IFERROR(__xludf.DUMMYFUNCTION("""COMPUTED_VALUE"""),"#REF!")</f>
        <v>#REF!</v>
      </c>
      <c r="N2121" s="17"/>
      <c r="O2121" s="17"/>
      <c r="P2121" s="17" t="b">
        <f>IFERROR(__xludf.DUMMYFUNCTION("""COMPUTED_VALUE"""),FALSE)</f>
        <v>0</v>
      </c>
      <c r="Q2121" s="20" t="str">
        <f>IFERROR(__xludf.DUMMYFUNCTION("""COMPUTED_VALUE"""),"")</f>
        <v/>
      </c>
      <c r="R2121" s="22" t="str">
        <f>IFERROR(__xludf.DUMMYFUNCTION("""COMPUTED_VALUE"""),"")</f>
        <v/>
      </c>
    </row>
    <row r="2122">
      <c r="A2122" s="15">
        <f>IFERROR(__xludf.DUMMYFUNCTION("""COMPUTED_VALUE"""),45062.0)</f>
        <v>45062</v>
      </c>
      <c r="B2122" s="16" t="str">
        <f>IFERROR(__xludf.DUMMYFUNCTION("""COMPUTED_VALUE"""),"Oscar Augusto Meneses Osias")</f>
        <v>Oscar Augusto Meneses Osias</v>
      </c>
      <c r="C2122" s="15" t="str">
        <f>IFERROR(__xludf.DUMMYFUNCTION("""COMPUTED_VALUE"""),"MEDELLÍN")</f>
        <v>MEDELLÍN</v>
      </c>
      <c r="D2122" s="15" t="str">
        <f>IFERROR(__xludf.DUMMYFUNCTION("""COMPUTED_VALUE"""),"BOGOTÁ")</f>
        <v>BOGOTÁ</v>
      </c>
      <c r="E2122" s="15" t="str">
        <f>IFERROR(__xludf.DUMMYFUNCTION("""COMPUTED_VALUE"""),"Pan de Waffle")</f>
        <v>Pan de Waffle</v>
      </c>
      <c r="F2122" s="17" t="str">
        <f>IFERROR(__xludf.DUMMYFUNCTION("""COMPUTED_VALUE"""),"Carrera 48 # 10 - 45 Local 1211 Centro Comercial Monterrey / Carrera 48 # 10 - 45 Local 1211 Centro Comercial Monterrey / Carrera 48 # 10 - 45 Local 1211 Centro Comercial Monterrey")</f>
        <v>Carrera 48 # 10 - 45 Local 1211 Centro Comercial Monterrey / Carrera 48 # 10 - 45 Local 1211 Centro Comercial Monterrey / Carrera 48 # 10 - 45 Local 1211 Centro Comercial Monterrey</v>
      </c>
      <c r="G2122" s="15" t="str">
        <f>IFERROR(__xludf.DUMMYFUNCTION("""COMPUTED_VALUE"""),"MERCASANO AVIGÑON")</f>
        <v>MERCASANO AVIGÑON</v>
      </c>
      <c r="H2122" s="16">
        <f>IFERROR(__xludf.DUMMYFUNCTION("""COMPUTED_VALUE"""),10656.0)</f>
        <v>10656</v>
      </c>
      <c r="I2122" s="18">
        <f>IFERROR(__xludf.DUMMYFUNCTION("""COMPUTED_VALUE"""),40.0)</f>
        <v>40</v>
      </c>
      <c r="J2122" s="18">
        <f>IFERROR(__xludf.DUMMYFUNCTION("""COMPUTED_VALUE"""),30.0)</f>
        <v>30</v>
      </c>
      <c r="K2122" s="18">
        <f>IFERROR(__xludf.DUMMYFUNCTION("""COMPUTED_VALUE"""),30.0)</f>
        <v>30</v>
      </c>
      <c r="L2122" s="17">
        <f>IFERROR(__xludf.DUMMYFUNCTION("""COMPUTED_VALUE"""),3.17364849E9)</f>
        <v>3173648490</v>
      </c>
      <c r="M2122" s="17" t="str">
        <f>IFERROR(__xludf.DUMMYFUNCTION("""COMPUTED_VALUE"""),"#REF!")</f>
        <v>#REF!</v>
      </c>
      <c r="N2122" s="17"/>
      <c r="O2122" s="17"/>
      <c r="P2122" s="17" t="b">
        <f>IFERROR(__xludf.DUMMYFUNCTION("""COMPUTED_VALUE"""),FALSE)</f>
        <v>0</v>
      </c>
      <c r="Q2122" s="20" t="str">
        <f>IFERROR(__xludf.DUMMYFUNCTION("""COMPUTED_VALUE"""),"")</f>
        <v/>
      </c>
      <c r="R2122" s="22" t="str">
        <f>IFERROR(__xludf.DUMMYFUNCTION("""COMPUTED_VALUE"""),"")</f>
        <v/>
      </c>
    </row>
    <row r="2123">
      <c r="A2123" s="17" t="str">
        <f>IFERROR(__xludf.DUMMYFUNCTION("""COMPUTED_VALUE"""),"")</f>
        <v/>
      </c>
      <c r="B2123" s="17" t="str">
        <f>IFERROR(__xludf.DUMMYFUNCTION("""COMPUTED_VALUE"""),"")</f>
        <v/>
      </c>
      <c r="C2123" s="17" t="str">
        <f>IFERROR(__xludf.DUMMYFUNCTION("""COMPUTED_VALUE"""),"")</f>
        <v/>
      </c>
      <c r="D2123" s="17" t="str">
        <f>IFERROR(__xludf.DUMMYFUNCTION("""COMPUTED_VALUE"""),"")</f>
        <v/>
      </c>
      <c r="E2123" s="17" t="str">
        <f>IFERROR(__xludf.DUMMYFUNCTION("""COMPUTED_VALUE"""),"")</f>
        <v/>
      </c>
      <c r="F2123" s="17" t="str">
        <f>IFERROR(__xludf.DUMMYFUNCTION("""COMPUTED_VALUE"""),"")</f>
        <v/>
      </c>
      <c r="G2123" s="17" t="str">
        <f>IFERROR(__xludf.DUMMYFUNCTION("""COMPUTED_VALUE"""),"")</f>
        <v/>
      </c>
      <c r="H2123" s="17" t="str">
        <f>IFERROR(__xludf.DUMMYFUNCTION("""COMPUTED_VALUE"""),"")</f>
        <v/>
      </c>
      <c r="I2123" s="17" t="str">
        <f>IFERROR(__xludf.DUMMYFUNCTION("""COMPUTED_VALUE"""),"")</f>
        <v/>
      </c>
      <c r="J2123" s="17" t="str">
        <f>IFERROR(__xludf.DUMMYFUNCTION("""COMPUTED_VALUE"""),"")</f>
        <v/>
      </c>
      <c r="K2123" s="17" t="str">
        <f>IFERROR(__xludf.DUMMYFUNCTION("""COMPUTED_VALUE"""),"")</f>
        <v/>
      </c>
      <c r="L2123" s="17" t="str">
        <f>IFERROR(__xludf.DUMMYFUNCTION("""COMPUTED_VALUE"""),"")</f>
        <v/>
      </c>
      <c r="M2123" s="17" t="str">
        <f>IFERROR(__xludf.DUMMYFUNCTION("""COMPUTED_VALUE"""),"")</f>
        <v/>
      </c>
      <c r="N2123" s="17" t="str">
        <f>IFERROR(__xludf.DUMMYFUNCTION("""COMPUTED_VALUE"""),"")</f>
        <v/>
      </c>
      <c r="O2123" s="17" t="str">
        <f>IFERROR(__xludf.DUMMYFUNCTION("""COMPUTED_VALUE"""),"")</f>
        <v/>
      </c>
      <c r="P2123" s="17" t="str">
        <f>IFERROR(__xludf.DUMMYFUNCTION("""COMPUTED_VALUE"""),"")</f>
        <v/>
      </c>
      <c r="Q2123" s="17" t="str">
        <f>IFERROR(__xludf.DUMMYFUNCTION("""COMPUTED_VALUE"""),"")</f>
        <v/>
      </c>
      <c r="R2123" s="17" t="str">
        <f>IFERROR(__xludf.DUMMYFUNCTION("""COMPUTED_VALUE"""),"")</f>
        <v/>
      </c>
    </row>
    <row r="2124">
      <c r="A2124" s="15">
        <f>IFERROR(__xludf.DUMMYFUNCTION("""COMPUTED_VALUE"""),45063.0)</f>
        <v>45063</v>
      </c>
      <c r="B2124" s="17"/>
      <c r="C2124" s="15" t="str">
        <f>IFERROR(__xludf.DUMMYFUNCTION("""COMPUTED_VALUE"""),"CALI")</f>
        <v>CALI</v>
      </c>
      <c r="D2124" s="15" t="str">
        <f>IFERROR(__xludf.DUMMYFUNCTION("""COMPUTED_VALUE"""),"MEDELLÍN")</f>
        <v>MEDELLÍN</v>
      </c>
      <c r="E2124" s="15" t="str">
        <f>IFERROR(__xludf.DUMMYFUNCTION("""COMPUTED_VALUE"""),"AREPAS LA MARY")</f>
        <v>AREPAS LA MARY</v>
      </c>
      <c r="F2124" s="17" t="str">
        <f>IFERROR(__xludf.DUMMYFUNCTION("""COMPUTED_VALUE"""),"AVENIDA 10 NORTE # 21-80 APTO 201 / TERRAZAS DE SANTA MONICA")</f>
        <v>AVENIDA 10 NORTE # 21-80 APTO 201 / TERRAZAS DE SANTA MONICA</v>
      </c>
      <c r="G2124" s="15" t="str">
        <f>IFERROR(__xludf.DUMMYFUNCTION("""COMPUTED_VALUE"""),"CAMILA SEGURA")</f>
        <v>CAMILA SEGURA</v>
      </c>
      <c r="H2124" s="16">
        <f>IFERROR(__xludf.DUMMYFUNCTION("""COMPUTED_VALUE"""),10776.0)</f>
        <v>10776</v>
      </c>
      <c r="I2124" s="18">
        <f>IFERROR(__xludf.DUMMYFUNCTION("""COMPUTED_VALUE"""),89.0)</f>
        <v>89</v>
      </c>
      <c r="J2124" s="18">
        <f>IFERROR(__xludf.DUMMYFUNCTION("""COMPUTED_VALUE"""),1.0)</f>
        <v>1</v>
      </c>
      <c r="K2124" s="18">
        <f>IFERROR(__xludf.DUMMYFUNCTION("""COMPUTED_VALUE"""),10.0)</f>
        <v>10</v>
      </c>
      <c r="L2124" s="17" t="str">
        <f>IFERROR(__xludf.DUMMYFUNCTION("""COMPUTED_VALUE"""),"311 4406029")</f>
        <v>311 4406029</v>
      </c>
      <c r="M2124" s="17" t="str">
        <f>IFERROR(__xludf.DUMMYFUNCTION("""COMPUTED_VALUE"""),"#REF!")</f>
        <v>#REF!</v>
      </c>
      <c r="N2124" s="17"/>
      <c r="O2124" s="17"/>
      <c r="P2124" s="17" t="b">
        <f>IFERROR(__xludf.DUMMYFUNCTION("""COMPUTED_VALUE"""),TRUE)</f>
        <v>1</v>
      </c>
      <c r="Q2124" s="20">
        <f>IFERROR(__xludf.DUMMYFUNCTION("""COMPUTED_VALUE"""),45063.54536078704)</f>
        <v>45063.54536</v>
      </c>
      <c r="R2124" s="22" t="str">
        <f>IFERROR(__xludf.DUMMYFUNCTION("""COMPUTED_VALUE"""),"")</f>
        <v/>
      </c>
    </row>
    <row r="2125">
      <c r="A2125" s="17" t="str">
        <f>IFERROR(__xludf.DUMMYFUNCTION("""COMPUTED_VALUE"""),"")</f>
        <v/>
      </c>
      <c r="B2125" s="17" t="str">
        <f>IFERROR(__xludf.DUMMYFUNCTION("""COMPUTED_VALUE"""),"")</f>
        <v/>
      </c>
      <c r="C2125" s="17" t="str">
        <f>IFERROR(__xludf.DUMMYFUNCTION("""COMPUTED_VALUE"""),"")</f>
        <v/>
      </c>
      <c r="D2125" s="17" t="str">
        <f>IFERROR(__xludf.DUMMYFUNCTION("""COMPUTED_VALUE"""),"")</f>
        <v/>
      </c>
      <c r="E2125" s="17" t="str">
        <f>IFERROR(__xludf.DUMMYFUNCTION("""COMPUTED_VALUE"""),"")</f>
        <v/>
      </c>
      <c r="F2125" s="17" t="str">
        <f>IFERROR(__xludf.DUMMYFUNCTION("""COMPUTED_VALUE"""),"")</f>
        <v/>
      </c>
      <c r="G2125" s="17" t="str">
        <f>IFERROR(__xludf.DUMMYFUNCTION("""COMPUTED_VALUE"""),"")</f>
        <v/>
      </c>
      <c r="H2125" s="17" t="str">
        <f>IFERROR(__xludf.DUMMYFUNCTION("""COMPUTED_VALUE"""),"")</f>
        <v/>
      </c>
      <c r="I2125" s="17" t="str">
        <f>IFERROR(__xludf.DUMMYFUNCTION("""COMPUTED_VALUE"""),"")</f>
        <v/>
      </c>
      <c r="J2125" s="17" t="str">
        <f>IFERROR(__xludf.DUMMYFUNCTION("""COMPUTED_VALUE"""),"")</f>
        <v/>
      </c>
      <c r="K2125" s="17" t="str">
        <f>IFERROR(__xludf.DUMMYFUNCTION("""COMPUTED_VALUE"""),"")</f>
        <v/>
      </c>
      <c r="L2125" s="17" t="str">
        <f>IFERROR(__xludf.DUMMYFUNCTION("""COMPUTED_VALUE"""),"")</f>
        <v/>
      </c>
      <c r="M2125" s="17" t="str">
        <f>IFERROR(__xludf.DUMMYFUNCTION("""COMPUTED_VALUE"""),"")</f>
        <v/>
      </c>
      <c r="N2125" s="17" t="str">
        <f>IFERROR(__xludf.DUMMYFUNCTION("""COMPUTED_VALUE"""),"")</f>
        <v/>
      </c>
      <c r="O2125" s="17" t="str">
        <f>IFERROR(__xludf.DUMMYFUNCTION("""COMPUTED_VALUE"""),"")</f>
        <v/>
      </c>
      <c r="P2125" s="17" t="str">
        <f>IFERROR(__xludf.DUMMYFUNCTION("""COMPUTED_VALUE"""),"")</f>
        <v/>
      </c>
      <c r="Q2125" s="17" t="str">
        <f>IFERROR(__xludf.DUMMYFUNCTION("""COMPUTED_VALUE"""),"")</f>
        <v/>
      </c>
      <c r="R2125" s="17" t="str">
        <f>IFERROR(__xludf.DUMMYFUNCTION("""COMPUTED_VALUE"""),"")</f>
        <v/>
      </c>
    </row>
    <row r="2126">
      <c r="A2126" s="15">
        <f>IFERROR(__xludf.DUMMYFUNCTION("""COMPUTED_VALUE"""),45063.0)</f>
        <v>45063</v>
      </c>
      <c r="B2126" s="16" t="str">
        <f>IFERROR(__xludf.DUMMYFUNCTION("""COMPUTED_VALUE"""),"Andres felipe maya bautista ")</f>
        <v>Andres felipe maya bautista </v>
      </c>
      <c r="C2126" s="15" t="str">
        <f>IFERROR(__xludf.DUMMYFUNCTION("""COMPUTED_VALUE"""),"BOGOTÁ")</f>
        <v>BOGOTÁ</v>
      </c>
      <c r="D2126" s="15" t="str">
        <f>IFERROR(__xludf.DUMMYFUNCTION("""COMPUTED_VALUE"""),"MEDELLÍN")</f>
        <v>MEDELLÍN</v>
      </c>
      <c r="E2126" s="15" t="str">
        <f>IFERROR(__xludf.DUMMYFUNCTION("""COMPUTED_VALUE"""),"AREPAS LA MARY")</f>
        <v>AREPAS LA MARY</v>
      </c>
      <c r="F2126" s="17" t="str">
        <f>IFERROR(__xludf.DUMMYFUNCTION("""COMPUTED_VALUE"""),"Cra 77 # 18-51 Torre 8 apto 603 / CONJUNTO LA ARBOLEDA")</f>
        <v>Cra 77 # 18-51 Torre 8 apto 603 / CONJUNTO LA ARBOLEDA</v>
      </c>
      <c r="G2126" s="15" t="str">
        <f>IFERROR(__xludf.DUMMYFUNCTION("""COMPUTED_VALUE"""),"ALEJAANDRO MOJICA")</f>
        <v>ALEJAANDRO MOJICA</v>
      </c>
      <c r="H2126" s="16">
        <f>IFERROR(__xludf.DUMMYFUNCTION("""COMPUTED_VALUE"""),10775.0)</f>
        <v>10775</v>
      </c>
      <c r="I2126" s="18">
        <f>IFERROR(__xludf.DUMMYFUNCTION("""COMPUTED_VALUE"""),89.0)</f>
        <v>89</v>
      </c>
      <c r="J2126" s="18">
        <f>IFERROR(__xludf.DUMMYFUNCTION("""COMPUTED_VALUE"""),1.0)</f>
        <v>1</v>
      </c>
      <c r="K2126" s="18">
        <f>IFERROR(__xludf.DUMMYFUNCTION("""COMPUTED_VALUE"""),10.0)</f>
        <v>10</v>
      </c>
      <c r="L2126" s="17">
        <f>IFERROR(__xludf.DUMMYFUNCTION("""COMPUTED_VALUE"""),3.104042757E9)</f>
        <v>3104042757</v>
      </c>
      <c r="M2126" s="17" t="str">
        <f>IFERROR(__xludf.DUMMYFUNCTION("""COMPUTED_VALUE"""),"#REF!")</f>
        <v>#REF!</v>
      </c>
      <c r="N2126" s="17"/>
      <c r="O2126" s="17"/>
      <c r="P2126" s="17" t="b">
        <f>IFERROR(__xludf.DUMMYFUNCTION("""COMPUTED_VALUE"""),FALSE)</f>
        <v>0</v>
      </c>
      <c r="Q2126" s="20" t="str">
        <f>IFERROR(__xludf.DUMMYFUNCTION("""COMPUTED_VALUE"""),"")</f>
        <v/>
      </c>
      <c r="R2126" s="22" t="str">
        <f>IFERROR(__xludf.DUMMYFUNCTION("""COMPUTED_VALUE"""),"")</f>
        <v/>
      </c>
    </row>
    <row r="2127">
      <c r="A2127" s="15">
        <f>IFERROR(__xludf.DUMMYFUNCTION("""COMPUTED_VALUE"""),45063.0)</f>
        <v>45063</v>
      </c>
      <c r="B2127" s="16" t="str">
        <f>IFERROR(__xludf.DUMMYFUNCTION("""COMPUTED_VALUE"""),"Andres felipe maya bautista ")</f>
        <v>Andres felipe maya bautista </v>
      </c>
      <c r="C2127" s="15" t="str">
        <f>IFERROR(__xludf.DUMMYFUNCTION("""COMPUTED_VALUE"""),"BOGOTÁ")</f>
        <v>BOGOTÁ</v>
      </c>
      <c r="D2127" s="15" t="str">
        <f>IFERROR(__xludf.DUMMYFUNCTION("""COMPUTED_VALUE"""),"MEDELLÍN")</f>
        <v>MEDELLÍN</v>
      </c>
      <c r="E2127" s="15" t="str">
        <f>IFERROR(__xludf.DUMMYFUNCTION("""COMPUTED_VALUE"""),"Baby Chef")</f>
        <v>Baby Chef</v>
      </c>
      <c r="F2127" s="17" t="str">
        <f>IFERROR(__xludf.DUMMYFUNCTION("""COMPUTED_VALUE"""),"Calle 13sur #08-07 Torre B Apartamento 505. Edificio Arboleda 1. Barrio Quinta Ramos. / Calle 13sur #08-07 Torre B Apartamento 505. Edificio Arboleda 1. Barrio Quinta Ramos. / Calle 13sur #08-07 Torre B Apartamento 505. Edificio Arboleda 1. Barrio Quinta "&amp;"Ramos.")</f>
        <v>Calle 13sur #08-07 Torre B Apartamento 505. Edificio Arboleda 1. Barrio Quinta Ramos. / Calle 13sur #08-07 Torre B Apartamento 505. Edificio Arboleda 1. Barrio Quinta Ramos. / Calle 13sur #08-07 Torre B Apartamento 505. Edificio Arboleda 1. Barrio Quinta Ramos.</v>
      </c>
      <c r="G2127" s="15" t="str">
        <f>IFERROR(__xludf.DUMMYFUNCTION("""COMPUTED_VALUE"""),"Gernán Giraldo")</f>
        <v>Gernán Giraldo</v>
      </c>
      <c r="H2127" s="16">
        <f>IFERROR(__xludf.DUMMYFUNCTION("""COMPUTED_VALUE"""),10792.0)</f>
        <v>10792</v>
      </c>
      <c r="I2127" s="18">
        <f>IFERROR(__xludf.DUMMYFUNCTION("""COMPUTED_VALUE"""),8.0)</f>
        <v>8</v>
      </c>
      <c r="J2127" s="18">
        <f>IFERROR(__xludf.DUMMYFUNCTION("""COMPUTED_VALUE"""),16.0)</f>
        <v>16</v>
      </c>
      <c r="K2127" s="18">
        <f>IFERROR(__xludf.DUMMYFUNCTION("""COMPUTED_VALUE"""),20.0)</f>
        <v>20</v>
      </c>
      <c r="L2127" s="17">
        <f>IFERROR(__xludf.DUMMYFUNCTION("""COMPUTED_VALUE"""),3.012795441E9)</f>
        <v>3012795441</v>
      </c>
      <c r="M2127" s="17" t="str">
        <f>IFERROR(__xludf.DUMMYFUNCTION("""COMPUTED_VALUE"""),"#REF!")</f>
        <v>#REF!</v>
      </c>
      <c r="N2127" s="17"/>
      <c r="O2127" s="17"/>
      <c r="P2127" s="17" t="b">
        <f>IFERROR(__xludf.DUMMYFUNCTION("""COMPUTED_VALUE"""),FALSE)</f>
        <v>0</v>
      </c>
      <c r="Q2127" s="20" t="str">
        <f>IFERROR(__xludf.DUMMYFUNCTION("""COMPUTED_VALUE"""),"")</f>
        <v/>
      </c>
      <c r="R2127" s="22" t="str">
        <f>IFERROR(__xludf.DUMMYFUNCTION("""COMPUTED_VALUE"""),"")</f>
        <v/>
      </c>
    </row>
    <row r="2128">
      <c r="A2128" s="15">
        <f>IFERROR(__xludf.DUMMYFUNCTION("""COMPUTED_VALUE"""),45063.0)</f>
        <v>45063</v>
      </c>
      <c r="B2128" s="16" t="str">
        <f>IFERROR(__xludf.DUMMYFUNCTION("""COMPUTED_VALUE"""),"Andres felipe maya bautista ")</f>
        <v>Andres felipe maya bautista </v>
      </c>
      <c r="C2128" s="15" t="str">
        <f>IFERROR(__xludf.DUMMYFUNCTION("""COMPUTED_VALUE"""),"BOGOTÁ")</f>
        <v>BOGOTÁ</v>
      </c>
      <c r="D2128" s="15" t="str">
        <f>IFERROR(__xludf.DUMMYFUNCTION("""COMPUTED_VALUE"""),"MEDELLÍN")</f>
        <v>MEDELLÍN</v>
      </c>
      <c r="E2128" s="15" t="str">
        <f>IFERROR(__xludf.DUMMYFUNCTION("""COMPUTED_VALUE"""),"Baby Chef")</f>
        <v>Baby Chef</v>
      </c>
      <c r="F2128" s="17" t="str">
        <f>IFERROR(__xludf.DUMMYFUNCTION("""COMPUTED_VALUE"""),"Calle 152 # 56 - 72 Int 2 Apto 202 / Calle 152 # 56 - 72 Int 2 Apto 202 / Calle 152 # 56 - 72 Int 2 Apto 202")</f>
        <v>Calle 152 # 56 - 72 Int 2 Apto 202 / Calle 152 # 56 - 72 Int 2 Apto 202 / Calle 152 # 56 - 72 Int 2 Apto 202</v>
      </c>
      <c r="G2128" s="15" t="str">
        <f>IFERROR(__xludf.DUMMYFUNCTION("""COMPUTED_VALUE"""),"Maria Cristina Bermudez Buelvas")</f>
        <v>Maria Cristina Bermudez Buelvas</v>
      </c>
      <c r="H2128" s="16">
        <f>IFERROR(__xludf.DUMMYFUNCTION("""COMPUTED_VALUE"""),10793.0)</f>
        <v>10793</v>
      </c>
      <c r="I2128" s="18">
        <f>IFERROR(__xludf.DUMMYFUNCTION("""COMPUTED_VALUE"""),8.0)</f>
        <v>8</v>
      </c>
      <c r="J2128" s="18">
        <f>IFERROR(__xludf.DUMMYFUNCTION("""COMPUTED_VALUE"""),16.0)</f>
        <v>16</v>
      </c>
      <c r="K2128" s="18">
        <f>IFERROR(__xludf.DUMMYFUNCTION("""COMPUTED_VALUE"""),20.0)</f>
        <v>20</v>
      </c>
      <c r="L2128" s="17">
        <f>IFERROR(__xludf.DUMMYFUNCTION("""COMPUTED_VALUE"""),3.1646822E9)</f>
        <v>3164682200</v>
      </c>
      <c r="M2128" s="17" t="str">
        <f>IFERROR(__xludf.DUMMYFUNCTION("""COMPUTED_VALUE"""),"#REF!")</f>
        <v>#REF!</v>
      </c>
      <c r="N2128" s="17"/>
      <c r="O2128" s="17"/>
      <c r="P2128" s="17" t="b">
        <f>IFERROR(__xludf.DUMMYFUNCTION("""COMPUTED_VALUE"""),TRUE)</f>
        <v>1</v>
      </c>
      <c r="Q2128" s="20">
        <f>IFERROR(__xludf.DUMMYFUNCTION("""COMPUTED_VALUE"""),45063.520849988425)</f>
        <v>45063.52085</v>
      </c>
      <c r="R2128" s="22" t="str">
        <f>IFERROR(__xludf.DUMMYFUNCTION("""COMPUTED_VALUE"""),"")</f>
        <v/>
      </c>
    </row>
    <row r="2129">
      <c r="A2129" s="15">
        <f>IFERROR(__xludf.DUMMYFUNCTION("""COMPUTED_VALUE"""),45063.0)</f>
        <v>45063</v>
      </c>
      <c r="B2129" s="16" t="str">
        <f>IFERROR(__xludf.DUMMYFUNCTION("""COMPUTED_VALUE"""),"Andres felipe maya bautista ")</f>
        <v>Andres felipe maya bautista </v>
      </c>
      <c r="C2129" s="15" t="str">
        <f>IFERROR(__xludf.DUMMYFUNCTION("""COMPUTED_VALUE"""),"BOGOTÁ")</f>
        <v>BOGOTÁ</v>
      </c>
      <c r="D2129" s="15" t="str">
        <f>IFERROR(__xludf.DUMMYFUNCTION("""COMPUTED_VALUE"""),"MEDELLÍN")</f>
        <v>MEDELLÍN</v>
      </c>
      <c r="E2129" s="15" t="str">
        <f>IFERROR(__xludf.DUMMYFUNCTION("""COMPUTED_VALUE"""),"Lácteos El Pino SAS")</f>
        <v>Lácteos El Pino SAS</v>
      </c>
      <c r="F2129" s="17" t="str">
        <f>IFERROR(__xludf.DUMMYFUNCTION("""COMPUTED_VALUE"""),"Calle 101 69-41 en Bogota / ENTREGAR EN EL APARTAMENTO")</f>
        <v>Calle 101 69-41 en Bogota / ENTREGAR EN EL APARTAMENTO</v>
      </c>
      <c r="G2129" s="15" t="str">
        <f>IFERROR(__xludf.DUMMYFUNCTION("""COMPUTED_VALUE"""),"LUISA QUINTERO")</f>
        <v>LUISA QUINTERO</v>
      </c>
      <c r="H2129" s="16">
        <f>IFERROR(__xludf.DUMMYFUNCTION("""COMPUTED_VALUE"""),10779.0)</f>
        <v>10779</v>
      </c>
      <c r="I2129" s="18">
        <f>IFERROR(__xludf.DUMMYFUNCTION("""COMPUTED_VALUE"""),11.0)</f>
        <v>11</v>
      </c>
      <c r="J2129" s="18">
        <f>IFERROR(__xludf.DUMMYFUNCTION("""COMPUTED_VALUE"""),15.0)</f>
        <v>15</v>
      </c>
      <c r="K2129" s="18">
        <f>IFERROR(__xludf.DUMMYFUNCTION("""COMPUTED_VALUE"""),20.0)</f>
        <v>20</v>
      </c>
      <c r="L2129" s="17">
        <f>IFERROR(__xludf.DUMMYFUNCTION("""COMPUTED_VALUE"""),3.24566062E9)</f>
        <v>3245660620</v>
      </c>
      <c r="M2129" s="17" t="str">
        <f>IFERROR(__xludf.DUMMYFUNCTION("""COMPUTED_VALUE"""),"#REF!")</f>
        <v>#REF!</v>
      </c>
      <c r="N2129" s="17"/>
      <c r="O2129" s="17"/>
      <c r="P2129" s="17" t="b">
        <f>IFERROR(__xludf.DUMMYFUNCTION("""COMPUTED_VALUE"""),TRUE)</f>
        <v>1</v>
      </c>
      <c r="Q2129" s="20">
        <f>IFERROR(__xludf.DUMMYFUNCTION("""COMPUTED_VALUE"""),45063.60056708333)</f>
        <v>45063.60057</v>
      </c>
      <c r="R2129" s="22" t="str">
        <f>IFERROR(__xludf.DUMMYFUNCTION("""COMPUTED_VALUE"""),"")</f>
        <v/>
      </c>
    </row>
    <row r="2130">
      <c r="A2130" s="15">
        <f>IFERROR(__xludf.DUMMYFUNCTION("""COMPUTED_VALUE"""),45063.0)</f>
        <v>45063</v>
      </c>
      <c r="B2130" s="16" t="str">
        <f>IFERROR(__xludf.DUMMYFUNCTION("""COMPUTED_VALUE"""),"Andres felipe maya bautista ")</f>
        <v>Andres felipe maya bautista </v>
      </c>
      <c r="C2130" s="15" t="str">
        <f>IFERROR(__xludf.DUMMYFUNCTION("""COMPUTED_VALUE"""),"MONTERIA")</f>
        <v>MONTERIA</v>
      </c>
      <c r="D2130" s="15" t="str">
        <f>IFERROR(__xludf.DUMMYFUNCTION("""COMPUTED_VALUE"""),"BOGOTÁ")</f>
        <v>BOGOTÁ</v>
      </c>
      <c r="E2130" s="15" t="str">
        <f>IFERROR(__xludf.DUMMYFUNCTION("""COMPUTED_VALUE"""),"MAI ALIMENTOS S.A.S")</f>
        <v>MAI ALIMENTOS S.A.S</v>
      </c>
      <c r="F2130" s="17" t="str">
        <f>IFERROR(__xludf.DUMMYFUNCTION("""COMPUTED_VALUE"""),"Calle 44#10-91 / Local 4")</f>
        <v>Calle 44#10-91 / Local 4</v>
      </c>
      <c r="G2130" s="15" t="str">
        <f>IFERROR(__xludf.DUMMYFUNCTION("""COMPUTED_VALUE"""),"Angie Paola Negrette")</f>
        <v>Angie Paola Negrette</v>
      </c>
      <c r="H2130" s="16">
        <f>IFERROR(__xludf.DUMMYFUNCTION("""COMPUTED_VALUE"""),10587.0)</f>
        <v>10587</v>
      </c>
      <c r="I2130" s="18">
        <f>IFERROR(__xludf.DUMMYFUNCTION("""COMPUTED_VALUE"""),35.0)</f>
        <v>35</v>
      </c>
      <c r="J2130" s="18">
        <f>IFERROR(__xludf.DUMMYFUNCTION("""COMPUTED_VALUE"""),17.0)</f>
        <v>17</v>
      </c>
      <c r="K2130" s="18">
        <f>IFERROR(__xludf.DUMMYFUNCTION("""COMPUTED_VALUE"""),13.0)</f>
        <v>13</v>
      </c>
      <c r="L2130" s="17">
        <f>IFERROR(__xludf.DUMMYFUNCTION("""COMPUTED_VALUE"""),3.002161363E9)</f>
        <v>3002161363</v>
      </c>
      <c r="M2130" s="17" t="str">
        <f>IFERROR(__xludf.DUMMYFUNCTION("""COMPUTED_VALUE"""),"#REF!")</f>
        <v>#REF!</v>
      </c>
      <c r="N2130" s="17"/>
      <c r="O2130" s="17"/>
      <c r="P2130" s="17" t="b">
        <f>IFERROR(__xludf.DUMMYFUNCTION("""COMPUTED_VALUE"""),TRUE)</f>
        <v>1</v>
      </c>
      <c r="Q2130" s="20">
        <f>IFERROR(__xludf.DUMMYFUNCTION("""COMPUTED_VALUE"""),45063.587730555555)</f>
        <v>45063.58773</v>
      </c>
      <c r="R2130" s="22" t="str">
        <f>IFERROR(__xludf.DUMMYFUNCTION("""COMPUTED_VALUE"""),"")</f>
        <v/>
      </c>
    </row>
    <row r="2131">
      <c r="A2131" s="17" t="str">
        <f>IFERROR(__xludf.DUMMYFUNCTION("""COMPUTED_VALUE"""),"")</f>
        <v/>
      </c>
      <c r="B2131" s="17" t="str">
        <f>IFERROR(__xludf.DUMMYFUNCTION("""COMPUTED_VALUE"""),"")</f>
        <v/>
      </c>
      <c r="C2131" s="17" t="str">
        <f>IFERROR(__xludf.DUMMYFUNCTION("""COMPUTED_VALUE"""),"")</f>
        <v/>
      </c>
      <c r="D2131" s="17" t="str">
        <f>IFERROR(__xludf.DUMMYFUNCTION("""COMPUTED_VALUE"""),"")</f>
        <v/>
      </c>
      <c r="E2131" s="17" t="str">
        <f>IFERROR(__xludf.DUMMYFUNCTION("""COMPUTED_VALUE"""),"")</f>
        <v/>
      </c>
      <c r="F2131" s="17" t="str">
        <f>IFERROR(__xludf.DUMMYFUNCTION("""COMPUTED_VALUE"""),"")</f>
        <v/>
      </c>
      <c r="G2131" s="17" t="str">
        <f>IFERROR(__xludf.DUMMYFUNCTION("""COMPUTED_VALUE"""),"")</f>
        <v/>
      </c>
      <c r="H2131" s="17" t="str">
        <f>IFERROR(__xludf.DUMMYFUNCTION("""COMPUTED_VALUE"""),"")</f>
        <v/>
      </c>
      <c r="I2131" s="17" t="str">
        <f>IFERROR(__xludf.DUMMYFUNCTION("""COMPUTED_VALUE"""),"")</f>
        <v/>
      </c>
      <c r="J2131" s="17" t="str">
        <f>IFERROR(__xludf.DUMMYFUNCTION("""COMPUTED_VALUE"""),"")</f>
        <v/>
      </c>
      <c r="K2131" s="17" t="str">
        <f>IFERROR(__xludf.DUMMYFUNCTION("""COMPUTED_VALUE"""),"")</f>
        <v/>
      </c>
      <c r="L2131" s="17" t="str">
        <f>IFERROR(__xludf.DUMMYFUNCTION("""COMPUTED_VALUE"""),"")</f>
        <v/>
      </c>
      <c r="M2131" s="17" t="str">
        <f>IFERROR(__xludf.DUMMYFUNCTION("""COMPUTED_VALUE"""),"")</f>
        <v/>
      </c>
      <c r="N2131" s="17" t="str">
        <f>IFERROR(__xludf.DUMMYFUNCTION("""COMPUTED_VALUE"""),"")</f>
        <v/>
      </c>
      <c r="O2131" s="17" t="str">
        <f>IFERROR(__xludf.DUMMYFUNCTION("""COMPUTED_VALUE"""),"")</f>
        <v/>
      </c>
      <c r="P2131" s="17" t="str">
        <f>IFERROR(__xludf.DUMMYFUNCTION("""COMPUTED_VALUE"""),"")</f>
        <v/>
      </c>
      <c r="Q2131" s="17" t="str">
        <f>IFERROR(__xludf.DUMMYFUNCTION("""COMPUTED_VALUE"""),"")</f>
        <v/>
      </c>
      <c r="R2131" s="17" t="str">
        <f>IFERROR(__xludf.DUMMYFUNCTION("""COMPUTED_VALUE"""),"")</f>
        <v/>
      </c>
    </row>
    <row r="2132">
      <c r="A2132" s="15">
        <f>IFERROR(__xludf.DUMMYFUNCTION("""COMPUTED_VALUE"""),45063.0)</f>
        <v>45063</v>
      </c>
      <c r="B2132" s="16" t="str">
        <f>IFERROR(__xludf.DUMMYFUNCTION("""COMPUTED_VALUE"""),"David Sanmartin Bello")</f>
        <v>David Sanmartin Bello</v>
      </c>
      <c r="C2132" s="15" t="str">
        <f>IFERROR(__xludf.DUMMYFUNCTION("""COMPUTED_VALUE"""),"CARTAGENA")</f>
        <v>CARTAGENA</v>
      </c>
      <c r="D2132" s="15" t="str">
        <f>IFERROR(__xludf.DUMMYFUNCTION("""COMPUTED_VALUE"""),"BOGOTÁ")</f>
        <v>BOGOTÁ</v>
      </c>
      <c r="E2132" s="15" t="str">
        <f>IFERROR(__xludf.DUMMYFUNCTION("""COMPUTED_VALUE"""),"Evamazzita")</f>
        <v>Evamazzita</v>
      </c>
      <c r="F2132" s="17" t="str">
        <f>IFERROR(__xludf.DUMMYFUNCTION("""COMPUTED_VALUE"""),"CRA 91A No. 39H-65  /  TORRE 4 APTO 327 / TORRE DEL JARDIN")</f>
        <v>CRA 91A No. 39H-65  /  TORRE 4 APTO 327 / TORRE DEL JARDIN</v>
      </c>
      <c r="G2132" s="15" t="str">
        <f>IFERROR(__xludf.DUMMYFUNCTION("""COMPUTED_VALUE"""),"KAREN HERRERA GARCIA")</f>
        <v>KAREN HERRERA GARCIA</v>
      </c>
      <c r="H2132" s="16">
        <f>IFERROR(__xludf.DUMMYFUNCTION("""COMPUTED_VALUE"""),10768.0)</f>
        <v>10768</v>
      </c>
      <c r="I2132" s="18">
        <f>IFERROR(__xludf.DUMMYFUNCTION("""COMPUTED_VALUE"""),3.0)</f>
        <v>3</v>
      </c>
      <c r="J2132" s="18">
        <f>IFERROR(__xludf.DUMMYFUNCTION("""COMPUTED_VALUE"""),20.0)</f>
        <v>20</v>
      </c>
      <c r="K2132" s="18">
        <f>IFERROR(__xludf.DUMMYFUNCTION("""COMPUTED_VALUE"""),15.0)</f>
        <v>15</v>
      </c>
      <c r="L2132" s="17">
        <f>IFERROR(__xludf.DUMMYFUNCTION("""COMPUTED_VALUE"""),3.157870561E9)</f>
        <v>3157870561</v>
      </c>
      <c r="M2132" s="17" t="str">
        <f>IFERROR(__xludf.DUMMYFUNCTION("""COMPUTED_VALUE"""),"#REF!")</f>
        <v>#REF!</v>
      </c>
      <c r="N2132" s="17"/>
      <c r="O2132" s="17"/>
      <c r="P2132" s="17" t="b">
        <f>IFERROR(__xludf.DUMMYFUNCTION("""COMPUTED_VALUE"""),TRUE)</f>
        <v>1</v>
      </c>
      <c r="Q2132" s="20">
        <f>IFERROR(__xludf.DUMMYFUNCTION("""COMPUTED_VALUE"""),45063.51589652778)</f>
        <v>45063.5159</v>
      </c>
      <c r="R2132" s="22" t="str">
        <f>IFERROR(__xludf.DUMMYFUNCTION("""COMPUTED_VALUE"""),"")</f>
        <v/>
      </c>
    </row>
    <row r="2133">
      <c r="A2133" s="15">
        <f>IFERROR(__xludf.DUMMYFUNCTION("""COMPUTED_VALUE"""),45063.0)</f>
        <v>45063</v>
      </c>
      <c r="B2133" s="16" t="str">
        <f>IFERROR(__xludf.DUMMYFUNCTION("""COMPUTED_VALUE"""),"David Sanmartin Bello")</f>
        <v>David Sanmartin Bello</v>
      </c>
      <c r="C2133" s="15" t="str">
        <f>IFERROR(__xludf.DUMMYFUNCTION("""COMPUTED_VALUE"""),"CARTAGENA")</f>
        <v>CARTAGENA</v>
      </c>
      <c r="D2133" s="15" t="str">
        <f>IFERROR(__xludf.DUMMYFUNCTION("""COMPUTED_VALUE"""),"BOGOTÁ")</f>
        <v>BOGOTÁ</v>
      </c>
      <c r="E2133" s="15" t="str">
        <f>IFERROR(__xludf.DUMMYFUNCTION("""COMPUTED_VALUE"""),"Evamazzita")</f>
        <v>Evamazzita</v>
      </c>
      <c r="F2133" s="17" t="str">
        <f>IFERROR(__xludf.DUMMYFUNCTION("""COMPUTED_VALUE"""),"MZ 15 LOTE 16  / TERCERA ETAPA / BARRIO LAS GAVIOTAS")</f>
        <v>MZ 15 LOTE 16  / TERCERA ETAPA / BARRIO LAS GAVIOTAS</v>
      </c>
      <c r="G2133" s="15" t="str">
        <f>IFERROR(__xludf.DUMMYFUNCTION("""COMPUTED_VALUE"""),"SOL MARINA RODRIGUEZ JULIO")</f>
        <v>SOL MARINA RODRIGUEZ JULIO</v>
      </c>
      <c r="H2133" s="16">
        <f>IFERROR(__xludf.DUMMYFUNCTION("""COMPUTED_VALUE"""),10769.0)</f>
        <v>10769</v>
      </c>
      <c r="I2133" s="18">
        <f>IFERROR(__xludf.DUMMYFUNCTION("""COMPUTED_VALUE"""),3.0)</f>
        <v>3</v>
      </c>
      <c r="J2133" s="18">
        <f>IFERROR(__xludf.DUMMYFUNCTION("""COMPUTED_VALUE"""),20.0)</f>
        <v>20</v>
      </c>
      <c r="K2133" s="18">
        <f>IFERROR(__xludf.DUMMYFUNCTION("""COMPUTED_VALUE"""),15.0)</f>
        <v>15</v>
      </c>
      <c r="L2133" s="17">
        <f>IFERROR(__xludf.DUMMYFUNCTION("""COMPUTED_VALUE"""),3.148409236E9)</f>
        <v>3148409236</v>
      </c>
      <c r="M2133" s="17" t="str">
        <f>IFERROR(__xludf.DUMMYFUNCTION("""COMPUTED_VALUE"""),"#REF!")</f>
        <v>#REF!</v>
      </c>
      <c r="N2133" s="17"/>
      <c r="O2133" s="17"/>
      <c r="P2133" s="17" t="b">
        <f>IFERROR(__xludf.DUMMYFUNCTION("""COMPUTED_VALUE"""),TRUE)</f>
        <v>1</v>
      </c>
      <c r="Q2133" s="20">
        <f>IFERROR(__xludf.DUMMYFUNCTION("""COMPUTED_VALUE"""),45063.51589652778)</f>
        <v>45063.5159</v>
      </c>
      <c r="R2133" s="22" t="str">
        <f>IFERROR(__xludf.DUMMYFUNCTION("""COMPUTED_VALUE"""),"")</f>
        <v/>
      </c>
    </row>
    <row r="2134">
      <c r="A2134" s="15">
        <f>IFERROR(__xludf.DUMMYFUNCTION("""COMPUTED_VALUE"""),45063.0)</f>
        <v>45063</v>
      </c>
      <c r="B2134" s="16" t="str">
        <f>IFERROR(__xludf.DUMMYFUNCTION("""COMPUTED_VALUE"""),"David Sanmartin Bello")</f>
        <v>David Sanmartin Bello</v>
      </c>
      <c r="C2134" s="15" t="str">
        <f>IFERROR(__xludf.DUMMYFUNCTION("""COMPUTED_VALUE"""),"CARTAGENA")</f>
        <v>CARTAGENA</v>
      </c>
      <c r="D2134" s="15" t="str">
        <f>IFERROR(__xludf.DUMMYFUNCTION("""COMPUTED_VALUE"""),"BOGOTÁ")</f>
        <v>BOGOTÁ</v>
      </c>
      <c r="E2134" s="15" t="str">
        <f>IFERROR(__xludf.DUMMYFUNCTION("""COMPUTED_VALUE"""),"Evamazzita")</f>
        <v>Evamazzita</v>
      </c>
      <c r="F2134" s="17" t="str">
        <f>IFERROR(__xludf.DUMMYFUNCTION("""COMPUTED_VALUE"""),"TRANSV 52B No. 21C - 09 /  EDIFICIO MANANTIALES DEL BOSQUE I APART 502  / BARRIO ALTO BOSQUE")</f>
        <v>TRANSV 52B No. 21C - 09 /  EDIFICIO MANANTIALES DEL BOSQUE I APART 502  / BARRIO ALTO BOSQUE</v>
      </c>
      <c r="G2134" s="15" t="str">
        <f>IFERROR(__xludf.DUMMYFUNCTION("""COMPUTED_VALUE"""),"RUTH ELENA ALVEAR GONZALEZ")</f>
        <v>RUTH ELENA ALVEAR GONZALEZ</v>
      </c>
      <c r="H2134" s="16">
        <f>IFERROR(__xludf.DUMMYFUNCTION("""COMPUTED_VALUE"""),10770.0)</f>
        <v>10770</v>
      </c>
      <c r="I2134" s="18">
        <f>IFERROR(__xludf.DUMMYFUNCTION("""COMPUTED_VALUE"""),3.0)</f>
        <v>3</v>
      </c>
      <c r="J2134" s="18">
        <f>IFERROR(__xludf.DUMMYFUNCTION("""COMPUTED_VALUE"""),15.0)</f>
        <v>15</v>
      </c>
      <c r="K2134" s="18">
        <f>IFERROR(__xludf.DUMMYFUNCTION("""COMPUTED_VALUE"""),20.0)</f>
        <v>20</v>
      </c>
      <c r="L2134" s="17">
        <f>IFERROR(__xludf.DUMMYFUNCTION("""COMPUTED_VALUE"""),3.016151349E9)</f>
        <v>3016151349</v>
      </c>
      <c r="M2134" s="17" t="str">
        <f>IFERROR(__xludf.DUMMYFUNCTION("""COMPUTED_VALUE"""),"#REF!")</f>
        <v>#REF!</v>
      </c>
      <c r="N2134" s="17"/>
      <c r="O2134" s="17"/>
      <c r="P2134" s="17" t="b">
        <f>IFERROR(__xludf.DUMMYFUNCTION("""COMPUTED_VALUE"""),TRUE)</f>
        <v>1</v>
      </c>
      <c r="Q2134" s="20">
        <f>IFERROR(__xludf.DUMMYFUNCTION("""COMPUTED_VALUE"""),45063.51589652778)</f>
        <v>45063.5159</v>
      </c>
      <c r="R2134" s="22" t="str">
        <f>IFERROR(__xludf.DUMMYFUNCTION("""COMPUTED_VALUE"""),"")</f>
        <v/>
      </c>
    </row>
    <row r="2135">
      <c r="A2135" s="15">
        <f>IFERROR(__xludf.DUMMYFUNCTION("""COMPUTED_VALUE"""),45063.0)</f>
        <v>45063</v>
      </c>
      <c r="B2135" s="16" t="str">
        <f>IFERROR(__xludf.DUMMYFUNCTION("""COMPUTED_VALUE"""),"David Sanmartin Bello")</f>
        <v>David Sanmartin Bello</v>
      </c>
      <c r="C2135" s="15" t="str">
        <f>IFERROR(__xludf.DUMMYFUNCTION("""COMPUTED_VALUE"""),"MEDELLÍN")</f>
        <v>MEDELLÍN</v>
      </c>
      <c r="D2135" s="15" t="str">
        <f>IFERROR(__xludf.DUMMYFUNCTION("""COMPUTED_VALUE"""),"PEREIRA")</f>
        <v>PEREIRA</v>
      </c>
      <c r="E2135" s="15" t="str">
        <f>IFERROR(__xludf.DUMMYFUNCTION("""COMPUTED_VALUE"""),"BAK&amp;VEG")</f>
        <v>BAK&amp;VEG</v>
      </c>
      <c r="F2135" s="17" t="str">
        <f>IFERROR(__xludf.DUMMYFUNCTION("""COMPUTED_VALUE"""),"calle 52 #64A - 39 / bloque 73  apto 301")</f>
        <v>calle 52 #64A - 39 / bloque 73  apto 301</v>
      </c>
      <c r="G2135" s="15" t="str">
        <f>IFERROR(__xludf.DUMMYFUNCTION("""COMPUTED_VALUE"""),"Carla cueto")</f>
        <v>Carla cueto</v>
      </c>
      <c r="H2135" s="16">
        <f>IFERROR(__xludf.DUMMYFUNCTION("""COMPUTED_VALUE"""),10762.0)</f>
        <v>10762</v>
      </c>
      <c r="I2135" s="17"/>
      <c r="J2135" s="17"/>
      <c r="K2135" s="17"/>
      <c r="L2135" s="17">
        <f>IFERROR(__xludf.DUMMYFUNCTION("""COMPUTED_VALUE"""),3.178728823E9)</f>
        <v>3178728823</v>
      </c>
      <c r="M2135" s="17" t="str">
        <f>IFERROR(__xludf.DUMMYFUNCTION("""COMPUTED_VALUE"""),"#REF!")</f>
        <v>#REF!</v>
      </c>
      <c r="N2135" s="17"/>
      <c r="O2135" s="17"/>
      <c r="P2135" s="17" t="b">
        <f>IFERROR(__xludf.DUMMYFUNCTION("""COMPUTED_VALUE"""),FALSE)</f>
        <v>0</v>
      </c>
      <c r="Q2135" s="20" t="str">
        <f>IFERROR(__xludf.DUMMYFUNCTION("""COMPUTED_VALUE"""),"")</f>
        <v/>
      </c>
      <c r="R2135" s="22" t="str">
        <f>IFERROR(__xludf.DUMMYFUNCTION("""COMPUTED_VALUE"""),"")</f>
        <v/>
      </c>
    </row>
    <row r="2136">
      <c r="A2136" s="15">
        <f>IFERROR(__xludf.DUMMYFUNCTION("""COMPUTED_VALUE"""),45063.0)</f>
        <v>45063</v>
      </c>
      <c r="B2136" s="16" t="str">
        <f>IFERROR(__xludf.DUMMYFUNCTION("""COMPUTED_VALUE"""),"David Sanmartin Bello")</f>
        <v>David Sanmartin Bello</v>
      </c>
      <c r="C2136" s="15" t="str">
        <f>IFERROR(__xludf.DUMMYFUNCTION("""COMPUTED_VALUE"""),"MEDELLÍN")</f>
        <v>MEDELLÍN</v>
      </c>
      <c r="D2136" s="15" t="str">
        <f>IFERROR(__xludf.DUMMYFUNCTION("""COMPUTED_VALUE"""),"PEREIRA")</f>
        <v>PEREIRA</v>
      </c>
      <c r="E2136" s="15" t="str">
        <f>IFERROR(__xludf.DUMMYFUNCTION("""COMPUTED_VALUE"""),"BAK&amp;VEG")</f>
        <v>BAK&amp;VEG</v>
      </c>
      <c r="F2136" s="17" t="str">
        <f>IFERROR(__xludf.DUMMYFUNCTION("""COMPUTED_VALUE"""),"calle 52 #64A - 39 / bloque 73  apto 301")</f>
        <v>calle 52 #64A - 39 / bloque 73  apto 301</v>
      </c>
      <c r="G2136" s="15" t="str">
        <f>IFERROR(__xludf.DUMMYFUNCTION("""COMPUTED_VALUE"""),"Carla cueto")</f>
        <v>Carla cueto</v>
      </c>
      <c r="H2136" s="16">
        <f>IFERROR(__xludf.DUMMYFUNCTION("""COMPUTED_VALUE"""),10763.0)</f>
        <v>10763</v>
      </c>
      <c r="I2136" s="18">
        <f>IFERROR(__xludf.DUMMYFUNCTION("""COMPUTED_VALUE"""),40.0)</f>
        <v>40</v>
      </c>
      <c r="J2136" s="18">
        <f>IFERROR(__xludf.DUMMYFUNCTION("""COMPUTED_VALUE"""),30.0)</f>
        <v>30</v>
      </c>
      <c r="K2136" s="18">
        <f>IFERROR(__xludf.DUMMYFUNCTION("""COMPUTED_VALUE"""),40.0)</f>
        <v>40</v>
      </c>
      <c r="L2136" s="17">
        <f>IFERROR(__xludf.DUMMYFUNCTION("""COMPUTED_VALUE"""),3.178728823E9)</f>
        <v>3178728823</v>
      </c>
      <c r="M2136" s="17" t="str">
        <f>IFERROR(__xludf.DUMMYFUNCTION("""COMPUTED_VALUE"""),"#REF!")</f>
        <v>#REF!</v>
      </c>
      <c r="N2136" s="17"/>
      <c r="O2136" s="17"/>
      <c r="P2136" s="17" t="b">
        <f>IFERROR(__xludf.DUMMYFUNCTION("""COMPUTED_VALUE"""),FALSE)</f>
        <v>0</v>
      </c>
      <c r="Q2136" s="20" t="str">
        <f>IFERROR(__xludf.DUMMYFUNCTION("""COMPUTED_VALUE"""),"")</f>
        <v/>
      </c>
      <c r="R2136" s="22" t="str">
        <f>IFERROR(__xludf.DUMMYFUNCTION("""COMPUTED_VALUE"""),"")</f>
        <v/>
      </c>
    </row>
    <row r="2137">
      <c r="A2137" s="17" t="str">
        <f>IFERROR(__xludf.DUMMYFUNCTION("""COMPUTED_VALUE"""),"")</f>
        <v/>
      </c>
      <c r="B2137" s="17" t="str">
        <f>IFERROR(__xludf.DUMMYFUNCTION("""COMPUTED_VALUE"""),"")</f>
        <v/>
      </c>
      <c r="C2137" s="17" t="str">
        <f>IFERROR(__xludf.DUMMYFUNCTION("""COMPUTED_VALUE"""),"")</f>
        <v/>
      </c>
      <c r="D2137" s="17" t="str">
        <f>IFERROR(__xludf.DUMMYFUNCTION("""COMPUTED_VALUE"""),"")</f>
        <v/>
      </c>
      <c r="E2137" s="17" t="str">
        <f>IFERROR(__xludf.DUMMYFUNCTION("""COMPUTED_VALUE"""),"")</f>
        <v/>
      </c>
      <c r="F2137" s="17" t="str">
        <f>IFERROR(__xludf.DUMMYFUNCTION("""COMPUTED_VALUE"""),"")</f>
        <v/>
      </c>
      <c r="G2137" s="17" t="str">
        <f>IFERROR(__xludf.DUMMYFUNCTION("""COMPUTED_VALUE"""),"")</f>
        <v/>
      </c>
      <c r="H2137" s="17" t="str">
        <f>IFERROR(__xludf.DUMMYFUNCTION("""COMPUTED_VALUE"""),"")</f>
        <v/>
      </c>
      <c r="I2137" s="17" t="str">
        <f>IFERROR(__xludf.DUMMYFUNCTION("""COMPUTED_VALUE"""),"")</f>
        <v/>
      </c>
      <c r="J2137" s="17" t="str">
        <f>IFERROR(__xludf.DUMMYFUNCTION("""COMPUTED_VALUE"""),"")</f>
        <v/>
      </c>
      <c r="K2137" s="17" t="str">
        <f>IFERROR(__xludf.DUMMYFUNCTION("""COMPUTED_VALUE"""),"")</f>
        <v/>
      </c>
      <c r="L2137" s="17" t="str">
        <f>IFERROR(__xludf.DUMMYFUNCTION("""COMPUTED_VALUE"""),"")</f>
        <v/>
      </c>
      <c r="M2137" s="17" t="str">
        <f>IFERROR(__xludf.DUMMYFUNCTION("""COMPUTED_VALUE"""),"")</f>
        <v/>
      </c>
      <c r="N2137" s="17" t="str">
        <f>IFERROR(__xludf.DUMMYFUNCTION("""COMPUTED_VALUE"""),"")</f>
        <v/>
      </c>
      <c r="O2137" s="17" t="str">
        <f>IFERROR(__xludf.DUMMYFUNCTION("""COMPUTED_VALUE"""),"")</f>
        <v/>
      </c>
      <c r="P2137" s="17" t="str">
        <f>IFERROR(__xludf.DUMMYFUNCTION("""COMPUTED_VALUE"""),"")</f>
        <v/>
      </c>
      <c r="Q2137" s="17" t="str">
        <f>IFERROR(__xludf.DUMMYFUNCTION("""COMPUTED_VALUE"""),"")</f>
        <v/>
      </c>
      <c r="R2137" s="17" t="str">
        <f>IFERROR(__xludf.DUMMYFUNCTION("""COMPUTED_VALUE"""),"")</f>
        <v/>
      </c>
    </row>
    <row r="2138">
      <c r="A2138" s="15">
        <f>IFERROR(__xludf.DUMMYFUNCTION("""COMPUTED_VALUE"""),45063.0)</f>
        <v>45063</v>
      </c>
      <c r="B2138" s="16" t="str">
        <f>IFERROR(__xludf.DUMMYFUNCTION("""COMPUTED_VALUE"""),"Envia")</f>
        <v>Envia</v>
      </c>
      <c r="C2138" s="15" t="str">
        <f>IFERROR(__xludf.DUMMYFUNCTION("""COMPUTED_VALUE"""),"BOGOTÁ")</f>
        <v>BOGOTÁ</v>
      </c>
      <c r="D2138" s="15" t="str">
        <f>IFERROR(__xludf.DUMMYFUNCTION("""COMPUTED_VALUE"""),"MEDELLÍN")</f>
        <v>MEDELLÍN</v>
      </c>
      <c r="E2138" s="15" t="str">
        <f>IFERROR(__xludf.DUMMYFUNCTION("""COMPUTED_VALUE"""),"Rambla")</f>
        <v>Rambla</v>
      </c>
      <c r="F2138" s="17" t="str">
        <f>IFERROR(__xludf.DUMMYFUNCTION("""COMPUTED_VALUE"""),"Carrera 1A No. 20 - 138 Urbanizacion El Sol - Soacha / NA / NA")</f>
        <v>Carrera 1A No. 20 - 138 Urbanizacion El Sol - Soacha / NA / NA</v>
      </c>
      <c r="G2138" s="15" t="str">
        <f>IFERROR(__xludf.DUMMYFUNCTION("""COMPUTED_VALUE"""),"Diana Marcela Velasquez Castañeda")</f>
        <v>Diana Marcela Velasquez Castañeda</v>
      </c>
      <c r="H2138" s="16">
        <f>IFERROR(__xludf.DUMMYFUNCTION("""COMPUTED_VALUE"""),10807.0)</f>
        <v>10807</v>
      </c>
      <c r="I2138" s="18">
        <f>IFERROR(__xludf.DUMMYFUNCTION("""COMPUTED_VALUE"""),15.0)</f>
        <v>15</v>
      </c>
      <c r="J2138" s="18">
        <f>IFERROR(__xludf.DUMMYFUNCTION("""COMPUTED_VALUE"""),17.0)</f>
        <v>17</v>
      </c>
      <c r="K2138" s="18">
        <f>IFERROR(__xludf.DUMMYFUNCTION("""COMPUTED_VALUE"""),20.0)</f>
        <v>20</v>
      </c>
      <c r="L2138" s="17">
        <f>IFERROR(__xludf.DUMMYFUNCTION("""COMPUTED_VALUE"""),3.107768763E9)</f>
        <v>3107768763</v>
      </c>
      <c r="M2138" s="17" t="str">
        <f>IFERROR(__xludf.DUMMYFUNCTION("""COMPUTED_VALUE"""),"#REF!")</f>
        <v>#REF!</v>
      </c>
      <c r="N2138" s="17"/>
      <c r="O2138" s="17"/>
      <c r="P2138" s="17" t="b">
        <f>IFERROR(__xludf.DUMMYFUNCTION("""COMPUTED_VALUE"""),FALSE)</f>
        <v>0</v>
      </c>
      <c r="Q2138" s="20" t="str">
        <f>IFERROR(__xludf.DUMMYFUNCTION("""COMPUTED_VALUE"""),"")</f>
        <v/>
      </c>
      <c r="R2138" s="22" t="str">
        <f>IFERROR(__xludf.DUMMYFUNCTION("""COMPUTED_VALUE"""),"")</f>
        <v/>
      </c>
    </row>
    <row r="2139">
      <c r="A2139" s="15">
        <f>IFERROR(__xludf.DUMMYFUNCTION("""COMPUTED_VALUE"""),45063.0)</f>
        <v>45063</v>
      </c>
      <c r="B2139" s="16" t="str">
        <f>IFERROR(__xludf.DUMMYFUNCTION("""COMPUTED_VALUE"""),"Envia")</f>
        <v>Envia</v>
      </c>
      <c r="C2139" s="15" t="str">
        <f>IFERROR(__xludf.DUMMYFUNCTION("""COMPUTED_VALUE"""),"BOGOTÁ")</f>
        <v>BOGOTÁ</v>
      </c>
      <c r="D2139" s="15" t="str">
        <f>IFERROR(__xludf.DUMMYFUNCTION("""COMPUTED_VALUE"""),"MEDELLÍN")</f>
        <v>MEDELLÍN</v>
      </c>
      <c r="E2139" s="15" t="str">
        <f>IFERROR(__xludf.DUMMYFUNCTION("""COMPUTED_VALUE"""),"Terravocado")</f>
        <v>Terravocado</v>
      </c>
      <c r="F2139" s="17" t="str">
        <f>IFERROR(__xludf.DUMMYFUNCTION("""COMPUTED_VALUE"""),"Cr 55a # 79b 50 / Pico sas  / Bosa")</f>
        <v>Cr 55a # 79b 50 / Pico sas  / Bosa</v>
      </c>
      <c r="G2139" s="15" t="str">
        <f>IFERROR(__xludf.DUMMYFUNCTION("""COMPUTED_VALUE"""),"Paola Muñoz")</f>
        <v>Paola Muñoz</v>
      </c>
      <c r="H2139" s="16">
        <f>IFERROR(__xludf.DUMMYFUNCTION("""COMPUTED_VALUE"""),10778.0)</f>
        <v>10778</v>
      </c>
      <c r="I2139" s="18">
        <f>IFERROR(__xludf.DUMMYFUNCTION("""COMPUTED_VALUE"""),20.0)</f>
        <v>20</v>
      </c>
      <c r="J2139" s="18">
        <f>IFERROR(__xludf.DUMMYFUNCTION("""COMPUTED_VALUE"""),24.0)</f>
        <v>24</v>
      </c>
      <c r="K2139" s="18">
        <f>IFERROR(__xludf.DUMMYFUNCTION("""COMPUTED_VALUE"""),34.0)</f>
        <v>34</v>
      </c>
      <c r="L2139" s="17">
        <f>IFERROR(__xludf.DUMMYFUNCTION("""COMPUTED_VALUE"""),3.005478229E9)</f>
        <v>3005478229</v>
      </c>
      <c r="M2139" s="17" t="str">
        <f>IFERROR(__xludf.DUMMYFUNCTION("""COMPUTED_VALUE"""),"#REF!")</f>
        <v>#REF!</v>
      </c>
      <c r="N2139" s="17"/>
      <c r="O2139" s="17"/>
      <c r="P2139" s="17" t="b">
        <f>IFERROR(__xludf.DUMMYFUNCTION("""COMPUTED_VALUE"""),FALSE)</f>
        <v>0</v>
      </c>
      <c r="Q2139" s="20" t="str">
        <f>IFERROR(__xludf.DUMMYFUNCTION("""COMPUTED_VALUE"""),"")</f>
        <v/>
      </c>
      <c r="R2139" s="22" t="str">
        <f>IFERROR(__xludf.DUMMYFUNCTION("""COMPUTED_VALUE"""),"")</f>
        <v/>
      </c>
    </row>
    <row r="2140">
      <c r="A2140" s="15">
        <f>IFERROR(__xludf.DUMMYFUNCTION("""COMPUTED_VALUE"""),45063.0)</f>
        <v>45063</v>
      </c>
      <c r="B2140" s="16" t="str">
        <f>IFERROR(__xludf.DUMMYFUNCTION("""COMPUTED_VALUE"""),"Envia")</f>
        <v>Envia</v>
      </c>
      <c r="C2140" s="15" t="str">
        <f>IFERROR(__xludf.DUMMYFUNCTION("""COMPUTED_VALUE"""),"CALI")</f>
        <v>CALI</v>
      </c>
      <c r="D2140" s="15" t="str">
        <f>IFERROR(__xludf.DUMMYFUNCTION("""COMPUTED_VALUE"""),"MEDELLÍN")</f>
        <v>MEDELLÍN</v>
      </c>
      <c r="E2140" s="15" t="str">
        <f>IFERROR(__xludf.DUMMYFUNCTION("""COMPUTED_VALUE"""),"Baby Chef")</f>
        <v>Baby Chef</v>
      </c>
      <c r="F2140" s="17" t="str">
        <f>IFERROR(__xludf.DUMMYFUNCTION("""COMPUTED_VALUE"""),"Carrera 17 b 43 100 piso 2 Santa fe / Carrera 17 b 43 100 piso 2 Santa fe / Carrera 17 b 43 100 piso 2 Santa fe")</f>
        <v>Carrera 17 b 43 100 piso 2 Santa fe / Carrera 17 b 43 100 piso 2 Santa fe / Carrera 17 b 43 100 piso 2 Santa fe</v>
      </c>
      <c r="G2140" s="15" t="str">
        <f>IFERROR(__xludf.DUMMYFUNCTION("""COMPUTED_VALUE"""),"Sorany Andrea Amaya")</f>
        <v>Sorany Andrea Amaya</v>
      </c>
      <c r="H2140" s="16">
        <f>IFERROR(__xludf.DUMMYFUNCTION("""COMPUTED_VALUE"""),10789.0)</f>
        <v>10789</v>
      </c>
      <c r="I2140" s="18">
        <f>IFERROR(__xludf.DUMMYFUNCTION("""COMPUTED_VALUE"""),8.0)</f>
        <v>8</v>
      </c>
      <c r="J2140" s="18">
        <f>IFERROR(__xludf.DUMMYFUNCTION("""COMPUTED_VALUE"""),16.0)</f>
        <v>16</v>
      </c>
      <c r="K2140" s="18">
        <f>IFERROR(__xludf.DUMMYFUNCTION("""COMPUTED_VALUE"""),20.0)</f>
        <v>20</v>
      </c>
      <c r="L2140" s="17">
        <f>IFERROR(__xludf.DUMMYFUNCTION("""COMPUTED_VALUE"""),3.147386984E9)</f>
        <v>3147386984</v>
      </c>
      <c r="M2140" s="17" t="str">
        <f>IFERROR(__xludf.DUMMYFUNCTION("""COMPUTED_VALUE"""),"#REF!")</f>
        <v>#REF!</v>
      </c>
      <c r="N2140" s="17"/>
      <c r="O2140" s="17"/>
      <c r="P2140" s="17" t="b">
        <f>IFERROR(__xludf.DUMMYFUNCTION("""COMPUTED_VALUE"""),FALSE)</f>
        <v>0</v>
      </c>
      <c r="Q2140" s="20" t="str">
        <f>IFERROR(__xludf.DUMMYFUNCTION("""COMPUTED_VALUE"""),"")</f>
        <v/>
      </c>
      <c r="R2140" s="22" t="str">
        <f>IFERROR(__xludf.DUMMYFUNCTION("""COMPUTED_VALUE"""),"")</f>
        <v/>
      </c>
    </row>
    <row r="2141">
      <c r="A2141" s="15">
        <f>IFERROR(__xludf.DUMMYFUNCTION("""COMPUTED_VALUE"""),45063.0)</f>
        <v>45063</v>
      </c>
      <c r="B2141" s="16" t="str">
        <f>IFERROR(__xludf.DUMMYFUNCTION("""COMPUTED_VALUE"""),"Envia")</f>
        <v>Envia</v>
      </c>
      <c r="C2141" s="15" t="str">
        <f>IFERROR(__xludf.DUMMYFUNCTION("""COMPUTED_VALUE"""),"CALI")</f>
        <v>CALI</v>
      </c>
      <c r="D2141" s="15" t="str">
        <f>IFERROR(__xludf.DUMMYFUNCTION("""COMPUTED_VALUE"""),"MEDELLÍN")</f>
        <v>MEDELLÍN</v>
      </c>
      <c r="E2141" s="15" t="str">
        <f>IFERROR(__xludf.DUMMYFUNCTION("""COMPUTED_VALUE"""),"Rambla")</f>
        <v>Rambla</v>
      </c>
      <c r="F2141" s="17" t="str">
        <f>IFERROR(__xludf.DUMMYFUNCTION("""COMPUTED_VALUE"""),"avenida 4 norte #7n-46 lc 129 centro comercial centenario  / na / na")</f>
        <v>avenida 4 norte #7n-46 lc 129 centro comercial centenario  / na / na</v>
      </c>
      <c r="G2141" s="15" t="str">
        <f>IFERROR(__xludf.DUMMYFUNCTION("""COMPUTED_VALUE"""),"Vitafitnes")</f>
        <v>Vitafitnes</v>
      </c>
      <c r="H2141" s="16">
        <f>IFERROR(__xludf.DUMMYFUNCTION("""COMPUTED_VALUE"""),10804.0)</f>
        <v>10804</v>
      </c>
      <c r="I2141" s="18">
        <f>IFERROR(__xludf.DUMMYFUNCTION("""COMPUTED_VALUE"""),38.0)</f>
        <v>38</v>
      </c>
      <c r="J2141" s="18">
        <f>IFERROR(__xludf.DUMMYFUNCTION("""COMPUTED_VALUE"""),42.0)</f>
        <v>42</v>
      </c>
      <c r="K2141" s="18">
        <f>IFERROR(__xludf.DUMMYFUNCTION("""COMPUTED_VALUE"""),44.0)</f>
        <v>44</v>
      </c>
      <c r="L2141" s="17">
        <f>IFERROR(__xludf.DUMMYFUNCTION("""COMPUTED_VALUE"""),3.103420337E9)</f>
        <v>3103420337</v>
      </c>
      <c r="M2141" s="17" t="str">
        <f>IFERROR(__xludf.DUMMYFUNCTION("""COMPUTED_VALUE"""),"#REF!")</f>
        <v>#REF!</v>
      </c>
      <c r="N2141" s="17"/>
      <c r="O2141" s="17"/>
      <c r="P2141" s="17" t="b">
        <f>IFERROR(__xludf.DUMMYFUNCTION("""COMPUTED_VALUE"""),FALSE)</f>
        <v>0</v>
      </c>
      <c r="Q2141" s="20" t="str">
        <f>IFERROR(__xludf.DUMMYFUNCTION("""COMPUTED_VALUE"""),"")</f>
        <v/>
      </c>
      <c r="R2141" s="22" t="str">
        <f>IFERROR(__xludf.DUMMYFUNCTION("""COMPUTED_VALUE"""),"")</f>
        <v/>
      </c>
    </row>
    <row r="2142">
      <c r="A2142" s="15">
        <f>IFERROR(__xludf.DUMMYFUNCTION("""COMPUTED_VALUE"""),45063.0)</f>
        <v>45063</v>
      </c>
      <c r="B2142" s="16" t="str">
        <f>IFERROR(__xludf.DUMMYFUNCTION("""COMPUTED_VALUE"""),"Envia")</f>
        <v>Envia</v>
      </c>
      <c r="C2142" s="15" t="str">
        <f>IFERROR(__xludf.DUMMYFUNCTION("""COMPUTED_VALUE"""),"CALI")</f>
        <v>CALI</v>
      </c>
      <c r="D2142" s="15" t="str">
        <f>IFERROR(__xludf.DUMMYFUNCTION("""COMPUTED_VALUE"""),"MEDELLÍN")</f>
        <v>MEDELLÍN</v>
      </c>
      <c r="E2142" s="15" t="str">
        <f>IFERROR(__xludf.DUMMYFUNCTION("""COMPUTED_VALUE"""),"Terravocado")</f>
        <v>Terravocado</v>
      </c>
      <c r="F2142" s="17" t="str">
        <f>IFERROR(__xludf.DUMMYFUNCTION("""COMPUTED_VALUE"""),"CLL 34 NORTE 2 BN 33 / |ENTRE LA 14 DE LA SEXTA Y EL DEPORTIVO CALI  / SAN VICENTE")</f>
        <v>CLL 34 NORTE 2 BN 33 / |ENTRE LA 14 DE LA SEXTA Y EL DEPORTIVO CALI  / SAN VICENTE</v>
      </c>
      <c r="G2142" s="15" t="str">
        <f>IFERROR(__xludf.DUMMYFUNCTION("""COMPUTED_VALUE"""),"ALEJANDRO CHUMACERO")</f>
        <v>ALEJANDRO CHUMACERO</v>
      </c>
      <c r="H2142" s="16">
        <f>IFERROR(__xludf.DUMMYFUNCTION("""COMPUTED_VALUE"""),10772.0)</f>
        <v>10772</v>
      </c>
      <c r="I2142" s="18">
        <f>IFERROR(__xludf.DUMMYFUNCTION("""COMPUTED_VALUE"""),20.0)</f>
        <v>20</v>
      </c>
      <c r="J2142" s="18">
        <f>IFERROR(__xludf.DUMMYFUNCTION("""COMPUTED_VALUE"""),24.0)</f>
        <v>24</v>
      </c>
      <c r="K2142" s="18">
        <f>IFERROR(__xludf.DUMMYFUNCTION("""COMPUTED_VALUE"""),34.0)</f>
        <v>34</v>
      </c>
      <c r="L2142" s="17">
        <f>IFERROR(__xludf.DUMMYFUNCTION("""COMPUTED_VALUE"""),3.166313887E9)</f>
        <v>3166313887</v>
      </c>
      <c r="M2142" s="17" t="str">
        <f>IFERROR(__xludf.DUMMYFUNCTION("""COMPUTED_VALUE"""),"#REF!")</f>
        <v>#REF!</v>
      </c>
      <c r="N2142" s="17"/>
      <c r="O2142" s="17"/>
      <c r="P2142" s="17" t="b">
        <f>IFERROR(__xludf.DUMMYFUNCTION("""COMPUTED_VALUE"""),FALSE)</f>
        <v>0</v>
      </c>
      <c r="Q2142" s="20" t="str">
        <f>IFERROR(__xludf.DUMMYFUNCTION("""COMPUTED_VALUE"""),"")</f>
        <v/>
      </c>
      <c r="R2142" s="22" t="str">
        <f>IFERROR(__xludf.DUMMYFUNCTION("""COMPUTED_VALUE"""),"")</f>
        <v/>
      </c>
    </row>
    <row r="2143">
      <c r="A2143" s="15">
        <f>IFERROR(__xludf.DUMMYFUNCTION("""COMPUTED_VALUE"""),45063.0)</f>
        <v>45063</v>
      </c>
      <c r="B2143" s="16" t="str">
        <f>IFERROR(__xludf.DUMMYFUNCTION("""COMPUTED_VALUE"""),"Envia")</f>
        <v>Envia</v>
      </c>
      <c r="C2143" s="15" t="str">
        <f>IFERROR(__xludf.DUMMYFUNCTION("""COMPUTED_VALUE"""),"CARTAGENA")</f>
        <v>CARTAGENA</v>
      </c>
      <c r="D2143" s="15" t="str">
        <f>IFERROR(__xludf.DUMMYFUNCTION("""COMPUTED_VALUE"""),"BOGOTÁ")</f>
        <v>BOGOTÁ</v>
      </c>
      <c r="E2143" s="15" t="str">
        <f>IFERROR(__xludf.DUMMYFUNCTION("""COMPUTED_VALUE"""),"Top Spun")</f>
        <v>Top Spun</v>
      </c>
      <c r="F2143" s="17" t="str">
        <f>IFERROR(__xludf.DUMMYFUNCTION("""COMPUTED_VALUE"""),"Carrera 4 N7-145 / Apt 2902 Edificio Infinitum  / Bocagrande  Cartagena")</f>
        <v>Carrera 4 N7-145 / Apt 2902 Edificio Infinitum  / Bocagrande  Cartagena</v>
      </c>
      <c r="G2143" s="15" t="str">
        <f>IFERROR(__xludf.DUMMYFUNCTION("""COMPUTED_VALUE"""),"Cyril Peretti")</f>
        <v>Cyril Peretti</v>
      </c>
      <c r="H2143" s="16">
        <f>IFERROR(__xludf.DUMMYFUNCTION("""COMPUTED_VALUE"""),10750.0)</f>
        <v>10750</v>
      </c>
      <c r="I2143" s="18">
        <f>IFERROR(__xludf.DUMMYFUNCTION("""COMPUTED_VALUE"""),20.0)</f>
        <v>20</v>
      </c>
      <c r="J2143" s="18">
        <f>IFERROR(__xludf.DUMMYFUNCTION("""COMPUTED_VALUE"""),10.0)</f>
        <v>10</v>
      </c>
      <c r="K2143" s="18">
        <f>IFERROR(__xludf.DUMMYFUNCTION("""COMPUTED_VALUE"""),40.0)</f>
        <v>40</v>
      </c>
      <c r="L2143" s="17">
        <f>IFERROR(__xludf.DUMMYFUNCTION("""COMPUTED_VALUE"""),3.102729734E9)</f>
        <v>3102729734</v>
      </c>
      <c r="M2143" s="17" t="str">
        <f>IFERROR(__xludf.DUMMYFUNCTION("""COMPUTED_VALUE"""),"#REF!")</f>
        <v>#REF!</v>
      </c>
      <c r="N2143" s="17"/>
      <c r="O2143" s="17"/>
      <c r="P2143" s="17" t="b">
        <f>IFERROR(__xludf.DUMMYFUNCTION("""COMPUTED_VALUE"""),FALSE)</f>
        <v>0</v>
      </c>
      <c r="Q2143" s="20" t="str">
        <f>IFERROR(__xludf.DUMMYFUNCTION("""COMPUTED_VALUE"""),"")</f>
        <v/>
      </c>
      <c r="R2143" s="22" t="str">
        <f>IFERROR(__xludf.DUMMYFUNCTION("""COMPUTED_VALUE"""),"")</f>
        <v/>
      </c>
    </row>
    <row r="2144">
      <c r="A2144" s="15">
        <f>IFERROR(__xludf.DUMMYFUNCTION("""COMPUTED_VALUE"""),45063.0)</f>
        <v>45063</v>
      </c>
      <c r="B2144" s="16" t="str">
        <f>IFERROR(__xludf.DUMMYFUNCTION("""COMPUTED_VALUE"""),"Envia")</f>
        <v>Envia</v>
      </c>
      <c r="C2144" s="15" t="str">
        <f>IFERROR(__xludf.DUMMYFUNCTION("""COMPUTED_VALUE"""),"CÚCUTA")</f>
        <v>CÚCUTA</v>
      </c>
      <c r="D2144" s="15" t="str">
        <f>IFERROR(__xludf.DUMMYFUNCTION("""COMPUTED_VALUE"""),"MEDELLÍN")</f>
        <v>MEDELLÍN</v>
      </c>
      <c r="E2144" s="15" t="str">
        <f>IFERROR(__xludf.DUMMYFUNCTION("""COMPUTED_VALUE"""),"Momo Tea S.A.S Gabriel Echavarría")</f>
        <v>Momo Tea S.A.S Gabriel Echavarría</v>
      </c>
      <c r="F2144" s="17" t="str">
        <f>IFERROR(__xludf.DUMMYFUNCTION("""COMPUTED_VALUE"""),"CL 11 N 16 E 35 / CA B 1")</f>
        <v>CL 11 N 16 E 35 / CA B 1</v>
      </c>
      <c r="G2144" s="15" t="str">
        <f>IFERROR(__xludf.DUMMYFUNCTION("""COMPUTED_VALUE"""),"Gabriel Echavarría")</f>
        <v>Gabriel Echavarría</v>
      </c>
      <c r="H2144" s="16">
        <f>IFERROR(__xludf.DUMMYFUNCTION("""COMPUTED_VALUE"""),10752.0)</f>
        <v>10752</v>
      </c>
      <c r="I2144" s="18">
        <f>IFERROR(__xludf.DUMMYFUNCTION("""COMPUTED_VALUE"""),21.0)</f>
        <v>21</v>
      </c>
      <c r="J2144" s="18">
        <f>IFERROR(__xludf.DUMMYFUNCTION("""COMPUTED_VALUE"""),29.0)</f>
        <v>29</v>
      </c>
      <c r="K2144" s="18">
        <f>IFERROR(__xludf.DUMMYFUNCTION("""COMPUTED_VALUE"""),29.0)</f>
        <v>29</v>
      </c>
      <c r="L2144" s="17">
        <f>IFERROR(__xludf.DUMMYFUNCTION("""COMPUTED_VALUE"""),3.017909548E9)</f>
        <v>3017909548</v>
      </c>
      <c r="M2144" s="17" t="str">
        <f>IFERROR(__xludf.DUMMYFUNCTION("""COMPUTED_VALUE"""),"#REF!")</f>
        <v>#REF!</v>
      </c>
      <c r="N2144" s="17"/>
      <c r="O2144" s="17"/>
      <c r="P2144" s="17" t="b">
        <f>IFERROR(__xludf.DUMMYFUNCTION("""COMPUTED_VALUE"""),FALSE)</f>
        <v>0</v>
      </c>
      <c r="Q2144" s="20" t="str">
        <f>IFERROR(__xludf.DUMMYFUNCTION("""COMPUTED_VALUE"""),"")</f>
        <v/>
      </c>
      <c r="R2144" s="22" t="str">
        <f>IFERROR(__xludf.DUMMYFUNCTION("""COMPUTED_VALUE"""),"")</f>
        <v/>
      </c>
    </row>
    <row r="2145">
      <c r="A2145" s="15">
        <f>IFERROR(__xludf.DUMMYFUNCTION("""COMPUTED_VALUE"""),45063.0)</f>
        <v>45063</v>
      </c>
      <c r="B2145" s="16" t="str">
        <f>IFERROR(__xludf.DUMMYFUNCTION("""COMPUTED_VALUE"""),"Envia")</f>
        <v>Envia</v>
      </c>
      <c r="C2145" s="15" t="str">
        <f>IFERROR(__xludf.DUMMYFUNCTION("""COMPUTED_VALUE"""),"CÚCUTA")</f>
        <v>CÚCUTA</v>
      </c>
      <c r="D2145" s="15" t="str">
        <f>IFERROR(__xludf.DUMMYFUNCTION("""COMPUTED_VALUE"""),"MEDELLÍN")</f>
        <v>MEDELLÍN</v>
      </c>
      <c r="E2145" s="15" t="str">
        <f>IFERROR(__xludf.DUMMYFUNCTION("""COMPUTED_VALUE"""),"Momo Tea S.A.S Gabriel Echavarría")</f>
        <v>Momo Tea S.A.S Gabriel Echavarría</v>
      </c>
      <c r="F2145" s="17" t="str">
        <f>IFERROR(__xludf.DUMMYFUNCTION("""COMPUTED_VALUE"""),"CL 11 N 16 E 35 / CA B 1")</f>
        <v>CL 11 N 16 E 35 / CA B 1</v>
      </c>
      <c r="G2145" s="15" t="str">
        <f>IFERROR(__xludf.DUMMYFUNCTION("""COMPUTED_VALUE"""),"Gabriel Echavarría")</f>
        <v>Gabriel Echavarría</v>
      </c>
      <c r="H2145" s="16">
        <f>IFERROR(__xludf.DUMMYFUNCTION("""COMPUTED_VALUE"""),10753.0)</f>
        <v>10753</v>
      </c>
      <c r="I2145" s="18">
        <f>IFERROR(__xludf.DUMMYFUNCTION("""COMPUTED_VALUE"""),28.0)</f>
        <v>28</v>
      </c>
      <c r="J2145" s="18">
        <f>IFERROR(__xludf.DUMMYFUNCTION("""COMPUTED_VALUE"""),54.0)</f>
        <v>54</v>
      </c>
      <c r="K2145" s="18">
        <f>IFERROR(__xludf.DUMMYFUNCTION("""COMPUTED_VALUE"""),35.0)</f>
        <v>35</v>
      </c>
      <c r="L2145" s="17">
        <f>IFERROR(__xludf.DUMMYFUNCTION("""COMPUTED_VALUE"""),3.017909548E9)</f>
        <v>3017909548</v>
      </c>
      <c r="M2145" s="17" t="str">
        <f>IFERROR(__xludf.DUMMYFUNCTION("""COMPUTED_VALUE"""),"#REF!")</f>
        <v>#REF!</v>
      </c>
      <c r="N2145" s="17"/>
      <c r="O2145" s="17"/>
      <c r="P2145" s="17" t="b">
        <f>IFERROR(__xludf.DUMMYFUNCTION("""COMPUTED_VALUE"""),FALSE)</f>
        <v>0</v>
      </c>
      <c r="Q2145" s="20" t="str">
        <f>IFERROR(__xludf.DUMMYFUNCTION("""COMPUTED_VALUE"""),"")</f>
        <v/>
      </c>
      <c r="R2145" s="22" t="str">
        <f>IFERROR(__xludf.DUMMYFUNCTION("""COMPUTED_VALUE"""),"")</f>
        <v/>
      </c>
    </row>
    <row r="2146">
      <c r="A2146" s="15">
        <f>IFERROR(__xludf.DUMMYFUNCTION("""COMPUTED_VALUE"""),45063.0)</f>
        <v>45063</v>
      </c>
      <c r="B2146" s="16" t="str">
        <f>IFERROR(__xludf.DUMMYFUNCTION("""COMPUTED_VALUE"""),"Envia")</f>
        <v>Envia</v>
      </c>
      <c r="C2146" s="15" t="str">
        <f>IFERROR(__xludf.DUMMYFUNCTION("""COMPUTED_VALUE"""),"CÚCUTA")</f>
        <v>CÚCUTA</v>
      </c>
      <c r="D2146" s="15" t="str">
        <f>IFERROR(__xludf.DUMMYFUNCTION("""COMPUTED_VALUE"""),"MEDELLÍN")</f>
        <v>MEDELLÍN</v>
      </c>
      <c r="E2146" s="15" t="str">
        <f>IFERROR(__xludf.DUMMYFUNCTION("""COMPUTED_VALUE"""),"Momo Tea S.A.S Gabriel Echavarría")</f>
        <v>Momo Tea S.A.S Gabriel Echavarría</v>
      </c>
      <c r="F2146" s="17" t="str">
        <f>IFERROR(__xludf.DUMMYFUNCTION("""COMPUTED_VALUE"""),"CL 11 N 16 E 35 / CA B 1")</f>
        <v>CL 11 N 16 E 35 / CA B 1</v>
      </c>
      <c r="G2146" s="15" t="str">
        <f>IFERROR(__xludf.DUMMYFUNCTION("""COMPUTED_VALUE"""),"Gabriel Echavarría")</f>
        <v>Gabriel Echavarría</v>
      </c>
      <c r="H2146" s="16">
        <f>IFERROR(__xludf.DUMMYFUNCTION("""COMPUTED_VALUE"""),10754.0)</f>
        <v>10754</v>
      </c>
      <c r="I2146" s="18">
        <f>IFERROR(__xludf.DUMMYFUNCTION("""COMPUTED_VALUE"""),30.0)</f>
        <v>30</v>
      </c>
      <c r="J2146" s="18">
        <f>IFERROR(__xludf.DUMMYFUNCTION("""COMPUTED_VALUE"""),8.0)</f>
        <v>8</v>
      </c>
      <c r="K2146" s="18">
        <f>IFERROR(__xludf.DUMMYFUNCTION("""COMPUTED_VALUE"""),18.0)</f>
        <v>18</v>
      </c>
      <c r="L2146" s="17">
        <f>IFERROR(__xludf.DUMMYFUNCTION("""COMPUTED_VALUE"""),3.017909548E9)</f>
        <v>3017909548</v>
      </c>
      <c r="M2146" s="17" t="str">
        <f>IFERROR(__xludf.DUMMYFUNCTION("""COMPUTED_VALUE"""),"#REF!")</f>
        <v>#REF!</v>
      </c>
      <c r="N2146" s="17"/>
      <c r="O2146" s="17"/>
      <c r="P2146" s="17" t="b">
        <f>IFERROR(__xludf.DUMMYFUNCTION("""COMPUTED_VALUE"""),FALSE)</f>
        <v>0</v>
      </c>
      <c r="Q2146" s="20" t="str">
        <f>IFERROR(__xludf.DUMMYFUNCTION("""COMPUTED_VALUE"""),"")</f>
        <v/>
      </c>
      <c r="R2146" s="22" t="str">
        <f>IFERROR(__xludf.DUMMYFUNCTION("""COMPUTED_VALUE"""),"")</f>
        <v/>
      </c>
    </row>
    <row r="2147">
      <c r="A2147" s="15">
        <f>IFERROR(__xludf.DUMMYFUNCTION("""COMPUTED_VALUE"""),45063.0)</f>
        <v>45063</v>
      </c>
      <c r="B2147" s="16" t="str">
        <f>IFERROR(__xludf.DUMMYFUNCTION("""COMPUTED_VALUE"""),"Envia")</f>
        <v>Envia</v>
      </c>
      <c r="C2147" s="15" t="str">
        <f>IFERROR(__xludf.DUMMYFUNCTION("""COMPUTED_VALUE"""),"CÚCUTA")</f>
        <v>CÚCUTA</v>
      </c>
      <c r="D2147" s="15" t="str">
        <f>IFERROR(__xludf.DUMMYFUNCTION("""COMPUTED_VALUE"""),"MEDELLÍN")</f>
        <v>MEDELLÍN</v>
      </c>
      <c r="E2147" s="15" t="str">
        <f>IFERROR(__xludf.DUMMYFUNCTION("""COMPUTED_VALUE"""),"Momo Tea S.A.S Gabriel Echavarría")</f>
        <v>Momo Tea S.A.S Gabriel Echavarría</v>
      </c>
      <c r="F2147" s="17" t="str">
        <f>IFERROR(__xludf.DUMMYFUNCTION("""COMPUTED_VALUE"""),"CL 11 N 16 E 35 / CA B 1")</f>
        <v>CL 11 N 16 E 35 / CA B 1</v>
      </c>
      <c r="G2147" s="15" t="str">
        <f>IFERROR(__xludf.DUMMYFUNCTION("""COMPUTED_VALUE"""),"Gabriel Echavarría")</f>
        <v>Gabriel Echavarría</v>
      </c>
      <c r="H2147" s="16">
        <f>IFERROR(__xludf.DUMMYFUNCTION("""COMPUTED_VALUE"""),10755.0)</f>
        <v>10755</v>
      </c>
      <c r="I2147" s="18">
        <f>IFERROR(__xludf.DUMMYFUNCTION("""COMPUTED_VALUE"""),17.0)</f>
        <v>17</v>
      </c>
      <c r="J2147" s="18">
        <f>IFERROR(__xludf.DUMMYFUNCTION("""COMPUTED_VALUE"""),17.0)</f>
        <v>17</v>
      </c>
      <c r="K2147" s="18">
        <f>IFERROR(__xludf.DUMMYFUNCTION("""COMPUTED_VALUE"""),23.0)</f>
        <v>23</v>
      </c>
      <c r="L2147" s="17">
        <f>IFERROR(__xludf.DUMMYFUNCTION("""COMPUTED_VALUE"""),3.017909548E9)</f>
        <v>3017909548</v>
      </c>
      <c r="M2147" s="17" t="str">
        <f>IFERROR(__xludf.DUMMYFUNCTION("""COMPUTED_VALUE"""),"#REF!")</f>
        <v>#REF!</v>
      </c>
      <c r="N2147" s="17"/>
      <c r="O2147" s="17"/>
      <c r="P2147" s="17" t="b">
        <f>IFERROR(__xludf.DUMMYFUNCTION("""COMPUTED_VALUE"""),FALSE)</f>
        <v>0</v>
      </c>
      <c r="Q2147" s="20" t="str">
        <f>IFERROR(__xludf.DUMMYFUNCTION("""COMPUTED_VALUE"""),"")</f>
        <v/>
      </c>
      <c r="R2147" s="22" t="str">
        <f>IFERROR(__xludf.DUMMYFUNCTION("""COMPUTED_VALUE"""),"")</f>
        <v/>
      </c>
    </row>
    <row r="2148">
      <c r="A2148" s="15">
        <f>IFERROR(__xludf.DUMMYFUNCTION("""COMPUTED_VALUE"""),45063.0)</f>
        <v>45063</v>
      </c>
      <c r="B2148" s="16" t="str">
        <f>IFERROR(__xludf.DUMMYFUNCTION("""COMPUTED_VALUE"""),"Envia")</f>
        <v>Envia</v>
      </c>
      <c r="C2148" s="15" t="str">
        <f>IFERROR(__xludf.DUMMYFUNCTION("""COMPUTED_VALUE"""),"CÚCUTA")</f>
        <v>CÚCUTA</v>
      </c>
      <c r="D2148" s="15" t="str">
        <f>IFERROR(__xludf.DUMMYFUNCTION("""COMPUTED_VALUE"""),"MEDELLÍN")</f>
        <v>MEDELLÍN</v>
      </c>
      <c r="E2148" s="15" t="str">
        <f>IFERROR(__xludf.DUMMYFUNCTION("""COMPUTED_VALUE"""),"Momo Tea S.A.S Gabriel Echavarría")</f>
        <v>Momo Tea S.A.S Gabriel Echavarría</v>
      </c>
      <c r="F2148" s="17" t="str">
        <f>IFERROR(__xludf.DUMMYFUNCTION("""COMPUTED_VALUE"""),"CL 11 N 16 E 35 / CA B 1")</f>
        <v>CL 11 N 16 E 35 / CA B 1</v>
      </c>
      <c r="G2148" s="15" t="str">
        <f>IFERROR(__xludf.DUMMYFUNCTION("""COMPUTED_VALUE"""),"Gabriel Echavarría")</f>
        <v>Gabriel Echavarría</v>
      </c>
      <c r="H2148" s="16">
        <f>IFERROR(__xludf.DUMMYFUNCTION("""COMPUTED_VALUE"""),10756.0)</f>
        <v>10756</v>
      </c>
      <c r="I2148" s="18">
        <f>IFERROR(__xludf.DUMMYFUNCTION("""COMPUTED_VALUE"""),41.0)</f>
        <v>41</v>
      </c>
      <c r="J2148" s="18">
        <f>IFERROR(__xludf.DUMMYFUNCTION("""COMPUTED_VALUE"""),25.0)</f>
        <v>25</v>
      </c>
      <c r="K2148" s="18">
        <f>IFERROR(__xludf.DUMMYFUNCTION("""COMPUTED_VALUE"""),23.0)</f>
        <v>23</v>
      </c>
      <c r="L2148" s="17">
        <f>IFERROR(__xludf.DUMMYFUNCTION("""COMPUTED_VALUE"""),3.017909548E9)</f>
        <v>3017909548</v>
      </c>
      <c r="M2148" s="17" t="str">
        <f>IFERROR(__xludf.DUMMYFUNCTION("""COMPUTED_VALUE"""),"#REF!")</f>
        <v>#REF!</v>
      </c>
      <c r="N2148" s="17"/>
      <c r="O2148" s="17"/>
      <c r="P2148" s="17" t="b">
        <f>IFERROR(__xludf.DUMMYFUNCTION("""COMPUTED_VALUE"""),FALSE)</f>
        <v>0</v>
      </c>
      <c r="Q2148" s="20" t="str">
        <f>IFERROR(__xludf.DUMMYFUNCTION("""COMPUTED_VALUE"""),"")</f>
        <v/>
      </c>
      <c r="R2148" s="22" t="str">
        <f>IFERROR(__xludf.DUMMYFUNCTION("""COMPUTED_VALUE"""),"")</f>
        <v/>
      </c>
    </row>
    <row r="2149">
      <c r="A2149" s="15">
        <f>IFERROR(__xludf.DUMMYFUNCTION("""COMPUTED_VALUE"""),45063.0)</f>
        <v>45063</v>
      </c>
      <c r="B2149" s="16" t="str">
        <f>IFERROR(__xludf.DUMMYFUNCTION("""COMPUTED_VALUE"""),"Envia")</f>
        <v>Envia</v>
      </c>
      <c r="C2149" s="15" t="str">
        <f>IFERROR(__xludf.DUMMYFUNCTION("""COMPUTED_VALUE"""),"MEDELLÍN")</f>
        <v>MEDELLÍN</v>
      </c>
      <c r="D2149" s="15" t="str">
        <f>IFERROR(__xludf.DUMMYFUNCTION("""COMPUTED_VALUE"""),"BOGOTÁ")</f>
        <v>BOGOTÁ</v>
      </c>
      <c r="E2149" s="15" t="str">
        <f>IFERROR(__xludf.DUMMYFUNCTION("""COMPUTED_VALUE"""),"Mochi")</f>
        <v>Mochi</v>
      </c>
      <c r="F2149" s="17" t="str">
        <f>IFERROR(__xludf.DUMMYFUNCTION("""COMPUTED_VALUE"""),"CR 48 32B SUR 139 / viva envigado / viva envigfado")</f>
        <v>CR 48 32B SUR 139 / viva envigado / viva envigfado</v>
      </c>
      <c r="G2149" s="15" t="str">
        <f>IFERROR(__xludf.DUMMYFUNCTION("""COMPUTED_VALUE"""),"Tania vellojin")</f>
        <v>Tania vellojin</v>
      </c>
      <c r="H2149" s="16">
        <f>IFERROR(__xludf.DUMMYFUNCTION("""COMPUTED_VALUE"""),10802.0)</f>
        <v>10802</v>
      </c>
      <c r="I2149" s="18">
        <f>IFERROR(__xludf.DUMMYFUNCTION("""COMPUTED_VALUE"""),100.0)</f>
        <v>100</v>
      </c>
      <c r="J2149" s="18">
        <f>IFERROR(__xludf.DUMMYFUNCTION("""COMPUTED_VALUE"""),200.0)</f>
        <v>200</v>
      </c>
      <c r="K2149" s="18">
        <f>IFERROR(__xludf.DUMMYFUNCTION("""COMPUTED_VALUE"""),200.0)</f>
        <v>200</v>
      </c>
      <c r="L2149" s="17">
        <f>IFERROR(__xludf.DUMMYFUNCTION("""COMPUTED_VALUE"""),3.142587995E9)</f>
        <v>3142587995</v>
      </c>
      <c r="M2149" s="17" t="str">
        <f>IFERROR(__xludf.DUMMYFUNCTION("""COMPUTED_VALUE"""),"#REF!")</f>
        <v>#REF!</v>
      </c>
      <c r="N2149" s="17"/>
      <c r="O2149" s="17"/>
      <c r="P2149" s="17" t="b">
        <f>IFERROR(__xludf.DUMMYFUNCTION("""COMPUTED_VALUE"""),TRUE)</f>
        <v>1</v>
      </c>
      <c r="Q2149" s="20">
        <f>IFERROR(__xludf.DUMMYFUNCTION("""COMPUTED_VALUE"""),45063.51589653935)</f>
        <v>45063.5159</v>
      </c>
      <c r="R2149" s="22" t="str">
        <f>IFERROR(__xludf.DUMMYFUNCTION("""COMPUTED_VALUE"""),"")</f>
        <v/>
      </c>
    </row>
    <row r="2150">
      <c r="A2150" s="17" t="str">
        <f>IFERROR(__xludf.DUMMYFUNCTION("""COMPUTED_VALUE"""),"")</f>
        <v/>
      </c>
      <c r="B2150" s="17" t="str">
        <f>IFERROR(__xludf.DUMMYFUNCTION("""COMPUTED_VALUE"""),"")</f>
        <v/>
      </c>
      <c r="C2150" s="17" t="str">
        <f>IFERROR(__xludf.DUMMYFUNCTION("""COMPUTED_VALUE"""),"")</f>
        <v/>
      </c>
      <c r="D2150" s="17" t="str">
        <f>IFERROR(__xludf.DUMMYFUNCTION("""COMPUTED_VALUE"""),"")</f>
        <v/>
      </c>
      <c r="E2150" s="17" t="str">
        <f>IFERROR(__xludf.DUMMYFUNCTION("""COMPUTED_VALUE"""),"")</f>
        <v/>
      </c>
      <c r="F2150" s="17" t="str">
        <f>IFERROR(__xludf.DUMMYFUNCTION("""COMPUTED_VALUE"""),"")</f>
        <v/>
      </c>
      <c r="G2150" s="17" t="str">
        <f>IFERROR(__xludf.DUMMYFUNCTION("""COMPUTED_VALUE"""),"")</f>
        <v/>
      </c>
      <c r="H2150" s="17" t="str">
        <f>IFERROR(__xludf.DUMMYFUNCTION("""COMPUTED_VALUE"""),"")</f>
        <v/>
      </c>
      <c r="I2150" s="17" t="str">
        <f>IFERROR(__xludf.DUMMYFUNCTION("""COMPUTED_VALUE"""),"")</f>
        <v/>
      </c>
      <c r="J2150" s="17" t="str">
        <f>IFERROR(__xludf.DUMMYFUNCTION("""COMPUTED_VALUE"""),"")</f>
        <v/>
      </c>
      <c r="K2150" s="17" t="str">
        <f>IFERROR(__xludf.DUMMYFUNCTION("""COMPUTED_VALUE"""),"")</f>
        <v/>
      </c>
      <c r="L2150" s="17" t="str">
        <f>IFERROR(__xludf.DUMMYFUNCTION("""COMPUTED_VALUE"""),"")</f>
        <v/>
      </c>
      <c r="M2150" s="17" t="str">
        <f>IFERROR(__xludf.DUMMYFUNCTION("""COMPUTED_VALUE"""),"")</f>
        <v/>
      </c>
      <c r="N2150" s="17" t="str">
        <f>IFERROR(__xludf.DUMMYFUNCTION("""COMPUTED_VALUE"""),"")</f>
        <v/>
      </c>
      <c r="O2150" s="17" t="str">
        <f>IFERROR(__xludf.DUMMYFUNCTION("""COMPUTED_VALUE"""),"")</f>
        <v/>
      </c>
      <c r="P2150" s="17" t="str">
        <f>IFERROR(__xludf.DUMMYFUNCTION("""COMPUTED_VALUE"""),"")</f>
        <v/>
      </c>
      <c r="Q2150" s="17" t="str">
        <f>IFERROR(__xludf.DUMMYFUNCTION("""COMPUTED_VALUE"""),"")</f>
        <v/>
      </c>
      <c r="R2150" s="17" t="str">
        <f>IFERROR(__xludf.DUMMYFUNCTION("""COMPUTED_VALUE"""),"")</f>
        <v/>
      </c>
    </row>
    <row r="2151">
      <c r="A2151" s="15">
        <f>IFERROR(__xludf.DUMMYFUNCTION("""COMPUTED_VALUE"""),45063.0)</f>
        <v>45063</v>
      </c>
      <c r="B2151" s="16" t="str">
        <f>IFERROR(__xludf.DUMMYFUNCTION("""COMPUTED_VALUE"""),"Johan Alexander Escobar Arroyo ")</f>
        <v>Johan Alexander Escobar Arroyo </v>
      </c>
      <c r="C2151" s="15" t="str">
        <f>IFERROR(__xludf.DUMMYFUNCTION("""COMPUTED_VALUE"""),"CALI")</f>
        <v>CALI</v>
      </c>
      <c r="D2151" s="15" t="str">
        <f>IFERROR(__xludf.DUMMYFUNCTION("""COMPUTED_VALUE"""),"MEDELLÍN")</f>
        <v>MEDELLÍN</v>
      </c>
      <c r="E2151" s="15" t="str">
        <f>IFERROR(__xludf.DUMMYFUNCTION("""COMPUTED_VALUE"""),"AREPAS LA MARY")</f>
        <v>AREPAS LA MARY</v>
      </c>
      <c r="F2151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2151" s="15" t="str">
        <f>IFERROR(__xludf.DUMMYFUNCTION("""COMPUTED_VALUE"""),"VITALFINESS CALI")</f>
        <v>VITALFINESS CALI</v>
      </c>
      <c r="H2151" s="16">
        <f>IFERROR(__xludf.DUMMYFUNCTION("""COMPUTED_VALUE"""),10773.0)</f>
        <v>10773</v>
      </c>
      <c r="I2151" s="18">
        <f>IFERROR(__xludf.DUMMYFUNCTION("""COMPUTED_VALUE"""),89.0)</f>
        <v>89</v>
      </c>
      <c r="J2151" s="18">
        <f>IFERROR(__xludf.DUMMYFUNCTION("""COMPUTED_VALUE"""),1.0)</f>
        <v>1</v>
      </c>
      <c r="K2151" s="18">
        <f>IFERROR(__xludf.DUMMYFUNCTION("""COMPUTED_VALUE"""),10.0)</f>
        <v>10</v>
      </c>
      <c r="L2151" s="17">
        <f>IFERROR(__xludf.DUMMYFUNCTION("""COMPUTED_VALUE"""),3.226925759E9)</f>
        <v>3226925759</v>
      </c>
      <c r="M2151" s="17" t="str">
        <f>IFERROR(__xludf.DUMMYFUNCTION("""COMPUTED_VALUE"""),"#REF!")</f>
        <v>#REF!</v>
      </c>
      <c r="N2151" s="17"/>
      <c r="O2151" s="17"/>
      <c r="P2151" s="17" t="b">
        <f>IFERROR(__xludf.DUMMYFUNCTION("""COMPUTED_VALUE"""),TRUE)</f>
        <v>1</v>
      </c>
      <c r="Q2151" s="20">
        <f>IFERROR(__xludf.DUMMYFUNCTION("""COMPUTED_VALUE"""),45064.53387162037)</f>
        <v>45064.53387</v>
      </c>
      <c r="R2151" s="22" t="str">
        <f>IFERROR(__xludf.DUMMYFUNCTION("""COMPUTED_VALUE"""),"")</f>
        <v/>
      </c>
    </row>
    <row r="2152">
      <c r="A2152" s="15">
        <f>IFERROR(__xludf.DUMMYFUNCTION("""COMPUTED_VALUE"""),45063.0)</f>
        <v>45063</v>
      </c>
      <c r="B2152" s="16" t="str">
        <f>IFERROR(__xludf.DUMMYFUNCTION("""COMPUTED_VALUE"""),"Johan Alexander Escobar Arroyo ")</f>
        <v>Johan Alexander Escobar Arroyo </v>
      </c>
      <c r="C2152" s="15" t="str">
        <f>IFERROR(__xludf.DUMMYFUNCTION("""COMPUTED_VALUE"""),"CALI")</f>
        <v>CALI</v>
      </c>
      <c r="D2152" s="15" t="str">
        <f>IFERROR(__xludf.DUMMYFUNCTION("""COMPUTED_VALUE"""),"MEDELLÍN")</f>
        <v>MEDELLÍN</v>
      </c>
      <c r="E2152" s="15" t="str">
        <f>IFERROR(__xludf.DUMMYFUNCTION("""COMPUTED_VALUE"""),"Baby Chef")</f>
        <v>Baby Chef</v>
      </c>
      <c r="F2152" s="17" t="str">
        <f>IFERROR(__xludf.DUMMYFUNCTION("""COMPUTED_VALUE"""),"av circunvalar via parque central # 124 Barrio : ciudad country unidad morito casa129 / av circunvalar via parque central # 124 Barrio : ciudad country unidad morito casa129 / av circunvalar via parque central # 124 Barrio : ciudad country unidad morito c"&amp;"asa129")</f>
        <v>av circunvalar via parque central # 124 Barrio : ciudad country unidad morito casa129 / av circunvalar via parque central # 124 Barrio : ciudad country unidad morito casa129 / av circunvalar via parque central # 124 Barrio : ciudad country unidad morito casa129</v>
      </c>
      <c r="G2152" s="15" t="str">
        <f>IFERROR(__xludf.DUMMYFUNCTION("""COMPUTED_VALUE"""),"Angela ceballos")</f>
        <v>Angela ceballos</v>
      </c>
      <c r="H2152" s="16">
        <f>IFERROR(__xludf.DUMMYFUNCTION("""COMPUTED_VALUE"""),10786.0)</f>
        <v>10786</v>
      </c>
      <c r="I2152" s="18">
        <f>IFERROR(__xludf.DUMMYFUNCTION("""COMPUTED_VALUE"""),8.0)</f>
        <v>8</v>
      </c>
      <c r="J2152" s="18">
        <f>IFERROR(__xludf.DUMMYFUNCTION("""COMPUTED_VALUE"""),16.0)</f>
        <v>16</v>
      </c>
      <c r="K2152" s="18">
        <f>IFERROR(__xludf.DUMMYFUNCTION("""COMPUTED_VALUE"""),20.0)</f>
        <v>20</v>
      </c>
      <c r="L2152" s="17">
        <f>IFERROR(__xludf.DUMMYFUNCTION("""COMPUTED_VALUE"""),3.223746675E9)</f>
        <v>3223746675</v>
      </c>
      <c r="M2152" s="17" t="str">
        <f>IFERROR(__xludf.DUMMYFUNCTION("""COMPUTED_VALUE"""),"#REF!")</f>
        <v>#REF!</v>
      </c>
      <c r="N2152" s="17"/>
      <c r="O2152" s="17"/>
      <c r="P2152" s="17" t="b">
        <f>IFERROR(__xludf.DUMMYFUNCTION("""COMPUTED_VALUE"""),TRUE)</f>
        <v>1</v>
      </c>
      <c r="Q2152" s="20">
        <f>IFERROR(__xludf.DUMMYFUNCTION("""COMPUTED_VALUE"""),45063.51589653935)</f>
        <v>45063.5159</v>
      </c>
      <c r="R2152" s="22" t="str">
        <f>IFERROR(__xludf.DUMMYFUNCTION("""COMPUTED_VALUE"""),"")</f>
        <v/>
      </c>
    </row>
    <row r="2153">
      <c r="A2153" s="15">
        <f>IFERROR(__xludf.DUMMYFUNCTION("""COMPUTED_VALUE"""),45063.0)</f>
        <v>45063</v>
      </c>
      <c r="B2153" s="16" t="str">
        <f>IFERROR(__xludf.DUMMYFUNCTION("""COMPUTED_VALUE"""),"Johan Alexander Escobar Arroyo ")</f>
        <v>Johan Alexander Escobar Arroyo </v>
      </c>
      <c r="C2153" s="15" t="str">
        <f>IFERROR(__xludf.DUMMYFUNCTION("""COMPUTED_VALUE"""),"CALI")</f>
        <v>CALI</v>
      </c>
      <c r="D2153" s="15" t="str">
        <f>IFERROR(__xludf.DUMMYFUNCTION("""COMPUTED_VALUE"""),"MEDELLÍN")</f>
        <v>MEDELLÍN</v>
      </c>
      <c r="E2153" s="15" t="str">
        <f>IFERROR(__xludf.DUMMYFUNCTION("""COMPUTED_VALUE"""),"Baby Chef")</f>
        <v>Baby Chef</v>
      </c>
      <c r="F2153" s="17" t="str">
        <f>IFERROR(__xludf.DUMMYFUNCTION("""COMPUTED_VALUE"""),"Calle 45 # 99 - 39 apto 102 Torre E / Calle 45 # 99 - 39 apto 102 Torre E / Calle 45 # 99 - 39 apto 102 Torre E")</f>
        <v>Calle 45 # 99 - 39 apto 102 Torre E / Calle 45 # 99 - 39 apto 102 Torre E / Calle 45 # 99 - 39 apto 102 Torre E</v>
      </c>
      <c r="G2153" s="15" t="str">
        <f>IFERROR(__xludf.DUMMYFUNCTION("""COMPUTED_VALUE"""),"Natalia Muñoz")</f>
        <v>Natalia Muñoz</v>
      </c>
      <c r="H2153" s="16">
        <f>IFERROR(__xludf.DUMMYFUNCTION("""COMPUTED_VALUE"""),10790.0)</f>
        <v>10790</v>
      </c>
      <c r="I2153" s="18">
        <f>IFERROR(__xludf.DUMMYFUNCTION("""COMPUTED_VALUE"""),8.0)</f>
        <v>8</v>
      </c>
      <c r="J2153" s="18">
        <f>IFERROR(__xludf.DUMMYFUNCTION("""COMPUTED_VALUE"""),16.0)</f>
        <v>16</v>
      </c>
      <c r="K2153" s="18">
        <f>IFERROR(__xludf.DUMMYFUNCTION("""COMPUTED_VALUE"""),20.0)</f>
        <v>20</v>
      </c>
      <c r="L2153" s="17">
        <f>IFERROR(__xludf.DUMMYFUNCTION("""COMPUTED_VALUE"""),3.158182838E9)</f>
        <v>3158182838</v>
      </c>
      <c r="M2153" s="17" t="str">
        <f>IFERROR(__xludf.DUMMYFUNCTION("""COMPUTED_VALUE"""),"#REF!")</f>
        <v>#REF!</v>
      </c>
      <c r="N2153" s="17"/>
      <c r="O2153" s="17"/>
      <c r="P2153" s="17" t="b">
        <f>IFERROR(__xludf.DUMMYFUNCTION("""COMPUTED_VALUE"""),TRUE)</f>
        <v>1</v>
      </c>
      <c r="Q2153" s="20">
        <f>IFERROR(__xludf.DUMMYFUNCTION("""COMPUTED_VALUE"""),45063.51589653935)</f>
        <v>45063.5159</v>
      </c>
      <c r="R2153" s="22" t="str">
        <f>IFERROR(__xludf.DUMMYFUNCTION("""COMPUTED_VALUE"""),"")</f>
        <v/>
      </c>
    </row>
    <row r="2154">
      <c r="A2154" s="15">
        <f>IFERROR(__xludf.DUMMYFUNCTION("""COMPUTED_VALUE"""),45063.0)</f>
        <v>45063</v>
      </c>
      <c r="B2154" s="16" t="str">
        <f>IFERROR(__xludf.DUMMYFUNCTION("""COMPUTED_VALUE"""),"Johan Alexander Escobar Arroyo ")</f>
        <v>Johan Alexander Escobar Arroyo </v>
      </c>
      <c r="C2154" s="15" t="str">
        <f>IFERROR(__xludf.DUMMYFUNCTION("""COMPUTED_VALUE"""),"CALI")</f>
        <v>CALI</v>
      </c>
      <c r="D2154" s="15" t="str">
        <f>IFERROR(__xludf.DUMMYFUNCTION("""COMPUTED_VALUE"""),"MEDELLÍN")</f>
        <v>MEDELLÍN</v>
      </c>
      <c r="E2154" s="15" t="str">
        <f>IFERROR(__xludf.DUMMYFUNCTION("""COMPUTED_VALUE"""),"Baby Chef")</f>
        <v>Baby Chef</v>
      </c>
      <c r="F2154" s="17" t="str">
        <f>IFERROR(__xludf.DUMMYFUNCTION("""COMPUTED_VALUE"""),"carrera 37 # 1 oeste 46  . torres de camelot- apt  702 a / carrera 37 # 1 oeste 46  . torres de camelot- apt  702 a / barrio cristales")</f>
        <v>carrera 37 # 1 oeste 46  . torres de camelot- apt  702 a / carrera 37 # 1 oeste 46  . torres de camelot- apt  702 a / barrio cristales</v>
      </c>
      <c r="G2154" s="15" t="str">
        <f>IFERROR(__xludf.DUMMYFUNCTION("""COMPUTED_VALUE"""),"octavio amaya")</f>
        <v>octavio amaya</v>
      </c>
      <c r="H2154" s="16">
        <f>IFERROR(__xludf.DUMMYFUNCTION("""COMPUTED_VALUE"""),10785.0)</f>
        <v>10785</v>
      </c>
      <c r="I2154" s="18">
        <f>IFERROR(__xludf.DUMMYFUNCTION("""COMPUTED_VALUE"""),8.0)</f>
        <v>8</v>
      </c>
      <c r="J2154" s="18">
        <f>IFERROR(__xludf.DUMMYFUNCTION("""COMPUTED_VALUE"""),16.0)</f>
        <v>16</v>
      </c>
      <c r="K2154" s="18">
        <f>IFERROR(__xludf.DUMMYFUNCTION("""COMPUTED_VALUE"""),20.0)</f>
        <v>20</v>
      </c>
      <c r="L2154" s="17">
        <f>IFERROR(__xludf.DUMMYFUNCTION("""COMPUTED_VALUE"""),3.007798657E9)</f>
        <v>3007798657</v>
      </c>
      <c r="M2154" s="17" t="str">
        <f>IFERROR(__xludf.DUMMYFUNCTION("""COMPUTED_VALUE"""),"#REF!")</f>
        <v>#REF!</v>
      </c>
      <c r="N2154" s="17"/>
      <c r="O2154" s="17"/>
      <c r="P2154" s="17" t="b">
        <f>IFERROR(__xludf.DUMMYFUNCTION("""COMPUTED_VALUE"""),TRUE)</f>
        <v>1</v>
      </c>
      <c r="Q2154" s="20">
        <f>IFERROR(__xludf.DUMMYFUNCTION("""COMPUTED_VALUE"""),45063.55885758102)</f>
        <v>45063.55886</v>
      </c>
      <c r="R2154" s="22" t="str">
        <f>IFERROR(__xludf.DUMMYFUNCTION("""COMPUTED_VALUE"""),"")</f>
        <v/>
      </c>
    </row>
    <row r="2155">
      <c r="A2155" s="15">
        <f>IFERROR(__xludf.DUMMYFUNCTION("""COMPUTED_VALUE"""),45063.0)</f>
        <v>45063</v>
      </c>
      <c r="B2155" s="16" t="str">
        <f>IFERROR(__xludf.DUMMYFUNCTION("""COMPUTED_VALUE"""),"Johan Alexander Escobar Arroyo ")</f>
        <v>Johan Alexander Escobar Arroyo </v>
      </c>
      <c r="C2155" s="15" t="str">
        <f>IFERROR(__xludf.DUMMYFUNCTION("""COMPUTED_VALUE"""),"CALI")</f>
        <v>CALI</v>
      </c>
      <c r="D2155" s="15" t="str">
        <f>IFERROR(__xludf.DUMMYFUNCTION("""COMPUTED_VALUE"""),"MEDELLÍN")</f>
        <v>MEDELLÍN</v>
      </c>
      <c r="E2155" s="15" t="str">
        <f>IFERROR(__xludf.DUMMYFUNCTION("""COMPUTED_VALUE"""),"Baby Chef")</f>
        <v>Baby Chef</v>
      </c>
      <c r="F2155" s="17" t="str">
        <f>IFERROR(__xludf.DUMMYFUNCTION("""COMPUTED_VALUE"""),"Carrera 98 # 48-30 apto 203 torre 1 Unidad San Gabriel barrio valle del lili / Carrera 98 # 48-30 apto 203 torre 1 Unidad San Gabriel barrio valle del lili / Carrera 98 # 48-30 apto 203 torre 1 Unidad San Gabriel barrio valle del lili")</f>
        <v>Carrera 98 # 48-30 apto 203 torre 1 Unidad San Gabriel barrio valle del lili / Carrera 98 # 48-30 apto 203 torre 1 Unidad San Gabriel barrio valle del lili / Carrera 98 # 48-30 apto 203 torre 1 Unidad San Gabriel barrio valle del lili</v>
      </c>
      <c r="G2155" s="15" t="str">
        <f>IFERROR(__xludf.DUMMYFUNCTION("""COMPUTED_VALUE"""),"Tatiana Andrea Perez Lozano")</f>
        <v>Tatiana Andrea Perez Lozano</v>
      </c>
      <c r="H2155" s="16">
        <f>IFERROR(__xludf.DUMMYFUNCTION("""COMPUTED_VALUE"""),10787.0)</f>
        <v>10787</v>
      </c>
      <c r="I2155" s="18">
        <f>IFERROR(__xludf.DUMMYFUNCTION("""COMPUTED_VALUE"""),8.0)</f>
        <v>8</v>
      </c>
      <c r="J2155" s="18">
        <f>IFERROR(__xludf.DUMMYFUNCTION("""COMPUTED_VALUE"""),16.0)</f>
        <v>16</v>
      </c>
      <c r="K2155" s="18">
        <f>IFERROR(__xludf.DUMMYFUNCTION("""COMPUTED_VALUE"""),20.0)</f>
        <v>20</v>
      </c>
      <c r="L2155" s="17">
        <f>IFERROR(__xludf.DUMMYFUNCTION("""COMPUTED_VALUE"""),3.154935395E9)</f>
        <v>3154935395</v>
      </c>
      <c r="M2155" s="17" t="str">
        <f>IFERROR(__xludf.DUMMYFUNCTION("""COMPUTED_VALUE"""),"#REF!")</f>
        <v>#REF!</v>
      </c>
      <c r="N2155" s="17"/>
      <c r="O2155" s="17"/>
      <c r="P2155" s="17" t="b">
        <f>IFERROR(__xludf.DUMMYFUNCTION("""COMPUTED_VALUE"""),TRUE)</f>
        <v>1</v>
      </c>
      <c r="Q2155" s="20">
        <f>IFERROR(__xludf.DUMMYFUNCTION("""COMPUTED_VALUE"""),45063.59554439815)</f>
        <v>45063.59554</v>
      </c>
      <c r="R2155" s="22" t="str">
        <f>IFERROR(__xludf.DUMMYFUNCTION("""COMPUTED_VALUE"""),"")</f>
        <v/>
      </c>
    </row>
    <row r="2156">
      <c r="A2156" s="15">
        <f>IFERROR(__xludf.DUMMYFUNCTION("""COMPUTED_VALUE"""),45063.0)</f>
        <v>45063</v>
      </c>
      <c r="B2156" s="16" t="str">
        <f>IFERROR(__xludf.DUMMYFUNCTION("""COMPUTED_VALUE"""),"Johan Alexander Escobar Arroyo ")</f>
        <v>Johan Alexander Escobar Arroyo </v>
      </c>
      <c r="C2156" s="15" t="str">
        <f>IFERROR(__xludf.DUMMYFUNCTION("""COMPUTED_VALUE"""),"CALI")</f>
        <v>CALI</v>
      </c>
      <c r="D2156" s="15" t="str">
        <f>IFERROR(__xludf.DUMMYFUNCTION("""COMPUTED_VALUE"""),"MEDELLÍN")</f>
        <v>MEDELLÍN</v>
      </c>
      <c r="E2156" s="15" t="str">
        <f>IFERROR(__xludf.DUMMYFUNCTION("""COMPUTED_VALUE"""),"Baby Chef")</f>
        <v>Baby Chef</v>
      </c>
      <c r="F2156" s="17" t="str">
        <f>IFERROR(__xludf.DUMMYFUNCTION("""COMPUTED_VALUE"""),"Carrera 99A 45-200 apto 102 torre 1 conjunto lili del viento, barrio Valle del lili / Carrera 99A 45-200 apto 102 torre 1 conjunto lili del viento, barrio Valle del lili / Carrera 99A 45-200 apto 102 torre 1 conjunto lili del viento, barrio Valle del lili")</f>
        <v>Carrera 99A 45-200 apto 102 torre 1 conjunto lili del viento, barrio Valle del lili / Carrera 99A 45-200 apto 102 torre 1 conjunto lili del viento, barrio Valle del lili / Carrera 99A 45-200 apto 102 torre 1 conjunto lili del viento, barrio Valle del lili</v>
      </c>
      <c r="G2156" s="15" t="str">
        <f>IFERROR(__xludf.DUMMYFUNCTION("""COMPUTED_VALUE"""),"Jineth Zapata Gutierrez")</f>
        <v>Jineth Zapata Gutierrez</v>
      </c>
      <c r="H2156" s="16">
        <f>IFERROR(__xludf.DUMMYFUNCTION("""COMPUTED_VALUE"""),10788.0)</f>
        <v>10788</v>
      </c>
      <c r="I2156" s="18">
        <f>IFERROR(__xludf.DUMMYFUNCTION("""COMPUTED_VALUE"""),8.0)</f>
        <v>8</v>
      </c>
      <c r="J2156" s="18">
        <f>IFERROR(__xludf.DUMMYFUNCTION("""COMPUTED_VALUE"""),16.0)</f>
        <v>16</v>
      </c>
      <c r="K2156" s="18">
        <f>IFERROR(__xludf.DUMMYFUNCTION("""COMPUTED_VALUE"""),20.0)</f>
        <v>20</v>
      </c>
      <c r="L2156" s="17">
        <f>IFERROR(__xludf.DUMMYFUNCTION("""COMPUTED_VALUE"""),3.162962259E9)</f>
        <v>3162962259</v>
      </c>
      <c r="M2156" s="17" t="str">
        <f>IFERROR(__xludf.DUMMYFUNCTION("""COMPUTED_VALUE"""),"#REF!")</f>
        <v>#REF!</v>
      </c>
      <c r="N2156" s="17"/>
      <c r="O2156" s="17"/>
      <c r="P2156" s="17" t="b">
        <f>IFERROR(__xludf.DUMMYFUNCTION("""COMPUTED_VALUE"""),TRUE)</f>
        <v>1</v>
      </c>
      <c r="Q2156" s="20">
        <f>IFERROR(__xludf.DUMMYFUNCTION("""COMPUTED_VALUE"""),45063.57804832176)</f>
        <v>45063.57805</v>
      </c>
      <c r="R2156" s="22" t="str">
        <f>IFERROR(__xludf.DUMMYFUNCTION("""COMPUTED_VALUE"""),"")</f>
        <v/>
      </c>
    </row>
    <row r="2157">
      <c r="A2157" s="15">
        <f>IFERROR(__xludf.DUMMYFUNCTION("""COMPUTED_VALUE"""),45063.0)</f>
        <v>45063</v>
      </c>
      <c r="B2157" s="16" t="str">
        <f>IFERROR(__xludf.DUMMYFUNCTION("""COMPUTED_VALUE"""),"Johan Alexander Escobar Arroyo ")</f>
        <v>Johan Alexander Escobar Arroyo </v>
      </c>
      <c r="C2157" s="15" t="str">
        <f>IFERROR(__xludf.DUMMYFUNCTION("""COMPUTED_VALUE"""),"CALI")</f>
        <v>CALI</v>
      </c>
      <c r="D2157" s="15" t="str">
        <f>IFERROR(__xludf.DUMMYFUNCTION("""COMPUTED_VALUE"""),"MEDELLÍN")</f>
        <v>MEDELLÍN</v>
      </c>
      <c r="E2157" s="15" t="str">
        <f>IFERROR(__xludf.DUMMYFUNCTION("""COMPUTED_VALUE"""),"Baby Chef")</f>
        <v>Baby Chef</v>
      </c>
      <c r="F2157" s="17" t="str">
        <f>IFERROR(__xludf.DUMMYFUNCTION("""COMPUTED_VALUE"""),"Vía Circunvalar #520, Valle del Cauca  Ciudad country - milano Casa #95  / Vía Circunvalar #520, Valle del Cauca  Ciudad country - milano Casa #95  / Vía Circunvalar #520, Valle del Cauca  Ciudad country - milano Casa #95")</f>
        <v>Vía Circunvalar #520, Valle del Cauca  Ciudad country - milano Casa #95  / Vía Circunvalar #520, Valle del Cauca  Ciudad country - milano Casa #95  / Vía Circunvalar #520, Valle del Cauca  Ciudad country - milano Casa #95</v>
      </c>
      <c r="G2157" s="15" t="str">
        <f>IFERROR(__xludf.DUMMYFUNCTION("""COMPUTED_VALUE"""),"Angela ceballos")</f>
        <v>Angela ceballos</v>
      </c>
      <c r="H2157" s="16">
        <f>IFERROR(__xludf.DUMMYFUNCTION("""COMPUTED_VALUE"""),10811.0)</f>
        <v>10811</v>
      </c>
      <c r="I2157" s="18">
        <f>IFERROR(__xludf.DUMMYFUNCTION("""COMPUTED_VALUE"""),8.0)</f>
        <v>8</v>
      </c>
      <c r="J2157" s="18">
        <f>IFERROR(__xludf.DUMMYFUNCTION("""COMPUTED_VALUE"""),16.0)</f>
        <v>16</v>
      </c>
      <c r="K2157" s="18">
        <f>IFERROR(__xludf.DUMMYFUNCTION("""COMPUTED_VALUE"""),20.0)</f>
        <v>20</v>
      </c>
      <c r="L2157" s="17">
        <f>IFERROR(__xludf.DUMMYFUNCTION("""COMPUTED_VALUE"""),3.223746675E9)</f>
        <v>3223746675</v>
      </c>
      <c r="M2157" s="17" t="str">
        <f>IFERROR(__xludf.DUMMYFUNCTION("""COMPUTED_VALUE"""),"#REF!")</f>
        <v>#REF!</v>
      </c>
      <c r="N2157" s="17"/>
      <c r="O2157" s="17"/>
      <c r="P2157" s="17" t="b">
        <f>IFERROR(__xludf.DUMMYFUNCTION("""COMPUTED_VALUE"""),FALSE)</f>
        <v>0</v>
      </c>
      <c r="Q2157" s="20" t="str">
        <f>IFERROR(__xludf.DUMMYFUNCTION("""COMPUTED_VALUE"""),"")</f>
        <v/>
      </c>
      <c r="R2157" s="22" t="str">
        <f>IFERROR(__xludf.DUMMYFUNCTION("""COMPUTED_VALUE"""),"")</f>
        <v/>
      </c>
    </row>
    <row r="2158">
      <c r="A2158" s="15">
        <f>IFERROR(__xludf.DUMMYFUNCTION("""COMPUTED_VALUE"""),45063.0)</f>
        <v>45063</v>
      </c>
      <c r="B2158" s="16" t="str">
        <f>IFERROR(__xludf.DUMMYFUNCTION("""COMPUTED_VALUE"""),"Johan Alexander Escobar Arroyo ")</f>
        <v>Johan Alexander Escobar Arroyo </v>
      </c>
      <c r="C2158" s="15" t="str">
        <f>IFERROR(__xludf.DUMMYFUNCTION("""COMPUTED_VALUE"""),"CALI")</f>
        <v>CALI</v>
      </c>
      <c r="D2158" s="15" t="str">
        <f>IFERROR(__xludf.DUMMYFUNCTION("""COMPUTED_VALUE"""),"MEDELLÍN")</f>
        <v>MEDELLÍN</v>
      </c>
      <c r="E2158" s="15" t="str">
        <f>IFERROR(__xludf.DUMMYFUNCTION("""COMPUTED_VALUE"""),"JD Bufala")</f>
        <v>JD Bufala</v>
      </c>
      <c r="F2158" s="17" t="str">
        <f>IFERROR(__xludf.DUMMYFUNCTION("""COMPUTED_VALUE"""),"Calle 51norte#4bn72 / Delhuertopizzeria  / La Flora")</f>
        <v>Calle 51norte#4bn72 / Delhuertopizzeria  / La Flora</v>
      </c>
      <c r="G2158" s="15" t="str">
        <f>IFERROR(__xludf.DUMMYFUNCTION("""COMPUTED_VALUE"""),"Javier Rodríguez")</f>
        <v>Javier Rodríguez</v>
      </c>
      <c r="H2158" s="16">
        <f>IFERROR(__xludf.DUMMYFUNCTION("""COMPUTED_VALUE"""),10766.0)</f>
        <v>10766</v>
      </c>
      <c r="I2158" s="18">
        <f>IFERROR(__xludf.DUMMYFUNCTION("""COMPUTED_VALUE"""),45066.0)</f>
        <v>45066</v>
      </c>
      <c r="J2158" s="18">
        <f>IFERROR(__xludf.DUMMYFUNCTION("""COMPUTED_VALUE"""),28.0)</f>
        <v>28</v>
      </c>
      <c r="K2158" s="18">
        <f>IFERROR(__xludf.DUMMYFUNCTION("""COMPUTED_VALUE"""),40.0)</f>
        <v>40</v>
      </c>
      <c r="L2158" s="17">
        <f>IFERROR(__xludf.DUMMYFUNCTION("""COMPUTED_VALUE"""),3.104919761E9)</f>
        <v>3104919761</v>
      </c>
      <c r="M2158" s="17" t="str">
        <f>IFERROR(__xludf.DUMMYFUNCTION("""COMPUTED_VALUE"""),"#REF!")</f>
        <v>#REF!</v>
      </c>
      <c r="N2158" s="17"/>
      <c r="O2158" s="17"/>
      <c r="P2158" s="17" t="b">
        <f>IFERROR(__xludf.DUMMYFUNCTION("""COMPUTED_VALUE"""),TRUE)</f>
        <v>1</v>
      </c>
      <c r="Q2158" s="20">
        <f>IFERROR(__xludf.DUMMYFUNCTION("""COMPUTED_VALUE"""),45063.57023283565)</f>
        <v>45063.57023</v>
      </c>
      <c r="R2158" s="22" t="str">
        <f>IFERROR(__xludf.DUMMYFUNCTION("""COMPUTED_VALUE"""),"")</f>
        <v/>
      </c>
    </row>
    <row r="2159">
      <c r="A2159" s="15">
        <f>IFERROR(__xludf.DUMMYFUNCTION("""COMPUTED_VALUE"""),45063.0)</f>
        <v>45063</v>
      </c>
      <c r="B2159" s="16" t="str">
        <f>IFERROR(__xludf.DUMMYFUNCTION("""COMPUTED_VALUE"""),"Johan Alexander Escobar Arroyo ")</f>
        <v>Johan Alexander Escobar Arroyo </v>
      </c>
      <c r="C2159" s="15" t="str">
        <f>IFERROR(__xludf.DUMMYFUNCTION("""COMPUTED_VALUE"""),"CALI")</f>
        <v>CALI</v>
      </c>
      <c r="D2159" s="15" t="str">
        <f>IFERROR(__xludf.DUMMYFUNCTION("""COMPUTED_VALUE"""),"MEDELLÍN")</f>
        <v>MEDELLÍN</v>
      </c>
      <c r="E2159" s="15" t="str">
        <f>IFERROR(__xludf.DUMMYFUNCTION("""COMPUTED_VALUE"""),"Moloso S.A.S")</f>
        <v>Moloso S.A.S</v>
      </c>
      <c r="F2159" s="17" t="str">
        <f>IFERROR(__xludf.DUMMYFUNCTION("""COMPUTED_VALUE"""),"CL 10 CR 118 1 55 / APT 1003B")</f>
        <v>CL 10 CR 118 1 55 / APT 1003B</v>
      </c>
      <c r="G2159" s="15" t="str">
        <f>IFERROR(__xludf.DUMMYFUNCTION("""COMPUTED_VALUE"""),"NICOLE CRUZ MUÑOZ")</f>
        <v>NICOLE CRUZ MUÑOZ</v>
      </c>
      <c r="H2159" s="16">
        <f>IFERROR(__xludf.DUMMYFUNCTION("""COMPUTED_VALUE"""),10782.0)</f>
        <v>10782</v>
      </c>
      <c r="I2159" s="18">
        <f>IFERROR(__xludf.DUMMYFUNCTION("""COMPUTED_VALUE"""),17.0)</f>
        <v>17</v>
      </c>
      <c r="J2159" s="18">
        <f>IFERROR(__xludf.DUMMYFUNCTION("""COMPUTED_VALUE"""),15.0)</f>
        <v>15</v>
      </c>
      <c r="K2159" s="18">
        <f>IFERROR(__xludf.DUMMYFUNCTION("""COMPUTED_VALUE"""),28.0)</f>
        <v>28</v>
      </c>
      <c r="L2159" s="17" t="str">
        <f>IFERROR(__xludf.DUMMYFUNCTION("""COMPUTED_VALUE"""),"316 0470203")</f>
        <v>316 0470203</v>
      </c>
      <c r="M2159" s="17" t="str">
        <f>IFERROR(__xludf.DUMMYFUNCTION("""COMPUTED_VALUE"""),"#REF!")</f>
        <v>#REF!</v>
      </c>
      <c r="N2159" s="17"/>
      <c r="O2159" s="17"/>
      <c r="P2159" s="17" t="b">
        <f>IFERROR(__xludf.DUMMYFUNCTION("""COMPUTED_VALUE"""),TRUE)</f>
        <v>1</v>
      </c>
      <c r="Q2159" s="20">
        <f>IFERROR(__xludf.DUMMYFUNCTION("""COMPUTED_VALUE"""),45064.53300847222)</f>
        <v>45064.53301</v>
      </c>
      <c r="R2159" s="22" t="str">
        <f>IFERROR(__xludf.DUMMYFUNCTION("""COMPUTED_VALUE"""),"")</f>
        <v/>
      </c>
    </row>
    <row r="2160">
      <c r="A2160" s="15">
        <f>IFERROR(__xludf.DUMMYFUNCTION("""COMPUTED_VALUE"""),45063.0)</f>
        <v>45063</v>
      </c>
      <c r="B2160" s="16" t="str">
        <f>IFERROR(__xludf.DUMMYFUNCTION("""COMPUTED_VALUE"""),"Johan Alexander Escobar Arroyo ")</f>
        <v>Johan Alexander Escobar Arroyo </v>
      </c>
      <c r="C2160" s="15" t="str">
        <f>IFERROR(__xludf.DUMMYFUNCTION("""COMPUTED_VALUE"""),"CALI")</f>
        <v>CALI</v>
      </c>
      <c r="D2160" s="15" t="str">
        <f>IFERROR(__xludf.DUMMYFUNCTION("""COMPUTED_VALUE"""),"MEDELLÍN")</f>
        <v>MEDELLÍN</v>
      </c>
      <c r="E2160" s="15" t="str">
        <f>IFERROR(__xludf.DUMMYFUNCTION("""COMPUTED_VALUE"""),"Rambla")</f>
        <v>Rambla</v>
      </c>
      <c r="F2160" s="17" t="str">
        <f>IFERROR(__xludf.DUMMYFUNCTION("""COMPUTED_VALUE"""),"Carrera 105 #14-05 Ciudad jardín Local 5 CALI / NA / NA")</f>
        <v>Carrera 105 #14-05 Ciudad jardín Local 5 CALI / NA / NA</v>
      </c>
      <c r="G2160" s="15" t="str">
        <f>IFERROR(__xludf.DUMMYFUNCTION("""COMPUTED_VALUE"""),"Green house market")</f>
        <v>Green house market</v>
      </c>
      <c r="H2160" s="16">
        <f>IFERROR(__xludf.DUMMYFUNCTION("""COMPUTED_VALUE"""),10805.0)</f>
        <v>10805</v>
      </c>
      <c r="I2160" s="18">
        <f>IFERROR(__xludf.DUMMYFUNCTION("""COMPUTED_VALUE"""),24.0)</f>
        <v>24</v>
      </c>
      <c r="J2160" s="18">
        <f>IFERROR(__xludf.DUMMYFUNCTION("""COMPUTED_VALUE"""),28.0)</f>
        <v>28</v>
      </c>
      <c r="K2160" s="18">
        <f>IFERROR(__xludf.DUMMYFUNCTION("""COMPUTED_VALUE"""),30.0)</f>
        <v>30</v>
      </c>
      <c r="L2160" s="17">
        <f>IFERROR(__xludf.DUMMYFUNCTION("""COMPUTED_VALUE"""),3.155869547E9)</f>
        <v>3155869547</v>
      </c>
      <c r="M2160" s="17" t="str">
        <f>IFERROR(__xludf.DUMMYFUNCTION("""COMPUTED_VALUE"""),"#REF!")</f>
        <v>#REF!</v>
      </c>
      <c r="N2160" s="17"/>
      <c r="O2160" s="17"/>
      <c r="P2160" s="17" t="b">
        <f>IFERROR(__xludf.DUMMYFUNCTION("""COMPUTED_VALUE"""),TRUE)</f>
        <v>1</v>
      </c>
      <c r="Q2160" s="20">
        <f>IFERROR(__xludf.DUMMYFUNCTION("""COMPUTED_VALUE"""),45063.51589653935)</f>
        <v>45063.5159</v>
      </c>
      <c r="R2160" s="22" t="str">
        <f>IFERROR(__xludf.DUMMYFUNCTION("""COMPUTED_VALUE"""),"")</f>
        <v/>
      </c>
    </row>
    <row r="2161">
      <c r="A2161" s="15">
        <f>IFERROR(__xludf.DUMMYFUNCTION("""COMPUTED_VALUE"""),45063.0)</f>
        <v>45063</v>
      </c>
      <c r="B2161" s="16" t="str">
        <f>IFERROR(__xludf.DUMMYFUNCTION("""COMPUTED_VALUE"""),"Johan Alexander Escobar Arroyo ")</f>
        <v>Johan Alexander Escobar Arroyo </v>
      </c>
      <c r="C2161" s="15" t="str">
        <f>IFERROR(__xludf.DUMMYFUNCTION("""COMPUTED_VALUE"""),"CÚCUTA")</f>
        <v>CÚCUTA</v>
      </c>
      <c r="D2161" s="15" t="str">
        <f>IFERROR(__xludf.DUMMYFUNCTION("""COMPUTED_VALUE"""),"MEDELLÍN")</f>
        <v>MEDELLÍN</v>
      </c>
      <c r="E2161" s="15" t="str">
        <f>IFERROR(__xludf.DUMMYFUNCTION("""COMPUTED_VALUE"""),"Momo Tea S.A.S Gabriel Echavarría")</f>
        <v>Momo Tea S.A.S Gabriel Echavarría</v>
      </c>
      <c r="F2161" s="17" t="str">
        <f>IFERROR(__xludf.DUMMYFUNCTION("""COMPUTED_VALUE"""),"CL 11 N 16 E 35 / CA B 1")</f>
        <v>CL 11 N 16 E 35 / CA B 1</v>
      </c>
      <c r="G2161" s="15" t="str">
        <f>IFERROR(__xludf.DUMMYFUNCTION("""COMPUTED_VALUE"""),"Gabriel Echavarría")</f>
        <v>Gabriel Echavarría</v>
      </c>
      <c r="H2161" s="16">
        <f>IFERROR(__xludf.DUMMYFUNCTION("""COMPUTED_VALUE"""),10757.0)</f>
        <v>10757</v>
      </c>
      <c r="I2161" s="18">
        <f>IFERROR(__xludf.DUMMYFUNCTION("""COMPUTED_VALUE"""),17.0)</f>
        <v>17</v>
      </c>
      <c r="J2161" s="18">
        <f>IFERROR(__xludf.DUMMYFUNCTION("""COMPUTED_VALUE"""),13.0)</f>
        <v>13</v>
      </c>
      <c r="K2161" s="18">
        <f>IFERROR(__xludf.DUMMYFUNCTION("""COMPUTED_VALUE"""),20.0)</f>
        <v>20</v>
      </c>
      <c r="L2161" s="17">
        <f>IFERROR(__xludf.DUMMYFUNCTION("""COMPUTED_VALUE"""),3.017909548E9)</f>
        <v>3017909548</v>
      </c>
      <c r="M2161" s="17" t="str">
        <f>IFERROR(__xludf.DUMMYFUNCTION("""COMPUTED_VALUE"""),"#REF!")</f>
        <v>#REF!</v>
      </c>
      <c r="N2161" s="17"/>
      <c r="O2161" s="17"/>
      <c r="P2161" s="17" t="b">
        <f>IFERROR(__xludf.DUMMYFUNCTION("""COMPUTED_VALUE"""),TRUE)</f>
        <v>1</v>
      </c>
      <c r="Q2161" s="20">
        <f>IFERROR(__xludf.DUMMYFUNCTION("""COMPUTED_VALUE"""),45063.59994489583)</f>
        <v>45063.59994</v>
      </c>
      <c r="R2161" s="22" t="str">
        <f>IFERROR(__xludf.DUMMYFUNCTION("""COMPUTED_VALUE"""),"")</f>
        <v/>
      </c>
    </row>
    <row r="2162">
      <c r="A2162" s="15">
        <f>IFERROR(__xludf.DUMMYFUNCTION("""COMPUTED_VALUE"""),45063.0)</f>
        <v>45063</v>
      </c>
      <c r="B2162" s="16" t="str">
        <f>IFERROR(__xludf.DUMMYFUNCTION("""COMPUTED_VALUE"""),"Johan Alexander Escobar Arroyo ")</f>
        <v>Johan Alexander Escobar Arroyo </v>
      </c>
      <c r="C2162" s="15" t="str">
        <f>IFERROR(__xludf.DUMMYFUNCTION("""COMPUTED_VALUE"""),"CÚCUTA")</f>
        <v>CÚCUTA</v>
      </c>
      <c r="D2162" s="15" t="str">
        <f>IFERROR(__xludf.DUMMYFUNCTION("""COMPUTED_VALUE"""),"MEDELLÍN")</f>
        <v>MEDELLÍN</v>
      </c>
      <c r="E2162" s="15" t="str">
        <f>IFERROR(__xludf.DUMMYFUNCTION("""COMPUTED_VALUE"""),"Momo Tea S.A.S Gabriel Echavarría")</f>
        <v>Momo Tea S.A.S Gabriel Echavarría</v>
      </c>
      <c r="F2162" s="17" t="str">
        <f>IFERROR(__xludf.DUMMYFUNCTION("""COMPUTED_VALUE"""),"CL 11 N 16 E 35 / CA B 1")</f>
        <v>CL 11 N 16 E 35 / CA B 1</v>
      </c>
      <c r="G2162" s="15" t="str">
        <f>IFERROR(__xludf.DUMMYFUNCTION("""COMPUTED_VALUE"""),"Gabriel Echavarría")</f>
        <v>Gabriel Echavarría</v>
      </c>
      <c r="H2162" s="16">
        <f>IFERROR(__xludf.DUMMYFUNCTION("""COMPUTED_VALUE"""),10758.0)</f>
        <v>10758</v>
      </c>
      <c r="I2162" s="18">
        <f>IFERROR(__xludf.DUMMYFUNCTION("""COMPUTED_VALUE"""),63.0)</f>
        <v>63</v>
      </c>
      <c r="J2162" s="18">
        <f>IFERROR(__xludf.DUMMYFUNCTION("""COMPUTED_VALUE"""),10.0)</f>
        <v>10</v>
      </c>
      <c r="K2162" s="18">
        <f>IFERROR(__xludf.DUMMYFUNCTION("""COMPUTED_VALUE"""),9.0)</f>
        <v>9</v>
      </c>
      <c r="L2162" s="17">
        <f>IFERROR(__xludf.DUMMYFUNCTION("""COMPUTED_VALUE"""),3.017909548E9)</f>
        <v>3017909548</v>
      </c>
      <c r="M2162" s="17" t="str">
        <f>IFERROR(__xludf.DUMMYFUNCTION("""COMPUTED_VALUE"""),"#REF!")</f>
        <v>#REF!</v>
      </c>
      <c r="N2162" s="17"/>
      <c r="O2162" s="17"/>
      <c r="P2162" s="17" t="b">
        <f>IFERROR(__xludf.DUMMYFUNCTION("""COMPUTED_VALUE"""),TRUE)</f>
        <v>1</v>
      </c>
      <c r="Q2162" s="20">
        <f>IFERROR(__xludf.DUMMYFUNCTION("""COMPUTED_VALUE"""),45063.677745497684)</f>
        <v>45063.67775</v>
      </c>
      <c r="R2162" s="22" t="str">
        <f>IFERROR(__xludf.DUMMYFUNCTION("""COMPUTED_VALUE"""),"")</f>
        <v/>
      </c>
    </row>
    <row r="2163">
      <c r="A2163" s="17" t="str">
        <f>IFERROR(__xludf.DUMMYFUNCTION("""COMPUTED_VALUE"""),"")</f>
        <v/>
      </c>
      <c r="B2163" s="17" t="str">
        <f>IFERROR(__xludf.DUMMYFUNCTION("""COMPUTED_VALUE"""),"")</f>
        <v/>
      </c>
      <c r="C2163" s="17" t="str">
        <f>IFERROR(__xludf.DUMMYFUNCTION("""COMPUTED_VALUE"""),"")</f>
        <v/>
      </c>
      <c r="D2163" s="17" t="str">
        <f>IFERROR(__xludf.DUMMYFUNCTION("""COMPUTED_VALUE"""),"")</f>
        <v/>
      </c>
      <c r="E2163" s="17" t="str">
        <f>IFERROR(__xludf.DUMMYFUNCTION("""COMPUTED_VALUE"""),"")</f>
        <v/>
      </c>
      <c r="F2163" s="17" t="str">
        <f>IFERROR(__xludf.DUMMYFUNCTION("""COMPUTED_VALUE"""),"")</f>
        <v/>
      </c>
      <c r="G2163" s="17" t="str">
        <f>IFERROR(__xludf.DUMMYFUNCTION("""COMPUTED_VALUE"""),"")</f>
        <v/>
      </c>
      <c r="H2163" s="17" t="str">
        <f>IFERROR(__xludf.DUMMYFUNCTION("""COMPUTED_VALUE"""),"")</f>
        <v/>
      </c>
      <c r="I2163" s="17" t="str">
        <f>IFERROR(__xludf.DUMMYFUNCTION("""COMPUTED_VALUE"""),"")</f>
        <v/>
      </c>
      <c r="J2163" s="17" t="str">
        <f>IFERROR(__xludf.DUMMYFUNCTION("""COMPUTED_VALUE"""),"")</f>
        <v/>
      </c>
      <c r="K2163" s="17" t="str">
        <f>IFERROR(__xludf.DUMMYFUNCTION("""COMPUTED_VALUE"""),"")</f>
        <v/>
      </c>
      <c r="L2163" s="17" t="str">
        <f>IFERROR(__xludf.DUMMYFUNCTION("""COMPUTED_VALUE"""),"")</f>
        <v/>
      </c>
      <c r="M2163" s="17" t="str">
        <f>IFERROR(__xludf.DUMMYFUNCTION("""COMPUTED_VALUE"""),"")</f>
        <v/>
      </c>
      <c r="N2163" s="17" t="str">
        <f>IFERROR(__xludf.DUMMYFUNCTION("""COMPUTED_VALUE"""),"")</f>
        <v/>
      </c>
      <c r="O2163" s="17" t="str">
        <f>IFERROR(__xludf.DUMMYFUNCTION("""COMPUTED_VALUE"""),"")</f>
        <v/>
      </c>
      <c r="P2163" s="17" t="str">
        <f>IFERROR(__xludf.DUMMYFUNCTION("""COMPUTED_VALUE"""),"")</f>
        <v/>
      </c>
      <c r="Q2163" s="17" t="str">
        <f>IFERROR(__xludf.DUMMYFUNCTION("""COMPUTED_VALUE"""),"")</f>
        <v/>
      </c>
      <c r="R2163" s="17" t="str">
        <f>IFERROR(__xludf.DUMMYFUNCTION("""COMPUTED_VALUE"""),"")</f>
        <v/>
      </c>
    </row>
    <row r="2164">
      <c r="A2164" s="15">
        <f>IFERROR(__xludf.DUMMYFUNCTION("""COMPUTED_VALUE"""),45063.0)</f>
        <v>45063</v>
      </c>
      <c r="B2164" s="16" t="str">
        <f>IFERROR(__xludf.DUMMYFUNCTION("""COMPUTED_VALUE"""),"JOSE ALFREDO RAMIREZ VERGARA ")</f>
        <v>JOSE ALFREDO RAMIREZ VERGARA </v>
      </c>
      <c r="C2164" s="15" t="str">
        <f>IFERROR(__xludf.DUMMYFUNCTION("""COMPUTED_VALUE"""),"BOGOTÁ")</f>
        <v>BOGOTÁ</v>
      </c>
      <c r="D2164" s="15" t="str">
        <f>IFERROR(__xludf.DUMMYFUNCTION("""COMPUTED_VALUE"""),"MEDELLÍN")</f>
        <v>MEDELLÍN</v>
      </c>
      <c r="E2164" s="15" t="str">
        <f>IFERROR(__xludf.DUMMYFUNCTION("""COMPUTED_VALUE"""),"Baby Chef")</f>
        <v>Baby Chef</v>
      </c>
      <c r="F2164" s="17" t="str">
        <f>IFERROR(__xludf.DUMMYFUNCTION("""COMPUTED_VALUE"""),"Calle 146 # 58 C 21 Apto 101 Int 12 Alameda de Santa Clara I / Calle 146 # 58 C 21 Apto 101 Int 12 Alameda de Santa Clara I / Calle 146 # 58 C 21 Apto 101 Int 12 Alameda de Santa Clara I")</f>
        <v>Calle 146 # 58 C 21 Apto 101 Int 12 Alameda de Santa Clara I / Calle 146 # 58 C 21 Apto 101 Int 12 Alameda de Santa Clara I / Calle 146 # 58 C 21 Apto 101 Int 12 Alameda de Santa Clara I</v>
      </c>
      <c r="G2164" s="15" t="str">
        <f>IFERROR(__xludf.DUMMYFUNCTION("""COMPUTED_VALUE"""),"Paula Figueroa")</f>
        <v>Paula Figueroa</v>
      </c>
      <c r="H2164" s="16">
        <f>IFERROR(__xludf.DUMMYFUNCTION("""COMPUTED_VALUE"""),10797.0)</f>
        <v>10797</v>
      </c>
      <c r="I2164" s="18">
        <f>IFERROR(__xludf.DUMMYFUNCTION("""COMPUTED_VALUE"""),8.0)</f>
        <v>8</v>
      </c>
      <c r="J2164" s="18">
        <f>IFERROR(__xludf.DUMMYFUNCTION("""COMPUTED_VALUE"""),16.0)</f>
        <v>16</v>
      </c>
      <c r="K2164" s="18">
        <f>IFERROR(__xludf.DUMMYFUNCTION("""COMPUTED_VALUE"""),20.0)</f>
        <v>20</v>
      </c>
      <c r="L2164" s="17">
        <f>IFERROR(__xludf.DUMMYFUNCTION("""COMPUTED_VALUE"""),3.107776912E9)</f>
        <v>3107776912</v>
      </c>
      <c r="M2164" s="17" t="str">
        <f>IFERROR(__xludf.DUMMYFUNCTION("""COMPUTED_VALUE"""),"#REF!")</f>
        <v>#REF!</v>
      </c>
      <c r="N2164" s="17"/>
      <c r="O2164" s="17"/>
      <c r="P2164" s="17" t="b">
        <f>IFERROR(__xludf.DUMMYFUNCTION("""COMPUTED_VALUE"""),TRUE)</f>
        <v>1</v>
      </c>
      <c r="Q2164" s="20">
        <f>IFERROR(__xludf.DUMMYFUNCTION("""COMPUTED_VALUE"""),45063.599977199076)</f>
        <v>45063.59998</v>
      </c>
      <c r="R2164" s="22" t="str">
        <f>IFERROR(__xludf.DUMMYFUNCTION("""COMPUTED_VALUE"""),"")</f>
        <v/>
      </c>
    </row>
    <row r="2165">
      <c r="A2165" s="15">
        <f>IFERROR(__xludf.DUMMYFUNCTION("""COMPUTED_VALUE"""),45063.0)</f>
        <v>45063</v>
      </c>
      <c r="B2165" s="16" t="str">
        <f>IFERROR(__xludf.DUMMYFUNCTION("""COMPUTED_VALUE"""),"JOSE ALFREDO RAMIREZ VERGARA ")</f>
        <v>JOSE ALFREDO RAMIREZ VERGARA </v>
      </c>
      <c r="C2165" s="15" t="str">
        <f>IFERROR(__xludf.DUMMYFUNCTION("""COMPUTED_VALUE"""),"BOGOTÁ")</f>
        <v>BOGOTÁ</v>
      </c>
      <c r="D2165" s="15" t="str">
        <f>IFERROR(__xludf.DUMMYFUNCTION("""COMPUTED_VALUE"""),"MEDELLÍN")</f>
        <v>MEDELLÍN</v>
      </c>
      <c r="E2165" s="15" t="str">
        <f>IFERROR(__xludf.DUMMYFUNCTION("""COMPUTED_VALUE"""),"Baby Chef")</f>
        <v>Baby Chef</v>
      </c>
      <c r="F2165" s="17" t="str">
        <f>IFERROR(__xludf.DUMMYFUNCTION("""COMPUTED_VALUE"""),"Calle 19 # 96 C 58 Apto 204 / Calle 19 # 96 C 58 Apto 204 / Calle 19 # 96 C 58 Apto 204")</f>
        <v>Calle 19 # 96 C 58 Apto 204 / Calle 19 # 96 C 58 Apto 204 / Calle 19 # 96 C 58 Apto 204</v>
      </c>
      <c r="G2165" s="15" t="str">
        <f>IFERROR(__xludf.DUMMYFUNCTION("""COMPUTED_VALUE"""),"Jorge Ivan Diaz Bernal")</f>
        <v>Jorge Ivan Diaz Bernal</v>
      </c>
      <c r="H2165" s="16">
        <f>IFERROR(__xludf.DUMMYFUNCTION("""COMPUTED_VALUE"""),10798.0)</f>
        <v>10798</v>
      </c>
      <c r="I2165" s="18">
        <f>IFERROR(__xludf.DUMMYFUNCTION("""COMPUTED_VALUE"""),8.0)</f>
        <v>8</v>
      </c>
      <c r="J2165" s="18">
        <f>IFERROR(__xludf.DUMMYFUNCTION("""COMPUTED_VALUE"""),16.0)</f>
        <v>16</v>
      </c>
      <c r="K2165" s="18">
        <f>IFERROR(__xludf.DUMMYFUNCTION("""COMPUTED_VALUE"""),20.0)</f>
        <v>20</v>
      </c>
      <c r="L2165" s="17">
        <f>IFERROR(__xludf.DUMMYFUNCTION("""COMPUTED_VALUE"""),3.0038284E9)</f>
        <v>3003828400</v>
      </c>
      <c r="M2165" s="17" t="str">
        <f>IFERROR(__xludf.DUMMYFUNCTION("""COMPUTED_VALUE"""),"#REF!")</f>
        <v>#REF!</v>
      </c>
      <c r="N2165" s="17"/>
      <c r="O2165" s="17"/>
      <c r="P2165" s="17" t="b">
        <f>IFERROR(__xludf.DUMMYFUNCTION("""COMPUTED_VALUE"""),FALSE)</f>
        <v>0</v>
      </c>
      <c r="Q2165" s="20" t="str">
        <f>IFERROR(__xludf.DUMMYFUNCTION("""COMPUTED_VALUE"""),"")</f>
        <v/>
      </c>
      <c r="R2165" s="22" t="str">
        <f>IFERROR(__xludf.DUMMYFUNCTION("""COMPUTED_VALUE"""),"")</f>
        <v/>
      </c>
    </row>
    <row r="2166">
      <c r="A2166" s="15">
        <f>IFERROR(__xludf.DUMMYFUNCTION("""COMPUTED_VALUE"""),45063.0)</f>
        <v>45063</v>
      </c>
      <c r="B2166" s="16" t="str">
        <f>IFERROR(__xludf.DUMMYFUNCTION("""COMPUTED_VALUE"""),"JOSE ALFREDO RAMIREZ VERGARA ")</f>
        <v>JOSE ALFREDO RAMIREZ VERGARA </v>
      </c>
      <c r="C2166" s="15" t="str">
        <f>IFERROR(__xludf.DUMMYFUNCTION("""COMPUTED_VALUE"""),"BOGOTÁ")</f>
        <v>BOGOTÁ</v>
      </c>
      <c r="D2166" s="15" t="str">
        <f>IFERROR(__xludf.DUMMYFUNCTION("""COMPUTED_VALUE"""),"MEDELLÍN")</f>
        <v>MEDELLÍN</v>
      </c>
      <c r="E2166" s="15" t="str">
        <f>IFERROR(__xludf.DUMMYFUNCTION("""COMPUTED_VALUE"""),"Baby Chef")</f>
        <v>Baby Chef</v>
      </c>
      <c r="F2166" s="17" t="str">
        <f>IFERROR(__xludf.DUMMYFUNCTION("""COMPUTED_VALUE"""),"carrera 68b 96-70  parques de la floresta etapa 3 torre 5 apto 403  / carrera 68b 96-70  parques de la floresta etapa 3 torre 5 apto 403  / carrera 68b 96-70  parques de la floresta etapa 3 torre 5 apto 403")</f>
        <v>carrera 68b 96-70  parques de la floresta etapa 3 torre 5 apto 403  / carrera 68b 96-70  parques de la floresta etapa 3 torre 5 apto 403  / carrera 68b 96-70  parques de la floresta etapa 3 torre 5 apto 403</v>
      </c>
      <c r="G2166" s="15" t="str">
        <f>IFERROR(__xludf.DUMMYFUNCTION("""COMPUTED_VALUE"""),"Karen Ruiz García")</f>
        <v>Karen Ruiz García</v>
      </c>
      <c r="H2166" s="16">
        <f>IFERROR(__xludf.DUMMYFUNCTION("""COMPUTED_VALUE"""),10794.0)</f>
        <v>10794</v>
      </c>
      <c r="I2166" s="18">
        <f>IFERROR(__xludf.DUMMYFUNCTION("""COMPUTED_VALUE"""),8.0)</f>
        <v>8</v>
      </c>
      <c r="J2166" s="18">
        <f>IFERROR(__xludf.DUMMYFUNCTION("""COMPUTED_VALUE"""),16.0)</f>
        <v>16</v>
      </c>
      <c r="K2166" s="18">
        <f>IFERROR(__xludf.DUMMYFUNCTION("""COMPUTED_VALUE"""),20.0)</f>
        <v>20</v>
      </c>
      <c r="L2166" s="17">
        <f>IFERROR(__xludf.DUMMYFUNCTION("""COMPUTED_VALUE"""),3.0177377E9)</f>
        <v>3017737700</v>
      </c>
      <c r="M2166" s="17" t="str">
        <f>IFERROR(__xludf.DUMMYFUNCTION("""COMPUTED_VALUE"""),"#REF!")</f>
        <v>#REF!</v>
      </c>
      <c r="N2166" s="17"/>
      <c r="O2166" s="17"/>
      <c r="P2166" s="17" t="b">
        <f>IFERROR(__xludf.DUMMYFUNCTION("""COMPUTED_VALUE"""),TRUE)</f>
        <v>1</v>
      </c>
      <c r="Q2166" s="20">
        <f>IFERROR(__xludf.DUMMYFUNCTION("""COMPUTED_VALUE"""),45063.54566953704)</f>
        <v>45063.54567</v>
      </c>
      <c r="R2166" s="22" t="str">
        <f>IFERROR(__xludf.DUMMYFUNCTION("""COMPUTED_VALUE"""),"")</f>
        <v/>
      </c>
    </row>
    <row r="2167">
      <c r="A2167" s="15">
        <f>IFERROR(__xludf.DUMMYFUNCTION("""COMPUTED_VALUE"""),45063.0)</f>
        <v>45063</v>
      </c>
      <c r="B2167" s="16" t="str">
        <f>IFERROR(__xludf.DUMMYFUNCTION("""COMPUTED_VALUE"""),"JOSE ALFREDO RAMIREZ VERGARA ")</f>
        <v>JOSE ALFREDO RAMIREZ VERGARA </v>
      </c>
      <c r="C2167" s="15" t="str">
        <f>IFERROR(__xludf.DUMMYFUNCTION("""COMPUTED_VALUE"""),"BOGOTÁ")</f>
        <v>BOGOTÁ</v>
      </c>
      <c r="D2167" s="15" t="str">
        <f>IFERROR(__xludf.DUMMYFUNCTION("""COMPUTED_VALUE"""),"MEDELLÍN")</f>
        <v>MEDELLÍN</v>
      </c>
      <c r="E2167" s="15" t="str">
        <f>IFERROR(__xludf.DUMMYFUNCTION("""COMPUTED_VALUE"""),"Baby Chef")</f>
        <v>Baby Chef</v>
      </c>
      <c r="F2167" s="17" t="str">
        <f>IFERROR(__xludf.DUMMYFUNCTION("""COMPUTED_VALUE"""),"Cra 112 #22d-13 piso 1 bodega - Atahualpa fontibon / Cra 112 #22d-13 piso 1 bodega - Atahualpa fontibon / Cra 112 #22d-13 piso 1 bodega - Atahualpa fontibon")</f>
        <v>Cra 112 #22d-13 piso 1 bodega - Atahualpa fontibon / Cra 112 #22d-13 piso 1 bodega - Atahualpa fontibon / Cra 112 #22d-13 piso 1 bodega - Atahualpa fontibon</v>
      </c>
      <c r="G2167" s="15" t="str">
        <f>IFERROR(__xludf.DUMMYFUNCTION("""COMPUTED_VALUE"""),"Sebastian Suarez Acevedo")</f>
        <v>Sebastian Suarez Acevedo</v>
      </c>
      <c r="H2167" s="16">
        <f>IFERROR(__xludf.DUMMYFUNCTION("""COMPUTED_VALUE"""),10791.0)</f>
        <v>10791</v>
      </c>
      <c r="I2167" s="18">
        <f>IFERROR(__xludf.DUMMYFUNCTION("""COMPUTED_VALUE"""),8.0)</f>
        <v>8</v>
      </c>
      <c r="J2167" s="18">
        <f>IFERROR(__xludf.DUMMYFUNCTION("""COMPUTED_VALUE"""),16.0)</f>
        <v>16</v>
      </c>
      <c r="K2167" s="18">
        <f>IFERROR(__xludf.DUMMYFUNCTION("""COMPUTED_VALUE"""),20.0)</f>
        <v>20</v>
      </c>
      <c r="L2167" s="17">
        <f>IFERROR(__xludf.DUMMYFUNCTION("""COMPUTED_VALUE"""),3.214205121E9)</f>
        <v>3214205121</v>
      </c>
      <c r="M2167" s="17" t="str">
        <f>IFERROR(__xludf.DUMMYFUNCTION("""COMPUTED_VALUE"""),"#REF!")</f>
        <v>#REF!</v>
      </c>
      <c r="N2167" s="17"/>
      <c r="O2167" s="17"/>
      <c r="P2167" s="17" t="b">
        <f>IFERROR(__xludf.DUMMYFUNCTION("""COMPUTED_VALUE"""),TRUE)</f>
        <v>1</v>
      </c>
      <c r="Q2167" s="20">
        <f>IFERROR(__xludf.DUMMYFUNCTION("""COMPUTED_VALUE"""),45063.77339876158)</f>
        <v>45063.7734</v>
      </c>
      <c r="R2167" s="22" t="str">
        <f>IFERROR(__xludf.DUMMYFUNCTION("""COMPUTED_VALUE"""),"")</f>
        <v/>
      </c>
    </row>
    <row r="2168">
      <c r="A2168" s="17" t="str">
        <f>IFERROR(__xludf.DUMMYFUNCTION("""COMPUTED_VALUE"""),"")</f>
        <v/>
      </c>
      <c r="B2168" s="17" t="str">
        <f>IFERROR(__xludf.DUMMYFUNCTION("""COMPUTED_VALUE"""),"")</f>
        <v/>
      </c>
      <c r="C2168" s="17" t="str">
        <f>IFERROR(__xludf.DUMMYFUNCTION("""COMPUTED_VALUE"""),"")</f>
        <v/>
      </c>
      <c r="D2168" s="17" t="str">
        <f>IFERROR(__xludf.DUMMYFUNCTION("""COMPUTED_VALUE"""),"")</f>
        <v/>
      </c>
      <c r="E2168" s="17" t="str">
        <f>IFERROR(__xludf.DUMMYFUNCTION("""COMPUTED_VALUE"""),"")</f>
        <v/>
      </c>
      <c r="F2168" s="17" t="str">
        <f>IFERROR(__xludf.DUMMYFUNCTION("""COMPUTED_VALUE"""),"")</f>
        <v/>
      </c>
      <c r="G2168" s="17" t="str">
        <f>IFERROR(__xludf.DUMMYFUNCTION("""COMPUTED_VALUE"""),"")</f>
        <v/>
      </c>
      <c r="H2168" s="17" t="str">
        <f>IFERROR(__xludf.DUMMYFUNCTION("""COMPUTED_VALUE"""),"")</f>
        <v/>
      </c>
      <c r="I2168" s="17" t="str">
        <f>IFERROR(__xludf.DUMMYFUNCTION("""COMPUTED_VALUE"""),"")</f>
        <v/>
      </c>
      <c r="J2168" s="17" t="str">
        <f>IFERROR(__xludf.DUMMYFUNCTION("""COMPUTED_VALUE"""),"")</f>
        <v/>
      </c>
      <c r="K2168" s="17" t="str">
        <f>IFERROR(__xludf.DUMMYFUNCTION("""COMPUTED_VALUE"""),"")</f>
        <v/>
      </c>
      <c r="L2168" s="17" t="str">
        <f>IFERROR(__xludf.DUMMYFUNCTION("""COMPUTED_VALUE"""),"")</f>
        <v/>
      </c>
      <c r="M2168" s="17" t="str">
        <f>IFERROR(__xludf.DUMMYFUNCTION("""COMPUTED_VALUE"""),"")</f>
        <v/>
      </c>
      <c r="N2168" s="17" t="str">
        <f>IFERROR(__xludf.DUMMYFUNCTION("""COMPUTED_VALUE"""),"")</f>
        <v/>
      </c>
      <c r="O2168" s="17" t="str">
        <f>IFERROR(__xludf.DUMMYFUNCTION("""COMPUTED_VALUE"""),"")</f>
        <v/>
      </c>
      <c r="P2168" s="17" t="str">
        <f>IFERROR(__xludf.DUMMYFUNCTION("""COMPUTED_VALUE"""),"")</f>
        <v/>
      </c>
      <c r="Q2168" s="17" t="str">
        <f>IFERROR(__xludf.DUMMYFUNCTION("""COMPUTED_VALUE"""),"")</f>
        <v/>
      </c>
      <c r="R2168" s="17" t="str">
        <f>IFERROR(__xludf.DUMMYFUNCTION("""COMPUTED_VALUE"""),"")</f>
        <v/>
      </c>
    </row>
    <row r="2169">
      <c r="A2169" s="15">
        <f>IFERROR(__xludf.DUMMYFUNCTION("""COMPUTED_VALUE"""),45063.0)</f>
        <v>45063</v>
      </c>
      <c r="B2169" s="16" t="str">
        <f>IFERROR(__xludf.DUMMYFUNCTION("""COMPUTED_VALUE"""),"Luis Miguel Ramirez Morales")</f>
        <v>Luis Miguel Ramirez Morales</v>
      </c>
      <c r="C2169" s="15" t="str">
        <f>IFERROR(__xludf.DUMMYFUNCTION("""COMPUTED_VALUE"""),"BOGOTÁ")</f>
        <v>BOGOTÁ</v>
      </c>
      <c r="D2169" s="15" t="str">
        <f>IFERROR(__xludf.DUMMYFUNCTION("""COMPUTED_VALUE"""),"MEDELLÍN")</f>
        <v>MEDELLÍN</v>
      </c>
      <c r="E2169" s="15" t="str">
        <f>IFERROR(__xludf.DUMMYFUNCTION("""COMPUTED_VALUE"""),"AREPAS LA MARY")</f>
        <v>AREPAS LA MARY</v>
      </c>
      <c r="F2169" s="17" t="str">
        <f>IFERROR(__xludf.DUMMYFUNCTION("""COMPUTED_VALUE"""),"cra 8 a # 97 -07 / country octava")</f>
        <v>cra 8 a # 97 -07 / country octava</v>
      </c>
      <c r="G2169" s="15" t="str">
        <f>IFERROR(__xludf.DUMMYFUNCTION("""COMPUTED_VALUE"""),"nicole gazzera")</f>
        <v>nicole gazzera</v>
      </c>
      <c r="H2169" s="16">
        <f>IFERROR(__xludf.DUMMYFUNCTION("""COMPUTED_VALUE"""),10774.0)</f>
        <v>10774</v>
      </c>
      <c r="I2169" s="18">
        <f>IFERROR(__xludf.DUMMYFUNCTION("""COMPUTED_VALUE"""),89.0)</f>
        <v>89</v>
      </c>
      <c r="J2169" s="18">
        <f>IFERROR(__xludf.DUMMYFUNCTION("""COMPUTED_VALUE"""),1.0)</f>
        <v>1</v>
      </c>
      <c r="K2169" s="18">
        <f>IFERROR(__xludf.DUMMYFUNCTION("""COMPUTED_VALUE"""),10.0)</f>
        <v>10</v>
      </c>
      <c r="L2169" s="17">
        <f>IFERROR(__xludf.DUMMYFUNCTION("""COMPUTED_VALUE"""),3.136937631E9)</f>
        <v>3136937631</v>
      </c>
      <c r="M2169" s="17" t="str">
        <f>IFERROR(__xludf.DUMMYFUNCTION("""COMPUTED_VALUE"""),"#REF!")</f>
        <v>#REF!</v>
      </c>
      <c r="N2169" s="17"/>
      <c r="O2169" s="17"/>
      <c r="P2169" s="17" t="b">
        <f>IFERROR(__xludf.DUMMYFUNCTION("""COMPUTED_VALUE"""),TRUE)</f>
        <v>1</v>
      </c>
      <c r="Q2169" s="20">
        <f>IFERROR(__xludf.DUMMYFUNCTION("""COMPUTED_VALUE"""),45063.55820263889)</f>
        <v>45063.5582</v>
      </c>
      <c r="R2169" s="22" t="str">
        <f>IFERROR(__xludf.DUMMYFUNCTION("""COMPUTED_VALUE"""),"")</f>
        <v/>
      </c>
    </row>
    <row r="2170">
      <c r="A2170" s="15">
        <f>IFERROR(__xludf.DUMMYFUNCTION("""COMPUTED_VALUE"""),45063.0)</f>
        <v>45063</v>
      </c>
      <c r="B2170" s="16" t="str">
        <f>IFERROR(__xludf.DUMMYFUNCTION("""COMPUTED_VALUE"""),"Luis Miguel Ramirez Morales")</f>
        <v>Luis Miguel Ramirez Morales</v>
      </c>
      <c r="C2170" s="15" t="str">
        <f>IFERROR(__xludf.DUMMYFUNCTION("""COMPUTED_VALUE"""),"BOGOTÁ")</f>
        <v>BOGOTÁ</v>
      </c>
      <c r="D2170" s="15" t="str">
        <f>IFERROR(__xludf.DUMMYFUNCTION("""COMPUTED_VALUE"""),"MEDELLÍN")</f>
        <v>MEDELLÍN</v>
      </c>
      <c r="E2170" s="15" t="str">
        <f>IFERROR(__xludf.DUMMYFUNCTION("""COMPUTED_VALUE"""),"AREPAS LA MARY")</f>
        <v>AREPAS LA MARY</v>
      </c>
      <c r="F2170" s="17" t="str">
        <f>IFERROR(__xludf.DUMMYFUNCTION("""COMPUTED_VALUE"""),"CRA 8 N.87 26 APTO 702 / ARBOLEDA")</f>
        <v>CRA 8 N.87 26 APTO 702 / ARBOLEDA</v>
      </c>
      <c r="G2170" s="15" t="str">
        <f>IFERROR(__xludf.DUMMYFUNCTION("""COMPUTED_VALUE"""),"CLAUDIA CEPEDA")</f>
        <v>CLAUDIA CEPEDA</v>
      </c>
      <c r="H2170" s="16">
        <f>IFERROR(__xludf.DUMMYFUNCTION("""COMPUTED_VALUE"""),10777.0)</f>
        <v>10777</v>
      </c>
      <c r="I2170" s="18">
        <f>IFERROR(__xludf.DUMMYFUNCTION("""COMPUTED_VALUE"""),89.0)</f>
        <v>89</v>
      </c>
      <c r="J2170" s="18">
        <f>IFERROR(__xludf.DUMMYFUNCTION("""COMPUTED_VALUE"""),1.0)</f>
        <v>1</v>
      </c>
      <c r="K2170" s="18">
        <f>IFERROR(__xludf.DUMMYFUNCTION("""COMPUTED_VALUE"""),10.0)</f>
        <v>10</v>
      </c>
      <c r="L2170" s="17">
        <f>IFERROR(__xludf.DUMMYFUNCTION("""COMPUTED_VALUE"""),3.176825666E9)</f>
        <v>3176825666</v>
      </c>
      <c r="M2170" s="17" t="str">
        <f>IFERROR(__xludf.DUMMYFUNCTION("""COMPUTED_VALUE"""),"#REF!")</f>
        <v>#REF!</v>
      </c>
      <c r="N2170" s="17"/>
      <c r="O2170" s="17"/>
      <c r="P2170" s="17" t="b">
        <f>IFERROR(__xludf.DUMMYFUNCTION("""COMPUTED_VALUE"""),FALSE)</f>
        <v>0</v>
      </c>
      <c r="Q2170" s="20" t="str">
        <f>IFERROR(__xludf.DUMMYFUNCTION("""COMPUTED_VALUE"""),"")</f>
        <v/>
      </c>
      <c r="R2170" s="22" t="str">
        <f>IFERROR(__xludf.DUMMYFUNCTION("""COMPUTED_VALUE"""),"")</f>
        <v/>
      </c>
    </row>
    <row r="2171">
      <c r="A2171" s="15">
        <f>IFERROR(__xludf.DUMMYFUNCTION("""COMPUTED_VALUE"""),45063.0)</f>
        <v>45063</v>
      </c>
      <c r="B2171" s="16" t="str">
        <f>IFERROR(__xludf.DUMMYFUNCTION("""COMPUTED_VALUE"""),"Luis Miguel Ramirez Morales")</f>
        <v>Luis Miguel Ramirez Morales</v>
      </c>
      <c r="C2171" s="15" t="str">
        <f>IFERROR(__xludf.DUMMYFUNCTION("""COMPUTED_VALUE"""),"BOGOTÁ")</f>
        <v>BOGOTÁ</v>
      </c>
      <c r="D2171" s="15" t="str">
        <f>IFERROR(__xludf.DUMMYFUNCTION("""COMPUTED_VALUE"""),"MEDELLÍN")</f>
        <v>MEDELLÍN</v>
      </c>
      <c r="E2171" s="15" t="str">
        <f>IFERROR(__xludf.DUMMYFUNCTION("""COMPUTED_VALUE"""),"Aurea Foods SAS")</f>
        <v>Aurea Foods SAS</v>
      </c>
      <c r="F2171" s="17" t="str">
        <f>IFERROR(__xludf.DUMMYFUNCTION("""COMPUTED_VALUE"""),"Calle 52F Sur #24-35 / Conjunto Unidad Risaralta, Torre 8, Apto 322 / Barrio Tunal")</f>
        <v>Calle 52F Sur #24-35 / Conjunto Unidad Risaralta, Torre 8, Apto 322 / Barrio Tunal</v>
      </c>
      <c r="G2171" s="15" t="str">
        <f>IFERROR(__xludf.DUMMYFUNCTION("""COMPUTED_VALUE"""),"Tatiana Larota")</f>
        <v>Tatiana Larota</v>
      </c>
      <c r="H2171" s="16">
        <f>IFERROR(__xludf.DUMMYFUNCTION("""COMPUTED_VALUE"""),10748.0)</f>
        <v>10748</v>
      </c>
      <c r="I2171" s="18">
        <f>IFERROR(__xludf.DUMMYFUNCTION("""COMPUTED_VALUE"""),45057.0)</f>
        <v>45057</v>
      </c>
      <c r="J2171" s="18">
        <f>IFERROR(__xludf.DUMMYFUNCTION("""COMPUTED_VALUE"""),23.0)</f>
        <v>23</v>
      </c>
      <c r="K2171" s="18">
        <f>IFERROR(__xludf.DUMMYFUNCTION("""COMPUTED_VALUE"""),17.0)</f>
        <v>17</v>
      </c>
      <c r="L2171" s="17">
        <f>IFERROR(__xludf.DUMMYFUNCTION("""COMPUTED_VALUE"""),3.212050953E9)</f>
        <v>3212050953</v>
      </c>
      <c r="M2171" s="17" t="str">
        <f>IFERROR(__xludf.DUMMYFUNCTION("""COMPUTED_VALUE"""),"#REF!")</f>
        <v>#REF!</v>
      </c>
      <c r="N2171" s="17"/>
      <c r="O2171" s="17"/>
      <c r="P2171" s="17" t="b">
        <f>IFERROR(__xludf.DUMMYFUNCTION("""COMPUTED_VALUE"""),TRUE)</f>
        <v>1</v>
      </c>
      <c r="Q2171" s="20">
        <f>IFERROR(__xludf.DUMMYFUNCTION("""COMPUTED_VALUE"""),45063.77339876158)</f>
        <v>45063.7734</v>
      </c>
      <c r="R2171" s="22" t="str">
        <f>IFERROR(__xludf.DUMMYFUNCTION("""COMPUTED_VALUE"""),"")</f>
        <v/>
      </c>
    </row>
    <row r="2172">
      <c r="A2172" s="15">
        <f>IFERROR(__xludf.DUMMYFUNCTION("""COMPUTED_VALUE"""),45063.0)</f>
        <v>45063</v>
      </c>
      <c r="B2172" s="16" t="str">
        <f>IFERROR(__xludf.DUMMYFUNCTION("""COMPUTED_VALUE"""),"Luis Miguel Ramirez Morales")</f>
        <v>Luis Miguel Ramirez Morales</v>
      </c>
      <c r="C2172" s="15" t="str">
        <f>IFERROR(__xludf.DUMMYFUNCTION("""COMPUTED_VALUE"""),"BOGOTÁ")</f>
        <v>BOGOTÁ</v>
      </c>
      <c r="D2172" s="15" t="str">
        <f>IFERROR(__xludf.DUMMYFUNCTION("""COMPUTED_VALUE"""),"MEDELLÍN")</f>
        <v>MEDELLÍN</v>
      </c>
      <c r="E2172" s="15" t="str">
        <f>IFERROR(__xludf.DUMMYFUNCTION("""COMPUTED_VALUE"""),"Baby Chef")</f>
        <v>Baby Chef</v>
      </c>
      <c r="F2172" s="17" t="str">
        <f>IFERROR(__xludf.DUMMYFUNCTION("""COMPUTED_VALUE"""),"Calle 2b # 36-26 Villa INEs Conjunto los Alpes Bogotá / Calle 2b # 36-26 Villa INEs Conjunto los Alpes Bogotá / Calle 2b # 36-26 Villa INEs Conjunto los Alpes Bogotá")</f>
        <v>Calle 2b # 36-26 Villa INEs Conjunto los Alpes Bogotá / Calle 2b # 36-26 Villa INEs Conjunto los Alpes Bogotá / Calle 2b # 36-26 Villa INEs Conjunto los Alpes Bogotá</v>
      </c>
      <c r="G2172" s="15" t="str">
        <f>IFERROR(__xludf.DUMMYFUNCTION("""COMPUTED_VALUE"""),"Andres Campos")</f>
        <v>Andres Campos</v>
      </c>
      <c r="H2172" s="16">
        <f>IFERROR(__xludf.DUMMYFUNCTION("""COMPUTED_VALUE"""),10795.0)</f>
        <v>10795</v>
      </c>
      <c r="I2172" s="18">
        <f>IFERROR(__xludf.DUMMYFUNCTION("""COMPUTED_VALUE"""),8.0)</f>
        <v>8</v>
      </c>
      <c r="J2172" s="18">
        <f>IFERROR(__xludf.DUMMYFUNCTION("""COMPUTED_VALUE"""),16.0)</f>
        <v>16</v>
      </c>
      <c r="K2172" s="18">
        <f>IFERROR(__xludf.DUMMYFUNCTION("""COMPUTED_VALUE"""),20.0)</f>
        <v>20</v>
      </c>
      <c r="L2172" s="17">
        <f>IFERROR(__xludf.DUMMYFUNCTION("""COMPUTED_VALUE"""),3.14246557E9)</f>
        <v>3142465570</v>
      </c>
      <c r="M2172" s="17" t="str">
        <f>IFERROR(__xludf.DUMMYFUNCTION("""COMPUTED_VALUE"""),"#REF!")</f>
        <v>#REF!</v>
      </c>
      <c r="N2172" s="17"/>
      <c r="O2172" s="17"/>
      <c r="P2172" s="17" t="b">
        <f>IFERROR(__xludf.DUMMYFUNCTION("""COMPUTED_VALUE"""),TRUE)</f>
        <v>1</v>
      </c>
      <c r="Q2172" s="20">
        <f>IFERROR(__xludf.DUMMYFUNCTION("""COMPUTED_VALUE"""),45063.77339876158)</f>
        <v>45063.7734</v>
      </c>
      <c r="R2172" s="22" t="str">
        <f>IFERROR(__xludf.DUMMYFUNCTION("""COMPUTED_VALUE"""),"")</f>
        <v/>
      </c>
    </row>
    <row r="2173">
      <c r="A2173" s="15">
        <f>IFERROR(__xludf.DUMMYFUNCTION("""COMPUTED_VALUE"""),45063.0)</f>
        <v>45063</v>
      </c>
      <c r="B2173" s="16" t="str">
        <f>IFERROR(__xludf.DUMMYFUNCTION("""COMPUTED_VALUE"""),"Luis Miguel Ramirez Morales")</f>
        <v>Luis Miguel Ramirez Morales</v>
      </c>
      <c r="C2173" s="15" t="str">
        <f>IFERROR(__xludf.DUMMYFUNCTION("""COMPUTED_VALUE"""),"BOGOTÁ")</f>
        <v>BOGOTÁ</v>
      </c>
      <c r="D2173" s="15" t="str">
        <f>IFERROR(__xludf.DUMMYFUNCTION("""COMPUTED_VALUE"""),"MEDELLÍN")</f>
        <v>MEDELLÍN</v>
      </c>
      <c r="E2173" s="15" t="str">
        <f>IFERROR(__xludf.DUMMYFUNCTION("""COMPUTED_VALUE"""),"Baby Chef")</f>
        <v>Baby Chef</v>
      </c>
      <c r="F2173" s="17" t="str">
        <f>IFERROR(__xludf.DUMMYFUNCTION("""COMPUTED_VALUE"""),"Cra 12 #8_35sur  Cuidad berna  / Cra 12 #8_35sur  Cuidad berna  / Cra 12 #8_35sur  Cuidad berna")</f>
        <v>Cra 12 #8_35sur  Cuidad berna  / Cra 12 #8_35sur  Cuidad berna  / Cra 12 #8_35sur  Cuidad berna</v>
      </c>
      <c r="G2173" s="15" t="str">
        <f>IFERROR(__xludf.DUMMYFUNCTION("""COMPUTED_VALUE"""),"Daniela muñoz")</f>
        <v>Daniela muñoz</v>
      </c>
      <c r="H2173" s="16">
        <f>IFERROR(__xludf.DUMMYFUNCTION("""COMPUTED_VALUE"""),10796.0)</f>
        <v>10796</v>
      </c>
      <c r="I2173" s="18">
        <f>IFERROR(__xludf.DUMMYFUNCTION("""COMPUTED_VALUE"""),8.0)</f>
        <v>8</v>
      </c>
      <c r="J2173" s="18">
        <f>IFERROR(__xludf.DUMMYFUNCTION("""COMPUTED_VALUE"""),16.0)</f>
        <v>16</v>
      </c>
      <c r="K2173" s="18">
        <f>IFERROR(__xludf.DUMMYFUNCTION("""COMPUTED_VALUE"""),20.0)</f>
        <v>20</v>
      </c>
      <c r="L2173" s="17">
        <f>IFERROR(__xludf.DUMMYFUNCTION("""COMPUTED_VALUE"""),3.153103317E9)</f>
        <v>3153103317</v>
      </c>
      <c r="M2173" s="17" t="str">
        <f>IFERROR(__xludf.DUMMYFUNCTION("""COMPUTED_VALUE"""),"#REF!")</f>
        <v>#REF!</v>
      </c>
      <c r="N2173" s="17"/>
      <c r="O2173" s="17"/>
      <c r="P2173" s="17" t="b">
        <f>IFERROR(__xludf.DUMMYFUNCTION("""COMPUTED_VALUE"""),TRUE)</f>
        <v>1</v>
      </c>
      <c r="Q2173" s="20">
        <f>IFERROR(__xludf.DUMMYFUNCTION("""COMPUTED_VALUE"""),45063.52466263888)</f>
        <v>45063.52466</v>
      </c>
      <c r="R2173" s="22" t="str">
        <f>IFERROR(__xludf.DUMMYFUNCTION("""COMPUTED_VALUE"""),"")</f>
        <v/>
      </c>
    </row>
    <row r="2174">
      <c r="A2174" s="15">
        <f>IFERROR(__xludf.DUMMYFUNCTION("""COMPUTED_VALUE"""),45063.0)</f>
        <v>45063</v>
      </c>
      <c r="B2174" s="16" t="str">
        <f>IFERROR(__xludf.DUMMYFUNCTION("""COMPUTED_VALUE"""),"Luis Miguel Ramirez Morales")</f>
        <v>Luis Miguel Ramirez Morales</v>
      </c>
      <c r="C2174" s="15" t="str">
        <f>IFERROR(__xludf.DUMMYFUNCTION("""COMPUTED_VALUE"""),"BOGOTÁ")</f>
        <v>BOGOTÁ</v>
      </c>
      <c r="D2174" s="15" t="str">
        <f>IFERROR(__xludf.DUMMYFUNCTION("""COMPUTED_VALUE"""),"MEDELLÍN")</f>
        <v>MEDELLÍN</v>
      </c>
      <c r="E2174" s="15" t="str">
        <f>IFERROR(__xludf.DUMMYFUNCTION("""COMPUTED_VALUE"""),"Moloso S.A.S")</f>
        <v>Moloso S.A.S</v>
      </c>
      <c r="F2174" s="17" t="str">
        <f>IFERROR(__xludf.DUMMYFUNCTION("""COMPUTED_VALUE"""),"	 CRA 9 BIS 97 06 / APTO 604")</f>
        <v>	 CRA 9 BIS 97 06 / APTO 604</v>
      </c>
      <c r="G2174" s="15" t="str">
        <f>IFERROR(__xludf.DUMMYFUNCTION("""COMPUTED_VALUE"""),"MARIA XIMENA GUZMAN DEL CASTILLO")</f>
        <v>MARIA XIMENA GUZMAN DEL CASTILLO</v>
      </c>
      <c r="H2174" s="16">
        <f>IFERROR(__xludf.DUMMYFUNCTION("""COMPUTED_VALUE"""),10765.0)</f>
        <v>10765</v>
      </c>
      <c r="I2174" s="18">
        <f>IFERROR(__xludf.DUMMYFUNCTION("""COMPUTED_VALUE"""),17.0)</f>
        <v>17</v>
      </c>
      <c r="J2174" s="18">
        <f>IFERROR(__xludf.DUMMYFUNCTION("""COMPUTED_VALUE"""),15.0)</f>
        <v>15</v>
      </c>
      <c r="K2174" s="18">
        <f>IFERROR(__xludf.DUMMYFUNCTION("""COMPUTED_VALUE"""),28.0)</f>
        <v>28</v>
      </c>
      <c r="L2174" s="17" t="str">
        <f>IFERROR(__xludf.DUMMYFUNCTION("""COMPUTED_VALUE"""),"311 2848381")</f>
        <v>311 2848381</v>
      </c>
      <c r="M2174" s="17" t="str">
        <f>IFERROR(__xludf.DUMMYFUNCTION("""COMPUTED_VALUE"""),"#REF!")</f>
        <v>#REF!</v>
      </c>
      <c r="N2174" s="17"/>
      <c r="O2174" s="17"/>
      <c r="P2174" s="17" t="b">
        <f>IFERROR(__xludf.DUMMYFUNCTION("""COMPUTED_VALUE"""),FALSE)</f>
        <v>0</v>
      </c>
      <c r="Q2174" s="20" t="str">
        <f>IFERROR(__xludf.DUMMYFUNCTION("""COMPUTED_VALUE"""),"")</f>
        <v/>
      </c>
      <c r="R2174" s="22" t="str">
        <f>IFERROR(__xludf.DUMMYFUNCTION("""COMPUTED_VALUE"""),"")</f>
        <v/>
      </c>
    </row>
    <row r="2175">
      <c r="A2175" s="15">
        <f>IFERROR(__xludf.DUMMYFUNCTION("""COMPUTED_VALUE"""),45063.0)</f>
        <v>45063</v>
      </c>
      <c r="B2175" s="16" t="str">
        <f>IFERROR(__xludf.DUMMYFUNCTION("""COMPUTED_VALUE"""),"Luis Miguel Ramirez Morales")</f>
        <v>Luis Miguel Ramirez Morales</v>
      </c>
      <c r="C2175" s="15" t="str">
        <f>IFERROR(__xludf.DUMMYFUNCTION("""COMPUTED_VALUE"""),"BOGOTÁ")</f>
        <v>BOGOTÁ</v>
      </c>
      <c r="D2175" s="15" t="str">
        <f>IFERROR(__xludf.DUMMYFUNCTION("""COMPUTED_VALUE"""),"MEDELLÍN")</f>
        <v>MEDELLÍN</v>
      </c>
      <c r="E2175" s="15" t="str">
        <f>IFERROR(__xludf.DUMMYFUNCTION("""COMPUTED_VALUE"""),"Moloso S.A.S")</f>
        <v>Moloso S.A.S</v>
      </c>
      <c r="F2175" s="17" t="str">
        <f>IFERROR(__xludf.DUMMYFUNCTION("""COMPUTED_VALUE"""),"CRA 55 149 09 / CONJUNTO MONTECARLO 3 CASA 16")</f>
        <v>CRA 55 149 09 / CONJUNTO MONTECARLO 3 CASA 16</v>
      </c>
      <c r="G2175" s="15" t="str">
        <f>IFERROR(__xludf.DUMMYFUNCTION("""COMPUTED_VALUE"""),"CLAUDIA ADRIANA GARCIA FINO")</f>
        <v>CLAUDIA ADRIANA GARCIA FINO</v>
      </c>
      <c r="H2175" s="16">
        <f>IFERROR(__xludf.DUMMYFUNCTION("""COMPUTED_VALUE"""),10764.0)</f>
        <v>10764</v>
      </c>
      <c r="I2175" s="18">
        <f>IFERROR(__xludf.DUMMYFUNCTION("""COMPUTED_VALUE"""),17.0)</f>
        <v>17</v>
      </c>
      <c r="J2175" s="18">
        <f>IFERROR(__xludf.DUMMYFUNCTION("""COMPUTED_VALUE"""),15.0)</f>
        <v>15</v>
      </c>
      <c r="K2175" s="18">
        <f>IFERROR(__xludf.DUMMYFUNCTION("""COMPUTED_VALUE"""),28.0)</f>
        <v>28</v>
      </c>
      <c r="L2175" s="17" t="str">
        <f>IFERROR(__xludf.DUMMYFUNCTION("""COMPUTED_VALUE"""),"313 2628813")</f>
        <v>313 2628813</v>
      </c>
      <c r="M2175" s="17" t="str">
        <f>IFERROR(__xludf.DUMMYFUNCTION("""COMPUTED_VALUE"""),"#REF!")</f>
        <v>#REF!</v>
      </c>
      <c r="N2175" s="17"/>
      <c r="O2175" s="17"/>
      <c r="P2175" s="17" t="b">
        <f>IFERROR(__xludf.DUMMYFUNCTION("""COMPUTED_VALUE"""),TRUE)</f>
        <v>1</v>
      </c>
      <c r="Q2175" s="20">
        <f>IFERROR(__xludf.DUMMYFUNCTION("""COMPUTED_VALUE"""),45065.469951273146)</f>
        <v>45065.46995</v>
      </c>
      <c r="R2175" s="22" t="str">
        <f>IFERROR(__xludf.DUMMYFUNCTION("""COMPUTED_VALUE"""),"")</f>
        <v/>
      </c>
    </row>
    <row r="2176">
      <c r="A2176" s="15">
        <f>IFERROR(__xludf.DUMMYFUNCTION("""COMPUTED_VALUE"""),45063.0)</f>
        <v>45063</v>
      </c>
      <c r="B2176" s="16" t="str">
        <f>IFERROR(__xludf.DUMMYFUNCTION("""COMPUTED_VALUE"""),"Luis Miguel Ramirez Morales")</f>
        <v>Luis Miguel Ramirez Morales</v>
      </c>
      <c r="C2176" s="15" t="str">
        <f>IFERROR(__xludf.DUMMYFUNCTION("""COMPUTED_VALUE"""),"CARTAGENA")</f>
        <v>CARTAGENA</v>
      </c>
      <c r="D2176" s="15" t="str">
        <f>IFERROR(__xludf.DUMMYFUNCTION("""COMPUTED_VALUE"""),"BOGOTÁ")</f>
        <v>BOGOTÁ</v>
      </c>
      <c r="E2176" s="15" t="str">
        <f>IFERROR(__xludf.DUMMYFUNCTION("""COMPUTED_VALUE"""),"Top Spun")</f>
        <v>Top Spun</v>
      </c>
      <c r="F2176" s="17" t="str">
        <f>IFERROR(__xludf.DUMMYFUNCTION("""COMPUTED_VALUE"""),"CRA 4 # 5 - 123 / APTO 1602 EDIFICIO ACUARELA BOCAGRANDE / BOCAGRANDE")</f>
        <v>CRA 4 # 5 - 123 / APTO 1602 EDIFICIO ACUARELA BOCAGRANDE / BOCAGRANDE</v>
      </c>
      <c r="G2176" s="15" t="str">
        <f>IFERROR(__xludf.DUMMYFUNCTION("""COMPUTED_VALUE"""),"JACQUELINE FARAH")</f>
        <v>JACQUELINE FARAH</v>
      </c>
      <c r="H2176" s="16">
        <f>IFERROR(__xludf.DUMMYFUNCTION("""COMPUTED_VALUE"""),10751.0)</f>
        <v>10751</v>
      </c>
      <c r="I2176" s="18">
        <f>IFERROR(__xludf.DUMMYFUNCTION("""COMPUTED_VALUE"""),15.0)</f>
        <v>15</v>
      </c>
      <c r="J2176" s="18">
        <f>IFERROR(__xludf.DUMMYFUNCTION("""COMPUTED_VALUE"""),10.0)</f>
        <v>10</v>
      </c>
      <c r="K2176" s="18">
        <f>IFERROR(__xludf.DUMMYFUNCTION("""COMPUTED_VALUE"""),40.0)</f>
        <v>40</v>
      </c>
      <c r="L2176" s="17">
        <f>IFERROR(__xludf.DUMMYFUNCTION("""COMPUTED_VALUE"""),3.203337464E9)</f>
        <v>3203337464</v>
      </c>
      <c r="M2176" s="17" t="str">
        <f>IFERROR(__xludf.DUMMYFUNCTION("""COMPUTED_VALUE"""),"#REF!")</f>
        <v>#REF!</v>
      </c>
      <c r="N2176" s="17"/>
      <c r="O2176" s="17"/>
      <c r="P2176" s="17" t="b">
        <f>IFERROR(__xludf.DUMMYFUNCTION("""COMPUTED_VALUE"""),TRUE)</f>
        <v>1</v>
      </c>
      <c r="Q2176" s="20">
        <f>IFERROR(__xludf.DUMMYFUNCTION("""COMPUTED_VALUE"""),45065.46998206018)</f>
        <v>45065.46998</v>
      </c>
      <c r="R2176" s="22" t="str">
        <f>IFERROR(__xludf.DUMMYFUNCTION("""COMPUTED_VALUE"""),"")</f>
        <v/>
      </c>
    </row>
    <row r="2177">
      <c r="A2177" s="17" t="str">
        <f>IFERROR(__xludf.DUMMYFUNCTION("""COMPUTED_VALUE"""),"")</f>
        <v/>
      </c>
      <c r="B2177" s="17" t="str">
        <f>IFERROR(__xludf.DUMMYFUNCTION("""COMPUTED_VALUE"""),"")</f>
        <v/>
      </c>
      <c r="C2177" s="17" t="str">
        <f>IFERROR(__xludf.DUMMYFUNCTION("""COMPUTED_VALUE"""),"")</f>
        <v/>
      </c>
      <c r="D2177" s="17" t="str">
        <f>IFERROR(__xludf.DUMMYFUNCTION("""COMPUTED_VALUE"""),"")</f>
        <v/>
      </c>
      <c r="E2177" s="17" t="str">
        <f>IFERROR(__xludf.DUMMYFUNCTION("""COMPUTED_VALUE"""),"")</f>
        <v/>
      </c>
      <c r="F2177" s="17" t="str">
        <f>IFERROR(__xludf.DUMMYFUNCTION("""COMPUTED_VALUE"""),"")</f>
        <v/>
      </c>
      <c r="G2177" s="17" t="str">
        <f>IFERROR(__xludf.DUMMYFUNCTION("""COMPUTED_VALUE"""),"")</f>
        <v/>
      </c>
      <c r="H2177" s="17" t="str">
        <f>IFERROR(__xludf.DUMMYFUNCTION("""COMPUTED_VALUE"""),"")</f>
        <v/>
      </c>
      <c r="I2177" s="17" t="str">
        <f>IFERROR(__xludf.DUMMYFUNCTION("""COMPUTED_VALUE"""),"")</f>
        <v/>
      </c>
      <c r="J2177" s="17" t="str">
        <f>IFERROR(__xludf.DUMMYFUNCTION("""COMPUTED_VALUE"""),"")</f>
        <v/>
      </c>
      <c r="K2177" s="17" t="str">
        <f>IFERROR(__xludf.DUMMYFUNCTION("""COMPUTED_VALUE"""),"")</f>
        <v/>
      </c>
      <c r="L2177" s="17" t="str">
        <f>IFERROR(__xludf.DUMMYFUNCTION("""COMPUTED_VALUE"""),"")</f>
        <v/>
      </c>
      <c r="M2177" s="17" t="str">
        <f>IFERROR(__xludf.DUMMYFUNCTION("""COMPUTED_VALUE"""),"")</f>
        <v/>
      </c>
      <c r="N2177" s="17" t="str">
        <f>IFERROR(__xludf.DUMMYFUNCTION("""COMPUTED_VALUE"""),"")</f>
        <v/>
      </c>
      <c r="O2177" s="17" t="str">
        <f>IFERROR(__xludf.DUMMYFUNCTION("""COMPUTED_VALUE"""),"")</f>
        <v/>
      </c>
      <c r="P2177" s="17" t="str">
        <f>IFERROR(__xludf.DUMMYFUNCTION("""COMPUTED_VALUE"""),"")</f>
        <v/>
      </c>
      <c r="Q2177" s="17" t="str">
        <f>IFERROR(__xludf.DUMMYFUNCTION("""COMPUTED_VALUE"""),"")</f>
        <v/>
      </c>
      <c r="R2177" s="17" t="str">
        <f>IFERROR(__xludf.DUMMYFUNCTION("""COMPUTED_VALUE"""),"")</f>
        <v/>
      </c>
    </row>
    <row r="2178">
      <c r="A2178" s="15">
        <f>IFERROR(__xludf.DUMMYFUNCTION("""COMPUTED_VALUE"""),45064.0)</f>
        <v>45064</v>
      </c>
      <c r="B2178" s="16" t="str">
        <f>IFERROR(__xludf.DUMMYFUNCTION("""COMPUTED_VALUE"""),"Angie Daniela Meneses ")</f>
        <v>Angie Daniela Meneses </v>
      </c>
      <c r="C2178" s="15" t="str">
        <f>IFERROR(__xludf.DUMMYFUNCTION("""COMPUTED_VALUE"""),"BARRANQUILLA")</f>
        <v>BARRANQUILLA</v>
      </c>
      <c r="D2178" s="15" t="str">
        <f>IFERROR(__xludf.DUMMYFUNCTION("""COMPUTED_VALUE"""),"BOGOTÁ")</f>
        <v>BOGOTÁ</v>
      </c>
      <c r="E2178" s="15" t="str">
        <f>IFERROR(__xludf.DUMMYFUNCTION("""COMPUTED_VALUE"""),"Top Spun")</f>
        <v>Top Spun</v>
      </c>
      <c r="F2178" s="17" t="str">
        <f>IFERROR(__xludf.DUMMYFUNCTION("""COMPUTED_VALUE"""),"cra 19d# 49-97 / Casa  / Barranquilla")</f>
        <v>cra 19d# 49-97 / Casa  / Barranquilla</v>
      </c>
      <c r="G2178" s="15" t="str">
        <f>IFERROR(__xludf.DUMMYFUNCTION("""COMPUTED_VALUE"""),"Kelly rivera")</f>
        <v>Kelly rivera</v>
      </c>
      <c r="H2178" s="16">
        <f>IFERROR(__xludf.DUMMYFUNCTION("""COMPUTED_VALUE"""),10800.0)</f>
        <v>10800</v>
      </c>
      <c r="I2178" s="18">
        <f>IFERROR(__xludf.DUMMYFUNCTION("""COMPUTED_VALUE"""),15.0)</f>
        <v>15</v>
      </c>
      <c r="J2178" s="18">
        <f>IFERROR(__xludf.DUMMYFUNCTION("""COMPUTED_VALUE"""),10.0)</f>
        <v>10</v>
      </c>
      <c r="K2178" s="18">
        <f>IFERROR(__xludf.DUMMYFUNCTION("""COMPUTED_VALUE"""),40.0)</f>
        <v>40</v>
      </c>
      <c r="L2178" s="17">
        <f>IFERROR(__xludf.DUMMYFUNCTION("""COMPUTED_VALUE"""),3.002647965E9)</f>
        <v>3002647965</v>
      </c>
      <c r="M2178" s="17" t="str">
        <f>IFERROR(__xludf.DUMMYFUNCTION("""COMPUTED_VALUE"""),"#REF!")</f>
        <v>#REF!</v>
      </c>
      <c r="N2178" s="17"/>
      <c r="O2178" s="17"/>
      <c r="P2178" s="17" t="b">
        <f>IFERROR(__xludf.DUMMYFUNCTION("""COMPUTED_VALUE"""),FALSE)</f>
        <v>0</v>
      </c>
      <c r="Q2178" s="20" t="str">
        <f>IFERROR(__xludf.DUMMYFUNCTION("""COMPUTED_VALUE"""),"")</f>
        <v/>
      </c>
      <c r="R2178" s="22" t="str">
        <f>IFERROR(__xludf.DUMMYFUNCTION("""COMPUTED_VALUE"""),"")</f>
        <v/>
      </c>
    </row>
    <row r="2179">
      <c r="A2179" s="15">
        <f>IFERROR(__xludf.DUMMYFUNCTION("""COMPUTED_VALUE"""),45064.0)</f>
        <v>45064</v>
      </c>
      <c r="B2179" s="16" t="str">
        <f>IFERROR(__xludf.DUMMYFUNCTION("""COMPUTED_VALUE"""),"Angie Daniela Meneses ")</f>
        <v>Angie Daniela Meneses </v>
      </c>
      <c r="C2179" s="15" t="str">
        <f>IFERROR(__xludf.DUMMYFUNCTION("""COMPUTED_VALUE"""),"CARTAGENA")</f>
        <v>CARTAGENA</v>
      </c>
      <c r="D2179" s="15" t="str">
        <f>IFERROR(__xludf.DUMMYFUNCTION("""COMPUTED_VALUE"""),"MEDELLÍN")</f>
        <v>MEDELLÍN</v>
      </c>
      <c r="E2179" s="15" t="str">
        <f>IFERROR(__xludf.DUMMYFUNCTION("""COMPUTED_VALUE"""),"Rambla")</f>
        <v>Rambla</v>
      </c>
      <c r="F2179" s="17" t="str">
        <f>IFERROR(__xludf.DUMMYFUNCTION("""COMPUTED_VALUE"""),"barrio bocagrande  av san martin 9 -161 / NA / NA")</f>
        <v>barrio bocagrande  av san martin 9 -161 / NA / NA</v>
      </c>
      <c r="G2179" s="15" t="str">
        <f>IFERROR(__xludf.DUMMYFUNCTION("""COMPUTED_VALUE"""),"Salute")</f>
        <v>Salute</v>
      </c>
      <c r="H2179" s="16">
        <f>IFERROR(__xludf.DUMMYFUNCTION("""COMPUTED_VALUE"""),10806.0)</f>
        <v>10806</v>
      </c>
      <c r="I2179" s="18">
        <f>IFERROR(__xludf.DUMMYFUNCTION("""COMPUTED_VALUE"""),24.0)</f>
        <v>24</v>
      </c>
      <c r="J2179" s="18">
        <f>IFERROR(__xludf.DUMMYFUNCTION("""COMPUTED_VALUE"""),28.0)</f>
        <v>28</v>
      </c>
      <c r="K2179" s="18">
        <f>IFERROR(__xludf.DUMMYFUNCTION("""COMPUTED_VALUE"""),30.0)</f>
        <v>30</v>
      </c>
      <c r="L2179" s="17">
        <f>IFERROR(__xludf.DUMMYFUNCTION("""COMPUTED_VALUE"""),6.056799772E9)</f>
        <v>6056799772</v>
      </c>
      <c r="M2179" s="17" t="str">
        <f>IFERROR(__xludf.DUMMYFUNCTION("""COMPUTED_VALUE"""),"#REF!")</f>
        <v>#REF!</v>
      </c>
      <c r="N2179" s="17"/>
      <c r="O2179" s="17"/>
      <c r="P2179" s="17" t="b">
        <f>IFERROR(__xludf.DUMMYFUNCTION("""COMPUTED_VALUE"""),FALSE)</f>
        <v>0</v>
      </c>
      <c r="Q2179" s="20" t="str">
        <f>IFERROR(__xludf.DUMMYFUNCTION("""COMPUTED_VALUE"""),"")</f>
        <v/>
      </c>
      <c r="R2179" s="22" t="str">
        <f>IFERROR(__xludf.DUMMYFUNCTION("""COMPUTED_VALUE"""),"")</f>
        <v/>
      </c>
    </row>
    <row r="2180">
      <c r="A2180" s="17" t="str">
        <f>IFERROR(__xludf.DUMMYFUNCTION("""COMPUTED_VALUE"""),"")</f>
        <v/>
      </c>
      <c r="B2180" s="17" t="str">
        <f>IFERROR(__xludf.DUMMYFUNCTION("""COMPUTED_VALUE"""),"")</f>
        <v/>
      </c>
      <c r="C2180" s="17" t="str">
        <f>IFERROR(__xludf.DUMMYFUNCTION("""COMPUTED_VALUE"""),"")</f>
        <v/>
      </c>
      <c r="D2180" s="17" t="str">
        <f>IFERROR(__xludf.DUMMYFUNCTION("""COMPUTED_VALUE"""),"")</f>
        <v/>
      </c>
      <c r="E2180" s="17" t="str">
        <f>IFERROR(__xludf.DUMMYFUNCTION("""COMPUTED_VALUE"""),"")</f>
        <v/>
      </c>
      <c r="F2180" s="17" t="str">
        <f>IFERROR(__xludf.DUMMYFUNCTION("""COMPUTED_VALUE"""),"")</f>
        <v/>
      </c>
      <c r="G2180" s="17" t="str">
        <f>IFERROR(__xludf.DUMMYFUNCTION("""COMPUTED_VALUE"""),"")</f>
        <v/>
      </c>
      <c r="H2180" s="17" t="str">
        <f>IFERROR(__xludf.DUMMYFUNCTION("""COMPUTED_VALUE"""),"")</f>
        <v/>
      </c>
      <c r="I2180" s="17" t="str">
        <f>IFERROR(__xludf.DUMMYFUNCTION("""COMPUTED_VALUE"""),"")</f>
        <v/>
      </c>
      <c r="J2180" s="17" t="str">
        <f>IFERROR(__xludf.DUMMYFUNCTION("""COMPUTED_VALUE"""),"")</f>
        <v/>
      </c>
      <c r="K2180" s="17" t="str">
        <f>IFERROR(__xludf.DUMMYFUNCTION("""COMPUTED_VALUE"""),"")</f>
        <v/>
      </c>
      <c r="L2180" s="17" t="str">
        <f>IFERROR(__xludf.DUMMYFUNCTION("""COMPUTED_VALUE"""),"")</f>
        <v/>
      </c>
      <c r="M2180" s="17" t="str">
        <f>IFERROR(__xludf.DUMMYFUNCTION("""COMPUTED_VALUE"""),"")</f>
        <v/>
      </c>
      <c r="N2180" s="17" t="str">
        <f>IFERROR(__xludf.DUMMYFUNCTION("""COMPUTED_VALUE"""),"")</f>
        <v/>
      </c>
      <c r="O2180" s="17" t="str">
        <f>IFERROR(__xludf.DUMMYFUNCTION("""COMPUTED_VALUE"""),"")</f>
        <v/>
      </c>
      <c r="P2180" s="17" t="str">
        <f>IFERROR(__xludf.DUMMYFUNCTION("""COMPUTED_VALUE"""),"")</f>
        <v/>
      </c>
      <c r="Q2180" s="17" t="str">
        <f>IFERROR(__xludf.DUMMYFUNCTION("""COMPUTED_VALUE"""),"")</f>
        <v/>
      </c>
      <c r="R2180" s="17" t="str">
        <f>IFERROR(__xludf.DUMMYFUNCTION("""COMPUTED_VALUE"""),"")</f>
        <v/>
      </c>
    </row>
    <row r="2181">
      <c r="A2181" s="15">
        <f>IFERROR(__xludf.DUMMYFUNCTION("""COMPUTED_VALUE"""),45064.0)</f>
        <v>45064</v>
      </c>
      <c r="B2181" s="16" t="str">
        <f>IFERROR(__xludf.DUMMYFUNCTION("""COMPUTED_VALUE"""),"Daniel José sandoval gonzalez")</f>
        <v>Daniel José sandoval gonzalez</v>
      </c>
      <c r="C2181" s="15" t="str">
        <f>IFERROR(__xludf.DUMMYFUNCTION("""COMPUTED_VALUE"""),"BARRANQUILLA")</f>
        <v>BARRANQUILLA</v>
      </c>
      <c r="D2181" s="15" t="str">
        <f>IFERROR(__xludf.DUMMYFUNCTION("""COMPUTED_VALUE"""),"BOGOTÁ")</f>
        <v>BOGOTÁ</v>
      </c>
      <c r="E2181" s="15" t="str">
        <f>IFERROR(__xludf.DUMMYFUNCTION("""COMPUTED_VALUE"""),"Evamazzita")</f>
        <v>Evamazzita</v>
      </c>
      <c r="F2181" s="17" t="str">
        <f>IFERROR(__xludf.DUMMYFUNCTION("""COMPUTED_VALUE"""),"CALLE 64C No. 13A - 23  / VILLATE  / CASA ENREJADA TECHO ROJO")</f>
        <v>CALLE 64C No. 13A - 23  / VILLATE  / CASA ENREJADA TECHO ROJO</v>
      </c>
      <c r="G2181" s="15" t="str">
        <f>IFERROR(__xludf.DUMMYFUNCTION("""COMPUTED_VALUE"""),"GINETH MARTINEZ MORALES")</f>
        <v>GINETH MARTINEZ MORALES</v>
      </c>
      <c r="H2181" s="16">
        <f>IFERROR(__xludf.DUMMYFUNCTION("""COMPUTED_VALUE"""),10834.0)</f>
        <v>10834</v>
      </c>
      <c r="I2181" s="18">
        <f>IFERROR(__xludf.DUMMYFUNCTION("""COMPUTED_VALUE"""),3.0)</f>
        <v>3</v>
      </c>
      <c r="J2181" s="18">
        <f>IFERROR(__xludf.DUMMYFUNCTION("""COMPUTED_VALUE"""),20.0)</f>
        <v>20</v>
      </c>
      <c r="K2181" s="18">
        <f>IFERROR(__xludf.DUMMYFUNCTION("""COMPUTED_VALUE"""),15.0)</f>
        <v>15</v>
      </c>
      <c r="L2181" s="17">
        <f>IFERROR(__xludf.DUMMYFUNCTION("""COMPUTED_VALUE"""),3.164697867E9)</f>
        <v>3164697867</v>
      </c>
      <c r="M2181" s="17" t="str">
        <f>IFERROR(__xludf.DUMMYFUNCTION("""COMPUTED_VALUE"""),"#REF!")</f>
        <v>#REF!</v>
      </c>
      <c r="N2181" s="17"/>
      <c r="O2181" s="17"/>
      <c r="P2181" s="17" t="b">
        <f>IFERROR(__xludf.DUMMYFUNCTION("""COMPUTED_VALUE"""),FALSE)</f>
        <v>0</v>
      </c>
      <c r="Q2181" s="20" t="str">
        <f>IFERROR(__xludf.DUMMYFUNCTION("""COMPUTED_VALUE"""),"")</f>
        <v/>
      </c>
      <c r="R2181" s="22" t="str">
        <f>IFERROR(__xludf.DUMMYFUNCTION("""COMPUTED_VALUE"""),"")</f>
        <v/>
      </c>
    </row>
    <row r="2182">
      <c r="A2182" s="15">
        <f>IFERROR(__xludf.DUMMYFUNCTION("""COMPUTED_VALUE"""),45064.0)</f>
        <v>45064</v>
      </c>
      <c r="B2182" s="16" t="str">
        <f>IFERROR(__xludf.DUMMYFUNCTION("""COMPUTED_VALUE"""),"Daniel José sandoval gonzalez")</f>
        <v>Daniel José sandoval gonzalez</v>
      </c>
      <c r="C2182" s="15" t="str">
        <f>IFERROR(__xludf.DUMMYFUNCTION("""COMPUTED_VALUE"""),"BARRANQUILLA")</f>
        <v>BARRANQUILLA</v>
      </c>
      <c r="D2182" s="15" t="str">
        <f>IFERROR(__xludf.DUMMYFUNCTION("""COMPUTED_VALUE"""),"BOGOTÁ")</f>
        <v>BOGOTÁ</v>
      </c>
      <c r="E2182" s="15" t="str">
        <f>IFERROR(__xludf.DUMMYFUNCTION("""COMPUTED_VALUE"""),"Evamazzita")</f>
        <v>Evamazzita</v>
      </c>
      <c r="F2182" s="17" t="str">
        <f>IFERROR(__xludf.DUMMYFUNCTION("""COMPUTED_VALUE"""),"Calle 70c#27-77  / edificio platinum apto 503  / Barrio Olaya")</f>
        <v>Calle 70c#27-77  / edificio platinum apto 503  / Barrio Olaya</v>
      </c>
      <c r="G2182" s="15" t="str">
        <f>IFERROR(__xludf.DUMMYFUNCTION("""COMPUTED_VALUE"""),"ANA CAROLINA CABALLIS DE LA CRUZ")</f>
        <v>ANA CAROLINA CABALLIS DE LA CRUZ</v>
      </c>
      <c r="H2182" s="16">
        <f>IFERROR(__xludf.DUMMYFUNCTION("""COMPUTED_VALUE"""),10833.0)</f>
        <v>10833</v>
      </c>
      <c r="I2182" s="18">
        <f>IFERROR(__xludf.DUMMYFUNCTION("""COMPUTED_VALUE"""),3.0)</f>
        <v>3</v>
      </c>
      <c r="J2182" s="18">
        <f>IFERROR(__xludf.DUMMYFUNCTION("""COMPUTED_VALUE"""),20.0)</f>
        <v>20</v>
      </c>
      <c r="K2182" s="18">
        <f>IFERROR(__xludf.DUMMYFUNCTION("""COMPUTED_VALUE"""),15.0)</f>
        <v>15</v>
      </c>
      <c r="L2182" s="17">
        <f>IFERROR(__xludf.DUMMYFUNCTION("""COMPUTED_VALUE"""),3.012194492E9)</f>
        <v>3012194492</v>
      </c>
      <c r="M2182" s="17" t="str">
        <f>IFERROR(__xludf.DUMMYFUNCTION("""COMPUTED_VALUE"""),"#REF!")</f>
        <v>#REF!</v>
      </c>
      <c r="N2182" s="17"/>
      <c r="O2182" s="17"/>
      <c r="P2182" s="17" t="b">
        <f>IFERROR(__xludf.DUMMYFUNCTION("""COMPUTED_VALUE"""),TRUE)</f>
        <v>1</v>
      </c>
      <c r="Q2182" s="20">
        <f>IFERROR(__xludf.DUMMYFUNCTION("""COMPUTED_VALUE"""),45064.53783806713)</f>
        <v>45064.53784</v>
      </c>
      <c r="R2182" s="22" t="str">
        <f>IFERROR(__xludf.DUMMYFUNCTION("""COMPUTED_VALUE"""),"")</f>
        <v/>
      </c>
    </row>
    <row r="2183">
      <c r="A2183" s="15">
        <f>IFERROR(__xludf.DUMMYFUNCTION("""COMPUTED_VALUE"""),45064.0)</f>
        <v>45064</v>
      </c>
      <c r="B2183" s="16" t="str">
        <f>IFERROR(__xludf.DUMMYFUNCTION("""COMPUTED_VALUE"""),"Daniel José sandoval gonzalez")</f>
        <v>Daniel José sandoval gonzalez</v>
      </c>
      <c r="C2183" s="15" t="str">
        <f>IFERROR(__xludf.DUMMYFUNCTION("""COMPUTED_VALUE"""),"BARRANQUILLA")</f>
        <v>BARRANQUILLA</v>
      </c>
      <c r="D2183" s="15" t="str">
        <f>IFERROR(__xludf.DUMMYFUNCTION("""COMPUTED_VALUE"""),"BOGOTÁ")</f>
        <v>BOGOTÁ</v>
      </c>
      <c r="E2183" s="15" t="str">
        <f>IFERROR(__xludf.DUMMYFUNCTION("""COMPUTED_VALUE"""),"Evamazzita")</f>
        <v>Evamazzita</v>
      </c>
      <c r="F2183" s="17" t="str">
        <f>IFERROR(__xludf.DUMMYFUNCTION("""COMPUTED_VALUE"""),"TRANSV 44 No. 100-82  / CONJUNTO TOZCANA TORRE 5 APTO 318 /  MIRAMAR")</f>
        <v>TRANSV 44 No. 100-82  / CONJUNTO TOZCANA TORRE 5 APTO 318 /  MIRAMAR</v>
      </c>
      <c r="G2183" s="15" t="str">
        <f>IFERROR(__xludf.DUMMYFUNCTION("""COMPUTED_VALUE"""),"CAROLINA PARADA ACOSTA")</f>
        <v>CAROLINA PARADA ACOSTA</v>
      </c>
      <c r="H2183" s="16">
        <f>IFERROR(__xludf.DUMMYFUNCTION("""COMPUTED_VALUE"""),10830.0)</f>
        <v>10830</v>
      </c>
      <c r="I2183" s="18">
        <f>IFERROR(__xludf.DUMMYFUNCTION("""COMPUTED_VALUE"""),3.0)</f>
        <v>3</v>
      </c>
      <c r="J2183" s="18">
        <f>IFERROR(__xludf.DUMMYFUNCTION("""COMPUTED_VALUE"""),20.0)</f>
        <v>20</v>
      </c>
      <c r="K2183" s="18">
        <f>IFERROR(__xludf.DUMMYFUNCTION("""COMPUTED_VALUE"""),15.0)</f>
        <v>15</v>
      </c>
      <c r="L2183" s="17">
        <f>IFERROR(__xludf.DUMMYFUNCTION("""COMPUTED_VALUE"""),3.134122981E9)</f>
        <v>3134122981</v>
      </c>
      <c r="M2183" s="17" t="str">
        <f>IFERROR(__xludf.DUMMYFUNCTION("""COMPUTED_VALUE"""),"#REF!")</f>
        <v>#REF!</v>
      </c>
      <c r="N2183" s="17"/>
      <c r="O2183" s="17"/>
      <c r="P2183" s="17" t="b">
        <f>IFERROR(__xludf.DUMMYFUNCTION("""COMPUTED_VALUE"""),FALSE)</f>
        <v>0</v>
      </c>
      <c r="Q2183" s="20" t="str">
        <f>IFERROR(__xludf.DUMMYFUNCTION("""COMPUTED_VALUE"""),"")</f>
        <v/>
      </c>
      <c r="R2183" s="22" t="str">
        <f>IFERROR(__xludf.DUMMYFUNCTION("""COMPUTED_VALUE"""),"")</f>
        <v/>
      </c>
    </row>
    <row r="2184">
      <c r="A2184" s="15">
        <f>IFERROR(__xludf.DUMMYFUNCTION("""COMPUTED_VALUE"""),45064.0)</f>
        <v>45064</v>
      </c>
      <c r="B2184" s="16" t="str">
        <f>IFERROR(__xludf.DUMMYFUNCTION("""COMPUTED_VALUE"""),"Daniel José sandoval gonzalez")</f>
        <v>Daniel José sandoval gonzalez</v>
      </c>
      <c r="C2184" s="15" t="str">
        <f>IFERROR(__xludf.DUMMYFUNCTION("""COMPUTED_VALUE"""),"BARRANQUILLA")</f>
        <v>BARRANQUILLA</v>
      </c>
      <c r="D2184" s="15" t="str">
        <f>IFERROR(__xludf.DUMMYFUNCTION("""COMPUTED_VALUE"""),"BOGOTÁ")</f>
        <v>BOGOTÁ</v>
      </c>
      <c r="E2184" s="15" t="str">
        <f>IFERROR(__xludf.DUMMYFUNCTION("""COMPUTED_VALUE"""),"Frambascolombia sas")</f>
        <v>Frambascolombia sas</v>
      </c>
      <c r="F2184" s="17" t="str">
        <f>IFERROR(__xludf.DUMMYFUNCTION("""COMPUTED_VALUE"""),"Cra. 53 # 68-55 / local 2")</f>
        <v>Cra. 53 # 68-55 / local 2</v>
      </c>
      <c r="G2184" s="15" t="str">
        <f>IFERROR(__xludf.DUMMYFUNCTION("""COMPUTED_VALUE"""),"PikNPak Barranquilla")</f>
        <v>PikNPak Barranquilla</v>
      </c>
      <c r="H2184" s="16">
        <f>IFERROR(__xludf.DUMMYFUNCTION("""COMPUTED_VALUE"""),10783.0)</f>
        <v>10783</v>
      </c>
      <c r="I2184" s="18">
        <f>IFERROR(__xludf.DUMMYFUNCTION("""COMPUTED_VALUE"""),8.0)</f>
        <v>8</v>
      </c>
      <c r="J2184" s="18">
        <f>IFERROR(__xludf.DUMMYFUNCTION("""COMPUTED_VALUE"""),44992.0)</f>
        <v>44992</v>
      </c>
      <c r="K2184" s="18">
        <f>IFERROR(__xludf.DUMMYFUNCTION("""COMPUTED_VALUE"""),44992.0)</f>
        <v>44992</v>
      </c>
      <c r="L2184" s="17" t="str">
        <f>IFERROR(__xludf.DUMMYFUNCTION("""COMPUTED_VALUE"""),"321 4229567")</f>
        <v>321 4229567</v>
      </c>
      <c r="M2184" s="17" t="str">
        <f>IFERROR(__xludf.DUMMYFUNCTION("""COMPUTED_VALUE"""),"#REF!")</f>
        <v>#REF!</v>
      </c>
      <c r="N2184" s="17"/>
      <c r="O2184" s="17"/>
      <c r="P2184" s="17" t="b">
        <f>IFERROR(__xludf.DUMMYFUNCTION("""COMPUTED_VALUE"""),FALSE)</f>
        <v>0</v>
      </c>
      <c r="Q2184" s="20" t="str">
        <f>IFERROR(__xludf.DUMMYFUNCTION("""COMPUTED_VALUE"""),"")</f>
        <v/>
      </c>
      <c r="R2184" s="22" t="str">
        <f>IFERROR(__xludf.DUMMYFUNCTION("""COMPUTED_VALUE"""),"")</f>
        <v/>
      </c>
    </row>
    <row r="2185">
      <c r="A2185" s="15">
        <f>IFERROR(__xludf.DUMMYFUNCTION("""COMPUTED_VALUE"""),45064.0)</f>
        <v>45064</v>
      </c>
      <c r="B2185" s="16" t="str">
        <f>IFERROR(__xludf.DUMMYFUNCTION("""COMPUTED_VALUE"""),"Daniel José sandoval gonzalez")</f>
        <v>Daniel José sandoval gonzalez</v>
      </c>
      <c r="C2185" s="15" t="str">
        <f>IFERROR(__xludf.DUMMYFUNCTION("""COMPUTED_VALUE"""),"BARRANQUILLA")</f>
        <v>BARRANQUILLA</v>
      </c>
      <c r="D2185" s="15" t="str">
        <f>IFERROR(__xludf.DUMMYFUNCTION("""COMPUTED_VALUE"""),"BOGOTÁ")</f>
        <v>BOGOTÁ</v>
      </c>
      <c r="E2185" s="15" t="str">
        <f>IFERROR(__xludf.DUMMYFUNCTION("""COMPUTED_VALUE"""),"Frambascolombia sas")</f>
        <v>Frambascolombia sas</v>
      </c>
      <c r="F2185" s="17" t="str">
        <f>IFERROR(__xludf.DUMMYFUNCTION("""COMPUTED_VALUE"""),"Cra. 53 # 68-55 / local 2")</f>
        <v>Cra. 53 # 68-55 / local 2</v>
      </c>
      <c r="G2185" s="15" t="str">
        <f>IFERROR(__xludf.DUMMYFUNCTION("""COMPUTED_VALUE"""),"PikNPak Barranquilla")</f>
        <v>PikNPak Barranquilla</v>
      </c>
      <c r="H2185" s="16">
        <f>IFERROR(__xludf.DUMMYFUNCTION("""COMPUTED_VALUE"""),10784.0)</f>
        <v>10784</v>
      </c>
      <c r="I2185" s="18">
        <f>IFERROR(__xludf.DUMMYFUNCTION("""COMPUTED_VALUE"""),11.0)</f>
        <v>11</v>
      </c>
      <c r="J2185" s="18">
        <f>IFERROR(__xludf.DUMMYFUNCTION("""COMPUTED_VALUE"""),9.0)</f>
        <v>9</v>
      </c>
      <c r="K2185" s="18">
        <f>IFERROR(__xludf.DUMMYFUNCTION("""COMPUTED_VALUE"""),9.0)</f>
        <v>9</v>
      </c>
      <c r="L2185" s="17" t="str">
        <f>IFERROR(__xludf.DUMMYFUNCTION("""COMPUTED_VALUE"""),"321 4229567")</f>
        <v>321 4229567</v>
      </c>
      <c r="M2185" s="17" t="str">
        <f>IFERROR(__xludf.DUMMYFUNCTION("""COMPUTED_VALUE"""),"#REF!")</f>
        <v>#REF!</v>
      </c>
      <c r="N2185" s="17"/>
      <c r="O2185" s="17"/>
      <c r="P2185" s="17" t="b">
        <f>IFERROR(__xludf.DUMMYFUNCTION("""COMPUTED_VALUE"""),FALSE)</f>
        <v>0</v>
      </c>
      <c r="Q2185" s="20" t="str">
        <f>IFERROR(__xludf.DUMMYFUNCTION("""COMPUTED_VALUE"""),"")</f>
        <v/>
      </c>
      <c r="R2185" s="22" t="str">
        <f>IFERROR(__xludf.DUMMYFUNCTION("""COMPUTED_VALUE"""),"")</f>
        <v/>
      </c>
    </row>
    <row r="2186">
      <c r="A2186" s="15">
        <f>IFERROR(__xludf.DUMMYFUNCTION("""COMPUTED_VALUE"""),45064.0)</f>
        <v>45064</v>
      </c>
      <c r="B2186" s="16" t="str">
        <f>IFERROR(__xludf.DUMMYFUNCTION("""COMPUTED_VALUE"""),"Daniel José sandoval gonzalez")</f>
        <v>Daniel José sandoval gonzalez</v>
      </c>
      <c r="C2186" s="15" t="str">
        <f>IFERROR(__xludf.DUMMYFUNCTION("""COMPUTED_VALUE"""),"BARRANQUILLA")</f>
        <v>BARRANQUILLA</v>
      </c>
      <c r="D2186" s="15" t="str">
        <f>IFERROR(__xludf.DUMMYFUNCTION("""COMPUTED_VALUE"""),"BOGOTÁ")</f>
        <v>BOGOTÁ</v>
      </c>
      <c r="E2186" s="15" t="str">
        <f>IFERROR(__xludf.DUMMYFUNCTION("""COMPUTED_VALUE"""),"MAI ALIMENTOS S.A.S")</f>
        <v>MAI ALIMENTOS S.A.S</v>
      </c>
      <c r="F2186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2186" s="15" t="str">
        <f>IFERROR(__xludf.DUMMYFUNCTION("""COMPUTED_VALUE"""),"Fithub Barranquilla")</f>
        <v>Fithub Barranquilla</v>
      </c>
      <c r="H2186" s="16">
        <f>IFERROR(__xludf.DUMMYFUNCTION("""COMPUTED_VALUE"""),10589.0)</f>
        <v>10589</v>
      </c>
      <c r="I2186" s="18">
        <f>IFERROR(__xludf.DUMMYFUNCTION("""COMPUTED_VALUE"""),35.0)</f>
        <v>35</v>
      </c>
      <c r="J2186" s="18">
        <f>IFERROR(__xludf.DUMMYFUNCTION("""COMPUTED_VALUE"""),17.0)</f>
        <v>17</v>
      </c>
      <c r="K2186" s="18">
        <f>IFERROR(__xludf.DUMMYFUNCTION("""COMPUTED_VALUE"""),13.0)</f>
        <v>13</v>
      </c>
      <c r="L2186" s="17"/>
      <c r="M2186" s="17" t="str">
        <f>IFERROR(__xludf.DUMMYFUNCTION("""COMPUTED_VALUE"""),"#REF!")</f>
        <v>#REF!</v>
      </c>
      <c r="N2186" s="17"/>
      <c r="O2186" s="17"/>
      <c r="P2186" s="17" t="b">
        <f>IFERROR(__xludf.DUMMYFUNCTION("""COMPUTED_VALUE"""),TRUE)</f>
        <v>1</v>
      </c>
      <c r="Q2186" s="20">
        <f>IFERROR(__xludf.DUMMYFUNCTION("""COMPUTED_VALUE"""),45064.53791271991)</f>
        <v>45064.53791</v>
      </c>
      <c r="R2186" s="22" t="str">
        <f>IFERROR(__xludf.DUMMYFUNCTION("""COMPUTED_VALUE"""),"")</f>
        <v/>
      </c>
    </row>
    <row r="2187">
      <c r="A2187" s="15">
        <f>IFERROR(__xludf.DUMMYFUNCTION("""COMPUTED_VALUE"""),45064.0)</f>
        <v>45064</v>
      </c>
      <c r="B2187" s="16" t="str">
        <f>IFERROR(__xludf.DUMMYFUNCTION("""COMPUTED_VALUE"""),"Daniel José sandoval gonzalez")</f>
        <v>Daniel José sandoval gonzalez</v>
      </c>
      <c r="C2187" s="15" t="str">
        <f>IFERROR(__xludf.DUMMYFUNCTION("""COMPUTED_VALUE"""),"BARRANQUILLA")</f>
        <v>BARRANQUILLA</v>
      </c>
      <c r="D2187" s="15" t="str">
        <f>IFERROR(__xludf.DUMMYFUNCTION("""COMPUTED_VALUE"""),"BOGOTÁ")</f>
        <v>BOGOTÁ</v>
      </c>
      <c r="E2187" s="15" t="str">
        <f>IFERROR(__xludf.DUMMYFUNCTION("""COMPUTED_VALUE"""),"Pan de Waffle")</f>
        <v>Pan de Waffle</v>
      </c>
      <c r="F2187" s="17" t="str">
        <f>IFERROR(__xludf.DUMMYFUNCTION("""COMPUTED_VALUE"""),"CR 53 80 284 LC 8 / CR 53 80 284 LC 8 / CR 53 80 284 LC 8")</f>
        <v>CR 53 80 284 LC 8 / CR 53 80 284 LC 8 / CR 53 80 284 LC 8</v>
      </c>
      <c r="G2187" s="15" t="str">
        <f>IFERROR(__xludf.DUMMYFUNCTION("""COMPUTED_VALUE"""),"CORPOFIT")</f>
        <v>CORPOFIT</v>
      </c>
      <c r="H2187" s="16">
        <f>IFERROR(__xludf.DUMMYFUNCTION("""COMPUTED_VALUE"""),10819.0)</f>
        <v>10819</v>
      </c>
      <c r="I2187" s="18">
        <f>IFERROR(__xludf.DUMMYFUNCTION("""COMPUTED_VALUE"""),30.0)</f>
        <v>30</v>
      </c>
      <c r="J2187" s="18">
        <f>IFERROR(__xludf.DUMMYFUNCTION("""COMPUTED_VALUE"""),40.0)</f>
        <v>40</v>
      </c>
      <c r="K2187" s="18">
        <f>IFERROR(__xludf.DUMMYFUNCTION("""COMPUTED_VALUE"""),30.0)</f>
        <v>30</v>
      </c>
      <c r="L2187" s="17">
        <f>IFERROR(__xludf.DUMMYFUNCTION("""COMPUTED_VALUE"""),3.006125263E9)</f>
        <v>3006125263</v>
      </c>
      <c r="M2187" s="17" t="str">
        <f>IFERROR(__xludf.DUMMYFUNCTION("""COMPUTED_VALUE"""),"#REF!")</f>
        <v>#REF!</v>
      </c>
      <c r="N2187" s="17"/>
      <c r="O2187" s="17"/>
      <c r="P2187" s="17" t="b">
        <f>IFERROR(__xludf.DUMMYFUNCTION("""COMPUTED_VALUE"""),FALSE)</f>
        <v>0</v>
      </c>
      <c r="Q2187" s="20" t="str">
        <f>IFERROR(__xludf.DUMMYFUNCTION("""COMPUTED_VALUE"""),"")</f>
        <v/>
      </c>
      <c r="R2187" s="22" t="str">
        <f>IFERROR(__xludf.DUMMYFUNCTION("""COMPUTED_VALUE"""),"")</f>
        <v/>
      </c>
    </row>
    <row r="2188">
      <c r="A2188" s="15">
        <f>IFERROR(__xludf.DUMMYFUNCTION("""COMPUTED_VALUE"""),45064.0)</f>
        <v>45064</v>
      </c>
      <c r="B2188" s="16" t="str">
        <f>IFERROR(__xludf.DUMMYFUNCTION("""COMPUTED_VALUE"""),"Daniel José sandoval gonzalez")</f>
        <v>Daniel José sandoval gonzalez</v>
      </c>
      <c r="C2188" s="15" t="str">
        <f>IFERROR(__xludf.DUMMYFUNCTION("""COMPUTED_VALUE"""),"MEDELLÍN")</f>
        <v>MEDELLÍN</v>
      </c>
      <c r="D2188" s="15" t="str">
        <f>IFERROR(__xludf.DUMMYFUNCTION("""COMPUTED_VALUE"""),"BOGOTÁ")</f>
        <v>BOGOTÁ</v>
      </c>
      <c r="E2188" s="15" t="str">
        <f>IFERROR(__xludf.DUMMYFUNCTION("""COMPUTED_VALUE"""),"SISU PARTNERS SAS")</f>
        <v>SISU PARTNERS SAS</v>
      </c>
      <c r="F2188" s="17" t="str">
        <f>IFERROR(__xludf.DUMMYFUNCTION("""COMPUTED_VALUE"""),"Carrera 34 no. 7-86 / Local Mary &amp; George")</f>
        <v>Carrera 34 no. 7-86 / Local Mary &amp; George</v>
      </c>
      <c r="G2188" s="15" t="str">
        <f>IFERROR(__xludf.DUMMYFUNCTION("""COMPUTED_VALUE"""),"Maria Paulina Pérez")</f>
        <v>Maria Paulina Pérez</v>
      </c>
      <c r="H2188" s="16">
        <f>IFERROR(__xludf.DUMMYFUNCTION("""COMPUTED_VALUE"""),10810.0)</f>
        <v>10810</v>
      </c>
      <c r="I2188" s="18">
        <f>IFERROR(__xludf.DUMMYFUNCTION("""COMPUTED_VALUE"""),29.0)</f>
        <v>29</v>
      </c>
      <c r="J2188" s="18">
        <f>IFERROR(__xludf.DUMMYFUNCTION("""COMPUTED_VALUE"""),45.0)</f>
        <v>45</v>
      </c>
      <c r="K2188" s="18">
        <f>IFERROR(__xludf.DUMMYFUNCTION("""COMPUTED_VALUE"""),55.0)</f>
        <v>55</v>
      </c>
      <c r="L2188" s="17">
        <f>IFERROR(__xludf.DUMMYFUNCTION("""COMPUTED_VALUE"""),3.182186058E9)</f>
        <v>3182186058</v>
      </c>
      <c r="M2188" s="17" t="str">
        <f>IFERROR(__xludf.DUMMYFUNCTION("""COMPUTED_VALUE"""),"#REF!")</f>
        <v>#REF!</v>
      </c>
      <c r="N2188" s="17"/>
      <c r="O2188" s="17"/>
      <c r="P2188" s="17" t="b">
        <f>IFERROR(__xludf.DUMMYFUNCTION("""COMPUTED_VALUE"""),FALSE)</f>
        <v>0</v>
      </c>
      <c r="Q2188" s="20" t="str">
        <f>IFERROR(__xludf.DUMMYFUNCTION("""COMPUTED_VALUE"""),"")</f>
        <v/>
      </c>
      <c r="R2188" s="22" t="str">
        <f>IFERROR(__xludf.DUMMYFUNCTION("""COMPUTED_VALUE"""),"")</f>
        <v/>
      </c>
    </row>
    <row r="2189">
      <c r="A2189" s="15">
        <f>IFERROR(__xludf.DUMMYFUNCTION("""COMPUTED_VALUE"""),45064.0)</f>
        <v>45064</v>
      </c>
      <c r="B2189" s="16" t="str">
        <f>IFERROR(__xludf.DUMMYFUNCTION("""COMPUTED_VALUE"""),"Daniel José sandoval gonzalez")</f>
        <v>Daniel José sandoval gonzalez</v>
      </c>
      <c r="C2189" s="15" t="str">
        <f>IFERROR(__xludf.DUMMYFUNCTION("""COMPUTED_VALUE"""),"MEDELLÍN")</f>
        <v>MEDELLÍN</v>
      </c>
      <c r="D2189" s="15" t="str">
        <f>IFERROR(__xludf.DUMMYFUNCTION("""COMPUTED_VALUE"""),"BOGOTÁ")</f>
        <v>BOGOTÁ</v>
      </c>
      <c r="E2189" s="15" t="str">
        <f>IFERROR(__xludf.DUMMYFUNCTION("""COMPUTED_VALUE"""),"Viral Brands")</f>
        <v>Viral Brands</v>
      </c>
      <c r="F2189" s="17" t="str">
        <f>IFERROR(__xludf.DUMMYFUNCTION("""COMPUTED_VALUE"""),"Calle 1 sur # 29-354 Cocina de chuzales Al lado de la Bodega de turbo rappi / Loma de Los parra Al lado de la Bodega turbo rappi - Cocina de chuzales  / Barrio poblado")</f>
        <v>Calle 1 sur # 29-354 Cocina de chuzales Al lado de la Bodega de turbo rappi / Loma de Los parra Al lado de la Bodega turbo rappi - Cocina de chuzales  / Barrio poblado</v>
      </c>
      <c r="G2189" s="15" t="str">
        <f>IFERROR(__xludf.DUMMYFUNCTION("""COMPUTED_VALUE"""),"Calos olivero")</f>
        <v>Calos olivero</v>
      </c>
      <c r="H2189" s="16">
        <f>IFERROR(__xludf.DUMMYFUNCTION("""COMPUTED_VALUE"""),10820.0)</f>
        <v>10820</v>
      </c>
      <c r="I2189" s="18">
        <f>IFERROR(__xludf.DUMMYFUNCTION("""COMPUTED_VALUE"""),29.0)</f>
        <v>29</v>
      </c>
      <c r="J2189" s="18">
        <f>IFERROR(__xludf.DUMMYFUNCTION("""COMPUTED_VALUE"""),55.0)</f>
        <v>55</v>
      </c>
      <c r="K2189" s="18">
        <f>IFERROR(__xludf.DUMMYFUNCTION("""COMPUTED_VALUE"""),44.0)</f>
        <v>44</v>
      </c>
      <c r="L2189" s="17">
        <f>IFERROR(__xludf.DUMMYFUNCTION("""COMPUTED_VALUE"""),3.043480219E9)</f>
        <v>3043480219</v>
      </c>
      <c r="M2189" s="17" t="str">
        <f>IFERROR(__xludf.DUMMYFUNCTION("""COMPUTED_VALUE"""),"#REF!")</f>
        <v>#REF!</v>
      </c>
      <c r="N2189" s="17"/>
      <c r="O2189" s="17"/>
      <c r="P2189" s="17" t="b">
        <f>IFERROR(__xludf.DUMMYFUNCTION("""COMPUTED_VALUE"""),FALSE)</f>
        <v>0</v>
      </c>
      <c r="Q2189" s="20" t="str">
        <f>IFERROR(__xludf.DUMMYFUNCTION("""COMPUTED_VALUE"""),"")</f>
        <v/>
      </c>
      <c r="R2189" s="22" t="str">
        <f>IFERROR(__xludf.DUMMYFUNCTION("""COMPUTED_VALUE"""),"")</f>
        <v/>
      </c>
    </row>
    <row r="2190">
      <c r="A2190" s="17" t="str">
        <f>IFERROR(__xludf.DUMMYFUNCTION("""COMPUTED_VALUE"""),"")</f>
        <v/>
      </c>
      <c r="B2190" s="17" t="str">
        <f>IFERROR(__xludf.DUMMYFUNCTION("""COMPUTED_VALUE"""),"")</f>
        <v/>
      </c>
      <c r="C2190" s="17" t="str">
        <f>IFERROR(__xludf.DUMMYFUNCTION("""COMPUTED_VALUE"""),"")</f>
        <v/>
      </c>
      <c r="D2190" s="17" t="str">
        <f>IFERROR(__xludf.DUMMYFUNCTION("""COMPUTED_VALUE"""),"")</f>
        <v/>
      </c>
      <c r="E2190" s="17" t="str">
        <f>IFERROR(__xludf.DUMMYFUNCTION("""COMPUTED_VALUE"""),"")</f>
        <v/>
      </c>
      <c r="F2190" s="17" t="str">
        <f>IFERROR(__xludf.DUMMYFUNCTION("""COMPUTED_VALUE"""),"")</f>
        <v/>
      </c>
      <c r="G2190" s="17" t="str">
        <f>IFERROR(__xludf.DUMMYFUNCTION("""COMPUTED_VALUE"""),"")</f>
        <v/>
      </c>
      <c r="H2190" s="17" t="str">
        <f>IFERROR(__xludf.DUMMYFUNCTION("""COMPUTED_VALUE"""),"")</f>
        <v/>
      </c>
      <c r="I2190" s="17" t="str">
        <f>IFERROR(__xludf.DUMMYFUNCTION("""COMPUTED_VALUE"""),"")</f>
        <v/>
      </c>
      <c r="J2190" s="17" t="str">
        <f>IFERROR(__xludf.DUMMYFUNCTION("""COMPUTED_VALUE"""),"")</f>
        <v/>
      </c>
      <c r="K2190" s="17" t="str">
        <f>IFERROR(__xludf.DUMMYFUNCTION("""COMPUTED_VALUE"""),"")</f>
        <v/>
      </c>
      <c r="L2190" s="17" t="str">
        <f>IFERROR(__xludf.DUMMYFUNCTION("""COMPUTED_VALUE"""),"")</f>
        <v/>
      </c>
      <c r="M2190" s="17" t="str">
        <f>IFERROR(__xludf.DUMMYFUNCTION("""COMPUTED_VALUE"""),"")</f>
        <v/>
      </c>
      <c r="N2190" s="17" t="str">
        <f>IFERROR(__xludf.DUMMYFUNCTION("""COMPUTED_VALUE"""),"")</f>
        <v/>
      </c>
      <c r="O2190" s="17" t="str">
        <f>IFERROR(__xludf.DUMMYFUNCTION("""COMPUTED_VALUE"""),"")</f>
        <v/>
      </c>
      <c r="P2190" s="17" t="str">
        <f>IFERROR(__xludf.DUMMYFUNCTION("""COMPUTED_VALUE"""),"")</f>
        <v/>
      </c>
      <c r="Q2190" s="17" t="str">
        <f>IFERROR(__xludf.DUMMYFUNCTION("""COMPUTED_VALUE"""),"")</f>
        <v/>
      </c>
      <c r="R2190" s="17" t="str">
        <f>IFERROR(__xludf.DUMMYFUNCTION("""COMPUTED_VALUE"""),"")</f>
        <v/>
      </c>
    </row>
    <row r="2191">
      <c r="A2191" s="15">
        <f>IFERROR(__xludf.DUMMYFUNCTION("""COMPUTED_VALUE"""),45064.0)</f>
        <v>45064</v>
      </c>
      <c r="B2191" s="16" t="str">
        <f>IFERROR(__xludf.DUMMYFUNCTION("""COMPUTED_VALUE"""),"Envia")</f>
        <v>Envia</v>
      </c>
      <c r="C2191" s="15" t="str">
        <f>IFERROR(__xludf.DUMMYFUNCTION("""COMPUTED_VALUE"""),"BARRANQUILLA")</f>
        <v>BARRANQUILLA</v>
      </c>
      <c r="D2191" s="15" t="str">
        <f>IFERROR(__xludf.DUMMYFUNCTION("""COMPUTED_VALUE"""),"BOGOTÁ")</f>
        <v>BOGOTÁ</v>
      </c>
      <c r="E2191" s="15" t="str">
        <f>IFERROR(__xludf.DUMMYFUNCTION("""COMPUTED_VALUE"""),"Evamazzita")</f>
        <v>Evamazzita</v>
      </c>
      <c r="F2191" s="17" t="str">
        <f>IFERROR(__xludf.DUMMYFUNCTION("""COMPUTED_VALUE"""),"CALLE 114 No. 43 - 204  / APTO 403 TORRE 1 / N/A")</f>
        <v>CALLE 114 No. 43 - 204  / APTO 403 TORRE 1 / N/A</v>
      </c>
      <c r="G2191" s="15" t="str">
        <f>IFERROR(__xludf.DUMMYFUNCTION("""COMPUTED_VALUE"""),"SHIRLIS NAYITH PACHECO BOCANEGRA")</f>
        <v>SHIRLIS NAYITH PACHECO BOCANEGRA</v>
      </c>
      <c r="H2191" s="16">
        <f>IFERROR(__xludf.DUMMYFUNCTION("""COMPUTED_VALUE"""),10832.0)</f>
        <v>10832</v>
      </c>
      <c r="I2191" s="18">
        <f>IFERROR(__xludf.DUMMYFUNCTION("""COMPUTED_VALUE"""),3.0)</f>
        <v>3</v>
      </c>
      <c r="J2191" s="18">
        <f>IFERROR(__xludf.DUMMYFUNCTION("""COMPUTED_VALUE"""),15.0)</f>
        <v>15</v>
      </c>
      <c r="K2191" s="18">
        <f>IFERROR(__xludf.DUMMYFUNCTION("""COMPUTED_VALUE"""),20.0)</f>
        <v>20</v>
      </c>
      <c r="L2191" s="17">
        <f>IFERROR(__xludf.DUMMYFUNCTION("""COMPUTED_VALUE"""),3.218338059E9)</f>
        <v>3218338059</v>
      </c>
      <c r="M2191" s="17" t="str">
        <f>IFERROR(__xludf.DUMMYFUNCTION("""COMPUTED_VALUE"""),"#REF!")</f>
        <v>#REF!</v>
      </c>
      <c r="N2191" s="17"/>
      <c r="O2191" s="17"/>
      <c r="P2191" s="17" t="b">
        <f>IFERROR(__xludf.DUMMYFUNCTION("""COMPUTED_VALUE"""),FALSE)</f>
        <v>0</v>
      </c>
      <c r="Q2191" s="20" t="str">
        <f>IFERROR(__xludf.DUMMYFUNCTION("""COMPUTED_VALUE"""),"")</f>
        <v/>
      </c>
      <c r="R2191" s="22" t="str">
        <f>IFERROR(__xludf.DUMMYFUNCTION("""COMPUTED_VALUE"""),"")</f>
        <v/>
      </c>
    </row>
    <row r="2192">
      <c r="A2192" s="15">
        <f>IFERROR(__xludf.DUMMYFUNCTION("""COMPUTED_VALUE"""),45064.0)</f>
        <v>45064</v>
      </c>
      <c r="B2192" s="16" t="str">
        <f>IFERROR(__xludf.DUMMYFUNCTION("""COMPUTED_VALUE"""),"Envia")</f>
        <v>Envia</v>
      </c>
      <c r="C2192" s="15" t="str">
        <f>IFERROR(__xludf.DUMMYFUNCTION("""COMPUTED_VALUE"""),"BARRANQUILLA")</f>
        <v>BARRANQUILLA</v>
      </c>
      <c r="D2192" s="15" t="str">
        <f>IFERROR(__xludf.DUMMYFUNCTION("""COMPUTED_VALUE"""),"BOGOTÁ")</f>
        <v>BOGOTÁ</v>
      </c>
      <c r="E2192" s="15" t="str">
        <f>IFERROR(__xludf.DUMMYFUNCTION("""COMPUTED_VALUE"""),"Evamazzita")</f>
        <v>Evamazzita</v>
      </c>
      <c r="F2192" s="17" t="str">
        <f>IFERROR(__xludf.DUMMYFUNCTION("""COMPUTED_VALUE"""),"Cra 51b 76 27  / of 202 / N/A")</f>
        <v>Cra 51b 76 27  / of 202 / N/A</v>
      </c>
      <c r="G2192" s="15" t="str">
        <f>IFERROR(__xludf.DUMMYFUNCTION("""COMPUTED_VALUE"""),"INGRID JOHANA RICO")</f>
        <v>INGRID JOHANA RICO</v>
      </c>
      <c r="H2192" s="16">
        <f>IFERROR(__xludf.DUMMYFUNCTION("""COMPUTED_VALUE"""),10831.0)</f>
        <v>10831</v>
      </c>
      <c r="I2192" s="18">
        <f>IFERROR(__xludf.DUMMYFUNCTION("""COMPUTED_VALUE"""),3.0)</f>
        <v>3</v>
      </c>
      <c r="J2192" s="18">
        <f>IFERROR(__xludf.DUMMYFUNCTION("""COMPUTED_VALUE"""),20.0)</f>
        <v>20</v>
      </c>
      <c r="K2192" s="18">
        <f>IFERROR(__xludf.DUMMYFUNCTION("""COMPUTED_VALUE"""),15.0)</f>
        <v>15</v>
      </c>
      <c r="L2192" s="17">
        <f>IFERROR(__xludf.DUMMYFUNCTION("""COMPUTED_VALUE"""),3.012471115E9)</f>
        <v>3012471115</v>
      </c>
      <c r="M2192" s="17" t="str">
        <f>IFERROR(__xludf.DUMMYFUNCTION("""COMPUTED_VALUE"""),"#REF!")</f>
        <v>#REF!</v>
      </c>
      <c r="N2192" s="17"/>
      <c r="O2192" s="17"/>
      <c r="P2192" s="17" t="b">
        <f>IFERROR(__xludf.DUMMYFUNCTION("""COMPUTED_VALUE"""),FALSE)</f>
        <v>0</v>
      </c>
      <c r="Q2192" s="20" t="str">
        <f>IFERROR(__xludf.DUMMYFUNCTION("""COMPUTED_VALUE"""),"")</f>
        <v/>
      </c>
      <c r="R2192" s="22" t="str">
        <f>IFERROR(__xludf.DUMMYFUNCTION("""COMPUTED_VALUE"""),"")</f>
        <v/>
      </c>
    </row>
    <row r="2193">
      <c r="A2193" s="15">
        <f>IFERROR(__xludf.DUMMYFUNCTION("""COMPUTED_VALUE"""),45064.0)</f>
        <v>45064</v>
      </c>
      <c r="B2193" s="16" t="str">
        <f>IFERROR(__xludf.DUMMYFUNCTION("""COMPUTED_VALUE"""),"Envia")</f>
        <v>Envia</v>
      </c>
      <c r="C2193" s="15" t="str">
        <f>IFERROR(__xludf.DUMMYFUNCTION("""COMPUTED_VALUE"""),"BARRANQUILLA")</f>
        <v>BARRANQUILLA</v>
      </c>
      <c r="D2193" s="15" t="str">
        <f>IFERROR(__xludf.DUMMYFUNCTION("""COMPUTED_VALUE"""),"BOGOTÁ")</f>
        <v>BOGOTÁ</v>
      </c>
      <c r="E2193" s="15" t="str">
        <f>IFERROR(__xludf.DUMMYFUNCTION("""COMPUTED_VALUE"""),"Frambascolombia sas")</f>
        <v>Frambascolombia sas</v>
      </c>
      <c r="F2193" s="17" t="str">
        <f>IFERROR(__xludf.DUMMYFUNCTION("""COMPUTED_VALUE"""),"Cra. 53 # 68-55 / local 2")</f>
        <v>Cra. 53 # 68-55 / local 2</v>
      </c>
      <c r="G2193" s="15" t="str">
        <f>IFERROR(__xludf.DUMMYFUNCTION("""COMPUTED_VALUE"""),"PikNPak Barranquilla")</f>
        <v>PikNPak Barranquilla</v>
      </c>
      <c r="H2193" s="16">
        <f>IFERROR(__xludf.DUMMYFUNCTION("""COMPUTED_VALUE"""),10781.0)</f>
        <v>10781</v>
      </c>
      <c r="I2193" s="18">
        <f>IFERROR(__xludf.DUMMYFUNCTION("""COMPUTED_VALUE"""),11.0)</f>
        <v>11</v>
      </c>
      <c r="J2193" s="18">
        <f>IFERROR(__xludf.DUMMYFUNCTION("""COMPUTED_VALUE"""),9.0)</f>
        <v>9</v>
      </c>
      <c r="K2193" s="18">
        <f>IFERROR(__xludf.DUMMYFUNCTION("""COMPUTED_VALUE"""),9.0)</f>
        <v>9</v>
      </c>
      <c r="L2193" s="17" t="str">
        <f>IFERROR(__xludf.DUMMYFUNCTION("""COMPUTED_VALUE"""),"321 4229567")</f>
        <v>321 4229567</v>
      </c>
      <c r="M2193" s="17" t="str">
        <f>IFERROR(__xludf.DUMMYFUNCTION("""COMPUTED_VALUE"""),"#REF!")</f>
        <v>#REF!</v>
      </c>
      <c r="N2193" s="17"/>
      <c r="O2193" s="17"/>
      <c r="P2193" s="17" t="b">
        <f>IFERROR(__xludf.DUMMYFUNCTION("""COMPUTED_VALUE"""),FALSE)</f>
        <v>0</v>
      </c>
      <c r="Q2193" s="20" t="str">
        <f>IFERROR(__xludf.DUMMYFUNCTION("""COMPUTED_VALUE"""),"")</f>
        <v/>
      </c>
      <c r="R2193" s="22" t="str">
        <f>IFERROR(__xludf.DUMMYFUNCTION("""COMPUTED_VALUE"""),"")</f>
        <v/>
      </c>
    </row>
    <row r="2194">
      <c r="A2194" s="15">
        <f>IFERROR(__xludf.DUMMYFUNCTION("""COMPUTED_VALUE"""),45064.0)</f>
        <v>45064</v>
      </c>
      <c r="B2194" s="16" t="str">
        <f>IFERROR(__xludf.DUMMYFUNCTION("""COMPUTED_VALUE"""),"Envia")</f>
        <v>Envia</v>
      </c>
      <c r="C2194" s="15" t="str">
        <f>IFERROR(__xludf.DUMMYFUNCTION("""COMPUTED_VALUE"""),"BARRANQUILLA")</f>
        <v>BARRANQUILLA</v>
      </c>
      <c r="D2194" s="15" t="str">
        <f>IFERROR(__xludf.DUMMYFUNCTION("""COMPUTED_VALUE"""),"BOGOTÁ")</f>
        <v>BOGOTÁ</v>
      </c>
      <c r="E2194" s="15" t="str">
        <f>IFERROR(__xludf.DUMMYFUNCTION("""COMPUTED_VALUE"""),"Ins. Alimento Vital")</f>
        <v>Ins. Alimento Vital</v>
      </c>
      <c r="F2194" s="17" t="str">
        <f>IFERROR(__xludf.DUMMYFUNCTION("""COMPUTED_VALUE"""),"CL 100 48 34  / AP 502, TR 1, EDI SUNSET / VILLA SANTOS")</f>
        <v>CL 100 48 34  / AP 502, TR 1, EDI SUNSET / VILLA SANTOS</v>
      </c>
      <c r="G2194" s="15" t="str">
        <f>IFERROR(__xludf.DUMMYFUNCTION("""COMPUTED_VALUE"""),"SHADYA SOFIA SEDAN SIMANCAS")</f>
        <v>SHADYA SOFIA SEDAN SIMANCAS</v>
      </c>
      <c r="H2194" s="16">
        <f>IFERROR(__xludf.DUMMYFUNCTION("""COMPUTED_VALUE"""),10812.0)</f>
        <v>10812</v>
      </c>
      <c r="I2194" s="18">
        <f>IFERROR(__xludf.DUMMYFUNCTION("""COMPUTED_VALUE"""),1.0)</f>
        <v>1</v>
      </c>
      <c r="J2194" s="18">
        <f>IFERROR(__xludf.DUMMYFUNCTION("""COMPUTED_VALUE"""),1.0)</f>
        <v>1</v>
      </c>
      <c r="K2194" s="18">
        <f>IFERROR(__xludf.DUMMYFUNCTION("""COMPUTED_VALUE"""),1.0)</f>
        <v>1</v>
      </c>
      <c r="L2194" s="17">
        <f>IFERROR(__xludf.DUMMYFUNCTION("""COMPUTED_VALUE"""),3.22674306E9)</f>
        <v>3226743060</v>
      </c>
      <c r="M2194" s="17" t="str">
        <f>IFERROR(__xludf.DUMMYFUNCTION("""COMPUTED_VALUE"""),"#REF!")</f>
        <v>#REF!</v>
      </c>
      <c r="N2194" s="17"/>
      <c r="O2194" s="17"/>
      <c r="P2194" s="17" t="b">
        <f>IFERROR(__xludf.DUMMYFUNCTION("""COMPUTED_VALUE"""),FALSE)</f>
        <v>0</v>
      </c>
      <c r="Q2194" s="20" t="str">
        <f>IFERROR(__xludf.DUMMYFUNCTION("""COMPUTED_VALUE"""),"")</f>
        <v/>
      </c>
      <c r="R2194" s="22" t="str">
        <f>IFERROR(__xludf.DUMMYFUNCTION("""COMPUTED_VALUE"""),"")</f>
        <v/>
      </c>
    </row>
    <row r="2195">
      <c r="A2195" s="15">
        <f>IFERROR(__xludf.DUMMYFUNCTION("""COMPUTED_VALUE"""),45064.0)</f>
        <v>45064</v>
      </c>
      <c r="B2195" s="16" t="str">
        <f>IFERROR(__xludf.DUMMYFUNCTION("""COMPUTED_VALUE"""),"Envia")</f>
        <v>Envia</v>
      </c>
      <c r="C2195" s="15" t="str">
        <f>IFERROR(__xludf.DUMMYFUNCTION("""COMPUTED_VALUE"""),"BARRANQUILLA")</f>
        <v>BARRANQUILLA</v>
      </c>
      <c r="D2195" s="15" t="str">
        <f>IFERROR(__xludf.DUMMYFUNCTION("""COMPUTED_VALUE"""),"BOGOTÁ")</f>
        <v>BOGOTÁ</v>
      </c>
      <c r="E2195" s="15" t="str">
        <f>IFERROR(__xludf.DUMMYFUNCTION("""COMPUTED_VALUE"""),"Top Spun")</f>
        <v>Top Spun</v>
      </c>
      <c r="F2195" s="17" t="str">
        <f>IFERROR(__xludf.DUMMYFUNCTION("""COMPUTED_VALUE"""),"TRANSVERSAL 44 #100 - 82 / Torre 2, Apto 806 Conjunto Residencial TOZCANA  / Barrio Miramar  Barranquilla (Atlántico)")</f>
        <v>TRANSVERSAL 44 #100 - 82 / Torre 2, Apto 806 Conjunto Residencial TOZCANA  / Barrio Miramar  Barranquilla (Atlántico)</v>
      </c>
      <c r="G2195" s="15" t="str">
        <f>IFERROR(__xludf.DUMMYFUNCTION("""COMPUTED_VALUE"""),"Claudia Marcela Millán Páramo")</f>
        <v>Claudia Marcela Millán Páramo</v>
      </c>
      <c r="H2195" s="16">
        <f>IFERROR(__xludf.DUMMYFUNCTION("""COMPUTED_VALUE"""),10801.0)</f>
        <v>10801</v>
      </c>
      <c r="I2195" s="18">
        <f>IFERROR(__xludf.DUMMYFUNCTION("""COMPUTED_VALUE"""),15.0)</f>
        <v>15</v>
      </c>
      <c r="J2195" s="18">
        <f>IFERROR(__xludf.DUMMYFUNCTION("""COMPUTED_VALUE"""),10.0)</f>
        <v>10</v>
      </c>
      <c r="K2195" s="18">
        <f>IFERROR(__xludf.DUMMYFUNCTION("""COMPUTED_VALUE"""),40.0)</f>
        <v>40</v>
      </c>
      <c r="L2195" s="17">
        <f>IFERROR(__xludf.DUMMYFUNCTION("""COMPUTED_VALUE"""),3.013706256E9)</f>
        <v>3013706256</v>
      </c>
      <c r="M2195" s="17" t="str">
        <f>IFERROR(__xludf.DUMMYFUNCTION("""COMPUTED_VALUE"""),"#REF!")</f>
        <v>#REF!</v>
      </c>
      <c r="N2195" s="17"/>
      <c r="O2195" s="17"/>
      <c r="P2195" s="17" t="b">
        <f>IFERROR(__xludf.DUMMYFUNCTION("""COMPUTED_VALUE"""),FALSE)</f>
        <v>0</v>
      </c>
      <c r="Q2195" s="20" t="str">
        <f>IFERROR(__xludf.DUMMYFUNCTION("""COMPUTED_VALUE"""),"")</f>
        <v/>
      </c>
      <c r="R2195" s="22" t="str">
        <f>IFERROR(__xludf.DUMMYFUNCTION("""COMPUTED_VALUE"""),"")</f>
        <v/>
      </c>
    </row>
    <row r="2196">
      <c r="A2196" s="15">
        <f>IFERROR(__xludf.DUMMYFUNCTION("""COMPUTED_VALUE"""),45064.0)</f>
        <v>45064</v>
      </c>
      <c r="B2196" s="16" t="str">
        <f>IFERROR(__xludf.DUMMYFUNCTION("""COMPUTED_VALUE"""),"Envia")</f>
        <v>Envia</v>
      </c>
      <c r="C2196" s="15" t="str">
        <f>IFERROR(__xludf.DUMMYFUNCTION("""COMPUTED_VALUE"""),"BOGOTÁ")</f>
        <v>BOGOTÁ</v>
      </c>
      <c r="D2196" s="15" t="str">
        <f>IFERROR(__xludf.DUMMYFUNCTION("""COMPUTED_VALUE"""),"MEDELLÍN")</f>
        <v>MEDELLÍN</v>
      </c>
      <c r="E2196" s="15" t="str">
        <f>IFERROR(__xludf.DUMMYFUNCTION("""COMPUTED_VALUE"""),"Puro Verde")</f>
        <v>Puro Verde</v>
      </c>
      <c r="F2196" s="17" t="str">
        <f>IFERROR(__xludf.DUMMYFUNCTION("""COMPUTED_VALUE"""),"AV CRA 15 # 90-20 / LOCAL 109 / BARRIO CHICO")</f>
        <v>AV CRA 15 # 90-20 / LOCAL 109 / BARRIO CHICO</v>
      </c>
      <c r="G2196" s="15" t="str">
        <f>IFERROR(__xludf.DUMMYFUNCTION("""COMPUTED_VALUE"""),"DANDO CUERDA")</f>
        <v>DANDO CUERDA</v>
      </c>
      <c r="H2196" s="16">
        <f>IFERROR(__xludf.DUMMYFUNCTION("""COMPUTED_VALUE"""),10809.0)</f>
        <v>10809</v>
      </c>
      <c r="I2196" s="18">
        <f>IFERROR(__xludf.DUMMYFUNCTION("""COMPUTED_VALUE"""),67.0)</f>
        <v>67</v>
      </c>
      <c r="J2196" s="18">
        <f>IFERROR(__xludf.DUMMYFUNCTION("""COMPUTED_VALUE"""),65.0)</f>
        <v>65</v>
      </c>
      <c r="K2196" s="18">
        <f>IFERROR(__xludf.DUMMYFUNCTION("""COMPUTED_VALUE"""),55.0)</f>
        <v>55</v>
      </c>
      <c r="L2196" s="17">
        <f>IFERROR(__xludf.DUMMYFUNCTION("""COMPUTED_VALUE"""),3.163816691E9)</f>
        <v>3163816691</v>
      </c>
      <c r="M2196" s="17" t="str">
        <f>IFERROR(__xludf.DUMMYFUNCTION("""COMPUTED_VALUE"""),"#REF!")</f>
        <v>#REF!</v>
      </c>
      <c r="N2196" s="17"/>
      <c r="O2196" s="17"/>
      <c r="P2196" s="17" t="b">
        <f>IFERROR(__xludf.DUMMYFUNCTION("""COMPUTED_VALUE"""),FALSE)</f>
        <v>0</v>
      </c>
      <c r="Q2196" s="20" t="str">
        <f>IFERROR(__xludf.DUMMYFUNCTION("""COMPUTED_VALUE"""),"")</f>
        <v/>
      </c>
      <c r="R2196" s="22" t="str">
        <f>IFERROR(__xludf.DUMMYFUNCTION("""COMPUTED_VALUE"""),"")</f>
        <v/>
      </c>
    </row>
    <row r="2197">
      <c r="A2197" s="15">
        <f>IFERROR(__xludf.DUMMYFUNCTION("""COMPUTED_VALUE"""),45064.0)</f>
        <v>45064</v>
      </c>
      <c r="B2197" s="16" t="str">
        <f>IFERROR(__xludf.DUMMYFUNCTION("""COMPUTED_VALUE"""),"Envia")</f>
        <v>Envia</v>
      </c>
      <c r="C2197" s="15" t="str">
        <f>IFERROR(__xludf.DUMMYFUNCTION("""COMPUTED_VALUE"""),"BUCARAMANGA")</f>
        <v>BUCARAMANGA</v>
      </c>
      <c r="D2197" s="15" t="str">
        <f>IFERROR(__xludf.DUMMYFUNCTION("""COMPUTED_VALUE"""),"BOGOTÁ")</f>
        <v>BOGOTÁ</v>
      </c>
      <c r="E2197" s="15" t="str">
        <f>IFERROR(__xludf.DUMMYFUNCTION("""COMPUTED_VALUE"""),"Evamazzita")</f>
        <v>Evamazzita</v>
      </c>
      <c r="F2197" s="17" t="str">
        <f>IFERROR(__xludf.DUMMYFUNCTION("""COMPUTED_VALUE"""),"CARRERA 20 # 7 - 11  / N/A / BARRIO COMUNEROS")</f>
        <v>CARRERA 20 # 7 - 11  / N/A / BARRIO COMUNEROS</v>
      </c>
      <c r="G2197" s="15" t="str">
        <f>IFERROR(__xludf.DUMMYFUNCTION("""COMPUTED_VALUE"""),"MARIO JOSÉ CORTÉS PARADA")</f>
        <v>MARIO JOSÉ CORTÉS PARADA</v>
      </c>
      <c r="H2197" s="16">
        <f>IFERROR(__xludf.DUMMYFUNCTION("""COMPUTED_VALUE"""),10823.0)</f>
        <v>10823</v>
      </c>
      <c r="I2197" s="18">
        <f>IFERROR(__xludf.DUMMYFUNCTION("""COMPUTED_VALUE"""),13.0)</f>
        <v>13</v>
      </c>
      <c r="J2197" s="18">
        <f>IFERROR(__xludf.DUMMYFUNCTION("""COMPUTED_VALUE"""),47.0)</f>
        <v>47</v>
      </c>
      <c r="K2197" s="18">
        <f>IFERROR(__xludf.DUMMYFUNCTION("""COMPUTED_VALUE"""),33.0)</f>
        <v>33</v>
      </c>
      <c r="L2197" s="17">
        <f>IFERROR(__xludf.DUMMYFUNCTION("""COMPUTED_VALUE"""),3.123394474E9)</f>
        <v>3123394474</v>
      </c>
      <c r="M2197" s="17" t="str">
        <f>IFERROR(__xludf.DUMMYFUNCTION("""COMPUTED_VALUE"""),"#REF!")</f>
        <v>#REF!</v>
      </c>
      <c r="N2197" s="17"/>
      <c r="O2197" s="17"/>
      <c r="P2197" s="17" t="b">
        <f>IFERROR(__xludf.DUMMYFUNCTION("""COMPUTED_VALUE"""),FALSE)</f>
        <v>0</v>
      </c>
      <c r="Q2197" s="20" t="str">
        <f>IFERROR(__xludf.DUMMYFUNCTION("""COMPUTED_VALUE"""),"")</f>
        <v/>
      </c>
      <c r="R2197" s="22" t="str">
        <f>IFERROR(__xludf.DUMMYFUNCTION("""COMPUTED_VALUE"""),"")</f>
        <v/>
      </c>
    </row>
    <row r="2198">
      <c r="A2198" s="15">
        <f>IFERROR(__xludf.DUMMYFUNCTION("""COMPUTED_VALUE"""),45064.0)</f>
        <v>45064</v>
      </c>
      <c r="B2198" s="16" t="str">
        <f>IFERROR(__xludf.DUMMYFUNCTION("""COMPUTED_VALUE"""),"Envia")</f>
        <v>Envia</v>
      </c>
      <c r="C2198" s="15" t="str">
        <f>IFERROR(__xludf.DUMMYFUNCTION("""COMPUTED_VALUE"""),"FLORIDABLANCA")</f>
        <v>FLORIDABLANCA</v>
      </c>
      <c r="D2198" s="15" t="str">
        <f>IFERROR(__xludf.DUMMYFUNCTION("""COMPUTED_VALUE"""),"BOGOTÁ")</f>
        <v>BOGOTÁ</v>
      </c>
      <c r="E2198" s="15" t="str">
        <f>IFERROR(__xludf.DUMMYFUNCTION("""COMPUTED_VALUE"""),"Ins. Alimento Vital")</f>
        <v>Ins. Alimento Vital</v>
      </c>
      <c r="F2198" s="17" t="str">
        <f>IFERROR(__xludf.DUMMYFUNCTION("""COMPUTED_VALUE"""),"CL 200 13 200  / TR 2 APTO 1504  / ED PARK 200")</f>
        <v>CL 200 13 200  / TR 2 APTO 1504  / ED PARK 200</v>
      </c>
      <c r="G2198" s="15" t="str">
        <f>IFERROR(__xludf.DUMMYFUNCTION("""COMPUTED_VALUE"""),"VIVIANA CECILIA GUZMAN GHISSAYS")</f>
        <v>VIVIANA CECILIA GUZMAN GHISSAYS</v>
      </c>
      <c r="H2198" s="16">
        <f>IFERROR(__xludf.DUMMYFUNCTION("""COMPUTED_VALUE"""),10815.0)</f>
        <v>10815</v>
      </c>
      <c r="I2198" s="18">
        <f>IFERROR(__xludf.DUMMYFUNCTION("""COMPUTED_VALUE"""),1.0)</f>
        <v>1</v>
      </c>
      <c r="J2198" s="18">
        <f>IFERROR(__xludf.DUMMYFUNCTION("""COMPUTED_VALUE"""),1.0)</f>
        <v>1</v>
      </c>
      <c r="K2198" s="18">
        <f>IFERROR(__xludf.DUMMYFUNCTION("""COMPUTED_VALUE"""),1.0)</f>
        <v>1</v>
      </c>
      <c r="L2198" s="17">
        <f>IFERROR(__xludf.DUMMYFUNCTION("""COMPUTED_VALUE"""),3.183879871E9)</f>
        <v>3183879871</v>
      </c>
      <c r="M2198" s="17" t="str">
        <f>IFERROR(__xludf.DUMMYFUNCTION("""COMPUTED_VALUE"""),"#REF!")</f>
        <v>#REF!</v>
      </c>
      <c r="N2198" s="17"/>
      <c r="O2198" s="17"/>
      <c r="P2198" s="17" t="b">
        <f>IFERROR(__xludf.DUMMYFUNCTION("""COMPUTED_VALUE"""),FALSE)</f>
        <v>0</v>
      </c>
      <c r="Q2198" s="20" t="str">
        <f>IFERROR(__xludf.DUMMYFUNCTION("""COMPUTED_VALUE"""),"")</f>
        <v/>
      </c>
      <c r="R2198" s="22" t="str">
        <f>IFERROR(__xludf.DUMMYFUNCTION("""COMPUTED_VALUE"""),"")</f>
        <v/>
      </c>
    </row>
    <row r="2199">
      <c r="A2199" s="15">
        <f>IFERROR(__xludf.DUMMYFUNCTION("""COMPUTED_VALUE"""),45064.0)</f>
        <v>45064</v>
      </c>
      <c r="B2199" s="16" t="str">
        <f>IFERROR(__xludf.DUMMYFUNCTION("""COMPUTED_VALUE"""),"Envia")</f>
        <v>Envia</v>
      </c>
      <c r="C2199" s="15" t="str">
        <f>IFERROR(__xludf.DUMMYFUNCTION("""COMPUTED_VALUE"""),"MEDELLÍN")</f>
        <v>MEDELLÍN</v>
      </c>
      <c r="D2199" s="15" t="str">
        <f>IFERROR(__xludf.DUMMYFUNCTION("""COMPUTED_VALUE"""),"BOGOTÁ")</f>
        <v>BOGOTÁ</v>
      </c>
      <c r="E2199" s="15" t="str">
        <f>IFERROR(__xludf.DUMMYFUNCTION("""COMPUTED_VALUE"""),"Forever Dog")</f>
        <v>Forever Dog</v>
      </c>
      <c r="F2199" s="17" t="str">
        <f>IFERROR(__xludf.DUMMYFUNCTION("""COMPUTED_VALUE"""),"Calle 37 B # 81 a 109 / Torre Gabriel  / apto 103")</f>
        <v>Calle 37 B # 81 a 109 / Torre Gabriel  / apto 103</v>
      </c>
      <c r="G2199" s="15" t="str">
        <f>IFERROR(__xludf.DUMMYFUNCTION("""COMPUTED_VALUE"""),"Jenn Sua")</f>
        <v>Jenn Sua</v>
      </c>
      <c r="H2199" s="16">
        <f>IFERROR(__xludf.DUMMYFUNCTION("""COMPUTED_VALUE"""),10771.0)</f>
        <v>10771</v>
      </c>
      <c r="I2199" s="18">
        <f>IFERROR(__xludf.DUMMYFUNCTION("""COMPUTED_VALUE"""),21.0)</f>
        <v>21</v>
      </c>
      <c r="J2199" s="18">
        <f>IFERROR(__xludf.DUMMYFUNCTION("""COMPUTED_VALUE"""),50.0)</f>
        <v>50</v>
      </c>
      <c r="K2199" s="18">
        <f>IFERROR(__xludf.DUMMYFUNCTION("""COMPUTED_VALUE"""),30.0)</f>
        <v>30</v>
      </c>
      <c r="L2199" s="17">
        <f>IFERROR(__xludf.DUMMYFUNCTION("""COMPUTED_VALUE"""),3.14202892E9)</f>
        <v>3142028920</v>
      </c>
      <c r="M2199" s="17" t="str">
        <f>IFERROR(__xludf.DUMMYFUNCTION("""COMPUTED_VALUE"""),"#REF!")</f>
        <v>#REF!</v>
      </c>
      <c r="N2199" s="17"/>
      <c r="O2199" s="17"/>
      <c r="P2199" s="17" t="b">
        <f>IFERROR(__xludf.DUMMYFUNCTION("""COMPUTED_VALUE"""),TRUE)</f>
        <v>1</v>
      </c>
      <c r="Q2199" s="20">
        <f>IFERROR(__xludf.DUMMYFUNCTION("""COMPUTED_VALUE"""),45064.53264160879)</f>
        <v>45064.53264</v>
      </c>
      <c r="R2199" s="22" t="str">
        <f>IFERROR(__xludf.DUMMYFUNCTION("""COMPUTED_VALUE"""),"")</f>
        <v/>
      </c>
    </row>
    <row r="2200">
      <c r="A2200" s="15">
        <f>IFERROR(__xludf.DUMMYFUNCTION("""COMPUTED_VALUE"""),45064.0)</f>
        <v>45064</v>
      </c>
      <c r="B2200" s="16" t="str">
        <f>IFERROR(__xludf.DUMMYFUNCTION("""COMPUTED_VALUE"""),"Envia")</f>
        <v>Envia</v>
      </c>
      <c r="C2200" s="15" t="str">
        <f>IFERROR(__xludf.DUMMYFUNCTION("""COMPUTED_VALUE"""),"NEIVA")</f>
        <v>NEIVA</v>
      </c>
      <c r="D2200" s="15" t="str">
        <f>IFERROR(__xludf.DUMMYFUNCTION("""COMPUTED_VALUE"""),"BOGOTÁ")</f>
        <v>BOGOTÁ</v>
      </c>
      <c r="E2200" s="15" t="str">
        <f>IFERROR(__xludf.DUMMYFUNCTION("""COMPUTED_VALUE"""),"Evamazzita")</f>
        <v>Evamazzita</v>
      </c>
      <c r="F2200" s="17" t="str">
        <f>IFERROR(__xludf.DUMMYFUNCTION("""COMPUTED_VALUE"""),"Avenida cra 30 No.27-45 sur  / casa 82   / Condominio caminos De Santiago")</f>
        <v>Avenida cra 30 No.27-45 sur  / casa 82   / Condominio caminos De Santiago</v>
      </c>
      <c r="G2200" s="15" t="str">
        <f>IFERROR(__xludf.DUMMYFUNCTION("""COMPUTED_VALUE"""),"CAROLINA CORONADO PEÑA")</f>
        <v>CAROLINA CORONADO PEÑA</v>
      </c>
      <c r="H2200" s="16">
        <f>IFERROR(__xludf.DUMMYFUNCTION("""COMPUTED_VALUE"""),10821.0)</f>
        <v>10821</v>
      </c>
      <c r="I2200" s="18">
        <f>IFERROR(__xludf.DUMMYFUNCTION("""COMPUTED_VALUE"""),3.0)</f>
        <v>3</v>
      </c>
      <c r="J2200" s="18">
        <f>IFERROR(__xludf.DUMMYFUNCTION("""COMPUTED_VALUE"""),20.0)</f>
        <v>20</v>
      </c>
      <c r="K2200" s="18">
        <f>IFERROR(__xludf.DUMMYFUNCTION("""COMPUTED_VALUE"""),15.0)</f>
        <v>15</v>
      </c>
      <c r="L2200" s="17">
        <f>IFERROR(__xludf.DUMMYFUNCTION("""COMPUTED_VALUE"""),3.157765788E9)</f>
        <v>3157765788</v>
      </c>
      <c r="M2200" s="17" t="str">
        <f>IFERROR(__xludf.DUMMYFUNCTION("""COMPUTED_VALUE"""),"#REF!")</f>
        <v>#REF!</v>
      </c>
      <c r="N2200" s="17"/>
      <c r="O2200" s="17"/>
      <c r="P2200" s="17" t="b">
        <f>IFERROR(__xludf.DUMMYFUNCTION("""COMPUTED_VALUE"""),TRUE)</f>
        <v>1</v>
      </c>
      <c r="Q2200" s="20">
        <f>IFERROR(__xludf.DUMMYFUNCTION("""COMPUTED_VALUE"""),45064.53266885417)</f>
        <v>45064.53267</v>
      </c>
      <c r="R2200" s="22" t="str">
        <f>IFERROR(__xludf.DUMMYFUNCTION("""COMPUTED_VALUE"""),"")</f>
        <v/>
      </c>
    </row>
    <row r="2201">
      <c r="A2201" s="15">
        <f>IFERROR(__xludf.DUMMYFUNCTION("""COMPUTED_VALUE"""),45064.0)</f>
        <v>45064</v>
      </c>
      <c r="B2201" s="16" t="str">
        <f>IFERROR(__xludf.DUMMYFUNCTION("""COMPUTED_VALUE"""),"Envia")</f>
        <v>Envia</v>
      </c>
      <c r="C2201" s="15" t="str">
        <f>IFERROR(__xludf.DUMMYFUNCTION("""COMPUTED_VALUE"""),"POPAYAN")</f>
        <v>POPAYAN</v>
      </c>
      <c r="D2201" s="15" t="str">
        <f>IFERROR(__xludf.DUMMYFUNCTION("""COMPUTED_VALUE"""),"BOGOTÁ")</f>
        <v>BOGOTÁ</v>
      </c>
      <c r="E2201" s="15" t="str">
        <f>IFERROR(__xludf.DUMMYFUNCTION("""COMPUTED_VALUE"""),"Evamazzita")</f>
        <v>Evamazzita</v>
      </c>
      <c r="F2201" s="17" t="str">
        <f>IFERROR(__xludf.DUMMYFUNCTION("""COMPUTED_VALUE"""),"CRA 6 # 27N - 58  / LOCAL 1  - VIVEA MERCADO SALUDABLE / BARRIO LOS HOYOS")</f>
        <v>CRA 6 # 27N - 58  / LOCAL 1  - VIVEA MERCADO SALUDABLE / BARRIO LOS HOYOS</v>
      </c>
      <c r="G2201" s="15" t="str">
        <f>IFERROR(__xludf.DUMMYFUNCTION("""COMPUTED_VALUE"""),"VIVIANA ANDREA CHAMORRO YANZA")</f>
        <v>VIVIANA ANDREA CHAMORRO YANZA</v>
      </c>
      <c r="H2201" s="16">
        <f>IFERROR(__xludf.DUMMYFUNCTION("""COMPUTED_VALUE"""),10818.0)</f>
        <v>10818</v>
      </c>
      <c r="I2201" s="18">
        <f>IFERROR(__xludf.DUMMYFUNCTION("""COMPUTED_VALUE"""),13.0)</f>
        <v>13</v>
      </c>
      <c r="J2201" s="18">
        <f>IFERROR(__xludf.DUMMYFUNCTION("""COMPUTED_VALUE"""),32.0)</f>
        <v>32</v>
      </c>
      <c r="K2201" s="18">
        <f>IFERROR(__xludf.DUMMYFUNCTION("""COMPUTED_VALUE"""),23.0)</f>
        <v>23</v>
      </c>
      <c r="L2201" s="17">
        <f>IFERROR(__xludf.DUMMYFUNCTION("""COMPUTED_VALUE"""),3.122971002E9)</f>
        <v>3122971002</v>
      </c>
      <c r="M2201" s="17" t="str">
        <f>IFERROR(__xludf.DUMMYFUNCTION("""COMPUTED_VALUE"""),"#REF!")</f>
        <v>#REF!</v>
      </c>
      <c r="N2201" s="17"/>
      <c r="O2201" s="17"/>
      <c r="P2201" s="17" t="b">
        <f>IFERROR(__xludf.DUMMYFUNCTION("""COMPUTED_VALUE"""),TRUE)</f>
        <v>1</v>
      </c>
      <c r="Q2201" s="20">
        <f>IFERROR(__xludf.DUMMYFUNCTION("""COMPUTED_VALUE"""),45064.53266885417)</f>
        <v>45064.53267</v>
      </c>
      <c r="R2201" s="22" t="str">
        <f>IFERROR(__xludf.DUMMYFUNCTION("""COMPUTED_VALUE"""),"")</f>
        <v/>
      </c>
    </row>
    <row r="2202">
      <c r="A2202" s="15">
        <f>IFERROR(__xludf.DUMMYFUNCTION("""COMPUTED_VALUE"""),45064.0)</f>
        <v>45064</v>
      </c>
      <c r="B2202" s="16" t="str">
        <f>IFERROR(__xludf.DUMMYFUNCTION("""COMPUTED_VALUE"""),"Envia")</f>
        <v>Envia</v>
      </c>
      <c r="C2202" s="15" t="str">
        <f>IFERROR(__xludf.DUMMYFUNCTION("""COMPUTED_VALUE"""),"POPAYAN")</f>
        <v>POPAYAN</v>
      </c>
      <c r="D2202" s="15" t="str">
        <f>IFERROR(__xludf.DUMMYFUNCTION("""COMPUTED_VALUE"""),"BOGOTÁ")</f>
        <v>BOGOTÁ</v>
      </c>
      <c r="E2202" s="15" t="str">
        <f>IFERROR(__xludf.DUMMYFUNCTION("""COMPUTED_VALUE"""),"Ins. Alimento Vital")</f>
        <v>Ins. Alimento Vital</v>
      </c>
      <c r="F2202" s="17" t="str">
        <f>IFERROR(__xludf.DUMMYFUNCTION("""COMPUTED_VALUE"""),"ATARDECERES DE LA PRADERA / CASA 9  / AL CEMENTERIO JARDINES DE LA PAZ VARIANTE NORTE")</f>
        <v>ATARDECERES DE LA PRADERA / CASA 9  / AL CEMENTERIO JARDINES DE LA PAZ VARIANTE NORTE</v>
      </c>
      <c r="G2202" s="15" t="str">
        <f>IFERROR(__xludf.DUMMYFUNCTION("""COMPUTED_VALUE"""),"VICTOR HUGO MORALES HORMIGA")</f>
        <v>VICTOR HUGO MORALES HORMIGA</v>
      </c>
      <c r="H2202" s="16">
        <f>IFERROR(__xludf.DUMMYFUNCTION("""COMPUTED_VALUE"""),10829.0)</f>
        <v>10829</v>
      </c>
      <c r="I2202" s="18">
        <f>IFERROR(__xludf.DUMMYFUNCTION("""COMPUTED_VALUE"""),1.0)</f>
        <v>1</v>
      </c>
      <c r="J2202" s="18">
        <f>IFERROR(__xludf.DUMMYFUNCTION("""COMPUTED_VALUE"""),1.0)</f>
        <v>1</v>
      </c>
      <c r="K2202" s="18">
        <f>IFERROR(__xludf.DUMMYFUNCTION("""COMPUTED_VALUE"""),1.0)</f>
        <v>1</v>
      </c>
      <c r="L2202" s="17">
        <f>IFERROR(__xludf.DUMMYFUNCTION("""COMPUTED_VALUE"""),3.148536593E9)</f>
        <v>3148536593</v>
      </c>
      <c r="M2202" s="17" t="str">
        <f>IFERROR(__xludf.DUMMYFUNCTION("""COMPUTED_VALUE"""),"#REF!")</f>
        <v>#REF!</v>
      </c>
      <c r="N2202" s="17"/>
      <c r="O2202" s="17"/>
      <c r="P2202" s="17" t="b">
        <f>IFERROR(__xludf.DUMMYFUNCTION("""COMPUTED_VALUE"""),FALSE)</f>
        <v>0</v>
      </c>
      <c r="Q2202" s="20" t="str">
        <f>IFERROR(__xludf.DUMMYFUNCTION("""COMPUTED_VALUE"""),"")</f>
        <v/>
      </c>
      <c r="R2202" s="22" t="str">
        <f>IFERROR(__xludf.DUMMYFUNCTION("""COMPUTED_VALUE"""),"")</f>
        <v/>
      </c>
    </row>
    <row r="2203">
      <c r="A2203" s="15">
        <f>IFERROR(__xludf.DUMMYFUNCTION("""COMPUTED_VALUE"""),45064.0)</f>
        <v>45064</v>
      </c>
      <c r="B2203" s="16" t="str">
        <f>IFERROR(__xludf.DUMMYFUNCTION("""COMPUTED_VALUE"""),"Envia")</f>
        <v>Envia</v>
      </c>
      <c r="C2203" s="15" t="str">
        <f>IFERROR(__xludf.DUMMYFUNCTION("""COMPUTED_VALUE"""),"TULUA")</f>
        <v>TULUA</v>
      </c>
      <c r="D2203" s="15" t="str">
        <f>IFERROR(__xludf.DUMMYFUNCTION("""COMPUTED_VALUE"""),"BOGOTÁ")</f>
        <v>BOGOTÁ</v>
      </c>
      <c r="E2203" s="15" t="str">
        <f>IFERROR(__xludf.DUMMYFUNCTION("""COMPUTED_VALUE"""),"Evamazzita")</f>
        <v>Evamazzita</v>
      </c>
      <c r="F2203" s="17" t="str">
        <f>IFERROR(__xludf.DUMMYFUNCTION("""COMPUTED_VALUE"""),"Transversal 11 # 22-18.   / N/A / Barrio Chiminangos")</f>
        <v>Transversal 11 # 22-18.   / N/A / Barrio Chiminangos</v>
      </c>
      <c r="G2203" s="15" t="str">
        <f>IFERROR(__xludf.DUMMYFUNCTION("""COMPUTED_VALUE"""),"TANIA RUIZ HERNANDEZ")</f>
        <v>TANIA RUIZ HERNANDEZ</v>
      </c>
      <c r="H2203" s="16">
        <f>IFERROR(__xludf.DUMMYFUNCTION("""COMPUTED_VALUE"""),10824.0)</f>
        <v>10824</v>
      </c>
      <c r="I2203" s="18">
        <f>IFERROR(__xludf.DUMMYFUNCTION("""COMPUTED_VALUE"""),15.0)</f>
        <v>15</v>
      </c>
      <c r="J2203" s="18">
        <f>IFERROR(__xludf.DUMMYFUNCTION("""COMPUTED_VALUE"""),15.0)</f>
        <v>15</v>
      </c>
      <c r="K2203" s="18">
        <f>IFERROR(__xludf.DUMMYFUNCTION("""COMPUTED_VALUE"""),10.0)</f>
        <v>10</v>
      </c>
      <c r="L2203" s="17">
        <f>IFERROR(__xludf.DUMMYFUNCTION("""COMPUTED_VALUE"""),3.164319841E9)</f>
        <v>3164319841</v>
      </c>
      <c r="M2203" s="17" t="str">
        <f>IFERROR(__xludf.DUMMYFUNCTION("""COMPUTED_VALUE"""),"#REF!")</f>
        <v>#REF!</v>
      </c>
      <c r="N2203" s="17"/>
      <c r="O2203" s="17"/>
      <c r="P2203" s="17" t="b">
        <f>IFERROR(__xludf.DUMMYFUNCTION("""COMPUTED_VALUE"""),FALSE)</f>
        <v>0</v>
      </c>
      <c r="Q2203" s="20" t="str">
        <f>IFERROR(__xludf.DUMMYFUNCTION("""COMPUTED_VALUE"""),"")</f>
        <v/>
      </c>
      <c r="R2203" s="22" t="str">
        <f>IFERROR(__xludf.DUMMYFUNCTION("""COMPUTED_VALUE"""),"")</f>
        <v/>
      </c>
    </row>
    <row r="2204">
      <c r="A2204" s="15">
        <f>IFERROR(__xludf.DUMMYFUNCTION("""COMPUTED_VALUE"""),45064.0)</f>
        <v>45064</v>
      </c>
      <c r="B2204" s="16" t="str">
        <f>IFERROR(__xludf.DUMMYFUNCTION("""COMPUTED_VALUE"""),"Envia")</f>
        <v>Envia</v>
      </c>
      <c r="C2204" s="15" t="str">
        <f>IFERROR(__xludf.DUMMYFUNCTION("""COMPUTED_VALUE"""),"VILLAVICENCIO")</f>
        <v>VILLAVICENCIO</v>
      </c>
      <c r="D2204" s="15" t="str">
        <f>IFERROR(__xludf.DUMMYFUNCTION("""COMPUTED_VALUE"""),"BOGOTÁ")</f>
        <v>BOGOTÁ</v>
      </c>
      <c r="E2204" s="15" t="str">
        <f>IFERROR(__xludf.DUMMYFUNCTION("""COMPUTED_VALUE"""),"Viiva Fermentados")</f>
        <v>Viiva Fermentados</v>
      </c>
      <c r="F2204" s="17" t="str">
        <f>IFERROR(__xludf.DUMMYFUNCTION("""COMPUTED_VALUE"""),"Calle 15 #44D-28 Local 1 / Edificio Palos de Caña / local 1")</f>
        <v>Calle 15 #44D-28 Local 1 / Edificio Palos de Caña / local 1</v>
      </c>
      <c r="G2204" s="15" t="str">
        <f>IFERROR(__xludf.DUMMYFUNCTION("""COMPUTED_VALUE"""),"Sana Tentación - Sally")</f>
        <v>Sana Tentación - Sally</v>
      </c>
      <c r="H2204" s="16">
        <f>IFERROR(__xludf.DUMMYFUNCTION("""COMPUTED_VALUE"""),10628.0)</f>
        <v>10628</v>
      </c>
      <c r="I2204" s="18">
        <f>IFERROR(__xludf.DUMMYFUNCTION("""COMPUTED_VALUE"""),17.0)</f>
        <v>17</v>
      </c>
      <c r="J2204" s="18">
        <f>IFERROR(__xludf.DUMMYFUNCTION("""COMPUTED_VALUE"""),40.0)</f>
        <v>40</v>
      </c>
      <c r="K2204" s="18">
        <f>IFERROR(__xludf.DUMMYFUNCTION("""COMPUTED_VALUE"""),30.0)</f>
        <v>30</v>
      </c>
      <c r="L2204" s="17">
        <f>IFERROR(__xludf.DUMMYFUNCTION("""COMPUTED_VALUE"""),3.008383044E9)</f>
        <v>3008383044</v>
      </c>
      <c r="M2204" s="17" t="str">
        <f>IFERROR(__xludf.DUMMYFUNCTION("""COMPUTED_VALUE"""),"#REF!")</f>
        <v>#REF!</v>
      </c>
      <c r="N2204" s="17"/>
      <c r="O2204" s="17"/>
      <c r="P2204" s="17" t="b">
        <f>IFERROR(__xludf.DUMMYFUNCTION("""COMPUTED_VALUE"""),FALSE)</f>
        <v>0</v>
      </c>
      <c r="Q2204" s="20" t="str">
        <f>IFERROR(__xludf.DUMMYFUNCTION("""COMPUTED_VALUE"""),"")</f>
        <v/>
      </c>
      <c r="R2204" s="22" t="str">
        <f>IFERROR(__xludf.DUMMYFUNCTION("""COMPUTED_VALUE"""),"")</f>
        <v/>
      </c>
    </row>
    <row r="2205">
      <c r="A2205" s="15">
        <f>IFERROR(__xludf.DUMMYFUNCTION("""COMPUTED_VALUE"""),45064.0)</f>
        <v>45064</v>
      </c>
      <c r="B2205" s="16" t="str">
        <f>IFERROR(__xludf.DUMMYFUNCTION("""COMPUTED_VALUE"""),"Envia")</f>
        <v>Envia</v>
      </c>
      <c r="C2205" s="15" t="str">
        <f>IFERROR(__xludf.DUMMYFUNCTION("""COMPUTED_VALUE"""),"VILLAVICENCIO")</f>
        <v>VILLAVICENCIO</v>
      </c>
      <c r="D2205" s="15" t="str">
        <f>IFERROR(__xludf.DUMMYFUNCTION("""COMPUTED_VALUE"""),"BOGOTÁ")</f>
        <v>BOGOTÁ</v>
      </c>
      <c r="E2205" s="15" t="str">
        <f>IFERROR(__xludf.DUMMYFUNCTION("""COMPUTED_VALUE"""),"Viiva Fermentados")</f>
        <v>Viiva Fermentados</v>
      </c>
      <c r="F2205" s="17" t="str">
        <f>IFERROR(__xludf.DUMMYFUNCTION("""COMPUTED_VALUE"""),"Calle 34#37-21,  / local 201 / barrio El Barzal,")</f>
        <v>Calle 34#37-21,  / local 201 / barrio El Barzal,</v>
      </c>
      <c r="G2205" s="15" t="str">
        <f>IFERROR(__xludf.DUMMYFUNCTION("""COMPUTED_VALUE"""),"Natalia Beltrán (Originaria)")</f>
        <v>Natalia Beltrán (Originaria)</v>
      </c>
      <c r="H2205" s="16">
        <f>IFERROR(__xludf.DUMMYFUNCTION("""COMPUTED_VALUE"""),10629.0)</f>
        <v>10629</v>
      </c>
      <c r="I2205" s="18">
        <f>IFERROR(__xludf.DUMMYFUNCTION("""COMPUTED_VALUE"""),27.0)</f>
        <v>27</v>
      </c>
      <c r="J2205" s="18">
        <f>IFERROR(__xludf.DUMMYFUNCTION("""COMPUTED_VALUE"""),18.0)</f>
        <v>18</v>
      </c>
      <c r="K2205" s="18">
        <f>IFERROR(__xludf.DUMMYFUNCTION("""COMPUTED_VALUE"""),18.0)</f>
        <v>18</v>
      </c>
      <c r="L2205" s="17">
        <f>IFERROR(__xludf.DUMMYFUNCTION("""COMPUTED_VALUE"""),3.007785675E9)</f>
        <v>3007785675</v>
      </c>
      <c r="M2205" s="17" t="str">
        <f>IFERROR(__xludf.DUMMYFUNCTION("""COMPUTED_VALUE"""),"#REF!")</f>
        <v>#REF!</v>
      </c>
      <c r="N2205" s="17"/>
      <c r="O2205" s="17"/>
      <c r="P2205" s="17" t="b">
        <f>IFERROR(__xludf.DUMMYFUNCTION("""COMPUTED_VALUE"""),FALSE)</f>
        <v>0</v>
      </c>
      <c r="Q2205" s="20" t="str">
        <f>IFERROR(__xludf.DUMMYFUNCTION("""COMPUTED_VALUE"""),"")</f>
        <v/>
      </c>
      <c r="R2205" s="22" t="str">
        <f>IFERROR(__xludf.DUMMYFUNCTION("""COMPUTED_VALUE"""),"")</f>
        <v/>
      </c>
    </row>
    <row r="2206">
      <c r="A2206" s="17" t="str">
        <f>IFERROR(__xludf.DUMMYFUNCTION("""COMPUTED_VALUE"""),"")</f>
        <v/>
      </c>
      <c r="B2206" s="17" t="str">
        <f>IFERROR(__xludf.DUMMYFUNCTION("""COMPUTED_VALUE"""),"")</f>
        <v/>
      </c>
      <c r="C2206" s="17" t="str">
        <f>IFERROR(__xludf.DUMMYFUNCTION("""COMPUTED_VALUE"""),"")</f>
        <v/>
      </c>
      <c r="D2206" s="17" t="str">
        <f>IFERROR(__xludf.DUMMYFUNCTION("""COMPUTED_VALUE"""),"")</f>
        <v/>
      </c>
      <c r="E2206" s="17" t="str">
        <f>IFERROR(__xludf.DUMMYFUNCTION("""COMPUTED_VALUE"""),"")</f>
        <v/>
      </c>
      <c r="F2206" s="17" t="str">
        <f>IFERROR(__xludf.DUMMYFUNCTION("""COMPUTED_VALUE"""),"")</f>
        <v/>
      </c>
      <c r="G2206" s="17" t="str">
        <f>IFERROR(__xludf.DUMMYFUNCTION("""COMPUTED_VALUE"""),"")</f>
        <v/>
      </c>
      <c r="H2206" s="17" t="str">
        <f>IFERROR(__xludf.DUMMYFUNCTION("""COMPUTED_VALUE"""),"")</f>
        <v/>
      </c>
      <c r="I2206" s="17" t="str">
        <f>IFERROR(__xludf.DUMMYFUNCTION("""COMPUTED_VALUE"""),"")</f>
        <v/>
      </c>
      <c r="J2206" s="17" t="str">
        <f>IFERROR(__xludf.DUMMYFUNCTION("""COMPUTED_VALUE"""),"")</f>
        <v/>
      </c>
      <c r="K2206" s="17" t="str">
        <f>IFERROR(__xludf.DUMMYFUNCTION("""COMPUTED_VALUE"""),"")</f>
        <v/>
      </c>
      <c r="L2206" s="17" t="str">
        <f>IFERROR(__xludf.DUMMYFUNCTION("""COMPUTED_VALUE"""),"")</f>
        <v/>
      </c>
      <c r="M2206" s="17" t="str">
        <f>IFERROR(__xludf.DUMMYFUNCTION("""COMPUTED_VALUE"""),"")</f>
        <v/>
      </c>
      <c r="N2206" s="17" t="str">
        <f>IFERROR(__xludf.DUMMYFUNCTION("""COMPUTED_VALUE"""),"")</f>
        <v/>
      </c>
      <c r="O2206" s="17" t="str">
        <f>IFERROR(__xludf.DUMMYFUNCTION("""COMPUTED_VALUE"""),"")</f>
        <v/>
      </c>
      <c r="P2206" s="17" t="str">
        <f>IFERROR(__xludf.DUMMYFUNCTION("""COMPUTED_VALUE"""),"")</f>
        <v/>
      </c>
      <c r="Q2206" s="17" t="str">
        <f>IFERROR(__xludf.DUMMYFUNCTION("""COMPUTED_VALUE"""),"")</f>
        <v/>
      </c>
      <c r="R2206" s="17" t="str">
        <f>IFERROR(__xludf.DUMMYFUNCTION("""COMPUTED_VALUE"""),"")</f>
        <v/>
      </c>
    </row>
    <row r="2207">
      <c r="A2207" s="15">
        <f>IFERROR(__xludf.DUMMYFUNCTION("""COMPUTED_VALUE"""),45064.0)</f>
        <v>45064</v>
      </c>
      <c r="B2207" s="16" t="str">
        <f>IFERROR(__xludf.DUMMYFUNCTION("""COMPUTED_VALUE"""),"Jesus Manuel Herrera Medina ")</f>
        <v>Jesus Manuel Herrera Medina </v>
      </c>
      <c r="C2207" s="15" t="str">
        <f>IFERROR(__xludf.DUMMYFUNCTION("""COMPUTED_VALUE"""),"ARMENIA")</f>
        <v>ARMENIA</v>
      </c>
      <c r="D2207" s="15" t="str">
        <f>IFERROR(__xludf.DUMMYFUNCTION("""COMPUTED_VALUE"""),"MEDELLÍN")</f>
        <v>MEDELLÍN</v>
      </c>
      <c r="E2207" s="15" t="str">
        <f>IFERROR(__xludf.DUMMYFUNCTION("""COMPUTED_VALUE"""),"TOLEDALES S.A.S")</f>
        <v>TOLEDALES S.A.S</v>
      </c>
      <c r="F2207" s="17" t="str">
        <f>IFERROR(__xludf.DUMMYFUNCTION("""COMPUTED_VALUE"""),"Cll23A norte 19 47 / casa 2")</f>
        <v>Cll23A norte 19 47 / casa 2</v>
      </c>
      <c r="G2207" s="15" t="str">
        <f>IFERROR(__xludf.DUMMYFUNCTION("""COMPUTED_VALUE"""),"sandra salas")</f>
        <v>sandra salas</v>
      </c>
      <c r="H2207" s="16">
        <f>IFERROR(__xludf.DUMMYFUNCTION("""COMPUTED_VALUE"""),10808.0)</f>
        <v>10808</v>
      </c>
      <c r="I2207" s="18">
        <f>IFERROR(__xludf.DUMMYFUNCTION("""COMPUTED_VALUE"""),22.0)</f>
        <v>22</v>
      </c>
      <c r="J2207" s="18">
        <f>IFERROR(__xludf.DUMMYFUNCTION("""COMPUTED_VALUE"""),27.0)</f>
        <v>27</v>
      </c>
      <c r="K2207" s="18">
        <f>IFERROR(__xludf.DUMMYFUNCTION("""COMPUTED_VALUE"""),48.0)</f>
        <v>48</v>
      </c>
      <c r="L2207" s="17">
        <f>IFERROR(__xludf.DUMMYFUNCTION("""COMPUTED_VALUE"""),3.176643506E9)</f>
        <v>3176643506</v>
      </c>
      <c r="M2207" s="17" t="str">
        <f>IFERROR(__xludf.DUMMYFUNCTION("""COMPUTED_VALUE"""),"#REF!")</f>
        <v>#REF!</v>
      </c>
      <c r="N2207" s="17"/>
      <c r="O2207" s="17"/>
      <c r="P2207" s="17" t="b">
        <f>IFERROR(__xludf.DUMMYFUNCTION("""COMPUTED_VALUE"""),TRUE)</f>
        <v>1</v>
      </c>
      <c r="Q2207" s="20">
        <f>IFERROR(__xludf.DUMMYFUNCTION("""COMPUTED_VALUE"""),45064.45700417824)</f>
        <v>45064.457</v>
      </c>
      <c r="R2207" s="22" t="str">
        <f>IFERROR(__xludf.DUMMYFUNCTION("""COMPUTED_VALUE"""),"")</f>
        <v/>
      </c>
    </row>
    <row r="2208">
      <c r="A2208" s="17" t="str">
        <f>IFERROR(__xludf.DUMMYFUNCTION("""COMPUTED_VALUE"""),"")</f>
        <v/>
      </c>
      <c r="B2208" s="17" t="str">
        <f>IFERROR(__xludf.DUMMYFUNCTION("""COMPUTED_VALUE"""),"")</f>
        <v/>
      </c>
      <c r="C2208" s="17" t="str">
        <f>IFERROR(__xludf.DUMMYFUNCTION("""COMPUTED_VALUE"""),"")</f>
        <v/>
      </c>
      <c r="D2208" s="17" t="str">
        <f>IFERROR(__xludf.DUMMYFUNCTION("""COMPUTED_VALUE"""),"")</f>
        <v/>
      </c>
      <c r="E2208" s="17" t="str">
        <f>IFERROR(__xludf.DUMMYFUNCTION("""COMPUTED_VALUE"""),"")</f>
        <v/>
      </c>
      <c r="F2208" s="17" t="str">
        <f>IFERROR(__xludf.DUMMYFUNCTION("""COMPUTED_VALUE"""),"")</f>
        <v/>
      </c>
      <c r="G2208" s="17" t="str">
        <f>IFERROR(__xludf.DUMMYFUNCTION("""COMPUTED_VALUE"""),"")</f>
        <v/>
      </c>
      <c r="H2208" s="17" t="str">
        <f>IFERROR(__xludf.DUMMYFUNCTION("""COMPUTED_VALUE"""),"")</f>
        <v/>
      </c>
      <c r="I2208" s="17" t="str">
        <f>IFERROR(__xludf.DUMMYFUNCTION("""COMPUTED_VALUE"""),"")</f>
        <v/>
      </c>
      <c r="J2208" s="17" t="str">
        <f>IFERROR(__xludf.DUMMYFUNCTION("""COMPUTED_VALUE"""),"")</f>
        <v/>
      </c>
      <c r="K2208" s="17" t="str">
        <f>IFERROR(__xludf.DUMMYFUNCTION("""COMPUTED_VALUE"""),"")</f>
        <v/>
      </c>
      <c r="L2208" s="17" t="str">
        <f>IFERROR(__xludf.DUMMYFUNCTION("""COMPUTED_VALUE"""),"")</f>
        <v/>
      </c>
      <c r="M2208" s="17" t="str">
        <f>IFERROR(__xludf.DUMMYFUNCTION("""COMPUTED_VALUE"""),"")</f>
        <v/>
      </c>
      <c r="N2208" s="17" t="str">
        <f>IFERROR(__xludf.DUMMYFUNCTION("""COMPUTED_VALUE"""),"")</f>
        <v/>
      </c>
      <c r="O2208" s="17" t="str">
        <f>IFERROR(__xludf.DUMMYFUNCTION("""COMPUTED_VALUE"""),"")</f>
        <v/>
      </c>
      <c r="P2208" s="17" t="str">
        <f>IFERROR(__xludf.DUMMYFUNCTION("""COMPUTED_VALUE"""),"")</f>
        <v/>
      </c>
      <c r="Q2208" s="17" t="str">
        <f>IFERROR(__xludf.DUMMYFUNCTION("""COMPUTED_VALUE"""),"")</f>
        <v/>
      </c>
      <c r="R2208" s="17" t="str">
        <f>IFERROR(__xludf.DUMMYFUNCTION("""COMPUTED_VALUE"""),"")</f>
        <v/>
      </c>
    </row>
    <row r="2209">
      <c r="A2209" s="15">
        <f>IFERROR(__xludf.DUMMYFUNCTION("""COMPUTED_VALUE"""),45064.0)</f>
        <v>45064</v>
      </c>
      <c r="B2209" s="16" t="str">
        <f>IFERROR(__xludf.DUMMYFUNCTION("""COMPUTED_VALUE"""),"Julian Calderon Rodriguez ")</f>
        <v>Julian Calderon Rodriguez </v>
      </c>
      <c r="C2209" s="15" t="str">
        <f>IFERROR(__xludf.DUMMYFUNCTION("""COMPUTED_VALUE"""),"NEIVA")</f>
        <v>NEIVA</v>
      </c>
      <c r="D2209" s="15" t="str">
        <f>IFERROR(__xludf.DUMMYFUNCTION("""COMPUTED_VALUE"""),"BOGOTÁ")</f>
        <v>BOGOTÁ</v>
      </c>
      <c r="E2209" s="15" t="str">
        <f>IFERROR(__xludf.DUMMYFUNCTION("""COMPUTED_VALUE"""),"Evamazzita")</f>
        <v>Evamazzita</v>
      </c>
      <c r="F2209" s="17" t="str">
        <f>IFERROR(__xludf.DUMMYFUNCTION("""COMPUTED_VALUE"""),"CARRERA 42 # 18 A - 08  / TORRE H, APTO. 1008 / N/A")</f>
        <v>CARRERA 42 # 18 A - 08  / TORRE H, APTO. 1008 / N/A</v>
      </c>
      <c r="G2209" s="15" t="str">
        <f>IFERROR(__xludf.DUMMYFUNCTION("""COMPUTED_VALUE"""),"ISABEL MARTINEZ")</f>
        <v>ISABEL MARTINEZ</v>
      </c>
      <c r="H2209" s="16">
        <f>IFERROR(__xludf.DUMMYFUNCTION("""COMPUTED_VALUE"""),10822.0)</f>
        <v>10822</v>
      </c>
      <c r="I2209" s="18">
        <f>IFERROR(__xludf.DUMMYFUNCTION("""COMPUTED_VALUE"""),3.0)</f>
        <v>3</v>
      </c>
      <c r="J2209" s="18">
        <f>IFERROR(__xludf.DUMMYFUNCTION("""COMPUTED_VALUE"""),20.0)</f>
        <v>20</v>
      </c>
      <c r="K2209" s="18">
        <f>IFERROR(__xludf.DUMMYFUNCTION("""COMPUTED_VALUE"""),15.0)</f>
        <v>15</v>
      </c>
      <c r="L2209" s="17">
        <f>IFERROR(__xludf.DUMMYFUNCTION("""COMPUTED_VALUE"""),3.167464059E9)</f>
        <v>3167464059</v>
      </c>
      <c r="M2209" s="17" t="str">
        <f>IFERROR(__xludf.DUMMYFUNCTION("""COMPUTED_VALUE"""),"#REF!")</f>
        <v>#REF!</v>
      </c>
      <c r="N2209" s="17"/>
      <c r="O2209" s="17"/>
      <c r="P2209" s="17" t="b">
        <f>IFERROR(__xludf.DUMMYFUNCTION("""COMPUTED_VALUE"""),FALSE)</f>
        <v>0</v>
      </c>
      <c r="Q2209" s="20" t="str">
        <f>IFERROR(__xludf.DUMMYFUNCTION("""COMPUTED_VALUE"""),"")</f>
        <v/>
      </c>
      <c r="R2209" s="22" t="str">
        <f>IFERROR(__xludf.DUMMYFUNCTION("""COMPUTED_VALUE"""),"")</f>
        <v/>
      </c>
    </row>
    <row r="2210">
      <c r="A2210" s="15">
        <f>IFERROR(__xludf.DUMMYFUNCTION("""COMPUTED_VALUE"""),45064.0)</f>
        <v>45064</v>
      </c>
      <c r="B2210" s="16" t="str">
        <f>IFERROR(__xludf.DUMMYFUNCTION("""COMPUTED_VALUE"""),"Julian Calderon Rodriguez ")</f>
        <v>Julian Calderon Rodriguez </v>
      </c>
      <c r="C2210" s="15" t="str">
        <f>IFERROR(__xludf.DUMMYFUNCTION("""COMPUTED_VALUE"""),"NEIVA")</f>
        <v>NEIVA</v>
      </c>
      <c r="D2210" s="15" t="str">
        <f>IFERROR(__xludf.DUMMYFUNCTION("""COMPUTED_VALUE"""),"MEDELLÍN")</f>
        <v>MEDELLÍN</v>
      </c>
      <c r="E2210" s="15" t="str">
        <f>IFERROR(__xludf.DUMMYFUNCTION("""COMPUTED_VALUE"""),"Baby Chef")</f>
        <v>Baby Chef</v>
      </c>
      <c r="F2210" s="17" t="str">
        <f>IFERROR(__xludf.DUMMYFUNCTION("""COMPUTED_VALUE"""),"Cra 52 # 11 - 80 Apto 1206 Torre 5B Reserva de la Sierra - Neiva Huila / Cra 52 # 11 - 80 Apto 1206 Torre 5B Reserva de la Sierra - Neiva Huila / Cra 52 # 11 - 80 Apto 1206 Torre 5B Reserva de la Sierra - Neiva Huila")</f>
        <v>Cra 52 # 11 - 80 Apto 1206 Torre 5B Reserva de la Sierra - Neiva Huila / Cra 52 # 11 - 80 Apto 1206 Torre 5B Reserva de la Sierra - Neiva Huila / Cra 52 # 11 - 80 Apto 1206 Torre 5B Reserva de la Sierra - Neiva Huila</v>
      </c>
      <c r="G2210" s="15" t="str">
        <f>IFERROR(__xludf.DUMMYFUNCTION("""COMPUTED_VALUE"""),"Karin Jimenez")</f>
        <v>Karin Jimenez</v>
      </c>
      <c r="H2210" s="16">
        <f>IFERROR(__xludf.DUMMYFUNCTION("""COMPUTED_VALUE"""),10799.0)</f>
        <v>10799</v>
      </c>
      <c r="I2210" s="18">
        <f>IFERROR(__xludf.DUMMYFUNCTION("""COMPUTED_VALUE"""),8.0)</f>
        <v>8</v>
      </c>
      <c r="J2210" s="18">
        <f>IFERROR(__xludf.DUMMYFUNCTION("""COMPUTED_VALUE"""),16.0)</f>
        <v>16</v>
      </c>
      <c r="K2210" s="18">
        <f>IFERROR(__xludf.DUMMYFUNCTION("""COMPUTED_VALUE"""),20.0)</f>
        <v>20</v>
      </c>
      <c r="L2210" s="17">
        <f>IFERROR(__xludf.DUMMYFUNCTION("""COMPUTED_VALUE"""),3.008541461E9)</f>
        <v>3008541461</v>
      </c>
      <c r="M2210" s="17" t="str">
        <f>IFERROR(__xludf.DUMMYFUNCTION("""COMPUTED_VALUE"""),"#REF!")</f>
        <v>#REF!</v>
      </c>
      <c r="N2210" s="17"/>
      <c r="O2210" s="17"/>
      <c r="P2210" s="17" t="b">
        <f>IFERROR(__xludf.DUMMYFUNCTION("""COMPUTED_VALUE"""),FALSE)</f>
        <v>0</v>
      </c>
      <c r="Q2210" s="20" t="str">
        <f>IFERROR(__xludf.DUMMYFUNCTION("""COMPUTED_VALUE"""),"")</f>
        <v/>
      </c>
      <c r="R2210" s="22" t="str">
        <f>IFERROR(__xludf.DUMMYFUNCTION("""COMPUTED_VALUE"""),"")</f>
        <v/>
      </c>
    </row>
    <row r="2211">
      <c r="A2211" s="15">
        <f>IFERROR(__xludf.DUMMYFUNCTION("""COMPUTED_VALUE"""),45064.0)</f>
        <v>45064</v>
      </c>
      <c r="B2211" s="16" t="str">
        <f>IFERROR(__xludf.DUMMYFUNCTION("""COMPUTED_VALUE"""),"Julian Calderon Rodriguez ")</f>
        <v>Julian Calderon Rodriguez </v>
      </c>
      <c r="C2211" s="15" t="str">
        <f>IFERROR(__xludf.DUMMYFUNCTION("""COMPUTED_VALUE"""),"VILLAVICENCIO")</f>
        <v>VILLAVICENCIO</v>
      </c>
      <c r="D2211" s="15" t="str">
        <f>IFERROR(__xludf.DUMMYFUNCTION("""COMPUTED_VALUE"""),"BOGOTÁ")</f>
        <v>BOGOTÁ</v>
      </c>
      <c r="E2211" s="15" t="str">
        <f>IFERROR(__xludf.DUMMYFUNCTION("""COMPUTED_VALUE"""),"Asociacion Agropecuaria Juana Maria")</f>
        <v>Asociacion Agropecuaria Juana Maria</v>
      </c>
      <c r="F2211" s="17" t="str">
        <f>IFERROR(__xludf.DUMMYFUNCTION("""COMPUTED_VALUE"""),"CRA 12 # 37-18 CASA 80 CAMINO REAL ll")</f>
        <v>CRA 12 # 37-18 CASA 80 CAMINO REAL ll</v>
      </c>
      <c r="G2211" s="15" t="str">
        <f>IFERROR(__xludf.DUMMYFUNCTION("""COMPUTED_VALUE"""),"MARCELA LARA NIÑO")</f>
        <v>MARCELA LARA NIÑO</v>
      </c>
      <c r="H2211" s="16">
        <f>IFERROR(__xludf.DUMMYFUNCTION("""COMPUTED_VALUE"""),10665.0)</f>
        <v>10665</v>
      </c>
      <c r="I2211" s="18">
        <f>IFERROR(__xludf.DUMMYFUNCTION("""COMPUTED_VALUE"""),10.0)</f>
        <v>10</v>
      </c>
      <c r="J2211" s="18">
        <f>IFERROR(__xludf.DUMMYFUNCTION("""COMPUTED_VALUE"""),34.0)</f>
        <v>34</v>
      </c>
      <c r="K2211" s="18">
        <f>IFERROR(__xludf.DUMMYFUNCTION("""COMPUTED_VALUE"""),18.0)</f>
        <v>18</v>
      </c>
      <c r="L2211" s="17">
        <f>IFERROR(__xludf.DUMMYFUNCTION("""COMPUTED_VALUE"""),3.224685604E9)</f>
        <v>3224685604</v>
      </c>
      <c r="M2211" s="17" t="str">
        <f>IFERROR(__xludf.DUMMYFUNCTION("""COMPUTED_VALUE"""),"#REF!")</f>
        <v>#REF!</v>
      </c>
      <c r="N2211" s="17"/>
      <c r="O2211" s="17"/>
      <c r="P2211" s="17" t="b">
        <f>IFERROR(__xludf.DUMMYFUNCTION("""COMPUTED_VALUE"""),FALSE)</f>
        <v>0</v>
      </c>
      <c r="Q2211" s="20" t="str">
        <f>IFERROR(__xludf.DUMMYFUNCTION("""COMPUTED_VALUE"""),"")</f>
        <v/>
      </c>
      <c r="R2211" s="22" t="str">
        <f>IFERROR(__xludf.DUMMYFUNCTION("""COMPUTED_VALUE"""),"")</f>
        <v/>
      </c>
    </row>
    <row r="2212">
      <c r="A2212" s="15">
        <f>IFERROR(__xludf.DUMMYFUNCTION("""COMPUTED_VALUE"""),45064.0)</f>
        <v>45064</v>
      </c>
      <c r="B2212" s="16" t="str">
        <f>IFERROR(__xludf.DUMMYFUNCTION("""COMPUTED_VALUE"""),"Julian Calderon Rodriguez ")</f>
        <v>Julian Calderon Rodriguez </v>
      </c>
      <c r="C2212" s="15" t="str">
        <f>IFERROR(__xludf.DUMMYFUNCTION("""COMPUTED_VALUE"""),"VILLAVICENCIO")</f>
        <v>VILLAVICENCIO</v>
      </c>
      <c r="D2212" s="15" t="str">
        <f>IFERROR(__xludf.DUMMYFUNCTION("""COMPUTED_VALUE"""),"BOGOTÁ")</f>
        <v>BOGOTÁ</v>
      </c>
      <c r="E2212" s="15" t="str">
        <f>IFERROR(__xludf.DUMMYFUNCTION("""COMPUTED_VALUE"""),"Evamazzita")</f>
        <v>Evamazzita</v>
      </c>
      <c r="F2212" s="17" t="str">
        <f>IFERROR(__xludf.DUMMYFUNCTION("""COMPUTED_VALUE"""),"CALLE 47 BIS No. 28 - 55  / N/A / CAUDAL ORIENTAL")</f>
        <v>CALLE 47 BIS No. 28 - 55  / N/A / CAUDAL ORIENTAL</v>
      </c>
      <c r="G2212" s="15" t="str">
        <f>IFERROR(__xludf.DUMMYFUNCTION("""COMPUTED_VALUE"""),"ADRIANA LONDOÑO GUATEQUE")</f>
        <v>ADRIANA LONDOÑO GUATEQUE</v>
      </c>
      <c r="H2212" s="16">
        <f>IFERROR(__xludf.DUMMYFUNCTION("""COMPUTED_VALUE"""),10825.0)</f>
        <v>10825</v>
      </c>
      <c r="I2212" s="18">
        <f>IFERROR(__xludf.DUMMYFUNCTION("""COMPUTED_VALUE"""),3.0)</f>
        <v>3</v>
      </c>
      <c r="J2212" s="18">
        <f>IFERROR(__xludf.DUMMYFUNCTION("""COMPUTED_VALUE"""),15.0)</f>
        <v>15</v>
      </c>
      <c r="K2212" s="18">
        <f>IFERROR(__xludf.DUMMYFUNCTION("""COMPUTED_VALUE"""),20.0)</f>
        <v>20</v>
      </c>
      <c r="L2212" s="17">
        <f>IFERROR(__xludf.DUMMYFUNCTION("""COMPUTED_VALUE"""),3.12434977E9)</f>
        <v>3124349770</v>
      </c>
      <c r="M2212" s="17" t="str">
        <f>IFERROR(__xludf.DUMMYFUNCTION("""COMPUTED_VALUE"""),"#REF!")</f>
        <v>#REF!</v>
      </c>
      <c r="N2212" s="17"/>
      <c r="O2212" s="17"/>
      <c r="P2212" s="17" t="b">
        <f>IFERROR(__xludf.DUMMYFUNCTION("""COMPUTED_VALUE"""),TRUE)</f>
        <v>1</v>
      </c>
      <c r="Q2212" s="20">
        <f>IFERROR(__xludf.DUMMYFUNCTION("""COMPUTED_VALUE"""),45064.45703428241)</f>
        <v>45064.45703</v>
      </c>
      <c r="R2212" s="22" t="str">
        <f>IFERROR(__xludf.DUMMYFUNCTION("""COMPUTED_VALUE"""),"")</f>
        <v/>
      </c>
    </row>
    <row r="2213">
      <c r="A2213" s="15">
        <f>IFERROR(__xludf.DUMMYFUNCTION("""COMPUTED_VALUE"""),45064.0)</f>
        <v>45064</v>
      </c>
      <c r="B2213" s="16" t="str">
        <f>IFERROR(__xludf.DUMMYFUNCTION("""COMPUTED_VALUE"""),"Julian Calderon Rodriguez ")</f>
        <v>Julian Calderon Rodriguez </v>
      </c>
      <c r="C2213" s="15" t="str">
        <f>IFERROR(__xludf.DUMMYFUNCTION("""COMPUTED_VALUE"""),"VILLAVICENCIO")</f>
        <v>VILLAVICENCIO</v>
      </c>
      <c r="D2213" s="15" t="str">
        <f>IFERROR(__xludf.DUMMYFUNCTION("""COMPUTED_VALUE"""),"BOGOTÁ")</f>
        <v>BOGOTÁ</v>
      </c>
      <c r="E2213" s="15" t="str">
        <f>IFERROR(__xludf.DUMMYFUNCTION("""COMPUTED_VALUE"""),"Evamazzita")</f>
        <v>Evamazzita</v>
      </c>
      <c r="F2213" s="17" t="str">
        <f>IFERROR(__xludf.DUMMYFUNCTION("""COMPUTED_VALUE"""),"CALLE 5 No. 17 - 40  / N/A / B. MACUNAIMA")</f>
        <v>CALLE 5 No. 17 - 40  / N/A / B. MACUNAIMA</v>
      </c>
      <c r="G2213" s="15" t="str">
        <f>IFERROR(__xludf.DUMMYFUNCTION("""COMPUTED_VALUE"""),"PAOLA GUTIERREZ OSPINA")</f>
        <v>PAOLA GUTIERREZ OSPINA</v>
      </c>
      <c r="H2213" s="16">
        <f>IFERROR(__xludf.DUMMYFUNCTION("""COMPUTED_VALUE"""),10827.0)</f>
        <v>10827</v>
      </c>
      <c r="I2213" s="18">
        <f>IFERROR(__xludf.DUMMYFUNCTION("""COMPUTED_VALUE"""),10.0)</f>
        <v>10</v>
      </c>
      <c r="J2213" s="18">
        <f>IFERROR(__xludf.DUMMYFUNCTION("""COMPUTED_VALUE"""),18.0)</f>
        <v>18</v>
      </c>
      <c r="K2213" s="18">
        <f>IFERROR(__xludf.DUMMYFUNCTION("""COMPUTED_VALUE"""),22.0)</f>
        <v>22</v>
      </c>
      <c r="L2213" s="17">
        <f>IFERROR(__xludf.DUMMYFUNCTION("""COMPUTED_VALUE"""),3.107299413E9)</f>
        <v>3107299413</v>
      </c>
      <c r="M2213" s="17" t="str">
        <f>IFERROR(__xludf.DUMMYFUNCTION("""COMPUTED_VALUE"""),"#REF!")</f>
        <v>#REF!</v>
      </c>
      <c r="N2213" s="17"/>
      <c r="O2213" s="17"/>
      <c r="P2213" s="17" t="b">
        <f>IFERROR(__xludf.DUMMYFUNCTION("""COMPUTED_VALUE"""),TRUE)</f>
        <v>1</v>
      </c>
      <c r="Q2213" s="20">
        <f>IFERROR(__xludf.DUMMYFUNCTION("""COMPUTED_VALUE"""),45064.45706539352)</f>
        <v>45064.45707</v>
      </c>
      <c r="R2213" s="22" t="str">
        <f>IFERROR(__xludf.DUMMYFUNCTION("""COMPUTED_VALUE"""),"")</f>
        <v/>
      </c>
    </row>
    <row r="2214">
      <c r="A2214" s="15">
        <f>IFERROR(__xludf.DUMMYFUNCTION("""COMPUTED_VALUE"""),45064.0)</f>
        <v>45064</v>
      </c>
      <c r="B2214" s="16" t="str">
        <f>IFERROR(__xludf.DUMMYFUNCTION("""COMPUTED_VALUE"""),"Julian Calderon Rodriguez ")</f>
        <v>Julian Calderon Rodriguez </v>
      </c>
      <c r="C2214" s="15" t="str">
        <f>IFERROR(__xludf.DUMMYFUNCTION("""COMPUTED_VALUE"""),"VILLAVICENCIO")</f>
        <v>VILLAVICENCIO</v>
      </c>
      <c r="D2214" s="15" t="str">
        <f>IFERROR(__xludf.DUMMYFUNCTION("""COMPUTED_VALUE"""),"BOGOTÁ")</f>
        <v>BOGOTÁ</v>
      </c>
      <c r="E2214" s="15" t="str">
        <f>IFERROR(__xludf.DUMMYFUNCTION("""COMPUTED_VALUE"""),"Evamazzita")</f>
        <v>Evamazzita</v>
      </c>
      <c r="F2214" s="17" t="str">
        <f>IFERROR(__xludf.DUMMYFUNCTION("""COMPUTED_VALUE"""),"CONDOMINIO ARBOLEDA CAMPESTRE III  / MZ 2 CASA 2  / BARRIO AMARILO")</f>
        <v>CONDOMINIO ARBOLEDA CAMPESTRE III  / MZ 2 CASA 2  / BARRIO AMARILO</v>
      </c>
      <c r="G2214" s="15" t="str">
        <f>IFERROR(__xludf.DUMMYFUNCTION("""COMPUTED_VALUE"""),"JENNIFER REY")</f>
        <v>JENNIFER REY</v>
      </c>
      <c r="H2214" s="16">
        <f>IFERROR(__xludf.DUMMYFUNCTION("""COMPUTED_VALUE"""),10826.0)</f>
        <v>10826</v>
      </c>
      <c r="I2214" s="18">
        <f>IFERROR(__xludf.DUMMYFUNCTION("""COMPUTED_VALUE"""),3.0)</f>
        <v>3</v>
      </c>
      <c r="J2214" s="18">
        <f>IFERROR(__xludf.DUMMYFUNCTION("""COMPUTED_VALUE"""),20.0)</f>
        <v>20</v>
      </c>
      <c r="K2214" s="18">
        <f>IFERROR(__xludf.DUMMYFUNCTION("""COMPUTED_VALUE"""),15.0)</f>
        <v>15</v>
      </c>
      <c r="L2214" s="17">
        <f>IFERROR(__xludf.DUMMYFUNCTION("""COMPUTED_VALUE"""),3.168668917E9)</f>
        <v>3168668917</v>
      </c>
      <c r="M2214" s="17" t="str">
        <f>IFERROR(__xludf.DUMMYFUNCTION("""COMPUTED_VALUE"""),"#REF!")</f>
        <v>#REF!</v>
      </c>
      <c r="N2214" s="17"/>
      <c r="O2214" s="17"/>
      <c r="P2214" s="17" t="b">
        <f>IFERROR(__xludf.DUMMYFUNCTION("""COMPUTED_VALUE"""),FALSE)</f>
        <v>0</v>
      </c>
      <c r="Q2214" s="20" t="str">
        <f>IFERROR(__xludf.DUMMYFUNCTION("""COMPUTED_VALUE"""),"")</f>
        <v/>
      </c>
      <c r="R2214" s="22" t="str">
        <f>IFERROR(__xludf.DUMMYFUNCTION("""COMPUTED_VALUE"""),"")</f>
        <v/>
      </c>
    </row>
    <row r="2215">
      <c r="A2215" s="15">
        <f>IFERROR(__xludf.DUMMYFUNCTION("""COMPUTED_VALUE"""),45064.0)</f>
        <v>45064</v>
      </c>
      <c r="B2215" s="16" t="str">
        <f>IFERROR(__xludf.DUMMYFUNCTION("""COMPUTED_VALUE"""),"Julian Calderon Rodriguez ")</f>
        <v>Julian Calderon Rodriguez </v>
      </c>
      <c r="C2215" s="15" t="str">
        <f>IFERROR(__xludf.DUMMYFUNCTION("""COMPUTED_VALUE"""),"VILLAVICENCIO")</f>
        <v>VILLAVICENCIO</v>
      </c>
      <c r="D2215" s="15" t="str">
        <f>IFERROR(__xludf.DUMMYFUNCTION("""COMPUTED_VALUE"""),"BOGOTÁ")</f>
        <v>BOGOTÁ</v>
      </c>
      <c r="E2215" s="15" t="str">
        <f>IFERROR(__xludf.DUMMYFUNCTION("""COMPUTED_VALUE"""),"Lunchy Kids")</f>
        <v>Lunchy Kids</v>
      </c>
      <c r="F2215" s="17" t="str">
        <f>IFERROR(__xludf.DUMMYFUNCTION("""COMPUTED_VALUE"""),"Cra 19 número 2a- 61    / condominio portal del molino - Mza A casa 4a  / Villavicencio")</f>
        <v>Cra 19 número 2a- 61    / condominio portal del molino - Mza A casa 4a  / Villavicencio</v>
      </c>
      <c r="G2215" s="15" t="str">
        <f>IFERROR(__xludf.DUMMYFUNCTION("""COMPUTED_VALUE"""),"Ludy Elena Guatibonza")</f>
        <v>Ludy Elena Guatibonza</v>
      </c>
      <c r="H2215" s="16">
        <f>IFERROR(__xludf.DUMMYFUNCTION("""COMPUTED_VALUE"""),10719.0)</f>
        <v>10719</v>
      </c>
      <c r="I2215" s="18">
        <f>IFERROR(__xludf.DUMMYFUNCTION("""COMPUTED_VALUE"""),20.0)</f>
        <v>20</v>
      </c>
      <c r="J2215" s="18">
        <f>IFERROR(__xludf.DUMMYFUNCTION("""COMPUTED_VALUE"""),28.0)</f>
        <v>28</v>
      </c>
      <c r="K2215" s="18">
        <f>IFERROR(__xludf.DUMMYFUNCTION("""COMPUTED_VALUE"""),8.0)</f>
        <v>8</v>
      </c>
      <c r="L2215" s="17">
        <f>IFERROR(__xludf.DUMMYFUNCTION("""COMPUTED_VALUE"""),3.112379695E9)</f>
        <v>3112379695</v>
      </c>
      <c r="M2215" s="17" t="str">
        <f>IFERROR(__xludf.DUMMYFUNCTION("""COMPUTED_VALUE"""),"#REF!")</f>
        <v>#REF!</v>
      </c>
      <c r="N2215" s="17"/>
      <c r="O2215" s="17"/>
      <c r="P2215" s="17" t="b">
        <f>IFERROR(__xludf.DUMMYFUNCTION("""COMPUTED_VALUE"""),TRUE)</f>
        <v>1</v>
      </c>
      <c r="Q2215" s="20">
        <f>IFERROR(__xludf.DUMMYFUNCTION("""COMPUTED_VALUE"""),45065.67348237269)</f>
        <v>45065.67348</v>
      </c>
      <c r="R2215" s="22" t="str">
        <f>IFERROR(__xludf.DUMMYFUNCTION("""COMPUTED_VALUE"""),"")</f>
        <v/>
      </c>
    </row>
    <row r="2216">
      <c r="A2216" s="17" t="str">
        <f>IFERROR(__xludf.DUMMYFUNCTION("""COMPUTED_VALUE"""),"")</f>
        <v/>
      </c>
      <c r="B2216" s="17" t="str">
        <f>IFERROR(__xludf.DUMMYFUNCTION("""COMPUTED_VALUE"""),"")</f>
        <v/>
      </c>
      <c r="C2216" s="17" t="str">
        <f>IFERROR(__xludf.DUMMYFUNCTION("""COMPUTED_VALUE"""),"")</f>
        <v/>
      </c>
      <c r="D2216" s="17" t="str">
        <f>IFERROR(__xludf.DUMMYFUNCTION("""COMPUTED_VALUE"""),"")</f>
        <v/>
      </c>
      <c r="E2216" s="17" t="str">
        <f>IFERROR(__xludf.DUMMYFUNCTION("""COMPUTED_VALUE"""),"")</f>
        <v/>
      </c>
      <c r="F2216" s="17" t="str">
        <f>IFERROR(__xludf.DUMMYFUNCTION("""COMPUTED_VALUE"""),"")</f>
        <v/>
      </c>
      <c r="G2216" s="17" t="str">
        <f>IFERROR(__xludf.DUMMYFUNCTION("""COMPUTED_VALUE"""),"")</f>
        <v/>
      </c>
      <c r="H2216" s="17" t="str">
        <f>IFERROR(__xludf.DUMMYFUNCTION("""COMPUTED_VALUE"""),"")</f>
        <v/>
      </c>
      <c r="I2216" s="17" t="str">
        <f>IFERROR(__xludf.DUMMYFUNCTION("""COMPUTED_VALUE"""),"")</f>
        <v/>
      </c>
      <c r="J2216" s="17" t="str">
        <f>IFERROR(__xludf.DUMMYFUNCTION("""COMPUTED_VALUE"""),"")</f>
        <v/>
      </c>
      <c r="K2216" s="17" t="str">
        <f>IFERROR(__xludf.DUMMYFUNCTION("""COMPUTED_VALUE"""),"")</f>
        <v/>
      </c>
      <c r="L2216" s="17" t="str">
        <f>IFERROR(__xludf.DUMMYFUNCTION("""COMPUTED_VALUE"""),"")</f>
        <v/>
      </c>
      <c r="M2216" s="17" t="str">
        <f>IFERROR(__xludf.DUMMYFUNCTION("""COMPUTED_VALUE"""),"")</f>
        <v/>
      </c>
      <c r="N2216" s="17" t="str">
        <f>IFERROR(__xludf.DUMMYFUNCTION("""COMPUTED_VALUE"""),"")</f>
        <v/>
      </c>
      <c r="O2216" s="17" t="str">
        <f>IFERROR(__xludf.DUMMYFUNCTION("""COMPUTED_VALUE"""),"")</f>
        <v/>
      </c>
      <c r="P2216" s="17" t="str">
        <f>IFERROR(__xludf.DUMMYFUNCTION("""COMPUTED_VALUE"""),"")</f>
        <v/>
      </c>
      <c r="Q2216" s="17" t="str">
        <f>IFERROR(__xludf.DUMMYFUNCTION("""COMPUTED_VALUE"""),"")</f>
        <v/>
      </c>
      <c r="R2216" s="17" t="str">
        <f>IFERROR(__xludf.DUMMYFUNCTION("""COMPUTED_VALUE"""),"")</f>
        <v/>
      </c>
    </row>
    <row r="2217">
      <c r="A2217" s="15">
        <f>IFERROR(__xludf.DUMMYFUNCTION("""COMPUTED_VALUE"""),45064.0)</f>
        <v>45064</v>
      </c>
      <c r="B2217" s="16" t="str">
        <f>IFERROR(__xludf.DUMMYFUNCTION("""COMPUTED_VALUE"""),"Oscar Augusto Meneses Osias")</f>
        <v>Oscar Augusto Meneses Osias</v>
      </c>
      <c r="C2217" s="15" t="str">
        <f>IFERROR(__xludf.DUMMYFUNCTION("""COMPUTED_VALUE"""),"SINCELEJO")</f>
        <v>SINCELEJO</v>
      </c>
      <c r="D2217" s="15" t="str">
        <f>IFERROR(__xludf.DUMMYFUNCTION("""COMPUTED_VALUE"""),"MEDELLÍN")</f>
        <v>MEDELLÍN</v>
      </c>
      <c r="E2217" s="15" t="str">
        <f>IFERROR(__xludf.DUMMYFUNCTION("""COMPUTED_VALUE"""),"Helados swip")</f>
        <v>Helados swip</v>
      </c>
      <c r="F2217" s="17" t="str">
        <f>IFERROR(__xludf.DUMMYFUNCTION("""COMPUTED_VALUE"""),"CARRERA 36 # 33 A --05  / MERCADO GO FIT  / DIAGONAL A ANTIGUA PLANTA CILEDCO")</f>
        <v>CARRERA 36 # 33 A --05  / MERCADO GO FIT  / DIAGONAL A ANTIGUA PLANTA CILEDCO</v>
      </c>
      <c r="G2217" s="15" t="str">
        <f>IFERROR(__xludf.DUMMYFUNCTION("""COMPUTED_VALUE"""),"GO FIT")</f>
        <v>GO FIT</v>
      </c>
      <c r="H2217" s="16">
        <f>IFERROR(__xludf.DUMMYFUNCTION("""COMPUTED_VALUE"""),10841.0)</f>
        <v>10841</v>
      </c>
      <c r="I2217" s="18">
        <f>IFERROR(__xludf.DUMMYFUNCTION("""COMPUTED_VALUE"""),65.0)</f>
        <v>65</v>
      </c>
      <c r="J2217" s="18">
        <f>IFERROR(__xludf.DUMMYFUNCTION("""COMPUTED_VALUE"""),55.0)</f>
        <v>55</v>
      </c>
      <c r="K2217" s="18">
        <f>IFERROR(__xludf.DUMMYFUNCTION("""COMPUTED_VALUE"""),45.0)</f>
        <v>45</v>
      </c>
      <c r="L2217" s="17">
        <f>IFERROR(__xludf.DUMMYFUNCTION("""COMPUTED_VALUE"""),3.222103933E9)</f>
        <v>3222103933</v>
      </c>
      <c r="M2217" s="17" t="str">
        <f>IFERROR(__xludf.DUMMYFUNCTION("""COMPUTED_VALUE"""),"#REF!")</f>
        <v>#REF!</v>
      </c>
      <c r="N2217" s="17"/>
      <c r="O2217" s="17"/>
      <c r="P2217" s="17" t="b">
        <f>IFERROR(__xludf.DUMMYFUNCTION("""COMPUTED_VALUE"""),FALSE)</f>
        <v>0</v>
      </c>
      <c r="Q2217" s="20" t="str">
        <f>IFERROR(__xludf.DUMMYFUNCTION("""COMPUTED_VALUE"""),"")</f>
        <v/>
      </c>
      <c r="R2217" s="22" t="str">
        <f>IFERROR(__xludf.DUMMYFUNCTION("""COMPUTED_VALUE"""),"")</f>
        <v/>
      </c>
    </row>
    <row r="2218">
      <c r="A2218" s="17" t="str">
        <f>IFERROR(__xludf.DUMMYFUNCTION("""COMPUTED_VALUE"""),"")</f>
        <v/>
      </c>
      <c r="B2218" s="17" t="str">
        <f>IFERROR(__xludf.DUMMYFUNCTION("""COMPUTED_VALUE"""),"")</f>
        <v/>
      </c>
      <c r="C2218" s="17" t="str">
        <f>IFERROR(__xludf.DUMMYFUNCTION("""COMPUTED_VALUE"""),"")</f>
        <v/>
      </c>
      <c r="D2218" s="17" t="str">
        <f>IFERROR(__xludf.DUMMYFUNCTION("""COMPUTED_VALUE"""),"")</f>
        <v/>
      </c>
      <c r="E2218" s="17" t="str">
        <f>IFERROR(__xludf.DUMMYFUNCTION("""COMPUTED_VALUE"""),"")</f>
        <v/>
      </c>
      <c r="F2218" s="17" t="str">
        <f>IFERROR(__xludf.DUMMYFUNCTION("""COMPUTED_VALUE"""),"")</f>
        <v/>
      </c>
      <c r="G2218" s="17" t="str">
        <f>IFERROR(__xludf.DUMMYFUNCTION("""COMPUTED_VALUE"""),"")</f>
        <v/>
      </c>
      <c r="H2218" s="17" t="str">
        <f>IFERROR(__xludf.DUMMYFUNCTION("""COMPUTED_VALUE"""),"")</f>
        <v/>
      </c>
      <c r="I2218" s="17" t="str">
        <f>IFERROR(__xludf.DUMMYFUNCTION("""COMPUTED_VALUE"""),"")</f>
        <v/>
      </c>
      <c r="J2218" s="17" t="str">
        <f>IFERROR(__xludf.DUMMYFUNCTION("""COMPUTED_VALUE"""),"")</f>
        <v/>
      </c>
      <c r="K2218" s="17" t="str">
        <f>IFERROR(__xludf.DUMMYFUNCTION("""COMPUTED_VALUE"""),"")</f>
        <v/>
      </c>
      <c r="L2218" s="17" t="str">
        <f>IFERROR(__xludf.DUMMYFUNCTION("""COMPUTED_VALUE"""),"")</f>
        <v/>
      </c>
      <c r="M2218" s="17" t="str">
        <f>IFERROR(__xludf.DUMMYFUNCTION("""COMPUTED_VALUE"""),"")</f>
        <v/>
      </c>
      <c r="N2218" s="17" t="str">
        <f>IFERROR(__xludf.DUMMYFUNCTION("""COMPUTED_VALUE"""),"")</f>
        <v/>
      </c>
      <c r="O2218" s="17" t="str">
        <f>IFERROR(__xludf.DUMMYFUNCTION("""COMPUTED_VALUE"""),"")</f>
        <v/>
      </c>
      <c r="P2218" s="17" t="str">
        <f>IFERROR(__xludf.DUMMYFUNCTION("""COMPUTED_VALUE"""),"")</f>
        <v/>
      </c>
      <c r="Q2218" s="17" t="str">
        <f>IFERROR(__xludf.DUMMYFUNCTION("""COMPUTED_VALUE"""),"")</f>
        <v/>
      </c>
      <c r="R2218" s="17" t="str">
        <f>IFERROR(__xludf.DUMMYFUNCTION("""COMPUTED_VALUE"""),"")</f>
        <v/>
      </c>
    </row>
    <row r="2219">
      <c r="A2219" s="15">
        <f>IFERROR(__xludf.DUMMYFUNCTION("""COMPUTED_VALUE"""),45065.0)</f>
        <v>45065</v>
      </c>
      <c r="B2219" s="17"/>
      <c r="C2219" s="15" t="str">
        <f>IFERROR(__xludf.DUMMYFUNCTION("""COMPUTED_VALUE"""),"CALI")</f>
        <v>CALI</v>
      </c>
      <c r="D2219" s="15" t="str">
        <f>IFERROR(__xludf.DUMMYFUNCTION("""COMPUTED_VALUE"""),"BOGOTÁ")</f>
        <v>BOGOTÁ</v>
      </c>
      <c r="E2219" s="15" t="str">
        <f>IFERROR(__xludf.DUMMYFUNCTION("""COMPUTED_VALUE"""),"Renata")</f>
        <v>Renata</v>
      </c>
      <c r="F2219" s="17" t="str">
        <f>IFERROR(__xludf.DUMMYFUNCTION("""COMPUTED_VALUE"""),"Carrera 3#3a-83 / Patio 34 food containers -restaurante  / San Fernando")</f>
        <v>Carrera 3#3a-83 / Patio 34 food containers -restaurante  / San Fernando</v>
      </c>
      <c r="G2219" s="15" t="str">
        <f>IFERROR(__xludf.DUMMYFUNCTION("""COMPUTED_VALUE"""),"Retaco sas")</f>
        <v>Retaco sas</v>
      </c>
      <c r="H2219" s="16">
        <f>IFERROR(__xludf.DUMMYFUNCTION("""COMPUTED_VALUE"""),10872.0)</f>
        <v>10872</v>
      </c>
      <c r="I2219" s="18">
        <f>IFERROR(__xludf.DUMMYFUNCTION("""COMPUTED_VALUE"""),90.0)</f>
        <v>90</v>
      </c>
      <c r="J2219" s="18">
        <f>IFERROR(__xludf.DUMMYFUNCTION("""COMPUTED_VALUE"""),70.0)</f>
        <v>70</v>
      </c>
      <c r="K2219" s="18">
        <f>IFERROR(__xludf.DUMMYFUNCTION("""COMPUTED_VALUE"""),60.0)</f>
        <v>60</v>
      </c>
      <c r="L2219" s="17">
        <f>IFERROR(__xludf.DUMMYFUNCTION("""COMPUTED_VALUE"""),3.134720976E9)</f>
        <v>3134720976</v>
      </c>
      <c r="M2219" s="17" t="str">
        <f>IFERROR(__xludf.DUMMYFUNCTION("""COMPUTED_VALUE"""),"#REF!")</f>
        <v>#REF!</v>
      </c>
      <c r="N2219" s="17"/>
      <c r="O2219" s="17"/>
      <c r="P2219" s="17" t="b">
        <f>IFERROR(__xludf.DUMMYFUNCTION("""COMPUTED_VALUE"""),FALSE)</f>
        <v>0</v>
      </c>
      <c r="Q2219" s="20" t="str">
        <f>IFERROR(__xludf.DUMMYFUNCTION("""COMPUTED_VALUE"""),"")</f>
        <v/>
      </c>
      <c r="R2219" s="22" t="str">
        <f>IFERROR(__xludf.DUMMYFUNCTION("""COMPUTED_VALUE"""),"")</f>
        <v/>
      </c>
    </row>
    <row r="2220">
      <c r="A2220" s="17" t="str">
        <f>IFERROR(__xludf.DUMMYFUNCTION("""COMPUTED_VALUE"""),"")</f>
        <v/>
      </c>
      <c r="B2220" s="17" t="str">
        <f>IFERROR(__xludf.DUMMYFUNCTION("""COMPUTED_VALUE"""),"")</f>
        <v/>
      </c>
      <c r="C2220" s="17" t="str">
        <f>IFERROR(__xludf.DUMMYFUNCTION("""COMPUTED_VALUE"""),"")</f>
        <v/>
      </c>
      <c r="D2220" s="17" t="str">
        <f>IFERROR(__xludf.DUMMYFUNCTION("""COMPUTED_VALUE"""),"")</f>
        <v/>
      </c>
      <c r="E2220" s="17" t="str">
        <f>IFERROR(__xludf.DUMMYFUNCTION("""COMPUTED_VALUE"""),"")</f>
        <v/>
      </c>
      <c r="F2220" s="17" t="str">
        <f>IFERROR(__xludf.DUMMYFUNCTION("""COMPUTED_VALUE"""),"")</f>
        <v/>
      </c>
      <c r="G2220" s="17" t="str">
        <f>IFERROR(__xludf.DUMMYFUNCTION("""COMPUTED_VALUE"""),"")</f>
        <v/>
      </c>
      <c r="H2220" s="17" t="str">
        <f>IFERROR(__xludf.DUMMYFUNCTION("""COMPUTED_VALUE"""),"")</f>
        <v/>
      </c>
      <c r="I2220" s="17" t="str">
        <f>IFERROR(__xludf.DUMMYFUNCTION("""COMPUTED_VALUE"""),"")</f>
        <v/>
      </c>
      <c r="J2220" s="17" t="str">
        <f>IFERROR(__xludf.DUMMYFUNCTION("""COMPUTED_VALUE"""),"")</f>
        <v/>
      </c>
      <c r="K2220" s="17" t="str">
        <f>IFERROR(__xludf.DUMMYFUNCTION("""COMPUTED_VALUE"""),"")</f>
        <v/>
      </c>
      <c r="L2220" s="17" t="str">
        <f>IFERROR(__xludf.DUMMYFUNCTION("""COMPUTED_VALUE"""),"")</f>
        <v/>
      </c>
      <c r="M2220" s="17" t="str">
        <f>IFERROR(__xludf.DUMMYFUNCTION("""COMPUTED_VALUE"""),"")</f>
        <v/>
      </c>
      <c r="N2220" s="17" t="str">
        <f>IFERROR(__xludf.DUMMYFUNCTION("""COMPUTED_VALUE"""),"")</f>
        <v/>
      </c>
      <c r="O2220" s="17" t="str">
        <f>IFERROR(__xludf.DUMMYFUNCTION("""COMPUTED_VALUE"""),"")</f>
        <v/>
      </c>
      <c r="P2220" s="17" t="str">
        <f>IFERROR(__xludf.DUMMYFUNCTION("""COMPUTED_VALUE"""),"")</f>
        <v/>
      </c>
      <c r="Q2220" s="17" t="str">
        <f>IFERROR(__xludf.DUMMYFUNCTION("""COMPUTED_VALUE"""),"")</f>
        <v/>
      </c>
      <c r="R2220" s="17" t="str">
        <f>IFERROR(__xludf.DUMMYFUNCTION("""COMPUTED_VALUE"""),"")</f>
        <v/>
      </c>
    </row>
    <row r="2221">
      <c r="A2221" s="15">
        <f>IFERROR(__xludf.DUMMYFUNCTION("""COMPUTED_VALUE"""),45065.0)</f>
        <v>45065</v>
      </c>
      <c r="B2221" s="16" t="str">
        <f>IFERROR(__xludf.DUMMYFUNCTION("""COMPUTED_VALUE"""),"Andres felipe maya bautista ")</f>
        <v>Andres felipe maya bautista </v>
      </c>
      <c r="C2221" s="15" t="str">
        <f>IFERROR(__xludf.DUMMYFUNCTION("""COMPUTED_VALUE"""),"BOGOTÁ")</f>
        <v>BOGOTÁ</v>
      </c>
      <c r="D2221" s="15" t="str">
        <f>IFERROR(__xludf.DUMMYFUNCTION("""COMPUTED_VALUE"""),"MEDELLÍN")</f>
        <v>MEDELLÍN</v>
      </c>
      <c r="E2221" s="15" t="str">
        <f>IFERROR(__xludf.DUMMYFUNCTION("""COMPUTED_VALUE"""),"AREPAS LA MARY")</f>
        <v>AREPAS LA MARY</v>
      </c>
      <c r="F2221" s="17" t="str">
        <f>IFERROR(__xludf.DUMMYFUNCTION("""COMPUTED_VALUE"""),"CRA 13 # 93-13 LOCAL 103 / LOCAL 103")</f>
        <v>CRA 13 # 93-13 LOCAL 103 / LOCAL 103</v>
      </c>
      <c r="G2221" s="15" t="str">
        <f>IFERROR(__xludf.DUMMYFUNCTION("""COMPUTED_VALUE"""),"HEALING FOODS")</f>
        <v>HEALING FOODS</v>
      </c>
      <c r="H2221" s="16">
        <f>IFERROR(__xludf.DUMMYFUNCTION("""COMPUTED_VALUE"""),10864.0)</f>
        <v>10864</v>
      </c>
      <c r="I2221" s="18">
        <f>IFERROR(__xludf.DUMMYFUNCTION("""COMPUTED_VALUE"""),89.0)</f>
        <v>89</v>
      </c>
      <c r="J2221" s="18">
        <f>IFERROR(__xludf.DUMMYFUNCTION("""COMPUTED_VALUE"""),1.0)</f>
        <v>1</v>
      </c>
      <c r="K2221" s="18">
        <f>IFERROR(__xludf.DUMMYFUNCTION("""COMPUTED_VALUE"""),10.0)</f>
        <v>10</v>
      </c>
      <c r="L2221" s="17">
        <f>IFERROR(__xludf.DUMMYFUNCTION("""COMPUTED_VALUE"""),3.142647408E9)</f>
        <v>3142647408</v>
      </c>
      <c r="M2221" s="17" t="str">
        <f>IFERROR(__xludf.DUMMYFUNCTION("""COMPUTED_VALUE"""),"#REF!")</f>
        <v>#REF!</v>
      </c>
      <c r="N2221" s="17"/>
      <c r="O2221" s="17"/>
      <c r="P2221" s="17" t="b">
        <f>IFERROR(__xludf.DUMMYFUNCTION("""COMPUTED_VALUE"""),FALSE)</f>
        <v>0</v>
      </c>
      <c r="Q2221" s="20" t="str">
        <f>IFERROR(__xludf.DUMMYFUNCTION("""COMPUTED_VALUE"""),"")</f>
        <v/>
      </c>
      <c r="R2221" s="22" t="str">
        <f>IFERROR(__xludf.DUMMYFUNCTION("""COMPUTED_VALUE"""),"")</f>
        <v/>
      </c>
    </row>
    <row r="2222">
      <c r="A2222" s="15">
        <f>IFERROR(__xludf.DUMMYFUNCTION("""COMPUTED_VALUE"""),45065.0)</f>
        <v>45065</v>
      </c>
      <c r="B2222" s="16" t="str">
        <f>IFERROR(__xludf.DUMMYFUNCTION("""COMPUTED_VALUE"""),"Andres felipe maya bautista ")</f>
        <v>Andres felipe maya bautista </v>
      </c>
      <c r="C2222" s="15" t="str">
        <f>IFERROR(__xludf.DUMMYFUNCTION("""COMPUTED_VALUE"""),"BOGOTÁ")</f>
        <v>BOGOTÁ</v>
      </c>
      <c r="D2222" s="15" t="str">
        <f>IFERROR(__xludf.DUMMYFUNCTION("""COMPUTED_VALUE"""),"MEDELLÍN")</f>
        <v>MEDELLÍN</v>
      </c>
      <c r="E2222" s="15" t="str">
        <f>IFERROR(__xludf.DUMMYFUNCTION("""COMPUTED_VALUE"""),"Felicidad Bakery Bogotá")</f>
        <v>Felicidad Bakery Bogotá</v>
      </c>
      <c r="F2222" s="17" t="str">
        <f>IFERROR(__xludf.DUMMYFUNCTION("""COMPUTED_VALUE"""),"Calle 92 #15 62 / Local 103 / Ed centro chico")</f>
        <v>Calle 92 #15 62 / Local 103 / Ed centro chico</v>
      </c>
      <c r="G2222" s="15" t="str">
        <f>IFERROR(__xludf.DUMMYFUNCTION("""COMPUTED_VALUE"""),"Camilo Hernandez")</f>
        <v>Camilo Hernandez</v>
      </c>
      <c r="H2222" s="16">
        <f>IFERROR(__xludf.DUMMYFUNCTION("""COMPUTED_VALUE"""),10878.0)</f>
        <v>10878</v>
      </c>
      <c r="I2222" s="18">
        <f>IFERROR(__xludf.DUMMYFUNCTION("""COMPUTED_VALUE"""),1.0)</f>
        <v>1</v>
      </c>
      <c r="J2222" s="18">
        <f>IFERROR(__xludf.DUMMYFUNCTION("""COMPUTED_VALUE"""),1.0)</f>
        <v>1</v>
      </c>
      <c r="K2222" s="18">
        <f>IFERROR(__xludf.DUMMYFUNCTION("""COMPUTED_VALUE"""),1.0)</f>
        <v>1</v>
      </c>
      <c r="L2222" s="17">
        <f>IFERROR(__xludf.DUMMYFUNCTION("""COMPUTED_VALUE"""),3.013527163E9)</f>
        <v>3013527163</v>
      </c>
      <c r="M2222" s="17" t="str">
        <f>IFERROR(__xludf.DUMMYFUNCTION("""COMPUTED_VALUE"""),"#REF!")</f>
        <v>#REF!</v>
      </c>
      <c r="N2222" s="17"/>
      <c r="O2222" s="17"/>
      <c r="P2222" s="17" t="b">
        <f>IFERROR(__xludf.DUMMYFUNCTION("""COMPUTED_VALUE"""),FALSE)</f>
        <v>0</v>
      </c>
      <c r="Q2222" s="20" t="str">
        <f>IFERROR(__xludf.DUMMYFUNCTION("""COMPUTED_VALUE"""),"")</f>
        <v/>
      </c>
      <c r="R2222" s="22" t="str">
        <f>IFERROR(__xludf.DUMMYFUNCTION("""COMPUTED_VALUE"""),"")</f>
        <v/>
      </c>
    </row>
    <row r="2223">
      <c r="A2223" s="17" t="str">
        <f>IFERROR(__xludf.DUMMYFUNCTION("""COMPUTED_VALUE"""),"")</f>
        <v/>
      </c>
      <c r="B2223" s="17" t="str">
        <f>IFERROR(__xludf.DUMMYFUNCTION("""COMPUTED_VALUE"""),"")</f>
        <v/>
      </c>
      <c r="C2223" s="17" t="str">
        <f>IFERROR(__xludf.DUMMYFUNCTION("""COMPUTED_VALUE"""),"")</f>
        <v/>
      </c>
      <c r="D2223" s="17" t="str">
        <f>IFERROR(__xludf.DUMMYFUNCTION("""COMPUTED_VALUE"""),"")</f>
        <v/>
      </c>
      <c r="E2223" s="17" t="str">
        <f>IFERROR(__xludf.DUMMYFUNCTION("""COMPUTED_VALUE"""),"")</f>
        <v/>
      </c>
      <c r="F2223" s="17" t="str">
        <f>IFERROR(__xludf.DUMMYFUNCTION("""COMPUTED_VALUE"""),"")</f>
        <v/>
      </c>
      <c r="G2223" s="17" t="str">
        <f>IFERROR(__xludf.DUMMYFUNCTION("""COMPUTED_VALUE"""),"")</f>
        <v/>
      </c>
      <c r="H2223" s="17" t="str">
        <f>IFERROR(__xludf.DUMMYFUNCTION("""COMPUTED_VALUE"""),"")</f>
        <v/>
      </c>
      <c r="I2223" s="17" t="str">
        <f>IFERROR(__xludf.DUMMYFUNCTION("""COMPUTED_VALUE"""),"")</f>
        <v/>
      </c>
      <c r="J2223" s="17" t="str">
        <f>IFERROR(__xludf.DUMMYFUNCTION("""COMPUTED_VALUE"""),"")</f>
        <v/>
      </c>
      <c r="K2223" s="17" t="str">
        <f>IFERROR(__xludf.DUMMYFUNCTION("""COMPUTED_VALUE"""),"")</f>
        <v/>
      </c>
      <c r="L2223" s="17" t="str">
        <f>IFERROR(__xludf.DUMMYFUNCTION("""COMPUTED_VALUE"""),"")</f>
        <v/>
      </c>
      <c r="M2223" s="17" t="str">
        <f>IFERROR(__xludf.DUMMYFUNCTION("""COMPUTED_VALUE"""),"")</f>
        <v/>
      </c>
      <c r="N2223" s="17" t="str">
        <f>IFERROR(__xludf.DUMMYFUNCTION("""COMPUTED_VALUE"""),"")</f>
        <v/>
      </c>
      <c r="O2223" s="17" t="str">
        <f>IFERROR(__xludf.DUMMYFUNCTION("""COMPUTED_VALUE"""),"")</f>
        <v/>
      </c>
      <c r="P2223" s="17" t="str">
        <f>IFERROR(__xludf.DUMMYFUNCTION("""COMPUTED_VALUE"""),"")</f>
        <v/>
      </c>
      <c r="Q2223" s="17" t="str">
        <f>IFERROR(__xludf.DUMMYFUNCTION("""COMPUTED_VALUE"""),"")</f>
        <v/>
      </c>
      <c r="R2223" s="17" t="str">
        <f>IFERROR(__xludf.DUMMYFUNCTION("""COMPUTED_VALUE"""),"")</f>
        <v/>
      </c>
    </row>
    <row r="2224">
      <c r="A2224" s="15">
        <f>IFERROR(__xludf.DUMMYFUNCTION("""COMPUTED_VALUE"""),45065.0)</f>
        <v>45065</v>
      </c>
      <c r="B2224" s="16" t="str">
        <f>IFERROR(__xludf.DUMMYFUNCTION("""COMPUTED_VALUE"""),"Daniel José sandoval gonzalez")</f>
        <v>Daniel José sandoval gonzalez</v>
      </c>
      <c r="C2224" s="15" t="str">
        <f>IFERROR(__xludf.DUMMYFUNCTION("""COMPUTED_VALUE"""),"BARRANQUILLA")</f>
        <v>BARRANQUILLA</v>
      </c>
      <c r="D2224" s="15" t="str">
        <f>IFERROR(__xludf.DUMMYFUNCTION("""COMPUTED_VALUE"""),"BOGOTÁ")</f>
        <v>BOGOTÁ</v>
      </c>
      <c r="E2224" s="15" t="str">
        <f>IFERROR(__xludf.DUMMYFUNCTION("""COMPUTED_VALUE"""),"Mochi")</f>
        <v>Mochi</v>
      </c>
      <c r="F2224" s="17" t="str">
        <f>IFERROR(__xludf.DUMMYFUNCTION("""COMPUTED_VALUE"""),"CRA 51B 87 50 / viva barranquilla / viva barranquilla")</f>
        <v>CRA 51B 87 50 / viva barranquilla / viva barranquilla</v>
      </c>
      <c r="G2224" s="15" t="str">
        <f>IFERROR(__xludf.DUMMYFUNCTION("""COMPUTED_VALUE"""),"Maia Camila")</f>
        <v>Maia Camila</v>
      </c>
      <c r="H2224" s="16">
        <f>IFERROR(__xludf.DUMMYFUNCTION("""COMPUTED_VALUE"""),10870.0)</f>
        <v>10870</v>
      </c>
      <c r="I2224" s="18">
        <f>IFERROR(__xludf.DUMMYFUNCTION("""COMPUTED_VALUE"""),100.0)</f>
        <v>100</v>
      </c>
      <c r="J2224" s="18">
        <f>IFERROR(__xludf.DUMMYFUNCTION("""COMPUTED_VALUE"""),100.0)</f>
        <v>100</v>
      </c>
      <c r="K2224" s="18">
        <f>IFERROR(__xludf.DUMMYFUNCTION("""COMPUTED_VALUE"""),200.0)</f>
        <v>200</v>
      </c>
      <c r="L2224" s="17">
        <f>IFERROR(__xludf.DUMMYFUNCTION("""COMPUTED_VALUE"""),3.116026252E9)</f>
        <v>3116026252</v>
      </c>
      <c r="M2224" s="17" t="str">
        <f>IFERROR(__xludf.DUMMYFUNCTION("""COMPUTED_VALUE"""),"#REF!")</f>
        <v>#REF!</v>
      </c>
      <c r="N2224" s="17"/>
      <c r="O2224" s="17"/>
      <c r="P2224" s="17" t="b">
        <f>IFERROR(__xludf.DUMMYFUNCTION("""COMPUTED_VALUE"""),FALSE)</f>
        <v>0</v>
      </c>
      <c r="Q2224" s="20" t="str">
        <f>IFERROR(__xludf.DUMMYFUNCTION("""COMPUTED_VALUE"""),"")</f>
        <v/>
      </c>
      <c r="R2224" s="22" t="str">
        <f>IFERROR(__xludf.DUMMYFUNCTION("""COMPUTED_VALUE"""),"")</f>
        <v/>
      </c>
    </row>
    <row r="2225">
      <c r="A2225" s="15">
        <f>IFERROR(__xludf.DUMMYFUNCTION("""COMPUTED_VALUE"""),45065.0)</f>
        <v>45065</v>
      </c>
      <c r="B2225" s="16" t="str">
        <f>IFERROR(__xludf.DUMMYFUNCTION("""COMPUTED_VALUE"""),"Daniel José sandoval gonzalez")</f>
        <v>Daniel José sandoval gonzalez</v>
      </c>
      <c r="C2225" s="15" t="str">
        <f>IFERROR(__xludf.DUMMYFUNCTION("""COMPUTED_VALUE"""),"BARRANQUILLA")</f>
        <v>BARRANQUILLA</v>
      </c>
      <c r="D2225" s="15" t="str">
        <f>IFERROR(__xludf.DUMMYFUNCTION("""COMPUTED_VALUE"""),"MEDELLÍN")</f>
        <v>MEDELLÍN</v>
      </c>
      <c r="E2225" s="15" t="str">
        <f>IFERROR(__xludf.DUMMYFUNCTION("""COMPUTED_VALUE"""),"Baby Chef")</f>
        <v>Baby Chef</v>
      </c>
      <c r="F2225" s="17" t="str">
        <f>IFERROR(__xludf.DUMMYFUNCTION("""COMPUTED_VALUE"""),"Cra 56 # 79 - 17 Edificio Molto Bello  / Cra 56 # 79 - 17 Edificio Molto Bello  / Cra 56 # 79 - 17 Edificio Molto Bello")</f>
        <v>Cra 56 # 79 - 17 Edificio Molto Bello  / Cra 56 # 79 - 17 Edificio Molto Bello  / Cra 56 # 79 - 17 Edificio Molto Bello</v>
      </c>
      <c r="G2225" s="15" t="str">
        <f>IFERROR(__xludf.DUMMYFUNCTION("""COMPUTED_VALUE"""),"Debbie Prieto")</f>
        <v>Debbie Prieto</v>
      </c>
      <c r="H2225" s="16">
        <f>IFERROR(__xludf.DUMMYFUNCTION("""COMPUTED_VALUE"""),10851.0)</f>
        <v>10851</v>
      </c>
      <c r="I2225" s="18">
        <f>IFERROR(__xludf.DUMMYFUNCTION("""COMPUTED_VALUE"""),8.0)</f>
        <v>8</v>
      </c>
      <c r="J2225" s="18">
        <f>IFERROR(__xludf.DUMMYFUNCTION("""COMPUTED_VALUE"""),16.0)</f>
        <v>16</v>
      </c>
      <c r="K2225" s="18">
        <f>IFERROR(__xludf.DUMMYFUNCTION("""COMPUTED_VALUE"""),20.0)</f>
        <v>20</v>
      </c>
      <c r="L2225" s="17">
        <f>IFERROR(__xludf.DUMMYFUNCTION("""COMPUTED_VALUE"""),3.0038284E9)</f>
        <v>3003828400</v>
      </c>
      <c r="M2225" s="17" t="str">
        <f>IFERROR(__xludf.DUMMYFUNCTION("""COMPUTED_VALUE"""),"#REF!")</f>
        <v>#REF!</v>
      </c>
      <c r="N2225" s="17"/>
      <c r="O2225" s="17"/>
      <c r="P2225" s="17" t="b">
        <f>IFERROR(__xludf.DUMMYFUNCTION("""COMPUTED_VALUE"""),TRUE)</f>
        <v>1</v>
      </c>
      <c r="Q2225" s="20">
        <f>IFERROR(__xludf.DUMMYFUNCTION("""COMPUTED_VALUE"""),45068.838107442134)</f>
        <v>45068.83811</v>
      </c>
      <c r="R2225" s="22" t="str">
        <f>IFERROR(__xludf.DUMMYFUNCTION("""COMPUTED_VALUE"""),"")</f>
        <v/>
      </c>
    </row>
    <row r="2226">
      <c r="A2226" s="15">
        <f>IFERROR(__xludf.DUMMYFUNCTION("""COMPUTED_VALUE"""),45065.0)</f>
        <v>45065</v>
      </c>
      <c r="B2226" s="16" t="str">
        <f>IFERROR(__xludf.DUMMYFUNCTION("""COMPUTED_VALUE"""),"Daniel José sandoval gonzalez")</f>
        <v>Daniel José sandoval gonzalez</v>
      </c>
      <c r="C2226" s="15" t="str">
        <f>IFERROR(__xludf.DUMMYFUNCTION("""COMPUTED_VALUE"""),"BARRANQUILLA")</f>
        <v>BARRANQUILLA</v>
      </c>
      <c r="D2226" s="15" t="str">
        <f>IFERROR(__xludf.DUMMYFUNCTION("""COMPUTED_VALUE"""),"MEDELLÍN")</f>
        <v>MEDELLÍN</v>
      </c>
      <c r="E2226" s="15" t="str">
        <f>IFERROR(__xludf.DUMMYFUNCTION("""COMPUTED_VALUE"""),"Baby Chef")</f>
        <v>Baby Chef</v>
      </c>
      <c r="F2226" s="17" t="str">
        <f>IFERROR(__xludf.DUMMYFUNCTION("""COMPUTED_VALUE"""),"Cra 71 # 94 - 127 Edificio Ibiza Torre 2 Apto 1109 / Cra 71 # 94 - 127 Edificio Ibiza Torre 2 Apto 1109 / Cra 71 # 94 - 127 Edificio Ibiza Torre 2 Apto 1109")</f>
        <v>Cra 71 # 94 - 127 Edificio Ibiza Torre 2 Apto 1109 / Cra 71 # 94 - 127 Edificio Ibiza Torre 2 Apto 1109 / Cra 71 # 94 - 127 Edificio Ibiza Torre 2 Apto 1109</v>
      </c>
      <c r="G2226" s="15" t="str">
        <f>IFERROR(__xludf.DUMMYFUNCTION("""COMPUTED_VALUE"""),"Martha Rodríguez")</f>
        <v>Martha Rodríguez</v>
      </c>
      <c r="H2226" s="16">
        <f>IFERROR(__xludf.DUMMYFUNCTION("""COMPUTED_VALUE"""),10850.0)</f>
        <v>10850</v>
      </c>
      <c r="I2226" s="18">
        <f>IFERROR(__xludf.DUMMYFUNCTION("""COMPUTED_VALUE"""),8.0)</f>
        <v>8</v>
      </c>
      <c r="J2226" s="18">
        <f>IFERROR(__xludf.DUMMYFUNCTION("""COMPUTED_VALUE"""),16.0)</f>
        <v>16</v>
      </c>
      <c r="K2226" s="18">
        <f>IFERROR(__xludf.DUMMYFUNCTION("""COMPUTED_VALUE"""),20.0)</f>
        <v>20</v>
      </c>
      <c r="L2226" s="17">
        <f>IFERROR(__xludf.DUMMYFUNCTION("""COMPUTED_VALUE"""),3.023765208E9)</f>
        <v>3023765208</v>
      </c>
      <c r="M2226" s="17" t="str">
        <f>IFERROR(__xludf.DUMMYFUNCTION("""COMPUTED_VALUE"""),"#REF!")</f>
        <v>#REF!</v>
      </c>
      <c r="N2226" s="17"/>
      <c r="O2226" s="17"/>
      <c r="P2226" s="17" t="b">
        <f>IFERROR(__xludf.DUMMYFUNCTION("""COMPUTED_VALUE"""),TRUE)</f>
        <v>1</v>
      </c>
      <c r="Q2226" s="20">
        <f>IFERROR(__xludf.DUMMYFUNCTION("""COMPUTED_VALUE"""),45065.59963055556)</f>
        <v>45065.59963</v>
      </c>
      <c r="R2226" s="22" t="str">
        <f>IFERROR(__xludf.DUMMYFUNCTION("""COMPUTED_VALUE"""),"")</f>
        <v/>
      </c>
    </row>
    <row r="2227">
      <c r="A2227" s="15">
        <f>IFERROR(__xludf.DUMMYFUNCTION("""COMPUTED_VALUE"""),45065.0)</f>
        <v>45065</v>
      </c>
      <c r="B2227" s="16" t="str">
        <f>IFERROR(__xludf.DUMMYFUNCTION("""COMPUTED_VALUE"""),"Daniel José sandoval gonzalez")</f>
        <v>Daniel José sandoval gonzalez</v>
      </c>
      <c r="C2227" s="15" t="str">
        <f>IFERROR(__xludf.DUMMYFUNCTION("""COMPUTED_VALUE"""),"BARRANQUILLA")</f>
        <v>BARRANQUILLA</v>
      </c>
      <c r="D2227" s="15" t="str">
        <f>IFERROR(__xludf.DUMMYFUNCTION("""COMPUTED_VALUE"""),"MEDELLÍN")</f>
        <v>MEDELLÍN</v>
      </c>
      <c r="E2227" s="15" t="str">
        <f>IFERROR(__xludf.DUMMYFUNCTION("""COMPUTED_VALUE"""),"Moloso S.A.S")</f>
        <v>Moloso S.A.S</v>
      </c>
      <c r="F2227" s="17" t="str">
        <f>IFERROR(__xludf.DUMMYFUNCTION("""COMPUTED_VALUE"""),"CRA 65 99 109 / EDF. CENTRAL GARDEN APTO 521 TORRE 4")</f>
        <v>CRA 65 99 109 / EDF. CENTRAL GARDEN APTO 521 TORRE 4</v>
      </c>
      <c r="G2227" s="15" t="str">
        <f>IFERROR(__xludf.DUMMYFUNCTION("""COMPUTED_VALUE"""),"LOURDES ACOSTA")</f>
        <v>LOURDES ACOSTA</v>
      </c>
      <c r="H2227" s="16">
        <f>IFERROR(__xludf.DUMMYFUNCTION("""COMPUTED_VALUE"""),10836.0)</f>
        <v>10836</v>
      </c>
      <c r="I2227" s="18">
        <f>IFERROR(__xludf.DUMMYFUNCTION("""COMPUTED_VALUE"""),17.0)</f>
        <v>17</v>
      </c>
      <c r="J2227" s="18">
        <f>IFERROR(__xludf.DUMMYFUNCTION("""COMPUTED_VALUE"""),15.0)</f>
        <v>15</v>
      </c>
      <c r="K2227" s="18">
        <f>IFERROR(__xludf.DUMMYFUNCTION("""COMPUTED_VALUE"""),28.0)</f>
        <v>28</v>
      </c>
      <c r="L2227" s="17" t="str">
        <f>IFERROR(__xludf.DUMMYFUNCTION("""COMPUTED_VALUE"""),"322 5119030")</f>
        <v>322 5119030</v>
      </c>
      <c r="M2227" s="17" t="str">
        <f>IFERROR(__xludf.DUMMYFUNCTION("""COMPUTED_VALUE"""),"#REF!")</f>
        <v>#REF!</v>
      </c>
      <c r="N2227" s="17"/>
      <c r="O2227" s="17"/>
      <c r="P2227" s="17" t="b">
        <f>IFERROR(__xludf.DUMMYFUNCTION("""COMPUTED_VALUE"""),TRUE)</f>
        <v>1</v>
      </c>
      <c r="Q2227" s="20">
        <f>IFERROR(__xludf.DUMMYFUNCTION("""COMPUTED_VALUE"""),45065.617731018516)</f>
        <v>45065.61773</v>
      </c>
      <c r="R2227" s="22" t="str">
        <f>IFERROR(__xludf.DUMMYFUNCTION("""COMPUTED_VALUE"""),"")</f>
        <v/>
      </c>
    </row>
    <row r="2228">
      <c r="A2228" s="15">
        <f>IFERROR(__xludf.DUMMYFUNCTION("""COMPUTED_VALUE"""),45065.0)</f>
        <v>45065</v>
      </c>
      <c r="B2228" s="16" t="str">
        <f>IFERROR(__xludf.DUMMYFUNCTION("""COMPUTED_VALUE"""),"Daniel José sandoval gonzalez")</f>
        <v>Daniel José sandoval gonzalez</v>
      </c>
      <c r="C2228" s="15" t="str">
        <f>IFERROR(__xludf.DUMMYFUNCTION("""COMPUTED_VALUE"""),"BARRANQUILLA")</f>
        <v>BARRANQUILLA</v>
      </c>
      <c r="D2228" s="15" t="str">
        <f>IFERROR(__xludf.DUMMYFUNCTION("""COMPUTED_VALUE"""),"MEDELLÍN")</f>
        <v>MEDELLÍN</v>
      </c>
      <c r="E2228" s="15" t="str">
        <f>IFERROR(__xludf.DUMMYFUNCTION("""COMPUTED_VALUE"""),"Moloso S.A.S")</f>
        <v>Moloso S.A.S</v>
      </c>
      <c r="F2228" s="17" t="str">
        <f>IFERROR(__xludf.DUMMYFUNCTION("""COMPUTED_VALUE"""),"TRANS 44 102 167 / CONJU. SIERRA. APTO. 939 T5")</f>
        <v>TRANS 44 102 167 / CONJU. SIERRA. APTO. 939 T5</v>
      </c>
      <c r="G2228" s="15" t="str">
        <f>IFERROR(__xludf.DUMMYFUNCTION("""COMPUTED_VALUE"""),"MARIANA ORJUELA CHARCÓN")</f>
        <v>MARIANA ORJUELA CHARCÓN</v>
      </c>
      <c r="H2228" s="16">
        <f>IFERROR(__xludf.DUMMYFUNCTION("""COMPUTED_VALUE"""),10835.0)</f>
        <v>10835</v>
      </c>
      <c r="I2228" s="18">
        <f>IFERROR(__xludf.DUMMYFUNCTION("""COMPUTED_VALUE"""),17.0)</f>
        <v>17</v>
      </c>
      <c r="J2228" s="18">
        <f>IFERROR(__xludf.DUMMYFUNCTION("""COMPUTED_VALUE"""),15.0)</f>
        <v>15</v>
      </c>
      <c r="K2228" s="18">
        <f>IFERROR(__xludf.DUMMYFUNCTION("""COMPUTED_VALUE"""),28.0)</f>
        <v>28</v>
      </c>
      <c r="L2228" s="17" t="str">
        <f>IFERROR(__xludf.DUMMYFUNCTION("""COMPUTED_VALUE"""),"304 5242414")</f>
        <v>304 5242414</v>
      </c>
      <c r="M2228" s="17" t="str">
        <f>IFERROR(__xludf.DUMMYFUNCTION("""COMPUTED_VALUE"""),"#REF!")</f>
        <v>#REF!</v>
      </c>
      <c r="N2228" s="17"/>
      <c r="O2228" s="17"/>
      <c r="P2228" s="17" t="b">
        <f>IFERROR(__xludf.DUMMYFUNCTION("""COMPUTED_VALUE"""),TRUE)</f>
        <v>1</v>
      </c>
      <c r="Q2228" s="20">
        <f>IFERROR(__xludf.DUMMYFUNCTION("""COMPUTED_VALUE"""),45065.603951736106)</f>
        <v>45065.60395</v>
      </c>
      <c r="R2228" s="22" t="str">
        <f>IFERROR(__xludf.DUMMYFUNCTION("""COMPUTED_VALUE"""),"")</f>
        <v/>
      </c>
    </row>
    <row r="2229">
      <c r="A2229" s="15">
        <f>IFERROR(__xludf.DUMMYFUNCTION("""COMPUTED_VALUE"""),45065.0)</f>
        <v>45065</v>
      </c>
      <c r="B2229" s="16" t="str">
        <f>IFERROR(__xludf.DUMMYFUNCTION("""COMPUTED_VALUE"""),"Daniel José sandoval gonzalez")</f>
        <v>Daniel José sandoval gonzalez</v>
      </c>
      <c r="C2229" s="15" t="str">
        <f>IFERROR(__xludf.DUMMYFUNCTION("""COMPUTED_VALUE"""),"MEDELLÍN")</f>
        <v>MEDELLÍN</v>
      </c>
      <c r="D2229" s="15" t="str">
        <f>IFERROR(__xludf.DUMMYFUNCTION("""COMPUTED_VALUE"""),"BOGOTÁ")</f>
        <v>BOGOTÁ</v>
      </c>
      <c r="E2229" s="15" t="str">
        <f>IFERROR(__xludf.DUMMYFUNCTION("""COMPUTED_VALUE"""),"Viiva Fermentados")</f>
        <v>Viiva Fermentados</v>
      </c>
      <c r="F2229" s="17" t="str">
        <f>IFERROR(__xludf.DUMMYFUNCTION("""COMPUTED_VALUE"""),"Calle 98 #50b-19 (2 cajas grandes) / primer piso / Aranjuez")</f>
        <v>Calle 98 #50b-19 (2 cajas grandes) / primer piso / Aranjuez</v>
      </c>
      <c r="G2229" s="15" t="str">
        <f>IFERROR(__xludf.DUMMYFUNCTION("""COMPUTED_VALUE"""),"Bayron Rodriguez preguntar por doña Fabiola")</f>
        <v>Bayron Rodriguez preguntar por doña Fabiola</v>
      </c>
      <c r="H2229" s="16">
        <f>IFERROR(__xludf.DUMMYFUNCTION("""COMPUTED_VALUE"""),10837.0)</f>
        <v>10837</v>
      </c>
      <c r="I2229" s="18">
        <f>IFERROR(__xludf.DUMMYFUNCTION("""COMPUTED_VALUE"""),17.0)</f>
        <v>17</v>
      </c>
      <c r="J2229" s="18">
        <f>IFERROR(__xludf.DUMMYFUNCTION("""COMPUTED_VALUE"""),40.0)</f>
        <v>40</v>
      </c>
      <c r="K2229" s="18">
        <f>IFERROR(__xludf.DUMMYFUNCTION("""COMPUTED_VALUE"""),25.0)</f>
        <v>25</v>
      </c>
      <c r="L2229" s="17">
        <f>IFERROR(__xludf.DUMMYFUNCTION("""COMPUTED_VALUE"""),3.166261966E9)</f>
        <v>3166261966</v>
      </c>
      <c r="M2229" s="17" t="str">
        <f>IFERROR(__xludf.DUMMYFUNCTION("""COMPUTED_VALUE"""),"#REF!")</f>
        <v>#REF!</v>
      </c>
      <c r="N2229" s="17"/>
      <c r="O2229" s="17"/>
      <c r="P2229" s="17" t="b">
        <f>IFERROR(__xludf.DUMMYFUNCTION("""COMPUTED_VALUE"""),TRUE)</f>
        <v>1</v>
      </c>
      <c r="Q2229" s="20">
        <f>IFERROR(__xludf.DUMMYFUNCTION("""COMPUTED_VALUE"""),45065.59364633102)</f>
        <v>45065.59365</v>
      </c>
      <c r="R2229" s="22" t="str">
        <f>IFERROR(__xludf.DUMMYFUNCTION("""COMPUTED_VALUE"""),"")</f>
        <v/>
      </c>
    </row>
    <row r="2230">
      <c r="A2230" s="17" t="str">
        <f>IFERROR(__xludf.DUMMYFUNCTION("""COMPUTED_VALUE"""),"")</f>
        <v/>
      </c>
      <c r="B2230" s="17" t="str">
        <f>IFERROR(__xludf.DUMMYFUNCTION("""COMPUTED_VALUE"""),"")</f>
        <v/>
      </c>
      <c r="C2230" s="17" t="str">
        <f>IFERROR(__xludf.DUMMYFUNCTION("""COMPUTED_VALUE"""),"")</f>
        <v/>
      </c>
      <c r="D2230" s="17" t="str">
        <f>IFERROR(__xludf.DUMMYFUNCTION("""COMPUTED_VALUE"""),"")</f>
        <v/>
      </c>
      <c r="E2230" s="17" t="str">
        <f>IFERROR(__xludf.DUMMYFUNCTION("""COMPUTED_VALUE"""),"")</f>
        <v/>
      </c>
      <c r="F2230" s="17" t="str">
        <f>IFERROR(__xludf.DUMMYFUNCTION("""COMPUTED_VALUE"""),"")</f>
        <v/>
      </c>
      <c r="G2230" s="17" t="str">
        <f>IFERROR(__xludf.DUMMYFUNCTION("""COMPUTED_VALUE"""),"")</f>
        <v/>
      </c>
      <c r="H2230" s="17" t="str">
        <f>IFERROR(__xludf.DUMMYFUNCTION("""COMPUTED_VALUE"""),"")</f>
        <v/>
      </c>
      <c r="I2230" s="17" t="str">
        <f>IFERROR(__xludf.DUMMYFUNCTION("""COMPUTED_VALUE"""),"")</f>
        <v/>
      </c>
      <c r="J2230" s="17" t="str">
        <f>IFERROR(__xludf.DUMMYFUNCTION("""COMPUTED_VALUE"""),"")</f>
        <v/>
      </c>
      <c r="K2230" s="17" t="str">
        <f>IFERROR(__xludf.DUMMYFUNCTION("""COMPUTED_VALUE"""),"")</f>
        <v/>
      </c>
      <c r="L2230" s="17" t="str">
        <f>IFERROR(__xludf.DUMMYFUNCTION("""COMPUTED_VALUE"""),"")</f>
        <v/>
      </c>
      <c r="M2230" s="17" t="str">
        <f>IFERROR(__xludf.DUMMYFUNCTION("""COMPUTED_VALUE"""),"")</f>
        <v/>
      </c>
      <c r="N2230" s="17" t="str">
        <f>IFERROR(__xludf.DUMMYFUNCTION("""COMPUTED_VALUE"""),"")</f>
        <v/>
      </c>
      <c r="O2230" s="17" t="str">
        <f>IFERROR(__xludf.DUMMYFUNCTION("""COMPUTED_VALUE"""),"")</f>
        <v/>
      </c>
      <c r="P2230" s="17" t="str">
        <f>IFERROR(__xludf.DUMMYFUNCTION("""COMPUTED_VALUE"""),"")</f>
        <v/>
      </c>
      <c r="Q2230" s="17" t="str">
        <f>IFERROR(__xludf.DUMMYFUNCTION("""COMPUTED_VALUE"""),"")</f>
        <v/>
      </c>
      <c r="R2230" s="17" t="str">
        <f>IFERROR(__xludf.DUMMYFUNCTION("""COMPUTED_VALUE"""),"")</f>
        <v/>
      </c>
    </row>
    <row r="2231">
      <c r="A2231" s="15">
        <f>IFERROR(__xludf.DUMMYFUNCTION("""COMPUTED_VALUE"""),45065.0)</f>
        <v>45065</v>
      </c>
      <c r="B2231" s="16" t="str">
        <f>IFERROR(__xludf.DUMMYFUNCTION("""COMPUTED_VALUE"""),"Envia")</f>
        <v>Envia</v>
      </c>
      <c r="C2231" s="15" t="str">
        <f>IFERROR(__xludf.DUMMYFUNCTION("""COMPUTED_VALUE"""),"BARRANQUILLA")</f>
        <v>BARRANQUILLA</v>
      </c>
      <c r="D2231" s="15" t="str">
        <f>IFERROR(__xludf.DUMMYFUNCTION("""COMPUTED_VALUE"""),"MEDELLÍN")</f>
        <v>MEDELLÍN</v>
      </c>
      <c r="E2231" s="15" t="str">
        <f>IFERROR(__xludf.DUMMYFUNCTION("""COMPUTED_VALUE"""),"Rambla")</f>
        <v>Rambla</v>
      </c>
      <c r="F2231" s="17" t="str">
        <f>IFERROR(__xludf.DUMMYFUNCTION("""COMPUTED_VALUE"""),"CARRERA 74 #76-74 / na / na")</f>
        <v>CARRERA 74 #76-74 / na / na</v>
      </c>
      <c r="G2231" s="15" t="str">
        <f>IFERROR(__xludf.DUMMYFUNCTION("""COMPUTED_VALUE"""),"fit hub")</f>
        <v>fit hub</v>
      </c>
      <c r="H2231" s="16">
        <f>IFERROR(__xludf.DUMMYFUNCTION("""COMPUTED_VALUE"""),10852.0)</f>
        <v>10852</v>
      </c>
      <c r="I2231" s="18">
        <f>IFERROR(__xludf.DUMMYFUNCTION("""COMPUTED_VALUE"""),18.0)</f>
        <v>18</v>
      </c>
      <c r="J2231" s="18">
        <f>IFERROR(__xludf.DUMMYFUNCTION("""COMPUTED_VALUE"""),20.0)</f>
        <v>20</v>
      </c>
      <c r="K2231" s="18">
        <f>IFERROR(__xludf.DUMMYFUNCTION("""COMPUTED_VALUE"""),22.0)</f>
        <v>22</v>
      </c>
      <c r="L2231" s="17">
        <f>IFERROR(__xludf.DUMMYFUNCTION("""COMPUTED_VALUE"""),3.157039547E9)</f>
        <v>3157039547</v>
      </c>
      <c r="M2231" s="17" t="str">
        <f>IFERROR(__xludf.DUMMYFUNCTION("""COMPUTED_VALUE"""),"#REF!")</f>
        <v>#REF!</v>
      </c>
      <c r="N2231" s="17"/>
      <c r="O2231" s="17"/>
      <c r="P2231" s="17" t="b">
        <f>IFERROR(__xludf.DUMMYFUNCTION("""COMPUTED_VALUE"""),TRUE)</f>
        <v>1</v>
      </c>
      <c r="Q2231" s="20">
        <f>IFERROR(__xludf.DUMMYFUNCTION("""COMPUTED_VALUE"""),45065.618259780094)</f>
        <v>45065.61826</v>
      </c>
      <c r="R2231" s="22" t="str">
        <f>IFERROR(__xludf.DUMMYFUNCTION("""COMPUTED_VALUE"""),"")</f>
        <v/>
      </c>
    </row>
    <row r="2232">
      <c r="A2232" s="15">
        <f>IFERROR(__xludf.DUMMYFUNCTION("""COMPUTED_VALUE"""),45065.0)</f>
        <v>45065</v>
      </c>
      <c r="B2232" s="16" t="str">
        <f>IFERROR(__xludf.DUMMYFUNCTION("""COMPUTED_VALUE"""),"Envia")</f>
        <v>Envia</v>
      </c>
      <c r="C2232" s="15" t="str">
        <f>IFERROR(__xludf.DUMMYFUNCTION("""COMPUTED_VALUE"""),"BARRANQUILLA")</f>
        <v>BARRANQUILLA</v>
      </c>
      <c r="D2232" s="15" t="str">
        <f>IFERROR(__xludf.DUMMYFUNCTION("""COMPUTED_VALUE"""),"MEDELLÍN")</f>
        <v>MEDELLÍN</v>
      </c>
      <c r="E2232" s="15" t="str">
        <f>IFERROR(__xludf.DUMMYFUNCTION("""COMPUTED_VALUE"""),"Rambla")</f>
        <v>Rambla</v>
      </c>
      <c r="F2232" s="17" t="str">
        <f>IFERROR(__xludf.DUMMYFUNCTION("""COMPUTED_VALUE"""),"Cr 5187-50 en el exito viva Barranquilla / na / na")</f>
        <v>Cr 5187-50 en el exito viva Barranquilla / na / na</v>
      </c>
      <c r="G2232" s="15" t="str">
        <f>IFERROR(__xludf.DUMMYFUNCTION("""COMPUTED_VALUE"""),"zona azul")</f>
        <v>zona azul</v>
      </c>
      <c r="H2232" s="16">
        <f>IFERROR(__xludf.DUMMYFUNCTION("""COMPUTED_VALUE"""),10848.0)</f>
        <v>10848</v>
      </c>
      <c r="I2232" s="18">
        <f>IFERROR(__xludf.DUMMYFUNCTION("""COMPUTED_VALUE"""),22.0)</f>
        <v>22</v>
      </c>
      <c r="J2232" s="18">
        <f>IFERROR(__xludf.DUMMYFUNCTION("""COMPUTED_VALUE"""),26.0)</f>
        <v>26</v>
      </c>
      <c r="K2232" s="18">
        <f>IFERROR(__xludf.DUMMYFUNCTION("""COMPUTED_VALUE"""),28.0)</f>
        <v>28</v>
      </c>
      <c r="L2232" s="17">
        <f>IFERROR(__xludf.DUMMYFUNCTION("""COMPUTED_VALUE"""),3.105626817E9)</f>
        <v>3105626817</v>
      </c>
      <c r="M2232" s="17" t="str">
        <f>IFERROR(__xludf.DUMMYFUNCTION("""COMPUTED_VALUE"""),"#REF!")</f>
        <v>#REF!</v>
      </c>
      <c r="N2232" s="17"/>
      <c r="O2232" s="17"/>
      <c r="P2232" s="17" t="b">
        <f>IFERROR(__xludf.DUMMYFUNCTION("""COMPUTED_VALUE"""),TRUE)</f>
        <v>1</v>
      </c>
      <c r="Q2232" s="20">
        <f>IFERROR(__xludf.DUMMYFUNCTION("""COMPUTED_VALUE"""),45065.61822173611)</f>
        <v>45065.61822</v>
      </c>
      <c r="R2232" s="22" t="str">
        <f>IFERROR(__xludf.DUMMYFUNCTION("""COMPUTED_VALUE"""),"")</f>
        <v/>
      </c>
    </row>
    <row r="2233">
      <c r="A2233" s="15">
        <f>IFERROR(__xludf.DUMMYFUNCTION("""COMPUTED_VALUE"""),45065.0)</f>
        <v>45065</v>
      </c>
      <c r="B2233" s="16" t="str">
        <f>IFERROR(__xludf.DUMMYFUNCTION("""COMPUTED_VALUE"""),"Envia")</f>
        <v>Envia</v>
      </c>
      <c r="C2233" s="15" t="str">
        <f>IFERROR(__xludf.DUMMYFUNCTION("""COMPUTED_VALUE"""),"BOGOTÁ")</f>
        <v>BOGOTÁ</v>
      </c>
      <c r="D2233" s="15" t="str">
        <f>IFERROR(__xludf.DUMMYFUNCTION("""COMPUTED_VALUE"""),"MEDELLÍN")</f>
        <v>MEDELLÍN</v>
      </c>
      <c r="E2233" s="15" t="str">
        <f>IFERROR(__xludf.DUMMYFUNCTION("""COMPUTED_VALUE"""),"Baby Chef")</f>
        <v>Baby Chef</v>
      </c>
      <c r="F2233" s="17" t="str">
        <f>IFERROR(__xludf.DUMMYFUNCTION("""COMPUTED_VALUE"""),"Calle 138 # 11 B 50 Torre 2 Apto 301 / Calle 138 # 11 B 50 Torre 2 Apto 301 / Calle 138 # 11 B 50 Torre 2 Apto 301")</f>
        <v>Calle 138 # 11 B 50 Torre 2 Apto 301 / Calle 138 # 11 B 50 Torre 2 Apto 301 / Calle 138 # 11 B 50 Torre 2 Apto 301</v>
      </c>
      <c r="G2233" s="15" t="str">
        <f>IFERROR(__xludf.DUMMYFUNCTION("""COMPUTED_VALUE"""),"Nury Diaz")</f>
        <v>Nury Diaz</v>
      </c>
      <c r="H2233" s="16">
        <f>IFERROR(__xludf.DUMMYFUNCTION("""COMPUTED_VALUE"""),10875.0)</f>
        <v>10875</v>
      </c>
      <c r="I2233" s="18">
        <f>IFERROR(__xludf.DUMMYFUNCTION("""COMPUTED_VALUE"""),8.0)</f>
        <v>8</v>
      </c>
      <c r="J2233" s="18">
        <f>IFERROR(__xludf.DUMMYFUNCTION("""COMPUTED_VALUE"""),16.0)</f>
        <v>16</v>
      </c>
      <c r="K2233" s="18">
        <f>IFERROR(__xludf.DUMMYFUNCTION("""COMPUTED_VALUE"""),20.0)</f>
        <v>20</v>
      </c>
      <c r="L2233" s="17">
        <f>IFERROR(__xludf.DUMMYFUNCTION("""COMPUTED_VALUE"""),3.108660102E9)</f>
        <v>3108660102</v>
      </c>
      <c r="M2233" s="17" t="str">
        <f>IFERROR(__xludf.DUMMYFUNCTION("""COMPUTED_VALUE"""),"#REF!")</f>
        <v>#REF!</v>
      </c>
      <c r="N2233" s="17"/>
      <c r="O2233" s="17"/>
      <c r="P2233" s="17" t="b">
        <f>IFERROR(__xludf.DUMMYFUNCTION("""COMPUTED_VALUE"""),TRUE)</f>
        <v>1</v>
      </c>
      <c r="Q2233" s="20">
        <f>IFERROR(__xludf.DUMMYFUNCTION("""COMPUTED_VALUE"""),45065.594229027774)</f>
        <v>45065.59423</v>
      </c>
      <c r="R2233" s="22" t="str">
        <f>IFERROR(__xludf.DUMMYFUNCTION("""COMPUTED_VALUE"""),"")</f>
        <v/>
      </c>
    </row>
    <row r="2234">
      <c r="A2234" s="15">
        <f>IFERROR(__xludf.DUMMYFUNCTION("""COMPUTED_VALUE"""),45065.0)</f>
        <v>45065</v>
      </c>
      <c r="B2234" s="16" t="str">
        <f>IFERROR(__xludf.DUMMYFUNCTION("""COMPUTED_VALUE"""),"Envia")</f>
        <v>Envia</v>
      </c>
      <c r="C2234" s="15" t="str">
        <f>IFERROR(__xludf.DUMMYFUNCTION("""COMPUTED_VALUE"""),"BOGOTÁ")</f>
        <v>BOGOTÁ</v>
      </c>
      <c r="D2234" s="15" t="str">
        <f>IFERROR(__xludf.DUMMYFUNCTION("""COMPUTED_VALUE"""),"MEDELLÍN")</f>
        <v>MEDELLÍN</v>
      </c>
      <c r="E2234" s="15" t="str">
        <f>IFERROR(__xludf.DUMMYFUNCTION("""COMPUTED_VALUE"""),"Rambla")</f>
        <v>Rambla</v>
      </c>
      <c r="F2234" s="17" t="str">
        <f>IFERROR(__xludf.DUMMYFUNCTION("""COMPUTED_VALUE"""),"Av Cra 9 # 113-52 local 306 / na / na")</f>
        <v>Av Cra 9 # 113-52 local 306 / na / na</v>
      </c>
      <c r="G2234" s="15" t="str">
        <f>IFERROR(__xludf.DUMMYFUNCTION("""COMPUTED_VALUE"""),"FRESHCO")</f>
        <v>FRESHCO</v>
      </c>
      <c r="H2234" s="16">
        <f>IFERROR(__xludf.DUMMYFUNCTION("""COMPUTED_VALUE"""),10859.0)</f>
        <v>10859</v>
      </c>
      <c r="I2234" s="18">
        <f>IFERROR(__xludf.DUMMYFUNCTION("""COMPUTED_VALUE"""),27.0)</f>
        <v>27</v>
      </c>
      <c r="J2234" s="18">
        <f>IFERROR(__xludf.DUMMYFUNCTION("""COMPUTED_VALUE"""),23.0)</f>
        <v>23</v>
      </c>
      <c r="K2234" s="18">
        <f>IFERROR(__xludf.DUMMYFUNCTION("""COMPUTED_VALUE"""),25.0)</f>
        <v>25</v>
      </c>
      <c r="L2234" s="17">
        <f>IFERROR(__xludf.DUMMYFUNCTION("""COMPUTED_VALUE"""),3.229417869E9)</f>
        <v>3229417869</v>
      </c>
      <c r="M2234" s="17" t="str">
        <f>IFERROR(__xludf.DUMMYFUNCTION("""COMPUTED_VALUE"""),"#REF!")</f>
        <v>#REF!</v>
      </c>
      <c r="N2234" s="17"/>
      <c r="O2234" s="17"/>
      <c r="P2234" s="17" t="b">
        <f>IFERROR(__xludf.DUMMYFUNCTION("""COMPUTED_VALUE"""),TRUE)</f>
        <v>1</v>
      </c>
      <c r="Q2234" s="20">
        <f>IFERROR(__xludf.DUMMYFUNCTION("""COMPUTED_VALUE"""),45068.8381074537)</f>
        <v>45068.83811</v>
      </c>
      <c r="R2234" s="22" t="str">
        <f>IFERROR(__xludf.DUMMYFUNCTION("""COMPUTED_VALUE"""),"")</f>
        <v/>
      </c>
    </row>
    <row r="2235">
      <c r="A2235" s="15">
        <f>IFERROR(__xludf.DUMMYFUNCTION("""COMPUTED_VALUE"""),45065.0)</f>
        <v>45065</v>
      </c>
      <c r="B2235" s="16" t="str">
        <f>IFERROR(__xludf.DUMMYFUNCTION("""COMPUTED_VALUE"""),"Envia")</f>
        <v>Envia</v>
      </c>
      <c r="C2235" s="15" t="str">
        <f>IFERROR(__xludf.DUMMYFUNCTION("""COMPUTED_VALUE"""),"CALI")</f>
        <v>CALI</v>
      </c>
      <c r="D2235" s="15" t="str">
        <f>IFERROR(__xludf.DUMMYFUNCTION("""COMPUTED_VALUE"""),"BOGOTÁ")</f>
        <v>BOGOTÁ</v>
      </c>
      <c r="E2235" s="15" t="str">
        <f>IFERROR(__xludf.DUMMYFUNCTION("""COMPUTED_VALUE"""),"Mochi")</f>
        <v>Mochi</v>
      </c>
      <c r="F2235" s="17" t="str">
        <f>IFERROR(__xludf.DUMMYFUNCTION("""COMPUTED_VALUE"""),"Cl. 15 Nte. #9n-16, Granada,            / Cl. 15 Nte. #9n-16, Granada,        / Cl. 15 Nte. #9n-16, Granada,")</f>
        <v>Cl. 15 Nte. #9n-16, Granada,            / Cl. 15 Nte. #9n-16, Granada,        / Cl. 15 Nte. #9n-16, Granada,</v>
      </c>
      <c r="G2235" s="15" t="str">
        <f>IFERROR(__xludf.DUMMYFUNCTION("""COMPUTED_VALUE"""),"Estefania")</f>
        <v>Estefania</v>
      </c>
      <c r="H2235" s="16">
        <f>IFERROR(__xludf.DUMMYFUNCTION("""COMPUTED_VALUE"""),10869.0)</f>
        <v>10869</v>
      </c>
      <c r="I2235" s="18">
        <f>IFERROR(__xludf.DUMMYFUNCTION("""COMPUTED_VALUE"""),100.0)</f>
        <v>100</v>
      </c>
      <c r="J2235" s="18">
        <f>IFERROR(__xludf.DUMMYFUNCTION("""COMPUTED_VALUE"""),100.0)</f>
        <v>100</v>
      </c>
      <c r="K2235" s="18">
        <f>IFERROR(__xludf.DUMMYFUNCTION("""COMPUTED_VALUE"""),100.0)</f>
        <v>100</v>
      </c>
      <c r="L2235" s="17">
        <f>IFERROR(__xludf.DUMMYFUNCTION("""COMPUTED_VALUE"""),3.183028598E9)</f>
        <v>3183028598</v>
      </c>
      <c r="M2235" s="17" t="str">
        <f>IFERROR(__xludf.DUMMYFUNCTION("""COMPUTED_VALUE"""),"#REF!")</f>
        <v>#REF!</v>
      </c>
      <c r="N2235" s="17"/>
      <c r="O2235" s="17"/>
      <c r="P2235" s="17" t="b">
        <f>IFERROR(__xludf.DUMMYFUNCTION("""COMPUTED_VALUE"""),TRUE)</f>
        <v>1</v>
      </c>
      <c r="Q2235" s="20">
        <f>IFERROR(__xludf.DUMMYFUNCTION("""COMPUTED_VALUE"""),45065.611415879626)</f>
        <v>45065.61142</v>
      </c>
      <c r="R2235" s="22" t="str">
        <f>IFERROR(__xludf.DUMMYFUNCTION("""COMPUTED_VALUE"""),"")</f>
        <v/>
      </c>
    </row>
    <row r="2236">
      <c r="A2236" s="15">
        <f>IFERROR(__xludf.DUMMYFUNCTION("""COMPUTED_VALUE"""),45065.0)</f>
        <v>45065</v>
      </c>
      <c r="B2236" s="16" t="str">
        <f>IFERROR(__xludf.DUMMYFUNCTION("""COMPUTED_VALUE"""),"Envia")</f>
        <v>Envia</v>
      </c>
      <c r="C2236" s="15" t="str">
        <f>IFERROR(__xludf.DUMMYFUNCTION("""COMPUTED_VALUE"""),"CALI")</f>
        <v>CALI</v>
      </c>
      <c r="D2236" s="15" t="str">
        <f>IFERROR(__xludf.DUMMYFUNCTION("""COMPUTED_VALUE"""),"BOGOTÁ")</f>
        <v>BOGOTÁ</v>
      </c>
      <c r="E2236" s="15" t="str">
        <f>IFERROR(__xludf.DUMMYFUNCTION("""COMPUTED_VALUE"""),"Viral Brands")</f>
        <v>Viral Brands</v>
      </c>
      <c r="F2236" s="17" t="str">
        <f>IFERROR(__xludf.DUMMYFUNCTION("""COMPUTED_VALUE"""),"Carrera 5a 25n 39 / Edificio / San vicente")</f>
        <v>Carrera 5a 25n 39 / Edificio / San vicente</v>
      </c>
      <c r="G2236" s="15" t="str">
        <f>IFERROR(__xludf.DUMMYFUNCTION("""COMPUTED_VALUE"""),"Lisbeth gamez")</f>
        <v>Lisbeth gamez</v>
      </c>
      <c r="H2236" s="16">
        <f>IFERROR(__xludf.DUMMYFUNCTION("""COMPUTED_VALUE"""),10867.0)</f>
        <v>10867</v>
      </c>
      <c r="I2236" s="18">
        <f>IFERROR(__xludf.DUMMYFUNCTION("""COMPUTED_VALUE"""),45.0)</f>
        <v>45</v>
      </c>
      <c r="J2236" s="18">
        <f>IFERROR(__xludf.DUMMYFUNCTION("""COMPUTED_VALUE"""),55.0)</f>
        <v>55</v>
      </c>
      <c r="K2236" s="18">
        <f>IFERROR(__xludf.DUMMYFUNCTION("""COMPUTED_VALUE"""),52.0)</f>
        <v>52</v>
      </c>
      <c r="L2236" s="17">
        <f>IFERROR(__xludf.DUMMYFUNCTION("""COMPUTED_VALUE"""),3.218280504E9)</f>
        <v>3218280504</v>
      </c>
      <c r="M2236" s="17" t="str">
        <f>IFERROR(__xludf.DUMMYFUNCTION("""COMPUTED_VALUE"""),"#REF!")</f>
        <v>#REF!</v>
      </c>
      <c r="N2236" s="17"/>
      <c r="O2236" s="17"/>
      <c r="P2236" s="17" t="b">
        <f>IFERROR(__xludf.DUMMYFUNCTION("""COMPUTED_VALUE"""),TRUE)</f>
        <v>1</v>
      </c>
      <c r="Q2236" s="20">
        <f>IFERROR(__xludf.DUMMYFUNCTION("""COMPUTED_VALUE"""),45065.61137716435)</f>
        <v>45065.61138</v>
      </c>
      <c r="R2236" s="22" t="str">
        <f>IFERROR(__xludf.DUMMYFUNCTION("""COMPUTED_VALUE"""),"")</f>
        <v/>
      </c>
    </row>
    <row r="2237">
      <c r="A2237" s="15">
        <f>IFERROR(__xludf.DUMMYFUNCTION("""COMPUTED_VALUE"""),45065.0)</f>
        <v>45065</v>
      </c>
      <c r="B2237" s="16" t="str">
        <f>IFERROR(__xludf.DUMMYFUNCTION("""COMPUTED_VALUE"""),"Envia")</f>
        <v>Envia</v>
      </c>
      <c r="C2237" s="15" t="str">
        <f>IFERROR(__xludf.DUMMYFUNCTION("""COMPUTED_VALUE"""),"CARTAGENA")</f>
        <v>CARTAGENA</v>
      </c>
      <c r="D2237" s="15" t="str">
        <f>IFERROR(__xludf.DUMMYFUNCTION("""COMPUTED_VALUE"""),"BOGOTÁ")</f>
        <v>BOGOTÁ</v>
      </c>
      <c r="E2237" s="15" t="str">
        <f>IFERROR(__xludf.DUMMYFUNCTION("""COMPUTED_VALUE"""),"Mochi")</f>
        <v>Mochi</v>
      </c>
      <c r="F2237" s="17" t="str">
        <f>IFERROR(__xludf.DUMMYFUNCTION("""COMPUTED_VALUE"""),"centro comercial Serrezuela / centro comercial Serrezuela / centro comercial Serrezuela")</f>
        <v>centro comercial Serrezuela / centro comercial Serrezuela / centro comercial Serrezuela</v>
      </c>
      <c r="G2237" s="15" t="str">
        <f>IFERROR(__xludf.DUMMYFUNCTION("""COMPUTED_VALUE"""),"Maria Camila")</f>
        <v>Maria Camila</v>
      </c>
      <c r="H2237" s="16">
        <f>IFERROR(__xludf.DUMMYFUNCTION("""COMPUTED_VALUE"""),10871.0)</f>
        <v>10871</v>
      </c>
      <c r="I2237" s="18">
        <f>IFERROR(__xludf.DUMMYFUNCTION("""COMPUTED_VALUE"""),100.0)</f>
        <v>100</v>
      </c>
      <c r="J2237" s="18">
        <f>IFERROR(__xludf.DUMMYFUNCTION("""COMPUTED_VALUE"""),100.0)</f>
        <v>100</v>
      </c>
      <c r="K2237" s="18">
        <f>IFERROR(__xludf.DUMMYFUNCTION("""COMPUTED_VALUE"""),200.0)</f>
        <v>200</v>
      </c>
      <c r="L2237" s="17">
        <f>IFERROR(__xludf.DUMMYFUNCTION("""COMPUTED_VALUE"""),3.116026252E9)</f>
        <v>3116026252</v>
      </c>
      <c r="M2237" s="17" t="str">
        <f>IFERROR(__xludf.DUMMYFUNCTION("""COMPUTED_VALUE"""),"#REF!")</f>
        <v>#REF!</v>
      </c>
      <c r="N2237" s="17"/>
      <c r="O2237" s="17"/>
      <c r="P2237" s="17" t="b">
        <f>IFERROR(__xludf.DUMMYFUNCTION("""COMPUTED_VALUE"""),TRUE)</f>
        <v>1</v>
      </c>
      <c r="Q2237" s="20">
        <f>IFERROR(__xludf.DUMMYFUNCTION("""COMPUTED_VALUE"""),45065.59933938658)</f>
        <v>45065.59934</v>
      </c>
      <c r="R2237" s="22" t="str">
        <f>IFERROR(__xludf.DUMMYFUNCTION("""COMPUTED_VALUE"""),"")</f>
        <v/>
      </c>
    </row>
    <row r="2238">
      <c r="A2238" s="15">
        <f>IFERROR(__xludf.DUMMYFUNCTION("""COMPUTED_VALUE"""),45065.0)</f>
        <v>45065</v>
      </c>
      <c r="B2238" s="16" t="str">
        <f>IFERROR(__xludf.DUMMYFUNCTION("""COMPUTED_VALUE"""),"Envia")</f>
        <v>Envia</v>
      </c>
      <c r="C2238" s="15" t="str">
        <f>IFERROR(__xludf.DUMMYFUNCTION("""COMPUTED_VALUE"""),"CÚCUTA")</f>
        <v>CÚCUTA</v>
      </c>
      <c r="D2238" s="15" t="str">
        <f>IFERROR(__xludf.DUMMYFUNCTION("""COMPUTED_VALUE"""),"BOGOTÁ")</f>
        <v>BOGOTÁ</v>
      </c>
      <c r="E2238" s="15" t="str">
        <f>IFERROR(__xludf.DUMMYFUNCTION("""COMPUTED_VALUE"""),"Viiva Fermentados")</f>
        <v>Viiva Fermentados</v>
      </c>
      <c r="F2238" s="17" t="str">
        <f>IFERROR(__xludf.DUMMYFUNCTION("""COMPUTED_VALUE"""),"Av gran colombia 5e-39  / local 2  / Balanzi Market")</f>
        <v>Av gran colombia 5e-39  / local 2  / Balanzi Market</v>
      </c>
      <c r="G2238" s="15" t="str">
        <f>IFERROR(__xludf.DUMMYFUNCTION("""COMPUTED_VALUE"""),"Angie Fernanda Portilla Balanzi Market")</f>
        <v>Angie Fernanda Portilla Balanzi Market</v>
      </c>
      <c r="H2238" s="16">
        <f>IFERROR(__xludf.DUMMYFUNCTION("""COMPUTED_VALUE"""),10630.0)</f>
        <v>10630</v>
      </c>
      <c r="I2238" s="18">
        <f>IFERROR(__xludf.DUMMYFUNCTION("""COMPUTED_VALUE"""),17.0)</f>
        <v>17</v>
      </c>
      <c r="J2238" s="18">
        <f>IFERROR(__xludf.DUMMYFUNCTION("""COMPUTED_VALUE"""),40.0)</f>
        <v>40</v>
      </c>
      <c r="K2238" s="18">
        <f>IFERROR(__xludf.DUMMYFUNCTION("""COMPUTED_VALUE"""),30.0)</f>
        <v>30</v>
      </c>
      <c r="L2238" s="17">
        <f>IFERROR(__xludf.DUMMYFUNCTION("""COMPUTED_VALUE"""),3.008540473E9)</f>
        <v>3008540473</v>
      </c>
      <c r="M2238" s="17" t="str">
        <f>IFERROR(__xludf.DUMMYFUNCTION("""COMPUTED_VALUE"""),"#REF!")</f>
        <v>#REF!</v>
      </c>
      <c r="N2238" s="17"/>
      <c r="O2238" s="17"/>
      <c r="P2238" s="17" t="b">
        <f>IFERROR(__xludf.DUMMYFUNCTION("""COMPUTED_VALUE"""),FALSE)</f>
        <v>0</v>
      </c>
      <c r="Q2238" s="20" t="str">
        <f>IFERROR(__xludf.DUMMYFUNCTION("""COMPUTED_VALUE"""),"")</f>
        <v/>
      </c>
      <c r="R2238" s="22" t="str">
        <f>IFERROR(__xludf.DUMMYFUNCTION("""COMPUTED_VALUE"""),"")</f>
        <v/>
      </c>
    </row>
    <row r="2239">
      <c r="A2239" s="15">
        <f>IFERROR(__xludf.DUMMYFUNCTION("""COMPUTED_VALUE"""),45065.0)</f>
        <v>45065</v>
      </c>
      <c r="B2239" s="16" t="str">
        <f>IFERROR(__xludf.DUMMYFUNCTION("""COMPUTED_VALUE"""),"Envia")</f>
        <v>Envia</v>
      </c>
      <c r="C2239" s="15" t="str">
        <f>IFERROR(__xludf.DUMMYFUNCTION("""COMPUTED_VALUE"""),"CÚCUTA")</f>
        <v>CÚCUTA</v>
      </c>
      <c r="D2239" s="15" t="str">
        <f>IFERROR(__xludf.DUMMYFUNCTION("""COMPUTED_VALUE"""),"BOGOTÁ")</f>
        <v>BOGOTÁ</v>
      </c>
      <c r="E2239" s="15" t="str">
        <f>IFERROR(__xludf.DUMMYFUNCTION("""COMPUTED_VALUE"""),"Viiva Fermentados")</f>
        <v>Viiva Fermentados</v>
      </c>
      <c r="F2239" s="17" t="str">
        <f>IFERROR(__xludf.DUMMYFUNCTION("""COMPUTED_VALUE"""),"Av. 2 E #15A-17  / Tienda Pistacho Market / Barrio Caobos")</f>
        <v>Av. 2 E #15A-17  / Tienda Pistacho Market / Barrio Caobos</v>
      </c>
      <c r="G2239" s="15" t="str">
        <f>IFERROR(__xludf.DUMMYFUNCTION("""COMPUTED_VALUE"""),"Pistacho Fit Market")</f>
        <v>Pistacho Fit Market</v>
      </c>
      <c r="H2239" s="16">
        <f>IFERROR(__xludf.DUMMYFUNCTION("""COMPUTED_VALUE"""),10631.0)</f>
        <v>10631</v>
      </c>
      <c r="I2239" s="18">
        <f>IFERROR(__xludf.DUMMYFUNCTION("""COMPUTED_VALUE"""),27.0)</f>
        <v>27</v>
      </c>
      <c r="J2239" s="18">
        <f>IFERROR(__xludf.DUMMYFUNCTION("""COMPUTED_VALUE"""),18.0)</f>
        <v>18</v>
      </c>
      <c r="K2239" s="18">
        <f>IFERROR(__xludf.DUMMYFUNCTION("""COMPUTED_VALUE"""),18.0)</f>
        <v>18</v>
      </c>
      <c r="L2239" s="17">
        <f>IFERROR(__xludf.DUMMYFUNCTION("""COMPUTED_VALUE"""),3.133032295E9)</f>
        <v>3133032295</v>
      </c>
      <c r="M2239" s="17" t="str">
        <f>IFERROR(__xludf.DUMMYFUNCTION("""COMPUTED_VALUE"""),"#REF!")</f>
        <v>#REF!</v>
      </c>
      <c r="N2239" s="17"/>
      <c r="O2239" s="17"/>
      <c r="P2239" s="17" t="b">
        <f>IFERROR(__xludf.DUMMYFUNCTION("""COMPUTED_VALUE"""),TRUE)</f>
        <v>1</v>
      </c>
      <c r="Q2239" s="20">
        <f>IFERROR(__xludf.DUMMYFUNCTION("""COMPUTED_VALUE"""),45065.61504697917)</f>
        <v>45065.61505</v>
      </c>
      <c r="R2239" s="22" t="str">
        <f>IFERROR(__xludf.DUMMYFUNCTION("""COMPUTED_VALUE"""),"")</f>
        <v/>
      </c>
    </row>
    <row r="2240">
      <c r="A2240" s="15">
        <f>IFERROR(__xludf.DUMMYFUNCTION("""COMPUTED_VALUE"""),45065.0)</f>
        <v>45065</v>
      </c>
      <c r="B2240" s="16" t="str">
        <f>IFERROR(__xludf.DUMMYFUNCTION("""COMPUTED_VALUE"""),"Envia")</f>
        <v>Envia</v>
      </c>
      <c r="C2240" s="15" t="str">
        <f>IFERROR(__xludf.DUMMYFUNCTION("""COMPUTED_VALUE"""),"CÚCUTA")</f>
        <v>CÚCUTA</v>
      </c>
      <c r="D2240" s="15" t="str">
        <f>IFERROR(__xludf.DUMMYFUNCTION("""COMPUTED_VALUE"""),"MEDELLÍN")</f>
        <v>MEDELLÍN</v>
      </c>
      <c r="E2240" s="15" t="str">
        <f>IFERROR(__xludf.DUMMYFUNCTION("""COMPUTED_VALUE"""),"Rambla")</f>
        <v>Rambla</v>
      </c>
      <c r="F2240" s="17" t="str">
        <f>IFERROR(__xludf.DUMMYFUNCTION("""COMPUTED_VALUE"""),"avenida  9e 7-12 la riviera / na / na")</f>
        <v>avenida  9e 7-12 la riviera / na / na</v>
      </c>
      <c r="G2240" s="15" t="str">
        <f>IFERROR(__xludf.DUMMYFUNCTION("""COMPUTED_VALUE"""),"Sexto Sentido")</f>
        <v>Sexto Sentido</v>
      </c>
      <c r="H2240" s="16">
        <f>IFERROR(__xludf.DUMMYFUNCTION("""COMPUTED_VALUE"""),10845.0)</f>
        <v>10845</v>
      </c>
      <c r="I2240" s="18">
        <f>IFERROR(__xludf.DUMMYFUNCTION("""COMPUTED_VALUE"""),29.0)</f>
        <v>29</v>
      </c>
      <c r="J2240" s="18">
        <f>IFERROR(__xludf.DUMMYFUNCTION("""COMPUTED_VALUE"""),31.0)</f>
        <v>31</v>
      </c>
      <c r="K2240" s="18">
        <f>IFERROR(__xludf.DUMMYFUNCTION("""COMPUTED_VALUE"""),34.0)</f>
        <v>34</v>
      </c>
      <c r="L2240" s="17">
        <f>IFERROR(__xludf.DUMMYFUNCTION("""COMPUTED_VALUE"""),3.154996494E9)</f>
        <v>3154996494</v>
      </c>
      <c r="M2240" s="17" t="str">
        <f>IFERROR(__xludf.DUMMYFUNCTION("""COMPUTED_VALUE"""),"#REF!")</f>
        <v>#REF!</v>
      </c>
      <c r="N2240" s="17"/>
      <c r="O2240" s="17"/>
      <c r="P2240" s="17" t="b">
        <f>IFERROR(__xludf.DUMMYFUNCTION("""COMPUTED_VALUE"""),TRUE)</f>
        <v>1</v>
      </c>
      <c r="Q2240" s="20">
        <f>IFERROR(__xludf.DUMMYFUNCTION("""COMPUTED_VALUE"""),45065.613478796295)</f>
        <v>45065.61348</v>
      </c>
      <c r="R2240" s="22" t="str">
        <f>IFERROR(__xludf.DUMMYFUNCTION("""COMPUTED_VALUE"""),"")</f>
        <v/>
      </c>
    </row>
    <row r="2241">
      <c r="A2241" s="15">
        <f>IFERROR(__xludf.DUMMYFUNCTION("""COMPUTED_VALUE"""),45065.0)</f>
        <v>45065</v>
      </c>
      <c r="B2241" s="16" t="str">
        <f>IFERROR(__xludf.DUMMYFUNCTION("""COMPUTED_VALUE"""),"Envia")</f>
        <v>Envia</v>
      </c>
      <c r="C2241" s="15" t="str">
        <f>IFERROR(__xludf.DUMMYFUNCTION("""COMPUTED_VALUE"""),"IBAGUÉ")</f>
        <v>IBAGUÉ</v>
      </c>
      <c r="D2241" s="15" t="str">
        <f>IFERROR(__xludf.DUMMYFUNCTION("""COMPUTED_VALUE"""),"BOGOTÁ")</f>
        <v>BOGOTÁ</v>
      </c>
      <c r="E2241" s="15" t="str">
        <f>IFERROR(__xludf.DUMMYFUNCTION("""COMPUTED_VALUE"""),"Karem foods")</f>
        <v>Karem foods</v>
      </c>
      <c r="F2241" s="17" t="str">
        <f>IFERROR(__xludf.DUMMYFUNCTION("""COMPUTED_VALUE"""),"Cra 14 # 75A-29 / Local 5 Estancia del Vergel / -")</f>
        <v>Cra 14 # 75A-29 / Local 5 Estancia del Vergel / -</v>
      </c>
      <c r="G2241" s="15" t="str">
        <f>IFERROR(__xludf.DUMMYFUNCTION("""COMPUTED_VALUE"""),"Soy Natural Market Daniela Arbelaez")</f>
        <v>Soy Natural Market Daniela Arbelaez</v>
      </c>
      <c r="H2241" s="16">
        <f>IFERROR(__xludf.DUMMYFUNCTION("""COMPUTED_VALUE"""),10868.0)</f>
        <v>10868</v>
      </c>
      <c r="I2241" s="18">
        <f>IFERROR(__xludf.DUMMYFUNCTION("""COMPUTED_VALUE"""),14.0)</f>
        <v>14</v>
      </c>
      <c r="J2241" s="18">
        <f>IFERROR(__xludf.DUMMYFUNCTION("""COMPUTED_VALUE"""),24.0)</f>
        <v>24</v>
      </c>
      <c r="K2241" s="18">
        <f>IFERROR(__xludf.DUMMYFUNCTION("""COMPUTED_VALUE"""),32.0)</f>
        <v>32</v>
      </c>
      <c r="L2241" s="17">
        <f>IFERROR(__xludf.DUMMYFUNCTION("""COMPUTED_VALUE"""),3.177002909E9)</f>
        <v>3177002909</v>
      </c>
      <c r="M2241" s="17" t="str">
        <f>IFERROR(__xludf.DUMMYFUNCTION("""COMPUTED_VALUE"""),"#REF!")</f>
        <v>#REF!</v>
      </c>
      <c r="N2241" s="17"/>
      <c r="O2241" s="17"/>
      <c r="P2241" s="17" t="b">
        <f>IFERROR(__xludf.DUMMYFUNCTION("""COMPUTED_VALUE"""),TRUE)</f>
        <v>1</v>
      </c>
      <c r="Q2241" s="20">
        <f>IFERROR(__xludf.DUMMYFUNCTION("""COMPUTED_VALUE"""),45065.61152417824)</f>
        <v>45065.61152</v>
      </c>
      <c r="R2241" s="22" t="str">
        <f>IFERROR(__xludf.DUMMYFUNCTION("""COMPUTED_VALUE"""),"")</f>
        <v/>
      </c>
    </row>
    <row r="2242">
      <c r="A2242" s="15">
        <f>IFERROR(__xludf.DUMMYFUNCTION("""COMPUTED_VALUE"""),45065.0)</f>
        <v>45065</v>
      </c>
      <c r="B2242" s="16" t="str">
        <f>IFERROR(__xludf.DUMMYFUNCTION("""COMPUTED_VALUE"""),"Envia")</f>
        <v>Envia</v>
      </c>
      <c r="C2242" s="15" t="str">
        <f>IFERROR(__xludf.DUMMYFUNCTION("""COMPUTED_VALUE"""),"MEDELLÍN")</f>
        <v>MEDELLÍN</v>
      </c>
      <c r="D2242" s="15" t="str">
        <f>IFERROR(__xludf.DUMMYFUNCTION("""COMPUTED_VALUE"""),"BOGOTÁ")</f>
        <v>BOGOTÁ</v>
      </c>
      <c r="E2242" s="15" t="str">
        <f>IFERROR(__xludf.DUMMYFUNCTION("""COMPUTED_VALUE"""),"MAI ALIMENTOS S.A.S")</f>
        <v>MAI ALIMENTOS S.A.S</v>
      </c>
      <c r="F2242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242" s="15" t="str">
        <f>IFERROR(__xludf.DUMMYFUNCTION("""COMPUTED_VALUE"""),"Novaventas - Medellin")</f>
        <v>Novaventas - Medellin</v>
      </c>
      <c r="H2242" s="16">
        <f>IFERROR(__xludf.DUMMYFUNCTION("""COMPUTED_VALUE"""),10767.0)</f>
        <v>10767</v>
      </c>
      <c r="I2242" s="18">
        <f>IFERROR(__xludf.DUMMYFUNCTION("""COMPUTED_VALUE"""),35.0)</f>
        <v>35</v>
      </c>
      <c r="J2242" s="18">
        <f>IFERROR(__xludf.DUMMYFUNCTION("""COMPUTED_VALUE"""),17.0)</f>
        <v>17</v>
      </c>
      <c r="K2242" s="18">
        <f>IFERROR(__xludf.DUMMYFUNCTION("""COMPUTED_VALUE"""),13.0)</f>
        <v>13</v>
      </c>
      <c r="L2242" s="17">
        <f>IFERROR(__xludf.DUMMYFUNCTION("""COMPUTED_VALUE"""),3.187351593E9)</f>
        <v>3187351593</v>
      </c>
      <c r="M2242" s="17" t="str">
        <f>IFERROR(__xludf.DUMMYFUNCTION("""COMPUTED_VALUE"""),"#REF!")</f>
        <v>#REF!</v>
      </c>
      <c r="N2242" s="17"/>
      <c r="O2242" s="17"/>
      <c r="P2242" s="17" t="b">
        <f>IFERROR(__xludf.DUMMYFUNCTION("""COMPUTED_VALUE"""),FALSE)</f>
        <v>0</v>
      </c>
      <c r="Q2242" s="20" t="str">
        <f>IFERROR(__xludf.DUMMYFUNCTION("""COMPUTED_VALUE"""),"")</f>
        <v/>
      </c>
      <c r="R2242" s="22" t="str">
        <f>IFERROR(__xludf.DUMMYFUNCTION("""COMPUTED_VALUE"""),"")</f>
        <v/>
      </c>
    </row>
    <row r="2243">
      <c r="A2243" s="15">
        <f>IFERROR(__xludf.DUMMYFUNCTION("""COMPUTED_VALUE"""),45065.0)</f>
        <v>45065</v>
      </c>
      <c r="B2243" s="16" t="str">
        <f>IFERROR(__xludf.DUMMYFUNCTION("""COMPUTED_VALUE"""),"Envia")</f>
        <v>Envia</v>
      </c>
      <c r="C2243" s="15" t="str">
        <f>IFERROR(__xludf.DUMMYFUNCTION("""COMPUTED_VALUE"""),"MEDELLÍN")</f>
        <v>MEDELLÍN</v>
      </c>
      <c r="D2243" s="15" t="str">
        <f>IFERROR(__xludf.DUMMYFUNCTION("""COMPUTED_VALUE"""),"BOGOTÁ")</f>
        <v>BOGOTÁ</v>
      </c>
      <c r="E2243" s="15" t="str">
        <f>IFERROR(__xludf.DUMMYFUNCTION("""COMPUTED_VALUE"""),"Pan de Waffle")</f>
        <v>Pan de Waffle</v>
      </c>
      <c r="F2243" s="17" t="str">
        <f>IFERROR(__xludf.DUMMYFUNCTION("""COMPUTED_VALUE"""),"Carrera 48 # 10 - 45 Local 1211 Centro Comercial Monterrey / Carrera 48 # 10 - 45 Local 1211 Centro Comercial Monterrey / Carrera 48 # 10 - 45 Local 1211 Centro Comercial Monterrey")</f>
        <v>Carrera 48 # 10 - 45 Local 1211 Centro Comercial Monterrey / Carrera 48 # 10 - 45 Local 1211 Centro Comercial Monterrey / Carrera 48 # 10 - 45 Local 1211 Centro Comercial Monterrey</v>
      </c>
      <c r="G2243" s="15" t="str">
        <f>IFERROR(__xludf.DUMMYFUNCTION("""COMPUTED_VALUE"""),"MERCASANO")</f>
        <v>MERCASANO</v>
      </c>
      <c r="H2243" s="16">
        <f>IFERROR(__xludf.DUMMYFUNCTION("""COMPUTED_VALUE"""),10880.0)</f>
        <v>10880</v>
      </c>
      <c r="I2243" s="18">
        <f>IFERROR(__xludf.DUMMYFUNCTION("""COMPUTED_VALUE"""),30.0)</f>
        <v>30</v>
      </c>
      <c r="J2243" s="18">
        <f>IFERROR(__xludf.DUMMYFUNCTION("""COMPUTED_VALUE"""),40.0)</f>
        <v>40</v>
      </c>
      <c r="K2243" s="18">
        <f>IFERROR(__xludf.DUMMYFUNCTION("""COMPUTED_VALUE"""),30.0)</f>
        <v>30</v>
      </c>
      <c r="L2243" s="17">
        <f>IFERROR(__xludf.DUMMYFUNCTION("""COMPUTED_VALUE"""),3.17364849E9)</f>
        <v>3173648490</v>
      </c>
      <c r="M2243" s="17" t="str">
        <f>IFERROR(__xludf.DUMMYFUNCTION("""COMPUTED_VALUE"""),"#REF!")</f>
        <v>#REF!</v>
      </c>
      <c r="N2243" s="17"/>
      <c r="O2243" s="17"/>
      <c r="P2243" s="17" t="b">
        <f>IFERROR(__xludf.DUMMYFUNCTION("""COMPUTED_VALUE"""),TRUE)</f>
        <v>1</v>
      </c>
      <c r="Q2243" s="20">
        <f>IFERROR(__xludf.DUMMYFUNCTION("""COMPUTED_VALUE"""),45065.67444554398)</f>
        <v>45065.67445</v>
      </c>
      <c r="R2243" s="22" t="str">
        <f>IFERROR(__xludf.DUMMYFUNCTION("""COMPUTED_VALUE"""),"")</f>
        <v/>
      </c>
    </row>
    <row r="2244">
      <c r="A2244" s="15">
        <f>IFERROR(__xludf.DUMMYFUNCTION("""COMPUTED_VALUE"""),45065.0)</f>
        <v>45065</v>
      </c>
      <c r="B2244" s="16" t="str">
        <f>IFERROR(__xludf.DUMMYFUNCTION("""COMPUTED_VALUE"""),"Envia")</f>
        <v>Envia</v>
      </c>
      <c r="C2244" s="15" t="str">
        <f>IFERROR(__xludf.DUMMYFUNCTION("""COMPUTED_VALUE"""),"MEDELLÍN")</f>
        <v>MEDELLÍN</v>
      </c>
      <c r="D2244" s="15" t="str">
        <f>IFERROR(__xludf.DUMMYFUNCTION("""COMPUTED_VALUE"""),"BOGOTÁ")</f>
        <v>BOGOTÁ</v>
      </c>
      <c r="E2244" s="15" t="str">
        <f>IFERROR(__xludf.DUMMYFUNCTION("""COMPUTED_VALUE"""),"Renata")</f>
        <v>Renata</v>
      </c>
      <c r="F2244" s="17" t="str">
        <f>IFERROR(__xludf.DUMMYFUNCTION("""COMPUTED_VALUE"""),"Carrera 32d#9-42 / Seline y cowork -restaurante  / Provenza")</f>
        <v>Carrera 32d#9-42 / Seline y cowork -restaurante  / Provenza</v>
      </c>
      <c r="G2244" s="15" t="str">
        <f>IFERROR(__xludf.DUMMYFUNCTION("""COMPUTED_VALUE"""),"Front y back hospitality group")</f>
        <v>Front y back hospitality group</v>
      </c>
      <c r="H2244" s="16">
        <f>IFERROR(__xludf.DUMMYFUNCTION("""COMPUTED_VALUE"""),10873.0)</f>
        <v>10873</v>
      </c>
      <c r="I2244" s="18">
        <f>IFERROR(__xludf.DUMMYFUNCTION("""COMPUTED_VALUE"""),90.0)</f>
        <v>90</v>
      </c>
      <c r="J2244" s="18">
        <f>IFERROR(__xludf.DUMMYFUNCTION("""COMPUTED_VALUE"""),70.0)</f>
        <v>70</v>
      </c>
      <c r="K2244" s="18">
        <f>IFERROR(__xludf.DUMMYFUNCTION("""COMPUTED_VALUE"""),60.0)</f>
        <v>60</v>
      </c>
      <c r="L2244" s="17">
        <f>IFERROR(__xludf.DUMMYFUNCTION("""COMPUTED_VALUE"""),3.104046378E9)</f>
        <v>3104046378</v>
      </c>
      <c r="M2244" s="17" t="str">
        <f>IFERROR(__xludf.DUMMYFUNCTION("""COMPUTED_VALUE"""),"#REF!")</f>
        <v>#REF!</v>
      </c>
      <c r="N2244" s="17"/>
      <c r="O2244" s="17"/>
      <c r="P2244" s="17" t="b">
        <f>IFERROR(__xludf.DUMMYFUNCTION("""COMPUTED_VALUE"""),TRUE)</f>
        <v>1</v>
      </c>
      <c r="Q2244" s="20">
        <f>IFERROR(__xludf.DUMMYFUNCTION("""COMPUTED_VALUE"""),45065.67309762731)</f>
        <v>45065.6731</v>
      </c>
      <c r="R2244" s="22" t="str">
        <f>IFERROR(__xludf.DUMMYFUNCTION("""COMPUTED_VALUE"""),"")</f>
        <v/>
      </c>
    </row>
    <row r="2245">
      <c r="A2245" s="15">
        <f>IFERROR(__xludf.DUMMYFUNCTION("""COMPUTED_VALUE"""),45065.0)</f>
        <v>45065</v>
      </c>
      <c r="B2245" s="16" t="str">
        <f>IFERROR(__xludf.DUMMYFUNCTION("""COMPUTED_VALUE"""),"Envia")</f>
        <v>Envia</v>
      </c>
      <c r="C2245" s="15" t="str">
        <f>IFERROR(__xludf.DUMMYFUNCTION("""COMPUTED_VALUE"""),"SANTA MARTA")</f>
        <v>SANTA MARTA</v>
      </c>
      <c r="D2245" s="15" t="str">
        <f>IFERROR(__xludf.DUMMYFUNCTION("""COMPUTED_VALUE"""),"BOGOTÁ")</f>
        <v>BOGOTÁ</v>
      </c>
      <c r="E2245" s="15" t="str">
        <f>IFERROR(__xludf.DUMMYFUNCTION("""COMPUTED_VALUE"""),"Ins. Alimento Vital")</f>
        <v>Ins. Alimento Vital</v>
      </c>
      <c r="F2245" s="17" t="str">
        <f>IFERROR(__xludf.DUMMYFUNCTION("""COMPUTED_VALUE"""),"CR 2 16 28 / VILLA BELLA CASA 10 / RODADERO")</f>
        <v>CR 2 16 28 / VILLA BELLA CASA 10 / RODADERO</v>
      </c>
      <c r="G2245" s="15" t="str">
        <f>IFERROR(__xludf.DUMMYFUNCTION("""COMPUTED_VALUE"""),"LILIANA DEL CARMEN RODRIGUEZ")</f>
        <v>LILIANA DEL CARMEN RODRIGUEZ</v>
      </c>
      <c r="H2245" s="16">
        <f>IFERROR(__xludf.DUMMYFUNCTION("""COMPUTED_VALUE"""),10813.0)</f>
        <v>10813</v>
      </c>
      <c r="I2245" s="18">
        <f>IFERROR(__xludf.DUMMYFUNCTION("""COMPUTED_VALUE"""),1.0)</f>
        <v>1</v>
      </c>
      <c r="J2245" s="18">
        <f>IFERROR(__xludf.DUMMYFUNCTION("""COMPUTED_VALUE"""),1.0)</f>
        <v>1</v>
      </c>
      <c r="K2245" s="18">
        <f>IFERROR(__xludf.DUMMYFUNCTION("""COMPUTED_VALUE"""),1.0)</f>
        <v>1</v>
      </c>
      <c r="L2245" s="17">
        <f>IFERROR(__xludf.DUMMYFUNCTION("""COMPUTED_VALUE"""),3.008165296E9)</f>
        <v>3008165296</v>
      </c>
      <c r="M2245" s="17" t="str">
        <f>IFERROR(__xludf.DUMMYFUNCTION("""COMPUTED_VALUE"""),"#REF!")</f>
        <v>#REF!</v>
      </c>
      <c r="N2245" s="17"/>
      <c r="O2245" s="17"/>
      <c r="P2245" s="17" t="b">
        <f>IFERROR(__xludf.DUMMYFUNCTION("""COMPUTED_VALUE"""),TRUE)</f>
        <v>1</v>
      </c>
      <c r="Q2245" s="20">
        <f>IFERROR(__xludf.DUMMYFUNCTION("""COMPUTED_VALUE"""),45065.67452868055)</f>
        <v>45065.67453</v>
      </c>
      <c r="R2245" s="22" t="str">
        <f>IFERROR(__xludf.DUMMYFUNCTION("""COMPUTED_VALUE"""),"")</f>
        <v/>
      </c>
    </row>
    <row r="2246">
      <c r="A2246" s="15">
        <f>IFERROR(__xludf.DUMMYFUNCTION("""COMPUTED_VALUE"""),45065.0)</f>
        <v>45065</v>
      </c>
      <c r="B2246" s="16" t="str">
        <f>IFERROR(__xludf.DUMMYFUNCTION("""COMPUTED_VALUE"""),"Envia")</f>
        <v>Envia</v>
      </c>
      <c r="C2246" s="15" t="str">
        <f>IFERROR(__xludf.DUMMYFUNCTION("""COMPUTED_VALUE"""),"SANTA MARTA")</f>
        <v>SANTA MARTA</v>
      </c>
      <c r="D2246" s="15" t="str">
        <f>IFERROR(__xludf.DUMMYFUNCTION("""COMPUTED_VALUE"""),"MEDELLÍN")</f>
        <v>MEDELLÍN</v>
      </c>
      <c r="E2246" s="15" t="str">
        <f>IFERROR(__xludf.DUMMYFUNCTION("""COMPUTED_VALUE"""),"Rambla")</f>
        <v>Rambla</v>
      </c>
      <c r="F2246" s="17" t="str">
        <f>IFERROR(__xludf.DUMMYFUNCTION("""COMPUTED_VALUE"""),"CR 4 26 40 CC PRADO PLAZA LC 117 / na / na")</f>
        <v>CR 4 26 40 CC PRADO PLAZA LC 117 / na / na</v>
      </c>
      <c r="G2246" s="15" t="str">
        <f>IFERROR(__xludf.DUMMYFUNCTION("""COMPUTED_VALUE"""),"Hecho en casa")</f>
        <v>Hecho en casa</v>
      </c>
      <c r="H2246" s="16">
        <f>IFERROR(__xludf.DUMMYFUNCTION("""COMPUTED_VALUE"""),10847.0)</f>
        <v>10847</v>
      </c>
      <c r="I2246" s="18">
        <f>IFERROR(__xludf.DUMMYFUNCTION("""COMPUTED_VALUE"""),23.0)</f>
        <v>23</v>
      </c>
      <c r="J2246" s="18">
        <f>IFERROR(__xludf.DUMMYFUNCTION("""COMPUTED_VALUE"""),27.0)</f>
        <v>27</v>
      </c>
      <c r="K2246" s="18">
        <f>IFERROR(__xludf.DUMMYFUNCTION("""COMPUTED_VALUE"""),29.0)</f>
        <v>29</v>
      </c>
      <c r="L2246" s="17">
        <f>IFERROR(__xludf.DUMMYFUNCTION("""COMPUTED_VALUE"""),3.106119626E9)</f>
        <v>3106119626</v>
      </c>
      <c r="M2246" s="17" t="str">
        <f>IFERROR(__xludf.DUMMYFUNCTION("""COMPUTED_VALUE"""),"#REF!")</f>
        <v>#REF!</v>
      </c>
      <c r="N2246" s="17"/>
      <c r="O2246" s="17"/>
      <c r="P2246" s="17" t="b">
        <f>IFERROR(__xludf.DUMMYFUNCTION("""COMPUTED_VALUE"""),FALSE)</f>
        <v>0</v>
      </c>
      <c r="Q2246" s="20" t="str">
        <f>IFERROR(__xludf.DUMMYFUNCTION("""COMPUTED_VALUE"""),"")</f>
        <v/>
      </c>
      <c r="R2246" s="22" t="str">
        <f>IFERROR(__xludf.DUMMYFUNCTION("""COMPUTED_VALUE"""),"")</f>
        <v/>
      </c>
    </row>
    <row r="2247">
      <c r="A2247" s="15">
        <f>IFERROR(__xludf.DUMMYFUNCTION("""COMPUTED_VALUE"""),45065.0)</f>
        <v>45065</v>
      </c>
      <c r="B2247" s="16" t="str">
        <f>IFERROR(__xludf.DUMMYFUNCTION("""COMPUTED_VALUE"""),"Envia")</f>
        <v>Envia</v>
      </c>
      <c r="C2247" s="15" t="str">
        <f>IFERROR(__xludf.DUMMYFUNCTION("""COMPUTED_VALUE"""),"SANTA MARTA")</f>
        <v>SANTA MARTA</v>
      </c>
      <c r="D2247" s="15" t="str">
        <f>IFERROR(__xludf.DUMMYFUNCTION("""COMPUTED_VALUE"""),"MEDELLÍN")</f>
        <v>MEDELLÍN</v>
      </c>
      <c r="E2247" s="15" t="str">
        <f>IFERROR(__xludf.DUMMYFUNCTION("""COMPUTED_VALUE"""),"TOLEDALES S.A.S")</f>
        <v>TOLEDALES S.A.S</v>
      </c>
      <c r="F2247" s="17" t="str">
        <f>IFERROR(__xludf.DUMMYFUNCTION("""COMPUTED_VALUE"""),"Cra 1 C # 22 - 79 / apto 1601")</f>
        <v>Cra 1 C # 22 - 79 / apto 1601</v>
      </c>
      <c r="G2247" s="15" t="str">
        <f>IFERROR(__xludf.DUMMYFUNCTION("""COMPUTED_VALUE"""),"Emilia Saae")</f>
        <v>Emilia Saae</v>
      </c>
      <c r="H2247" s="16">
        <f>IFERROR(__xludf.DUMMYFUNCTION("""COMPUTED_VALUE"""),10803.0)</f>
        <v>10803</v>
      </c>
      <c r="I2247" s="18">
        <f>IFERROR(__xludf.DUMMYFUNCTION("""COMPUTED_VALUE"""),20.0)</f>
        <v>20</v>
      </c>
      <c r="J2247" s="18">
        <f>IFERROR(__xludf.DUMMYFUNCTION("""COMPUTED_VALUE"""),21.0)</f>
        <v>21</v>
      </c>
      <c r="K2247" s="18">
        <f>IFERROR(__xludf.DUMMYFUNCTION("""COMPUTED_VALUE"""),38.0)</f>
        <v>38</v>
      </c>
      <c r="L2247" s="17">
        <f>IFERROR(__xludf.DUMMYFUNCTION("""COMPUTED_VALUE"""),3.003476996E9)</f>
        <v>3003476996</v>
      </c>
      <c r="M2247" s="17" t="str">
        <f>IFERROR(__xludf.DUMMYFUNCTION("""COMPUTED_VALUE"""),"#REF!")</f>
        <v>#REF!</v>
      </c>
      <c r="N2247" s="17"/>
      <c r="O2247" s="17"/>
      <c r="P2247" s="17" t="b">
        <f>IFERROR(__xludf.DUMMYFUNCTION("""COMPUTED_VALUE"""),TRUE)</f>
        <v>1</v>
      </c>
      <c r="Q2247" s="20">
        <f>IFERROR(__xludf.DUMMYFUNCTION("""COMPUTED_VALUE"""),45065.673868391204)</f>
        <v>45065.67387</v>
      </c>
      <c r="R2247" s="22" t="str">
        <f>IFERROR(__xludf.DUMMYFUNCTION("""COMPUTED_VALUE"""),"")</f>
        <v/>
      </c>
    </row>
    <row r="2248">
      <c r="A2248" s="17" t="str">
        <f>IFERROR(__xludf.DUMMYFUNCTION("""COMPUTED_VALUE"""),"")</f>
        <v/>
      </c>
      <c r="B2248" s="17" t="str">
        <f>IFERROR(__xludf.DUMMYFUNCTION("""COMPUTED_VALUE"""),"")</f>
        <v/>
      </c>
      <c r="C2248" s="17" t="str">
        <f>IFERROR(__xludf.DUMMYFUNCTION("""COMPUTED_VALUE"""),"")</f>
        <v/>
      </c>
      <c r="D2248" s="17" t="str">
        <f>IFERROR(__xludf.DUMMYFUNCTION("""COMPUTED_VALUE"""),"")</f>
        <v/>
      </c>
      <c r="E2248" s="17" t="str">
        <f>IFERROR(__xludf.DUMMYFUNCTION("""COMPUTED_VALUE"""),"")</f>
        <v/>
      </c>
      <c r="F2248" s="17" t="str">
        <f>IFERROR(__xludf.DUMMYFUNCTION("""COMPUTED_VALUE"""),"")</f>
        <v/>
      </c>
      <c r="G2248" s="17" t="str">
        <f>IFERROR(__xludf.DUMMYFUNCTION("""COMPUTED_VALUE"""),"")</f>
        <v/>
      </c>
      <c r="H2248" s="17" t="str">
        <f>IFERROR(__xludf.DUMMYFUNCTION("""COMPUTED_VALUE"""),"")</f>
        <v/>
      </c>
      <c r="I2248" s="17" t="str">
        <f>IFERROR(__xludf.DUMMYFUNCTION("""COMPUTED_VALUE"""),"")</f>
        <v/>
      </c>
      <c r="J2248" s="17" t="str">
        <f>IFERROR(__xludf.DUMMYFUNCTION("""COMPUTED_VALUE"""),"")</f>
        <v/>
      </c>
      <c r="K2248" s="17" t="str">
        <f>IFERROR(__xludf.DUMMYFUNCTION("""COMPUTED_VALUE"""),"")</f>
        <v/>
      </c>
      <c r="L2248" s="17" t="str">
        <f>IFERROR(__xludf.DUMMYFUNCTION("""COMPUTED_VALUE"""),"")</f>
        <v/>
      </c>
      <c r="M2248" s="17" t="str">
        <f>IFERROR(__xludf.DUMMYFUNCTION("""COMPUTED_VALUE"""),"")</f>
        <v/>
      </c>
      <c r="N2248" s="17" t="str">
        <f>IFERROR(__xludf.DUMMYFUNCTION("""COMPUTED_VALUE"""),"")</f>
        <v/>
      </c>
      <c r="O2248" s="17" t="str">
        <f>IFERROR(__xludf.DUMMYFUNCTION("""COMPUTED_VALUE"""),"")</f>
        <v/>
      </c>
      <c r="P2248" s="17" t="str">
        <f>IFERROR(__xludf.DUMMYFUNCTION("""COMPUTED_VALUE"""),"")</f>
        <v/>
      </c>
      <c r="Q2248" s="17" t="str">
        <f>IFERROR(__xludf.DUMMYFUNCTION("""COMPUTED_VALUE"""),"")</f>
        <v/>
      </c>
      <c r="R2248" s="17" t="str">
        <f>IFERROR(__xludf.DUMMYFUNCTION("""COMPUTED_VALUE"""),"")</f>
        <v/>
      </c>
    </row>
    <row r="2249">
      <c r="A2249" s="15">
        <f>IFERROR(__xludf.DUMMYFUNCTION("""COMPUTED_VALUE"""),45065.0)</f>
        <v>45065</v>
      </c>
      <c r="B2249" s="16" t="str">
        <f>IFERROR(__xludf.DUMMYFUNCTION("""COMPUTED_VALUE"""),"Jeison Rubiano")</f>
        <v>Jeison Rubiano</v>
      </c>
      <c r="C2249" s="15" t="str">
        <f>IFERROR(__xludf.DUMMYFUNCTION("""COMPUTED_VALUE"""),"BOGOTÁ")</f>
        <v>BOGOTÁ</v>
      </c>
      <c r="D2249" s="15" t="str">
        <f>IFERROR(__xludf.DUMMYFUNCTION("""COMPUTED_VALUE"""),"MEDELLÍN")</f>
        <v>MEDELLÍN</v>
      </c>
      <c r="E2249" s="15" t="str">
        <f>IFERROR(__xludf.DUMMYFUNCTION("""COMPUTED_VALUE"""),"Rambla")</f>
        <v>Rambla</v>
      </c>
      <c r="F2249" s="17" t="str">
        <f>IFERROR(__xludf.DUMMYFUNCTION("""COMPUTED_VALUE"""),"Calle 25B # 70B - 50, Conjunto Gran reserva de Mallorca, Torre 3, Apto 1207, Barrio Salitre / na / na")</f>
        <v>Calle 25B # 70B - 50, Conjunto Gran reserva de Mallorca, Torre 3, Apto 1207, Barrio Salitre / na / na</v>
      </c>
      <c r="G2249" s="15" t="str">
        <f>IFERROR(__xludf.DUMMYFUNCTION("""COMPUTED_VALUE"""),"Andrés Hamón Silva")</f>
        <v>Andrés Hamón Silva</v>
      </c>
      <c r="H2249" s="16">
        <f>IFERROR(__xludf.DUMMYFUNCTION("""COMPUTED_VALUE"""),10861.0)</f>
        <v>10861</v>
      </c>
      <c r="I2249" s="18">
        <f>IFERROR(__xludf.DUMMYFUNCTION("""COMPUTED_VALUE"""),23.0)</f>
        <v>23</v>
      </c>
      <c r="J2249" s="18">
        <f>IFERROR(__xludf.DUMMYFUNCTION("""COMPUTED_VALUE"""),25.0)</f>
        <v>25</v>
      </c>
      <c r="K2249" s="18">
        <f>IFERROR(__xludf.DUMMYFUNCTION("""COMPUTED_VALUE"""),27.0)</f>
        <v>27</v>
      </c>
      <c r="L2249" s="17">
        <f>IFERROR(__xludf.DUMMYFUNCTION("""COMPUTED_VALUE"""),3.014772992E9)</f>
        <v>3014772992</v>
      </c>
      <c r="M2249" s="17" t="str">
        <f>IFERROR(__xludf.DUMMYFUNCTION("""COMPUTED_VALUE"""),"#REF!")</f>
        <v>#REF!</v>
      </c>
      <c r="N2249" s="17"/>
      <c r="O2249" s="17"/>
      <c r="P2249" s="17" t="b">
        <f>IFERROR(__xludf.DUMMYFUNCTION("""COMPUTED_VALUE"""),TRUE)</f>
        <v>1</v>
      </c>
      <c r="Q2249" s="20">
        <f>IFERROR(__xludf.DUMMYFUNCTION("""COMPUTED_VALUE"""),45065.51052871528)</f>
        <v>45065.51053</v>
      </c>
      <c r="R2249" s="22" t="str">
        <f>IFERROR(__xludf.DUMMYFUNCTION("""COMPUTED_VALUE"""),"")</f>
        <v/>
      </c>
    </row>
    <row r="2250">
      <c r="A2250" s="15">
        <f>IFERROR(__xludf.DUMMYFUNCTION("""COMPUTED_VALUE"""),45065.0)</f>
        <v>45065</v>
      </c>
      <c r="B2250" s="16" t="str">
        <f>IFERROR(__xludf.DUMMYFUNCTION("""COMPUTED_VALUE"""),"Jeison Rubiano")</f>
        <v>Jeison Rubiano</v>
      </c>
      <c r="C2250" s="15" t="str">
        <f>IFERROR(__xludf.DUMMYFUNCTION("""COMPUTED_VALUE"""),"BOGOTÁ")</f>
        <v>BOGOTÁ</v>
      </c>
      <c r="D2250" s="15" t="str">
        <f>IFERROR(__xludf.DUMMYFUNCTION("""COMPUTED_VALUE"""),"MEDELLÍN")</f>
        <v>MEDELLÍN</v>
      </c>
      <c r="E2250" s="15" t="str">
        <f>IFERROR(__xludf.DUMMYFUNCTION("""COMPUTED_VALUE"""),"Rambla")</f>
        <v>Rambla</v>
      </c>
      <c r="F2250" s="17" t="str">
        <f>IFERROR(__xludf.DUMMYFUNCTION("""COMPUTED_VALUE"""),"Cl. 93a #11-46, Barrio Chicó / na / na")</f>
        <v>Cl. 93a #11-46, Barrio Chicó / na / na</v>
      </c>
      <c r="G2250" s="15" t="str">
        <f>IFERROR(__xludf.DUMMYFUNCTION("""COMPUTED_VALUE"""),"Fit Hub")</f>
        <v>Fit Hub</v>
      </c>
      <c r="H2250" s="16">
        <f>IFERROR(__xludf.DUMMYFUNCTION("""COMPUTED_VALUE"""),10860.0)</f>
        <v>10860</v>
      </c>
      <c r="I2250" s="18">
        <f>IFERROR(__xludf.DUMMYFUNCTION("""COMPUTED_VALUE"""),23.0)</f>
        <v>23</v>
      </c>
      <c r="J2250" s="18">
        <f>IFERROR(__xludf.DUMMYFUNCTION("""COMPUTED_VALUE"""),25.0)</f>
        <v>25</v>
      </c>
      <c r="K2250" s="18">
        <f>IFERROR(__xludf.DUMMYFUNCTION("""COMPUTED_VALUE"""),27.0)</f>
        <v>27</v>
      </c>
      <c r="L2250" s="17">
        <f>IFERROR(__xludf.DUMMYFUNCTION("""COMPUTED_VALUE"""),3.015447307E9)</f>
        <v>3015447307</v>
      </c>
      <c r="M2250" s="17" t="str">
        <f>IFERROR(__xludf.DUMMYFUNCTION("""COMPUTED_VALUE"""),"#REF!")</f>
        <v>#REF!</v>
      </c>
      <c r="N2250" s="17"/>
      <c r="O2250" s="17"/>
      <c r="P2250" s="17" t="b">
        <f>IFERROR(__xludf.DUMMYFUNCTION("""COMPUTED_VALUE"""),TRUE)</f>
        <v>1</v>
      </c>
      <c r="Q2250" s="20">
        <f>IFERROR(__xludf.DUMMYFUNCTION("""COMPUTED_VALUE"""),45065.46210752315)</f>
        <v>45065.46211</v>
      </c>
      <c r="R2250" s="22" t="str">
        <f>IFERROR(__xludf.DUMMYFUNCTION("""COMPUTED_VALUE"""),"")</f>
        <v/>
      </c>
    </row>
    <row r="2251">
      <c r="A2251" s="15">
        <f>IFERROR(__xludf.DUMMYFUNCTION("""COMPUTED_VALUE"""),45065.0)</f>
        <v>45065</v>
      </c>
      <c r="B2251" s="16" t="str">
        <f>IFERROR(__xludf.DUMMYFUNCTION("""COMPUTED_VALUE"""),"Jeison Rubiano")</f>
        <v>Jeison Rubiano</v>
      </c>
      <c r="C2251" s="15" t="str">
        <f>IFERROR(__xludf.DUMMYFUNCTION("""COMPUTED_VALUE"""),"POPAYAN")</f>
        <v>POPAYAN</v>
      </c>
      <c r="D2251" s="15" t="str">
        <f>IFERROR(__xludf.DUMMYFUNCTION("""COMPUTED_VALUE"""),"MEDELLÍN")</f>
        <v>MEDELLÍN</v>
      </c>
      <c r="E2251" s="15" t="str">
        <f>IFERROR(__xludf.DUMMYFUNCTION("""COMPUTED_VALUE"""),"Rambla")</f>
        <v>Rambla</v>
      </c>
      <c r="F2251" s="17" t="str">
        <f>IFERROR(__xludf.DUMMYFUNCTION("""COMPUTED_VALUE"""),"Dirección: carrera 9 no. 31N - 93 barrio Campobello Autopista, frente a Torremolinos / na / na")</f>
        <v>Dirección: carrera 9 no. 31N - 93 barrio Campobello Autopista, frente a Torremolinos / na / na</v>
      </c>
      <c r="G2251" s="15" t="str">
        <f>IFERROR(__xludf.DUMMYFUNCTION("""COMPUTED_VALUE"""),"Grupo Walta")</f>
        <v>Grupo Walta</v>
      </c>
      <c r="H2251" s="16">
        <f>IFERROR(__xludf.DUMMYFUNCTION("""COMPUTED_VALUE"""),10849.0)</f>
        <v>10849</v>
      </c>
      <c r="I2251" s="18">
        <f>IFERROR(__xludf.DUMMYFUNCTION("""COMPUTED_VALUE"""),22.0)</f>
        <v>22</v>
      </c>
      <c r="J2251" s="18">
        <f>IFERROR(__xludf.DUMMYFUNCTION("""COMPUTED_VALUE"""),26.0)</f>
        <v>26</v>
      </c>
      <c r="K2251" s="18">
        <f>IFERROR(__xludf.DUMMYFUNCTION("""COMPUTED_VALUE"""),28.0)</f>
        <v>28</v>
      </c>
      <c r="L2251" s="17">
        <f>IFERROR(__xludf.DUMMYFUNCTION("""COMPUTED_VALUE"""),3.003475099E9)</f>
        <v>3003475099</v>
      </c>
      <c r="M2251" s="17" t="str">
        <f>IFERROR(__xludf.DUMMYFUNCTION("""COMPUTED_VALUE"""),"#REF!")</f>
        <v>#REF!</v>
      </c>
      <c r="N2251" s="17"/>
      <c r="O2251" s="17"/>
      <c r="P2251" s="17" t="b">
        <f>IFERROR(__xludf.DUMMYFUNCTION("""COMPUTED_VALUE"""),FALSE)</f>
        <v>0</v>
      </c>
      <c r="Q2251" s="20" t="str">
        <f>IFERROR(__xludf.DUMMYFUNCTION("""COMPUTED_VALUE"""),"")</f>
        <v/>
      </c>
      <c r="R2251" s="22" t="str">
        <f>IFERROR(__xludf.DUMMYFUNCTION("""COMPUTED_VALUE"""),"")</f>
        <v/>
      </c>
    </row>
    <row r="2252">
      <c r="A2252" s="17" t="str">
        <f>IFERROR(__xludf.DUMMYFUNCTION("""COMPUTED_VALUE"""),"")</f>
        <v/>
      </c>
      <c r="B2252" s="17" t="str">
        <f>IFERROR(__xludf.DUMMYFUNCTION("""COMPUTED_VALUE"""),"")</f>
        <v/>
      </c>
      <c r="C2252" s="17" t="str">
        <f>IFERROR(__xludf.DUMMYFUNCTION("""COMPUTED_VALUE"""),"")</f>
        <v/>
      </c>
      <c r="D2252" s="17" t="str">
        <f>IFERROR(__xludf.DUMMYFUNCTION("""COMPUTED_VALUE"""),"")</f>
        <v/>
      </c>
      <c r="E2252" s="17" t="str">
        <f>IFERROR(__xludf.DUMMYFUNCTION("""COMPUTED_VALUE"""),"")</f>
        <v/>
      </c>
      <c r="F2252" s="17" t="str">
        <f>IFERROR(__xludf.DUMMYFUNCTION("""COMPUTED_VALUE"""),"")</f>
        <v/>
      </c>
      <c r="G2252" s="17" t="str">
        <f>IFERROR(__xludf.DUMMYFUNCTION("""COMPUTED_VALUE"""),"")</f>
        <v/>
      </c>
      <c r="H2252" s="17" t="str">
        <f>IFERROR(__xludf.DUMMYFUNCTION("""COMPUTED_VALUE"""),"")</f>
        <v/>
      </c>
      <c r="I2252" s="17" t="str">
        <f>IFERROR(__xludf.DUMMYFUNCTION("""COMPUTED_VALUE"""),"")</f>
        <v/>
      </c>
      <c r="J2252" s="17" t="str">
        <f>IFERROR(__xludf.DUMMYFUNCTION("""COMPUTED_VALUE"""),"")</f>
        <v/>
      </c>
      <c r="K2252" s="17" t="str">
        <f>IFERROR(__xludf.DUMMYFUNCTION("""COMPUTED_VALUE"""),"")</f>
        <v/>
      </c>
      <c r="L2252" s="17" t="str">
        <f>IFERROR(__xludf.DUMMYFUNCTION("""COMPUTED_VALUE"""),"")</f>
        <v/>
      </c>
      <c r="M2252" s="17" t="str">
        <f>IFERROR(__xludf.DUMMYFUNCTION("""COMPUTED_VALUE"""),"")</f>
        <v/>
      </c>
      <c r="N2252" s="17" t="str">
        <f>IFERROR(__xludf.DUMMYFUNCTION("""COMPUTED_VALUE"""),"")</f>
        <v/>
      </c>
      <c r="O2252" s="17" t="str">
        <f>IFERROR(__xludf.DUMMYFUNCTION("""COMPUTED_VALUE"""),"")</f>
        <v/>
      </c>
      <c r="P2252" s="17" t="str">
        <f>IFERROR(__xludf.DUMMYFUNCTION("""COMPUTED_VALUE"""),"")</f>
        <v/>
      </c>
      <c r="Q2252" s="17" t="str">
        <f>IFERROR(__xludf.DUMMYFUNCTION("""COMPUTED_VALUE"""),"")</f>
        <v/>
      </c>
      <c r="R2252" s="17" t="str">
        <f>IFERROR(__xludf.DUMMYFUNCTION("""COMPUTED_VALUE"""),"")</f>
        <v/>
      </c>
    </row>
    <row r="2253">
      <c r="A2253" s="15">
        <f>IFERROR(__xludf.DUMMYFUNCTION("""COMPUTED_VALUE"""),45065.0)</f>
        <v>45065</v>
      </c>
      <c r="B2253" s="16" t="str">
        <f>IFERROR(__xludf.DUMMYFUNCTION("""COMPUTED_VALUE"""),"JOSE ALFREDO RAMIREZ VERGARA ")</f>
        <v>JOSE ALFREDO RAMIREZ VERGARA </v>
      </c>
      <c r="C2253" s="15" t="str">
        <f>IFERROR(__xludf.DUMMYFUNCTION("""COMPUTED_VALUE"""),"BOGOTÁ")</f>
        <v>BOGOTÁ</v>
      </c>
      <c r="D2253" s="15" t="str">
        <f>IFERROR(__xludf.DUMMYFUNCTION("""COMPUTED_VALUE"""),"MEDELLÍN")</f>
        <v>MEDELLÍN</v>
      </c>
      <c r="E2253" s="15" t="str">
        <f>IFERROR(__xludf.DUMMYFUNCTION("""COMPUTED_VALUE"""),"Baby Chef")</f>
        <v>Baby Chef</v>
      </c>
      <c r="F2253" s="17" t="str">
        <f>IFERROR(__xludf.DUMMYFUNCTION("""COMPUTED_VALUE"""),"Cra 21 # 114 - 20 Edificio Cerezo Apto 101 / Cra 21 # 114 - 20 Edificio Cerezo Apto 101 / Cra 21 # 114 - 20 Edificio Cerezo Apto 101")</f>
        <v>Cra 21 # 114 - 20 Edificio Cerezo Apto 101 / Cra 21 # 114 - 20 Edificio Cerezo Apto 101 / Cra 21 # 114 - 20 Edificio Cerezo Apto 101</v>
      </c>
      <c r="G2253" s="15" t="str">
        <f>IFERROR(__xludf.DUMMYFUNCTION("""COMPUTED_VALUE"""),"Laura Martínez")</f>
        <v>Laura Martínez</v>
      </c>
      <c r="H2253" s="16">
        <f>IFERROR(__xludf.DUMMYFUNCTION("""COMPUTED_VALUE"""),10876.0)</f>
        <v>10876</v>
      </c>
      <c r="I2253" s="18">
        <f>IFERROR(__xludf.DUMMYFUNCTION("""COMPUTED_VALUE"""),8.0)</f>
        <v>8</v>
      </c>
      <c r="J2253" s="18">
        <f>IFERROR(__xludf.DUMMYFUNCTION("""COMPUTED_VALUE"""),16.0)</f>
        <v>16</v>
      </c>
      <c r="K2253" s="18">
        <f>IFERROR(__xludf.DUMMYFUNCTION("""COMPUTED_VALUE"""),20.0)</f>
        <v>20</v>
      </c>
      <c r="L2253" s="17">
        <f>IFERROR(__xludf.DUMMYFUNCTION("""COMPUTED_VALUE"""),3.152629963E9)</f>
        <v>3152629963</v>
      </c>
      <c r="M2253" s="17" t="str">
        <f>IFERROR(__xludf.DUMMYFUNCTION("""COMPUTED_VALUE"""),"#REF!")</f>
        <v>#REF!</v>
      </c>
      <c r="N2253" s="17"/>
      <c r="O2253" s="17"/>
      <c r="P2253" s="17" t="b">
        <f>IFERROR(__xludf.DUMMYFUNCTION("""COMPUTED_VALUE"""),TRUE)</f>
        <v>1</v>
      </c>
      <c r="Q2253" s="20">
        <f>IFERROR(__xludf.DUMMYFUNCTION("""COMPUTED_VALUE"""),45065.510768865744)</f>
        <v>45065.51077</v>
      </c>
      <c r="R2253" s="22" t="str">
        <f>IFERROR(__xludf.DUMMYFUNCTION("""COMPUTED_VALUE"""),"")</f>
        <v/>
      </c>
    </row>
    <row r="2254">
      <c r="A2254" s="15">
        <f>IFERROR(__xludf.DUMMYFUNCTION("""COMPUTED_VALUE"""),45065.0)</f>
        <v>45065</v>
      </c>
      <c r="B2254" s="16" t="str">
        <f>IFERROR(__xludf.DUMMYFUNCTION("""COMPUTED_VALUE"""),"JOSE ALFREDO RAMIREZ VERGARA ")</f>
        <v>JOSE ALFREDO RAMIREZ VERGARA </v>
      </c>
      <c r="C2254" s="15" t="str">
        <f>IFERROR(__xludf.DUMMYFUNCTION("""COMPUTED_VALUE"""),"BOGOTÁ")</f>
        <v>BOGOTÁ</v>
      </c>
      <c r="D2254" s="15" t="str">
        <f>IFERROR(__xludf.DUMMYFUNCTION("""COMPUTED_VALUE"""),"MEDELLÍN")</f>
        <v>MEDELLÍN</v>
      </c>
      <c r="E2254" s="15" t="str">
        <f>IFERROR(__xludf.DUMMYFUNCTION("""COMPUTED_VALUE"""),"Baby Chef")</f>
        <v>Baby Chef</v>
      </c>
      <c r="F2254" s="17" t="str">
        <f>IFERROR(__xludf.DUMMYFUNCTION("""COMPUTED_VALUE"""),"Cra 90A#8A85 conjunto Burgos castilla reservado torre 3 apto 610 Nueva Castilla / Cra 90A#8A85 conjunto Burgos castilla reservado torre 3 apto 610 Nueva Castilla / Cra 90A#8A85 conjunto Burgos castilla reservado torre 3 apto 610 Nueva Castilla")</f>
        <v>Cra 90A#8A85 conjunto Burgos castilla reservado torre 3 apto 610 Nueva Castilla / Cra 90A#8A85 conjunto Burgos castilla reservado torre 3 apto 610 Nueva Castilla / Cra 90A#8A85 conjunto Burgos castilla reservado torre 3 apto 610 Nueva Castilla</v>
      </c>
      <c r="G2254" s="15" t="str">
        <f>IFERROR(__xludf.DUMMYFUNCTION("""COMPUTED_VALUE"""),"Natalia Arias")</f>
        <v>Natalia Arias</v>
      </c>
      <c r="H2254" s="16">
        <f>IFERROR(__xludf.DUMMYFUNCTION("""COMPUTED_VALUE"""),10874.0)</f>
        <v>10874</v>
      </c>
      <c r="I2254" s="18">
        <f>IFERROR(__xludf.DUMMYFUNCTION("""COMPUTED_VALUE"""),8.0)</f>
        <v>8</v>
      </c>
      <c r="J2254" s="18">
        <f>IFERROR(__xludf.DUMMYFUNCTION("""COMPUTED_VALUE"""),16.0)</f>
        <v>16</v>
      </c>
      <c r="K2254" s="18">
        <f>IFERROR(__xludf.DUMMYFUNCTION("""COMPUTED_VALUE"""),20.0)</f>
        <v>20</v>
      </c>
      <c r="L2254" s="17">
        <f>IFERROR(__xludf.DUMMYFUNCTION("""COMPUTED_VALUE"""),3.147010554E9)</f>
        <v>3147010554</v>
      </c>
      <c r="M2254" s="17" t="str">
        <f>IFERROR(__xludf.DUMMYFUNCTION("""COMPUTED_VALUE"""),"#REF!")</f>
        <v>#REF!</v>
      </c>
      <c r="N2254" s="17"/>
      <c r="O2254" s="17"/>
      <c r="P2254" s="17" t="b">
        <f>IFERROR(__xludf.DUMMYFUNCTION("""COMPUTED_VALUE"""),FALSE)</f>
        <v>0</v>
      </c>
      <c r="Q2254" s="20" t="str">
        <f>IFERROR(__xludf.DUMMYFUNCTION("""COMPUTED_VALUE"""),"")</f>
        <v/>
      </c>
      <c r="R2254" s="22" t="str">
        <f>IFERROR(__xludf.DUMMYFUNCTION("""COMPUTED_VALUE"""),"")</f>
        <v/>
      </c>
    </row>
    <row r="2255">
      <c r="A2255" s="15">
        <f>IFERROR(__xludf.DUMMYFUNCTION("""COMPUTED_VALUE"""),45065.0)</f>
        <v>45065</v>
      </c>
      <c r="B2255" s="16" t="str">
        <f>IFERROR(__xludf.DUMMYFUNCTION("""COMPUTED_VALUE"""),"JOSE ALFREDO RAMIREZ VERGARA ")</f>
        <v>JOSE ALFREDO RAMIREZ VERGARA </v>
      </c>
      <c r="C2255" s="15" t="str">
        <f>IFERROR(__xludf.DUMMYFUNCTION("""COMPUTED_VALUE"""),"BOGOTÁ")</f>
        <v>BOGOTÁ</v>
      </c>
      <c r="D2255" s="15" t="str">
        <f>IFERROR(__xludf.DUMMYFUNCTION("""COMPUTED_VALUE"""),"MEDELLÍN")</f>
        <v>MEDELLÍN</v>
      </c>
      <c r="E2255" s="15" t="str">
        <f>IFERROR(__xludf.DUMMYFUNCTION("""COMPUTED_VALUE"""),"Rambla")</f>
        <v>Rambla</v>
      </c>
      <c r="F2255" s="17" t="str">
        <f>IFERROR(__xludf.DUMMYFUNCTION("""COMPUTED_VALUE"""),"av la esperanza #44A-21 LOCAL 1 / na / na")</f>
        <v>av la esperanza #44A-21 LOCAL 1 / na / na</v>
      </c>
      <c r="G2255" s="15" t="str">
        <f>IFERROR(__xludf.DUMMYFUNCTION("""COMPUTED_VALUE"""),"Biofitmarket")</f>
        <v>Biofitmarket</v>
      </c>
      <c r="H2255" s="16">
        <f>IFERROR(__xludf.DUMMYFUNCTION("""COMPUTED_VALUE"""),10858.0)</f>
        <v>10858</v>
      </c>
      <c r="I2255" s="18">
        <f>IFERROR(__xludf.DUMMYFUNCTION("""COMPUTED_VALUE"""),23.0)</f>
        <v>23</v>
      </c>
      <c r="J2255" s="18">
        <f>IFERROR(__xludf.DUMMYFUNCTION("""COMPUTED_VALUE"""),25.0)</f>
        <v>25</v>
      </c>
      <c r="K2255" s="18">
        <f>IFERROR(__xludf.DUMMYFUNCTION("""COMPUTED_VALUE"""),27.0)</f>
        <v>27</v>
      </c>
      <c r="L2255" s="17">
        <f>IFERROR(__xludf.DUMMYFUNCTION("""COMPUTED_VALUE"""),3.103477309E9)</f>
        <v>3103477309</v>
      </c>
      <c r="M2255" s="17" t="str">
        <f>IFERROR(__xludf.DUMMYFUNCTION("""COMPUTED_VALUE"""),"#REF!")</f>
        <v>#REF!</v>
      </c>
      <c r="N2255" s="17"/>
      <c r="O2255" s="17"/>
      <c r="P2255" s="17" t="b">
        <f>IFERROR(__xludf.DUMMYFUNCTION("""COMPUTED_VALUE"""),TRUE)</f>
        <v>1</v>
      </c>
      <c r="Q2255" s="20">
        <f>IFERROR(__xludf.DUMMYFUNCTION("""COMPUTED_VALUE"""),45065.51801857639)</f>
        <v>45065.51802</v>
      </c>
      <c r="R2255" s="22" t="str">
        <f>IFERROR(__xludf.DUMMYFUNCTION("""COMPUTED_VALUE"""),"")</f>
        <v/>
      </c>
    </row>
    <row r="2256">
      <c r="A2256" s="15">
        <f>IFERROR(__xludf.DUMMYFUNCTION("""COMPUTED_VALUE"""),45065.0)</f>
        <v>45065</v>
      </c>
      <c r="B2256" s="16" t="str">
        <f>IFERROR(__xludf.DUMMYFUNCTION("""COMPUTED_VALUE"""),"JOSE ALFREDO RAMIREZ VERGARA ")</f>
        <v>JOSE ALFREDO RAMIREZ VERGARA </v>
      </c>
      <c r="C2256" s="15" t="str">
        <f>IFERROR(__xludf.DUMMYFUNCTION("""COMPUTED_VALUE"""),"CARTAGENA")</f>
        <v>CARTAGENA</v>
      </c>
      <c r="D2256" s="15" t="str">
        <f>IFERROR(__xludf.DUMMYFUNCTION("""COMPUTED_VALUE"""),"BOGOTÁ")</f>
        <v>BOGOTÁ</v>
      </c>
      <c r="E2256" s="15" t="str">
        <f>IFERROR(__xludf.DUMMYFUNCTION("""COMPUTED_VALUE"""),"Top Spun")</f>
        <v>Top Spun</v>
      </c>
      <c r="F2256" s="17" t="str">
        <f>IFERROR(__xludf.DUMMYFUNCTION("""COMPUTED_VALUE"""),"CRA 4 # 5 - 123 / APTO 1602 EDIFICIO ACUARELA BOCAGRANDE / AAPTO 1602 EDIFICIO ACUARELA BOCAGRANDE")</f>
        <v>CRA 4 # 5 - 123 / APTO 1602 EDIFICIO ACUARELA BOCAGRANDE / AAPTO 1602 EDIFICIO ACUARELA BOCAGRANDE</v>
      </c>
      <c r="G2256" s="15" t="str">
        <f>IFERROR(__xludf.DUMMYFUNCTION("""COMPUTED_VALUE"""),"JACQUELINE FARAH")</f>
        <v>JACQUELINE FARAH</v>
      </c>
      <c r="H2256" s="16">
        <f>IFERROR(__xludf.DUMMYFUNCTION("""COMPUTED_VALUE"""),10844.0)</f>
        <v>10844</v>
      </c>
      <c r="I2256" s="18">
        <f>IFERROR(__xludf.DUMMYFUNCTION("""COMPUTED_VALUE"""),20.0)</f>
        <v>20</v>
      </c>
      <c r="J2256" s="18">
        <f>IFERROR(__xludf.DUMMYFUNCTION("""COMPUTED_VALUE"""),10.0)</f>
        <v>10</v>
      </c>
      <c r="K2256" s="18">
        <f>IFERROR(__xludf.DUMMYFUNCTION("""COMPUTED_VALUE"""),40.0)</f>
        <v>40</v>
      </c>
      <c r="L2256" s="17">
        <f>IFERROR(__xludf.DUMMYFUNCTION("""COMPUTED_VALUE"""),3.203337464E9)</f>
        <v>3203337464</v>
      </c>
      <c r="M2256" s="17" t="str">
        <f>IFERROR(__xludf.DUMMYFUNCTION("""COMPUTED_VALUE"""),"#REF!")</f>
        <v>#REF!</v>
      </c>
      <c r="N2256" s="17"/>
      <c r="O2256" s="17"/>
      <c r="P2256" s="17" t="b">
        <f>IFERROR(__xludf.DUMMYFUNCTION("""COMPUTED_VALUE"""),TRUE)</f>
        <v>1</v>
      </c>
      <c r="Q2256" s="20">
        <f>IFERROR(__xludf.DUMMYFUNCTION("""COMPUTED_VALUE"""),45065.6754949537)</f>
        <v>45065.67549</v>
      </c>
      <c r="R2256" s="22" t="str">
        <f>IFERROR(__xludf.DUMMYFUNCTION("""COMPUTED_VALUE"""),"")</f>
        <v/>
      </c>
    </row>
    <row r="2257">
      <c r="A2257" s="17" t="str">
        <f>IFERROR(__xludf.DUMMYFUNCTION("""COMPUTED_VALUE"""),"")</f>
        <v/>
      </c>
      <c r="B2257" s="17" t="str">
        <f>IFERROR(__xludf.DUMMYFUNCTION("""COMPUTED_VALUE"""),"")</f>
        <v/>
      </c>
      <c r="C2257" s="17" t="str">
        <f>IFERROR(__xludf.DUMMYFUNCTION("""COMPUTED_VALUE"""),"")</f>
        <v/>
      </c>
      <c r="D2257" s="17" t="str">
        <f>IFERROR(__xludf.DUMMYFUNCTION("""COMPUTED_VALUE"""),"")</f>
        <v/>
      </c>
      <c r="E2257" s="17" t="str">
        <f>IFERROR(__xludf.DUMMYFUNCTION("""COMPUTED_VALUE"""),"")</f>
        <v/>
      </c>
      <c r="F2257" s="17" t="str">
        <f>IFERROR(__xludf.DUMMYFUNCTION("""COMPUTED_VALUE"""),"")</f>
        <v/>
      </c>
      <c r="G2257" s="17" t="str">
        <f>IFERROR(__xludf.DUMMYFUNCTION("""COMPUTED_VALUE"""),"")</f>
        <v/>
      </c>
      <c r="H2257" s="17" t="str">
        <f>IFERROR(__xludf.DUMMYFUNCTION("""COMPUTED_VALUE"""),"")</f>
        <v/>
      </c>
      <c r="I2257" s="17" t="str">
        <f>IFERROR(__xludf.DUMMYFUNCTION("""COMPUTED_VALUE"""),"")</f>
        <v/>
      </c>
      <c r="J2257" s="17" t="str">
        <f>IFERROR(__xludf.DUMMYFUNCTION("""COMPUTED_VALUE"""),"")</f>
        <v/>
      </c>
      <c r="K2257" s="17" t="str">
        <f>IFERROR(__xludf.DUMMYFUNCTION("""COMPUTED_VALUE"""),"")</f>
        <v/>
      </c>
      <c r="L2257" s="17" t="str">
        <f>IFERROR(__xludf.DUMMYFUNCTION("""COMPUTED_VALUE"""),"")</f>
        <v/>
      </c>
      <c r="M2257" s="17" t="str">
        <f>IFERROR(__xludf.DUMMYFUNCTION("""COMPUTED_VALUE"""),"")</f>
        <v/>
      </c>
      <c r="N2257" s="17" t="str">
        <f>IFERROR(__xludf.DUMMYFUNCTION("""COMPUTED_VALUE"""),"")</f>
        <v/>
      </c>
      <c r="O2257" s="17" t="str">
        <f>IFERROR(__xludf.DUMMYFUNCTION("""COMPUTED_VALUE"""),"")</f>
        <v/>
      </c>
      <c r="P2257" s="17" t="str">
        <f>IFERROR(__xludf.DUMMYFUNCTION("""COMPUTED_VALUE"""),"")</f>
        <v/>
      </c>
      <c r="Q2257" s="17" t="str">
        <f>IFERROR(__xludf.DUMMYFUNCTION("""COMPUTED_VALUE"""),"")</f>
        <v/>
      </c>
      <c r="R2257" s="17" t="str">
        <f>IFERROR(__xludf.DUMMYFUNCTION("""COMPUTED_VALUE"""),"")</f>
        <v/>
      </c>
    </row>
    <row r="2258">
      <c r="A2258" s="15">
        <f>IFERROR(__xludf.DUMMYFUNCTION("""COMPUTED_VALUE"""),45065.0)</f>
        <v>45065</v>
      </c>
      <c r="B2258" s="16" t="str">
        <f>IFERROR(__xludf.DUMMYFUNCTION("""COMPUTED_VALUE"""),"Lina Gaona")</f>
        <v>Lina Gaona</v>
      </c>
      <c r="C2258" s="15" t="str">
        <f>IFERROR(__xludf.DUMMYFUNCTION("""COMPUTED_VALUE"""),"CÚCUTA")</f>
        <v>CÚCUTA</v>
      </c>
      <c r="D2258" s="15" t="str">
        <f>IFERROR(__xludf.DUMMYFUNCTION("""COMPUTED_VALUE"""),"BOGOTÁ")</f>
        <v>BOGOTÁ</v>
      </c>
      <c r="E2258" s="15" t="str">
        <f>IFERROR(__xludf.DUMMYFUNCTION("""COMPUTED_VALUE"""),"Asociacion Agropecuaria Juana Maria")</f>
        <v>Asociacion Agropecuaria Juana Maria</v>
      </c>
      <c r="F2258" s="17" t="str">
        <f>IFERROR(__xludf.DUMMYFUNCTION("""COMPUTED_VALUE"""),"Avenida 11E # 1 - 35 Avenida Guaimaral Barrario Quinta Oriental Local 3")</f>
        <v>Avenida 11E # 1 - 35 Avenida Guaimaral Barrario Quinta Oriental Local 3</v>
      </c>
      <c r="G2258" s="15" t="str">
        <f>IFERROR(__xludf.DUMMYFUNCTION("""COMPUTED_VALUE"""),"Vanesa Muñoz")</f>
        <v>Vanesa Muñoz</v>
      </c>
      <c r="H2258" s="16">
        <f>IFERROR(__xludf.DUMMYFUNCTION("""COMPUTED_VALUE"""),10663.0)</f>
        <v>10663</v>
      </c>
      <c r="I2258" s="18">
        <f>IFERROR(__xludf.DUMMYFUNCTION("""COMPUTED_VALUE"""),21.0)</f>
        <v>21</v>
      </c>
      <c r="J2258" s="18">
        <f>IFERROR(__xludf.DUMMYFUNCTION("""COMPUTED_VALUE"""),37.0)</f>
        <v>37</v>
      </c>
      <c r="K2258" s="18">
        <f>IFERROR(__xludf.DUMMYFUNCTION("""COMPUTED_VALUE"""),30.0)</f>
        <v>30</v>
      </c>
      <c r="L2258" s="17">
        <f>IFERROR(__xludf.DUMMYFUNCTION("""COMPUTED_VALUE"""),3.163018657E9)</f>
        <v>3163018657</v>
      </c>
      <c r="M2258" s="17" t="str">
        <f>IFERROR(__xludf.DUMMYFUNCTION("""COMPUTED_VALUE"""),"#REF!")</f>
        <v>#REF!</v>
      </c>
      <c r="N2258" s="17"/>
      <c r="O2258" s="17"/>
      <c r="P2258" s="17" t="b">
        <f>IFERROR(__xludf.DUMMYFUNCTION("""COMPUTED_VALUE"""),TRUE)</f>
        <v>1</v>
      </c>
      <c r="Q2258" s="20">
        <f>IFERROR(__xludf.DUMMYFUNCTION("""COMPUTED_VALUE"""),45065.675626516204)</f>
        <v>45065.67563</v>
      </c>
      <c r="R2258" s="22" t="str">
        <f>IFERROR(__xludf.DUMMYFUNCTION("""COMPUTED_VALUE"""),"")</f>
        <v/>
      </c>
    </row>
    <row r="2259">
      <c r="A2259" s="15">
        <f>IFERROR(__xludf.DUMMYFUNCTION("""COMPUTED_VALUE"""),45065.0)</f>
        <v>45065</v>
      </c>
      <c r="B2259" s="16" t="str">
        <f>IFERROR(__xludf.DUMMYFUNCTION("""COMPUTED_VALUE"""),"Lina Gaona")</f>
        <v>Lina Gaona</v>
      </c>
      <c r="C2259" s="15" t="str">
        <f>IFERROR(__xludf.DUMMYFUNCTION("""COMPUTED_VALUE"""),"CÚCUTA")</f>
        <v>CÚCUTA</v>
      </c>
      <c r="D2259" s="15" t="str">
        <f>IFERROR(__xludf.DUMMYFUNCTION("""COMPUTED_VALUE"""),"BOGOTÁ")</f>
        <v>BOGOTÁ</v>
      </c>
      <c r="E2259" s="15" t="str">
        <f>IFERROR(__xludf.DUMMYFUNCTION("""COMPUTED_VALUE"""),"Evamazzita")</f>
        <v>Evamazzita</v>
      </c>
      <c r="F2259" s="17" t="str">
        <f>IFERROR(__xludf.DUMMYFUNCTION("""COMPUTED_VALUE"""),"AV 11 No. 10-16  / BARRIO MONTEBELLO 1 CASA DE REJAS GRISES BAJAS  / LOS PATIOS")</f>
        <v>AV 11 No. 10-16  / BARRIO MONTEBELLO 1 CASA DE REJAS GRISES BAJAS  / LOS PATIOS</v>
      </c>
      <c r="G2259" s="15" t="str">
        <f>IFERROR(__xludf.DUMMYFUNCTION("""COMPUTED_VALUE"""),"MARTHA GISELA ANDRADE CHACON")</f>
        <v>MARTHA GISELA ANDRADE CHACON</v>
      </c>
      <c r="H2259" s="16">
        <f>IFERROR(__xludf.DUMMYFUNCTION("""COMPUTED_VALUE"""),10817.0)</f>
        <v>10817</v>
      </c>
      <c r="I2259" s="18">
        <f>IFERROR(__xludf.DUMMYFUNCTION("""COMPUTED_VALUE"""),10.0)</f>
        <v>10</v>
      </c>
      <c r="J2259" s="18">
        <f>IFERROR(__xludf.DUMMYFUNCTION("""COMPUTED_VALUE"""),15.0)</f>
        <v>15</v>
      </c>
      <c r="K2259" s="18">
        <f>IFERROR(__xludf.DUMMYFUNCTION("""COMPUTED_VALUE"""),15.0)</f>
        <v>15</v>
      </c>
      <c r="L2259" s="17">
        <f>IFERROR(__xludf.DUMMYFUNCTION("""COMPUTED_VALUE"""),3.228058275E9)</f>
        <v>3228058275</v>
      </c>
      <c r="M2259" s="17" t="str">
        <f>IFERROR(__xludf.DUMMYFUNCTION("""COMPUTED_VALUE"""),"#REF!")</f>
        <v>#REF!</v>
      </c>
      <c r="N2259" s="17"/>
      <c r="O2259" s="17"/>
      <c r="P2259" s="17" t="b">
        <f>IFERROR(__xludf.DUMMYFUNCTION("""COMPUTED_VALUE"""),FALSE)</f>
        <v>0</v>
      </c>
      <c r="Q2259" s="20" t="str">
        <f>IFERROR(__xludf.DUMMYFUNCTION("""COMPUTED_VALUE"""),"")</f>
        <v/>
      </c>
      <c r="R2259" s="22" t="str">
        <f>IFERROR(__xludf.DUMMYFUNCTION("""COMPUTED_VALUE"""),"")</f>
        <v/>
      </c>
    </row>
    <row r="2260">
      <c r="A2260" s="15">
        <f>IFERROR(__xludf.DUMMYFUNCTION("""COMPUTED_VALUE"""),45065.0)</f>
        <v>45065</v>
      </c>
      <c r="B2260" s="16" t="str">
        <f>IFERROR(__xludf.DUMMYFUNCTION("""COMPUTED_VALUE"""),"Lina Gaona")</f>
        <v>Lina Gaona</v>
      </c>
      <c r="C2260" s="15" t="str">
        <f>IFERROR(__xludf.DUMMYFUNCTION("""COMPUTED_VALUE"""),"CÚCUTA")</f>
        <v>CÚCUTA</v>
      </c>
      <c r="D2260" s="15" t="str">
        <f>IFERROR(__xludf.DUMMYFUNCTION("""COMPUTED_VALUE"""),"BOGOTÁ")</f>
        <v>BOGOTÁ</v>
      </c>
      <c r="E2260" s="15" t="str">
        <f>IFERROR(__xludf.DUMMYFUNCTION("""COMPUTED_VALUE"""),"Evamazzita")</f>
        <v>Evamazzita</v>
      </c>
      <c r="F2260" s="17" t="str">
        <f>IFERROR(__xludf.DUMMYFUNCTION("""COMPUTED_VALUE"""),"Av 2E # 15A -17  / Caobos / SE ENVÍAN DOS (2) CAJAS")</f>
        <v>Av 2E # 15A -17  / Caobos / SE ENVÍAN DOS (2) CAJAS</v>
      </c>
      <c r="G2260" s="15" t="str">
        <f>IFERROR(__xludf.DUMMYFUNCTION("""COMPUTED_VALUE"""),"DACCY KARINA LOPEZ MORENO")</f>
        <v>DACCY KARINA LOPEZ MORENO</v>
      </c>
      <c r="H2260" s="16">
        <f>IFERROR(__xludf.DUMMYFUNCTION("""COMPUTED_VALUE"""),10816.0)</f>
        <v>10816</v>
      </c>
      <c r="I2260" s="18">
        <f>IFERROR(__xludf.DUMMYFUNCTION("""COMPUTED_VALUE"""),25.0)</f>
        <v>25</v>
      </c>
      <c r="J2260" s="18">
        <f>IFERROR(__xludf.DUMMYFUNCTION("""COMPUTED_VALUE"""),28.0)</f>
        <v>28</v>
      </c>
      <c r="K2260" s="18">
        <f>IFERROR(__xludf.DUMMYFUNCTION("""COMPUTED_VALUE"""),41.0)</f>
        <v>41</v>
      </c>
      <c r="L2260" s="17">
        <f>IFERROR(__xludf.DUMMYFUNCTION("""COMPUTED_VALUE"""),3.208615379E9)</f>
        <v>3208615379</v>
      </c>
      <c r="M2260" s="17" t="str">
        <f>IFERROR(__xludf.DUMMYFUNCTION("""COMPUTED_VALUE"""),"#REF!")</f>
        <v>#REF!</v>
      </c>
      <c r="N2260" s="17"/>
      <c r="O2260" s="17"/>
      <c r="P2260" s="17" t="b">
        <f>IFERROR(__xludf.DUMMYFUNCTION("""COMPUTED_VALUE"""),FALSE)</f>
        <v>0</v>
      </c>
      <c r="Q2260" s="20" t="str">
        <f>IFERROR(__xludf.DUMMYFUNCTION("""COMPUTED_VALUE"""),"")</f>
        <v/>
      </c>
      <c r="R2260" s="22" t="str">
        <f>IFERROR(__xludf.DUMMYFUNCTION("""COMPUTED_VALUE"""),"")</f>
        <v/>
      </c>
    </row>
    <row r="2261">
      <c r="A2261" s="15">
        <f>IFERROR(__xludf.DUMMYFUNCTION("""COMPUTED_VALUE"""),45065.0)</f>
        <v>45065</v>
      </c>
      <c r="B2261" s="16" t="str">
        <f>IFERROR(__xludf.DUMMYFUNCTION("""COMPUTED_VALUE"""),"Lina Gaona")</f>
        <v>Lina Gaona</v>
      </c>
      <c r="C2261" s="15" t="str">
        <f>IFERROR(__xludf.DUMMYFUNCTION("""COMPUTED_VALUE"""),"CÚCUTA")</f>
        <v>CÚCUTA</v>
      </c>
      <c r="D2261" s="15" t="str">
        <f>IFERROR(__xludf.DUMMYFUNCTION("""COMPUTED_VALUE"""),"BOGOTÁ")</f>
        <v>BOGOTÁ</v>
      </c>
      <c r="E2261" s="15" t="str">
        <f>IFERROR(__xludf.DUMMYFUNCTION("""COMPUTED_VALUE"""),"Ins. Alimento Vital")</f>
        <v>Ins. Alimento Vital</v>
      </c>
      <c r="F2261" s="17" t="str">
        <f>IFERROR(__xludf.DUMMYFUNCTION("""COMPUTED_VALUE"""),"AV 0 AE 2N 57 / POR LA OLIMPICA DE LA 0 / BARRIO CAPELLANA")</f>
        <v>AV 0 AE 2N 57 / POR LA OLIMPICA DE LA 0 / BARRIO CAPELLANA</v>
      </c>
      <c r="G2261" s="15" t="str">
        <f>IFERROR(__xludf.DUMMYFUNCTION("""COMPUTED_VALUE"""),"ERIKA LEONOR VASQUEZ AMAYA")</f>
        <v>ERIKA LEONOR VASQUEZ AMAYA</v>
      </c>
      <c r="H2261" s="16">
        <f>IFERROR(__xludf.DUMMYFUNCTION("""COMPUTED_VALUE"""),10814.0)</f>
        <v>10814</v>
      </c>
      <c r="I2261" s="18">
        <f>IFERROR(__xludf.DUMMYFUNCTION("""COMPUTED_VALUE"""),1.0)</f>
        <v>1</v>
      </c>
      <c r="J2261" s="18">
        <f>IFERROR(__xludf.DUMMYFUNCTION("""COMPUTED_VALUE"""),1.0)</f>
        <v>1</v>
      </c>
      <c r="K2261" s="18">
        <f>IFERROR(__xludf.DUMMYFUNCTION("""COMPUTED_VALUE"""),1.0)</f>
        <v>1</v>
      </c>
      <c r="L2261" s="17">
        <f>IFERROR(__xludf.DUMMYFUNCTION("""COMPUTED_VALUE"""),3.185355209E9)</f>
        <v>3185355209</v>
      </c>
      <c r="M2261" s="17" t="str">
        <f>IFERROR(__xludf.DUMMYFUNCTION("""COMPUTED_VALUE"""),"#REF!")</f>
        <v>#REF!</v>
      </c>
      <c r="N2261" s="17"/>
      <c r="O2261" s="17"/>
      <c r="P2261" s="17" t="b">
        <f>IFERROR(__xludf.DUMMYFUNCTION("""COMPUTED_VALUE"""),FALSE)</f>
        <v>0</v>
      </c>
      <c r="Q2261" s="20" t="str">
        <f>IFERROR(__xludf.DUMMYFUNCTION("""COMPUTED_VALUE"""),"")</f>
        <v/>
      </c>
      <c r="R2261" s="22" t="str">
        <f>IFERROR(__xludf.DUMMYFUNCTION("""COMPUTED_VALUE"""),"")</f>
        <v/>
      </c>
    </row>
    <row r="2262">
      <c r="A2262" s="15">
        <f>IFERROR(__xludf.DUMMYFUNCTION("""COMPUTED_VALUE"""),45065.0)</f>
        <v>45065</v>
      </c>
      <c r="B2262" s="16" t="str">
        <f>IFERROR(__xludf.DUMMYFUNCTION("""COMPUTED_VALUE"""),"Lina Gaona")</f>
        <v>Lina Gaona</v>
      </c>
      <c r="C2262" s="15" t="str">
        <f>IFERROR(__xludf.DUMMYFUNCTION("""COMPUTED_VALUE"""),"CÚCUTA")</f>
        <v>CÚCUTA</v>
      </c>
      <c r="D2262" s="15" t="str">
        <f>IFERROR(__xludf.DUMMYFUNCTION("""COMPUTED_VALUE"""),"BOGOTÁ")</f>
        <v>BOGOTÁ</v>
      </c>
      <c r="E2262" s="15" t="str">
        <f>IFERROR(__xludf.DUMMYFUNCTION("""COMPUTED_VALUE"""),"Lunchy Kids")</f>
        <v>Lunchy Kids</v>
      </c>
      <c r="F2262" s="17" t="str">
        <f>IFERROR(__xludf.DUMMYFUNCTION("""COMPUTED_VALUE"""),"Av 9a 54a-83  / conjunto piemonte -  Apto 704A / barrio la floresta - Los patios")</f>
        <v>Av 9a 54a-83  / conjunto piemonte -  Apto 704A / barrio la floresta - Los patios</v>
      </c>
      <c r="G2262" s="15" t="str">
        <f>IFERROR(__xludf.DUMMYFUNCTION("""COMPUTED_VALUE"""),"Cielo Viviana Jaimes Reina")</f>
        <v>Cielo Viviana Jaimes Reina</v>
      </c>
      <c r="H2262" s="16">
        <f>IFERROR(__xludf.DUMMYFUNCTION("""COMPUTED_VALUE"""),10715.0)</f>
        <v>10715</v>
      </c>
      <c r="I2262" s="18">
        <f>IFERROR(__xludf.DUMMYFUNCTION("""COMPUTED_VALUE"""),26.0)</f>
        <v>26</v>
      </c>
      <c r="J2262" s="18">
        <f>IFERROR(__xludf.DUMMYFUNCTION("""COMPUTED_VALUE"""),11.0)</f>
        <v>11</v>
      </c>
      <c r="K2262" s="18">
        <f>IFERROR(__xludf.DUMMYFUNCTION("""COMPUTED_VALUE"""),30.0)</f>
        <v>30</v>
      </c>
      <c r="L2262" s="17">
        <f>IFERROR(__xludf.DUMMYFUNCTION("""COMPUTED_VALUE"""),3.00570307E9)</f>
        <v>3005703070</v>
      </c>
      <c r="M2262" s="17" t="str">
        <f>IFERROR(__xludf.DUMMYFUNCTION("""COMPUTED_VALUE"""),"#REF!")</f>
        <v>#REF!</v>
      </c>
      <c r="N2262" s="17"/>
      <c r="O2262" s="17"/>
      <c r="P2262" s="17" t="b">
        <f>IFERROR(__xludf.DUMMYFUNCTION("""COMPUTED_VALUE"""),FALSE)</f>
        <v>0</v>
      </c>
      <c r="Q2262" s="20" t="str">
        <f>IFERROR(__xludf.DUMMYFUNCTION("""COMPUTED_VALUE"""),"")</f>
        <v/>
      </c>
      <c r="R2262" s="22" t="str">
        <f>IFERROR(__xludf.DUMMYFUNCTION("""COMPUTED_VALUE"""),"")</f>
        <v/>
      </c>
    </row>
    <row r="2263">
      <c r="A2263" s="15">
        <f>IFERROR(__xludf.DUMMYFUNCTION("""COMPUTED_VALUE"""),45065.0)</f>
        <v>45065</v>
      </c>
      <c r="B2263" s="16" t="str">
        <f>IFERROR(__xludf.DUMMYFUNCTION("""COMPUTED_VALUE"""),"Lina Gaona")</f>
        <v>Lina Gaona</v>
      </c>
      <c r="C2263" s="15" t="str">
        <f>IFERROR(__xludf.DUMMYFUNCTION("""COMPUTED_VALUE"""),"CÚCUTA")</f>
        <v>CÚCUTA</v>
      </c>
      <c r="D2263" s="15" t="str">
        <f>IFERROR(__xludf.DUMMYFUNCTION("""COMPUTED_VALUE"""),"BOGOTÁ")</f>
        <v>BOGOTÁ</v>
      </c>
      <c r="E2263" s="15" t="str">
        <f>IFERROR(__xludf.DUMMYFUNCTION("""COMPUTED_VALUE"""),"Lunchy Kids")</f>
        <v>Lunchy Kids</v>
      </c>
      <c r="F2263" s="17" t="str">
        <f>IFERROR(__xludf.DUMMYFUNCTION("""COMPUTED_VALUE"""),"Calle 6 #4AE-32  / Casa / Barrio popular")</f>
        <v>Calle 6 #4AE-32  / Casa / Barrio popular</v>
      </c>
      <c r="G2263" s="15" t="str">
        <f>IFERROR(__xludf.DUMMYFUNCTION("""COMPUTED_VALUE"""),"Carolina Bedoya Alvarez")</f>
        <v>Carolina Bedoya Alvarez</v>
      </c>
      <c r="H2263" s="16">
        <f>IFERROR(__xludf.DUMMYFUNCTION("""COMPUTED_VALUE"""),10714.0)</f>
        <v>10714</v>
      </c>
      <c r="I2263" s="18">
        <f>IFERROR(__xludf.DUMMYFUNCTION("""COMPUTED_VALUE"""),13.0)</f>
        <v>13</v>
      </c>
      <c r="J2263" s="18">
        <f>IFERROR(__xludf.DUMMYFUNCTION("""COMPUTED_VALUE"""),17.0)</f>
        <v>17</v>
      </c>
      <c r="K2263" s="18">
        <f>IFERROR(__xludf.DUMMYFUNCTION("""COMPUTED_VALUE"""),13.0)</f>
        <v>13</v>
      </c>
      <c r="L2263" s="17">
        <f>IFERROR(__xludf.DUMMYFUNCTION("""COMPUTED_VALUE"""),3.166920223E9)</f>
        <v>3166920223</v>
      </c>
      <c r="M2263" s="17" t="str">
        <f>IFERROR(__xludf.DUMMYFUNCTION("""COMPUTED_VALUE"""),"#REF!")</f>
        <v>#REF!</v>
      </c>
      <c r="N2263" s="17"/>
      <c r="O2263" s="17"/>
      <c r="P2263" s="17" t="b">
        <f>IFERROR(__xludf.DUMMYFUNCTION("""COMPUTED_VALUE"""),FALSE)</f>
        <v>0</v>
      </c>
      <c r="Q2263" s="20" t="str">
        <f>IFERROR(__xludf.DUMMYFUNCTION("""COMPUTED_VALUE"""),"")</f>
        <v/>
      </c>
      <c r="R2263" s="22" t="str">
        <f>IFERROR(__xludf.DUMMYFUNCTION("""COMPUTED_VALUE"""),"")</f>
        <v/>
      </c>
    </row>
    <row r="2264">
      <c r="A2264" s="15">
        <f>IFERROR(__xludf.DUMMYFUNCTION("""COMPUTED_VALUE"""),45065.0)</f>
        <v>45065</v>
      </c>
      <c r="B2264" s="16" t="str">
        <f>IFERROR(__xludf.DUMMYFUNCTION("""COMPUTED_VALUE"""),"Lina Gaona")</f>
        <v>Lina Gaona</v>
      </c>
      <c r="C2264" s="15" t="str">
        <f>IFERROR(__xludf.DUMMYFUNCTION("""COMPUTED_VALUE"""),"VILLAVICENCIO")</f>
        <v>VILLAVICENCIO</v>
      </c>
      <c r="D2264" s="15" t="str">
        <f>IFERROR(__xludf.DUMMYFUNCTION("""COMPUTED_VALUE"""),"MEDELLÍN")</f>
        <v>MEDELLÍN</v>
      </c>
      <c r="E2264" s="15" t="str">
        <f>IFERROR(__xludf.DUMMYFUNCTION("""COMPUTED_VALUE"""),"Helados swip")</f>
        <v>Helados swip</v>
      </c>
      <c r="F2264" s="17" t="str">
        <f>IFERROR(__xludf.DUMMYFUNCTION("""COMPUTED_VALUE"""),"CALLE 15 # 44 D 28  / LOCAL 1 / ED. PALOS DE CAÑA")</f>
        <v>CALLE 15 # 44 D 28  / LOCAL 1 / ED. PALOS DE CAÑA</v>
      </c>
      <c r="G2264" s="15" t="str">
        <f>IFERROR(__xludf.DUMMYFUNCTION("""COMPUTED_VALUE"""),"SANA TENTACION")</f>
        <v>SANA TENTACION</v>
      </c>
      <c r="H2264" s="16">
        <f>IFERROR(__xludf.DUMMYFUNCTION("""COMPUTED_VALUE"""),10842.0)</f>
        <v>10842</v>
      </c>
      <c r="I2264" s="18">
        <f>IFERROR(__xludf.DUMMYFUNCTION("""COMPUTED_VALUE"""),65.0)</f>
        <v>65</v>
      </c>
      <c r="J2264" s="18">
        <f>IFERROR(__xludf.DUMMYFUNCTION("""COMPUTED_VALUE"""),55.0)</f>
        <v>55</v>
      </c>
      <c r="K2264" s="18">
        <f>IFERROR(__xludf.DUMMYFUNCTION("""COMPUTED_VALUE"""),45.0)</f>
        <v>45</v>
      </c>
      <c r="L2264" s="17">
        <f>IFERROR(__xludf.DUMMYFUNCTION("""COMPUTED_VALUE"""),3.008383044E9)</f>
        <v>3008383044</v>
      </c>
      <c r="M2264" s="17" t="str">
        <f>IFERROR(__xludf.DUMMYFUNCTION("""COMPUTED_VALUE"""),"#REF!")</f>
        <v>#REF!</v>
      </c>
      <c r="N2264" s="17"/>
      <c r="O2264" s="17"/>
      <c r="P2264" s="17" t="b">
        <f>IFERROR(__xludf.DUMMYFUNCTION("""COMPUTED_VALUE"""),FALSE)</f>
        <v>0</v>
      </c>
      <c r="Q2264" s="20" t="str">
        <f>IFERROR(__xludf.DUMMYFUNCTION("""COMPUTED_VALUE"""),"")</f>
        <v/>
      </c>
      <c r="R2264" s="22" t="str">
        <f>IFERROR(__xludf.DUMMYFUNCTION("""COMPUTED_VALUE"""),"")</f>
        <v/>
      </c>
    </row>
    <row r="2265">
      <c r="A2265" s="17" t="str">
        <f>IFERROR(__xludf.DUMMYFUNCTION("""COMPUTED_VALUE"""),"")</f>
        <v/>
      </c>
      <c r="B2265" s="17" t="str">
        <f>IFERROR(__xludf.DUMMYFUNCTION("""COMPUTED_VALUE"""),"")</f>
        <v/>
      </c>
      <c r="C2265" s="17" t="str">
        <f>IFERROR(__xludf.DUMMYFUNCTION("""COMPUTED_VALUE"""),"")</f>
        <v/>
      </c>
      <c r="D2265" s="17" t="str">
        <f>IFERROR(__xludf.DUMMYFUNCTION("""COMPUTED_VALUE"""),"")</f>
        <v/>
      </c>
      <c r="E2265" s="17" t="str">
        <f>IFERROR(__xludf.DUMMYFUNCTION("""COMPUTED_VALUE"""),"")</f>
        <v/>
      </c>
      <c r="F2265" s="17" t="str">
        <f>IFERROR(__xludf.DUMMYFUNCTION("""COMPUTED_VALUE"""),"")</f>
        <v/>
      </c>
      <c r="G2265" s="17" t="str">
        <f>IFERROR(__xludf.DUMMYFUNCTION("""COMPUTED_VALUE"""),"")</f>
        <v/>
      </c>
      <c r="H2265" s="17" t="str">
        <f>IFERROR(__xludf.DUMMYFUNCTION("""COMPUTED_VALUE"""),"")</f>
        <v/>
      </c>
      <c r="I2265" s="17" t="str">
        <f>IFERROR(__xludf.DUMMYFUNCTION("""COMPUTED_VALUE"""),"")</f>
        <v/>
      </c>
      <c r="J2265" s="17" t="str">
        <f>IFERROR(__xludf.DUMMYFUNCTION("""COMPUTED_VALUE"""),"")</f>
        <v/>
      </c>
      <c r="K2265" s="17" t="str">
        <f>IFERROR(__xludf.DUMMYFUNCTION("""COMPUTED_VALUE"""),"")</f>
        <v/>
      </c>
      <c r="L2265" s="17" t="str">
        <f>IFERROR(__xludf.DUMMYFUNCTION("""COMPUTED_VALUE"""),"")</f>
        <v/>
      </c>
      <c r="M2265" s="17" t="str">
        <f>IFERROR(__xludf.DUMMYFUNCTION("""COMPUTED_VALUE"""),"")</f>
        <v/>
      </c>
      <c r="N2265" s="17" t="str">
        <f>IFERROR(__xludf.DUMMYFUNCTION("""COMPUTED_VALUE"""),"")</f>
        <v/>
      </c>
      <c r="O2265" s="17" t="str">
        <f>IFERROR(__xludf.DUMMYFUNCTION("""COMPUTED_VALUE"""),"")</f>
        <v/>
      </c>
      <c r="P2265" s="17" t="str">
        <f>IFERROR(__xludf.DUMMYFUNCTION("""COMPUTED_VALUE"""),"")</f>
        <v/>
      </c>
      <c r="Q2265" s="17" t="str">
        <f>IFERROR(__xludf.DUMMYFUNCTION("""COMPUTED_VALUE"""),"")</f>
        <v/>
      </c>
      <c r="R2265" s="17" t="str">
        <f>IFERROR(__xludf.DUMMYFUNCTION("""COMPUTED_VALUE"""),"")</f>
        <v/>
      </c>
    </row>
    <row r="2266">
      <c r="A2266" s="15">
        <f>IFERROR(__xludf.DUMMYFUNCTION("""COMPUTED_VALUE"""),45065.0)</f>
        <v>45065</v>
      </c>
      <c r="B2266" s="16" t="str">
        <f>IFERROR(__xludf.DUMMYFUNCTION("""COMPUTED_VALUE"""),"Luis Miguel Ramirez Morales")</f>
        <v>Luis Miguel Ramirez Morales</v>
      </c>
      <c r="C2266" s="15" t="str">
        <f>IFERROR(__xludf.DUMMYFUNCTION("""COMPUTED_VALUE"""),"BOGOTÁ")</f>
        <v>BOGOTÁ</v>
      </c>
      <c r="D2266" s="15" t="str">
        <f>IFERROR(__xludf.DUMMYFUNCTION("""COMPUTED_VALUE"""),"MEDELLÍN")</f>
        <v>MEDELLÍN</v>
      </c>
      <c r="E2266" s="15" t="str">
        <f>IFERROR(__xludf.DUMMYFUNCTION("""COMPUTED_VALUE"""),"AREPAS LA MARY")</f>
        <v>AREPAS LA MARY</v>
      </c>
      <c r="F2266" s="17" t="str">
        <f>IFERROR(__xludf.DUMMYFUNCTION("""COMPUTED_VALUE"""),"CRA 22 # 120- 69 / ED TESSELLO APARTAMENTOS")</f>
        <v>CRA 22 # 120- 69 / ED TESSELLO APARTAMENTOS</v>
      </c>
      <c r="G2266" s="15" t="str">
        <f>IFERROR(__xludf.DUMMYFUNCTION("""COMPUTED_VALUE"""),"ESPERANZA MANCIPE")</f>
        <v>ESPERANZA MANCIPE</v>
      </c>
      <c r="H2266" s="16">
        <f>IFERROR(__xludf.DUMMYFUNCTION("""COMPUTED_VALUE"""),10866.0)</f>
        <v>10866</v>
      </c>
      <c r="I2266" s="18">
        <f>IFERROR(__xludf.DUMMYFUNCTION("""COMPUTED_VALUE"""),89.0)</f>
        <v>89</v>
      </c>
      <c r="J2266" s="18">
        <f>IFERROR(__xludf.DUMMYFUNCTION("""COMPUTED_VALUE"""),1.0)</f>
        <v>1</v>
      </c>
      <c r="K2266" s="18">
        <f>IFERROR(__xludf.DUMMYFUNCTION("""COMPUTED_VALUE"""),10.0)</f>
        <v>10</v>
      </c>
      <c r="L2266" s="17">
        <f>IFERROR(__xludf.DUMMYFUNCTION("""COMPUTED_VALUE"""),3.102604924E9)</f>
        <v>3102604924</v>
      </c>
      <c r="M2266" s="17" t="str">
        <f>IFERROR(__xludf.DUMMYFUNCTION("""COMPUTED_VALUE"""),"#REF!")</f>
        <v>#REF!</v>
      </c>
      <c r="N2266" s="17"/>
      <c r="O2266" s="17"/>
      <c r="P2266" s="17" t="b">
        <f>IFERROR(__xludf.DUMMYFUNCTION("""COMPUTED_VALUE"""),FALSE)</f>
        <v>0</v>
      </c>
      <c r="Q2266" s="20" t="str">
        <f>IFERROR(__xludf.DUMMYFUNCTION("""COMPUTED_VALUE"""),"")</f>
        <v/>
      </c>
      <c r="R2266" s="22" t="str">
        <f>IFERROR(__xludf.DUMMYFUNCTION("""COMPUTED_VALUE"""),"")</f>
        <v/>
      </c>
    </row>
    <row r="2267">
      <c r="A2267" s="15">
        <f>IFERROR(__xludf.DUMMYFUNCTION("""COMPUTED_VALUE"""),45065.0)</f>
        <v>45065</v>
      </c>
      <c r="B2267" s="16" t="str">
        <f>IFERROR(__xludf.DUMMYFUNCTION("""COMPUTED_VALUE"""),"Luis Miguel Ramirez Morales")</f>
        <v>Luis Miguel Ramirez Morales</v>
      </c>
      <c r="C2267" s="15" t="str">
        <f>IFERROR(__xludf.DUMMYFUNCTION("""COMPUTED_VALUE"""),"BOGOTÁ")</f>
        <v>BOGOTÁ</v>
      </c>
      <c r="D2267" s="15" t="str">
        <f>IFERROR(__xludf.DUMMYFUNCTION("""COMPUTED_VALUE"""),"MEDELLÍN")</f>
        <v>MEDELLÍN</v>
      </c>
      <c r="E2267" s="15" t="str">
        <f>IFERROR(__xludf.DUMMYFUNCTION("""COMPUTED_VALUE"""),"Baby Chef")</f>
        <v>Baby Chef</v>
      </c>
      <c r="F2267" s="17" t="str">
        <f>IFERROR(__xludf.DUMMYFUNCTION("""COMPUTED_VALUE"""),"Cra 89 A BIS # 8A 18 Conjunto Malaga Torre 4 Apto 416 / Cra 89 A BIS # 8A 18 Conjunto Malaga Torre 4 Apto 416 / Cra 89 A BIS # 8A 18 Conjunto Malaga Torre 4 Apto 416")</f>
        <v>Cra 89 A BIS # 8A 18 Conjunto Malaga Torre 4 Apto 416 / Cra 89 A BIS # 8A 18 Conjunto Malaga Torre 4 Apto 416 / Cra 89 A BIS # 8A 18 Conjunto Malaga Torre 4 Apto 416</v>
      </c>
      <c r="G2267" s="15" t="str">
        <f>IFERROR(__xludf.DUMMYFUNCTION("""COMPUTED_VALUE"""),"Ahsly Gineth Estrada Guerrero")</f>
        <v>Ahsly Gineth Estrada Guerrero</v>
      </c>
      <c r="H2267" s="16">
        <f>IFERROR(__xludf.DUMMYFUNCTION("""COMPUTED_VALUE"""),10877.0)</f>
        <v>10877</v>
      </c>
      <c r="I2267" s="18">
        <f>IFERROR(__xludf.DUMMYFUNCTION("""COMPUTED_VALUE"""),8.0)</f>
        <v>8</v>
      </c>
      <c r="J2267" s="18">
        <f>IFERROR(__xludf.DUMMYFUNCTION("""COMPUTED_VALUE"""),16.0)</f>
        <v>16</v>
      </c>
      <c r="K2267" s="18">
        <f>IFERROR(__xludf.DUMMYFUNCTION("""COMPUTED_VALUE"""),20.0)</f>
        <v>20</v>
      </c>
      <c r="L2267" s="17">
        <f>IFERROR(__xludf.DUMMYFUNCTION("""COMPUTED_VALUE"""),3.237957588E9)</f>
        <v>3237957588</v>
      </c>
      <c r="M2267" s="17" t="str">
        <f>IFERROR(__xludf.DUMMYFUNCTION("""COMPUTED_VALUE"""),"#REF!")</f>
        <v>#REF!</v>
      </c>
      <c r="N2267" s="17"/>
      <c r="O2267" s="17"/>
      <c r="P2267" s="17" t="b">
        <f>IFERROR(__xludf.DUMMYFUNCTION("""COMPUTED_VALUE"""),FALSE)</f>
        <v>0</v>
      </c>
      <c r="Q2267" s="20" t="str">
        <f>IFERROR(__xludf.DUMMYFUNCTION("""COMPUTED_VALUE"""),"")</f>
        <v/>
      </c>
      <c r="R2267" s="22" t="str">
        <f>IFERROR(__xludf.DUMMYFUNCTION("""COMPUTED_VALUE"""),"")</f>
        <v/>
      </c>
    </row>
    <row r="2268">
      <c r="A2268" s="15">
        <f>IFERROR(__xludf.DUMMYFUNCTION("""COMPUTED_VALUE"""),45065.0)</f>
        <v>45065</v>
      </c>
      <c r="B2268" s="16" t="str">
        <f>IFERROR(__xludf.DUMMYFUNCTION("""COMPUTED_VALUE"""),"Luis Miguel Ramirez Morales")</f>
        <v>Luis Miguel Ramirez Morales</v>
      </c>
      <c r="C2268" s="15" t="str">
        <f>IFERROR(__xludf.DUMMYFUNCTION("""COMPUTED_VALUE"""),"BOGOTÁ")</f>
        <v>BOGOTÁ</v>
      </c>
      <c r="D2268" s="15" t="str">
        <f>IFERROR(__xludf.DUMMYFUNCTION("""COMPUTED_VALUE"""),"MEDELLÍN")</f>
        <v>MEDELLÍN</v>
      </c>
      <c r="E2268" s="15" t="str">
        <f>IFERROR(__xludf.DUMMYFUNCTION("""COMPUTED_VALUE"""),"Magda")</f>
        <v>Magda</v>
      </c>
      <c r="F2268" s="17" t="str">
        <f>IFERROR(__xludf.DUMMYFUNCTION("""COMPUTED_VALUE"""),"Calle 71a # 14a22/26 / Cocina oculta / San felipe")</f>
        <v>Calle 71a # 14a22/26 / Cocina oculta / San felipe</v>
      </c>
      <c r="G2268" s="15" t="str">
        <f>IFERROR(__xludf.DUMMYFUNCTION("""COMPUTED_VALUE"""),"Andrez hernandez")</f>
        <v>Andrez hernandez</v>
      </c>
      <c r="H2268" s="16">
        <f>IFERROR(__xludf.DUMMYFUNCTION("""COMPUTED_VALUE"""),10855.0)</f>
        <v>10855</v>
      </c>
      <c r="I2268" s="18">
        <f>IFERROR(__xludf.DUMMYFUNCTION("""COMPUTED_VALUE"""),5.0)</f>
        <v>5</v>
      </c>
      <c r="J2268" s="18">
        <f>IFERROR(__xludf.DUMMYFUNCTION("""COMPUTED_VALUE"""),5.0)</f>
        <v>5</v>
      </c>
      <c r="K2268" s="18">
        <f>IFERROR(__xludf.DUMMYFUNCTION("""COMPUTED_VALUE"""),5.0)</f>
        <v>5</v>
      </c>
      <c r="L2268" s="17">
        <f>IFERROR(__xludf.DUMMYFUNCTION("""COMPUTED_VALUE"""),3.20414202E9)</f>
        <v>3204142020</v>
      </c>
      <c r="M2268" s="17" t="str">
        <f>IFERROR(__xludf.DUMMYFUNCTION("""COMPUTED_VALUE"""),"#REF!")</f>
        <v>#REF!</v>
      </c>
      <c r="N2268" s="17"/>
      <c r="O2268" s="17"/>
      <c r="P2268" s="17" t="b">
        <f>IFERROR(__xludf.DUMMYFUNCTION("""COMPUTED_VALUE"""),FALSE)</f>
        <v>0</v>
      </c>
      <c r="Q2268" s="20" t="str">
        <f>IFERROR(__xludf.DUMMYFUNCTION("""COMPUTED_VALUE"""),"")</f>
        <v/>
      </c>
      <c r="R2268" s="22" t="str">
        <f>IFERROR(__xludf.DUMMYFUNCTION("""COMPUTED_VALUE"""),"")</f>
        <v/>
      </c>
    </row>
    <row r="2269">
      <c r="A2269" s="15">
        <f>IFERROR(__xludf.DUMMYFUNCTION("""COMPUTED_VALUE"""),45065.0)</f>
        <v>45065</v>
      </c>
      <c r="B2269" s="16" t="str">
        <f>IFERROR(__xludf.DUMMYFUNCTION("""COMPUTED_VALUE"""),"Luis Miguel Ramirez Morales")</f>
        <v>Luis Miguel Ramirez Morales</v>
      </c>
      <c r="C2269" s="15" t="str">
        <f>IFERROR(__xludf.DUMMYFUNCTION("""COMPUTED_VALUE"""),"BOGOTÁ")</f>
        <v>BOGOTÁ</v>
      </c>
      <c r="D2269" s="15" t="str">
        <f>IFERROR(__xludf.DUMMYFUNCTION("""COMPUTED_VALUE"""),"MEDELLÍN")</f>
        <v>MEDELLÍN</v>
      </c>
      <c r="E2269" s="15" t="str">
        <f>IFERROR(__xludf.DUMMYFUNCTION("""COMPUTED_VALUE"""),"Pan de Waffle")</f>
        <v>Pan de Waffle</v>
      </c>
      <c r="F2269" s="17" t="str">
        <f>IFERROR(__xludf.DUMMYFUNCTION("""COMPUTED_VALUE"""),"CALLE 93 49 - 12  / CALLE 93 49 - 12  / CALLE 93 49 - 12")</f>
        <v>CALLE 93 49 - 12  / CALLE 93 49 - 12  / CALLE 93 49 - 12</v>
      </c>
      <c r="G2269" s="15" t="str">
        <f>IFERROR(__xludf.DUMMYFUNCTION("""COMPUTED_VALUE"""),"PANDEWAFFLE")</f>
        <v>PANDEWAFFLE</v>
      </c>
      <c r="H2269" s="16">
        <f>IFERROR(__xludf.DUMMYFUNCTION("""COMPUTED_VALUE"""),10843.0)</f>
        <v>10843</v>
      </c>
      <c r="I2269" s="18">
        <f>IFERROR(__xludf.DUMMYFUNCTION("""COMPUTED_VALUE"""),30.0)</f>
        <v>30</v>
      </c>
      <c r="J2269" s="18">
        <f>IFERROR(__xludf.DUMMYFUNCTION("""COMPUTED_VALUE"""),30.0)</f>
        <v>30</v>
      </c>
      <c r="K2269" s="18">
        <f>IFERROR(__xludf.DUMMYFUNCTION("""COMPUTED_VALUE"""),40.0)</f>
        <v>40</v>
      </c>
      <c r="L2269" s="17">
        <f>IFERROR(__xludf.DUMMYFUNCTION("""COMPUTED_VALUE"""),3.20865425E9)</f>
        <v>3208654250</v>
      </c>
      <c r="M2269" s="17" t="str">
        <f>IFERROR(__xludf.DUMMYFUNCTION("""COMPUTED_VALUE"""),"#REF!")</f>
        <v>#REF!</v>
      </c>
      <c r="N2269" s="17"/>
      <c r="O2269" s="17"/>
      <c r="P2269" s="17" t="b">
        <f>IFERROR(__xludf.DUMMYFUNCTION("""COMPUTED_VALUE"""),FALSE)</f>
        <v>0</v>
      </c>
      <c r="Q2269" s="20" t="str">
        <f>IFERROR(__xludf.DUMMYFUNCTION("""COMPUTED_VALUE"""),"")</f>
        <v/>
      </c>
      <c r="R2269" s="22" t="str">
        <f>IFERROR(__xludf.DUMMYFUNCTION("""COMPUTED_VALUE"""),"")</f>
        <v/>
      </c>
    </row>
    <row r="2270">
      <c r="A2270" s="17" t="str">
        <f>IFERROR(__xludf.DUMMYFUNCTION("""COMPUTED_VALUE"""),"")</f>
        <v/>
      </c>
      <c r="B2270" s="17" t="str">
        <f>IFERROR(__xludf.DUMMYFUNCTION("""COMPUTED_VALUE"""),"")</f>
        <v/>
      </c>
      <c r="C2270" s="17" t="str">
        <f>IFERROR(__xludf.DUMMYFUNCTION("""COMPUTED_VALUE"""),"")</f>
        <v/>
      </c>
      <c r="D2270" s="17" t="str">
        <f>IFERROR(__xludf.DUMMYFUNCTION("""COMPUTED_VALUE"""),"")</f>
        <v/>
      </c>
      <c r="E2270" s="17" t="str">
        <f>IFERROR(__xludf.DUMMYFUNCTION("""COMPUTED_VALUE"""),"")</f>
        <v/>
      </c>
      <c r="F2270" s="17" t="str">
        <f>IFERROR(__xludf.DUMMYFUNCTION("""COMPUTED_VALUE"""),"")</f>
        <v/>
      </c>
      <c r="G2270" s="17" t="str">
        <f>IFERROR(__xludf.DUMMYFUNCTION("""COMPUTED_VALUE"""),"")</f>
        <v/>
      </c>
      <c r="H2270" s="17" t="str">
        <f>IFERROR(__xludf.DUMMYFUNCTION("""COMPUTED_VALUE"""),"")</f>
        <v/>
      </c>
      <c r="I2270" s="17" t="str">
        <f>IFERROR(__xludf.DUMMYFUNCTION("""COMPUTED_VALUE"""),"")</f>
        <v/>
      </c>
      <c r="J2270" s="17" t="str">
        <f>IFERROR(__xludf.DUMMYFUNCTION("""COMPUTED_VALUE"""),"")</f>
        <v/>
      </c>
      <c r="K2270" s="17" t="str">
        <f>IFERROR(__xludf.DUMMYFUNCTION("""COMPUTED_VALUE"""),"")</f>
        <v/>
      </c>
      <c r="L2270" s="17" t="str">
        <f>IFERROR(__xludf.DUMMYFUNCTION("""COMPUTED_VALUE"""),"")</f>
        <v/>
      </c>
      <c r="M2270" s="17" t="str">
        <f>IFERROR(__xludf.DUMMYFUNCTION("""COMPUTED_VALUE"""),"")</f>
        <v/>
      </c>
      <c r="N2270" s="17" t="str">
        <f>IFERROR(__xludf.DUMMYFUNCTION("""COMPUTED_VALUE"""),"")</f>
        <v/>
      </c>
      <c r="O2270" s="17" t="str">
        <f>IFERROR(__xludf.DUMMYFUNCTION("""COMPUTED_VALUE"""),"")</f>
        <v/>
      </c>
      <c r="P2270" s="17" t="str">
        <f>IFERROR(__xludf.DUMMYFUNCTION("""COMPUTED_VALUE"""),"")</f>
        <v/>
      </c>
      <c r="Q2270" s="17" t="str">
        <f>IFERROR(__xludf.DUMMYFUNCTION("""COMPUTED_VALUE"""),"")</f>
        <v/>
      </c>
      <c r="R2270" s="17" t="str">
        <f>IFERROR(__xludf.DUMMYFUNCTION("""COMPUTED_VALUE"""),"")</f>
        <v/>
      </c>
    </row>
    <row r="2271">
      <c r="A2271" s="15">
        <f>IFERROR(__xludf.DUMMYFUNCTION("""COMPUTED_VALUE"""),45065.0)</f>
        <v>45065</v>
      </c>
      <c r="B2271" s="16" t="str">
        <f>IFERROR(__xludf.DUMMYFUNCTION("""COMPUTED_VALUE"""),"Orlando Urdaneta Rincon ")</f>
        <v>Orlando Urdaneta Rincon </v>
      </c>
      <c r="C2271" s="15" t="str">
        <f>IFERROR(__xludf.DUMMYFUNCTION("""COMPUTED_VALUE"""),"BOGOTÁ")</f>
        <v>BOGOTÁ</v>
      </c>
      <c r="D2271" s="15" t="str">
        <f>IFERROR(__xludf.DUMMYFUNCTION("""COMPUTED_VALUE"""),"MEDELLÍN")</f>
        <v>MEDELLÍN</v>
      </c>
      <c r="E2271" s="15" t="str">
        <f>IFERROR(__xludf.DUMMYFUNCTION("""COMPUTED_VALUE"""),"Rambla")</f>
        <v>Rambla</v>
      </c>
      <c r="F2271" s="17" t="str">
        <f>IFERROR(__xludf.DUMMYFUNCTION("""COMPUTED_VALUE"""),"Cra 21 # 169 30  - Encargada Claudia Rodriguez / na / na")</f>
        <v>Cra 21 # 169 30  - Encargada Claudia Rodriguez / na / na</v>
      </c>
      <c r="G2271" s="15" t="str">
        <f>IFERROR(__xludf.DUMMYFUNCTION("""COMPUTED_VALUE"""),"Fitcook - Mary Mendez")</f>
        <v>Fitcook - Mary Mendez</v>
      </c>
      <c r="H2271" s="16">
        <f>IFERROR(__xludf.DUMMYFUNCTION("""COMPUTED_VALUE"""),10862.0)</f>
        <v>10862</v>
      </c>
      <c r="I2271" s="18">
        <f>IFERROR(__xludf.DUMMYFUNCTION("""COMPUTED_VALUE"""),23.0)</f>
        <v>23</v>
      </c>
      <c r="J2271" s="18">
        <f>IFERROR(__xludf.DUMMYFUNCTION("""COMPUTED_VALUE"""),25.0)</f>
        <v>25</v>
      </c>
      <c r="K2271" s="18">
        <f>IFERROR(__xludf.DUMMYFUNCTION("""COMPUTED_VALUE"""),27.0)</f>
        <v>27</v>
      </c>
      <c r="L2271" s="17">
        <f>IFERROR(__xludf.DUMMYFUNCTION("""COMPUTED_VALUE"""),3.505306579E9)</f>
        <v>3505306579</v>
      </c>
      <c r="M2271" s="17" t="str">
        <f>IFERROR(__xludf.DUMMYFUNCTION("""COMPUTED_VALUE"""),"#REF!")</f>
        <v>#REF!</v>
      </c>
      <c r="N2271" s="17"/>
      <c r="O2271" s="17"/>
      <c r="P2271" s="17" t="b">
        <f>IFERROR(__xludf.DUMMYFUNCTION("""COMPUTED_VALUE"""),TRUE)</f>
        <v>1</v>
      </c>
      <c r="Q2271" s="20">
        <f>IFERROR(__xludf.DUMMYFUNCTION("""COMPUTED_VALUE"""),45065.688144444444)</f>
        <v>45065.68814</v>
      </c>
      <c r="R2271" s="22" t="str">
        <f>IFERROR(__xludf.DUMMYFUNCTION("""COMPUTED_VALUE"""),"")</f>
        <v/>
      </c>
    </row>
    <row r="2272">
      <c r="A2272" s="15">
        <f>IFERROR(__xludf.DUMMYFUNCTION("""COMPUTED_VALUE"""),45065.0)</f>
        <v>45065</v>
      </c>
      <c r="B2272" s="16" t="str">
        <f>IFERROR(__xludf.DUMMYFUNCTION("""COMPUTED_VALUE"""),"Orlando Urdaneta Rincon ")</f>
        <v>Orlando Urdaneta Rincon </v>
      </c>
      <c r="C2272" s="15" t="str">
        <f>IFERROR(__xludf.DUMMYFUNCTION("""COMPUTED_VALUE"""),"SANTA MARTA")</f>
        <v>SANTA MARTA</v>
      </c>
      <c r="D2272" s="15" t="str">
        <f>IFERROR(__xludf.DUMMYFUNCTION("""COMPUTED_VALUE"""),"BOGOTÁ")</f>
        <v>BOGOTÁ</v>
      </c>
      <c r="E2272" s="15" t="str">
        <f>IFERROR(__xludf.DUMMYFUNCTION("""COMPUTED_VALUE"""),"Helados Socos")</f>
        <v>Helados Socos</v>
      </c>
      <c r="F2272" s="17" t="str">
        <f>IFERROR(__xludf.DUMMYFUNCTION("""COMPUTED_VALUE"""),"Cra 2 # 26 - 114  / Edificio Casa del mar apto 407  / Playa Salguero")</f>
        <v>Cra 2 # 26 - 114  / Edificio Casa del mar apto 407  / Playa Salguero</v>
      </c>
      <c r="G2272" s="15" t="str">
        <f>IFERROR(__xludf.DUMMYFUNCTION("""COMPUTED_VALUE"""),"Celine Gutierrez Lacoutire")</f>
        <v>Celine Gutierrez Lacoutire</v>
      </c>
      <c r="H2272" s="16">
        <f>IFERROR(__xludf.DUMMYFUNCTION("""COMPUTED_VALUE"""),10780.0)</f>
        <v>10780</v>
      </c>
      <c r="I2272" s="18">
        <f>IFERROR(__xludf.DUMMYFUNCTION("""COMPUTED_VALUE"""),15.0)</f>
        <v>15</v>
      </c>
      <c r="J2272" s="18">
        <f>IFERROR(__xludf.DUMMYFUNCTION("""COMPUTED_VALUE"""),15.0)</f>
        <v>15</v>
      </c>
      <c r="K2272" s="18">
        <f>IFERROR(__xludf.DUMMYFUNCTION("""COMPUTED_VALUE"""),10.0)</f>
        <v>10</v>
      </c>
      <c r="L2272" s="17">
        <f>IFERROR(__xludf.DUMMYFUNCTION("""COMPUTED_VALUE"""),3.108546687E9)</f>
        <v>3108546687</v>
      </c>
      <c r="M2272" s="17" t="str">
        <f>IFERROR(__xludf.DUMMYFUNCTION("""COMPUTED_VALUE"""),"#REF!")</f>
        <v>#REF!</v>
      </c>
      <c r="N2272" s="17"/>
      <c r="O2272" s="17"/>
      <c r="P2272" s="17" t="b">
        <f>IFERROR(__xludf.DUMMYFUNCTION("""COMPUTED_VALUE"""),TRUE)</f>
        <v>1</v>
      </c>
      <c r="Q2272" s="20">
        <f>IFERROR(__xludf.DUMMYFUNCTION("""COMPUTED_VALUE"""),45065.688169953704)</f>
        <v>45065.68817</v>
      </c>
      <c r="R2272" s="22" t="str">
        <f>IFERROR(__xludf.DUMMYFUNCTION("""COMPUTED_VALUE"""),"")</f>
        <v/>
      </c>
    </row>
    <row r="2273">
      <c r="A2273" s="15">
        <f>IFERROR(__xludf.DUMMYFUNCTION("""COMPUTED_VALUE"""),45065.0)</f>
        <v>45065</v>
      </c>
      <c r="B2273" s="16" t="str">
        <f>IFERROR(__xludf.DUMMYFUNCTION("""COMPUTED_VALUE"""),"Orlando Urdaneta Rincon ")</f>
        <v>Orlando Urdaneta Rincon </v>
      </c>
      <c r="C2273" s="15" t="str">
        <f>IFERROR(__xludf.DUMMYFUNCTION("""COMPUTED_VALUE"""),"SANTA MARTA")</f>
        <v>SANTA MARTA</v>
      </c>
      <c r="D2273" s="15" t="str">
        <f>IFERROR(__xludf.DUMMYFUNCTION("""COMPUTED_VALUE"""),"MEDELLÍN")</f>
        <v>MEDELLÍN</v>
      </c>
      <c r="E2273" s="15" t="str">
        <f>IFERROR(__xludf.DUMMYFUNCTION("""COMPUTED_VALUE"""),"AREPAS LA MARY")</f>
        <v>AREPAS LA MARY</v>
      </c>
      <c r="F2273" s="17" t="str">
        <f>IFERROR(__xludf.DUMMYFUNCTION("""COMPUTED_VALUE"""),"calle 24 a # 2 - 39 / Ed san marino local 1")</f>
        <v>calle 24 a # 2 - 39 / Ed san marino local 1</v>
      </c>
      <c r="G2273" s="15" t="str">
        <f>IFERROR(__xludf.DUMMYFUNCTION("""COMPUTED_VALUE"""),"Corozo Santamarta")</f>
        <v>Corozo Santamarta</v>
      </c>
      <c r="H2273" s="16">
        <f>IFERROR(__xludf.DUMMYFUNCTION("""COMPUTED_VALUE"""),10828.0)</f>
        <v>10828</v>
      </c>
      <c r="I2273" s="18">
        <f>IFERROR(__xludf.DUMMYFUNCTION("""COMPUTED_VALUE"""),89.0)</f>
        <v>89</v>
      </c>
      <c r="J2273" s="18">
        <f>IFERROR(__xludf.DUMMYFUNCTION("""COMPUTED_VALUE"""),1.0)</f>
        <v>1</v>
      </c>
      <c r="K2273" s="18">
        <f>IFERROR(__xludf.DUMMYFUNCTION("""COMPUTED_VALUE"""),10.0)</f>
        <v>10</v>
      </c>
      <c r="L2273" s="17">
        <f>IFERROR(__xludf.DUMMYFUNCTION("""COMPUTED_VALUE"""),3.206763524E9)</f>
        <v>3206763524</v>
      </c>
      <c r="M2273" s="17" t="str">
        <f>IFERROR(__xludf.DUMMYFUNCTION("""COMPUTED_VALUE"""),"#REF!")</f>
        <v>#REF!</v>
      </c>
      <c r="N2273" s="17"/>
      <c r="O2273" s="17"/>
      <c r="P2273" s="17" t="b">
        <f>IFERROR(__xludf.DUMMYFUNCTION("""COMPUTED_VALUE"""),FALSE)</f>
        <v>0</v>
      </c>
      <c r="Q2273" s="20" t="str">
        <f>IFERROR(__xludf.DUMMYFUNCTION("""COMPUTED_VALUE"""),"")</f>
        <v/>
      </c>
      <c r="R2273" s="22" t="str">
        <f>IFERROR(__xludf.DUMMYFUNCTION("""COMPUTED_VALUE"""),"")</f>
        <v/>
      </c>
    </row>
    <row r="2274">
      <c r="A2274" s="15">
        <f>IFERROR(__xludf.DUMMYFUNCTION("""COMPUTED_VALUE"""),45065.0)</f>
        <v>45065</v>
      </c>
      <c r="B2274" s="16" t="str">
        <f>IFERROR(__xludf.DUMMYFUNCTION("""COMPUTED_VALUE"""),"Orlando Urdaneta Rincon ")</f>
        <v>Orlando Urdaneta Rincon </v>
      </c>
      <c r="C2274" s="15" t="str">
        <f>IFERROR(__xludf.DUMMYFUNCTION("""COMPUTED_VALUE"""),"SANTA MARTA")</f>
        <v>SANTA MARTA</v>
      </c>
      <c r="D2274" s="15" t="str">
        <f>IFERROR(__xludf.DUMMYFUNCTION("""COMPUTED_VALUE"""),"MEDELLÍN")</f>
        <v>MEDELLÍN</v>
      </c>
      <c r="E2274" s="15" t="str">
        <f>IFERROR(__xludf.DUMMYFUNCTION("""COMPUTED_VALUE"""),"Magda")</f>
        <v>Magda</v>
      </c>
      <c r="F2274" s="17" t="str">
        <f>IFERROR(__xludf.DUMMYFUNCTION("""COMPUTED_VALUE"""),"calle 22#6-82  / ""centro comercial plazuela 22 local 27 "" / Centro")</f>
        <v>calle 22#6-82  / "centro comercial plazuela 22 local 27 " / Centro</v>
      </c>
      <c r="G2274" s="15" t="str">
        <f>IFERROR(__xludf.DUMMYFUNCTION("""COMPUTED_VALUE"""),"Shirley Monjarres")</f>
        <v>Shirley Monjarres</v>
      </c>
      <c r="H2274" s="16">
        <f>IFERROR(__xludf.DUMMYFUNCTION("""COMPUTED_VALUE"""),10854.0)</f>
        <v>10854</v>
      </c>
      <c r="I2274" s="18">
        <f>IFERROR(__xludf.DUMMYFUNCTION("""COMPUTED_VALUE"""),5.0)</f>
        <v>5</v>
      </c>
      <c r="J2274" s="18">
        <f>IFERROR(__xludf.DUMMYFUNCTION("""COMPUTED_VALUE"""),5.0)</f>
        <v>5</v>
      </c>
      <c r="K2274" s="18">
        <f>IFERROR(__xludf.DUMMYFUNCTION("""COMPUTED_VALUE"""),5.0)</f>
        <v>5</v>
      </c>
      <c r="L2274" s="17">
        <f>IFERROR(__xludf.DUMMYFUNCTION("""COMPUTED_VALUE"""),3.054269156E9)</f>
        <v>3054269156</v>
      </c>
      <c r="M2274" s="17" t="str">
        <f>IFERROR(__xludf.DUMMYFUNCTION("""COMPUTED_VALUE"""),"#REF!")</f>
        <v>#REF!</v>
      </c>
      <c r="N2274" s="17"/>
      <c r="O2274" s="17"/>
      <c r="P2274" s="17" t="b">
        <f>IFERROR(__xludf.DUMMYFUNCTION("""COMPUTED_VALUE"""),FALSE)</f>
        <v>0</v>
      </c>
      <c r="Q2274" s="20" t="str">
        <f>IFERROR(__xludf.DUMMYFUNCTION("""COMPUTED_VALUE"""),"")</f>
        <v/>
      </c>
      <c r="R2274" s="22" t="str">
        <f>IFERROR(__xludf.DUMMYFUNCTION("""COMPUTED_VALUE"""),"")</f>
        <v/>
      </c>
    </row>
    <row r="2275">
      <c r="A2275" s="15">
        <f>IFERROR(__xludf.DUMMYFUNCTION("""COMPUTED_VALUE"""),45065.0)</f>
        <v>45065</v>
      </c>
      <c r="B2275" s="16" t="str">
        <f>IFERROR(__xludf.DUMMYFUNCTION("""COMPUTED_VALUE"""),"Orlando Urdaneta Rincon ")</f>
        <v>Orlando Urdaneta Rincon </v>
      </c>
      <c r="C2275" s="15" t="str">
        <f>IFERROR(__xludf.DUMMYFUNCTION("""COMPUTED_VALUE"""),"SANTA MARTA")</f>
        <v>SANTA MARTA</v>
      </c>
      <c r="D2275" s="15" t="str">
        <f>IFERROR(__xludf.DUMMYFUNCTION("""COMPUTED_VALUE"""),"MEDELLÍN")</f>
        <v>MEDELLÍN</v>
      </c>
      <c r="E2275" s="15" t="str">
        <f>IFERROR(__xludf.DUMMYFUNCTION("""COMPUTED_VALUE"""),"Rambla")</f>
        <v>Rambla</v>
      </c>
      <c r="F2275" s="17" t="str">
        <f>IFERROR(__xludf.DUMMYFUNCTION("""COMPUTED_VALUE"""),"Direccion: Cra 1c # 23-56 Barrio BellaVista / na / na")</f>
        <v>Direccion: Cra 1c # 23-56 Barrio BellaVista / na / na</v>
      </c>
      <c r="G2275" s="15" t="str">
        <f>IFERROR(__xludf.DUMMYFUNCTION("""COMPUTED_VALUE"""),"fresco")</f>
        <v>fresco</v>
      </c>
      <c r="H2275" s="16">
        <f>IFERROR(__xludf.DUMMYFUNCTION("""COMPUTED_VALUE"""),10846.0)</f>
        <v>10846</v>
      </c>
      <c r="I2275" s="18">
        <f>IFERROR(__xludf.DUMMYFUNCTION("""COMPUTED_VALUE"""),24.0)</f>
        <v>24</v>
      </c>
      <c r="J2275" s="18">
        <f>IFERROR(__xludf.DUMMYFUNCTION("""COMPUTED_VALUE"""),27.0)</f>
        <v>27</v>
      </c>
      <c r="K2275" s="18">
        <f>IFERROR(__xludf.DUMMYFUNCTION("""COMPUTED_VALUE"""),30.0)</f>
        <v>30</v>
      </c>
      <c r="L2275" s="17">
        <f>IFERROR(__xludf.DUMMYFUNCTION("""COMPUTED_VALUE"""),3.104615133E9)</f>
        <v>3104615133</v>
      </c>
      <c r="M2275" s="17" t="str">
        <f>IFERROR(__xludf.DUMMYFUNCTION("""COMPUTED_VALUE"""),"#REF!")</f>
        <v>#REF!</v>
      </c>
      <c r="N2275" s="17"/>
      <c r="O2275" s="17"/>
      <c r="P2275" s="17" t="b">
        <f>IFERROR(__xludf.DUMMYFUNCTION("""COMPUTED_VALUE"""),FALSE)</f>
        <v>0</v>
      </c>
      <c r="Q2275" s="20" t="str">
        <f>IFERROR(__xludf.DUMMYFUNCTION("""COMPUTED_VALUE"""),"")</f>
        <v/>
      </c>
      <c r="R2275" s="22" t="str">
        <f>IFERROR(__xludf.DUMMYFUNCTION("""COMPUTED_VALUE"""),"")</f>
        <v/>
      </c>
    </row>
    <row r="2276">
      <c r="A2276" s="17" t="str">
        <f>IFERROR(__xludf.DUMMYFUNCTION("""COMPUTED_VALUE"""),"")</f>
        <v/>
      </c>
      <c r="B2276" s="17" t="str">
        <f>IFERROR(__xludf.DUMMYFUNCTION("""COMPUTED_VALUE"""),"")</f>
        <v/>
      </c>
      <c r="C2276" s="17" t="str">
        <f>IFERROR(__xludf.DUMMYFUNCTION("""COMPUTED_VALUE"""),"")</f>
        <v/>
      </c>
      <c r="D2276" s="17" t="str">
        <f>IFERROR(__xludf.DUMMYFUNCTION("""COMPUTED_VALUE"""),"")</f>
        <v/>
      </c>
      <c r="E2276" s="17" t="str">
        <f>IFERROR(__xludf.DUMMYFUNCTION("""COMPUTED_VALUE"""),"")</f>
        <v/>
      </c>
      <c r="F2276" s="17" t="str">
        <f>IFERROR(__xludf.DUMMYFUNCTION("""COMPUTED_VALUE"""),"")</f>
        <v/>
      </c>
      <c r="G2276" s="17" t="str">
        <f>IFERROR(__xludf.DUMMYFUNCTION("""COMPUTED_VALUE"""),"")</f>
        <v/>
      </c>
      <c r="H2276" s="17" t="str">
        <f>IFERROR(__xludf.DUMMYFUNCTION("""COMPUTED_VALUE"""),"")</f>
        <v/>
      </c>
      <c r="I2276" s="17" t="str">
        <f>IFERROR(__xludf.DUMMYFUNCTION("""COMPUTED_VALUE"""),"")</f>
        <v/>
      </c>
      <c r="J2276" s="17" t="str">
        <f>IFERROR(__xludf.DUMMYFUNCTION("""COMPUTED_VALUE"""),"")</f>
        <v/>
      </c>
      <c r="K2276" s="17" t="str">
        <f>IFERROR(__xludf.DUMMYFUNCTION("""COMPUTED_VALUE"""),"")</f>
        <v/>
      </c>
      <c r="L2276" s="17" t="str">
        <f>IFERROR(__xludf.DUMMYFUNCTION("""COMPUTED_VALUE"""),"")</f>
        <v/>
      </c>
      <c r="M2276" s="17" t="str">
        <f>IFERROR(__xludf.DUMMYFUNCTION("""COMPUTED_VALUE"""),"")</f>
        <v/>
      </c>
      <c r="N2276" s="17" t="str">
        <f>IFERROR(__xludf.DUMMYFUNCTION("""COMPUTED_VALUE"""),"")</f>
        <v/>
      </c>
      <c r="O2276" s="17" t="str">
        <f>IFERROR(__xludf.DUMMYFUNCTION("""COMPUTED_VALUE"""),"")</f>
        <v/>
      </c>
      <c r="P2276" s="17" t="str">
        <f>IFERROR(__xludf.DUMMYFUNCTION("""COMPUTED_VALUE"""),"")</f>
        <v/>
      </c>
      <c r="Q2276" s="17" t="str">
        <f>IFERROR(__xludf.DUMMYFUNCTION("""COMPUTED_VALUE"""),"")</f>
        <v/>
      </c>
      <c r="R2276" s="17" t="str">
        <f>IFERROR(__xludf.DUMMYFUNCTION("""COMPUTED_VALUE"""),"")</f>
        <v/>
      </c>
    </row>
    <row r="2277">
      <c r="A2277" s="15">
        <f>IFERROR(__xludf.DUMMYFUNCTION("""COMPUTED_VALUE"""),45065.0)</f>
        <v>45065</v>
      </c>
      <c r="B2277" s="16" t="str">
        <f>IFERROR(__xludf.DUMMYFUNCTION("""COMPUTED_VALUE"""),"Oscar Augusto Meneses Osias")</f>
        <v>Oscar Augusto Meneses Osias</v>
      </c>
      <c r="C2277" s="15" t="str">
        <f>IFERROR(__xludf.DUMMYFUNCTION("""COMPUTED_VALUE"""),"MEDELLÍN")</f>
        <v>MEDELLÍN</v>
      </c>
      <c r="D2277" s="15" t="str">
        <f>IFERROR(__xludf.DUMMYFUNCTION("""COMPUTED_VALUE"""),"BOGOTÁ")</f>
        <v>BOGOTÁ</v>
      </c>
      <c r="E2277" s="15" t="str">
        <f>IFERROR(__xludf.DUMMYFUNCTION("""COMPUTED_VALUE"""),"Cerveceria Salaz")</f>
        <v>Cerveceria Salaz</v>
      </c>
      <c r="F2277" s="17" t="str">
        <f>IFERROR(__xludf.DUMMYFUNCTION("""COMPUTED_VALUE"""),"Carrera 73A # 97-24 / Casa, primer piso / Barrio Castilla")</f>
        <v>Carrera 73A # 97-24 / Casa, primer piso / Barrio Castilla</v>
      </c>
      <c r="G2277" s="15" t="str">
        <f>IFERROR(__xludf.DUMMYFUNCTION("""COMPUTED_VALUE"""),"Andrés Londoño")</f>
        <v>Andrés Londoño</v>
      </c>
      <c r="H2277" s="16">
        <f>IFERROR(__xludf.DUMMYFUNCTION("""COMPUTED_VALUE"""),10863.0)</f>
        <v>10863</v>
      </c>
      <c r="I2277" s="18">
        <f>IFERROR(__xludf.DUMMYFUNCTION("""COMPUTED_VALUE"""),13.0)</f>
        <v>13</v>
      </c>
      <c r="J2277" s="18">
        <f>IFERROR(__xludf.DUMMYFUNCTION("""COMPUTED_VALUE"""),45072.0)</f>
        <v>45072</v>
      </c>
      <c r="K2277" s="18">
        <f>IFERROR(__xludf.DUMMYFUNCTION("""COMPUTED_VALUE"""),40.0)</f>
        <v>40</v>
      </c>
      <c r="L2277" s="17">
        <f>IFERROR(__xludf.DUMMYFUNCTION("""COMPUTED_VALUE"""),3.116071384E9)</f>
        <v>3116071384</v>
      </c>
      <c r="M2277" s="17" t="str">
        <f>IFERROR(__xludf.DUMMYFUNCTION("""COMPUTED_VALUE"""),"#REF!")</f>
        <v>#REF!</v>
      </c>
      <c r="N2277" s="17"/>
      <c r="O2277" s="17"/>
      <c r="P2277" s="17" t="b">
        <f>IFERROR(__xludf.DUMMYFUNCTION("""COMPUTED_VALUE"""),FALSE)</f>
        <v>0</v>
      </c>
      <c r="Q2277" s="20" t="str">
        <f>IFERROR(__xludf.DUMMYFUNCTION("""COMPUTED_VALUE"""),"")</f>
        <v/>
      </c>
      <c r="R2277" s="22" t="str">
        <f>IFERROR(__xludf.DUMMYFUNCTION("""COMPUTED_VALUE"""),"")</f>
        <v/>
      </c>
    </row>
    <row r="2278">
      <c r="A2278" s="17" t="str">
        <f>IFERROR(__xludf.DUMMYFUNCTION("""COMPUTED_VALUE"""),"")</f>
        <v/>
      </c>
      <c r="B2278" s="17" t="str">
        <f>IFERROR(__xludf.DUMMYFUNCTION("""COMPUTED_VALUE"""),"")</f>
        <v/>
      </c>
      <c r="C2278" s="17" t="str">
        <f>IFERROR(__xludf.DUMMYFUNCTION("""COMPUTED_VALUE"""),"")</f>
        <v/>
      </c>
      <c r="D2278" s="17" t="str">
        <f>IFERROR(__xludf.DUMMYFUNCTION("""COMPUTED_VALUE"""),"")</f>
        <v/>
      </c>
      <c r="E2278" s="17" t="str">
        <f>IFERROR(__xludf.DUMMYFUNCTION("""COMPUTED_VALUE"""),"")</f>
        <v/>
      </c>
      <c r="F2278" s="17" t="str">
        <f>IFERROR(__xludf.DUMMYFUNCTION("""COMPUTED_VALUE"""),"")</f>
        <v/>
      </c>
      <c r="G2278" s="17" t="str">
        <f>IFERROR(__xludf.DUMMYFUNCTION("""COMPUTED_VALUE"""),"")</f>
        <v/>
      </c>
      <c r="H2278" s="17" t="str">
        <f>IFERROR(__xludf.DUMMYFUNCTION("""COMPUTED_VALUE"""),"")</f>
        <v/>
      </c>
      <c r="I2278" s="17" t="str">
        <f>IFERROR(__xludf.DUMMYFUNCTION("""COMPUTED_VALUE"""),"")</f>
        <v/>
      </c>
      <c r="J2278" s="17" t="str">
        <f>IFERROR(__xludf.DUMMYFUNCTION("""COMPUTED_VALUE"""),"")</f>
        <v/>
      </c>
      <c r="K2278" s="17" t="str">
        <f>IFERROR(__xludf.DUMMYFUNCTION("""COMPUTED_VALUE"""),"")</f>
        <v/>
      </c>
      <c r="L2278" s="17" t="str">
        <f>IFERROR(__xludf.DUMMYFUNCTION("""COMPUTED_VALUE"""),"")</f>
        <v/>
      </c>
      <c r="M2278" s="17" t="str">
        <f>IFERROR(__xludf.DUMMYFUNCTION("""COMPUTED_VALUE"""),"")</f>
        <v/>
      </c>
      <c r="N2278" s="17" t="str">
        <f>IFERROR(__xludf.DUMMYFUNCTION("""COMPUTED_VALUE"""),"")</f>
        <v/>
      </c>
      <c r="O2278" s="17" t="str">
        <f>IFERROR(__xludf.DUMMYFUNCTION("""COMPUTED_VALUE"""),"")</f>
        <v/>
      </c>
      <c r="P2278" s="17" t="str">
        <f>IFERROR(__xludf.DUMMYFUNCTION("""COMPUTED_VALUE"""),"")</f>
        <v/>
      </c>
      <c r="Q2278" s="17" t="str">
        <f>IFERROR(__xludf.DUMMYFUNCTION("""COMPUTED_VALUE"""),"")</f>
        <v/>
      </c>
      <c r="R2278" s="17" t="str">
        <f>IFERROR(__xludf.DUMMYFUNCTION("""COMPUTED_VALUE"""),"")</f>
        <v/>
      </c>
    </row>
    <row r="2279">
      <c r="A2279" s="15">
        <f>IFERROR(__xludf.DUMMYFUNCTION("""COMPUTED_VALUE"""),45066.0)</f>
        <v>45066</v>
      </c>
      <c r="B2279" s="16" t="str">
        <f>IFERROR(__xludf.DUMMYFUNCTION("""COMPUTED_VALUE"""),"Oscar Augusto Meneses Osias")</f>
        <v>Oscar Augusto Meneses Osias</v>
      </c>
      <c r="C2279" s="15" t="str">
        <f>IFERROR(__xludf.DUMMYFUNCTION("""COMPUTED_VALUE"""),"BOGOTÁ")</f>
        <v>BOGOTÁ</v>
      </c>
      <c r="D2279" s="15" t="str">
        <f>IFERROR(__xludf.DUMMYFUNCTION("""COMPUTED_VALUE"""),"BARRANQUILLA")</f>
        <v>BARRANQUILLA</v>
      </c>
      <c r="E2279" s="15" t="str">
        <f>IFERROR(__xludf.DUMMYFUNCTION("""COMPUTED_VALUE"""),"Mochi")</f>
        <v>Mochi</v>
      </c>
      <c r="F2279" s="17" t="str">
        <f>IFERROR(__xludf.DUMMYFUNCTION("""COMPUTED_VALUE"""),"Carrera 23 69 35 / 7 de agosto 7 / 7 de agosto")</f>
        <v>Carrera 23 69 35 / 7 de agosto 7 / 7 de agosto</v>
      </c>
      <c r="G2279" s="15" t="str">
        <f>IFERROR(__xludf.DUMMYFUNCTION("""COMPUTED_VALUE"""),"Mauricio Mora")</f>
        <v>Mauricio Mora</v>
      </c>
      <c r="H2279" s="16">
        <f>IFERROR(__xludf.DUMMYFUNCTION("""COMPUTED_VALUE"""),10883.0)</f>
        <v>10883</v>
      </c>
      <c r="I2279" s="18">
        <f>IFERROR(__xludf.DUMMYFUNCTION("""COMPUTED_VALUE"""),100.0)</f>
        <v>100</v>
      </c>
      <c r="J2279" s="18">
        <f>IFERROR(__xludf.DUMMYFUNCTION("""COMPUTED_VALUE"""),100.0)</f>
        <v>100</v>
      </c>
      <c r="K2279" s="18">
        <f>IFERROR(__xludf.DUMMYFUNCTION("""COMPUTED_VALUE"""),200.0)</f>
        <v>200</v>
      </c>
      <c r="L2279" s="17">
        <f>IFERROR(__xludf.DUMMYFUNCTION("""COMPUTED_VALUE"""),3.115177645E9)</f>
        <v>3115177645</v>
      </c>
      <c r="M2279" s="17" t="str">
        <f>IFERROR(__xludf.DUMMYFUNCTION("""COMPUTED_VALUE"""),"#REF!")</f>
        <v>#REF!</v>
      </c>
      <c r="N2279" s="17"/>
      <c r="O2279" s="17"/>
      <c r="P2279" s="17" t="b">
        <f>IFERROR(__xludf.DUMMYFUNCTION("""COMPUTED_VALUE"""),TRUE)</f>
        <v>1</v>
      </c>
      <c r="Q2279" s="20">
        <f>IFERROR(__xludf.DUMMYFUNCTION("""COMPUTED_VALUE"""),45070.62987725694)</f>
        <v>45070.62988</v>
      </c>
      <c r="R2279" s="22" t="str">
        <f>IFERROR(__xludf.DUMMYFUNCTION("""COMPUTED_VALUE"""),"")</f>
        <v/>
      </c>
    </row>
    <row r="2280">
      <c r="A2280" s="17" t="str">
        <f>IFERROR(__xludf.DUMMYFUNCTION("""COMPUTED_VALUE"""),"")</f>
        <v/>
      </c>
      <c r="B2280" s="17" t="str">
        <f>IFERROR(__xludf.DUMMYFUNCTION("""COMPUTED_VALUE"""),"")</f>
        <v/>
      </c>
      <c r="C2280" s="17" t="str">
        <f>IFERROR(__xludf.DUMMYFUNCTION("""COMPUTED_VALUE"""),"")</f>
        <v/>
      </c>
      <c r="D2280" s="17" t="str">
        <f>IFERROR(__xludf.DUMMYFUNCTION("""COMPUTED_VALUE"""),"")</f>
        <v/>
      </c>
      <c r="E2280" s="17" t="str">
        <f>IFERROR(__xludf.DUMMYFUNCTION("""COMPUTED_VALUE"""),"")</f>
        <v/>
      </c>
      <c r="F2280" s="17" t="str">
        <f>IFERROR(__xludf.DUMMYFUNCTION("""COMPUTED_VALUE"""),"")</f>
        <v/>
      </c>
      <c r="G2280" s="17" t="str">
        <f>IFERROR(__xludf.DUMMYFUNCTION("""COMPUTED_VALUE"""),"")</f>
        <v/>
      </c>
      <c r="H2280" s="17" t="str">
        <f>IFERROR(__xludf.DUMMYFUNCTION("""COMPUTED_VALUE"""),"")</f>
        <v/>
      </c>
      <c r="I2280" s="17" t="str">
        <f>IFERROR(__xludf.DUMMYFUNCTION("""COMPUTED_VALUE"""),"")</f>
        <v/>
      </c>
      <c r="J2280" s="17" t="str">
        <f>IFERROR(__xludf.DUMMYFUNCTION("""COMPUTED_VALUE"""),"")</f>
        <v/>
      </c>
      <c r="K2280" s="17" t="str">
        <f>IFERROR(__xludf.DUMMYFUNCTION("""COMPUTED_VALUE"""),"")</f>
        <v/>
      </c>
      <c r="L2280" s="17" t="str">
        <f>IFERROR(__xludf.DUMMYFUNCTION("""COMPUTED_VALUE"""),"")</f>
        <v/>
      </c>
      <c r="M2280" s="17" t="str">
        <f>IFERROR(__xludf.DUMMYFUNCTION("""COMPUTED_VALUE"""),"")</f>
        <v/>
      </c>
      <c r="N2280" s="17" t="str">
        <f>IFERROR(__xludf.DUMMYFUNCTION("""COMPUTED_VALUE"""),"")</f>
        <v/>
      </c>
      <c r="O2280" s="17" t="str">
        <f>IFERROR(__xludf.DUMMYFUNCTION("""COMPUTED_VALUE"""),"")</f>
        <v/>
      </c>
      <c r="P2280" s="17" t="str">
        <f>IFERROR(__xludf.DUMMYFUNCTION("""COMPUTED_VALUE"""),"")</f>
        <v/>
      </c>
      <c r="Q2280" s="17" t="str">
        <f>IFERROR(__xludf.DUMMYFUNCTION("""COMPUTED_VALUE"""),"")</f>
        <v/>
      </c>
      <c r="R2280" s="17" t="str">
        <f>IFERROR(__xludf.DUMMYFUNCTION("""COMPUTED_VALUE"""),"")</f>
        <v/>
      </c>
    </row>
    <row r="2281">
      <c r="A2281" s="15">
        <f>IFERROR(__xludf.DUMMYFUNCTION("""COMPUTED_VALUE"""),45070.0)</f>
        <v>45070</v>
      </c>
      <c r="B2281" s="16" t="str">
        <f>IFERROR(__xludf.DUMMYFUNCTION("""COMPUTED_VALUE"""),"Andres felipe maya bautista ")</f>
        <v>Andres felipe maya bautista </v>
      </c>
      <c r="C2281" s="15" t="str">
        <f>IFERROR(__xludf.DUMMYFUNCTION("""COMPUTED_VALUE"""),"MANIZALES")</f>
        <v>MANIZALES</v>
      </c>
      <c r="D2281" s="15" t="str">
        <f>IFERROR(__xludf.DUMMYFUNCTION("""COMPUTED_VALUE"""),"MEDELLÍN")</f>
        <v>MEDELLÍN</v>
      </c>
      <c r="E2281" s="15" t="str">
        <f>IFERROR(__xludf.DUMMYFUNCTION("""COMPUTED_VALUE"""),"AREPAS LA MARY")</f>
        <v>AREPAS LA MARY</v>
      </c>
      <c r="F2281" s="17" t="str">
        <f>IFERROR(__xludf.DUMMYFUNCTION("""COMPUTED_VALUE"""),"AV ALBERTO MENDOZA HOYOS N 86 - 03 / CASA 23")</f>
        <v>AV ALBERTO MENDOZA HOYOS N 86 - 03 / CASA 23</v>
      </c>
      <c r="G2281" s="15" t="str">
        <f>IFERROR(__xludf.DUMMYFUNCTION("""COMPUTED_VALUE"""),"ANA TORO")</f>
        <v>ANA TORO</v>
      </c>
      <c r="H2281" s="16">
        <f>IFERROR(__xludf.DUMMYFUNCTION("""COMPUTED_VALUE"""),10925.0)</f>
        <v>10925</v>
      </c>
      <c r="I2281" s="18">
        <f>IFERROR(__xludf.DUMMYFUNCTION("""COMPUTED_VALUE"""),89.0)</f>
        <v>89</v>
      </c>
      <c r="J2281" s="18">
        <f>IFERROR(__xludf.DUMMYFUNCTION("""COMPUTED_VALUE"""),1.0)</f>
        <v>1</v>
      </c>
      <c r="K2281" s="18">
        <f>IFERROR(__xludf.DUMMYFUNCTION("""COMPUTED_VALUE"""),10.0)</f>
        <v>10</v>
      </c>
      <c r="L2281" s="17">
        <f>IFERROR(__xludf.DUMMYFUNCTION("""COMPUTED_VALUE"""),3.148680722E9)</f>
        <v>3148680722</v>
      </c>
      <c r="M2281" s="17" t="str">
        <f>IFERROR(__xludf.DUMMYFUNCTION("""COMPUTED_VALUE"""),"#REF!")</f>
        <v>#REF!</v>
      </c>
      <c r="N2281" s="17"/>
      <c r="O2281" s="17"/>
      <c r="P2281" s="17" t="b">
        <f>IFERROR(__xludf.DUMMYFUNCTION("""COMPUTED_VALUE"""),TRUE)</f>
        <v>1</v>
      </c>
      <c r="Q2281" s="20">
        <f>IFERROR(__xludf.DUMMYFUNCTION("""COMPUTED_VALUE"""),45070.62987725694)</f>
        <v>45070.62988</v>
      </c>
      <c r="R2281" s="21" t="str">
        <f>IFERROR(__xludf.DUMMYFUNCTION("""COMPUTED_VALUE"""),"https://drive.google.com/file/d/1UTPtWLosvA9x8u8YE9mpO0PYkLINJ3IF/view?usp=drivesdk")</f>
        <v>https://drive.google.com/file/d/1UTPtWLosvA9x8u8YE9mpO0PYkLINJ3IF/view?usp=drivesdk</v>
      </c>
    </row>
    <row r="2282">
      <c r="A2282" s="15">
        <f>IFERROR(__xludf.DUMMYFUNCTION("""COMPUTED_VALUE"""),45070.0)</f>
        <v>45070</v>
      </c>
      <c r="B2282" s="16" t="str">
        <f>IFERROR(__xludf.DUMMYFUNCTION("""COMPUTED_VALUE"""),"Andres felipe maya bautista ")</f>
        <v>Andres felipe maya bautista </v>
      </c>
      <c r="C2282" s="15" t="str">
        <f>IFERROR(__xludf.DUMMYFUNCTION("""COMPUTED_VALUE"""),"POPAYAN")</f>
        <v>POPAYAN</v>
      </c>
      <c r="D2282" s="15" t="str">
        <f>IFERROR(__xludf.DUMMYFUNCTION("""COMPUTED_VALUE"""),"BOGOTÁ")</f>
        <v>BOGOTÁ</v>
      </c>
      <c r="E2282" s="15" t="str">
        <f>IFERROR(__xludf.DUMMYFUNCTION("""COMPUTED_VALUE"""),"Forever Dog")</f>
        <v>Forever Dog</v>
      </c>
      <c r="F2282" s="17" t="str">
        <f>IFERROR(__xludf.DUMMYFUNCTION("""COMPUTED_VALUE"""),"calle 27norte#7-06  / Casa / barrio Palace")</f>
        <v>calle 27norte#7-06  / Casa / barrio Palace</v>
      </c>
      <c r="G2282" s="15" t="str">
        <f>IFERROR(__xludf.DUMMYFUNCTION("""COMPUTED_VALUE"""),"Isabel Chavez")</f>
        <v>Isabel Chavez</v>
      </c>
      <c r="H2282" s="16">
        <f>IFERROR(__xludf.DUMMYFUNCTION("""COMPUTED_VALUE"""),10917.0)</f>
        <v>10917</v>
      </c>
      <c r="I2282" s="18">
        <f>IFERROR(__xludf.DUMMYFUNCTION("""COMPUTED_VALUE"""),21.0)</f>
        <v>21</v>
      </c>
      <c r="J2282" s="18">
        <f>IFERROR(__xludf.DUMMYFUNCTION("""COMPUTED_VALUE"""),50.0)</f>
        <v>50</v>
      </c>
      <c r="K2282" s="18">
        <f>IFERROR(__xludf.DUMMYFUNCTION("""COMPUTED_VALUE"""),30.0)</f>
        <v>30</v>
      </c>
      <c r="L2282" s="17">
        <f>IFERROR(__xludf.DUMMYFUNCTION("""COMPUTED_VALUE"""),3.014477761E9)</f>
        <v>3014477761</v>
      </c>
      <c r="M2282" s="17" t="str">
        <f>IFERROR(__xludf.DUMMYFUNCTION("""COMPUTED_VALUE"""),"#REF!")</f>
        <v>#REF!</v>
      </c>
      <c r="N2282" s="17"/>
      <c r="O2282" s="17"/>
      <c r="P2282" s="17" t="b">
        <f>IFERROR(__xludf.DUMMYFUNCTION("""COMPUTED_VALUE"""),FALSE)</f>
        <v>0</v>
      </c>
      <c r="Q2282" s="20" t="str">
        <f>IFERROR(__xludf.DUMMYFUNCTION("""COMPUTED_VALUE"""),"")</f>
        <v/>
      </c>
      <c r="R2282" s="21" t="str">
        <f>IFERROR(__xludf.DUMMYFUNCTION("""COMPUTED_VALUE"""),"https://drive.google.com/file/d/1_ADMMdvGFnqQraPoVlHwwZWLUWuQpnG9/view?usp=drivesdk")</f>
        <v>https://drive.google.com/file/d/1_ADMMdvGFnqQraPoVlHwwZWLUWuQpnG9/view?usp=drivesdk</v>
      </c>
    </row>
    <row r="2283">
      <c r="A2283" s="17" t="str">
        <f>IFERROR(__xludf.DUMMYFUNCTION("""COMPUTED_VALUE"""),"")</f>
        <v/>
      </c>
      <c r="B2283" s="17" t="str">
        <f>IFERROR(__xludf.DUMMYFUNCTION("""COMPUTED_VALUE"""),"")</f>
        <v/>
      </c>
      <c r="C2283" s="17" t="str">
        <f>IFERROR(__xludf.DUMMYFUNCTION("""COMPUTED_VALUE"""),"")</f>
        <v/>
      </c>
      <c r="D2283" s="17" t="str">
        <f>IFERROR(__xludf.DUMMYFUNCTION("""COMPUTED_VALUE"""),"")</f>
        <v/>
      </c>
      <c r="E2283" s="17" t="str">
        <f>IFERROR(__xludf.DUMMYFUNCTION("""COMPUTED_VALUE"""),"")</f>
        <v/>
      </c>
      <c r="F2283" s="17" t="str">
        <f>IFERROR(__xludf.DUMMYFUNCTION("""COMPUTED_VALUE"""),"")</f>
        <v/>
      </c>
      <c r="G2283" s="17" t="str">
        <f>IFERROR(__xludf.DUMMYFUNCTION("""COMPUTED_VALUE"""),"")</f>
        <v/>
      </c>
      <c r="H2283" s="17" t="str">
        <f>IFERROR(__xludf.DUMMYFUNCTION("""COMPUTED_VALUE"""),"")</f>
        <v/>
      </c>
      <c r="I2283" s="17" t="str">
        <f>IFERROR(__xludf.DUMMYFUNCTION("""COMPUTED_VALUE"""),"")</f>
        <v/>
      </c>
      <c r="J2283" s="17" t="str">
        <f>IFERROR(__xludf.DUMMYFUNCTION("""COMPUTED_VALUE"""),"")</f>
        <v/>
      </c>
      <c r="K2283" s="17" t="str">
        <f>IFERROR(__xludf.DUMMYFUNCTION("""COMPUTED_VALUE"""),"")</f>
        <v/>
      </c>
      <c r="L2283" s="17" t="str">
        <f>IFERROR(__xludf.DUMMYFUNCTION("""COMPUTED_VALUE"""),"")</f>
        <v/>
      </c>
      <c r="M2283" s="17" t="str">
        <f>IFERROR(__xludf.DUMMYFUNCTION("""COMPUTED_VALUE"""),"")</f>
        <v/>
      </c>
      <c r="N2283" s="17" t="str">
        <f>IFERROR(__xludf.DUMMYFUNCTION("""COMPUTED_VALUE"""),"")</f>
        <v/>
      </c>
      <c r="O2283" s="17" t="str">
        <f>IFERROR(__xludf.DUMMYFUNCTION("""COMPUTED_VALUE"""),"")</f>
        <v/>
      </c>
      <c r="P2283" s="17" t="str">
        <f>IFERROR(__xludf.DUMMYFUNCTION("""COMPUTED_VALUE"""),"")</f>
        <v/>
      </c>
      <c r="Q2283" s="17" t="str">
        <f>IFERROR(__xludf.DUMMYFUNCTION("""COMPUTED_VALUE"""),"")</f>
        <v/>
      </c>
      <c r="R2283" s="17" t="str">
        <f>IFERROR(__xludf.DUMMYFUNCTION("""COMPUTED_VALUE"""),"")</f>
        <v/>
      </c>
    </row>
    <row r="2284">
      <c r="A2284" s="15">
        <f>IFERROR(__xludf.DUMMYFUNCTION("""COMPUTED_VALUE"""),45070.0)</f>
        <v>45070</v>
      </c>
      <c r="B2284" s="16" t="str">
        <f>IFERROR(__xludf.DUMMYFUNCTION("""COMPUTED_VALUE"""),"Carlos Andres Pirachican Numpaque (Mayerli)")</f>
        <v>Carlos Andres Pirachican Numpaque (Mayerli)</v>
      </c>
      <c r="C2284" s="15" t="str">
        <f>IFERROR(__xludf.DUMMYFUNCTION("""COMPUTED_VALUE"""),"MEDELLÍN")</f>
        <v>MEDELLÍN</v>
      </c>
      <c r="D2284" s="15" t="str">
        <f>IFERROR(__xludf.DUMMYFUNCTION("""COMPUTED_VALUE"""),"BOGOTÁ")</f>
        <v>BOGOTÁ</v>
      </c>
      <c r="E2284" s="15" t="str">
        <f>IFERROR(__xludf.DUMMYFUNCTION("""COMPUTED_VALUE"""),"Viiva Fermentados")</f>
        <v>Viiva Fermentados</v>
      </c>
      <c r="F2284" s="17" t="str">
        <f>IFERROR(__xludf.DUMMYFUNCTION("""COMPUTED_VALUE"""),"Calle 98 #50b-19 (2 cajas) / primer piso / Aranjuez")</f>
        <v>Calle 98 #50b-19 (2 cajas) / primer piso / Aranjuez</v>
      </c>
      <c r="G2284" s="15" t="str">
        <f>IFERROR(__xludf.DUMMYFUNCTION("""COMPUTED_VALUE"""),"Bayron Rodriguez (preguntar por doña fabiola)")</f>
        <v>Bayron Rodriguez (preguntar por doña fabiola)</v>
      </c>
      <c r="H2284" s="16">
        <f>IFERROR(__xludf.DUMMYFUNCTION("""COMPUTED_VALUE"""),10838.0)</f>
        <v>10838</v>
      </c>
      <c r="I2284" s="18">
        <f>IFERROR(__xludf.DUMMYFUNCTION("""COMPUTED_VALUE"""),17.0)</f>
        <v>17</v>
      </c>
      <c r="J2284" s="18">
        <f>IFERROR(__xludf.DUMMYFUNCTION("""COMPUTED_VALUE"""),40.0)</f>
        <v>40</v>
      </c>
      <c r="K2284" s="18">
        <f>IFERROR(__xludf.DUMMYFUNCTION("""COMPUTED_VALUE"""),25.0)</f>
        <v>25</v>
      </c>
      <c r="L2284" s="17">
        <f>IFERROR(__xludf.DUMMYFUNCTION("""COMPUTED_VALUE"""),3.166261966E9)</f>
        <v>3166261966</v>
      </c>
      <c r="M2284" s="17" t="str">
        <f>IFERROR(__xludf.DUMMYFUNCTION("""COMPUTED_VALUE"""),"#REF!")</f>
        <v>#REF!</v>
      </c>
      <c r="N2284" s="17"/>
      <c r="O2284" s="17"/>
      <c r="P2284" s="17" t="b">
        <f>IFERROR(__xludf.DUMMYFUNCTION("""COMPUTED_VALUE"""),FALSE)</f>
        <v>0</v>
      </c>
      <c r="Q2284" s="20" t="str">
        <f>IFERROR(__xludf.DUMMYFUNCTION("""COMPUTED_VALUE"""),"")</f>
        <v/>
      </c>
      <c r="R2284" s="22" t="str">
        <f>IFERROR(__xludf.DUMMYFUNCTION("""COMPUTED_VALUE"""),"")</f>
        <v/>
      </c>
    </row>
    <row r="2285">
      <c r="A2285" s="15">
        <f>IFERROR(__xludf.DUMMYFUNCTION("""COMPUTED_VALUE"""),45070.0)</f>
        <v>45070</v>
      </c>
      <c r="B2285" s="16" t="str">
        <f>IFERROR(__xludf.DUMMYFUNCTION("""COMPUTED_VALUE"""),"Carlos Andres Pirachican Numpaque (Mayerli)")</f>
        <v>Carlos Andres Pirachican Numpaque (Mayerli)</v>
      </c>
      <c r="C2285" s="15" t="str">
        <f>IFERROR(__xludf.DUMMYFUNCTION("""COMPUTED_VALUE"""),"MEDELLÍN")</f>
        <v>MEDELLÍN</v>
      </c>
      <c r="D2285" s="15" t="str">
        <f>IFERROR(__xludf.DUMMYFUNCTION("""COMPUTED_VALUE"""),"BOGOTÁ")</f>
        <v>BOGOTÁ</v>
      </c>
      <c r="E2285" s="15" t="str">
        <f>IFERROR(__xludf.DUMMYFUNCTION("""COMPUTED_VALUE"""),"Viral Brands")</f>
        <v>Viral Brands</v>
      </c>
      <c r="F2285" s="17" t="str">
        <f>IFERROR(__xludf.DUMMYFUNCTION("""COMPUTED_VALUE"""),"calle 1 sur # 29-354 / loma de los parra, cocina de chuzales al lado de la bodega de rappi turbo- fachada amarilla / poblado")</f>
        <v>calle 1 sur # 29-354 / loma de los parra, cocina de chuzales al lado de la bodega de rappi turbo- fachada amarilla / poblado</v>
      </c>
      <c r="G2285" s="15" t="str">
        <f>IFERROR(__xludf.DUMMYFUNCTION("""COMPUTED_VALUE"""),"carlos olivero")</f>
        <v>carlos olivero</v>
      </c>
      <c r="H2285" s="16">
        <f>IFERROR(__xludf.DUMMYFUNCTION("""COMPUTED_VALUE"""),10926.0)</f>
        <v>10926</v>
      </c>
      <c r="I2285" s="18">
        <f>IFERROR(__xludf.DUMMYFUNCTION("""COMPUTED_VALUE"""),29.0)</f>
        <v>29</v>
      </c>
      <c r="J2285" s="18">
        <f>IFERROR(__xludf.DUMMYFUNCTION("""COMPUTED_VALUE"""),55.0)</f>
        <v>55</v>
      </c>
      <c r="K2285" s="18">
        <f>IFERROR(__xludf.DUMMYFUNCTION("""COMPUTED_VALUE"""),45.0)</f>
        <v>45</v>
      </c>
      <c r="L2285" s="17">
        <f>IFERROR(__xludf.DUMMYFUNCTION("""COMPUTED_VALUE"""),3.053460624E9)</f>
        <v>3053460624</v>
      </c>
      <c r="M2285" s="17" t="str">
        <f>IFERROR(__xludf.DUMMYFUNCTION("""COMPUTED_VALUE"""),"#REF!")</f>
        <v>#REF!</v>
      </c>
      <c r="N2285" s="17"/>
      <c r="O2285" s="17"/>
      <c r="P2285" s="17" t="b">
        <f>IFERROR(__xludf.DUMMYFUNCTION("""COMPUTED_VALUE"""),FALSE)</f>
        <v>0</v>
      </c>
      <c r="Q2285" s="20" t="str">
        <f>IFERROR(__xludf.DUMMYFUNCTION("""COMPUTED_VALUE"""),"")</f>
        <v/>
      </c>
      <c r="R2285" s="21" t="str">
        <f>IFERROR(__xludf.DUMMYFUNCTION("""COMPUTED_VALUE"""),"https://drive.google.com/file/d/1BYws5rZk2Sb0QPk4KAyH5p8OX1qukEUX/view?usp=drivesdk")</f>
        <v>https://drive.google.com/file/d/1BYws5rZk2Sb0QPk4KAyH5p8OX1qukEUX/view?usp=drivesdk</v>
      </c>
    </row>
    <row r="2286">
      <c r="A2286" s="15">
        <f>IFERROR(__xludf.DUMMYFUNCTION("""COMPUTED_VALUE"""),45070.0)</f>
        <v>45070</v>
      </c>
      <c r="B2286" s="16" t="str">
        <f>IFERROR(__xludf.DUMMYFUNCTION("""COMPUTED_VALUE"""),"Carlos Andres Pirachican Numpaque (Mayerli)")</f>
        <v>Carlos Andres Pirachican Numpaque (Mayerli)</v>
      </c>
      <c r="C2286" s="15" t="str">
        <f>IFERROR(__xludf.DUMMYFUNCTION("""COMPUTED_VALUE"""),"TUNJA")</f>
        <v>TUNJA</v>
      </c>
      <c r="D2286" s="15" t="str">
        <f>IFERROR(__xludf.DUMMYFUNCTION("""COMPUTED_VALUE"""),"BOGOTÁ")</f>
        <v>BOGOTÁ</v>
      </c>
      <c r="E2286" s="15" t="str">
        <f>IFERROR(__xludf.DUMMYFUNCTION("""COMPUTED_VALUE"""),"Eso es Queso")</f>
        <v>Eso es Queso</v>
      </c>
      <c r="F2286" s="17" t="str">
        <f>IFERROR(__xludf.DUMMYFUNCTION("""COMPUTED_VALUE"""),"Avenida Universitaria 58b-291  /  Torre 2 Apartamento 508,  / Ciudad Hayuelos")</f>
        <v>Avenida Universitaria 58b-291  /  Torre 2 Apartamento 508,  / Ciudad Hayuelos</v>
      </c>
      <c r="G2286" s="15" t="str">
        <f>IFERROR(__xludf.DUMMYFUNCTION("""COMPUTED_VALUE"""),"Jorge Castro")</f>
        <v>Jorge Castro</v>
      </c>
      <c r="H2286" s="16">
        <f>IFERROR(__xludf.DUMMYFUNCTION("""COMPUTED_VALUE"""),10907.0)</f>
        <v>10907</v>
      </c>
      <c r="I2286" s="18">
        <f>IFERROR(__xludf.DUMMYFUNCTION("""COMPUTED_VALUE"""),9.0)</f>
        <v>9</v>
      </c>
      <c r="J2286" s="18">
        <f>IFERROR(__xludf.DUMMYFUNCTION("""COMPUTED_VALUE"""),23.0)</f>
        <v>23</v>
      </c>
      <c r="K2286" s="18">
        <f>IFERROR(__xludf.DUMMYFUNCTION("""COMPUTED_VALUE"""),34.0)</f>
        <v>34</v>
      </c>
      <c r="L2286" s="17">
        <f>IFERROR(__xludf.DUMMYFUNCTION("""COMPUTED_VALUE"""),3.005271795E9)</f>
        <v>3005271795</v>
      </c>
      <c r="M2286" s="17" t="str">
        <f>IFERROR(__xludf.DUMMYFUNCTION("""COMPUTED_VALUE"""),"#REF!")</f>
        <v>#REF!</v>
      </c>
      <c r="N2286" s="17"/>
      <c r="O2286" s="17"/>
      <c r="P2286" s="17" t="b">
        <f>IFERROR(__xludf.DUMMYFUNCTION("""COMPUTED_VALUE"""),FALSE)</f>
        <v>0</v>
      </c>
      <c r="Q2286" s="20" t="str">
        <f>IFERROR(__xludf.DUMMYFUNCTION("""COMPUTED_VALUE"""),"")</f>
        <v/>
      </c>
      <c r="R2286" s="22" t="str">
        <f>IFERROR(__xludf.DUMMYFUNCTION("""COMPUTED_VALUE"""),"")</f>
        <v/>
      </c>
    </row>
    <row r="2287">
      <c r="A2287" s="17" t="str">
        <f>IFERROR(__xludf.DUMMYFUNCTION("""COMPUTED_VALUE"""),"")</f>
        <v/>
      </c>
      <c r="B2287" s="17" t="str">
        <f>IFERROR(__xludf.DUMMYFUNCTION("""COMPUTED_VALUE"""),"")</f>
        <v/>
      </c>
      <c r="C2287" s="17" t="str">
        <f>IFERROR(__xludf.DUMMYFUNCTION("""COMPUTED_VALUE"""),"")</f>
        <v/>
      </c>
      <c r="D2287" s="17" t="str">
        <f>IFERROR(__xludf.DUMMYFUNCTION("""COMPUTED_VALUE"""),"")</f>
        <v/>
      </c>
      <c r="E2287" s="17" t="str">
        <f>IFERROR(__xludf.DUMMYFUNCTION("""COMPUTED_VALUE"""),"")</f>
        <v/>
      </c>
      <c r="F2287" s="17" t="str">
        <f>IFERROR(__xludf.DUMMYFUNCTION("""COMPUTED_VALUE"""),"")</f>
        <v/>
      </c>
      <c r="G2287" s="17" t="str">
        <f>IFERROR(__xludf.DUMMYFUNCTION("""COMPUTED_VALUE"""),"")</f>
        <v/>
      </c>
      <c r="H2287" s="17" t="str">
        <f>IFERROR(__xludf.DUMMYFUNCTION("""COMPUTED_VALUE"""),"")</f>
        <v/>
      </c>
      <c r="I2287" s="17" t="str">
        <f>IFERROR(__xludf.DUMMYFUNCTION("""COMPUTED_VALUE"""),"")</f>
        <v/>
      </c>
      <c r="J2287" s="17" t="str">
        <f>IFERROR(__xludf.DUMMYFUNCTION("""COMPUTED_VALUE"""),"")</f>
        <v/>
      </c>
      <c r="K2287" s="17" t="str">
        <f>IFERROR(__xludf.DUMMYFUNCTION("""COMPUTED_VALUE"""),"")</f>
        <v/>
      </c>
      <c r="L2287" s="17" t="str">
        <f>IFERROR(__xludf.DUMMYFUNCTION("""COMPUTED_VALUE"""),"")</f>
        <v/>
      </c>
      <c r="M2287" s="17" t="str">
        <f>IFERROR(__xludf.DUMMYFUNCTION("""COMPUTED_VALUE"""),"")</f>
        <v/>
      </c>
      <c r="N2287" s="17" t="str">
        <f>IFERROR(__xludf.DUMMYFUNCTION("""COMPUTED_VALUE"""),"")</f>
        <v/>
      </c>
      <c r="O2287" s="17" t="str">
        <f>IFERROR(__xludf.DUMMYFUNCTION("""COMPUTED_VALUE"""),"")</f>
        <v/>
      </c>
      <c r="P2287" s="17" t="str">
        <f>IFERROR(__xludf.DUMMYFUNCTION("""COMPUTED_VALUE"""),"")</f>
        <v/>
      </c>
      <c r="Q2287" s="17" t="str">
        <f>IFERROR(__xludf.DUMMYFUNCTION("""COMPUTED_VALUE"""),"")</f>
        <v/>
      </c>
      <c r="R2287" s="17" t="str">
        <f>IFERROR(__xludf.DUMMYFUNCTION("""COMPUTED_VALUE"""),"")</f>
        <v/>
      </c>
    </row>
    <row r="2288">
      <c r="A2288" s="15">
        <f>IFERROR(__xludf.DUMMYFUNCTION("""COMPUTED_VALUE"""),45070.0)</f>
        <v>45070</v>
      </c>
      <c r="B2288" s="16" t="str">
        <f>IFERROR(__xludf.DUMMYFUNCTION("""COMPUTED_VALUE"""),"David Sanmartin Bello")</f>
        <v>David Sanmartin Bello</v>
      </c>
      <c r="C2288" s="15" t="str">
        <f>IFERROR(__xludf.DUMMYFUNCTION("""COMPUTED_VALUE"""),"CALI")</f>
        <v>CALI</v>
      </c>
      <c r="D2288" s="15" t="str">
        <f>IFERROR(__xludf.DUMMYFUNCTION("""COMPUTED_VALUE"""),"BOGOTÁ")</f>
        <v>BOGOTÁ</v>
      </c>
      <c r="E2288" s="15" t="str">
        <f>IFERROR(__xludf.DUMMYFUNCTION("""COMPUTED_VALUE"""),"Karem foods")</f>
        <v>Karem foods</v>
      </c>
      <c r="F2288" s="17" t="str">
        <f>IFERROR(__xludf.DUMMYFUNCTION("""COMPUTED_VALUE"""),"CLL 52 1N 97 / Oficina, entrega solo en horario laboral / -")</f>
        <v>CLL 52 1N 97 / Oficina, entrega solo en horario laboral / -</v>
      </c>
      <c r="G2288" s="15" t="str">
        <f>IFERROR(__xludf.DUMMYFUNCTION("""COMPUTED_VALUE"""),"Claudia Valencia Sepulveda")</f>
        <v>Claudia Valencia Sepulveda</v>
      </c>
      <c r="H2288" s="16">
        <f>IFERROR(__xludf.DUMMYFUNCTION("""COMPUTED_VALUE"""),10945.0)</f>
        <v>10945</v>
      </c>
      <c r="I2288" s="18">
        <f>IFERROR(__xludf.DUMMYFUNCTION("""COMPUTED_VALUE"""),7.0)</f>
        <v>7</v>
      </c>
      <c r="J2288" s="18">
        <f>IFERROR(__xludf.DUMMYFUNCTION("""COMPUTED_VALUE"""),20.0)</f>
        <v>20</v>
      </c>
      <c r="K2288" s="18">
        <f>IFERROR(__xludf.DUMMYFUNCTION("""COMPUTED_VALUE"""),20.0)</f>
        <v>20</v>
      </c>
      <c r="L2288" s="17">
        <f>IFERROR(__xludf.DUMMYFUNCTION("""COMPUTED_VALUE"""),3.164527635E9)</f>
        <v>3164527635</v>
      </c>
      <c r="M2288" s="17" t="str">
        <f>IFERROR(__xludf.DUMMYFUNCTION("""COMPUTED_VALUE"""),"#REF!")</f>
        <v>#REF!</v>
      </c>
      <c r="N2288" s="17"/>
      <c r="O2288" s="17"/>
      <c r="P2288" s="17" t="b">
        <f>IFERROR(__xludf.DUMMYFUNCTION("""COMPUTED_VALUE"""),FALSE)</f>
        <v>0</v>
      </c>
      <c r="Q2288" s="20" t="str">
        <f>IFERROR(__xludf.DUMMYFUNCTION("""COMPUTED_VALUE"""),"")</f>
        <v/>
      </c>
      <c r="R2288" s="21" t="str">
        <f>IFERROR(__xludf.DUMMYFUNCTION("""COMPUTED_VALUE"""),"https://drive.google.com/file/d/1pxBKi50OQhhUd3rcvYQA4W9LjdcRcBK2/view?usp=drivesdk")</f>
        <v>https://drive.google.com/file/d/1pxBKi50OQhhUd3rcvYQA4W9LjdcRcBK2/view?usp=drivesdk</v>
      </c>
    </row>
    <row r="2289">
      <c r="A2289" s="17" t="str">
        <f>IFERROR(__xludf.DUMMYFUNCTION("""COMPUTED_VALUE"""),"")</f>
        <v/>
      </c>
      <c r="B2289" s="17" t="str">
        <f>IFERROR(__xludf.DUMMYFUNCTION("""COMPUTED_VALUE"""),"")</f>
        <v/>
      </c>
      <c r="C2289" s="17" t="str">
        <f>IFERROR(__xludf.DUMMYFUNCTION("""COMPUTED_VALUE"""),"")</f>
        <v/>
      </c>
      <c r="D2289" s="17" t="str">
        <f>IFERROR(__xludf.DUMMYFUNCTION("""COMPUTED_VALUE"""),"")</f>
        <v/>
      </c>
      <c r="E2289" s="17" t="str">
        <f>IFERROR(__xludf.DUMMYFUNCTION("""COMPUTED_VALUE"""),"")</f>
        <v/>
      </c>
      <c r="F2289" s="17" t="str">
        <f>IFERROR(__xludf.DUMMYFUNCTION("""COMPUTED_VALUE"""),"")</f>
        <v/>
      </c>
      <c r="G2289" s="17" t="str">
        <f>IFERROR(__xludf.DUMMYFUNCTION("""COMPUTED_VALUE"""),"")</f>
        <v/>
      </c>
      <c r="H2289" s="17" t="str">
        <f>IFERROR(__xludf.DUMMYFUNCTION("""COMPUTED_VALUE"""),"")</f>
        <v/>
      </c>
      <c r="I2289" s="17" t="str">
        <f>IFERROR(__xludf.DUMMYFUNCTION("""COMPUTED_VALUE"""),"")</f>
        <v/>
      </c>
      <c r="J2289" s="17" t="str">
        <f>IFERROR(__xludf.DUMMYFUNCTION("""COMPUTED_VALUE"""),"")</f>
        <v/>
      </c>
      <c r="K2289" s="17" t="str">
        <f>IFERROR(__xludf.DUMMYFUNCTION("""COMPUTED_VALUE"""),"")</f>
        <v/>
      </c>
      <c r="L2289" s="17" t="str">
        <f>IFERROR(__xludf.DUMMYFUNCTION("""COMPUTED_VALUE"""),"")</f>
        <v/>
      </c>
      <c r="M2289" s="17" t="str">
        <f>IFERROR(__xludf.DUMMYFUNCTION("""COMPUTED_VALUE"""),"")</f>
        <v/>
      </c>
      <c r="N2289" s="17" t="str">
        <f>IFERROR(__xludf.DUMMYFUNCTION("""COMPUTED_VALUE"""),"")</f>
        <v/>
      </c>
      <c r="O2289" s="17" t="str">
        <f>IFERROR(__xludf.DUMMYFUNCTION("""COMPUTED_VALUE"""),"")</f>
        <v/>
      </c>
      <c r="P2289" s="17" t="str">
        <f>IFERROR(__xludf.DUMMYFUNCTION("""COMPUTED_VALUE"""),"")</f>
        <v/>
      </c>
      <c r="Q2289" s="17" t="str">
        <f>IFERROR(__xludf.DUMMYFUNCTION("""COMPUTED_VALUE"""),"")</f>
        <v/>
      </c>
      <c r="R2289" s="17" t="str">
        <f>IFERROR(__xludf.DUMMYFUNCTION("""COMPUTED_VALUE"""),"")</f>
        <v/>
      </c>
    </row>
    <row r="2290">
      <c r="A2290" s="15">
        <f>IFERROR(__xludf.DUMMYFUNCTION("""COMPUTED_VALUE"""),45070.0)</f>
        <v>45070</v>
      </c>
      <c r="B2290" s="16" t="str">
        <f>IFERROR(__xludf.DUMMYFUNCTION("""COMPUTED_VALUE"""),"Duvan Gabriel Alvarez Giron")</f>
        <v>Duvan Gabriel Alvarez Giron</v>
      </c>
      <c r="C2290" s="15" t="str">
        <f>IFERROR(__xludf.DUMMYFUNCTION("""COMPUTED_VALUE"""),"FLORIDABLANCA")</f>
        <v>FLORIDABLANCA</v>
      </c>
      <c r="D2290" s="15" t="str">
        <f>IFERROR(__xludf.DUMMYFUNCTION("""COMPUTED_VALUE"""),"BOGOTÁ")</f>
        <v>BOGOTÁ</v>
      </c>
      <c r="E2290" s="15" t="str">
        <f>IFERROR(__xludf.DUMMYFUNCTION("""COMPUTED_VALUE"""),"Asociacion Agropecuaria Juana Maria")</f>
        <v>Asociacion Agropecuaria Juana Maria</v>
      </c>
      <c r="F2290" s="17" t="str">
        <f>IFERROR(__xludf.DUMMYFUNCTION("""COMPUTED_VALUE"""),"Calle 19 #11-37 Guanatá FLORIDABLANCA")</f>
        <v>Calle 19 #11-37 Guanatá FLORIDABLANCA</v>
      </c>
      <c r="G2290" s="15" t="str">
        <f>IFERROR(__xludf.DUMMYFUNCTION("""COMPUTED_VALUE"""),"Claudia Gonzalez")</f>
        <v>Claudia Gonzalez</v>
      </c>
      <c r="H2290" s="16">
        <f>IFERROR(__xludf.DUMMYFUNCTION("""COMPUTED_VALUE"""),10903.0)</f>
        <v>10903</v>
      </c>
      <c r="I2290" s="18">
        <f>IFERROR(__xludf.DUMMYFUNCTION("""COMPUTED_VALUE"""),12.0)</f>
        <v>12</v>
      </c>
      <c r="J2290" s="18">
        <f>IFERROR(__xludf.DUMMYFUNCTION("""COMPUTED_VALUE"""),37.0)</f>
        <v>37</v>
      </c>
      <c r="K2290" s="18">
        <f>IFERROR(__xludf.DUMMYFUNCTION("""COMPUTED_VALUE"""),24.0)</f>
        <v>24</v>
      </c>
      <c r="L2290" s="17">
        <f>IFERROR(__xludf.DUMMYFUNCTION("""COMPUTED_VALUE"""),3.002802001E9)</f>
        <v>3002802001</v>
      </c>
      <c r="M2290" s="17" t="str">
        <f>IFERROR(__xludf.DUMMYFUNCTION("""COMPUTED_VALUE"""),"#REF!")</f>
        <v>#REF!</v>
      </c>
      <c r="N2290" s="17"/>
      <c r="O2290" s="17"/>
      <c r="P2290" s="17" t="b">
        <f>IFERROR(__xludf.DUMMYFUNCTION("""COMPUTED_VALUE"""),FALSE)</f>
        <v>0</v>
      </c>
      <c r="Q2290" s="20" t="str">
        <f>IFERROR(__xludf.DUMMYFUNCTION("""COMPUTED_VALUE"""),"")</f>
        <v/>
      </c>
      <c r="R2290" s="21" t="str">
        <f>IFERROR(__xludf.DUMMYFUNCTION("""COMPUTED_VALUE"""),"https://drive.google.com/file/d/1qqkI1--BGkBmZn1V3J0UvBWOFgdAjAYA/view?usp=drivesdk")</f>
        <v>https://drive.google.com/file/d/1qqkI1--BGkBmZn1V3J0UvBWOFgdAjAYA/view?usp=drivesdk</v>
      </c>
    </row>
    <row r="2291">
      <c r="A2291" s="15">
        <f>IFERROR(__xludf.DUMMYFUNCTION("""COMPUTED_VALUE"""),45070.0)</f>
        <v>45070</v>
      </c>
      <c r="B2291" s="16" t="str">
        <f>IFERROR(__xludf.DUMMYFUNCTION("""COMPUTED_VALUE"""),"Duvan Gabriel Alvarez Giron")</f>
        <v>Duvan Gabriel Alvarez Giron</v>
      </c>
      <c r="C2291" s="15" t="str">
        <f>IFERROR(__xludf.DUMMYFUNCTION("""COMPUTED_VALUE"""),"FLORIDABLANCA")</f>
        <v>FLORIDABLANCA</v>
      </c>
      <c r="D2291" s="15" t="str">
        <f>IFERROR(__xludf.DUMMYFUNCTION("""COMPUTED_VALUE"""),"BOGOTÁ")</f>
        <v>BOGOTÁ</v>
      </c>
      <c r="E2291" s="15" t="str">
        <f>IFERROR(__xludf.DUMMYFUNCTION("""COMPUTED_VALUE"""),"Ins. Alimento Vital")</f>
        <v>Ins. Alimento Vital</v>
      </c>
      <c r="F2291" s="17" t="str">
        <f>IFERROR(__xludf.DUMMYFUNCTION("""COMPUTED_VALUE"""),"CL 200 13 200 / TR 2 APTO 1504 / EDIFICIO PARK 200")</f>
        <v>CL 200 13 200 / TR 2 APTO 1504 / EDIFICIO PARK 200</v>
      </c>
      <c r="G2291" s="15" t="str">
        <f>IFERROR(__xludf.DUMMYFUNCTION("""COMPUTED_VALUE"""),"VIVIANA CECILIA GUZMAN")</f>
        <v>VIVIANA CECILIA GUZMAN</v>
      </c>
      <c r="H2291" s="16">
        <f>IFERROR(__xludf.DUMMYFUNCTION("""COMPUTED_VALUE"""),10914.0)</f>
        <v>10914</v>
      </c>
      <c r="I2291" s="18">
        <f>IFERROR(__xludf.DUMMYFUNCTION("""COMPUTED_VALUE"""),1.0)</f>
        <v>1</v>
      </c>
      <c r="J2291" s="18">
        <f>IFERROR(__xludf.DUMMYFUNCTION("""COMPUTED_VALUE"""),1.0)</f>
        <v>1</v>
      </c>
      <c r="K2291" s="18">
        <f>IFERROR(__xludf.DUMMYFUNCTION("""COMPUTED_VALUE"""),1.0)</f>
        <v>1</v>
      </c>
      <c r="L2291" s="17">
        <f>IFERROR(__xludf.DUMMYFUNCTION("""COMPUTED_VALUE"""),3.183879871E9)</f>
        <v>3183879871</v>
      </c>
      <c r="M2291" s="17" t="str">
        <f>IFERROR(__xludf.DUMMYFUNCTION("""COMPUTED_VALUE"""),"#REF!")</f>
        <v>#REF!</v>
      </c>
      <c r="N2291" s="17"/>
      <c r="O2291" s="17"/>
      <c r="P2291" s="17" t="b">
        <f>IFERROR(__xludf.DUMMYFUNCTION("""COMPUTED_VALUE"""),FALSE)</f>
        <v>0</v>
      </c>
      <c r="Q2291" s="20" t="str">
        <f>IFERROR(__xludf.DUMMYFUNCTION("""COMPUTED_VALUE"""),"")</f>
        <v/>
      </c>
      <c r="R2291" s="22" t="str">
        <f>IFERROR(__xludf.DUMMYFUNCTION("""COMPUTED_VALUE"""),"")</f>
        <v/>
      </c>
    </row>
    <row r="2292">
      <c r="A2292" s="15">
        <f>IFERROR(__xludf.DUMMYFUNCTION("""COMPUTED_VALUE"""),45070.0)</f>
        <v>45070</v>
      </c>
      <c r="B2292" s="16" t="str">
        <f>IFERROR(__xludf.DUMMYFUNCTION("""COMPUTED_VALUE"""),"Duvan Gabriel Alvarez Giron")</f>
        <v>Duvan Gabriel Alvarez Giron</v>
      </c>
      <c r="C2292" s="15" t="str">
        <f>IFERROR(__xludf.DUMMYFUNCTION("""COMPUTED_VALUE"""),"IBAGUÉ")</f>
        <v>IBAGUÉ</v>
      </c>
      <c r="D2292" s="15" t="str">
        <f>IFERROR(__xludf.DUMMYFUNCTION("""COMPUTED_VALUE"""),"BOGOTÁ")</f>
        <v>BOGOTÁ</v>
      </c>
      <c r="E2292" s="15" t="str">
        <f>IFERROR(__xludf.DUMMYFUNCTION("""COMPUTED_VALUE"""),"Asociacion Agropecuaria Juana Maria")</f>
        <v>Asociacion Agropecuaria Juana Maria</v>
      </c>
      <c r="F2292" s="17" t="str">
        <f>IFERROR(__xludf.DUMMYFUNCTION("""COMPUTED_VALUE"""),"Calle 93 # 7 Sur-90 torre 8 apto 102 Conjunto Residencial Altagracia")</f>
        <v>Calle 93 # 7 Sur-90 torre 8 apto 102 Conjunto Residencial Altagracia</v>
      </c>
      <c r="G2292" s="15" t="str">
        <f>IFERROR(__xludf.DUMMYFUNCTION("""COMPUTED_VALUE"""),"Mariam Yasmin Murillo Rubio")</f>
        <v>Mariam Yasmin Murillo Rubio</v>
      </c>
      <c r="H2292" s="16">
        <f>IFERROR(__xludf.DUMMYFUNCTION("""COMPUTED_VALUE"""),10901.0)</f>
        <v>10901</v>
      </c>
      <c r="I2292" s="18">
        <f>IFERROR(__xludf.DUMMYFUNCTION("""COMPUTED_VALUE"""),21.0)</f>
        <v>21</v>
      </c>
      <c r="J2292" s="18">
        <f>IFERROR(__xludf.DUMMYFUNCTION("""COMPUTED_VALUE"""),37.0)</f>
        <v>37</v>
      </c>
      <c r="K2292" s="18">
        <f>IFERROR(__xludf.DUMMYFUNCTION("""COMPUTED_VALUE"""),30.0)</f>
        <v>30</v>
      </c>
      <c r="L2292" s="17">
        <f>IFERROR(__xludf.DUMMYFUNCTION("""COMPUTED_VALUE"""),3.105789664E9)</f>
        <v>3105789664</v>
      </c>
      <c r="M2292" s="17" t="str">
        <f>IFERROR(__xludf.DUMMYFUNCTION("""COMPUTED_VALUE"""),"#REF!")</f>
        <v>#REF!</v>
      </c>
      <c r="N2292" s="17"/>
      <c r="O2292" s="17"/>
      <c r="P2292" s="17" t="b">
        <f>IFERROR(__xludf.DUMMYFUNCTION("""COMPUTED_VALUE"""),FALSE)</f>
        <v>0</v>
      </c>
      <c r="Q2292" s="20" t="str">
        <f>IFERROR(__xludf.DUMMYFUNCTION("""COMPUTED_VALUE"""),"")</f>
        <v/>
      </c>
      <c r="R2292" s="21" t="str">
        <f>IFERROR(__xludf.DUMMYFUNCTION("""COMPUTED_VALUE"""),"https://drive.google.com/file/d/1tkMffRUu63C-z1yTFrQ0sNqRQt_HmETk/view?usp=drivesdk")</f>
        <v>https://drive.google.com/file/d/1tkMffRUu63C-z1yTFrQ0sNqRQt_HmETk/view?usp=drivesdk</v>
      </c>
    </row>
    <row r="2293">
      <c r="A2293" s="15">
        <f>IFERROR(__xludf.DUMMYFUNCTION("""COMPUTED_VALUE"""),45070.0)</f>
        <v>45070</v>
      </c>
      <c r="B2293" s="16" t="str">
        <f>IFERROR(__xludf.DUMMYFUNCTION("""COMPUTED_VALUE"""),"Duvan Gabriel Alvarez Giron")</f>
        <v>Duvan Gabriel Alvarez Giron</v>
      </c>
      <c r="C2293" s="15" t="str">
        <f>IFERROR(__xludf.DUMMYFUNCTION("""COMPUTED_VALUE"""),"IBAGUÉ")</f>
        <v>IBAGUÉ</v>
      </c>
      <c r="D2293" s="15" t="str">
        <f>IFERROR(__xludf.DUMMYFUNCTION("""COMPUTED_VALUE"""),"BOGOTÁ")</f>
        <v>BOGOTÁ</v>
      </c>
      <c r="E2293" s="15" t="str">
        <f>IFERROR(__xludf.DUMMYFUNCTION("""COMPUTED_VALUE"""),"Evamazzita")</f>
        <v>Evamazzita</v>
      </c>
      <c r="F2293" s="17" t="str">
        <f>IFERROR(__xludf.DUMMYFUNCTION("""COMPUTED_VALUE"""),"CARRERA 11 A # 35 - 62 / N/A / BARRIO GAITÁN PARTE ALTA")</f>
        <v>CARRERA 11 A # 35 - 62 / N/A / BARRIO GAITÁN PARTE ALTA</v>
      </c>
      <c r="G2293" s="15" t="str">
        <f>IFERROR(__xludf.DUMMYFUNCTION("""COMPUTED_VALUE"""),"JORGE BERNARDO TORRES")</f>
        <v>JORGE BERNARDO TORRES</v>
      </c>
      <c r="H2293" s="16">
        <f>IFERROR(__xludf.DUMMYFUNCTION("""COMPUTED_VALUE"""),10923.0)</f>
        <v>10923</v>
      </c>
      <c r="I2293" s="18">
        <f>IFERROR(__xludf.DUMMYFUNCTION("""COMPUTED_VALUE"""),9.0)</f>
        <v>9</v>
      </c>
      <c r="J2293" s="18">
        <f>IFERROR(__xludf.DUMMYFUNCTION("""COMPUTED_VALUE"""),48.0)</f>
        <v>48</v>
      </c>
      <c r="K2293" s="18">
        <f>IFERROR(__xludf.DUMMYFUNCTION("""COMPUTED_VALUE"""),32.0)</f>
        <v>32</v>
      </c>
      <c r="L2293" s="17">
        <f>IFERROR(__xludf.DUMMYFUNCTION("""COMPUTED_VALUE"""),3.144530156E9)</f>
        <v>3144530156</v>
      </c>
      <c r="M2293" s="17" t="str">
        <f>IFERROR(__xludf.DUMMYFUNCTION("""COMPUTED_VALUE"""),"#REF!")</f>
        <v>#REF!</v>
      </c>
      <c r="N2293" s="17"/>
      <c r="O2293" s="17"/>
      <c r="P2293" s="17" t="b">
        <f>IFERROR(__xludf.DUMMYFUNCTION("""COMPUTED_VALUE"""),FALSE)</f>
        <v>0</v>
      </c>
      <c r="Q2293" s="20" t="str">
        <f>IFERROR(__xludf.DUMMYFUNCTION("""COMPUTED_VALUE"""),"")</f>
        <v/>
      </c>
      <c r="R2293" s="21" t="str">
        <f>IFERROR(__xludf.DUMMYFUNCTION("""COMPUTED_VALUE"""),"https://drive.google.com/file/d/1viWstBAVVRbV2QaANRpGbwo-SzL-aIRi/view?usp=drivesdk")</f>
        <v>https://drive.google.com/file/d/1viWstBAVVRbV2QaANRpGbwo-SzL-aIRi/view?usp=drivesdk</v>
      </c>
    </row>
    <row r="2294">
      <c r="A2294" s="17" t="str">
        <f>IFERROR(__xludf.DUMMYFUNCTION("""COMPUTED_VALUE"""),"")</f>
        <v/>
      </c>
      <c r="B2294" s="17" t="str">
        <f>IFERROR(__xludf.DUMMYFUNCTION("""COMPUTED_VALUE"""),"")</f>
        <v/>
      </c>
      <c r="C2294" s="17" t="str">
        <f>IFERROR(__xludf.DUMMYFUNCTION("""COMPUTED_VALUE"""),"")</f>
        <v/>
      </c>
      <c r="D2294" s="17" t="str">
        <f>IFERROR(__xludf.DUMMYFUNCTION("""COMPUTED_VALUE"""),"")</f>
        <v/>
      </c>
      <c r="E2294" s="17" t="str">
        <f>IFERROR(__xludf.DUMMYFUNCTION("""COMPUTED_VALUE"""),"")</f>
        <v/>
      </c>
      <c r="F2294" s="17" t="str">
        <f>IFERROR(__xludf.DUMMYFUNCTION("""COMPUTED_VALUE"""),"")</f>
        <v/>
      </c>
      <c r="G2294" s="17" t="str">
        <f>IFERROR(__xludf.DUMMYFUNCTION("""COMPUTED_VALUE"""),"")</f>
        <v/>
      </c>
      <c r="H2294" s="17" t="str">
        <f>IFERROR(__xludf.DUMMYFUNCTION("""COMPUTED_VALUE"""),"")</f>
        <v/>
      </c>
      <c r="I2294" s="17" t="str">
        <f>IFERROR(__xludf.DUMMYFUNCTION("""COMPUTED_VALUE"""),"")</f>
        <v/>
      </c>
      <c r="J2294" s="17" t="str">
        <f>IFERROR(__xludf.DUMMYFUNCTION("""COMPUTED_VALUE"""),"")</f>
        <v/>
      </c>
      <c r="K2294" s="17" t="str">
        <f>IFERROR(__xludf.DUMMYFUNCTION("""COMPUTED_VALUE"""),"")</f>
        <v/>
      </c>
      <c r="L2294" s="17" t="str">
        <f>IFERROR(__xludf.DUMMYFUNCTION("""COMPUTED_VALUE"""),"")</f>
        <v/>
      </c>
      <c r="M2294" s="17" t="str">
        <f>IFERROR(__xludf.DUMMYFUNCTION("""COMPUTED_VALUE"""),"")</f>
        <v/>
      </c>
      <c r="N2294" s="17" t="str">
        <f>IFERROR(__xludf.DUMMYFUNCTION("""COMPUTED_VALUE"""),"")</f>
        <v/>
      </c>
      <c r="O2294" s="17" t="str">
        <f>IFERROR(__xludf.DUMMYFUNCTION("""COMPUTED_VALUE"""),"")</f>
        <v/>
      </c>
      <c r="P2294" s="17" t="str">
        <f>IFERROR(__xludf.DUMMYFUNCTION("""COMPUTED_VALUE"""),"")</f>
        <v/>
      </c>
      <c r="Q2294" s="17" t="str">
        <f>IFERROR(__xludf.DUMMYFUNCTION("""COMPUTED_VALUE"""),"")</f>
        <v/>
      </c>
      <c r="R2294" s="17" t="str">
        <f>IFERROR(__xludf.DUMMYFUNCTION("""COMPUTED_VALUE"""),"")</f>
        <v/>
      </c>
    </row>
    <row r="2295">
      <c r="A2295" s="15">
        <f>IFERROR(__xludf.DUMMYFUNCTION("""COMPUTED_VALUE"""),45070.0)</f>
        <v>45070</v>
      </c>
      <c r="B2295" s="16" t="str">
        <f>IFERROR(__xludf.DUMMYFUNCTION("""COMPUTED_VALUE"""),"Envia")</f>
        <v>Envia</v>
      </c>
      <c r="C2295" s="15" t="str">
        <f>IFERROR(__xludf.DUMMYFUNCTION("""COMPUTED_VALUE"""),"ARMENIA")</f>
        <v>ARMENIA</v>
      </c>
      <c r="D2295" s="15" t="str">
        <f>IFERROR(__xludf.DUMMYFUNCTION("""COMPUTED_VALUE"""),"MEDELLÍN")</f>
        <v>MEDELLÍN</v>
      </c>
      <c r="E2295" s="15" t="str">
        <f>IFERROR(__xludf.DUMMYFUNCTION("""COMPUTED_VALUE"""),"Baby Chef")</f>
        <v>Baby Chef</v>
      </c>
      <c r="F2295" s="17" t="str">
        <f>IFERROR(__xludf.DUMMYFUNCTION("""COMPUTED_VALUE"""),"Calle 6 Norte # 16 A 44 Edificio Valparaiso Apto 1102 Barrio Los profesionales / Calle 6 Norte # 16 A 44 Edificio Valparaiso Apto 1102 Barrio Los profesionales / Calle 6 Norte # 16 A 44 Edificio Valparaiso Apto 1102 Barrio Los profesionales")</f>
        <v>Calle 6 Norte # 16 A 44 Edificio Valparaiso Apto 1102 Barrio Los profesionales / Calle 6 Norte # 16 A 44 Edificio Valparaiso Apto 1102 Barrio Los profesionales / Calle 6 Norte # 16 A 44 Edificio Valparaiso Apto 1102 Barrio Los profesionales</v>
      </c>
      <c r="G2295" s="15" t="str">
        <f>IFERROR(__xludf.DUMMYFUNCTION("""COMPUTED_VALUE"""),"Leidy Echeverry")</f>
        <v>Leidy Echeverry</v>
      </c>
      <c r="H2295" s="16">
        <f>IFERROR(__xludf.DUMMYFUNCTION("""COMPUTED_VALUE"""),10954.0)</f>
        <v>10954</v>
      </c>
      <c r="I2295" s="18">
        <f>IFERROR(__xludf.DUMMYFUNCTION("""COMPUTED_VALUE"""),8.0)</f>
        <v>8</v>
      </c>
      <c r="J2295" s="18">
        <f>IFERROR(__xludf.DUMMYFUNCTION("""COMPUTED_VALUE"""),16.0)</f>
        <v>16</v>
      </c>
      <c r="K2295" s="18">
        <f>IFERROR(__xludf.DUMMYFUNCTION("""COMPUTED_VALUE"""),20.0)</f>
        <v>20</v>
      </c>
      <c r="L2295" s="17">
        <f>IFERROR(__xludf.DUMMYFUNCTION("""COMPUTED_VALUE"""),3.16575559E9)</f>
        <v>3165755590</v>
      </c>
      <c r="M2295" s="17" t="str">
        <f>IFERROR(__xludf.DUMMYFUNCTION("""COMPUTED_VALUE"""),"#REF!")</f>
        <v>#REF!</v>
      </c>
      <c r="N2295" s="17"/>
      <c r="O2295" s="17"/>
      <c r="P2295" s="17" t="b">
        <f>IFERROR(__xludf.DUMMYFUNCTION("""COMPUTED_VALUE"""),FALSE)</f>
        <v>0</v>
      </c>
      <c r="Q2295" s="20" t="str">
        <f>IFERROR(__xludf.DUMMYFUNCTION("""COMPUTED_VALUE"""),"")</f>
        <v/>
      </c>
      <c r="R2295" s="21" t="str">
        <f>IFERROR(__xludf.DUMMYFUNCTION("""COMPUTED_VALUE"""),"https://drive.google.com/file/d/1ut1mYfcWO4SoiJ38Wi39RTm20PVVEAXM/view?usp=drivesdk")</f>
        <v>https://drive.google.com/file/d/1ut1mYfcWO4SoiJ38Wi39RTm20PVVEAXM/view?usp=drivesdk</v>
      </c>
    </row>
    <row r="2296">
      <c r="A2296" s="15">
        <f>IFERROR(__xludf.DUMMYFUNCTION("""COMPUTED_VALUE"""),45070.0)</f>
        <v>45070</v>
      </c>
      <c r="B2296" s="16" t="str">
        <f>IFERROR(__xludf.DUMMYFUNCTION("""COMPUTED_VALUE"""),"Envia")</f>
        <v>Envia</v>
      </c>
      <c r="C2296" s="15" t="str">
        <f>IFERROR(__xludf.DUMMYFUNCTION("""COMPUTED_VALUE"""),"ARMENIA")</f>
        <v>ARMENIA</v>
      </c>
      <c r="D2296" s="15" t="str">
        <f>IFERROR(__xludf.DUMMYFUNCTION("""COMPUTED_VALUE"""),"MEDELLÍN")</f>
        <v>MEDELLÍN</v>
      </c>
      <c r="E2296" s="15" t="str">
        <f>IFERROR(__xludf.DUMMYFUNCTION("""COMPUTED_VALUE"""),"TOLEDALES S.A.S")</f>
        <v>TOLEDALES S.A.S</v>
      </c>
      <c r="F2296" s="17" t="str">
        <f>IFERROR(__xludf.DUMMYFUNCTION("""COMPUTED_VALUE"""),"Cra 14 # 46 norte -41 mall zona de oro")</f>
        <v>Cra 14 # 46 norte -41 mall zona de oro</v>
      </c>
      <c r="G2296" s="15" t="str">
        <f>IFERROR(__xludf.DUMMYFUNCTION("""COMPUTED_VALUE"""),"paola andrea gomez")</f>
        <v>paola andrea gomez</v>
      </c>
      <c r="H2296" s="16">
        <f>IFERROR(__xludf.DUMMYFUNCTION("""COMPUTED_VALUE"""),10908.0)</f>
        <v>10908</v>
      </c>
      <c r="I2296" s="18">
        <f>IFERROR(__xludf.DUMMYFUNCTION("""COMPUTED_VALUE"""),8.0)</f>
        <v>8</v>
      </c>
      <c r="J2296" s="18">
        <f>IFERROR(__xludf.DUMMYFUNCTION("""COMPUTED_VALUE"""),30.0)</f>
        <v>30</v>
      </c>
      <c r="K2296" s="18">
        <f>IFERROR(__xludf.DUMMYFUNCTION("""COMPUTED_VALUE"""),30.0)</f>
        <v>30</v>
      </c>
      <c r="L2296" s="17">
        <f>IFERROR(__xludf.DUMMYFUNCTION("""COMPUTED_VALUE"""),3.003222972E9)</f>
        <v>3003222972</v>
      </c>
      <c r="M2296" s="17" t="str">
        <f>IFERROR(__xludf.DUMMYFUNCTION("""COMPUTED_VALUE"""),"#REF!")</f>
        <v>#REF!</v>
      </c>
      <c r="N2296" s="17"/>
      <c r="O2296" s="17"/>
      <c r="P2296" s="17" t="b">
        <f>IFERROR(__xludf.DUMMYFUNCTION("""COMPUTED_VALUE"""),FALSE)</f>
        <v>0</v>
      </c>
      <c r="Q2296" s="20" t="str">
        <f>IFERROR(__xludf.DUMMYFUNCTION("""COMPUTED_VALUE"""),"")</f>
        <v/>
      </c>
      <c r="R2296" s="21" t="str">
        <f>IFERROR(__xludf.DUMMYFUNCTION("""COMPUTED_VALUE"""),"https://drive.google.com/file/d/1Gn0cmEMfjgBOl1VSSR7KI8iXrIW2N6hs/view?usp=drivesdk")</f>
        <v>https://drive.google.com/file/d/1Gn0cmEMfjgBOl1VSSR7KI8iXrIW2N6hs/view?usp=drivesdk</v>
      </c>
    </row>
    <row r="2297">
      <c r="A2297" s="15">
        <f>IFERROR(__xludf.DUMMYFUNCTION("""COMPUTED_VALUE"""),45070.0)</f>
        <v>45070</v>
      </c>
      <c r="B2297" s="16" t="str">
        <f>IFERROR(__xludf.DUMMYFUNCTION("""COMPUTED_VALUE"""),"Envia")</f>
        <v>Envia</v>
      </c>
      <c r="C2297" s="15" t="str">
        <f>IFERROR(__xludf.DUMMYFUNCTION("""COMPUTED_VALUE"""),"BUCARAMANGA")</f>
        <v>BUCARAMANGA</v>
      </c>
      <c r="D2297" s="15" t="str">
        <f>IFERROR(__xludf.DUMMYFUNCTION("""COMPUTED_VALUE"""),"MEDELLÍN")</f>
        <v>MEDELLÍN</v>
      </c>
      <c r="E2297" s="15" t="str">
        <f>IFERROR(__xludf.DUMMYFUNCTION("""COMPUTED_VALUE"""),"Baby Chef")</f>
        <v>Baby Chef</v>
      </c>
      <c r="F2297" s="17" t="str">
        <f>IFERROR(__xludf.DUMMYFUNCTION("""COMPUTED_VALUE"""),"Cra 54 # 73 - 64 Lagos del Cacique Casa  / Cra 54 # 73 - 64 Lagos del Cacique Casa  / Cra 54 # 73 - 64 Lagos del Cacique Casa")</f>
        <v>Cra 54 # 73 - 64 Lagos del Cacique Casa  / Cra 54 # 73 - 64 Lagos del Cacique Casa  / Cra 54 # 73 - 64 Lagos del Cacique Casa</v>
      </c>
      <c r="G2297" s="15" t="str">
        <f>IFERROR(__xludf.DUMMYFUNCTION("""COMPUTED_VALUE"""),"Leonardo Alberto Gonzalez Sua")</f>
        <v>Leonardo Alberto Gonzalez Sua</v>
      </c>
      <c r="H2297" s="16">
        <f>IFERROR(__xludf.DUMMYFUNCTION("""COMPUTED_VALUE"""),10955.0)</f>
        <v>10955</v>
      </c>
      <c r="I2297" s="18">
        <f>IFERROR(__xludf.DUMMYFUNCTION("""COMPUTED_VALUE"""),8.0)</f>
        <v>8</v>
      </c>
      <c r="J2297" s="18">
        <f>IFERROR(__xludf.DUMMYFUNCTION("""COMPUTED_VALUE"""),16.0)</f>
        <v>16</v>
      </c>
      <c r="K2297" s="18">
        <f>IFERROR(__xludf.DUMMYFUNCTION("""COMPUTED_VALUE"""),20.0)</f>
        <v>20</v>
      </c>
      <c r="L2297" s="17">
        <f>IFERROR(__xludf.DUMMYFUNCTION("""COMPUTED_VALUE"""),3.00565753E9)</f>
        <v>3005657530</v>
      </c>
      <c r="M2297" s="17" t="str">
        <f>IFERROR(__xludf.DUMMYFUNCTION("""COMPUTED_VALUE"""),"#REF!")</f>
        <v>#REF!</v>
      </c>
      <c r="N2297" s="17"/>
      <c r="O2297" s="17"/>
      <c r="P2297" s="17" t="b">
        <f>IFERROR(__xludf.DUMMYFUNCTION("""COMPUTED_VALUE"""),FALSE)</f>
        <v>0</v>
      </c>
      <c r="Q2297" s="20" t="str">
        <f>IFERROR(__xludf.DUMMYFUNCTION("""COMPUTED_VALUE"""),"")</f>
        <v/>
      </c>
      <c r="R2297" s="22" t="str">
        <f>IFERROR(__xludf.DUMMYFUNCTION("""COMPUTED_VALUE"""),"")</f>
        <v/>
      </c>
    </row>
    <row r="2298">
      <c r="A2298" s="15">
        <f>IFERROR(__xludf.DUMMYFUNCTION("""COMPUTED_VALUE"""),45070.0)</f>
        <v>45070</v>
      </c>
      <c r="B2298" s="16" t="str">
        <f>IFERROR(__xludf.DUMMYFUNCTION("""COMPUTED_VALUE"""),"Envia")</f>
        <v>Envia</v>
      </c>
      <c r="C2298" s="15" t="str">
        <f>IFERROR(__xludf.DUMMYFUNCTION("""COMPUTED_VALUE"""),"BUCARAMANGA")</f>
        <v>BUCARAMANGA</v>
      </c>
      <c r="D2298" s="15" t="str">
        <f>IFERROR(__xludf.DUMMYFUNCTION("""COMPUTED_VALUE"""),"MEDELLÍN")</f>
        <v>MEDELLÍN</v>
      </c>
      <c r="E2298" s="15" t="str">
        <f>IFERROR(__xludf.DUMMYFUNCTION("""COMPUTED_VALUE"""),"Rambla")</f>
        <v>Rambla</v>
      </c>
      <c r="F2298" s="17" t="str">
        <f>IFERROR(__xludf.DUMMYFUNCTION("""COMPUTED_VALUE"""),"Cra 38 # 46 33 local 1 cabecera del llano Bucaramanga Santander  / NA / NA")</f>
        <v>Cra 38 # 46 33 local 1 cabecera del llano Bucaramanga Santander  / NA / NA</v>
      </c>
      <c r="G2298" s="15" t="str">
        <f>IFERROR(__xludf.DUMMYFUNCTION("""COMPUTED_VALUE"""),"MÁS QUE SANO")</f>
        <v>MÁS QUE SANO</v>
      </c>
      <c r="H2298" s="16">
        <f>IFERROR(__xludf.DUMMYFUNCTION("""COMPUTED_VALUE"""),10942.0)</f>
        <v>10942</v>
      </c>
      <c r="I2298" s="18">
        <f>IFERROR(__xludf.DUMMYFUNCTION("""COMPUTED_VALUE"""),22.0)</f>
        <v>22</v>
      </c>
      <c r="J2298" s="18">
        <f>IFERROR(__xludf.DUMMYFUNCTION("""COMPUTED_VALUE"""),25.0)</f>
        <v>25</v>
      </c>
      <c r="K2298" s="18">
        <f>IFERROR(__xludf.DUMMYFUNCTION("""COMPUTED_VALUE"""),28.0)</f>
        <v>28</v>
      </c>
      <c r="L2298" s="17">
        <f>IFERROR(__xludf.DUMMYFUNCTION("""COMPUTED_VALUE"""),3.054695903E9)</f>
        <v>3054695903</v>
      </c>
      <c r="M2298" s="17" t="str">
        <f>IFERROR(__xludf.DUMMYFUNCTION("""COMPUTED_VALUE"""),"#REF!")</f>
        <v>#REF!</v>
      </c>
      <c r="N2298" s="17"/>
      <c r="O2298" s="17"/>
      <c r="P2298" s="17" t="b">
        <f>IFERROR(__xludf.DUMMYFUNCTION("""COMPUTED_VALUE"""),FALSE)</f>
        <v>0</v>
      </c>
      <c r="Q2298" s="20" t="str">
        <f>IFERROR(__xludf.DUMMYFUNCTION("""COMPUTED_VALUE"""),"")</f>
        <v/>
      </c>
      <c r="R2298" s="22" t="str">
        <f>IFERROR(__xludf.DUMMYFUNCTION("""COMPUTED_VALUE"""),"")</f>
        <v/>
      </c>
    </row>
    <row r="2299">
      <c r="A2299" s="15">
        <f>IFERROR(__xludf.DUMMYFUNCTION("""COMPUTED_VALUE"""),45070.0)</f>
        <v>45070</v>
      </c>
      <c r="B2299" s="16" t="str">
        <f>IFERROR(__xludf.DUMMYFUNCTION("""COMPUTED_VALUE"""),"Envia")</f>
        <v>Envia</v>
      </c>
      <c r="C2299" s="15" t="str">
        <f>IFERROR(__xludf.DUMMYFUNCTION("""COMPUTED_VALUE"""),"CALI")</f>
        <v>CALI</v>
      </c>
      <c r="D2299" s="15" t="str">
        <f>IFERROR(__xludf.DUMMYFUNCTION("""COMPUTED_VALUE"""),"BOGOTÁ")</f>
        <v>BOGOTÁ</v>
      </c>
      <c r="E2299" s="15" t="str">
        <f>IFERROR(__xludf.DUMMYFUNCTION("""COMPUTED_VALUE"""),"Evamazzita")</f>
        <v>Evamazzita</v>
      </c>
      <c r="F2299" s="17" t="str">
        <f>IFERROR(__xludf.DUMMYFUNCTION("""COMPUTED_VALUE"""),"CALLE 73 1 J 49 / N/A / N/A")</f>
        <v>CALLE 73 1 J 49 / N/A / N/A</v>
      </c>
      <c r="G2299" s="15" t="str">
        <f>IFERROR(__xludf.DUMMYFUNCTION("""COMPUTED_VALUE"""),"LINA OTALVARO")</f>
        <v>LINA OTALVARO</v>
      </c>
      <c r="H2299" s="16">
        <f>IFERROR(__xludf.DUMMYFUNCTION("""COMPUTED_VALUE"""),10930.0)</f>
        <v>10930</v>
      </c>
      <c r="I2299" s="18">
        <f>IFERROR(__xludf.DUMMYFUNCTION("""COMPUTED_VALUE"""),3.0)</f>
        <v>3</v>
      </c>
      <c r="J2299" s="18">
        <f>IFERROR(__xludf.DUMMYFUNCTION("""COMPUTED_VALUE"""),20.0)</f>
        <v>20</v>
      </c>
      <c r="K2299" s="18">
        <f>IFERROR(__xludf.DUMMYFUNCTION("""COMPUTED_VALUE"""),15.0)</f>
        <v>15</v>
      </c>
      <c r="L2299" s="17">
        <f>IFERROR(__xludf.DUMMYFUNCTION("""COMPUTED_VALUE"""),3.148781509E9)</f>
        <v>3148781509</v>
      </c>
      <c r="M2299" s="17" t="str">
        <f>IFERROR(__xludf.DUMMYFUNCTION("""COMPUTED_VALUE"""),"#REF!")</f>
        <v>#REF!</v>
      </c>
      <c r="N2299" s="17"/>
      <c r="O2299" s="17"/>
      <c r="P2299" s="17" t="b">
        <f>IFERROR(__xludf.DUMMYFUNCTION("""COMPUTED_VALUE"""),FALSE)</f>
        <v>0</v>
      </c>
      <c r="Q2299" s="20" t="str">
        <f>IFERROR(__xludf.DUMMYFUNCTION("""COMPUTED_VALUE"""),"")</f>
        <v/>
      </c>
      <c r="R2299" s="21" t="str">
        <f>IFERROR(__xludf.DUMMYFUNCTION("""COMPUTED_VALUE"""),"https://drive.google.com/file/d/1UZ29LzUL0QaYiVbnRtBgSq2Df56na78p/view?usp=drivesdk")</f>
        <v>https://drive.google.com/file/d/1UZ29LzUL0QaYiVbnRtBgSq2Df56na78p/view?usp=drivesdk</v>
      </c>
    </row>
    <row r="2300">
      <c r="A2300" s="15">
        <f>IFERROR(__xludf.DUMMYFUNCTION("""COMPUTED_VALUE"""),45070.0)</f>
        <v>45070</v>
      </c>
      <c r="B2300" s="16" t="str">
        <f>IFERROR(__xludf.DUMMYFUNCTION("""COMPUTED_VALUE"""),"Envia")</f>
        <v>Envia</v>
      </c>
      <c r="C2300" s="15" t="str">
        <f>IFERROR(__xludf.DUMMYFUNCTION("""COMPUTED_VALUE"""),"CALI")</f>
        <v>CALI</v>
      </c>
      <c r="D2300" s="15" t="str">
        <f>IFERROR(__xludf.DUMMYFUNCTION("""COMPUTED_VALUE"""),"BOGOTÁ")</f>
        <v>BOGOTÁ</v>
      </c>
      <c r="E2300" s="15" t="str">
        <f>IFERROR(__xludf.DUMMYFUNCTION("""COMPUTED_VALUE"""),"Evamazzita")</f>
        <v>Evamazzita</v>
      </c>
      <c r="F2300" s="17" t="str">
        <f>IFERROR(__xludf.DUMMYFUNCTION("""COMPUTED_VALUE"""),"carrera 1D # 61a-46  / N/A / BARRIO LOS ALMENDROS")</f>
        <v>carrera 1D # 61a-46  / N/A / BARRIO LOS ALMENDROS</v>
      </c>
      <c r="G2300" s="15" t="str">
        <f>IFERROR(__xludf.DUMMYFUNCTION("""COMPUTED_VALUE"""),"LORENA ORTEGA")</f>
        <v>LORENA ORTEGA</v>
      </c>
      <c r="H2300" s="16">
        <f>IFERROR(__xludf.DUMMYFUNCTION("""COMPUTED_VALUE"""),10929.0)</f>
        <v>10929</v>
      </c>
      <c r="I2300" s="18">
        <f>IFERROR(__xludf.DUMMYFUNCTION("""COMPUTED_VALUE"""),3.0)</f>
        <v>3</v>
      </c>
      <c r="J2300" s="18">
        <f>IFERROR(__xludf.DUMMYFUNCTION("""COMPUTED_VALUE"""),15.0)</f>
        <v>15</v>
      </c>
      <c r="K2300" s="18">
        <f>IFERROR(__xludf.DUMMYFUNCTION("""COMPUTED_VALUE"""),20.0)</f>
        <v>20</v>
      </c>
      <c r="L2300" s="17">
        <f>IFERROR(__xludf.DUMMYFUNCTION("""COMPUTED_VALUE"""),3.20475686E9)</f>
        <v>3204756860</v>
      </c>
      <c r="M2300" s="17" t="str">
        <f>IFERROR(__xludf.DUMMYFUNCTION("""COMPUTED_VALUE"""),"#REF!")</f>
        <v>#REF!</v>
      </c>
      <c r="N2300" s="17"/>
      <c r="O2300" s="17"/>
      <c r="P2300" s="17" t="b">
        <f>IFERROR(__xludf.DUMMYFUNCTION("""COMPUTED_VALUE"""),FALSE)</f>
        <v>0</v>
      </c>
      <c r="Q2300" s="20" t="str">
        <f>IFERROR(__xludf.DUMMYFUNCTION("""COMPUTED_VALUE"""),"")</f>
        <v/>
      </c>
      <c r="R2300" s="21" t="str">
        <f>IFERROR(__xludf.DUMMYFUNCTION("""COMPUTED_VALUE"""),"https://drive.google.com/file/d/1u4Q0HBw8WvDhJKdqBTJB_VlyP7H8zq95/view?usp=drivesdk")</f>
        <v>https://drive.google.com/file/d/1u4Q0HBw8WvDhJKdqBTJB_VlyP7H8zq95/view?usp=drivesdk</v>
      </c>
    </row>
    <row r="2301">
      <c r="A2301" s="15">
        <f>IFERROR(__xludf.DUMMYFUNCTION("""COMPUTED_VALUE"""),45070.0)</f>
        <v>45070</v>
      </c>
      <c r="B2301" s="16" t="str">
        <f>IFERROR(__xludf.DUMMYFUNCTION("""COMPUTED_VALUE"""),"Envia")</f>
        <v>Envia</v>
      </c>
      <c r="C2301" s="15" t="str">
        <f>IFERROR(__xludf.DUMMYFUNCTION("""COMPUTED_VALUE"""),"CALI")</f>
        <v>CALI</v>
      </c>
      <c r="D2301" s="15" t="str">
        <f>IFERROR(__xludf.DUMMYFUNCTION("""COMPUTED_VALUE"""),"BOGOTÁ")</f>
        <v>BOGOTÁ</v>
      </c>
      <c r="E2301" s="15" t="str">
        <f>IFERROR(__xludf.DUMMYFUNCTION("""COMPUTED_VALUE"""),"Frambascolombia sas")</f>
        <v>Frambascolombia sas</v>
      </c>
      <c r="F2301" s="17" t="str">
        <f>IFERROR(__xludf.DUMMYFUNCTION("""COMPUTED_VALUE"""),"Av 5a Nte. # 25n18 / local 2")</f>
        <v>Av 5a Nte. # 25n18 / local 2</v>
      </c>
      <c r="G2301" s="15" t="str">
        <f>IFERROR(__xludf.DUMMYFUNCTION("""COMPUTED_VALUE"""),"PikNPak Cali")</f>
        <v>PikNPak Cali</v>
      </c>
      <c r="H2301" s="16">
        <f>IFERROR(__xludf.DUMMYFUNCTION("""COMPUTED_VALUE"""),10910.0)</f>
        <v>10910</v>
      </c>
      <c r="I2301" s="18">
        <f>IFERROR(__xludf.DUMMYFUNCTION("""COMPUTED_VALUE"""),11.0)</f>
        <v>11</v>
      </c>
      <c r="J2301" s="18">
        <f>IFERROR(__xludf.DUMMYFUNCTION("""COMPUTED_VALUE"""),9.0)</f>
        <v>9</v>
      </c>
      <c r="K2301" s="18">
        <f>IFERROR(__xludf.DUMMYFUNCTION("""COMPUTED_VALUE"""),9.0)</f>
        <v>9</v>
      </c>
      <c r="L2301" s="17" t="str">
        <f>IFERROR(__xludf.DUMMYFUNCTION("""COMPUTED_VALUE"""),"321 4229567")</f>
        <v>321 4229567</v>
      </c>
      <c r="M2301" s="17" t="str">
        <f>IFERROR(__xludf.DUMMYFUNCTION("""COMPUTED_VALUE"""),"#REF!")</f>
        <v>#REF!</v>
      </c>
      <c r="N2301" s="17"/>
      <c r="O2301" s="17"/>
      <c r="P2301" s="17" t="b">
        <f>IFERROR(__xludf.DUMMYFUNCTION("""COMPUTED_VALUE"""),FALSE)</f>
        <v>0</v>
      </c>
      <c r="Q2301" s="20" t="str">
        <f>IFERROR(__xludf.DUMMYFUNCTION("""COMPUTED_VALUE"""),"")</f>
        <v/>
      </c>
      <c r="R2301" s="21" t="str">
        <f>IFERROR(__xludf.DUMMYFUNCTION("""COMPUTED_VALUE"""),"https://drive.google.com/file/d/1SY93JyK-pXLCkB31wrN-kVnaEb4bZB1u/view?usp=drivesdk")</f>
        <v>https://drive.google.com/file/d/1SY93JyK-pXLCkB31wrN-kVnaEb4bZB1u/view?usp=drivesdk</v>
      </c>
    </row>
    <row r="2302">
      <c r="A2302" s="15">
        <f>IFERROR(__xludf.DUMMYFUNCTION("""COMPUTED_VALUE"""),45070.0)</f>
        <v>45070</v>
      </c>
      <c r="B2302" s="16" t="str">
        <f>IFERROR(__xludf.DUMMYFUNCTION("""COMPUTED_VALUE"""),"Envia")</f>
        <v>Envia</v>
      </c>
      <c r="C2302" s="15" t="str">
        <f>IFERROR(__xludf.DUMMYFUNCTION("""COMPUTED_VALUE"""),"MANIZALES")</f>
        <v>MANIZALES</v>
      </c>
      <c r="D2302" s="15" t="str">
        <f>IFERROR(__xludf.DUMMYFUNCTION("""COMPUTED_VALUE"""),"BOGOTÁ")</f>
        <v>BOGOTÁ</v>
      </c>
      <c r="E2302" s="15" t="str">
        <f>IFERROR(__xludf.DUMMYFUNCTION("""COMPUTED_VALUE"""),"Viiva Fermentados")</f>
        <v>Viiva Fermentados</v>
      </c>
      <c r="F2302" s="17" t="str">
        <f>IFERROR(__xludf.DUMMYFUNCTION("""COMPUTED_VALUE"""),"Carrera 23#75A 95 / Tienda Opla Market / Barrio Milán")</f>
        <v>Carrera 23#75A 95 / Tienda Opla Market / Barrio Milán</v>
      </c>
      <c r="G2302" s="15" t="str">
        <f>IFERROR(__xludf.DUMMYFUNCTION("""COMPUTED_VALUE"""),"Laura Prieto Orozco - Opla Market")</f>
        <v>Laura Prieto Orozco - Opla Market</v>
      </c>
      <c r="H2302" s="16">
        <f>IFERROR(__xludf.DUMMYFUNCTION("""COMPUTED_VALUE"""),10840.0)</f>
        <v>10840</v>
      </c>
      <c r="I2302" s="18">
        <f>IFERROR(__xludf.DUMMYFUNCTION("""COMPUTED_VALUE"""),27.0)</f>
        <v>27</v>
      </c>
      <c r="J2302" s="18">
        <f>IFERROR(__xludf.DUMMYFUNCTION("""COMPUTED_VALUE"""),18.0)</f>
        <v>18</v>
      </c>
      <c r="K2302" s="18">
        <f>IFERROR(__xludf.DUMMYFUNCTION("""COMPUTED_VALUE"""),18.0)</f>
        <v>18</v>
      </c>
      <c r="L2302" s="17">
        <f>IFERROR(__xludf.DUMMYFUNCTION("""COMPUTED_VALUE"""),3.24428274E9)</f>
        <v>3244282740</v>
      </c>
      <c r="M2302" s="17" t="str">
        <f>IFERROR(__xludf.DUMMYFUNCTION("""COMPUTED_VALUE"""),"#REF!")</f>
        <v>#REF!</v>
      </c>
      <c r="N2302" s="17"/>
      <c r="O2302" s="17"/>
      <c r="P2302" s="17" t="b">
        <f>IFERROR(__xludf.DUMMYFUNCTION("""COMPUTED_VALUE"""),FALSE)</f>
        <v>0</v>
      </c>
      <c r="Q2302" s="20" t="str">
        <f>IFERROR(__xludf.DUMMYFUNCTION("""COMPUTED_VALUE"""),"")</f>
        <v/>
      </c>
      <c r="R2302" s="21" t="str">
        <f>IFERROR(__xludf.DUMMYFUNCTION("""COMPUTED_VALUE"""),"https://drive.google.com/file/d/1Sl10OL8ecZzz9_OMhdRm8L6TAvNYmFgl/view?usp=drivesdk")</f>
        <v>https://drive.google.com/file/d/1Sl10OL8ecZzz9_OMhdRm8L6TAvNYmFgl/view?usp=drivesdk</v>
      </c>
    </row>
    <row r="2303">
      <c r="A2303" s="15">
        <f>IFERROR(__xludf.DUMMYFUNCTION("""COMPUTED_VALUE"""),45070.0)</f>
        <v>45070</v>
      </c>
      <c r="B2303" s="16" t="str">
        <f>IFERROR(__xludf.DUMMYFUNCTION("""COMPUTED_VALUE"""),"Envia")</f>
        <v>Envia</v>
      </c>
      <c r="C2303" s="15" t="str">
        <f>IFERROR(__xludf.DUMMYFUNCTION("""COMPUTED_VALUE"""),"MANIZALES")</f>
        <v>MANIZALES</v>
      </c>
      <c r="D2303" s="15" t="str">
        <f>IFERROR(__xludf.DUMMYFUNCTION("""COMPUTED_VALUE"""),"BOGOTÁ")</f>
        <v>BOGOTÁ</v>
      </c>
      <c r="E2303" s="15" t="str">
        <f>IFERROR(__xludf.DUMMYFUNCTION("""COMPUTED_VALUE"""),"Viiva Fermentados")</f>
        <v>Viiva Fermentados</v>
      </c>
      <c r="F2303" s="17" t="str">
        <f>IFERROR(__xludf.DUMMYFUNCTION("""COMPUTED_VALUE"""),"Cra 23 65a 41 / edificio parque médico   / local P212")</f>
        <v>Cra 23 65a 41 / edificio parque médico   / local P212</v>
      </c>
      <c r="G2303" s="15" t="str">
        <f>IFERROR(__xludf.DUMMYFUNCTION("""COMPUTED_VALUE"""),"Bien Estar Droguería Funcional")</f>
        <v>Bien Estar Droguería Funcional</v>
      </c>
      <c r="H2303" s="16">
        <f>IFERROR(__xludf.DUMMYFUNCTION("""COMPUTED_VALUE"""),10839.0)</f>
        <v>10839</v>
      </c>
      <c r="I2303" s="18">
        <f>IFERROR(__xludf.DUMMYFUNCTION("""COMPUTED_VALUE"""),17.0)</f>
        <v>17</v>
      </c>
      <c r="J2303" s="18">
        <f>IFERROR(__xludf.DUMMYFUNCTION("""COMPUTED_VALUE"""),40.0)</f>
        <v>40</v>
      </c>
      <c r="K2303" s="18">
        <f>IFERROR(__xludf.DUMMYFUNCTION("""COMPUTED_VALUE"""),30.0)</f>
        <v>30</v>
      </c>
      <c r="L2303" s="17">
        <f>IFERROR(__xludf.DUMMYFUNCTION("""COMPUTED_VALUE"""),3.217183658E9)</f>
        <v>3217183658</v>
      </c>
      <c r="M2303" s="17" t="str">
        <f>IFERROR(__xludf.DUMMYFUNCTION("""COMPUTED_VALUE"""),"#REF!")</f>
        <v>#REF!</v>
      </c>
      <c r="N2303" s="17"/>
      <c r="O2303" s="17"/>
      <c r="P2303" s="17" t="b">
        <f>IFERROR(__xludf.DUMMYFUNCTION("""COMPUTED_VALUE"""),FALSE)</f>
        <v>0</v>
      </c>
      <c r="Q2303" s="20" t="str">
        <f>IFERROR(__xludf.DUMMYFUNCTION("""COMPUTED_VALUE"""),"")</f>
        <v/>
      </c>
      <c r="R2303" s="21" t="str">
        <f>IFERROR(__xludf.DUMMYFUNCTION("""COMPUTED_VALUE"""),"https://drive.google.com/file/d/1thjtNdeZQYzEmqHoTT0CEeQVSzbuDwSa/view?usp=drivesdk")</f>
        <v>https://drive.google.com/file/d/1thjtNdeZQYzEmqHoTT0CEeQVSzbuDwSa/view?usp=drivesdk</v>
      </c>
    </row>
    <row r="2304">
      <c r="A2304" s="15">
        <f>IFERROR(__xludf.DUMMYFUNCTION("""COMPUTED_VALUE"""),45070.0)</f>
        <v>45070</v>
      </c>
      <c r="B2304" s="16" t="str">
        <f>IFERROR(__xludf.DUMMYFUNCTION("""COMPUTED_VALUE"""),"Envia")</f>
        <v>Envia</v>
      </c>
      <c r="C2304" s="15" t="str">
        <f>IFERROR(__xludf.DUMMYFUNCTION("""COMPUTED_VALUE"""),"MEDELLÍN")</f>
        <v>MEDELLÍN</v>
      </c>
      <c r="D2304" s="15" t="str">
        <f>IFERROR(__xludf.DUMMYFUNCTION("""COMPUTED_VALUE"""),"BOGOTÁ")</f>
        <v>BOGOTÁ</v>
      </c>
      <c r="E2304" s="15" t="str">
        <f>IFERROR(__xludf.DUMMYFUNCTION("""COMPUTED_VALUE"""),"Asociacion Agropecuaria Juana Maria")</f>
        <v>Asociacion Agropecuaria Juana Maria</v>
      </c>
      <c r="F2304" s="17" t="str">
        <f>IFERROR(__xludf.DUMMYFUNCTION("""COMPUTED_VALUE"""),"Cra 82C # 30A-100 apto 1202 urbanizacion Torres de Vicuña Belen los Alpes")</f>
        <v>Cra 82C # 30A-100 apto 1202 urbanizacion Torres de Vicuña Belen los Alpes</v>
      </c>
      <c r="G2304" s="15" t="str">
        <f>IFERROR(__xludf.DUMMYFUNCTION("""COMPUTED_VALUE"""),"Gloria Moreno")</f>
        <v>Gloria Moreno</v>
      </c>
      <c r="H2304" s="16">
        <f>IFERROR(__xludf.DUMMYFUNCTION("""COMPUTED_VALUE"""),10905.0)</f>
        <v>10905</v>
      </c>
      <c r="I2304" s="18">
        <f>IFERROR(__xludf.DUMMYFUNCTION("""COMPUTED_VALUE"""),17.0)</f>
        <v>17</v>
      </c>
      <c r="J2304" s="18">
        <f>IFERROR(__xludf.DUMMYFUNCTION("""COMPUTED_VALUE"""),37.0)</f>
        <v>37</v>
      </c>
      <c r="K2304" s="18">
        <f>IFERROR(__xludf.DUMMYFUNCTION("""COMPUTED_VALUE"""),28.0)</f>
        <v>28</v>
      </c>
      <c r="L2304" s="17">
        <f>IFERROR(__xludf.DUMMYFUNCTION("""COMPUTED_VALUE"""),3.162544201E9)</f>
        <v>3162544201</v>
      </c>
      <c r="M2304" s="17" t="str">
        <f>IFERROR(__xludf.DUMMYFUNCTION("""COMPUTED_VALUE"""),"#REF!")</f>
        <v>#REF!</v>
      </c>
      <c r="N2304" s="17"/>
      <c r="O2304" s="17"/>
      <c r="P2304" s="17" t="b">
        <f>IFERROR(__xludf.DUMMYFUNCTION("""COMPUTED_VALUE"""),FALSE)</f>
        <v>0</v>
      </c>
      <c r="Q2304" s="20" t="str">
        <f>IFERROR(__xludf.DUMMYFUNCTION("""COMPUTED_VALUE"""),"")</f>
        <v/>
      </c>
      <c r="R2304" s="22" t="str">
        <f>IFERROR(__xludf.DUMMYFUNCTION("""COMPUTED_VALUE"""),"")</f>
        <v/>
      </c>
    </row>
    <row r="2305">
      <c r="A2305" s="15">
        <f>IFERROR(__xludf.DUMMYFUNCTION("""COMPUTED_VALUE"""),45070.0)</f>
        <v>45070</v>
      </c>
      <c r="B2305" s="16" t="str">
        <f>IFERROR(__xludf.DUMMYFUNCTION("""COMPUTED_VALUE"""),"Envia")</f>
        <v>Envia</v>
      </c>
      <c r="C2305" s="15" t="str">
        <f>IFERROR(__xludf.DUMMYFUNCTION("""COMPUTED_VALUE"""),"MEDELLÍN")</f>
        <v>MEDELLÍN</v>
      </c>
      <c r="D2305" s="15" t="str">
        <f>IFERROR(__xludf.DUMMYFUNCTION("""COMPUTED_VALUE"""),"BOGOTÁ")</f>
        <v>BOGOTÁ</v>
      </c>
      <c r="E2305" s="15" t="str">
        <f>IFERROR(__xludf.DUMMYFUNCTION("""COMPUTED_VALUE"""),"Evamazzita")</f>
        <v>Evamazzita</v>
      </c>
      <c r="F2305" s="17" t="str">
        <f>IFERROR(__xludf.DUMMYFUNCTION("""COMPUTED_VALUE"""),"Cr 35 # 65 Sur 135   / EDIFICIO DUBLIN apto 2804  / SABANETA - Las lomitas")</f>
        <v>Cr 35 # 65 Sur 135   / EDIFICIO DUBLIN apto 2804  / SABANETA - Las lomitas</v>
      </c>
      <c r="G2305" s="15" t="str">
        <f>IFERROR(__xludf.DUMMYFUNCTION("""COMPUTED_VALUE"""),"VANESSA BEDOYA")</f>
        <v>VANESSA BEDOYA</v>
      </c>
      <c r="H2305" s="16">
        <f>IFERROR(__xludf.DUMMYFUNCTION("""COMPUTED_VALUE"""),10935.0)</f>
        <v>10935</v>
      </c>
      <c r="I2305" s="18">
        <f>IFERROR(__xludf.DUMMYFUNCTION("""COMPUTED_VALUE"""),10.0)</f>
        <v>10</v>
      </c>
      <c r="J2305" s="18">
        <f>IFERROR(__xludf.DUMMYFUNCTION("""COMPUTED_VALUE"""),18.0)</f>
        <v>18</v>
      </c>
      <c r="K2305" s="18">
        <f>IFERROR(__xludf.DUMMYFUNCTION("""COMPUTED_VALUE"""),22.0)</f>
        <v>22</v>
      </c>
      <c r="L2305" s="17">
        <f>IFERROR(__xludf.DUMMYFUNCTION("""COMPUTED_VALUE"""),3.1847212E9)</f>
        <v>3184721200</v>
      </c>
      <c r="M2305" s="17" t="str">
        <f>IFERROR(__xludf.DUMMYFUNCTION("""COMPUTED_VALUE"""),"#REF!")</f>
        <v>#REF!</v>
      </c>
      <c r="N2305" s="17"/>
      <c r="O2305" s="17"/>
      <c r="P2305" s="17" t="b">
        <f>IFERROR(__xludf.DUMMYFUNCTION("""COMPUTED_VALUE"""),FALSE)</f>
        <v>0</v>
      </c>
      <c r="Q2305" s="20" t="str">
        <f>IFERROR(__xludf.DUMMYFUNCTION("""COMPUTED_VALUE"""),"")</f>
        <v/>
      </c>
      <c r="R2305" s="21" t="str">
        <f>IFERROR(__xludf.DUMMYFUNCTION("""COMPUTED_VALUE"""),"https://drive.google.com/file/d/1VILevR1fkNbOXrB7bqHURq8Unm1_ZEDB/view?usp=drivesdk")</f>
        <v>https://drive.google.com/file/d/1VILevR1fkNbOXrB7bqHURq8Unm1_ZEDB/view?usp=drivesdk</v>
      </c>
    </row>
    <row r="2306">
      <c r="A2306" s="15">
        <f>IFERROR(__xludf.DUMMYFUNCTION("""COMPUTED_VALUE"""),45070.0)</f>
        <v>45070</v>
      </c>
      <c r="B2306" s="16" t="str">
        <f>IFERROR(__xludf.DUMMYFUNCTION("""COMPUTED_VALUE"""),"Envia")</f>
        <v>Envia</v>
      </c>
      <c r="C2306" s="15" t="str">
        <f>IFERROR(__xludf.DUMMYFUNCTION("""COMPUTED_VALUE"""),"MEDELLÍN")</f>
        <v>MEDELLÍN</v>
      </c>
      <c r="D2306" s="15" t="str">
        <f>IFERROR(__xludf.DUMMYFUNCTION("""COMPUTED_VALUE"""),"BOGOTÁ")</f>
        <v>BOGOTÁ</v>
      </c>
      <c r="E2306" s="15" t="str">
        <f>IFERROR(__xludf.DUMMYFUNCTION("""COMPUTED_VALUE"""),"Evamazzita")</f>
        <v>Evamazzita</v>
      </c>
      <c r="F2306" s="17" t="str">
        <f>IFERROR(__xludf.DUMMYFUNCTION("""COMPUTED_VALUE"""),"Cra42#18B-31  / edificio castropol señorial 2 apto301  / POBLADO CASTROPOL")</f>
        <v>Cra42#18B-31  / edificio castropol señorial 2 apto301  / POBLADO CASTROPOL</v>
      </c>
      <c r="G2306" s="15" t="str">
        <f>IFERROR(__xludf.DUMMYFUNCTION("""COMPUTED_VALUE"""),"TATIANA MAZO")</f>
        <v>TATIANA MAZO</v>
      </c>
      <c r="H2306" s="16">
        <f>IFERROR(__xludf.DUMMYFUNCTION("""COMPUTED_VALUE"""),10934.0)</f>
        <v>10934</v>
      </c>
      <c r="I2306" s="18">
        <f>IFERROR(__xludf.DUMMYFUNCTION("""COMPUTED_VALUE"""),3.0)</f>
        <v>3</v>
      </c>
      <c r="J2306" s="18">
        <f>IFERROR(__xludf.DUMMYFUNCTION("""COMPUTED_VALUE"""),15.0)</f>
        <v>15</v>
      </c>
      <c r="K2306" s="18">
        <f>IFERROR(__xludf.DUMMYFUNCTION("""COMPUTED_VALUE"""),20.0)</f>
        <v>20</v>
      </c>
      <c r="L2306" s="17">
        <f>IFERROR(__xludf.DUMMYFUNCTION("""COMPUTED_VALUE"""),3.136745425E9)</f>
        <v>3136745425</v>
      </c>
      <c r="M2306" s="17" t="str">
        <f>IFERROR(__xludf.DUMMYFUNCTION("""COMPUTED_VALUE"""),"#REF!")</f>
        <v>#REF!</v>
      </c>
      <c r="N2306" s="17"/>
      <c r="O2306" s="17"/>
      <c r="P2306" s="17" t="b">
        <f>IFERROR(__xludf.DUMMYFUNCTION("""COMPUTED_VALUE"""),FALSE)</f>
        <v>0</v>
      </c>
      <c r="Q2306" s="20" t="str">
        <f>IFERROR(__xludf.DUMMYFUNCTION("""COMPUTED_VALUE"""),"")</f>
        <v/>
      </c>
      <c r="R2306" s="22" t="str">
        <f>IFERROR(__xludf.DUMMYFUNCTION("""COMPUTED_VALUE"""),"")</f>
        <v/>
      </c>
    </row>
    <row r="2307">
      <c r="A2307" s="15">
        <f>IFERROR(__xludf.DUMMYFUNCTION("""COMPUTED_VALUE"""),45070.0)</f>
        <v>45070</v>
      </c>
      <c r="B2307" s="16" t="str">
        <f>IFERROR(__xludf.DUMMYFUNCTION("""COMPUTED_VALUE"""),"Envia")</f>
        <v>Envia</v>
      </c>
      <c r="C2307" s="15" t="str">
        <f>IFERROR(__xludf.DUMMYFUNCTION("""COMPUTED_VALUE"""),"MEDELLÍN")</f>
        <v>MEDELLÍN</v>
      </c>
      <c r="D2307" s="15" t="str">
        <f>IFERROR(__xludf.DUMMYFUNCTION("""COMPUTED_VALUE"""),"BOGOTÁ")</f>
        <v>BOGOTÁ</v>
      </c>
      <c r="E2307" s="15" t="str">
        <f>IFERROR(__xludf.DUMMYFUNCTION("""COMPUTED_VALUE"""),"Frambascolombia sas")</f>
        <v>Frambascolombia sas</v>
      </c>
      <c r="F2307" s="17" t="str">
        <f>IFERROR(__xludf.DUMMYFUNCTION("""COMPUTED_VALUE"""),"Cl. 16 #55-129 / local 2")</f>
        <v>Cl. 16 #55-129 / local 2</v>
      </c>
      <c r="G2307" s="15" t="str">
        <f>IFERROR(__xludf.DUMMYFUNCTION("""COMPUTED_VALUE"""),"PikNPak Medellín")</f>
        <v>PikNPak Medellín</v>
      </c>
      <c r="H2307" s="16">
        <f>IFERROR(__xludf.DUMMYFUNCTION("""COMPUTED_VALUE"""),10911.0)</f>
        <v>10911</v>
      </c>
      <c r="I2307" s="18">
        <f>IFERROR(__xludf.DUMMYFUNCTION("""COMPUTED_VALUE"""),8.0)</f>
        <v>8</v>
      </c>
      <c r="J2307" s="18">
        <f>IFERROR(__xludf.DUMMYFUNCTION("""COMPUTED_VALUE"""),44992.0)</f>
        <v>44992</v>
      </c>
      <c r="K2307" s="18">
        <f>IFERROR(__xludf.DUMMYFUNCTION("""COMPUTED_VALUE"""),44992.0)</f>
        <v>44992</v>
      </c>
      <c r="L2307" s="17" t="str">
        <f>IFERROR(__xludf.DUMMYFUNCTION("""COMPUTED_VALUE"""),"321 4229567")</f>
        <v>321 4229567</v>
      </c>
      <c r="M2307" s="17" t="str">
        <f>IFERROR(__xludf.DUMMYFUNCTION("""COMPUTED_VALUE"""),"#REF!")</f>
        <v>#REF!</v>
      </c>
      <c r="N2307" s="17"/>
      <c r="O2307" s="17"/>
      <c r="P2307" s="17" t="b">
        <f>IFERROR(__xludf.DUMMYFUNCTION("""COMPUTED_VALUE"""),FALSE)</f>
        <v>0</v>
      </c>
      <c r="Q2307" s="20" t="str">
        <f>IFERROR(__xludf.DUMMYFUNCTION("""COMPUTED_VALUE"""),"")</f>
        <v/>
      </c>
      <c r="R2307" s="21" t="str">
        <f>IFERROR(__xludf.DUMMYFUNCTION("""COMPUTED_VALUE"""),"https://drive.google.com/file/d/1467uTrWsd9k7_YNC225rQFckjhccidVS/view?usp=drivesdk")</f>
        <v>https://drive.google.com/file/d/1467uTrWsd9k7_YNC225rQFckjhccidVS/view?usp=drivesdk</v>
      </c>
    </row>
    <row r="2308">
      <c r="A2308" s="15">
        <f>IFERROR(__xludf.DUMMYFUNCTION("""COMPUTED_VALUE"""),45070.0)</f>
        <v>45070</v>
      </c>
      <c r="B2308" s="16" t="str">
        <f>IFERROR(__xludf.DUMMYFUNCTION("""COMPUTED_VALUE"""),"Envia")</f>
        <v>Envia</v>
      </c>
      <c r="C2308" s="15" t="str">
        <f>IFERROR(__xludf.DUMMYFUNCTION("""COMPUTED_VALUE"""),"MEDELLÍN")</f>
        <v>MEDELLÍN</v>
      </c>
      <c r="D2308" s="15" t="str">
        <f>IFERROR(__xludf.DUMMYFUNCTION("""COMPUTED_VALUE"""),"BOGOTÁ")</f>
        <v>BOGOTÁ</v>
      </c>
      <c r="E2308" s="15" t="str">
        <f>IFERROR(__xludf.DUMMYFUNCTION("""COMPUTED_VALUE"""),"Ins. Alimento Vital")</f>
        <v>Ins. Alimento Vital</v>
      </c>
      <c r="F2308" s="17" t="str">
        <f>IFERROR(__xludf.DUMMYFUNCTION("""COMPUTED_VALUE"""),"AV 74 B 39 B 142 / CASA NEGRA 2 PISO / BARRIO LAURELES")</f>
        <v>AV 74 B 39 B 142 / CASA NEGRA 2 PISO / BARRIO LAURELES</v>
      </c>
      <c r="G2308" s="15" t="str">
        <f>IFERROR(__xludf.DUMMYFUNCTION("""COMPUTED_VALUE"""),"VELOCITY MEDELLIN")</f>
        <v>VELOCITY MEDELLIN</v>
      </c>
      <c r="H2308" s="16">
        <f>IFERROR(__xludf.DUMMYFUNCTION("""COMPUTED_VALUE"""),10940.0)</f>
        <v>10940</v>
      </c>
      <c r="I2308" s="18">
        <f>IFERROR(__xludf.DUMMYFUNCTION("""COMPUTED_VALUE"""),1.0)</f>
        <v>1</v>
      </c>
      <c r="J2308" s="18">
        <f>IFERROR(__xludf.DUMMYFUNCTION("""COMPUTED_VALUE"""),1.0)</f>
        <v>1</v>
      </c>
      <c r="K2308" s="18">
        <f>IFERROR(__xludf.DUMMYFUNCTION("""COMPUTED_VALUE"""),1.0)</f>
        <v>1</v>
      </c>
      <c r="L2308" s="17">
        <f>IFERROR(__xludf.DUMMYFUNCTION("""COMPUTED_VALUE"""),3.239674555E9)</f>
        <v>3239674555</v>
      </c>
      <c r="M2308" s="17" t="str">
        <f>IFERROR(__xludf.DUMMYFUNCTION("""COMPUTED_VALUE"""),"#REF!")</f>
        <v>#REF!</v>
      </c>
      <c r="N2308" s="17"/>
      <c r="O2308" s="17"/>
      <c r="P2308" s="17" t="b">
        <f>IFERROR(__xludf.DUMMYFUNCTION("""COMPUTED_VALUE"""),TRUE)</f>
        <v>1</v>
      </c>
      <c r="Q2308" s="20">
        <f>IFERROR(__xludf.DUMMYFUNCTION("""COMPUTED_VALUE"""),45070.62987725694)</f>
        <v>45070.62988</v>
      </c>
      <c r="R2308" s="21" t="str">
        <f>IFERROR(__xludf.DUMMYFUNCTION("""COMPUTED_VALUE"""),"https://drive.google.com/file/d/1F99biHUx4y9cPr57MZX1bzWqxUY-DMeG/view?usp=drivesdk")</f>
        <v>https://drive.google.com/file/d/1F99biHUx4y9cPr57MZX1bzWqxUY-DMeG/view?usp=drivesdk</v>
      </c>
    </row>
    <row r="2309">
      <c r="A2309" s="15">
        <f>IFERROR(__xludf.DUMMYFUNCTION("""COMPUTED_VALUE"""),45070.0)</f>
        <v>45070</v>
      </c>
      <c r="B2309" s="16" t="str">
        <f>IFERROR(__xludf.DUMMYFUNCTION("""COMPUTED_VALUE"""),"Envia")</f>
        <v>Envia</v>
      </c>
      <c r="C2309" s="15" t="str">
        <f>IFERROR(__xludf.DUMMYFUNCTION("""COMPUTED_VALUE"""),"MEDELLÍN")</f>
        <v>MEDELLÍN</v>
      </c>
      <c r="D2309" s="15" t="str">
        <f>IFERROR(__xludf.DUMMYFUNCTION("""COMPUTED_VALUE"""),"BOGOTÁ")</f>
        <v>BOGOTÁ</v>
      </c>
      <c r="E2309" s="15" t="str">
        <f>IFERROR(__xludf.DUMMYFUNCTION("""COMPUTED_VALUE"""),"Lunchy Kids")</f>
        <v>Lunchy Kids</v>
      </c>
      <c r="F2309" s="17" t="str">
        <f>IFERROR(__xludf.DUMMYFUNCTION("""COMPUTED_VALUE"""),"Calle 7 #80-119   / sendero de los bernal Apto 1502  / Medellin")</f>
        <v>Calle 7 #80-119   / sendero de los bernal Apto 1502  / Medellin</v>
      </c>
      <c r="G2309" s="15" t="str">
        <f>IFERROR(__xludf.DUMMYFUNCTION("""COMPUTED_VALUE"""),"Alejandra Bonilla")</f>
        <v>Alejandra Bonilla</v>
      </c>
      <c r="H2309" s="16">
        <f>IFERROR(__xludf.DUMMYFUNCTION("""COMPUTED_VALUE"""),10890.0)</f>
        <v>10890</v>
      </c>
      <c r="I2309" s="18">
        <f>IFERROR(__xludf.DUMMYFUNCTION("""COMPUTED_VALUE"""),18.0)</f>
        <v>18</v>
      </c>
      <c r="J2309" s="18">
        <f>IFERROR(__xludf.DUMMYFUNCTION("""COMPUTED_VALUE"""),24.0)</f>
        <v>24</v>
      </c>
      <c r="K2309" s="18">
        <f>IFERROR(__xludf.DUMMYFUNCTION("""COMPUTED_VALUE"""),9.0)</f>
        <v>9</v>
      </c>
      <c r="L2309" s="17">
        <f>IFERROR(__xludf.DUMMYFUNCTION("""COMPUTED_VALUE"""),3.166204995E9)</f>
        <v>3166204995</v>
      </c>
      <c r="M2309" s="17" t="str">
        <f>IFERROR(__xludf.DUMMYFUNCTION("""COMPUTED_VALUE"""),"#REF!")</f>
        <v>#REF!</v>
      </c>
      <c r="N2309" s="17"/>
      <c r="O2309" s="17"/>
      <c r="P2309" s="17" t="b">
        <f>IFERROR(__xludf.DUMMYFUNCTION("""COMPUTED_VALUE"""),TRUE)</f>
        <v>1</v>
      </c>
      <c r="Q2309" s="20">
        <f>IFERROR(__xludf.DUMMYFUNCTION("""COMPUTED_VALUE"""),45070.62987725694)</f>
        <v>45070.62988</v>
      </c>
      <c r="R2309" s="21" t="str">
        <f>IFERROR(__xludf.DUMMYFUNCTION("""COMPUTED_VALUE"""),"https://drive.google.com/file/d/11pOXHH7OpqZ9CSq46aBJt-C6NU3VP5Dd/view?usp=drivesdk")</f>
        <v>https://drive.google.com/file/d/11pOXHH7OpqZ9CSq46aBJt-C6NU3VP5Dd/view?usp=drivesdk</v>
      </c>
    </row>
    <row r="2310">
      <c r="A2310" s="15">
        <f>IFERROR(__xludf.DUMMYFUNCTION("""COMPUTED_VALUE"""),45070.0)</f>
        <v>45070</v>
      </c>
      <c r="B2310" s="16" t="str">
        <f>IFERROR(__xludf.DUMMYFUNCTION("""COMPUTED_VALUE"""),"Envia")</f>
        <v>Envia</v>
      </c>
      <c r="C2310" s="15" t="str">
        <f>IFERROR(__xludf.DUMMYFUNCTION("""COMPUTED_VALUE"""),"MEDELLÍN")</f>
        <v>MEDELLÍN</v>
      </c>
      <c r="D2310" s="15" t="str">
        <f>IFERROR(__xludf.DUMMYFUNCTION("""COMPUTED_VALUE"""),"BOGOTÁ")</f>
        <v>BOGOTÁ</v>
      </c>
      <c r="E2310" s="15" t="str">
        <f>IFERROR(__xludf.DUMMYFUNCTION("""COMPUTED_VALUE"""),"Pave")</f>
        <v>Pave</v>
      </c>
      <c r="F2310" s="17" t="str">
        <f>IFERROR(__xludf.DUMMYFUNCTION("""COMPUTED_VALUE"""),"CARRERA 35 #16A SUR-115  / EDIFICIO MOLINOS CAMPESTRE APTO 501 MEDELLIN  / EDIFICIO MOLINO CAMPESTRE")</f>
        <v>CARRERA 35 #16A SUR-115  / EDIFICIO MOLINOS CAMPESTRE APTO 501 MEDELLIN  / EDIFICIO MOLINO CAMPESTRE</v>
      </c>
      <c r="G2310" s="15" t="str">
        <f>IFERROR(__xludf.DUMMYFUNCTION("""COMPUTED_VALUE"""),"luisa castillo")</f>
        <v>luisa castillo</v>
      </c>
      <c r="H2310" s="16">
        <f>IFERROR(__xludf.DUMMYFUNCTION("""COMPUTED_VALUE"""),10916.0)</f>
        <v>10916</v>
      </c>
      <c r="I2310" s="18">
        <f>IFERROR(__xludf.DUMMYFUNCTION("""COMPUTED_VALUE"""),6.0)</f>
        <v>6</v>
      </c>
      <c r="J2310" s="18">
        <f>IFERROR(__xludf.DUMMYFUNCTION("""COMPUTED_VALUE"""),13.0)</f>
        <v>13</v>
      </c>
      <c r="K2310" s="18">
        <f>IFERROR(__xludf.DUMMYFUNCTION("""COMPUTED_VALUE"""),13.0)</f>
        <v>13</v>
      </c>
      <c r="L2310" s="17">
        <f>IFERROR(__xludf.DUMMYFUNCTION("""COMPUTED_VALUE"""),3.502709733E9)</f>
        <v>3502709733</v>
      </c>
      <c r="M2310" s="17" t="str">
        <f>IFERROR(__xludf.DUMMYFUNCTION("""COMPUTED_VALUE"""),"#REF!")</f>
        <v>#REF!</v>
      </c>
      <c r="N2310" s="17"/>
      <c r="O2310" s="17"/>
      <c r="P2310" s="17" t="b">
        <f>IFERROR(__xludf.DUMMYFUNCTION("""COMPUTED_VALUE"""),TRUE)</f>
        <v>1</v>
      </c>
      <c r="Q2310" s="20">
        <f>IFERROR(__xludf.DUMMYFUNCTION("""COMPUTED_VALUE"""),45070.62987725694)</f>
        <v>45070.62988</v>
      </c>
      <c r="R2310" s="22" t="str">
        <f>IFERROR(__xludf.DUMMYFUNCTION("""COMPUTED_VALUE"""),"")</f>
        <v/>
      </c>
    </row>
    <row r="2311">
      <c r="A2311" s="15">
        <f>IFERROR(__xludf.DUMMYFUNCTION("""COMPUTED_VALUE"""),45070.0)</f>
        <v>45070</v>
      </c>
      <c r="B2311" s="16" t="str">
        <f>IFERROR(__xludf.DUMMYFUNCTION("""COMPUTED_VALUE"""),"Envia")</f>
        <v>Envia</v>
      </c>
      <c r="C2311" s="15" t="str">
        <f>IFERROR(__xludf.DUMMYFUNCTION("""COMPUTED_VALUE"""),"PEREIRA")</f>
        <v>PEREIRA</v>
      </c>
      <c r="D2311" s="15" t="str">
        <f>IFERROR(__xludf.DUMMYFUNCTION("""COMPUTED_VALUE"""),"BOGOTÁ")</f>
        <v>BOGOTÁ</v>
      </c>
      <c r="E2311" s="15" t="str">
        <f>IFERROR(__xludf.DUMMYFUNCTION("""COMPUTED_VALUE"""),"Ins. Alimento Vital")</f>
        <v>Ins. Alimento Vital</v>
      </c>
      <c r="F2311" s="17" t="str">
        <f>IFERROR(__xludf.DUMMYFUNCTION("""COMPUTED_VALUE"""),"CR 5 18 43 / EDIFICIO CHALJUB / BARRIO URIBE")</f>
        <v>CR 5 18 43 / EDIFICIO CHALJUB / BARRIO URIBE</v>
      </c>
      <c r="G2311" s="15" t="str">
        <f>IFERROR(__xludf.DUMMYFUNCTION("""COMPUTED_VALUE"""),"CHALJUB")</f>
        <v>CHALJUB</v>
      </c>
      <c r="H2311" s="16">
        <f>IFERROR(__xludf.DUMMYFUNCTION("""COMPUTED_VALUE"""),10937.0)</f>
        <v>10937</v>
      </c>
      <c r="I2311" s="18">
        <f>IFERROR(__xludf.DUMMYFUNCTION("""COMPUTED_VALUE"""),1.0)</f>
        <v>1</v>
      </c>
      <c r="J2311" s="18">
        <f>IFERROR(__xludf.DUMMYFUNCTION("""COMPUTED_VALUE"""),1.0)</f>
        <v>1</v>
      </c>
      <c r="K2311" s="18">
        <f>IFERROR(__xludf.DUMMYFUNCTION("""COMPUTED_VALUE"""),1.0)</f>
        <v>1</v>
      </c>
      <c r="L2311" s="17">
        <f>IFERROR(__xludf.DUMMYFUNCTION("""COMPUTED_VALUE"""),3.008252529E9)</f>
        <v>3008252529</v>
      </c>
      <c r="M2311" s="17" t="str">
        <f>IFERROR(__xludf.DUMMYFUNCTION("""COMPUTED_VALUE"""),"#REF!")</f>
        <v>#REF!</v>
      </c>
      <c r="N2311" s="17"/>
      <c r="O2311" s="17"/>
      <c r="P2311" s="17" t="b">
        <f>IFERROR(__xludf.DUMMYFUNCTION("""COMPUTED_VALUE"""),TRUE)</f>
        <v>1</v>
      </c>
      <c r="Q2311" s="20">
        <f>IFERROR(__xludf.DUMMYFUNCTION("""COMPUTED_VALUE"""),45070.62987725694)</f>
        <v>45070.62988</v>
      </c>
      <c r="R2311" s="21" t="str">
        <f>IFERROR(__xludf.DUMMYFUNCTION("""COMPUTED_VALUE"""),"https://drive.google.com/file/d/1yXVLV97U2MfnFZ-kOOFTlagqn9kmn8hc/view?usp=drivesdk")</f>
        <v>https://drive.google.com/file/d/1yXVLV97U2MfnFZ-kOOFTlagqn9kmn8hc/view?usp=drivesdk</v>
      </c>
    </row>
    <row r="2312">
      <c r="A2312" s="17" t="str">
        <f>IFERROR(__xludf.DUMMYFUNCTION("""COMPUTED_VALUE"""),"")</f>
        <v/>
      </c>
      <c r="B2312" s="17" t="str">
        <f>IFERROR(__xludf.DUMMYFUNCTION("""COMPUTED_VALUE"""),"")</f>
        <v/>
      </c>
      <c r="C2312" s="17" t="str">
        <f>IFERROR(__xludf.DUMMYFUNCTION("""COMPUTED_VALUE"""),"")</f>
        <v/>
      </c>
      <c r="D2312" s="17" t="str">
        <f>IFERROR(__xludf.DUMMYFUNCTION("""COMPUTED_VALUE"""),"")</f>
        <v/>
      </c>
      <c r="E2312" s="17" t="str">
        <f>IFERROR(__xludf.DUMMYFUNCTION("""COMPUTED_VALUE"""),"")</f>
        <v/>
      </c>
      <c r="F2312" s="17" t="str">
        <f>IFERROR(__xludf.DUMMYFUNCTION("""COMPUTED_VALUE"""),"")</f>
        <v/>
      </c>
      <c r="G2312" s="17" t="str">
        <f>IFERROR(__xludf.DUMMYFUNCTION("""COMPUTED_VALUE"""),"")</f>
        <v/>
      </c>
      <c r="H2312" s="17" t="str">
        <f>IFERROR(__xludf.DUMMYFUNCTION("""COMPUTED_VALUE"""),"")</f>
        <v/>
      </c>
      <c r="I2312" s="17" t="str">
        <f>IFERROR(__xludf.DUMMYFUNCTION("""COMPUTED_VALUE"""),"")</f>
        <v/>
      </c>
      <c r="J2312" s="17" t="str">
        <f>IFERROR(__xludf.DUMMYFUNCTION("""COMPUTED_VALUE"""),"")</f>
        <v/>
      </c>
      <c r="K2312" s="17" t="str">
        <f>IFERROR(__xludf.DUMMYFUNCTION("""COMPUTED_VALUE"""),"")</f>
        <v/>
      </c>
      <c r="L2312" s="17" t="str">
        <f>IFERROR(__xludf.DUMMYFUNCTION("""COMPUTED_VALUE"""),"")</f>
        <v/>
      </c>
      <c r="M2312" s="17" t="str">
        <f>IFERROR(__xludf.DUMMYFUNCTION("""COMPUTED_VALUE"""),"")</f>
        <v/>
      </c>
      <c r="N2312" s="17" t="str">
        <f>IFERROR(__xludf.DUMMYFUNCTION("""COMPUTED_VALUE"""),"")</f>
        <v/>
      </c>
      <c r="O2312" s="17" t="str">
        <f>IFERROR(__xludf.DUMMYFUNCTION("""COMPUTED_VALUE"""),"")</f>
        <v/>
      </c>
      <c r="P2312" s="17" t="str">
        <f>IFERROR(__xludf.DUMMYFUNCTION("""COMPUTED_VALUE"""),"")</f>
        <v/>
      </c>
      <c r="Q2312" s="17" t="str">
        <f>IFERROR(__xludf.DUMMYFUNCTION("""COMPUTED_VALUE"""),"")</f>
        <v/>
      </c>
      <c r="R2312" s="17" t="str">
        <f>IFERROR(__xludf.DUMMYFUNCTION("""COMPUTED_VALUE"""),"")</f>
        <v/>
      </c>
    </row>
    <row r="2313">
      <c r="A2313" s="15">
        <f>IFERROR(__xludf.DUMMYFUNCTION("""COMPUTED_VALUE"""),45070.0)</f>
        <v>45070</v>
      </c>
      <c r="B2313" s="16" t="str">
        <f>IFERROR(__xludf.DUMMYFUNCTION("""COMPUTED_VALUE"""),"Jeison Rubiano")</f>
        <v>Jeison Rubiano</v>
      </c>
      <c r="C2313" s="15" t="str">
        <f>IFERROR(__xludf.DUMMYFUNCTION("""COMPUTED_VALUE"""),"BOGOTÁ")</f>
        <v>BOGOTÁ</v>
      </c>
      <c r="D2313" s="15" t="str">
        <f>IFERROR(__xludf.DUMMYFUNCTION("""COMPUTED_VALUE"""),"MEDELLÍN")</f>
        <v>MEDELLÍN</v>
      </c>
      <c r="E2313" s="15" t="str">
        <f>IFERROR(__xludf.DUMMYFUNCTION("""COMPUTED_VALUE"""),"Baby Chef")</f>
        <v>Baby Chef</v>
      </c>
      <c r="F2313" s="17" t="str">
        <f>IFERROR(__xludf.DUMMYFUNCTION("""COMPUTED_VALUE"""),"Carrera 46 No. 20A - 29 Guardia policía militar No.13 Cantón Caldas - Barrio Puente Aranda - Edificio Puyana Apto 206 / Carrera 46 No. 20A - 29 Guardia policía militar No.13 Cantón Caldas - Barrio Puente Aranda - Edificio Puyana Apto 206 / LLAMAR PARA REC"&amp;"OGER PEDIDO")</f>
        <v>Carrera 46 No. 20A - 29 Guardia policía militar No.13 Cantón Caldas - Barrio Puente Aranda - Edificio Puyana Apto 206 / Carrera 46 No. 20A - 29 Guardia policía militar No.13 Cantón Caldas - Barrio Puente Aranda - Edificio Puyana Apto 206 / LLAMAR PARA RECOGER PEDIDO</v>
      </c>
      <c r="G2313" s="15" t="str">
        <f>IFERROR(__xludf.DUMMYFUNCTION("""COMPUTED_VALUE"""),"Lizer Jimenez Camargo")</f>
        <v>Lizer Jimenez Camargo</v>
      </c>
      <c r="H2313" s="16">
        <f>IFERROR(__xludf.DUMMYFUNCTION("""COMPUTED_VALUE"""),10966.0)</f>
        <v>10966</v>
      </c>
      <c r="I2313" s="18">
        <f>IFERROR(__xludf.DUMMYFUNCTION("""COMPUTED_VALUE"""),8.0)</f>
        <v>8</v>
      </c>
      <c r="J2313" s="18">
        <f>IFERROR(__xludf.DUMMYFUNCTION("""COMPUTED_VALUE"""),16.0)</f>
        <v>16</v>
      </c>
      <c r="K2313" s="18">
        <f>IFERROR(__xludf.DUMMYFUNCTION("""COMPUTED_VALUE"""),20.0)</f>
        <v>20</v>
      </c>
      <c r="L2313" s="17">
        <f>IFERROR(__xludf.DUMMYFUNCTION("""COMPUTED_VALUE"""),3.123691187E9)</f>
        <v>3123691187</v>
      </c>
      <c r="M2313" s="17" t="str">
        <f>IFERROR(__xludf.DUMMYFUNCTION("""COMPUTED_VALUE"""),"#REF!")</f>
        <v>#REF!</v>
      </c>
      <c r="N2313" s="17"/>
      <c r="O2313" s="17"/>
      <c r="P2313" s="17" t="b">
        <f>IFERROR(__xludf.DUMMYFUNCTION("""COMPUTED_VALUE"""),FALSE)</f>
        <v>0</v>
      </c>
      <c r="Q2313" s="20" t="str">
        <f>IFERROR(__xludf.DUMMYFUNCTION("""COMPUTED_VALUE"""),"")</f>
        <v/>
      </c>
      <c r="R2313" s="22" t="str">
        <f>IFERROR(__xludf.DUMMYFUNCTION("""COMPUTED_VALUE"""),"")</f>
        <v/>
      </c>
    </row>
    <row r="2314">
      <c r="A2314" s="17" t="str">
        <f>IFERROR(__xludf.DUMMYFUNCTION("""COMPUTED_VALUE"""),"")</f>
        <v/>
      </c>
      <c r="B2314" s="17" t="str">
        <f>IFERROR(__xludf.DUMMYFUNCTION("""COMPUTED_VALUE"""),"")</f>
        <v/>
      </c>
      <c r="C2314" s="17" t="str">
        <f>IFERROR(__xludf.DUMMYFUNCTION("""COMPUTED_VALUE"""),"")</f>
        <v/>
      </c>
      <c r="D2314" s="17" t="str">
        <f>IFERROR(__xludf.DUMMYFUNCTION("""COMPUTED_VALUE"""),"")</f>
        <v/>
      </c>
      <c r="E2314" s="17" t="str">
        <f>IFERROR(__xludf.DUMMYFUNCTION("""COMPUTED_VALUE"""),"")</f>
        <v/>
      </c>
      <c r="F2314" s="17" t="str">
        <f>IFERROR(__xludf.DUMMYFUNCTION("""COMPUTED_VALUE"""),"")</f>
        <v/>
      </c>
      <c r="G2314" s="17" t="str">
        <f>IFERROR(__xludf.DUMMYFUNCTION("""COMPUTED_VALUE"""),"")</f>
        <v/>
      </c>
      <c r="H2314" s="17" t="str">
        <f>IFERROR(__xludf.DUMMYFUNCTION("""COMPUTED_VALUE"""),"")</f>
        <v/>
      </c>
      <c r="I2314" s="17" t="str">
        <f>IFERROR(__xludf.DUMMYFUNCTION("""COMPUTED_VALUE"""),"")</f>
        <v/>
      </c>
      <c r="J2314" s="17" t="str">
        <f>IFERROR(__xludf.DUMMYFUNCTION("""COMPUTED_VALUE"""),"")</f>
        <v/>
      </c>
      <c r="K2314" s="17" t="str">
        <f>IFERROR(__xludf.DUMMYFUNCTION("""COMPUTED_VALUE"""),"")</f>
        <v/>
      </c>
      <c r="L2314" s="17" t="str">
        <f>IFERROR(__xludf.DUMMYFUNCTION("""COMPUTED_VALUE"""),"")</f>
        <v/>
      </c>
      <c r="M2314" s="17" t="str">
        <f>IFERROR(__xludf.DUMMYFUNCTION("""COMPUTED_VALUE"""),"")</f>
        <v/>
      </c>
      <c r="N2314" s="17" t="str">
        <f>IFERROR(__xludf.DUMMYFUNCTION("""COMPUTED_VALUE"""),"")</f>
        <v/>
      </c>
      <c r="O2314" s="17" t="str">
        <f>IFERROR(__xludf.DUMMYFUNCTION("""COMPUTED_VALUE"""),"")</f>
        <v/>
      </c>
      <c r="P2314" s="17" t="str">
        <f>IFERROR(__xludf.DUMMYFUNCTION("""COMPUTED_VALUE"""),"")</f>
        <v/>
      </c>
      <c r="Q2314" s="17" t="str">
        <f>IFERROR(__xludf.DUMMYFUNCTION("""COMPUTED_VALUE"""),"")</f>
        <v/>
      </c>
      <c r="R2314" s="17" t="str">
        <f>IFERROR(__xludf.DUMMYFUNCTION("""COMPUTED_VALUE"""),"")</f>
        <v/>
      </c>
    </row>
    <row r="2315">
      <c r="A2315" s="15">
        <f>IFERROR(__xludf.DUMMYFUNCTION("""COMPUTED_VALUE"""),45070.0)</f>
        <v>45070</v>
      </c>
      <c r="B2315" s="16" t="str">
        <f>IFERROR(__xludf.DUMMYFUNCTION("""COMPUTED_VALUE"""),"Jesus Manuel Herrera Medina ")</f>
        <v>Jesus Manuel Herrera Medina </v>
      </c>
      <c r="C2315" s="15" t="str">
        <f>IFERROR(__xludf.DUMMYFUNCTION("""COMPUTED_VALUE"""),"BUCARAMANGA")</f>
        <v>BUCARAMANGA</v>
      </c>
      <c r="D2315" s="15" t="str">
        <f>IFERROR(__xludf.DUMMYFUNCTION("""COMPUTED_VALUE"""),"BOGOTÁ")</f>
        <v>BOGOTÁ</v>
      </c>
      <c r="E2315" s="15" t="str">
        <f>IFERROR(__xludf.DUMMYFUNCTION("""COMPUTED_VALUE"""),"Helados Socos")</f>
        <v>Helados Socos</v>
      </c>
      <c r="F2315" s="17" t="str">
        <f>IFERROR(__xludf.DUMMYFUNCTION("""COMPUTED_VALUE"""),"Cra 8 A # 12 - 05  / apto 403 Conjunto Sacromonte  / Condominio Abadias")</f>
        <v>Cra 8 A # 12 - 05  / apto 403 Conjunto Sacromonte  / Condominio Abadias</v>
      </c>
      <c r="G2315" s="15" t="str">
        <f>IFERROR(__xludf.DUMMYFUNCTION("""COMPUTED_VALUE"""),"Eliana Pacheco")</f>
        <v>Eliana Pacheco</v>
      </c>
      <c r="H2315" s="16">
        <f>IFERROR(__xludf.DUMMYFUNCTION("""COMPUTED_VALUE"""),10865.0)</f>
        <v>10865</v>
      </c>
      <c r="I2315" s="18">
        <f>IFERROR(__xludf.DUMMYFUNCTION("""COMPUTED_VALUE"""),20.0)</f>
        <v>20</v>
      </c>
      <c r="J2315" s="18">
        <f>IFERROR(__xludf.DUMMYFUNCTION("""COMPUTED_VALUE"""),15.0)</f>
        <v>15</v>
      </c>
      <c r="K2315" s="18">
        <f>IFERROR(__xludf.DUMMYFUNCTION("""COMPUTED_VALUE"""),10.0)</f>
        <v>10</v>
      </c>
      <c r="L2315" s="17">
        <f>IFERROR(__xludf.DUMMYFUNCTION("""COMPUTED_VALUE"""),3.102654281E9)</f>
        <v>3102654281</v>
      </c>
      <c r="M2315" s="17" t="str">
        <f>IFERROR(__xludf.DUMMYFUNCTION("""COMPUTED_VALUE"""),"#REF!")</f>
        <v>#REF!</v>
      </c>
      <c r="N2315" s="17"/>
      <c r="O2315" s="17"/>
      <c r="P2315" s="17" t="b">
        <f>IFERROR(__xludf.DUMMYFUNCTION("""COMPUTED_VALUE"""),FALSE)</f>
        <v>0</v>
      </c>
      <c r="Q2315" s="20" t="str">
        <f>IFERROR(__xludf.DUMMYFUNCTION("""COMPUTED_VALUE"""),"")</f>
        <v/>
      </c>
      <c r="R2315" s="22" t="str">
        <f>IFERROR(__xludf.DUMMYFUNCTION("""COMPUTED_VALUE"""),"")</f>
        <v/>
      </c>
    </row>
    <row r="2316">
      <c r="A2316" s="15">
        <f>IFERROR(__xludf.DUMMYFUNCTION("""COMPUTED_VALUE"""),45070.0)</f>
        <v>45070</v>
      </c>
      <c r="B2316" s="16" t="str">
        <f>IFERROR(__xludf.DUMMYFUNCTION("""COMPUTED_VALUE"""),"Jesus Manuel Herrera Medina ")</f>
        <v>Jesus Manuel Herrera Medina </v>
      </c>
      <c r="C2316" s="15" t="str">
        <f>IFERROR(__xludf.DUMMYFUNCTION("""COMPUTED_VALUE"""),"FLORIDABLANCA")</f>
        <v>FLORIDABLANCA</v>
      </c>
      <c r="D2316" s="15" t="str">
        <f>IFERROR(__xludf.DUMMYFUNCTION("""COMPUTED_VALUE"""),"BOGOTÁ")</f>
        <v>BOGOTÁ</v>
      </c>
      <c r="E2316" s="15" t="str">
        <f>IFERROR(__xludf.DUMMYFUNCTION("""COMPUTED_VALUE"""),"Asociacion Agropecuaria Juana Maria")</f>
        <v>Asociacion Agropecuaria Juana Maria</v>
      </c>
      <c r="F2316" s="17" t="str">
        <f>IFERROR(__xludf.DUMMYFUNCTION("""COMPUTED_VALUE"""),"Calle 19 #11-37 Guanatá FLORIDABLANCA")</f>
        <v>Calle 19 #11-37 Guanatá FLORIDABLANCA</v>
      </c>
      <c r="G2316" s="15" t="str">
        <f>IFERROR(__xludf.DUMMYFUNCTION("""COMPUTED_VALUE"""),"Claudia Gonzalez")</f>
        <v>Claudia Gonzalez</v>
      </c>
      <c r="H2316" s="16">
        <f>IFERROR(__xludf.DUMMYFUNCTION("""COMPUTED_VALUE"""),10902.0)</f>
        <v>10902</v>
      </c>
      <c r="I2316" s="18">
        <f>IFERROR(__xludf.DUMMYFUNCTION("""COMPUTED_VALUE"""),21.0)</f>
        <v>21</v>
      </c>
      <c r="J2316" s="18">
        <f>IFERROR(__xludf.DUMMYFUNCTION("""COMPUTED_VALUE"""),37.0)</f>
        <v>37</v>
      </c>
      <c r="K2316" s="18">
        <f>IFERROR(__xludf.DUMMYFUNCTION("""COMPUTED_VALUE"""),30.0)</f>
        <v>30</v>
      </c>
      <c r="L2316" s="17">
        <f>IFERROR(__xludf.DUMMYFUNCTION("""COMPUTED_VALUE"""),3.002802001E9)</f>
        <v>3002802001</v>
      </c>
      <c r="M2316" s="17" t="str">
        <f>IFERROR(__xludf.DUMMYFUNCTION("""COMPUTED_VALUE"""),"#REF!")</f>
        <v>#REF!</v>
      </c>
      <c r="N2316" s="17"/>
      <c r="O2316" s="17"/>
      <c r="P2316" s="17" t="b">
        <f>IFERROR(__xludf.DUMMYFUNCTION("""COMPUTED_VALUE"""),FALSE)</f>
        <v>0</v>
      </c>
      <c r="Q2316" s="20" t="str">
        <f>IFERROR(__xludf.DUMMYFUNCTION("""COMPUTED_VALUE"""),"")</f>
        <v/>
      </c>
      <c r="R2316" s="21" t="str">
        <f>IFERROR(__xludf.DUMMYFUNCTION("""COMPUTED_VALUE"""),"https://drive.google.com/file/d/1f6Ofz1gBsVDKxOf1Mum7d7cwBBh2XYjj/view?usp=drivesdk")</f>
        <v>https://drive.google.com/file/d/1f6Ofz1gBsVDKxOf1Mum7d7cwBBh2XYjj/view?usp=drivesdk</v>
      </c>
    </row>
    <row r="2317">
      <c r="A2317" s="15">
        <f>IFERROR(__xludf.DUMMYFUNCTION("""COMPUTED_VALUE"""),45070.0)</f>
        <v>45070</v>
      </c>
      <c r="B2317" s="16" t="str">
        <f>IFERROR(__xludf.DUMMYFUNCTION("""COMPUTED_VALUE"""),"Jesus Manuel Herrera Medina ")</f>
        <v>Jesus Manuel Herrera Medina </v>
      </c>
      <c r="C2317" s="15" t="str">
        <f>IFERROR(__xludf.DUMMYFUNCTION("""COMPUTED_VALUE"""),"PEREIRA")</f>
        <v>PEREIRA</v>
      </c>
      <c r="D2317" s="15" t="str">
        <f>IFERROR(__xludf.DUMMYFUNCTION("""COMPUTED_VALUE"""),"BOGOTÁ")</f>
        <v>BOGOTÁ</v>
      </c>
      <c r="E2317" s="15" t="str">
        <f>IFERROR(__xludf.DUMMYFUNCTION("""COMPUTED_VALUE"""),"Lunchy Kids")</f>
        <v>Lunchy Kids</v>
      </c>
      <c r="F2317" s="17" t="str">
        <f>IFERROR(__xludf.DUMMYFUNCTION("""COMPUTED_VALUE"""),"Dg 25f 18 t 93  / Guaduales de Milan Mz 1 Cs 12   / Dosquebradas, Risaralda")</f>
        <v>Dg 25f 18 t 93  / Guaduales de Milan Mz 1 Cs 12   / Dosquebradas, Risaralda</v>
      </c>
      <c r="G2317" s="15" t="str">
        <f>IFERROR(__xludf.DUMMYFUNCTION("""COMPUTED_VALUE"""),"Manuela Franco")</f>
        <v>Manuela Franco</v>
      </c>
      <c r="H2317" s="16">
        <f>IFERROR(__xludf.DUMMYFUNCTION("""COMPUTED_VALUE"""),10888.0)</f>
        <v>10888</v>
      </c>
      <c r="I2317" s="18">
        <f>IFERROR(__xludf.DUMMYFUNCTION("""COMPUTED_VALUE"""),15.0)</f>
        <v>15</v>
      </c>
      <c r="J2317" s="18">
        <f>IFERROR(__xludf.DUMMYFUNCTION("""COMPUTED_VALUE"""),21.0)</f>
        <v>21</v>
      </c>
      <c r="K2317" s="18">
        <f>IFERROR(__xludf.DUMMYFUNCTION("""COMPUTED_VALUE"""),9.0)</f>
        <v>9</v>
      </c>
      <c r="L2317" s="17">
        <f>IFERROR(__xludf.DUMMYFUNCTION("""COMPUTED_VALUE"""),3.148120157E9)</f>
        <v>3148120157</v>
      </c>
      <c r="M2317" s="17" t="str">
        <f>IFERROR(__xludf.DUMMYFUNCTION("""COMPUTED_VALUE"""),"#REF!")</f>
        <v>#REF!</v>
      </c>
      <c r="N2317" s="17"/>
      <c r="O2317" s="17"/>
      <c r="P2317" s="17" t="b">
        <f>IFERROR(__xludf.DUMMYFUNCTION("""COMPUTED_VALUE"""),FALSE)</f>
        <v>0</v>
      </c>
      <c r="Q2317" s="20" t="str">
        <f>IFERROR(__xludf.DUMMYFUNCTION("""COMPUTED_VALUE"""),"")</f>
        <v/>
      </c>
      <c r="R2317" s="21" t="str">
        <f>IFERROR(__xludf.DUMMYFUNCTION("""COMPUTED_VALUE"""),"https://drive.google.com/file/d/1n19kEHVmFei-Qmett_oesuQ2_xC1ZKRK/view?usp=drivesdk")</f>
        <v>https://drive.google.com/file/d/1n19kEHVmFei-Qmett_oesuQ2_xC1ZKRK/view?usp=drivesdk</v>
      </c>
    </row>
    <row r="2318">
      <c r="A2318" s="15">
        <f>IFERROR(__xludf.DUMMYFUNCTION("""COMPUTED_VALUE"""),45070.0)</f>
        <v>45070</v>
      </c>
      <c r="B2318" s="16" t="str">
        <f>IFERROR(__xludf.DUMMYFUNCTION("""COMPUTED_VALUE"""),"Jesus Manuel Herrera Medina ")</f>
        <v>Jesus Manuel Herrera Medina </v>
      </c>
      <c r="C2318" s="15" t="str">
        <f>IFERROR(__xludf.DUMMYFUNCTION("""COMPUTED_VALUE"""),"PEREIRA")</f>
        <v>PEREIRA</v>
      </c>
      <c r="D2318" s="15" t="str">
        <f>IFERROR(__xludf.DUMMYFUNCTION("""COMPUTED_VALUE"""),"MEDELLÍN")</f>
        <v>MEDELLÍN</v>
      </c>
      <c r="E2318" s="15" t="str">
        <f>IFERROR(__xludf.DUMMYFUNCTION("""COMPUTED_VALUE"""),"Baby Chef")</f>
        <v>Baby Chef</v>
      </c>
      <c r="F2318" s="17" t="str">
        <f>IFERROR(__xludf.DUMMYFUNCTION("""COMPUTED_VALUE"""),"avenida sur nro 44-51 casa k102 altos de tanambi  / avenida sur nro 44-51 casa k102 altos de tanambi  / avenida sur nro 44-51 casa k102 altos de tanambi")</f>
        <v>avenida sur nro 44-51 casa k102 altos de tanambi  / avenida sur nro 44-51 casa k102 altos de tanambi  / avenida sur nro 44-51 casa k102 altos de tanambi</v>
      </c>
      <c r="G2318" s="15" t="str">
        <f>IFERROR(__xludf.DUMMYFUNCTION("""COMPUTED_VALUE"""),"Angelica Maria Velez")</f>
        <v>Angelica Maria Velez</v>
      </c>
      <c r="H2318" s="16">
        <f>IFERROR(__xludf.DUMMYFUNCTION("""COMPUTED_VALUE"""),10957.0)</f>
        <v>10957</v>
      </c>
      <c r="I2318" s="18">
        <f>IFERROR(__xludf.DUMMYFUNCTION("""COMPUTED_VALUE"""),8.0)</f>
        <v>8</v>
      </c>
      <c r="J2318" s="18">
        <f>IFERROR(__xludf.DUMMYFUNCTION("""COMPUTED_VALUE"""),16.0)</f>
        <v>16</v>
      </c>
      <c r="K2318" s="18">
        <f>IFERROR(__xludf.DUMMYFUNCTION("""COMPUTED_VALUE"""),20.0)</f>
        <v>20</v>
      </c>
      <c r="L2318" s="17">
        <f>IFERROR(__xludf.DUMMYFUNCTION("""COMPUTED_VALUE"""),3.137371187E9)</f>
        <v>3137371187</v>
      </c>
      <c r="M2318" s="17" t="str">
        <f>IFERROR(__xludf.DUMMYFUNCTION("""COMPUTED_VALUE"""),"#REF!")</f>
        <v>#REF!</v>
      </c>
      <c r="N2318" s="17"/>
      <c r="O2318" s="17"/>
      <c r="P2318" s="17" t="b">
        <f>IFERROR(__xludf.DUMMYFUNCTION("""COMPUTED_VALUE"""),FALSE)</f>
        <v>0</v>
      </c>
      <c r="Q2318" s="20" t="str">
        <f>IFERROR(__xludf.DUMMYFUNCTION("""COMPUTED_VALUE"""),"")</f>
        <v/>
      </c>
      <c r="R2318" s="21" t="str">
        <f>IFERROR(__xludf.DUMMYFUNCTION("""COMPUTED_VALUE"""),"https://drive.google.com/file/d/1qK9zSLp-j6aFOwUWrA8n34Aa9qyUtr7E/view?usp=drivesdk")</f>
        <v>https://drive.google.com/file/d/1qK9zSLp-j6aFOwUWrA8n34Aa9qyUtr7E/view?usp=drivesdk</v>
      </c>
    </row>
    <row r="2319">
      <c r="A2319" s="17" t="str">
        <f>IFERROR(__xludf.DUMMYFUNCTION("""COMPUTED_VALUE"""),"")</f>
        <v/>
      </c>
      <c r="B2319" s="17" t="str">
        <f>IFERROR(__xludf.DUMMYFUNCTION("""COMPUTED_VALUE"""),"")</f>
        <v/>
      </c>
      <c r="C2319" s="17" t="str">
        <f>IFERROR(__xludf.DUMMYFUNCTION("""COMPUTED_VALUE"""),"")</f>
        <v/>
      </c>
      <c r="D2319" s="17" t="str">
        <f>IFERROR(__xludf.DUMMYFUNCTION("""COMPUTED_VALUE"""),"")</f>
        <v/>
      </c>
      <c r="E2319" s="17" t="str">
        <f>IFERROR(__xludf.DUMMYFUNCTION("""COMPUTED_VALUE"""),"")</f>
        <v/>
      </c>
      <c r="F2319" s="17" t="str">
        <f>IFERROR(__xludf.DUMMYFUNCTION("""COMPUTED_VALUE"""),"")</f>
        <v/>
      </c>
      <c r="G2319" s="17" t="str">
        <f>IFERROR(__xludf.DUMMYFUNCTION("""COMPUTED_VALUE"""),"")</f>
        <v/>
      </c>
      <c r="H2319" s="17" t="str">
        <f>IFERROR(__xludf.DUMMYFUNCTION("""COMPUTED_VALUE"""),"")</f>
        <v/>
      </c>
      <c r="I2319" s="17" t="str">
        <f>IFERROR(__xludf.DUMMYFUNCTION("""COMPUTED_VALUE"""),"")</f>
        <v/>
      </c>
      <c r="J2319" s="17" t="str">
        <f>IFERROR(__xludf.DUMMYFUNCTION("""COMPUTED_VALUE"""),"")</f>
        <v/>
      </c>
      <c r="K2319" s="17" t="str">
        <f>IFERROR(__xludf.DUMMYFUNCTION("""COMPUTED_VALUE"""),"")</f>
        <v/>
      </c>
      <c r="L2319" s="17" t="str">
        <f>IFERROR(__xludf.DUMMYFUNCTION("""COMPUTED_VALUE"""),"")</f>
        <v/>
      </c>
      <c r="M2319" s="17" t="str">
        <f>IFERROR(__xludf.DUMMYFUNCTION("""COMPUTED_VALUE"""),"")</f>
        <v/>
      </c>
      <c r="N2319" s="17" t="str">
        <f>IFERROR(__xludf.DUMMYFUNCTION("""COMPUTED_VALUE"""),"")</f>
        <v/>
      </c>
      <c r="O2319" s="17" t="str">
        <f>IFERROR(__xludf.DUMMYFUNCTION("""COMPUTED_VALUE"""),"")</f>
        <v/>
      </c>
      <c r="P2319" s="17" t="str">
        <f>IFERROR(__xludf.DUMMYFUNCTION("""COMPUTED_VALUE"""),"")</f>
        <v/>
      </c>
      <c r="Q2319" s="17" t="str">
        <f>IFERROR(__xludf.DUMMYFUNCTION("""COMPUTED_VALUE"""),"")</f>
        <v/>
      </c>
      <c r="R2319" s="17" t="str">
        <f>IFERROR(__xludf.DUMMYFUNCTION("""COMPUTED_VALUE"""),"")</f>
        <v/>
      </c>
    </row>
    <row r="2320">
      <c r="A2320" s="15">
        <f>IFERROR(__xludf.DUMMYFUNCTION("""COMPUTED_VALUE"""),45070.0)</f>
        <v>45070</v>
      </c>
      <c r="B2320" s="16" t="str">
        <f>IFERROR(__xludf.DUMMYFUNCTION("""COMPUTED_VALUE"""),"Jhon Anderson Ceballos Hernandez")</f>
        <v>Jhon Anderson Ceballos Hernandez</v>
      </c>
      <c r="C2320" s="15" t="str">
        <f>IFERROR(__xludf.DUMMYFUNCTION("""COMPUTED_VALUE"""),"MANIZALES")</f>
        <v>MANIZALES</v>
      </c>
      <c r="D2320" s="15" t="str">
        <f>IFERROR(__xludf.DUMMYFUNCTION("""COMPUTED_VALUE"""),"BOGOTÁ")</f>
        <v>BOGOTÁ</v>
      </c>
      <c r="E2320" s="15" t="str">
        <f>IFERROR(__xludf.DUMMYFUNCTION("""COMPUTED_VALUE"""),"Evamazzita")</f>
        <v>Evamazzita</v>
      </c>
      <c r="F2320" s="17" t="str">
        <f>IFERROR(__xludf.DUMMYFUNCTION("""COMPUTED_VALUE"""),"calle 43 # 5 - 110  / Paisajes del cerro, Torre A apto 1304  / Palo negro")</f>
        <v>calle 43 # 5 - 110  / Paisajes del cerro, Torre A apto 1304  / Palo negro</v>
      </c>
      <c r="G2320" s="15" t="str">
        <f>IFERROR(__xludf.DUMMYFUNCTION("""COMPUTED_VALUE"""),"JULIANA RAMIREZ")</f>
        <v>JULIANA RAMIREZ</v>
      </c>
      <c r="H2320" s="16">
        <f>IFERROR(__xludf.DUMMYFUNCTION("""COMPUTED_VALUE"""),10921.0)</f>
        <v>10921</v>
      </c>
      <c r="I2320" s="18">
        <f>IFERROR(__xludf.DUMMYFUNCTION("""COMPUTED_VALUE"""),3.0)</f>
        <v>3</v>
      </c>
      <c r="J2320" s="18">
        <f>IFERROR(__xludf.DUMMYFUNCTION("""COMPUTED_VALUE"""),15.0)</f>
        <v>15</v>
      </c>
      <c r="K2320" s="18">
        <f>IFERROR(__xludf.DUMMYFUNCTION("""COMPUTED_VALUE"""),20.0)</f>
        <v>20</v>
      </c>
      <c r="L2320" s="17">
        <f>IFERROR(__xludf.DUMMYFUNCTION("""COMPUTED_VALUE"""),3.135633532E9)</f>
        <v>3135633532</v>
      </c>
      <c r="M2320" s="17" t="str">
        <f>IFERROR(__xludf.DUMMYFUNCTION("""COMPUTED_VALUE"""),"#REF!")</f>
        <v>#REF!</v>
      </c>
      <c r="N2320" s="17"/>
      <c r="O2320" s="17"/>
      <c r="P2320" s="17" t="b">
        <f>IFERROR(__xludf.DUMMYFUNCTION("""COMPUTED_VALUE"""),FALSE)</f>
        <v>0</v>
      </c>
      <c r="Q2320" s="20" t="str">
        <f>IFERROR(__xludf.DUMMYFUNCTION("""COMPUTED_VALUE"""),"")</f>
        <v/>
      </c>
      <c r="R2320" s="21" t="str">
        <f>IFERROR(__xludf.DUMMYFUNCTION("""COMPUTED_VALUE"""),"https://drive.google.com/file/d/1GIci31PMB038-W14lP-_cPP6qfWRbR7w/view?usp=drivesdk")</f>
        <v>https://drive.google.com/file/d/1GIci31PMB038-W14lP-_cPP6qfWRbR7w/view?usp=drivesdk</v>
      </c>
    </row>
    <row r="2321">
      <c r="A2321" s="15">
        <f>IFERROR(__xludf.DUMMYFUNCTION("""COMPUTED_VALUE"""),45070.0)</f>
        <v>45070</v>
      </c>
      <c r="B2321" s="16" t="str">
        <f>IFERROR(__xludf.DUMMYFUNCTION("""COMPUTED_VALUE"""),"Jhon Anderson Ceballos Hernandez")</f>
        <v>Jhon Anderson Ceballos Hernandez</v>
      </c>
      <c r="C2321" s="15" t="str">
        <f>IFERROR(__xludf.DUMMYFUNCTION("""COMPUTED_VALUE"""),"MANIZALES")</f>
        <v>MANIZALES</v>
      </c>
      <c r="D2321" s="15" t="str">
        <f>IFERROR(__xludf.DUMMYFUNCTION("""COMPUTED_VALUE"""),"BOGOTÁ")</f>
        <v>BOGOTÁ</v>
      </c>
      <c r="E2321" s="15" t="str">
        <f>IFERROR(__xludf.DUMMYFUNCTION("""COMPUTED_VALUE"""),"Evamazzita")</f>
        <v>Evamazzita</v>
      </c>
      <c r="F2321" s="17" t="str">
        <f>IFERROR(__xludf.DUMMYFUNCTION("""COMPUTED_VALUE"""),"CRA 28 No. 48-54  / APTO 1301 / EDIFICIO ARBOLEDA DEL CAMPIN")</f>
        <v>CRA 28 No. 48-54  / APTO 1301 / EDIFICIO ARBOLEDA DEL CAMPIN</v>
      </c>
      <c r="G2321" s="15" t="str">
        <f>IFERROR(__xludf.DUMMYFUNCTION("""COMPUTED_VALUE"""),"YUDY AGUIRRE CASTRO")</f>
        <v>YUDY AGUIRRE CASTRO</v>
      </c>
      <c r="H2321" s="16">
        <f>IFERROR(__xludf.DUMMYFUNCTION("""COMPUTED_VALUE"""),10922.0)</f>
        <v>10922</v>
      </c>
      <c r="I2321" s="18">
        <f>IFERROR(__xludf.DUMMYFUNCTION("""COMPUTED_VALUE"""),3.0)</f>
        <v>3</v>
      </c>
      <c r="J2321" s="18">
        <f>IFERROR(__xludf.DUMMYFUNCTION("""COMPUTED_VALUE"""),20.0)</f>
        <v>20</v>
      </c>
      <c r="K2321" s="18">
        <f>IFERROR(__xludf.DUMMYFUNCTION("""COMPUTED_VALUE"""),15.0)</f>
        <v>15</v>
      </c>
      <c r="L2321" s="17">
        <f>IFERROR(__xludf.DUMMYFUNCTION("""COMPUTED_VALUE"""),3.147674571E9)</f>
        <v>3147674571</v>
      </c>
      <c r="M2321" s="17" t="str">
        <f>IFERROR(__xludf.DUMMYFUNCTION("""COMPUTED_VALUE"""),"#REF!")</f>
        <v>#REF!</v>
      </c>
      <c r="N2321" s="17"/>
      <c r="O2321" s="17"/>
      <c r="P2321" s="17" t="b">
        <f>IFERROR(__xludf.DUMMYFUNCTION("""COMPUTED_VALUE"""),FALSE)</f>
        <v>0</v>
      </c>
      <c r="Q2321" s="20" t="str">
        <f>IFERROR(__xludf.DUMMYFUNCTION("""COMPUTED_VALUE"""),"")</f>
        <v/>
      </c>
      <c r="R2321" s="21" t="str">
        <f>IFERROR(__xludf.DUMMYFUNCTION("""COMPUTED_VALUE"""),"https://drive.google.com/file/d/1Spw1fnh6UKiipAXbhe9BqusCnGUs9InB/view?usp=drivesdk")</f>
        <v>https://drive.google.com/file/d/1Spw1fnh6UKiipAXbhe9BqusCnGUs9InB/view?usp=drivesdk</v>
      </c>
    </row>
    <row r="2322">
      <c r="A2322" s="15">
        <f>IFERROR(__xludf.DUMMYFUNCTION("""COMPUTED_VALUE"""),45070.0)</f>
        <v>45070</v>
      </c>
      <c r="B2322" s="16" t="str">
        <f>IFERROR(__xludf.DUMMYFUNCTION("""COMPUTED_VALUE"""),"Jhon Anderson Ceballos Hernandez")</f>
        <v>Jhon Anderson Ceballos Hernandez</v>
      </c>
      <c r="C2322" s="15" t="str">
        <f>IFERROR(__xludf.DUMMYFUNCTION("""COMPUTED_VALUE"""),"MANIZALES")</f>
        <v>MANIZALES</v>
      </c>
      <c r="D2322" s="15" t="str">
        <f>IFERROR(__xludf.DUMMYFUNCTION("""COMPUTED_VALUE"""),"BOGOTÁ")</f>
        <v>BOGOTÁ</v>
      </c>
      <c r="E2322" s="15" t="str">
        <f>IFERROR(__xludf.DUMMYFUNCTION("""COMPUTED_VALUE"""),"Helados Socos")</f>
        <v>Helados Socos</v>
      </c>
      <c r="F2322" s="17" t="str">
        <f>IFERROR(__xludf.DUMMYFUNCTION("""COMPUTED_VALUE"""),"Cra 20 A # 71 - 51  / Alta suiza cristales 2 apto 503 / Manizales")</f>
        <v>Cra 20 A # 71 - 51  / Alta suiza cristales 2 apto 503 / Manizales</v>
      </c>
      <c r="G2322" s="15" t="str">
        <f>IFERROR(__xludf.DUMMYFUNCTION("""COMPUTED_VALUE"""),"Veronica Ciro")</f>
        <v>Veronica Ciro</v>
      </c>
      <c r="H2322" s="16">
        <f>IFERROR(__xludf.DUMMYFUNCTION("""COMPUTED_VALUE"""),10889.0)</f>
        <v>10889</v>
      </c>
      <c r="I2322" s="18">
        <f>IFERROR(__xludf.DUMMYFUNCTION("""COMPUTED_VALUE"""),15.0)</f>
        <v>15</v>
      </c>
      <c r="J2322" s="18">
        <f>IFERROR(__xludf.DUMMYFUNCTION("""COMPUTED_VALUE"""),15.0)</f>
        <v>15</v>
      </c>
      <c r="K2322" s="18">
        <f>IFERROR(__xludf.DUMMYFUNCTION("""COMPUTED_VALUE"""),10.0)</f>
        <v>10</v>
      </c>
      <c r="L2322" s="17">
        <f>IFERROR(__xludf.DUMMYFUNCTION("""COMPUTED_VALUE"""),3.207045717E9)</f>
        <v>3207045717</v>
      </c>
      <c r="M2322" s="17" t="str">
        <f>IFERROR(__xludf.DUMMYFUNCTION("""COMPUTED_VALUE"""),"#REF!")</f>
        <v>#REF!</v>
      </c>
      <c r="N2322" s="17"/>
      <c r="O2322" s="17"/>
      <c r="P2322" s="17" t="b">
        <f>IFERROR(__xludf.DUMMYFUNCTION("""COMPUTED_VALUE"""),FALSE)</f>
        <v>0</v>
      </c>
      <c r="Q2322" s="20" t="str">
        <f>IFERROR(__xludf.DUMMYFUNCTION("""COMPUTED_VALUE"""),"")</f>
        <v/>
      </c>
      <c r="R2322" s="21" t="str">
        <f>IFERROR(__xludf.DUMMYFUNCTION("""COMPUTED_VALUE"""),"https://drive.google.com/file/d/1pAjTsvGNUFoMtkBUEPpCC6RiBlinUGX6/view?usp=drivesdk")</f>
        <v>https://drive.google.com/file/d/1pAjTsvGNUFoMtkBUEPpCC6RiBlinUGX6/view?usp=drivesdk</v>
      </c>
    </row>
    <row r="2323">
      <c r="A2323" s="15">
        <f>IFERROR(__xludf.DUMMYFUNCTION("""COMPUTED_VALUE"""),45070.0)</f>
        <v>45070</v>
      </c>
      <c r="B2323" s="16" t="str">
        <f>IFERROR(__xludf.DUMMYFUNCTION("""COMPUTED_VALUE"""),"Jhon Anderson Ceballos Hernandez")</f>
        <v>Jhon Anderson Ceballos Hernandez</v>
      </c>
      <c r="C2323" s="15" t="str">
        <f>IFERROR(__xludf.DUMMYFUNCTION("""COMPUTED_VALUE"""),"TUNJA")</f>
        <v>TUNJA</v>
      </c>
      <c r="D2323" s="15" t="str">
        <f>IFERROR(__xludf.DUMMYFUNCTION("""COMPUTED_VALUE"""),"BOGOTÁ")</f>
        <v>BOGOTÁ</v>
      </c>
      <c r="E2323" s="15" t="str">
        <f>IFERROR(__xludf.DUMMYFUNCTION("""COMPUTED_VALUE"""),"Evamazzita")</f>
        <v>Evamazzita</v>
      </c>
      <c r="F2323" s="17" t="str">
        <f>IFERROR(__xludf.DUMMYFUNCTION("""COMPUTED_VALUE"""),"Carrera 7#15-63  / hotel el consuelo   / Barrio: consuelo")</f>
        <v>Carrera 7#15-63  / hotel el consuelo   / Barrio: consuelo</v>
      </c>
      <c r="G2323" s="15" t="str">
        <f>IFERROR(__xludf.DUMMYFUNCTION("""COMPUTED_VALUE"""),"LILIANA PALACIOS")</f>
        <v>LILIANA PALACIOS</v>
      </c>
      <c r="H2323" s="16">
        <f>IFERROR(__xludf.DUMMYFUNCTION("""COMPUTED_VALUE"""),10939.0)</f>
        <v>10939</v>
      </c>
      <c r="I2323" s="18">
        <f>IFERROR(__xludf.DUMMYFUNCTION("""COMPUTED_VALUE"""),10.0)</f>
        <v>10</v>
      </c>
      <c r="J2323" s="18">
        <f>IFERROR(__xludf.DUMMYFUNCTION("""COMPUTED_VALUE"""),18.0)</f>
        <v>18</v>
      </c>
      <c r="K2323" s="18">
        <f>IFERROR(__xludf.DUMMYFUNCTION("""COMPUTED_VALUE"""),22.0)</f>
        <v>22</v>
      </c>
      <c r="L2323" s="17">
        <f>IFERROR(__xludf.DUMMYFUNCTION("""COMPUTED_VALUE"""),3.102487016E9)</f>
        <v>3102487016</v>
      </c>
      <c r="M2323" s="17" t="str">
        <f>IFERROR(__xludf.DUMMYFUNCTION("""COMPUTED_VALUE"""),"#REF!")</f>
        <v>#REF!</v>
      </c>
      <c r="N2323" s="17"/>
      <c r="O2323" s="17"/>
      <c r="P2323" s="17" t="b">
        <f>IFERROR(__xludf.DUMMYFUNCTION("""COMPUTED_VALUE"""),FALSE)</f>
        <v>0</v>
      </c>
      <c r="Q2323" s="20" t="str">
        <f>IFERROR(__xludf.DUMMYFUNCTION("""COMPUTED_VALUE"""),"")</f>
        <v/>
      </c>
      <c r="R2323" s="22" t="str">
        <f>IFERROR(__xludf.DUMMYFUNCTION("""COMPUTED_VALUE"""),"")</f>
        <v/>
      </c>
    </row>
    <row r="2324">
      <c r="A2324" s="15">
        <f>IFERROR(__xludf.DUMMYFUNCTION("""COMPUTED_VALUE"""),45070.0)</f>
        <v>45070</v>
      </c>
      <c r="B2324" s="16" t="str">
        <f>IFERROR(__xludf.DUMMYFUNCTION("""COMPUTED_VALUE"""),"Jhon Anderson Ceballos Hernandez")</f>
        <v>Jhon Anderson Ceballos Hernandez</v>
      </c>
      <c r="C2324" s="15" t="str">
        <f>IFERROR(__xludf.DUMMYFUNCTION("""COMPUTED_VALUE"""),"TUNJA")</f>
        <v>TUNJA</v>
      </c>
      <c r="D2324" s="15" t="str">
        <f>IFERROR(__xludf.DUMMYFUNCTION("""COMPUTED_VALUE"""),"BOGOTÁ")</f>
        <v>BOGOTÁ</v>
      </c>
      <c r="E2324" s="15" t="str">
        <f>IFERROR(__xludf.DUMMYFUNCTION("""COMPUTED_VALUE"""),"Evamazzita")</f>
        <v>Evamazzita</v>
      </c>
      <c r="F2324" s="17" t="str">
        <f>IFERROR(__xludf.DUMMYFUNCTION("""COMPUTED_VALUE"""),"Diagonal 66A # 4-20  / N/A / Barrio Los Muiscas")</f>
        <v>Diagonal 66A # 4-20  / N/A / Barrio Los Muiscas</v>
      </c>
      <c r="G2324" s="15" t="str">
        <f>IFERROR(__xludf.DUMMYFUNCTION("""COMPUTED_VALUE"""),"MERY YOLIMA URIBE RIOS")</f>
        <v>MERY YOLIMA URIBE RIOS</v>
      </c>
      <c r="H2324" s="16">
        <f>IFERROR(__xludf.DUMMYFUNCTION("""COMPUTED_VALUE"""),10938.0)</f>
        <v>10938</v>
      </c>
      <c r="I2324" s="18">
        <f>IFERROR(__xludf.DUMMYFUNCTION("""COMPUTED_VALUE"""),3.0)</f>
        <v>3</v>
      </c>
      <c r="J2324" s="18">
        <f>IFERROR(__xludf.DUMMYFUNCTION("""COMPUTED_VALUE"""),20.0)</f>
        <v>20</v>
      </c>
      <c r="K2324" s="18">
        <f>IFERROR(__xludf.DUMMYFUNCTION("""COMPUTED_VALUE"""),15.0)</f>
        <v>15</v>
      </c>
      <c r="L2324" s="17">
        <f>IFERROR(__xludf.DUMMYFUNCTION("""COMPUTED_VALUE"""),3.102399974E9)</f>
        <v>3102399974</v>
      </c>
      <c r="M2324" s="17" t="str">
        <f>IFERROR(__xludf.DUMMYFUNCTION("""COMPUTED_VALUE"""),"#REF!")</f>
        <v>#REF!</v>
      </c>
      <c r="N2324" s="17"/>
      <c r="O2324" s="17"/>
      <c r="P2324" s="17" t="b">
        <f>IFERROR(__xludf.DUMMYFUNCTION("""COMPUTED_VALUE"""),FALSE)</f>
        <v>0</v>
      </c>
      <c r="Q2324" s="20" t="str">
        <f>IFERROR(__xludf.DUMMYFUNCTION("""COMPUTED_VALUE"""),"")</f>
        <v/>
      </c>
      <c r="R2324" s="22" t="str">
        <f>IFERROR(__xludf.DUMMYFUNCTION("""COMPUTED_VALUE"""),"")</f>
        <v/>
      </c>
    </row>
    <row r="2325">
      <c r="A2325" s="17" t="str">
        <f>IFERROR(__xludf.DUMMYFUNCTION("""COMPUTED_VALUE"""),"")</f>
        <v/>
      </c>
      <c r="B2325" s="17" t="str">
        <f>IFERROR(__xludf.DUMMYFUNCTION("""COMPUTED_VALUE"""),"")</f>
        <v/>
      </c>
      <c r="C2325" s="17" t="str">
        <f>IFERROR(__xludf.DUMMYFUNCTION("""COMPUTED_VALUE"""),"")</f>
        <v/>
      </c>
      <c r="D2325" s="17" t="str">
        <f>IFERROR(__xludf.DUMMYFUNCTION("""COMPUTED_VALUE"""),"")</f>
        <v/>
      </c>
      <c r="E2325" s="17" t="str">
        <f>IFERROR(__xludf.DUMMYFUNCTION("""COMPUTED_VALUE"""),"")</f>
        <v/>
      </c>
      <c r="F2325" s="17" t="str">
        <f>IFERROR(__xludf.DUMMYFUNCTION("""COMPUTED_VALUE"""),"")</f>
        <v/>
      </c>
      <c r="G2325" s="17" t="str">
        <f>IFERROR(__xludf.DUMMYFUNCTION("""COMPUTED_VALUE"""),"")</f>
        <v/>
      </c>
      <c r="H2325" s="17" t="str">
        <f>IFERROR(__xludf.DUMMYFUNCTION("""COMPUTED_VALUE"""),"")</f>
        <v/>
      </c>
      <c r="I2325" s="17" t="str">
        <f>IFERROR(__xludf.DUMMYFUNCTION("""COMPUTED_VALUE"""),"")</f>
        <v/>
      </c>
      <c r="J2325" s="17" t="str">
        <f>IFERROR(__xludf.DUMMYFUNCTION("""COMPUTED_VALUE"""),"")</f>
        <v/>
      </c>
      <c r="K2325" s="17" t="str">
        <f>IFERROR(__xludf.DUMMYFUNCTION("""COMPUTED_VALUE"""),"")</f>
        <v/>
      </c>
      <c r="L2325" s="17" t="str">
        <f>IFERROR(__xludf.DUMMYFUNCTION("""COMPUTED_VALUE"""),"")</f>
        <v/>
      </c>
      <c r="M2325" s="17" t="str">
        <f>IFERROR(__xludf.DUMMYFUNCTION("""COMPUTED_VALUE"""),"")</f>
        <v/>
      </c>
      <c r="N2325" s="17" t="str">
        <f>IFERROR(__xludf.DUMMYFUNCTION("""COMPUTED_VALUE"""),"")</f>
        <v/>
      </c>
      <c r="O2325" s="17" t="str">
        <f>IFERROR(__xludf.DUMMYFUNCTION("""COMPUTED_VALUE"""),"")</f>
        <v/>
      </c>
      <c r="P2325" s="17" t="str">
        <f>IFERROR(__xludf.DUMMYFUNCTION("""COMPUTED_VALUE"""),"")</f>
        <v/>
      </c>
      <c r="Q2325" s="17" t="str">
        <f>IFERROR(__xludf.DUMMYFUNCTION("""COMPUTED_VALUE"""),"")</f>
        <v/>
      </c>
      <c r="R2325" s="17" t="str">
        <f>IFERROR(__xludf.DUMMYFUNCTION("""COMPUTED_VALUE"""),"")</f>
        <v/>
      </c>
    </row>
    <row r="2326">
      <c r="A2326" s="15">
        <f>IFERROR(__xludf.DUMMYFUNCTION("""COMPUTED_VALUE"""),45070.0)</f>
        <v>45070</v>
      </c>
      <c r="B2326" s="16" t="str">
        <f>IFERROR(__xludf.DUMMYFUNCTION("""COMPUTED_VALUE"""),"Johan Alexander Escobar Arroyo ")</f>
        <v>Johan Alexander Escobar Arroyo </v>
      </c>
      <c r="C2326" s="15" t="str">
        <f>IFERROR(__xludf.DUMMYFUNCTION("""COMPUTED_VALUE"""),"CALI")</f>
        <v>CALI</v>
      </c>
      <c r="D2326" s="15" t="str">
        <f>IFERROR(__xludf.DUMMYFUNCTION("""COMPUTED_VALUE"""),"BOGOTÁ")</f>
        <v>BOGOTÁ</v>
      </c>
      <c r="E2326" s="15" t="str">
        <f>IFERROR(__xludf.DUMMYFUNCTION("""COMPUTED_VALUE"""),"Asociacion Agropecuaria Juana Maria")</f>
        <v>Asociacion Agropecuaria Juana Maria</v>
      </c>
      <c r="F2326" s="17" t="str">
        <f>IFERROR(__xludf.DUMMYFUNCTION("""COMPUTED_VALUE"""),"Carrera 17B # 33E-33 La Floresta vieja")</f>
        <v>Carrera 17B # 33E-33 La Floresta vieja</v>
      </c>
      <c r="G2326" s="15" t="str">
        <f>IFERROR(__xludf.DUMMYFUNCTION("""COMPUTED_VALUE"""),"Johanna acuña  Molina")</f>
        <v>Johanna acuña  Molina</v>
      </c>
      <c r="H2326" s="16">
        <f>IFERROR(__xludf.DUMMYFUNCTION("""COMPUTED_VALUE"""),10904.0)</f>
        <v>10904</v>
      </c>
      <c r="I2326" s="18">
        <f>IFERROR(__xludf.DUMMYFUNCTION("""COMPUTED_VALUE"""),16.0)</f>
        <v>16</v>
      </c>
      <c r="J2326" s="18">
        <f>IFERROR(__xludf.DUMMYFUNCTION("""COMPUTED_VALUE"""),34.0)</f>
        <v>34</v>
      </c>
      <c r="K2326" s="18">
        <f>IFERROR(__xludf.DUMMYFUNCTION("""COMPUTED_VALUE"""),25.0)</f>
        <v>25</v>
      </c>
      <c r="L2326" s="17">
        <f>IFERROR(__xludf.DUMMYFUNCTION("""COMPUTED_VALUE"""),3.218700343E9)</f>
        <v>3218700343</v>
      </c>
      <c r="M2326" s="17" t="str">
        <f>IFERROR(__xludf.DUMMYFUNCTION("""COMPUTED_VALUE"""),"#REF!")</f>
        <v>#REF!</v>
      </c>
      <c r="N2326" s="17"/>
      <c r="O2326" s="17"/>
      <c r="P2326" s="17" t="b">
        <f>IFERROR(__xludf.DUMMYFUNCTION("""COMPUTED_VALUE"""),FALSE)</f>
        <v>0</v>
      </c>
      <c r="Q2326" s="20" t="str">
        <f>IFERROR(__xludf.DUMMYFUNCTION("""COMPUTED_VALUE"""),"")</f>
        <v/>
      </c>
      <c r="R2326" s="21" t="str">
        <f>IFERROR(__xludf.DUMMYFUNCTION("""COMPUTED_VALUE"""),"https://drive.google.com/file/d/1JK9g6fUmF05xqpoCY722afuAaa0hd1Uo/view?usp=drivesdk")</f>
        <v>https://drive.google.com/file/d/1JK9g6fUmF05xqpoCY722afuAaa0hd1Uo/view?usp=drivesdk</v>
      </c>
    </row>
    <row r="2327">
      <c r="A2327" s="15">
        <f>IFERROR(__xludf.DUMMYFUNCTION("""COMPUTED_VALUE"""),45070.0)</f>
        <v>45070</v>
      </c>
      <c r="B2327" s="16" t="str">
        <f>IFERROR(__xludf.DUMMYFUNCTION("""COMPUTED_VALUE"""),"Johan Alexander Escobar Arroyo ")</f>
        <v>Johan Alexander Escobar Arroyo </v>
      </c>
      <c r="C2327" s="15" t="str">
        <f>IFERROR(__xludf.DUMMYFUNCTION("""COMPUTED_VALUE"""),"CALI")</f>
        <v>CALI</v>
      </c>
      <c r="D2327" s="15" t="str">
        <f>IFERROR(__xludf.DUMMYFUNCTION("""COMPUTED_VALUE"""),"BOGOTÁ")</f>
        <v>BOGOTÁ</v>
      </c>
      <c r="E2327" s="15" t="str">
        <f>IFERROR(__xludf.DUMMYFUNCTION("""COMPUTED_VALUE"""),"Evamazzita")</f>
        <v>Evamazzita</v>
      </c>
      <c r="F2327" s="17" t="str">
        <f>IFERROR(__xludf.DUMMYFUNCTION("""COMPUTED_VALUE"""),"Calle 18# 12 e 46  / nueva estancia por el CAI de la policía / YUMBO")</f>
        <v>Calle 18# 12 e 46  / nueva estancia por el CAI de la policía / YUMBO</v>
      </c>
      <c r="G2327" s="15" t="str">
        <f>IFERROR(__xludf.DUMMYFUNCTION("""COMPUTED_VALUE"""),"DIANA CAROLINA LEIVA")</f>
        <v>DIANA CAROLINA LEIVA</v>
      </c>
      <c r="H2327" s="16">
        <f>IFERROR(__xludf.DUMMYFUNCTION("""COMPUTED_VALUE"""),10932.0)</f>
        <v>10932</v>
      </c>
      <c r="I2327" s="18">
        <f>IFERROR(__xludf.DUMMYFUNCTION("""COMPUTED_VALUE"""),10.0)</f>
        <v>10</v>
      </c>
      <c r="J2327" s="18">
        <f>IFERROR(__xludf.DUMMYFUNCTION("""COMPUTED_VALUE"""),18.0)</f>
        <v>18</v>
      </c>
      <c r="K2327" s="18">
        <f>IFERROR(__xludf.DUMMYFUNCTION("""COMPUTED_VALUE"""),22.0)</f>
        <v>22</v>
      </c>
      <c r="L2327" s="17">
        <f>IFERROR(__xludf.DUMMYFUNCTION("""COMPUTED_VALUE"""),3.216798691E9)</f>
        <v>3216798691</v>
      </c>
      <c r="M2327" s="17" t="str">
        <f>IFERROR(__xludf.DUMMYFUNCTION("""COMPUTED_VALUE"""),"#REF!")</f>
        <v>#REF!</v>
      </c>
      <c r="N2327" s="17"/>
      <c r="O2327" s="17"/>
      <c r="P2327" s="17" t="b">
        <f>IFERROR(__xludf.DUMMYFUNCTION("""COMPUTED_VALUE"""),FALSE)</f>
        <v>0</v>
      </c>
      <c r="Q2327" s="20" t="str">
        <f>IFERROR(__xludf.DUMMYFUNCTION("""COMPUTED_VALUE"""),"")</f>
        <v/>
      </c>
      <c r="R2327" s="21" t="str">
        <f>IFERROR(__xludf.DUMMYFUNCTION("""COMPUTED_VALUE"""),"https://drive.google.com/file/d/1nr_BkQyCoiKcHCMk_XIbRjAL68XCvLA4/view?usp=drivesdk")</f>
        <v>https://drive.google.com/file/d/1nr_BkQyCoiKcHCMk_XIbRjAL68XCvLA4/view?usp=drivesdk</v>
      </c>
    </row>
    <row r="2328">
      <c r="A2328" s="15">
        <f>IFERROR(__xludf.DUMMYFUNCTION("""COMPUTED_VALUE"""),45070.0)</f>
        <v>45070</v>
      </c>
      <c r="B2328" s="16" t="str">
        <f>IFERROR(__xludf.DUMMYFUNCTION("""COMPUTED_VALUE"""),"Johan Alexander Escobar Arroyo ")</f>
        <v>Johan Alexander Escobar Arroyo </v>
      </c>
      <c r="C2328" s="15" t="str">
        <f>IFERROR(__xludf.DUMMYFUNCTION("""COMPUTED_VALUE"""),"CALI")</f>
        <v>CALI</v>
      </c>
      <c r="D2328" s="15" t="str">
        <f>IFERROR(__xludf.DUMMYFUNCTION("""COMPUTED_VALUE"""),"BOGOTÁ")</f>
        <v>BOGOTÁ</v>
      </c>
      <c r="E2328" s="15" t="str">
        <f>IFERROR(__xludf.DUMMYFUNCTION("""COMPUTED_VALUE"""),"Evamazzita")</f>
        <v>Evamazzita</v>
      </c>
      <c r="F2328" s="17" t="str">
        <f>IFERROR(__xludf.DUMMYFUNCTION("""COMPUTED_VALUE"""),"Calle 33B #2BN 83  / apto D 302 unidad girasoles de la flora 1  / Barrio prados del norte")</f>
        <v>Calle 33B #2BN 83  / apto D 302 unidad girasoles de la flora 1  / Barrio prados del norte</v>
      </c>
      <c r="G2328" s="15" t="str">
        <f>IFERROR(__xludf.DUMMYFUNCTION("""COMPUTED_VALUE"""),"CAROLINA HINESTROZA")</f>
        <v>CAROLINA HINESTROZA</v>
      </c>
      <c r="H2328" s="16">
        <f>IFERROR(__xludf.DUMMYFUNCTION("""COMPUTED_VALUE"""),10927.0)</f>
        <v>10927</v>
      </c>
      <c r="I2328" s="18">
        <f>IFERROR(__xludf.DUMMYFUNCTION("""COMPUTED_VALUE"""),3.0)</f>
        <v>3</v>
      </c>
      <c r="J2328" s="18">
        <f>IFERROR(__xludf.DUMMYFUNCTION("""COMPUTED_VALUE"""),20.0)</f>
        <v>20</v>
      </c>
      <c r="K2328" s="18">
        <f>IFERROR(__xludf.DUMMYFUNCTION("""COMPUTED_VALUE"""),15.0)</f>
        <v>15</v>
      </c>
      <c r="L2328" s="17">
        <f>IFERROR(__xludf.DUMMYFUNCTION("""COMPUTED_VALUE"""),3.183964725E9)</f>
        <v>3183964725</v>
      </c>
      <c r="M2328" s="17" t="str">
        <f>IFERROR(__xludf.DUMMYFUNCTION("""COMPUTED_VALUE"""),"#REF!")</f>
        <v>#REF!</v>
      </c>
      <c r="N2328" s="17"/>
      <c r="O2328" s="17"/>
      <c r="P2328" s="17" t="b">
        <f>IFERROR(__xludf.DUMMYFUNCTION("""COMPUTED_VALUE"""),FALSE)</f>
        <v>0</v>
      </c>
      <c r="Q2328" s="20" t="str">
        <f>IFERROR(__xludf.DUMMYFUNCTION("""COMPUTED_VALUE"""),"")</f>
        <v/>
      </c>
      <c r="R2328" s="21" t="str">
        <f>IFERROR(__xludf.DUMMYFUNCTION("""COMPUTED_VALUE"""),"https://drive.google.com/file/d/1fyTnfpTdyZ0MIbymL9JykeZanEyW33fU/view?usp=drivesdk")</f>
        <v>https://drive.google.com/file/d/1fyTnfpTdyZ0MIbymL9JykeZanEyW33fU/view?usp=drivesdk</v>
      </c>
    </row>
    <row r="2329">
      <c r="A2329" s="15">
        <f>IFERROR(__xludf.DUMMYFUNCTION("""COMPUTED_VALUE"""),45070.0)</f>
        <v>45070</v>
      </c>
      <c r="B2329" s="16" t="str">
        <f>IFERROR(__xludf.DUMMYFUNCTION("""COMPUTED_VALUE"""),"Johan Alexander Escobar Arroyo ")</f>
        <v>Johan Alexander Escobar Arroyo </v>
      </c>
      <c r="C2329" s="15" t="str">
        <f>IFERROR(__xludf.DUMMYFUNCTION("""COMPUTED_VALUE"""),"CALI")</f>
        <v>CALI</v>
      </c>
      <c r="D2329" s="15" t="str">
        <f>IFERROR(__xludf.DUMMYFUNCTION("""COMPUTED_VALUE"""),"BOGOTÁ")</f>
        <v>BOGOTÁ</v>
      </c>
      <c r="E2329" s="15" t="str">
        <f>IFERROR(__xludf.DUMMYFUNCTION("""COMPUTED_VALUE"""),"Evamazzita")</f>
        <v>Evamazzita</v>
      </c>
      <c r="F2329" s="17" t="str">
        <f>IFERROR(__xludf.DUMMYFUNCTION("""COMPUTED_VALUE"""),"CRA 23 No. 11 - 68  / BARRIO EL JUNIN  / (ES EN UNA ESQUINA, FERRETERIA EL JUNIN)")</f>
        <v>CRA 23 No. 11 - 68  / BARRIO EL JUNIN  / (ES EN UNA ESQUINA, FERRETERIA EL JUNIN)</v>
      </c>
      <c r="G2329" s="15" t="str">
        <f>IFERROR(__xludf.DUMMYFUNCTION("""COMPUTED_VALUE"""),"JULIANA POSADA MONTOYA")</f>
        <v>JULIANA POSADA MONTOYA</v>
      </c>
      <c r="H2329" s="16">
        <f>IFERROR(__xludf.DUMMYFUNCTION("""COMPUTED_VALUE"""),10928.0)</f>
        <v>10928</v>
      </c>
      <c r="I2329" s="18">
        <f>IFERROR(__xludf.DUMMYFUNCTION("""COMPUTED_VALUE"""),3.0)</f>
        <v>3</v>
      </c>
      <c r="J2329" s="18">
        <f>IFERROR(__xludf.DUMMYFUNCTION("""COMPUTED_VALUE"""),20.0)</f>
        <v>20</v>
      </c>
      <c r="K2329" s="18">
        <f>IFERROR(__xludf.DUMMYFUNCTION("""COMPUTED_VALUE"""),15.0)</f>
        <v>15</v>
      </c>
      <c r="L2329" s="17">
        <f>IFERROR(__xludf.DUMMYFUNCTION("""COMPUTED_VALUE"""),3.176992692E9)</f>
        <v>3176992692</v>
      </c>
      <c r="M2329" s="17" t="str">
        <f>IFERROR(__xludf.DUMMYFUNCTION("""COMPUTED_VALUE"""),"#REF!")</f>
        <v>#REF!</v>
      </c>
      <c r="N2329" s="17"/>
      <c r="O2329" s="17"/>
      <c r="P2329" s="17" t="b">
        <f>IFERROR(__xludf.DUMMYFUNCTION("""COMPUTED_VALUE"""),FALSE)</f>
        <v>0</v>
      </c>
      <c r="Q2329" s="20" t="str">
        <f>IFERROR(__xludf.DUMMYFUNCTION("""COMPUTED_VALUE"""),"")</f>
        <v/>
      </c>
      <c r="R2329" s="21" t="str">
        <f>IFERROR(__xludf.DUMMYFUNCTION("""COMPUTED_VALUE"""),"https://drive.google.com/file/d/1LXXc2X0dnsXmHhqzvFhFTueBkrb03f3Z/view?usp=drivesdk")</f>
        <v>https://drive.google.com/file/d/1LXXc2X0dnsXmHhqzvFhFTueBkrb03f3Z/view?usp=drivesdk</v>
      </c>
    </row>
    <row r="2330">
      <c r="A2330" s="15">
        <f>IFERROR(__xludf.DUMMYFUNCTION("""COMPUTED_VALUE"""),45070.0)</f>
        <v>45070</v>
      </c>
      <c r="B2330" s="16" t="str">
        <f>IFERROR(__xludf.DUMMYFUNCTION("""COMPUTED_VALUE"""),"Johan Alexander Escobar Arroyo ")</f>
        <v>Johan Alexander Escobar Arroyo </v>
      </c>
      <c r="C2330" s="15" t="str">
        <f>IFERROR(__xludf.DUMMYFUNCTION("""COMPUTED_VALUE"""),"CALI")</f>
        <v>CALI</v>
      </c>
      <c r="D2330" s="15" t="str">
        <f>IFERROR(__xludf.DUMMYFUNCTION("""COMPUTED_VALUE"""),"BOGOTÁ")</f>
        <v>BOGOTÁ</v>
      </c>
      <c r="E2330" s="15" t="str">
        <f>IFERROR(__xludf.DUMMYFUNCTION("""COMPUTED_VALUE"""),"Evamazzita")</f>
        <v>Evamazzita</v>
      </c>
      <c r="F2330" s="17" t="str">
        <f>IFERROR(__xludf.DUMMYFUNCTION("""COMPUTED_VALUE"""),"Cra 79 #13b-110  / apto 203C Torres de santorino  / Barrio quintas de don Simón")</f>
        <v>Cra 79 #13b-110  / apto 203C Torres de santorino  / Barrio quintas de don Simón</v>
      </c>
      <c r="G2330" s="15" t="str">
        <f>IFERROR(__xludf.DUMMYFUNCTION("""COMPUTED_VALUE"""),"CAROLINA RUBIANO ARANGO")</f>
        <v>CAROLINA RUBIANO ARANGO</v>
      </c>
      <c r="H2330" s="16">
        <f>IFERROR(__xludf.DUMMYFUNCTION("""COMPUTED_VALUE"""),10931.0)</f>
        <v>10931</v>
      </c>
      <c r="I2330" s="18">
        <f>IFERROR(__xludf.DUMMYFUNCTION("""COMPUTED_VALUE"""),3.0)</f>
        <v>3</v>
      </c>
      <c r="J2330" s="18">
        <f>IFERROR(__xludf.DUMMYFUNCTION("""COMPUTED_VALUE"""),20.0)</f>
        <v>20</v>
      </c>
      <c r="K2330" s="18">
        <f>IFERROR(__xludf.DUMMYFUNCTION("""COMPUTED_VALUE"""),15.0)</f>
        <v>15</v>
      </c>
      <c r="L2330" s="17">
        <f>IFERROR(__xludf.DUMMYFUNCTION("""COMPUTED_VALUE"""),3.113311218E9)</f>
        <v>3113311218</v>
      </c>
      <c r="M2330" s="17" t="str">
        <f>IFERROR(__xludf.DUMMYFUNCTION("""COMPUTED_VALUE"""),"#REF!")</f>
        <v>#REF!</v>
      </c>
      <c r="N2330" s="17"/>
      <c r="O2330" s="17"/>
      <c r="P2330" s="17" t="b">
        <f>IFERROR(__xludf.DUMMYFUNCTION("""COMPUTED_VALUE"""),FALSE)</f>
        <v>0</v>
      </c>
      <c r="Q2330" s="20" t="str">
        <f>IFERROR(__xludf.DUMMYFUNCTION("""COMPUTED_VALUE"""),"")</f>
        <v/>
      </c>
      <c r="R2330" s="21" t="str">
        <f>IFERROR(__xludf.DUMMYFUNCTION("""COMPUTED_VALUE"""),"https://drive.google.com/file/d/1x1SpDOHDf8CSYfR1WsbQyqaSjtVXVUk8/view?usp=drivesdk")</f>
        <v>https://drive.google.com/file/d/1x1SpDOHDf8CSYfR1WsbQyqaSjtVXVUk8/view?usp=drivesdk</v>
      </c>
    </row>
    <row r="2331">
      <c r="A2331" s="15">
        <f>IFERROR(__xludf.DUMMYFUNCTION("""COMPUTED_VALUE"""),45070.0)</f>
        <v>45070</v>
      </c>
      <c r="B2331" s="16" t="str">
        <f>IFERROR(__xludf.DUMMYFUNCTION("""COMPUTED_VALUE"""),"Johan Alexander Escobar Arroyo ")</f>
        <v>Johan Alexander Escobar Arroyo </v>
      </c>
      <c r="C2331" s="15" t="str">
        <f>IFERROR(__xludf.DUMMYFUNCTION("""COMPUTED_VALUE"""),"CALI")</f>
        <v>CALI</v>
      </c>
      <c r="D2331" s="15" t="str">
        <f>IFERROR(__xludf.DUMMYFUNCTION("""COMPUTED_VALUE"""),"BOGOTÁ")</f>
        <v>BOGOTÁ</v>
      </c>
      <c r="E2331" s="15" t="str">
        <f>IFERROR(__xludf.DUMMYFUNCTION("""COMPUTED_VALUE"""),"Frambascolombia sas")</f>
        <v>Frambascolombia sas</v>
      </c>
      <c r="F2331" s="17" t="str">
        <f>IFERROR(__xludf.DUMMYFUNCTION("""COMPUTED_VALUE"""),"Av 5a Nte. # 25n18 / local 2")</f>
        <v>Av 5a Nte. # 25n18 / local 2</v>
      </c>
      <c r="G2331" s="15" t="str">
        <f>IFERROR(__xludf.DUMMYFUNCTION("""COMPUTED_VALUE"""),"PikNPak Cali")</f>
        <v>PikNPak Cali</v>
      </c>
      <c r="H2331" s="16">
        <f>IFERROR(__xludf.DUMMYFUNCTION("""COMPUTED_VALUE"""),10909.0)</f>
        <v>10909</v>
      </c>
      <c r="I2331" s="18">
        <f>IFERROR(__xludf.DUMMYFUNCTION("""COMPUTED_VALUE"""),8.0)</f>
        <v>8</v>
      </c>
      <c r="J2331" s="18">
        <f>IFERROR(__xludf.DUMMYFUNCTION("""COMPUTED_VALUE"""),44992.0)</f>
        <v>44992</v>
      </c>
      <c r="K2331" s="18">
        <f>IFERROR(__xludf.DUMMYFUNCTION("""COMPUTED_VALUE"""),44992.0)</f>
        <v>44992</v>
      </c>
      <c r="L2331" s="17" t="str">
        <f>IFERROR(__xludf.DUMMYFUNCTION("""COMPUTED_VALUE"""),"321 4229567")</f>
        <v>321 4229567</v>
      </c>
      <c r="M2331" s="17" t="str">
        <f>IFERROR(__xludf.DUMMYFUNCTION("""COMPUTED_VALUE"""),"#REF!")</f>
        <v>#REF!</v>
      </c>
      <c r="N2331" s="17"/>
      <c r="O2331" s="17"/>
      <c r="P2331" s="17" t="b">
        <f>IFERROR(__xludf.DUMMYFUNCTION("""COMPUTED_VALUE"""),FALSE)</f>
        <v>0</v>
      </c>
      <c r="Q2331" s="20" t="str">
        <f>IFERROR(__xludf.DUMMYFUNCTION("""COMPUTED_VALUE"""),"")</f>
        <v/>
      </c>
      <c r="R2331" s="21" t="str">
        <f>IFERROR(__xludf.DUMMYFUNCTION("""COMPUTED_VALUE"""),"https://drive.google.com/file/d/1LvcfLaaDFPQBWGY5Ee7v8KtR8iE4Euhe/view?usp=drivesdk")</f>
        <v>https://drive.google.com/file/d/1LvcfLaaDFPQBWGY5Ee7v8KtR8iE4Euhe/view?usp=drivesdk</v>
      </c>
    </row>
    <row r="2332">
      <c r="A2332" s="15">
        <f>IFERROR(__xludf.DUMMYFUNCTION("""COMPUTED_VALUE"""),45070.0)</f>
        <v>45070</v>
      </c>
      <c r="B2332" s="16" t="str">
        <f>IFERROR(__xludf.DUMMYFUNCTION("""COMPUTED_VALUE"""),"Johan Alexander Escobar Arroyo ")</f>
        <v>Johan Alexander Escobar Arroyo </v>
      </c>
      <c r="C2332" s="15" t="str">
        <f>IFERROR(__xludf.DUMMYFUNCTION("""COMPUTED_VALUE"""),"IBAGUÉ")</f>
        <v>IBAGUÉ</v>
      </c>
      <c r="D2332" s="15" t="str">
        <f>IFERROR(__xludf.DUMMYFUNCTION("""COMPUTED_VALUE"""),"BOGOTÁ")</f>
        <v>BOGOTÁ</v>
      </c>
      <c r="E2332" s="15" t="str">
        <f>IFERROR(__xludf.DUMMYFUNCTION("""COMPUTED_VALUE"""),"Frambascolombia sas")</f>
        <v>Frambascolombia sas</v>
      </c>
      <c r="F2332" s="17" t="str">
        <f>IFERROR(__xludf.DUMMYFUNCTION("""COMPUTED_VALUE"""),"Cll 10 # 3-01 / local 2")</f>
        <v>Cll 10 # 3-01 / local 2</v>
      </c>
      <c r="G2332" s="15" t="str">
        <f>IFERROR(__xludf.DUMMYFUNCTION("""COMPUTED_VALUE"""),"Soy Natural Sede JCCG")</f>
        <v>Soy Natural Sede JCCG</v>
      </c>
      <c r="H2332" s="16">
        <f>IFERROR(__xludf.DUMMYFUNCTION("""COMPUTED_VALUE"""),10913.0)</f>
        <v>10913</v>
      </c>
      <c r="I2332" s="18">
        <f>IFERROR(__xludf.DUMMYFUNCTION("""COMPUTED_VALUE"""),11.0)</f>
        <v>11</v>
      </c>
      <c r="J2332" s="18">
        <f>IFERROR(__xludf.DUMMYFUNCTION("""COMPUTED_VALUE"""),9.0)</f>
        <v>9</v>
      </c>
      <c r="K2332" s="18">
        <f>IFERROR(__xludf.DUMMYFUNCTION("""COMPUTED_VALUE"""),9.0)</f>
        <v>9</v>
      </c>
      <c r="L2332" s="17">
        <f>IFERROR(__xludf.DUMMYFUNCTION("""COMPUTED_VALUE"""),3.177777083E9)</f>
        <v>3177777083</v>
      </c>
      <c r="M2332" s="17" t="str">
        <f>IFERROR(__xludf.DUMMYFUNCTION("""COMPUTED_VALUE"""),"#REF!")</f>
        <v>#REF!</v>
      </c>
      <c r="N2332" s="17"/>
      <c r="O2332" s="17"/>
      <c r="P2332" s="17" t="b">
        <f>IFERROR(__xludf.DUMMYFUNCTION("""COMPUTED_VALUE"""),FALSE)</f>
        <v>0</v>
      </c>
      <c r="Q2332" s="20" t="str">
        <f>IFERROR(__xludf.DUMMYFUNCTION("""COMPUTED_VALUE"""),"")</f>
        <v/>
      </c>
      <c r="R2332" s="22" t="str">
        <f>IFERROR(__xludf.DUMMYFUNCTION("""COMPUTED_VALUE"""),"")</f>
        <v/>
      </c>
    </row>
    <row r="2333">
      <c r="A2333" s="15">
        <f>IFERROR(__xludf.DUMMYFUNCTION("""COMPUTED_VALUE"""),45070.0)</f>
        <v>45070</v>
      </c>
      <c r="B2333" s="16" t="str">
        <f>IFERROR(__xludf.DUMMYFUNCTION("""COMPUTED_VALUE"""),"Johan Alexander Escobar Arroyo ")</f>
        <v>Johan Alexander Escobar Arroyo </v>
      </c>
      <c r="C2333" s="15" t="str">
        <f>IFERROR(__xludf.DUMMYFUNCTION("""COMPUTED_VALUE"""),"IBAGUÉ")</f>
        <v>IBAGUÉ</v>
      </c>
      <c r="D2333" s="15" t="str">
        <f>IFERROR(__xludf.DUMMYFUNCTION("""COMPUTED_VALUE"""),"BOGOTÁ")</f>
        <v>BOGOTÁ</v>
      </c>
      <c r="E2333" s="15" t="str">
        <f>IFERROR(__xludf.DUMMYFUNCTION("""COMPUTED_VALUE"""),"Ins. Alimento Vital")</f>
        <v>Ins. Alimento Vital</v>
      </c>
      <c r="F2333" s="17" t="str">
        <f>IFERROR(__xludf.DUMMYFUNCTION("""COMPUTED_VALUE"""),"CL 26 5 45 / CL 26 5 45 / BARRIO BELALCAZAR")</f>
        <v>CL 26 5 45 / CL 26 5 45 / BARRIO BELALCAZAR</v>
      </c>
      <c r="G2333" s="15" t="str">
        <f>IFERROR(__xludf.DUMMYFUNCTION("""COMPUTED_VALUE"""),"LEIDY PAOLA GOMEZ")</f>
        <v>LEIDY PAOLA GOMEZ</v>
      </c>
      <c r="H2333" s="16">
        <f>IFERROR(__xludf.DUMMYFUNCTION("""COMPUTED_VALUE"""),10915.0)</f>
        <v>10915</v>
      </c>
      <c r="I2333" s="18">
        <f>IFERROR(__xludf.DUMMYFUNCTION("""COMPUTED_VALUE"""),1.0)</f>
        <v>1</v>
      </c>
      <c r="J2333" s="18">
        <f>IFERROR(__xludf.DUMMYFUNCTION("""COMPUTED_VALUE"""),1.0)</f>
        <v>1</v>
      </c>
      <c r="K2333" s="18">
        <f>IFERROR(__xludf.DUMMYFUNCTION("""COMPUTED_VALUE"""),1.0)</f>
        <v>1</v>
      </c>
      <c r="L2333" s="17">
        <f>IFERROR(__xludf.DUMMYFUNCTION("""COMPUTED_VALUE"""),3.043758112E9)</f>
        <v>3043758112</v>
      </c>
      <c r="M2333" s="17" t="str">
        <f>IFERROR(__xludf.DUMMYFUNCTION("""COMPUTED_VALUE"""),"#REF!")</f>
        <v>#REF!</v>
      </c>
      <c r="N2333" s="17"/>
      <c r="O2333" s="17"/>
      <c r="P2333" s="17" t="b">
        <f>IFERROR(__xludf.DUMMYFUNCTION("""COMPUTED_VALUE"""),FALSE)</f>
        <v>0</v>
      </c>
      <c r="Q2333" s="20" t="str">
        <f>IFERROR(__xludf.DUMMYFUNCTION("""COMPUTED_VALUE"""),"")</f>
        <v/>
      </c>
      <c r="R2333" s="21" t="str">
        <f>IFERROR(__xludf.DUMMYFUNCTION("""COMPUTED_VALUE"""),"https://drive.google.com/file/d/1bLI_w55bGopZJBQE2qMHH3vLLEQ0F9DD/view?usp=drivesdk")</f>
        <v>https://drive.google.com/file/d/1bLI_w55bGopZJBQE2qMHH3vLLEQ0F9DD/view?usp=drivesdk</v>
      </c>
    </row>
    <row r="2334">
      <c r="A2334" s="17" t="str">
        <f>IFERROR(__xludf.DUMMYFUNCTION("""COMPUTED_VALUE"""),"")</f>
        <v/>
      </c>
      <c r="B2334" s="17" t="str">
        <f>IFERROR(__xludf.DUMMYFUNCTION("""COMPUTED_VALUE"""),"")</f>
        <v/>
      </c>
      <c r="C2334" s="17" t="str">
        <f>IFERROR(__xludf.DUMMYFUNCTION("""COMPUTED_VALUE"""),"")</f>
        <v/>
      </c>
      <c r="D2334" s="17" t="str">
        <f>IFERROR(__xludf.DUMMYFUNCTION("""COMPUTED_VALUE"""),"")</f>
        <v/>
      </c>
      <c r="E2334" s="17" t="str">
        <f>IFERROR(__xludf.DUMMYFUNCTION("""COMPUTED_VALUE"""),"")</f>
        <v/>
      </c>
      <c r="F2334" s="17" t="str">
        <f>IFERROR(__xludf.DUMMYFUNCTION("""COMPUTED_VALUE"""),"")</f>
        <v/>
      </c>
      <c r="G2334" s="17" t="str">
        <f>IFERROR(__xludf.DUMMYFUNCTION("""COMPUTED_VALUE"""),"")</f>
        <v/>
      </c>
      <c r="H2334" s="17" t="str">
        <f>IFERROR(__xludf.DUMMYFUNCTION("""COMPUTED_VALUE"""),"")</f>
        <v/>
      </c>
      <c r="I2334" s="17" t="str">
        <f>IFERROR(__xludf.DUMMYFUNCTION("""COMPUTED_VALUE"""),"")</f>
        <v/>
      </c>
      <c r="J2334" s="17" t="str">
        <f>IFERROR(__xludf.DUMMYFUNCTION("""COMPUTED_VALUE"""),"")</f>
        <v/>
      </c>
      <c r="K2334" s="17" t="str">
        <f>IFERROR(__xludf.DUMMYFUNCTION("""COMPUTED_VALUE"""),"")</f>
        <v/>
      </c>
      <c r="L2334" s="17" t="str">
        <f>IFERROR(__xludf.DUMMYFUNCTION("""COMPUTED_VALUE"""),"")</f>
        <v/>
      </c>
      <c r="M2334" s="17" t="str">
        <f>IFERROR(__xludf.DUMMYFUNCTION("""COMPUTED_VALUE"""),"")</f>
        <v/>
      </c>
      <c r="N2334" s="17" t="str">
        <f>IFERROR(__xludf.DUMMYFUNCTION("""COMPUTED_VALUE"""),"")</f>
        <v/>
      </c>
      <c r="O2334" s="17" t="str">
        <f>IFERROR(__xludf.DUMMYFUNCTION("""COMPUTED_VALUE"""),"")</f>
        <v/>
      </c>
      <c r="P2334" s="17" t="str">
        <f>IFERROR(__xludf.DUMMYFUNCTION("""COMPUTED_VALUE"""),"")</f>
        <v/>
      </c>
      <c r="Q2334" s="17" t="str">
        <f>IFERROR(__xludf.DUMMYFUNCTION("""COMPUTED_VALUE"""),"")</f>
        <v/>
      </c>
      <c r="R2334" s="17" t="str">
        <f>IFERROR(__xludf.DUMMYFUNCTION("""COMPUTED_VALUE"""),"")</f>
        <v/>
      </c>
    </row>
    <row r="2335">
      <c r="A2335" s="15">
        <f>IFERROR(__xludf.DUMMYFUNCTION("""COMPUTED_VALUE"""),45070.0)</f>
        <v>45070</v>
      </c>
      <c r="B2335" s="16" t="str">
        <f>IFERROR(__xludf.DUMMYFUNCTION("""COMPUTED_VALUE"""),"Jonathan Steven Taborda")</f>
        <v>Jonathan Steven Taborda</v>
      </c>
      <c r="C2335" s="15" t="str">
        <f>IFERROR(__xludf.DUMMYFUNCTION("""COMPUTED_VALUE"""),"ARMENIA")</f>
        <v>ARMENIA</v>
      </c>
      <c r="D2335" s="15" t="str">
        <f>IFERROR(__xludf.DUMMYFUNCTION("""COMPUTED_VALUE"""),"BOGOTÁ")</f>
        <v>BOGOTÁ</v>
      </c>
      <c r="E2335" s="15" t="str">
        <f>IFERROR(__xludf.DUMMYFUNCTION("""COMPUTED_VALUE"""),"Asociacion Agropecuaria Juana Maria")</f>
        <v>Asociacion Agropecuaria Juana Maria</v>
      </c>
      <c r="F2335" s="17" t="str">
        <f>IFERROR(__xludf.DUMMYFUNCTION("""COMPUTED_VALUE"""),"Call 26 # 22-08 Senderos del Bosque apto 203")</f>
        <v>Call 26 # 22-08 Senderos del Bosque apto 203</v>
      </c>
      <c r="G2335" s="15" t="str">
        <f>IFERROR(__xludf.DUMMYFUNCTION("""COMPUTED_VALUE"""),"Dayan Alvarez Galeano")</f>
        <v>Dayan Alvarez Galeano</v>
      </c>
      <c r="H2335" s="16">
        <f>IFERROR(__xludf.DUMMYFUNCTION("""COMPUTED_VALUE"""),10906.0)</f>
        <v>10906</v>
      </c>
      <c r="I2335" s="18">
        <f>IFERROR(__xludf.DUMMYFUNCTION("""COMPUTED_VALUE"""),25.0)</f>
        <v>25</v>
      </c>
      <c r="J2335" s="18">
        <f>IFERROR(__xludf.DUMMYFUNCTION("""COMPUTED_VALUE"""),18.0)</f>
        <v>18</v>
      </c>
      <c r="K2335" s="18">
        <f>IFERROR(__xludf.DUMMYFUNCTION("""COMPUTED_VALUE"""),3.0)</f>
        <v>3</v>
      </c>
      <c r="L2335" s="17">
        <f>IFERROR(__xludf.DUMMYFUNCTION("""COMPUTED_VALUE"""),3.177864747E9)</f>
        <v>3177864747</v>
      </c>
      <c r="M2335" s="17" t="str">
        <f>IFERROR(__xludf.DUMMYFUNCTION("""COMPUTED_VALUE"""),"#REF!")</f>
        <v>#REF!</v>
      </c>
      <c r="N2335" s="17"/>
      <c r="O2335" s="17"/>
      <c r="P2335" s="17" t="b">
        <f>IFERROR(__xludf.DUMMYFUNCTION("""COMPUTED_VALUE"""),FALSE)</f>
        <v>0</v>
      </c>
      <c r="Q2335" s="20" t="str">
        <f>IFERROR(__xludf.DUMMYFUNCTION("""COMPUTED_VALUE"""),"")</f>
        <v/>
      </c>
      <c r="R2335" s="21" t="str">
        <f>IFERROR(__xludf.DUMMYFUNCTION("""COMPUTED_VALUE"""),"https://drive.google.com/file/d/1zWV1GdEWCbTwEY1Owi8TJZiq8-zEkLKV/view?usp=drivesdk")</f>
        <v>https://drive.google.com/file/d/1zWV1GdEWCbTwEY1Owi8TJZiq8-zEkLKV/view?usp=drivesdk</v>
      </c>
    </row>
    <row r="2336">
      <c r="A2336" s="15">
        <f>IFERROR(__xludf.DUMMYFUNCTION("""COMPUTED_VALUE"""),45070.0)</f>
        <v>45070</v>
      </c>
      <c r="B2336" s="16" t="str">
        <f>IFERROR(__xludf.DUMMYFUNCTION("""COMPUTED_VALUE"""),"Jonathan Steven Taborda")</f>
        <v>Jonathan Steven Taborda</v>
      </c>
      <c r="C2336" s="15" t="str">
        <f>IFERROR(__xludf.DUMMYFUNCTION("""COMPUTED_VALUE"""),"ARMENIA")</f>
        <v>ARMENIA</v>
      </c>
      <c r="D2336" s="15" t="str">
        <f>IFERROR(__xludf.DUMMYFUNCTION("""COMPUTED_VALUE"""),"BOGOTÁ")</f>
        <v>BOGOTÁ</v>
      </c>
      <c r="E2336" s="15" t="str">
        <f>IFERROR(__xludf.DUMMYFUNCTION("""COMPUTED_VALUE"""),"Asociacion Agropecuaria Juana Maria")</f>
        <v>Asociacion Agropecuaria Juana Maria</v>
      </c>
      <c r="F2336" s="17" t="str">
        <f>IFERROR(__xludf.DUMMYFUNCTION("""COMPUTED_VALUE"""),"Calle 14 Nte #11-26 Primer piso Apto 101 Barrio la castellana")</f>
        <v>Calle 14 Nte #11-26 Primer piso Apto 101 Barrio la castellana</v>
      </c>
      <c r="G2336" s="15" t="str">
        <f>IFERROR(__xludf.DUMMYFUNCTION("""COMPUTED_VALUE"""),"Rosa Alexandra Caceres Preciado")</f>
        <v>Rosa Alexandra Caceres Preciado</v>
      </c>
      <c r="H2336" s="16">
        <f>IFERROR(__xludf.DUMMYFUNCTION("""COMPUTED_VALUE"""),10899.0)</f>
        <v>10899</v>
      </c>
      <c r="I2336" s="18">
        <f>IFERROR(__xludf.DUMMYFUNCTION("""COMPUTED_VALUE"""),17.0)</f>
        <v>17</v>
      </c>
      <c r="J2336" s="18">
        <f>IFERROR(__xludf.DUMMYFUNCTION("""COMPUTED_VALUE"""),37.0)</f>
        <v>37</v>
      </c>
      <c r="K2336" s="18">
        <f>IFERROR(__xludf.DUMMYFUNCTION("""COMPUTED_VALUE"""),28.0)</f>
        <v>28</v>
      </c>
      <c r="L2336" s="17" t="str">
        <f>IFERROR(__xludf.DUMMYFUNCTION("""COMPUTED_VALUE"""),"315 3930939")</f>
        <v>315 3930939</v>
      </c>
      <c r="M2336" s="17" t="str">
        <f>IFERROR(__xludf.DUMMYFUNCTION("""COMPUTED_VALUE"""),"#REF!")</f>
        <v>#REF!</v>
      </c>
      <c r="N2336" s="17"/>
      <c r="O2336" s="17"/>
      <c r="P2336" s="17" t="b">
        <f>IFERROR(__xludf.DUMMYFUNCTION("""COMPUTED_VALUE"""),FALSE)</f>
        <v>0</v>
      </c>
      <c r="Q2336" s="20" t="str">
        <f>IFERROR(__xludf.DUMMYFUNCTION("""COMPUTED_VALUE"""),"")</f>
        <v/>
      </c>
      <c r="R2336" s="21" t="str">
        <f>IFERROR(__xludf.DUMMYFUNCTION("""COMPUTED_VALUE"""),"https://drive.google.com/file/d/1yJsqthUFIdip51MourqP0_T-Z-MtvM2q/view?usp=drivesdk")</f>
        <v>https://drive.google.com/file/d/1yJsqthUFIdip51MourqP0_T-Z-MtvM2q/view?usp=drivesdk</v>
      </c>
    </row>
    <row r="2337">
      <c r="A2337" s="15">
        <f>IFERROR(__xludf.DUMMYFUNCTION("""COMPUTED_VALUE"""),45070.0)</f>
        <v>45070</v>
      </c>
      <c r="B2337" s="16" t="str">
        <f>IFERROR(__xludf.DUMMYFUNCTION("""COMPUTED_VALUE"""),"Jonathan Steven Taborda")</f>
        <v>Jonathan Steven Taborda</v>
      </c>
      <c r="C2337" s="15" t="str">
        <f>IFERROR(__xludf.DUMMYFUNCTION("""COMPUTED_VALUE"""),"ARMENIA")</f>
        <v>ARMENIA</v>
      </c>
      <c r="D2337" s="15" t="str">
        <f>IFERROR(__xludf.DUMMYFUNCTION("""COMPUTED_VALUE"""),"BOGOTÁ")</f>
        <v>BOGOTÁ</v>
      </c>
      <c r="E2337" s="15" t="str">
        <f>IFERROR(__xludf.DUMMYFUNCTION("""COMPUTED_VALUE"""),"Top Spun")</f>
        <v>Top Spun</v>
      </c>
      <c r="F2337" s="17" t="str">
        <f>IFERROR(__xludf.DUMMYFUNCTION("""COMPUTED_VALUE"""),"CLL 41 # 36-110 / ALTOS DEL RIO CS 61 /  CALARCA/ QUINDIO")</f>
        <v>CLL 41 # 36-110 / ALTOS DEL RIO CS 61 /  CALARCA/ QUINDIO</v>
      </c>
      <c r="G2337" s="15" t="str">
        <f>IFERROR(__xludf.DUMMYFUNCTION("""COMPUTED_VALUE"""),"DANIELA VELASQUEZ BOTERO")</f>
        <v>DANIELA VELASQUEZ BOTERO</v>
      </c>
      <c r="H2337" s="16">
        <f>IFERROR(__xludf.DUMMYFUNCTION("""COMPUTED_VALUE"""),10895.0)</f>
        <v>10895</v>
      </c>
      <c r="I2337" s="18">
        <f>IFERROR(__xludf.DUMMYFUNCTION("""COMPUTED_VALUE"""),15.0)</f>
        <v>15</v>
      </c>
      <c r="J2337" s="18">
        <f>IFERROR(__xludf.DUMMYFUNCTION("""COMPUTED_VALUE"""),10.0)</f>
        <v>10</v>
      </c>
      <c r="K2337" s="18">
        <f>IFERROR(__xludf.DUMMYFUNCTION("""COMPUTED_VALUE"""),40.0)</f>
        <v>40</v>
      </c>
      <c r="L2337" s="17">
        <f>IFERROR(__xludf.DUMMYFUNCTION("""COMPUTED_VALUE"""),3.146309864E9)</f>
        <v>3146309864</v>
      </c>
      <c r="M2337" s="17" t="str">
        <f>IFERROR(__xludf.DUMMYFUNCTION("""COMPUTED_VALUE"""),"#REF!")</f>
        <v>#REF!</v>
      </c>
      <c r="N2337" s="17"/>
      <c r="O2337" s="17"/>
      <c r="P2337" s="17" t="b">
        <f>IFERROR(__xludf.DUMMYFUNCTION("""COMPUTED_VALUE"""),FALSE)</f>
        <v>0</v>
      </c>
      <c r="Q2337" s="20" t="str">
        <f>IFERROR(__xludf.DUMMYFUNCTION("""COMPUTED_VALUE"""),"")</f>
        <v/>
      </c>
      <c r="R2337" s="21" t="str">
        <f>IFERROR(__xludf.DUMMYFUNCTION("""COMPUTED_VALUE"""),"https://drive.google.com/file/d/132k2ZR6M-z1BSFSto8Rd6RCyUk_jRTQN/view?usp=drivesdk")</f>
        <v>https://drive.google.com/file/d/132k2ZR6M-z1BSFSto8Rd6RCyUk_jRTQN/view?usp=drivesdk</v>
      </c>
    </row>
    <row r="2338">
      <c r="A2338" s="15">
        <f>IFERROR(__xludf.DUMMYFUNCTION("""COMPUTED_VALUE"""),45070.0)</f>
        <v>45070</v>
      </c>
      <c r="B2338" s="16" t="str">
        <f>IFERROR(__xludf.DUMMYFUNCTION("""COMPUTED_VALUE"""),"Jonathan Steven Taborda")</f>
        <v>Jonathan Steven Taborda</v>
      </c>
      <c r="C2338" s="15" t="str">
        <f>IFERROR(__xludf.DUMMYFUNCTION("""COMPUTED_VALUE"""),"BOGOTÁ")</f>
        <v>BOGOTÁ</v>
      </c>
      <c r="D2338" s="15" t="str">
        <f>IFERROR(__xludf.DUMMYFUNCTION("""COMPUTED_VALUE"""),"MEDELLÍN")</f>
        <v>MEDELLÍN</v>
      </c>
      <c r="E2338" s="15" t="str">
        <f>IFERROR(__xludf.DUMMYFUNCTION("""COMPUTED_VALUE"""),"Baby Chef")</f>
        <v>Baby Chef</v>
      </c>
      <c r="F2338" s="17" t="str">
        <f>IFERROR(__xludf.DUMMYFUNCTION("""COMPUTED_VALUE"""),"Calle 3a # 8b-35 sur  Nariño sur  Cerca a la cárcel distrital / Calle 3a # 8b-35 sur  Nariño sur  Cerca a la cárcel distrital / Calle 3a # 8b-35 sur  Nariño sur  Cerca a la cárcel distrital")</f>
        <v>Calle 3a # 8b-35 sur  Nariño sur  Cerca a la cárcel distrital / Calle 3a # 8b-35 sur  Nariño sur  Cerca a la cárcel distrital / Calle 3a # 8b-35 sur  Nariño sur  Cerca a la cárcel distrital</v>
      </c>
      <c r="G2338" s="15" t="str">
        <f>IFERROR(__xludf.DUMMYFUNCTION("""COMPUTED_VALUE"""),"Vanesa Dominguez")</f>
        <v>Vanesa Dominguez</v>
      </c>
      <c r="H2338" s="16">
        <f>IFERROR(__xludf.DUMMYFUNCTION("""COMPUTED_VALUE"""),10967.0)</f>
        <v>10967</v>
      </c>
      <c r="I2338" s="18">
        <f>IFERROR(__xludf.DUMMYFUNCTION("""COMPUTED_VALUE"""),8.0)</f>
        <v>8</v>
      </c>
      <c r="J2338" s="18">
        <f>IFERROR(__xludf.DUMMYFUNCTION("""COMPUTED_VALUE"""),16.0)</f>
        <v>16</v>
      </c>
      <c r="K2338" s="18">
        <f>IFERROR(__xludf.DUMMYFUNCTION("""COMPUTED_VALUE"""),20.0)</f>
        <v>20</v>
      </c>
      <c r="L2338" s="17">
        <f>IFERROR(__xludf.DUMMYFUNCTION("""COMPUTED_VALUE"""),3.219208081E9)</f>
        <v>3219208081</v>
      </c>
      <c r="M2338" s="17" t="str">
        <f>IFERROR(__xludf.DUMMYFUNCTION("""COMPUTED_VALUE"""),"#REF!")</f>
        <v>#REF!</v>
      </c>
      <c r="N2338" s="17"/>
      <c r="O2338" s="17"/>
      <c r="P2338" s="17" t="b">
        <f>IFERROR(__xludf.DUMMYFUNCTION("""COMPUTED_VALUE"""),FALSE)</f>
        <v>0</v>
      </c>
      <c r="Q2338" s="20" t="str">
        <f>IFERROR(__xludf.DUMMYFUNCTION("""COMPUTED_VALUE"""),"")</f>
        <v/>
      </c>
      <c r="R2338" s="22" t="str">
        <f>IFERROR(__xludf.DUMMYFUNCTION("""COMPUTED_VALUE"""),"")</f>
        <v/>
      </c>
    </row>
    <row r="2339">
      <c r="A2339" s="15">
        <f>IFERROR(__xludf.DUMMYFUNCTION("""COMPUTED_VALUE"""),45070.0)</f>
        <v>45070</v>
      </c>
      <c r="B2339" s="16" t="str">
        <f>IFERROR(__xludf.DUMMYFUNCTION("""COMPUTED_VALUE"""),"Jonathan Steven Taborda")</f>
        <v>Jonathan Steven Taborda</v>
      </c>
      <c r="C2339" s="15" t="str">
        <f>IFERROR(__xludf.DUMMYFUNCTION("""COMPUTED_VALUE"""),"BOGOTÁ")</f>
        <v>BOGOTÁ</v>
      </c>
      <c r="D2339" s="15" t="str">
        <f>IFERROR(__xludf.DUMMYFUNCTION("""COMPUTED_VALUE"""),"MEDELLÍN")</f>
        <v>MEDELLÍN</v>
      </c>
      <c r="E2339" s="15" t="str">
        <f>IFERROR(__xludf.DUMMYFUNCTION("""COMPUTED_VALUE"""),"Moloso S.A.S")</f>
        <v>Moloso S.A.S</v>
      </c>
      <c r="F2339" s="17" t="str">
        <f>IFERROR(__xludf.DUMMYFUNCTION("""COMPUTED_VALUE"""),"CL 139 72 A 60 / CASA 29")</f>
        <v>CL 139 72 A 60 / CASA 29</v>
      </c>
      <c r="G2339" s="15" t="str">
        <f>IFERROR(__xludf.DUMMYFUNCTION("""COMPUTED_VALUE"""),"DAVID PULIDO ROMERO")</f>
        <v>DAVID PULIDO ROMERO</v>
      </c>
      <c r="H2339" s="16">
        <f>IFERROR(__xludf.DUMMYFUNCTION("""COMPUTED_VALUE"""),10943.0)</f>
        <v>10943</v>
      </c>
      <c r="I2339" s="18">
        <f>IFERROR(__xludf.DUMMYFUNCTION("""COMPUTED_VALUE"""),17.0)</f>
        <v>17</v>
      </c>
      <c r="J2339" s="18">
        <f>IFERROR(__xludf.DUMMYFUNCTION("""COMPUTED_VALUE"""),15.0)</f>
        <v>15</v>
      </c>
      <c r="K2339" s="18">
        <f>IFERROR(__xludf.DUMMYFUNCTION("""COMPUTED_VALUE"""),28.0)</f>
        <v>28</v>
      </c>
      <c r="L2339" s="17">
        <f>IFERROR(__xludf.DUMMYFUNCTION("""COMPUTED_VALUE"""),3.053165403E9)</f>
        <v>3053165403</v>
      </c>
      <c r="M2339" s="17" t="str">
        <f>IFERROR(__xludf.DUMMYFUNCTION("""COMPUTED_VALUE"""),"#REF!")</f>
        <v>#REF!</v>
      </c>
      <c r="N2339" s="17"/>
      <c r="O2339" s="17"/>
      <c r="P2339" s="17" t="b">
        <f>IFERROR(__xludf.DUMMYFUNCTION("""COMPUTED_VALUE"""),FALSE)</f>
        <v>0</v>
      </c>
      <c r="Q2339" s="20" t="str">
        <f>IFERROR(__xludf.DUMMYFUNCTION("""COMPUTED_VALUE"""),"")</f>
        <v/>
      </c>
      <c r="R2339" s="21" t="str">
        <f>IFERROR(__xludf.DUMMYFUNCTION("""COMPUTED_VALUE"""),"https://drive.google.com/file/d/1fb7sCqVKwdYz5rW_J3yJhIU6u9QlHM7r/view?usp=drivesdk")</f>
        <v>https://drive.google.com/file/d/1fb7sCqVKwdYz5rW_J3yJhIU6u9QlHM7r/view?usp=drivesdk</v>
      </c>
    </row>
    <row r="2340">
      <c r="A2340" s="17" t="str">
        <f>IFERROR(__xludf.DUMMYFUNCTION("""COMPUTED_VALUE"""),"")</f>
        <v/>
      </c>
      <c r="B2340" s="17" t="str">
        <f>IFERROR(__xludf.DUMMYFUNCTION("""COMPUTED_VALUE"""),"")</f>
        <v/>
      </c>
      <c r="C2340" s="17" t="str">
        <f>IFERROR(__xludf.DUMMYFUNCTION("""COMPUTED_VALUE"""),"")</f>
        <v/>
      </c>
      <c r="D2340" s="17" t="str">
        <f>IFERROR(__xludf.DUMMYFUNCTION("""COMPUTED_VALUE"""),"")</f>
        <v/>
      </c>
      <c r="E2340" s="17" t="str">
        <f>IFERROR(__xludf.DUMMYFUNCTION("""COMPUTED_VALUE"""),"")</f>
        <v/>
      </c>
      <c r="F2340" s="17" t="str">
        <f>IFERROR(__xludf.DUMMYFUNCTION("""COMPUTED_VALUE"""),"")</f>
        <v/>
      </c>
      <c r="G2340" s="17" t="str">
        <f>IFERROR(__xludf.DUMMYFUNCTION("""COMPUTED_VALUE"""),"")</f>
        <v/>
      </c>
      <c r="H2340" s="17" t="str">
        <f>IFERROR(__xludf.DUMMYFUNCTION("""COMPUTED_VALUE"""),"")</f>
        <v/>
      </c>
      <c r="I2340" s="17" t="str">
        <f>IFERROR(__xludf.DUMMYFUNCTION("""COMPUTED_VALUE"""),"")</f>
        <v/>
      </c>
      <c r="J2340" s="17" t="str">
        <f>IFERROR(__xludf.DUMMYFUNCTION("""COMPUTED_VALUE"""),"")</f>
        <v/>
      </c>
      <c r="K2340" s="17" t="str">
        <f>IFERROR(__xludf.DUMMYFUNCTION("""COMPUTED_VALUE"""),"")</f>
        <v/>
      </c>
      <c r="L2340" s="17" t="str">
        <f>IFERROR(__xludf.DUMMYFUNCTION("""COMPUTED_VALUE"""),"")</f>
        <v/>
      </c>
      <c r="M2340" s="17" t="str">
        <f>IFERROR(__xludf.DUMMYFUNCTION("""COMPUTED_VALUE"""),"")</f>
        <v/>
      </c>
      <c r="N2340" s="17" t="str">
        <f>IFERROR(__xludf.DUMMYFUNCTION("""COMPUTED_VALUE"""),"")</f>
        <v/>
      </c>
      <c r="O2340" s="17" t="str">
        <f>IFERROR(__xludf.DUMMYFUNCTION("""COMPUTED_VALUE"""),"")</f>
        <v/>
      </c>
      <c r="P2340" s="17" t="str">
        <f>IFERROR(__xludf.DUMMYFUNCTION("""COMPUTED_VALUE"""),"")</f>
        <v/>
      </c>
      <c r="Q2340" s="17" t="str">
        <f>IFERROR(__xludf.DUMMYFUNCTION("""COMPUTED_VALUE"""),"")</f>
        <v/>
      </c>
      <c r="R2340" s="17" t="str">
        <f>IFERROR(__xludf.DUMMYFUNCTION("""COMPUTED_VALUE"""),"")</f>
        <v/>
      </c>
    </row>
    <row r="2341">
      <c r="A2341" s="15">
        <f>IFERROR(__xludf.DUMMYFUNCTION("""COMPUTED_VALUE"""),45070.0)</f>
        <v>45070</v>
      </c>
      <c r="B2341" s="16" t="str">
        <f>IFERROR(__xludf.DUMMYFUNCTION("""COMPUTED_VALUE"""),"JOSE ALFREDO RAMIREZ VERGARA ")</f>
        <v>JOSE ALFREDO RAMIREZ VERGARA </v>
      </c>
      <c r="C2341" s="15" t="str">
        <f>IFERROR(__xludf.DUMMYFUNCTION("""COMPUTED_VALUE"""),"BOGOTÁ")</f>
        <v>BOGOTÁ</v>
      </c>
      <c r="D2341" s="15" t="str">
        <f>IFERROR(__xludf.DUMMYFUNCTION("""COMPUTED_VALUE"""),"MEDELLÍN")</f>
        <v>MEDELLÍN</v>
      </c>
      <c r="E2341" s="15" t="str">
        <f>IFERROR(__xludf.DUMMYFUNCTION("""COMPUTED_VALUE"""),"Baby Chef")</f>
        <v>Baby Chef</v>
      </c>
      <c r="F2341" s="17" t="str">
        <f>IFERROR(__xludf.DUMMYFUNCTION("""COMPUTED_VALUE"""),"Carrera 69 No 12 70 torre 2 apto 1909 ! Conjunto la flora alsacia reservado!  Barrio nueva villa aslacia Bogota / Carrera 69 No 12 70 torre 2 apto 1909 ! Conjunto la flora alsacia reservado!  Barrio nueva villa aslacia Bogota / Carrera 69 No 12 70 torre 2"&amp;" apto 1909 ! Conjunto la flora alsacia reservado!  Barrio nueva villa aslacia Bogota")</f>
        <v>Carrera 69 No 12 70 torre 2 apto 1909 ! Conjunto la flora alsacia reservado!  Barrio nueva villa aslacia Bogota / Carrera 69 No 12 70 torre 2 apto 1909 ! Conjunto la flora alsacia reservado!  Barrio nueva villa aslacia Bogota / Carrera 69 No 12 70 torre 2 apto 1909 ! Conjunto la flora alsacia reservado!  Barrio nueva villa aslacia Bogota</v>
      </c>
      <c r="G2341" s="15" t="str">
        <f>IFERROR(__xludf.DUMMYFUNCTION("""COMPUTED_VALUE"""),"Sandra Jysel Enciso Suarez")</f>
        <v>Sandra Jysel Enciso Suarez</v>
      </c>
      <c r="H2341" s="16">
        <f>IFERROR(__xludf.DUMMYFUNCTION("""COMPUTED_VALUE"""),10962.0)</f>
        <v>10962</v>
      </c>
      <c r="I2341" s="18">
        <f>IFERROR(__xludf.DUMMYFUNCTION("""COMPUTED_VALUE"""),8.0)</f>
        <v>8</v>
      </c>
      <c r="J2341" s="18">
        <f>IFERROR(__xludf.DUMMYFUNCTION("""COMPUTED_VALUE"""),16.0)</f>
        <v>16</v>
      </c>
      <c r="K2341" s="18">
        <f>IFERROR(__xludf.DUMMYFUNCTION("""COMPUTED_VALUE"""),20.0)</f>
        <v>20</v>
      </c>
      <c r="L2341" s="17">
        <f>IFERROR(__xludf.DUMMYFUNCTION("""COMPUTED_VALUE"""),3.003127802E9)</f>
        <v>3003127802</v>
      </c>
      <c r="M2341" s="17" t="str">
        <f>IFERROR(__xludf.DUMMYFUNCTION("""COMPUTED_VALUE"""),"#REF!")</f>
        <v>#REF!</v>
      </c>
      <c r="N2341" s="17"/>
      <c r="O2341" s="17"/>
      <c r="P2341" s="17" t="b">
        <f>IFERROR(__xludf.DUMMYFUNCTION("""COMPUTED_VALUE"""),TRUE)</f>
        <v>1</v>
      </c>
      <c r="Q2341" s="20">
        <f>IFERROR(__xludf.DUMMYFUNCTION("""COMPUTED_VALUE"""),45070.62987726852)</f>
        <v>45070.62988</v>
      </c>
      <c r="R2341" s="22" t="str">
        <f>IFERROR(__xludf.DUMMYFUNCTION("""COMPUTED_VALUE"""),"")</f>
        <v/>
      </c>
    </row>
    <row r="2342">
      <c r="A2342" s="15">
        <f>IFERROR(__xludf.DUMMYFUNCTION("""COMPUTED_VALUE"""),45070.0)</f>
        <v>45070</v>
      </c>
      <c r="B2342" s="16" t="str">
        <f>IFERROR(__xludf.DUMMYFUNCTION("""COMPUTED_VALUE"""),"JOSE ALFREDO RAMIREZ VERGARA ")</f>
        <v>JOSE ALFREDO RAMIREZ VERGARA </v>
      </c>
      <c r="C2342" s="15" t="str">
        <f>IFERROR(__xludf.DUMMYFUNCTION("""COMPUTED_VALUE"""),"BOGOTÁ")</f>
        <v>BOGOTÁ</v>
      </c>
      <c r="D2342" s="15" t="str">
        <f>IFERROR(__xludf.DUMMYFUNCTION("""COMPUTED_VALUE"""),"MEDELLÍN")</f>
        <v>MEDELLÍN</v>
      </c>
      <c r="E2342" s="15" t="str">
        <f>IFERROR(__xludf.DUMMYFUNCTION("""COMPUTED_VALUE"""),"Baby Chef")</f>
        <v>Baby Chef</v>
      </c>
      <c r="F2342" s="17" t="str">
        <f>IFERROR(__xludf.DUMMYFUNCTION("""COMPUTED_VALUE"""),"Cra 101 #147c 34 Atardeceres de suba etapa 3 - int 3 apto 502  Suba la campiña  Bogota / Cra 101 #147c 34 Atardeceres de suba etapa 3 - int 3 apto 502  Suba la campiña  Bogota / Cra 101 #147c 34 Atardeceres de suba etapa 3 - int 3 apto 502  Suba la campiñ"&amp;"a  Bogota")</f>
        <v>Cra 101 #147c 34 Atardeceres de suba etapa 3 - int 3 apto 502  Suba la campiña  Bogota / Cra 101 #147c 34 Atardeceres de suba etapa 3 - int 3 apto 502  Suba la campiña  Bogota / Cra 101 #147c 34 Atardeceres de suba etapa 3 - int 3 apto 502  Suba la campiña  Bogota</v>
      </c>
      <c r="G2342" s="15" t="str">
        <f>IFERROR(__xludf.DUMMYFUNCTION("""COMPUTED_VALUE"""),"Katherine Diaz")</f>
        <v>Katherine Diaz</v>
      </c>
      <c r="H2342" s="16">
        <f>IFERROR(__xludf.DUMMYFUNCTION("""COMPUTED_VALUE"""),10968.0)</f>
        <v>10968</v>
      </c>
      <c r="I2342" s="18">
        <f>IFERROR(__xludf.DUMMYFUNCTION("""COMPUTED_VALUE"""),8.0)</f>
        <v>8</v>
      </c>
      <c r="J2342" s="18">
        <f>IFERROR(__xludf.DUMMYFUNCTION("""COMPUTED_VALUE"""),16.0)</f>
        <v>16</v>
      </c>
      <c r="K2342" s="18">
        <f>IFERROR(__xludf.DUMMYFUNCTION("""COMPUTED_VALUE"""),20.0)</f>
        <v>20</v>
      </c>
      <c r="L2342" s="17">
        <f>IFERROR(__xludf.DUMMYFUNCTION("""COMPUTED_VALUE"""),3.108710815E9)</f>
        <v>3108710815</v>
      </c>
      <c r="M2342" s="17" t="str">
        <f>IFERROR(__xludf.DUMMYFUNCTION("""COMPUTED_VALUE"""),"#REF!")</f>
        <v>#REF!</v>
      </c>
      <c r="N2342" s="17"/>
      <c r="O2342" s="17"/>
      <c r="P2342" s="17" t="b">
        <f>IFERROR(__xludf.DUMMYFUNCTION("""COMPUTED_VALUE"""),TRUE)</f>
        <v>1</v>
      </c>
      <c r="Q2342" s="20">
        <f>IFERROR(__xludf.DUMMYFUNCTION("""COMPUTED_VALUE"""),45070.62987726852)</f>
        <v>45070.62988</v>
      </c>
      <c r="R2342" s="22" t="str">
        <f>IFERROR(__xludf.DUMMYFUNCTION("""COMPUTED_VALUE"""),"")</f>
        <v/>
      </c>
    </row>
    <row r="2343">
      <c r="A2343" s="17" t="str">
        <f>IFERROR(__xludf.DUMMYFUNCTION("""COMPUTED_VALUE"""),"")</f>
        <v/>
      </c>
      <c r="B2343" s="17" t="str">
        <f>IFERROR(__xludf.DUMMYFUNCTION("""COMPUTED_VALUE"""),"")</f>
        <v/>
      </c>
      <c r="C2343" s="17" t="str">
        <f>IFERROR(__xludf.DUMMYFUNCTION("""COMPUTED_VALUE"""),"")</f>
        <v/>
      </c>
      <c r="D2343" s="17" t="str">
        <f>IFERROR(__xludf.DUMMYFUNCTION("""COMPUTED_VALUE"""),"")</f>
        <v/>
      </c>
      <c r="E2343" s="17" t="str">
        <f>IFERROR(__xludf.DUMMYFUNCTION("""COMPUTED_VALUE"""),"")</f>
        <v/>
      </c>
      <c r="F2343" s="17" t="str">
        <f>IFERROR(__xludf.DUMMYFUNCTION("""COMPUTED_VALUE"""),"")</f>
        <v/>
      </c>
      <c r="G2343" s="17" t="str">
        <f>IFERROR(__xludf.DUMMYFUNCTION("""COMPUTED_VALUE"""),"")</f>
        <v/>
      </c>
      <c r="H2343" s="17" t="str">
        <f>IFERROR(__xludf.DUMMYFUNCTION("""COMPUTED_VALUE"""),"")</f>
        <v/>
      </c>
      <c r="I2343" s="17" t="str">
        <f>IFERROR(__xludf.DUMMYFUNCTION("""COMPUTED_VALUE"""),"")</f>
        <v/>
      </c>
      <c r="J2343" s="17" t="str">
        <f>IFERROR(__xludf.DUMMYFUNCTION("""COMPUTED_VALUE"""),"")</f>
        <v/>
      </c>
      <c r="K2343" s="17" t="str">
        <f>IFERROR(__xludf.DUMMYFUNCTION("""COMPUTED_VALUE"""),"")</f>
        <v/>
      </c>
      <c r="L2343" s="17" t="str">
        <f>IFERROR(__xludf.DUMMYFUNCTION("""COMPUTED_VALUE"""),"")</f>
        <v/>
      </c>
      <c r="M2343" s="17" t="str">
        <f>IFERROR(__xludf.DUMMYFUNCTION("""COMPUTED_VALUE"""),"")</f>
        <v/>
      </c>
      <c r="N2343" s="17" t="str">
        <f>IFERROR(__xludf.DUMMYFUNCTION("""COMPUTED_VALUE"""),"")</f>
        <v/>
      </c>
      <c r="O2343" s="17" t="str">
        <f>IFERROR(__xludf.DUMMYFUNCTION("""COMPUTED_VALUE"""),"")</f>
        <v/>
      </c>
      <c r="P2343" s="17" t="str">
        <f>IFERROR(__xludf.DUMMYFUNCTION("""COMPUTED_VALUE"""),"")</f>
        <v/>
      </c>
      <c r="Q2343" s="17" t="str">
        <f>IFERROR(__xludf.DUMMYFUNCTION("""COMPUTED_VALUE"""),"")</f>
        <v/>
      </c>
      <c r="R2343" s="17" t="str">
        <f>IFERROR(__xludf.DUMMYFUNCTION("""COMPUTED_VALUE"""),"")</f>
        <v/>
      </c>
    </row>
    <row r="2344">
      <c r="A2344" s="15">
        <f>IFERROR(__xludf.DUMMYFUNCTION("""COMPUTED_VALUE"""),45070.0)</f>
        <v>45070</v>
      </c>
      <c r="B2344" s="16" t="str">
        <f>IFERROR(__xludf.DUMMYFUNCTION("""COMPUTED_VALUE"""),"Luis Miguel Ramirez Morales")</f>
        <v>Luis Miguel Ramirez Morales</v>
      </c>
      <c r="C2344" s="15" t="str">
        <f>IFERROR(__xludf.DUMMYFUNCTION("""COMPUTED_VALUE"""),"BOGOTÁ")</f>
        <v>BOGOTÁ</v>
      </c>
      <c r="D2344" s="15" t="str">
        <f>IFERROR(__xludf.DUMMYFUNCTION("""COMPUTED_VALUE"""),"MEDELLÍN")</f>
        <v>MEDELLÍN</v>
      </c>
      <c r="E2344" s="15" t="str">
        <f>IFERROR(__xludf.DUMMYFUNCTION("""COMPUTED_VALUE"""),"Baby Chef")</f>
        <v>Baby Chef</v>
      </c>
      <c r="F2344" s="17" t="str">
        <f>IFERROR(__xludf.DUMMYFUNCTION("""COMPUTED_VALUE"""),"Calle 168 # 9-11 interior 14 casa 7  Bogotá Barrio Pradera Norte / Calle 168 # 9-11 interior 14 casa 7  Bogotá Barrio Pradera Norte / Calle 168 # 9-11 interior 14 casa 7  Bogotá Barrio Pradera Norte")</f>
        <v>Calle 168 # 9-11 interior 14 casa 7  Bogotá Barrio Pradera Norte / Calle 168 # 9-11 interior 14 casa 7  Bogotá Barrio Pradera Norte / Calle 168 # 9-11 interior 14 casa 7  Bogotá Barrio Pradera Norte</v>
      </c>
      <c r="G2344" s="15" t="str">
        <f>IFERROR(__xludf.DUMMYFUNCTION("""COMPUTED_VALUE"""),"Paola Zapata")</f>
        <v>Paola Zapata</v>
      </c>
      <c r="H2344" s="16">
        <f>IFERROR(__xludf.DUMMYFUNCTION("""COMPUTED_VALUE"""),10960.0)</f>
        <v>10960</v>
      </c>
      <c r="I2344" s="18">
        <f>IFERROR(__xludf.DUMMYFUNCTION("""COMPUTED_VALUE"""),8.0)</f>
        <v>8</v>
      </c>
      <c r="J2344" s="18">
        <f>IFERROR(__xludf.DUMMYFUNCTION("""COMPUTED_VALUE"""),16.0)</f>
        <v>16</v>
      </c>
      <c r="K2344" s="18">
        <f>IFERROR(__xludf.DUMMYFUNCTION("""COMPUTED_VALUE"""),20.0)</f>
        <v>20</v>
      </c>
      <c r="L2344" s="17">
        <f>IFERROR(__xludf.DUMMYFUNCTION("""COMPUTED_VALUE"""),3.046517756E9)</f>
        <v>3046517756</v>
      </c>
      <c r="M2344" s="17" t="str">
        <f>IFERROR(__xludf.DUMMYFUNCTION("""COMPUTED_VALUE"""),"#REF!")</f>
        <v>#REF!</v>
      </c>
      <c r="N2344" s="17"/>
      <c r="O2344" s="17"/>
      <c r="P2344" s="17" t="b">
        <f>IFERROR(__xludf.DUMMYFUNCTION("""COMPUTED_VALUE"""),FALSE)</f>
        <v>0</v>
      </c>
      <c r="Q2344" s="20" t="str">
        <f>IFERROR(__xludf.DUMMYFUNCTION("""COMPUTED_VALUE"""),"")</f>
        <v/>
      </c>
      <c r="R2344" s="21" t="str">
        <f>IFERROR(__xludf.DUMMYFUNCTION("""COMPUTED_VALUE"""),"https://drive.google.com/file/d/1rRciGzYQqphrEUhT13jhfx2DDL0PLMfc/view?usp=drivesdk")</f>
        <v>https://drive.google.com/file/d/1rRciGzYQqphrEUhT13jhfx2DDL0PLMfc/view?usp=drivesdk</v>
      </c>
    </row>
    <row r="2345">
      <c r="A2345" s="15">
        <f>IFERROR(__xludf.DUMMYFUNCTION("""COMPUTED_VALUE"""),45070.0)</f>
        <v>45070</v>
      </c>
      <c r="B2345" s="16" t="str">
        <f>IFERROR(__xludf.DUMMYFUNCTION("""COMPUTED_VALUE"""),"Luis Miguel Ramirez Morales")</f>
        <v>Luis Miguel Ramirez Morales</v>
      </c>
      <c r="C2345" s="15" t="str">
        <f>IFERROR(__xludf.DUMMYFUNCTION("""COMPUTED_VALUE"""),"BOGOTÁ")</f>
        <v>BOGOTÁ</v>
      </c>
      <c r="D2345" s="15" t="str">
        <f>IFERROR(__xludf.DUMMYFUNCTION("""COMPUTED_VALUE"""),"MEDELLÍN")</f>
        <v>MEDELLÍN</v>
      </c>
      <c r="E2345" s="15" t="str">
        <f>IFERROR(__xludf.DUMMYFUNCTION("""COMPUTED_VALUE"""),"Baby Chef")</f>
        <v>Baby Chef</v>
      </c>
      <c r="F2345" s="17" t="str">
        <f>IFERROR(__xludf.DUMMYFUNCTION("""COMPUTED_VALUE"""),"Calle 97#70c-95 Portal de Pontevedra 5 interior 1 apto 801 / Calle 97#70c-95 Portal de Pontevedra 5 interior 1 apto 801 / Calle 97#70c-95 Portal de Pontevedra 5 interior 1 apto 801")</f>
        <v>Calle 97#70c-95 Portal de Pontevedra 5 interior 1 apto 801 / Calle 97#70c-95 Portal de Pontevedra 5 interior 1 apto 801 / Calle 97#70c-95 Portal de Pontevedra 5 interior 1 apto 801</v>
      </c>
      <c r="G2345" s="15" t="str">
        <f>IFERROR(__xludf.DUMMYFUNCTION("""COMPUTED_VALUE"""),"Jhoana Guzman")</f>
        <v>Jhoana Guzman</v>
      </c>
      <c r="H2345" s="16">
        <f>IFERROR(__xludf.DUMMYFUNCTION("""COMPUTED_VALUE"""),10963.0)</f>
        <v>10963</v>
      </c>
      <c r="I2345" s="18">
        <f>IFERROR(__xludf.DUMMYFUNCTION("""COMPUTED_VALUE"""),8.0)</f>
        <v>8</v>
      </c>
      <c r="J2345" s="18">
        <f>IFERROR(__xludf.DUMMYFUNCTION("""COMPUTED_VALUE"""),16.0)</f>
        <v>16</v>
      </c>
      <c r="K2345" s="18">
        <f>IFERROR(__xludf.DUMMYFUNCTION("""COMPUTED_VALUE"""),20.0)</f>
        <v>20</v>
      </c>
      <c r="L2345" s="17">
        <f>IFERROR(__xludf.DUMMYFUNCTION("""COMPUTED_VALUE"""),3.043455492E9)</f>
        <v>3043455492</v>
      </c>
      <c r="M2345" s="17" t="str">
        <f>IFERROR(__xludf.DUMMYFUNCTION("""COMPUTED_VALUE"""),"#REF!")</f>
        <v>#REF!</v>
      </c>
      <c r="N2345" s="17"/>
      <c r="O2345" s="17"/>
      <c r="P2345" s="17" t="b">
        <f>IFERROR(__xludf.DUMMYFUNCTION("""COMPUTED_VALUE"""),TRUE)</f>
        <v>1</v>
      </c>
      <c r="Q2345" s="20">
        <f>IFERROR(__xludf.DUMMYFUNCTION("""COMPUTED_VALUE"""),45070.62987726852)</f>
        <v>45070.62988</v>
      </c>
      <c r="R2345" s="22" t="str">
        <f>IFERROR(__xludf.DUMMYFUNCTION("""COMPUTED_VALUE"""),"")</f>
        <v/>
      </c>
    </row>
    <row r="2346">
      <c r="A2346" s="15">
        <f>IFERROR(__xludf.DUMMYFUNCTION("""COMPUTED_VALUE"""),45070.0)</f>
        <v>45070</v>
      </c>
      <c r="B2346" s="16" t="str">
        <f>IFERROR(__xludf.DUMMYFUNCTION("""COMPUTED_VALUE"""),"Luis Miguel Ramirez Morales")</f>
        <v>Luis Miguel Ramirez Morales</v>
      </c>
      <c r="C2346" s="15" t="str">
        <f>IFERROR(__xludf.DUMMYFUNCTION("""COMPUTED_VALUE"""),"BOGOTÁ")</f>
        <v>BOGOTÁ</v>
      </c>
      <c r="D2346" s="15" t="str">
        <f>IFERROR(__xludf.DUMMYFUNCTION("""COMPUTED_VALUE"""),"MEDELLÍN")</f>
        <v>MEDELLÍN</v>
      </c>
      <c r="E2346" s="15" t="str">
        <f>IFERROR(__xludf.DUMMYFUNCTION("""COMPUTED_VALUE"""),"Baby Chef")</f>
        <v>Baby Chef</v>
      </c>
      <c r="F2346" s="17" t="str">
        <f>IFERROR(__xludf.DUMMYFUNCTION("""COMPUTED_VALUE"""),"Cra 55 # 149 - 60 Torre 1 Apto 1204 Colina / Cra 55 # 149 - 60 Torre 1 Apto 1204 Colina / Cra 55 # 149 - 60 Torre 1 Apto 1204 Colina")</f>
        <v>Cra 55 # 149 - 60 Torre 1 Apto 1204 Colina / Cra 55 # 149 - 60 Torre 1 Apto 1204 Colina / Cra 55 # 149 - 60 Torre 1 Apto 1204 Colina</v>
      </c>
      <c r="G2346" s="15" t="str">
        <f>IFERROR(__xludf.DUMMYFUNCTION("""COMPUTED_VALUE"""),"Lorena Hernández")</f>
        <v>Lorena Hernández</v>
      </c>
      <c r="H2346" s="16">
        <f>IFERROR(__xludf.DUMMYFUNCTION("""COMPUTED_VALUE"""),10961.0)</f>
        <v>10961</v>
      </c>
      <c r="I2346" s="18">
        <f>IFERROR(__xludf.DUMMYFUNCTION("""COMPUTED_VALUE"""),8.0)</f>
        <v>8</v>
      </c>
      <c r="J2346" s="18">
        <f>IFERROR(__xludf.DUMMYFUNCTION("""COMPUTED_VALUE"""),16.0)</f>
        <v>16</v>
      </c>
      <c r="K2346" s="18">
        <f>IFERROR(__xludf.DUMMYFUNCTION("""COMPUTED_VALUE"""),20.0)</f>
        <v>20</v>
      </c>
      <c r="L2346" s="17">
        <f>IFERROR(__xludf.DUMMYFUNCTION("""COMPUTED_VALUE"""),3.214384861E9)</f>
        <v>3214384861</v>
      </c>
      <c r="M2346" s="17" t="str">
        <f>IFERROR(__xludf.DUMMYFUNCTION("""COMPUTED_VALUE"""),"#REF!")</f>
        <v>#REF!</v>
      </c>
      <c r="N2346" s="17"/>
      <c r="O2346" s="17"/>
      <c r="P2346" s="17" t="b">
        <f>IFERROR(__xludf.DUMMYFUNCTION("""COMPUTED_VALUE"""),TRUE)</f>
        <v>1</v>
      </c>
      <c r="Q2346" s="20">
        <f>IFERROR(__xludf.DUMMYFUNCTION("""COMPUTED_VALUE"""),45070.62987726852)</f>
        <v>45070.62988</v>
      </c>
      <c r="R2346" s="21" t="str">
        <f>IFERROR(__xludf.DUMMYFUNCTION("""COMPUTED_VALUE"""),"https://drive.google.com/file/d/1WfiiYhOJlShO8L0qXTzOCtYUC0K_Fa-P/view?usp=drivesdk")</f>
        <v>https://drive.google.com/file/d/1WfiiYhOJlShO8L0qXTzOCtYUC0K_Fa-P/view?usp=drivesdk</v>
      </c>
    </row>
    <row r="2347">
      <c r="A2347" s="17" t="str">
        <f>IFERROR(__xludf.DUMMYFUNCTION("""COMPUTED_VALUE"""),"")</f>
        <v/>
      </c>
      <c r="B2347" s="17" t="str">
        <f>IFERROR(__xludf.DUMMYFUNCTION("""COMPUTED_VALUE"""),"")</f>
        <v/>
      </c>
      <c r="C2347" s="17" t="str">
        <f>IFERROR(__xludf.DUMMYFUNCTION("""COMPUTED_VALUE"""),"")</f>
        <v/>
      </c>
      <c r="D2347" s="17" t="str">
        <f>IFERROR(__xludf.DUMMYFUNCTION("""COMPUTED_VALUE"""),"")</f>
        <v/>
      </c>
      <c r="E2347" s="17" t="str">
        <f>IFERROR(__xludf.DUMMYFUNCTION("""COMPUTED_VALUE"""),"")</f>
        <v/>
      </c>
      <c r="F2347" s="17" t="str">
        <f>IFERROR(__xludf.DUMMYFUNCTION("""COMPUTED_VALUE"""),"")</f>
        <v/>
      </c>
      <c r="G2347" s="17" t="str">
        <f>IFERROR(__xludf.DUMMYFUNCTION("""COMPUTED_VALUE"""),"")</f>
        <v/>
      </c>
      <c r="H2347" s="17" t="str">
        <f>IFERROR(__xludf.DUMMYFUNCTION("""COMPUTED_VALUE"""),"")</f>
        <v/>
      </c>
      <c r="I2347" s="17" t="str">
        <f>IFERROR(__xludf.DUMMYFUNCTION("""COMPUTED_VALUE"""),"")</f>
        <v/>
      </c>
      <c r="J2347" s="17" t="str">
        <f>IFERROR(__xludf.DUMMYFUNCTION("""COMPUTED_VALUE"""),"")</f>
        <v/>
      </c>
      <c r="K2347" s="17" t="str">
        <f>IFERROR(__xludf.DUMMYFUNCTION("""COMPUTED_VALUE"""),"")</f>
        <v/>
      </c>
      <c r="L2347" s="17" t="str">
        <f>IFERROR(__xludf.DUMMYFUNCTION("""COMPUTED_VALUE"""),"")</f>
        <v/>
      </c>
      <c r="M2347" s="17" t="str">
        <f>IFERROR(__xludf.DUMMYFUNCTION("""COMPUTED_VALUE"""),"")</f>
        <v/>
      </c>
      <c r="N2347" s="17" t="str">
        <f>IFERROR(__xludf.DUMMYFUNCTION("""COMPUTED_VALUE"""),"")</f>
        <v/>
      </c>
      <c r="O2347" s="17" t="str">
        <f>IFERROR(__xludf.DUMMYFUNCTION("""COMPUTED_VALUE"""),"")</f>
        <v/>
      </c>
      <c r="P2347" s="17" t="str">
        <f>IFERROR(__xludf.DUMMYFUNCTION("""COMPUTED_VALUE"""),"")</f>
        <v/>
      </c>
      <c r="Q2347" s="17" t="str">
        <f>IFERROR(__xludf.DUMMYFUNCTION("""COMPUTED_VALUE"""),"")</f>
        <v/>
      </c>
      <c r="R2347" s="17" t="str">
        <f>IFERROR(__xludf.DUMMYFUNCTION("""COMPUTED_VALUE"""),"")</f>
        <v/>
      </c>
    </row>
    <row r="2348">
      <c r="A2348" s="15">
        <f>IFERROR(__xludf.DUMMYFUNCTION("""COMPUTED_VALUE"""),45070.0)</f>
        <v>45070</v>
      </c>
      <c r="B2348" s="16" t="str">
        <f>IFERROR(__xludf.DUMMYFUNCTION("""COMPUTED_VALUE"""),"Oscar Augusto Meneses Osias")</f>
        <v>Oscar Augusto Meneses Osias</v>
      </c>
      <c r="C2348" s="15" t="str">
        <f>IFERROR(__xludf.DUMMYFUNCTION("""COMPUTED_VALUE"""),"MEDELLÍN")</f>
        <v>MEDELLÍN</v>
      </c>
      <c r="D2348" s="15" t="str">
        <f>IFERROR(__xludf.DUMMYFUNCTION("""COMPUTED_VALUE"""),"BOGOTÁ")</f>
        <v>BOGOTÁ</v>
      </c>
      <c r="E2348" s="15" t="str">
        <f>IFERROR(__xludf.DUMMYFUNCTION("""COMPUTED_VALUE"""),"Asociacion Agropecuaria Juana Maria")</f>
        <v>Asociacion Agropecuaria Juana Maria</v>
      </c>
      <c r="F2348" s="17" t="str">
        <f>IFERROR(__xludf.DUMMYFUNCTION("""COMPUTED_VALUE"""),"Carrera 15 BA # 30D-44 int 201")</f>
        <v>Carrera 15 BA # 30D-44 int 201</v>
      </c>
      <c r="G2348" s="15" t="str">
        <f>IFERROR(__xludf.DUMMYFUNCTION("""COMPUTED_VALUE"""),"Daniela Bedoya Blandon")</f>
        <v>Daniela Bedoya Blandon</v>
      </c>
      <c r="H2348" s="16">
        <f>IFERROR(__xludf.DUMMYFUNCTION("""COMPUTED_VALUE"""),10898.0)</f>
        <v>10898</v>
      </c>
      <c r="I2348" s="18">
        <f>IFERROR(__xludf.DUMMYFUNCTION("""COMPUTED_VALUE"""),21.0)</f>
        <v>21</v>
      </c>
      <c r="J2348" s="18">
        <f>IFERROR(__xludf.DUMMYFUNCTION("""COMPUTED_VALUE"""),37.0)</f>
        <v>37</v>
      </c>
      <c r="K2348" s="18">
        <f>IFERROR(__xludf.DUMMYFUNCTION("""COMPUTED_VALUE"""),30.0)</f>
        <v>30</v>
      </c>
      <c r="L2348" s="17">
        <f>IFERROR(__xludf.DUMMYFUNCTION("""COMPUTED_VALUE"""),3.14672822E9)</f>
        <v>3146728220</v>
      </c>
      <c r="M2348" s="17" t="str">
        <f>IFERROR(__xludf.DUMMYFUNCTION("""COMPUTED_VALUE"""),"#REF!")</f>
        <v>#REF!</v>
      </c>
      <c r="N2348" s="17"/>
      <c r="O2348" s="17"/>
      <c r="P2348" s="17" t="b">
        <f>IFERROR(__xludf.DUMMYFUNCTION("""COMPUTED_VALUE"""),FALSE)</f>
        <v>0</v>
      </c>
      <c r="Q2348" s="20" t="str">
        <f>IFERROR(__xludf.DUMMYFUNCTION("""COMPUTED_VALUE"""),"")</f>
        <v/>
      </c>
      <c r="R2348" s="21" t="str">
        <f>IFERROR(__xludf.DUMMYFUNCTION("""COMPUTED_VALUE"""),"https://drive.google.com/file/d/1u98WgQNJoU7gSd1zEpekRKyp2UBmrdK8/view?usp=drivesdk")</f>
        <v>https://drive.google.com/file/d/1u98WgQNJoU7gSd1zEpekRKyp2UBmrdK8/view?usp=drivesdk</v>
      </c>
    </row>
    <row r="2349">
      <c r="A2349" s="15">
        <f>IFERROR(__xludf.DUMMYFUNCTION("""COMPUTED_VALUE"""),45070.0)</f>
        <v>45070</v>
      </c>
      <c r="B2349" s="16" t="str">
        <f>IFERROR(__xludf.DUMMYFUNCTION("""COMPUTED_VALUE"""),"Oscar Augusto Meneses Osias")</f>
        <v>Oscar Augusto Meneses Osias</v>
      </c>
      <c r="C2349" s="15" t="str">
        <f>IFERROR(__xludf.DUMMYFUNCTION("""COMPUTED_VALUE"""),"MEDELLÍN")</f>
        <v>MEDELLÍN</v>
      </c>
      <c r="D2349" s="15" t="str">
        <f>IFERROR(__xludf.DUMMYFUNCTION("""COMPUTED_VALUE"""),"BOGOTÁ")</f>
        <v>BOGOTÁ</v>
      </c>
      <c r="E2349" s="15" t="str">
        <f>IFERROR(__xludf.DUMMYFUNCTION("""COMPUTED_VALUE"""),"Evamazzita")</f>
        <v>Evamazzita</v>
      </c>
      <c r="F2349" s="17" t="str">
        <f>IFERROR(__xludf.DUMMYFUNCTION("""COMPUTED_VALUE"""),"calle 1c #66-50  / N/A / barrio guayabal")</f>
        <v>calle 1c #66-50  / N/A / barrio guayabal</v>
      </c>
      <c r="G2349" s="15" t="str">
        <f>IFERROR(__xludf.DUMMYFUNCTION("""COMPUTED_VALUE"""),"ANA MARIA RAMIREZ")</f>
        <v>ANA MARIA RAMIREZ</v>
      </c>
      <c r="H2349" s="16">
        <f>IFERROR(__xludf.DUMMYFUNCTION("""COMPUTED_VALUE"""),10933.0)</f>
        <v>10933</v>
      </c>
      <c r="I2349" s="18">
        <f>IFERROR(__xludf.DUMMYFUNCTION("""COMPUTED_VALUE"""),3.0)</f>
        <v>3</v>
      </c>
      <c r="J2349" s="18">
        <f>IFERROR(__xludf.DUMMYFUNCTION("""COMPUTED_VALUE"""),20.0)</f>
        <v>20</v>
      </c>
      <c r="K2349" s="18">
        <f>IFERROR(__xludf.DUMMYFUNCTION("""COMPUTED_VALUE"""),15.0)</f>
        <v>15</v>
      </c>
      <c r="L2349" s="17">
        <f>IFERROR(__xludf.DUMMYFUNCTION("""COMPUTED_VALUE"""),3.226649929E9)</f>
        <v>3226649929</v>
      </c>
      <c r="M2349" s="17" t="str">
        <f>IFERROR(__xludf.DUMMYFUNCTION("""COMPUTED_VALUE"""),"#REF!")</f>
        <v>#REF!</v>
      </c>
      <c r="N2349" s="17"/>
      <c r="O2349" s="17"/>
      <c r="P2349" s="17" t="b">
        <f>IFERROR(__xludf.DUMMYFUNCTION("""COMPUTED_VALUE"""),FALSE)</f>
        <v>0</v>
      </c>
      <c r="Q2349" s="20" t="str">
        <f>IFERROR(__xludf.DUMMYFUNCTION("""COMPUTED_VALUE"""),"")</f>
        <v/>
      </c>
      <c r="R2349" s="22" t="str">
        <f>IFERROR(__xludf.DUMMYFUNCTION("""COMPUTED_VALUE"""),"")</f>
        <v/>
      </c>
    </row>
    <row r="2350">
      <c r="A2350" s="15">
        <f>IFERROR(__xludf.DUMMYFUNCTION("""COMPUTED_VALUE"""),45070.0)</f>
        <v>45070</v>
      </c>
      <c r="B2350" s="16" t="str">
        <f>IFERROR(__xludf.DUMMYFUNCTION("""COMPUTED_VALUE"""),"Oscar Augusto Meneses Osias")</f>
        <v>Oscar Augusto Meneses Osias</v>
      </c>
      <c r="C2350" s="15" t="str">
        <f>IFERROR(__xludf.DUMMYFUNCTION("""COMPUTED_VALUE"""),"MEDELLÍN")</f>
        <v>MEDELLÍN</v>
      </c>
      <c r="D2350" s="15" t="str">
        <f>IFERROR(__xludf.DUMMYFUNCTION("""COMPUTED_VALUE"""),"BOGOTÁ")</f>
        <v>BOGOTÁ</v>
      </c>
      <c r="E2350" s="15" t="str">
        <f>IFERROR(__xludf.DUMMYFUNCTION("""COMPUTED_VALUE"""),"Evamazzita")</f>
        <v>Evamazzita</v>
      </c>
      <c r="F2350" s="17" t="str">
        <f>IFERROR(__xludf.DUMMYFUNCTION("""COMPUTED_VALUE"""),"calle 38b # 66-25  / apto 301 Barrio villa lia / ITAGÜÍ -  por la glorieta de ditaires")</f>
        <v>calle 38b # 66-25  / apto 301 Barrio villa lia / ITAGÜÍ -  por la glorieta de ditaires</v>
      </c>
      <c r="G2350" s="15" t="str">
        <f>IFERROR(__xludf.DUMMYFUNCTION("""COMPUTED_VALUE"""),"MARIA ELENA CONTRERAS MATTOS")</f>
        <v>MARIA ELENA CONTRERAS MATTOS</v>
      </c>
      <c r="H2350" s="16">
        <f>IFERROR(__xludf.DUMMYFUNCTION("""COMPUTED_VALUE"""),10936.0)</f>
        <v>10936</v>
      </c>
      <c r="I2350" s="18">
        <f>IFERROR(__xludf.DUMMYFUNCTION("""COMPUTED_VALUE"""),3.0)</f>
        <v>3</v>
      </c>
      <c r="J2350" s="18">
        <f>IFERROR(__xludf.DUMMYFUNCTION("""COMPUTED_VALUE"""),20.0)</f>
        <v>20</v>
      </c>
      <c r="K2350" s="18">
        <f>IFERROR(__xludf.DUMMYFUNCTION("""COMPUTED_VALUE"""),15.0)</f>
        <v>15</v>
      </c>
      <c r="L2350" s="17">
        <f>IFERROR(__xludf.DUMMYFUNCTION("""COMPUTED_VALUE"""),3.165204659E9)</f>
        <v>3165204659</v>
      </c>
      <c r="M2350" s="17" t="str">
        <f>IFERROR(__xludf.DUMMYFUNCTION("""COMPUTED_VALUE"""),"#REF!")</f>
        <v>#REF!</v>
      </c>
      <c r="N2350" s="17"/>
      <c r="O2350" s="17"/>
      <c r="P2350" s="17" t="b">
        <f>IFERROR(__xludf.DUMMYFUNCTION("""COMPUTED_VALUE"""),FALSE)</f>
        <v>0</v>
      </c>
      <c r="Q2350" s="20" t="str">
        <f>IFERROR(__xludf.DUMMYFUNCTION("""COMPUTED_VALUE"""),"")</f>
        <v/>
      </c>
      <c r="R2350" s="22" t="str">
        <f>IFERROR(__xludf.DUMMYFUNCTION("""COMPUTED_VALUE"""),"")</f>
        <v/>
      </c>
    </row>
    <row r="2351">
      <c r="A2351" s="15">
        <f>IFERROR(__xludf.DUMMYFUNCTION("""COMPUTED_VALUE"""),45070.0)</f>
        <v>45070</v>
      </c>
      <c r="B2351" s="16" t="str">
        <f>IFERROR(__xludf.DUMMYFUNCTION("""COMPUTED_VALUE"""),"Oscar Augusto Meneses Osias")</f>
        <v>Oscar Augusto Meneses Osias</v>
      </c>
      <c r="C2351" s="15" t="str">
        <f>IFERROR(__xludf.DUMMYFUNCTION("""COMPUTED_VALUE"""),"MEDELLÍN")</f>
        <v>MEDELLÍN</v>
      </c>
      <c r="D2351" s="15" t="str">
        <f>IFERROR(__xludf.DUMMYFUNCTION("""COMPUTED_VALUE"""),"BOGOTÁ")</f>
        <v>BOGOTÁ</v>
      </c>
      <c r="E2351" s="15" t="str">
        <f>IFERROR(__xludf.DUMMYFUNCTION("""COMPUTED_VALUE"""),"Evamazzita")</f>
        <v>Evamazzita</v>
      </c>
      <c r="F2351" s="17" t="str">
        <f>IFERROR(__xludf.DUMMYFUNCTION("""COMPUTED_VALUE"""),"CRA 15 BA No. 34D- 44  / INT 201  / BUENOS AIRES")</f>
        <v>CRA 15 BA No. 34D- 44  / INT 201  / BUENOS AIRES</v>
      </c>
      <c r="G2351" s="15" t="str">
        <f>IFERROR(__xludf.DUMMYFUNCTION("""COMPUTED_VALUE"""),"DANIELA BEDOYA BLANDON")</f>
        <v>DANIELA BEDOYA BLANDON</v>
      </c>
      <c r="H2351" s="16">
        <f>IFERROR(__xludf.DUMMYFUNCTION("""COMPUTED_VALUE"""),10920.0)</f>
        <v>10920</v>
      </c>
      <c r="I2351" s="18">
        <f>IFERROR(__xludf.DUMMYFUNCTION("""COMPUTED_VALUE"""),17.0)</f>
        <v>17</v>
      </c>
      <c r="J2351" s="18">
        <f>IFERROR(__xludf.DUMMYFUNCTION("""COMPUTED_VALUE"""),25.0)</f>
        <v>25</v>
      </c>
      <c r="K2351" s="18">
        <f>IFERROR(__xludf.DUMMYFUNCTION("""COMPUTED_VALUE"""),20.0)</f>
        <v>20</v>
      </c>
      <c r="L2351" s="17">
        <f>IFERROR(__xludf.DUMMYFUNCTION("""COMPUTED_VALUE"""),3.14672822E9)</f>
        <v>3146728220</v>
      </c>
      <c r="M2351" s="17" t="str">
        <f>IFERROR(__xludf.DUMMYFUNCTION("""COMPUTED_VALUE"""),"#REF!")</f>
        <v>#REF!</v>
      </c>
      <c r="N2351" s="17"/>
      <c r="O2351" s="17"/>
      <c r="P2351" s="17" t="b">
        <f>IFERROR(__xludf.DUMMYFUNCTION("""COMPUTED_VALUE"""),FALSE)</f>
        <v>0</v>
      </c>
      <c r="Q2351" s="20" t="str">
        <f>IFERROR(__xludf.DUMMYFUNCTION("""COMPUTED_VALUE"""),"")</f>
        <v/>
      </c>
      <c r="R2351" s="21" t="str">
        <f>IFERROR(__xludf.DUMMYFUNCTION("""COMPUTED_VALUE"""),"https://drive.google.com/file/d/1_8PF0Vt2zKcYAOPbI7rd4ucg_0G3FrYy/view?usp=drivesdk")</f>
        <v>https://drive.google.com/file/d/1_8PF0Vt2zKcYAOPbI7rd4ucg_0G3FrYy/view?usp=drivesdk</v>
      </c>
    </row>
    <row r="2352">
      <c r="A2352" s="15">
        <f>IFERROR(__xludf.DUMMYFUNCTION("""COMPUTED_VALUE"""),45070.0)</f>
        <v>45070</v>
      </c>
      <c r="B2352" s="16" t="str">
        <f>IFERROR(__xludf.DUMMYFUNCTION("""COMPUTED_VALUE"""),"Oscar Augusto Meneses Osias")</f>
        <v>Oscar Augusto Meneses Osias</v>
      </c>
      <c r="C2352" s="15" t="str">
        <f>IFERROR(__xludf.DUMMYFUNCTION("""COMPUTED_VALUE"""),"MEDELLÍN")</f>
        <v>MEDELLÍN</v>
      </c>
      <c r="D2352" s="15" t="str">
        <f>IFERROR(__xludf.DUMMYFUNCTION("""COMPUTED_VALUE"""),"BOGOTÁ")</f>
        <v>BOGOTÁ</v>
      </c>
      <c r="E2352" s="15" t="str">
        <f>IFERROR(__xludf.DUMMYFUNCTION("""COMPUTED_VALUE"""),"Frambascolombia sas")</f>
        <v>Frambascolombia sas</v>
      </c>
      <c r="F2352" s="17" t="str">
        <f>IFERROR(__xludf.DUMMYFUNCTION("""COMPUTED_VALUE"""),"Cl. 16 #55-129 / local 2")</f>
        <v>Cl. 16 #55-129 / local 2</v>
      </c>
      <c r="G2352" s="15" t="str">
        <f>IFERROR(__xludf.DUMMYFUNCTION("""COMPUTED_VALUE"""),"PikNPak Medellín")</f>
        <v>PikNPak Medellín</v>
      </c>
      <c r="H2352" s="16">
        <f>IFERROR(__xludf.DUMMYFUNCTION("""COMPUTED_VALUE"""),10912.0)</f>
        <v>10912</v>
      </c>
      <c r="I2352" s="18">
        <f>IFERROR(__xludf.DUMMYFUNCTION("""COMPUTED_VALUE"""),11.0)</f>
        <v>11</v>
      </c>
      <c r="J2352" s="18">
        <f>IFERROR(__xludf.DUMMYFUNCTION("""COMPUTED_VALUE"""),9.0)</f>
        <v>9</v>
      </c>
      <c r="K2352" s="18">
        <f>IFERROR(__xludf.DUMMYFUNCTION("""COMPUTED_VALUE"""),9.0)</f>
        <v>9</v>
      </c>
      <c r="L2352" s="17" t="str">
        <f>IFERROR(__xludf.DUMMYFUNCTION("""COMPUTED_VALUE"""),"321 4229567")</f>
        <v>321 4229567</v>
      </c>
      <c r="M2352" s="17" t="str">
        <f>IFERROR(__xludf.DUMMYFUNCTION("""COMPUTED_VALUE"""),"#REF!")</f>
        <v>#REF!</v>
      </c>
      <c r="N2352" s="17"/>
      <c r="O2352" s="17"/>
      <c r="P2352" s="17" t="b">
        <f>IFERROR(__xludf.DUMMYFUNCTION("""COMPUTED_VALUE"""),TRUE)</f>
        <v>1</v>
      </c>
      <c r="Q2352" s="20">
        <f>IFERROR(__xludf.DUMMYFUNCTION("""COMPUTED_VALUE"""),45072.63334971065)</f>
        <v>45072.63335</v>
      </c>
      <c r="R2352" s="21" t="str">
        <f>IFERROR(__xludf.DUMMYFUNCTION("""COMPUTED_VALUE"""),"https://drive.google.com/file/d/15TMImOH7yJpiDqso1AWPEGSrtJNgyKO3/view?usp=drivesdk")</f>
        <v>https://drive.google.com/file/d/15TMImOH7yJpiDqso1AWPEGSrtJNgyKO3/view?usp=drivesdk</v>
      </c>
    </row>
    <row r="2353">
      <c r="A2353" s="15">
        <f>IFERROR(__xludf.DUMMYFUNCTION("""COMPUTED_VALUE"""),45070.0)</f>
        <v>45070</v>
      </c>
      <c r="B2353" s="16" t="str">
        <f>IFERROR(__xludf.DUMMYFUNCTION("""COMPUTED_VALUE"""),"Oscar Augusto Meneses Osias")</f>
        <v>Oscar Augusto Meneses Osias</v>
      </c>
      <c r="C2353" s="15" t="str">
        <f>IFERROR(__xludf.DUMMYFUNCTION("""COMPUTED_VALUE"""),"MEDELLÍN")</f>
        <v>MEDELLÍN</v>
      </c>
      <c r="D2353" s="15" t="str">
        <f>IFERROR(__xludf.DUMMYFUNCTION("""COMPUTED_VALUE"""),"BOGOTÁ")</f>
        <v>BOGOTÁ</v>
      </c>
      <c r="E2353" s="15" t="str">
        <f>IFERROR(__xludf.DUMMYFUNCTION("""COMPUTED_VALUE"""),"Karem foods")</f>
        <v>Karem foods</v>
      </c>
      <c r="F2353" s="17" t="str">
        <f>IFERROR(__xludf.DUMMYFUNCTION("""COMPUTED_VALUE"""),"Cra 37b #13 sur 15 / Ed Cioccolato apto 602 / -")</f>
        <v>Cra 37b #13 sur 15 / Ed Cioccolato apto 602 / -</v>
      </c>
      <c r="G2353" s="15" t="str">
        <f>IFERROR(__xludf.DUMMYFUNCTION("""COMPUTED_VALUE"""),"Laura Rios")</f>
        <v>Laura Rios</v>
      </c>
      <c r="H2353" s="16">
        <f>IFERROR(__xludf.DUMMYFUNCTION("""COMPUTED_VALUE"""),10946.0)</f>
        <v>10946</v>
      </c>
      <c r="I2353" s="18">
        <f>IFERROR(__xludf.DUMMYFUNCTION("""COMPUTED_VALUE"""),6.0)</f>
        <v>6</v>
      </c>
      <c r="J2353" s="18">
        <f>IFERROR(__xludf.DUMMYFUNCTION("""COMPUTED_VALUE"""),8.0)</f>
        <v>8</v>
      </c>
      <c r="K2353" s="18">
        <f>IFERROR(__xludf.DUMMYFUNCTION("""COMPUTED_VALUE"""),8.0)</f>
        <v>8</v>
      </c>
      <c r="L2353" s="17">
        <f>IFERROR(__xludf.DUMMYFUNCTION("""COMPUTED_VALUE"""),3.122640174E9)</f>
        <v>3122640174</v>
      </c>
      <c r="M2353" s="17" t="str">
        <f>IFERROR(__xludf.DUMMYFUNCTION("""COMPUTED_VALUE"""),"#REF!")</f>
        <v>#REF!</v>
      </c>
      <c r="N2353" s="17"/>
      <c r="O2353" s="17"/>
      <c r="P2353" s="17" t="b">
        <f>IFERROR(__xludf.DUMMYFUNCTION("""COMPUTED_VALUE"""),TRUE)</f>
        <v>1</v>
      </c>
      <c r="Q2353" s="20">
        <f>IFERROR(__xludf.DUMMYFUNCTION("""COMPUTED_VALUE"""),45072.63334971065)</f>
        <v>45072.63335</v>
      </c>
      <c r="R2353" s="21" t="str">
        <f>IFERROR(__xludf.DUMMYFUNCTION("""COMPUTED_VALUE"""),"https://drive.google.com/file/d/1HH_7VY9nvS_TpcPLweF0Z3nXmDukQS1B/view?usp=drivesdk")</f>
        <v>https://drive.google.com/file/d/1HH_7VY9nvS_TpcPLweF0Z3nXmDukQS1B/view?usp=drivesdk</v>
      </c>
    </row>
    <row r="2354">
      <c r="A2354" s="15">
        <f>IFERROR(__xludf.DUMMYFUNCTION("""COMPUTED_VALUE"""),45070.0)</f>
        <v>45070</v>
      </c>
      <c r="B2354" s="16" t="str">
        <f>IFERROR(__xludf.DUMMYFUNCTION("""COMPUTED_VALUE"""),"Oscar Augusto Meneses Osias")</f>
        <v>Oscar Augusto Meneses Osias</v>
      </c>
      <c r="C2354" s="15" t="str">
        <f>IFERROR(__xludf.DUMMYFUNCTION("""COMPUTED_VALUE"""),"MEDELLÍN")</f>
        <v>MEDELLÍN</v>
      </c>
      <c r="D2354" s="15" t="str">
        <f>IFERROR(__xludf.DUMMYFUNCTION("""COMPUTED_VALUE"""),"BOGOTÁ")</f>
        <v>BOGOTÁ</v>
      </c>
      <c r="E2354" s="15" t="str">
        <f>IFERROR(__xludf.DUMMYFUNCTION("""COMPUTED_VALUE"""),"Loomifoods")</f>
        <v>Loomifoods</v>
      </c>
      <c r="F2354" s="17" t="str">
        <f>IFERROR(__xludf.DUMMYFUNCTION("""COMPUTED_VALUE"""),"Cra 15ba no. 34d - 44 / Interior 201 / Medellin")</f>
        <v>Cra 15ba no. 34d - 44 / Interior 201 / Medellin</v>
      </c>
      <c r="G2354" s="15" t="str">
        <f>IFERROR(__xludf.DUMMYFUNCTION("""COMPUTED_VALUE"""),"Daniela Bedoya")</f>
        <v>Daniela Bedoya</v>
      </c>
      <c r="H2354" s="16">
        <f>IFERROR(__xludf.DUMMYFUNCTION("""COMPUTED_VALUE"""),10941.0)</f>
        <v>10941</v>
      </c>
      <c r="I2354" s="18">
        <f>IFERROR(__xludf.DUMMYFUNCTION("""COMPUTED_VALUE"""),20.0)</f>
        <v>20</v>
      </c>
      <c r="J2354" s="18">
        <f>IFERROR(__xludf.DUMMYFUNCTION("""COMPUTED_VALUE"""),5.0)</f>
        <v>5</v>
      </c>
      <c r="K2354" s="18">
        <f>IFERROR(__xludf.DUMMYFUNCTION("""COMPUTED_VALUE"""),16.0)</f>
        <v>16</v>
      </c>
      <c r="L2354" s="17">
        <f>IFERROR(__xludf.DUMMYFUNCTION("""COMPUTED_VALUE"""),3.14672822E9)</f>
        <v>3146728220</v>
      </c>
      <c r="M2354" s="17" t="str">
        <f>IFERROR(__xludf.DUMMYFUNCTION("""COMPUTED_VALUE"""),"#REF!")</f>
        <v>#REF!</v>
      </c>
      <c r="N2354" s="17"/>
      <c r="O2354" s="17"/>
      <c r="P2354" s="17" t="b">
        <f>IFERROR(__xludf.DUMMYFUNCTION("""COMPUTED_VALUE"""),TRUE)</f>
        <v>1</v>
      </c>
      <c r="Q2354" s="20">
        <f>IFERROR(__xludf.DUMMYFUNCTION("""COMPUTED_VALUE"""),45072.63334971065)</f>
        <v>45072.63335</v>
      </c>
      <c r="R2354" s="21" t="str">
        <f>IFERROR(__xludf.DUMMYFUNCTION("""COMPUTED_VALUE"""),"https://drive.google.com/file/d/1Gzv1pRzOb3C0cYdslgsKgnOJG7l-xxpR/view?usp=drivesdk")</f>
        <v>https://drive.google.com/file/d/1Gzv1pRzOb3C0cYdslgsKgnOJG7l-xxpR/view?usp=drivesdk</v>
      </c>
    </row>
    <row r="2355">
      <c r="A2355" s="15">
        <f>IFERROR(__xludf.DUMMYFUNCTION("""COMPUTED_VALUE"""),45070.0)</f>
        <v>45070</v>
      </c>
      <c r="B2355" s="16" t="str">
        <f>IFERROR(__xludf.DUMMYFUNCTION("""COMPUTED_VALUE"""),"Oscar Augusto Meneses Osias")</f>
        <v>Oscar Augusto Meneses Osias</v>
      </c>
      <c r="C2355" s="15" t="str">
        <f>IFERROR(__xludf.DUMMYFUNCTION("""COMPUTED_VALUE"""),"MEDELLÍN")</f>
        <v>MEDELLÍN</v>
      </c>
      <c r="D2355" s="15" t="str">
        <f>IFERROR(__xludf.DUMMYFUNCTION("""COMPUTED_VALUE"""),"BOGOTÁ")</f>
        <v>BOGOTÁ</v>
      </c>
      <c r="E2355" s="15" t="str">
        <f>IFERROR(__xludf.DUMMYFUNCTION("""COMPUTED_VALUE"""),"Lunchy Kids")</f>
        <v>Lunchy Kids</v>
      </c>
      <c r="F2355" s="17" t="str">
        <f>IFERROR(__xludf.DUMMYFUNCTION("""COMPUTED_VALUE"""),"Carrera 47 No 20 Sur 46  / Edificio Cantabria Apto 805  / Envigado")</f>
        <v>Carrera 47 No 20 Sur 46  / Edificio Cantabria Apto 805  / Envigado</v>
      </c>
      <c r="G2355" s="15" t="str">
        <f>IFERROR(__xludf.DUMMYFUNCTION("""COMPUTED_VALUE"""),"Cristina Arbelaez")</f>
        <v>Cristina Arbelaez</v>
      </c>
      <c r="H2355" s="16">
        <f>IFERROR(__xludf.DUMMYFUNCTION("""COMPUTED_VALUE"""),10887.0)</f>
        <v>10887</v>
      </c>
      <c r="I2355" s="18">
        <f>IFERROR(__xludf.DUMMYFUNCTION("""COMPUTED_VALUE"""),12.0)</f>
        <v>12</v>
      </c>
      <c r="J2355" s="18">
        <f>IFERROR(__xludf.DUMMYFUNCTION("""COMPUTED_VALUE"""),21.0)</f>
        <v>21</v>
      </c>
      <c r="K2355" s="18">
        <f>IFERROR(__xludf.DUMMYFUNCTION("""COMPUTED_VALUE"""),8.0)</f>
        <v>8</v>
      </c>
      <c r="L2355" s="17">
        <f>IFERROR(__xludf.DUMMYFUNCTION("""COMPUTED_VALUE"""),3.136615079E9)</f>
        <v>3136615079</v>
      </c>
      <c r="M2355" s="17" t="str">
        <f>IFERROR(__xludf.DUMMYFUNCTION("""COMPUTED_VALUE"""),"#REF!")</f>
        <v>#REF!</v>
      </c>
      <c r="N2355" s="17"/>
      <c r="O2355" s="17"/>
      <c r="P2355" s="17" t="b">
        <f>IFERROR(__xludf.DUMMYFUNCTION("""COMPUTED_VALUE"""),FALSE)</f>
        <v>0</v>
      </c>
      <c r="Q2355" s="20" t="str">
        <f>IFERROR(__xludf.DUMMYFUNCTION("""COMPUTED_VALUE"""),"")</f>
        <v/>
      </c>
      <c r="R2355" s="22" t="str">
        <f>IFERROR(__xludf.DUMMYFUNCTION("""COMPUTED_VALUE"""),"")</f>
        <v/>
      </c>
    </row>
    <row r="2356">
      <c r="A2356" s="15">
        <f>IFERROR(__xludf.DUMMYFUNCTION("""COMPUTED_VALUE"""),45070.0)</f>
        <v>45070</v>
      </c>
      <c r="B2356" s="16" t="str">
        <f>IFERROR(__xludf.DUMMYFUNCTION("""COMPUTED_VALUE"""),"Oscar Augusto Meneses Osias")</f>
        <v>Oscar Augusto Meneses Osias</v>
      </c>
      <c r="C2356" s="15" t="str">
        <f>IFERROR(__xludf.DUMMYFUNCTION("""COMPUTED_VALUE"""),"MEDELLÍN")</f>
        <v>MEDELLÍN</v>
      </c>
      <c r="D2356" s="15" t="str">
        <f>IFERROR(__xludf.DUMMYFUNCTION("""COMPUTED_VALUE"""),"BOGOTÁ")</f>
        <v>BOGOTÁ</v>
      </c>
      <c r="E2356" s="15" t="str">
        <f>IFERROR(__xludf.DUMMYFUNCTION("""COMPUTED_VALUE"""),"MAI ALIMENTOS S.A.S")</f>
        <v>MAI ALIMENTOS S.A.S</v>
      </c>
      <c r="F2356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356" s="15" t="str">
        <f>IFERROR(__xludf.DUMMYFUNCTION("""COMPUTED_VALUE"""),"Novaventas - Medellin")</f>
        <v>Novaventas - Medellin</v>
      </c>
      <c r="H2356" s="16">
        <f>IFERROR(__xludf.DUMMYFUNCTION("""COMPUTED_VALUE"""),10856.0)</f>
        <v>10856</v>
      </c>
      <c r="I2356" s="18">
        <f>IFERROR(__xludf.DUMMYFUNCTION("""COMPUTED_VALUE"""),35.0)</f>
        <v>35</v>
      </c>
      <c r="J2356" s="18">
        <f>IFERROR(__xludf.DUMMYFUNCTION("""COMPUTED_VALUE"""),17.0)</f>
        <v>17</v>
      </c>
      <c r="K2356" s="18">
        <f>IFERROR(__xludf.DUMMYFUNCTION("""COMPUTED_VALUE"""),13.0)</f>
        <v>13</v>
      </c>
      <c r="L2356" s="17">
        <f>IFERROR(__xludf.DUMMYFUNCTION("""COMPUTED_VALUE"""),3.187351593E9)</f>
        <v>3187351593</v>
      </c>
      <c r="M2356" s="17" t="str">
        <f>IFERROR(__xludf.DUMMYFUNCTION("""COMPUTED_VALUE"""),"#REF!")</f>
        <v>#REF!</v>
      </c>
      <c r="N2356" s="17"/>
      <c r="O2356" s="17"/>
      <c r="P2356" s="17" t="b">
        <f>IFERROR(__xludf.DUMMYFUNCTION("""COMPUTED_VALUE"""),FALSE)</f>
        <v>0</v>
      </c>
      <c r="Q2356" s="20" t="str">
        <f>IFERROR(__xludf.DUMMYFUNCTION("""COMPUTED_VALUE"""),"")</f>
        <v/>
      </c>
      <c r="R2356" s="21" t="str">
        <f>IFERROR(__xludf.DUMMYFUNCTION("""COMPUTED_VALUE"""),"https://drive.google.com/file/d/1VV6ixjZiSCMt270EJb-fTYJCO9G6N-7E/view?usp=drivesdk")</f>
        <v>https://drive.google.com/file/d/1VV6ixjZiSCMt270EJb-fTYJCO9G6N-7E/view?usp=drivesdk</v>
      </c>
    </row>
    <row r="2357">
      <c r="A2357" s="17" t="str">
        <f>IFERROR(__xludf.DUMMYFUNCTION("""COMPUTED_VALUE"""),"")</f>
        <v/>
      </c>
      <c r="B2357" s="17" t="str">
        <f>IFERROR(__xludf.DUMMYFUNCTION("""COMPUTED_VALUE"""),"")</f>
        <v/>
      </c>
      <c r="C2357" s="17" t="str">
        <f>IFERROR(__xludf.DUMMYFUNCTION("""COMPUTED_VALUE"""),"")</f>
        <v/>
      </c>
      <c r="D2357" s="17" t="str">
        <f>IFERROR(__xludf.DUMMYFUNCTION("""COMPUTED_VALUE"""),"")</f>
        <v/>
      </c>
      <c r="E2357" s="17" t="str">
        <f>IFERROR(__xludf.DUMMYFUNCTION("""COMPUTED_VALUE"""),"")</f>
        <v/>
      </c>
      <c r="F2357" s="17" t="str">
        <f>IFERROR(__xludf.DUMMYFUNCTION("""COMPUTED_VALUE"""),"")</f>
        <v/>
      </c>
      <c r="G2357" s="17" t="str">
        <f>IFERROR(__xludf.DUMMYFUNCTION("""COMPUTED_VALUE"""),"")</f>
        <v/>
      </c>
      <c r="H2357" s="17" t="str">
        <f>IFERROR(__xludf.DUMMYFUNCTION("""COMPUTED_VALUE"""),"")</f>
        <v/>
      </c>
      <c r="I2357" s="17" t="str">
        <f>IFERROR(__xludf.DUMMYFUNCTION("""COMPUTED_VALUE"""),"")</f>
        <v/>
      </c>
      <c r="J2357" s="17" t="str">
        <f>IFERROR(__xludf.DUMMYFUNCTION("""COMPUTED_VALUE"""),"")</f>
        <v/>
      </c>
      <c r="K2357" s="17" t="str">
        <f>IFERROR(__xludf.DUMMYFUNCTION("""COMPUTED_VALUE"""),"")</f>
        <v/>
      </c>
      <c r="L2357" s="17" t="str">
        <f>IFERROR(__xludf.DUMMYFUNCTION("""COMPUTED_VALUE"""),"")</f>
        <v/>
      </c>
      <c r="M2357" s="17" t="str">
        <f>IFERROR(__xludf.DUMMYFUNCTION("""COMPUTED_VALUE"""),"")</f>
        <v/>
      </c>
      <c r="N2357" s="17" t="str">
        <f>IFERROR(__xludf.DUMMYFUNCTION("""COMPUTED_VALUE"""),"")</f>
        <v/>
      </c>
      <c r="O2357" s="17" t="str">
        <f>IFERROR(__xludf.DUMMYFUNCTION("""COMPUTED_VALUE"""),"")</f>
        <v/>
      </c>
      <c r="P2357" s="17" t="str">
        <f>IFERROR(__xludf.DUMMYFUNCTION("""COMPUTED_VALUE"""),"")</f>
        <v/>
      </c>
      <c r="Q2357" s="17" t="str">
        <f>IFERROR(__xludf.DUMMYFUNCTION("""COMPUTED_VALUE"""),"")</f>
        <v/>
      </c>
      <c r="R2357" s="17" t="str">
        <f>IFERROR(__xludf.DUMMYFUNCTION("""COMPUTED_VALUE"""),"")</f>
        <v/>
      </c>
    </row>
    <row r="2358">
      <c r="A2358" s="15">
        <f>IFERROR(__xludf.DUMMYFUNCTION("""COMPUTED_VALUE"""),45071.0)</f>
        <v>45071</v>
      </c>
      <c r="B2358" s="17"/>
      <c r="C2358" s="15" t="str">
        <f>IFERROR(__xludf.DUMMYFUNCTION("""COMPUTED_VALUE"""),"CARTAGENA")</f>
        <v>CARTAGENA</v>
      </c>
      <c r="D2358" s="15" t="str">
        <f>IFERROR(__xludf.DUMMYFUNCTION("""COMPUTED_VALUE"""),"MEDELLÍN")</f>
        <v>MEDELLÍN</v>
      </c>
      <c r="E2358" s="15" t="str">
        <f>IFERROR(__xludf.DUMMYFUNCTION("""COMPUTED_VALUE"""),"Baby Chef")</f>
        <v>Baby Chef</v>
      </c>
      <c r="F2358" s="17" t="str">
        <f>IFERROR(__xludf.DUMMYFUNCTION("""COMPUTED_VALUE"""),"Castillogrande carrera 8 #5A-56 Edificio Positano Apto 2001 / Castillogrande carrera 8 #5A-56 Edificio Positano Apto 2001 / Castillogrande carrera 8 #5A-56 Edificio Positano Apto 2001")</f>
        <v>Castillogrande carrera 8 #5A-56 Edificio Positano Apto 2001 / Castillogrande carrera 8 #5A-56 Edificio Positano Apto 2001 / Castillogrande carrera 8 #5A-56 Edificio Positano Apto 2001</v>
      </c>
      <c r="G2358" s="15" t="str">
        <f>IFERROR(__xludf.DUMMYFUNCTION("""COMPUTED_VALUE"""),"Angelina Alvarez")</f>
        <v>Angelina Alvarez</v>
      </c>
      <c r="H2358" s="16">
        <f>IFERROR(__xludf.DUMMYFUNCTION("""COMPUTED_VALUE"""),10959.0)</f>
        <v>10959</v>
      </c>
      <c r="I2358" s="18">
        <f>IFERROR(__xludf.DUMMYFUNCTION("""COMPUTED_VALUE"""),8.0)</f>
        <v>8</v>
      </c>
      <c r="J2358" s="18">
        <f>IFERROR(__xludf.DUMMYFUNCTION("""COMPUTED_VALUE"""),16.0)</f>
        <v>16</v>
      </c>
      <c r="K2358" s="18">
        <f>IFERROR(__xludf.DUMMYFUNCTION("""COMPUTED_VALUE"""),20.0)</f>
        <v>20</v>
      </c>
      <c r="L2358" s="17">
        <f>IFERROR(__xludf.DUMMYFUNCTION("""COMPUTED_VALUE"""),3.116232344E9)</f>
        <v>3116232344</v>
      </c>
      <c r="M2358" s="17" t="str">
        <f>IFERROR(__xludf.DUMMYFUNCTION("""COMPUTED_VALUE"""),"#REF!")</f>
        <v>#REF!</v>
      </c>
      <c r="N2358" s="17"/>
      <c r="O2358" s="17"/>
      <c r="P2358" s="17" t="b">
        <f>IFERROR(__xludf.DUMMYFUNCTION("""COMPUTED_VALUE"""),FALSE)</f>
        <v>0</v>
      </c>
      <c r="Q2358" s="20" t="str">
        <f>IFERROR(__xludf.DUMMYFUNCTION("""COMPUTED_VALUE"""),"")</f>
        <v/>
      </c>
      <c r="R2358" s="21" t="str">
        <f>IFERROR(__xludf.DUMMYFUNCTION("""COMPUTED_VALUE"""),"https://drive.google.com/file/d/1OfOoUOep80qvtmkksJD1ZXaA4J09GwUI/view?usp=drivesdk")</f>
        <v>https://drive.google.com/file/d/1OfOoUOep80qvtmkksJD1ZXaA4J09GwUI/view?usp=drivesdk</v>
      </c>
    </row>
    <row r="2359">
      <c r="A2359" s="15">
        <f>IFERROR(__xludf.DUMMYFUNCTION("""COMPUTED_VALUE"""),45071.0)</f>
        <v>45071</v>
      </c>
      <c r="B2359" s="17"/>
      <c r="C2359" s="15" t="str">
        <f>IFERROR(__xludf.DUMMYFUNCTION("""COMPUTED_VALUE"""),"CARTAGENA")</f>
        <v>CARTAGENA</v>
      </c>
      <c r="D2359" s="15" t="str">
        <f>IFERROR(__xludf.DUMMYFUNCTION("""COMPUTED_VALUE"""),"MEDELLÍN")</f>
        <v>MEDELLÍN</v>
      </c>
      <c r="E2359" s="15" t="str">
        <f>IFERROR(__xludf.DUMMYFUNCTION("""COMPUTED_VALUE"""),"Baby Chef")</f>
        <v>Baby Chef</v>
      </c>
      <c r="F2359" s="17" t="str">
        <f>IFERROR(__xludf.DUMMYFUNCTION("""COMPUTED_VALUE"""),"Cr 2 # 9 - 95 apto 803 ed el condor Barrio Bocagrande / Cr 2 # 9 - 95 apto 803 ed el condor Barrio Bocagrande / Cr 2 # 9 - 95 apto 803 ed el condor Barrio Bocagrande")</f>
        <v>Cr 2 # 9 - 95 apto 803 ed el condor Barrio Bocagrande / Cr 2 # 9 - 95 apto 803 ed el condor Barrio Bocagrande / Cr 2 # 9 - 95 apto 803 ed el condor Barrio Bocagrande</v>
      </c>
      <c r="G2359" s="15" t="str">
        <f>IFERROR(__xludf.DUMMYFUNCTION("""COMPUTED_VALUE"""),"Maria Fernanda Gómez Tobón")</f>
        <v>Maria Fernanda Gómez Tobón</v>
      </c>
      <c r="H2359" s="16">
        <f>IFERROR(__xludf.DUMMYFUNCTION("""COMPUTED_VALUE"""),10958.0)</f>
        <v>10958</v>
      </c>
      <c r="I2359" s="18">
        <f>IFERROR(__xludf.DUMMYFUNCTION("""COMPUTED_VALUE"""),8.0)</f>
        <v>8</v>
      </c>
      <c r="J2359" s="18">
        <f>IFERROR(__xludf.DUMMYFUNCTION("""COMPUTED_VALUE"""),16.0)</f>
        <v>16</v>
      </c>
      <c r="K2359" s="18">
        <f>IFERROR(__xludf.DUMMYFUNCTION("""COMPUTED_VALUE"""),20.0)</f>
        <v>20</v>
      </c>
      <c r="L2359" s="17">
        <f>IFERROR(__xludf.DUMMYFUNCTION("""COMPUTED_VALUE"""),3.176712375E9)</f>
        <v>3176712375</v>
      </c>
      <c r="M2359" s="17" t="str">
        <f>IFERROR(__xludf.DUMMYFUNCTION("""COMPUTED_VALUE"""),"#REF!")</f>
        <v>#REF!</v>
      </c>
      <c r="N2359" s="17"/>
      <c r="O2359" s="17"/>
      <c r="P2359" s="17" t="b">
        <f>IFERROR(__xludf.DUMMYFUNCTION("""COMPUTED_VALUE"""),FALSE)</f>
        <v>0</v>
      </c>
      <c r="Q2359" s="20" t="str">
        <f>IFERROR(__xludf.DUMMYFUNCTION("""COMPUTED_VALUE"""),"")</f>
        <v/>
      </c>
      <c r="R2359" s="21" t="str">
        <f>IFERROR(__xludf.DUMMYFUNCTION("""COMPUTED_VALUE"""),"https://drive.google.com/file/d/18ioo3Jz4cKqb1ThGOUi2uUU8DEbHQimD/view?usp=drivesdk")</f>
        <v>https://drive.google.com/file/d/18ioo3Jz4cKqb1ThGOUi2uUU8DEbHQimD/view?usp=drivesdk</v>
      </c>
    </row>
    <row r="2360">
      <c r="A2360" s="15">
        <f>IFERROR(__xludf.DUMMYFUNCTION("""COMPUTED_VALUE"""),45071.0)</f>
        <v>45071</v>
      </c>
      <c r="B2360" s="17"/>
      <c r="C2360" s="15" t="str">
        <f>IFERROR(__xludf.DUMMYFUNCTION("""COMPUTED_VALUE"""),"LA DORADA")</f>
        <v>LA DORADA</v>
      </c>
      <c r="D2360" s="15" t="str">
        <f>IFERROR(__xludf.DUMMYFUNCTION("""COMPUTED_VALUE"""),"BOGOTÁ")</f>
        <v>BOGOTÁ</v>
      </c>
      <c r="E2360" s="15" t="str">
        <f>IFERROR(__xludf.DUMMYFUNCTION("""COMPUTED_VALUE"""),"Evamazzita")</f>
        <v>Evamazzita</v>
      </c>
      <c r="F2360" s="17" t="str">
        <f>IFERROR(__xludf.DUMMYFUNCTION("""COMPUTED_VALUE"""),"CALLE 20 No. 5 - 23  / N/A / SANTA LUCIA")</f>
        <v>CALLE 20 No. 5 - 23  / N/A / SANTA LUCIA</v>
      </c>
      <c r="G2360" s="15" t="str">
        <f>IFERROR(__xludf.DUMMYFUNCTION("""COMPUTED_VALUE"""),"CAROL RUEDA")</f>
        <v>CAROL RUEDA</v>
      </c>
      <c r="H2360" s="16">
        <f>IFERROR(__xludf.DUMMYFUNCTION("""COMPUTED_VALUE"""),10982.0)</f>
        <v>10982</v>
      </c>
      <c r="I2360" s="18">
        <f>IFERROR(__xludf.DUMMYFUNCTION("""COMPUTED_VALUE"""),3.0)</f>
        <v>3</v>
      </c>
      <c r="J2360" s="18">
        <f>IFERROR(__xludf.DUMMYFUNCTION("""COMPUTED_VALUE"""),15.0)</f>
        <v>15</v>
      </c>
      <c r="K2360" s="18">
        <f>IFERROR(__xludf.DUMMYFUNCTION("""COMPUTED_VALUE"""),20.0)</f>
        <v>20</v>
      </c>
      <c r="L2360" s="17">
        <f>IFERROR(__xludf.DUMMYFUNCTION("""COMPUTED_VALUE"""),3.136721126E9)</f>
        <v>3136721126</v>
      </c>
      <c r="M2360" s="17" t="str">
        <f>IFERROR(__xludf.DUMMYFUNCTION("""COMPUTED_VALUE"""),"#REF!")</f>
        <v>#REF!</v>
      </c>
      <c r="N2360" s="17"/>
      <c r="O2360" s="17"/>
      <c r="P2360" s="17" t="b">
        <f>IFERROR(__xludf.DUMMYFUNCTION("""COMPUTED_VALUE"""),FALSE)</f>
        <v>0</v>
      </c>
      <c r="Q2360" s="20" t="str">
        <f>IFERROR(__xludf.DUMMYFUNCTION("""COMPUTED_VALUE"""),"")</f>
        <v/>
      </c>
      <c r="R2360" s="22" t="str">
        <f>IFERROR(__xludf.DUMMYFUNCTION("""COMPUTED_VALUE"""),"")</f>
        <v/>
      </c>
    </row>
    <row r="2361">
      <c r="A2361" s="17" t="str">
        <f>IFERROR(__xludf.DUMMYFUNCTION("""COMPUTED_VALUE"""),"")</f>
        <v/>
      </c>
      <c r="B2361" s="17" t="str">
        <f>IFERROR(__xludf.DUMMYFUNCTION("""COMPUTED_VALUE"""),"")</f>
        <v/>
      </c>
      <c r="C2361" s="17" t="str">
        <f>IFERROR(__xludf.DUMMYFUNCTION("""COMPUTED_VALUE"""),"")</f>
        <v/>
      </c>
      <c r="D2361" s="17" t="str">
        <f>IFERROR(__xludf.DUMMYFUNCTION("""COMPUTED_VALUE"""),"")</f>
        <v/>
      </c>
      <c r="E2361" s="17" t="str">
        <f>IFERROR(__xludf.DUMMYFUNCTION("""COMPUTED_VALUE"""),"")</f>
        <v/>
      </c>
      <c r="F2361" s="17" t="str">
        <f>IFERROR(__xludf.DUMMYFUNCTION("""COMPUTED_VALUE"""),"")</f>
        <v/>
      </c>
      <c r="G2361" s="17" t="str">
        <f>IFERROR(__xludf.DUMMYFUNCTION("""COMPUTED_VALUE"""),"")</f>
        <v/>
      </c>
      <c r="H2361" s="17" t="str">
        <f>IFERROR(__xludf.DUMMYFUNCTION("""COMPUTED_VALUE"""),"")</f>
        <v/>
      </c>
      <c r="I2361" s="17" t="str">
        <f>IFERROR(__xludf.DUMMYFUNCTION("""COMPUTED_VALUE"""),"")</f>
        <v/>
      </c>
      <c r="J2361" s="17" t="str">
        <f>IFERROR(__xludf.DUMMYFUNCTION("""COMPUTED_VALUE"""),"")</f>
        <v/>
      </c>
      <c r="K2361" s="17" t="str">
        <f>IFERROR(__xludf.DUMMYFUNCTION("""COMPUTED_VALUE"""),"")</f>
        <v/>
      </c>
      <c r="L2361" s="17" t="str">
        <f>IFERROR(__xludf.DUMMYFUNCTION("""COMPUTED_VALUE"""),"")</f>
        <v/>
      </c>
      <c r="M2361" s="17" t="str">
        <f>IFERROR(__xludf.DUMMYFUNCTION("""COMPUTED_VALUE"""),"")</f>
        <v/>
      </c>
      <c r="N2361" s="17" t="str">
        <f>IFERROR(__xludf.DUMMYFUNCTION("""COMPUTED_VALUE"""),"")</f>
        <v/>
      </c>
      <c r="O2361" s="17" t="str">
        <f>IFERROR(__xludf.DUMMYFUNCTION("""COMPUTED_VALUE"""),"")</f>
        <v/>
      </c>
      <c r="P2361" s="17" t="str">
        <f>IFERROR(__xludf.DUMMYFUNCTION("""COMPUTED_VALUE"""),"")</f>
        <v/>
      </c>
      <c r="Q2361" s="17" t="str">
        <f>IFERROR(__xludf.DUMMYFUNCTION("""COMPUTED_VALUE"""),"")</f>
        <v/>
      </c>
      <c r="R2361" s="17" t="str">
        <f>IFERROR(__xludf.DUMMYFUNCTION("""COMPUTED_VALUE"""),"")</f>
        <v/>
      </c>
    </row>
    <row r="2362">
      <c r="A2362" s="15">
        <f>IFERROR(__xludf.DUMMYFUNCTION("""COMPUTED_VALUE"""),45071.0)</f>
        <v>45071</v>
      </c>
      <c r="B2362" s="16" t="str">
        <f>IFERROR(__xludf.DUMMYFUNCTION("""COMPUTED_VALUE"""),"Anuar suarez jimenez ")</f>
        <v>Anuar suarez jimenez </v>
      </c>
      <c r="C2362" s="15" t="str">
        <f>IFERROR(__xludf.DUMMYFUNCTION("""COMPUTED_VALUE"""),"LA DORADA")</f>
        <v>LA DORADA</v>
      </c>
      <c r="D2362" s="15" t="str">
        <f>IFERROR(__xludf.DUMMYFUNCTION("""COMPUTED_VALUE"""),"BOGOTÁ")</f>
        <v>BOGOTÁ</v>
      </c>
      <c r="E2362" s="15" t="str">
        <f>IFERROR(__xludf.DUMMYFUNCTION("""COMPUTED_VALUE"""),"Evamazzita")</f>
        <v>Evamazzita</v>
      </c>
      <c r="F2362" s="17" t="str">
        <f>IFERROR(__xludf.DUMMYFUNCTION("""COMPUTED_VALUE"""),"CALLE 10 # 4 - 56 / N/A / N/A")</f>
        <v>CALLE 10 # 4 - 56 / N/A / N/A</v>
      </c>
      <c r="G2362" s="15" t="str">
        <f>IFERROR(__xludf.DUMMYFUNCTION("""COMPUTED_VALUE"""),"LUZ VIANEY MONTOYA GOMEZ")</f>
        <v>LUZ VIANEY MONTOYA GOMEZ</v>
      </c>
      <c r="H2362" s="16">
        <f>IFERROR(__xludf.DUMMYFUNCTION("""COMPUTED_VALUE"""),10986.0)</f>
        <v>10986</v>
      </c>
      <c r="I2362" s="18">
        <f>IFERROR(__xludf.DUMMYFUNCTION("""COMPUTED_VALUE"""),11.0)</f>
        <v>11</v>
      </c>
      <c r="J2362" s="18">
        <f>IFERROR(__xludf.DUMMYFUNCTION("""COMPUTED_VALUE"""),39.0)</f>
        <v>39</v>
      </c>
      <c r="K2362" s="18">
        <f>IFERROR(__xludf.DUMMYFUNCTION("""COMPUTED_VALUE"""),23.0)</f>
        <v>23</v>
      </c>
      <c r="L2362" s="17">
        <f>IFERROR(__xludf.DUMMYFUNCTION("""COMPUTED_VALUE"""),3.127756092E9)</f>
        <v>3127756092</v>
      </c>
      <c r="M2362" s="17" t="str">
        <f>IFERROR(__xludf.DUMMYFUNCTION("""COMPUTED_VALUE"""),"#REF!")</f>
        <v>#REF!</v>
      </c>
      <c r="N2362" s="17"/>
      <c r="O2362" s="17"/>
      <c r="P2362" s="17" t="b">
        <f>IFERROR(__xludf.DUMMYFUNCTION("""COMPUTED_VALUE"""),FALSE)</f>
        <v>0</v>
      </c>
      <c r="Q2362" s="20" t="str">
        <f>IFERROR(__xludf.DUMMYFUNCTION("""COMPUTED_VALUE"""),"")</f>
        <v/>
      </c>
      <c r="R2362" s="22" t="str">
        <f>IFERROR(__xludf.DUMMYFUNCTION("""COMPUTED_VALUE"""),"")</f>
        <v/>
      </c>
    </row>
    <row r="2363">
      <c r="A2363" s="15">
        <f>IFERROR(__xludf.DUMMYFUNCTION("""COMPUTED_VALUE"""),45071.0)</f>
        <v>45071</v>
      </c>
      <c r="B2363" s="16" t="str">
        <f>IFERROR(__xludf.DUMMYFUNCTION("""COMPUTED_VALUE"""),"Anuar suarez jimenez ")</f>
        <v>Anuar suarez jimenez </v>
      </c>
      <c r="C2363" s="15" t="str">
        <f>IFERROR(__xludf.DUMMYFUNCTION("""COMPUTED_VALUE"""),"LA DORADA")</f>
        <v>LA DORADA</v>
      </c>
      <c r="D2363" s="15" t="str">
        <f>IFERROR(__xludf.DUMMYFUNCTION("""COMPUTED_VALUE"""),"BOGOTÁ")</f>
        <v>BOGOTÁ</v>
      </c>
      <c r="E2363" s="15" t="str">
        <f>IFERROR(__xludf.DUMMYFUNCTION("""COMPUTED_VALUE"""),"Evamazzita")</f>
        <v>Evamazzita</v>
      </c>
      <c r="F2363" s="17" t="str">
        <f>IFERROR(__xludf.DUMMYFUNCTION("""COMPUTED_VALUE"""),"CALLE 8 # 6 A - 41  / N/A / BARRIO MAGDALENA")</f>
        <v>CALLE 8 # 6 A - 41  / N/A / BARRIO MAGDALENA</v>
      </c>
      <c r="G2363" s="15" t="str">
        <f>IFERROR(__xludf.DUMMYFUNCTION("""COMPUTED_VALUE"""),"SINDY LORENA GARCIA TRIANA")</f>
        <v>SINDY LORENA GARCIA TRIANA</v>
      </c>
      <c r="H2363" s="16">
        <f>IFERROR(__xludf.DUMMYFUNCTION("""COMPUTED_VALUE"""),10981.0)</f>
        <v>10981</v>
      </c>
      <c r="I2363" s="18">
        <f>IFERROR(__xludf.DUMMYFUNCTION("""COMPUTED_VALUE"""),10.0)</f>
        <v>10</v>
      </c>
      <c r="J2363" s="18">
        <f>IFERROR(__xludf.DUMMYFUNCTION("""COMPUTED_VALUE"""),18.0)</f>
        <v>18</v>
      </c>
      <c r="K2363" s="18">
        <f>IFERROR(__xludf.DUMMYFUNCTION("""COMPUTED_VALUE"""),22.0)</f>
        <v>22</v>
      </c>
      <c r="L2363" s="17">
        <f>IFERROR(__xludf.DUMMYFUNCTION("""COMPUTED_VALUE"""),3.113109465E9)</f>
        <v>3113109465</v>
      </c>
      <c r="M2363" s="17" t="str">
        <f>IFERROR(__xludf.DUMMYFUNCTION("""COMPUTED_VALUE"""),"#REF!")</f>
        <v>#REF!</v>
      </c>
      <c r="N2363" s="17"/>
      <c r="O2363" s="17"/>
      <c r="P2363" s="17" t="b">
        <f>IFERROR(__xludf.DUMMYFUNCTION("""COMPUTED_VALUE"""),FALSE)</f>
        <v>0</v>
      </c>
      <c r="Q2363" s="20" t="str">
        <f>IFERROR(__xludf.DUMMYFUNCTION("""COMPUTED_VALUE"""),"")</f>
        <v/>
      </c>
      <c r="R2363" s="22" t="str">
        <f>IFERROR(__xludf.DUMMYFUNCTION("""COMPUTED_VALUE"""),"")</f>
        <v/>
      </c>
    </row>
    <row r="2364">
      <c r="A2364" s="15">
        <f>IFERROR(__xludf.DUMMYFUNCTION("""COMPUTED_VALUE"""),45071.0)</f>
        <v>45071</v>
      </c>
      <c r="B2364" s="16" t="str">
        <f>IFERROR(__xludf.DUMMYFUNCTION("""COMPUTED_VALUE"""),"Anuar suarez jimenez ")</f>
        <v>Anuar suarez jimenez </v>
      </c>
      <c r="C2364" s="15" t="str">
        <f>IFERROR(__xludf.DUMMYFUNCTION("""COMPUTED_VALUE"""),"MONTERIA")</f>
        <v>MONTERIA</v>
      </c>
      <c r="D2364" s="15" t="str">
        <f>IFERROR(__xludf.DUMMYFUNCTION("""COMPUTED_VALUE"""),"MEDELLÍN")</f>
        <v>MEDELLÍN</v>
      </c>
      <c r="E2364" s="15" t="str">
        <f>IFERROR(__xludf.DUMMYFUNCTION("""COMPUTED_VALUE"""),"Baby Chef")</f>
        <v>Baby Chef</v>
      </c>
      <c r="F2364" s="17" t="str">
        <f>IFERROR(__xludf.DUMMYFUNCTION("""COMPUTED_VALUE"""),"Cra 9 #24-19 centro local 3 Ciudad: Montería Córdoba  / ""Cra 9 #24-19 centro local 3 Ciudad: Montería Córdoba "" / ""Cra 9 #24-19 centro local 3 Ciudad: Montería Córdoba """)</f>
        <v>Cra 9 #24-19 centro local 3 Ciudad: Montería Córdoba  / "Cra 9 #24-19 centro local 3 Ciudad: Montería Córdoba " / "Cra 9 #24-19 centro local 3 Ciudad: Montería Córdoba "</v>
      </c>
      <c r="G2364" s="15" t="str">
        <f>IFERROR(__xludf.DUMMYFUNCTION("""COMPUTED_VALUE"""),"Vanessa Herrera")</f>
        <v>Vanessa Herrera</v>
      </c>
      <c r="H2364" s="16">
        <f>IFERROR(__xludf.DUMMYFUNCTION("""COMPUTED_VALUE"""),11000.0)</f>
        <v>11000</v>
      </c>
      <c r="I2364" s="18">
        <f>IFERROR(__xludf.DUMMYFUNCTION("""COMPUTED_VALUE"""),8.0)</f>
        <v>8</v>
      </c>
      <c r="J2364" s="18">
        <f>IFERROR(__xludf.DUMMYFUNCTION("""COMPUTED_VALUE"""),16.0)</f>
        <v>16</v>
      </c>
      <c r="K2364" s="18">
        <f>IFERROR(__xludf.DUMMYFUNCTION("""COMPUTED_VALUE"""),20.0)</f>
        <v>20</v>
      </c>
      <c r="L2364" s="17">
        <f>IFERROR(__xludf.DUMMYFUNCTION("""COMPUTED_VALUE"""),3.043505147E9)</f>
        <v>3043505147</v>
      </c>
      <c r="M2364" s="17" t="str">
        <f>IFERROR(__xludf.DUMMYFUNCTION("""COMPUTED_VALUE"""),"#REF!")</f>
        <v>#REF!</v>
      </c>
      <c r="N2364" s="17"/>
      <c r="O2364" s="17"/>
      <c r="P2364" s="17" t="b">
        <f>IFERROR(__xludf.DUMMYFUNCTION("""COMPUTED_VALUE"""),FALSE)</f>
        <v>0</v>
      </c>
      <c r="Q2364" s="20" t="str">
        <f>IFERROR(__xludf.DUMMYFUNCTION("""COMPUTED_VALUE"""),"")</f>
        <v/>
      </c>
      <c r="R2364" s="21" t="str">
        <f>IFERROR(__xludf.DUMMYFUNCTION("""COMPUTED_VALUE"""),"https://drive.google.com/file/d/1-VH3f9-HhMiyz755QsUD4Txx2iYD8iAc/view?usp=drivesdk")</f>
        <v>https://drive.google.com/file/d/1-VH3f9-HhMiyz755QsUD4Txx2iYD8iAc/view?usp=drivesdk</v>
      </c>
    </row>
    <row r="2365">
      <c r="A2365" s="17" t="str">
        <f>IFERROR(__xludf.DUMMYFUNCTION("""COMPUTED_VALUE"""),"")</f>
        <v/>
      </c>
      <c r="B2365" s="17" t="str">
        <f>IFERROR(__xludf.DUMMYFUNCTION("""COMPUTED_VALUE"""),"")</f>
        <v/>
      </c>
      <c r="C2365" s="17" t="str">
        <f>IFERROR(__xludf.DUMMYFUNCTION("""COMPUTED_VALUE"""),"")</f>
        <v/>
      </c>
      <c r="D2365" s="17" t="str">
        <f>IFERROR(__xludf.DUMMYFUNCTION("""COMPUTED_VALUE"""),"")</f>
        <v/>
      </c>
      <c r="E2365" s="17" t="str">
        <f>IFERROR(__xludf.DUMMYFUNCTION("""COMPUTED_VALUE"""),"")</f>
        <v/>
      </c>
      <c r="F2365" s="17" t="str">
        <f>IFERROR(__xludf.DUMMYFUNCTION("""COMPUTED_VALUE"""),"")</f>
        <v/>
      </c>
      <c r="G2365" s="17" t="str">
        <f>IFERROR(__xludf.DUMMYFUNCTION("""COMPUTED_VALUE"""),"")</f>
        <v/>
      </c>
      <c r="H2365" s="17" t="str">
        <f>IFERROR(__xludf.DUMMYFUNCTION("""COMPUTED_VALUE"""),"")</f>
        <v/>
      </c>
      <c r="I2365" s="17" t="str">
        <f>IFERROR(__xludf.DUMMYFUNCTION("""COMPUTED_VALUE"""),"")</f>
        <v/>
      </c>
      <c r="J2365" s="17" t="str">
        <f>IFERROR(__xludf.DUMMYFUNCTION("""COMPUTED_VALUE"""),"")</f>
        <v/>
      </c>
      <c r="K2365" s="17" t="str">
        <f>IFERROR(__xludf.DUMMYFUNCTION("""COMPUTED_VALUE"""),"")</f>
        <v/>
      </c>
      <c r="L2365" s="17" t="str">
        <f>IFERROR(__xludf.DUMMYFUNCTION("""COMPUTED_VALUE"""),"")</f>
        <v/>
      </c>
      <c r="M2365" s="17" t="str">
        <f>IFERROR(__xludf.DUMMYFUNCTION("""COMPUTED_VALUE"""),"")</f>
        <v/>
      </c>
      <c r="N2365" s="17" t="str">
        <f>IFERROR(__xludf.DUMMYFUNCTION("""COMPUTED_VALUE"""),"")</f>
        <v/>
      </c>
      <c r="O2365" s="17" t="str">
        <f>IFERROR(__xludf.DUMMYFUNCTION("""COMPUTED_VALUE"""),"")</f>
        <v/>
      </c>
      <c r="P2365" s="17" t="str">
        <f>IFERROR(__xludf.DUMMYFUNCTION("""COMPUTED_VALUE"""),"")</f>
        <v/>
      </c>
      <c r="Q2365" s="17" t="str">
        <f>IFERROR(__xludf.DUMMYFUNCTION("""COMPUTED_VALUE"""),"")</f>
        <v/>
      </c>
      <c r="R2365" s="17" t="str">
        <f>IFERROR(__xludf.DUMMYFUNCTION("""COMPUTED_VALUE"""),"")</f>
        <v/>
      </c>
    </row>
    <row r="2366">
      <c r="A2366" s="15">
        <f>IFERROR(__xludf.DUMMYFUNCTION("""COMPUTED_VALUE"""),45071.0)</f>
        <v>45071</v>
      </c>
      <c r="B2366" s="16" t="str">
        <f>IFERROR(__xludf.DUMMYFUNCTION("""COMPUTED_VALUE"""),"David Sanmartin Bello")</f>
        <v>David Sanmartin Bello</v>
      </c>
      <c r="C2366" s="15" t="str">
        <f>IFERROR(__xludf.DUMMYFUNCTION("""COMPUTED_VALUE"""),"BARRANQUILLA")</f>
        <v>BARRANQUILLA</v>
      </c>
      <c r="D2366" s="15" t="str">
        <f>IFERROR(__xludf.DUMMYFUNCTION("""COMPUTED_VALUE"""),"BOGOTÁ")</f>
        <v>BOGOTÁ</v>
      </c>
      <c r="E2366" s="15" t="str">
        <f>IFERROR(__xludf.DUMMYFUNCTION("""COMPUTED_VALUE"""),"Mochi")</f>
        <v>Mochi</v>
      </c>
      <c r="F2366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2366" s="15" t="str">
        <f>IFERROR(__xludf.DUMMYFUNCTION("""COMPUTED_VALUE"""),"MARIA CAMILA")</f>
        <v>MARIA CAMILA</v>
      </c>
      <c r="H2366" s="16">
        <f>IFERROR(__xludf.DUMMYFUNCTION("""COMPUTED_VALUE"""),10996.0)</f>
        <v>10996</v>
      </c>
      <c r="I2366" s="18">
        <f>IFERROR(__xludf.DUMMYFUNCTION("""COMPUTED_VALUE"""),100.0)</f>
        <v>100</v>
      </c>
      <c r="J2366" s="18">
        <f>IFERROR(__xludf.DUMMYFUNCTION("""COMPUTED_VALUE"""),100.0)</f>
        <v>100</v>
      </c>
      <c r="K2366" s="18">
        <f>IFERROR(__xludf.DUMMYFUNCTION("""COMPUTED_VALUE"""),200.0)</f>
        <v>200</v>
      </c>
      <c r="L2366" s="17">
        <f>IFERROR(__xludf.DUMMYFUNCTION("""COMPUTED_VALUE"""),3.116026252E9)</f>
        <v>3116026252</v>
      </c>
      <c r="M2366" s="17" t="str">
        <f>IFERROR(__xludf.DUMMYFUNCTION("""COMPUTED_VALUE"""),"#REF!")</f>
        <v>#REF!</v>
      </c>
      <c r="N2366" s="17"/>
      <c r="O2366" s="17"/>
      <c r="P2366" s="17" t="b">
        <f>IFERROR(__xludf.DUMMYFUNCTION("""COMPUTED_VALUE"""),FALSE)</f>
        <v>0</v>
      </c>
      <c r="Q2366" s="20" t="str">
        <f>IFERROR(__xludf.DUMMYFUNCTION("""COMPUTED_VALUE"""),"")</f>
        <v/>
      </c>
      <c r="R2366" s="21" t="str">
        <f>IFERROR(__xludf.DUMMYFUNCTION("""COMPUTED_VALUE"""),"https://drive.google.com/file/d/1HoSPbNzzvctRHks3JaJsL_eCfUfeHerJ/view?usp=drivesdk")</f>
        <v>https://drive.google.com/file/d/1HoSPbNzzvctRHks3JaJsL_eCfUfeHerJ/view?usp=drivesdk</v>
      </c>
    </row>
    <row r="2367">
      <c r="A2367" s="15">
        <f>IFERROR(__xludf.DUMMYFUNCTION("""COMPUTED_VALUE"""),45071.0)</f>
        <v>45071</v>
      </c>
      <c r="B2367" s="16" t="str">
        <f>IFERROR(__xludf.DUMMYFUNCTION("""COMPUTED_VALUE"""),"David Sanmartin Bello")</f>
        <v>David Sanmartin Bello</v>
      </c>
      <c r="C2367" s="15" t="str">
        <f>IFERROR(__xludf.DUMMYFUNCTION("""COMPUTED_VALUE"""),"CARTAGENA")</f>
        <v>CARTAGENA</v>
      </c>
      <c r="D2367" s="15" t="str">
        <f>IFERROR(__xludf.DUMMYFUNCTION("""COMPUTED_VALUE"""),"BOGOTÁ")</f>
        <v>BOGOTÁ</v>
      </c>
      <c r="E2367" s="15" t="str">
        <f>IFERROR(__xludf.DUMMYFUNCTION("""COMPUTED_VALUE"""),"MAI ALIMENTOS S.A.S")</f>
        <v>MAI ALIMENTOS S.A.S</v>
      </c>
      <c r="F2367" s="17" t="str">
        <f>IFERROR(__xludf.DUMMYFUNCTION("""COMPUTED_VALUE"""),"Cra 3 A #31-23 Calle Ricaurte, Centro / Plaza Santa teresa / Restaurante Harry Sasson")</f>
        <v>Cra 3 A #31-23 Calle Ricaurte, Centro / Plaza Santa teresa / Restaurante Harry Sasson</v>
      </c>
      <c r="G2367" s="15" t="str">
        <f>IFERROR(__xludf.DUMMYFUNCTION("""COMPUTED_VALUE"""),"Harry Sasson Cartagena")</f>
        <v>Harry Sasson Cartagena</v>
      </c>
      <c r="H2367" s="16">
        <f>IFERROR(__xludf.DUMMYFUNCTION("""COMPUTED_VALUE"""),10853.0)</f>
        <v>10853</v>
      </c>
      <c r="I2367" s="18">
        <f>IFERROR(__xludf.DUMMYFUNCTION("""COMPUTED_VALUE"""),35.0)</f>
        <v>35</v>
      </c>
      <c r="J2367" s="18">
        <f>IFERROR(__xludf.DUMMYFUNCTION("""COMPUTED_VALUE"""),17.0)</f>
        <v>17</v>
      </c>
      <c r="K2367" s="18">
        <f>IFERROR(__xludf.DUMMYFUNCTION("""COMPUTED_VALUE"""),13.0)</f>
        <v>13</v>
      </c>
      <c r="L2367" s="17">
        <f>IFERROR(__xludf.DUMMYFUNCTION("""COMPUTED_VALUE"""),3.174374246E9)</f>
        <v>3174374246</v>
      </c>
      <c r="M2367" s="17" t="str">
        <f>IFERROR(__xludf.DUMMYFUNCTION("""COMPUTED_VALUE"""),"#REF!")</f>
        <v>#REF!</v>
      </c>
      <c r="N2367" s="17"/>
      <c r="O2367" s="17"/>
      <c r="P2367" s="17" t="b">
        <f>IFERROR(__xludf.DUMMYFUNCTION("""COMPUTED_VALUE"""),FALSE)</f>
        <v>0</v>
      </c>
      <c r="Q2367" s="20" t="str">
        <f>IFERROR(__xludf.DUMMYFUNCTION("""COMPUTED_VALUE"""),"")</f>
        <v/>
      </c>
      <c r="R2367" s="21" t="str">
        <f>IFERROR(__xludf.DUMMYFUNCTION("""COMPUTED_VALUE"""),"https://drive.google.com/file/d/1KzxSqNAiinTX7TSWfpv6Vg0_IzBOjnXl/view?usp=drivesdk")</f>
        <v>https://drive.google.com/file/d/1KzxSqNAiinTX7TSWfpv6Vg0_IzBOjnXl/view?usp=drivesdk</v>
      </c>
    </row>
    <row r="2368">
      <c r="A2368" s="15">
        <f>IFERROR(__xludf.DUMMYFUNCTION("""COMPUTED_VALUE"""),45071.0)</f>
        <v>45071</v>
      </c>
      <c r="B2368" s="16" t="str">
        <f>IFERROR(__xludf.DUMMYFUNCTION("""COMPUTED_VALUE"""),"David Sanmartin Bello")</f>
        <v>David Sanmartin Bello</v>
      </c>
      <c r="C2368" s="15" t="str">
        <f>IFERROR(__xludf.DUMMYFUNCTION("""COMPUTED_VALUE"""),"CARTAGENA")</f>
        <v>CARTAGENA</v>
      </c>
      <c r="D2368" s="15" t="str">
        <f>IFERROR(__xludf.DUMMYFUNCTION("""COMPUTED_VALUE"""),"BOGOTÁ")</f>
        <v>BOGOTÁ</v>
      </c>
      <c r="E2368" s="15" t="str">
        <f>IFERROR(__xludf.DUMMYFUNCTION("""COMPUTED_VALUE"""),"Mochi")</f>
        <v>Mochi</v>
      </c>
      <c r="F2368" s="17" t="str">
        <f>IFERROR(__xludf.DUMMYFUNCTION("""COMPUTED_VALUE"""),"CENTRO COMERCIAL SERREZUELA / CENTRO COMERCIAL SERREZUELA / CENTRO COMERCIAL SERREZUELA")</f>
        <v>CENTRO COMERCIAL SERREZUELA / CENTRO COMERCIAL SERREZUELA / CENTRO COMERCIAL SERREZUELA</v>
      </c>
      <c r="G2368" s="15" t="str">
        <f>IFERROR(__xludf.DUMMYFUNCTION("""COMPUTED_VALUE"""),"MARIUA CAMILA")</f>
        <v>MARIUA CAMILA</v>
      </c>
      <c r="H2368" s="16">
        <f>IFERROR(__xludf.DUMMYFUNCTION("""COMPUTED_VALUE"""),10995.0)</f>
        <v>10995</v>
      </c>
      <c r="I2368" s="18">
        <f>IFERROR(__xludf.DUMMYFUNCTION("""COMPUTED_VALUE"""),100.0)</f>
        <v>100</v>
      </c>
      <c r="J2368" s="18">
        <f>IFERROR(__xludf.DUMMYFUNCTION("""COMPUTED_VALUE"""),100.0)</f>
        <v>100</v>
      </c>
      <c r="K2368" s="18">
        <f>IFERROR(__xludf.DUMMYFUNCTION("""COMPUTED_VALUE"""),200.0)</f>
        <v>200</v>
      </c>
      <c r="L2368" s="17">
        <f>IFERROR(__xludf.DUMMYFUNCTION("""COMPUTED_VALUE"""),3.116026252E9)</f>
        <v>3116026252</v>
      </c>
      <c r="M2368" s="17" t="str">
        <f>IFERROR(__xludf.DUMMYFUNCTION("""COMPUTED_VALUE"""),"#REF!")</f>
        <v>#REF!</v>
      </c>
      <c r="N2368" s="17"/>
      <c r="O2368" s="17"/>
      <c r="P2368" s="17" t="b">
        <f>IFERROR(__xludf.DUMMYFUNCTION("""COMPUTED_VALUE"""),FALSE)</f>
        <v>0</v>
      </c>
      <c r="Q2368" s="20" t="str">
        <f>IFERROR(__xludf.DUMMYFUNCTION("""COMPUTED_VALUE"""),"")</f>
        <v/>
      </c>
      <c r="R2368" s="21" t="str">
        <f>IFERROR(__xludf.DUMMYFUNCTION("""COMPUTED_VALUE"""),"https://drive.google.com/file/d/1SmriFQ684UDFHvo61yjmxuyHbQPikl1o/view?usp=drivesdk")</f>
        <v>https://drive.google.com/file/d/1SmriFQ684UDFHvo61yjmxuyHbQPikl1o/view?usp=drivesdk</v>
      </c>
    </row>
    <row r="2369">
      <c r="A2369" s="15">
        <f>IFERROR(__xludf.DUMMYFUNCTION("""COMPUTED_VALUE"""),45071.0)</f>
        <v>45071</v>
      </c>
      <c r="B2369" s="16" t="str">
        <f>IFERROR(__xludf.DUMMYFUNCTION("""COMPUTED_VALUE"""),"David Sanmartin Bello")</f>
        <v>David Sanmartin Bello</v>
      </c>
      <c r="C2369" s="15" t="str">
        <f>IFERROR(__xludf.DUMMYFUNCTION("""COMPUTED_VALUE"""),"CARTAGENA")</f>
        <v>CARTAGENA</v>
      </c>
      <c r="D2369" s="15" t="str">
        <f>IFERROR(__xludf.DUMMYFUNCTION("""COMPUTED_VALUE"""),"BOGOTÁ")</f>
        <v>BOGOTÁ</v>
      </c>
      <c r="E2369" s="15" t="str">
        <f>IFERROR(__xludf.DUMMYFUNCTION("""COMPUTED_VALUE"""),"Top Spun")</f>
        <v>Top Spun</v>
      </c>
      <c r="F2369" s="17" t="str">
        <f>IFERROR(__xludf.DUMMYFUNCTION("""COMPUTED_VALUE"""),"KM 8 SERENA DEL MAR.  / CONJUNTO CAVANA. TORRE 10 APTO 301  / CARTAGENA DE INDIAS")</f>
        <v>KM 8 SERENA DEL MAR.  / CONJUNTO CAVANA. TORRE 10 APTO 301  / CARTAGENA DE INDIAS</v>
      </c>
      <c r="G2369" s="15" t="str">
        <f>IFERROR(__xludf.DUMMYFUNCTION("""COMPUTED_VALUE"""),"LAURA MELóN")</f>
        <v>LAURA MELóN</v>
      </c>
      <c r="H2369" s="16">
        <f>IFERROR(__xludf.DUMMYFUNCTION("""COMPUTED_VALUE"""),10894.0)</f>
        <v>10894</v>
      </c>
      <c r="I2369" s="18">
        <f>IFERROR(__xludf.DUMMYFUNCTION("""COMPUTED_VALUE"""),15.0)</f>
        <v>15</v>
      </c>
      <c r="J2369" s="18">
        <f>IFERROR(__xludf.DUMMYFUNCTION("""COMPUTED_VALUE"""),10.0)</f>
        <v>10</v>
      </c>
      <c r="K2369" s="18">
        <f>IFERROR(__xludf.DUMMYFUNCTION("""COMPUTED_VALUE"""),40.0)</f>
        <v>40</v>
      </c>
      <c r="L2369" s="17">
        <f>IFERROR(__xludf.DUMMYFUNCTION("""COMPUTED_VALUE"""),3.002021173E9)</f>
        <v>3002021173</v>
      </c>
      <c r="M2369" s="17" t="str">
        <f>IFERROR(__xludf.DUMMYFUNCTION("""COMPUTED_VALUE"""),"#REF!")</f>
        <v>#REF!</v>
      </c>
      <c r="N2369" s="17"/>
      <c r="O2369" s="17"/>
      <c r="P2369" s="17" t="b">
        <f>IFERROR(__xludf.DUMMYFUNCTION("""COMPUTED_VALUE"""),FALSE)</f>
        <v>0</v>
      </c>
      <c r="Q2369" s="20" t="str">
        <f>IFERROR(__xludf.DUMMYFUNCTION("""COMPUTED_VALUE"""),"")</f>
        <v/>
      </c>
      <c r="R2369" s="21" t="str">
        <f>IFERROR(__xludf.DUMMYFUNCTION("""COMPUTED_VALUE"""),"https://drive.google.com/file/d/1dA1WbJ-LXOBN4hjnnoDfJb63V6V9dMcy/view?usp=drivesdk")</f>
        <v>https://drive.google.com/file/d/1dA1WbJ-LXOBN4hjnnoDfJb63V6V9dMcy/view?usp=drivesdk</v>
      </c>
    </row>
    <row r="2370">
      <c r="A2370" s="15">
        <f>IFERROR(__xludf.DUMMYFUNCTION("""COMPUTED_VALUE"""),45071.0)</f>
        <v>45071</v>
      </c>
      <c r="B2370" s="16" t="str">
        <f>IFERROR(__xludf.DUMMYFUNCTION("""COMPUTED_VALUE"""),"David Sanmartin Bello")</f>
        <v>David Sanmartin Bello</v>
      </c>
      <c r="C2370" s="15" t="str">
        <f>IFERROR(__xludf.DUMMYFUNCTION("""COMPUTED_VALUE"""),"CARTAGENA")</f>
        <v>CARTAGENA</v>
      </c>
      <c r="D2370" s="15" t="str">
        <f>IFERROR(__xludf.DUMMYFUNCTION("""COMPUTED_VALUE"""),"MEDELLÍN")</f>
        <v>MEDELLÍN</v>
      </c>
      <c r="E2370" s="15" t="str">
        <f>IFERROR(__xludf.DUMMYFUNCTION("""COMPUTED_VALUE"""),"AREPAS LA MARY")</f>
        <v>AREPAS LA MARY</v>
      </c>
      <c r="F2370" s="17" t="str">
        <f>IFERROR(__xludf.DUMMYFUNCTION("""COMPUTED_VALUE"""),"CALLE 6 N 4 20 / CENTRO COMERCIAL LA ESTACION LOCAL 110")</f>
        <v>CALLE 6 N 4 20 / CENTRO COMERCIAL LA ESTACION LOCAL 110</v>
      </c>
      <c r="G2370" s="15" t="str">
        <f>IFERROR(__xludf.DUMMYFUNCTION("""COMPUTED_VALUE"""),"COCOFIT MERCADO SALUDABLE")</f>
        <v>COCOFIT MERCADO SALUDABLE</v>
      </c>
      <c r="H2370" s="16">
        <f>IFERROR(__xludf.DUMMYFUNCTION("""COMPUTED_VALUE"""),10918.0)</f>
        <v>10918</v>
      </c>
      <c r="I2370" s="18">
        <f>IFERROR(__xludf.DUMMYFUNCTION("""COMPUTED_VALUE"""),89.0)</f>
        <v>89</v>
      </c>
      <c r="J2370" s="18">
        <f>IFERROR(__xludf.DUMMYFUNCTION("""COMPUTED_VALUE"""),1.0)</f>
        <v>1</v>
      </c>
      <c r="K2370" s="18">
        <f>IFERROR(__xludf.DUMMYFUNCTION("""COMPUTED_VALUE"""),10.0)</f>
        <v>10</v>
      </c>
      <c r="L2370" s="17">
        <f>IFERROR(__xludf.DUMMYFUNCTION("""COMPUTED_VALUE"""),3.135781119E9)</f>
        <v>3135781119</v>
      </c>
      <c r="M2370" s="17" t="str">
        <f>IFERROR(__xludf.DUMMYFUNCTION("""COMPUTED_VALUE"""),"#REF!")</f>
        <v>#REF!</v>
      </c>
      <c r="N2370" s="17"/>
      <c r="O2370" s="17"/>
      <c r="P2370" s="17" t="b">
        <f>IFERROR(__xludf.DUMMYFUNCTION("""COMPUTED_VALUE"""),FALSE)</f>
        <v>0</v>
      </c>
      <c r="Q2370" s="20" t="str">
        <f>IFERROR(__xludf.DUMMYFUNCTION("""COMPUTED_VALUE"""),"")</f>
        <v/>
      </c>
      <c r="R2370" s="21" t="str">
        <f>IFERROR(__xludf.DUMMYFUNCTION("""COMPUTED_VALUE"""),"https://drive.google.com/file/d/1rPh7inwE2VQ-QFQagBoCH4a-PW9E2Wln/view?usp=drivesdk")</f>
        <v>https://drive.google.com/file/d/1rPh7inwE2VQ-QFQagBoCH4a-PW9E2Wln/view?usp=drivesdk</v>
      </c>
    </row>
    <row r="2371">
      <c r="A2371" s="17" t="str">
        <f>IFERROR(__xludf.DUMMYFUNCTION("""COMPUTED_VALUE"""),"")</f>
        <v/>
      </c>
      <c r="B2371" s="17" t="str">
        <f>IFERROR(__xludf.DUMMYFUNCTION("""COMPUTED_VALUE"""),"")</f>
        <v/>
      </c>
      <c r="C2371" s="17" t="str">
        <f>IFERROR(__xludf.DUMMYFUNCTION("""COMPUTED_VALUE"""),"")</f>
        <v/>
      </c>
      <c r="D2371" s="17" t="str">
        <f>IFERROR(__xludf.DUMMYFUNCTION("""COMPUTED_VALUE"""),"")</f>
        <v/>
      </c>
      <c r="E2371" s="17" t="str">
        <f>IFERROR(__xludf.DUMMYFUNCTION("""COMPUTED_VALUE"""),"")</f>
        <v/>
      </c>
      <c r="F2371" s="17" t="str">
        <f>IFERROR(__xludf.DUMMYFUNCTION("""COMPUTED_VALUE"""),"")</f>
        <v/>
      </c>
      <c r="G2371" s="17" t="str">
        <f>IFERROR(__xludf.DUMMYFUNCTION("""COMPUTED_VALUE"""),"")</f>
        <v/>
      </c>
      <c r="H2371" s="17" t="str">
        <f>IFERROR(__xludf.DUMMYFUNCTION("""COMPUTED_VALUE"""),"")</f>
        <v/>
      </c>
      <c r="I2371" s="17" t="str">
        <f>IFERROR(__xludf.DUMMYFUNCTION("""COMPUTED_VALUE"""),"")</f>
        <v/>
      </c>
      <c r="J2371" s="17" t="str">
        <f>IFERROR(__xludf.DUMMYFUNCTION("""COMPUTED_VALUE"""),"")</f>
        <v/>
      </c>
      <c r="K2371" s="17" t="str">
        <f>IFERROR(__xludf.DUMMYFUNCTION("""COMPUTED_VALUE"""),"")</f>
        <v/>
      </c>
      <c r="L2371" s="17" t="str">
        <f>IFERROR(__xludf.DUMMYFUNCTION("""COMPUTED_VALUE"""),"")</f>
        <v/>
      </c>
      <c r="M2371" s="17" t="str">
        <f>IFERROR(__xludf.DUMMYFUNCTION("""COMPUTED_VALUE"""),"")</f>
        <v/>
      </c>
      <c r="N2371" s="17" t="str">
        <f>IFERROR(__xludf.DUMMYFUNCTION("""COMPUTED_VALUE"""),"")</f>
        <v/>
      </c>
      <c r="O2371" s="17" t="str">
        <f>IFERROR(__xludf.DUMMYFUNCTION("""COMPUTED_VALUE"""),"")</f>
        <v/>
      </c>
      <c r="P2371" s="17" t="str">
        <f>IFERROR(__xludf.DUMMYFUNCTION("""COMPUTED_VALUE"""),"")</f>
        <v/>
      </c>
      <c r="Q2371" s="17" t="str">
        <f>IFERROR(__xludf.DUMMYFUNCTION("""COMPUTED_VALUE"""),"")</f>
        <v/>
      </c>
      <c r="R2371" s="17" t="str">
        <f>IFERROR(__xludf.DUMMYFUNCTION("""COMPUTED_VALUE"""),"")</f>
        <v/>
      </c>
    </row>
    <row r="2372">
      <c r="A2372" s="15">
        <f>IFERROR(__xludf.DUMMYFUNCTION("""COMPUTED_VALUE"""),45071.0)</f>
        <v>45071</v>
      </c>
      <c r="B2372" s="16" t="str">
        <f>IFERROR(__xludf.DUMMYFUNCTION("""COMPUTED_VALUE"""),"Envia")</f>
        <v>Envia</v>
      </c>
      <c r="C2372" s="15" t="str">
        <f>IFERROR(__xludf.DUMMYFUNCTION("""COMPUTED_VALUE"""),"BOGOTÁ")</f>
        <v>BOGOTÁ</v>
      </c>
      <c r="D2372" s="15" t="str">
        <f>IFERROR(__xludf.DUMMYFUNCTION("""COMPUTED_VALUE"""),"MEDELLÍN")</f>
        <v>MEDELLÍN</v>
      </c>
      <c r="E2372" s="15" t="str">
        <f>IFERROR(__xludf.DUMMYFUNCTION("""COMPUTED_VALUE"""),"Puro Verde")</f>
        <v>Puro Verde</v>
      </c>
      <c r="F2372" s="17" t="str">
        <f>IFERROR(__xludf.DUMMYFUNCTION("""COMPUTED_VALUE"""),"AV CRA 15 # 90-20 / LOCAL 109 / BARRIO CHICO")</f>
        <v>AV CRA 15 # 90-20 / LOCAL 109 / BARRIO CHICO</v>
      </c>
      <c r="G2372" s="15" t="str">
        <f>IFERROR(__xludf.DUMMYFUNCTION("""COMPUTED_VALUE"""),"DANDO CUERDA")</f>
        <v>DANDO CUERDA</v>
      </c>
      <c r="H2372" s="16">
        <f>IFERROR(__xludf.DUMMYFUNCTION("""COMPUTED_VALUE"""),10971.0)</f>
        <v>10971</v>
      </c>
      <c r="I2372" s="18">
        <f>IFERROR(__xludf.DUMMYFUNCTION("""COMPUTED_VALUE"""),67.0)</f>
        <v>67</v>
      </c>
      <c r="J2372" s="18">
        <f>IFERROR(__xludf.DUMMYFUNCTION("""COMPUTED_VALUE"""),65.0)</f>
        <v>65</v>
      </c>
      <c r="K2372" s="18">
        <f>IFERROR(__xludf.DUMMYFUNCTION("""COMPUTED_VALUE"""),55.0)</f>
        <v>55</v>
      </c>
      <c r="L2372" s="17">
        <f>IFERROR(__xludf.DUMMYFUNCTION("""COMPUTED_VALUE"""),3.163816691E9)</f>
        <v>3163816691</v>
      </c>
      <c r="M2372" s="17" t="str">
        <f>IFERROR(__xludf.DUMMYFUNCTION("""COMPUTED_VALUE"""),"#REF!")</f>
        <v>#REF!</v>
      </c>
      <c r="N2372" s="17"/>
      <c r="O2372" s="17"/>
      <c r="P2372" s="17" t="b">
        <f>IFERROR(__xludf.DUMMYFUNCTION("""COMPUTED_VALUE"""),FALSE)</f>
        <v>0</v>
      </c>
      <c r="Q2372" s="20" t="str">
        <f>IFERROR(__xludf.DUMMYFUNCTION("""COMPUTED_VALUE"""),"")</f>
        <v/>
      </c>
      <c r="R2372" s="21" t="str">
        <f>IFERROR(__xludf.DUMMYFUNCTION("""COMPUTED_VALUE"""),"https://drive.google.com/file/d/1554nTVMCJP65gyaDsfGs9Hqq09B2e7AH/view?usp=drivesdk")</f>
        <v>https://drive.google.com/file/d/1554nTVMCJP65gyaDsfGs9Hqq09B2e7AH/view?usp=drivesdk</v>
      </c>
    </row>
    <row r="2373">
      <c r="A2373" s="15">
        <f>IFERROR(__xludf.DUMMYFUNCTION("""COMPUTED_VALUE"""),45071.0)</f>
        <v>45071</v>
      </c>
      <c r="B2373" s="16" t="str">
        <f>IFERROR(__xludf.DUMMYFUNCTION("""COMPUTED_VALUE"""),"Envia")</f>
        <v>Envia</v>
      </c>
      <c r="C2373" s="15" t="str">
        <f>IFERROR(__xludf.DUMMYFUNCTION("""COMPUTED_VALUE"""),"CALI")</f>
        <v>CALI</v>
      </c>
      <c r="D2373" s="15" t="str">
        <f>IFERROR(__xludf.DUMMYFUNCTION("""COMPUTED_VALUE"""),"MEDELLÍN")</f>
        <v>MEDELLÍN</v>
      </c>
      <c r="E2373" s="15" t="str">
        <f>IFERROR(__xludf.DUMMYFUNCTION("""COMPUTED_VALUE"""),"Moloso S.A.S")</f>
        <v>Moloso S.A.S</v>
      </c>
      <c r="F2373" s="17" t="str">
        <f>IFERROR(__xludf.DUMMYFUNCTION("""COMPUTED_VALUE"""),"CL 14 NORTE 9 25 / APT 302")</f>
        <v>CL 14 NORTE 9 25 / APT 302</v>
      </c>
      <c r="G2373" s="15" t="str">
        <f>IFERROR(__xludf.DUMMYFUNCTION("""COMPUTED_VALUE"""),"LAURA MURILLO QUIROGA")</f>
        <v>LAURA MURILLO QUIROGA</v>
      </c>
      <c r="H2373" s="16">
        <f>IFERROR(__xludf.DUMMYFUNCTION("""COMPUTED_VALUE"""),10972.0)</f>
        <v>10972</v>
      </c>
      <c r="I2373" s="18">
        <f>IFERROR(__xludf.DUMMYFUNCTION("""COMPUTED_VALUE"""),17.0)</f>
        <v>17</v>
      </c>
      <c r="J2373" s="18">
        <f>IFERROR(__xludf.DUMMYFUNCTION("""COMPUTED_VALUE"""),15.0)</f>
        <v>15</v>
      </c>
      <c r="K2373" s="18">
        <f>IFERROR(__xludf.DUMMYFUNCTION("""COMPUTED_VALUE"""),28.0)</f>
        <v>28</v>
      </c>
      <c r="L2373" s="17" t="str">
        <f>IFERROR(__xludf.DUMMYFUNCTION("""COMPUTED_VALUE"""),"318 6345255")</f>
        <v>318 6345255</v>
      </c>
      <c r="M2373" s="17" t="str">
        <f>IFERROR(__xludf.DUMMYFUNCTION("""COMPUTED_VALUE"""),"#REF!")</f>
        <v>#REF!</v>
      </c>
      <c r="N2373" s="17"/>
      <c r="O2373" s="17"/>
      <c r="P2373" s="17" t="b">
        <f>IFERROR(__xludf.DUMMYFUNCTION("""COMPUTED_VALUE"""),FALSE)</f>
        <v>0</v>
      </c>
      <c r="Q2373" s="20" t="str">
        <f>IFERROR(__xludf.DUMMYFUNCTION("""COMPUTED_VALUE"""),"")</f>
        <v/>
      </c>
      <c r="R2373" s="21" t="str">
        <f>IFERROR(__xludf.DUMMYFUNCTION("""COMPUTED_VALUE"""),"https://drive.google.com/file/d/1yYFNpahAkZFg02s0RbSUvF9Whl3zZbHf/view?usp=drivesdk")</f>
        <v>https://drive.google.com/file/d/1yYFNpahAkZFg02s0RbSUvF9Whl3zZbHf/view?usp=drivesdk</v>
      </c>
    </row>
    <row r="2374">
      <c r="A2374" s="15">
        <f>IFERROR(__xludf.DUMMYFUNCTION("""COMPUTED_VALUE"""),45071.0)</f>
        <v>45071</v>
      </c>
      <c r="B2374" s="16" t="str">
        <f>IFERROR(__xludf.DUMMYFUNCTION("""COMPUTED_VALUE"""),"Envia")</f>
        <v>Envia</v>
      </c>
      <c r="C2374" s="15" t="str">
        <f>IFERROR(__xludf.DUMMYFUNCTION("""COMPUTED_VALUE"""),"CARTAGENA")</f>
        <v>CARTAGENA</v>
      </c>
      <c r="D2374" s="15" t="str">
        <f>IFERROR(__xludf.DUMMYFUNCTION("""COMPUTED_VALUE"""),"BOGOTÁ")</f>
        <v>BOGOTÁ</v>
      </c>
      <c r="E2374" s="15" t="str">
        <f>IFERROR(__xludf.DUMMYFUNCTION("""COMPUTED_VALUE"""),"Evamazzita")</f>
        <v>Evamazzita</v>
      </c>
      <c r="F2374" s="17" t="str">
        <f>IFERROR(__xludf.DUMMYFUNCTION("""COMPUTED_VALUE"""),"TRANSVERSAL 51 A DIAGONAL 21 C - 137  / CASA, PISO 2  / BARRIO ALTO BOSQUE")</f>
        <v>TRANSVERSAL 51 A DIAGONAL 21 C - 137  / CASA, PISO 2  / BARRIO ALTO BOSQUE</v>
      </c>
      <c r="G2374" s="15" t="str">
        <f>IFERROR(__xludf.DUMMYFUNCTION("""COMPUTED_VALUE"""),"YESSICA ESCRUCERIA CASTRO")</f>
        <v>YESSICA ESCRUCERIA CASTRO</v>
      </c>
      <c r="H2374" s="16">
        <f>IFERROR(__xludf.DUMMYFUNCTION("""COMPUTED_VALUE"""),10919.0)</f>
        <v>10919</v>
      </c>
      <c r="I2374" s="18">
        <f>IFERROR(__xludf.DUMMYFUNCTION("""COMPUTED_VALUE"""),9.0)</f>
        <v>9</v>
      </c>
      <c r="J2374" s="18">
        <f>IFERROR(__xludf.DUMMYFUNCTION("""COMPUTED_VALUE"""),19.0)</f>
        <v>19</v>
      </c>
      <c r="K2374" s="18">
        <f>IFERROR(__xludf.DUMMYFUNCTION("""COMPUTED_VALUE"""),10.0)</f>
        <v>10</v>
      </c>
      <c r="L2374" s="17">
        <f>IFERROR(__xludf.DUMMYFUNCTION("""COMPUTED_VALUE"""),3.017030417E9)</f>
        <v>3017030417</v>
      </c>
      <c r="M2374" s="17" t="str">
        <f>IFERROR(__xludf.DUMMYFUNCTION("""COMPUTED_VALUE"""),"#REF!")</f>
        <v>#REF!</v>
      </c>
      <c r="N2374" s="17"/>
      <c r="O2374" s="17"/>
      <c r="P2374" s="17" t="b">
        <f>IFERROR(__xludf.DUMMYFUNCTION("""COMPUTED_VALUE"""),FALSE)</f>
        <v>0</v>
      </c>
      <c r="Q2374" s="20" t="str">
        <f>IFERROR(__xludf.DUMMYFUNCTION("""COMPUTED_VALUE"""),"")</f>
        <v/>
      </c>
      <c r="R2374" s="21" t="str">
        <f>IFERROR(__xludf.DUMMYFUNCTION("""COMPUTED_VALUE"""),"https://drive.google.com/file/d/1SDZZeAu49sfscx8hV3Kz75tN9RgAOqhG/view?usp=drivesdk")</f>
        <v>https://drive.google.com/file/d/1SDZZeAu49sfscx8hV3Kz75tN9RgAOqhG/view?usp=drivesdk</v>
      </c>
    </row>
    <row r="2375">
      <c r="A2375" s="15">
        <f>IFERROR(__xludf.DUMMYFUNCTION("""COMPUTED_VALUE"""),45071.0)</f>
        <v>45071</v>
      </c>
      <c r="B2375" s="16" t="str">
        <f>IFERROR(__xludf.DUMMYFUNCTION("""COMPUTED_VALUE"""),"Envia")</f>
        <v>Envia</v>
      </c>
      <c r="C2375" s="15" t="str">
        <f>IFERROR(__xludf.DUMMYFUNCTION("""COMPUTED_VALUE"""),"CARTAGO")</f>
        <v>CARTAGO</v>
      </c>
      <c r="D2375" s="15" t="str">
        <f>IFERROR(__xludf.DUMMYFUNCTION("""COMPUTED_VALUE"""),"BOGOTÁ")</f>
        <v>BOGOTÁ</v>
      </c>
      <c r="E2375" s="15" t="str">
        <f>IFERROR(__xludf.DUMMYFUNCTION("""COMPUTED_VALUE"""),"Karem foods")</f>
        <v>Karem foods</v>
      </c>
      <c r="F2375" s="17" t="str">
        <f>IFERROR(__xludf.DUMMYFUNCTION("""COMPUTED_VALUE"""),"Calle 12 # 1N - 96 / Barrio el prado  / -")</f>
        <v>Calle 12 # 1N - 96 / Barrio el prado  / -</v>
      </c>
      <c r="G2375" s="15" t="str">
        <f>IFERROR(__xludf.DUMMYFUNCTION("""COMPUTED_VALUE"""),"Karol Tatiana Santa Green Fit Food")</f>
        <v>Karol Tatiana Santa Green Fit Food</v>
      </c>
      <c r="H2375" s="16">
        <f>IFERROR(__xludf.DUMMYFUNCTION("""COMPUTED_VALUE"""),10944.0)</f>
        <v>10944</v>
      </c>
      <c r="I2375" s="18">
        <f>IFERROR(__xludf.DUMMYFUNCTION("""COMPUTED_VALUE"""),18.0)</f>
        <v>18</v>
      </c>
      <c r="J2375" s="18">
        <f>IFERROR(__xludf.DUMMYFUNCTION("""COMPUTED_VALUE"""),24.0)</f>
        <v>24</v>
      </c>
      <c r="K2375" s="18">
        <f>IFERROR(__xludf.DUMMYFUNCTION("""COMPUTED_VALUE"""),18.0)</f>
        <v>18</v>
      </c>
      <c r="L2375" s="17">
        <f>IFERROR(__xludf.DUMMYFUNCTION("""COMPUTED_VALUE"""),3.113159671E9)</f>
        <v>3113159671</v>
      </c>
      <c r="M2375" s="17" t="str">
        <f>IFERROR(__xludf.DUMMYFUNCTION("""COMPUTED_VALUE"""),"#REF!")</f>
        <v>#REF!</v>
      </c>
      <c r="N2375" s="17"/>
      <c r="O2375" s="17"/>
      <c r="P2375" s="17" t="b">
        <f>IFERROR(__xludf.DUMMYFUNCTION("""COMPUTED_VALUE"""),FALSE)</f>
        <v>0</v>
      </c>
      <c r="Q2375" s="20" t="str">
        <f>IFERROR(__xludf.DUMMYFUNCTION("""COMPUTED_VALUE"""),"")</f>
        <v/>
      </c>
      <c r="R2375" s="21" t="str">
        <f>IFERROR(__xludf.DUMMYFUNCTION("""COMPUTED_VALUE"""),"https://drive.google.com/file/d/1yhEZqGEfGdzD-Xp31ZZWGNdZdoDt9bcb/view?usp=drivesdk")</f>
        <v>https://drive.google.com/file/d/1yhEZqGEfGdzD-Xp31ZZWGNdZdoDt9bcb/view?usp=drivesdk</v>
      </c>
    </row>
    <row r="2376">
      <c r="A2376" s="15">
        <f>IFERROR(__xludf.DUMMYFUNCTION("""COMPUTED_VALUE"""),45071.0)</f>
        <v>45071</v>
      </c>
      <c r="B2376" s="16" t="str">
        <f>IFERROR(__xludf.DUMMYFUNCTION("""COMPUTED_VALUE"""),"Envia")</f>
        <v>Envia</v>
      </c>
      <c r="C2376" s="15" t="str">
        <f>IFERROR(__xludf.DUMMYFUNCTION("""COMPUTED_VALUE"""),"CÚCUTA")</f>
        <v>CÚCUTA</v>
      </c>
      <c r="D2376" s="15" t="str">
        <f>IFERROR(__xludf.DUMMYFUNCTION("""COMPUTED_VALUE"""),"MEDELLÍN")</f>
        <v>MEDELLÍN</v>
      </c>
      <c r="E2376" s="15" t="str">
        <f>IFERROR(__xludf.DUMMYFUNCTION("""COMPUTED_VALUE"""),"Momo Tea S.A.S Gabriel Echavarría")</f>
        <v>Momo Tea S.A.S Gabriel Echavarría</v>
      </c>
      <c r="F2376" s="17" t="str">
        <f>IFERROR(__xludf.DUMMYFUNCTION("""COMPUTED_VALUE"""),"CL 11 N 16 E 35 / CA B 1")</f>
        <v>CL 11 N 16 E 35 / CA B 1</v>
      </c>
      <c r="G2376" s="15" t="str">
        <f>IFERROR(__xludf.DUMMYFUNCTION("""COMPUTED_VALUE"""),"Gabriel Echavarría")</f>
        <v>Gabriel Echavarría</v>
      </c>
      <c r="H2376" s="16">
        <f>IFERROR(__xludf.DUMMYFUNCTION("""COMPUTED_VALUE"""),10947.0)</f>
        <v>10947</v>
      </c>
      <c r="I2376" s="18">
        <f>IFERROR(__xludf.DUMMYFUNCTION("""COMPUTED_VALUE"""),21.0)</f>
        <v>21</v>
      </c>
      <c r="J2376" s="18">
        <f>IFERROR(__xludf.DUMMYFUNCTION("""COMPUTED_VALUE"""),29.0)</f>
        <v>29</v>
      </c>
      <c r="K2376" s="18">
        <f>IFERROR(__xludf.DUMMYFUNCTION("""COMPUTED_VALUE"""),29.0)</f>
        <v>29</v>
      </c>
      <c r="L2376" s="17">
        <f>IFERROR(__xludf.DUMMYFUNCTION("""COMPUTED_VALUE"""),3.017909548E9)</f>
        <v>3017909548</v>
      </c>
      <c r="M2376" s="17" t="str">
        <f>IFERROR(__xludf.DUMMYFUNCTION("""COMPUTED_VALUE"""),"#REF!")</f>
        <v>#REF!</v>
      </c>
      <c r="N2376" s="17"/>
      <c r="O2376" s="17"/>
      <c r="P2376" s="17" t="b">
        <f>IFERROR(__xludf.DUMMYFUNCTION("""COMPUTED_VALUE"""),FALSE)</f>
        <v>0</v>
      </c>
      <c r="Q2376" s="20" t="str">
        <f>IFERROR(__xludf.DUMMYFUNCTION("""COMPUTED_VALUE"""),"")</f>
        <v/>
      </c>
      <c r="R2376" s="21" t="str">
        <f>IFERROR(__xludf.DUMMYFUNCTION("""COMPUTED_VALUE"""),"https://drive.google.com/file/d/1DDiggibc8R8rjw7mFk-0dV1EFqYzLNzB/view?usp=drivesdk")</f>
        <v>https://drive.google.com/file/d/1DDiggibc8R8rjw7mFk-0dV1EFqYzLNzB/view?usp=drivesdk</v>
      </c>
    </row>
    <row r="2377">
      <c r="A2377" s="15">
        <f>IFERROR(__xludf.DUMMYFUNCTION("""COMPUTED_VALUE"""),45071.0)</f>
        <v>45071</v>
      </c>
      <c r="B2377" s="16" t="str">
        <f>IFERROR(__xludf.DUMMYFUNCTION("""COMPUTED_VALUE"""),"Envia")</f>
        <v>Envia</v>
      </c>
      <c r="C2377" s="15" t="str">
        <f>IFERROR(__xludf.DUMMYFUNCTION("""COMPUTED_VALUE"""),"CÚCUTA")</f>
        <v>CÚCUTA</v>
      </c>
      <c r="D2377" s="15" t="str">
        <f>IFERROR(__xludf.DUMMYFUNCTION("""COMPUTED_VALUE"""),"MEDELLÍN")</f>
        <v>MEDELLÍN</v>
      </c>
      <c r="E2377" s="15" t="str">
        <f>IFERROR(__xludf.DUMMYFUNCTION("""COMPUTED_VALUE"""),"Momo Tea S.A.S Gabriel Echavarría")</f>
        <v>Momo Tea S.A.S Gabriel Echavarría</v>
      </c>
      <c r="F2377" s="17" t="str">
        <f>IFERROR(__xludf.DUMMYFUNCTION("""COMPUTED_VALUE"""),"CL 11 N 16 E 35 / CA B 1")</f>
        <v>CL 11 N 16 E 35 / CA B 1</v>
      </c>
      <c r="G2377" s="15" t="str">
        <f>IFERROR(__xludf.DUMMYFUNCTION("""COMPUTED_VALUE"""),"Gabriel Echavarría")</f>
        <v>Gabriel Echavarría</v>
      </c>
      <c r="H2377" s="16">
        <f>IFERROR(__xludf.DUMMYFUNCTION("""COMPUTED_VALUE"""),10948.0)</f>
        <v>10948</v>
      </c>
      <c r="I2377" s="18">
        <f>IFERROR(__xludf.DUMMYFUNCTION("""COMPUTED_VALUE"""),28.0)</f>
        <v>28</v>
      </c>
      <c r="J2377" s="18">
        <f>IFERROR(__xludf.DUMMYFUNCTION("""COMPUTED_VALUE"""),54.0)</f>
        <v>54</v>
      </c>
      <c r="K2377" s="18">
        <f>IFERROR(__xludf.DUMMYFUNCTION("""COMPUTED_VALUE"""),35.0)</f>
        <v>35</v>
      </c>
      <c r="L2377" s="17">
        <f>IFERROR(__xludf.DUMMYFUNCTION("""COMPUTED_VALUE"""),3.017909548E9)</f>
        <v>3017909548</v>
      </c>
      <c r="M2377" s="17" t="str">
        <f>IFERROR(__xludf.DUMMYFUNCTION("""COMPUTED_VALUE"""),"#REF!")</f>
        <v>#REF!</v>
      </c>
      <c r="N2377" s="17"/>
      <c r="O2377" s="17"/>
      <c r="P2377" s="17" t="b">
        <f>IFERROR(__xludf.DUMMYFUNCTION("""COMPUTED_VALUE"""),FALSE)</f>
        <v>0</v>
      </c>
      <c r="Q2377" s="20" t="str">
        <f>IFERROR(__xludf.DUMMYFUNCTION("""COMPUTED_VALUE"""),"")</f>
        <v/>
      </c>
      <c r="R2377" s="21" t="str">
        <f>IFERROR(__xludf.DUMMYFUNCTION("""COMPUTED_VALUE"""),"https://drive.google.com/file/d/14dQ56XNdkLHFF_ZnhzTLHRQ6mHgUJz79/view?usp=drivesdk")</f>
        <v>https://drive.google.com/file/d/14dQ56XNdkLHFF_ZnhzTLHRQ6mHgUJz79/view?usp=drivesdk</v>
      </c>
    </row>
    <row r="2378">
      <c r="A2378" s="15">
        <f>IFERROR(__xludf.DUMMYFUNCTION("""COMPUTED_VALUE"""),45071.0)</f>
        <v>45071</v>
      </c>
      <c r="B2378" s="16" t="str">
        <f>IFERROR(__xludf.DUMMYFUNCTION("""COMPUTED_VALUE"""),"Envia")</f>
        <v>Envia</v>
      </c>
      <c r="C2378" s="15" t="str">
        <f>IFERROR(__xludf.DUMMYFUNCTION("""COMPUTED_VALUE"""),"CÚCUTA")</f>
        <v>CÚCUTA</v>
      </c>
      <c r="D2378" s="15" t="str">
        <f>IFERROR(__xludf.DUMMYFUNCTION("""COMPUTED_VALUE"""),"MEDELLÍN")</f>
        <v>MEDELLÍN</v>
      </c>
      <c r="E2378" s="15" t="str">
        <f>IFERROR(__xludf.DUMMYFUNCTION("""COMPUTED_VALUE"""),"Momo Tea S.A.S Gabriel Echavarría")</f>
        <v>Momo Tea S.A.S Gabriel Echavarría</v>
      </c>
      <c r="F2378" s="17" t="str">
        <f>IFERROR(__xludf.DUMMYFUNCTION("""COMPUTED_VALUE"""),"CL 11 N 16 E 35 / CA B 1")</f>
        <v>CL 11 N 16 E 35 / CA B 1</v>
      </c>
      <c r="G2378" s="15" t="str">
        <f>IFERROR(__xludf.DUMMYFUNCTION("""COMPUTED_VALUE"""),"Gabriel Echavarría")</f>
        <v>Gabriel Echavarría</v>
      </c>
      <c r="H2378" s="16">
        <f>IFERROR(__xludf.DUMMYFUNCTION("""COMPUTED_VALUE"""),10949.0)</f>
        <v>10949</v>
      </c>
      <c r="I2378" s="18">
        <f>IFERROR(__xludf.DUMMYFUNCTION("""COMPUTED_VALUE"""),39.0)</f>
        <v>39</v>
      </c>
      <c r="J2378" s="18">
        <f>IFERROR(__xludf.DUMMYFUNCTION("""COMPUTED_VALUE"""),27.0)</f>
        <v>27</v>
      </c>
      <c r="K2378" s="18">
        <f>IFERROR(__xludf.DUMMYFUNCTION("""COMPUTED_VALUE"""),27.0)</f>
        <v>27</v>
      </c>
      <c r="L2378" s="17">
        <f>IFERROR(__xludf.DUMMYFUNCTION("""COMPUTED_VALUE"""),3.017909548E9)</f>
        <v>3017909548</v>
      </c>
      <c r="M2378" s="17" t="str">
        <f>IFERROR(__xludf.DUMMYFUNCTION("""COMPUTED_VALUE"""),"#REF!")</f>
        <v>#REF!</v>
      </c>
      <c r="N2378" s="17"/>
      <c r="O2378" s="17"/>
      <c r="P2378" s="17" t="b">
        <f>IFERROR(__xludf.DUMMYFUNCTION("""COMPUTED_VALUE"""),FALSE)</f>
        <v>0</v>
      </c>
      <c r="Q2378" s="20" t="str">
        <f>IFERROR(__xludf.DUMMYFUNCTION("""COMPUTED_VALUE"""),"")</f>
        <v/>
      </c>
      <c r="R2378" s="21" t="str">
        <f>IFERROR(__xludf.DUMMYFUNCTION("""COMPUTED_VALUE"""),"https://drive.google.com/file/d/1vxdkAauMAjoFEwJMhIpSvbF81BcgvbVH/view?usp=drivesdk")</f>
        <v>https://drive.google.com/file/d/1vxdkAauMAjoFEwJMhIpSvbF81BcgvbVH/view?usp=drivesdk</v>
      </c>
    </row>
    <row r="2379">
      <c r="A2379" s="15">
        <f>IFERROR(__xludf.DUMMYFUNCTION("""COMPUTED_VALUE"""),45071.0)</f>
        <v>45071</v>
      </c>
      <c r="B2379" s="16" t="str">
        <f>IFERROR(__xludf.DUMMYFUNCTION("""COMPUTED_VALUE"""),"Envia")</f>
        <v>Envia</v>
      </c>
      <c r="C2379" s="15" t="str">
        <f>IFERROR(__xludf.DUMMYFUNCTION("""COMPUTED_VALUE"""),"CÚCUTA")</f>
        <v>CÚCUTA</v>
      </c>
      <c r="D2379" s="15" t="str">
        <f>IFERROR(__xludf.DUMMYFUNCTION("""COMPUTED_VALUE"""),"MEDELLÍN")</f>
        <v>MEDELLÍN</v>
      </c>
      <c r="E2379" s="15" t="str">
        <f>IFERROR(__xludf.DUMMYFUNCTION("""COMPUTED_VALUE"""),"Momo Tea S.A.S Gabriel Echavarría")</f>
        <v>Momo Tea S.A.S Gabriel Echavarría</v>
      </c>
      <c r="F2379" s="17" t="str">
        <f>IFERROR(__xludf.DUMMYFUNCTION("""COMPUTED_VALUE"""),"CL 11 N 16 E 35 / CA B 1")</f>
        <v>CL 11 N 16 E 35 / CA B 1</v>
      </c>
      <c r="G2379" s="15" t="str">
        <f>IFERROR(__xludf.DUMMYFUNCTION("""COMPUTED_VALUE"""),"Gabriel Echavarría")</f>
        <v>Gabriel Echavarría</v>
      </c>
      <c r="H2379" s="16">
        <f>IFERROR(__xludf.DUMMYFUNCTION("""COMPUTED_VALUE"""),10950.0)</f>
        <v>10950</v>
      </c>
      <c r="I2379" s="18">
        <f>IFERROR(__xludf.DUMMYFUNCTION("""COMPUTED_VALUE"""),30.0)</f>
        <v>30</v>
      </c>
      <c r="J2379" s="18">
        <f>IFERROR(__xludf.DUMMYFUNCTION("""COMPUTED_VALUE"""),8.0)</f>
        <v>8</v>
      </c>
      <c r="K2379" s="18">
        <f>IFERROR(__xludf.DUMMYFUNCTION("""COMPUTED_VALUE"""),18.0)</f>
        <v>18</v>
      </c>
      <c r="L2379" s="17">
        <f>IFERROR(__xludf.DUMMYFUNCTION("""COMPUTED_VALUE"""),3.017909548E9)</f>
        <v>3017909548</v>
      </c>
      <c r="M2379" s="17" t="str">
        <f>IFERROR(__xludf.DUMMYFUNCTION("""COMPUTED_VALUE"""),"#REF!")</f>
        <v>#REF!</v>
      </c>
      <c r="N2379" s="17"/>
      <c r="O2379" s="17"/>
      <c r="P2379" s="17" t="b">
        <f>IFERROR(__xludf.DUMMYFUNCTION("""COMPUTED_VALUE"""),FALSE)</f>
        <v>0</v>
      </c>
      <c r="Q2379" s="20" t="str">
        <f>IFERROR(__xludf.DUMMYFUNCTION("""COMPUTED_VALUE"""),"")</f>
        <v/>
      </c>
      <c r="R2379" s="21" t="str">
        <f>IFERROR(__xludf.DUMMYFUNCTION("""COMPUTED_VALUE"""),"https://drive.google.com/file/d/1j2W9dhoVNrm8PBgiHrBkCYuwRcsk5bef/view?usp=drivesdk")</f>
        <v>https://drive.google.com/file/d/1j2W9dhoVNrm8PBgiHrBkCYuwRcsk5bef/view?usp=drivesdk</v>
      </c>
    </row>
    <row r="2380">
      <c r="A2380" s="15">
        <f>IFERROR(__xludf.DUMMYFUNCTION("""COMPUTED_VALUE"""),45071.0)</f>
        <v>45071</v>
      </c>
      <c r="B2380" s="16" t="str">
        <f>IFERROR(__xludf.DUMMYFUNCTION("""COMPUTED_VALUE"""),"Envia")</f>
        <v>Envia</v>
      </c>
      <c r="C2380" s="15" t="str">
        <f>IFERROR(__xludf.DUMMYFUNCTION("""COMPUTED_VALUE"""),"CÚCUTA")</f>
        <v>CÚCUTA</v>
      </c>
      <c r="D2380" s="15" t="str">
        <f>IFERROR(__xludf.DUMMYFUNCTION("""COMPUTED_VALUE"""),"MEDELLÍN")</f>
        <v>MEDELLÍN</v>
      </c>
      <c r="E2380" s="15" t="str">
        <f>IFERROR(__xludf.DUMMYFUNCTION("""COMPUTED_VALUE"""),"Momo Tea S.A.S Gabriel Echavarría")</f>
        <v>Momo Tea S.A.S Gabriel Echavarría</v>
      </c>
      <c r="F2380" s="17" t="str">
        <f>IFERROR(__xludf.DUMMYFUNCTION("""COMPUTED_VALUE"""),"CL 11 N 16 E 35 / CA B 1")</f>
        <v>CL 11 N 16 E 35 / CA B 1</v>
      </c>
      <c r="G2380" s="15" t="str">
        <f>IFERROR(__xludf.DUMMYFUNCTION("""COMPUTED_VALUE"""),"Gabriel Echavarría")</f>
        <v>Gabriel Echavarría</v>
      </c>
      <c r="H2380" s="16">
        <f>IFERROR(__xludf.DUMMYFUNCTION("""COMPUTED_VALUE"""),10951.0)</f>
        <v>10951</v>
      </c>
      <c r="I2380" s="18">
        <f>IFERROR(__xludf.DUMMYFUNCTION("""COMPUTED_VALUE"""),17.0)</f>
        <v>17</v>
      </c>
      <c r="J2380" s="18">
        <f>IFERROR(__xludf.DUMMYFUNCTION("""COMPUTED_VALUE"""),17.0)</f>
        <v>17</v>
      </c>
      <c r="K2380" s="18">
        <f>IFERROR(__xludf.DUMMYFUNCTION("""COMPUTED_VALUE"""),23.0)</f>
        <v>23</v>
      </c>
      <c r="L2380" s="17">
        <f>IFERROR(__xludf.DUMMYFUNCTION("""COMPUTED_VALUE"""),3.017909548E9)</f>
        <v>3017909548</v>
      </c>
      <c r="M2380" s="17" t="str">
        <f>IFERROR(__xludf.DUMMYFUNCTION("""COMPUTED_VALUE"""),"#REF!")</f>
        <v>#REF!</v>
      </c>
      <c r="N2380" s="17"/>
      <c r="O2380" s="17"/>
      <c r="P2380" s="17" t="b">
        <f>IFERROR(__xludf.DUMMYFUNCTION("""COMPUTED_VALUE"""),FALSE)</f>
        <v>0</v>
      </c>
      <c r="Q2380" s="20" t="str">
        <f>IFERROR(__xludf.DUMMYFUNCTION("""COMPUTED_VALUE"""),"")</f>
        <v/>
      </c>
      <c r="R2380" s="21" t="str">
        <f>IFERROR(__xludf.DUMMYFUNCTION("""COMPUTED_VALUE"""),"https://drive.google.com/file/d/1oBc7e1Uo3GLwR_whms7u_aONT-aG6Atw/view?usp=drivesdk")</f>
        <v>https://drive.google.com/file/d/1oBc7e1Uo3GLwR_whms7u_aONT-aG6Atw/view?usp=drivesdk</v>
      </c>
    </row>
    <row r="2381">
      <c r="A2381" s="15">
        <f>IFERROR(__xludf.DUMMYFUNCTION("""COMPUTED_VALUE"""),45071.0)</f>
        <v>45071</v>
      </c>
      <c r="B2381" s="16" t="str">
        <f>IFERROR(__xludf.DUMMYFUNCTION("""COMPUTED_VALUE"""),"Envia")</f>
        <v>Envia</v>
      </c>
      <c r="C2381" s="15" t="str">
        <f>IFERROR(__xludf.DUMMYFUNCTION("""COMPUTED_VALUE"""),"MONTERIA")</f>
        <v>MONTERIA</v>
      </c>
      <c r="D2381" s="15" t="str">
        <f>IFERROR(__xludf.DUMMYFUNCTION("""COMPUTED_VALUE"""),"MEDELLÍN")</f>
        <v>MEDELLÍN</v>
      </c>
      <c r="E2381" s="15" t="str">
        <f>IFERROR(__xludf.DUMMYFUNCTION("""COMPUTED_VALUE"""),"Moloso S.A.S")</f>
        <v>Moloso S.A.S</v>
      </c>
      <c r="F2381" s="17" t="str">
        <f>IFERROR(__xludf.DUMMYFUNCTION("""COMPUTED_VALUE"""),"CALLE 68  5-51 / BO D AP 301")</f>
        <v>CALLE 68  5-51 / BO D AP 301</v>
      </c>
      <c r="G2381" s="15" t="str">
        <f>IFERROR(__xludf.DUMMYFUNCTION("""COMPUTED_VALUE"""),"MARIA BEATRIZ PUCHE")</f>
        <v>MARIA BEATRIZ PUCHE</v>
      </c>
      <c r="H2381" s="16">
        <f>IFERROR(__xludf.DUMMYFUNCTION("""COMPUTED_VALUE"""),10974.0)</f>
        <v>10974</v>
      </c>
      <c r="I2381" s="18">
        <f>IFERROR(__xludf.DUMMYFUNCTION("""COMPUTED_VALUE"""),17.0)</f>
        <v>17</v>
      </c>
      <c r="J2381" s="18">
        <f>IFERROR(__xludf.DUMMYFUNCTION("""COMPUTED_VALUE"""),15.0)</f>
        <v>15</v>
      </c>
      <c r="K2381" s="18">
        <f>IFERROR(__xludf.DUMMYFUNCTION("""COMPUTED_VALUE"""),28.0)</f>
        <v>28</v>
      </c>
      <c r="L2381" s="17">
        <f>IFERROR(__xludf.DUMMYFUNCTION("""COMPUTED_VALUE"""),3.103549972E9)</f>
        <v>3103549972</v>
      </c>
      <c r="M2381" s="17" t="str">
        <f>IFERROR(__xludf.DUMMYFUNCTION("""COMPUTED_VALUE"""),"#REF!")</f>
        <v>#REF!</v>
      </c>
      <c r="N2381" s="17"/>
      <c r="O2381" s="17"/>
      <c r="P2381" s="17" t="b">
        <f>IFERROR(__xludf.DUMMYFUNCTION("""COMPUTED_VALUE"""),FALSE)</f>
        <v>0</v>
      </c>
      <c r="Q2381" s="20" t="str">
        <f>IFERROR(__xludf.DUMMYFUNCTION("""COMPUTED_VALUE"""),"")</f>
        <v/>
      </c>
      <c r="R2381" s="22" t="str">
        <f>IFERROR(__xludf.DUMMYFUNCTION("""COMPUTED_VALUE"""),"")</f>
        <v/>
      </c>
    </row>
    <row r="2382">
      <c r="A2382" s="15">
        <f>IFERROR(__xludf.DUMMYFUNCTION("""COMPUTED_VALUE"""),45071.0)</f>
        <v>45071</v>
      </c>
      <c r="B2382" s="16" t="str">
        <f>IFERROR(__xludf.DUMMYFUNCTION("""COMPUTED_VALUE"""),"Envia")</f>
        <v>Envia</v>
      </c>
      <c r="C2382" s="15" t="str">
        <f>IFERROR(__xludf.DUMMYFUNCTION("""COMPUTED_VALUE"""),"MONTERIA")</f>
        <v>MONTERIA</v>
      </c>
      <c r="D2382" s="15" t="str">
        <f>IFERROR(__xludf.DUMMYFUNCTION("""COMPUTED_VALUE"""),"MEDELLÍN")</f>
        <v>MEDELLÍN</v>
      </c>
      <c r="E2382" s="15" t="str">
        <f>IFERROR(__xludf.DUMMYFUNCTION("""COMPUTED_VALUE"""),"Rambla")</f>
        <v>Rambla</v>
      </c>
      <c r="F2382" s="17" t="str">
        <f>IFERROR(__xludf.DUMMYFUNCTION("""COMPUTED_VALUE"""),"calle 62  #6 45lc  2 barrio los alcazares cr7 / na / na")</f>
        <v>calle 62  #6 45lc  2 barrio los alcazares cr7 / na / na</v>
      </c>
      <c r="G2382" s="15" t="str">
        <f>IFERROR(__xludf.DUMMYFUNCTION("""COMPUTED_VALUE"""),"restaurante felli-Carolina Mejia Martinez")</f>
        <v>restaurante felli-Carolina Mejia Martinez</v>
      </c>
      <c r="H2382" s="16">
        <f>IFERROR(__xludf.DUMMYFUNCTION("""COMPUTED_VALUE"""),11010.0)</f>
        <v>11010</v>
      </c>
      <c r="I2382" s="18">
        <f>IFERROR(__xludf.DUMMYFUNCTION("""COMPUTED_VALUE"""),32.0)</f>
        <v>32</v>
      </c>
      <c r="J2382" s="18">
        <f>IFERROR(__xludf.DUMMYFUNCTION("""COMPUTED_VALUE"""),25.0)</f>
        <v>25</v>
      </c>
      <c r="K2382" s="18">
        <f>IFERROR(__xludf.DUMMYFUNCTION("""COMPUTED_VALUE"""),23.0)</f>
        <v>23</v>
      </c>
      <c r="L2382" s="17">
        <f>IFERROR(__xludf.DUMMYFUNCTION("""COMPUTED_VALUE"""),6.027894758E9)</f>
        <v>6027894758</v>
      </c>
      <c r="M2382" s="17" t="str">
        <f>IFERROR(__xludf.DUMMYFUNCTION("""COMPUTED_VALUE"""),"#REF!")</f>
        <v>#REF!</v>
      </c>
      <c r="N2382" s="17"/>
      <c r="O2382" s="17"/>
      <c r="P2382" s="17" t="b">
        <f>IFERROR(__xludf.DUMMYFUNCTION("""COMPUTED_VALUE"""),TRUE)</f>
        <v>1</v>
      </c>
      <c r="Q2382" s="20">
        <f>IFERROR(__xludf.DUMMYFUNCTION("""COMPUTED_VALUE"""),45071.50275039352)</f>
        <v>45071.50275</v>
      </c>
      <c r="R2382" s="21" t="str">
        <f>IFERROR(__xludf.DUMMYFUNCTION("""COMPUTED_VALUE"""),"https://drive.google.com/file/d/1VnygREfPEwGm0Gl3mgdNC_TWXi_9Vkx0/view?usp=drivesdk")</f>
        <v>https://drive.google.com/file/d/1VnygREfPEwGm0Gl3mgdNC_TWXi_9Vkx0/view?usp=drivesdk</v>
      </c>
    </row>
    <row r="2383">
      <c r="A2383" s="15">
        <f>IFERROR(__xludf.DUMMYFUNCTION("""COMPUTED_VALUE"""),45071.0)</f>
        <v>45071</v>
      </c>
      <c r="B2383" s="16" t="str">
        <f>IFERROR(__xludf.DUMMYFUNCTION("""COMPUTED_VALUE"""),"Envia")</f>
        <v>Envia</v>
      </c>
      <c r="C2383" s="15" t="str">
        <f>IFERROR(__xludf.DUMMYFUNCTION("""COMPUTED_VALUE"""),"NEIVA")</f>
        <v>NEIVA</v>
      </c>
      <c r="D2383" s="15" t="str">
        <f>IFERROR(__xludf.DUMMYFUNCTION("""COMPUTED_VALUE"""),"BOGOTÁ")</f>
        <v>BOGOTÁ</v>
      </c>
      <c r="E2383" s="15" t="str">
        <f>IFERROR(__xludf.DUMMYFUNCTION("""COMPUTED_VALUE"""),"Asociacion Agropecuaria Juana Maria")</f>
        <v>Asociacion Agropecuaria Juana Maria</v>
      </c>
      <c r="F2383" s="17" t="str">
        <f>IFERROR(__xludf.DUMMYFUNCTION("""COMPUTED_VALUE"""),"CARRERA 46 #17-13 CONDOMINIO ALTAVISTA CASA 31")</f>
        <v>CARRERA 46 #17-13 CONDOMINIO ALTAVISTA CASA 31</v>
      </c>
      <c r="G2383" s="15" t="str">
        <f>IFERROR(__xludf.DUMMYFUNCTION("""COMPUTED_VALUE"""),"JENNIFFER FERNANDEZ")</f>
        <v>JENNIFFER FERNANDEZ</v>
      </c>
      <c r="H2383" s="16">
        <f>IFERROR(__xludf.DUMMYFUNCTION("""COMPUTED_VALUE"""),10900.0)</f>
        <v>10900</v>
      </c>
      <c r="I2383" s="18">
        <f>IFERROR(__xludf.DUMMYFUNCTION("""COMPUTED_VALUE"""),21.0)</f>
        <v>21</v>
      </c>
      <c r="J2383" s="18">
        <f>IFERROR(__xludf.DUMMYFUNCTION("""COMPUTED_VALUE"""),37.0)</f>
        <v>37</v>
      </c>
      <c r="K2383" s="18">
        <f>IFERROR(__xludf.DUMMYFUNCTION("""COMPUTED_VALUE"""),30.0)</f>
        <v>30</v>
      </c>
      <c r="L2383" s="17">
        <f>IFERROR(__xludf.DUMMYFUNCTION("""COMPUTED_VALUE"""),3.167942612E9)</f>
        <v>3167942612</v>
      </c>
      <c r="M2383" s="17" t="str">
        <f>IFERROR(__xludf.DUMMYFUNCTION("""COMPUTED_VALUE"""),"#REF!")</f>
        <v>#REF!</v>
      </c>
      <c r="N2383" s="17"/>
      <c r="O2383" s="17"/>
      <c r="P2383" s="17" t="b">
        <f>IFERROR(__xludf.DUMMYFUNCTION("""COMPUTED_VALUE"""),FALSE)</f>
        <v>0</v>
      </c>
      <c r="Q2383" s="20" t="str">
        <f>IFERROR(__xludf.DUMMYFUNCTION("""COMPUTED_VALUE"""),"")</f>
        <v/>
      </c>
      <c r="R2383" s="21" t="str">
        <f>IFERROR(__xludf.DUMMYFUNCTION("""COMPUTED_VALUE"""),"https://drive.google.com/file/d/1kN_x9ClBWkbXgk0_xschVLH8kQVo2l-6/view?usp=drivesdk")</f>
        <v>https://drive.google.com/file/d/1kN_x9ClBWkbXgk0_xschVLH8kQVo2l-6/view?usp=drivesdk</v>
      </c>
    </row>
    <row r="2384">
      <c r="A2384" s="15">
        <f>IFERROR(__xludf.DUMMYFUNCTION("""COMPUTED_VALUE"""),45071.0)</f>
        <v>45071</v>
      </c>
      <c r="B2384" s="16" t="str">
        <f>IFERROR(__xludf.DUMMYFUNCTION("""COMPUTED_VALUE"""),"Envia")</f>
        <v>Envia</v>
      </c>
      <c r="C2384" s="15" t="str">
        <f>IFERROR(__xludf.DUMMYFUNCTION("""COMPUTED_VALUE"""),"VILLAVICENCIO")</f>
        <v>VILLAVICENCIO</v>
      </c>
      <c r="D2384" s="15" t="str">
        <f>IFERROR(__xludf.DUMMYFUNCTION("""COMPUTED_VALUE"""),"MEDELLÍN")</f>
        <v>MEDELLÍN</v>
      </c>
      <c r="E2384" s="15" t="str">
        <f>IFERROR(__xludf.DUMMYFUNCTION("""COMPUTED_VALUE"""),"AREPAS LA MARY")</f>
        <v>AREPAS LA MARY</v>
      </c>
      <c r="F2384" s="17" t="str">
        <f>IFERROR(__xludf.DUMMYFUNCTION("""COMPUTED_VALUE"""),"CALLE 27 N 44-04 / LOCAL 5")</f>
        <v>CALLE 27 N 44-04 / LOCAL 5</v>
      </c>
      <c r="G2384" s="15" t="str">
        <f>IFERROR(__xludf.DUMMYFUNCTION("""COMPUTED_VALUE"""),"MORINGA")</f>
        <v>MORINGA</v>
      </c>
      <c r="H2384" s="16">
        <f>IFERROR(__xludf.DUMMYFUNCTION("""COMPUTED_VALUE"""),10924.0)</f>
        <v>10924</v>
      </c>
      <c r="I2384" s="18">
        <f>IFERROR(__xludf.DUMMYFUNCTION("""COMPUTED_VALUE"""),89.0)</f>
        <v>89</v>
      </c>
      <c r="J2384" s="18">
        <f>IFERROR(__xludf.DUMMYFUNCTION("""COMPUTED_VALUE"""),1.0)</f>
        <v>1</v>
      </c>
      <c r="K2384" s="18">
        <f>IFERROR(__xludf.DUMMYFUNCTION("""COMPUTED_VALUE"""),10.0)</f>
        <v>10</v>
      </c>
      <c r="L2384" s="17">
        <f>IFERROR(__xludf.DUMMYFUNCTION("""COMPUTED_VALUE"""),3.124540005E9)</f>
        <v>3124540005</v>
      </c>
      <c r="M2384" s="17" t="str">
        <f>IFERROR(__xludf.DUMMYFUNCTION("""COMPUTED_VALUE"""),"#REF!")</f>
        <v>#REF!</v>
      </c>
      <c r="N2384" s="17"/>
      <c r="O2384" s="17"/>
      <c r="P2384" s="17" t="b">
        <f>IFERROR(__xludf.DUMMYFUNCTION("""COMPUTED_VALUE"""),FALSE)</f>
        <v>0</v>
      </c>
      <c r="Q2384" s="20" t="str">
        <f>IFERROR(__xludf.DUMMYFUNCTION("""COMPUTED_VALUE"""),"")</f>
        <v/>
      </c>
      <c r="R2384" s="21" t="str">
        <f>IFERROR(__xludf.DUMMYFUNCTION("""COMPUTED_VALUE"""),"https://drive.google.com/file/d/1JgSYn6omh6zkUg1b5BKAoQxcdRCZdVVK/view?usp=drivesdk")</f>
        <v>https://drive.google.com/file/d/1JgSYn6omh6zkUg1b5BKAoQxcdRCZdVVK/view?usp=drivesdk</v>
      </c>
    </row>
    <row r="2385">
      <c r="A2385" s="15">
        <f>IFERROR(__xludf.DUMMYFUNCTION("""COMPUTED_VALUE"""),45071.0)</f>
        <v>45071</v>
      </c>
      <c r="B2385" s="16" t="str">
        <f>IFERROR(__xludf.DUMMYFUNCTION("""COMPUTED_VALUE"""),"Envia")</f>
        <v>Envia</v>
      </c>
      <c r="C2385" s="15" t="str">
        <f>IFERROR(__xludf.DUMMYFUNCTION("""COMPUTED_VALUE"""),"VILLAVICENCIO")</f>
        <v>VILLAVICENCIO</v>
      </c>
      <c r="D2385" s="15" t="str">
        <f>IFERROR(__xludf.DUMMYFUNCTION("""COMPUTED_VALUE"""),"MEDELLÍN")</f>
        <v>MEDELLÍN</v>
      </c>
      <c r="E2385" s="15" t="str">
        <f>IFERROR(__xludf.DUMMYFUNCTION("""COMPUTED_VALUE"""),"Baby Chef")</f>
        <v>Baby Chef</v>
      </c>
      <c r="F2385" s="17" t="str">
        <f>IFERROR(__xludf.DUMMYFUNCTION("""COMPUTED_VALUE"""),"Prados de Mavicure Manzana H12 casa 9A / Prados de Mavicure Manzana H12 casa 9A / Prados de Mavicure Manzana H12 casa 9A")</f>
        <v>Prados de Mavicure Manzana H12 casa 9A / Prados de Mavicure Manzana H12 casa 9A / Prados de Mavicure Manzana H12 casa 9A</v>
      </c>
      <c r="G2385" s="15" t="str">
        <f>IFERROR(__xludf.DUMMYFUNCTION("""COMPUTED_VALUE"""),"Liseth Paola Castillo Ortíz")</f>
        <v>Liseth Paola Castillo Ortíz</v>
      </c>
      <c r="H2385" s="16">
        <f>IFERROR(__xludf.DUMMYFUNCTION("""COMPUTED_VALUE"""),10956.0)</f>
        <v>10956</v>
      </c>
      <c r="I2385" s="18">
        <f>IFERROR(__xludf.DUMMYFUNCTION("""COMPUTED_VALUE"""),8.0)</f>
        <v>8</v>
      </c>
      <c r="J2385" s="18">
        <f>IFERROR(__xludf.DUMMYFUNCTION("""COMPUTED_VALUE"""),16.0)</f>
        <v>16</v>
      </c>
      <c r="K2385" s="18">
        <f>IFERROR(__xludf.DUMMYFUNCTION("""COMPUTED_VALUE"""),20.0)</f>
        <v>20</v>
      </c>
      <c r="L2385" s="17">
        <f>IFERROR(__xludf.DUMMYFUNCTION("""COMPUTED_VALUE"""),3.208533656E9)</f>
        <v>3208533656</v>
      </c>
      <c r="M2385" s="17" t="str">
        <f>IFERROR(__xludf.DUMMYFUNCTION("""COMPUTED_VALUE"""),"#REF!")</f>
        <v>#REF!</v>
      </c>
      <c r="N2385" s="17"/>
      <c r="O2385" s="17"/>
      <c r="P2385" s="17" t="b">
        <f>IFERROR(__xludf.DUMMYFUNCTION("""COMPUTED_VALUE"""),FALSE)</f>
        <v>0</v>
      </c>
      <c r="Q2385" s="20" t="str">
        <f>IFERROR(__xludf.DUMMYFUNCTION("""COMPUTED_VALUE"""),"")</f>
        <v/>
      </c>
      <c r="R2385" s="21" t="str">
        <f>IFERROR(__xludf.DUMMYFUNCTION("""COMPUTED_VALUE"""),"https://drive.google.com/file/d/1sVdsd_mQZVSER25BSn4e54IMk36KN_oU/view?usp=drivesdk")</f>
        <v>https://drive.google.com/file/d/1sVdsd_mQZVSER25BSn4e54IMk36KN_oU/view?usp=drivesdk</v>
      </c>
    </row>
    <row r="2386">
      <c r="A2386" s="17" t="str">
        <f>IFERROR(__xludf.DUMMYFUNCTION("""COMPUTED_VALUE"""),"")</f>
        <v/>
      </c>
      <c r="B2386" s="17" t="str">
        <f>IFERROR(__xludf.DUMMYFUNCTION("""COMPUTED_VALUE"""),"")</f>
        <v/>
      </c>
      <c r="C2386" s="17" t="str">
        <f>IFERROR(__xludf.DUMMYFUNCTION("""COMPUTED_VALUE"""),"")</f>
        <v/>
      </c>
      <c r="D2386" s="17" t="str">
        <f>IFERROR(__xludf.DUMMYFUNCTION("""COMPUTED_VALUE"""),"")</f>
        <v/>
      </c>
      <c r="E2386" s="17" t="str">
        <f>IFERROR(__xludf.DUMMYFUNCTION("""COMPUTED_VALUE"""),"")</f>
        <v/>
      </c>
      <c r="F2386" s="17" t="str">
        <f>IFERROR(__xludf.DUMMYFUNCTION("""COMPUTED_VALUE"""),"")</f>
        <v/>
      </c>
      <c r="G2386" s="17" t="str">
        <f>IFERROR(__xludf.DUMMYFUNCTION("""COMPUTED_VALUE"""),"")</f>
        <v/>
      </c>
      <c r="H2386" s="17" t="str">
        <f>IFERROR(__xludf.DUMMYFUNCTION("""COMPUTED_VALUE"""),"")</f>
        <v/>
      </c>
      <c r="I2386" s="17" t="str">
        <f>IFERROR(__xludf.DUMMYFUNCTION("""COMPUTED_VALUE"""),"")</f>
        <v/>
      </c>
      <c r="J2386" s="17" t="str">
        <f>IFERROR(__xludf.DUMMYFUNCTION("""COMPUTED_VALUE"""),"")</f>
        <v/>
      </c>
      <c r="K2386" s="17" t="str">
        <f>IFERROR(__xludf.DUMMYFUNCTION("""COMPUTED_VALUE"""),"")</f>
        <v/>
      </c>
      <c r="L2386" s="17" t="str">
        <f>IFERROR(__xludf.DUMMYFUNCTION("""COMPUTED_VALUE"""),"")</f>
        <v/>
      </c>
      <c r="M2386" s="17" t="str">
        <f>IFERROR(__xludf.DUMMYFUNCTION("""COMPUTED_VALUE"""),"")</f>
        <v/>
      </c>
      <c r="N2386" s="17" t="str">
        <f>IFERROR(__xludf.DUMMYFUNCTION("""COMPUTED_VALUE"""),"")</f>
        <v/>
      </c>
      <c r="O2386" s="17" t="str">
        <f>IFERROR(__xludf.DUMMYFUNCTION("""COMPUTED_VALUE"""),"")</f>
        <v/>
      </c>
      <c r="P2386" s="17" t="str">
        <f>IFERROR(__xludf.DUMMYFUNCTION("""COMPUTED_VALUE"""),"")</f>
        <v/>
      </c>
      <c r="Q2386" s="17" t="str">
        <f>IFERROR(__xludf.DUMMYFUNCTION("""COMPUTED_VALUE"""),"")</f>
        <v/>
      </c>
      <c r="R2386" s="17" t="str">
        <f>IFERROR(__xludf.DUMMYFUNCTION("""COMPUTED_VALUE"""),"")</f>
        <v/>
      </c>
    </row>
    <row r="2387">
      <c r="A2387" s="15">
        <f>IFERROR(__xludf.DUMMYFUNCTION("""COMPUTED_VALUE"""),45071.0)</f>
        <v>45071</v>
      </c>
      <c r="B2387" s="16" t="str">
        <f>IFERROR(__xludf.DUMMYFUNCTION("""COMPUTED_VALUE"""),"Johan Alexander Escobar Arroyo ")</f>
        <v>Johan Alexander Escobar Arroyo </v>
      </c>
      <c r="C2387" s="15" t="str">
        <f>IFERROR(__xludf.DUMMYFUNCTION("""COMPUTED_VALUE"""),"CALI")</f>
        <v>CALI</v>
      </c>
      <c r="D2387" s="15" t="str">
        <f>IFERROR(__xludf.DUMMYFUNCTION("""COMPUTED_VALUE"""),"MEDELLÍN")</f>
        <v>MEDELLÍN</v>
      </c>
      <c r="E2387" s="15" t="str">
        <f>IFERROR(__xludf.DUMMYFUNCTION("""COMPUTED_VALUE"""),"AREPAS LA MARY")</f>
        <v>AREPAS LA MARY</v>
      </c>
      <c r="F2387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2387" s="15" t="str">
        <f>IFERROR(__xludf.DUMMYFUNCTION("""COMPUTED_VALUE"""),"VITALFINESS CALI")</f>
        <v>VITALFINESS CALI</v>
      </c>
      <c r="H2387" s="16">
        <f>IFERROR(__xludf.DUMMYFUNCTION("""COMPUTED_VALUE"""),10988.0)</f>
        <v>10988</v>
      </c>
      <c r="I2387" s="18">
        <f>IFERROR(__xludf.DUMMYFUNCTION("""COMPUTED_VALUE"""),89.0)</f>
        <v>89</v>
      </c>
      <c r="J2387" s="18">
        <f>IFERROR(__xludf.DUMMYFUNCTION("""COMPUTED_VALUE"""),1.0)</f>
        <v>1</v>
      </c>
      <c r="K2387" s="18">
        <f>IFERROR(__xludf.DUMMYFUNCTION("""COMPUTED_VALUE"""),10.0)</f>
        <v>10</v>
      </c>
      <c r="L2387" s="17">
        <f>IFERROR(__xludf.DUMMYFUNCTION("""COMPUTED_VALUE"""),3.226925759E9)</f>
        <v>3226925759</v>
      </c>
      <c r="M2387" s="17" t="str">
        <f>IFERROR(__xludf.DUMMYFUNCTION("""COMPUTED_VALUE"""),"#REF!")</f>
        <v>#REF!</v>
      </c>
      <c r="N2387" s="17"/>
      <c r="O2387" s="17"/>
      <c r="P2387" s="17" t="b">
        <f>IFERROR(__xludf.DUMMYFUNCTION("""COMPUTED_VALUE"""),FALSE)</f>
        <v>0</v>
      </c>
      <c r="Q2387" s="20" t="str">
        <f>IFERROR(__xludf.DUMMYFUNCTION("""COMPUTED_VALUE"""),"")</f>
        <v/>
      </c>
      <c r="R2387" s="22" t="str">
        <f>IFERROR(__xludf.DUMMYFUNCTION("""COMPUTED_VALUE"""),"")</f>
        <v/>
      </c>
    </row>
    <row r="2388">
      <c r="A2388" s="15">
        <f>IFERROR(__xludf.DUMMYFUNCTION("""COMPUTED_VALUE"""),45071.0)</f>
        <v>45071</v>
      </c>
      <c r="B2388" s="16" t="str">
        <f>IFERROR(__xludf.DUMMYFUNCTION("""COMPUTED_VALUE"""),"Johan Alexander Escobar Arroyo ")</f>
        <v>Johan Alexander Escobar Arroyo </v>
      </c>
      <c r="C2388" s="15" t="str">
        <f>IFERROR(__xludf.DUMMYFUNCTION("""COMPUTED_VALUE"""),"CALI")</f>
        <v>CALI</v>
      </c>
      <c r="D2388" s="15" t="str">
        <f>IFERROR(__xludf.DUMMYFUNCTION("""COMPUTED_VALUE"""),"MEDELLÍN")</f>
        <v>MEDELLÍN</v>
      </c>
      <c r="E2388" s="15" t="str">
        <f>IFERROR(__xludf.DUMMYFUNCTION("""COMPUTED_VALUE"""),"AREPAS LA MARY")</f>
        <v>AREPAS LA MARY</v>
      </c>
      <c r="F2388" s="17" t="str">
        <f>IFERROR(__xludf.DUMMYFUNCTION("""COMPUTED_VALUE"""),"CALLE 3 OESTE #3A 18")</f>
        <v>CALLE 3 OESTE #3A 18</v>
      </c>
      <c r="G2388" s="15" t="str">
        <f>IFERROR(__xludf.DUMMYFUNCTION("""COMPUTED_VALUE"""),"SWEET MAMA")</f>
        <v>SWEET MAMA</v>
      </c>
      <c r="H2388" s="16">
        <f>IFERROR(__xludf.DUMMYFUNCTION("""COMPUTED_VALUE"""),10989.0)</f>
        <v>10989</v>
      </c>
      <c r="I2388" s="18">
        <f>IFERROR(__xludf.DUMMYFUNCTION("""COMPUTED_VALUE"""),89.0)</f>
        <v>89</v>
      </c>
      <c r="J2388" s="18">
        <f>IFERROR(__xludf.DUMMYFUNCTION("""COMPUTED_VALUE"""),1.0)</f>
        <v>1</v>
      </c>
      <c r="K2388" s="18">
        <f>IFERROR(__xludf.DUMMYFUNCTION("""COMPUTED_VALUE"""),10.0)</f>
        <v>10</v>
      </c>
      <c r="L2388" s="17">
        <f>IFERROR(__xludf.DUMMYFUNCTION("""COMPUTED_VALUE"""),3.162672147E9)</f>
        <v>3162672147</v>
      </c>
      <c r="M2388" s="17" t="str">
        <f>IFERROR(__xludf.DUMMYFUNCTION("""COMPUTED_VALUE"""),"#REF!")</f>
        <v>#REF!</v>
      </c>
      <c r="N2388" s="17"/>
      <c r="O2388" s="17"/>
      <c r="P2388" s="17" t="b">
        <f>IFERROR(__xludf.DUMMYFUNCTION("""COMPUTED_VALUE"""),FALSE)</f>
        <v>0</v>
      </c>
      <c r="Q2388" s="20" t="str">
        <f>IFERROR(__xludf.DUMMYFUNCTION("""COMPUTED_VALUE"""),"")</f>
        <v/>
      </c>
      <c r="R2388" s="21" t="str">
        <f>IFERROR(__xludf.DUMMYFUNCTION("""COMPUTED_VALUE"""),"https://drive.google.com/file/d/1wkwTVBQjzvqY52YhFHx9L5JLXwS20WiP/view?usp=drivesdk")</f>
        <v>https://drive.google.com/file/d/1wkwTVBQjzvqY52YhFHx9L5JLXwS20WiP/view?usp=drivesdk</v>
      </c>
    </row>
    <row r="2389">
      <c r="A2389" s="15">
        <f>IFERROR(__xludf.DUMMYFUNCTION("""COMPUTED_VALUE"""),45071.0)</f>
        <v>45071</v>
      </c>
      <c r="B2389" s="16" t="str">
        <f>IFERROR(__xludf.DUMMYFUNCTION("""COMPUTED_VALUE"""),"Johan Alexander Escobar Arroyo ")</f>
        <v>Johan Alexander Escobar Arroyo </v>
      </c>
      <c r="C2389" s="15" t="str">
        <f>IFERROR(__xludf.DUMMYFUNCTION("""COMPUTED_VALUE"""),"CALI")</f>
        <v>CALI</v>
      </c>
      <c r="D2389" s="15" t="str">
        <f>IFERROR(__xludf.DUMMYFUNCTION("""COMPUTED_VALUE"""),"MEDELLÍN")</f>
        <v>MEDELLÍN</v>
      </c>
      <c r="E2389" s="15" t="str">
        <f>IFERROR(__xludf.DUMMYFUNCTION("""COMPUTED_VALUE"""),"Baby Chef")</f>
        <v>Baby Chef</v>
      </c>
      <c r="F2389" s="17" t="str">
        <f>IFERROR(__xludf.DUMMYFUNCTION("""COMPUTED_VALUE"""),"Avenida 3 norte 37 n 26 Porvenir de la Flora Apto 404B / Avenida 3 norte 37 n 26 Porvenir de la Flora Apto 404B / Avenida 3 norte 37 n 26 Porvenir de la Flora Apto 404B")</f>
        <v>Avenida 3 norte 37 n 26 Porvenir de la Flora Apto 404B / Avenida 3 norte 37 n 26 Porvenir de la Flora Apto 404B / Avenida 3 norte 37 n 26 Porvenir de la Flora Apto 404B</v>
      </c>
      <c r="G2389" s="15" t="str">
        <f>IFERROR(__xludf.DUMMYFUNCTION("""COMPUTED_VALUE"""),"Lina Rincón")</f>
        <v>Lina Rincón</v>
      </c>
      <c r="H2389" s="16">
        <f>IFERROR(__xludf.DUMMYFUNCTION("""COMPUTED_VALUE"""),11003.0)</f>
        <v>11003</v>
      </c>
      <c r="I2389" s="18">
        <f>IFERROR(__xludf.DUMMYFUNCTION("""COMPUTED_VALUE"""),8.0)</f>
        <v>8</v>
      </c>
      <c r="J2389" s="18">
        <f>IFERROR(__xludf.DUMMYFUNCTION("""COMPUTED_VALUE"""),16.0)</f>
        <v>16</v>
      </c>
      <c r="K2389" s="18">
        <f>IFERROR(__xludf.DUMMYFUNCTION("""COMPUTED_VALUE"""),20.0)</f>
        <v>20</v>
      </c>
      <c r="L2389" s="17">
        <f>IFERROR(__xludf.DUMMYFUNCTION("""COMPUTED_VALUE"""),3.147399711E9)</f>
        <v>3147399711</v>
      </c>
      <c r="M2389" s="17" t="str">
        <f>IFERROR(__xludf.DUMMYFUNCTION("""COMPUTED_VALUE"""),"#REF!")</f>
        <v>#REF!</v>
      </c>
      <c r="N2389" s="17"/>
      <c r="O2389" s="17"/>
      <c r="P2389" s="17" t="b">
        <f>IFERROR(__xludf.DUMMYFUNCTION("""COMPUTED_VALUE"""),FALSE)</f>
        <v>0</v>
      </c>
      <c r="Q2389" s="20" t="str">
        <f>IFERROR(__xludf.DUMMYFUNCTION("""COMPUTED_VALUE"""),"")</f>
        <v/>
      </c>
      <c r="R2389" s="21" t="str">
        <f>IFERROR(__xludf.DUMMYFUNCTION("""COMPUTED_VALUE"""),"https://drive.google.com/file/d/1J_drpz79NszL7gQVdu5Bi3E0MwpKN1MP/view?usp=drivesdk")</f>
        <v>https://drive.google.com/file/d/1J_drpz79NszL7gQVdu5Bi3E0MwpKN1MP/view?usp=drivesdk</v>
      </c>
    </row>
    <row r="2390">
      <c r="A2390" s="15">
        <f>IFERROR(__xludf.DUMMYFUNCTION("""COMPUTED_VALUE"""),45071.0)</f>
        <v>45071</v>
      </c>
      <c r="B2390" s="16" t="str">
        <f>IFERROR(__xludf.DUMMYFUNCTION("""COMPUTED_VALUE"""),"Johan Alexander Escobar Arroyo ")</f>
        <v>Johan Alexander Escobar Arroyo </v>
      </c>
      <c r="C2390" s="15" t="str">
        <f>IFERROR(__xludf.DUMMYFUNCTION("""COMPUTED_VALUE"""),"CALI")</f>
        <v>CALI</v>
      </c>
      <c r="D2390" s="15" t="str">
        <f>IFERROR(__xludf.DUMMYFUNCTION("""COMPUTED_VALUE"""),"MEDELLÍN")</f>
        <v>MEDELLÍN</v>
      </c>
      <c r="E2390" s="15" t="str">
        <f>IFERROR(__xludf.DUMMYFUNCTION("""COMPUTED_VALUE"""),"Baby Chef")</f>
        <v>Baby Chef</v>
      </c>
      <c r="F2390" s="17" t="str">
        <f>IFERROR(__xludf.DUMMYFUNCTION("""COMPUTED_VALUE"""),"Calle 4 # 27 - 99 Apto 301 Edificio Marianitas / Calle 4 # 27 - 99 Apto 301 Edificio Marianitas / Calle 4 # 27 - 99 Apto 301 Edificio Marianitas")</f>
        <v>Calle 4 # 27 - 99 Apto 301 Edificio Marianitas / Calle 4 # 27 - 99 Apto 301 Edificio Marianitas / Calle 4 # 27 - 99 Apto 301 Edificio Marianitas</v>
      </c>
      <c r="G2390" s="15" t="str">
        <f>IFERROR(__xludf.DUMMYFUNCTION("""COMPUTED_VALUE"""),"Maria Parody")</f>
        <v>Maria Parody</v>
      </c>
      <c r="H2390" s="16">
        <f>IFERROR(__xludf.DUMMYFUNCTION("""COMPUTED_VALUE"""),11006.0)</f>
        <v>11006</v>
      </c>
      <c r="I2390" s="18">
        <f>IFERROR(__xludf.DUMMYFUNCTION("""COMPUTED_VALUE"""),8.0)</f>
        <v>8</v>
      </c>
      <c r="J2390" s="18">
        <f>IFERROR(__xludf.DUMMYFUNCTION("""COMPUTED_VALUE"""),16.0)</f>
        <v>16</v>
      </c>
      <c r="K2390" s="18">
        <f>IFERROR(__xludf.DUMMYFUNCTION("""COMPUTED_VALUE"""),20.0)</f>
        <v>20</v>
      </c>
      <c r="L2390" s="17">
        <f>IFERROR(__xludf.DUMMYFUNCTION("""COMPUTED_VALUE"""),3.043699762E9)</f>
        <v>3043699762</v>
      </c>
      <c r="M2390" s="17" t="str">
        <f>IFERROR(__xludf.DUMMYFUNCTION("""COMPUTED_VALUE"""),"#REF!")</f>
        <v>#REF!</v>
      </c>
      <c r="N2390" s="17"/>
      <c r="O2390" s="17"/>
      <c r="P2390" s="17" t="b">
        <f>IFERROR(__xludf.DUMMYFUNCTION("""COMPUTED_VALUE"""),FALSE)</f>
        <v>0</v>
      </c>
      <c r="Q2390" s="20" t="str">
        <f>IFERROR(__xludf.DUMMYFUNCTION("""COMPUTED_VALUE"""),"")</f>
        <v/>
      </c>
      <c r="R2390" s="21" t="str">
        <f>IFERROR(__xludf.DUMMYFUNCTION("""COMPUTED_VALUE"""),"https://drive.google.com/file/d/1HBVc88RacaAegG06gID8AC_5C5tVYOdY/view?usp=drivesdk")</f>
        <v>https://drive.google.com/file/d/1HBVc88RacaAegG06gID8AC_5C5tVYOdY/view?usp=drivesdk</v>
      </c>
    </row>
    <row r="2391">
      <c r="A2391" s="15">
        <f>IFERROR(__xludf.DUMMYFUNCTION("""COMPUTED_VALUE"""),45071.0)</f>
        <v>45071</v>
      </c>
      <c r="B2391" s="16" t="str">
        <f>IFERROR(__xludf.DUMMYFUNCTION("""COMPUTED_VALUE"""),"Johan Alexander Escobar Arroyo ")</f>
        <v>Johan Alexander Escobar Arroyo </v>
      </c>
      <c r="C2391" s="15" t="str">
        <f>IFERROR(__xludf.DUMMYFUNCTION("""COMPUTED_VALUE"""),"CALI")</f>
        <v>CALI</v>
      </c>
      <c r="D2391" s="15" t="str">
        <f>IFERROR(__xludf.DUMMYFUNCTION("""COMPUTED_VALUE"""),"MEDELLÍN")</f>
        <v>MEDELLÍN</v>
      </c>
      <c r="E2391" s="15" t="str">
        <f>IFERROR(__xludf.DUMMYFUNCTION("""COMPUTED_VALUE"""),"Baby Chef")</f>
        <v>Baby Chef</v>
      </c>
      <c r="F2391" s="17" t="str">
        <f>IFERROR(__xludf.DUMMYFUNCTION("""COMPUTED_VALUE"""),"Calle 40 # 4 B 57 Casa piso 1 / Calle 40 # 4 B 57 Casa piso 1 / Calle 40 # 4 B 57 Casa piso 1")</f>
        <v>Calle 40 # 4 B 57 Casa piso 1 / Calle 40 # 4 B 57 Casa piso 1 / Calle 40 # 4 B 57 Casa piso 1</v>
      </c>
      <c r="G2391" s="15" t="str">
        <f>IFERROR(__xludf.DUMMYFUNCTION("""COMPUTED_VALUE"""),"María Gómez")</f>
        <v>María Gómez</v>
      </c>
      <c r="H2391" s="16">
        <f>IFERROR(__xludf.DUMMYFUNCTION("""COMPUTED_VALUE"""),11008.0)</f>
        <v>11008</v>
      </c>
      <c r="I2391" s="18">
        <f>IFERROR(__xludf.DUMMYFUNCTION("""COMPUTED_VALUE"""),8.0)</f>
        <v>8</v>
      </c>
      <c r="J2391" s="18">
        <f>IFERROR(__xludf.DUMMYFUNCTION("""COMPUTED_VALUE"""),16.0)</f>
        <v>16</v>
      </c>
      <c r="K2391" s="18">
        <f>IFERROR(__xludf.DUMMYFUNCTION("""COMPUTED_VALUE"""),20.0)</f>
        <v>20</v>
      </c>
      <c r="L2391" s="17">
        <f>IFERROR(__xludf.DUMMYFUNCTION("""COMPUTED_VALUE"""),3.152519365E9)</f>
        <v>3152519365</v>
      </c>
      <c r="M2391" s="17" t="str">
        <f>IFERROR(__xludf.DUMMYFUNCTION("""COMPUTED_VALUE"""),"#REF!")</f>
        <v>#REF!</v>
      </c>
      <c r="N2391" s="17"/>
      <c r="O2391" s="17"/>
      <c r="P2391" s="17" t="b">
        <f>IFERROR(__xludf.DUMMYFUNCTION("""COMPUTED_VALUE"""),FALSE)</f>
        <v>0</v>
      </c>
      <c r="Q2391" s="20" t="str">
        <f>IFERROR(__xludf.DUMMYFUNCTION("""COMPUTED_VALUE"""),"")</f>
        <v/>
      </c>
      <c r="R2391" s="21" t="str">
        <f>IFERROR(__xludf.DUMMYFUNCTION("""COMPUTED_VALUE"""),"https://drive.google.com/file/d/1JZ2CQh0ns1Ivfbs--2z-DNb9MnZgHy7O/view?usp=drivesdk")</f>
        <v>https://drive.google.com/file/d/1JZ2CQh0ns1Ivfbs--2z-DNb9MnZgHy7O/view?usp=drivesdk</v>
      </c>
    </row>
    <row r="2392">
      <c r="A2392" s="15">
        <f>IFERROR(__xludf.DUMMYFUNCTION("""COMPUTED_VALUE"""),45071.0)</f>
        <v>45071</v>
      </c>
      <c r="B2392" s="16" t="str">
        <f>IFERROR(__xludf.DUMMYFUNCTION("""COMPUTED_VALUE"""),"Johan Alexander Escobar Arroyo ")</f>
        <v>Johan Alexander Escobar Arroyo </v>
      </c>
      <c r="C2392" s="15" t="str">
        <f>IFERROR(__xludf.DUMMYFUNCTION("""COMPUTED_VALUE"""),"CALI")</f>
        <v>CALI</v>
      </c>
      <c r="D2392" s="15" t="str">
        <f>IFERROR(__xludf.DUMMYFUNCTION("""COMPUTED_VALUE"""),"MEDELLÍN")</f>
        <v>MEDELLÍN</v>
      </c>
      <c r="E2392" s="15" t="str">
        <f>IFERROR(__xludf.DUMMYFUNCTION("""COMPUTED_VALUE"""),"Baby Chef")</f>
        <v>Baby Chef</v>
      </c>
      <c r="F2392" s="17" t="str">
        <f>IFERROR(__xludf.DUMMYFUNCTION("""COMPUTED_VALUE"""),"Calle 6a # 80 - 160 Valle de la Ferreira 6 Apto 115 / Calle 6a # 80 - 160 Valle de la Ferreira 6 Apto 115 / Calle 6a # 80 - 160 Valle de la Ferreira 6 Apto 115")</f>
        <v>Calle 6a # 80 - 160 Valle de la Ferreira 6 Apto 115 / Calle 6a # 80 - 160 Valle de la Ferreira 6 Apto 115 / Calle 6a # 80 - 160 Valle de la Ferreira 6 Apto 115</v>
      </c>
      <c r="G2392" s="15" t="str">
        <f>IFERROR(__xludf.DUMMYFUNCTION("""COMPUTED_VALUE"""),"Daniel Torres")</f>
        <v>Daniel Torres</v>
      </c>
      <c r="H2392" s="16">
        <f>IFERROR(__xludf.DUMMYFUNCTION("""COMPUTED_VALUE"""),11004.0)</f>
        <v>11004</v>
      </c>
      <c r="I2392" s="18">
        <f>IFERROR(__xludf.DUMMYFUNCTION("""COMPUTED_VALUE"""),8.0)</f>
        <v>8</v>
      </c>
      <c r="J2392" s="18">
        <f>IFERROR(__xludf.DUMMYFUNCTION("""COMPUTED_VALUE"""),16.0)</f>
        <v>16</v>
      </c>
      <c r="K2392" s="18">
        <f>IFERROR(__xludf.DUMMYFUNCTION("""COMPUTED_VALUE"""),20.0)</f>
        <v>20</v>
      </c>
      <c r="L2392" s="17">
        <f>IFERROR(__xludf.DUMMYFUNCTION("""COMPUTED_VALUE"""),3.232235222E9)</f>
        <v>3232235222</v>
      </c>
      <c r="M2392" s="17" t="str">
        <f>IFERROR(__xludf.DUMMYFUNCTION("""COMPUTED_VALUE"""),"#REF!")</f>
        <v>#REF!</v>
      </c>
      <c r="N2392" s="17"/>
      <c r="O2392" s="17"/>
      <c r="P2392" s="17" t="b">
        <f>IFERROR(__xludf.DUMMYFUNCTION("""COMPUTED_VALUE"""),FALSE)</f>
        <v>0</v>
      </c>
      <c r="Q2392" s="20" t="str">
        <f>IFERROR(__xludf.DUMMYFUNCTION("""COMPUTED_VALUE"""),"")</f>
        <v/>
      </c>
      <c r="R2392" s="21" t="str">
        <f>IFERROR(__xludf.DUMMYFUNCTION("""COMPUTED_VALUE"""),"https://drive.google.com/file/d/13yFDIWUmZeSthhJJTUknghGaMK2lRs0m/view?usp=drivesdk")</f>
        <v>https://drive.google.com/file/d/13yFDIWUmZeSthhJJTUknghGaMK2lRs0m/view?usp=drivesdk</v>
      </c>
    </row>
    <row r="2393">
      <c r="A2393" s="15">
        <f>IFERROR(__xludf.DUMMYFUNCTION("""COMPUTED_VALUE"""),45071.0)</f>
        <v>45071</v>
      </c>
      <c r="B2393" s="16" t="str">
        <f>IFERROR(__xludf.DUMMYFUNCTION("""COMPUTED_VALUE"""),"Johan Alexander Escobar Arroyo ")</f>
        <v>Johan Alexander Escobar Arroyo </v>
      </c>
      <c r="C2393" s="15" t="str">
        <f>IFERROR(__xludf.DUMMYFUNCTION("""COMPUTED_VALUE"""),"CALI")</f>
        <v>CALI</v>
      </c>
      <c r="D2393" s="15" t="str">
        <f>IFERROR(__xludf.DUMMYFUNCTION("""COMPUTED_VALUE"""),"MEDELLÍN")</f>
        <v>MEDELLÍN</v>
      </c>
      <c r="E2393" s="15" t="str">
        <f>IFERROR(__xludf.DUMMYFUNCTION("""COMPUTED_VALUE"""),"Baby Chef")</f>
        <v>Baby Chef</v>
      </c>
      <c r="F2393" s="17" t="str">
        <f>IFERROR(__xludf.DUMMYFUNCTION("""COMPUTED_VALUE"""),"Carrera 103 # 11 - 40 Casa L2 Sendero del Polo Club Ciudad Jardín / Carrera 103 # 11 - 40 Casa L2 Sendero del Polo Club Ciudad Jardín / Carrera 103 # 11 - 40 Casa L2 Sendero del Polo Club Ciudad Jardín")</f>
        <v>Carrera 103 # 11 - 40 Casa L2 Sendero del Polo Club Ciudad Jardín / Carrera 103 # 11 - 40 Casa L2 Sendero del Polo Club Ciudad Jardín / Carrera 103 # 11 - 40 Casa L2 Sendero del Polo Club Ciudad Jardín</v>
      </c>
      <c r="G2393" s="15" t="str">
        <f>IFERROR(__xludf.DUMMYFUNCTION("""COMPUTED_VALUE"""),"Manuela Escobar")</f>
        <v>Manuela Escobar</v>
      </c>
      <c r="H2393" s="16">
        <f>IFERROR(__xludf.DUMMYFUNCTION("""COMPUTED_VALUE"""),11009.0)</f>
        <v>11009</v>
      </c>
      <c r="I2393" s="18">
        <f>IFERROR(__xludf.DUMMYFUNCTION("""COMPUTED_VALUE"""),8.0)</f>
        <v>8</v>
      </c>
      <c r="J2393" s="18">
        <f>IFERROR(__xludf.DUMMYFUNCTION("""COMPUTED_VALUE"""),16.0)</f>
        <v>16</v>
      </c>
      <c r="K2393" s="18">
        <f>IFERROR(__xludf.DUMMYFUNCTION("""COMPUTED_VALUE"""),20.0)</f>
        <v>20</v>
      </c>
      <c r="L2393" s="17">
        <f>IFERROR(__xludf.DUMMYFUNCTION("""COMPUTED_VALUE"""),3.103997635E9)</f>
        <v>3103997635</v>
      </c>
      <c r="M2393" s="17" t="str">
        <f>IFERROR(__xludf.DUMMYFUNCTION("""COMPUTED_VALUE"""),"#REF!")</f>
        <v>#REF!</v>
      </c>
      <c r="N2393" s="17"/>
      <c r="O2393" s="17"/>
      <c r="P2393" s="17" t="b">
        <f>IFERROR(__xludf.DUMMYFUNCTION("""COMPUTED_VALUE"""),FALSE)</f>
        <v>0</v>
      </c>
      <c r="Q2393" s="20" t="str">
        <f>IFERROR(__xludf.DUMMYFUNCTION("""COMPUTED_VALUE"""),"")</f>
        <v/>
      </c>
      <c r="R2393" s="21" t="str">
        <f>IFERROR(__xludf.DUMMYFUNCTION("""COMPUTED_VALUE"""),"https://drive.google.com/file/d/1bSwAgCEm6pZPtRUk1nWTToO1ad-wfMUl/view?usp=drivesdk")</f>
        <v>https://drive.google.com/file/d/1bSwAgCEm6pZPtRUk1nWTToO1ad-wfMUl/view?usp=drivesdk</v>
      </c>
    </row>
    <row r="2394">
      <c r="A2394" s="15">
        <f>IFERROR(__xludf.DUMMYFUNCTION("""COMPUTED_VALUE"""),45071.0)</f>
        <v>45071</v>
      </c>
      <c r="B2394" s="16" t="str">
        <f>IFERROR(__xludf.DUMMYFUNCTION("""COMPUTED_VALUE"""),"Johan Alexander Escobar Arroyo ")</f>
        <v>Johan Alexander Escobar Arroyo </v>
      </c>
      <c r="C2394" s="15" t="str">
        <f>IFERROR(__xludf.DUMMYFUNCTION("""COMPUTED_VALUE"""),"CALI")</f>
        <v>CALI</v>
      </c>
      <c r="D2394" s="15" t="str">
        <f>IFERROR(__xludf.DUMMYFUNCTION("""COMPUTED_VALUE"""),"MEDELLÍN")</f>
        <v>MEDELLÍN</v>
      </c>
      <c r="E2394" s="15" t="str">
        <f>IFERROR(__xludf.DUMMYFUNCTION("""COMPUTED_VALUE"""),"Baby Chef")</f>
        <v>Baby Chef</v>
      </c>
      <c r="F2394" s="17" t="str">
        <f>IFERROR(__xludf.DUMMYFUNCTION("""COMPUTED_VALUE"""),"Cra 103 # 11 - 40 Sendero del Polo Club Casa P1 / Cra 103 # 11 - 40 Sendero del Polo Club Casa P1 / Cra 103 # 11 - 40 Sendero del Polo Club Casa P1")</f>
        <v>Cra 103 # 11 - 40 Sendero del Polo Club Casa P1 / Cra 103 # 11 - 40 Sendero del Polo Club Casa P1 / Cra 103 # 11 - 40 Sendero del Polo Club Casa P1</v>
      </c>
      <c r="G2394" s="15" t="str">
        <f>IFERROR(__xludf.DUMMYFUNCTION("""COMPUTED_VALUE"""),"Johanna Rojas")</f>
        <v>Johanna Rojas</v>
      </c>
      <c r="H2394" s="16">
        <f>IFERROR(__xludf.DUMMYFUNCTION("""COMPUTED_VALUE"""),11007.0)</f>
        <v>11007</v>
      </c>
      <c r="I2394" s="18">
        <f>IFERROR(__xludf.DUMMYFUNCTION("""COMPUTED_VALUE"""),8.0)</f>
        <v>8</v>
      </c>
      <c r="J2394" s="18">
        <f>IFERROR(__xludf.DUMMYFUNCTION("""COMPUTED_VALUE"""),16.0)</f>
        <v>16</v>
      </c>
      <c r="K2394" s="18">
        <f>IFERROR(__xludf.DUMMYFUNCTION("""COMPUTED_VALUE"""),20.0)</f>
        <v>20</v>
      </c>
      <c r="L2394" s="17">
        <f>IFERROR(__xludf.DUMMYFUNCTION("""COMPUTED_VALUE"""),3.183307191E9)</f>
        <v>3183307191</v>
      </c>
      <c r="M2394" s="17" t="str">
        <f>IFERROR(__xludf.DUMMYFUNCTION("""COMPUTED_VALUE"""),"#REF!")</f>
        <v>#REF!</v>
      </c>
      <c r="N2394" s="17"/>
      <c r="O2394" s="17"/>
      <c r="P2394" s="17" t="b">
        <f>IFERROR(__xludf.DUMMYFUNCTION("""COMPUTED_VALUE"""),FALSE)</f>
        <v>0</v>
      </c>
      <c r="Q2394" s="20" t="str">
        <f>IFERROR(__xludf.DUMMYFUNCTION("""COMPUTED_VALUE"""),"")</f>
        <v/>
      </c>
      <c r="R2394" s="21" t="str">
        <f>IFERROR(__xludf.DUMMYFUNCTION("""COMPUTED_VALUE"""),"https://drive.google.com/file/d/1LCCjJDpUraCHR_Owg2KuCFx49u5dUBYj/view?usp=drivesdk")</f>
        <v>https://drive.google.com/file/d/1LCCjJDpUraCHR_Owg2KuCFx49u5dUBYj/view?usp=drivesdk</v>
      </c>
    </row>
    <row r="2395">
      <c r="A2395" s="15">
        <f>IFERROR(__xludf.DUMMYFUNCTION("""COMPUTED_VALUE"""),45071.0)</f>
        <v>45071</v>
      </c>
      <c r="B2395" s="16" t="str">
        <f>IFERROR(__xludf.DUMMYFUNCTION("""COMPUTED_VALUE"""),"Johan Alexander Escobar Arroyo ")</f>
        <v>Johan Alexander Escobar Arroyo </v>
      </c>
      <c r="C2395" s="15" t="str">
        <f>IFERROR(__xludf.DUMMYFUNCTION("""COMPUTED_VALUE"""),"CALI")</f>
        <v>CALI</v>
      </c>
      <c r="D2395" s="15" t="str">
        <f>IFERROR(__xludf.DUMMYFUNCTION("""COMPUTED_VALUE"""),"MEDELLÍN")</f>
        <v>MEDELLÍN</v>
      </c>
      <c r="E2395" s="15" t="str">
        <f>IFERROR(__xludf.DUMMYFUNCTION("""COMPUTED_VALUE"""),"Baby Chef")</f>
        <v>Baby Chef</v>
      </c>
      <c r="F2395" s="17" t="str">
        <f>IFERROR(__xludf.DUMMYFUNCTION("""COMPUTED_VALUE"""),"Unidad Puente Blanco IV Torre 9 Calle 3 # 63 - 34 Pampalinda Apto 403 / Unidad Puente Blanco IV Torre 9 Calle 3 # 63 - 34 Pampalinda Apto 403 / Unidad Puente Blanco IV Torre 9 Calle 3 # 63 - 34 Pampalinda Apto 403")</f>
        <v>Unidad Puente Blanco IV Torre 9 Calle 3 # 63 - 34 Pampalinda Apto 403 / Unidad Puente Blanco IV Torre 9 Calle 3 # 63 - 34 Pampalinda Apto 403 / Unidad Puente Blanco IV Torre 9 Calle 3 # 63 - 34 Pampalinda Apto 403</v>
      </c>
      <c r="G2395" s="15" t="str">
        <f>IFERROR(__xludf.DUMMYFUNCTION("""COMPUTED_VALUE"""),"Silvana Giraldo Galindo")</f>
        <v>Silvana Giraldo Galindo</v>
      </c>
      <c r="H2395" s="16">
        <f>IFERROR(__xludf.DUMMYFUNCTION("""COMPUTED_VALUE"""),11005.0)</f>
        <v>11005</v>
      </c>
      <c r="I2395" s="18">
        <f>IFERROR(__xludf.DUMMYFUNCTION("""COMPUTED_VALUE"""),8.0)</f>
        <v>8</v>
      </c>
      <c r="J2395" s="18">
        <f>IFERROR(__xludf.DUMMYFUNCTION("""COMPUTED_VALUE"""),16.0)</f>
        <v>16</v>
      </c>
      <c r="K2395" s="18">
        <f>IFERROR(__xludf.DUMMYFUNCTION("""COMPUTED_VALUE"""),20.0)</f>
        <v>20</v>
      </c>
      <c r="L2395" s="17">
        <f>IFERROR(__xludf.DUMMYFUNCTION("""COMPUTED_VALUE"""),3.012605443E9)</f>
        <v>3012605443</v>
      </c>
      <c r="M2395" s="17" t="str">
        <f>IFERROR(__xludf.DUMMYFUNCTION("""COMPUTED_VALUE"""),"#REF!")</f>
        <v>#REF!</v>
      </c>
      <c r="N2395" s="17"/>
      <c r="O2395" s="17"/>
      <c r="P2395" s="17" t="b">
        <f>IFERROR(__xludf.DUMMYFUNCTION("""COMPUTED_VALUE"""),FALSE)</f>
        <v>0</v>
      </c>
      <c r="Q2395" s="20" t="str">
        <f>IFERROR(__xludf.DUMMYFUNCTION("""COMPUTED_VALUE"""),"")</f>
        <v/>
      </c>
      <c r="R2395" s="21" t="str">
        <f>IFERROR(__xludf.DUMMYFUNCTION("""COMPUTED_VALUE"""),"https://drive.google.com/file/d/1O-g3LNr3o2RSXjYw8IFbUaDWJ2j1uWTA/view?usp=drivesdk")</f>
        <v>https://drive.google.com/file/d/1O-g3LNr3o2RSXjYw8IFbUaDWJ2j1uWTA/view?usp=drivesdk</v>
      </c>
    </row>
    <row r="2396">
      <c r="A2396" s="15">
        <f>IFERROR(__xludf.DUMMYFUNCTION("""COMPUTED_VALUE"""),45071.0)</f>
        <v>45071</v>
      </c>
      <c r="B2396" s="16" t="str">
        <f>IFERROR(__xludf.DUMMYFUNCTION("""COMPUTED_VALUE"""),"Johan Alexander Escobar Arroyo ")</f>
        <v>Johan Alexander Escobar Arroyo </v>
      </c>
      <c r="C2396" s="15" t="str">
        <f>IFERROR(__xludf.DUMMYFUNCTION("""COMPUTED_VALUE"""),"CALI")</f>
        <v>CALI</v>
      </c>
      <c r="D2396" s="15" t="str">
        <f>IFERROR(__xludf.DUMMYFUNCTION("""COMPUTED_VALUE"""),"MEDELLÍN")</f>
        <v>MEDELLÍN</v>
      </c>
      <c r="E2396" s="15" t="str">
        <f>IFERROR(__xludf.DUMMYFUNCTION("""COMPUTED_VALUE"""),"Lácteos El Pino SAS")</f>
        <v>Lácteos El Pino SAS</v>
      </c>
      <c r="F2396" s="17" t="str">
        <f>IFERROR(__xludf.DUMMYFUNCTION("""COMPUTED_VALUE"""),"CRA 100 15 A 90 LOCAL 104 / ENTREGAR EN LOCAL104")</f>
        <v>CRA 100 15 A 90 LOCAL 104 / ENTREGAR EN LOCAL104</v>
      </c>
      <c r="G2396" s="15" t="str">
        <f>IFERROR(__xludf.DUMMYFUNCTION("""COMPUTED_VALUE"""),"NUTRILIGHT INVERSIONES SALUDABLES")</f>
        <v>NUTRILIGHT INVERSIONES SALUDABLES</v>
      </c>
      <c r="H2396" s="16">
        <f>IFERROR(__xludf.DUMMYFUNCTION("""COMPUTED_VALUE"""),10969.0)</f>
        <v>10969</v>
      </c>
      <c r="I2396" s="18">
        <f>IFERROR(__xludf.DUMMYFUNCTION("""COMPUTED_VALUE"""),33.0)</f>
        <v>33</v>
      </c>
      <c r="J2396" s="18">
        <f>IFERROR(__xludf.DUMMYFUNCTION("""COMPUTED_VALUE"""),22.0)</f>
        <v>22</v>
      </c>
      <c r="K2396" s="18">
        <f>IFERROR(__xludf.DUMMYFUNCTION("""COMPUTED_VALUE"""),36.0)</f>
        <v>36</v>
      </c>
      <c r="L2396" s="17">
        <f>IFERROR(__xludf.DUMMYFUNCTION("""COMPUTED_VALUE"""),314.0)</f>
        <v>314</v>
      </c>
      <c r="M2396" s="17" t="str">
        <f>IFERROR(__xludf.DUMMYFUNCTION("""COMPUTED_VALUE"""),"#REF!")</f>
        <v>#REF!</v>
      </c>
      <c r="N2396" s="17"/>
      <c r="O2396" s="17"/>
      <c r="P2396" s="17" t="b">
        <f>IFERROR(__xludf.DUMMYFUNCTION("""COMPUTED_VALUE"""),FALSE)</f>
        <v>0</v>
      </c>
      <c r="Q2396" s="20" t="str">
        <f>IFERROR(__xludf.DUMMYFUNCTION("""COMPUTED_VALUE"""),"")</f>
        <v/>
      </c>
      <c r="R2396" s="21" t="str">
        <f>IFERROR(__xludf.DUMMYFUNCTION("""COMPUTED_VALUE"""),"https://drive.google.com/file/d/1G4dpoFM6l48Pi9Sb3COBaPT4_d8ViPVi/view?usp=drivesdk")</f>
        <v>https://drive.google.com/file/d/1G4dpoFM6l48Pi9Sb3COBaPT4_d8ViPVi/view?usp=drivesdk</v>
      </c>
    </row>
    <row r="2397">
      <c r="A2397" s="15">
        <f>IFERROR(__xludf.DUMMYFUNCTION("""COMPUTED_VALUE"""),45071.0)</f>
        <v>45071</v>
      </c>
      <c r="B2397" s="16" t="str">
        <f>IFERROR(__xludf.DUMMYFUNCTION("""COMPUTED_VALUE"""),"Johan Alexander Escobar Arroyo ")</f>
        <v>Johan Alexander Escobar Arroyo </v>
      </c>
      <c r="C2397" s="15" t="str">
        <f>IFERROR(__xludf.DUMMYFUNCTION("""COMPUTED_VALUE"""),"CALI")</f>
        <v>CALI</v>
      </c>
      <c r="D2397" s="15" t="str">
        <f>IFERROR(__xludf.DUMMYFUNCTION("""COMPUTED_VALUE"""),"MEDELLÍN")</f>
        <v>MEDELLÍN</v>
      </c>
      <c r="E2397" s="15" t="str">
        <f>IFERROR(__xludf.DUMMYFUNCTION("""COMPUTED_VALUE"""),"Moloso S.A.S")</f>
        <v>Moloso S.A.S</v>
      </c>
      <c r="F2397" s="17" t="str">
        <f>IFERROR(__xludf.DUMMYFUNCTION("""COMPUTED_VALUE"""),"AVENIDA 3 OESTE 13 94 / EDIF SOL DEL OESTE APT 702")</f>
        <v>AVENIDA 3 OESTE 13 94 / EDIF SOL DEL OESTE APT 702</v>
      </c>
      <c r="G2397" s="15" t="str">
        <f>IFERROR(__xludf.DUMMYFUNCTION("""COMPUTED_VALUE"""),"LAURA HERNÁNDEZ ALVIAR")</f>
        <v>LAURA HERNÁNDEZ ALVIAR</v>
      </c>
      <c r="H2397" s="16">
        <f>IFERROR(__xludf.DUMMYFUNCTION("""COMPUTED_VALUE"""),10973.0)</f>
        <v>10973</v>
      </c>
      <c r="I2397" s="18">
        <f>IFERROR(__xludf.DUMMYFUNCTION("""COMPUTED_VALUE"""),17.0)</f>
        <v>17</v>
      </c>
      <c r="J2397" s="18">
        <f>IFERROR(__xludf.DUMMYFUNCTION("""COMPUTED_VALUE"""),15.0)</f>
        <v>15</v>
      </c>
      <c r="K2397" s="18">
        <f>IFERROR(__xludf.DUMMYFUNCTION("""COMPUTED_VALUE"""),28.0)</f>
        <v>28</v>
      </c>
      <c r="L2397" s="17" t="str">
        <f>IFERROR(__xludf.DUMMYFUNCTION("""COMPUTED_VALUE"""),"315 5762974")</f>
        <v>315 5762974</v>
      </c>
      <c r="M2397" s="17" t="str">
        <f>IFERROR(__xludf.DUMMYFUNCTION("""COMPUTED_VALUE"""),"#REF!")</f>
        <v>#REF!</v>
      </c>
      <c r="N2397" s="17"/>
      <c r="O2397" s="17"/>
      <c r="P2397" s="17" t="b">
        <f>IFERROR(__xludf.DUMMYFUNCTION("""COMPUTED_VALUE"""),FALSE)</f>
        <v>0</v>
      </c>
      <c r="Q2397" s="20" t="str">
        <f>IFERROR(__xludf.DUMMYFUNCTION("""COMPUTED_VALUE"""),"")</f>
        <v/>
      </c>
      <c r="R2397" s="21" t="str">
        <f>IFERROR(__xludf.DUMMYFUNCTION("""COMPUTED_VALUE"""),"https://drive.google.com/file/d/1LI-XTrGVR0vC4LgaxR63kBzhZFBigQyt/view?usp=drivesdk")</f>
        <v>https://drive.google.com/file/d/1LI-XTrGVR0vC4LgaxR63kBzhZFBigQyt/view?usp=drivesdk</v>
      </c>
    </row>
    <row r="2398">
      <c r="A2398" s="15">
        <f>IFERROR(__xludf.DUMMYFUNCTION("""COMPUTED_VALUE"""),45071.0)</f>
        <v>45071</v>
      </c>
      <c r="B2398" s="16" t="str">
        <f>IFERROR(__xludf.DUMMYFUNCTION("""COMPUTED_VALUE"""),"Johan Alexander Escobar Arroyo ")</f>
        <v>Johan Alexander Escobar Arroyo </v>
      </c>
      <c r="C2398" s="15" t="str">
        <f>IFERROR(__xludf.DUMMYFUNCTION("""COMPUTED_VALUE"""),"CÚCUTA")</f>
        <v>CÚCUTA</v>
      </c>
      <c r="D2398" s="15" t="str">
        <f>IFERROR(__xludf.DUMMYFUNCTION("""COMPUTED_VALUE"""),"MEDELLÍN")</f>
        <v>MEDELLÍN</v>
      </c>
      <c r="E2398" s="15" t="str">
        <f>IFERROR(__xludf.DUMMYFUNCTION("""COMPUTED_VALUE"""),"Momo Tea S.A.S Gabriel Echavarría")</f>
        <v>Momo Tea S.A.S Gabriel Echavarría</v>
      </c>
      <c r="F2398" s="17" t="str">
        <f>IFERROR(__xludf.DUMMYFUNCTION("""COMPUTED_VALUE"""),"CL 11 N 16 E 35 / CA B 1")</f>
        <v>CL 11 N 16 E 35 / CA B 1</v>
      </c>
      <c r="G2398" s="15" t="str">
        <f>IFERROR(__xludf.DUMMYFUNCTION("""COMPUTED_VALUE"""),"Gabriel Echavarría")</f>
        <v>Gabriel Echavarría</v>
      </c>
      <c r="H2398" s="16">
        <f>IFERROR(__xludf.DUMMYFUNCTION("""COMPUTED_VALUE"""),10952.0)</f>
        <v>10952</v>
      </c>
      <c r="I2398" s="18">
        <f>IFERROR(__xludf.DUMMYFUNCTION("""COMPUTED_VALUE"""),17.0)</f>
        <v>17</v>
      </c>
      <c r="J2398" s="18">
        <f>IFERROR(__xludf.DUMMYFUNCTION("""COMPUTED_VALUE"""),13.0)</f>
        <v>13</v>
      </c>
      <c r="K2398" s="18">
        <f>IFERROR(__xludf.DUMMYFUNCTION("""COMPUTED_VALUE"""),20.0)</f>
        <v>20</v>
      </c>
      <c r="L2398" s="17">
        <f>IFERROR(__xludf.DUMMYFUNCTION("""COMPUTED_VALUE"""),3.017909548E9)</f>
        <v>3017909548</v>
      </c>
      <c r="M2398" s="17" t="str">
        <f>IFERROR(__xludf.DUMMYFUNCTION("""COMPUTED_VALUE"""),"#REF!")</f>
        <v>#REF!</v>
      </c>
      <c r="N2398" s="17"/>
      <c r="O2398" s="17"/>
      <c r="P2398" s="17" t="b">
        <f>IFERROR(__xludf.DUMMYFUNCTION("""COMPUTED_VALUE"""),FALSE)</f>
        <v>0</v>
      </c>
      <c r="Q2398" s="20" t="str">
        <f>IFERROR(__xludf.DUMMYFUNCTION("""COMPUTED_VALUE"""),"")</f>
        <v/>
      </c>
      <c r="R2398" s="21" t="str">
        <f>IFERROR(__xludf.DUMMYFUNCTION("""COMPUTED_VALUE"""),"https://drive.google.com/file/d/1QUmHGNxfewCvtInulKbG8OwOo6KBHyk5/view?usp=drivesdk")</f>
        <v>https://drive.google.com/file/d/1QUmHGNxfewCvtInulKbG8OwOo6KBHyk5/view?usp=drivesdk</v>
      </c>
    </row>
    <row r="2399">
      <c r="A2399" s="15">
        <f>IFERROR(__xludf.DUMMYFUNCTION("""COMPUTED_VALUE"""),45071.0)</f>
        <v>45071</v>
      </c>
      <c r="B2399" s="16" t="str">
        <f>IFERROR(__xludf.DUMMYFUNCTION("""COMPUTED_VALUE"""),"Johan Alexander Escobar Arroyo ")</f>
        <v>Johan Alexander Escobar Arroyo </v>
      </c>
      <c r="C2399" s="15" t="str">
        <f>IFERROR(__xludf.DUMMYFUNCTION("""COMPUTED_VALUE"""),"CÚCUTA")</f>
        <v>CÚCUTA</v>
      </c>
      <c r="D2399" s="15" t="str">
        <f>IFERROR(__xludf.DUMMYFUNCTION("""COMPUTED_VALUE"""),"MEDELLÍN")</f>
        <v>MEDELLÍN</v>
      </c>
      <c r="E2399" s="15" t="str">
        <f>IFERROR(__xludf.DUMMYFUNCTION("""COMPUTED_VALUE"""),"Momo Tea S.A.S Gabriel Echavarría")</f>
        <v>Momo Tea S.A.S Gabriel Echavarría</v>
      </c>
      <c r="F2399" s="17" t="str">
        <f>IFERROR(__xludf.DUMMYFUNCTION("""COMPUTED_VALUE"""),"CL 11 N 16 E 35 / CA B 1")</f>
        <v>CL 11 N 16 E 35 / CA B 1</v>
      </c>
      <c r="G2399" s="15" t="str">
        <f>IFERROR(__xludf.DUMMYFUNCTION("""COMPUTED_VALUE"""),"Gabriel Echavarría")</f>
        <v>Gabriel Echavarría</v>
      </c>
      <c r="H2399" s="16">
        <f>IFERROR(__xludf.DUMMYFUNCTION("""COMPUTED_VALUE"""),10953.0)</f>
        <v>10953</v>
      </c>
      <c r="I2399" s="18">
        <f>IFERROR(__xludf.DUMMYFUNCTION("""COMPUTED_VALUE"""),63.0)</f>
        <v>63</v>
      </c>
      <c r="J2399" s="18">
        <f>IFERROR(__xludf.DUMMYFUNCTION("""COMPUTED_VALUE"""),10.0)</f>
        <v>10</v>
      </c>
      <c r="K2399" s="18">
        <f>IFERROR(__xludf.DUMMYFUNCTION("""COMPUTED_VALUE"""),9.0)</f>
        <v>9</v>
      </c>
      <c r="L2399" s="17">
        <f>IFERROR(__xludf.DUMMYFUNCTION("""COMPUTED_VALUE"""),3.017909548E9)</f>
        <v>3017909548</v>
      </c>
      <c r="M2399" s="17" t="str">
        <f>IFERROR(__xludf.DUMMYFUNCTION("""COMPUTED_VALUE"""),"#REF!")</f>
        <v>#REF!</v>
      </c>
      <c r="N2399" s="17"/>
      <c r="O2399" s="17"/>
      <c r="P2399" s="17" t="b">
        <f>IFERROR(__xludf.DUMMYFUNCTION("""COMPUTED_VALUE"""),FALSE)</f>
        <v>0</v>
      </c>
      <c r="Q2399" s="20" t="str">
        <f>IFERROR(__xludf.DUMMYFUNCTION("""COMPUTED_VALUE"""),"")</f>
        <v/>
      </c>
      <c r="R2399" s="21" t="str">
        <f>IFERROR(__xludf.DUMMYFUNCTION("""COMPUTED_VALUE"""),"https://drive.google.com/file/d/1TSdEjCS5G1USMqLdxw2Fa2wvlT65W1hg/view?usp=drivesdk")</f>
        <v>https://drive.google.com/file/d/1TSdEjCS5G1USMqLdxw2Fa2wvlT65W1hg/view?usp=drivesdk</v>
      </c>
    </row>
    <row r="2400">
      <c r="A2400" s="17" t="str">
        <f>IFERROR(__xludf.DUMMYFUNCTION("""COMPUTED_VALUE"""),"")</f>
        <v/>
      </c>
      <c r="B2400" s="17" t="str">
        <f>IFERROR(__xludf.DUMMYFUNCTION("""COMPUTED_VALUE"""),"")</f>
        <v/>
      </c>
      <c r="C2400" s="17" t="str">
        <f>IFERROR(__xludf.DUMMYFUNCTION("""COMPUTED_VALUE"""),"")</f>
        <v/>
      </c>
      <c r="D2400" s="17" t="str">
        <f>IFERROR(__xludf.DUMMYFUNCTION("""COMPUTED_VALUE"""),"")</f>
        <v/>
      </c>
      <c r="E2400" s="17" t="str">
        <f>IFERROR(__xludf.DUMMYFUNCTION("""COMPUTED_VALUE"""),"")</f>
        <v/>
      </c>
      <c r="F2400" s="17" t="str">
        <f>IFERROR(__xludf.DUMMYFUNCTION("""COMPUTED_VALUE"""),"")</f>
        <v/>
      </c>
      <c r="G2400" s="17" t="str">
        <f>IFERROR(__xludf.DUMMYFUNCTION("""COMPUTED_VALUE"""),"")</f>
        <v/>
      </c>
      <c r="H2400" s="17" t="str">
        <f>IFERROR(__xludf.DUMMYFUNCTION("""COMPUTED_VALUE"""),"")</f>
        <v/>
      </c>
      <c r="I2400" s="17" t="str">
        <f>IFERROR(__xludf.DUMMYFUNCTION("""COMPUTED_VALUE"""),"")</f>
        <v/>
      </c>
      <c r="J2400" s="17" t="str">
        <f>IFERROR(__xludf.DUMMYFUNCTION("""COMPUTED_VALUE"""),"")</f>
        <v/>
      </c>
      <c r="K2400" s="17" t="str">
        <f>IFERROR(__xludf.DUMMYFUNCTION("""COMPUTED_VALUE"""),"")</f>
        <v/>
      </c>
      <c r="L2400" s="17" t="str">
        <f>IFERROR(__xludf.DUMMYFUNCTION("""COMPUTED_VALUE"""),"")</f>
        <v/>
      </c>
      <c r="M2400" s="17" t="str">
        <f>IFERROR(__xludf.DUMMYFUNCTION("""COMPUTED_VALUE"""),"")</f>
        <v/>
      </c>
      <c r="N2400" s="17" t="str">
        <f>IFERROR(__xludf.DUMMYFUNCTION("""COMPUTED_VALUE"""),"")</f>
        <v/>
      </c>
      <c r="O2400" s="17" t="str">
        <f>IFERROR(__xludf.DUMMYFUNCTION("""COMPUTED_VALUE"""),"")</f>
        <v/>
      </c>
      <c r="P2400" s="17" t="str">
        <f>IFERROR(__xludf.DUMMYFUNCTION("""COMPUTED_VALUE"""),"")</f>
        <v/>
      </c>
      <c r="Q2400" s="17" t="str">
        <f>IFERROR(__xludf.DUMMYFUNCTION("""COMPUTED_VALUE"""),"")</f>
        <v/>
      </c>
      <c r="R2400" s="17" t="str">
        <f>IFERROR(__xludf.DUMMYFUNCTION("""COMPUTED_VALUE"""),"")</f>
        <v/>
      </c>
    </row>
    <row r="2401">
      <c r="A2401" s="15">
        <f>IFERROR(__xludf.DUMMYFUNCTION("""COMPUTED_VALUE"""),45071.0)</f>
        <v>45071</v>
      </c>
      <c r="B2401" s="16" t="str">
        <f>IFERROR(__xludf.DUMMYFUNCTION("""COMPUTED_VALUE"""),"Julian Calderon Rodriguez ")</f>
        <v>Julian Calderon Rodriguez </v>
      </c>
      <c r="C2401" s="15" t="str">
        <f>IFERROR(__xludf.DUMMYFUNCTION("""COMPUTED_VALUE"""),"NEIVA")</f>
        <v>NEIVA</v>
      </c>
      <c r="D2401" s="15" t="str">
        <f>IFERROR(__xludf.DUMMYFUNCTION("""COMPUTED_VALUE"""),"BOGOTÁ")</f>
        <v>BOGOTÁ</v>
      </c>
      <c r="E2401" s="15" t="str">
        <f>IFERROR(__xludf.DUMMYFUNCTION("""COMPUTED_VALUE"""),"Lunchy Kids")</f>
        <v>Lunchy Kids</v>
      </c>
      <c r="F2401" s="17" t="str">
        <f>IFERROR(__xludf.DUMMYFUNCTION("""COMPUTED_VALUE"""),"calle 56b 17-71  / apto 1404 torre 6 Conjunto amaranto   / Neiva")</f>
        <v>calle 56b 17-71  / apto 1404 torre 6 Conjunto amaranto   / Neiva</v>
      </c>
      <c r="G2401" s="15" t="str">
        <f>IFERROR(__xludf.DUMMYFUNCTION("""COMPUTED_VALUE"""),"Ximena Tovar")</f>
        <v>Ximena Tovar</v>
      </c>
      <c r="H2401" s="16">
        <f>IFERROR(__xludf.DUMMYFUNCTION("""COMPUTED_VALUE"""),10892.0)</f>
        <v>10892</v>
      </c>
      <c r="I2401" s="18">
        <f>IFERROR(__xludf.DUMMYFUNCTION("""COMPUTED_VALUE"""),17.0)</f>
        <v>17</v>
      </c>
      <c r="J2401" s="18">
        <f>IFERROR(__xludf.DUMMYFUNCTION("""COMPUTED_VALUE"""),18.0)</f>
        <v>18</v>
      </c>
      <c r="K2401" s="18">
        <f>IFERROR(__xludf.DUMMYFUNCTION("""COMPUTED_VALUE"""),25.0)</f>
        <v>25</v>
      </c>
      <c r="L2401" s="17">
        <f>IFERROR(__xludf.DUMMYFUNCTION("""COMPUTED_VALUE"""),3.203278288E9)</f>
        <v>3203278288</v>
      </c>
      <c r="M2401" s="17" t="str">
        <f>IFERROR(__xludf.DUMMYFUNCTION("""COMPUTED_VALUE"""),"#REF!")</f>
        <v>#REF!</v>
      </c>
      <c r="N2401" s="17"/>
      <c r="O2401" s="17"/>
      <c r="P2401" s="17" t="b">
        <f>IFERROR(__xludf.DUMMYFUNCTION("""COMPUTED_VALUE"""),FALSE)</f>
        <v>0</v>
      </c>
      <c r="Q2401" s="20" t="str">
        <f>IFERROR(__xludf.DUMMYFUNCTION("""COMPUTED_VALUE"""),"")</f>
        <v/>
      </c>
      <c r="R2401" s="21" t="str">
        <f>IFERROR(__xludf.DUMMYFUNCTION("""COMPUTED_VALUE"""),"https://drive.google.com/file/d/1lV-9JUPepiOXVJPrYLhqOAkBU-OVIkut/view?usp=drivesdk")</f>
        <v>https://drive.google.com/file/d/1lV-9JUPepiOXVJPrYLhqOAkBU-OVIkut/view?usp=drivesdk</v>
      </c>
    </row>
    <row r="2402">
      <c r="A2402" s="15">
        <f>IFERROR(__xludf.DUMMYFUNCTION("""COMPUTED_VALUE"""),45071.0)</f>
        <v>45071</v>
      </c>
      <c r="B2402" s="16" t="str">
        <f>IFERROR(__xludf.DUMMYFUNCTION("""COMPUTED_VALUE"""),"Julian Calderon Rodriguez ")</f>
        <v>Julian Calderon Rodriguez </v>
      </c>
      <c r="C2402" s="15" t="str">
        <f>IFERROR(__xludf.DUMMYFUNCTION("""COMPUTED_VALUE"""),"NEIVA")</f>
        <v>NEIVA</v>
      </c>
      <c r="D2402" s="15" t="str">
        <f>IFERROR(__xludf.DUMMYFUNCTION("""COMPUTED_VALUE"""),"BOGOTÁ")</f>
        <v>BOGOTÁ</v>
      </c>
      <c r="E2402" s="15" t="str">
        <f>IFERROR(__xludf.DUMMYFUNCTION("""COMPUTED_VALUE"""),"Lunchy Kids")</f>
        <v>Lunchy Kids</v>
      </c>
      <c r="F2402" s="17" t="str">
        <f>IFERROR(__xludf.DUMMYFUNCTION("""COMPUTED_VALUE"""),"CARRERA 5 # 9 - 53   / EDIFICIO SAN JORGE. OF 904 / Neiva")</f>
        <v>CARRERA 5 # 9 - 53   / EDIFICIO SAN JORGE. OF 904 / Neiva</v>
      </c>
      <c r="G2402" s="15" t="str">
        <f>IFERROR(__xludf.DUMMYFUNCTION("""COMPUTED_VALUE"""),"Diana Horta")</f>
        <v>Diana Horta</v>
      </c>
      <c r="H2402" s="16">
        <f>IFERROR(__xludf.DUMMYFUNCTION("""COMPUTED_VALUE"""),10885.0)</f>
        <v>10885</v>
      </c>
      <c r="I2402" s="18">
        <f>IFERROR(__xludf.DUMMYFUNCTION("""COMPUTED_VALUE"""),14.0)</f>
        <v>14</v>
      </c>
      <c r="J2402" s="18">
        <f>IFERROR(__xludf.DUMMYFUNCTION("""COMPUTED_VALUE"""),25.0)</f>
        <v>25</v>
      </c>
      <c r="K2402" s="18">
        <f>IFERROR(__xludf.DUMMYFUNCTION("""COMPUTED_VALUE"""),9.0)</f>
        <v>9</v>
      </c>
      <c r="L2402" s="17">
        <f>IFERROR(__xludf.DUMMYFUNCTION("""COMPUTED_VALUE"""),3.167562064E9)</f>
        <v>3167562064</v>
      </c>
      <c r="M2402" s="17" t="str">
        <f>IFERROR(__xludf.DUMMYFUNCTION("""COMPUTED_VALUE"""),"#REF!")</f>
        <v>#REF!</v>
      </c>
      <c r="N2402" s="17"/>
      <c r="O2402" s="17"/>
      <c r="P2402" s="17" t="b">
        <f>IFERROR(__xludf.DUMMYFUNCTION("""COMPUTED_VALUE"""),FALSE)</f>
        <v>0</v>
      </c>
      <c r="Q2402" s="20" t="str">
        <f>IFERROR(__xludf.DUMMYFUNCTION("""COMPUTED_VALUE"""),"")</f>
        <v/>
      </c>
      <c r="R2402" s="21" t="str">
        <f>IFERROR(__xludf.DUMMYFUNCTION("""COMPUTED_VALUE"""),"https://drive.google.com/file/d/1fPJg5bXKwImCrgagIAqxeNlv3tSGZYZl/view?usp=drivesdk")</f>
        <v>https://drive.google.com/file/d/1fPJg5bXKwImCrgagIAqxeNlv3tSGZYZl/view?usp=drivesdk</v>
      </c>
    </row>
    <row r="2403">
      <c r="A2403" s="15">
        <f>IFERROR(__xludf.DUMMYFUNCTION("""COMPUTED_VALUE"""),45071.0)</f>
        <v>45071</v>
      </c>
      <c r="B2403" s="16" t="str">
        <f>IFERROR(__xludf.DUMMYFUNCTION("""COMPUTED_VALUE"""),"Julian Calderon Rodriguez ")</f>
        <v>Julian Calderon Rodriguez </v>
      </c>
      <c r="C2403" s="15" t="str">
        <f>IFERROR(__xludf.DUMMYFUNCTION("""COMPUTED_VALUE"""),"VILLAVICENCIO")</f>
        <v>VILLAVICENCIO</v>
      </c>
      <c r="D2403" s="15" t="str">
        <f>IFERROR(__xludf.DUMMYFUNCTION("""COMPUTED_VALUE"""),"BOGOTÁ")</f>
        <v>BOGOTÁ</v>
      </c>
      <c r="E2403" s="15" t="str">
        <f>IFERROR(__xludf.DUMMYFUNCTION("""COMPUTED_VALUE"""),"Ins. Alimento Vital")</f>
        <v>Ins. Alimento Vital</v>
      </c>
      <c r="F2403" s="17" t="str">
        <f>IFERROR(__xludf.DUMMYFUNCTION("""COMPUTED_VALUE"""),"CL 10 15A 32 / ESTERO ALTO / ESTERO ALTO")</f>
        <v>CL 10 15A 32 / ESTERO ALTO / ESTERO ALTO</v>
      </c>
      <c r="G2403" s="15" t="str">
        <f>IFERROR(__xludf.DUMMYFUNCTION("""COMPUTED_VALUE"""),"CLARA STHELLA ROSAS MALDONADO")</f>
        <v>CLARA STHELLA ROSAS MALDONADO</v>
      </c>
      <c r="H2403" s="16">
        <f>IFERROR(__xludf.DUMMYFUNCTION("""COMPUTED_VALUE"""),10994.0)</f>
        <v>10994</v>
      </c>
      <c r="I2403" s="18">
        <f>IFERROR(__xludf.DUMMYFUNCTION("""COMPUTED_VALUE"""),1.0)</f>
        <v>1</v>
      </c>
      <c r="J2403" s="18">
        <f>IFERROR(__xludf.DUMMYFUNCTION("""COMPUTED_VALUE"""),1.0)</f>
        <v>1</v>
      </c>
      <c r="K2403" s="18">
        <f>IFERROR(__xludf.DUMMYFUNCTION("""COMPUTED_VALUE"""),1.0)</f>
        <v>1</v>
      </c>
      <c r="L2403" s="17">
        <f>IFERROR(__xludf.DUMMYFUNCTION("""COMPUTED_VALUE"""),3.208593078E9)</f>
        <v>3208593078</v>
      </c>
      <c r="M2403" s="17" t="str">
        <f>IFERROR(__xludf.DUMMYFUNCTION("""COMPUTED_VALUE"""),"#REF!")</f>
        <v>#REF!</v>
      </c>
      <c r="N2403" s="17"/>
      <c r="O2403" s="17"/>
      <c r="P2403" s="17" t="b">
        <f>IFERROR(__xludf.DUMMYFUNCTION("""COMPUTED_VALUE"""),TRUE)</f>
        <v>1</v>
      </c>
      <c r="Q2403" s="20">
        <f>IFERROR(__xludf.DUMMYFUNCTION("""COMPUTED_VALUE"""),45075.53376116898)</f>
        <v>45075.53376</v>
      </c>
      <c r="R2403" s="21" t="str">
        <f>IFERROR(__xludf.DUMMYFUNCTION("""COMPUTED_VALUE"""),"https://drive.google.com/file/d/1q7JU0qlLuimVYiWLNHJe61NvxObTAEAL/view?usp=drivesdk")</f>
        <v>https://drive.google.com/file/d/1q7JU0qlLuimVYiWLNHJe61NvxObTAEAL/view?usp=drivesdk</v>
      </c>
    </row>
    <row r="2404">
      <c r="A2404" s="15">
        <f>IFERROR(__xludf.DUMMYFUNCTION("""COMPUTED_VALUE"""),45071.0)</f>
        <v>45071</v>
      </c>
      <c r="B2404" s="16" t="str">
        <f>IFERROR(__xludf.DUMMYFUNCTION("""COMPUTED_VALUE"""),"Julian Calderon Rodriguez ")</f>
        <v>Julian Calderon Rodriguez </v>
      </c>
      <c r="C2404" s="15" t="str">
        <f>IFERROR(__xludf.DUMMYFUNCTION("""COMPUTED_VALUE"""),"VILLAVICENCIO")</f>
        <v>VILLAVICENCIO</v>
      </c>
      <c r="D2404" s="15" t="str">
        <f>IFERROR(__xludf.DUMMYFUNCTION("""COMPUTED_VALUE"""),"BOGOTÁ")</f>
        <v>BOGOTÁ</v>
      </c>
      <c r="E2404" s="15" t="str">
        <f>IFERROR(__xludf.DUMMYFUNCTION("""COMPUTED_VALUE"""),"Lunchy Kids")</f>
        <v>Lunchy Kids</v>
      </c>
      <c r="F2404" s="17" t="str">
        <f>IFERROR(__xludf.DUMMYFUNCTION("""COMPUTED_VALUE"""),"calle 7 #46 - 00  / Condominio umabari. Manzana 1 casa 8 /  barrio buque")</f>
        <v>calle 7 #46 - 00  / Condominio umabari. Manzana 1 casa 8 /  barrio buque</v>
      </c>
      <c r="G2404" s="15" t="str">
        <f>IFERROR(__xludf.DUMMYFUNCTION("""COMPUTED_VALUE"""),"Gabriela Rincon")</f>
        <v>Gabriela Rincon</v>
      </c>
      <c r="H2404" s="16">
        <f>IFERROR(__xludf.DUMMYFUNCTION("""COMPUTED_VALUE"""),10891.0)</f>
        <v>10891</v>
      </c>
      <c r="I2404" s="18">
        <f>IFERROR(__xludf.DUMMYFUNCTION("""COMPUTED_VALUE"""),23.0)</f>
        <v>23</v>
      </c>
      <c r="J2404" s="18">
        <f>IFERROR(__xludf.DUMMYFUNCTION("""COMPUTED_VALUE"""),27.0)</f>
        <v>27</v>
      </c>
      <c r="K2404" s="18">
        <f>IFERROR(__xludf.DUMMYFUNCTION("""COMPUTED_VALUE"""),10.0)</f>
        <v>10</v>
      </c>
      <c r="L2404" s="17">
        <f>IFERROR(__xludf.DUMMYFUNCTION("""COMPUTED_VALUE"""),3.202747042E9)</f>
        <v>3202747042</v>
      </c>
      <c r="M2404" s="17" t="str">
        <f>IFERROR(__xludf.DUMMYFUNCTION("""COMPUTED_VALUE"""),"#REF!")</f>
        <v>#REF!</v>
      </c>
      <c r="N2404" s="17"/>
      <c r="O2404" s="17"/>
      <c r="P2404" s="17" t="b">
        <f>IFERROR(__xludf.DUMMYFUNCTION("""COMPUTED_VALUE"""),TRUE)</f>
        <v>1</v>
      </c>
      <c r="Q2404" s="20">
        <f>IFERROR(__xludf.DUMMYFUNCTION("""COMPUTED_VALUE"""),45075.53376116898)</f>
        <v>45075.53376</v>
      </c>
      <c r="R2404" s="21" t="str">
        <f>IFERROR(__xludf.DUMMYFUNCTION("""COMPUTED_VALUE"""),"https://drive.google.com/file/d/125LC7ewMxlPaYk1YyD46jLhQU30dlRoC/view?usp=drivesdk")</f>
        <v>https://drive.google.com/file/d/125LC7ewMxlPaYk1YyD46jLhQU30dlRoC/view?usp=drivesdk</v>
      </c>
    </row>
    <row r="2405">
      <c r="A2405" s="15">
        <f>IFERROR(__xludf.DUMMYFUNCTION("""COMPUTED_VALUE"""),45071.0)</f>
        <v>45071</v>
      </c>
      <c r="B2405" s="16" t="str">
        <f>IFERROR(__xludf.DUMMYFUNCTION("""COMPUTED_VALUE"""),"Julian Calderon Rodriguez ")</f>
        <v>Julian Calderon Rodriguez </v>
      </c>
      <c r="C2405" s="15" t="str">
        <f>IFERROR(__xludf.DUMMYFUNCTION("""COMPUTED_VALUE"""),"VILLAVICENCIO")</f>
        <v>VILLAVICENCIO</v>
      </c>
      <c r="D2405" s="15" t="str">
        <f>IFERROR(__xludf.DUMMYFUNCTION("""COMPUTED_VALUE"""),"BOGOTÁ")</f>
        <v>BOGOTÁ</v>
      </c>
      <c r="E2405" s="15" t="str">
        <f>IFERROR(__xludf.DUMMYFUNCTION("""COMPUTED_VALUE"""),"Lunchy Kids")</f>
        <v>Lunchy Kids</v>
      </c>
      <c r="F2405" s="17" t="str">
        <f>IFERROR(__xludf.DUMMYFUNCTION("""COMPUTED_VALUE"""),"Calle 8 No 52-62  / Conjunto Reserva de la Sierra Torre 1- Apto 103.  / Reserva de la Sierra")</f>
        <v>Calle 8 No 52-62  / Conjunto Reserva de la Sierra Torre 1- Apto 103.  / Reserva de la Sierra</v>
      </c>
      <c r="G2405" s="15" t="str">
        <f>IFERROR(__xludf.DUMMYFUNCTION("""COMPUTED_VALUE"""),"Erika Trivino")</f>
        <v>Erika Trivino</v>
      </c>
      <c r="H2405" s="16">
        <f>IFERROR(__xludf.DUMMYFUNCTION("""COMPUTED_VALUE"""),10884.0)</f>
        <v>10884</v>
      </c>
      <c r="I2405" s="18">
        <f>IFERROR(__xludf.DUMMYFUNCTION("""COMPUTED_VALUE"""),22.0)</f>
        <v>22</v>
      </c>
      <c r="J2405" s="18">
        <f>IFERROR(__xludf.DUMMYFUNCTION("""COMPUTED_VALUE"""),31.0)</f>
        <v>31</v>
      </c>
      <c r="K2405" s="18">
        <f>IFERROR(__xludf.DUMMYFUNCTION("""COMPUTED_VALUE"""),14.0)</f>
        <v>14</v>
      </c>
      <c r="L2405" s="17">
        <f>IFERROR(__xludf.DUMMYFUNCTION("""COMPUTED_VALUE"""),3.208549075E9)</f>
        <v>3208549075</v>
      </c>
      <c r="M2405" s="17" t="str">
        <f>IFERROR(__xludf.DUMMYFUNCTION("""COMPUTED_VALUE"""),"#REF!")</f>
        <v>#REF!</v>
      </c>
      <c r="N2405" s="17"/>
      <c r="O2405" s="17"/>
      <c r="P2405" s="17" t="b">
        <f>IFERROR(__xludf.DUMMYFUNCTION("""COMPUTED_VALUE"""),TRUE)</f>
        <v>1</v>
      </c>
      <c r="Q2405" s="20">
        <f>IFERROR(__xludf.DUMMYFUNCTION("""COMPUTED_VALUE"""),45075.53376118056)</f>
        <v>45075.53376</v>
      </c>
      <c r="R2405" s="21" t="str">
        <f>IFERROR(__xludf.DUMMYFUNCTION("""COMPUTED_VALUE"""),"https://drive.google.com/file/d/11fv2nIwHCwOP5HUvvBTZ0QeSmfdPbsDL/view?usp=drivesdk")</f>
        <v>https://drive.google.com/file/d/11fv2nIwHCwOP5HUvvBTZ0QeSmfdPbsDL/view?usp=drivesdk</v>
      </c>
    </row>
    <row r="2406">
      <c r="A2406" s="15">
        <f>IFERROR(__xludf.DUMMYFUNCTION("""COMPUTED_VALUE"""),45071.0)</f>
        <v>45071</v>
      </c>
      <c r="B2406" s="16" t="str">
        <f>IFERROR(__xludf.DUMMYFUNCTION("""COMPUTED_VALUE"""),"Julian Calderon Rodriguez ")</f>
        <v>Julian Calderon Rodriguez </v>
      </c>
      <c r="C2406" s="15" t="str">
        <f>IFERROR(__xludf.DUMMYFUNCTION("""COMPUTED_VALUE"""),"VILLAVICENCIO")</f>
        <v>VILLAVICENCIO</v>
      </c>
      <c r="D2406" s="15" t="str">
        <f>IFERROR(__xludf.DUMMYFUNCTION("""COMPUTED_VALUE"""),"BOGOTÁ")</f>
        <v>BOGOTÁ</v>
      </c>
      <c r="E2406" s="15" t="str">
        <f>IFERROR(__xludf.DUMMYFUNCTION("""COMPUTED_VALUE"""),"Lunchy Kids")</f>
        <v>Lunchy Kids</v>
      </c>
      <c r="F2406" s="17" t="str">
        <f>IFERROR(__xludf.DUMMYFUNCTION("""COMPUTED_VALUE"""),"Carrera 28A #3A-06 sur   / Conjunto Villa Emaus - Casa 6 A / Bosques de Rosa Blanca")</f>
        <v>Carrera 28A #3A-06 sur   / Conjunto Villa Emaus - Casa 6 A / Bosques de Rosa Blanca</v>
      </c>
      <c r="G2406" s="15" t="str">
        <f>IFERROR(__xludf.DUMMYFUNCTION("""COMPUTED_VALUE"""),"Natalia Morales Garzón")</f>
        <v>Natalia Morales Garzón</v>
      </c>
      <c r="H2406" s="16">
        <f>IFERROR(__xludf.DUMMYFUNCTION("""COMPUTED_VALUE"""),10886.0)</f>
        <v>10886</v>
      </c>
      <c r="I2406" s="18">
        <f>IFERROR(__xludf.DUMMYFUNCTION("""COMPUTED_VALUE"""),15.0)</f>
        <v>15</v>
      </c>
      <c r="J2406" s="18">
        <f>IFERROR(__xludf.DUMMYFUNCTION("""COMPUTED_VALUE"""),11.0)</f>
        <v>11</v>
      </c>
      <c r="K2406" s="18">
        <f>IFERROR(__xludf.DUMMYFUNCTION("""COMPUTED_VALUE"""),28.0)</f>
        <v>28</v>
      </c>
      <c r="L2406" s="17">
        <f>IFERROR(__xludf.DUMMYFUNCTION("""COMPUTED_VALUE"""),3.045454757E9)</f>
        <v>3045454757</v>
      </c>
      <c r="M2406" s="17" t="str">
        <f>IFERROR(__xludf.DUMMYFUNCTION("""COMPUTED_VALUE"""),"#REF!")</f>
        <v>#REF!</v>
      </c>
      <c r="N2406" s="17"/>
      <c r="O2406" s="17"/>
      <c r="P2406" s="17" t="b">
        <f>IFERROR(__xludf.DUMMYFUNCTION("""COMPUTED_VALUE"""),TRUE)</f>
        <v>1</v>
      </c>
      <c r="Q2406" s="20">
        <f>IFERROR(__xludf.DUMMYFUNCTION("""COMPUTED_VALUE"""),45075.53376118056)</f>
        <v>45075.53376</v>
      </c>
      <c r="R2406" s="21" t="str">
        <f>IFERROR(__xludf.DUMMYFUNCTION("""COMPUTED_VALUE"""),"https://drive.google.com/file/d/1h5DBVh6cchtzNJWaKSE0ObHyJATXKXKD/view?usp=drivesdk")</f>
        <v>https://drive.google.com/file/d/1h5DBVh6cchtzNJWaKSE0ObHyJATXKXKD/view?usp=drivesdk</v>
      </c>
    </row>
    <row r="2407">
      <c r="A2407" s="17" t="str">
        <f>IFERROR(__xludf.DUMMYFUNCTION("""COMPUTED_VALUE"""),"")</f>
        <v/>
      </c>
      <c r="B2407" s="17" t="str">
        <f>IFERROR(__xludf.DUMMYFUNCTION("""COMPUTED_VALUE"""),"")</f>
        <v/>
      </c>
      <c r="C2407" s="17" t="str">
        <f>IFERROR(__xludf.DUMMYFUNCTION("""COMPUTED_VALUE"""),"")</f>
        <v/>
      </c>
      <c r="D2407" s="17" t="str">
        <f>IFERROR(__xludf.DUMMYFUNCTION("""COMPUTED_VALUE"""),"")</f>
        <v/>
      </c>
      <c r="E2407" s="17" t="str">
        <f>IFERROR(__xludf.DUMMYFUNCTION("""COMPUTED_VALUE"""),"")</f>
        <v/>
      </c>
      <c r="F2407" s="17" t="str">
        <f>IFERROR(__xludf.DUMMYFUNCTION("""COMPUTED_VALUE"""),"")</f>
        <v/>
      </c>
      <c r="G2407" s="17" t="str">
        <f>IFERROR(__xludf.DUMMYFUNCTION("""COMPUTED_VALUE"""),"")</f>
        <v/>
      </c>
      <c r="H2407" s="17" t="str">
        <f>IFERROR(__xludf.DUMMYFUNCTION("""COMPUTED_VALUE"""),"")</f>
        <v/>
      </c>
      <c r="I2407" s="17" t="str">
        <f>IFERROR(__xludf.DUMMYFUNCTION("""COMPUTED_VALUE"""),"")</f>
        <v/>
      </c>
      <c r="J2407" s="17" t="str">
        <f>IFERROR(__xludf.DUMMYFUNCTION("""COMPUTED_VALUE"""),"")</f>
        <v/>
      </c>
      <c r="K2407" s="17" t="str">
        <f>IFERROR(__xludf.DUMMYFUNCTION("""COMPUTED_VALUE"""),"")</f>
        <v/>
      </c>
      <c r="L2407" s="17" t="str">
        <f>IFERROR(__xludf.DUMMYFUNCTION("""COMPUTED_VALUE"""),"")</f>
        <v/>
      </c>
      <c r="M2407" s="17" t="str">
        <f>IFERROR(__xludf.DUMMYFUNCTION("""COMPUTED_VALUE"""),"")</f>
        <v/>
      </c>
      <c r="N2407" s="17" t="str">
        <f>IFERROR(__xludf.DUMMYFUNCTION("""COMPUTED_VALUE"""),"")</f>
        <v/>
      </c>
      <c r="O2407" s="17" t="str">
        <f>IFERROR(__xludf.DUMMYFUNCTION("""COMPUTED_VALUE"""),"")</f>
        <v/>
      </c>
      <c r="P2407" s="17" t="str">
        <f>IFERROR(__xludf.DUMMYFUNCTION("""COMPUTED_VALUE"""),"")</f>
        <v/>
      </c>
      <c r="Q2407" s="17" t="str">
        <f>IFERROR(__xludf.DUMMYFUNCTION("""COMPUTED_VALUE"""),"")</f>
        <v/>
      </c>
      <c r="R2407" s="17" t="str">
        <f>IFERROR(__xludf.DUMMYFUNCTION("""COMPUTED_VALUE"""),"")</f>
        <v/>
      </c>
    </row>
    <row r="2408">
      <c r="A2408" s="15">
        <f>IFERROR(__xludf.DUMMYFUNCTION("""COMPUTED_VALUE"""),45071.0)</f>
        <v>45071</v>
      </c>
      <c r="B2408" s="16" t="str">
        <f>IFERROR(__xludf.DUMMYFUNCTION("""COMPUTED_VALUE"""),"Oscar Augusto Meneses Osias")</f>
        <v>Oscar Augusto Meneses Osias</v>
      </c>
      <c r="C2408" s="15" t="str">
        <f>IFERROR(__xludf.DUMMYFUNCTION("""COMPUTED_VALUE"""),"CALI")</f>
        <v>CALI</v>
      </c>
      <c r="D2408" s="15" t="str">
        <f>IFERROR(__xludf.DUMMYFUNCTION("""COMPUTED_VALUE"""),"MEDELLÍN")</f>
        <v>MEDELLÍN</v>
      </c>
      <c r="E2408" s="15" t="str">
        <f>IFERROR(__xludf.DUMMYFUNCTION("""COMPUTED_VALUE"""),"Rambla")</f>
        <v>Rambla</v>
      </c>
      <c r="F2408" s="17" t="str">
        <f>IFERROR(__xludf.DUMMYFUNCTION("""COMPUTED_VALUE"""),"Avenida 10 norte # 21-80 Edificio terrazas de Santa Mónica  Apto 201 / na / na")</f>
        <v>Avenida 10 norte # 21-80 Edificio terrazas de Santa Mónica  Apto 201 / na / na</v>
      </c>
      <c r="G2408" s="15" t="str">
        <f>IFERROR(__xludf.DUMMYFUNCTION("""COMPUTED_VALUE"""),"Bumi Restaurante")</f>
        <v>Bumi Restaurante</v>
      </c>
      <c r="H2408" s="16">
        <f>IFERROR(__xludf.DUMMYFUNCTION("""COMPUTED_VALUE"""),11013.0)</f>
        <v>11013</v>
      </c>
      <c r="I2408" s="18">
        <f>IFERROR(__xludf.DUMMYFUNCTION("""COMPUTED_VALUE"""),5.0)</f>
        <v>5</v>
      </c>
      <c r="J2408" s="18">
        <f>IFERROR(__xludf.DUMMYFUNCTION("""COMPUTED_VALUE"""),10.0)</f>
        <v>10</v>
      </c>
      <c r="K2408" s="18">
        <f>IFERROR(__xludf.DUMMYFUNCTION("""COMPUTED_VALUE"""),10.0)</f>
        <v>10</v>
      </c>
      <c r="L2408" s="17">
        <f>IFERROR(__xludf.DUMMYFUNCTION("""COMPUTED_VALUE"""),3.114406029E9)</f>
        <v>3114406029</v>
      </c>
      <c r="M2408" s="17" t="str">
        <f>IFERROR(__xludf.DUMMYFUNCTION("""COMPUTED_VALUE"""),"#REF!")</f>
        <v>#REF!</v>
      </c>
      <c r="N2408" s="17"/>
      <c r="O2408" s="17"/>
      <c r="P2408" s="17" t="b">
        <f>IFERROR(__xludf.DUMMYFUNCTION("""COMPUTED_VALUE"""),FALSE)</f>
        <v>0</v>
      </c>
      <c r="Q2408" s="20" t="str">
        <f>IFERROR(__xludf.DUMMYFUNCTION("""COMPUTED_VALUE"""),"")</f>
        <v/>
      </c>
      <c r="R2408" s="21" t="str">
        <f>IFERROR(__xludf.DUMMYFUNCTION("""COMPUTED_VALUE"""),"https://drive.google.com/file/d/1d7vOMnZ4vG-C_0R69APeCDe_Xm_qhGyG/view?usp=drivesdk")</f>
        <v>https://drive.google.com/file/d/1d7vOMnZ4vG-C_0R69APeCDe_Xm_qhGyG/view?usp=drivesdk</v>
      </c>
    </row>
    <row r="2409">
      <c r="A2409" s="17" t="str">
        <f>IFERROR(__xludf.DUMMYFUNCTION("""COMPUTED_VALUE"""),"")</f>
        <v/>
      </c>
      <c r="B2409" s="17" t="str">
        <f>IFERROR(__xludf.DUMMYFUNCTION("""COMPUTED_VALUE"""),"")</f>
        <v/>
      </c>
      <c r="C2409" s="17" t="str">
        <f>IFERROR(__xludf.DUMMYFUNCTION("""COMPUTED_VALUE"""),"")</f>
        <v/>
      </c>
      <c r="D2409" s="17" t="str">
        <f>IFERROR(__xludf.DUMMYFUNCTION("""COMPUTED_VALUE"""),"")</f>
        <v/>
      </c>
      <c r="E2409" s="17" t="str">
        <f>IFERROR(__xludf.DUMMYFUNCTION("""COMPUTED_VALUE"""),"")</f>
        <v/>
      </c>
      <c r="F2409" s="17" t="str">
        <f>IFERROR(__xludf.DUMMYFUNCTION("""COMPUTED_VALUE"""),"")</f>
        <v/>
      </c>
      <c r="G2409" s="17" t="str">
        <f>IFERROR(__xludf.DUMMYFUNCTION("""COMPUTED_VALUE"""),"")</f>
        <v/>
      </c>
      <c r="H2409" s="17" t="str">
        <f>IFERROR(__xludf.DUMMYFUNCTION("""COMPUTED_VALUE"""),"")</f>
        <v/>
      </c>
      <c r="I2409" s="17" t="str">
        <f>IFERROR(__xludf.DUMMYFUNCTION("""COMPUTED_VALUE"""),"")</f>
        <v/>
      </c>
      <c r="J2409" s="17" t="str">
        <f>IFERROR(__xludf.DUMMYFUNCTION("""COMPUTED_VALUE"""),"")</f>
        <v/>
      </c>
      <c r="K2409" s="17" t="str">
        <f>IFERROR(__xludf.DUMMYFUNCTION("""COMPUTED_VALUE"""),"")</f>
        <v/>
      </c>
      <c r="L2409" s="17" t="str">
        <f>IFERROR(__xludf.DUMMYFUNCTION("""COMPUTED_VALUE"""),"")</f>
        <v/>
      </c>
      <c r="M2409" s="17" t="str">
        <f>IFERROR(__xludf.DUMMYFUNCTION("""COMPUTED_VALUE"""),"")</f>
        <v/>
      </c>
      <c r="N2409" s="17" t="str">
        <f>IFERROR(__xludf.DUMMYFUNCTION("""COMPUTED_VALUE"""),"")</f>
        <v/>
      </c>
      <c r="O2409" s="17" t="str">
        <f>IFERROR(__xludf.DUMMYFUNCTION("""COMPUTED_VALUE"""),"")</f>
        <v/>
      </c>
      <c r="P2409" s="17" t="str">
        <f>IFERROR(__xludf.DUMMYFUNCTION("""COMPUTED_VALUE"""),"")</f>
        <v/>
      </c>
      <c r="Q2409" s="17" t="str">
        <f>IFERROR(__xludf.DUMMYFUNCTION("""COMPUTED_VALUE"""),"")</f>
        <v/>
      </c>
      <c r="R2409" s="17" t="str">
        <f>IFERROR(__xludf.DUMMYFUNCTION("""COMPUTED_VALUE"""),"")</f>
        <v/>
      </c>
    </row>
    <row r="2410">
      <c r="A2410" s="15">
        <f>IFERROR(__xludf.DUMMYFUNCTION("""COMPUTED_VALUE"""),45072.0)</f>
        <v>45072</v>
      </c>
      <c r="B2410" s="16" t="str">
        <f>IFERROR(__xludf.DUMMYFUNCTION("""COMPUTED_VALUE"""),"Andres felipe maya bautista ")</f>
        <v>Andres felipe maya bautista </v>
      </c>
      <c r="C2410" s="15" t="str">
        <f>IFERROR(__xludf.DUMMYFUNCTION("""COMPUTED_VALUE"""),"BOGOTÁ")</f>
        <v>BOGOTÁ</v>
      </c>
      <c r="D2410" s="15" t="str">
        <f>IFERROR(__xludf.DUMMYFUNCTION("""COMPUTED_VALUE"""),"MEDELLÍN")</f>
        <v>MEDELLÍN</v>
      </c>
      <c r="E2410" s="15" t="str">
        <f>IFERROR(__xludf.DUMMYFUNCTION("""COMPUTED_VALUE"""),"Baby Chef")</f>
        <v>Baby Chef</v>
      </c>
      <c r="F2410" s="17" t="str">
        <f>IFERROR(__xludf.DUMMYFUNCTION("""COMPUTED_VALUE"""),"Calle 129#54-75interior 11 apto 303 / Calle 129#54-75interior 11 apto 303 / Calle 129#54-75interior 11 apto 303")</f>
        <v>Calle 129#54-75interior 11 apto 303 / Calle 129#54-75interior 11 apto 303 / Calle 129#54-75interior 11 apto 303</v>
      </c>
      <c r="G2410" s="15" t="str">
        <f>IFERROR(__xludf.DUMMYFUNCTION("""COMPUTED_VALUE"""),"Leydy Tatiana yate rodriguez")</f>
        <v>Leydy Tatiana yate rodriguez</v>
      </c>
      <c r="H2410" s="16">
        <f>IFERROR(__xludf.DUMMYFUNCTION("""COMPUTED_VALUE"""),11043.0)</f>
        <v>11043</v>
      </c>
      <c r="I2410" s="18">
        <f>IFERROR(__xludf.DUMMYFUNCTION("""COMPUTED_VALUE"""),8.0)</f>
        <v>8</v>
      </c>
      <c r="J2410" s="18">
        <f>IFERROR(__xludf.DUMMYFUNCTION("""COMPUTED_VALUE"""),16.0)</f>
        <v>16</v>
      </c>
      <c r="K2410" s="18">
        <f>IFERROR(__xludf.DUMMYFUNCTION("""COMPUTED_VALUE"""),20.0)</f>
        <v>20</v>
      </c>
      <c r="L2410" s="17">
        <f>IFERROR(__xludf.DUMMYFUNCTION("""COMPUTED_VALUE"""),3.058113207E9)</f>
        <v>3058113207</v>
      </c>
      <c r="M2410" s="17" t="str">
        <f>IFERROR(__xludf.DUMMYFUNCTION("""COMPUTED_VALUE"""),"#REF!")</f>
        <v>#REF!</v>
      </c>
      <c r="N2410" s="17"/>
      <c r="O2410" s="17"/>
      <c r="P2410" s="17" t="b">
        <f>IFERROR(__xludf.DUMMYFUNCTION("""COMPUTED_VALUE"""),FALSE)</f>
        <v>0</v>
      </c>
      <c r="Q2410" s="20" t="str">
        <f>IFERROR(__xludf.DUMMYFUNCTION("""COMPUTED_VALUE"""),"")</f>
        <v/>
      </c>
      <c r="R2410" s="22" t="str">
        <f>IFERROR(__xludf.DUMMYFUNCTION("""COMPUTED_VALUE"""),"")</f>
        <v/>
      </c>
    </row>
    <row r="2411">
      <c r="A2411" s="15">
        <f>IFERROR(__xludf.DUMMYFUNCTION("""COMPUTED_VALUE"""),45072.0)</f>
        <v>45072</v>
      </c>
      <c r="B2411" s="16" t="str">
        <f>IFERROR(__xludf.DUMMYFUNCTION("""COMPUTED_VALUE"""),"Andres felipe maya bautista ")</f>
        <v>Andres felipe maya bautista </v>
      </c>
      <c r="C2411" s="15" t="str">
        <f>IFERROR(__xludf.DUMMYFUNCTION("""COMPUTED_VALUE"""),"BOGOTÁ")</f>
        <v>BOGOTÁ</v>
      </c>
      <c r="D2411" s="15" t="str">
        <f>IFERROR(__xludf.DUMMYFUNCTION("""COMPUTED_VALUE"""),"MEDELLÍN")</f>
        <v>MEDELLÍN</v>
      </c>
      <c r="E2411" s="15" t="str">
        <f>IFERROR(__xludf.DUMMYFUNCTION("""COMPUTED_VALUE"""),"Baby Chef")</f>
        <v>Baby Chef</v>
      </c>
      <c r="F2411" s="17" t="str">
        <f>IFERROR(__xludf.DUMMYFUNCTION("""COMPUTED_VALUE"""),"Calle 7 sur # 6-54, Conjunto Monserrat torre 2 apartamento 205 Barrio: Villa Javier  / ""Calle 7 sur # 6-54, Conjunto Monserrat torre 2 apartamento 205 Barrio: Villa Javier "" / ""Calle 7 sur # 6-54, Conjunto Monserrat torre 2 apartamento 205 Barrio: Vill"&amp;"a Javier """)</f>
        <v>Calle 7 sur # 6-54, Conjunto Monserrat torre 2 apartamento 205 Barrio: Villa Javier  / "Calle 7 sur # 6-54, Conjunto Monserrat torre 2 apartamento 205 Barrio: Villa Javier " / "Calle 7 sur # 6-54, Conjunto Monserrat torre 2 apartamento 205 Barrio: Villa Javier "</v>
      </c>
      <c r="G2411" s="15" t="str">
        <f>IFERROR(__xludf.DUMMYFUNCTION("""COMPUTED_VALUE"""),"Carol Andrea Torres Rozo")</f>
        <v>Carol Andrea Torres Rozo</v>
      </c>
      <c r="H2411" s="16">
        <f>IFERROR(__xludf.DUMMYFUNCTION("""COMPUTED_VALUE"""),11042.0)</f>
        <v>11042</v>
      </c>
      <c r="I2411" s="18">
        <f>IFERROR(__xludf.DUMMYFUNCTION("""COMPUTED_VALUE"""),8.0)</f>
        <v>8</v>
      </c>
      <c r="J2411" s="18">
        <f>IFERROR(__xludf.DUMMYFUNCTION("""COMPUTED_VALUE"""),16.0)</f>
        <v>16</v>
      </c>
      <c r="K2411" s="18">
        <f>IFERROR(__xludf.DUMMYFUNCTION("""COMPUTED_VALUE"""),20.0)</f>
        <v>20</v>
      </c>
      <c r="L2411" s="17">
        <f>IFERROR(__xludf.DUMMYFUNCTION("""COMPUTED_VALUE"""),3.155841355E9)</f>
        <v>3155841355</v>
      </c>
      <c r="M2411" s="17" t="str">
        <f>IFERROR(__xludf.DUMMYFUNCTION("""COMPUTED_VALUE"""),"#REF!")</f>
        <v>#REF!</v>
      </c>
      <c r="N2411" s="17"/>
      <c r="O2411" s="17"/>
      <c r="P2411" s="17" t="b">
        <f>IFERROR(__xludf.DUMMYFUNCTION("""COMPUTED_VALUE"""),FALSE)</f>
        <v>0</v>
      </c>
      <c r="Q2411" s="20" t="str">
        <f>IFERROR(__xludf.DUMMYFUNCTION("""COMPUTED_VALUE"""),"")</f>
        <v/>
      </c>
      <c r="R2411" s="22" t="str">
        <f>IFERROR(__xludf.DUMMYFUNCTION("""COMPUTED_VALUE"""),"")</f>
        <v/>
      </c>
    </row>
    <row r="2412">
      <c r="A2412" s="15">
        <f>IFERROR(__xludf.DUMMYFUNCTION("""COMPUTED_VALUE"""),45072.0)</f>
        <v>45072</v>
      </c>
      <c r="B2412" s="16" t="str">
        <f>IFERROR(__xludf.DUMMYFUNCTION("""COMPUTED_VALUE"""),"Andres felipe maya bautista ")</f>
        <v>Andres felipe maya bautista </v>
      </c>
      <c r="C2412" s="15" t="str">
        <f>IFERROR(__xludf.DUMMYFUNCTION("""COMPUTED_VALUE"""),"BOGOTÁ")</f>
        <v>BOGOTÁ</v>
      </c>
      <c r="D2412" s="15" t="str">
        <f>IFERROR(__xludf.DUMMYFUNCTION("""COMPUTED_VALUE"""),"MEDELLÍN")</f>
        <v>MEDELLÍN</v>
      </c>
      <c r="E2412" s="15" t="str">
        <f>IFERROR(__xludf.DUMMYFUNCTION("""COMPUTED_VALUE"""),"Baby Chef")</f>
        <v>Baby Chef</v>
      </c>
      <c r="F2412" s="17" t="str">
        <f>IFERROR(__xludf.DUMMYFUNCTION("""COMPUTED_VALUE"""),"La candelaria centro Cra 4#12c-43 apto304 Conjunto José del Carmen Gutiérrez / La candelaria centro Cra 4#12c-43 apto304 Conjunto José del Carmen Gutiérrez / La candelaria centro Cra 4#12c-43 apto304 Conjunto José del Carmen Gutiérrez")</f>
        <v>La candelaria centro Cra 4#12c-43 apto304 Conjunto José del Carmen Gutiérrez / La candelaria centro Cra 4#12c-43 apto304 Conjunto José del Carmen Gutiérrez / La candelaria centro Cra 4#12c-43 apto304 Conjunto José del Carmen Gutiérrez</v>
      </c>
      <c r="G2412" s="15" t="str">
        <f>IFERROR(__xludf.DUMMYFUNCTION("""COMPUTED_VALUE"""),"Kelly Barranco")</f>
        <v>Kelly Barranco</v>
      </c>
      <c r="H2412" s="16">
        <f>IFERROR(__xludf.DUMMYFUNCTION("""COMPUTED_VALUE"""),11040.0)</f>
        <v>11040</v>
      </c>
      <c r="I2412" s="18">
        <f>IFERROR(__xludf.DUMMYFUNCTION("""COMPUTED_VALUE"""),8.0)</f>
        <v>8</v>
      </c>
      <c r="J2412" s="18">
        <f>IFERROR(__xludf.DUMMYFUNCTION("""COMPUTED_VALUE"""),16.0)</f>
        <v>16</v>
      </c>
      <c r="K2412" s="18">
        <f>IFERROR(__xludf.DUMMYFUNCTION("""COMPUTED_VALUE"""),20.0)</f>
        <v>20</v>
      </c>
      <c r="L2412" s="17">
        <f>IFERROR(__xludf.DUMMYFUNCTION("""COMPUTED_VALUE"""),3.004774729E9)</f>
        <v>3004774729</v>
      </c>
      <c r="M2412" s="17" t="str">
        <f>IFERROR(__xludf.DUMMYFUNCTION("""COMPUTED_VALUE"""),"#REF!")</f>
        <v>#REF!</v>
      </c>
      <c r="N2412" s="17"/>
      <c r="O2412" s="17"/>
      <c r="P2412" s="17" t="b">
        <f>IFERROR(__xludf.DUMMYFUNCTION("""COMPUTED_VALUE"""),FALSE)</f>
        <v>0</v>
      </c>
      <c r="Q2412" s="20" t="str">
        <f>IFERROR(__xludf.DUMMYFUNCTION("""COMPUTED_VALUE"""),"")</f>
        <v/>
      </c>
      <c r="R2412" s="22" t="str">
        <f>IFERROR(__xludf.DUMMYFUNCTION("""COMPUTED_VALUE"""),"")</f>
        <v/>
      </c>
    </row>
    <row r="2413">
      <c r="A2413" s="15">
        <f>IFERROR(__xludf.DUMMYFUNCTION("""COMPUTED_VALUE"""),45072.0)</f>
        <v>45072</v>
      </c>
      <c r="B2413" s="16" t="str">
        <f>IFERROR(__xludf.DUMMYFUNCTION("""COMPUTED_VALUE"""),"Andres felipe maya bautista ")</f>
        <v>Andres felipe maya bautista </v>
      </c>
      <c r="C2413" s="15" t="str">
        <f>IFERROR(__xludf.DUMMYFUNCTION("""COMPUTED_VALUE"""),"BOGOTÁ")</f>
        <v>BOGOTÁ</v>
      </c>
      <c r="D2413" s="15" t="str">
        <f>IFERROR(__xludf.DUMMYFUNCTION("""COMPUTED_VALUE"""),"MEDELLÍN")</f>
        <v>MEDELLÍN</v>
      </c>
      <c r="E2413" s="15" t="str">
        <f>IFERROR(__xludf.DUMMYFUNCTION("""COMPUTED_VALUE"""),"Moloso S.A.S")</f>
        <v>Moloso S.A.S</v>
      </c>
      <c r="F2413" s="17" t="str">
        <f>IFERROR(__xludf.DUMMYFUNCTION("""COMPUTED_VALUE"""),"CR 75 24 D 80 / FLORISTERIA FLORALIA")</f>
        <v>CR 75 24 D 80 / FLORISTERIA FLORALIA</v>
      </c>
      <c r="G2413" s="15" t="str">
        <f>IFERROR(__xludf.DUMMYFUNCTION("""COMPUTED_VALUE"""),"MARIA JOSE MELO BONILLA")</f>
        <v>MARIA JOSE MELO BONILLA</v>
      </c>
      <c r="H2413" s="16">
        <f>IFERROR(__xludf.DUMMYFUNCTION("""COMPUTED_VALUE"""),11052.0)</f>
        <v>11052</v>
      </c>
      <c r="I2413" s="18">
        <f>IFERROR(__xludf.DUMMYFUNCTION("""COMPUTED_VALUE"""),17.0)</f>
        <v>17</v>
      </c>
      <c r="J2413" s="18">
        <f>IFERROR(__xludf.DUMMYFUNCTION("""COMPUTED_VALUE"""),15.0)</f>
        <v>15</v>
      </c>
      <c r="K2413" s="18">
        <f>IFERROR(__xludf.DUMMYFUNCTION("""COMPUTED_VALUE"""),28.0)</f>
        <v>28</v>
      </c>
      <c r="L2413" s="17">
        <f>IFERROR(__xludf.DUMMYFUNCTION("""COMPUTED_VALUE"""),3.143504351E9)</f>
        <v>3143504351</v>
      </c>
      <c r="M2413" s="17" t="str">
        <f>IFERROR(__xludf.DUMMYFUNCTION("""COMPUTED_VALUE"""),"#REF!")</f>
        <v>#REF!</v>
      </c>
      <c r="N2413" s="17"/>
      <c r="O2413" s="17"/>
      <c r="P2413" s="17" t="b">
        <f>IFERROR(__xludf.DUMMYFUNCTION("""COMPUTED_VALUE"""),FALSE)</f>
        <v>0</v>
      </c>
      <c r="Q2413" s="20" t="str">
        <f>IFERROR(__xludf.DUMMYFUNCTION("""COMPUTED_VALUE"""),"")</f>
        <v/>
      </c>
      <c r="R2413" s="22" t="str">
        <f>IFERROR(__xludf.DUMMYFUNCTION("""COMPUTED_VALUE"""),"")</f>
        <v/>
      </c>
    </row>
    <row r="2414">
      <c r="A2414" s="15">
        <f>IFERROR(__xludf.DUMMYFUNCTION("""COMPUTED_VALUE"""),45072.0)</f>
        <v>45072</v>
      </c>
      <c r="B2414" s="16" t="str">
        <f>IFERROR(__xludf.DUMMYFUNCTION("""COMPUTED_VALUE"""),"Andres felipe maya bautista ")</f>
        <v>Andres felipe maya bautista </v>
      </c>
      <c r="C2414" s="15" t="str">
        <f>IFERROR(__xludf.DUMMYFUNCTION("""COMPUTED_VALUE"""),"BOGOTÁ")</f>
        <v>BOGOTÁ</v>
      </c>
      <c r="D2414" s="15" t="str">
        <f>IFERROR(__xludf.DUMMYFUNCTION("""COMPUTED_VALUE"""),"MEDELLÍN")</f>
        <v>MEDELLÍN</v>
      </c>
      <c r="E2414" s="15" t="str">
        <f>IFERROR(__xludf.DUMMYFUNCTION("""COMPUTED_VALUE"""),"Rambla")</f>
        <v>Rambla</v>
      </c>
      <c r="F2414" s="17" t="str">
        <f>IFERROR(__xludf.DUMMYFUNCTION("""COMPUTED_VALUE"""),"Cl. 93a #11-46, Barrio Chicó / NA / NA")</f>
        <v>Cl. 93a #11-46, Barrio Chicó / NA / NA</v>
      </c>
      <c r="G2414" s="15" t="str">
        <f>IFERROR(__xludf.DUMMYFUNCTION("""COMPUTED_VALUE"""),"Fit Hub Bogota")</f>
        <v>Fit Hub Bogota</v>
      </c>
      <c r="H2414" s="16">
        <f>IFERROR(__xludf.DUMMYFUNCTION("""COMPUTED_VALUE"""),11033.0)</f>
        <v>11033</v>
      </c>
      <c r="I2414" s="18">
        <f>IFERROR(__xludf.DUMMYFUNCTION("""COMPUTED_VALUE"""),22.0)</f>
        <v>22</v>
      </c>
      <c r="J2414" s="18">
        <f>IFERROR(__xludf.DUMMYFUNCTION("""COMPUTED_VALUE"""),25.0)</f>
        <v>25</v>
      </c>
      <c r="K2414" s="18">
        <f>IFERROR(__xludf.DUMMYFUNCTION("""COMPUTED_VALUE"""),28.0)</f>
        <v>28</v>
      </c>
      <c r="L2414" s="17">
        <f>IFERROR(__xludf.DUMMYFUNCTION("""COMPUTED_VALUE"""),3.015447307E9)</f>
        <v>3015447307</v>
      </c>
      <c r="M2414" s="17" t="str">
        <f>IFERROR(__xludf.DUMMYFUNCTION("""COMPUTED_VALUE"""),"#REF!")</f>
        <v>#REF!</v>
      </c>
      <c r="N2414" s="17"/>
      <c r="O2414" s="17"/>
      <c r="P2414" s="17" t="b">
        <f>IFERROR(__xludf.DUMMYFUNCTION("""COMPUTED_VALUE"""),FALSE)</f>
        <v>0</v>
      </c>
      <c r="Q2414" s="20" t="str">
        <f>IFERROR(__xludf.DUMMYFUNCTION("""COMPUTED_VALUE"""),"")</f>
        <v/>
      </c>
      <c r="R2414" s="21" t="str">
        <f>IFERROR(__xludf.DUMMYFUNCTION("""COMPUTED_VALUE"""),"https://drive.google.com/file/d/1SHKLxx7OgR1wvT9N0cvuEX9IrezSHpTR/view?usp=drivesdk")</f>
        <v>https://drive.google.com/file/d/1SHKLxx7OgR1wvT9N0cvuEX9IrezSHpTR/view?usp=drivesdk</v>
      </c>
    </row>
    <row r="2415">
      <c r="A2415" s="17" t="str">
        <f>IFERROR(__xludf.DUMMYFUNCTION("""COMPUTED_VALUE"""),"")</f>
        <v/>
      </c>
      <c r="B2415" s="17" t="str">
        <f>IFERROR(__xludf.DUMMYFUNCTION("""COMPUTED_VALUE"""),"")</f>
        <v/>
      </c>
      <c r="C2415" s="17" t="str">
        <f>IFERROR(__xludf.DUMMYFUNCTION("""COMPUTED_VALUE"""),"")</f>
        <v/>
      </c>
      <c r="D2415" s="17" t="str">
        <f>IFERROR(__xludf.DUMMYFUNCTION("""COMPUTED_VALUE"""),"")</f>
        <v/>
      </c>
      <c r="E2415" s="17" t="str">
        <f>IFERROR(__xludf.DUMMYFUNCTION("""COMPUTED_VALUE"""),"")</f>
        <v/>
      </c>
      <c r="F2415" s="17" t="str">
        <f>IFERROR(__xludf.DUMMYFUNCTION("""COMPUTED_VALUE"""),"")</f>
        <v/>
      </c>
      <c r="G2415" s="17" t="str">
        <f>IFERROR(__xludf.DUMMYFUNCTION("""COMPUTED_VALUE"""),"")</f>
        <v/>
      </c>
      <c r="H2415" s="17" t="str">
        <f>IFERROR(__xludf.DUMMYFUNCTION("""COMPUTED_VALUE"""),"")</f>
        <v/>
      </c>
      <c r="I2415" s="17" t="str">
        <f>IFERROR(__xludf.DUMMYFUNCTION("""COMPUTED_VALUE"""),"")</f>
        <v/>
      </c>
      <c r="J2415" s="17" t="str">
        <f>IFERROR(__xludf.DUMMYFUNCTION("""COMPUTED_VALUE"""),"")</f>
        <v/>
      </c>
      <c r="K2415" s="17" t="str">
        <f>IFERROR(__xludf.DUMMYFUNCTION("""COMPUTED_VALUE"""),"")</f>
        <v/>
      </c>
      <c r="L2415" s="17" t="str">
        <f>IFERROR(__xludf.DUMMYFUNCTION("""COMPUTED_VALUE"""),"")</f>
        <v/>
      </c>
      <c r="M2415" s="17" t="str">
        <f>IFERROR(__xludf.DUMMYFUNCTION("""COMPUTED_VALUE"""),"")</f>
        <v/>
      </c>
      <c r="N2415" s="17" t="str">
        <f>IFERROR(__xludf.DUMMYFUNCTION("""COMPUTED_VALUE"""),"")</f>
        <v/>
      </c>
      <c r="O2415" s="17" t="str">
        <f>IFERROR(__xludf.DUMMYFUNCTION("""COMPUTED_VALUE"""),"")</f>
        <v/>
      </c>
      <c r="P2415" s="17" t="str">
        <f>IFERROR(__xludf.DUMMYFUNCTION("""COMPUTED_VALUE"""),"")</f>
        <v/>
      </c>
      <c r="Q2415" s="17" t="str">
        <f>IFERROR(__xludf.DUMMYFUNCTION("""COMPUTED_VALUE"""),"")</f>
        <v/>
      </c>
      <c r="R2415" s="17" t="str">
        <f>IFERROR(__xludf.DUMMYFUNCTION("""COMPUTED_VALUE"""),"")</f>
        <v/>
      </c>
    </row>
    <row r="2416">
      <c r="A2416" s="15">
        <f>IFERROR(__xludf.DUMMYFUNCTION("""COMPUTED_VALUE"""),45072.0)</f>
        <v>45072</v>
      </c>
      <c r="B2416" s="16" t="str">
        <f>IFERROR(__xludf.DUMMYFUNCTION("""COMPUTED_VALUE"""),"Daniel José sandoval gonzalez")</f>
        <v>Daniel José sandoval gonzalez</v>
      </c>
      <c r="C2416" s="15" t="str">
        <f>IFERROR(__xludf.DUMMYFUNCTION("""COMPUTED_VALUE"""),"BARRANQUILLA")</f>
        <v>BARRANQUILLA</v>
      </c>
      <c r="D2416" s="15" t="str">
        <f>IFERROR(__xludf.DUMMYFUNCTION("""COMPUTED_VALUE"""),"BOGOTÁ")</f>
        <v>BOGOTÁ</v>
      </c>
      <c r="E2416" s="15" t="str">
        <f>IFERROR(__xludf.DUMMYFUNCTION("""COMPUTED_VALUE"""),"Evamazzita")</f>
        <v>Evamazzita</v>
      </c>
      <c r="F2416" s="17" t="str">
        <f>IFERROR(__xludf.DUMMYFUNCTION("""COMPUTED_VALUE"""),"Calle 116#42b -91  / Int 15 AP 658  / Conjunto Golondrina  Alameda del Río")</f>
        <v>Calle 116#42b -91  / Int 15 AP 658  / Conjunto Golondrina  Alameda del Río</v>
      </c>
      <c r="G2416" s="15" t="str">
        <f>IFERROR(__xludf.DUMMYFUNCTION("""COMPUTED_VALUE"""),"LUCELLY ALEXA ROMERO SIERRA")</f>
        <v>LUCELLY ALEXA ROMERO SIERRA</v>
      </c>
      <c r="H2416" s="16">
        <f>IFERROR(__xludf.DUMMYFUNCTION("""COMPUTED_VALUE"""),10976.0)</f>
        <v>10976</v>
      </c>
      <c r="I2416" s="18">
        <f>IFERROR(__xludf.DUMMYFUNCTION("""COMPUTED_VALUE"""),3.0)</f>
        <v>3</v>
      </c>
      <c r="J2416" s="18">
        <f>IFERROR(__xludf.DUMMYFUNCTION("""COMPUTED_VALUE"""),20.0)</f>
        <v>20</v>
      </c>
      <c r="K2416" s="18">
        <f>IFERROR(__xludf.DUMMYFUNCTION("""COMPUTED_VALUE"""),15.0)</f>
        <v>15</v>
      </c>
      <c r="L2416" s="17">
        <f>IFERROR(__xludf.DUMMYFUNCTION("""COMPUTED_VALUE"""),3.004001078E9)</f>
        <v>3004001078</v>
      </c>
      <c r="M2416" s="17" t="str">
        <f>IFERROR(__xludf.DUMMYFUNCTION("""COMPUTED_VALUE"""),"#REF!")</f>
        <v>#REF!</v>
      </c>
      <c r="N2416" s="17"/>
      <c r="O2416" s="17"/>
      <c r="P2416" s="17" t="b">
        <f>IFERROR(__xludf.DUMMYFUNCTION("""COMPUTED_VALUE"""),FALSE)</f>
        <v>0</v>
      </c>
      <c r="Q2416" s="20" t="str">
        <f>IFERROR(__xludf.DUMMYFUNCTION("""COMPUTED_VALUE"""),"")</f>
        <v/>
      </c>
      <c r="R2416" s="21" t="str">
        <f>IFERROR(__xludf.DUMMYFUNCTION("""COMPUTED_VALUE"""),"https://drive.google.com/file/d/1YfbnfAt6F2u7YgkXwb6qFNXorSY-RU6J/view?usp=drivesdk")</f>
        <v>https://drive.google.com/file/d/1YfbnfAt6F2u7YgkXwb6qFNXorSY-RU6J/view?usp=drivesdk</v>
      </c>
    </row>
    <row r="2417">
      <c r="A2417" s="15">
        <f>IFERROR(__xludf.DUMMYFUNCTION("""COMPUTED_VALUE"""),45072.0)</f>
        <v>45072</v>
      </c>
      <c r="B2417" s="16" t="str">
        <f>IFERROR(__xludf.DUMMYFUNCTION("""COMPUTED_VALUE"""),"Daniel José sandoval gonzalez")</f>
        <v>Daniel José sandoval gonzalez</v>
      </c>
      <c r="C2417" s="15" t="str">
        <f>IFERROR(__xludf.DUMMYFUNCTION("""COMPUTED_VALUE"""),"BARRANQUILLA")</f>
        <v>BARRANQUILLA</v>
      </c>
      <c r="D2417" s="15" t="str">
        <f>IFERROR(__xludf.DUMMYFUNCTION("""COMPUTED_VALUE"""),"BOGOTÁ")</f>
        <v>BOGOTÁ</v>
      </c>
      <c r="E2417" s="15" t="str">
        <f>IFERROR(__xludf.DUMMYFUNCTION("""COMPUTED_VALUE"""),"Evamazzita")</f>
        <v>Evamazzita</v>
      </c>
      <c r="F2417" s="17" t="str">
        <f>IFERROR(__xludf.DUMMYFUNCTION("""COMPUTED_VALUE"""),"Carrera 21 # 47B-58  / Apto 101  / Barrio el Carmen")</f>
        <v>Carrera 21 # 47B-58  / Apto 101  / Barrio el Carmen</v>
      </c>
      <c r="G2417" s="15" t="str">
        <f>IFERROR(__xludf.DUMMYFUNCTION("""COMPUTED_VALUE"""),"MARIANELLA OVIEDO")</f>
        <v>MARIANELLA OVIEDO</v>
      </c>
      <c r="H2417" s="16">
        <f>IFERROR(__xludf.DUMMYFUNCTION("""COMPUTED_VALUE"""),10978.0)</f>
        <v>10978</v>
      </c>
      <c r="I2417" s="18">
        <f>IFERROR(__xludf.DUMMYFUNCTION("""COMPUTED_VALUE"""),3.0)</f>
        <v>3</v>
      </c>
      <c r="J2417" s="18">
        <f>IFERROR(__xludf.DUMMYFUNCTION("""COMPUTED_VALUE"""),20.0)</f>
        <v>20</v>
      </c>
      <c r="K2417" s="18">
        <f>IFERROR(__xludf.DUMMYFUNCTION("""COMPUTED_VALUE"""),15.0)</f>
        <v>15</v>
      </c>
      <c r="L2417" s="17">
        <f>IFERROR(__xludf.DUMMYFUNCTION("""COMPUTED_VALUE"""),3.017236905E9)</f>
        <v>3017236905</v>
      </c>
      <c r="M2417" s="17" t="str">
        <f>IFERROR(__xludf.DUMMYFUNCTION("""COMPUTED_VALUE"""),"#REF!")</f>
        <v>#REF!</v>
      </c>
      <c r="N2417" s="17"/>
      <c r="O2417" s="17"/>
      <c r="P2417" s="17" t="b">
        <f>IFERROR(__xludf.DUMMYFUNCTION("""COMPUTED_VALUE"""),FALSE)</f>
        <v>0</v>
      </c>
      <c r="Q2417" s="20" t="str">
        <f>IFERROR(__xludf.DUMMYFUNCTION("""COMPUTED_VALUE"""),"")</f>
        <v/>
      </c>
      <c r="R2417" s="21" t="str">
        <f>IFERROR(__xludf.DUMMYFUNCTION("""COMPUTED_VALUE"""),"https://drive.google.com/file/d/1Xcnr727lBcOVcJc3WPFn2WRC_pz8iXc0/view?usp=drivesdk")</f>
        <v>https://drive.google.com/file/d/1Xcnr727lBcOVcJc3WPFn2WRC_pz8iXc0/view?usp=drivesdk</v>
      </c>
    </row>
    <row r="2418">
      <c r="A2418" s="15">
        <f>IFERROR(__xludf.DUMMYFUNCTION("""COMPUTED_VALUE"""),45072.0)</f>
        <v>45072</v>
      </c>
      <c r="B2418" s="16" t="str">
        <f>IFERROR(__xludf.DUMMYFUNCTION("""COMPUTED_VALUE"""),"Daniel José sandoval gonzalez")</f>
        <v>Daniel José sandoval gonzalez</v>
      </c>
      <c r="C2418" s="15" t="str">
        <f>IFERROR(__xludf.DUMMYFUNCTION("""COMPUTED_VALUE"""),"BARRANQUILLA")</f>
        <v>BARRANQUILLA</v>
      </c>
      <c r="D2418" s="15" t="str">
        <f>IFERROR(__xludf.DUMMYFUNCTION("""COMPUTED_VALUE"""),"BOGOTÁ")</f>
        <v>BOGOTÁ</v>
      </c>
      <c r="E2418" s="15" t="str">
        <f>IFERROR(__xludf.DUMMYFUNCTION("""COMPUTED_VALUE"""),"Evamazzita")</f>
        <v>Evamazzita</v>
      </c>
      <c r="F2418" s="17" t="str">
        <f>IFERROR(__xludf.DUMMYFUNCTION("""COMPUTED_VALUE"""),"Carrera 49 # 74 - 174   / Edificio Blue 75 Apartamento 207  / BARRIO AMÉRICA")</f>
        <v>Carrera 49 # 74 - 174   / Edificio Blue 75 Apartamento 207  / BARRIO AMÉRICA</v>
      </c>
      <c r="G2418" s="15" t="str">
        <f>IFERROR(__xludf.DUMMYFUNCTION("""COMPUTED_VALUE"""),"MARIA JOSE JIMENEZ CIENFUEGOS")</f>
        <v>MARIA JOSE JIMENEZ CIENFUEGOS</v>
      </c>
      <c r="H2418" s="16">
        <f>IFERROR(__xludf.DUMMYFUNCTION("""COMPUTED_VALUE"""),10977.0)</f>
        <v>10977</v>
      </c>
      <c r="I2418" s="18">
        <f>IFERROR(__xludf.DUMMYFUNCTION("""COMPUTED_VALUE"""),3.0)</f>
        <v>3</v>
      </c>
      <c r="J2418" s="18">
        <f>IFERROR(__xludf.DUMMYFUNCTION("""COMPUTED_VALUE"""),15.0)</f>
        <v>15</v>
      </c>
      <c r="K2418" s="18">
        <f>IFERROR(__xludf.DUMMYFUNCTION("""COMPUTED_VALUE"""),20.0)</f>
        <v>20</v>
      </c>
      <c r="L2418" s="17">
        <f>IFERROR(__xludf.DUMMYFUNCTION("""COMPUTED_VALUE"""),3.005027163E9)</f>
        <v>3005027163</v>
      </c>
      <c r="M2418" s="17" t="str">
        <f>IFERROR(__xludf.DUMMYFUNCTION("""COMPUTED_VALUE"""),"#REF!")</f>
        <v>#REF!</v>
      </c>
      <c r="N2418" s="17"/>
      <c r="O2418" s="17"/>
      <c r="P2418" s="17" t="b">
        <f>IFERROR(__xludf.DUMMYFUNCTION("""COMPUTED_VALUE"""),FALSE)</f>
        <v>0</v>
      </c>
      <c r="Q2418" s="20" t="str">
        <f>IFERROR(__xludf.DUMMYFUNCTION("""COMPUTED_VALUE"""),"")</f>
        <v/>
      </c>
      <c r="R2418" s="21" t="str">
        <f>IFERROR(__xludf.DUMMYFUNCTION("""COMPUTED_VALUE"""),"https://drive.google.com/file/d/18IEl_v2gkorYqMVDQeT3SvSfdvAIEEJ5/view?usp=drivesdk")</f>
        <v>https://drive.google.com/file/d/18IEl_v2gkorYqMVDQeT3SvSfdvAIEEJ5/view?usp=drivesdk</v>
      </c>
    </row>
    <row r="2419">
      <c r="A2419" s="15">
        <f>IFERROR(__xludf.DUMMYFUNCTION("""COMPUTED_VALUE"""),45072.0)</f>
        <v>45072</v>
      </c>
      <c r="B2419" s="16" t="str">
        <f>IFERROR(__xludf.DUMMYFUNCTION("""COMPUTED_VALUE"""),"Daniel José sandoval gonzalez")</f>
        <v>Daniel José sandoval gonzalez</v>
      </c>
      <c r="C2419" s="15" t="str">
        <f>IFERROR(__xludf.DUMMYFUNCTION("""COMPUTED_VALUE"""),"BARRANQUILLA")</f>
        <v>BARRANQUILLA</v>
      </c>
      <c r="D2419" s="15" t="str">
        <f>IFERROR(__xludf.DUMMYFUNCTION("""COMPUTED_VALUE"""),"BOGOTÁ")</f>
        <v>BOGOTÁ</v>
      </c>
      <c r="E2419" s="15" t="str">
        <f>IFERROR(__xludf.DUMMYFUNCTION("""COMPUTED_VALUE"""),"Lunchy Kids")</f>
        <v>Lunchy Kids</v>
      </c>
      <c r="F2419" s="17" t="str">
        <f>IFERROR(__xludf.DUMMYFUNCTION("""COMPUTED_VALUE"""),"Cra70 n 91-35  / apto 304 torre 1 parques del Tivoly   / Barrio: Villacarolina")</f>
        <v>Cra70 n 91-35  / apto 304 torre 1 parques del Tivoly   / Barrio: Villacarolina</v>
      </c>
      <c r="G2419" s="15" t="str">
        <f>IFERROR(__xludf.DUMMYFUNCTION("""COMPUTED_VALUE"""),"Yoleinis Jinete")</f>
        <v>Yoleinis Jinete</v>
      </c>
      <c r="H2419" s="16">
        <f>IFERROR(__xludf.DUMMYFUNCTION("""COMPUTED_VALUE"""),10893.0)</f>
        <v>10893</v>
      </c>
      <c r="I2419" s="18">
        <f>IFERROR(__xludf.DUMMYFUNCTION("""COMPUTED_VALUE"""),22.0)</f>
        <v>22</v>
      </c>
      <c r="J2419" s="18">
        <f>IFERROR(__xludf.DUMMYFUNCTION("""COMPUTED_VALUE"""),32.0)</f>
        <v>32</v>
      </c>
      <c r="K2419" s="18">
        <f>IFERROR(__xludf.DUMMYFUNCTION("""COMPUTED_VALUE"""),28.0)</f>
        <v>28</v>
      </c>
      <c r="L2419" s="17">
        <f>IFERROR(__xludf.DUMMYFUNCTION("""COMPUTED_VALUE"""),3.007943686E9)</f>
        <v>3007943686</v>
      </c>
      <c r="M2419" s="17" t="str">
        <f>IFERROR(__xludf.DUMMYFUNCTION("""COMPUTED_VALUE"""),"#REF!")</f>
        <v>#REF!</v>
      </c>
      <c r="N2419" s="17"/>
      <c r="O2419" s="17"/>
      <c r="P2419" s="17" t="b">
        <f>IFERROR(__xludf.DUMMYFUNCTION("""COMPUTED_VALUE"""),FALSE)</f>
        <v>0</v>
      </c>
      <c r="Q2419" s="20" t="str">
        <f>IFERROR(__xludf.DUMMYFUNCTION("""COMPUTED_VALUE"""),"")</f>
        <v/>
      </c>
      <c r="R2419" s="21" t="str">
        <f>IFERROR(__xludf.DUMMYFUNCTION("""COMPUTED_VALUE"""),"https://drive.google.com/file/d/1nENp0tvQ2Y4i10E-3TcQTTVmaPqvIm1T/view?usp=drivesdk")</f>
        <v>https://drive.google.com/file/d/1nENp0tvQ2Y4i10E-3TcQTTVmaPqvIm1T/view?usp=drivesdk</v>
      </c>
    </row>
    <row r="2420">
      <c r="A2420" s="15">
        <f>IFERROR(__xludf.DUMMYFUNCTION("""COMPUTED_VALUE"""),45072.0)</f>
        <v>45072</v>
      </c>
      <c r="B2420" s="16" t="str">
        <f>IFERROR(__xludf.DUMMYFUNCTION("""COMPUTED_VALUE"""),"Daniel José sandoval gonzalez")</f>
        <v>Daniel José sandoval gonzalez</v>
      </c>
      <c r="C2420" s="15" t="str">
        <f>IFERROR(__xludf.DUMMYFUNCTION("""COMPUTED_VALUE"""),"BARRANQUILLA")</f>
        <v>BARRANQUILLA</v>
      </c>
      <c r="D2420" s="15" t="str">
        <f>IFERROR(__xludf.DUMMYFUNCTION("""COMPUTED_VALUE"""),"BOGOTÁ")</f>
        <v>BOGOTÁ</v>
      </c>
      <c r="E2420" s="15" t="str">
        <f>IFERROR(__xludf.DUMMYFUNCTION("""COMPUTED_VALUE"""),"MAI ALIMENTOS S.A.S")</f>
        <v>MAI ALIMENTOS S.A.S</v>
      </c>
      <c r="F2420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2420" s="15" t="str">
        <f>IFERROR(__xludf.DUMMYFUNCTION("""COMPUTED_VALUE"""),"Fithub Barranquilla")</f>
        <v>Fithub Barranquilla</v>
      </c>
      <c r="H2420" s="16">
        <f>IFERROR(__xludf.DUMMYFUNCTION("""COMPUTED_VALUE"""),10857.0)</f>
        <v>10857</v>
      </c>
      <c r="I2420" s="18">
        <f>IFERROR(__xludf.DUMMYFUNCTION("""COMPUTED_VALUE"""),35.0)</f>
        <v>35</v>
      </c>
      <c r="J2420" s="18">
        <f>IFERROR(__xludf.DUMMYFUNCTION("""COMPUTED_VALUE"""),17.0)</f>
        <v>17</v>
      </c>
      <c r="K2420" s="18">
        <f>IFERROR(__xludf.DUMMYFUNCTION("""COMPUTED_VALUE"""),13.0)</f>
        <v>13</v>
      </c>
      <c r="L2420" s="17"/>
      <c r="M2420" s="17" t="str">
        <f>IFERROR(__xludf.DUMMYFUNCTION("""COMPUTED_VALUE"""),"#REF!")</f>
        <v>#REF!</v>
      </c>
      <c r="N2420" s="17"/>
      <c r="O2420" s="17"/>
      <c r="P2420" s="17" t="b">
        <f>IFERROR(__xludf.DUMMYFUNCTION("""COMPUTED_VALUE"""),FALSE)</f>
        <v>0</v>
      </c>
      <c r="Q2420" s="20" t="str">
        <f>IFERROR(__xludf.DUMMYFUNCTION("""COMPUTED_VALUE"""),"")</f>
        <v/>
      </c>
      <c r="R2420" s="21" t="str">
        <f>IFERROR(__xludf.DUMMYFUNCTION("""COMPUTED_VALUE"""),"https://drive.google.com/file/d/1CttDFUKGIDZDQROl3zOTcMIqpExRRFiC/view?usp=drivesdk")</f>
        <v>https://drive.google.com/file/d/1CttDFUKGIDZDQROl3zOTcMIqpExRRFiC/view?usp=drivesdk</v>
      </c>
    </row>
    <row r="2421">
      <c r="A2421" s="15">
        <f>IFERROR(__xludf.DUMMYFUNCTION("""COMPUTED_VALUE"""),45072.0)</f>
        <v>45072</v>
      </c>
      <c r="B2421" s="16" t="str">
        <f>IFERROR(__xludf.DUMMYFUNCTION("""COMPUTED_VALUE"""),"Daniel José sandoval gonzalez")</f>
        <v>Daniel José sandoval gonzalez</v>
      </c>
      <c r="C2421" s="15" t="str">
        <f>IFERROR(__xludf.DUMMYFUNCTION("""COMPUTED_VALUE"""),"BARRANQUILLA")</f>
        <v>BARRANQUILLA</v>
      </c>
      <c r="D2421" s="15" t="str">
        <f>IFERROR(__xludf.DUMMYFUNCTION("""COMPUTED_VALUE"""),"BOGOTÁ")</f>
        <v>BOGOTÁ</v>
      </c>
      <c r="E2421" s="15" t="str">
        <f>IFERROR(__xludf.DUMMYFUNCTION("""COMPUTED_VALUE"""),"Pan de Waffle")</f>
        <v>Pan de Waffle</v>
      </c>
      <c r="F2421" s="17" t="str">
        <f>IFERROR(__xludf.DUMMYFUNCTION("""COMPUTED_VALUE"""),"Carrera 45 # 85 - 168 / Carrera 45 # 85 - 168 / Carrera 45 # 85 - 168")</f>
        <v>Carrera 45 # 85 - 168 / Carrera 45 # 85 - 168 / Carrera 45 # 85 - 168</v>
      </c>
      <c r="G2421" s="15" t="str">
        <f>IFERROR(__xludf.DUMMYFUNCTION("""COMPUTED_VALUE"""),"FOODOLOGY BARRANQUILLA")</f>
        <v>FOODOLOGY BARRANQUILLA</v>
      </c>
      <c r="H2421" s="16">
        <f>IFERROR(__xludf.DUMMYFUNCTION("""COMPUTED_VALUE"""),10991.0)</f>
        <v>10991</v>
      </c>
      <c r="I2421" s="18">
        <f>IFERROR(__xludf.DUMMYFUNCTION("""COMPUTED_VALUE"""),40.0)</f>
        <v>40</v>
      </c>
      <c r="J2421" s="18">
        <f>IFERROR(__xludf.DUMMYFUNCTION("""COMPUTED_VALUE"""),40.0)</f>
        <v>40</v>
      </c>
      <c r="K2421" s="18">
        <f>IFERROR(__xludf.DUMMYFUNCTION("""COMPUTED_VALUE"""),30.0)</f>
        <v>30</v>
      </c>
      <c r="L2421" s="17">
        <f>IFERROR(__xludf.DUMMYFUNCTION("""COMPUTED_VALUE"""),3.017001909E9)</f>
        <v>3017001909</v>
      </c>
      <c r="M2421" s="17" t="str">
        <f>IFERROR(__xludf.DUMMYFUNCTION("""COMPUTED_VALUE"""),"#REF!")</f>
        <v>#REF!</v>
      </c>
      <c r="N2421" s="17"/>
      <c r="O2421" s="17"/>
      <c r="P2421" s="17" t="b">
        <f>IFERROR(__xludf.DUMMYFUNCTION("""COMPUTED_VALUE"""),FALSE)</f>
        <v>0</v>
      </c>
      <c r="Q2421" s="20" t="str">
        <f>IFERROR(__xludf.DUMMYFUNCTION("""COMPUTED_VALUE"""),"")</f>
        <v/>
      </c>
      <c r="R2421" s="21" t="str">
        <f>IFERROR(__xludf.DUMMYFUNCTION("""COMPUTED_VALUE"""),"https://drive.google.com/file/d/1prLbWnh3X_poyZFgyMhOGmy8O4VM6I-o/view?usp=drivesdk")</f>
        <v>https://drive.google.com/file/d/1prLbWnh3X_poyZFgyMhOGmy8O4VM6I-o/view?usp=drivesdk</v>
      </c>
    </row>
    <row r="2422">
      <c r="A2422" s="15">
        <f>IFERROR(__xludf.DUMMYFUNCTION("""COMPUTED_VALUE"""),45072.0)</f>
        <v>45072</v>
      </c>
      <c r="B2422" s="16" t="str">
        <f>IFERROR(__xludf.DUMMYFUNCTION("""COMPUTED_VALUE"""),"Daniel José sandoval gonzalez")</f>
        <v>Daniel José sandoval gonzalez</v>
      </c>
      <c r="C2422" s="15" t="str">
        <f>IFERROR(__xludf.DUMMYFUNCTION("""COMPUTED_VALUE"""),"BARRANQUILLA")</f>
        <v>BARRANQUILLA</v>
      </c>
      <c r="D2422" s="15" t="str">
        <f>IFERROR(__xludf.DUMMYFUNCTION("""COMPUTED_VALUE"""),"BOGOTÁ")</f>
        <v>BOGOTÁ</v>
      </c>
      <c r="E2422" s="15" t="str">
        <f>IFERROR(__xludf.DUMMYFUNCTION("""COMPUTED_VALUE"""),"Ser Fit")</f>
        <v>Ser Fit</v>
      </c>
      <c r="F2422" s="17" t="str">
        <f>IFERROR(__xludf.DUMMYFUNCTION("""COMPUTED_VALUE"""),"Cr 74 #76-74  / BODEGA 2 FITHUB / barranquilla")</f>
        <v>Cr 74 #76-74  / BODEGA 2 FITHUB / barranquilla</v>
      </c>
      <c r="G2422" s="15" t="str">
        <f>IFERROR(__xludf.DUMMYFUNCTION("""COMPUTED_VALUE"""),"jorge blanco")</f>
        <v>jorge blanco</v>
      </c>
      <c r="H2422" s="16">
        <f>IFERROR(__xludf.DUMMYFUNCTION("""COMPUTED_VALUE"""),10993.0)</f>
        <v>10993</v>
      </c>
      <c r="I2422" s="18">
        <f>IFERROR(__xludf.DUMMYFUNCTION("""COMPUTED_VALUE"""),14.0)</f>
        <v>14</v>
      </c>
      <c r="J2422" s="18">
        <f>IFERROR(__xludf.DUMMYFUNCTION("""COMPUTED_VALUE"""),18.0)</f>
        <v>18</v>
      </c>
      <c r="K2422" s="18">
        <f>IFERROR(__xludf.DUMMYFUNCTION("""COMPUTED_VALUE"""),14.0)</f>
        <v>14</v>
      </c>
      <c r="L2422" s="17">
        <f>IFERROR(__xludf.DUMMYFUNCTION("""COMPUTED_VALUE"""),3.227506411E9)</f>
        <v>3227506411</v>
      </c>
      <c r="M2422" s="17" t="str">
        <f>IFERROR(__xludf.DUMMYFUNCTION("""COMPUTED_VALUE"""),"#REF!")</f>
        <v>#REF!</v>
      </c>
      <c r="N2422" s="17"/>
      <c r="O2422" s="17"/>
      <c r="P2422" s="17" t="b">
        <f>IFERROR(__xludf.DUMMYFUNCTION("""COMPUTED_VALUE"""),FALSE)</f>
        <v>0</v>
      </c>
      <c r="Q2422" s="20" t="str">
        <f>IFERROR(__xludf.DUMMYFUNCTION("""COMPUTED_VALUE"""),"")</f>
        <v/>
      </c>
      <c r="R2422" s="21" t="str">
        <f>IFERROR(__xludf.DUMMYFUNCTION("""COMPUTED_VALUE"""),"https://drive.google.com/file/d/1QR-qK0TDikqIDXan5jm8v82cJm72acfK/view?usp=drivesdk")</f>
        <v>https://drive.google.com/file/d/1QR-qK0TDikqIDXan5jm8v82cJm72acfK/view?usp=drivesdk</v>
      </c>
    </row>
    <row r="2423">
      <c r="A2423" s="15">
        <f>IFERROR(__xludf.DUMMYFUNCTION("""COMPUTED_VALUE"""),45072.0)</f>
        <v>45072</v>
      </c>
      <c r="B2423" s="16" t="str">
        <f>IFERROR(__xludf.DUMMYFUNCTION("""COMPUTED_VALUE"""),"Daniel José sandoval gonzalez")</f>
        <v>Daniel José sandoval gonzalez</v>
      </c>
      <c r="C2423" s="15" t="str">
        <f>IFERROR(__xludf.DUMMYFUNCTION("""COMPUTED_VALUE"""),"BARRANQUILLA")</f>
        <v>BARRANQUILLA</v>
      </c>
      <c r="D2423" s="15" t="str">
        <f>IFERROR(__xludf.DUMMYFUNCTION("""COMPUTED_VALUE"""),"MEDELLÍN")</f>
        <v>MEDELLÍN</v>
      </c>
      <c r="E2423" s="15" t="str">
        <f>IFERROR(__xludf.DUMMYFUNCTION("""COMPUTED_VALUE"""),"Baby Chef")</f>
        <v>Baby Chef</v>
      </c>
      <c r="F2423" s="17" t="str">
        <f>IFERROR(__xludf.DUMMYFUNCTION("""COMPUTED_VALUE"""),"Cra 64 C # 94 - 23 Apto 201 Edificio San Rafael Barrio Riomar Barranquilla / Cra 64 C # 94 - 23 Apto 201 Edificio San Rafael Barrio Riomar Barranquilla / Cra 64 C # 94 - 23 Apto 201 Edificio San Rafael Barrio Riomar Barranquilla")</f>
        <v>Cra 64 C # 94 - 23 Apto 201 Edificio San Rafael Barrio Riomar Barranquilla / Cra 64 C # 94 - 23 Apto 201 Edificio San Rafael Barrio Riomar Barranquilla / Cra 64 C # 94 - 23 Apto 201 Edificio San Rafael Barrio Riomar Barranquilla</v>
      </c>
      <c r="G2423" s="15" t="str">
        <f>IFERROR(__xludf.DUMMYFUNCTION("""COMPUTED_VALUE"""),"Lina María Campos")</f>
        <v>Lina María Campos</v>
      </c>
      <c r="H2423" s="16">
        <f>IFERROR(__xludf.DUMMYFUNCTION("""COMPUTED_VALUE"""),11002.0)</f>
        <v>11002</v>
      </c>
      <c r="I2423" s="18">
        <f>IFERROR(__xludf.DUMMYFUNCTION("""COMPUTED_VALUE"""),8.0)</f>
        <v>8</v>
      </c>
      <c r="J2423" s="18">
        <f>IFERROR(__xludf.DUMMYFUNCTION("""COMPUTED_VALUE"""),16.0)</f>
        <v>16</v>
      </c>
      <c r="K2423" s="18">
        <f>IFERROR(__xludf.DUMMYFUNCTION("""COMPUTED_VALUE"""),20.0)</f>
        <v>20</v>
      </c>
      <c r="L2423" s="17">
        <f>IFERROR(__xludf.DUMMYFUNCTION("""COMPUTED_VALUE"""),3.017704039E9)</f>
        <v>3017704039</v>
      </c>
      <c r="M2423" s="17" t="str">
        <f>IFERROR(__xludf.DUMMYFUNCTION("""COMPUTED_VALUE"""),"#REF!")</f>
        <v>#REF!</v>
      </c>
      <c r="N2423" s="17"/>
      <c r="O2423" s="17"/>
      <c r="P2423" s="17" t="b">
        <f>IFERROR(__xludf.DUMMYFUNCTION("""COMPUTED_VALUE"""),FALSE)</f>
        <v>0</v>
      </c>
      <c r="Q2423" s="20" t="str">
        <f>IFERROR(__xludf.DUMMYFUNCTION("""COMPUTED_VALUE"""),"")</f>
        <v/>
      </c>
      <c r="R2423" s="21" t="str">
        <f>IFERROR(__xludf.DUMMYFUNCTION("""COMPUTED_VALUE"""),"https://drive.google.com/file/d/1e_0SgEw5Xr-CZ-o-BDEXHxRzh9OUhQ5h/view?usp=drivesdk")</f>
        <v>https://drive.google.com/file/d/1e_0SgEw5Xr-CZ-o-BDEXHxRzh9OUhQ5h/view?usp=drivesdk</v>
      </c>
    </row>
    <row r="2424">
      <c r="A2424" s="15">
        <f>IFERROR(__xludf.DUMMYFUNCTION("""COMPUTED_VALUE"""),45072.0)</f>
        <v>45072</v>
      </c>
      <c r="B2424" s="16" t="str">
        <f>IFERROR(__xludf.DUMMYFUNCTION("""COMPUTED_VALUE"""),"Daniel José sandoval gonzalez")</f>
        <v>Daniel José sandoval gonzalez</v>
      </c>
      <c r="C2424" s="15" t="str">
        <f>IFERROR(__xludf.DUMMYFUNCTION("""COMPUTED_VALUE"""),"BARRANQUILLA")</f>
        <v>BARRANQUILLA</v>
      </c>
      <c r="D2424" s="15" t="str">
        <f>IFERROR(__xludf.DUMMYFUNCTION("""COMPUTED_VALUE"""),"MEDELLÍN")</f>
        <v>MEDELLÍN</v>
      </c>
      <c r="E2424" s="15" t="str">
        <f>IFERROR(__xludf.DUMMYFUNCTION("""COMPUTED_VALUE"""),"Magda")</f>
        <v>Magda</v>
      </c>
      <c r="F2424" s="17" t="str">
        <f>IFERROR(__xludf.DUMMYFUNCTION("""COMPUTED_VALUE"""),"Cra 53 No. 68-55 / Cocina oculta / Alto prado")</f>
        <v>Cra 53 No. 68-55 / Cocina oculta / Alto prado</v>
      </c>
      <c r="G2424" s="15" t="str">
        <f>IFERROR(__xludf.DUMMYFUNCTION("""COMPUTED_VALUE"""),"María José Cervantes")</f>
        <v>María José Cervantes</v>
      </c>
      <c r="H2424" s="16">
        <f>IFERROR(__xludf.DUMMYFUNCTION("""COMPUTED_VALUE"""),10999.0)</f>
        <v>10999</v>
      </c>
      <c r="I2424" s="18">
        <f>IFERROR(__xludf.DUMMYFUNCTION("""COMPUTED_VALUE"""),5.0)</f>
        <v>5</v>
      </c>
      <c r="J2424" s="18">
        <f>IFERROR(__xludf.DUMMYFUNCTION("""COMPUTED_VALUE"""),5.0)</f>
        <v>5</v>
      </c>
      <c r="K2424" s="18">
        <f>IFERROR(__xludf.DUMMYFUNCTION("""COMPUTED_VALUE"""),5.0)</f>
        <v>5</v>
      </c>
      <c r="L2424" s="17">
        <f>IFERROR(__xludf.DUMMYFUNCTION("""COMPUTED_VALUE"""),3.113152215E9)</f>
        <v>3113152215</v>
      </c>
      <c r="M2424" s="17" t="str">
        <f>IFERROR(__xludf.DUMMYFUNCTION("""COMPUTED_VALUE"""),"#REF!")</f>
        <v>#REF!</v>
      </c>
      <c r="N2424" s="17"/>
      <c r="O2424" s="17"/>
      <c r="P2424" s="17" t="b">
        <f>IFERROR(__xludf.DUMMYFUNCTION("""COMPUTED_VALUE"""),TRUE)</f>
        <v>1</v>
      </c>
      <c r="Q2424" s="20">
        <f>IFERROR(__xludf.DUMMYFUNCTION("""COMPUTED_VALUE"""),45072.66663853009)</f>
        <v>45072.66664</v>
      </c>
      <c r="R2424" s="21" t="str">
        <f>IFERROR(__xludf.DUMMYFUNCTION("""COMPUTED_VALUE"""),"https://drive.google.com/file/d/1wLZCnZj6UzNdjMyrjbo1eBkOk4gmPb7A/view?usp=drivesdk")</f>
        <v>https://drive.google.com/file/d/1wLZCnZj6UzNdjMyrjbo1eBkOk4gmPb7A/view?usp=drivesdk</v>
      </c>
    </row>
    <row r="2425">
      <c r="A2425" s="15">
        <f>IFERROR(__xludf.DUMMYFUNCTION("""COMPUTED_VALUE"""),45072.0)</f>
        <v>45072</v>
      </c>
      <c r="B2425" s="16" t="str">
        <f>IFERROR(__xludf.DUMMYFUNCTION("""COMPUTED_VALUE"""),"Daniel José sandoval gonzalez")</f>
        <v>Daniel José sandoval gonzalez</v>
      </c>
      <c r="C2425" s="15" t="str">
        <f>IFERROR(__xludf.DUMMYFUNCTION("""COMPUTED_VALUE"""),"MEDELLÍN")</f>
        <v>MEDELLÍN</v>
      </c>
      <c r="D2425" s="15" t="str">
        <f>IFERROR(__xludf.DUMMYFUNCTION("""COMPUTED_VALUE"""),"BOGOTÁ")</f>
        <v>BOGOTÁ</v>
      </c>
      <c r="E2425" s="15" t="str">
        <f>IFERROR(__xludf.DUMMYFUNCTION("""COMPUTED_VALUE"""),"SISU PARTNERS SAS")</f>
        <v>SISU PARTNERS SAS</v>
      </c>
      <c r="F2425" s="17" t="str">
        <f>IFERROR(__xludf.DUMMYFUNCTION("""COMPUTED_VALUE"""),"Carrera 34 no. 7-86 / Local Mary &amp; George")</f>
        <v>Carrera 34 no. 7-86 / Local Mary &amp; George</v>
      </c>
      <c r="G2425" s="15" t="str">
        <f>IFERROR(__xludf.DUMMYFUNCTION("""COMPUTED_VALUE"""),"Maria Paulina Pérez")</f>
        <v>Maria Paulina Pérez</v>
      </c>
      <c r="H2425" s="16">
        <f>IFERROR(__xludf.DUMMYFUNCTION("""COMPUTED_VALUE"""),10964.0)</f>
        <v>10964</v>
      </c>
      <c r="I2425" s="18" t="str">
        <f>IFERROR(__xludf.DUMMYFUNCTION("""COMPUTED_VALUE"""),"52.5")</f>
        <v>52.5</v>
      </c>
      <c r="J2425" s="18">
        <f>IFERROR(__xludf.DUMMYFUNCTION("""COMPUTED_VALUE"""),45.0)</f>
        <v>45</v>
      </c>
      <c r="K2425" s="18">
        <f>IFERROR(__xludf.DUMMYFUNCTION("""COMPUTED_VALUE"""),55.0)</f>
        <v>55</v>
      </c>
      <c r="L2425" s="17">
        <f>IFERROR(__xludf.DUMMYFUNCTION("""COMPUTED_VALUE"""),3.182186058E9)</f>
        <v>3182186058</v>
      </c>
      <c r="M2425" s="17" t="str">
        <f>IFERROR(__xludf.DUMMYFUNCTION("""COMPUTED_VALUE"""),"#REF!")</f>
        <v>#REF!</v>
      </c>
      <c r="N2425" s="17"/>
      <c r="O2425" s="17"/>
      <c r="P2425" s="17" t="b">
        <f>IFERROR(__xludf.DUMMYFUNCTION("""COMPUTED_VALUE"""),TRUE)</f>
        <v>1</v>
      </c>
      <c r="Q2425" s="20">
        <f>IFERROR(__xludf.DUMMYFUNCTION("""COMPUTED_VALUE"""),45072.66696328703)</f>
        <v>45072.66696</v>
      </c>
      <c r="R2425" s="21" t="str">
        <f>IFERROR(__xludf.DUMMYFUNCTION("""COMPUTED_VALUE"""),"https://drive.google.com/file/d/1HxeFz61Gza29eJKttJGHfCRm6K9gsnvT/view?usp=drivesdk")</f>
        <v>https://drive.google.com/file/d/1HxeFz61Gza29eJKttJGHfCRm6K9gsnvT/view?usp=drivesdk</v>
      </c>
    </row>
    <row r="2426">
      <c r="A2426" s="15">
        <f>IFERROR(__xludf.DUMMYFUNCTION("""COMPUTED_VALUE"""),45072.0)</f>
        <v>45072</v>
      </c>
      <c r="B2426" s="16" t="str">
        <f>IFERROR(__xludf.DUMMYFUNCTION("""COMPUTED_VALUE"""),"Daniel José sandoval gonzalez")</f>
        <v>Daniel José sandoval gonzalez</v>
      </c>
      <c r="C2426" s="15" t="str">
        <f>IFERROR(__xludf.DUMMYFUNCTION("""COMPUTED_VALUE"""),"MEDELLÍN")</f>
        <v>MEDELLÍN</v>
      </c>
      <c r="D2426" s="15" t="str">
        <f>IFERROR(__xludf.DUMMYFUNCTION("""COMPUTED_VALUE"""),"BOGOTÁ")</f>
        <v>BOGOTÁ</v>
      </c>
      <c r="E2426" s="15" t="str">
        <f>IFERROR(__xludf.DUMMYFUNCTION("""COMPUTED_VALUE"""),"Viiva Fermentados")</f>
        <v>Viiva Fermentados</v>
      </c>
      <c r="F2426" s="17" t="str">
        <f>IFERROR(__xludf.DUMMYFUNCTION("""COMPUTED_VALUE"""),"CR 42 # 08 -39 / local piso 1 / Barrio El Poblado")</f>
        <v>CR 42 # 08 -39 / local piso 1 / Barrio El Poblado</v>
      </c>
      <c r="G2426" s="15" t="str">
        <f>IFERROR(__xludf.DUMMYFUNCTION("""COMPUTED_VALUE"""),"Real Vegetal - Julia Correa")</f>
        <v>Real Vegetal - Julia Correa</v>
      </c>
      <c r="H2426" s="16">
        <f>IFERROR(__xludf.DUMMYFUNCTION("""COMPUTED_VALUE"""),10970.0)</f>
        <v>10970</v>
      </c>
      <c r="I2426" s="18">
        <f>IFERROR(__xludf.DUMMYFUNCTION("""COMPUTED_VALUE"""),26.0)</f>
        <v>26</v>
      </c>
      <c r="J2426" s="18">
        <f>IFERROR(__xludf.DUMMYFUNCTION("""COMPUTED_VALUE"""),28.0)</f>
        <v>28</v>
      </c>
      <c r="K2426" s="18">
        <f>IFERROR(__xludf.DUMMYFUNCTION("""COMPUTED_VALUE"""),28.0)</f>
        <v>28</v>
      </c>
      <c r="L2426" s="17">
        <f>IFERROR(__xludf.DUMMYFUNCTION("""COMPUTED_VALUE"""),3.116345472E9)</f>
        <v>3116345472</v>
      </c>
      <c r="M2426" s="17" t="str">
        <f>IFERROR(__xludf.DUMMYFUNCTION("""COMPUTED_VALUE"""),"#REF!")</f>
        <v>#REF!</v>
      </c>
      <c r="N2426" s="17"/>
      <c r="O2426" s="17"/>
      <c r="P2426" s="17" t="b">
        <f>IFERROR(__xludf.DUMMYFUNCTION("""COMPUTED_VALUE"""),TRUE)</f>
        <v>1</v>
      </c>
      <c r="Q2426" s="20">
        <f>IFERROR(__xludf.DUMMYFUNCTION("""COMPUTED_VALUE"""),45072.699469224535)</f>
        <v>45072.69947</v>
      </c>
      <c r="R2426" s="21" t="str">
        <f>IFERROR(__xludf.DUMMYFUNCTION("""COMPUTED_VALUE"""),"https://drive.google.com/file/d/1MhyWJEypB2-Eo2ontX60oVCDeih1QqFy/view?usp=drivesdk")</f>
        <v>https://drive.google.com/file/d/1MhyWJEypB2-Eo2ontX60oVCDeih1QqFy/view?usp=drivesdk</v>
      </c>
    </row>
    <row r="2427">
      <c r="A2427" s="17" t="str">
        <f>IFERROR(__xludf.DUMMYFUNCTION("""COMPUTED_VALUE"""),"")</f>
        <v/>
      </c>
      <c r="B2427" s="17" t="str">
        <f>IFERROR(__xludf.DUMMYFUNCTION("""COMPUTED_VALUE"""),"")</f>
        <v/>
      </c>
      <c r="C2427" s="17" t="str">
        <f>IFERROR(__xludf.DUMMYFUNCTION("""COMPUTED_VALUE"""),"")</f>
        <v/>
      </c>
      <c r="D2427" s="17" t="str">
        <f>IFERROR(__xludf.DUMMYFUNCTION("""COMPUTED_VALUE"""),"")</f>
        <v/>
      </c>
      <c r="E2427" s="17" t="str">
        <f>IFERROR(__xludf.DUMMYFUNCTION("""COMPUTED_VALUE"""),"")</f>
        <v/>
      </c>
      <c r="F2427" s="17" t="str">
        <f>IFERROR(__xludf.DUMMYFUNCTION("""COMPUTED_VALUE"""),"")</f>
        <v/>
      </c>
      <c r="G2427" s="17" t="str">
        <f>IFERROR(__xludf.DUMMYFUNCTION("""COMPUTED_VALUE"""),"")</f>
        <v/>
      </c>
      <c r="H2427" s="17" t="str">
        <f>IFERROR(__xludf.DUMMYFUNCTION("""COMPUTED_VALUE"""),"")</f>
        <v/>
      </c>
      <c r="I2427" s="17" t="str">
        <f>IFERROR(__xludf.DUMMYFUNCTION("""COMPUTED_VALUE"""),"")</f>
        <v/>
      </c>
      <c r="J2427" s="17" t="str">
        <f>IFERROR(__xludf.DUMMYFUNCTION("""COMPUTED_VALUE"""),"")</f>
        <v/>
      </c>
      <c r="K2427" s="17" t="str">
        <f>IFERROR(__xludf.DUMMYFUNCTION("""COMPUTED_VALUE"""),"")</f>
        <v/>
      </c>
      <c r="L2427" s="17" t="str">
        <f>IFERROR(__xludf.DUMMYFUNCTION("""COMPUTED_VALUE"""),"")</f>
        <v/>
      </c>
      <c r="M2427" s="17" t="str">
        <f>IFERROR(__xludf.DUMMYFUNCTION("""COMPUTED_VALUE"""),"")</f>
        <v/>
      </c>
      <c r="N2427" s="17" t="str">
        <f>IFERROR(__xludf.DUMMYFUNCTION("""COMPUTED_VALUE"""),"")</f>
        <v/>
      </c>
      <c r="O2427" s="17" t="str">
        <f>IFERROR(__xludf.DUMMYFUNCTION("""COMPUTED_VALUE"""),"")</f>
        <v/>
      </c>
      <c r="P2427" s="17" t="str">
        <f>IFERROR(__xludf.DUMMYFUNCTION("""COMPUTED_VALUE"""),"")</f>
        <v/>
      </c>
      <c r="Q2427" s="17" t="str">
        <f>IFERROR(__xludf.DUMMYFUNCTION("""COMPUTED_VALUE"""),"")</f>
        <v/>
      </c>
      <c r="R2427" s="17" t="str">
        <f>IFERROR(__xludf.DUMMYFUNCTION("""COMPUTED_VALUE"""),"")</f>
        <v/>
      </c>
    </row>
    <row r="2428">
      <c r="A2428" s="15">
        <f>IFERROR(__xludf.DUMMYFUNCTION("""COMPUTED_VALUE"""),45072.0)</f>
        <v>45072</v>
      </c>
      <c r="B2428" s="16" t="str">
        <f>IFERROR(__xludf.DUMMYFUNCTION("""COMPUTED_VALUE"""),"Envia")</f>
        <v>Envia</v>
      </c>
      <c r="C2428" s="15" t="str">
        <f>IFERROR(__xludf.DUMMYFUNCTION("""COMPUTED_VALUE"""),"BARRANQUILLA")</f>
        <v>BARRANQUILLA</v>
      </c>
      <c r="D2428" s="15" t="str">
        <f>IFERROR(__xludf.DUMMYFUNCTION("""COMPUTED_VALUE"""),"MEDELLÍN")</f>
        <v>MEDELLÍN</v>
      </c>
      <c r="E2428" s="15" t="str">
        <f>IFERROR(__xludf.DUMMYFUNCTION("""COMPUTED_VALUE"""),"Baby Chef")</f>
        <v>Baby Chef</v>
      </c>
      <c r="F2428" s="17" t="str">
        <f>IFERROR(__xludf.DUMMYFUNCTION("""COMPUTED_VALUE"""),"CRA 18 No 26-118 BARRIO LAS NIEVES BARRANQUILLA / CRA 18 No 26-118 BARRIO LAS NIEVES BARRANQUILLA / CRA 18 No 26-118 BARRIO LAS NIEVES BARRANQUILLA")</f>
        <v>CRA 18 No 26-118 BARRIO LAS NIEVES BARRANQUILLA / CRA 18 No 26-118 BARRIO LAS NIEVES BARRANQUILLA / CRA 18 No 26-118 BARRIO LAS NIEVES BARRANQUILLA</v>
      </c>
      <c r="G2428" s="15" t="str">
        <f>IFERROR(__xludf.DUMMYFUNCTION("""COMPUTED_VALUE"""),"Karen Madrid Vélez")</f>
        <v>Karen Madrid Vélez</v>
      </c>
      <c r="H2428" s="16">
        <f>IFERROR(__xludf.DUMMYFUNCTION("""COMPUTED_VALUE"""),11001.0)</f>
        <v>11001</v>
      </c>
      <c r="I2428" s="18">
        <f>IFERROR(__xludf.DUMMYFUNCTION("""COMPUTED_VALUE"""),8.0)</f>
        <v>8</v>
      </c>
      <c r="J2428" s="18">
        <f>IFERROR(__xludf.DUMMYFUNCTION("""COMPUTED_VALUE"""),16.0)</f>
        <v>16</v>
      </c>
      <c r="K2428" s="18">
        <f>IFERROR(__xludf.DUMMYFUNCTION("""COMPUTED_VALUE"""),20.0)</f>
        <v>20</v>
      </c>
      <c r="L2428" s="17">
        <f>IFERROR(__xludf.DUMMYFUNCTION("""COMPUTED_VALUE"""),3.00735457E9)</f>
        <v>3007354570</v>
      </c>
      <c r="M2428" s="17" t="str">
        <f>IFERROR(__xludf.DUMMYFUNCTION("""COMPUTED_VALUE"""),"#REF!")</f>
        <v>#REF!</v>
      </c>
      <c r="N2428" s="17"/>
      <c r="O2428" s="17"/>
      <c r="P2428" s="17" t="b">
        <f>IFERROR(__xludf.DUMMYFUNCTION("""COMPUTED_VALUE"""),TRUE)</f>
        <v>1</v>
      </c>
      <c r="Q2428" s="20">
        <f>IFERROR(__xludf.DUMMYFUNCTION("""COMPUTED_VALUE"""),45072.69619150463)</f>
        <v>45072.69619</v>
      </c>
      <c r="R2428" s="21" t="str">
        <f>IFERROR(__xludf.DUMMYFUNCTION("""COMPUTED_VALUE"""),"https://drive.google.com/file/d/1bl2-etTpuSWZfmw3t1pU48c0jDBmJBVi/view?usp=drivesdk")</f>
        <v>https://drive.google.com/file/d/1bl2-etTpuSWZfmw3t1pU48c0jDBmJBVi/view?usp=drivesdk</v>
      </c>
    </row>
    <row r="2429">
      <c r="A2429" s="15">
        <f>IFERROR(__xludf.DUMMYFUNCTION("""COMPUTED_VALUE"""),45072.0)</f>
        <v>45072</v>
      </c>
      <c r="B2429" s="16" t="str">
        <f>IFERROR(__xludf.DUMMYFUNCTION("""COMPUTED_VALUE"""),"Envia")</f>
        <v>Envia</v>
      </c>
      <c r="C2429" s="15" t="str">
        <f>IFERROR(__xludf.DUMMYFUNCTION("""COMPUTED_VALUE"""),"BARRANQUILLA")</f>
        <v>BARRANQUILLA</v>
      </c>
      <c r="D2429" s="15" t="str">
        <f>IFERROR(__xludf.DUMMYFUNCTION("""COMPUTED_VALUE"""),"MEDELLÍN")</f>
        <v>MEDELLÍN</v>
      </c>
      <c r="E2429" s="15" t="str">
        <f>IFERROR(__xludf.DUMMYFUNCTION("""COMPUTED_VALUE"""),"Rambla")</f>
        <v>Rambla</v>
      </c>
      <c r="F2429" s="17" t="str">
        <f>IFERROR(__xludf.DUMMYFUNCTION("""COMPUTED_VALUE"""),"calle 99-53 -40 cc plaza del parque local 39 / na / na")</f>
        <v>calle 99-53 -40 cc plaza del parque local 39 / na / na</v>
      </c>
      <c r="G2429" s="15" t="str">
        <f>IFERROR(__xludf.DUMMYFUNCTION("""COMPUTED_VALUE"""),"sesamo linaza")</f>
        <v>sesamo linaza</v>
      </c>
      <c r="H2429" s="16">
        <f>IFERROR(__xludf.DUMMYFUNCTION("""COMPUTED_VALUE"""),11011.0)</f>
        <v>11011</v>
      </c>
      <c r="I2429" s="18">
        <f>IFERROR(__xludf.DUMMYFUNCTION("""COMPUTED_VALUE"""),10.0)</f>
        <v>10</v>
      </c>
      <c r="J2429" s="18">
        <f>IFERROR(__xludf.DUMMYFUNCTION("""COMPUTED_VALUE"""),10.0)</f>
        <v>10</v>
      </c>
      <c r="K2429" s="18">
        <f>IFERROR(__xludf.DUMMYFUNCTION("""COMPUTED_VALUE"""),5.0)</f>
        <v>5</v>
      </c>
      <c r="L2429" s="17">
        <f>IFERROR(__xludf.DUMMYFUNCTION("""COMPUTED_VALUE"""),3.128821481E9)</f>
        <v>3128821481</v>
      </c>
      <c r="M2429" s="17" t="str">
        <f>IFERROR(__xludf.DUMMYFUNCTION("""COMPUTED_VALUE"""),"#REF!")</f>
        <v>#REF!</v>
      </c>
      <c r="N2429" s="17"/>
      <c r="O2429" s="17"/>
      <c r="P2429" s="17" t="b">
        <f>IFERROR(__xludf.DUMMYFUNCTION("""COMPUTED_VALUE"""),FALSE)</f>
        <v>0</v>
      </c>
      <c r="Q2429" s="20" t="str">
        <f>IFERROR(__xludf.DUMMYFUNCTION("""COMPUTED_VALUE"""),"")</f>
        <v/>
      </c>
      <c r="R2429" s="21" t="str">
        <f>IFERROR(__xludf.DUMMYFUNCTION("""COMPUTED_VALUE"""),"https://drive.google.com/file/d/1aKD_xPZ4XIG2HDnZKUNmumnfNFs1LAoM/view?usp=drivesdk")</f>
        <v>https://drive.google.com/file/d/1aKD_xPZ4XIG2HDnZKUNmumnfNFs1LAoM/view?usp=drivesdk</v>
      </c>
    </row>
    <row r="2430">
      <c r="A2430" s="15">
        <f>IFERROR(__xludf.DUMMYFUNCTION("""COMPUTED_VALUE"""),45072.0)</f>
        <v>45072</v>
      </c>
      <c r="B2430" s="16" t="str">
        <f>IFERROR(__xludf.DUMMYFUNCTION("""COMPUTED_VALUE"""),"Envia")</f>
        <v>Envia</v>
      </c>
      <c r="C2430" s="15" t="str">
        <f>IFERROR(__xludf.DUMMYFUNCTION("""COMPUTED_VALUE"""),"BARRANQUILLA")</f>
        <v>BARRANQUILLA</v>
      </c>
      <c r="D2430" s="15" t="str">
        <f>IFERROR(__xludf.DUMMYFUNCTION("""COMPUTED_VALUE"""),"MEDELLÍN")</f>
        <v>MEDELLÍN</v>
      </c>
      <c r="E2430" s="15" t="str">
        <f>IFERROR(__xludf.DUMMYFUNCTION("""COMPUTED_VALUE"""),"Rambla")</f>
        <v>Rambla</v>
      </c>
      <c r="F2430" s="17" t="str">
        <f>IFERROR(__xludf.DUMMYFUNCTION("""COMPUTED_VALUE"""),"CRA 53 80 284 LC 8 / na / na")</f>
        <v>CRA 53 80 284 LC 8 / na / na</v>
      </c>
      <c r="G2430" s="15" t="str">
        <f>IFERROR(__xludf.DUMMYFUNCTION("""COMPUTED_VALUE"""),"Corpofit")</f>
        <v>Corpofit</v>
      </c>
      <c r="H2430" s="16">
        <f>IFERROR(__xludf.DUMMYFUNCTION("""COMPUTED_VALUE"""),11014.0)</f>
        <v>11014</v>
      </c>
      <c r="I2430" s="18">
        <f>IFERROR(__xludf.DUMMYFUNCTION("""COMPUTED_VALUE"""),10.0)</f>
        <v>10</v>
      </c>
      <c r="J2430" s="18">
        <f>IFERROR(__xludf.DUMMYFUNCTION("""COMPUTED_VALUE"""),20.0)</f>
        <v>20</v>
      </c>
      <c r="K2430" s="18">
        <f>IFERROR(__xludf.DUMMYFUNCTION("""COMPUTED_VALUE"""),25.0)</f>
        <v>25</v>
      </c>
      <c r="L2430" s="17">
        <f>IFERROR(__xludf.DUMMYFUNCTION("""COMPUTED_VALUE"""),3.006125263E9)</f>
        <v>3006125263</v>
      </c>
      <c r="M2430" s="17" t="str">
        <f>IFERROR(__xludf.DUMMYFUNCTION("""COMPUTED_VALUE"""),"#REF!")</f>
        <v>#REF!</v>
      </c>
      <c r="N2430" s="17"/>
      <c r="O2430" s="17"/>
      <c r="P2430" s="17" t="b">
        <f>IFERROR(__xludf.DUMMYFUNCTION("""COMPUTED_VALUE"""),FALSE)</f>
        <v>0</v>
      </c>
      <c r="Q2430" s="20" t="str">
        <f>IFERROR(__xludf.DUMMYFUNCTION("""COMPUTED_VALUE"""),"")</f>
        <v/>
      </c>
      <c r="R2430" s="21" t="str">
        <f>IFERROR(__xludf.DUMMYFUNCTION("""COMPUTED_VALUE"""),"https://drive.google.com/file/d/1YPpqRuQkRz0fKDU9W1Y0XuhRa0IINpkC/view?usp=drivesdk")</f>
        <v>https://drive.google.com/file/d/1YPpqRuQkRz0fKDU9W1Y0XuhRa0IINpkC/view?usp=drivesdk</v>
      </c>
    </row>
    <row r="2431">
      <c r="A2431" s="15">
        <f>IFERROR(__xludf.DUMMYFUNCTION("""COMPUTED_VALUE"""),45072.0)</f>
        <v>45072</v>
      </c>
      <c r="B2431" s="16" t="str">
        <f>IFERROR(__xludf.DUMMYFUNCTION("""COMPUTED_VALUE"""),"Envia")</f>
        <v>Envia</v>
      </c>
      <c r="C2431" s="15" t="str">
        <f>IFERROR(__xludf.DUMMYFUNCTION("""COMPUTED_VALUE"""),"BOGOTÁ")</f>
        <v>BOGOTÁ</v>
      </c>
      <c r="D2431" s="15" t="str">
        <f>IFERROR(__xludf.DUMMYFUNCTION("""COMPUTED_VALUE"""),"MEDELLÍN")</f>
        <v>MEDELLÍN</v>
      </c>
      <c r="E2431" s="15" t="str">
        <f>IFERROR(__xludf.DUMMYFUNCTION("""COMPUTED_VALUE"""),"Melcochitas")</f>
        <v>Melcochitas</v>
      </c>
      <c r="F2431" s="17" t="str">
        <f>IFERROR(__xludf.DUMMYFUNCTION("""COMPUTED_VALUE"""),"Carrera 7B # 147-51 / apartamento 202  Edificio El Cedro  / Barrio Cedro Golf")</f>
        <v>Carrera 7B # 147-51 / apartamento 202  Edificio El Cedro  / Barrio Cedro Golf</v>
      </c>
      <c r="G2431" s="15" t="str">
        <f>IFERROR(__xludf.DUMMYFUNCTION("""COMPUTED_VALUE"""),"Manuel Santacruz")</f>
        <v>Manuel Santacruz</v>
      </c>
      <c r="H2431" s="16">
        <f>IFERROR(__xludf.DUMMYFUNCTION("""COMPUTED_VALUE"""),11027.0)</f>
        <v>11027</v>
      </c>
      <c r="I2431" s="18">
        <f>IFERROR(__xludf.DUMMYFUNCTION("""COMPUTED_VALUE"""),15.0)</f>
        <v>15</v>
      </c>
      <c r="J2431" s="18">
        <f>IFERROR(__xludf.DUMMYFUNCTION("""COMPUTED_VALUE"""),20.0)</f>
        <v>20</v>
      </c>
      <c r="K2431" s="18">
        <f>IFERROR(__xludf.DUMMYFUNCTION("""COMPUTED_VALUE"""),20.0)</f>
        <v>20</v>
      </c>
      <c r="L2431" s="17">
        <f>IFERROR(__xludf.DUMMYFUNCTION("""COMPUTED_VALUE"""),3.006456023E9)</f>
        <v>3006456023</v>
      </c>
      <c r="M2431" s="17" t="str">
        <f>IFERROR(__xludf.DUMMYFUNCTION("""COMPUTED_VALUE"""),"#REF!")</f>
        <v>#REF!</v>
      </c>
      <c r="N2431" s="17"/>
      <c r="O2431" s="17"/>
      <c r="P2431" s="17" t="b">
        <f>IFERROR(__xludf.DUMMYFUNCTION("""COMPUTED_VALUE"""),TRUE)</f>
        <v>1</v>
      </c>
      <c r="Q2431" s="20">
        <f>IFERROR(__xludf.DUMMYFUNCTION("""COMPUTED_VALUE"""),45072.69328472222)</f>
        <v>45072.69328</v>
      </c>
      <c r="R2431" s="21" t="str">
        <f>IFERROR(__xludf.DUMMYFUNCTION("""COMPUTED_VALUE"""),"https://drive.google.com/file/d/1uFmzqmNkHHrAn_Nd-kdwA1gyYwrsLLMt/view?usp=drivesdk")</f>
        <v>https://drive.google.com/file/d/1uFmzqmNkHHrAn_Nd-kdwA1gyYwrsLLMt/view?usp=drivesdk</v>
      </c>
    </row>
    <row r="2432">
      <c r="A2432" s="15">
        <f>IFERROR(__xludf.DUMMYFUNCTION("""COMPUTED_VALUE"""),45072.0)</f>
        <v>45072</v>
      </c>
      <c r="B2432" s="16" t="str">
        <f>IFERROR(__xludf.DUMMYFUNCTION("""COMPUTED_VALUE"""),"Envia")</f>
        <v>Envia</v>
      </c>
      <c r="C2432" s="15" t="str">
        <f>IFERROR(__xludf.DUMMYFUNCTION("""COMPUTED_VALUE"""),"BOGOTÁ")</f>
        <v>BOGOTÁ</v>
      </c>
      <c r="D2432" s="15" t="str">
        <f>IFERROR(__xludf.DUMMYFUNCTION("""COMPUTED_VALUE"""),"MEDELLÍN")</f>
        <v>MEDELLÍN</v>
      </c>
      <c r="E2432" s="15" t="str">
        <f>IFERROR(__xludf.DUMMYFUNCTION("""COMPUTED_VALUE"""),"Rambla")</f>
        <v>Rambla</v>
      </c>
      <c r="F2432" s="17" t="str">
        <f>IFERROR(__xludf.DUMMYFUNCTION("""COMPUTED_VALUE"""),"Km 1.5 via Chia Cajica 100 mts antes de Fontanar / NA / NA")</f>
        <v>Km 1.5 via Chia Cajica 100 mts antes de Fontanar / NA / NA</v>
      </c>
      <c r="G2432" s="15" t="str">
        <f>IFERROR(__xludf.DUMMYFUNCTION("""COMPUTED_VALUE"""),"The Choice Natural - Laura Posada")</f>
        <v>The Choice Natural - Laura Posada</v>
      </c>
      <c r="H2432" s="16">
        <f>IFERROR(__xludf.DUMMYFUNCTION("""COMPUTED_VALUE"""),11032.0)</f>
        <v>11032</v>
      </c>
      <c r="I2432" s="18">
        <f>IFERROR(__xludf.DUMMYFUNCTION("""COMPUTED_VALUE"""),22.0)</f>
        <v>22</v>
      </c>
      <c r="J2432" s="18">
        <f>IFERROR(__xludf.DUMMYFUNCTION("""COMPUTED_VALUE"""),25.0)</f>
        <v>25</v>
      </c>
      <c r="K2432" s="18">
        <f>IFERROR(__xludf.DUMMYFUNCTION("""COMPUTED_VALUE"""),28.0)</f>
        <v>28</v>
      </c>
      <c r="L2432" s="17">
        <f>IFERROR(__xludf.DUMMYFUNCTION("""COMPUTED_VALUE"""),3.212415592E9)</f>
        <v>3212415592</v>
      </c>
      <c r="M2432" s="17" t="str">
        <f>IFERROR(__xludf.DUMMYFUNCTION("""COMPUTED_VALUE"""),"#REF!")</f>
        <v>#REF!</v>
      </c>
      <c r="N2432" s="17"/>
      <c r="O2432" s="17"/>
      <c r="P2432" s="17" t="b">
        <f>IFERROR(__xludf.DUMMYFUNCTION("""COMPUTED_VALUE"""),TRUE)</f>
        <v>1</v>
      </c>
      <c r="Q2432" s="20">
        <f>IFERROR(__xludf.DUMMYFUNCTION("""COMPUTED_VALUE"""),45072.69029907408)</f>
        <v>45072.6903</v>
      </c>
      <c r="R2432" s="21" t="str">
        <f>IFERROR(__xludf.DUMMYFUNCTION("""COMPUTED_VALUE"""),"https://drive.google.com/file/d/1pbZVeQwes9PCm9BwzhsLv33-khNPx6e9/view?usp=drivesdk")</f>
        <v>https://drive.google.com/file/d/1pbZVeQwes9PCm9BwzhsLv33-khNPx6e9/view?usp=drivesdk</v>
      </c>
    </row>
    <row r="2433">
      <c r="A2433" s="15">
        <f>IFERROR(__xludf.DUMMYFUNCTION("""COMPUTED_VALUE"""),45072.0)</f>
        <v>45072</v>
      </c>
      <c r="B2433" s="16" t="str">
        <f>IFERROR(__xludf.DUMMYFUNCTION("""COMPUTED_VALUE"""),"Envia")</f>
        <v>Envia</v>
      </c>
      <c r="C2433" s="15" t="str">
        <f>IFERROR(__xludf.DUMMYFUNCTION("""COMPUTED_VALUE"""),"BOGOTÁ")</f>
        <v>BOGOTÁ</v>
      </c>
      <c r="D2433" s="15" t="str">
        <f>IFERROR(__xludf.DUMMYFUNCTION("""COMPUTED_VALUE"""),"MEDELLÍN")</f>
        <v>MEDELLÍN</v>
      </c>
      <c r="E2433" s="15" t="str">
        <f>IFERROR(__xludf.DUMMYFUNCTION("""COMPUTED_VALUE"""),"Renata")</f>
        <v>Renata</v>
      </c>
      <c r="F2433" s="17" t="str">
        <f>IFERROR(__xludf.DUMMYFUNCTION("""COMPUTED_VALUE"""),"Carrera 5 # 69-28 / ELEKTRA ( restaurante) / Zona G Bogotá  9 am a 8 pm")</f>
        <v>Carrera 5 # 69-28 / ELEKTRA ( restaurante) / Zona G Bogotá  9 am a 8 pm</v>
      </c>
      <c r="G2433" s="15" t="str">
        <f>IFERROR(__xludf.DUMMYFUNCTION("""COMPUTED_VALUE"""),"Denise monroy")</f>
        <v>Denise monroy</v>
      </c>
      <c r="H2433" s="16">
        <f>IFERROR(__xludf.DUMMYFUNCTION("""COMPUTED_VALUE"""),11055.0)</f>
        <v>11055</v>
      </c>
      <c r="I2433" s="18">
        <f>IFERROR(__xludf.DUMMYFUNCTION("""COMPUTED_VALUE"""),40.0)</f>
        <v>40</v>
      </c>
      <c r="J2433" s="18">
        <f>IFERROR(__xludf.DUMMYFUNCTION("""COMPUTED_VALUE"""),30.0)</f>
        <v>30</v>
      </c>
      <c r="K2433" s="18">
        <f>IFERROR(__xludf.DUMMYFUNCTION("""COMPUTED_VALUE"""),50.0)</f>
        <v>50</v>
      </c>
      <c r="L2433" s="17">
        <f>IFERROR(__xludf.DUMMYFUNCTION("""COMPUTED_VALUE"""),3.118698325E9)</f>
        <v>3118698325</v>
      </c>
      <c r="M2433" s="17" t="str">
        <f>IFERROR(__xludf.DUMMYFUNCTION("""COMPUTED_VALUE"""),"#REF!")</f>
        <v>#REF!</v>
      </c>
      <c r="N2433" s="17"/>
      <c r="O2433" s="17"/>
      <c r="P2433" s="17" t="b">
        <f>IFERROR(__xludf.DUMMYFUNCTION("""COMPUTED_VALUE"""),TRUE)</f>
        <v>1</v>
      </c>
      <c r="Q2433" s="20">
        <f>IFERROR(__xludf.DUMMYFUNCTION("""COMPUTED_VALUE"""),45072.69033023148)</f>
        <v>45072.69033</v>
      </c>
      <c r="R2433" s="21" t="str">
        <f>IFERROR(__xludf.DUMMYFUNCTION("""COMPUTED_VALUE"""),"https://drive.google.com/file/d/1o0EHAaIaBiI9OBLboknoOgB8UuP3pKnZ/view?usp=drivesdk")</f>
        <v>https://drive.google.com/file/d/1o0EHAaIaBiI9OBLboknoOgB8UuP3pKnZ/view?usp=drivesdk</v>
      </c>
    </row>
    <row r="2434">
      <c r="A2434" s="15">
        <f>IFERROR(__xludf.DUMMYFUNCTION("""COMPUTED_VALUE"""),45072.0)</f>
        <v>45072</v>
      </c>
      <c r="B2434" s="16" t="str">
        <f>IFERROR(__xludf.DUMMYFUNCTION("""COMPUTED_VALUE"""),"Envia")</f>
        <v>Envia</v>
      </c>
      <c r="C2434" s="15" t="str">
        <f>IFERROR(__xludf.DUMMYFUNCTION("""COMPUTED_VALUE"""),"BOGOTÁ")</f>
        <v>BOGOTÁ</v>
      </c>
      <c r="D2434" s="15" t="str">
        <f>IFERROR(__xludf.DUMMYFUNCTION("""COMPUTED_VALUE"""),"MEDELLÍN")</f>
        <v>MEDELLÍN</v>
      </c>
      <c r="E2434" s="15" t="str">
        <f>IFERROR(__xludf.DUMMYFUNCTION("""COMPUTED_VALUE"""),"Terravocado")</f>
        <v>Terravocado</v>
      </c>
      <c r="F2434" s="17" t="str">
        <f>IFERROR(__xludf.DUMMYFUNCTION("""COMPUTED_VALUE"""),"carrera 20 No 168-32 / BUKOI  / Toberin")</f>
        <v>carrera 20 No 168-32 / BUKOI  / Toberin</v>
      </c>
      <c r="G2434" s="15" t="str">
        <f>IFERROR(__xludf.DUMMYFUNCTION("""COMPUTED_VALUE"""),"BUKOI")</f>
        <v>BUKOI</v>
      </c>
      <c r="H2434" s="16">
        <f>IFERROR(__xludf.DUMMYFUNCTION("""COMPUTED_VALUE"""),11051.0)</f>
        <v>11051</v>
      </c>
      <c r="I2434" s="18">
        <f>IFERROR(__xludf.DUMMYFUNCTION("""COMPUTED_VALUE"""),20.0)</f>
        <v>20</v>
      </c>
      <c r="J2434" s="18">
        <f>IFERROR(__xludf.DUMMYFUNCTION("""COMPUTED_VALUE"""),25.0)</f>
        <v>25</v>
      </c>
      <c r="K2434" s="18">
        <f>IFERROR(__xludf.DUMMYFUNCTION("""COMPUTED_VALUE"""),34.0)</f>
        <v>34</v>
      </c>
      <c r="L2434" s="17">
        <f>IFERROR(__xludf.DUMMYFUNCTION("""COMPUTED_VALUE"""),3.103668164E9)</f>
        <v>3103668164</v>
      </c>
      <c r="M2434" s="17" t="str">
        <f>IFERROR(__xludf.DUMMYFUNCTION("""COMPUTED_VALUE"""),"#REF!")</f>
        <v>#REF!</v>
      </c>
      <c r="N2434" s="17"/>
      <c r="O2434" s="17"/>
      <c r="P2434" s="17" t="b">
        <f>IFERROR(__xludf.DUMMYFUNCTION("""COMPUTED_VALUE"""),TRUE)</f>
        <v>1</v>
      </c>
      <c r="Q2434" s="20">
        <f>IFERROR(__xludf.DUMMYFUNCTION("""COMPUTED_VALUE"""),45072.69033023148)</f>
        <v>45072.69033</v>
      </c>
      <c r="R2434" s="21" t="str">
        <f>IFERROR(__xludf.DUMMYFUNCTION("""COMPUTED_VALUE"""),"https://drive.google.com/file/d/1R5L-T9Ob2bbtab3dM9niMyWNYwm6wl4o/view?usp=drivesdk")</f>
        <v>https://drive.google.com/file/d/1R5L-T9Ob2bbtab3dM9niMyWNYwm6wl4o/view?usp=drivesdk</v>
      </c>
    </row>
    <row r="2435">
      <c r="A2435" s="15">
        <f>IFERROR(__xludf.DUMMYFUNCTION("""COMPUTED_VALUE"""),45072.0)</f>
        <v>45072</v>
      </c>
      <c r="B2435" s="16" t="str">
        <f>IFERROR(__xludf.DUMMYFUNCTION("""COMPUTED_VALUE"""),"Envia")</f>
        <v>Envia</v>
      </c>
      <c r="C2435" s="15" t="str">
        <f>IFERROR(__xludf.DUMMYFUNCTION("""COMPUTED_VALUE"""),"BUCARAMANGA")</f>
        <v>BUCARAMANGA</v>
      </c>
      <c r="D2435" s="15" t="str">
        <f>IFERROR(__xludf.DUMMYFUNCTION("""COMPUTED_VALUE"""),"BOGOTÁ")</f>
        <v>BOGOTÁ</v>
      </c>
      <c r="E2435" s="15" t="str">
        <f>IFERROR(__xludf.DUMMYFUNCTION("""COMPUTED_VALUE"""),"Athenas")</f>
        <v>Athenas</v>
      </c>
      <c r="F2435" s="17" t="str">
        <f>IFERROR(__xludf.DUMMYFUNCTION("""COMPUTED_VALUE"""),"Carrera 27 No. 19-145 Local 503  / Parque Caracolí / Dentro del Gimnasio Body Tech")</f>
        <v>Carrera 27 No. 19-145 Local 503  / Parque Caracolí / Dentro del Gimnasio Body Tech</v>
      </c>
      <c r="G2435" s="15" t="str">
        <f>IFERROR(__xludf.DUMMYFUNCTION("""COMPUTED_VALUE"""),"Monica Nueñez")</f>
        <v>Monica Nueñez</v>
      </c>
      <c r="H2435" s="16">
        <f>IFERROR(__xludf.DUMMYFUNCTION("""COMPUTED_VALUE"""),11019.0)</f>
        <v>11019</v>
      </c>
      <c r="I2435" s="18">
        <f>IFERROR(__xludf.DUMMYFUNCTION("""COMPUTED_VALUE"""),29.0)</f>
        <v>29</v>
      </c>
      <c r="J2435" s="18">
        <f>IFERROR(__xludf.DUMMYFUNCTION("""COMPUTED_VALUE"""),55.0)</f>
        <v>55</v>
      </c>
      <c r="K2435" s="18">
        <f>IFERROR(__xludf.DUMMYFUNCTION("""COMPUTED_VALUE"""),45.0)</f>
        <v>45</v>
      </c>
      <c r="L2435" s="17">
        <f>IFERROR(__xludf.DUMMYFUNCTION("""COMPUTED_VALUE"""),3.505619832E9)</f>
        <v>3505619832</v>
      </c>
      <c r="M2435" s="17" t="str">
        <f>IFERROR(__xludf.DUMMYFUNCTION("""COMPUTED_VALUE"""),"#REF!")</f>
        <v>#REF!</v>
      </c>
      <c r="N2435" s="17"/>
      <c r="O2435" s="17"/>
      <c r="P2435" s="17" t="b">
        <f>IFERROR(__xludf.DUMMYFUNCTION("""COMPUTED_VALUE"""),FALSE)</f>
        <v>0</v>
      </c>
      <c r="Q2435" s="20" t="str">
        <f>IFERROR(__xludf.DUMMYFUNCTION("""COMPUTED_VALUE"""),"")</f>
        <v/>
      </c>
      <c r="R2435" s="21" t="str">
        <f>IFERROR(__xludf.DUMMYFUNCTION("""COMPUTED_VALUE"""),"https://drive.google.com/file/d/1Kpnd_gDKzldW1t3Mw7Ao_QDL5ka1CctW/view?usp=drivesdk")</f>
        <v>https://drive.google.com/file/d/1Kpnd_gDKzldW1t3Mw7Ao_QDL5ka1CctW/view?usp=drivesdk</v>
      </c>
    </row>
    <row r="2436">
      <c r="A2436" s="15">
        <f>IFERROR(__xludf.DUMMYFUNCTION("""COMPUTED_VALUE"""),45072.0)</f>
        <v>45072</v>
      </c>
      <c r="B2436" s="16" t="str">
        <f>IFERROR(__xludf.DUMMYFUNCTION("""COMPUTED_VALUE"""),"Envia")</f>
        <v>Envia</v>
      </c>
      <c r="C2436" s="15" t="str">
        <f>IFERROR(__xludf.DUMMYFUNCTION("""COMPUTED_VALUE"""),"BUCARAMANGA")</f>
        <v>BUCARAMANGA</v>
      </c>
      <c r="D2436" s="15" t="str">
        <f>IFERROR(__xludf.DUMMYFUNCTION("""COMPUTED_VALUE"""),"BOGOTÁ")</f>
        <v>BOGOTÁ</v>
      </c>
      <c r="E2436" s="15" t="str">
        <f>IFERROR(__xludf.DUMMYFUNCTION("""COMPUTED_VALUE"""),"Evamazzita")</f>
        <v>Evamazzita</v>
      </c>
      <c r="F2436" s="17" t="str">
        <f>IFERROR(__xludf.DUMMYFUNCTION("""COMPUTED_VALUE"""),"CARRERA 20 # 7 - 11 / N/A / BARRIO COMUNEROS")</f>
        <v>CARRERA 20 # 7 - 11 / N/A / BARRIO COMUNEROS</v>
      </c>
      <c r="G2436" s="15" t="str">
        <f>IFERROR(__xludf.DUMMYFUNCTION("""COMPUTED_VALUE"""),"MARIO JOSÉ CORTÉS PARADA")</f>
        <v>MARIO JOSÉ CORTÉS PARADA</v>
      </c>
      <c r="H2436" s="16">
        <f>IFERROR(__xludf.DUMMYFUNCTION("""COMPUTED_VALUE"""),11024.0)</f>
        <v>11024</v>
      </c>
      <c r="I2436" s="18">
        <f>IFERROR(__xludf.DUMMYFUNCTION("""COMPUTED_VALUE"""),21.0)</f>
        <v>21</v>
      </c>
      <c r="J2436" s="18">
        <f>IFERROR(__xludf.DUMMYFUNCTION("""COMPUTED_VALUE"""),38.0)</f>
        <v>38</v>
      </c>
      <c r="K2436" s="18">
        <f>IFERROR(__xludf.DUMMYFUNCTION("""COMPUTED_VALUE"""),23.0)</f>
        <v>23</v>
      </c>
      <c r="L2436" s="17">
        <f>IFERROR(__xludf.DUMMYFUNCTION("""COMPUTED_VALUE"""),3.123394474E9)</f>
        <v>3123394474</v>
      </c>
      <c r="M2436" s="17" t="str">
        <f>IFERROR(__xludf.DUMMYFUNCTION("""COMPUTED_VALUE"""),"#REF!")</f>
        <v>#REF!</v>
      </c>
      <c r="N2436" s="17"/>
      <c r="O2436" s="17"/>
      <c r="P2436" s="17" t="b">
        <f>IFERROR(__xludf.DUMMYFUNCTION("""COMPUTED_VALUE"""),FALSE)</f>
        <v>0</v>
      </c>
      <c r="Q2436" s="20" t="str">
        <f>IFERROR(__xludf.DUMMYFUNCTION("""COMPUTED_VALUE"""),"")</f>
        <v/>
      </c>
      <c r="R2436" s="21" t="str">
        <f>IFERROR(__xludf.DUMMYFUNCTION("""COMPUTED_VALUE"""),"https://drive.google.com/file/d/1A9VmA6NJv18GmGVRSBRoDBqUOoR8IZ0Y/view?usp=drivesdk")</f>
        <v>https://drive.google.com/file/d/1A9VmA6NJv18GmGVRSBRoDBqUOoR8IZ0Y/view?usp=drivesdk</v>
      </c>
    </row>
    <row r="2437">
      <c r="A2437" s="15">
        <f>IFERROR(__xludf.DUMMYFUNCTION("""COMPUTED_VALUE"""),45072.0)</f>
        <v>45072</v>
      </c>
      <c r="B2437" s="16" t="str">
        <f>IFERROR(__xludf.DUMMYFUNCTION("""COMPUTED_VALUE"""),"Envia")</f>
        <v>Envia</v>
      </c>
      <c r="C2437" s="15" t="str">
        <f>IFERROR(__xludf.DUMMYFUNCTION("""COMPUTED_VALUE"""),"BUCARAMANGA")</f>
        <v>BUCARAMANGA</v>
      </c>
      <c r="D2437" s="15" t="str">
        <f>IFERROR(__xludf.DUMMYFUNCTION("""COMPUTED_VALUE"""),"BOGOTÁ")</f>
        <v>BOGOTÁ</v>
      </c>
      <c r="E2437" s="15" t="str">
        <f>IFERROR(__xludf.DUMMYFUNCTION("""COMPUTED_VALUE"""),"Evamazzita")</f>
        <v>Evamazzita</v>
      </c>
      <c r="F2437" s="17" t="str">
        <f>IFERROR(__xludf.DUMMYFUNCTION("""COMPUTED_VALUE"""),"CARRERA 20 # 7 - 11 / N/A / BARRIO COMUNEROS")</f>
        <v>CARRERA 20 # 7 - 11 / N/A / BARRIO COMUNEROS</v>
      </c>
      <c r="G2437" s="15" t="str">
        <f>IFERROR(__xludf.DUMMYFUNCTION("""COMPUTED_VALUE"""),"MARIO JOSÉ CORTÉS PARADA")</f>
        <v>MARIO JOSÉ CORTÉS PARADA</v>
      </c>
      <c r="H2437" s="16">
        <f>IFERROR(__xludf.DUMMYFUNCTION("""COMPUTED_VALUE"""),11025.0)</f>
        <v>11025</v>
      </c>
      <c r="I2437" s="18">
        <f>IFERROR(__xludf.DUMMYFUNCTION("""COMPUTED_VALUE"""),9.0)</f>
        <v>9</v>
      </c>
      <c r="J2437" s="18">
        <f>IFERROR(__xludf.DUMMYFUNCTION("""COMPUTED_VALUE"""),20.0)</f>
        <v>20</v>
      </c>
      <c r="K2437" s="18">
        <f>IFERROR(__xludf.DUMMYFUNCTION("""COMPUTED_VALUE"""),12.0)</f>
        <v>12</v>
      </c>
      <c r="L2437" s="17">
        <f>IFERROR(__xludf.DUMMYFUNCTION("""COMPUTED_VALUE"""),3.123394474E9)</f>
        <v>3123394474</v>
      </c>
      <c r="M2437" s="17" t="str">
        <f>IFERROR(__xludf.DUMMYFUNCTION("""COMPUTED_VALUE"""),"#REF!")</f>
        <v>#REF!</v>
      </c>
      <c r="N2437" s="17"/>
      <c r="O2437" s="17"/>
      <c r="P2437" s="17" t="b">
        <f>IFERROR(__xludf.DUMMYFUNCTION("""COMPUTED_VALUE"""),FALSE)</f>
        <v>0</v>
      </c>
      <c r="Q2437" s="20" t="str">
        <f>IFERROR(__xludf.DUMMYFUNCTION("""COMPUTED_VALUE"""),"")</f>
        <v/>
      </c>
      <c r="R2437" s="21" t="str">
        <f>IFERROR(__xludf.DUMMYFUNCTION("""COMPUTED_VALUE"""),"https://drive.google.com/file/d/1By15ziHe7uTucGBf3dLM1qY8mcmS9MJg/view?usp=drivesdk")</f>
        <v>https://drive.google.com/file/d/1By15ziHe7uTucGBf3dLM1qY8mcmS9MJg/view?usp=drivesdk</v>
      </c>
    </row>
    <row r="2438">
      <c r="A2438" s="15">
        <f>IFERROR(__xludf.DUMMYFUNCTION("""COMPUTED_VALUE"""),45072.0)</f>
        <v>45072</v>
      </c>
      <c r="B2438" s="16" t="str">
        <f>IFERROR(__xludf.DUMMYFUNCTION("""COMPUTED_VALUE"""),"Envia")</f>
        <v>Envia</v>
      </c>
      <c r="C2438" s="15" t="str">
        <f>IFERROR(__xludf.DUMMYFUNCTION("""COMPUTED_VALUE"""),"CALI")</f>
        <v>CALI</v>
      </c>
      <c r="D2438" s="15" t="str">
        <f>IFERROR(__xludf.DUMMYFUNCTION("""COMPUTED_VALUE"""),"BOGOTÁ")</f>
        <v>BOGOTÁ</v>
      </c>
      <c r="E2438" s="15" t="str">
        <f>IFERROR(__xludf.DUMMYFUNCTION("""COMPUTED_VALUE"""),"Renata")</f>
        <v>Renata</v>
      </c>
      <c r="F2438" s="17" t="str">
        <f>IFERROR(__xludf.DUMMYFUNCTION("""COMPUTED_VALUE"""),"Carrera 3#3a-83 / Patio 34 food containers -restaurante  / San Fernando")</f>
        <v>Carrera 3#3a-83 / Patio 34 food containers -restaurante  / San Fernando</v>
      </c>
      <c r="G2438" s="15" t="str">
        <f>IFERROR(__xludf.DUMMYFUNCTION("""COMPUTED_VALUE"""),"Retaco s.a.s")</f>
        <v>Retaco s.a.s</v>
      </c>
      <c r="H2438" s="16">
        <f>IFERROR(__xludf.DUMMYFUNCTION("""COMPUTED_VALUE"""),11036.0)</f>
        <v>11036</v>
      </c>
      <c r="I2438" s="18">
        <f>IFERROR(__xludf.DUMMYFUNCTION("""COMPUTED_VALUE"""),90.0)</f>
        <v>90</v>
      </c>
      <c r="J2438" s="18">
        <f>IFERROR(__xludf.DUMMYFUNCTION("""COMPUTED_VALUE"""),70.0)</f>
        <v>70</v>
      </c>
      <c r="K2438" s="18">
        <f>IFERROR(__xludf.DUMMYFUNCTION("""COMPUTED_VALUE"""),60.0)</f>
        <v>60</v>
      </c>
      <c r="L2438" s="17">
        <f>IFERROR(__xludf.DUMMYFUNCTION("""COMPUTED_VALUE"""),3.134720976E9)</f>
        <v>3134720976</v>
      </c>
      <c r="M2438" s="17" t="str">
        <f>IFERROR(__xludf.DUMMYFUNCTION("""COMPUTED_VALUE"""),"#REF!")</f>
        <v>#REF!</v>
      </c>
      <c r="N2438" s="17"/>
      <c r="O2438" s="17"/>
      <c r="P2438" s="17" t="b">
        <f>IFERROR(__xludf.DUMMYFUNCTION("""COMPUTED_VALUE"""),FALSE)</f>
        <v>0</v>
      </c>
      <c r="Q2438" s="20" t="str">
        <f>IFERROR(__xludf.DUMMYFUNCTION("""COMPUTED_VALUE"""),"")</f>
        <v/>
      </c>
      <c r="R2438" s="21" t="str">
        <f>IFERROR(__xludf.DUMMYFUNCTION("""COMPUTED_VALUE"""),"https://drive.google.com/file/d/1OE4aRjkSUa8dJczVpzVHxgOH4q5OUqjo/view?usp=drivesdk")</f>
        <v>https://drive.google.com/file/d/1OE4aRjkSUa8dJczVpzVHxgOH4q5OUqjo/view?usp=drivesdk</v>
      </c>
    </row>
    <row r="2439">
      <c r="A2439" s="15">
        <f>IFERROR(__xludf.DUMMYFUNCTION("""COMPUTED_VALUE"""),45072.0)</f>
        <v>45072</v>
      </c>
      <c r="B2439" s="16" t="str">
        <f>IFERROR(__xludf.DUMMYFUNCTION("""COMPUTED_VALUE"""),"Envia")</f>
        <v>Envia</v>
      </c>
      <c r="C2439" s="15" t="str">
        <f>IFERROR(__xludf.DUMMYFUNCTION("""COMPUTED_VALUE"""),"CALI")</f>
        <v>CALI</v>
      </c>
      <c r="D2439" s="15" t="str">
        <f>IFERROR(__xludf.DUMMYFUNCTION("""COMPUTED_VALUE"""),"BOGOTÁ")</f>
        <v>BOGOTÁ</v>
      </c>
      <c r="E2439" s="15" t="str">
        <f>IFERROR(__xludf.DUMMYFUNCTION("""COMPUTED_VALUE"""),"Viral Brands")</f>
        <v>Viral Brands</v>
      </c>
      <c r="F2439" s="17" t="str">
        <f>IFERROR(__xludf.DUMMYFUNCTION("""COMPUTED_VALUE"""),"Avenida 5a 25n 39 / Edificio / San vicente")</f>
        <v>Avenida 5a 25n 39 / Edificio / San vicente</v>
      </c>
      <c r="G2439" s="15" t="str">
        <f>IFERROR(__xludf.DUMMYFUNCTION("""COMPUTED_VALUE"""),"Lisbeth gamez")</f>
        <v>Lisbeth gamez</v>
      </c>
      <c r="H2439" s="16">
        <f>IFERROR(__xludf.DUMMYFUNCTION("""COMPUTED_VALUE"""),11054.0)</f>
        <v>11054</v>
      </c>
      <c r="I2439" s="18">
        <f>IFERROR(__xludf.DUMMYFUNCTION("""COMPUTED_VALUE"""),45.0)</f>
        <v>45</v>
      </c>
      <c r="J2439" s="18">
        <f>IFERROR(__xludf.DUMMYFUNCTION("""COMPUTED_VALUE"""),29.0)</f>
        <v>29</v>
      </c>
      <c r="K2439" s="18">
        <f>IFERROR(__xludf.DUMMYFUNCTION("""COMPUTED_VALUE"""),55.0)</f>
        <v>55</v>
      </c>
      <c r="L2439" s="17">
        <f>IFERROR(__xludf.DUMMYFUNCTION("""COMPUTED_VALUE"""),3.218280504E9)</f>
        <v>3218280504</v>
      </c>
      <c r="M2439" s="17" t="str">
        <f>IFERROR(__xludf.DUMMYFUNCTION("""COMPUTED_VALUE"""),"#REF!")</f>
        <v>#REF!</v>
      </c>
      <c r="N2439" s="17"/>
      <c r="O2439" s="17"/>
      <c r="P2439" s="17" t="b">
        <f>IFERROR(__xludf.DUMMYFUNCTION("""COMPUTED_VALUE"""),FALSE)</f>
        <v>0</v>
      </c>
      <c r="Q2439" s="20" t="str">
        <f>IFERROR(__xludf.DUMMYFUNCTION("""COMPUTED_VALUE"""),"")</f>
        <v/>
      </c>
      <c r="R2439" s="21" t="str">
        <f>IFERROR(__xludf.DUMMYFUNCTION("""COMPUTED_VALUE"""),"https://drive.google.com/file/d/1PYcGWJFwOJ2QtzoNMf4XI1iCecUFAQbg/view?usp=drivesdk")</f>
        <v>https://drive.google.com/file/d/1PYcGWJFwOJ2QtzoNMf4XI1iCecUFAQbg/view?usp=drivesdk</v>
      </c>
    </row>
    <row r="2440">
      <c r="A2440" s="15">
        <f>IFERROR(__xludf.DUMMYFUNCTION("""COMPUTED_VALUE"""),45072.0)</f>
        <v>45072</v>
      </c>
      <c r="B2440" s="16" t="str">
        <f>IFERROR(__xludf.DUMMYFUNCTION("""COMPUTED_VALUE"""),"Envia")</f>
        <v>Envia</v>
      </c>
      <c r="C2440" s="15" t="str">
        <f>IFERROR(__xludf.DUMMYFUNCTION("""COMPUTED_VALUE"""),"CARTAGENA")</f>
        <v>CARTAGENA</v>
      </c>
      <c r="D2440" s="15" t="str">
        <f>IFERROR(__xludf.DUMMYFUNCTION("""COMPUTED_VALUE"""),"BOGOTÁ")</f>
        <v>BOGOTÁ</v>
      </c>
      <c r="E2440" s="15" t="str">
        <f>IFERROR(__xludf.DUMMYFUNCTION("""COMPUTED_VALUE"""),"SISU PARTNERS SAS")</f>
        <v>SISU PARTNERS SAS</v>
      </c>
      <c r="F2440" s="17" t="str">
        <f>IFERROR(__xludf.DUMMYFUNCTION("""COMPUTED_VALUE"""),"Carrera 7 no. 38-48 local 3 / Local Mary &amp; George")</f>
        <v>Carrera 7 no. 38-48 local 3 / Local Mary &amp; George</v>
      </c>
      <c r="G2440" s="15" t="str">
        <f>IFERROR(__xludf.DUMMYFUNCTION("""COMPUTED_VALUE"""),"Carolyne Bailey")</f>
        <v>Carolyne Bailey</v>
      </c>
      <c r="H2440" s="16">
        <f>IFERROR(__xludf.DUMMYFUNCTION("""COMPUTED_VALUE"""),10965.0)</f>
        <v>10965</v>
      </c>
      <c r="I2440" s="18">
        <f>IFERROR(__xludf.DUMMYFUNCTION("""COMPUTED_VALUE"""),29.0)</f>
        <v>29</v>
      </c>
      <c r="J2440" s="18">
        <f>IFERROR(__xludf.DUMMYFUNCTION("""COMPUTED_VALUE"""),45.0)</f>
        <v>45</v>
      </c>
      <c r="K2440" s="18">
        <f>IFERROR(__xludf.DUMMYFUNCTION("""COMPUTED_VALUE"""),55.0)</f>
        <v>55</v>
      </c>
      <c r="L2440" s="17">
        <f>IFERROR(__xludf.DUMMYFUNCTION("""COMPUTED_VALUE"""),3.105510381E9)</f>
        <v>3105510381</v>
      </c>
      <c r="M2440" s="17" t="str">
        <f>IFERROR(__xludf.DUMMYFUNCTION("""COMPUTED_VALUE"""),"#REF!")</f>
        <v>#REF!</v>
      </c>
      <c r="N2440" s="17"/>
      <c r="O2440" s="17"/>
      <c r="P2440" s="17" t="b">
        <f>IFERROR(__xludf.DUMMYFUNCTION("""COMPUTED_VALUE"""),FALSE)</f>
        <v>0</v>
      </c>
      <c r="Q2440" s="20" t="str">
        <f>IFERROR(__xludf.DUMMYFUNCTION("""COMPUTED_VALUE"""),"")</f>
        <v/>
      </c>
      <c r="R2440" s="21" t="str">
        <f>IFERROR(__xludf.DUMMYFUNCTION("""COMPUTED_VALUE"""),"https://drive.google.com/file/d/1mj6npwhjQuvMdcseECEyb4_SO2E7R1HT/view?usp=drivesdk")</f>
        <v>https://drive.google.com/file/d/1mj6npwhjQuvMdcseECEyb4_SO2E7R1HT/view?usp=drivesdk</v>
      </c>
    </row>
    <row r="2441">
      <c r="A2441" s="15">
        <f>IFERROR(__xludf.DUMMYFUNCTION("""COMPUTED_VALUE"""),45072.0)</f>
        <v>45072</v>
      </c>
      <c r="B2441" s="16" t="str">
        <f>IFERROR(__xludf.DUMMYFUNCTION("""COMPUTED_VALUE"""),"Envia")</f>
        <v>Envia</v>
      </c>
      <c r="C2441" s="15" t="str">
        <f>IFERROR(__xludf.DUMMYFUNCTION("""COMPUTED_VALUE"""),"CÚCUTA")</f>
        <v>CÚCUTA</v>
      </c>
      <c r="D2441" s="15" t="str">
        <f>IFERROR(__xludf.DUMMYFUNCTION("""COMPUTED_VALUE"""),"BOGOTÁ")</f>
        <v>BOGOTÁ</v>
      </c>
      <c r="E2441" s="15" t="str">
        <f>IFERROR(__xludf.DUMMYFUNCTION("""COMPUTED_VALUE"""),"Asociacion Agropecuaria Juana Maria")</f>
        <v>Asociacion Agropecuaria Juana Maria</v>
      </c>
      <c r="F2441" s="17" t="str">
        <f>IFERROR(__xludf.DUMMYFUNCTION("""COMPUTED_VALUE"""),"AV. 2E # 15 A -17   PISTACHO FIT MARKET BARRIO CAOBOS")</f>
        <v>AV. 2E # 15 A -17   PISTACHO FIT MARKET BARRIO CAOBOS</v>
      </c>
      <c r="G2441" s="15" t="str">
        <f>IFERROR(__xludf.DUMMYFUNCTION("""COMPUTED_VALUE"""),"DACCY KARINA LOPEZ")</f>
        <v>DACCY KARINA LOPEZ</v>
      </c>
      <c r="H2441" s="16">
        <f>IFERROR(__xludf.DUMMYFUNCTION("""COMPUTED_VALUE"""),10896.0)</f>
        <v>10896</v>
      </c>
      <c r="I2441" s="18">
        <f>IFERROR(__xludf.DUMMYFUNCTION("""COMPUTED_VALUE"""),30.0)</f>
        <v>30</v>
      </c>
      <c r="J2441" s="18">
        <f>IFERROR(__xludf.DUMMYFUNCTION("""COMPUTED_VALUE"""),50.0)</f>
        <v>50</v>
      </c>
      <c r="K2441" s="18">
        <f>IFERROR(__xludf.DUMMYFUNCTION("""COMPUTED_VALUE"""),21.0)</f>
        <v>21</v>
      </c>
      <c r="L2441" s="17">
        <f>IFERROR(__xludf.DUMMYFUNCTION("""COMPUTED_VALUE"""),3.208615379E9)</f>
        <v>3208615379</v>
      </c>
      <c r="M2441" s="17" t="str">
        <f>IFERROR(__xludf.DUMMYFUNCTION("""COMPUTED_VALUE"""),"#REF!")</f>
        <v>#REF!</v>
      </c>
      <c r="N2441" s="17"/>
      <c r="O2441" s="17"/>
      <c r="P2441" s="17" t="b">
        <f>IFERROR(__xludf.DUMMYFUNCTION("""COMPUTED_VALUE"""),FALSE)</f>
        <v>0</v>
      </c>
      <c r="Q2441" s="20" t="str">
        <f>IFERROR(__xludf.DUMMYFUNCTION("""COMPUTED_VALUE"""),"")</f>
        <v/>
      </c>
      <c r="R2441" s="21" t="str">
        <f>IFERROR(__xludf.DUMMYFUNCTION("""COMPUTED_VALUE"""),"https://drive.google.com/file/d/12OLRND8vZ75RosE22iovwyK9zaAJyYfd/view?usp=drivesdk")</f>
        <v>https://drive.google.com/file/d/12OLRND8vZ75RosE22iovwyK9zaAJyYfd/view?usp=drivesdk</v>
      </c>
    </row>
    <row r="2442">
      <c r="A2442" s="15">
        <f>IFERROR(__xludf.DUMMYFUNCTION("""COMPUTED_VALUE"""),45072.0)</f>
        <v>45072</v>
      </c>
      <c r="B2442" s="16" t="str">
        <f>IFERROR(__xludf.DUMMYFUNCTION("""COMPUTED_VALUE"""),"Envia")</f>
        <v>Envia</v>
      </c>
      <c r="C2442" s="15" t="str">
        <f>IFERROR(__xludf.DUMMYFUNCTION("""COMPUTED_VALUE"""),"CÚCUTA")</f>
        <v>CÚCUTA</v>
      </c>
      <c r="D2442" s="15" t="str">
        <f>IFERROR(__xludf.DUMMYFUNCTION("""COMPUTED_VALUE"""),"BOGOTÁ")</f>
        <v>BOGOTÁ</v>
      </c>
      <c r="E2442" s="15" t="str">
        <f>IFERROR(__xludf.DUMMYFUNCTION("""COMPUTED_VALUE"""),"Evamazzita")</f>
        <v>Evamazzita</v>
      </c>
      <c r="F2442" s="17" t="str">
        <f>IFERROR(__xludf.DUMMYFUNCTION("""COMPUTED_VALUE"""),"Calle 21 #6-07  / barrio once de noviembre  / Los Patios")</f>
        <v>Calle 21 #6-07  / barrio once de noviembre  / Los Patios</v>
      </c>
      <c r="G2442" s="15" t="str">
        <f>IFERROR(__xludf.DUMMYFUNCTION("""COMPUTED_VALUE"""),"LAURA TATIANA CERVELON VILLAMIZAR")</f>
        <v>LAURA TATIANA CERVELON VILLAMIZAR</v>
      </c>
      <c r="H2442" s="16">
        <f>IFERROR(__xludf.DUMMYFUNCTION("""COMPUTED_VALUE"""),10980.0)</f>
        <v>10980</v>
      </c>
      <c r="I2442" s="18">
        <f>IFERROR(__xludf.DUMMYFUNCTION("""COMPUTED_VALUE"""),3.0)</f>
        <v>3</v>
      </c>
      <c r="J2442" s="18">
        <f>IFERROR(__xludf.DUMMYFUNCTION("""COMPUTED_VALUE"""),20.0)</f>
        <v>20</v>
      </c>
      <c r="K2442" s="18">
        <f>IFERROR(__xludf.DUMMYFUNCTION("""COMPUTED_VALUE"""),15.0)</f>
        <v>15</v>
      </c>
      <c r="L2442" s="17">
        <f>IFERROR(__xludf.DUMMYFUNCTION("""COMPUTED_VALUE"""),3.194980381E9)</f>
        <v>3194980381</v>
      </c>
      <c r="M2442" s="17" t="str">
        <f>IFERROR(__xludf.DUMMYFUNCTION("""COMPUTED_VALUE"""),"#REF!")</f>
        <v>#REF!</v>
      </c>
      <c r="N2442" s="17"/>
      <c r="O2442" s="17"/>
      <c r="P2442" s="17" t="b">
        <f>IFERROR(__xludf.DUMMYFUNCTION("""COMPUTED_VALUE"""),FALSE)</f>
        <v>0</v>
      </c>
      <c r="Q2442" s="20" t="str">
        <f>IFERROR(__xludf.DUMMYFUNCTION("""COMPUTED_VALUE"""),"")</f>
        <v/>
      </c>
      <c r="R2442" s="22" t="str">
        <f>IFERROR(__xludf.DUMMYFUNCTION("""COMPUTED_VALUE"""),"")</f>
        <v/>
      </c>
    </row>
    <row r="2443">
      <c r="A2443" s="15">
        <f>IFERROR(__xludf.DUMMYFUNCTION("""COMPUTED_VALUE"""),45072.0)</f>
        <v>45072</v>
      </c>
      <c r="B2443" s="16" t="str">
        <f>IFERROR(__xludf.DUMMYFUNCTION("""COMPUTED_VALUE"""),"Envia")</f>
        <v>Envia</v>
      </c>
      <c r="C2443" s="15" t="str">
        <f>IFERROR(__xludf.DUMMYFUNCTION("""COMPUTED_VALUE"""),"CÚCUTA")</f>
        <v>CÚCUTA</v>
      </c>
      <c r="D2443" s="15" t="str">
        <f>IFERROR(__xludf.DUMMYFUNCTION("""COMPUTED_VALUE"""),"BOGOTÁ")</f>
        <v>BOGOTÁ</v>
      </c>
      <c r="E2443" s="15" t="str">
        <f>IFERROR(__xludf.DUMMYFUNCTION("""COMPUTED_VALUE"""),"Pan de Waffle")</f>
        <v>Pan de Waffle</v>
      </c>
      <c r="F2443" s="17" t="str">
        <f>IFERROR(__xludf.DUMMYFUNCTION("""COMPUTED_VALUE"""),"Avenida 3e # 6cn - 12 Ceiba 2 / Avenida 3e # 6cn - 12 Ceiba 2 / Avenida 3e # 6cn - 12 Ceiba 2")</f>
        <v>Avenida 3e # 6cn - 12 Ceiba 2 / Avenida 3e # 6cn - 12 Ceiba 2 / Avenida 3e # 6cn - 12 Ceiba 2</v>
      </c>
      <c r="G2443" s="15" t="str">
        <f>IFERROR(__xludf.DUMMYFUNCTION("""COMPUTED_VALUE"""),"La Bodeguita  Market Fit")</f>
        <v>La Bodeguita  Market Fit</v>
      </c>
      <c r="H2443" s="16">
        <f>IFERROR(__xludf.DUMMYFUNCTION("""COMPUTED_VALUE"""),10990.0)</f>
        <v>10990</v>
      </c>
      <c r="I2443" s="18">
        <f>IFERROR(__xludf.DUMMYFUNCTION("""COMPUTED_VALUE"""),40.0)</f>
        <v>40</v>
      </c>
      <c r="J2443" s="18">
        <f>IFERROR(__xludf.DUMMYFUNCTION("""COMPUTED_VALUE"""),40.0)</f>
        <v>40</v>
      </c>
      <c r="K2443" s="18">
        <f>IFERROR(__xludf.DUMMYFUNCTION("""COMPUTED_VALUE"""),30.0)</f>
        <v>30</v>
      </c>
      <c r="L2443" s="17">
        <f>IFERROR(__xludf.DUMMYFUNCTION("""COMPUTED_VALUE"""),3.00384312E9)</f>
        <v>3003843120</v>
      </c>
      <c r="M2443" s="17" t="str">
        <f>IFERROR(__xludf.DUMMYFUNCTION("""COMPUTED_VALUE"""),"#REF!")</f>
        <v>#REF!</v>
      </c>
      <c r="N2443" s="17"/>
      <c r="O2443" s="17"/>
      <c r="P2443" s="17" t="b">
        <f>IFERROR(__xludf.DUMMYFUNCTION("""COMPUTED_VALUE"""),FALSE)</f>
        <v>0</v>
      </c>
      <c r="Q2443" s="20" t="str">
        <f>IFERROR(__xludf.DUMMYFUNCTION("""COMPUTED_VALUE"""),"")</f>
        <v/>
      </c>
      <c r="R2443" s="22" t="str">
        <f>IFERROR(__xludf.DUMMYFUNCTION("""COMPUTED_VALUE"""),"")</f>
        <v/>
      </c>
    </row>
    <row r="2444">
      <c r="A2444" s="15">
        <f>IFERROR(__xludf.DUMMYFUNCTION("""COMPUTED_VALUE"""),45072.0)</f>
        <v>45072</v>
      </c>
      <c r="B2444" s="16" t="str">
        <f>IFERROR(__xludf.DUMMYFUNCTION("""COMPUTED_VALUE"""),"Envia")</f>
        <v>Envia</v>
      </c>
      <c r="C2444" s="15" t="str">
        <f>IFERROR(__xludf.DUMMYFUNCTION("""COMPUTED_VALUE"""),"MEDELLÍN")</f>
        <v>MEDELLÍN</v>
      </c>
      <c r="D2444" s="15" t="str">
        <f>IFERROR(__xludf.DUMMYFUNCTION("""COMPUTED_VALUE"""),"BOGOTÁ")</f>
        <v>BOGOTÁ</v>
      </c>
      <c r="E2444" s="15" t="str">
        <f>IFERROR(__xludf.DUMMYFUNCTION("""COMPUTED_VALUE"""),"Ins. Alimento Vital")</f>
        <v>Ins. Alimento Vital</v>
      </c>
      <c r="F2444" s="17" t="str">
        <f>IFERROR(__xludf.DUMMYFUNCTION("""COMPUTED_VALUE"""),"AV 74 B 39 B 142 / CASA NEGRA 2 PISO / BARRIO LAURELES")</f>
        <v>AV 74 B 39 B 142 / CASA NEGRA 2 PISO / BARRIO LAURELES</v>
      </c>
      <c r="G2444" s="15" t="str">
        <f>IFERROR(__xludf.DUMMYFUNCTION("""COMPUTED_VALUE"""),"VELOCITY MEDELLIN")</f>
        <v>VELOCITY MEDELLIN</v>
      </c>
      <c r="H2444" s="16">
        <f>IFERROR(__xludf.DUMMYFUNCTION("""COMPUTED_VALUE"""),11053.0)</f>
        <v>11053</v>
      </c>
      <c r="I2444" s="18">
        <f>IFERROR(__xludf.DUMMYFUNCTION("""COMPUTED_VALUE"""),1.0)</f>
        <v>1</v>
      </c>
      <c r="J2444" s="18">
        <f>IFERROR(__xludf.DUMMYFUNCTION("""COMPUTED_VALUE"""),1.0)</f>
        <v>1</v>
      </c>
      <c r="K2444" s="18">
        <f>IFERROR(__xludf.DUMMYFUNCTION("""COMPUTED_VALUE"""),1.0)</f>
        <v>1</v>
      </c>
      <c r="L2444" s="17">
        <f>IFERROR(__xludf.DUMMYFUNCTION("""COMPUTED_VALUE"""),3.239674555E9)</f>
        <v>3239674555</v>
      </c>
      <c r="M2444" s="17" t="str">
        <f>IFERROR(__xludf.DUMMYFUNCTION("""COMPUTED_VALUE"""),"#REF!")</f>
        <v>#REF!</v>
      </c>
      <c r="N2444" s="17"/>
      <c r="O2444" s="17"/>
      <c r="P2444" s="17" t="b">
        <f>IFERROR(__xludf.DUMMYFUNCTION("""COMPUTED_VALUE"""),TRUE)</f>
        <v>1</v>
      </c>
      <c r="Q2444" s="20">
        <f>IFERROR(__xludf.DUMMYFUNCTION("""COMPUTED_VALUE"""),45072.69276152778)</f>
        <v>45072.69276</v>
      </c>
      <c r="R2444" s="21" t="str">
        <f>IFERROR(__xludf.DUMMYFUNCTION("""COMPUTED_VALUE"""),"https://drive.google.com/file/d/1bu1ihRf6MYS18Z1D_wvns_JZwMT9T3QJ/view?usp=drivesdk")</f>
        <v>https://drive.google.com/file/d/1bu1ihRf6MYS18Z1D_wvns_JZwMT9T3QJ/view?usp=drivesdk</v>
      </c>
    </row>
    <row r="2445">
      <c r="A2445" s="15">
        <f>IFERROR(__xludf.DUMMYFUNCTION("""COMPUTED_VALUE"""),45072.0)</f>
        <v>45072</v>
      </c>
      <c r="B2445" s="16" t="str">
        <f>IFERROR(__xludf.DUMMYFUNCTION("""COMPUTED_VALUE"""),"Envia")</f>
        <v>Envia</v>
      </c>
      <c r="C2445" s="15" t="str">
        <f>IFERROR(__xludf.DUMMYFUNCTION("""COMPUTED_VALUE"""),"MEDELLÍN")</f>
        <v>MEDELLÍN</v>
      </c>
      <c r="D2445" s="15" t="str">
        <f>IFERROR(__xludf.DUMMYFUNCTION("""COMPUTED_VALUE"""),"BOGOTÁ")</f>
        <v>BOGOTÁ</v>
      </c>
      <c r="E2445" s="15" t="str">
        <f>IFERROR(__xludf.DUMMYFUNCTION("""COMPUTED_VALUE"""),"Pan de Waffle")</f>
        <v>Pan de Waffle</v>
      </c>
      <c r="F2445" s="17" t="str">
        <f>IFERROR(__xludf.DUMMYFUNCTION("""COMPUTED_VALUE"""),"Carrera 39 # 59 - 32 / Carrera 39 # 59 - 32 / Carrera 39 # 59 - 32")</f>
        <v>Carrera 39 # 59 - 32 / Carrera 39 # 59 - 32 / Carrera 39 # 59 - 32</v>
      </c>
      <c r="G2445" s="15" t="str">
        <f>IFERROR(__xludf.DUMMYFUNCTION("""COMPUTED_VALUE"""),"FOODOLOGY")</f>
        <v>FOODOLOGY</v>
      </c>
      <c r="H2445" s="16">
        <f>IFERROR(__xludf.DUMMYFUNCTION("""COMPUTED_VALUE"""),11047.0)</f>
        <v>11047</v>
      </c>
      <c r="I2445" s="18">
        <f>IFERROR(__xludf.DUMMYFUNCTION("""COMPUTED_VALUE"""),40.0)</f>
        <v>40</v>
      </c>
      <c r="J2445" s="18">
        <f>IFERROR(__xludf.DUMMYFUNCTION("""COMPUTED_VALUE"""),40.0)</f>
        <v>40</v>
      </c>
      <c r="K2445" s="18">
        <f>IFERROR(__xludf.DUMMYFUNCTION("""COMPUTED_VALUE"""),30.0)</f>
        <v>30</v>
      </c>
      <c r="L2445" s="17">
        <f>IFERROR(__xludf.DUMMYFUNCTION("""COMPUTED_VALUE"""),3.123558292E9)</f>
        <v>3123558292</v>
      </c>
      <c r="M2445" s="17" t="str">
        <f>IFERROR(__xludf.DUMMYFUNCTION("""COMPUTED_VALUE"""),"#REF!")</f>
        <v>#REF!</v>
      </c>
      <c r="N2445" s="17"/>
      <c r="O2445" s="17"/>
      <c r="P2445" s="17" t="b">
        <f>IFERROR(__xludf.DUMMYFUNCTION("""COMPUTED_VALUE"""),FALSE)</f>
        <v>0</v>
      </c>
      <c r="Q2445" s="20" t="str">
        <f>IFERROR(__xludf.DUMMYFUNCTION("""COMPUTED_VALUE"""),"")</f>
        <v/>
      </c>
      <c r="R2445" s="21" t="str">
        <f>IFERROR(__xludf.DUMMYFUNCTION("""COMPUTED_VALUE"""),"https://drive.google.com/file/d/1yf3N2vHg78Qfssr4DLCgqP66GuvJfpSe/view?usp=drivesdk")</f>
        <v>https://drive.google.com/file/d/1yf3N2vHg78Qfssr4DLCgqP66GuvJfpSe/view?usp=drivesdk</v>
      </c>
    </row>
    <row r="2446">
      <c r="A2446" s="15">
        <f>IFERROR(__xludf.DUMMYFUNCTION("""COMPUTED_VALUE"""),45072.0)</f>
        <v>45072</v>
      </c>
      <c r="B2446" s="16" t="str">
        <f>IFERROR(__xludf.DUMMYFUNCTION("""COMPUTED_VALUE"""),"Envia")</f>
        <v>Envia</v>
      </c>
      <c r="C2446" s="15" t="str">
        <f>IFERROR(__xludf.DUMMYFUNCTION("""COMPUTED_VALUE"""),"MEDELLÍN")</f>
        <v>MEDELLÍN</v>
      </c>
      <c r="D2446" s="15" t="str">
        <f>IFERROR(__xludf.DUMMYFUNCTION("""COMPUTED_VALUE"""),"BOGOTÁ")</f>
        <v>BOGOTÁ</v>
      </c>
      <c r="E2446" s="15" t="str">
        <f>IFERROR(__xludf.DUMMYFUNCTION("""COMPUTED_VALUE"""),"Pan de Waffle")</f>
        <v>Pan de Waffle</v>
      </c>
      <c r="F2446" s="17" t="str">
        <f>IFERROR(__xludf.DUMMYFUNCTION("""COMPUTED_VALUE"""),"Carrera 56C # 83d sur 201 Apto 710 La Estrella, Antioquia Conjunto Aldea del Sur / Carrera 56C # 83d sur 201 Apto 710 La Estrella, Antioquia Conjunto Aldea del Sur / Carrera 56C # 83d sur 201 Apto 710 La Estrella, Antioquia Conjunto Aldea del Sur")</f>
        <v>Carrera 56C # 83d sur 201 Apto 710 La Estrella, Antioquia Conjunto Aldea del Sur / Carrera 56C # 83d sur 201 Apto 710 La Estrella, Antioquia Conjunto Aldea del Sur / Carrera 56C # 83d sur 201 Apto 710 La Estrella, Antioquia Conjunto Aldea del Sur</v>
      </c>
      <c r="G2446" s="15" t="str">
        <f>IFERROR(__xludf.DUMMYFUNCTION("""COMPUTED_VALUE"""),"MARCE CALLE")</f>
        <v>MARCE CALLE</v>
      </c>
      <c r="H2446" s="16">
        <f>IFERROR(__xludf.DUMMYFUNCTION("""COMPUTED_VALUE"""),11048.0)</f>
        <v>11048</v>
      </c>
      <c r="I2446" s="18">
        <f>IFERROR(__xludf.DUMMYFUNCTION("""COMPUTED_VALUE"""),30.0)</f>
        <v>30</v>
      </c>
      <c r="J2446" s="18">
        <f>IFERROR(__xludf.DUMMYFUNCTION("""COMPUTED_VALUE"""),40.0)</f>
        <v>40</v>
      </c>
      <c r="K2446" s="18">
        <f>IFERROR(__xludf.DUMMYFUNCTION("""COMPUTED_VALUE"""),40.0)</f>
        <v>40</v>
      </c>
      <c r="L2446" s="17">
        <f>IFERROR(__xludf.DUMMYFUNCTION("""COMPUTED_VALUE"""),3.193425469E9)</f>
        <v>3193425469</v>
      </c>
      <c r="M2446" s="17" t="str">
        <f>IFERROR(__xludf.DUMMYFUNCTION("""COMPUTED_VALUE"""),"#REF!")</f>
        <v>#REF!</v>
      </c>
      <c r="N2446" s="17"/>
      <c r="O2446" s="17"/>
      <c r="P2446" s="17" t="b">
        <f>IFERROR(__xludf.DUMMYFUNCTION("""COMPUTED_VALUE"""),FALSE)</f>
        <v>0</v>
      </c>
      <c r="Q2446" s="20" t="str">
        <f>IFERROR(__xludf.DUMMYFUNCTION("""COMPUTED_VALUE"""),"")</f>
        <v/>
      </c>
      <c r="R2446" s="22" t="str">
        <f>IFERROR(__xludf.DUMMYFUNCTION("""COMPUTED_VALUE"""),"")</f>
        <v/>
      </c>
    </row>
    <row r="2447">
      <c r="A2447" s="15">
        <f>IFERROR(__xludf.DUMMYFUNCTION("""COMPUTED_VALUE"""),45072.0)</f>
        <v>45072</v>
      </c>
      <c r="B2447" s="16" t="str">
        <f>IFERROR(__xludf.DUMMYFUNCTION("""COMPUTED_VALUE"""),"Envia")</f>
        <v>Envia</v>
      </c>
      <c r="C2447" s="15" t="str">
        <f>IFERROR(__xludf.DUMMYFUNCTION("""COMPUTED_VALUE"""),"MEDELLÍN")</f>
        <v>MEDELLÍN</v>
      </c>
      <c r="D2447" s="15" t="str">
        <f>IFERROR(__xludf.DUMMYFUNCTION("""COMPUTED_VALUE"""),"BOGOTÁ")</f>
        <v>BOGOTÁ</v>
      </c>
      <c r="E2447" s="15" t="str">
        <f>IFERROR(__xludf.DUMMYFUNCTION("""COMPUTED_VALUE"""),"Renata")</f>
        <v>Renata</v>
      </c>
      <c r="F2447" s="17" t="str">
        <f>IFERROR(__xludf.DUMMYFUNCTION("""COMPUTED_VALUE"""),"Carrera 32 d #9-43 / Seline y cowork -restaurante  / Provenza")</f>
        <v>Carrera 32 d #9-43 / Seline y cowork -restaurante  / Provenza</v>
      </c>
      <c r="G2447" s="15" t="str">
        <f>IFERROR(__xludf.DUMMYFUNCTION("""COMPUTED_VALUE"""),"Front y back hospitality group")</f>
        <v>Front y back hospitality group</v>
      </c>
      <c r="H2447" s="16">
        <f>IFERROR(__xludf.DUMMYFUNCTION("""COMPUTED_VALUE"""),11037.0)</f>
        <v>11037</v>
      </c>
      <c r="I2447" s="18">
        <f>IFERROR(__xludf.DUMMYFUNCTION("""COMPUTED_VALUE"""),90.0)</f>
        <v>90</v>
      </c>
      <c r="J2447" s="18">
        <f>IFERROR(__xludf.DUMMYFUNCTION("""COMPUTED_VALUE"""),70.0)</f>
        <v>70</v>
      </c>
      <c r="K2447" s="18">
        <f>IFERROR(__xludf.DUMMYFUNCTION("""COMPUTED_VALUE"""),60.0)</f>
        <v>60</v>
      </c>
      <c r="L2447" s="17">
        <f>IFERROR(__xludf.DUMMYFUNCTION("""COMPUTED_VALUE"""),3.104047368E9)</f>
        <v>3104047368</v>
      </c>
      <c r="M2447" s="17" t="str">
        <f>IFERROR(__xludf.DUMMYFUNCTION("""COMPUTED_VALUE"""),"#REF!")</f>
        <v>#REF!</v>
      </c>
      <c r="N2447" s="17"/>
      <c r="O2447" s="17"/>
      <c r="P2447" s="17" t="b">
        <f>IFERROR(__xludf.DUMMYFUNCTION("""COMPUTED_VALUE"""),FALSE)</f>
        <v>0</v>
      </c>
      <c r="Q2447" s="20" t="str">
        <f>IFERROR(__xludf.DUMMYFUNCTION("""COMPUTED_VALUE"""),"")</f>
        <v/>
      </c>
      <c r="R2447" s="21" t="str">
        <f>IFERROR(__xludf.DUMMYFUNCTION("""COMPUTED_VALUE"""),"https://drive.google.com/file/d/1cNe_NLJ7k8A-bGgc53jc6D2mjTR5zkHh/view?usp=drivesdk")</f>
        <v>https://drive.google.com/file/d/1cNe_NLJ7k8A-bGgc53jc6D2mjTR5zkHh/view?usp=drivesdk</v>
      </c>
    </row>
    <row r="2448">
      <c r="A2448" s="15">
        <f>IFERROR(__xludf.DUMMYFUNCTION("""COMPUTED_VALUE"""),45072.0)</f>
        <v>45072</v>
      </c>
      <c r="B2448" s="16" t="str">
        <f>IFERROR(__xludf.DUMMYFUNCTION("""COMPUTED_VALUE"""),"Envia")</f>
        <v>Envia</v>
      </c>
      <c r="C2448" s="15" t="str">
        <f>IFERROR(__xludf.DUMMYFUNCTION("""COMPUTED_VALUE"""),"NEIVA")</f>
        <v>NEIVA</v>
      </c>
      <c r="D2448" s="15" t="str">
        <f>IFERROR(__xludf.DUMMYFUNCTION("""COMPUTED_VALUE"""),"BOGOTÁ")</f>
        <v>BOGOTÁ</v>
      </c>
      <c r="E2448" s="15" t="str">
        <f>IFERROR(__xludf.DUMMYFUNCTION("""COMPUTED_VALUE"""),"Evamazzita")</f>
        <v>Evamazzita</v>
      </c>
      <c r="F2448" s="17" t="str">
        <f>IFERROR(__xludf.DUMMYFUNCTION("""COMPUTED_VALUE"""),"Calle 75A 1w 77  / N/A / Barrio calamari")</f>
        <v>Calle 75A 1w 77  / N/A / Barrio calamari</v>
      </c>
      <c r="G2448" s="15" t="str">
        <f>IFERROR(__xludf.DUMMYFUNCTION("""COMPUTED_VALUE"""),"DIANA MARCELA HORTA")</f>
        <v>DIANA MARCELA HORTA</v>
      </c>
      <c r="H2448" s="16">
        <f>IFERROR(__xludf.DUMMYFUNCTION("""COMPUTED_VALUE"""),11020.0)</f>
        <v>11020</v>
      </c>
      <c r="I2448" s="18">
        <f>IFERROR(__xludf.DUMMYFUNCTION("""COMPUTED_VALUE"""),3.0)</f>
        <v>3</v>
      </c>
      <c r="J2448" s="18">
        <f>IFERROR(__xludf.DUMMYFUNCTION("""COMPUTED_VALUE"""),20.0)</f>
        <v>20</v>
      </c>
      <c r="K2448" s="18">
        <f>IFERROR(__xludf.DUMMYFUNCTION("""COMPUTED_VALUE"""),15.0)</f>
        <v>15</v>
      </c>
      <c r="L2448" s="17">
        <f>IFERROR(__xludf.DUMMYFUNCTION("""COMPUTED_VALUE"""),3.167562064E9)</f>
        <v>3167562064</v>
      </c>
      <c r="M2448" s="17" t="str">
        <f>IFERROR(__xludf.DUMMYFUNCTION("""COMPUTED_VALUE"""),"#REF!")</f>
        <v>#REF!</v>
      </c>
      <c r="N2448" s="17"/>
      <c r="O2448" s="17"/>
      <c r="P2448" s="17" t="b">
        <f>IFERROR(__xludf.DUMMYFUNCTION("""COMPUTED_VALUE"""),FALSE)</f>
        <v>0</v>
      </c>
      <c r="Q2448" s="20" t="str">
        <f>IFERROR(__xludf.DUMMYFUNCTION("""COMPUTED_VALUE"""),"")</f>
        <v/>
      </c>
      <c r="R2448" s="21" t="str">
        <f>IFERROR(__xludf.DUMMYFUNCTION("""COMPUTED_VALUE"""),"https://drive.google.com/file/d/1nvkiMrz8vqfeddX9Xq6QNb2YhUxypcHE/view?usp=drivesdk")</f>
        <v>https://drive.google.com/file/d/1nvkiMrz8vqfeddX9Xq6QNb2YhUxypcHE/view?usp=drivesdk</v>
      </c>
    </row>
    <row r="2449">
      <c r="A2449" s="15">
        <f>IFERROR(__xludf.DUMMYFUNCTION("""COMPUTED_VALUE"""),45072.0)</f>
        <v>45072</v>
      </c>
      <c r="B2449" s="16" t="str">
        <f>IFERROR(__xludf.DUMMYFUNCTION("""COMPUTED_VALUE"""),"Envia")</f>
        <v>Envia</v>
      </c>
      <c r="C2449" s="15" t="str">
        <f>IFERROR(__xludf.DUMMYFUNCTION("""COMPUTED_VALUE"""),"NEIVA")</f>
        <v>NEIVA</v>
      </c>
      <c r="D2449" s="15" t="str">
        <f>IFERROR(__xludf.DUMMYFUNCTION("""COMPUTED_VALUE"""),"BOGOTÁ")</f>
        <v>BOGOTÁ</v>
      </c>
      <c r="E2449" s="15" t="str">
        <f>IFERROR(__xludf.DUMMYFUNCTION("""COMPUTED_VALUE"""),"Evamazzita")</f>
        <v>Evamazzita</v>
      </c>
      <c r="F2449" s="17" t="str">
        <f>IFERROR(__xludf.DUMMYFUNCTION("""COMPUTED_VALUE"""),"CALLE 78 No. 8 - 42  /  TORRE 5 APTO 303 / CONJUNTO CAMINOS DE LA PRIMAVERA")</f>
        <v>CALLE 78 No. 8 - 42  /  TORRE 5 APTO 303 / CONJUNTO CAMINOS DE LA PRIMAVERA</v>
      </c>
      <c r="G2449" s="15" t="str">
        <f>IFERROR(__xludf.DUMMYFUNCTION("""COMPUTED_VALUE"""),"DANIELA SANCHEZ ALVARADO")</f>
        <v>DANIELA SANCHEZ ALVARADO</v>
      </c>
      <c r="H2449" s="16">
        <f>IFERROR(__xludf.DUMMYFUNCTION("""COMPUTED_VALUE"""),11023.0)</f>
        <v>11023</v>
      </c>
      <c r="I2449" s="18">
        <f>IFERROR(__xludf.DUMMYFUNCTION("""COMPUTED_VALUE"""),3.0)</f>
        <v>3</v>
      </c>
      <c r="J2449" s="18">
        <f>IFERROR(__xludf.DUMMYFUNCTION("""COMPUTED_VALUE"""),20.0)</f>
        <v>20</v>
      </c>
      <c r="K2449" s="18">
        <f>IFERROR(__xludf.DUMMYFUNCTION("""COMPUTED_VALUE"""),15.0)</f>
        <v>15</v>
      </c>
      <c r="L2449" s="17">
        <f>IFERROR(__xludf.DUMMYFUNCTION("""COMPUTED_VALUE"""),3.163058589E9)</f>
        <v>3163058589</v>
      </c>
      <c r="M2449" s="17" t="str">
        <f>IFERROR(__xludf.DUMMYFUNCTION("""COMPUTED_VALUE"""),"#REF!")</f>
        <v>#REF!</v>
      </c>
      <c r="N2449" s="17"/>
      <c r="O2449" s="17"/>
      <c r="P2449" s="17" t="b">
        <f>IFERROR(__xludf.DUMMYFUNCTION("""COMPUTED_VALUE"""),FALSE)</f>
        <v>0</v>
      </c>
      <c r="Q2449" s="20" t="str">
        <f>IFERROR(__xludf.DUMMYFUNCTION("""COMPUTED_VALUE"""),"")</f>
        <v/>
      </c>
      <c r="R2449" s="21" t="str">
        <f>IFERROR(__xludf.DUMMYFUNCTION("""COMPUTED_VALUE"""),"https://drive.google.com/file/d/1uVm-KGSZLRFqQQqh6r-_XyWRlbTmvtlx/view?usp=drivesdk")</f>
        <v>https://drive.google.com/file/d/1uVm-KGSZLRFqQQqh6r-_XyWRlbTmvtlx/view?usp=drivesdk</v>
      </c>
    </row>
    <row r="2450">
      <c r="A2450" s="15">
        <f>IFERROR(__xludf.DUMMYFUNCTION("""COMPUTED_VALUE"""),45072.0)</f>
        <v>45072</v>
      </c>
      <c r="B2450" s="16" t="str">
        <f>IFERROR(__xludf.DUMMYFUNCTION("""COMPUTED_VALUE"""),"Envia")</f>
        <v>Envia</v>
      </c>
      <c r="C2450" s="15" t="str">
        <f>IFERROR(__xludf.DUMMYFUNCTION("""COMPUTED_VALUE"""),"SANTA MARTA")</f>
        <v>SANTA MARTA</v>
      </c>
      <c r="D2450" s="15" t="str">
        <f>IFERROR(__xludf.DUMMYFUNCTION("""COMPUTED_VALUE"""),"BOGOTÁ")</f>
        <v>BOGOTÁ</v>
      </c>
      <c r="E2450" s="15" t="str">
        <f>IFERROR(__xludf.DUMMYFUNCTION("""COMPUTED_VALUE"""),"Evamazzita")</f>
        <v>Evamazzita</v>
      </c>
      <c r="F2450" s="17" t="str">
        <f>IFERROR(__xludf.DUMMYFUNCTION("""COMPUTED_VALUE"""),"CALLE 29 No. 31 - 35  / T.1 APTO 1401  / EDIFICIO MIRADOR DE SAN PEDRO")</f>
        <v>CALLE 29 No. 31 - 35  / T.1 APTO 1401  / EDIFICIO MIRADOR DE SAN PEDRO</v>
      </c>
      <c r="G2450" s="15" t="str">
        <f>IFERROR(__xludf.DUMMYFUNCTION("""COMPUTED_VALUE"""),"KATTIA CABAS HOYOS")</f>
        <v>KATTIA CABAS HOYOS</v>
      </c>
      <c r="H2450" s="16">
        <f>IFERROR(__xludf.DUMMYFUNCTION("""COMPUTED_VALUE"""),10983.0)</f>
        <v>10983</v>
      </c>
      <c r="I2450" s="18">
        <f>IFERROR(__xludf.DUMMYFUNCTION("""COMPUTED_VALUE"""),3.0)</f>
        <v>3</v>
      </c>
      <c r="J2450" s="18">
        <f>IFERROR(__xludf.DUMMYFUNCTION("""COMPUTED_VALUE"""),20.0)</f>
        <v>20</v>
      </c>
      <c r="K2450" s="18">
        <f>IFERROR(__xludf.DUMMYFUNCTION("""COMPUTED_VALUE"""),15.0)</f>
        <v>15</v>
      </c>
      <c r="L2450" s="17">
        <f>IFERROR(__xludf.DUMMYFUNCTION("""COMPUTED_VALUE"""),3.014396771E9)</f>
        <v>3014396771</v>
      </c>
      <c r="M2450" s="17" t="str">
        <f>IFERROR(__xludf.DUMMYFUNCTION("""COMPUTED_VALUE"""),"#REF!")</f>
        <v>#REF!</v>
      </c>
      <c r="N2450" s="17"/>
      <c r="O2450" s="17"/>
      <c r="P2450" s="17" t="b">
        <f>IFERROR(__xludf.DUMMYFUNCTION("""COMPUTED_VALUE"""),FALSE)</f>
        <v>0</v>
      </c>
      <c r="Q2450" s="20" t="str">
        <f>IFERROR(__xludf.DUMMYFUNCTION("""COMPUTED_VALUE"""),"")</f>
        <v/>
      </c>
      <c r="R2450" s="21" t="str">
        <f>IFERROR(__xludf.DUMMYFUNCTION("""COMPUTED_VALUE"""),"https://drive.google.com/file/d/19zJCUx6umpnLRnz-avAqHUwPb8FMzVKM/view?usp=drivesdk")</f>
        <v>https://drive.google.com/file/d/19zJCUx6umpnLRnz-avAqHUwPb8FMzVKM/view?usp=drivesdk</v>
      </c>
    </row>
    <row r="2451">
      <c r="A2451" s="15">
        <f>IFERROR(__xludf.DUMMYFUNCTION("""COMPUTED_VALUE"""),45072.0)</f>
        <v>45072</v>
      </c>
      <c r="B2451" s="16" t="str">
        <f>IFERROR(__xludf.DUMMYFUNCTION("""COMPUTED_VALUE"""),"Envia")</f>
        <v>Envia</v>
      </c>
      <c r="C2451" s="15" t="str">
        <f>IFERROR(__xludf.DUMMYFUNCTION("""COMPUTED_VALUE"""),"SANTA MARTA")</f>
        <v>SANTA MARTA</v>
      </c>
      <c r="D2451" s="15" t="str">
        <f>IFERROR(__xludf.DUMMYFUNCTION("""COMPUTED_VALUE"""),"BOGOTÁ")</f>
        <v>BOGOTÁ</v>
      </c>
      <c r="E2451" s="15" t="str">
        <f>IFERROR(__xludf.DUMMYFUNCTION("""COMPUTED_VALUE"""),"Evamazzita")</f>
        <v>Evamazzita</v>
      </c>
      <c r="F2451" s="17" t="str">
        <f>IFERROR(__xludf.DUMMYFUNCTION("""COMPUTED_VALUE"""),"Calle 45A # 29C-22 / casa 20 (conjunto cerrado villas de andalucia)  / Santa Cruz")</f>
        <v>Calle 45A # 29C-22 / casa 20 (conjunto cerrado villas de andalucia)  / Santa Cruz</v>
      </c>
      <c r="G2451" s="15" t="str">
        <f>IFERROR(__xludf.DUMMYFUNCTION("""COMPUTED_VALUE"""),"ALEJANDRA JORDI")</f>
        <v>ALEJANDRA JORDI</v>
      </c>
      <c r="H2451" s="16">
        <f>IFERROR(__xludf.DUMMYFUNCTION("""COMPUTED_VALUE"""),10985.0)</f>
        <v>10985</v>
      </c>
      <c r="I2451" s="18">
        <f>IFERROR(__xludf.DUMMYFUNCTION("""COMPUTED_VALUE"""),3.0)</f>
        <v>3</v>
      </c>
      <c r="J2451" s="18">
        <f>IFERROR(__xludf.DUMMYFUNCTION("""COMPUTED_VALUE"""),20.0)</f>
        <v>20</v>
      </c>
      <c r="K2451" s="18">
        <f>IFERROR(__xludf.DUMMYFUNCTION("""COMPUTED_VALUE"""),15.0)</f>
        <v>15</v>
      </c>
      <c r="L2451" s="17">
        <f>IFERROR(__xludf.DUMMYFUNCTION("""COMPUTED_VALUE"""),3.017563592E9)</f>
        <v>3017563592</v>
      </c>
      <c r="M2451" s="17" t="str">
        <f>IFERROR(__xludf.DUMMYFUNCTION("""COMPUTED_VALUE"""),"#REF!")</f>
        <v>#REF!</v>
      </c>
      <c r="N2451" s="17"/>
      <c r="O2451" s="17"/>
      <c r="P2451" s="17" t="b">
        <f>IFERROR(__xludf.DUMMYFUNCTION("""COMPUTED_VALUE"""),FALSE)</f>
        <v>0</v>
      </c>
      <c r="Q2451" s="20" t="str">
        <f>IFERROR(__xludf.DUMMYFUNCTION("""COMPUTED_VALUE"""),"")</f>
        <v/>
      </c>
      <c r="R2451" s="21" t="str">
        <f>IFERROR(__xludf.DUMMYFUNCTION("""COMPUTED_VALUE"""),"https://drive.google.com/file/d/19JPjnC0Z77Z8rfxxkZ1IYtmViVz85Zpy/view?usp=drivesdk")</f>
        <v>https://drive.google.com/file/d/19JPjnC0Z77Z8rfxxkZ1IYtmViVz85Zpy/view?usp=drivesdk</v>
      </c>
    </row>
    <row r="2452">
      <c r="A2452" s="15">
        <f>IFERROR(__xludf.DUMMYFUNCTION("""COMPUTED_VALUE"""),45072.0)</f>
        <v>45072</v>
      </c>
      <c r="B2452" s="16" t="str">
        <f>IFERROR(__xludf.DUMMYFUNCTION("""COMPUTED_VALUE"""),"Envia")</f>
        <v>Envia</v>
      </c>
      <c r="C2452" s="15" t="str">
        <f>IFERROR(__xludf.DUMMYFUNCTION("""COMPUTED_VALUE"""),"SANTA MARTA")</f>
        <v>SANTA MARTA</v>
      </c>
      <c r="D2452" s="15" t="str">
        <f>IFERROR(__xludf.DUMMYFUNCTION("""COMPUTED_VALUE"""),"MEDELLÍN")</f>
        <v>MEDELLÍN</v>
      </c>
      <c r="E2452" s="15" t="str">
        <f>IFERROR(__xludf.DUMMYFUNCTION("""COMPUTED_VALUE"""),"Rambla")</f>
        <v>Rambla</v>
      </c>
      <c r="F2452" s="17" t="str">
        <f>IFERROR(__xludf.DUMMYFUNCTION("""COMPUTED_VALUE"""),"calle 24a #2-39 bella vista ed san marino lc 1 / na / na")</f>
        <v>calle 24a #2-39 bella vista ed san marino lc 1 / na / na</v>
      </c>
      <c r="G2452" s="15" t="str">
        <f>IFERROR(__xludf.DUMMYFUNCTION("""COMPUTED_VALUE"""),"corozo-comerc")</f>
        <v>corozo-comerc</v>
      </c>
      <c r="H2452" s="16">
        <f>IFERROR(__xludf.DUMMYFUNCTION("""COMPUTED_VALUE"""),11012.0)</f>
        <v>11012</v>
      </c>
      <c r="I2452" s="18">
        <f>IFERROR(__xludf.DUMMYFUNCTION("""COMPUTED_VALUE"""),32.0)</f>
        <v>32</v>
      </c>
      <c r="J2452" s="18">
        <f>IFERROR(__xludf.DUMMYFUNCTION("""COMPUTED_VALUE"""),20.0)</f>
        <v>20</v>
      </c>
      <c r="K2452" s="18">
        <f>IFERROR(__xludf.DUMMYFUNCTION("""COMPUTED_VALUE"""),23.0)</f>
        <v>23</v>
      </c>
      <c r="L2452" s="17">
        <f>IFERROR(__xludf.DUMMYFUNCTION("""COMPUTED_VALUE"""),3.173000209E9)</f>
        <v>3173000209</v>
      </c>
      <c r="M2452" s="17" t="str">
        <f>IFERROR(__xludf.DUMMYFUNCTION("""COMPUTED_VALUE"""),"#REF!")</f>
        <v>#REF!</v>
      </c>
      <c r="N2452" s="17"/>
      <c r="O2452" s="17"/>
      <c r="P2452" s="17" t="b">
        <f>IFERROR(__xludf.DUMMYFUNCTION("""COMPUTED_VALUE"""),FALSE)</f>
        <v>0</v>
      </c>
      <c r="Q2452" s="20" t="str">
        <f>IFERROR(__xludf.DUMMYFUNCTION("""COMPUTED_VALUE"""),"")</f>
        <v/>
      </c>
      <c r="R2452" s="21" t="str">
        <f>IFERROR(__xludf.DUMMYFUNCTION("""COMPUTED_VALUE"""),"https://drive.google.com/file/d/14df4EWauV1k0DcIjU9ZiBq_txU6ojeHk/view?usp=drivesdk")</f>
        <v>https://drive.google.com/file/d/14df4EWauV1k0DcIjU9ZiBq_txU6ojeHk/view?usp=drivesdk</v>
      </c>
    </row>
    <row r="2453">
      <c r="A2453" s="17" t="str">
        <f>IFERROR(__xludf.DUMMYFUNCTION("""COMPUTED_VALUE"""),"")</f>
        <v/>
      </c>
      <c r="B2453" s="17" t="str">
        <f>IFERROR(__xludf.DUMMYFUNCTION("""COMPUTED_VALUE"""),"")</f>
        <v/>
      </c>
      <c r="C2453" s="17" t="str">
        <f>IFERROR(__xludf.DUMMYFUNCTION("""COMPUTED_VALUE"""),"")</f>
        <v/>
      </c>
      <c r="D2453" s="17" t="str">
        <f>IFERROR(__xludf.DUMMYFUNCTION("""COMPUTED_VALUE"""),"")</f>
        <v/>
      </c>
      <c r="E2453" s="17" t="str">
        <f>IFERROR(__xludf.DUMMYFUNCTION("""COMPUTED_VALUE"""),"")</f>
        <v/>
      </c>
      <c r="F2453" s="17" t="str">
        <f>IFERROR(__xludf.DUMMYFUNCTION("""COMPUTED_VALUE"""),"")</f>
        <v/>
      </c>
      <c r="G2453" s="17" t="str">
        <f>IFERROR(__xludf.DUMMYFUNCTION("""COMPUTED_VALUE"""),"")</f>
        <v/>
      </c>
      <c r="H2453" s="17" t="str">
        <f>IFERROR(__xludf.DUMMYFUNCTION("""COMPUTED_VALUE"""),"")</f>
        <v/>
      </c>
      <c r="I2453" s="17" t="str">
        <f>IFERROR(__xludf.DUMMYFUNCTION("""COMPUTED_VALUE"""),"")</f>
        <v/>
      </c>
      <c r="J2453" s="17" t="str">
        <f>IFERROR(__xludf.DUMMYFUNCTION("""COMPUTED_VALUE"""),"")</f>
        <v/>
      </c>
      <c r="K2453" s="17" t="str">
        <f>IFERROR(__xludf.DUMMYFUNCTION("""COMPUTED_VALUE"""),"")</f>
        <v/>
      </c>
      <c r="L2453" s="17" t="str">
        <f>IFERROR(__xludf.DUMMYFUNCTION("""COMPUTED_VALUE"""),"")</f>
        <v/>
      </c>
      <c r="M2453" s="17" t="str">
        <f>IFERROR(__xludf.DUMMYFUNCTION("""COMPUTED_VALUE"""),"")</f>
        <v/>
      </c>
      <c r="N2453" s="17" t="str">
        <f>IFERROR(__xludf.DUMMYFUNCTION("""COMPUTED_VALUE"""),"")</f>
        <v/>
      </c>
      <c r="O2453" s="17" t="str">
        <f>IFERROR(__xludf.DUMMYFUNCTION("""COMPUTED_VALUE"""),"")</f>
        <v/>
      </c>
      <c r="P2453" s="17" t="str">
        <f>IFERROR(__xludf.DUMMYFUNCTION("""COMPUTED_VALUE"""),"")</f>
        <v/>
      </c>
      <c r="Q2453" s="17" t="str">
        <f>IFERROR(__xludf.DUMMYFUNCTION("""COMPUTED_VALUE"""),"")</f>
        <v/>
      </c>
      <c r="R2453" s="17" t="str">
        <f>IFERROR(__xludf.DUMMYFUNCTION("""COMPUTED_VALUE"""),"")</f>
        <v/>
      </c>
    </row>
    <row r="2454">
      <c r="A2454" s="15">
        <f>IFERROR(__xludf.DUMMYFUNCTION("""COMPUTED_VALUE"""),45072.0)</f>
        <v>45072</v>
      </c>
      <c r="B2454" s="16" t="str">
        <f>IFERROR(__xludf.DUMMYFUNCTION("""COMPUTED_VALUE"""),"Jeison Rubiano")</f>
        <v>Jeison Rubiano</v>
      </c>
      <c r="C2454" s="15" t="str">
        <f>IFERROR(__xludf.DUMMYFUNCTION("""COMPUTED_VALUE"""),"BOGOTÁ")</f>
        <v>BOGOTÁ</v>
      </c>
      <c r="D2454" s="15" t="str">
        <f>IFERROR(__xludf.DUMMYFUNCTION("""COMPUTED_VALUE"""),"MEDELLÍN")</f>
        <v>MEDELLÍN</v>
      </c>
      <c r="E2454" s="15" t="str">
        <f>IFERROR(__xludf.DUMMYFUNCTION("""COMPUTED_VALUE"""),"Baby Chef")</f>
        <v>Baby Chef</v>
      </c>
      <c r="F2454" s="17" t="str">
        <f>IFERROR(__xludf.DUMMYFUNCTION("""COMPUTED_VALUE"""),"Calle 127 b bis # 20-66 apto 306 edificio pórtico 3 barrio la calleja / Calle 127 b bis # 20-66 apto 306 edificio pórtico 3 barrio la calleja / Calle 127 b bis # 20-66 apto 306 edificio pórtico 3 barrio la calleja")</f>
        <v>Calle 127 b bis # 20-66 apto 306 edificio pórtico 3 barrio la calleja / Calle 127 b bis # 20-66 apto 306 edificio pórtico 3 barrio la calleja / Calle 127 b bis # 20-66 apto 306 edificio pórtico 3 barrio la calleja</v>
      </c>
      <c r="G2454" s="15" t="str">
        <f>IFERROR(__xludf.DUMMYFUNCTION("""COMPUTED_VALUE"""),"Viviana Fandiño")</f>
        <v>Viviana Fandiño</v>
      </c>
      <c r="H2454" s="16">
        <f>IFERROR(__xludf.DUMMYFUNCTION("""COMPUTED_VALUE"""),11038.0)</f>
        <v>11038</v>
      </c>
      <c r="I2454" s="18">
        <f>IFERROR(__xludf.DUMMYFUNCTION("""COMPUTED_VALUE"""),8.0)</f>
        <v>8</v>
      </c>
      <c r="J2454" s="18">
        <f>IFERROR(__xludf.DUMMYFUNCTION("""COMPUTED_VALUE"""),16.0)</f>
        <v>16</v>
      </c>
      <c r="K2454" s="18">
        <f>IFERROR(__xludf.DUMMYFUNCTION("""COMPUTED_VALUE"""),20.0)</f>
        <v>20</v>
      </c>
      <c r="L2454" s="17">
        <f>IFERROR(__xludf.DUMMYFUNCTION("""COMPUTED_VALUE"""),3.202185275E9)</f>
        <v>3202185275</v>
      </c>
      <c r="M2454" s="17" t="str">
        <f>IFERROR(__xludf.DUMMYFUNCTION("""COMPUTED_VALUE"""),"#REF!")</f>
        <v>#REF!</v>
      </c>
      <c r="N2454" s="17"/>
      <c r="O2454" s="17"/>
      <c r="P2454" s="17" t="b">
        <f>IFERROR(__xludf.DUMMYFUNCTION("""COMPUTED_VALUE"""),FALSE)</f>
        <v>0</v>
      </c>
      <c r="Q2454" s="20" t="str">
        <f>IFERROR(__xludf.DUMMYFUNCTION("""COMPUTED_VALUE"""),"")</f>
        <v/>
      </c>
      <c r="R2454" s="21" t="str">
        <f>IFERROR(__xludf.DUMMYFUNCTION("""COMPUTED_VALUE"""),"https://drive.google.com/file/d/1nFfDQ9-6Sir6CtzQx5M6HdZn-yQ2Q2Nz/view?usp=drivesdk")</f>
        <v>https://drive.google.com/file/d/1nFfDQ9-6Sir6CtzQx5M6HdZn-yQ2Q2Nz/view?usp=drivesdk</v>
      </c>
    </row>
    <row r="2455">
      <c r="A2455" s="15">
        <f>IFERROR(__xludf.DUMMYFUNCTION("""COMPUTED_VALUE"""),45072.0)</f>
        <v>45072</v>
      </c>
      <c r="B2455" s="16" t="str">
        <f>IFERROR(__xludf.DUMMYFUNCTION("""COMPUTED_VALUE"""),"Jeison Rubiano")</f>
        <v>Jeison Rubiano</v>
      </c>
      <c r="C2455" s="15" t="str">
        <f>IFERROR(__xludf.DUMMYFUNCTION("""COMPUTED_VALUE"""),"BOGOTÁ")</f>
        <v>BOGOTÁ</v>
      </c>
      <c r="D2455" s="15" t="str">
        <f>IFERROR(__xludf.DUMMYFUNCTION("""COMPUTED_VALUE"""),"MEDELLÍN")</f>
        <v>MEDELLÍN</v>
      </c>
      <c r="E2455" s="15" t="str">
        <f>IFERROR(__xludf.DUMMYFUNCTION("""COMPUTED_VALUE"""),"Baby Chef")</f>
        <v>Baby Chef</v>
      </c>
      <c r="F2455" s="17" t="str">
        <f>IFERROR(__xludf.DUMMYFUNCTION("""COMPUTED_VALUE"""),"Calle 128 B # 58 c-50 Int 7 apt 302… Conjt. María José…Barrio las villas / Calle 128 B # 58 c-50 Int 7 apt 302… Conjt. María José…Barrio las villas / Calle 128 B # 58 c-50 Int 7 apt 302… Conjt. María José…Barrio las villas")</f>
        <v>Calle 128 B # 58 c-50 Int 7 apt 302… Conjt. María José…Barrio las villas / Calle 128 B # 58 c-50 Int 7 apt 302… Conjt. María José…Barrio las villas / Calle 128 B # 58 c-50 Int 7 apt 302… Conjt. María José…Barrio las villas</v>
      </c>
      <c r="G2455" s="15" t="str">
        <f>IFERROR(__xludf.DUMMYFUNCTION("""COMPUTED_VALUE"""),"Milena Martínez")</f>
        <v>Milena Martínez</v>
      </c>
      <c r="H2455" s="16">
        <f>IFERROR(__xludf.DUMMYFUNCTION("""COMPUTED_VALUE"""),11041.0)</f>
        <v>11041</v>
      </c>
      <c r="I2455" s="18">
        <f>IFERROR(__xludf.DUMMYFUNCTION("""COMPUTED_VALUE"""),8.0)</f>
        <v>8</v>
      </c>
      <c r="J2455" s="18">
        <f>IFERROR(__xludf.DUMMYFUNCTION("""COMPUTED_VALUE"""),16.0)</f>
        <v>16</v>
      </c>
      <c r="K2455" s="18">
        <f>IFERROR(__xludf.DUMMYFUNCTION("""COMPUTED_VALUE"""),20.0)</f>
        <v>20</v>
      </c>
      <c r="L2455" s="17">
        <f>IFERROR(__xludf.DUMMYFUNCTION("""COMPUTED_VALUE"""),3.102960511E9)</f>
        <v>3102960511</v>
      </c>
      <c r="M2455" s="17" t="str">
        <f>IFERROR(__xludf.DUMMYFUNCTION("""COMPUTED_VALUE"""),"#REF!")</f>
        <v>#REF!</v>
      </c>
      <c r="N2455" s="17"/>
      <c r="O2455" s="17"/>
      <c r="P2455" s="17" t="b">
        <f>IFERROR(__xludf.DUMMYFUNCTION("""COMPUTED_VALUE"""),TRUE)</f>
        <v>1</v>
      </c>
      <c r="Q2455" s="20">
        <f>IFERROR(__xludf.DUMMYFUNCTION("""COMPUTED_VALUE"""),45075.53376118056)</f>
        <v>45075.53376</v>
      </c>
      <c r="R2455" s="22" t="str">
        <f>IFERROR(__xludf.DUMMYFUNCTION("""COMPUTED_VALUE"""),"")</f>
        <v/>
      </c>
    </row>
    <row r="2456">
      <c r="A2456" s="15">
        <f>IFERROR(__xludf.DUMMYFUNCTION("""COMPUTED_VALUE"""),45072.0)</f>
        <v>45072</v>
      </c>
      <c r="B2456" s="16" t="str">
        <f>IFERROR(__xludf.DUMMYFUNCTION("""COMPUTED_VALUE"""),"Jeison Rubiano")</f>
        <v>Jeison Rubiano</v>
      </c>
      <c r="C2456" s="15" t="str">
        <f>IFERROR(__xludf.DUMMYFUNCTION("""COMPUTED_VALUE"""),"BOGOTÁ")</f>
        <v>BOGOTÁ</v>
      </c>
      <c r="D2456" s="15" t="str">
        <f>IFERROR(__xludf.DUMMYFUNCTION("""COMPUTED_VALUE"""),"MEDELLÍN")</f>
        <v>MEDELLÍN</v>
      </c>
      <c r="E2456" s="15" t="str">
        <f>IFERROR(__xludf.DUMMYFUNCTION("""COMPUTED_VALUE"""),"JD Bufala")</f>
        <v>JD Bufala</v>
      </c>
      <c r="F2456" s="17" t="str">
        <f>IFERROR(__xludf.DUMMYFUNCTION("""COMPUTED_VALUE"""),"Calle80#73b27 / Centro comercial San Francisco  / Engativá")</f>
        <v>Calle80#73b27 / Centro comercial San Francisco  / Engativá</v>
      </c>
      <c r="G2456" s="15" t="str">
        <f>IFERROR(__xludf.DUMMYFUNCTION("""COMPUTED_VALUE"""),"Gloria Cecilia Lara")</f>
        <v>Gloria Cecilia Lara</v>
      </c>
      <c r="H2456" s="16">
        <f>IFERROR(__xludf.DUMMYFUNCTION("""COMPUTED_VALUE"""),11026.0)</f>
        <v>11026</v>
      </c>
      <c r="I2456" s="18">
        <f>IFERROR(__xludf.DUMMYFUNCTION("""COMPUTED_VALUE"""),45066.0)</f>
        <v>45066</v>
      </c>
      <c r="J2456" s="18">
        <f>IFERROR(__xludf.DUMMYFUNCTION("""COMPUTED_VALUE"""),28.0)</f>
        <v>28</v>
      </c>
      <c r="K2456" s="18">
        <f>IFERROR(__xludf.DUMMYFUNCTION("""COMPUTED_VALUE"""),40.0)</f>
        <v>40</v>
      </c>
      <c r="L2456" s="17">
        <f>IFERROR(__xludf.DUMMYFUNCTION("""COMPUTED_VALUE"""),3.002695397E9)</f>
        <v>3002695397</v>
      </c>
      <c r="M2456" s="17" t="str">
        <f>IFERROR(__xludf.DUMMYFUNCTION("""COMPUTED_VALUE"""),"#REF!")</f>
        <v>#REF!</v>
      </c>
      <c r="N2456" s="17"/>
      <c r="O2456" s="17"/>
      <c r="P2456" s="17" t="b">
        <f>IFERROR(__xludf.DUMMYFUNCTION("""COMPUTED_VALUE"""),TRUE)</f>
        <v>1</v>
      </c>
      <c r="Q2456" s="20">
        <f>IFERROR(__xludf.DUMMYFUNCTION("""COMPUTED_VALUE"""),45077.648303483795)</f>
        <v>45077.6483</v>
      </c>
      <c r="R2456" s="21" t="str">
        <f>IFERROR(__xludf.DUMMYFUNCTION("""COMPUTED_VALUE"""),"https://drive.google.com/file/d/1O9tbsbMFgAb2SjDArYTStjCz7zmZ6Xn6/view?usp=drivesdk")</f>
        <v>https://drive.google.com/file/d/1O9tbsbMFgAb2SjDArYTStjCz7zmZ6Xn6/view?usp=drivesdk</v>
      </c>
    </row>
    <row r="2457">
      <c r="A2457" s="15">
        <f>IFERROR(__xludf.DUMMYFUNCTION("""COMPUTED_VALUE"""),45072.0)</f>
        <v>45072</v>
      </c>
      <c r="B2457" s="16" t="str">
        <f>IFERROR(__xludf.DUMMYFUNCTION("""COMPUTED_VALUE"""),"Jeison Rubiano")</f>
        <v>Jeison Rubiano</v>
      </c>
      <c r="C2457" s="15" t="str">
        <f>IFERROR(__xludf.DUMMYFUNCTION("""COMPUTED_VALUE"""),"BOGOTÁ")</f>
        <v>BOGOTÁ</v>
      </c>
      <c r="D2457" s="15" t="str">
        <f>IFERROR(__xludf.DUMMYFUNCTION("""COMPUTED_VALUE"""),"MEDELLÍN")</f>
        <v>MEDELLÍN</v>
      </c>
      <c r="E2457" s="15" t="str">
        <f>IFERROR(__xludf.DUMMYFUNCTION("""COMPUTED_VALUE"""),"Lácteos El Pino SAS")</f>
        <v>Lácteos El Pino SAS</v>
      </c>
      <c r="F2457" s="17" t="str">
        <f>IFERROR(__xludf.DUMMYFUNCTION("""COMPUTED_VALUE"""),"CRA 13 # 118-15 / LOCAL CASA GRIS- PRIMER PISO")</f>
        <v>CRA 13 # 118-15 / LOCAL CASA GRIS- PRIMER PISO</v>
      </c>
      <c r="G2457" s="15" t="str">
        <f>IFERROR(__xludf.DUMMYFUNCTION("""COMPUTED_VALUE"""),"MARCELA POSADA")</f>
        <v>MARCELA POSADA</v>
      </c>
      <c r="H2457" s="16">
        <f>IFERROR(__xludf.DUMMYFUNCTION("""COMPUTED_VALUE"""),11017.0)</f>
        <v>11017</v>
      </c>
      <c r="I2457" s="18">
        <f>IFERROR(__xludf.DUMMYFUNCTION("""COMPUTED_VALUE"""),19.0)</f>
        <v>19</v>
      </c>
      <c r="J2457" s="18">
        <f>IFERROR(__xludf.DUMMYFUNCTION("""COMPUTED_VALUE"""),22.0)</f>
        <v>22</v>
      </c>
      <c r="K2457" s="18">
        <f>IFERROR(__xludf.DUMMYFUNCTION("""COMPUTED_VALUE"""),36.0)</f>
        <v>36</v>
      </c>
      <c r="L2457" s="17"/>
      <c r="M2457" s="17" t="str">
        <f>IFERROR(__xludf.DUMMYFUNCTION("""COMPUTED_VALUE"""),"#REF!")</f>
        <v>#REF!</v>
      </c>
      <c r="N2457" s="17"/>
      <c r="O2457" s="17"/>
      <c r="P2457" s="17" t="b">
        <f>IFERROR(__xludf.DUMMYFUNCTION("""COMPUTED_VALUE"""),TRUE)</f>
        <v>1</v>
      </c>
      <c r="Q2457" s="20">
        <f>IFERROR(__xludf.DUMMYFUNCTION("""COMPUTED_VALUE"""),45075.53376118056)</f>
        <v>45075.53376</v>
      </c>
      <c r="R2457" s="21" t="str">
        <f>IFERROR(__xludf.DUMMYFUNCTION("""COMPUTED_VALUE"""),"https://drive.google.com/file/d/1yfg8Nv05dU2PMUCK3-j1IFcrO2EdSIOG/view?usp=drivesdk")</f>
        <v>https://drive.google.com/file/d/1yfg8Nv05dU2PMUCK3-j1IFcrO2EdSIOG/view?usp=drivesdk</v>
      </c>
    </row>
    <row r="2458">
      <c r="A2458" s="15">
        <f>IFERROR(__xludf.DUMMYFUNCTION("""COMPUTED_VALUE"""),45072.0)</f>
        <v>45072</v>
      </c>
      <c r="B2458" s="16" t="str">
        <f>IFERROR(__xludf.DUMMYFUNCTION("""COMPUTED_VALUE"""),"Jeison Rubiano")</f>
        <v>Jeison Rubiano</v>
      </c>
      <c r="C2458" s="15" t="str">
        <f>IFERROR(__xludf.DUMMYFUNCTION("""COMPUTED_VALUE"""),"BOGOTÁ")</f>
        <v>BOGOTÁ</v>
      </c>
      <c r="D2458" s="15" t="str">
        <f>IFERROR(__xludf.DUMMYFUNCTION("""COMPUTED_VALUE"""),"MEDELLÍN")</f>
        <v>MEDELLÍN</v>
      </c>
      <c r="E2458" s="15" t="str">
        <f>IFERROR(__xludf.DUMMYFUNCTION("""COMPUTED_VALUE"""),"Rambla")</f>
        <v>Rambla</v>
      </c>
      <c r="F2458" s="17" t="str">
        <f>IFERROR(__xludf.DUMMYFUNCTION("""COMPUTED_VALUE"""),"calle 71 # 4 - 55 / NA / NA")</f>
        <v>calle 71 # 4 - 55 / NA / NA</v>
      </c>
      <c r="G2458" s="15" t="str">
        <f>IFERROR(__xludf.DUMMYFUNCTION("""COMPUTED_VALUE"""),"Fit Market")</f>
        <v>Fit Market</v>
      </c>
      <c r="H2458" s="16">
        <f>IFERROR(__xludf.DUMMYFUNCTION("""COMPUTED_VALUE"""),11034.0)</f>
        <v>11034</v>
      </c>
      <c r="I2458" s="18">
        <f>IFERROR(__xludf.DUMMYFUNCTION("""COMPUTED_VALUE"""),22.0)</f>
        <v>22</v>
      </c>
      <c r="J2458" s="18">
        <f>IFERROR(__xludf.DUMMYFUNCTION("""COMPUTED_VALUE"""),25.0)</f>
        <v>25</v>
      </c>
      <c r="K2458" s="18">
        <f>IFERROR(__xludf.DUMMYFUNCTION("""COMPUTED_VALUE"""),28.0)</f>
        <v>28</v>
      </c>
      <c r="L2458" s="17">
        <f>IFERROR(__xludf.DUMMYFUNCTION("""COMPUTED_VALUE"""),3.183545455E9)</f>
        <v>3183545455</v>
      </c>
      <c r="M2458" s="17" t="str">
        <f>IFERROR(__xludf.DUMMYFUNCTION("""COMPUTED_VALUE"""),"#REF!")</f>
        <v>#REF!</v>
      </c>
      <c r="N2458" s="17"/>
      <c r="O2458" s="17"/>
      <c r="P2458" s="17" t="b">
        <f>IFERROR(__xludf.DUMMYFUNCTION("""COMPUTED_VALUE"""),FALSE)</f>
        <v>0</v>
      </c>
      <c r="Q2458" s="20" t="str">
        <f>IFERROR(__xludf.DUMMYFUNCTION("""COMPUTED_VALUE"""),"")</f>
        <v/>
      </c>
      <c r="R2458" s="21" t="str">
        <f>IFERROR(__xludf.DUMMYFUNCTION("""COMPUTED_VALUE"""),"https://drive.google.com/file/d/1zzFMO1e_TrdwZ7uZCW3m0eT0fj00BLJ6/view?usp=drivesdk")</f>
        <v>https://drive.google.com/file/d/1zzFMO1e_TrdwZ7uZCW3m0eT0fj00BLJ6/view?usp=drivesdk</v>
      </c>
    </row>
    <row r="2459">
      <c r="A2459" s="15">
        <f>IFERROR(__xludf.DUMMYFUNCTION("""COMPUTED_VALUE"""),45072.0)</f>
        <v>45072</v>
      </c>
      <c r="B2459" s="16" t="str">
        <f>IFERROR(__xludf.DUMMYFUNCTION("""COMPUTED_VALUE"""),"Jeison Rubiano")</f>
        <v>Jeison Rubiano</v>
      </c>
      <c r="C2459" s="15" t="str">
        <f>IFERROR(__xludf.DUMMYFUNCTION("""COMPUTED_VALUE"""),"BOGOTÁ")</f>
        <v>BOGOTÁ</v>
      </c>
      <c r="D2459" s="15" t="str">
        <f>IFERROR(__xludf.DUMMYFUNCTION("""COMPUTED_VALUE"""),"MEDELLÍN")</f>
        <v>MEDELLÍN</v>
      </c>
      <c r="E2459" s="15" t="str">
        <f>IFERROR(__xludf.DUMMYFUNCTION("""COMPUTED_VALUE"""),"Rambla")</f>
        <v>Rambla</v>
      </c>
      <c r="F2459" s="17" t="str">
        <f>IFERROR(__xludf.DUMMYFUNCTION("""COMPUTED_VALUE"""),"Carrera 11 # 118 - 96 Apto 301 / NA / NA")</f>
        <v>Carrera 11 # 118 - 96 Apto 301 / NA / NA</v>
      </c>
      <c r="G2459" s="15" t="str">
        <f>IFERROR(__xludf.DUMMYFUNCTION("""COMPUTED_VALUE"""),"Mana Market")</f>
        <v>Mana Market</v>
      </c>
      <c r="H2459" s="16">
        <f>IFERROR(__xludf.DUMMYFUNCTION("""COMPUTED_VALUE"""),11029.0)</f>
        <v>11029</v>
      </c>
      <c r="I2459" s="18">
        <f>IFERROR(__xludf.DUMMYFUNCTION("""COMPUTED_VALUE"""),22.0)</f>
        <v>22</v>
      </c>
      <c r="J2459" s="18">
        <f>IFERROR(__xludf.DUMMYFUNCTION("""COMPUTED_VALUE"""),25.0)</f>
        <v>25</v>
      </c>
      <c r="K2459" s="18">
        <f>IFERROR(__xludf.DUMMYFUNCTION("""COMPUTED_VALUE"""),28.0)</f>
        <v>28</v>
      </c>
      <c r="L2459" s="17">
        <f>IFERROR(__xludf.DUMMYFUNCTION("""COMPUTED_VALUE"""),3.053685387E9)</f>
        <v>3053685387</v>
      </c>
      <c r="M2459" s="17" t="str">
        <f>IFERROR(__xludf.DUMMYFUNCTION("""COMPUTED_VALUE"""),"#REF!")</f>
        <v>#REF!</v>
      </c>
      <c r="N2459" s="17"/>
      <c r="O2459" s="17"/>
      <c r="P2459" s="17" t="b">
        <f>IFERROR(__xludf.DUMMYFUNCTION("""COMPUTED_VALUE"""),TRUE)</f>
        <v>1</v>
      </c>
      <c r="Q2459" s="20">
        <f>IFERROR(__xludf.DUMMYFUNCTION("""COMPUTED_VALUE"""),45072.63334972222)</f>
        <v>45072.63335</v>
      </c>
      <c r="R2459" s="21" t="str">
        <f>IFERROR(__xludf.DUMMYFUNCTION("""COMPUTED_VALUE"""),"https://drive.google.com/file/d/1S8ZZpNXgLSQ7s59USDKWyH2VPABUQg9w/view?usp=drivesdk")</f>
        <v>https://drive.google.com/file/d/1S8ZZpNXgLSQ7s59USDKWyH2VPABUQg9w/view?usp=drivesdk</v>
      </c>
    </row>
    <row r="2460">
      <c r="A2460" s="15">
        <f>IFERROR(__xludf.DUMMYFUNCTION("""COMPUTED_VALUE"""),45072.0)</f>
        <v>45072</v>
      </c>
      <c r="B2460" s="16" t="str">
        <f>IFERROR(__xludf.DUMMYFUNCTION("""COMPUTED_VALUE"""),"Jeison Rubiano")</f>
        <v>Jeison Rubiano</v>
      </c>
      <c r="C2460" s="15" t="str">
        <f>IFERROR(__xludf.DUMMYFUNCTION("""COMPUTED_VALUE"""),"BOGOTÁ")</f>
        <v>BOGOTÁ</v>
      </c>
      <c r="D2460" s="15" t="str">
        <f>IFERROR(__xludf.DUMMYFUNCTION("""COMPUTED_VALUE"""),"MEDELLÍN")</f>
        <v>MEDELLÍN</v>
      </c>
      <c r="E2460" s="15" t="str">
        <f>IFERROR(__xludf.DUMMYFUNCTION("""COMPUTED_VALUE"""),"Rambla")</f>
        <v>Rambla</v>
      </c>
      <c r="F2460" s="17" t="str">
        <f>IFERROR(__xludf.DUMMYFUNCTION("""COMPUTED_VALUE"""),"Carrera 5 # 86-58 casa en bogota / NA / NA")</f>
        <v>Carrera 5 # 86-58 casa en bogota / NA / NA</v>
      </c>
      <c r="G2460" s="15" t="str">
        <f>IFERROR(__xludf.DUMMYFUNCTION("""COMPUTED_VALUE"""),"Alicia Maldonado")</f>
        <v>Alicia Maldonado</v>
      </c>
      <c r="H2460" s="16">
        <f>IFERROR(__xludf.DUMMYFUNCTION("""COMPUTED_VALUE"""),11035.0)</f>
        <v>11035</v>
      </c>
      <c r="I2460" s="18">
        <f>IFERROR(__xludf.DUMMYFUNCTION("""COMPUTED_VALUE"""),22.0)</f>
        <v>22</v>
      </c>
      <c r="J2460" s="18">
        <f>IFERROR(__xludf.DUMMYFUNCTION("""COMPUTED_VALUE"""),25.0)</f>
        <v>25</v>
      </c>
      <c r="K2460" s="18">
        <f>IFERROR(__xludf.DUMMYFUNCTION("""COMPUTED_VALUE"""),28.0)</f>
        <v>28</v>
      </c>
      <c r="L2460" s="17">
        <f>IFERROR(__xludf.DUMMYFUNCTION("""COMPUTED_VALUE"""),3.208309047E9)</f>
        <v>3208309047</v>
      </c>
      <c r="M2460" s="17" t="str">
        <f>IFERROR(__xludf.DUMMYFUNCTION("""COMPUTED_VALUE"""),"#REF!")</f>
        <v>#REF!</v>
      </c>
      <c r="N2460" s="17"/>
      <c r="O2460" s="17"/>
      <c r="P2460" s="17" t="b">
        <f>IFERROR(__xludf.DUMMYFUNCTION("""COMPUTED_VALUE"""),TRUE)</f>
        <v>1</v>
      </c>
      <c r="Q2460" s="20">
        <f>IFERROR(__xludf.DUMMYFUNCTION("""COMPUTED_VALUE"""),45072.63334972222)</f>
        <v>45072.63335</v>
      </c>
      <c r="R2460" s="22" t="str">
        <f>IFERROR(__xludf.DUMMYFUNCTION("""COMPUTED_VALUE"""),"")</f>
        <v/>
      </c>
    </row>
    <row r="2461">
      <c r="A2461" s="15">
        <f>IFERROR(__xludf.DUMMYFUNCTION("""COMPUTED_VALUE"""),45072.0)</f>
        <v>45072</v>
      </c>
      <c r="B2461" s="16" t="str">
        <f>IFERROR(__xludf.DUMMYFUNCTION("""COMPUTED_VALUE"""),"Jeison Rubiano")</f>
        <v>Jeison Rubiano</v>
      </c>
      <c r="C2461" s="15" t="str">
        <f>IFERROR(__xludf.DUMMYFUNCTION("""COMPUTED_VALUE"""),"BOGOTÁ")</f>
        <v>BOGOTÁ</v>
      </c>
      <c r="D2461" s="15" t="str">
        <f>IFERROR(__xludf.DUMMYFUNCTION("""COMPUTED_VALUE"""),"MEDELLÍN")</f>
        <v>MEDELLÍN</v>
      </c>
      <c r="E2461" s="15" t="str">
        <f>IFERROR(__xludf.DUMMYFUNCTION("""COMPUTED_VALUE"""),"Rambla")</f>
        <v>Rambla</v>
      </c>
      <c r="F2461" s="17" t="str">
        <f>IFERROR(__xludf.DUMMYFUNCTION("""COMPUTED_VALUE"""),"Cll 8 sur # 39 _34. Ciudad montes / NA / NA")</f>
        <v>Cll 8 sur # 39 _34. Ciudad montes / NA / NA</v>
      </c>
      <c r="G2461" s="15" t="str">
        <f>IFERROR(__xludf.DUMMYFUNCTION("""COMPUTED_VALUE"""),"Tierra Fértil")</f>
        <v>Tierra Fértil</v>
      </c>
      <c r="H2461" s="16">
        <f>IFERROR(__xludf.DUMMYFUNCTION("""COMPUTED_VALUE"""),11030.0)</f>
        <v>11030</v>
      </c>
      <c r="I2461" s="18">
        <f>IFERROR(__xludf.DUMMYFUNCTION("""COMPUTED_VALUE"""),22.0)</f>
        <v>22</v>
      </c>
      <c r="J2461" s="18">
        <f>IFERROR(__xludf.DUMMYFUNCTION("""COMPUTED_VALUE"""),25.0)</f>
        <v>25</v>
      </c>
      <c r="K2461" s="18">
        <f>IFERROR(__xludf.DUMMYFUNCTION("""COMPUTED_VALUE"""),28.0)</f>
        <v>28</v>
      </c>
      <c r="L2461" s="17">
        <f>IFERROR(__xludf.DUMMYFUNCTION("""COMPUTED_VALUE"""),3.112876801E9)</f>
        <v>3112876801</v>
      </c>
      <c r="M2461" s="17" t="str">
        <f>IFERROR(__xludf.DUMMYFUNCTION("""COMPUTED_VALUE"""),"#REF!")</f>
        <v>#REF!</v>
      </c>
      <c r="N2461" s="17"/>
      <c r="O2461" s="17"/>
      <c r="P2461" s="17" t="b">
        <f>IFERROR(__xludf.DUMMYFUNCTION("""COMPUTED_VALUE"""),TRUE)</f>
        <v>1</v>
      </c>
      <c r="Q2461" s="20">
        <f>IFERROR(__xludf.DUMMYFUNCTION("""COMPUTED_VALUE"""),45072.63334972222)</f>
        <v>45072.63335</v>
      </c>
      <c r="R2461" s="22" t="str">
        <f>IFERROR(__xludf.DUMMYFUNCTION("""COMPUTED_VALUE"""),"")</f>
        <v/>
      </c>
    </row>
    <row r="2462">
      <c r="A2462" s="17" t="str">
        <f>IFERROR(__xludf.DUMMYFUNCTION("""COMPUTED_VALUE"""),"")</f>
        <v/>
      </c>
      <c r="B2462" s="17" t="str">
        <f>IFERROR(__xludf.DUMMYFUNCTION("""COMPUTED_VALUE"""),"")</f>
        <v/>
      </c>
      <c r="C2462" s="17" t="str">
        <f>IFERROR(__xludf.DUMMYFUNCTION("""COMPUTED_VALUE"""),"")</f>
        <v/>
      </c>
      <c r="D2462" s="17" t="str">
        <f>IFERROR(__xludf.DUMMYFUNCTION("""COMPUTED_VALUE"""),"")</f>
        <v/>
      </c>
      <c r="E2462" s="17" t="str">
        <f>IFERROR(__xludf.DUMMYFUNCTION("""COMPUTED_VALUE"""),"")</f>
        <v/>
      </c>
      <c r="F2462" s="17" t="str">
        <f>IFERROR(__xludf.DUMMYFUNCTION("""COMPUTED_VALUE"""),"")</f>
        <v/>
      </c>
      <c r="G2462" s="17" t="str">
        <f>IFERROR(__xludf.DUMMYFUNCTION("""COMPUTED_VALUE"""),"")</f>
        <v/>
      </c>
      <c r="H2462" s="17" t="str">
        <f>IFERROR(__xludf.DUMMYFUNCTION("""COMPUTED_VALUE"""),"")</f>
        <v/>
      </c>
      <c r="I2462" s="17" t="str">
        <f>IFERROR(__xludf.DUMMYFUNCTION("""COMPUTED_VALUE"""),"")</f>
        <v/>
      </c>
      <c r="J2462" s="17" t="str">
        <f>IFERROR(__xludf.DUMMYFUNCTION("""COMPUTED_VALUE"""),"")</f>
        <v/>
      </c>
      <c r="K2462" s="17" t="str">
        <f>IFERROR(__xludf.DUMMYFUNCTION("""COMPUTED_VALUE"""),"")</f>
        <v/>
      </c>
      <c r="L2462" s="17" t="str">
        <f>IFERROR(__xludf.DUMMYFUNCTION("""COMPUTED_VALUE"""),"")</f>
        <v/>
      </c>
      <c r="M2462" s="17" t="str">
        <f>IFERROR(__xludf.DUMMYFUNCTION("""COMPUTED_VALUE"""),"")</f>
        <v/>
      </c>
      <c r="N2462" s="17" t="str">
        <f>IFERROR(__xludf.DUMMYFUNCTION("""COMPUTED_VALUE"""),"")</f>
        <v/>
      </c>
      <c r="O2462" s="17" t="str">
        <f>IFERROR(__xludf.DUMMYFUNCTION("""COMPUTED_VALUE"""),"")</f>
        <v/>
      </c>
      <c r="P2462" s="17" t="str">
        <f>IFERROR(__xludf.DUMMYFUNCTION("""COMPUTED_VALUE"""),"")</f>
        <v/>
      </c>
      <c r="Q2462" s="17" t="str">
        <f>IFERROR(__xludf.DUMMYFUNCTION("""COMPUTED_VALUE"""),"")</f>
        <v/>
      </c>
      <c r="R2462" s="17" t="str">
        <f>IFERROR(__xludf.DUMMYFUNCTION("""COMPUTED_VALUE"""),"")</f>
        <v/>
      </c>
    </row>
    <row r="2463">
      <c r="A2463" s="15">
        <f>IFERROR(__xludf.DUMMYFUNCTION("""COMPUTED_VALUE"""),45072.0)</f>
        <v>45072</v>
      </c>
      <c r="B2463" s="16" t="str">
        <f>IFERROR(__xludf.DUMMYFUNCTION("""COMPUTED_VALUE"""),"JOSE ALFREDO RAMIREZ VERGARA ")</f>
        <v>JOSE ALFREDO RAMIREZ VERGARA </v>
      </c>
      <c r="C2463" s="15" t="str">
        <f>IFERROR(__xludf.DUMMYFUNCTION("""COMPUTED_VALUE"""),"BOGOTÁ")</f>
        <v>BOGOTÁ</v>
      </c>
      <c r="D2463" s="15" t="str">
        <f>IFERROR(__xludf.DUMMYFUNCTION("""COMPUTED_VALUE"""),"MEDELLÍN")</f>
        <v>MEDELLÍN</v>
      </c>
      <c r="E2463" s="15" t="str">
        <f>IFERROR(__xludf.DUMMYFUNCTION("""COMPUTED_VALUE"""),"Baby Chef")</f>
        <v>Baby Chef</v>
      </c>
      <c r="F2463" s="17" t="str">
        <f>IFERROR(__xludf.DUMMYFUNCTION("""COMPUTED_VALUE"""),"Transversal 56#114-27 apartamento 704 Edificio Izarra 3 / Transversal 56#114-27 apartamento 704 Edificio Izarra 3 / Transversal 56#114-27 apartamento 704 Edificio Izarra 3")</f>
        <v>Transversal 56#114-27 apartamento 704 Edificio Izarra 3 / Transversal 56#114-27 apartamento 704 Edificio Izarra 3 / Transversal 56#114-27 apartamento 704 Edificio Izarra 3</v>
      </c>
      <c r="G2463" s="15" t="str">
        <f>IFERROR(__xludf.DUMMYFUNCTION("""COMPUTED_VALUE"""),"Maria Camila Herrera Prieto")</f>
        <v>Maria Camila Herrera Prieto</v>
      </c>
      <c r="H2463" s="16">
        <f>IFERROR(__xludf.DUMMYFUNCTION("""COMPUTED_VALUE"""),11039.0)</f>
        <v>11039</v>
      </c>
      <c r="I2463" s="18">
        <f>IFERROR(__xludf.DUMMYFUNCTION("""COMPUTED_VALUE"""),8.0)</f>
        <v>8</v>
      </c>
      <c r="J2463" s="18">
        <f>IFERROR(__xludf.DUMMYFUNCTION("""COMPUTED_VALUE"""),16.0)</f>
        <v>16</v>
      </c>
      <c r="K2463" s="18">
        <f>IFERROR(__xludf.DUMMYFUNCTION("""COMPUTED_VALUE"""),20.0)</f>
        <v>20</v>
      </c>
      <c r="L2463" s="17">
        <f>IFERROR(__xludf.DUMMYFUNCTION("""COMPUTED_VALUE"""),3.102949086E9)</f>
        <v>3102949086</v>
      </c>
      <c r="M2463" s="17" t="str">
        <f>IFERROR(__xludf.DUMMYFUNCTION("""COMPUTED_VALUE"""),"#REF!")</f>
        <v>#REF!</v>
      </c>
      <c r="N2463" s="17"/>
      <c r="O2463" s="17"/>
      <c r="P2463" s="17" t="b">
        <f>IFERROR(__xludf.DUMMYFUNCTION("""COMPUTED_VALUE"""),TRUE)</f>
        <v>1</v>
      </c>
      <c r="Q2463" s="20">
        <f>IFERROR(__xludf.DUMMYFUNCTION("""COMPUTED_VALUE"""),45075.53376118056)</f>
        <v>45075.53376</v>
      </c>
      <c r="R2463" s="22" t="str">
        <f>IFERROR(__xludf.DUMMYFUNCTION("""COMPUTED_VALUE"""),"")</f>
        <v/>
      </c>
    </row>
    <row r="2464">
      <c r="A2464" s="15">
        <f>IFERROR(__xludf.DUMMYFUNCTION("""COMPUTED_VALUE"""),45072.0)</f>
        <v>45072</v>
      </c>
      <c r="B2464" s="16" t="str">
        <f>IFERROR(__xludf.DUMMYFUNCTION("""COMPUTED_VALUE"""),"JOSE ALFREDO RAMIREZ VERGARA ")</f>
        <v>JOSE ALFREDO RAMIREZ VERGARA </v>
      </c>
      <c r="C2464" s="15" t="str">
        <f>IFERROR(__xludf.DUMMYFUNCTION("""COMPUTED_VALUE"""),"BOGOTÁ")</f>
        <v>BOGOTÁ</v>
      </c>
      <c r="D2464" s="15" t="str">
        <f>IFERROR(__xludf.DUMMYFUNCTION("""COMPUTED_VALUE"""),"MEDELLÍN")</f>
        <v>MEDELLÍN</v>
      </c>
      <c r="E2464" s="15" t="str">
        <f>IFERROR(__xludf.DUMMYFUNCTION("""COMPUTED_VALUE"""),"Rambla")</f>
        <v>Rambla</v>
      </c>
      <c r="F2464" s="17" t="str">
        <f>IFERROR(__xludf.DUMMYFUNCTION("""COMPUTED_VALUE"""),"Calle 20 sur # 12B 26 apto 402 barrio ciudad jardín surNA / NA / NA")</f>
        <v>Calle 20 sur # 12B 26 apto 402 barrio ciudad jardín surNA / NA / NA</v>
      </c>
      <c r="G2464" s="15" t="str">
        <f>IFERROR(__xludf.DUMMYFUNCTION("""COMPUTED_VALUE"""),"Elisa Joya")</f>
        <v>Elisa Joya</v>
      </c>
      <c r="H2464" s="16">
        <f>IFERROR(__xludf.DUMMYFUNCTION("""COMPUTED_VALUE"""),11031.0)</f>
        <v>11031</v>
      </c>
      <c r="I2464" s="18">
        <f>IFERROR(__xludf.DUMMYFUNCTION("""COMPUTED_VALUE"""),22.0)</f>
        <v>22</v>
      </c>
      <c r="J2464" s="18">
        <f>IFERROR(__xludf.DUMMYFUNCTION("""COMPUTED_VALUE"""),25.0)</f>
        <v>25</v>
      </c>
      <c r="K2464" s="18">
        <f>IFERROR(__xludf.DUMMYFUNCTION("""COMPUTED_VALUE"""),28.0)</f>
        <v>28</v>
      </c>
      <c r="L2464" s="17">
        <f>IFERROR(__xludf.DUMMYFUNCTION("""COMPUTED_VALUE"""),3.115842241E9)</f>
        <v>3115842241</v>
      </c>
      <c r="M2464" s="17" t="str">
        <f>IFERROR(__xludf.DUMMYFUNCTION("""COMPUTED_VALUE"""),"#REF!")</f>
        <v>#REF!</v>
      </c>
      <c r="N2464" s="17"/>
      <c r="O2464" s="17"/>
      <c r="P2464" s="17" t="b">
        <f>IFERROR(__xludf.DUMMYFUNCTION("""COMPUTED_VALUE"""),TRUE)</f>
        <v>1</v>
      </c>
      <c r="Q2464" s="20">
        <f>IFERROR(__xludf.DUMMYFUNCTION("""COMPUTED_VALUE"""),45075.53376119213)</f>
        <v>45075.53376</v>
      </c>
      <c r="R2464" s="22" t="str">
        <f>IFERROR(__xludf.DUMMYFUNCTION("""COMPUTED_VALUE"""),"")</f>
        <v/>
      </c>
    </row>
    <row r="2465">
      <c r="A2465" s="15">
        <f>IFERROR(__xludf.DUMMYFUNCTION("""COMPUTED_VALUE"""),45072.0)</f>
        <v>45072</v>
      </c>
      <c r="B2465" s="16" t="str">
        <f>IFERROR(__xludf.DUMMYFUNCTION("""COMPUTED_VALUE"""),"JOSE ALFREDO RAMIREZ VERGARA ")</f>
        <v>JOSE ALFREDO RAMIREZ VERGARA </v>
      </c>
      <c r="C2465" s="15" t="str">
        <f>IFERROR(__xludf.DUMMYFUNCTION("""COMPUTED_VALUE"""),"BOGOTÁ")</f>
        <v>BOGOTÁ</v>
      </c>
      <c r="D2465" s="15" t="str">
        <f>IFERROR(__xludf.DUMMYFUNCTION("""COMPUTED_VALUE"""),"MEDELLÍN")</f>
        <v>MEDELLÍN</v>
      </c>
      <c r="E2465" s="15" t="str">
        <f>IFERROR(__xludf.DUMMYFUNCTION("""COMPUTED_VALUE"""),"Rambla")</f>
        <v>Rambla</v>
      </c>
      <c r="F2465" s="17" t="str">
        <f>IFERROR(__xludf.DUMMYFUNCTION("""COMPUTED_VALUE"""),"Carrera 23 # 114-61  Apto 504 Edificio Sassari  Barrio San Patricio  Bogotá / na / na")</f>
        <v>Carrera 23 # 114-61  Apto 504 Edificio Sassari  Barrio San Patricio  Bogotá / na / na</v>
      </c>
      <c r="G2465" s="15" t="str">
        <f>IFERROR(__xludf.DUMMYFUNCTION("""COMPUTED_VALUE"""),"Keila Cuadros")</f>
        <v>Keila Cuadros</v>
      </c>
      <c r="H2465" s="16">
        <f>IFERROR(__xludf.DUMMYFUNCTION("""COMPUTED_VALUE"""),11046.0)</f>
        <v>11046</v>
      </c>
      <c r="I2465" s="18">
        <f>IFERROR(__xludf.DUMMYFUNCTION("""COMPUTED_VALUE"""),15.0)</f>
        <v>15</v>
      </c>
      <c r="J2465" s="18">
        <f>IFERROR(__xludf.DUMMYFUNCTION("""COMPUTED_VALUE"""),17.0)</f>
        <v>17</v>
      </c>
      <c r="K2465" s="18">
        <f>IFERROR(__xludf.DUMMYFUNCTION("""COMPUTED_VALUE"""),20.0)</f>
        <v>20</v>
      </c>
      <c r="L2465" s="17">
        <f>IFERROR(__xludf.DUMMYFUNCTION("""COMPUTED_VALUE"""),3.187652355E9)</f>
        <v>3187652355</v>
      </c>
      <c r="M2465" s="17" t="str">
        <f>IFERROR(__xludf.DUMMYFUNCTION("""COMPUTED_VALUE"""),"#REF!")</f>
        <v>#REF!</v>
      </c>
      <c r="N2465" s="17"/>
      <c r="O2465" s="17"/>
      <c r="P2465" s="17" t="b">
        <f>IFERROR(__xludf.DUMMYFUNCTION("""COMPUTED_VALUE"""),TRUE)</f>
        <v>1</v>
      </c>
      <c r="Q2465" s="20">
        <f>IFERROR(__xludf.DUMMYFUNCTION("""COMPUTED_VALUE"""),45075.53376119213)</f>
        <v>45075.53376</v>
      </c>
      <c r="R2465" s="22" t="str">
        <f>IFERROR(__xludf.DUMMYFUNCTION("""COMPUTED_VALUE"""),"")</f>
        <v/>
      </c>
    </row>
    <row r="2466">
      <c r="A2466" s="17" t="str">
        <f>IFERROR(__xludf.DUMMYFUNCTION("""COMPUTED_VALUE"""),"")</f>
        <v/>
      </c>
      <c r="B2466" s="17" t="str">
        <f>IFERROR(__xludf.DUMMYFUNCTION("""COMPUTED_VALUE"""),"")</f>
        <v/>
      </c>
      <c r="C2466" s="17" t="str">
        <f>IFERROR(__xludf.DUMMYFUNCTION("""COMPUTED_VALUE"""),"")</f>
        <v/>
      </c>
      <c r="D2466" s="17" t="str">
        <f>IFERROR(__xludf.DUMMYFUNCTION("""COMPUTED_VALUE"""),"")</f>
        <v/>
      </c>
      <c r="E2466" s="17" t="str">
        <f>IFERROR(__xludf.DUMMYFUNCTION("""COMPUTED_VALUE"""),"")</f>
        <v/>
      </c>
      <c r="F2466" s="17" t="str">
        <f>IFERROR(__xludf.DUMMYFUNCTION("""COMPUTED_VALUE"""),"")</f>
        <v/>
      </c>
      <c r="G2466" s="17" t="str">
        <f>IFERROR(__xludf.DUMMYFUNCTION("""COMPUTED_VALUE"""),"")</f>
        <v/>
      </c>
      <c r="H2466" s="17" t="str">
        <f>IFERROR(__xludf.DUMMYFUNCTION("""COMPUTED_VALUE"""),"")</f>
        <v/>
      </c>
      <c r="I2466" s="17" t="str">
        <f>IFERROR(__xludf.DUMMYFUNCTION("""COMPUTED_VALUE"""),"")</f>
        <v/>
      </c>
      <c r="J2466" s="17" t="str">
        <f>IFERROR(__xludf.DUMMYFUNCTION("""COMPUTED_VALUE"""),"")</f>
        <v/>
      </c>
      <c r="K2466" s="17" t="str">
        <f>IFERROR(__xludf.DUMMYFUNCTION("""COMPUTED_VALUE"""),"")</f>
        <v/>
      </c>
      <c r="L2466" s="17" t="str">
        <f>IFERROR(__xludf.DUMMYFUNCTION("""COMPUTED_VALUE"""),"")</f>
        <v/>
      </c>
      <c r="M2466" s="17" t="str">
        <f>IFERROR(__xludf.DUMMYFUNCTION("""COMPUTED_VALUE"""),"")</f>
        <v/>
      </c>
      <c r="N2466" s="17" t="str">
        <f>IFERROR(__xludf.DUMMYFUNCTION("""COMPUTED_VALUE"""),"")</f>
        <v/>
      </c>
      <c r="O2466" s="17" t="str">
        <f>IFERROR(__xludf.DUMMYFUNCTION("""COMPUTED_VALUE"""),"")</f>
        <v/>
      </c>
      <c r="P2466" s="17" t="str">
        <f>IFERROR(__xludf.DUMMYFUNCTION("""COMPUTED_VALUE"""),"")</f>
        <v/>
      </c>
      <c r="Q2466" s="17" t="str">
        <f>IFERROR(__xludf.DUMMYFUNCTION("""COMPUTED_VALUE"""),"")</f>
        <v/>
      </c>
      <c r="R2466" s="17" t="str">
        <f>IFERROR(__xludf.DUMMYFUNCTION("""COMPUTED_VALUE"""),"")</f>
        <v/>
      </c>
    </row>
    <row r="2467">
      <c r="A2467" s="15">
        <f>IFERROR(__xludf.DUMMYFUNCTION("""COMPUTED_VALUE"""),45072.0)</f>
        <v>45072</v>
      </c>
      <c r="B2467" s="16" t="str">
        <f>IFERROR(__xludf.DUMMYFUNCTION("""COMPUTED_VALUE"""),"Lina Gaona")</f>
        <v>Lina Gaona</v>
      </c>
      <c r="C2467" s="15" t="str">
        <f>IFERROR(__xludf.DUMMYFUNCTION("""COMPUTED_VALUE"""),"CÚCUTA")</f>
        <v>CÚCUTA</v>
      </c>
      <c r="D2467" s="15" t="str">
        <f>IFERROR(__xludf.DUMMYFUNCTION("""COMPUTED_VALUE"""),"BOGOTÁ")</f>
        <v>BOGOTÁ</v>
      </c>
      <c r="E2467" s="15" t="str">
        <f>IFERROR(__xludf.DUMMYFUNCTION("""COMPUTED_VALUE"""),"Asociacion Agropecuaria Juana Maria")</f>
        <v>Asociacion Agropecuaria Juana Maria</v>
      </c>
      <c r="F2467" s="17" t="str">
        <f>IFERROR(__xludf.DUMMYFUNCTION("""COMPUTED_VALUE"""),"AV. 2E # 15 A -17   PISTACHO FIT MARKET BARRIO CAOBOS")</f>
        <v>AV. 2E # 15 A -17   PISTACHO FIT MARKET BARRIO CAOBOS</v>
      </c>
      <c r="G2467" s="15" t="str">
        <f>IFERROR(__xludf.DUMMYFUNCTION("""COMPUTED_VALUE"""),"DACCY KARINA LOPEZ")</f>
        <v>DACCY KARINA LOPEZ</v>
      </c>
      <c r="H2467" s="16">
        <f>IFERROR(__xludf.DUMMYFUNCTION("""COMPUTED_VALUE"""),10897.0)</f>
        <v>10897</v>
      </c>
      <c r="I2467" s="18">
        <f>IFERROR(__xludf.DUMMYFUNCTION("""COMPUTED_VALUE"""),29.0)</f>
        <v>29</v>
      </c>
      <c r="J2467" s="18">
        <f>IFERROR(__xludf.DUMMYFUNCTION("""COMPUTED_VALUE"""),45.0)</f>
        <v>45</v>
      </c>
      <c r="K2467" s="18">
        <f>IFERROR(__xludf.DUMMYFUNCTION("""COMPUTED_VALUE"""),55.0)</f>
        <v>55</v>
      </c>
      <c r="L2467" s="17">
        <f>IFERROR(__xludf.DUMMYFUNCTION("""COMPUTED_VALUE"""),3.208615379E9)</f>
        <v>3208615379</v>
      </c>
      <c r="M2467" s="17" t="str">
        <f>IFERROR(__xludf.DUMMYFUNCTION("""COMPUTED_VALUE"""),"#REF!")</f>
        <v>#REF!</v>
      </c>
      <c r="N2467" s="17"/>
      <c r="O2467" s="17"/>
      <c r="P2467" s="17" t="b">
        <f>IFERROR(__xludf.DUMMYFUNCTION("""COMPUTED_VALUE"""),FALSE)</f>
        <v>0</v>
      </c>
      <c r="Q2467" s="20" t="str">
        <f>IFERROR(__xludf.DUMMYFUNCTION("""COMPUTED_VALUE"""),"")</f>
        <v/>
      </c>
      <c r="R2467" s="21" t="str">
        <f>IFERROR(__xludf.DUMMYFUNCTION("""COMPUTED_VALUE"""),"https://drive.google.com/file/d/1mIuFr_KPFp9ManmgL36NfCBWCUkSgWoo/view?usp=drivesdk")</f>
        <v>https://drive.google.com/file/d/1mIuFr_KPFp9ManmgL36NfCBWCUkSgWoo/view?usp=drivesdk</v>
      </c>
    </row>
    <row r="2468">
      <c r="A2468" s="15">
        <f>IFERROR(__xludf.DUMMYFUNCTION("""COMPUTED_VALUE"""),45072.0)</f>
        <v>45072</v>
      </c>
      <c r="B2468" s="16" t="str">
        <f>IFERROR(__xludf.DUMMYFUNCTION("""COMPUTED_VALUE"""),"Lina Gaona")</f>
        <v>Lina Gaona</v>
      </c>
      <c r="C2468" s="15" t="str">
        <f>IFERROR(__xludf.DUMMYFUNCTION("""COMPUTED_VALUE"""),"CÚCUTA")</f>
        <v>CÚCUTA</v>
      </c>
      <c r="D2468" s="15" t="str">
        <f>IFERROR(__xludf.DUMMYFUNCTION("""COMPUTED_VALUE"""),"BOGOTÁ")</f>
        <v>BOGOTÁ</v>
      </c>
      <c r="E2468" s="15" t="str">
        <f>IFERROR(__xludf.DUMMYFUNCTION("""COMPUTED_VALUE"""),"Evamazzita")</f>
        <v>Evamazzita</v>
      </c>
      <c r="F2468" s="17" t="str">
        <f>IFERROR(__xludf.DUMMYFUNCTION("""COMPUTED_VALUE"""),"Av 2E # 15A -17  / Caobos / SE ENVÍAN DOS (2) CAJAS")</f>
        <v>Av 2E # 15A -17  / Caobos / SE ENVÍAN DOS (2) CAJAS</v>
      </c>
      <c r="G2468" s="15" t="str">
        <f>IFERROR(__xludf.DUMMYFUNCTION("""COMPUTED_VALUE"""),"DACCY KARINA LOPEZ MORENO")</f>
        <v>DACCY KARINA LOPEZ MORENO</v>
      </c>
      <c r="H2468" s="16">
        <f>IFERROR(__xludf.DUMMYFUNCTION("""COMPUTED_VALUE"""),10975.0)</f>
        <v>10975</v>
      </c>
      <c r="I2468" s="18">
        <f>IFERROR(__xludf.DUMMYFUNCTION("""COMPUTED_VALUE"""),23.0)</f>
        <v>23</v>
      </c>
      <c r="J2468" s="18">
        <f>IFERROR(__xludf.DUMMYFUNCTION("""COMPUTED_VALUE"""),33.0)</f>
        <v>33</v>
      </c>
      <c r="K2468" s="18">
        <f>IFERROR(__xludf.DUMMYFUNCTION("""COMPUTED_VALUE"""),35.0)</f>
        <v>35</v>
      </c>
      <c r="L2468" s="17">
        <f>IFERROR(__xludf.DUMMYFUNCTION("""COMPUTED_VALUE"""),3.208615379E9)</f>
        <v>3208615379</v>
      </c>
      <c r="M2468" s="17" t="str">
        <f>IFERROR(__xludf.DUMMYFUNCTION("""COMPUTED_VALUE"""),"#REF!")</f>
        <v>#REF!</v>
      </c>
      <c r="N2468" s="17"/>
      <c r="O2468" s="17"/>
      <c r="P2468" s="17" t="b">
        <f>IFERROR(__xludf.DUMMYFUNCTION("""COMPUTED_VALUE"""),FALSE)</f>
        <v>0</v>
      </c>
      <c r="Q2468" s="20" t="str">
        <f>IFERROR(__xludf.DUMMYFUNCTION("""COMPUTED_VALUE"""),"")</f>
        <v/>
      </c>
      <c r="R2468" s="21" t="str">
        <f>IFERROR(__xludf.DUMMYFUNCTION("""COMPUTED_VALUE"""),"https://drive.google.com/file/d/15yYkXttHsmS3EwW7YkKwIQLVgV6WFjLS/view?usp=drivesdk")</f>
        <v>https://drive.google.com/file/d/15yYkXttHsmS3EwW7YkKwIQLVgV6WFjLS/view?usp=drivesdk</v>
      </c>
    </row>
    <row r="2469">
      <c r="A2469" s="15">
        <f>IFERROR(__xludf.DUMMYFUNCTION("""COMPUTED_VALUE"""),45072.0)</f>
        <v>45072</v>
      </c>
      <c r="B2469" s="16" t="str">
        <f>IFERROR(__xludf.DUMMYFUNCTION("""COMPUTED_VALUE"""),"Lina Gaona")</f>
        <v>Lina Gaona</v>
      </c>
      <c r="C2469" s="15" t="str">
        <f>IFERROR(__xludf.DUMMYFUNCTION("""COMPUTED_VALUE"""),"CÚCUTA")</f>
        <v>CÚCUTA</v>
      </c>
      <c r="D2469" s="15" t="str">
        <f>IFERROR(__xludf.DUMMYFUNCTION("""COMPUTED_VALUE"""),"BOGOTÁ")</f>
        <v>BOGOTÁ</v>
      </c>
      <c r="E2469" s="15" t="str">
        <f>IFERROR(__xludf.DUMMYFUNCTION("""COMPUTED_VALUE"""),"Evamazzita")</f>
        <v>Evamazzita</v>
      </c>
      <c r="F2469" s="17" t="str">
        <f>IFERROR(__xludf.DUMMYFUNCTION("""COMPUTED_VALUE"""),"CALLE 6 N # 1 AE - 62  / EDIFICIO LOS ROBLES APTO. 406  / CEIBA 2")</f>
        <v>CALLE 6 N # 1 AE - 62  / EDIFICIO LOS ROBLES APTO. 406  / CEIBA 2</v>
      </c>
      <c r="G2469" s="15" t="str">
        <f>IFERROR(__xludf.DUMMYFUNCTION("""COMPUTED_VALUE"""),"GERANYI HERRERA")</f>
        <v>GERANYI HERRERA</v>
      </c>
      <c r="H2469" s="16">
        <f>IFERROR(__xludf.DUMMYFUNCTION("""COMPUTED_VALUE"""),10979.0)</f>
        <v>10979</v>
      </c>
      <c r="I2469" s="18">
        <f>IFERROR(__xludf.DUMMYFUNCTION("""COMPUTED_VALUE"""),3.0)</f>
        <v>3</v>
      </c>
      <c r="J2469" s="18">
        <f>IFERROR(__xludf.DUMMYFUNCTION("""COMPUTED_VALUE"""),20.0)</f>
        <v>20</v>
      </c>
      <c r="K2469" s="18">
        <f>IFERROR(__xludf.DUMMYFUNCTION("""COMPUTED_VALUE"""),15.0)</f>
        <v>15</v>
      </c>
      <c r="L2469" s="17">
        <f>IFERROR(__xludf.DUMMYFUNCTION("""COMPUTED_VALUE"""),3.152507933E9)</f>
        <v>3152507933</v>
      </c>
      <c r="M2469" s="17" t="str">
        <f>IFERROR(__xludf.DUMMYFUNCTION("""COMPUTED_VALUE"""),"#REF!")</f>
        <v>#REF!</v>
      </c>
      <c r="N2469" s="17"/>
      <c r="O2469" s="17"/>
      <c r="P2469" s="17" t="b">
        <f>IFERROR(__xludf.DUMMYFUNCTION("""COMPUTED_VALUE"""),FALSE)</f>
        <v>0</v>
      </c>
      <c r="Q2469" s="20" t="str">
        <f>IFERROR(__xludf.DUMMYFUNCTION("""COMPUTED_VALUE"""),"")</f>
        <v/>
      </c>
      <c r="R2469" s="22" t="str">
        <f>IFERROR(__xludf.DUMMYFUNCTION("""COMPUTED_VALUE"""),"")</f>
        <v/>
      </c>
    </row>
    <row r="2470">
      <c r="A2470" s="17" t="str">
        <f>IFERROR(__xludf.DUMMYFUNCTION("""COMPUTED_VALUE"""),"")</f>
        <v/>
      </c>
      <c r="B2470" s="17" t="str">
        <f>IFERROR(__xludf.DUMMYFUNCTION("""COMPUTED_VALUE"""),"")</f>
        <v/>
      </c>
      <c r="C2470" s="17" t="str">
        <f>IFERROR(__xludf.DUMMYFUNCTION("""COMPUTED_VALUE"""),"")</f>
        <v/>
      </c>
      <c r="D2470" s="17" t="str">
        <f>IFERROR(__xludf.DUMMYFUNCTION("""COMPUTED_VALUE"""),"")</f>
        <v/>
      </c>
      <c r="E2470" s="17" t="str">
        <f>IFERROR(__xludf.DUMMYFUNCTION("""COMPUTED_VALUE"""),"")</f>
        <v/>
      </c>
      <c r="F2470" s="17" t="str">
        <f>IFERROR(__xludf.DUMMYFUNCTION("""COMPUTED_VALUE"""),"")</f>
        <v/>
      </c>
      <c r="G2470" s="17" t="str">
        <f>IFERROR(__xludf.DUMMYFUNCTION("""COMPUTED_VALUE"""),"")</f>
        <v/>
      </c>
      <c r="H2470" s="17" t="str">
        <f>IFERROR(__xludf.DUMMYFUNCTION("""COMPUTED_VALUE"""),"")</f>
        <v/>
      </c>
      <c r="I2470" s="17" t="str">
        <f>IFERROR(__xludf.DUMMYFUNCTION("""COMPUTED_VALUE"""),"")</f>
        <v/>
      </c>
      <c r="J2470" s="17" t="str">
        <f>IFERROR(__xludf.DUMMYFUNCTION("""COMPUTED_VALUE"""),"")</f>
        <v/>
      </c>
      <c r="K2470" s="17" t="str">
        <f>IFERROR(__xludf.DUMMYFUNCTION("""COMPUTED_VALUE"""),"")</f>
        <v/>
      </c>
      <c r="L2470" s="17" t="str">
        <f>IFERROR(__xludf.DUMMYFUNCTION("""COMPUTED_VALUE"""),"")</f>
        <v/>
      </c>
      <c r="M2470" s="17" t="str">
        <f>IFERROR(__xludf.DUMMYFUNCTION("""COMPUTED_VALUE"""),"")</f>
        <v/>
      </c>
      <c r="N2470" s="17" t="str">
        <f>IFERROR(__xludf.DUMMYFUNCTION("""COMPUTED_VALUE"""),"")</f>
        <v/>
      </c>
      <c r="O2470" s="17" t="str">
        <f>IFERROR(__xludf.DUMMYFUNCTION("""COMPUTED_VALUE"""),"")</f>
        <v/>
      </c>
      <c r="P2470" s="17" t="str">
        <f>IFERROR(__xludf.DUMMYFUNCTION("""COMPUTED_VALUE"""),"")</f>
        <v/>
      </c>
      <c r="Q2470" s="17" t="str">
        <f>IFERROR(__xludf.DUMMYFUNCTION("""COMPUTED_VALUE"""),"")</f>
        <v/>
      </c>
      <c r="R2470" s="17" t="str">
        <f>IFERROR(__xludf.DUMMYFUNCTION("""COMPUTED_VALUE"""),"")</f>
        <v/>
      </c>
    </row>
    <row r="2471">
      <c r="A2471" s="15">
        <f>IFERROR(__xludf.DUMMYFUNCTION("""COMPUTED_VALUE"""),45072.0)</f>
        <v>45072</v>
      </c>
      <c r="B2471" s="16" t="str">
        <f>IFERROR(__xludf.DUMMYFUNCTION("""COMPUTED_VALUE"""),"Luis Miguel Ramirez Morales")</f>
        <v>Luis Miguel Ramirez Morales</v>
      </c>
      <c r="C2471" s="15" t="str">
        <f>IFERROR(__xludf.DUMMYFUNCTION("""COMPUTED_VALUE"""),"BOGOTÁ")</f>
        <v>BOGOTÁ</v>
      </c>
      <c r="D2471" s="15" t="str">
        <f>IFERROR(__xludf.DUMMYFUNCTION("""COMPUTED_VALUE"""),"CALI")</f>
        <v>CALI</v>
      </c>
      <c r="E2471" s="15" t="str">
        <f>IFERROR(__xludf.DUMMYFUNCTION("""COMPUTED_VALUE"""),"Natalia Carreño")</f>
        <v>Natalia Carreño</v>
      </c>
      <c r="F2471" s="17" t="str">
        <f>IFERROR(__xludf.DUMMYFUNCTION("""COMPUTED_VALUE"""),"Cra 27 no 70-83 / Casa cuejba / Alcazares")</f>
        <v>Cra 27 no 70-83 / Casa cuejba / Alcazares</v>
      </c>
      <c r="G2471" s="15" t="str">
        <f>IFERROR(__xludf.DUMMYFUNCTION("""COMPUTED_VALUE"""),"Natalia carreno")</f>
        <v>Natalia carreno</v>
      </c>
      <c r="H2471" s="16">
        <f>IFERROR(__xludf.DUMMYFUNCTION("""COMPUTED_VALUE"""),10987.0)</f>
        <v>10987</v>
      </c>
      <c r="I2471" s="18">
        <f>IFERROR(__xludf.DUMMYFUNCTION("""COMPUTED_VALUE"""),49.0)</f>
        <v>49</v>
      </c>
      <c r="J2471" s="18">
        <f>IFERROR(__xludf.DUMMYFUNCTION("""COMPUTED_VALUE"""),40.0)</f>
        <v>40</v>
      </c>
      <c r="K2471" s="18">
        <f>IFERROR(__xludf.DUMMYFUNCTION("""COMPUTED_VALUE"""),60.0)</f>
        <v>60</v>
      </c>
      <c r="L2471" s="17">
        <f>IFERROR(__xludf.DUMMYFUNCTION("""COMPUTED_VALUE"""),3.11561131E9)</f>
        <v>3115611310</v>
      </c>
      <c r="M2471" s="17" t="str">
        <f>IFERROR(__xludf.DUMMYFUNCTION("""COMPUTED_VALUE"""),"#REF!")</f>
        <v>#REF!</v>
      </c>
      <c r="N2471" s="17"/>
      <c r="O2471" s="17"/>
      <c r="P2471" s="17" t="b">
        <f>IFERROR(__xludf.DUMMYFUNCTION("""COMPUTED_VALUE"""),FALSE)</f>
        <v>0</v>
      </c>
      <c r="Q2471" s="20" t="str">
        <f>IFERROR(__xludf.DUMMYFUNCTION("""COMPUTED_VALUE"""),"")</f>
        <v/>
      </c>
      <c r="R2471" s="21" t="str">
        <f>IFERROR(__xludf.DUMMYFUNCTION("""COMPUTED_VALUE"""),"https://drive.google.com/file/d/16SVOVZl0_fSYzUuZ3EXUTTIg6pXX5rfG/view?usp=drivesdk")</f>
        <v>https://drive.google.com/file/d/16SVOVZl0_fSYzUuZ3EXUTTIg6pXX5rfG/view?usp=drivesdk</v>
      </c>
    </row>
    <row r="2472">
      <c r="A2472" s="15">
        <f>IFERROR(__xludf.DUMMYFUNCTION("""COMPUTED_VALUE"""),45072.0)</f>
        <v>45072</v>
      </c>
      <c r="B2472" s="16" t="str">
        <f>IFERROR(__xludf.DUMMYFUNCTION("""COMPUTED_VALUE"""),"Luis Miguel Ramirez Morales")</f>
        <v>Luis Miguel Ramirez Morales</v>
      </c>
      <c r="C2472" s="15" t="str">
        <f>IFERROR(__xludf.DUMMYFUNCTION("""COMPUTED_VALUE"""),"BOGOTÁ")</f>
        <v>BOGOTÁ</v>
      </c>
      <c r="D2472" s="15" t="str">
        <f>IFERROR(__xludf.DUMMYFUNCTION("""COMPUTED_VALUE"""),"MEDELLÍN")</f>
        <v>MEDELLÍN</v>
      </c>
      <c r="E2472" s="15" t="str">
        <f>IFERROR(__xludf.DUMMYFUNCTION("""COMPUTED_VALUE"""),"Ana Huertas")</f>
        <v>Ana Huertas</v>
      </c>
      <c r="F2472" s="17" t="str">
        <f>IFERROR(__xludf.DUMMYFUNCTION("""COMPUTED_VALUE"""),"Calle 83 # 21-69  / Local 7a / Barrio el Polo")</f>
        <v>Calle 83 # 21-69  / Local 7a / Barrio el Polo</v>
      </c>
      <c r="G2472" s="15" t="str">
        <f>IFERROR(__xludf.DUMMYFUNCTION("""COMPUTED_VALUE"""),"A FRAMBAS - Mateo Vergel")</f>
        <v>A FRAMBAS - Mateo Vergel</v>
      </c>
      <c r="H2472" s="16">
        <f>IFERROR(__xludf.DUMMYFUNCTION("""COMPUTED_VALUE"""),11015.0)</f>
        <v>11015</v>
      </c>
      <c r="I2472" s="18">
        <f>IFERROR(__xludf.DUMMYFUNCTION("""COMPUTED_VALUE"""),45173.0)</f>
        <v>45173</v>
      </c>
      <c r="J2472" s="18">
        <f>IFERROR(__xludf.DUMMYFUNCTION("""COMPUTED_VALUE"""),44992.0)</f>
        <v>44992</v>
      </c>
      <c r="K2472" s="18">
        <f>IFERROR(__xludf.DUMMYFUNCTION("""COMPUTED_VALUE"""),8.0)</f>
        <v>8</v>
      </c>
      <c r="L2472" s="17">
        <f>IFERROR(__xludf.DUMMYFUNCTION("""COMPUTED_VALUE"""),3.107785185E9)</f>
        <v>3107785185</v>
      </c>
      <c r="M2472" s="17" t="str">
        <f>IFERROR(__xludf.DUMMYFUNCTION("""COMPUTED_VALUE"""),"#REF!")</f>
        <v>#REF!</v>
      </c>
      <c r="N2472" s="17"/>
      <c r="O2472" s="17"/>
      <c r="P2472" s="17" t="b">
        <f>IFERROR(__xludf.DUMMYFUNCTION("""COMPUTED_VALUE"""),TRUE)</f>
        <v>1</v>
      </c>
      <c r="Q2472" s="20">
        <f>IFERROR(__xludf.DUMMYFUNCTION("""COMPUTED_VALUE"""),45072.63334972222)</f>
        <v>45072.63335</v>
      </c>
      <c r="R2472" s="21" t="str">
        <f>IFERROR(__xludf.DUMMYFUNCTION("""COMPUTED_VALUE"""),"https://drive.google.com/file/d/1-VnR8yUDWmXzzlEYFyqhfWtc76FozZLs/view?usp=drivesdk")</f>
        <v>https://drive.google.com/file/d/1-VnR8yUDWmXzzlEYFyqhfWtc76FozZLs/view?usp=drivesdk</v>
      </c>
    </row>
    <row r="2473">
      <c r="A2473" s="15">
        <f>IFERROR(__xludf.DUMMYFUNCTION("""COMPUTED_VALUE"""),45072.0)</f>
        <v>45072</v>
      </c>
      <c r="B2473" s="16" t="str">
        <f>IFERROR(__xludf.DUMMYFUNCTION("""COMPUTED_VALUE"""),"Luis Miguel Ramirez Morales")</f>
        <v>Luis Miguel Ramirez Morales</v>
      </c>
      <c r="C2473" s="15" t="str">
        <f>IFERROR(__xludf.DUMMYFUNCTION("""COMPUTED_VALUE"""),"BOGOTÁ")</f>
        <v>BOGOTÁ</v>
      </c>
      <c r="D2473" s="15" t="str">
        <f>IFERROR(__xludf.DUMMYFUNCTION("""COMPUTED_VALUE"""),"MEDELLÍN")</f>
        <v>MEDELLÍN</v>
      </c>
      <c r="E2473" s="15" t="str">
        <f>IFERROR(__xludf.DUMMYFUNCTION("""COMPUTED_VALUE"""),"Panki Waffle")</f>
        <v>Panki Waffle</v>
      </c>
      <c r="F2473" s="17" t="str">
        <f>IFERROR(__xludf.DUMMYFUNCTION("""COMPUTED_VALUE"""),"Recogen en el local del chico / Bodega Bogotá / Recoge")</f>
        <v>Recogen en el local del chico / Bodega Bogotá / Recoge</v>
      </c>
      <c r="G2473" s="15" t="str">
        <f>IFERROR(__xludf.DUMMYFUNCTION("""COMPUTED_VALUE"""),"Carlos Pérez")</f>
        <v>Carlos Pérez</v>
      </c>
      <c r="H2473" s="16">
        <f>IFERROR(__xludf.DUMMYFUNCTION("""COMPUTED_VALUE"""),11045.0)</f>
        <v>11045</v>
      </c>
      <c r="I2473" s="18">
        <f>IFERROR(__xludf.DUMMYFUNCTION("""COMPUTED_VALUE"""),8.0)</f>
        <v>8</v>
      </c>
      <c r="J2473" s="18">
        <f>IFERROR(__xludf.DUMMYFUNCTION("""COMPUTED_VALUE"""),20.0)</f>
        <v>20</v>
      </c>
      <c r="K2473" s="18">
        <f>IFERROR(__xludf.DUMMYFUNCTION("""COMPUTED_VALUE"""),12.0)</f>
        <v>12</v>
      </c>
      <c r="L2473" s="17">
        <f>IFERROR(__xludf.DUMMYFUNCTION("""COMPUTED_VALUE"""),3.159285489E9)</f>
        <v>3159285489</v>
      </c>
      <c r="M2473" s="17" t="str">
        <f>IFERROR(__xludf.DUMMYFUNCTION("""COMPUTED_VALUE"""),"#REF!")</f>
        <v>#REF!</v>
      </c>
      <c r="N2473" s="17"/>
      <c r="O2473" s="17"/>
      <c r="P2473" s="17" t="b">
        <f>IFERROR(__xludf.DUMMYFUNCTION("""COMPUTED_VALUE"""),TRUE)</f>
        <v>1</v>
      </c>
      <c r="Q2473" s="20">
        <f>IFERROR(__xludf.DUMMYFUNCTION("""COMPUTED_VALUE"""),45072.63334972222)</f>
        <v>45072.63335</v>
      </c>
      <c r="R2473" s="21" t="str">
        <f>IFERROR(__xludf.DUMMYFUNCTION("""COMPUTED_VALUE"""),"https://drive.google.com/file/d/1Xhnf9sZ7yeOY71R1cEXnuRYpZYaHbXCB/view?usp=drivesdk")</f>
        <v>https://drive.google.com/file/d/1Xhnf9sZ7yeOY71R1cEXnuRYpZYaHbXCB/view?usp=drivesdk</v>
      </c>
    </row>
    <row r="2474">
      <c r="A2474" s="15">
        <f>IFERROR(__xludf.DUMMYFUNCTION("""COMPUTED_VALUE"""),45072.0)</f>
        <v>45072</v>
      </c>
      <c r="B2474" s="16" t="str">
        <f>IFERROR(__xludf.DUMMYFUNCTION("""COMPUTED_VALUE"""),"Luis Miguel Ramirez Morales")</f>
        <v>Luis Miguel Ramirez Morales</v>
      </c>
      <c r="C2474" s="15" t="str">
        <f>IFERROR(__xludf.DUMMYFUNCTION("""COMPUTED_VALUE"""),"BOGOTÁ")</f>
        <v>BOGOTÁ</v>
      </c>
      <c r="D2474" s="15" t="str">
        <f>IFERROR(__xludf.DUMMYFUNCTION("""COMPUTED_VALUE"""),"MEDELLÍN")</f>
        <v>MEDELLÍN</v>
      </c>
      <c r="E2474" s="15" t="str">
        <f>IFERROR(__xludf.DUMMYFUNCTION("""COMPUTED_VALUE"""),"Rambla")</f>
        <v>Rambla</v>
      </c>
      <c r="F2474" s="17" t="str">
        <f>IFERROR(__xludf.DUMMYFUNCTION("""COMPUTED_VALUE"""),"Calle 41 a número 8-25 bulevar 42 apto 707 b  / NA / NA")</f>
        <v>Calle 41 a número 8-25 bulevar 42 apto 707 b  / NA / NA</v>
      </c>
      <c r="G2474" s="15" t="str">
        <f>IFERROR(__xludf.DUMMYFUNCTION("""COMPUTED_VALUE"""),"Nutriclicstore")</f>
        <v>Nutriclicstore</v>
      </c>
      <c r="H2474" s="16">
        <f>IFERROR(__xludf.DUMMYFUNCTION("""COMPUTED_VALUE"""),11028.0)</f>
        <v>11028</v>
      </c>
      <c r="I2474" s="18">
        <f>IFERROR(__xludf.DUMMYFUNCTION("""COMPUTED_VALUE"""),22.0)</f>
        <v>22</v>
      </c>
      <c r="J2474" s="18">
        <f>IFERROR(__xludf.DUMMYFUNCTION("""COMPUTED_VALUE"""),25.0)</f>
        <v>25</v>
      </c>
      <c r="K2474" s="18">
        <f>IFERROR(__xludf.DUMMYFUNCTION("""COMPUTED_VALUE"""),28.0)</f>
        <v>28</v>
      </c>
      <c r="L2474" s="17">
        <f>IFERROR(__xludf.DUMMYFUNCTION("""COMPUTED_VALUE"""),3.102661625E9)</f>
        <v>3102661625</v>
      </c>
      <c r="M2474" s="17" t="str">
        <f>IFERROR(__xludf.DUMMYFUNCTION("""COMPUTED_VALUE"""),"#REF!")</f>
        <v>#REF!</v>
      </c>
      <c r="N2474" s="17"/>
      <c r="O2474" s="17"/>
      <c r="P2474" s="17" t="b">
        <f>IFERROR(__xludf.DUMMYFUNCTION("""COMPUTED_VALUE"""),TRUE)</f>
        <v>1</v>
      </c>
      <c r="Q2474" s="20">
        <f>IFERROR(__xludf.DUMMYFUNCTION("""COMPUTED_VALUE"""),45072.63334972222)</f>
        <v>45072.63335</v>
      </c>
      <c r="R2474" s="21" t="str">
        <f>IFERROR(__xludf.DUMMYFUNCTION("""COMPUTED_VALUE"""),"https://drive.google.com/file/d/1fJ5fgl24nAgOI4mrp-GGvPJBzZftvL9N/view?usp=drivesdk")</f>
        <v>https://drive.google.com/file/d/1fJ5fgl24nAgOI4mrp-GGvPJBzZftvL9N/view?usp=drivesdk</v>
      </c>
    </row>
    <row r="2475">
      <c r="A2475" s="17" t="str">
        <f>IFERROR(__xludf.DUMMYFUNCTION("""COMPUTED_VALUE"""),"")</f>
        <v/>
      </c>
      <c r="B2475" s="17" t="str">
        <f>IFERROR(__xludf.DUMMYFUNCTION("""COMPUTED_VALUE"""),"")</f>
        <v/>
      </c>
      <c r="C2475" s="17" t="str">
        <f>IFERROR(__xludf.DUMMYFUNCTION("""COMPUTED_VALUE"""),"")</f>
        <v/>
      </c>
      <c r="D2475" s="17" t="str">
        <f>IFERROR(__xludf.DUMMYFUNCTION("""COMPUTED_VALUE"""),"")</f>
        <v/>
      </c>
      <c r="E2475" s="17" t="str">
        <f>IFERROR(__xludf.DUMMYFUNCTION("""COMPUTED_VALUE"""),"")</f>
        <v/>
      </c>
      <c r="F2475" s="17" t="str">
        <f>IFERROR(__xludf.DUMMYFUNCTION("""COMPUTED_VALUE"""),"")</f>
        <v/>
      </c>
      <c r="G2475" s="17" t="str">
        <f>IFERROR(__xludf.DUMMYFUNCTION("""COMPUTED_VALUE"""),"")</f>
        <v/>
      </c>
      <c r="H2475" s="17" t="str">
        <f>IFERROR(__xludf.DUMMYFUNCTION("""COMPUTED_VALUE"""),"")</f>
        <v/>
      </c>
      <c r="I2475" s="17" t="str">
        <f>IFERROR(__xludf.DUMMYFUNCTION("""COMPUTED_VALUE"""),"")</f>
        <v/>
      </c>
      <c r="J2475" s="17" t="str">
        <f>IFERROR(__xludf.DUMMYFUNCTION("""COMPUTED_VALUE"""),"")</f>
        <v/>
      </c>
      <c r="K2475" s="17" t="str">
        <f>IFERROR(__xludf.DUMMYFUNCTION("""COMPUTED_VALUE"""),"")</f>
        <v/>
      </c>
      <c r="L2475" s="17" t="str">
        <f>IFERROR(__xludf.DUMMYFUNCTION("""COMPUTED_VALUE"""),"")</f>
        <v/>
      </c>
      <c r="M2475" s="17" t="str">
        <f>IFERROR(__xludf.DUMMYFUNCTION("""COMPUTED_VALUE"""),"")</f>
        <v/>
      </c>
      <c r="N2475" s="17" t="str">
        <f>IFERROR(__xludf.DUMMYFUNCTION("""COMPUTED_VALUE"""),"")</f>
        <v/>
      </c>
      <c r="O2475" s="17" t="str">
        <f>IFERROR(__xludf.DUMMYFUNCTION("""COMPUTED_VALUE"""),"")</f>
        <v/>
      </c>
      <c r="P2475" s="17" t="str">
        <f>IFERROR(__xludf.DUMMYFUNCTION("""COMPUTED_VALUE"""),"")</f>
        <v/>
      </c>
      <c r="Q2475" s="17" t="str">
        <f>IFERROR(__xludf.DUMMYFUNCTION("""COMPUTED_VALUE"""),"")</f>
        <v/>
      </c>
      <c r="R2475" s="17" t="str">
        <f>IFERROR(__xludf.DUMMYFUNCTION("""COMPUTED_VALUE"""),"")</f>
        <v/>
      </c>
    </row>
    <row r="2476">
      <c r="A2476" s="15">
        <f>IFERROR(__xludf.DUMMYFUNCTION("""COMPUTED_VALUE"""),45072.0)</f>
        <v>45072</v>
      </c>
      <c r="B2476" s="16" t="str">
        <f>IFERROR(__xludf.DUMMYFUNCTION("""COMPUTED_VALUE"""),"Orlando Urdaneta Rincon ")</f>
        <v>Orlando Urdaneta Rincon </v>
      </c>
      <c r="C2476" s="15" t="str">
        <f>IFERROR(__xludf.DUMMYFUNCTION("""COMPUTED_VALUE"""),"NEIVA")</f>
        <v>NEIVA</v>
      </c>
      <c r="D2476" s="15" t="str">
        <f>IFERROR(__xludf.DUMMYFUNCTION("""COMPUTED_VALUE"""),"BOGOTÁ")</f>
        <v>BOGOTÁ</v>
      </c>
      <c r="E2476" s="15" t="str">
        <f>IFERROR(__xludf.DUMMYFUNCTION("""COMPUTED_VALUE"""),"Evamazzita")</f>
        <v>Evamazzita</v>
      </c>
      <c r="F2476" s="17" t="str">
        <f>IFERROR(__xludf.DUMMYFUNCTION("""COMPUTED_VALUE"""),"CALLE 50 No. 21 - 04  / N/A / PINOS")</f>
        <v>CALLE 50 No. 21 - 04  / N/A / PINOS</v>
      </c>
      <c r="G2476" s="15" t="str">
        <f>IFERROR(__xludf.DUMMYFUNCTION("""COMPUTED_VALUE"""),"JULIETH TRUJILLO")</f>
        <v>JULIETH TRUJILLO</v>
      </c>
      <c r="H2476" s="16">
        <f>IFERROR(__xludf.DUMMYFUNCTION("""COMPUTED_VALUE"""),11021.0)</f>
        <v>11021</v>
      </c>
      <c r="I2476" s="18">
        <f>IFERROR(__xludf.DUMMYFUNCTION("""COMPUTED_VALUE"""),15.0)</f>
        <v>15</v>
      </c>
      <c r="J2476" s="18">
        <f>IFERROR(__xludf.DUMMYFUNCTION("""COMPUTED_VALUE"""),17.0)</f>
        <v>17</v>
      </c>
      <c r="K2476" s="18">
        <f>IFERROR(__xludf.DUMMYFUNCTION("""COMPUTED_VALUE"""),25.0)</f>
        <v>25</v>
      </c>
      <c r="L2476" s="17">
        <f>IFERROR(__xludf.DUMMYFUNCTION("""COMPUTED_VALUE"""),3.102793284E9)</f>
        <v>3102793284</v>
      </c>
      <c r="M2476" s="17" t="str">
        <f>IFERROR(__xludf.DUMMYFUNCTION("""COMPUTED_VALUE"""),"#REF!")</f>
        <v>#REF!</v>
      </c>
      <c r="N2476" s="17"/>
      <c r="O2476" s="17"/>
      <c r="P2476" s="17" t="b">
        <f>IFERROR(__xludf.DUMMYFUNCTION("""COMPUTED_VALUE"""),FALSE)</f>
        <v>0</v>
      </c>
      <c r="Q2476" s="20" t="str">
        <f>IFERROR(__xludf.DUMMYFUNCTION("""COMPUTED_VALUE"""),"")</f>
        <v/>
      </c>
      <c r="R2476" s="21" t="str">
        <f>IFERROR(__xludf.DUMMYFUNCTION("""COMPUTED_VALUE"""),"https://drive.google.com/file/d/1sMn1XrAqeIqFBe6UsEPRdYfRpyZPUh4Y/view?usp=drivesdk")</f>
        <v>https://drive.google.com/file/d/1sMn1XrAqeIqFBe6UsEPRdYfRpyZPUh4Y/view?usp=drivesdk</v>
      </c>
    </row>
    <row r="2477">
      <c r="A2477" s="15">
        <f>IFERROR(__xludf.DUMMYFUNCTION("""COMPUTED_VALUE"""),45072.0)</f>
        <v>45072</v>
      </c>
      <c r="B2477" s="16" t="str">
        <f>IFERROR(__xludf.DUMMYFUNCTION("""COMPUTED_VALUE"""),"Orlando Urdaneta Rincon ")</f>
        <v>Orlando Urdaneta Rincon </v>
      </c>
      <c r="C2477" s="15" t="str">
        <f>IFERROR(__xludf.DUMMYFUNCTION("""COMPUTED_VALUE"""),"NEIVA")</f>
        <v>NEIVA</v>
      </c>
      <c r="D2477" s="15" t="str">
        <f>IFERROR(__xludf.DUMMYFUNCTION("""COMPUTED_VALUE"""),"BOGOTÁ")</f>
        <v>BOGOTÁ</v>
      </c>
      <c r="E2477" s="15" t="str">
        <f>IFERROR(__xludf.DUMMYFUNCTION("""COMPUTED_VALUE"""),"Evamazzita")</f>
        <v>Evamazzita</v>
      </c>
      <c r="F2477" s="17" t="str">
        <f>IFERROR(__xludf.DUMMYFUNCTION("""COMPUTED_VALUE"""),"Calle 8 # 46 - 130.  / Terrazas de Bizancio. Casa 7  / Barrio Ipanema")</f>
        <v>Calle 8 # 46 - 130.  / Terrazas de Bizancio. Casa 7  / Barrio Ipanema</v>
      </c>
      <c r="G2477" s="15" t="str">
        <f>IFERROR(__xludf.DUMMYFUNCTION("""COMPUTED_VALUE"""),"JESSICA CARO")</f>
        <v>JESSICA CARO</v>
      </c>
      <c r="H2477" s="16">
        <f>IFERROR(__xludf.DUMMYFUNCTION("""COMPUTED_VALUE"""),11022.0)</f>
        <v>11022</v>
      </c>
      <c r="I2477" s="18">
        <f>IFERROR(__xludf.DUMMYFUNCTION("""COMPUTED_VALUE"""),3.0)</f>
        <v>3</v>
      </c>
      <c r="J2477" s="18">
        <f>IFERROR(__xludf.DUMMYFUNCTION("""COMPUTED_VALUE"""),15.0)</f>
        <v>15</v>
      </c>
      <c r="K2477" s="18">
        <f>IFERROR(__xludf.DUMMYFUNCTION("""COMPUTED_VALUE"""),20.0)</f>
        <v>20</v>
      </c>
      <c r="L2477" s="17">
        <f>IFERROR(__xludf.DUMMYFUNCTION("""COMPUTED_VALUE"""),3.11546971E9)</f>
        <v>3115469710</v>
      </c>
      <c r="M2477" s="17" t="str">
        <f>IFERROR(__xludf.DUMMYFUNCTION("""COMPUTED_VALUE"""),"#REF!")</f>
        <v>#REF!</v>
      </c>
      <c r="N2477" s="17"/>
      <c r="O2477" s="17"/>
      <c r="P2477" s="17" t="b">
        <f>IFERROR(__xludf.DUMMYFUNCTION("""COMPUTED_VALUE"""),FALSE)</f>
        <v>0</v>
      </c>
      <c r="Q2477" s="20" t="str">
        <f>IFERROR(__xludf.DUMMYFUNCTION("""COMPUTED_VALUE"""),"")</f>
        <v/>
      </c>
      <c r="R2477" s="21" t="str">
        <f>IFERROR(__xludf.DUMMYFUNCTION("""COMPUTED_VALUE"""),"https://drive.google.com/file/d/1NYMoel9UeBgkfvihk96V6SkjOU6o4psP/view?usp=drivesdk")</f>
        <v>https://drive.google.com/file/d/1NYMoel9UeBgkfvihk96V6SkjOU6o4psP/view?usp=drivesdk</v>
      </c>
    </row>
    <row r="2478">
      <c r="A2478" s="15">
        <f>IFERROR(__xludf.DUMMYFUNCTION("""COMPUTED_VALUE"""),45072.0)</f>
        <v>45072</v>
      </c>
      <c r="B2478" s="16" t="str">
        <f>IFERROR(__xludf.DUMMYFUNCTION("""COMPUTED_VALUE"""),"Orlando Urdaneta Rincon ")</f>
        <v>Orlando Urdaneta Rincon </v>
      </c>
      <c r="C2478" s="15" t="str">
        <f>IFERROR(__xludf.DUMMYFUNCTION("""COMPUTED_VALUE"""),"SANTA MARTA")</f>
        <v>SANTA MARTA</v>
      </c>
      <c r="D2478" s="15" t="str">
        <f>IFERROR(__xludf.DUMMYFUNCTION("""COMPUTED_VALUE"""),"BOGOTÁ")</f>
        <v>BOGOTÁ</v>
      </c>
      <c r="E2478" s="15" t="str">
        <f>IFERROR(__xludf.DUMMYFUNCTION("""COMPUTED_VALUE"""),"Evamazzita")</f>
        <v>Evamazzita</v>
      </c>
      <c r="F2478" s="17" t="str">
        <f>IFERROR(__xludf.DUMMYFUNCTION("""COMPUTED_VALUE"""),"Carrera 4 #21-180  / conjunto puerto banus casa 33   / Rodadero")</f>
        <v>Carrera 4 #21-180  / conjunto puerto banus casa 33   / Rodadero</v>
      </c>
      <c r="G2478" s="15" t="str">
        <f>IFERROR(__xludf.DUMMYFUNCTION("""COMPUTED_VALUE"""),"ADRIANA RODRIGUEZ")</f>
        <v>ADRIANA RODRIGUEZ</v>
      </c>
      <c r="H2478" s="16">
        <f>IFERROR(__xludf.DUMMYFUNCTION("""COMPUTED_VALUE"""),10984.0)</f>
        <v>10984</v>
      </c>
      <c r="I2478" s="18">
        <f>IFERROR(__xludf.DUMMYFUNCTION("""COMPUTED_VALUE"""),10.0)</f>
        <v>10</v>
      </c>
      <c r="J2478" s="18">
        <f>IFERROR(__xludf.DUMMYFUNCTION("""COMPUTED_VALUE"""),18.0)</f>
        <v>18</v>
      </c>
      <c r="K2478" s="18">
        <f>IFERROR(__xludf.DUMMYFUNCTION("""COMPUTED_VALUE"""),22.0)</f>
        <v>22</v>
      </c>
      <c r="L2478" s="17">
        <f>IFERROR(__xludf.DUMMYFUNCTION("""COMPUTED_VALUE"""),3.17300301E9)</f>
        <v>3173003010</v>
      </c>
      <c r="M2478" s="17" t="str">
        <f>IFERROR(__xludf.DUMMYFUNCTION("""COMPUTED_VALUE"""),"#REF!")</f>
        <v>#REF!</v>
      </c>
      <c r="N2478" s="17"/>
      <c r="O2478" s="17"/>
      <c r="P2478" s="17" t="b">
        <f>IFERROR(__xludf.DUMMYFUNCTION("""COMPUTED_VALUE"""),FALSE)</f>
        <v>0</v>
      </c>
      <c r="Q2478" s="20" t="str">
        <f>IFERROR(__xludf.DUMMYFUNCTION("""COMPUTED_VALUE"""),"")</f>
        <v/>
      </c>
      <c r="R2478" s="21" t="str">
        <f>IFERROR(__xludf.DUMMYFUNCTION("""COMPUTED_VALUE"""),"https://drive.google.com/file/d/1-CEptkpbN-MGAExuHdUnCzxtf3v1fWzq/view?usp=drivesdk")</f>
        <v>https://drive.google.com/file/d/1-CEptkpbN-MGAExuHdUnCzxtf3v1fWzq/view?usp=drivesdk</v>
      </c>
    </row>
    <row r="2479">
      <c r="A2479" s="17" t="str">
        <f>IFERROR(__xludf.DUMMYFUNCTION("""COMPUTED_VALUE"""),"")</f>
        <v/>
      </c>
      <c r="B2479" s="17" t="str">
        <f>IFERROR(__xludf.DUMMYFUNCTION("""COMPUTED_VALUE"""),"")</f>
        <v/>
      </c>
      <c r="C2479" s="17" t="str">
        <f>IFERROR(__xludf.DUMMYFUNCTION("""COMPUTED_VALUE"""),"")</f>
        <v/>
      </c>
      <c r="D2479" s="17" t="str">
        <f>IFERROR(__xludf.DUMMYFUNCTION("""COMPUTED_VALUE"""),"")</f>
        <v/>
      </c>
      <c r="E2479" s="17" t="str">
        <f>IFERROR(__xludf.DUMMYFUNCTION("""COMPUTED_VALUE"""),"")</f>
        <v/>
      </c>
      <c r="F2479" s="17" t="str">
        <f>IFERROR(__xludf.DUMMYFUNCTION("""COMPUTED_VALUE"""),"")</f>
        <v/>
      </c>
      <c r="G2479" s="17" t="str">
        <f>IFERROR(__xludf.DUMMYFUNCTION("""COMPUTED_VALUE"""),"")</f>
        <v/>
      </c>
      <c r="H2479" s="17" t="str">
        <f>IFERROR(__xludf.DUMMYFUNCTION("""COMPUTED_VALUE"""),"")</f>
        <v/>
      </c>
      <c r="I2479" s="17" t="str">
        <f>IFERROR(__xludf.DUMMYFUNCTION("""COMPUTED_VALUE"""),"")</f>
        <v/>
      </c>
      <c r="J2479" s="17" t="str">
        <f>IFERROR(__xludf.DUMMYFUNCTION("""COMPUTED_VALUE"""),"")</f>
        <v/>
      </c>
      <c r="K2479" s="17" t="str">
        <f>IFERROR(__xludf.DUMMYFUNCTION("""COMPUTED_VALUE"""),"")</f>
        <v/>
      </c>
      <c r="L2479" s="17" t="str">
        <f>IFERROR(__xludf.DUMMYFUNCTION("""COMPUTED_VALUE"""),"")</f>
        <v/>
      </c>
      <c r="M2479" s="17" t="str">
        <f>IFERROR(__xludf.DUMMYFUNCTION("""COMPUTED_VALUE"""),"")</f>
        <v/>
      </c>
      <c r="N2479" s="17" t="str">
        <f>IFERROR(__xludf.DUMMYFUNCTION("""COMPUTED_VALUE"""),"")</f>
        <v/>
      </c>
      <c r="O2479" s="17" t="str">
        <f>IFERROR(__xludf.DUMMYFUNCTION("""COMPUTED_VALUE"""),"")</f>
        <v/>
      </c>
      <c r="P2479" s="17" t="str">
        <f>IFERROR(__xludf.DUMMYFUNCTION("""COMPUTED_VALUE"""),"")</f>
        <v/>
      </c>
      <c r="Q2479" s="17" t="str">
        <f>IFERROR(__xludf.DUMMYFUNCTION("""COMPUTED_VALUE"""),"")</f>
        <v/>
      </c>
      <c r="R2479" s="17" t="str">
        <f>IFERROR(__xludf.DUMMYFUNCTION("""COMPUTED_VALUE"""),"")</f>
        <v/>
      </c>
    </row>
    <row r="2480">
      <c r="A2480" s="15">
        <f>IFERROR(__xludf.DUMMYFUNCTION("""COMPUTED_VALUE"""),45072.0)</f>
        <v>45072</v>
      </c>
      <c r="B2480" s="16" t="str">
        <f>IFERROR(__xludf.DUMMYFUNCTION("""COMPUTED_VALUE"""),"Oscar Augusto Meneses Osias")</f>
        <v>Oscar Augusto Meneses Osias</v>
      </c>
      <c r="C2480" s="15" t="str">
        <f>IFERROR(__xludf.DUMMYFUNCTION("""COMPUTED_VALUE"""),"MEDELLÍN")</f>
        <v>MEDELLÍN</v>
      </c>
      <c r="D2480" s="15" t="str">
        <f>IFERROR(__xludf.DUMMYFUNCTION("""COMPUTED_VALUE"""),"BOGOTÁ")</f>
        <v>BOGOTÁ</v>
      </c>
      <c r="E2480" s="15" t="str">
        <f>IFERROR(__xludf.DUMMYFUNCTION("""COMPUTED_VALUE"""),"Banana Bread")</f>
        <v>Banana Bread</v>
      </c>
      <c r="F2480" s="17" t="str">
        <f>IFERROR(__xludf.DUMMYFUNCTION("""COMPUTED_VALUE"""),"Calle 88 b # 51 b 80  / Casa 150 / Urbanización quintas del jardín")</f>
        <v>Calle 88 b # 51 b 80  / Casa 150 / Urbanización quintas del jardín</v>
      </c>
      <c r="G2480" s="15" t="str">
        <f>IFERROR(__xludf.DUMMYFUNCTION("""COMPUTED_VALUE"""),"Daniela Lopera")</f>
        <v>Daniela Lopera</v>
      </c>
      <c r="H2480" s="16">
        <f>IFERROR(__xludf.DUMMYFUNCTION("""COMPUTED_VALUE"""),11050.0)</f>
        <v>11050</v>
      </c>
      <c r="I2480" s="18">
        <f>IFERROR(__xludf.DUMMYFUNCTION("""COMPUTED_VALUE"""),8.0)</f>
        <v>8</v>
      </c>
      <c r="J2480" s="18">
        <f>IFERROR(__xludf.DUMMYFUNCTION("""COMPUTED_VALUE"""),12.0)</f>
        <v>12</v>
      </c>
      <c r="K2480" s="18">
        <f>IFERROR(__xludf.DUMMYFUNCTION("""COMPUTED_VALUE"""),18.0)</f>
        <v>18</v>
      </c>
      <c r="L2480" s="17">
        <f>IFERROR(__xludf.DUMMYFUNCTION("""COMPUTED_VALUE"""),3.197064701E9)</f>
        <v>3197064701</v>
      </c>
      <c r="M2480" s="17" t="str">
        <f>IFERROR(__xludf.DUMMYFUNCTION("""COMPUTED_VALUE"""),"#REF!")</f>
        <v>#REF!</v>
      </c>
      <c r="N2480" s="17"/>
      <c r="O2480" s="17"/>
      <c r="P2480" s="17" t="b">
        <f>IFERROR(__xludf.DUMMYFUNCTION("""COMPUTED_VALUE"""),FALSE)</f>
        <v>0</v>
      </c>
      <c r="Q2480" s="20" t="str">
        <f>IFERROR(__xludf.DUMMYFUNCTION("""COMPUTED_VALUE"""),"")</f>
        <v/>
      </c>
      <c r="R2480" s="22" t="str">
        <f>IFERROR(__xludf.DUMMYFUNCTION("""COMPUTED_VALUE"""),"")</f>
        <v/>
      </c>
    </row>
    <row r="2481">
      <c r="A2481" s="15">
        <f>IFERROR(__xludf.DUMMYFUNCTION("""COMPUTED_VALUE"""),45072.0)</f>
        <v>45072</v>
      </c>
      <c r="B2481" s="16" t="str">
        <f>IFERROR(__xludf.DUMMYFUNCTION("""COMPUTED_VALUE"""),"Oscar Augusto Meneses Osias")</f>
        <v>Oscar Augusto Meneses Osias</v>
      </c>
      <c r="C2481" s="15" t="str">
        <f>IFERROR(__xludf.DUMMYFUNCTION("""COMPUTED_VALUE"""),"MEDELLÍN")</f>
        <v>MEDELLÍN</v>
      </c>
      <c r="D2481" s="15" t="str">
        <f>IFERROR(__xludf.DUMMYFUNCTION("""COMPUTED_VALUE"""),"BOGOTÁ")</f>
        <v>BOGOTÁ</v>
      </c>
      <c r="E2481" s="15" t="str">
        <f>IFERROR(__xludf.DUMMYFUNCTION("""COMPUTED_VALUE"""),"Pan de Waffle")</f>
        <v>Pan de Waffle</v>
      </c>
      <c r="F2481" s="17" t="str">
        <f>IFERROR(__xludf.DUMMYFUNCTION("""COMPUTED_VALUE"""),"Calle 6 # 16 - 14 Int. 604 / Calle 6 # 16 - 14 Int. 604 / Calle 6 # 16 - 14 Int. 604")</f>
        <v>Calle 6 # 16 - 14 Int. 604 / Calle 6 # 16 - 14 Int. 604 / Calle 6 # 16 - 14 Int. 604</v>
      </c>
      <c r="G2481" s="15" t="str">
        <f>IFERROR(__xludf.DUMMYFUNCTION("""COMPUTED_VALUE"""),"CATALINA VELEZ")</f>
        <v>CATALINA VELEZ</v>
      </c>
      <c r="H2481" s="16">
        <f>IFERROR(__xludf.DUMMYFUNCTION("""COMPUTED_VALUE"""),11049.0)</f>
        <v>11049</v>
      </c>
      <c r="I2481" s="18">
        <f>IFERROR(__xludf.DUMMYFUNCTION("""COMPUTED_VALUE"""),3.0)</f>
        <v>3</v>
      </c>
      <c r="J2481" s="18">
        <f>IFERROR(__xludf.DUMMYFUNCTION("""COMPUTED_VALUE"""),20.0)</f>
        <v>20</v>
      </c>
      <c r="K2481" s="18">
        <f>IFERROR(__xludf.DUMMYFUNCTION("""COMPUTED_VALUE"""),40.0)</f>
        <v>40</v>
      </c>
      <c r="L2481" s="17">
        <f>IFERROR(__xludf.DUMMYFUNCTION("""COMPUTED_VALUE"""),3.20865425E9)</f>
        <v>3208654250</v>
      </c>
      <c r="M2481" s="17" t="str">
        <f>IFERROR(__xludf.DUMMYFUNCTION("""COMPUTED_VALUE"""),"#REF!")</f>
        <v>#REF!</v>
      </c>
      <c r="N2481" s="17"/>
      <c r="O2481" s="17"/>
      <c r="P2481" s="17" t="b">
        <f>IFERROR(__xludf.DUMMYFUNCTION("""COMPUTED_VALUE"""),FALSE)</f>
        <v>0</v>
      </c>
      <c r="Q2481" s="20" t="str">
        <f>IFERROR(__xludf.DUMMYFUNCTION("""COMPUTED_VALUE"""),"")</f>
        <v/>
      </c>
      <c r="R2481" s="22" t="str">
        <f>IFERROR(__xludf.DUMMYFUNCTION("""COMPUTED_VALUE"""),"")</f>
        <v/>
      </c>
    </row>
    <row r="2482">
      <c r="A2482" s="17" t="str">
        <f>IFERROR(__xludf.DUMMYFUNCTION("""COMPUTED_VALUE"""),"")</f>
        <v/>
      </c>
      <c r="B2482" s="17" t="str">
        <f>IFERROR(__xludf.DUMMYFUNCTION("""COMPUTED_VALUE"""),"")</f>
        <v/>
      </c>
      <c r="C2482" s="17" t="str">
        <f>IFERROR(__xludf.DUMMYFUNCTION("""COMPUTED_VALUE"""),"")</f>
        <v/>
      </c>
      <c r="D2482" s="17" t="str">
        <f>IFERROR(__xludf.DUMMYFUNCTION("""COMPUTED_VALUE"""),"")</f>
        <v/>
      </c>
      <c r="E2482" s="17" t="str">
        <f>IFERROR(__xludf.DUMMYFUNCTION("""COMPUTED_VALUE"""),"")</f>
        <v/>
      </c>
      <c r="F2482" s="17" t="str">
        <f>IFERROR(__xludf.DUMMYFUNCTION("""COMPUTED_VALUE"""),"")</f>
        <v/>
      </c>
      <c r="G2482" s="17" t="str">
        <f>IFERROR(__xludf.DUMMYFUNCTION("""COMPUTED_VALUE"""),"")</f>
        <v/>
      </c>
      <c r="H2482" s="17" t="str">
        <f>IFERROR(__xludf.DUMMYFUNCTION("""COMPUTED_VALUE"""),"")</f>
        <v/>
      </c>
      <c r="I2482" s="17" t="str">
        <f>IFERROR(__xludf.DUMMYFUNCTION("""COMPUTED_VALUE"""),"")</f>
        <v/>
      </c>
      <c r="J2482" s="17" t="str">
        <f>IFERROR(__xludf.DUMMYFUNCTION("""COMPUTED_VALUE"""),"")</f>
        <v/>
      </c>
      <c r="K2482" s="17" t="str">
        <f>IFERROR(__xludf.DUMMYFUNCTION("""COMPUTED_VALUE"""),"")</f>
        <v/>
      </c>
      <c r="L2482" s="17" t="str">
        <f>IFERROR(__xludf.DUMMYFUNCTION("""COMPUTED_VALUE"""),"")</f>
        <v/>
      </c>
      <c r="M2482" s="17" t="str">
        <f>IFERROR(__xludf.DUMMYFUNCTION("""COMPUTED_VALUE"""),"")</f>
        <v/>
      </c>
      <c r="N2482" s="17" t="str">
        <f>IFERROR(__xludf.DUMMYFUNCTION("""COMPUTED_VALUE"""),"")</f>
        <v/>
      </c>
      <c r="O2482" s="17" t="str">
        <f>IFERROR(__xludf.DUMMYFUNCTION("""COMPUTED_VALUE"""),"")</f>
        <v/>
      </c>
      <c r="P2482" s="17" t="str">
        <f>IFERROR(__xludf.DUMMYFUNCTION("""COMPUTED_VALUE"""),"")</f>
        <v/>
      </c>
      <c r="Q2482" s="17" t="str">
        <f>IFERROR(__xludf.DUMMYFUNCTION("""COMPUTED_VALUE"""),"")</f>
        <v/>
      </c>
      <c r="R2482" s="17" t="str">
        <f>IFERROR(__xludf.DUMMYFUNCTION("""COMPUTED_VALUE"""),"")</f>
        <v/>
      </c>
    </row>
    <row r="2483">
      <c r="A2483" s="15">
        <f>IFERROR(__xludf.DUMMYFUNCTION("""COMPUTED_VALUE"""),45073.0)</f>
        <v>45073</v>
      </c>
      <c r="B2483" s="16" t="str">
        <f>IFERROR(__xludf.DUMMYFUNCTION("""COMPUTED_VALUE"""),"Envia")</f>
        <v>Envia</v>
      </c>
      <c r="C2483" s="15" t="str">
        <f>IFERROR(__xludf.DUMMYFUNCTION("""COMPUTED_VALUE"""),"BARRANQUILLA")</f>
        <v>BARRANQUILLA</v>
      </c>
      <c r="D2483" s="15" t="str">
        <f>IFERROR(__xludf.DUMMYFUNCTION("""COMPUTED_VALUE"""),"BOGOTÁ")</f>
        <v>BOGOTÁ</v>
      </c>
      <c r="E2483" s="15" t="str">
        <f>IFERROR(__xludf.DUMMYFUNCTION("""COMPUTED_VALUE"""),"Athenas")</f>
        <v>Athenas</v>
      </c>
      <c r="F2483" s="17" t="str">
        <f>IFERROR(__xludf.DUMMYFUNCTION("""COMPUTED_VALUE"""),"Cra 43 No. 99-06 Local 6 Piso 3 / Centro Comercial Miramar - Barranquilla / Dentro del Gimnasio Body Tech")</f>
        <v>Cra 43 No. 99-06 Local 6 Piso 3 / Centro Comercial Miramar - Barranquilla / Dentro del Gimnasio Body Tech</v>
      </c>
      <c r="G2483" s="15" t="str">
        <f>IFERROR(__xludf.DUMMYFUNCTION("""COMPUTED_VALUE"""),"Yasser Gutierrez")</f>
        <v>Yasser Gutierrez</v>
      </c>
      <c r="H2483" s="16">
        <f>IFERROR(__xludf.DUMMYFUNCTION("""COMPUTED_VALUE"""),11018.0)</f>
        <v>11018</v>
      </c>
      <c r="I2483" s="18" t="str">
        <f>IFERROR(__xludf.DUMMYFUNCTION("""COMPUTED_VALUE"""),"52.5")</f>
        <v>52.5</v>
      </c>
      <c r="J2483" s="18">
        <f>IFERROR(__xludf.DUMMYFUNCTION("""COMPUTED_VALUE"""),55.0)</f>
        <v>55</v>
      </c>
      <c r="K2483" s="18">
        <f>IFERROR(__xludf.DUMMYFUNCTION("""COMPUTED_VALUE"""),45.0)</f>
        <v>45</v>
      </c>
      <c r="L2483" s="17">
        <f>IFERROR(__xludf.DUMMYFUNCTION("""COMPUTED_VALUE"""),3.106158334E9)</f>
        <v>3106158334</v>
      </c>
      <c r="M2483" s="17" t="str">
        <f>IFERROR(__xludf.DUMMYFUNCTION("""COMPUTED_VALUE"""),"#REF!")</f>
        <v>#REF!</v>
      </c>
      <c r="N2483" s="17"/>
      <c r="O2483" s="17"/>
      <c r="P2483" s="17" t="b">
        <f>IFERROR(__xludf.DUMMYFUNCTION("""COMPUTED_VALUE"""),FALSE)</f>
        <v>0</v>
      </c>
      <c r="Q2483" s="20" t="str">
        <f>IFERROR(__xludf.DUMMYFUNCTION("""COMPUTED_VALUE"""),"")</f>
        <v/>
      </c>
      <c r="R2483" s="21" t="str">
        <f>IFERROR(__xludf.DUMMYFUNCTION("""COMPUTED_VALUE"""),"https://drive.google.com/file/d/10XZATL-Vel7i_91L7m6sZ8f7uCgIkzBt/view?usp=drivesdk")</f>
        <v>https://drive.google.com/file/d/10XZATL-Vel7i_91L7m6sZ8f7uCgIkzBt/view?usp=drivesdk</v>
      </c>
    </row>
    <row r="2484">
      <c r="A2484" s="15">
        <f>IFERROR(__xludf.DUMMYFUNCTION("""COMPUTED_VALUE"""),45073.0)</f>
        <v>45073</v>
      </c>
      <c r="B2484" s="16" t="str">
        <f>IFERROR(__xludf.DUMMYFUNCTION("""COMPUTED_VALUE"""),"Envia")</f>
        <v>Envia</v>
      </c>
      <c r="C2484" s="15" t="str">
        <f>IFERROR(__xludf.DUMMYFUNCTION("""COMPUTED_VALUE"""),"BARRANQUILLA")</f>
        <v>BARRANQUILLA</v>
      </c>
      <c r="D2484" s="15" t="str">
        <f>IFERROR(__xludf.DUMMYFUNCTION("""COMPUTED_VALUE"""),"BOGOTÁ")</f>
        <v>BOGOTÁ</v>
      </c>
      <c r="E2484" s="15" t="str">
        <f>IFERROR(__xludf.DUMMYFUNCTION("""COMPUTED_VALUE"""),"La Poderosa")</f>
        <v>La Poderosa</v>
      </c>
      <c r="F2484" s="17" t="str">
        <f>IFERROR(__xludf.DUMMYFUNCTION("""COMPUTED_VALUE"""),"Calle 93 #43-41 / Bodega / El tabor")</f>
        <v>Calle 93 #43-41 / Bodega / El tabor</v>
      </c>
      <c r="G2484" s="15" t="str">
        <f>IFERROR(__xludf.DUMMYFUNCTION("""COMPUTED_VALUE"""),"City Hub")</f>
        <v>City Hub</v>
      </c>
      <c r="H2484" s="16">
        <f>IFERROR(__xludf.DUMMYFUNCTION("""COMPUTED_VALUE"""),11016.0)</f>
        <v>11016</v>
      </c>
      <c r="I2484" s="18" t="str">
        <f>IFERROR(__xludf.DUMMYFUNCTION("""COMPUTED_VALUE"""),"52.5")</f>
        <v>52.5</v>
      </c>
      <c r="J2484" s="18">
        <f>IFERROR(__xludf.DUMMYFUNCTION("""COMPUTED_VALUE"""),55.0)</f>
        <v>55</v>
      </c>
      <c r="K2484" s="18">
        <f>IFERROR(__xludf.DUMMYFUNCTION("""COMPUTED_VALUE"""),45.0)</f>
        <v>45</v>
      </c>
      <c r="L2484" s="17">
        <f>IFERROR(__xludf.DUMMYFUNCTION("""COMPUTED_VALUE"""),3.235800359E9)</f>
        <v>3235800359</v>
      </c>
      <c r="M2484" s="17" t="str">
        <f>IFERROR(__xludf.DUMMYFUNCTION("""COMPUTED_VALUE"""),"#REF!")</f>
        <v>#REF!</v>
      </c>
      <c r="N2484" s="17"/>
      <c r="O2484" s="17"/>
      <c r="P2484" s="17" t="b">
        <f>IFERROR(__xludf.DUMMYFUNCTION("""COMPUTED_VALUE"""),FALSE)</f>
        <v>0</v>
      </c>
      <c r="Q2484" s="20" t="str">
        <f>IFERROR(__xludf.DUMMYFUNCTION("""COMPUTED_VALUE"""),"")</f>
        <v/>
      </c>
      <c r="R2484" s="21" t="str">
        <f>IFERROR(__xludf.DUMMYFUNCTION("""COMPUTED_VALUE"""),"https://drive.google.com/file/d/1yFf6ReFX7SiEFFzbJO7XDm3GIlXFNPMj/view?usp=drivesdk")</f>
        <v>https://drive.google.com/file/d/1yFf6ReFX7SiEFFzbJO7XDm3GIlXFNPMj/view?usp=drivesdk</v>
      </c>
    </row>
    <row r="2485">
      <c r="A2485" s="15">
        <f>IFERROR(__xludf.DUMMYFUNCTION("""COMPUTED_VALUE"""),45073.0)</f>
        <v>45073</v>
      </c>
      <c r="B2485" s="16" t="str">
        <f>IFERROR(__xludf.DUMMYFUNCTION("""COMPUTED_VALUE"""),"Envia")</f>
        <v>Envia</v>
      </c>
      <c r="C2485" s="15" t="str">
        <f>IFERROR(__xludf.DUMMYFUNCTION("""COMPUTED_VALUE"""),"MEDELLÍN")</f>
        <v>MEDELLÍN</v>
      </c>
      <c r="D2485" s="15" t="str">
        <f>IFERROR(__xludf.DUMMYFUNCTION("""COMPUTED_VALUE"""),"BOGOTÁ")</f>
        <v>BOGOTÁ</v>
      </c>
      <c r="E2485" s="15" t="str">
        <f>IFERROR(__xludf.DUMMYFUNCTION("""COMPUTED_VALUE"""),"Mochi")</f>
        <v>Mochi</v>
      </c>
      <c r="F2485" s="17" t="str">
        <f>IFERROR(__xludf.DUMMYFUNCTION("""COMPUTED_VALUE"""),"Centro comercial viva envigado  / Centro comercial viva envigado / Centro comercial viva envigado")</f>
        <v>Centro comercial viva envigado  / Centro comercial viva envigado / Centro comercial viva envigado</v>
      </c>
      <c r="G2485" s="15" t="str">
        <f>IFERROR(__xludf.DUMMYFUNCTION("""COMPUTED_VALUE"""),"Tania vellojin")</f>
        <v>Tania vellojin</v>
      </c>
      <c r="H2485" s="16">
        <f>IFERROR(__xludf.DUMMYFUNCTION("""COMPUTED_VALUE"""),11067.0)</f>
        <v>11067</v>
      </c>
      <c r="I2485" s="18">
        <f>IFERROR(__xludf.DUMMYFUNCTION("""COMPUTED_VALUE"""),100.0)</f>
        <v>100</v>
      </c>
      <c r="J2485" s="18">
        <f>IFERROR(__xludf.DUMMYFUNCTION("""COMPUTED_VALUE"""),200.0)</f>
        <v>200</v>
      </c>
      <c r="K2485" s="18">
        <f>IFERROR(__xludf.DUMMYFUNCTION("""COMPUTED_VALUE"""),200.0)</f>
        <v>200</v>
      </c>
      <c r="L2485" s="17">
        <f>IFERROR(__xludf.DUMMYFUNCTION("""COMPUTED_VALUE"""),3.115177645E9)</f>
        <v>3115177645</v>
      </c>
      <c r="M2485" s="17" t="str">
        <f>IFERROR(__xludf.DUMMYFUNCTION("""COMPUTED_VALUE"""),"#REF!")</f>
        <v>#REF!</v>
      </c>
      <c r="N2485" s="17"/>
      <c r="O2485" s="17"/>
      <c r="P2485" s="17" t="b">
        <f>IFERROR(__xludf.DUMMYFUNCTION("""COMPUTED_VALUE"""),FALSE)</f>
        <v>0</v>
      </c>
      <c r="Q2485" s="20" t="str">
        <f>IFERROR(__xludf.DUMMYFUNCTION("""COMPUTED_VALUE"""),"")</f>
        <v/>
      </c>
      <c r="R2485" s="21" t="str">
        <f>IFERROR(__xludf.DUMMYFUNCTION("""COMPUTED_VALUE"""),"https://drive.google.com/file/d/1U84QSMNxhkQsqprovnKmpQiPtpZL3ARk/view?usp=drivesdk")</f>
        <v>https://drive.google.com/file/d/1U84QSMNxhkQsqprovnKmpQiPtpZL3ARk/view?usp=drivesdk</v>
      </c>
    </row>
    <row r="2486">
      <c r="A2486" s="17" t="str">
        <f>IFERROR(__xludf.DUMMYFUNCTION("""COMPUTED_VALUE"""),"")</f>
        <v/>
      </c>
      <c r="B2486" s="17" t="str">
        <f>IFERROR(__xludf.DUMMYFUNCTION("""COMPUTED_VALUE"""),"")</f>
        <v/>
      </c>
      <c r="C2486" s="17" t="str">
        <f>IFERROR(__xludf.DUMMYFUNCTION("""COMPUTED_VALUE"""),"")</f>
        <v/>
      </c>
      <c r="D2486" s="17" t="str">
        <f>IFERROR(__xludf.DUMMYFUNCTION("""COMPUTED_VALUE"""),"")</f>
        <v/>
      </c>
      <c r="E2486" s="17" t="str">
        <f>IFERROR(__xludf.DUMMYFUNCTION("""COMPUTED_VALUE"""),"")</f>
        <v/>
      </c>
      <c r="F2486" s="17" t="str">
        <f>IFERROR(__xludf.DUMMYFUNCTION("""COMPUTED_VALUE"""),"")</f>
        <v/>
      </c>
      <c r="G2486" s="17" t="str">
        <f>IFERROR(__xludf.DUMMYFUNCTION("""COMPUTED_VALUE"""),"")</f>
        <v/>
      </c>
      <c r="H2486" s="17" t="str">
        <f>IFERROR(__xludf.DUMMYFUNCTION("""COMPUTED_VALUE"""),"")</f>
        <v/>
      </c>
      <c r="I2486" s="17" t="str">
        <f>IFERROR(__xludf.DUMMYFUNCTION("""COMPUTED_VALUE"""),"")</f>
        <v/>
      </c>
      <c r="J2486" s="17" t="str">
        <f>IFERROR(__xludf.DUMMYFUNCTION("""COMPUTED_VALUE"""),"")</f>
        <v/>
      </c>
      <c r="K2486" s="17" t="str">
        <f>IFERROR(__xludf.DUMMYFUNCTION("""COMPUTED_VALUE"""),"")</f>
        <v/>
      </c>
      <c r="L2486" s="17" t="str">
        <f>IFERROR(__xludf.DUMMYFUNCTION("""COMPUTED_VALUE"""),"")</f>
        <v/>
      </c>
      <c r="M2486" s="17" t="str">
        <f>IFERROR(__xludf.DUMMYFUNCTION("""COMPUTED_VALUE"""),"")</f>
        <v/>
      </c>
      <c r="N2486" s="17" t="str">
        <f>IFERROR(__xludf.DUMMYFUNCTION("""COMPUTED_VALUE"""),"")</f>
        <v/>
      </c>
      <c r="O2486" s="17" t="str">
        <f>IFERROR(__xludf.DUMMYFUNCTION("""COMPUTED_VALUE"""),"")</f>
        <v/>
      </c>
      <c r="P2486" s="17" t="str">
        <f>IFERROR(__xludf.DUMMYFUNCTION("""COMPUTED_VALUE"""),"")</f>
        <v/>
      </c>
      <c r="Q2486" s="17" t="str">
        <f>IFERROR(__xludf.DUMMYFUNCTION("""COMPUTED_VALUE"""),"")</f>
        <v/>
      </c>
      <c r="R2486" s="17" t="str">
        <f>IFERROR(__xludf.DUMMYFUNCTION("""COMPUTED_VALUE"""),"")</f>
        <v/>
      </c>
    </row>
    <row r="2487">
      <c r="A2487" s="15">
        <f>IFERROR(__xludf.DUMMYFUNCTION("""COMPUTED_VALUE"""),45076.0)</f>
        <v>45076</v>
      </c>
      <c r="B2487" s="16" t="str">
        <f>IFERROR(__xludf.DUMMYFUNCTION("""COMPUTED_VALUE"""),"Deivi Alejandro Quintero Corrales")</f>
        <v>Deivi Alejandro Quintero Corrales</v>
      </c>
      <c r="C2487" s="15" t="str">
        <f>IFERROR(__xludf.DUMMYFUNCTION("""COMPUTED_VALUE"""),"PEREIRA")</f>
        <v>PEREIRA</v>
      </c>
      <c r="D2487" s="15" t="str">
        <f>IFERROR(__xludf.DUMMYFUNCTION("""COMPUTED_VALUE"""),"BOGOTÁ")</f>
        <v>BOGOTÁ</v>
      </c>
      <c r="E2487" s="15" t="str">
        <f>IFERROR(__xludf.DUMMYFUNCTION("""COMPUTED_VALUE"""),"Evamazzita")</f>
        <v>Evamazzita</v>
      </c>
      <c r="F2487" s="17" t="str">
        <f>IFERROR(__xludf.DUMMYFUNCTION("""COMPUTED_VALUE"""),"CALLE 153 # 23 - 41  / MANZANA 1 CASA 9 SOL DE GALICIA / GALICIA")</f>
        <v>CALLE 153 # 23 - 41  / MANZANA 1 CASA 9 SOL DE GALICIA / GALICIA</v>
      </c>
      <c r="G2487" s="15" t="str">
        <f>IFERROR(__xludf.DUMMYFUNCTION("""COMPUTED_VALUE"""),"PAULA FORERO")</f>
        <v>PAULA FORERO</v>
      </c>
      <c r="H2487" s="16">
        <f>IFERROR(__xludf.DUMMYFUNCTION("""COMPUTED_VALUE"""),11098.0)</f>
        <v>11098</v>
      </c>
      <c r="I2487" s="18">
        <f>IFERROR(__xludf.DUMMYFUNCTION("""COMPUTED_VALUE"""),7.0)</f>
        <v>7</v>
      </c>
      <c r="J2487" s="18">
        <f>IFERROR(__xludf.DUMMYFUNCTION("""COMPUTED_VALUE"""),30.0)</f>
        <v>30</v>
      </c>
      <c r="K2487" s="18">
        <f>IFERROR(__xludf.DUMMYFUNCTION("""COMPUTED_VALUE"""),47.0)</f>
        <v>47</v>
      </c>
      <c r="L2487" s="17">
        <f>IFERROR(__xludf.DUMMYFUNCTION("""COMPUTED_VALUE"""),3.115760231E9)</f>
        <v>3115760231</v>
      </c>
      <c r="M2487" s="17" t="str">
        <f>IFERROR(__xludf.DUMMYFUNCTION("""COMPUTED_VALUE"""),"#REF!")</f>
        <v>#REF!</v>
      </c>
      <c r="N2487" s="17"/>
      <c r="O2487" s="17"/>
      <c r="P2487" s="17" t="b">
        <f>IFERROR(__xludf.DUMMYFUNCTION("""COMPUTED_VALUE"""),FALSE)</f>
        <v>0</v>
      </c>
      <c r="Q2487" s="20" t="str">
        <f>IFERROR(__xludf.DUMMYFUNCTION("""COMPUTED_VALUE"""),"")</f>
        <v/>
      </c>
      <c r="R2487" s="21" t="str">
        <f>IFERROR(__xludf.DUMMYFUNCTION("""COMPUTED_VALUE"""),"https://drive.google.com/file/d/1wlvcjNsUJPucOg79rMVgPQnia3IeCk-v/view?usp=drivesdk")</f>
        <v>https://drive.google.com/file/d/1wlvcjNsUJPucOg79rMVgPQnia3IeCk-v/view?usp=drivesdk</v>
      </c>
    </row>
    <row r="2488">
      <c r="A2488" s="15">
        <f>IFERROR(__xludf.DUMMYFUNCTION("""COMPUTED_VALUE"""),45076.0)</f>
        <v>45076</v>
      </c>
      <c r="B2488" s="16" t="str">
        <f>IFERROR(__xludf.DUMMYFUNCTION("""COMPUTED_VALUE"""),"Deivi Alejandro Quintero Corrales")</f>
        <v>Deivi Alejandro Quintero Corrales</v>
      </c>
      <c r="C2488" s="15" t="str">
        <f>IFERROR(__xludf.DUMMYFUNCTION("""COMPUTED_VALUE"""),"PEREIRA")</f>
        <v>PEREIRA</v>
      </c>
      <c r="D2488" s="15" t="str">
        <f>IFERROR(__xludf.DUMMYFUNCTION("""COMPUTED_VALUE"""),"BOGOTÁ")</f>
        <v>BOGOTÁ</v>
      </c>
      <c r="E2488" s="15" t="str">
        <f>IFERROR(__xludf.DUMMYFUNCTION("""COMPUTED_VALUE"""),"Lunchy Kids")</f>
        <v>Lunchy Kids</v>
      </c>
      <c r="F2488" s="17" t="str">
        <f>IFERROR(__xludf.DUMMYFUNCTION("""COMPUTED_VALUE"""),"Dg 25f #18 t - 93   / Mz 1 Cs 12 - Guaduales de Milan /  Dosquebradas, Risaralda")</f>
        <v>Dg 25f #18 t - 93   / Mz 1 Cs 12 - Guaduales de Milan /  Dosquebradas, Risaralda</v>
      </c>
      <c r="G2488" s="15" t="str">
        <f>IFERROR(__xludf.DUMMYFUNCTION("""COMPUTED_VALUE"""),"Manuela Franco")</f>
        <v>Manuela Franco</v>
      </c>
      <c r="H2488" s="16">
        <f>IFERROR(__xludf.DUMMYFUNCTION("""COMPUTED_VALUE"""),11069.0)</f>
        <v>11069</v>
      </c>
      <c r="I2488" s="18">
        <f>IFERROR(__xludf.DUMMYFUNCTION("""COMPUTED_VALUE"""),17.0)</f>
        <v>17</v>
      </c>
      <c r="J2488" s="18">
        <f>IFERROR(__xludf.DUMMYFUNCTION("""COMPUTED_VALUE"""),24.0)</f>
        <v>24</v>
      </c>
      <c r="K2488" s="18">
        <f>IFERROR(__xludf.DUMMYFUNCTION("""COMPUTED_VALUE"""),8.0)</f>
        <v>8</v>
      </c>
      <c r="L2488" s="17">
        <f>IFERROR(__xludf.DUMMYFUNCTION("""COMPUTED_VALUE"""),3.148120157E9)</f>
        <v>3148120157</v>
      </c>
      <c r="M2488" s="17" t="str">
        <f>IFERROR(__xludf.DUMMYFUNCTION("""COMPUTED_VALUE"""),"#REF!")</f>
        <v>#REF!</v>
      </c>
      <c r="N2488" s="17"/>
      <c r="O2488" s="17"/>
      <c r="P2488" s="17" t="b">
        <f>IFERROR(__xludf.DUMMYFUNCTION("""COMPUTED_VALUE"""),FALSE)</f>
        <v>0</v>
      </c>
      <c r="Q2488" s="20" t="str">
        <f>IFERROR(__xludf.DUMMYFUNCTION("""COMPUTED_VALUE"""),"")</f>
        <v/>
      </c>
      <c r="R2488" s="21" t="str">
        <f>IFERROR(__xludf.DUMMYFUNCTION("""COMPUTED_VALUE"""),"https://drive.google.com/file/d/1HEKLMjHHy_Fdnza8IvCTRl5U8-lfA3Wv/view?usp=drivesdk")</f>
        <v>https://drive.google.com/file/d/1HEKLMjHHy_Fdnza8IvCTRl5U8-lfA3Wv/view?usp=drivesdk</v>
      </c>
    </row>
    <row r="2489">
      <c r="A2489" s="15">
        <f>IFERROR(__xludf.DUMMYFUNCTION("""COMPUTED_VALUE"""),45076.0)</f>
        <v>45076</v>
      </c>
      <c r="B2489" s="16" t="str">
        <f>IFERROR(__xludf.DUMMYFUNCTION("""COMPUTED_VALUE"""),"Deivi Alejandro Quintero Corrales")</f>
        <v>Deivi Alejandro Quintero Corrales</v>
      </c>
      <c r="C2489" s="15" t="str">
        <f>IFERROR(__xludf.DUMMYFUNCTION("""COMPUTED_VALUE"""),"PEREIRA")</f>
        <v>PEREIRA</v>
      </c>
      <c r="D2489" s="15" t="str">
        <f>IFERROR(__xludf.DUMMYFUNCTION("""COMPUTED_VALUE"""),"BOGOTÁ")</f>
        <v>BOGOTÁ</v>
      </c>
      <c r="E2489" s="15" t="str">
        <f>IFERROR(__xludf.DUMMYFUNCTION("""COMPUTED_VALUE"""),"Pan de Waffle")</f>
        <v>Pan de Waffle</v>
      </c>
      <c r="F2489" s="17" t="str">
        <f>IFERROR(__xludf.DUMMYFUNCTION("""COMPUTED_VALUE"""),"Calle 14 # 14 - 15 San José sur circunvalar / Calle 14 # 14 - 15 San José sur circunvalar / Calle 14 # 14 - 15 San José sur circunvalar")</f>
        <v>Calle 14 # 14 - 15 San José sur circunvalar / Calle 14 # 14 - 15 San José sur circunvalar / Calle 14 # 14 - 15 San José sur circunvalar</v>
      </c>
      <c r="G2489" s="15" t="str">
        <f>IFERROR(__xludf.DUMMYFUNCTION("""COMPUTED_VALUE"""),"MAJANA FIT")</f>
        <v>MAJANA FIT</v>
      </c>
      <c r="H2489" s="16">
        <f>IFERROR(__xludf.DUMMYFUNCTION("""COMPUTED_VALUE"""),11073.0)</f>
        <v>11073</v>
      </c>
      <c r="I2489" s="18">
        <f>IFERROR(__xludf.DUMMYFUNCTION("""COMPUTED_VALUE"""),30.0)</f>
        <v>30</v>
      </c>
      <c r="J2489" s="18">
        <f>IFERROR(__xludf.DUMMYFUNCTION("""COMPUTED_VALUE"""),40.0)</f>
        <v>40</v>
      </c>
      <c r="K2489" s="18">
        <f>IFERROR(__xludf.DUMMYFUNCTION("""COMPUTED_VALUE"""),30.0)</f>
        <v>30</v>
      </c>
      <c r="L2489" s="17">
        <f>IFERROR(__xludf.DUMMYFUNCTION("""COMPUTED_VALUE"""),3.148112262E9)</f>
        <v>3148112262</v>
      </c>
      <c r="M2489" s="17" t="str">
        <f>IFERROR(__xludf.DUMMYFUNCTION("""COMPUTED_VALUE"""),"#REF!")</f>
        <v>#REF!</v>
      </c>
      <c r="N2489" s="17"/>
      <c r="O2489" s="17"/>
      <c r="P2489" s="17" t="b">
        <f>IFERROR(__xludf.DUMMYFUNCTION("""COMPUTED_VALUE"""),FALSE)</f>
        <v>0</v>
      </c>
      <c r="Q2489" s="20" t="str">
        <f>IFERROR(__xludf.DUMMYFUNCTION("""COMPUTED_VALUE"""),"")</f>
        <v/>
      </c>
      <c r="R2489" s="21" t="str">
        <f>IFERROR(__xludf.DUMMYFUNCTION("""COMPUTED_VALUE"""),"https://drive.google.com/file/d/1GthqHBVqxOAZDUq9GkGN7ln3efoK8QUE/view?usp=drivesdk")</f>
        <v>https://drive.google.com/file/d/1GthqHBVqxOAZDUq9GkGN7ln3efoK8QUE/view?usp=drivesdk</v>
      </c>
    </row>
    <row r="2490">
      <c r="A2490" s="15">
        <f>IFERROR(__xludf.DUMMYFUNCTION("""COMPUTED_VALUE"""),45076.0)</f>
        <v>45076</v>
      </c>
      <c r="B2490" s="16" t="str">
        <f>IFERROR(__xludf.DUMMYFUNCTION("""COMPUTED_VALUE"""),"Deivi Alejandro Quintero Corrales")</f>
        <v>Deivi Alejandro Quintero Corrales</v>
      </c>
      <c r="C2490" s="15" t="str">
        <f>IFERROR(__xludf.DUMMYFUNCTION("""COMPUTED_VALUE"""),"PEREIRA")</f>
        <v>PEREIRA</v>
      </c>
      <c r="D2490" s="15" t="str">
        <f>IFERROR(__xludf.DUMMYFUNCTION("""COMPUTED_VALUE"""),"BOGOTÁ")</f>
        <v>BOGOTÁ</v>
      </c>
      <c r="E2490" s="15" t="str">
        <f>IFERROR(__xludf.DUMMYFUNCTION("""COMPUTED_VALUE"""),"Pan de Waffle")</f>
        <v>Pan de Waffle</v>
      </c>
      <c r="F2490" s="17" t="str">
        <f>IFERROR(__xludf.DUMMYFUNCTION("""COMPUTED_VALUE"""),"Carrera 14 # 12 - 55 / Carrera 14 # 12 - 55 / Carrera 14 # 12 - 55")</f>
        <v>Carrera 14 # 12 - 55 / Carrera 14 # 12 - 55 / Carrera 14 # 12 - 55</v>
      </c>
      <c r="G2490" s="15" t="str">
        <f>IFERROR(__xludf.DUMMYFUNCTION("""COMPUTED_VALUE"""),"VITA ECO MARKET PEREIRA")</f>
        <v>VITA ECO MARKET PEREIRA</v>
      </c>
      <c r="H2490" s="16">
        <f>IFERROR(__xludf.DUMMYFUNCTION("""COMPUTED_VALUE"""),11076.0)</f>
        <v>11076</v>
      </c>
      <c r="I2490" s="18">
        <f>IFERROR(__xludf.DUMMYFUNCTION("""COMPUTED_VALUE"""),40.0)</f>
        <v>40</v>
      </c>
      <c r="J2490" s="18">
        <f>IFERROR(__xludf.DUMMYFUNCTION("""COMPUTED_VALUE"""),40.0)</f>
        <v>40</v>
      </c>
      <c r="K2490" s="18">
        <f>IFERROR(__xludf.DUMMYFUNCTION("""COMPUTED_VALUE"""),30.0)</f>
        <v>30</v>
      </c>
      <c r="L2490" s="17">
        <f>IFERROR(__xludf.DUMMYFUNCTION("""COMPUTED_VALUE"""),3.215501948E9)</f>
        <v>3215501948</v>
      </c>
      <c r="M2490" s="17" t="str">
        <f>IFERROR(__xludf.DUMMYFUNCTION("""COMPUTED_VALUE"""),"#REF!")</f>
        <v>#REF!</v>
      </c>
      <c r="N2490" s="17"/>
      <c r="O2490" s="17"/>
      <c r="P2490" s="17" t="b">
        <f>IFERROR(__xludf.DUMMYFUNCTION("""COMPUTED_VALUE"""),FALSE)</f>
        <v>0</v>
      </c>
      <c r="Q2490" s="20" t="str">
        <f>IFERROR(__xludf.DUMMYFUNCTION("""COMPUTED_VALUE"""),"")</f>
        <v/>
      </c>
      <c r="R2490" s="21" t="str">
        <f>IFERROR(__xludf.DUMMYFUNCTION("""COMPUTED_VALUE"""),"https://drive.google.com/file/d/14uNrZnI9nIsxrFRSCql0UWDf4yjvSXki/view?usp=drivesdk")</f>
        <v>https://drive.google.com/file/d/14uNrZnI9nIsxrFRSCql0UWDf4yjvSXki/view?usp=drivesdk</v>
      </c>
    </row>
    <row r="2491">
      <c r="A2491" s="15">
        <f>IFERROR(__xludf.DUMMYFUNCTION("""COMPUTED_VALUE"""),45076.0)</f>
        <v>45076</v>
      </c>
      <c r="B2491" s="16" t="str">
        <f>IFERROR(__xludf.DUMMYFUNCTION("""COMPUTED_VALUE"""),"Deivi Alejandro Quintero Corrales")</f>
        <v>Deivi Alejandro Quintero Corrales</v>
      </c>
      <c r="C2491" s="15" t="str">
        <f>IFERROR(__xludf.DUMMYFUNCTION("""COMPUTED_VALUE"""),"PEREIRA")</f>
        <v>PEREIRA</v>
      </c>
      <c r="D2491" s="15" t="str">
        <f>IFERROR(__xludf.DUMMYFUNCTION("""COMPUTED_VALUE"""),"MEDELLÍN")</f>
        <v>MEDELLÍN</v>
      </c>
      <c r="E2491" s="15" t="str">
        <f>IFERROR(__xludf.DUMMYFUNCTION("""COMPUTED_VALUE"""),"AREPAS LA MARY")</f>
        <v>AREPAS LA MARY</v>
      </c>
      <c r="F2491" s="17" t="str">
        <f>IFERROR(__xludf.DUMMYFUNCTION("""COMPUTED_VALUE"""),"CALLE 14 # 14-15")</f>
        <v>CALLE 14 # 14-15</v>
      </c>
      <c r="G2491" s="15" t="str">
        <f>IFERROR(__xludf.DUMMYFUNCTION("""COMPUTED_VALUE"""),"MAJANA FIT TIENDA 1")</f>
        <v>MAJANA FIT TIENDA 1</v>
      </c>
      <c r="H2491" s="16">
        <f>IFERROR(__xludf.DUMMYFUNCTION("""COMPUTED_VALUE"""),11118.0)</f>
        <v>11118</v>
      </c>
      <c r="I2491" s="18">
        <f>IFERROR(__xludf.DUMMYFUNCTION("""COMPUTED_VALUE"""),89.0)</f>
        <v>89</v>
      </c>
      <c r="J2491" s="18">
        <f>IFERROR(__xludf.DUMMYFUNCTION("""COMPUTED_VALUE"""),1.0)</f>
        <v>1</v>
      </c>
      <c r="K2491" s="18">
        <f>IFERROR(__xludf.DUMMYFUNCTION("""COMPUTED_VALUE"""),10.0)</f>
        <v>10</v>
      </c>
      <c r="L2491" s="17" t="str">
        <f>IFERROR(__xludf.DUMMYFUNCTION("""COMPUTED_VALUE"""),"311 6123447")</f>
        <v>311 6123447</v>
      </c>
      <c r="M2491" s="17" t="str">
        <f>IFERROR(__xludf.DUMMYFUNCTION("""COMPUTED_VALUE"""),"#REF!")</f>
        <v>#REF!</v>
      </c>
      <c r="N2491" s="17"/>
      <c r="O2491" s="17"/>
      <c r="P2491" s="17" t="b">
        <f>IFERROR(__xludf.DUMMYFUNCTION("""COMPUTED_VALUE"""),FALSE)</f>
        <v>0</v>
      </c>
      <c r="Q2491" s="20" t="str">
        <f>IFERROR(__xludf.DUMMYFUNCTION("""COMPUTED_VALUE"""),"")</f>
        <v/>
      </c>
      <c r="R2491" s="21" t="str">
        <f>IFERROR(__xludf.DUMMYFUNCTION("""COMPUTED_VALUE"""),"https://drive.google.com/file/d/1nG16_TA-U5VDlMVrY8U-M0R-qlq0_rx7/view?usp=drivesdk")</f>
        <v>https://drive.google.com/file/d/1nG16_TA-U5VDlMVrY8U-M0R-qlq0_rx7/view?usp=drivesdk</v>
      </c>
    </row>
    <row r="2492">
      <c r="A2492" s="15">
        <f>IFERROR(__xludf.DUMMYFUNCTION("""COMPUTED_VALUE"""),45076.0)</f>
        <v>45076</v>
      </c>
      <c r="B2492" s="16" t="str">
        <f>IFERROR(__xludf.DUMMYFUNCTION("""COMPUTED_VALUE"""),"Deivi Alejandro Quintero Corrales")</f>
        <v>Deivi Alejandro Quintero Corrales</v>
      </c>
      <c r="C2492" s="15" t="str">
        <f>IFERROR(__xludf.DUMMYFUNCTION("""COMPUTED_VALUE"""),"PEREIRA")</f>
        <v>PEREIRA</v>
      </c>
      <c r="D2492" s="15" t="str">
        <f>IFERROR(__xludf.DUMMYFUNCTION("""COMPUTED_VALUE"""),"MEDELLÍN")</f>
        <v>MEDELLÍN</v>
      </c>
      <c r="E2492" s="15" t="str">
        <f>IFERROR(__xludf.DUMMYFUNCTION("""COMPUTED_VALUE"""),"AREPAS LA MARY")</f>
        <v>AREPAS LA MARY</v>
      </c>
      <c r="F2492" s="17" t="str">
        <f>IFERROR(__xludf.DUMMYFUNCTION("""COMPUTED_VALUE"""),"kilometro 4 via cerritos entrada 1 / unidad piedras blancas apto 101 torre 1")</f>
        <v>kilometro 4 via cerritos entrada 1 / unidad piedras blancas apto 101 torre 1</v>
      </c>
      <c r="G2492" s="15" t="str">
        <f>IFERROR(__xludf.DUMMYFUNCTION("""COMPUTED_VALUE"""),"esperanza castaño")</f>
        <v>esperanza castaño</v>
      </c>
      <c r="H2492" s="16">
        <f>IFERROR(__xludf.DUMMYFUNCTION("""COMPUTED_VALUE"""),11119.0)</f>
        <v>11119</v>
      </c>
      <c r="I2492" s="18">
        <f>IFERROR(__xludf.DUMMYFUNCTION("""COMPUTED_VALUE"""),89.0)</f>
        <v>89</v>
      </c>
      <c r="J2492" s="18">
        <f>IFERROR(__xludf.DUMMYFUNCTION("""COMPUTED_VALUE"""),1.0)</f>
        <v>1</v>
      </c>
      <c r="K2492" s="18">
        <f>IFERROR(__xludf.DUMMYFUNCTION("""COMPUTED_VALUE"""),10.0)</f>
        <v>10</v>
      </c>
      <c r="L2492" s="17">
        <f>IFERROR(__xludf.DUMMYFUNCTION("""COMPUTED_VALUE"""),3.146452424E9)</f>
        <v>3146452424</v>
      </c>
      <c r="M2492" s="17" t="str">
        <f>IFERROR(__xludf.DUMMYFUNCTION("""COMPUTED_VALUE"""),"#REF!")</f>
        <v>#REF!</v>
      </c>
      <c r="N2492" s="17"/>
      <c r="O2492" s="17"/>
      <c r="P2492" s="17" t="b">
        <f>IFERROR(__xludf.DUMMYFUNCTION("""COMPUTED_VALUE"""),FALSE)</f>
        <v>0</v>
      </c>
      <c r="Q2492" s="20" t="str">
        <f>IFERROR(__xludf.DUMMYFUNCTION("""COMPUTED_VALUE"""),"")</f>
        <v/>
      </c>
      <c r="R2492" s="21" t="str">
        <f>IFERROR(__xludf.DUMMYFUNCTION("""COMPUTED_VALUE"""),"https://drive.google.com/file/d/1qfW_y7EWmFGAYPazs3E4x-iJLdy8Zpet/view?usp=drivesdk")</f>
        <v>https://drive.google.com/file/d/1qfW_y7EWmFGAYPazs3E4x-iJLdy8Zpet/view?usp=drivesdk</v>
      </c>
    </row>
    <row r="2493">
      <c r="A2493" s="15">
        <f>IFERROR(__xludf.DUMMYFUNCTION("""COMPUTED_VALUE"""),45076.0)</f>
        <v>45076</v>
      </c>
      <c r="B2493" s="16" t="str">
        <f>IFERROR(__xludf.DUMMYFUNCTION("""COMPUTED_VALUE"""),"Deivi Alejandro Quintero Corrales")</f>
        <v>Deivi Alejandro Quintero Corrales</v>
      </c>
      <c r="C2493" s="15" t="str">
        <f>IFERROR(__xludf.DUMMYFUNCTION("""COMPUTED_VALUE"""),"PEREIRA")</f>
        <v>PEREIRA</v>
      </c>
      <c r="D2493" s="15" t="str">
        <f>IFERROR(__xludf.DUMMYFUNCTION("""COMPUTED_VALUE"""),"MEDELLÍN")</f>
        <v>MEDELLÍN</v>
      </c>
      <c r="E2493" s="15" t="str">
        <f>IFERROR(__xludf.DUMMYFUNCTION("""COMPUTED_VALUE"""),"Baby Chef")</f>
        <v>Baby Chef</v>
      </c>
      <c r="F2493" s="17" t="str">
        <f>IFERROR(__xludf.DUMMYFUNCTION("""COMPUTED_VALUE"""),"Av Sur # 36 A 87 Conjunto Palma Apto 606 / Av Sur # 36 A 87 Conjunto Palma Apto 606 / Av Sur # 36 A 87 Conjunto Palma Apto 606")</f>
        <v>Av Sur # 36 A 87 Conjunto Palma Apto 606 / Av Sur # 36 A 87 Conjunto Palma Apto 606 / Av Sur # 36 A 87 Conjunto Palma Apto 606</v>
      </c>
      <c r="G2493" s="15" t="str">
        <f>IFERROR(__xludf.DUMMYFUNCTION("""COMPUTED_VALUE"""),"Jessica Alzate Palacio")</f>
        <v>Jessica Alzate Palacio</v>
      </c>
      <c r="H2493" s="16">
        <f>IFERROR(__xludf.DUMMYFUNCTION("""COMPUTED_VALUE"""),11141.0)</f>
        <v>11141</v>
      </c>
      <c r="I2493" s="18">
        <f>IFERROR(__xludf.DUMMYFUNCTION("""COMPUTED_VALUE"""),8.0)</f>
        <v>8</v>
      </c>
      <c r="J2493" s="18">
        <f>IFERROR(__xludf.DUMMYFUNCTION("""COMPUTED_VALUE"""),16.0)</f>
        <v>16</v>
      </c>
      <c r="K2493" s="18">
        <f>IFERROR(__xludf.DUMMYFUNCTION("""COMPUTED_VALUE"""),20.0)</f>
        <v>20</v>
      </c>
      <c r="L2493" s="17">
        <f>IFERROR(__xludf.DUMMYFUNCTION("""COMPUTED_VALUE"""),3.113924059E9)</f>
        <v>3113924059</v>
      </c>
      <c r="M2493" s="17" t="str">
        <f>IFERROR(__xludf.DUMMYFUNCTION("""COMPUTED_VALUE"""),"#REF!")</f>
        <v>#REF!</v>
      </c>
      <c r="N2493" s="17"/>
      <c r="O2493" s="17"/>
      <c r="P2493" s="17" t="b">
        <f>IFERROR(__xludf.DUMMYFUNCTION("""COMPUTED_VALUE"""),FALSE)</f>
        <v>0</v>
      </c>
      <c r="Q2493" s="20" t="str">
        <f>IFERROR(__xludf.DUMMYFUNCTION("""COMPUTED_VALUE"""),"")</f>
        <v/>
      </c>
      <c r="R2493" s="21" t="str">
        <f>IFERROR(__xludf.DUMMYFUNCTION("""COMPUTED_VALUE"""),"https://drive.google.com/file/d/1fyfQTx-36hsC_AqH0F0jt7wOww9bRZ5_/view?usp=drivesdk")</f>
        <v>https://drive.google.com/file/d/1fyfQTx-36hsC_AqH0F0jt7wOww9bRZ5_/view?usp=drivesdk</v>
      </c>
    </row>
    <row r="2494">
      <c r="A2494" s="15">
        <f>IFERROR(__xludf.DUMMYFUNCTION("""COMPUTED_VALUE"""),45076.0)</f>
        <v>45076</v>
      </c>
      <c r="B2494" s="16" t="str">
        <f>IFERROR(__xludf.DUMMYFUNCTION("""COMPUTED_VALUE"""),"Deivi Alejandro Quintero Corrales")</f>
        <v>Deivi Alejandro Quintero Corrales</v>
      </c>
      <c r="C2494" s="15" t="str">
        <f>IFERROR(__xludf.DUMMYFUNCTION("""COMPUTED_VALUE"""),"PEREIRA")</f>
        <v>PEREIRA</v>
      </c>
      <c r="D2494" s="15" t="str">
        <f>IFERROR(__xludf.DUMMYFUNCTION("""COMPUTED_VALUE"""),"MEDELLÍN")</f>
        <v>MEDELLÍN</v>
      </c>
      <c r="E2494" s="15" t="str">
        <f>IFERROR(__xludf.DUMMYFUNCTION("""COMPUTED_VALUE"""),"Baby Chef")</f>
        <v>Baby Chef</v>
      </c>
      <c r="F2494" s="17" t="str">
        <f>IFERROR(__xludf.DUMMYFUNCTION("""COMPUTED_VALUE"""),"Avenida sur 84-15 conj coral plaza casa 24 / Avenida sur 84-15 conj coral plaza casa 24 / Avenida sur 84-15 conj coral plaza casa 24")</f>
        <v>Avenida sur 84-15 conj coral plaza casa 24 / Avenida sur 84-15 conj coral plaza casa 24 / Avenida sur 84-15 conj coral plaza casa 24</v>
      </c>
      <c r="G2494" s="15" t="str">
        <f>IFERROR(__xludf.DUMMYFUNCTION("""COMPUTED_VALUE"""),"Paula Araujo")</f>
        <v>Paula Araujo</v>
      </c>
      <c r="H2494" s="16">
        <f>IFERROR(__xludf.DUMMYFUNCTION("""COMPUTED_VALUE"""),11140.0)</f>
        <v>11140</v>
      </c>
      <c r="I2494" s="18">
        <f>IFERROR(__xludf.DUMMYFUNCTION("""COMPUTED_VALUE"""),8.0)</f>
        <v>8</v>
      </c>
      <c r="J2494" s="18">
        <f>IFERROR(__xludf.DUMMYFUNCTION("""COMPUTED_VALUE"""),16.0)</f>
        <v>16</v>
      </c>
      <c r="K2494" s="18">
        <f>IFERROR(__xludf.DUMMYFUNCTION("""COMPUTED_VALUE"""),20.0)</f>
        <v>20</v>
      </c>
      <c r="L2494" s="17">
        <f>IFERROR(__xludf.DUMMYFUNCTION("""COMPUTED_VALUE"""),3.014310805E9)</f>
        <v>3014310805</v>
      </c>
      <c r="M2494" s="17" t="str">
        <f>IFERROR(__xludf.DUMMYFUNCTION("""COMPUTED_VALUE"""),"#REF!")</f>
        <v>#REF!</v>
      </c>
      <c r="N2494" s="17"/>
      <c r="O2494" s="17"/>
      <c r="P2494" s="17" t="b">
        <f>IFERROR(__xludf.DUMMYFUNCTION("""COMPUTED_VALUE"""),FALSE)</f>
        <v>0</v>
      </c>
      <c r="Q2494" s="20" t="str">
        <f>IFERROR(__xludf.DUMMYFUNCTION("""COMPUTED_VALUE"""),"")</f>
        <v/>
      </c>
      <c r="R2494" s="21" t="str">
        <f>IFERROR(__xludf.DUMMYFUNCTION("""COMPUTED_VALUE"""),"https://drive.google.com/file/d/16DvK4JxKSPxGoZAkiksZC2UZfmRE2HRP/view?usp=drivesdk")</f>
        <v>https://drive.google.com/file/d/16DvK4JxKSPxGoZAkiksZC2UZfmRE2HRP/view?usp=drivesdk</v>
      </c>
    </row>
    <row r="2495">
      <c r="A2495" s="15">
        <f>IFERROR(__xludf.DUMMYFUNCTION("""COMPUTED_VALUE"""),45076.0)</f>
        <v>45076</v>
      </c>
      <c r="B2495" s="16" t="str">
        <f>IFERROR(__xludf.DUMMYFUNCTION("""COMPUTED_VALUE"""),"Deivi Alejandro Quintero Corrales")</f>
        <v>Deivi Alejandro Quintero Corrales</v>
      </c>
      <c r="C2495" s="15" t="str">
        <f>IFERROR(__xludf.DUMMYFUNCTION("""COMPUTED_VALUE"""),"PEREIRA")</f>
        <v>PEREIRA</v>
      </c>
      <c r="D2495" s="15" t="str">
        <f>IFERROR(__xludf.DUMMYFUNCTION("""COMPUTED_VALUE"""),"MEDELLÍN")</f>
        <v>MEDELLÍN</v>
      </c>
      <c r="E2495" s="15" t="str">
        <f>IFERROR(__xludf.DUMMYFUNCTION("""COMPUTED_VALUE"""),"Baby Chef")</f>
        <v>Baby Chef</v>
      </c>
      <c r="F2495" s="17" t="str">
        <f>IFERROR(__xludf.DUMMYFUNCTION("""COMPUTED_VALUE"""),"Calle 12 #33-55 Ceiba grande de canaan Torre 2 apto 503 A Barrio Alamos / Calle 12 #33-55 Ceiba grande de canaan Torre 2 apto 503 A Barrio Alamos / Calle 12 #33-55 Ceiba grande de canaan Torre 2 apto 503 A Barrio Alamos")</f>
        <v>Calle 12 #33-55 Ceiba grande de canaan Torre 2 apto 503 A Barrio Alamos / Calle 12 #33-55 Ceiba grande de canaan Torre 2 apto 503 A Barrio Alamos / Calle 12 #33-55 Ceiba grande de canaan Torre 2 apto 503 A Barrio Alamos</v>
      </c>
      <c r="G2495" s="15" t="str">
        <f>IFERROR(__xludf.DUMMYFUNCTION("""COMPUTED_VALUE"""),"Maria Alejandra Cobo")</f>
        <v>Maria Alejandra Cobo</v>
      </c>
      <c r="H2495" s="16">
        <f>IFERROR(__xludf.DUMMYFUNCTION("""COMPUTED_VALUE"""),11139.0)</f>
        <v>11139</v>
      </c>
      <c r="I2495" s="18">
        <f>IFERROR(__xludf.DUMMYFUNCTION("""COMPUTED_VALUE"""),8.0)</f>
        <v>8</v>
      </c>
      <c r="J2495" s="18">
        <f>IFERROR(__xludf.DUMMYFUNCTION("""COMPUTED_VALUE"""),16.0)</f>
        <v>16</v>
      </c>
      <c r="K2495" s="18">
        <f>IFERROR(__xludf.DUMMYFUNCTION("""COMPUTED_VALUE"""),20.0)</f>
        <v>20</v>
      </c>
      <c r="L2495" s="17">
        <f>IFERROR(__xludf.DUMMYFUNCTION("""COMPUTED_VALUE"""),3.206471502E9)</f>
        <v>3206471502</v>
      </c>
      <c r="M2495" s="17" t="str">
        <f>IFERROR(__xludf.DUMMYFUNCTION("""COMPUTED_VALUE"""),"#REF!")</f>
        <v>#REF!</v>
      </c>
      <c r="N2495" s="17"/>
      <c r="O2495" s="17"/>
      <c r="P2495" s="17" t="b">
        <f>IFERROR(__xludf.DUMMYFUNCTION("""COMPUTED_VALUE"""),FALSE)</f>
        <v>0</v>
      </c>
      <c r="Q2495" s="20" t="str">
        <f>IFERROR(__xludf.DUMMYFUNCTION("""COMPUTED_VALUE"""),"")</f>
        <v/>
      </c>
      <c r="R2495" s="21" t="str">
        <f>IFERROR(__xludf.DUMMYFUNCTION("""COMPUTED_VALUE"""),"https://drive.google.com/file/d/1IOZQpBwPW74pO0XcvnWOHKgeyoNGOTKj/view?usp=drivesdk")</f>
        <v>https://drive.google.com/file/d/1IOZQpBwPW74pO0XcvnWOHKgeyoNGOTKj/view?usp=drivesdk</v>
      </c>
    </row>
    <row r="2496">
      <c r="A2496" s="17" t="str">
        <f>IFERROR(__xludf.DUMMYFUNCTION("""COMPUTED_VALUE"""),"")</f>
        <v/>
      </c>
      <c r="B2496" s="17" t="str">
        <f>IFERROR(__xludf.DUMMYFUNCTION("""COMPUTED_VALUE"""),"")</f>
        <v/>
      </c>
      <c r="C2496" s="17" t="str">
        <f>IFERROR(__xludf.DUMMYFUNCTION("""COMPUTED_VALUE"""),"")</f>
        <v/>
      </c>
      <c r="D2496" s="17" t="str">
        <f>IFERROR(__xludf.DUMMYFUNCTION("""COMPUTED_VALUE"""),"")</f>
        <v/>
      </c>
      <c r="E2496" s="17" t="str">
        <f>IFERROR(__xludf.DUMMYFUNCTION("""COMPUTED_VALUE"""),"")</f>
        <v/>
      </c>
      <c r="F2496" s="17" t="str">
        <f>IFERROR(__xludf.DUMMYFUNCTION("""COMPUTED_VALUE"""),"")</f>
        <v/>
      </c>
      <c r="G2496" s="17" t="str">
        <f>IFERROR(__xludf.DUMMYFUNCTION("""COMPUTED_VALUE"""),"")</f>
        <v/>
      </c>
      <c r="H2496" s="17" t="str">
        <f>IFERROR(__xludf.DUMMYFUNCTION("""COMPUTED_VALUE"""),"")</f>
        <v/>
      </c>
      <c r="I2496" s="17" t="str">
        <f>IFERROR(__xludf.DUMMYFUNCTION("""COMPUTED_VALUE"""),"")</f>
        <v/>
      </c>
      <c r="J2496" s="17" t="str">
        <f>IFERROR(__xludf.DUMMYFUNCTION("""COMPUTED_VALUE"""),"")</f>
        <v/>
      </c>
      <c r="K2496" s="17" t="str">
        <f>IFERROR(__xludf.DUMMYFUNCTION("""COMPUTED_VALUE"""),"")</f>
        <v/>
      </c>
      <c r="L2496" s="17" t="str">
        <f>IFERROR(__xludf.DUMMYFUNCTION("""COMPUTED_VALUE"""),"")</f>
        <v/>
      </c>
      <c r="M2496" s="17" t="str">
        <f>IFERROR(__xludf.DUMMYFUNCTION("""COMPUTED_VALUE"""),"")</f>
        <v/>
      </c>
      <c r="N2496" s="17" t="str">
        <f>IFERROR(__xludf.DUMMYFUNCTION("""COMPUTED_VALUE"""),"")</f>
        <v/>
      </c>
      <c r="O2496" s="17" t="str">
        <f>IFERROR(__xludf.DUMMYFUNCTION("""COMPUTED_VALUE"""),"")</f>
        <v/>
      </c>
      <c r="P2496" s="17" t="str">
        <f>IFERROR(__xludf.DUMMYFUNCTION("""COMPUTED_VALUE"""),"")</f>
        <v/>
      </c>
      <c r="Q2496" s="17" t="str">
        <f>IFERROR(__xludf.DUMMYFUNCTION("""COMPUTED_VALUE"""),"")</f>
        <v/>
      </c>
      <c r="R2496" s="17" t="str">
        <f>IFERROR(__xludf.DUMMYFUNCTION("""COMPUTED_VALUE"""),"")</f>
        <v/>
      </c>
    </row>
    <row r="2497">
      <c r="A2497" s="15">
        <f>IFERROR(__xludf.DUMMYFUNCTION("""COMPUTED_VALUE"""),45076.0)</f>
        <v>45076</v>
      </c>
      <c r="B2497" s="16" t="str">
        <f>IFERROR(__xludf.DUMMYFUNCTION("""COMPUTED_VALUE"""),"Duvan Gabriel Alvarez Giron")</f>
        <v>Duvan Gabriel Alvarez Giron</v>
      </c>
      <c r="C2497" s="15" t="str">
        <f>IFERROR(__xludf.DUMMYFUNCTION("""COMPUTED_VALUE"""),"FLORIDABLANCA")</f>
        <v>FLORIDABLANCA</v>
      </c>
      <c r="D2497" s="15" t="str">
        <f>IFERROR(__xludf.DUMMYFUNCTION("""COMPUTED_VALUE"""),"BOGOTÁ")</f>
        <v>BOGOTÁ</v>
      </c>
      <c r="E2497" s="15" t="str">
        <f>IFERROR(__xludf.DUMMYFUNCTION("""COMPUTED_VALUE"""),"Ins. Alimento Vital")</f>
        <v>Ins. Alimento Vital</v>
      </c>
      <c r="F2497" s="17" t="str">
        <f>IFERROR(__xludf.DUMMYFUNCTION("""COMPUTED_VALUE"""),"CL 30 22 129 / APTO 2001, EDIFICIO VENTUS / BARRIO CAÑAVERAL")</f>
        <v>CL 30 22 129 / APTO 2001, EDIFICIO VENTUS / BARRIO CAÑAVERAL</v>
      </c>
      <c r="G2497" s="15" t="str">
        <f>IFERROR(__xludf.DUMMYFUNCTION("""COMPUTED_VALUE"""),"LUZ ALEJANDRA URIBE ANGARITA")</f>
        <v>LUZ ALEJANDRA URIBE ANGARITA</v>
      </c>
      <c r="H2497" s="16">
        <f>IFERROR(__xludf.DUMMYFUNCTION("""COMPUTED_VALUE"""),11092.0)</f>
        <v>11092</v>
      </c>
      <c r="I2497" s="18">
        <f>IFERROR(__xludf.DUMMYFUNCTION("""COMPUTED_VALUE"""),1.0)</f>
        <v>1</v>
      </c>
      <c r="J2497" s="18">
        <f>IFERROR(__xludf.DUMMYFUNCTION("""COMPUTED_VALUE"""),1.0)</f>
        <v>1</v>
      </c>
      <c r="K2497" s="18">
        <f>IFERROR(__xludf.DUMMYFUNCTION("""COMPUTED_VALUE"""),1.0)</f>
        <v>1</v>
      </c>
      <c r="L2497" s="17">
        <f>IFERROR(__xludf.DUMMYFUNCTION("""COMPUTED_VALUE"""),3.005691834E9)</f>
        <v>3005691834</v>
      </c>
      <c r="M2497" s="17" t="str">
        <f>IFERROR(__xludf.DUMMYFUNCTION("""COMPUTED_VALUE"""),"#REF!")</f>
        <v>#REF!</v>
      </c>
      <c r="N2497" s="17"/>
      <c r="O2497" s="17"/>
      <c r="P2497" s="17" t="b">
        <f>IFERROR(__xludf.DUMMYFUNCTION("""COMPUTED_VALUE"""),FALSE)</f>
        <v>0</v>
      </c>
      <c r="Q2497" s="20" t="str">
        <f>IFERROR(__xludf.DUMMYFUNCTION("""COMPUTED_VALUE"""),"")</f>
        <v/>
      </c>
      <c r="R2497" s="22" t="str">
        <f>IFERROR(__xludf.DUMMYFUNCTION("""COMPUTED_VALUE"""),"")</f>
        <v/>
      </c>
    </row>
    <row r="2498">
      <c r="A2498" s="15">
        <f>IFERROR(__xludf.DUMMYFUNCTION("""COMPUTED_VALUE"""),45076.0)</f>
        <v>45076</v>
      </c>
      <c r="B2498" s="16" t="str">
        <f>IFERROR(__xludf.DUMMYFUNCTION("""COMPUTED_VALUE"""),"Duvan Gabriel Alvarez Giron")</f>
        <v>Duvan Gabriel Alvarez Giron</v>
      </c>
      <c r="C2498" s="15" t="str">
        <f>IFERROR(__xludf.DUMMYFUNCTION("""COMPUTED_VALUE"""),"FLORIDABLANCA")</f>
        <v>FLORIDABLANCA</v>
      </c>
      <c r="D2498" s="15" t="str">
        <f>IFERROR(__xludf.DUMMYFUNCTION("""COMPUTED_VALUE"""),"MEDELLÍN")</f>
        <v>MEDELLÍN</v>
      </c>
      <c r="E2498" s="15" t="str">
        <f>IFERROR(__xludf.DUMMYFUNCTION("""COMPUTED_VALUE"""),"Baby Chef")</f>
        <v>Baby Chef</v>
      </c>
      <c r="F2498" s="17" t="str">
        <f>IFERROR(__xludf.DUMMYFUNCTION("""COMPUTED_VALUE"""),"Transv 154 # 150 - 26 Torres del Bosque 1206 / Transv 154 # 150 - 26 Torres del Bosque 1206 / Transv 154 # 150 - 26 Torres del Bosque 1206")</f>
        <v>Transv 154 # 150 - 26 Torres del Bosque 1206 / Transv 154 # 150 - 26 Torres del Bosque 1206 / Transv 154 # 150 - 26 Torres del Bosque 1206</v>
      </c>
      <c r="G2498" s="15" t="str">
        <f>IFERROR(__xludf.DUMMYFUNCTION("""COMPUTED_VALUE"""),"Nelly Barajas")</f>
        <v>Nelly Barajas</v>
      </c>
      <c r="H2498" s="16">
        <f>IFERROR(__xludf.DUMMYFUNCTION("""COMPUTED_VALUE"""),11143.0)</f>
        <v>11143</v>
      </c>
      <c r="I2498" s="18">
        <f>IFERROR(__xludf.DUMMYFUNCTION("""COMPUTED_VALUE"""),8.0)</f>
        <v>8</v>
      </c>
      <c r="J2498" s="18">
        <f>IFERROR(__xludf.DUMMYFUNCTION("""COMPUTED_VALUE"""),16.0)</f>
        <v>16</v>
      </c>
      <c r="K2498" s="18">
        <f>IFERROR(__xludf.DUMMYFUNCTION("""COMPUTED_VALUE"""),20.0)</f>
        <v>20</v>
      </c>
      <c r="L2498" s="17">
        <f>IFERROR(__xludf.DUMMYFUNCTION("""COMPUTED_VALUE"""),3.014247493E9)</f>
        <v>3014247493</v>
      </c>
      <c r="M2498" s="17" t="str">
        <f>IFERROR(__xludf.DUMMYFUNCTION("""COMPUTED_VALUE"""),"#REF!")</f>
        <v>#REF!</v>
      </c>
      <c r="N2498" s="17"/>
      <c r="O2498" s="17"/>
      <c r="P2498" s="17" t="b">
        <f>IFERROR(__xludf.DUMMYFUNCTION("""COMPUTED_VALUE"""),FALSE)</f>
        <v>0</v>
      </c>
      <c r="Q2498" s="20" t="str">
        <f>IFERROR(__xludf.DUMMYFUNCTION("""COMPUTED_VALUE"""),"")</f>
        <v/>
      </c>
      <c r="R2498" s="22" t="str">
        <f>IFERROR(__xludf.DUMMYFUNCTION("""COMPUTED_VALUE"""),"")</f>
        <v/>
      </c>
    </row>
    <row r="2499">
      <c r="A2499" s="15">
        <f>IFERROR(__xludf.DUMMYFUNCTION("""COMPUTED_VALUE"""),45076.0)</f>
        <v>45076</v>
      </c>
      <c r="B2499" s="16" t="str">
        <f>IFERROR(__xludf.DUMMYFUNCTION("""COMPUTED_VALUE"""),"Duvan Gabriel Alvarez Giron")</f>
        <v>Duvan Gabriel Alvarez Giron</v>
      </c>
      <c r="C2499" s="15" t="str">
        <f>IFERROR(__xludf.DUMMYFUNCTION("""COMPUTED_VALUE"""),"IBAGUÉ")</f>
        <v>IBAGUÉ</v>
      </c>
      <c r="D2499" s="15" t="str">
        <f>IFERROR(__xludf.DUMMYFUNCTION("""COMPUTED_VALUE"""),"BOGOTÁ")</f>
        <v>BOGOTÁ</v>
      </c>
      <c r="E2499" s="15" t="str">
        <f>IFERROR(__xludf.DUMMYFUNCTION("""COMPUTED_VALUE"""),"Asociacion Agropecuaria Juana Maria")</f>
        <v>Asociacion Agropecuaria Juana Maria</v>
      </c>
      <c r="F2499" s="17" t="str">
        <f>IFERROR(__xludf.DUMMYFUNCTION("""COMPUTED_VALUE"""),"Calle 93 # 7 Sur-90 torre 8 apto 102 Conjunto Residencial Altagracia")</f>
        <v>Calle 93 # 7 Sur-90 torre 8 apto 102 Conjunto Residencial Altagracia</v>
      </c>
      <c r="G2499" s="15" t="str">
        <f>IFERROR(__xludf.DUMMYFUNCTION("""COMPUTED_VALUE"""),"Mariam Yasmin Murillo Rubio")</f>
        <v>Mariam Yasmin Murillo Rubio</v>
      </c>
      <c r="H2499" s="16">
        <f>IFERROR(__xludf.DUMMYFUNCTION("""COMPUTED_VALUE"""),11088.0)</f>
        <v>11088</v>
      </c>
      <c r="I2499" s="18">
        <f>IFERROR(__xludf.DUMMYFUNCTION("""COMPUTED_VALUE"""),16.0)</f>
        <v>16</v>
      </c>
      <c r="J2499" s="18">
        <f>IFERROR(__xludf.DUMMYFUNCTION("""COMPUTED_VALUE"""),34.0)</f>
        <v>34</v>
      </c>
      <c r="K2499" s="18">
        <f>IFERROR(__xludf.DUMMYFUNCTION("""COMPUTED_VALUE"""),25.0)</f>
        <v>25</v>
      </c>
      <c r="L2499" s="17">
        <f>IFERROR(__xludf.DUMMYFUNCTION("""COMPUTED_VALUE"""),3.105789664E9)</f>
        <v>3105789664</v>
      </c>
      <c r="M2499" s="17" t="str">
        <f>IFERROR(__xludf.DUMMYFUNCTION("""COMPUTED_VALUE"""),"#REF!")</f>
        <v>#REF!</v>
      </c>
      <c r="N2499" s="17"/>
      <c r="O2499" s="17"/>
      <c r="P2499" s="17" t="b">
        <f>IFERROR(__xludf.DUMMYFUNCTION("""COMPUTED_VALUE"""),FALSE)</f>
        <v>0</v>
      </c>
      <c r="Q2499" s="20" t="str">
        <f>IFERROR(__xludf.DUMMYFUNCTION("""COMPUTED_VALUE"""),"")</f>
        <v/>
      </c>
      <c r="R2499" s="21" t="str">
        <f>IFERROR(__xludf.DUMMYFUNCTION("""COMPUTED_VALUE"""),"https://drive.google.com/file/d/1Eo-BKF51dX6d3WDYVHKIUUHHQkP5xL-V/view?usp=drivesdk")</f>
        <v>https://drive.google.com/file/d/1Eo-BKF51dX6d3WDYVHKIUUHHQkP5xL-V/view?usp=drivesdk</v>
      </c>
    </row>
    <row r="2500">
      <c r="A2500" s="15">
        <f>IFERROR(__xludf.DUMMYFUNCTION("""COMPUTED_VALUE"""),45076.0)</f>
        <v>45076</v>
      </c>
      <c r="B2500" s="16" t="str">
        <f>IFERROR(__xludf.DUMMYFUNCTION("""COMPUTED_VALUE"""),"Duvan Gabriel Alvarez Giron")</f>
        <v>Duvan Gabriel Alvarez Giron</v>
      </c>
      <c r="C2500" s="15" t="str">
        <f>IFERROR(__xludf.DUMMYFUNCTION("""COMPUTED_VALUE"""),"IBAGUÉ")</f>
        <v>IBAGUÉ</v>
      </c>
      <c r="D2500" s="15" t="str">
        <f>IFERROR(__xludf.DUMMYFUNCTION("""COMPUTED_VALUE"""),"BOGOTÁ")</f>
        <v>BOGOTÁ</v>
      </c>
      <c r="E2500" s="15" t="str">
        <f>IFERROR(__xludf.DUMMYFUNCTION("""COMPUTED_VALUE"""),"Evamazzita")</f>
        <v>Evamazzita</v>
      </c>
      <c r="F2500" s="17" t="str">
        <f>IFERROR(__xludf.DUMMYFUNCTION("""COMPUTED_VALUE"""),"CARRERA 11 A # 35 - 62  / N/A / BARRIO GAITÁN PARTE ALTA")</f>
        <v>CARRERA 11 A # 35 - 62  / N/A / BARRIO GAITÁN PARTE ALTA</v>
      </c>
      <c r="G2500" s="15" t="str">
        <f>IFERROR(__xludf.DUMMYFUNCTION("""COMPUTED_VALUE"""),"JORGE BERNARDO TORRES")</f>
        <v>JORGE BERNARDO TORRES</v>
      </c>
      <c r="H2500" s="16">
        <f>IFERROR(__xludf.DUMMYFUNCTION("""COMPUTED_VALUE"""),11103.0)</f>
        <v>11103</v>
      </c>
      <c r="I2500" s="18">
        <f>IFERROR(__xludf.DUMMYFUNCTION("""COMPUTED_VALUE"""),14.0)</f>
        <v>14</v>
      </c>
      <c r="J2500" s="18">
        <f>IFERROR(__xludf.DUMMYFUNCTION("""COMPUTED_VALUE"""),33.0)</f>
        <v>33</v>
      </c>
      <c r="K2500" s="18">
        <f>IFERROR(__xludf.DUMMYFUNCTION("""COMPUTED_VALUE"""),19.0)</f>
        <v>19</v>
      </c>
      <c r="L2500" s="17">
        <f>IFERROR(__xludf.DUMMYFUNCTION("""COMPUTED_VALUE"""),3.144530156E9)</f>
        <v>3144530156</v>
      </c>
      <c r="M2500" s="17" t="str">
        <f>IFERROR(__xludf.DUMMYFUNCTION("""COMPUTED_VALUE"""),"#REF!")</f>
        <v>#REF!</v>
      </c>
      <c r="N2500" s="17"/>
      <c r="O2500" s="17"/>
      <c r="P2500" s="17" t="b">
        <f>IFERROR(__xludf.DUMMYFUNCTION("""COMPUTED_VALUE"""),FALSE)</f>
        <v>0</v>
      </c>
      <c r="Q2500" s="20" t="str">
        <f>IFERROR(__xludf.DUMMYFUNCTION("""COMPUTED_VALUE"""),"")</f>
        <v/>
      </c>
      <c r="R2500" s="21" t="str">
        <f>IFERROR(__xludf.DUMMYFUNCTION("""COMPUTED_VALUE"""),"https://drive.google.com/file/d/14rdmriGbvY5NOszUefCfCA1Zf-Sa3BA7/view?usp=drivesdk")</f>
        <v>https://drive.google.com/file/d/14rdmriGbvY5NOszUefCfCA1Zf-Sa3BA7/view?usp=drivesdk</v>
      </c>
    </row>
    <row r="2501">
      <c r="A2501" s="15">
        <f>IFERROR(__xludf.DUMMYFUNCTION("""COMPUTED_VALUE"""),45076.0)</f>
        <v>45076</v>
      </c>
      <c r="B2501" s="16" t="str">
        <f>IFERROR(__xludf.DUMMYFUNCTION("""COMPUTED_VALUE"""),"Duvan Gabriel Alvarez Giron")</f>
        <v>Duvan Gabriel Alvarez Giron</v>
      </c>
      <c r="C2501" s="15" t="str">
        <f>IFERROR(__xludf.DUMMYFUNCTION("""COMPUTED_VALUE"""),"IBAGUÉ")</f>
        <v>IBAGUÉ</v>
      </c>
      <c r="D2501" s="15" t="str">
        <f>IFERROR(__xludf.DUMMYFUNCTION("""COMPUTED_VALUE"""),"BOGOTÁ")</f>
        <v>BOGOTÁ</v>
      </c>
      <c r="E2501" s="15" t="str">
        <f>IFERROR(__xludf.DUMMYFUNCTION("""COMPUTED_VALUE"""),"Ins. Alimento Vital")</f>
        <v>Ins. Alimento Vital</v>
      </c>
      <c r="F2501" s="17" t="str">
        <f>IFERROR(__xludf.DUMMYFUNCTION("""COMPUTED_VALUE"""),"CASA 4 B MANZANA 4 ALAMEDA LA CAMPIÑA SECTOR CALATAYUD / ASA 4 B MANZANA 4 ALAMEDA LA CAMPIÑA SECTOR CALATAYUD / ASA 4 B MANZANA 4 ALAMEDA LA CAMPIÑA SECTOR CALATAYUD")</f>
        <v>CASA 4 B MANZANA 4 ALAMEDA LA CAMPIÑA SECTOR CALATAYUD / ASA 4 B MANZANA 4 ALAMEDA LA CAMPIÑA SECTOR CALATAYUD / ASA 4 B MANZANA 4 ALAMEDA LA CAMPIÑA SECTOR CALATAYUD</v>
      </c>
      <c r="G2501" s="15" t="str">
        <f>IFERROR(__xludf.DUMMYFUNCTION("""COMPUTED_VALUE"""),"JESUS DAVID DELGADO TASCON")</f>
        <v>JESUS DAVID DELGADO TASCON</v>
      </c>
      <c r="H2501" s="16">
        <f>IFERROR(__xludf.DUMMYFUNCTION("""COMPUTED_VALUE"""),11095.0)</f>
        <v>11095</v>
      </c>
      <c r="I2501" s="18">
        <f>IFERROR(__xludf.DUMMYFUNCTION("""COMPUTED_VALUE"""),1.0)</f>
        <v>1</v>
      </c>
      <c r="J2501" s="18">
        <f>IFERROR(__xludf.DUMMYFUNCTION("""COMPUTED_VALUE"""),1.0)</f>
        <v>1</v>
      </c>
      <c r="K2501" s="18">
        <f>IFERROR(__xludf.DUMMYFUNCTION("""COMPUTED_VALUE"""),1.0)</f>
        <v>1</v>
      </c>
      <c r="L2501" s="17">
        <f>IFERROR(__xludf.DUMMYFUNCTION("""COMPUTED_VALUE"""),3.196515049E9)</f>
        <v>3196515049</v>
      </c>
      <c r="M2501" s="17" t="str">
        <f>IFERROR(__xludf.DUMMYFUNCTION("""COMPUTED_VALUE"""),"#REF!")</f>
        <v>#REF!</v>
      </c>
      <c r="N2501" s="17"/>
      <c r="O2501" s="17"/>
      <c r="P2501" s="17" t="b">
        <f>IFERROR(__xludf.DUMMYFUNCTION("""COMPUTED_VALUE"""),FALSE)</f>
        <v>0</v>
      </c>
      <c r="Q2501" s="20" t="str">
        <f>IFERROR(__xludf.DUMMYFUNCTION("""COMPUTED_VALUE"""),"")</f>
        <v/>
      </c>
      <c r="R2501" s="21" t="str">
        <f>IFERROR(__xludf.DUMMYFUNCTION("""COMPUTED_VALUE"""),"https://drive.google.com/file/d/1Ye6E3p9hEqU-70CLNlRQjSMGdi3reGhY/view?usp=drivesdk")</f>
        <v>https://drive.google.com/file/d/1Ye6E3p9hEqU-70CLNlRQjSMGdi3reGhY/view?usp=drivesdk</v>
      </c>
    </row>
    <row r="2502">
      <c r="A2502" s="15">
        <f>IFERROR(__xludf.DUMMYFUNCTION("""COMPUTED_VALUE"""),45076.0)</f>
        <v>45076</v>
      </c>
      <c r="B2502" s="16" t="str">
        <f>IFERROR(__xludf.DUMMYFUNCTION("""COMPUTED_VALUE"""),"Duvan Gabriel Alvarez Giron")</f>
        <v>Duvan Gabriel Alvarez Giron</v>
      </c>
      <c r="C2502" s="15" t="str">
        <f>IFERROR(__xludf.DUMMYFUNCTION("""COMPUTED_VALUE"""),"IBAGUÉ")</f>
        <v>IBAGUÉ</v>
      </c>
      <c r="D2502" s="15" t="str">
        <f>IFERROR(__xludf.DUMMYFUNCTION("""COMPUTED_VALUE"""),"BOGOTÁ")</f>
        <v>BOGOTÁ</v>
      </c>
      <c r="E2502" s="15" t="str">
        <f>IFERROR(__xludf.DUMMYFUNCTION("""COMPUTED_VALUE"""),"Ins. Alimento Vital")</f>
        <v>Ins. Alimento Vital</v>
      </c>
      <c r="F2502" s="17" t="str">
        <f>IFERROR(__xludf.DUMMYFUNCTION("""COMPUTED_VALUE"""),"MANZANA 13 CASA 26 / CCONJUNTO RESIDENCIAL LA ARBOLEDA, VIA PICALEÑA / CONJUNTO DE SOLO CASAS, ENTRADA A LA CASA DE LA MONEDA")</f>
        <v>MANZANA 13 CASA 26 / CCONJUNTO RESIDENCIAL LA ARBOLEDA, VIA PICALEÑA / CONJUNTO DE SOLO CASAS, ENTRADA A LA CASA DE LA MONEDA</v>
      </c>
      <c r="G2502" s="15" t="str">
        <f>IFERROR(__xludf.DUMMYFUNCTION("""COMPUTED_VALUE"""),"IVONNE MARITZA ESPINOSA")</f>
        <v>IVONNE MARITZA ESPINOSA</v>
      </c>
      <c r="H2502" s="16">
        <f>IFERROR(__xludf.DUMMYFUNCTION("""COMPUTED_VALUE"""),11094.0)</f>
        <v>11094</v>
      </c>
      <c r="I2502" s="18">
        <f>IFERROR(__xludf.DUMMYFUNCTION("""COMPUTED_VALUE"""),1.0)</f>
        <v>1</v>
      </c>
      <c r="J2502" s="18">
        <f>IFERROR(__xludf.DUMMYFUNCTION("""COMPUTED_VALUE"""),1.0)</f>
        <v>1</v>
      </c>
      <c r="K2502" s="18">
        <f>IFERROR(__xludf.DUMMYFUNCTION("""COMPUTED_VALUE"""),1.0)</f>
        <v>1</v>
      </c>
      <c r="L2502" s="17">
        <f>IFERROR(__xludf.DUMMYFUNCTION("""COMPUTED_VALUE"""),3.017288399E9)</f>
        <v>3017288399</v>
      </c>
      <c r="M2502" s="17" t="str">
        <f>IFERROR(__xludf.DUMMYFUNCTION("""COMPUTED_VALUE"""),"#REF!")</f>
        <v>#REF!</v>
      </c>
      <c r="N2502" s="17"/>
      <c r="O2502" s="17"/>
      <c r="P2502" s="17" t="b">
        <f>IFERROR(__xludf.DUMMYFUNCTION("""COMPUTED_VALUE"""),FALSE)</f>
        <v>0</v>
      </c>
      <c r="Q2502" s="20" t="str">
        <f>IFERROR(__xludf.DUMMYFUNCTION("""COMPUTED_VALUE"""),"")</f>
        <v/>
      </c>
      <c r="R2502" s="21" t="str">
        <f>IFERROR(__xludf.DUMMYFUNCTION("""COMPUTED_VALUE"""),"https://drive.google.com/file/d/1BF-vzQH5t0vyRjovVHZVblQm4ga3RJI3/view?usp=drivesdk")</f>
        <v>https://drive.google.com/file/d/1BF-vzQH5t0vyRjovVHZVblQm4ga3RJI3/view?usp=drivesdk</v>
      </c>
    </row>
    <row r="2503">
      <c r="A2503" s="15">
        <f>IFERROR(__xludf.DUMMYFUNCTION("""COMPUTED_VALUE"""),45076.0)</f>
        <v>45076</v>
      </c>
      <c r="B2503" s="16" t="str">
        <f>IFERROR(__xludf.DUMMYFUNCTION("""COMPUTED_VALUE"""),"Duvan Gabriel Alvarez Giron")</f>
        <v>Duvan Gabriel Alvarez Giron</v>
      </c>
      <c r="C2503" s="15" t="str">
        <f>IFERROR(__xludf.DUMMYFUNCTION("""COMPUTED_VALUE"""),"IBAGUÉ")</f>
        <v>IBAGUÉ</v>
      </c>
      <c r="D2503" s="15" t="str">
        <f>IFERROR(__xludf.DUMMYFUNCTION("""COMPUTED_VALUE"""),"BOGOTÁ")</f>
        <v>BOGOTÁ</v>
      </c>
      <c r="E2503" s="15" t="str">
        <f>IFERROR(__xludf.DUMMYFUNCTION("""COMPUTED_VALUE"""),"Pan de Waffle")</f>
        <v>Pan de Waffle</v>
      </c>
      <c r="F2503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2503" s="15" t="str">
        <f>IFERROR(__xludf.DUMMYFUNCTION("""COMPUTED_VALUE"""),"SOY NATURAL - EL VERGEL")</f>
        <v>SOY NATURAL - EL VERGEL</v>
      </c>
      <c r="H2503" s="16">
        <f>IFERROR(__xludf.DUMMYFUNCTION("""COMPUTED_VALUE"""),11077.0)</f>
        <v>11077</v>
      </c>
      <c r="I2503" s="18">
        <f>IFERROR(__xludf.DUMMYFUNCTION("""COMPUTED_VALUE"""),40.0)</f>
        <v>40</v>
      </c>
      <c r="J2503" s="18">
        <f>IFERROR(__xludf.DUMMYFUNCTION("""COMPUTED_VALUE"""),40.0)</f>
        <v>40</v>
      </c>
      <c r="K2503" s="18">
        <f>IFERROR(__xludf.DUMMYFUNCTION("""COMPUTED_VALUE"""),30.0)</f>
        <v>30</v>
      </c>
      <c r="L2503" s="17">
        <f>IFERROR(__xludf.DUMMYFUNCTION("""COMPUTED_VALUE"""),3.208565148E9)</f>
        <v>3208565148</v>
      </c>
      <c r="M2503" s="17" t="str">
        <f>IFERROR(__xludf.DUMMYFUNCTION("""COMPUTED_VALUE"""),"#REF!")</f>
        <v>#REF!</v>
      </c>
      <c r="N2503" s="17"/>
      <c r="O2503" s="17"/>
      <c r="P2503" s="17" t="b">
        <f>IFERROR(__xludf.DUMMYFUNCTION("""COMPUTED_VALUE"""),FALSE)</f>
        <v>0</v>
      </c>
      <c r="Q2503" s="20" t="str">
        <f>IFERROR(__xludf.DUMMYFUNCTION("""COMPUTED_VALUE"""),"")</f>
        <v/>
      </c>
      <c r="R2503" s="21" t="str">
        <f>IFERROR(__xludf.DUMMYFUNCTION("""COMPUTED_VALUE"""),"https://drive.google.com/file/d/1jjSHuUBsOsTqrFk-kVA31HR6QzHu3qLv/view?usp=drivesdk")</f>
        <v>https://drive.google.com/file/d/1jjSHuUBsOsTqrFk-kVA31HR6QzHu3qLv/view?usp=drivesdk</v>
      </c>
    </row>
    <row r="2504">
      <c r="A2504" s="17" t="str">
        <f>IFERROR(__xludf.DUMMYFUNCTION("""COMPUTED_VALUE"""),"")</f>
        <v/>
      </c>
      <c r="B2504" s="17" t="str">
        <f>IFERROR(__xludf.DUMMYFUNCTION("""COMPUTED_VALUE"""),"")</f>
        <v/>
      </c>
      <c r="C2504" s="17" t="str">
        <f>IFERROR(__xludf.DUMMYFUNCTION("""COMPUTED_VALUE"""),"")</f>
        <v/>
      </c>
      <c r="D2504" s="17" t="str">
        <f>IFERROR(__xludf.DUMMYFUNCTION("""COMPUTED_VALUE"""),"")</f>
        <v/>
      </c>
      <c r="E2504" s="17" t="str">
        <f>IFERROR(__xludf.DUMMYFUNCTION("""COMPUTED_VALUE"""),"")</f>
        <v/>
      </c>
      <c r="F2504" s="17" t="str">
        <f>IFERROR(__xludf.DUMMYFUNCTION("""COMPUTED_VALUE"""),"")</f>
        <v/>
      </c>
      <c r="G2504" s="17" t="str">
        <f>IFERROR(__xludf.DUMMYFUNCTION("""COMPUTED_VALUE"""),"")</f>
        <v/>
      </c>
      <c r="H2504" s="17" t="str">
        <f>IFERROR(__xludf.DUMMYFUNCTION("""COMPUTED_VALUE"""),"")</f>
        <v/>
      </c>
      <c r="I2504" s="17" t="str">
        <f>IFERROR(__xludf.DUMMYFUNCTION("""COMPUTED_VALUE"""),"")</f>
        <v/>
      </c>
      <c r="J2504" s="17" t="str">
        <f>IFERROR(__xludf.DUMMYFUNCTION("""COMPUTED_VALUE"""),"")</f>
        <v/>
      </c>
      <c r="K2504" s="17" t="str">
        <f>IFERROR(__xludf.DUMMYFUNCTION("""COMPUTED_VALUE"""),"")</f>
        <v/>
      </c>
      <c r="L2504" s="17" t="str">
        <f>IFERROR(__xludf.DUMMYFUNCTION("""COMPUTED_VALUE"""),"")</f>
        <v/>
      </c>
      <c r="M2504" s="17" t="str">
        <f>IFERROR(__xludf.DUMMYFUNCTION("""COMPUTED_VALUE"""),"")</f>
        <v/>
      </c>
      <c r="N2504" s="17" t="str">
        <f>IFERROR(__xludf.DUMMYFUNCTION("""COMPUTED_VALUE"""),"")</f>
        <v/>
      </c>
      <c r="O2504" s="17" t="str">
        <f>IFERROR(__xludf.DUMMYFUNCTION("""COMPUTED_VALUE"""),"")</f>
        <v/>
      </c>
      <c r="P2504" s="17" t="str">
        <f>IFERROR(__xludf.DUMMYFUNCTION("""COMPUTED_VALUE"""),"")</f>
        <v/>
      </c>
      <c r="Q2504" s="17" t="str">
        <f>IFERROR(__xludf.DUMMYFUNCTION("""COMPUTED_VALUE"""),"")</f>
        <v/>
      </c>
      <c r="R2504" s="17" t="str">
        <f>IFERROR(__xludf.DUMMYFUNCTION("""COMPUTED_VALUE"""),"")</f>
        <v/>
      </c>
    </row>
    <row r="2505">
      <c r="A2505" s="15">
        <f>IFERROR(__xludf.DUMMYFUNCTION("""COMPUTED_VALUE"""),45076.0)</f>
        <v>45076</v>
      </c>
      <c r="B2505" s="16" t="str">
        <f>IFERROR(__xludf.DUMMYFUNCTION("""COMPUTED_VALUE"""),"Envia")</f>
        <v>Envia</v>
      </c>
      <c r="C2505" s="15" t="str">
        <f>IFERROR(__xludf.DUMMYFUNCTION("""COMPUTED_VALUE"""),"ARMENIA")</f>
        <v>ARMENIA</v>
      </c>
      <c r="D2505" s="15" t="str">
        <f>IFERROR(__xludf.DUMMYFUNCTION("""COMPUTED_VALUE"""),"MEDELLÍN")</f>
        <v>MEDELLÍN</v>
      </c>
      <c r="E2505" s="15" t="str">
        <f>IFERROR(__xludf.DUMMYFUNCTION("""COMPUTED_VALUE"""),"TOLEDALES S.A.S")</f>
        <v>TOLEDALES S.A.S</v>
      </c>
      <c r="F2505" s="17" t="str">
        <f>IFERROR(__xludf.DUMMYFUNCTION("""COMPUTED_VALUE"""),"Cra 14 # 46 norte -41 mall zona de oro")</f>
        <v>Cra 14 # 46 norte -41 mall zona de oro</v>
      </c>
      <c r="G2505" s="15" t="str">
        <f>IFERROR(__xludf.DUMMYFUNCTION("""COMPUTED_VALUE"""),"paola andrea gomez")</f>
        <v>paola andrea gomez</v>
      </c>
      <c r="H2505" s="16">
        <f>IFERROR(__xludf.DUMMYFUNCTION("""COMPUTED_VALUE"""),11090.0)</f>
        <v>11090</v>
      </c>
      <c r="I2505" s="18">
        <f>IFERROR(__xludf.DUMMYFUNCTION("""COMPUTED_VALUE"""),20.0)</f>
        <v>20</v>
      </c>
      <c r="J2505" s="18">
        <f>IFERROR(__xludf.DUMMYFUNCTION("""COMPUTED_VALUE"""),18.0)</f>
        <v>18</v>
      </c>
      <c r="K2505" s="18">
        <f>IFERROR(__xludf.DUMMYFUNCTION("""COMPUTED_VALUE"""),33.0)</f>
        <v>33</v>
      </c>
      <c r="L2505" s="17">
        <f>IFERROR(__xludf.DUMMYFUNCTION("""COMPUTED_VALUE"""),3.003222972E9)</f>
        <v>3003222972</v>
      </c>
      <c r="M2505" s="17" t="str">
        <f>IFERROR(__xludf.DUMMYFUNCTION("""COMPUTED_VALUE"""),"#REF!")</f>
        <v>#REF!</v>
      </c>
      <c r="N2505" s="17"/>
      <c r="O2505" s="17"/>
      <c r="P2505" s="17" t="b">
        <f>IFERROR(__xludf.DUMMYFUNCTION("""COMPUTED_VALUE"""),FALSE)</f>
        <v>0</v>
      </c>
      <c r="Q2505" s="20" t="str">
        <f>IFERROR(__xludf.DUMMYFUNCTION("""COMPUTED_VALUE"""),"")</f>
        <v/>
      </c>
      <c r="R2505" s="21" t="str">
        <f>IFERROR(__xludf.DUMMYFUNCTION("""COMPUTED_VALUE"""),"https://drive.google.com/file/d/1i2UqVsvmJiHUt7_T403pz_Z63obhA3CI/view?usp=drivesdk")</f>
        <v>https://drive.google.com/file/d/1i2UqVsvmJiHUt7_T403pz_Z63obhA3CI/view?usp=drivesdk</v>
      </c>
    </row>
    <row r="2506">
      <c r="A2506" s="15">
        <f>IFERROR(__xludf.DUMMYFUNCTION("""COMPUTED_VALUE"""),45076.0)</f>
        <v>45076</v>
      </c>
      <c r="B2506" s="16" t="str">
        <f>IFERROR(__xludf.DUMMYFUNCTION("""COMPUTED_VALUE"""),"Envia")</f>
        <v>Envia</v>
      </c>
      <c r="C2506" s="15" t="str">
        <f>IFERROR(__xludf.DUMMYFUNCTION("""COMPUTED_VALUE"""),"BUCARAMANGA")</f>
        <v>BUCARAMANGA</v>
      </c>
      <c r="D2506" s="15" t="str">
        <f>IFERROR(__xludf.DUMMYFUNCTION("""COMPUTED_VALUE"""),"MEDELLÍN")</f>
        <v>MEDELLÍN</v>
      </c>
      <c r="E2506" s="15" t="str">
        <f>IFERROR(__xludf.DUMMYFUNCTION("""COMPUTED_VALUE"""),"AREPAS LA MARY")</f>
        <v>AREPAS LA MARY</v>
      </c>
      <c r="F2506" s="17" t="str">
        <f>IFERROR(__xludf.DUMMYFUNCTION("""COMPUTED_VALUE"""),"CALLE 55 # 13 -56 PISO 3")</f>
        <v>CALLE 55 # 13 -56 PISO 3</v>
      </c>
      <c r="G2506" s="15" t="str">
        <f>IFERROR(__xludf.DUMMYFUNCTION("""COMPUTED_VALUE"""),"ARANDANO")</f>
        <v>ARANDANO</v>
      </c>
      <c r="H2506" s="16">
        <f>IFERROR(__xludf.DUMMYFUNCTION("""COMPUTED_VALUE"""),11121.0)</f>
        <v>11121</v>
      </c>
      <c r="I2506" s="18">
        <f>IFERROR(__xludf.DUMMYFUNCTION("""COMPUTED_VALUE"""),89.0)</f>
        <v>89</v>
      </c>
      <c r="J2506" s="18">
        <f>IFERROR(__xludf.DUMMYFUNCTION("""COMPUTED_VALUE"""),1.0)</f>
        <v>1</v>
      </c>
      <c r="K2506" s="18">
        <f>IFERROR(__xludf.DUMMYFUNCTION("""COMPUTED_VALUE"""),10.0)</f>
        <v>10</v>
      </c>
      <c r="L2506" s="17">
        <f>IFERROR(__xludf.DUMMYFUNCTION("""COMPUTED_VALUE"""),3.158600162E9)</f>
        <v>3158600162</v>
      </c>
      <c r="M2506" s="17" t="str">
        <f>IFERROR(__xludf.DUMMYFUNCTION("""COMPUTED_VALUE"""),"#REF!")</f>
        <v>#REF!</v>
      </c>
      <c r="N2506" s="17"/>
      <c r="O2506" s="17"/>
      <c r="P2506" s="17" t="b">
        <f>IFERROR(__xludf.DUMMYFUNCTION("""COMPUTED_VALUE"""),FALSE)</f>
        <v>0</v>
      </c>
      <c r="Q2506" s="20" t="str">
        <f>IFERROR(__xludf.DUMMYFUNCTION("""COMPUTED_VALUE"""),"")</f>
        <v/>
      </c>
      <c r="R2506" s="22" t="str">
        <f>IFERROR(__xludf.DUMMYFUNCTION("""COMPUTED_VALUE"""),"")</f>
        <v/>
      </c>
    </row>
    <row r="2507">
      <c r="A2507" s="15">
        <f>IFERROR(__xludf.DUMMYFUNCTION("""COMPUTED_VALUE"""),45076.0)</f>
        <v>45076</v>
      </c>
      <c r="B2507" s="16" t="str">
        <f>IFERROR(__xludf.DUMMYFUNCTION("""COMPUTED_VALUE"""),"Envia")</f>
        <v>Envia</v>
      </c>
      <c r="C2507" s="15" t="str">
        <f>IFERROR(__xludf.DUMMYFUNCTION("""COMPUTED_VALUE"""),"CALI")</f>
        <v>CALI</v>
      </c>
      <c r="D2507" s="15" t="str">
        <f>IFERROR(__xludf.DUMMYFUNCTION("""COMPUTED_VALUE"""),"BOGOTÁ")</f>
        <v>BOGOTÁ</v>
      </c>
      <c r="E2507" s="15" t="str">
        <f>IFERROR(__xludf.DUMMYFUNCTION("""COMPUTED_VALUE"""),"Evamazzita")</f>
        <v>Evamazzita</v>
      </c>
      <c r="F2507" s="17" t="str">
        <f>IFERROR(__xludf.DUMMYFUNCTION("""COMPUTED_VALUE"""),"(ENTREGAR DE 7:30AM A 2PM O DE 6:15PM A 10PM) Calle 60 #4C-04   / Villa del prado / (ENTREGAR DE 7:30AM A 2PM O DE 6:15PM A 10PM)")</f>
        <v>(ENTREGAR DE 7:30AM A 2PM O DE 6:15PM A 10PM) Calle 60 #4C-04   / Villa del prado / (ENTREGAR DE 7:30AM A 2PM O DE 6:15PM A 10PM)</v>
      </c>
      <c r="G2507" s="15" t="str">
        <f>IFERROR(__xludf.DUMMYFUNCTION("""COMPUTED_VALUE"""),"YULEIDY RAMIREZ CUARTAS")</f>
        <v>YULEIDY RAMIREZ CUARTAS</v>
      </c>
      <c r="H2507" s="16">
        <f>IFERROR(__xludf.DUMMYFUNCTION("""COMPUTED_VALUE"""),11107.0)</f>
        <v>11107</v>
      </c>
      <c r="I2507" s="18">
        <f>IFERROR(__xludf.DUMMYFUNCTION("""COMPUTED_VALUE"""),10.0)</f>
        <v>10</v>
      </c>
      <c r="J2507" s="18">
        <f>IFERROR(__xludf.DUMMYFUNCTION("""COMPUTED_VALUE"""),18.0)</f>
        <v>18</v>
      </c>
      <c r="K2507" s="18">
        <f>IFERROR(__xludf.DUMMYFUNCTION("""COMPUTED_VALUE"""),22.0)</f>
        <v>22</v>
      </c>
      <c r="L2507" s="17">
        <f>IFERROR(__xludf.DUMMYFUNCTION("""COMPUTED_VALUE"""),3.0529308E9)</f>
        <v>3052930800</v>
      </c>
      <c r="M2507" s="17" t="str">
        <f>IFERROR(__xludf.DUMMYFUNCTION("""COMPUTED_VALUE"""),"#REF!")</f>
        <v>#REF!</v>
      </c>
      <c r="N2507" s="17"/>
      <c r="O2507" s="17"/>
      <c r="P2507" s="17" t="b">
        <f>IFERROR(__xludf.DUMMYFUNCTION("""COMPUTED_VALUE"""),FALSE)</f>
        <v>0</v>
      </c>
      <c r="Q2507" s="20" t="str">
        <f>IFERROR(__xludf.DUMMYFUNCTION("""COMPUTED_VALUE"""),"")</f>
        <v/>
      </c>
      <c r="R2507" s="21" t="str">
        <f>IFERROR(__xludf.DUMMYFUNCTION("""COMPUTED_VALUE"""),"https://drive.google.com/file/d/1hoMOfKSPpB86Ia6DhOXrofp0HjrAZn6u/view?usp=drivesdk")</f>
        <v>https://drive.google.com/file/d/1hoMOfKSPpB86Ia6DhOXrofp0HjrAZn6u/view?usp=drivesdk</v>
      </c>
    </row>
    <row r="2508">
      <c r="A2508" s="15">
        <f>IFERROR(__xludf.DUMMYFUNCTION("""COMPUTED_VALUE"""),45076.0)</f>
        <v>45076</v>
      </c>
      <c r="B2508" s="16" t="str">
        <f>IFERROR(__xludf.DUMMYFUNCTION("""COMPUTED_VALUE"""),"Envia")</f>
        <v>Envia</v>
      </c>
      <c r="C2508" s="15" t="str">
        <f>IFERROR(__xludf.DUMMYFUNCTION("""COMPUTED_VALUE"""),"CALI")</f>
        <v>CALI</v>
      </c>
      <c r="D2508" s="15" t="str">
        <f>IFERROR(__xludf.DUMMYFUNCTION("""COMPUTED_VALUE"""),"BOGOTÁ")</f>
        <v>BOGOTÁ</v>
      </c>
      <c r="E2508" s="15" t="str">
        <f>IFERROR(__xludf.DUMMYFUNCTION("""COMPUTED_VALUE"""),"My Choice")</f>
        <v>My Choice</v>
      </c>
      <c r="F2508" s="17" t="str">
        <f>IFERROR(__xludf.DUMMYFUNCTION("""COMPUTED_VALUE"""),"Carrera 36B # 1 Oeste - 75. / Edificio Quadratto apto 803. / Cristales")</f>
        <v>Carrera 36B # 1 Oeste - 75. / Edificio Quadratto apto 803. / Cristales</v>
      </c>
      <c r="G2508" s="15" t="str">
        <f>IFERROR(__xludf.DUMMYFUNCTION("""COMPUTED_VALUE"""),"Johanna Urrego")</f>
        <v>Johanna Urrego</v>
      </c>
      <c r="H2508" s="16">
        <f>IFERROR(__xludf.DUMMYFUNCTION("""COMPUTED_VALUE"""),11124.0)</f>
        <v>11124</v>
      </c>
      <c r="I2508" s="18">
        <f>IFERROR(__xludf.DUMMYFUNCTION("""COMPUTED_VALUE"""),15.0)</f>
        <v>15</v>
      </c>
      <c r="J2508" s="18">
        <f>IFERROR(__xludf.DUMMYFUNCTION("""COMPUTED_VALUE"""),30.0)</f>
        <v>30</v>
      </c>
      <c r="K2508" s="18">
        <f>IFERROR(__xludf.DUMMYFUNCTION("""COMPUTED_VALUE"""),30.0)</f>
        <v>30</v>
      </c>
      <c r="L2508" s="17">
        <f>IFERROR(__xludf.DUMMYFUNCTION("""COMPUTED_VALUE"""),3.103663535E9)</f>
        <v>3103663535</v>
      </c>
      <c r="M2508" s="17" t="str">
        <f>IFERROR(__xludf.DUMMYFUNCTION("""COMPUTED_VALUE"""),"#REF!")</f>
        <v>#REF!</v>
      </c>
      <c r="N2508" s="17"/>
      <c r="O2508" s="17"/>
      <c r="P2508" s="17" t="b">
        <f>IFERROR(__xludf.DUMMYFUNCTION("""COMPUTED_VALUE"""),FALSE)</f>
        <v>0</v>
      </c>
      <c r="Q2508" s="20" t="str">
        <f>IFERROR(__xludf.DUMMYFUNCTION("""COMPUTED_VALUE"""),"")</f>
        <v/>
      </c>
      <c r="R2508" s="21" t="str">
        <f>IFERROR(__xludf.DUMMYFUNCTION("""COMPUTED_VALUE"""),"https://drive.google.com/file/d/1seuXUGROzve8voEAI8PMGYYDKQS3r-qu/view?usp=drivesdk")</f>
        <v>https://drive.google.com/file/d/1seuXUGROzve8voEAI8PMGYYDKQS3r-qu/view?usp=drivesdk</v>
      </c>
    </row>
    <row r="2509">
      <c r="A2509" s="15">
        <f>IFERROR(__xludf.DUMMYFUNCTION("""COMPUTED_VALUE"""),45076.0)</f>
        <v>45076</v>
      </c>
      <c r="B2509" s="16" t="str">
        <f>IFERROR(__xludf.DUMMYFUNCTION("""COMPUTED_VALUE"""),"Envia")</f>
        <v>Envia</v>
      </c>
      <c r="C2509" s="15" t="str">
        <f>IFERROR(__xludf.DUMMYFUNCTION("""COMPUTED_VALUE"""),"CALI")</f>
        <v>CALI</v>
      </c>
      <c r="D2509" s="15" t="str">
        <f>IFERROR(__xludf.DUMMYFUNCTION("""COMPUTED_VALUE"""),"BOGOTÁ")</f>
        <v>BOGOTÁ</v>
      </c>
      <c r="E2509" s="15" t="str">
        <f>IFERROR(__xludf.DUMMYFUNCTION("""COMPUTED_VALUE"""),"Pan de Waffle")</f>
        <v>Pan de Waffle</v>
      </c>
      <c r="F2509" s="17" t="str">
        <f>IFERROR(__xludf.DUMMYFUNCTION("""COMPUTED_VALUE"""),"Calle 34 Norte # 2bn - 33 Luz Helena Gomez / Calle 34 Norte # 2bn - 33 Luz Helena Gomez / Calle 34 Norte # 2bn - 33 Luz Helena Gomez")</f>
        <v>Calle 34 Norte # 2bn - 33 Luz Helena Gomez / Calle 34 Norte # 2bn - 33 Luz Helena Gomez / Calle 34 Norte # 2bn - 33 Luz Helena Gomez</v>
      </c>
      <c r="G2509" s="15" t="str">
        <f>IFERROR(__xludf.DUMMYFUNCTION("""COMPUTED_VALUE"""),"FOODOLOGY CALI")</f>
        <v>FOODOLOGY CALI</v>
      </c>
      <c r="H2509" s="16">
        <f>IFERROR(__xludf.DUMMYFUNCTION("""COMPUTED_VALUE"""),11074.0)</f>
        <v>11074</v>
      </c>
      <c r="I2509" s="18">
        <f>IFERROR(__xludf.DUMMYFUNCTION("""COMPUTED_VALUE"""),30.0)</f>
        <v>30</v>
      </c>
      <c r="J2509" s="18">
        <f>IFERROR(__xludf.DUMMYFUNCTION("""COMPUTED_VALUE"""),30.0)</f>
        <v>30</v>
      </c>
      <c r="K2509" s="18">
        <f>IFERROR(__xludf.DUMMYFUNCTION("""COMPUTED_VALUE"""),40.0)</f>
        <v>40</v>
      </c>
      <c r="L2509" s="17">
        <f>IFERROR(__xludf.DUMMYFUNCTION("""COMPUTED_VALUE"""),3.148159112E9)</f>
        <v>3148159112</v>
      </c>
      <c r="M2509" s="17" t="str">
        <f>IFERROR(__xludf.DUMMYFUNCTION("""COMPUTED_VALUE"""),"#REF!")</f>
        <v>#REF!</v>
      </c>
      <c r="N2509" s="17"/>
      <c r="O2509" s="17"/>
      <c r="P2509" s="17" t="b">
        <f>IFERROR(__xludf.DUMMYFUNCTION("""COMPUTED_VALUE"""),FALSE)</f>
        <v>0</v>
      </c>
      <c r="Q2509" s="20" t="str">
        <f>IFERROR(__xludf.DUMMYFUNCTION("""COMPUTED_VALUE"""),"")</f>
        <v/>
      </c>
      <c r="R2509" s="21" t="str">
        <f>IFERROR(__xludf.DUMMYFUNCTION("""COMPUTED_VALUE"""),"https://drive.google.com/file/d/1Gb3CjG-VZNubK-d8mdBY915vXohDX9P7/view?usp=drivesdk")</f>
        <v>https://drive.google.com/file/d/1Gb3CjG-VZNubK-d8mdBY915vXohDX9P7/view?usp=drivesdk</v>
      </c>
    </row>
    <row r="2510">
      <c r="A2510" s="15">
        <f>IFERROR(__xludf.DUMMYFUNCTION("""COMPUTED_VALUE"""),45076.0)</f>
        <v>45076</v>
      </c>
      <c r="B2510" s="16" t="str">
        <f>IFERROR(__xludf.DUMMYFUNCTION("""COMPUTED_VALUE"""),"Envia")</f>
        <v>Envia</v>
      </c>
      <c r="C2510" s="15" t="str">
        <f>IFERROR(__xludf.DUMMYFUNCTION("""COMPUTED_VALUE"""),"CIRCASIA")</f>
        <v>CIRCASIA</v>
      </c>
      <c r="D2510" s="15" t="str">
        <f>IFERROR(__xludf.DUMMYFUNCTION("""COMPUTED_VALUE"""),"BOGOTÁ")</f>
        <v>BOGOTÁ</v>
      </c>
      <c r="E2510" s="15" t="str">
        <f>IFERROR(__xludf.DUMMYFUNCTION("""COMPUTED_VALUE"""),"Loomifoods")</f>
        <v>Loomifoods</v>
      </c>
      <c r="F2510" s="17" t="str">
        <f>IFERROR(__xludf.DUMMYFUNCTION("""COMPUTED_VALUE"""),"Calle 6 no. 18 - 22 / Urbanización Cantabria  / Mz H, Casa2")</f>
        <v>Calle 6 no. 18 - 22 / Urbanización Cantabria  / Mz H, Casa2</v>
      </c>
      <c r="G2510" s="15" t="str">
        <f>IFERROR(__xludf.DUMMYFUNCTION("""COMPUTED_VALUE"""),"Hilary Montes")</f>
        <v>Hilary Montes</v>
      </c>
      <c r="H2510" s="16">
        <f>IFERROR(__xludf.DUMMYFUNCTION("""COMPUTED_VALUE"""),11126.0)</f>
        <v>11126</v>
      </c>
      <c r="I2510" s="18">
        <f>IFERROR(__xludf.DUMMYFUNCTION("""COMPUTED_VALUE"""),20.0)</f>
        <v>20</v>
      </c>
      <c r="J2510" s="18">
        <f>IFERROR(__xludf.DUMMYFUNCTION("""COMPUTED_VALUE"""),5.0)</f>
        <v>5</v>
      </c>
      <c r="K2510" s="18">
        <f>IFERROR(__xludf.DUMMYFUNCTION("""COMPUTED_VALUE"""),16.0)</f>
        <v>16</v>
      </c>
      <c r="L2510" s="17">
        <f>IFERROR(__xludf.DUMMYFUNCTION("""COMPUTED_VALUE"""),3.167864881E9)</f>
        <v>3167864881</v>
      </c>
      <c r="M2510" s="17" t="str">
        <f>IFERROR(__xludf.DUMMYFUNCTION("""COMPUTED_VALUE"""),"#REF!")</f>
        <v>#REF!</v>
      </c>
      <c r="N2510" s="17"/>
      <c r="O2510" s="17"/>
      <c r="P2510" s="17" t="b">
        <f>IFERROR(__xludf.DUMMYFUNCTION("""COMPUTED_VALUE"""),FALSE)</f>
        <v>0</v>
      </c>
      <c r="Q2510" s="20" t="str">
        <f>IFERROR(__xludf.DUMMYFUNCTION("""COMPUTED_VALUE"""),"")</f>
        <v/>
      </c>
      <c r="R2510" s="21" t="str">
        <f>IFERROR(__xludf.DUMMYFUNCTION("""COMPUTED_VALUE"""),"https://drive.google.com/file/d/1f4jujI2kcD5ES0ZehlVK0YCg-YDrc3Qh/view?usp=drivesdk")</f>
        <v>https://drive.google.com/file/d/1f4jujI2kcD5ES0ZehlVK0YCg-YDrc3Qh/view?usp=drivesdk</v>
      </c>
    </row>
    <row r="2511">
      <c r="A2511" s="15">
        <f>IFERROR(__xludf.DUMMYFUNCTION("""COMPUTED_VALUE"""),45076.0)</f>
        <v>45076</v>
      </c>
      <c r="B2511" s="16" t="str">
        <f>IFERROR(__xludf.DUMMYFUNCTION("""COMPUTED_VALUE"""),"Envia")</f>
        <v>Envia</v>
      </c>
      <c r="C2511" s="15" t="str">
        <f>IFERROR(__xludf.DUMMYFUNCTION("""COMPUTED_VALUE"""),"IBAGUÉ")</f>
        <v>IBAGUÉ</v>
      </c>
      <c r="D2511" s="15" t="str">
        <f>IFERROR(__xludf.DUMMYFUNCTION("""COMPUTED_VALUE"""),"BOGOTÁ")</f>
        <v>BOGOTÁ</v>
      </c>
      <c r="E2511" s="15" t="str">
        <f>IFERROR(__xludf.DUMMYFUNCTION("""COMPUTED_VALUE"""),"Frambascolombia sas")</f>
        <v>Frambascolombia sas</v>
      </c>
      <c r="F2511" s="17" t="str">
        <f>IFERROR(__xludf.DUMMYFUNCTION("""COMPUTED_VALUE"""),"Cra 14 # 75A-29 Local 5
 / local 2")</f>
        <v>Cra 14 # 75A-29 Local 5
 / local 2</v>
      </c>
      <c r="G2511" s="15" t="str">
        <f>IFERROR(__xludf.DUMMYFUNCTION("""COMPUTED_VALUE"""),"Daniela Tatiana Lopez Arbelaez")</f>
        <v>Daniela Tatiana Lopez Arbelaez</v>
      </c>
      <c r="H2511" s="16">
        <f>IFERROR(__xludf.DUMMYFUNCTION("""COMPUTED_VALUE"""),11062.0)</f>
        <v>11062</v>
      </c>
      <c r="I2511" s="18">
        <f>IFERROR(__xludf.DUMMYFUNCTION("""COMPUTED_VALUE"""),8.0)</f>
        <v>8</v>
      </c>
      <c r="J2511" s="18">
        <f>IFERROR(__xludf.DUMMYFUNCTION("""COMPUTED_VALUE"""),44992.0)</f>
        <v>44992</v>
      </c>
      <c r="K2511" s="18">
        <f>IFERROR(__xludf.DUMMYFUNCTION("""COMPUTED_VALUE"""),44992.0)</f>
        <v>44992</v>
      </c>
      <c r="L2511" s="17">
        <f>IFERROR(__xludf.DUMMYFUNCTION("""COMPUTED_VALUE"""),3.177002909E9)</f>
        <v>3177002909</v>
      </c>
      <c r="M2511" s="17" t="str">
        <f>IFERROR(__xludf.DUMMYFUNCTION("""COMPUTED_VALUE"""),"#REF!")</f>
        <v>#REF!</v>
      </c>
      <c r="N2511" s="17"/>
      <c r="O2511" s="17"/>
      <c r="P2511" s="17" t="b">
        <f>IFERROR(__xludf.DUMMYFUNCTION("""COMPUTED_VALUE"""),FALSE)</f>
        <v>0</v>
      </c>
      <c r="Q2511" s="20" t="str">
        <f>IFERROR(__xludf.DUMMYFUNCTION("""COMPUTED_VALUE"""),"")</f>
        <v/>
      </c>
      <c r="R2511" s="21" t="str">
        <f>IFERROR(__xludf.DUMMYFUNCTION("""COMPUTED_VALUE"""),"https://drive.google.com/file/d/1oPXIp9SJQ-XgjFg3FOypjVL5Z-MCvT9F/view?usp=drivesdk")</f>
        <v>https://drive.google.com/file/d/1oPXIp9SJQ-XgjFg3FOypjVL5Z-MCvT9F/view?usp=drivesdk</v>
      </c>
    </row>
    <row r="2512">
      <c r="A2512" s="15">
        <f>IFERROR(__xludf.DUMMYFUNCTION("""COMPUTED_VALUE"""),45076.0)</f>
        <v>45076</v>
      </c>
      <c r="B2512" s="16" t="str">
        <f>IFERROR(__xludf.DUMMYFUNCTION("""COMPUTED_VALUE"""),"Envia")</f>
        <v>Envia</v>
      </c>
      <c r="C2512" s="15" t="str">
        <f>IFERROR(__xludf.DUMMYFUNCTION("""COMPUTED_VALUE"""),"IBAGUÉ")</f>
        <v>IBAGUÉ</v>
      </c>
      <c r="D2512" s="15" t="str">
        <f>IFERROR(__xludf.DUMMYFUNCTION("""COMPUTED_VALUE"""),"BOGOTÁ")</f>
        <v>BOGOTÁ</v>
      </c>
      <c r="E2512" s="15" t="str">
        <f>IFERROR(__xludf.DUMMYFUNCTION("""COMPUTED_VALUE"""),"Frambascolombia sas")</f>
        <v>Frambascolombia sas</v>
      </c>
      <c r="F2512" s="17" t="str">
        <f>IFERROR(__xludf.DUMMYFUNCTION("""COMPUTED_VALUE"""),"Cra 14 # 75A-29 Local 5
 / local 2")</f>
        <v>Cra 14 # 75A-29 Local 5
 / local 2</v>
      </c>
      <c r="G2512" s="15" t="str">
        <f>IFERROR(__xludf.DUMMYFUNCTION("""COMPUTED_VALUE"""),"Daniela Tatiana Lopez Arbelaez")</f>
        <v>Daniela Tatiana Lopez Arbelaez</v>
      </c>
      <c r="H2512" s="16">
        <f>IFERROR(__xludf.DUMMYFUNCTION("""COMPUTED_VALUE"""),11063.0)</f>
        <v>11063</v>
      </c>
      <c r="I2512" s="18">
        <f>IFERROR(__xludf.DUMMYFUNCTION("""COMPUTED_VALUE"""),11.0)</f>
        <v>11</v>
      </c>
      <c r="J2512" s="18">
        <f>IFERROR(__xludf.DUMMYFUNCTION("""COMPUTED_VALUE"""),9.0)</f>
        <v>9</v>
      </c>
      <c r="K2512" s="18">
        <f>IFERROR(__xludf.DUMMYFUNCTION("""COMPUTED_VALUE"""),9.0)</f>
        <v>9</v>
      </c>
      <c r="L2512" s="17">
        <f>IFERROR(__xludf.DUMMYFUNCTION("""COMPUTED_VALUE"""),3.177002909E9)</f>
        <v>3177002909</v>
      </c>
      <c r="M2512" s="17" t="str">
        <f>IFERROR(__xludf.DUMMYFUNCTION("""COMPUTED_VALUE"""),"#REF!")</f>
        <v>#REF!</v>
      </c>
      <c r="N2512" s="17"/>
      <c r="O2512" s="17"/>
      <c r="P2512" s="17" t="b">
        <f>IFERROR(__xludf.DUMMYFUNCTION("""COMPUTED_VALUE"""),FALSE)</f>
        <v>0</v>
      </c>
      <c r="Q2512" s="20" t="str">
        <f>IFERROR(__xludf.DUMMYFUNCTION("""COMPUTED_VALUE"""),"")</f>
        <v/>
      </c>
      <c r="R2512" s="21" t="str">
        <f>IFERROR(__xludf.DUMMYFUNCTION("""COMPUTED_VALUE"""),"https://drive.google.com/file/d/1zZDJSimojk_0VIaCKFGTH4H71VfTFz_I/view?usp=drivesdk")</f>
        <v>https://drive.google.com/file/d/1zZDJSimojk_0VIaCKFGTH4H71VfTFz_I/view?usp=drivesdk</v>
      </c>
    </row>
    <row r="2513">
      <c r="A2513" s="15">
        <f>IFERROR(__xludf.DUMMYFUNCTION("""COMPUTED_VALUE"""),45076.0)</f>
        <v>45076</v>
      </c>
      <c r="B2513" s="16" t="str">
        <f>IFERROR(__xludf.DUMMYFUNCTION("""COMPUTED_VALUE"""),"Envia")</f>
        <v>Envia</v>
      </c>
      <c r="C2513" s="15" t="str">
        <f>IFERROR(__xludf.DUMMYFUNCTION("""COMPUTED_VALUE"""),"MEDELLÍN")</f>
        <v>MEDELLÍN</v>
      </c>
      <c r="D2513" s="15" t="str">
        <f>IFERROR(__xludf.DUMMYFUNCTION("""COMPUTED_VALUE"""),"BOGOTÁ")</f>
        <v>BOGOTÁ</v>
      </c>
      <c r="E2513" s="15" t="str">
        <f>IFERROR(__xludf.DUMMYFUNCTION("""COMPUTED_VALUE"""),"Asociacion Agropecuaria Juana Maria")</f>
        <v>Asociacion Agropecuaria Juana Maria</v>
      </c>
      <c r="F2513" s="17" t="str">
        <f>IFERROR(__xludf.DUMMYFUNCTION("""COMPUTED_VALUE"""),"Carrera 15 BA # 30D-44 int 201")</f>
        <v>Carrera 15 BA # 30D-44 int 201</v>
      </c>
      <c r="G2513" s="15" t="str">
        <f>IFERROR(__xludf.DUMMYFUNCTION("""COMPUTED_VALUE"""),"Daniela Bedoya Blandon")</f>
        <v>Daniela Bedoya Blandon</v>
      </c>
      <c r="H2513" s="16">
        <f>IFERROR(__xludf.DUMMYFUNCTION("""COMPUTED_VALUE"""),11080.0)</f>
        <v>11080</v>
      </c>
      <c r="I2513" s="18">
        <f>IFERROR(__xludf.DUMMYFUNCTION("""COMPUTED_VALUE"""),21.0)</f>
        <v>21</v>
      </c>
      <c r="J2513" s="18">
        <f>IFERROR(__xludf.DUMMYFUNCTION("""COMPUTED_VALUE"""),37.0)</f>
        <v>37</v>
      </c>
      <c r="K2513" s="18">
        <f>IFERROR(__xludf.DUMMYFUNCTION("""COMPUTED_VALUE"""),30.0)</f>
        <v>30</v>
      </c>
      <c r="L2513" s="17">
        <f>IFERROR(__xludf.DUMMYFUNCTION("""COMPUTED_VALUE"""),3.14672822E9)</f>
        <v>3146728220</v>
      </c>
      <c r="M2513" s="17" t="str">
        <f>IFERROR(__xludf.DUMMYFUNCTION("""COMPUTED_VALUE"""),"#REF!")</f>
        <v>#REF!</v>
      </c>
      <c r="N2513" s="17"/>
      <c r="O2513" s="17"/>
      <c r="P2513" s="17" t="b">
        <f>IFERROR(__xludf.DUMMYFUNCTION("""COMPUTED_VALUE"""),FALSE)</f>
        <v>0</v>
      </c>
      <c r="Q2513" s="20" t="str">
        <f>IFERROR(__xludf.DUMMYFUNCTION("""COMPUTED_VALUE"""),"")</f>
        <v/>
      </c>
      <c r="R2513" s="21" t="str">
        <f>IFERROR(__xludf.DUMMYFUNCTION("""COMPUTED_VALUE"""),"https://drive.google.com/file/d/1AhlVc8ZhLl4OgyTtAVLsS9Esx4Fxvlat/view?usp=drivesdk")</f>
        <v>https://drive.google.com/file/d/1AhlVc8ZhLl4OgyTtAVLsS9Esx4Fxvlat/view?usp=drivesdk</v>
      </c>
    </row>
    <row r="2514">
      <c r="A2514" s="15">
        <f>IFERROR(__xludf.DUMMYFUNCTION("""COMPUTED_VALUE"""),45076.0)</f>
        <v>45076</v>
      </c>
      <c r="B2514" s="16" t="str">
        <f>IFERROR(__xludf.DUMMYFUNCTION("""COMPUTED_VALUE"""),"Envia")</f>
        <v>Envia</v>
      </c>
      <c r="C2514" s="15" t="str">
        <f>IFERROR(__xludf.DUMMYFUNCTION("""COMPUTED_VALUE"""),"MEDELLÍN")</f>
        <v>MEDELLÍN</v>
      </c>
      <c r="D2514" s="15" t="str">
        <f>IFERROR(__xludf.DUMMYFUNCTION("""COMPUTED_VALUE"""),"BOGOTÁ")</f>
        <v>BOGOTÁ</v>
      </c>
      <c r="E2514" s="15" t="str">
        <f>IFERROR(__xludf.DUMMYFUNCTION("""COMPUTED_VALUE"""),"Asociacion Agropecuaria Juana Maria")</f>
        <v>Asociacion Agropecuaria Juana Maria</v>
      </c>
      <c r="F2514" s="17" t="str">
        <f>IFERROR(__xludf.DUMMYFUNCTION("""COMPUTED_VALUE"""),"Carrera 15 BA # 30D-44 int 201")</f>
        <v>Carrera 15 BA # 30D-44 int 201</v>
      </c>
      <c r="G2514" s="15" t="str">
        <f>IFERROR(__xludf.DUMMYFUNCTION("""COMPUTED_VALUE"""),"Daniela Bedoya Blandon")</f>
        <v>Daniela Bedoya Blandon</v>
      </c>
      <c r="H2514" s="16">
        <f>IFERROR(__xludf.DUMMYFUNCTION("""COMPUTED_VALUE"""),11081.0)</f>
        <v>11081</v>
      </c>
      <c r="I2514" s="18">
        <f>IFERROR(__xludf.DUMMYFUNCTION("""COMPUTED_VALUE"""),12.0)</f>
        <v>12</v>
      </c>
      <c r="J2514" s="18">
        <f>IFERROR(__xludf.DUMMYFUNCTION("""COMPUTED_VALUE"""),37.0)</f>
        <v>37</v>
      </c>
      <c r="K2514" s="18">
        <f>IFERROR(__xludf.DUMMYFUNCTION("""COMPUTED_VALUE"""),20.0)</f>
        <v>20</v>
      </c>
      <c r="L2514" s="17">
        <f>IFERROR(__xludf.DUMMYFUNCTION("""COMPUTED_VALUE"""),3.14672822E9)</f>
        <v>3146728220</v>
      </c>
      <c r="M2514" s="17" t="str">
        <f>IFERROR(__xludf.DUMMYFUNCTION("""COMPUTED_VALUE"""),"#REF!")</f>
        <v>#REF!</v>
      </c>
      <c r="N2514" s="17"/>
      <c r="O2514" s="17"/>
      <c r="P2514" s="17" t="b">
        <f>IFERROR(__xludf.DUMMYFUNCTION("""COMPUTED_VALUE"""),FALSE)</f>
        <v>0</v>
      </c>
      <c r="Q2514" s="20" t="str">
        <f>IFERROR(__xludf.DUMMYFUNCTION("""COMPUTED_VALUE"""),"")</f>
        <v/>
      </c>
      <c r="R2514" s="21" t="str">
        <f>IFERROR(__xludf.DUMMYFUNCTION("""COMPUTED_VALUE"""),"https://drive.google.com/file/d/1d4QU5a3rRoLRH5NfYzvMDCBbL4j0w39g/view?usp=drivesdk")</f>
        <v>https://drive.google.com/file/d/1d4QU5a3rRoLRH5NfYzvMDCBbL4j0w39g/view?usp=drivesdk</v>
      </c>
    </row>
    <row r="2515">
      <c r="A2515" s="15">
        <f>IFERROR(__xludf.DUMMYFUNCTION("""COMPUTED_VALUE"""),45076.0)</f>
        <v>45076</v>
      </c>
      <c r="B2515" s="16" t="str">
        <f>IFERROR(__xludf.DUMMYFUNCTION("""COMPUTED_VALUE"""),"Envia")</f>
        <v>Envia</v>
      </c>
      <c r="C2515" s="15" t="str">
        <f>IFERROR(__xludf.DUMMYFUNCTION("""COMPUTED_VALUE"""),"MEDELLÍN")</f>
        <v>MEDELLÍN</v>
      </c>
      <c r="D2515" s="15" t="str">
        <f>IFERROR(__xludf.DUMMYFUNCTION("""COMPUTED_VALUE"""),"BOGOTÁ")</f>
        <v>BOGOTÁ</v>
      </c>
      <c r="E2515" s="15" t="str">
        <f>IFERROR(__xludf.DUMMYFUNCTION("""COMPUTED_VALUE"""),"Asociacion Agropecuaria Juana Maria")</f>
        <v>Asociacion Agropecuaria Juana Maria</v>
      </c>
      <c r="F2515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2515" s="15" t="str">
        <f>IFERROR(__xludf.DUMMYFUNCTION("""COMPUTED_VALUE"""),"Jennifer Sanchez Blandon")</f>
        <v>Jennifer Sanchez Blandon</v>
      </c>
      <c r="H2515" s="16">
        <f>IFERROR(__xludf.DUMMYFUNCTION("""COMPUTED_VALUE"""),11083.0)</f>
        <v>11083</v>
      </c>
      <c r="I2515" s="18">
        <f>IFERROR(__xludf.DUMMYFUNCTION("""COMPUTED_VALUE"""),21.0)</f>
        <v>21</v>
      </c>
      <c r="J2515" s="18">
        <f>IFERROR(__xludf.DUMMYFUNCTION("""COMPUTED_VALUE"""),37.0)</f>
        <v>37</v>
      </c>
      <c r="K2515" s="18">
        <f>IFERROR(__xludf.DUMMYFUNCTION("""COMPUTED_VALUE"""),30.0)</f>
        <v>30</v>
      </c>
      <c r="L2515" s="17">
        <f>IFERROR(__xludf.DUMMYFUNCTION("""COMPUTED_VALUE"""),3.016937674E9)</f>
        <v>3016937674</v>
      </c>
      <c r="M2515" s="17" t="str">
        <f>IFERROR(__xludf.DUMMYFUNCTION("""COMPUTED_VALUE"""),"#REF!")</f>
        <v>#REF!</v>
      </c>
      <c r="N2515" s="17"/>
      <c r="O2515" s="17"/>
      <c r="P2515" s="17" t="b">
        <f>IFERROR(__xludf.DUMMYFUNCTION("""COMPUTED_VALUE"""),FALSE)</f>
        <v>0</v>
      </c>
      <c r="Q2515" s="20" t="str">
        <f>IFERROR(__xludf.DUMMYFUNCTION("""COMPUTED_VALUE"""),"")</f>
        <v/>
      </c>
      <c r="R2515" s="21" t="str">
        <f>IFERROR(__xludf.DUMMYFUNCTION("""COMPUTED_VALUE"""),"https://drive.google.com/file/d/1GBFE3_09NHWsNdUtic1toByadab1F44R/view?usp=drivesdk")</f>
        <v>https://drive.google.com/file/d/1GBFE3_09NHWsNdUtic1toByadab1F44R/view?usp=drivesdk</v>
      </c>
    </row>
    <row r="2516">
      <c r="A2516" s="15">
        <f>IFERROR(__xludf.DUMMYFUNCTION("""COMPUTED_VALUE"""),45076.0)</f>
        <v>45076</v>
      </c>
      <c r="B2516" s="16" t="str">
        <f>IFERROR(__xludf.DUMMYFUNCTION("""COMPUTED_VALUE"""),"Envia")</f>
        <v>Envia</v>
      </c>
      <c r="C2516" s="15" t="str">
        <f>IFERROR(__xludf.DUMMYFUNCTION("""COMPUTED_VALUE"""),"MEDELLÍN")</f>
        <v>MEDELLÍN</v>
      </c>
      <c r="D2516" s="15" t="str">
        <f>IFERROR(__xludf.DUMMYFUNCTION("""COMPUTED_VALUE"""),"BOGOTÁ")</f>
        <v>BOGOTÁ</v>
      </c>
      <c r="E2516" s="15" t="str">
        <f>IFERROR(__xludf.DUMMYFUNCTION("""COMPUTED_VALUE"""),"Asociacion Agropecuaria Juana Maria")</f>
        <v>Asociacion Agropecuaria Juana Maria</v>
      </c>
      <c r="F2516" s="17" t="str">
        <f>IFERROR(__xludf.DUMMYFUNCTION("""COMPUTED_VALUE"""),"Cra 82C # 30A-100 apto 1202 urbanizacion Torres de Vicuña Belen los Alpes")</f>
        <v>Cra 82C # 30A-100 apto 1202 urbanizacion Torres de Vicuña Belen los Alpes</v>
      </c>
      <c r="G2516" s="15" t="str">
        <f>IFERROR(__xludf.DUMMYFUNCTION("""COMPUTED_VALUE"""),"Gloria Moreno")</f>
        <v>Gloria Moreno</v>
      </c>
      <c r="H2516" s="16">
        <f>IFERROR(__xludf.DUMMYFUNCTION("""COMPUTED_VALUE"""),11085.0)</f>
        <v>11085</v>
      </c>
      <c r="I2516" s="18">
        <f>IFERROR(__xludf.DUMMYFUNCTION("""COMPUTED_VALUE"""),21.0)</f>
        <v>21</v>
      </c>
      <c r="J2516" s="18">
        <f>IFERROR(__xludf.DUMMYFUNCTION("""COMPUTED_VALUE"""),37.0)</f>
        <v>37</v>
      </c>
      <c r="K2516" s="18">
        <f>IFERROR(__xludf.DUMMYFUNCTION("""COMPUTED_VALUE"""),30.0)</f>
        <v>30</v>
      </c>
      <c r="L2516" s="17">
        <f>IFERROR(__xludf.DUMMYFUNCTION("""COMPUTED_VALUE"""),3.162544201E9)</f>
        <v>3162544201</v>
      </c>
      <c r="M2516" s="17" t="str">
        <f>IFERROR(__xludf.DUMMYFUNCTION("""COMPUTED_VALUE"""),"#REF!")</f>
        <v>#REF!</v>
      </c>
      <c r="N2516" s="17"/>
      <c r="O2516" s="17"/>
      <c r="P2516" s="17" t="b">
        <f>IFERROR(__xludf.DUMMYFUNCTION("""COMPUTED_VALUE"""),TRUE)</f>
        <v>1</v>
      </c>
      <c r="Q2516" s="20">
        <f>IFERROR(__xludf.DUMMYFUNCTION("""COMPUTED_VALUE"""),45076.54008652778)</f>
        <v>45076.54009</v>
      </c>
      <c r="R2516" s="21" t="str">
        <f>IFERROR(__xludf.DUMMYFUNCTION("""COMPUTED_VALUE"""),"https://drive.google.com/file/d/1mZW-wqqObHF5KeXZLssJBFDH2pvSekxe/view?usp=drivesdk")</f>
        <v>https://drive.google.com/file/d/1mZW-wqqObHF5KeXZLssJBFDH2pvSekxe/view?usp=drivesdk</v>
      </c>
    </row>
    <row r="2517">
      <c r="A2517" s="15">
        <f>IFERROR(__xludf.DUMMYFUNCTION("""COMPUTED_VALUE"""),45076.0)</f>
        <v>45076</v>
      </c>
      <c r="B2517" s="16" t="str">
        <f>IFERROR(__xludf.DUMMYFUNCTION("""COMPUTED_VALUE"""),"Envia")</f>
        <v>Envia</v>
      </c>
      <c r="C2517" s="15" t="str">
        <f>IFERROR(__xludf.DUMMYFUNCTION("""COMPUTED_VALUE"""),"MEDELLÍN")</f>
        <v>MEDELLÍN</v>
      </c>
      <c r="D2517" s="15" t="str">
        <f>IFERROR(__xludf.DUMMYFUNCTION("""COMPUTED_VALUE"""),"BOGOTÁ")</f>
        <v>BOGOTÁ</v>
      </c>
      <c r="E2517" s="15" t="str">
        <f>IFERROR(__xludf.DUMMYFUNCTION("""COMPUTED_VALUE"""),"Asociacion Agropecuaria Juana Maria")</f>
        <v>Asociacion Agropecuaria Juana Maria</v>
      </c>
      <c r="F2517" s="17" t="str">
        <f>IFERROR(__xludf.DUMMYFUNCTION("""COMPUTED_VALUE"""),"Cra 82C # 30A-100 apto 1202 urbanizacion Torres de Vicuña Belen los Alpes")</f>
        <v>Cra 82C # 30A-100 apto 1202 urbanizacion Torres de Vicuña Belen los Alpes</v>
      </c>
      <c r="G2517" s="15" t="str">
        <f>IFERROR(__xludf.DUMMYFUNCTION("""COMPUTED_VALUE"""),"Gloria Moreno")</f>
        <v>Gloria Moreno</v>
      </c>
      <c r="H2517" s="16">
        <f>IFERROR(__xludf.DUMMYFUNCTION("""COMPUTED_VALUE"""),11086.0)</f>
        <v>11086</v>
      </c>
      <c r="I2517" s="18">
        <f>IFERROR(__xludf.DUMMYFUNCTION("""COMPUTED_VALUE"""),16.0)</f>
        <v>16</v>
      </c>
      <c r="J2517" s="18">
        <f>IFERROR(__xludf.DUMMYFUNCTION("""COMPUTED_VALUE"""),34.0)</f>
        <v>34</v>
      </c>
      <c r="K2517" s="18">
        <f>IFERROR(__xludf.DUMMYFUNCTION("""COMPUTED_VALUE"""),25.0)</f>
        <v>25</v>
      </c>
      <c r="L2517" s="17">
        <f>IFERROR(__xludf.DUMMYFUNCTION("""COMPUTED_VALUE"""),3.162544201E9)</f>
        <v>3162544201</v>
      </c>
      <c r="M2517" s="17" t="str">
        <f>IFERROR(__xludf.DUMMYFUNCTION("""COMPUTED_VALUE"""),"#REF!")</f>
        <v>#REF!</v>
      </c>
      <c r="N2517" s="17"/>
      <c r="O2517" s="17"/>
      <c r="P2517" s="17" t="b">
        <f>IFERROR(__xludf.DUMMYFUNCTION("""COMPUTED_VALUE"""),TRUE)</f>
        <v>1</v>
      </c>
      <c r="Q2517" s="20">
        <f>IFERROR(__xludf.DUMMYFUNCTION("""COMPUTED_VALUE"""),45076.54012222222)</f>
        <v>45076.54012</v>
      </c>
      <c r="R2517" s="21" t="str">
        <f>IFERROR(__xludf.DUMMYFUNCTION("""COMPUTED_VALUE"""),"https://drive.google.com/file/d/1o7SlI0Yu8plzBvIl1JgWPgIhAkaXbq0S/view?usp=drivesdk")</f>
        <v>https://drive.google.com/file/d/1o7SlI0Yu8plzBvIl1JgWPgIhAkaXbq0S/view?usp=drivesdk</v>
      </c>
    </row>
    <row r="2518">
      <c r="A2518" s="15">
        <f>IFERROR(__xludf.DUMMYFUNCTION("""COMPUTED_VALUE"""),45076.0)</f>
        <v>45076</v>
      </c>
      <c r="B2518" s="16" t="str">
        <f>IFERROR(__xludf.DUMMYFUNCTION("""COMPUTED_VALUE"""),"Envia")</f>
        <v>Envia</v>
      </c>
      <c r="C2518" s="15" t="str">
        <f>IFERROR(__xludf.DUMMYFUNCTION("""COMPUTED_VALUE"""),"MEDELLÍN")</f>
        <v>MEDELLÍN</v>
      </c>
      <c r="D2518" s="15" t="str">
        <f>IFERROR(__xludf.DUMMYFUNCTION("""COMPUTED_VALUE"""),"BOGOTÁ")</f>
        <v>BOGOTÁ</v>
      </c>
      <c r="E2518" s="15" t="str">
        <f>IFERROR(__xludf.DUMMYFUNCTION("""COMPUTED_VALUE"""),"Evamazzita")</f>
        <v>Evamazzita</v>
      </c>
      <c r="F2518" s="17" t="str">
        <f>IFERROR(__xludf.DUMMYFUNCTION("""COMPUTED_VALUE"""),"calle 61 sur # 39 - 70  / apto 1910 torre 2 ciudad del bosque  / SABANETA - Barrio Asdesillas")</f>
        <v>calle 61 sur # 39 - 70  / apto 1910 torre 2 ciudad del bosque  / SABANETA - Barrio Asdesillas</v>
      </c>
      <c r="G2518" s="15" t="str">
        <f>IFERROR(__xludf.DUMMYFUNCTION("""COMPUTED_VALUE"""),"PAULA ANDREA TOBON")</f>
        <v>PAULA ANDREA TOBON</v>
      </c>
      <c r="H2518" s="16">
        <f>IFERROR(__xludf.DUMMYFUNCTION("""COMPUTED_VALUE"""),11117.0)</f>
        <v>11117</v>
      </c>
      <c r="I2518" s="18">
        <f>IFERROR(__xludf.DUMMYFUNCTION("""COMPUTED_VALUE"""),10.0)</f>
        <v>10</v>
      </c>
      <c r="J2518" s="18">
        <f>IFERROR(__xludf.DUMMYFUNCTION("""COMPUTED_VALUE"""),18.0)</f>
        <v>18</v>
      </c>
      <c r="K2518" s="18">
        <f>IFERROR(__xludf.DUMMYFUNCTION("""COMPUTED_VALUE"""),22.0)</f>
        <v>22</v>
      </c>
      <c r="L2518" s="17">
        <f>IFERROR(__xludf.DUMMYFUNCTION("""COMPUTED_VALUE"""),3.13251544E9)</f>
        <v>3132515440</v>
      </c>
      <c r="M2518" s="17" t="str">
        <f>IFERROR(__xludf.DUMMYFUNCTION("""COMPUTED_VALUE"""),"#REF!")</f>
        <v>#REF!</v>
      </c>
      <c r="N2518" s="17"/>
      <c r="O2518" s="17"/>
      <c r="P2518" s="17" t="b">
        <f>IFERROR(__xludf.DUMMYFUNCTION("""COMPUTED_VALUE"""),TRUE)</f>
        <v>1</v>
      </c>
      <c r="Q2518" s="20">
        <f>IFERROR(__xludf.DUMMYFUNCTION("""COMPUTED_VALUE"""),45076.53991576389)</f>
        <v>45076.53992</v>
      </c>
      <c r="R2518" s="21" t="str">
        <f>IFERROR(__xludf.DUMMYFUNCTION("""COMPUTED_VALUE"""),"https://drive.google.com/file/d/1jwZ1uP1MqWnaOxYZOSzXUpA2i9lejGi6/view?usp=drivesdk")</f>
        <v>https://drive.google.com/file/d/1jwZ1uP1MqWnaOxYZOSzXUpA2i9lejGi6/view?usp=drivesdk</v>
      </c>
    </row>
    <row r="2519">
      <c r="A2519" s="15">
        <f>IFERROR(__xludf.DUMMYFUNCTION("""COMPUTED_VALUE"""),45076.0)</f>
        <v>45076</v>
      </c>
      <c r="B2519" s="16" t="str">
        <f>IFERROR(__xludf.DUMMYFUNCTION("""COMPUTED_VALUE"""),"Envia")</f>
        <v>Envia</v>
      </c>
      <c r="C2519" s="15" t="str">
        <f>IFERROR(__xludf.DUMMYFUNCTION("""COMPUTED_VALUE"""),"MEDELLÍN")</f>
        <v>MEDELLÍN</v>
      </c>
      <c r="D2519" s="15" t="str">
        <f>IFERROR(__xludf.DUMMYFUNCTION("""COMPUTED_VALUE"""),"BOGOTÁ")</f>
        <v>BOGOTÁ</v>
      </c>
      <c r="E2519" s="15" t="str">
        <f>IFERROR(__xludf.DUMMYFUNCTION("""COMPUTED_VALUE"""),"Lunchy Kids")</f>
        <v>Lunchy Kids</v>
      </c>
      <c r="F2519" s="17" t="str">
        <f>IFERROR(__xludf.DUMMYFUNCTION("""COMPUTED_VALUE"""),"Cra 65 # 48-23,   Medellin Cel:  / Empresa: Cj technology - Encima del tostao  / barrio suramericana")</f>
        <v>Cra 65 # 48-23,   Medellin Cel:  / Empresa: Cj technology - Encima del tostao  / barrio suramericana</v>
      </c>
      <c r="G2519" s="15" t="str">
        <f>IFERROR(__xludf.DUMMYFUNCTION("""COMPUTED_VALUE"""),"Jorge Zuluaga")</f>
        <v>Jorge Zuluaga</v>
      </c>
      <c r="H2519" s="16">
        <f>IFERROR(__xludf.DUMMYFUNCTION("""COMPUTED_VALUE"""),11070.0)</f>
        <v>11070</v>
      </c>
      <c r="I2519" s="18">
        <f>IFERROR(__xludf.DUMMYFUNCTION("""COMPUTED_VALUE"""),20.0)</f>
        <v>20</v>
      </c>
      <c r="J2519" s="18">
        <f>IFERROR(__xludf.DUMMYFUNCTION("""COMPUTED_VALUE"""),11.0)</f>
        <v>11</v>
      </c>
      <c r="K2519" s="18">
        <f>IFERROR(__xludf.DUMMYFUNCTION("""COMPUTED_VALUE"""),26.0)</f>
        <v>26</v>
      </c>
      <c r="L2519" s="17">
        <f>IFERROR(__xludf.DUMMYFUNCTION("""COMPUTED_VALUE"""),3.007739744E9)</f>
        <v>3007739744</v>
      </c>
      <c r="M2519" s="17" t="str">
        <f>IFERROR(__xludf.DUMMYFUNCTION("""COMPUTED_VALUE"""),"#REF!")</f>
        <v>#REF!</v>
      </c>
      <c r="N2519" s="17"/>
      <c r="O2519" s="17"/>
      <c r="P2519" s="17" t="b">
        <f>IFERROR(__xludf.DUMMYFUNCTION("""COMPUTED_VALUE"""),TRUE)</f>
        <v>1</v>
      </c>
      <c r="Q2519" s="20">
        <f>IFERROR(__xludf.DUMMYFUNCTION("""COMPUTED_VALUE"""),45076.54069520833)</f>
        <v>45076.5407</v>
      </c>
      <c r="R2519" s="21" t="str">
        <f>IFERROR(__xludf.DUMMYFUNCTION("""COMPUTED_VALUE"""),"https://drive.google.com/file/d/1orw_ADbToG-XgcINNmc9pQsix28Kj9iV/view?usp=drivesdk")</f>
        <v>https://drive.google.com/file/d/1orw_ADbToG-XgcINNmc9pQsix28Kj9iV/view?usp=drivesdk</v>
      </c>
    </row>
    <row r="2520">
      <c r="A2520" s="15">
        <f>IFERROR(__xludf.DUMMYFUNCTION("""COMPUTED_VALUE"""),45076.0)</f>
        <v>45076</v>
      </c>
      <c r="B2520" s="16" t="str">
        <f>IFERROR(__xludf.DUMMYFUNCTION("""COMPUTED_VALUE"""),"Envia")</f>
        <v>Envia</v>
      </c>
      <c r="C2520" s="15" t="str">
        <f>IFERROR(__xludf.DUMMYFUNCTION("""COMPUTED_VALUE"""),"MEDELLÍN")</f>
        <v>MEDELLÍN</v>
      </c>
      <c r="D2520" s="15" t="str">
        <f>IFERROR(__xludf.DUMMYFUNCTION("""COMPUTED_VALUE"""),"BOGOTÁ")</f>
        <v>BOGOTÁ</v>
      </c>
      <c r="E2520" s="15" t="str">
        <f>IFERROR(__xludf.DUMMYFUNCTION("""COMPUTED_VALUE"""),"Lunchy Kids")</f>
        <v>Lunchy Kids</v>
      </c>
      <c r="F2520" s="17" t="str">
        <f>IFERROR(__xludf.DUMMYFUNCTION("""COMPUTED_VALUE"""),"Cra 74 # 20 - 67   / Casa  / Medellin")</f>
        <v>Cra 74 # 20 - 67   / Casa  / Medellin</v>
      </c>
      <c r="G2520" s="15" t="str">
        <f>IFERROR(__xludf.DUMMYFUNCTION("""COMPUTED_VALUE"""),"Carolina Amaya")</f>
        <v>Carolina Amaya</v>
      </c>
      <c r="H2520" s="16">
        <f>IFERROR(__xludf.DUMMYFUNCTION("""COMPUTED_VALUE"""),11068.0)</f>
        <v>11068</v>
      </c>
      <c r="I2520" s="18">
        <f>IFERROR(__xludf.DUMMYFUNCTION("""COMPUTED_VALUE"""),14.0)</f>
        <v>14</v>
      </c>
      <c r="J2520" s="18">
        <f>IFERROR(__xludf.DUMMYFUNCTION("""COMPUTED_VALUE"""),31.0)</f>
        <v>31</v>
      </c>
      <c r="K2520" s="18">
        <f>IFERROR(__xludf.DUMMYFUNCTION("""COMPUTED_VALUE"""),9.0)</f>
        <v>9</v>
      </c>
      <c r="L2520" s="17">
        <f>IFERROR(__xludf.DUMMYFUNCTION("""COMPUTED_VALUE"""),3.117088226E9)</f>
        <v>3117088226</v>
      </c>
      <c r="M2520" s="17" t="str">
        <f>IFERROR(__xludf.DUMMYFUNCTION("""COMPUTED_VALUE"""),"#REF!")</f>
        <v>#REF!</v>
      </c>
      <c r="N2520" s="17"/>
      <c r="O2520" s="17"/>
      <c r="P2520" s="17" t="b">
        <f>IFERROR(__xludf.DUMMYFUNCTION("""COMPUTED_VALUE"""),TRUE)</f>
        <v>1</v>
      </c>
      <c r="Q2520" s="20">
        <f>IFERROR(__xludf.DUMMYFUNCTION("""COMPUTED_VALUE"""),45076.54038045139)</f>
        <v>45076.54038</v>
      </c>
      <c r="R2520" s="21" t="str">
        <f>IFERROR(__xludf.DUMMYFUNCTION("""COMPUTED_VALUE"""),"https://drive.google.com/file/d/1JUXxJCqobZAaXSX0ILmfdyXuNqOKIqES/view?usp=drivesdk")</f>
        <v>https://drive.google.com/file/d/1JUXxJCqobZAaXSX0ILmfdyXuNqOKIqES/view?usp=drivesdk</v>
      </c>
    </row>
    <row r="2521">
      <c r="A2521" s="15">
        <f>IFERROR(__xludf.DUMMYFUNCTION("""COMPUTED_VALUE"""),45076.0)</f>
        <v>45076</v>
      </c>
      <c r="B2521" s="16" t="str">
        <f>IFERROR(__xludf.DUMMYFUNCTION("""COMPUTED_VALUE"""),"Envia")</f>
        <v>Envia</v>
      </c>
      <c r="C2521" s="15" t="str">
        <f>IFERROR(__xludf.DUMMYFUNCTION("""COMPUTED_VALUE"""),"PEREIRA")</f>
        <v>PEREIRA</v>
      </c>
      <c r="D2521" s="15" t="str">
        <f>IFERROR(__xludf.DUMMYFUNCTION("""COMPUTED_VALUE"""),"BOGOTÁ")</f>
        <v>BOGOTÁ</v>
      </c>
      <c r="E2521" s="15" t="str">
        <f>IFERROR(__xludf.DUMMYFUNCTION("""COMPUTED_VALUE"""),"Asociacion Agropecuaria Juana Maria")</f>
        <v>Asociacion Agropecuaria Juana Maria</v>
      </c>
      <c r="F2521" s="17" t="str">
        <f>IFERROR(__xludf.DUMMYFUNCTION("""COMPUTED_VALUE"""),"Calle 153 # 23 -41 manzana 1 casa 9 sol de Galicia")</f>
        <v>Calle 153 # 23 -41 manzana 1 casa 9 sol de Galicia</v>
      </c>
      <c r="G2521" s="15" t="str">
        <f>IFERROR(__xludf.DUMMYFUNCTION("""COMPUTED_VALUE"""),"Paula Andrea Forero")</f>
        <v>Paula Andrea Forero</v>
      </c>
      <c r="H2521" s="16">
        <f>IFERROR(__xludf.DUMMYFUNCTION("""COMPUTED_VALUE"""),11079.0)</f>
        <v>11079</v>
      </c>
      <c r="I2521" s="18">
        <f>IFERROR(__xludf.DUMMYFUNCTION("""COMPUTED_VALUE"""),17.0)</f>
        <v>17</v>
      </c>
      <c r="J2521" s="18">
        <f>IFERROR(__xludf.DUMMYFUNCTION("""COMPUTED_VALUE"""),37.0)</f>
        <v>37</v>
      </c>
      <c r="K2521" s="18">
        <f>IFERROR(__xludf.DUMMYFUNCTION("""COMPUTED_VALUE"""),28.0)</f>
        <v>28</v>
      </c>
      <c r="L2521" s="17">
        <f>IFERROR(__xludf.DUMMYFUNCTION("""COMPUTED_VALUE"""),3.115760231E9)</f>
        <v>3115760231</v>
      </c>
      <c r="M2521" s="17" t="str">
        <f>IFERROR(__xludf.DUMMYFUNCTION("""COMPUTED_VALUE"""),"#REF!")</f>
        <v>#REF!</v>
      </c>
      <c r="N2521" s="17"/>
      <c r="O2521" s="17"/>
      <c r="P2521" s="17" t="b">
        <f>IFERROR(__xludf.DUMMYFUNCTION("""COMPUTED_VALUE"""),TRUE)</f>
        <v>1</v>
      </c>
      <c r="Q2521" s="20">
        <f>IFERROR(__xludf.DUMMYFUNCTION("""COMPUTED_VALUE"""),45076.781856030095)</f>
        <v>45076.78186</v>
      </c>
      <c r="R2521" s="21" t="str">
        <f>IFERROR(__xludf.DUMMYFUNCTION("""COMPUTED_VALUE"""),"https://drive.google.com/file/d/1QaNsivvNuJUH48u_hWkedRnVCZdlAki4/view?usp=drivesdk")</f>
        <v>https://drive.google.com/file/d/1QaNsivvNuJUH48u_hWkedRnVCZdlAki4/view?usp=drivesdk</v>
      </c>
    </row>
    <row r="2522">
      <c r="A2522" s="17" t="str">
        <f>IFERROR(__xludf.DUMMYFUNCTION("""COMPUTED_VALUE"""),"")</f>
        <v/>
      </c>
      <c r="B2522" s="17" t="str">
        <f>IFERROR(__xludf.DUMMYFUNCTION("""COMPUTED_VALUE"""),"")</f>
        <v/>
      </c>
      <c r="C2522" s="17" t="str">
        <f>IFERROR(__xludf.DUMMYFUNCTION("""COMPUTED_VALUE"""),"")</f>
        <v/>
      </c>
      <c r="D2522" s="17" t="str">
        <f>IFERROR(__xludf.DUMMYFUNCTION("""COMPUTED_VALUE"""),"")</f>
        <v/>
      </c>
      <c r="E2522" s="17" t="str">
        <f>IFERROR(__xludf.DUMMYFUNCTION("""COMPUTED_VALUE"""),"")</f>
        <v/>
      </c>
      <c r="F2522" s="17" t="str">
        <f>IFERROR(__xludf.DUMMYFUNCTION("""COMPUTED_VALUE"""),"")</f>
        <v/>
      </c>
      <c r="G2522" s="17" t="str">
        <f>IFERROR(__xludf.DUMMYFUNCTION("""COMPUTED_VALUE"""),"")</f>
        <v/>
      </c>
      <c r="H2522" s="17" t="str">
        <f>IFERROR(__xludf.DUMMYFUNCTION("""COMPUTED_VALUE"""),"")</f>
        <v/>
      </c>
      <c r="I2522" s="17" t="str">
        <f>IFERROR(__xludf.DUMMYFUNCTION("""COMPUTED_VALUE"""),"")</f>
        <v/>
      </c>
      <c r="J2522" s="17" t="str">
        <f>IFERROR(__xludf.DUMMYFUNCTION("""COMPUTED_VALUE"""),"")</f>
        <v/>
      </c>
      <c r="K2522" s="17" t="str">
        <f>IFERROR(__xludf.DUMMYFUNCTION("""COMPUTED_VALUE"""),"")</f>
        <v/>
      </c>
      <c r="L2522" s="17" t="str">
        <f>IFERROR(__xludf.DUMMYFUNCTION("""COMPUTED_VALUE"""),"")</f>
        <v/>
      </c>
      <c r="M2522" s="17" t="str">
        <f>IFERROR(__xludf.DUMMYFUNCTION("""COMPUTED_VALUE"""),"")</f>
        <v/>
      </c>
      <c r="N2522" s="17" t="str">
        <f>IFERROR(__xludf.DUMMYFUNCTION("""COMPUTED_VALUE"""),"")</f>
        <v/>
      </c>
      <c r="O2522" s="17" t="str">
        <f>IFERROR(__xludf.DUMMYFUNCTION("""COMPUTED_VALUE"""),"")</f>
        <v/>
      </c>
      <c r="P2522" s="17" t="str">
        <f>IFERROR(__xludf.DUMMYFUNCTION("""COMPUTED_VALUE"""),"")</f>
        <v/>
      </c>
      <c r="Q2522" s="17" t="str">
        <f>IFERROR(__xludf.DUMMYFUNCTION("""COMPUTED_VALUE"""),"")</f>
        <v/>
      </c>
      <c r="R2522" s="17" t="str">
        <f>IFERROR(__xludf.DUMMYFUNCTION("""COMPUTED_VALUE"""),"")</f>
        <v/>
      </c>
    </row>
    <row r="2523">
      <c r="A2523" s="15">
        <f>IFERROR(__xludf.DUMMYFUNCTION("""COMPUTED_VALUE"""),45076.0)</f>
        <v>45076</v>
      </c>
      <c r="B2523" s="16" t="str">
        <f>IFERROR(__xludf.DUMMYFUNCTION("""COMPUTED_VALUE"""),"Jesus Manuel Herrera Medina ")</f>
        <v>Jesus Manuel Herrera Medina </v>
      </c>
      <c r="C2523" s="15" t="str">
        <f>IFERROR(__xludf.DUMMYFUNCTION("""COMPUTED_VALUE"""),"BUCARAMANGA")</f>
        <v>BUCARAMANGA</v>
      </c>
      <c r="D2523" s="15" t="str">
        <f>IFERROR(__xludf.DUMMYFUNCTION("""COMPUTED_VALUE"""),"BOGOTÁ")</f>
        <v>BOGOTÁ</v>
      </c>
      <c r="E2523" s="15" t="str">
        <f>IFERROR(__xludf.DUMMYFUNCTION("""COMPUTED_VALUE"""),"Frambascolombia sas")</f>
        <v>Frambascolombia sas</v>
      </c>
      <c r="F2523" s="17" t="str">
        <f>IFERROR(__xludf.DUMMYFUNCTION("""COMPUTED_VALUE"""),"Calle 32 # 34-31 / local 2")</f>
        <v>Calle 32 # 34-31 / local 2</v>
      </c>
      <c r="G2523" s="15" t="str">
        <f>IFERROR(__xludf.DUMMYFUNCTION("""COMPUTED_VALUE"""),"HILLARY GERENA")</f>
        <v>HILLARY GERENA</v>
      </c>
      <c r="H2523" s="16">
        <f>IFERROR(__xludf.DUMMYFUNCTION("""COMPUTED_VALUE"""),11057.0)</f>
        <v>11057</v>
      </c>
      <c r="I2523" s="18">
        <f>IFERROR(__xludf.DUMMYFUNCTION("""COMPUTED_VALUE"""),8.0)</f>
        <v>8</v>
      </c>
      <c r="J2523" s="18">
        <f>IFERROR(__xludf.DUMMYFUNCTION("""COMPUTED_VALUE"""),44992.0)</f>
        <v>44992</v>
      </c>
      <c r="K2523" s="18">
        <f>IFERROR(__xludf.DUMMYFUNCTION("""COMPUTED_VALUE"""),44992.0)</f>
        <v>44992</v>
      </c>
      <c r="L2523" s="17">
        <f>IFERROR(__xludf.DUMMYFUNCTION("""COMPUTED_VALUE"""),3.168647915E9)</f>
        <v>3168647915</v>
      </c>
      <c r="M2523" s="17" t="str">
        <f>IFERROR(__xludf.DUMMYFUNCTION("""COMPUTED_VALUE"""),"#REF!")</f>
        <v>#REF!</v>
      </c>
      <c r="N2523" s="17"/>
      <c r="O2523" s="17"/>
      <c r="P2523" s="17" t="b">
        <f>IFERROR(__xludf.DUMMYFUNCTION("""COMPUTED_VALUE"""),TRUE)</f>
        <v>1</v>
      </c>
      <c r="Q2523" s="20">
        <f>IFERROR(__xludf.DUMMYFUNCTION("""COMPUTED_VALUE"""),45076.54029017361)</f>
        <v>45076.54029</v>
      </c>
      <c r="R2523" s="22" t="str">
        <f>IFERROR(__xludf.DUMMYFUNCTION("""COMPUTED_VALUE"""),"")</f>
        <v/>
      </c>
    </row>
    <row r="2524">
      <c r="A2524" s="15">
        <f>IFERROR(__xludf.DUMMYFUNCTION("""COMPUTED_VALUE"""),45076.0)</f>
        <v>45076</v>
      </c>
      <c r="B2524" s="16" t="str">
        <f>IFERROR(__xludf.DUMMYFUNCTION("""COMPUTED_VALUE"""),"Jesus Manuel Herrera Medina ")</f>
        <v>Jesus Manuel Herrera Medina </v>
      </c>
      <c r="C2524" s="15" t="str">
        <f>IFERROR(__xludf.DUMMYFUNCTION("""COMPUTED_VALUE"""),"BUCARAMANGA")</f>
        <v>BUCARAMANGA</v>
      </c>
      <c r="D2524" s="15" t="str">
        <f>IFERROR(__xludf.DUMMYFUNCTION("""COMPUTED_VALUE"""),"BOGOTÁ")</f>
        <v>BOGOTÁ</v>
      </c>
      <c r="E2524" s="15" t="str">
        <f>IFERROR(__xludf.DUMMYFUNCTION("""COMPUTED_VALUE"""),"Frambascolombia sas")</f>
        <v>Frambascolombia sas</v>
      </c>
      <c r="F2524" s="17" t="str">
        <f>IFERROR(__xludf.DUMMYFUNCTION("""COMPUTED_VALUE"""),"Calle 32 # 34-31 / local 2")</f>
        <v>Calle 32 # 34-31 / local 2</v>
      </c>
      <c r="G2524" s="15" t="str">
        <f>IFERROR(__xludf.DUMMYFUNCTION("""COMPUTED_VALUE"""),"HILLARY GERENA")</f>
        <v>HILLARY GERENA</v>
      </c>
      <c r="H2524" s="16">
        <f>IFERROR(__xludf.DUMMYFUNCTION("""COMPUTED_VALUE"""),11058.0)</f>
        <v>11058</v>
      </c>
      <c r="I2524" s="18">
        <f>IFERROR(__xludf.DUMMYFUNCTION("""COMPUTED_VALUE"""),11.0)</f>
        <v>11</v>
      </c>
      <c r="J2524" s="18">
        <f>IFERROR(__xludf.DUMMYFUNCTION("""COMPUTED_VALUE"""),9.0)</f>
        <v>9</v>
      </c>
      <c r="K2524" s="18">
        <f>IFERROR(__xludf.DUMMYFUNCTION("""COMPUTED_VALUE"""),9.0)</f>
        <v>9</v>
      </c>
      <c r="L2524" s="17">
        <f>IFERROR(__xludf.DUMMYFUNCTION("""COMPUTED_VALUE"""),3.168647915E9)</f>
        <v>3168647915</v>
      </c>
      <c r="M2524" s="17" t="str">
        <f>IFERROR(__xludf.DUMMYFUNCTION("""COMPUTED_VALUE"""),"#REF!")</f>
        <v>#REF!</v>
      </c>
      <c r="N2524" s="17"/>
      <c r="O2524" s="17"/>
      <c r="P2524" s="17" t="b">
        <f>IFERROR(__xludf.DUMMYFUNCTION("""COMPUTED_VALUE"""),TRUE)</f>
        <v>1</v>
      </c>
      <c r="Q2524" s="20">
        <f>IFERROR(__xludf.DUMMYFUNCTION("""COMPUTED_VALUE"""),45076.61979575231)</f>
        <v>45076.6198</v>
      </c>
      <c r="R2524" s="22" t="str">
        <f>IFERROR(__xludf.DUMMYFUNCTION("""COMPUTED_VALUE"""),"")</f>
        <v/>
      </c>
    </row>
    <row r="2525">
      <c r="A2525" s="15">
        <f>IFERROR(__xludf.DUMMYFUNCTION("""COMPUTED_VALUE"""),45076.0)</f>
        <v>45076</v>
      </c>
      <c r="B2525" s="16" t="str">
        <f>IFERROR(__xludf.DUMMYFUNCTION("""COMPUTED_VALUE"""),"Jesus Manuel Herrera Medina ")</f>
        <v>Jesus Manuel Herrera Medina </v>
      </c>
      <c r="C2525" s="15" t="str">
        <f>IFERROR(__xludf.DUMMYFUNCTION("""COMPUTED_VALUE"""),"BUCARAMANGA")</f>
        <v>BUCARAMANGA</v>
      </c>
      <c r="D2525" s="15" t="str">
        <f>IFERROR(__xludf.DUMMYFUNCTION("""COMPUTED_VALUE"""),"BOGOTÁ")</f>
        <v>BOGOTÁ</v>
      </c>
      <c r="E2525" s="15" t="str">
        <f>IFERROR(__xludf.DUMMYFUNCTION("""COMPUTED_VALUE"""),"Ins. Alimento Vital")</f>
        <v>Ins. Alimento Vital</v>
      </c>
      <c r="F2525" s="17" t="str">
        <f>IFERROR(__xludf.DUMMYFUNCTION("""COMPUTED_VALUE"""),"CR 48  30 21  / TR 1 AP 204, EDI BOSQUES DEL VENADO / EDIFICIO BOSQUES DEL VENADO")</f>
        <v>CR 48  30 21  / TR 1 AP 204, EDI BOSQUES DEL VENADO / EDIFICIO BOSQUES DEL VENADO</v>
      </c>
      <c r="G2525" s="15" t="str">
        <f>IFERROR(__xludf.DUMMYFUNCTION("""COMPUTED_VALUE"""),"LEIDY CATERINE PATIÑO RODRIGUEZ")</f>
        <v>LEIDY CATERINE PATIÑO RODRIGUEZ</v>
      </c>
      <c r="H2525" s="16">
        <f>IFERROR(__xludf.DUMMYFUNCTION("""COMPUTED_VALUE"""),11100.0)</f>
        <v>11100</v>
      </c>
      <c r="I2525" s="18">
        <f>IFERROR(__xludf.DUMMYFUNCTION("""COMPUTED_VALUE"""),1.0)</f>
        <v>1</v>
      </c>
      <c r="J2525" s="18">
        <f>IFERROR(__xludf.DUMMYFUNCTION("""COMPUTED_VALUE"""),1.0)</f>
        <v>1</v>
      </c>
      <c r="K2525" s="18">
        <f>IFERROR(__xludf.DUMMYFUNCTION("""COMPUTED_VALUE"""),1.0)</f>
        <v>1</v>
      </c>
      <c r="L2525" s="17">
        <f>IFERROR(__xludf.DUMMYFUNCTION("""COMPUTED_VALUE"""),3.132936789E9)</f>
        <v>3132936789</v>
      </c>
      <c r="M2525" s="17" t="str">
        <f>IFERROR(__xludf.DUMMYFUNCTION("""COMPUTED_VALUE"""),"#REF!")</f>
        <v>#REF!</v>
      </c>
      <c r="N2525" s="17"/>
      <c r="O2525" s="17"/>
      <c r="P2525" s="17" t="b">
        <f>IFERROR(__xludf.DUMMYFUNCTION("""COMPUTED_VALUE"""),TRUE)</f>
        <v>1</v>
      </c>
      <c r="Q2525" s="20">
        <f>IFERROR(__xludf.DUMMYFUNCTION("""COMPUTED_VALUE"""),45076.781856030095)</f>
        <v>45076.78186</v>
      </c>
      <c r="R2525" s="22" t="str">
        <f>IFERROR(__xludf.DUMMYFUNCTION("""COMPUTED_VALUE"""),"")</f>
        <v/>
      </c>
    </row>
    <row r="2526">
      <c r="A2526" s="15">
        <f>IFERROR(__xludf.DUMMYFUNCTION("""COMPUTED_VALUE"""),45076.0)</f>
        <v>45076</v>
      </c>
      <c r="B2526" s="16" t="str">
        <f>IFERROR(__xludf.DUMMYFUNCTION("""COMPUTED_VALUE"""),"Jesus Manuel Herrera Medina ")</f>
        <v>Jesus Manuel Herrera Medina </v>
      </c>
      <c r="C2526" s="15" t="str">
        <f>IFERROR(__xludf.DUMMYFUNCTION("""COMPUTED_VALUE"""),"BUCARAMANGA")</f>
        <v>BUCARAMANGA</v>
      </c>
      <c r="D2526" s="15" t="str">
        <f>IFERROR(__xludf.DUMMYFUNCTION("""COMPUTED_VALUE"""),"BOGOTÁ")</f>
        <v>BOGOTÁ</v>
      </c>
      <c r="E2526" s="15" t="str">
        <f>IFERROR(__xludf.DUMMYFUNCTION("""COMPUTED_VALUE"""),"Ins. Alimento Vital")</f>
        <v>Ins. Alimento Vital</v>
      </c>
      <c r="F2526" s="17" t="str">
        <f>IFERROR(__xludf.DUMMYFUNCTION("""COMPUTED_VALUE"""),"TRANSVERSAL ORIENTAL 90-102 / PISO 1, TORRE EMPRESARIAL CACIQUE / TORRE EMPRESARIAL CACIQUE")</f>
        <v>TRANSVERSAL ORIENTAL 90-102 / PISO 1, TORRE EMPRESARIAL CACIQUE / TORRE EMPRESARIAL CACIQUE</v>
      </c>
      <c r="G2526" s="15" t="str">
        <f>IFERROR(__xludf.DUMMYFUNCTION("""COMPUTED_VALUE"""),"LORENA GRANADOS BARCO")</f>
        <v>LORENA GRANADOS BARCO</v>
      </c>
      <c r="H2526" s="16">
        <f>IFERROR(__xludf.DUMMYFUNCTION("""COMPUTED_VALUE"""),11093.0)</f>
        <v>11093</v>
      </c>
      <c r="I2526" s="18">
        <f>IFERROR(__xludf.DUMMYFUNCTION("""COMPUTED_VALUE"""),100.0)</f>
        <v>100</v>
      </c>
      <c r="J2526" s="18">
        <f>IFERROR(__xludf.DUMMYFUNCTION("""COMPUTED_VALUE"""),10.0)</f>
        <v>10</v>
      </c>
      <c r="K2526" s="18">
        <f>IFERROR(__xludf.DUMMYFUNCTION("""COMPUTED_VALUE"""),12.0)</f>
        <v>12</v>
      </c>
      <c r="L2526" s="17">
        <f>IFERROR(__xludf.DUMMYFUNCTION("""COMPUTED_VALUE"""),3.003286319E9)</f>
        <v>3003286319</v>
      </c>
      <c r="M2526" s="17" t="str">
        <f>IFERROR(__xludf.DUMMYFUNCTION("""COMPUTED_VALUE"""),"#REF!")</f>
        <v>#REF!</v>
      </c>
      <c r="N2526" s="17"/>
      <c r="O2526" s="17"/>
      <c r="P2526" s="17" t="b">
        <f>IFERROR(__xludf.DUMMYFUNCTION("""COMPUTED_VALUE"""),FALSE)</f>
        <v>0</v>
      </c>
      <c r="Q2526" s="20" t="str">
        <f>IFERROR(__xludf.DUMMYFUNCTION("""COMPUTED_VALUE"""),"")</f>
        <v/>
      </c>
      <c r="R2526" s="22" t="str">
        <f>IFERROR(__xludf.DUMMYFUNCTION("""COMPUTED_VALUE"""),"")</f>
        <v/>
      </c>
    </row>
    <row r="2527">
      <c r="A2527" s="15">
        <f>IFERROR(__xludf.DUMMYFUNCTION("""COMPUTED_VALUE"""),45076.0)</f>
        <v>45076</v>
      </c>
      <c r="B2527" s="16" t="str">
        <f>IFERROR(__xludf.DUMMYFUNCTION("""COMPUTED_VALUE"""),"Jesus Manuel Herrera Medina ")</f>
        <v>Jesus Manuel Herrera Medina </v>
      </c>
      <c r="C2527" s="15" t="str">
        <f>IFERROR(__xludf.DUMMYFUNCTION("""COMPUTED_VALUE"""),"BUCARAMANGA")</f>
        <v>BUCARAMANGA</v>
      </c>
      <c r="D2527" s="15" t="str">
        <f>IFERROR(__xludf.DUMMYFUNCTION("""COMPUTED_VALUE"""),"BOGOTÁ")</f>
        <v>BOGOTÁ</v>
      </c>
      <c r="E2527" s="15" t="str">
        <f>IFERROR(__xludf.DUMMYFUNCTION("""COMPUTED_VALUE"""),"Lunchy Kids")</f>
        <v>Lunchy Kids</v>
      </c>
      <c r="F2527" s="17" t="str">
        <f>IFERROR(__xludf.DUMMYFUNCTION("""COMPUTED_VALUE"""),"Calle 20 # 31-79 / apto 1401 edificio San Juan / San alonso")</f>
        <v>Calle 20 # 31-79 / apto 1401 edificio San Juan / San alonso</v>
      </c>
      <c r="G2527" s="15" t="str">
        <f>IFERROR(__xludf.DUMMYFUNCTION("""COMPUTED_VALUE"""),"Olga Rueda")</f>
        <v>Olga Rueda</v>
      </c>
      <c r="H2527" s="16">
        <f>IFERROR(__xludf.DUMMYFUNCTION("""COMPUTED_VALUE"""),11102.0)</f>
        <v>11102</v>
      </c>
      <c r="I2527" s="18">
        <f>IFERROR(__xludf.DUMMYFUNCTION("""COMPUTED_VALUE"""),7.0)</f>
        <v>7</v>
      </c>
      <c r="J2527" s="18">
        <f>IFERROR(__xludf.DUMMYFUNCTION("""COMPUTED_VALUE"""),30.0)</f>
        <v>30</v>
      </c>
      <c r="K2527" s="18">
        <f>IFERROR(__xludf.DUMMYFUNCTION("""COMPUTED_VALUE"""),5.0)</f>
        <v>5</v>
      </c>
      <c r="L2527" s="17">
        <f>IFERROR(__xludf.DUMMYFUNCTION("""COMPUTED_VALUE"""),3.125040287E9)</f>
        <v>3125040287</v>
      </c>
      <c r="M2527" s="17" t="str">
        <f>IFERROR(__xludf.DUMMYFUNCTION("""COMPUTED_VALUE"""),"#REF!")</f>
        <v>#REF!</v>
      </c>
      <c r="N2527" s="17"/>
      <c r="O2527" s="17"/>
      <c r="P2527" s="17" t="b">
        <f>IFERROR(__xludf.DUMMYFUNCTION("""COMPUTED_VALUE"""),FALSE)</f>
        <v>0</v>
      </c>
      <c r="Q2527" s="20" t="str">
        <f>IFERROR(__xludf.DUMMYFUNCTION("""COMPUTED_VALUE"""),"")</f>
        <v/>
      </c>
      <c r="R2527" s="22" t="str">
        <f>IFERROR(__xludf.DUMMYFUNCTION("""COMPUTED_VALUE"""),"")</f>
        <v/>
      </c>
    </row>
    <row r="2528">
      <c r="A2528" s="15">
        <f>IFERROR(__xludf.DUMMYFUNCTION("""COMPUTED_VALUE"""),45076.0)</f>
        <v>45076</v>
      </c>
      <c r="B2528" s="16" t="str">
        <f>IFERROR(__xludf.DUMMYFUNCTION("""COMPUTED_VALUE"""),"Jesus Manuel Herrera Medina ")</f>
        <v>Jesus Manuel Herrera Medina </v>
      </c>
      <c r="C2528" s="15" t="str">
        <f>IFERROR(__xludf.DUMMYFUNCTION("""COMPUTED_VALUE"""),"BUCARAMANGA")</f>
        <v>BUCARAMANGA</v>
      </c>
      <c r="D2528" s="15" t="str">
        <f>IFERROR(__xludf.DUMMYFUNCTION("""COMPUTED_VALUE"""),"BOGOTÁ")</f>
        <v>BOGOTÁ</v>
      </c>
      <c r="E2528" s="15" t="str">
        <f>IFERROR(__xludf.DUMMYFUNCTION("""COMPUTED_VALUE"""),"Pan de Waffle")</f>
        <v>Pan de Waffle</v>
      </c>
      <c r="F2528" s="17" t="str">
        <f>IFERROR(__xludf.DUMMYFUNCTION("""COMPUTED_VALUE"""),"Av. Samanes # 9 - 140 Ciudadela Real De Minas C.C. Acropolis Local 210A Piso 2 / Av. Samanes # 9 - 140 Ciudadela Real De Minas C.C. Acropolis Local 210A Piso 2 / Av. Samanes # 9 - 140 Ciudadela Real De Minas C.C. Acropolis Local 210A Piso 2")</f>
        <v>Av. Samanes # 9 - 140 Ciudadela Real De Minas C.C. Acropolis Local 210A Piso 2 / Av. Samanes # 9 - 140 Ciudadela Real De Minas C.C. Acropolis Local 210A Piso 2 / Av. Samanes # 9 - 140 Ciudadela Real De Minas C.C. Acropolis Local 210A Piso 2</v>
      </c>
      <c r="G2528" s="15" t="str">
        <f>IFERROR(__xludf.DUMMYFUNCTION("""COMPUTED_VALUE"""),"FITANICA SALUDABLE")</f>
        <v>FITANICA SALUDABLE</v>
      </c>
      <c r="H2528" s="16">
        <f>IFERROR(__xludf.DUMMYFUNCTION("""COMPUTED_VALUE"""),10992.0)</f>
        <v>10992</v>
      </c>
      <c r="I2528" s="18">
        <f>IFERROR(__xludf.DUMMYFUNCTION("""COMPUTED_VALUE"""),40.0)</f>
        <v>40</v>
      </c>
      <c r="J2528" s="18">
        <f>IFERROR(__xludf.DUMMYFUNCTION("""COMPUTED_VALUE"""),40.0)</f>
        <v>40</v>
      </c>
      <c r="K2528" s="18">
        <f>IFERROR(__xludf.DUMMYFUNCTION("""COMPUTED_VALUE"""),30.0)</f>
        <v>30</v>
      </c>
      <c r="L2528" s="17">
        <f>IFERROR(__xludf.DUMMYFUNCTION("""COMPUTED_VALUE"""),3.102563586E9)</f>
        <v>3102563586</v>
      </c>
      <c r="M2528" s="17" t="str">
        <f>IFERROR(__xludf.DUMMYFUNCTION("""COMPUTED_VALUE"""),"#REF!")</f>
        <v>#REF!</v>
      </c>
      <c r="N2528" s="17"/>
      <c r="O2528" s="17"/>
      <c r="P2528" s="17" t="b">
        <f>IFERROR(__xludf.DUMMYFUNCTION("""COMPUTED_VALUE"""),FALSE)</f>
        <v>0</v>
      </c>
      <c r="Q2528" s="20" t="str">
        <f>IFERROR(__xludf.DUMMYFUNCTION("""COMPUTED_VALUE"""),"")</f>
        <v/>
      </c>
      <c r="R2528" s="22" t="str">
        <f>IFERROR(__xludf.DUMMYFUNCTION("""COMPUTED_VALUE"""),"")</f>
        <v/>
      </c>
    </row>
    <row r="2529">
      <c r="A2529" s="15">
        <f>IFERROR(__xludf.DUMMYFUNCTION("""COMPUTED_VALUE"""),45076.0)</f>
        <v>45076</v>
      </c>
      <c r="B2529" s="16" t="str">
        <f>IFERROR(__xludf.DUMMYFUNCTION("""COMPUTED_VALUE"""),"Jesus Manuel Herrera Medina ")</f>
        <v>Jesus Manuel Herrera Medina </v>
      </c>
      <c r="C2529" s="15" t="str">
        <f>IFERROR(__xludf.DUMMYFUNCTION("""COMPUTED_VALUE"""),"BUCARAMANGA")</f>
        <v>BUCARAMANGA</v>
      </c>
      <c r="D2529" s="15" t="str">
        <f>IFERROR(__xludf.DUMMYFUNCTION("""COMPUTED_VALUE"""),"MEDELLÍN")</f>
        <v>MEDELLÍN</v>
      </c>
      <c r="E2529" s="15" t="str">
        <f>IFERROR(__xludf.DUMMYFUNCTION("""COMPUTED_VALUE"""),"Baby Chef")</f>
        <v>Baby Chef</v>
      </c>
      <c r="F2529" s="17" t="str">
        <f>IFERROR(__xludf.DUMMYFUNCTION("""COMPUTED_VALUE"""),"carrera 40a # 41-56 , apto 2301, edificio torre del Vento  Barrio cabecera  / carrera 40a # 41-56 , apto 2301, edificio torre del Vento  Barrio cabecera  / carrera 40a # 41-56 , apto 2301, edificio torre del Vento  Barrio cabecera")</f>
        <v>carrera 40a # 41-56 , apto 2301, edificio torre del Vento  Barrio cabecera  / carrera 40a # 41-56 , apto 2301, edificio torre del Vento  Barrio cabecera  / carrera 40a # 41-56 , apto 2301, edificio torre del Vento  Barrio cabecera</v>
      </c>
      <c r="G2529" s="15" t="str">
        <f>IFERROR(__xludf.DUMMYFUNCTION("""COMPUTED_VALUE"""),"Gina Ramírez")</f>
        <v>Gina Ramírez</v>
      </c>
      <c r="H2529" s="16">
        <f>IFERROR(__xludf.DUMMYFUNCTION("""COMPUTED_VALUE"""),11142.0)</f>
        <v>11142</v>
      </c>
      <c r="I2529" s="18">
        <f>IFERROR(__xludf.DUMMYFUNCTION("""COMPUTED_VALUE"""),8.0)</f>
        <v>8</v>
      </c>
      <c r="J2529" s="18">
        <f>IFERROR(__xludf.DUMMYFUNCTION("""COMPUTED_VALUE"""),16.0)</f>
        <v>16</v>
      </c>
      <c r="K2529" s="18">
        <f>IFERROR(__xludf.DUMMYFUNCTION("""COMPUTED_VALUE"""),20.0)</f>
        <v>20</v>
      </c>
      <c r="L2529" s="17">
        <f>IFERROR(__xludf.DUMMYFUNCTION("""COMPUTED_VALUE"""),3.152519365E9)</f>
        <v>3152519365</v>
      </c>
      <c r="M2529" s="17" t="str">
        <f>IFERROR(__xludf.DUMMYFUNCTION("""COMPUTED_VALUE"""),"#REF!")</f>
        <v>#REF!</v>
      </c>
      <c r="N2529" s="17"/>
      <c r="O2529" s="17"/>
      <c r="P2529" s="17" t="b">
        <f>IFERROR(__xludf.DUMMYFUNCTION("""COMPUTED_VALUE"""),FALSE)</f>
        <v>0</v>
      </c>
      <c r="Q2529" s="20" t="str">
        <f>IFERROR(__xludf.DUMMYFUNCTION("""COMPUTED_VALUE"""),"")</f>
        <v/>
      </c>
      <c r="R2529" s="22" t="str">
        <f>IFERROR(__xludf.DUMMYFUNCTION("""COMPUTED_VALUE"""),"")</f>
        <v/>
      </c>
    </row>
    <row r="2530">
      <c r="A2530" s="15">
        <f>IFERROR(__xludf.DUMMYFUNCTION("""COMPUTED_VALUE"""),45076.0)</f>
        <v>45076</v>
      </c>
      <c r="B2530" s="16" t="str">
        <f>IFERROR(__xludf.DUMMYFUNCTION("""COMPUTED_VALUE"""),"Jesus Manuel Herrera Medina ")</f>
        <v>Jesus Manuel Herrera Medina </v>
      </c>
      <c r="C2530" s="15" t="str">
        <f>IFERROR(__xludf.DUMMYFUNCTION("""COMPUTED_VALUE"""),"FLORIDABLANCA")</f>
        <v>FLORIDABLANCA</v>
      </c>
      <c r="D2530" s="15" t="str">
        <f>IFERROR(__xludf.DUMMYFUNCTION("""COMPUTED_VALUE"""),"BOGOTÁ")</f>
        <v>BOGOTÁ</v>
      </c>
      <c r="E2530" s="15" t="str">
        <f>IFERROR(__xludf.DUMMYFUNCTION("""COMPUTED_VALUE"""),"Asociacion Agropecuaria Juana Maria")</f>
        <v>Asociacion Agropecuaria Juana Maria</v>
      </c>
      <c r="F2530" s="17" t="str">
        <f>IFERROR(__xludf.DUMMYFUNCTION("""COMPUTED_VALUE"""),"Calle 19 #11-37 Guanatá FLORIDABLANCA")</f>
        <v>Calle 19 #11-37 Guanatá FLORIDABLANCA</v>
      </c>
      <c r="G2530" s="15" t="str">
        <f>IFERROR(__xludf.DUMMYFUNCTION("""COMPUTED_VALUE"""),"Claudia Gonzalez")</f>
        <v>Claudia Gonzalez</v>
      </c>
      <c r="H2530" s="16">
        <f>IFERROR(__xludf.DUMMYFUNCTION("""COMPUTED_VALUE"""),11087.0)</f>
        <v>11087</v>
      </c>
      <c r="I2530" s="18">
        <f>IFERROR(__xludf.DUMMYFUNCTION("""COMPUTED_VALUE"""),21.0)</f>
        <v>21</v>
      </c>
      <c r="J2530" s="18">
        <f>IFERROR(__xludf.DUMMYFUNCTION("""COMPUTED_VALUE"""),37.0)</f>
        <v>37</v>
      </c>
      <c r="K2530" s="18">
        <f>IFERROR(__xludf.DUMMYFUNCTION("""COMPUTED_VALUE"""),30.0)</f>
        <v>30</v>
      </c>
      <c r="L2530" s="17">
        <f>IFERROR(__xludf.DUMMYFUNCTION("""COMPUTED_VALUE"""),3.002802001E9)</f>
        <v>3002802001</v>
      </c>
      <c r="M2530" s="17" t="str">
        <f>IFERROR(__xludf.DUMMYFUNCTION("""COMPUTED_VALUE"""),"#REF!")</f>
        <v>#REF!</v>
      </c>
      <c r="N2530" s="17"/>
      <c r="O2530" s="17"/>
      <c r="P2530" s="17" t="b">
        <f>IFERROR(__xludf.DUMMYFUNCTION("""COMPUTED_VALUE"""),FALSE)</f>
        <v>0</v>
      </c>
      <c r="Q2530" s="20" t="str">
        <f>IFERROR(__xludf.DUMMYFUNCTION("""COMPUTED_VALUE"""),"")</f>
        <v/>
      </c>
      <c r="R2530" s="21" t="str">
        <f>IFERROR(__xludf.DUMMYFUNCTION("""COMPUTED_VALUE"""),"https://drive.google.com/file/d/1H2XmJ9fh8-BZE7jFbMdOJWxhadWbJhEh/view?usp=drivesdk")</f>
        <v>https://drive.google.com/file/d/1H2XmJ9fh8-BZE7jFbMdOJWxhadWbJhEh/view?usp=drivesdk</v>
      </c>
    </row>
    <row r="2531">
      <c r="A2531" s="15">
        <f>IFERROR(__xludf.DUMMYFUNCTION("""COMPUTED_VALUE"""),45076.0)</f>
        <v>45076</v>
      </c>
      <c r="B2531" s="16" t="str">
        <f>IFERROR(__xludf.DUMMYFUNCTION("""COMPUTED_VALUE"""),"Jesus Manuel Herrera Medina ")</f>
        <v>Jesus Manuel Herrera Medina </v>
      </c>
      <c r="C2531" s="15" t="str">
        <f>IFERROR(__xludf.DUMMYFUNCTION("""COMPUTED_VALUE"""),"PEREIRA")</f>
        <v>PEREIRA</v>
      </c>
      <c r="D2531" s="15" t="str">
        <f>IFERROR(__xludf.DUMMYFUNCTION("""COMPUTED_VALUE"""),"MEDELLÍN")</f>
        <v>MEDELLÍN</v>
      </c>
      <c r="E2531" s="15" t="str">
        <f>IFERROR(__xludf.DUMMYFUNCTION("""COMPUTED_VALUE"""),"Baby Chef")</f>
        <v>Baby Chef</v>
      </c>
      <c r="F2531" s="17" t="str">
        <f>IFERROR(__xludf.DUMMYFUNCTION("""COMPUTED_VALUE"""),"Bloque 2 apto 201 unidad serrana Barrio Ciudad Jardin Unidad Serrana Calle 17 24 29 Apto 201 / ""Bloque 2 apto 201 unidad serrana Barrio Ciudad Jardin Unidad Serrana Calle 17 24 29 Apto 201"" / ""Bloque 2 apto 201 unidad serrana Barrio Ciudad Jardin Unida"&amp;"d Serrana Calle 17 24 29 Apto 201""")</f>
        <v>Bloque 2 apto 201 unidad serrana Barrio Ciudad Jardin Unidad Serrana Calle 17 24 29 Apto 201 / "Bloque 2 apto 201 unidad serrana Barrio Ciudad Jardin Unidad Serrana Calle 17 24 29 Apto 201" / "Bloque 2 apto 201 unidad serrana Barrio Ciudad Jardin Unidad Serrana Calle 17 24 29 Apto 201"</v>
      </c>
      <c r="G2531" s="15" t="str">
        <f>IFERROR(__xludf.DUMMYFUNCTION("""COMPUTED_VALUE"""),"Paulina Betancourt Loffsner")</f>
        <v>Paulina Betancourt Loffsner</v>
      </c>
      <c r="H2531" s="16">
        <f>IFERROR(__xludf.DUMMYFUNCTION("""COMPUTED_VALUE"""),11138.0)</f>
        <v>11138</v>
      </c>
      <c r="I2531" s="18">
        <f>IFERROR(__xludf.DUMMYFUNCTION("""COMPUTED_VALUE"""),8.0)</f>
        <v>8</v>
      </c>
      <c r="J2531" s="18">
        <f>IFERROR(__xludf.DUMMYFUNCTION("""COMPUTED_VALUE"""),16.0)</f>
        <v>16</v>
      </c>
      <c r="K2531" s="18">
        <f>IFERROR(__xludf.DUMMYFUNCTION("""COMPUTED_VALUE"""),20.0)</f>
        <v>20</v>
      </c>
      <c r="L2531" s="17">
        <f>IFERROR(__xludf.DUMMYFUNCTION("""COMPUTED_VALUE"""),3.137682868E9)</f>
        <v>3137682868</v>
      </c>
      <c r="M2531" s="17" t="str">
        <f>IFERROR(__xludf.DUMMYFUNCTION("""COMPUTED_VALUE"""),"#REF!")</f>
        <v>#REF!</v>
      </c>
      <c r="N2531" s="17"/>
      <c r="O2531" s="17"/>
      <c r="P2531" s="17" t="b">
        <f>IFERROR(__xludf.DUMMYFUNCTION("""COMPUTED_VALUE"""),FALSE)</f>
        <v>0</v>
      </c>
      <c r="Q2531" s="20" t="str">
        <f>IFERROR(__xludf.DUMMYFUNCTION("""COMPUTED_VALUE"""),"")</f>
        <v/>
      </c>
      <c r="R2531" s="21" t="str">
        <f>IFERROR(__xludf.DUMMYFUNCTION("""COMPUTED_VALUE"""),"https://drive.google.com/file/d/1iXKCJVyDQMyRK3kAoMLw7PKhSJtf3Kok/view?usp=drivesdk")</f>
        <v>https://drive.google.com/file/d/1iXKCJVyDQMyRK3kAoMLw7PKhSJtf3Kok/view?usp=drivesdk</v>
      </c>
    </row>
    <row r="2532">
      <c r="A2532" s="15">
        <f>IFERROR(__xludf.DUMMYFUNCTION("""COMPUTED_VALUE"""),45076.0)</f>
        <v>45076</v>
      </c>
      <c r="B2532" s="16" t="str">
        <f>IFERROR(__xludf.DUMMYFUNCTION("""COMPUTED_VALUE"""),"Jesus Manuel Herrera Medina ")</f>
        <v>Jesus Manuel Herrera Medina </v>
      </c>
      <c r="C2532" s="15" t="str">
        <f>IFERROR(__xludf.DUMMYFUNCTION("""COMPUTED_VALUE"""),"PEREIRA")</f>
        <v>PEREIRA</v>
      </c>
      <c r="D2532" s="15" t="str">
        <f>IFERROR(__xludf.DUMMYFUNCTION("""COMPUTED_VALUE"""),"MEDELLÍN")</f>
        <v>MEDELLÍN</v>
      </c>
      <c r="E2532" s="15" t="str">
        <f>IFERROR(__xludf.DUMMYFUNCTION("""COMPUTED_VALUE"""),"Rambla")</f>
        <v>Rambla</v>
      </c>
      <c r="F2532" s="17" t="str">
        <f>IFERROR(__xludf.DUMMYFUNCTION("""COMPUTED_VALUE"""),"unicnetro nivel b local b 04 / na / na")</f>
        <v>unicnetro nivel b local b 04 / na / na</v>
      </c>
      <c r="G2532" s="15" t="str">
        <f>IFERROR(__xludf.DUMMYFUNCTION("""COMPUTED_VALUE"""),"TERRASANO")</f>
        <v>TERRASANO</v>
      </c>
      <c r="H2532" s="16">
        <f>IFERROR(__xludf.DUMMYFUNCTION("""COMPUTED_VALUE"""),11148.0)</f>
        <v>11148</v>
      </c>
      <c r="I2532" s="18">
        <f>IFERROR(__xludf.DUMMYFUNCTION("""COMPUTED_VALUE"""),22.0)</f>
        <v>22</v>
      </c>
      <c r="J2532" s="18">
        <f>IFERROR(__xludf.DUMMYFUNCTION("""COMPUTED_VALUE"""),25.0)</f>
        <v>25</v>
      </c>
      <c r="K2532" s="18">
        <f>IFERROR(__xludf.DUMMYFUNCTION("""COMPUTED_VALUE"""),28.0)</f>
        <v>28</v>
      </c>
      <c r="L2532" s="17">
        <f>IFERROR(__xludf.DUMMYFUNCTION("""COMPUTED_VALUE"""),3.234572533E9)</f>
        <v>3234572533</v>
      </c>
      <c r="M2532" s="17" t="str">
        <f>IFERROR(__xludf.DUMMYFUNCTION("""COMPUTED_VALUE"""),"#REF!")</f>
        <v>#REF!</v>
      </c>
      <c r="N2532" s="17"/>
      <c r="O2532" s="17"/>
      <c r="P2532" s="17" t="b">
        <f>IFERROR(__xludf.DUMMYFUNCTION("""COMPUTED_VALUE"""),FALSE)</f>
        <v>0</v>
      </c>
      <c r="Q2532" s="20" t="str">
        <f>IFERROR(__xludf.DUMMYFUNCTION("""COMPUTED_VALUE"""),"")</f>
        <v/>
      </c>
      <c r="R2532" s="21" t="str">
        <f>IFERROR(__xludf.DUMMYFUNCTION("""COMPUTED_VALUE"""),"https://drive.google.com/file/d/1ALtBFYnrWbeK9cJ2DdRsNvORKOiAddlR/view?usp=drivesdk")</f>
        <v>https://drive.google.com/file/d/1ALtBFYnrWbeK9cJ2DdRsNvORKOiAddlR/view?usp=drivesdk</v>
      </c>
    </row>
    <row r="2533">
      <c r="A2533" s="17" t="str">
        <f>IFERROR(__xludf.DUMMYFUNCTION("""COMPUTED_VALUE"""),"")</f>
        <v/>
      </c>
      <c r="B2533" s="17" t="str">
        <f>IFERROR(__xludf.DUMMYFUNCTION("""COMPUTED_VALUE"""),"")</f>
        <v/>
      </c>
      <c r="C2533" s="17" t="str">
        <f>IFERROR(__xludf.DUMMYFUNCTION("""COMPUTED_VALUE"""),"")</f>
        <v/>
      </c>
      <c r="D2533" s="17" t="str">
        <f>IFERROR(__xludf.DUMMYFUNCTION("""COMPUTED_VALUE"""),"")</f>
        <v/>
      </c>
      <c r="E2533" s="17" t="str">
        <f>IFERROR(__xludf.DUMMYFUNCTION("""COMPUTED_VALUE"""),"")</f>
        <v/>
      </c>
      <c r="F2533" s="17" t="str">
        <f>IFERROR(__xludf.DUMMYFUNCTION("""COMPUTED_VALUE"""),"")</f>
        <v/>
      </c>
      <c r="G2533" s="17" t="str">
        <f>IFERROR(__xludf.DUMMYFUNCTION("""COMPUTED_VALUE"""),"")</f>
        <v/>
      </c>
      <c r="H2533" s="17" t="str">
        <f>IFERROR(__xludf.DUMMYFUNCTION("""COMPUTED_VALUE"""),"")</f>
        <v/>
      </c>
      <c r="I2533" s="17" t="str">
        <f>IFERROR(__xludf.DUMMYFUNCTION("""COMPUTED_VALUE"""),"")</f>
        <v/>
      </c>
      <c r="J2533" s="17" t="str">
        <f>IFERROR(__xludf.DUMMYFUNCTION("""COMPUTED_VALUE"""),"")</f>
        <v/>
      </c>
      <c r="K2533" s="17" t="str">
        <f>IFERROR(__xludf.DUMMYFUNCTION("""COMPUTED_VALUE"""),"")</f>
        <v/>
      </c>
      <c r="L2533" s="17" t="str">
        <f>IFERROR(__xludf.DUMMYFUNCTION("""COMPUTED_VALUE"""),"")</f>
        <v/>
      </c>
      <c r="M2533" s="17" t="str">
        <f>IFERROR(__xludf.DUMMYFUNCTION("""COMPUTED_VALUE"""),"")</f>
        <v/>
      </c>
      <c r="N2533" s="17" t="str">
        <f>IFERROR(__xludf.DUMMYFUNCTION("""COMPUTED_VALUE"""),"")</f>
        <v/>
      </c>
      <c r="O2533" s="17" t="str">
        <f>IFERROR(__xludf.DUMMYFUNCTION("""COMPUTED_VALUE"""),"")</f>
        <v/>
      </c>
      <c r="P2533" s="17" t="str">
        <f>IFERROR(__xludf.DUMMYFUNCTION("""COMPUTED_VALUE"""),"")</f>
        <v/>
      </c>
      <c r="Q2533" s="17" t="str">
        <f>IFERROR(__xludf.DUMMYFUNCTION("""COMPUTED_VALUE"""),"")</f>
        <v/>
      </c>
      <c r="R2533" s="17" t="str">
        <f>IFERROR(__xludf.DUMMYFUNCTION("""COMPUTED_VALUE"""),"")</f>
        <v/>
      </c>
    </row>
    <row r="2534">
      <c r="A2534" s="15">
        <f>IFERROR(__xludf.DUMMYFUNCTION("""COMPUTED_VALUE"""),45076.0)</f>
        <v>45076</v>
      </c>
      <c r="B2534" s="16" t="str">
        <f>IFERROR(__xludf.DUMMYFUNCTION("""COMPUTED_VALUE"""),"Jhon Anderson Ceballos Hernandez")</f>
        <v>Jhon Anderson Ceballos Hernandez</v>
      </c>
      <c r="C2534" s="15" t="str">
        <f>IFERROR(__xludf.DUMMYFUNCTION("""COMPUTED_VALUE"""),"MANIZALES")</f>
        <v>MANIZALES</v>
      </c>
      <c r="D2534" s="15" t="str">
        <f>IFERROR(__xludf.DUMMYFUNCTION("""COMPUTED_VALUE"""),"BOGOTÁ")</f>
        <v>BOGOTÁ</v>
      </c>
      <c r="E2534" s="15" t="str">
        <f>IFERROR(__xludf.DUMMYFUNCTION("""COMPUTED_VALUE"""),"Evamazzita")</f>
        <v>Evamazzita</v>
      </c>
      <c r="F2534" s="17" t="str">
        <f>IFERROR(__xludf.DUMMYFUNCTION("""COMPUTED_VALUE"""),"Calle 12 #7b-71  / apto 503 edificio arcoiris   / Chipre")</f>
        <v>Calle 12 #7b-71  / apto 503 edificio arcoiris   / Chipre</v>
      </c>
      <c r="G2534" s="15" t="str">
        <f>IFERROR(__xludf.DUMMYFUNCTION("""COMPUTED_VALUE"""),"DIANA LONDOÑO")</f>
        <v>DIANA LONDOÑO</v>
      </c>
      <c r="H2534" s="16">
        <f>IFERROR(__xludf.DUMMYFUNCTION("""COMPUTED_VALUE"""),11096.0)</f>
        <v>11096</v>
      </c>
      <c r="I2534" s="18">
        <f>IFERROR(__xludf.DUMMYFUNCTION("""COMPUTED_VALUE"""),3.0)</f>
        <v>3</v>
      </c>
      <c r="J2534" s="18">
        <f>IFERROR(__xludf.DUMMYFUNCTION("""COMPUTED_VALUE"""),20.0)</f>
        <v>20</v>
      </c>
      <c r="K2534" s="18">
        <f>IFERROR(__xludf.DUMMYFUNCTION("""COMPUTED_VALUE"""),15.0)</f>
        <v>15</v>
      </c>
      <c r="L2534" s="17">
        <f>IFERROR(__xludf.DUMMYFUNCTION("""COMPUTED_VALUE"""),3.208553721E9)</f>
        <v>3208553721</v>
      </c>
      <c r="M2534" s="17" t="str">
        <f>IFERROR(__xludf.DUMMYFUNCTION("""COMPUTED_VALUE"""),"#REF!")</f>
        <v>#REF!</v>
      </c>
      <c r="N2534" s="17"/>
      <c r="O2534" s="17"/>
      <c r="P2534" s="17" t="b">
        <f>IFERROR(__xludf.DUMMYFUNCTION("""COMPUTED_VALUE"""),FALSE)</f>
        <v>0</v>
      </c>
      <c r="Q2534" s="20" t="str">
        <f>IFERROR(__xludf.DUMMYFUNCTION("""COMPUTED_VALUE"""),"")</f>
        <v/>
      </c>
      <c r="R2534" s="21" t="str">
        <f>IFERROR(__xludf.DUMMYFUNCTION("""COMPUTED_VALUE"""),"https://drive.google.com/file/d/1ECHt1V4d-ZET98DIo4rp1cylm4FZMdNg/view?usp=drivesdk")</f>
        <v>https://drive.google.com/file/d/1ECHt1V4d-ZET98DIo4rp1cylm4FZMdNg/view?usp=drivesdk</v>
      </c>
    </row>
    <row r="2535">
      <c r="A2535" s="15">
        <f>IFERROR(__xludf.DUMMYFUNCTION("""COMPUTED_VALUE"""),45076.0)</f>
        <v>45076</v>
      </c>
      <c r="B2535" s="16" t="str">
        <f>IFERROR(__xludf.DUMMYFUNCTION("""COMPUTED_VALUE"""),"Jhon Anderson Ceballos Hernandez")</f>
        <v>Jhon Anderson Ceballos Hernandez</v>
      </c>
      <c r="C2535" s="15" t="str">
        <f>IFERROR(__xludf.DUMMYFUNCTION("""COMPUTED_VALUE"""),"MANIZALES")</f>
        <v>MANIZALES</v>
      </c>
      <c r="D2535" s="15" t="str">
        <f>IFERROR(__xludf.DUMMYFUNCTION("""COMPUTED_VALUE"""),"BOGOTÁ")</f>
        <v>BOGOTÁ</v>
      </c>
      <c r="E2535" s="15" t="str">
        <f>IFERROR(__xludf.DUMMYFUNCTION("""COMPUTED_VALUE"""),"Evamazzita")</f>
        <v>Evamazzita</v>
      </c>
      <c r="F2535" s="17" t="str">
        <f>IFERROR(__xludf.DUMMYFUNCTION("""COMPUTED_VALUE"""),"Cra 28 D # 70-46   / N/A / Palermo")</f>
        <v>Cra 28 D # 70-46   / N/A / Palermo</v>
      </c>
      <c r="G2535" s="15" t="str">
        <f>IFERROR(__xludf.DUMMYFUNCTION("""COMPUTED_VALUE"""),"PAULA XIMENA BOLAÑOS")</f>
        <v>PAULA XIMENA BOLAÑOS</v>
      </c>
      <c r="H2535" s="16">
        <f>IFERROR(__xludf.DUMMYFUNCTION("""COMPUTED_VALUE"""),11097.0)</f>
        <v>11097</v>
      </c>
      <c r="I2535" s="18">
        <f>IFERROR(__xludf.DUMMYFUNCTION("""COMPUTED_VALUE"""),3.0)</f>
        <v>3</v>
      </c>
      <c r="J2535" s="18">
        <f>IFERROR(__xludf.DUMMYFUNCTION("""COMPUTED_VALUE"""),20.0)</f>
        <v>20</v>
      </c>
      <c r="K2535" s="18">
        <f>IFERROR(__xludf.DUMMYFUNCTION("""COMPUTED_VALUE"""),15.0)</f>
        <v>15</v>
      </c>
      <c r="L2535" s="17">
        <f>IFERROR(__xludf.DUMMYFUNCTION("""COMPUTED_VALUE"""),3.10398467E9)</f>
        <v>3103984670</v>
      </c>
      <c r="M2535" s="17" t="str">
        <f>IFERROR(__xludf.DUMMYFUNCTION("""COMPUTED_VALUE"""),"#REF!")</f>
        <v>#REF!</v>
      </c>
      <c r="N2535" s="17"/>
      <c r="O2535" s="17"/>
      <c r="P2535" s="17" t="b">
        <f>IFERROR(__xludf.DUMMYFUNCTION("""COMPUTED_VALUE"""),FALSE)</f>
        <v>0</v>
      </c>
      <c r="Q2535" s="20" t="str">
        <f>IFERROR(__xludf.DUMMYFUNCTION("""COMPUTED_VALUE"""),"")</f>
        <v/>
      </c>
      <c r="R2535" s="21" t="str">
        <f>IFERROR(__xludf.DUMMYFUNCTION("""COMPUTED_VALUE"""),"https://drive.google.com/file/d/12peBmTB7m6nNLfYr1IUcRIY2IV39OHgN/view?usp=drivesdk")</f>
        <v>https://drive.google.com/file/d/12peBmTB7m6nNLfYr1IUcRIY2IV39OHgN/view?usp=drivesdk</v>
      </c>
    </row>
    <row r="2536">
      <c r="A2536" s="15">
        <f>IFERROR(__xludf.DUMMYFUNCTION("""COMPUTED_VALUE"""),45076.0)</f>
        <v>45076</v>
      </c>
      <c r="B2536" s="16" t="str">
        <f>IFERROR(__xludf.DUMMYFUNCTION("""COMPUTED_VALUE"""),"Jhon Anderson Ceballos Hernandez")</f>
        <v>Jhon Anderson Ceballos Hernandez</v>
      </c>
      <c r="C2536" s="15" t="str">
        <f>IFERROR(__xludf.DUMMYFUNCTION("""COMPUTED_VALUE"""),"MANIZALES")</f>
        <v>MANIZALES</v>
      </c>
      <c r="D2536" s="15" t="str">
        <f>IFERROR(__xludf.DUMMYFUNCTION("""COMPUTED_VALUE"""),"MEDELLÍN")</f>
        <v>MEDELLÍN</v>
      </c>
      <c r="E2536" s="15" t="str">
        <f>IFERROR(__xludf.DUMMYFUNCTION("""COMPUTED_VALUE"""),"Moloso S.A.S")</f>
        <v>Moloso S.A.S</v>
      </c>
      <c r="F2536" s="17" t="str">
        <f>IFERROR(__xludf.DUMMYFUNCTION("""COMPUTED_VALUE"""),"CR 20 BIS 65A 101 / ED MONTEVEDRA AP 602C")</f>
        <v>CR 20 BIS 65A 101 / ED MONTEVEDRA AP 602C</v>
      </c>
      <c r="G2536" s="15" t="str">
        <f>IFERROR(__xludf.DUMMYFUNCTION("""COMPUTED_VALUE"""),"LUIS FERNANDO VILLA TABARES")</f>
        <v>LUIS FERNANDO VILLA TABARES</v>
      </c>
      <c r="H2536" s="16">
        <f>IFERROR(__xludf.DUMMYFUNCTION("""COMPUTED_VALUE"""),11145.0)</f>
        <v>11145</v>
      </c>
      <c r="I2536" s="18">
        <f>IFERROR(__xludf.DUMMYFUNCTION("""COMPUTED_VALUE"""),17.0)</f>
        <v>17</v>
      </c>
      <c r="J2536" s="18">
        <f>IFERROR(__xludf.DUMMYFUNCTION("""COMPUTED_VALUE"""),15.0)</f>
        <v>15</v>
      </c>
      <c r="K2536" s="18">
        <f>IFERROR(__xludf.DUMMYFUNCTION("""COMPUTED_VALUE"""),28.0)</f>
        <v>28</v>
      </c>
      <c r="L2536" s="17" t="str">
        <f>IFERROR(__xludf.DUMMYFUNCTION("""COMPUTED_VALUE"""),"311 6429468")</f>
        <v>311 6429468</v>
      </c>
      <c r="M2536" s="17" t="str">
        <f>IFERROR(__xludf.DUMMYFUNCTION("""COMPUTED_VALUE"""),"#REF!")</f>
        <v>#REF!</v>
      </c>
      <c r="N2536" s="17"/>
      <c r="O2536" s="17"/>
      <c r="P2536" s="17" t="b">
        <f>IFERROR(__xludf.DUMMYFUNCTION("""COMPUTED_VALUE"""),FALSE)</f>
        <v>0</v>
      </c>
      <c r="Q2536" s="20" t="str">
        <f>IFERROR(__xludf.DUMMYFUNCTION("""COMPUTED_VALUE"""),"")</f>
        <v/>
      </c>
      <c r="R2536" s="21" t="str">
        <f>IFERROR(__xludf.DUMMYFUNCTION("""COMPUTED_VALUE"""),"https://drive.google.com/file/d/1wstYuS9L7eVE_52bg1yLfKoAWReHxOs7/view?usp=drivesdk")</f>
        <v>https://drive.google.com/file/d/1wstYuS9L7eVE_52bg1yLfKoAWReHxOs7/view?usp=drivesdk</v>
      </c>
    </row>
    <row r="2537">
      <c r="A2537" s="17" t="str">
        <f>IFERROR(__xludf.DUMMYFUNCTION("""COMPUTED_VALUE"""),"")</f>
        <v/>
      </c>
      <c r="B2537" s="17" t="str">
        <f>IFERROR(__xludf.DUMMYFUNCTION("""COMPUTED_VALUE"""),"")</f>
        <v/>
      </c>
      <c r="C2537" s="17" t="str">
        <f>IFERROR(__xludf.DUMMYFUNCTION("""COMPUTED_VALUE"""),"")</f>
        <v/>
      </c>
      <c r="D2537" s="17" t="str">
        <f>IFERROR(__xludf.DUMMYFUNCTION("""COMPUTED_VALUE"""),"")</f>
        <v/>
      </c>
      <c r="E2537" s="17" t="str">
        <f>IFERROR(__xludf.DUMMYFUNCTION("""COMPUTED_VALUE"""),"")</f>
        <v/>
      </c>
      <c r="F2537" s="17" t="str">
        <f>IFERROR(__xludf.DUMMYFUNCTION("""COMPUTED_VALUE"""),"")</f>
        <v/>
      </c>
      <c r="G2537" s="17" t="str">
        <f>IFERROR(__xludf.DUMMYFUNCTION("""COMPUTED_VALUE"""),"")</f>
        <v/>
      </c>
      <c r="H2537" s="17" t="str">
        <f>IFERROR(__xludf.DUMMYFUNCTION("""COMPUTED_VALUE"""),"")</f>
        <v/>
      </c>
      <c r="I2537" s="17" t="str">
        <f>IFERROR(__xludf.DUMMYFUNCTION("""COMPUTED_VALUE"""),"")</f>
        <v/>
      </c>
      <c r="J2537" s="17" t="str">
        <f>IFERROR(__xludf.DUMMYFUNCTION("""COMPUTED_VALUE"""),"")</f>
        <v/>
      </c>
      <c r="K2537" s="17" t="str">
        <f>IFERROR(__xludf.DUMMYFUNCTION("""COMPUTED_VALUE"""),"")</f>
        <v/>
      </c>
      <c r="L2537" s="17" t="str">
        <f>IFERROR(__xludf.DUMMYFUNCTION("""COMPUTED_VALUE"""),"")</f>
        <v/>
      </c>
      <c r="M2537" s="17" t="str">
        <f>IFERROR(__xludf.DUMMYFUNCTION("""COMPUTED_VALUE"""),"")</f>
        <v/>
      </c>
      <c r="N2537" s="17" t="str">
        <f>IFERROR(__xludf.DUMMYFUNCTION("""COMPUTED_VALUE"""),"")</f>
        <v/>
      </c>
      <c r="O2537" s="17" t="str">
        <f>IFERROR(__xludf.DUMMYFUNCTION("""COMPUTED_VALUE"""),"")</f>
        <v/>
      </c>
      <c r="P2537" s="17" t="str">
        <f>IFERROR(__xludf.DUMMYFUNCTION("""COMPUTED_VALUE"""),"")</f>
        <v/>
      </c>
      <c r="Q2537" s="17" t="str">
        <f>IFERROR(__xludf.DUMMYFUNCTION("""COMPUTED_VALUE"""),"")</f>
        <v/>
      </c>
      <c r="R2537" s="17" t="str">
        <f>IFERROR(__xludf.DUMMYFUNCTION("""COMPUTED_VALUE"""),"")</f>
        <v/>
      </c>
    </row>
    <row r="2538">
      <c r="A2538" s="15">
        <f>IFERROR(__xludf.DUMMYFUNCTION("""COMPUTED_VALUE"""),45076.0)</f>
        <v>45076</v>
      </c>
      <c r="B2538" s="16" t="str">
        <f>IFERROR(__xludf.DUMMYFUNCTION("""COMPUTED_VALUE"""),"Jhon Anderson Ceballos Hernandez")</f>
        <v>Jhon Anderson Ceballos Hernandez</v>
      </c>
      <c r="C2538" s="15" t="str">
        <f>IFERROR(__xludf.DUMMYFUNCTION("""COMPUTED_VALUE"""),"MEDELLÍN")</f>
        <v>MEDELLÍN</v>
      </c>
      <c r="D2538" s="15" t="str">
        <f>IFERROR(__xludf.DUMMYFUNCTION("""COMPUTED_VALUE"""),"BOGOTÁ")</f>
        <v>BOGOTÁ</v>
      </c>
      <c r="E2538" s="15" t="str">
        <f>IFERROR(__xludf.DUMMYFUNCTION("""COMPUTED_VALUE"""),"MAI ALIMENTOS S.A.S")</f>
        <v>MAI ALIMENTOS S.A.S</v>
      </c>
      <c r="F2538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538" s="15" t="str">
        <f>IFERROR(__xludf.DUMMYFUNCTION("""COMPUTED_VALUE"""),"Novaventas - Medellin")</f>
        <v>Novaventas - Medellin</v>
      </c>
      <c r="H2538" s="16">
        <f>IFERROR(__xludf.DUMMYFUNCTION("""COMPUTED_VALUE"""),11060.0)</f>
        <v>11060</v>
      </c>
      <c r="I2538" s="18">
        <f>IFERROR(__xludf.DUMMYFUNCTION("""COMPUTED_VALUE"""),35.0)</f>
        <v>35</v>
      </c>
      <c r="J2538" s="18">
        <f>IFERROR(__xludf.DUMMYFUNCTION("""COMPUTED_VALUE"""),17.0)</f>
        <v>17</v>
      </c>
      <c r="K2538" s="18">
        <f>IFERROR(__xludf.DUMMYFUNCTION("""COMPUTED_VALUE"""),13.0)</f>
        <v>13</v>
      </c>
      <c r="L2538" s="17">
        <f>IFERROR(__xludf.DUMMYFUNCTION("""COMPUTED_VALUE"""),3.187351593E9)</f>
        <v>3187351593</v>
      </c>
      <c r="M2538" s="17" t="str">
        <f>IFERROR(__xludf.DUMMYFUNCTION("""COMPUTED_VALUE"""),"#REF!")</f>
        <v>#REF!</v>
      </c>
      <c r="N2538" s="17"/>
      <c r="O2538" s="17"/>
      <c r="P2538" s="17" t="b">
        <f>IFERROR(__xludf.DUMMYFUNCTION("""COMPUTED_VALUE"""),FALSE)</f>
        <v>0</v>
      </c>
      <c r="Q2538" s="20" t="str">
        <f>IFERROR(__xludf.DUMMYFUNCTION("""COMPUTED_VALUE"""),"")</f>
        <v/>
      </c>
      <c r="R2538" s="21" t="str">
        <f>IFERROR(__xludf.DUMMYFUNCTION("""COMPUTED_VALUE"""),"https://drive.google.com/file/d/1qBB1zzr13dGvjLhzWXgZwtGe5GuMb72G/view?usp=drivesdk")</f>
        <v>https://drive.google.com/file/d/1qBB1zzr13dGvjLhzWXgZwtGe5GuMb72G/view?usp=drivesdk</v>
      </c>
    </row>
    <row r="2539">
      <c r="A2539" s="15">
        <f>IFERROR(__xludf.DUMMYFUNCTION("""COMPUTED_VALUE"""),45076.0)</f>
        <v>45076</v>
      </c>
      <c r="B2539" s="16" t="str">
        <f>IFERROR(__xludf.DUMMYFUNCTION("""COMPUTED_VALUE"""),"Jhon Anderson Ceballos Hernandez")</f>
        <v>Jhon Anderson Ceballos Hernandez</v>
      </c>
      <c r="C2539" s="15" t="str">
        <f>IFERROR(__xludf.DUMMYFUNCTION("""COMPUTED_VALUE"""),"RIONEGRO")</f>
        <v>RIONEGRO</v>
      </c>
      <c r="D2539" s="15" t="str">
        <f>IFERROR(__xludf.DUMMYFUNCTION("""COMPUTED_VALUE"""),"BOGOTÁ")</f>
        <v>BOGOTÁ</v>
      </c>
      <c r="E2539" s="15" t="str">
        <f>IFERROR(__xludf.DUMMYFUNCTION("""COMPUTED_VALUE"""),"Top Spun")</f>
        <v>Top Spun</v>
      </c>
      <c r="F2539" s="17" t="str">
        <f>IFERROR(__xludf.DUMMYFUNCTION("""COMPUTED_VALUE"""),"Kilometron 1.5 vía Santa Elena vía Río Negro llano grande  / Parcelación prado verde casa 37 al lado de la estación de policía  / Parcelación prado verde casa 37 al lado de la estación de policía")</f>
        <v>Kilometron 1.5 vía Santa Elena vía Río Negro llano grande  / Parcelación prado verde casa 37 al lado de la estación de policía  / Parcelación prado verde casa 37 al lado de la estación de policía</v>
      </c>
      <c r="G2539" s="15" t="str">
        <f>IFERROR(__xludf.DUMMYFUNCTION("""COMPUTED_VALUE"""),"Vanesa Alejandra Rendon Atehortua")</f>
        <v>Vanesa Alejandra Rendon Atehortua</v>
      </c>
      <c r="H2539" s="16">
        <f>IFERROR(__xludf.DUMMYFUNCTION("""COMPUTED_VALUE"""),11078.0)</f>
        <v>11078</v>
      </c>
      <c r="I2539" s="18">
        <f>IFERROR(__xludf.DUMMYFUNCTION("""COMPUTED_VALUE"""),15.0)</f>
        <v>15</v>
      </c>
      <c r="J2539" s="18">
        <f>IFERROR(__xludf.DUMMYFUNCTION("""COMPUTED_VALUE"""),10.0)</f>
        <v>10</v>
      </c>
      <c r="K2539" s="18">
        <f>IFERROR(__xludf.DUMMYFUNCTION("""COMPUTED_VALUE"""),40.0)</f>
        <v>40</v>
      </c>
      <c r="L2539" s="17">
        <f>IFERROR(__xludf.DUMMYFUNCTION("""COMPUTED_VALUE"""),3.207091609E9)</f>
        <v>3207091609</v>
      </c>
      <c r="M2539" s="17" t="str">
        <f>IFERROR(__xludf.DUMMYFUNCTION("""COMPUTED_VALUE"""),"#REF!")</f>
        <v>#REF!</v>
      </c>
      <c r="N2539" s="17"/>
      <c r="O2539" s="17"/>
      <c r="P2539" s="17" t="b">
        <f>IFERROR(__xludf.DUMMYFUNCTION("""COMPUTED_VALUE"""),FALSE)</f>
        <v>0</v>
      </c>
      <c r="Q2539" s="20" t="str">
        <f>IFERROR(__xludf.DUMMYFUNCTION("""COMPUTED_VALUE"""),"")</f>
        <v/>
      </c>
      <c r="R2539" s="21" t="str">
        <f>IFERROR(__xludf.DUMMYFUNCTION("""COMPUTED_VALUE"""),"https://drive.google.com/file/d/1wE79pAiV6S27QuHq7QtjIVF7rUO_Xx6C/view?usp=drivesdk")</f>
        <v>https://drive.google.com/file/d/1wE79pAiV6S27QuHq7QtjIVF7rUO_Xx6C/view?usp=drivesdk</v>
      </c>
    </row>
    <row r="2540">
      <c r="A2540" s="17" t="str">
        <f>IFERROR(__xludf.DUMMYFUNCTION("""COMPUTED_VALUE"""),"")</f>
        <v/>
      </c>
      <c r="B2540" s="17" t="str">
        <f>IFERROR(__xludf.DUMMYFUNCTION("""COMPUTED_VALUE"""),"")</f>
        <v/>
      </c>
      <c r="C2540" s="17" t="str">
        <f>IFERROR(__xludf.DUMMYFUNCTION("""COMPUTED_VALUE"""),"")</f>
        <v/>
      </c>
      <c r="D2540" s="17" t="str">
        <f>IFERROR(__xludf.DUMMYFUNCTION("""COMPUTED_VALUE"""),"")</f>
        <v/>
      </c>
      <c r="E2540" s="17" t="str">
        <f>IFERROR(__xludf.DUMMYFUNCTION("""COMPUTED_VALUE"""),"")</f>
        <v/>
      </c>
      <c r="F2540" s="17" t="str">
        <f>IFERROR(__xludf.DUMMYFUNCTION("""COMPUTED_VALUE"""),"")</f>
        <v/>
      </c>
      <c r="G2540" s="17" t="str">
        <f>IFERROR(__xludf.DUMMYFUNCTION("""COMPUTED_VALUE"""),"")</f>
        <v/>
      </c>
      <c r="H2540" s="17" t="str">
        <f>IFERROR(__xludf.DUMMYFUNCTION("""COMPUTED_VALUE"""),"")</f>
        <v/>
      </c>
      <c r="I2540" s="17" t="str">
        <f>IFERROR(__xludf.DUMMYFUNCTION("""COMPUTED_VALUE"""),"")</f>
        <v/>
      </c>
      <c r="J2540" s="17" t="str">
        <f>IFERROR(__xludf.DUMMYFUNCTION("""COMPUTED_VALUE"""),"")</f>
        <v/>
      </c>
      <c r="K2540" s="17" t="str">
        <f>IFERROR(__xludf.DUMMYFUNCTION("""COMPUTED_VALUE"""),"")</f>
        <v/>
      </c>
      <c r="L2540" s="17" t="str">
        <f>IFERROR(__xludf.DUMMYFUNCTION("""COMPUTED_VALUE"""),"")</f>
        <v/>
      </c>
      <c r="M2540" s="17" t="str">
        <f>IFERROR(__xludf.DUMMYFUNCTION("""COMPUTED_VALUE"""),"")</f>
        <v/>
      </c>
      <c r="N2540" s="17" t="str">
        <f>IFERROR(__xludf.DUMMYFUNCTION("""COMPUTED_VALUE"""),"")</f>
        <v/>
      </c>
      <c r="O2540" s="17" t="str">
        <f>IFERROR(__xludf.DUMMYFUNCTION("""COMPUTED_VALUE"""),"")</f>
        <v/>
      </c>
      <c r="P2540" s="17" t="str">
        <f>IFERROR(__xludf.DUMMYFUNCTION("""COMPUTED_VALUE"""),"")</f>
        <v/>
      </c>
      <c r="Q2540" s="17" t="str">
        <f>IFERROR(__xludf.DUMMYFUNCTION("""COMPUTED_VALUE"""),"")</f>
        <v/>
      </c>
      <c r="R2540" s="17" t="str">
        <f>IFERROR(__xludf.DUMMYFUNCTION("""COMPUTED_VALUE"""),"")</f>
        <v/>
      </c>
    </row>
    <row r="2541">
      <c r="A2541" s="15">
        <f>IFERROR(__xludf.DUMMYFUNCTION("""COMPUTED_VALUE"""),45076.0)</f>
        <v>45076</v>
      </c>
      <c r="B2541" s="16" t="str">
        <f>IFERROR(__xludf.DUMMYFUNCTION("""COMPUTED_VALUE"""),"Johan Alexander Escobar Arroyo ")</f>
        <v>Johan Alexander Escobar Arroyo </v>
      </c>
      <c r="C2541" s="15" t="str">
        <f>IFERROR(__xludf.DUMMYFUNCTION("""COMPUTED_VALUE"""),"CALI")</f>
        <v>CALI</v>
      </c>
      <c r="D2541" s="15" t="str">
        <f>IFERROR(__xludf.DUMMYFUNCTION("""COMPUTED_VALUE"""),"BOGOTÁ")</f>
        <v>BOGOTÁ</v>
      </c>
      <c r="E2541" s="15" t="str">
        <f>IFERROR(__xludf.DUMMYFUNCTION("""COMPUTED_VALUE"""),"Evamazzita")</f>
        <v>Evamazzita</v>
      </c>
      <c r="F2541" s="17" t="str">
        <f>IFERROR(__xludf.DUMMYFUNCTION("""COMPUTED_VALUE"""),"CALI: CRA 100 No. 28 - 68  / APTO 801 TORRE 3 CR MADEIRA  / BARRIO VALLE DEL LILI")</f>
        <v>CALI: CRA 100 No. 28 - 68  / APTO 801 TORRE 3 CR MADEIRA  / BARRIO VALLE DEL LILI</v>
      </c>
      <c r="G2541" s="15" t="str">
        <f>IFERROR(__xludf.DUMMYFUNCTION("""COMPUTED_VALUE"""),"ROLADIS VALENCIA")</f>
        <v>ROLADIS VALENCIA</v>
      </c>
      <c r="H2541" s="16">
        <f>IFERROR(__xludf.DUMMYFUNCTION("""COMPUTED_VALUE"""),11108.0)</f>
        <v>11108</v>
      </c>
      <c r="I2541" s="18">
        <f>IFERROR(__xludf.DUMMYFUNCTION("""COMPUTED_VALUE"""),3.0)</f>
        <v>3</v>
      </c>
      <c r="J2541" s="18">
        <f>IFERROR(__xludf.DUMMYFUNCTION("""COMPUTED_VALUE"""),15.0)</f>
        <v>15</v>
      </c>
      <c r="K2541" s="18">
        <f>IFERROR(__xludf.DUMMYFUNCTION("""COMPUTED_VALUE"""),20.0)</f>
        <v>20</v>
      </c>
      <c r="L2541" s="17">
        <f>IFERROR(__xludf.DUMMYFUNCTION("""COMPUTED_VALUE"""),3.218477399E9)</f>
        <v>3218477399</v>
      </c>
      <c r="M2541" s="17" t="str">
        <f>IFERROR(__xludf.DUMMYFUNCTION("""COMPUTED_VALUE"""),"#REF!")</f>
        <v>#REF!</v>
      </c>
      <c r="N2541" s="17"/>
      <c r="O2541" s="17"/>
      <c r="P2541" s="17" t="b">
        <f>IFERROR(__xludf.DUMMYFUNCTION("""COMPUTED_VALUE"""),FALSE)</f>
        <v>0</v>
      </c>
      <c r="Q2541" s="20" t="str">
        <f>IFERROR(__xludf.DUMMYFUNCTION("""COMPUTED_VALUE"""),"")</f>
        <v/>
      </c>
      <c r="R2541" s="21" t="str">
        <f>IFERROR(__xludf.DUMMYFUNCTION("""COMPUTED_VALUE"""),"https://drive.google.com/file/d/1Ri-inqq2jxJZlVO8V2FWv5EzsvxDWHba/view?usp=drivesdk")</f>
        <v>https://drive.google.com/file/d/1Ri-inqq2jxJZlVO8V2FWv5EzsvxDWHba/view?usp=drivesdk</v>
      </c>
    </row>
    <row r="2542">
      <c r="A2542" s="15">
        <f>IFERROR(__xludf.DUMMYFUNCTION("""COMPUTED_VALUE"""),45076.0)</f>
        <v>45076</v>
      </c>
      <c r="B2542" s="16" t="str">
        <f>IFERROR(__xludf.DUMMYFUNCTION("""COMPUTED_VALUE"""),"Johan Alexander Escobar Arroyo ")</f>
        <v>Johan Alexander Escobar Arroyo </v>
      </c>
      <c r="C2542" s="15" t="str">
        <f>IFERROR(__xludf.DUMMYFUNCTION("""COMPUTED_VALUE"""),"CALI")</f>
        <v>CALI</v>
      </c>
      <c r="D2542" s="15" t="str">
        <f>IFERROR(__xludf.DUMMYFUNCTION("""COMPUTED_VALUE"""),"BOGOTÁ")</f>
        <v>BOGOTÁ</v>
      </c>
      <c r="E2542" s="15" t="str">
        <f>IFERROR(__xludf.DUMMYFUNCTION("""COMPUTED_VALUE"""),"Evamazzita")</f>
        <v>Evamazzita</v>
      </c>
      <c r="F2542" s="17" t="str">
        <f>IFERROR(__xludf.DUMMYFUNCTION("""COMPUTED_VALUE"""),"CALI: CRA 46C No. 55A - 15  / N/A / BARRIO CIUDAD CORDOBA")</f>
        <v>CALI: CRA 46C No. 55A - 15  / N/A / BARRIO CIUDAD CORDOBA</v>
      </c>
      <c r="G2542" s="15" t="str">
        <f>IFERROR(__xludf.DUMMYFUNCTION("""COMPUTED_VALUE"""),"CLAUDIA CANTERO")</f>
        <v>CLAUDIA CANTERO</v>
      </c>
      <c r="H2542" s="16">
        <f>IFERROR(__xludf.DUMMYFUNCTION("""COMPUTED_VALUE"""),11109.0)</f>
        <v>11109</v>
      </c>
      <c r="I2542" s="18">
        <f>IFERROR(__xludf.DUMMYFUNCTION("""COMPUTED_VALUE"""),3.0)</f>
        <v>3</v>
      </c>
      <c r="J2542" s="18">
        <f>IFERROR(__xludf.DUMMYFUNCTION("""COMPUTED_VALUE"""),20.0)</f>
        <v>20</v>
      </c>
      <c r="K2542" s="18">
        <f>IFERROR(__xludf.DUMMYFUNCTION("""COMPUTED_VALUE"""),15.0)</f>
        <v>15</v>
      </c>
      <c r="L2542" s="17">
        <f>IFERROR(__xludf.DUMMYFUNCTION("""COMPUTED_VALUE"""),3.176248548E9)</f>
        <v>3176248548</v>
      </c>
      <c r="M2542" s="17" t="str">
        <f>IFERROR(__xludf.DUMMYFUNCTION("""COMPUTED_VALUE"""),"#REF!")</f>
        <v>#REF!</v>
      </c>
      <c r="N2542" s="17"/>
      <c r="O2542" s="17"/>
      <c r="P2542" s="17" t="b">
        <f>IFERROR(__xludf.DUMMYFUNCTION("""COMPUTED_VALUE"""),FALSE)</f>
        <v>0</v>
      </c>
      <c r="Q2542" s="20" t="str">
        <f>IFERROR(__xludf.DUMMYFUNCTION("""COMPUTED_VALUE"""),"")</f>
        <v/>
      </c>
      <c r="R2542" s="21" t="str">
        <f>IFERROR(__xludf.DUMMYFUNCTION("""COMPUTED_VALUE"""),"https://drive.google.com/file/d/1zNKxdnDMBSz8OoOr1C0OhXFED5BFdvnq/view?usp=drivesdk")</f>
        <v>https://drive.google.com/file/d/1zNKxdnDMBSz8OoOr1C0OhXFED5BFdvnq/view?usp=drivesdk</v>
      </c>
    </row>
    <row r="2543">
      <c r="A2543" s="15">
        <f>IFERROR(__xludf.DUMMYFUNCTION("""COMPUTED_VALUE"""),45076.0)</f>
        <v>45076</v>
      </c>
      <c r="B2543" s="16" t="str">
        <f>IFERROR(__xludf.DUMMYFUNCTION("""COMPUTED_VALUE"""),"Johan Alexander Escobar Arroyo ")</f>
        <v>Johan Alexander Escobar Arroyo </v>
      </c>
      <c r="C2543" s="15" t="str">
        <f>IFERROR(__xludf.DUMMYFUNCTION("""COMPUTED_VALUE"""),"CALI")</f>
        <v>CALI</v>
      </c>
      <c r="D2543" s="15" t="str">
        <f>IFERROR(__xludf.DUMMYFUNCTION("""COMPUTED_VALUE"""),"BOGOTÁ")</f>
        <v>BOGOTÁ</v>
      </c>
      <c r="E2543" s="15" t="str">
        <f>IFERROR(__xludf.DUMMYFUNCTION("""COMPUTED_VALUE"""),"Evamazzita")</f>
        <v>Evamazzita</v>
      </c>
      <c r="F2543" s="17" t="str">
        <f>IFERROR(__xludf.DUMMYFUNCTION("""COMPUTED_VALUE"""),"CALLE 52 i NORTE # 3 N - 40  / TORRE 4 APTO. 408 / N/A")</f>
        <v>CALLE 52 i NORTE # 3 N - 40  / TORRE 4 APTO. 408 / N/A</v>
      </c>
      <c r="G2543" s="15" t="str">
        <f>IFERROR(__xludf.DUMMYFUNCTION("""COMPUTED_VALUE"""),"CRISTHIAN BEJARANO")</f>
        <v>CRISTHIAN BEJARANO</v>
      </c>
      <c r="H2543" s="16">
        <f>IFERROR(__xludf.DUMMYFUNCTION("""COMPUTED_VALUE"""),11111.0)</f>
        <v>11111</v>
      </c>
      <c r="I2543" s="18">
        <f>IFERROR(__xludf.DUMMYFUNCTION("""COMPUTED_VALUE"""),3.0)</f>
        <v>3</v>
      </c>
      <c r="J2543" s="18">
        <f>IFERROR(__xludf.DUMMYFUNCTION("""COMPUTED_VALUE"""),20.0)</f>
        <v>20</v>
      </c>
      <c r="K2543" s="18">
        <f>IFERROR(__xludf.DUMMYFUNCTION("""COMPUTED_VALUE"""),15.0)</f>
        <v>15</v>
      </c>
      <c r="L2543" s="17">
        <f>IFERROR(__xludf.DUMMYFUNCTION("""COMPUTED_VALUE"""),3.174282063E9)</f>
        <v>3174282063</v>
      </c>
      <c r="M2543" s="17" t="str">
        <f>IFERROR(__xludf.DUMMYFUNCTION("""COMPUTED_VALUE"""),"#REF!")</f>
        <v>#REF!</v>
      </c>
      <c r="N2543" s="17"/>
      <c r="O2543" s="17"/>
      <c r="P2543" s="17" t="b">
        <f>IFERROR(__xludf.DUMMYFUNCTION("""COMPUTED_VALUE"""),TRUE)</f>
        <v>1</v>
      </c>
      <c r="Q2543" s="20">
        <f>IFERROR(__xludf.DUMMYFUNCTION("""COMPUTED_VALUE"""),45076.539212592594)</f>
        <v>45076.53921</v>
      </c>
      <c r="R2543" s="21" t="str">
        <f>IFERROR(__xludf.DUMMYFUNCTION("""COMPUTED_VALUE"""),"https://drive.google.com/file/d/1hKBdYVMBZ5cAS5DfQMqkokbEbvjzopgC/view?usp=drivesdk")</f>
        <v>https://drive.google.com/file/d/1hKBdYVMBZ5cAS5DfQMqkokbEbvjzopgC/view?usp=drivesdk</v>
      </c>
    </row>
    <row r="2544">
      <c r="A2544" s="15">
        <f>IFERROR(__xludf.DUMMYFUNCTION("""COMPUTED_VALUE"""),45076.0)</f>
        <v>45076</v>
      </c>
      <c r="B2544" s="16" t="str">
        <f>IFERROR(__xludf.DUMMYFUNCTION("""COMPUTED_VALUE"""),"Johan Alexander Escobar Arroyo ")</f>
        <v>Johan Alexander Escobar Arroyo </v>
      </c>
      <c r="C2544" s="15" t="str">
        <f>IFERROR(__xludf.DUMMYFUNCTION("""COMPUTED_VALUE"""),"CALI")</f>
        <v>CALI</v>
      </c>
      <c r="D2544" s="15" t="str">
        <f>IFERROR(__xludf.DUMMYFUNCTION("""COMPUTED_VALUE"""),"BOGOTÁ")</f>
        <v>BOGOTÁ</v>
      </c>
      <c r="E2544" s="15" t="str">
        <f>IFERROR(__xludf.DUMMYFUNCTION("""COMPUTED_VALUE"""),"Evamazzita")</f>
        <v>Evamazzita</v>
      </c>
      <c r="F2544" s="17" t="str">
        <f>IFERROR(__xludf.DUMMYFUNCTION("""COMPUTED_VALUE"""),"CRA 98B No. 60 -115  /  TORRE 5B APTO 804 / ZAFIRO B")</f>
        <v>CRA 98B No. 60 -115  /  TORRE 5B APTO 804 / ZAFIRO B</v>
      </c>
      <c r="G2544" s="15" t="str">
        <f>IFERROR(__xludf.DUMMYFUNCTION("""COMPUTED_VALUE"""),"PAOLA VARELA")</f>
        <v>PAOLA VARELA</v>
      </c>
      <c r="H2544" s="16">
        <f>IFERROR(__xludf.DUMMYFUNCTION("""COMPUTED_VALUE"""),11112.0)</f>
        <v>11112</v>
      </c>
      <c r="I2544" s="18">
        <f>IFERROR(__xludf.DUMMYFUNCTION("""COMPUTED_VALUE"""),3.0)</f>
        <v>3</v>
      </c>
      <c r="J2544" s="18">
        <f>IFERROR(__xludf.DUMMYFUNCTION("""COMPUTED_VALUE"""),20.0)</f>
        <v>20</v>
      </c>
      <c r="K2544" s="18">
        <f>IFERROR(__xludf.DUMMYFUNCTION("""COMPUTED_VALUE"""),15.0)</f>
        <v>15</v>
      </c>
      <c r="L2544" s="17">
        <f>IFERROR(__xludf.DUMMYFUNCTION("""COMPUTED_VALUE"""),3.01327837E9)</f>
        <v>3013278370</v>
      </c>
      <c r="M2544" s="17" t="str">
        <f>IFERROR(__xludf.DUMMYFUNCTION("""COMPUTED_VALUE"""),"#REF!")</f>
        <v>#REF!</v>
      </c>
      <c r="N2544" s="17"/>
      <c r="O2544" s="17"/>
      <c r="P2544" s="17" t="b">
        <f>IFERROR(__xludf.DUMMYFUNCTION("""COMPUTED_VALUE"""),FALSE)</f>
        <v>0</v>
      </c>
      <c r="Q2544" s="20" t="str">
        <f>IFERROR(__xludf.DUMMYFUNCTION("""COMPUTED_VALUE"""),"")</f>
        <v/>
      </c>
      <c r="R2544" s="21" t="str">
        <f>IFERROR(__xludf.DUMMYFUNCTION("""COMPUTED_VALUE"""),"https://drive.google.com/file/d/1f4kS7RcsZtUO2O7f6V1H1u-paiTA-tUL/view?usp=drivesdk")</f>
        <v>https://drive.google.com/file/d/1f4kS7RcsZtUO2O7f6V1H1u-paiTA-tUL/view?usp=drivesdk</v>
      </c>
    </row>
    <row r="2545">
      <c r="A2545" s="15">
        <f>IFERROR(__xludf.DUMMYFUNCTION("""COMPUTED_VALUE"""),45076.0)</f>
        <v>45076</v>
      </c>
      <c r="B2545" s="16" t="str">
        <f>IFERROR(__xludf.DUMMYFUNCTION("""COMPUTED_VALUE"""),"Johan Alexander Escobar Arroyo ")</f>
        <v>Johan Alexander Escobar Arroyo </v>
      </c>
      <c r="C2545" s="15" t="str">
        <f>IFERROR(__xludf.DUMMYFUNCTION("""COMPUTED_VALUE"""),"CALI")</f>
        <v>CALI</v>
      </c>
      <c r="D2545" s="15" t="str">
        <f>IFERROR(__xludf.DUMMYFUNCTION("""COMPUTED_VALUE"""),"BOGOTÁ")</f>
        <v>BOGOTÁ</v>
      </c>
      <c r="E2545" s="15" t="str">
        <f>IFERROR(__xludf.DUMMYFUNCTION("""COMPUTED_VALUE"""),"Evamazzita")</f>
        <v>Evamazzita</v>
      </c>
      <c r="F2545" s="17" t="str">
        <f>IFERROR(__xludf.DUMMYFUNCTION("""COMPUTED_VALUE"""),"RECIBE LUIS BUITRAGO CARRERA 38 # 56 - 27  / EL VALLADO / RECIBE LUIS BUITRAGO")</f>
        <v>RECIBE LUIS BUITRAGO CARRERA 38 # 56 - 27  / EL VALLADO / RECIBE LUIS BUITRAGO</v>
      </c>
      <c r="G2545" s="15" t="str">
        <f>IFERROR(__xludf.DUMMYFUNCTION("""COMPUTED_VALUE"""),"GEIDEN YANELA MENESES CARDENAS")</f>
        <v>GEIDEN YANELA MENESES CARDENAS</v>
      </c>
      <c r="H2545" s="16">
        <f>IFERROR(__xludf.DUMMYFUNCTION("""COMPUTED_VALUE"""),11106.0)</f>
        <v>11106</v>
      </c>
      <c r="I2545" s="18">
        <f>IFERROR(__xludf.DUMMYFUNCTION("""COMPUTED_VALUE"""),3.0)</f>
        <v>3</v>
      </c>
      <c r="J2545" s="18">
        <f>IFERROR(__xludf.DUMMYFUNCTION("""COMPUTED_VALUE"""),20.0)</f>
        <v>20</v>
      </c>
      <c r="K2545" s="18">
        <f>IFERROR(__xludf.DUMMYFUNCTION("""COMPUTED_VALUE"""),15.0)</f>
        <v>15</v>
      </c>
      <c r="L2545" s="17">
        <f>IFERROR(__xludf.DUMMYFUNCTION("""COMPUTED_VALUE"""),3.182809343E9)</f>
        <v>3182809343</v>
      </c>
      <c r="M2545" s="17" t="str">
        <f>IFERROR(__xludf.DUMMYFUNCTION("""COMPUTED_VALUE"""),"#REF!")</f>
        <v>#REF!</v>
      </c>
      <c r="N2545" s="17"/>
      <c r="O2545" s="17"/>
      <c r="P2545" s="17" t="b">
        <f>IFERROR(__xludf.DUMMYFUNCTION("""COMPUTED_VALUE"""),TRUE)</f>
        <v>1</v>
      </c>
      <c r="Q2545" s="20">
        <f>IFERROR(__xludf.DUMMYFUNCTION("""COMPUTED_VALUE"""),45076.63638674769)</f>
        <v>45076.63639</v>
      </c>
      <c r="R2545" s="21" t="str">
        <f>IFERROR(__xludf.DUMMYFUNCTION("""COMPUTED_VALUE"""),"https://drive.google.com/file/d/1Vv1HgotwPqqRgxe09ocI5Z4f95vqnNFo/view?usp=drivesdk")</f>
        <v>https://drive.google.com/file/d/1Vv1HgotwPqqRgxe09ocI5Z4f95vqnNFo/view?usp=drivesdk</v>
      </c>
    </row>
    <row r="2546">
      <c r="A2546" s="15">
        <f>IFERROR(__xludf.DUMMYFUNCTION("""COMPUTED_VALUE"""),45076.0)</f>
        <v>45076</v>
      </c>
      <c r="B2546" s="16" t="str">
        <f>IFERROR(__xludf.DUMMYFUNCTION("""COMPUTED_VALUE"""),"Johan Alexander Escobar Arroyo ")</f>
        <v>Johan Alexander Escobar Arroyo </v>
      </c>
      <c r="C2546" s="15" t="str">
        <f>IFERROR(__xludf.DUMMYFUNCTION("""COMPUTED_VALUE"""),"CALI")</f>
        <v>CALI</v>
      </c>
      <c r="D2546" s="15" t="str">
        <f>IFERROR(__xludf.DUMMYFUNCTION("""COMPUTED_VALUE"""),"BOGOTÁ")</f>
        <v>BOGOTÁ</v>
      </c>
      <c r="E2546" s="15" t="str">
        <f>IFERROR(__xludf.DUMMYFUNCTION("""COMPUTED_VALUE"""),"Evamazzita")</f>
        <v>Evamazzita</v>
      </c>
      <c r="F2546" s="17" t="str">
        <f>IFERROR(__xludf.DUMMYFUNCTION("""COMPUTED_VALUE"""),"Recibe: Jhonatan Castillo  Cel.: 3128308962 Calle 6 # 29-104  / avenida Roosvelt Cali.   / Local Ferrollaves Ortiz. Recibe: Jhonatan Castillo  Cel.: 3128308962")</f>
        <v>Recibe: Jhonatan Castillo  Cel.: 3128308962 Calle 6 # 29-104  / avenida Roosvelt Cali.   / Local Ferrollaves Ortiz. Recibe: Jhonatan Castillo  Cel.: 3128308962</v>
      </c>
      <c r="G2546" s="15" t="str">
        <f>IFERROR(__xludf.DUMMYFUNCTION("""COMPUTED_VALUE"""),"YINA MARCELA GUERRERO ESPAÑA")</f>
        <v>YINA MARCELA GUERRERO ESPAÑA</v>
      </c>
      <c r="H2546" s="16">
        <f>IFERROR(__xludf.DUMMYFUNCTION("""COMPUTED_VALUE"""),11110.0)</f>
        <v>11110</v>
      </c>
      <c r="I2546" s="18">
        <f>IFERROR(__xludf.DUMMYFUNCTION("""COMPUTED_VALUE"""),3.0)</f>
        <v>3</v>
      </c>
      <c r="J2546" s="18">
        <f>IFERROR(__xludf.DUMMYFUNCTION("""COMPUTED_VALUE"""),20.0)</f>
        <v>20</v>
      </c>
      <c r="K2546" s="18">
        <f>IFERROR(__xludf.DUMMYFUNCTION("""COMPUTED_VALUE"""),15.0)</f>
        <v>15</v>
      </c>
      <c r="L2546" s="17">
        <f>IFERROR(__xludf.DUMMYFUNCTION("""COMPUTED_VALUE"""),3.157731149E9)</f>
        <v>3157731149</v>
      </c>
      <c r="M2546" s="17" t="str">
        <f>IFERROR(__xludf.DUMMYFUNCTION("""COMPUTED_VALUE"""),"#REF!")</f>
        <v>#REF!</v>
      </c>
      <c r="N2546" s="17"/>
      <c r="O2546" s="17"/>
      <c r="P2546" s="17" t="b">
        <f>IFERROR(__xludf.DUMMYFUNCTION("""COMPUTED_VALUE"""),FALSE)</f>
        <v>0</v>
      </c>
      <c r="Q2546" s="20" t="str">
        <f>IFERROR(__xludf.DUMMYFUNCTION("""COMPUTED_VALUE"""),"")</f>
        <v/>
      </c>
      <c r="R2546" s="21" t="str">
        <f>IFERROR(__xludf.DUMMYFUNCTION("""COMPUTED_VALUE"""),"https://drive.google.com/file/d/1PAWJl_bKfU-Vwwz-WmuH4XbTR__GYz4Q/view?usp=drivesdk")</f>
        <v>https://drive.google.com/file/d/1PAWJl_bKfU-Vwwz-WmuH4XbTR__GYz4Q/view?usp=drivesdk</v>
      </c>
    </row>
    <row r="2547">
      <c r="A2547" s="15">
        <f>IFERROR(__xludf.DUMMYFUNCTION("""COMPUTED_VALUE"""),45076.0)</f>
        <v>45076</v>
      </c>
      <c r="B2547" s="16" t="str">
        <f>IFERROR(__xludf.DUMMYFUNCTION("""COMPUTED_VALUE"""),"Johan Alexander Escobar Arroyo ")</f>
        <v>Johan Alexander Escobar Arroyo </v>
      </c>
      <c r="C2547" s="15" t="str">
        <f>IFERROR(__xludf.DUMMYFUNCTION("""COMPUTED_VALUE"""),"IBAGUÉ")</f>
        <v>IBAGUÉ</v>
      </c>
      <c r="D2547" s="15" t="str">
        <f>IFERROR(__xludf.DUMMYFUNCTION("""COMPUTED_VALUE"""),"MEDELLÍN")</f>
        <v>MEDELLÍN</v>
      </c>
      <c r="E2547" s="15" t="str">
        <f>IFERROR(__xludf.DUMMYFUNCTION("""COMPUTED_VALUE"""),"Baby Chef")</f>
        <v>Baby Chef</v>
      </c>
      <c r="F2547" s="17" t="str">
        <f>IFERROR(__xludf.DUMMYFUNCTION("""COMPUTED_VALUE"""),"Calle 88 #4D sur-30 zona cinco torre 3 apartamento 103  / Calle 88 #4D sur-30 zona cinco torre 3 apartamento 103  / Calle 88 #4D sur-30 zona cinco torre 3 apartamento 103")</f>
        <v>Calle 88 #4D sur-30 zona cinco torre 3 apartamento 103  / Calle 88 #4D sur-30 zona cinco torre 3 apartamento 103  / Calle 88 #4D sur-30 zona cinco torre 3 apartamento 103</v>
      </c>
      <c r="G2547" s="15" t="str">
        <f>IFERROR(__xludf.DUMMYFUNCTION("""COMPUTED_VALUE"""),"Heidy cordoba")</f>
        <v>Heidy cordoba</v>
      </c>
      <c r="H2547" s="16">
        <f>IFERROR(__xludf.DUMMYFUNCTION("""COMPUTED_VALUE"""),11144.0)</f>
        <v>11144</v>
      </c>
      <c r="I2547" s="18">
        <f>IFERROR(__xludf.DUMMYFUNCTION("""COMPUTED_VALUE"""),8.0)</f>
        <v>8</v>
      </c>
      <c r="J2547" s="18">
        <f>IFERROR(__xludf.DUMMYFUNCTION("""COMPUTED_VALUE"""),16.0)</f>
        <v>16</v>
      </c>
      <c r="K2547" s="18">
        <f>IFERROR(__xludf.DUMMYFUNCTION("""COMPUTED_VALUE"""),20.0)</f>
        <v>20</v>
      </c>
      <c r="L2547" s="17">
        <f>IFERROR(__xludf.DUMMYFUNCTION("""COMPUTED_VALUE"""),3.136137816E9)</f>
        <v>3136137816</v>
      </c>
      <c r="M2547" s="17" t="str">
        <f>IFERROR(__xludf.DUMMYFUNCTION("""COMPUTED_VALUE"""),"#REF!")</f>
        <v>#REF!</v>
      </c>
      <c r="N2547" s="17"/>
      <c r="O2547" s="17"/>
      <c r="P2547" s="17" t="b">
        <f>IFERROR(__xludf.DUMMYFUNCTION("""COMPUTED_VALUE"""),FALSE)</f>
        <v>0</v>
      </c>
      <c r="Q2547" s="20" t="str">
        <f>IFERROR(__xludf.DUMMYFUNCTION("""COMPUTED_VALUE"""),"")</f>
        <v/>
      </c>
      <c r="R2547" s="21" t="str">
        <f>IFERROR(__xludf.DUMMYFUNCTION("""COMPUTED_VALUE"""),"https://drive.google.com/file/d/1xwyDcPqovah-F6tdyat4DX9YDfltMThB/view?usp=drivesdk")</f>
        <v>https://drive.google.com/file/d/1xwyDcPqovah-F6tdyat4DX9YDfltMThB/view?usp=drivesdk</v>
      </c>
    </row>
    <row r="2548">
      <c r="A2548" s="15">
        <f>IFERROR(__xludf.DUMMYFUNCTION("""COMPUTED_VALUE"""),45076.0)</f>
        <v>45076</v>
      </c>
      <c r="B2548" s="16" t="str">
        <f>IFERROR(__xludf.DUMMYFUNCTION("""COMPUTED_VALUE"""),"Johan Alexander Escobar Arroyo ")</f>
        <v>Johan Alexander Escobar Arroyo </v>
      </c>
      <c r="C2548" s="15" t="str">
        <f>IFERROR(__xludf.DUMMYFUNCTION("""COMPUTED_VALUE"""),"IBAGUÉ")</f>
        <v>IBAGUÉ</v>
      </c>
      <c r="D2548" s="15" t="str">
        <f>IFERROR(__xludf.DUMMYFUNCTION("""COMPUTED_VALUE"""),"MEDELLÍN")</f>
        <v>MEDELLÍN</v>
      </c>
      <c r="E2548" s="15" t="str">
        <f>IFERROR(__xludf.DUMMYFUNCTION("""COMPUTED_VALUE"""),"Rambla")</f>
        <v>Rambla</v>
      </c>
      <c r="F2548" s="17" t="str">
        <f>IFERROR(__xludf.DUMMYFUNCTION("""COMPUTED_VALUE"""),"Cra 14 #75A-29 local 5 estancia del vergel ibague - Tolima / na / na")</f>
        <v>Cra 14 #75A-29 local 5 estancia del vergel ibague - Tolima / na / na</v>
      </c>
      <c r="G2548" s="15" t="str">
        <f>IFERROR(__xludf.DUMMYFUNCTION("""COMPUTED_VALUE"""),"Soy natural market fit")</f>
        <v>Soy natural market fit</v>
      </c>
      <c r="H2548" s="16">
        <f>IFERROR(__xludf.DUMMYFUNCTION("""COMPUTED_VALUE"""),11137.0)</f>
        <v>11137</v>
      </c>
      <c r="I2548" s="18">
        <f>IFERROR(__xludf.DUMMYFUNCTION("""COMPUTED_VALUE"""),25.0)</f>
        <v>25</v>
      </c>
      <c r="J2548" s="18">
        <f>IFERROR(__xludf.DUMMYFUNCTION("""COMPUTED_VALUE"""),27.0)</f>
        <v>27</v>
      </c>
      <c r="K2548" s="18">
        <f>IFERROR(__xludf.DUMMYFUNCTION("""COMPUTED_VALUE"""),30.0)</f>
        <v>30</v>
      </c>
      <c r="L2548" s="17">
        <f>IFERROR(__xludf.DUMMYFUNCTION("""COMPUTED_VALUE"""),3.177002909E9)</f>
        <v>3177002909</v>
      </c>
      <c r="M2548" s="17" t="str">
        <f>IFERROR(__xludf.DUMMYFUNCTION("""COMPUTED_VALUE"""),"#REF!")</f>
        <v>#REF!</v>
      </c>
      <c r="N2548" s="17"/>
      <c r="O2548" s="17"/>
      <c r="P2548" s="17" t="b">
        <f>IFERROR(__xludf.DUMMYFUNCTION("""COMPUTED_VALUE"""),FALSE)</f>
        <v>0</v>
      </c>
      <c r="Q2548" s="20" t="str">
        <f>IFERROR(__xludf.DUMMYFUNCTION("""COMPUTED_VALUE"""),"")</f>
        <v/>
      </c>
      <c r="R2548" s="21" t="str">
        <f>IFERROR(__xludf.DUMMYFUNCTION("""COMPUTED_VALUE"""),"https://drive.google.com/file/d/1p_zAdCfl_Wo1qYUsLXDRB4wXvAxHV9Ax/view?usp=drivesdk")</f>
        <v>https://drive.google.com/file/d/1p_zAdCfl_Wo1qYUsLXDRB4wXvAxHV9Ax/view?usp=drivesdk</v>
      </c>
    </row>
    <row r="2549">
      <c r="A2549" s="17" t="str">
        <f>IFERROR(__xludf.DUMMYFUNCTION("""COMPUTED_VALUE"""),"")</f>
        <v/>
      </c>
      <c r="B2549" s="17" t="str">
        <f>IFERROR(__xludf.DUMMYFUNCTION("""COMPUTED_VALUE"""),"")</f>
        <v/>
      </c>
      <c r="C2549" s="17" t="str">
        <f>IFERROR(__xludf.DUMMYFUNCTION("""COMPUTED_VALUE"""),"")</f>
        <v/>
      </c>
      <c r="D2549" s="17" t="str">
        <f>IFERROR(__xludf.DUMMYFUNCTION("""COMPUTED_VALUE"""),"")</f>
        <v/>
      </c>
      <c r="E2549" s="17" t="str">
        <f>IFERROR(__xludf.DUMMYFUNCTION("""COMPUTED_VALUE"""),"")</f>
        <v/>
      </c>
      <c r="F2549" s="17" t="str">
        <f>IFERROR(__xludf.DUMMYFUNCTION("""COMPUTED_VALUE"""),"")</f>
        <v/>
      </c>
      <c r="G2549" s="17" t="str">
        <f>IFERROR(__xludf.DUMMYFUNCTION("""COMPUTED_VALUE"""),"")</f>
        <v/>
      </c>
      <c r="H2549" s="17" t="str">
        <f>IFERROR(__xludf.DUMMYFUNCTION("""COMPUTED_VALUE"""),"")</f>
        <v/>
      </c>
      <c r="I2549" s="17" t="str">
        <f>IFERROR(__xludf.DUMMYFUNCTION("""COMPUTED_VALUE"""),"")</f>
        <v/>
      </c>
      <c r="J2549" s="17" t="str">
        <f>IFERROR(__xludf.DUMMYFUNCTION("""COMPUTED_VALUE"""),"")</f>
        <v/>
      </c>
      <c r="K2549" s="17" t="str">
        <f>IFERROR(__xludf.DUMMYFUNCTION("""COMPUTED_VALUE"""),"")</f>
        <v/>
      </c>
      <c r="L2549" s="17" t="str">
        <f>IFERROR(__xludf.DUMMYFUNCTION("""COMPUTED_VALUE"""),"")</f>
        <v/>
      </c>
      <c r="M2549" s="17" t="str">
        <f>IFERROR(__xludf.DUMMYFUNCTION("""COMPUTED_VALUE"""),"")</f>
        <v/>
      </c>
      <c r="N2549" s="17" t="str">
        <f>IFERROR(__xludf.DUMMYFUNCTION("""COMPUTED_VALUE"""),"")</f>
        <v/>
      </c>
      <c r="O2549" s="17" t="str">
        <f>IFERROR(__xludf.DUMMYFUNCTION("""COMPUTED_VALUE"""),"")</f>
        <v/>
      </c>
      <c r="P2549" s="17" t="str">
        <f>IFERROR(__xludf.DUMMYFUNCTION("""COMPUTED_VALUE"""),"")</f>
        <v/>
      </c>
      <c r="Q2549" s="17" t="str">
        <f>IFERROR(__xludf.DUMMYFUNCTION("""COMPUTED_VALUE"""),"")</f>
        <v/>
      </c>
      <c r="R2549" s="17" t="str">
        <f>IFERROR(__xludf.DUMMYFUNCTION("""COMPUTED_VALUE"""),"")</f>
        <v/>
      </c>
    </row>
    <row r="2550">
      <c r="A2550" s="15">
        <f>IFERROR(__xludf.DUMMYFUNCTION("""COMPUTED_VALUE"""),45076.0)</f>
        <v>45076</v>
      </c>
      <c r="B2550" s="16" t="str">
        <f>IFERROR(__xludf.DUMMYFUNCTION("""COMPUTED_VALUE"""),"Jonathan Steven Taborda")</f>
        <v>Jonathan Steven Taborda</v>
      </c>
      <c r="C2550" s="15" t="str">
        <f>IFERROR(__xludf.DUMMYFUNCTION("""COMPUTED_VALUE"""),"ARMENIA")</f>
        <v>ARMENIA</v>
      </c>
      <c r="D2550" s="15" t="str">
        <f>IFERROR(__xludf.DUMMYFUNCTION("""COMPUTED_VALUE"""),"BOGOTÁ")</f>
        <v>BOGOTÁ</v>
      </c>
      <c r="E2550" s="15" t="str">
        <f>IFERROR(__xludf.DUMMYFUNCTION("""COMPUTED_VALUE"""),"Evamazzita")</f>
        <v>Evamazzita</v>
      </c>
      <c r="F2550" s="17" t="str">
        <f>IFERROR(__xludf.DUMMYFUNCTION("""COMPUTED_VALUE"""),"CALLE 30 # 30 - 11  / N/A / BARRIO QUINDÍO")</f>
        <v>CALLE 30 # 30 - 11  / N/A / BARRIO QUINDÍO</v>
      </c>
      <c r="G2550" s="15" t="str">
        <f>IFERROR(__xludf.DUMMYFUNCTION("""COMPUTED_VALUE"""),"YORMARY JIMENEZ")</f>
        <v>YORMARY JIMENEZ</v>
      </c>
      <c r="H2550" s="16">
        <f>IFERROR(__xludf.DUMMYFUNCTION("""COMPUTED_VALUE"""),11099.0)</f>
        <v>11099</v>
      </c>
      <c r="I2550" s="18">
        <f>IFERROR(__xludf.DUMMYFUNCTION("""COMPUTED_VALUE"""),11.0)</f>
        <v>11</v>
      </c>
      <c r="J2550" s="18">
        <f>IFERROR(__xludf.DUMMYFUNCTION("""COMPUTED_VALUE"""),49.0)</f>
        <v>49</v>
      </c>
      <c r="K2550" s="18">
        <f>IFERROR(__xludf.DUMMYFUNCTION("""COMPUTED_VALUE"""),32.0)</f>
        <v>32</v>
      </c>
      <c r="L2550" s="17">
        <f>IFERROR(__xludf.DUMMYFUNCTION("""COMPUTED_VALUE"""),3.113196178E9)</f>
        <v>3113196178</v>
      </c>
      <c r="M2550" s="17" t="str">
        <f>IFERROR(__xludf.DUMMYFUNCTION("""COMPUTED_VALUE"""),"#REF!")</f>
        <v>#REF!</v>
      </c>
      <c r="N2550" s="17"/>
      <c r="O2550" s="17"/>
      <c r="P2550" s="17" t="b">
        <f>IFERROR(__xludf.DUMMYFUNCTION("""COMPUTED_VALUE"""),FALSE)</f>
        <v>0</v>
      </c>
      <c r="Q2550" s="20" t="str">
        <f>IFERROR(__xludf.DUMMYFUNCTION("""COMPUTED_VALUE"""),"")</f>
        <v/>
      </c>
      <c r="R2550" s="22" t="str">
        <f>IFERROR(__xludf.DUMMYFUNCTION("""COMPUTED_VALUE"""),"")</f>
        <v/>
      </c>
    </row>
    <row r="2551">
      <c r="A2551" s="15">
        <f>IFERROR(__xludf.DUMMYFUNCTION("""COMPUTED_VALUE"""),45076.0)</f>
        <v>45076</v>
      </c>
      <c r="B2551" s="16" t="str">
        <f>IFERROR(__xludf.DUMMYFUNCTION("""COMPUTED_VALUE"""),"Jonathan Steven Taborda")</f>
        <v>Jonathan Steven Taborda</v>
      </c>
      <c r="C2551" s="15" t="str">
        <f>IFERROR(__xludf.DUMMYFUNCTION("""COMPUTED_VALUE"""),"ARMENIA")</f>
        <v>ARMENIA</v>
      </c>
      <c r="D2551" s="15" t="str">
        <f>IFERROR(__xludf.DUMMYFUNCTION("""COMPUTED_VALUE"""),"BOGOTÁ")</f>
        <v>BOGOTÁ</v>
      </c>
      <c r="E2551" s="15" t="str">
        <f>IFERROR(__xludf.DUMMYFUNCTION("""COMPUTED_VALUE"""),"Karem foods")</f>
        <v>Karem foods</v>
      </c>
      <c r="F2551" s="17" t="str">
        <f>IFERROR(__xludf.DUMMYFUNCTION("""COMPUTED_VALUE"""),"Cra 5 #10Norte-25 /  La Reserva Torre Málaga Apto 602 / -")</f>
        <v>Cra 5 #10Norte-25 /  La Reserva Torre Málaga Apto 602 / -</v>
      </c>
      <c r="G2551" s="15" t="str">
        <f>IFERROR(__xludf.DUMMYFUNCTION("""COMPUTED_VALUE"""),"María Mercedes  Barros Ramírez")</f>
        <v>María Mercedes  Barros Ramírez</v>
      </c>
      <c r="H2551" s="16">
        <f>IFERROR(__xludf.DUMMYFUNCTION("""COMPUTED_VALUE"""),11147.0)</f>
        <v>11147</v>
      </c>
      <c r="I2551" s="18">
        <f>IFERROR(__xludf.DUMMYFUNCTION("""COMPUTED_VALUE"""),7.0)</f>
        <v>7</v>
      </c>
      <c r="J2551" s="18">
        <f>IFERROR(__xludf.DUMMYFUNCTION("""COMPUTED_VALUE"""),20.0)</f>
        <v>20</v>
      </c>
      <c r="K2551" s="18">
        <f>IFERROR(__xludf.DUMMYFUNCTION("""COMPUTED_VALUE"""),20.0)</f>
        <v>20</v>
      </c>
      <c r="L2551" s="17">
        <f>IFERROR(__xludf.DUMMYFUNCTION("""COMPUTED_VALUE"""),3.148630924E9)</f>
        <v>3148630924</v>
      </c>
      <c r="M2551" s="17" t="str">
        <f>IFERROR(__xludf.DUMMYFUNCTION("""COMPUTED_VALUE"""),"#REF!")</f>
        <v>#REF!</v>
      </c>
      <c r="N2551" s="17"/>
      <c r="O2551" s="17"/>
      <c r="P2551" s="17" t="b">
        <f>IFERROR(__xludf.DUMMYFUNCTION("""COMPUTED_VALUE"""),FALSE)</f>
        <v>0</v>
      </c>
      <c r="Q2551" s="20" t="str">
        <f>IFERROR(__xludf.DUMMYFUNCTION("""COMPUTED_VALUE"""),"")</f>
        <v/>
      </c>
      <c r="R2551" s="21" t="str">
        <f>IFERROR(__xludf.DUMMYFUNCTION("""COMPUTED_VALUE"""),"https://drive.google.com/file/d/12OeyyCh3JXoTvjzgrQT9LroX9zhkMbfb/view?usp=drivesdk")</f>
        <v>https://drive.google.com/file/d/12OeyyCh3JXoTvjzgrQT9LroX9zhkMbfb/view?usp=drivesdk</v>
      </c>
    </row>
    <row r="2552">
      <c r="A2552" s="15">
        <f>IFERROR(__xludf.DUMMYFUNCTION("""COMPUTED_VALUE"""),45076.0)</f>
        <v>45076</v>
      </c>
      <c r="B2552" s="16" t="str">
        <f>IFERROR(__xludf.DUMMYFUNCTION("""COMPUTED_VALUE"""),"Jonathan Steven Taborda")</f>
        <v>Jonathan Steven Taborda</v>
      </c>
      <c r="C2552" s="15" t="str">
        <f>IFERROR(__xludf.DUMMYFUNCTION("""COMPUTED_VALUE"""),"ARMENIA")</f>
        <v>ARMENIA</v>
      </c>
      <c r="D2552" s="15" t="str">
        <f>IFERROR(__xludf.DUMMYFUNCTION("""COMPUTED_VALUE"""),"BOGOTÁ")</f>
        <v>BOGOTÁ</v>
      </c>
      <c r="E2552" s="15" t="str">
        <f>IFERROR(__xludf.DUMMYFUNCTION("""COMPUTED_VALUE"""),"Pan de Waffle")</f>
        <v>Pan de Waffle</v>
      </c>
      <c r="F2552" s="17" t="str">
        <f>IFERROR(__xludf.DUMMYFUNCTION("""COMPUTED_VALUE"""),"carrera 13 # 9a - 58, local 5, con la castellana / carrera 13 # 9a - 58, local 5, con la castellana / carrera 13 # 9a - 58, local 5, con la castellana")</f>
        <v>carrera 13 # 9a - 58, local 5, con la castellana / carrera 13 # 9a - 58, local 5, con la castellana / carrera 13 # 9a - 58, local 5, con la castellana</v>
      </c>
      <c r="G2552" s="15" t="str">
        <f>IFERROR(__xludf.DUMMYFUNCTION("""COMPUTED_VALUE"""),"TIENDA FITNESS ECO")</f>
        <v>TIENDA FITNESS ECO</v>
      </c>
      <c r="H2552" s="16">
        <f>IFERROR(__xludf.DUMMYFUNCTION("""COMPUTED_VALUE"""),11075.0)</f>
        <v>11075</v>
      </c>
      <c r="I2552" s="18">
        <f>IFERROR(__xludf.DUMMYFUNCTION("""COMPUTED_VALUE"""),30.0)</f>
        <v>30</v>
      </c>
      <c r="J2552" s="18">
        <f>IFERROR(__xludf.DUMMYFUNCTION("""COMPUTED_VALUE"""),40.0)</f>
        <v>40</v>
      </c>
      <c r="K2552" s="18">
        <f>IFERROR(__xludf.DUMMYFUNCTION("""COMPUTED_VALUE"""),30.0)</f>
        <v>30</v>
      </c>
      <c r="L2552" s="17">
        <f>IFERROR(__xludf.DUMMYFUNCTION("""COMPUTED_VALUE"""),3.217007417E9)</f>
        <v>3217007417</v>
      </c>
      <c r="M2552" s="17" t="str">
        <f>IFERROR(__xludf.DUMMYFUNCTION("""COMPUTED_VALUE"""),"#REF!")</f>
        <v>#REF!</v>
      </c>
      <c r="N2552" s="17"/>
      <c r="O2552" s="17"/>
      <c r="P2552" s="17" t="b">
        <f>IFERROR(__xludf.DUMMYFUNCTION("""COMPUTED_VALUE"""),FALSE)</f>
        <v>0</v>
      </c>
      <c r="Q2552" s="20" t="str">
        <f>IFERROR(__xludf.DUMMYFUNCTION("""COMPUTED_VALUE"""),"")</f>
        <v/>
      </c>
      <c r="R2552" s="22" t="str">
        <f>IFERROR(__xludf.DUMMYFUNCTION("""COMPUTED_VALUE"""),"")</f>
        <v/>
      </c>
    </row>
    <row r="2553">
      <c r="A2553" s="15">
        <f>IFERROR(__xludf.DUMMYFUNCTION("""COMPUTED_VALUE"""),45076.0)</f>
        <v>45076</v>
      </c>
      <c r="B2553" s="16" t="str">
        <f>IFERROR(__xludf.DUMMYFUNCTION("""COMPUTED_VALUE"""),"Jonathan Steven Taborda")</f>
        <v>Jonathan Steven Taborda</v>
      </c>
      <c r="C2553" s="15" t="str">
        <f>IFERROR(__xludf.DUMMYFUNCTION("""COMPUTED_VALUE"""),"ARMENIA")</f>
        <v>ARMENIA</v>
      </c>
      <c r="D2553" s="15" t="str">
        <f>IFERROR(__xludf.DUMMYFUNCTION("""COMPUTED_VALUE"""),"MEDELLÍN")</f>
        <v>MEDELLÍN</v>
      </c>
      <c r="E2553" s="15" t="str">
        <f>IFERROR(__xludf.DUMMYFUNCTION("""COMPUTED_VALUE"""),"AREPAS LA MARY")</f>
        <v>AREPAS LA MARY</v>
      </c>
      <c r="F2553" s="17" t="str">
        <f>IFERROR(__xludf.DUMMYFUNCTION("""COMPUTED_VALUE"""),"calle 7 # 21-17 barrio 60 casas")</f>
        <v>calle 7 # 21-17 barrio 60 casas</v>
      </c>
      <c r="G2553" s="15" t="str">
        <f>IFERROR(__xludf.DUMMYFUNCTION("""COMPUTED_VALUE"""),"antojitos fit")</f>
        <v>antojitos fit</v>
      </c>
      <c r="H2553" s="16">
        <f>IFERROR(__xludf.DUMMYFUNCTION("""COMPUTED_VALUE"""),11120.0)</f>
        <v>11120</v>
      </c>
      <c r="I2553" s="18">
        <f>IFERROR(__xludf.DUMMYFUNCTION("""COMPUTED_VALUE"""),89.0)</f>
        <v>89</v>
      </c>
      <c r="J2553" s="18">
        <f>IFERROR(__xludf.DUMMYFUNCTION("""COMPUTED_VALUE"""),1.0)</f>
        <v>1</v>
      </c>
      <c r="K2553" s="18">
        <f>IFERROR(__xludf.DUMMYFUNCTION("""COMPUTED_VALUE"""),10.0)</f>
        <v>10</v>
      </c>
      <c r="L2553" s="17">
        <f>IFERROR(__xludf.DUMMYFUNCTION("""COMPUTED_VALUE"""),3.204937012E9)</f>
        <v>3204937012</v>
      </c>
      <c r="M2553" s="17" t="str">
        <f>IFERROR(__xludf.DUMMYFUNCTION("""COMPUTED_VALUE"""),"#REF!")</f>
        <v>#REF!</v>
      </c>
      <c r="N2553" s="17"/>
      <c r="O2553" s="17"/>
      <c r="P2553" s="17" t="b">
        <f>IFERROR(__xludf.DUMMYFUNCTION("""COMPUTED_VALUE"""),FALSE)</f>
        <v>0</v>
      </c>
      <c r="Q2553" s="20" t="str">
        <f>IFERROR(__xludf.DUMMYFUNCTION("""COMPUTED_VALUE"""),"")</f>
        <v/>
      </c>
      <c r="R2553" s="21" t="str">
        <f>IFERROR(__xludf.DUMMYFUNCTION("""COMPUTED_VALUE"""),"https://drive.google.com/file/d/1BXwKTxxvnzo8Na075srmyjOt99APZrj1/view?usp=drivesdk")</f>
        <v>https://drive.google.com/file/d/1BXwKTxxvnzo8Na075srmyjOt99APZrj1/view?usp=drivesdk</v>
      </c>
    </row>
    <row r="2554">
      <c r="A2554" s="15">
        <f>IFERROR(__xludf.DUMMYFUNCTION("""COMPUTED_VALUE"""),45076.0)</f>
        <v>45076</v>
      </c>
      <c r="B2554" s="16" t="str">
        <f>IFERROR(__xludf.DUMMYFUNCTION("""COMPUTED_VALUE"""),"Jonathan Steven Taborda")</f>
        <v>Jonathan Steven Taborda</v>
      </c>
      <c r="C2554" s="15" t="str">
        <f>IFERROR(__xludf.DUMMYFUNCTION("""COMPUTED_VALUE"""),"ARMENIA")</f>
        <v>ARMENIA</v>
      </c>
      <c r="D2554" s="15" t="str">
        <f>IFERROR(__xludf.DUMMYFUNCTION("""COMPUTED_VALUE"""),"MEDELLÍN")</f>
        <v>MEDELLÍN</v>
      </c>
      <c r="E2554" s="15" t="str">
        <f>IFERROR(__xludf.DUMMYFUNCTION("""COMPUTED_VALUE"""),"Rambla")</f>
        <v>Rambla</v>
      </c>
      <c r="F2554" s="17" t="str">
        <f>IFERROR(__xludf.DUMMYFUNCTION("""COMPUTED_VALUE"""),"Cra 15 #22 norte 77 ed. Oasis de laureles local 1316 deagonal al teatro de la cruz roja Armenia / na / na")</f>
        <v>Cra 15 #22 norte 77 ed. Oasis de laureles local 1316 deagonal al teatro de la cruz roja Armenia / na / na</v>
      </c>
      <c r="G2554" s="15" t="str">
        <f>IFERROR(__xludf.DUMMYFUNCTION("""COMPUTED_VALUE"""),"Tienda Fitness Eco")</f>
        <v>Tienda Fitness Eco</v>
      </c>
      <c r="H2554" s="16">
        <f>IFERROR(__xludf.DUMMYFUNCTION("""COMPUTED_VALUE"""),11135.0)</f>
        <v>11135</v>
      </c>
      <c r="I2554" s="18">
        <f>IFERROR(__xludf.DUMMYFUNCTION("""COMPUTED_VALUE"""),25.0)</f>
        <v>25</v>
      </c>
      <c r="J2554" s="18">
        <f>IFERROR(__xludf.DUMMYFUNCTION("""COMPUTED_VALUE"""),27.0)</f>
        <v>27</v>
      </c>
      <c r="K2554" s="18">
        <f>IFERROR(__xludf.DUMMYFUNCTION("""COMPUTED_VALUE"""),30.0)</f>
        <v>30</v>
      </c>
      <c r="L2554" s="17">
        <f>IFERROR(__xludf.DUMMYFUNCTION("""COMPUTED_VALUE"""),3.217007417E9)</f>
        <v>3217007417</v>
      </c>
      <c r="M2554" s="17" t="str">
        <f>IFERROR(__xludf.DUMMYFUNCTION("""COMPUTED_VALUE"""),"#REF!")</f>
        <v>#REF!</v>
      </c>
      <c r="N2554" s="17"/>
      <c r="O2554" s="17"/>
      <c r="P2554" s="17" t="b">
        <f>IFERROR(__xludf.DUMMYFUNCTION("""COMPUTED_VALUE"""),FALSE)</f>
        <v>0</v>
      </c>
      <c r="Q2554" s="20" t="str">
        <f>IFERROR(__xludf.DUMMYFUNCTION("""COMPUTED_VALUE"""),"")</f>
        <v/>
      </c>
      <c r="R2554" s="21" t="str">
        <f>IFERROR(__xludf.DUMMYFUNCTION("""COMPUTED_VALUE"""),"https://drive.google.com/file/d/1jHrWQaaPsG3f6KlahopxzwI7NVE8ZDFc/view?usp=drivesdk")</f>
        <v>https://drive.google.com/file/d/1jHrWQaaPsG3f6KlahopxzwI7NVE8ZDFc/view?usp=drivesdk</v>
      </c>
    </row>
    <row r="2555">
      <c r="A2555" s="15">
        <f>IFERROR(__xludf.DUMMYFUNCTION("""COMPUTED_VALUE"""),45076.0)</f>
        <v>45076</v>
      </c>
      <c r="B2555" s="16" t="str">
        <f>IFERROR(__xludf.DUMMYFUNCTION("""COMPUTED_VALUE"""),"Jonathan Steven Taborda")</f>
        <v>Jonathan Steven Taborda</v>
      </c>
      <c r="C2555" s="15" t="str">
        <f>IFERROR(__xludf.DUMMYFUNCTION("""COMPUTED_VALUE"""),"MANIZALES")</f>
        <v>MANIZALES</v>
      </c>
      <c r="D2555" s="15" t="str">
        <f>IFERROR(__xludf.DUMMYFUNCTION("""COMPUTED_VALUE"""),"MEDELLÍN")</f>
        <v>MEDELLÍN</v>
      </c>
      <c r="E2555" s="15" t="str">
        <f>IFERROR(__xludf.DUMMYFUNCTION("""COMPUTED_VALUE"""),"Rambla")</f>
        <v>Rambla</v>
      </c>
      <c r="F2555" s="17" t="str">
        <f>IFERROR(__xludf.DUMMYFUNCTION("""COMPUTED_VALUE"""),"CL 66 26 45 ED GUAYACAN DE LA 66 / na / na")</f>
        <v>CL 66 26 45 ED GUAYACAN DE LA 66 / na / na</v>
      </c>
      <c r="G2555" s="15" t="str">
        <f>IFERROR(__xludf.DUMMYFUNCTION("""COMPUTED_VALUE"""),"mercafit")</f>
        <v>mercafit</v>
      </c>
      <c r="H2555" s="16">
        <f>IFERROR(__xludf.DUMMYFUNCTION("""COMPUTED_VALUE"""),11136.0)</f>
        <v>11136</v>
      </c>
      <c r="I2555" s="18">
        <f>IFERROR(__xludf.DUMMYFUNCTION("""COMPUTED_VALUE"""),33.0)</f>
        <v>33</v>
      </c>
      <c r="J2555" s="18">
        <f>IFERROR(__xludf.DUMMYFUNCTION("""COMPUTED_VALUE"""),37.0)</f>
        <v>37</v>
      </c>
      <c r="K2555" s="18">
        <f>IFERROR(__xludf.DUMMYFUNCTION("""COMPUTED_VALUE"""),39.0)</f>
        <v>39</v>
      </c>
      <c r="L2555" s="17">
        <f>IFERROR(__xludf.DUMMYFUNCTION("""COMPUTED_VALUE"""),3.004648126E9)</f>
        <v>3004648126</v>
      </c>
      <c r="M2555" s="17" t="str">
        <f>IFERROR(__xludf.DUMMYFUNCTION("""COMPUTED_VALUE"""),"#REF!")</f>
        <v>#REF!</v>
      </c>
      <c r="N2555" s="17"/>
      <c r="O2555" s="17"/>
      <c r="P2555" s="17" t="b">
        <f>IFERROR(__xludf.DUMMYFUNCTION("""COMPUTED_VALUE"""),FALSE)</f>
        <v>0</v>
      </c>
      <c r="Q2555" s="20" t="str">
        <f>IFERROR(__xludf.DUMMYFUNCTION("""COMPUTED_VALUE"""),"")</f>
        <v/>
      </c>
      <c r="R2555" s="21" t="str">
        <f>IFERROR(__xludf.DUMMYFUNCTION("""COMPUTED_VALUE"""),"https://drive.google.com/file/d/1ogPKhQs6VC2P1YEBqekaOxprOUYTJ2DN/view?usp=drivesdk")</f>
        <v>https://drive.google.com/file/d/1ogPKhQs6VC2P1YEBqekaOxprOUYTJ2DN/view?usp=drivesdk</v>
      </c>
    </row>
    <row r="2556">
      <c r="A2556" s="15">
        <f>IFERROR(__xludf.DUMMYFUNCTION("""COMPUTED_VALUE"""),45076.0)</f>
        <v>45076</v>
      </c>
      <c r="B2556" s="16" t="str">
        <f>IFERROR(__xludf.DUMMYFUNCTION("""COMPUTED_VALUE"""),"Jonathan Steven Taborda")</f>
        <v>Jonathan Steven Taborda</v>
      </c>
      <c r="C2556" s="15" t="str">
        <f>IFERROR(__xludf.DUMMYFUNCTION("""COMPUTED_VALUE"""),"MANIZALES")</f>
        <v>MANIZALES</v>
      </c>
      <c r="D2556" s="15" t="str">
        <f>IFERROR(__xludf.DUMMYFUNCTION("""COMPUTED_VALUE"""),"MEDELLÍN")</f>
        <v>MEDELLÍN</v>
      </c>
      <c r="E2556" s="15" t="str">
        <f>IFERROR(__xludf.DUMMYFUNCTION("""COMPUTED_VALUE"""),"Todo Bufala")</f>
        <v>Todo Bufala</v>
      </c>
      <c r="F2556" s="17" t="str">
        <f>IFERROR(__xludf.DUMMYFUNCTION("""COMPUTED_VALUE"""),"Call 66 #23b-211 / Edifico calle larga, local 5c")</f>
        <v>Call 66 #23b-211 / Edifico calle larga, local 5c</v>
      </c>
      <c r="G2556" s="15" t="str">
        <f>IFERROR(__xludf.DUMMYFUNCTION("""COMPUTED_VALUE"""),"Sebastian Perez")</f>
        <v>Sebastian Perez</v>
      </c>
      <c r="H2556" s="16">
        <f>IFERROR(__xludf.DUMMYFUNCTION("""COMPUTED_VALUE"""),11105.0)</f>
        <v>11105</v>
      </c>
      <c r="I2556" s="18">
        <f>IFERROR(__xludf.DUMMYFUNCTION("""COMPUTED_VALUE"""),21.0)</f>
        <v>21</v>
      </c>
      <c r="J2556" s="18">
        <f>IFERROR(__xludf.DUMMYFUNCTION("""COMPUTED_VALUE"""),29.0)</f>
        <v>29</v>
      </c>
      <c r="K2556" s="18">
        <f>IFERROR(__xludf.DUMMYFUNCTION("""COMPUTED_VALUE"""),40.0)</f>
        <v>40</v>
      </c>
      <c r="L2556" s="17">
        <f>IFERROR(__xludf.DUMMYFUNCTION("""COMPUTED_VALUE"""),3.106974621E9)</f>
        <v>3106974621</v>
      </c>
      <c r="M2556" s="17" t="str">
        <f>IFERROR(__xludf.DUMMYFUNCTION("""COMPUTED_VALUE"""),"#REF!")</f>
        <v>#REF!</v>
      </c>
      <c r="N2556" s="17"/>
      <c r="O2556" s="17"/>
      <c r="P2556" s="17" t="b">
        <f>IFERROR(__xludf.DUMMYFUNCTION("""COMPUTED_VALUE"""),FALSE)</f>
        <v>0</v>
      </c>
      <c r="Q2556" s="20" t="str">
        <f>IFERROR(__xludf.DUMMYFUNCTION("""COMPUTED_VALUE"""),"")</f>
        <v/>
      </c>
      <c r="R2556" s="21" t="str">
        <f>IFERROR(__xludf.DUMMYFUNCTION("""COMPUTED_VALUE"""),"https://drive.google.com/file/d/1NWUx1DugCo9ed5RLGTSdSmHfrq4FBSo6/view?usp=drivesdk")</f>
        <v>https://drive.google.com/file/d/1NWUx1DugCo9ed5RLGTSdSmHfrq4FBSo6/view?usp=drivesdk</v>
      </c>
    </row>
    <row r="2557">
      <c r="A2557" s="17" t="str">
        <f>IFERROR(__xludf.DUMMYFUNCTION("""COMPUTED_VALUE"""),"")</f>
        <v/>
      </c>
      <c r="B2557" s="17" t="str">
        <f>IFERROR(__xludf.DUMMYFUNCTION("""COMPUTED_VALUE"""),"")</f>
        <v/>
      </c>
      <c r="C2557" s="17" t="str">
        <f>IFERROR(__xludf.DUMMYFUNCTION("""COMPUTED_VALUE"""),"")</f>
        <v/>
      </c>
      <c r="D2557" s="17" t="str">
        <f>IFERROR(__xludf.DUMMYFUNCTION("""COMPUTED_VALUE"""),"")</f>
        <v/>
      </c>
      <c r="E2557" s="17" t="str">
        <f>IFERROR(__xludf.DUMMYFUNCTION("""COMPUTED_VALUE"""),"")</f>
        <v/>
      </c>
      <c r="F2557" s="17" t="str">
        <f>IFERROR(__xludf.DUMMYFUNCTION("""COMPUTED_VALUE"""),"")</f>
        <v/>
      </c>
      <c r="G2557" s="17" t="str">
        <f>IFERROR(__xludf.DUMMYFUNCTION("""COMPUTED_VALUE"""),"")</f>
        <v/>
      </c>
      <c r="H2557" s="17" t="str">
        <f>IFERROR(__xludf.DUMMYFUNCTION("""COMPUTED_VALUE"""),"")</f>
        <v/>
      </c>
      <c r="I2557" s="17" t="str">
        <f>IFERROR(__xludf.DUMMYFUNCTION("""COMPUTED_VALUE"""),"")</f>
        <v/>
      </c>
      <c r="J2557" s="17" t="str">
        <f>IFERROR(__xludf.DUMMYFUNCTION("""COMPUTED_VALUE"""),"")</f>
        <v/>
      </c>
      <c r="K2557" s="17" t="str">
        <f>IFERROR(__xludf.DUMMYFUNCTION("""COMPUTED_VALUE"""),"")</f>
        <v/>
      </c>
      <c r="L2557" s="17" t="str">
        <f>IFERROR(__xludf.DUMMYFUNCTION("""COMPUTED_VALUE"""),"")</f>
        <v/>
      </c>
      <c r="M2557" s="17" t="str">
        <f>IFERROR(__xludf.DUMMYFUNCTION("""COMPUTED_VALUE"""),"")</f>
        <v/>
      </c>
      <c r="N2557" s="17" t="str">
        <f>IFERROR(__xludf.DUMMYFUNCTION("""COMPUTED_VALUE"""),"")</f>
        <v/>
      </c>
      <c r="O2557" s="17" t="str">
        <f>IFERROR(__xludf.DUMMYFUNCTION("""COMPUTED_VALUE"""),"")</f>
        <v/>
      </c>
      <c r="P2557" s="17" t="str">
        <f>IFERROR(__xludf.DUMMYFUNCTION("""COMPUTED_VALUE"""),"")</f>
        <v/>
      </c>
      <c r="Q2557" s="17" t="str">
        <f>IFERROR(__xludf.DUMMYFUNCTION("""COMPUTED_VALUE"""),"")</f>
        <v/>
      </c>
      <c r="R2557" s="17" t="str">
        <f>IFERROR(__xludf.DUMMYFUNCTION("""COMPUTED_VALUE"""),"")</f>
        <v/>
      </c>
    </row>
    <row r="2558">
      <c r="A2558" s="15">
        <f>IFERROR(__xludf.DUMMYFUNCTION("""COMPUTED_VALUE"""),45076.0)</f>
        <v>45076</v>
      </c>
      <c r="B2558" s="16" t="str">
        <f>IFERROR(__xludf.DUMMYFUNCTION("""COMPUTED_VALUE"""),"Oscar Augusto Meneses Osias")</f>
        <v>Oscar Augusto Meneses Osias</v>
      </c>
      <c r="C2558" s="15" t="str">
        <f>IFERROR(__xludf.DUMMYFUNCTION("""COMPUTED_VALUE"""),"MEDELLÍN")</f>
        <v>MEDELLÍN</v>
      </c>
      <c r="D2558" s="15" t="str">
        <f>IFERROR(__xludf.DUMMYFUNCTION("""COMPUTED_VALUE"""),"BOGOTÁ")</f>
        <v>BOGOTÁ</v>
      </c>
      <c r="E2558" s="15" t="str">
        <f>IFERROR(__xludf.DUMMYFUNCTION("""COMPUTED_VALUE"""),"Asociacion Agropecuaria Juana Maria")</f>
        <v>Asociacion Agropecuaria Juana Maria</v>
      </c>
      <c r="F2558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2558" s="15" t="str">
        <f>IFERROR(__xludf.DUMMYFUNCTION("""COMPUTED_VALUE"""),"Jennifer Sanchez Blandon")</f>
        <v>Jennifer Sanchez Blandon</v>
      </c>
      <c r="H2558" s="16">
        <f>IFERROR(__xludf.DUMMYFUNCTION("""COMPUTED_VALUE"""),11084.0)</f>
        <v>11084</v>
      </c>
      <c r="I2558" s="18">
        <f>IFERROR(__xludf.DUMMYFUNCTION("""COMPUTED_VALUE"""),16.0)</f>
        <v>16</v>
      </c>
      <c r="J2558" s="18">
        <f>IFERROR(__xludf.DUMMYFUNCTION("""COMPUTED_VALUE"""),34.0)</f>
        <v>34</v>
      </c>
      <c r="K2558" s="18">
        <f>IFERROR(__xludf.DUMMYFUNCTION("""COMPUTED_VALUE"""),25.0)</f>
        <v>25</v>
      </c>
      <c r="L2558" s="17">
        <f>IFERROR(__xludf.DUMMYFUNCTION("""COMPUTED_VALUE"""),3.016937674E9)</f>
        <v>3016937674</v>
      </c>
      <c r="M2558" s="17" t="str">
        <f>IFERROR(__xludf.DUMMYFUNCTION("""COMPUTED_VALUE"""),"#REF!")</f>
        <v>#REF!</v>
      </c>
      <c r="N2558" s="17"/>
      <c r="O2558" s="17"/>
      <c r="P2558" s="17" t="b">
        <f>IFERROR(__xludf.DUMMYFUNCTION("""COMPUTED_VALUE"""),FALSE)</f>
        <v>0</v>
      </c>
      <c r="Q2558" s="20" t="str">
        <f>IFERROR(__xludf.DUMMYFUNCTION("""COMPUTED_VALUE"""),"")</f>
        <v/>
      </c>
      <c r="R2558" s="21" t="str">
        <f>IFERROR(__xludf.DUMMYFUNCTION("""COMPUTED_VALUE"""),"https://drive.google.com/file/d/1TJxnpMsDZg-LRjrs42dNMNJ_4OpaYzp7/view?usp=drivesdk")</f>
        <v>https://drive.google.com/file/d/1TJxnpMsDZg-LRjrs42dNMNJ_4OpaYzp7/view?usp=drivesdk</v>
      </c>
    </row>
    <row r="2559">
      <c r="A2559" s="15">
        <f>IFERROR(__xludf.DUMMYFUNCTION("""COMPUTED_VALUE"""),45076.0)</f>
        <v>45076</v>
      </c>
      <c r="B2559" s="16" t="str">
        <f>IFERROR(__xludf.DUMMYFUNCTION("""COMPUTED_VALUE"""),"Oscar Augusto Meneses Osias")</f>
        <v>Oscar Augusto Meneses Osias</v>
      </c>
      <c r="C2559" s="15" t="str">
        <f>IFERROR(__xludf.DUMMYFUNCTION("""COMPUTED_VALUE"""),"MEDELLÍN")</f>
        <v>MEDELLÍN</v>
      </c>
      <c r="D2559" s="15" t="str">
        <f>IFERROR(__xludf.DUMMYFUNCTION("""COMPUTED_VALUE"""),"BOGOTÁ")</f>
        <v>BOGOTÁ</v>
      </c>
      <c r="E2559" s="15" t="str">
        <f>IFERROR(__xludf.DUMMYFUNCTION("""COMPUTED_VALUE"""),"Evamazzita")</f>
        <v>Evamazzita</v>
      </c>
      <c r="F2559" s="17" t="str">
        <f>IFERROR(__xludf.DUMMYFUNCTION("""COMPUTED_VALUE"""),"CALLE 47 SUR No. 64D - 92  /  922 TORRE 3 VILLAS DEL BOSQUE / EL VERGEL SAN ANTONIO DE PRADO")</f>
        <v>CALLE 47 SUR No. 64D - 92  /  922 TORRE 3 VILLAS DEL BOSQUE / EL VERGEL SAN ANTONIO DE PRADO</v>
      </c>
      <c r="G2559" s="15" t="str">
        <f>IFERROR(__xludf.DUMMYFUNCTION("""COMPUTED_VALUE"""),"VERONICA ALZATE")</f>
        <v>VERONICA ALZATE</v>
      </c>
      <c r="H2559" s="16">
        <f>IFERROR(__xludf.DUMMYFUNCTION("""COMPUTED_VALUE"""),11114.0)</f>
        <v>11114</v>
      </c>
      <c r="I2559" s="18">
        <f>IFERROR(__xludf.DUMMYFUNCTION("""COMPUTED_VALUE"""),10.0)</f>
        <v>10</v>
      </c>
      <c r="J2559" s="18">
        <f>IFERROR(__xludf.DUMMYFUNCTION("""COMPUTED_VALUE"""),18.0)</f>
        <v>18</v>
      </c>
      <c r="K2559" s="18">
        <f>IFERROR(__xludf.DUMMYFUNCTION("""COMPUTED_VALUE"""),22.0)</f>
        <v>22</v>
      </c>
      <c r="L2559" s="17">
        <f>IFERROR(__xludf.DUMMYFUNCTION("""COMPUTED_VALUE"""),3.116118935E9)</f>
        <v>3116118935</v>
      </c>
      <c r="M2559" s="17" t="str">
        <f>IFERROR(__xludf.DUMMYFUNCTION("""COMPUTED_VALUE"""),"#REF!")</f>
        <v>#REF!</v>
      </c>
      <c r="N2559" s="17"/>
      <c r="O2559" s="17"/>
      <c r="P2559" s="17" t="b">
        <f>IFERROR(__xludf.DUMMYFUNCTION("""COMPUTED_VALUE"""),FALSE)</f>
        <v>0</v>
      </c>
      <c r="Q2559" s="20" t="str">
        <f>IFERROR(__xludf.DUMMYFUNCTION("""COMPUTED_VALUE"""),"")</f>
        <v/>
      </c>
      <c r="R2559" s="21" t="str">
        <f>IFERROR(__xludf.DUMMYFUNCTION("""COMPUTED_VALUE"""),"https://drive.google.com/file/d/1ozRV5shWSYYFPb3RByg6PzEJ4dF83ubQ/view?usp=drivesdk")</f>
        <v>https://drive.google.com/file/d/1ozRV5shWSYYFPb3RByg6PzEJ4dF83ubQ/view?usp=drivesdk</v>
      </c>
    </row>
    <row r="2560">
      <c r="A2560" s="15">
        <f>IFERROR(__xludf.DUMMYFUNCTION("""COMPUTED_VALUE"""),45076.0)</f>
        <v>45076</v>
      </c>
      <c r="B2560" s="16" t="str">
        <f>IFERROR(__xludf.DUMMYFUNCTION("""COMPUTED_VALUE"""),"Oscar Augusto Meneses Osias")</f>
        <v>Oscar Augusto Meneses Osias</v>
      </c>
      <c r="C2560" s="15" t="str">
        <f>IFERROR(__xludf.DUMMYFUNCTION("""COMPUTED_VALUE"""),"MEDELLÍN")</f>
        <v>MEDELLÍN</v>
      </c>
      <c r="D2560" s="15" t="str">
        <f>IFERROR(__xludf.DUMMYFUNCTION("""COMPUTED_VALUE"""),"BOGOTÁ")</f>
        <v>BOGOTÁ</v>
      </c>
      <c r="E2560" s="15" t="str">
        <f>IFERROR(__xludf.DUMMYFUNCTION("""COMPUTED_VALUE"""),"Evamazzita")</f>
        <v>Evamazzita</v>
      </c>
      <c r="F2560" s="17" t="str">
        <f>IFERROR(__xludf.DUMMYFUNCTION("""COMPUTED_VALUE"""),"CRA 15 BA No. 34D- 44  / INT 201  / BUENOS AIRES")</f>
        <v>CRA 15 BA No. 34D- 44  / INT 201  / BUENOS AIRES</v>
      </c>
      <c r="G2560" s="15" t="str">
        <f>IFERROR(__xludf.DUMMYFUNCTION("""COMPUTED_VALUE"""),"DANIELA BEDOYA BLANDON")</f>
        <v>DANIELA BEDOYA BLANDON</v>
      </c>
      <c r="H2560" s="16">
        <f>IFERROR(__xludf.DUMMYFUNCTION("""COMPUTED_VALUE"""),11101.0)</f>
        <v>11101</v>
      </c>
      <c r="I2560" s="18">
        <f>IFERROR(__xludf.DUMMYFUNCTION("""COMPUTED_VALUE"""),12.0)</f>
        <v>12</v>
      </c>
      <c r="J2560" s="18">
        <f>IFERROR(__xludf.DUMMYFUNCTION("""COMPUTED_VALUE"""),49.0)</f>
        <v>49</v>
      </c>
      <c r="K2560" s="18">
        <f>IFERROR(__xludf.DUMMYFUNCTION("""COMPUTED_VALUE"""),39.0)</f>
        <v>39</v>
      </c>
      <c r="L2560" s="17">
        <f>IFERROR(__xludf.DUMMYFUNCTION("""COMPUTED_VALUE"""),3.14672822E9)</f>
        <v>3146728220</v>
      </c>
      <c r="M2560" s="17" t="str">
        <f>IFERROR(__xludf.DUMMYFUNCTION("""COMPUTED_VALUE"""),"#REF!")</f>
        <v>#REF!</v>
      </c>
      <c r="N2560" s="17"/>
      <c r="O2560" s="17"/>
      <c r="P2560" s="17" t="b">
        <f>IFERROR(__xludf.DUMMYFUNCTION("""COMPUTED_VALUE"""),FALSE)</f>
        <v>0</v>
      </c>
      <c r="Q2560" s="20" t="str">
        <f>IFERROR(__xludf.DUMMYFUNCTION("""COMPUTED_VALUE"""),"")</f>
        <v/>
      </c>
      <c r="R2560" s="21" t="str">
        <f>IFERROR(__xludf.DUMMYFUNCTION("""COMPUTED_VALUE"""),"https://drive.google.com/file/d/1AjBdJUwTmdm78-2Rj-OtnbDbDFtk2hju/view?usp=drivesdk")</f>
        <v>https://drive.google.com/file/d/1AjBdJUwTmdm78-2Rj-OtnbDbDFtk2hju/view?usp=drivesdk</v>
      </c>
    </row>
    <row r="2561">
      <c r="A2561" s="15">
        <f>IFERROR(__xludf.DUMMYFUNCTION("""COMPUTED_VALUE"""),45076.0)</f>
        <v>45076</v>
      </c>
      <c r="B2561" s="16" t="str">
        <f>IFERROR(__xludf.DUMMYFUNCTION("""COMPUTED_VALUE"""),"Oscar Augusto Meneses Osias")</f>
        <v>Oscar Augusto Meneses Osias</v>
      </c>
      <c r="C2561" s="15" t="str">
        <f>IFERROR(__xludf.DUMMYFUNCTION("""COMPUTED_VALUE"""),"MEDELLÍN")</f>
        <v>MEDELLÍN</v>
      </c>
      <c r="D2561" s="15" t="str">
        <f>IFERROR(__xludf.DUMMYFUNCTION("""COMPUTED_VALUE"""),"BOGOTÁ")</f>
        <v>BOGOTÁ</v>
      </c>
      <c r="E2561" s="15" t="str">
        <f>IFERROR(__xludf.DUMMYFUNCTION("""COMPUTED_VALUE"""),"Evamazzita")</f>
        <v>Evamazzita</v>
      </c>
      <c r="F2561" s="17" t="str">
        <f>IFERROR(__xludf.DUMMYFUNCTION("""COMPUTED_VALUE"""),"Cra 27#36 C sur- 35  / apto 504 Edificio Firenzze  /  Loma del Escobero - ENVIGADO")</f>
        <v>Cra 27#36 C sur- 35  / apto 504 Edificio Firenzze  /  Loma del Escobero - ENVIGADO</v>
      </c>
      <c r="G2561" s="15" t="str">
        <f>IFERROR(__xludf.DUMMYFUNCTION("""COMPUTED_VALUE"""),"LINA MARIA PERDOMO")</f>
        <v>LINA MARIA PERDOMO</v>
      </c>
      <c r="H2561" s="16">
        <f>IFERROR(__xludf.DUMMYFUNCTION("""COMPUTED_VALUE"""),11113.0)</f>
        <v>11113</v>
      </c>
      <c r="I2561" s="18">
        <f>IFERROR(__xludf.DUMMYFUNCTION("""COMPUTED_VALUE"""),3.0)</f>
        <v>3</v>
      </c>
      <c r="J2561" s="18">
        <f>IFERROR(__xludf.DUMMYFUNCTION("""COMPUTED_VALUE"""),15.0)</f>
        <v>15</v>
      </c>
      <c r="K2561" s="18">
        <f>IFERROR(__xludf.DUMMYFUNCTION("""COMPUTED_VALUE"""),20.0)</f>
        <v>20</v>
      </c>
      <c r="L2561" s="17">
        <f>IFERROR(__xludf.DUMMYFUNCTION("""COMPUTED_VALUE"""),3.185937628E9)</f>
        <v>3185937628</v>
      </c>
      <c r="M2561" s="17" t="str">
        <f>IFERROR(__xludf.DUMMYFUNCTION("""COMPUTED_VALUE"""),"#REF!")</f>
        <v>#REF!</v>
      </c>
      <c r="N2561" s="17"/>
      <c r="O2561" s="17"/>
      <c r="P2561" s="17" t="b">
        <f>IFERROR(__xludf.DUMMYFUNCTION("""COMPUTED_VALUE"""),FALSE)</f>
        <v>0</v>
      </c>
      <c r="Q2561" s="20" t="str">
        <f>IFERROR(__xludf.DUMMYFUNCTION("""COMPUTED_VALUE"""),"")</f>
        <v/>
      </c>
      <c r="R2561" s="21" t="str">
        <f>IFERROR(__xludf.DUMMYFUNCTION("""COMPUTED_VALUE"""),"https://drive.google.com/file/d/1PSZ8rvJ0X9hWu34IlzHxDaZTu7-5OxQJ/view?usp=drivesdk")</f>
        <v>https://drive.google.com/file/d/1PSZ8rvJ0X9hWu34IlzHxDaZTu7-5OxQJ/view?usp=drivesdk</v>
      </c>
    </row>
    <row r="2562">
      <c r="A2562" s="15">
        <f>IFERROR(__xludf.DUMMYFUNCTION("""COMPUTED_VALUE"""),45076.0)</f>
        <v>45076</v>
      </c>
      <c r="B2562" s="16" t="str">
        <f>IFERROR(__xludf.DUMMYFUNCTION("""COMPUTED_VALUE"""),"Oscar Augusto Meneses Osias")</f>
        <v>Oscar Augusto Meneses Osias</v>
      </c>
      <c r="C2562" s="15" t="str">
        <f>IFERROR(__xludf.DUMMYFUNCTION("""COMPUTED_VALUE"""),"MEDELLÍN")</f>
        <v>MEDELLÍN</v>
      </c>
      <c r="D2562" s="15" t="str">
        <f>IFERROR(__xludf.DUMMYFUNCTION("""COMPUTED_VALUE"""),"BOGOTÁ")</f>
        <v>BOGOTÁ</v>
      </c>
      <c r="E2562" s="15" t="str">
        <f>IFERROR(__xludf.DUMMYFUNCTION("""COMPUTED_VALUE"""),"Evamazzita")</f>
        <v>Evamazzita</v>
      </c>
      <c r="F2562" s="17" t="str">
        <f>IFERROR(__xludf.DUMMYFUNCTION("""COMPUTED_VALUE"""),"Crr 20 n 12 sur 424  / DuVille 805   / Poblado")</f>
        <v>Crr 20 n 12 sur 424  / DuVille 805   / Poblado</v>
      </c>
      <c r="G2562" s="15" t="str">
        <f>IFERROR(__xludf.DUMMYFUNCTION("""COMPUTED_VALUE"""),"MANUELA MONSALVE")</f>
        <v>MANUELA MONSALVE</v>
      </c>
      <c r="H2562" s="16">
        <f>IFERROR(__xludf.DUMMYFUNCTION("""COMPUTED_VALUE"""),11116.0)</f>
        <v>11116</v>
      </c>
      <c r="I2562" s="18">
        <f>IFERROR(__xludf.DUMMYFUNCTION("""COMPUTED_VALUE"""),10.0)</f>
        <v>10</v>
      </c>
      <c r="J2562" s="18">
        <f>IFERROR(__xludf.DUMMYFUNCTION("""COMPUTED_VALUE"""),18.0)</f>
        <v>18</v>
      </c>
      <c r="K2562" s="18">
        <f>IFERROR(__xludf.DUMMYFUNCTION("""COMPUTED_VALUE"""),22.0)</f>
        <v>22</v>
      </c>
      <c r="L2562" s="17">
        <f>IFERROR(__xludf.DUMMYFUNCTION("""COMPUTED_VALUE"""),3.18649839E9)</f>
        <v>3186498390</v>
      </c>
      <c r="M2562" s="17" t="str">
        <f>IFERROR(__xludf.DUMMYFUNCTION("""COMPUTED_VALUE"""),"#REF!")</f>
        <v>#REF!</v>
      </c>
      <c r="N2562" s="17"/>
      <c r="O2562" s="17"/>
      <c r="P2562" s="17" t="b">
        <f>IFERROR(__xludf.DUMMYFUNCTION("""COMPUTED_VALUE"""),FALSE)</f>
        <v>0</v>
      </c>
      <c r="Q2562" s="20" t="str">
        <f>IFERROR(__xludf.DUMMYFUNCTION("""COMPUTED_VALUE"""),"")</f>
        <v/>
      </c>
      <c r="R2562" s="21" t="str">
        <f>IFERROR(__xludf.DUMMYFUNCTION("""COMPUTED_VALUE"""),"https://drive.google.com/file/d/1Emwfn32NTUdmViZyYYGzPX7g50C1jqm0/view?usp=drivesdk")</f>
        <v>https://drive.google.com/file/d/1Emwfn32NTUdmViZyYYGzPX7g50C1jqm0/view?usp=drivesdk</v>
      </c>
    </row>
    <row r="2563">
      <c r="A2563" s="15">
        <f>IFERROR(__xludf.DUMMYFUNCTION("""COMPUTED_VALUE"""),45076.0)</f>
        <v>45076</v>
      </c>
      <c r="B2563" s="16" t="str">
        <f>IFERROR(__xludf.DUMMYFUNCTION("""COMPUTED_VALUE"""),"Oscar Augusto Meneses Osias")</f>
        <v>Oscar Augusto Meneses Osias</v>
      </c>
      <c r="C2563" s="15" t="str">
        <f>IFERROR(__xludf.DUMMYFUNCTION("""COMPUTED_VALUE"""),"MEDELLÍN")</f>
        <v>MEDELLÍN</v>
      </c>
      <c r="D2563" s="15" t="str">
        <f>IFERROR(__xludf.DUMMYFUNCTION("""COMPUTED_VALUE"""),"BOGOTÁ")</f>
        <v>BOGOTÁ</v>
      </c>
      <c r="E2563" s="15" t="str">
        <f>IFERROR(__xludf.DUMMYFUNCTION("""COMPUTED_VALUE"""),"Evamazzita")</f>
        <v>Evamazzita</v>
      </c>
      <c r="F2563" s="17" t="str">
        <f>IFERROR(__xludf.DUMMYFUNCTION("""COMPUTED_VALUE"""),"TRANSVERSAL 53 A # 65 - 70  / EDIFICIO MADRID APTO. 601  / BARRIO CARLOS E RESTREPO")</f>
        <v>TRANSVERSAL 53 A # 65 - 70  / EDIFICIO MADRID APTO. 601  / BARRIO CARLOS E RESTREPO</v>
      </c>
      <c r="G2563" s="15" t="str">
        <f>IFERROR(__xludf.DUMMYFUNCTION("""COMPUTED_VALUE"""),"JOHANNA ISABEL TRUJILLO QUINTERO")</f>
        <v>JOHANNA ISABEL TRUJILLO QUINTERO</v>
      </c>
      <c r="H2563" s="16">
        <f>IFERROR(__xludf.DUMMYFUNCTION("""COMPUTED_VALUE"""),11115.0)</f>
        <v>11115</v>
      </c>
      <c r="I2563" s="18">
        <f>IFERROR(__xludf.DUMMYFUNCTION("""COMPUTED_VALUE"""),10.0)</f>
        <v>10</v>
      </c>
      <c r="J2563" s="18">
        <f>IFERROR(__xludf.DUMMYFUNCTION("""COMPUTED_VALUE"""),18.0)</f>
        <v>18</v>
      </c>
      <c r="K2563" s="18">
        <f>IFERROR(__xludf.DUMMYFUNCTION("""COMPUTED_VALUE"""),22.0)</f>
        <v>22</v>
      </c>
      <c r="L2563" s="17">
        <f>IFERROR(__xludf.DUMMYFUNCTION("""COMPUTED_VALUE"""),3.003034627E9)</f>
        <v>3003034627</v>
      </c>
      <c r="M2563" s="17" t="str">
        <f>IFERROR(__xludf.DUMMYFUNCTION("""COMPUTED_VALUE"""),"#REF!")</f>
        <v>#REF!</v>
      </c>
      <c r="N2563" s="17"/>
      <c r="O2563" s="17"/>
      <c r="P2563" s="17" t="b">
        <f>IFERROR(__xludf.DUMMYFUNCTION("""COMPUTED_VALUE"""),FALSE)</f>
        <v>0</v>
      </c>
      <c r="Q2563" s="20" t="str">
        <f>IFERROR(__xludf.DUMMYFUNCTION("""COMPUTED_VALUE"""),"")</f>
        <v/>
      </c>
      <c r="R2563" s="21" t="str">
        <f>IFERROR(__xludf.DUMMYFUNCTION("""COMPUTED_VALUE"""),"https://drive.google.com/file/d/1bevwHeZxtEY1K98hVrlhIBD0s1wB2dI1/view?usp=drivesdk")</f>
        <v>https://drive.google.com/file/d/1bevwHeZxtEY1K98hVrlhIBD0s1wB2dI1/view?usp=drivesdk</v>
      </c>
    </row>
    <row r="2564">
      <c r="A2564" s="15">
        <f>IFERROR(__xludf.DUMMYFUNCTION("""COMPUTED_VALUE"""),45076.0)</f>
        <v>45076</v>
      </c>
      <c r="B2564" s="16" t="str">
        <f>IFERROR(__xludf.DUMMYFUNCTION("""COMPUTED_VALUE"""),"Oscar Augusto Meneses Osias")</f>
        <v>Oscar Augusto Meneses Osias</v>
      </c>
      <c r="C2564" s="15" t="str">
        <f>IFERROR(__xludf.DUMMYFUNCTION("""COMPUTED_VALUE"""),"MEDELLÍN")</f>
        <v>MEDELLÍN</v>
      </c>
      <c r="D2564" s="15" t="str">
        <f>IFERROR(__xludf.DUMMYFUNCTION("""COMPUTED_VALUE"""),"BOGOTÁ")</f>
        <v>BOGOTÁ</v>
      </c>
      <c r="E2564" s="15" t="str">
        <f>IFERROR(__xludf.DUMMYFUNCTION("""COMPUTED_VALUE"""),"La Poderosa")</f>
        <v>La Poderosa</v>
      </c>
      <c r="F2564" s="17" t="str">
        <f>IFERROR(__xludf.DUMMYFUNCTION("""COMPUTED_VALUE"""),"Av nutibara Trv 39b 77-40 Sede Laureles. / Bodega / Laureles")</f>
        <v>Av nutibara Trv 39b 77-40 Sede Laureles. / Bodega / Laureles</v>
      </c>
      <c r="G2564" s="15" t="str">
        <f>IFERROR(__xludf.DUMMYFUNCTION("""COMPUTED_VALUE"""),"Vita Integral")</f>
        <v>Vita Integral</v>
      </c>
      <c r="H2564" s="16">
        <f>IFERROR(__xludf.DUMMYFUNCTION("""COMPUTED_VALUE"""),11091.0)</f>
        <v>11091</v>
      </c>
      <c r="I2564" s="18">
        <f>IFERROR(__xludf.DUMMYFUNCTION("""COMPUTED_VALUE"""),21.0)</f>
        <v>21</v>
      </c>
      <c r="J2564" s="18">
        <f>IFERROR(__xludf.DUMMYFUNCTION("""COMPUTED_VALUE"""),50.0)</f>
        <v>50</v>
      </c>
      <c r="K2564" s="18">
        <f>IFERROR(__xludf.DUMMYFUNCTION("""COMPUTED_VALUE"""),30.0)</f>
        <v>30</v>
      </c>
      <c r="L2564" s="17">
        <f>IFERROR(__xludf.DUMMYFUNCTION("""COMPUTED_VALUE"""),3.122921247E9)</f>
        <v>3122921247</v>
      </c>
      <c r="M2564" s="17" t="str">
        <f>IFERROR(__xludf.DUMMYFUNCTION("""COMPUTED_VALUE"""),"#REF!")</f>
        <v>#REF!</v>
      </c>
      <c r="N2564" s="17"/>
      <c r="O2564" s="17"/>
      <c r="P2564" s="17" t="b">
        <f>IFERROR(__xludf.DUMMYFUNCTION("""COMPUTED_VALUE"""),FALSE)</f>
        <v>0</v>
      </c>
      <c r="Q2564" s="20" t="str">
        <f>IFERROR(__xludf.DUMMYFUNCTION("""COMPUTED_VALUE"""),"")</f>
        <v/>
      </c>
      <c r="R2564" s="21" t="str">
        <f>IFERROR(__xludf.DUMMYFUNCTION("""COMPUTED_VALUE"""),"https://drive.google.com/file/d/1H1ioqLUO7Z53iP2gSzc2WJQaW6v4xoiX/view?usp=drivesdk")</f>
        <v>https://drive.google.com/file/d/1H1ioqLUO7Z53iP2gSzc2WJQaW6v4xoiX/view?usp=drivesdk</v>
      </c>
    </row>
    <row r="2565">
      <c r="A2565" s="17" t="str">
        <f>IFERROR(__xludf.DUMMYFUNCTION("""COMPUTED_VALUE"""),"")</f>
        <v/>
      </c>
      <c r="B2565" s="17" t="str">
        <f>IFERROR(__xludf.DUMMYFUNCTION("""COMPUTED_VALUE"""),"")</f>
        <v/>
      </c>
      <c r="C2565" s="17" t="str">
        <f>IFERROR(__xludf.DUMMYFUNCTION("""COMPUTED_VALUE"""),"")</f>
        <v/>
      </c>
      <c r="D2565" s="17" t="str">
        <f>IFERROR(__xludf.DUMMYFUNCTION("""COMPUTED_VALUE"""),"")</f>
        <v/>
      </c>
      <c r="E2565" s="17" t="str">
        <f>IFERROR(__xludf.DUMMYFUNCTION("""COMPUTED_VALUE"""),"")</f>
        <v/>
      </c>
      <c r="F2565" s="17" t="str">
        <f>IFERROR(__xludf.DUMMYFUNCTION("""COMPUTED_VALUE"""),"")</f>
        <v/>
      </c>
      <c r="G2565" s="17" t="str">
        <f>IFERROR(__xludf.DUMMYFUNCTION("""COMPUTED_VALUE"""),"")</f>
        <v/>
      </c>
      <c r="H2565" s="17" t="str">
        <f>IFERROR(__xludf.DUMMYFUNCTION("""COMPUTED_VALUE"""),"")</f>
        <v/>
      </c>
      <c r="I2565" s="17" t="str">
        <f>IFERROR(__xludf.DUMMYFUNCTION("""COMPUTED_VALUE"""),"")</f>
        <v/>
      </c>
      <c r="J2565" s="17" t="str">
        <f>IFERROR(__xludf.DUMMYFUNCTION("""COMPUTED_VALUE"""),"")</f>
        <v/>
      </c>
      <c r="K2565" s="17" t="str">
        <f>IFERROR(__xludf.DUMMYFUNCTION("""COMPUTED_VALUE"""),"")</f>
        <v/>
      </c>
      <c r="L2565" s="17" t="str">
        <f>IFERROR(__xludf.DUMMYFUNCTION("""COMPUTED_VALUE"""),"")</f>
        <v/>
      </c>
      <c r="M2565" s="17" t="str">
        <f>IFERROR(__xludf.DUMMYFUNCTION("""COMPUTED_VALUE"""),"")</f>
        <v/>
      </c>
      <c r="N2565" s="17" t="str">
        <f>IFERROR(__xludf.DUMMYFUNCTION("""COMPUTED_VALUE"""),"")</f>
        <v/>
      </c>
      <c r="O2565" s="17" t="str">
        <f>IFERROR(__xludf.DUMMYFUNCTION("""COMPUTED_VALUE"""),"")</f>
        <v/>
      </c>
      <c r="P2565" s="17" t="str">
        <f>IFERROR(__xludf.DUMMYFUNCTION("""COMPUTED_VALUE"""),"")</f>
        <v/>
      </c>
      <c r="Q2565" s="17" t="str">
        <f>IFERROR(__xludf.DUMMYFUNCTION("""COMPUTED_VALUE"""),"")</f>
        <v/>
      </c>
      <c r="R2565" s="17" t="str">
        <f>IFERROR(__xludf.DUMMYFUNCTION("""COMPUTED_VALUE"""),"")</f>
        <v/>
      </c>
    </row>
    <row r="2566">
      <c r="A2566" s="15">
        <f>IFERROR(__xludf.DUMMYFUNCTION("""COMPUTED_VALUE"""),45077.0)</f>
        <v>45077</v>
      </c>
      <c r="B2566" s="16" t="str">
        <f>IFERROR(__xludf.DUMMYFUNCTION("""COMPUTED_VALUE"""),"Andres felipe maya bautista ")</f>
        <v>Andres felipe maya bautista </v>
      </c>
      <c r="C2566" s="15" t="str">
        <f>IFERROR(__xludf.DUMMYFUNCTION("""COMPUTED_VALUE"""),"BOGOTÁ")</f>
        <v>BOGOTÁ</v>
      </c>
      <c r="D2566" s="15" t="str">
        <f>IFERROR(__xludf.DUMMYFUNCTION("""COMPUTED_VALUE"""),"MEDELLÍN")</f>
        <v>MEDELLÍN</v>
      </c>
      <c r="E2566" s="15" t="str">
        <f>IFERROR(__xludf.DUMMYFUNCTION("""COMPUTED_VALUE"""),"Baby Chef")</f>
        <v>Baby Chef</v>
      </c>
      <c r="F2566" s="17" t="str">
        <f>IFERROR(__xludf.DUMMYFUNCTION("""COMPUTED_VALUE"""),"Cra 20 #134A-16 apto 301 Barrio nueva autopista Dejar en portería / Cra 20 #134A-16 apto 301 Barrio nueva autopista Dejar en portería / Cra 20 #134A-16 apto 301 Barrio nueva autopista Dejar en portería")</f>
        <v>Cra 20 #134A-16 apto 301 Barrio nueva autopista Dejar en portería / Cra 20 #134A-16 apto 301 Barrio nueva autopista Dejar en portería / Cra 20 #134A-16 apto 301 Barrio nueva autopista Dejar en portería</v>
      </c>
      <c r="G2566" s="15" t="str">
        <f>IFERROR(__xludf.DUMMYFUNCTION("""COMPUTED_VALUE"""),"Diana Velasco")</f>
        <v>Diana Velasco</v>
      </c>
      <c r="H2566" s="16">
        <f>IFERROR(__xludf.DUMMYFUNCTION("""COMPUTED_VALUE"""),11181.0)</f>
        <v>11181</v>
      </c>
      <c r="I2566" s="18">
        <f>IFERROR(__xludf.DUMMYFUNCTION("""COMPUTED_VALUE"""),8.0)</f>
        <v>8</v>
      </c>
      <c r="J2566" s="18">
        <f>IFERROR(__xludf.DUMMYFUNCTION("""COMPUTED_VALUE"""),16.0)</f>
        <v>16</v>
      </c>
      <c r="K2566" s="18">
        <f>IFERROR(__xludf.DUMMYFUNCTION("""COMPUTED_VALUE"""),20.0)</f>
        <v>20</v>
      </c>
      <c r="L2566" s="17">
        <f>IFERROR(__xludf.DUMMYFUNCTION("""COMPUTED_VALUE"""),3.12584911E9)</f>
        <v>3125849110</v>
      </c>
      <c r="M2566" s="17" t="str">
        <f>IFERROR(__xludf.DUMMYFUNCTION("""COMPUTED_VALUE"""),"#REF!")</f>
        <v>#REF!</v>
      </c>
      <c r="N2566" s="17"/>
      <c r="O2566" s="17"/>
      <c r="P2566" s="17" t="b">
        <f>IFERROR(__xludf.DUMMYFUNCTION("""COMPUTED_VALUE"""),FALSE)</f>
        <v>0</v>
      </c>
      <c r="Q2566" s="20" t="str">
        <f>IFERROR(__xludf.DUMMYFUNCTION("""COMPUTED_VALUE"""),"")</f>
        <v/>
      </c>
      <c r="R2566" s="22" t="str">
        <f>IFERROR(__xludf.DUMMYFUNCTION("""COMPUTED_VALUE"""),"")</f>
        <v/>
      </c>
    </row>
    <row r="2567">
      <c r="A2567" s="15">
        <f>IFERROR(__xludf.DUMMYFUNCTION("""COMPUTED_VALUE"""),45077.0)</f>
        <v>45077</v>
      </c>
      <c r="B2567" s="16" t="str">
        <f>IFERROR(__xludf.DUMMYFUNCTION("""COMPUTED_VALUE"""),"Andres felipe maya bautista ")</f>
        <v>Andres felipe maya bautista </v>
      </c>
      <c r="C2567" s="15" t="str">
        <f>IFERROR(__xludf.DUMMYFUNCTION("""COMPUTED_VALUE"""),"BOGOTÁ")</f>
        <v>BOGOTÁ</v>
      </c>
      <c r="D2567" s="15" t="str">
        <f>IFERROR(__xludf.DUMMYFUNCTION("""COMPUTED_VALUE"""),"MEDELLÍN")</f>
        <v>MEDELLÍN</v>
      </c>
      <c r="E2567" s="15" t="str">
        <f>IFERROR(__xludf.DUMMYFUNCTION("""COMPUTED_VALUE"""),"Baby Chef")</f>
        <v>Baby Chef</v>
      </c>
      <c r="F2567" s="17" t="str">
        <f>IFERROR(__xludf.DUMMYFUNCTION("""COMPUTED_VALUE"""),"Cra 49 # 103 B 05 Apto 602 / Cra 49 # 103 B 05 Apto 602 / Cra 49 # 103 B 05 Apto 602")</f>
        <v>Cra 49 # 103 B 05 Apto 602 / Cra 49 # 103 B 05 Apto 602 / Cra 49 # 103 B 05 Apto 602</v>
      </c>
      <c r="G2567" s="15" t="str">
        <f>IFERROR(__xludf.DUMMYFUNCTION("""COMPUTED_VALUE"""),"Jairo Contreras")</f>
        <v>Jairo Contreras</v>
      </c>
      <c r="H2567" s="16">
        <f>IFERROR(__xludf.DUMMYFUNCTION("""COMPUTED_VALUE"""),11178.0)</f>
        <v>11178</v>
      </c>
      <c r="I2567" s="18">
        <f>IFERROR(__xludf.DUMMYFUNCTION("""COMPUTED_VALUE"""),8.0)</f>
        <v>8</v>
      </c>
      <c r="J2567" s="18">
        <f>IFERROR(__xludf.DUMMYFUNCTION("""COMPUTED_VALUE"""),16.0)</f>
        <v>16</v>
      </c>
      <c r="K2567" s="18">
        <f>IFERROR(__xludf.DUMMYFUNCTION("""COMPUTED_VALUE"""),20.0)</f>
        <v>20</v>
      </c>
      <c r="L2567" s="17">
        <f>IFERROR(__xludf.DUMMYFUNCTION("""COMPUTED_VALUE"""),3.168245735E9)</f>
        <v>3168245735</v>
      </c>
      <c r="M2567" s="17" t="str">
        <f>IFERROR(__xludf.DUMMYFUNCTION("""COMPUTED_VALUE"""),"#REF!")</f>
        <v>#REF!</v>
      </c>
      <c r="N2567" s="17"/>
      <c r="O2567" s="17"/>
      <c r="P2567" s="17" t="b">
        <f>IFERROR(__xludf.DUMMYFUNCTION("""COMPUTED_VALUE"""),FALSE)</f>
        <v>0</v>
      </c>
      <c r="Q2567" s="20" t="str">
        <f>IFERROR(__xludf.DUMMYFUNCTION("""COMPUTED_VALUE"""),"")</f>
        <v/>
      </c>
      <c r="R2567" s="21" t="str">
        <f>IFERROR(__xludf.DUMMYFUNCTION("""COMPUTED_VALUE"""),"https://drive.google.com/file/d/1koykSDTz_fJP4w3PMin2trAh5uKtiwZ-/view?usp=drivesdk")</f>
        <v>https://drive.google.com/file/d/1koykSDTz_fJP4w3PMin2trAh5uKtiwZ-/view?usp=drivesdk</v>
      </c>
    </row>
    <row r="2568">
      <c r="A2568" s="15">
        <f>IFERROR(__xludf.DUMMYFUNCTION("""COMPUTED_VALUE"""),45077.0)</f>
        <v>45077</v>
      </c>
      <c r="B2568" s="16" t="str">
        <f>IFERROR(__xludf.DUMMYFUNCTION("""COMPUTED_VALUE"""),"Andres felipe maya bautista ")</f>
        <v>Andres felipe maya bautista </v>
      </c>
      <c r="C2568" s="15" t="str">
        <f>IFERROR(__xludf.DUMMYFUNCTION("""COMPUTED_VALUE"""),"BOGOTÁ")</f>
        <v>BOGOTÁ</v>
      </c>
      <c r="D2568" s="15" t="str">
        <f>IFERROR(__xludf.DUMMYFUNCTION("""COMPUTED_VALUE"""),"MEDELLÍN")</f>
        <v>MEDELLÍN</v>
      </c>
      <c r="E2568" s="15" t="str">
        <f>IFERROR(__xludf.DUMMYFUNCTION("""COMPUTED_VALUE"""),"Moloso S.A.S")</f>
        <v>Moloso S.A.S</v>
      </c>
      <c r="F2568" s="17" t="str">
        <f>IFERROR(__xludf.DUMMYFUNCTION("""COMPUTED_VALUE"""),"CL 23C 69B 56 / APTO 804 TORRE 4 CONJUNTO ALBORARIA")</f>
        <v>CL 23C 69B 56 / APTO 804 TORRE 4 CONJUNTO ALBORARIA</v>
      </c>
      <c r="G2568" s="15" t="str">
        <f>IFERROR(__xludf.DUMMYFUNCTION("""COMPUTED_VALUE"""),"CLAUDIA LILIANA SANCHEZ FINO")</f>
        <v>CLAUDIA LILIANA SANCHEZ FINO</v>
      </c>
      <c r="H2568" s="16">
        <f>IFERROR(__xludf.DUMMYFUNCTION("""COMPUTED_VALUE"""),11171.0)</f>
        <v>11171</v>
      </c>
      <c r="I2568" s="18">
        <f>IFERROR(__xludf.DUMMYFUNCTION("""COMPUTED_VALUE"""),17.0)</f>
        <v>17</v>
      </c>
      <c r="J2568" s="18">
        <f>IFERROR(__xludf.DUMMYFUNCTION("""COMPUTED_VALUE"""),15.0)</f>
        <v>15</v>
      </c>
      <c r="K2568" s="18">
        <f>IFERROR(__xludf.DUMMYFUNCTION("""COMPUTED_VALUE"""),28.0)</f>
        <v>28</v>
      </c>
      <c r="L2568" s="17" t="str">
        <f>IFERROR(__xludf.DUMMYFUNCTION("""COMPUTED_VALUE"""),"313 2626232")</f>
        <v>313 2626232</v>
      </c>
      <c r="M2568" s="17" t="str">
        <f>IFERROR(__xludf.DUMMYFUNCTION("""COMPUTED_VALUE"""),"#REF!")</f>
        <v>#REF!</v>
      </c>
      <c r="N2568" s="17"/>
      <c r="O2568" s="17"/>
      <c r="P2568" s="17" t="b">
        <f>IFERROR(__xludf.DUMMYFUNCTION("""COMPUTED_VALUE"""),FALSE)</f>
        <v>0</v>
      </c>
      <c r="Q2568" s="20" t="str">
        <f>IFERROR(__xludf.DUMMYFUNCTION("""COMPUTED_VALUE"""),"")</f>
        <v/>
      </c>
      <c r="R2568" s="21" t="str">
        <f>IFERROR(__xludf.DUMMYFUNCTION("""COMPUTED_VALUE"""),"https://drive.google.com/file/d/1WE7oGVup2lWihnatg1tRc3FhkH4-SkXp/view?usp=drivesdk")</f>
        <v>https://drive.google.com/file/d/1WE7oGVup2lWihnatg1tRc3FhkH4-SkXp/view?usp=drivesdk</v>
      </c>
    </row>
    <row r="2569">
      <c r="A2569" s="15">
        <f>IFERROR(__xludf.DUMMYFUNCTION("""COMPUTED_VALUE"""),45077.0)</f>
        <v>45077</v>
      </c>
      <c r="B2569" s="16" t="str">
        <f>IFERROR(__xludf.DUMMYFUNCTION("""COMPUTED_VALUE"""),"Andres felipe maya bautista ")</f>
        <v>Andres felipe maya bautista </v>
      </c>
      <c r="C2569" s="15" t="str">
        <f>IFERROR(__xludf.DUMMYFUNCTION("""COMPUTED_VALUE"""),"MONTERIA")</f>
        <v>MONTERIA</v>
      </c>
      <c r="D2569" s="15" t="str">
        <f>IFERROR(__xludf.DUMMYFUNCTION("""COMPUTED_VALUE"""),"BOGOTÁ")</f>
        <v>BOGOTÁ</v>
      </c>
      <c r="E2569" s="15" t="str">
        <f>IFERROR(__xludf.DUMMYFUNCTION("""COMPUTED_VALUE"""),"MAI ALIMENTOS S.A.S")</f>
        <v>MAI ALIMENTOS S.A.S</v>
      </c>
      <c r="F2569" s="17" t="str">
        <f>IFERROR(__xludf.DUMMYFUNCTION("""COMPUTED_VALUE"""),"Carrera 5A#62B-59 / Tienda Farmatodo")</f>
        <v>Carrera 5A#62B-59 / Tienda Farmatodo</v>
      </c>
      <c r="G2569" s="15" t="str">
        <f>IFERROR(__xludf.DUMMYFUNCTION("""COMPUTED_VALUE"""),"Farmatodo Montería")</f>
        <v>Farmatodo Montería</v>
      </c>
      <c r="H2569" s="16">
        <f>IFERROR(__xludf.DUMMYFUNCTION("""COMPUTED_VALUE"""),11061.0)</f>
        <v>11061</v>
      </c>
      <c r="I2569" s="18">
        <f>IFERROR(__xludf.DUMMYFUNCTION("""COMPUTED_VALUE"""),35.0)</f>
        <v>35</v>
      </c>
      <c r="J2569" s="18">
        <f>IFERROR(__xludf.DUMMYFUNCTION("""COMPUTED_VALUE"""),17.0)</f>
        <v>17</v>
      </c>
      <c r="K2569" s="18">
        <f>IFERROR(__xludf.DUMMYFUNCTION("""COMPUTED_VALUE"""),13.0)</f>
        <v>13</v>
      </c>
      <c r="L2569" s="17"/>
      <c r="M2569" s="17" t="str">
        <f>IFERROR(__xludf.DUMMYFUNCTION("""COMPUTED_VALUE"""),"#REF!")</f>
        <v>#REF!</v>
      </c>
      <c r="N2569" s="17"/>
      <c r="O2569" s="17"/>
      <c r="P2569" s="17" t="b">
        <f>IFERROR(__xludf.DUMMYFUNCTION("""COMPUTED_VALUE"""),FALSE)</f>
        <v>0</v>
      </c>
      <c r="Q2569" s="20" t="str">
        <f>IFERROR(__xludf.DUMMYFUNCTION("""COMPUTED_VALUE"""),"")</f>
        <v/>
      </c>
      <c r="R2569" s="21" t="str">
        <f>IFERROR(__xludf.DUMMYFUNCTION("""COMPUTED_VALUE"""),"https://drive.google.com/file/d/1fX0woBijYXZKdMiE8r0gIEoH5pdlEeEW/view?usp=drivesdk")</f>
        <v>https://drive.google.com/file/d/1fX0woBijYXZKdMiE8r0gIEoH5pdlEeEW/view?usp=drivesdk</v>
      </c>
    </row>
    <row r="2570">
      <c r="A2570" s="15">
        <f>IFERROR(__xludf.DUMMYFUNCTION("""COMPUTED_VALUE"""),45077.0)</f>
        <v>45077</v>
      </c>
      <c r="B2570" s="16" t="str">
        <f>IFERROR(__xludf.DUMMYFUNCTION("""COMPUTED_VALUE"""),"Andres felipe maya bautista ")</f>
        <v>Andres felipe maya bautista </v>
      </c>
      <c r="C2570" s="15" t="str">
        <f>IFERROR(__xludf.DUMMYFUNCTION("""COMPUTED_VALUE"""),"MONTERIA")</f>
        <v>MONTERIA</v>
      </c>
      <c r="D2570" s="15" t="str">
        <f>IFERROR(__xludf.DUMMYFUNCTION("""COMPUTED_VALUE"""),"MEDELLÍN")</f>
        <v>MEDELLÍN</v>
      </c>
      <c r="E2570" s="15" t="str">
        <f>IFERROR(__xludf.DUMMYFUNCTION("""COMPUTED_VALUE"""),"Rambla")</f>
        <v>Rambla</v>
      </c>
      <c r="F2570" s="17" t="str">
        <f>IFERROR(__xludf.DUMMYFUNCTION("""COMPUTED_VALUE"""),"calle 44 #10-91 lc 4 cc alamedas / NA / NA")</f>
        <v>calle 44 #10-91 lc 4 cc alamedas / NA / NA</v>
      </c>
      <c r="G2570" s="15" t="str">
        <f>IFERROR(__xludf.DUMMYFUNCTION("""COMPUTED_VALUE"""),"Enjoy Fit Food Market")</f>
        <v>Enjoy Fit Food Market</v>
      </c>
      <c r="H2570" s="16">
        <f>IFERROR(__xludf.DUMMYFUNCTION("""COMPUTED_VALUE"""),11167.0)</f>
        <v>11167</v>
      </c>
      <c r="I2570" s="18">
        <f>IFERROR(__xludf.DUMMYFUNCTION("""COMPUTED_VALUE"""),25.0)</f>
        <v>25</v>
      </c>
      <c r="J2570" s="18">
        <f>IFERROR(__xludf.DUMMYFUNCTION("""COMPUTED_VALUE"""),27.0)</f>
        <v>27</v>
      </c>
      <c r="K2570" s="18">
        <f>IFERROR(__xludf.DUMMYFUNCTION("""COMPUTED_VALUE"""),30.0)</f>
        <v>30</v>
      </c>
      <c r="L2570" s="17">
        <f>IFERROR(__xludf.DUMMYFUNCTION("""COMPUTED_VALUE"""),3.107294683E9)</f>
        <v>3107294683</v>
      </c>
      <c r="M2570" s="17" t="str">
        <f>IFERROR(__xludf.DUMMYFUNCTION("""COMPUTED_VALUE"""),"#REF!")</f>
        <v>#REF!</v>
      </c>
      <c r="N2570" s="17"/>
      <c r="O2570" s="17"/>
      <c r="P2570" s="17" t="b">
        <f>IFERROR(__xludf.DUMMYFUNCTION("""COMPUTED_VALUE"""),TRUE)</f>
        <v>1</v>
      </c>
      <c r="Q2570" s="20">
        <f>IFERROR(__xludf.DUMMYFUNCTION("""COMPUTED_VALUE"""),45078.43460574074)</f>
        <v>45078.43461</v>
      </c>
      <c r="R2570" s="21" t="str">
        <f>IFERROR(__xludf.DUMMYFUNCTION("""COMPUTED_VALUE"""),"https://drive.google.com/file/d/17U9hdsqQb7gDjtLzPLhze5_5MwKlJ7x5/view?usp=drivesdk")</f>
        <v>https://drive.google.com/file/d/17U9hdsqQb7gDjtLzPLhze5_5MwKlJ7x5/view?usp=drivesdk</v>
      </c>
    </row>
    <row r="2571">
      <c r="A2571" s="17" t="str">
        <f>IFERROR(__xludf.DUMMYFUNCTION("""COMPUTED_VALUE"""),"")</f>
        <v/>
      </c>
      <c r="B2571" s="17" t="str">
        <f>IFERROR(__xludf.DUMMYFUNCTION("""COMPUTED_VALUE"""),"")</f>
        <v/>
      </c>
      <c r="C2571" s="17" t="str">
        <f>IFERROR(__xludf.DUMMYFUNCTION("""COMPUTED_VALUE"""),"")</f>
        <v/>
      </c>
      <c r="D2571" s="17" t="str">
        <f>IFERROR(__xludf.DUMMYFUNCTION("""COMPUTED_VALUE"""),"")</f>
        <v/>
      </c>
      <c r="E2571" s="17" t="str">
        <f>IFERROR(__xludf.DUMMYFUNCTION("""COMPUTED_VALUE"""),"")</f>
        <v/>
      </c>
      <c r="F2571" s="17" t="str">
        <f>IFERROR(__xludf.DUMMYFUNCTION("""COMPUTED_VALUE"""),"")</f>
        <v/>
      </c>
      <c r="G2571" s="17" t="str">
        <f>IFERROR(__xludf.DUMMYFUNCTION("""COMPUTED_VALUE"""),"")</f>
        <v/>
      </c>
      <c r="H2571" s="17" t="str">
        <f>IFERROR(__xludf.DUMMYFUNCTION("""COMPUTED_VALUE"""),"")</f>
        <v/>
      </c>
      <c r="I2571" s="17" t="str">
        <f>IFERROR(__xludf.DUMMYFUNCTION("""COMPUTED_VALUE"""),"")</f>
        <v/>
      </c>
      <c r="J2571" s="17" t="str">
        <f>IFERROR(__xludf.DUMMYFUNCTION("""COMPUTED_VALUE"""),"")</f>
        <v/>
      </c>
      <c r="K2571" s="17" t="str">
        <f>IFERROR(__xludf.DUMMYFUNCTION("""COMPUTED_VALUE"""),"")</f>
        <v/>
      </c>
      <c r="L2571" s="17" t="str">
        <f>IFERROR(__xludf.DUMMYFUNCTION("""COMPUTED_VALUE"""),"")</f>
        <v/>
      </c>
      <c r="M2571" s="17" t="str">
        <f>IFERROR(__xludf.DUMMYFUNCTION("""COMPUTED_VALUE"""),"")</f>
        <v/>
      </c>
      <c r="N2571" s="17" t="str">
        <f>IFERROR(__xludf.DUMMYFUNCTION("""COMPUTED_VALUE"""),"")</f>
        <v/>
      </c>
      <c r="O2571" s="17" t="str">
        <f>IFERROR(__xludf.DUMMYFUNCTION("""COMPUTED_VALUE"""),"")</f>
        <v/>
      </c>
      <c r="P2571" s="17" t="str">
        <f>IFERROR(__xludf.DUMMYFUNCTION("""COMPUTED_VALUE"""),"")</f>
        <v/>
      </c>
      <c r="Q2571" s="17" t="str">
        <f>IFERROR(__xludf.DUMMYFUNCTION("""COMPUTED_VALUE"""),"")</f>
        <v/>
      </c>
      <c r="R2571" s="17" t="str">
        <f>IFERROR(__xludf.DUMMYFUNCTION("""COMPUTED_VALUE"""),"")</f>
        <v/>
      </c>
    </row>
    <row r="2572">
      <c r="A2572" s="15">
        <f>IFERROR(__xludf.DUMMYFUNCTION("""COMPUTED_VALUE"""),45077.0)</f>
        <v>45077</v>
      </c>
      <c r="B2572" s="16" t="str">
        <f>IFERROR(__xludf.DUMMYFUNCTION("""COMPUTED_VALUE"""),"Anuar suarez jimenez ")</f>
        <v>Anuar suarez jimenez </v>
      </c>
      <c r="C2572" s="15" t="str">
        <f>IFERROR(__xludf.DUMMYFUNCTION("""COMPUTED_VALUE"""),"BARRANQUILLA")</f>
        <v>BARRANQUILLA</v>
      </c>
      <c r="D2572" s="15" t="str">
        <f>IFERROR(__xludf.DUMMYFUNCTION("""COMPUTED_VALUE"""),"BOGOTÁ")</f>
        <v>BOGOTÁ</v>
      </c>
      <c r="E2572" s="15" t="str">
        <f>IFERROR(__xludf.DUMMYFUNCTION("""COMPUTED_VALUE"""),"Mochi")</f>
        <v>Mochi</v>
      </c>
      <c r="F2572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2572" s="15" t="str">
        <f>IFERROR(__xludf.DUMMYFUNCTION("""COMPUTED_VALUE"""),"MARIA CAMILA")</f>
        <v>MARIA CAMILA</v>
      </c>
      <c r="H2572" s="16">
        <f>IFERROR(__xludf.DUMMYFUNCTION("""COMPUTED_VALUE"""),11193.0)</f>
        <v>11193</v>
      </c>
      <c r="I2572" s="18">
        <f>IFERROR(__xludf.DUMMYFUNCTION("""COMPUTED_VALUE"""),100.0)</f>
        <v>100</v>
      </c>
      <c r="J2572" s="18">
        <f>IFERROR(__xludf.DUMMYFUNCTION("""COMPUTED_VALUE"""),100.0)</f>
        <v>100</v>
      </c>
      <c r="K2572" s="18">
        <f>IFERROR(__xludf.DUMMYFUNCTION("""COMPUTED_VALUE"""),100.0)</f>
        <v>100</v>
      </c>
      <c r="L2572" s="17">
        <f>IFERROR(__xludf.DUMMYFUNCTION("""COMPUTED_VALUE"""),3.116026252E9)</f>
        <v>3116026252</v>
      </c>
      <c r="M2572" s="17" t="str">
        <f>IFERROR(__xludf.DUMMYFUNCTION("""COMPUTED_VALUE"""),"#REF!")</f>
        <v>#REF!</v>
      </c>
      <c r="N2572" s="17"/>
      <c r="O2572" s="17"/>
      <c r="P2572" s="17" t="b">
        <f>IFERROR(__xludf.DUMMYFUNCTION("""COMPUTED_VALUE"""),FALSE)</f>
        <v>0</v>
      </c>
      <c r="Q2572" s="20" t="str">
        <f>IFERROR(__xludf.DUMMYFUNCTION("""COMPUTED_VALUE"""),"")</f>
        <v/>
      </c>
      <c r="R2572" s="21" t="str">
        <f>IFERROR(__xludf.DUMMYFUNCTION("""COMPUTED_VALUE"""),"https://drive.google.com/file/d/1YvSdpwMznOiRE4kq-eFQ1vSTt19YMBgy/view?usp=drivesdk")</f>
        <v>https://drive.google.com/file/d/1YvSdpwMznOiRE4kq-eFQ1vSTt19YMBgy/view?usp=drivesdk</v>
      </c>
    </row>
    <row r="2573">
      <c r="A2573" s="15">
        <f>IFERROR(__xludf.DUMMYFUNCTION("""COMPUTED_VALUE"""),45077.0)</f>
        <v>45077</v>
      </c>
      <c r="B2573" s="16" t="str">
        <f>IFERROR(__xludf.DUMMYFUNCTION("""COMPUTED_VALUE"""),"Anuar suarez jimenez ")</f>
        <v>Anuar suarez jimenez </v>
      </c>
      <c r="C2573" s="15" t="str">
        <f>IFERROR(__xludf.DUMMYFUNCTION("""COMPUTED_VALUE"""),"CARTAGENA")</f>
        <v>CARTAGENA</v>
      </c>
      <c r="D2573" s="15" t="str">
        <f>IFERROR(__xludf.DUMMYFUNCTION("""COMPUTED_VALUE"""),"BOGOTÁ")</f>
        <v>BOGOTÁ</v>
      </c>
      <c r="E2573" s="15" t="str">
        <f>IFERROR(__xludf.DUMMYFUNCTION("""COMPUTED_VALUE"""),"Mochi")</f>
        <v>Mochi</v>
      </c>
      <c r="F2573" s="17" t="str">
        <f>IFERROR(__xludf.DUMMYFUNCTION("""COMPUTED_VALUE"""),"CENTRO COMERECIAL SERREZUELA / CENTRO COMERECIAL SERREZUELA / CENTRO COMERECIAL SERREZUELA")</f>
        <v>CENTRO COMERECIAL SERREZUELA / CENTRO COMERECIAL SERREZUELA / CENTRO COMERECIAL SERREZUELA</v>
      </c>
      <c r="G2573" s="15" t="str">
        <f>IFERROR(__xludf.DUMMYFUNCTION("""COMPUTED_VALUE"""),"MARIA CAMILA")</f>
        <v>MARIA CAMILA</v>
      </c>
      <c r="H2573" s="16">
        <f>IFERROR(__xludf.DUMMYFUNCTION("""COMPUTED_VALUE"""),11194.0)</f>
        <v>11194</v>
      </c>
      <c r="I2573" s="18">
        <f>IFERROR(__xludf.DUMMYFUNCTION("""COMPUTED_VALUE"""),100.0)</f>
        <v>100</v>
      </c>
      <c r="J2573" s="18">
        <f>IFERROR(__xludf.DUMMYFUNCTION("""COMPUTED_VALUE"""),100.0)</f>
        <v>100</v>
      </c>
      <c r="K2573" s="18">
        <f>IFERROR(__xludf.DUMMYFUNCTION("""COMPUTED_VALUE"""),300.0)</f>
        <v>300</v>
      </c>
      <c r="L2573" s="17">
        <f>IFERROR(__xludf.DUMMYFUNCTION("""COMPUTED_VALUE"""),3.116026252E9)</f>
        <v>3116026252</v>
      </c>
      <c r="M2573" s="17" t="str">
        <f>IFERROR(__xludf.DUMMYFUNCTION("""COMPUTED_VALUE"""),"#REF!")</f>
        <v>#REF!</v>
      </c>
      <c r="N2573" s="17"/>
      <c r="O2573" s="17"/>
      <c r="P2573" s="17" t="b">
        <f>IFERROR(__xludf.DUMMYFUNCTION("""COMPUTED_VALUE"""),FALSE)</f>
        <v>0</v>
      </c>
      <c r="Q2573" s="20" t="str">
        <f>IFERROR(__xludf.DUMMYFUNCTION("""COMPUTED_VALUE"""),"")</f>
        <v/>
      </c>
      <c r="R2573" s="21" t="str">
        <f>IFERROR(__xludf.DUMMYFUNCTION("""COMPUTED_VALUE"""),"https://drive.google.com/file/d/1L2a5wbnZAOuOZmwH55iISOBBvfHr8EV9/view?usp=drivesdk")</f>
        <v>https://drive.google.com/file/d/1L2a5wbnZAOuOZmwH55iISOBBvfHr8EV9/view?usp=drivesdk</v>
      </c>
    </row>
    <row r="2574">
      <c r="A2574" s="15">
        <f>IFERROR(__xludf.DUMMYFUNCTION("""COMPUTED_VALUE"""),45077.0)</f>
        <v>45077</v>
      </c>
      <c r="B2574" s="16" t="str">
        <f>IFERROR(__xludf.DUMMYFUNCTION("""COMPUTED_VALUE"""),"Anuar suarez jimenez ")</f>
        <v>Anuar suarez jimenez </v>
      </c>
      <c r="C2574" s="15" t="str">
        <f>IFERROR(__xludf.DUMMYFUNCTION("""COMPUTED_VALUE"""),"MONTERIA")</f>
        <v>MONTERIA</v>
      </c>
      <c r="D2574" s="15" t="str">
        <f>IFERROR(__xludf.DUMMYFUNCTION("""COMPUTED_VALUE"""),"BOGOTÁ")</f>
        <v>BOGOTÁ</v>
      </c>
      <c r="E2574" s="15" t="str">
        <f>IFERROR(__xludf.DUMMYFUNCTION("""COMPUTED_VALUE"""),"Asociacion Agropecuaria Juana Maria")</f>
        <v>Asociacion Agropecuaria Juana Maria</v>
      </c>
      <c r="F2574" s="17" t="str">
        <f>IFERROR(__xludf.DUMMYFUNCTION("""COMPUTED_VALUE"""),"Cra 14A #54-23 Barrio Monte Verde")</f>
        <v>Cra 14A #54-23 Barrio Monte Verde</v>
      </c>
      <c r="G2574" s="15" t="str">
        <f>IFERROR(__xludf.DUMMYFUNCTION("""COMPUTED_VALUE"""),"Emilia Miranda")</f>
        <v>Emilia Miranda</v>
      </c>
      <c r="H2574" s="16">
        <f>IFERROR(__xludf.DUMMYFUNCTION("""COMPUTED_VALUE"""),11082.0)</f>
        <v>11082</v>
      </c>
      <c r="I2574" s="18">
        <f>IFERROR(__xludf.DUMMYFUNCTION("""COMPUTED_VALUE"""),17.0)</f>
        <v>17</v>
      </c>
      <c r="J2574" s="18">
        <f>IFERROR(__xludf.DUMMYFUNCTION("""COMPUTED_VALUE"""),37.0)</f>
        <v>37</v>
      </c>
      <c r="K2574" s="18">
        <f>IFERROR(__xludf.DUMMYFUNCTION("""COMPUTED_VALUE"""),28.0)</f>
        <v>28</v>
      </c>
      <c r="L2574" s="17">
        <f>IFERROR(__xludf.DUMMYFUNCTION("""COMPUTED_VALUE"""),3.113438505E9)</f>
        <v>3113438505</v>
      </c>
      <c r="M2574" s="17" t="str">
        <f>IFERROR(__xludf.DUMMYFUNCTION("""COMPUTED_VALUE"""),"#REF!")</f>
        <v>#REF!</v>
      </c>
      <c r="N2574" s="17"/>
      <c r="O2574" s="17"/>
      <c r="P2574" s="17" t="b">
        <f>IFERROR(__xludf.DUMMYFUNCTION("""COMPUTED_VALUE"""),TRUE)</f>
        <v>1</v>
      </c>
      <c r="Q2574" s="20">
        <f>IFERROR(__xludf.DUMMYFUNCTION("""COMPUTED_VALUE"""),45078.434652372685)</f>
        <v>45078.43465</v>
      </c>
      <c r="R2574" s="21" t="str">
        <f>IFERROR(__xludf.DUMMYFUNCTION("""COMPUTED_VALUE"""),"https://drive.google.com/file/d/1pteqNZ7TVOf8QXbtuTGxZdoZVFFpenth/view?usp=drivesdk")</f>
        <v>https://drive.google.com/file/d/1pteqNZ7TVOf8QXbtuTGxZdoZVFFpenth/view?usp=drivesdk</v>
      </c>
    </row>
    <row r="2575">
      <c r="A2575" s="15">
        <f>IFERROR(__xludf.DUMMYFUNCTION("""COMPUTED_VALUE"""),45077.0)</f>
        <v>45077</v>
      </c>
      <c r="B2575" s="16" t="str">
        <f>IFERROR(__xludf.DUMMYFUNCTION("""COMPUTED_VALUE"""),"Anuar suarez jimenez ")</f>
        <v>Anuar suarez jimenez </v>
      </c>
      <c r="C2575" s="15" t="str">
        <f>IFERROR(__xludf.DUMMYFUNCTION("""COMPUTED_VALUE"""),"MONTERIA")</f>
        <v>MONTERIA</v>
      </c>
      <c r="D2575" s="15" t="str">
        <f>IFERROR(__xludf.DUMMYFUNCTION("""COMPUTED_VALUE"""),"BOGOTÁ")</f>
        <v>BOGOTÁ</v>
      </c>
      <c r="E2575" s="15" t="str">
        <f>IFERROR(__xludf.DUMMYFUNCTION("""COMPUTED_VALUE"""),"Evamazzita")</f>
        <v>Evamazzita</v>
      </c>
      <c r="F2575" s="17" t="str">
        <f>IFERROR(__xludf.DUMMYFUNCTION("""COMPUTED_VALUE"""),"CRA 14A No. 54 . 23  / N/A / BARRIO MONTEVERDE")</f>
        <v>CRA 14A No. 54 . 23  / N/A / BARRIO MONTEVERDE</v>
      </c>
      <c r="G2575" s="15" t="str">
        <f>IFERROR(__xludf.DUMMYFUNCTION("""COMPUTED_VALUE"""),"EMILIA MIRANDA")</f>
        <v>EMILIA MIRANDA</v>
      </c>
      <c r="H2575" s="16">
        <f>IFERROR(__xludf.DUMMYFUNCTION("""COMPUTED_VALUE"""),11104.0)</f>
        <v>11104</v>
      </c>
      <c r="I2575" s="18">
        <f>IFERROR(__xludf.DUMMYFUNCTION("""COMPUTED_VALUE"""),24.0)</f>
        <v>24</v>
      </c>
      <c r="J2575" s="18">
        <f>IFERROR(__xludf.DUMMYFUNCTION("""COMPUTED_VALUE"""),38.0)</f>
        <v>38</v>
      </c>
      <c r="K2575" s="18">
        <f>IFERROR(__xludf.DUMMYFUNCTION("""COMPUTED_VALUE"""),23.0)</f>
        <v>23</v>
      </c>
      <c r="L2575" s="17">
        <f>IFERROR(__xludf.DUMMYFUNCTION("""COMPUTED_VALUE"""),3.113438505E9)</f>
        <v>3113438505</v>
      </c>
      <c r="M2575" s="17" t="str">
        <f>IFERROR(__xludf.DUMMYFUNCTION("""COMPUTED_VALUE"""),"#REF!")</f>
        <v>#REF!</v>
      </c>
      <c r="N2575" s="17"/>
      <c r="O2575" s="17"/>
      <c r="P2575" s="17" t="b">
        <f>IFERROR(__xludf.DUMMYFUNCTION("""COMPUTED_VALUE"""),FALSE)</f>
        <v>0</v>
      </c>
      <c r="Q2575" s="20" t="str">
        <f>IFERROR(__xludf.DUMMYFUNCTION("""COMPUTED_VALUE"""),"")</f>
        <v/>
      </c>
      <c r="R2575" s="21" t="str">
        <f>IFERROR(__xludf.DUMMYFUNCTION("""COMPUTED_VALUE"""),"https://drive.google.com/file/d/1aWstkqsGUqsK_BdYh2wrFx0bE61R_NKH/view?usp=drivesdk")</f>
        <v>https://drive.google.com/file/d/1aWstkqsGUqsK_BdYh2wrFx0bE61R_NKH/view?usp=drivesdk</v>
      </c>
    </row>
    <row r="2576">
      <c r="A2576" s="17" t="str">
        <f>IFERROR(__xludf.DUMMYFUNCTION("""COMPUTED_VALUE"""),"")</f>
        <v/>
      </c>
      <c r="B2576" s="17" t="str">
        <f>IFERROR(__xludf.DUMMYFUNCTION("""COMPUTED_VALUE"""),"")</f>
        <v/>
      </c>
      <c r="C2576" s="17" t="str">
        <f>IFERROR(__xludf.DUMMYFUNCTION("""COMPUTED_VALUE"""),"")</f>
        <v/>
      </c>
      <c r="D2576" s="17" t="str">
        <f>IFERROR(__xludf.DUMMYFUNCTION("""COMPUTED_VALUE"""),"")</f>
        <v/>
      </c>
      <c r="E2576" s="17" t="str">
        <f>IFERROR(__xludf.DUMMYFUNCTION("""COMPUTED_VALUE"""),"")</f>
        <v/>
      </c>
      <c r="F2576" s="17" t="str">
        <f>IFERROR(__xludf.DUMMYFUNCTION("""COMPUTED_VALUE"""),"")</f>
        <v/>
      </c>
      <c r="G2576" s="17" t="str">
        <f>IFERROR(__xludf.DUMMYFUNCTION("""COMPUTED_VALUE"""),"")</f>
        <v/>
      </c>
      <c r="H2576" s="17" t="str">
        <f>IFERROR(__xludf.DUMMYFUNCTION("""COMPUTED_VALUE"""),"")</f>
        <v/>
      </c>
      <c r="I2576" s="17" t="str">
        <f>IFERROR(__xludf.DUMMYFUNCTION("""COMPUTED_VALUE"""),"")</f>
        <v/>
      </c>
      <c r="J2576" s="17" t="str">
        <f>IFERROR(__xludf.DUMMYFUNCTION("""COMPUTED_VALUE"""),"")</f>
        <v/>
      </c>
      <c r="K2576" s="17" t="str">
        <f>IFERROR(__xludf.DUMMYFUNCTION("""COMPUTED_VALUE"""),"")</f>
        <v/>
      </c>
      <c r="L2576" s="17" t="str">
        <f>IFERROR(__xludf.DUMMYFUNCTION("""COMPUTED_VALUE"""),"")</f>
        <v/>
      </c>
      <c r="M2576" s="17" t="str">
        <f>IFERROR(__xludf.DUMMYFUNCTION("""COMPUTED_VALUE"""),"")</f>
        <v/>
      </c>
      <c r="N2576" s="17" t="str">
        <f>IFERROR(__xludf.DUMMYFUNCTION("""COMPUTED_VALUE"""),"")</f>
        <v/>
      </c>
      <c r="O2576" s="17" t="str">
        <f>IFERROR(__xludf.DUMMYFUNCTION("""COMPUTED_VALUE"""),"")</f>
        <v/>
      </c>
      <c r="P2576" s="17" t="str">
        <f>IFERROR(__xludf.DUMMYFUNCTION("""COMPUTED_VALUE"""),"")</f>
        <v/>
      </c>
      <c r="Q2576" s="17" t="str">
        <f>IFERROR(__xludf.DUMMYFUNCTION("""COMPUTED_VALUE"""),"")</f>
        <v/>
      </c>
      <c r="R2576" s="17" t="str">
        <f>IFERROR(__xludf.DUMMYFUNCTION("""COMPUTED_VALUE"""),"")</f>
        <v/>
      </c>
    </row>
    <row r="2577">
      <c r="A2577" s="15">
        <f>IFERROR(__xludf.DUMMYFUNCTION("""COMPUTED_VALUE"""),45077.0)</f>
        <v>45077</v>
      </c>
      <c r="B2577" s="16" t="str">
        <f>IFERROR(__xludf.DUMMYFUNCTION("""COMPUTED_VALUE"""),"Envia")</f>
        <v>Envia</v>
      </c>
      <c r="C2577" s="15" t="str">
        <f>IFERROR(__xludf.DUMMYFUNCTION("""COMPUTED_VALUE"""),"BOGOTÁ")</f>
        <v>BOGOTÁ</v>
      </c>
      <c r="D2577" s="15" t="str">
        <f>IFERROR(__xludf.DUMMYFUNCTION("""COMPUTED_VALUE"""),"MEDELLÍN")</f>
        <v>MEDELLÍN</v>
      </c>
      <c r="E2577" s="15" t="str">
        <f>IFERROR(__xludf.DUMMYFUNCTION("""COMPUTED_VALUE"""),"Moloso S.A.S")</f>
        <v>Moloso S.A.S</v>
      </c>
      <c r="F2577" s="17" t="str">
        <f>IFERROR(__xludf.DUMMYFUNCTION("""COMPUTED_VALUE"""),"	 CRA 9 BIS 97 06 / APTO 604")</f>
        <v>	 CRA 9 BIS 97 06 / APTO 604</v>
      </c>
      <c r="G2577" s="15" t="str">
        <f>IFERROR(__xludf.DUMMYFUNCTION("""COMPUTED_VALUE"""),"MARIA XIMENA GUZMAN DEL CASTILLO")</f>
        <v>MARIA XIMENA GUZMAN DEL CASTILLO</v>
      </c>
      <c r="H2577" s="16">
        <f>IFERROR(__xludf.DUMMYFUNCTION("""COMPUTED_VALUE"""),11172.0)</f>
        <v>11172</v>
      </c>
      <c r="I2577" s="18">
        <f>IFERROR(__xludf.DUMMYFUNCTION("""COMPUTED_VALUE"""),17.0)</f>
        <v>17</v>
      </c>
      <c r="J2577" s="18">
        <f>IFERROR(__xludf.DUMMYFUNCTION("""COMPUTED_VALUE"""),15.0)</f>
        <v>15</v>
      </c>
      <c r="K2577" s="18">
        <f>IFERROR(__xludf.DUMMYFUNCTION("""COMPUTED_VALUE"""),28.0)</f>
        <v>28</v>
      </c>
      <c r="L2577" s="17" t="str">
        <f>IFERROR(__xludf.DUMMYFUNCTION("""COMPUTED_VALUE"""),"311 2848381")</f>
        <v>311 2848381</v>
      </c>
      <c r="M2577" s="17" t="str">
        <f>IFERROR(__xludf.DUMMYFUNCTION("""COMPUTED_VALUE"""),"#REF!")</f>
        <v>#REF!</v>
      </c>
      <c r="N2577" s="17"/>
      <c r="O2577" s="17"/>
      <c r="P2577" s="17" t="b">
        <f>IFERROR(__xludf.DUMMYFUNCTION("""COMPUTED_VALUE"""),FALSE)</f>
        <v>0</v>
      </c>
      <c r="Q2577" s="20" t="str">
        <f>IFERROR(__xludf.DUMMYFUNCTION("""COMPUTED_VALUE"""),"")</f>
        <v/>
      </c>
      <c r="R2577" s="21" t="str">
        <f>IFERROR(__xludf.DUMMYFUNCTION("""COMPUTED_VALUE"""),"https://drive.google.com/file/d/13QWLWxqTTQcxV20_4WzwNqLEgOtuBejO/view?usp=drivesdk")</f>
        <v>https://drive.google.com/file/d/13QWLWxqTTQcxV20_4WzwNqLEgOtuBejO/view?usp=drivesdk</v>
      </c>
    </row>
    <row r="2578">
      <c r="A2578" s="15">
        <f>IFERROR(__xludf.DUMMYFUNCTION("""COMPUTED_VALUE"""),45077.0)</f>
        <v>45077</v>
      </c>
      <c r="B2578" s="16" t="str">
        <f>IFERROR(__xludf.DUMMYFUNCTION("""COMPUTED_VALUE"""),"Envia")</f>
        <v>Envia</v>
      </c>
      <c r="C2578" s="15" t="str">
        <f>IFERROR(__xludf.DUMMYFUNCTION("""COMPUTED_VALUE"""),"BOGOTÁ")</f>
        <v>BOGOTÁ</v>
      </c>
      <c r="D2578" s="15" t="str">
        <f>IFERROR(__xludf.DUMMYFUNCTION("""COMPUTED_VALUE"""),"MEDELLÍN")</f>
        <v>MEDELLÍN</v>
      </c>
      <c r="E2578" s="15" t="str">
        <f>IFERROR(__xludf.DUMMYFUNCTION("""COMPUTED_VALUE"""),"Moloso S.A.S")</f>
        <v>Moloso S.A.S</v>
      </c>
      <c r="F2578" s="17" t="str">
        <f>IFERROR(__xludf.DUMMYFUNCTION("""COMPUTED_VALUE"""),"CRA 18C 112 76 / APTO. 402")</f>
        <v>CRA 18C 112 76 / APTO. 402</v>
      </c>
      <c r="G2578" s="15" t="str">
        <f>IFERROR(__xludf.DUMMYFUNCTION("""COMPUTED_VALUE"""),"MARIA OCHOA MARTELO")</f>
        <v>MARIA OCHOA MARTELO</v>
      </c>
      <c r="H2578" s="16">
        <f>IFERROR(__xludf.DUMMYFUNCTION("""COMPUTED_VALUE"""),11173.0)</f>
        <v>11173</v>
      </c>
      <c r="I2578" s="18">
        <f>IFERROR(__xludf.DUMMYFUNCTION("""COMPUTED_VALUE"""),17.0)</f>
        <v>17</v>
      </c>
      <c r="J2578" s="18">
        <f>IFERROR(__xludf.DUMMYFUNCTION("""COMPUTED_VALUE"""),15.0)</f>
        <v>15</v>
      </c>
      <c r="K2578" s="18">
        <f>IFERROR(__xludf.DUMMYFUNCTION("""COMPUTED_VALUE"""),28.0)</f>
        <v>28</v>
      </c>
      <c r="L2578" s="17" t="str">
        <f>IFERROR(__xludf.DUMMYFUNCTION("""COMPUTED_VALUE"""),"301 7890418")</f>
        <v>301 7890418</v>
      </c>
      <c r="M2578" s="17" t="str">
        <f>IFERROR(__xludf.DUMMYFUNCTION("""COMPUTED_VALUE"""),"#REF!")</f>
        <v>#REF!</v>
      </c>
      <c r="N2578" s="17"/>
      <c r="O2578" s="17"/>
      <c r="P2578" s="17" t="b">
        <f>IFERROR(__xludf.DUMMYFUNCTION("""COMPUTED_VALUE"""),FALSE)</f>
        <v>0</v>
      </c>
      <c r="Q2578" s="20" t="str">
        <f>IFERROR(__xludf.DUMMYFUNCTION("""COMPUTED_VALUE"""),"")</f>
        <v/>
      </c>
      <c r="R2578" s="21" t="str">
        <f>IFERROR(__xludf.DUMMYFUNCTION("""COMPUTED_VALUE"""),"https://drive.google.com/file/d/1cjsMBPYGk4lN8vaoUpOaTR2xUaEmjuEs/view?usp=drivesdk")</f>
        <v>https://drive.google.com/file/d/1cjsMBPYGk4lN8vaoUpOaTR2xUaEmjuEs/view?usp=drivesdk</v>
      </c>
    </row>
    <row r="2579">
      <c r="A2579" s="15">
        <f>IFERROR(__xludf.DUMMYFUNCTION("""COMPUTED_VALUE"""),45077.0)</f>
        <v>45077</v>
      </c>
      <c r="B2579" s="16" t="str">
        <f>IFERROR(__xludf.DUMMYFUNCTION("""COMPUTED_VALUE"""),"Envia")</f>
        <v>Envia</v>
      </c>
      <c r="C2579" s="15" t="str">
        <f>IFERROR(__xludf.DUMMYFUNCTION("""COMPUTED_VALUE"""),"BOGOTÁ")</f>
        <v>BOGOTÁ</v>
      </c>
      <c r="D2579" s="15" t="str">
        <f>IFERROR(__xludf.DUMMYFUNCTION("""COMPUTED_VALUE"""),"MEDELLÍN")</f>
        <v>MEDELLÍN</v>
      </c>
      <c r="E2579" s="15" t="str">
        <f>IFERROR(__xludf.DUMMYFUNCTION("""COMPUTED_VALUE"""),"TOLEDALES S.A.S")</f>
        <v>TOLEDALES S.A.S</v>
      </c>
      <c r="F2579" s="17" t="str">
        <f>IFERROR(__xludf.DUMMYFUNCTION("""COMPUTED_VALUE"""),"Av Calle 6 #68-5 / Torre 1 Ap2308 Conjunto Boreal Bogotá")</f>
        <v>Av Calle 6 #68-5 / Torre 1 Ap2308 Conjunto Boreal Bogotá</v>
      </c>
      <c r="G2579" s="15" t="str">
        <f>IFERROR(__xludf.DUMMYFUNCTION("""COMPUTED_VALUE"""),"Yuselli Troncoso")</f>
        <v>Yuselli Troncoso</v>
      </c>
      <c r="H2579" s="16">
        <f>IFERROR(__xludf.DUMMYFUNCTION("""COMPUTED_VALUE"""),11089.0)</f>
        <v>11089</v>
      </c>
      <c r="I2579" s="18">
        <f>IFERROR(__xludf.DUMMYFUNCTION("""COMPUTED_VALUE"""),7.0)</f>
        <v>7</v>
      </c>
      <c r="J2579" s="18">
        <f>IFERROR(__xludf.DUMMYFUNCTION("""COMPUTED_VALUE"""),7.0)</f>
        <v>7</v>
      </c>
      <c r="K2579" s="18">
        <f>IFERROR(__xludf.DUMMYFUNCTION("""COMPUTED_VALUE"""),26.0)</f>
        <v>26</v>
      </c>
      <c r="L2579" s="17">
        <f>IFERROR(__xludf.DUMMYFUNCTION("""COMPUTED_VALUE"""),3.112246656E9)</f>
        <v>3112246656</v>
      </c>
      <c r="M2579" s="17" t="str">
        <f>IFERROR(__xludf.DUMMYFUNCTION("""COMPUTED_VALUE"""),"#REF!")</f>
        <v>#REF!</v>
      </c>
      <c r="N2579" s="17"/>
      <c r="O2579" s="17"/>
      <c r="P2579" s="17" t="b">
        <f>IFERROR(__xludf.DUMMYFUNCTION("""COMPUTED_VALUE"""),FALSE)</f>
        <v>0</v>
      </c>
      <c r="Q2579" s="20" t="str">
        <f>IFERROR(__xludf.DUMMYFUNCTION("""COMPUTED_VALUE"""),"")</f>
        <v/>
      </c>
      <c r="R2579" s="22" t="str">
        <f>IFERROR(__xludf.DUMMYFUNCTION("""COMPUTED_VALUE"""),"")</f>
        <v/>
      </c>
    </row>
    <row r="2580">
      <c r="A2580" s="15">
        <f>IFERROR(__xludf.DUMMYFUNCTION("""COMPUTED_VALUE"""),45077.0)</f>
        <v>45077</v>
      </c>
      <c r="B2580" s="16" t="str">
        <f>IFERROR(__xludf.DUMMYFUNCTION("""COMPUTED_VALUE"""),"Envia")</f>
        <v>Envia</v>
      </c>
      <c r="C2580" s="15" t="str">
        <f>IFERROR(__xludf.DUMMYFUNCTION("""COMPUTED_VALUE"""),"BOGOTÁ")</f>
        <v>BOGOTÁ</v>
      </c>
      <c r="D2580" s="15" t="str">
        <f>IFERROR(__xludf.DUMMYFUNCTION("""COMPUTED_VALUE"""),"PEREIRA")</f>
        <v>PEREIRA</v>
      </c>
      <c r="E2580" s="15" t="str">
        <f>IFERROR(__xludf.DUMMYFUNCTION("""COMPUTED_VALUE"""),"Chalupo")</f>
        <v>Chalupo</v>
      </c>
      <c r="F2580" s="17" t="str">
        <f>IFERROR(__xludf.DUMMYFUNCTION("""COMPUTED_VALUE"""),"CALLE 47A SUR #28-64 / BODEGA DE ALIVITAL / RAFAEL URIBE")</f>
        <v>CALLE 47A SUR #28-64 / BODEGA DE ALIVITAL / RAFAEL URIBE</v>
      </c>
      <c r="G2580" s="15" t="str">
        <f>IFERROR(__xludf.DUMMYFUNCTION("""COMPUTED_VALUE"""),"ALIVITAL")</f>
        <v>ALIVITAL</v>
      </c>
      <c r="H2580" s="16">
        <f>IFERROR(__xludf.DUMMYFUNCTION("""COMPUTED_VALUE"""),11164.0)</f>
        <v>11164</v>
      </c>
      <c r="I2580" s="18">
        <f>IFERROR(__xludf.DUMMYFUNCTION("""COMPUTED_VALUE"""),10.0)</f>
        <v>10</v>
      </c>
      <c r="J2580" s="18">
        <f>IFERROR(__xludf.DUMMYFUNCTION("""COMPUTED_VALUE"""),12.0)</f>
        <v>12</v>
      </c>
      <c r="K2580" s="18">
        <f>IFERROR(__xludf.DUMMYFUNCTION("""COMPUTED_VALUE"""),12.0)</f>
        <v>12</v>
      </c>
      <c r="L2580" s="17">
        <f>IFERROR(__xludf.DUMMYFUNCTION("""COMPUTED_VALUE"""),3.124749422E9)</f>
        <v>3124749422</v>
      </c>
      <c r="M2580" s="17" t="str">
        <f>IFERROR(__xludf.DUMMYFUNCTION("""COMPUTED_VALUE"""),"#REF!")</f>
        <v>#REF!</v>
      </c>
      <c r="N2580" s="17"/>
      <c r="O2580" s="17"/>
      <c r="P2580" s="17" t="b">
        <f>IFERROR(__xludf.DUMMYFUNCTION("""COMPUTED_VALUE"""),FALSE)</f>
        <v>0</v>
      </c>
      <c r="Q2580" s="20" t="str">
        <f>IFERROR(__xludf.DUMMYFUNCTION("""COMPUTED_VALUE"""),"")</f>
        <v/>
      </c>
      <c r="R2580" s="21" t="str">
        <f>IFERROR(__xludf.DUMMYFUNCTION("""COMPUTED_VALUE"""),"https://drive.google.com/file/d/14-TSKpeT9Qkx105wQKbd-8NRKKaVbEl2/view?usp=drivesdk")</f>
        <v>https://drive.google.com/file/d/14-TSKpeT9Qkx105wQKbd-8NRKKaVbEl2/view?usp=drivesdk</v>
      </c>
    </row>
    <row r="2581">
      <c r="A2581" s="15">
        <f>IFERROR(__xludf.DUMMYFUNCTION("""COMPUTED_VALUE"""),45077.0)</f>
        <v>45077</v>
      </c>
      <c r="B2581" s="16" t="str">
        <f>IFERROR(__xludf.DUMMYFUNCTION("""COMPUTED_VALUE"""),"Envia")</f>
        <v>Envia</v>
      </c>
      <c r="C2581" s="15" t="str">
        <f>IFERROR(__xludf.DUMMYFUNCTION("""COMPUTED_VALUE"""),"CALI")</f>
        <v>CALI</v>
      </c>
      <c r="D2581" s="15" t="str">
        <f>IFERROR(__xludf.DUMMYFUNCTION("""COMPUTED_VALUE"""),"MEDELLÍN")</f>
        <v>MEDELLÍN</v>
      </c>
      <c r="E2581" s="15" t="str">
        <f>IFERROR(__xludf.DUMMYFUNCTION("""COMPUTED_VALUE"""),"JD Bufala")</f>
        <v>JD Bufala</v>
      </c>
      <c r="F2581" s="17" t="str">
        <f>IFERROR(__xludf.DUMMYFUNCTION("""COMPUTED_VALUE"""),"Calle 51norte #4bn72 / Delhuertopizzeria  / La flora")</f>
        <v>Calle 51norte #4bn72 / Delhuertopizzeria  / La flora</v>
      </c>
      <c r="G2581" s="15" t="str">
        <f>IFERROR(__xludf.DUMMYFUNCTION("""COMPUTED_VALUE"""),"Javier Rodríguez")</f>
        <v>Javier Rodríguez</v>
      </c>
      <c r="H2581" s="16">
        <f>IFERROR(__xludf.DUMMYFUNCTION("""COMPUTED_VALUE"""),11159.0)</f>
        <v>11159</v>
      </c>
      <c r="I2581" s="18">
        <f>IFERROR(__xludf.DUMMYFUNCTION("""COMPUTED_VALUE"""),45066.0)</f>
        <v>45066</v>
      </c>
      <c r="J2581" s="18">
        <f>IFERROR(__xludf.DUMMYFUNCTION("""COMPUTED_VALUE"""),28.0)</f>
        <v>28</v>
      </c>
      <c r="K2581" s="18">
        <f>IFERROR(__xludf.DUMMYFUNCTION("""COMPUTED_VALUE"""),40.0)</f>
        <v>40</v>
      </c>
      <c r="L2581" s="17">
        <f>IFERROR(__xludf.DUMMYFUNCTION("""COMPUTED_VALUE"""),3.104919761E9)</f>
        <v>3104919761</v>
      </c>
      <c r="M2581" s="17" t="str">
        <f>IFERROR(__xludf.DUMMYFUNCTION("""COMPUTED_VALUE"""),"#REF!")</f>
        <v>#REF!</v>
      </c>
      <c r="N2581" s="17"/>
      <c r="O2581" s="17"/>
      <c r="P2581" s="17" t="b">
        <f>IFERROR(__xludf.DUMMYFUNCTION("""COMPUTED_VALUE"""),FALSE)</f>
        <v>0</v>
      </c>
      <c r="Q2581" s="20" t="str">
        <f>IFERROR(__xludf.DUMMYFUNCTION("""COMPUTED_VALUE"""),"")</f>
        <v/>
      </c>
      <c r="R2581" s="22" t="str">
        <f>IFERROR(__xludf.DUMMYFUNCTION("""COMPUTED_VALUE"""),"")</f>
        <v/>
      </c>
    </row>
    <row r="2582">
      <c r="A2582" s="15">
        <f>IFERROR(__xludf.DUMMYFUNCTION("""COMPUTED_VALUE"""),45077.0)</f>
        <v>45077</v>
      </c>
      <c r="B2582" s="16" t="str">
        <f>IFERROR(__xludf.DUMMYFUNCTION("""COMPUTED_VALUE"""),"Envia")</f>
        <v>Envia</v>
      </c>
      <c r="C2582" s="15" t="str">
        <f>IFERROR(__xludf.DUMMYFUNCTION("""COMPUTED_VALUE"""),"CALI")</f>
        <v>CALI</v>
      </c>
      <c r="D2582" s="15" t="str">
        <f>IFERROR(__xludf.DUMMYFUNCTION("""COMPUTED_VALUE"""),"MEDELLÍN")</f>
        <v>MEDELLÍN</v>
      </c>
      <c r="E2582" s="15" t="str">
        <f>IFERROR(__xludf.DUMMYFUNCTION("""COMPUTED_VALUE"""),"Rambla")</f>
        <v>Rambla</v>
      </c>
      <c r="F2582" s="17" t="str">
        <f>IFERROR(__xludf.DUMMYFUNCTION("""COMPUTED_VALUE"""),"avenida 4 norte #7n-46 lc 129 centro comercial centenario  / NA / NA")</f>
        <v>avenida 4 norte #7n-46 lc 129 centro comercial centenario  / NA / NA</v>
      </c>
      <c r="G2582" s="15" t="str">
        <f>IFERROR(__xludf.DUMMYFUNCTION("""COMPUTED_VALUE"""),"Vita Fitness")</f>
        <v>Vita Fitness</v>
      </c>
      <c r="H2582" s="16">
        <f>IFERROR(__xludf.DUMMYFUNCTION("""COMPUTED_VALUE"""),11168.0)</f>
        <v>11168</v>
      </c>
      <c r="I2582" s="18">
        <f>IFERROR(__xludf.DUMMYFUNCTION("""COMPUTED_VALUE"""),28.0)</f>
        <v>28</v>
      </c>
      <c r="J2582" s="18">
        <f>IFERROR(__xludf.DUMMYFUNCTION("""COMPUTED_VALUE"""),32.0)</f>
        <v>32</v>
      </c>
      <c r="K2582" s="18">
        <f>IFERROR(__xludf.DUMMYFUNCTION("""COMPUTED_VALUE"""),33.0)</f>
        <v>33</v>
      </c>
      <c r="L2582" s="17">
        <f>IFERROR(__xludf.DUMMYFUNCTION("""COMPUTED_VALUE"""),3.103420337E9)</f>
        <v>3103420337</v>
      </c>
      <c r="M2582" s="17" t="str">
        <f>IFERROR(__xludf.DUMMYFUNCTION("""COMPUTED_VALUE"""),"#REF!")</f>
        <v>#REF!</v>
      </c>
      <c r="N2582" s="17"/>
      <c r="O2582" s="17"/>
      <c r="P2582" s="17" t="b">
        <f>IFERROR(__xludf.DUMMYFUNCTION("""COMPUTED_VALUE"""),TRUE)</f>
        <v>1</v>
      </c>
      <c r="Q2582" s="20">
        <f>IFERROR(__xludf.DUMMYFUNCTION("""COMPUTED_VALUE"""),45078.434730127316)</f>
        <v>45078.43473</v>
      </c>
      <c r="R2582" s="21" t="str">
        <f>IFERROR(__xludf.DUMMYFUNCTION("""COMPUTED_VALUE"""),"https://drive.google.com/file/d/1T0HGsb8uM9RebwJIickrRvEvkupW3IDR/view?usp=drivesdk")</f>
        <v>https://drive.google.com/file/d/1T0HGsb8uM9RebwJIickrRvEvkupW3IDR/view?usp=drivesdk</v>
      </c>
    </row>
    <row r="2583">
      <c r="A2583" s="15">
        <f>IFERROR(__xludf.DUMMYFUNCTION("""COMPUTED_VALUE"""),45077.0)</f>
        <v>45077</v>
      </c>
      <c r="B2583" s="16" t="str">
        <f>IFERROR(__xludf.DUMMYFUNCTION("""COMPUTED_VALUE"""),"Envia")</f>
        <v>Envia</v>
      </c>
      <c r="C2583" s="15" t="str">
        <f>IFERROR(__xludf.DUMMYFUNCTION("""COMPUTED_VALUE"""),"CÚCUTA")</f>
        <v>CÚCUTA</v>
      </c>
      <c r="D2583" s="15" t="str">
        <f>IFERROR(__xludf.DUMMYFUNCTION("""COMPUTED_VALUE"""),"MEDELLÍN")</f>
        <v>MEDELLÍN</v>
      </c>
      <c r="E2583" s="15" t="str">
        <f>IFERROR(__xludf.DUMMYFUNCTION("""COMPUTED_VALUE"""),"Momo Tea S.A.S Gabriel Echavarría")</f>
        <v>Momo Tea S.A.S Gabriel Echavarría</v>
      </c>
      <c r="F2583" s="17" t="str">
        <f>IFERROR(__xludf.DUMMYFUNCTION("""COMPUTED_VALUE"""),"CL 11 N 16 E 35 / CA B 1")</f>
        <v>CL 11 N 16 E 35 / CA B 1</v>
      </c>
      <c r="G2583" s="15" t="str">
        <f>IFERROR(__xludf.DUMMYFUNCTION("""COMPUTED_VALUE"""),"Gabriel Echavarría")</f>
        <v>Gabriel Echavarría</v>
      </c>
      <c r="H2583" s="16">
        <f>IFERROR(__xludf.DUMMYFUNCTION("""COMPUTED_VALUE"""),11127.0)</f>
        <v>11127</v>
      </c>
      <c r="I2583" s="18">
        <f>IFERROR(__xludf.DUMMYFUNCTION("""COMPUTED_VALUE"""),21.0)</f>
        <v>21</v>
      </c>
      <c r="J2583" s="18">
        <f>IFERROR(__xludf.DUMMYFUNCTION("""COMPUTED_VALUE"""),29.0)</f>
        <v>29</v>
      </c>
      <c r="K2583" s="18">
        <f>IFERROR(__xludf.DUMMYFUNCTION("""COMPUTED_VALUE"""),29.0)</f>
        <v>29</v>
      </c>
      <c r="L2583" s="17">
        <f>IFERROR(__xludf.DUMMYFUNCTION("""COMPUTED_VALUE"""),3.017909548E9)</f>
        <v>3017909548</v>
      </c>
      <c r="M2583" s="17" t="str">
        <f>IFERROR(__xludf.DUMMYFUNCTION("""COMPUTED_VALUE"""),"#REF!")</f>
        <v>#REF!</v>
      </c>
      <c r="N2583" s="17"/>
      <c r="O2583" s="17"/>
      <c r="P2583" s="17" t="b">
        <f>IFERROR(__xludf.DUMMYFUNCTION("""COMPUTED_VALUE"""),FALSE)</f>
        <v>0</v>
      </c>
      <c r="Q2583" s="20" t="str">
        <f>IFERROR(__xludf.DUMMYFUNCTION("""COMPUTED_VALUE"""),"")</f>
        <v/>
      </c>
      <c r="R2583" s="21" t="str">
        <f>IFERROR(__xludf.DUMMYFUNCTION("""COMPUTED_VALUE"""),"https://drive.google.com/file/d/1XEyW6S6-3Hrnt12PwiVSr3ARSt7xmEQE/view?usp=drivesdk")</f>
        <v>https://drive.google.com/file/d/1XEyW6S6-3Hrnt12PwiVSr3ARSt7xmEQE/view?usp=drivesdk</v>
      </c>
    </row>
    <row r="2584">
      <c r="A2584" s="15">
        <f>IFERROR(__xludf.DUMMYFUNCTION("""COMPUTED_VALUE"""),45077.0)</f>
        <v>45077</v>
      </c>
      <c r="B2584" s="16" t="str">
        <f>IFERROR(__xludf.DUMMYFUNCTION("""COMPUTED_VALUE"""),"Envia")</f>
        <v>Envia</v>
      </c>
      <c r="C2584" s="15" t="str">
        <f>IFERROR(__xludf.DUMMYFUNCTION("""COMPUTED_VALUE"""),"CÚCUTA")</f>
        <v>CÚCUTA</v>
      </c>
      <c r="D2584" s="15" t="str">
        <f>IFERROR(__xludf.DUMMYFUNCTION("""COMPUTED_VALUE"""),"MEDELLÍN")</f>
        <v>MEDELLÍN</v>
      </c>
      <c r="E2584" s="15" t="str">
        <f>IFERROR(__xludf.DUMMYFUNCTION("""COMPUTED_VALUE"""),"Momo Tea S.A.S Gabriel Echavarría")</f>
        <v>Momo Tea S.A.S Gabriel Echavarría</v>
      </c>
      <c r="F2584" s="17" t="str">
        <f>IFERROR(__xludf.DUMMYFUNCTION("""COMPUTED_VALUE"""),"CL 11 N 16 E 35 / CA B 1")</f>
        <v>CL 11 N 16 E 35 / CA B 1</v>
      </c>
      <c r="G2584" s="15" t="str">
        <f>IFERROR(__xludf.DUMMYFUNCTION("""COMPUTED_VALUE"""),"Gabriel Echavarría")</f>
        <v>Gabriel Echavarría</v>
      </c>
      <c r="H2584" s="16">
        <f>IFERROR(__xludf.DUMMYFUNCTION("""COMPUTED_VALUE"""),11128.0)</f>
        <v>11128</v>
      </c>
      <c r="I2584" s="18">
        <f>IFERROR(__xludf.DUMMYFUNCTION("""COMPUTED_VALUE"""),28.0)</f>
        <v>28</v>
      </c>
      <c r="J2584" s="18">
        <f>IFERROR(__xludf.DUMMYFUNCTION("""COMPUTED_VALUE"""),54.0)</f>
        <v>54</v>
      </c>
      <c r="K2584" s="18">
        <f>IFERROR(__xludf.DUMMYFUNCTION("""COMPUTED_VALUE"""),35.0)</f>
        <v>35</v>
      </c>
      <c r="L2584" s="17">
        <f>IFERROR(__xludf.DUMMYFUNCTION("""COMPUTED_VALUE"""),3.017909548E9)</f>
        <v>3017909548</v>
      </c>
      <c r="M2584" s="17" t="str">
        <f>IFERROR(__xludf.DUMMYFUNCTION("""COMPUTED_VALUE"""),"#REF!")</f>
        <v>#REF!</v>
      </c>
      <c r="N2584" s="17"/>
      <c r="O2584" s="17"/>
      <c r="P2584" s="17" t="b">
        <f>IFERROR(__xludf.DUMMYFUNCTION("""COMPUTED_VALUE"""),FALSE)</f>
        <v>0</v>
      </c>
      <c r="Q2584" s="20" t="str">
        <f>IFERROR(__xludf.DUMMYFUNCTION("""COMPUTED_VALUE"""),"")</f>
        <v/>
      </c>
      <c r="R2584" s="21" t="str">
        <f>IFERROR(__xludf.DUMMYFUNCTION("""COMPUTED_VALUE"""),"https://drive.google.com/file/d/1HIzRXXH2xueHrwYhbvmhzN_H7OCil52w/view?usp=drivesdk")</f>
        <v>https://drive.google.com/file/d/1HIzRXXH2xueHrwYhbvmhzN_H7OCil52w/view?usp=drivesdk</v>
      </c>
    </row>
    <row r="2585">
      <c r="A2585" s="15">
        <f>IFERROR(__xludf.DUMMYFUNCTION("""COMPUTED_VALUE"""),45077.0)</f>
        <v>45077</v>
      </c>
      <c r="B2585" s="16" t="str">
        <f>IFERROR(__xludf.DUMMYFUNCTION("""COMPUTED_VALUE"""),"Envia")</f>
        <v>Envia</v>
      </c>
      <c r="C2585" s="15" t="str">
        <f>IFERROR(__xludf.DUMMYFUNCTION("""COMPUTED_VALUE"""),"CÚCUTA")</f>
        <v>CÚCUTA</v>
      </c>
      <c r="D2585" s="15" t="str">
        <f>IFERROR(__xludf.DUMMYFUNCTION("""COMPUTED_VALUE"""),"MEDELLÍN")</f>
        <v>MEDELLÍN</v>
      </c>
      <c r="E2585" s="15" t="str">
        <f>IFERROR(__xludf.DUMMYFUNCTION("""COMPUTED_VALUE"""),"Momo Tea S.A.S Gabriel Echavarría")</f>
        <v>Momo Tea S.A.S Gabriel Echavarría</v>
      </c>
      <c r="F2585" s="17" t="str">
        <f>IFERROR(__xludf.DUMMYFUNCTION("""COMPUTED_VALUE"""),"CL 11 N 16 E 35 / CA B 1")</f>
        <v>CL 11 N 16 E 35 / CA B 1</v>
      </c>
      <c r="G2585" s="15" t="str">
        <f>IFERROR(__xludf.DUMMYFUNCTION("""COMPUTED_VALUE"""),"Gabriel Echavarría")</f>
        <v>Gabriel Echavarría</v>
      </c>
      <c r="H2585" s="16">
        <f>IFERROR(__xludf.DUMMYFUNCTION("""COMPUTED_VALUE"""),11129.0)</f>
        <v>11129</v>
      </c>
      <c r="I2585" s="18">
        <f>IFERROR(__xludf.DUMMYFUNCTION("""COMPUTED_VALUE"""),13.0)</f>
        <v>13</v>
      </c>
      <c r="J2585" s="18">
        <f>IFERROR(__xludf.DUMMYFUNCTION("""COMPUTED_VALUE"""),19.0)</f>
        <v>19</v>
      </c>
      <c r="K2585" s="18">
        <f>IFERROR(__xludf.DUMMYFUNCTION("""COMPUTED_VALUE"""),19.0)</f>
        <v>19</v>
      </c>
      <c r="L2585" s="17">
        <f>IFERROR(__xludf.DUMMYFUNCTION("""COMPUTED_VALUE"""),3.017909548E9)</f>
        <v>3017909548</v>
      </c>
      <c r="M2585" s="17" t="str">
        <f>IFERROR(__xludf.DUMMYFUNCTION("""COMPUTED_VALUE"""),"#REF!")</f>
        <v>#REF!</v>
      </c>
      <c r="N2585" s="17"/>
      <c r="O2585" s="17"/>
      <c r="P2585" s="17" t="b">
        <f>IFERROR(__xludf.DUMMYFUNCTION("""COMPUTED_VALUE"""),FALSE)</f>
        <v>0</v>
      </c>
      <c r="Q2585" s="20" t="str">
        <f>IFERROR(__xludf.DUMMYFUNCTION("""COMPUTED_VALUE"""),"")</f>
        <v/>
      </c>
      <c r="R2585" s="21" t="str">
        <f>IFERROR(__xludf.DUMMYFUNCTION("""COMPUTED_VALUE"""),"https://drive.google.com/file/d/11fEuqxoNHBx9MUJm5CsgGEUAT_huyoNQ/view?usp=drivesdk")</f>
        <v>https://drive.google.com/file/d/11fEuqxoNHBx9MUJm5CsgGEUAT_huyoNQ/view?usp=drivesdk</v>
      </c>
    </row>
    <row r="2586">
      <c r="A2586" s="15">
        <f>IFERROR(__xludf.DUMMYFUNCTION("""COMPUTED_VALUE"""),45077.0)</f>
        <v>45077</v>
      </c>
      <c r="B2586" s="16" t="str">
        <f>IFERROR(__xludf.DUMMYFUNCTION("""COMPUTED_VALUE"""),"Envia")</f>
        <v>Envia</v>
      </c>
      <c r="C2586" s="15" t="str">
        <f>IFERROR(__xludf.DUMMYFUNCTION("""COMPUTED_VALUE"""),"CÚCUTA")</f>
        <v>CÚCUTA</v>
      </c>
      <c r="D2586" s="15" t="str">
        <f>IFERROR(__xludf.DUMMYFUNCTION("""COMPUTED_VALUE"""),"MEDELLÍN")</f>
        <v>MEDELLÍN</v>
      </c>
      <c r="E2586" s="15" t="str">
        <f>IFERROR(__xludf.DUMMYFUNCTION("""COMPUTED_VALUE"""),"Momo Tea S.A.S Gabriel Echavarría")</f>
        <v>Momo Tea S.A.S Gabriel Echavarría</v>
      </c>
      <c r="F2586" s="17" t="str">
        <f>IFERROR(__xludf.DUMMYFUNCTION("""COMPUTED_VALUE"""),"CL 11 N 16 E 35 / CA B 1")</f>
        <v>CL 11 N 16 E 35 / CA B 1</v>
      </c>
      <c r="G2586" s="15" t="str">
        <f>IFERROR(__xludf.DUMMYFUNCTION("""COMPUTED_VALUE"""),"Gabriel Echavarría")</f>
        <v>Gabriel Echavarría</v>
      </c>
      <c r="H2586" s="16">
        <f>IFERROR(__xludf.DUMMYFUNCTION("""COMPUTED_VALUE"""),11130.0)</f>
        <v>11130</v>
      </c>
      <c r="I2586" s="18">
        <f>IFERROR(__xludf.DUMMYFUNCTION("""COMPUTED_VALUE"""),30.0)</f>
        <v>30</v>
      </c>
      <c r="J2586" s="18">
        <f>IFERROR(__xludf.DUMMYFUNCTION("""COMPUTED_VALUE"""),8.0)</f>
        <v>8</v>
      </c>
      <c r="K2586" s="18">
        <f>IFERROR(__xludf.DUMMYFUNCTION("""COMPUTED_VALUE"""),18.0)</f>
        <v>18</v>
      </c>
      <c r="L2586" s="17">
        <f>IFERROR(__xludf.DUMMYFUNCTION("""COMPUTED_VALUE"""),3.017909548E9)</f>
        <v>3017909548</v>
      </c>
      <c r="M2586" s="17" t="str">
        <f>IFERROR(__xludf.DUMMYFUNCTION("""COMPUTED_VALUE"""),"#REF!")</f>
        <v>#REF!</v>
      </c>
      <c r="N2586" s="17"/>
      <c r="O2586" s="17"/>
      <c r="P2586" s="17" t="b">
        <f>IFERROR(__xludf.DUMMYFUNCTION("""COMPUTED_VALUE"""),FALSE)</f>
        <v>0</v>
      </c>
      <c r="Q2586" s="20" t="str">
        <f>IFERROR(__xludf.DUMMYFUNCTION("""COMPUTED_VALUE"""),"")</f>
        <v/>
      </c>
      <c r="R2586" s="21" t="str">
        <f>IFERROR(__xludf.DUMMYFUNCTION("""COMPUTED_VALUE"""),"https://drive.google.com/file/d/1jc4ai09kkSv6pWqTUoV_5CbxOGnRtvlV/view?usp=drivesdk")</f>
        <v>https://drive.google.com/file/d/1jc4ai09kkSv6pWqTUoV_5CbxOGnRtvlV/view?usp=drivesdk</v>
      </c>
    </row>
    <row r="2587">
      <c r="A2587" s="15">
        <f>IFERROR(__xludf.DUMMYFUNCTION("""COMPUTED_VALUE"""),45077.0)</f>
        <v>45077</v>
      </c>
      <c r="B2587" s="16" t="str">
        <f>IFERROR(__xludf.DUMMYFUNCTION("""COMPUTED_VALUE"""),"Envia")</f>
        <v>Envia</v>
      </c>
      <c r="C2587" s="15" t="str">
        <f>IFERROR(__xludf.DUMMYFUNCTION("""COMPUTED_VALUE"""),"CÚCUTA")</f>
        <v>CÚCUTA</v>
      </c>
      <c r="D2587" s="15" t="str">
        <f>IFERROR(__xludf.DUMMYFUNCTION("""COMPUTED_VALUE"""),"MEDELLÍN")</f>
        <v>MEDELLÍN</v>
      </c>
      <c r="E2587" s="15" t="str">
        <f>IFERROR(__xludf.DUMMYFUNCTION("""COMPUTED_VALUE"""),"Momo Tea S.A.S Gabriel Echavarría")</f>
        <v>Momo Tea S.A.S Gabriel Echavarría</v>
      </c>
      <c r="F2587" s="17" t="str">
        <f>IFERROR(__xludf.DUMMYFUNCTION("""COMPUTED_VALUE"""),"CL 11 N 16 E 35 / CA B 1")</f>
        <v>CL 11 N 16 E 35 / CA B 1</v>
      </c>
      <c r="G2587" s="15" t="str">
        <f>IFERROR(__xludf.DUMMYFUNCTION("""COMPUTED_VALUE"""),"Gabriel Echavarría")</f>
        <v>Gabriel Echavarría</v>
      </c>
      <c r="H2587" s="16">
        <f>IFERROR(__xludf.DUMMYFUNCTION("""COMPUTED_VALUE"""),11131.0)</f>
        <v>11131</v>
      </c>
      <c r="I2587" s="18">
        <f>IFERROR(__xludf.DUMMYFUNCTION("""COMPUTED_VALUE"""),17.0)</f>
        <v>17</v>
      </c>
      <c r="J2587" s="18">
        <f>IFERROR(__xludf.DUMMYFUNCTION("""COMPUTED_VALUE"""),17.0)</f>
        <v>17</v>
      </c>
      <c r="K2587" s="18">
        <f>IFERROR(__xludf.DUMMYFUNCTION("""COMPUTED_VALUE"""),23.0)</f>
        <v>23</v>
      </c>
      <c r="L2587" s="17">
        <f>IFERROR(__xludf.DUMMYFUNCTION("""COMPUTED_VALUE"""),3.017909548E9)</f>
        <v>3017909548</v>
      </c>
      <c r="M2587" s="17" t="str">
        <f>IFERROR(__xludf.DUMMYFUNCTION("""COMPUTED_VALUE"""),"#REF!")</f>
        <v>#REF!</v>
      </c>
      <c r="N2587" s="17"/>
      <c r="O2587" s="17"/>
      <c r="P2587" s="17" t="b">
        <f>IFERROR(__xludf.DUMMYFUNCTION("""COMPUTED_VALUE"""),FALSE)</f>
        <v>0</v>
      </c>
      <c r="Q2587" s="20" t="str">
        <f>IFERROR(__xludf.DUMMYFUNCTION("""COMPUTED_VALUE"""),"")</f>
        <v/>
      </c>
      <c r="R2587" s="21" t="str">
        <f>IFERROR(__xludf.DUMMYFUNCTION("""COMPUTED_VALUE"""),"https://drive.google.com/file/d/1gZfa2z1UZcjZQL1nLmQWnMcx1z1DKjGc/view?usp=drivesdk")</f>
        <v>https://drive.google.com/file/d/1gZfa2z1UZcjZQL1nLmQWnMcx1z1DKjGc/view?usp=drivesdk</v>
      </c>
    </row>
    <row r="2588">
      <c r="A2588" s="15">
        <f>IFERROR(__xludf.DUMMYFUNCTION("""COMPUTED_VALUE"""),45077.0)</f>
        <v>45077</v>
      </c>
      <c r="B2588" s="16" t="str">
        <f>IFERROR(__xludf.DUMMYFUNCTION("""COMPUTED_VALUE"""),"Envia")</f>
        <v>Envia</v>
      </c>
      <c r="C2588" s="15" t="str">
        <f>IFERROR(__xludf.DUMMYFUNCTION("""COMPUTED_VALUE"""),"CÚCUTA")</f>
        <v>CÚCUTA</v>
      </c>
      <c r="D2588" s="15" t="str">
        <f>IFERROR(__xludf.DUMMYFUNCTION("""COMPUTED_VALUE"""),"MEDELLÍN")</f>
        <v>MEDELLÍN</v>
      </c>
      <c r="E2588" s="15" t="str">
        <f>IFERROR(__xludf.DUMMYFUNCTION("""COMPUTED_VALUE"""),"Momo Tea S.A.S Gabriel Echavarría")</f>
        <v>Momo Tea S.A.S Gabriel Echavarría</v>
      </c>
      <c r="F2588" s="17" t="str">
        <f>IFERROR(__xludf.DUMMYFUNCTION("""COMPUTED_VALUE"""),"CL 11 N 16 E 35 / CA B 1")</f>
        <v>CL 11 N 16 E 35 / CA B 1</v>
      </c>
      <c r="G2588" s="15" t="str">
        <f>IFERROR(__xludf.DUMMYFUNCTION("""COMPUTED_VALUE"""),"Gabriel Echavarría")</f>
        <v>Gabriel Echavarría</v>
      </c>
      <c r="H2588" s="16">
        <f>IFERROR(__xludf.DUMMYFUNCTION("""COMPUTED_VALUE"""),11132.0)</f>
        <v>11132</v>
      </c>
      <c r="I2588" s="18">
        <f>IFERROR(__xludf.DUMMYFUNCTION("""COMPUTED_VALUE"""),17.0)</f>
        <v>17</v>
      </c>
      <c r="J2588" s="18">
        <f>IFERROR(__xludf.DUMMYFUNCTION("""COMPUTED_VALUE"""),13.0)</f>
        <v>13</v>
      </c>
      <c r="K2588" s="18">
        <f>IFERROR(__xludf.DUMMYFUNCTION("""COMPUTED_VALUE"""),20.0)</f>
        <v>20</v>
      </c>
      <c r="L2588" s="17">
        <f>IFERROR(__xludf.DUMMYFUNCTION("""COMPUTED_VALUE"""),3.017909548E9)</f>
        <v>3017909548</v>
      </c>
      <c r="M2588" s="17" t="str">
        <f>IFERROR(__xludf.DUMMYFUNCTION("""COMPUTED_VALUE"""),"#REF!")</f>
        <v>#REF!</v>
      </c>
      <c r="N2588" s="17"/>
      <c r="O2588" s="17"/>
      <c r="P2588" s="17" t="b">
        <f>IFERROR(__xludf.DUMMYFUNCTION("""COMPUTED_VALUE"""),FALSE)</f>
        <v>0</v>
      </c>
      <c r="Q2588" s="20" t="str">
        <f>IFERROR(__xludf.DUMMYFUNCTION("""COMPUTED_VALUE"""),"")</f>
        <v/>
      </c>
      <c r="R2588" s="21" t="str">
        <f>IFERROR(__xludf.DUMMYFUNCTION("""COMPUTED_VALUE"""),"https://drive.google.com/file/d/1BVgYuf_qmlwE-A2Cnjrcek4GoubOrch1/view?usp=drivesdk")</f>
        <v>https://drive.google.com/file/d/1BVgYuf_qmlwE-A2Cnjrcek4GoubOrch1/view?usp=drivesdk</v>
      </c>
    </row>
    <row r="2589">
      <c r="A2589" s="15">
        <f>IFERROR(__xludf.DUMMYFUNCTION("""COMPUTED_VALUE"""),45077.0)</f>
        <v>45077</v>
      </c>
      <c r="B2589" s="16" t="str">
        <f>IFERROR(__xludf.DUMMYFUNCTION("""COMPUTED_VALUE"""),"Envia")</f>
        <v>Envia</v>
      </c>
      <c r="C2589" s="15" t="str">
        <f>IFERROR(__xludf.DUMMYFUNCTION("""COMPUTED_VALUE"""),"CÚCUTA")</f>
        <v>CÚCUTA</v>
      </c>
      <c r="D2589" s="15" t="str">
        <f>IFERROR(__xludf.DUMMYFUNCTION("""COMPUTED_VALUE"""),"MEDELLÍN")</f>
        <v>MEDELLÍN</v>
      </c>
      <c r="E2589" s="15" t="str">
        <f>IFERROR(__xludf.DUMMYFUNCTION("""COMPUTED_VALUE"""),"Momo Tea S.A.S Gabriel Echavarría")</f>
        <v>Momo Tea S.A.S Gabriel Echavarría</v>
      </c>
      <c r="F2589" s="17" t="str">
        <f>IFERROR(__xludf.DUMMYFUNCTION("""COMPUTED_VALUE"""),"CL 11 N 16 E 35 / CA B 1")</f>
        <v>CL 11 N 16 E 35 / CA B 1</v>
      </c>
      <c r="G2589" s="15" t="str">
        <f>IFERROR(__xludf.DUMMYFUNCTION("""COMPUTED_VALUE"""),"Gabriel Echavarría")</f>
        <v>Gabriel Echavarría</v>
      </c>
      <c r="H2589" s="16">
        <f>IFERROR(__xludf.DUMMYFUNCTION("""COMPUTED_VALUE"""),11133.0)</f>
        <v>11133</v>
      </c>
      <c r="I2589" s="18">
        <f>IFERROR(__xludf.DUMMYFUNCTION("""COMPUTED_VALUE"""),63.0)</f>
        <v>63</v>
      </c>
      <c r="J2589" s="18">
        <f>IFERROR(__xludf.DUMMYFUNCTION("""COMPUTED_VALUE"""),10.0)</f>
        <v>10</v>
      </c>
      <c r="K2589" s="18">
        <f>IFERROR(__xludf.DUMMYFUNCTION("""COMPUTED_VALUE"""),9.0)</f>
        <v>9</v>
      </c>
      <c r="L2589" s="17">
        <f>IFERROR(__xludf.DUMMYFUNCTION("""COMPUTED_VALUE"""),3.017909548E9)</f>
        <v>3017909548</v>
      </c>
      <c r="M2589" s="17" t="str">
        <f>IFERROR(__xludf.DUMMYFUNCTION("""COMPUTED_VALUE"""),"#REF!")</f>
        <v>#REF!</v>
      </c>
      <c r="N2589" s="17"/>
      <c r="O2589" s="17"/>
      <c r="P2589" s="17" t="b">
        <f>IFERROR(__xludf.DUMMYFUNCTION("""COMPUTED_VALUE"""),FALSE)</f>
        <v>0</v>
      </c>
      <c r="Q2589" s="20" t="str">
        <f>IFERROR(__xludf.DUMMYFUNCTION("""COMPUTED_VALUE"""),"")</f>
        <v/>
      </c>
      <c r="R2589" s="21" t="str">
        <f>IFERROR(__xludf.DUMMYFUNCTION("""COMPUTED_VALUE"""),"https://drive.google.com/file/d/1iyX8JYDu6v2t_RtI9ke6gnQUcA2MK09p/view?usp=drivesdk")</f>
        <v>https://drive.google.com/file/d/1iyX8JYDu6v2t_RtI9ke6gnQUcA2MK09p/view?usp=drivesdk</v>
      </c>
    </row>
    <row r="2590">
      <c r="A2590" s="15">
        <f>IFERROR(__xludf.DUMMYFUNCTION("""COMPUTED_VALUE"""),45077.0)</f>
        <v>45077</v>
      </c>
      <c r="B2590" s="16" t="str">
        <f>IFERROR(__xludf.DUMMYFUNCTION("""COMPUTED_VALUE"""),"Envia")</f>
        <v>Envia</v>
      </c>
      <c r="C2590" s="15" t="str">
        <f>IFERROR(__xludf.DUMMYFUNCTION("""COMPUTED_VALUE"""),"MEDELLÍN")</f>
        <v>MEDELLÍN</v>
      </c>
      <c r="D2590" s="15" t="str">
        <f>IFERROR(__xludf.DUMMYFUNCTION("""COMPUTED_VALUE"""),"BOGOTÁ")</f>
        <v>BOGOTÁ</v>
      </c>
      <c r="E2590" s="15" t="str">
        <f>IFERROR(__xludf.DUMMYFUNCTION("""COMPUTED_VALUE"""),"Ins. Alimento Vital")</f>
        <v>Ins. Alimento Vital</v>
      </c>
      <c r="F2590" s="17" t="str">
        <f>IFERROR(__xludf.DUMMYFUNCTION("""COMPUTED_VALUE"""),"AV 74B 39B 142 / CASA NEGRA 2 PISO / BARRIO LAURELES")</f>
        <v>AV 74B 39B 142 / CASA NEGRA 2 PISO / BARRIO LAURELES</v>
      </c>
      <c r="G2590" s="15" t="str">
        <f>IFERROR(__xludf.DUMMYFUNCTION("""COMPUTED_VALUE"""),"VELOCITY MEDELLIN")</f>
        <v>VELOCITY MEDELLIN</v>
      </c>
      <c r="H2590" s="16">
        <f>IFERROR(__xludf.DUMMYFUNCTION("""COMPUTED_VALUE"""),11163.0)</f>
        <v>11163</v>
      </c>
      <c r="I2590" s="18">
        <f>IFERROR(__xludf.DUMMYFUNCTION("""COMPUTED_VALUE"""),1.0)</f>
        <v>1</v>
      </c>
      <c r="J2590" s="18">
        <f>IFERROR(__xludf.DUMMYFUNCTION("""COMPUTED_VALUE"""),1.0)</f>
        <v>1</v>
      </c>
      <c r="K2590" s="18">
        <f>IFERROR(__xludf.DUMMYFUNCTION("""COMPUTED_VALUE"""),1.0)</f>
        <v>1</v>
      </c>
      <c r="L2590" s="17">
        <f>IFERROR(__xludf.DUMMYFUNCTION("""COMPUTED_VALUE"""),3.239674555E9)</f>
        <v>3239674555</v>
      </c>
      <c r="M2590" s="17" t="str">
        <f>IFERROR(__xludf.DUMMYFUNCTION("""COMPUTED_VALUE"""),"#REF!")</f>
        <v>#REF!</v>
      </c>
      <c r="N2590" s="17"/>
      <c r="O2590" s="17"/>
      <c r="P2590" s="17" t="b">
        <f>IFERROR(__xludf.DUMMYFUNCTION("""COMPUTED_VALUE"""),TRUE)</f>
        <v>1</v>
      </c>
      <c r="Q2590" s="20">
        <f>IFERROR(__xludf.DUMMYFUNCTION("""COMPUTED_VALUE"""),45077.497453055556)</f>
        <v>45077.49745</v>
      </c>
      <c r="R2590" s="21" t="str">
        <f>IFERROR(__xludf.DUMMYFUNCTION("""COMPUTED_VALUE"""),"https://drive.google.com/file/d/1S_FxfAYx0sMbkoCmVHR7QFHa9l5qJYOV/view?usp=drivesdk")</f>
        <v>https://drive.google.com/file/d/1S_FxfAYx0sMbkoCmVHR7QFHa9l5qJYOV/view?usp=drivesdk</v>
      </c>
    </row>
    <row r="2591">
      <c r="A2591" s="15">
        <f>IFERROR(__xludf.DUMMYFUNCTION("""COMPUTED_VALUE"""),45077.0)</f>
        <v>45077</v>
      </c>
      <c r="B2591" s="16" t="str">
        <f>IFERROR(__xludf.DUMMYFUNCTION("""COMPUTED_VALUE"""),"Envia")</f>
        <v>Envia</v>
      </c>
      <c r="C2591" s="15" t="str">
        <f>IFERROR(__xludf.DUMMYFUNCTION("""COMPUTED_VALUE"""),"PEREIRA")</f>
        <v>PEREIRA</v>
      </c>
      <c r="D2591" s="15" t="str">
        <f>IFERROR(__xludf.DUMMYFUNCTION("""COMPUTED_VALUE"""),"BOGOTÁ")</f>
        <v>BOGOTÁ</v>
      </c>
      <c r="E2591" s="15" t="str">
        <f>IFERROR(__xludf.DUMMYFUNCTION("""COMPUTED_VALUE"""),"Ins. Alimento Vital")</f>
        <v>Ins. Alimento Vital</v>
      </c>
      <c r="F2591" s="17" t="str">
        <f>IFERROR(__xludf.DUMMYFUNCTION("""COMPUTED_VALUE"""),"CR 5 18 43 / EDIFICIO CHALJUB / BARRIO URIBE")</f>
        <v>CR 5 18 43 / EDIFICIO CHALJUB / BARRIO URIBE</v>
      </c>
      <c r="G2591" s="15" t="str">
        <f>IFERROR(__xludf.DUMMYFUNCTION("""COMPUTED_VALUE"""),"CHALJUB")</f>
        <v>CHALJUB</v>
      </c>
      <c r="H2591" s="16">
        <f>IFERROR(__xludf.DUMMYFUNCTION("""COMPUTED_VALUE"""),11161.0)</f>
        <v>11161</v>
      </c>
      <c r="I2591" s="18">
        <f>IFERROR(__xludf.DUMMYFUNCTION("""COMPUTED_VALUE"""),1.0)</f>
        <v>1</v>
      </c>
      <c r="J2591" s="18">
        <f>IFERROR(__xludf.DUMMYFUNCTION("""COMPUTED_VALUE"""),1.0)</f>
        <v>1</v>
      </c>
      <c r="K2591" s="18">
        <f>IFERROR(__xludf.DUMMYFUNCTION("""COMPUTED_VALUE"""),1.0)</f>
        <v>1</v>
      </c>
      <c r="L2591" s="17">
        <f>IFERROR(__xludf.DUMMYFUNCTION("""COMPUTED_VALUE"""),3.008252529E9)</f>
        <v>3008252529</v>
      </c>
      <c r="M2591" s="17" t="str">
        <f>IFERROR(__xludf.DUMMYFUNCTION("""COMPUTED_VALUE"""),"#REF!")</f>
        <v>#REF!</v>
      </c>
      <c r="N2591" s="17"/>
      <c r="O2591" s="17"/>
      <c r="P2591" s="17" t="b">
        <f>IFERROR(__xludf.DUMMYFUNCTION("""COMPUTED_VALUE"""),FALSE)</f>
        <v>0</v>
      </c>
      <c r="Q2591" s="20" t="str">
        <f>IFERROR(__xludf.DUMMYFUNCTION("""COMPUTED_VALUE"""),"")</f>
        <v/>
      </c>
      <c r="R2591" s="21" t="str">
        <f>IFERROR(__xludf.DUMMYFUNCTION("""COMPUTED_VALUE"""),"https://drive.google.com/file/d/1uBqKEDsqqmWiOITslMfLWTVfV-_bbqyh/view?usp=drivesdk")</f>
        <v>https://drive.google.com/file/d/1uBqKEDsqqmWiOITslMfLWTVfV-_bbqyh/view?usp=drivesdk</v>
      </c>
    </row>
    <row r="2592">
      <c r="A2592" s="17" t="str">
        <f>IFERROR(__xludf.DUMMYFUNCTION("""COMPUTED_VALUE"""),"")</f>
        <v/>
      </c>
      <c r="B2592" s="17" t="str">
        <f>IFERROR(__xludf.DUMMYFUNCTION("""COMPUTED_VALUE"""),"")</f>
        <v/>
      </c>
      <c r="C2592" s="17" t="str">
        <f>IFERROR(__xludf.DUMMYFUNCTION("""COMPUTED_VALUE"""),"")</f>
        <v/>
      </c>
      <c r="D2592" s="17" t="str">
        <f>IFERROR(__xludf.DUMMYFUNCTION("""COMPUTED_VALUE"""),"")</f>
        <v/>
      </c>
      <c r="E2592" s="17" t="str">
        <f>IFERROR(__xludf.DUMMYFUNCTION("""COMPUTED_VALUE"""),"")</f>
        <v/>
      </c>
      <c r="F2592" s="17" t="str">
        <f>IFERROR(__xludf.DUMMYFUNCTION("""COMPUTED_VALUE"""),"")</f>
        <v/>
      </c>
      <c r="G2592" s="17" t="str">
        <f>IFERROR(__xludf.DUMMYFUNCTION("""COMPUTED_VALUE"""),"")</f>
        <v/>
      </c>
      <c r="H2592" s="17" t="str">
        <f>IFERROR(__xludf.DUMMYFUNCTION("""COMPUTED_VALUE"""),"")</f>
        <v/>
      </c>
      <c r="I2592" s="17" t="str">
        <f>IFERROR(__xludf.DUMMYFUNCTION("""COMPUTED_VALUE"""),"")</f>
        <v/>
      </c>
      <c r="J2592" s="17" t="str">
        <f>IFERROR(__xludf.DUMMYFUNCTION("""COMPUTED_VALUE"""),"")</f>
        <v/>
      </c>
      <c r="K2592" s="17" t="str">
        <f>IFERROR(__xludf.DUMMYFUNCTION("""COMPUTED_VALUE"""),"")</f>
        <v/>
      </c>
      <c r="L2592" s="17" t="str">
        <f>IFERROR(__xludf.DUMMYFUNCTION("""COMPUTED_VALUE"""),"")</f>
        <v/>
      </c>
      <c r="M2592" s="17" t="str">
        <f>IFERROR(__xludf.DUMMYFUNCTION("""COMPUTED_VALUE"""),"")</f>
        <v/>
      </c>
      <c r="N2592" s="17" t="str">
        <f>IFERROR(__xludf.DUMMYFUNCTION("""COMPUTED_VALUE"""),"")</f>
        <v/>
      </c>
      <c r="O2592" s="17" t="str">
        <f>IFERROR(__xludf.DUMMYFUNCTION("""COMPUTED_VALUE"""),"")</f>
        <v/>
      </c>
      <c r="P2592" s="17" t="str">
        <f>IFERROR(__xludf.DUMMYFUNCTION("""COMPUTED_VALUE"""),"")</f>
        <v/>
      </c>
      <c r="Q2592" s="17" t="str">
        <f>IFERROR(__xludf.DUMMYFUNCTION("""COMPUTED_VALUE"""),"")</f>
        <v/>
      </c>
      <c r="R2592" s="17" t="str">
        <f>IFERROR(__xludf.DUMMYFUNCTION("""COMPUTED_VALUE"""),"")</f>
        <v/>
      </c>
    </row>
    <row r="2593">
      <c r="A2593" s="15">
        <f>IFERROR(__xludf.DUMMYFUNCTION("""COMPUTED_VALUE"""),45077.0)</f>
        <v>45077</v>
      </c>
      <c r="B2593" s="16" t="str">
        <f>IFERROR(__xludf.DUMMYFUNCTION("""COMPUTED_VALUE"""),"Jeison Rubiano")</f>
        <v>Jeison Rubiano</v>
      </c>
      <c r="C2593" s="15" t="str">
        <f>IFERROR(__xludf.DUMMYFUNCTION("""COMPUTED_VALUE"""),"BOGOTÁ")</f>
        <v>BOGOTÁ</v>
      </c>
      <c r="D2593" s="15" t="str">
        <f>IFERROR(__xludf.DUMMYFUNCTION("""COMPUTED_VALUE"""),"MEDELLÍN")</f>
        <v>MEDELLÍN</v>
      </c>
      <c r="E2593" s="15" t="str">
        <f>IFERROR(__xludf.DUMMYFUNCTION("""COMPUTED_VALUE"""),"Baby Chef")</f>
        <v>Baby Chef</v>
      </c>
      <c r="F2593" s="17" t="str">
        <f>IFERROR(__xludf.DUMMYFUNCTION("""COMPUTED_VALUE"""),"calle 67b#66 38 barrio u Vargas en Bogotá casa 2 piso / calle 67b#66 38 barrio u Vargas en Bogotá casa 2 piso / calle 67b#66 38 barrio u Vargas en Bogotá casa 2 piso")</f>
        <v>calle 67b#66 38 barrio u Vargas en Bogotá casa 2 piso / calle 67b#66 38 barrio u Vargas en Bogotá casa 2 piso / calle 67b#66 38 barrio u Vargas en Bogotá casa 2 piso</v>
      </c>
      <c r="G2593" s="15" t="str">
        <f>IFERROR(__xludf.DUMMYFUNCTION("""COMPUTED_VALUE"""),"Jessica Albarracín Vasquez")</f>
        <v>Jessica Albarracín Vasquez</v>
      </c>
      <c r="H2593" s="16">
        <f>IFERROR(__xludf.DUMMYFUNCTION("""COMPUTED_VALUE"""),11177.0)</f>
        <v>11177</v>
      </c>
      <c r="I2593" s="18">
        <f>IFERROR(__xludf.DUMMYFUNCTION("""COMPUTED_VALUE"""),8.0)</f>
        <v>8</v>
      </c>
      <c r="J2593" s="18">
        <f>IFERROR(__xludf.DUMMYFUNCTION("""COMPUTED_VALUE"""),16.0)</f>
        <v>16</v>
      </c>
      <c r="K2593" s="18">
        <f>IFERROR(__xludf.DUMMYFUNCTION("""COMPUTED_VALUE"""),20.0)</f>
        <v>20</v>
      </c>
      <c r="L2593" s="17">
        <f>IFERROR(__xludf.DUMMYFUNCTION("""COMPUTED_VALUE"""),3.21316411E9)</f>
        <v>3213164110</v>
      </c>
      <c r="M2593" s="17" t="str">
        <f>IFERROR(__xludf.DUMMYFUNCTION("""COMPUTED_VALUE"""),"#REF!")</f>
        <v>#REF!</v>
      </c>
      <c r="N2593" s="17"/>
      <c r="O2593" s="17"/>
      <c r="P2593" s="17" t="b">
        <f>IFERROR(__xludf.DUMMYFUNCTION("""COMPUTED_VALUE"""),FALSE)</f>
        <v>0</v>
      </c>
      <c r="Q2593" s="20" t="str">
        <f>IFERROR(__xludf.DUMMYFUNCTION("""COMPUTED_VALUE"""),"")</f>
        <v/>
      </c>
      <c r="R2593" s="22" t="str">
        <f>IFERROR(__xludf.DUMMYFUNCTION("""COMPUTED_VALUE"""),"")</f>
        <v/>
      </c>
    </row>
    <row r="2594">
      <c r="A2594" s="15">
        <f>IFERROR(__xludf.DUMMYFUNCTION("""COMPUTED_VALUE"""),45077.0)</f>
        <v>45077</v>
      </c>
      <c r="B2594" s="16" t="str">
        <f>IFERROR(__xludf.DUMMYFUNCTION("""COMPUTED_VALUE"""),"Jeison Rubiano")</f>
        <v>Jeison Rubiano</v>
      </c>
      <c r="C2594" s="15" t="str">
        <f>IFERROR(__xludf.DUMMYFUNCTION("""COMPUTED_VALUE"""),"BOGOTÁ")</f>
        <v>BOGOTÁ</v>
      </c>
      <c r="D2594" s="15" t="str">
        <f>IFERROR(__xludf.DUMMYFUNCTION("""COMPUTED_VALUE"""),"MEDELLÍN")</f>
        <v>MEDELLÍN</v>
      </c>
      <c r="E2594" s="15" t="str">
        <f>IFERROR(__xludf.DUMMYFUNCTION("""COMPUTED_VALUE"""),"Baby Chef")</f>
        <v>Baby Chef</v>
      </c>
      <c r="F2594" s="17" t="str">
        <f>IFERROR(__xludf.DUMMYFUNCTION("""COMPUTED_VALUE"""),"Carrera 8 #75-19. Apto 301. Barrio El Nogal, Localidad Chapinero. Bogotá D.C Edificio AYRAM / Carrera 8 #75-19. Apto 301. Barrio El Nogal, Localidad Chapinero. Bogotá D.C Edificio AYRAM / Carrera 8 #75-19. Apto 301. Barrio El Nogal, Localidad Chapinero. B"&amp;"ogotá D.C Edificio AYRAM")</f>
        <v>Carrera 8 #75-19. Apto 301. Barrio El Nogal, Localidad Chapinero. Bogotá D.C Edificio AYRAM / Carrera 8 #75-19. Apto 301. Barrio El Nogal, Localidad Chapinero. Bogotá D.C Edificio AYRAM / Carrera 8 #75-19. Apto 301. Barrio El Nogal, Localidad Chapinero. Bogotá D.C Edificio AYRAM</v>
      </c>
      <c r="G2594" s="15" t="str">
        <f>IFERROR(__xludf.DUMMYFUNCTION("""COMPUTED_VALUE"""),"Juliana Raigosa")</f>
        <v>Juliana Raigosa</v>
      </c>
      <c r="H2594" s="16">
        <f>IFERROR(__xludf.DUMMYFUNCTION("""COMPUTED_VALUE"""),11179.0)</f>
        <v>11179</v>
      </c>
      <c r="I2594" s="18">
        <f>IFERROR(__xludf.DUMMYFUNCTION("""COMPUTED_VALUE"""),8.0)</f>
        <v>8</v>
      </c>
      <c r="J2594" s="18">
        <f>IFERROR(__xludf.DUMMYFUNCTION("""COMPUTED_VALUE"""),16.0)</f>
        <v>16</v>
      </c>
      <c r="K2594" s="18">
        <f>IFERROR(__xludf.DUMMYFUNCTION("""COMPUTED_VALUE"""),20.0)</f>
        <v>20</v>
      </c>
      <c r="L2594" s="17">
        <f>IFERROR(__xludf.DUMMYFUNCTION("""COMPUTED_VALUE"""),3.003485924E9)</f>
        <v>3003485924</v>
      </c>
      <c r="M2594" s="17" t="str">
        <f>IFERROR(__xludf.DUMMYFUNCTION("""COMPUTED_VALUE"""),"#REF!")</f>
        <v>#REF!</v>
      </c>
      <c r="N2594" s="17"/>
      <c r="O2594" s="17"/>
      <c r="P2594" s="17" t="b">
        <f>IFERROR(__xludf.DUMMYFUNCTION("""COMPUTED_VALUE"""),FALSE)</f>
        <v>0</v>
      </c>
      <c r="Q2594" s="20" t="str">
        <f>IFERROR(__xludf.DUMMYFUNCTION("""COMPUTED_VALUE"""),"")</f>
        <v/>
      </c>
      <c r="R2594" s="21" t="str">
        <f>IFERROR(__xludf.DUMMYFUNCTION("""COMPUTED_VALUE"""),"https://drive.google.com/file/d/1bIBiaHRoP7U2BJtPR-EYa9clVqIqSQpM/view?usp=drivesdk")</f>
        <v>https://drive.google.com/file/d/1bIBiaHRoP7U2BJtPR-EYa9clVqIqSQpM/view?usp=drivesdk</v>
      </c>
    </row>
    <row r="2595">
      <c r="A2595" s="15">
        <f>IFERROR(__xludf.DUMMYFUNCTION("""COMPUTED_VALUE"""),45077.0)</f>
        <v>45077</v>
      </c>
      <c r="B2595" s="16" t="str">
        <f>IFERROR(__xludf.DUMMYFUNCTION("""COMPUTED_VALUE"""),"Jeison Rubiano")</f>
        <v>Jeison Rubiano</v>
      </c>
      <c r="C2595" s="15" t="str">
        <f>IFERROR(__xludf.DUMMYFUNCTION("""COMPUTED_VALUE"""),"BOGOTÁ")</f>
        <v>BOGOTÁ</v>
      </c>
      <c r="D2595" s="15" t="str">
        <f>IFERROR(__xludf.DUMMYFUNCTION("""COMPUTED_VALUE"""),"MEDELLÍN")</f>
        <v>MEDELLÍN</v>
      </c>
      <c r="E2595" s="15" t="str">
        <f>IFERROR(__xludf.DUMMYFUNCTION("""COMPUTED_VALUE"""),"Felicidad Bakery Bogotá")</f>
        <v>Felicidad Bakery Bogotá</v>
      </c>
      <c r="F2595" s="17" t="str">
        <f>IFERROR(__xludf.DUMMYFUNCTION("""COMPUTED_VALUE"""),"Calle 92 #15-62 / Edificio centro chico / Local 103")</f>
        <v>Calle 92 #15-62 / Edificio centro chico / Local 103</v>
      </c>
      <c r="G2595" s="15" t="str">
        <f>IFERROR(__xludf.DUMMYFUNCTION("""COMPUTED_VALUE"""),"Camilo Hernandez")</f>
        <v>Camilo Hernandez</v>
      </c>
      <c r="H2595" s="16">
        <f>IFERROR(__xludf.DUMMYFUNCTION("""COMPUTED_VALUE"""),11192.0)</f>
        <v>11192</v>
      </c>
      <c r="I2595" s="18">
        <f>IFERROR(__xludf.DUMMYFUNCTION("""COMPUTED_VALUE"""),1.0)</f>
        <v>1</v>
      </c>
      <c r="J2595" s="18">
        <f>IFERROR(__xludf.DUMMYFUNCTION("""COMPUTED_VALUE"""),1.0)</f>
        <v>1</v>
      </c>
      <c r="K2595" s="18">
        <f>IFERROR(__xludf.DUMMYFUNCTION("""COMPUTED_VALUE"""),1.0)</f>
        <v>1</v>
      </c>
      <c r="L2595" s="17">
        <f>IFERROR(__xludf.DUMMYFUNCTION("""COMPUTED_VALUE"""),3.013527163E9)</f>
        <v>3013527163</v>
      </c>
      <c r="M2595" s="17" t="str">
        <f>IFERROR(__xludf.DUMMYFUNCTION("""COMPUTED_VALUE"""),"#REF!")</f>
        <v>#REF!</v>
      </c>
      <c r="N2595" s="17"/>
      <c r="O2595" s="17"/>
      <c r="P2595" s="17" t="b">
        <f>IFERROR(__xludf.DUMMYFUNCTION("""COMPUTED_VALUE"""),FALSE)</f>
        <v>0</v>
      </c>
      <c r="Q2595" s="20" t="str">
        <f>IFERROR(__xludf.DUMMYFUNCTION("""COMPUTED_VALUE"""),"")</f>
        <v/>
      </c>
      <c r="R2595" s="21" t="str">
        <f>IFERROR(__xludf.DUMMYFUNCTION("""COMPUTED_VALUE"""),"https://drive.google.com/file/d/1o98IVWOBRF3kF94cO3yzP_kK1mVOd36y/view?usp=drivesdk")</f>
        <v>https://drive.google.com/file/d/1o98IVWOBRF3kF94cO3yzP_kK1mVOd36y/view?usp=drivesdk</v>
      </c>
    </row>
    <row r="2596">
      <c r="A2596" s="15">
        <f>IFERROR(__xludf.DUMMYFUNCTION("""COMPUTED_VALUE"""),45077.0)</f>
        <v>45077</v>
      </c>
      <c r="B2596" s="16" t="str">
        <f>IFERROR(__xludf.DUMMYFUNCTION("""COMPUTED_VALUE"""),"Jeison Rubiano")</f>
        <v>Jeison Rubiano</v>
      </c>
      <c r="C2596" s="15" t="str">
        <f>IFERROR(__xludf.DUMMYFUNCTION("""COMPUTED_VALUE"""),"BOGOTÁ")</f>
        <v>BOGOTÁ</v>
      </c>
      <c r="D2596" s="15" t="str">
        <f>IFERROR(__xludf.DUMMYFUNCTION("""COMPUTED_VALUE"""),"MEDELLÍN")</f>
        <v>MEDELLÍN</v>
      </c>
      <c r="E2596" s="15" t="str">
        <f>IFERROR(__xludf.DUMMYFUNCTION("""COMPUTED_VALUE"""),"The Smoked House")</f>
        <v>The Smoked House</v>
      </c>
      <c r="F2596" s="17" t="str">
        <f>IFERROR(__xludf.DUMMYFUNCTION("""COMPUTED_VALUE"""),"Bta  / Bta  / Bta")</f>
        <v>Bta  / Bta  / Bta</v>
      </c>
      <c r="G2596" s="15" t="str">
        <f>IFERROR(__xludf.DUMMYFUNCTION("""COMPUTED_VALUE"""),"Alejandro")</f>
        <v>Alejandro</v>
      </c>
      <c r="H2596" s="16">
        <f>IFERROR(__xludf.DUMMYFUNCTION("""COMPUTED_VALUE"""),11071.0)</f>
        <v>11071</v>
      </c>
      <c r="I2596" s="18">
        <f>IFERROR(__xludf.DUMMYFUNCTION("""COMPUTED_VALUE"""),1.0)</f>
        <v>1</v>
      </c>
      <c r="J2596" s="18">
        <f>IFERROR(__xludf.DUMMYFUNCTION("""COMPUTED_VALUE"""),1.0)</f>
        <v>1</v>
      </c>
      <c r="K2596" s="18">
        <f>IFERROR(__xludf.DUMMYFUNCTION("""COMPUTED_VALUE"""),1.0)</f>
        <v>1</v>
      </c>
      <c r="L2596" s="17">
        <f>IFERROR(__xludf.DUMMYFUNCTION("""COMPUTED_VALUE"""),3.158825495E9)</f>
        <v>3158825495</v>
      </c>
      <c r="M2596" s="17" t="str">
        <f>IFERROR(__xludf.DUMMYFUNCTION("""COMPUTED_VALUE"""),"#REF!")</f>
        <v>#REF!</v>
      </c>
      <c r="N2596" s="17"/>
      <c r="O2596" s="17"/>
      <c r="P2596" s="17" t="b">
        <f>IFERROR(__xludf.DUMMYFUNCTION("""COMPUTED_VALUE"""),FALSE)</f>
        <v>0</v>
      </c>
      <c r="Q2596" s="20" t="str">
        <f>IFERROR(__xludf.DUMMYFUNCTION("""COMPUTED_VALUE"""),"")</f>
        <v/>
      </c>
      <c r="R2596" s="21" t="str">
        <f>IFERROR(__xludf.DUMMYFUNCTION("""COMPUTED_VALUE"""),"https://drive.google.com/file/d/1K8iYiwFZeINmruQInEJAqdLPd4X_JVL0/view?usp=drivesdk")</f>
        <v>https://drive.google.com/file/d/1K8iYiwFZeINmruQInEJAqdLPd4X_JVL0/view?usp=drivesdk</v>
      </c>
    </row>
    <row r="2597">
      <c r="A2597" s="15">
        <f>IFERROR(__xludf.DUMMYFUNCTION("""COMPUTED_VALUE"""),45077.0)</f>
        <v>45077</v>
      </c>
      <c r="B2597" s="16" t="str">
        <f>IFERROR(__xludf.DUMMYFUNCTION("""COMPUTED_VALUE"""),"Jeison Rubiano")</f>
        <v>Jeison Rubiano</v>
      </c>
      <c r="C2597" s="15" t="str">
        <f>IFERROR(__xludf.DUMMYFUNCTION("""COMPUTED_VALUE"""),"BOGOTÁ")</f>
        <v>BOGOTÁ</v>
      </c>
      <c r="D2597" s="15" t="str">
        <f>IFERROR(__xludf.DUMMYFUNCTION("""COMPUTED_VALUE"""),"MEDELLÍN")</f>
        <v>MEDELLÍN</v>
      </c>
      <c r="E2597" s="15" t="str">
        <f>IFERROR(__xludf.DUMMYFUNCTION("""COMPUTED_VALUE"""),"The Smoked House")</f>
        <v>The Smoked House</v>
      </c>
      <c r="F2597" s="17" t="str">
        <f>IFERROR(__xludf.DUMMYFUNCTION("""COMPUTED_VALUE"""),"Bta  / Bta  / Bta")</f>
        <v>Bta  / Bta  / Bta</v>
      </c>
      <c r="G2597" s="15" t="str">
        <f>IFERROR(__xludf.DUMMYFUNCTION("""COMPUTED_VALUE"""),"Alejandto")</f>
        <v>Alejandto</v>
      </c>
      <c r="H2597" s="16">
        <f>IFERROR(__xludf.DUMMYFUNCTION("""COMPUTED_VALUE"""),11072.0)</f>
        <v>11072</v>
      </c>
      <c r="I2597" s="18">
        <f>IFERROR(__xludf.DUMMYFUNCTION("""COMPUTED_VALUE"""),1.0)</f>
        <v>1</v>
      </c>
      <c r="J2597" s="18">
        <f>IFERROR(__xludf.DUMMYFUNCTION("""COMPUTED_VALUE"""),1.0)</f>
        <v>1</v>
      </c>
      <c r="K2597" s="18">
        <f>IFERROR(__xludf.DUMMYFUNCTION("""COMPUTED_VALUE"""),1.0)</f>
        <v>1</v>
      </c>
      <c r="L2597" s="17">
        <f>IFERROR(__xludf.DUMMYFUNCTION("""COMPUTED_VALUE"""),3.158825495E9)</f>
        <v>3158825495</v>
      </c>
      <c r="M2597" s="17" t="str">
        <f>IFERROR(__xludf.DUMMYFUNCTION("""COMPUTED_VALUE"""),"#REF!")</f>
        <v>#REF!</v>
      </c>
      <c r="N2597" s="17"/>
      <c r="O2597" s="17"/>
      <c r="P2597" s="17" t="b">
        <f>IFERROR(__xludf.DUMMYFUNCTION("""COMPUTED_VALUE"""),FALSE)</f>
        <v>0</v>
      </c>
      <c r="Q2597" s="20" t="str">
        <f>IFERROR(__xludf.DUMMYFUNCTION("""COMPUTED_VALUE"""),"")</f>
        <v/>
      </c>
      <c r="R2597" s="21" t="str">
        <f>IFERROR(__xludf.DUMMYFUNCTION("""COMPUTED_VALUE"""),"https://drive.google.com/file/d/1uqUbbbQkC-u0eru1dSga72SgKJ9a64Db/view?usp=drivesdk")</f>
        <v>https://drive.google.com/file/d/1uqUbbbQkC-u0eru1dSga72SgKJ9a64Db/view?usp=drivesdk</v>
      </c>
    </row>
    <row r="2598">
      <c r="A2598" s="17" t="str">
        <f>IFERROR(__xludf.DUMMYFUNCTION("""COMPUTED_VALUE"""),"")</f>
        <v/>
      </c>
      <c r="B2598" s="17" t="str">
        <f>IFERROR(__xludf.DUMMYFUNCTION("""COMPUTED_VALUE"""),"")</f>
        <v/>
      </c>
      <c r="C2598" s="17" t="str">
        <f>IFERROR(__xludf.DUMMYFUNCTION("""COMPUTED_VALUE"""),"")</f>
        <v/>
      </c>
      <c r="D2598" s="17" t="str">
        <f>IFERROR(__xludf.DUMMYFUNCTION("""COMPUTED_VALUE"""),"")</f>
        <v/>
      </c>
      <c r="E2598" s="17" t="str">
        <f>IFERROR(__xludf.DUMMYFUNCTION("""COMPUTED_VALUE"""),"")</f>
        <v/>
      </c>
      <c r="F2598" s="17" t="str">
        <f>IFERROR(__xludf.DUMMYFUNCTION("""COMPUTED_VALUE"""),"")</f>
        <v/>
      </c>
      <c r="G2598" s="17" t="str">
        <f>IFERROR(__xludf.DUMMYFUNCTION("""COMPUTED_VALUE"""),"")</f>
        <v/>
      </c>
      <c r="H2598" s="17" t="str">
        <f>IFERROR(__xludf.DUMMYFUNCTION("""COMPUTED_VALUE"""),"")</f>
        <v/>
      </c>
      <c r="I2598" s="17" t="str">
        <f>IFERROR(__xludf.DUMMYFUNCTION("""COMPUTED_VALUE"""),"")</f>
        <v/>
      </c>
      <c r="J2598" s="17" t="str">
        <f>IFERROR(__xludf.DUMMYFUNCTION("""COMPUTED_VALUE"""),"")</f>
        <v/>
      </c>
      <c r="K2598" s="17" t="str">
        <f>IFERROR(__xludf.DUMMYFUNCTION("""COMPUTED_VALUE"""),"")</f>
        <v/>
      </c>
      <c r="L2598" s="17" t="str">
        <f>IFERROR(__xludf.DUMMYFUNCTION("""COMPUTED_VALUE"""),"")</f>
        <v/>
      </c>
      <c r="M2598" s="17" t="str">
        <f>IFERROR(__xludf.DUMMYFUNCTION("""COMPUTED_VALUE"""),"")</f>
        <v/>
      </c>
      <c r="N2598" s="17" t="str">
        <f>IFERROR(__xludf.DUMMYFUNCTION("""COMPUTED_VALUE"""),"")</f>
        <v/>
      </c>
      <c r="O2598" s="17" t="str">
        <f>IFERROR(__xludf.DUMMYFUNCTION("""COMPUTED_VALUE"""),"")</f>
        <v/>
      </c>
      <c r="P2598" s="17" t="str">
        <f>IFERROR(__xludf.DUMMYFUNCTION("""COMPUTED_VALUE"""),"")</f>
        <v/>
      </c>
      <c r="Q2598" s="17" t="str">
        <f>IFERROR(__xludf.DUMMYFUNCTION("""COMPUTED_VALUE"""),"")</f>
        <v/>
      </c>
      <c r="R2598" s="17" t="str">
        <f>IFERROR(__xludf.DUMMYFUNCTION("""COMPUTED_VALUE"""),"")</f>
        <v/>
      </c>
    </row>
    <row r="2599">
      <c r="A2599" s="15">
        <f>IFERROR(__xludf.DUMMYFUNCTION("""COMPUTED_VALUE"""),45077.0)</f>
        <v>45077</v>
      </c>
      <c r="B2599" s="16" t="str">
        <f>IFERROR(__xludf.DUMMYFUNCTION("""COMPUTED_VALUE"""),"Johan Alexander Escobar Arroyo ")</f>
        <v>Johan Alexander Escobar Arroyo </v>
      </c>
      <c r="C2599" s="15" t="str">
        <f>IFERROR(__xludf.DUMMYFUNCTION("""COMPUTED_VALUE"""),"CALI")</f>
        <v>CALI</v>
      </c>
      <c r="D2599" s="15" t="str">
        <f>IFERROR(__xludf.DUMMYFUNCTION("""COMPUTED_VALUE"""),"BOGOTÁ")</f>
        <v>BOGOTÁ</v>
      </c>
      <c r="E2599" s="15" t="str">
        <f>IFERROR(__xludf.DUMMYFUNCTION("""COMPUTED_VALUE"""),"Ins. Alimento Vital")</f>
        <v>Ins. Alimento Vital</v>
      </c>
      <c r="F2599" s="17" t="str">
        <f>IFERROR(__xludf.DUMMYFUNCTION("""COMPUTED_VALUE"""),"CL 34 N 2BN 33 / BODEGA / BARRIO SAN VICENTE")</f>
        <v>CL 34 N 2BN 33 / BODEGA / BARRIO SAN VICENTE</v>
      </c>
      <c r="G2599" s="15" t="str">
        <f>IFERROR(__xludf.DUMMYFUNCTION("""COMPUTED_VALUE"""),"VELOCITY CALI")</f>
        <v>VELOCITY CALI</v>
      </c>
      <c r="H2599" s="16">
        <f>IFERROR(__xludf.DUMMYFUNCTION("""COMPUTED_VALUE"""),11162.0)</f>
        <v>11162</v>
      </c>
      <c r="I2599" s="18">
        <f>IFERROR(__xludf.DUMMYFUNCTION("""COMPUTED_VALUE"""),1.0)</f>
        <v>1</v>
      </c>
      <c r="J2599" s="18">
        <f>IFERROR(__xludf.DUMMYFUNCTION("""COMPUTED_VALUE"""),1.0)</f>
        <v>1</v>
      </c>
      <c r="K2599" s="18">
        <f>IFERROR(__xludf.DUMMYFUNCTION("""COMPUTED_VALUE"""),1.0)</f>
        <v>1</v>
      </c>
      <c r="L2599" s="17">
        <f>IFERROR(__xludf.DUMMYFUNCTION("""COMPUTED_VALUE"""),3.117591055E9)</f>
        <v>3117591055</v>
      </c>
      <c r="M2599" s="17" t="str">
        <f>IFERROR(__xludf.DUMMYFUNCTION("""COMPUTED_VALUE"""),"#REF!")</f>
        <v>#REF!</v>
      </c>
      <c r="N2599" s="17"/>
      <c r="O2599" s="17"/>
      <c r="P2599" s="17" t="b">
        <f>IFERROR(__xludf.DUMMYFUNCTION("""COMPUTED_VALUE"""),FALSE)</f>
        <v>0</v>
      </c>
      <c r="Q2599" s="20" t="str">
        <f>IFERROR(__xludf.DUMMYFUNCTION("""COMPUTED_VALUE"""),"")</f>
        <v/>
      </c>
      <c r="R2599" s="21" t="str">
        <f>IFERROR(__xludf.DUMMYFUNCTION("""COMPUTED_VALUE"""),"https://drive.google.com/file/d/1pMTbTadFbiCGYLbG7bqimehlb-R3UVb9/view?usp=drivesdk")</f>
        <v>https://drive.google.com/file/d/1pMTbTadFbiCGYLbG7bqimehlb-R3UVb9/view?usp=drivesdk</v>
      </c>
    </row>
    <row r="2600">
      <c r="A2600" s="15">
        <f>IFERROR(__xludf.DUMMYFUNCTION("""COMPUTED_VALUE"""),45077.0)</f>
        <v>45077</v>
      </c>
      <c r="B2600" s="16" t="str">
        <f>IFERROR(__xludf.DUMMYFUNCTION("""COMPUTED_VALUE"""),"Johan Alexander Escobar Arroyo ")</f>
        <v>Johan Alexander Escobar Arroyo </v>
      </c>
      <c r="C2600" s="15" t="str">
        <f>IFERROR(__xludf.DUMMYFUNCTION("""COMPUTED_VALUE"""),"CALI")</f>
        <v>CALI</v>
      </c>
      <c r="D2600" s="15" t="str">
        <f>IFERROR(__xludf.DUMMYFUNCTION("""COMPUTED_VALUE"""),"MEDELLÍN")</f>
        <v>MEDELLÍN</v>
      </c>
      <c r="E2600" s="15" t="str">
        <f>IFERROR(__xludf.DUMMYFUNCTION("""COMPUTED_VALUE"""),"Baby Chef")</f>
        <v>Baby Chef</v>
      </c>
      <c r="F2600" s="17" t="str">
        <f>IFERROR(__xludf.DUMMYFUNCTION("""COMPUTED_VALUE"""),"Calle 81d # 22-40 Barrio valle grande  / Calle 81d # 22-40 Barrio valle grande  / Calle 81d # 22-40 Barrio valle grande")</f>
        <v>Calle 81d # 22-40 Barrio valle grande  / Calle 81d # 22-40 Barrio valle grande  / Calle 81d # 22-40 Barrio valle grande</v>
      </c>
      <c r="G2600" s="15" t="str">
        <f>IFERROR(__xludf.DUMMYFUNCTION("""COMPUTED_VALUE"""),"Claudia ximena velasco cruz")</f>
        <v>Claudia ximena velasco cruz</v>
      </c>
      <c r="H2600" s="16">
        <f>IFERROR(__xludf.DUMMYFUNCTION("""COMPUTED_VALUE"""),11183.0)</f>
        <v>11183</v>
      </c>
      <c r="I2600" s="18">
        <f>IFERROR(__xludf.DUMMYFUNCTION("""COMPUTED_VALUE"""),8.0)</f>
        <v>8</v>
      </c>
      <c r="J2600" s="18">
        <f>IFERROR(__xludf.DUMMYFUNCTION("""COMPUTED_VALUE"""),16.0)</f>
        <v>16</v>
      </c>
      <c r="K2600" s="18">
        <f>IFERROR(__xludf.DUMMYFUNCTION("""COMPUTED_VALUE"""),20.0)</f>
        <v>20</v>
      </c>
      <c r="L2600" s="17">
        <f>IFERROR(__xludf.DUMMYFUNCTION("""COMPUTED_VALUE"""),3.155537871E9)</f>
        <v>3155537871</v>
      </c>
      <c r="M2600" s="17" t="str">
        <f>IFERROR(__xludf.DUMMYFUNCTION("""COMPUTED_VALUE"""),"#REF!")</f>
        <v>#REF!</v>
      </c>
      <c r="N2600" s="17"/>
      <c r="O2600" s="17"/>
      <c r="P2600" s="17" t="b">
        <f>IFERROR(__xludf.DUMMYFUNCTION("""COMPUTED_VALUE"""),FALSE)</f>
        <v>0</v>
      </c>
      <c r="Q2600" s="20" t="str">
        <f>IFERROR(__xludf.DUMMYFUNCTION("""COMPUTED_VALUE"""),"")</f>
        <v/>
      </c>
      <c r="R2600" s="21" t="str">
        <f>IFERROR(__xludf.DUMMYFUNCTION("""COMPUTED_VALUE"""),"https://drive.google.com/file/d/1WHLgE5FQwpWVpY9XBptVHiIXGwtvTaTl/view?usp=drivesdk")</f>
        <v>https://drive.google.com/file/d/1WHLgE5FQwpWVpY9XBptVHiIXGwtvTaTl/view?usp=drivesdk</v>
      </c>
    </row>
    <row r="2601">
      <c r="A2601" s="15">
        <f>IFERROR(__xludf.DUMMYFUNCTION("""COMPUTED_VALUE"""),45077.0)</f>
        <v>45077</v>
      </c>
      <c r="B2601" s="16" t="str">
        <f>IFERROR(__xludf.DUMMYFUNCTION("""COMPUTED_VALUE"""),"Johan Alexander Escobar Arroyo ")</f>
        <v>Johan Alexander Escobar Arroyo </v>
      </c>
      <c r="C2601" s="15" t="str">
        <f>IFERROR(__xludf.DUMMYFUNCTION("""COMPUTED_VALUE"""),"CALI")</f>
        <v>CALI</v>
      </c>
      <c r="D2601" s="15" t="str">
        <f>IFERROR(__xludf.DUMMYFUNCTION("""COMPUTED_VALUE"""),"MEDELLÍN")</f>
        <v>MEDELLÍN</v>
      </c>
      <c r="E2601" s="15" t="str">
        <f>IFERROR(__xludf.DUMMYFUNCTION("""COMPUTED_VALUE"""),"Baby Chef")</f>
        <v>Baby Chef</v>
      </c>
      <c r="F2601" s="17" t="str">
        <f>IFERROR(__xludf.DUMMYFUNCTION("""COMPUTED_VALUE"""),"Calle20#121-79 Edificio TAO Apto 1303 Cali  Barrio pance / Calle20#121-79 Edificio TAO Apto 1303 Cali  Barrio pance / Calle20#121-79 Edificio TAO Apto 1303 Cali  Barrio pance")</f>
        <v>Calle20#121-79 Edificio TAO Apto 1303 Cali  Barrio pance / Calle20#121-79 Edificio TAO Apto 1303 Cali  Barrio pance / Calle20#121-79 Edificio TAO Apto 1303 Cali  Barrio pance</v>
      </c>
      <c r="G2601" s="15" t="str">
        <f>IFERROR(__xludf.DUMMYFUNCTION("""COMPUTED_VALUE"""),"Daniela zafra")</f>
        <v>Daniela zafra</v>
      </c>
      <c r="H2601" s="16">
        <f>IFERROR(__xludf.DUMMYFUNCTION("""COMPUTED_VALUE"""),11186.0)</f>
        <v>11186</v>
      </c>
      <c r="I2601" s="18">
        <f>IFERROR(__xludf.DUMMYFUNCTION("""COMPUTED_VALUE"""),8.0)</f>
        <v>8</v>
      </c>
      <c r="J2601" s="18">
        <f>IFERROR(__xludf.DUMMYFUNCTION("""COMPUTED_VALUE"""),16.0)</f>
        <v>16</v>
      </c>
      <c r="K2601" s="18">
        <f>IFERROR(__xludf.DUMMYFUNCTION("""COMPUTED_VALUE"""),20.0)</f>
        <v>20</v>
      </c>
      <c r="L2601" s="17">
        <f>IFERROR(__xludf.DUMMYFUNCTION("""COMPUTED_VALUE"""),3.043841393E9)</f>
        <v>3043841393</v>
      </c>
      <c r="M2601" s="17" t="str">
        <f>IFERROR(__xludf.DUMMYFUNCTION("""COMPUTED_VALUE"""),"#REF!")</f>
        <v>#REF!</v>
      </c>
      <c r="N2601" s="17"/>
      <c r="O2601" s="17"/>
      <c r="P2601" s="17" t="b">
        <f>IFERROR(__xludf.DUMMYFUNCTION("""COMPUTED_VALUE"""),FALSE)</f>
        <v>0</v>
      </c>
      <c r="Q2601" s="20" t="str">
        <f>IFERROR(__xludf.DUMMYFUNCTION("""COMPUTED_VALUE"""),"")</f>
        <v/>
      </c>
      <c r="R2601" s="21" t="str">
        <f>IFERROR(__xludf.DUMMYFUNCTION("""COMPUTED_VALUE"""),"https://drive.google.com/file/d/1eCPfIzoCFRSRO7Hc7MA4pwPQxnHen9u-/view?usp=drivesdk")</f>
        <v>https://drive.google.com/file/d/1eCPfIzoCFRSRO7Hc7MA4pwPQxnHen9u-/view?usp=drivesdk</v>
      </c>
    </row>
    <row r="2602">
      <c r="A2602" s="15">
        <f>IFERROR(__xludf.DUMMYFUNCTION("""COMPUTED_VALUE"""),45077.0)</f>
        <v>45077</v>
      </c>
      <c r="B2602" s="16" t="str">
        <f>IFERROR(__xludf.DUMMYFUNCTION("""COMPUTED_VALUE"""),"Johan Alexander Escobar Arroyo ")</f>
        <v>Johan Alexander Escobar Arroyo </v>
      </c>
      <c r="C2602" s="15" t="str">
        <f>IFERROR(__xludf.DUMMYFUNCTION("""COMPUTED_VALUE"""),"CALI")</f>
        <v>CALI</v>
      </c>
      <c r="D2602" s="15" t="str">
        <f>IFERROR(__xludf.DUMMYFUNCTION("""COMPUTED_VALUE"""),"MEDELLÍN")</f>
        <v>MEDELLÍN</v>
      </c>
      <c r="E2602" s="15" t="str">
        <f>IFERROR(__xludf.DUMMYFUNCTION("""COMPUTED_VALUE"""),"Baby Chef")</f>
        <v>Baby Chef</v>
      </c>
      <c r="F2602" s="17" t="str">
        <f>IFERROR(__xludf.DUMMYFUNCTION("""COMPUTED_VALUE"""),"carrera 101b #11a-56 barrio ciudad jardin / carrera 101b #11a-56 barrio ciudad jardin / carrera 101b #11a-56 barrio ciudad jardin")</f>
        <v>carrera 101b #11a-56 barrio ciudad jardin / carrera 101b #11a-56 barrio ciudad jardin / carrera 101b #11a-56 barrio ciudad jardin</v>
      </c>
      <c r="G2602" s="15" t="str">
        <f>IFERROR(__xludf.DUMMYFUNCTION("""COMPUTED_VALUE"""),"Angela Calle")</f>
        <v>Angela Calle</v>
      </c>
      <c r="H2602" s="16">
        <f>IFERROR(__xludf.DUMMYFUNCTION("""COMPUTED_VALUE"""),11185.0)</f>
        <v>11185</v>
      </c>
      <c r="I2602" s="18">
        <f>IFERROR(__xludf.DUMMYFUNCTION("""COMPUTED_VALUE"""),8.0)</f>
        <v>8</v>
      </c>
      <c r="J2602" s="18">
        <f>IFERROR(__xludf.DUMMYFUNCTION("""COMPUTED_VALUE"""),16.0)</f>
        <v>16</v>
      </c>
      <c r="K2602" s="18">
        <f>IFERROR(__xludf.DUMMYFUNCTION("""COMPUTED_VALUE"""),20.0)</f>
        <v>20</v>
      </c>
      <c r="L2602" s="17">
        <f>IFERROR(__xludf.DUMMYFUNCTION("""COMPUTED_VALUE"""),3.128638198E9)</f>
        <v>3128638198</v>
      </c>
      <c r="M2602" s="17" t="str">
        <f>IFERROR(__xludf.DUMMYFUNCTION("""COMPUTED_VALUE"""),"#REF!")</f>
        <v>#REF!</v>
      </c>
      <c r="N2602" s="17"/>
      <c r="O2602" s="17"/>
      <c r="P2602" s="17" t="b">
        <f>IFERROR(__xludf.DUMMYFUNCTION("""COMPUTED_VALUE"""),FALSE)</f>
        <v>0</v>
      </c>
      <c r="Q2602" s="20" t="str">
        <f>IFERROR(__xludf.DUMMYFUNCTION("""COMPUTED_VALUE"""),"")</f>
        <v/>
      </c>
      <c r="R2602" s="21" t="str">
        <f>IFERROR(__xludf.DUMMYFUNCTION("""COMPUTED_VALUE"""),"https://drive.google.com/file/d/1U-EMvjBPKZRL0yHON_ZOVxzzEuNoEWFb/view?usp=drivesdk")</f>
        <v>https://drive.google.com/file/d/1U-EMvjBPKZRL0yHON_ZOVxzzEuNoEWFb/view?usp=drivesdk</v>
      </c>
    </row>
    <row r="2603">
      <c r="A2603" s="15">
        <f>IFERROR(__xludf.DUMMYFUNCTION("""COMPUTED_VALUE"""),45077.0)</f>
        <v>45077</v>
      </c>
      <c r="B2603" s="16" t="str">
        <f>IFERROR(__xludf.DUMMYFUNCTION("""COMPUTED_VALUE"""),"Johan Alexander Escobar Arroyo ")</f>
        <v>Johan Alexander Escobar Arroyo </v>
      </c>
      <c r="C2603" s="15" t="str">
        <f>IFERROR(__xludf.DUMMYFUNCTION("""COMPUTED_VALUE"""),"CALI")</f>
        <v>CALI</v>
      </c>
      <c r="D2603" s="15" t="str">
        <f>IFERROR(__xludf.DUMMYFUNCTION("""COMPUTED_VALUE"""),"MEDELLÍN")</f>
        <v>MEDELLÍN</v>
      </c>
      <c r="E2603" s="15" t="str">
        <f>IFERROR(__xludf.DUMMYFUNCTION("""COMPUTED_VALUE"""),"Baby Chef")</f>
        <v>Baby Chef</v>
      </c>
      <c r="F2603" s="17" t="str">
        <f>IFERROR(__xludf.DUMMYFUNCTION("""COMPUTED_VALUE"""),"Carrera 28 H 39 a 56 Apartamento 101 Edificio Alvaro José. B/ El diamante / Carrera 28 H 39 a 56 Apartamento 101 Edificio Alvaro José. B/ El diamante / Carrera 28 H 39 a 56 Apartamento 101 Edificio Alvaro José. B/ El diamante")</f>
        <v>Carrera 28 H 39 a 56 Apartamento 101 Edificio Alvaro José. B/ El diamante / Carrera 28 H 39 a 56 Apartamento 101 Edificio Alvaro José. B/ El diamante / Carrera 28 H 39 a 56 Apartamento 101 Edificio Alvaro José. B/ El diamante</v>
      </c>
      <c r="G2603" s="15" t="str">
        <f>IFERROR(__xludf.DUMMYFUNCTION("""COMPUTED_VALUE"""),"Karol Rojas")</f>
        <v>Karol Rojas</v>
      </c>
      <c r="H2603" s="16">
        <f>IFERROR(__xludf.DUMMYFUNCTION("""COMPUTED_VALUE"""),11184.0)</f>
        <v>11184</v>
      </c>
      <c r="I2603" s="18">
        <f>IFERROR(__xludf.DUMMYFUNCTION("""COMPUTED_VALUE"""),8.0)</f>
        <v>8</v>
      </c>
      <c r="J2603" s="18">
        <f>IFERROR(__xludf.DUMMYFUNCTION("""COMPUTED_VALUE"""),16.0)</f>
        <v>16</v>
      </c>
      <c r="K2603" s="18">
        <f>IFERROR(__xludf.DUMMYFUNCTION("""COMPUTED_VALUE"""),20.0)</f>
        <v>20</v>
      </c>
      <c r="L2603" s="17">
        <f>IFERROR(__xludf.DUMMYFUNCTION("""COMPUTED_VALUE"""),3.186835366E9)</f>
        <v>3186835366</v>
      </c>
      <c r="M2603" s="17" t="str">
        <f>IFERROR(__xludf.DUMMYFUNCTION("""COMPUTED_VALUE"""),"#REF!")</f>
        <v>#REF!</v>
      </c>
      <c r="N2603" s="17"/>
      <c r="O2603" s="17"/>
      <c r="P2603" s="17" t="b">
        <f>IFERROR(__xludf.DUMMYFUNCTION("""COMPUTED_VALUE"""),FALSE)</f>
        <v>0</v>
      </c>
      <c r="Q2603" s="20" t="str">
        <f>IFERROR(__xludf.DUMMYFUNCTION("""COMPUTED_VALUE"""),"")</f>
        <v/>
      </c>
      <c r="R2603" s="21" t="str">
        <f>IFERROR(__xludf.DUMMYFUNCTION("""COMPUTED_VALUE"""),"https://drive.google.com/file/d/1_WsCR2csuQ36OPNg--I9RkRZ4lj8N35Q/view?usp=drivesdk")</f>
        <v>https://drive.google.com/file/d/1_WsCR2csuQ36OPNg--I9RkRZ4lj8N35Q/view?usp=drivesdk</v>
      </c>
    </row>
    <row r="2604">
      <c r="A2604" s="15">
        <f>IFERROR(__xludf.DUMMYFUNCTION("""COMPUTED_VALUE"""),45077.0)</f>
        <v>45077</v>
      </c>
      <c r="B2604" s="16" t="str">
        <f>IFERROR(__xludf.DUMMYFUNCTION("""COMPUTED_VALUE"""),"Johan Alexander Escobar Arroyo ")</f>
        <v>Johan Alexander Escobar Arroyo </v>
      </c>
      <c r="C2604" s="15" t="str">
        <f>IFERROR(__xludf.DUMMYFUNCTION("""COMPUTED_VALUE"""),"SINCELEJO")</f>
        <v>SINCELEJO</v>
      </c>
      <c r="D2604" s="15" t="str">
        <f>IFERROR(__xludf.DUMMYFUNCTION("""COMPUTED_VALUE"""),"MEDELLÍN")</f>
        <v>MEDELLÍN</v>
      </c>
      <c r="E2604" s="15" t="str">
        <f>IFERROR(__xludf.DUMMYFUNCTION("""COMPUTED_VALUE"""),"Baby Chef")</f>
        <v>Baby Chef</v>
      </c>
      <c r="F2604" s="17" t="str">
        <f>IFERROR(__xludf.DUMMYFUNCTION("""COMPUTED_VALUE"""),"Cra 8 D # 9 -40  barrio pioneros subiendo por el supermercado D1.  Sincelejo Sucre . Una casa blanca de muro alto con bolillos azul menta. / Cra 8 D # 9 -40  barrio pioneros subiendo por el supermercado D1.  Sincelejo Sucre . Una casa blanca de muro alto "&amp;"con bolillos azul menta. / Cra 8 D # 9 -40  barrio pioneros subiendo por el supermercado D1.  Sincelejo Sucre . Una casa blanca de muro alto con bolillos azul menta.")</f>
        <v>Cra 8 D # 9 -40  barrio pioneros subiendo por el supermercado D1.  Sincelejo Sucre . Una casa blanca de muro alto con bolillos azul menta. / Cra 8 D # 9 -40  barrio pioneros subiendo por el supermercado D1.  Sincelejo Sucre . Una casa blanca de muro alto con bolillos azul menta. / Cra 8 D # 9 -40  barrio pioneros subiendo por el supermercado D1.  Sincelejo Sucre . Una casa blanca de muro alto con bolillos azul menta.</v>
      </c>
      <c r="G2604" s="15" t="str">
        <f>IFERROR(__xludf.DUMMYFUNCTION("""COMPUTED_VALUE"""),"Aracelys Sofia Hernandez Meza")</f>
        <v>Aracelys Sofia Hernandez Meza</v>
      </c>
      <c r="H2604" s="16">
        <f>IFERROR(__xludf.DUMMYFUNCTION("""COMPUTED_VALUE"""),11187.0)</f>
        <v>11187</v>
      </c>
      <c r="I2604" s="18">
        <f>IFERROR(__xludf.DUMMYFUNCTION("""COMPUTED_VALUE"""),8.0)</f>
        <v>8</v>
      </c>
      <c r="J2604" s="18">
        <f>IFERROR(__xludf.DUMMYFUNCTION("""COMPUTED_VALUE"""),16.0)</f>
        <v>16</v>
      </c>
      <c r="K2604" s="18">
        <f>IFERROR(__xludf.DUMMYFUNCTION("""COMPUTED_VALUE"""),20.0)</f>
        <v>20</v>
      </c>
      <c r="L2604" s="17">
        <f>IFERROR(__xludf.DUMMYFUNCTION("""COMPUTED_VALUE"""),3.205645372E9)</f>
        <v>3205645372</v>
      </c>
      <c r="M2604" s="17" t="str">
        <f>IFERROR(__xludf.DUMMYFUNCTION("""COMPUTED_VALUE"""),"#REF!")</f>
        <v>#REF!</v>
      </c>
      <c r="N2604" s="17"/>
      <c r="O2604" s="17"/>
      <c r="P2604" s="17" t="b">
        <f>IFERROR(__xludf.DUMMYFUNCTION("""COMPUTED_VALUE"""),FALSE)</f>
        <v>0</v>
      </c>
      <c r="Q2604" s="20" t="str">
        <f>IFERROR(__xludf.DUMMYFUNCTION("""COMPUTED_VALUE"""),"")</f>
        <v/>
      </c>
      <c r="R2604" s="21" t="str">
        <f>IFERROR(__xludf.DUMMYFUNCTION("""COMPUTED_VALUE"""),"https://drive.google.com/file/d/1J8oo-8W1A5G7diaTRop9KUzSqIpL59Ai/view?usp=drivesdk")</f>
        <v>https://drive.google.com/file/d/1J8oo-8W1A5G7diaTRop9KUzSqIpL59Ai/view?usp=drivesdk</v>
      </c>
    </row>
    <row r="2605">
      <c r="A2605" s="17" t="str">
        <f>IFERROR(__xludf.DUMMYFUNCTION("""COMPUTED_VALUE"""),"")</f>
        <v/>
      </c>
      <c r="B2605" s="17" t="str">
        <f>IFERROR(__xludf.DUMMYFUNCTION("""COMPUTED_VALUE"""),"")</f>
        <v/>
      </c>
      <c r="C2605" s="17" t="str">
        <f>IFERROR(__xludf.DUMMYFUNCTION("""COMPUTED_VALUE"""),"")</f>
        <v/>
      </c>
      <c r="D2605" s="17" t="str">
        <f>IFERROR(__xludf.DUMMYFUNCTION("""COMPUTED_VALUE"""),"")</f>
        <v/>
      </c>
      <c r="E2605" s="17" t="str">
        <f>IFERROR(__xludf.DUMMYFUNCTION("""COMPUTED_VALUE"""),"")</f>
        <v/>
      </c>
      <c r="F2605" s="17" t="str">
        <f>IFERROR(__xludf.DUMMYFUNCTION("""COMPUTED_VALUE"""),"")</f>
        <v/>
      </c>
      <c r="G2605" s="17" t="str">
        <f>IFERROR(__xludf.DUMMYFUNCTION("""COMPUTED_VALUE"""),"")</f>
        <v/>
      </c>
      <c r="H2605" s="17" t="str">
        <f>IFERROR(__xludf.DUMMYFUNCTION("""COMPUTED_VALUE"""),"")</f>
        <v/>
      </c>
      <c r="I2605" s="17" t="str">
        <f>IFERROR(__xludf.DUMMYFUNCTION("""COMPUTED_VALUE"""),"")</f>
        <v/>
      </c>
      <c r="J2605" s="17" t="str">
        <f>IFERROR(__xludf.DUMMYFUNCTION("""COMPUTED_VALUE"""),"")</f>
        <v/>
      </c>
      <c r="K2605" s="17" t="str">
        <f>IFERROR(__xludf.DUMMYFUNCTION("""COMPUTED_VALUE"""),"")</f>
        <v/>
      </c>
      <c r="L2605" s="17" t="str">
        <f>IFERROR(__xludf.DUMMYFUNCTION("""COMPUTED_VALUE"""),"")</f>
        <v/>
      </c>
      <c r="M2605" s="17" t="str">
        <f>IFERROR(__xludf.DUMMYFUNCTION("""COMPUTED_VALUE"""),"")</f>
        <v/>
      </c>
      <c r="N2605" s="17" t="str">
        <f>IFERROR(__xludf.DUMMYFUNCTION("""COMPUTED_VALUE"""),"")</f>
        <v/>
      </c>
      <c r="O2605" s="17" t="str">
        <f>IFERROR(__xludf.DUMMYFUNCTION("""COMPUTED_VALUE"""),"")</f>
        <v/>
      </c>
      <c r="P2605" s="17" t="str">
        <f>IFERROR(__xludf.DUMMYFUNCTION("""COMPUTED_VALUE"""),"")</f>
        <v/>
      </c>
      <c r="Q2605" s="17" t="str">
        <f>IFERROR(__xludf.DUMMYFUNCTION("""COMPUTED_VALUE"""),"")</f>
        <v/>
      </c>
      <c r="R2605" s="17" t="str">
        <f>IFERROR(__xludf.DUMMYFUNCTION("""COMPUTED_VALUE"""),"")</f>
        <v/>
      </c>
    </row>
    <row r="2606">
      <c r="A2606" s="15">
        <f>IFERROR(__xludf.DUMMYFUNCTION("""COMPUTED_VALUE"""),45077.0)</f>
        <v>45077</v>
      </c>
      <c r="B2606" s="16" t="str">
        <f>IFERROR(__xludf.DUMMYFUNCTION("""COMPUTED_VALUE"""),"JOSE ALFREDO RAMIREZ VERGARA ")</f>
        <v>JOSE ALFREDO RAMIREZ VERGARA </v>
      </c>
      <c r="C2606" s="15" t="str">
        <f>IFERROR(__xludf.DUMMYFUNCTION("""COMPUTED_VALUE"""),"BOGOTÁ")</f>
        <v>BOGOTÁ</v>
      </c>
      <c r="D2606" s="15" t="str">
        <f>IFERROR(__xludf.DUMMYFUNCTION("""COMPUTED_VALUE"""),"BARRANQUILLA")</f>
        <v>BARRANQUILLA</v>
      </c>
      <c r="E2606" s="15" t="str">
        <f>IFERROR(__xludf.DUMMYFUNCTION("""COMPUTED_VALUE"""),"Foodology")</f>
        <v>Foodology</v>
      </c>
      <c r="F2606" s="17" t="str">
        <f>IFERROR(__xludf.DUMMYFUNCTION("""COMPUTED_VALUE"""),"Calle 83 # 21-69  Local 7a / Local 7a / Barrio el Polo")</f>
        <v>Calle 83 # 21-69  Local 7a / Local 7a / Barrio el Polo</v>
      </c>
      <c r="G2606" s="15" t="str">
        <f>IFERROR(__xludf.DUMMYFUNCTION("""COMPUTED_VALUE"""),"Mateo Vergel / FRAMBAS")</f>
        <v>Mateo Vergel / FRAMBAS</v>
      </c>
      <c r="H2606" s="16">
        <f>IFERROR(__xludf.DUMMYFUNCTION("""COMPUTED_VALUE"""),11064.0)</f>
        <v>11064</v>
      </c>
      <c r="I2606" s="18">
        <f>IFERROR(__xludf.DUMMYFUNCTION("""COMPUTED_VALUE"""),45173.0)</f>
        <v>45173</v>
      </c>
      <c r="J2606" s="18">
        <f>IFERROR(__xludf.DUMMYFUNCTION("""COMPUTED_VALUE"""),44992.0)</f>
        <v>44992</v>
      </c>
      <c r="K2606" s="18">
        <f>IFERROR(__xludf.DUMMYFUNCTION("""COMPUTED_VALUE"""),8.0)</f>
        <v>8</v>
      </c>
      <c r="L2606" s="17">
        <f>IFERROR(__xludf.DUMMYFUNCTION("""COMPUTED_VALUE"""),3.107785185E9)</f>
        <v>3107785185</v>
      </c>
      <c r="M2606" s="17" t="str">
        <f>IFERROR(__xludf.DUMMYFUNCTION("""COMPUTED_VALUE"""),"#REF!")</f>
        <v>#REF!</v>
      </c>
      <c r="N2606" s="17"/>
      <c r="O2606" s="17"/>
      <c r="P2606" s="17" t="b">
        <f>IFERROR(__xludf.DUMMYFUNCTION("""COMPUTED_VALUE"""),FALSE)</f>
        <v>0</v>
      </c>
      <c r="Q2606" s="20" t="str">
        <f>IFERROR(__xludf.DUMMYFUNCTION("""COMPUTED_VALUE"""),"")</f>
        <v/>
      </c>
      <c r="R2606" s="21" t="str">
        <f>IFERROR(__xludf.DUMMYFUNCTION("""COMPUTED_VALUE"""),"https://drive.google.com/file/d/1e2FgAJJbOC6hJa9nfUpmMeTaSmPFQP_T/view?usp=drivesdk")</f>
        <v>https://drive.google.com/file/d/1e2FgAJJbOC6hJa9nfUpmMeTaSmPFQP_T/view?usp=drivesdk</v>
      </c>
    </row>
    <row r="2607">
      <c r="A2607" s="15">
        <f>IFERROR(__xludf.DUMMYFUNCTION("""COMPUTED_VALUE"""),45077.0)</f>
        <v>45077</v>
      </c>
      <c r="B2607" s="16" t="str">
        <f>IFERROR(__xludf.DUMMYFUNCTION("""COMPUTED_VALUE"""),"JOSE ALFREDO RAMIREZ VERGARA ")</f>
        <v>JOSE ALFREDO RAMIREZ VERGARA </v>
      </c>
      <c r="C2607" s="15" t="str">
        <f>IFERROR(__xludf.DUMMYFUNCTION("""COMPUTED_VALUE"""),"BOGOTÁ")</f>
        <v>BOGOTÁ</v>
      </c>
      <c r="D2607" s="15" t="str">
        <f>IFERROR(__xludf.DUMMYFUNCTION("""COMPUTED_VALUE"""),"MEDELLÍN")</f>
        <v>MEDELLÍN</v>
      </c>
      <c r="E2607" s="15" t="str">
        <f>IFERROR(__xludf.DUMMYFUNCTION("""COMPUTED_VALUE"""),"Baby Chef")</f>
        <v>Baby Chef</v>
      </c>
      <c r="F2607" s="17" t="str">
        <f>IFERROR(__xludf.DUMMYFUNCTION("""COMPUTED_VALUE"""),"Barrio milenta  Carrera 54 #18-30 sur  Conjunto residencial milenta lV Interior 4 apto 202 / Barrio milenta  Carrera 54 #18-30 sur  Conjunto residencial milenta lV Interior 4 apto 202 / Barrio milenta  Carrera 54 #18-30 sur  Conjunto residencial milenta l"&amp;"V Interior 4 apto 202")</f>
        <v>Barrio milenta  Carrera 54 #18-30 sur  Conjunto residencial milenta lV Interior 4 apto 202 / Barrio milenta  Carrera 54 #18-30 sur  Conjunto residencial milenta lV Interior 4 apto 202 / Barrio milenta  Carrera 54 #18-30 sur  Conjunto residencial milenta lV Interior 4 apto 202</v>
      </c>
      <c r="G2607" s="15" t="str">
        <f>IFERROR(__xludf.DUMMYFUNCTION("""COMPUTED_VALUE"""),"Paula León")</f>
        <v>Paula León</v>
      </c>
      <c r="H2607" s="16">
        <f>IFERROR(__xludf.DUMMYFUNCTION("""COMPUTED_VALUE"""),11180.0)</f>
        <v>11180</v>
      </c>
      <c r="I2607" s="18">
        <f>IFERROR(__xludf.DUMMYFUNCTION("""COMPUTED_VALUE"""),8.0)</f>
        <v>8</v>
      </c>
      <c r="J2607" s="18">
        <f>IFERROR(__xludf.DUMMYFUNCTION("""COMPUTED_VALUE"""),16.0)</f>
        <v>16</v>
      </c>
      <c r="K2607" s="18">
        <f>IFERROR(__xludf.DUMMYFUNCTION("""COMPUTED_VALUE"""),20.0)</f>
        <v>20</v>
      </c>
      <c r="L2607" s="17">
        <f>IFERROR(__xludf.DUMMYFUNCTION("""COMPUTED_VALUE"""),3.108888961E9)</f>
        <v>3108888961</v>
      </c>
      <c r="M2607" s="17" t="str">
        <f>IFERROR(__xludf.DUMMYFUNCTION("""COMPUTED_VALUE"""),"#REF!")</f>
        <v>#REF!</v>
      </c>
      <c r="N2607" s="17"/>
      <c r="O2607" s="17"/>
      <c r="P2607" s="17" t="b">
        <f>IFERROR(__xludf.DUMMYFUNCTION("""COMPUTED_VALUE"""),TRUE)</f>
        <v>1</v>
      </c>
      <c r="Q2607" s="20">
        <f>IFERROR(__xludf.DUMMYFUNCTION("""COMPUTED_VALUE"""),45078.60315563658)</f>
        <v>45078.60316</v>
      </c>
      <c r="R2607" s="21" t="str">
        <f>IFERROR(__xludf.DUMMYFUNCTION("""COMPUTED_VALUE"""),"https://drive.google.com/file/d/1n2Qx8UeGfaFnJpQ5sIa7bjosECHQTnU_/view?usp=drivesdk")</f>
        <v>https://drive.google.com/file/d/1n2Qx8UeGfaFnJpQ5sIa7bjosECHQTnU_/view?usp=drivesdk</v>
      </c>
    </row>
    <row r="2608">
      <c r="A2608" s="15">
        <f>IFERROR(__xludf.DUMMYFUNCTION("""COMPUTED_VALUE"""),45077.0)</f>
        <v>45077</v>
      </c>
      <c r="B2608" s="16" t="str">
        <f>IFERROR(__xludf.DUMMYFUNCTION("""COMPUTED_VALUE"""),"JOSE ALFREDO RAMIREZ VERGARA ")</f>
        <v>JOSE ALFREDO RAMIREZ VERGARA </v>
      </c>
      <c r="C2608" s="15" t="str">
        <f>IFERROR(__xludf.DUMMYFUNCTION("""COMPUTED_VALUE"""),"BOGOTÁ")</f>
        <v>BOGOTÁ</v>
      </c>
      <c r="D2608" s="15" t="str">
        <f>IFERROR(__xludf.DUMMYFUNCTION("""COMPUTED_VALUE"""),"MEDELLÍN")</f>
        <v>MEDELLÍN</v>
      </c>
      <c r="E2608" s="15" t="str">
        <f>IFERROR(__xludf.DUMMYFUNCTION("""COMPUTED_VALUE"""),"Baby Chef")</f>
        <v>Baby Chef</v>
      </c>
      <c r="F2608" s="17" t="str">
        <f>IFERROR(__xludf.DUMMYFUNCTION("""COMPUTED_VALUE"""),"Calle 103 #23-32 apto 102. Barrio santa Bibiana. Usaquen / Calle 103 #23-32 apto 102. Barrio santa Bibiana. Usaquen / Calle 103 #23-32 apto 102. Barrio santa Bibiana. Usaquen")</f>
        <v>Calle 103 #23-32 apto 102. Barrio santa Bibiana. Usaquen / Calle 103 #23-32 apto 102. Barrio santa Bibiana. Usaquen / Calle 103 #23-32 apto 102. Barrio santa Bibiana. Usaquen</v>
      </c>
      <c r="G2608" s="15" t="str">
        <f>IFERROR(__xludf.DUMMYFUNCTION("""COMPUTED_VALUE"""),"Aida Rangel Salas")</f>
        <v>Aida Rangel Salas</v>
      </c>
      <c r="H2608" s="16">
        <f>IFERROR(__xludf.DUMMYFUNCTION("""COMPUTED_VALUE"""),11174.0)</f>
        <v>11174</v>
      </c>
      <c r="I2608" s="18">
        <f>IFERROR(__xludf.DUMMYFUNCTION("""COMPUTED_VALUE"""),8.0)</f>
        <v>8</v>
      </c>
      <c r="J2608" s="18">
        <f>IFERROR(__xludf.DUMMYFUNCTION("""COMPUTED_VALUE"""),16.0)</f>
        <v>16</v>
      </c>
      <c r="K2608" s="18">
        <f>IFERROR(__xludf.DUMMYFUNCTION("""COMPUTED_VALUE"""),20.0)</f>
        <v>20</v>
      </c>
      <c r="L2608" s="17">
        <f>IFERROR(__xludf.DUMMYFUNCTION("""COMPUTED_VALUE"""),3.157960403E9)</f>
        <v>3157960403</v>
      </c>
      <c r="M2608" s="17" t="str">
        <f>IFERROR(__xludf.DUMMYFUNCTION("""COMPUTED_VALUE"""),"#REF!")</f>
        <v>#REF!</v>
      </c>
      <c r="N2608" s="17"/>
      <c r="O2608" s="17"/>
      <c r="P2608" s="17" t="b">
        <f>IFERROR(__xludf.DUMMYFUNCTION("""COMPUTED_VALUE"""),TRUE)</f>
        <v>1</v>
      </c>
      <c r="Q2608" s="20">
        <f>IFERROR(__xludf.DUMMYFUNCTION("""COMPUTED_VALUE"""),45078.554868946754)</f>
        <v>45078.55487</v>
      </c>
      <c r="R2608" s="21" t="str">
        <f>IFERROR(__xludf.DUMMYFUNCTION("""COMPUTED_VALUE"""),"https://drive.google.com/file/d/14jtsLZqG3Rp2rjO8-lyzsBVIVu8pRUBd/view?usp=drivesdk")</f>
        <v>https://drive.google.com/file/d/14jtsLZqG3Rp2rjO8-lyzsBVIVu8pRUBd/view?usp=drivesdk</v>
      </c>
    </row>
    <row r="2609">
      <c r="A2609" s="15">
        <f>IFERROR(__xludf.DUMMYFUNCTION("""COMPUTED_VALUE"""),45077.0)</f>
        <v>45077</v>
      </c>
      <c r="B2609" s="16" t="str">
        <f>IFERROR(__xludf.DUMMYFUNCTION("""COMPUTED_VALUE"""),"JOSE ALFREDO RAMIREZ VERGARA ")</f>
        <v>JOSE ALFREDO RAMIREZ VERGARA </v>
      </c>
      <c r="C2609" s="15" t="str">
        <f>IFERROR(__xludf.DUMMYFUNCTION("""COMPUTED_VALUE"""),"BOGOTÁ")</f>
        <v>BOGOTÁ</v>
      </c>
      <c r="D2609" s="15" t="str">
        <f>IFERROR(__xludf.DUMMYFUNCTION("""COMPUTED_VALUE"""),"MEDELLÍN")</f>
        <v>MEDELLÍN</v>
      </c>
      <c r="E2609" s="15" t="str">
        <f>IFERROR(__xludf.DUMMYFUNCTION("""COMPUTED_VALUE"""),"Baby Chef")</f>
        <v>Baby Chef</v>
      </c>
      <c r="F2609" s="17" t="str">
        <f>IFERROR(__xludf.DUMMYFUNCTION("""COMPUTED_VALUE"""),"Calle 137 a # 58-70 apto 901 torre 7 Edificio acanto barrio Iberia / Calle 137 a # 58-70 apto 901 torre 7 Edificio acanto barrio Iberia / Calle 137 a # 58-70 apto 901 torre 7 Edificio acanto barrio Iberia")</f>
        <v>Calle 137 a # 58-70 apto 901 torre 7 Edificio acanto barrio Iberia / Calle 137 a # 58-70 apto 901 torre 7 Edificio acanto barrio Iberia / Calle 137 a # 58-70 apto 901 torre 7 Edificio acanto barrio Iberia</v>
      </c>
      <c r="G2609" s="15" t="str">
        <f>IFERROR(__xludf.DUMMYFUNCTION("""COMPUTED_VALUE"""),"Rosa Tatis")</f>
        <v>Rosa Tatis</v>
      </c>
      <c r="H2609" s="16">
        <f>IFERROR(__xludf.DUMMYFUNCTION("""COMPUTED_VALUE"""),11182.0)</f>
        <v>11182</v>
      </c>
      <c r="I2609" s="18">
        <f>IFERROR(__xludf.DUMMYFUNCTION("""COMPUTED_VALUE"""),8.0)</f>
        <v>8</v>
      </c>
      <c r="J2609" s="18">
        <f>IFERROR(__xludf.DUMMYFUNCTION("""COMPUTED_VALUE"""),16.0)</f>
        <v>16</v>
      </c>
      <c r="K2609" s="18">
        <f>IFERROR(__xludf.DUMMYFUNCTION("""COMPUTED_VALUE"""),20.0)</f>
        <v>20</v>
      </c>
      <c r="L2609" s="17">
        <f>IFERROR(__xludf.DUMMYFUNCTION("""COMPUTED_VALUE"""),3.007882384E9)</f>
        <v>3007882384</v>
      </c>
      <c r="M2609" s="17" t="str">
        <f>IFERROR(__xludf.DUMMYFUNCTION("""COMPUTED_VALUE"""),"#REF!")</f>
        <v>#REF!</v>
      </c>
      <c r="N2609" s="17"/>
      <c r="O2609" s="17"/>
      <c r="P2609" s="17" t="b">
        <f>IFERROR(__xludf.DUMMYFUNCTION("""COMPUTED_VALUE"""),TRUE)</f>
        <v>1</v>
      </c>
      <c r="Q2609" s="20">
        <f>IFERROR(__xludf.DUMMYFUNCTION("""COMPUTED_VALUE"""),45078.554868946754)</f>
        <v>45078.55487</v>
      </c>
      <c r="R2609" s="21" t="str">
        <f>IFERROR(__xludf.DUMMYFUNCTION("""COMPUTED_VALUE"""),"https://drive.google.com/file/d/1eFgynRmkgqDfYwqu_7FEOnJiypr_hIRl/view?usp=drivesdk")</f>
        <v>https://drive.google.com/file/d/1eFgynRmkgqDfYwqu_7FEOnJiypr_hIRl/view?usp=drivesdk</v>
      </c>
    </row>
    <row r="2610">
      <c r="A2610" s="15">
        <f>IFERROR(__xludf.DUMMYFUNCTION("""COMPUTED_VALUE"""),45077.0)</f>
        <v>45077</v>
      </c>
      <c r="B2610" s="16" t="str">
        <f>IFERROR(__xludf.DUMMYFUNCTION("""COMPUTED_VALUE"""),"JOSE ALFREDO RAMIREZ VERGARA ")</f>
        <v>JOSE ALFREDO RAMIREZ VERGARA </v>
      </c>
      <c r="C2610" s="15" t="str">
        <f>IFERROR(__xludf.DUMMYFUNCTION("""COMPUTED_VALUE"""),"BOGOTÁ")</f>
        <v>BOGOTÁ</v>
      </c>
      <c r="D2610" s="15" t="str">
        <f>IFERROR(__xludf.DUMMYFUNCTION("""COMPUTED_VALUE"""),"MEDELLÍN")</f>
        <v>MEDELLÍN</v>
      </c>
      <c r="E2610" s="15" t="str">
        <f>IFERROR(__xludf.DUMMYFUNCTION("""COMPUTED_VALUE"""),"Baby Chef")</f>
        <v>Baby Chef</v>
      </c>
      <c r="F2610" s="17" t="str">
        <f>IFERROR(__xludf.DUMMYFUNCTION("""COMPUTED_VALUE"""),"Carrera 49 #165-33 apto 703, edificio Brisas del Carmelo / Carrera 49 #165-33 apto 703, edificio Brisas del Carmelo / Carrera 49 #165-33 apto 703, edificio Brisas del Carmelo")</f>
        <v>Carrera 49 #165-33 apto 703, edificio Brisas del Carmelo / Carrera 49 #165-33 apto 703, edificio Brisas del Carmelo / Carrera 49 #165-33 apto 703, edificio Brisas del Carmelo</v>
      </c>
      <c r="G2610" s="15" t="str">
        <f>IFERROR(__xludf.DUMMYFUNCTION("""COMPUTED_VALUE"""),"Alejandro Ospina")</f>
        <v>Alejandro Ospina</v>
      </c>
      <c r="H2610" s="16">
        <f>IFERROR(__xludf.DUMMYFUNCTION("""COMPUTED_VALUE"""),11176.0)</f>
        <v>11176</v>
      </c>
      <c r="I2610" s="18">
        <f>IFERROR(__xludf.DUMMYFUNCTION("""COMPUTED_VALUE"""),8.0)</f>
        <v>8</v>
      </c>
      <c r="J2610" s="18">
        <f>IFERROR(__xludf.DUMMYFUNCTION("""COMPUTED_VALUE"""),16.0)</f>
        <v>16</v>
      </c>
      <c r="K2610" s="18">
        <f>IFERROR(__xludf.DUMMYFUNCTION("""COMPUTED_VALUE"""),20.0)</f>
        <v>20</v>
      </c>
      <c r="L2610" s="17">
        <f>IFERROR(__xludf.DUMMYFUNCTION("""COMPUTED_VALUE"""),3.196567917E9)</f>
        <v>3196567917</v>
      </c>
      <c r="M2610" s="17" t="str">
        <f>IFERROR(__xludf.DUMMYFUNCTION("""COMPUTED_VALUE"""),"#REF!")</f>
        <v>#REF!</v>
      </c>
      <c r="N2610" s="17"/>
      <c r="O2610" s="17"/>
      <c r="P2610" s="17" t="b">
        <f>IFERROR(__xludf.DUMMYFUNCTION("""COMPUTED_VALUE"""),TRUE)</f>
        <v>1</v>
      </c>
      <c r="Q2610" s="20">
        <f>IFERROR(__xludf.DUMMYFUNCTION("""COMPUTED_VALUE"""),45078.554868946754)</f>
        <v>45078.55487</v>
      </c>
      <c r="R2610" s="21" t="str">
        <f>IFERROR(__xludf.DUMMYFUNCTION("""COMPUTED_VALUE"""),"https://drive.google.com/file/d/12kayfvbQNTFss_R30hIpYK9iCd4r0ATh/view?usp=drivesdk")</f>
        <v>https://drive.google.com/file/d/12kayfvbQNTFss_R30hIpYK9iCd4r0ATh/view?usp=drivesdk</v>
      </c>
    </row>
    <row r="2611">
      <c r="A2611" s="15">
        <f>IFERROR(__xludf.DUMMYFUNCTION("""COMPUTED_VALUE"""),45077.0)</f>
        <v>45077</v>
      </c>
      <c r="B2611" s="16" t="str">
        <f>IFERROR(__xludf.DUMMYFUNCTION("""COMPUTED_VALUE"""),"JOSE ALFREDO RAMIREZ VERGARA ")</f>
        <v>JOSE ALFREDO RAMIREZ VERGARA </v>
      </c>
      <c r="C2611" s="15" t="str">
        <f>IFERROR(__xludf.DUMMYFUNCTION("""COMPUTED_VALUE"""),"BOGOTÁ")</f>
        <v>BOGOTÁ</v>
      </c>
      <c r="D2611" s="15" t="str">
        <f>IFERROR(__xludf.DUMMYFUNCTION("""COMPUTED_VALUE"""),"MEDELLÍN")</f>
        <v>MEDELLÍN</v>
      </c>
      <c r="E2611" s="15" t="str">
        <f>IFERROR(__xludf.DUMMYFUNCTION("""COMPUTED_VALUE"""),"Baby Chef")</f>
        <v>Baby Chef</v>
      </c>
      <c r="F2611" s="17" t="str">
        <f>IFERROR(__xludf.DUMMYFUNCTION("""COMPUTED_VALUE"""),"carrera 63 # 22-45 torre 4. Apto 102. Conjunto residencial parque central ciudad salitre / carrera 63 # 22-45 torre 4. Apto 102. Conjunto residencial parque central ciudad salitre / carrera 63 # 22-45 torre 4. Apto 102. Conjunto residencial parque central"&amp;" ciudad salitre")</f>
        <v>carrera 63 # 22-45 torre 4. Apto 102. Conjunto residencial parque central ciudad salitre / carrera 63 # 22-45 torre 4. Apto 102. Conjunto residencial parque central ciudad salitre / carrera 63 # 22-45 torre 4. Apto 102. Conjunto residencial parque central ciudad salitre</v>
      </c>
      <c r="G2611" s="15" t="str">
        <f>IFERROR(__xludf.DUMMYFUNCTION("""COMPUTED_VALUE"""),"Leidy Josa")</f>
        <v>Leidy Josa</v>
      </c>
      <c r="H2611" s="16">
        <f>IFERROR(__xludf.DUMMYFUNCTION("""COMPUTED_VALUE"""),11175.0)</f>
        <v>11175</v>
      </c>
      <c r="I2611" s="18">
        <f>IFERROR(__xludf.DUMMYFUNCTION("""COMPUTED_VALUE"""),8.0)</f>
        <v>8</v>
      </c>
      <c r="J2611" s="18">
        <f>IFERROR(__xludf.DUMMYFUNCTION("""COMPUTED_VALUE"""),16.0)</f>
        <v>16</v>
      </c>
      <c r="K2611" s="18">
        <f>IFERROR(__xludf.DUMMYFUNCTION("""COMPUTED_VALUE"""),20.0)</f>
        <v>20</v>
      </c>
      <c r="L2611" s="17">
        <f>IFERROR(__xludf.DUMMYFUNCTION("""COMPUTED_VALUE"""),3.112897898E9)</f>
        <v>3112897898</v>
      </c>
      <c r="M2611" s="17" t="str">
        <f>IFERROR(__xludf.DUMMYFUNCTION("""COMPUTED_VALUE"""),"#REF!")</f>
        <v>#REF!</v>
      </c>
      <c r="N2611" s="17"/>
      <c r="O2611" s="17"/>
      <c r="P2611" s="17" t="b">
        <f>IFERROR(__xludf.DUMMYFUNCTION("""COMPUTED_VALUE"""),TRUE)</f>
        <v>1</v>
      </c>
      <c r="Q2611" s="20">
        <f>IFERROR(__xludf.DUMMYFUNCTION("""COMPUTED_VALUE"""),45078.554868946754)</f>
        <v>45078.55487</v>
      </c>
      <c r="R2611" s="21" t="str">
        <f>IFERROR(__xludf.DUMMYFUNCTION("""COMPUTED_VALUE"""),"https://drive.google.com/file/d/13tiBNrFLJyc54YDZ9W5zRAaiiJ0h_23r/view?usp=drivesdk")</f>
        <v>https://drive.google.com/file/d/13tiBNrFLJyc54YDZ9W5zRAaiiJ0h_23r/view?usp=drivesdk</v>
      </c>
    </row>
    <row r="2612">
      <c r="A2612" s="15">
        <f>IFERROR(__xludf.DUMMYFUNCTION("""COMPUTED_VALUE"""),45077.0)</f>
        <v>45077</v>
      </c>
      <c r="B2612" s="16" t="str">
        <f>IFERROR(__xludf.DUMMYFUNCTION("""COMPUTED_VALUE"""),"JOSE ALFREDO RAMIREZ VERGARA ")</f>
        <v>JOSE ALFREDO RAMIREZ VERGARA </v>
      </c>
      <c r="C2612" s="15" t="str">
        <f>IFERROR(__xludf.DUMMYFUNCTION("""COMPUTED_VALUE"""),"BOGOTÁ")</f>
        <v>BOGOTÁ</v>
      </c>
      <c r="D2612" s="15" t="str">
        <f>IFERROR(__xludf.DUMMYFUNCTION("""COMPUTED_VALUE"""),"MEDELLÍN")</f>
        <v>MEDELLÍN</v>
      </c>
      <c r="E2612" s="15" t="str">
        <f>IFERROR(__xludf.DUMMYFUNCTION("""COMPUTED_VALUE"""),"Lácteos El Pino SAS")</f>
        <v>Lácteos El Pino SAS</v>
      </c>
      <c r="F2612" s="17" t="str">
        <f>IFERROR(__xludf.DUMMYFUNCTION("""COMPUTED_VALUE"""),"CALLE 93# 18 -81 / ENTREGAR EN EL LOCAL")</f>
        <v>CALLE 93# 18 -81 / ENTREGAR EN EL LOCAL</v>
      </c>
      <c r="G2612" s="15" t="str">
        <f>IFERROR(__xludf.DUMMYFUNCTION("""COMPUTED_VALUE"""),"KIM")</f>
        <v>KIM</v>
      </c>
      <c r="H2612" s="16">
        <f>IFERROR(__xludf.DUMMYFUNCTION("""COMPUTED_VALUE"""),11165.0)</f>
        <v>11165</v>
      </c>
      <c r="I2612" s="18">
        <f>IFERROR(__xludf.DUMMYFUNCTION("""COMPUTED_VALUE"""),33.0)</f>
        <v>33</v>
      </c>
      <c r="J2612" s="18">
        <f>IFERROR(__xludf.DUMMYFUNCTION("""COMPUTED_VALUE"""),22.0)</f>
        <v>22</v>
      </c>
      <c r="K2612" s="18">
        <f>IFERROR(__xludf.DUMMYFUNCTION("""COMPUTED_VALUE"""),36.0)</f>
        <v>36</v>
      </c>
      <c r="L2612" s="17"/>
      <c r="M2612" s="17" t="str">
        <f>IFERROR(__xludf.DUMMYFUNCTION("""COMPUTED_VALUE"""),"#REF!")</f>
        <v>#REF!</v>
      </c>
      <c r="N2612" s="17"/>
      <c r="O2612" s="17"/>
      <c r="P2612" s="17" t="b">
        <f>IFERROR(__xludf.DUMMYFUNCTION("""COMPUTED_VALUE"""),TRUE)</f>
        <v>1</v>
      </c>
      <c r="Q2612" s="20">
        <f>IFERROR(__xludf.DUMMYFUNCTION("""COMPUTED_VALUE"""),45078.554868946754)</f>
        <v>45078.55487</v>
      </c>
      <c r="R2612" s="22" t="str">
        <f>IFERROR(__xludf.DUMMYFUNCTION("""COMPUTED_VALUE"""),"")</f>
        <v/>
      </c>
    </row>
    <row r="2613">
      <c r="A2613" s="17" t="str">
        <f>IFERROR(__xludf.DUMMYFUNCTION("""COMPUTED_VALUE"""),"")</f>
        <v/>
      </c>
      <c r="B2613" s="17" t="str">
        <f>IFERROR(__xludf.DUMMYFUNCTION("""COMPUTED_VALUE"""),"")</f>
        <v/>
      </c>
      <c r="C2613" s="17" t="str">
        <f>IFERROR(__xludf.DUMMYFUNCTION("""COMPUTED_VALUE"""),"")</f>
        <v/>
      </c>
      <c r="D2613" s="17" t="str">
        <f>IFERROR(__xludf.DUMMYFUNCTION("""COMPUTED_VALUE"""),"")</f>
        <v/>
      </c>
      <c r="E2613" s="17" t="str">
        <f>IFERROR(__xludf.DUMMYFUNCTION("""COMPUTED_VALUE"""),"")</f>
        <v/>
      </c>
      <c r="F2613" s="17" t="str">
        <f>IFERROR(__xludf.DUMMYFUNCTION("""COMPUTED_VALUE"""),"")</f>
        <v/>
      </c>
      <c r="G2613" s="17" t="str">
        <f>IFERROR(__xludf.DUMMYFUNCTION("""COMPUTED_VALUE"""),"")</f>
        <v/>
      </c>
      <c r="H2613" s="17" t="str">
        <f>IFERROR(__xludf.DUMMYFUNCTION("""COMPUTED_VALUE"""),"")</f>
        <v/>
      </c>
      <c r="I2613" s="17" t="str">
        <f>IFERROR(__xludf.DUMMYFUNCTION("""COMPUTED_VALUE"""),"")</f>
        <v/>
      </c>
      <c r="J2613" s="17" t="str">
        <f>IFERROR(__xludf.DUMMYFUNCTION("""COMPUTED_VALUE"""),"")</f>
        <v/>
      </c>
      <c r="K2613" s="17" t="str">
        <f>IFERROR(__xludf.DUMMYFUNCTION("""COMPUTED_VALUE"""),"")</f>
        <v/>
      </c>
      <c r="L2613" s="17" t="str">
        <f>IFERROR(__xludf.DUMMYFUNCTION("""COMPUTED_VALUE"""),"")</f>
        <v/>
      </c>
      <c r="M2613" s="17" t="str">
        <f>IFERROR(__xludf.DUMMYFUNCTION("""COMPUTED_VALUE"""),"")</f>
        <v/>
      </c>
      <c r="N2613" s="17" t="str">
        <f>IFERROR(__xludf.DUMMYFUNCTION("""COMPUTED_VALUE"""),"")</f>
        <v/>
      </c>
      <c r="O2613" s="17" t="str">
        <f>IFERROR(__xludf.DUMMYFUNCTION("""COMPUTED_VALUE"""),"")</f>
        <v/>
      </c>
      <c r="P2613" s="17" t="str">
        <f>IFERROR(__xludf.DUMMYFUNCTION("""COMPUTED_VALUE"""),"")</f>
        <v/>
      </c>
      <c r="Q2613" s="17" t="str">
        <f>IFERROR(__xludf.DUMMYFUNCTION("""COMPUTED_VALUE"""),"")</f>
        <v/>
      </c>
      <c r="R2613" s="17" t="str">
        <f>IFERROR(__xludf.DUMMYFUNCTION("""COMPUTED_VALUE"""),"")</f>
        <v/>
      </c>
    </row>
    <row r="2614">
      <c r="A2614" s="15">
        <f>IFERROR(__xludf.DUMMYFUNCTION("""COMPUTED_VALUE"""),45078.0)</f>
        <v>45078</v>
      </c>
      <c r="B2614" s="17"/>
      <c r="C2614" s="15" t="str">
        <f>IFERROR(__xludf.DUMMYFUNCTION("""COMPUTED_VALUE"""),"BOGOTÁ")</f>
        <v>BOGOTÁ</v>
      </c>
      <c r="D2614" s="15" t="str">
        <f>IFERROR(__xludf.DUMMYFUNCTION("""COMPUTED_VALUE"""),"CALI")</f>
        <v>CALI</v>
      </c>
      <c r="E2614" s="15" t="str">
        <f>IFERROR(__xludf.DUMMYFUNCTION("""COMPUTED_VALUE"""),"Foodology")</f>
        <v>Foodology</v>
      </c>
      <c r="F2614" s="17" t="str">
        <f>IFERROR(__xludf.DUMMYFUNCTION("""COMPUTED_VALUE"""),"Calle 83 #21-69 / Local 7a / Barrio el Polo")</f>
        <v>Calle 83 #21-69 / Local 7a / Barrio el Polo</v>
      </c>
      <c r="G2614" s="15" t="str">
        <f>IFERROR(__xludf.DUMMYFUNCTION("""COMPUTED_VALUE"""),"a FRAMBAS - Mateo Vergel")</f>
        <v>a FRAMBAS - Mateo Vergel</v>
      </c>
      <c r="H2614" s="16">
        <f>IFERROR(__xludf.DUMMYFUNCTION("""COMPUTED_VALUE"""),11191.0)</f>
        <v>11191</v>
      </c>
      <c r="I2614" s="18">
        <f>IFERROR(__xludf.DUMMYFUNCTION("""COMPUTED_VALUE"""),8.0)</f>
        <v>8</v>
      </c>
      <c r="J2614" s="18">
        <f>IFERROR(__xludf.DUMMYFUNCTION("""COMPUTED_VALUE"""),45173.0)</f>
        <v>45173</v>
      </c>
      <c r="K2614" s="18">
        <f>IFERROR(__xludf.DUMMYFUNCTION("""COMPUTED_VALUE"""),44992.0)</f>
        <v>44992</v>
      </c>
      <c r="L2614" s="17">
        <f>IFERROR(__xludf.DUMMYFUNCTION("""COMPUTED_VALUE"""),3.107785185E9)</f>
        <v>3107785185</v>
      </c>
      <c r="M2614" s="17" t="str">
        <f>IFERROR(__xludf.DUMMYFUNCTION("""COMPUTED_VALUE"""),"#REF!")</f>
        <v>#REF!</v>
      </c>
      <c r="N2614" s="17"/>
      <c r="O2614" s="17"/>
      <c r="P2614" s="17" t="b">
        <f>IFERROR(__xludf.DUMMYFUNCTION("""COMPUTED_VALUE"""),TRUE)</f>
        <v>1</v>
      </c>
      <c r="Q2614" s="20">
        <f>IFERROR(__xludf.DUMMYFUNCTION("""COMPUTED_VALUE"""),45078.652194386574)</f>
        <v>45078.65219</v>
      </c>
      <c r="R2614" s="22" t="str">
        <f>IFERROR(__xludf.DUMMYFUNCTION("""COMPUTED_VALUE"""),"")</f>
        <v/>
      </c>
    </row>
    <row r="2615">
      <c r="A2615" s="15">
        <f>IFERROR(__xludf.DUMMYFUNCTION("""COMPUTED_VALUE"""),45078.0)</f>
        <v>45078</v>
      </c>
      <c r="B2615" s="17"/>
      <c r="C2615" s="15" t="str">
        <f>IFERROR(__xludf.DUMMYFUNCTION("""COMPUTED_VALUE"""),"CARTAGENA")</f>
        <v>CARTAGENA</v>
      </c>
      <c r="D2615" s="15" t="str">
        <f>IFERROR(__xludf.DUMMYFUNCTION("""COMPUTED_VALUE"""),"BOGOTÁ")</f>
        <v>BOGOTÁ</v>
      </c>
      <c r="E2615" s="15" t="str">
        <f>IFERROR(__xludf.DUMMYFUNCTION("""COMPUTED_VALUE"""),"SISU PARTNERS SAS")</f>
        <v>SISU PARTNERS SAS</v>
      </c>
      <c r="F2615" s="17" t="str">
        <f>IFERROR(__xludf.DUMMYFUNCTION("""COMPUTED_VALUE"""),"Carrera 7 no. 38-48 local 3 / Local Mary &amp; George")</f>
        <v>Carrera 7 no. 38-48 local 3 / Local Mary &amp; George</v>
      </c>
      <c r="G2615" s="15" t="str">
        <f>IFERROR(__xludf.DUMMYFUNCTION("""COMPUTED_VALUE"""),"Carolyne Bailey")</f>
        <v>Carolyne Bailey</v>
      </c>
      <c r="H2615" s="16">
        <f>IFERROR(__xludf.DUMMYFUNCTION("""COMPUTED_VALUE"""),11158.0)</f>
        <v>11158</v>
      </c>
      <c r="I2615" s="18" t="str">
        <f>IFERROR(__xludf.DUMMYFUNCTION("""COMPUTED_VALUE"""),"52.5")</f>
        <v>52.5</v>
      </c>
      <c r="J2615" s="18">
        <f>IFERROR(__xludf.DUMMYFUNCTION("""COMPUTED_VALUE"""),45.0)</f>
        <v>45</v>
      </c>
      <c r="K2615" s="18">
        <f>IFERROR(__xludf.DUMMYFUNCTION("""COMPUTED_VALUE"""),55.0)</f>
        <v>55</v>
      </c>
      <c r="L2615" s="17">
        <f>IFERROR(__xludf.DUMMYFUNCTION("""COMPUTED_VALUE"""),3.105510381E9)</f>
        <v>3105510381</v>
      </c>
      <c r="M2615" s="17" t="str">
        <f>IFERROR(__xludf.DUMMYFUNCTION("""COMPUTED_VALUE"""),"#REF!")</f>
        <v>#REF!</v>
      </c>
      <c r="N2615" s="17"/>
      <c r="O2615" s="17"/>
      <c r="P2615" s="17" t="b">
        <f>IFERROR(__xludf.DUMMYFUNCTION("""COMPUTED_VALUE"""),FALSE)</f>
        <v>0</v>
      </c>
      <c r="Q2615" s="20" t="str">
        <f>IFERROR(__xludf.DUMMYFUNCTION("""COMPUTED_VALUE"""),"")</f>
        <v/>
      </c>
      <c r="R2615" s="21" t="str">
        <f>IFERROR(__xludf.DUMMYFUNCTION("""COMPUTED_VALUE"""),"https://drive.google.com/file/d/1lv-Fp08lWZGV64xXxfzot9K0tfxCaJ2v/view?usp=drivesdk")</f>
        <v>https://drive.google.com/file/d/1lv-Fp08lWZGV64xXxfzot9K0tfxCaJ2v/view?usp=drivesdk</v>
      </c>
    </row>
    <row r="2616">
      <c r="A2616" s="15">
        <f>IFERROR(__xludf.DUMMYFUNCTION("""COMPUTED_VALUE"""),45078.0)</f>
        <v>45078</v>
      </c>
      <c r="B2616" s="17"/>
      <c r="C2616" s="15" t="str">
        <f>IFERROR(__xludf.DUMMYFUNCTION("""COMPUTED_VALUE"""),"CARTAGENA")</f>
        <v>CARTAGENA</v>
      </c>
      <c r="D2616" s="15" t="str">
        <f>IFERROR(__xludf.DUMMYFUNCTION("""COMPUTED_VALUE"""),"BOGOTÁ")</f>
        <v>BOGOTÁ</v>
      </c>
      <c r="E2616" s="15" t="str">
        <f>IFERROR(__xludf.DUMMYFUNCTION("""COMPUTED_VALUE"""),"Top Spun")</f>
        <v>Top Spun</v>
      </c>
      <c r="F2616" s="17" t="str">
        <f>IFERROR(__xludf.DUMMYFUNCTION("""COMPUTED_VALUE"""),"CARRERA 4 N7-145 / APT 2902 EDIFICIO INFINITUM / BOCAGRANDE CARTAGENA")</f>
        <v>CARRERA 4 N7-145 / APT 2902 EDIFICIO INFINITUM / BOCAGRANDE CARTAGENA</v>
      </c>
      <c r="G2616" s="15" t="str">
        <f>IFERROR(__xludf.DUMMYFUNCTION("""COMPUTED_VALUE"""),"CYRIL PERETTI")</f>
        <v>CYRIL PERETTI</v>
      </c>
      <c r="H2616" s="16">
        <f>IFERROR(__xludf.DUMMYFUNCTION("""COMPUTED_VALUE"""),11123.0)</f>
        <v>11123</v>
      </c>
      <c r="I2616" s="18">
        <f>IFERROR(__xludf.DUMMYFUNCTION("""COMPUTED_VALUE"""),20.0)</f>
        <v>20</v>
      </c>
      <c r="J2616" s="18">
        <f>IFERROR(__xludf.DUMMYFUNCTION("""COMPUTED_VALUE"""),10.0)</f>
        <v>10</v>
      </c>
      <c r="K2616" s="18">
        <f>IFERROR(__xludf.DUMMYFUNCTION("""COMPUTED_VALUE"""),40.0)</f>
        <v>40</v>
      </c>
      <c r="L2616" s="17">
        <f>IFERROR(__xludf.DUMMYFUNCTION("""COMPUTED_VALUE"""),3.102729734E9)</f>
        <v>3102729734</v>
      </c>
      <c r="M2616" s="17" t="str">
        <f>IFERROR(__xludf.DUMMYFUNCTION("""COMPUTED_VALUE"""),"#REF!")</f>
        <v>#REF!</v>
      </c>
      <c r="N2616" s="17"/>
      <c r="O2616" s="17"/>
      <c r="P2616" s="17" t="b">
        <f>IFERROR(__xludf.DUMMYFUNCTION("""COMPUTED_VALUE"""),FALSE)</f>
        <v>0</v>
      </c>
      <c r="Q2616" s="20" t="str">
        <f>IFERROR(__xludf.DUMMYFUNCTION("""COMPUTED_VALUE"""),"")</f>
        <v/>
      </c>
      <c r="R2616" s="21" t="str">
        <f>IFERROR(__xludf.DUMMYFUNCTION("""COMPUTED_VALUE"""),"https://drive.google.com/file/d/19nVnIJgWoSUvvZb9HpuYaZadUQQB15AY/view?usp=drivesdk")</f>
        <v>https://drive.google.com/file/d/19nVnIJgWoSUvvZb9HpuYaZadUQQB15AY/view?usp=drivesdk</v>
      </c>
    </row>
    <row r="2617">
      <c r="A2617" s="15">
        <f>IFERROR(__xludf.DUMMYFUNCTION("""COMPUTED_VALUE"""),45078.0)</f>
        <v>45078</v>
      </c>
      <c r="B2617" s="17"/>
      <c r="C2617" s="15" t="str">
        <f>IFERROR(__xludf.DUMMYFUNCTION("""COMPUTED_VALUE"""),"FUSAGASUGA")</f>
        <v>FUSAGASUGA</v>
      </c>
      <c r="D2617" s="15" t="str">
        <f>IFERROR(__xludf.DUMMYFUNCTION("""COMPUTED_VALUE"""),"BOGOTÁ")</f>
        <v>BOGOTÁ</v>
      </c>
      <c r="E2617" s="15" t="str">
        <f>IFERROR(__xludf.DUMMYFUNCTION("""COMPUTED_VALUE"""),"Evamazzita")</f>
        <v>Evamazzita</v>
      </c>
      <c r="F2617" s="17" t="str">
        <f>IFERROR(__xludf.DUMMYFUNCTION("""COMPUTED_VALUE"""),"DIAGONAL 15 # 14 B - 35  / EDIFICIO BRIKELL APTO. 401  / BARRIO SANTA ANITA")</f>
        <v>DIAGONAL 15 # 14 B - 35  / EDIFICIO BRIKELL APTO. 401  / BARRIO SANTA ANITA</v>
      </c>
      <c r="G2617" s="15" t="str">
        <f>IFERROR(__xludf.DUMMYFUNCTION("""COMPUTED_VALUE"""),"ANDREA CAICEDO HERNANDEZ")</f>
        <v>ANDREA CAICEDO HERNANDEZ</v>
      </c>
      <c r="H2617" s="16">
        <f>IFERROR(__xludf.DUMMYFUNCTION("""COMPUTED_VALUE"""),11221.0)</f>
        <v>11221</v>
      </c>
      <c r="I2617" s="18">
        <f>IFERROR(__xludf.DUMMYFUNCTION("""COMPUTED_VALUE"""),3.0)</f>
        <v>3</v>
      </c>
      <c r="J2617" s="18">
        <f>IFERROR(__xludf.DUMMYFUNCTION("""COMPUTED_VALUE"""),20.0)</f>
        <v>20</v>
      </c>
      <c r="K2617" s="18">
        <f>IFERROR(__xludf.DUMMYFUNCTION("""COMPUTED_VALUE"""),15.0)</f>
        <v>15</v>
      </c>
      <c r="L2617" s="17">
        <f>IFERROR(__xludf.DUMMYFUNCTION("""COMPUTED_VALUE"""),3.003260129E9)</f>
        <v>3003260129</v>
      </c>
      <c r="M2617" s="17" t="str">
        <f>IFERROR(__xludf.DUMMYFUNCTION("""COMPUTED_VALUE"""),"#REF!")</f>
        <v>#REF!</v>
      </c>
      <c r="N2617" s="17"/>
      <c r="O2617" s="17"/>
      <c r="P2617" s="17" t="b">
        <f>IFERROR(__xludf.DUMMYFUNCTION("""COMPUTED_VALUE"""),FALSE)</f>
        <v>0</v>
      </c>
      <c r="Q2617" s="20" t="str">
        <f>IFERROR(__xludf.DUMMYFUNCTION("""COMPUTED_VALUE"""),"")</f>
        <v/>
      </c>
      <c r="R2617" s="22" t="str">
        <f>IFERROR(__xludf.DUMMYFUNCTION("""COMPUTED_VALUE"""),"")</f>
        <v/>
      </c>
    </row>
    <row r="2618">
      <c r="A2618" s="15">
        <f>IFERROR(__xludf.DUMMYFUNCTION("""COMPUTED_VALUE"""),45078.0)</f>
        <v>45078</v>
      </c>
      <c r="B2618" s="17"/>
      <c r="C2618" s="15" t="str">
        <f>IFERROR(__xludf.DUMMYFUNCTION("""COMPUTED_VALUE"""),"FUSAGASUGA")</f>
        <v>FUSAGASUGA</v>
      </c>
      <c r="D2618" s="15" t="str">
        <f>IFERROR(__xludf.DUMMYFUNCTION("""COMPUTED_VALUE"""),"BOGOTÁ")</f>
        <v>BOGOTÁ</v>
      </c>
      <c r="E2618" s="15" t="str">
        <f>IFERROR(__xludf.DUMMYFUNCTION("""COMPUTED_VALUE"""),"Evamazzita")</f>
        <v>Evamazzita</v>
      </c>
      <c r="F2618" s="17" t="str">
        <f>IFERROR(__xludf.DUMMYFUNCTION("""COMPUTED_VALUE"""),"RECIBE LUZ DARY PÉREZ CARRERA 23 # 18 B - 218  / CONJUNTO RESIDENCIAL MALIBU CASA 14 / RECIBE LUZ DARY PÉREZ")</f>
        <v>RECIBE LUZ DARY PÉREZ CARRERA 23 # 18 B - 218  / CONJUNTO RESIDENCIAL MALIBU CASA 14 / RECIBE LUZ DARY PÉREZ</v>
      </c>
      <c r="G2618" s="15" t="str">
        <f>IFERROR(__xludf.DUMMYFUNCTION("""COMPUTED_VALUE"""),"JENNY LIZETH VELASQUEZ CAICEDO")</f>
        <v>JENNY LIZETH VELASQUEZ CAICEDO</v>
      </c>
      <c r="H2618" s="16">
        <f>IFERROR(__xludf.DUMMYFUNCTION("""COMPUTED_VALUE"""),11219.0)</f>
        <v>11219</v>
      </c>
      <c r="I2618" s="18">
        <f>IFERROR(__xludf.DUMMYFUNCTION("""COMPUTED_VALUE"""),3.0)</f>
        <v>3</v>
      </c>
      <c r="J2618" s="18">
        <f>IFERROR(__xludf.DUMMYFUNCTION("""COMPUTED_VALUE"""),20.0)</f>
        <v>20</v>
      </c>
      <c r="K2618" s="18">
        <f>IFERROR(__xludf.DUMMYFUNCTION("""COMPUTED_VALUE"""),15.0)</f>
        <v>15</v>
      </c>
      <c r="L2618" s="17">
        <f>IFERROR(__xludf.DUMMYFUNCTION("""COMPUTED_VALUE"""),3.123236465E9)</f>
        <v>3123236465</v>
      </c>
      <c r="M2618" s="17" t="str">
        <f>IFERROR(__xludf.DUMMYFUNCTION("""COMPUTED_VALUE"""),"#REF!")</f>
        <v>#REF!</v>
      </c>
      <c r="N2618" s="17"/>
      <c r="O2618" s="17"/>
      <c r="P2618" s="17" t="b">
        <f>IFERROR(__xludf.DUMMYFUNCTION("""COMPUTED_VALUE"""),FALSE)</f>
        <v>0</v>
      </c>
      <c r="Q2618" s="20" t="str">
        <f>IFERROR(__xludf.DUMMYFUNCTION("""COMPUTED_VALUE"""),"")</f>
        <v/>
      </c>
      <c r="R2618" s="22" t="str">
        <f>IFERROR(__xludf.DUMMYFUNCTION("""COMPUTED_VALUE"""),"")</f>
        <v/>
      </c>
    </row>
    <row r="2619">
      <c r="A2619" s="15">
        <f>IFERROR(__xludf.DUMMYFUNCTION("""COMPUTED_VALUE"""),45078.0)</f>
        <v>45078</v>
      </c>
      <c r="B2619" s="17"/>
      <c r="C2619" s="15" t="str">
        <f>IFERROR(__xludf.DUMMYFUNCTION("""COMPUTED_VALUE"""),"FUSAGASUGA")</f>
        <v>FUSAGASUGA</v>
      </c>
      <c r="D2619" s="15" t="str">
        <f>IFERROR(__xludf.DUMMYFUNCTION("""COMPUTED_VALUE"""),"BOGOTÁ")</f>
        <v>BOGOTÁ</v>
      </c>
      <c r="E2619" s="15" t="str">
        <f>IFERROR(__xludf.DUMMYFUNCTION("""COMPUTED_VALUE"""),"Evamazzita")</f>
        <v>Evamazzita</v>
      </c>
      <c r="F2619" s="17" t="str">
        <f>IFERROR(__xludf.DUMMYFUNCTION("""COMPUTED_VALUE"""),"TRANSVERSAL 23 B # 2 N - 57  / PISO 1  / EL COMBOY")</f>
        <v>TRANSVERSAL 23 B # 2 N - 57  / PISO 1  / EL COMBOY</v>
      </c>
      <c r="G2619" s="15" t="str">
        <f>IFERROR(__xludf.DUMMYFUNCTION("""COMPUTED_VALUE"""),"GISELLE DANIELA HERNANDEZ TOVAR")</f>
        <v>GISELLE DANIELA HERNANDEZ TOVAR</v>
      </c>
      <c r="H2619" s="16">
        <f>IFERROR(__xludf.DUMMYFUNCTION("""COMPUTED_VALUE"""),11222.0)</f>
        <v>11222</v>
      </c>
      <c r="I2619" s="18">
        <f>IFERROR(__xludf.DUMMYFUNCTION("""COMPUTED_VALUE"""),3.0)</f>
        <v>3</v>
      </c>
      <c r="J2619" s="18">
        <f>IFERROR(__xludf.DUMMYFUNCTION("""COMPUTED_VALUE"""),20.0)</f>
        <v>20</v>
      </c>
      <c r="K2619" s="18">
        <f>IFERROR(__xludf.DUMMYFUNCTION("""COMPUTED_VALUE"""),15.0)</f>
        <v>15</v>
      </c>
      <c r="L2619" s="17">
        <f>IFERROR(__xludf.DUMMYFUNCTION("""COMPUTED_VALUE"""),3.016767228E9)</f>
        <v>3016767228</v>
      </c>
      <c r="M2619" s="17" t="str">
        <f>IFERROR(__xludf.DUMMYFUNCTION("""COMPUTED_VALUE"""),"#REF!")</f>
        <v>#REF!</v>
      </c>
      <c r="N2619" s="17"/>
      <c r="O2619" s="17"/>
      <c r="P2619" s="17" t="b">
        <f>IFERROR(__xludf.DUMMYFUNCTION("""COMPUTED_VALUE"""),FALSE)</f>
        <v>0</v>
      </c>
      <c r="Q2619" s="20" t="str">
        <f>IFERROR(__xludf.DUMMYFUNCTION("""COMPUTED_VALUE"""),"")</f>
        <v/>
      </c>
      <c r="R2619" s="22" t="str">
        <f>IFERROR(__xludf.DUMMYFUNCTION("""COMPUTED_VALUE"""),"")</f>
        <v/>
      </c>
    </row>
    <row r="2620">
      <c r="A2620" s="15">
        <f>IFERROR(__xludf.DUMMYFUNCTION("""COMPUTED_VALUE"""),45078.0)</f>
        <v>45078</v>
      </c>
      <c r="B2620" s="17"/>
      <c r="C2620" s="15" t="str">
        <f>IFERROR(__xludf.DUMMYFUNCTION("""COMPUTED_VALUE"""),"POPAYAN")</f>
        <v>POPAYAN</v>
      </c>
      <c r="D2620" s="15" t="str">
        <f>IFERROR(__xludf.DUMMYFUNCTION("""COMPUTED_VALUE"""),"BOGOTÁ")</f>
        <v>BOGOTÁ</v>
      </c>
      <c r="E2620" s="15" t="str">
        <f>IFERROR(__xludf.DUMMYFUNCTION("""COMPUTED_VALUE"""),"Evamazzita")</f>
        <v>Evamazzita</v>
      </c>
      <c r="F2620" s="17" t="str">
        <f>IFERROR(__xludf.DUMMYFUNCTION("""COMPUTED_VALUE"""),"CRA 6 # 27N - 58  / LOCAL 1  - VIVEA MERCADO SALUDABLE / BARRIO LOS HOYOS")</f>
        <v>CRA 6 # 27N - 58  / LOCAL 1  - VIVEA MERCADO SALUDABLE / BARRIO LOS HOYOS</v>
      </c>
      <c r="G2620" s="15" t="str">
        <f>IFERROR(__xludf.DUMMYFUNCTION("""COMPUTED_VALUE"""),"VIVIANA ANDREA CHAMORRO YANZA")</f>
        <v>VIVIANA ANDREA CHAMORRO YANZA</v>
      </c>
      <c r="H2620" s="16">
        <f>IFERROR(__xludf.DUMMYFUNCTION("""COMPUTED_VALUE"""),11208.0)</f>
        <v>11208</v>
      </c>
      <c r="I2620" s="18">
        <f>IFERROR(__xludf.DUMMYFUNCTION("""COMPUTED_VALUE"""),10.0)</f>
        <v>10</v>
      </c>
      <c r="J2620" s="18">
        <f>IFERROR(__xludf.DUMMYFUNCTION("""COMPUTED_VALUE"""),37.0)</f>
        <v>37</v>
      </c>
      <c r="K2620" s="18">
        <f>IFERROR(__xludf.DUMMYFUNCTION("""COMPUTED_VALUE"""),24.0)</f>
        <v>24</v>
      </c>
      <c r="L2620" s="17">
        <f>IFERROR(__xludf.DUMMYFUNCTION("""COMPUTED_VALUE"""),3.122971002E9)</f>
        <v>3122971002</v>
      </c>
      <c r="M2620" s="17" t="str">
        <f>IFERROR(__xludf.DUMMYFUNCTION("""COMPUTED_VALUE"""),"#REF!")</f>
        <v>#REF!</v>
      </c>
      <c r="N2620" s="17"/>
      <c r="O2620" s="17"/>
      <c r="P2620" s="17" t="b">
        <f>IFERROR(__xludf.DUMMYFUNCTION("""COMPUTED_VALUE"""),FALSE)</f>
        <v>0</v>
      </c>
      <c r="Q2620" s="20" t="str">
        <f>IFERROR(__xludf.DUMMYFUNCTION("""COMPUTED_VALUE"""),"")</f>
        <v/>
      </c>
      <c r="R2620" s="21" t="str">
        <f>IFERROR(__xludf.DUMMYFUNCTION("""COMPUTED_VALUE"""),"https://drive.google.com/file/d/1Mg7OYsv2Ky4uMqmXG2JlZCycxzBAb82O/view?usp=drivesdk")</f>
        <v>https://drive.google.com/file/d/1Mg7OYsv2Ky4uMqmXG2JlZCycxzBAb82O/view?usp=drivesdk</v>
      </c>
    </row>
    <row r="2621">
      <c r="A2621" s="15">
        <f>IFERROR(__xludf.DUMMYFUNCTION("""COMPUTED_VALUE"""),45078.0)</f>
        <v>45078</v>
      </c>
      <c r="B2621" s="17"/>
      <c r="C2621" s="15" t="str">
        <f>IFERROR(__xludf.DUMMYFUNCTION("""COMPUTED_VALUE"""),"YOPAL")</f>
        <v>YOPAL</v>
      </c>
      <c r="D2621" s="15" t="str">
        <f>IFERROR(__xludf.DUMMYFUNCTION("""COMPUTED_VALUE"""),"BOGOTÁ")</f>
        <v>BOGOTÁ</v>
      </c>
      <c r="E2621" s="15" t="str">
        <f>IFERROR(__xludf.DUMMYFUNCTION("""COMPUTED_VALUE"""),"Evamazzita")</f>
        <v>Evamazzita</v>
      </c>
      <c r="F2621" s="17" t="str">
        <f>IFERROR(__xludf.DUMMYFUNCTION("""COMPUTED_VALUE"""),"CALLE 38 A # 1 C OESTE - 38  / N/A / BARRIO OCOBOS")</f>
        <v>CALLE 38 A # 1 C OESTE - 38  / N/A / BARRIO OCOBOS</v>
      </c>
      <c r="G2621" s="15" t="str">
        <f>IFERROR(__xludf.DUMMYFUNCTION("""COMPUTED_VALUE"""),"LIZETH ALEXANDRA RODRIGUEZ MOSCOSO")</f>
        <v>LIZETH ALEXANDRA RODRIGUEZ MOSCOSO</v>
      </c>
      <c r="H2621" s="16">
        <f>IFERROR(__xludf.DUMMYFUNCTION("""COMPUTED_VALUE"""),11206.0)</f>
        <v>11206</v>
      </c>
      <c r="I2621" s="18">
        <f>IFERROR(__xludf.DUMMYFUNCTION("""COMPUTED_VALUE"""),3.0)</f>
        <v>3</v>
      </c>
      <c r="J2621" s="18">
        <f>IFERROR(__xludf.DUMMYFUNCTION("""COMPUTED_VALUE"""),15.0)</f>
        <v>15</v>
      </c>
      <c r="K2621" s="18">
        <f>IFERROR(__xludf.DUMMYFUNCTION("""COMPUTED_VALUE"""),20.0)</f>
        <v>20</v>
      </c>
      <c r="L2621" s="17">
        <f>IFERROR(__xludf.DUMMYFUNCTION("""COMPUTED_VALUE"""),3.155400551E9)</f>
        <v>3155400551</v>
      </c>
      <c r="M2621" s="17" t="str">
        <f>IFERROR(__xludf.DUMMYFUNCTION("""COMPUTED_VALUE"""),"#REF!")</f>
        <v>#REF!</v>
      </c>
      <c r="N2621" s="17"/>
      <c r="O2621" s="17"/>
      <c r="P2621" s="17" t="b">
        <f>IFERROR(__xludf.DUMMYFUNCTION("""COMPUTED_VALUE"""),FALSE)</f>
        <v>0</v>
      </c>
      <c r="Q2621" s="20" t="str">
        <f>IFERROR(__xludf.DUMMYFUNCTION("""COMPUTED_VALUE"""),"")</f>
        <v/>
      </c>
      <c r="R2621" s="22" t="str">
        <f>IFERROR(__xludf.DUMMYFUNCTION("""COMPUTED_VALUE"""),"")</f>
        <v/>
      </c>
    </row>
    <row r="2622">
      <c r="A2622" s="17" t="str">
        <f>IFERROR(__xludf.DUMMYFUNCTION("""COMPUTED_VALUE"""),"")</f>
        <v/>
      </c>
      <c r="B2622" s="17" t="str">
        <f>IFERROR(__xludf.DUMMYFUNCTION("""COMPUTED_VALUE"""),"")</f>
        <v/>
      </c>
      <c r="C2622" s="17" t="str">
        <f>IFERROR(__xludf.DUMMYFUNCTION("""COMPUTED_VALUE"""),"")</f>
        <v/>
      </c>
      <c r="D2622" s="17" t="str">
        <f>IFERROR(__xludf.DUMMYFUNCTION("""COMPUTED_VALUE"""),"")</f>
        <v/>
      </c>
      <c r="E2622" s="17" t="str">
        <f>IFERROR(__xludf.DUMMYFUNCTION("""COMPUTED_VALUE"""),"")</f>
        <v/>
      </c>
      <c r="F2622" s="17" t="str">
        <f>IFERROR(__xludf.DUMMYFUNCTION("""COMPUTED_VALUE"""),"")</f>
        <v/>
      </c>
      <c r="G2622" s="17" t="str">
        <f>IFERROR(__xludf.DUMMYFUNCTION("""COMPUTED_VALUE"""),"")</f>
        <v/>
      </c>
      <c r="H2622" s="17" t="str">
        <f>IFERROR(__xludf.DUMMYFUNCTION("""COMPUTED_VALUE"""),"")</f>
        <v/>
      </c>
      <c r="I2622" s="17" t="str">
        <f>IFERROR(__xludf.DUMMYFUNCTION("""COMPUTED_VALUE"""),"")</f>
        <v/>
      </c>
      <c r="J2622" s="17" t="str">
        <f>IFERROR(__xludf.DUMMYFUNCTION("""COMPUTED_VALUE"""),"")</f>
        <v/>
      </c>
      <c r="K2622" s="17" t="str">
        <f>IFERROR(__xludf.DUMMYFUNCTION("""COMPUTED_VALUE"""),"")</f>
        <v/>
      </c>
      <c r="L2622" s="17" t="str">
        <f>IFERROR(__xludf.DUMMYFUNCTION("""COMPUTED_VALUE"""),"")</f>
        <v/>
      </c>
      <c r="M2622" s="17" t="str">
        <f>IFERROR(__xludf.DUMMYFUNCTION("""COMPUTED_VALUE"""),"")</f>
        <v/>
      </c>
      <c r="N2622" s="17" t="str">
        <f>IFERROR(__xludf.DUMMYFUNCTION("""COMPUTED_VALUE"""),"")</f>
        <v/>
      </c>
      <c r="O2622" s="17" t="str">
        <f>IFERROR(__xludf.DUMMYFUNCTION("""COMPUTED_VALUE"""),"")</f>
        <v/>
      </c>
      <c r="P2622" s="17" t="str">
        <f>IFERROR(__xludf.DUMMYFUNCTION("""COMPUTED_VALUE"""),"")</f>
        <v/>
      </c>
      <c r="Q2622" s="17" t="str">
        <f>IFERROR(__xludf.DUMMYFUNCTION("""COMPUTED_VALUE"""),"")</f>
        <v/>
      </c>
      <c r="R2622" s="17" t="str">
        <f>IFERROR(__xludf.DUMMYFUNCTION("""COMPUTED_VALUE"""),"")</f>
        <v/>
      </c>
    </row>
    <row r="2623">
      <c r="A2623" s="15">
        <f>IFERROR(__xludf.DUMMYFUNCTION("""COMPUTED_VALUE"""),45078.0)</f>
        <v>45078</v>
      </c>
      <c r="B2623" s="16" t="str">
        <f>IFERROR(__xludf.DUMMYFUNCTION("""COMPUTED_VALUE"""),"David Sanmartin Bello")</f>
        <v>David Sanmartin Bello</v>
      </c>
      <c r="C2623" s="15" t="str">
        <f>IFERROR(__xludf.DUMMYFUNCTION("""COMPUTED_VALUE"""),"CARTAGENA")</f>
        <v>CARTAGENA</v>
      </c>
      <c r="D2623" s="15" t="str">
        <f>IFERROR(__xludf.DUMMYFUNCTION("""COMPUTED_VALUE"""),"BOGOTÁ")</f>
        <v>BOGOTÁ</v>
      </c>
      <c r="E2623" s="15" t="str">
        <f>IFERROR(__xludf.DUMMYFUNCTION("""COMPUTED_VALUE"""),"Pan de Waffle")</f>
        <v>Pan de Waffle</v>
      </c>
      <c r="F2623" s="17" t="str">
        <f>IFERROR(__xludf.DUMMYFUNCTION("""COMPUTED_VALUE"""),"Carrera 3 # 5a- 34 piso 2 spinning center gym / Carrera 3 # 5a- 34 piso 2 spinning center gym / Carrera 3 # 5a- 34 piso 2 spinning center gym")</f>
        <v>Carrera 3 # 5a- 34 piso 2 spinning center gym / Carrera 3 # 5a- 34 piso 2 spinning center gym / Carrera 3 # 5a- 34 piso 2 spinning center gym</v>
      </c>
      <c r="G2623" s="15" t="str">
        <f>IFERROR(__xludf.DUMMYFUNCTION("""COMPUTED_VALUE"""),"Fitness By la moni")</f>
        <v>Fitness By la moni</v>
      </c>
      <c r="H2623" s="16">
        <f>IFERROR(__xludf.DUMMYFUNCTION("""COMPUTED_VALUE"""),11160.0)</f>
        <v>11160</v>
      </c>
      <c r="I2623" s="18">
        <f>IFERROR(__xludf.DUMMYFUNCTION("""COMPUTED_VALUE"""),40.0)</f>
        <v>40</v>
      </c>
      <c r="J2623" s="18">
        <f>IFERROR(__xludf.DUMMYFUNCTION("""COMPUTED_VALUE"""),40.0)</f>
        <v>40</v>
      </c>
      <c r="K2623" s="18">
        <f>IFERROR(__xludf.DUMMYFUNCTION("""COMPUTED_VALUE"""),30.0)</f>
        <v>30</v>
      </c>
      <c r="L2623" s="17">
        <f>IFERROR(__xludf.DUMMYFUNCTION("""COMPUTED_VALUE"""),3.146189338E9)</f>
        <v>3146189338</v>
      </c>
      <c r="M2623" s="17" t="str">
        <f>IFERROR(__xludf.DUMMYFUNCTION("""COMPUTED_VALUE"""),"#REF!")</f>
        <v>#REF!</v>
      </c>
      <c r="N2623" s="17"/>
      <c r="O2623" s="17"/>
      <c r="P2623" s="17" t="b">
        <f>IFERROR(__xludf.DUMMYFUNCTION("""COMPUTED_VALUE"""),FALSE)</f>
        <v>0</v>
      </c>
      <c r="Q2623" s="20" t="str">
        <f>IFERROR(__xludf.DUMMYFUNCTION("""COMPUTED_VALUE"""),"")</f>
        <v/>
      </c>
      <c r="R2623" s="22" t="str">
        <f>IFERROR(__xludf.DUMMYFUNCTION("""COMPUTED_VALUE"""),"")</f>
        <v/>
      </c>
    </row>
    <row r="2624">
      <c r="A2624" s="15">
        <f>IFERROR(__xludf.DUMMYFUNCTION("""COMPUTED_VALUE"""),45078.0)</f>
        <v>45078</v>
      </c>
      <c r="B2624" s="16" t="str">
        <f>IFERROR(__xludf.DUMMYFUNCTION("""COMPUTED_VALUE"""),"David Sanmartin Bello")</f>
        <v>David Sanmartin Bello</v>
      </c>
      <c r="C2624" s="15" t="str">
        <f>IFERROR(__xludf.DUMMYFUNCTION("""COMPUTED_VALUE"""),"MEDELLÍN")</f>
        <v>MEDELLÍN</v>
      </c>
      <c r="D2624" s="15" t="str">
        <f>IFERROR(__xludf.DUMMYFUNCTION("""COMPUTED_VALUE"""),"BOGOTÁ")</f>
        <v>BOGOTÁ</v>
      </c>
      <c r="E2624" s="15" t="str">
        <f>IFERROR(__xludf.DUMMYFUNCTION("""COMPUTED_VALUE"""),"SISU PARTNERS SAS")</f>
        <v>SISU PARTNERS SAS</v>
      </c>
      <c r="F2624" s="17" t="str">
        <f>IFERROR(__xludf.DUMMYFUNCTION("""COMPUTED_VALUE"""),"Carrera 34 no. 7-86 / Local Mary &amp; George")</f>
        <v>Carrera 34 no. 7-86 / Local Mary &amp; George</v>
      </c>
      <c r="G2624" s="15" t="str">
        <f>IFERROR(__xludf.DUMMYFUNCTION("""COMPUTED_VALUE"""),"Maria Paulina Pérez")</f>
        <v>Maria Paulina Pérez</v>
      </c>
      <c r="H2624" s="16">
        <f>IFERROR(__xludf.DUMMYFUNCTION("""COMPUTED_VALUE"""),11157.0)</f>
        <v>11157</v>
      </c>
      <c r="I2624" s="18" t="str">
        <f>IFERROR(__xludf.DUMMYFUNCTION("""COMPUTED_VALUE"""),"52.5")</f>
        <v>52.5</v>
      </c>
      <c r="J2624" s="18">
        <f>IFERROR(__xludf.DUMMYFUNCTION("""COMPUTED_VALUE"""),45.0)</f>
        <v>45</v>
      </c>
      <c r="K2624" s="18">
        <f>IFERROR(__xludf.DUMMYFUNCTION("""COMPUTED_VALUE"""),55.0)</f>
        <v>55</v>
      </c>
      <c r="L2624" s="17">
        <f>IFERROR(__xludf.DUMMYFUNCTION("""COMPUTED_VALUE"""),3.182186058E9)</f>
        <v>3182186058</v>
      </c>
      <c r="M2624" s="17" t="str">
        <f>IFERROR(__xludf.DUMMYFUNCTION("""COMPUTED_VALUE"""),"#REF!")</f>
        <v>#REF!</v>
      </c>
      <c r="N2624" s="17"/>
      <c r="O2624" s="17"/>
      <c r="P2624" s="17" t="b">
        <f>IFERROR(__xludf.DUMMYFUNCTION("""COMPUTED_VALUE"""),FALSE)</f>
        <v>0</v>
      </c>
      <c r="Q2624" s="20" t="str">
        <f>IFERROR(__xludf.DUMMYFUNCTION("""COMPUTED_VALUE"""),"")</f>
        <v/>
      </c>
      <c r="R2624" s="21" t="str">
        <f>IFERROR(__xludf.DUMMYFUNCTION("""COMPUTED_VALUE"""),"https://drive.google.com/file/d/1IE_Z2SZrEpz2G1kUvQKNRpN4Cr1lb2jx/view?usp=drivesdk")</f>
        <v>https://drive.google.com/file/d/1IE_Z2SZrEpz2G1kUvQKNRpN4Cr1lb2jx/view?usp=drivesdk</v>
      </c>
    </row>
    <row r="2625">
      <c r="A2625" s="15">
        <f>IFERROR(__xludf.DUMMYFUNCTION("""COMPUTED_VALUE"""),45078.0)</f>
        <v>45078</v>
      </c>
      <c r="B2625" s="16" t="str">
        <f>IFERROR(__xludf.DUMMYFUNCTION("""COMPUTED_VALUE"""),"David Sanmartin Bello")</f>
        <v>David Sanmartin Bello</v>
      </c>
      <c r="C2625" s="15" t="str">
        <f>IFERROR(__xludf.DUMMYFUNCTION("""COMPUTED_VALUE"""),"MEDELLÍN")</f>
        <v>MEDELLÍN</v>
      </c>
      <c r="D2625" s="15" t="str">
        <f>IFERROR(__xludf.DUMMYFUNCTION("""COMPUTED_VALUE"""),"BOGOTÁ")</f>
        <v>BOGOTÁ</v>
      </c>
      <c r="E2625" s="15" t="str">
        <f>IFERROR(__xludf.DUMMYFUNCTION("""COMPUTED_VALUE"""),"Viral Brands")</f>
        <v>Viral Brands</v>
      </c>
      <c r="F2625" s="17" t="str">
        <f>IFERROR(__xludf.DUMMYFUNCTION("""COMPUTED_VALUE"""),"cll 1 sur # 29-354 / cocina de chuzales ala lado de lado dega de turbo rappi loma de los parra poblado / poblado")</f>
        <v>cll 1 sur # 29-354 / cocina de chuzales ala lado de lado dega de turbo rappi loma de los parra poblado / poblado</v>
      </c>
      <c r="G2625" s="15" t="str">
        <f>IFERROR(__xludf.DUMMYFUNCTION("""COMPUTED_VALUE"""),"carlos olivera")</f>
        <v>carlos olivera</v>
      </c>
      <c r="H2625" s="16">
        <f>IFERROR(__xludf.DUMMYFUNCTION("""COMPUTED_VALUE"""),11199.0)</f>
        <v>11199</v>
      </c>
      <c r="I2625" s="18">
        <f>IFERROR(__xludf.DUMMYFUNCTION("""COMPUTED_VALUE"""),29.0)</f>
        <v>29</v>
      </c>
      <c r="J2625" s="18">
        <f>IFERROR(__xludf.DUMMYFUNCTION("""COMPUTED_VALUE"""),55.0)</f>
        <v>55</v>
      </c>
      <c r="K2625" s="18">
        <f>IFERROR(__xludf.DUMMYFUNCTION("""COMPUTED_VALUE"""),45.0)</f>
        <v>45</v>
      </c>
      <c r="L2625" s="17">
        <f>IFERROR(__xludf.DUMMYFUNCTION("""COMPUTED_VALUE"""),3.053460624E9)</f>
        <v>3053460624</v>
      </c>
      <c r="M2625" s="17" t="str">
        <f>IFERROR(__xludf.DUMMYFUNCTION("""COMPUTED_VALUE"""),"#REF!")</f>
        <v>#REF!</v>
      </c>
      <c r="N2625" s="17"/>
      <c r="O2625" s="17"/>
      <c r="P2625" s="17" t="b">
        <f>IFERROR(__xludf.DUMMYFUNCTION("""COMPUTED_VALUE"""),FALSE)</f>
        <v>0</v>
      </c>
      <c r="Q2625" s="20" t="str">
        <f>IFERROR(__xludf.DUMMYFUNCTION("""COMPUTED_VALUE"""),"")</f>
        <v/>
      </c>
      <c r="R2625" s="21" t="str">
        <f>IFERROR(__xludf.DUMMYFUNCTION("""COMPUTED_VALUE"""),"https://drive.google.com/file/d/11ASDeMYqAHehvIMn-jHaKc2GxJuaFLOq/view?usp=drivesdk")</f>
        <v>https://drive.google.com/file/d/11ASDeMYqAHehvIMn-jHaKc2GxJuaFLOq/view?usp=drivesdk</v>
      </c>
    </row>
    <row r="2626">
      <c r="A2626" s="17" t="str">
        <f>IFERROR(__xludf.DUMMYFUNCTION("""COMPUTED_VALUE"""),"")</f>
        <v/>
      </c>
      <c r="B2626" s="17" t="str">
        <f>IFERROR(__xludf.DUMMYFUNCTION("""COMPUTED_VALUE"""),"")</f>
        <v/>
      </c>
      <c r="C2626" s="17" t="str">
        <f>IFERROR(__xludf.DUMMYFUNCTION("""COMPUTED_VALUE"""),"")</f>
        <v/>
      </c>
      <c r="D2626" s="17" t="str">
        <f>IFERROR(__xludf.DUMMYFUNCTION("""COMPUTED_VALUE"""),"")</f>
        <v/>
      </c>
      <c r="E2626" s="17" t="str">
        <f>IFERROR(__xludf.DUMMYFUNCTION("""COMPUTED_VALUE"""),"")</f>
        <v/>
      </c>
      <c r="F2626" s="17" t="str">
        <f>IFERROR(__xludf.DUMMYFUNCTION("""COMPUTED_VALUE"""),"")</f>
        <v/>
      </c>
      <c r="G2626" s="17" t="str">
        <f>IFERROR(__xludf.DUMMYFUNCTION("""COMPUTED_VALUE"""),"")</f>
        <v/>
      </c>
      <c r="H2626" s="17" t="str">
        <f>IFERROR(__xludf.DUMMYFUNCTION("""COMPUTED_VALUE"""),"")</f>
        <v/>
      </c>
      <c r="I2626" s="17" t="str">
        <f>IFERROR(__xludf.DUMMYFUNCTION("""COMPUTED_VALUE"""),"")</f>
        <v/>
      </c>
      <c r="J2626" s="17" t="str">
        <f>IFERROR(__xludf.DUMMYFUNCTION("""COMPUTED_VALUE"""),"")</f>
        <v/>
      </c>
      <c r="K2626" s="17" t="str">
        <f>IFERROR(__xludf.DUMMYFUNCTION("""COMPUTED_VALUE"""),"")</f>
        <v/>
      </c>
      <c r="L2626" s="17" t="str">
        <f>IFERROR(__xludf.DUMMYFUNCTION("""COMPUTED_VALUE"""),"")</f>
        <v/>
      </c>
      <c r="M2626" s="17" t="str">
        <f>IFERROR(__xludf.DUMMYFUNCTION("""COMPUTED_VALUE"""),"")</f>
        <v/>
      </c>
      <c r="N2626" s="17" t="str">
        <f>IFERROR(__xludf.DUMMYFUNCTION("""COMPUTED_VALUE"""),"")</f>
        <v/>
      </c>
      <c r="O2626" s="17" t="str">
        <f>IFERROR(__xludf.DUMMYFUNCTION("""COMPUTED_VALUE"""),"")</f>
        <v/>
      </c>
      <c r="P2626" s="17" t="str">
        <f>IFERROR(__xludf.DUMMYFUNCTION("""COMPUTED_VALUE"""),"")</f>
        <v/>
      </c>
      <c r="Q2626" s="17" t="str">
        <f>IFERROR(__xludf.DUMMYFUNCTION("""COMPUTED_VALUE"""),"")</f>
        <v/>
      </c>
      <c r="R2626" s="17" t="str">
        <f>IFERROR(__xludf.DUMMYFUNCTION("""COMPUTED_VALUE"""),"")</f>
        <v/>
      </c>
    </row>
    <row r="2627">
      <c r="A2627" s="15">
        <f>IFERROR(__xludf.DUMMYFUNCTION("""COMPUTED_VALUE"""),45078.0)</f>
        <v>45078</v>
      </c>
      <c r="B2627" s="16" t="str">
        <f>IFERROR(__xludf.DUMMYFUNCTION("""COMPUTED_VALUE"""),"Envia")</f>
        <v>Envia</v>
      </c>
      <c r="C2627" s="15" t="str">
        <f>IFERROR(__xludf.DUMMYFUNCTION("""COMPUTED_VALUE"""),"BUCARAMANGA")</f>
        <v>BUCARAMANGA</v>
      </c>
      <c r="D2627" s="15" t="str">
        <f>IFERROR(__xludf.DUMMYFUNCTION("""COMPUTED_VALUE"""),"BOGOTÁ")</f>
        <v>BOGOTÁ</v>
      </c>
      <c r="E2627" s="15" t="str">
        <f>IFERROR(__xludf.DUMMYFUNCTION("""COMPUTED_VALUE"""),"Evamazzita")</f>
        <v>Evamazzita</v>
      </c>
      <c r="F2627" s="17" t="str">
        <f>IFERROR(__xludf.DUMMYFUNCTION("""COMPUTED_VALUE"""),"CARRERA 20 # 7 - 11 / N/A / BARRIO COMUNEROS")</f>
        <v>CARRERA 20 # 7 - 11 / N/A / BARRIO COMUNEROS</v>
      </c>
      <c r="G2627" s="15" t="str">
        <f>IFERROR(__xludf.DUMMYFUNCTION("""COMPUTED_VALUE"""),"MARIO JOSÉ CORTÉS PARADA")</f>
        <v>MARIO JOSÉ CORTÉS PARADA</v>
      </c>
      <c r="H2627" s="16">
        <f>IFERROR(__xludf.DUMMYFUNCTION("""COMPUTED_VALUE"""),11223.0)</f>
        <v>11223</v>
      </c>
      <c r="I2627" s="18">
        <f>IFERROR(__xludf.DUMMYFUNCTION("""COMPUTED_VALUE"""),27.0)</f>
        <v>27</v>
      </c>
      <c r="J2627" s="18">
        <f>IFERROR(__xludf.DUMMYFUNCTION("""COMPUTED_VALUE"""),37.0)</f>
        <v>37</v>
      </c>
      <c r="K2627" s="18">
        <f>IFERROR(__xludf.DUMMYFUNCTION("""COMPUTED_VALUE"""),24.0)</f>
        <v>24</v>
      </c>
      <c r="L2627" s="17">
        <f>IFERROR(__xludf.DUMMYFUNCTION("""COMPUTED_VALUE"""),3.123394474E9)</f>
        <v>3123394474</v>
      </c>
      <c r="M2627" s="17" t="str">
        <f>IFERROR(__xludf.DUMMYFUNCTION("""COMPUTED_VALUE"""),"#REF!")</f>
        <v>#REF!</v>
      </c>
      <c r="N2627" s="17"/>
      <c r="O2627" s="17"/>
      <c r="P2627" s="17" t="b">
        <f>IFERROR(__xludf.DUMMYFUNCTION("""COMPUTED_VALUE"""),TRUE)</f>
        <v>1</v>
      </c>
      <c r="Q2627" s="20">
        <f>IFERROR(__xludf.DUMMYFUNCTION("""COMPUTED_VALUE"""),45078.65561810185)</f>
        <v>45078.65562</v>
      </c>
      <c r="R2627" s="21" t="str">
        <f>IFERROR(__xludf.DUMMYFUNCTION("""COMPUTED_VALUE"""),"https://drive.google.com/file/d/1afH9_X13QXT7EkLkNq-WGF1BbO69h7SP/view?usp=drivesdk")</f>
        <v>https://drive.google.com/file/d/1afH9_X13QXT7EkLkNq-WGF1BbO69h7SP/view?usp=drivesdk</v>
      </c>
    </row>
    <row r="2628">
      <c r="A2628" s="15">
        <f>IFERROR(__xludf.DUMMYFUNCTION("""COMPUTED_VALUE"""),45078.0)</f>
        <v>45078</v>
      </c>
      <c r="B2628" s="16" t="str">
        <f>IFERROR(__xludf.DUMMYFUNCTION("""COMPUTED_VALUE"""),"Envia")</f>
        <v>Envia</v>
      </c>
      <c r="C2628" s="15" t="str">
        <f>IFERROR(__xludf.DUMMYFUNCTION("""COMPUTED_VALUE"""),"BUCARAMANGA")</f>
        <v>BUCARAMANGA</v>
      </c>
      <c r="D2628" s="15" t="str">
        <f>IFERROR(__xludf.DUMMYFUNCTION("""COMPUTED_VALUE"""),"BOGOTÁ")</f>
        <v>BOGOTÁ</v>
      </c>
      <c r="E2628" s="15" t="str">
        <f>IFERROR(__xludf.DUMMYFUNCTION("""COMPUTED_VALUE"""),"Pan de Waffle")</f>
        <v>Pan de Waffle</v>
      </c>
      <c r="F2628" s="17" t="str">
        <f>IFERROR(__xludf.DUMMYFUNCTION("""COMPUTED_VALUE"""),"Calle 31 # 22 - 97 Cañaveral / Calle 31 # 22 - 97 Cañaveral / Calle 31 # 22 - 97 Cañaveral")</f>
        <v>Calle 31 # 22 - 97 Cañaveral / Calle 31 # 22 - 97 Cañaveral / Calle 31 # 22 - 97 Cañaveral</v>
      </c>
      <c r="G2628" s="15" t="str">
        <f>IFERROR(__xludf.DUMMYFUNCTION("""COMPUTED_VALUE"""),"FIT STORE EXPRESS")</f>
        <v>FIT STORE EXPRESS</v>
      </c>
      <c r="H2628" s="16">
        <f>IFERROR(__xludf.DUMMYFUNCTION("""COMPUTED_VALUE"""),11231.0)</f>
        <v>11231</v>
      </c>
      <c r="I2628" s="18">
        <f>IFERROR(__xludf.DUMMYFUNCTION("""COMPUTED_VALUE"""),30.0)</f>
        <v>30</v>
      </c>
      <c r="J2628" s="18">
        <f>IFERROR(__xludf.DUMMYFUNCTION("""COMPUTED_VALUE"""),40.0)</f>
        <v>40</v>
      </c>
      <c r="K2628" s="18">
        <f>IFERROR(__xludf.DUMMYFUNCTION("""COMPUTED_VALUE"""),30.0)</f>
        <v>30</v>
      </c>
      <c r="L2628" s="17">
        <f>IFERROR(__xludf.DUMMYFUNCTION("""COMPUTED_VALUE"""),3.005711168E9)</f>
        <v>3005711168</v>
      </c>
      <c r="M2628" s="17" t="str">
        <f>IFERROR(__xludf.DUMMYFUNCTION("""COMPUTED_VALUE"""),"#REF!")</f>
        <v>#REF!</v>
      </c>
      <c r="N2628" s="17"/>
      <c r="O2628" s="17"/>
      <c r="P2628" s="17" t="b">
        <f>IFERROR(__xludf.DUMMYFUNCTION("""COMPUTED_VALUE"""),TRUE)</f>
        <v>1</v>
      </c>
      <c r="Q2628" s="20">
        <f>IFERROR(__xludf.DUMMYFUNCTION("""COMPUTED_VALUE"""),45078.65561810185)</f>
        <v>45078.65562</v>
      </c>
      <c r="R2628" s="21" t="str">
        <f>IFERROR(__xludf.DUMMYFUNCTION("""COMPUTED_VALUE"""),"https://drive.google.com/file/d/1exKsbciGxuc6rdhKuO52aGU2WO9ZvaVF/view?usp=drivesdk")</f>
        <v>https://drive.google.com/file/d/1exKsbciGxuc6rdhKuO52aGU2WO9ZvaVF/view?usp=drivesdk</v>
      </c>
    </row>
    <row r="2629">
      <c r="A2629" s="15">
        <f>IFERROR(__xludf.DUMMYFUNCTION("""COMPUTED_VALUE"""),45078.0)</f>
        <v>45078</v>
      </c>
      <c r="B2629" s="16" t="str">
        <f>IFERROR(__xludf.DUMMYFUNCTION("""COMPUTED_VALUE"""),"Envia")</f>
        <v>Envia</v>
      </c>
      <c r="C2629" s="15" t="str">
        <f>IFERROR(__xludf.DUMMYFUNCTION("""COMPUTED_VALUE"""),"CARTAGENA")</f>
        <v>CARTAGENA</v>
      </c>
      <c r="D2629" s="15" t="str">
        <f>IFERROR(__xludf.DUMMYFUNCTION("""COMPUTED_VALUE"""),"BOGOTÁ")</f>
        <v>BOGOTÁ</v>
      </c>
      <c r="E2629" s="15" t="str">
        <f>IFERROR(__xludf.DUMMYFUNCTION("""COMPUTED_VALUE"""),"Loomifoods")</f>
        <v>Loomifoods</v>
      </c>
      <c r="F2629" s="17" t="str">
        <f>IFERROR(__xludf.DUMMYFUNCTION("""COMPUTED_VALUE"""),"Zona Norte Km 12 Vía al Mar / Conjunto Puerta de las Américas / Bloque 1 Apto 1D")</f>
        <v>Zona Norte Km 12 Vía al Mar / Conjunto Puerta de las Américas / Bloque 1 Apto 1D</v>
      </c>
      <c r="G2629" s="15" t="str">
        <f>IFERROR(__xludf.DUMMYFUNCTION("""COMPUTED_VALUE"""),"Carolina Lorduy")</f>
        <v>Carolina Lorduy</v>
      </c>
      <c r="H2629" s="16">
        <f>IFERROR(__xludf.DUMMYFUNCTION("""COMPUTED_VALUE"""),11166.0)</f>
        <v>11166</v>
      </c>
      <c r="I2629" s="18">
        <f>IFERROR(__xludf.DUMMYFUNCTION("""COMPUTED_VALUE"""),20.0)</f>
        <v>20</v>
      </c>
      <c r="J2629" s="18">
        <f>IFERROR(__xludf.DUMMYFUNCTION("""COMPUTED_VALUE"""),10.0)</f>
        <v>10</v>
      </c>
      <c r="K2629" s="18">
        <f>IFERROR(__xludf.DUMMYFUNCTION("""COMPUTED_VALUE"""),16.0)</f>
        <v>16</v>
      </c>
      <c r="L2629" s="17">
        <f>IFERROR(__xludf.DUMMYFUNCTION("""COMPUTED_VALUE"""),3.044551804E9)</f>
        <v>3044551804</v>
      </c>
      <c r="M2629" s="17" t="str">
        <f>IFERROR(__xludf.DUMMYFUNCTION("""COMPUTED_VALUE"""),"#REF!")</f>
        <v>#REF!</v>
      </c>
      <c r="N2629" s="17"/>
      <c r="O2629" s="17"/>
      <c r="P2629" s="17" t="b">
        <f>IFERROR(__xludf.DUMMYFUNCTION("""COMPUTED_VALUE"""),FALSE)</f>
        <v>0</v>
      </c>
      <c r="Q2629" s="20" t="str">
        <f>IFERROR(__xludf.DUMMYFUNCTION("""COMPUTED_VALUE"""),"")</f>
        <v/>
      </c>
      <c r="R2629" s="21" t="str">
        <f>IFERROR(__xludf.DUMMYFUNCTION("""COMPUTED_VALUE"""),"https://drive.google.com/file/d/1kx_dzvw2xohsJHBcg9afJZzDaHD0Xviy/view?usp=drivesdk")</f>
        <v>https://drive.google.com/file/d/1kx_dzvw2xohsJHBcg9afJZzDaHD0Xviy/view?usp=drivesdk</v>
      </c>
    </row>
    <row r="2630">
      <c r="A2630" s="15">
        <f>IFERROR(__xludf.DUMMYFUNCTION("""COMPUTED_VALUE"""),45078.0)</f>
        <v>45078</v>
      </c>
      <c r="B2630" s="16" t="str">
        <f>IFERROR(__xludf.DUMMYFUNCTION("""COMPUTED_VALUE"""),"Envia")</f>
        <v>Envia</v>
      </c>
      <c r="C2630" s="15" t="str">
        <f>IFERROR(__xludf.DUMMYFUNCTION("""COMPUTED_VALUE"""),"FLORIDABLANCA")</f>
        <v>FLORIDABLANCA</v>
      </c>
      <c r="D2630" s="15" t="str">
        <f>IFERROR(__xludf.DUMMYFUNCTION("""COMPUTED_VALUE"""),"MEDELLÍN")</f>
        <v>MEDELLÍN</v>
      </c>
      <c r="E2630" s="15" t="str">
        <f>IFERROR(__xludf.DUMMYFUNCTION("""COMPUTED_VALUE"""),"Helados swip")</f>
        <v>Helados swip</v>
      </c>
      <c r="F2630" s="17" t="str">
        <f>IFERROR(__xludf.DUMMYFUNCTION("""COMPUTED_VALUE"""),"CALLE 33 # 26-25 / AL LADO DE DROGAS PAGUE MENOS  / AL LADO DE DROGAS PAGUE MENOS")</f>
        <v>CALLE 33 # 26-25 / AL LADO DE DROGAS PAGUE MENOS  / AL LADO DE DROGAS PAGUE MENOS</v>
      </c>
      <c r="G2630" s="15" t="str">
        <f>IFERROR(__xludf.DUMMYFUNCTION("""COMPUTED_VALUE"""),"MULTIFIT")</f>
        <v>MULTIFIT</v>
      </c>
      <c r="H2630" s="16">
        <f>IFERROR(__xludf.DUMMYFUNCTION("""COMPUTED_VALUE"""),11197.0)</f>
        <v>11197</v>
      </c>
      <c r="I2630" s="18">
        <f>IFERROR(__xludf.DUMMYFUNCTION("""COMPUTED_VALUE"""),65.0)</f>
        <v>65</v>
      </c>
      <c r="J2630" s="18">
        <f>IFERROR(__xludf.DUMMYFUNCTION("""COMPUTED_VALUE"""),55.0)</f>
        <v>55</v>
      </c>
      <c r="K2630" s="18">
        <f>IFERROR(__xludf.DUMMYFUNCTION("""COMPUTED_VALUE"""),45.0)</f>
        <v>45</v>
      </c>
      <c r="L2630" s="17">
        <f>IFERROR(__xludf.DUMMYFUNCTION("""COMPUTED_VALUE"""),3.158785729E9)</f>
        <v>3158785729</v>
      </c>
      <c r="M2630" s="17" t="str">
        <f>IFERROR(__xludf.DUMMYFUNCTION("""COMPUTED_VALUE"""),"#REF!")</f>
        <v>#REF!</v>
      </c>
      <c r="N2630" s="17"/>
      <c r="O2630" s="17"/>
      <c r="P2630" s="17" t="b">
        <f>IFERROR(__xludf.DUMMYFUNCTION("""COMPUTED_VALUE"""),FALSE)</f>
        <v>0</v>
      </c>
      <c r="Q2630" s="20" t="str">
        <f>IFERROR(__xludf.DUMMYFUNCTION("""COMPUTED_VALUE"""),"")</f>
        <v/>
      </c>
      <c r="R2630" s="21" t="str">
        <f>IFERROR(__xludf.DUMMYFUNCTION("""COMPUTED_VALUE"""),"https://drive.google.com/file/d/1Lo3CxPDIj0r3C00PWiwO0EeMWHIsV7GW/view?usp=drivesdk")</f>
        <v>https://drive.google.com/file/d/1Lo3CxPDIj0r3C00PWiwO0EeMWHIsV7GW/view?usp=drivesdk</v>
      </c>
    </row>
    <row r="2631">
      <c r="A2631" s="15">
        <f>IFERROR(__xludf.DUMMYFUNCTION("""COMPUTED_VALUE"""),45078.0)</f>
        <v>45078</v>
      </c>
      <c r="B2631" s="16" t="str">
        <f>IFERROR(__xludf.DUMMYFUNCTION("""COMPUTED_VALUE"""),"Envia")</f>
        <v>Envia</v>
      </c>
      <c r="C2631" s="15" t="str">
        <f>IFERROR(__xludf.DUMMYFUNCTION("""COMPUTED_VALUE"""),"YOPAL")</f>
        <v>YOPAL</v>
      </c>
      <c r="D2631" s="15" t="str">
        <f>IFERROR(__xludf.DUMMYFUNCTION("""COMPUTED_VALUE"""),"BOGOTÁ")</f>
        <v>BOGOTÁ</v>
      </c>
      <c r="E2631" s="15" t="str">
        <f>IFERROR(__xludf.DUMMYFUNCTION("""COMPUTED_VALUE"""),"Evamazzita")</f>
        <v>Evamazzita</v>
      </c>
      <c r="F2631" s="17" t="str">
        <f>IFERROR(__xludf.DUMMYFUNCTION("""COMPUTED_VALUE"""),"conjunto caminos de sirivana  / torre B apto 501  / conjunto caminos de sirivana")</f>
        <v>conjunto caminos de sirivana  / torre B apto 501  / conjunto caminos de sirivana</v>
      </c>
      <c r="G2631" s="15" t="str">
        <f>IFERROR(__xludf.DUMMYFUNCTION("""COMPUTED_VALUE"""),"LAURA NIÑO")</f>
        <v>LAURA NIÑO</v>
      </c>
      <c r="H2631" s="16">
        <f>IFERROR(__xludf.DUMMYFUNCTION("""COMPUTED_VALUE"""),11207.0)</f>
        <v>11207</v>
      </c>
      <c r="I2631" s="18">
        <f>IFERROR(__xludf.DUMMYFUNCTION("""COMPUTED_VALUE"""),10.0)</f>
        <v>10</v>
      </c>
      <c r="J2631" s="18">
        <f>IFERROR(__xludf.DUMMYFUNCTION("""COMPUTED_VALUE"""),18.0)</f>
        <v>18</v>
      </c>
      <c r="K2631" s="18">
        <f>IFERROR(__xludf.DUMMYFUNCTION("""COMPUTED_VALUE"""),22.0)</f>
        <v>22</v>
      </c>
      <c r="L2631" s="17">
        <f>IFERROR(__xludf.DUMMYFUNCTION("""COMPUTED_VALUE"""),3.213237349E9)</f>
        <v>3213237349</v>
      </c>
      <c r="M2631" s="17" t="str">
        <f>IFERROR(__xludf.DUMMYFUNCTION("""COMPUTED_VALUE"""),"#REF!")</f>
        <v>#REF!</v>
      </c>
      <c r="N2631" s="17"/>
      <c r="O2631" s="17"/>
      <c r="P2631" s="17" t="b">
        <f>IFERROR(__xludf.DUMMYFUNCTION("""COMPUTED_VALUE"""),FALSE)</f>
        <v>0</v>
      </c>
      <c r="Q2631" s="20" t="str">
        <f>IFERROR(__xludf.DUMMYFUNCTION("""COMPUTED_VALUE"""),"")</f>
        <v/>
      </c>
      <c r="R2631" s="22" t="str">
        <f>IFERROR(__xludf.DUMMYFUNCTION("""COMPUTED_VALUE"""),"")</f>
        <v/>
      </c>
    </row>
    <row r="2632">
      <c r="A2632" s="17" t="str">
        <f>IFERROR(__xludf.DUMMYFUNCTION("""COMPUTED_VALUE"""),"")</f>
        <v/>
      </c>
      <c r="B2632" s="17" t="str">
        <f>IFERROR(__xludf.DUMMYFUNCTION("""COMPUTED_VALUE"""),"")</f>
        <v/>
      </c>
      <c r="C2632" s="17" t="str">
        <f>IFERROR(__xludf.DUMMYFUNCTION("""COMPUTED_VALUE"""),"")</f>
        <v/>
      </c>
      <c r="D2632" s="17" t="str">
        <f>IFERROR(__xludf.DUMMYFUNCTION("""COMPUTED_VALUE"""),"")</f>
        <v/>
      </c>
      <c r="E2632" s="17" t="str">
        <f>IFERROR(__xludf.DUMMYFUNCTION("""COMPUTED_VALUE"""),"")</f>
        <v/>
      </c>
      <c r="F2632" s="17" t="str">
        <f>IFERROR(__xludf.DUMMYFUNCTION("""COMPUTED_VALUE"""),"")</f>
        <v/>
      </c>
      <c r="G2632" s="17" t="str">
        <f>IFERROR(__xludf.DUMMYFUNCTION("""COMPUTED_VALUE"""),"")</f>
        <v/>
      </c>
      <c r="H2632" s="17" t="str">
        <f>IFERROR(__xludf.DUMMYFUNCTION("""COMPUTED_VALUE"""),"")</f>
        <v/>
      </c>
      <c r="I2632" s="17" t="str">
        <f>IFERROR(__xludf.DUMMYFUNCTION("""COMPUTED_VALUE"""),"")</f>
        <v/>
      </c>
      <c r="J2632" s="17" t="str">
        <f>IFERROR(__xludf.DUMMYFUNCTION("""COMPUTED_VALUE"""),"")</f>
        <v/>
      </c>
      <c r="K2632" s="17" t="str">
        <f>IFERROR(__xludf.DUMMYFUNCTION("""COMPUTED_VALUE"""),"")</f>
        <v/>
      </c>
      <c r="L2632" s="17" t="str">
        <f>IFERROR(__xludf.DUMMYFUNCTION("""COMPUTED_VALUE"""),"")</f>
        <v/>
      </c>
      <c r="M2632" s="17" t="str">
        <f>IFERROR(__xludf.DUMMYFUNCTION("""COMPUTED_VALUE"""),"")</f>
        <v/>
      </c>
      <c r="N2632" s="17" t="str">
        <f>IFERROR(__xludf.DUMMYFUNCTION("""COMPUTED_VALUE"""),"")</f>
        <v/>
      </c>
      <c r="O2632" s="17" t="str">
        <f>IFERROR(__xludf.DUMMYFUNCTION("""COMPUTED_VALUE"""),"")</f>
        <v/>
      </c>
      <c r="P2632" s="17" t="str">
        <f>IFERROR(__xludf.DUMMYFUNCTION("""COMPUTED_VALUE"""),"")</f>
        <v/>
      </c>
      <c r="Q2632" s="17" t="str">
        <f>IFERROR(__xludf.DUMMYFUNCTION("""COMPUTED_VALUE"""),"")</f>
        <v/>
      </c>
      <c r="R2632" s="17" t="str">
        <f>IFERROR(__xludf.DUMMYFUNCTION("""COMPUTED_VALUE"""),"")</f>
        <v/>
      </c>
    </row>
    <row r="2633">
      <c r="A2633" s="15">
        <f>IFERROR(__xludf.DUMMYFUNCTION("""COMPUTED_VALUE"""),45078.0)</f>
        <v>45078</v>
      </c>
      <c r="B2633" s="16" t="str">
        <f>IFERROR(__xludf.DUMMYFUNCTION("""COMPUTED_VALUE"""),"Gustavo Medina Ibañez")</f>
        <v>Gustavo Medina Ibañez</v>
      </c>
      <c r="C2633" s="15" t="str">
        <f>IFERROR(__xludf.DUMMYFUNCTION("""COMPUTED_VALUE"""),"LA DORADA")</f>
        <v>LA DORADA</v>
      </c>
      <c r="D2633" s="15" t="str">
        <f>IFERROR(__xludf.DUMMYFUNCTION("""COMPUTED_VALUE"""),"BOGOTÁ")</f>
        <v>BOGOTÁ</v>
      </c>
      <c r="E2633" s="15" t="str">
        <f>IFERROR(__xludf.DUMMYFUNCTION("""COMPUTED_VALUE"""),"Evamazzita")</f>
        <v>Evamazzita</v>
      </c>
      <c r="F2633" s="17" t="str">
        <f>IFERROR(__xludf.DUMMYFUNCTION("""COMPUTED_VALUE"""),"CALLE 10 # 4 - 56 / N/A / N/A")</f>
        <v>CALLE 10 # 4 - 56 / N/A / N/A</v>
      </c>
      <c r="G2633" s="15" t="str">
        <f>IFERROR(__xludf.DUMMYFUNCTION("""COMPUTED_VALUE"""),"LUZ VIANEY MONTOYA GOMEZ")</f>
        <v>LUZ VIANEY MONTOYA GOMEZ</v>
      </c>
      <c r="H2633" s="16">
        <f>IFERROR(__xludf.DUMMYFUNCTION("""COMPUTED_VALUE"""),11218.0)</f>
        <v>11218</v>
      </c>
      <c r="I2633" s="18">
        <f>IFERROR(__xludf.DUMMYFUNCTION("""COMPUTED_VALUE"""),17.0)</f>
        <v>17</v>
      </c>
      <c r="J2633" s="18">
        <f>IFERROR(__xludf.DUMMYFUNCTION("""COMPUTED_VALUE"""),30.0)</f>
        <v>30</v>
      </c>
      <c r="K2633" s="18">
        <f>IFERROR(__xludf.DUMMYFUNCTION("""COMPUTED_VALUE"""),25.0)</f>
        <v>25</v>
      </c>
      <c r="L2633" s="17">
        <f>IFERROR(__xludf.DUMMYFUNCTION("""COMPUTED_VALUE"""),3.127756092E9)</f>
        <v>3127756092</v>
      </c>
      <c r="M2633" s="17" t="str">
        <f>IFERROR(__xludf.DUMMYFUNCTION("""COMPUTED_VALUE"""),"#REF!")</f>
        <v>#REF!</v>
      </c>
      <c r="N2633" s="17"/>
      <c r="O2633" s="17"/>
      <c r="P2633" s="17" t="b">
        <f>IFERROR(__xludf.DUMMYFUNCTION("""COMPUTED_VALUE"""),FALSE)</f>
        <v>0</v>
      </c>
      <c r="Q2633" s="20" t="str">
        <f>IFERROR(__xludf.DUMMYFUNCTION("""COMPUTED_VALUE"""),"")</f>
        <v/>
      </c>
      <c r="R2633" s="22" t="str">
        <f>IFERROR(__xludf.DUMMYFUNCTION("""COMPUTED_VALUE"""),"")</f>
        <v/>
      </c>
    </row>
    <row r="2634">
      <c r="A2634" s="15">
        <f>IFERROR(__xludf.DUMMYFUNCTION("""COMPUTED_VALUE"""),45078.0)</f>
        <v>45078</v>
      </c>
      <c r="B2634" s="16" t="str">
        <f>IFERROR(__xludf.DUMMYFUNCTION("""COMPUTED_VALUE"""),"Gustavo Medina Ibañez")</f>
        <v>Gustavo Medina Ibañez</v>
      </c>
      <c r="C2634" s="15" t="str">
        <f>IFERROR(__xludf.DUMMYFUNCTION("""COMPUTED_VALUE"""),"LA DORADA")</f>
        <v>LA DORADA</v>
      </c>
      <c r="D2634" s="15" t="str">
        <f>IFERROR(__xludf.DUMMYFUNCTION("""COMPUTED_VALUE"""),"BOGOTÁ")</f>
        <v>BOGOTÁ</v>
      </c>
      <c r="E2634" s="15" t="str">
        <f>IFERROR(__xludf.DUMMYFUNCTION("""COMPUTED_VALUE"""),"Ins. Alimento Vital")</f>
        <v>Ins. Alimento Vital</v>
      </c>
      <c r="F2634" s="17" t="str">
        <f>IFERROR(__xludf.DUMMYFUNCTION("""COMPUTED_VALUE"""),"CR 5 1 51  / APTO 101 / LA DORADA")</f>
        <v>CR 5 1 51  / APTO 101 / LA DORADA</v>
      </c>
      <c r="G2634" s="15" t="str">
        <f>IFERROR(__xludf.DUMMYFUNCTION("""COMPUTED_VALUE"""),"MARIA PAULA VERA ACOSTA")</f>
        <v>MARIA PAULA VERA ACOSTA</v>
      </c>
      <c r="H2634" s="16">
        <f>IFERROR(__xludf.DUMMYFUNCTION("""COMPUTED_VALUE"""),11200.0)</f>
        <v>11200</v>
      </c>
      <c r="I2634" s="18">
        <f>IFERROR(__xludf.DUMMYFUNCTION("""COMPUTED_VALUE"""),1.0)</f>
        <v>1</v>
      </c>
      <c r="J2634" s="18">
        <f>IFERROR(__xludf.DUMMYFUNCTION("""COMPUTED_VALUE"""),1.0)</f>
        <v>1</v>
      </c>
      <c r="K2634" s="18">
        <f>IFERROR(__xludf.DUMMYFUNCTION("""COMPUTED_VALUE"""),1.0)</f>
        <v>1</v>
      </c>
      <c r="L2634" s="17">
        <f>IFERROR(__xludf.DUMMYFUNCTION("""COMPUTED_VALUE"""),3.232218966E9)</f>
        <v>3232218966</v>
      </c>
      <c r="M2634" s="17" t="str">
        <f>IFERROR(__xludf.DUMMYFUNCTION("""COMPUTED_VALUE"""),"#REF!")</f>
        <v>#REF!</v>
      </c>
      <c r="N2634" s="17"/>
      <c r="O2634" s="17"/>
      <c r="P2634" s="17" t="b">
        <f>IFERROR(__xludf.DUMMYFUNCTION("""COMPUTED_VALUE"""),FALSE)</f>
        <v>0</v>
      </c>
      <c r="Q2634" s="20" t="str">
        <f>IFERROR(__xludf.DUMMYFUNCTION("""COMPUTED_VALUE"""),"")</f>
        <v/>
      </c>
      <c r="R2634" s="22" t="str">
        <f>IFERROR(__xludf.DUMMYFUNCTION("""COMPUTED_VALUE"""),"")</f>
        <v/>
      </c>
    </row>
    <row r="2635">
      <c r="A2635" s="15">
        <f>IFERROR(__xludf.DUMMYFUNCTION("""COMPUTED_VALUE"""),45078.0)</f>
        <v>45078</v>
      </c>
      <c r="B2635" s="16" t="str">
        <f>IFERROR(__xludf.DUMMYFUNCTION("""COMPUTED_VALUE"""),"Gustavo Medina Ibañez")</f>
        <v>Gustavo Medina Ibañez</v>
      </c>
      <c r="C2635" s="15" t="str">
        <f>IFERROR(__xludf.DUMMYFUNCTION("""COMPUTED_VALUE"""),"YOPAL")</f>
        <v>YOPAL</v>
      </c>
      <c r="D2635" s="15" t="str">
        <f>IFERROR(__xludf.DUMMYFUNCTION("""COMPUTED_VALUE"""),"BOGOTÁ")</f>
        <v>BOGOTÁ</v>
      </c>
      <c r="E2635" s="15" t="str">
        <f>IFERROR(__xludf.DUMMYFUNCTION("""COMPUTED_VALUE"""),"Evamazzita")</f>
        <v>Evamazzita</v>
      </c>
      <c r="F2635" s="17" t="str">
        <f>IFERROR(__xludf.DUMMYFUNCTION("""COMPUTED_VALUE"""),"RECIBE JULIÁN ESPINOSA CEL: 3239142951 CARRERA 15 # 14 - 33  / EDIFICIO EL CIMARRÓN APTO. 602  / BARRIO COROCORA - RECIBE JULIÁN ESPINOSA CEL: 3239142951")</f>
        <v>RECIBE JULIÁN ESPINOSA CEL: 3239142951 CARRERA 15 # 14 - 33  / EDIFICIO EL CIMARRÓN APTO. 602  / BARRIO COROCORA - RECIBE JULIÁN ESPINOSA CEL: 3239142951</v>
      </c>
      <c r="G2635" s="15" t="str">
        <f>IFERROR(__xludf.DUMMYFUNCTION("""COMPUTED_VALUE"""),"ANA MARIA BUSTOS")</f>
        <v>ANA MARIA BUSTOS</v>
      </c>
      <c r="H2635" s="16">
        <f>IFERROR(__xludf.DUMMYFUNCTION("""COMPUTED_VALUE"""),11205.0)</f>
        <v>11205</v>
      </c>
      <c r="I2635" s="18">
        <f>IFERROR(__xludf.DUMMYFUNCTION("""COMPUTED_VALUE"""),10.0)</f>
        <v>10</v>
      </c>
      <c r="J2635" s="18">
        <f>IFERROR(__xludf.DUMMYFUNCTION("""COMPUTED_VALUE"""),18.0)</f>
        <v>18</v>
      </c>
      <c r="K2635" s="18">
        <f>IFERROR(__xludf.DUMMYFUNCTION("""COMPUTED_VALUE"""),22.0)</f>
        <v>22</v>
      </c>
      <c r="L2635" s="17">
        <f>IFERROR(__xludf.DUMMYFUNCTION("""COMPUTED_VALUE"""),3.126827424E9)</f>
        <v>3126827424</v>
      </c>
      <c r="M2635" s="17" t="str">
        <f>IFERROR(__xludf.DUMMYFUNCTION("""COMPUTED_VALUE"""),"#REF!")</f>
        <v>#REF!</v>
      </c>
      <c r="N2635" s="17"/>
      <c r="O2635" s="17"/>
      <c r="P2635" s="17" t="b">
        <f>IFERROR(__xludf.DUMMYFUNCTION("""COMPUTED_VALUE"""),FALSE)</f>
        <v>0</v>
      </c>
      <c r="Q2635" s="20" t="str">
        <f>IFERROR(__xludf.DUMMYFUNCTION("""COMPUTED_VALUE"""),"")</f>
        <v/>
      </c>
      <c r="R2635" s="22" t="str">
        <f>IFERROR(__xludf.DUMMYFUNCTION("""COMPUTED_VALUE"""),"")</f>
        <v/>
      </c>
    </row>
    <row r="2636">
      <c r="A2636" s="17" t="str">
        <f>IFERROR(__xludf.DUMMYFUNCTION("""COMPUTED_VALUE"""),"")</f>
        <v/>
      </c>
      <c r="B2636" s="17" t="str">
        <f>IFERROR(__xludf.DUMMYFUNCTION("""COMPUTED_VALUE"""),"")</f>
        <v/>
      </c>
      <c r="C2636" s="17" t="str">
        <f>IFERROR(__xludf.DUMMYFUNCTION("""COMPUTED_VALUE"""),"")</f>
        <v/>
      </c>
      <c r="D2636" s="17" t="str">
        <f>IFERROR(__xludf.DUMMYFUNCTION("""COMPUTED_VALUE"""),"")</f>
        <v/>
      </c>
      <c r="E2636" s="17" t="str">
        <f>IFERROR(__xludf.DUMMYFUNCTION("""COMPUTED_VALUE"""),"")</f>
        <v/>
      </c>
      <c r="F2636" s="17" t="str">
        <f>IFERROR(__xludf.DUMMYFUNCTION("""COMPUTED_VALUE"""),"")</f>
        <v/>
      </c>
      <c r="G2636" s="17" t="str">
        <f>IFERROR(__xludf.DUMMYFUNCTION("""COMPUTED_VALUE"""),"")</f>
        <v/>
      </c>
      <c r="H2636" s="17" t="str">
        <f>IFERROR(__xludf.DUMMYFUNCTION("""COMPUTED_VALUE"""),"")</f>
        <v/>
      </c>
      <c r="I2636" s="17" t="str">
        <f>IFERROR(__xludf.DUMMYFUNCTION("""COMPUTED_VALUE"""),"")</f>
        <v/>
      </c>
      <c r="J2636" s="17" t="str">
        <f>IFERROR(__xludf.DUMMYFUNCTION("""COMPUTED_VALUE"""),"")</f>
        <v/>
      </c>
      <c r="K2636" s="17" t="str">
        <f>IFERROR(__xludf.DUMMYFUNCTION("""COMPUTED_VALUE"""),"")</f>
        <v/>
      </c>
      <c r="L2636" s="17" t="str">
        <f>IFERROR(__xludf.DUMMYFUNCTION("""COMPUTED_VALUE"""),"")</f>
        <v/>
      </c>
      <c r="M2636" s="17" t="str">
        <f>IFERROR(__xludf.DUMMYFUNCTION("""COMPUTED_VALUE"""),"")</f>
        <v/>
      </c>
      <c r="N2636" s="17" t="str">
        <f>IFERROR(__xludf.DUMMYFUNCTION("""COMPUTED_VALUE"""),"")</f>
        <v/>
      </c>
      <c r="O2636" s="17" t="str">
        <f>IFERROR(__xludf.DUMMYFUNCTION("""COMPUTED_VALUE"""),"")</f>
        <v/>
      </c>
      <c r="P2636" s="17" t="str">
        <f>IFERROR(__xludf.DUMMYFUNCTION("""COMPUTED_VALUE"""),"")</f>
        <v/>
      </c>
      <c r="Q2636" s="17" t="str">
        <f>IFERROR(__xludf.DUMMYFUNCTION("""COMPUTED_VALUE"""),"")</f>
        <v/>
      </c>
      <c r="R2636" s="17" t="str">
        <f>IFERROR(__xludf.DUMMYFUNCTION("""COMPUTED_VALUE"""),"")</f>
        <v/>
      </c>
    </row>
    <row r="2637">
      <c r="A2637" s="15">
        <f>IFERROR(__xludf.DUMMYFUNCTION("""COMPUTED_VALUE"""),45078.0)</f>
        <v>45078</v>
      </c>
      <c r="B2637" s="16" t="str">
        <f>IFERROR(__xludf.DUMMYFUNCTION("""COMPUTED_VALUE"""),"José Miguel Bonilla")</f>
        <v>José Miguel Bonilla</v>
      </c>
      <c r="C2637" s="15" t="str">
        <f>IFERROR(__xludf.DUMMYFUNCTION("""COMPUTED_VALUE"""),"VILLAVICENCIO")</f>
        <v>VILLAVICENCIO</v>
      </c>
      <c r="D2637" s="15" t="str">
        <f>IFERROR(__xludf.DUMMYFUNCTION("""COMPUTED_VALUE"""),"MEDELLÍN")</f>
        <v>MEDELLÍN</v>
      </c>
      <c r="E2637" s="15" t="str">
        <f>IFERROR(__xludf.DUMMYFUNCTION("""COMPUTED_VALUE"""),"Baby Chef")</f>
        <v>Baby Chef</v>
      </c>
      <c r="F2637" s="17" t="str">
        <f>IFERROR(__xludf.DUMMYFUNCTION("""COMPUTED_VALUE"""),"Calle 6 sur # 23 - 51 Santa María 2 Casa  9-11 Barrio remansos de rosa blanca / Calle 6 sur # 23 - 51 Santa María 2 Casa  9-11 Barrio remansos de rosa blanca / Calle 6 sur # 23 - 51 Santa María 2 Casa  9-11 Barrio remansos de rosa blanca")</f>
        <v>Calle 6 sur # 23 - 51 Santa María 2 Casa  9-11 Barrio remansos de rosa blanca / Calle 6 sur # 23 - 51 Santa María 2 Casa  9-11 Barrio remansos de rosa blanca / Calle 6 sur # 23 - 51 Santa María 2 Casa  9-11 Barrio remansos de rosa blanca</v>
      </c>
      <c r="G2637" s="15" t="str">
        <f>IFERROR(__xludf.DUMMYFUNCTION("""COMPUTED_VALUE"""),"Andrea Ortiz")</f>
        <v>Andrea Ortiz</v>
      </c>
      <c r="H2637" s="16">
        <f>IFERROR(__xludf.DUMMYFUNCTION("""COMPUTED_VALUE"""),11189.0)</f>
        <v>11189</v>
      </c>
      <c r="I2637" s="18">
        <f>IFERROR(__xludf.DUMMYFUNCTION("""COMPUTED_VALUE"""),8.0)</f>
        <v>8</v>
      </c>
      <c r="J2637" s="18">
        <f>IFERROR(__xludf.DUMMYFUNCTION("""COMPUTED_VALUE"""),16.0)</f>
        <v>16</v>
      </c>
      <c r="K2637" s="18">
        <f>IFERROR(__xludf.DUMMYFUNCTION("""COMPUTED_VALUE"""),20.0)</f>
        <v>20</v>
      </c>
      <c r="L2637" s="17">
        <f>IFERROR(__xludf.DUMMYFUNCTION("""COMPUTED_VALUE"""),3.165323235E9)</f>
        <v>3165323235</v>
      </c>
      <c r="M2637" s="17" t="str">
        <f>IFERROR(__xludf.DUMMYFUNCTION("""COMPUTED_VALUE"""),"#REF!")</f>
        <v>#REF!</v>
      </c>
      <c r="N2637" s="17"/>
      <c r="O2637" s="17"/>
      <c r="P2637" s="17" t="b">
        <f>IFERROR(__xludf.DUMMYFUNCTION("""COMPUTED_VALUE"""),FALSE)</f>
        <v>0</v>
      </c>
      <c r="Q2637" s="20" t="str">
        <f>IFERROR(__xludf.DUMMYFUNCTION("""COMPUTED_VALUE"""),"")</f>
        <v/>
      </c>
      <c r="R2637" s="21" t="str">
        <f>IFERROR(__xludf.DUMMYFUNCTION("""COMPUTED_VALUE"""),"https://drive.google.com/file/d/1l6wZEINI5xL_5bbu2RXUIuiZ7HKbz0Me/view?usp=drivesdk")</f>
        <v>https://drive.google.com/file/d/1l6wZEINI5xL_5bbu2RXUIuiZ7HKbz0Me/view?usp=drivesdk</v>
      </c>
    </row>
    <row r="2638">
      <c r="A2638" s="15">
        <f>IFERROR(__xludf.DUMMYFUNCTION("""COMPUTED_VALUE"""),45078.0)</f>
        <v>45078</v>
      </c>
      <c r="B2638" s="16" t="str">
        <f>IFERROR(__xludf.DUMMYFUNCTION("""COMPUTED_VALUE"""),"José Miguel Bonilla")</f>
        <v>José Miguel Bonilla</v>
      </c>
      <c r="C2638" s="15" t="str">
        <f>IFERROR(__xludf.DUMMYFUNCTION("""COMPUTED_VALUE"""),"VILLAVICENCIO")</f>
        <v>VILLAVICENCIO</v>
      </c>
      <c r="D2638" s="15" t="str">
        <f>IFERROR(__xludf.DUMMYFUNCTION("""COMPUTED_VALUE"""),"MEDELLÍN")</f>
        <v>MEDELLÍN</v>
      </c>
      <c r="E2638" s="15" t="str">
        <f>IFERROR(__xludf.DUMMYFUNCTION("""COMPUTED_VALUE"""),"Baby Chef")</f>
        <v>Baby Chef</v>
      </c>
      <c r="F2638" s="17" t="str">
        <f>IFERROR(__xludf.DUMMYFUNCTION("""COMPUTED_VALUE"""),"Cra 12 20 18 olímpico local esquinero de calzado / Cra 12 20 18 olímpico local esquinero de calzado / Cra 12 20 18 olímpico local esquinero de calzado")</f>
        <v>Cra 12 20 18 olímpico local esquinero de calzado / Cra 12 20 18 olímpico local esquinero de calzado / Cra 12 20 18 olímpico local esquinero de calzado</v>
      </c>
      <c r="G2638" s="15" t="str">
        <f>IFERROR(__xludf.DUMMYFUNCTION("""COMPUTED_VALUE"""),"Tatiana Ruiz")</f>
        <v>Tatiana Ruiz</v>
      </c>
      <c r="H2638" s="16">
        <f>IFERROR(__xludf.DUMMYFUNCTION("""COMPUTED_VALUE"""),11188.0)</f>
        <v>11188</v>
      </c>
      <c r="I2638" s="18">
        <f>IFERROR(__xludf.DUMMYFUNCTION("""COMPUTED_VALUE"""),8.0)</f>
        <v>8</v>
      </c>
      <c r="J2638" s="18">
        <f>IFERROR(__xludf.DUMMYFUNCTION("""COMPUTED_VALUE"""),16.0)</f>
        <v>16</v>
      </c>
      <c r="K2638" s="18">
        <f>IFERROR(__xludf.DUMMYFUNCTION("""COMPUTED_VALUE"""),20.0)</f>
        <v>20</v>
      </c>
      <c r="L2638" s="17">
        <f>IFERROR(__xludf.DUMMYFUNCTION("""COMPUTED_VALUE"""),3.202574637E9)</f>
        <v>3202574637</v>
      </c>
      <c r="M2638" s="17" t="str">
        <f>IFERROR(__xludf.DUMMYFUNCTION("""COMPUTED_VALUE"""),"#REF!")</f>
        <v>#REF!</v>
      </c>
      <c r="N2638" s="17"/>
      <c r="O2638" s="17"/>
      <c r="P2638" s="17" t="b">
        <f>IFERROR(__xludf.DUMMYFUNCTION("""COMPUTED_VALUE"""),FALSE)</f>
        <v>0</v>
      </c>
      <c r="Q2638" s="20" t="str">
        <f>IFERROR(__xludf.DUMMYFUNCTION("""COMPUTED_VALUE"""),"")</f>
        <v/>
      </c>
      <c r="R2638" s="21" t="str">
        <f>IFERROR(__xludf.DUMMYFUNCTION("""COMPUTED_VALUE"""),"https://drive.google.com/file/d/1EFh9z9TKKkK8eoRHbIiLufBRwU6aqP9w/view?usp=drivesdk")</f>
        <v>https://drive.google.com/file/d/1EFh9z9TKKkK8eoRHbIiLufBRwU6aqP9w/view?usp=drivesdk</v>
      </c>
    </row>
    <row r="2639">
      <c r="A2639" s="17" t="str">
        <f>IFERROR(__xludf.DUMMYFUNCTION("""COMPUTED_VALUE"""),"")</f>
        <v/>
      </c>
      <c r="B2639" s="17" t="str">
        <f>IFERROR(__xludf.DUMMYFUNCTION("""COMPUTED_VALUE"""),"")</f>
        <v/>
      </c>
      <c r="C2639" s="17" t="str">
        <f>IFERROR(__xludf.DUMMYFUNCTION("""COMPUTED_VALUE"""),"")</f>
        <v/>
      </c>
      <c r="D2639" s="17" t="str">
        <f>IFERROR(__xludf.DUMMYFUNCTION("""COMPUTED_VALUE"""),"")</f>
        <v/>
      </c>
      <c r="E2639" s="17" t="str">
        <f>IFERROR(__xludf.DUMMYFUNCTION("""COMPUTED_VALUE"""),"")</f>
        <v/>
      </c>
      <c r="F2639" s="17" t="str">
        <f>IFERROR(__xludf.DUMMYFUNCTION("""COMPUTED_VALUE"""),"")</f>
        <v/>
      </c>
      <c r="G2639" s="17" t="str">
        <f>IFERROR(__xludf.DUMMYFUNCTION("""COMPUTED_VALUE"""),"")</f>
        <v/>
      </c>
      <c r="H2639" s="17" t="str">
        <f>IFERROR(__xludf.DUMMYFUNCTION("""COMPUTED_VALUE"""),"")</f>
        <v/>
      </c>
      <c r="I2639" s="17" t="str">
        <f>IFERROR(__xludf.DUMMYFUNCTION("""COMPUTED_VALUE"""),"")</f>
        <v/>
      </c>
      <c r="J2639" s="17" t="str">
        <f>IFERROR(__xludf.DUMMYFUNCTION("""COMPUTED_VALUE"""),"")</f>
        <v/>
      </c>
      <c r="K2639" s="17" t="str">
        <f>IFERROR(__xludf.DUMMYFUNCTION("""COMPUTED_VALUE"""),"")</f>
        <v/>
      </c>
      <c r="L2639" s="17" t="str">
        <f>IFERROR(__xludf.DUMMYFUNCTION("""COMPUTED_VALUE"""),"")</f>
        <v/>
      </c>
      <c r="M2639" s="17" t="str">
        <f>IFERROR(__xludf.DUMMYFUNCTION("""COMPUTED_VALUE"""),"")</f>
        <v/>
      </c>
      <c r="N2639" s="17" t="str">
        <f>IFERROR(__xludf.DUMMYFUNCTION("""COMPUTED_VALUE"""),"")</f>
        <v/>
      </c>
      <c r="O2639" s="17" t="str">
        <f>IFERROR(__xludf.DUMMYFUNCTION("""COMPUTED_VALUE"""),"")</f>
        <v/>
      </c>
      <c r="P2639" s="17" t="str">
        <f>IFERROR(__xludf.DUMMYFUNCTION("""COMPUTED_VALUE"""),"")</f>
        <v/>
      </c>
      <c r="Q2639" s="17" t="str">
        <f>IFERROR(__xludf.DUMMYFUNCTION("""COMPUTED_VALUE"""),"")</f>
        <v/>
      </c>
      <c r="R2639" s="17" t="str">
        <f>IFERROR(__xludf.DUMMYFUNCTION("""COMPUTED_VALUE"""),"")</f>
        <v/>
      </c>
    </row>
    <row r="2640">
      <c r="A2640" s="15">
        <f>IFERROR(__xludf.DUMMYFUNCTION("""COMPUTED_VALUE"""),45078.0)</f>
        <v>45078</v>
      </c>
      <c r="B2640" s="16" t="str">
        <f>IFERROR(__xludf.DUMMYFUNCTION("""COMPUTED_VALUE"""),"Julian Calderon Rodriguez ")</f>
        <v>Julian Calderon Rodriguez </v>
      </c>
      <c r="C2640" s="15" t="str">
        <f>IFERROR(__xludf.DUMMYFUNCTION("""COMPUTED_VALUE"""),"FUSAGASUGA")</f>
        <v>FUSAGASUGA</v>
      </c>
      <c r="D2640" s="15" t="str">
        <f>IFERROR(__xludf.DUMMYFUNCTION("""COMPUTED_VALUE"""),"BOGOTÁ")</f>
        <v>BOGOTÁ</v>
      </c>
      <c r="E2640" s="15" t="str">
        <f>IFERROR(__xludf.DUMMYFUNCTION("""COMPUTED_VALUE"""),"Evamazzita")</f>
        <v>Evamazzita</v>
      </c>
      <c r="F2640" s="17" t="str">
        <f>IFERROR(__xludf.DUMMYFUNCTION("""COMPUTED_VALUE"""),"CARRERA 39 C # 22 C - 05  /  APTO. 601 / TORRES DE PALMETO ETAPA 2")</f>
        <v>CARRERA 39 C # 22 C - 05  /  APTO. 601 / TORRES DE PALMETO ETAPA 2</v>
      </c>
      <c r="G2640" s="15" t="str">
        <f>IFERROR(__xludf.DUMMYFUNCTION("""COMPUTED_VALUE"""),"YESICA TATIANA GALLEGO OCAMPO")</f>
        <v>YESICA TATIANA GALLEGO OCAMPO</v>
      </c>
      <c r="H2640" s="16">
        <f>IFERROR(__xludf.DUMMYFUNCTION("""COMPUTED_VALUE"""),11217.0)</f>
        <v>11217</v>
      </c>
      <c r="I2640" s="18">
        <f>IFERROR(__xludf.DUMMYFUNCTION("""COMPUTED_VALUE"""),10.0)</f>
        <v>10</v>
      </c>
      <c r="J2640" s="18">
        <f>IFERROR(__xludf.DUMMYFUNCTION("""COMPUTED_VALUE"""),18.0)</f>
        <v>18</v>
      </c>
      <c r="K2640" s="18">
        <f>IFERROR(__xludf.DUMMYFUNCTION("""COMPUTED_VALUE"""),22.0)</f>
        <v>22</v>
      </c>
      <c r="L2640" s="17">
        <f>IFERROR(__xludf.DUMMYFUNCTION("""COMPUTED_VALUE"""),3.244761309E9)</f>
        <v>3244761309</v>
      </c>
      <c r="M2640" s="17" t="str">
        <f>IFERROR(__xludf.DUMMYFUNCTION("""COMPUTED_VALUE"""),"#REF!")</f>
        <v>#REF!</v>
      </c>
      <c r="N2640" s="17"/>
      <c r="O2640" s="17"/>
      <c r="P2640" s="17" t="b">
        <f>IFERROR(__xludf.DUMMYFUNCTION("""COMPUTED_VALUE"""),FALSE)</f>
        <v>0</v>
      </c>
      <c r="Q2640" s="20" t="str">
        <f>IFERROR(__xludf.DUMMYFUNCTION("""COMPUTED_VALUE"""),"")</f>
        <v/>
      </c>
      <c r="R2640" s="22" t="str">
        <f>IFERROR(__xludf.DUMMYFUNCTION("""COMPUTED_VALUE"""),"")</f>
        <v/>
      </c>
    </row>
    <row r="2641">
      <c r="A2641" s="15">
        <f>IFERROR(__xludf.DUMMYFUNCTION("""COMPUTED_VALUE"""),45078.0)</f>
        <v>45078</v>
      </c>
      <c r="B2641" s="16" t="str">
        <f>IFERROR(__xludf.DUMMYFUNCTION("""COMPUTED_VALUE"""),"Julian Calderon Rodriguez ")</f>
        <v>Julian Calderon Rodriguez </v>
      </c>
      <c r="C2641" s="15" t="str">
        <f>IFERROR(__xludf.DUMMYFUNCTION("""COMPUTED_VALUE"""),"FUSAGASUGA")</f>
        <v>FUSAGASUGA</v>
      </c>
      <c r="D2641" s="15" t="str">
        <f>IFERROR(__xludf.DUMMYFUNCTION("""COMPUTED_VALUE"""),"BOGOTÁ")</f>
        <v>BOGOTÁ</v>
      </c>
      <c r="E2641" s="15" t="str">
        <f>IFERROR(__xludf.DUMMYFUNCTION("""COMPUTED_VALUE"""),"Evamazzita")</f>
        <v>Evamazzita</v>
      </c>
      <c r="F2641" s="17" t="str">
        <f>IFERROR(__xludf.DUMMYFUNCTION("""COMPUTED_VALUE"""),"CARRERA 5 # 19 - 33  / CONJUNTO LA ARBOLEDA CASA 1  / FUSACATAN")</f>
        <v>CARRERA 5 # 19 - 33  / CONJUNTO LA ARBOLEDA CASA 1  / FUSACATAN</v>
      </c>
      <c r="G2641" s="15" t="str">
        <f>IFERROR(__xludf.DUMMYFUNCTION("""COMPUTED_VALUE"""),"SUSANA ESPINOSA")</f>
        <v>SUSANA ESPINOSA</v>
      </c>
      <c r="H2641" s="16">
        <f>IFERROR(__xludf.DUMMYFUNCTION("""COMPUTED_VALUE"""),11220.0)</f>
        <v>11220</v>
      </c>
      <c r="I2641" s="18">
        <f>IFERROR(__xludf.DUMMYFUNCTION("""COMPUTED_VALUE"""),3.0)</f>
        <v>3</v>
      </c>
      <c r="J2641" s="18">
        <f>IFERROR(__xludf.DUMMYFUNCTION("""COMPUTED_VALUE"""),15.0)</f>
        <v>15</v>
      </c>
      <c r="K2641" s="18">
        <f>IFERROR(__xludf.DUMMYFUNCTION("""COMPUTED_VALUE"""),20.0)</f>
        <v>20</v>
      </c>
      <c r="L2641" s="17">
        <f>IFERROR(__xludf.DUMMYFUNCTION("""COMPUTED_VALUE"""),3.214236601E9)</f>
        <v>3214236601</v>
      </c>
      <c r="M2641" s="17" t="str">
        <f>IFERROR(__xludf.DUMMYFUNCTION("""COMPUTED_VALUE"""),"#REF!")</f>
        <v>#REF!</v>
      </c>
      <c r="N2641" s="17"/>
      <c r="O2641" s="17"/>
      <c r="P2641" s="17" t="b">
        <f>IFERROR(__xludf.DUMMYFUNCTION("""COMPUTED_VALUE"""),FALSE)</f>
        <v>0</v>
      </c>
      <c r="Q2641" s="20" t="str">
        <f>IFERROR(__xludf.DUMMYFUNCTION("""COMPUTED_VALUE"""),"")</f>
        <v/>
      </c>
      <c r="R2641" s="22" t="str">
        <f>IFERROR(__xludf.DUMMYFUNCTION("""COMPUTED_VALUE"""),"")</f>
        <v/>
      </c>
    </row>
    <row r="2642">
      <c r="A2642" s="15">
        <f>IFERROR(__xludf.DUMMYFUNCTION("""COMPUTED_VALUE"""),45078.0)</f>
        <v>45078</v>
      </c>
      <c r="B2642" s="16" t="str">
        <f>IFERROR(__xludf.DUMMYFUNCTION("""COMPUTED_VALUE"""),"Julian Calderon Rodriguez ")</f>
        <v>Julian Calderon Rodriguez </v>
      </c>
      <c r="C2642" s="15" t="str">
        <f>IFERROR(__xludf.DUMMYFUNCTION("""COMPUTED_VALUE"""),"VILLAVICENCIO")</f>
        <v>VILLAVICENCIO</v>
      </c>
      <c r="D2642" s="15" t="str">
        <f>IFERROR(__xludf.DUMMYFUNCTION("""COMPUTED_VALUE"""),"BOGOTÁ")</f>
        <v>BOGOTÁ</v>
      </c>
      <c r="E2642" s="15" t="str">
        <f>IFERROR(__xludf.DUMMYFUNCTION("""COMPUTED_VALUE"""),"Evamazzita")</f>
        <v>Evamazzita</v>
      </c>
      <c r="F2642" s="17" t="str">
        <f>IFERROR(__xludf.DUMMYFUNCTION("""COMPUTED_VALUE"""),"CALLE 31 C # 11 E - 76  / N/A / BARRIO RECREO")</f>
        <v>CALLE 31 C # 11 E - 76  / N/A / BARRIO RECREO</v>
      </c>
      <c r="G2642" s="15" t="str">
        <f>IFERROR(__xludf.DUMMYFUNCTION("""COMPUTED_VALUE"""),"ANGELA PARRADO")</f>
        <v>ANGELA PARRADO</v>
      </c>
      <c r="H2642" s="16">
        <f>IFERROR(__xludf.DUMMYFUNCTION("""COMPUTED_VALUE"""),11214.0)</f>
        <v>11214</v>
      </c>
      <c r="I2642" s="18">
        <f>IFERROR(__xludf.DUMMYFUNCTION("""COMPUTED_VALUE"""),3.0)</f>
        <v>3</v>
      </c>
      <c r="J2642" s="18">
        <f>IFERROR(__xludf.DUMMYFUNCTION("""COMPUTED_VALUE"""),20.0)</f>
        <v>20</v>
      </c>
      <c r="K2642" s="18">
        <f>IFERROR(__xludf.DUMMYFUNCTION("""COMPUTED_VALUE"""),15.0)</f>
        <v>15</v>
      </c>
      <c r="L2642" s="17">
        <f>IFERROR(__xludf.DUMMYFUNCTION("""COMPUTED_VALUE"""),3.113162281E9)</f>
        <v>3113162281</v>
      </c>
      <c r="M2642" s="17" t="str">
        <f>IFERROR(__xludf.DUMMYFUNCTION("""COMPUTED_VALUE"""),"#REF!")</f>
        <v>#REF!</v>
      </c>
      <c r="N2642" s="17"/>
      <c r="O2642" s="17"/>
      <c r="P2642" s="17" t="b">
        <f>IFERROR(__xludf.DUMMYFUNCTION("""COMPUTED_VALUE"""),FALSE)</f>
        <v>0</v>
      </c>
      <c r="Q2642" s="20" t="str">
        <f>IFERROR(__xludf.DUMMYFUNCTION("""COMPUTED_VALUE"""),"")</f>
        <v/>
      </c>
      <c r="R2642" s="21" t="str">
        <f>IFERROR(__xludf.DUMMYFUNCTION("""COMPUTED_VALUE"""),"https://drive.google.com/file/d/1XphJ6WTpDlP8F7Tb5L17tLcvKY7Z7XlS/view?usp=drivesdk")</f>
        <v>https://drive.google.com/file/d/1XphJ6WTpDlP8F7Tb5L17tLcvKY7Z7XlS/view?usp=drivesdk</v>
      </c>
    </row>
    <row r="2643">
      <c r="A2643" s="15">
        <f>IFERROR(__xludf.DUMMYFUNCTION("""COMPUTED_VALUE"""),45078.0)</f>
        <v>45078</v>
      </c>
      <c r="B2643" s="16" t="str">
        <f>IFERROR(__xludf.DUMMYFUNCTION("""COMPUTED_VALUE"""),"Julian Calderon Rodriguez ")</f>
        <v>Julian Calderon Rodriguez </v>
      </c>
      <c r="C2643" s="15" t="str">
        <f>IFERROR(__xludf.DUMMYFUNCTION("""COMPUTED_VALUE"""),"VILLAVICENCIO")</f>
        <v>VILLAVICENCIO</v>
      </c>
      <c r="D2643" s="15" t="str">
        <f>IFERROR(__xludf.DUMMYFUNCTION("""COMPUTED_VALUE"""),"BOGOTÁ")</f>
        <v>BOGOTÁ</v>
      </c>
      <c r="E2643" s="15" t="str">
        <f>IFERROR(__xludf.DUMMYFUNCTION("""COMPUTED_VALUE"""),"Evamazzita")</f>
        <v>Evamazzita</v>
      </c>
      <c r="F2643" s="17" t="str">
        <f>IFERROR(__xludf.DUMMYFUNCTION("""COMPUTED_VALUE"""),"CALLE 4 SUR # 35 A - 67  / CONJUNTO B PORTERIA 1 BLOQUE B3 APTO 203  / MULTIFAMILIARES LOS CENTAUROS")</f>
        <v>CALLE 4 SUR # 35 A - 67  / CONJUNTO B PORTERIA 1 BLOQUE B3 APTO 203  / MULTIFAMILIARES LOS CENTAUROS</v>
      </c>
      <c r="G2643" s="15" t="str">
        <f>IFERROR(__xludf.DUMMYFUNCTION("""COMPUTED_VALUE"""),"CLAUDIA MILENA MORA")</f>
        <v>CLAUDIA MILENA MORA</v>
      </c>
      <c r="H2643" s="16">
        <f>IFERROR(__xludf.DUMMYFUNCTION("""COMPUTED_VALUE"""),11215.0)</f>
        <v>11215</v>
      </c>
      <c r="I2643" s="18">
        <f>IFERROR(__xludf.DUMMYFUNCTION("""COMPUTED_VALUE"""),3.0)</f>
        <v>3</v>
      </c>
      <c r="J2643" s="18">
        <f>IFERROR(__xludf.DUMMYFUNCTION("""COMPUTED_VALUE"""),15.0)</f>
        <v>15</v>
      </c>
      <c r="K2643" s="18">
        <f>IFERROR(__xludf.DUMMYFUNCTION("""COMPUTED_VALUE"""),20.0)</f>
        <v>20</v>
      </c>
      <c r="L2643" s="17">
        <f>IFERROR(__xludf.DUMMYFUNCTION("""COMPUTED_VALUE"""),3.202202351E9)</f>
        <v>3202202351</v>
      </c>
      <c r="M2643" s="17" t="str">
        <f>IFERROR(__xludf.DUMMYFUNCTION("""COMPUTED_VALUE"""),"#REF!")</f>
        <v>#REF!</v>
      </c>
      <c r="N2643" s="17"/>
      <c r="O2643" s="17"/>
      <c r="P2643" s="17" t="b">
        <f>IFERROR(__xludf.DUMMYFUNCTION("""COMPUTED_VALUE"""),FALSE)</f>
        <v>0</v>
      </c>
      <c r="Q2643" s="20" t="str">
        <f>IFERROR(__xludf.DUMMYFUNCTION("""COMPUTED_VALUE"""),"")</f>
        <v/>
      </c>
      <c r="R2643" s="21" t="str">
        <f>IFERROR(__xludf.DUMMYFUNCTION("""COMPUTED_VALUE"""),"https://drive.google.com/file/d/1stnVTyAlmKVHgVBqHviaMzD4suacg8u1/view?usp=drivesdk")</f>
        <v>https://drive.google.com/file/d/1stnVTyAlmKVHgVBqHviaMzD4suacg8u1/view?usp=drivesdk</v>
      </c>
    </row>
    <row r="2644">
      <c r="A2644" s="15">
        <f>IFERROR(__xludf.DUMMYFUNCTION("""COMPUTED_VALUE"""),45078.0)</f>
        <v>45078</v>
      </c>
      <c r="B2644" s="16" t="str">
        <f>IFERROR(__xludf.DUMMYFUNCTION("""COMPUTED_VALUE"""),"Julian Calderon Rodriguez ")</f>
        <v>Julian Calderon Rodriguez </v>
      </c>
      <c r="C2644" s="15" t="str">
        <f>IFERROR(__xludf.DUMMYFUNCTION("""COMPUTED_VALUE"""),"VILLAVICENCIO")</f>
        <v>VILLAVICENCIO</v>
      </c>
      <c r="D2644" s="15" t="str">
        <f>IFERROR(__xludf.DUMMYFUNCTION("""COMPUTED_VALUE"""),"BOGOTÁ")</f>
        <v>BOGOTÁ</v>
      </c>
      <c r="E2644" s="15" t="str">
        <f>IFERROR(__xludf.DUMMYFUNCTION("""COMPUTED_VALUE"""),"Evamazzita")</f>
        <v>Evamazzita</v>
      </c>
      <c r="F2644" s="17" t="str">
        <f>IFERROR(__xludf.DUMMYFUNCTION("""COMPUTED_VALUE"""),"Calle 46# 36-55  / N/A / Barrio la esmeralda")</f>
        <v>Calle 46# 36-55  / N/A / Barrio la esmeralda</v>
      </c>
      <c r="G2644" s="15" t="str">
        <f>IFERROR(__xludf.DUMMYFUNCTION("""COMPUTED_VALUE"""),"DERLY XIOMARA HERRERA")</f>
        <v>DERLY XIOMARA HERRERA</v>
      </c>
      <c r="H2644" s="16">
        <f>IFERROR(__xludf.DUMMYFUNCTION("""COMPUTED_VALUE"""),11216.0)</f>
        <v>11216</v>
      </c>
      <c r="I2644" s="18">
        <f>IFERROR(__xludf.DUMMYFUNCTION("""COMPUTED_VALUE"""),3.0)</f>
        <v>3</v>
      </c>
      <c r="J2644" s="18">
        <f>IFERROR(__xludf.DUMMYFUNCTION("""COMPUTED_VALUE"""),20.0)</f>
        <v>20</v>
      </c>
      <c r="K2644" s="18">
        <f>IFERROR(__xludf.DUMMYFUNCTION("""COMPUTED_VALUE"""),15.0)</f>
        <v>15</v>
      </c>
      <c r="L2644" s="17">
        <f>IFERROR(__xludf.DUMMYFUNCTION("""COMPUTED_VALUE"""),3.124653537E9)</f>
        <v>3124653537</v>
      </c>
      <c r="M2644" s="17" t="str">
        <f>IFERROR(__xludf.DUMMYFUNCTION("""COMPUTED_VALUE"""),"#REF!")</f>
        <v>#REF!</v>
      </c>
      <c r="N2644" s="17"/>
      <c r="O2644" s="17"/>
      <c r="P2644" s="17" t="b">
        <f>IFERROR(__xludf.DUMMYFUNCTION("""COMPUTED_VALUE"""),TRUE)</f>
        <v>1</v>
      </c>
      <c r="Q2644" s="20">
        <f>IFERROR(__xludf.DUMMYFUNCTION("""COMPUTED_VALUE"""),45078.87763094908)</f>
        <v>45078.87763</v>
      </c>
      <c r="R2644" s="21" t="str">
        <f>IFERROR(__xludf.DUMMYFUNCTION("""COMPUTED_VALUE"""),"https://drive.google.com/file/d/1qgw0e_vb-h_nc4xA8QAoT3whuw2WKMny/view?usp=drivesdk")</f>
        <v>https://drive.google.com/file/d/1qgw0e_vb-h_nc4xA8QAoT3whuw2WKMny/view?usp=drivesdk</v>
      </c>
    </row>
    <row r="2645">
      <c r="A2645" s="15">
        <f>IFERROR(__xludf.DUMMYFUNCTION("""COMPUTED_VALUE"""),45078.0)</f>
        <v>45078</v>
      </c>
      <c r="B2645" s="16" t="str">
        <f>IFERROR(__xludf.DUMMYFUNCTION("""COMPUTED_VALUE"""),"Julian Calderon Rodriguez ")</f>
        <v>Julian Calderon Rodriguez </v>
      </c>
      <c r="C2645" s="15" t="str">
        <f>IFERROR(__xludf.DUMMYFUNCTION("""COMPUTED_VALUE"""),"VILLAVICENCIO")</f>
        <v>VILLAVICENCIO</v>
      </c>
      <c r="D2645" s="15" t="str">
        <f>IFERROR(__xludf.DUMMYFUNCTION("""COMPUTED_VALUE"""),"BOGOTÁ")</f>
        <v>BOGOTÁ</v>
      </c>
      <c r="E2645" s="15" t="str">
        <f>IFERROR(__xludf.DUMMYFUNCTION("""COMPUTED_VALUE"""),"Evamazzita")</f>
        <v>Evamazzita</v>
      </c>
      <c r="F2645" s="17" t="str">
        <f>IFERROR(__xludf.DUMMYFUNCTION("""COMPUTED_VALUE"""),"Cll 12 sur 18 07  / N/A / Barrio doña luz")</f>
        <v>Cll 12 sur 18 07  / N/A / Barrio doña luz</v>
      </c>
      <c r="G2645" s="15" t="str">
        <f>IFERROR(__xludf.DUMMYFUNCTION("""COMPUTED_VALUE"""),"LAURA MARIA ARGÜELLO PERDOMO")</f>
        <v>LAURA MARIA ARGÜELLO PERDOMO</v>
      </c>
      <c r="H2645" s="16">
        <f>IFERROR(__xludf.DUMMYFUNCTION("""COMPUTED_VALUE"""),11213.0)</f>
        <v>11213</v>
      </c>
      <c r="I2645" s="18">
        <f>IFERROR(__xludf.DUMMYFUNCTION("""COMPUTED_VALUE"""),3.0)</f>
        <v>3</v>
      </c>
      <c r="J2645" s="18">
        <f>IFERROR(__xludf.DUMMYFUNCTION("""COMPUTED_VALUE"""),20.0)</f>
        <v>20</v>
      </c>
      <c r="K2645" s="18">
        <f>IFERROR(__xludf.DUMMYFUNCTION("""COMPUTED_VALUE"""),15.0)</f>
        <v>15</v>
      </c>
      <c r="L2645" s="17">
        <f>IFERROR(__xludf.DUMMYFUNCTION("""COMPUTED_VALUE"""),3.21260194E9)</f>
        <v>3212601940</v>
      </c>
      <c r="M2645" s="17" t="str">
        <f>IFERROR(__xludf.DUMMYFUNCTION("""COMPUTED_VALUE"""),"#REF!")</f>
        <v>#REF!</v>
      </c>
      <c r="N2645" s="17"/>
      <c r="O2645" s="17"/>
      <c r="P2645" s="17" t="b">
        <f>IFERROR(__xludf.DUMMYFUNCTION("""COMPUTED_VALUE"""),FALSE)</f>
        <v>0</v>
      </c>
      <c r="Q2645" s="20" t="str">
        <f>IFERROR(__xludf.DUMMYFUNCTION("""COMPUTED_VALUE"""),"")</f>
        <v/>
      </c>
      <c r="R2645" s="21" t="str">
        <f>IFERROR(__xludf.DUMMYFUNCTION("""COMPUTED_VALUE"""),"https://drive.google.com/file/d/1rhVmXlP9EBDL2piedluGWtpNRw34EIFj/view?usp=drivesdk")</f>
        <v>https://drive.google.com/file/d/1rhVmXlP9EBDL2piedluGWtpNRw34EIFj/view?usp=drivesdk</v>
      </c>
    </row>
    <row r="2646">
      <c r="A2646" s="15">
        <f>IFERROR(__xludf.DUMMYFUNCTION("""COMPUTED_VALUE"""),45078.0)</f>
        <v>45078</v>
      </c>
      <c r="B2646" s="16" t="str">
        <f>IFERROR(__xludf.DUMMYFUNCTION("""COMPUTED_VALUE"""),"Julian Calderon Rodriguez ")</f>
        <v>Julian Calderon Rodriguez </v>
      </c>
      <c r="C2646" s="15" t="str">
        <f>IFERROR(__xludf.DUMMYFUNCTION("""COMPUTED_VALUE"""),"VILLAVICENCIO")</f>
        <v>VILLAVICENCIO</v>
      </c>
      <c r="D2646" s="15" t="str">
        <f>IFERROR(__xludf.DUMMYFUNCTION("""COMPUTED_VALUE"""),"BOGOTÁ")</f>
        <v>BOGOTÁ</v>
      </c>
      <c r="E2646" s="15" t="str">
        <f>IFERROR(__xludf.DUMMYFUNCTION("""COMPUTED_VALUE"""),"Viiva Fermentados")</f>
        <v>Viiva Fermentados</v>
      </c>
      <c r="F2646" s="17" t="str">
        <f>IFERROR(__xludf.DUMMYFUNCTION("""COMPUTED_VALUE"""),"carrera 40 # 5 a sur 271 canaguay amarilo / canaguay casa 35 / Villavicencio")</f>
        <v>carrera 40 # 5 a sur 271 canaguay amarilo / canaguay casa 35 / Villavicencio</v>
      </c>
      <c r="G2646" s="15" t="str">
        <f>IFERROR(__xludf.DUMMYFUNCTION("""COMPUTED_VALUE"""),"daniela rodriguez lemus")</f>
        <v>daniela rodriguez lemus</v>
      </c>
      <c r="H2646" s="16">
        <f>IFERROR(__xludf.DUMMYFUNCTION("""COMPUTED_VALUE"""),11153.0)</f>
        <v>11153</v>
      </c>
      <c r="I2646" s="18">
        <f>IFERROR(__xludf.DUMMYFUNCTION("""COMPUTED_VALUE"""),26.0)</f>
        <v>26</v>
      </c>
      <c r="J2646" s="18">
        <f>IFERROR(__xludf.DUMMYFUNCTION("""COMPUTED_VALUE"""),18.0)</f>
        <v>18</v>
      </c>
      <c r="K2646" s="18">
        <f>IFERROR(__xludf.DUMMYFUNCTION("""COMPUTED_VALUE"""),18.0)</f>
        <v>18</v>
      </c>
      <c r="L2646" s="17">
        <f>IFERROR(__xludf.DUMMYFUNCTION("""COMPUTED_VALUE"""),3.232285266E9)</f>
        <v>3232285266</v>
      </c>
      <c r="M2646" s="17" t="str">
        <f>IFERROR(__xludf.DUMMYFUNCTION("""COMPUTED_VALUE"""),"#REF!")</f>
        <v>#REF!</v>
      </c>
      <c r="N2646" s="17"/>
      <c r="O2646" s="17"/>
      <c r="P2646" s="17" t="b">
        <f>IFERROR(__xludf.DUMMYFUNCTION("""COMPUTED_VALUE"""),TRUE)</f>
        <v>1</v>
      </c>
      <c r="Q2646" s="20">
        <f>IFERROR(__xludf.DUMMYFUNCTION("""COMPUTED_VALUE"""),45078.87760939814)</f>
        <v>45078.87761</v>
      </c>
      <c r="R2646" s="21" t="str">
        <f>IFERROR(__xludf.DUMMYFUNCTION("""COMPUTED_VALUE"""),"https://drive.google.com/file/d/1Ot2Cx1ElMXf6LBElyPHsTW8vvSspqgd2/view?usp=drivesdk")</f>
        <v>https://drive.google.com/file/d/1Ot2Cx1ElMXf6LBElyPHsTW8vvSspqgd2/view?usp=drivesdk</v>
      </c>
    </row>
    <row r="2647">
      <c r="A2647" s="17" t="str">
        <f>IFERROR(__xludf.DUMMYFUNCTION("""COMPUTED_VALUE"""),"")</f>
        <v/>
      </c>
      <c r="B2647" s="17" t="str">
        <f>IFERROR(__xludf.DUMMYFUNCTION("""COMPUTED_VALUE"""),"")</f>
        <v/>
      </c>
      <c r="C2647" s="17" t="str">
        <f>IFERROR(__xludf.DUMMYFUNCTION("""COMPUTED_VALUE"""),"")</f>
        <v/>
      </c>
      <c r="D2647" s="17" t="str">
        <f>IFERROR(__xludf.DUMMYFUNCTION("""COMPUTED_VALUE"""),"")</f>
        <v/>
      </c>
      <c r="E2647" s="17" t="str">
        <f>IFERROR(__xludf.DUMMYFUNCTION("""COMPUTED_VALUE"""),"")</f>
        <v/>
      </c>
      <c r="F2647" s="17" t="str">
        <f>IFERROR(__xludf.DUMMYFUNCTION("""COMPUTED_VALUE"""),"")</f>
        <v/>
      </c>
      <c r="G2647" s="17" t="str">
        <f>IFERROR(__xludf.DUMMYFUNCTION("""COMPUTED_VALUE"""),"")</f>
        <v/>
      </c>
      <c r="H2647" s="17" t="str">
        <f>IFERROR(__xludf.DUMMYFUNCTION("""COMPUTED_VALUE"""),"")</f>
        <v/>
      </c>
      <c r="I2647" s="17" t="str">
        <f>IFERROR(__xludf.DUMMYFUNCTION("""COMPUTED_VALUE"""),"")</f>
        <v/>
      </c>
      <c r="J2647" s="17" t="str">
        <f>IFERROR(__xludf.DUMMYFUNCTION("""COMPUTED_VALUE"""),"")</f>
        <v/>
      </c>
      <c r="K2647" s="17" t="str">
        <f>IFERROR(__xludf.DUMMYFUNCTION("""COMPUTED_VALUE"""),"")</f>
        <v/>
      </c>
      <c r="L2647" s="17" t="str">
        <f>IFERROR(__xludf.DUMMYFUNCTION("""COMPUTED_VALUE"""),"")</f>
        <v/>
      </c>
      <c r="M2647" s="17" t="str">
        <f>IFERROR(__xludf.DUMMYFUNCTION("""COMPUTED_VALUE"""),"")</f>
        <v/>
      </c>
      <c r="N2647" s="17" t="str">
        <f>IFERROR(__xludf.DUMMYFUNCTION("""COMPUTED_VALUE"""),"")</f>
        <v/>
      </c>
      <c r="O2647" s="17" t="str">
        <f>IFERROR(__xludf.DUMMYFUNCTION("""COMPUTED_VALUE"""),"")</f>
        <v/>
      </c>
      <c r="P2647" s="17" t="str">
        <f>IFERROR(__xludf.DUMMYFUNCTION("""COMPUTED_VALUE"""),"")</f>
        <v/>
      </c>
      <c r="Q2647" s="17" t="str">
        <f>IFERROR(__xludf.DUMMYFUNCTION("""COMPUTED_VALUE"""),"")</f>
        <v/>
      </c>
      <c r="R2647" s="17" t="str">
        <f>IFERROR(__xludf.DUMMYFUNCTION("""COMPUTED_VALUE"""),"")</f>
        <v/>
      </c>
    </row>
    <row r="2648">
      <c r="A2648" s="15">
        <f>IFERROR(__xludf.DUMMYFUNCTION("""COMPUTED_VALUE"""),45079.0)</f>
        <v>45079</v>
      </c>
      <c r="B2648" s="17"/>
      <c r="C2648" s="15" t="str">
        <f>IFERROR(__xludf.DUMMYFUNCTION("""COMPUTED_VALUE"""),"BARRANQUILLA")</f>
        <v>BARRANQUILLA</v>
      </c>
      <c r="D2648" s="15" t="str">
        <f>IFERROR(__xludf.DUMMYFUNCTION("""COMPUTED_VALUE"""),"BOGOTÁ")</f>
        <v>BOGOTÁ</v>
      </c>
      <c r="E2648" s="15" t="str">
        <f>IFERROR(__xludf.DUMMYFUNCTION("""COMPUTED_VALUE"""),"Evamazzita")</f>
        <v>Evamazzita</v>
      </c>
      <c r="F2648" s="17" t="str">
        <f>IFERROR(__xludf.DUMMYFUNCTION("""COMPUTED_VALUE"""),"CALLE 117 # 42 B - 25  / EDIFICIO TURPIAL TORRE 6 APTO. 105  / ALAMEDA DEL RÍO")</f>
        <v>CALLE 117 # 42 B - 25  / EDIFICIO TURPIAL TORRE 6 APTO. 105  / ALAMEDA DEL RÍO</v>
      </c>
      <c r="G2648" s="15" t="str">
        <f>IFERROR(__xludf.DUMMYFUNCTION("""COMPUTED_VALUE"""),"LORAINE PAOLA JULIO SOLANO")</f>
        <v>LORAINE PAOLA JULIO SOLANO</v>
      </c>
      <c r="H2648" s="16">
        <f>IFERROR(__xludf.DUMMYFUNCTION("""COMPUTED_VALUE"""),11209.0)</f>
        <v>11209</v>
      </c>
      <c r="I2648" s="18">
        <f>IFERROR(__xludf.DUMMYFUNCTION("""COMPUTED_VALUE"""),3.0)</f>
        <v>3</v>
      </c>
      <c r="J2648" s="18">
        <f>IFERROR(__xludf.DUMMYFUNCTION("""COMPUTED_VALUE"""),20.0)</f>
        <v>20</v>
      </c>
      <c r="K2648" s="18">
        <f>IFERROR(__xludf.DUMMYFUNCTION("""COMPUTED_VALUE"""),15.0)</f>
        <v>15</v>
      </c>
      <c r="L2648" s="17">
        <f>IFERROR(__xludf.DUMMYFUNCTION("""COMPUTED_VALUE"""),3.013535388E9)</f>
        <v>3013535388</v>
      </c>
      <c r="M2648" s="17" t="str">
        <f>IFERROR(__xludf.DUMMYFUNCTION("""COMPUTED_VALUE"""),"#REF!")</f>
        <v>#REF!</v>
      </c>
      <c r="N2648" s="17"/>
      <c r="O2648" s="17"/>
      <c r="P2648" s="17" t="b">
        <f>IFERROR(__xludf.DUMMYFUNCTION("""COMPUTED_VALUE"""),TRUE)</f>
        <v>1</v>
      </c>
      <c r="Q2648" s="20">
        <f>IFERROR(__xludf.DUMMYFUNCTION("""COMPUTED_VALUE"""),45078.877567800926)</f>
        <v>45078.87757</v>
      </c>
      <c r="R2648" s="22" t="str">
        <f>IFERROR(__xludf.DUMMYFUNCTION("""COMPUTED_VALUE"""),"")</f>
        <v/>
      </c>
    </row>
    <row r="2649">
      <c r="A2649" s="15">
        <f>IFERROR(__xludf.DUMMYFUNCTION("""COMPUTED_VALUE"""),45079.0)</f>
        <v>45079</v>
      </c>
      <c r="B2649" s="17"/>
      <c r="C2649" s="15" t="str">
        <f>IFERROR(__xludf.DUMMYFUNCTION("""COMPUTED_VALUE"""),"CALI")</f>
        <v>CALI</v>
      </c>
      <c r="D2649" s="15" t="str">
        <f>IFERROR(__xludf.DUMMYFUNCTION("""COMPUTED_VALUE"""),"BOGOTÁ")</f>
        <v>BOGOTÁ</v>
      </c>
      <c r="E2649" s="15" t="str">
        <f>IFERROR(__xludf.DUMMYFUNCTION("""COMPUTED_VALUE"""),"Viral Brands")</f>
        <v>Viral Brands</v>
      </c>
      <c r="F2649" s="17" t="str">
        <f>IFERROR(__xludf.DUMMYFUNCTION("""COMPUTED_VALUE"""),"Avenida 5a 25n39 / Edificio  / Barrio san vicente")</f>
        <v>Avenida 5a 25n39 / Edificio  / Barrio san vicente</v>
      </c>
      <c r="G2649" s="15" t="str">
        <f>IFERROR(__xludf.DUMMYFUNCTION("""COMPUTED_VALUE"""),"Lisbeth gamez")</f>
        <v>Lisbeth gamez</v>
      </c>
      <c r="H2649" s="16">
        <f>IFERROR(__xludf.DUMMYFUNCTION("""COMPUTED_VALUE"""),11252.0)</f>
        <v>11252</v>
      </c>
      <c r="I2649" s="18">
        <f>IFERROR(__xludf.DUMMYFUNCTION("""COMPUTED_VALUE"""),45.0)</f>
        <v>45</v>
      </c>
      <c r="J2649" s="18" t="str">
        <f>IFERROR(__xludf.DUMMYFUNCTION("""COMPUTED_VALUE"""),"52.5")</f>
        <v>52.5</v>
      </c>
      <c r="K2649" s="18">
        <f>IFERROR(__xludf.DUMMYFUNCTION("""COMPUTED_VALUE"""),55.0)</f>
        <v>55</v>
      </c>
      <c r="L2649" s="17">
        <f>IFERROR(__xludf.DUMMYFUNCTION("""COMPUTED_VALUE"""),3.218280504E9)</f>
        <v>3218280504</v>
      </c>
      <c r="M2649" s="17" t="str">
        <f>IFERROR(__xludf.DUMMYFUNCTION("""COMPUTED_VALUE"""),"#REF!")</f>
        <v>#REF!</v>
      </c>
      <c r="N2649" s="17"/>
      <c r="O2649" s="17"/>
      <c r="P2649" s="17" t="b">
        <f>IFERROR(__xludf.DUMMYFUNCTION("""COMPUTED_VALUE"""),TRUE)</f>
        <v>1</v>
      </c>
      <c r="Q2649" s="20">
        <f>IFERROR(__xludf.DUMMYFUNCTION("""COMPUTED_VALUE"""),45078.877508969905)</f>
        <v>45078.87751</v>
      </c>
      <c r="R2649" s="21" t="str">
        <f>IFERROR(__xludf.DUMMYFUNCTION("""COMPUTED_VALUE"""),"https://drive.google.com/file/d/10OFgx-tlfjj-ijbj3tYOZTTLDlHawTJc/view?usp=drivesdk")</f>
        <v>https://drive.google.com/file/d/10OFgx-tlfjj-ijbj3tYOZTTLDlHawTJc/view?usp=drivesdk</v>
      </c>
    </row>
    <row r="2650">
      <c r="A2650" s="17" t="str">
        <f>IFERROR(__xludf.DUMMYFUNCTION("""COMPUTED_VALUE"""),"")</f>
        <v/>
      </c>
      <c r="B2650" s="17" t="str">
        <f>IFERROR(__xludf.DUMMYFUNCTION("""COMPUTED_VALUE"""),"")</f>
        <v/>
      </c>
      <c r="C2650" s="17" t="str">
        <f>IFERROR(__xludf.DUMMYFUNCTION("""COMPUTED_VALUE"""),"")</f>
        <v/>
      </c>
      <c r="D2650" s="17" t="str">
        <f>IFERROR(__xludf.DUMMYFUNCTION("""COMPUTED_VALUE"""),"")</f>
        <v/>
      </c>
      <c r="E2650" s="17" t="str">
        <f>IFERROR(__xludf.DUMMYFUNCTION("""COMPUTED_VALUE"""),"")</f>
        <v/>
      </c>
      <c r="F2650" s="17" t="str">
        <f>IFERROR(__xludf.DUMMYFUNCTION("""COMPUTED_VALUE"""),"")</f>
        <v/>
      </c>
      <c r="G2650" s="17" t="str">
        <f>IFERROR(__xludf.DUMMYFUNCTION("""COMPUTED_VALUE"""),"")</f>
        <v/>
      </c>
      <c r="H2650" s="17" t="str">
        <f>IFERROR(__xludf.DUMMYFUNCTION("""COMPUTED_VALUE"""),"")</f>
        <v/>
      </c>
      <c r="I2650" s="17" t="str">
        <f>IFERROR(__xludf.DUMMYFUNCTION("""COMPUTED_VALUE"""),"")</f>
        <v/>
      </c>
      <c r="J2650" s="17" t="str">
        <f>IFERROR(__xludf.DUMMYFUNCTION("""COMPUTED_VALUE"""),"")</f>
        <v/>
      </c>
      <c r="K2650" s="17" t="str">
        <f>IFERROR(__xludf.DUMMYFUNCTION("""COMPUTED_VALUE"""),"")</f>
        <v/>
      </c>
      <c r="L2650" s="17" t="str">
        <f>IFERROR(__xludf.DUMMYFUNCTION("""COMPUTED_VALUE"""),"")</f>
        <v/>
      </c>
      <c r="M2650" s="17" t="str">
        <f>IFERROR(__xludf.DUMMYFUNCTION("""COMPUTED_VALUE"""),"")</f>
        <v/>
      </c>
      <c r="N2650" s="17" t="str">
        <f>IFERROR(__xludf.DUMMYFUNCTION("""COMPUTED_VALUE"""),"")</f>
        <v/>
      </c>
      <c r="O2650" s="17" t="str">
        <f>IFERROR(__xludf.DUMMYFUNCTION("""COMPUTED_VALUE"""),"")</f>
        <v/>
      </c>
      <c r="P2650" s="17" t="str">
        <f>IFERROR(__xludf.DUMMYFUNCTION("""COMPUTED_VALUE"""),"")</f>
        <v/>
      </c>
      <c r="Q2650" s="17" t="str">
        <f>IFERROR(__xludf.DUMMYFUNCTION("""COMPUTED_VALUE"""),"")</f>
        <v/>
      </c>
      <c r="R2650" s="17" t="str">
        <f>IFERROR(__xludf.DUMMYFUNCTION("""COMPUTED_VALUE"""),"")</f>
        <v/>
      </c>
    </row>
    <row r="2651">
      <c r="A2651" s="15">
        <f>IFERROR(__xludf.DUMMYFUNCTION("""COMPUTED_VALUE"""),45079.0)</f>
        <v>45079</v>
      </c>
      <c r="B2651" s="16" t="str">
        <f>IFERROR(__xludf.DUMMYFUNCTION("""COMPUTED_VALUE"""),"Daniel José sandoval gonzalez")</f>
        <v>Daniel José sandoval gonzalez</v>
      </c>
      <c r="C2651" s="15" t="str">
        <f>IFERROR(__xludf.DUMMYFUNCTION("""COMPUTED_VALUE"""),"BARRANQUILLA")</f>
        <v>BARRANQUILLA</v>
      </c>
      <c r="D2651" s="15" t="str">
        <f>IFERROR(__xludf.DUMMYFUNCTION("""COMPUTED_VALUE"""),"BOGOTÁ")</f>
        <v>BOGOTÁ</v>
      </c>
      <c r="E2651" s="15" t="str">
        <f>IFERROR(__xludf.DUMMYFUNCTION("""COMPUTED_VALUE"""),"Athenas")</f>
        <v>Athenas</v>
      </c>
      <c r="F2651" s="17" t="str">
        <f>IFERROR(__xludf.DUMMYFUNCTION("""COMPUTED_VALUE"""),"Cra 43 # 99 -06 / Local 6 piso 3  / Centro comercial Miramar")</f>
        <v>Cra 43 # 99 -06 / Local 6 piso 3  / Centro comercial Miramar</v>
      </c>
      <c r="G2651" s="15" t="str">
        <f>IFERROR(__xludf.DUMMYFUNCTION("""COMPUTED_VALUE"""),"Yasser Gutiérrez")</f>
        <v>Yasser Gutiérrez</v>
      </c>
      <c r="H2651" s="16">
        <f>IFERROR(__xludf.DUMMYFUNCTION("""COMPUTED_VALUE"""),11198.0)</f>
        <v>11198</v>
      </c>
      <c r="I2651" s="18">
        <f>IFERROR(__xludf.DUMMYFUNCTION("""COMPUTED_VALUE"""),29.0)</f>
        <v>29</v>
      </c>
      <c r="J2651" s="18">
        <f>IFERROR(__xludf.DUMMYFUNCTION("""COMPUTED_VALUE"""),55.0)</f>
        <v>55</v>
      </c>
      <c r="K2651" s="18">
        <f>IFERROR(__xludf.DUMMYFUNCTION("""COMPUTED_VALUE"""),45.0)</f>
        <v>45</v>
      </c>
      <c r="L2651" s="17">
        <f>IFERROR(__xludf.DUMMYFUNCTION("""COMPUTED_VALUE"""),3.106158334E9)</f>
        <v>3106158334</v>
      </c>
      <c r="M2651" s="17" t="str">
        <f>IFERROR(__xludf.DUMMYFUNCTION("""COMPUTED_VALUE"""),"#REF!")</f>
        <v>#REF!</v>
      </c>
      <c r="N2651" s="17"/>
      <c r="O2651" s="17"/>
      <c r="P2651" s="17" t="b">
        <f>IFERROR(__xludf.DUMMYFUNCTION("""COMPUTED_VALUE"""),FALSE)</f>
        <v>0</v>
      </c>
      <c r="Q2651" s="20" t="str">
        <f>IFERROR(__xludf.DUMMYFUNCTION("""COMPUTED_VALUE"""),"")</f>
        <v/>
      </c>
      <c r="R2651" s="22" t="str">
        <f>IFERROR(__xludf.DUMMYFUNCTION("""COMPUTED_VALUE"""),"")</f>
        <v/>
      </c>
    </row>
    <row r="2652">
      <c r="A2652" s="15">
        <f>IFERROR(__xludf.DUMMYFUNCTION("""COMPUTED_VALUE"""),45079.0)</f>
        <v>45079</v>
      </c>
      <c r="B2652" s="16" t="str">
        <f>IFERROR(__xludf.DUMMYFUNCTION("""COMPUTED_VALUE"""),"Daniel José sandoval gonzalez")</f>
        <v>Daniel José sandoval gonzalez</v>
      </c>
      <c r="C2652" s="15" t="str">
        <f>IFERROR(__xludf.DUMMYFUNCTION("""COMPUTED_VALUE"""),"BARRANQUILLA")</f>
        <v>BARRANQUILLA</v>
      </c>
      <c r="D2652" s="15" t="str">
        <f>IFERROR(__xludf.DUMMYFUNCTION("""COMPUTED_VALUE"""),"BOGOTÁ")</f>
        <v>BOGOTÁ</v>
      </c>
      <c r="E2652" s="15" t="str">
        <f>IFERROR(__xludf.DUMMYFUNCTION("""COMPUTED_VALUE"""),"Ins. Alimento Vital")</f>
        <v>Ins. Alimento Vital</v>
      </c>
      <c r="F2652" s="17" t="str">
        <f>IFERROR(__xludf.DUMMYFUNCTION("""COMPUTED_VALUE"""),"CL 100 48 34 / AP 502 TR 1 ED SUNSET 100 / BARRIO VILLA SANTOS")</f>
        <v>CL 100 48 34 / AP 502 TR 1 ED SUNSET 100 / BARRIO VILLA SANTOS</v>
      </c>
      <c r="G2652" s="15" t="str">
        <f>IFERROR(__xludf.DUMMYFUNCTION("""COMPUTED_VALUE"""),"SHADYA SOFIA SEDAN SIMANCAS")</f>
        <v>SHADYA SOFIA SEDAN SIMANCAS</v>
      </c>
      <c r="H2652" s="16">
        <f>IFERROR(__xludf.DUMMYFUNCTION("""COMPUTED_VALUE"""),11247.0)</f>
        <v>11247</v>
      </c>
      <c r="I2652" s="18">
        <f>IFERROR(__xludf.DUMMYFUNCTION("""COMPUTED_VALUE"""),1.0)</f>
        <v>1</v>
      </c>
      <c r="J2652" s="18">
        <f>IFERROR(__xludf.DUMMYFUNCTION("""COMPUTED_VALUE"""),1.0)</f>
        <v>1</v>
      </c>
      <c r="K2652" s="18">
        <f>IFERROR(__xludf.DUMMYFUNCTION("""COMPUTED_VALUE"""),1.0)</f>
        <v>1</v>
      </c>
      <c r="L2652" s="17">
        <f>IFERROR(__xludf.DUMMYFUNCTION("""COMPUTED_VALUE"""),3.22674306E9)</f>
        <v>3226743060</v>
      </c>
      <c r="M2652" s="17" t="str">
        <f>IFERROR(__xludf.DUMMYFUNCTION("""COMPUTED_VALUE"""),"#REF!")</f>
        <v>#REF!</v>
      </c>
      <c r="N2652" s="17"/>
      <c r="O2652" s="17"/>
      <c r="P2652" s="17" t="b">
        <f>IFERROR(__xludf.DUMMYFUNCTION("""COMPUTED_VALUE"""),FALSE)</f>
        <v>0</v>
      </c>
      <c r="Q2652" s="20" t="str">
        <f>IFERROR(__xludf.DUMMYFUNCTION("""COMPUTED_VALUE"""),"")</f>
        <v/>
      </c>
      <c r="R2652" s="21" t="str">
        <f>IFERROR(__xludf.DUMMYFUNCTION("""COMPUTED_VALUE"""),"https://drive.google.com/file/d/1X1VwGgMWTlGNzcmNyYSvwVe0rV9QV2uR/view?usp=drivesdk")</f>
        <v>https://drive.google.com/file/d/1X1VwGgMWTlGNzcmNyYSvwVe0rV9QV2uR/view?usp=drivesdk</v>
      </c>
    </row>
    <row r="2653">
      <c r="A2653" s="15">
        <f>IFERROR(__xludf.DUMMYFUNCTION("""COMPUTED_VALUE"""),45079.0)</f>
        <v>45079</v>
      </c>
      <c r="B2653" s="16" t="str">
        <f>IFERROR(__xludf.DUMMYFUNCTION("""COMPUTED_VALUE"""),"Daniel José sandoval gonzalez")</f>
        <v>Daniel José sandoval gonzalez</v>
      </c>
      <c r="C2653" s="15" t="str">
        <f>IFERROR(__xludf.DUMMYFUNCTION("""COMPUTED_VALUE"""),"BARRANQUILLA")</f>
        <v>BARRANQUILLA</v>
      </c>
      <c r="D2653" s="15" t="str">
        <f>IFERROR(__xludf.DUMMYFUNCTION("""COMPUTED_VALUE"""),"BOGOTÁ")</f>
        <v>BOGOTÁ</v>
      </c>
      <c r="E2653" s="15" t="str">
        <f>IFERROR(__xludf.DUMMYFUNCTION("""COMPUTED_VALUE"""),"MAI ALIMENTOS S.A.S")</f>
        <v>MAI ALIMENTOS S.A.S</v>
      </c>
      <c r="F2653" s="17" t="str">
        <f>IFERROR(__xludf.DUMMYFUNCTION("""COMPUTED_VALUE"""),"Cra 74 # 76- 74 / Frente a la clínica Misericordia - Reciben de 8:00 am a 12:00 pm - Preguntar por: Hernán Cabas o José Torres")</f>
        <v>Cra 74 # 76- 74 / Frente a la clínica Misericordia - Reciben de 8:00 am a 12:00 pm - Preguntar por: Hernán Cabas o José Torres</v>
      </c>
      <c r="G2653" s="15" t="str">
        <f>IFERROR(__xludf.DUMMYFUNCTION("""COMPUTED_VALUE"""),"Fithub Barranquilla")</f>
        <v>Fithub Barranquilla</v>
      </c>
      <c r="H2653" s="16">
        <f>IFERROR(__xludf.DUMMYFUNCTION("""COMPUTED_VALUE"""),11059.0)</f>
        <v>11059</v>
      </c>
      <c r="I2653" s="18">
        <f>IFERROR(__xludf.DUMMYFUNCTION("""COMPUTED_VALUE"""),35.0)</f>
        <v>35</v>
      </c>
      <c r="J2653" s="18">
        <f>IFERROR(__xludf.DUMMYFUNCTION("""COMPUTED_VALUE"""),17.0)</f>
        <v>17</v>
      </c>
      <c r="K2653" s="18">
        <f>IFERROR(__xludf.DUMMYFUNCTION("""COMPUTED_VALUE"""),13.0)</f>
        <v>13</v>
      </c>
      <c r="L2653" s="17"/>
      <c r="M2653" s="17" t="str">
        <f>IFERROR(__xludf.DUMMYFUNCTION("""COMPUTED_VALUE"""),"#REF!")</f>
        <v>#REF!</v>
      </c>
      <c r="N2653" s="17"/>
      <c r="O2653" s="17"/>
      <c r="P2653" s="17" t="b">
        <f>IFERROR(__xludf.DUMMYFUNCTION("""COMPUTED_VALUE"""),FALSE)</f>
        <v>0</v>
      </c>
      <c r="Q2653" s="20" t="str">
        <f>IFERROR(__xludf.DUMMYFUNCTION("""COMPUTED_VALUE"""),"")</f>
        <v/>
      </c>
      <c r="R2653" s="21" t="str">
        <f>IFERROR(__xludf.DUMMYFUNCTION("""COMPUTED_VALUE"""),"https://drive.google.com/file/d/1rwk40-WpD5DCnNi6-29Lf2kIVAtviIFK/view?usp=drivesdk")</f>
        <v>https://drive.google.com/file/d/1rwk40-WpD5DCnNi6-29Lf2kIVAtviIFK/view?usp=drivesdk</v>
      </c>
    </row>
    <row r="2654">
      <c r="A2654" s="15">
        <f>IFERROR(__xludf.DUMMYFUNCTION("""COMPUTED_VALUE"""),45079.0)</f>
        <v>45079</v>
      </c>
      <c r="B2654" s="16" t="str">
        <f>IFERROR(__xludf.DUMMYFUNCTION("""COMPUTED_VALUE"""),"Daniel José sandoval gonzalez")</f>
        <v>Daniel José sandoval gonzalez</v>
      </c>
      <c r="C2654" s="15" t="str">
        <f>IFERROR(__xludf.DUMMYFUNCTION("""COMPUTED_VALUE"""),"BARRANQUILLA")</f>
        <v>BARRANQUILLA</v>
      </c>
      <c r="D2654" s="15" t="str">
        <f>IFERROR(__xludf.DUMMYFUNCTION("""COMPUTED_VALUE"""),"BOGOTÁ")</f>
        <v>BOGOTÁ</v>
      </c>
      <c r="E2654" s="15" t="str">
        <f>IFERROR(__xludf.DUMMYFUNCTION("""COMPUTED_VALUE"""),"Pan de Waffle")</f>
        <v>Pan de Waffle</v>
      </c>
      <c r="F2654" s="17" t="str">
        <f>IFERROR(__xludf.DUMMYFUNCTION("""COMPUTED_VALUE"""),"Carrera 45 # 85 - 168 / Carrera 45 # 85 - 168 / Carrera 45 # 85 - 168")</f>
        <v>Carrera 45 # 85 - 168 / Carrera 45 # 85 - 168 / Carrera 45 # 85 - 168</v>
      </c>
      <c r="G2654" s="15" t="str">
        <f>IFERROR(__xludf.DUMMYFUNCTION("""COMPUTED_VALUE"""),"FOODOLOGY")</f>
        <v>FOODOLOGY</v>
      </c>
      <c r="H2654" s="16">
        <f>IFERROR(__xludf.DUMMYFUNCTION("""COMPUTED_VALUE"""),11228.0)</f>
        <v>11228</v>
      </c>
      <c r="I2654" s="18">
        <f>IFERROR(__xludf.DUMMYFUNCTION("""COMPUTED_VALUE"""),40.0)</f>
        <v>40</v>
      </c>
      <c r="J2654" s="18">
        <f>IFERROR(__xludf.DUMMYFUNCTION("""COMPUTED_VALUE"""),40.0)</f>
        <v>40</v>
      </c>
      <c r="K2654" s="18">
        <f>IFERROR(__xludf.DUMMYFUNCTION("""COMPUTED_VALUE"""),30.0)</f>
        <v>30</v>
      </c>
      <c r="L2654" s="17">
        <f>IFERROR(__xludf.DUMMYFUNCTION("""COMPUTED_VALUE"""),3.017001909E9)</f>
        <v>3017001909</v>
      </c>
      <c r="M2654" s="17" t="str">
        <f>IFERROR(__xludf.DUMMYFUNCTION("""COMPUTED_VALUE"""),"#REF!")</f>
        <v>#REF!</v>
      </c>
      <c r="N2654" s="17"/>
      <c r="O2654" s="17"/>
      <c r="P2654" s="17" t="b">
        <f>IFERROR(__xludf.DUMMYFUNCTION("""COMPUTED_VALUE"""),FALSE)</f>
        <v>0</v>
      </c>
      <c r="Q2654" s="20" t="str">
        <f>IFERROR(__xludf.DUMMYFUNCTION("""COMPUTED_VALUE"""),"")</f>
        <v/>
      </c>
      <c r="R2654" s="22" t="str">
        <f>IFERROR(__xludf.DUMMYFUNCTION("""COMPUTED_VALUE"""),"")</f>
        <v/>
      </c>
    </row>
    <row r="2655">
      <c r="A2655" s="15">
        <f>IFERROR(__xludf.DUMMYFUNCTION("""COMPUTED_VALUE"""),45079.0)</f>
        <v>45079</v>
      </c>
      <c r="B2655" s="16" t="str">
        <f>IFERROR(__xludf.DUMMYFUNCTION("""COMPUTED_VALUE"""),"Daniel José sandoval gonzalez")</f>
        <v>Daniel José sandoval gonzalez</v>
      </c>
      <c r="C2655" s="15" t="str">
        <f>IFERROR(__xludf.DUMMYFUNCTION("""COMPUTED_VALUE"""),"BARRANQUILLA")</f>
        <v>BARRANQUILLA</v>
      </c>
      <c r="D2655" s="15" t="str">
        <f>IFERROR(__xludf.DUMMYFUNCTION("""COMPUTED_VALUE"""),"BOGOTÁ")</f>
        <v>BOGOTÁ</v>
      </c>
      <c r="E2655" s="15" t="str">
        <f>IFERROR(__xludf.DUMMYFUNCTION("""COMPUTED_VALUE"""),"Pan de Waffle")</f>
        <v>Pan de Waffle</v>
      </c>
      <c r="F2655" s="17" t="str">
        <f>IFERROR(__xludf.DUMMYFUNCTION("""COMPUTED_VALUE"""),"CR 53 80 284 LC 8 / CR 53 80 284 LC 8 / CR 53 80 284 LC 8")</f>
        <v>CR 53 80 284 LC 8 / CR 53 80 284 LC 8 / CR 53 80 284 LC 8</v>
      </c>
      <c r="G2655" s="15" t="str">
        <f>IFERROR(__xludf.DUMMYFUNCTION("""COMPUTED_VALUE"""),"CORPOFIT")</f>
        <v>CORPOFIT</v>
      </c>
      <c r="H2655" s="16">
        <f>IFERROR(__xludf.DUMMYFUNCTION("""COMPUTED_VALUE"""),11229.0)</f>
        <v>11229</v>
      </c>
      <c r="I2655" s="18">
        <f>IFERROR(__xludf.DUMMYFUNCTION("""COMPUTED_VALUE"""),30.0)</f>
        <v>30</v>
      </c>
      <c r="J2655" s="18">
        <f>IFERROR(__xludf.DUMMYFUNCTION("""COMPUTED_VALUE"""),40.0)</f>
        <v>40</v>
      </c>
      <c r="K2655" s="18">
        <f>IFERROR(__xludf.DUMMYFUNCTION("""COMPUTED_VALUE"""),30.0)</f>
        <v>30</v>
      </c>
      <c r="L2655" s="17">
        <f>IFERROR(__xludf.DUMMYFUNCTION("""COMPUTED_VALUE"""),3.006125263E9)</f>
        <v>3006125263</v>
      </c>
      <c r="M2655" s="17" t="str">
        <f>IFERROR(__xludf.DUMMYFUNCTION("""COMPUTED_VALUE"""),"#REF!")</f>
        <v>#REF!</v>
      </c>
      <c r="N2655" s="17"/>
      <c r="O2655" s="17"/>
      <c r="P2655" s="17" t="b">
        <f>IFERROR(__xludf.DUMMYFUNCTION("""COMPUTED_VALUE"""),TRUE)</f>
        <v>1</v>
      </c>
      <c r="Q2655" s="20">
        <f>IFERROR(__xludf.DUMMYFUNCTION("""COMPUTED_VALUE"""),45081.493990856485)</f>
        <v>45081.49399</v>
      </c>
      <c r="R2655" s="21" t="str">
        <f>IFERROR(__xludf.DUMMYFUNCTION("""COMPUTED_VALUE"""),"https://drive.google.com/file/d/1AEuRAWSpITEme8tmu3YMeuEal7u0fj6H/view?usp=drivesdk")</f>
        <v>https://drive.google.com/file/d/1AEuRAWSpITEme8tmu3YMeuEal7u0fj6H/view?usp=drivesdk</v>
      </c>
    </row>
    <row r="2656">
      <c r="A2656" s="15">
        <f>IFERROR(__xludf.DUMMYFUNCTION("""COMPUTED_VALUE"""),45079.0)</f>
        <v>45079</v>
      </c>
      <c r="B2656" s="16" t="str">
        <f>IFERROR(__xludf.DUMMYFUNCTION("""COMPUTED_VALUE"""),"Daniel José sandoval gonzalez")</f>
        <v>Daniel José sandoval gonzalez</v>
      </c>
      <c r="C2656" s="15" t="str">
        <f>IFERROR(__xludf.DUMMYFUNCTION("""COMPUTED_VALUE"""),"MEDELLÍN")</f>
        <v>MEDELLÍN</v>
      </c>
      <c r="D2656" s="15" t="str">
        <f>IFERROR(__xludf.DUMMYFUNCTION("""COMPUTED_VALUE"""),"BOGOTÁ")</f>
        <v>BOGOTÁ</v>
      </c>
      <c r="E2656" s="15" t="str">
        <f>IFERROR(__xludf.DUMMYFUNCTION("""COMPUTED_VALUE"""),"Viiva Fermentados")</f>
        <v>Viiva Fermentados</v>
      </c>
      <c r="F2656" s="17" t="str">
        <f>IFERROR(__xludf.DUMMYFUNCTION("""COMPUTED_VALUE"""),"CR 42 # 08 -39 / local piso 1 / Poblado")</f>
        <v>CR 42 # 08 -39 / local piso 1 / Poblado</v>
      </c>
      <c r="G2656" s="15" t="str">
        <f>IFERROR(__xludf.DUMMYFUNCTION("""COMPUTED_VALUE"""),"Julia Correa Ochoa La Real Vegetal")</f>
        <v>Julia Correa Ochoa La Real Vegetal</v>
      </c>
      <c r="H2656" s="16">
        <f>IFERROR(__xludf.DUMMYFUNCTION("""COMPUTED_VALUE"""),11154.0)</f>
        <v>11154</v>
      </c>
      <c r="I2656" s="18">
        <f>IFERROR(__xludf.DUMMYFUNCTION("""COMPUTED_VALUE"""),27.0)</f>
        <v>27</v>
      </c>
      <c r="J2656" s="18">
        <f>IFERROR(__xludf.DUMMYFUNCTION("""COMPUTED_VALUE"""),40.0)</f>
        <v>40</v>
      </c>
      <c r="K2656" s="18">
        <f>IFERROR(__xludf.DUMMYFUNCTION("""COMPUTED_VALUE"""),30.0)</f>
        <v>30</v>
      </c>
      <c r="L2656" s="17">
        <f>IFERROR(__xludf.DUMMYFUNCTION("""COMPUTED_VALUE"""),3.116345472E9)</f>
        <v>3116345472</v>
      </c>
      <c r="M2656" s="17" t="str">
        <f>IFERROR(__xludf.DUMMYFUNCTION("""COMPUTED_VALUE"""),"#REF!")</f>
        <v>#REF!</v>
      </c>
      <c r="N2656" s="17"/>
      <c r="O2656" s="17"/>
      <c r="P2656" s="17" t="b">
        <f>IFERROR(__xludf.DUMMYFUNCTION("""COMPUTED_VALUE"""),FALSE)</f>
        <v>0</v>
      </c>
      <c r="Q2656" s="20" t="str">
        <f>IFERROR(__xludf.DUMMYFUNCTION("""COMPUTED_VALUE"""),"")</f>
        <v/>
      </c>
      <c r="R2656" s="21" t="str">
        <f>IFERROR(__xludf.DUMMYFUNCTION("""COMPUTED_VALUE"""),"https://drive.google.com/file/d/14kfSmZK2fWL2NSPtYHyevLyhvdOTIrAp/view?usp=drivesdk")</f>
        <v>https://drive.google.com/file/d/14kfSmZK2fWL2NSPtYHyevLyhvdOTIrAp/view?usp=drivesdk</v>
      </c>
    </row>
    <row r="2657">
      <c r="A2657" s="17" t="str">
        <f>IFERROR(__xludf.DUMMYFUNCTION("""COMPUTED_VALUE"""),"")</f>
        <v/>
      </c>
      <c r="B2657" s="17" t="str">
        <f>IFERROR(__xludf.DUMMYFUNCTION("""COMPUTED_VALUE"""),"")</f>
        <v/>
      </c>
      <c r="C2657" s="17" t="str">
        <f>IFERROR(__xludf.DUMMYFUNCTION("""COMPUTED_VALUE"""),"")</f>
        <v/>
      </c>
      <c r="D2657" s="17" t="str">
        <f>IFERROR(__xludf.DUMMYFUNCTION("""COMPUTED_VALUE"""),"")</f>
        <v/>
      </c>
      <c r="E2657" s="17" t="str">
        <f>IFERROR(__xludf.DUMMYFUNCTION("""COMPUTED_VALUE"""),"")</f>
        <v/>
      </c>
      <c r="F2657" s="17" t="str">
        <f>IFERROR(__xludf.DUMMYFUNCTION("""COMPUTED_VALUE"""),"")</f>
        <v/>
      </c>
      <c r="G2657" s="17" t="str">
        <f>IFERROR(__xludf.DUMMYFUNCTION("""COMPUTED_VALUE"""),"")</f>
        <v/>
      </c>
      <c r="H2657" s="17" t="str">
        <f>IFERROR(__xludf.DUMMYFUNCTION("""COMPUTED_VALUE"""),"")</f>
        <v/>
      </c>
      <c r="I2657" s="17" t="str">
        <f>IFERROR(__xludf.DUMMYFUNCTION("""COMPUTED_VALUE"""),"")</f>
        <v/>
      </c>
      <c r="J2657" s="17" t="str">
        <f>IFERROR(__xludf.DUMMYFUNCTION("""COMPUTED_VALUE"""),"")</f>
        <v/>
      </c>
      <c r="K2657" s="17" t="str">
        <f>IFERROR(__xludf.DUMMYFUNCTION("""COMPUTED_VALUE"""),"")</f>
        <v/>
      </c>
      <c r="L2657" s="17" t="str">
        <f>IFERROR(__xludf.DUMMYFUNCTION("""COMPUTED_VALUE"""),"")</f>
        <v/>
      </c>
      <c r="M2657" s="17" t="str">
        <f>IFERROR(__xludf.DUMMYFUNCTION("""COMPUTED_VALUE"""),"")</f>
        <v/>
      </c>
      <c r="N2657" s="17" t="str">
        <f>IFERROR(__xludf.DUMMYFUNCTION("""COMPUTED_VALUE"""),"")</f>
        <v/>
      </c>
      <c r="O2657" s="17" t="str">
        <f>IFERROR(__xludf.DUMMYFUNCTION("""COMPUTED_VALUE"""),"")</f>
        <v/>
      </c>
      <c r="P2657" s="17" t="str">
        <f>IFERROR(__xludf.DUMMYFUNCTION("""COMPUTED_VALUE"""),"")</f>
        <v/>
      </c>
      <c r="Q2657" s="17" t="str">
        <f>IFERROR(__xludf.DUMMYFUNCTION("""COMPUTED_VALUE"""),"")</f>
        <v/>
      </c>
      <c r="R2657" s="17" t="str">
        <f>IFERROR(__xludf.DUMMYFUNCTION("""COMPUTED_VALUE"""),"")</f>
        <v/>
      </c>
    </row>
    <row r="2658">
      <c r="A2658" s="15">
        <f>IFERROR(__xludf.DUMMYFUNCTION("""COMPUTED_VALUE"""),45079.0)</f>
        <v>45079</v>
      </c>
      <c r="B2658" s="16" t="str">
        <f>IFERROR(__xludf.DUMMYFUNCTION("""COMPUTED_VALUE"""),"Envia")</f>
        <v>Envia</v>
      </c>
      <c r="C2658" s="15" t="str">
        <f>IFERROR(__xludf.DUMMYFUNCTION("""COMPUTED_VALUE"""),"BARRANQUILLA")</f>
        <v>BARRANQUILLA</v>
      </c>
      <c r="D2658" s="15" t="str">
        <f>IFERROR(__xludf.DUMMYFUNCTION("""COMPUTED_VALUE"""),"BOGOTÁ")</f>
        <v>BOGOTÁ</v>
      </c>
      <c r="E2658" s="15" t="str">
        <f>IFERROR(__xludf.DUMMYFUNCTION("""COMPUTED_VALUE"""),"Evamazzita")</f>
        <v>Evamazzita</v>
      </c>
      <c r="F2658" s="17" t="str">
        <f>IFERROR(__xludf.DUMMYFUNCTION("""COMPUTED_VALUE"""),"CARRERA 34 # 65 - 35  / APTO. 1B  / BARRIO RECREO")</f>
        <v>CARRERA 34 # 65 - 35  / APTO. 1B  / BARRIO RECREO</v>
      </c>
      <c r="G2658" s="15" t="str">
        <f>IFERROR(__xludf.DUMMYFUNCTION("""COMPUTED_VALUE"""),"ALEXANDRA VASQUEZ")</f>
        <v>ALEXANDRA VASQUEZ</v>
      </c>
      <c r="H2658" s="16">
        <f>IFERROR(__xludf.DUMMYFUNCTION("""COMPUTED_VALUE"""),11210.0)</f>
        <v>11210</v>
      </c>
      <c r="I2658" s="18">
        <f>IFERROR(__xludf.DUMMYFUNCTION("""COMPUTED_VALUE"""),3.0)</f>
        <v>3</v>
      </c>
      <c r="J2658" s="18">
        <f>IFERROR(__xludf.DUMMYFUNCTION("""COMPUTED_VALUE"""),20.0)</f>
        <v>20</v>
      </c>
      <c r="K2658" s="18">
        <f>IFERROR(__xludf.DUMMYFUNCTION("""COMPUTED_VALUE"""),15.0)</f>
        <v>15</v>
      </c>
      <c r="L2658" s="17">
        <f>IFERROR(__xludf.DUMMYFUNCTION("""COMPUTED_VALUE"""),3.014597718E9)</f>
        <v>3014597718</v>
      </c>
      <c r="M2658" s="17" t="str">
        <f>IFERROR(__xludf.DUMMYFUNCTION("""COMPUTED_VALUE"""),"#REF!")</f>
        <v>#REF!</v>
      </c>
      <c r="N2658" s="17"/>
      <c r="O2658" s="17"/>
      <c r="P2658" s="17" t="b">
        <f>IFERROR(__xludf.DUMMYFUNCTION("""COMPUTED_VALUE"""),FALSE)</f>
        <v>0</v>
      </c>
      <c r="Q2658" s="20" t="str">
        <f>IFERROR(__xludf.DUMMYFUNCTION("""COMPUTED_VALUE"""),"")</f>
        <v/>
      </c>
      <c r="R2658" s="22" t="str">
        <f>IFERROR(__xludf.DUMMYFUNCTION("""COMPUTED_VALUE"""),"")</f>
        <v/>
      </c>
    </row>
    <row r="2659">
      <c r="A2659" s="15">
        <f>IFERROR(__xludf.DUMMYFUNCTION("""COMPUTED_VALUE"""),45079.0)</f>
        <v>45079</v>
      </c>
      <c r="B2659" s="16" t="str">
        <f>IFERROR(__xludf.DUMMYFUNCTION("""COMPUTED_VALUE"""),"Envia")</f>
        <v>Envia</v>
      </c>
      <c r="C2659" s="15" t="str">
        <f>IFERROR(__xludf.DUMMYFUNCTION("""COMPUTED_VALUE"""),"BARRANQUILLA")</f>
        <v>BARRANQUILLA</v>
      </c>
      <c r="D2659" s="15" t="str">
        <f>IFERROR(__xludf.DUMMYFUNCTION("""COMPUTED_VALUE"""),"BOGOTÁ")</f>
        <v>BOGOTÁ</v>
      </c>
      <c r="E2659" s="15" t="str">
        <f>IFERROR(__xludf.DUMMYFUNCTION("""COMPUTED_VALUE"""),"Frambascolombia sas")</f>
        <v>Frambascolombia sas</v>
      </c>
      <c r="F2659" s="17" t="str">
        <f>IFERROR(__xludf.DUMMYFUNCTION("""COMPUTED_VALUE"""),"Cra 53 # 80-284 / local 2")</f>
        <v>Cra 53 # 80-284 / local 2</v>
      </c>
      <c r="G2659" s="15" t="str">
        <f>IFERROR(__xludf.DUMMYFUNCTION("""COMPUTED_VALUE"""),"CORPOFIT")</f>
        <v>CORPOFIT</v>
      </c>
      <c r="H2659" s="16">
        <f>IFERROR(__xludf.DUMMYFUNCTION("""COMPUTED_VALUE"""),11065.0)</f>
        <v>11065</v>
      </c>
      <c r="I2659" s="18">
        <f>IFERROR(__xludf.DUMMYFUNCTION("""COMPUTED_VALUE"""),8.0)</f>
        <v>8</v>
      </c>
      <c r="J2659" s="18">
        <f>IFERROR(__xludf.DUMMYFUNCTION("""COMPUTED_VALUE"""),44992.0)</f>
        <v>44992</v>
      </c>
      <c r="K2659" s="18">
        <f>IFERROR(__xludf.DUMMYFUNCTION("""COMPUTED_VALUE"""),44992.0)</f>
        <v>44992</v>
      </c>
      <c r="L2659" s="17">
        <f>IFERROR(__xludf.DUMMYFUNCTION("""COMPUTED_VALUE"""),3.145957597E9)</f>
        <v>3145957597</v>
      </c>
      <c r="M2659" s="17" t="str">
        <f>IFERROR(__xludf.DUMMYFUNCTION("""COMPUTED_VALUE"""),"#REF!")</f>
        <v>#REF!</v>
      </c>
      <c r="N2659" s="17"/>
      <c r="O2659" s="17"/>
      <c r="P2659" s="17" t="b">
        <f>IFERROR(__xludf.DUMMYFUNCTION("""COMPUTED_VALUE"""),FALSE)</f>
        <v>0</v>
      </c>
      <c r="Q2659" s="20" t="str">
        <f>IFERROR(__xludf.DUMMYFUNCTION("""COMPUTED_VALUE"""),"")</f>
        <v/>
      </c>
      <c r="R2659" s="21" t="str">
        <f>IFERROR(__xludf.DUMMYFUNCTION("""COMPUTED_VALUE"""),"https://drive.google.com/file/d/1lyxgx1b0JPqAlKaxoAJQzWrbkQ1PZEtZ/view?usp=drivesdk")</f>
        <v>https://drive.google.com/file/d/1lyxgx1b0JPqAlKaxoAJQzWrbkQ1PZEtZ/view?usp=drivesdk</v>
      </c>
    </row>
    <row r="2660">
      <c r="A2660" s="15">
        <f>IFERROR(__xludf.DUMMYFUNCTION("""COMPUTED_VALUE"""),45079.0)</f>
        <v>45079</v>
      </c>
      <c r="B2660" s="16" t="str">
        <f>IFERROR(__xludf.DUMMYFUNCTION("""COMPUTED_VALUE"""),"Envia")</f>
        <v>Envia</v>
      </c>
      <c r="C2660" s="15" t="str">
        <f>IFERROR(__xludf.DUMMYFUNCTION("""COMPUTED_VALUE"""),"BARRANQUILLA")</f>
        <v>BARRANQUILLA</v>
      </c>
      <c r="D2660" s="15" t="str">
        <f>IFERROR(__xludf.DUMMYFUNCTION("""COMPUTED_VALUE"""),"BOGOTÁ")</f>
        <v>BOGOTÁ</v>
      </c>
      <c r="E2660" s="15" t="str">
        <f>IFERROR(__xludf.DUMMYFUNCTION("""COMPUTED_VALUE"""),"Frambascolombia sas")</f>
        <v>Frambascolombia sas</v>
      </c>
      <c r="F2660" s="17" t="str">
        <f>IFERROR(__xludf.DUMMYFUNCTION("""COMPUTED_VALUE"""),"Cra 53 # 80-284 / local 2")</f>
        <v>Cra 53 # 80-284 / local 2</v>
      </c>
      <c r="G2660" s="15" t="str">
        <f>IFERROR(__xludf.DUMMYFUNCTION("""COMPUTED_VALUE"""),"CORPOFIT")</f>
        <v>CORPOFIT</v>
      </c>
      <c r="H2660" s="16">
        <f>IFERROR(__xludf.DUMMYFUNCTION("""COMPUTED_VALUE"""),11066.0)</f>
        <v>11066</v>
      </c>
      <c r="I2660" s="18">
        <f>IFERROR(__xludf.DUMMYFUNCTION("""COMPUTED_VALUE"""),11.0)</f>
        <v>11</v>
      </c>
      <c r="J2660" s="18">
        <f>IFERROR(__xludf.DUMMYFUNCTION("""COMPUTED_VALUE"""),9.0)</f>
        <v>9</v>
      </c>
      <c r="K2660" s="18">
        <f>IFERROR(__xludf.DUMMYFUNCTION("""COMPUTED_VALUE"""),9.0)</f>
        <v>9</v>
      </c>
      <c r="L2660" s="17">
        <f>IFERROR(__xludf.DUMMYFUNCTION("""COMPUTED_VALUE"""),3.145957597E9)</f>
        <v>3145957597</v>
      </c>
      <c r="M2660" s="17" t="str">
        <f>IFERROR(__xludf.DUMMYFUNCTION("""COMPUTED_VALUE"""),"#REF!")</f>
        <v>#REF!</v>
      </c>
      <c r="N2660" s="17"/>
      <c r="O2660" s="17"/>
      <c r="P2660" s="17" t="b">
        <f>IFERROR(__xludf.DUMMYFUNCTION("""COMPUTED_VALUE"""),FALSE)</f>
        <v>0</v>
      </c>
      <c r="Q2660" s="20" t="str">
        <f>IFERROR(__xludf.DUMMYFUNCTION("""COMPUTED_VALUE"""),"")</f>
        <v/>
      </c>
      <c r="R2660" s="22" t="str">
        <f>IFERROR(__xludf.DUMMYFUNCTION("""COMPUTED_VALUE"""),"")</f>
        <v/>
      </c>
    </row>
    <row r="2661">
      <c r="A2661" s="15">
        <f>IFERROR(__xludf.DUMMYFUNCTION("""COMPUTED_VALUE"""),45079.0)</f>
        <v>45079</v>
      </c>
      <c r="B2661" s="16" t="str">
        <f>IFERROR(__xludf.DUMMYFUNCTION("""COMPUTED_VALUE"""),"Envia")</f>
        <v>Envia</v>
      </c>
      <c r="C2661" s="15" t="str">
        <f>IFERROR(__xludf.DUMMYFUNCTION("""COMPUTED_VALUE"""),"BARRANQUILLA")</f>
        <v>BARRANQUILLA</v>
      </c>
      <c r="D2661" s="15" t="str">
        <f>IFERROR(__xludf.DUMMYFUNCTION("""COMPUTED_VALUE"""),"BOGOTÁ")</f>
        <v>BOGOTÁ</v>
      </c>
      <c r="E2661" s="15" t="str">
        <f>IFERROR(__xludf.DUMMYFUNCTION("""COMPUTED_VALUE"""),"Top Spun")</f>
        <v>Top Spun</v>
      </c>
      <c r="F2661" s="17" t="str">
        <f>IFERROR(__xludf.DUMMYFUNCTION("""COMPUTED_VALUE"""),"Cra 47 # 64-24 /  Bostón  Casa  / Barranquilla")</f>
        <v>Cra 47 # 64-24 /  Bostón  Casa  / Barranquilla</v>
      </c>
      <c r="G2661" s="15" t="str">
        <f>IFERROR(__xludf.DUMMYFUNCTION("""COMPUTED_VALUE"""),"Gisella ospino villa")</f>
        <v>Gisella ospino villa</v>
      </c>
      <c r="H2661" s="16">
        <f>IFERROR(__xludf.DUMMYFUNCTION("""COMPUTED_VALUE"""),11122.0)</f>
        <v>11122</v>
      </c>
      <c r="I2661" s="18">
        <f>IFERROR(__xludf.DUMMYFUNCTION("""COMPUTED_VALUE"""),15.0)</f>
        <v>15</v>
      </c>
      <c r="J2661" s="18">
        <f>IFERROR(__xludf.DUMMYFUNCTION("""COMPUTED_VALUE"""),10.0)</f>
        <v>10</v>
      </c>
      <c r="K2661" s="18">
        <f>IFERROR(__xludf.DUMMYFUNCTION("""COMPUTED_VALUE"""),40.0)</f>
        <v>40</v>
      </c>
      <c r="L2661" s="17">
        <f>IFERROR(__xludf.DUMMYFUNCTION("""COMPUTED_VALUE"""),3.017052863E9)</f>
        <v>3017052863</v>
      </c>
      <c r="M2661" s="17" t="str">
        <f>IFERROR(__xludf.DUMMYFUNCTION("""COMPUTED_VALUE"""),"#REF!")</f>
        <v>#REF!</v>
      </c>
      <c r="N2661" s="17"/>
      <c r="O2661" s="17"/>
      <c r="P2661" s="17" t="b">
        <f>IFERROR(__xludf.DUMMYFUNCTION("""COMPUTED_VALUE"""),FALSE)</f>
        <v>0</v>
      </c>
      <c r="Q2661" s="20" t="str">
        <f>IFERROR(__xludf.DUMMYFUNCTION("""COMPUTED_VALUE"""),"")</f>
        <v/>
      </c>
      <c r="R2661" s="22" t="str">
        <f>IFERROR(__xludf.DUMMYFUNCTION("""COMPUTED_VALUE"""),"")</f>
        <v/>
      </c>
    </row>
    <row r="2662">
      <c r="A2662" s="15">
        <f>IFERROR(__xludf.DUMMYFUNCTION("""COMPUTED_VALUE"""),45079.0)</f>
        <v>45079</v>
      </c>
      <c r="B2662" s="16" t="str">
        <f>IFERROR(__xludf.DUMMYFUNCTION("""COMPUTED_VALUE"""),"Envia")</f>
        <v>Envia</v>
      </c>
      <c r="C2662" s="15" t="str">
        <f>IFERROR(__xludf.DUMMYFUNCTION("""COMPUTED_VALUE"""),"BARRANQUILLA")</f>
        <v>BARRANQUILLA</v>
      </c>
      <c r="D2662" s="15" t="str">
        <f>IFERROR(__xludf.DUMMYFUNCTION("""COMPUTED_VALUE"""),"BOGOTÁ")</f>
        <v>BOGOTÁ</v>
      </c>
      <c r="E2662" s="15" t="str">
        <f>IFERROR(__xludf.DUMMYFUNCTION("""COMPUTED_VALUE"""),"Viiva Fermentados")</f>
        <v>Viiva Fermentados</v>
      </c>
      <c r="F2662" s="17" t="str">
        <f>IFERROR(__xludf.DUMMYFUNCTION("""COMPUTED_VALUE"""),"Cl. 92 #49C 73 / Tienda Ecosiente / barranquilla")</f>
        <v>Cl. 92 #49C 73 / Tienda Ecosiente / barranquilla</v>
      </c>
      <c r="G2662" s="15" t="str">
        <f>IFERROR(__xludf.DUMMYFUNCTION("""COMPUTED_VALUE"""),"Ecosiente")</f>
        <v>Ecosiente</v>
      </c>
      <c r="H2662" s="16">
        <f>IFERROR(__xludf.DUMMYFUNCTION("""COMPUTED_VALUE"""),11151.0)</f>
        <v>11151</v>
      </c>
      <c r="I2662" s="18">
        <f>IFERROR(__xludf.DUMMYFUNCTION("""COMPUTED_VALUE"""),26.0)</f>
        <v>26</v>
      </c>
      <c r="J2662" s="18">
        <f>IFERROR(__xludf.DUMMYFUNCTION("""COMPUTED_VALUE"""),18.0)</f>
        <v>18</v>
      </c>
      <c r="K2662" s="18">
        <f>IFERROR(__xludf.DUMMYFUNCTION("""COMPUTED_VALUE"""),18.0)</f>
        <v>18</v>
      </c>
      <c r="L2662" s="17">
        <f>IFERROR(__xludf.DUMMYFUNCTION("""COMPUTED_VALUE"""),3.1652726E9)</f>
        <v>3165272600</v>
      </c>
      <c r="M2662" s="17" t="str">
        <f>IFERROR(__xludf.DUMMYFUNCTION("""COMPUTED_VALUE"""),"#REF!")</f>
        <v>#REF!</v>
      </c>
      <c r="N2662" s="17"/>
      <c r="O2662" s="17"/>
      <c r="P2662" s="17" t="b">
        <f>IFERROR(__xludf.DUMMYFUNCTION("""COMPUTED_VALUE"""),FALSE)</f>
        <v>0</v>
      </c>
      <c r="Q2662" s="20" t="str">
        <f>IFERROR(__xludf.DUMMYFUNCTION("""COMPUTED_VALUE"""),"")</f>
        <v/>
      </c>
      <c r="R2662" s="21" t="str">
        <f>IFERROR(__xludf.DUMMYFUNCTION("""COMPUTED_VALUE"""),"https://drive.google.com/file/d/1EIankLXTEdk_oN5ielskq0jB6_mzN_WY/view?usp=drivesdk")</f>
        <v>https://drive.google.com/file/d/1EIankLXTEdk_oN5ielskq0jB6_mzN_WY/view?usp=drivesdk</v>
      </c>
    </row>
    <row r="2663">
      <c r="A2663" s="15">
        <f>IFERROR(__xludf.DUMMYFUNCTION("""COMPUTED_VALUE"""),45079.0)</f>
        <v>45079</v>
      </c>
      <c r="B2663" s="16" t="str">
        <f>IFERROR(__xludf.DUMMYFUNCTION("""COMPUTED_VALUE"""),"Envia")</f>
        <v>Envia</v>
      </c>
      <c r="C2663" s="15" t="str">
        <f>IFERROR(__xludf.DUMMYFUNCTION("""COMPUTED_VALUE"""),"BARRANQUILLA")</f>
        <v>BARRANQUILLA</v>
      </c>
      <c r="D2663" s="15" t="str">
        <f>IFERROR(__xludf.DUMMYFUNCTION("""COMPUTED_VALUE"""),"MEDELLÍN")</f>
        <v>MEDELLÍN</v>
      </c>
      <c r="E2663" s="15" t="str">
        <f>IFERROR(__xludf.DUMMYFUNCTION("""COMPUTED_VALUE"""),"Rambla")</f>
        <v>Rambla</v>
      </c>
      <c r="F2663" s="17" t="str">
        <f>IFERROR(__xludf.DUMMYFUNCTION("""COMPUTED_VALUE"""),"CARRERA 74 #76-74 / na / na")</f>
        <v>CARRERA 74 #76-74 / na / na</v>
      </c>
      <c r="G2663" s="15" t="str">
        <f>IFERROR(__xludf.DUMMYFUNCTION("""COMPUTED_VALUE"""),"Fit Hub")</f>
        <v>Fit Hub</v>
      </c>
      <c r="H2663" s="16">
        <f>IFERROR(__xludf.DUMMYFUNCTION("""COMPUTED_VALUE"""),11225.0)</f>
        <v>11225</v>
      </c>
      <c r="I2663" s="18">
        <f>IFERROR(__xludf.DUMMYFUNCTION("""COMPUTED_VALUE"""),20.0)</f>
        <v>20</v>
      </c>
      <c r="J2663" s="18">
        <f>IFERROR(__xludf.DUMMYFUNCTION("""COMPUTED_VALUE"""),22.0)</f>
        <v>22</v>
      </c>
      <c r="K2663" s="18">
        <f>IFERROR(__xludf.DUMMYFUNCTION("""COMPUTED_VALUE"""),25.0)</f>
        <v>25</v>
      </c>
      <c r="L2663" s="17">
        <f>IFERROR(__xludf.DUMMYFUNCTION("""COMPUTED_VALUE"""),3.157039547E9)</f>
        <v>3157039547</v>
      </c>
      <c r="M2663" s="17" t="str">
        <f>IFERROR(__xludf.DUMMYFUNCTION("""COMPUTED_VALUE"""),"#REF!")</f>
        <v>#REF!</v>
      </c>
      <c r="N2663" s="17"/>
      <c r="O2663" s="17"/>
      <c r="P2663" s="17" t="b">
        <f>IFERROR(__xludf.DUMMYFUNCTION("""COMPUTED_VALUE"""),FALSE)</f>
        <v>0</v>
      </c>
      <c r="Q2663" s="20" t="str">
        <f>IFERROR(__xludf.DUMMYFUNCTION("""COMPUTED_VALUE"""),"")</f>
        <v/>
      </c>
      <c r="R2663" s="21" t="str">
        <f>IFERROR(__xludf.DUMMYFUNCTION("""COMPUTED_VALUE"""),"https://drive.google.com/file/d/1oSMpmvUxA2TaqVAG9D8-PapBC1s6y58_/view?usp=drivesdk")</f>
        <v>https://drive.google.com/file/d/1oSMpmvUxA2TaqVAG9D8-PapBC1s6y58_/view?usp=drivesdk</v>
      </c>
    </row>
    <row r="2664">
      <c r="A2664" s="15">
        <f>IFERROR(__xludf.DUMMYFUNCTION("""COMPUTED_VALUE"""),45079.0)</f>
        <v>45079</v>
      </c>
      <c r="B2664" s="16" t="str">
        <f>IFERROR(__xludf.DUMMYFUNCTION("""COMPUTED_VALUE"""),"Envia")</f>
        <v>Envia</v>
      </c>
      <c r="C2664" s="15" t="str">
        <f>IFERROR(__xludf.DUMMYFUNCTION("""COMPUTED_VALUE"""),"BARRANQUILLA")</f>
        <v>BARRANQUILLA</v>
      </c>
      <c r="D2664" s="15" t="str">
        <f>IFERROR(__xludf.DUMMYFUNCTION("""COMPUTED_VALUE"""),"MEDELLÍN")</f>
        <v>MEDELLÍN</v>
      </c>
      <c r="E2664" s="15" t="str">
        <f>IFERROR(__xludf.DUMMYFUNCTION("""COMPUTED_VALUE"""),"Todo Bufala")</f>
        <v>Todo Bufala</v>
      </c>
      <c r="F2664" s="17" t="str">
        <f>IFERROR(__xludf.DUMMYFUNCTION("""COMPUTED_VALUE"""),"cra 43 n. 84-74 / centro nutricional local 3")</f>
        <v>cra 43 n. 84-74 / centro nutricional local 3</v>
      </c>
      <c r="G2664" s="15" t="str">
        <f>IFERROR(__xludf.DUMMYFUNCTION("""COMPUTED_VALUE"""),"Eliana Sarmiento")</f>
        <v>Eliana Sarmiento</v>
      </c>
      <c r="H2664" s="17"/>
      <c r="I2664" s="18">
        <f>IFERROR(__xludf.DUMMYFUNCTION("""COMPUTED_VALUE"""),21.0)</f>
        <v>21</v>
      </c>
      <c r="J2664" s="18">
        <f>IFERROR(__xludf.DUMMYFUNCTION("""COMPUTED_VALUE"""),29.0)</f>
        <v>29</v>
      </c>
      <c r="K2664" s="18">
        <f>IFERROR(__xludf.DUMMYFUNCTION("""COMPUTED_VALUE"""),40.0)</f>
        <v>40</v>
      </c>
      <c r="L2664" s="17">
        <f>IFERROR(__xludf.DUMMYFUNCTION("""COMPUTED_VALUE"""),3.226082052E9)</f>
        <v>3226082052</v>
      </c>
      <c r="M2664" s="17" t="str">
        <f>IFERROR(__xludf.DUMMYFUNCTION("""COMPUTED_VALUE"""),"#REF!")</f>
        <v>#REF!</v>
      </c>
      <c r="N2664" s="17"/>
      <c r="O2664" s="17"/>
      <c r="P2664" s="17" t="b">
        <f>IFERROR(__xludf.DUMMYFUNCTION("""COMPUTED_VALUE"""),FALSE)</f>
        <v>0</v>
      </c>
      <c r="Q2664" s="20" t="str">
        <f>IFERROR(__xludf.DUMMYFUNCTION("""COMPUTED_VALUE"""),"")</f>
        <v/>
      </c>
      <c r="R2664" s="21" t="str">
        <f>IFERROR(__xludf.DUMMYFUNCTION("""COMPUTED_VALUE"""),"https://drive.google.com/file/d/1KrWAv98JEerdagJtoRazbOXVYlGO979U/view?usp=drivesdk")</f>
        <v>https://drive.google.com/file/d/1KrWAv98JEerdagJtoRazbOXVYlGO979U/view?usp=drivesdk</v>
      </c>
    </row>
    <row r="2665">
      <c r="A2665" s="15">
        <f>IFERROR(__xludf.DUMMYFUNCTION("""COMPUTED_VALUE"""),45079.0)</f>
        <v>45079</v>
      </c>
      <c r="B2665" s="16" t="str">
        <f>IFERROR(__xludf.DUMMYFUNCTION("""COMPUTED_VALUE"""),"Envia")</f>
        <v>Envia</v>
      </c>
      <c r="C2665" s="15" t="str">
        <f>IFERROR(__xludf.DUMMYFUNCTION("""COMPUTED_VALUE"""),"BOGOTÁ")</f>
        <v>BOGOTÁ</v>
      </c>
      <c r="D2665" s="15" t="str">
        <f>IFERROR(__xludf.DUMMYFUNCTION("""COMPUTED_VALUE"""),"MEDELLÍN")</f>
        <v>MEDELLÍN</v>
      </c>
      <c r="E2665" s="15" t="str">
        <f>IFERROR(__xludf.DUMMYFUNCTION("""COMPUTED_VALUE"""),"Baby Chef")</f>
        <v>Baby Chef</v>
      </c>
      <c r="F2665" s="17" t="str">
        <f>IFERROR(__xludf.DUMMYFUNCTION("""COMPUTED_VALUE"""),"Carrera 11C # 116 - 20 Santa bárbara central Edificio Barú 2 Apartamento 409 / Carrera 11C # 116 - 20 Santa bárbara central Edificio Barú 2 Apartamento 409 / Carrera 11C # 116 - 20 Santa bárbara central Edificio Barú 2 Apartamento 409")</f>
        <v>Carrera 11C # 116 - 20 Santa bárbara central Edificio Barú 2 Apartamento 409 / Carrera 11C # 116 - 20 Santa bárbara central Edificio Barú 2 Apartamento 409 / Carrera 11C # 116 - 20 Santa bárbara central Edificio Barú 2 Apartamento 409</v>
      </c>
      <c r="G2665" s="15" t="str">
        <f>IFERROR(__xludf.DUMMYFUNCTION("""COMPUTED_VALUE"""),"Isabela Tejada Contreras")</f>
        <v>Isabela Tejada Contreras</v>
      </c>
      <c r="H2665" s="16">
        <f>IFERROR(__xludf.DUMMYFUNCTION("""COMPUTED_VALUE"""),11274.0)</f>
        <v>11274</v>
      </c>
      <c r="I2665" s="18">
        <f>IFERROR(__xludf.DUMMYFUNCTION("""COMPUTED_VALUE"""),8.0)</f>
        <v>8</v>
      </c>
      <c r="J2665" s="18">
        <f>IFERROR(__xludf.DUMMYFUNCTION("""COMPUTED_VALUE"""),16.0)</f>
        <v>16</v>
      </c>
      <c r="K2665" s="18">
        <f>IFERROR(__xludf.DUMMYFUNCTION("""COMPUTED_VALUE"""),20.0)</f>
        <v>20</v>
      </c>
      <c r="L2665" s="17">
        <f>IFERROR(__xludf.DUMMYFUNCTION("""COMPUTED_VALUE"""),3.102288527E9)</f>
        <v>3102288527</v>
      </c>
      <c r="M2665" s="17" t="str">
        <f>IFERROR(__xludf.DUMMYFUNCTION("""COMPUTED_VALUE"""),"#REF!")</f>
        <v>#REF!</v>
      </c>
      <c r="N2665" s="17"/>
      <c r="O2665" s="17"/>
      <c r="P2665" s="17" t="b">
        <f>IFERROR(__xludf.DUMMYFUNCTION("""COMPUTED_VALUE"""),FALSE)</f>
        <v>0</v>
      </c>
      <c r="Q2665" s="20" t="str">
        <f>IFERROR(__xludf.DUMMYFUNCTION("""COMPUTED_VALUE"""),"")</f>
        <v/>
      </c>
      <c r="R2665" s="21" t="str">
        <f>IFERROR(__xludf.DUMMYFUNCTION("""COMPUTED_VALUE"""),"https://drive.google.com/file/d/1JxADf3NvHLz47kxx47AyXnmh-uJJYKqK/view?usp=drivesdk")</f>
        <v>https://drive.google.com/file/d/1JxADf3NvHLz47kxx47AyXnmh-uJJYKqK/view?usp=drivesdk</v>
      </c>
    </row>
    <row r="2666">
      <c r="A2666" s="15">
        <f>IFERROR(__xludf.DUMMYFUNCTION("""COMPUTED_VALUE"""),45079.0)</f>
        <v>45079</v>
      </c>
      <c r="B2666" s="16" t="str">
        <f>IFERROR(__xludf.DUMMYFUNCTION("""COMPUTED_VALUE"""),"Envia")</f>
        <v>Envia</v>
      </c>
      <c r="C2666" s="15" t="str">
        <f>IFERROR(__xludf.DUMMYFUNCTION("""COMPUTED_VALUE"""),"BOGOTÁ")</f>
        <v>BOGOTÁ</v>
      </c>
      <c r="D2666" s="15" t="str">
        <f>IFERROR(__xludf.DUMMYFUNCTION("""COMPUTED_VALUE"""),"MEDELLÍN")</f>
        <v>MEDELLÍN</v>
      </c>
      <c r="E2666" s="15" t="str">
        <f>IFERROR(__xludf.DUMMYFUNCTION("""COMPUTED_VALUE"""),"Biota")</f>
        <v>Biota</v>
      </c>
      <c r="F2666" s="17" t="str">
        <f>IFERROR(__xludf.DUMMYFUNCTION("""COMPUTED_VALUE"""),"Calle 90 # 13a – 93  / Tienda dietetica  / Tienda saludable, Muestras de productos para tienda")</f>
        <v>Calle 90 # 13a – 93  / Tienda dietetica  / Tienda saludable, Muestras de productos para tienda</v>
      </c>
      <c r="G2666" s="15" t="str">
        <f>IFERROR(__xludf.DUMMYFUNCTION("""COMPUTED_VALUE"""),"Mercados saludables en Bogotá")</f>
        <v>Mercados saludables en Bogotá</v>
      </c>
      <c r="H2666" s="16">
        <f>IFERROR(__xludf.DUMMYFUNCTION("""COMPUTED_VALUE"""),11238.0)</f>
        <v>11238</v>
      </c>
      <c r="I2666" s="18">
        <f>IFERROR(__xludf.DUMMYFUNCTION("""COMPUTED_VALUE"""),30.0)</f>
        <v>30</v>
      </c>
      <c r="J2666" s="18">
        <f>IFERROR(__xludf.DUMMYFUNCTION("""COMPUTED_VALUE"""),20.0)</f>
        <v>20</v>
      </c>
      <c r="K2666" s="18">
        <f>IFERROR(__xludf.DUMMYFUNCTION("""COMPUTED_VALUE"""),32.0)</f>
        <v>32</v>
      </c>
      <c r="L2666" s="17">
        <f>IFERROR(__xludf.DUMMYFUNCTION("""COMPUTED_VALUE"""),3.002440879E9)</f>
        <v>3002440879</v>
      </c>
      <c r="M2666" s="17" t="str">
        <f>IFERROR(__xludf.DUMMYFUNCTION("""COMPUTED_VALUE"""),"#REF!")</f>
        <v>#REF!</v>
      </c>
      <c r="N2666" s="17"/>
      <c r="O2666" s="17"/>
      <c r="P2666" s="17" t="b">
        <f>IFERROR(__xludf.DUMMYFUNCTION("""COMPUTED_VALUE"""),FALSE)</f>
        <v>0</v>
      </c>
      <c r="Q2666" s="20" t="str">
        <f>IFERROR(__xludf.DUMMYFUNCTION("""COMPUTED_VALUE"""),"")</f>
        <v/>
      </c>
      <c r="R2666" s="21" t="str">
        <f>IFERROR(__xludf.DUMMYFUNCTION("""COMPUTED_VALUE"""),"https://drive.google.com/file/d/1HSuRWslKbUE01AXfsYYbB12p_gNImVoN/view?usp=drivesdk")</f>
        <v>https://drive.google.com/file/d/1HSuRWslKbUE01AXfsYYbB12p_gNImVoN/view?usp=drivesdk</v>
      </c>
    </row>
    <row r="2667">
      <c r="A2667" s="15">
        <f>IFERROR(__xludf.DUMMYFUNCTION("""COMPUTED_VALUE"""),45079.0)</f>
        <v>45079</v>
      </c>
      <c r="B2667" s="16" t="str">
        <f>IFERROR(__xludf.DUMMYFUNCTION("""COMPUTED_VALUE"""),"Envia")</f>
        <v>Envia</v>
      </c>
      <c r="C2667" s="15" t="str">
        <f>IFERROR(__xludf.DUMMYFUNCTION("""COMPUTED_VALUE"""),"BOGOTÁ")</f>
        <v>BOGOTÁ</v>
      </c>
      <c r="D2667" s="15" t="str">
        <f>IFERROR(__xludf.DUMMYFUNCTION("""COMPUTED_VALUE"""),"MEDELLÍN")</f>
        <v>MEDELLÍN</v>
      </c>
      <c r="E2667" s="15" t="str">
        <f>IFERROR(__xludf.DUMMYFUNCTION("""COMPUTED_VALUE"""),"Moloso S.A.S")</f>
        <v>Moloso S.A.S</v>
      </c>
      <c r="F2667" s="17" t="str">
        <f>IFERROR(__xludf.DUMMYFUNCTION("""COMPUTED_VALUE"""),"CR 23 106 B 64 / EDF MYSTIQUE 106")</f>
        <v>CR 23 106 B 64 / EDF MYSTIQUE 106</v>
      </c>
      <c r="G2667" s="15" t="str">
        <f>IFERROR(__xludf.DUMMYFUNCTION("""COMPUTED_VALUE"""),"MARIANA OSPINA")</f>
        <v>MARIANA OSPINA</v>
      </c>
      <c r="H2667" s="16">
        <f>IFERROR(__xludf.DUMMYFUNCTION("""COMPUTED_VALUE"""),11267.0)</f>
        <v>11267</v>
      </c>
      <c r="I2667" s="18">
        <f>IFERROR(__xludf.DUMMYFUNCTION("""COMPUTED_VALUE"""),17.0)</f>
        <v>17</v>
      </c>
      <c r="J2667" s="18">
        <f>IFERROR(__xludf.DUMMYFUNCTION("""COMPUTED_VALUE"""),15.0)</f>
        <v>15</v>
      </c>
      <c r="K2667" s="18">
        <f>IFERROR(__xludf.DUMMYFUNCTION("""COMPUTED_VALUE"""),28.0)</f>
        <v>28</v>
      </c>
      <c r="L2667" s="17">
        <f>IFERROR(__xludf.DUMMYFUNCTION("""COMPUTED_VALUE"""),3.017656611E9)</f>
        <v>3017656611</v>
      </c>
      <c r="M2667" s="17" t="str">
        <f>IFERROR(__xludf.DUMMYFUNCTION("""COMPUTED_VALUE"""),"#REF!")</f>
        <v>#REF!</v>
      </c>
      <c r="N2667" s="17"/>
      <c r="O2667" s="17"/>
      <c r="P2667" s="17" t="b">
        <f>IFERROR(__xludf.DUMMYFUNCTION("""COMPUTED_VALUE"""),FALSE)</f>
        <v>0</v>
      </c>
      <c r="Q2667" s="20" t="str">
        <f>IFERROR(__xludf.DUMMYFUNCTION("""COMPUTED_VALUE"""),"")</f>
        <v/>
      </c>
      <c r="R2667" s="21" t="str">
        <f>IFERROR(__xludf.DUMMYFUNCTION("""COMPUTED_VALUE"""),"https://drive.google.com/file/d/1OwOWPZLAQ3QBcWTl3HbBrGwDXYcVhn7i/view?usp=drivesdk")</f>
        <v>https://drive.google.com/file/d/1OwOWPZLAQ3QBcWTl3HbBrGwDXYcVhn7i/view?usp=drivesdk</v>
      </c>
    </row>
    <row r="2668">
      <c r="A2668" s="15">
        <f>IFERROR(__xludf.DUMMYFUNCTION("""COMPUTED_VALUE"""),45079.0)</f>
        <v>45079</v>
      </c>
      <c r="B2668" s="16" t="str">
        <f>IFERROR(__xludf.DUMMYFUNCTION("""COMPUTED_VALUE"""),"Envia")</f>
        <v>Envia</v>
      </c>
      <c r="C2668" s="15" t="str">
        <f>IFERROR(__xludf.DUMMYFUNCTION("""COMPUTED_VALUE"""),"CALI")</f>
        <v>CALI</v>
      </c>
      <c r="D2668" s="15" t="str">
        <f>IFERROR(__xludf.DUMMYFUNCTION("""COMPUTED_VALUE"""),"BOGOTÁ")</f>
        <v>BOGOTÁ</v>
      </c>
      <c r="E2668" s="15" t="str">
        <f>IFERROR(__xludf.DUMMYFUNCTION("""COMPUTED_VALUE"""),"Renata")</f>
        <v>Renata</v>
      </c>
      <c r="F2668" s="17" t="str">
        <f>IFERROR(__xludf.DUMMYFUNCTION("""COMPUTED_VALUE"""),"Carrera 3#3a-83 / Patio 34 food containers -restaurante  / San Fernando")</f>
        <v>Carrera 3#3a-83 / Patio 34 food containers -restaurante  / San Fernando</v>
      </c>
      <c r="G2668" s="15" t="str">
        <f>IFERROR(__xludf.DUMMYFUNCTION("""COMPUTED_VALUE"""),"Retaco sas")</f>
        <v>Retaco sas</v>
      </c>
      <c r="H2668" s="16">
        <f>IFERROR(__xludf.DUMMYFUNCTION("""COMPUTED_VALUE"""),11263.0)</f>
        <v>11263</v>
      </c>
      <c r="I2668" s="18">
        <f>IFERROR(__xludf.DUMMYFUNCTION("""COMPUTED_VALUE"""),90.0)</f>
        <v>90</v>
      </c>
      <c r="J2668" s="18">
        <f>IFERROR(__xludf.DUMMYFUNCTION("""COMPUTED_VALUE"""),70.0)</f>
        <v>70</v>
      </c>
      <c r="K2668" s="18">
        <f>IFERROR(__xludf.DUMMYFUNCTION("""COMPUTED_VALUE"""),60.0)</f>
        <v>60</v>
      </c>
      <c r="L2668" s="17">
        <f>IFERROR(__xludf.DUMMYFUNCTION("""COMPUTED_VALUE"""),3.134720976E9)</f>
        <v>3134720976</v>
      </c>
      <c r="M2668" s="17" t="str">
        <f>IFERROR(__xludf.DUMMYFUNCTION("""COMPUTED_VALUE"""),"#REF!")</f>
        <v>#REF!</v>
      </c>
      <c r="N2668" s="17"/>
      <c r="O2668" s="17"/>
      <c r="P2668" s="17" t="b">
        <f>IFERROR(__xludf.DUMMYFUNCTION("""COMPUTED_VALUE"""),FALSE)</f>
        <v>0</v>
      </c>
      <c r="Q2668" s="20" t="str">
        <f>IFERROR(__xludf.DUMMYFUNCTION("""COMPUTED_VALUE"""),"")</f>
        <v/>
      </c>
      <c r="R2668" s="21" t="str">
        <f>IFERROR(__xludf.DUMMYFUNCTION("""COMPUTED_VALUE"""),"https://drive.google.com/file/d/1H5ZYe5Ye4U80NQcrwEFrCC1xISfIpbj1/view?usp=drivesdk")</f>
        <v>https://drive.google.com/file/d/1H5ZYe5Ye4U80NQcrwEFrCC1xISfIpbj1/view?usp=drivesdk</v>
      </c>
    </row>
    <row r="2669">
      <c r="A2669" s="15">
        <f>IFERROR(__xludf.DUMMYFUNCTION("""COMPUTED_VALUE"""),45079.0)</f>
        <v>45079</v>
      </c>
      <c r="B2669" s="16" t="str">
        <f>IFERROR(__xludf.DUMMYFUNCTION("""COMPUTED_VALUE"""),"Envia")</f>
        <v>Envia</v>
      </c>
      <c r="C2669" s="15" t="str">
        <f>IFERROR(__xludf.DUMMYFUNCTION("""COMPUTED_VALUE"""),"CALI")</f>
        <v>CALI</v>
      </c>
      <c r="D2669" s="15" t="str">
        <f>IFERROR(__xludf.DUMMYFUNCTION("""COMPUTED_VALUE"""),"BOGOTÁ")</f>
        <v>BOGOTÁ</v>
      </c>
      <c r="E2669" s="15" t="str">
        <f>IFERROR(__xludf.DUMMYFUNCTION("""COMPUTED_VALUE"""),"Viral Brands")</f>
        <v>Viral Brands</v>
      </c>
      <c r="F2669" s="17" t="str">
        <f>IFERROR(__xludf.DUMMYFUNCTION("""COMPUTED_VALUE"""),"Avenida 5a 25n 39 / Edificio  / San vicente")</f>
        <v>Avenida 5a 25n 39 / Edificio  / San vicente</v>
      </c>
      <c r="G2669" s="15" t="str">
        <f>IFERROR(__xludf.DUMMYFUNCTION("""COMPUTED_VALUE"""),"Lisbet gamez")</f>
        <v>Lisbet gamez</v>
      </c>
      <c r="H2669" s="16">
        <f>IFERROR(__xludf.DUMMYFUNCTION("""COMPUTED_VALUE"""),11258.0)</f>
        <v>11258</v>
      </c>
      <c r="I2669" s="18">
        <f>IFERROR(__xludf.DUMMYFUNCTION("""COMPUTED_VALUE"""),45.0)</f>
        <v>45</v>
      </c>
      <c r="J2669" s="18" t="str">
        <f>IFERROR(__xludf.DUMMYFUNCTION("""COMPUTED_VALUE"""),"52.5")</f>
        <v>52.5</v>
      </c>
      <c r="K2669" s="18">
        <f>IFERROR(__xludf.DUMMYFUNCTION("""COMPUTED_VALUE"""),55.0)</f>
        <v>55</v>
      </c>
      <c r="L2669" s="17">
        <f>IFERROR(__xludf.DUMMYFUNCTION("""COMPUTED_VALUE"""),3.218280504E9)</f>
        <v>3218280504</v>
      </c>
      <c r="M2669" s="17" t="str">
        <f>IFERROR(__xludf.DUMMYFUNCTION("""COMPUTED_VALUE"""),"#REF!")</f>
        <v>#REF!</v>
      </c>
      <c r="N2669" s="17"/>
      <c r="O2669" s="17"/>
      <c r="P2669" s="17" t="b">
        <f>IFERROR(__xludf.DUMMYFUNCTION("""COMPUTED_VALUE"""),FALSE)</f>
        <v>0</v>
      </c>
      <c r="Q2669" s="20" t="str">
        <f>IFERROR(__xludf.DUMMYFUNCTION("""COMPUTED_VALUE"""),"")</f>
        <v/>
      </c>
      <c r="R2669" s="21" t="str">
        <f>IFERROR(__xludf.DUMMYFUNCTION("""COMPUTED_VALUE"""),"https://drive.google.com/file/d/1rZhZZ-LMijWK0W_JtNsPpVFbUTlYnXcp/view?usp=drivesdk")</f>
        <v>https://drive.google.com/file/d/1rZhZZ-LMijWK0W_JtNsPpVFbUTlYnXcp/view?usp=drivesdk</v>
      </c>
    </row>
    <row r="2670">
      <c r="A2670" s="15">
        <f>IFERROR(__xludf.DUMMYFUNCTION("""COMPUTED_VALUE"""),45079.0)</f>
        <v>45079</v>
      </c>
      <c r="B2670" s="16" t="str">
        <f>IFERROR(__xludf.DUMMYFUNCTION("""COMPUTED_VALUE"""),"Envia")</f>
        <v>Envia</v>
      </c>
      <c r="C2670" s="15" t="str">
        <f>IFERROR(__xludf.DUMMYFUNCTION("""COMPUTED_VALUE"""),"CÚCUTA")</f>
        <v>CÚCUTA</v>
      </c>
      <c r="D2670" s="15" t="str">
        <f>IFERROR(__xludf.DUMMYFUNCTION("""COMPUTED_VALUE"""),"BOGOTÁ")</f>
        <v>BOGOTÁ</v>
      </c>
      <c r="E2670" s="15" t="str">
        <f>IFERROR(__xludf.DUMMYFUNCTION("""COMPUTED_VALUE"""),"Pan de Waffle")</f>
        <v>Pan de Waffle</v>
      </c>
      <c r="F2670" s="17" t="str">
        <f>IFERROR(__xludf.DUMMYFUNCTION("""COMPUTED_VALUE"""),"Av. 9e # 12 - 50 Local 12 - 56 Barrio La Riviera - San Jose de Cucuta / Av. 9e # 12 - 50 Local 12 - 56 Barrio La Riviera - San Jose de Cucuta / Av. 9e # 12 - 50 Local 12 - 56 Barrio La Riviera - San Jose de Cucuta")</f>
        <v>Av. 9e # 12 - 50 Local 12 - 56 Barrio La Riviera - San Jose de Cucuta / Av. 9e # 12 - 50 Local 12 - 56 Barrio La Riviera - San Jose de Cucuta / Av. 9e # 12 - 50 Local 12 - 56 Barrio La Riviera - San Jose de Cucuta</v>
      </c>
      <c r="G2670" s="15" t="str">
        <f>IFERROR(__xludf.DUMMYFUNCTION("""COMPUTED_VALUE"""),"BALANZI MARKET")</f>
        <v>BALANZI MARKET</v>
      </c>
      <c r="H2670" s="16">
        <f>IFERROR(__xludf.DUMMYFUNCTION("""COMPUTED_VALUE"""),11230.0)</f>
        <v>11230</v>
      </c>
      <c r="I2670" s="18">
        <f>IFERROR(__xludf.DUMMYFUNCTION("""COMPUTED_VALUE"""),30.0)</f>
        <v>30</v>
      </c>
      <c r="J2670" s="18">
        <f>IFERROR(__xludf.DUMMYFUNCTION("""COMPUTED_VALUE"""),40.0)</f>
        <v>40</v>
      </c>
      <c r="K2670" s="18">
        <f>IFERROR(__xludf.DUMMYFUNCTION("""COMPUTED_VALUE"""),30.0)</f>
        <v>30</v>
      </c>
      <c r="L2670" s="17">
        <f>IFERROR(__xludf.DUMMYFUNCTION("""COMPUTED_VALUE"""),3.234882569E9)</f>
        <v>3234882569</v>
      </c>
      <c r="M2670" s="17" t="str">
        <f>IFERROR(__xludf.DUMMYFUNCTION("""COMPUTED_VALUE"""),"#REF!")</f>
        <v>#REF!</v>
      </c>
      <c r="N2670" s="17"/>
      <c r="O2670" s="17"/>
      <c r="P2670" s="17" t="b">
        <f>IFERROR(__xludf.DUMMYFUNCTION("""COMPUTED_VALUE"""),TRUE)</f>
        <v>1</v>
      </c>
      <c r="Q2670" s="20">
        <f>IFERROR(__xludf.DUMMYFUNCTION("""COMPUTED_VALUE"""),45081.493990856485)</f>
        <v>45081.49399</v>
      </c>
      <c r="R2670" s="21" t="str">
        <f>IFERROR(__xludf.DUMMYFUNCTION("""COMPUTED_VALUE"""),"https://drive.google.com/file/d/1HhFKuYnznm6a_t_zuhtpYcfmckTXMmGB/view?usp=drivesdk")</f>
        <v>https://drive.google.com/file/d/1HhFKuYnznm6a_t_zuhtpYcfmckTXMmGB/view?usp=drivesdk</v>
      </c>
    </row>
    <row r="2671">
      <c r="A2671" s="15">
        <f>IFERROR(__xludf.DUMMYFUNCTION("""COMPUTED_VALUE"""),45079.0)</f>
        <v>45079</v>
      </c>
      <c r="B2671" s="16" t="str">
        <f>IFERROR(__xludf.DUMMYFUNCTION("""COMPUTED_VALUE"""),"Envia")</f>
        <v>Envia</v>
      </c>
      <c r="C2671" s="15" t="str">
        <f>IFERROR(__xludf.DUMMYFUNCTION("""COMPUTED_VALUE"""),"CÚCUTA")</f>
        <v>CÚCUTA</v>
      </c>
      <c r="D2671" s="15" t="str">
        <f>IFERROR(__xludf.DUMMYFUNCTION("""COMPUTED_VALUE"""),"BOGOTÁ")</f>
        <v>BOGOTÁ</v>
      </c>
      <c r="E2671" s="15" t="str">
        <f>IFERROR(__xludf.DUMMYFUNCTION("""COMPUTED_VALUE"""),"Viiva Fermentados")</f>
        <v>Viiva Fermentados</v>
      </c>
      <c r="F2671" s="17" t="str">
        <f>IFERROR(__xludf.DUMMYFUNCTION("""COMPUTED_VALUE"""),"Av. 2 E #15A-17  / No / No")</f>
        <v>Av. 2 E #15A-17  / No / No</v>
      </c>
      <c r="G2671" s="15" t="str">
        <f>IFERROR(__xludf.DUMMYFUNCTION("""COMPUTED_VALUE"""),"Pistacho Market")</f>
        <v>Pistacho Market</v>
      </c>
      <c r="H2671" s="16">
        <f>IFERROR(__xludf.DUMMYFUNCTION("""COMPUTED_VALUE"""),11156.0)</f>
        <v>11156</v>
      </c>
      <c r="I2671" s="18">
        <f>IFERROR(__xludf.DUMMYFUNCTION("""COMPUTED_VALUE"""),26.0)</f>
        <v>26</v>
      </c>
      <c r="J2671" s="18">
        <f>IFERROR(__xludf.DUMMYFUNCTION("""COMPUTED_VALUE"""),18.0)</f>
        <v>18</v>
      </c>
      <c r="K2671" s="18">
        <f>IFERROR(__xludf.DUMMYFUNCTION("""COMPUTED_VALUE"""),18.0)</f>
        <v>18</v>
      </c>
      <c r="L2671" s="17">
        <f>IFERROR(__xludf.DUMMYFUNCTION("""COMPUTED_VALUE"""),3.133032295E9)</f>
        <v>3133032295</v>
      </c>
      <c r="M2671" s="17" t="str">
        <f>IFERROR(__xludf.DUMMYFUNCTION("""COMPUTED_VALUE"""),"#REF!")</f>
        <v>#REF!</v>
      </c>
      <c r="N2671" s="17"/>
      <c r="O2671" s="17"/>
      <c r="P2671" s="17" t="b">
        <f>IFERROR(__xludf.DUMMYFUNCTION("""COMPUTED_VALUE"""),FALSE)</f>
        <v>0</v>
      </c>
      <c r="Q2671" s="20" t="str">
        <f>IFERROR(__xludf.DUMMYFUNCTION("""COMPUTED_VALUE"""),"")</f>
        <v/>
      </c>
      <c r="R2671" s="21" t="str">
        <f>IFERROR(__xludf.DUMMYFUNCTION("""COMPUTED_VALUE"""),"https://drive.google.com/file/d/1caUQsvGGceQuX_5HlD0IUdG-MEM8J-e5/view?usp=drivesdk")</f>
        <v>https://drive.google.com/file/d/1caUQsvGGceQuX_5HlD0IUdG-MEM8J-e5/view?usp=drivesdk</v>
      </c>
    </row>
    <row r="2672">
      <c r="A2672" s="15">
        <f>IFERROR(__xludf.DUMMYFUNCTION("""COMPUTED_VALUE"""),45079.0)</f>
        <v>45079</v>
      </c>
      <c r="B2672" s="16" t="str">
        <f>IFERROR(__xludf.DUMMYFUNCTION("""COMPUTED_VALUE"""),"Envia")</f>
        <v>Envia</v>
      </c>
      <c r="C2672" s="15" t="str">
        <f>IFERROR(__xludf.DUMMYFUNCTION("""COMPUTED_VALUE"""),"CÚCUTA")</f>
        <v>CÚCUTA</v>
      </c>
      <c r="D2672" s="15" t="str">
        <f>IFERROR(__xludf.DUMMYFUNCTION("""COMPUTED_VALUE"""),"MEDELLÍN")</f>
        <v>MEDELLÍN</v>
      </c>
      <c r="E2672" s="15" t="str">
        <f>IFERROR(__xludf.DUMMYFUNCTION("""COMPUTED_VALUE"""),"Helados swip")</f>
        <v>Helados swip</v>
      </c>
      <c r="F2672" s="17" t="str">
        <f>IFERROR(__xludf.DUMMYFUNCTION("""COMPUTED_VALUE"""),"AV 3 E # 6 CN 12 / CEIBA  / DIAGONAL AL SUPERMERCADO 24 HORAS")</f>
        <v>AV 3 E # 6 CN 12 / CEIBA  / DIAGONAL AL SUPERMERCADO 24 HORAS</v>
      </c>
      <c r="G2672" s="15" t="str">
        <f>IFERROR(__xludf.DUMMYFUNCTION("""COMPUTED_VALUE"""),"LA BODEGUITA")</f>
        <v>LA BODEGUITA</v>
      </c>
      <c r="H2672" s="16">
        <f>IFERROR(__xludf.DUMMYFUNCTION("""COMPUTED_VALUE"""),11196.0)</f>
        <v>11196</v>
      </c>
      <c r="I2672" s="18">
        <f>IFERROR(__xludf.DUMMYFUNCTION("""COMPUTED_VALUE"""),65.0)</f>
        <v>65</v>
      </c>
      <c r="J2672" s="18">
        <f>IFERROR(__xludf.DUMMYFUNCTION("""COMPUTED_VALUE"""),55.0)</f>
        <v>55</v>
      </c>
      <c r="K2672" s="18">
        <f>IFERROR(__xludf.DUMMYFUNCTION("""COMPUTED_VALUE"""),45.0)</f>
        <v>45</v>
      </c>
      <c r="L2672" s="17">
        <f>IFERROR(__xludf.DUMMYFUNCTION("""COMPUTED_VALUE"""),3.209091389E9)</f>
        <v>3209091389</v>
      </c>
      <c r="M2672" s="17" t="str">
        <f>IFERROR(__xludf.DUMMYFUNCTION("""COMPUTED_VALUE"""),"#REF!")</f>
        <v>#REF!</v>
      </c>
      <c r="N2672" s="17"/>
      <c r="O2672" s="17"/>
      <c r="P2672" s="17" t="b">
        <f>IFERROR(__xludf.DUMMYFUNCTION("""COMPUTED_VALUE"""),FALSE)</f>
        <v>0</v>
      </c>
      <c r="Q2672" s="20" t="str">
        <f>IFERROR(__xludf.DUMMYFUNCTION("""COMPUTED_VALUE"""),"")</f>
        <v/>
      </c>
      <c r="R2672" s="21" t="str">
        <f>IFERROR(__xludf.DUMMYFUNCTION("""COMPUTED_VALUE"""),"https://drive.google.com/file/d/116ICMnxHGBBD-NrM_LE-zTbwt1wett7t/view?usp=drivesdk")</f>
        <v>https://drive.google.com/file/d/116ICMnxHGBBD-NrM_LE-zTbwt1wett7t/view?usp=drivesdk</v>
      </c>
    </row>
    <row r="2673">
      <c r="A2673" s="15">
        <f>IFERROR(__xludf.DUMMYFUNCTION("""COMPUTED_VALUE"""),45079.0)</f>
        <v>45079</v>
      </c>
      <c r="B2673" s="16" t="str">
        <f>IFERROR(__xludf.DUMMYFUNCTION("""COMPUTED_VALUE"""),"Envia")</f>
        <v>Envia</v>
      </c>
      <c r="C2673" s="15" t="str">
        <f>IFERROR(__xludf.DUMMYFUNCTION("""COMPUTED_VALUE"""),"CÚCUTA")</f>
        <v>CÚCUTA</v>
      </c>
      <c r="D2673" s="15" t="str">
        <f>IFERROR(__xludf.DUMMYFUNCTION("""COMPUTED_VALUE"""),"MEDELLÍN")</f>
        <v>MEDELLÍN</v>
      </c>
      <c r="E2673" s="15" t="str">
        <f>IFERROR(__xludf.DUMMYFUNCTION("""COMPUTED_VALUE"""),"Rambla")</f>
        <v>Rambla</v>
      </c>
      <c r="F2673" s="17" t="str">
        <f>IFERROR(__xludf.DUMMYFUNCTION("""COMPUTED_VALUE"""),"Av 3e No 6cn-12 ceiba 2 / na / na")</f>
        <v>Av 3e No 6cn-12 ceiba 2 / na / na</v>
      </c>
      <c r="G2673" s="15" t="str">
        <f>IFERROR(__xludf.DUMMYFUNCTION("""COMPUTED_VALUE"""),"La Bodeguita")</f>
        <v>La Bodeguita</v>
      </c>
      <c r="H2673" s="16">
        <f>IFERROR(__xludf.DUMMYFUNCTION("""COMPUTED_VALUE"""),11224.0)</f>
        <v>11224</v>
      </c>
      <c r="I2673" s="18">
        <f>IFERROR(__xludf.DUMMYFUNCTION("""COMPUTED_VALUE"""),27.0)</f>
        <v>27</v>
      </c>
      <c r="J2673" s="18">
        <f>IFERROR(__xludf.DUMMYFUNCTION("""COMPUTED_VALUE"""),32.0)</f>
        <v>32</v>
      </c>
      <c r="K2673" s="18">
        <f>IFERROR(__xludf.DUMMYFUNCTION("""COMPUTED_VALUE"""),35.0)</f>
        <v>35</v>
      </c>
      <c r="L2673" s="17">
        <f>IFERROR(__xludf.DUMMYFUNCTION("""COMPUTED_VALUE"""),3.00384312E9)</f>
        <v>3003843120</v>
      </c>
      <c r="M2673" s="17" t="str">
        <f>IFERROR(__xludf.DUMMYFUNCTION("""COMPUTED_VALUE"""),"#REF!")</f>
        <v>#REF!</v>
      </c>
      <c r="N2673" s="17"/>
      <c r="O2673" s="17"/>
      <c r="P2673" s="17" t="b">
        <f>IFERROR(__xludf.DUMMYFUNCTION("""COMPUTED_VALUE"""),FALSE)</f>
        <v>0</v>
      </c>
      <c r="Q2673" s="20" t="str">
        <f>IFERROR(__xludf.DUMMYFUNCTION("""COMPUTED_VALUE"""),"")</f>
        <v/>
      </c>
      <c r="R2673" s="21" t="str">
        <f>IFERROR(__xludf.DUMMYFUNCTION("""COMPUTED_VALUE"""),"https://drive.google.com/file/d/1S3uLpeIii4bNmqeAUhhyejam6zhS9xcF/view?usp=drivesdk")</f>
        <v>https://drive.google.com/file/d/1S3uLpeIii4bNmqeAUhhyejam6zhS9xcF/view?usp=drivesdk</v>
      </c>
    </row>
    <row r="2674">
      <c r="A2674" s="15">
        <f>IFERROR(__xludf.DUMMYFUNCTION("""COMPUTED_VALUE"""),45079.0)</f>
        <v>45079</v>
      </c>
      <c r="B2674" s="16" t="str">
        <f>IFERROR(__xludf.DUMMYFUNCTION("""COMPUTED_VALUE"""),"Envia")</f>
        <v>Envia</v>
      </c>
      <c r="C2674" s="15" t="str">
        <f>IFERROR(__xludf.DUMMYFUNCTION("""COMPUTED_VALUE"""),"MEDELLÍN")</f>
        <v>MEDELLÍN</v>
      </c>
      <c r="D2674" s="15" t="str">
        <f>IFERROR(__xludf.DUMMYFUNCTION("""COMPUTED_VALUE"""),"BOGOTÁ")</f>
        <v>BOGOTÁ</v>
      </c>
      <c r="E2674" s="15" t="str">
        <f>IFERROR(__xludf.DUMMYFUNCTION("""COMPUTED_VALUE"""),"MAI ALIMENTOS S.A.S")</f>
        <v>MAI ALIMENTOS S.A.S</v>
      </c>
      <c r="F2674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674" s="15" t="str">
        <f>IFERROR(__xludf.DUMMYFUNCTION("""COMPUTED_VALUE"""),"Novaventas - Medellin")</f>
        <v>Novaventas - Medellin</v>
      </c>
      <c r="H2674" s="16">
        <f>IFERROR(__xludf.DUMMYFUNCTION("""COMPUTED_VALUE"""),11125.0)</f>
        <v>11125</v>
      </c>
      <c r="I2674" s="18">
        <f>IFERROR(__xludf.DUMMYFUNCTION("""COMPUTED_VALUE"""),35.0)</f>
        <v>35</v>
      </c>
      <c r="J2674" s="18">
        <f>IFERROR(__xludf.DUMMYFUNCTION("""COMPUTED_VALUE"""),17.0)</f>
        <v>17</v>
      </c>
      <c r="K2674" s="18">
        <f>IFERROR(__xludf.DUMMYFUNCTION("""COMPUTED_VALUE"""),13.0)</f>
        <v>13</v>
      </c>
      <c r="L2674" s="17">
        <f>IFERROR(__xludf.DUMMYFUNCTION("""COMPUTED_VALUE"""),3.187351593E9)</f>
        <v>3187351593</v>
      </c>
      <c r="M2674" s="17" t="str">
        <f>IFERROR(__xludf.DUMMYFUNCTION("""COMPUTED_VALUE"""),"#REF!")</f>
        <v>#REF!</v>
      </c>
      <c r="N2674" s="17"/>
      <c r="O2674" s="17"/>
      <c r="P2674" s="17" t="b">
        <f>IFERROR(__xludf.DUMMYFUNCTION("""COMPUTED_VALUE"""),FALSE)</f>
        <v>0</v>
      </c>
      <c r="Q2674" s="20" t="str">
        <f>IFERROR(__xludf.DUMMYFUNCTION("""COMPUTED_VALUE"""),"")</f>
        <v/>
      </c>
      <c r="R2674" s="21" t="str">
        <f>IFERROR(__xludf.DUMMYFUNCTION("""COMPUTED_VALUE"""),"https://drive.google.com/file/d/1qILMeUNLYMWPDE-FEj4z6ldgfWqzZLRy/view?usp=drivesdk")</f>
        <v>https://drive.google.com/file/d/1qILMeUNLYMWPDE-FEj4z6ldgfWqzZLRy/view?usp=drivesdk</v>
      </c>
    </row>
    <row r="2675">
      <c r="A2675" s="15">
        <f>IFERROR(__xludf.DUMMYFUNCTION("""COMPUTED_VALUE"""),45079.0)</f>
        <v>45079</v>
      </c>
      <c r="B2675" s="16" t="str">
        <f>IFERROR(__xludf.DUMMYFUNCTION("""COMPUTED_VALUE"""),"Envia")</f>
        <v>Envia</v>
      </c>
      <c r="C2675" s="15" t="str">
        <f>IFERROR(__xludf.DUMMYFUNCTION("""COMPUTED_VALUE"""),"MEDELLÍN")</f>
        <v>MEDELLÍN</v>
      </c>
      <c r="D2675" s="15" t="str">
        <f>IFERROR(__xludf.DUMMYFUNCTION("""COMPUTED_VALUE"""),"BOGOTÁ")</f>
        <v>BOGOTÁ</v>
      </c>
      <c r="E2675" s="15" t="str">
        <f>IFERROR(__xludf.DUMMYFUNCTION("""COMPUTED_VALUE"""),"Viiva Fermentados")</f>
        <v>Viiva Fermentados</v>
      </c>
      <c r="F2675" s="17" t="str">
        <f>IFERROR(__xludf.DUMMYFUNCTION("""COMPUTED_VALUE"""),"Calle 23 # 65 B 14 / Segundo piso / Trinidad")</f>
        <v>Calle 23 # 65 B 14 / Segundo piso / Trinidad</v>
      </c>
      <c r="G2675" s="15" t="str">
        <f>IFERROR(__xludf.DUMMYFUNCTION("""COMPUTED_VALUE"""),"Eatsy - Marcela")</f>
        <v>Eatsy - Marcela</v>
      </c>
      <c r="H2675" s="16">
        <f>IFERROR(__xludf.DUMMYFUNCTION("""COMPUTED_VALUE"""),11149.0)</f>
        <v>11149</v>
      </c>
      <c r="I2675" s="18">
        <f>IFERROR(__xludf.DUMMYFUNCTION("""COMPUTED_VALUE"""),17.0)</f>
        <v>17</v>
      </c>
      <c r="J2675" s="18">
        <f>IFERROR(__xludf.DUMMYFUNCTION("""COMPUTED_VALUE"""),35.0)</f>
        <v>35</v>
      </c>
      <c r="K2675" s="18">
        <f>IFERROR(__xludf.DUMMYFUNCTION("""COMPUTED_VALUE"""),27.0)</f>
        <v>27</v>
      </c>
      <c r="L2675" s="17">
        <f>IFERROR(__xludf.DUMMYFUNCTION("""COMPUTED_VALUE"""),3.243965697E9)</f>
        <v>3243965697</v>
      </c>
      <c r="M2675" s="17" t="str">
        <f>IFERROR(__xludf.DUMMYFUNCTION("""COMPUTED_VALUE"""),"#REF!")</f>
        <v>#REF!</v>
      </c>
      <c r="N2675" s="17"/>
      <c r="O2675" s="17"/>
      <c r="P2675" s="17" t="b">
        <f>IFERROR(__xludf.DUMMYFUNCTION("""COMPUTED_VALUE"""),FALSE)</f>
        <v>0</v>
      </c>
      <c r="Q2675" s="20" t="str">
        <f>IFERROR(__xludf.DUMMYFUNCTION("""COMPUTED_VALUE"""),"")</f>
        <v/>
      </c>
      <c r="R2675" s="21" t="str">
        <f>IFERROR(__xludf.DUMMYFUNCTION("""COMPUTED_VALUE"""),"https://drive.google.com/file/d/1F7Ezrm9AgV1d_L1UzAVSRtS0sT6w6sop/view?usp=drivesdk")</f>
        <v>https://drive.google.com/file/d/1F7Ezrm9AgV1d_L1UzAVSRtS0sT6w6sop/view?usp=drivesdk</v>
      </c>
    </row>
    <row r="2676">
      <c r="A2676" s="15">
        <f>IFERROR(__xludf.DUMMYFUNCTION("""COMPUTED_VALUE"""),45079.0)</f>
        <v>45079</v>
      </c>
      <c r="B2676" s="16" t="str">
        <f>IFERROR(__xludf.DUMMYFUNCTION("""COMPUTED_VALUE"""),"Envia")</f>
        <v>Envia</v>
      </c>
      <c r="C2676" s="15" t="str">
        <f>IFERROR(__xludf.DUMMYFUNCTION("""COMPUTED_VALUE"""),"MEDELLÍN")</f>
        <v>MEDELLÍN</v>
      </c>
      <c r="D2676" s="15" t="str">
        <f>IFERROR(__xludf.DUMMYFUNCTION("""COMPUTED_VALUE"""),"BOGOTÁ")</f>
        <v>BOGOTÁ</v>
      </c>
      <c r="E2676" s="15" t="str">
        <f>IFERROR(__xludf.DUMMYFUNCTION("""COMPUTED_VALUE"""),"Viiva Fermentados")</f>
        <v>Viiva Fermentados</v>
      </c>
      <c r="F2676" s="17" t="str">
        <f>IFERROR(__xludf.DUMMYFUNCTION("""COMPUTED_VALUE"""),"Km 17, Av. Las Palmas #104 / Mall indiana / Local 101")</f>
        <v>Km 17, Av. Las Palmas #104 / Mall indiana / Local 101</v>
      </c>
      <c r="G2676" s="15" t="str">
        <f>IFERROR(__xludf.DUMMYFUNCTION("""COMPUTED_VALUE"""),"Espiritu de Tierra")</f>
        <v>Espiritu de Tierra</v>
      </c>
      <c r="H2676" s="16">
        <f>IFERROR(__xludf.DUMMYFUNCTION("""COMPUTED_VALUE"""),11152.0)</f>
        <v>11152</v>
      </c>
      <c r="I2676" s="18">
        <f>IFERROR(__xludf.DUMMYFUNCTION("""COMPUTED_VALUE"""),17.0)</f>
        <v>17</v>
      </c>
      <c r="J2676" s="18">
        <f>IFERROR(__xludf.DUMMYFUNCTION("""COMPUTED_VALUE"""),35.0)</f>
        <v>35</v>
      </c>
      <c r="K2676" s="18">
        <f>IFERROR(__xludf.DUMMYFUNCTION("""COMPUTED_VALUE"""),27.0)</f>
        <v>27</v>
      </c>
      <c r="L2676" s="17">
        <f>IFERROR(__xludf.DUMMYFUNCTION("""COMPUTED_VALUE"""),3.10686599E9)</f>
        <v>3106865990</v>
      </c>
      <c r="M2676" s="17" t="str">
        <f>IFERROR(__xludf.DUMMYFUNCTION("""COMPUTED_VALUE"""),"#REF!")</f>
        <v>#REF!</v>
      </c>
      <c r="N2676" s="17"/>
      <c r="O2676" s="17"/>
      <c r="P2676" s="17" t="b">
        <f>IFERROR(__xludf.DUMMYFUNCTION("""COMPUTED_VALUE"""),FALSE)</f>
        <v>0</v>
      </c>
      <c r="Q2676" s="20" t="str">
        <f>IFERROR(__xludf.DUMMYFUNCTION("""COMPUTED_VALUE"""),"")</f>
        <v/>
      </c>
      <c r="R2676" s="22" t="str">
        <f>IFERROR(__xludf.DUMMYFUNCTION("""COMPUTED_VALUE"""),"")</f>
        <v/>
      </c>
    </row>
    <row r="2677">
      <c r="A2677" s="15">
        <f>IFERROR(__xludf.DUMMYFUNCTION("""COMPUTED_VALUE"""),45079.0)</f>
        <v>45079</v>
      </c>
      <c r="B2677" s="16" t="str">
        <f>IFERROR(__xludf.DUMMYFUNCTION("""COMPUTED_VALUE"""),"Envia")</f>
        <v>Envia</v>
      </c>
      <c r="C2677" s="15" t="str">
        <f>IFERROR(__xludf.DUMMYFUNCTION("""COMPUTED_VALUE"""),"PEREIRA")</f>
        <v>PEREIRA</v>
      </c>
      <c r="D2677" s="15" t="str">
        <f>IFERROR(__xludf.DUMMYFUNCTION("""COMPUTED_VALUE"""),"BOGOTÁ")</f>
        <v>BOGOTÁ</v>
      </c>
      <c r="E2677" s="15" t="str">
        <f>IFERROR(__xludf.DUMMYFUNCTION("""COMPUTED_VALUE"""),"Viiva Fermentados")</f>
        <v>Viiva Fermentados</v>
      </c>
      <c r="F2677" s="17" t="str">
        <f>IFERROR(__xludf.DUMMYFUNCTION("""COMPUTED_VALUE"""),"CIRCUNVALAR CALLE 14 #14-15  / San José sur circunvalar  / San José sur circunvalar")</f>
        <v>CIRCUNVALAR CALLE 14 #14-15  / San José sur circunvalar  / San José sur circunvalar</v>
      </c>
      <c r="G2677" s="15" t="str">
        <f>IFERROR(__xludf.DUMMYFUNCTION("""COMPUTED_VALUE"""),"Majana Market Diana Marcela Valencia")</f>
        <v>Majana Market Diana Marcela Valencia</v>
      </c>
      <c r="H2677" s="16">
        <f>IFERROR(__xludf.DUMMYFUNCTION("""COMPUTED_VALUE"""),11155.0)</f>
        <v>11155</v>
      </c>
      <c r="I2677" s="18">
        <f>IFERROR(__xludf.DUMMYFUNCTION("""COMPUTED_VALUE"""),28.0)</f>
        <v>28</v>
      </c>
      <c r="J2677" s="18">
        <f>IFERROR(__xludf.DUMMYFUNCTION("""COMPUTED_VALUE"""),40.0)</f>
        <v>40</v>
      </c>
      <c r="K2677" s="18">
        <f>IFERROR(__xludf.DUMMYFUNCTION("""COMPUTED_VALUE"""),30.0)</f>
        <v>30</v>
      </c>
      <c r="L2677" s="17">
        <f>IFERROR(__xludf.DUMMYFUNCTION("""COMPUTED_VALUE"""),3.148112262E9)</f>
        <v>3148112262</v>
      </c>
      <c r="M2677" s="17" t="str">
        <f>IFERROR(__xludf.DUMMYFUNCTION("""COMPUTED_VALUE"""),"#REF!")</f>
        <v>#REF!</v>
      </c>
      <c r="N2677" s="17"/>
      <c r="O2677" s="17"/>
      <c r="P2677" s="17" t="b">
        <f>IFERROR(__xludf.DUMMYFUNCTION("""COMPUTED_VALUE"""),FALSE)</f>
        <v>0</v>
      </c>
      <c r="Q2677" s="20" t="str">
        <f>IFERROR(__xludf.DUMMYFUNCTION("""COMPUTED_VALUE"""),"")</f>
        <v/>
      </c>
      <c r="R2677" s="21" t="str">
        <f>IFERROR(__xludf.DUMMYFUNCTION("""COMPUTED_VALUE"""),"https://drive.google.com/file/d/136zvGjL0zLGiF3mW6rhgpNsFgjMvxG9x/view?usp=drivesdk")</f>
        <v>https://drive.google.com/file/d/136zvGjL0zLGiF3mW6rhgpNsFgjMvxG9x/view?usp=drivesdk</v>
      </c>
    </row>
    <row r="2678">
      <c r="A2678" s="15">
        <f>IFERROR(__xludf.DUMMYFUNCTION("""COMPUTED_VALUE"""),45079.0)</f>
        <v>45079</v>
      </c>
      <c r="B2678" s="16" t="str">
        <f>IFERROR(__xludf.DUMMYFUNCTION("""COMPUTED_VALUE"""),"Envia")</f>
        <v>Envia</v>
      </c>
      <c r="C2678" s="15" t="str">
        <f>IFERROR(__xludf.DUMMYFUNCTION("""COMPUTED_VALUE"""),"SANTA MARTA")</f>
        <v>SANTA MARTA</v>
      </c>
      <c r="D2678" s="15" t="str">
        <f>IFERROR(__xludf.DUMMYFUNCTION("""COMPUTED_VALUE"""),"BOGOTÁ")</f>
        <v>BOGOTÁ</v>
      </c>
      <c r="E2678" s="15" t="str">
        <f>IFERROR(__xludf.DUMMYFUNCTION("""COMPUTED_VALUE"""),"Evamazzita")</f>
        <v>Evamazzita</v>
      </c>
      <c r="F2678" s="17" t="str">
        <f>IFERROR(__xludf.DUMMYFUNCTION("""COMPUTED_VALUE"""),"PARQUE DE BOLIVAR 4  / TORRE 5 APTO 401  / BARRIO YUCAL")</f>
        <v>PARQUE DE BOLIVAR 4  / TORRE 5 APTO 401  / BARRIO YUCAL</v>
      </c>
      <c r="G2678" s="15" t="str">
        <f>IFERROR(__xludf.DUMMYFUNCTION("""COMPUTED_VALUE"""),"KAREN CAÑAS PEREIRA")</f>
        <v>KAREN CAÑAS PEREIRA</v>
      </c>
      <c r="H2678" s="16">
        <f>IFERROR(__xludf.DUMMYFUNCTION("""COMPUTED_VALUE"""),11212.0)</f>
        <v>11212</v>
      </c>
      <c r="I2678" s="18">
        <f>IFERROR(__xludf.DUMMYFUNCTION("""COMPUTED_VALUE"""),10.0)</f>
        <v>10</v>
      </c>
      <c r="J2678" s="18">
        <f>IFERROR(__xludf.DUMMYFUNCTION("""COMPUTED_VALUE"""),18.0)</f>
        <v>18</v>
      </c>
      <c r="K2678" s="18">
        <f>IFERROR(__xludf.DUMMYFUNCTION("""COMPUTED_VALUE"""),22.0)</f>
        <v>22</v>
      </c>
      <c r="L2678" s="17">
        <f>IFERROR(__xludf.DUMMYFUNCTION("""COMPUTED_VALUE"""),3.052893661E9)</f>
        <v>3052893661</v>
      </c>
      <c r="M2678" s="17" t="str">
        <f>IFERROR(__xludf.DUMMYFUNCTION("""COMPUTED_VALUE"""),"#REF!")</f>
        <v>#REF!</v>
      </c>
      <c r="N2678" s="17"/>
      <c r="O2678" s="17"/>
      <c r="P2678" s="17" t="b">
        <f>IFERROR(__xludf.DUMMYFUNCTION("""COMPUTED_VALUE"""),FALSE)</f>
        <v>0</v>
      </c>
      <c r="Q2678" s="20" t="str">
        <f>IFERROR(__xludf.DUMMYFUNCTION("""COMPUTED_VALUE"""),"")</f>
        <v/>
      </c>
      <c r="R2678" s="21" t="str">
        <f>IFERROR(__xludf.DUMMYFUNCTION("""COMPUTED_VALUE"""),"https://drive.google.com/file/d/1Eb5mjGymEj1w_Ers4CVknVcckLzxhrVI/view?usp=drivesdk")</f>
        <v>https://drive.google.com/file/d/1Eb5mjGymEj1w_Ers4CVknVcckLzxhrVI/view?usp=drivesdk</v>
      </c>
    </row>
    <row r="2679">
      <c r="A2679" s="15">
        <f>IFERROR(__xludf.DUMMYFUNCTION("""COMPUTED_VALUE"""),45079.0)</f>
        <v>45079</v>
      </c>
      <c r="B2679" s="16" t="str">
        <f>IFERROR(__xludf.DUMMYFUNCTION("""COMPUTED_VALUE"""),"Envia")</f>
        <v>Envia</v>
      </c>
      <c r="C2679" s="15" t="str">
        <f>IFERROR(__xludf.DUMMYFUNCTION("""COMPUTED_VALUE"""),"SANTA MARTA")</f>
        <v>SANTA MARTA</v>
      </c>
      <c r="D2679" s="15" t="str">
        <f>IFERROR(__xludf.DUMMYFUNCTION("""COMPUTED_VALUE"""),"BOGOTÁ")</f>
        <v>BOGOTÁ</v>
      </c>
      <c r="E2679" s="15" t="str">
        <f>IFERROR(__xludf.DUMMYFUNCTION("""COMPUTED_VALUE"""),"Verde Avocado")</f>
        <v>Verde Avocado</v>
      </c>
      <c r="F2679" s="17" t="str">
        <f>IFERROR(__xludf.DUMMYFUNCTION("""COMPUTED_VALUE"""),"Manzana 8 casa 5 / Casa / Urbanización sierra dentro")</f>
        <v>Manzana 8 casa 5 / Casa / Urbanización sierra dentro</v>
      </c>
      <c r="G2679" s="15" t="str">
        <f>IFERROR(__xludf.DUMMYFUNCTION("""COMPUTED_VALUE"""),"Yuliana Mosquera")</f>
        <v>Yuliana Mosquera</v>
      </c>
      <c r="H2679" s="16">
        <f>IFERROR(__xludf.DUMMYFUNCTION("""COMPUTED_VALUE"""),11203.0)</f>
        <v>11203</v>
      </c>
      <c r="I2679" s="18">
        <f>IFERROR(__xludf.DUMMYFUNCTION("""COMPUTED_VALUE"""),11.0)</f>
        <v>11</v>
      </c>
      <c r="J2679" s="18">
        <f>IFERROR(__xludf.DUMMYFUNCTION("""COMPUTED_VALUE"""),14.0)</f>
        <v>14</v>
      </c>
      <c r="K2679" s="18">
        <f>IFERROR(__xludf.DUMMYFUNCTION("""COMPUTED_VALUE"""),35.0)</f>
        <v>35</v>
      </c>
      <c r="L2679" s="17">
        <f>IFERROR(__xludf.DUMMYFUNCTION("""COMPUTED_VALUE"""),3.123318584E9)</f>
        <v>3123318584</v>
      </c>
      <c r="M2679" s="17" t="str">
        <f>IFERROR(__xludf.DUMMYFUNCTION("""COMPUTED_VALUE"""),"#REF!")</f>
        <v>#REF!</v>
      </c>
      <c r="N2679" s="17"/>
      <c r="O2679" s="17"/>
      <c r="P2679" s="17" t="b">
        <f>IFERROR(__xludf.DUMMYFUNCTION("""COMPUTED_VALUE"""),FALSE)</f>
        <v>0</v>
      </c>
      <c r="Q2679" s="20" t="str">
        <f>IFERROR(__xludf.DUMMYFUNCTION("""COMPUTED_VALUE"""),"")</f>
        <v/>
      </c>
      <c r="R2679" s="21" t="str">
        <f>IFERROR(__xludf.DUMMYFUNCTION("""COMPUTED_VALUE"""),"https://drive.google.com/file/d/1QgF0btgCSQNaE1uSWcyXSwzVEhy0tjuh/view?usp=drivesdk")</f>
        <v>https://drive.google.com/file/d/1QgF0btgCSQNaE1uSWcyXSwzVEhy0tjuh/view?usp=drivesdk</v>
      </c>
    </row>
    <row r="2680">
      <c r="A2680" s="17" t="str">
        <f>IFERROR(__xludf.DUMMYFUNCTION("""COMPUTED_VALUE"""),"")</f>
        <v/>
      </c>
      <c r="B2680" s="17" t="str">
        <f>IFERROR(__xludf.DUMMYFUNCTION("""COMPUTED_VALUE"""),"")</f>
        <v/>
      </c>
      <c r="C2680" s="17" t="str">
        <f>IFERROR(__xludf.DUMMYFUNCTION("""COMPUTED_VALUE"""),"")</f>
        <v/>
      </c>
      <c r="D2680" s="17" t="str">
        <f>IFERROR(__xludf.DUMMYFUNCTION("""COMPUTED_VALUE"""),"")</f>
        <v/>
      </c>
      <c r="E2680" s="17" t="str">
        <f>IFERROR(__xludf.DUMMYFUNCTION("""COMPUTED_VALUE"""),"")</f>
        <v/>
      </c>
      <c r="F2680" s="17" t="str">
        <f>IFERROR(__xludf.DUMMYFUNCTION("""COMPUTED_VALUE"""),"")</f>
        <v/>
      </c>
      <c r="G2680" s="17" t="str">
        <f>IFERROR(__xludf.DUMMYFUNCTION("""COMPUTED_VALUE"""),"")</f>
        <v/>
      </c>
      <c r="H2680" s="17" t="str">
        <f>IFERROR(__xludf.DUMMYFUNCTION("""COMPUTED_VALUE"""),"")</f>
        <v/>
      </c>
      <c r="I2680" s="17" t="str">
        <f>IFERROR(__xludf.DUMMYFUNCTION("""COMPUTED_VALUE"""),"")</f>
        <v/>
      </c>
      <c r="J2680" s="17" t="str">
        <f>IFERROR(__xludf.DUMMYFUNCTION("""COMPUTED_VALUE"""),"")</f>
        <v/>
      </c>
      <c r="K2680" s="17" t="str">
        <f>IFERROR(__xludf.DUMMYFUNCTION("""COMPUTED_VALUE"""),"")</f>
        <v/>
      </c>
      <c r="L2680" s="17" t="str">
        <f>IFERROR(__xludf.DUMMYFUNCTION("""COMPUTED_VALUE"""),"")</f>
        <v/>
      </c>
      <c r="M2680" s="17" t="str">
        <f>IFERROR(__xludf.DUMMYFUNCTION("""COMPUTED_VALUE"""),"")</f>
        <v/>
      </c>
      <c r="N2680" s="17" t="str">
        <f>IFERROR(__xludf.DUMMYFUNCTION("""COMPUTED_VALUE"""),"")</f>
        <v/>
      </c>
      <c r="O2680" s="17" t="str">
        <f>IFERROR(__xludf.DUMMYFUNCTION("""COMPUTED_VALUE"""),"")</f>
        <v/>
      </c>
      <c r="P2680" s="17" t="str">
        <f>IFERROR(__xludf.DUMMYFUNCTION("""COMPUTED_VALUE"""),"")</f>
        <v/>
      </c>
      <c r="Q2680" s="17" t="str">
        <f>IFERROR(__xludf.DUMMYFUNCTION("""COMPUTED_VALUE"""),"")</f>
        <v/>
      </c>
      <c r="R2680" s="17" t="str">
        <f>IFERROR(__xludf.DUMMYFUNCTION("""COMPUTED_VALUE"""),"")</f>
        <v/>
      </c>
    </row>
    <row r="2681">
      <c r="A2681" s="15">
        <f>IFERROR(__xludf.DUMMYFUNCTION("""COMPUTED_VALUE"""),45079.0)</f>
        <v>45079</v>
      </c>
      <c r="B2681" s="16" t="str">
        <f>IFERROR(__xludf.DUMMYFUNCTION("""COMPUTED_VALUE"""),"Jeison Rubiano")</f>
        <v>Jeison Rubiano</v>
      </c>
      <c r="C2681" s="15" t="str">
        <f>IFERROR(__xludf.DUMMYFUNCTION("""COMPUTED_VALUE"""),"BARRANQUILLA")</f>
        <v>BARRANQUILLA</v>
      </c>
      <c r="D2681" s="15" t="str">
        <f>IFERROR(__xludf.DUMMYFUNCTION("""COMPUTED_VALUE"""),"MEDELLÍN")</f>
        <v>MEDELLÍN</v>
      </c>
      <c r="E2681" s="15" t="str">
        <f>IFERROR(__xludf.DUMMYFUNCTION("""COMPUTED_VALUE"""),"Todo Bufala")</f>
        <v>Todo Bufala</v>
      </c>
      <c r="F2681" s="17" t="str">
        <f>IFERROR(__xludf.DUMMYFUNCTION("""COMPUTED_VALUE"""),"cra 43 n. 84-74 / centro nutricional local 3")</f>
        <v>cra 43 n. 84-74 / centro nutricional local 3</v>
      </c>
      <c r="G2681" s="15" t="str">
        <f>IFERROR(__xludf.DUMMYFUNCTION("""COMPUTED_VALUE"""),"Eliana Sarmiento")</f>
        <v>Eliana Sarmiento</v>
      </c>
      <c r="H2681" s="16">
        <f>IFERROR(__xludf.DUMMYFUNCTION("""COMPUTED_VALUE"""),11170.0)</f>
        <v>11170</v>
      </c>
      <c r="I2681" s="18">
        <f>IFERROR(__xludf.DUMMYFUNCTION("""COMPUTED_VALUE"""),21.0)</f>
        <v>21</v>
      </c>
      <c r="J2681" s="18">
        <f>IFERROR(__xludf.DUMMYFUNCTION("""COMPUTED_VALUE"""),29.0)</f>
        <v>29</v>
      </c>
      <c r="K2681" s="18">
        <f>IFERROR(__xludf.DUMMYFUNCTION("""COMPUTED_VALUE"""),40.0)</f>
        <v>40</v>
      </c>
      <c r="L2681" s="17">
        <f>IFERROR(__xludf.DUMMYFUNCTION("""COMPUTED_VALUE"""),3.226082052E9)</f>
        <v>3226082052</v>
      </c>
      <c r="M2681" s="17" t="str">
        <f>IFERROR(__xludf.DUMMYFUNCTION("""COMPUTED_VALUE"""),"#REF!")</f>
        <v>#REF!</v>
      </c>
      <c r="N2681" s="17"/>
      <c r="O2681" s="17"/>
      <c r="P2681" s="17" t="b">
        <f>IFERROR(__xludf.DUMMYFUNCTION("""COMPUTED_VALUE"""),FALSE)</f>
        <v>0</v>
      </c>
      <c r="Q2681" s="20" t="str">
        <f>IFERROR(__xludf.DUMMYFUNCTION("""COMPUTED_VALUE"""),"")</f>
        <v/>
      </c>
      <c r="R2681" s="21" t="str">
        <f>IFERROR(__xludf.DUMMYFUNCTION("""COMPUTED_VALUE"""),"https://drive.google.com/file/d/172WYhaNGYFFob9vWSeZRAiggGvGisZiX/view?usp=drivesdk")</f>
        <v>https://drive.google.com/file/d/172WYhaNGYFFob9vWSeZRAiggGvGisZiX/view?usp=drivesdk</v>
      </c>
    </row>
    <row r="2682">
      <c r="A2682" s="15">
        <f>IFERROR(__xludf.DUMMYFUNCTION("""COMPUTED_VALUE"""),45079.0)</f>
        <v>45079</v>
      </c>
      <c r="B2682" s="16" t="str">
        <f>IFERROR(__xludf.DUMMYFUNCTION("""COMPUTED_VALUE"""),"Jeison Rubiano")</f>
        <v>Jeison Rubiano</v>
      </c>
      <c r="C2682" s="15" t="str">
        <f>IFERROR(__xludf.DUMMYFUNCTION("""COMPUTED_VALUE"""),"BOGOTÁ")</f>
        <v>BOGOTÁ</v>
      </c>
      <c r="D2682" s="15" t="str">
        <f>IFERROR(__xludf.DUMMYFUNCTION("""COMPUTED_VALUE"""),"MEDELLÍN")</f>
        <v>MEDELLÍN</v>
      </c>
      <c r="E2682" s="15" t="str">
        <f>IFERROR(__xludf.DUMMYFUNCTION("""COMPUTED_VALUE"""),"AREPAS LA MARY")</f>
        <v>AREPAS LA MARY</v>
      </c>
      <c r="F2682" s="17" t="str">
        <f>IFERROR(__xludf.DUMMYFUNCTION("""COMPUTED_VALUE"""),"CALLE 16 N.1 67 TORRE 16 APTO 201 / NATIVO")</f>
        <v>CALLE 16 N.1 67 TORRE 16 APTO 201 / NATIVO</v>
      </c>
      <c r="G2682" s="15" t="str">
        <f>IFERROR(__xludf.DUMMYFUNCTION("""COMPUTED_VALUE"""),"CAROLINA CLEVES")</f>
        <v>CAROLINA CLEVES</v>
      </c>
      <c r="H2682" s="16">
        <f>IFERROR(__xludf.DUMMYFUNCTION("""COMPUTED_VALUE"""),11248.0)</f>
        <v>11248</v>
      </c>
      <c r="I2682" s="18">
        <f>IFERROR(__xludf.DUMMYFUNCTION("""COMPUTED_VALUE"""),89.0)</f>
        <v>89</v>
      </c>
      <c r="J2682" s="18">
        <f>IFERROR(__xludf.DUMMYFUNCTION("""COMPUTED_VALUE"""),1.0)</f>
        <v>1</v>
      </c>
      <c r="K2682" s="18">
        <f>IFERROR(__xludf.DUMMYFUNCTION("""COMPUTED_VALUE"""),10.0)</f>
        <v>10</v>
      </c>
      <c r="L2682" s="17" t="str">
        <f>IFERROR(__xludf.DUMMYFUNCTION("""COMPUTED_VALUE"""),"318 3120336")</f>
        <v>318 3120336</v>
      </c>
      <c r="M2682" s="17" t="str">
        <f>IFERROR(__xludf.DUMMYFUNCTION("""COMPUTED_VALUE"""),"#REF!")</f>
        <v>#REF!</v>
      </c>
      <c r="N2682" s="17"/>
      <c r="O2682" s="17"/>
      <c r="P2682" s="17" t="b">
        <f>IFERROR(__xludf.DUMMYFUNCTION("""COMPUTED_VALUE"""),FALSE)</f>
        <v>0</v>
      </c>
      <c r="Q2682" s="20" t="str">
        <f>IFERROR(__xludf.DUMMYFUNCTION("""COMPUTED_VALUE"""),"")</f>
        <v/>
      </c>
      <c r="R2682" s="21" t="str">
        <f>IFERROR(__xludf.DUMMYFUNCTION("""COMPUTED_VALUE"""),"https://drive.google.com/file/d/1EFBrC9dGc1Cye9AJ1aG1zoIVwpmTh6Ks/view?usp=drivesdk")</f>
        <v>https://drive.google.com/file/d/1EFBrC9dGc1Cye9AJ1aG1zoIVwpmTh6Ks/view?usp=drivesdk</v>
      </c>
    </row>
    <row r="2683">
      <c r="A2683" s="15">
        <f>IFERROR(__xludf.DUMMYFUNCTION("""COMPUTED_VALUE"""),45079.0)</f>
        <v>45079</v>
      </c>
      <c r="B2683" s="16" t="str">
        <f>IFERROR(__xludf.DUMMYFUNCTION("""COMPUTED_VALUE"""),"Jeison Rubiano")</f>
        <v>Jeison Rubiano</v>
      </c>
      <c r="C2683" s="15" t="str">
        <f>IFERROR(__xludf.DUMMYFUNCTION("""COMPUTED_VALUE"""),"BOGOTÁ")</f>
        <v>BOGOTÁ</v>
      </c>
      <c r="D2683" s="15" t="str">
        <f>IFERROR(__xludf.DUMMYFUNCTION("""COMPUTED_VALUE"""),"MEDELLÍN")</f>
        <v>MEDELLÍN</v>
      </c>
      <c r="E2683" s="15" t="str">
        <f>IFERROR(__xludf.DUMMYFUNCTION("""COMPUTED_VALUE"""),"AREPAS LA MARY")</f>
        <v>AREPAS LA MARY</v>
      </c>
      <c r="F2683" s="17" t="str">
        <f>IFERROR(__xludf.DUMMYFUNCTION("""COMPUTED_VALUE"""),"CALLE 160 # 72 -34 CASA 7 / QUINTAS DE SANTA MARIA 6")</f>
        <v>CALLE 160 # 72 -34 CASA 7 / QUINTAS DE SANTA MARIA 6</v>
      </c>
      <c r="G2683" s="15" t="str">
        <f>IFERROR(__xludf.DUMMYFUNCTION("""COMPUTED_VALUE"""),"OSCAR ZAPATA")</f>
        <v>OSCAR ZAPATA</v>
      </c>
      <c r="H2683" s="16">
        <f>IFERROR(__xludf.DUMMYFUNCTION("""COMPUTED_VALUE"""),11245.0)</f>
        <v>11245</v>
      </c>
      <c r="I2683" s="18">
        <f>IFERROR(__xludf.DUMMYFUNCTION("""COMPUTED_VALUE"""),89.0)</f>
        <v>89</v>
      </c>
      <c r="J2683" s="18">
        <f>IFERROR(__xludf.DUMMYFUNCTION("""COMPUTED_VALUE"""),1.0)</f>
        <v>1</v>
      </c>
      <c r="K2683" s="18">
        <f>IFERROR(__xludf.DUMMYFUNCTION("""COMPUTED_VALUE"""),10.0)</f>
        <v>10</v>
      </c>
      <c r="L2683" s="17" t="str">
        <f>IFERROR(__xludf.DUMMYFUNCTION("""COMPUTED_VALUE"""),"310 3411441")</f>
        <v>310 3411441</v>
      </c>
      <c r="M2683" s="17" t="str">
        <f>IFERROR(__xludf.DUMMYFUNCTION("""COMPUTED_VALUE"""),"#REF!")</f>
        <v>#REF!</v>
      </c>
      <c r="N2683" s="17"/>
      <c r="O2683" s="17"/>
      <c r="P2683" s="17" t="b">
        <f>IFERROR(__xludf.DUMMYFUNCTION("""COMPUTED_VALUE"""),FALSE)</f>
        <v>0</v>
      </c>
      <c r="Q2683" s="20" t="str">
        <f>IFERROR(__xludf.DUMMYFUNCTION("""COMPUTED_VALUE"""),"")</f>
        <v/>
      </c>
      <c r="R2683" s="21" t="str">
        <f>IFERROR(__xludf.DUMMYFUNCTION("""COMPUTED_VALUE"""),"https://drive.google.com/file/d/1tJDKKeibt67aeSUUJ1uGoWerYU5z1KiL/view?usp=drivesdk")</f>
        <v>https://drive.google.com/file/d/1tJDKKeibt67aeSUUJ1uGoWerYU5z1KiL/view?usp=drivesdk</v>
      </c>
    </row>
    <row r="2684">
      <c r="A2684" s="15">
        <f>IFERROR(__xludf.DUMMYFUNCTION("""COMPUTED_VALUE"""),45079.0)</f>
        <v>45079</v>
      </c>
      <c r="B2684" s="16" t="str">
        <f>IFERROR(__xludf.DUMMYFUNCTION("""COMPUTED_VALUE"""),"Jeison Rubiano")</f>
        <v>Jeison Rubiano</v>
      </c>
      <c r="C2684" s="15" t="str">
        <f>IFERROR(__xludf.DUMMYFUNCTION("""COMPUTED_VALUE"""),"BOGOTÁ")</f>
        <v>BOGOTÁ</v>
      </c>
      <c r="D2684" s="15" t="str">
        <f>IFERROR(__xludf.DUMMYFUNCTION("""COMPUTED_VALUE"""),"MEDELLÍN")</f>
        <v>MEDELLÍN</v>
      </c>
      <c r="E2684" s="15" t="str">
        <f>IFERROR(__xludf.DUMMYFUNCTION("""COMPUTED_VALUE"""),"AREPAS LA MARY")</f>
        <v>AREPAS LA MARY</v>
      </c>
      <c r="F2684" s="17" t="str">
        <f>IFERROR(__xludf.DUMMYFUNCTION("""COMPUTED_VALUE"""),"CALLE 86 #11-34 / Cabrera 86")</f>
        <v>CALLE 86 #11-34 / Cabrera 86</v>
      </c>
      <c r="G2684" s="15" t="str">
        <f>IFERROR(__xludf.DUMMYFUNCTION("""COMPUTED_VALUE"""),"CATALINA ARBELAEZ")</f>
        <v>CATALINA ARBELAEZ</v>
      </c>
      <c r="H2684" s="16">
        <f>IFERROR(__xludf.DUMMYFUNCTION("""COMPUTED_VALUE"""),11244.0)</f>
        <v>11244</v>
      </c>
      <c r="I2684" s="18">
        <f>IFERROR(__xludf.DUMMYFUNCTION("""COMPUTED_VALUE"""),89.0)</f>
        <v>89</v>
      </c>
      <c r="J2684" s="18">
        <f>IFERROR(__xludf.DUMMYFUNCTION("""COMPUTED_VALUE"""),1.0)</f>
        <v>1</v>
      </c>
      <c r="K2684" s="18">
        <f>IFERROR(__xludf.DUMMYFUNCTION("""COMPUTED_VALUE"""),10.0)</f>
        <v>10</v>
      </c>
      <c r="L2684" s="17" t="str">
        <f>IFERROR(__xludf.DUMMYFUNCTION("""COMPUTED_VALUE"""),"318 487 0368")</f>
        <v>318 487 0368</v>
      </c>
      <c r="M2684" s="17" t="str">
        <f>IFERROR(__xludf.DUMMYFUNCTION("""COMPUTED_VALUE"""),"#REF!")</f>
        <v>#REF!</v>
      </c>
      <c r="N2684" s="17"/>
      <c r="O2684" s="17"/>
      <c r="P2684" s="17" t="b">
        <f>IFERROR(__xludf.DUMMYFUNCTION("""COMPUTED_VALUE"""),FALSE)</f>
        <v>0</v>
      </c>
      <c r="Q2684" s="20" t="str">
        <f>IFERROR(__xludf.DUMMYFUNCTION("""COMPUTED_VALUE"""),"")</f>
        <v/>
      </c>
      <c r="R2684" s="21" t="str">
        <f>IFERROR(__xludf.DUMMYFUNCTION("""COMPUTED_VALUE"""),"https://drive.google.com/file/d/1mydIHxXH4T2WCW3olfE_78xvg69xKVz8/view?usp=drivesdk")</f>
        <v>https://drive.google.com/file/d/1mydIHxXH4T2WCW3olfE_78xvg69xKVz8/view?usp=drivesdk</v>
      </c>
    </row>
    <row r="2685">
      <c r="A2685" s="15">
        <f>IFERROR(__xludf.DUMMYFUNCTION("""COMPUTED_VALUE"""),45079.0)</f>
        <v>45079</v>
      </c>
      <c r="B2685" s="16" t="str">
        <f>IFERROR(__xludf.DUMMYFUNCTION("""COMPUTED_VALUE"""),"Jeison Rubiano")</f>
        <v>Jeison Rubiano</v>
      </c>
      <c r="C2685" s="15" t="str">
        <f>IFERROR(__xludf.DUMMYFUNCTION("""COMPUTED_VALUE"""),"BOGOTÁ")</f>
        <v>BOGOTÁ</v>
      </c>
      <c r="D2685" s="15" t="str">
        <f>IFERROR(__xludf.DUMMYFUNCTION("""COMPUTED_VALUE"""),"MEDELLÍN")</f>
        <v>MEDELLÍN</v>
      </c>
      <c r="E2685" s="15" t="str">
        <f>IFERROR(__xludf.DUMMYFUNCTION("""COMPUTED_VALUE"""),"AREPAS LA MARY")</f>
        <v>AREPAS LA MARY</v>
      </c>
      <c r="F2685" s="17" t="str">
        <f>IFERROR(__xludf.DUMMYFUNCTION("""COMPUTED_VALUE"""),"Calle 92 # 13-68 apto 602 / EDIFICIO PALKO")</f>
        <v>Calle 92 # 13-68 apto 602 / EDIFICIO PALKO</v>
      </c>
      <c r="G2685" s="15" t="str">
        <f>IFERROR(__xludf.DUMMYFUNCTION("""COMPUTED_VALUE"""),"EMILIA URIBE")</f>
        <v>EMILIA URIBE</v>
      </c>
      <c r="H2685" s="16">
        <f>IFERROR(__xludf.DUMMYFUNCTION("""COMPUTED_VALUE"""),11246.0)</f>
        <v>11246</v>
      </c>
      <c r="I2685" s="18">
        <f>IFERROR(__xludf.DUMMYFUNCTION("""COMPUTED_VALUE"""),89.0)</f>
        <v>89</v>
      </c>
      <c r="J2685" s="18">
        <f>IFERROR(__xludf.DUMMYFUNCTION("""COMPUTED_VALUE"""),1.0)</f>
        <v>1</v>
      </c>
      <c r="K2685" s="18">
        <f>IFERROR(__xludf.DUMMYFUNCTION("""COMPUTED_VALUE"""),10.0)</f>
        <v>10</v>
      </c>
      <c r="L2685" s="17">
        <f>IFERROR(__xludf.DUMMYFUNCTION("""COMPUTED_VALUE"""),3.104660775E9)</f>
        <v>3104660775</v>
      </c>
      <c r="M2685" s="17" t="str">
        <f>IFERROR(__xludf.DUMMYFUNCTION("""COMPUTED_VALUE"""),"#REF!")</f>
        <v>#REF!</v>
      </c>
      <c r="N2685" s="17"/>
      <c r="O2685" s="17"/>
      <c r="P2685" s="17" t="b">
        <f>IFERROR(__xludf.DUMMYFUNCTION("""COMPUTED_VALUE"""),FALSE)</f>
        <v>0</v>
      </c>
      <c r="Q2685" s="20" t="str">
        <f>IFERROR(__xludf.DUMMYFUNCTION("""COMPUTED_VALUE"""),"")</f>
        <v/>
      </c>
      <c r="R2685" s="21" t="str">
        <f>IFERROR(__xludf.DUMMYFUNCTION("""COMPUTED_VALUE"""),"https://drive.google.com/file/d/1iS-GE4wlB9YpAWwd49gvT50b-hRKdD0h/view?usp=drivesdk")</f>
        <v>https://drive.google.com/file/d/1iS-GE4wlB9YpAWwd49gvT50b-hRKdD0h/view?usp=drivesdk</v>
      </c>
    </row>
    <row r="2686">
      <c r="A2686" s="15">
        <f>IFERROR(__xludf.DUMMYFUNCTION("""COMPUTED_VALUE"""),45079.0)</f>
        <v>45079</v>
      </c>
      <c r="B2686" s="16" t="str">
        <f>IFERROR(__xludf.DUMMYFUNCTION("""COMPUTED_VALUE"""),"Jeison Rubiano")</f>
        <v>Jeison Rubiano</v>
      </c>
      <c r="C2686" s="15" t="str">
        <f>IFERROR(__xludf.DUMMYFUNCTION("""COMPUTED_VALUE"""),"BOGOTÁ")</f>
        <v>BOGOTÁ</v>
      </c>
      <c r="D2686" s="15" t="str">
        <f>IFERROR(__xludf.DUMMYFUNCTION("""COMPUTED_VALUE"""),"MEDELLÍN")</f>
        <v>MEDELLÍN</v>
      </c>
      <c r="E2686" s="15" t="str">
        <f>IFERROR(__xludf.DUMMYFUNCTION("""COMPUTED_VALUE"""),"AREPAS LA MARY")</f>
        <v>AREPAS LA MARY</v>
      </c>
      <c r="F2686" s="17" t="str">
        <f>IFERROR(__xludf.DUMMYFUNCTION("""COMPUTED_VALUE"""),"cra 3 este #6c-82 sur, torre 2, apto 1104 / conjunto residencial bariloche")</f>
        <v>cra 3 este #6c-82 sur, torre 2, apto 1104 / conjunto residencial bariloche</v>
      </c>
      <c r="G2686" s="15" t="str">
        <f>IFERROR(__xludf.DUMMYFUNCTION("""COMPUTED_VALUE"""),"YENNIFER MARMOLEJO")</f>
        <v>YENNIFER MARMOLEJO</v>
      </c>
      <c r="H2686" s="16">
        <f>IFERROR(__xludf.DUMMYFUNCTION("""COMPUTED_VALUE"""),11279.0)</f>
        <v>11279</v>
      </c>
      <c r="I2686" s="18">
        <f>IFERROR(__xludf.DUMMYFUNCTION("""COMPUTED_VALUE"""),89.0)</f>
        <v>89</v>
      </c>
      <c r="J2686" s="18">
        <f>IFERROR(__xludf.DUMMYFUNCTION("""COMPUTED_VALUE"""),1.0)</f>
        <v>1</v>
      </c>
      <c r="K2686" s="18">
        <f>IFERROR(__xludf.DUMMYFUNCTION("""COMPUTED_VALUE"""),10.0)</f>
        <v>10</v>
      </c>
      <c r="L2686" s="17">
        <f>IFERROR(__xludf.DUMMYFUNCTION("""COMPUTED_VALUE"""),3.01333367E9)</f>
        <v>3013333670</v>
      </c>
      <c r="M2686" s="17" t="str">
        <f>IFERROR(__xludf.DUMMYFUNCTION("""COMPUTED_VALUE"""),"#REF!")</f>
        <v>#REF!</v>
      </c>
      <c r="N2686" s="17"/>
      <c r="O2686" s="17"/>
      <c r="P2686" s="17" t="b">
        <f>IFERROR(__xludf.DUMMYFUNCTION("""COMPUTED_VALUE"""),FALSE)</f>
        <v>0</v>
      </c>
      <c r="Q2686" s="20" t="str">
        <f>IFERROR(__xludf.DUMMYFUNCTION("""COMPUTED_VALUE"""),"")</f>
        <v/>
      </c>
      <c r="R2686" s="21" t="str">
        <f>IFERROR(__xludf.DUMMYFUNCTION("""COMPUTED_VALUE"""),"https://drive.google.com/file/d/1O3RvOB7VnQ2Z4qYYkICwZIvcQUVIMr4H/view?usp=drivesdk")</f>
        <v>https://drive.google.com/file/d/1O3RvOB7VnQ2Z4qYYkICwZIvcQUVIMr4H/view?usp=drivesdk</v>
      </c>
    </row>
    <row r="2687">
      <c r="A2687" s="15">
        <f>IFERROR(__xludf.DUMMYFUNCTION("""COMPUTED_VALUE"""),45079.0)</f>
        <v>45079</v>
      </c>
      <c r="B2687" s="16" t="str">
        <f>IFERROR(__xludf.DUMMYFUNCTION("""COMPUTED_VALUE"""),"Jeison Rubiano")</f>
        <v>Jeison Rubiano</v>
      </c>
      <c r="C2687" s="15" t="str">
        <f>IFERROR(__xludf.DUMMYFUNCTION("""COMPUTED_VALUE"""),"BOGOTÁ")</f>
        <v>BOGOTÁ</v>
      </c>
      <c r="D2687" s="15" t="str">
        <f>IFERROR(__xludf.DUMMYFUNCTION("""COMPUTED_VALUE"""),"MEDELLÍN")</f>
        <v>MEDELLÍN</v>
      </c>
      <c r="E2687" s="15" t="str">
        <f>IFERROR(__xludf.DUMMYFUNCTION("""COMPUTED_VALUE"""),"Baby Chef")</f>
        <v>Baby Chef</v>
      </c>
      <c r="F2687" s="17" t="str">
        <f>IFERROR(__xludf.DUMMYFUNCTION("""COMPUTED_VALUE"""),"Ak. 20 # 86-56  Apto 401 Antiguo country / Ak. 20 # 86-56  Apto 401 Antiguo country / Ak. 20 # 86-56  Apto 401 Antiguo country")</f>
        <v>Ak. 20 # 86-56  Apto 401 Antiguo country / Ak. 20 # 86-56  Apto 401 Antiguo country / Ak. 20 # 86-56  Apto 401 Antiguo country</v>
      </c>
      <c r="G2687" s="15" t="str">
        <f>IFERROR(__xludf.DUMMYFUNCTION("""COMPUTED_VALUE"""),"Andrea Ortega")</f>
        <v>Andrea Ortega</v>
      </c>
      <c r="H2687" s="16">
        <f>IFERROR(__xludf.DUMMYFUNCTION("""COMPUTED_VALUE"""),11273.0)</f>
        <v>11273</v>
      </c>
      <c r="I2687" s="18">
        <f>IFERROR(__xludf.DUMMYFUNCTION("""COMPUTED_VALUE"""),8.0)</f>
        <v>8</v>
      </c>
      <c r="J2687" s="18">
        <f>IFERROR(__xludf.DUMMYFUNCTION("""COMPUTED_VALUE"""),16.0)</f>
        <v>16</v>
      </c>
      <c r="K2687" s="18">
        <f>IFERROR(__xludf.DUMMYFUNCTION("""COMPUTED_VALUE"""),20.0)</f>
        <v>20</v>
      </c>
      <c r="L2687" s="17">
        <f>IFERROR(__xludf.DUMMYFUNCTION("""COMPUTED_VALUE"""),3.112832577E9)</f>
        <v>3112832577</v>
      </c>
      <c r="M2687" s="17" t="str">
        <f>IFERROR(__xludf.DUMMYFUNCTION("""COMPUTED_VALUE"""),"#REF!")</f>
        <v>#REF!</v>
      </c>
      <c r="N2687" s="17"/>
      <c r="O2687" s="17"/>
      <c r="P2687" s="17" t="b">
        <f>IFERROR(__xludf.DUMMYFUNCTION("""COMPUTED_VALUE"""),FALSE)</f>
        <v>0</v>
      </c>
      <c r="Q2687" s="20" t="str">
        <f>IFERROR(__xludf.DUMMYFUNCTION("""COMPUTED_VALUE"""),"")</f>
        <v/>
      </c>
      <c r="R2687" s="21" t="str">
        <f>IFERROR(__xludf.DUMMYFUNCTION("""COMPUTED_VALUE"""),"https://drive.google.com/file/d/1FcWM-4ThGQXk6YPB8BA9cVYzjvnYMXa5/view?usp=drivesdk")</f>
        <v>https://drive.google.com/file/d/1FcWM-4ThGQXk6YPB8BA9cVYzjvnYMXa5/view?usp=drivesdk</v>
      </c>
    </row>
    <row r="2688">
      <c r="A2688" s="15">
        <f>IFERROR(__xludf.DUMMYFUNCTION("""COMPUTED_VALUE"""),45079.0)</f>
        <v>45079</v>
      </c>
      <c r="B2688" s="16" t="str">
        <f>IFERROR(__xludf.DUMMYFUNCTION("""COMPUTED_VALUE"""),"Jeison Rubiano")</f>
        <v>Jeison Rubiano</v>
      </c>
      <c r="C2688" s="15" t="str">
        <f>IFERROR(__xludf.DUMMYFUNCTION("""COMPUTED_VALUE"""),"BOGOTÁ")</f>
        <v>BOGOTÁ</v>
      </c>
      <c r="D2688" s="15" t="str">
        <f>IFERROR(__xludf.DUMMYFUNCTION("""COMPUTED_VALUE"""),"MEDELLÍN")</f>
        <v>MEDELLÍN</v>
      </c>
      <c r="E2688" s="15" t="str">
        <f>IFERROR(__xludf.DUMMYFUNCTION("""COMPUTED_VALUE"""),"Baby Chef")</f>
        <v>Baby Chef</v>
      </c>
      <c r="F2688" s="17" t="str">
        <f>IFERROR(__xludf.DUMMYFUNCTION("""COMPUTED_VALUE"""),"Calle 152#54-39 torre 1 apto 1501 conjunto parque aragon / Calle 152#54-39 torre 1 apto 1501 conjunto parque aragon / Calle 152#54-39 torre 1 apto 1501 conjunto parque aragon")</f>
        <v>Calle 152#54-39 torre 1 apto 1501 conjunto parque aragon / Calle 152#54-39 torre 1 apto 1501 conjunto parque aragon / Calle 152#54-39 torre 1 apto 1501 conjunto parque aragon</v>
      </c>
      <c r="G2688" s="15" t="str">
        <f>IFERROR(__xludf.DUMMYFUNCTION("""COMPUTED_VALUE"""),"Alba Martínez")</f>
        <v>Alba Martínez</v>
      </c>
      <c r="H2688" s="16">
        <f>IFERROR(__xludf.DUMMYFUNCTION("""COMPUTED_VALUE"""),11272.0)</f>
        <v>11272</v>
      </c>
      <c r="I2688" s="18">
        <f>IFERROR(__xludf.DUMMYFUNCTION("""COMPUTED_VALUE"""),8.0)</f>
        <v>8</v>
      </c>
      <c r="J2688" s="18">
        <f>IFERROR(__xludf.DUMMYFUNCTION("""COMPUTED_VALUE"""),16.0)</f>
        <v>16</v>
      </c>
      <c r="K2688" s="18">
        <f>IFERROR(__xludf.DUMMYFUNCTION("""COMPUTED_VALUE"""),20.0)</f>
        <v>20</v>
      </c>
      <c r="L2688" s="17">
        <f>IFERROR(__xludf.DUMMYFUNCTION("""COMPUTED_VALUE"""),3.15370417E9)</f>
        <v>3153704170</v>
      </c>
      <c r="M2688" s="17" t="str">
        <f>IFERROR(__xludf.DUMMYFUNCTION("""COMPUTED_VALUE"""),"#REF!")</f>
        <v>#REF!</v>
      </c>
      <c r="N2688" s="17"/>
      <c r="O2688" s="17"/>
      <c r="P2688" s="17" t="b">
        <f>IFERROR(__xludf.DUMMYFUNCTION("""COMPUTED_VALUE"""),FALSE)</f>
        <v>0</v>
      </c>
      <c r="Q2688" s="20" t="str">
        <f>IFERROR(__xludf.DUMMYFUNCTION("""COMPUTED_VALUE"""),"")</f>
        <v/>
      </c>
      <c r="R2688" s="21" t="str">
        <f>IFERROR(__xludf.DUMMYFUNCTION("""COMPUTED_VALUE"""),"https://drive.google.com/file/d/1pr601J_n6uuJko5-Jc8lr-Yy1FRvZkPv/view?usp=drivesdk")</f>
        <v>https://drive.google.com/file/d/1pr601J_n6uuJko5-Jc8lr-Yy1FRvZkPv/view?usp=drivesdk</v>
      </c>
    </row>
    <row r="2689">
      <c r="A2689" s="15">
        <f>IFERROR(__xludf.DUMMYFUNCTION("""COMPUTED_VALUE"""),45079.0)</f>
        <v>45079</v>
      </c>
      <c r="B2689" s="16" t="str">
        <f>IFERROR(__xludf.DUMMYFUNCTION("""COMPUTED_VALUE"""),"Jeison Rubiano")</f>
        <v>Jeison Rubiano</v>
      </c>
      <c r="C2689" s="15" t="str">
        <f>IFERROR(__xludf.DUMMYFUNCTION("""COMPUTED_VALUE"""),"BOGOTÁ")</f>
        <v>BOGOTÁ</v>
      </c>
      <c r="D2689" s="15" t="str">
        <f>IFERROR(__xludf.DUMMYFUNCTION("""COMPUTED_VALUE"""),"MEDELLÍN")</f>
        <v>MEDELLÍN</v>
      </c>
      <c r="E2689" s="15" t="str">
        <f>IFERROR(__xludf.DUMMYFUNCTION("""COMPUTED_VALUE"""),"Baby Chef")</f>
        <v>Baby Chef</v>
      </c>
      <c r="F2689" s="17" t="str">
        <f>IFERROR(__xludf.DUMMYFUNCTION("""COMPUTED_VALUE"""),"Cra 104 BIS 23 B 56  / Cra 104 BIS 23 B 56  / Cra 104 BIS 23 B 56")</f>
        <v>Cra 104 BIS 23 B 56  / Cra 104 BIS 23 B 56  / Cra 104 BIS 23 B 56</v>
      </c>
      <c r="G2689" s="15" t="str">
        <f>IFERROR(__xludf.DUMMYFUNCTION("""COMPUTED_VALUE"""),"Paola Elles")</f>
        <v>Paola Elles</v>
      </c>
      <c r="H2689" s="16">
        <f>IFERROR(__xludf.DUMMYFUNCTION("""COMPUTED_VALUE"""),11276.0)</f>
        <v>11276</v>
      </c>
      <c r="I2689" s="18">
        <f>IFERROR(__xludf.DUMMYFUNCTION("""COMPUTED_VALUE"""),8.0)</f>
        <v>8</v>
      </c>
      <c r="J2689" s="18">
        <f>IFERROR(__xludf.DUMMYFUNCTION("""COMPUTED_VALUE"""),16.0)</f>
        <v>16</v>
      </c>
      <c r="K2689" s="18">
        <f>IFERROR(__xludf.DUMMYFUNCTION("""COMPUTED_VALUE"""),20.0)</f>
        <v>20</v>
      </c>
      <c r="L2689" s="17">
        <f>IFERROR(__xludf.DUMMYFUNCTION("""COMPUTED_VALUE"""),3.115531515E9)</f>
        <v>3115531515</v>
      </c>
      <c r="M2689" s="17" t="str">
        <f>IFERROR(__xludf.DUMMYFUNCTION("""COMPUTED_VALUE"""),"#REF!")</f>
        <v>#REF!</v>
      </c>
      <c r="N2689" s="17"/>
      <c r="O2689" s="17"/>
      <c r="P2689" s="17" t="b">
        <f>IFERROR(__xludf.DUMMYFUNCTION("""COMPUTED_VALUE"""),FALSE)</f>
        <v>0</v>
      </c>
      <c r="Q2689" s="20" t="str">
        <f>IFERROR(__xludf.DUMMYFUNCTION("""COMPUTED_VALUE"""),"")</f>
        <v/>
      </c>
      <c r="R2689" s="21" t="str">
        <f>IFERROR(__xludf.DUMMYFUNCTION("""COMPUTED_VALUE"""),"https://drive.google.com/file/d/1PrfPsKBxUhROm8Cm6IBY1f-qodtVTVqa/view?usp=drivesdk")</f>
        <v>https://drive.google.com/file/d/1PrfPsKBxUhROm8Cm6IBY1f-qodtVTVqa/view?usp=drivesdk</v>
      </c>
    </row>
    <row r="2690">
      <c r="A2690" s="15">
        <f>IFERROR(__xludf.DUMMYFUNCTION("""COMPUTED_VALUE"""),45079.0)</f>
        <v>45079</v>
      </c>
      <c r="B2690" s="16" t="str">
        <f>IFERROR(__xludf.DUMMYFUNCTION("""COMPUTED_VALUE"""),"Jeison Rubiano")</f>
        <v>Jeison Rubiano</v>
      </c>
      <c r="C2690" s="15" t="str">
        <f>IFERROR(__xludf.DUMMYFUNCTION("""COMPUTED_VALUE"""),"BOGOTÁ")</f>
        <v>BOGOTÁ</v>
      </c>
      <c r="D2690" s="15" t="str">
        <f>IFERROR(__xludf.DUMMYFUNCTION("""COMPUTED_VALUE"""),"MEDELLÍN")</f>
        <v>MEDELLÍN</v>
      </c>
      <c r="E2690" s="15" t="str">
        <f>IFERROR(__xludf.DUMMYFUNCTION("""COMPUTED_VALUE"""),"Baby Chef")</f>
        <v>Baby Chef</v>
      </c>
      <c r="F2690" s="17" t="str">
        <f>IFERROR(__xludf.DUMMYFUNCTION("""COMPUTED_VALUE"""),"Cra 20 #134A-16 apto 301 Barrio nueva autopista / Cra 20 #134A-16 apto 301 Barrio nueva autopista / Cra 20 #134A-16 apto 301 Barrio nueva autopista")</f>
        <v>Cra 20 #134A-16 apto 301 Barrio nueva autopista / Cra 20 #134A-16 apto 301 Barrio nueva autopista / Cra 20 #134A-16 apto 301 Barrio nueva autopista</v>
      </c>
      <c r="G2690" s="15" t="str">
        <f>IFERROR(__xludf.DUMMYFUNCTION("""COMPUTED_VALUE"""),"Diana Velasco")</f>
        <v>Diana Velasco</v>
      </c>
      <c r="H2690" s="16">
        <f>IFERROR(__xludf.DUMMYFUNCTION("""COMPUTED_VALUE"""),11270.0)</f>
        <v>11270</v>
      </c>
      <c r="I2690" s="18">
        <f>IFERROR(__xludf.DUMMYFUNCTION("""COMPUTED_VALUE"""),8.0)</f>
        <v>8</v>
      </c>
      <c r="J2690" s="18">
        <f>IFERROR(__xludf.DUMMYFUNCTION("""COMPUTED_VALUE"""),16.0)</f>
        <v>16</v>
      </c>
      <c r="K2690" s="18">
        <f>IFERROR(__xludf.DUMMYFUNCTION("""COMPUTED_VALUE"""),20.0)</f>
        <v>20</v>
      </c>
      <c r="L2690" s="17">
        <f>IFERROR(__xludf.DUMMYFUNCTION("""COMPUTED_VALUE"""),3.12584911E9)</f>
        <v>3125849110</v>
      </c>
      <c r="M2690" s="17" t="str">
        <f>IFERROR(__xludf.DUMMYFUNCTION("""COMPUTED_VALUE"""),"#REF!")</f>
        <v>#REF!</v>
      </c>
      <c r="N2690" s="17"/>
      <c r="O2690" s="17"/>
      <c r="P2690" s="17" t="b">
        <f>IFERROR(__xludf.DUMMYFUNCTION("""COMPUTED_VALUE"""),FALSE)</f>
        <v>0</v>
      </c>
      <c r="Q2690" s="20" t="str">
        <f>IFERROR(__xludf.DUMMYFUNCTION("""COMPUTED_VALUE"""),"")</f>
        <v/>
      </c>
      <c r="R2690" s="21" t="str">
        <f>IFERROR(__xludf.DUMMYFUNCTION("""COMPUTED_VALUE"""),"https://drive.google.com/file/d/1EiBfXh07YkDg74-Mx809WoFTDKMsM1jx/view?usp=drivesdk")</f>
        <v>https://drive.google.com/file/d/1EiBfXh07YkDg74-Mx809WoFTDKMsM1jx/view?usp=drivesdk</v>
      </c>
    </row>
    <row r="2691">
      <c r="A2691" s="15">
        <f>IFERROR(__xludf.DUMMYFUNCTION("""COMPUTED_VALUE"""),45079.0)</f>
        <v>45079</v>
      </c>
      <c r="B2691" s="16" t="str">
        <f>IFERROR(__xludf.DUMMYFUNCTION("""COMPUTED_VALUE"""),"Jeison Rubiano")</f>
        <v>Jeison Rubiano</v>
      </c>
      <c r="C2691" s="15" t="str">
        <f>IFERROR(__xludf.DUMMYFUNCTION("""COMPUTED_VALUE"""),"BOGOTÁ")</f>
        <v>BOGOTÁ</v>
      </c>
      <c r="D2691" s="15" t="str">
        <f>IFERROR(__xludf.DUMMYFUNCTION("""COMPUTED_VALUE"""),"MEDELLÍN")</f>
        <v>MEDELLÍN</v>
      </c>
      <c r="E2691" s="15" t="str">
        <f>IFERROR(__xludf.DUMMYFUNCTION("""COMPUTED_VALUE"""),"Baby Chef")</f>
        <v>Baby Chef</v>
      </c>
      <c r="F2691" s="17" t="str">
        <f>IFERROR(__xludf.DUMMYFUNCTION("""COMPUTED_VALUE"""),"Cra 21 # 86-39 El polo / Cra 21 # 86-39 El polo / Cra 21 # 86-39 El polo")</f>
        <v>Cra 21 # 86-39 El polo / Cra 21 # 86-39 El polo / Cra 21 # 86-39 El polo</v>
      </c>
      <c r="G2691" s="15" t="str">
        <f>IFERROR(__xludf.DUMMYFUNCTION("""COMPUTED_VALUE"""),"Alicia Burgess")</f>
        <v>Alicia Burgess</v>
      </c>
      <c r="H2691" s="16">
        <f>IFERROR(__xludf.DUMMYFUNCTION("""COMPUTED_VALUE"""),11275.0)</f>
        <v>11275</v>
      </c>
      <c r="I2691" s="18">
        <f>IFERROR(__xludf.DUMMYFUNCTION("""COMPUTED_VALUE"""),8.0)</f>
        <v>8</v>
      </c>
      <c r="J2691" s="18">
        <f>IFERROR(__xludf.DUMMYFUNCTION("""COMPUTED_VALUE"""),16.0)</f>
        <v>16</v>
      </c>
      <c r="K2691" s="18">
        <f>IFERROR(__xludf.DUMMYFUNCTION("""COMPUTED_VALUE"""),20.0)</f>
        <v>20</v>
      </c>
      <c r="L2691" s="17">
        <f>IFERROR(__xludf.DUMMYFUNCTION("""COMPUTED_VALUE"""),3.214623157E9)</f>
        <v>3214623157</v>
      </c>
      <c r="M2691" s="17" t="str">
        <f>IFERROR(__xludf.DUMMYFUNCTION("""COMPUTED_VALUE"""),"#REF!")</f>
        <v>#REF!</v>
      </c>
      <c r="N2691" s="17"/>
      <c r="O2691" s="17"/>
      <c r="P2691" s="17" t="b">
        <f>IFERROR(__xludf.DUMMYFUNCTION("""COMPUTED_VALUE"""),FALSE)</f>
        <v>0</v>
      </c>
      <c r="Q2691" s="20" t="str">
        <f>IFERROR(__xludf.DUMMYFUNCTION("""COMPUTED_VALUE"""),"")</f>
        <v/>
      </c>
      <c r="R2691" s="21" t="str">
        <f>IFERROR(__xludf.DUMMYFUNCTION("""COMPUTED_VALUE"""),"https://drive.google.com/file/d/1ErB7kQfIUw9unrEINw6oF687-bqz4Xp3/view?usp=drivesdk")</f>
        <v>https://drive.google.com/file/d/1ErB7kQfIUw9unrEINw6oF687-bqz4Xp3/view?usp=drivesdk</v>
      </c>
    </row>
    <row r="2692">
      <c r="A2692" s="15">
        <f>IFERROR(__xludf.DUMMYFUNCTION("""COMPUTED_VALUE"""),45079.0)</f>
        <v>45079</v>
      </c>
      <c r="B2692" s="16" t="str">
        <f>IFERROR(__xludf.DUMMYFUNCTION("""COMPUTED_VALUE"""),"Jeison Rubiano")</f>
        <v>Jeison Rubiano</v>
      </c>
      <c r="C2692" s="15" t="str">
        <f>IFERROR(__xludf.DUMMYFUNCTION("""COMPUTED_VALUE"""),"BOGOTÁ")</f>
        <v>BOGOTÁ</v>
      </c>
      <c r="D2692" s="15" t="str">
        <f>IFERROR(__xludf.DUMMYFUNCTION("""COMPUTED_VALUE"""),"MEDELLÍN")</f>
        <v>MEDELLÍN</v>
      </c>
      <c r="E2692" s="15" t="str">
        <f>IFERROR(__xludf.DUMMYFUNCTION("""COMPUTED_VALUE"""),"Baby Chef")</f>
        <v>Baby Chef</v>
      </c>
      <c r="F2692" s="17" t="str">
        <f>IFERROR(__xludf.DUMMYFUNCTION("""COMPUTED_VALUE"""),"CRA 70 D 64 38 SUR Torre 5 apto 1901 Barrio Perdomo Conjunto: parque central Bonavista 2 / CRA 70 D 64 38 SUR Torre 5 apto 1901 Barrio Perdomo Conjunto: parque central Bonavista 2 / CRA 70 D 64 38 SUR Torre 5 apto 1901 Barrio Perdomo Conjunto: parque cent"&amp;"ral Bonavista 2")</f>
        <v>CRA 70 D 64 38 SUR Torre 5 apto 1901 Barrio Perdomo Conjunto: parque central Bonavista 2 / CRA 70 D 64 38 SUR Torre 5 apto 1901 Barrio Perdomo Conjunto: parque central Bonavista 2 / CRA 70 D 64 38 SUR Torre 5 apto 1901 Barrio Perdomo Conjunto: parque central Bonavista 2</v>
      </c>
      <c r="G2692" s="15" t="str">
        <f>IFERROR(__xludf.DUMMYFUNCTION("""COMPUTED_VALUE"""),"Ingrid Rodriquez")</f>
        <v>Ingrid Rodriquez</v>
      </c>
      <c r="H2692" s="16">
        <f>IFERROR(__xludf.DUMMYFUNCTION("""COMPUTED_VALUE"""),11271.0)</f>
        <v>11271</v>
      </c>
      <c r="I2692" s="18">
        <f>IFERROR(__xludf.DUMMYFUNCTION("""COMPUTED_VALUE"""),8.0)</f>
        <v>8</v>
      </c>
      <c r="J2692" s="18">
        <f>IFERROR(__xludf.DUMMYFUNCTION("""COMPUTED_VALUE"""),16.0)</f>
        <v>16</v>
      </c>
      <c r="K2692" s="18">
        <f>IFERROR(__xludf.DUMMYFUNCTION("""COMPUTED_VALUE"""),20.0)</f>
        <v>20</v>
      </c>
      <c r="L2692" s="17">
        <f>IFERROR(__xludf.DUMMYFUNCTION("""COMPUTED_VALUE"""),3.138521725E9)</f>
        <v>3138521725</v>
      </c>
      <c r="M2692" s="17" t="str">
        <f>IFERROR(__xludf.DUMMYFUNCTION("""COMPUTED_VALUE"""),"#REF!")</f>
        <v>#REF!</v>
      </c>
      <c r="N2692" s="17"/>
      <c r="O2692" s="17"/>
      <c r="P2692" s="17" t="b">
        <f>IFERROR(__xludf.DUMMYFUNCTION("""COMPUTED_VALUE"""),FALSE)</f>
        <v>0</v>
      </c>
      <c r="Q2692" s="20" t="str">
        <f>IFERROR(__xludf.DUMMYFUNCTION("""COMPUTED_VALUE"""),"")</f>
        <v/>
      </c>
      <c r="R2692" s="21" t="str">
        <f>IFERROR(__xludf.DUMMYFUNCTION("""COMPUTED_VALUE"""),"https://drive.google.com/file/d/1xDtvrsmjuHLweEt1Lja-KR0RWxKRDQiT/view?usp=drivesdk")</f>
        <v>https://drive.google.com/file/d/1xDtvrsmjuHLweEt1Lja-KR0RWxKRDQiT/view?usp=drivesdk</v>
      </c>
    </row>
    <row r="2693">
      <c r="A2693" s="15">
        <f>IFERROR(__xludf.DUMMYFUNCTION("""COMPUTED_VALUE"""),45079.0)</f>
        <v>45079</v>
      </c>
      <c r="B2693" s="16" t="str">
        <f>IFERROR(__xludf.DUMMYFUNCTION("""COMPUTED_VALUE"""),"Jeison Rubiano")</f>
        <v>Jeison Rubiano</v>
      </c>
      <c r="C2693" s="15" t="str">
        <f>IFERROR(__xludf.DUMMYFUNCTION("""COMPUTED_VALUE"""),"BOGOTÁ")</f>
        <v>BOGOTÁ</v>
      </c>
      <c r="D2693" s="15" t="str">
        <f>IFERROR(__xludf.DUMMYFUNCTION("""COMPUTED_VALUE"""),"MEDELLÍN")</f>
        <v>MEDELLÍN</v>
      </c>
      <c r="E2693" s="15" t="str">
        <f>IFERROR(__xludf.DUMMYFUNCTION("""COMPUTED_VALUE"""),"Biota")</f>
        <v>Biota</v>
      </c>
      <c r="F2693" s="17" t="str">
        <f>IFERROR(__xludf.DUMMYFUNCTION("""COMPUTED_VALUE"""),"Calle 90 # 13-23 / Mercado saludable , Fit Market  / Tienda saludable, Muestras de productos para tienda")</f>
        <v>Calle 90 # 13-23 / Mercado saludable , Fit Market  / Tienda saludable, Muestras de productos para tienda</v>
      </c>
      <c r="G2693" s="15" t="str">
        <f>IFERROR(__xludf.DUMMYFUNCTION("""COMPUTED_VALUE"""),"Fit Market")</f>
        <v>Fit Market</v>
      </c>
      <c r="H2693" s="16">
        <f>IFERROR(__xludf.DUMMYFUNCTION("""COMPUTED_VALUE"""),11240.0)</f>
        <v>11240</v>
      </c>
      <c r="I2693" s="18">
        <f>IFERROR(__xludf.DUMMYFUNCTION("""COMPUTED_VALUE"""),49.0)</f>
        <v>49</v>
      </c>
      <c r="J2693" s="18">
        <f>IFERROR(__xludf.DUMMYFUNCTION("""COMPUTED_VALUE"""),20.0)</f>
        <v>20</v>
      </c>
      <c r="K2693" s="18">
        <f>IFERROR(__xludf.DUMMYFUNCTION("""COMPUTED_VALUE"""),20.0)</f>
        <v>20</v>
      </c>
      <c r="L2693" s="17">
        <f>IFERROR(__xludf.DUMMYFUNCTION("""COMPUTED_VALUE"""),3.002440879E9)</f>
        <v>3002440879</v>
      </c>
      <c r="M2693" s="17" t="str">
        <f>IFERROR(__xludf.DUMMYFUNCTION("""COMPUTED_VALUE"""),"#REF!")</f>
        <v>#REF!</v>
      </c>
      <c r="N2693" s="17"/>
      <c r="O2693" s="17"/>
      <c r="P2693" s="17" t="b">
        <f>IFERROR(__xludf.DUMMYFUNCTION("""COMPUTED_VALUE"""),FALSE)</f>
        <v>0</v>
      </c>
      <c r="Q2693" s="20" t="str">
        <f>IFERROR(__xludf.DUMMYFUNCTION("""COMPUTED_VALUE"""),"")</f>
        <v/>
      </c>
      <c r="R2693" s="21" t="str">
        <f>IFERROR(__xludf.DUMMYFUNCTION("""COMPUTED_VALUE"""),"https://drive.google.com/file/d/1ubqM4VZUub5sK7d3Drk3lBmK7G_EzrR8/view?usp=drivesdk")</f>
        <v>https://drive.google.com/file/d/1ubqM4VZUub5sK7d3Drk3lBmK7G_EzrR8/view?usp=drivesdk</v>
      </c>
    </row>
    <row r="2694">
      <c r="A2694" s="15">
        <f>IFERROR(__xludf.DUMMYFUNCTION("""COMPUTED_VALUE"""),45079.0)</f>
        <v>45079</v>
      </c>
      <c r="B2694" s="16" t="str">
        <f>IFERROR(__xludf.DUMMYFUNCTION("""COMPUTED_VALUE"""),"Jeison Rubiano")</f>
        <v>Jeison Rubiano</v>
      </c>
      <c r="C2694" s="15" t="str">
        <f>IFERROR(__xludf.DUMMYFUNCTION("""COMPUTED_VALUE"""),"BOGOTÁ")</f>
        <v>BOGOTÁ</v>
      </c>
      <c r="D2694" s="15" t="str">
        <f>IFERROR(__xludf.DUMMYFUNCTION("""COMPUTED_VALUE"""),"MEDELLÍN")</f>
        <v>MEDELLÍN</v>
      </c>
      <c r="E2694" s="15" t="str">
        <f>IFERROR(__xludf.DUMMYFUNCTION("""COMPUTED_VALUE"""),"Biota")</f>
        <v>Biota</v>
      </c>
      <c r="F2694" s="17" t="str">
        <f>IFERROR(__xludf.DUMMYFUNCTION("""COMPUTED_VALUE"""),"Carrera 15 # 116 – 47  / Tienda,  mercado saludable Frutsec / Entrega de productos: Natusoya y Biota")</f>
        <v>Carrera 15 # 116 – 47  / Tienda,  mercado saludable Frutsec / Entrega de productos: Natusoya y Biota</v>
      </c>
      <c r="G2694" s="15" t="str">
        <f>IFERROR(__xludf.DUMMYFUNCTION("""COMPUTED_VALUE"""),"Frutsec")</f>
        <v>Frutsec</v>
      </c>
      <c r="H2694" s="16">
        <f>IFERROR(__xludf.DUMMYFUNCTION("""COMPUTED_VALUE"""),11241.0)</f>
        <v>11241</v>
      </c>
      <c r="I2694" s="18">
        <f>IFERROR(__xludf.DUMMYFUNCTION("""COMPUTED_VALUE"""),30.0)</f>
        <v>30</v>
      </c>
      <c r="J2694" s="18">
        <f>IFERROR(__xludf.DUMMYFUNCTION("""COMPUTED_VALUE"""),20.0)</f>
        <v>20</v>
      </c>
      <c r="K2694" s="18">
        <f>IFERROR(__xludf.DUMMYFUNCTION("""COMPUTED_VALUE"""),32.0)</f>
        <v>32</v>
      </c>
      <c r="L2694" s="17">
        <f>IFERROR(__xludf.DUMMYFUNCTION("""COMPUTED_VALUE"""),3.00396388E9)</f>
        <v>3003963880</v>
      </c>
      <c r="M2694" s="17" t="str">
        <f>IFERROR(__xludf.DUMMYFUNCTION("""COMPUTED_VALUE"""),"#REF!")</f>
        <v>#REF!</v>
      </c>
      <c r="N2694" s="17"/>
      <c r="O2694" s="17"/>
      <c r="P2694" s="17" t="b">
        <f>IFERROR(__xludf.DUMMYFUNCTION("""COMPUTED_VALUE"""),FALSE)</f>
        <v>0</v>
      </c>
      <c r="Q2694" s="20" t="str">
        <f>IFERROR(__xludf.DUMMYFUNCTION("""COMPUTED_VALUE"""),"")</f>
        <v/>
      </c>
      <c r="R2694" s="22" t="str">
        <f>IFERROR(__xludf.DUMMYFUNCTION("""COMPUTED_VALUE"""),"")</f>
        <v/>
      </c>
    </row>
    <row r="2695">
      <c r="A2695" s="15">
        <f>IFERROR(__xludf.DUMMYFUNCTION("""COMPUTED_VALUE"""),45079.0)</f>
        <v>45079</v>
      </c>
      <c r="B2695" s="16" t="str">
        <f>IFERROR(__xludf.DUMMYFUNCTION("""COMPUTED_VALUE"""),"Jeison Rubiano")</f>
        <v>Jeison Rubiano</v>
      </c>
      <c r="C2695" s="15" t="str">
        <f>IFERROR(__xludf.DUMMYFUNCTION("""COMPUTED_VALUE"""),"BOGOTÁ")</f>
        <v>BOGOTÁ</v>
      </c>
      <c r="D2695" s="15" t="str">
        <f>IFERROR(__xludf.DUMMYFUNCTION("""COMPUTED_VALUE"""),"MEDELLÍN")</f>
        <v>MEDELLÍN</v>
      </c>
      <c r="E2695" s="15" t="str">
        <f>IFERROR(__xludf.DUMMYFUNCTION("""COMPUTED_VALUE"""),"Biota")</f>
        <v>Biota</v>
      </c>
      <c r="F2695" s="17" t="str">
        <f>IFERROR(__xludf.DUMMYFUNCTION("""COMPUTED_VALUE"""),"Cra 18a #135-46 /  Supermercado naturista - Super Nat  / Cerditos , Tienda saludable, Muestras de productos para tienda")</f>
        <v>Cra 18a #135-46 /  Supermercado naturista - Super Nat  / Cerditos , Tienda saludable, Muestras de productos para tienda</v>
      </c>
      <c r="G2695" s="15" t="str">
        <f>IFERROR(__xludf.DUMMYFUNCTION("""COMPUTED_VALUE"""),"Super Nat")</f>
        <v>Super Nat</v>
      </c>
      <c r="H2695" s="16">
        <f>IFERROR(__xludf.DUMMYFUNCTION("""COMPUTED_VALUE"""),11239.0)</f>
        <v>11239</v>
      </c>
      <c r="I2695" s="18">
        <f>IFERROR(__xludf.DUMMYFUNCTION("""COMPUTED_VALUE"""),49.0)</f>
        <v>49</v>
      </c>
      <c r="J2695" s="18">
        <f>IFERROR(__xludf.DUMMYFUNCTION("""COMPUTED_VALUE"""),20.0)</f>
        <v>20</v>
      </c>
      <c r="K2695" s="18">
        <f>IFERROR(__xludf.DUMMYFUNCTION("""COMPUTED_VALUE"""),20.0)</f>
        <v>20</v>
      </c>
      <c r="L2695" s="17">
        <f>IFERROR(__xludf.DUMMYFUNCTION("""COMPUTED_VALUE"""),3.115855395E9)</f>
        <v>3115855395</v>
      </c>
      <c r="M2695" s="17" t="str">
        <f>IFERROR(__xludf.DUMMYFUNCTION("""COMPUTED_VALUE"""),"#REF!")</f>
        <v>#REF!</v>
      </c>
      <c r="N2695" s="17"/>
      <c r="O2695" s="17"/>
      <c r="P2695" s="17" t="b">
        <f>IFERROR(__xludf.DUMMYFUNCTION("""COMPUTED_VALUE"""),FALSE)</f>
        <v>0</v>
      </c>
      <c r="Q2695" s="20" t="str">
        <f>IFERROR(__xludf.DUMMYFUNCTION("""COMPUTED_VALUE"""),"")</f>
        <v/>
      </c>
      <c r="R2695" s="22" t="str">
        <f>IFERROR(__xludf.DUMMYFUNCTION("""COMPUTED_VALUE"""),"")</f>
        <v/>
      </c>
    </row>
    <row r="2696">
      <c r="A2696" s="15">
        <f>IFERROR(__xludf.DUMMYFUNCTION("""COMPUTED_VALUE"""),45079.0)</f>
        <v>45079</v>
      </c>
      <c r="B2696" s="16" t="str">
        <f>IFERROR(__xludf.DUMMYFUNCTION("""COMPUTED_VALUE"""),"Jeison Rubiano")</f>
        <v>Jeison Rubiano</v>
      </c>
      <c r="C2696" s="15" t="str">
        <f>IFERROR(__xludf.DUMMYFUNCTION("""COMPUTED_VALUE"""),"BOGOTÁ")</f>
        <v>BOGOTÁ</v>
      </c>
      <c r="D2696" s="15" t="str">
        <f>IFERROR(__xludf.DUMMYFUNCTION("""COMPUTED_VALUE"""),"MEDELLÍN")</f>
        <v>MEDELLÍN</v>
      </c>
      <c r="E2696" s="15" t="str">
        <f>IFERROR(__xludf.DUMMYFUNCTION("""COMPUTED_VALUE"""),"Biota")</f>
        <v>Biota</v>
      </c>
      <c r="F2696" s="17" t="str">
        <f>IFERROR(__xludf.DUMMYFUNCTION("""COMPUTED_VALUE"""),"Transversal 22a # 61c-13 / , Barrio San Luis, Localidad Teusaquillo / Distribuidora MKT. Localidad Teusaquillo")</f>
        <v>Transversal 22a # 61c-13 / , Barrio San Luis, Localidad Teusaquillo / Distribuidora MKT. Localidad Teusaquillo</v>
      </c>
      <c r="G2696" s="15" t="str">
        <f>IFERROR(__xludf.DUMMYFUNCTION("""COMPUTED_VALUE"""),"Distribuidora MKT - Daniel")</f>
        <v>Distribuidora MKT - Daniel</v>
      </c>
      <c r="H2696" s="16">
        <f>IFERROR(__xludf.DUMMYFUNCTION("""COMPUTED_VALUE"""),11278.0)</f>
        <v>11278</v>
      </c>
      <c r="I2696" s="18">
        <f>IFERROR(__xludf.DUMMYFUNCTION("""COMPUTED_VALUE"""),82.0)</f>
        <v>82</v>
      </c>
      <c r="J2696" s="18">
        <f>IFERROR(__xludf.DUMMYFUNCTION("""COMPUTED_VALUE"""),27.0)</f>
        <v>27</v>
      </c>
      <c r="K2696" s="18">
        <f>IFERROR(__xludf.DUMMYFUNCTION("""COMPUTED_VALUE"""),40.0)</f>
        <v>40</v>
      </c>
      <c r="L2696" s="17">
        <f>IFERROR(__xludf.DUMMYFUNCTION("""COMPUTED_VALUE"""),3.167415197E9)</f>
        <v>3167415197</v>
      </c>
      <c r="M2696" s="17" t="str">
        <f>IFERROR(__xludf.DUMMYFUNCTION("""COMPUTED_VALUE"""),"#REF!")</f>
        <v>#REF!</v>
      </c>
      <c r="N2696" s="17"/>
      <c r="O2696" s="17"/>
      <c r="P2696" s="17" t="b">
        <f>IFERROR(__xludf.DUMMYFUNCTION("""COMPUTED_VALUE"""),FALSE)</f>
        <v>0</v>
      </c>
      <c r="Q2696" s="20" t="str">
        <f>IFERROR(__xludf.DUMMYFUNCTION("""COMPUTED_VALUE"""),"")</f>
        <v/>
      </c>
      <c r="R2696" s="21" t="str">
        <f>IFERROR(__xludf.DUMMYFUNCTION("""COMPUTED_VALUE"""),"https://drive.google.com/file/d/1ahvQHqQaKlF8aP7PlyXYGSrcQG-lftcK/view?usp=drivesdk")</f>
        <v>https://drive.google.com/file/d/1ahvQHqQaKlF8aP7PlyXYGSrcQG-lftcK/view?usp=drivesdk</v>
      </c>
    </row>
    <row r="2697">
      <c r="A2697" s="15">
        <f>IFERROR(__xludf.DUMMYFUNCTION("""COMPUTED_VALUE"""),45079.0)</f>
        <v>45079</v>
      </c>
      <c r="B2697" s="16" t="str">
        <f>IFERROR(__xludf.DUMMYFUNCTION("""COMPUTED_VALUE"""),"Jeison Rubiano")</f>
        <v>Jeison Rubiano</v>
      </c>
      <c r="C2697" s="15" t="str">
        <f>IFERROR(__xludf.DUMMYFUNCTION("""COMPUTED_VALUE"""),"BOGOTÁ")</f>
        <v>BOGOTÁ</v>
      </c>
      <c r="D2697" s="15" t="str">
        <f>IFERROR(__xludf.DUMMYFUNCTION("""COMPUTED_VALUE"""),"MEDELLÍN")</f>
        <v>MEDELLÍN</v>
      </c>
      <c r="E2697" s="15" t="str">
        <f>IFERROR(__xludf.DUMMYFUNCTION("""COMPUTED_VALUE"""),"Lácteos El Pino SAS")</f>
        <v>Lácteos El Pino SAS</v>
      </c>
      <c r="F2697" s="17" t="str">
        <f>IFERROR(__xludf.DUMMYFUNCTION("""COMPUTED_VALUE"""),"CALLE 24A #57-60 / RECIBO EN ZONA DE CARGA POR EL DEPRIMIDO- COMPRAS")</f>
        <v>CALLE 24A #57-60 / RECIBO EN ZONA DE CARGA POR EL DEPRIMIDO- COMPRAS</v>
      </c>
      <c r="G2697" s="15" t="str">
        <f>IFERROR(__xludf.DUMMYFUNCTION("""COMPUTED_VALUE"""),"HOTEL GRAND HYATT BOGOTA")</f>
        <v>HOTEL GRAND HYATT BOGOTA</v>
      </c>
      <c r="H2697" s="16">
        <f>IFERROR(__xludf.DUMMYFUNCTION("""COMPUTED_VALUE"""),11250.0)</f>
        <v>11250</v>
      </c>
      <c r="I2697" s="18">
        <f>IFERROR(__xludf.DUMMYFUNCTION("""COMPUTED_VALUE"""),33.0)</f>
        <v>33</v>
      </c>
      <c r="J2697" s="18">
        <f>IFERROR(__xludf.DUMMYFUNCTION("""COMPUTED_VALUE"""),22.0)</f>
        <v>22</v>
      </c>
      <c r="K2697" s="18">
        <f>IFERROR(__xludf.DUMMYFUNCTION("""COMPUTED_VALUE"""),36.0)</f>
        <v>36</v>
      </c>
      <c r="L2697" s="17"/>
      <c r="M2697" s="17" t="str">
        <f>IFERROR(__xludf.DUMMYFUNCTION("""COMPUTED_VALUE"""),"#REF!")</f>
        <v>#REF!</v>
      </c>
      <c r="N2697" s="17"/>
      <c r="O2697" s="17"/>
      <c r="P2697" s="17" t="b">
        <f>IFERROR(__xludf.DUMMYFUNCTION("""COMPUTED_VALUE"""),FALSE)</f>
        <v>0</v>
      </c>
      <c r="Q2697" s="20" t="str">
        <f>IFERROR(__xludf.DUMMYFUNCTION("""COMPUTED_VALUE"""),"")</f>
        <v/>
      </c>
      <c r="R2697" s="21" t="str">
        <f>IFERROR(__xludf.DUMMYFUNCTION("""COMPUTED_VALUE"""),"https://drive.google.com/file/d/1yBSqTihOr0BgEJVtf6pBgHiDMk-EZzlG/view?usp=drivesdk")</f>
        <v>https://drive.google.com/file/d/1yBSqTihOr0BgEJVtf6pBgHiDMk-EZzlG/view?usp=drivesdk</v>
      </c>
    </row>
    <row r="2698">
      <c r="A2698" s="15">
        <f>IFERROR(__xludf.DUMMYFUNCTION("""COMPUTED_VALUE"""),45079.0)</f>
        <v>45079</v>
      </c>
      <c r="B2698" s="16" t="str">
        <f>IFERROR(__xludf.DUMMYFUNCTION("""COMPUTED_VALUE"""),"Jeison Rubiano")</f>
        <v>Jeison Rubiano</v>
      </c>
      <c r="C2698" s="15" t="str">
        <f>IFERROR(__xludf.DUMMYFUNCTION("""COMPUTED_VALUE"""),"BOGOTÁ")</f>
        <v>BOGOTÁ</v>
      </c>
      <c r="D2698" s="15" t="str">
        <f>IFERROR(__xludf.DUMMYFUNCTION("""COMPUTED_VALUE"""),"MEDELLÍN")</f>
        <v>MEDELLÍN</v>
      </c>
      <c r="E2698" s="15" t="str">
        <f>IFERROR(__xludf.DUMMYFUNCTION("""COMPUTED_VALUE"""),"Moloso S.A.S")</f>
        <v>Moloso S.A.S</v>
      </c>
      <c r="F2698" s="17" t="str">
        <f>IFERROR(__xludf.DUMMYFUNCTION("""COMPUTED_VALUE"""),"CLL 118 16 32 / APT 502")</f>
        <v>CLL 118 16 32 / APT 502</v>
      </c>
      <c r="G2698" s="15" t="str">
        <f>IFERROR(__xludf.DUMMYFUNCTION("""COMPUTED_VALUE"""),"ANGELICA MANCILLA")</f>
        <v>ANGELICA MANCILLA</v>
      </c>
      <c r="H2698" s="16">
        <f>IFERROR(__xludf.DUMMYFUNCTION("""COMPUTED_VALUE"""),11268.0)</f>
        <v>11268</v>
      </c>
      <c r="I2698" s="18">
        <f>IFERROR(__xludf.DUMMYFUNCTION("""COMPUTED_VALUE"""),17.0)</f>
        <v>17</v>
      </c>
      <c r="J2698" s="18">
        <f>IFERROR(__xludf.DUMMYFUNCTION("""COMPUTED_VALUE"""),15.0)</f>
        <v>15</v>
      </c>
      <c r="K2698" s="18">
        <f>IFERROR(__xludf.DUMMYFUNCTION("""COMPUTED_VALUE"""),28.0)</f>
        <v>28</v>
      </c>
      <c r="L2698" s="17">
        <f>IFERROR(__xludf.DUMMYFUNCTION("""COMPUTED_VALUE"""),3.174401028E9)</f>
        <v>3174401028</v>
      </c>
      <c r="M2698" s="17" t="str">
        <f>IFERROR(__xludf.DUMMYFUNCTION("""COMPUTED_VALUE"""),"#REF!")</f>
        <v>#REF!</v>
      </c>
      <c r="N2698" s="17"/>
      <c r="O2698" s="17"/>
      <c r="P2698" s="17" t="b">
        <f>IFERROR(__xludf.DUMMYFUNCTION("""COMPUTED_VALUE"""),FALSE)</f>
        <v>0</v>
      </c>
      <c r="Q2698" s="20" t="str">
        <f>IFERROR(__xludf.DUMMYFUNCTION("""COMPUTED_VALUE"""),"")</f>
        <v/>
      </c>
      <c r="R2698" s="21" t="str">
        <f>IFERROR(__xludf.DUMMYFUNCTION("""COMPUTED_VALUE"""),"https://drive.google.com/file/d/1oqEe2QXK6_XReEPjAto3tI8kUjnWv44v/view?usp=drivesdk")</f>
        <v>https://drive.google.com/file/d/1oqEe2QXK6_XReEPjAto3tI8kUjnWv44v/view?usp=drivesdk</v>
      </c>
    </row>
    <row r="2699">
      <c r="A2699" s="15">
        <f>IFERROR(__xludf.DUMMYFUNCTION("""COMPUTED_VALUE"""),45079.0)</f>
        <v>45079</v>
      </c>
      <c r="B2699" s="16" t="str">
        <f>IFERROR(__xludf.DUMMYFUNCTION("""COMPUTED_VALUE"""),"Jeison Rubiano")</f>
        <v>Jeison Rubiano</v>
      </c>
      <c r="C2699" s="15" t="str">
        <f>IFERROR(__xludf.DUMMYFUNCTION("""COMPUTED_VALUE"""),"BOGOTÁ")</f>
        <v>BOGOTÁ</v>
      </c>
      <c r="D2699" s="15" t="str">
        <f>IFERROR(__xludf.DUMMYFUNCTION("""COMPUTED_VALUE"""),"MEDELLÍN")</f>
        <v>MEDELLÍN</v>
      </c>
      <c r="E2699" s="15" t="str">
        <f>IFERROR(__xludf.DUMMYFUNCTION("""COMPUTED_VALUE"""),"Moloso S.A.S")</f>
        <v>Moloso S.A.S</v>
      </c>
      <c r="F2699" s="17" t="str">
        <f>IFERROR(__xludf.DUMMYFUNCTION("""COMPUTED_VALUE"""),"CRA 55 149 09 / CONJUNTO MONTECARLO 3 CASA 16")</f>
        <v>CRA 55 149 09 / CONJUNTO MONTECARLO 3 CASA 16</v>
      </c>
      <c r="G2699" s="15" t="str">
        <f>IFERROR(__xludf.DUMMYFUNCTION("""COMPUTED_VALUE"""),"CLAUDIA ADRIANA GARCIA FINO")</f>
        <v>CLAUDIA ADRIANA GARCIA FINO</v>
      </c>
      <c r="H2699" s="16">
        <f>IFERROR(__xludf.DUMMYFUNCTION("""COMPUTED_VALUE"""),11265.0)</f>
        <v>11265</v>
      </c>
      <c r="I2699" s="18">
        <f>IFERROR(__xludf.DUMMYFUNCTION("""COMPUTED_VALUE"""),17.0)</f>
        <v>17</v>
      </c>
      <c r="J2699" s="18">
        <f>IFERROR(__xludf.DUMMYFUNCTION("""COMPUTED_VALUE"""),15.0)</f>
        <v>15</v>
      </c>
      <c r="K2699" s="18">
        <f>IFERROR(__xludf.DUMMYFUNCTION("""COMPUTED_VALUE"""),28.0)</f>
        <v>28</v>
      </c>
      <c r="L2699" s="17" t="str">
        <f>IFERROR(__xludf.DUMMYFUNCTION("""COMPUTED_VALUE"""),"313 2628813")</f>
        <v>313 2628813</v>
      </c>
      <c r="M2699" s="17" t="str">
        <f>IFERROR(__xludf.DUMMYFUNCTION("""COMPUTED_VALUE"""),"#REF!")</f>
        <v>#REF!</v>
      </c>
      <c r="N2699" s="17"/>
      <c r="O2699" s="17"/>
      <c r="P2699" s="17" t="b">
        <f>IFERROR(__xludf.DUMMYFUNCTION("""COMPUTED_VALUE"""),FALSE)</f>
        <v>0</v>
      </c>
      <c r="Q2699" s="20" t="str">
        <f>IFERROR(__xludf.DUMMYFUNCTION("""COMPUTED_VALUE"""),"")</f>
        <v/>
      </c>
      <c r="R2699" s="21" t="str">
        <f>IFERROR(__xludf.DUMMYFUNCTION("""COMPUTED_VALUE"""),"https://drive.google.com/file/d/1Ed5zRUAdeOWUSoHjdRLyASRB1VxVC6Fa/view?usp=drivesdk")</f>
        <v>https://drive.google.com/file/d/1Ed5zRUAdeOWUSoHjdRLyASRB1VxVC6Fa/view?usp=drivesdk</v>
      </c>
    </row>
    <row r="2700">
      <c r="A2700" s="15">
        <f>IFERROR(__xludf.DUMMYFUNCTION("""COMPUTED_VALUE"""),45079.0)</f>
        <v>45079</v>
      </c>
      <c r="B2700" s="16" t="str">
        <f>IFERROR(__xludf.DUMMYFUNCTION("""COMPUTED_VALUE"""),"Jeison Rubiano")</f>
        <v>Jeison Rubiano</v>
      </c>
      <c r="C2700" s="15" t="str">
        <f>IFERROR(__xludf.DUMMYFUNCTION("""COMPUTED_VALUE"""),"BOGOTÁ")</f>
        <v>BOGOTÁ</v>
      </c>
      <c r="D2700" s="15" t="str">
        <f>IFERROR(__xludf.DUMMYFUNCTION("""COMPUTED_VALUE"""),"MEDELLÍN")</f>
        <v>MEDELLÍN</v>
      </c>
      <c r="E2700" s="15" t="str">
        <f>IFERROR(__xludf.DUMMYFUNCTION("""COMPUTED_VALUE"""),"Panki Waffle")</f>
        <v>Panki Waffle</v>
      </c>
      <c r="F2700" s="17" t="str">
        <f>IFERROR(__xludf.DUMMYFUNCTION("""COMPUTED_VALUE"""),"Carrera 13# 152-80 / apto 205 torre 1 Edificio Reserva Entrecedros / Barrio cedritos Usaquen Bogotá")</f>
        <v>Carrera 13# 152-80 / apto 205 torre 1 Edificio Reserva Entrecedros / Barrio cedritos Usaquen Bogotá</v>
      </c>
      <c r="G2700" s="15" t="str">
        <f>IFERROR(__xludf.DUMMYFUNCTION("""COMPUTED_VALUE"""),"Shirley Elena peña Osorio")</f>
        <v>Shirley Elena peña Osorio</v>
      </c>
      <c r="H2700" s="16">
        <f>IFERROR(__xludf.DUMMYFUNCTION("""COMPUTED_VALUE"""),11251.0)</f>
        <v>11251</v>
      </c>
      <c r="I2700" s="18">
        <f>IFERROR(__xludf.DUMMYFUNCTION("""COMPUTED_VALUE"""),20.0)</f>
        <v>20</v>
      </c>
      <c r="J2700" s="18">
        <f>IFERROR(__xludf.DUMMYFUNCTION("""COMPUTED_VALUE"""),17.0)</f>
        <v>17</v>
      </c>
      <c r="K2700" s="18">
        <f>IFERROR(__xludf.DUMMYFUNCTION("""COMPUTED_VALUE"""),22.0)</f>
        <v>22</v>
      </c>
      <c r="L2700" s="17">
        <f>IFERROR(__xludf.DUMMYFUNCTION("""COMPUTED_VALUE"""),3.128433749E9)</f>
        <v>3128433749</v>
      </c>
      <c r="M2700" s="17" t="str">
        <f>IFERROR(__xludf.DUMMYFUNCTION("""COMPUTED_VALUE"""),"#REF!")</f>
        <v>#REF!</v>
      </c>
      <c r="N2700" s="17"/>
      <c r="O2700" s="17"/>
      <c r="P2700" s="17" t="b">
        <f>IFERROR(__xludf.DUMMYFUNCTION("""COMPUTED_VALUE"""),FALSE)</f>
        <v>0</v>
      </c>
      <c r="Q2700" s="20" t="str">
        <f>IFERROR(__xludf.DUMMYFUNCTION("""COMPUTED_VALUE"""),"")</f>
        <v/>
      </c>
      <c r="R2700" s="21" t="str">
        <f>IFERROR(__xludf.DUMMYFUNCTION("""COMPUTED_VALUE"""),"https://drive.google.com/file/d/1vi7VMqMG8ka1Q-ZuPBuFBjyFN7lavPsG/view?usp=drivesdk")</f>
        <v>https://drive.google.com/file/d/1vi7VMqMG8ka1Q-ZuPBuFBjyFN7lavPsG/view?usp=drivesdk</v>
      </c>
    </row>
    <row r="2701">
      <c r="A2701" s="15">
        <f>IFERROR(__xludf.DUMMYFUNCTION("""COMPUTED_VALUE"""),45079.0)</f>
        <v>45079</v>
      </c>
      <c r="B2701" s="16" t="str">
        <f>IFERROR(__xludf.DUMMYFUNCTION("""COMPUTED_VALUE"""),"Jeison Rubiano")</f>
        <v>Jeison Rubiano</v>
      </c>
      <c r="C2701" s="15" t="str">
        <f>IFERROR(__xludf.DUMMYFUNCTION("""COMPUTED_VALUE"""),"BOGOTÁ")</f>
        <v>BOGOTÁ</v>
      </c>
      <c r="D2701" s="15" t="str">
        <f>IFERROR(__xludf.DUMMYFUNCTION("""COMPUTED_VALUE"""),"MEDELLÍN")</f>
        <v>MEDELLÍN</v>
      </c>
      <c r="E2701" s="15" t="str">
        <f>IFERROR(__xludf.DUMMYFUNCTION("""COMPUTED_VALUE"""),"Puro Verde")</f>
        <v>Puro Verde</v>
      </c>
      <c r="F2701" s="17" t="str">
        <f>IFERROR(__xludf.DUMMYFUNCTION("""COMPUTED_VALUE"""),"AV CRA 15 # 90-20 / LOCAL 109 / BARRIO CHICO")</f>
        <v>AV CRA 15 # 90-20 / LOCAL 109 / BARRIO CHICO</v>
      </c>
      <c r="G2701" s="15" t="str">
        <f>IFERROR(__xludf.DUMMYFUNCTION("""COMPUTED_VALUE"""),"DANDO CUERDA")</f>
        <v>DANDO CUERDA</v>
      </c>
      <c r="H2701" s="16">
        <f>IFERROR(__xludf.DUMMYFUNCTION("""COMPUTED_VALUE"""),11232.0)</f>
        <v>11232</v>
      </c>
      <c r="I2701" s="18">
        <f>IFERROR(__xludf.DUMMYFUNCTION("""COMPUTED_VALUE"""),67.0)</f>
        <v>67</v>
      </c>
      <c r="J2701" s="18">
        <f>IFERROR(__xludf.DUMMYFUNCTION("""COMPUTED_VALUE"""),65.0)</f>
        <v>65</v>
      </c>
      <c r="K2701" s="18">
        <f>IFERROR(__xludf.DUMMYFUNCTION("""COMPUTED_VALUE"""),55.0)</f>
        <v>55</v>
      </c>
      <c r="L2701" s="17">
        <f>IFERROR(__xludf.DUMMYFUNCTION("""COMPUTED_VALUE"""),3.163816691E9)</f>
        <v>3163816691</v>
      </c>
      <c r="M2701" s="17" t="str">
        <f>IFERROR(__xludf.DUMMYFUNCTION("""COMPUTED_VALUE"""),"#REF!")</f>
        <v>#REF!</v>
      </c>
      <c r="N2701" s="17"/>
      <c r="O2701" s="17"/>
      <c r="P2701" s="17" t="b">
        <f>IFERROR(__xludf.DUMMYFUNCTION("""COMPUTED_VALUE"""),FALSE)</f>
        <v>0</v>
      </c>
      <c r="Q2701" s="20" t="str">
        <f>IFERROR(__xludf.DUMMYFUNCTION("""COMPUTED_VALUE"""),"")</f>
        <v/>
      </c>
      <c r="R2701" s="21" t="str">
        <f>IFERROR(__xludf.DUMMYFUNCTION("""COMPUTED_VALUE"""),"https://drive.google.com/file/d/1ullGmpTrW3hrNYg8bMaGHgtyCetbmdpU/view?usp=drivesdk")</f>
        <v>https://drive.google.com/file/d/1ullGmpTrW3hrNYg8bMaGHgtyCetbmdpU/view?usp=drivesdk</v>
      </c>
    </row>
    <row r="2702">
      <c r="A2702" s="15">
        <f>IFERROR(__xludf.DUMMYFUNCTION("""COMPUTED_VALUE"""),45079.0)</f>
        <v>45079</v>
      </c>
      <c r="B2702" s="16" t="str">
        <f>IFERROR(__xludf.DUMMYFUNCTION("""COMPUTED_VALUE"""),"Jeison Rubiano")</f>
        <v>Jeison Rubiano</v>
      </c>
      <c r="C2702" s="15" t="str">
        <f>IFERROR(__xludf.DUMMYFUNCTION("""COMPUTED_VALUE"""),"BOGOTÁ")</f>
        <v>BOGOTÁ</v>
      </c>
      <c r="D2702" s="15" t="str">
        <f>IFERROR(__xludf.DUMMYFUNCTION("""COMPUTED_VALUE"""),"MEDELLÍN")</f>
        <v>MEDELLÍN</v>
      </c>
      <c r="E2702" s="15" t="str">
        <f>IFERROR(__xludf.DUMMYFUNCTION("""COMPUTED_VALUE"""),"Rambla")</f>
        <v>Rambla</v>
      </c>
      <c r="F2702" s="17" t="str">
        <f>IFERROR(__xludf.DUMMYFUNCTION("""COMPUTED_VALUE"""),"calle 134c # 53b 52 apto 301 casa gris tercer piso. Barrio spring / NA / NA")</f>
        <v>calle 134c # 53b 52 apto 301 casa gris tercer piso. Barrio spring / NA / NA</v>
      </c>
      <c r="G2702" s="15" t="str">
        <f>IFERROR(__xludf.DUMMYFUNCTION("""COMPUTED_VALUE"""),"Ana María Ríos Moreno")</f>
        <v>Ana María Ríos Moreno</v>
      </c>
      <c r="H2702" s="16">
        <f>IFERROR(__xludf.DUMMYFUNCTION("""COMPUTED_VALUE"""),11254.0)</f>
        <v>11254</v>
      </c>
      <c r="I2702" s="18">
        <f>IFERROR(__xludf.DUMMYFUNCTION("""COMPUTED_VALUE"""),18.0)</f>
        <v>18</v>
      </c>
      <c r="J2702" s="18">
        <f>IFERROR(__xludf.DUMMYFUNCTION("""COMPUTED_VALUE"""),23.0)</f>
        <v>23</v>
      </c>
      <c r="K2702" s="18">
        <f>IFERROR(__xludf.DUMMYFUNCTION("""COMPUTED_VALUE"""),25.0)</f>
        <v>25</v>
      </c>
      <c r="L2702" s="17">
        <f>IFERROR(__xludf.DUMMYFUNCTION("""COMPUTED_VALUE"""),3.00661678E9)</f>
        <v>3006616780</v>
      </c>
      <c r="M2702" s="17" t="str">
        <f>IFERROR(__xludf.DUMMYFUNCTION("""COMPUTED_VALUE"""),"#REF!")</f>
        <v>#REF!</v>
      </c>
      <c r="N2702" s="17"/>
      <c r="O2702" s="17"/>
      <c r="P2702" s="17" t="b">
        <f>IFERROR(__xludf.DUMMYFUNCTION("""COMPUTED_VALUE"""),FALSE)</f>
        <v>0</v>
      </c>
      <c r="Q2702" s="20" t="str">
        <f>IFERROR(__xludf.DUMMYFUNCTION("""COMPUTED_VALUE"""),"")</f>
        <v/>
      </c>
      <c r="R2702" s="21" t="str">
        <f>IFERROR(__xludf.DUMMYFUNCTION("""COMPUTED_VALUE"""),"https://drive.google.com/file/d/1M_9p00Urlrd57iBthPePzsdwPmZfw_0U/view?usp=drivesdk")</f>
        <v>https://drive.google.com/file/d/1M_9p00Urlrd57iBthPePzsdwPmZfw_0U/view?usp=drivesdk</v>
      </c>
    </row>
    <row r="2703">
      <c r="A2703" s="15">
        <f>IFERROR(__xludf.DUMMYFUNCTION("""COMPUTED_VALUE"""),45079.0)</f>
        <v>45079</v>
      </c>
      <c r="B2703" s="16" t="str">
        <f>IFERROR(__xludf.DUMMYFUNCTION("""COMPUTED_VALUE"""),"Jeison Rubiano")</f>
        <v>Jeison Rubiano</v>
      </c>
      <c r="C2703" s="15" t="str">
        <f>IFERROR(__xludf.DUMMYFUNCTION("""COMPUTED_VALUE"""),"BOGOTÁ")</f>
        <v>BOGOTÁ</v>
      </c>
      <c r="D2703" s="15" t="str">
        <f>IFERROR(__xludf.DUMMYFUNCTION("""COMPUTED_VALUE"""),"MEDELLÍN")</f>
        <v>MEDELLÍN</v>
      </c>
      <c r="E2703" s="15" t="str">
        <f>IFERROR(__xludf.DUMMYFUNCTION("""COMPUTED_VALUE"""),"Rambla")</f>
        <v>Rambla</v>
      </c>
      <c r="F2703" s="17" t="str">
        <f>IFERROR(__xludf.DUMMYFUNCTION("""COMPUTED_VALUE"""),"Calle 7 No 1A - 91 Este- Centro Comercial Casa Blanca local 75 Madrid Cundinamarca   / NA / NA")</f>
        <v>Calle 7 No 1A - 91 Este- Centro Comercial Casa Blanca local 75 Madrid Cundinamarca   / NA / NA</v>
      </c>
      <c r="G2703" s="15" t="str">
        <f>IFERROR(__xludf.DUMMYFUNCTION("""COMPUTED_VALUE"""),"Mecato Natural")</f>
        <v>Mecato Natural</v>
      </c>
      <c r="H2703" s="16">
        <f>IFERROR(__xludf.DUMMYFUNCTION("""COMPUTED_VALUE"""),11262.0)</f>
        <v>11262</v>
      </c>
      <c r="I2703" s="18">
        <f>IFERROR(__xludf.DUMMYFUNCTION("""COMPUTED_VALUE"""),18.0)</f>
        <v>18</v>
      </c>
      <c r="J2703" s="18">
        <f>IFERROR(__xludf.DUMMYFUNCTION("""COMPUTED_VALUE"""),23.0)</f>
        <v>23</v>
      </c>
      <c r="K2703" s="18">
        <f>IFERROR(__xludf.DUMMYFUNCTION("""COMPUTED_VALUE"""),25.0)</f>
        <v>25</v>
      </c>
      <c r="L2703" s="17">
        <f>IFERROR(__xludf.DUMMYFUNCTION("""COMPUTED_VALUE"""),3.126370098E9)</f>
        <v>3126370098</v>
      </c>
      <c r="M2703" s="17" t="str">
        <f>IFERROR(__xludf.DUMMYFUNCTION("""COMPUTED_VALUE"""),"#REF!")</f>
        <v>#REF!</v>
      </c>
      <c r="N2703" s="17"/>
      <c r="O2703" s="17"/>
      <c r="P2703" s="17" t="b">
        <f>IFERROR(__xludf.DUMMYFUNCTION("""COMPUTED_VALUE"""),FALSE)</f>
        <v>0</v>
      </c>
      <c r="Q2703" s="20" t="str">
        <f>IFERROR(__xludf.DUMMYFUNCTION("""COMPUTED_VALUE"""),"")</f>
        <v/>
      </c>
      <c r="R2703" s="22" t="str">
        <f>IFERROR(__xludf.DUMMYFUNCTION("""COMPUTED_VALUE"""),"")</f>
        <v/>
      </c>
    </row>
    <row r="2704">
      <c r="A2704" s="15">
        <f>IFERROR(__xludf.DUMMYFUNCTION("""COMPUTED_VALUE"""),45079.0)</f>
        <v>45079</v>
      </c>
      <c r="B2704" s="16" t="str">
        <f>IFERROR(__xludf.DUMMYFUNCTION("""COMPUTED_VALUE"""),"Jeison Rubiano")</f>
        <v>Jeison Rubiano</v>
      </c>
      <c r="C2704" s="15" t="str">
        <f>IFERROR(__xludf.DUMMYFUNCTION("""COMPUTED_VALUE"""),"BOGOTÁ")</f>
        <v>BOGOTÁ</v>
      </c>
      <c r="D2704" s="15" t="str">
        <f>IFERROR(__xludf.DUMMYFUNCTION("""COMPUTED_VALUE"""),"MEDELLÍN")</f>
        <v>MEDELLÍN</v>
      </c>
      <c r="E2704" s="15" t="str">
        <f>IFERROR(__xludf.DUMMYFUNCTION("""COMPUTED_VALUE"""),"Rambla")</f>
        <v>Rambla</v>
      </c>
      <c r="F2704" s="17" t="str">
        <f>IFERROR(__xludf.DUMMYFUNCTION("""COMPUTED_VALUE"""),"Calle 77 # 9-20 apto 204 Bogotá / NA / NA")</f>
        <v>Calle 77 # 9-20 apto 204 Bogotá / NA / NA</v>
      </c>
      <c r="G2704" s="15" t="str">
        <f>IFERROR(__xludf.DUMMYFUNCTION("""COMPUTED_VALUE"""),"Carolina León")</f>
        <v>Carolina León</v>
      </c>
      <c r="H2704" s="16">
        <f>IFERROR(__xludf.DUMMYFUNCTION("""COMPUTED_VALUE"""),11253.0)</f>
        <v>11253</v>
      </c>
      <c r="I2704" s="18">
        <f>IFERROR(__xludf.DUMMYFUNCTION("""COMPUTED_VALUE"""),18.0)</f>
        <v>18</v>
      </c>
      <c r="J2704" s="18">
        <f>IFERROR(__xludf.DUMMYFUNCTION("""COMPUTED_VALUE"""),23.0)</f>
        <v>23</v>
      </c>
      <c r="K2704" s="18">
        <f>IFERROR(__xludf.DUMMYFUNCTION("""COMPUTED_VALUE"""),25.0)</f>
        <v>25</v>
      </c>
      <c r="L2704" s="17">
        <f>IFERROR(__xludf.DUMMYFUNCTION("""COMPUTED_VALUE"""),3.164698482E9)</f>
        <v>3164698482</v>
      </c>
      <c r="M2704" s="17" t="str">
        <f>IFERROR(__xludf.DUMMYFUNCTION("""COMPUTED_VALUE"""),"#REF!")</f>
        <v>#REF!</v>
      </c>
      <c r="N2704" s="17"/>
      <c r="O2704" s="17"/>
      <c r="P2704" s="17" t="b">
        <f>IFERROR(__xludf.DUMMYFUNCTION("""COMPUTED_VALUE"""),FALSE)</f>
        <v>0</v>
      </c>
      <c r="Q2704" s="20" t="str">
        <f>IFERROR(__xludf.DUMMYFUNCTION("""COMPUTED_VALUE"""),"")</f>
        <v/>
      </c>
      <c r="R2704" s="22" t="str">
        <f>IFERROR(__xludf.DUMMYFUNCTION("""COMPUTED_VALUE"""),"")</f>
        <v/>
      </c>
    </row>
    <row r="2705">
      <c r="A2705" s="15">
        <f>IFERROR(__xludf.DUMMYFUNCTION("""COMPUTED_VALUE"""),45079.0)</f>
        <v>45079</v>
      </c>
      <c r="B2705" s="16" t="str">
        <f>IFERROR(__xludf.DUMMYFUNCTION("""COMPUTED_VALUE"""),"Jeison Rubiano")</f>
        <v>Jeison Rubiano</v>
      </c>
      <c r="C2705" s="15" t="str">
        <f>IFERROR(__xludf.DUMMYFUNCTION("""COMPUTED_VALUE"""),"BOGOTÁ")</f>
        <v>BOGOTÁ</v>
      </c>
      <c r="D2705" s="15" t="str">
        <f>IFERROR(__xludf.DUMMYFUNCTION("""COMPUTED_VALUE"""),"MEDELLÍN")</f>
        <v>MEDELLÍN</v>
      </c>
      <c r="E2705" s="15" t="str">
        <f>IFERROR(__xludf.DUMMYFUNCTION("""COMPUTED_VALUE"""),"Rambla")</f>
        <v>Rambla</v>
      </c>
      <c r="F2705" s="17" t="str">
        <f>IFERROR(__xludf.DUMMYFUNCTION("""COMPUTED_VALUE"""),"carrera 111C#81-10  apto 501 - int 14 Conjunto los Gualandayes  Ciudadela colsubsidio / NA / NA")</f>
        <v>carrera 111C#81-10  apto 501 - int 14 Conjunto los Gualandayes  Ciudadela colsubsidio / NA / NA</v>
      </c>
      <c r="G2705" s="15" t="str">
        <f>IFERROR(__xludf.DUMMYFUNCTION("""COMPUTED_VALUE"""),"Britta Sophia Brand Ortiz")</f>
        <v>Britta Sophia Brand Ortiz</v>
      </c>
      <c r="H2705" s="16">
        <f>IFERROR(__xludf.DUMMYFUNCTION("""COMPUTED_VALUE"""),11257.0)</f>
        <v>11257</v>
      </c>
      <c r="I2705" s="18">
        <f>IFERROR(__xludf.DUMMYFUNCTION("""COMPUTED_VALUE"""),18.0)</f>
        <v>18</v>
      </c>
      <c r="J2705" s="18">
        <f>IFERROR(__xludf.DUMMYFUNCTION("""COMPUTED_VALUE"""),23.0)</f>
        <v>23</v>
      </c>
      <c r="K2705" s="18">
        <f>IFERROR(__xludf.DUMMYFUNCTION("""COMPUTED_VALUE"""),25.0)</f>
        <v>25</v>
      </c>
      <c r="L2705" s="17">
        <f>IFERROR(__xludf.DUMMYFUNCTION("""COMPUTED_VALUE"""),3.203064579E9)</f>
        <v>3203064579</v>
      </c>
      <c r="M2705" s="17" t="str">
        <f>IFERROR(__xludf.DUMMYFUNCTION("""COMPUTED_VALUE"""),"#REF!")</f>
        <v>#REF!</v>
      </c>
      <c r="N2705" s="17"/>
      <c r="O2705" s="17"/>
      <c r="P2705" s="17" t="b">
        <f>IFERROR(__xludf.DUMMYFUNCTION("""COMPUTED_VALUE"""),FALSE)</f>
        <v>0</v>
      </c>
      <c r="Q2705" s="20" t="str">
        <f>IFERROR(__xludf.DUMMYFUNCTION("""COMPUTED_VALUE"""),"")</f>
        <v/>
      </c>
      <c r="R2705" s="21" t="str">
        <f>IFERROR(__xludf.DUMMYFUNCTION("""COMPUTED_VALUE"""),"https://drive.google.com/file/d/1WVxOzcxQwZ1g_1Hmer-z2Plhs3GYCkSV/view?usp=drivesdk")</f>
        <v>https://drive.google.com/file/d/1WVxOzcxQwZ1g_1Hmer-z2Plhs3GYCkSV/view?usp=drivesdk</v>
      </c>
    </row>
    <row r="2706">
      <c r="A2706" s="15">
        <f>IFERROR(__xludf.DUMMYFUNCTION("""COMPUTED_VALUE"""),45079.0)</f>
        <v>45079</v>
      </c>
      <c r="B2706" s="16" t="str">
        <f>IFERROR(__xludf.DUMMYFUNCTION("""COMPUTED_VALUE"""),"Jeison Rubiano")</f>
        <v>Jeison Rubiano</v>
      </c>
      <c r="C2706" s="15" t="str">
        <f>IFERROR(__xludf.DUMMYFUNCTION("""COMPUTED_VALUE"""),"BOGOTÁ")</f>
        <v>BOGOTÁ</v>
      </c>
      <c r="D2706" s="15" t="str">
        <f>IFERROR(__xludf.DUMMYFUNCTION("""COMPUTED_VALUE"""),"MEDELLÍN")</f>
        <v>MEDELLÍN</v>
      </c>
      <c r="E2706" s="15" t="str">
        <f>IFERROR(__xludf.DUMMYFUNCTION("""COMPUTED_VALUE"""),"Rambla")</f>
        <v>Rambla</v>
      </c>
      <c r="F2706" s="17" t="str">
        <f>IFERROR(__xludf.DUMMYFUNCTION("""COMPUTED_VALUE"""),"Carrera 18 # 114A-10 , Apto 506 Bogotá / NA / NA")</f>
        <v>Carrera 18 # 114A-10 , Apto 506 Bogotá / NA / NA</v>
      </c>
      <c r="G2706" s="15" t="str">
        <f>IFERROR(__xludf.DUMMYFUNCTION("""COMPUTED_VALUE"""),"Joaquin Nassar")</f>
        <v>Joaquin Nassar</v>
      </c>
      <c r="H2706" s="16">
        <f>IFERROR(__xludf.DUMMYFUNCTION("""COMPUTED_VALUE"""),11255.0)</f>
        <v>11255</v>
      </c>
      <c r="I2706" s="18">
        <f>IFERROR(__xludf.DUMMYFUNCTION("""COMPUTED_VALUE"""),18.0)</f>
        <v>18</v>
      </c>
      <c r="J2706" s="18">
        <f>IFERROR(__xludf.DUMMYFUNCTION("""COMPUTED_VALUE"""),22.0)</f>
        <v>22</v>
      </c>
      <c r="K2706" s="18">
        <f>IFERROR(__xludf.DUMMYFUNCTION("""COMPUTED_VALUE"""),25.0)</f>
        <v>25</v>
      </c>
      <c r="L2706" s="17">
        <f>IFERROR(__xludf.DUMMYFUNCTION("""COMPUTED_VALUE"""),3.164725058E9)</f>
        <v>3164725058</v>
      </c>
      <c r="M2706" s="17" t="str">
        <f>IFERROR(__xludf.DUMMYFUNCTION("""COMPUTED_VALUE"""),"#REF!")</f>
        <v>#REF!</v>
      </c>
      <c r="N2706" s="17"/>
      <c r="O2706" s="17"/>
      <c r="P2706" s="17" t="b">
        <f>IFERROR(__xludf.DUMMYFUNCTION("""COMPUTED_VALUE"""),FALSE)</f>
        <v>0</v>
      </c>
      <c r="Q2706" s="20" t="str">
        <f>IFERROR(__xludf.DUMMYFUNCTION("""COMPUTED_VALUE"""),"")</f>
        <v/>
      </c>
      <c r="R2706" s="21" t="str">
        <f>IFERROR(__xludf.DUMMYFUNCTION("""COMPUTED_VALUE"""),"https://drive.google.com/file/d/1aLEYWBy-SUA0Cvq-4Zsf1lOK-EUE-4w6/view?usp=drivesdk")</f>
        <v>https://drive.google.com/file/d/1aLEYWBy-SUA0Cvq-4Zsf1lOK-EUE-4w6/view?usp=drivesdk</v>
      </c>
    </row>
    <row r="2707">
      <c r="A2707" s="15">
        <f>IFERROR(__xludf.DUMMYFUNCTION("""COMPUTED_VALUE"""),45079.0)</f>
        <v>45079</v>
      </c>
      <c r="B2707" s="16" t="str">
        <f>IFERROR(__xludf.DUMMYFUNCTION("""COMPUTED_VALUE"""),"Jeison Rubiano")</f>
        <v>Jeison Rubiano</v>
      </c>
      <c r="C2707" s="15" t="str">
        <f>IFERROR(__xludf.DUMMYFUNCTION("""COMPUTED_VALUE"""),"BOGOTÁ")</f>
        <v>BOGOTÁ</v>
      </c>
      <c r="D2707" s="15" t="str">
        <f>IFERROR(__xludf.DUMMYFUNCTION("""COMPUTED_VALUE"""),"MEDELLÍN")</f>
        <v>MEDELLÍN</v>
      </c>
      <c r="E2707" s="15" t="str">
        <f>IFERROR(__xludf.DUMMYFUNCTION("""COMPUTED_VALUE"""),"Rambla")</f>
        <v>Rambla</v>
      </c>
      <c r="F2707" s="17" t="str">
        <f>IFERROR(__xludf.DUMMYFUNCTION("""COMPUTED_VALUE"""),"Carrera 23 # 114-61  Apto 504 Edificio Sassari  Barrio San Patricio  Bogotá / NA / NA")</f>
        <v>Carrera 23 # 114-61  Apto 504 Edificio Sassari  Barrio San Patricio  Bogotá / NA / NA</v>
      </c>
      <c r="G2707" s="15" t="str">
        <f>IFERROR(__xludf.DUMMYFUNCTION("""COMPUTED_VALUE"""),"Keila Cuadros")</f>
        <v>Keila Cuadros</v>
      </c>
      <c r="H2707" s="16">
        <f>IFERROR(__xludf.DUMMYFUNCTION("""COMPUTED_VALUE"""),11256.0)</f>
        <v>11256</v>
      </c>
      <c r="I2707" s="18">
        <f>IFERROR(__xludf.DUMMYFUNCTION("""COMPUTED_VALUE"""),18.0)</f>
        <v>18</v>
      </c>
      <c r="J2707" s="18">
        <f>IFERROR(__xludf.DUMMYFUNCTION("""COMPUTED_VALUE"""),23.0)</f>
        <v>23</v>
      </c>
      <c r="K2707" s="18">
        <f>IFERROR(__xludf.DUMMYFUNCTION("""COMPUTED_VALUE"""),25.0)</f>
        <v>25</v>
      </c>
      <c r="L2707" s="17">
        <f>IFERROR(__xludf.DUMMYFUNCTION("""COMPUTED_VALUE"""),3.187652355E9)</f>
        <v>3187652355</v>
      </c>
      <c r="M2707" s="17" t="str">
        <f>IFERROR(__xludf.DUMMYFUNCTION("""COMPUTED_VALUE"""),"#REF!")</f>
        <v>#REF!</v>
      </c>
      <c r="N2707" s="17"/>
      <c r="O2707" s="17"/>
      <c r="P2707" s="17" t="b">
        <f>IFERROR(__xludf.DUMMYFUNCTION("""COMPUTED_VALUE"""),FALSE)</f>
        <v>0</v>
      </c>
      <c r="Q2707" s="20" t="str">
        <f>IFERROR(__xludf.DUMMYFUNCTION("""COMPUTED_VALUE"""),"")</f>
        <v/>
      </c>
      <c r="R2707" s="21" t="str">
        <f>IFERROR(__xludf.DUMMYFUNCTION("""COMPUTED_VALUE"""),"https://drive.google.com/file/d/1OIhi_0sgIu6GlbcHfPjGBJ3QqgauXWL9/view?usp=drivesdk")</f>
        <v>https://drive.google.com/file/d/1OIhi_0sgIu6GlbcHfPjGBJ3QqgauXWL9/view?usp=drivesdk</v>
      </c>
    </row>
    <row r="2708">
      <c r="A2708" s="15">
        <f>IFERROR(__xludf.DUMMYFUNCTION("""COMPUTED_VALUE"""),45079.0)</f>
        <v>45079</v>
      </c>
      <c r="B2708" s="16" t="str">
        <f>IFERROR(__xludf.DUMMYFUNCTION("""COMPUTED_VALUE"""),"Jeison Rubiano")</f>
        <v>Jeison Rubiano</v>
      </c>
      <c r="C2708" s="15" t="str">
        <f>IFERROR(__xludf.DUMMYFUNCTION("""COMPUTED_VALUE"""),"BOGOTÁ")</f>
        <v>BOGOTÁ</v>
      </c>
      <c r="D2708" s="15" t="str">
        <f>IFERROR(__xludf.DUMMYFUNCTION("""COMPUTED_VALUE"""),"MEDELLÍN")</f>
        <v>MEDELLÍN</v>
      </c>
      <c r="E2708" s="15" t="str">
        <f>IFERROR(__xludf.DUMMYFUNCTION("""COMPUTED_VALUE"""),"Rambla")</f>
        <v>Rambla</v>
      </c>
      <c r="F2708" s="17" t="str">
        <f>IFERROR(__xludf.DUMMYFUNCTION("""COMPUTED_VALUE"""),"Cl. 93a #11-46, Barrio Chicó / NA / NA")</f>
        <v>Cl. 93a #11-46, Barrio Chicó / NA / NA</v>
      </c>
      <c r="G2708" s="15" t="str">
        <f>IFERROR(__xludf.DUMMYFUNCTION("""COMPUTED_VALUE"""),"Fit Hub Bogota")</f>
        <v>Fit Hub Bogota</v>
      </c>
      <c r="H2708" s="16">
        <f>IFERROR(__xludf.DUMMYFUNCTION("""COMPUTED_VALUE"""),11259.0)</f>
        <v>11259</v>
      </c>
      <c r="I2708" s="18">
        <f>IFERROR(__xludf.DUMMYFUNCTION("""COMPUTED_VALUE"""),18.0)</f>
        <v>18</v>
      </c>
      <c r="J2708" s="18">
        <f>IFERROR(__xludf.DUMMYFUNCTION("""COMPUTED_VALUE"""),23.0)</f>
        <v>23</v>
      </c>
      <c r="K2708" s="18">
        <f>IFERROR(__xludf.DUMMYFUNCTION("""COMPUTED_VALUE"""),25.0)</f>
        <v>25</v>
      </c>
      <c r="L2708" s="17">
        <f>IFERROR(__xludf.DUMMYFUNCTION("""COMPUTED_VALUE"""),3.015447307E9)</f>
        <v>3015447307</v>
      </c>
      <c r="M2708" s="17" t="str">
        <f>IFERROR(__xludf.DUMMYFUNCTION("""COMPUTED_VALUE"""),"#REF!")</f>
        <v>#REF!</v>
      </c>
      <c r="N2708" s="17"/>
      <c r="O2708" s="17"/>
      <c r="P2708" s="17" t="b">
        <f>IFERROR(__xludf.DUMMYFUNCTION("""COMPUTED_VALUE"""),FALSE)</f>
        <v>0</v>
      </c>
      <c r="Q2708" s="20" t="str">
        <f>IFERROR(__xludf.DUMMYFUNCTION("""COMPUTED_VALUE"""),"")</f>
        <v/>
      </c>
      <c r="R2708" s="21" t="str">
        <f>IFERROR(__xludf.DUMMYFUNCTION("""COMPUTED_VALUE"""),"https://drive.google.com/file/d/1BtYUmUQKB6DAzvZxphMpgAuWB-Pg_1vL/view?usp=drivesdk")</f>
        <v>https://drive.google.com/file/d/1BtYUmUQKB6DAzvZxphMpgAuWB-Pg_1vL/view?usp=drivesdk</v>
      </c>
    </row>
    <row r="2709">
      <c r="A2709" s="15">
        <f>IFERROR(__xludf.DUMMYFUNCTION("""COMPUTED_VALUE"""),45079.0)</f>
        <v>45079</v>
      </c>
      <c r="B2709" s="16" t="str">
        <f>IFERROR(__xludf.DUMMYFUNCTION("""COMPUTED_VALUE"""),"Jeison Rubiano")</f>
        <v>Jeison Rubiano</v>
      </c>
      <c r="C2709" s="15" t="str">
        <f>IFERROR(__xludf.DUMMYFUNCTION("""COMPUTED_VALUE"""),"BOGOTÁ")</f>
        <v>BOGOTÁ</v>
      </c>
      <c r="D2709" s="15" t="str">
        <f>IFERROR(__xludf.DUMMYFUNCTION("""COMPUTED_VALUE"""),"MEDELLÍN")</f>
        <v>MEDELLÍN</v>
      </c>
      <c r="E2709" s="15" t="str">
        <f>IFERROR(__xludf.DUMMYFUNCTION("""COMPUTED_VALUE"""),"Rambla")</f>
        <v>Rambla</v>
      </c>
      <c r="F2709" s="17" t="str">
        <f>IFERROR(__xludf.DUMMYFUNCTION("""COMPUTED_VALUE"""),"CR 58 128 27 LC 102 / NA / NA")</f>
        <v>CR 58 128 27 LC 102 / NA / NA</v>
      </c>
      <c r="G2709" s="15" t="str">
        <f>IFERROR(__xludf.DUMMYFUNCTION("""COMPUTED_VALUE"""),"Amarte Market")</f>
        <v>Amarte Market</v>
      </c>
      <c r="H2709" s="16">
        <f>IFERROR(__xludf.DUMMYFUNCTION("""COMPUTED_VALUE"""),11260.0)</f>
        <v>11260</v>
      </c>
      <c r="I2709" s="18">
        <f>IFERROR(__xludf.DUMMYFUNCTION("""COMPUTED_VALUE"""),18.0)</f>
        <v>18</v>
      </c>
      <c r="J2709" s="18">
        <f>IFERROR(__xludf.DUMMYFUNCTION("""COMPUTED_VALUE"""),22.0)</f>
        <v>22</v>
      </c>
      <c r="K2709" s="18">
        <f>IFERROR(__xludf.DUMMYFUNCTION("""COMPUTED_VALUE"""),25.0)</f>
        <v>25</v>
      </c>
      <c r="L2709" s="17">
        <f>IFERROR(__xludf.DUMMYFUNCTION("""COMPUTED_VALUE"""),3.013659771E9)</f>
        <v>3013659771</v>
      </c>
      <c r="M2709" s="17" t="str">
        <f>IFERROR(__xludf.DUMMYFUNCTION("""COMPUTED_VALUE"""),"#REF!")</f>
        <v>#REF!</v>
      </c>
      <c r="N2709" s="17"/>
      <c r="O2709" s="17"/>
      <c r="P2709" s="17" t="b">
        <f>IFERROR(__xludf.DUMMYFUNCTION("""COMPUTED_VALUE"""),FALSE)</f>
        <v>0</v>
      </c>
      <c r="Q2709" s="20" t="str">
        <f>IFERROR(__xludf.DUMMYFUNCTION("""COMPUTED_VALUE"""),"")</f>
        <v/>
      </c>
      <c r="R2709" s="21" t="str">
        <f>IFERROR(__xludf.DUMMYFUNCTION("""COMPUTED_VALUE"""),"https://drive.google.com/file/d/1LyikL7Hy-bVMwgcYxwSxMt50wzqqrqi3/view?usp=drivesdk")</f>
        <v>https://drive.google.com/file/d/1LyikL7Hy-bVMwgcYxwSxMt50wzqqrqi3/view?usp=drivesdk</v>
      </c>
    </row>
    <row r="2710">
      <c r="A2710" s="15">
        <f>IFERROR(__xludf.DUMMYFUNCTION("""COMPUTED_VALUE"""),45079.0)</f>
        <v>45079</v>
      </c>
      <c r="B2710" s="16" t="str">
        <f>IFERROR(__xludf.DUMMYFUNCTION("""COMPUTED_VALUE"""),"Jeison Rubiano")</f>
        <v>Jeison Rubiano</v>
      </c>
      <c r="C2710" s="15" t="str">
        <f>IFERROR(__xludf.DUMMYFUNCTION("""COMPUTED_VALUE"""),"VALLEDUPAR")</f>
        <v>VALLEDUPAR</v>
      </c>
      <c r="D2710" s="15" t="str">
        <f>IFERROR(__xludf.DUMMYFUNCTION("""COMPUTED_VALUE"""),"MEDELLÍN")</f>
        <v>MEDELLÍN</v>
      </c>
      <c r="E2710" s="15" t="str">
        <f>IFERROR(__xludf.DUMMYFUNCTION("""COMPUTED_VALUE"""),"Eliana Builes")</f>
        <v>Eliana Builes</v>
      </c>
      <c r="F2710" s="17" t="str">
        <f>IFERROR(__xludf.DUMMYFUNCTION("""COMPUTED_VALUE"""),"Carrera 19e numero 1b - 151 / torre 5 apto 303 /  palmetto valledupar cesar")</f>
        <v>Carrera 19e numero 1b - 151 / torre 5 apto 303 /  palmetto valledupar cesar</v>
      </c>
      <c r="G2710" s="15" t="str">
        <f>IFERROR(__xludf.DUMMYFUNCTION("""COMPUTED_VALUE"""),"carolina muñoz")</f>
        <v>carolina muñoz</v>
      </c>
      <c r="H2710" s="16">
        <f>IFERROR(__xludf.DUMMYFUNCTION("""COMPUTED_VALUE"""),11227.0)</f>
        <v>11227</v>
      </c>
      <c r="I2710" s="18">
        <f>IFERROR(__xludf.DUMMYFUNCTION("""COMPUTED_VALUE"""),15.0)</f>
        <v>15</v>
      </c>
      <c r="J2710" s="18">
        <f>IFERROR(__xludf.DUMMYFUNCTION("""COMPUTED_VALUE"""),15.0)</f>
        <v>15</v>
      </c>
      <c r="K2710" s="18">
        <f>IFERROR(__xludf.DUMMYFUNCTION("""COMPUTED_VALUE"""),30.0)</f>
        <v>30</v>
      </c>
      <c r="L2710" s="17">
        <f>IFERROR(__xludf.DUMMYFUNCTION("""COMPUTED_VALUE"""),3.113154184E9)</f>
        <v>3113154184</v>
      </c>
      <c r="M2710" s="17" t="str">
        <f>IFERROR(__xludf.DUMMYFUNCTION("""COMPUTED_VALUE"""),"#REF!")</f>
        <v>#REF!</v>
      </c>
      <c r="N2710" s="17"/>
      <c r="O2710" s="17"/>
      <c r="P2710" s="17" t="b">
        <f>IFERROR(__xludf.DUMMYFUNCTION("""COMPUTED_VALUE"""),FALSE)</f>
        <v>0</v>
      </c>
      <c r="Q2710" s="20" t="str">
        <f>IFERROR(__xludf.DUMMYFUNCTION("""COMPUTED_VALUE"""),"")</f>
        <v/>
      </c>
      <c r="R2710" s="21" t="str">
        <f>IFERROR(__xludf.DUMMYFUNCTION("""COMPUTED_VALUE"""),"https://drive.google.com/file/d/17KyqyfSplov2h83BOshSu7kGor0RwOKY/view?usp=drivesdk")</f>
        <v>https://drive.google.com/file/d/17KyqyfSplov2h83BOshSu7kGor0RwOKY/view?usp=drivesdk</v>
      </c>
    </row>
    <row r="2711">
      <c r="A2711" s="17" t="str">
        <f>IFERROR(__xludf.DUMMYFUNCTION("""COMPUTED_VALUE"""),"")</f>
        <v/>
      </c>
      <c r="B2711" s="17" t="str">
        <f>IFERROR(__xludf.DUMMYFUNCTION("""COMPUTED_VALUE"""),"")</f>
        <v/>
      </c>
      <c r="C2711" s="17" t="str">
        <f>IFERROR(__xludf.DUMMYFUNCTION("""COMPUTED_VALUE"""),"")</f>
        <v/>
      </c>
      <c r="D2711" s="17" t="str">
        <f>IFERROR(__xludf.DUMMYFUNCTION("""COMPUTED_VALUE"""),"")</f>
        <v/>
      </c>
      <c r="E2711" s="17" t="str">
        <f>IFERROR(__xludf.DUMMYFUNCTION("""COMPUTED_VALUE"""),"")</f>
        <v/>
      </c>
      <c r="F2711" s="17" t="str">
        <f>IFERROR(__xludf.DUMMYFUNCTION("""COMPUTED_VALUE"""),"")</f>
        <v/>
      </c>
      <c r="G2711" s="17" t="str">
        <f>IFERROR(__xludf.DUMMYFUNCTION("""COMPUTED_VALUE"""),"")</f>
        <v/>
      </c>
      <c r="H2711" s="17" t="str">
        <f>IFERROR(__xludf.DUMMYFUNCTION("""COMPUTED_VALUE"""),"")</f>
        <v/>
      </c>
      <c r="I2711" s="17" t="str">
        <f>IFERROR(__xludf.DUMMYFUNCTION("""COMPUTED_VALUE"""),"")</f>
        <v/>
      </c>
      <c r="J2711" s="17" t="str">
        <f>IFERROR(__xludf.DUMMYFUNCTION("""COMPUTED_VALUE"""),"")</f>
        <v/>
      </c>
      <c r="K2711" s="17" t="str">
        <f>IFERROR(__xludf.DUMMYFUNCTION("""COMPUTED_VALUE"""),"")</f>
        <v/>
      </c>
      <c r="L2711" s="17" t="str">
        <f>IFERROR(__xludf.DUMMYFUNCTION("""COMPUTED_VALUE"""),"")</f>
        <v/>
      </c>
      <c r="M2711" s="17" t="str">
        <f>IFERROR(__xludf.DUMMYFUNCTION("""COMPUTED_VALUE"""),"")</f>
        <v/>
      </c>
      <c r="N2711" s="17" t="str">
        <f>IFERROR(__xludf.DUMMYFUNCTION("""COMPUTED_VALUE"""),"")</f>
        <v/>
      </c>
      <c r="O2711" s="17" t="str">
        <f>IFERROR(__xludf.DUMMYFUNCTION("""COMPUTED_VALUE"""),"")</f>
        <v/>
      </c>
      <c r="P2711" s="17" t="str">
        <f>IFERROR(__xludf.DUMMYFUNCTION("""COMPUTED_VALUE"""),"")</f>
        <v/>
      </c>
      <c r="Q2711" s="17" t="str">
        <f>IFERROR(__xludf.DUMMYFUNCTION("""COMPUTED_VALUE"""),"")</f>
        <v/>
      </c>
      <c r="R2711" s="17" t="str">
        <f>IFERROR(__xludf.DUMMYFUNCTION("""COMPUTED_VALUE"""),"")</f>
        <v/>
      </c>
    </row>
    <row r="2712">
      <c r="A2712" s="15">
        <f>IFERROR(__xludf.DUMMYFUNCTION("""COMPUTED_VALUE"""),45079.0)</f>
        <v>45079</v>
      </c>
      <c r="B2712" s="16" t="str">
        <f>IFERROR(__xludf.DUMMYFUNCTION("""COMPUTED_VALUE"""),"Lina Gaona")</f>
        <v>Lina Gaona</v>
      </c>
      <c r="C2712" s="15" t="str">
        <f>IFERROR(__xludf.DUMMYFUNCTION("""COMPUTED_VALUE"""),"CÚCUTA")</f>
        <v>CÚCUTA</v>
      </c>
      <c r="D2712" s="15" t="str">
        <f>IFERROR(__xludf.DUMMYFUNCTION("""COMPUTED_VALUE"""),"BOGOTÁ")</f>
        <v>BOGOTÁ</v>
      </c>
      <c r="E2712" s="15" t="str">
        <f>IFERROR(__xludf.DUMMYFUNCTION("""COMPUTED_VALUE"""),"Evamazzita")</f>
        <v>Evamazzita</v>
      </c>
      <c r="F2712" s="17" t="str">
        <f>IFERROR(__xludf.DUMMYFUNCTION("""COMPUTED_VALUE"""),"Av 2E # 15A -17  / Caobos / SE ENVÍAN TRES (3) CAJAS")</f>
        <v>Av 2E # 15A -17  / Caobos / SE ENVÍAN TRES (3) CAJAS</v>
      </c>
      <c r="G2712" s="15" t="str">
        <f>IFERROR(__xludf.DUMMYFUNCTION("""COMPUTED_VALUE"""),"DACCY KARINA LOPEZ MORENO")</f>
        <v>DACCY KARINA LOPEZ MORENO</v>
      </c>
      <c r="H2712" s="16">
        <f>IFERROR(__xludf.DUMMYFUNCTION("""COMPUTED_VALUE"""),11204.0)</f>
        <v>11204</v>
      </c>
      <c r="I2712" s="18">
        <f>IFERROR(__xludf.DUMMYFUNCTION("""COMPUTED_VALUE"""),22.0)</f>
        <v>22</v>
      </c>
      <c r="J2712" s="18">
        <f>IFERROR(__xludf.DUMMYFUNCTION("""COMPUTED_VALUE"""),37.0)</f>
        <v>37</v>
      </c>
      <c r="K2712" s="18">
        <f>IFERROR(__xludf.DUMMYFUNCTION("""COMPUTED_VALUE"""),34.0)</f>
        <v>34</v>
      </c>
      <c r="L2712" s="17">
        <f>IFERROR(__xludf.DUMMYFUNCTION("""COMPUTED_VALUE"""),3.208615379E9)</f>
        <v>3208615379</v>
      </c>
      <c r="M2712" s="17" t="str">
        <f>IFERROR(__xludf.DUMMYFUNCTION("""COMPUTED_VALUE"""),"#REF!")</f>
        <v>#REF!</v>
      </c>
      <c r="N2712" s="17"/>
      <c r="O2712" s="17"/>
      <c r="P2712" s="17" t="b">
        <f>IFERROR(__xludf.DUMMYFUNCTION("""COMPUTED_VALUE"""),FALSE)</f>
        <v>0</v>
      </c>
      <c r="Q2712" s="20" t="str">
        <f>IFERROR(__xludf.DUMMYFUNCTION("""COMPUTED_VALUE"""),"")</f>
        <v/>
      </c>
      <c r="R2712" s="21" t="str">
        <f>IFERROR(__xludf.DUMMYFUNCTION("""COMPUTED_VALUE"""),"https://drive.google.com/file/d/14p782YU4-AE-mEUol2RndYfh6dL6TB1x/view?usp=drivesdk")</f>
        <v>https://drive.google.com/file/d/14p782YU4-AE-mEUol2RndYfh6dL6TB1x/view?usp=drivesdk</v>
      </c>
    </row>
    <row r="2713">
      <c r="A2713" s="15">
        <f>IFERROR(__xludf.DUMMYFUNCTION("""COMPUTED_VALUE"""),45079.0)</f>
        <v>45079</v>
      </c>
      <c r="B2713" s="16" t="str">
        <f>IFERROR(__xludf.DUMMYFUNCTION("""COMPUTED_VALUE"""),"Lina Gaona")</f>
        <v>Lina Gaona</v>
      </c>
      <c r="C2713" s="15" t="str">
        <f>IFERROR(__xludf.DUMMYFUNCTION("""COMPUTED_VALUE"""),"CÚCUTA")</f>
        <v>CÚCUTA</v>
      </c>
      <c r="D2713" s="15" t="str">
        <f>IFERROR(__xludf.DUMMYFUNCTION("""COMPUTED_VALUE"""),"BOGOTÁ")</f>
        <v>BOGOTÁ</v>
      </c>
      <c r="E2713" s="15" t="str">
        <f>IFERROR(__xludf.DUMMYFUNCTION("""COMPUTED_VALUE"""),"Karem foods")</f>
        <v>Karem foods</v>
      </c>
      <c r="F2713" s="17" t="str">
        <f>IFERROR(__xludf.DUMMYFUNCTION("""COMPUTED_VALUE"""),"Avenida 4 Este 12-85 Ventura Reservado / Torre 1 Interior 2 Apto 1203 / -")</f>
        <v>Avenida 4 Este 12-85 Ventura Reservado / Torre 1 Interior 2 Apto 1203 / -</v>
      </c>
      <c r="G2713" s="15" t="str">
        <f>IFERROR(__xludf.DUMMYFUNCTION("""COMPUTED_VALUE"""),"Tiana Anaya")</f>
        <v>Tiana Anaya</v>
      </c>
      <c r="H2713" s="16">
        <f>IFERROR(__xludf.DUMMYFUNCTION("""COMPUTED_VALUE"""),11146.0)</f>
        <v>11146</v>
      </c>
      <c r="I2713" s="18">
        <f>IFERROR(__xludf.DUMMYFUNCTION("""COMPUTED_VALUE"""),7.0)</f>
        <v>7</v>
      </c>
      <c r="J2713" s="18">
        <f>IFERROR(__xludf.DUMMYFUNCTION("""COMPUTED_VALUE"""),20.0)</f>
        <v>20</v>
      </c>
      <c r="K2713" s="18">
        <f>IFERROR(__xludf.DUMMYFUNCTION("""COMPUTED_VALUE"""),20.0)</f>
        <v>20</v>
      </c>
      <c r="L2713" s="17">
        <f>IFERROR(__xludf.DUMMYFUNCTION("""COMPUTED_VALUE"""),3.14555216E9)</f>
        <v>3145552160</v>
      </c>
      <c r="M2713" s="17" t="str">
        <f>IFERROR(__xludf.DUMMYFUNCTION("""COMPUTED_VALUE"""),"#REF!")</f>
        <v>#REF!</v>
      </c>
      <c r="N2713" s="17"/>
      <c r="O2713" s="17"/>
      <c r="P2713" s="17" t="b">
        <f>IFERROR(__xludf.DUMMYFUNCTION("""COMPUTED_VALUE"""),FALSE)</f>
        <v>0</v>
      </c>
      <c r="Q2713" s="20" t="str">
        <f>IFERROR(__xludf.DUMMYFUNCTION("""COMPUTED_VALUE"""),"")</f>
        <v/>
      </c>
      <c r="R2713" s="21" t="str">
        <f>IFERROR(__xludf.DUMMYFUNCTION("""COMPUTED_VALUE"""),"https://drive.google.com/file/d/1UeT89aXaz-e4YhGdbyhS1Mbk5SUM6N5p/view?usp=drivesdk")</f>
        <v>https://drive.google.com/file/d/1UeT89aXaz-e4YhGdbyhS1Mbk5SUM6N5p/view?usp=drivesdk</v>
      </c>
    </row>
    <row r="2714">
      <c r="A2714" s="15">
        <f>IFERROR(__xludf.DUMMYFUNCTION("""COMPUTED_VALUE"""),45079.0)</f>
        <v>45079</v>
      </c>
      <c r="B2714" s="16" t="str">
        <f>IFERROR(__xludf.DUMMYFUNCTION("""COMPUTED_VALUE"""),"Lina Gaona")</f>
        <v>Lina Gaona</v>
      </c>
      <c r="C2714" s="15" t="str">
        <f>IFERROR(__xludf.DUMMYFUNCTION("""COMPUTED_VALUE"""),"SANTA MARTA")</f>
        <v>SANTA MARTA</v>
      </c>
      <c r="D2714" s="15" t="str">
        <f>IFERROR(__xludf.DUMMYFUNCTION("""COMPUTED_VALUE"""),"MEDELLÍN")</f>
        <v>MEDELLÍN</v>
      </c>
      <c r="E2714" s="15" t="str">
        <f>IFERROR(__xludf.DUMMYFUNCTION("""COMPUTED_VALUE"""),"Rambla")</f>
        <v>Rambla</v>
      </c>
      <c r="F2714" s="17" t="str">
        <f>IFERROR(__xludf.DUMMYFUNCTION("""COMPUTED_VALUE"""),"Calle 22 # 1 - 102 Playa Salguero Edificio Azul apto 502 / na / na")</f>
        <v>Calle 22 # 1 - 102 Playa Salguero Edificio Azul apto 502 / na / na</v>
      </c>
      <c r="G2714" s="15" t="str">
        <f>IFERROR(__xludf.DUMMYFUNCTION("""COMPUTED_VALUE"""),"Valeria Moncada Giraldo")</f>
        <v>Valeria Moncada Giraldo</v>
      </c>
      <c r="H2714" s="16">
        <f>IFERROR(__xludf.DUMMYFUNCTION("""COMPUTED_VALUE"""),11235.0)</f>
        <v>11235</v>
      </c>
      <c r="I2714" s="18">
        <f>IFERROR(__xludf.DUMMYFUNCTION("""COMPUTED_VALUE"""),21.0)</f>
        <v>21</v>
      </c>
      <c r="J2714" s="18">
        <f>IFERROR(__xludf.DUMMYFUNCTION("""COMPUTED_VALUE"""),24.0)</f>
        <v>24</v>
      </c>
      <c r="K2714" s="18">
        <f>IFERROR(__xludf.DUMMYFUNCTION("""COMPUTED_VALUE"""),25.0)</f>
        <v>25</v>
      </c>
      <c r="L2714" s="17">
        <f>IFERROR(__xludf.DUMMYFUNCTION("""COMPUTED_VALUE"""),3.008844652E9)</f>
        <v>3008844652</v>
      </c>
      <c r="M2714" s="17" t="str">
        <f>IFERROR(__xludf.DUMMYFUNCTION("""COMPUTED_VALUE"""),"#REF!")</f>
        <v>#REF!</v>
      </c>
      <c r="N2714" s="17"/>
      <c r="O2714" s="17"/>
      <c r="P2714" s="17" t="b">
        <f>IFERROR(__xludf.DUMMYFUNCTION("""COMPUTED_VALUE"""),FALSE)</f>
        <v>0</v>
      </c>
      <c r="Q2714" s="20" t="str">
        <f>IFERROR(__xludf.DUMMYFUNCTION("""COMPUTED_VALUE"""),"")</f>
        <v/>
      </c>
      <c r="R2714" s="21" t="str">
        <f>IFERROR(__xludf.DUMMYFUNCTION("""COMPUTED_VALUE"""),"https://drive.google.com/file/d/1yQ7CGEj6gyUAHrNJ7YQ-9mYIpG-Ae_8k/view?usp=drivesdk")</f>
        <v>https://drive.google.com/file/d/1yQ7CGEj6gyUAHrNJ7YQ-9mYIpG-Ae_8k/view?usp=drivesdk</v>
      </c>
    </row>
    <row r="2715">
      <c r="A2715" s="15">
        <f>IFERROR(__xludf.DUMMYFUNCTION("""COMPUTED_VALUE"""),45079.0)</f>
        <v>45079</v>
      </c>
      <c r="B2715" s="16" t="str">
        <f>IFERROR(__xludf.DUMMYFUNCTION("""COMPUTED_VALUE"""),"Lina Gaona")</f>
        <v>Lina Gaona</v>
      </c>
      <c r="C2715" s="15" t="str">
        <f>IFERROR(__xludf.DUMMYFUNCTION("""COMPUTED_VALUE"""),"SANTA MARTA")</f>
        <v>SANTA MARTA</v>
      </c>
      <c r="D2715" s="15" t="str">
        <f>IFERROR(__xludf.DUMMYFUNCTION("""COMPUTED_VALUE"""),"MEDELLÍN")</f>
        <v>MEDELLÍN</v>
      </c>
      <c r="E2715" s="15" t="str">
        <f>IFERROR(__xludf.DUMMYFUNCTION("""COMPUTED_VALUE"""),"Rambla")</f>
        <v>Rambla</v>
      </c>
      <c r="F2715" s="17" t="str">
        <f>IFERROR(__xludf.DUMMYFUNCTION("""COMPUTED_VALUE"""),"CR 4 26 40 CC PRADO PLAZA LC 117 / na / na")</f>
        <v>CR 4 26 40 CC PRADO PLAZA LC 117 / na / na</v>
      </c>
      <c r="G2715" s="15" t="str">
        <f>IFERROR(__xludf.DUMMYFUNCTION("""COMPUTED_VALUE"""),"Hecho en casa")</f>
        <v>Hecho en casa</v>
      </c>
      <c r="H2715" s="16">
        <f>IFERROR(__xludf.DUMMYFUNCTION("""COMPUTED_VALUE"""),11226.0)</f>
        <v>11226</v>
      </c>
      <c r="I2715" s="18">
        <f>IFERROR(__xludf.DUMMYFUNCTION("""COMPUTED_VALUE"""),22.0)</f>
        <v>22</v>
      </c>
      <c r="J2715" s="18">
        <f>IFERROR(__xludf.DUMMYFUNCTION("""COMPUTED_VALUE"""),25.0)</f>
        <v>25</v>
      </c>
      <c r="K2715" s="18">
        <f>IFERROR(__xludf.DUMMYFUNCTION("""COMPUTED_VALUE"""),30.0)</f>
        <v>30</v>
      </c>
      <c r="L2715" s="17">
        <f>IFERROR(__xludf.DUMMYFUNCTION("""COMPUTED_VALUE"""),3.106119626E9)</f>
        <v>3106119626</v>
      </c>
      <c r="M2715" s="17" t="str">
        <f>IFERROR(__xludf.DUMMYFUNCTION("""COMPUTED_VALUE"""),"#REF!")</f>
        <v>#REF!</v>
      </c>
      <c r="N2715" s="17"/>
      <c r="O2715" s="17"/>
      <c r="P2715" s="17" t="b">
        <f>IFERROR(__xludf.DUMMYFUNCTION("""COMPUTED_VALUE"""),FALSE)</f>
        <v>0</v>
      </c>
      <c r="Q2715" s="20" t="str">
        <f>IFERROR(__xludf.DUMMYFUNCTION("""COMPUTED_VALUE"""),"")</f>
        <v/>
      </c>
      <c r="R2715" s="21" t="str">
        <f>IFERROR(__xludf.DUMMYFUNCTION("""COMPUTED_VALUE"""),"https://drive.google.com/file/d/1SYTDytkZ7jmbBIzVdPhB3myKO92gSOPe/view?usp=drivesdk")</f>
        <v>https://drive.google.com/file/d/1SYTDytkZ7jmbBIzVdPhB3myKO92gSOPe/view?usp=drivesdk</v>
      </c>
    </row>
    <row r="2716">
      <c r="A2716" s="17" t="str">
        <f>IFERROR(__xludf.DUMMYFUNCTION("""COMPUTED_VALUE"""),"")</f>
        <v/>
      </c>
      <c r="B2716" s="17" t="str">
        <f>IFERROR(__xludf.DUMMYFUNCTION("""COMPUTED_VALUE"""),"")</f>
        <v/>
      </c>
      <c r="C2716" s="17" t="str">
        <f>IFERROR(__xludf.DUMMYFUNCTION("""COMPUTED_VALUE"""),"")</f>
        <v/>
      </c>
      <c r="D2716" s="17" t="str">
        <f>IFERROR(__xludf.DUMMYFUNCTION("""COMPUTED_VALUE"""),"")</f>
        <v/>
      </c>
      <c r="E2716" s="17" t="str">
        <f>IFERROR(__xludf.DUMMYFUNCTION("""COMPUTED_VALUE"""),"")</f>
        <v/>
      </c>
      <c r="F2716" s="17" t="str">
        <f>IFERROR(__xludf.DUMMYFUNCTION("""COMPUTED_VALUE"""),"")</f>
        <v/>
      </c>
      <c r="G2716" s="17" t="str">
        <f>IFERROR(__xludf.DUMMYFUNCTION("""COMPUTED_VALUE"""),"")</f>
        <v/>
      </c>
      <c r="H2716" s="17" t="str">
        <f>IFERROR(__xludf.DUMMYFUNCTION("""COMPUTED_VALUE"""),"")</f>
        <v/>
      </c>
      <c r="I2716" s="17" t="str">
        <f>IFERROR(__xludf.DUMMYFUNCTION("""COMPUTED_VALUE"""),"")</f>
        <v/>
      </c>
      <c r="J2716" s="17" t="str">
        <f>IFERROR(__xludf.DUMMYFUNCTION("""COMPUTED_VALUE"""),"")</f>
        <v/>
      </c>
      <c r="K2716" s="17" t="str">
        <f>IFERROR(__xludf.DUMMYFUNCTION("""COMPUTED_VALUE"""),"")</f>
        <v/>
      </c>
      <c r="L2716" s="17" t="str">
        <f>IFERROR(__xludf.DUMMYFUNCTION("""COMPUTED_VALUE"""),"")</f>
        <v/>
      </c>
      <c r="M2716" s="17" t="str">
        <f>IFERROR(__xludf.DUMMYFUNCTION("""COMPUTED_VALUE"""),"")</f>
        <v/>
      </c>
      <c r="N2716" s="17" t="str">
        <f>IFERROR(__xludf.DUMMYFUNCTION("""COMPUTED_VALUE"""),"")</f>
        <v/>
      </c>
      <c r="O2716" s="17" t="str">
        <f>IFERROR(__xludf.DUMMYFUNCTION("""COMPUTED_VALUE"""),"")</f>
        <v/>
      </c>
      <c r="P2716" s="17" t="str">
        <f>IFERROR(__xludf.DUMMYFUNCTION("""COMPUTED_VALUE"""),"")</f>
        <v/>
      </c>
      <c r="Q2716" s="17" t="str">
        <f>IFERROR(__xludf.DUMMYFUNCTION("""COMPUTED_VALUE"""),"")</f>
        <v/>
      </c>
      <c r="R2716" s="17" t="str">
        <f>IFERROR(__xludf.DUMMYFUNCTION("""COMPUTED_VALUE"""),"")</f>
        <v/>
      </c>
    </row>
    <row r="2717">
      <c r="A2717" s="15">
        <f>IFERROR(__xludf.DUMMYFUNCTION("""COMPUTED_VALUE"""),45079.0)</f>
        <v>45079</v>
      </c>
      <c r="B2717" s="16" t="str">
        <f>IFERROR(__xludf.DUMMYFUNCTION("""COMPUTED_VALUE"""),"Orlando Urdaneta Rincon ")</f>
        <v>Orlando Urdaneta Rincon </v>
      </c>
      <c r="C2717" s="15" t="str">
        <f>IFERROR(__xludf.DUMMYFUNCTION("""COMPUTED_VALUE"""),"BOGOTÁ")</f>
        <v>BOGOTÁ</v>
      </c>
      <c r="D2717" s="15" t="str">
        <f>IFERROR(__xludf.DUMMYFUNCTION("""COMPUTED_VALUE"""),"MEDELLÍN")</f>
        <v>MEDELLÍN</v>
      </c>
      <c r="E2717" s="15" t="str">
        <f>IFERROR(__xludf.DUMMYFUNCTION("""COMPUTED_VALUE"""),"Terravocado")</f>
        <v>Terravocado</v>
      </c>
      <c r="F2717" s="17" t="str">
        <f>IFERROR(__xludf.DUMMYFUNCTION("""COMPUTED_VALUE"""),"Cr 13 # 98 - 48 / Chico norte / Chico norte")</f>
        <v>Cr 13 # 98 - 48 / Chico norte / Chico norte</v>
      </c>
      <c r="G2717" s="15" t="str">
        <f>IFERROR(__xludf.DUMMYFUNCTION("""COMPUTED_VALUE"""),"ALPARKE SAS")</f>
        <v>ALPARKE SAS</v>
      </c>
      <c r="H2717" s="16">
        <f>IFERROR(__xludf.DUMMYFUNCTION("""COMPUTED_VALUE"""),11044.0)</f>
        <v>11044</v>
      </c>
      <c r="I2717" s="18">
        <f>IFERROR(__xludf.DUMMYFUNCTION("""COMPUTED_VALUE"""),20.0)</f>
        <v>20</v>
      </c>
      <c r="J2717" s="18">
        <f>IFERROR(__xludf.DUMMYFUNCTION("""COMPUTED_VALUE"""),24.0)</f>
        <v>24</v>
      </c>
      <c r="K2717" s="18">
        <f>IFERROR(__xludf.DUMMYFUNCTION("""COMPUTED_VALUE"""),34.0)</f>
        <v>34</v>
      </c>
      <c r="L2717" s="17">
        <f>IFERROR(__xludf.DUMMYFUNCTION("""COMPUTED_VALUE"""),3.19535029E9)</f>
        <v>3195350290</v>
      </c>
      <c r="M2717" s="17" t="str">
        <f>IFERROR(__xludf.DUMMYFUNCTION("""COMPUTED_VALUE"""),"#REF!")</f>
        <v>#REF!</v>
      </c>
      <c r="N2717" s="17"/>
      <c r="O2717" s="17"/>
      <c r="P2717" s="17" t="b">
        <f>IFERROR(__xludf.DUMMYFUNCTION("""COMPUTED_VALUE"""),FALSE)</f>
        <v>0</v>
      </c>
      <c r="Q2717" s="20" t="str">
        <f>IFERROR(__xludf.DUMMYFUNCTION("""COMPUTED_VALUE"""),"")</f>
        <v/>
      </c>
      <c r="R2717" s="21" t="str">
        <f>IFERROR(__xludf.DUMMYFUNCTION("""COMPUTED_VALUE"""),"https://drive.google.com/file/d/1JJzeWNry6vlf97VXl6oddJKt-9qlFtAJ/view?usp=drivesdk")</f>
        <v>https://drive.google.com/file/d/1JJzeWNry6vlf97VXl6oddJKt-9qlFtAJ/view?usp=drivesdk</v>
      </c>
    </row>
    <row r="2718">
      <c r="A2718" s="15">
        <f>IFERROR(__xludf.DUMMYFUNCTION("""COMPUTED_VALUE"""),45079.0)</f>
        <v>45079</v>
      </c>
      <c r="B2718" s="16" t="str">
        <f>IFERROR(__xludf.DUMMYFUNCTION("""COMPUTED_VALUE"""),"Orlando Urdaneta Rincon ")</f>
        <v>Orlando Urdaneta Rincon </v>
      </c>
      <c r="C2718" s="15" t="str">
        <f>IFERROR(__xludf.DUMMYFUNCTION("""COMPUTED_VALUE"""),"CHÍA")</f>
        <v>CHÍA</v>
      </c>
      <c r="D2718" s="15" t="str">
        <f>IFERROR(__xludf.DUMMYFUNCTION("""COMPUTED_VALUE"""),"MEDELLÍN")</f>
        <v>MEDELLÍN</v>
      </c>
      <c r="E2718" s="15" t="str">
        <f>IFERROR(__xludf.DUMMYFUNCTION("""COMPUTED_VALUE"""),"Rambla")</f>
        <v>Rambla</v>
      </c>
      <c r="F2718" s="17" t="str">
        <f>IFERROR(__xludf.DUMMYFUNCTION("""COMPUTED_VALUE"""),"CL 29 6 54 Apto 201. Torre 2 CHIA CUNDINAMARCA / NA / NA")</f>
        <v>CL 29 6 54 Apto 201. Torre 2 CHIA CUNDINAMARCA / NA / NA</v>
      </c>
      <c r="G2718" s="15" t="str">
        <f>IFERROR(__xludf.DUMMYFUNCTION("""COMPUTED_VALUE"""),"Salama")</f>
        <v>Salama</v>
      </c>
      <c r="H2718" s="16">
        <f>IFERROR(__xludf.DUMMYFUNCTION("""COMPUTED_VALUE"""),11261.0)</f>
        <v>11261</v>
      </c>
      <c r="I2718" s="18">
        <f>IFERROR(__xludf.DUMMYFUNCTION("""COMPUTED_VALUE"""),18.0)</f>
        <v>18</v>
      </c>
      <c r="J2718" s="18">
        <f>IFERROR(__xludf.DUMMYFUNCTION("""COMPUTED_VALUE"""),23.0)</f>
        <v>23</v>
      </c>
      <c r="K2718" s="18">
        <f>IFERROR(__xludf.DUMMYFUNCTION("""COMPUTED_VALUE"""),25.0)</f>
        <v>25</v>
      </c>
      <c r="L2718" s="17">
        <f>IFERROR(__xludf.DUMMYFUNCTION("""COMPUTED_VALUE"""),3.183745233E9)</f>
        <v>3183745233</v>
      </c>
      <c r="M2718" s="17" t="str">
        <f>IFERROR(__xludf.DUMMYFUNCTION("""COMPUTED_VALUE"""),"#REF!")</f>
        <v>#REF!</v>
      </c>
      <c r="N2718" s="17"/>
      <c r="O2718" s="17"/>
      <c r="P2718" s="17" t="b">
        <f>IFERROR(__xludf.DUMMYFUNCTION("""COMPUTED_VALUE"""),FALSE)</f>
        <v>0</v>
      </c>
      <c r="Q2718" s="20" t="str">
        <f>IFERROR(__xludf.DUMMYFUNCTION("""COMPUTED_VALUE"""),"")</f>
        <v/>
      </c>
      <c r="R2718" s="21" t="str">
        <f>IFERROR(__xludf.DUMMYFUNCTION("""COMPUTED_VALUE"""),"https://drive.google.com/file/d/1snTMl4Sr7b9zj9-z-rcg9dUcMCy-WY6d/view?usp=drivesdk")</f>
        <v>https://drive.google.com/file/d/1snTMl4Sr7b9zj9-z-rcg9dUcMCy-WY6d/view?usp=drivesdk</v>
      </c>
    </row>
    <row r="2719">
      <c r="A2719" s="15">
        <f>IFERROR(__xludf.DUMMYFUNCTION("""COMPUTED_VALUE"""),45079.0)</f>
        <v>45079</v>
      </c>
      <c r="B2719" s="16" t="str">
        <f>IFERROR(__xludf.DUMMYFUNCTION("""COMPUTED_VALUE"""),"Orlando Urdaneta Rincon ")</f>
        <v>Orlando Urdaneta Rincon </v>
      </c>
      <c r="C2719" s="15" t="str">
        <f>IFERROR(__xludf.DUMMYFUNCTION("""COMPUTED_VALUE"""),"SANTA MARTA")</f>
        <v>SANTA MARTA</v>
      </c>
      <c r="D2719" s="15" t="str">
        <f>IFERROR(__xludf.DUMMYFUNCTION("""COMPUTED_VALUE"""),"BOGOTÁ")</f>
        <v>BOGOTÁ</v>
      </c>
      <c r="E2719" s="15" t="str">
        <f>IFERROR(__xludf.DUMMYFUNCTION("""COMPUTED_VALUE"""),"Evamazzita")</f>
        <v>Evamazzita</v>
      </c>
      <c r="F2719" s="17" t="str">
        <f>IFERROR(__xludf.DUMMYFUNCTION("""COMPUTED_VALUE"""),"CALLE 29 No. 31 - 35  / T.1 APTO 1401  / EDIFICIO MIRADOR DE SAN PEDRO")</f>
        <v>CALLE 29 No. 31 - 35  / T.1 APTO 1401  / EDIFICIO MIRADOR DE SAN PEDRO</v>
      </c>
      <c r="G2719" s="15" t="str">
        <f>IFERROR(__xludf.DUMMYFUNCTION("""COMPUTED_VALUE"""),"KATTIA CABAS HOYOS")</f>
        <v>KATTIA CABAS HOYOS</v>
      </c>
      <c r="H2719" s="16">
        <f>IFERROR(__xludf.DUMMYFUNCTION("""COMPUTED_VALUE"""),11211.0)</f>
        <v>11211</v>
      </c>
      <c r="I2719" s="18">
        <f>IFERROR(__xludf.DUMMYFUNCTION("""COMPUTED_VALUE"""),3.0)</f>
        <v>3</v>
      </c>
      <c r="J2719" s="18">
        <f>IFERROR(__xludf.DUMMYFUNCTION("""COMPUTED_VALUE"""),15.0)</f>
        <v>15</v>
      </c>
      <c r="K2719" s="18">
        <f>IFERROR(__xludf.DUMMYFUNCTION("""COMPUTED_VALUE"""),20.0)</f>
        <v>20</v>
      </c>
      <c r="L2719" s="17">
        <f>IFERROR(__xludf.DUMMYFUNCTION("""COMPUTED_VALUE"""),3.014396771E9)</f>
        <v>3014396771</v>
      </c>
      <c r="M2719" s="17" t="str">
        <f>IFERROR(__xludf.DUMMYFUNCTION("""COMPUTED_VALUE"""),"#REF!")</f>
        <v>#REF!</v>
      </c>
      <c r="N2719" s="17"/>
      <c r="O2719" s="17"/>
      <c r="P2719" s="17" t="b">
        <f>IFERROR(__xludf.DUMMYFUNCTION("""COMPUTED_VALUE"""),FALSE)</f>
        <v>0</v>
      </c>
      <c r="Q2719" s="20" t="str">
        <f>IFERROR(__xludf.DUMMYFUNCTION("""COMPUTED_VALUE"""),"")</f>
        <v/>
      </c>
      <c r="R2719" s="21" t="str">
        <f>IFERROR(__xludf.DUMMYFUNCTION("""COMPUTED_VALUE"""),"https://drive.google.com/file/d/1mg6cfMtPImJCVhAfoRx2x9684jdb8rjl/view?usp=drivesdk")</f>
        <v>https://drive.google.com/file/d/1mg6cfMtPImJCVhAfoRx2x9684jdb8rjl/view?usp=drivesdk</v>
      </c>
    </row>
    <row r="2720">
      <c r="A2720" s="15">
        <f>IFERROR(__xludf.DUMMYFUNCTION("""COMPUTED_VALUE"""),45079.0)</f>
        <v>45079</v>
      </c>
      <c r="B2720" s="16" t="str">
        <f>IFERROR(__xludf.DUMMYFUNCTION("""COMPUTED_VALUE"""),"Orlando Urdaneta Rincon ")</f>
        <v>Orlando Urdaneta Rincon </v>
      </c>
      <c r="C2720" s="15" t="str">
        <f>IFERROR(__xludf.DUMMYFUNCTION("""COMPUTED_VALUE"""),"SANTA MARTA")</f>
        <v>SANTA MARTA</v>
      </c>
      <c r="D2720" s="15" t="str">
        <f>IFERROR(__xludf.DUMMYFUNCTION("""COMPUTED_VALUE"""),"BOGOTÁ")</f>
        <v>BOGOTÁ</v>
      </c>
      <c r="E2720" s="15" t="str">
        <f>IFERROR(__xludf.DUMMYFUNCTION("""COMPUTED_VALUE"""),"Ins. Alimento Vital")</f>
        <v>Ins. Alimento Vital</v>
      </c>
      <c r="F2720" s="17" t="str">
        <f>IFERROR(__xludf.DUMMYFUNCTION("""COMPUTED_VALUE"""),"CR 1 B 26 A 109 / EDIFICIO ALMIRANTE  APTO 501 / EDIFICIO ALMIRANTE")</f>
        <v>CR 1 B 26 A 109 / EDIFICIO ALMIRANTE  APTO 501 / EDIFICIO ALMIRANTE</v>
      </c>
      <c r="G2720" s="15" t="str">
        <f>IFERROR(__xludf.DUMMYFUNCTION("""COMPUTED_VALUE"""),"VERONICA GOMEZ DE SUBIRIA")</f>
        <v>VERONICA GOMEZ DE SUBIRIA</v>
      </c>
      <c r="H2720" s="16">
        <f>IFERROR(__xludf.DUMMYFUNCTION("""COMPUTED_VALUE"""),11201.0)</f>
        <v>11201</v>
      </c>
      <c r="I2720" s="18">
        <f>IFERROR(__xludf.DUMMYFUNCTION("""COMPUTED_VALUE"""),1.0)</f>
        <v>1</v>
      </c>
      <c r="J2720" s="18">
        <f>IFERROR(__xludf.DUMMYFUNCTION("""COMPUTED_VALUE"""),1.0)</f>
        <v>1</v>
      </c>
      <c r="K2720" s="18">
        <f>IFERROR(__xludf.DUMMYFUNCTION("""COMPUTED_VALUE"""),1.0)</f>
        <v>1</v>
      </c>
      <c r="L2720" s="17">
        <f>IFERROR(__xludf.DUMMYFUNCTION("""COMPUTED_VALUE"""),3.107893555E9)</f>
        <v>3107893555</v>
      </c>
      <c r="M2720" s="17" t="str">
        <f>IFERROR(__xludf.DUMMYFUNCTION("""COMPUTED_VALUE"""),"#REF!")</f>
        <v>#REF!</v>
      </c>
      <c r="N2720" s="17"/>
      <c r="O2720" s="17"/>
      <c r="P2720" s="17" t="b">
        <f>IFERROR(__xludf.DUMMYFUNCTION("""COMPUTED_VALUE"""),FALSE)</f>
        <v>0</v>
      </c>
      <c r="Q2720" s="20" t="str">
        <f>IFERROR(__xludf.DUMMYFUNCTION("""COMPUTED_VALUE"""),"")</f>
        <v/>
      </c>
      <c r="R2720" s="21" t="str">
        <f>IFERROR(__xludf.DUMMYFUNCTION("""COMPUTED_VALUE"""),"https://drive.google.com/file/d/1RtegZhIFRbtuEKkz7Bf4PZJ7cD5_ac1m/view?usp=drivesdk")</f>
        <v>https://drive.google.com/file/d/1RtegZhIFRbtuEKkz7Bf4PZJ7cD5_ac1m/view?usp=drivesdk</v>
      </c>
    </row>
    <row r="2721">
      <c r="A2721" s="15">
        <f>IFERROR(__xludf.DUMMYFUNCTION("""COMPUTED_VALUE"""),45079.0)</f>
        <v>45079</v>
      </c>
      <c r="B2721" s="16" t="str">
        <f>IFERROR(__xludf.DUMMYFUNCTION("""COMPUTED_VALUE"""),"Orlando Urdaneta Rincon ")</f>
        <v>Orlando Urdaneta Rincon </v>
      </c>
      <c r="C2721" s="15" t="str">
        <f>IFERROR(__xludf.DUMMYFUNCTION("""COMPUTED_VALUE"""),"SANTA MARTA")</f>
        <v>SANTA MARTA</v>
      </c>
      <c r="D2721" s="15" t="str">
        <f>IFERROR(__xludf.DUMMYFUNCTION("""COMPUTED_VALUE"""),"BOGOTÁ")</f>
        <v>BOGOTÁ</v>
      </c>
      <c r="E2721" s="15" t="str">
        <f>IFERROR(__xludf.DUMMYFUNCTION("""COMPUTED_VALUE"""),"Verde Avocado")</f>
        <v>Verde Avocado</v>
      </c>
      <c r="F2721" s="17" t="str">
        <f>IFERROR(__xludf.DUMMYFUNCTION("""COMPUTED_VALUE"""),"Manzana 8 casa 5  / Casa / Barrio urbanización sierra adentro")</f>
        <v>Manzana 8 casa 5  / Casa / Barrio urbanización sierra adentro</v>
      </c>
      <c r="G2721" s="15" t="str">
        <f>IFERROR(__xludf.DUMMYFUNCTION("""COMPUTED_VALUE"""),"Yuliana Mosquera")</f>
        <v>Yuliana Mosquera</v>
      </c>
      <c r="H2721" s="16">
        <f>IFERROR(__xludf.DUMMYFUNCTION("""COMPUTED_VALUE"""),11202.0)</f>
        <v>11202</v>
      </c>
      <c r="I2721" s="18">
        <f>IFERROR(__xludf.DUMMYFUNCTION("""COMPUTED_VALUE"""),17.0)</f>
        <v>17</v>
      </c>
      <c r="J2721" s="18">
        <f>IFERROR(__xludf.DUMMYFUNCTION("""COMPUTED_VALUE"""),16.0)</f>
        <v>16</v>
      </c>
      <c r="K2721" s="18">
        <f>IFERROR(__xludf.DUMMYFUNCTION("""COMPUTED_VALUE"""),22.0)</f>
        <v>22</v>
      </c>
      <c r="L2721" s="17">
        <f>IFERROR(__xludf.DUMMYFUNCTION("""COMPUTED_VALUE"""),3.123318584E9)</f>
        <v>3123318584</v>
      </c>
      <c r="M2721" s="17" t="str">
        <f>IFERROR(__xludf.DUMMYFUNCTION("""COMPUTED_VALUE"""),"#REF!")</f>
        <v>#REF!</v>
      </c>
      <c r="N2721" s="17"/>
      <c r="O2721" s="17"/>
      <c r="P2721" s="17" t="b">
        <f>IFERROR(__xludf.DUMMYFUNCTION("""COMPUTED_VALUE"""),FALSE)</f>
        <v>0</v>
      </c>
      <c r="Q2721" s="20" t="str">
        <f>IFERROR(__xludf.DUMMYFUNCTION("""COMPUTED_VALUE"""),"")</f>
        <v/>
      </c>
      <c r="R2721" s="21" t="str">
        <f>IFERROR(__xludf.DUMMYFUNCTION("""COMPUTED_VALUE"""),"https://drive.google.com/file/d/1-A9MHfQSId4lQDTsV5foIFK_toyWsbkE/view?usp=drivesdk")</f>
        <v>https://drive.google.com/file/d/1-A9MHfQSId4lQDTsV5foIFK_toyWsbkE/view?usp=drivesdk</v>
      </c>
    </row>
    <row r="2722">
      <c r="A2722" s="15">
        <f>IFERROR(__xludf.DUMMYFUNCTION("""COMPUTED_VALUE"""),45079.0)</f>
        <v>45079</v>
      </c>
      <c r="B2722" s="16" t="str">
        <f>IFERROR(__xludf.DUMMYFUNCTION("""COMPUTED_VALUE"""),"Orlando Urdaneta Rincon ")</f>
        <v>Orlando Urdaneta Rincon </v>
      </c>
      <c r="C2722" s="15" t="str">
        <f>IFERROR(__xludf.DUMMYFUNCTION("""COMPUTED_VALUE"""),"SANTA MARTA")</f>
        <v>SANTA MARTA</v>
      </c>
      <c r="D2722" s="15" t="str">
        <f>IFERROR(__xludf.DUMMYFUNCTION("""COMPUTED_VALUE"""),"MEDELLÍN")</f>
        <v>MEDELLÍN</v>
      </c>
      <c r="E2722" s="15" t="str">
        <f>IFERROR(__xludf.DUMMYFUNCTION("""COMPUTED_VALUE"""),"Baby Chef")</f>
        <v>Baby Chef</v>
      </c>
      <c r="F2722" s="17" t="str">
        <f>IFERROR(__xludf.DUMMYFUNCTION("""COMPUTED_VALUE"""),"Calle 11 A # 5 - 40 Rodadero / Calle 11A #5-40 Rodadero, Santa Marta, Magdalena / Calle 11A #5-40 Rodadero, Santa Marta, Magdalena")</f>
        <v>Calle 11 A # 5 - 40 Rodadero / Calle 11A #5-40 Rodadero, Santa Marta, Magdalena / Calle 11A #5-40 Rodadero, Santa Marta, Magdalena</v>
      </c>
      <c r="G2722" s="15" t="str">
        <f>IFERROR(__xludf.DUMMYFUNCTION("""COMPUTED_VALUE"""),"Melissa Caballero")</f>
        <v>Melissa Caballero</v>
      </c>
      <c r="H2722" s="16">
        <f>IFERROR(__xludf.DUMMYFUNCTION("""COMPUTED_VALUE"""),11237.0)</f>
        <v>11237</v>
      </c>
      <c r="I2722" s="18">
        <f>IFERROR(__xludf.DUMMYFUNCTION("""COMPUTED_VALUE"""),8.0)</f>
        <v>8</v>
      </c>
      <c r="J2722" s="18">
        <f>IFERROR(__xludf.DUMMYFUNCTION("""COMPUTED_VALUE"""),16.0)</f>
        <v>16</v>
      </c>
      <c r="K2722" s="18">
        <f>IFERROR(__xludf.DUMMYFUNCTION("""COMPUTED_VALUE"""),20.0)</f>
        <v>20</v>
      </c>
      <c r="L2722" s="17">
        <f>IFERROR(__xludf.DUMMYFUNCTION("""COMPUTED_VALUE"""),3.044614918E9)</f>
        <v>3044614918</v>
      </c>
      <c r="M2722" s="17" t="str">
        <f>IFERROR(__xludf.DUMMYFUNCTION("""COMPUTED_VALUE"""),"#REF!")</f>
        <v>#REF!</v>
      </c>
      <c r="N2722" s="17"/>
      <c r="O2722" s="17"/>
      <c r="P2722" s="17" t="b">
        <f>IFERROR(__xludf.DUMMYFUNCTION("""COMPUTED_VALUE"""),FALSE)</f>
        <v>0</v>
      </c>
      <c r="Q2722" s="20" t="str">
        <f>IFERROR(__xludf.DUMMYFUNCTION("""COMPUTED_VALUE"""),"")</f>
        <v/>
      </c>
      <c r="R2722" s="21" t="str">
        <f>IFERROR(__xludf.DUMMYFUNCTION("""COMPUTED_VALUE"""),"https://drive.google.com/file/d/1Pn3bz7Gj94wcSSH7HI3bqaAsW-gFgmwe/view?usp=drivesdk")</f>
        <v>https://drive.google.com/file/d/1Pn3bz7Gj94wcSSH7HI3bqaAsW-gFgmwe/view?usp=drivesdk</v>
      </c>
    </row>
    <row r="2723">
      <c r="A2723" s="15">
        <f>IFERROR(__xludf.DUMMYFUNCTION("""COMPUTED_VALUE"""),45079.0)</f>
        <v>45079</v>
      </c>
      <c r="B2723" s="16" t="str">
        <f>IFERROR(__xludf.DUMMYFUNCTION("""COMPUTED_VALUE"""),"Orlando Urdaneta Rincon ")</f>
        <v>Orlando Urdaneta Rincon </v>
      </c>
      <c r="C2723" s="15" t="str">
        <f>IFERROR(__xludf.DUMMYFUNCTION("""COMPUTED_VALUE"""),"SANTA MARTA")</f>
        <v>SANTA MARTA</v>
      </c>
      <c r="D2723" s="15" t="str">
        <f>IFERROR(__xludf.DUMMYFUNCTION("""COMPUTED_VALUE"""),"MEDELLÍN")</f>
        <v>MEDELLÍN</v>
      </c>
      <c r="E2723" s="15" t="str">
        <f>IFERROR(__xludf.DUMMYFUNCTION("""COMPUTED_VALUE"""),"Magda")</f>
        <v>Magda</v>
      </c>
      <c r="F2723" s="17" t="str">
        <f>IFERROR(__xludf.DUMMYFUNCTION("""COMPUTED_VALUE"""),"calle 22#6-82  / ""centro comercial plazuela 22 local 27 "" / centro")</f>
        <v>calle 22#6-82  / "centro comercial plazuela 22 local 27 " / centro</v>
      </c>
      <c r="G2723" s="15" t="str">
        <f>IFERROR(__xludf.DUMMYFUNCTION("""COMPUTED_VALUE"""),"Mariana Isaza	Shirley Monjarres")</f>
        <v>Mariana Isaza	Shirley Monjarres</v>
      </c>
      <c r="H2723" s="16">
        <f>IFERROR(__xludf.DUMMYFUNCTION("""COMPUTED_VALUE"""),11234.0)</f>
        <v>11234</v>
      </c>
      <c r="I2723" s="18">
        <f>IFERROR(__xludf.DUMMYFUNCTION("""COMPUTED_VALUE"""),5.0)</f>
        <v>5</v>
      </c>
      <c r="J2723" s="18">
        <f>IFERROR(__xludf.DUMMYFUNCTION("""COMPUTED_VALUE"""),5.0)</f>
        <v>5</v>
      </c>
      <c r="K2723" s="18">
        <f>IFERROR(__xludf.DUMMYFUNCTION("""COMPUTED_VALUE"""),5.0)</f>
        <v>5</v>
      </c>
      <c r="L2723" s="17">
        <f>IFERROR(__xludf.DUMMYFUNCTION("""COMPUTED_VALUE"""),3.054269156E9)</f>
        <v>3054269156</v>
      </c>
      <c r="M2723" s="17" t="str">
        <f>IFERROR(__xludf.DUMMYFUNCTION("""COMPUTED_VALUE"""),"#REF!")</f>
        <v>#REF!</v>
      </c>
      <c r="N2723" s="17"/>
      <c r="O2723" s="17"/>
      <c r="P2723" s="17" t="b">
        <f>IFERROR(__xludf.DUMMYFUNCTION("""COMPUTED_VALUE"""),FALSE)</f>
        <v>0</v>
      </c>
      <c r="Q2723" s="20" t="str">
        <f>IFERROR(__xludf.DUMMYFUNCTION("""COMPUTED_VALUE"""),"")</f>
        <v/>
      </c>
      <c r="R2723" s="21" t="str">
        <f>IFERROR(__xludf.DUMMYFUNCTION("""COMPUTED_VALUE"""),"https://drive.google.com/file/d/1G2bCrA75RvNhlclNEnUQZAIMu6Lu1jy3/view?usp=drivesdk")</f>
        <v>https://drive.google.com/file/d/1G2bCrA75RvNhlclNEnUQZAIMu6Lu1jy3/view?usp=drivesdk</v>
      </c>
    </row>
    <row r="2724">
      <c r="A2724" s="17" t="str">
        <f>IFERROR(__xludf.DUMMYFUNCTION("""COMPUTED_VALUE"""),"")</f>
        <v/>
      </c>
      <c r="B2724" s="17" t="str">
        <f>IFERROR(__xludf.DUMMYFUNCTION("""COMPUTED_VALUE"""),"")</f>
        <v/>
      </c>
      <c r="C2724" s="17" t="str">
        <f>IFERROR(__xludf.DUMMYFUNCTION("""COMPUTED_VALUE"""),"")</f>
        <v/>
      </c>
      <c r="D2724" s="17" t="str">
        <f>IFERROR(__xludf.DUMMYFUNCTION("""COMPUTED_VALUE"""),"")</f>
        <v/>
      </c>
      <c r="E2724" s="17" t="str">
        <f>IFERROR(__xludf.DUMMYFUNCTION("""COMPUTED_VALUE"""),"")</f>
        <v/>
      </c>
      <c r="F2724" s="17" t="str">
        <f>IFERROR(__xludf.DUMMYFUNCTION("""COMPUTED_VALUE"""),"")</f>
        <v/>
      </c>
      <c r="G2724" s="17" t="str">
        <f>IFERROR(__xludf.DUMMYFUNCTION("""COMPUTED_VALUE"""),"")</f>
        <v/>
      </c>
      <c r="H2724" s="17" t="str">
        <f>IFERROR(__xludf.DUMMYFUNCTION("""COMPUTED_VALUE"""),"")</f>
        <v/>
      </c>
      <c r="I2724" s="17" t="str">
        <f>IFERROR(__xludf.DUMMYFUNCTION("""COMPUTED_VALUE"""),"")</f>
        <v/>
      </c>
      <c r="J2724" s="17" t="str">
        <f>IFERROR(__xludf.DUMMYFUNCTION("""COMPUTED_VALUE"""),"")</f>
        <v/>
      </c>
      <c r="K2724" s="17" t="str">
        <f>IFERROR(__xludf.DUMMYFUNCTION("""COMPUTED_VALUE"""),"")</f>
        <v/>
      </c>
      <c r="L2724" s="17" t="str">
        <f>IFERROR(__xludf.DUMMYFUNCTION("""COMPUTED_VALUE"""),"")</f>
        <v/>
      </c>
      <c r="M2724" s="17" t="str">
        <f>IFERROR(__xludf.DUMMYFUNCTION("""COMPUTED_VALUE"""),"")</f>
        <v/>
      </c>
      <c r="N2724" s="17" t="str">
        <f>IFERROR(__xludf.DUMMYFUNCTION("""COMPUTED_VALUE"""),"")</f>
        <v/>
      </c>
      <c r="O2724" s="17" t="str">
        <f>IFERROR(__xludf.DUMMYFUNCTION("""COMPUTED_VALUE"""),"")</f>
        <v/>
      </c>
      <c r="P2724" s="17" t="str">
        <f>IFERROR(__xludf.DUMMYFUNCTION("""COMPUTED_VALUE"""),"")</f>
        <v/>
      </c>
      <c r="Q2724" s="17" t="str">
        <f>IFERROR(__xludf.DUMMYFUNCTION("""COMPUTED_VALUE"""),"")</f>
        <v/>
      </c>
      <c r="R2724" s="17" t="str">
        <f>IFERROR(__xludf.DUMMYFUNCTION("""COMPUTED_VALUE"""),"")</f>
        <v/>
      </c>
    </row>
    <row r="2725">
      <c r="A2725" s="15">
        <f>IFERROR(__xludf.DUMMYFUNCTION("""COMPUTED_VALUE"""),45079.0)</f>
        <v>45079</v>
      </c>
      <c r="B2725" s="16" t="str">
        <f>IFERROR(__xludf.DUMMYFUNCTION("""COMPUTED_VALUE"""),"Oscar Augusto Meneses Osias")</f>
        <v>Oscar Augusto Meneses Osias</v>
      </c>
      <c r="C2725" s="15" t="str">
        <f>IFERROR(__xludf.DUMMYFUNCTION("""COMPUTED_VALUE"""),"MEDELLÍN")</f>
        <v>MEDELLÍN</v>
      </c>
      <c r="D2725" s="15" t="str">
        <f>IFERROR(__xludf.DUMMYFUNCTION("""COMPUTED_VALUE"""),"BOGOTÁ")</f>
        <v>BOGOTÁ</v>
      </c>
      <c r="E2725" s="15" t="str">
        <f>IFERROR(__xludf.DUMMYFUNCTION("""COMPUTED_VALUE"""),"Pan de Waffle")</f>
        <v>Pan de Waffle</v>
      </c>
      <c r="F2725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2725" s="15" t="str">
        <f>IFERROR(__xludf.DUMMYFUNCTION("""COMPUTED_VALUE"""),"VITAINTEGRAL")</f>
        <v>VITAINTEGRAL</v>
      </c>
      <c r="H2725" s="16">
        <f>IFERROR(__xludf.DUMMYFUNCTION("""COMPUTED_VALUE"""),11242.0)</f>
        <v>11242</v>
      </c>
      <c r="I2725" s="18">
        <f>IFERROR(__xludf.DUMMYFUNCTION("""COMPUTED_VALUE"""),30.0)</f>
        <v>30</v>
      </c>
      <c r="J2725" s="18">
        <f>IFERROR(__xludf.DUMMYFUNCTION("""COMPUTED_VALUE"""),40.0)</f>
        <v>40</v>
      </c>
      <c r="K2725" s="18">
        <f>IFERROR(__xludf.DUMMYFUNCTION("""COMPUTED_VALUE"""),30.0)</f>
        <v>30</v>
      </c>
      <c r="L2725" s="17">
        <f>IFERROR(__xludf.DUMMYFUNCTION("""COMPUTED_VALUE"""),3.20865425E9)</f>
        <v>3208654250</v>
      </c>
      <c r="M2725" s="17" t="str">
        <f>IFERROR(__xludf.DUMMYFUNCTION("""COMPUTED_VALUE"""),"#REF!")</f>
        <v>#REF!</v>
      </c>
      <c r="N2725" s="17"/>
      <c r="O2725" s="17"/>
      <c r="P2725" s="17" t="b">
        <f>IFERROR(__xludf.DUMMYFUNCTION("""COMPUTED_VALUE"""),FALSE)</f>
        <v>0</v>
      </c>
      <c r="Q2725" s="20" t="str">
        <f>IFERROR(__xludf.DUMMYFUNCTION("""COMPUTED_VALUE"""),"")</f>
        <v/>
      </c>
      <c r="R2725" s="21" t="str">
        <f>IFERROR(__xludf.DUMMYFUNCTION("""COMPUTED_VALUE"""),"https://drive.google.com/file/d/16AxXurtSeCwgay83IJeN3jSikrQBdrS9/view?usp=drivesdk")</f>
        <v>https://drive.google.com/file/d/16AxXurtSeCwgay83IJeN3jSikrQBdrS9/view?usp=drivesdk</v>
      </c>
    </row>
    <row r="2726">
      <c r="A2726" s="15">
        <f>IFERROR(__xludf.DUMMYFUNCTION("""COMPUTED_VALUE"""),45079.0)</f>
        <v>45079</v>
      </c>
      <c r="B2726" s="16" t="str">
        <f>IFERROR(__xludf.DUMMYFUNCTION("""COMPUTED_VALUE"""),"Oscar Augusto Meneses Osias")</f>
        <v>Oscar Augusto Meneses Osias</v>
      </c>
      <c r="C2726" s="15" t="str">
        <f>IFERROR(__xludf.DUMMYFUNCTION("""COMPUTED_VALUE"""),"MEDELLÍN")</f>
        <v>MEDELLÍN</v>
      </c>
      <c r="D2726" s="15" t="str">
        <f>IFERROR(__xludf.DUMMYFUNCTION("""COMPUTED_VALUE"""),"BOGOTÁ")</f>
        <v>BOGOTÁ</v>
      </c>
      <c r="E2726" s="15" t="str">
        <f>IFERROR(__xludf.DUMMYFUNCTION("""COMPUTED_VALUE"""),"Renata")</f>
        <v>Renata</v>
      </c>
      <c r="F2726" s="17" t="str">
        <f>IFERROR(__xludf.DUMMYFUNCTION("""COMPUTED_VALUE"""),"Carrera 32d#9-43 / Seline y cowork -restaurante  / Provenza")</f>
        <v>Carrera 32d#9-43 / Seline y cowork -restaurante  / Provenza</v>
      </c>
      <c r="G2726" s="15" t="str">
        <f>IFERROR(__xludf.DUMMYFUNCTION("""COMPUTED_VALUE"""),"Front y back Hospitality group")</f>
        <v>Front y back Hospitality group</v>
      </c>
      <c r="H2726" s="16">
        <f>IFERROR(__xludf.DUMMYFUNCTION("""COMPUTED_VALUE"""),11264.0)</f>
        <v>11264</v>
      </c>
      <c r="I2726" s="18">
        <f>IFERROR(__xludf.DUMMYFUNCTION("""COMPUTED_VALUE"""),90.0)</f>
        <v>90</v>
      </c>
      <c r="J2726" s="18">
        <f>IFERROR(__xludf.DUMMYFUNCTION("""COMPUTED_VALUE"""),70.0)</f>
        <v>70</v>
      </c>
      <c r="K2726" s="18">
        <f>IFERROR(__xludf.DUMMYFUNCTION("""COMPUTED_VALUE"""),60.0)</f>
        <v>60</v>
      </c>
      <c r="L2726" s="17">
        <f>IFERROR(__xludf.DUMMYFUNCTION("""COMPUTED_VALUE"""),3.104047368E9)</f>
        <v>3104047368</v>
      </c>
      <c r="M2726" s="17" t="str">
        <f>IFERROR(__xludf.DUMMYFUNCTION("""COMPUTED_VALUE"""),"#REF!")</f>
        <v>#REF!</v>
      </c>
      <c r="N2726" s="17"/>
      <c r="O2726" s="17"/>
      <c r="P2726" s="17" t="b">
        <f>IFERROR(__xludf.DUMMYFUNCTION("""COMPUTED_VALUE"""),TRUE)</f>
        <v>1</v>
      </c>
      <c r="Q2726" s="20">
        <f>IFERROR(__xludf.DUMMYFUNCTION("""COMPUTED_VALUE"""),45081.493990856485)</f>
        <v>45081.49399</v>
      </c>
      <c r="R2726" s="21" t="str">
        <f>IFERROR(__xludf.DUMMYFUNCTION("""COMPUTED_VALUE"""),"https://drive.google.com/file/d/1kDTvyMWI210VGa3MtLlkDG-XI9eYpISy/view?usp=drivesdk")</f>
        <v>https://drive.google.com/file/d/1kDTvyMWI210VGa3MtLlkDG-XI9eYpISy/view?usp=drivesdk</v>
      </c>
    </row>
    <row r="2727">
      <c r="A2727" s="15">
        <f>IFERROR(__xludf.DUMMYFUNCTION("""COMPUTED_VALUE"""),45079.0)</f>
        <v>45079</v>
      </c>
      <c r="B2727" s="16" t="str">
        <f>IFERROR(__xludf.DUMMYFUNCTION("""COMPUTED_VALUE"""),"Oscar Augusto Meneses Osias")</f>
        <v>Oscar Augusto Meneses Osias</v>
      </c>
      <c r="C2727" s="15" t="str">
        <f>IFERROR(__xludf.DUMMYFUNCTION("""COMPUTED_VALUE"""),"MEDELLÍN")</f>
        <v>MEDELLÍN</v>
      </c>
      <c r="D2727" s="15" t="str">
        <f>IFERROR(__xludf.DUMMYFUNCTION("""COMPUTED_VALUE"""),"BOGOTÁ")</f>
        <v>BOGOTÁ</v>
      </c>
      <c r="E2727" s="15" t="str">
        <f>IFERROR(__xludf.DUMMYFUNCTION("""COMPUTED_VALUE"""),"Viiva Fermentados")</f>
        <v>Viiva Fermentados</v>
      </c>
      <c r="F2727" s="17" t="str">
        <f>IFERROR(__xludf.DUMMYFUNCTION("""COMPUTED_VALUE"""),"calle 37 #80-36 / Mall laureles local 129  / Laureles")</f>
        <v>calle 37 #80-36 / Mall laureles local 129  / Laureles</v>
      </c>
      <c r="G2727" s="15" t="str">
        <f>IFERROR(__xludf.DUMMYFUNCTION("""COMPUTED_VALUE"""),"ALIMENTOS SOSTENIBLES SAS - Juan Felipe Raigosa")</f>
        <v>ALIMENTOS SOSTENIBLES SAS - Juan Felipe Raigosa</v>
      </c>
      <c r="H2727" s="16">
        <f>IFERROR(__xludf.DUMMYFUNCTION("""COMPUTED_VALUE"""),11150.0)</f>
        <v>11150</v>
      </c>
      <c r="I2727" s="18">
        <f>IFERROR(__xludf.DUMMYFUNCTION("""COMPUTED_VALUE"""),26.0)</f>
        <v>26</v>
      </c>
      <c r="J2727" s="18">
        <f>IFERROR(__xludf.DUMMYFUNCTION("""COMPUTED_VALUE"""),18.0)</f>
        <v>18</v>
      </c>
      <c r="K2727" s="18">
        <f>IFERROR(__xludf.DUMMYFUNCTION("""COMPUTED_VALUE"""),18.0)</f>
        <v>18</v>
      </c>
      <c r="L2727" s="17">
        <f>IFERROR(__xludf.DUMMYFUNCTION("""COMPUTED_VALUE"""),3.185206999E9)</f>
        <v>3185206999</v>
      </c>
      <c r="M2727" s="17" t="str">
        <f>IFERROR(__xludf.DUMMYFUNCTION("""COMPUTED_VALUE"""),"#REF!")</f>
        <v>#REF!</v>
      </c>
      <c r="N2727" s="17"/>
      <c r="O2727" s="17"/>
      <c r="P2727" s="17" t="b">
        <f>IFERROR(__xludf.DUMMYFUNCTION("""COMPUTED_VALUE"""),FALSE)</f>
        <v>0</v>
      </c>
      <c r="Q2727" s="20" t="str">
        <f>IFERROR(__xludf.DUMMYFUNCTION("""COMPUTED_VALUE"""),"")</f>
        <v/>
      </c>
      <c r="R2727" s="21" t="str">
        <f>IFERROR(__xludf.DUMMYFUNCTION("""COMPUTED_VALUE"""),"https://drive.google.com/file/d/1E-dXvhx5YleC7kzq9U6VXEFCyFG-AW5N/view?usp=drivesdk")</f>
        <v>https://drive.google.com/file/d/1E-dXvhx5YleC7kzq9U6VXEFCyFG-AW5N/view?usp=drivesdk</v>
      </c>
    </row>
    <row r="2728">
      <c r="A2728" s="15">
        <f>IFERROR(__xludf.DUMMYFUNCTION("""COMPUTED_VALUE"""),45079.0)</f>
        <v>45079</v>
      </c>
      <c r="B2728" s="16" t="str">
        <f>IFERROR(__xludf.DUMMYFUNCTION("""COMPUTED_VALUE"""),"Oscar Augusto Meneses Osias")</f>
        <v>Oscar Augusto Meneses Osias</v>
      </c>
      <c r="C2728" s="15" t="str">
        <f>IFERROR(__xludf.DUMMYFUNCTION("""COMPUTED_VALUE"""),"MEDELLÍN")</f>
        <v>MEDELLÍN</v>
      </c>
      <c r="D2728" s="15" t="str">
        <f>IFERROR(__xludf.DUMMYFUNCTION("""COMPUTED_VALUE"""),"BOGOTÁ")</f>
        <v>BOGOTÁ</v>
      </c>
      <c r="E2728" s="15" t="str">
        <f>IFERROR(__xludf.DUMMYFUNCTION("""COMPUTED_VALUE"""),"Viiva Fermentados")</f>
        <v>Viiva Fermentados</v>
      </c>
      <c r="F2728" s="17" t="str">
        <f>IFERROR(__xludf.DUMMYFUNCTION("""COMPUTED_VALUE"""),"Cll 45 A Sur #39B138   / casa  de 3  pisos puerta garaje   reja blanca / Barrio el oasis, Envigado, Antioquia")</f>
        <v>Cll 45 A Sur #39B138   / casa  de 3  pisos puerta garaje   reja blanca / Barrio el oasis, Envigado, Antioquia</v>
      </c>
      <c r="G2728" s="15" t="str">
        <f>IFERROR(__xludf.DUMMYFUNCTION("""COMPUTED_VALUE"""),"Dileina Lince")</f>
        <v>Dileina Lince</v>
      </c>
      <c r="H2728" s="16">
        <f>IFERROR(__xludf.DUMMYFUNCTION("""COMPUTED_VALUE"""),11195.0)</f>
        <v>11195</v>
      </c>
      <c r="I2728" s="18">
        <f>IFERROR(__xludf.DUMMYFUNCTION("""COMPUTED_VALUE"""),26.0)</f>
        <v>26</v>
      </c>
      <c r="J2728" s="18">
        <f>IFERROR(__xludf.DUMMYFUNCTION("""COMPUTED_VALUE"""),18.0)</f>
        <v>18</v>
      </c>
      <c r="K2728" s="18">
        <f>IFERROR(__xludf.DUMMYFUNCTION("""COMPUTED_VALUE"""),18.0)</f>
        <v>18</v>
      </c>
      <c r="L2728" s="17">
        <f>IFERROR(__xludf.DUMMYFUNCTION("""COMPUTED_VALUE"""),3.116345472E9)</f>
        <v>3116345472</v>
      </c>
      <c r="M2728" s="17" t="str">
        <f>IFERROR(__xludf.DUMMYFUNCTION("""COMPUTED_VALUE"""),"#REF!")</f>
        <v>#REF!</v>
      </c>
      <c r="N2728" s="17"/>
      <c r="O2728" s="17"/>
      <c r="P2728" s="17" t="b">
        <f>IFERROR(__xludf.DUMMYFUNCTION("""COMPUTED_VALUE"""),FALSE)</f>
        <v>0</v>
      </c>
      <c r="Q2728" s="20" t="str">
        <f>IFERROR(__xludf.DUMMYFUNCTION("""COMPUTED_VALUE"""),"")</f>
        <v/>
      </c>
      <c r="R2728" s="21" t="str">
        <f>IFERROR(__xludf.DUMMYFUNCTION("""COMPUTED_VALUE"""),"https://drive.google.com/file/d/1fdjt6fkycS8a5qVga__EaiFLkqUwMzje/view?usp=drivesdk")</f>
        <v>https://drive.google.com/file/d/1fdjt6fkycS8a5qVga__EaiFLkqUwMzje/view?usp=drivesdk</v>
      </c>
    </row>
    <row r="2729">
      <c r="A2729" s="17" t="str">
        <f>IFERROR(__xludf.DUMMYFUNCTION("""COMPUTED_VALUE"""),"")</f>
        <v/>
      </c>
      <c r="B2729" s="17" t="str">
        <f>IFERROR(__xludf.DUMMYFUNCTION("""COMPUTED_VALUE"""),"")</f>
        <v/>
      </c>
      <c r="C2729" s="17" t="str">
        <f>IFERROR(__xludf.DUMMYFUNCTION("""COMPUTED_VALUE"""),"")</f>
        <v/>
      </c>
      <c r="D2729" s="17" t="str">
        <f>IFERROR(__xludf.DUMMYFUNCTION("""COMPUTED_VALUE"""),"")</f>
        <v/>
      </c>
      <c r="E2729" s="17" t="str">
        <f>IFERROR(__xludf.DUMMYFUNCTION("""COMPUTED_VALUE"""),"")</f>
        <v/>
      </c>
      <c r="F2729" s="17" t="str">
        <f>IFERROR(__xludf.DUMMYFUNCTION("""COMPUTED_VALUE"""),"")</f>
        <v/>
      </c>
      <c r="G2729" s="17" t="str">
        <f>IFERROR(__xludf.DUMMYFUNCTION("""COMPUTED_VALUE"""),"")</f>
        <v/>
      </c>
      <c r="H2729" s="17" t="str">
        <f>IFERROR(__xludf.DUMMYFUNCTION("""COMPUTED_VALUE"""),"")</f>
        <v/>
      </c>
      <c r="I2729" s="17" t="str">
        <f>IFERROR(__xludf.DUMMYFUNCTION("""COMPUTED_VALUE"""),"")</f>
        <v/>
      </c>
      <c r="J2729" s="17" t="str">
        <f>IFERROR(__xludf.DUMMYFUNCTION("""COMPUTED_VALUE"""),"")</f>
        <v/>
      </c>
      <c r="K2729" s="17" t="str">
        <f>IFERROR(__xludf.DUMMYFUNCTION("""COMPUTED_VALUE"""),"")</f>
        <v/>
      </c>
      <c r="L2729" s="17" t="str">
        <f>IFERROR(__xludf.DUMMYFUNCTION("""COMPUTED_VALUE"""),"")</f>
        <v/>
      </c>
      <c r="M2729" s="17" t="str">
        <f>IFERROR(__xludf.DUMMYFUNCTION("""COMPUTED_VALUE"""),"")</f>
        <v/>
      </c>
      <c r="N2729" s="17" t="str">
        <f>IFERROR(__xludf.DUMMYFUNCTION("""COMPUTED_VALUE"""),"")</f>
        <v/>
      </c>
      <c r="O2729" s="17" t="str">
        <f>IFERROR(__xludf.DUMMYFUNCTION("""COMPUTED_VALUE"""),"")</f>
        <v/>
      </c>
      <c r="P2729" s="17" t="str">
        <f>IFERROR(__xludf.DUMMYFUNCTION("""COMPUTED_VALUE"""),"")</f>
        <v/>
      </c>
      <c r="Q2729" s="17" t="str">
        <f>IFERROR(__xludf.DUMMYFUNCTION("""COMPUTED_VALUE"""),"")</f>
        <v/>
      </c>
      <c r="R2729" s="17" t="str">
        <f>IFERROR(__xludf.DUMMYFUNCTION("""COMPUTED_VALUE"""),"")</f>
        <v/>
      </c>
    </row>
    <row r="2730">
      <c r="A2730" s="15">
        <f>IFERROR(__xludf.DUMMYFUNCTION("""COMPUTED_VALUE"""),45080.0)</f>
        <v>45080</v>
      </c>
      <c r="B2730" s="16" t="str">
        <f>IFERROR(__xludf.DUMMYFUNCTION("""COMPUTED_VALUE"""),"Envia")</f>
        <v>Envia</v>
      </c>
      <c r="C2730" s="15" t="str">
        <f>IFERROR(__xludf.DUMMYFUNCTION("""COMPUTED_VALUE"""),"BOGOTÁ")</f>
        <v>BOGOTÁ</v>
      </c>
      <c r="D2730" s="15" t="str">
        <f>IFERROR(__xludf.DUMMYFUNCTION("""COMPUTED_VALUE"""),"CALI")</f>
        <v>CALI</v>
      </c>
      <c r="E2730" s="15" t="str">
        <f>IFERROR(__xludf.DUMMYFUNCTION("""COMPUTED_VALUE"""),"Natalia Carreño")</f>
        <v>Natalia Carreño</v>
      </c>
      <c r="F2730" s="17" t="str">
        <f>IFERROR(__xludf.DUMMYFUNCTION("""COMPUTED_VALUE"""),"Carrera27#70-83 / Casa curuba / Alcazares")</f>
        <v>Carrera27#70-83 / Casa curuba / Alcazares</v>
      </c>
      <c r="G2730" s="15" t="str">
        <f>IFERROR(__xludf.DUMMYFUNCTION("""COMPUTED_VALUE"""),"Natalia carreno")</f>
        <v>Natalia carreno</v>
      </c>
      <c r="H2730" s="16">
        <f>IFERROR(__xludf.DUMMYFUNCTION("""COMPUTED_VALUE"""),11236.0)</f>
        <v>11236</v>
      </c>
      <c r="I2730" s="18">
        <f>IFERROR(__xludf.DUMMYFUNCTION("""COMPUTED_VALUE"""),40.0)</f>
        <v>40</v>
      </c>
      <c r="J2730" s="18">
        <f>IFERROR(__xludf.DUMMYFUNCTION("""COMPUTED_VALUE"""),45.0)</f>
        <v>45</v>
      </c>
      <c r="K2730" s="18">
        <f>IFERROR(__xludf.DUMMYFUNCTION("""COMPUTED_VALUE"""),60.0)</f>
        <v>60</v>
      </c>
      <c r="L2730" s="17">
        <f>IFERROR(__xludf.DUMMYFUNCTION("""COMPUTED_VALUE"""),3.11561131E9)</f>
        <v>3115611310</v>
      </c>
      <c r="M2730" s="17" t="str">
        <f>IFERROR(__xludf.DUMMYFUNCTION("""COMPUTED_VALUE"""),"#REF!")</f>
        <v>#REF!</v>
      </c>
      <c r="N2730" s="17"/>
      <c r="O2730" s="17"/>
      <c r="P2730" s="17" t="b">
        <f>IFERROR(__xludf.DUMMYFUNCTION("""COMPUTED_VALUE"""),TRUE)</f>
        <v>1</v>
      </c>
      <c r="Q2730" s="20">
        <f>IFERROR(__xludf.DUMMYFUNCTION("""COMPUTED_VALUE"""),45084.572451354165)</f>
        <v>45084.57245</v>
      </c>
      <c r="R2730" s="22" t="str">
        <f>IFERROR(__xludf.DUMMYFUNCTION("""COMPUTED_VALUE"""),"")</f>
        <v/>
      </c>
    </row>
    <row r="2731">
      <c r="A2731" s="15">
        <f>IFERROR(__xludf.DUMMYFUNCTION("""COMPUTED_VALUE"""),45080.0)</f>
        <v>45080</v>
      </c>
      <c r="B2731" s="16" t="str">
        <f>IFERROR(__xludf.DUMMYFUNCTION("""COMPUTED_VALUE"""),"Envia")</f>
        <v>Envia</v>
      </c>
      <c r="C2731" s="15" t="str">
        <f>IFERROR(__xludf.DUMMYFUNCTION("""COMPUTED_VALUE"""),"CALI")</f>
        <v>CALI</v>
      </c>
      <c r="D2731" s="15" t="str">
        <f>IFERROR(__xludf.DUMMYFUNCTION("""COMPUTED_VALUE"""),"BOGOTÁ")</f>
        <v>BOGOTÁ</v>
      </c>
      <c r="E2731" s="15" t="str">
        <f>IFERROR(__xludf.DUMMYFUNCTION("""COMPUTED_VALUE"""),"Mochi")</f>
        <v>Mochi</v>
      </c>
      <c r="F2731" s="17" t="str">
        <f>IFERROR(__xludf.DUMMYFUNCTION("""COMPUTED_VALUE"""),"Cl. 15 Nte. #9n-16, Granada, Cali, Valle del Cauca / Cl. 15 Nte. #9n-16, Granada, Cali, Valle del Cauca / Cl. 15 Nte. #9n-16, Granada, Cali, Valle del Cauca")</f>
        <v>Cl. 15 Nte. #9n-16, Granada, Cali, Valle del Cauca / Cl. 15 Nte. #9n-16, Granada, Cali, Valle del Cauca / Cl. 15 Nte. #9n-16, Granada, Cali, Valle del Cauca</v>
      </c>
      <c r="G2731" s="15" t="str">
        <f>IFERROR(__xludf.DUMMYFUNCTION("""COMPUTED_VALUE"""),"estefania")</f>
        <v>estefania</v>
      </c>
      <c r="H2731" s="16">
        <f>IFERROR(__xludf.DUMMYFUNCTION("""COMPUTED_VALUE"""),11281.0)</f>
        <v>11281</v>
      </c>
      <c r="I2731" s="18">
        <f>IFERROR(__xludf.DUMMYFUNCTION("""COMPUTED_VALUE"""),100.0)</f>
        <v>100</v>
      </c>
      <c r="J2731" s="18">
        <f>IFERROR(__xludf.DUMMYFUNCTION("""COMPUTED_VALUE"""),100.0)</f>
        <v>100</v>
      </c>
      <c r="K2731" s="18">
        <f>IFERROR(__xludf.DUMMYFUNCTION("""COMPUTED_VALUE"""),100.0)</f>
        <v>100</v>
      </c>
      <c r="L2731" s="17">
        <f>IFERROR(__xludf.DUMMYFUNCTION("""COMPUTED_VALUE"""),3.183028598E9)</f>
        <v>3183028598</v>
      </c>
      <c r="M2731" s="17" t="str">
        <f>IFERROR(__xludf.DUMMYFUNCTION("""COMPUTED_VALUE"""),"#REF!")</f>
        <v>#REF!</v>
      </c>
      <c r="N2731" s="17"/>
      <c r="O2731" s="17"/>
      <c r="P2731" s="17" t="b">
        <f>IFERROR(__xludf.DUMMYFUNCTION("""COMPUTED_VALUE"""),TRUE)</f>
        <v>1</v>
      </c>
      <c r="Q2731" s="20">
        <f>IFERROR(__xludf.DUMMYFUNCTION("""COMPUTED_VALUE"""),45084.57245136574)</f>
        <v>45084.57245</v>
      </c>
      <c r="R2731" s="21" t="str">
        <f>IFERROR(__xludf.DUMMYFUNCTION("""COMPUTED_VALUE"""),"https://drive.google.com/file/d/1WYsKBDTkcfkU1ZjHeW0MqRW1rIk349EM/view?usp=drivesdk")</f>
        <v>https://drive.google.com/file/d/1WYsKBDTkcfkU1ZjHeW0MqRW1rIk349EM/view?usp=drivesdk</v>
      </c>
    </row>
    <row r="2732">
      <c r="A2732" s="15">
        <f>IFERROR(__xludf.DUMMYFUNCTION("""COMPUTED_VALUE"""),45080.0)</f>
        <v>45080</v>
      </c>
      <c r="B2732" s="16" t="str">
        <f>IFERROR(__xludf.DUMMYFUNCTION("""COMPUTED_VALUE"""),"Envia")</f>
        <v>Envia</v>
      </c>
      <c r="C2732" s="15" t="str">
        <f>IFERROR(__xludf.DUMMYFUNCTION("""COMPUTED_VALUE"""),"MEDELLÍN")</f>
        <v>MEDELLÍN</v>
      </c>
      <c r="D2732" s="15" t="str">
        <f>IFERROR(__xludf.DUMMYFUNCTION("""COMPUTED_VALUE"""),"BOGOTÁ")</f>
        <v>BOGOTÁ</v>
      </c>
      <c r="E2732" s="15" t="str">
        <f>IFERROR(__xludf.DUMMYFUNCTION("""COMPUTED_VALUE"""),"Mochi")</f>
        <v>Mochi</v>
      </c>
      <c r="F2732" s="17" t="str">
        <f>IFERROR(__xludf.DUMMYFUNCTION("""COMPUTED_VALUE"""),"Centro comercial viva envigado  / envigado / envigado")</f>
        <v>Centro comercial viva envigado  / envigado / envigado</v>
      </c>
      <c r="G2732" s="15" t="str">
        <f>IFERROR(__xludf.DUMMYFUNCTION("""COMPUTED_VALUE"""),"Tania vellojin")</f>
        <v>Tania vellojin</v>
      </c>
      <c r="H2732" s="16">
        <f>IFERROR(__xludf.DUMMYFUNCTION("""COMPUTED_VALUE"""),11277.0)</f>
        <v>11277</v>
      </c>
      <c r="I2732" s="18">
        <f>IFERROR(__xludf.DUMMYFUNCTION("""COMPUTED_VALUE"""),55.0)</f>
        <v>55</v>
      </c>
      <c r="J2732" s="18">
        <f>IFERROR(__xludf.DUMMYFUNCTION("""COMPUTED_VALUE"""),45.0)</f>
        <v>45</v>
      </c>
      <c r="K2732" s="18" t="str">
        <f>IFERROR(__xludf.DUMMYFUNCTION("""COMPUTED_VALUE"""),"52.5")</f>
        <v>52.5</v>
      </c>
      <c r="L2732" s="17">
        <f>IFERROR(__xludf.DUMMYFUNCTION("""COMPUTED_VALUE"""),3.142587995E9)</f>
        <v>3142587995</v>
      </c>
      <c r="M2732" s="17" t="str">
        <f>IFERROR(__xludf.DUMMYFUNCTION("""COMPUTED_VALUE"""),"#REF!")</f>
        <v>#REF!</v>
      </c>
      <c r="N2732" s="17"/>
      <c r="O2732" s="17"/>
      <c r="P2732" s="17" t="b">
        <f>IFERROR(__xludf.DUMMYFUNCTION("""COMPUTED_VALUE"""),TRUE)</f>
        <v>1</v>
      </c>
      <c r="Q2732" s="20">
        <f>IFERROR(__xludf.DUMMYFUNCTION("""COMPUTED_VALUE"""),45084.57245136574)</f>
        <v>45084.57245</v>
      </c>
      <c r="R2732" s="21" t="str">
        <f>IFERROR(__xludf.DUMMYFUNCTION("""COMPUTED_VALUE"""),"https://drive.google.com/file/d/1yDyZz-5DlsGEUXVzF69um-Gpg2i3_NVC/view?usp=drivesdk")</f>
        <v>https://drive.google.com/file/d/1yDyZz-5DlsGEUXVzF69um-Gpg2i3_NVC/view?usp=drivesdk</v>
      </c>
    </row>
    <row r="2733">
      <c r="A2733" s="17" t="str">
        <f>IFERROR(__xludf.DUMMYFUNCTION("""COMPUTED_VALUE"""),"")</f>
        <v/>
      </c>
      <c r="B2733" s="17" t="str">
        <f>IFERROR(__xludf.DUMMYFUNCTION("""COMPUTED_VALUE"""),"")</f>
        <v/>
      </c>
      <c r="C2733" s="17" t="str">
        <f>IFERROR(__xludf.DUMMYFUNCTION("""COMPUTED_VALUE"""),"")</f>
        <v/>
      </c>
      <c r="D2733" s="17" t="str">
        <f>IFERROR(__xludf.DUMMYFUNCTION("""COMPUTED_VALUE"""),"")</f>
        <v/>
      </c>
      <c r="E2733" s="17" t="str">
        <f>IFERROR(__xludf.DUMMYFUNCTION("""COMPUTED_VALUE"""),"")</f>
        <v/>
      </c>
      <c r="F2733" s="17" t="str">
        <f>IFERROR(__xludf.DUMMYFUNCTION("""COMPUTED_VALUE"""),"")</f>
        <v/>
      </c>
      <c r="G2733" s="17" t="str">
        <f>IFERROR(__xludf.DUMMYFUNCTION("""COMPUTED_VALUE"""),"")</f>
        <v/>
      </c>
      <c r="H2733" s="17" t="str">
        <f>IFERROR(__xludf.DUMMYFUNCTION("""COMPUTED_VALUE"""),"")</f>
        <v/>
      </c>
      <c r="I2733" s="17" t="str">
        <f>IFERROR(__xludf.DUMMYFUNCTION("""COMPUTED_VALUE"""),"")</f>
        <v/>
      </c>
      <c r="J2733" s="17" t="str">
        <f>IFERROR(__xludf.DUMMYFUNCTION("""COMPUTED_VALUE"""),"")</f>
        <v/>
      </c>
      <c r="K2733" s="17" t="str">
        <f>IFERROR(__xludf.DUMMYFUNCTION("""COMPUTED_VALUE"""),"")</f>
        <v/>
      </c>
      <c r="L2733" s="17" t="str">
        <f>IFERROR(__xludf.DUMMYFUNCTION("""COMPUTED_VALUE"""),"")</f>
        <v/>
      </c>
      <c r="M2733" s="17" t="str">
        <f>IFERROR(__xludf.DUMMYFUNCTION("""COMPUTED_VALUE"""),"")</f>
        <v/>
      </c>
      <c r="N2733" s="17" t="str">
        <f>IFERROR(__xludf.DUMMYFUNCTION("""COMPUTED_VALUE"""),"")</f>
        <v/>
      </c>
      <c r="O2733" s="17" t="str">
        <f>IFERROR(__xludf.DUMMYFUNCTION("""COMPUTED_VALUE"""),"")</f>
        <v/>
      </c>
      <c r="P2733" s="17" t="str">
        <f>IFERROR(__xludf.DUMMYFUNCTION("""COMPUTED_VALUE"""),"")</f>
        <v/>
      </c>
      <c r="Q2733" s="17" t="str">
        <f>IFERROR(__xludf.DUMMYFUNCTION("""COMPUTED_VALUE"""),"")</f>
        <v/>
      </c>
      <c r="R2733" s="17" t="str">
        <f>IFERROR(__xludf.DUMMYFUNCTION("""COMPUTED_VALUE"""),"")</f>
        <v/>
      </c>
    </row>
    <row r="2734">
      <c r="A2734" s="15">
        <f>IFERROR(__xludf.DUMMYFUNCTION("""COMPUTED_VALUE"""),45082.0)</f>
        <v>45082</v>
      </c>
      <c r="B2734" s="16" t="str">
        <f>IFERROR(__xludf.DUMMYFUNCTION("""COMPUTED_VALUE"""),"Envia")</f>
        <v>Envia</v>
      </c>
      <c r="C2734" s="15" t="str">
        <f>IFERROR(__xludf.DUMMYFUNCTION("""COMPUTED_VALUE"""),"BOGOTÁ")</f>
        <v>BOGOTÁ</v>
      </c>
      <c r="D2734" s="15" t="str">
        <f>IFERROR(__xludf.DUMMYFUNCTION("""COMPUTED_VALUE"""),"MEDELLÍN")</f>
        <v>MEDELLÍN</v>
      </c>
      <c r="E2734" s="15" t="str">
        <f>IFERROR(__xludf.DUMMYFUNCTION("""COMPUTED_VALUE"""),"Mochi")</f>
        <v>Mochi</v>
      </c>
      <c r="F2734" s="17" t="str">
        <f>IFERROR(__xludf.DUMMYFUNCTION("""COMPUTED_VALUE"""),"Carrera 23 69 35 / 7 de agisto / 7 de agosto")</f>
        <v>Carrera 23 69 35 / 7 de agisto / 7 de agosto</v>
      </c>
      <c r="G2734" s="15" t="str">
        <f>IFERROR(__xludf.DUMMYFUNCTION("""COMPUTED_VALUE"""),"Mauricio Mora")</f>
        <v>Mauricio Mora</v>
      </c>
      <c r="H2734" s="16">
        <f>IFERROR(__xludf.DUMMYFUNCTION("""COMPUTED_VALUE"""),11297.0)</f>
        <v>11297</v>
      </c>
      <c r="I2734" s="18">
        <f>IFERROR(__xludf.DUMMYFUNCTION("""COMPUTED_VALUE"""),100.0)</f>
        <v>100</v>
      </c>
      <c r="J2734" s="18">
        <f>IFERROR(__xludf.DUMMYFUNCTION("""COMPUTED_VALUE"""),200.0)</f>
        <v>200</v>
      </c>
      <c r="K2734" s="18">
        <f>IFERROR(__xludf.DUMMYFUNCTION("""COMPUTED_VALUE"""),200.0)</f>
        <v>200</v>
      </c>
      <c r="L2734" s="17">
        <f>IFERROR(__xludf.DUMMYFUNCTION("""COMPUTED_VALUE"""),3.115177645E9)</f>
        <v>3115177645</v>
      </c>
      <c r="M2734" s="17" t="str">
        <f>IFERROR(__xludf.DUMMYFUNCTION("""COMPUTED_VALUE"""),"#REF!")</f>
        <v>#REF!</v>
      </c>
      <c r="N2734" s="17"/>
      <c r="O2734" s="17"/>
      <c r="P2734" s="17" t="b">
        <f>IFERROR(__xludf.DUMMYFUNCTION("""COMPUTED_VALUE"""),TRUE)</f>
        <v>1</v>
      </c>
      <c r="Q2734" s="20">
        <f>IFERROR(__xludf.DUMMYFUNCTION("""COMPUTED_VALUE"""),45084.57245136574)</f>
        <v>45084.57245</v>
      </c>
      <c r="R2734" s="21" t="str">
        <f>IFERROR(__xludf.DUMMYFUNCTION("""COMPUTED_VALUE"""),"https://drive.google.com/file/d/1HyoLSCXXGAgyFsPUy5TGjjCX-sng-Bhz/view?usp=drivesdk")</f>
        <v>https://drive.google.com/file/d/1HyoLSCXXGAgyFsPUy5TGjjCX-sng-Bhz/view?usp=drivesdk</v>
      </c>
    </row>
    <row r="2735">
      <c r="A2735" s="17" t="str">
        <f>IFERROR(__xludf.DUMMYFUNCTION("""COMPUTED_VALUE"""),"")</f>
        <v/>
      </c>
      <c r="B2735" s="17" t="str">
        <f>IFERROR(__xludf.DUMMYFUNCTION("""COMPUTED_VALUE"""),"")</f>
        <v/>
      </c>
      <c r="C2735" s="17" t="str">
        <f>IFERROR(__xludf.DUMMYFUNCTION("""COMPUTED_VALUE"""),"")</f>
        <v/>
      </c>
      <c r="D2735" s="17" t="str">
        <f>IFERROR(__xludf.DUMMYFUNCTION("""COMPUTED_VALUE"""),"")</f>
        <v/>
      </c>
      <c r="E2735" s="17" t="str">
        <f>IFERROR(__xludf.DUMMYFUNCTION("""COMPUTED_VALUE"""),"")</f>
        <v/>
      </c>
      <c r="F2735" s="17" t="str">
        <f>IFERROR(__xludf.DUMMYFUNCTION("""COMPUTED_VALUE"""),"")</f>
        <v/>
      </c>
      <c r="G2735" s="17" t="str">
        <f>IFERROR(__xludf.DUMMYFUNCTION("""COMPUTED_VALUE"""),"")</f>
        <v/>
      </c>
      <c r="H2735" s="17" t="str">
        <f>IFERROR(__xludf.DUMMYFUNCTION("""COMPUTED_VALUE"""),"")</f>
        <v/>
      </c>
      <c r="I2735" s="17" t="str">
        <f>IFERROR(__xludf.DUMMYFUNCTION("""COMPUTED_VALUE"""),"")</f>
        <v/>
      </c>
      <c r="J2735" s="17" t="str">
        <f>IFERROR(__xludf.DUMMYFUNCTION("""COMPUTED_VALUE"""),"")</f>
        <v/>
      </c>
      <c r="K2735" s="17" t="str">
        <f>IFERROR(__xludf.DUMMYFUNCTION("""COMPUTED_VALUE"""),"")</f>
        <v/>
      </c>
      <c r="L2735" s="17" t="str">
        <f>IFERROR(__xludf.DUMMYFUNCTION("""COMPUTED_VALUE"""),"")</f>
        <v/>
      </c>
      <c r="M2735" s="17" t="str">
        <f>IFERROR(__xludf.DUMMYFUNCTION("""COMPUTED_VALUE"""),"")</f>
        <v/>
      </c>
      <c r="N2735" s="17" t="str">
        <f>IFERROR(__xludf.DUMMYFUNCTION("""COMPUTED_VALUE"""),"")</f>
        <v/>
      </c>
      <c r="O2735" s="17" t="str">
        <f>IFERROR(__xludf.DUMMYFUNCTION("""COMPUTED_VALUE"""),"")</f>
        <v/>
      </c>
      <c r="P2735" s="17" t="str">
        <f>IFERROR(__xludf.DUMMYFUNCTION("""COMPUTED_VALUE"""),"")</f>
        <v/>
      </c>
      <c r="Q2735" s="17" t="str">
        <f>IFERROR(__xludf.DUMMYFUNCTION("""COMPUTED_VALUE"""),"")</f>
        <v/>
      </c>
      <c r="R2735" s="17" t="str">
        <f>IFERROR(__xludf.DUMMYFUNCTION("""COMPUTED_VALUE"""),"")</f>
        <v/>
      </c>
    </row>
    <row r="2736">
      <c r="A2736" s="15">
        <f>IFERROR(__xludf.DUMMYFUNCTION("""COMPUTED_VALUE"""),45083.0)</f>
        <v>45083</v>
      </c>
      <c r="B2736" s="17"/>
      <c r="C2736" s="15" t="str">
        <f>IFERROR(__xludf.DUMMYFUNCTION("""COMPUTED_VALUE"""),"MEDELLÍN")</f>
        <v>MEDELLÍN</v>
      </c>
      <c r="D2736" s="15" t="str">
        <f>IFERROR(__xludf.DUMMYFUNCTION("""COMPUTED_VALUE"""),"BOGOTÁ")</f>
        <v>BOGOTÁ</v>
      </c>
      <c r="E2736" s="15" t="str">
        <f>IFERROR(__xludf.DUMMYFUNCTION("""COMPUTED_VALUE"""),"Ventura Productos Arg")</f>
        <v>Ventura Productos Arg</v>
      </c>
      <c r="F2736" s="17" t="str">
        <f>IFERROR(__xludf.DUMMYFUNCTION("""COMPUTED_VALUE"""),"Carrera 43, Cl. 9 Sur #105 #, Medellín, Antioquia / ESTELAR SQUARE HOTEL MEDELLÍN. Dejar en recepción la clienta hace el check in el jueves 8")</f>
        <v>Carrera 43, Cl. 9 Sur #105 #, Medellín, Antioquia / ESTELAR SQUARE HOTEL MEDELLÍN. Dejar en recepción la clienta hace el check in el jueves 8</v>
      </c>
      <c r="G2736" s="15" t="str">
        <f>IFERROR(__xludf.DUMMYFUNCTION("""COMPUTED_VALUE"""),"Elena Iboucheva-Resnick")</f>
        <v>Elena Iboucheva-Resnick</v>
      </c>
      <c r="H2736" s="16">
        <f>IFERROR(__xludf.DUMMYFUNCTION("""COMPUTED_VALUE"""),11317.0)</f>
        <v>11317</v>
      </c>
      <c r="I2736" s="18">
        <f>IFERROR(__xludf.DUMMYFUNCTION("""COMPUTED_VALUE"""),22.0)</f>
        <v>22</v>
      </c>
      <c r="J2736" s="18">
        <f>IFERROR(__xludf.DUMMYFUNCTION("""COMPUTED_VALUE"""),17.0)</f>
        <v>17</v>
      </c>
      <c r="K2736" s="18">
        <f>IFERROR(__xludf.DUMMYFUNCTION("""COMPUTED_VALUE"""),8.0)</f>
        <v>8</v>
      </c>
      <c r="L2736" s="17" t="str">
        <f>IFERROR(__xludf.DUMMYFUNCTION("""COMPUTED_VALUE"""),"3002603393 (tel de Francisco)")</f>
        <v>3002603393 (tel de Francisco)</v>
      </c>
      <c r="M2736" s="17" t="str">
        <f>IFERROR(__xludf.DUMMYFUNCTION("""COMPUTED_VALUE"""),"#REF!")</f>
        <v>#REF!</v>
      </c>
      <c r="N2736" s="17"/>
      <c r="O2736" s="17"/>
      <c r="P2736" s="17" t="b">
        <f>IFERROR(__xludf.DUMMYFUNCTION("""COMPUTED_VALUE"""),TRUE)</f>
        <v>1</v>
      </c>
      <c r="Q2736" s="20">
        <f>IFERROR(__xludf.DUMMYFUNCTION("""COMPUTED_VALUE"""),45084.57245136574)</f>
        <v>45084.57245</v>
      </c>
      <c r="R2736" s="21" t="str">
        <f>IFERROR(__xludf.DUMMYFUNCTION("""COMPUTED_VALUE"""),"https://drive.google.com/file/d/1dlqa3RI6ktUGtx8DyH008D6zYywRyhx_/view?usp=drivesdk")</f>
        <v>https://drive.google.com/file/d/1dlqa3RI6ktUGtx8DyH008D6zYywRyhx_/view?usp=drivesdk</v>
      </c>
    </row>
    <row r="2737">
      <c r="A2737" s="15">
        <f>IFERROR(__xludf.DUMMYFUNCTION("""COMPUTED_VALUE"""),45083.0)</f>
        <v>45083</v>
      </c>
      <c r="B2737" s="17"/>
      <c r="C2737" s="15" t="str">
        <f>IFERROR(__xludf.DUMMYFUNCTION("""COMPUTED_VALUE"""),"MEDELLÍN")</f>
        <v>MEDELLÍN</v>
      </c>
      <c r="D2737" s="15" t="str">
        <f>IFERROR(__xludf.DUMMYFUNCTION("""COMPUTED_VALUE"""),"BOGOTÁ")</f>
        <v>BOGOTÁ</v>
      </c>
      <c r="E2737" s="15" t="str">
        <f>IFERROR(__xludf.DUMMYFUNCTION("""COMPUTED_VALUE"""),"Ventura Productos Arg")</f>
        <v>Ventura Productos Arg</v>
      </c>
      <c r="F2737" s="17" t="str">
        <f>IFERROR(__xludf.DUMMYFUNCTION("""COMPUTED_VALUE"""),"Carrera 43, Cl. 9 Sur #105 #, Medellín, Antioquia / ESTELAR SQUARE HOTEL MEDELLÍN. Dejar en recepción la clienta hace el check in el jueves 8")</f>
        <v>Carrera 43, Cl. 9 Sur #105 #, Medellín, Antioquia / ESTELAR SQUARE HOTEL MEDELLÍN. Dejar en recepción la clienta hace el check in el jueves 8</v>
      </c>
      <c r="G2737" s="15" t="str">
        <f>IFERROR(__xludf.DUMMYFUNCTION("""COMPUTED_VALUE"""),"Elena Iboucheva-Resnick")</f>
        <v>Elena Iboucheva-Resnick</v>
      </c>
      <c r="H2737" s="16">
        <f>IFERROR(__xludf.DUMMYFUNCTION("""COMPUTED_VALUE"""),11318.0)</f>
        <v>11318</v>
      </c>
      <c r="I2737" s="18">
        <f>IFERROR(__xludf.DUMMYFUNCTION("""COMPUTED_VALUE"""),3.0)</f>
        <v>3</v>
      </c>
      <c r="J2737" s="18">
        <f>IFERROR(__xludf.DUMMYFUNCTION("""COMPUTED_VALUE"""),45060.0)</f>
        <v>45060</v>
      </c>
      <c r="K2737" s="18">
        <f>IFERROR(__xludf.DUMMYFUNCTION("""COMPUTED_VALUE"""),22.0)</f>
        <v>22</v>
      </c>
      <c r="L2737" s="17" t="str">
        <f>IFERROR(__xludf.DUMMYFUNCTION("""COMPUTED_VALUE"""),"3002603393 (tel de Francisco)")</f>
        <v>3002603393 (tel de Francisco)</v>
      </c>
      <c r="M2737" s="17" t="str">
        <f>IFERROR(__xludf.DUMMYFUNCTION("""COMPUTED_VALUE"""),"#REF!")</f>
        <v>#REF!</v>
      </c>
      <c r="N2737" s="17"/>
      <c r="O2737" s="17"/>
      <c r="P2737" s="17" t="b">
        <f>IFERROR(__xludf.DUMMYFUNCTION("""COMPUTED_VALUE"""),TRUE)</f>
        <v>1</v>
      </c>
      <c r="Q2737" s="20">
        <f>IFERROR(__xludf.DUMMYFUNCTION("""COMPUTED_VALUE"""),45084.57245136574)</f>
        <v>45084.57245</v>
      </c>
      <c r="R2737" s="21" t="str">
        <f>IFERROR(__xludf.DUMMYFUNCTION("""COMPUTED_VALUE"""),"https://drive.google.com/file/d/1p-R8UfAtD2Nt-2wBmPatCx5i9L9ZxZ3r/view?usp=drivesdk")</f>
        <v>https://drive.google.com/file/d/1p-R8UfAtD2Nt-2wBmPatCx5i9L9ZxZ3r/view?usp=drivesdk</v>
      </c>
    </row>
    <row r="2738">
      <c r="A2738" s="15">
        <f>IFERROR(__xludf.DUMMYFUNCTION("""COMPUTED_VALUE"""),45083.0)</f>
        <v>45083</v>
      </c>
      <c r="B2738" s="17"/>
      <c r="C2738" s="15" t="str">
        <f>IFERROR(__xludf.DUMMYFUNCTION("""COMPUTED_VALUE"""),"SOGAMOSO")</f>
        <v>SOGAMOSO</v>
      </c>
      <c r="D2738" s="15" t="str">
        <f>IFERROR(__xludf.DUMMYFUNCTION("""COMPUTED_VALUE"""),"BOGOTÁ")</f>
        <v>BOGOTÁ</v>
      </c>
      <c r="E2738" s="15" t="str">
        <f>IFERROR(__xludf.DUMMYFUNCTION("""COMPUTED_VALUE"""),"Evamazzita")</f>
        <v>Evamazzita</v>
      </c>
      <c r="F2738" s="17" t="str">
        <f>IFERROR(__xludf.DUMMYFUNCTION("""COMPUTED_VALUE"""),"calle 11 N 32-250  /  casa 81 etapa 3  / conjunto la Toscana")</f>
        <v>calle 11 N 32-250  /  casa 81 etapa 3  / conjunto la Toscana</v>
      </c>
      <c r="G2738" s="15" t="str">
        <f>IFERROR(__xludf.DUMMYFUNCTION("""COMPUTED_VALUE"""),"CONSUELO PAEZ")</f>
        <v>CONSUELO PAEZ</v>
      </c>
      <c r="H2738" s="16">
        <f>IFERROR(__xludf.DUMMYFUNCTION("""COMPUTED_VALUE"""),11343.0)</f>
        <v>11343</v>
      </c>
      <c r="I2738" s="18">
        <f>IFERROR(__xludf.DUMMYFUNCTION("""COMPUTED_VALUE"""),3.0)</f>
        <v>3</v>
      </c>
      <c r="J2738" s="18">
        <f>IFERROR(__xludf.DUMMYFUNCTION("""COMPUTED_VALUE"""),15.0)</f>
        <v>15</v>
      </c>
      <c r="K2738" s="18">
        <f>IFERROR(__xludf.DUMMYFUNCTION("""COMPUTED_VALUE"""),20.0)</f>
        <v>20</v>
      </c>
      <c r="L2738" s="17">
        <f>IFERROR(__xludf.DUMMYFUNCTION("""COMPUTED_VALUE"""),3.106094609E9)</f>
        <v>3106094609</v>
      </c>
      <c r="M2738" s="17" t="str">
        <f>IFERROR(__xludf.DUMMYFUNCTION("""COMPUTED_VALUE"""),"#REF!")</f>
        <v>#REF!</v>
      </c>
      <c r="N2738" s="17"/>
      <c r="O2738" s="17"/>
      <c r="P2738" s="17" t="b">
        <f>IFERROR(__xludf.DUMMYFUNCTION("""COMPUTED_VALUE"""),TRUE)</f>
        <v>1</v>
      </c>
      <c r="Q2738" s="20">
        <f>IFERROR(__xludf.DUMMYFUNCTION("""COMPUTED_VALUE"""),45084.57245136574)</f>
        <v>45084.57245</v>
      </c>
      <c r="R2738" s="22" t="str">
        <f>IFERROR(__xludf.DUMMYFUNCTION("""COMPUTED_VALUE"""),"")</f>
        <v/>
      </c>
    </row>
    <row r="2739">
      <c r="A2739" s="17" t="str">
        <f>IFERROR(__xludf.DUMMYFUNCTION("""COMPUTED_VALUE"""),"")</f>
        <v/>
      </c>
      <c r="B2739" s="17" t="str">
        <f>IFERROR(__xludf.DUMMYFUNCTION("""COMPUTED_VALUE"""),"")</f>
        <v/>
      </c>
      <c r="C2739" s="17" t="str">
        <f>IFERROR(__xludf.DUMMYFUNCTION("""COMPUTED_VALUE"""),"")</f>
        <v/>
      </c>
      <c r="D2739" s="17" t="str">
        <f>IFERROR(__xludf.DUMMYFUNCTION("""COMPUTED_VALUE"""),"")</f>
        <v/>
      </c>
      <c r="E2739" s="17" t="str">
        <f>IFERROR(__xludf.DUMMYFUNCTION("""COMPUTED_VALUE"""),"")</f>
        <v/>
      </c>
      <c r="F2739" s="17" t="str">
        <f>IFERROR(__xludf.DUMMYFUNCTION("""COMPUTED_VALUE"""),"")</f>
        <v/>
      </c>
      <c r="G2739" s="17" t="str">
        <f>IFERROR(__xludf.DUMMYFUNCTION("""COMPUTED_VALUE"""),"")</f>
        <v/>
      </c>
      <c r="H2739" s="17" t="str">
        <f>IFERROR(__xludf.DUMMYFUNCTION("""COMPUTED_VALUE"""),"")</f>
        <v/>
      </c>
      <c r="I2739" s="17" t="str">
        <f>IFERROR(__xludf.DUMMYFUNCTION("""COMPUTED_VALUE"""),"")</f>
        <v/>
      </c>
      <c r="J2739" s="17" t="str">
        <f>IFERROR(__xludf.DUMMYFUNCTION("""COMPUTED_VALUE"""),"")</f>
        <v/>
      </c>
      <c r="K2739" s="17" t="str">
        <f>IFERROR(__xludf.DUMMYFUNCTION("""COMPUTED_VALUE"""),"")</f>
        <v/>
      </c>
      <c r="L2739" s="17" t="str">
        <f>IFERROR(__xludf.DUMMYFUNCTION("""COMPUTED_VALUE"""),"")</f>
        <v/>
      </c>
      <c r="M2739" s="17" t="str">
        <f>IFERROR(__xludf.DUMMYFUNCTION("""COMPUTED_VALUE"""),"")</f>
        <v/>
      </c>
      <c r="N2739" s="17" t="str">
        <f>IFERROR(__xludf.DUMMYFUNCTION("""COMPUTED_VALUE"""),"")</f>
        <v/>
      </c>
      <c r="O2739" s="17" t="str">
        <f>IFERROR(__xludf.DUMMYFUNCTION("""COMPUTED_VALUE"""),"")</f>
        <v/>
      </c>
      <c r="P2739" s="17" t="str">
        <f>IFERROR(__xludf.DUMMYFUNCTION("""COMPUTED_VALUE"""),"")</f>
        <v/>
      </c>
      <c r="Q2739" s="17" t="str">
        <f>IFERROR(__xludf.DUMMYFUNCTION("""COMPUTED_VALUE"""),"")</f>
        <v/>
      </c>
      <c r="R2739" s="17" t="str">
        <f>IFERROR(__xludf.DUMMYFUNCTION("""COMPUTED_VALUE"""),"")</f>
        <v/>
      </c>
    </row>
    <row r="2740">
      <c r="A2740" s="15">
        <f>IFERROR(__xludf.DUMMYFUNCTION("""COMPUTED_VALUE"""),45083.0)</f>
        <v>45083</v>
      </c>
      <c r="B2740" s="16" t="str">
        <f>IFERROR(__xludf.DUMMYFUNCTION("""COMPUTED_VALUE"""),"Carlos Andres Pirachican Numpaque (Mayerli)")</f>
        <v>Carlos Andres Pirachican Numpaque (Mayerli)</v>
      </c>
      <c r="C2740" s="15" t="str">
        <f>IFERROR(__xludf.DUMMYFUNCTION("""COMPUTED_VALUE"""),"SOGAMOSO")</f>
        <v>SOGAMOSO</v>
      </c>
      <c r="D2740" s="15" t="str">
        <f>IFERROR(__xludf.DUMMYFUNCTION("""COMPUTED_VALUE"""),"BOGOTÁ")</f>
        <v>BOGOTÁ</v>
      </c>
      <c r="E2740" s="15" t="str">
        <f>IFERROR(__xludf.DUMMYFUNCTION("""COMPUTED_VALUE"""),"Evamazzita")</f>
        <v>Evamazzita</v>
      </c>
      <c r="F2740" s="17" t="str">
        <f>IFERROR(__xludf.DUMMYFUNCTION("""COMPUTED_VALUE"""),"Calle 20 A # 9 - 50  / Apto. 701  / Barrio Los Alisos")</f>
        <v>Calle 20 A # 9 - 50  / Apto. 701  / Barrio Los Alisos</v>
      </c>
      <c r="G2740" s="15" t="str">
        <f>IFERROR(__xludf.DUMMYFUNCTION("""COMPUTED_VALUE"""),"DAYAN MARTINEZ")</f>
        <v>DAYAN MARTINEZ</v>
      </c>
      <c r="H2740" s="16">
        <f>IFERROR(__xludf.DUMMYFUNCTION("""COMPUTED_VALUE"""),11342.0)</f>
        <v>11342</v>
      </c>
      <c r="I2740" s="18">
        <f>IFERROR(__xludf.DUMMYFUNCTION("""COMPUTED_VALUE"""),3.0)</f>
        <v>3</v>
      </c>
      <c r="J2740" s="18">
        <f>IFERROR(__xludf.DUMMYFUNCTION("""COMPUTED_VALUE"""),20.0)</f>
        <v>20</v>
      </c>
      <c r="K2740" s="18">
        <f>IFERROR(__xludf.DUMMYFUNCTION("""COMPUTED_VALUE"""),15.0)</f>
        <v>15</v>
      </c>
      <c r="L2740" s="17">
        <f>IFERROR(__xludf.DUMMYFUNCTION("""COMPUTED_VALUE"""),3.208202919E9)</f>
        <v>3208202919</v>
      </c>
      <c r="M2740" s="17" t="str">
        <f>IFERROR(__xludf.DUMMYFUNCTION("""COMPUTED_VALUE"""),"#REF!")</f>
        <v>#REF!</v>
      </c>
      <c r="N2740" s="17"/>
      <c r="O2740" s="17"/>
      <c r="P2740" s="17" t="b">
        <f>IFERROR(__xludf.DUMMYFUNCTION("""COMPUTED_VALUE"""),FALSE)</f>
        <v>0</v>
      </c>
      <c r="Q2740" s="20" t="str">
        <f>IFERROR(__xludf.DUMMYFUNCTION("""COMPUTED_VALUE"""),"")</f>
        <v/>
      </c>
      <c r="R2740" s="22" t="str">
        <f>IFERROR(__xludf.DUMMYFUNCTION("""COMPUTED_VALUE"""),"")</f>
        <v/>
      </c>
    </row>
    <row r="2741">
      <c r="A2741" s="15">
        <f>IFERROR(__xludf.DUMMYFUNCTION("""COMPUTED_VALUE"""),45083.0)</f>
        <v>45083</v>
      </c>
      <c r="B2741" s="16" t="str">
        <f>IFERROR(__xludf.DUMMYFUNCTION("""COMPUTED_VALUE"""),"Carlos Andres Pirachican Numpaque (Mayerli)")</f>
        <v>Carlos Andres Pirachican Numpaque (Mayerli)</v>
      </c>
      <c r="C2741" s="15" t="str">
        <f>IFERROR(__xludf.DUMMYFUNCTION("""COMPUTED_VALUE"""),"SOGAMOSO")</f>
        <v>SOGAMOSO</v>
      </c>
      <c r="D2741" s="15" t="str">
        <f>IFERROR(__xludf.DUMMYFUNCTION("""COMPUTED_VALUE"""),"BOGOTÁ")</f>
        <v>BOGOTÁ</v>
      </c>
      <c r="E2741" s="15" t="str">
        <f>IFERROR(__xludf.DUMMYFUNCTION("""COMPUTED_VALUE"""),"Evamazzita")</f>
        <v>Evamazzita</v>
      </c>
      <c r="F2741" s="17" t="str">
        <f>IFERROR(__xludf.DUMMYFUNCTION("""COMPUTED_VALUE"""),"CRA 9 No. 24 - 107  / N/A / BARRIO EL RECREO")</f>
        <v>CRA 9 No. 24 - 107  / N/A / BARRIO EL RECREO</v>
      </c>
      <c r="G2741" s="15" t="str">
        <f>IFERROR(__xludf.DUMMYFUNCTION("""COMPUTED_VALUE"""),"LIZETH ROSAS PEÑA")</f>
        <v>LIZETH ROSAS PEÑA</v>
      </c>
      <c r="H2741" s="16">
        <f>IFERROR(__xludf.DUMMYFUNCTION("""COMPUTED_VALUE"""),11344.0)</f>
        <v>11344</v>
      </c>
      <c r="I2741" s="18">
        <f>IFERROR(__xludf.DUMMYFUNCTION("""COMPUTED_VALUE"""),10.0)</f>
        <v>10</v>
      </c>
      <c r="J2741" s="18">
        <f>IFERROR(__xludf.DUMMYFUNCTION("""COMPUTED_VALUE"""),18.0)</f>
        <v>18</v>
      </c>
      <c r="K2741" s="18">
        <f>IFERROR(__xludf.DUMMYFUNCTION("""COMPUTED_VALUE"""),22.0)</f>
        <v>22</v>
      </c>
      <c r="L2741" s="17">
        <f>IFERROR(__xludf.DUMMYFUNCTION("""COMPUTED_VALUE"""),3.204710062E9)</f>
        <v>3204710062</v>
      </c>
      <c r="M2741" s="17" t="str">
        <f>IFERROR(__xludf.DUMMYFUNCTION("""COMPUTED_VALUE"""),"#REF!")</f>
        <v>#REF!</v>
      </c>
      <c r="N2741" s="17"/>
      <c r="O2741" s="17"/>
      <c r="P2741" s="17" t="b">
        <f>IFERROR(__xludf.DUMMYFUNCTION("""COMPUTED_VALUE"""),FALSE)</f>
        <v>0</v>
      </c>
      <c r="Q2741" s="20" t="str">
        <f>IFERROR(__xludf.DUMMYFUNCTION("""COMPUTED_VALUE"""),"")</f>
        <v/>
      </c>
      <c r="R2741" s="22" t="str">
        <f>IFERROR(__xludf.DUMMYFUNCTION("""COMPUTED_VALUE"""),"")</f>
        <v/>
      </c>
    </row>
    <row r="2742">
      <c r="A2742" s="15">
        <f>IFERROR(__xludf.DUMMYFUNCTION("""COMPUTED_VALUE"""),45083.0)</f>
        <v>45083</v>
      </c>
      <c r="B2742" s="16" t="str">
        <f>IFERROR(__xludf.DUMMYFUNCTION("""COMPUTED_VALUE"""),"Carlos Andres Pirachican Numpaque (Mayerli)")</f>
        <v>Carlos Andres Pirachican Numpaque (Mayerli)</v>
      </c>
      <c r="C2742" s="15" t="str">
        <f>IFERROR(__xludf.DUMMYFUNCTION("""COMPUTED_VALUE"""),"TUNJA")</f>
        <v>TUNJA</v>
      </c>
      <c r="D2742" s="15" t="str">
        <f>IFERROR(__xludf.DUMMYFUNCTION("""COMPUTED_VALUE"""),"BOGOTÁ")</f>
        <v>BOGOTÁ</v>
      </c>
      <c r="E2742" s="15" t="str">
        <f>IFERROR(__xludf.DUMMYFUNCTION("""COMPUTED_VALUE"""),"Evamazzita")</f>
        <v>Evamazzita</v>
      </c>
      <c r="F2742" s="17" t="str">
        <f>IFERROR(__xludf.DUMMYFUNCTION("""COMPUTED_VALUE"""),"Av universitaria # 49-50  / casa 51 conjunto portal de Altagracia   / Barrio Altagracia")</f>
        <v>Av universitaria # 49-50  / casa 51 conjunto portal de Altagracia   / Barrio Altagracia</v>
      </c>
      <c r="G2742" s="15" t="str">
        <f>IFERROR(__xludf.DUMMYFUNCTION("""COMPUTED_VALUE"""),"LINA FERNANDA CASTILLO AMAYA")</f>
        <v>LINA FERNANDA CASTILLO AMAYA</v>
      </c>
      <c r="H2742" s="16">
        <f>IFERROR(__xludf.DUMMYFUNCTION("""COMPUTED_VALUE"""),11323.0)</f>
        <v>11323</v>
      </c>
      <c r="I2742" s="18">
        <f>IFERROR(__xludf.DUMMYFUNCTION("""COMPUTED_VALUE"""),10.0)</f>
        <v>10</v>
      </c>
      <c r="J2742" s="18">
        <f>IFERROR(__xludf.DUMMYFUNCTION("""COMPUTED_VALUE"""),18.0)</f>
        <v>18</v>
      </c>
      <c r="K2742" s="18">
        <f>IFERROR(__xludf.DUMMYFUNCTION("""COMPUTED_VALUE"""),22.0)</f>
        <v>22</v>
      </c>
      <c r="L2742" s="17">
        <f>IFERROR(__xludf.DUMMYFUNCTION("""COMPUTED_VALUE"""),3.142230007E9)</f>
        <v>3142230007</v>
      </c>
      <c r="M2742" s="17" t="str">
        <f>IFERROR(__xludf.DUMMYFUNCTION("""COMPUTED_VALUE"""),"#REF!")</f>
        <v>#REF!</v>
      </c>
      <c r="N2742" s="17"/>
      <c r="O2742" s="17"/>
      <c r="P2742" s="17" t="b">
        <f>IFERROR(__xludf.DUMMYFUNCTION("""COMPUTED_VALUE"""),FALSE)</f>
        <v>0</v>
      </c>
      <c r="Q2742" s="20" t="str">
        <f>IFERROR(__xludf.DUMMYFUNCTION("""COMPUTED_VALUE"""),"")</f>
        <v/>
      </c>
      <c r="R2742" s="22" t="str">
        <f>IFERROR(__xludf.DUMMYFUNCTION("""COMPUTED_VALUE"""),"")</f>
        <v/>
      </c>
    </row>
    <row r="2743">
      <c r="A2743" s="15">
        <f>IFERROR(__xludf.DUMMYFUNCTION("""COMPUTED_VALUE"""),45083.0)</f>
        <v>45083</v>
      </c>
      <c r="B2743" s="16" t="str">
        <f>IFERROR(__xludf.DUMMYFUNCTION("""COMPUTED_VALUE"""),"Carlos Andres Pirachican Numpaque (Mayerli)")</f>
        <v>Carlos Andres Pirachican Numpaque (Mayerli)</v>
      </c>
      <c r="C2743" s="15" t="str">
        <f>IFERROR(__xludf.DUMMYFUNCTION("""COMPUTED_VALUE"""),"TUNJA")</f>
        <v>TUNJA</v>
      </c>
      <c r="D2743" s="15" t="str">
        <f>IFERROR(__xludf.DUMMYFUNCTION("""COMPUTED_VALUE"""),"BOGOTÁ")</f>
        <v>BOGOTÁ</v>
      </c>
      <c r="E2743" s="15" t="str">
        <f>IFERROR(__xludf.DUMMYFUNCTION("""COMPUTED_VALUE"""),"Evamazzita")</f>
        <v>Evamazzita</v>
      </c>
      <c r="F2743" s="17" t="str">
        <f>IFERROR(__xludf.DUMMYFUNCTION("""COMPUTED_VALUE"""),"CALLE 9 # 13 - 63  / CASA  / BARRIO LOS ANDES")</f>
        <v>CALLE 9 # 13 - 63  / CASA  / BARRIO LOS ANDES</v>
      </c>
      <c r="G2743" s="15" t="str">
        <f>IFERROR(__xludf.DUMMYFUNCTION("""COMPUTED_VALUE"""),"AIDA JASMIN MOLINA PITA")</f>
        <v>AIDA JASMIN MOLINA PITA</v>
      </c>
      <c r="H2743" s="16">
        <f>IFERROR(__xludf.DUMMYFUNCTION("""COMPUTED_VALUE"""),11322.0)</f>
        <v>11322</v>
      </c>
      <c r="I2743" s="18">
        <f>IFERROR(__xludf.DUMMYFUNCTION("""COMPUTED_VALUE"""),3.0)</f>
        <v>3</v>
      </c>
      <c r="J2743" s="18">
        <f>IFERROR(__xludf.DUMMYFUNCTION("""COMPUTED_VALUE"""),15.0)</f>
        <v>15</v>
      </c>
      <c r="K2743" s="18">
        <f>IFERROR(__xludf.DUMMYFUNCTION("""COMPUTED_VALUE"""),20.0)</f>
        <v>20</v>
      </c>
      <c r="L2743" s="17">
        <f>IFERROR(__xludf.DUMMYFUNCTION("""COMPUTED_VALUE"""),3.108582786E9)</f>
        <v>3108582786</v>
      </c>
      <c r="M2743" s="17" t="str">
        <f>IFERROR(__xludf.DUMMYFUNCTION("""COMPUTED_VALUE"""),"#REF!")</f>
        <v>#REF!</v>
      </c>
      <c r="N2743" s="17"/>
      <c r="O2743" s="17"/>
      <c r="P2743" s="17" t="b">
        <f>IFERROR(__xludf.DUMMYFUNCTION("""COMPUTED_VALUE"""),FALSE)</f>
        <v>0</v>
      </c>
      <c r="Q2743" s="20" t="str">
        <f>IFERROR(__xludf.DUMMYFUNCTION("""COMPUTED_VALUE"""),"")</f>
        <v/>
      </c>
      <c r="R2743" s="22" t="str">
        <f>IFERROR(__xludf.DUMMYFUNCTION("""COMPUTED_VALUE"""),"")</f>
        <v/>
      </c>
    </row>
    <row r="2744">
      <c r="A2744" s="15">
        <f>IFERROR(__xludf.DUMMYFUNCTION("""COMPUTED_VALUE"""),45083.0)</f>
        <v>45083</v>
      </c>
      <c r="B2744" s="16" t="str">
        <f>IFERROR(__xludf.DUMMYFUNCTION("""COMPUTED_VALUE"""),"Carlos Andres Pirachican Numpaque (Mayerli)")</f>
        <v>Carlos Andres Pirachican Numpaque (Mayerli)</v>
      </c>
      <c r="C2744" s="15" t="str">
        <f>IFERROR(__xludf.DUMMYFUNCTION("""COMPUTED_VALUE"""),"TUNJA")</f>
        <v>TUNJA</v>
      </c>
      <c r="D2744" s="15" t="str">
        <f>IFERROR(__xludf.DUMMYFUNCTION("""COMPUTED_VALUE"""),"BOGOTÁ")</f>
        <v>BOGOTÁ</v>
      </c>
      <c r="E2744" s="15" t="str">
        <f>IFERROR(__xludf.DUMMYFUNCTION("""COMPUTED_VALUE"""),"Evamazzita")</f>
        <v>Evamazzita</v>
      </c>
      <c r="F2744" s="17" t="str">
        <f>IFERROR(__xludf.DUMMYFUNCTION("""COMPUTED_VALUE"""),"Cra 10 N 26-84  / N/A / N/A")</f>
        <v>Cra 10 N 26-84  / N/A / N/A</v>
      </c>
      <c r="G2744" s="15" t="str">
        <f>IFERROR(__xludf.DUMMYFUNCTION("""COMPUTED_VALUE"""),"SUSSY VIVIAN PEREZ OLAVE")</f>
        <v>SUSSY VIVIAN PEREZ OLAVE</v>
      </c>
      <c r="H2744" s="16">
        <f>IFERROR(__xludf.DUMMYFUNCTION("""COMPUTED_VALUE"""),11324.0)</f>
        <v>11324</v>
      </c>
      <c r="I2744" s="18">
        <f>IFERROR(__xludf.DUMMYFUNCTION("""COMPUTED_VALUE"""),10.0)</f>
        <v>10</v>
      </c>
      <c r="J2744" s="18">
        <f>IFERROR(__xludf.DUMMYFUNCTION("""COMPUTED_VALUE"""),18.0)</f>
        <v>18</v>
      </c>
      <c r="K2744" s="18">
        <f>IFERROR(__xludf.DUMMYFUNCTION("""COMPUTED_VALUE"""),22.0)</f>
        <v>22</v>
      </c>
      <c r="L2744" s="17">
        <f>IFERROR(__xludf.DUMMYFUNCTION("""COMPUTED_VALUE"""),3.217790723E9)</f>
        <v>3217790723</v>
      </c>
      <c r="M2744" s="17" t="str">
        <f>IFERROR(__xludf.DUMMYFUNCTION("""COMPUTED_VALUE"""),"#REF!")</f>
        <v>#REF!</v>
      </c>
      <c r="N2744" s="17"/>
      <c r="O2744" s="17"/>
      <c r="P2744" s="17" t="b">
        <f>IFERROR(__xludf.DUMMYFUNCTION("""COMPUTED_VALUE"""),FALSE)</f>
        <v>0</v>
      </c>
      <c r="Q2744" s="20" t="str">
        <f>IFERROR(__xludf.DUMMYFUNCTION("""COMPUTED_VALUE"""),"")</f>
        <v/>
      </c>
      <c r="R2744" s="22" t="str">
        <f>IFERROR(__xludf.DUMMYFUNCTION("""COMPUTED_VALUE"""),"")</f>
        <v/>
      </c>
    </row>
    <row r="2745">
      <c r="A2745" s="15">
        <f>IFERROR(__xludf.DUMMYFUNCTION("""COMPUTED_VALUE"""),45083.0)</f>
        <v>45083</v>
      </c>
      <c r="B2745" s="16" t="str">
        <f>IFERROR(__xludf.DUMMYFUNCTION("""COMPUTED_VALUE"""),"Carlos Andres Pirachican Numpaque (Mayerli)")</f>
        <v>Carlos Andres Pirachican Numpaque (Mayerli)</v>
      </c>
      <c r="C2745" s="15" t="str">
        <f>IFERROR(__xludf.DUMMYFUNCTION("""COMPUTED_VALUE"""),"TUNJA")</f>
        <v>TUNJA</v>
      </c>
      <c r="D2745" s="15" t="str">
        <f>IFERROR(__xludf.DUMMYFUNCTION("""COMPUTED_VALUE"""),"BOGOTÁ")</f>
        <v>BOGOTÁ</v>
      </c>
      <c r="E2745" s="15" t="str">
        <f>IFERROR(__xludf.DUMMYFUNCTION("""COMPUTED_VALUE"""),"Lunchy Kids")</f>
        <v>Lunchy Kids</v>
      </c>
      <c r="F2745" s="17" t="str">
        <f>IFERROR(__xludf.DUMMYFUNCTION("""COMPUTED_VALUE"""),"Carrera 3 #23-20    / bl4 - Apartamento 101 - edificio fénix / Tunja")</f>
        <v>Carrera 3 #23-20    / bl4 - Apartamento 101 - edificio fénix / Tunja</v>
      </c>
      <c r="G2745" s="15" t="str">
        <f>IFERROR(__xludf.DUMMYFUNCTION("""COMPUTED_VALUE"""),"Lina Ramirez")</f>
        <v>Lina Ramirez</v>
      </c>
      <c r="H2745" s="16">
        <f>IFERROR(__xludf.DUMMYFUNCTION("""COMPUTED_VALUE"""),11287.0)</f>
        <v>11287</v>
      </c>
      <c r="I2745" s="18">
        <f>IFERROR(__xludf.DUMMYFUNCTION("""COMPUTED_VALUE"""),14.0)</f>
        <v>14</v>
      </c>
      <c r="J2745" s="18">
        <f>IFERROR(__xludf.DUMMYFUNCTION("""COMPUTED_VALUE"""),26.0)</f>
        <v>26</v>
      </c>
      <c r="K2745" s="18">
        <f>IFERROR(__xludf.DUMMYFUNCTION("""COMPUTED_VALUE"""),10.0)</f>
        <v>10</v>
      </c>
      <c r="L2745" s="17">
        <f>IFERROR(__xludf.DUMMYFUNCTION("""COMPUTED_VALUE"""),3.187880736E9)</f>
        <v>3187880736</v>
      </c>
      <c r="M2745" s="17" t="str">
        <f>IFERROR(__xludf.DUMMYFUNCTION("""COMPUTED_VALUE"""),"#REF!")</f>
        <v>#REF!</v>
      </c>
      <c r="N2745" s="17"/>
      <c r="O2745" s="17"/>
      <c r="P2745" s="17" t="b">
        <f>IFERROR(__xludf.DUMMYFUNCTION("""COMPUTED_VALUE"""),FALSE)</f>
        <v>0</v>
      </c>
      <c r="Q2745" s="20" t="str">
        <f>IFERROR(__xludf.DUMMYFUNCTION("""COMPUTED_VALUE"""),"")</f>
        <v/>
      </c>
      <c r="R2745" s="22" t="str">
        <f>IFERROR(__xludf.DUMMYFUNCTION("""COMPUTED_VALUE"""),"")</f>
        <v/>
      </c>
    </row>
    <row r="2746">
      <c r="A2746" s="17" t="str">
        <f>IFERROR(__xludf.DUMMYFUNCTION("""COMPUTED_VALUE"""),"")</f>
        <v/>
      </c>
      <c r="B2746" s="17" t="str">
        <f>IFERROR(__xludf.DUMMYFUNCTION("""COMPUTED_VALUE"""),"")</f>
        <v/>
      </c>
      <c r="C2746" s="17" t="str">
        <f>IFERROR(__xludf.DUMMYFUNCTION("""COMPUTED_VALUE"""),"")</f>
        <v/>
      </c>
      <c r="D2746" s="17" t="str">
        <f>IFERROR(__xludf.DUMMYFUNCTION("""COMPUTED_VALUE"""),"")</f>
        <v/>
      </c>
      <c r="E2746" s="17" t="str">
        <f>IFERROR(__xludf.DUMMYFUNCTION("""COMPUTED_VALUE"""),"")</f>
        <v/>
      </c>
      <c r="F2746" s="17" t="str">
        <f>IFERROR(__xludf.DUMMYFUNCTION("""COMPUTED_VALUE"""),"")</f>
        <v/>
      </c>
      <c r="G2746" s="17" t="str">
        <f>IFERROR(__xludf.DUMMYFUNCTION("""COMPUTED_VALUE"""),"")</f>
        <v/>
      </c>
      <c r="H2746" s="17" t="str">
        <f>IFERROR(__xludf.DUMMYFUNCTION("""COMPUTED_VALUE"""),"")</f>
        <v/>
      </c>
      <c r="I2746" s="17" t="str">
        <f>IFERROR(__xludf.DUMMYFUNCTION("""COMPUTED_VALUE"""),"")</f>
        <v/>
      </c>
      <c r="J2746" s="17" t="str">
        <f>IFERROR(__xludf.DUMMYFUNCTION("""COMPUTED_VALUE"""),"")</f>
        <v/>
      </c>
      <c r="K2746" s="17" t="str">
        <f>IFERROR(__xludf.DUMMYFUNCTION("""COMPUTED_VALUE"""),"")</f>
        <v/>
      </c>
      <c r="L2746" s="17" t="str">
        <f>IFERROR(__xludf.DUMMYFUNCTION("""COMPUTED_VALUE"""),"")</f>
        <v/>
      </c>
      <c r="M2746" s="17" t="str">
        <f>IFERROR(__xludf.DUMMYFUNCTION("""COMPUTED_VALUE"""),"")</f>
        <v/>
      </c>
      <c r="N2746" s="17" t="str">
        <f>IFERROR(__xludf.DUMMYFUNCTION("""COMPUTED_VALUE"""),"")</f>
        <v/>
      </c>
      <c r="O2746" s="17" t="str">
        <f>IFERROR(__xludf.DUMMYFUNCTION("""COMPUTED_VALUE"""),"")</f>
        <v/>
      </c>
      <c r="P2746" s="17" t="str">
        <f>IFERROR(__xludf.DUMMYFUNCTION("""COMPUTED_VALUE"""),"")</f>
        <v/>
      </c>
      <c r="Q2746" s="17" t="str">
        <f>IFERROR(__xludf.DUMMYFUNCTION("""COMPUTED_VALUE"""),"")</f>
        <v/>
      </c>
      <c r="R2746" s="17" t="str">
        <f>IFERROR(__xludf.DUMMYFUNCTION("""COMPUTED_VALUE"""),"")</f>
        <v/>
      </c>
    </row>
    <row r="2747">
      <c r="A2747" s="15">
        <f>IFERROR(__xludf.DUMMYFUNCTION("""COMPUTED_VALUE"""),45083.0)</f>
        <v>45083</v>
      </c>
      <c r="B2747" s="16" t="str">
        <f>IFERROR(__xludf.DUMMYFUNCTION("""COMPUTED_VALUE"""),"David Sanmartin Bello")</f>
        <v>David Sanmartin Bello</v>
      </c>
      <c r="C2747" s="15" t="str">
        <f>IFERROR(__xludf.DUMMYFUNCTION("""COMPUTED_VALUE"""),"PALMIRA")</f>
        <v>PALMIRA</v>
      </c>
      <c r="D2747" s="15" t="str">
        <f>IFERROR(__xludf.DUMMYFUNCTION("""COMPUTED_VALUE"""),"BOGOTÁ")</f>
        <v>BOGOTÁ</v>
      </c>
      <c r="E2747" s="15" t="str">
        <f>IFERROR(__xludf.DUMMYFUNCTION("""COMPUTED_VALUE"""),"Evamazzita")</f>
        <v>Evamazzita</v>
      </c>
      <c r="F2747" s="17" t="str">
        <f>IFERROR(__xludf.DUMMYFUNCTION("""COMPUTED_VALUE"""),"RECIBE ISABEL CRISTINA RIVERA MORA Calle 65 e 31 b 62   / VILLA PRAGA ZAMORANO / RECIBE ISABEL CRISTINA RIVERA MORA - PALMIRA")</f>
        <v>RECIBE ISABEL CRISTINA RIVERA MORA Calle 65 e 31 b 62   / VILLA PRAGA ZAMORANO / RECIBE ISABEL CRISTINA RIVERA MORA - PALMIRA</v>
      </c>
      <c r="G2747" s="15" t="str">
        <f>IFERROR(__xludf.DUMMYFUNCTION("""COMPUTED_VALUE"""),"YULI PATRICIA MALTE ROMERO")</f>
        <v>YULI PATRICIA MALTE ROMERO</v>
      </c>
      <c r="H2747" s="16">
        <f>IFERROR(__xludf.DUMMYFUNCTION("""COMPUTED_VALUE"""),11359.0)</f>
        <v>11359</v>
      </c>
      <c r="I2747" s="18">
        <f>IFERROR(__xludf.DUMMYFUNCTION("""COMPUTED_VALUE"""),3.0)</f>
        <v>3</v>
      </c>
      <c r="J2747" s="18">
        <f>IFERROR(__xludf.DUMMYFUNCTION("""COMPUTED_VALUE"""),15.0)</f>
        <v>15</v>
      </c>
      <c r="K2747" s="18">
        <f>IFERROR(__xludf.DUMMYFUNCTION("""COMPUTED_VALUE"""),20.0)</f>
        <v>20</v>
      </c>
      <c r="L2747" s="17">
        <f>IFERROR(__xludf.DUMMYFUNCTION("""COMPUTED_VALUE"""),3.186474996E9)</f>
        <v>3186474996</v>
      </c>
      <c r="M2747" s="17" t="str">
        <f>IFERROR(__xludf.DUMMYFUNCTION("""COMPUTED_VALUE"""),"#REF!")</f>
        <v>#REF!</v>
      </c>
      <c r="N2747" s="17"/>
      <c r="O2747" s="17"/>
      <c r="P2747" s="17" t="b">
        <f>IFERROR(__xludf.DUMMYFUNCTION("""COMPUTED_VALUE"""),FALSE)</f>
        <v>0</v>
      </c>
      <c r="Q2747" s="20" t="str">
        <f>IFERROR(__xludf.DUMMYFUNCTION("""COMPUTED_VALUE"""),"")</f>
        <v/>
      </c>
      <c r="R2747" s="21" t="str">
        <f>IFERROR(__xludf.DUMMYFUNCTION("""COMPUTED_VALUE"""),"https://drive.google.com/file/d/1rVNFXks33cdoegXH-j6nsy1Du4mFSEVb/view?usp=drivesdk")</f>
        <v>https://drive.google.com/file/d/1rVNFXks33cdoegXH-j6nsy1Du4mFSEVb/view?usp=drivesdk</v>
      </c>
    </row>
    <row r="2748">
      <c r="A2748" s="17" t="str">
        <f>IFERROR(__xludf.DUMMYFUNCTION("""COMPUTED_VALUE"""),"")</f>
        <v/>
      </c>
      <c r="B2748" s="17" t="str">
        <f>IFERROR(__xludf.DUMMYFUNCTION("""COMPUTED_VALUE"""),"")</f>
        <v/>
      </c>
      <c r="C2748" s="17" t="str">
        <f>IFERROR(__xludf.DUMMYFUNCTION("""COMPUTED_VALUE"""),"")</f>
        <v/>
      </c>
      <c r="D2748" s="17" t="str">
        <f>IFERROR(__xludf.DUMMYFUNCTION("""COMPUTED_VALUE"""),"")</f>
        <v/>
      </c>
      <c r="E2748" s="17" t="str">
        <f>IFERROR(__xludf.DUMMYFUNCTION("""COMPUTED_VALUE"""),"")</f>
        <v/>
      </c>
      <c r="F2748" s="17" t="str">
        <f>IFERROR(__xludf.DUMMYFUNCTION("""COMPUTED_VALUE"""),"")</f>
        <v/>
      </c>
      <c r="G2748" s="17" t="str">
        <f>IFERROR(__xludf.DUMMYFUNCTION("""COMPUTED_VALUE"""),"")</f>
        <v/>
      </c>
      <c r="H2748" s="17" t="str">
        <f>IFERROR(__xludf.DUMMYFUNCTION("""COMPUTED_VALUE"""),"")</f>
        <v/>
      </c>
      <c r="I2748" s="17" t="str">
        <f>IFERROR(__xludf.DUMMYFUNCTION("""COMPUTED_VALUE"""),"")</f>
        <v/>
      </c>
      <c r="J2748" s="17" t="str">
        <f>IFERROR(__xludf.DUMMYFUNCTION("""COMPUTED_VALUE"""),"")</f>
        <v/>
      </c>
      <c r="K2748" s="17" t="str">
        <f>IFERROR(__xludf.DUMMYFUNCTION("""COMPUTED_VALUE"""),"")</f>
        <v/>
      </c>
      <c r="L2748" s="17" t="str">
        <f>IFERROR(__xludf.DUMMYFUNCTION("""COMPUTED_VALUE"""),"")</f>
        <v/>
      </c>
      <c r="M2748" s="17" t="str">
        <f>IFERROR(__xludf.DUMMYFUNCTION("""COMPUTED_VALUE"""),"")</f>
        <v/>
      </c>
      <c r="N2748" s="17" t="str">
        <f>IFERROR(__xludf.DUMMYFUNCTION("""COMPUTED_VALUE"""),"")</f>
        <v/>
      </c>
      <c r="O2748" s="17" t="str">
        <f>IFERROR(__xludf.DUMMYFUNCTION("""COMPUTED_VALUE"""),"")</f>
        <v/>
      </c>
      <c r="P2748" s="17" t="str">
        <f>IFERROR(__xludf.DUMMYFUNCTION("""COMPUTED_VALUE"""),"")</f>
        <v/>
      </c>
      <c r="Q2748" s="17" t="str">
        <f>IFERROR(__xludf.DUMMYFUNCTION("""COMPUTED_VALUE"""),"")</f>
        <v/>
      </c>
      <c r="R2748" s="17" t="str">
        <f>IFERROR(__xludf.DUMMYFUNCTION("""COMPUTED_VALUE"""),"")</f>
        <v/>
      </c>
    </row>
    <row r="2749">
      <c r="A2749" s="15">
        <f>IFERROR(__xludf.DUMMYFUNCTION("""COMPUTED_VALUE"""),45083.0)</f>
        <v>45083</v>
      </c>
      <c r="B2749" s="16" t="str">
        <f>IFERROR(__xludf.DUMMYFUNCTION("""COMPUTED_VALUE"""),"Deivi Alejandro Quintero Corrales")</f>
        <v>Deivi Alejandro Quintero Corrales</v>
      </c>
      <c r="C2749" s="15" t="str">
        <f>IFERROR(__xludf.DUMMYFUNCTION("""COMPUTED_VALUE"""),"ARMENIA")</f>
        <v>ARMENIA</v>
      </c>
      <c r="D2749" s="15" t="str">
        <f>IFERROR(__xludf.DUMMYFUNCTION("""COMPUTED_VALUE"""),"MEDELLÍN")</f>
        <v>MEDELLÍN</v>
      </c>
      <c r="E2749" s="15" t="str">
        <f>IFERROR(__xludf.DUMMYFUNCTION("""COMPUTED_VALUE"""),"TOLEDALES S.A.S")</f>
        <v>TOLEDALES S.A.S</v>
      </c>
      <c r="F2749" s="17" t="str">
        <f>IFERROR(__xludf.DUMMYFUNCTION("""COMPUTED_VALUE"""),"Cll23A norte 19 47 / casa 2")</f>
        <v>Cll23A norte 19 47 / casa 2</v>
      </c>
      <c r="G2749" s="15" t="str">
        <f>IFERROR(__xludf.DUMMYFUNCTION("""COMPUTED_VALUE"""),"sandra salas")</f>
        <v>sandra salas</v>
      </c>
      <c r="H2749" s="16">
        <f>IFERROR(__xludf.DUMMYFUNCTION("""COMPUTED_VALUE"""),11314.0)</f>
        <v>11314</v>
      </c>
      <c r="I2749" s="18">
        <f>IFERROR(__xludf.DUMMYFUNCTION("""COMPUTED_VALUE"""),32.0)</f>
        <v>32</v>
      </c>
      <c r="J2749" s="18">
        <f>IFERROR(__xludf.DUMMYFUNCTION("""COMPUTED_VALUE"""),8.0)</f>
        <v>8</v>
      </c>
      <c r="K2749" s="18">
        <f>IFERROR(__xludf.DUMMYFUNCTION("""COMPUTED_VALUE"""),30.0)</f>
        <v>30</v>
      </c>
      <c r="L2749" s="17">
        <f>IFERROR(__xludf.DUMMYFUNCTION("""COMPUTED_VALUE"""),3.176643506E9)</f>
        <v>3176643506</v>
      </c>
      <c r="M2749" s="17" t="str">
        <f>IFERROR(__xludf.DUMMYFUNCTION("""COMPUTED_VALUE"""),"#REF!")</f>
        <v>#REF!</v>
      </c>
      <c r="N2749" s="17"/>
      <c r="O2749" s="17"/>
      <c r="P2749" s="17" t="b">
        <f>IFERROR(__xludf.DUMMYFUNCTION("""COMPUTED_VALUE"""),FALSE)</f>
        <v>0</v>
      </c>
      <c r="Q2749" s="20" t="str">
        <f>IFERROR(__xludf.DUMMYFUNCTION("""COMPUTED_VALUE"""),"")</f>
        <v/>
      </c>
      <c r="R2749" s="21" t="str">
        <f>IFERROR(__xludf.DUMMYFUNCTION("""COMPUTED_VALUE"""),"https://drive.google.com/file/d/1vMCM6Fuv2QHb3xpH6q0TnCVtiEB1urL3/view?usp=drivesdk")</f>
        <v>https://drive.google.com/file/d/1vMCM6Fuv2QHb3xpH6q0TnCVtiEB1urL3/view?usp=drivesdk</v>
      </c>
    </row>
    <row r="2750">
      <c r="A2750" s="15">
        <f>IFERROR(__xludf.DUMMYFUNCTION("""COMPUTED_VALUE"""),45083.0)</f>
        <v>45083</v>
      </c>
      <c r="B2750" s="16" t="str">
        <f>IFERROR(__xludf.DUMMYFUNCTION("""COMPUTED_VALUE"""),"Deivi Alejandro Quintero Corrales")</f>
        <v>Deivi Alejandro Quintero Corrales</v>
      </c>
      <c r="C2750" s="15" t="str">
        <f>IFERROR(__xludf.DUMMYFUNCTION("""COMPUTED_VALUE"""),"ARMENIA")</f>
        <v>ARMENIA</v>
      </c>
      <c r="D2750" s="15" t="str">
        <f>IFERROR(__xludf.DUMMYFUNCTION("""COMPUTED_VALUE"""),"MEDELLÍN")</f>
        <v>MEDELLÍN</v>
      </c>
      <c r="E2750" s="15" t="str">
        <f>IFERROR(__xludf.DUMMYFUNCTION("""COMPUTED_VALUE"""),"TOLEDALES S.A.S")</f>
        <v>TOLEDALES S.A.S</v>
      </c>
      <c r="F2750" s="17" t="str">
        <f>IFERROR(__xludf.DUMMYFUNCTION("""COMPUTED_VALUE"""),"Cra 14 # 46 norte -41 mall zona de oro")</f>
        <v>Cra 14 # 46 norte -41 mall zona de oro</v>
      </c>
      <c r="G2750" s="15" t="str">
        <f>IFERROR(__xludf.DUMMYFUNCTION("""COMPUTED_VALUE"""),"paola andrea gomez")</f>
        <v>paola andrea gomez</v>
      </c>
      <c r="H2750" s="16">
        <f>IFERROR(__xludf.DUMMYFUNCTION("""COMPUTED_VALUE"""),11313.0)</f>
        <v>11313</v>
      </c>
      <c r="I2750" s="18">
        <f>IFERROR(__xludf.DUMMYFUNCTION("""COMPUTED_VALUE"""),21.0)</f>
        <v>21</v>
      </c>
      <c r="J2750" s="18">
        <f>IFERROR(__xludf.DUMMYFUNCTION("""COMPUTED_VALUE"""),8.0)</f>
        <v>8</v>
      </c>
      <c r="K2750" s="18">
        <f>IFERROR(__xludf.DUMMYFUNCTION("""COMPUTED_VALUE"""),30.0)</f>
        <v>30</v>
      </c>
      <c r="L2750" s="17">
        <f>IFERROR(__xludf.DUMMYFUNCTION("""COMPUTED_VALUE"""),3.003222972E9)</f>
        <v>3003222972</v>
      </c>
      <c r="M2750" s="17" t="str">
        <f>IFERROR(__xludf.DUMMYFUNCTION("""COMPUTED_VALUE"""),"#REF!")</f>
        <v>#REF!</v>
      </c>
      <c r="N2750" s="17"/>
      <c r="O2750" s="17"/>
      <c r="P2750" s="17" t="b">
        <f>IFERROR(__xludf.DUMMYFUNCTION("""COMPUTED_VALUE"""),FALSE)</f>
        <v>0</v>
      </c>
      <c r="Q2750" s="20" t="str">
        <f>IFERROR(__xludf.DUMMYFUNCTION("""COMPUTED_VALUE"""),"")</f>
        <v/>
      </c>
      <c r="R2750" s="21" t="str">
        <f>IFERROR(__xludf.DUMMYFUNCTION("""COMPUTED_VALUE"""),"https://drive.google.com/file/d/10D5U7GPwYSHX5rVICQQv9RmOwvyeUhcT/view?usp=drivesdk")</f>
        <v>https://drive.google.com/file/d/10D5U7GPwYSHX5rVICQQv9RmOwvyeUhcT/view?usp=drivesdk</v>
      </c>
    </row>
    <row r="2751">
      <c r="A2751" s="15">
        <f>IFERROR(__xludf.DUMMYFUNCTION("""COMPUTED_VALUE"""),45083.0)</f>
        <v>45083</v>
      </c>
      <c r="B2751" s="16" t="str">
        <f>IFERROR(__xludf.DUMMYFUNCTION("""COMPUTED_VALUE"""),"Deivi Alejandro Quintero Corrales")</f>
        <v>Deivi Alejandro Quintero Corrales</v>
      </c>
      <c r="C2751" s="15" t="str">
        <f>IFERROR(__xludf.DUMMYFUNCTION("""COMPUTED_VALUE"""),"PEREIRA")</f>
        <v>PEREIRA</v>
      </c>
      <c r="D2751" s="15" t="str">
        <f>IFERROR(__xludf.DUMMYFUNCTION("""COMPUTED_VALUE"""),"BOGOTÁ")</f>
        <v>BOGOTÁ</v>
      </c>
      <c r="E2751" s="15" t="str">
        <f>IFERROR(__xludf.DUMMYFUNCTION("""COMPUTED_VALUE"""),"Asociacion Agropecuaria Juana Maria")</f>
        <v>Asociacion Agropecuaria Juana Maria</v>
      </c>
      <c r="F2751" s="17" t="str">
        <f>IFERROR(__xludf.DUMMYFUNCTION("""COMPUTED_VALUE"""),"Calle 153 # 23 -41 manzana 1 casa 9 sol de Galicia")</f>
        <v>Calle 153 # 23 -41 manzana 1 casa 9 sol de Galicia</v>
      </c>
      <c r="G2751" s="15" t="str">
        <f>IFERROR(__xludf.DUMMYFUNCTION("""COMPUTED_VALUE"""),"Paula Andrea Forero")</f>
        <v>Paula Andrea Forero</v>
      </c>
      <c r="H2751" s="16">
        <f>IFERROR(__xludf.DUMMYFUNCTION("""COMPUTED_VALUE"""),11300.0)</f>
        <v>11300</v>
      </c>
      <c r="I2751" s="18">
        <f>IFERROR(__xludf.DUMMYFUNCTION("""COMPUTED_VALUE"""),10.0)</f>
        <v>10</v>
      </c>
      <c r="J2751" s="18">
        <f>IFERROR(__xludf.DUMMYFUNCTION("""COMPUTED_VALUE"""),34.0)</f>
        <v>34</v>
      </c>
      <c r="K2751" s="18">
        <f>IFERROR(__xludf.DUMMYFUNCTION("""COMPUTED_VALUE"""),18.0)</f>
        <v>18</v>
      </c>
      <c r="L2751" s="17">
        <f>IFERROR(__xludf.DUMMYFUNCTION("""COMPUTED_VALUE"""),3.115760231E9)</f>
        <v>3115760231</v>
      </c>
      <c r="M2751" s="17" t="str">
        <f>IFERROR(__xludf.DUMMYFUNCTION("""COMPUTED_VALUE"""),"#REF!")</f>
        <v>#REF!</v>
      </c>
      <c r="N2751" s="17"/>
      <c r="O2751" s="17"/>
      <c r="P2751" s="17" t="b">
        <f>IFERROR(__xludf.DUMMYFUNCTION("""COMPUTED_VALUE"""),FALSE)</f>
        <v>0</v>
      </c>
      <c r="Q2751" s="20" t="str">
        <f>IFERROR(__xludf.DUMMYFUNCTION("""COMPUTED_VALUE"""),"")</f>
        <v/>
      </c>
      <c r="R2751" s="21" t="str">
        <f>IFERROR(__xludf.DUMMYFUNCTION("""COMPUTED_VALUE"""),"https://drive.google.com/file/d/1JmdOuO5hItEUGquX-P6UIJCl7vQNwpz2/view?usp=drivesdk")</f>
        <v>https://drive.google.com/file/d/1JmdOuO5hItEUGquX-P6UIJCl7vQNwpz2/view?usp=drivesdk</v>
      </c>
    </row>
    <row r="2752">
      <c r="A2752" s="15">
        <f>IFERROR(__xludf.DUMMYFUNCTION("""COMPUTED_VALUE"""),45083.0)</f>
        <v>45083</v>
      </c>
      <c r="B2752" s="16" t="str">
        <f>IFERROR(__xludf.DUMMYFUNCTION("""COMPUTED_VALUE"""),"Deivi Alejandro Quintero Corrales")</f>
        <v>Deivi Alejandro Quintero Corrales</v>
      </c>
      <c r="C2752" s="15" t="str">
        <f>IFERROR(__xludf.DUMMYFUNCTION("""COMPUTED_VALUE"""),"PEREIRA")</f>
        <v>PEREIRA</v>
      </c>
      <c r="D2752" s="15" t="str">
        <f>IFERROR(__xludf.DUMMYFUNCTION("""COMPUTED_VALUE"""),"BOGOTÁ")</f>
        <v>BOGOTÁ</v>
      </c>
      <c r="E2752" s="15" t="str">
        <f>IFERROR(__xludf.DUMMYFUNCTION("""COMPUTED_VALUE"""),"Asociacion Agropecuaria Juana Maria")</f>
        <v>Asociacion Agropecuaria Juana Maria</v>
      </c>
      <c r="F2752" s="17" t="str">
        <f>IFERROR(__xludf.DUMMYFUNCTION("""COMPUTED_VALUE"""),"CRA 40 # 93-20 Ciudadela VILLANOVA BLOQUE 52 APTO 102SAN JOAQUIN PEREIRA (RISARALDA")</f>
        <v>CRA 40 # 93-20 Ciudadela VILLANOVA BLOQUE 52 APTO 102SAN JOAQUIN PEREIRA (RISARALDA</v>
      </c>
      <c r="G2752" s="15" t="str">
        <f>IFERROR(__xludf.DUMMYFUNCTION("""COMPUTED_VALUE"""),"Karen Kateherine Cañas")</f>
        <v>Karen Kateherine Cañas</v>
      </c>
      <c r="H2752" s="16">
        <f>IFERROR(__xludf.DUMMYFUNCTION("""COMPUTED_VALUE"""),11308.0)</f>
        <v>11308</v>
      </c>
      <c r="I2752" s="18">
        <f>IFERROR(__xludf.DUMMYFUNCTION("""COMPUTED_VALUE"""),10.0)</f>
        <v>10</v>
      </c>
      <c r="J2752" s="18">
        <f>IFERROR(__xludf.DUMMYFUNCTION("""COMPUTED_VALUE"""),34.0)</f>
        <v>34</v>
      </c>
      <c r="K2752" s="18">
        <f>IFERROR(__xludf.DUMMYFUNCTION("""COMPUTED_VALUE"""),18.0)</f>
        <v>18</v>
      </c>
      <c r="L2752" s="17">
        <f>IFERROR(__xludf.DUMMYFUNCTION("""COMPUTED_VALUE"""),3.003972694E9)</f>
        <v>3003972694</v>
      </c>
      <c r="M2752" s="17" t="str">
        <f>IFERROR(__xludf.DUMMYFUNCTION("""COMPUTED_VALUE"""),"#REF!")</f>
        <v>#REF!</v>
      </c>
      <c r="N2752" s="17"/>
      <c r="O2752" s="17"/>
      <c r="P2752" s="17" t="b">
        <f>IFERROR(__xludf.DUMMYFUNCTION("""COMPUTED_VALUE"""),FALSE)</f>
        <v>0</v>
      </c>
      <c r="Q2752" s="20" t="str">
        <f>IFERROR(__xludf.DUMMYFUNCTION("""COMPUTED_VALUE"""),"")</f>
        <v/>
      </c>
      <c r="R2752" s="21" t="str">
        <f>IFERROR(__xludf.DUMMYFUNCTION("""COMPUTED_VALUE"""),"https://drive.google.com/file/d/1Qd39UXzyg5Q1jTvxE5yukdsDRlfNXFea/view?usp=drivesdk")</f>
        <v>https://drive.google.com/file/d/1Qd39UXzyg5Q1jTvxE5yukdsDRlfNXFea/view?usp=drivesdk</v>
      </c>
    </row>
    <row r="2753">
      <c r="A2753" s="15">
        <f>IFERROR(__xludf.DUMMYFUNCTION("""COMPUTED_VALUE"""),45083.0)</f>
        <v>45083</v>
      </c>
      <c r="B2753" s="16" t="str">
        <f>IFERROR(__xludf.DUMMYFUNCTION("""COMPUTED_VALUE"""),"Deivi Alejandro Quintero Corrales")</f>
        <v>Deivi Alejandro Quintero Corrales</v>
      </c>
      <c r="C2753" s="15" t="str">
        <f>IFERROR(__xludf.DUMMYFUNCTION("""COMPUTED_VALUE"""),"PEREIRA")</f>
        <v>PEREIRA</v>
      </c>
      <c r="D2753" s="15" t="str">
        <f>IFERROR(__xludf.DUMMYFUNCTION("""COMPUTED_VALUE"""),"BOGOTÁ")</f>
        <v>BOGOTÁ</v>
      </c>
      <c r="E2753" s="15" t="str">
        <f>IFERROR(__xludf.DUMMYFUNCTION("""COMPUTED_VALUE"""),"Evamazzita")</f>
        <v>Evamazzita</v>
      </c>
      <c r="F2753" s="17" t="str">
        <f>IFERROR(__xludf.DUMMYFUNCTION("""COMPUTED_VALUE"""),"CALLE 153 # 23 - 41  / SOL DE GALICIA MZ 1 CASA 9 / GALICIA")</f>
        <v>CALLE 153 # 23 - 41  / SOL DE GALICIA MZ 1 CASA 9 / GALICIA</v>
      </c>
      <c r="G2753" s="15" t="str">
        <f>IFERROR(__xludf.DUMMYFUNCTION("""COMPUTED_VALUE"""),"PAULA FORERO")</f>
        <v>PAULA FORERO</v>
      </c>
      <c r="H2753" s="16">
        <f>IFERROR(__xludf.DUMMYFUNCTION("""COMPUTED_VALUE"""),11321.0)</f>
        <v>11321</v>
      </c>
      <c r="I2753" s="18">
        <f>IFERROR(__xludf.DUMMYFUNCTION("""COMPUTED_VALUE"""),15.0)</f>
        <v>15</v>
      </c>
      <c r="J2753" s="18">
        <f>IFERROR(__xludf.DUMMYFUNCTION("""COMPUTED_VALUE"""),35.0)</f>
        <v>35</v>
      </c>
      <c r="K2753" s="18">
        <f>IFERROR(__xludf.DUMMYFUNCTION("""COMPUTED_VALUE"""),25.0)</f>
        <v>25</v>
      </c>
      <c r="L2753" s="17">
        <f>IFERROR(__xludf.DUMMYFUNCTION("""COMPUTED_VALUE"""),3.115760231E9)</f>
        <v>3115760231</v>
      </c>
      <c r="M2753" s="17" t="str">
        <f>IFERROR(__xludf.DUMMYFUNCTION("""COMPUTED_VALUE"""),"#REF!")</f>
        <v>#REF!</v>
      </c>
      <c r="N2753" s="17"/>
      <c r="O2753" s="17"/>
      <c r="P2753" s="17" t="b">
        <f>IFERROR(__xludf.DUMMYFUNCTION("""COMPUTED_VALUE"""),FALSE)</f>
        <v>0</v>
      </c>
      <c r="Q2753" s="20" t="str">
        <f>IFERROR(__xludf.DUMMYFUNCTION("""COMPUTED_VALUE"""),"")</f>
        <v/>
      </c>
      <c r="R2753" s="21" t="str">
        <f>IFERROR(__xludf.DUMMYFUNCTION("""COMPUTED_VALUE"""),"https://drive.google.com/file/d/1Z2MXX1CDQKNpCY66evAONKlkKkyKyN5x/view?usp=drivesdk")</f>
        <v>https://drive.google.com/file/d/1Z2MXX1CDQKNpCY66evAONKlkKkyKyN5x/view?usp=drivesdk</v>
      </c>
    </row>
    <row r="2754">
      <c r="A2754" s="15">
        <f>IFERROR(__xludf.DUMMYFUNCTION("""COMPUTED_VALUE"""),45083.0)</f>
        <v>45083</v>
      </c>
      <c r="B2754" s="16" t="str">
        <f>IFERROR(__xludf.DUMMYFUNCTION("""COMPUTED_VALUE"""),"Deivi Alejandro Quintero Corrales")</f>
        <v>Deivi Alejandro Quintero Corrales</v>
      </c>
      <c r="C2754" s="15" t="str">
        <f>IFERROR(__xludf.DUMMYFUNCTION("""COMPUTED_VALUE"""),"PEREIRA")</f>
        <v>PEREIRA</v>
      </c>
      <c r="D2754" s="15" t="str">
        <f>IFERROR(__xludf.DUMMYFUNCTION("""COMPUTED_VALUE"""),"BOGOTÁ")</f>
        <v>BOGOTÁ</v>
      </c>
      <c r="E2754" s="15" t="str">
        <f>IFERROR(__xludf.DUMMYFUNCTION("""COMPUTED_VALUE"""),"Top Spun")</f>
        <v>Top Spun</v>
      </c>
      <c r="F2754" s="17" t="str">
        <f>IFERROR(__xludf.DUMMYFUNCTION("""COMPUTED_VALUE"""),"AV LAS AMéRICAS #85-80 /  PARQUE RESIDENCIAL SAN SILVESTRE APTO 3015 / PEREIRA")</f>
        <v>AV LAS AMéRICAS #85-80 /  PARQUE RESIDENCIAL SAN SILVESTRE APTO 3015 / PEREIRA</v>
      </c>
      <c r="G2754" s="15" t="str">
        <f>IFERROR(__xludf.DUMMYFUNCTION("""COMPUTED_VALUE"""),"STEPHANY COLORADO")</f>
        <v>STEPHANY COLORADO</v>
      </c>
      <c r="H2754" s="16">
        <f>IFERROR(__xludf.DUMMYFUNCTION("""COMPUTED_VALUE"""),11295.0)</f>
        <v>11295</v>
      </c>
      <c r="I2754" s="18">
        <f>IFERROR(__xludf.DUMMYFUNCTION("""COMPUTED_VALUE"""),20.0)</f>
        <v>20</v>
      </c>
      <c r="J2754" s="18">
        <f>IFERROR(__xludf.DUMMYFUNCTION("""COMPUTED_VALUE"""),10.0)</f>
        <v>10</v>
      </c>
      <c r="K2754" s="18">
        <f>IFERROR(__xludf.DUMMYFUNCTION("""COMPUTED_VALUE"""),40.0)</f>
        <v>40</v>
      </c>
      <c r="L2754" s="17">
        <f>IFERROR(__xludf.DUMMYFUNCTION("""COMPUTED_VALUE"""),3.137239429E9)</f>
        <v>3137239429</v>
      </c>
      <c r="M2754" s="17" t="str">
        <f>IFERROR(__xludf.DUMMYFUNCTION("""COMPUTED_VALUE"""),"#REF!")</f>
        <v>#REF!</v>
      </c>
      <c r="N2754" s="17"/>
      <c r="O2754" s="17"/>
      <c r="P2754" s="17" t="b">
        <f>IFERROR(__xludf.DUMMYFUNCTION("""COMPUTED_VALUE"""),FALSE)</f>
        <v>0</v>
      </c>
      <c r="Q2754" s="20" t="str">
        <f>IFERROR(__xludf.DUMMYFUNCTION("""COMPUTED_VALUE"""),"")</f>
        <v/>
      </c>
      <c r="R2754" s="21" t="str">
        <f>IFERROR(__xludf.DUMMYFUNCTION("""COMPUTED_VALUE"""),"https://drive.google.com/file/d/1OswNveEyn_N1wapFU0fcSZDBmTQUrsx0/view?usp=drivesdk")</f>
        <v>https://drive.google.com/file/d/1OswNveEyn_N1wapFU0fcSZDBmTQUrsx0/view?usp=drivesdk</v>
      </c>
    </row>
    <row r="2755">
      <c r="A2755" s="15">
        <f>IFERROR(__xludf.DUMMYFUNCTION("""COMPUTED_VALUE"""),45083.0)</f>
        <v>45083</v>
      </c>
      <c r="B2755" s="16" t="str">
        <f>IFERROR(__xludf.DUMMYFUNCTION("""COMPUTED_VALUE"""),"Deivi Alejandro Quintero Corrales")</f>
        <v>Deivi Alejandro Quintero Corrales</v>
      </c>
      <c r="C2755" s="15" t="str">
        <f>IFERROR(__xludf.DUMMYFUNCTION("""COMPUTED_VALUE"""),"PEREIRA")</f>
        <v>PEREIRA</v>
      </c>
      <c r="D2755" s="15" t="str">
        <f>IFERROR(__xludf.DUMMYFUNCTION("""COMPUTED_VALUE"""),"MEDELLÍN")</f>
        <v>MEDELLÍN</v>
      </c>
      <c r="E2755" s="15" t="str">
        <f>IFERROR(__xludf.DUMMYFUNCTION("""COMPUTED_VALUE"""),"Baby Chef")</f>
        <v>Baby Chef</v>
      </c>
      <c r="F2755" s="17" t="str">
        <f>IFERROR(__xludf.DUMMYFUNCTION("""COMPUTED_VALUE"""),"Calle 8 bis no 15- 51, edifc parque central  / apto 1602 / pereira")</f>
        <v>Calle 8 bis no 15- 51, edifc parque central  / apto 1602 / pereira</v>
      </c>
      <c r="G2755" s="15" t="str">
        <f>IFERROR(__xludf.DUMMYFUNCTION("""COMPUTED_VALUE"""),"Luisa Holguin")</f>
        <v>Luisa Holguin</v>
      </c>
      <c r="H2755" s="16">
        <f>IFERROR(__xludf.DUMMYFUNCTION("""COMPUTED_VALUE"""),11382.0)</f>
        <v>11382</v>
      </c>
      <c r="I2755" s="18">
        <f>IFERROR(__xludf.DUMMYFUNCTION("""COMPUTED_VALUE"""),8.0)</f>
        <v>8</v>
      </c>
      <c r="J2755" s="18">
        <f>IFERROR(__xludf.DUMMYFUNCTION("""COMPUTED_VALUE"""),16.0)</f>
        <v>16</v>
      </c>
      <c r="K2755" s="18">
        <f>IFERROR(__xludf.DUMMYFUNCTION("""COMPUTED_VALUE"""),20.0)</f>
        <v>20</v>
      </c>
      <c r="L2755" s="17">
        <f>IFERROR(__xludf.DUMMYFUNCTION("""COMPUTED_VALUE"""),3.008427381E9)</f>
        <v>3008427381</v>
      </c>
      <c r="M2755" s="17" t="str">
        <f>IFERROR(__xludf.DUMMYFUNCTION("""COMPUTED_VALUE"""),"#REF!")</f>
        <v>#REF!</v>
      </c>
      <c r="N2755" s="17"/>
      <c r="O2755" s="17"/>
      <c r="P2755" s="17" t="b">
        <f>IFERROR(__xludf.DUMMYFUNCTION("""COMPUTED_VALUE"""),FALSE)</f>
        <v>0</v>
      </c>
      <c r="Q2755" s="20" t="str">
        <f>IFERROR(__xludf.DUMMYFUNCTION("""COMPUTED_VALUE"""),"")</f>
        <v/>
      </c>
      <c r="R2755" s="21" t="str">
        <f>IFERROR(__xludf.DUMMYFUNCTION("""COMPUTED_VALUE"""),"https://drive.google.com/file/d/15EKpwlkkl7u8mO1AS_CVPv92eIGnI-N0/view?usp=drivesdk")</f>
        <v>https://drive.google.com/file/d/15EKpwlkkl7u8mO1AS_CVPv92eIGnI-N0/view?usp=drivesdk</v>
      </c>
    </row>
    <row r="2756">
      <c r="A2756" s="15">
        <f>IFERROR(__xludf.DUMMYFUNCTION("""COMPUTED_VALUE"""),45083.0)</f>
        <v>45083</v>
      </c>
      <c r="B2756" s="16" t="str">
        <f>IFERROR(__xludf.DUMMYFUNCTION("""COMPUTED_VALUE"""),"Deivi Alejandro Quintero Corrales")</f>
        <v>Deivi Alejandro Quintero Corrales</v>
      </c>
      <c r="C2756" s="15" t="str">
        <f>IFERROR(__xludf.DUMMYFUNCTION("""COMPUTED_VALUE"""),"PEREIRA")</f>
        <v>PEREIRA</v>
      </c>
      <c r="D2756" s="15" t="str">
        <f>IFERROR(__xludf.DUMMYFUNCTION("""COMPUTED_VALUE"""),"MEDELLÍN")</f>
        <v>MEDELLÍN</v>
      </c>
      <c r="E2756" s="15" t="str">
        <f>IFERROR(__xludf.DUMMYFUNCTION("""COMPUTED_VALUE"""),"Goyo Todo por ellos")</f>
        <v>Goyo Todo por ellos</v>
      </c>
      <c r="F2756" s="17" t="str">
        <f>IFERROR(__xludf.DUMMYFUNCTION("""COMPUTED_VALUE"""),"Calle 12 Bis #16 18  / Casa Hoja Comunidad Consciente  / Barrio Pinares")</f>
        <v>Calle 12 Bis #16 18  / Casa Hoja Comunidad Consciente  / Barrio Pinares</v>
      </c>
      <c r="G2756" s="15" t="str">
        <f>IFERROR(__xludf.DUMMYFUNCTION("""COMPUTED_VALUE"""),"Hector Hernandez")</f>
        <v>Hector Hernandez</v>
      </c>
      <c r="H2756" s="16">
        <f>IFERROR(__xludf.DUMMYFUNCTION("""COMPUTED_VALUE"""),11384.0)</f>
        <v>11384</v>
      </c>
      <c r="I2756" s="18">
        <f>IFERROR(__xludf.DUMMYFUNCTION("""COMPUTED_VALUE"""),20.0)</f>
        <v>20</v>
      </c>
      <c r="J2756" s="18">
        <f>IFERROR(__xludf.DUMMYFUNCTION("""COMPUTED_VALUE"""),40.0)</f>
        <v>40</v>
      </c>
      <c r="K2756" s="18">
        <f>IFERROR(__xludf.DUMMYFUNCTION("""COMPUTED_VALUE"""),40.0)</f>
        <v>40</v>
      </c>
      <c r="L2756" s="17">
        <f>IFERROR(__xludf.DUMMYFUNCTION("""COMPUTED_VALUE"""),3.18591145E9)</f>
        <v>3185911450</v>
      </c>
      <c r="M2756" s="17" t="str">
        <f>IFERROR(__xludf.DUMMYFUNCTION("""COMPUTED_VALUE"""),"#REF!")</f>
        <v>#REF!</v>
      </c>
      <c r="N2756" s="17"/>
      <c r="O2756" s="17"/>
      <c r="P2756" s="17" t="b">
        <f>IFERROR(__xludf.DUMMYFUNCTION("""COMPUTED_VALUE"""),FALSE)</f>
        <v>0</v>
      </c>
      <c r="Q2756" s="20" t="str">
        <f>IFERROR(__xludf.DUMMYFUNCTION("""COMPUTED_VALUE"""),"")</f>
        <v/>
      </c>
      <c r="R2756" s="21" t="str">
        <f>IFERROR(__xludf.DUMMYFUNCTION("""COMPUTED_VALUE"""),"https://drive.google.com/file/d/1yJ2tSZQ1kO3-G9XGvtkoImitpJ2262J5/view?usp=drivesdk")</f>
        <v>https://drive.google.com/file/d/1yJ2tSZQ1kO3-G9XGvtkoImitpJ2262J5/view?usp=drivesdk</v>
      </c>
    </row>
    <row r="2757">
      <c r="A2757" s="15">
        <f>IFERROR(__xludf.DUMMYFUNCTION("""COMPUTED_VALUE"""),45083.0)</f>
        <v>45083</v>
      </c>
      <c r="B2757" s="16" t="str">
        <f>IFERROR(__xludf.DUMMYFUNCTION("""COMPUTED_VALUE"""),"Deivi Alejandro Quintero Corrales")</f>
        <v>Deivi Alejandro Quintero Corrales</v>
      </c>
      <c r="C2757" s="15" t="str">
        <f>IFERROR(__xludf.DUMMYFUNCTION("""COMPUTED_VALUE"""),"PEREIRA")</f>
        <v>PEREIRA</v>
      </c>
      <c r="D2757" s="15" t="str">
        <f>IFERROR(__xludf.DUMMYFUNCTION("""COMPUTED_VALUE"""),"MEDELLÍN")</f>
        <v>MEDELLÍN</v>
      </c>
      <c r="E2757" s="15" t="str">
        <f>IFERROR(__xludf.DUMMYFUNCTION("""COMPUTED_VALUE"""),"Goyo Todo por ellos")</f>
        <v>Goyo Todo por ellos</v>
      </c>
      <c r="F2757" s="17" t="str">
        <f>IFERROR(__xludf.DUMMYFUNCTION("""COMPUTED_VALUE"""),"Calle 12 bis #16 18 / Casa Hoja Comunidad Consciente  / Barrio Pinares")</f>
        <v>Calle 12 bis #16 18 / Casa Hoja Comunidad Consciente  / Barrio Pinares</v>
      </c>
      <c r="G2757" s="15" t="str">
        <f>IFERROR(__xludf.DUMMYFUNCTION("""COMPUTED_VALUE"""),"Hector Hernandez")</f>
        <v>Hector Hernandez</v>
      </c>
      <c r="H2757" s="16">
        <f>IFERROR(__xludf.DUMMYFUNCTION("""COMPUTED_VALUE"""),11385.0)</f>
        <v>11385</v>
      </c>
      <c r="I2757" s="18">
        <f>IFERROR(__xludf.DUMMYFUNCTION("""COMPUTED_VALUE"""),11.0)</f>
        <v>11</v>
      </c>
      <c r="J2757" s="18">
        <f>IFERROR(__xludf.DUMMYFUNCTION("""COMPUTED_VALUE"""),21.0)</f>
        <v>21</v>
      </c>
      <c r="K2757" s="18">
        <f>IFERROR(__xludf.DUMMYFUNCTION("""COMPUTED_VALUE"""),16.0)</f>
        <v>16</v>
      </c>
      <c r="L2757" s="17">
        <f>IFERROR(__xludf.DUMMYFUNCTION("""COMPUTED_VALUE"""),3.18591145E9)</f>
        <v>3185911450</v>
      </c>
      <c r="M2757" s="17" t="str">
        <f>IFERROR(__xludf.DUMMYFUNCTION("""COMPUTED_VALUE"""),"#REF!")</f>
        <v>#REF!</v>
      </c>
      <c r="N2757" s="17"/>
      <c r="O2757" s="17"/>
      <c r="P2757" s="17" t="b">
        <f>IFERROR(__xludf.DUMMYFUNCTION("""COMPUTED_VALUE"""),FALSE)</f>
        <v>0</v>
      </c>
      <c r="Q2757" s="20" t="str">
        <f>IFERROR(__xludf.DUMMYFUNCTION("""COMPUTED_VALUE"""),"")</f>
        <v/>
      </c>
      <c r="R2757" s="21" t="str">
        <f>IFERROR(__xludf.DUMMYFUNCTION("""COMPUTED_VALUE"""),"https://drive.google.com/file/d/1oPfMHW4tiRyA_ZT6kH1Ayv-jOaB7nl_P/view?usp=drivesdk")</f>
        <v>https://drive.google.com/file/d/1oPfMHW4tiRyA_ZT6kH1Ayv-jOaB7nl_P/view?usp=drivesdk</v>
      </c>
    </row>
    <row r="2758">
      <c r="A2758" s="17" t="str">
        <f>IFERROR(__xludf.DUMMYFUNCTION("""COMPUTED_VALUE"""),"")</f>
        <v/>
      </c>
      <c r="B2758" s="17" t="str">
        <f>IFERROR(__xludf.DUMMYFUNCTION("""COMPUTED_VALUE"""),"")</f>
        <v/>
      </c>
      <c r="C2758" s="17" t="str">
        <f>IFERROR(__xludf.DUMMYFUNCTION("""COMPUTED_VALUE"""),"")</f>
        <v/>
      </c>
      <c r="D2758" s="17" t="str">
        <f>IFERROR(__xludf.DUMMYFUNCTION("""COMPUTED_VALUE"""),"")</f>
        <v/>
      </c>
      <c r="E2758" s="17" t="str">
        <f>IFERROR(__xludf.DUMMYFUNCTION("""COMPUTED_VALUE"""),"")</f>
        <v/>
      </c>
      <c r="F2758" s="17" t="str">
        <f>IFERROR(__xludf.DUMMYFUNCTION("""COMPUTED_VALUE"""),"")</f>
        <v/>
      </c>
      <c r="G2758" s="17" t="str">
        <f>IFERROR(__xludf.DUMMYFUNCTION("""COMPUTED_VALUE"""),"")</f>
        <v/>
      </c>
      <c r="H2758" s="17" t="str">
        <f>IFERROR(__xludf.DUMMYFUNCTION("""COMPUTED_VALUE"""),"")</f>
        <v/>
      </c>
      <c r="I2758" s="17" t="str">
        <f>IFERROR(__xludf.DUMMYFUNCTION("""COMPUTED_VALUE"""),"")</f>
        <v/>
      </c>
      <c r="J2758" s="17" t="str">
        <f>IFERROR(__xludf.DUMMYFUNCTION("""COMPUTED_VALUE"""),"")</f>
        <v/>
      </c>
      <c r="K2758" s="17" t="str">
        <f>IFERROR(__xludf.DUMMYFUNCTION("""COMPUTED_VALUE"""),"")</f>
        <v/>
      </c>
      <c r="L2758" s="17" t="str">
        <f>IFERROR(__xludf.DUMMYFUNCTION("""COMPUTED_VALUE"""),"")</f>
        <v/>
      </c>
      <c r="M2758" s="17" t="str">
        <f>IFERROR(__xludf.DUMMYFUNCTION("""COMPUTED_VALUE"""),"")</f>
        <v/>
      </c>
      <c r="N2758" s="17" t="str">
        <f>IFERROR(__xludf.DUMMYFUNCTION("""COMPUTED_VALUE"""),"")</f>
        <v/>
      </c>
      <c r="O2758" s="17" t="str">
        <f>IFERROR(__xludf.DUMMYFUNCTION("""COMPUTED_VALUE"""),"")</f>
        <v/>
      </c>
      <c r="P2758" s="17" t="str">
        <f>IFERROR(__xludf.DUMMYFUNCTION("""COMPUTED_VALUE"""),"")</f>
        <v/>
      </c>
      <c r="Q2758" s="17" t="str">
        <f>IFERROR(__xludf.DUMMYFUNCTION("""COMPUTED_VALUE"""),"")</f>
        <v/>
      </c>
      <c r="R2758" s="17" t="str">
        <f>IFERROR(__xludf.DUMMYFUNCTION("""COMPUTED_VALUE"""),"")</f>
        <v/>
      </c>
    </row>
    <row r="2759">
      <c r="A2759" s="15">
        <f>IFERROR(__xludf.DUMMYFUNCTION("""COMPUTED_VALUE"""),45083.0)</f>
        <v>45083</v>
      </c>
      <c r="B2759" s="16" t="str">
        <f>IFERROR(__xludf.DUMMYFUNCTION("""COMPUTED_VALUE"""),"Duvan Gabriel Alvarez Giron")</f>
        <v>Duvan Gabriel Alvarez Giron</v>
      </c>
      <c r="C2759" s="15" t="str">
        <f>IFERROR(__xludf.DUMMYFUNCTION("""COMPUTED_VALUE"""),"FLORIDABLANCA")</f>
        <v>FLORIDABLANCA</v>
      </c>
      <c r="D2759" s="15" t="str">
        <f>IFERROR(__xludf.DUMMYFUNCTION("""COMPUTED_VALUE"""),"BOGOTÁ")</f>
        <v>BOGOTÁ</v>
      </c>
      <c r="E2759" s="15" t="str">
        <f>IFERROR(__xludf.DUMMYFUNCTION("""COMPUTED_VALUE"""),"Lunchy Kids")</f>
        <v>Lunchy Kids</v>
      </c>
      <c r="F2759" s="17" t="str">
        <f>IFERROR(__xludf.DUMMYFUNCTION("""COMPUTED_VALUE"""),"cll 157#134-137   / conjunto Arawak torre 4 apto 403  / Cañaveral floridablanca")</f>
        <v>cll 157#134-137   / conjunto Arawak torre 4 apto 403  / Cañaveral floridablanca</v>
      </c>
      <c r="G2759" s="15" t="str">
        <f>IFERROR(__xludf.DUMMYFUNCTION("""COMPUTED_VALUE"""),"Paola Valdivieso")</f>
        <v>Paola Valdivieso</v>
      </c>
      <c r="H2759" s="16">
        <f>IFERROR(__xludf.DUMMYFUNCTION("""COMPUTED_VALUE"""),11288.0)</f>
        <v>11288</v>
      </c>
      <c r="I2759" s="18">
        <f>IFERROR(__xludf.DUMMYFUNCTION("""COMPUTED_VALUE"""),14.0)</f>
        <v>14</v>
      </c>
      <c r="J2759" s="18">
        <f>IFERROR(__xludf.DUMMYFUNCTION("""COMPUTED_VALUE"""),28.0)</f>
        <v>28</v>
      </c>
      <c r="K2759" s="18">
        <f>IFERROR(__xludf.DUMMYFUNCTION("""COMPUTED_VALUE"""),20.0)</f>
        <v>20</v>
      </c>
      <c r="L2759" s="17">
        <f>IFERROR(__xludf.DUMMYFUNCTION("""COMPUTED_VALUE"""),3.002036474E9)</f>
        <v>3002036474</v>
      </c>
      <c r="M2759" s="17" t="str">
        <f>IFERROR(__xludf.DUMMYFUNCTION("""COMPUTED_VALUE"""),"#REF!")</f>
        <v>#REF!</v>
      </c>
      <c r="N2759" s="17"/>
      <c r="O2759" s="17"/>
      <c r="P2759" s="17" t="b">
        <f>IFERROR(__xludf.DUMMYFUNCTION("""COMPUTED_VALUE"""),FALSE)</f>
        <v>0</v>
      </c>
      <c r="Q2759" s="20" t="str">
        <f>IFERROR(__xludf.DUMMYFUNCTION("""COMPUTED_VALUE"""),"")</f>
        <v/>
      </c>
      <c r="R2759" s="21" t="str">
        <f>IFERROR(__xludf.DUMMYFUNCTION("""COMPUTED_VALUE"""),"https://drive.google.com/file/d/1zUBexItqRFyW3amYCLXP-PkILlOZT_LT/view?usp=drivesdk")</f>
        <v>https://drive.google.com/file/d/1zUBexItqRFyW3amYCLXP-PkILlOZT_LT/view?usp=drivesdk</v>
      </c>
    </row>
    <row r="2760">
      <c r="A2760" s="15">
        <f>IFERROR(__xludf.DUMMYFUNCTION("""COMPUTED_VALUE"""),45083.0)</f>
        <v>45083</v>
      </c>
      <c r="B2760" s="16" t="str">
        <f>IFERROR(__xludf.DUMMYFUNCTION("""COMPUTED_VALUE"""),"Duvan Gabriel Alvarez Giron")</f>
        <v>Duvan Gabriel Alvarez Giron</v>
      </c>
      <c r="C2760" s="15" t="str">
        <f>IFERROR(__xludf.DUMMYFUNCTION("""COMPUTED_VALUE"""),"GIRÓN")</f>
        <v>GIRÓN</v>
      </c>
      <c r="D2760" s="15" t="str">
        <f>IFERROR(__xludf.DUMMYFUNCTION("""COMPUTED_VALUE"""),"BOGOTÁ")</f>
        <v>BOGOTÁ</v>
      </c>
      <c r="E2760" s="15" t="str">
        <f>IFERROR(__xludf.DUMMYFUNCTION("""COMPUTED_VALUE"""),"Loomifoods")</f>
        <v>Loomifoods</v>
      </c>
      <c r="F2760" s="17" t="str">
        <f>IFERROR(__xludf.DUMMYFUNCTION("""COMPUTED_VALUE"""),"Cra 35bis no. 18a - 09 / Torre 2, apto 404 / Girón")</f>
        <v>Cra 35bis no. 18a - 09 / Torre 2, apto 404 / Girón</v>
      </c>
      <c r="G2760" s="15" t="str">
        <f>IFERROR(__xludf.DUMMYFUNCTION("""COMPUTED_VALUE"""),"Viviana Barahona")</f>
        <v>Viviana Barahona</v>
      </c>
      <c r="H2760" s="16">
        <f>IFERROR(__xludf.DUMMYFUNCTION("""COMPUTED_VALUE"""),11364.0)</f>
        <v>11364</v>
      </c>
      <c r="I2760" s="18">
        <f>IFERROR(__xludf.DUMMYFUNCTION("""COMPUTED_VALUE"""),20.0)</f>
        <v>20</v>
      </c>
      <c r="J2760" s="18">
        <f>IFERROR(__xludf.DUMMYFUNCTION("""COMPUTED_VALUE"""),10.0)</f>
        <v>10</v>
      </c>
      <c r="K2760" s="18">
        <f>IFERROR(__xludf.DUMMYFUNCTION("""COMPUTED_VALUE"""),16.0)</f>
        <v>16</v>
      </c>
      <c r="L2760" s="17">
        <f>IFERROR(__xludf.DUMMYFUNCTION("""COMPUTED_VALUE"""),3.214058334E9)</f>
        <v>3214058334</v>
      </c>
      <c r="M2760" s="17" t="str">
        <f>IFERROR(__xludf.DUMMYFUNCTION("""COMPUTED_VALUE"""),"#REF!")</f>
        <v>#REF!</v>
      </c>
      <c r="N2760" s="17"/>
      <c r="O2760" s="17"/>
      <c r="P2760" s="17" t="b">
        <f>IFERROR(__xludf.DUMMYFUNCTION("""COMPUTED_VALUE"""),FALSE)</f>
        <v>0</v>
      </c>
      <c r="Q2760" s="20" t="str">
        <f>IFERROR(__xludf.DUMMYFUNCTION("""COMPUTED_VALUE"""),"")</f>
        <v/>
      </c>
      <c r="R2760" s="21" t="str">
        <f>IFERROR(__xludf.DUMMYFUNCTION("""COMPUTED_VALUE"""),"https://drive.google.com/file/d/1WEU25nGjdoxN0cm2vmLp5_gIG2ezsSxr/view?usp=drivesdk")</f>
        <v>https://drive.google.com/file/d/1WEU25nGjdoxN0cm2vmLp5_gIG2ezsSxr/view?usp=drivesdk</v>
      </c>
    </row>
    <row r="2761">
      <c r="A2761" s="15">
        <f>IFERROR(__xludf.DUMMYFUNCTION("""COMPUTED_VALUE"""),45083.0)</f>
        <v>45083</v>
      </c>
      <c r="B2761" s="16" t="str">
        <f>IFERROR(__xludf.DUMMYFUNCTION("""COMPUTED_VALUE"""),"Duvan Gabriel Alvarez Giron")</f>
        <v>Duvan Gabriel Alvarez Giron</v>
      </c>
      <c r="C2761" s="15" t="str">
        <f>IFERROR(__xludf.DUMMYFUNCTION("""COMPUTED_VALUE"""),"IBAGUÉ")</f>
        <v>IBAGUÉ</v>
      </c>
      <c r="D2761" s="15" t="str">
        <f>IFERROR(__xludf.DUMMYFUNCTION("""COMPUTED_VALUE"""),"BOGOTÁ")</f>
        <v>BOGOTÁ</v>
      </c>
      <c r="E2761" s="15" t="str">
        <f>IFERROR(__xludf.DUMMYFUNCTION("""COMPUTED_VALUE"""),"Asociacion Agropecuaria Juana Maria")</f>
        <v>Asociacion Agropecuaria Juana Maria</v>
      </c>
      <c r="F2761" s="17" t="str">
        <f>IFERROR(__xludf.DUMMYFUNCTION("""COMPUTED_VALUE"""),"Calle 93 # 7 Sur-90 torre 8 apto 102 Conjunto Residencial Altagracia")</f>
        <v>Calle 93 # 7 Sur-90 torre 8 apto 102 Conjunto Residencial Altagracia</v>
      </c>
      <c r="G2761" s="15" t="str">
        <f>IFERROR(__xludf.DUMMYFUNCTION("""COMPUTED_VALUE"""),"Mariam Yasmin Murillo Rubio")</f>
        <v>Mariam Yasmin Murillo Rubio</v>
      </c>
      <c r="H2761" s="16">
        <f>IFERROR(__xludf.DUMMYFUNCTION("""COMPUTED_VALUE"""),11298.0)</f>
        <v>11298</v>
      </c>
      <c r="I2761" s="18">
        <f>IFERROR(__xludf.DUMMYFUNCTION("""COMPUTED_VALUE"""),12.0)</f>
        <v>12</v>
      </c>
      <c r="J2761" s="18">
        <f>IFERROR(__xludf.DUMMYFUNCTION("""COMPUTED_VALUE"""),37.0)</f>
        <v>37</v>
      </c>
      <c r="K2761" s="18">
        <f>IFERROR(__xludf.DUMMYFUNCTION("""COMPUTED_VALUE"""),20.0)</f>
        <v>20</v>
      </c>
      <c r="L2761" s="17">
        <f>IFERROR(__xludf.DUMMYFUNCTION("""COMPUTED_VALUE"""),3.105789664E9)</f>
        <v>3105789664</v>
      </c>
      <c r="M2761" s="17" t="str">
        <f>IFERROR(__xludf.DUMMYFUNCTION("""COMPUTED_VALUE"""),"#REF!")</f>
        <v>#REF!</v>
      </c>
      <c r="N2761" s="17"/>
      <c r="O2761" s="17"/>
      <c r="P2761" s="17" t="b">
        <f>IFERROR(__xludf.DUMMYFUNCTION("""COMPUTED_VALUE"""),FALSE)</f>
        <v>0</v>
      </c>
      <c r="Q2761" s="20" t="str">
        <f>IFERROR(__xludf.DUMMYFUNCTION("""COMPUTED_VALUE"""),"")</f>
        <v/>
      </c>
      <c r="R2761" s="21" t="str">
        <f>IFERROR(__xludf.DUMMYFUNCTION("""COMPUTED_VALUE"""),"https://drive.google.com/file/d/1at0B1NKZF47wC3KBkon-rR3N14Akdm9J/view?usp=drivesdk")</f>
        <v>https://drive.google.com/file/d/1at0B1NKZF47wC3KBkon-rR3N14Akdm9J/view?usp=drivesdk</v>
      </c>
    </row>
    <row r="2762">
      <c r="A2762" s="17" t="str">
        <f>IFERROR(__xludf.DUMMYFUNCTION("""COMPUTED_VALUE"""),"")</f>
        <v/>
      </c>
      <c r="B2762" s="17" t="str">
        <f>IFERROR(__xludf.DUMMYFUNCTION("""COMPUTED_VALUE"""),"")</f>
        <v/>
      </c>
      <c r="C2762" s="17" t="str">
        <f>IFERROR(__xludf.DUMMYFUNCTION("""COMPUTED_VALUE"""),"")</f>
        <v/>
      </c>
      <c r="D2762" s="17" t="str">
        <f>IFERROR(__xludf.DUMMYFUNCTION("""COMPUTED_VALUE"""),"")</f>
        <v/>
      </c>
      <c r="E2762" s="17" t="str">
        <f>IFERROR(__xludf.DUMMYFUNCTION("""COMPUTED_VALUE"""),"")</f>
        <v/>
      </c>
      <c r="F2762" s="17" t="str">
        <f>IFERROR(__xludf.DUMMYFUNCTION("""COMPUTED_VALUE"""),"")</f>
        <v/>
      </c>
      <c r="G2762" s="17" t="str">
        <f>IFERROR(__xludf.DUMMYFUNCTION("""COMPUTED_VALUE"""),"")</f>
        <v/>
      </c>
      <c r="H2762" s="17" t="str">
        <f>IFERROR(__xludf.DUMMYFUNCTION("""COMPUTED_VALUE"""),"")</f>
        <v/>
      </c>
      <c r="I2762" s="17" t="str">
        <f>IFERROR(__xludf.DUMMYFUNCTION("""COMPUTED_VALUE"""),"")</f>
        <v/>
      </c>
      <c r="J2762" s="17" t="str">
        <f>IFERROR(__xludf.DUMMYFUNCTION("""COMPUTED_VALUE"""),"")</f>
        <v/>
      </c>
      <c r="K2762" s="17" t="str">
        <f>IFERROR(__xludf.DUMMYFUNCTION("""COMPUTED_VALUE"""),"")</f>
        <v/>
      </c>
      <c r="L2762" s="17" t="str">
        <f>IFERROR(__xludf.DUMMYFUNCTION("""COMPUTED_VALUE"""),"")</f>
        <v/>
      </c>
      <c r="M2762" s="17" t="str">
        <f>IFERROR(__xludf.DUMMYFUNCTION("""COMPUTED_VALUE"""),"")</f>
        <v/>
      </c>
      <c r="N2762" s="17" t="str">
        <f>IFERROR(__xludf.DUMMYFUNCTION("""COMPUTED_VALUE"""),"")</f>
        <v/>
      </c>
      <c r="O2762" s="17" t="str">
        <f>IFERROR(__xludf.DUMMYFUNCTION("""COMPUTED_VALUE"""),"")</f>
        <v/>
      </c>
      <c r="P2762" s="17" t="str">
        <f>IFERROR(__xludf.DUMMYFUNCTION("""COMPUTED_VALUE"""),"")</f>
        <v/>
      </c>
      <c r="Q2762" s="17" t="str">
        <f>IFERROR(__xludf.DUMMYFUNCTION("""COMPUTED_VALUE"""),"")</f>
        <v/>
      </c>
      <c r="R2762" s="17" t="str">
        <f>IFERROR(__xludf.DUMMYFUNCTION("""COMPUTED_VALUE"""),"")</f>
        <v/>
      </c>
    </row>
    <row r="2763">
      <c r="A2763" s="15">
        <f>IFERROR(__xludf.DUMMYFUNCTION("""COMPUTED_VALUE"""),45083.0)</f>
        <v>45083</v>
      </c>
      <c r="B2763" s="16" t="str">
        <f>IFERROR(__xludf.DUMMYFUNCTION("""COMPUTED_VALUE"""),"Envia")</f>
        <v>Envia</v>
      </c>
      <c r="C2763" s="15" t="str">
        <f>IFERROR(__xludf.DUMMYFUNCTION("""COMPUTED_VALUE"""),"BUCARAMANGA")</f>
        <v>BUCARAMANGA</v>
      </c>
      <c r="D2763" s="15" t="str">
        <f>IFERROR(__xludf.DUMMYFUNCTION("""COMPUTED_VALUE"""),"MEDELLÍN")</f>
        <v>MEDELLÍN</v>
      </c>
      <c r="E2763" s="15" t="str">
        <f>IFERROR(__xludf.DUMMYFUNCTION("""COMPUTED_VALUE"""),"Baby Chef")</f>
        <v>Baby Chef</v>
      </c>
      <c r="F2763" s="17" t="str">
        <f>IFERROR(__xludf.DUMMYFUNCTION("""COMPUTED_VALUE"""),"Carrera 36 no 36 - 56 apto 505  / edificio prado onix aparatamiento 505  / barrio el prado")</f>
        <v>Carrera 36 no 36 - 56 apto 505  / edificio prado onix aparatamiento 505  / barrio el prado</v>
      </c>
      <c r="G2763" s="15" t="str">
        <f>IFERROR(__xludf.DUMMYFUNCTION("""COMPUTED_VALUE"""),"Diana Rey")</f>
        <v>Diana Rey</v>
      </c>
      <c r="H2763" s="16">
        <f>IFERROR(__xludf.DUMMYFUNCTION("""COMPUTED_VALUE"""),11380.0)</f>
        <v>11380</v>
      </c>
      <c r="I2763" s="18">
        <f>IFERROR(__xludf.DUMMYFUNCTION("""COMPUTED_VALUE"""),10.0)</f>
        <v>10</v>
      </c>
      <c r="J2763" s="18">
        <f>IFERROR(__xludf.DUMMYFUNCTION("""COMPUTED_VALUE"""),20.0)</f>
        <v>20</v>
      </c>
      <c r="K2763" s="18">
        <f>IFERROR(__xludf.DUMMYFUNCTION("""COMPUTED_VALUE"""),20.0)</f>
        <v>20</v>
      </c>
      <c r="L2763" s="17">
        <f>IFERROR(__xludf.DUMMYFUNCTION("""COMPUTED_VALUE"""),3.175881076E9)</f>
        <v>3175881076</v>
      </c>
      <c r="M2763" s="17" t="str">
        <f>IFERROR(__xludf.DUMMYFUNCTION("""COMPUTED_VALUE"""),"#REF!")</f>
        <v>#REF!</v>
      </c>
      <c r="N2763" s="17"/>
      <c r="O2763" s="17"/>
      <c r="P2763" s="17" t="b">
        <f>IFERROR(__xludf.DUMMYFUNCTION("""COMPUTED_VALUE"""),FALSE)</f>
        <v>0</v>
      </c>
      <c r="Q2763" s="20" t="str">
        <f>IFERROR(__xludf.DUMMYFUNCTION("""COMPUTED_VALUE"""),"")</f>
        <v/>
      </c>
      <c r="R2763" s="21" t="str">
        <f>IFERROR(__xludf.DUMMYFUNCTION("""COMPUTED_VALUE"""),"https://drive.google.com/file/d/1jt4PfeneD5Sfo7TnzwwyRynnydDGcK6s/view?usp=drivesdk")</f>
        <v>https://drive.google.com/file/d/1jt4PfeneD5Sfo7TnzwwyRynnydDGcK6s/view?usp=drivesdk</v>
      </c>
    </row>
    <row r="2764">
      <c r="A2764" s="15">
        <f>IFERROR(__xludf.DUMMYFUNCTION("""COMPUTED_VALUE"""),45083.0)</f>
        <v>45083</v>
      </c>
      <c r="B2764" s="16" t="str">
        <f>IFERROR(__xludf.DUMMYFUNCTION("""COMPUTED_VALUE"""),"Envia")</f>
        <v>Envia</v>
      </c>
      <c r="C2764" s="15" t="str">
        <f>IFERROR(__xludf.DUMMYFUNCTION("""COMPUTED_VALUE"""),"CALI")</f>
        <v>CALI</v>
      </c>
      <c r="D2764" s="15" t="str">
        <f>IFERROR(__xludf.DUMMYFUNCTION("""COMPUTED_VALUE"""),"BOGOTÁ")</f>
        <v>BOGOTÁ</v>
      </c>
      <c r="E2764" s="15" t="str">
        <f>IFERROR(__xludf.DUMMYFUNCTION("""COMPUTED_VALUE"""),"Loomifoods")</f>
        <v>Loomifoods</v>
      </c>
      <c r="F2764" s="17" t="str">
        <f>IFERROR(__xludf.DUMMYFUNCTION("""COMPUTED_VALUE"""),"Av 5c no. 48N - 49 / apto 503, ED Juan Pablo / Barrio La Flora")</f>
        <v>Av 5c no. 48N - 49 / apto 503, ED Juan Pablo / Barrio La Flora</v>
      </c>
      <c r="G2764" s="15" t="str">
        <f>IFERROR(__xludf.DUMMYFUNCTION("""COMPUTED_VALUE"""),"NAtalia SAndoval")</f>
        <v>NAtalia SAndoval</v>
      </c>
      <c r="H2764" s="16">
        <f>IFERROR(__xludf.DUMMYFUNCTION("""COMPUTED_VALUE"""),11363.0)</f>
        <v>11363</v>
      </c>
      <c r="I2764" s="18">
        <f>IFERROR(__xludf.DUMMYFUNCTION("""COMPUTED_VALUE"""),20.0)</f>
        <v>20</v>
      </c>
      <c r="J2764" s="18">
        <f>IFERROR(__xludf.DUMMYFUNCTION("""COMPUTED_VALUE"""),10.0)</f>
        <v>10</v>
      </c>
      <c r="K2764" s="18">
        <f>IFERROR(__xludf.DUMMYFUNCTION("""COMPUTED_VALUE"""),16.0)</f>
        <v>16</v>
      </c>
      <c r="L2764" s="17">
        <f>IFERROR(__xludf.DUMMYFUNCTION("""COMPUTED_VALUE"""),3.045455504E9)</f>
        <v>3045455504</v>
      </c>
      <c r="M2764" s="17" t="str">
        <f>IFERROR(__xludf.DUMMYFUNCTION("""COMPUTED_VALUE"""),"#REF!")</f>
        <v>#REF!</v>
      </c>
      <c r="N2764" s="17"/>
      <c r="O2764" s="17"/>
      <c r="P2764" s="17" t="b">
        <f>IFERROR(__xludf.DUMMYFUNCTION("""COMPUTED_VALUE"""),FALSE)</f>
        <v>0</v>
      </c>
      <c r="Q2764" s="20" t="str">
        <f>IFERROR(__xludf.DUMMYFUNCTION("""COMPUTED_VALUE"""),"")</f>
        <v/>
      </c>
      <c r="R2764" s="21" t="str">
        <f>IFERROR(__xludf.DUMMYFUNCTION("""COMPUTED_VALUE"""),"https://drive.google.com/file/d/1Kx2zBKyKD2w-byf3LyicGMb91Q4ByeA5/view?usp=drivesdk")</f>
        <v>https://drive.google.com/file/d/1Kx2zBKyKD2w-byf3LyicGMb91Q4ByeA5/view?usp=drivesdk</v>
      </c>
    </row>
    <row r="2765">
      <c r="A2765" s="15">
        <f>IFERROR(__xludf.DUMMYFUNCTION("""COMPUTED_VALUE"""),45083.0)</f>
        <v>45083</v>
      </c>
      <c r="B2765" s="16" t="str">
        <f>IFERROR(__xludf.DUMMYFUNCTION("""COMPUTED_VALUE"""),"Envia")</f>
        <v>Envia</v>
      </c>
      <c r="C2765" s="15" t="str">
        <f>IFERROR(__xludf.DUMMYFUNCTION("""COMPUTED_VALUE"""),"IBAGUÉ")</f>
        <v>IBAGUÉ</v>
      </c>
      <c r="D2765" s="15" t="str">
        <f>IFERROR(__xludf.DUMMYFUNCTION("""COMPUTED_VALUE"""),"BOGOTÁ")</f>
        <v>BOGOTÁ</v>
      </c>
      <c r="E2765" s="15" t="str">
        <f>IFERROR(__xludf.DUMMYFUNCTION("""COMPUTED_VALUE"""),"Evamazzita")</f>
        <v>Evamazzita</v>
      </c>
      <c r="F2765" s="17" t="str">
        <f>IFERROR(__xludf.DUMMYFUNCTION("""COMPUTED_VALUE"""),"CARRERA 11 A # 35 - 62 / N/A / BARRIO GAITÁN PARTE ALTA")</f>
        <v>CARRERA 11 A # 35 - 62 / N/A / BARRIO GAITÁN PARTE ALTA</v>
      </c>
      <c r="G2765" s="15" t="str">
        <f>IFERROR(__xludf.DUMMYFUNCTION("""COMPUTED_VALUE"""),"JORGE BERNARDO TORRES")</f>
        <v>JORGE BERNARDO TORRES</v>
      </c>
      <c r="H2765" s="16">
        <f>IFERROR(__xludf.DUMMYFUNCTION("""COMPUTED_VALUE"""),11361.0)</f>
        <v>11361</v>
      </c>
      <c r="I2765" s="18">
        <f>IFERROR(__xludf.DUMMYFUNCTION("""COMPUTED_VALUE"""),8.0)</f>
        <v>8</v>
      </c>
      <c r="J2765" s="18">
        <f>IFERROR(__xludf.DUMMYFUNCTION("""COMPUTED_VALUE"""),37.0)</f>
        <v>37</v>
      </c>
      <c r="K2765" s="18">
        <f>IFERROR(__xludf.DUMMYFUNCTION("""COMPUTED_VALUE"""),23.0)</f>
        <v>23</v>
      </c>
      <c r="L2765" s="17">
        <f>IFERROR(__xludf.DUMMYFUNCTION("""COMPUTED_VALUE"""),3.144530156E9)</f>
        <v>3144530156</v>
      </c>
      <c r="M2765" s="17" t="str">
        <f>IFERROR(__xludf.DUMMYFUNCTION("""COMPUTED_VALUE"""),"#REF!")</f>
        <v>#REF!</v>
      </c>
      <c r="N2765" s="17"/>
      <c r="O2765" s="17"/>
      <c r="P2765" s="17" t="b">
        <f>IFERROR(__xludf.DUMMYFUNCTION("""COMPUTED_VALUE"""),FALSE)</f>
        <v>0</v>
      </c>
      <c r="Q2765" s="20" t="str">
        <f>IFERROR(__xludf.DUMMYFUNCTION("""COMPUTED_VALUE"""),"")</f>
        <v/>
      </c>
      <c r="R2765" s="21" t="str">
        <f>IFERROR(__xludf.DUMMYFUNCTION("""COMPUTED_VALUE"""),"https://drive.google.com/file/d/1ixHAmKkF2GCBl-s7_PLJM7rIMKYC5M7j/view?usp=drivesdk")</f>
        <v>https://drive.google.com/file/d/1ixHAmKkF2GCBl-s7_PLJM7rIMKYC5M7j/view?usp=drivesdk</v>
      </c>
    </row>
    <row r="2766">
      <c r="A2766" s="15">
        <f>IFERROR(__xludf.DUMMYFUNCTION("""COMPUTED_VALUE"""),45083.0)</f>
        <v>45083</v>
      </c>
      <c r="B2766" s="16" t="str">
        <f>IFERROR(__xludf.DUMMYFUNCTION("""COMPUTED_VALUE"""),"Envia")</f>
        <v>Envia</v>
      </c>
      <c r="C2766" s="15" t="str">
        <f>IFERROR(__xludf.DUMMYFUNCTION("""COMPUTED_VALUE"""),"IBAGUÉ")</f>
        <v>IBAGUÉ</v>
      </c>
      <c r="D2766" s="15" t="str">
        <f>IFERROR(__xludf.DUMMYFUNCTION("""COMPUTED_VALUE"""),"BOGOTÁ")</f>
        <v>BOGOTÁ</v>
      </c>
      <c r="E2766" s="15" t="str">
        <f>IFERROR(__xludf.DUMMYFUNCTION("""COMPUTED_VALUE"""),"Lunchy Kids")</f>
        <v>Lunchy Kids</v>
      </c>
      <c r="F2766" s="17" t="str">
        <f>IFERROR(__xludf.DUMMYFUNCTION("""COMPUTED_VALUE"""),"Cll 47 # 4-27  / Edf ladera de piedra pintada - Apto 1207-1  / Barrio Piedra pintada")</f>
        <v>Cll 47 # 4-27  / Edf ladera de piedra pintada - Apto 1207-1  / Barrio Piedra pintada</v>
      </c>
      <c r="G2766" s="15" t="str">
        <f>IFERROR(__xludf.DUMMYFUNCTION("""COMPUTED_VALUE"""),"Natalia Galindo")</f>
        <v>Natalia Galindo</v>
      </c>
      <c r="H2766" s="16">
        <f>IFERROR(__xludf.DUMMYFUNCTION("""COMPUTED_VALUE"""),11283.0)</f>
        <v>11283</v>
      </c>
      <c r="I2766" s="18">
        <f>IFERROR(__xludf.DUMMYFUNCTION("""COMPUTED_VALUE"""),16.0)</f>
        <v>16</v>
      </c>
      <c r="J2766" s="18">
        <f>IFERROR(__xludf.DUMMYFUNCTION("""COMPUTED_VALUE"""),33.0)</f>
        <v>33</v>
      </c>
      <c r="K2766" s="18">
        <f>IFERROR(__xludf.DUMMYFUNCTION("""COMPUTED_VALUE"""),24.0)</f>
        <v>24</v>
      </c>
      <c r="L2766" s="17">
        <f>IFERROR(__xludf.DUMMYFUNCTION("""COMPUTED_VALUE"""),3.013375145E9)</f>
        <v>3013375145</v>
      </c>
      <c r="M2766" s="17" t="str">
        <f>IFERROR(__xludf.DUMMYFUNCTION("""COMPUTED_VALUE"""),"#REF!")</f>
        <v>#REF!</v>
      </c>
      <c r="N2766" s="17"/>
      <c r="O2766" s="17"/>
      <c r="P2766" s="17" t="b">
        <f>IFERROR(__xludf.DUMMYFUNCTION("""COMPUTED_VALUE"""),FALSE)</f>
        <v>0</v>
      </c>
      <c r="Q2766" s="20" t="str">
        <f>IFERROR(__xludf.DUMMYFUNCTION("""COMPUTED_VALUE"""),"")</f>
        <v/>
      </c>
      <c r="R2766" s="21" t="str">
        <f>IFERROR(__xludf.DUMMYFUNCTION("""COMPUTED_VALUE"""),"https://drive.google.com/file/d/1EZMgph8HkZEPr_0MPtc6tyuRMSPm9_zG/view?usp=drivesdk")</f>
        <v>https://drive.google.com/file/d/1EZMgph8HkZEPr_0MPtc6tyuRMSPm9_zG/view?usp=drivesdk</v>
      </c>
    </row>
    <row r="2767">
      <c r="A2767" s="15">
        <f>IFERROR(__xludf.DUMMYFUNCTION("""COMPUTED_VALUE"""),45083.0)</f>
        <v>45083</v>
      </c>
      <c r="B2767" s="16" t="str">
        <f>IFERROR(__xludf.DUMMYFUNCTION("""COMPUTED_VALUE"""),"Envia")</f>
        <v>Envia</v>
      </c>
      <c r="C2767" s="15" t="str">
        <f>IFERROR(__xludf.DUMMYFUNCTION("""COMPUTED_VALUE"""),"MANIZALES")</f>
        <v>MANIZALES</v>
      </c>
      <c r="D2767" s="15" t="str">
        <f>IFERROR(__xludf.DUMMYFUNCTION("""COMPUTED_VALUE"""),"BOGOTÁ")</f>
        <v>BOGOTÁ</v>
      </c>
      <c r="E2767" s="15" t="str">
        <f>IFERROR(__xludf.DUMMYFUNCTION("""COMPUTED_VALUE"""),"Helados Socos")</f>
        <v>Helados Socos</v>
      </c>
      <c r="F2767" s="17" t="str">
        <f>IFERROR(__xludf.DUMMYFUNCTION("""COMPUTED_VALUE"""),"Cra 17 # 64 A - 106 / apto 1705 B Urapanes de bella suiza / Manizales")</f>
        <v>Cra 17 # 64 A - 106 / apto 1705 B Urapanes de bella suiza / Manizales</v>
      </c>
      <c r="G2767" s="15" t="str">
        <f>IFERROR(__xludf.DUMMYFUNCTION("""COMPUTED_VALUE"""),"Catalina Meglan")</f>
        <v>Catalina Meglan</v>
      </c>
      <c r="H2767" s="16">
        <f>IFERROR(__xludf.DUMMYFUNCTION("""COMPUTED_VALUE"""),11280.0)</f>
        <v>11280</v>
      </c>
      <c r="I2767" s="18">
        <f>IFERROR(__xludf.DUMMYFUNCTION("""COMPUTED_VALUE"""),10.0)</f>
        <v>10</v>
      </c>
      <c r="J2767" s="18">
        <f>IFERROR(__xludf.DUMMYFUNCTION("""COMPUTED_VALUE"""),10.0)</f>
        <v>10</v>
      </c>
      <c r="K2767" s="18">
        <f>IFERROR(__xludf.DUMMYFUNCTION("""COMPUTED_VALUE"""),15.0)</f>
        <v>15</v>
      </c>
      <c r="L2767" s="17">
        <f>IFERROR(__xludf.DUMMYFUNCTION("""COMPUTED_VALUE"""),3.163809892E9)</f>
        <v>3163809892</v>
      </c>
      <c r="M2767" s="17" t="str">
        <f>IFERROR(__xludf.DUMMYFUNCTION("""COMPUTED_VALUE"""),"#REF!")</f>
        <v>#REF!</v>
      </c>
      <c r="N2767" s="17"/>
      <c r="O2767" s="17"/>
      <c r="P2767" s="17" t="b">
        <f>IFERROR(__xludf.DUMMYFUNCTION("""COMPUTED_VALUE"""),FALSE)</f>
        <v>0</v>
      </c>
      <c r="Q2767" s="20" t="str">
        <f>IFERROR(__xludf.DUMMYFUNCTION("""COMPUTED_VALUE"""),"")</f>
        <v/>
      </c>
      <c r="R2767" s="21" t="str">
        <f>IFERROR(__xludf.DUMMYFUNCTION("""COMPUTED_VALUE"""),"https://drive.google.com/file/d/1YRXWha5fsfxNbp_IXFM86w5u8t_hcEtY/view?usp=drivesdk")</f>
        <v>https://drive.google.com/file/d/1YRXWha5fsfxNbp_IXFM86w5u8t_hcEtY/view?usp=drivesdk</v>
      </c>
    </row>
    <row r="2768">
      <c r="A2768" s="15">
        <f>IFERROR(__xludf.DUMMYFUNCTION("""COMPUTED_VALUE"""),45083.0)</f>
        <v>45083</v>
      </c>
      <c r="B2768" s="16" t="str">
        <f>IFERROR(__xludf.DUMMYFUNCTION("""COMPUTED_VALUE"""),"Envia")</f>
        <v>Envia</v>
      </c>
      <c r="C2768" s="15" t="str">
        <f>IFERROR(__xludf.DUMMYFUNCTION("""COMPUTED_VALUE"""),"MEDELLÍN")</f>
        <v>MEDELLÍN</v>
      </c>
      <c r="D2768" s="15" t="str">
        <f>IFERROR(__xludf.DUMMYFUNCTION("""COMPUTED_VALUE"""),"BOGOTÁ")</f>
        <v>BOGOTÁ</v>
      </c>
      <c r="E2768" s="15" t="str">
        <f>IFERROR(__xludf.DUMMYFUNCTION("""COMPUTED_VALUE"""),"Asociacion Agropecuaria Juana Maria")</f>
        <v>Asociacion Agropecuaria Juana Maria</v>
      </c>
      <c r="F2768" s="17" t="str">
        <f>IFERROR(__xludf.DUMMYFUNCTION("""COMPUTED_VALUE"""),"Carrera 15 BA # 30D-44 int 201")</f>
        <v>Carrera 15 BA # 30D-44 int 201</v>
      </c>
      <c r="G2768" s="15" t="str">
        <f>IFERROR(__xludf.DUMMYFUNCTION("""COMPUTED_VALUE"""),"Daniela Bedoya Blandon")</f>
        <v>Daniela Bedoya Blandon</v>
      </c>
      <c r="H2768" s="16">
        <f>IFERROR(__xludf.DUMMYFUNCTION("""COMPUTED_VALUE"""),11303.0)</f>
        <v>11303</v>
      </c>
      <c r="I2768" s="18">
        <f>IFERROR(__xludf.DUMMYFUNCTION("""COMPUTED_VALUE"""),21.0)</f>
        <v>21</v>
      </c>
      <c r="J2768" s="18">
        <f>IFERROR(__xludf.DUMMYFUNCTION("""COMPUTED_VALUE"""),37.0)</f>
        <v>37</v>
      </c>
      <c r="K2768" s="18">
        <f>IFERROR(__xludf.DUMMYFUNCTION("""COMPUTED_VALUE"""),30.0)</f>
        <v>30</v>
      </c>
      <c r="L2768" s="17">
        <f>IFERROR(__xludf.DUMMYFUNCTION("""COMPUTED_VALUE"""),3.14672822E9)</f>
        <v>3146728220</v>
      </c>
      <c r="M2768" s="17" t="str">
        <f>IFERROR(__xludf.DUMMYFUNCTION("""COMPUTED_VALUE"""),"#REF!")</f>
        <v>#REF!</v>
      </c>
      <c r="N2768" s="17"/>
      <c r="O2768" s="17"/>
      <c r="P2768" s="17" t="b">
        <f>IFERROR(__xludf.DUMMYFUNCTION("""COMPUTED_VALUE"""),FALSE)</f>
        <v>0</v>
      </c>
      <c r="Q2768" s="20" t="str">
        <f>IFERROR(__xludf.DUMMYFUNCTION("""COMPUTED_VALUE"""),"")</f>
        <v/>
      </c>
      <c r="R2768" s="21" t="str">
        <f>IFERROR(__xludf.DUMMYFUNCTION("""COMPUTED_VALUE"""),"https://drive.google.com/file/d/1j8uf5F_QlAhiApWLeCzcyixLxyEHf2Mo/view?usp=drivesdk")</f>
        <v>https://drive.google.com/file/d/1j8uf5F_QlAhiApWLeCzcyixLxyEHf2Mo/view?usp=drivesdk</v>
      </c>
    </row>
    <row r="2769">
      <c r="A2769" s="15">
        <f>IFERROR(__xludf.DUMMYFUNCTION("""COMPUTED_VALUE"""),45083.0)</f>
        <v>45083</v>
      </c>
      <c r="B2769" s="16" t="str">
        <f>IFERROR(__xludf.DUMMYFUNCTION("""COMPUTED_VALUE"""),"Envia")</f>
        <v>Envia</v>
      </c>
      <c r="C2769" s="15" t="str">
        <f>IFERROR(__xludf.DUMMYFUNCTION("""COMPUTED_VALUE"""),"MEDELLÍN")</f>
        <v>MEDELLÍN</v>
      </c>
      <c r="D2769" s="15" t="str">
        <f>IFERROR(__xludf.DUMMYFUNCTION("""COMPUTED_VALUE"""),"BOGOTÁ")</f>
        <v>BOGOTÁ</v>
      </c>
      <c r="E2769" s="15" t="str">
        <f>IFERROR(__xludf.DUMMYFUNCTION("""COMPUTED_VALUE"""),"Asociacion Agropecuaria Juana Maria")</f>
        <v>Asociacion Agropecuaria Juana Maria</v>
      </c>
      <c r="F2769" s="17" t="str">
        <f>IFERROR(__xludf.DUMMYFUNCTION("""COMPUTED_VALUE"""),"Carrera 15 BA # 30D-44 int 201")</f>
        <v>Carrera 15 BA # 30D-44 int 201</v>
      </c>
      <c r="G2769" s="15" t="str">
        <f>IFERROR(__xludf.DUMMYFUNCTION("""COMPUTED_VALUE"""),"Daniela Bedoya Blandon")</f>
        <v>Daniela Bedoya Blandon</v>
      </c>
      <c r="H2769" s="16">
        <f>IFERROR(__xludf.DUMMYFUNCTION("""COMPUTED_VALUE"""),11304.0)</f>
        <v>11304</v>
      </c>
      <c r="I2769" s="18">
        <f>IFERROR(__xludf.DUMMYFUNCTION("""COMPUTED_VALUE"""),12.0)</f>
        <v>12</v>
      </c>
      <c r="J2769" s="18">
        <f>IFERROR(__xludf.DUMMYFUNCTION("""COMPUTED_VALUE"""),37.0)</f>
        <v>37</v>
      </c>
      <c r="K2769" s="18">
        <f>IFERROR(__xludf.DUMMYFUNCTION("""COMPUTED_VALUE"""),24.0)</f>
        <v>24</v>
      </c>
      <c r="L2769" s="17">
        <f>IFERROR(__xludf.DUMMYFUNCTION("""COMPUTED_VALUE"""),3.14672822E9)</f>
        <v>3146728220</v>
      </c>
      <c r="M2769" s="17" t="str">
        <f>IFERROR(__xludf.DUMMYFUNCTION("""COMPUTED_VALUE"""),"#REF!")</f>
        <v>#REF!</v>
      </c>
      <c r="N2769" s="17"/>
      <c r="O2769" s="17"/>
      <c r="P2769" s="17" t="b">
        <f>IFERROR(__xludf.DUMMYFUNCTION("""COMPUTED_VALUE"""),FALSE)</f>
        <v>0</v>
      </c>
      <c r="Q2769" s="20" t="str">
        <f>IFERROR(__xludf.DUMMYFUNCTION("""COMPUTED_VALUE"""),"")</f>
        <v/>
      </c>
      <c r="R2769" s="21" t="str">
        <f>IFERROR(__xludf.DUMMYFUNCTION("""COMPUTED_VALUE"""),"https://drive.google.com/file/d/1DGywjruaptGGvgRTeEeMxX5pN_7NdA79/view?usp=drivesdk")</f>
        <v>https://drive.google.com/file/d/1DGywjruaptGGvgRTeEeMxX5pN_7NdA79/view?usp=drivesdk</v>
      </c>
    </row>
    <row r="2770">
      <c r="A2770" s="15">
        <f>IFERROR(__xludf.DUMMYFUNCTION("""COMPUTED_VALUE"""),45083.0)</f>
        <v>45083</v>
      </c>
      <c r="B2770" s="16" t="str">
        <f>IFERROR(__xludf.DUMMYFUNCTION("""COMPUTED_VALUE"""),"Envia")</f>
        <v>Envia</v>
      </c>
      <c r="C2770" s="15" t="str">
        <f>IFERROR(__xludf.DUMMYFUNCTION("""COMPUTED_VALUE"""),"MEDELLÍN")</f>
        <v>MEDELLÍN</v>
      </c>
      <c r="D2770" s="15" t="str">
        <f>IFERROR(__xludf.DUMMYFUNCTION("""COMPUTED_VALUE"""),"BOGOTÁ")</f>
        <v>BOGOTÁ</v>
      </c>
      <c r="E2770" s="15" t="str">
        <f>IFERROR(__xludf.DUMMYFUNCTION("""COMPUTED_VALUE"""),"Asociacion Agropecuaria Juana Maria")</f>
        <v>Asociacion Agropecuaria Juana Maria</v>
      </c>
      <c r="F2770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2770" s="15" t="str">
        <f>IFERROR(__xludf.DUMMYFUNCTION("""COMPUTED_VALUE"""),"Jennifer Sanchez Blandon")</f>
        <v>Jennifer Sanchez Blandon</v>
      </c>
      <c r="H2770" s="16">
        <f>IFERROR(__xludf.DUMMYFUNCTION("""COMPUTED_VALUE"""),11302.0)</f>
        <v>11302</v>
      </c>
      <c r="I2770" s="18">
        <f>IFERROR(__xludf.DUMMYFUNCTION("""COMPUTED_VALUE"""),12.0)</f>
        <v>12</v>
      </c>
      <c r="J2770" s="18">
        <f>IFERROR(__xludf.DUMMYFUNCTION("""COMPUTED_VALUE"""),37.0)</f>
        <v>37</v>
      </c>
      <c r="K2770" s="18">
        <f>IFERROR(__xludf.DUMMYFUNCTION("""COMPUTED_VALUE"""),24.0)</f>
        <v>24</v>
      </c>
      <c r="L2770" s="17">
        <f>IFERROR(__xludf.DUMMYFUNCTION("""COMPUTED_VALUE"""),3.016937674E9)</f>
        <v>3016937674</v>
      </c>
      <c r="M2770" s="17" t="str">
        <f>IFERROR(__xludf.DUMMYFUNCTION("""COMPUTED_VALUE"""),"#REF!")</f>
        <v>#REF!</v>
      </c>
      <c r="N2770" s="17"/>
      <c r="O2770" s="17"/>
      <c r="P2770" s="17" t="b">
        <f>IFERROR(__xludf.DUMMYFUNCTION("""COMPUTED_VALUE"""),FALSE)</f>
        <v>0</v>
      </c>
      <c r="Q2770" s="20" t="str">
        <f>IFERROR(__xludf.DUMMYFUNCTION("""COMPUTED_VALUE"""),"")</f>
        <v/>
      </c>
      <c r="R2770" s="21" t="str">
        <f>IFERROR(__xludf.DUMMYFUNCTION("""COMPUTED_VALUE"""),"https://drive.google.com/file/d/1o6GAqxE0I6s7LKByspunSd1xqR8oI55r/view?usp=drivesdk")</f>
        <v>https://drive.google.com/file/d/1o6GAqxE0I6s7LKByspunSd1xqR8oI55r/view?usp=drivesdk</v>
      </c>
    </row>
    <row r="2771">
      <c r="A2771" s="15">
        <f>IFERROR(__xludf.DUMMYFUNCTION("""COMPUTED_VALUE"""),45083.0)</f>
        <v>45083</v>
      </c>
      <c r="B2771" s="16" t="str">
        <f>IFERROR(__xludf.DUMMYFUNCTION("""COMPUTED_VALUE"""),"Envia")</f>
        <v>Envia</v>
      </c>
      <c r="C2771" s="15" t="str">
        <f>IFERROR(__xludf.DUMMYFUNCTION("""COMPUTED_VALUE"""),"PALMIRA")</f>
        <v>PALMIRA</v>
      </c>
      <c r="D2771" s="15" t="str">
        <f>IFERROR(__xludf.DUMMYFUNCTION("""COMPUTED_VALUE"""),"BOGOTÁ")</f>
        <v>BOGOTÁ</v>
      </c>
      <c r="E2771" s="15" t="str">
        <f>IFERROR(__xludf.DUMMYFUNCTION("""COMPUTED_VALUE"""),"Evamazzita")</f>
        <v>Evamazzita</v>
      </c>
      <c r="F2771" s="17" t="str">
        <f>IFERROR(__xludf.DUMMYFUNCTION("""COMPUTED_VALUE"""),"Calle 58 24 76  / apto 103 torre 1 conjunto el palmar de las mercedes  / PALMIRA - Barrio las mercedes")</f>
        <v>Calle 58 24 76  / apto 103 torre 1 conjunto el palmar de las mercedes  / PALMIRA - Barrio las mercedes</v>
      </c>
      <c r="G2771" s="15" t="str">
        <f>IFERROR(__xludf.DUMMYFUNCTION("""COMPUTED_VALUE"""),"NATALIA DAZA")</f>
        <v>NATALIA DAZA</v>
      </c>
      <c r="H2771" s="16">
        <f>IFERROR(__xludf.DUMMYFUNCTION("""COMPUTED_VALUE"""),11360.0)</f>
        <v>11360</v>
      </c>
      <c r="I2771" s="18">
        <f>IFERROR(__xludf.DUMMYFUNCTION("""COMPUTED_VALUE"""),10.0)</f>
        <v>10</v>
      </c>
      <c r="J2771" s="18">
        <f>IFERROR(__xludf.DUMMYFUNCTION("""COMPUTED_VALUE"""),18.0)</f>
        <v>18</v>
      </c>
      <c r="K2771" s="18">
        <f>IFERROR(__xludf.DUMMYFUNCTION("""COMPUTED_VALUE"""),22.0)</f>
        <v>22</v>
      </c>
      <c r="L2771" s="17">
        <f>IFERROR(__xludf.DUMMYFUNCTION("""COMPUTED_VALUE"""),3.004513236E9)</f>
        <v>3004513236</v>
      </c>
      <c r="M2771" s="17" t="str">
        <f>IFERROR(__xludf.DUMMYFUNCTION("""COMPUTED_VALUE"""),"#REF!")</f>
        <v>#REF!</v>
      </c>
      <c r="N2771" s="17"/>
      <c r="O2771" s="17"/>
      <c r="P2771" s="17" t="b">
        <f>IFERROR(__xludf.DUMMYFUNCTION("""COMPUTED_VALUE"""),FALSE)</f>
        <v>0</v>
      </c>
      <c r="Q2771" s="20" t="str">
        <f>IFERROR(__xludf.DUMMYFUNCTION("""COMPUTED_VALUE"""),"")</f>
        <v/>
      </c>
      <c r="R2771" s="21" t="str">
        <f>IFERROR(__xludf.DUMMYFUNCTION("""COMPUTED_VALUE"""),"https://drive.google.com/file/d/1aU0bfw-bFaZ77-f0EXpa9AIujx2iOF4q/view?usp=drivesdk")</f>
        <v>https://drive.google.com/file/d/1aU0bfw-bFaZ77-f0EXpa9AIujx2iOF4q/view?usp=drivesdk</v>
      </c>
    </row>
    <row r="2772">
      <c r="A2772" s="17" t="str">
        <f>IFERROR(__xludf.DUMMYFUNCTION("""COMPUTED_VALUE"""),"")</f>
        <v/>
      </c>
      <c r="B2772" s="17" t="str">
        <f>IFERROR(__xludf.DUMMYFUNCTION("""COMPUTED_VALUE"""),"")</f>
        <v/>
      </c>
      <c r="C2772" s="17" t="str">
        <f>IFERROR(__xludf.DUMMYFUNCTION("""COMPUTED_VALUE"""),"")</f>
        <v/>
      </c>
      <c r="D2772" s="17" t="str">
        <f>IFERROR(__xludf.DUMMYFUNCTION("""COMPUTED_VALUE"""),"")</f>
        <v/>
      </c>
      <c r="E2772" s="17" t="str">
        <f>IFERROR(__xludf.DUMMYFUNCTION("""COMPUTED_VALUE"""),"")</f>
        <v/>
      </c>
      <c r="F2772" s="17" t="str">
        <f>IFERROR(__xludf.DUMMYFUNCTION("""COMPUTED_VALUE"""),"")</f>
        <v/>
      </c>
      <c r="G2772" s="17" t="str">
        <f>IFERROR(__xludf.DUMMYFUNCTION("""COMPUTED_VALUE"""),"")</f>
        <v/>
      </c>
      <c r="H2772" s="17" t="str">
        <f>IFERROR(__xludf.DUMMYFUNCTION("""COMPUTED_VALUE"""),"")</f>
        <v/>
      </c>
      <c r="I2772" s="17" t="str">
        <f>IFERROR(__xludf.DUMMYFUNCTION("""COMPUTED_VALUE"""),"")</f>
        <v/>
      </c>
      <c r="J2772" s="17" t="str">
        <f>IFERROR(__xludf.DUMMYFUNCTION("""COMPUTED_VALUE"""),"")</f>
        <v/>
      </c>
      <c r="K2772" s="17" t="str">
        <f>IFERROR(__xludf.DUMMYFUNCTION("""COMPUTED_VALUE"""),"")</f>
        <v/>
      </c>
      <c r="L2772" s="17" t="str">
        <f>IFERROR(__xludf.DUMMYFUNCTION("""COMPUTED_VALUE"""),"")</f>
        <v/>
      </c>
      <c r="M2772" s="17" t="str">
        <f>IFERROR(__xludf.DUMMYFUNCTION("""COMPUTED_VALUE"""),"")</f>
        <v/>
      </c>
      <c r="N2772" s="17" t="str">
        <f>IFERROR(__xludf.DUMMYFUNCTION("""COMPUTED_VALUE"""),"")</f>
        <v/>
      </c>
      <c r="O2772" s="17" t="str">
        <f>IFERROR(__xludf.DUMMYFUNCTION("""COMPUTED_VALUE"""),"")</f>
        <v/>
      </c>
      <c r="P2772" s="17" t="str">
        <f>IFERROR(__xludf.DUMMYFUNCTION("""COMPUTED_VALUE"""),"")</f>
        <v/>
      </c>
      <c r="Q2772" s="17" t="str">
        <f>IFERROR(__xludf.DUMMYFUNCTION("""COMPUTED_VALUE"""),"")</f>
        <v/>
      </c>
      <c r="R2772" s="17" t="str">
        <f>IFERROR(__xludf.DUMMYFUNCTION("""COMPUTED_VALUE"""),"")</f>
        <v/>
      </c>
    </row>
    <row r="2773">
      <c r="A2773" s="15">
        <f>IFERROR(__xludf.DUMMYFUNCTION("""COMPUTED_VALUE"""),45083.0)</f>
        <v>45083</v>
      </c>
      <c r="B2773" s="16" t="str">
        <f>IFERROR(__xludf.DUMMYFUNCTION("""COMPUTED_VALUE"""),"Jhon Anderson Ceballos Hernandez")</f>
        <v>Jhon Anderson Ceballos Hernandez</v>
      </c>
      <c r="C2773" s="15" t="str">
        <f>IFERROR(__xludf.DUMMYFUNCTION("""COMPUTED_VALUE"""),"TUNJA")</f>
        <v>TUNJA</v>
      </c>
      <c r="D2773" s="15" t="str">
        <f>IFERROR(__xludf.DUMMYFUNCTION("""COMPUTED_VALUE"""),"BOGOTÁ")</f>
        <v>BOGOTÁ</v>
      </c>
      <c r="E2773" s="15" t="str">
        <f>IFERROR(__xludf.DUMMYFUNCTION("""COMPUTED_VALUE"""),"Top Spun")</f>
        <v>Top Spun</v>
      </c>
      <c r="F2773" s="17" t="str">
        <f>IFERROR(__xludf.DUMMYFUNCTION("""COMPUTED_VALUE"""),"CRA. 1 F # 40-63 / ED. MURANO APTO 204 / TUNJA")</f>
        <v>CRA. 1 F # 40-63 / ED. MURANO APTO 204 / TUNJA</v>
      </c>
      <c r="G2773" s="15" t="str">
        <f>IFERROR(__xludf.DUMMYFUNCTION("""COMPUTED_VALUE"""),"SANDRA GRIJALBA")</f>
        <v>SANDRA GRIJALBA</v>
      </c>
      <c r="H2773" s="16">
        <f>IFERROR(__xludf.DUMMYFUNCTION("""COMPUTED_VALUE"""),11290.0)</f>
        <v>11290</v>
      </c>
      <c r="I2773" s="18">
        <f>IFERROR(__xludf.DUMMYFUNCTION("""COMPUTED_VALUE"""),20.0)</f>
        <v>20</v>
      </c>
      <c r="J2773" s="18">
        <f>IFERROR(__xludf.DUMMYFUNCTION("""COMPUTED_VALUE"""),15.0)</f>
        <v>15</v>
      </c>
      <c r="K2773" s="18">
        <f>IFERROR(__xludf.DUMMYFUNCTION("""COMPUTED_VALUE"""),40.0)</f>
        <v>40</v>
      </c>
      <c r="L2773" s="17">
        <f>IFERROR(__xludf.DUMMYFUNCTION("""COMPUTED_VALUE"""),3.207676511E9)</f>
        <v>3207676511</v>
      </c>
      <c r="M2773" s="17" t="str">
        <f>IFERROR(__xludf.DUMMYFUNCTION("""COMPUTED_VALUE"""),"#REF!")</f>
        <v>#REF!</v>
      </c>
      <c r="N2773" s="17"/>
      <c r="O2773" s="17"/>
      <c r="P2773" s="17" t="b">
        <f>IFERROR(__xludf.DUMMYFUNCTION("""COMPUTED_VALUE"""),FALSE)</f>
        <v>0</v>
      </c>
      <c r="Q2773" s="20" t="str">
        <f>IFERROR(__xludf.DUMMYFUNCTION("""COMPUTED_VALUE"""),"")</f>
        <v/>
      </c>
      <c r="R2773" s="22" t="str">
        <f>IFERROR(__xludf.DUMMYFUNCTION("""COMPUTED_VALUE"""),"")</f>
        <v/>
      </c>
    </row>
    <row r="2774">
      <c r="A2774" s="15">
        <f>IFERROR(__xludf.DUMMYFUNCTION("""COMPUTED_VALUE"""),45083.0)</f>
        <v>45083</v>
      </c>
      <c r="B2774" s="16" t="str">
        <f>IFERROR(__xludf.DUMMYFUNCTION("""COMPUTED_VALUE"""),"Jhon Anderson Ceballos Hernandez")</f>
        <v>Jhon Anderson Ceballos Hernandez</v>
      </c>
      <c r="C2774" s="15" t="str">
        <f>IFERROR(__xludf.DUMMYFUNCTION("""COMPUTED_VALUE"""),"TUNJA")</f>
        <v>TUNJA</v>
      </c>
      <c r="D2774" s="15" t="str">
        <f>IFERROR(__xludf.DUMMYFUNCTION("""COMPUTED_VALUE"""),"BOGOTÁ")</f>
        <v>BOGOTÁ</v>
      </c>
      <c r="E2774" s="15" t="str">
        <f>IFERROR(__xludf.DUMMYFUNCTION("""COMPUTED_VALUE"""),"Verde Avocado")</f>
        <v>Verde Avocado</v>
      </c>
      <c r="F2774" s="17" t="str">
        <f>IFERROR(__xludf.DUMMYFUNCTION("""COMPUTED_VALUE"""),"Carrera 10 #66a-43 / Casa  / Villa del norte")</f>
        <v>Carrera 10 #66a-43 / Casa  / Villa del norte</v>
      </c>
      <c r="G2774" s="15" t="str">
        <f>IFERROR(__xludf.DUMMYFUNCTION("""COMPUTED_VALUE"""),"Zulay yurany chaparro Pérez")</f>
        <v>Zulay yurany chaparro Pérez</v>
      </c>
      <c r="H2774" s="16">
        <f>IFERROR(__xludf.DUMMYFUNCTION("""COMPUTED_VALUE"""),11325.0)</f>
        <v>11325</v>
      </c>
      <c r="I2774" s="18">
        <f>IFERROR(__xludf.DUMMYFUNCTION("""COMPUTED_VALUE"""),11.0)</f>
        <v>11</v>
      </c>
      <c r="J2774" s="18">
        <f>IFERROR(__xludf.DUMMYFUNCTION("""COMPUTED_VALUE"""),16.0)</f>
        <v>16</v>
      </c>
      <c r="K2774" s="18">
        <f>IFERROR(__xludf.DUMMYFUNCTION("""COMPUTED_VALUE"""),22.0)</f>
        <v>22</v>
      </c>
      <c r="L2774" s="17">
        <f>IFERROR(__xludf.DUMMYFUNCTION("""COMPUTED_VALUE"""),3.164934023E9)</f>
        <v>3164934023</v>
      </c>
      <c r="M2774" s="17" t="str">
        <f>IFERROR(__xludf.DUMMYFUNCTION("""COMPUTED_VALUE"""),"#REF!")</f>
        <v>#REF!</v>
      </c>
      <c r="N2774" s="17"/>
      <c r="O2774" s="17"/>
      <c r="P2774" s="17" t="b">
        <f>IFERROR(__xludf.DUMMYFUNCTION("""COMPUTED_VALUE"""),FALSE)</f>
        <v>0</v>
      </c>
      <c r="Q2774" s="20" t="str">
        <f>IFERROR(__xludf.DUMMYFUNCTION("""COMPUTED_VALUE"""),"")</f>
        <v/>
      </c>
      <c r="R2774" s="22" t="str">
        <f>IFERROR(__xludf.DUMMYFUNCTION("""COMPUTED_VALUE"""),"")</f>
        <v/>
      </c>
    </row>
    <row r="2775">
      <c r="A2775" s="17" t="str">
        <f>IFERROR(__xludf.DUMMYFUNCTION("""COMPUTED_VALUE"""),"")</f>
        <v/>
      </c>
      <c r="B2775" s="17" t="str">
        <f>IFERROR(__xludf.DUMMYFUNCTION("""COMPUTED_VALUE"""),"")</f>
        <v/>
      </c>
      <c r="C2775" s="17" t="str">
        <f>IFERROR(__xludf.DUMMYFUNCTION("""COMPUTED_VALUE"""),"")</f>
        <v/>
      </c>
      <c r="D2775" s="17" t="str">
        <f>IFERROR(__xludf.DUMMYFUNCTION("""COMPUTED_VALUE"""),"")</f>
        <v/>
      </c>
      <c r="E2775" s="17" t="str">
        <f>IFERROR(__xludf.DUMMYFUNCTION("""COMPUTED_VALUE"""),"")</f>
        <v/>
      </c>
      <c r="F2775" s="17" t="str">
        <f>IFERROR(__xludf.DUMMYFUNCTION("""COMPUTED_VALUE"""),"")</f>
        <v/>
      </c>
      <c r="G2775" s="17" t="str">
        <f>IFERROR(__xludf.DUMMYFUNCTION("""COMPUTED_VALUE"""),"")</f>
        <v/>
      </c>
      <c r="H2775" s="17" t="str">
        <f>IFERROR(__xludf.DUMMYFUNCTION("""COMPUTED_VALUE"""),"")</f>
        <v/>
      </c>
      <c r="I2775" s="17" t="str">
        <f>IFERROR(__xludf.DUMMYFUNCTION("""COMPUTED_VALUE"""),"")</f>
        <v/>
      </c>
      <c r="J2775" s="17" t="str">
        <f>IFERROR(__xludf.DUMMYFUNCTION("""COMPUTED_VALUE"""),"")</f>
        <v/>
      </c>
      <c r="K2775" s="17" t="str">
        <f>IFERROR(__xludf.DUMMYFUNCTION("""COMPUTED_VALUE"""),"")</f>
        <v/>
      </c>
      <c r="L2775" s="17" t="str">
        <f>IFERROR(__xludf.DUMMYFUNCTION("""COMPUTED_VALUE"""),"")</f>
        <v/>
      </c>
      <c r="M2775" s="17" t="str">
        <f>IFERROR(__xludf.DUMMYFUNCTION("""COMPUTED_VALUE"""),"")</f>
        <v/>
      </c>
      <c r="N2775" s="17" t="str">
        <f>IFERROR(__xludf.DUMMYFUNCTION("""COMPUTED_VALUE"""),"")</f>
        <v/>
      </c>
      <c r="O2775" s="17" t="str">
        <f>IFERROR(__xludf.DUMMYFUNCTION("""COMPUTED_VALUE"""),"")</f>
        <v/>
      </c>
      <c r="P2775" s="17" t="str">
        <f>IFERROR(__xludf.DUMMYFUNCTION("""COMPUTED_VALUE"""),"")</f>
        <v/>
      </c>
      <c r="Q2775" s="17" t="str">
        <f>IFERROR(__xludf.DUMMYFUNCTION("""COMPUTED_VALUE"""),"")</f>
        <v/>
      </c>
      <c r="R2775" s="17" t="str">
        <f>IFERROR(__xludf.DUMMYFUNCTION("""COMPUTED_VALUE"""),"")</f>
        <v/>
      </c>
    </row>
    <row r="2776">
      <c r="A2776" s="15">
        <f>IFERROR(__xludf.DUMMYFUNCTION("""COMPUTED_VALUE"""),45083.0)</f>
        <v>45083</v>
      </c>
      <c r="B2776" s="16" t="str">
        <f>IFERROR(__xludf.DUMMYFUNCTION("""COMPUTED_VALUE"""),"Johan Alexander Escobar Arroyo ")</f>
        <v>Johan Alexander Escobar Arroyo </v>
      </c>
      <c r="C2776" s="15" t="str">
        <f>IFERROR(__xludf.DUMMYFUNCTION("""COMPUTED_VALUE"""),"CALI")</f>
        <v>CALI</v>
      </c>
      <c r="D2776" s="15" t="str">
        <f>IFERROR(__xludf.DUMMYFUNCTION("""COMPUTED_VALUE"""),"BOGOTÁ")</f>
        <v>BOGOTÁ</v>
      </c>
      <c r="E2776" s="15" t="str">
        <f>IFERROR(__xludf.DUMMYFUNCTION("""COMPUTED_VALUE"""),"Chocao")</f>
        <v>Chocao</v>
      </c>
      <c r="F2776" s="17" t="str">
        <f>IFERROR(__xludf.DUMMYFUNCTION("""COMPUTED_VALUE"""),"Calle 51 norte # 3 in 08 B/ la flora. / HELADERIA POP LOVERS  / LA FLORA")</f>
        <v>Calle 51 norte # 3 in 08 B/ la flora. / HELADERIA POP LOVERS  / LA FLORA</v>
      </c>
      <c r="G2776" s="15" t="str">
        <f>IFERROR(__xludf.DUMMYFUNCTION("""COMPUTED_VALUE"""),"pop lovers /Edgar Mejia")</f>
        <v>pop lovers /Edgar Mejia</v>
      </c>
      <c r="H2776" s="16">
        <f>IFERROR(__xludf.DUMMYFUNCTION("""COMPUTED_VALUE"""),11386.0)</f>
        <v>11386</v>
      </c>
      <c r="I2776" s="18">
        <f>IFERROR(__xludf.DUMMYFUNCTION("""COMPUTED_VALUE"""),42.0)</f>
        <v>42</v>
      </c>
      <c r="J2776" s="18">
        <f>IFERROR(__xludf.DUMMYFUNCTION("""COMPUTED_VALUE"""),26.0)</f>
        <v>26</v>
      </c>
      <c r="K2776" s="18">
        <f>IFERROR(__xludf.DUMMYFUNCTION("""COMPUTED_VALUE"""),30.0)</f>
        <v>30</v>
      </c>
      <c r="L2776" s="17">
        <f>IFERROR(__xludf.DUMMYFUNCTION("""COMPUTED_VALUE"""),3.1076129E9)</f>
        <v>3107612900</v>
      </c>
      <c r="M2776" s="17" t="str">
        <f>IFERROR(__xludf.DUMMYFUNCTION("""COMPUTED_VALUE"""),"#REF!")</f>
        <v>#REF!</v>
      </c>
      <c r="N2776" s="17"/>
      <c r="O2776" s="17"/>
      <c r="P2776" s="17" t="b">
        <f>IFERROR(__xludf.DUMMYFUNCTION("""COMPUTED_VALUE"""),FALSE)</f>
        <v>0</v>
      </c>
      <c r="Q2776" s="20" t="str">
        <f>IFERROR(__xludf.DUMMYFUNCTION("""COMPUTED_VALUE"""),"")</f>
        <v/>
      </c>
      <c r="R2776" s="21" t="str">
        <f>IFERROR(__xludf.DUMMYFUNCTION("""COMPUTED_VALUE"""),"https://drive.google.com/file/d/1MOaCO0Zk38h83sZaUxaxeCpS0oNyfthr/view?usp=drivesdk")</f>
        <v>https://drive.google.com/file/d/1MOaCO0Zk38h83sZaUxaxeCpS0oNyfthr/view?usp=drivesdk</v>
      </c>
    </row>
    <row r="2777">
      <c r="A2777" s="15">
        <f>IFERROR(__xludf.DUMMYFUNCTION("""COMPUTED_VALUE"""),45083.0)</f>
        <v>45083</v>
      </c>
      <c r="B2777" s="16" t="str">
        <f>IFERROR(__xludf.DUMMYFUNCTION("""COMPUTED_VALUE"""),"Johan Alexander Escobar Arroyo ")</f>
        <v>Johan Alexander Escobar Arroyo </v>
      </c>
      <c r="C2777" s="15" t="str">
        <f>IFERROR(__xludf.DUMMYFUNCTION("""COMPUTED_VALUE"""),"CALI")</f>
        <v>CALI</v>
      </c>
      <c r="D2777" s="15" t="str">
        <f>IFERROR(__xludf.DUMMYFUNCTION("""COMPUTED_VALUE"""),"BOGOTÁ")</f>
        <v>BOGOTÁ</v>
      </c>
      <c r="E2777" s="15" t="str">
        <f>IFERROR(__xludf.DUMMYFUNCTION("""COMPUTED_VALUE"""),"Evamazzita")</f>
        <v>Evamazzita</v>
      </c>
      <c r="F2777" s="17" t="str">
        <f>IFERROR(__xludf.DUMMYFUNCTION("""COMPUTED_VALUE"""),"Av 5 #23A-74  /   Clinica Versalles / (ENTREGAR DE 7AM A 5PM) esquina B/ Versalles")</f>
        <v>Av 5 #23A-74  /   Clinica Versalles / (ENTREGAR DE 7AM A 5PM) esquina B/ Versalles</v>
      </c>
      <c r="G2777" s="15" t="str">
        <f>IFERROR(__xludf.DUMMYFUNCTION("""COMPUTED_VALUE"""),"YURIN LEANDRA ARREDONDO HURTADO")</f>
        <v>YURIN LEANDRA ARREDONDO HURTADO</v>
      </c>
      <c r="H2777" s="16">
        <f>IFERROR(__xludf.DUMMYFUNCTION("""COMPUTED_VALUE"""),11351.0)</f>
        <v>11351</v>
      </c>
      <c r="I2777" s="18">
        <f>IFERROR(__xludf.DUMMYFUNCTION("""COMPUTED_VALUE"""),10.0)</f>
        <v>10</v>
      </c>
      <c r="J2777" s="18">
        <f>IFERROR(__xludf.DUMMYFUNCTION("""COMPUTED_VALUE"""),18.0)</f>
        <v>18</v>
      </c>
      <c r="K2777" s="18">
        <f>IFERROR(__xludf.DUMMYFUNCTION("""COMPUTED_VALUE"""),22.0)</f>
        <v>22</v>
      </c>
      <c r="L2777" s="17">
        <f>IFERROR(__xludf.DUMMYFUNCTION("""COMPUTED_VALUE"""),3.114227011E9)</f>
        <v>3114227011</v>
      </c>
      <c r="M2777" s="17" t="str">
        <f>IFERROR(__xludf.DUMMYFUNCTION("""COMPUTED_VALUE"""),"#REF!")</f>
        <v>#REF!</v>
      </c>
      <c r="N2777" s="17"/>
      <c r="O2777" s="17"/>
      <c r="P2777" s="17" t="b">
        <f>IFERROR(__xludf.DUMMYFUNCTION("""COMPUTED_VALUE"""),FALSE)</f>
        <v>0</v>
      </c>
      <c r="Q2777" s="20" t="str">
        <f>IFERROR(__xludf.DUMMYFUNCTION("""COMPUTED_VALUE"""),"")</f>
        <v/>
      </c>
      <c r="R2777" s="21" t="str">
        <f>IFERROR(__xludf.DUMMYFUNCTION("""COMPUTED_VALUE"""),"https://drive.google.com/file/d/1ZQpl-Q_FXs_lT1xsoTvdhtOVdmrAESoD/view?usp=drivesdk")</f>
        <v>https://drive.google.com/file/d/1ZQpl-Q_FXs_lT1xsoTvdhtOVdmrAESoD/view?usp=drivesdk</v>
      </c>
    </row>
    <row r="2778">
      <c r="A2778" s="15">
        <f>IFERROR(__xludf.DUMMYFUNCTION("""COMPUTED_VALUE"""),45083.0)</f>
        <v>45083</v>
      </c>
      <c r="B2778" s="16" t="str">
        <f>IFERROR(__xludf.DUMMYFUNCTION("""COMPUTED_VALUE"""),"Johan Alexander Escobar Arroyo ")</f>
        <v>Johan Alexander Escobar Arroyo </v>
      </c>
      <c r="C2778" s="15" t="str">
        <f>IFERROR(__xludf.DUMMYFUNCTION("""COMPUTED_VALUE"""),"CALI")</f>
        <v>CALI</v>
      </c>
      <c r="D2778" s="15" t="str">
        <f>IFERROR(__xludf.DUMMYFUNCTION("""COMPUTED_VALUE"""),"BOGOTÁ")</f>
        <v>BOGOTÁ</v>
      </c>
      <c r="E2778" s="15" t="str">
        <f>IFERROR(__xludf.DUMMYFUNCTION("""COMPUTED_VALUE"""),"Evamazzita")</f>
        <v>Evamazzita</v>
      </c>
      <c r="F2778" s="17" t="str">
        <f>IFERROR(__xludf.DUMMYFUNCTION("""COMPUTED_VALUE"""),"CALI: Cra. 48A # 14 - 118  / casa  / B/ La selva")</f>
        <v>CALI: Cra. 48A # 14 - 118  / casa  / B/ La selva</v>
      </c>
      <c r="G2778" s="15" t="str">
        <f>IFERROR(__xludf.DUMMYFUNCTION("""COMPUTED_VALUE"""),"ANGELA VANESSA HENAO")</f>
        <v>ANGELA VANESSA HENAO</v>
      </c>
      <c r="H2778" s="16">
        <f>IFERROR(__xludf.DUMMYFUNCTION("""COMPUTED_VALUE"""),11347.0)</f>
        <v>11347</v>
      </c>
      <c r="I2778" s="18">
        <f>IFERROR(__xludf.DUMMYFUNCTION("""COMPUTED_VALUE"""),3.0)</f>
        <v>3</v>
      </c>
      <c r="J2778" s="18">
        <f>IFERROR(__xludf.DUMMYFUNCTION("""COMPUTED_VALUE"""),20.0)</f>
        <v>20</v>
      </c>
      <c r="K2778" s="18">
        <f>IFERROR(__xludf.DUMMYFUNCTION("""COMPUTED_VALUE"""),15.0)</f>
        <v>15</v>
      </c>
      <c r="L2778" s="17">
        <f>IFERROR(__xludf.DUMMYFUNCTION("""COMPUTED_VALUE"""),3.004956778E9)</f>
        <v>3004956778</v>
      </c>
      <c r="M2778" s="17" t="str">
        <f>IFERROR(__xludf.DUMMYFUNCTION("""COMPUTED_VALUE"""),"#REF!")</f>
        <v>#REF!</v>
      </c>
      <c r="N2778" s="17"/>
      <c r="O2778" s="17"/>
      <c r="P2778" s="17" t="b">
        <f>IFERROR(__xludf.DUMMYFUNCTION("""COMPUTED_VALUE"""),FALSE)</f>
        <v>0</v>
      </c>
      <c r="Q2778" s="20" t="str">
        <f>IFERROR(__xludf.DUMMYFUNCTION("""COMPUTED_VALUE"""),"")</f>
        <v/>
      </c>
      <c r="R2778" s="21" t="str">
        <f>IFERROR(__xludf.DUMMYFUNCTION("""COMPUTED_VALUE"""),"https://drive.google.com/file/d/1MbS_5qR5g0h2ja75mgxgOy8XAjxRXxFr/view?usp=drivesdk")</f>
        <v>https://drive.google.com/file/d/1MbS_5qR5g0h2ja75mgxgOy8XAjxRXxFr/view?usp=drivesdk</v>
      </c>
    </row>
    <row r="2779">
      <c r="A2779" s="15">
        <f>IFERROR(__xludf.DUMMYFUNCTION("""COMPUTED_VALUE"""),45083.0)</f>
        <v>45083</v>
      </c>
      <c r="B2779" s="16" t="str">
        <f>IFERROR(__xludf.DUMMYFUNCTION("""COMPUTED_VALUE"""),"Johan Alexander Escobar Arroyo ")</f>
        <v>Johan Alexander Escobar Arroyo </v>
      </c>
      <c r="C2779" s="15" t="str">
        <f>IFERROR(__xludf.DUMMYFUNCTION("""COMPUTED_VALUE"""),"CALI")</f>
        <v>CALI</v>
      </c>
      <c r="D2779" s="15" t="str">
        <f>IFERROR(__xludf.DUMMYFUNCTION("""COMPUTED_VALUE"""),"BOGOTÁ")</f>
        <v>BOGOTÁ</v>
      </c>
      <c r="E2779" s="15" t="str">
        <f>IFERROR(__xludf.DUMMYFUNCTION("""COMPUTED_VALUE"""),"Evamazzita")</f>
        <v>Evamazzita</v>
      </c>
      <c r="F2779" s="17" t="str">
        <f>IFERROR(__xludf.DUMMYFUNCTION("""COMPUTED_VALUE"""),"calle 34 # 94-143  /  casa 08m / jardin del lili")</f>
        <v>calle 34 # 94-143  /  casa 08m / jardin del lili</v>
      </c>
      <c r="G2779" s="15" t="str">
        <f>IFERROR(__xludf.DUMMYFUNCTION("""COMPUTED_VALUE"""),"MAYLIN CAROLINA MUÑOZ RAMOS")</f>
        <v>MAYLIN CAROLINA MUÑOZ RAMOS</v>
      </c>
      <c r="H2779" s="16">
        <f>IFERROR(__xludf.DUMMYFUNCTION("""COMPUTED_VALUE"""),11350.0)</f>
        <v>11350</v>
      </c>
      <c r="I2779" s="18">
        <f>IFERROR(__xludf.DUMMYFUNCTION("""COMPUTED_VALUE"""),3.0)</f>
        <v>3</v>
      </c>
      <c r="J2779" s="18">
        <f>IFERROR(__xludf.DUMMYFUNCTION("""COMPUTED_VALUE"""),20.0)</f>
        <v>20</v>
      </c>
      <c r="K2779" s="18">
        <f>IFERROR(__xludf.DUMMYFUNCTION("""COMPUTED_VALUE"""),15.0)</f>
        <v>15</v>
      </c>
      <c r="L2779" s="17">
        <f>IFERROR(__xludf.DUMMYFUNCTION("""COMPUTED_VALUE"""),3.118376725E9)</f>
        <v>3118376725</v>
      </c>
      <c r="M2779" s="17" t="str">
        <f>IFERROR(__xludf.DUMMYFUNCTION("""COMPUTED_VALUE"""),"#REF!")</f>
        <v>#REF!</v>
      </c>
      <c r="N2779" s="17"/>
      <c r="O2779" s="17"/>
      <c r="P2779" s="17" t="b">
        <f>IFERROR(__xludf.DUMMYFUNCTION("""COMPUTED_VALUE"""),FALSE)</f>
        <v>0</v>
      </c>
      <c r="Q2779" s="20" t="str">
        <f>IFERROR(__xludf.DUMMYFUNCTION("""COMPUTED_VALUE"""),"")</f>
        <v/>
      </c>
      <c r="R2779" s="21" t="str">
        <f>IFERROR(__xludf.DUMMYFUNCTION("""COMPUTED_VALUE"""),"https://drive.google.com/file/d/1A7qRRizAnpnT0zZ5gAkBckHZHxweErzd/view?usp=drivesdk")</f>
        <v>https://drive.google.com/file/d/1A7qRRizAnpnT0zZ5gAkBckHZHxweErzd/view?usp=drivesdk</v>
      </c>
    </row>
    <row r="2780">
      <c r="A2780" s="15">
        <f>IFERROR(__xludf.DUMMYFUNCTION("""COMPUTED_VALUE"""),45083.0)</f>
        <v>45083</v>
      </c>
      <c r="B2780" s="16" t="str">
        <f>IFERROR(__xludf.DUMMYFUNCTION("""COMPUTED_VALUE"""),"Johan Alexander Escobar Arroyo ")</f>
        <v>Johan Alexander Escobar Arroyo </v>
      </c>
      <c r="C2780" s="15" t="str">
        <f>IFERROR(__xludf.DUMMYFUNCTION("""COMPUTED_VALUE"""),"CALI")</f>
        <v>CALI</v>
      </c>
      <c r="D2780" s="15" t="str">
        <f>IFERROR(__xludf.DUMMYFUNCTION("""COMPUTED_VALUE"""),"BOGOTÁ")</f>
        <v>BOGOTÁ</v>
      </c>
      <c r="E2780" s="15" t="str">
        <f>IFERROR(__xludf.DUMMYFUNCTION("""COMPUTED_VALUE"""),"Evamazzita")</f>
        <v>Evamazzita</v>
      </c>
      <c r="F2780" s="17" t="str">
        <f>IFERROR(__xludf.DUMMYFUNCTION("""COMPUTED_VALUE"""),"calle 49 N° 120 - 52  / aparta E304 conjunto ventura 1  / barrio ciudad pacifica")</f>
        <v>calle 49 N° 120 - 52  / aparta E304 conjunto ventura 1  / barrio ciudad pacifica</v>
      </c>
      <c r="G2780" s="15" t="str">
        <f>IFERROR(__xludf.DUMMYFUNCTION("""COMPUTED_VALUE"""),"ISABEL CRISTINA FRANCO DUQUE")</f>
        <v>ISABEL CRISTINA FRANCO DUQUE</v>
      </c>
      <c r="H2780" s="16">
        <f>IFERROR(__xludf.DUMMYFUNCTION("""COMPUTED_VALUE"""),11353.0)</f>
        <v>11353</v>
      </c>
      <c r="I2780" s="18">
        <f>IFERROR(__xludf.DUMMYFUNCTION("""COMPUTED_VALUE"""),3.0)</f>
        <v>3</v>
      </c>
      <c r="J2780" s="18">
        <f>IFERROR(__xludf.DUMMYFUNCTION("""COMPUTED_VALUE"""),15.0)</f>
        <v>15</v>
      </c>
      <c r="K2780" s="18">
        <f>IFERROR(__xludf.DUMMYFUNCTION("""COMPUTED_VALUE"""),20.0)</f>
        <v>20</v>
      </c>
      <c r="L2780" s="17">
        <f>IFERROR(__xludf.DUMMYFUNCTION("""COMPUTED_VALUE"""),3.168037945E9)</f>
        <v>3168037945</v>
      </c>
      <c r="M2780" s="17" t="str">
        <f>IFERROR(__xludf.DUMMYFUNCTION("""COMPUTED_VALUE"""),"#REF!")</f>
        <v>#REF!</v>
      </c>
      <c r="N2780" s="17"/>
      <c r="O2780" s="17"/>
      <c r="P2780" s="17" t="b">
        <f>IFERROR(__xludf.DUMMYFUNCTION("""COMPUTED_VALUE"""),FALSE)</f>
        <v>0</v>
      </c>
      <c r="Q2780" s="20" t="str">
        <f>IFERROR(__xludf.DUMMYFUNCTION("""COMPUTED_VALUE"""),"")</f>
        <v/>
      </c>
      <c r="R2780" s="21" t="str">
        <f>IFERROR(__xludf.DUMMYFUNCTION("""COMPUTED_VALUE"""),"https://drive.google.com/file/d/1SCEVpWp8PspVYVtHC2gnvQ5V0mfUkhKW/view?usp=drivesdk")</f>
        <v>https://drive.google.com/file/d/1SCEVpWp8PspVYVtHC2gnvQ5V0mfUkhKW/view?usp=drivesdk</v>
      </c>
    </row>
    <row r="2781">
      <c r="A2781" s="15">
        <f>IFERROR(__xludf.DUMMYFUNCTION("""COMPUTED_VALUE"""),45083.0)</f>
        <v>45083</v>
      </c>
      <c r="B2781" s="16" t="str">
        <f>IFERROR(__xludf.DUMMYFUNCTION("""COMPUTED_VALUE"""),"Johan Alexander Escobar Arroyo ")</f>
        <v>Johan Alexander Escobar Arroyo </v>
      </c>
      <c r="C2781" s="15" t="str">
        <f>IFERROR(__xludf.DUMMYFUNCTION("""COMPUTED_VALUE"""),"CALI")</f>
        <v>CALI</v>
      </c>
      <c r="D2781" s="15" t="str">
        <f>IFERROR(__xludf.DUMMYFUNCTION("""COMPUTED_VALUE"""),"BOGOTÁ")</f>
        <v>BOGOTÁ</v>
      </c>
      <c r="E2781" s="15" t="str">
        <f>IFERROR(__xludf.DUMMYFUNCTION("""COMPUTED_VALUE"""),"Evamazzita")</f>
        <v>Evamazzita</v>
      </c>
      <c r="F2781" s="17" t="str">
        <f>IFERROR(__xludf.DUMMYFUNCTION("""COMPUTED_VALUE"""),"CALLE 73 1 J 49 / N/A / N/A")</f>
        <v>CALLE 73 1 J 49 / N/A / N/A</v>
      </c>
      <c r="G2781" s="15" t="str">
        <f>IFERROR(__xludf.DUMMYFUNCTION("""COMPUTED_VALUE"""),"LINA OTALVARO")</f>
        <v>LINA OTALVARO</v>
      </c>
      <c r="H2781" s="16">
        <f>IFERROR(__xludf.DUMMYFUNCTION("""COMPUTED_VALUE"""),11349.0)</f>
        <v>11349</v>
      </c>
      <c r="I2781" s="18">
        <f>IFERROR(__xludf.DUMMYFUNCTION("""COMPUTED_VALUE"""),3.0)</f>
        <v>3</v>
      </c>
      <c r="J2781" s="18">
        <f>IFERROR(__xludf.DUMMYFUNCTION("""COMPUTED_VALUE"""),20.0)</f>
        <v>20</v>
      </c>
      <c r="K2781" s="18">
        <f>IFERROR(__xludf.DUMMYFUNCTION("""COMPUTED_VALUE"""),15.0)</f>
        <v>15</v>
      </c>
      <c r="L2781" s="17">
        <f>IFERROR(__xludf.DUMMYFUNCTION("""COMPUTED_VALUE"""),3.148781509E9)</f>
        <v>3148781509</v>
      </c>
      <c r="M2781" s="17" t="str">
        <f>IFERROR(__xludf.DUMMYFUNCTION("""COMPUTED_VALUE"""),"#REF!")</f>
        <v>#REF!</v>
      </c>
      <c r="N2781" s="17"/>
      <c r="O2781" s="17"/>
      <c r="P2781" s="17" t="b">
        <f>IFERROR(__xludf.DUMMYFUNCTION("""COMPUTED_VALUE"""),FALSE)</f>
        <v>0</v>
      </c>
      <c r="Q2781" s="20" t="str">
        <f>IFERROR(__xludf.DUMMYFUNCTION("""COMPUTED_VALUE"""),"")</f>
        <v/>
      </c>
      <c r="R2781" s="21" t="str">
        <f>IFERROR(__xludf.DUMMYFUNCTION("""COMPUTED_VALUE"""),"https://drive.google.com/file/d/1aAnq4xX9-qTRUCU719lvHuKelSjn_4Iv/view?usp=drivesdk")</f>
        <v>https://drive.google.com/file/d/1aAnq4xX9-qTRUCU719lvHuKelSjn_4Iv/view?usp=drivesdk</v>
      </c>
    </row>
    <row r="2782">
      <c r="A2782" s="15">
        <f>IFERROR(__xludf.DUMMYFUNCTION("""COMPUTED_VALUE"""),45083.0)</f>
        <v>45083</v>
      </c>
      <c r="B2782" s="16" t="str">
        <f>IFERROR(__xludf.DUMMYFUNCTION("""COMPUTED_VALUE"""),"Johan Alexander Escobar Arroyo ")</f>
        <v>Johan Alexander Escobar Arroyo </v>
      </c>
      <c r="C2782" s="15" t="str">
        <f>IFERROR(__xludf.DUMMYFUNCTION("""COMPUTED_VALUE"""),"CALI")</f>
        <v>CALI</v>
      </c>
      <c r="D2782" s="15" t="str">
        <f>IFERROR(__xludf.DUMMYFUNCTION("""COMPUTED_VALUE"""),"BOGOTÁ")</f>
        <v>BOGOTÁ</v>
      </c>
      <c r="E2782" s="15" t="str">
        <f>IFERROR(__xludf.DUMMYFUNCTION("""COMPUTED_VALUE"""),"Evamazzita")</f>
        <v>Evamazzita</v>
      </c>
      <c r="F2782" s="17" t="str">
        <f>IFERROR(__xludf.DUMMYFUNCTION("""COMPUTED_VALUE"""),"Carrera 1h #60-40  / tercer piso   / Barrio los almendros")</f>
        <v>Carrera 1h #60-40  / tercer piso   / Barrio los almendros</v>
      </c>
      <c r="G2782" s="15" t="str">
        <f>IFERROR(__xludf.DUMMYFUNCTION("""COMPUTED_VALUE"""),"ALEJANDRA MUÑOZ")</f>
        <v>ALEJANDRA MUÑOZ</v>
      </c>
      <c r="H2782" s="16">
        <f>IFERROR(__xludf.DUMMYFUNCTION("""COMPUTED_VALUE"""),11345.0)</f>
        <v>11345</v>
      </c>
      <c r="I2782" s="18">
        <f>IFERROR(__xludf.DUMMYFUNCTION("""COMPUTED_VALUE"""),3.0)</f>
        <v>3</v>
      </c>
      <c r="J2782" s="18">
        <f>IFERROR(__xludf.DUMMYFUNCTION("""COMPUTED_VALUE"""),20.0)</f>
        <v>20</v>
      </c>
      <c r="K2782" s="18">
        <f>IFERROR(__xludf.DUMMYFUNCTION("""COMPUTED_VALUE"""),15.0)</f>
        <v>15</v>
      </c>
      <c r="L2782" s="17">
        <f>IFERROR(__xludf.DUMMYFUNCTION("""COMPUTED_VALUE"""),3.128408361E9)</f>
        <v>3128408361</v>
      </c>
      <c r="M2782" s="17" t="str">
        <f>IFERROR(__xludf.DUMMYFUNCTION("""COMPUTED_VALUE"""),"#REF!")</f>
        <v>#REF!</v>
      </c>
      <c r="N2782" s="17"/>
      <c r="O2782" s="17"/>
      <c r="P2782" s="17" t="b">
        <f>IFERROR(__xludf.DUMMYFUNCTION("""COMPUTED_VALUE"""),FALSE)</f>
        <v>0</v>
      </c>
      <c r="Q2782" s="20" t="str">
        <f>IFERROR(__xludf.DUMMYFUNCTION("""COMPUTED_VALUE"""),"")</f>
        <v/>
      </c>
      <c r="R2782" s="21" t="str">
        <f>IFERROR(__xludf.DUMMYFUNCTION("""COMPUTED_VALUE"""),"https://drive.google.com/file/d/18_wbmR3-Qpv0yo_DRjbELNxE9jBaiHFQ/view?usp=drivesdk")</f>
        <v>https://drive.google.com/file/d/18_wbmR3-Qpv0yo_DRjbELNxE9jBaiHFQ/view?usp=drivesdk</v>
      </c>
    </row>
    <row r="2783">
      <c r="A2783" s="15">
        <f>IFERROR(__xludf.DUMMYFUNCTION("""COMPUTED_VALUE"""),45083.0)</f>
        <v>45083</v>
      </c>
      <c r="B2783" s="16" t="str">
        <f>IFERROR(__xludf.DUMMYFUNCTION("""COMPUTED_VALUE"""),"Johan Alexander Escobar Arroyo ")</f>
        <v>Johan Alexander Escobar Arroyo </v>
      </c>
      <c r="C2783" s="15" t="str">
        <f>IFERROR(__xludf.DUMMYFUNCTION("""COMPUTED_VALUE"""),"CALI")</f>
        <v>CALI</v>
      </c>
      <c r="D2783" s="15" t="str">
        <f>IFERROR(__xludf.DUMMYFUNCTION("""COMPUTED_VALUE"""),"BOGOTÁ")</f>
        <v>BOGOTÁ</v>
      </c>
      <c r="E2783" s="15" t="str">
        <f>IFERROR(__xludf.DUMMYFUNCTION("""COMPUTED_VALUE"""),"Evamazzita")</f>
        <v>Evamazzita</v>
      </c>
      <c r="F2783" s="17" t="str">
        <f>IFERROR(__xludf.DUMMYFUNCTION("""COMPUTED_VALUE"""),"Cra 1a 4c #70c 1 - 49.  / Bloque 88 apartamento 501.  / Barrio los Alcázares")</f>
        <v>Cra 1a 4c #70c 1 - 49.  / Bloque 88 apartamento 501.  / Barrio los Alcázares</v>
      </c>
      <c r="G2783" s="15" t="str">
        <f>IFERROR(__xludf.DUMMYFUNCTION("""COMPUTED_VALUE"""),"MABEL ROCIO MONTAÑO TORRES")</f>
        <v>MABEL ROCIO MONTAÑO TORRES</v>
      </c>
      <c r="H2783" s="16">
        <f>IFERROR(__xludf.DUMMYFUNCTION("""COMPUTED_VALUE"""),11352.0)</f>
        <v>11352</v>
      </c>
      <c r="I2783" s="18">
        <f>IFERROR(__xludf.DUMMYFUNCTION("""COMPUTED_VALUE"""),10.0)</f>
        <v>10</v>
      </c>
      <c r="J2783" s="18">
        <f>IFERROR(__xludf.DUMMYFUNCTION("""COMPUTED_VALUE"""),18.0)</f>
        <v>18</v>
      </c>
      <c r="K2783" s="18">
        <f>IFERROR(__xludf.DUMMYFUNCTION("""COMPUTED_VALUE"""),22.0)</f>
        <v>22</v>
      </c>
      <c r="L2783" s="17">
        <f>IFERROR(__xludf.DUMMYFUNCTION("""COMPUTED_VALUE"""),3.108311592E9)</f>
        <v>3108311592</v>
      </c>
      <c r="M2783" s="17" t="str">
        <f>IFERROR(__xludf.DUMMYFUNCTION("""COMPUTED_VALUE"""),"#REF!")</f>
        <v>#REF!</v>
      </c>
      <c r="N2783" s="17"/>
      <c r="O2783" s="17"/>
      <c r="P2783" s="17" t="b">
        <f>IFERROR(__xludf.DUMMYFUNCTION("""COMPUTED_VALUE"""),FALSE)</f>
        <v>0</v>
      </c>
      <c r="Q2783" s="20" t="str">
        <f>IFERROR(__xludf.DUMMYFUNCTION("""COMPUTED_VALUE"""),"")</f>
        <v/>
      </c>
      <c r="R2783" s="21" t="str">
        <f>IFERROR(__xludf.DUMMYFUNCTION("""COMPUTED_VALUE"""),"https://drive.google.com/file/d/1AGy5IuRf-kLXS5O-ZbmJvSgkqMwK6Fgo/view?usp=drivesdk")</f>
        <v>https://drive.google.com/file/d/1AGy5IuRf-kLXS5O-ZbmJvSgkqMwK6Fgo/view?usp=drivesdk</v>
      </c>
    </row>
    <row r="2784">
      <c r="A2784" s="15">
        <f>IFERROR(__xludf.DUMMYFUNCTION("""COMPUTED_VALUE"""),45083.0)</f>
        <v>45083</v>
      </c>
      <c r="B2784" s="16" t="str">
        <f>IFERROR(__xludf.DUMMYFUNCTION("""COMPUTED_VALUE"""),"Johan Alexander Escobar Arroyo ")</f>
        <v>Johan Alexander Escobar Arroyo </v>
      </c>
      <c r="C2784" s="15" t="str">
        <f>IFERROR(__xludf.DUMMYFUNCTION("""COMPUTED_VALUE"""),"CALI")</f>
        <v>CALI</v>
      </c>
      <c r="D2784" s="15" t="str">
        <f>IFERROR(__xludf.DUMMYFUNCTION("""COMPUTED_VALUE"""),"BOGOTÁ")</f>
        <v>BOGOTÁ</v>
      </c>
      <c r="E2784" s="15" t="str">
        <f>IFERROR(__xludf.DUMMYFUNCTION("""COMPUTED_VALUE"""),"Evamazzita")</f>
        <v>Evamazzita</v>
      </c>
      <c r="F2784" s="17" t="str">
        <f>IFERROR(__xludf.DUMMYFUNCTION("""COMPUTED_VALUE"""),"Cra 56 # 5 - 63   / Camino real   / (ENTREGAR DE 9AM A 4:30 PM)")</f>
        <v>Cra 56 # 5 - 63   / Camino real   / (ENTREGAR DE 9AM A 4:30 PM)</v>
      </c>
      <c r="G2784" s="15" t="str">
        <f>IFERROR(__xludf.DUMMYFUNCTION("""COMPUTED_VALUE"""),"ALEJANDRA VALENCIA")</f>
        <v>ALEJANDRA VALENCIA</v>
      </c>
      <c r="H2784" s="16">
        <f>IFERROR(__xludf.DUMMYFUNCTION("""COMPUTED_VALUE"""),11346.0)</f>
        <v>11346</v>
      </c>
      <c r="I2784" s="18">
        <f>IFERROR(__xludf.DUMMYFUNCTION("""COMPUTED_VALUE"""),3.0)</f>
        <v>3</v>
      </c>
      <c r="J2784" s="18">
        <f>IFERROR(__xludf.DUMMYFUNCTION("""COMPUTED_VALUE"""),20.0)</f>
        <v>20</v>
      </c>
      <c r="K2784" s="18">
        <f>IFERROR(__xludf.DUMMYFUNCTION("""COMPUTED_VALUE"""),15.0)</f>
        <v>15</v>
      </c>
      <c r="L2784" s="17">
        <f>IFERROR(__xludf.DUMMYFUNCTION("""COMPUTED_VALUE"""),3.00221372E9)</f>
        <v>3002213720</v>
      </c>
      <c r="M2784" s="17" t="str">
        <f>IFERROR(__xludf.DUMMYFUNCTION("""COMPUTED_VALUE"""),"#REF!")</f>
        <v>#REF!</v>
      </c>
      <c r="N2784" s="17"/>
      <c r="O2784" s="17"/>
      <c r="P2784" s="17" t="b">
        <f>IFERROR(__xludf.DUMMYFUNCTION("""COMPUTED_VALUE"""),FALSE)</f>
        <v>0</v>
      </c>
      <c r="Q2784" s="20" t="str">
        <f>IFERROR(__xludf.DUMMYFUNCTION("""COMPUTED_VALUE"""),"")</f>
        <v/>
      </c>
      <c r="R2784" s="21" t="str">
        <f>IFERROR(__xludf.DUMMYFUNCTION("""COMPUTED_VALUE"""),"https://drive.google.com/file/d/10fRso1O84xlohqHhwywxaIIshAPJgUPD/view?usp=drivesdk")</f>
        <v>https://drive.google.com/file/d/10fRso1O84xlohqHhwywxaIIshAPJgUPD/view?usp=drivesdk</v>
      </c>
    </row>
    <row r="2785">
      <c r="A2785" s="15">
        <f>IFERROR(__xludf.DUMMYFUNCTION("""COMPUTED_VALUE"""),45083.0)</f>
        <v>45083</v>
      </c>
      <c r="B2785" s="16" t="str">
        <f>IFERROR(__xludf.DUMMYFUNCTION("""COMPUTED_VALUE"""),"Johan Alexander Escobar Arroyo ")</f>
        <v>Johan Alexander Escobar Arroyo </v>
      </c>
      <c r="C2785" s="15" t="str">
        <f>IFERROR(__xludf.DUMMYFUNCTION("""COMPUTED_VALUE"""),"CALI")</f>
        <v>CALI</v>
      </c>
      <c r="D2785" s="15" t="str">
        <f>IFERROR(__xludf.DUMMYFUNCTION("""COMPUTED_VALUE"""),"BOGOTÁ")</f>
        <v>BOGOTÁ</v>
      </c>
      <c r="E2785" s="15" t="str">
        <f>IFERROR(__xludf.DUMMYFUNCTION("""COMPUTED_VALUE"""),"Evamazzita")</f>
        <v>Evamazzita</v>
      </c>
      <c r="F2785" s="17" t="str">
        <f>IFERROR(__xludf.DUMMYFUNCTION("""COMPUTED_VALUE"""),"Cra 98 c 53 112  / TORRE C APTO. 102 Portal alameda 2  / Valle del lili")</f>
        <v>Cra 98 c 53 112  / TORRE C APTO. 102 Portal alameda 2  / Valle del lili</v>
      </c>
      <c r="G2785" s="15" t="str">
        <f>IFERROR(__xludf.DUMMYFUNCTION("""COMPUTED_VALUE"""),"CAROLINA TRUJILLO")</f>
        <v>CAROLINA TRUJILLO</v>
      </c>
      <c r="H2785" s="16">
        <f>IFERROR(__xludf.DUMMYFUNCTION("""COMPUTED_VALUE"""),11348.0)</f>
        <v>11348</v>
      </c>
      <c r="I2785" s="18">
        <f>IFERROR(__xludf.DUMMYFUNCTION("""COMPUTED_VALUE"""),10.0)</f>
        <v>10</v>
      </c>
      <c r="J2785" s="18">
        <f>IFERROR(__xludf.DUMMYFUNCTION("""COMPUTED_VALUE"""),18.0)</f>
        <v>18</v>
      </c>
      <c r="K2785" s="18">
        <f>IFERROR(__xludf.DUMMYFUNCTION("""COMPUTED_VALUE"""),22.0)</f>
        <v>22</v>
      </c>
      <c r="L2785" s="17">
        <f>IFERROR(__xludf.DUMMYFUNCTION("""COMPUTED_VALUE"""),3.168701185E9)</f>
        <v>3168701185</v>
      </c>
      <c r="M2785" s="17" t="str">
        <f>IFERROR(__xludf.DUMMYFUNCTION("""COMPUTED_VALUE"""),"#REF!")</f>
        <v>#REF!</v>
      </c>
      <c r="N2785" s="17"/>
      <c r="O2785" s="17"/>
      <c r="P2785" s="17" t="b">
        <f>IFERROR(__xludf.DUMMYFUNCTION("""COMPUTED_VALUE"""),FALSE)</f>
        <v>0</v>
      </c>
      <c r="Q2785" s="20" t="str">
        <f>IFERROR(__xludf.DUMMYFUNCTION("""COMPUTED_VALUE"""),"")</f>
        <v/>
      </c>
      <c r="R2785" s="21" t="str">
        <f>IFERROR(__xludf.DUMMYFUNCTION("""COMPUTED_VALUE"""),"https://drive.google.com/file/d/1wYsQb1VvzNqE431OrKTKN288U4wDYgx5/view?usp=drivesdk")</f>
        <v>https://drive.google.com/file/d/1wYsQb1VvzNqE431OrKTKN288U4wDYgx5/view?usp=drivesdk</v>
      </c>
    </row>
    <row r="2786">
      <c r="A2786" s="15">
        <f>IFERROR(__xludf.DUMMYFUNCTION("""COMPUTED_VALUE"""),45083.0)</f>
        <v>45083</v>
      </c>
      <c r="B2786" s="16" t="str">
        <f>IFERROR(__xludf.DUMMYFUNCTION("""COMPUTED_VALUE"""),"Johan Alexander Escobar Arroyo ")</f>
        <v>Johan Alexander Escobar Arroyo </v>
      </c>
      <c r="C2786" s="15" t="str">
        <f>IFERROR(__xludf.DUMMYFUNCTION("""COMPUTED_VALUE"""),"CALI")</f>
        <v>CALI</v>
      </c>
      <c r="D2786" s="15" t="str">
        <f>IFERROR(__xludf.DUMMYFUNCTION("""COMPUTED_VALUE"""),"BOGOTÁ")</f>
        <v>BOGOTÁ</v>
      </c>
      <c r="E2786" s="15" t="str">
        <f>IFERROR(__xludf.DUMMYFUNCTION("""COMPUTED_VALUE"""),"Top Spun")</f>
        <v>Top Spun</v>
      </c>
      <c r="F2786" s="17" t="str">
        <f>IFERROR(__xludf.DUMMYFUNCTION("""COMPUTED_VALUE"""),"Calle 5 oeste # 4A oeste - 51 / apto 905 / barrio Normandía en Cali")</f>
        <v>Calle 5 oeste # 4A oeste - 51 / apto 905 / barrio Normandía en Cali</v>
      </c>
      <c r="G2786" s="15" t="str">
        <f>IFERROR(__xludf.DUMMYFUNCTION("""COMPUTED_VALUE"""),"DANIELA URUEñA")</f>
        <v>DANIELA URUEñA</v>
      </c>
      <c r="H2786" s="16">
        <f>IFERROR(__xludf.DUMMYFUNCTION("""COMPUTED_VALUE"""),11293.0)</f>
        <v>11293</v>
      </c>
      <c r="I2786" s="18">
        <f>IFERROR(__xludf.DUMMYFUNCTION("""COMPUTED_VALUE"""),20.0)</f>
        <v>20</v>
      </c>
      <c r="J2786" s="18">
        <f>IFERROR(__xludf.DUMMYFUNCTION("""COMPUTED_VALUE"""),10.0)</f>
        <v>10</v>
      </c>
      <c r="K2786" s="18">
        <f>IFERROR(__xludf.DUMMYFUNCTION("""COMPUTED_VALUE"""),40.0)</f>
        <v>40</v>
      </c>
      <c r="L2786" s="17">
        <f>IFERROR(__xludf.DUMMYFUNCTION("""COMPUTED_VALUE"""),3.10302868E9)</f>
        <v>3103028680</v>
      </c>
      <c r="M2786" s="17" t="str">
        <f>IFERROR(__xludf.DUMMYFUNCTION("""COMPUTED_VALUE"""),"#REF!")</f>
        <v>#REF!</v>
      </c>
      <c r="N2786" s="17"/>
      <c r="O2786" s="17"/>
      <c r="P2786" s="17" t="b">
        <f>IFERROR(__xludf.DUMMYFUNCTION("""COMPUTED_VALUE"""),FALSE)</f>
        <v>0</v>
      </c>
      <c r="Q2786" s="20" t="str">
        <f>IFERROR(__xludf.DUMMYFUNCTION("""COMPUTED_VALUE"""),"")</f>
        <v/>
      </c>
      <c r="R2786" s="21" t="str">
        <f>IFERROR(__xludf.DUMMYFUNCTION("""COMPUTED_VALUE"""),"https://drive.google.com/file/d/1nDoImrCGIDf02SSz9qVlvnHMAacoEIA2/view?usp=drivesdk")</f>
        <v>https://drive.google.com/file/d/1nDoImrCGIDf02SSz9qVlvnHMAacoEIA2/view?usp=drivesdk</v>
      </c>
    </row>
    <row r="2787">
      <c r="A2787" s="15">
        <f>IFERROR(__xludf.DUMMYFUNCTION("""COMPUTED_VALUE"""),45083.0)</f>
        <v>45083</v>
      </c>
      <c r="B2787" s="16" t="str">
        <f>IFERROR(__xludf.DUMMYFUNCTION("""COMPUTED_VALUE"""),"Johan Alexander Escobar Arroyo ")</f>
        <v>Johan Alexander Escobar Arroyo </v>
      </c>
      <c r="C2787" s="15" t="str">
        <f>IFERROR(__xludf.DUMMYFUNCTION("""COMPUTED_VALUE"""),"CALI")</f>
        <v>CALI</v>
      </c>
      <c r="D2787" s="15" t="str">
        <f>IFERROR(__xludf.DUMMYFUNCTION("""COMPUTED_VALUE"""),"MEDELLÍN")</f>
        <v>MEDELLÍN</v>
      </c>
      <c r="E2787" s="15" t="str">
        <f>IFERROR(__xludf.DUMMYFUNCTION("""COMPUTED_VALUE"""),"Helados swip")</f>
        <v>Helados swip</v>
      </c>
      <c r="F2787" s="17" t="str">
        <f>IFERROR(__xludf.DUMMYFUNCTION("""COMPUTED_VALUE"""),"AV 4 NORTE # 7 N 36  / LOCAL 129 / CENTRO COMERCIAL CENTENARIO")</f>
        <v>AV 4 NORTE # 7 N 36  / LOCAL 129 / CENTRO COMERCIAL CENTENARIO</v>
      </c>
      <c r="G2787" s="15" t="str">
        <f>IFERROR(__xludf.DUMMYFUNCTION("""COMPUTED_VALUE"""),"VITAFITNESS MERCADO SALUDABLE")</f>
        <v>VITAFITNESS MERCADO SALUDABLE</v>
      </c>
      <c r="H2787" s="16">
        <f>IFERROR(__xludf.DUMMYFUNCTION("""COMPUTED_VALUE"""),11319.0)</f>
        <v>11319</v>
      </c>
      <c r="I2787" s="18">
        <f>IFERROR(__xludf.DUMMYFUNCTION("""COMPUTED_VALUE"""),29.0)</f>
        <v>29</v>
      </c>
      <c r="J2787" s="18">
        <f>IFERROR(__xludf.DUMMYFUNCTION("""COMPUTED_VALUE"""),55.0)</f>
        <v>55</v>
      </c>
      <c r="K2787" s="18">
        <f>IFERROR(__xludf.DUMMYFUNCTION("""COMPUTED_VALUE"""),45.0)</f>
        <v>45</v>
      </c>
      <c r="L2787" s="17">
        <f>IFERROR(__xludf.DUMMYFUNCTION("""COMPUTED_VALUE"""),3.10443232E9)</f>
        <v>3104432320</v>
      </c>
      <c r="M2787" s="17" t="str">
        <f>IFERROR(__xludf.DUMMYFUNCTION("""COMPUTED_VALUE"""),"#REF!")</f>
        <v>#REF!</v>
      </c>
      <c r="N2787" s="17"/>
      <c r="O2787" s="17"/>
      <c r="P2787" s="17" t="b">
        <f>IFERROR(__xludf.DUMMYFUNCTION("""COMPUTED_VALUE"""),FALSE)</f>
        <v>0</v>
      </c>
      <c r="Q2787" s="20" t="str">
        <f>IFERROR(__xludf.DUMMYFUNCTION("""COMPUTED_VALUE"""),"")</f>
        <v/>
      </c>
      <c r="R2787" s="21" t="str">
        <f>IFERROR(__xludf.DUMMYFUNCTION("""COMPUTED_VALUE"""),"https://drive.google.com/file/d/1EFrCKa2_9R56iNBSjc1CQlJ9E5C6p0Z2/view?usp=drivesdk")</f>
        <v>https://drive.google.com/file/d/1EFrCKa2_9R56iNBSjc1CQlJ9E5C6p0Z2/view?usp=drivesdk</v>
      </c>
    </row>
    <row r="2788">
      <c r="A2788" s="15">
        <f>IFERROR(__xludf.DUMMYFUNCTION("""COMPUTED_VALUE"""),45083.0)</f>
        <v>45083</v>
      </c>
      <c r="B2788" s="16" t="str">
        <f>IFERROR(__xludf.DUMMYFUNCTION("""COMPUTED_VALUE"""),"Johan Alexander Escobar Arroyo ")</f>
        <v>Johan Alexander Escobar Arroyo </v>
      </c>
      <c r="C2788" s="15" t="str">
        <f>IFERROR(__xludf.DUMMYFUNCTION("""COMPUTED_VALUE"""),"IBAGUÉ")</f>
        <v>IBAGUÉ</v>
      </c>
      <c r="D2788" s="15" t="str">
        <f>IFERROR(__xludf.DUMMYFUNCTION("""COMPUTED_VALUE"""),"MEDELLÍN")</f>
        <v>MEDELLÍN</v>
      </c>
      <c r="E2788" s="15" t="str">
        <f>IFERROR(__xludf.DUMMYFUNCTION("""COMPUTED_VALUE"""),"Todo Bufala")</f>
        <v>Todo Bufala</v>
      </c>
      <c r="F2788" s="17" t="str">
        <f>IFERROR(__xludf.DUMMYFUNCTION("""COMPUTED_VALUE"""),"Calle 93 #14-65 sur / Fortezza 3 torre 1 apto 13-02")</f>
        <v>Calle 93 #14-65 sur / Fortezza 3 torre 1 apto 13-02</v>
      </c>
      <c r="G2788" s="15" t="str">
        <f>IFERROR(__xludf.DUMMYFUNCTION("""COMPUTED_VALUE"""),"Luz Melida Guarnizo")</f>
        <v>Luz Melida Guarnizo</v>
      </c>
      <c r="H2788" s="16">
        <f>IFERROR(__xludf.DUMMYFUNCTION("""COMPUTED_VALUE"""),11367.0)</f>
        <v>11367</v>
      </c>
      <c r="I2788" s="18">
        <f>IFERROR(__xludf.DUMMYFUNCTION("""COMPUTED_VALUE"""),20.0)</f>
        <v>20</v>
      </c>
      <c r="J2788" s="18">
        <f>IFERROR(__xludf.DUMMYFUNCTION("""COMPUTED_VALUE"""),30.0)</f>
        <v>30</v>
      </c>
      <c r="K2788" s="18">
        <f>IFERROR(__xludf.DUMMYFUNCTION("""COMPUTED_VALUE"""),40.0)</f>
        <v>40</v>
      </c>
      <c r="L2788" s="17" t="str">
        <f>IFERROR(__xludf.DUMMYFUNCTION("""COMPUTED_VALUE"""),"320 834 5028")</f>
        <v>320 834 5028</v>
      </c>
      <c r="M2788" s="17" t="str">
        <f>IFERROR(__xludf.DUMMYFUNCTION("""COMPUTED_VALUE"""),"#REF!")</f>
        <v>#REF!</v>
      </c>
      <c r="N2788" s="17"/>
      <c r="O2788" s="17"/>
      <c r="P2788" s="17" t="b">
        <f>IFERROR(__xludf.DUMMYFUNCTION("""COMPUTED_VALUE"""),FALSE)</f>
        <v>0</v>
      </c>
      <c r="Q2788" s="20" t="str">
        <f>IFERROR(__xludf.DUMMYFUNCTION("""COMPUTED_VALUE"""),"")</f>
        <v/>
      </c>
      <c r="R2788" s="21" t="str">
        <f>IFERROR(__xludf.DUMMYFUNCTION("""COMPUTED_VALUE"""),"https://drive.google.com/file/d/1Vik0HBQAnuDcZLhdPoJEHsHEpOpE_vHZ/view?usp=drivesdk")</f>
        <v>https://drive.google.com/file/d/1Vik0HBQAnuDcZLhdPoJEHsHEpOpE_vHZ/view?usp=drivesdk</v>
      </c>
    </row>
    <row r="2789">
      <c r="A2789" s="15">
        <f>IFERROR(__xludf.DUMMYFUNCTION("""COMPUTED_VALUE"""),45083.0)</f>
        <v>45083</v>
      </c>
      <c r="B2789" s="16" t="str">
        <f>IFERROR(__xludf.DUMMYFUNCTION("""COMPUTED_VALUE"""),"Johan Alexander Escobar Arroyo ")</f>
        <v>Johan Alexander Escobar Arroyo </v>
      </c>
      <c r="C2789" s="15" t="str">
        <f>IFERROR(__xludf.DUMMYFUNCTION("""COMPUTED_VALUE"""),"PALMIRA")</f>
        <v>PALMIRA</v>
      </c>
      <c r="D2789" s="15" t="str">
        <f>IFERROR(__xludf.DUMMYFUNCTION("""COMPUTED_VALUE"""),"BOGOTÁ")</f>
        <v>BOGOTÁ</v>
      </c>
      <c r="E2789" s="15" t="str">
        <f>IFERROR(__xludf.DUMMYFUNCTION("""COMPUTED_VALUE"""),"Evamazzita")</f>
        <v>Evamazzita</v>
      </c>
      <c r="F2789" s="17" t="str">
        <f>IFERROR(__xludf.DUMMYFUNCTION("""COMPUTED_VALUE"""),"CALLE 38 A # 44 - 59  / BARRIO SANTA ANA / PALMIRA")</f>
        <v>CALLE 38 A # 44 - 59  / BARRIO SANTA ANA / PALMIRA</v>
      </c>
      <c r="G2789" s="15" t="str">
        <f>IFERROR(__xludf.DUMMYFUNCTION("""COMPUTED_VALUE"""),"LINA BECERRA")</f>
        <v>LINA BECERRA</v>
      </c>
      <c r="H2789" s="16">
        <f>IFERROR(__xludf.DUMMYFUNCTION("""COMPUTED_VALUE"""),11357.0)</f>
        <v>11357</v>
      </c>
      <c r="I2789" s="18">
        <f>IFERROR(__xludf.DUMMYFUNCTION("""COMPUTED_VALUE"""),3.0)</f>
        <v>3</v>
      </c>
      <c r="J2789" s="18">
        <f>IFERROR(__xludf.DUMMYFUNCTION("""COMPUTED_VALUE"""),20.0)</f>
        <v>20</v>
      </c>
      <c r="K2789" s="18">
        <f>IFERROR(__xludf.DUMMYFUNCTION("""COMPUTED_VALUE"""),15.0)</f>
        <v>15</v>
      </c>
      <c r="L2789" s="17">
        <f>IFERROR(__xludf.DUMMYFUNCTION("""COMPUTED_VALUE"""),3.217966766E9)</f>
        <v>3217966766</v>
      </c>
      <c r="M2789" s="17" t="str">
        <f>IFERROR(__xludf.DUMMYFUNCTION("""COMPUTED_VALUE"""),"#REF!")</f>
        <v>#REF!</v>
      </c>
      <c r="N2789" s="17"/>
      <c r="O2789" s="17"/>
      <c r="P2789" s="17" t="b">
        <f>IFERROR(__xludf.DUMMYFUNCTION("""COMPUTED_VALUE"""),FALSE)</f>
        <v>0</v>
      </c>
      <c r="Q2789" s="20" t="str">
        <f>IFERROR(__xludf.DUMMYFUNCTION("""COMPUTED_VALUE"""),"")</f>
        <v/>
      </c>
      <c r="R2789" s="21" t="str">
        <f>IFERROR(__xludf.DUMMYFUNCTION("""COMPUTED_VALUE"""),"https://drive.google.com/file/d/1ukVkPNZpQQdsczLIFHfrhn-jeC1_I-pg/view?usp=drivesdk")</f>
        <v>https://drive.google.com/file/d/1ukVkPNZpQQdsczLIFHfrhn-jeC1_I-pg/view?usp=drivesdk</v>
      </c>
    </row>
    <row r="2790">
      <c r="A2790" s="15">
        <f>IFERROR(__xludf.DUMMYFUNCTION("""COMPUTED_VALUE"""),45083.0)</f>
        <v>45083</v>
      </c>
      <c r="B2790" s="16" t="str">
        <f>IFERROR(__xludf.DUMMYFUNCTION("""COMPUTED_VALUE"""),"Johan Alexander Escobar Arroyo ")</f>
        <v>Johan Alexander Escobar Arroyo </v>
      </c>
      <c r="C2790" s="15" t="str">
        <f>IFERROR(__xludf.DUMMYFUNCTION("""COMPUTED_VALUE"""),"PALMIRA")</f>
        <v>PALMIRA</v>
      </c>
      <c r="D2790" s="15" t="str">
        <f>IFERROR(__xludf.DUMMYFUNCTION("""COMPUTED_VALUE"""),"BOGOTÁ")</f>
        <v>BOGOTÁ</v>
      </c>
      <c r="E2790" s="15" t="str">
        <f>IFERROR(__xludf.DUMMYFUNCTION("""COMPUTED_VALUE"""),"Evamazzita")</f>
        <v>Evamazzita</v>
      </c>
      <c r="F2790" s="17" t="str">
        <f>IFERROR(__xludf.DUMMYFUNCTION("""COMPUTED_VALUE"""),"calle 43b 2 -147  / Santa María del palmar  / (RECIBE MAURICIO YESID GARZÓN) - PALMIRA")</f>
        <v>calle 43b 2 -147  / Santa María del palmar  / (RECIBE MAURICIO YESID GARZÓN) - PALMIRA</v>
      </c>
      <c r="G2790" s="15" t="str">
        <f>IFERROR(__xludf.DUMMYFUNCTION("""COMPUTED_VALUE"""),"DIOSELINA JHOSSEP BENAVIDES")</f>
        <v>DIOSELINA JHOSSEP BENAVIDES</v>
      </c>
      <c r="H2790" s="16">
        <f>IFERROR(__xludf.DUMMYFUNCTION("""COMPUTED_VALUE"""),11358.0)</f>
        <v>11358</v>
      </c>
      <c r="I2790" s="18">
        <f>IFERROR(__xludf.DUMMYFUNCTION("""COMPUTED_VALUE"""),3.0)</f>
        <v>3</v>
      </c>
      <c r="J2790" s="18">
        <f>IFERROR(__xludf.DUMMYFUNCTION("""COMPUTED_VALUE"""),20.0)</f>
        <v>20</v>
      </c>
      <c r="K2790" s="18">
        <f>IFERROR(__xludf.DUMMYFUNCTION("""COMPUTED_VALUE"""),15.0)</f>
        <v>15</v>
      </c>
      <c r="L2790" s="17">
        <f>IFERROR(__xludf.DUMMYFUNCTION("""COMPUTED_VALUE"""),3.218874122E9)</f>
        <v>3218874122</v>
      </c>
      <c r="M2790" s="17" t="str">
        <f>IFERROR(__xludf.DUMMYFUNCTION("""COMPUTED_VALUE"""),"#REF!")</f>
        <v>#REF!</v>
      </c>
      <c r="N2790" s="17"/>
      <c r="O2790" s="17"/>
      <c r="P2790" s="17" t="b">
        <f>IFERROR(__xludf.DUMMYFUNCTION("""COMPUTED_VALUE"""),FALSE)</f>
        <v>0</v>
      </c>
      <c r="Q2790" s="20" t="str">
        <f>IFERROR(__xludf.DUMMYFUNCTION("""COMPUTED_VALUE"""),"")</f>
        <v/>
      </c>
      <c r="R2790" s="21" t="str">
        <f>IFERROR(__xludf.DUMMYFUNCTION("""COMPUTED_VALUE"""),"https://drive.google.com/file/d/1xvubEGrqC7YnckH2aIgCGHWQP0pYzXdg/view?usp=drivesdk")</f>
        <v>https://drive.google.com/file/d/1xvubEGrqC7YnckH2aIgCGHWQP0pYzXdg/view?usp=drivesdk</v>
      </c>
    </row>
    <row r="2791">
      <c r="A2791" s="15">
        <f>IFERROR(__xludf.DUMMYFUNCTION("""COMPUTED_VALUE"""),45083.0)</f>
        <v>45083</v>
      </c>
      <c r="B2791" s="16" t="str">
        <f>IFERROR(__xludf.DUMMYFUNCTION("""COMPUTED_VALUE"""),"Johan Alexander Escobar Arroyo ")</f>
        <v>Johan Alexander Escobar Arroyo </v>
      </c>
      <c r="C2791" s="15" t="str">
        <f>IFERROR(__xludf.DUMMYFUNCTION("""COMPUTED_VALUE"""),"PALMIRA")</f>
        <v>PALMIRA</v>
      </c>
      <c r="D2791" s="15" t="str">
        <f>IFERROR(__xludf.DUMMYFUNCTION("""COMPUTED_VALUE"""),"BOGOTÁ")</f>
        <v>BOGOTÁ</v>
      </c>
      <c r="E2791" s="15" t="str">
        <f>IFERROR(__xludf.DUMMYFUNCTION("""COMPUTED_VALUE"""),"Evamazzita")</f>
        <v>Evamazzita</v>
      </c>
      <c r="F2791" s="17" t="str">
        <f>IFERROR(__xludf.DUMMYFUNCTION("""COMPUTED_VALUE"""),"Carrera 39 # 42 360  / Unidad mulino Apto 902 torre 6 / PALMIRA")</f>
        <v>Carrera 39 # 42 360  / Unidad mulino Apto 902 torre 6 / PALMIRA</v>
      </c>
      <c r="G2791" s="15" t="str">
        <f>IFERROR(__xludf.DUMMYFUNCTION("""COMPUTED_VALUE"""),"GIOVANNA RAMIREZ")</f>
        <v>GIOVANNA RAMIREZ</v>
      </c>
      <c r="H2791" s="16">
        <f>IFERROR(__xludf.DUMMYFUNCTION("""COMPUTED_VALUE"""),11355.0)</f>
        <v>11355</v>
      </c>
      <c r="I2791" s="18">
        <f>IFERROR(__xludf.DUMMYFUNCTION("""COMPUTED_VALUE"""),10.0)</f>
        <v>10</v>
      </c>
      <c r="J2791" s="18">
        <f>IFERROR(__xludf.DUMMYFUNCTION("""COMPUTED_VALUE"""),18.0)</f>
        <v>18</v>
      </c>
      <c r="K2791" s="18">
        <f>IFERROR(__xludf.DUMMYFUNCTION("""COMPUTED_VALUE"""),22.0)</f>
        <v>22</v>
      </c>
      <c r="L2791" s="17">
        <f>IFERROR(__xludf.DUMMYFUNCTION("""COMPUTED_VALUE"""),3.188043846E9)</f>
        <v>3188043846</v>
      </c>
      <c r="M2791" s="17" t="str">
        <f>IFERROR(__xludf.DUMMYFUNCTION("""COMPUTED_VALUE"""),"#REF!")</f>
        <v>#REF!</v>
      </c>
      <c r="N2791" s="17"/>
      <c r="O2791" s="17"/>
      <c r="P2791" s="17" t="b">
        <f>IFERROR(__xludf.DUMMYFUNCTION("""COMPUTED_VALUE"""),FALSE)</f>
        <v>0</v>
      </c>
      <c r="Q2791" s="20" t="str">
        <f>IFERROR(__xludf.DUMMYFUNCTION("""COMPUTED_VALUE"""),"")</f>
        <v/>
      </c>
      <c r="R2791" s="21" t="str">
        <f>IFERROR(__xludf.DUMMYFUNCTION("""COMPUTED_VALUE"""),"https://drive.google.com/file/d/1pM2K_4UIfiY2K_1nU-UL3ylj_Y1tuDSP/view?usp=drivesdk")</f>
        <v>https://drive.google.com/file/d/1pM2K_4UIfiY2K_1nU-UL3ylj_Y1tuDSP/view?usp=drivesdk</v>
      </c>
    </row>
    <row r="2792">
      <c r="A2792" s="15">
        <f>IFERROR(__xludf.DUMMYFUNCTION("""COMPUTED_VALUE"""),45083.0)</f>
        <v>45083</v>
      </c>
      <c r="B2792" s="16" t="str">
        <f>IFERROR(__xludf.DUMMYFUNCTION("""COMPUTED_VALUE"""),"Johan Alexander Escobar Arroyo ")</f>
        <v>Johan Alexander Escobar Arroyo </v>
      </c>
      <c r="C2792" s="15" t="str">
        <f>IFERROR(__xludf.DUMMYFUNCTION("""COMPUTED_VALUE"""),"PALMIRA")</f>
        <v>PALMIRA</v>
      </c>
      <c r="D2792" s="15" t="str">
        <f>IFERROR(__xludf.DUMMYFUNCTION("""COMPUTED_VALUE"""),"BOGOTÁ")</f>
        <v>BOGOTÁ</v>
      </c>
      <c r="E2792" s="15" t="str">
        <f>IFERROR(__xludf.DUMMYFUNCTION("""COMPUTED_VALUE"""),"Evamazzita")</f>
        <v>Evamazzita</v>
      </c>
      <c r="F2792" s="17" t="str">
        <f>IFERROR(__xludf.DUMMYFUNCTION("""COMPUTED_VALUE"""),"PALMIRA: CALLE 57 No. 24 - 08  / CONJUNTO VILLARREAL CASA 5 BARRIO LAS MERCEDES  / PALMIRA VALLE")</f>
        <v>PALMIRA: CALLE 57 No. 24 - 08  / CONJUNTO VILLARREAL CASA 5 BARRIO LAS MERCEDES  / PALMIRA VALLE</v>
      </c>
      <c r="G2792" s="15" t="str">
        <f>IFERROR(__xludf.DUMMYFUNCTION("""COMPUTED_VALUE"""),"DIANA CAROLINA ERAZO")</f>
        <v>DIANA CAROLINA ERAZO</v>
      </c>
      <c r="H2792" s="16">
        <f>IFERROR(__xludf.DUMMYFUNCTION("""COMPUTED_VALUE"""),11354.0)</f>
        <v>11354</v>
      </c>
      <c r="I2792" s="18">
        <f>IFERROR(__xludf.DUMMYFUNCTION("""COMPUTED_VALUE"""),3.0)</f>
        <v>3</v>
      </c>
      <c r="J2792" s="18">
        <f>IFERROR(__xludf.DUMMYFUNCTION("""COMPUTED_VALUE"""),20.0)</f>
        <v>20</v>
      </c>
      <c r="K2792" s="18">
        <f>IFERROR(__xludf.DUMMYFUNCTION("""COMPUTED_VALUE"""),15.0)</f>
        <v>15</v>
      </c>
      <c r="L2792" s="17">
        <f>IFERROR(__xludf.DUMMYFUNCTION("""COMPUTED_VALUE"""),3.235512936E9)</f>
        <v>3235512936</v>
      </c>
      <c r="M2792" s="17" t="str">
        <f>IFERROR(__xludf.DUMMYFUNCTION("""COMPUTED_VALUE"""),"#REF!")</f>
        <v>#REF!</v>
      </c>
      <c r="N2792" s="17"/>
      <c r="O2792" s="17"/>
      <c r="P2792" s="17" t="b">
        <f>IFERROR(__xludf.DUMMYFUNCTION("""COMPUTED_VALUE"""),FALSE)</f>
        <v>0</v>
      </c>
      <c r="Q2792" s="20" t="str">
        <f>IFERROR(__xludf.DUMMYFUNCTION("""COMPUTED_VALUE"""),"")</f>
        <v/>
      </c>
      <c r="R2792" s="21" t="str">
        <f>IFERROR(__xludf.DUMMYFUNCTION("""COMPUTED_VALUE"""),"https://drive.google.com/file/d/1t4Y7F-y5HVqMg2SYt2wuDa9wIfYquDrC/view?usp=drivesdk")</f>
        <v>https://drive.google.com/file/d/1t4Y7F-y5HVqMg2SYt2wuDa9wIfYquDrC/view?usp=drivesdk</v>
      </c>
    </row>
    <row r="2793">
      <c r="A2793" s="17" t="str">
        <f>IFERROR(__xludf.DUMMYFUNCTION("""COMPUTED_VALUE"""),"")</f>
        <v/>
      </c>
      <c r="B2793" s="17" t="str">
        <f>IFERROR(__xludf.DUMMYFUNCTION("""COMPUTED_VALUE"""),"")</f>
        <v/>
      </c>
      <c r="C2793" s="17" t="str">
        <f>IFERROR(__xludf.DUMMYFUNCTION("""COMPUTED_VALUE"""),"")</f>
        <v/>
      </c>
      <c r="D2793" s="17" t="str">
        <f>IFERROR(__xludf.DUMMYFUNCTION("""COMPUTED_VALUE"""),"")</f>
        <v/>
      </c>
      <c r="E2793" s="17" t="str">
        <f>IFERROR(__xludf.DUMMYFUNCTION("""COMPUTED_VALUE"""),"")</f>
        <v/>
      </c>
      <c r="F2793" s="17" t="str">
        <f>IFERROR(__xludf.DUMMYFUNCTION("""COMPUTED_VALUE"""),"")</f>
        <v/>
      </c>
      <c r="G2793" s="17" t="str">
        <f>IFERROR(__xludf.DUMMYFUNCTION("""COMPUTED_VALUE"""),"")</f>
        <v/>
      </c>
      <c r="H2793" s="17" t="str">
        <f>IFERROR(__xludf.DUMMYFUNCTION("""COMPUTED_VALUE"""),"")</f>
        <v/>
      </c>
      <c r="I2793" s="17" t="str">
        <f>IFERROR(__xludf.DUMMYFUNCTION("""COMPUTED_VALUE"""),"")</f>
        <v/>
      </c>
      <c r="J2793" s="17" t="str">
        <f>IFERROR(__xludf.DUMMYFUNCTION("""COMPUTED_VALUE"""),"")</f>
        <v/>
      </c>
      <c r="K2793" s="17" t="str">
        <f>IFERROR(__xludf.DUMMYFUNCTION("""COMPUTED_VALUE"""),"")</f>
        <v/>
      </c>
      <c r="L2793" s="17" t="str">
        <f>IFERROR(__xludf.DUMMYFUNCTION("""COMPUTED_VALUE"""),"")</f>
        <v/>
      </c>
      <c r="M2793" s="17" t="str">
        <f>IFERROR(__xludf.DUMMYFUNCTION("""COMPUTED_VALUE"""),"")</f>
        <v/>
      </c>
      <c r="N2793" s="17" t="str">
        <f>IFERROR(__xludf.DUMMYFUNCTION("""COMPUTED_VALUE"""),"")</f>
        <v/>
      </c>
      <c r="O2793" s="17" t="str">
        <f>IFERROR(__xludf.DUMMYFUNCTION("""COMPUTED_VALUE"""),"")</f>
        <v/>
      </c>
      <c r="P2793" s="17" t="str">
        <f>IFERROR(__xludf.DUMMYFUNCTION("""COMPUTED_VALUE"""),"")</f>
        <v/>
      </c>
      <c r="Q2793" s="17" t="str">
        <f>IFERROR(__xludf.DUMMYFUNCTION("""COMPUTED_VALUE"""),"")</f>
        <v/>
      </c>
      <c r="R2793" s="17" t="str">
        <f>IFERROR(__xludf.DUMMYFUNCTION("""COMPUTED_VALUE"""),"")</f>
        <v/>
      </c>
    </row>
    <row r="2794">
      <c r="A2794" s="15">
        <f>IFERROR(__xludf.DUMMYFUNCTION("""COMPUTED_VALUE"""),45083.0)</f>
        <v>45083</v>
      </c>
      <c r="B2794" s="16" t="str">
        <f>IFERROR(__xludf.DUMMYFUNCTION("""COMPUTED_VALUE"""),"Jonathan Steven Taborda")</f>
        <v>Jonathan Steven Taborda</v>
      </c>
      <c r="C2794" s="15" t="str">
        <f>IFERROR(__xludf.DUMMYFUNCTION("""COMPUTED_VALUE"""),"ARMENIA")</f>
        <v>ARMENIA</v>
      </c>
      <c r="D2794" s="15" t="str">
        <f>IFERROR(__xludf.DUMMYFUNCTION("""COMPUTED_VALUE"""),"BOGOTÁ")</f>
        <v>BOGOTÁ</v>
      </c>
      <c r="E2794" s="15" t="str">
        <f>IFERROR(__xludf.DUMMYFUNCTION("""COMPUTED_VALUE"""),"Viiva Fermentados")</f>
        <v>Viiva Fermentados</v>
      </c>
      <c r="F2794" s="17" t="str">
        <f>IFERROR(__xludf.DUMMYFUNCTION("""COMPUTED_VALUE"""),"Cl. 5 Nte. #14–06, Armenia, Quindío / Tienda Boticasol / La Lorena")</f>
        <v>Cl. 5 Nte. #14–06, Armenia, Quindío / Tienda Boticasol / La Lorena</v>
      </c>
      <c r="G2794" s="15" t="str">
        <f>IFERROR(__xludf.DUMMYFUNCTION("""COMPUTED_VALUE"""),"Botical Sol")</f>
        <v>Botical Sol</v>
      </c>
      <c r="H2794" s="16">
        <f>IFERROR(__xludf.DUMMYFUNCTION("""COMPUTED_VALUE"""),11310.0)</f>
        <v>11310</v>
      </c>
      <c r="I2794" s="18" t="str">
        <f>IFERROR(__xludf.DUMMYFUNCTION("""COMPUTED_VALUE"""),"33.5")</f>
        <v>33.5</v>
      </c>
      <c r="J2794" s="18">
        <f>IFERROR(__xludf.DUMMYFUNCTION("""COMPUTED_VALUE"""),36.0)</f>
        <v>36</v>
      </c>
      <c r="K2794" s="18">
        <f>IFERROR(__xludf.DUMMYFUNCTION("""COMPUTED_VALUE"""),45072.0)</f>
        <v>45072</v>
      </c>
      <c r="L2794" s="17">
        <f>IFERROR(__xludf.DUMMYFUNCTION("""COMPUTED_VALUE"""),3.177969795E9)</f>
        <v>3177969795</v>
      </c>
      <c r="M2794" s="17" t="str">
        <f>IFERROR(__xludf.DUMMYFUNCTION("""COMPUTED_VALUE"""),"#REF!")</f>
        <v>#REF!</v>
      </c>
      <c r="N2794" s="17"/>
      <c r="O2794" s="17"/>
      <c r="P2794" s="17" t="b">
        <f>IFERROR(__xludf.DUMMYFUNCTION("""COMPUTED_VALUE"""),FALSE)</f>
        <v>0</v>
      </c>
      <c r="Q2794" s="20" t="str">
        <f>IFERROR(__xludf.DUMMYFUNCTION("""COMPUTED_VALUE"""),"")</f>
        <v/>
      </c>
      <c r="R2794" s="21" t="str">
        <f>IFERROR(__xludf.DUMMYFUNCTION("""COMPUTED_VALUE"""),"https://drive.google.com/file/d/1gFZJsmMOlFM7W9mn40tUjx9nPDOLPyQW/view?usp=drivesdk")</f>
        <v>https://drive.google.com/file/d/1gFZJsmMOlFM7W9mn40tUjx9nPDOLPyQW/view?usp=drivesdk</v>
      </c>
    </row>
    <row r="2795">
      <c r="A2795" s="15">
        <f>IFERROR(__xludf.DUMMYFUNCTION("""COMPUTED_VALUE"""),45083.0)</f>
        <v>45083</v>
      </c>
      <c r="B2795" s="16" t="str">
        <f>IFERROR(__xludf.DUMMYFUNCTION("""COMPUTED_VALUE"""),"Jonathan Steven Taborda")</f>
        <v>Jonathan Steven Taborda</v>
      </c>
      <c r="C2795" s="15" t="str">
        <f>IFERROR(__xludf.DUMMYFUNCTION("""COMPUTED_VALUE"""),"ARMENIA")</f>
        <v>ARMENIA</v>
      </c>
      <c r="D2795" s="15" t="str">
        <f>IFERROR(__xludf.DUMMYFUNCTION("""COMPUTED_VALUE"""),"MEDELLÍN")</f>
        <v>MEDELLÍN</v>
      </c>
      <c r="E2795" s="15" t="str">
        <f>IFERROR(__xludf.DUMMYFUNCTION("""COMPUTED_VALUE"""),"Baby Chef")</f>
        <v>Baby Chef</v>
      </c>
      <c r="F2795" s="17" t="str">
        <f>IFERROR(__xludf.DUMMYFUNCTION("""COMPUTED_VALUE"""),"Km 3 via armenia circasia  / Condominio Hacienda Horizontes  / casa 46")</f>
        <v>Km 3 via armenia circasia  / Condominio Hacienda Horizontes  / casa 46</v>
      </c>
      <c r="G2795" s="15" t="str">
        <f>IFERROR(__xludf.DUMMYFUNCTION("""COMPUTED_VALUE"""),"Daniela Salazar")</f>
        <v>Daniela Salazar</v>
      </c>
      <c r="H2795" s="16">
        <f>IFERROR(__xludf.DUMMYFUNCTION("""COMPUTED_VALUE"""),11383.0)</f>
        <v>11383</v>
      </c>
      <c r="I2795" s="18">
        <f>IFERROR(__xludf.DUMMYFUNCTION("""COMPUTED_VALUE"""),8.0)</f>
        <v>8</v>
      </c>
      <c r="J2795" s="18">
        <f>IFERROR(__xludf.DUMMYFUNCTION("""COMPUTED_VALUE"""),16.0)</f>
        <v>16</v>
      </c>
      <c r="K2795" s="18">
        <f>IFERROR(__xludf.DUMMYFUNCTION("""COMPUTED_VALUE"""),20.0)</f>
        <v>20</v>
      </c>
      <c r="L2795" s="17">
        <f>IFERROR(__xludf.DUMMYFUNCTION("""COMPUTED_VALUE"""),3.107256967E9)</f>
        <v>3107256967</v>
      </c>
      <c r="M2795" s="17" t="str">
        <f>IFERROR(__xludf.DUMMYFUNCTION("""COMPUTED_VALUE"""),"#REF!")</f>
        <v>#REF!</v>
      </c>
      <c r="N2795" s="17"/>
      <c r="O2795" s="17"/>
      <c r="P2795" s="17" t="b">
        <f>IFERROR(__xludf.DUMMYFUNCTION("""COMPUTED_VALUE"""),FALSE)</f>
        <v>0</v>
      </c>
      <c r="Q2795" s="20" t="str">
        <f>IFERROR(__xludf.DUMMYFUNCTION("""COMPUTED_VALUE"""),"")</f>
        <v/>
      </c>
      <c r="R2795" s="21" t="str">
        <f>IFERROR(__xludf.DUMMYFUNCTION("""COMPUTED_VALUE"""),"https://drive.google.com/file/d/1UP_zhHHhrFAVDRdreYJoVj_RnM9d1ujM/view?usp=drivesdk")</f>
        <v>https://drive.google.com/file/d/1UP_zhHHhrFAVDRdreYJoVj_RnM9d1ujM/view?usp=drivesdk</v>
      </c>
    </row>
    <row r="2796">
      <c r="A2796" s="15">
        <f>IFERROR(__xludf.DUMMYFUNCTION("""COMPUTED_VALUE"""),45083.0)</f>
        <v>45083</v>
      </c>
      <c r="B2796" s="16" t="str">
        <f>IFERROR(__xludf.DUMMYFUNCTION("""COMPUTED_VALUE"""),"Jonathan Steven Taborda")</f>
        <v>Jonathan Steven Taborda</v>
      </c>
      <c r="C2796" s="15" t="str">
        <f>IFERROR(__xludf.DUMMYFUNCTION("""COMPUTED_VALUE"""),"ARMENIA")</f>
        <v>ARMENIA</v>
      </c>
      <c r="D2796" s="15" t="str">
        <f>IFERROR(__xludf.DUMMYFUNCTION("""COMPUTED_VALUE"""),"MEDELLÍN")</f>
        <v>MEDELLÍN</v>
      </c>
      <c r="E2796" s="15" t="str">
        <f>IFERROR(__xludf.DUMMYFUNCTION("""COMPUTED_VALUE"""),"Masar Cocina")</f>
        <v>Masar Cocina</v>
      </c>
      <c r="F2796" s="17" t="str">
        <f>IFERROR(__xludf.DUMMYFUNCTION("""COMPUTED_VALUE"""),"Km 3 via armenia circasia condominio hacienda horizontes casa 46 / Armenia quindio / Circasia condominio horizontes casa 46")</f>
        <v>Km 3 via armenia circasia condominio hacienda horizontes casa 46 / Armenia quindio / Circasia condominio horizontes casa 46</v>
      </c>
      <c r="G2796" s="15" t="str">
        <f>IFERROR(__xludf.DUMMYFUNCTION("""COMPUTED_VALUE"""),"Daniela salazar")</f>
        <v>Daniela salazar</v>
      </c>
      <c r="H2796" s="16">
        <f>IFERROR(__xludf.DUMMYFUNCTION("""COMPUTED_VALUE"""),11190.0)</f>
        <v>11190</v>
      </c>
      <c r="I2796" s="18">
        <f>IFERROR(__xludf.DUMMYFUNCTION("""COMPUTED_VALUE"""),25.0)</f>
        <v>25</v>
      </c>
      <c r="J2796" s="18">
        <f>IFERROR(__xludf.DUMMYFUNCTION("""COMPUTED_VALUE"""),25.0)</f>
        <v>25</v>
      </c>
      <c r="K2796" s="18">
        <f>IFERROR(__xludf.DUMMYFUNCTION("""COMPUTED_VALUE"""),25.0)</f>
        <v>25</v>
      </c>
      <c r="L2796" s="17">
        <f>IFERROR(__xludf.DUMMYFUNCTION("""COMPUTED_VALUE"""),3.107256967E9)</f>
        <v>3107256967</v>
      </c>
      <c r="M2796" s="17" t="str">
        <f>IFERROR(__xludf.DUMMYFUNCTION("""COMPUTED_VALUE"""),"#REF!")</f>
        <v>#REF!</v>
      </c>
      <c r="N2796" s="17"/>
      <c r="O2796" s="17"/>
      <c r="P2796" s="17" t="b">
        <f>IFERROR(__xludf.DUMMYFUNCTION("""COMPUTED_VALUE"""),FALSE)</f>
        <v>0</v>
      </c>
      <c r="Q2796" s="20" t="str">
        <f>IFERROR(__xludf.DUMMYFUNCTION("""COMPUTED_VALUE"""),"")</f>
        <v/>
      </c>
      <c r="R2796" s="21" t="str">
        <f>IFERROR(__xludf.DUMMYFUNCTION("""COMPUTED_VALUE"""),"https://drive.google.com/file/d/1TWhGuVLerUKg-IQBFPBPPri4WUojiWdG/view?usp=drivesdk")</f>
        <v>https://drive.google.com/file/d/1TWhGuVLerUKg-IQBFPBPPri4WUojiWdG/view?usp=drivesdk</v>
      </c>
    </row>
    <row r="2797">
      <c r="A2797" s="15">
        <f>IFERROR(__xludf.DUMMYFUNCTION("""COMPUTED_VALUE"""),45083.0)</f>
        <v>45083</v>
      </c>
      <c r="B2797" s="16" t="str">
        <f>IFERROR(__xludf.DUMMYFUNCTION("""COMPUTED_VALUE"""),"Jonathan Steven Taborda")</f>
        <v>Jonathan Steven Taborda</v>
      </c>
      <c r="C2797" s="15" t="str">
        <f>IFERROR(__xludf.DUMMYFUNCTION("""COMPUTED_VALUE"""),"MANIZALES")</f>
        <v>MANIZALES</v>
      </c>
      <c r="D2797" s="15" t="str">
        <f>IFERROR(__xludf.DUMMYFUNCTION("""COMPUTED_VALUE"""),"MEDELLÍN")</f>
        <v>MEDELLÍN</v>
      </c>
      <c r="E2797" s="15" t="str">
        <f>IFERROR(__xludf.DUMMYFUNCTION("""COMPUTED_VALUE"""),"Todo Bufala")</f>
        <v>Todo Bufala</v>
      </c>
      <c r="F2797" s="17" t="str">
        <f>IFERROR(__xludf.DUMMYFUNCTION("""COMPUTED_VALUE"""),"Call 66 #23b-211 / Edifico calle larga, local 5c")</f>
        <v>Call 66 #23b-211 / Edifico calle larga, local 5c</v>
      </c>
      <c r="G2797" s="15" t="str">
        <f>IFERROR(__xludf.DUMMYFUNCTION("""COMPUTED_VALUE"""),"Sebastian Perez")</f>
        <v>Sebastian Perez</v>
      </c>
      <c r="H2797" s="16">
        <f>IFERROR(__xludf.DUMMYFUNCTION("""COMPUTED_VALUE"""),11296.0)</f>
        <v>11296</v>
      </c>
      <c r="I2797" s="18">
        <f>IFERROR(__xludf.DUMMYFUNCTION("""COMPUTED_VALUE"""),21.0)</f>
        <v>21</v>
      </c>
      <c r="J2797" s="18">
        <f>IFERROR(__xludf.DUMMYFUNCTION("""COMPUTED_VALUE"""),29.0)</f>
        <v>29</v>
      </c>
      <c r="K2797" s="18">
        <f>IFERROR(__xludf.DUMMYFUNCTION("""COMPUTED_VALUE"""),40.0)</f>
        <v>40</v>
      </c>
      <c r="L2797" s="17">
        <f>IFERROR(__xludf.DUMMYFUNCTION("""COMPUTED_VALUE"""),3.106974621E9)</f>
        <v>3106974621</v>
      </c>
      <c r="M2797" s="17" t="str">
        <f>IFERROR(__xludf.DUMMYFUNCTION("""COMPUTED_VALUE"""),"#REF!")</f>
        <v>#REF!</v>
      </c>
      <c r="N2797" s="17"/>
      <c r="O2797" s="17"/>
      <c r="P2797" s="17" t="b">
        <f>IFERROR(__xludf.DUMMYFUNCTION("""COMPUTED_VALUE"""),FALSE)</f>
        <v>0</v>
      </c>
      <c r="Q2797" s="20" t="str">
        <f>IFERROR(__xludf.DUMMYFUNCTION("""COMPUTED_VALUE"""),"")</f>
        <v/>
      </c>
      <c r="R2797" s="21" t="str">
        <f>IFERROR(__xludf.DUMMYFUNCTION("""COMPUTED_VALUE"""),"https://drive.google.com/file/d/1KCznOIL_2vCxEXgjqUdyXmU6mnQaiZoL/view?usp=drivesdk")</f>
        <v>https://drive.google.com/file/d/1KCznOIL_2vCxEXgjqUdyXmU6mnQaiZoL/view?usp=drivesdk</v>
      </c>
    </row>
    <row r="2798">
      <c r="A2798" s="17" t="str">
        <f>IFERROR(__xludf.DUMMYFUNCTION("""COMPUTED_VALUE"""),"")</f>
        <v/>
      </c>
      <c r="B2798" s="17" t="str">
        <f>IFERROR(__xludf.DUMMYFUNCTION("""COMPUTED_VALUE"""),"")</f>
        <v/>
      </c>
      <c r="C2798" s="17" t="str">
        <f>IFERROR(__xludf.DUMMYFUNCTION("""COMPUTED_VALUE"""),"")</f>
        <v/>
      </c>
      <c r="D2798" s="17" t="str">
        <f>IFERROR(__xludf.DUMMYFUNCTION("""COMPUTED_VALUE"""),"")</f>
        <v/>
      </c>
      <c r="E2798" s="17" t="str">
        <f>IFERROR(__xludf.DUMMYFUNCTION("""COMPUTED_VALUE"""),"")</f>
        <v/>
      </c>
      <c r="F2798" s="17" t="str">
        <f>IFERROR(__xludf.DUMMYFUNCTION("""COMPUTED_VALUE"""),"")</f>
        <v/>
      </c>
      <c r="G2798" s="17" t="str">
        <f>IFERROR(__xludf.DUMMYFUNCTION("""COMPUTED_VALUE"""),"")</f>
        <v/>
      </c>
      <c r="H2798" s="17" t="str">
        <f>IFERROR(__xludf.DUMMYFUNCTION("""COMPUTED_VALUE"""),"")</f>
        <v/>
      </c>
      <c r="I2798" s="17" t="str">
        <f>IFERROR(__xludf.DUMMYFUNCTION("""COMPUTED_VALUE"""),"")</f>
        <v/>
      </c>
      <c r="J2798" s="17" t="str">
        <f>IFERROR(__xludf.DUMMYFUNCTION("""COMPUTED_VALUE"""),"")</f>
        <v/>
      </c>
      <c r="K2798" s="17" t="str">
        <f>IFERROR(__xludf.DUMMYFUNCTION("""COMPUTED_VALUE"""),"")</f>
        <v/>
      </c>
      <c r="L2798" s="17" t="str">
        <f>IFERROR(__xludf.DUMMYFUNCTION("""COMPUTED_VALUE"""),"")</f>
        <v/>
      </c>
      <c r="M2798" s="17" t="str">
        <f>IFERROR(__xludf.DUMMYFUNCTION("""COMPUTED_VALUE"""),"")</f>
        <v/>
      </c>
      <c r="N2798" s="17" t="str">
        <f>IFERROR(__xludf.DUMMYFUNCTION("""COMPUTED_VALUE"""),"")</f>
        <v/>
      </c>
      <c r="O2798" s="17" t="str">
        <f>IFERROR(__xludf.DUMMYFUNCTION("""COMPUTED_VALUE"""),"")</f>
        <v/>
      </c>
      <c r="P2798" s="17" t="str">
        <f>IFERROR(__xludf.DUMMYFUNCTION("""COMPUTED_VALUE"""),"")</f>
        <v/>
      </c>
      <c r="Q2798" s="17" t="str">
        <f>IFERROR(__xludf.DUMMYFUNCTION("""COMPUTED_VALUE"""),"")</f>
        <v/>
      </c>
      <c r="R2798" s="17" t="str">
        <f>IFERROR(__xludf.DUMMYFUNCTION("""COMPUTED_VALUE"""),"")</f>
        <v/>
      </c>
    </row>
    <row r="2799">
      <c r="A2799" s="15">
        <f>IFERROR(__xludf.DUMMYFUNCTION("""COMPUTED_VALUE"""),45083.0)</f>
        <v>45083</v>
      </c>
      <c r="B2799" s="16" t="str">
        <f>IFERROR(__xludf.DUMMYFUNCTION("""COMPUTED_VALUE"""),"José Miguel Bonilla")</f>
        <v>José Miguel Bonilla</v>
      </c>
      <c r="C2799" s="15" t="str">
        <f>IFERROR(__xludf.DUMMYFUNCTION("""COMPUTED_VALUE"""),"BUCARAMANGA")</f>
        <v>BUCARAMANGA</v>
      </c>
      <c r="D2799" s="15" t="str">
        <f>IFERROR(__xludf.DUMMYFUNCTION("""COMPUTED_VALUE"""),"BOGOTÁ")</f>
        <v>BOGOTÁ</v>
      </c>
      <c r="E2799" s="15" t="str">
        <f>IFERROR(__xludf.DUMMYFUNCTION("""COMPUTED_VALUE"""),"Evamazzita")</f>
        <v>Evamazzita</v>
      </c>
      <c r="F2799" s="17" t="str">
        <f>IFERROR(__xludf.DUMMYFUNCTION("""COMPUTED_VALUE"""),"Cra 29 # 45 -45  / Edificio Metropolitan, piso 20  / Barrio Soto Mayor")</f>
        <v>Cra 29 # 45 -45  / Edificio Metropolitan, piso 20  / Barrio Soto Mayor</v>
      </c>
      <c r="G2799" s="15" t="str">
        <f>IFERROR(__xludf.DUMMYFUNCTION("""COMPUTED_VALUE"""),"LEIDY MANOSALVA CHIVATA")</f>
        <v>LEIDY MANOSALVA CHIVATA</v>
      </c>
      <c r="H2799" s="16">
        <f>IFERROR(__xludf.DUMMYFUNCTION("""COMPUTED_VALUE"""),11326.0)</f>
        <v>11326</v>
      </c>
      <c r="I2799" s="18">
        <f>IFERROR(__xludf.DUMMYFUNCTION("""COMPUTED_VALUE"""),6.0)</f>
        <v>6</v>
      </c>
      <c r="J2799" s="18">
        <f>IFERROR(__xludf.DUMMYFUNCTION("""COMPUTED_VALUE"""),17.0)</f>
        <v>17</v>
      </c>
      <c r="K2799" s="18">
        <f>IFERROR(__xludf.DUMMYFUNCTION("""COMPUTED_VALUE"""),13.0)</f>
        <v>13</v>
      </c>
      <c r="L2799" s="17">
        <f>IFERROR(__xludf.DUMMYFUNCTION("""COMPUTED_VALUE"""),3.104763914E9)</f>
        <v>3104763914</v>
      </c>
      <c r="M2799" s="17" t="str">
        <f>IFERROR(__xludf.DUMMYFUNCTION("""COMPUTED_VALUE"""),"#REF!")</f>
        <v>#REF!</v>
      </c>
      <c r="N2799" s="17"/>
      <c r="O2799" s="17"/>
      <c r="P2799" s="17" t="b">
        <f>IFERROR(__xludf.DUMMYFUNCTION("""COMPUTED_VALUE"""),FALSE)</f>
        <v>0</v>
      </c>
      <c r="Q2799" s="20" t="str">
        <f>IFERROR(__xludf.DUMMYFUNCTION("""COMPUTED_VALUE"""),"")</f>
        <v/>
      </c>
      <c r="R2799" s="21" t="str">
        <f>IFERROR(__xludf.DUMMYFUNCTION("""COMPUTED_VALUE"""),"https://drive.google.com/file/d/1FajK2H_slMniaTHp3vluN84jaBjbOwO-/view?usp=drivesdk")</f>
        <v>https://drive.google.com/file/d/1FajK2H_slMniaTHp3vluN84jaBjbOwO-/view?usp=drivesdk</v>
      </c>
    </row>
    <row r="2800">
      <c r="A2800" s="15">
        <f>IFERROR(__xludf.DUMMYFUNCTION("""COMPUTED_VALUE"""),45083.0)</f>
        <v>45083</v>
      </c>
      <c r="B2800" s="16" t="str">
        <f>IFERROR(__xludf.DUMMYFUNCTION("""COMPUTED_VALUE"""),"José Miguel Bonilla")</f>
        <v>José Miguel Bonilla</v>
      </c>
      <c r="C2800" s="15" t="str">
        <f>IFERROR(__xludf.DUMMYFUNCTION("""COMPUTED_VALUE"""),"BUCARAMANGA")</f>
        <v>BUCARAMANGA</v>
      </c>
      <c r="D2800" s="15" t="str">
        <f>IFERROR(__xludf.DUMMYFUNCTION("""COMPUTED_VALUE"""),"BOGOTÁ")</f>
        <v>BOGOTÁ</v>
      </c>
      <c r="E2800" s="15" t="str">
        <f>IFERROR(__xludf.DUMMYFUNCTION("""COMPUTED_VALUE"""),"Lunchy Kids")</f>
        <v>Lunchy Kids</v>
      </c>
      <c r="F2800" s="17" t="str">
        <f>IFERROR(__xludf.DUMMYFUNCTION("""COMPUTED_VALUE"""),"Carrera 24 # 80-52  / conjunto Villanueva del campo -  Torre A apto 304  / Bucaramanga")</f>
        <v>Carrera 24 # 80-52  / conjunto Villanueva del campo -  Torre A apto 304  / Bucaramanga</v>
      </c>
      <c r="G2800" s="15" t="str">
        <f>IFERROR(__xludf.DUMMYFUNCTION("""COMPUTED_VALUE"""),"Claudia Durán Ardila")</f>
        <v>Claudia Durán Ardila</v>
      </c>
      <c r="H2800" s="16">
        <f>IFERROR(__xludf.DUMMYFUNCTION("""COMPUTED_VALUE"""),11286.0)</f>
        <v>11286</v>
      </c>
      <c r="I2800" s="18">
        <f>IFERROR(__xludf.DUMMYFUNCTION("""COMPUTED_VALUE"""),12.0)</f>
        <v>12</v>
      </c>
      <c r="J2800" s="18">
        <f>IFERROR(__xludf.DUMMYFUNCTION("""COMPUTED_VALUE"""),39.0)</f>
        <v>39</v>
      </c>
      <c r="K2800" s="18">
        <f>IFERROR(__xludf.DUMMYFUNCTION("""COMPUTED_VALUE"""),26.0)</f>
        <v>26</v>
      </c>
      <c r="L2800" s="17">
        <f>IFERROR(__xludf.DUMMYFUNCTION("""COMPUTED_VALUE"""),3.153005881E9)</f>
        <v>3153005881</v>
      </c>
      <c r="M2800" s="17" t="str">
        <f>IFERROR(__xludf.DUMMYFUNCTION("""COMPUTED_VALUE"""),"#REF!")</f>
        <v>#REF!</v>
      </c>
      <c r="N2800" s="17"/>
      <c r="O2800" s="17"/>
      <c r="P2800" s="17" t="b">
        <f>IFERROR(__xludf.DUMMYFUNCTION("""COMPUTED_VALUE"""),FALSE)</f>
        <v>0</v>
      </c>
      <c r="Q2800" s="20" t="str">
        <f>IFERROR(__xludf.DUMMYFUNCTION("""COMPUTED_VALUE"""),"")</f>
        <v/>
      </c>
      <c r="R2800" s="21" t="str">
        <f>IFERROR(__xludf.DUMMYFUNCTION("""COMPUTED_VALUE"""),"https://drive.google.com/file/d/1albygsdOvJoNUtDT3MszyskfH6hyOMaW/view?usp=drivesdk")</f>
        <v>https://drive.google.com/file/d/1albygsdOvJoNUtDT3MszyskfH6hyOMaW/view?usp=drivesdk</v>
      </c>
    </row>
    <row r="2801">
      <c r="A2801" s="15">
        <f>IFERROR(__xludf.DUMMYFUNCTION("""COMPUTED_VALUE"""),45083.0)</f>
        <v>45083</v>
      </c>
      <c r="B2801" s="16" t="str">
        <f>IFERROR(__xludf.DUMMYFUNCTION("""COMPUTED_VALUE"""),"José Miguel Bonilla")</f>
        <v>José Miguel Bonilla</v>
      </c>
      <c r="C2801" s="15" t="str">
        <f>IFERROR(__xludf.DUMMYFUNCTION("""COMPUTED_VALUE"""),"BUCARAMANGA")</f>
        <v>BUCARAMANGA</v>
      </c>
      <c r="D2801" s="15" t="str">
        <f>IFERROR(__xludf.DUMMYFUNCTION("""COMPUTED_VALUE"""),"BOGOTÁ")</f>
        <v>BOGOTÁ</v>
      </c>
      <c r="E2801" s="15" t="str">
        <f>IFERROR(__xludf.DUMMYFUNCTION("""COMPUTED_VALUE"""),"MAI ALIMENTOS REALES")</f>
        <v>MAI ALIMENTOS REALES</v>
      </c>
      <c r="F2801" s="17" t="str">
        <f>IFERROR(__xludf.DUMMYFUNCTION("""COMPUTED_VALUE"""),"Calle 59 #. 9A - 96 / Km 6 Vía Girón")</f>
        <v>Calle 59 #. 9A - 96 / Km 6 Vía Girón</v>
      </c>
      <c r="G2801" s="15" t="str">
        <f>IFERROR(__xludf.DUMMYFUNCTION("""COMPUTED_VALUE"""),"Fit Store Express")</f>
        <v>Fit Store Express</v>
      </c>
      <c r="H2801" s="16">
        <f>IFERROR(__xludf.DUMMYFUNCTION("""COMPUTED_VALUE"""),11377.0)</f>
        <v>11377</v>
      </c>
      <c r="I2801" s="17"/>
      <c r="J2801" s="17"/>
      <c r="K2801" s="17"/>
      <c r="L2801" s="17">
        <f>IFERROR(__xludf.DUMMYFUNCTION("""COMPUTED_VALUE"""),3.005711168E9)</f>
        <v>3005711168</v>
      </c>
      <c r="M2801" s="17" t="str">
        <f>IFERROR(__xludf.DUMMYFUNCTION("""COMPUTED_VALUE"""),"#REF!")</f>
        <v>#REF!</v>
      </c>
      <c r="N2801" s="17"/>
      <c r="O2801" s="17"/>
      <c r="P2801" s="17" t="b">
        <f>IFERROR(__xludf.DUMMYFUNCTION("""COMPUTED_VALUE"""),FALSE)</f>
        <v>0</v>
      </c>
      <c r="Q2801" s="20" t="str">
        <f>IFERROR(__xludf.DUMMYFUNCTION("""COMPUTED_VALUE"""),"")</f>
        <v/>
      </c>
      <c r="R2801" s="21" t="str">
        <f>IFERROR(__xludf.DUMMYFUNCTION("""COMPUTED_VALUE"""),"https://drive.google.com/file/d/18wy3sVAGiy0xeDsbYQ3BF5xIdrTFaDZR/view?usp=drivesdk")</f>
        <v>https://drive.google.com/file/d/18wy3sVAGiy0xeDsbYQ3BF5xIdrTFaDZR/view?usp=drivesdk</v>
      </c>
    </row>
    <row r="2802">
      <c r="A2802" s="15">
        <f>IFERROR(__xludf.DUMMYFUNCTION("""COMPUTED_VALUE"""),45083.0)</f>
        <v>45083</v>
      </c>
      <c r="B2802" s="16" t="str">
        <f>IFERROR(__xludf.DUMMYFUNCTION("""COMPUTED_VALUE"""),"José Miguel Bonilla")</f>
        <v>José Miguel Bonilla</v>
      </c>
      <c r="C2802" s="15" t="str">
        <f>IFERROR(__xludf.DUMMYFUNCTION("""COMPUTED_VALUE"""),"BUCARAMANGA")</f>
        <v>BUCARAMANGA</v>
      </c>
      <c r="D2802" s="15" t="str">
        <f>IFERROR(__xludf.DUMMYFUNCTION("""COMPUTED_VALUE"""),"BOGOTÁ")</f>
        <v>BOGOTÁ</v>
      </c>
      <c r="E2802" s="15" t="str">
        <f>IFERROR(__xludf.DUMMYFUNCTION("""COMPUTED_VALUE"""),"Pan de Waffle")</f>
        <v>Pan de Waffle</v>
      </c>
      <c r="F2802" s="17" t="str">
        <f>IFERROR(__xludf.DUMMYFUNCTION("""COMPUTED_VALUE"""),"Carrera 38 # 44 - 103 Apto 1001 Edifi. Reserva del Parque / Carrera 38 # 44 - 103 Apto 1001 Edifi. Reserva del Parque / Carrera 38 # 44 - 103 Apto 1001 Edifi. Reserva del Parque")</f>
        <v>Carrera 38 # 44 - 103 Apto 1001 Edifi. Reserva del Parque / Carrera 38 # 44 - 103 Apto 1001 Edifi. Reserva del Parque / Carrera 38 # 44 - 103 Apto 1001 Edifi. Reserva del Parque</v>
      </c>
      <c r="G2802" s="15" t="str">
        <f>IFERROR(__xludf.DUMMYFUNCTION("""COMPUTED_VALUE"""),"MARIA FERNANDA TORRES")</f>
        <v>MARIA FERNANDA TORRES</v>
      </c>
      <c r="H2802" s="16">
        <f>IFERROR(__xludf.DUMMYFUNCTION("""COMPUTED_VALUE"""),11369.0)</f>
        <v>11369</v>
      </c>
      <c r="I2802" s="18">
        <f>IFERROR(__xludf.DUMMYFUNCTION("""COMPUTED_VALUE"""),40.0)</f>
        <v>40</v>
      </c>
      <c r="J2802" s="18">
        <f>IFERROR(__xludf.DUMMYFUNCTION("""COMPUTED_VALUE"""),30.0)</f>
        <v>30</v>
      </c>
      <c r="K2802" s="18">
        <f>IFERROR(__xludf.DUMMYFUNCTION("""COMPUTED_VALUE"""),30.0)</f>
        <v>30</v>
      </c>
      <c r="L2802" s="17">
        <f>IFERROR(__xludf.DUMMYFUNCTION("""COMPUTED_VALUE"""),3.20865425E9)</f>
        <v>3208654250</v>
      </c>
      <c r="M2802" s="17" t="str">
        <f>IFERROR(__xludf.DUMMYFUNCTION("""COMPUTED_VALUE"""),"#REF!")</f>
        <v>#REF!</v>
      </c>
      <c r="N2802" s="17"/>
      <c r="O2802" s="17"/>
      <c r="P2802" s="17" t="b">
        <f>IFERROR(__xludf.DUMMYFUNCTION("""COMPUTED_VALUE"""),FALSE)</f>
        <v>0</v>
      </c>
      <c r="Q2802" s="20" t="str">
        <f>IFERROR(__xludf.DUMMYFUNCTION("""COMPUTED_VALUE"""),"")</f>
        <v/>
      </c>
      <c r="R2802" s="21" t="str">
        <f>IFERROR(__xludf.DUMMYFUNCTION("""COMPUTED_VALUE"""),"https://drive.google.com/file/d/18J-_3K8I77fj9CSIljByhQTUb-wce8OE/view?usp=drivesdk")</f>
        <v>https://drive.google.com/file/d/18J-_3K8I77fj9CSIljByhQTUb-wce8OE/view?usp=drivesdk</v>
      </c>
    </row>
    <row r="2803">
      <c r="A2803" s="15">
        <f>IFERROR(__xludf.DUMMYFUNCTION("""COMPUTED_VALUE"""),45083.0)</f>
        <v>45083</v>
      </c>
      <c r="B2803" s="16" t="str">
        <f>IFERROR(__xludf.DUMMYFUNCTION("""COMPUTED_VALUE"""),"José Miguel Bonilla")</f>
        <v>José Miguel Bonilla</v>
      </c>
      <c r="C2803" s="15" t="str">
        <f>IFERROR(__xludf.DUMMYFUNCTION("""COMPUTED_VALUE"""),"BUCARAMANGA")</f>
        <v>BUCARAMANGA</v>
      </c>
      <c r="D2803" s="15" t="str">
        <f>IFERROR(__xludf.DUMMYFUNCTION("""COMPUTED_VALUE"""),"MEDELLÍN")</f>
        <v>MEDELLÍN</v>
      </c>
      <c r="E2803" s="15" t="str">
        <f>IFERROR(__xludf.DUMMYFUNCTION("""COMPUTED_VALUE"""),"AREPAS LA MARY")</f>
        <v>AREPAS LA MARY</v>
      </c>
      <c r="F2803" s="17" t="str">
        <f>IFERROR(__xludf.DUMMYFUNCTION("""COMPUTED_VALUE"""),"calle 59 n 9 a -96 / oficina de envia")</f>
        <v>calle 59 n 9 a -96 / oficina de envia</v>
      </c>
      <c r="G2803" s="15" t="str">
        <f>IFERROR(__xludf.DUMMYFUNCTION("""COMPUTED_VALUE"""),"andrea luna")</f>
        <v>andrea luna</v>
      </c>
      <c r="H2803" s="16">
        <f>IFERROR(__xludf.DUMMYFUNCTION("""COMPUTED_VALUE"""),11249.0)</f>
        <v>11249</v>
      </c>
      <c r="I2803" s="18">
        <f>IFERROR(__xludf.DUMMYFUNCTION("""COMPUTED_VALUE"""),89.0)</f>
        <v>89</v>
      </c>
      <c r="J2803" s="18">
        <f>IFERROR(__xludf.DUMMYFUNCTION("""COMPUTED_VALUE"""),1.0)</f>
        <v>1</v>
      </c>
      <c r="K2803" s="18">
        <f>IFERROR(__xludf.DUMMYFUNCTION("""COMPUTED_VALUE"""),10.0)</f>
        <v>10</v>
      </c>
      <c r="L2803" s="17"/>
      <c r="M2803" s="17" t="str">
        <f>IFERROR(__xludf.DUMMYFUNCTION("""COMPUTED_VALUE"""),"#REF!")</f>
        <v>#REF!</v>
      </c>
      <c r="N2803" s="17"/>
      <c r="O2803" s="17"/>
      <c r="P2803" s="17" t="b">
        <f>IFERROR(__xludf.DUMMYFUNCTION("""COMPUTED_VALUE"""),FALSE)</f>
        <v>0</v>
      </c>
      <c r="Q2803" s="20" t="str">
        <f>IFERROR(__xludf.DUMMYFUNCTION("""COMPUTED_VALUE"""),"")</f>
        <v/>
      </c>
      <c r="R2803" s="21" t="str">
        <f>IFERROR(__xludf.DUMMYFUNCTION("""COMPUTED_VALUE"""),"https://drive.google.com/file/d/1ta7K6gFMmuA6EoChkXuTGjTvHGl443rq/view?usp=drivesdk")</f>
        <v>https://drive.google.com/file/d/1ta7K6gFMmuA6EoChkXuTGjTvHGl443rq/view?usp=drivesdk</v>
      </c>
    </row>
    <row r="2804">
      <c r="A2804" s="15">
        <f>IFERROR(__xludf.DUMMYFUNCTION("""COMPUTED_VALUE"""),45083.0)</f>
        <v>45083</v>
      </c>
      <c r="B2804" s="16" t="str">
        <f>IFERROR(__xludf.DUMMYFUNCTION("""COMPUTED_VALUE"""),"José Miguel Bonilla")</f>
        <v>José Miguel Bonilla</v>
      </c>
      <c r="C2804" s="15" t="str">
        <f>IFERROR(__xludf.DUMMYFUNCTION("""COMPUTED_VALUE"""),"BUCARAMANGA")</f>
        <v>BUCARAMANGA</v>
      </c>
      <c r="D2804" s="15" t="str">
        <f>IFERROR(__xludf.DUMMYFUNCTION("""COMPUTED_VALUE"""),"MEDELLÍN")</f>
        <v>MEDELLÍN</v>
      </c>
      <c r="E2804" s="15" t="str">
        <f>IFERROR(__xludf.DUMMYFUNCTION("""COMPUTED_VALUE"""),"AREPAS LA MARY")</f>
        <v>AREPAS LA MARY</v>
      </c>
      <c r="F2804" s="17" t="str">
        <f>IFERROR(__xludf.DUMMYFUNCTION("""COMPUTED_VALUE"""),"calle 59 n 9 a -96 / oficina de envia")</f>
        <v>calle 59 n 9 a -96 / oficina de envia</v>
      </c>
      <c r="G2804" s="15" t="str">
        <f>IFERROR(__xludf.DUMMYFUNCTION("""COMPUTED_VALUE"""),"andrea luna")</f>
        <v>andrea luna</v>
      </c>
      <c r="H2804" s="16">
        <f>IFERROR(__xludf.DUMMYFUNCTION("""COMPUTED_VALUE"""),11356.0)</f>
        <v>11356</v>
      </c>
      <c r="I2804" s="18">
        <f>IFERROR(__xludf.DUMMYFUNCTION("""COMPUTED_VALUE"""),89.0)</f>
        <v>89</v>
      </c>
      <c r="J2804" s="18">
        <f>IFERROR(__xludf.DUMMYFUNCTION("""COMPUTED_VALUE"""),1.0)</f>
        <v>1</v>
      </c>
      <c r="K2804" s="18">
        <f>IFERROR(__xludf.DUMMYFUNCTION("""COMPUTED_VALUE"""),10.0)</f>
        <v>10</v>
      </c>
      <c r="L2804" s="17"/>
      <c r="M2804" s="17" t="str">
        <f>IFERROR(__xludf.DUMMYFUNCTION("""COMPUTED_VALUE"""),"#REF!")</f>
        <v>#REF!</v>
      </c>
      <c r="N2804" s="17"/>
      <c r="O2804" s="17"/>
      <c r="P2804" s="17" t="b">
        <f>IFERROR(__xludf.DUMMYFUNCTION("""COMPUTED_VALUE"""),FALSE)</f>
        <v>0</v>
      </c>
      <c r="Q2804" s="20" t="str">
        <f>IFERROR(__xludf.DUMMYFUNCTION("""COMPUTED_VALUE"""),"")</f>
        <v/>
      </c>
      <c r="R2804" s="21" t="str">
        <f>IFERROR(__xludf.DUMMYFUNCTION("""COMPUTED_VALUE"""),"https://drive.google.com/file/d/1PNF_KTbwX9j_zoSLgblyH4hHkX8Bh3RV/view?usp=drivesdk")</f>
        <v>https://drive.google.com/file/d/1PNF_KTbwX9j_zoSLgblyH4hHkX8Bh3RV/view?usp=drivesdk</v>
      </c>
    </row>
    <row r="2805">
      <c r="A2805" s="15">
        <f>IFERROR(__xludf.DUMMYFUNCTION("""COMPUTED_VALUE"""),45083.0)</f>
        <v>45083</v>
      </c>
      <c r="B2805" s="16" t="str">
        <f>IFERROR(__xludf.DUMMYFUNCTION("""COMPUTED_VALUE"""),"José Miguel Bonilla")</f>
        <v>José Miguel Bonilla</v>
      </c>
      <c r="C2805" s="15" t="str">
        <f>IFERROR(__xludf.DUMMYFUNCTION("""COMPUTED_VALUE"""),"BUCARAMANGA")</f>
        <v>BUCARAMANGA</v>
      </c>
      <c r="D2805" s="15" t="str">
        <f>IFERROR(__xludf.DUMMYFUNCTION("""COMPUTED_VALUE"""),"MEDELLÍN")</f>
        <v>MEDELLÍN</v>
      </c>
      <c r="E2805" s="15" t="str">
        <f>IFERROR(__xludf.DUMMYFUNCTION("""COMPUTED_VALUE"""),"Baby Chef")</f>
        <v>Baby Chef</v>
      </c>
      <c r="F2805" s="17" t="str">
        <f>IFERROR(__xludf.DUMMYFUNCTION("""COMPUTED_VALUE"""),"Cra 27 a no. 48 - 16 edificio Onix san pedro  / apto 1404, barrio soto mayor bucaramanga  / bucaramanga")</f>
        <v>Cra 27 a no. 48 - 16 edificio Onix san pedro  / apto 1404, barrio soto mayor bucaramanga  / bucaramanga</v>
      </c>
      <c r="G2805" s="15" t="str">
        <f>IFERROR(__xludf.DUMMYFUNCTION("""COMPUTED_VALUE"""),"Malka Irina Wadnipar Gutierrez")</f>
        <v>Malka Irina Wadnipar Gutierrez</v>
      </c>
      <c r="H2805" s="16">
        <f>IFERROR(__xludf.DUMMYFUNCTION("""COMPUTED_VALUE"""),11381.0)</f>
        <v>11381</v>
      </c>
      <c r="I2805" s="18">
        <f>IFERROR(__xludf.DUMMYFUNCTION("""COMPUTED_VALUE"""),8.0)</f>
        <v>8</v>
      </c>
      <c r="J2805" s="18">
        <f>IFERROR(__xludf.DUMMYFUNCTION("""COMPUTED_VALUE"""),16.0)</f>
        <v>16</v>
      </c>
      <c r="K2805" s="18">
        <f>IFERROR(__xludf.DUMMYFUNCTION("""COMPUTED_VALUE"""),20.0)</f>
        <v>20</v>
      </c>
      <c r="L2805" s="17">
        <f>IFERROR(__xludf.DUMMYFUNCTION("""COMPUTED_VALUE"""),3.007651588E9)</f>
        <v>3007651588</v>
      </c>
      <c r="M2805" s="17" t="str">
        <f>IFERROR(__xludf.DUMMYFUNCTION("""COMPUTED_VALUE"""),"#REF!")</f>
        <v>#REF!</v>
      </c>
      <c r="N2805" s="17"/>
      <c r="O2805" s="17"/>
      <c r="P2805" s="17" t="b">
        <f>IFERROR(__xludf.DUMMYFUNCTION("""COMPUTED_VALUE"""),FALSE)</f>
        <v>0</v>
      </c>
      <c r="Q2805" s="20" t="str">
        <f>IFERROR(__xludf.DUMMYFUNCTION("""COMPUTED_VALUE"""),"")</f>
        <v/>
      </c>
      <c r="R2805" s="21" t="str">
        <f>IFERROR(__xludf.DUMMYFUNCTION("""COMPUTED_VALUE"""),"https://drive.google.com/file/d/1gxLHWGmXGhTcp3tP0eXSZKGP9J2WxzMs/view?usp=drivesdk")</f>
        <v>https://drive.google.com/file/d/1gxLHWGmXGhTcp3tP0eXSZKGP9J2WxzMs/view?usp=drivesdk</v>
      </c>
    </row>
    <row r="2806">
      <c r="A2806" s="15">
        <f>IFERROR(__xludf.DUMMYFUNCTION("""COMPUTED_VALUE"""),45083.0)</f>
        <v>45083</v>
      </c>
      <c r="B2806" s="16" t="str">
        <f>IFERROR(__xludf.DUMMYFUNCTION("""COMPUTED_VALUE"""),"José Miguel Bonilla")</f>
        <v>José Miguel Bonilla</v>
      </c>
      <c r="C2806" s="15" t="str">
        <f>IFERROR(__xludf.DUMMYFUNCTION("""COMPUTED_VALUE"""),"FLORIDABLANCA")</f>
        <v>FLORIDABLANCA</v>
      </c>
      <c r="D2806" s="15" t="str">
        <f>IFERROR(__xludf.DUMMYFUNCTION("""COMPUTED_VALUE"""),"BOGOTÁ")</f>
        <v>BOGOTÁ</v>
      </c>
      <c r="E2806" s="15" t="str">
        <f>IFERROR(__xludf.DUMMYFUNCTION("""COMPUTED_VALUE"""),"Asociacion Agropecuaria Juana Maria")</f>
        <v>Asociacion Agropecuaria Juana Maria</v>
      </c>
      <c r="F2806" s="17" t="str">
        <f>IFERROR(__xludf.DUMMYFUNCTION("""COMPUTED_VALUE"""),"Calle 19 #11-37 Guanatá FLORIDABLANCA")</f>
        <v>Calle 19 #11-37 Guanatá FLORIDABLANCA</v>
      </c>
      <c r="G2806" s="15" t="str">
        <f>IFERROR(__xludf.DUMMYFUNCTION("""COMPUTED_VALUE"""),"Claudia Gonzalez")</f>
        <v>Claudia Gonzalez</v>
      </c>
      <c r="H2806" s="16">
        <f>IFERROR(__xludf.DUMMYFUNCTION("""COMPUTED_VALUE"""),11299.0)</f>
        <v>11299</v>
      </c>
      <c r="I2806" s="18">
        <f>IFERROR(__xludf.DUMMYFUNCTION("""COMPUTED_VALUE"""),21.0)</f>
        <v>21</v>
      </c>
      <c r="J2806" s="18">
        <f>IFERROR(__xludf.DUMMYFUNCTION("""COMPUTED_VALUE"""),37.0)</f>
        <v>37</v>
      </c>
      <c r="K2806" s="18">
        <f>IFERROR(__xludf.DUMMYFUNCTION("""COMPUTED_VALUE"""),30.0)</f>
        <v>30</v>
      </c>
      <c r="L2806" s="17">
        <f>IFERROR(__xludf.DUMMYFUNCTION("""COMPUTED_VALUE"""),3.002802001E9)</f>
        <v>3002802001</v>
      </c>
      <c r="M2806" s="17" t="str">
        <f>IFERROR(__xludf.DUMMYFUNCTION("""COMPUTED_VALUE"""),"#REF!")</f>
        <v>#REF!</v>
      </c>
      <c r="N2806" s="17"/>
      <c r="O2806" s="17"/>
      <c r="P2806" s="17" t="b">
        <f>IFERROR(__xludf.DUMMYFUNCTION("""COMPUTED_VALUE"""),FALSE)</f>
        <v>0</v>
      </c>
      <c r="Q2806" s="20" t="str">
        <f>IFERROR(__xludf.DUMMYFUNCTION("""COMPUTED_VALUE"""),"")</f>
        <v/>
      </c>
      <c r="R2806" s="21" t="str">
        <f>IFERROR(__xludf.DUMMYFUNCTION("""COMPUTED_VALUE"""),"https://drive.google.com/file/d/1frY4aM2RQBTMWFkh9vWYLr8vkj_iWyqS/view?usp=drivesdk")</f>
        <v>https://drive.google.com/file/d/1frY4aM2RQBTMWFkh9vWYLr8vkj_iWyqS/view?usp=drivesdk</v>
      </c>
    </row>
    <row r="2807">
      <c r="A2807" s="15">
        <f>IFERROR(__xludf.DUMMYFUNCTION("""COMPUTED_VALUE"""),45083.0)</f>
        <v>45083</v>
      </c>
      <c r="B2807" s="16" t="str">
        <f>IFERROR(__xludf.DUMMYFUNCTION("""COMPUTED_VALUE"""),"José Miguel Bonilla")</f>
        <v>José Miguel Bonilla</v>
      </c>
      <c r="C2807" s="15" t="str">
        <f>IFERROR(__xludf.DUMMYFUNCTION("""COMPUTED_VALUE"""),"PEREIRA")</f>
        <v>PEREIRA</v>
      </c>
      <c r="D2807" s="15" t="str">
        <f>IFERROR(__xludf.DUMMYFUNCTION("""COMPUTED_VALUE"""),"MEDELLÍN")</f>
        <v>MEDELLÍN</v>
      </c>
      <c r="E2807" s="15" t="str">
        <f>IFERROR(__xludf.DUMMYFUNCTION("""COMPUTED_VALUE"""),"Rambla")</f>
        <v>Rambla</v>
      </c>
      <c r="F2807" s="17" t="str">
        <f>IFERROR(__xludf.DUMMYFUNCTION("""COMPUTED_VALUE"""),"Cra 23 14 148 Trilogia apto 1505 torre1 -  Pereira. / na / na")</f>
        <v>Cra 23 14 148 Trilogia apto 1505 torre1 -  Pereira. / na / na</v>
      </c>
      <c r="G2807" s="15" t="str">
        <f>IFERROR(__xludf.DUMMYFUNCTION("""COMPUTED_VALUE"""),"nutrishop")</f>
        <v>nutrishop</v>
      </c>
      <c r="H2807" s="16">
        <f>IFERROR(__xludf.DUMMYFUNCTION("""COMPUTED_VALUE"""),11366.0)</f>
        <v>11366</v>
      </c>
      <c r="I2807" s="18">
        <f>IFERROR(__xludf.DUMMYFUNCTION("""COMPUTED_VALUE"""),20.0)</f>
        <v>20</v>
      </c>
      <c r="J2807" s="18">
        <f>IFERROR(__xludf.DUMMYFUNCTION("""COMPUTED_VALUE"""),23.0)</f>
        <v>23</v>
      </c>
      <c r="K2807" s="18">
        <f>IFERROR(__xludf.DUMMYFUNCTION("""COMPUTED_VALUE"""),25.0)</f>
        <v>25</v>
      </c>
      <c r="L2807" s="17">
        <f>IFERROR(__xludf.DUMMYFUNCTION("""COMPUTED_VALUE"""),3.10379892E9)</f>
        <v>3103798920</v>
      </c>
      <c r="M2807" s="17" t="str">
        <f>IFERROR(__xludf.DUMMYFUNCTION("""COMPUTED_VALUE"""),"#REF!")</f>
        <v>#REF!</v>
      </c>
      <c r="N2807" s="17"/>
      <c r="O2807" s="17"/>
      <c r="P2807" s="17" t="b">
        <f>IFERROR(__xludf.DUMMYFUNCTION("""COMPUTED_VALUE"""),FALSE)</f>
        <v>0</v>
      </c>
      <c r="Q2807" s="20" t="str">
        <f>IFERROR(__xludf.DUMMYFUNCTION("""COMPUTED_VALUE"""),"")</f>
        <v/>
      </c>
      <c r="R2807" s="21" t="str">
        <f>IFERROR(__xludf.DUMMYFUNCTION("""COMPUTED_VALUE"""),"https://drive.google.com/file/d/1Rpr5njdbYwhAX3tvuflbFFF2Jd3NhsOs/view?usp=drivesdk")</f>
        <v>https://drive.google.com/file/d/1Rpr5njdbYwhAX3tvuflbFFF2Jd3NhsOs/view?usp=drivesdk</v>
      </c>
    </row>
    <row r="2808">
      <c r="A2808" s="15">
        <f>IFERROR(__xludf.DUMMYFUNCTION("""COMPUTED_VALUE"""),45083.0)</f>
        <v>45083</v>
      </c>
      <c r="B2808" s="16" t="str">
        <f>IFERROR(__xludf.DUMMYFUNCTION("""COMPUTED_VALUE"""),"José Miguel Bonilla")</f>
        <v>José Miguel Bonilla</v>
      </c>
      <c r="C2808" s="15" t="str">
        <f>IFERROR(__xludf.DUMMYFUNCTION("""COMPUTED_VALUE"""),"PEREIRA")</f>
        <v>PEREIRA</v>
      </c>
      <c r="D2808" s="15" t="str">
        <f>IFERROR(__xludf.DUMMYFUNCTION("""COMPUTED_VALUE"""),"MEDELLÍN")</f>
        <v>MEDELLÍN</v>
      </c>
      <c r="E2808" s="15" t="str">
        <f>IFERROR(__xludf.DUMMYFUNCTION("""COMPUTED_VALUE"""),"Todo Bufala")</f>
        <v>Todo Bufala</v>
      </c>
      <c r="F2808" s="17" t="str">
        <f>IFERROR(__xludf.DUMMYFUNCTION("""COMPUTED_VALUE"""),"Cra 14n 12-55")</f>
        <v>Cra 14n 12-55</v>
      </c>
      <c r="G2808" s="15" t="str">
        <f>IFERROR(__xludf.DUMMYFUNCTION("""COMPUTED_VALUE"""),"Yeimi Jaramillo")</f>
        <v>Yeimi Jaramillo</v>
      </c>
      <c r="H2808" s="16">
        <f>IFERROR(__xludf.DUMMYFUNCTION("""COMPUTED_VALUE"""),11365.0)</f>
        <v>11365</v>
      </c>
      <c r="I2808" s="18">
        <f>IFERROR(__xludf.DUMMYFUNCTION("""COMPUTED_VALUE"""),21.0)</f>
        <v>21</v>
      </c>
      <c r="J2808" s="18">
        <f>IFERROR(__xludf.DUMMYFUNCTION("""COMPUTED_VALUE"""),29.0)</f>
        <v>29</v>
      </c>
      <c r="K2808" s="18">
        <f>IFERROR(__xludf.DUMMYFUNCTION("""COMPUTED_VALUE"""),40.0)</f>
        <v>40</v>
      </c>
      <c r="L2808" s="17">
        <f>IFERROR(__xludf.DUMMYFUNCTION("""COMPUTED_VALUE"""),3.14645528E9)</f>
        <v>3146455280</v>
      </c>
      <c r="M2808" s="17" t="str">
        <f>IFERROR(__xludf.DUMMYFUNCTION("""COMPUTED_VALUE"""),"#REF!")</f>
        <v>#REF!</v>
      </c>
      <c r="N2808" s="17"/>
      <c r="O2808" s="17"/>
      <c r="P2808" s="17" t="b">
        <f>IFERROR(__xludf.DUMMYFUNCTION("""COMPUTED_VALUE"""),FALSE)</f>
        <v>0</v>
      </c>
      <c r="Q2808" s="20" t="str">
        <f>IFERROR(__xludf.DUMMYFUNCTION("""COMPUTED_VALUE"""),"")</f>
        <v/>
      </c>
      <c r="R2808" s="21" t="str">
        <f>IFERROR(__xludf.DUMMYFUNCTION("""COMPUTED_VALUE"""),"https://drive.google.com/file/d/1revALI_Qw4HK5EuHmE7Xk4R2dV-h60uU/view?usp=drivesdk")</f>
        <v>https://drive.google.com/file/d/1revALI_Qw4HK5EuHmE7Xk4R2dV-h60uU/view?usp=drivesdk</v>
      </c>
    </row>
    <row r="2809">
      <c r="A2809" s="17" t="str">
        <f>IFERROR(__xludf.DUMMYFUNCTION("""COMPUTED_VALUE"""),"")</f>
        <v/>
      </c>
      <c r="B2809" s="17" t="str">
        <f>IFERROR(__xludf.DUMMYFUNCTION("""COMPUTED_VALUE"""),"")</f>
        <v/>
      </c>
      <c r="C2809" s="17" t="str">
        <f>IFERROR(__xludf.DUMMYFUNCTION("""COMPUTED_VALUE"""),"")</f>
        <v/>
      </c>
      <c r="D2809" s="17" t="str">
        <f>IFERROR(__xludf.DUMMYFUNCTION("""COMPUTED_VALUE"""),"")</f>
        <v/>
      </c>
      <c r="E2809" s="17" t="str">
        <f>IFERROR(__xludf.DUMMYFUNCTION("""COMPUTED_VALUE"""),"")</f>
        <v/>
      </c>
      <c r="F2809" s="17" t="str">
        <f>IFERROR(__xludf.DUMMYFUNCTION("""COMPUTED_VALUE"""),"")</f>
        <v/>
      </c>
      <c r="G2809" s="17" t="str">
        <f>IFERROR(__xludf.DUMMYFUNCTION("""COMPUTED_VALUE"""),"")</f>
        <v/>
      </c>
      <c r="H2809" s="17" t="str">
        <f>IFERROR(__xludf.DUMMYFUNCTION("""COMPUTED_VALUE"""),"")</f>
        <v/>
      </c>
      <c r="I2809" s="17" t="str">
        <f>IFERROR(__xludf.DUMMYFUNCTION("""COMPUTED_VALUE"""),"")</f>
        <v/>
      </c>
      <c r="J2809" s="17" t="str">
        <f>IFERROR(__xludf.DUMMYFUNCTION("""COMPUTED_VALUE"""),"")</f>
        <v/>
      </c>
      <c r="K2809" s="17" t="str">
        <f>IFERROR(__xludf.DUMMYFUNCTION("""COMPUTED_VALUE"""),"")</f>
        <v/>
      </c>
      <c r="L2809" s="17" t="str">
        <f>IFERROR(__xludf.DUMMYFUNCTION("""COMPUTED_VALUE"""),"")</f>
        <v/>
      </c>
      <c r="M2809" s="17" t="str">
        <f>IFERROR(__xludf.DUMMYFUNCTION("""COMPUTED_VALUE"""),"")</f>
        <v/>
      </c>
      <c r="N2809" s="17" t="str">
        <f>IFERROR(__xludf.DUMMYFUNCTION("""COMPUTED_VALUE"""),"")</f>
        <v/>
      </c>
      <c r="O2809" s="17" t="str">
        <f>IFERROR(__xludf.DUMMYFUNCTION("""COMPUTED_VALUE"""),"")</f>
        <v/>
      </c>
      <c r="P2809" s="17" t="str">
        <f>IFERROR(__xludf.DUMMYFUNCTION("""COMPUTED_VALUE"""),"")</f>
        <v/>
      </c>
      <c r="Q2809" s="17" t="str">
        <f>IFERROR(__xludf.DUMMYFUNCTION("""COMPUTED_VALUE"""),"")</f>
        <v/>
      </c>
      <c r="R2809" s="17" t="str">
        <f>IFERROR(__xludf.DUMMYFUNCTION("""COMPUTED_VALUE"""),"")</f>
        <v/>
      </c>
    </row>
    <row r="2810">
      <c r="A2810" s="15">
        <f>IFERROR(__xludf.DUMMYFUNCTION("""COMPUTED_VALUE"""),45083.0)</f>
        <v>45083</v>
      </c>
      <c r="B2810" s="16" t="str">
        <f>IFERROR(__xludf.DUMMYFUNCTION("""COMPUTED_VALUE"""),"Oscar Augusto Meneses Osias")</f>
        <v>Oscar Augusto Meneses Osias</v>
      </c>
      <c r="C2810" s="15" t="str">
        <f>IFERROR(__xludf.DUMMYFUNCTION("""COMPUTED_VALUE"""),"MEDELLÍN")</f>
        <v>MEDELLÍN</v>
      </c>
      <c r="D2810" s="15" t="str">
        <f>IFERROR(__xludf.DUMMYFUNCTION("""COMPUTED_VALUE"""),"BOGOTÁ")</f>
        <v>BOGOTÁ</v>
      </c>
      <c r="E2810" s="15" t="str">
        <f>IFERROR(__xludf.DUMMYFUNCTION("""COMPUTED_VALUE"""),"Asociacion Agropecuaria Juana Maria")</f>
        <v>Asociacion Agropecuaria Juana Maria</v>
      </c>
      <c r="F2810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2810" s="15" t="str">
        <f>IFERROR(__xludf.DUMMYFUNCTION("""COMPUTED_VALUE"""),"Jennifer Sanchez Blandon")</f>
        <v>Jennifer Sanchez Blandon</v>
      </c>
      <c r="H2810" s="16">
        <f>IFERROR(__xludf.DUMMYFUNCTION("""COMPUTED_VALUE"""),11301.0)</f>
        <v>11301</v>
      </c>
      <c r="I2810" s="18">
        <f>IFERROR(__xludf.DUMMYFUNCTION("""COMPUTED_VALUE"""),21.0)</f>
        <v>21</v>
      </c>
      <c r="J2810" s="18">
        <f>IFERROR(__xludf.DUMMYFUNCTION("""COMPUTED_VALUE"""),37.0)</f>
        <v>37</v>
      </c>
      <c r="K2810" s="18">
        <f>IFERROR(__xludf.DUMMYFUNCTION("""COMPUTED_VALUE"""),30.0)</f>
        <v>30</v>
      </c>
      <c r="L2810" s="17">
        <f>IFERROR(__xludf.DUMMYFUNCTION("""COMPUTED_VALUE"""),3.016937674E9)</f>
        <v>3016937674</v>
      </c>
      <c r="M2810" s="17" t="str">
        <f>IFERROR(__xludf.DUMMYFUNCTION("""COMPUTED_VALUE"""),"#REF!")</f>
        <v>#REF!</v>
      </c>
      <c r="N2810" s="17"/>
      <c r="O2810" s="17"/>
      <c r="P2810" s="17" t="b">
        <f>IFERROR(__xludf.DUMMYFUNCTION("""COMPUTED_VALUE"""),FALSE)</f>
        <v>0</v>
      </c>
      <c r="Q2810" s="20" t="str">
        <f>IFERROR(__xludf.DUMMYFUNCTION("""COMPUTED_VALUE"""),"")</f>
        <v/>
      </c>
      <c r="R2810" s="21" t="str">
        <f>IFERROR(__xludf.DUMMYFUNCTION("""COMPUTED_VALUE"""),"https://drive.google.com/file/d/18h6H5MaTWlXBvVvpug57g1mtqinaTX-j/view?usp=drivesdk")</f>
        <v>https://drive.google.com/file/d/18h6H5MaTWlXBvVvpug57g1mtqinaTX-j/view?usp=drivesdk</v>
      </c>
    </row>
    <row r="2811">
      <c r="A2811" s="15">
        <f>IFERROR(__xludf.DUMMYFUNCTION("""COMPUTED_VALUE"""),45083.0)</f>
        <v>45083</v>
      </c>
      <c r="B2811" s="16" t="str">
        <f>IFERROR(__xludf.DUMMYFUNCTION("""COMPUTED_VALUE"""),"Oscar Augusto Meneses Osias")</f>
        <v>Oscar Augusto Meneses Osias</v>
      </c>
      <c r="C2811" s="15" t="str">
        <f>IFERROR(__xludf.DUMMYFUNCTION("""COMPUTED_VALUE"""),"MEDELLÍN")</f>
        <v>MEDELLÍN</v>
      </c>
      <c r="D2811" s="15" t="str">
        <f>IFERROR(__xludf.DUMMYFUNCTION("""COMPUTED_VALUE"""),"BOGOTÁ")</f>
        <v>BOGOTÁ</v>
      </c>
      <c r="E2811" s="15" t="str">
        <f>IFERROR(__xludf.DUMMYFUNCTION("""COMPUTED_VALUE"""),"Evamazzita")</f>
        <v>Evamazzita</v>
      </c>
      <c r="F2811" s="17" t="str">
        <f>IFERROR(__xludf.DUMMYFUNCTION("""COMPUTED_VALUE"""),"CALLE 39#49-49   / TORRE HUMANITAS APTO. 1402   / ITAGÜÍ - LA INDEPENDENCIA")</f>
        <v>CALLE 39#49-49   / TORRE HUMANITAS APTO. 1402   / ITAGÜÍ - LA INDEPENDENCIA</v>
      </c>
      <c r="G2811" s="15" t="str">
        <f>IFERROR(__xludf.DUMMYFUNCTION("""COMPUTED_VALUE"""),"SANDRA ALVAREZ")</f>
        <v>SANDRA ALVAREZ</v>
      </c>
      <c r="H2811" s="16">
        <f>IFERROR(__xludf.DUMMYFUNCTION("""COMPUTED_VALUE"""),11329.0)</f>
        <v>11329</v>
      </c>
      <c r="I2811" s="18">
        <f>IFERROR(__xludf.DUMMYFUNCTION("""COMPUTED_VALUE"""),3.0)</f>
        <v>3</v>
      </c>
      <c r="J2811" s="18">
        <f>IFERROR(__xludf.DUMMYFUNCTION("""COMPUTED_VALUE"""),20.0)</f>
        <v>20</v>
      </c>
      <c r="K2811" s="18">
        <f>IFERROR(__xludf.DUMMYFUNCTION("""COMPUTED_VALUE"""),15.0)</f>
        <v>15</v>
      </c>
      <c r="L2811" s="17">
        <f>IFERROR(__xludf.DUMMYFUNCTION("""COMPUTED_VALUE"""),3.113608587E9)</f>
        <v>3113608587</v>
      </c>
      <c r="M2811" s="17" t="str">
        <f>IFERROR(__xludf.DUMMYFUNCTION("""COMPUTED_VALUE"""),"#REF!")</f>
        <v>#REF!</v>
      </c>
      <c r="N2811" s="17"/>
      <c r="O2811" s="17"/>
      <c r="P2811" s="17" t="b">
        <f>IFERROR(__xludf.DUMMYFUNCTION("""COMPUTED_VALUE"""),FALSE)</f>
        <v>0</v>
      </c>
      <c r="Q2811" s="20" t="str">
        <f>IFERROR(__xludf.DUMMYFUNCTION("""COMPUTED_VALUE"""),"")</f>
        <v/>
      </c>
      <c r="R2811" s="21" t="str">
        <f>IFERROR(__xludf.DUMMYFUNCTION("""COMPUTED_VALUE"""),"https://drive.google.com/file/d/1BnadjEkV_ZKVKhSx5B79j3WAxAQJTxuI/view?usp=drivesdk")</f>
        <v>https://drive.google.com/file/d/1BnadjEkV_ZKVKhSx5B79j3WAxAQJTxuI/view?usp=drivesdk</v>
      </c>
    </row>
    <row r="2812">
      <c r="A2812" s="15">
        <f>IFERROR(__xludf.DUMMYFUNCTION("""COMPUTED_VALUE"""),45083.0)</f>
        <v>45083</v>
      </c>
      <c r="B2812" s="16" t="str">
        <f>IFERROR(__xludf.DUMMYFUNCTION("""COMPUTED_VALUE"""),"Oscar Augusto Meneses Osias")</f>
        <v>Oscar Augusto Meneses Osias</v>
      </c>
      <c r="C2812" s="15" t="str">
        <f>IFERROR(__xludf.DUMMYFUNCTION("""COMPUTED_VALUE"""),"MEDELLÍN")</f>
        <v>MEDELLÍN</v>
      </c>
      <c r="D2812" s="15" t="str">
        <f>IFERROR(__xludf.DUMMYFUNCTION("""COMPUTED_VALUE"""),"BOGOTÁ")</f>
        <v>BOGOTÁ</v>
      </c>
      <c r="E2812" s="15" t="str">
        <f>IFERROR(__xludf.DUMMYFUNCTION("""COMPUTED_VALUE"""),"Evamazzita")</f>
        <v>Evamazzita</v>
      </c>
      <c r="F2812" s="17" t="str">
        <f>IFERROR(__xludf.DUMMYFUNCTION("""COMPUTED_VALUE"""),"Calle 47#86A 19   / barrio la floresta  / (detrás de la iglesia de la floresta)")</f>
        <v>Calle 47#86A 19   / barrio la floresta  / (detrás de la iglesia de la floresta)</v>
      </c>
      <c r="G2812" s="15" t="str">
        <f>IFERROR(__xludf.DUMMYFUNCTION("""COMPUTED_VALUE"""),"DIANA MARCELA MONTOYA ZAPATA")</f>
        <v>DIANA MARCELA MONTOYA ZAPATA</v>
      </c>
      <c r="H2812" s="16">
        <f>IFERROR(__xludf.DUMMYFUNCTION("""COMPUTED_VALUE"""),11331.0)</f>
        <v>11331</v>
      </c>
      <c r="I2812" s="18">
        <f>IFERROR(__xludf.DUMMYFUNCTION("""COMPUTED_VALUE"""),3.0)</f>
        <v>3</v>
      </c>
      <c r="J2812" s="18">
        <f>IFERROR(__xludf.DUMMYFUNCTION("""COMPUTED_VALUE"""),20.0)</f>
        <v>20</v>
      </c>
      <c r="K2812" s="18">
        <f>IFERROR(__xludf.DUMMYFUNCTION("""COMPUTED_VALUE"""),15.0)</f>
        <v>15</v>
      </c>
      <c r="L2812" s="17">
        <f>IFERROR(__xludf.DUMMYFUNCTION("""COMPUTED_VALUE"""),3.003703472E9)</f>
        <v>3003703472</v>
      </c>
      <c r="M2812" s="17" t="str">
        <f>IFERROR(__xludf.DUMMYFUNCTION("""COMPUTED_VALUE"""),"#REF!")</f>
        <v>#REF!</v>
      </c>
      <c r="N2812" s="17"/>
      <c r="O2812" s="17"/>
      <c r="P2812" s="17" t="b">
        <f>IFERROR(__xludf.DUMMYFUNCTION("""COMPUTED_VALUE"""),FALSE)</f>
        <v>0</v>
      </c>
      <c r="Q2812" s="20" t="str">
        <f>IFERROR(__xludf.DUMMYFUNCTION("""COMPUTED_VALUE"""),"")</f>
        <v/>
      </c>
      <c r="R2812" s="21" t="str">
        <f>IFERROR(__xludf.DUMMYFUNCTION("""COMPUTED_VALUE"""),"https://drive.google.com/file/d/177uuzRu5kL-2PacIHD1iIXJ6M_Kd06-M/view?usp=drivesdk")</f>
        <v>https://drive.google.com/file/d/177uuzRu5kL-2PacIHD1iIXJ6M_Kd06-M/view?usp=drivesdk</v>
      </c>
    </row>
    <row r="2813">
      <c r="A2813" s="15">
        <f>IFERROR(__xludf.DUMMYFUNCTION("""COMPUTED_VALUE"""),45083.0)</f>
        <v>45083</v>
      </c>
      <c r="B2813" s="16" t="str">
        <f>IFERROR(__xludf.DUMMYFUNCTION("""COMPUTED_VALUE"""),"Oscar Augusto Meneses Osias")</f>
        <v>Oscar Augusto Meneses Osias</v>
      </c>
      <c r="C2813" s="15" t="str">
        <f>IFERROR(__xludf.DUMMYFUNCTION("""COMPUTED_VALUE"""),"MEDELLÍN")</f>
        <v>MEDELLÍN</v>
      </c>
      <c r="D2813" s="15" t="str">
        <f>IFERROR(__xludf.DUMMYFUNCTION("""COMPUTED_VALUE"""),"BOGOTÁ")</f>
        <v>BOGOTÁ</v>
      </c>
      <c r="E2813" s="15" t="str">
        <f>IFERROR(__xludf.DUMMYFUNCTION("""COMPUTED_VALUE"""),"Evamazzita")</f>
        <v>Evamazzita</v>
      </c>
      <c r="F2813" s="17" t="str">
        <f>IFERROR(__xludf.DUMMYFUNCTION("""COMPUTED_VALUE"""),"Calle 78 sur # 40-115   / Urbanización flores de san remo apto 208  / SABANETA")</f>
        <v>Calle 78 sur # 40-115   / Urbanización flores de san remo apto 208  / SABANETA</v>
      </c>
      <c r="G2813" s="15" t="str">
        <f>IFERROR(__xludf.DUMMYFUNCTION("""COMPUTED_VALUE"""),"LAURA MARTINEZ")</f>
        <v>LAURA MARTINEZ</v>
      </c>
      <c r="H2813" s="16">
        <f>IFERROR(__xludf.DUMMYFUNCTION("""COMPUTED_VALUE"""),11341.0)</f>
        <v>11341</v>
      </c>
      <c r="I2813" s="18">
        <f>IFERROR(__xludf.DUMMYFUNCTION("""COMPUTED_VALUE"""),3.0)</f>
        <v>3</v>
      </c>
      <c r="J2813" s="18">
        <f>IFERROR(__xludf.DUMMYFUNCTION("""COMPUTED_VALUE"""),20.0)</f>
        <v>20</v>
      </c>
      <c r="K2813" s="18">
        <f>IFERROR(__xludf.DUMMYFUNCTION("""COMPUTED_VALUE"""),15.0)</f>
        <v>15</v>
      </c>
      <c r="L2813" s="17">
        <f>IFERROR(__xludf.DUMMYFUNCTION("""COMPUTED_VALUE"""),3.012882705E9)</f>
        <v>3012882705</v>
      </c>
      <c r="M2813" s="17" t="str">
        <f>IFERROR(__xludf.DUMMYFUNCTION("""COMPUTED_VALUE"""),"#REF!")</f>
        <v>#REF!</v>
      </c>
      <c r="N2813" s="17"/>
      <c r="O2813" s="17"/>
      <c r="P2813" s="17" t="b">
        <f>IFERROR(__xludf.DUMMYFUNCTION("""COMPUTED_VALUE"""),FALSE)</f>
        <v>0</v>
      </c>
      <c r="Q2813" s="20" t="str">
        <f>IFERROR(__xludf.DUMMYFUNCTION("""COMPUTED_VALUE"""),"")</f>
        <v/>
      </c>
      <c r="R2813" s="21" t="str">
        <f>IFERROR(__xludf.DUMMYFUNCTION("""COMPUTED_VALUE"""),"https://drive.google.com/file/d/1Or1LpoknbS-Irme5_TRdsDbKH3gNKznW/view?usp=drivesdk")</f>
        <v>https://drive.google.com/file/d/1Or1LpoknbS-Irme5_TRdsDbKH3gNKznW/view?usp=drivesdk</v>
      </c>
    </row>
    <row r="2814">
      <c r="A2814" s="15">
        <f>IFERROR(__xludf.DUMMYFUNCTION("""COMPUTED_VALUE"""),45083.0)</f>
        <v>45083</v>
      </c>
      <c r="B2814" s="16" t="str">
        <f>IFERROR(__xludf.DUMMYFUNCTION("""COMPUTED_VALUE"""),"Oscar Augusto Meneses Osias")</f>
        <v>Oscar Augusto Meneses Osias</v>
      </c>
      <c r="C2814" s="15" t="str">
        <f>IFERROR(__xludf.DUMMYFUNCTION("""COMPUTED_VALUE"""),"MEDELLÍN")</f>
        <v>MEDELLÍN</v>
      </c>
      <c r="D2814" s="15" t="str">
        <f>IFERROR(__xludf.DUMMYFUNCTION("""COMPUTED_VALUE"""),"BOGOTÁ")</f>
        <v>BOGOTÁ</v>
      </c>
      <c r="E2814" s="15" t="str">
        <f>IFERROR(__xludf.DUMMYFUNCTION("""COMPUTED_VALUE"""),"Evamazzita")</f>
        <v>Evamazzita</v>
      </c>
      <c r="F2814" s="17" t="str">
        <f>IFERROR(__xludf.DUMMYFUNCTION("""COMPUTED_VALUE"""),"Calle 93c #83 a 81  / N/A / Barrio: Robledo Primaveral")</f>
        <v>Calle 93c #83 a 81  / N/A / Barrio: Robledo Primaveral</v>
      </c>
      <c r="G2814" s="15" t="str">
        <f>IFERROR(__xludf.DUMMYFUNCTION("""COMPUTED_VALUE"""),"MILENA JARAMILLO ACEVEDO")</f>
        <v>MILENA JARAMILLO ACEVEDO</v>
      </c>
      <c r="H2814" s="16">
        <f>IFERROR(__xludf.DUMMYFUNCTION("""COMPUTED_VALUE"""),11334.0)</f>
        <v>11334</v>
      </c>
      <c r="I2814" s="18">
        <f>IFERROR(__xludf.DUMMYFUNCTION("""COMPUTED_VALUE"""),10.0)</f>
        <v>10</v>
      </c>
      <c r="J2814" s="18">
        <f>IFERROR(__xludf.DUMMYFUNCTION("""COMPUTED_VALUE"""),18.0)</f>
        <v>18</v>
      </c>
      <c r="K2814" s="18">
        <f>IFERROR(__xludf.DUMMYFUNCTION("""COMPUTED_VALUE"""),22.0)</f>
        <v>22</v>
      </c>
      <c r="L2814" s="17">
        <f>IFERROR(__xludf.DUMMYFUNCTION("""COMPUTED_VALUE"""),3.005579612E9)</f>
        <v>3005579612</v>
      </c>
      <c r="M2814" s="17" t="str">
        <f>IFERROR(__xludf.DUMMYFUNCTION("""COMPUTED_VALUE"""),"#REF!")</f>
        <v>#REF!</v>
      </c>
      <c r="N2814" s="17"/>
      <c r="O2814" s="17"/>
      <c r="P2814" s="17" t="b">
        <f>IFERROR(__xludf.DUMMYFUNCTION("""COMPUTED_VALUE"""),FALSE)</f>
        <v>0</v>
      </c>
      <c r="Q2814" s="20" t="str">
        <f>IFERROR(__xludf.DUMMYFUNCTION("""COMPUTED_VALUE"""),"")</f>
        <v/>
      </c>
      <c r="R2814" s="21" t="str">
        <f>IFERROR(__xludf.DUMMYFUNCTION("""COMPUTED_VALUE"""),"https://drive.google.com/file/d/1fnMNE7ZCVWkzGlNpGdTxAH6TpMqqWd8A/view?usp=drivesdk")</f>
        <v>https://drive.google.com/file/d/1fnMNE7ZCVWkzGlNpGdTxAH6TpMqqWd8A/view?usp=drivesdk</v>
      </c>
    </row>
    <row r="2815">
      <c r="A2815" s="15">
        <f>IFERROR(__xludf.DUMMYFUNCTION("""COMPUTED_VALUE"""),45083.0)</f>
        <v>45083</v>
      </c>
      <c r="B2815" s="16" t="str">
        <f>IFERROR(__xludf.DUMMYFUNCTION("""COMPUTED_VALUE"""),"Oscar Augusto Meneses Osias")</f>
        <v>Oscar Augusto Meneses Osias</v>
      </c>
      <c r="C2815" s="15" t="str">
        <f>IFERROR(__xludf.DUMMYFUNCTION("""COMPUTED_VALUE"""),"MEDELLÍN")</f>
        <v>MEDELLÍN</v>
      </c>
      <c r="D2815" s="15" t="str">
        <f>IFERROR(__xludf.DUMMYFUNCTION("""COMPUTED_VALUE"""),"BOGOTÁ")</f>
        <v>BOGOTÁ</v>
      </c>
      <c r="E2815" s="15" t="str">
        <f>IFERROR(__xludf.DUMMYFUNCTION("""COMPUTED_VALUE"""),"Evamazzita")</f>
        <v>Evamazzita</v>
      </c>
      <c r="F2815" s="17" t="str">
        <f>IFERROR(__xludf.DUMMYFUNCTION("""COMPUTED_VALUE"""),"Carrera 24b 17-25   / Casa 119  Casa milano   / Poblado")</f>
        <v>Carrera 24b 17-25   / Casa 119  Casa milano   / Poblado</v>
      </c>
      <c r="G2815" s="15" t="str">
        <f>IFERROR(__xludf.DUMMYFUNCTION("""COMPUTED_VALUE"""),"FERNANDA REYES")</f>
        <v>FERNANDA REYES</v>
      </c>
      <c r="H2815" s="16">
        <f>IFERROR(__xludf.DUMMYFUNCTION("""COMPUTED_VALUE"""),11336.0)</f>
        <v>11336</v>
      </c>
      <c r="I2815" s="18">
        <f>IFERROR(__xludf.DUMMYFUNCTION("""COMPUTED_VALUE"""),10.0)</f>
        <v>10</v>
      </c>
      <c r="J2815" s="18">
        <f>IFERROR(__xludf.DUMMYFUNCTION("""COMPUTED_VALUE"""),18.0)</f>
        <v>18</v>
      </c>
      <c r="K2815" s="18">
        <f>IFERROR(__xludf.DUMMYFUNCTION("""COMPUTED_VALUE"""),22.0)</f>
        <v>22</v>
      </c>
      <c r="L2815" s="17">
        <f>IFERROR(__xludf.DUMMYFUNCTION("""COMPUTED_VALUE"""),3.135976014E9)</f>
        <v>3135976014</v>
      </c>
      <c r="M2815" s="17" t="str">
        <f>IFERROR(__xludf.DUMMYFUNCTION("""COMPUTED_VALUE"""),"#REF!")</f>
        <v>#REF!</v>
      </c>
      <c r="N2815" s="17"/>
      <c r="O2815" s="17"/>
      <c r="P2815" s="17" t="b">
        <f>IFERROR(__xludf.DUMMYFUNCTION("""COMPUTED_VALUE"""),FALSE)</f>
        <v>0</v>
      </c>
      <c r="Q2815" s="20" t="str">
        <f>IFERROR(__xludf.DUMMYFUNCTION("""COMPUTED_VALUE"""),"")</f>
        <v/>
      </c>
      <c r="R2815" s="21" t="str">
        <f>IFERROR(__xludf.DUMMYFUNCTION("""COMPUTED_VALUE"""),"https://drive.google.com/file/d/1N4zP-7c-XI1P9PgiuK9OZ6zrT0wppyA8/view?usp=drivesdk")</f>
        <v>https://drive.google.com/file/d/1N4zP-7c-XI1P9PgiuK9OZ6zrT0wppyA8/view?usp=drivesdk</v>
      </c>
    </row>
    <row r="2816">
      <c r="A2816" s="15">
        <f>IFERROR(__xludf.DUMMYFUNCTION("""COMPUTED_VALUE"""),45083.0)</f>
        <v>45083</v>
      </c>
      <c r="B2816" s="16" t="str">
        <f>IFERROR(__xludf.DUMMYFUNCTION("""COMPUTED_VALUE"""),"Oscar Augusto Meneses Osias")</f>
        <v>Oscar Augusto Meneses Osias</v>
      </c>
      <c r="C2816" s="15" t="str">
        <f>IFERROR(__xludf.DUMMYFUNCTION("""COMPUTED_VALUE"""),"MEDELLÍN")</f>
        <v>MEDELLÍN</v>
      </c>
      <c r="D2816" s="15" t="str">
        <f>IFERROR(__xludf.DUMMYFUNCTION("""COMPUTED_VALUE"""),"BOGOTÁ")</f>
        <v>BOGOTÁ</v>
      </c>
      <c r="E2816" s="15" t="str">
        <f>IFERROR(__xludf.DUMMYFUNCTION("""COMPUTED_VALUE"""),"Evamazzita")</f>
        <v>Evamazzita</v>
      </c>
      <c r="F2816" s="17" t="str">
        <f>IFERROR(__xludf.DUMMYFUNCTION("""COMPUTED_VALUE"""),"Carrera 35 n 75 sur 41  / terramar apartamento 1204   / Sabaneta vía la doctora")</f>
        <v>Carrera 35 n 75 sur 41  / terramar apartamento 1204   / Sabaneta vía la doctora</v>
      </c>
      <c r="G2816" s="15" t="str">
        <f>IFERROR(__xludf.DUMMYFUNCTION("""COMPUTED_VALUE"""),"KELLY HENAO")</f>
        <v>KELLY HENAO</v>
      </c>
      <c r="H2816" s="16">
        <f>IFERROR(__xludf.DUMMYFUNCTION("""COMPUTED_VALUE"""),11339.0)</f>
        <v>11339</v>
      </c>
      <c r="I2816" s="18">
        <f>IFERROR(__xludf.DUMMYFUNCTION("""COMPUTED_VALUE"""),3.0)</f>
        <v>3</v>
      </c>
      <c r="J2816" s="18">
        <f>IFERROR(__xludf.DUMMYFUNCTION("""COMPUTED_VALUE"""),20.0)</f>
        <v>20</v>
      </c>
      <c r="K2816" s="18">
        <f>IFERROR(__xludf.DUMMYFUNCTION("""COMPUTED_VALUE"""),15.0)</f>
        <v>15</v>
      </c>
      <c r="L2816" s="17">
        <f>IFERROR(__xludf.DUMMYFUNCTION("""COMPUTED_VALUE"""),3.137928323E9)</f>
        <v>3137928323</v>
      </c>
      <c r="M2816" s="17" t="str">
        <f>IFERROR(__xludf.DUMMYFUNCTION("""COMPUTED_VALUE"""),"#REF!")</f>
        <v>#REF!</v>
      </c>
      <c r="N2816" s="17"/>
      <c r="O2816" s="17"/>
      <c r="P2816" s="17" t="b">
        <f>IFERROR(__xludf.DUMMYFUNCTION("""COMPUTED_VALUE"""),FALSE)</f>
        <v>0</v>
      </c>
      <c r="Q2816" s="20" t="str">
        <f>IFERROR(__xludf.DUMMYFUNCTION("""COMPUTED_VALUE"""),"")</f>
        <v/>
      </c>
      <c r="R2816" s="21" t="str">
        <f>IFERROR(__xludf.DUMMYFUNCTION("""COMPUTED_VALUE"""),"https://drive.google.com/file/d/1-fcmdvzmnzwjiJi5uUhKReLbJPb1oHFP/view?usp=drivesdk")</f>
        <v>https://drive.google.com/file/d/1-fcmdvzmnzwjiJi5uUhKReLbJPb1oHFP/view?usp=drivesdk</v>
      </c>
    </row>
    <row r="2817">
      <c r="A2817" s="15">
        <f>IFERROR(__xludf.DUMMYFUNCTION("""COMPUTED_VALUE"""),45083.0)</f>
        <v>45083</v>
      </c>
      <c r="B2817" s="16" t="str">
        <f>IFERROR(__xludf.DUMMYFUNCTION("""COMPUTED_VALUE"""),"Oscar Augusto Meneses Osias")</f>
        <v>Oscar Augusto Meneses Osias</v>
      </c>
      <c r="C2817" s="15" t="str">
        <f>IFERROR(__xludf.DUMMYFUNCTION("""COMPUTED_VALUE"""),"MEDELLÍN")</f>
        <v>MEDELLÍN</v>
      </c>
      <c r="D2817" s="15" t="str">
        <f>IFERROR(__xludf.DUMMYFUNCTION("""COMPUTED_VALUE"""),"BOGOTÁ")</f>
        <v>BOGOTÁ</v>
      </c>
      <c r="E2817" s="15" t="str">
        <f>IFERROR(__xludf.DUMMYFUNCTION("""COMPUTED_VALUE"""),"Evamazzita")</f>
        <v>Evamazzita</v>
      </c>
      <c r="F2817" s="17" t="str">
        <f>IFERROR(__xludf.DUMMYFUNCTION("""COMPUTED_VALUE"""),"Carrera 35a-77sur-113  / urbanización alameda  Torre 1 apartamento 2104  / SABANETA - Loma de San José")</f>
        <v>Carrera 35a-77sur-113  / urbanización alameda  Torre 1 apartamento 2104  / SABANETA - Loma de San José</v>
      </c>
      <c r="G2817" s="15" t="str">
        <f>IFERROR(__xludf.DUMMYFUNCTION("""COMPUTED_VALUE"""),"JHANNY ANDREA BLANQUICET FUENTES")</f>
        <v>JHANNY ANDREA BLANQUICET FUENTES</v>
      </c>
      <c r="H2817" s="16">
        <f>IFERROR(__xludf.DUMMYFUNCTION("""COMPUTED_VALUE"""),11338.0)</f>
        <v>11338</v>
      </c>
      <c r="I2817" s="18">
        <f>IFERROR(__xludf.DUMMYFUNCTION("""COMPUTED_VALUE"""),3.0)</f>
        <v>3</v>
      </c>
      <c r="J2817" s="18">
        <f>IFERROR(__xludf.DUMMYFUNCTION("""COMPUTED_VALUE"""),15.0)</f>
        <v>15</v>
      </c>
      <c r="K2817" s="18">
        <f>IFERROR(__xludf.DUMMYFUNCTION("""COMPUTED_VALUE"""),20.0)</f>
        <v>20</v>
      </c>
      <c r="L2817" s="17">
        <f>IFERROR(__xludf.DUMMYFUNCTION("""COMPUTED_VALUE"""),3.137179157E9)</f>
        <v>3137179157</v>
      </c>
      <c r="M2817" s="17" t="str">
        <f>IFERROR(__xludf.DUMMYFUNCTION("""COMPUTED_VALUE"""),"#REF!")</f>
        <v>#REF!</v>
      </c>
      <c r="N2817" s="17"/>
      <c r="O2817" s="17"/>
      <c r="P2817" s="17" t="b">
        <f>IFERROR(__xludf.DUMMYFUNCTION("""COMPUTED_VALUE"""),FALSE)</f>
        <v>0</v>
      </c>
      <c r="Q2817" s="20" t="str">
        <f>IFERROR(__xludf.DUMMYFUNCTION("""COMPUTED_VALUE"""),"")</f>
        <v/>
      </c>
      <c r="R2817" s="21" t="str">
        <f>IFERROR(__xludf.DUMMYFUNCTION("""COMPUTED_VALUE"""),"https://drive.google.com/file/d/1Uyyh9KFOZ6Kaey-GaNhW86QD-lQc52mN/view?usp=drivesdk")</f>
        <v>https://drive.google.com/file/d/1Uyyh9KFOZ6Kaey-GaNhW86QD-lQc52mN/view?usp=drivesdk</v>
      </c>
    </row>
    <row r="2818">
      <c r="A2818" s="15">
        <f>IFERROR(__xludf.DUMMYFUNCTION("""COMPUTED_VALUE"""),45083.0)</f>
        <v>45083</v>
      </c>
      <c r="B2818" s="16" t="str">
        <f>IFERROR(__xludf.DUMMYFUNCTION("""COMPUTED_VALUE"""),"Oscar Augusto Meneses Osias")</f>
        <v>Oscar Augusto Meneses Osias</v>
      </c>
      <c r="C2818" s="15" t="str">
        <f>IFERROR(__xludf.DUMMYFUNCTION("""COMPUTED_VALUE"""),"MEDELLÍN")</f>
        <v>MEDELLÍN</v>
      </c>
      <c r="D2818" s="15" t="str">
        <f>IFERROR(__xludf.DUMMYFUNCTION("""COMPUTED_VALUE"""),"BOGOTÁ")</f>
        <v>BOGOTÁ</v>
      </c>
      <c r="E2818" s="15" t="str">
        <f>IFERROR(__xludf.DUMMYFUNCTION("""COMPUTED_VALUE"""),"Evamazzita")</f>
        <v>Evamazzita</v>
      </c>
      <c r="F2818" s="17" t="str">
        <f>IFERROR(__xludf.DUMMYFUNCTION("""COMPUTED_VALUE"""),"CARRERA 39 E # 48 F SUR - 150  / URBANIZACIÓN MISSISSIPPI DE LA CUENCA APTO. 1306  / ENVIGADO - LA CUENCA, ARRIBA DE SEÑORIAL")</f>
        <v>CARRERA 39 E # 48 F SUR - 150  / URBANIZACIÓN MISSISSIPPI DE LA CUENCA APTO. 1306  / ENVIGADO - LA CUENCA, ARRIBA DE SEÑORIAL</v>
      </c>
      <c r="G2818" s="15" t="str">
        <f>IFERROR(__xludf.DUMMYFUNCTION("""COMPUTED_VALUE"""),"LAURA DURANGO")</f>
        <v>LAURA DURANGO</v>
      </c>
      <c r="H2818" s="16">
        <f>IFERROR(__xludf.DUMMYFUNCTION("""COMPUTED_VALUE"""),11328.0)</f>
        <v>11328</v>
      </c>
      <c r="I2818" s="18">
        <f>IFERROR(__xludf.DUMMYFUNCTION("""COMPUTED_VALUE"""),3.0)</f>
        <v>3</v>
      </c>
      <c r="J2818" s="18">
        <f>IFERROR(__xludf.DUMMYFUNCTION("""COMPUTED_VALUE"""),15.0)</f>
        <v>15</v>
      </c>
      <c r="K2818" s="18">
        <f>IFERROR(__xludf.DUMMYFUNCTION("""COMPUTED_VALUE"""),20.0)</f>
        <v>20</v>
      </c>
      <c r="L2818" s="17">
        <f>IFERROR(__xludf.DUMMYFUNCTION("""COMPUTED_VALUE"""),3.113122233E9)</f>
        <v>3113122233</v>
      </c>
      <c r="M2818" s="17" t="str">
        <f>IFERROR(__xludf.DUMMYFUNCTION("""COMPUTED_VALUE"""),"#REF!")</f>
        <v>#REF!</v>
      </c>
      <c r="N2818" s="17"/>
      <c r="O2818" s="17"/>
      <c r="P2818" s="17" t="b">
        <f>IFERROR(__xludf.DUMMYFUNCTION("""COMPUTED_VALUE"""),FALSE)</f>
        <v>0</v>
      </c>
      <c r="Q2818" s="20" t="str">
        <f>IFERROR(__xludf.DUMMYFUNCTION("""COMPUTED_VALUE"""),"")</f>
        <v/>
      </c>
      <c r="R2818" s="21" t="str">
        <f>IFERROR(__xludf.DUMMYFUNCTION("""COMPUTED_VALUE"""),"https://drive.google.com/file/d/16_PmX7e77J77VagF5OvulHsoVg7rbfaM/view?usp=drivesdk")</f>
        <v>https://drive.google.com/file/d/16_PmX7e77J77VagF5OvulHsoVg7rbfaM/view?usp=drivesdk</v>
      </c>
    </row>
    <row r="2819">
      <c r="A2819" s="15">
        <f>IFERROR(__xludf.DUMMYFUNCTION("""COMPUTED_VALUE"""),45083.0)</f>
        <v>45083</v>
      </c>
      <c r="B2819" s="16" t="str">
        <f>IFERROR(__xludf.DUMMYFUNCTION("""COMPUTED_VALUE"""),"Oscar Augusto Meneses Osias")</f>
        <v>Oscar Augusto Meneses Osias</v>
      </c>
      <c r="C2819" s="15" t="str">
        <f>IFERROR(__xludf.DUMMYFUNCTION("""COMPUTED_VALUE"""),"MEDELLÍN")</f>
        <v>MEDELLÍN</v>
      </c>
      <c r="D2819" s="15" t="str">
        <f>IFERROR(__xludf.DUMMYFUNCTION("""COMPUTED_VALUE"""),"BOGOTÁ")</f>
        <v>BOGOTÁ</v>
      </c>
      <c r="E2819" s="15" t="str">
        <f>IFERROR(__xludf.DUMMYFUNCTION("""COMPUTED_VALUE"""),"Evamazzita")</f>
        <v>Evamazzita</v>
      </c>
      <c r="F2819" s="17" t="str">
        <f>IFERROR(__xludf.DUMMYFUNCTION("""COMPUTED_VALUE"""),"CARRERA 47 B # 17 A SUR - 35  /  APTO. 409 / EDIFICIO PORTONES DE SANTA MARÍA")</f>
        <v>CARRERA 47 B # 17 A SUR - 35  /  APTO. 409 / EDIFICIO PORTONES DE SANTA MARÍA</v>
      </c>
      <c r="G2819" s="15" t="str">
        <f>IFERROR(__xludf.DUMMYFUNCTION("""COMPUTED_VALUE"""),"JULIANA GARCIA")</f>
        <v>JULIANA GARCIA</v>
      </c>
      <c r="H2819" s="16">
        <f>IFERROR(__xludf.DUMMYFUNCTION("""COMPUTED_VALUE"""),11333.0)</f>
        <v>11333</v>
      </c>
      <c r="I2819" s="18">
        <f>IFERROR(__xludf.DUMMYFUNCTION("""COMPUTED_VALUE"""),3.0)</f>
        <v>3</v>
      </c>
      <c r="J2819" s="18">
        <f>IFERROR(__xludf.DUMMYFUNCTION("""COMPUTED_VALUE"""),15.0)</f>
        <v>15</v>
      </c>
      <c r="K2819" s="18">
        <f>IFERROR(__xludf.DUMMYFUNCTION("""COMPUTED_VALUE"""),20.0)</f>
        <v>20</v>
      </c>
      <c r="L2819" s="17">
        <f>IFERROR(__xludf.DUMMYFUNCTION("""COMPUTED_VALUE"""),3.104017541E9)</f>
        <v>3104017541</v>
      </c>
      <c r="M2819" s="17" t="str">
        <f>IFERROR(__xludf.DUMMYFUNCTION("""COMPUTED_VALUE"""),"#REF!")</f>
        <v>#REF!</v>
      </c>
      <c r="N2819" s="17"/>
      <c r="O2819" s="17"/>
      <c r="P2819" s="17" t="b">
        <f>IFERROR(__xludf.DUMMYFUNCTION("""COMPUTED_VALUE"""),FALSE)</f>
        <v>0</v>
      </c>
      <c r="Q2819" s="20" t="str">
        <f>IFERROR(__xludf.DUMMYFUNCTION("""COMPUTED_VALUE"""),"")</f>
        <v/>
      </c>
      <c r="R2819" s="21" t="str">
        <f>IFERROR(__xludf.DUMMYFUNCTION("""COMPUTED_VALUE"""),"https://drive.google.com/file/d/1hZtCH7YQQpxOe_Sj3Qte_LkSrr6y2-5a/view?usp=drivesdk")</f>
        <v>https://drive.google.com/file/d/1hZtCH7YQQpxOe_Sj3Qte_LkSrr6y2-5a/view?usp=drivesdk</v>
      </c>
    </row>
    <row r="2820">
      <c r="A2820" s="15">
        <f>IFERROR(__xludf.DUMMYFUNCTION("""COMPUTED_VALUE"""),45083.0)</f>
        <v>45083</v>
      </c>
      <c r="B2820" s="16" t="str">
        <f>IFERROR(__xludf.DUMMYFUNCTION("""COMPUTED_VALUE"""),"Oscar Augusto Meneses Osias")</f>
        <v>Oscar Augusto Meneses Osias</v>
      </c>
      <c r="C2820" s="15" t="str">
        <f>IFERROR(__xludf.DUMMYFUNCTION("""COMPUTED_VALUE"""),"MEDELLÍN")</f>
        <v>MEDELLÍN</v>
      </c>
      <c r="D2820" s="15" t="str">
        <f>IFERROR(__xludf.DUMMYFUNCTION("""COMPUTED_VALUE"""),"BOGOTÁ")</f>
        <v>BOGOTÁ</v>
      </c>
      <c r="E2820" s="15" t="str">
        <f>IFERROR(__xludf.DUMMYFUNCTION("""COMPUTED_VALUE"""),"Evamazzita")</f>
        <v>Evamazzita</v>
      </c>
      <c r="F2820" s="17" t="str">
        <f>IFERROR(__xludf.DUMMYFUNCTION("""COMPUTED_VALUE"""),"Carrera 47C N. 78 C Sur 92 .  / Apto 208.  Unidad: Torres de Aldea Verde / SABANETA")</f>
        <v>Carrera 47C N. 78 C Sur 92 .  / Apto 208.  Unidad: Torres de Aldea Verde / SABANETA</v>
      </c>
      <c r="G2820" s="15" t="str">
        <f>IFERROR(__xludf.DUMMYFUNCTION("""COMPUTED_VALUE"""),"PAULA OQUENDO")</f>
        <v>PAULA OQUENDO</v>
      </c>
      <c r="H2820" s="16">
        <f>IFERROR(__xludf.DUMMYFUNCTION("""COMPUTED_VALUE"""),11340.0)</f>
        <v>11340</v>
      </c>
      <c r="I2820" s="18">
        <f>IFERROR(__xludf.DUMMYFUNCTION("""COMPUTED_VALUE"""),3.0)</f>
        <v>3</v>
      </c>
      <c r="J2820" s="18">
        <f>IFERROR(__xludf.DUMMYFUNCTION("""COMPUTED_VALUE"""),20.0)</f>
        <v>20</v>
      </c>
      <c r="K2820" s="18">
        <f>IFERROR(__xludf.DUMMYFUNCTION("""COMPUTED_VALUE"""),15.0)</f>
        <v>15</v>
      </c>
      <c r="L2820" s="17">
        <f>IFERROR(__xludf.DUMMYFUNCTION("""COMPUTED_VALUE"""),3.164105195E9)</f>
        <v>3164105195</v>
      </c>
      <c r="M2820" s="17" t="str">
        <f>IFERROR(__xludf.DUMMYFUNCTION("""COMPUTED_VALUE"""),"#REF!")</f>
        <v>#REF!</v>
      </c>
      <c r="N2820" s="17"/>
      <c r="O2820" s="17"/>
      <c r="P2820" s="17" t="b">
        <f>IFERROR(__xludf.DUMMYFUNCTION("""COMPUTED_VALUE"""),FALSE)</f>
        <v>0</v>
      </c>
      <c r="Q2820" s="20" t="str">
        <f>IFERROR(__xludf.DUMMYFUNCTION("""COMPUTED_VALUE"""),"")</f>
        <v/>
      </c>
      <c r="R2820" s="21" t="str">
        <f>IFERROR(__xludf.DUMMYFUNCTION("""COMPUTED_VALUE"""),"https://drive.google.com/file/d/14LtzC7zxQclMa3u_0np-elNqmnCG4qRX/view?usp=drivesdk")</f>
        <v>https://drive.google.com/file/d/14LtzC7zxQclMa3u_0np-elNqmnCG4qRX/view?usp=drivesdk</v>
      </c>
    </row>
    <row r="2821">
      <c r="A2821" s="15">
        <f>IFERROR(__xludf.DUMMYFUNCTION("""COMPUTED_VALUE"""),45083.0)</f>
        <v>45083</v>
      </c>
      <c r="B2821" s="16" t="str">
        <f>IFERROR(__xludf.DUMMYFUNCTION("""COMPUTED_VALUE"""),"Oscar Augusto Meneses Osias")</f>
        <v>Oscar Augusto Meneses Osias</v>
      </c>
      <c r="C2821" s="15" t="str">
        <f>IFERROR(__xludf.DUMMYFUNCTION("""COMPUTED_VALUE"""),"MEDELLÍN")</f>
        <v>MEDELLÍN</v>
      </c>
      <c r="D2821" s="15" t="str">
        <f>IFERROR(__xludf.DUMMYFUNCTION("""COMPUTED_VALUE"""),"BOGOTÁ")</f>
        <v>BOGOTÁ</v>
      </c>
      <c r="E2821" s="15" t="str">
        <f>IFERROR(__xludf.DUMMYFUNCTION("""COMPUTED_VALUE"""),"Evamazzita")</f>
        <v>Evamazzita</v>
      </c>
      <c r="F2821" s="17" t="str">
        <f>IFERROR(__xludf.DUMMYFUNCTION("""COMPUTED_VALUE"""),"CARRERA 50 # 66 - 90  / MIRADOR / BELLO")</f>
        <v>CARRERA 50 # 66 - 90  / MIRADOR / BELLO</v>
      </c>
      <c r="G2821" s="15" t="str">
        <f>IFERROR(__xludf.DUMMYFUNCTION("""COMPUTED_VALUE"""),"MARIANGEL PIEDRAHITA GALLAN")</f>
        <v>MARIANGEL PIEDRAHITA GALLAN</v>
      </c>
      <c r="H2821" s="16">
        <f>IFERROR(__xludf.DUMMYFUNCTION("""COMPUTED_VALUE"""),11327.0)</f>
        <v>11327</v>
      </c>
      <c r="I2821" s="18">
        <f>IFERROR(__xludf.DUMMYFUNCTION("""COMPUTED_VALUE"""),3.0)</f>
        <v>3</v>
      </c>
      <c r="J2821" s="18">
        <f>IFERROR(__xludf.DUMMYFUNCTION("""COMPUTED_VALUE"""),20.0)</f>
        <v>20</v>
      </c>
      <c r="K2821" s="18">
        <f>IFERROR(__xludf.DUMMYFUNCTION("""COMPUTED_VALUE"""),15.0)</f>
        <v>15</v>
      </c>
      <c r="L2821" s="17">
        <f>IFERROR(__xludf.DUMMYFUNCTION("""COMPUTED_VALUE"""),3.505335514E9)</f>
        <v>3505335514</v>
      </c>
      <c r="M2821" s="17" t="str">
        <f>IFERROR(__xludf.DUMMYFUNCTION("""COMPUTED_VALUE"""),"#REF!")</f>
        <v>#REF!</v>
      </c>
      <c r="N2821" s="17"/>
      <c r="O2821" s="17"/>
      <c r="P2821" s="17" t="b">
        <f>IFERROR(__xludf.DUMMYFUNCTION("""COMPUTED_VALUE"""),FALSE)</f>
        <v>0</v>
      </c>
      <c r="Q2821" s="20" t="str">
        <f>IFERROR(__xludf.DUMMYFUNCTION("""COMPUTED_VALUE"""),"")</f>
        <v/>
      </c>
      <c r="R2821" s="21" t="str">
        <f>IFERROR(__xludf.DUMMYFUNCTION("""COMPUTED_VALUE"""),"https://drive.google.com/file/d/1UT3SNj3xMu2o7pnT2lba3RttW-SIFjSl/view?usp=drivesdk")</f>
        <v>https://drive.google.com/file/d/1UT3SNj3xMu2o7pnT2lba3RttW-SIFjSl/view?usp=drivesdk</v>
      </c>
    </row>
    <row r="2822">
      <c r="A2822" s="15">
        <f>IFERROR(__xludf.DUMMYFUNCTION("""COMPUTED_VALUE"""),45083.0)</f>
        <v>45083</v>
      </c>
      <c r="B2822" s="16" t="str">
        <f>IFERROR(__xludf.DUMMYFUNCTION("""COMPUTED_VALUE"""),"Oscar Augusto Meneses Osias")</f>
        <v>Oscar Augusto Meneses Osias</v>
      </c>
      <c r="C2822" s="15" t="str">
        <f>IFERROR(__xludf.DUMMYFUNCTION("""COMPUTED_VALUE"""),"MEDELLÍN")</f>
        <v>MEDELLÍN</v>
      </c>
      <c r="D2822" s="15" t="str">
        <f>IFERROR(__xludf.DUMMYFUNCTION("""COMPUTED_VALUE"""),"BOGOTÁ")</f>
        <v>BOGOTÁ</v>
      </c>
      <c r="E2822" s="15" t="str">
        <f>IFERROR(__xludf.DUMMYFUNCTION("""COMPUTED_VALUE"""),"Evamazzita")</f>
        <v>Evamazzita</v>
      </c>
      <c r="F2822" s="17" t="str">
        <f>IFERROR(__xludf.DUMMYFUNCTION("""COMPUTED_VALUE"""),"Carrera 84F # 3D 255  / apto 1002 Urbanizacion Arabella  / Loma de los Bernal")</f>
        <v>Carrera 84F # 3D 255  / apto 1002 Urbanizacion Arabella  / Loma de los Bernal</v>
      </c>
      <c r="G2822" s="15" t="str">
        <f>IFERROR(__xludf.DUMMYFUNCTION("""COMPUTED_VALUE"""),"HEIMY NATALIA PEREZ DE LOS RIOS")</f>
        <v>HEIMY NATALIA PEREZ DE LOS RIOS</v>
      </c>
      <c r="H2822" s="16">
        <f>IFERROR(__xludf.DUMMYFUNCTION("""COMPUTED_VALUE"""),11332.0)</f>
        <v>11332</v>
      </c>
      <c r="I2822" s="18">
        <f>IFERROR(__xludf.DUMMYFUNCTION("""COMPUTED_VALUE"""),3.0)</f>
        <v>3</v>
      </c>
      <c r="J2822" s="18">
        <f>IFERROR(__xludf.DUMMYFUNCTION("""COMPUTED_VALUE"""),20.0)</f>
        <v>20</v>
      </c>
      <c r="K2822" s="18">
        <f>IFERROR(__xludf.DUMMYFUNCTION("""COMPUTED_VALUE"""),15.0)</f>
        <v>15</v>
      </c>
      <c r="L2822" s="17">
        <f>IFERROR(__xludf.DUMMYFUNCTION("""COMPUTED_VALUE"""),3.008319001E9)</f>
        <v>3008319001</v>
      </c>
      <c r="M2822" s="17" t="str">
        <f>IFERROR(__xludf.DUMMYFUNCTION("""COMPUTED_VALUE"""),"#REF!")</f>
        <v>#REF!</v>
      </c>
      <c r="N2822" s="17"/>
      <c r="O2822" s="17"/>
      <c r="P2822" s="17" t="b">
        <f>IFERROR(__xludf.DUMMYFUNCTION("""COMPUTED_VALUE"""),FALSE)</f>
        <v>0</v>
      </c>
      <c r="Q2822" s="20" t="str">
        <f>IFERROR(__xludf.DUMMYFUNCTION("""COMPUTED_VALUE"""),"")</f>
        <v/>
      </c>
      <c r="R2822" s="21" t="str">
        <f>IFERROR(__xludf.DUMMYFUNCTION("""COMPUTED_VALUE"""),"https://drive.google.com/file/d/1zzxREsG_rZ0aMFzqNSSpoXzp3GAufxDi/view?usp=drivesdk")</f>
        <v>https://drive.google.com/file/d/1zzxREsG_rZ0aMFzqNSSpoXzp3GAufxDi/view?usp=drivesdk</v>
      </c>
    </row>
    <row r="2823">
      <c r="A2823" s="15">
        <f>IFERROR(__xludf.DUMMYFUNCTION("""COMPUTED_VALUE"""),45083.0)</f>
        <v>45083</v>
      </c>
      <c r="B2823" s="16" t="str">
        <f>IFERROR(__xludf.DUMMYFUNCTION("""COMPUTED_VALUE"""),"Oscar Augusto Meneses Osias")</f>
        <v>Oscar Augusto Meneses Osias</v>
      </c>
      <c r="C2823" s="15" t="str">
        <f>IFERROR(__xludf.DUMMYFUNCTION("""COMPUTED_VALUE"""),"MEDELLÍN")</f>
        <v>MEDELLÍN</v>
      </c>
      <c r="D2823" s="15" t="str">
        <f>IFERROR(__xludf.DUMMYFUNCTION("""COMPUTED_VALUE"""),"BOGOTÁ")</f>
        <v>BOGOTÁ</v>
      </c>
      <c r="E2823" s="15" t="str">
        <f>IFERROR(__xludf.DUMMYFUNCTION("""COMPUTED_VALUE"""),"Evamazzita")</f>
        <v>Evamazzita</v>
      </c>
      <c r="F2823" s="17" t="str">
        <f>IFERROR(__xludf.DUMMYFUNCTION("""COMPUTED_VALUE"""),"CRA 15 BA No. 34D- 44  / INT 201  / BUENOS AIRES")</f>
        <v>CRA 15 BA No. 34D- 44  / INT 201  / BUENOS AIRES</v>
      </c>
      <c r="G2823" s="15" t="str">
        <f>IFERROR(__xludf.DUMMYFUNCTION("""COMPUTED_VALUE"""),"DANIELA BEDOYA BLANDON")</f>
        <v>DANIELA BEDOYA BLANDON</v>
      </c>
      <c r="H2823" s="16">
        <f>IFERROR(__xludf.DUMMYFUNCTION("""COMPUTED_VALUE"""),11320.0)</f>
        <v>11320</v>
      </c>
      <c r="I2823" s="18">
        <f>IFERROR(__xludf.DUMMYFUNCTION("""COMPUTED_VALUE"""),24.0)</f>
        <v>24</v>
      </c>
      <c r="J2823" s="18">
        <f>IFERROR(__xludf.DUMMYFUNCTION("""COMPUTED_VALUE"""),35.0)</f>
        <v>35</v>
      </c>
      <c r="K2823" s="18">
        <f>IFERROR(__xludf.DUMMYFUNCTION("""COMPUTED_VALUE"""),22.0)</f>
        <v>22</v>
      </c>
      <c r="L2823" s="17">
        <f>IFERROR(__xludf.DUMMYFUNCTION("""COMPUTED_VALUE"""),3.14672822E9)</f>
        <v>3146728220</v>
      </c>
      <c r="M2823" s="17" t="str">
        <f>IFERROR(__xludf.DUMMYFUNCTION("""COMPUTED_VALUE"""),"#REF!")</f>
        <v>#REF!</v>
      </c>
      <c r="N2823" s="17"/>
      <c r="O2823" s="17"/>
      <c r="P2823" s="17" t="b">
        <f>IFERROR(__xludf.DUMMYFUNCTION("""COMPUTED_VALUE"""),FALSE)</f>
        <v>0</v>
      </c>
      <c r="Q2823" s="20" t="str">
        <f>IFERROR(__xludf.DUMMYFUNCTION("""COMPUTED_VALUE"""),"")</f>
        <v/>
      </c>
      <c r="R2823" s="21" t="str">
        <f>IFERROR(__xludf.DUMMYFUNCTION("""COMPUTED_VALUE"""),"https://drive.google.com/file/d/1IM6I6M_pMmqWBOTVMcQVyvWYQFaRswt6/view?usp=drivesdk")</f>
        <v>https://drive.google.com/file/d/1IM6I6M_pMmqWBOTVMcQVyvWYQFaRswt6/view?usp=drivesdk</v>
      </c>
    </row>
    <row r="2824">
      <c r="A2824" s="15">
        <f>IFERROR(__xludf.DUMMYFUNCTION("""COMPUTED_VALUE"""),45083.0)</f>
        <v>45083</v>
      </c>
      <c r="B2824" s="16" t="str">
        <f>IFERROR(__xludf.DUMMYFUNCTION("""COMPUTED_VALUE"""),"Oscar Augusto Meneses Osias")</f>
        <v>Oscar Augusto Meneses Osias</v>
      </c>
      <c r="C2824" s="15" t="str">
        <f>IFERROR(__xludf.DUMMYFUNCTION("""COMPUTED_VALUE"""),"MEDELLÍN")</f>
        <v>MEDELLÍN</v>
      </c>
      <c r="D2824" s="15" t="str">
        <f>IFERROR(__xludf.DUMMYFUNCTION("""COMPUTED_VALUE"""),"BOGOTÁ")</f>
        <v>BOGOTÁ</v>
      </c>
      <c r="E2824" s="15" t="str">
        <f>IFERROR(__xludf.DUMMYFUNCTION("""COMPUTED_VALUE"""),"Evamazzita")</f>
        <v>Evamazzita</v>
      </c>
      <c r="F2824" s="17" t="str">
        <f>IFERROR(__xludf.DUMMYFUNCTION("""COMPUTED_VALUE"""),"CRA 29C No. 4 SUR -130  / CASA 119  / URBANIZACION LA CAMPIÑA DEL POBLADO")</f>
        <v>CRA 29C No. 4 SUR -130  / CASA 119  / URBANIZACION LA CAMPIÑA DEL POBLADO</v>
      </c>
      <c r="G2824" s="15" t="str">
        <f>IFERROR(__xludf.DUMMYFUNCTION("""COMPUTED_VALUE"""),"MARCELA GIL")</f>
        <v>MARCELA GIL</v>
      </c>
      <c r="H2824" s="16">
        <f>IFERROR(__xludf.DUMMYFUNCTION("""COMPUTED_VALUE"""),11337.0)</f>
        <v>11337</v>
      </c>
      <c r="I2824" s="18">
        <f>IFERROR(__xludf.DUMMYFUNCTION("""COMPUTED_VALUE"""),3.0)</f>
        <v>3</v>
      </c>
      <c r="J2824" s="18">
        <f>IFERROR(__xludf.DUMMYFUNCTION("""COMPUTED_VALUE"""),20.0)</f>
        <v>20</v>
      </c>
      <c r="K2824" s="18">
        <f>IFERROR(__xludf.DUMMYFUNCTION("""COMPUTED_VALUE"""),15.0)</f>
        <v>15</v>
      </c>
      <c r="L2824" s="17">
        <f>IFERROR(__xludf.DUMMYFUNCTION("""COMPUTED_VALUE"""),3.04382291E9)</f>
        <v>3043822910</v>
      </c>
      <c r="M2824" s="17" t="str">
        <f>IFERROR(__xludf.DUMMYFUNCTION("""COMPUTED_VALUE"""),"#REF!")</f>
        <v>#REF!</v>
      </c>
      <c r="N2824" s="17"/>
      <c r="O2824" s="17"/>
      <c r="P2824" s="17" t="b">
        <f>IFERROR(__xludf.DUMMYFUNCTION("""COMPUTED_VALUE"""),FALSE)</f>
        <v>0</v>
      </c>
      <c r="Q2824" s="20" t="str">
        <f>IFERROR(__xludf.DUMMYFUNCTION("""COMPUTED_VALUE"""),"")</f>
        <v/>
      </c>
      <c r="R2824" s="21" t="str">
        <f>IFERROR(__xludf.DUMMYFUNCTION("""COMPUTED_VALUE"""),"https://drive.google.com/file/d/1MQaC4X1Ajn1dYSBIfI3RyTuGuOrRTgUT/view?usp=drivesdk")</f>
        <v>https://drive.google.com/file/d/1MQaC4X1Ajn1dYSBIfI3RyTuGuOrRTgUT/view?usp=drivesdk</v>
      </c>
    </row>
    <row r="2825">
      <c r="A2825" s="15">
        <f>IFERROR(__xludf.DUMMYFUNCTION("""COMPUTED_VALUE"""),45083.0)</f>
        <v>45083</v>
      </c>
      <c r="B2825" s="16" t="str">
        <f>IFERROR(__xludf.DUMMYFUNCTION("""COMPUTED_VALUE"""),"Oscar Augusto Meneses Osias")</f>
        <v>Oscar Augusto Meneses Osias</v>
      </c>
      <c r="C2825" s="15" t="str">
        <f>IFERROR(__xludf.DUMMYFUNCTION("""COMPUTED_VALUE"""),"MEDELLÍN")</f>
        <v>MEDELLÍN</v>
      </c>
      <c r="D2825" s="15" t="str">
        <f>IFERROR(__xludf.DUMMYFUNCTION("""COMPUTED_VALUE"""),"BOGOTÁ")</f>
        <v>BOGOTÁ</v>
      </c>
      <c r="E2825" s="15" t="str">
        <f>IFERROR(__xludf.DUMMYFUNCTION("""COMPUTED_VALUE"""),"Evamazzita")</f>
        <v>Evamazzita</v>
      </c>
      <c r="F2825" s="17" t="str">
        <f>IFERROR(__xludf.DUMMYFUNCTION("""COMPUTED_VALUE"""),"CRA 32 No. 38B - 02  / N/A / BARRIO SALVADOR")</f>
        <v>CRA 32 No. 38B - 02  / N/A / BARRIO SALVADOR</v>
      </c>
      <c r="G2825" s="15" t="str">
        <f>IFERROR(__xludf.DUMMYFUNCTION("""COMPUTED_VALUE"""),"DANIELA MEJIA")</f>
        <v>DANIELA MEJIA</v>
      </c>
      <c r="H2825" s="16">
        <f>IFERROR(__xludf.DUMMYFUNCTION("""COMPUTED_VALUE"""),11335.0)</f>
        <v>11335</v>
      </c>
      <c r="I2825" s="18">
        <f>IFERROR(__xludf.DUMMYFUNCTION("""COMPUTED_VALUE"""),3.0)</f>
        <v>3</v>
      </c>
      <c r="J2825" s="18">
        <f>IFERROR(__xludf.DUMMYFUNCTION("""COMPUTED_VALUE"""),20.0)</f>
        <v>20</v>
      </c>
      <c r="K2825" s="18">
        <f>IFERROR(__xludf.DUMMYFUNCTION("""COMPUTED_VALUE"""),15.0)</f>
        <v>15</v>
      </c>
      <c r="L2825" s="17">
        <f>IFERROR(__xludf.DUMMYFUNCTION("""COMPUTED_VALUE"""),3.044418425E9)</f>
        <v>3044418425</v>
      </c>
      <c r="M2825" s="17" t="str">
        <f>IFERROR(__xludf.DUMMYFUNCTION("""COMPUTED_VALUE"""),"#REF!")</f>
        <v>#REF!</v>
      </c>
      <c r="N2825" s="17"/>
      <c r="O2825" s="17"/>
      <c r="P2825" s="17" t="b">
        <f>IFERROR(__xludf.DUMMYFUNCTION("""COMPUTED_VALUE"""),FALSE)</f>
        <v>0</v>
      </c>
      <c r="Q2825" s="20" t="str">
        <f>IFERROR(__xludf.DUMMYFUNCTION("""COMPUTED_VALUE"""),"")</f>
        <v/>
      </c>
      <c r="R2825" s="21" t="str">
        <f>IFERROR(__xludf.DUMMYFUNCTION("""COMPUTED_VALUE"""),"https://drive.google.com/file/d/1DYr5SMni2he-J0qBmRiDAf13GldqZcS2/view?usp=drivesdk")</f>
        <v>https://drive.google.com/file/d/1DYr5SMni2he-J0qBmRiDAf13GldqZcS2/view?usp=drivesdk</v>
      </c>
    </row>
    <row r="2826">
      <c r="A2826" s="15">
        <f>IFERROR(__xludf.DUMMYFUNCTION("""COMPUTED_VALUE"""),45083.0)</f>
        <v>45083</v>
      </c>
      <c r="B2826" s="16" t="str">
        <f>IFERROR(__xludf.DUMMYFUNCTION("""COMPUTED_VALUE"""),"Oscar Augusto Meneses Osias")</f>
        <v>Oscar Augusto Meneses Osias</v>
      </c>
      <c r="C2826" s="15" t="str">
        <f>IFERROR(__xludf.DUMMYFUNCTION("""COMPUTED_VALUE"""),"MEDELLÍN")</f>
        <v>MEDELLÍN</v>
      </c>
      <c r="D2826" s="15" t="str">
        <f>IFERROR(__xludf.DUMMYFUNCTION("""COMPUTED_VALUE"""),"BOGOTÁ")</f>
        <v>BOGOTÁ</v>
      </c>
      <c r="E2826" s="15" t="str">
        <f>IFERROR(__xludf.DUMMYFUNCTION("""COMPUTED_VALUE"""),"Evamazzita")</f>
        <v>Evamazzita</v>
      </c>
      <c r="F2826" s="17" t="str">
        <f>IFERROR(__xludf.DUMMYFUNCTION("""COMPUTED_VALUE"""),"Cra 83a #95-17  / N/A / Robledo miramar")</f>
        <v>Cra 83a #95-17  / N/A / Robledo miramar</v>
      </c>
      <c r="G2826" s="15" t="str">
        <f>IFERROR(__xludf.DUMMYFUNCTION("""COMPUTED_VALUE"""),"ANA LUPE ROSADO MENDEZ")</f>
        <v>ANA LUPE ROSADO MENDEZ</v>
      </c>
      <c r="H2826" s="16">
        <f>IFERROR(__xludf.DUMMYFUNCTION("""COMPUTED_VALUE"""),11330.0)</f>
        <v>11330</v>
      </c>
      <c r="I2826" s="18">
        <f>IFERROR(__xludf.DUMMYFUNCTION("""COMPUTED_VALUE"""),3.0)</f>
        <v>3</v>
      </c>
      <c r="J2826" s="18">
        <f>IFERROR(__xludf.DUMMYFUNCTION("""COMPUTED_VALUE"""),20.0)</f>
        <v>20</v>
      </c>
      <c r="K2826" s="18">
        <f>IFERROR(__xludf.DUMMYFUNCTION("""COMPUTED_VALUE"""),15.0)</f>
        <v>15</v>
      </c>
      <c r="L2826" s="17">
        <f>IFERROR(__xludf.DUMMYFUNCTION("""COMPUTED_VALUE"""),3.216207326E9)</f>
        <v>3216207326</v>
      </c>
      <c r="M2826" s="17" t="str">
        <f>IFERROR(__xludf.DUMMYFUNCTION("""COMPUTED_VALUE"""),"#REF!")</f>
        <v>#REF!</v>
      </c>
      <c r="N2826" s="17"/>
      <c r="O2826" s="17"/>
      <c r="P2826" s="17" t="b">
        <f>IFERROR(__xludf.DUMMYFUNCTION("""COMPUTED_VALUE"""),FALSE)</f>
        <v>0</v>
      </c>
      <c r="Q2826" s="20" t="str">
        <f>IFERROR(__xludf.DUMMYFUNCTION("""COMPUTED_VALUE"""),"")</f>
        <v/>
      </c>
      <c r="R2826" s="21" t="str">
        <f>IFERROR(__xludf.DUMMYFUNCTION("""COMPUTED_VALUE"""),"https://drive.google.com/file/d/1TOg7_gCRLUeWl1GoS92NtMJpiF8f8kZZ/view?usp=drivesdk")</f>
        <v>https://drive.google.com/file/d/1TOg7_gCRLUeWl1GoS92NtMJpiF8f8kZZ/view?usp=drivesdk</v>
      </c>
    </row>
    <row r="2827">
      <c r="A2827" s="15">
        <f>IFERROR(__xludf.DUMMYFUNCTION("""COMPUTED_VALUE"""),45083.0)</f>
        <v>45083</v>
      </c>
      <c r="B2827" s="16" t="str">
        <f>IFERROR(__xludf.DUMMYFUNCTION("""COMPUTED_VALUE"""),"Oscar Augusto Meneses Osias")</f>
        <v>Oscar Augusto Meneses Osias</v>
      </c>
      <c r="C2827" s="15" t="str">
        <f>IFERROR(__xludf.DUMMYFUNCTION("""COMPUTED_VALUE"""),"MEDELLÍN")</f>
        <v>MEDELLÍN</v>
      </c>
      <c r="D2827" s="15" t="str">
        <f>IFERROR(__xludf.DUMMYFUNCTION("""COMPUTED_VALUE"""),"BOGOTÁ")</f>
        <v>BOGOTÁ</v>
      </c>
      <c r="E2827" s="15" t="str">
        <f>IFERROR(__xludf.DUMMYFUNCTION("""COMPUTED_VALUE"""),"Helados Socos")</f>
        <v>Helados Socos</v>
      </c>
      <c r="F2827" s="17" t="str">
        <f>IFERROR(__xludf.DUMMYFUNCTION("""COMPUTED_VALUE"""),"Cll 10 # 30 a - 71  / apto 202 / Bosques de Viscaya")</f>
        <v>Cll 10 # 30 a - 71  / apto 202 / Bosques de Viscaya</v>
      </c>
      <c r="G2827" s="15" t="str">
        <f>IFERROR(__xludf.DUMMYFUNCTION("""COMPUTED_VALUE"""),"Hilda Gómez")</f>
        <v>Hilda Gómez</v>
      </c>
      <c r="H2827" s="16">
        <f>IFERROR(__xludf.DUMMYFUNCTION("""COMPUTED_VALUE"""),11233.0)</f>
        <v>11233</v>
      </c>
      <c r="I2827" s="18">
        <f>IFERROR(__xludf.DUMMYFUNCTION("""COMPUTED_VALUE"""),18.0)</f>
        <v>18</v>
      </c>
      <c r="J2827" s="18">
        <f>IFERROR(__xludf.DUMMYFUNCTION("""COMPUTED_VALUE"""),10.0)</f>
        <v>10</v>
      </c>
      <c r="K2827" s="18">
        <f>IFERROR(__xludf.DUMMYFUNCTION("""COMPUTED_VALUE"""),15.0)</f>
        <v>15</v>
      </c>
      <c r="L2827" s="17">
        <f>IFERROR(__xludf.DUMMYFUNCTION("""COMPUTED_VALUE"""),1.2032162921E10)</f>
        <v>12032162921</v>
      </c>
      <c r="M2827" s="17" t="str">
        <f>IFERROR(__xludf.DUMMYFUNCTION("""COMPUTED_VALUE"""),"#REF!")</f>
        <v>#REF!</v>
      </c>
      <c r="N2827" s="17"/>
      <c r="O2827" s="17"/>
      <c r="P2827" s="17" t="b">
        <f>IFERROR(__xludf.DUMMYFUNCTION("""COMPUTED_VALUE"""),FALSE)</f>
        <v>0</v>
      </c>
      <c r="Q2827" s="20" t="str">
        <f>IFERROR(__xludf.DUMMYFUNCTION("""COMPUTED_VALUE"""),"")</f>
        <v/>
      </c>
      <c r="R2827" s="21" t="str">
        <f>IFERROR(__xludf.DUMMYFUNCTION("""COMPUTED_VALUE"""),"https://drive.google.com/file/d/1NdiIrwWVzMwDsugnTuaixWP66jTZ19X3/view?usp=drivesdk")</f>
        <v>https://drive.google.com/file/d/1NdiIrwWVzMwDsugnTuaixWP66jTZ19X3/view?usp=drivesdk</v>
      </c>
    </row>
    <row r="2828">
      <c r="A2828" s="15">
        <f>IFERROR(__xludf.DUMMYFUNCTION("""COMPUTED_VALUE"""),45083.0)</f>
        <v>45083</v>
      </c>
      <c r="B2828" s="16" t="str">
        <f>IFERROR(__xludf.DUMMYFUNCTION("""COMPUTED_VALUE"""),"Oscar Augusto Meneses Osias")</f>
        <v>Oscar Augusto Meneses Osias</v>
      </c>
      <c r="C2828" s="15" t="str">
        <f>IFERROR(__xludf.DUMMYFUNCTION("""COMPUTED_VALUE"""),"MEDELLÍN")</f>
        <v>MEDELLÍN</v>
      </c>
      <c r="D2828" s="15" t="str">
        <f>IFERROR(__xludf.DUMMYFUNCTION("""COMPUTED_VALUE"""),"BOGOTÁ")</f>
        <v>BOGOTÁ</v>
      </c>
      <c r="E2828" s="15" t="str">
        <f>IFERROR(__xludf.DUMMYFUNCTION("""COMPUTED_VALUE"""),"Karem foods")</f>
        <v>Karem foods</v>
      </c>
      <c r="F2828" s="17" t="str">
        <f>IFERROR(__xludf.DUMMYFUNCTION("""COMPUTED_VALUE"""),"Calle 60 sur # 39-55 / Torre 3 apto 108 Sabaneta / Ciudad del bosque 2")</f>
        <v>Calle 60 sur # 39-55 / Torre 3 apto 108 Sabaneta / Ciudad del bosque 2</v>
      </c>
      <c r="G2828" s="15" t="str">
        <f>IFERROR(__xludf.DUMMYFUNCTION("""COMPUTED_VALUE"""),"Katherine zuluaga")</f>
        <v>Katherine zuluaga</v>
      </c>
      <c r="H2828" s="16">
        <f>IFERROR(__xludf.DUMMYFUNCTION("""COMPUTED_VALUE"""),11387.0)</f>
        <v>11387</v>
      </c>
      <c r="I2828" s="18">
        <f>IFERROR(__xludf.DUMMYFUNCTION("""COMPUTED_VALUE"""),18.0)</f>
        <v>18</v>
      </c>
      <c r="J2828" s="18">
        <f>IFERROR(__xludf.DUMMYFUNCTION("""COMPUTED_VALUE"""),18.0)</f>
        <v>18</v>
      </c>
      <c r="K2828" s="18">
        <f>IFERROR(__xludf.DUMMYFUNCTION("""COMPUTED_VALUE"""),22.0)</f>
        <v>22</v>
      </c>
      <c r="L2828" s="17">
        <f>IFERROR(__xludf.DUMMYFUNCTION("""COMPUTED_VALUE"""),3.00201996E9)</f>
        <v>3002019960</v>
      </c>
      <c r="M2828" s="17" t="str">
        <f>IFERROR(__xludf.DUMMYFUNCTION("""COMPUTED_VALUE"""),"#REF!")</f>
        <v>#REF!</v>
      </c>
      <c r="N2828" s="17"/>
      <c r="O2828" s="17"/>
      <c r="P2828" s="17" t="b">
        <f>IFERROR(__xludf.DUMMYFUNCTION("""COMPUTED_VALUE"""),FALSE)</f>
        <v>0</v>
      </c>
      <c r="Q2828" s="20" t="str">
        <f>IFERROR(__xludf.DUMMYFUNCTION("""COMPUTED_VALUE"""),"")</f>
        <v/>
      </c>
      <c r="R2828" s="21" t="str">
        <f>IFERROR(__xludf.DUMMYFUNCTION("""COMPUTED_VALUE"""),"https://drive.google.com/file/d/1jutbFwjc2DR7clsnW3PfDJQB1SowjnvH/view?usp=drivesdk")</f>
        <v>https://drive.google.com/file/d/1jutbFwjc2DR7clsnW3PfDJQB1SowjnvH/view?usp=drivesdk</v>
      </c>
    </row>
    <row r="2829">
      <c r="A2829" s="15">
        <f>IFERROR(__xludf.DUMMYFUNCTION("""COMPUTED_VALUE"""),45083.0)</f>
        <v>45083</v>
      </c>
      <c r="B2829" s="16" t="str">
        <f>IFERROR(__xludf.DUMMYFUNCTION("""COMPUTED_VALUE"""),"Oscar Augusto Meneses Osias")</f>
        <v>Oscar Augusto Meneses Osias</v>
      </c>
      <c r="C2829" s="15" t="str">
        <f>IFERROR(__xludf.DUMMYFUNCTION("""COMPUTED_VALUE"""),"MEDELLÍN")</f>
        <v>MEDELLÍN</v>
      </c>
      <c r="D2829" s="15" t="str">
        <f>IFERROR(__xludf.DUMMYFUNCTION("""COMPUTED_VALUE"""),"BOGOTÁ")</f>
        <v>BOGOTÁ</v>
      </c>
      <c r="E2829" s="15" t="str">
        <f>IFERROR(__xludf.DUMMYFUNCTION("""COMPUTED_VALUE"""),"Loomifoods")</f>
        <v>Loomifoods</v>
      </c>
      <c r="F2829" s="17" t="str">
        <f>IFERROR(__xludf.DUMMYFUNCTION("""COMPUTED_VALUE"""),"Cra 15BA no. 34D - 44  / Interior 201 / MEdellin")</f>
        <v>Cra 15BA no. 34D - 44  / Interior 201 / MEdellin</v>
      </c>
      <c r="G2829" s="15" t="str">
        <f>IFERROR(__xludf.DUMMYFUNCTION("""COMPUTED_VALUE"""),"Daniela BEdoya")</f>
        <v>Daniela BEdoya</v>
      </c>
      <c r="H2829" s="16">
        <f>IFERROR(__xludf.DUMMYFUNCTION("""COMPUTED_VALUE"""),11362.0)</f>
        <v>11362</v>
      </c>
      <c r="I2829" s="18">
        <f>IFERROR(__xludf.DUMMYFUNCTION("""COMPUTED_VALUE"""),20.0)</f>
        <v>20</v>
      </c>
      <c r="J2829" s="18">
        <f>IFERROR(__xludf.DUMMYFUNCTION("""COMPUTED_VALUE"""),5.0)</f>
        <v>5</v>
      </c>
      <c r="K2829" s="18">
        <f>IFERROR(__xludf.DUMMYFUNCTION("""COMPUTED_VALUE"""),16.0)</f>
        <v>16</v>
      </c>
      <c r="L2829" s="17">
        <f>IFERROR(__xludf.DUMMYFUNCTION("""COMPUTED_VALUE"""),3.14672822E9)</f>
        <v>3146728220</v>
      </c>
      <c r="M2829" s="17" t="str">
        <f>IFERROR(__xludf.DUMMYFUNCTION("""COMPUTED_VALUE"""),"#REF!")</f>
        <v>#REF!</v>
      </c>
      <c r="N2829" s="17"/>
      <c r="O2829" s="17"/>
      <c r="P2829" s="17" t="b">
        <f>IFERROR(__xludf.DUMMYFUNCTION("""COMPUTED_VALUE"""),FALSE)</f>
        <v>0</v>
      </c>
      <c r="Q2829" s="20" t="str">
        <f>IFERROR(__xludf.DUMMYFUNCTION("""COMPUTED_VALUE"""),"")</f>
        <v/>
      </c>
      <c r="R2829" s="22" t="str">
        <f>IFERROR(__xludf.DUMMYFUNCTION("""COMPUTED_VALUE"""),"")</f>
        <v/>
      </c>
    </row>
    <row r="2830">
      <c r="A2830" s="15">
        <f>IFERROR(__xludf.DUMMYFUNCTION("""COMPUTED_VALUE"""),45083.0)</f>
        <v>45083</v>
      </c>
      <c r="B2830" s="16" t="str">
        <f>IFERROR(__xludf.DUMMYFUNCTION("""COMPUTED_VALUE"""),"Oscar Augusto Meneses Osias")</f>
        <v>Oscar Augusto Meneses Osias</v>
      </c>
      <c r="C2830" s="15" t="str">
        <f>IFERROR(__xludf.DUMMYFUNCTION("""COMPUTED_VALUE"""),"MEDELLÍN")</f>
        <v>MEDELLÍN</v>
      </c>
      <c r="D2830" s="15" t="str">
        <f>IFERROR(__xludf.DUMMYFUNCTION("""COMPUTED_VALUE"""),"BOGOTÁ")</f>
        <v>BOGOTÁ</v>
      </c>
      <c r="E2830" s="15" t="str">
        <f>IFERROR(__xludf.DUMMYFUNCTION("""COMPUTED_VALUE"""),"Lunchy Kids")</f>
        <v>Lunchy Kids</v>
      </c>
      <c r="F2830" s="17" t="str">
        <f>IFERROR(__xludf.DUMMYFUNCTION("""COMPUTED_VALUE"""),"Calle 75 ab sur #52 d -  332  / Ceiba Verde Vivo -  Apto 3008 / Itagui")</f>
        <v>Calle 75 ab sur #52 d -  332  / Ceiba Verde Vivo -  Apto 3008 / Itagui</v>
      </c>
      <c r="G2830" s="15" t="str">
        <f>IFERROR(__xludf.DUMMYFUNCTION("""COMPUTED_VALUE"""),"Jerutsa Catalina Orjuela")</f>
        <v>Jerutsa Catalina Orjuela</v>
      </c>
      <c r="H2830" s="16">
        <f>IFERROR(__xludf.DUMMYFUNCTION("""COMPUTED_VALUE"""),11285.0)</f>
        <v>11285</v>
      </c>
      <c r="I2830" s="18">
        <f>IFERROR(__xludf.DUMMYFUNCTION("""COMPUTED_VALUE"""),14.0)</f>
        <v>14</v>
      </c>
      <c r="J2830" s="18">
        <f>IFERROR(__xludf.DUMMYFUNCTION("""COMPUTED_VALUE"""),29.0)</f>
        <v>29</v>
      </c>
      <c r="K2830" s="18">
        <f>IFERROR(__xludf.DUMMYFUNCTION("""COMPUTED_VALUE"""),8.0)</f>
        <v>8</v>
      </c>
      <c r="L2830" s="17">
        <f>IFERROR(__xludf.DUMMYFUNCTION("""COMPUTED_VALUE"""),3.017274432E9)</f>
        <v>3017274432</v>
      </c>
      <c r="M2830" s="17" t="str">
        <f>IFERROR(__xludf.DUMMYFUNCTION("""COMPUTED_VALUE"""),"#REF!")</f>
        <v>#REF!</v>
      </c>
      <c r="N2830" s="17"/>
      <c r="O2830" s="17"/>
      <c r="P2830" s="17" t="b">
        <f>IFERROR(__xludf.DUMMYFUNCTION("""COMPUTED_VALUE"""),FALSE)</f>
        <v>0</v>
      </c>
      <c r="Q2830" s="20" t="str">
        <f>IFERROR(__xludf.DUMMYFUNCTION("""COMPUTED_VALUE"""),"")</f>
        <v/>
      </c>
      <c r="R2830" s="21" t="str">
        <f>IFERROR(__xludf.DUMMYFUNCTION("""COMPUTED_VALUE"""),"https://drive.google.com/file/d/1Q4TTajvcYGVtzRSAe7v_lItVJpyK3U54/view?usp=drivesdk")</f>
        <v>https://drive.google.com/file/d/1Q4TTajvcYGVtzRSAe7v_lItVJpyK3U54/view?usp=drivesdk</v>
      </c>
    </row>
    <row r="2831">
      <c r="A2831" s="15">
        <f>IFERROR(__xludf.DUMMYFUNCTION("""COMPUTED_VALUE"""),45083.0)</f>
        <v>45083</v>
      </c>
      <c r="B2831" s="16" t="str">
        <f>IFERROR(__xludf.DUMMYFUNCTION("""COMPUTED_VALUE"""),"Oscar Augusto Meneses Osias")</f>
        <v>Oscar Augusto Meneses Osias</v>
      </c>
      <c r="C2831" s="15" t="str">
        <f>IFERROR(__xludf.DUMMYFUNCTION("""COMPUTED_VALUE"""),"MEDELLÍN")</f>
        <v>MEDELLÍN</v>
      </c>
      <c r="D2831" s="15" t="str">
        <f>IFERROR(__xludf.DUMMYFUNCTION("""COMPUTED_VALUE"""),"BOGOTÁ")</f>
        <v>BOGOTÁ</v>
      </c>
      <c r="E2831" s="15" t="str">
        <f>IFERROR(__xludf.DUMMYFUNCTION("""COMPUTED_VALUE"""),"Lunchy Kids")</f>
        <v>Lunchy Kids</v>
      </c>
      <c r="F2831" s="17" t="str">
        <f>IFERROR(__xludf.DUMMYFUNCTION("""COMPUTED_VALUE"""),"carrera 84F #3C-40,   / Urbanización AURA Apartamento 2205  / Loma de los Bernal")</f>
        <v>carrera 84F #3C-40,   / Urbanización AURA Apartamento 2205  / Loma de los Bernal</v>
      </c>
      <c r="G2831" s="15" t="str">
        <f>IFERROR(__xludf.DUMMYFUNCTION("""COMPUTED_VALUE"""),"Liliana Duarte")</f>
        <v>Liliana Duarte</v>
      </c>
      <c r="H2831" s="16">
        <f>IFERROR(__xludf.DUMMYFUNCTION("""COMPUTED_VALUE"""),11284.0)</f>
        <v>11284</v>
      </c>
      <c r="I2831" s="18">
        <f>IFERROR(__xludf.DUMMYFUNCTION("""COMPUTED_VALUE"""),18.0)</f>
        <v>18</v>
      </c>
      <c r="J2831" s="18">
        <f>IFERROR(__xludf.DUMMYFUNCTION("""COMPUTED_VALUE"""),14.0)</f>
        <v>14</v>
      </c>
      <c r="K2831" s="18">
        <f>IFERROR(__xludf.DUMMYFUNCTION("""COMPUTED_VALUE"""),28.0)</f>
        <v>28</v>
      </c>
      <c r="L2831" s="17">
        <f>IFERROR(__xludf.DUMMYFUNCTION("""COMPUTED_VALUE"""),3.104146612E9)</f>
        <v>3104146612</v>
      </c>
      <c r="M2831" s="17" t="str">
        <f>IFERROR(__xludf.DUMMYFUNCTION("""COMPUTED_VALUE"""),"#REF!")</f>
        <v>#REF!</v>
      </c>
      <c r="N2831" s="17"/>
      <c r="O2831" s="17"/>
      <c r="P2831" s="17" t="b">
        <f>IFERROR(__xludf.DUMMYFUNCTION("""COMPUTED_VALUE"""),FALSE)</f>
        <v>0</v>
      </c>
      <c r="Q2831" s="20" t="str">
        <f>IFERROR(__xludf.DUMMYFUNCTION("""COMPUTED_VALUE"""),"")</f>
        <v/>
      </c>
      <c r="R2831" s="21" t="str">
        <f>IFERROR(__xludf.DUMMYFUNCTION("""COMPUTED_VALUE"""),"https://drive.google.com/file/d/19pOkFc703BmkBO2r8Szr30fnl_WUs4nN/view?usp=drivesdk")</f>
        <v>https://drive.google.com/file/d/19pOkFc703BmkBO2r8Szr30fnl_WUs4nN/view?usp=drivesdk</v>
      </c>
    </row>
    <row r="2832">
      <c r="A2832" s="15">
        <f>IFERROR(__xludf.DUMMYFUNCTION("""COMPUTED_VALUE"""),45083.0)</f>
        <v>45083</v>
      </c>
      <c r="B2832" s="16" t="str">
        <f>IFERROR(__xludf.DUMMYFUNCTION("""COMPUTED_VALUE"""),"Oscar Augusto Meneses Osias")</f>
        <v>Oscar Augusto Meneses Osias</v>
      </c>
      <c r="C2832" s="15" t="str">
        <f>IFERROR(__xludf.DUMMYFUNCTION("""COMPUTED_VALUE"""),"MEDELLÍN")</f>
        <v>MEDELLÍN</v>
      </c>
      <c r="D2832" s="15" t="str">
        <f>IFERROR(__xludf.DUMMYFUNCTION("""COMPUTED_VALUE"""),"BOGOTÁ")</f>
        <v>BOGOTÁ</v>
      </c>
      <c r="E2832" s="15" t="str">
        <f>IFERROR(__xludf.DUMMYFUNCTION("""COMPUTED_VALUE"""),"Pan de Waffle")</f>
        <v>Pan de Waffle</v>
      </c>
      <c r="F2832" s="17" t="str">
        <f>IFERROR(__xludf.DUMMYFUNCTION("""COMPUTED_VALUE"""),"Carrera 39 # 59 - 32 / Carrera 39 # 59 - 32 / Carrera 39 # 59 - 32")</f>
        <v>Carrera 39 # 59 - 32 / Carrera 39 # 59 - 32 / Carrera 39 # 59 - 32</v>
      </c>
      <c r="G2832" s="15" t="str">
        <f>IFERROR(__xludf.DUMMYFUNCTION("""COMPUTED_VALUE"""),"FOODOLOGY MEDELLIN")</f>
        <v>FOODOLOGY MEDELLIN</v>
      </c>
      <c r="H2832" s="16">
        <f>IFERROR(__xludf.DUMMYFUNCTION("""COMPUTED_VALUE"""),11368.0)</f>
        <v>11368</v>
      </c>
      <c r="I2832" s="18">
        <f>IFERROR(__xludf.DUMMYFUNCTION("""COMPUTED_VALUE"""),30.0)</f>
        <v>30</v>
      </c>
      <c r="J2832" s="18">
        <f>IFERROR(__xludf.DUMMYFUNCTION("""COMPUTED_VALUE"""),40.0)</f>
        <v>40</v>
      </c>
      <c r="K2832" s="18">
        <f>IFERROR(__xludf.DUMMYFUNCTION("""COMPUTED_VALUE"""),40.0)</f>
        <v>40</v>
      </c>
      <c r="L2832" s="17">
        <f>IFERROR(__xludf.DUMMYFUNCTION("""COMPUTED_VALUE"""),3.123558292E9)</f>
        <v>3123558292</v>
      </c>
      <c r="M2832" s="17" t="str">
        <f>IFERROR(__xludf.DUMMYFUNCTION("""COMPUTED_VALUE"""),"#REF!")</f>
        <v>#REF!</v>
      </c>
      <c r="N2832" s="17"/>
      <c r="O2832" s="17"/>
      <c r="P2832" s="17" t="b">
        <f>IFERROR(__xludf.DUMMYFUNCTION("""COMPUTED_VALUE"""),FALSE)</f>
        <v>0</v>
      </c>
      <c r="Q2832" s="20" t="str">
        <f>IFERROR(__xludf.DUMMYFUNCTION("""COMPUTED_VALUE"""),"")</f>
        <v/>
      </c>
      <c r="R2832" s="21" t="str">
        <f>IFERROR(__xludf.DUMMYFUNCTION("""COMPUTED_VALUE"""),"https://drive.google.com/file/d/1lctyXAJjIQxyI2Iq0LV___aAdClmb-CU/view?usp=drivesdk")</f>
        <v>https://drive.google.com/file/d/1lctyXAJjIQxyI2Iq0LV___aAdClmb-CU/view?usp=drivesdk</v>
      </c>
    </row>
    <row r="2833">
      <c r="A2833" s="15">
        <f>IFERROR(__xludf.DUMMYFUNCTION("""COMPUTED_VALUE"""),45083.0)</f>
        <v>45083</v>
      </c>
      <c r="B2833" s="16" t="str">
        <f>IFERROR(__xludf.DUMMYFUNCTION("""COMPUTED_VALUE"""),"Oscar Augusto Meneses Osias")</f>
        <v>Oscar Augusto Meneses Osias</v>
      </c>
      <c r="C2833" s="15" t="str">
        <f>IFERROR(__xludf.DUMMYFUNCTION("""COMPUTED_VALUE"""),"MEDELLÍN")</f>
        <v>MEDELLÍN</v>
      </c>
      <c r="D2833" s="15" t="str">
        <f>IFERROR(__xludf.DUMMYFUNCTION("""COMPUTED_VALUE"""),"BOGOTÁ")</f>
        <v>BOGOTÁ</v>
      </c>
      <c r="E2833" s="15" t="str">
        <f>IFERROR(__xludf.DUMMYFUNCTION("""COMPUTED_VALUE"""),"Top Spun")</f>
        <v>Top Spun</v>
      </c>
      <c r="F2833" s="17" t="str">
        <f>IFERROR(__xludf.DUMMYFUNCTION("""COMPUTED_VALUE"""),"CALLE 16 # 41 - 51 /  APTO 1303. URBANIZACIóN MALAWI LIVING / BARRIO. CASTROPOL, EL POBLADO.  MEDELLíN")</f>
        <v>CALLE 16 # 41 - 51 /  APTO 1303. URBANIZACIóN MALAWI LIVING / BARRIO. CASTROPOL, EL POBLADO.  MEDELLíN</v>
      </c>
      <c r="G2833" s="15" t="str">
        <f>IFERROR(__xludf.DUMMYFUNCTION("""COMPUTED_VALUE"""),"SUSANA HERNANDEZ ESCOBAR")</f>
        <v>SUSANA HERNANDEZ ESCOBAR</v>
      </c>
      <c r="H2833" s="16">
        <f>IFERROR(__xludf.DUMMYFUNCTION("""COMPUTED_VALUE"""),11291.0)</f>
        <v>11291</v>
      </c>
      <c r="I2833" s="18">
        <f>IFERROR(__xludf.DUMMYFUNCTION("""COMPUTED_VALUE"""),25.0)</f>
        <v>25</v>
      </c>
      <c r="J2833" s="18">
        <f>IFERROR(__xludf.DUMMYFUNCTION("""COMPUTED_VALUE"""),20.0)</f>
        <v>20</v>
      </c>
      <c r="K2833" s="18">
        <f>IFERROR(__xludf.DUMMYFUNCTION("""COMPUTED_VALUE"""),40.0)</f>
        <v>40</v>
      </c>
      <c r="L2833" s="17">
        <f>IFERROR(__xludf.DUMMYFUNCTION("""COMPUTED_VALUE"""),3.016119679E9)</f>
        <v>3016119679</v>
      </c>
      <c r="M2833" s="17" t="str">
        <f>IFERROR(__xludf.DUMMYFUNCTION("""COMPUTED_VALUE"""),"#REF!")</f>
        <v>#REF!</v>
      </c>
      <c r="N2833" s="17"/>
      <c r="O2833" s="17"/>
      <c r="P2833" s="17" t="b">
        <f>IFERROR(__xludf.DUMMYFUNCTION("""COMPUTED_VALUE"""),FALSE)</f>
        <v>0</v>
      </c>
      <c r="Q2833" s="20" t="str">
        <f>IFERROR(__xludf.DUMMYFUNCTION("""COMPUTED_VALUE"""),"")</f>
        <v/>
      </c>
      <c r="R2833" s="21" t="str">
        <f>IFERROR(__xludf.DUMMYFUNCTION("""COMPUTED_VALUE"""),"https://drive.google.com/file/d/1TAWTWk8m8oled_U93BYYsSRCUBVSsep5/view?usp=drivesdk")</f>
        <v>https://drive.google.com/file/d/1TAWTWk8m8oled_U93BYYsSRCUBVSsep5/view?usp=drivesdk</v>
      </c>
    </row>
    <row r="2834">
      <c r="A2834" s="15">
        <f>IFERROR(__xludf.DUMMYFUNCTION("""COMPUTED_VALUE"""),45083.0)</f>
        <v>45083</v>
      </c>
      <c r="B2834" s="16" t="str">
        <f>IFERROR(__xludf.DUMMYFUNCTION("""COMPUTED_VALUE"""),"Oscar Augusto Meneses Osias")</f>
        <v>Oscar Augusto Meneses Osias</v>
      </c>
      <c r="C2834" s="15" t="str">
        <f>IFERROR(__xludf.DUMMYFUNCTION("""COMPUTED_VALUE"""),"MEDELLÍN")</f>
        <v>MEDELLÍN</v>
      </c>
      <c r="D2834" s="15" t="str">
        <f>IFERROR(__xludf.DUMMYFUNCTION("""COMPUTED_VALUE"""),"BOGOTÁ")</f>
        <v>BOGOTÁ</v>
      </c>
      <c r="E2834" s="15" t="str">
        <f>IFERROR(__xludf.DUMMYFUNCTION("""COMPUTED_VALUE"""),"Top Spun")</f>
        <v>Top Spun</v>
      </c>
      <c r="F2834" s="17" t="str">
        <f>IFERROR(__xludf.DUMMYFUNCTION("""COMPUTED_VALUE"""),"CALLE 6 #16-14 / SAUCES DE LA CALERA.APTO 1304 / MEDELLIN")</f>
        <v>CALLE 6 #16-14 / SAUCES DE LA CALERA.APTO 1304 / MEDELLIN</v>
      </c>
      <c r="G2834" s="15" t="str">
        <f>IFERROR(__xludf.DUMMYFUNCTION("""COMPUTED_VALUE"""),"LUISA SALINAS")</f>
        <v>LUISA SALINAS</v>
      </c>
      <c r="H2834" s="16">
        <f>IFERROR(__xludf.DUMMYFUNCTION("""COMPUTED_VALUE"""),11294.0)</f>
        <v>11294</v>
      </c>
      <c r="I2834" s="18">
        <f>IFERROR(__xludf.DUMMYFUNCTION("""COMPUTED_VALUE"""),20.0)</f>
        <v>20</v>
      </c>
      <c r="J2834" s="18">
        <f>IFERROR(__xludf.DUMMYFUNCTION("""COMPUTED_VALUE"""),10.0)</f>
        <v>10</v>
      </c>
      <c r="K2834" s="18">
        <f>IFERROR(__xludf.DUMMYFUNCTION("""COMPUTED_VALUE"""),40.0)</f>
        <v>40</v>
      </c>
      <c r="L2834" s="17">
        <f>IFERROR(__xludf.DUMMYFUNCTION("""COMPUTED_VALUE"""),3.122579689E9)</f>
        <v>3122579689</v>
      </c>
      <c r="M2834" s="17" t="str">
        <f>IFERROR(__xludf.DUMMYFUNCTION("""COMPUTED_VALUE"""),"#REF!")</f>
        <v>#REF!</v>
      </c>
      <c r="N2834" s="17"/>
      <c r="O2834" s="17"/>
      <c r="P2834" s="17" t="b">
        <f>IFERROR(__xludf.DUMMYFUNCTION("""COMPUTED_VALUE"""),FALSE)</f>
        <v>0</v>
      </c>
      <c r="Q2834" s="20" t="str">
        <f>IFERROR(__xludf.DUMMYFUNCTION("""COMPUTED_VALUE"""),"")</f>
        <v/>
      </c>
      <c r="R2834" s="21" t="str">
        <f>IFERROR(__xludf.DUMMYFUNCTION("""COMPUTED_VALUE"""),"https://drive.google.com/file/d/1hUBGOiieYOOgx1CUD5ZXDg88l0vI0P0d/view?usp=drivesdk")</f>
        <v>https://drive.google.com/file/d/1hUBGOiieYOOgx1CUD5ZXDg88l0vI0P0d/view?usp=drivesdk</v>
      </c>
    </row>
    <row r="2835">
      <c r="A2835" s="17" t="str">
        <f>IFERROR(__xludf.DUMMYFUNCTION("""COMPUTED_VALUE"""),"")</f>
        <v/>
      </c>
      <c r="B2835" s="17" t="str">
        <f>IFERROR(__xludf.DUMMYFUNCTION("""COMPUTED_VALUE"""),"")</f>
        <v/>
      </c>
      <c r="C2835" s="17" t="str">
        <f>IFERROR(__xludf.DUMMYFUNCTION("""COMPUTED_VALUE"""),"")</f>
        <v/>
      </c>
      <c r="D2835" s="17" t="str">
        <f>IFERROR(__xludf.DUMMYFUNCTION("""COMPUTED_VALUE"""),"")</f>
        <v/>
      </c>
      <c r="E2835" s="17" t="str">
        <f>IFERROR(__xludf.DUMMYFUNCTION("""COMPUTED_VALUE"""),"")</f>
        <v/>
      </c>
      <c r="F2835" s="17" t="str">
        <f>IFERROR(__xludf.DUMMYFUNCTION("""COMPUTED_VALUE"""),"")</f>
        <v/>
      </c>
      <c r="G2835" s="17" t="str">
        <f>IFERROR(__xludf.DUMMYFUNCTION("""COMPUTED_VALUE"""),"")</f>
        <v/>
      </c>
      <c r="H2835" s="17" t="str">
        <f>IFERROR(__xludf.DUMMYFUNCTION("""COMPUTED_VALUE"""),"")</f>
        <v/>
      </c>
      <c r="I2835" s="17" t="str">
        <f>IFERROR(__xludf.DUMMYFUNCTION("""COMPUTED_VALUE"""),"")</f>
        <v/>
      </c>
      <c r="J2835" s="17" t="str">
        <f>IFERROR(__xludf.DUMMYFUNCTION("""COMPUTED_VALUE"""),"")</f>
        <v/>
      </c>
      <c r="K2835" s="17" t="str">
        <f>IFERROR(__xludf.DUMMYFUNCTION("""COMPUTED_VALUE"""),"")</f>
        <v/>
      </c>
      <c r="L2835" s="17" t="str">
        <f>IFERROR(__xludf.DUMMYFUNCTION("""COMPUTED_VALUE"""),"")</f>
        <v/>
      </c>
      <c r="M2835" s="17" t="str">
        <f>IFERROR(__xludf.DUMMYFUNCTION("""COMPUTED_VALUE"""),"")</f>
        <v/>
      </c>
      <c r="N2835" s="17" t="str">
        <f>IFERROR(__xludf.DUMMYFUNCTION("""COMPUTED_VALUE"""),"")</f>
        <v/>
      </c>
      <c r="O2835" s="17" t="str">
        <f>IFERROR(__xludf.DUMMYFUNCTION("""COMPUTED_VALUE"""),"")</f>
        <v/>
      </c>
      <c r="P2835" s="17" t="str">
        <f>IFERROR(__xludf.DUMMYFUNCTION("""COMPUTED_VALUE"""),"")</f>
        <v/>
      </c>
      <c r="Q2835" s="17" t="str">
        <f>IFERROR(__xludf.DUMMYFUNCTION("""COMPUTED_VALUE"""),"")</f>
        <v/>
      </c>
      <c r="R2835" s="17" t="str">
        <f>IFERROR(__xludf.DUMMYFUNCTION("""COMPUTED_VALUE"""),"")</f>
        <v/>
      </c>
    </row>
    <row r="2836">
      <c r="A2836" s="15">
        <f>IFERROR(__xludf.DUMMYFUNCTION("""COMPUTED_VALUE"""),45084.0)</f>
        <v>45084</v>
      </c>
      <c r="B2836" s="16" t="str">
        <f>IFERROR(__xludf.DUMMYFUNCTION("""COMPUTED_VALUE"""),"Anuar suarez jimenez ")</f>
        <v>Anuar suarez jimenez </v>
      </c>
      <c r="C2836" s="15" t="str">
        <f>IFERROR(__xludf.DUMMYFUNCTION("""COMPUTED_VALUE"""),"CARTAGENA")</f>
        <v>CARTAGENA</v>
      </c>
      <c r="D2836" s="15" t="str">
        <f>IFERROR(__xludf.DUMMYFUNCTION("""COMPUTED_VALUE"""),"BOGOTÁ")</f>
        <v>BOGOTÁ</v>
      </c>
      <c r="E2836" s="15" t="str">
        <f>IFERROR(__xludf.DUMMYFUNCTION("""COMPUTED_VALUE"""),"Mochi")</f>
        <v>Mochi</v>
      </c>
      <c r="F2836" s="17" t="str">
        <f>IFERROR(__xludf.DUMMYFUNCTION("""COMPUTED_VALUE"""),"Centro comercial la serrezuela Cartagena / Centro comercial la serrezuela Cartagena / Centro comercial la serrezuela Cartagena")</f>
        <v>Centro comercial la serrezuela Cartagena / Centro comercial la serrezuela Cartagena / Centro comercial la serrezuela Cartagena</v>
      </c>
      <c r="G2836" s="15" t="str">
        <f>IFERROR(__xludf.DUMMYFUNCTION("""COMPUTED_VALUE"""),"María Camila")</f>
        <v>María Camila</v>
      </c>
      <c r="H2836" s="16">
        <f>IFERROR(__xludf.DUMMYFUNCTION("""COMPUTED_VALUE"""),11418.0)</f>
        <v>11418</v>
      </c>
      <c r="I2836" s="18">
        <f>IFERROR(__xludf.DUMMYFUNCTION("""COMPUTED_VALUE"""),100.0)</f>
        <v>100</v>
      </c>
      <c r="J2836" s="18">
        <f>IFERROR(__xludf.DUMMYFUNCTION("""COMPUTED_VALUE"""),100.0)</f>
        <v>100</v>
      </c>
      <c r="K2836" s="18">
        <f>IFERROR(__xludf.DUMMYFUNCTION("""COMPUTED_VALUE"""),200.0)</f>
        <v>200</v>
      </c>
      <c r="L2836" s="17">
        <f>IFERROR(__xludf.DUMMYFUNCTION("""COMPUTED_VALUE"""),3.116026252E9)</f>
        <v>3116026252</v>
      </c>
      <c r="M2836" s="17" t="str">
        <f>IFERROR(__xludf.DUMMYFUNCTION("""COMPUTED_VALUE"""),"#REF!")</f>
        <v>#REF!</v>
      </c>
      <c r="N2836" s="17"/>
      <c r="O2836" s="17"/>
      <c r="P2836" s="17" t="b">
        <f>IFERROR(__xludf.DUMMYFUNCTION("""COMPUTED_VALUE"""),FALSE)</f>
        <v>0</v>
      </c>
      <c r="Q2836" s="20" t="str">
        <f>IFERROR(__xludf.DUMMYFUNCTION("""COMPUTED_VALUE"""),"")</f>
        <v/>
      </c>
      <c r="R2836" s="21" t="str">
        <f>IFERROR(__xludf.DUMMYFUNCTION("""COMPUTED_VALUE"""),"https://drive.google.com/file/d/1Mfx68wMLsdKXMR-2llHng1zCpSebJlzB/view?usp=drivesdk")</f>
        <v>https://drive.google.com/file/d/1Mfx68wMLsdKXMR-2llHng1zCpSebJlzB/view?usp=drivesdk</v>
      </c>
    </row>
    <row r="2837">
      <c r="A2837" s="15">
        <f>IFERROR(__xludf.DUMMYFUNCTION("""COMPUTED_VALUE"""),45084.0)</f>
        <v>45084</v>
      </c>
      <c r="B2837" s="16" t="str">
        <f>IFERROR(__xludf.DUMMYFUNCTION("""COMPUTED_VALUE"""),"Anuar suarez jimenez ")</f>
        <v>Anuar suarez jimenez </v>
      </c>
      <c r="C2837" s="15" t="str">
        <f>IFERROR(__xludf.DUMMYFUNCTION("""COMPUTED_VALUE"""),"CARTAGENA")</f>
        <v>CARTAGENA</v>
      </c>
      <c r="D2837" s="15" t="str">
        <f>IFERROR(__xludf.DUMMYFUNCTION("""COMPUTED_VALUE"""),"BOGOTÁ")</f>
        <v>BOGOTÁ</v>
      </c>
      <c r="E2837" s="15" t="str">
        <f>IFERROR(__xludf.DUMMYFUNCTION("""COMPUTED_VALUE"""),"Viiva Fermentados")</f>
        <v>Viiva Fermentados</v>
      </c>
      <c r="F2837" s="17" t="str">
        <f>IFERROR(__xludf.DUMMYFUNCTION("""COMPUTED_VALUE"""),"Via Manzanillo, CC Las Ramblas / local 406ª / Las Ramblas")</f>
        <v>Via Manzanillo, CC Las Ramblas / local 406ª / Las Ramblas</v>
      </c>
      <c r="G2837" s="15" t="str">
        <f>IFERROR(__xludf.DUMMYFUNCTION("""COMPUTED_VALUE"""),"Tienda Vida Manai")</f>
        <v>Tienda Vida Manai</v>
      </c>
      <c r="H2837" s="16">
        <f>IFERROR(__xludf.DUMMYFUNCTION("""COMPUTED_VALUE"""),11311.0)</f>
        <v>11311</v>
      </c>
      <c r="I2837" s="18">
        <f>IFERROR(__xludf.DUMMYFUNCTION("""COMPUTED_VALUE"""),22.0)</f>
        <v>22</v>
      </c>
      <c r="J2837" s="18">
        <f>IFERROR(__xludf.DUMMYFUNCTION("""COMPUTED_VALUE"""),25.0)</f>
        <v>25</v>
      </c>
      <c r="K2837" s="18" t="str">
        <f>IFERROR(__xludf.DUMMYFUNCTION("""COMPUTED_VALUE"""),"37.5")</f>
        <v>37.5</v>
      </c>
      <c r="L2837" s="17">
        <f>IFERROR(__xludf.DUMMYFUNCTION("""COMPUTED_VALUE"""),3.168779204E9)</f>
        <v>3168779204</v>
      </c>
      <c r="M2837" s="17" t="str">
        <f>IFERROR(__xludf.DUMMYFUNCTION("""COMPUTED_VALUE"""),"#REF!")</f>
        <v>#REF!</v>
      </c>
      <c r="N2837" s="17"/>
      <c r="O2837" s="17"/>
      <c r="P2837" s="17" t="b">
        <f>IFERROR(__xludf.DUMMYFUNCTION("""COMPUTED_VALUE"""),FALSE)</f>
        <v>0</v>
      </c>
      <c r="Q2837" s="20" t="str">
        <f>IFERROR(__xludf.DUMMYFUNCTION("""COMPUTED_VALUE"""),"")</f>
        <v/>
      </c>
      <c r="R2837" s="21" t="str">
        <f>IFERROR(__xludf.DUMMYFUNCTION("""COMPUTED_VALUE"""),"https://drive.google.com/file/d/1V4yk7q7CdplzcG4oW6kExsPQJqfmeU_P/view?usp=drivesdk")</f>
        <v>https://drive.google.com/file/d/1V4yk7q7CdplzcG4oW6kExsPQJqfmeU_P/view?usp=drivesdk</v>
      </c>
    </row>
    <row r="2838">
      <c r="A2838" s="15">
        <f>IFERROR(__xludf.DUMMYFUNCTION("""COMPUTED_VALUE"""),45084.0)</f>
        <v>45084</v>
      </c>
      <c r="B2838" s="16" t="str">
        <f>IFERROR(__xludf.DUMMYFUNCTION("""COMPUTED_VALUE"""),"Anuar suarez jimenez ")</f>
        <v>Anuar suarez jimenez </v>
      </c>
      <c r="C2838" s="15" t="str">
        <f>IFERROR(__xludf.DUMMYFUNCTION("""COMPUTED_VALUE"""),"MONTERIA")</f>
        <v>MONTERIA</v>
      </c>
      <c r="D2838" s="15" t="str">
        <f>IFERROR(__xludf.DUMMYFUNCTION("""COMPUTED_VALUE"""),"BOGOTÁ")</f>
        <v>BOGOTÁ</v>
      </c>
      <c r="E2838" s="15" t="str">
        <f>IFERROR(__xludf.DUMMYFUNCTION("""COMPUTED_VALUE"""),"Top Spun")</f>
        <v>Top Spun</v>
      </c>
      <c r="F2838" s="17" t="str">
        <f>IFERROR(__xludf.DUMMYFUNCTION("""COMPUTED_VALUE"""),"CALLE 69 #3-112 / APTO 601 EDIFICIO RITZY  / BARRIO EL RECREO")</f>
        <v>CALLE 69 #3-112 / APTO 601 EDIFICIO RITZY  / BARRIO EL RECREO</v>
      </c>
      <c r="G2838" s="15" t="str">
        <f>IFERROR(__xludf.DUMMYFUNCTION("""COMPUTED_VALUE"""),"ISABELA NIETO KERGUELéN")</f>
        <v>ISABELA NIETO KERGUELéN</v>
      </c>
      <c r="H2838" s="16">
        <f>IFERROR(__xludf.DUMMYFUNCTION("""COMPUTED_VALUE"""),11292.0)</f>
        <v>11292</v>
      </c>
      <c r="I2838" s="18">
        <f>IFERROR(__xludf.DUMMYFUNCTION("""COMPUTED_VALUE"""),20.0)</f>
        <v>20</v>
      </c>
      <c r="J2838" s="18">
        <f>IFERROR(__xludf.DUMMYFUNCTION("""COMPUTED_VALUE"""),40.0)</f>
        <v>40</v>
      </c>
      <c r="K2838" s="18">
        <f>IFERROR(__xludf.DUMMYFUNCTION("""COMPUTED_VALUE"""),10.0)</f>
        <v>10</v>
      </c>
      <c r="L2838" s="17">
        <f>IFERROR(__xludf.DUMMYFUNCTION("""COMPUTED_VALUE"""),3.11220739E9)</f>
        <v>3112207390</v>
      </c>
      <c r="M2838" s="17" t="str">
        <f>IFERROR(__xludf.DUMMYFUNCTION("""COMPUTED_VALUE"""),"#REF!")</f>
        <v>#REF!</v>
      </c>
      <c r="N2838" s="17"/>
      <c r="O2838" s="17"/>
      <c r="P2838" s="17" t="b">
        <f>IFERROR(__xludf.DUMMYFUNCTION("""COMPUTED_VALUE"""),FALSE)</f>
        <v>0</v>
      </c>
      <c r="Q2838" s="20" t="str">
        <f>IFERROR(__xludf.DUMMYFUNCTION("""COMPUTED_VALUE"""),"")</f>
        <v/>
      </c>
      <c r="R2838" s="21" t="str">
        <f>IFERROR(__xludf.DUMMYFUNCTION("""COMPUTED_VALUE"""),"https://drive.google.com/file/d/1AeapNTjb3DBjlWbcD9Jd9DuZRAM5m39U/view?usp=drivesdk")</f>
        <v>https://drive.google.com/file/d/1AeapNTjb3DBjlWbcD9Jd9DuZRAM5m39U/view?usp=drivesdk</v>
      </c>
    </row>
    <row r="2839">
      <c r="A2839" s="17" t="str">
        <f>IFERROR(__xludf.DUMMYFUNCTION("""COMPUTED_VALUE"""),"")</f>
        <v/>
      </c>
      <c r="B2839" s="17" t="str">
        <f>IFERROR(__xludf.DUMMYFUNCTION("""COMPUTED_VALUE"""),"")</f>
        <v/>
      </c>
      <c r="C2839" s="17" t="str">
        <f>IFERROR(__xludf.DUMMYFUNCTION("""COMPUTED_VALUE"""),"")</f>
        <v/>
      </c>
      <c r="D2839" s="17" t="str">
        <f>IFERROR(__xludf.DUMMYFUNCTION("""COMPUTED_VALUE"""),"")</f>
        <v/>
      </c>
      <c r="E2839" s="17" t="str">
        <f>IFERROR(__xludf.DUMMYFUNCTION("""COMPUTED_VALUE"""),"")</f>
        <v/>
      </c>
      <c r="F2839" s="17" t="str">
        <f>IFERROR(__xludf.DUMMYFUNCTION("""COMPUTED_VALUE"""),"")</f>
        <v/>
      </c>
      <c r="G2839" s="17" t="str">
        <f>IFERROR(__xludf.DUMMYFUNCTION("""COMPUTED_VALUE"""),"")</f>
        <v/>
      </c>
      <c r="H2839" s="17" t="str">
        <f>IFERROR(__xludf.DUMMYFUNCTION("""COMPUTED_VALUE"""),"")</f>
        <v/>
      </c>
      <c r="I2839" s="17" t="str">
        <f>IFERROR(__xludf.DUMMYFUNCTION("""COMPUTED_VALUE"""),"")</f>
        <v/>
      </c>
      <c r="J2839" s="17" t="str">
        <f>IFERROR(__xludf.DUMMYFUNCTION("""COMPUTED_VALUE"""),"")</f>
        <v/>
      </c>
      <c r="K2839" s="17" t="str">
        <f>IFERROR(__xludf.DUMMYFUNCTION("""COMPUTED_VALUE"""),"")</f>
        <v/>
      </c>
      <c r="L2839" s="17" t="str">
        <f>IFERROR(__xludf.DUMMYFUNCTION("""COMPUTED_VALUE"""),"")</f>
        <v/>
      </c>
      <c r="M2839" s="17" t="str">
        <f>IFERROR(__xludf.DUMMYFUNCTION("""COMPUTED_VALUE"""),"")</f>
        <v/>
      </c>
      <c r="N2839" s="17" t="str">
        <f>IFERROR(__xludf.DUMMYFUNCTION("""COMPUTED_VALUE"""),"")</f>
        <v/>
      </c>
      <c r="O2839" s="17" t="str">
        <f>IFERROR(__xludf.DUMMYFUNCTION("""COMPUTED_VALUE"""),"")</f>
        <v/>
      </c>
      <c r="P2839" s="17" t="str">
        <f>IFERROR(__xludf.DUMMYFUNCTION("""COMPUTED_VALUE"""),"")</f>
        <v/>
      </c>
      <c r="Q2839" s="17" t="str">
        <f>IFERROR(__xludf.DUMMYFUNCTION("""COMPUTED_VALUE"""),"")</f>
        <v/>
      </c>
      <c r="R2839" s="17" t="str">
        <f>IFERROR(__xludf.DUMMYFUNCTION("""COMPUTED_VALUE"""),"")</f>
        <v/>
      </c>
    </row>
    <row r="2840">
      <c r="A2840" s="15">
        <f>IFERROR(__xludf.DUMMYFUNCTION("""COMPUTED_VALUE"""),45084.0)</f>
        <v>45084</v>
      </c>
      <c r="B2840" s="16" t="str">
        <f>IFERROR(__xludf.DUMMYFUNCTION("""COMPUTED_VALUE"""),"David Sanmartin Bello")</f>
        <v>David Sanmartin Bello</v>
      </c>
      <c r="C2840" s="15" t="str">
        <f>IFERROR(__xludf.DUMMYFUNCTION("""COMPUTED_VALUE"""),"MEDELLÍN")</f>
        <v>MEDELLÍN</v>
      </c>
      <c r="D2840" s="15" t="str">
        <f>IFERROR(__xludf.DUMMYFUNCTION("""COMPUTED_VALUE"""),"BOGOTÁ")</f>
        <v>BOGOTÁ</v>
      </c>
      <c r="E2840" s="15" t="str">
        <f>IFERROR(__xludf.DUMMYFUNCTION("""COMPUTED_VALUE"""),"Ins. Alimento Vital")</f>
        <v>Ins. Alimento Vital</v>
      </c>
      <c r="F2840" s="17" t="str">
        <f>IFERROR(__xludf.DUMMYFUNCTION("""COMPUTED_VALUE"""),"AV 74B 39B 142 / CASA NEGRA 2 PISO / BARRIO LAURELES")</f>
        <v>AV 74B 39B 142 / CASA NEGRA 2 PISO / BARRIO LAURELES</v>
      </c>
      <c r="G2840" s="15" t="str">
        <f>IFERROR(__xludf.DUMMYFUNCTION("""COMPUTED_VALUE"""),"VELOCITY MEDELLIN")</f>
        <v>VELOCITY MEDELLIN</v>
      </c>
      <c r="H2840" s="16">
        <f>IFERROR(__xludf.DUMMYFUNCTION("""COMPUTED_VALUE"""),11403.0)</f>
        <v>11403</v>
      </c>
      <c r="I2840" s="18">
        <f>IFERROR(__xludf.DUMMYFUNCTION("""COMPUTED_VALUE"""),1.0)</f>
        <v>1</v>
      </c>
      <c r="J2840" s="18">
        <f>IFERROR(__xludf.DUMMYFUNCTION("""COMPUTED_VALUE"""),1.0)</f>
        <v>1</v>
      </c>
      <c r="K2840" s="18">
        <f>IFERROR(__xludf.DUMMYFUNCTION("""COMPUTED_VALUE"""),1.0)</f>
        <v>1</v>
      </c>
      <c r="L2840" s="17">
        <f>IFERROR(__xludf.DUMMYFUNCTION("""COMPUTED_VALUE"""),3.239674555E9)</f>
        <v>3239674555</v>
      </c>
      <c r="M2840" s="17" t="str">
        <f>IFERROR(__xludf.DUMMYFUNCTION("""COMPUTED_VALUE"""),"#REF!")</f>
        <v>#REF!</v>
      </c>
      <c r="N2840" s="17"/>
      <c r="O2840" s="17"/>
      <c r="P2840" s="17" t="b">
        <f>IFERROR(__xludf.DUMMYFUNCTION("""COMPUTED_VALUE"""),FALSE)</f>
        <v>0</v>
      </c>
      <c r="Q2840" s="20" t="str">
        <f>IFERROR(__xludf.DUMMYFUNCTION("""COMPUTED_VALUE"""),"")</f>
        <v/>
      </c>
      <c r="R2840" s="21" t="str">
        <f>IFERROR(__xludf.DUMMYFUNCTION("""COMPUTED_VALUE"""),"https://drive.google.com/file/d/1eAWQ7eON7tunevT-x0oui1EWTRx8LgDW/view?usp=drivesdk")</f>
        <v>https://drive.google.com/file/d/1eAWQ7eON7tunevT-x0oui1EWTRx8LgDW/view?usp=drivesdk</v>
      </c>
    </row>
    <row r="2841">
      <c r="A2841" s="17" t="str">
        <f>IFERROR(__xludf.DUMMYFUNCTION("""COMPUTED_VALUE"""),"")</f>
        <v/>
      </c>
      <c r="B2841" s="17" t="str">
        <f>IFERROR(__xludf.DUMMYFUNCTION("""COMPUTED_VALUE"""),"")</f>
        <v/>
      </c>
      <c r="C2841" s="17" t="str">
        <f>IFERROR(__xludf.DUMMYFUNCTION("""COMPUTED_VALUE"""),"")</f>
        <v/>
      </c>
      <c r="D2841" s="17" t="str">
        <f>IFERROR(__xludf.DUMMYFUNCTION("""COMPUTED_VALUE"""),"")</f>
        <v/>
      </c>
      <c r="E2841" s="17" t="str">
        <f>IFERROR(__xludf.DUMMYFUNCTION("""COMPUTED_VALUE"""),"")</f>
        <v/>
      </c>
      <c r="F2841" s="17" t="str">
        <f>IFERROR(__xludf.DUMMYFUNCTION("""COMPUTED_VALUE"""),"")</f>
        <v/>
      </c>
      <c r="G2841" s="17" t="str">
        <f>IFERROR(__xludf.DUMMYFUNCTION("""COMPUTED_VALUE"""),"")</f>
        <v/>
      </c>
      <c r="H2841" s="17" t="str">
        <f>IFERROR(__xludf.DUMMYFUNCTION("""COMPUTED_VALUE"""),"")</f>
        <v/>
      </c>
      <c r="I2841" s="17" t="str">
        <f>IFERROR(__xludf.DUMMYFUNCTION("""COMPUTED_VALUE"""),"")</f>
        <v/>
      </c>
      <c r="J2841" s="17" t="str">
        <f>IFERROR(__xludf.DUMMYFUNCTION("""COMPUTED_VALUE"""),"")</f>
        <v/>
      </c>
      <c r="K2841" s="17" t="str">
        <f>IFERROR(__xludf.DUMMYFUNCTION("""COMPUTED_VALUE"""),"")</f>
        <v/>
      </c>
      <c r="L2841" s="17" t="str">
        <f>IFERROR(__xludf.DUMMYFUNCTION("""COMPUTED_VALUE"""),"")</f>
        <v/>
      </c>
      <c r="M2841" s="17" t="str">
        <f>IFERROR(__xludf.DUMMYFUNCTION("""COMPUTED_VALUE"""),"")</f>
        <v/>
      </c>
      <c r="N2841" s="17" t="str">
        <f>IFERROR(__xludf.DUMMYFUNCTION("""COMPUTED_VALUE"""),"")</f>
        <v/>
      </c>
      <c r="O2841" s="17" t="str">
        <f>IFERROR(__xludf.DUMMYFUNCTION("""COMPUTED_VALUE"""),"")</f>
        <v/>
      </c>
      <c r="P2841" s="17" t="str">
        <f>IFERROR(__xludf.DUMMYFUNCTION("""COMPUTED_VALUE"""),"")</f>
        <v/>
      </c>
      <c r="Q2841" s="17" t="str">
        <f>IFERROR(__xludf.DUMMYFUNCTION("""COMPUTED_VALUE"""),"")</f>
        <v/>
      </c>
      <c r="R2841" s="17" t="str">
        <f>IFERROR(__xludf.DUMMYFUNCTION("""COMPUTED_VALUE"""),"")</f>
        <v/>
      </c>
    </row>
    <row r="2842">
      <c r="A2842" s="15">
        <f>IFERROR(__xludf.DUMMYFUNCTION("""COMPUTED_VALUE"""),45084.0)</f>
        <v>45084</v>
      </c>
      <c r="B2842" s="16" t="str">
        <f>IFERROR(__xludf.DUMMYFUNCTION("""COMPUTED_VALUE"""),"Envia")</f>
        <v>Envia</v>
      </c>
      <c r="C2842" s="15" t="str">
        <f>IFERROR(__xludf.DUMMYFUNCTION("""COMPUTED_VALUE"""),"BOGOTÁ")</f>
        <v>BOGOTÁ</v>
      </c>
      <c r="D2842" s="15" t="str">
        <f>IFERROR(__xludf.DUMMYFUNCTION("""COMPUTED_VALUE"""),"MANIZALES")</f>
        <v>MANIZALES</v>
      </c>
      <c r="E2842" s="15" t="str">
        <f>IFERROR(__xludf.DUMMYFUNCTION("""COMPUTED_VALUE"""),"Congelados Típicos")</f>
        <v>Congelados Típicos</v>
      </c>
      <c r="F2842" s="17" t="str">
        <f>IFERROR(__xludf.DUMMYFUNCTION("""COMPUTED_VALUE"""),"Avenida Carrera 15 # 90-20 - Local 109 Barrio: El Chicó  / CENTRO DE ACOPIO DANDO CUERDA / EL CHICO")</f>
        <v>Avenida Carrera 15 # 90-20 - Local 109 Barrio: El Chicó  / CENTRO DE ACOPIO DANDO CUERDA / EL CHICO</v>
      </c>
      <c r="G2842" s="15" t="str">
        <f>IFERROR(__xludf.DUMMYFUNCTION("""COMPUTED_VALUE"""),"CONGELADOS TIPICOS")</f>
        <v>CONGELADOS TIPICOS</v>
      </c>
      <c r="H2842" s="16">
        <f>IFERROR(__xludf.DUMMYFUNCTION("""COMPUTED_VALUE"""),11396.0)</f>
        <v>11396</v>
      </c>
      <c r="I2842" s="18" t="str">
        <f>IFERROR(__xludf.DUMMYFUNCTION("""COMPUTED_VALUE"""),"52.5")</f>
        <v>52.5</v>
      </c>
      <c r="J2842" s="18">
        <f>IFERROR(__xludf.DUMMYFUNCTION("""COMPUTED_VALUE"""),55.0)</f>
        <v>55</v>
      </c>
      <c r="K2842" s="18">
        <f>IFERROR(__xludf.DUMMYFUNCTION("""COMPUTED_VALUE"""),45.0)</f>
        <v>45</v>
      </c>
      <c r="L2842" s="17">
        <f>IFERROR(__xludf.DUMMYFUNCTION("""COMPUTED_VALUE"""),3.113744276E9)</f>
        <v>3113744276</v>
      </c>
      <c r="M2842" s="17" t="str">
        <f>IFERROR(__xludf.DUMMYFUNCTION("""COMPUTED_VALUE"""),"#REF!")</f>
        <v>#REF!</v>
      </c>
      <c r="N2842" s="17"/>
      <c r="O2842" s="17"/>
      <c r="P2842" s="17" t="b">
        <f>IFERROR(__xludf.DUMMYFUNCTION("""COMPUTED_VALUE"""),FALSE)</f>
        <v>0</v>
      </c>
      <c r="Q2842" s="20" t="str">
        <f>IFERROR(__xludf.DUMMYFUNCTION("""COMPUTED_VALUE"""),"")</f>
        <v/>
      </c>
      <c r="R2842" s="21" t="str">
        <f>IFERROR(__xludf.DUMMYFUNCTION("""COMPUTED_VALUE"""),"https://drive.google.com/file/d/1n3oSJ8WqBc0l06zLMhdnlOnUDyryYZOv/view?usp=drivesdk")</f>
        <v>https://drive.google.com/file/d/1n3oSJ8WqBc0l06zLMhdnlOnUDyryYZOv/view?usp=drivesdk</v>
      </c>
    </row>
    <row r="2843">
      <c r="A2843" s="15">
        <f>IFERROR(__xludf.DUMMYFUNCTION("""COMPUTED_VALUE"""),45084.0)</f>
        <v>45084</v>
      </c>
      <c r="B2843" s="16" t="str">
        <f>IFERROR(__xludf.DUMMYFUNCTION("""COMPUTED_VALUE"""),"Envia")</f>
        <v>Envia</v>
      </c>
      <c r="C2843" s="15" t="str">
        <f>IFERROR(__xludf.DUMMYFUNCTION("""COMPUTED_VALUE"""),"BOGOTÁ")</f>
        <v>BOGOTÁ</v>
      </c>
      <c r="D2843" s="15" t="str">
        <f>IFERROR(__xludf.DUMMYFUNCTION("""COMPUTED_VALUE"""),"PEREIRA")</f>
        <v>PEREIRA</v>
      </c>
      <c r="E2843" s="15" t="str">
        <f>IFERROR(__xludf.DUMMYFUNCTION("""COMPUTED_VALUE"""),"BAK&amp;VEG")</f>
        <v>BAK&amp;VEG</v>
      </c>
      <c r="F2843" s="17" t="str">
        <f>IFERROR(__xludf.DUMMYFUNCTION("""COMPUTED_VALUE"""),"CALLE 45 #22-55")</f>
        <v>CALLE 45 #22-55</v>
      </c>
      <c r="G2843" s="15" t="str">
        <f>IFERROR(__xludf.DUMMYFUNCTION("""COMPUTED_VALUE"""),"ADRIANA CUCA")</f>
        <v>ADRIANA CUCA</v>
      </c>
      <c r="H2843" s="16">
        <f>IFERROR(__xludf.DUMMYFUNCTION("""COMPUTED_VALUE"""),11391.0)</f>
        <v>11391</v>
      </c>
      <c r="I2843" s="18">
        <f>IFERROR(__xludf.DUMMYFUNCTION("""COMPUTED_VALUE"""),30.0)</f>
        <v>30</v>
      </c>
      <c r="J2843" s="18">
        <f>IFERROR(__xludf.DUMMYFUNCTION("""COMPUTED_VALUE"""),28.0)</f>
        <v>28</v>
      </c>
      <c r="K2843" s="18">
        <f>IFERROR(__xludf.DUMMYFUNCTION("""COMPUTED_VALUE"""),45.0)</f>
        <v>45</v>
      </c>
      <c r="L2843" s="17">
        <f>IFERROR(__xludf.DUMMYFUNCTION("""COMPUTED_VALUE"""),3.116999271E9)</f>
        <v>3116999271</v>
      </c>
      <c r="M2843" s="17" t="str">
        <f>IFERROR(__xludf.DUMMYFUNCTION("""COMPUTED_VALUE"""),"#REF!")</f>
        <v>#REF!</v>
      </c>
      <c r="N2843" s="17"/>
      <c r="O2843" s="17"/>
      <c r="P2843" s="17" t="b">
        <f>IFERROR(__xludf.DUMMYFUNCTION("""COMPUTED_VALUE"""),FALSE)</f>
        <v>0</v>
      </c>
      <c r="Q2843" s="20" t="str">
        <f>IFERROR(__xludf.DUMMYFUNCTION("""COMPUTED_VALUE"""),"")</f>
        <v/>
      </c>
      <c r="R2843" s="22" t="str">
        <f>IFERROR(__xludf.DUMMYFUNCTION("""COMPUTED_VALUE"""),"")</f>
        <v/>
      </c>
    </row>
    <row r="2844">
      <c r="A2844" s="15">
        <f>IFERROR(__xludf.DUMMYFUNCTION("""COMPUTED_VALUE"""),45084.0)</f>
        <v>45084</v>
      </c>
      <c r="B2844" s="16" t="str">
        <f>IFERROR(__xludf.DUMMYFUNCTION("""COMPUTED_VALUE"""),"Envia")</f>
        <v>Envia</v>
      </c>
      <c r="C2844" s="15" t="str">
        <f>IFERROR(__xludf.DUMMYFUNCTION("""COMPUTED_VALUE"""),"BOGOTÁ")</f>
        <v>BOGOTÁ</v>
      </c>
      <c r="D2844" s="15" t="str">
        <f>IFERROR(__xludf.DUMMYFUNCTION("""COMPUTED_VALUE"""),"PEREIRA")</f>
        <v>PEREIRA</v>
      </c>
      <c r="E2844" s="15" t="str">
        <f>IFERROR(__xludf.DUMMYFUNCTION("""COMPUTED_VALUE"""),"BAK&amp;VEG")</f>
        <v>BAK&amp;VEG</v>
      </c>
      <c r="F2844" s="17" t="str">
        <f>IFERROR(__xludf.DUMMYFUNCTION("""COMPUTED_VALUE"""),"CALLE 45 #22-55")</f>
        <v>CALLE 45 #22-55</v>
      </c>
      <c r="G2844" s="15" t="str">
        <f>IFERROR(__xludf.DUMMYFUNCTION("""COMPUTED_VALUE"""),"ADRIANA CUCA")</f>
        <v>ADRIANA CUCA</v>
      </c>
      <c r="H2844" s="16">
        <f>IFERROR(__xludf.DUMMYFUNCTION("""COMPUTED_VALUE"""),11392.0)</f>
        <v>11392</v>
      </c>
      <c r="I2844" s="18">
        <f>IFERROR(__xludf.DUMMYFUNCTION("""COMPUTED_VALUE"""),15.0)</f>
        <v>15</v>
      </c>
      <c r="J2844" s="18">
        <f>IFERROR(__xludf.DUMMYFUNCTION("""COMPUTED_VALUE"""),17.0)</f>
        <v>17</v>
      </c>
      <c r="K2844" s="18">
        <f>IFERROR(__xludf.DUMMYFUNCTION("""COMPUTED_VALUE"""),32.0)</f>
        <v>32</v>
      </c>
      <c r="L2844" s="17">
        <f>IFERROR(__xludf.DUMMYFUNCTION("""COMPUTED_VALUE"""),3.116999271E9)</f>
        <v>3116999271</v>
      </c>
      <c r="M2844" s="17" t="str">
        <f>IFERROR(__xludf.DUMMYFUNCTION("""COMPUTED_VALUE"""),"#REF!")</f>
        <v>#REF!</v>
      </c>
      <c r="N2844" s="17"/>
      <c r="O2844" s="17"/>
      <c r="P2844" s="17" t="b">
        <f>IFERROR(__xludf.DUMMYFUNCTION("""COMPUTED_VALUE"""),FALSE)</f>
        <v>0</v>
      </c>
      <c r="Q2844" s="20" t="str">
        <f>IFERROR(__xludf.DUMMYFUNCTION("""COMPUTED_VALUE"""),"")</f>
        <v/>
      </c>
      <c r="R2844" s="21" t="str">
        <f>IFERROR(__xludf.DUMMYFUNCTION("""COMPUTED_VALUE"""),"https://drive.google.com/file/d/1UbhB1vHz99WzOvKuniKKsqjOWXwkIu7x/view?usp=drivesdk")</f>
        <v>https://drive.google.com/file/d/1UbhB1vHz99WzOvKuniKKsqjOWXwkIu7x/view?usp=drivesdk</v>
      </c>
    </row>
    <row r="2845">
      <c r="A2845" s="15">
        <f>IFERROR(__xludf.DUMMYFUNCTION("""COMPUTED_VALUE"""),45084.0)</f>
        <v>45084</v>
      </c>
      <c r="B2845" s="16" t="str">
        <f>IFERROR(__xludf.DUMMYFUNCTION("""COMPUTED_VALUE"""),"Envia")</f>
        <v>Envia</v>
      </c>
      <c r="C2845" s="15" t="str">
        <f>IFERROR(__xludf.DUMMYFUNCTION("""COMPUTED_VALUE"""),"CALI")</f>
        <v>CALI</v>
      </c>
      <c r="D2845" s="15" t="str">
        <f>IFERROR(__xludf.DUMMYFUNCTION("""COMPUTED_VALUE"""),"MEDELLÍN")</f>
        <v>MEDELLÍN</v>
      </c>
      <c r="E2845" s="15" t="str">
        <f>IFERROR(__xludf.DUMMYFUNCTION("""COMPUTED_VALUE"""),"Baby Chef")</f>
        <v>Baby Chef</v>
      </c>
      <c r="F2845" s="17" t="str">
        <f>IFERROR(__xludf.DUMMYFUNCTION("""COMPUTED_VALUE"""),"Cra 53 a no 5 b - 51  / barrio nueva tequendama  / casa")</f>
        <v>Cra 53 a no 5 b - 51  / barrio nueva tequendama  / casa</v>
      </c>
      <c r="G2845" s="15" t="str">
        <f>IFERROR(__xludf.DUMMYFUNCTION("""COMPUTED_VALUE"""),"Victoria lopez")</f>
        <v>Victoria lopez</v>
      </c>
      <c r="H2845" s="16">
        <f>IFERROR(__xludf.DUMMYFUNCTION("""COMPUTED_VALUE"""),11421.0)</f>
        <v>11421</v>
      </c>
      <c r="I2845" s="18">
        <f>IFERROR(__xludf.DUMMYFUNCTION("""COMPUTED_VALUE"""),8.0)</f>
        <v>8</v>
      </c>
      <c r="J2845" s="18">
        <f>IFERROR(__xludf.DUMMYFUNCTION("""COMPUTED_VALUE"""),16.0)</f>
        <v>16</v>
      </c>
      <c r="K2845" s="18">
        <f>IFERROR(__xludf.DUMMYFUNCTION("""COMPUTED_VALUE"""),20.0)</f>
        <v>20</v>
      </c>
      <c r="L2845" s="17">
        <f>IFERROR(__xludf.DUMMYFUNCTION("""COMPUTED_VALUE"""),3.174315966E9)</f>
        <v>3174315966</v>
      </c>
      <c r="M2845" s="17" t="str">
        <f>IFERROR(__xludf.DUMMYFUNCTION("""COMPUTED_VALUE"""),"#REF!")</f>
        <v>#REF!</v>
      </c>
      <c r="N2845" s="17"/>
      <c r="O2845" s="17"/>
      <c r="P2845" s="17" t="b">
        <f>IFERROR(__xludf.DUMMYFUNCTION("""COMPUTED_VALUE"""),FALSE)</f>
        <v>0</v>
      </c>
      <c r="Q2845" s="20" t="str">
        <f>IFERROR(__xludf.DUMMYFUNCTION("""COMPUTED_VALUE"""),"")</f>
        <v/>
      </c>
      <c r="R2845" s="21" t="str">
        <f>IFERROR(__xludf.DUMMYFUNCTION("""COMPUTED_VALUE"""),"https://drive.google.com/file/d/1eMlZoyuzdlm3BxJt0jpxxmvpWtZd4ep0/view?usp=drivesdk")</f>
        <v>https://drive.google.com/file/d/1eMlZoyuzdlm3BxJt0jpxxmvpWtZd4ep0/view?usp=drivesdk</v>
      </c>
    </row>
    <row r="2846">
      <c r="A2846" s="15">
        <f>IFERROR(__xludf.DUMMYFUNCTION("""COMPUTED_VALUE"""),45084.0)</f>
        <v>45084</v>
      </c>
      <c r="B2846" s="16" t="str">
        <f>IFERROR(__xludf.DUMMYFUNCTION("""COMPUTED_VALUE"""),"Envia")</f>
        <v>Envia</v>
      </c>
      <c r="C2846" s="15" t="str">
        <f>IFERROR(__xludf.DUMMYFUNCTION("""COMPUTED_VALUE"""),"CALI")</f>
        <v>CALI</v>
      </c>
      <c r="D2846" s="15" t="str">
        <f>IFERROR(__xludf.DUMMYFUNCTION("""COMPUTED_VALUE"""),"MEDELLÍN")</f>
        <v>MEDELLÍN</v>
      </c>
      <c r="E2846" s="15" t="str">
        <f>IFERROR(__xludf.DUMMYFUNCTION("""COMPUTED_VALUE"""),"Todo Bufala")</f>
        <v>Todo Bufala</v>
      </c>
      <c r="F2846" s="17" t="str">
        <f>IFERROR(__xludf.DUMMYFUNCTION("""COMPUTED_VALUE"""),"CALLE 15 NORTE #9 NORTE -16")</f>
        <v>CALLE 15 NORTE #9 NORTE -16</v>
      </c>
      <c r="G2846" s="15" t="str">
        <f>IFERROR(__xludf.DUMMYFUNCTION("""COMPUTED_VALUE"""),"GRUPO GASTRONOMICO LA FOCA SAS")</f>
        <v>GRUPO GASTRONOMICO LA FOCA SAS</v>
      </c>
      <c r="H2846" s="16">
        <f>IFERROR(__xludf.DUMMYFUNCTION("""COMPUTED_VALUE"""),11389.0)</f>
        <v>11389</v>
      </c>
      <c r="I2846" s="18">
        <f>IFERROR(__xludf.DUMMYFUNCTION("""COMPUTED_VALUE"""),15.0)</f>
        <v>15</v>
      </c>
      <c r="J2846" s="18">
        <f>IFERROR(__xludf.DUMMYFUNCTION("""COMPUTED_VALUE"""),15.0)</f>
        <v>15</v>
      </c>
      <c r="K2846" s="18">
        <f>IFERROR(__xludf.DUMMYFUNCTION("""COMPUTED_VALUE"""),15.0)</f>
        <v>15</v>
      </c>
      <c r="L2846" s="17" t="str">
        <f>IFERROR(__xludf.DUMMYFUNCTION("""COMPUTED_VALUE"""),"318 302 8598")</f>
        <v>318 302 8598</v>
      </c>
      <c r="M2846" s="17" t="str">
        <f>IFERROR(__xludf.DUMMYFUNCTION("""COMPUTED_VALUE"""),"#REF!")</f>
        <v>#REF!</v>
      </c>
      <c r="N2846" s="17"/>
      <c r="O2846" s="17"/>
      <c r="P2846" s="17" t="b">
        <f>IFERROR(__xludf.DUMMYFUNCTION("""COMPUTED_VALUE"""),FALSE)</f>
        <v>0</v>
      </c>
      <c r="Q2846" s="20" t="str">
        <f>IFERROR(__xludf.DUMMYFUNCTION("""COMPUTED_VALUE"""),"")</f>
        <v/>
      </c>
      <c r="R2846" s="21" t="str">
        <f>IFERROR(__xludf.DUMMYFUNCTION("""COMPUTED_VALUE"""),"https://drive.google.com/file/d/1NfSpwuZCNFBoc6z3SuLp2eDft0GLIMTg/view?usp=drivesdk")</f>
        <v>https://drive.google.com/file/d/1NfSpwuZCNFBoc6z3SuLp2eDft0GLIMTg/view?usp=drivesdk</v>
      </c>
    </row>
    <row r="2847">
      <c r="A2847" s="15">
        <f>IFERROR(__xludf.DUMMYFUNCTION("""COMPUTED_VALUE"""),45084.0)</f>
        <v>45084</v>
      </c>
      <c r="B2847" s="16" t="str">
        <f>IFERROR(__xludf.DUMMYFUNCTION("""COMPUTED_VALUE"""),"Envia")</f>
        <v>Envia</v>
      </c>
      <c r="C2847" s="15" t="str">
        <f>IFERROR(__xludf.DUMMYFUNCTION("""COMPUTED_VALUE"""),"CALI")</f>
        <v>CALI</v>
      </c>
      <c r="D2847" s="15" t="str">
        <f>IFERROR(__xludf.DUMMYFUNCTION("""COMPUTED_VALUE"""),"MEDELLÍN")</f>
        <v>MEDELLÍN</v>
      </c>
      <c r="E2847" s="15" t="str">
        <f>IFERROR(__xludf.DUMMYFUNCTION("""COMPUTED_VALUE"""),"TOLEDALES S.A.S")</f>
        <v>TOLEDALES S.A.S</v>
      </c>
      <c r="F2847" s="17" t="str">
        <f>IFERROR(__xludf.DUMMYFUNCTION("""COMPUTED_VALUE"""),"k45 #56 E 41")</f>
        <v>k45 #56 E 41</v>
      </c>
      <c r="G2847" s="15" t="str">
        <f>IFERROR(__xludf.DUMMYFUNCTION("""COMPUTED_VALUE"""),"alex mondragon")</f>
        <v>alex mondragon</v>
      </c>
      <c r="H2847" s="16">
        <f>IFERROR(__xludf.DUMMYFUNCTION("""COMPUTED_VALUE"""),11316.0)</f>
        <v>11316</v>
      </c>
      <c r="I2847" s="18">
        <f>IFERROR(__xludf.DUMMYFUNCTION("""COMPUTED_VALUE"""),9.0)</f>
        <v>9</v>
      </c>
      <c r="J2847" s="18">
        <f>IFERROR(__xludf.DUMMYFUNCTION("""COMPUTED_VALUE"""),12.0)</f>
        <v>12</v>
      </c>
      <c r="K2847" s="18">
        <f>IFERROR(__xludf.DUMMYFUNCTION("""COMPUTED_VALUE"""),20.0)</f>
        <v>20</v>
      </c>
      <c r="L2847" s="17">
        <f>IFERROR(__xludf.DUMMYFUNCTION("""COMPUTED_VALUE"""),3.173402957E9)</f>
        <v>3173402957</v>
      </c>
      <c r="M2847" s="17" t="str">
        <f>IFERROR(__xludf.DUMMYFUNCTION("""COMPUTED_VALUE"""),"#REF!")</f>
        <v>#REF!</v>
      </c>
      <c r="N2847" s="17"/>
      <c r="O2847" s="17"/>
      <c r="P2847" s="17" t="b">
        <f>IFERROR(__xludf.DUMMYFUNCTION("""COMPUTED_VALUE"""),FALSE)</f>
        <v>0</v>
      </c>
      <c r="Q2847" s="20" t="str">
        <f>IFERROR(__xludf.DUMMYFUNCTION("""COMPUTED_VALUE"""),"")</f>
        <v/>
      </c>
      <c r="R2847" s="22" t="str">
        <f>IFERROR(__xludf.DUMMYFUNCTION("""COMPUTED_VALUE"""),"")</f>
        <v/>
      </c>
    </row>
    <row r="2848">
      <c r="A2848" s="15">
        <f>IFERROR(__xludf.DUMMYFUNCTION("""COMPUTED_VALUE"""),45084.0)</f>
        <v>45084</v>
      </c>
      <c r="B2848" s="16" t="str">
        <f>IFERROR(__xludf.DUMMYFUNCTION("""COMPUTED_VALUE"""),"Envia")</f>
        <v>Envia</v>
      </c>
      <c r="C2848" s="15" t="str">
        <f>IFERROR(__xludf.DUMMYFUNCTION("""COMPUTED_VALUE"""),"CARTAGENA")</f>
        <v>CARTAGENA</v>
      </c>
      <c r="D2848" s="15" t="str">
        <f>IFERROR(__xludf.DUMMYFUNCTION("""COMPUTED_VALUE"""),"BOGOTÁ")</f>
        <v>BOGOTÁ</v>
      </c>
      <c r="E2848" s="15" t="str">
        <f>IFERROR(__xludf.DUMMYFUNCTION("""COMPUTED_VALUE"""),"Ins. Alimento Vital")</f>
        <v>Ins. Alimento Vital</v>
      </c>
      <c r="F2848" s="17" t="str">
        <f>IFERROR(__xludf.DUMMYFUNCTION("""COMPUTED_VALUE"""),"EDIFICIO FIORENTTI / EDIFICIO FIORENTTI, TR 1, APTO 106 / BARRIO EL RECREO")</f>
        <v>EDIFICIO FIORENTTI / EDIFICIO FIORENTTI, TR 1, APTO 106 / BARRIO EL RECREO</v>
      </c>
      <c r="G2848" s="15" t="str">
        <f>IFERROR(__xludf.DUMMYFUNCTION("""COMPUTED_VALUE"""),"YURI PAOLA ECHEVERRY MONTOYA")</f>
        <v>YURI PAOLA ECHEVERRY MONTOYA</v>
      </c>
      <c r="H2848" s="16">
        <f>IFERROR(__xludf.DUMMYFUNCTION("""COMPUTED_VALUE"""),11401.0)</f>
        <v>11401</v>
      </c>
      <c r="I2848" s="18">
        <f>IFERROR(__xludf.DUMMYFUNCTION("""COMPUTED_VALUE"""),1.0)</f>
        <v>1</v>
      </c>
      <c r="J2848" s="18">
        <f>IFERROR(__xludf.DUMMYFUNCTION("""COMPUTED_VALUE"""),1.0)</f>
        <v>1</v>
      </c>
      <c r="K2848" s="18">
        <f>IFERROR(__xludf.DUMMYFUNCTION("""COMPUTED_VALUE"""),1.0)</f>
        <v>1</v>
      </c>
      <c r="L2848" s="17">
        <f>IFERROR(__xludf.DUMMYFUNCTION("""COMPUTED_VALUE"""),3.02384128E9)</f>
        <v>3023841280</v>
      </c>
      <c r="M2848" s="17" t="str">
        <f>IFERROR(__xludf.DUMMYFUNCTION("""COMPUTED_VALUE"""),"#REF!")</f>
        <v>#REF!</v>
      </c>
      <c r="N2848" s="17"/>
      <c r="O2848" s="17"/>
      <c r="P2848" s="17" t="b">
        <f>IFERROR(__xludf.DUMMYFUNCTION("""COMPUTED_VALUE"""),FALSE)</f>
        <v>0</v>
      </c>
      <c r="Q2848" s="20" t="str">
        <f>IFERROR(__xludf.DUMMYFUNCTION("""COMPUTED_VALUE"""),"")</f>
        <v/>
      </c>
      <c r="R2848" s="21" t="str">
        <f>IFERROR(__xludf.DUMMYFUNCTION("""COMPUTED_VALUE"""),"https://drive.google.com/file/d/1z72p3pyLg6VyEWVVfW6uG0F1vI17mqci/view?usp=drivesdk")</f>
        <v>https://drive.google.com/file/d/1z72p3pyLg6VyEWVVfW6uG0F1vI17mqci/view?usp=drivesdk</v>
      </c>
    </row>
    <row r="2849">
      <c r="A2849" s="15">
        <f>IFERROR(__xludf.DUMMYFUNCTION("""COMPUTED_VALUE"""),45084.0)</f>
        <v>45084</v>
      </c>
      <c r="B2849" s="16" t="str">
        <f>IFERROR(__xludf.DUMMYFUNCTION("""COMPUTED_VALUE"""),"Envia")</f>
        <v>Envia</v>
      </c>
      <c r="C2849" s="15" t="str">
        <f>IFERROR(__xludf.DUMMYFUNCTION("""COMPUTED_VALUE"""),"CARTAGENA")</f>
        <v>CARTAGENA</v>
      </c>
      <c r="D2849" s="15" t="str">
        <f>IFERROR(__xludf.DUMMYFUNCTION("""COMPUTED_VALUE"""),"BOGOTÁ")</f>
        <v>BOGOTÁ</v>
      </c>
      <c r="E2849" s="15" t="str">
        <f>IFERROR(__xludf.DUMMYFUNCTION("""COMPUTED_VALUE"""),"MAI ALIMENTOS REALES")</f>
        <v>MAI ALIMENTOS REALES</v>
      </c>
      <c r="F2849" s="17" t="str">
        <f>IFERROR(__xludf.DUMMYFUNCTION("""COMPUTED_VALUE"""),"Carrera 3 A # 31 - 23 / Plaza Santa teresa / Restaurante Harry Sasson")</f>
        <v>Carrera 3 A # 31 - 23 / Plaza Santa teresa / Restaurante Harry Sasson</v>
      </c>
      <c r="G2849" s="15" t="str">
        <f>IFERROR(__xludf.DUMMYFUNCTION("""COMPUTED_VALUE"""),"Hoteles Charleston SAS")</f>
        <v>Hoteles Charleston SAS</v>
      </c>
      <c r="H2849" s="16">
        <f>IFERROR(__xludf.DUMMYFUNCTION("""COMPUTED_VALUE"""),11378.0)</f>
        <v>11378</v>
      </c>
      <c r="I2849" s="17"/>
      <c r="J2849" s="17"/>
      <c r="K2849" s="17"/>
      <c r="L2849" s="17">
        <f>IFERROR(__xludf.DUMMYFUNCTION("""COMPUTED_VALUE"""),3.174374246E9)</f>
        <v>3174374246</v>
      </c>
      <c r="M2849" s="17" t="str">
        <f>IFERROR(__xludf.DUMMYFUNCTION("""COMPUTED_VALUE"""),"#REF!")</f>
        <v>#REF!</v>
      </c>
      <c r="N2849" s="17"/>
      <c r="O2849" s="17"/>
      <c r="P2849" s="17" t="b">
        <f>IFERROR(__xludf.DUMMYFUNCTION("""COMPUTED_VALUE"""),FALSE)</f>
        <v>0</v>
      </c>
      <c r="Q2849" s="20" t="str">
        <f>IFERROR(__xludf.DUMMYFUNCTION("""COMPUTED_VALUE"""),"")</f>
        <v/>
      </c>
      <c r="R2849" s="21" t="str">
        <f>IFERROR(__xludf.DUMMYFUNCTION("""COMPUTED_VALUE"""),"https://drive.google.com/file/d/1c05Po2hzFH-Z80FMQGavwCAxhpCVIgFx/view?usp=drivesdk")</f>
        <v>https://drive.google.com/file/d/1c05Po2hzFH-Z80FMQGavwCAxhpCVIgFx/view?usp=drivesdk</v>
      </c>
    </row>
    <row r="2850">
      <c r="A2850" s="15">
        <f>IFERROR(__xludf.DUMMYFUNCTION("""COMPUTED_VALUE"""),45084.0)</f>
        <v>45084</v>
      </c>
      <c r="B2850" s="16" t="str">
        <f>IFERROR(__xludf.DUMMYFUNCTION("""COMPUTED_VALUE"""),"Envia")</f>
        <v>Envia</v>
      </c>
      <c r="C2850" s="15" t="str">
        <f>IFERROR(__xludf.DUMMYFUNCTION("""COMPUTED_VALUE"""),"CÚCUTA")</f>
        <v>CÚCUTA</v>
      </c>
      <c r="D2850" s="15" t="str">
        <f>IFERROR(__xludf.DUMMYFUNCTION("""COMPUTED_VALUE"""),"BOGOTÁ")</f>
        <v>BOGOTÁ</v>
      </c>
      <c r="E2850" s="15" t="str">
        <f>IFERROR(__xludf.DUMMYFUNCTION("""COMPUTED_VALUE"""),"Asociacion Agropecuaria Juana Maria")</f>
        <v>Asociacion Agropecuaria Juana Maria</v>
      </c>
      <c r="F2850" s="17" t="str">
        <f>IFERROR(__xludf.DUMMYFUNCTION("""COMPUTED_VALUE"""),"AV. 2E # 15 A -17   PISTACHO FIT MARKET BARRIO CAOBOS")</f>
        <v>AV. 2E # 15 A -17   PISTACHO FIT MARKET BARRIO CAOBOS</v>
      </c>
      <c r="G2850" s="15" t="str">
        <f>IFERROR(__xludf.DUMMYFUNCTION("""COMPUTED_VALUE"""),"DACCY KARINA LOPEZ")</f>
        <v>DACCY KARINA LOPEZ</v>
      </c>
      <c r="H2850" s="16">
        <f>IFERROR(__xludf.DUMMYFUNCTION("""COMPUTED_VALUE"""),11305.0)</f>
        <v>11305</v>
      </c>
      <c r="I2850" s="18">
        <f>IFERROR(__xludf.DUMMYFUNCTION("""COMPUTED_VALUE"""),30.0)</f>
        <v>30</v>
      </c>
      <c r="J2850" s="18">
        <f>IFERROR(__xludf.DUMMYFUNCTION("""COMPUTED_VALUE"""),50.0)</f>
        <v>50</v>
      </c>
      <c r="K2850" s="18">
        <f>IFERROR(__xludf.DUMMYFUNCTION("""COMPUTED_VALUE"""),21.0)</f>
        <v>21</v>
      </c>
      <c r="L2850" s="17">
        <f>IFERROR(__xludf.DUMMYFUNCTION("""COMPUTED_VALUE"""),3.208615379E9)</f>
        <v>3208615379</v>
      </c>
      <c r="M2850" s="17" t="str">
        <f>IFERROR(__xludf.DUMMYFUNCTION("""COMPUTED_VALUE"""),"#REF!")</f>
        <v>#REF!</v>
      </c>
      <c r="N2850" s="17"/>
      <c r="O2850" s="17"/>
      <c r="P2850" s="17" t="b">
        <f>IFERROR(__xludf.DUMMYFUNCTION("""COMPUTED_VALUE"""),FALSE)</f>
        <v>0</v>
      </c>
      <c r="Q2850" s="20" t="str">
        <f>IFERROR(__xludf.DUMMYFUNCTION("""COMPUTED_VALUE"""),"")</f>
        <v/>
      </c>
      <c r="R2850" s="21" t="str">
        <f>IFERROR(__xludf.DUMMYFUNCTION("""COMPUTED_VALUE"""),"https://drive.google.com/file/d/11gdMKMW96C-IpFhY95U2P8zoFXM6cHTR/view?usp=drivesdk")</f>
        <v>https://drive.google.com/file/d/11gdMKMW96C-IpFhY95U2P8zoFXM6cHTR/view?usp=drivesdk</v>
      </c>
    </row>
    <row r="2851">
      <c r="A2851" s="15">
        <f>IFERROR(__xludf.DUMMYFUNCTION("""COMPUTED_VALUE"""),45084.0)</f>
        <v>45084</v>
      </c>
      <c r="B2851" s="16" t="str">
        <f>IFERROR(__xludf.DUMMYFUNCTION("""COMPUTED_VALUE"""),"Envia")</f>
        <v>Envia</v>
      </c>
      <c r="C2851" s="15" t="str">
        <f>IFERROR(__xludf.DUMMYFUNCTION("""COMPUTED_VALUE"""),"CÚCUTA")</f>
        <v>CÚCUTA</v>
      </c>
      <c r="D2851" s="15" t="str">
        <f>IFERROR(__xludf.DUMMYFUNCTION("""COMPUTED_VALUE"""),"BOGOTÁ")</f>
        <v>BOGOTÁ</v>
      </c>
      <c r="E2851" s="15" t="str">
        <f>IFERROR(__xludf.DUMMYFUNCTION("""COMPUTED_VALUE"""),"Asociacion Agropecuaria Juana Maria")</f>
        <v>Asociacion Agropecuaria Juana Maria</v>
      </c>
      <c r="F2851" s="17" t="str">
        <f>IFERROR(__xludf.DUMMYFUNCTION("""COMPUTED_VALUE"""),"AV. 2E # 15 A -17   PISTACHO FIT MARKET BARRIO CAOBOS")</f>
        <v>AV. 2E # 15 A -17   PISTACHO FIT MARKET BARRIO CAOBOS</v>
      </c>
      <c r="G2851" s="15" t="str">
        <f>IFERROR(__xludf.DUMMYFUNCTION("""COMPUTED_VALUE"""),"DACCY KARINA LOPEZ")</f>
        <v>DACCY KARINA LOPEZ</v>
      </c>
      <c r="H2851" s="16">
        <f>IFERROR(__xludf.DUMMYFUNCTION("""COMPUTED_VALUE"""),11306.0)</f>
        <v>11306</v>
      </c>
      <c r="I2851" s="18">
        <f>IFERROR(__xludf.DUMMYFUNCTION("""COMPUTED_VALUE"""),29.0)</f>
        <v>29</v>
      </c>
      <c r="J2851" s="18">
        <f>IFERROR(__xludf.DUMMYFUNCTION("""COMPUTED_VALUE"""),45.0)</f>
        <v>45</v>
      </c>
      <c r="K2851" s="18">
        <f>IFERROR(__xludf.DUMMYFUNCTION("""COMPUTED_VALUE"""),55.0)</f>
        <v>55</v>
      </c>
      <c r="L2851" s="17">
        <f>IFERROR(__xludf.DUMMYFUNCTION("""COMPUTED_VALUE"""),3.208615379E9)</f>
        <v>3208615379</v>
      </c>
      <c r="M2851" s="17" t="str">
        <f>IFERROR(__xludf.DUMMYFUNCTION("""COMPUTED_VALUE"""),"#REF!")</f>
        <v>#REF!</v>
      </c>
      <c r="N2851" s="17"/>
      <c r="O2851" s="17"/>
      <c r="P2851" s="17" t="b">
        <f>IFERROR(__xludf.DUMMYFUNCTION("""COMPUTED_VALUE"""),FALSE)</f>
        <v>0</v>
      </c>
      <c r="Q2851" s="20" t="str">
        <f>IFERROR(__xludf.DUMMYFUNCTION("""COMPUTED_VALUE"""),"")</f>
        <v/>
      </c>
      <c r="R2851" s="21" t="str">
        <f>IFERROR(__xludf.DUMMYFUNCTION("""COMPUTED_VALUE"""),"https://drive.google.com/file/d/1JkgWppiv82zthj6oFKKz3jbnryii7Tvo/view?usp=drivesdk")</f>
        <v>https://drive.google.com/file/d/1JkgWppiv82zthj6oFKKz3jbnryii7Tvo/view?usp=drivesdk</v>
      </c>
    </row>
    <row r="2852">
      <c r="A2852" s="15">
        <f>IFERROR(__xludf.DUMMYFUNCTION("""COMPUTED_VALUE"""),45084.0)</f>
        <v>45084</v>
      </c>
      <c r="B2852" s="16" t="str">
        <f>IFERROR(__xludf.DUMMYFUNCTION("""COMPUTED_VALUE"""),"Envia")</f>
        <v>Envia</v>
      </c>
      <c r="C2852" s="15" t="str">
        <f>IFERROR(__xludf.DUMMYFUNCTION("""COMPUTED_VALUE"""),"CÚCUTA")</f>
        <v>CÚCUTA</v>
      </c>
      <c r="D2852" s="15" t="str">
        <f>IFERROR(__xludf.DUMMYFUNCTION("""COMPUTED_VALUE"""),"MEDELLÍN")</f>
        <v>MEDELLÍN</v>
      </c>
      <c r="E2852" s="15" t="str">
        <f>IFERROR(__xludf.DUMMYFUNCTION("""COMPUTED_VALUE"""),"Momo Tea S.A.S Gabriel Echavarría")</f>
        <v>Momo Tea S.A.S Gabriel Echavarría</v>
      </c>
      <c r="F2852" s="17" t="str">
        <f>IFERROR(__xludf.DUMMYFUNCTION("""COMPUTED_VALUE"""),"CL 11 N 16 E 35 / CA B 1")</f>
        <v>CL 11 N 16 E 35 / CA B 1</v>
      </c>
      <c r="G2852" s="15" t="str">
        <f>IFERROR(__xludf.DUMMYFUNCTION("""COMPUTED_VALUE"""),"Gabriel Echavarría")</f>
        <v>Gabriel Echavarría</v>
      </c>
      <c r="H2852" s="16">
        <f>IFERROR(__xludf.DUMMYFUNCTION("""COMPUTED_VALUE"""),11370.0)</f>
        <v>11370</v>
      </c>
      <c r="I2852" s="18">
        <f>IFERROR(__xludf.DUMMYFUNCTION("""COMPUTED_VALUE"""),21.0)</f>
        <v>21</v>
      </c>
      <c r="J2852" s="18">
        <f>IFERROR(__xludf.DUMMYFUNCTION("""COMPUTED_VALUE"""),29.0)</f>
        <v>29</v>
      </c>
      <c r="K2852" s="18">
        <f>IFERROR(__xludf.DUMMYFUNCTION("""COMPUTED_VALUE"""),29.0)</f>
        <v>29</v>
      </c>
      <c r="L2852" s="17">
        <f>IFERROR(__xludf.DUMMYFUNCTION("""COMPUTED_VALUE"""),3.017909548E9)</f>
        <v>3017909548</v>
      </c>
      <c r="M2852" s="17" t="str">
        <f>IFERROR(__xludf.DUMMYFUNCTION("""COMPUTED_VALUE"""),"#REF!")</f>
        <v>#REF!</v>
      </c>
      <c r="N2852" s="17"/>
      <c r="O2852" s="17"/>
      <c r="P2852" s="17" t="b">
        <f>IFERROR(__xludf.DUMMYFUNCTION("""COMPUTED_VALUE"""),FALSE)</f>
        <v>0</v>
      </c>
      <c r="Q2852" s="20" t="str">
        <f>IFERROR(__xludf.DUMMYFUNCTION("""COMPUTED_VALUE"""),"")</f>
        <v/>
      </c>
      <c r="R2852" s="21" t="str">
        <f>IFERROR(__xludf.DUMMYFUNCTION("""COMPUTED_VALUE"""),"https://drive.google.com/file/d/1sC-3YAIfwq6QTX8vn6yzsHzZN6JykMai/view?usp=drivesdk")</f>
        <v>https://drive.google.com/file/d/1sC-3YAIfwq6QTX8vn6yzsHzZN6JykMai/view?usp=drivesdk</v>
      </c>
    </row>
    <row r="2853">
      <c r="A2853" s="15">
        <f>IFERROR(__xludf.DUMMYFUNCTION("""COMPUTED_VALUE"""),45084.0)</f>
        <v>45084</v>
      </c>
      <c r="B2853" s="16" t="str">
        <f>IFERROR(__xludf.DUMMYFUNCTION("""COMPUTED_VALUE"""),"Envia")</f>
        <v>Envia</v>
      </c>
      <c r="C2853" s="15" t="str">
        <f>IFERROR(__xludf.DUMMYFUNCTION("""COMPUTED_VALUE"""),"CÚCUTA")</f>
        <v>CÚCUTA</v>
      </c>
      <c r="D2853" s="15" t="str">
        <f>IFERROR(__xludf.DUMMYFUNCTION("""COMPUTED_VALUE"""),"MEDELLÍN")</f>
        <v>MEDELLÍN</v>
      </c>
      <c r="E2853" s="15" t="str">
        <f>IFERROR(__xludf.DUMMYFUNCTION("""COMPUTED_VALUE"""),"Momo Tea S.A.S Gabriel Echavarría")</f>
        <v>Momo Tea S.A.S Gabriel Echavarría</v>
      </c>
      <c r="F2853" s="17" t="str">
        <f>IFERROR(__xludf.DUMMYFUNCTION("""COMPUTED_VALUE"""),"CL 11 N 16 E 35 / CA B 1")</f>
        <v>CL 11 N 16 E 35 / CA B 1</v>
      </c>
      <c r="G2853" s="15" t="str">
        <f>IFERROR(__xludf.DUMMYFUNCTION("""COMPUTED_VALUE"""),"Gabriel Echavarría")</f>
        <v>Gabriel Echavarría</v>
      </c>
      <c r="H2853" s="16">
        <f>IFERROR(__xludf.DUMMYFUNCTION("""COMPUTED_VALUE"""),11371.0)</f>
        <v>11371</v>
      </c>
      <c r="I2853" s="18">
        <f>IFERROR(__xludf.DUMMYFUNCTION("""COMPUTED_VALUE"""),25.0)</f>
        <v>25</v>
      </c>
      <c r="J2853" s="18">
        <f>IFERROR(__xludf.DUMMYFUNCTION("""COMPUTED_VALUE"""),35.0)</f>
        <v>35</v>
      </c>
      <c r="K2853" s="18">
        <f>IFERROR(__xludf.DUMMYFUNCTION("""COMPUTED_VALUE"""),35.0)</f>
        <v>35</v>
      </c>
      <c r="L2853" s="17">
        <f>IFERROR(__xludf.DUMMYFUNCTION("""COMPUTED_VALUE"""),3.017909548E9)</f>
        <v>3017909548</v>
      </c>
      <c r="M2853" s="17" t="str">
        <f>IFERROR(__xludf.DUMMYFUNCTION("""COMPUTED_VALUE"""),"#REF!")</f>
        <v>#REF!</v>
      </c>
      <c r="N2853" s="17"/>
      <c r="O2853" s="17"/>
      <c r="P2853" s="17" t="b">
        <f>IFERROR(__xludf.DUMMYFUNCTION("""COMPUTED_VALUE"""),FALSE)</f>
        <v>0</v>
      </c>
      <c r="Q2853" s="20" t="str">
        <f>IFERROR(__xludf.DUMMYFUNCTION("""COMPUTED_VALUE"""),"")</f>
        <v/>
      </c>
      <c r="R2853" s="21" t="str">
        <f>IFERROR(__xludf.DUMMYFUNCTION("""COMPUTED_VALUE"""),"https://drive.google.com/file/d/1raeJud1rOJYnYStFLowojm5jVWqVYZHl/view?usp=drivesdk")</f>
        <v>https://drive.google.com/file/d/1raeJud1rOJYnYStFLowojm5jVWqVYZHl/view?usp=drivesdk</v>
      </c>
    </row>
    <row r="2854">
      <c r="A2854" s="15">
        <f>IFERROR(__xludf.DUMMYFUNCTION("""COMPUTED_VALUE"""),45084.0)</f>
        <v>45084</v>
      </c>
      <c r="B2854" s="16" t="str">
        <f>IFERROR(__xludf.DUMMYFUNCTION("""COMPUTED_VALUE"""),"Envia")</f>
        <v>Envia</v>
      </c>
      <c r="C2854" s="15" t="str">
        <f>IFERROR(__xludf.DUMMYFUNCTION("""COMPUTED_VALUE"""),"CÚCUTA")</f>
        <v>CÚCUTA</v>
      </c>
      <c r="D2854" s="15" t="str">
        <f>IFERROR(__xludf.DUMMYFUNCTION("""COMPUTED_VALUE"""),"MEDELLÍN")</f>
        <v>MEDELLÍN</v>
      </c>
      <c r="E2854" s="15" t="str">
        <f>IFERROR(__xludf.DUMMYFUNCTION("""COMPUTED_VALUE"""),"Momo Tea S.A.S Gabriel Echavarría")</f>
        <v>Momo Tea S.A.S Gabriel Echavarría</v>
      </c>
      <c r="F2854" s="17" t="str">
        <f>IFERROR(__xludf.DUMMYFUNCTION("""COMPUTED_VALUE"""),"CL 11 N 16 E 35 / CA B 1")</f>
        <v>CL 11 N 16 E 35 / CA B 1</v>
      </c>
      <c r="G2854" s="15" t="str">
        <f>IFERROR(__xludf.DUMMYFUNCTION("""COMPUTED_VALUE"""),"Gabriel Echavarría")</f>
        <v>Gabriel Echavarría</v>
      </c>
      <c r="H2854" s="16">
        <f>IFERROR(__xludf.DUMMYFUNCTION("""COMPUTED_VALUE"""),11372.0)</f>
        <v>11372</v>
      </c>
      <c r="I2854" s="18">
        <f>IFERROR(__xludf.DUMMYFUNCTION("""COMPUTED_VALUE"""),39.0)</f>
        <v>39</v>
      </c>
      <c r="J2854" s="18">
        <f>IFERROR(__xludf.DUMMYFUNCTION("""COMPUTED_VALUE"""),27.0)</f>
        <v>27</v>
      </c>
      <c r="K2854" s="18">
        <f>IFERROR(__xludf.DUMMYFUNCTION("""COMPUTED_VALUE"""),27.0)</f>
        <v>27</v>
      </c>
      <c r="L2854" s="17">
        <f>IFERROR(__xludf.DUMMYFUNCTION("""COMPUTED_VALUE"""),3.017909548E9)</f>
        <v>3017909548</v>
      </c>
      <c r="M2854" s="17" t="str">
        <f>IFERROR(__xludf.DUMMYFUNCTION("""COMPUTED_VALUE"""),"#REF!")</f>
        <v>#REF!</v>
      </c>
      <c r="N2854" s="17"/>
      <c r="O2854" s="17"/>
      <c r="P2854" s="17" t="b">
        <f>IFERROR(__xludf.DUMMYFUNCTION("""COMPUTED_VALUE"""),FALSE)</f>
        <v>0</v>
      </c>
      <c r="Q2854" s="20" t="str">
        <f>IFERROR(__xludf.DUMMYFUNCTION("""COMPUTED_VALUE"""),"")</f>
        <v/>
      </c>
      <c r="R2854" s="21" t="str">
        <f>IFERROR(__xludf.DUMMYFUNCTION("""COMPUTED_VALUE"""),"https://drive.google.com/file/d/1vfEs5DMDSKrxDayvf7tAQm5uxKU0xwur/view?usp=drivesdk")</f>
        <v>https://drive.google.com/file/d/1vfEs5DMDSKrxDayvf7tAQm5uxKU0xwur/view?usp=drivesdk</v>
      </c>
    </row>
    <row r="2855">
      <c r="A2855" s="15">
        <f>IFERROR(__xludf.DUMMYFUNCTION("""COMPUTED_VALUE"""),45084.0)</f>
        <v>45084</v>
      </c>
      <c r="B2855" s="16" t="str">
        <f>IFERROR(__xludf.DUMMYFUNCTION("""COMPUTED_VALUE"""),"Envia")</f>
        <v>Envia</v>
      </c>
      <c r="C2855" s="15" t="str">
        <f>IFERROR(__xludf.DUMMYFUNCTION("""COMPUTED_VALUE"""),"CÚCUTA")</f>
        <v>CÚCUTA</v>
      </c>
      <c r="D2855" s="15" t="str">
        <f>IFERROR(__xludf.DUMMYFUNCTION("""COMPUTED_VALUE"""),"MEDELLÍN")</f>
        <v>MEDELLÍN</v>
      </c>
      <c r="E2855" s="15" t="str">
        <f>IFERROR(__xludf.DUMMYFUNCTION("""COMPUTED_VALUE"""),"Momo Tea S.A.S Gabriel Echavarría")</f>
        <v>Momo Tea S.A.S Gabriel Echavarría</v>
      </c>
      <c r="F2855" s="17" t="str">
        <f>IFERROR(__xludf.DUMMYFUNCTION("""COMPUTED_VALUE"""),"CL 11 N 16 E 35 / CA B 1")</f>
        <v>CL 11 N 16 E 35 / CA B 1</v>
      </c>
      <c r="G2855" s="15" t="str">
        <f>IFERROR(__xludf.DUMMYFUNCTION("""COMPUTED_VALUE"""),"Gabriel Echavarría")</f>
        <v>Gabriel Echavarría</v>
      </c>
      <c r="H2855" s="16">
        <f>IFERROR(__xludf.DUMMYFUNCTION("""COMPUTED_VALUE"""),11373.0)</f>
        <v>11373</v>
      </c>
      <c r="I2855" s="18">
        <f>IFERROR(__xludf.DUMMYFUNCTION("""COMPUTED_VALUE"""),30.0)</f>
        <v>30</v>
      </c>
      <c r="J2855" s="18">
        <f>IFERROR(__xludf.DUMMYFUNCTION("""COMPUTED_VALUE"""),8.0)</f>
        <v>8</v>
      </c>
      <c r="K2855" s="18">
        <f>IFERROR(__xludf.DUMMYFUNCTION("""COMPUTED_VALUE"""),18.0)</f>
        <v>18</v>
      </c>
      <c r="L2855" s="17">
        <f>IFERROR(__xludf.DUMMYFUNCTION("""COMPUTED_VALUE"""),3.017909548E9)</f>
        <v>3017909548</v>
      </c>
      <c r="M2855" s="17" t="str">
        <f>IFERROR(__xludf.DUMMYFUNCTION("""COMPUTED_VALUE"""),"#REF!")</f>
        <v>#REF!</v>
      </c>
      <c r="N2855" s="17"/>
      <c r="O2855" s="17"/>
      <c r="P2855" s="17" t="b">
        <f>IFERROR(__xludf.DUMMYFUNCTION("""COMPUTED_VALUE"""),FALSE)</f>
        <v>0</v>
      </c>
      <c r="Q2855" s="20" t="str">
        <f>IFERROR(__xludf.DUMMYFUNCTION("""COMPUTED_VALUE"""),"")</f>
        <v/>
      </c>
      <c r="R2855" s="21" t="str">
        <f>IFERROR(__xludf.DUMMYFUNCTION("""COMPUTED_VALUE"""),"https://drive.google.com/file/d/1Gr4HqCQbN4rNJnBDHBORVbJuGIYbUEN8/view?usp=drivesdk")</f>
        <v>https://drive.google.com/file/d/1Gr4HqCQbN4rNJnBDHBORVbJuGIYbUEN8/view?usp=drivesdk</v>
      </c>
    </row>
    <row r="2856">
      <c r="A2856" s="15">
        <f>IFERROR(__xludf.DUMMYFUNCTION("""COMPUTED_VALUE"""),45084.0)</f>
        <v>45084</v>
      </c>
      <c r="B2856" s="16" t="str">
        <f>IFERROR(__xludf.DUMMYFUNCTION("""COMPUTED_VALUE"""),"Envia")</f>
        <v>Envia</v>
      </c>
      <c r="C2856" s="15" t="str">
        <f>IFERROR(__xludf.DUMMYFUNCTION("""COMPUTED_VALUE"""),"CÚCUTA")</f>
        <v>CÚCUTA</v>
      </c>
      <c r="D2856" s="15" t="str">
        <f>IFERROR(__xludf.DUMMYFUNCTION("""COMPUTED_VALUE"""),"MEDELLÍN")</f>
        <v>MEDELLÍN</v>
      </c>
      <c r="E2856" s="15" t="str">
        <f>IFERROR(__xludf.DUMMYFUNCTION("""COMPUTED_VALUE"""),"Momo Tea S.A.S Gabriel Echavarría")</f>
        <v>Momo Tea S.A.S Gabriel Echavarría</v>
      </c>
      <c r="F2856" s="17" t="str">
        <f>IFERROR(__xludf.DUMMYFUNCTION("""COMPUTED_VALUE"""),"CL 11 N 16 E 35 / CA B 1")</f>
        <v>CL 11 N 16 E 35 / CA B 1</v>
      </c>
      <c r="G2856" s="15" t="str">
        <f>IFERROR(__xludf.DUMMYFUNCTION("""COMPUTED_VALUE"""),"Gabriel Echavarría")</f>
        <v>Gabriel Echavarría</v>
      </c>
      <c r="H2856" s="16">
        <f>IFERROR(__xludf.DUMMYFUNCTION("""COMPUTED_VALUE"""),11374.0)</f>
        <v>11374</v>
      </c>
      <c r="I2856" s="18">
        <f>IFERROR(__xludf.DUMMYFUNCTION("""COMPUTED_VALUE"""),17.0)</f>
        <v>17</v>
      </c>
      <c r="J2856" s="18">
        <f>IFERROR(__xludf.DUMMYFUNCTION("""COMPUTED_VALUE"""),17.0)</f>
        <v>17</v>
      </c>
      <c r="K2856" s="18">
        <f>IFERROR(__xludf.DUMMYFUNCTION("""COMPUTED_VALUE"""),23.0)</f>
        <v>23</v>
      </c>
      <c r="L2856" s="17">
        <f>IFERROR(__xludf.DUMMYFUNCTION("""COMPUTED_VALUE"""),3.017909548E9)</f>
        <v>3017909548</v>
      </c>
      <c r="M2856" s="17" t="str">
        <f>IFERROR(__xludf.DUMMYFUNCTION("""COMPUTED_VALUE"""),"#REF!")</f>
        <v>#REF!</v>
      </c>
      <c r="N2856" s="17"/>
      <c r="O2856" s="17"/>
      <c r="P2856" s="17" t="b">
        <f>IFERROR(__xludf.DUMMYFUNCTION("""COMPUTED_VALUE"""),FALSE)</f>
        <v>0</v>
      </c>
      <c r="Q2856" s="20" t="str">
        <f>IFERROR(__xludf.DUMMYFUNCTION("""COMPUTED_VALUE"""),"")</f>
        <v/>
      </c>
      <c r="R2856" s="21" t="str">
        <f>IFERROR(__xludf.DUMMYFUNCTION("""COMPUTED_VALUE"""),"https://drive.google.com/file/d/1iLyZ0y-1DgBru0sxYYF_GMpRYuz4s3FD/view?usp=drivesdk")</f>
        <v>https://drive.google.com/file/d/1iLyZ0y-1DgBru0sxYYF_GMpRYuz4s3FD/view?usp=drivesdk</v>
      </c>
    </row>
    <row r="2857">
      <c r="A2857" s="15">
        <f>IFERROR(__xludf.DUMMYFUNCTION("""COMPUTED_VALUE"""),45084.0)</f>
        <v>45084</v>
      </c>
      <c r="B2857" s="16" t="str">
        <f>IFERROR(__xludf.DUMMYFUNCTION("""COMPUTED_VALUE"""),"Envia")</f>
        <v>Envia</v>
      </c>
      <c r="C2857" s="15" t="str">
        <f>IFERROR(__xludf.DUMMYFUNCTION("""COMPUTED_VALUE"""),"CÚCUTA")</f>
        <v>CÚCUTA</v>
      </c>
      <c r="D2857" s="15" t="str">
        <f>IFERROR(__xludf.DUMMYFUNCTION("""COMPUTED_VALUE"""),"MEDELLÍN")</f>
        <v>MEDELLÍN</v>
      </c>
      <c r="E2857" s="15" t="str">
        <f>IFERROR(__xludf.DUMMYFUNCTION("""COMPUTED_VALUE"""),"Momo Tea S.A.S Gabriel Echavarría")</f>
        <v>Momo Tea S.A.S Gabriel Echavarría</v>
      </c>
      <c r="F2857" s="17" t="str">
        <f>IFERROR(__xludf.DUMMYFUNCTION("""COMPUTED_VALUE"""),"CL 11 N 16 E 35 / CA B 1")</f>
        <v>CL 11 N 16 E 35 / CA B 1</v>
      </c>
      <c r="G2857" s="15" t="str">
        <f>IFERROR(__xludf.DUMMYFUNCTION("""COMPUTED_VALUE"""),"Gabriel Echavarría")</f>
        <v>Gabriel Echavarría</v>
      </c>
      <c r="H2857" s="16">
        <f>IFERROR(__xludf.DUMMYFUNCTION("""COMPUTED_VALUE"""),11375.0)</f>
        <v>11375</v>
      </c>
      <c r="I2857" s="18">
        <f>IFERROR(__xludf.DUMMYFUNCTION("""COMPUTED_VALUE"""),17.0)</f>
        <v>17</v>
      </c>
      <c r="J2857" s="18">
        <f>IFERROR(__xludf.DUMMYFUNCTION("""COMPUTED_VALUE"""),13.0)</f>
        <v>13</v>
      </c>
      <c r="K2857" s="18">
        <f>IFERROR(__xludf.DUMMYFUNCTION("""COMPUTED_VALUE"""),20.0)</f>
        <v>20</v>
      </c>
      <c r="L2857" s="17">
        <f>IFERROR(__xludf.DUMMYFUNCTION("""COMPUTED_VALUE"""),3.017909548E9)</f>
        <v>3017909548</v>
      </c>
      <c r="M2857" s="17" t="str">
        <f>IFERROR(__xludf.DUMMYFUNCTION("""COMPUTED_VALUE"""),"#REF!")</f>
        <v>#REF!</v>
      </c>
      <c r="N2857" s="17"/>
      <c r="O2857" s="17"/>
      <c r="P2857" s="17" t="b">
        <f>IFERROR(__xludf.DUMMYFUNCTION("""COMPUTED_VALUE"""),FALSE)</f>
        <v>0</v>
      </c>
      <c r="Q2857" s="20" t="str">
        <f>IFERROR(__xludf.DUMMYFUNCTION("""COMPUTED_VALUE"""),"")</f>
        <v/>
      </c>
      <c r="R2857" s="21" t="str">
        <f>IFERROR(__xludf.DUMMYFUNCTION("""COMPUTED_VALUE"""),"https://drive.google.com/file/d/1gGTHbvc63X2zd4kgb69Mp0nj8LqWCY9q/view?usp=drivesdk")</f>
        <v>https://drive.google.com/file/d/1gGTHbvc63X2zd4kgb69Mp0nj8LqWCY9q/view?usp=drivesdk</v>
      </c>
    </row>
    <row r="2858">
      <c r="A2858" s="15">
        <f>IFERROR(__xludf.DUMMYFUNCTION("""COMPUTED_VALUE"""),45084.0)</f>
        <v>45084</v>
      </c>
      <c r="B2858" s="16" t="str">
        <f>IFERROR(__xludf.DUMMYFUNCTION("""COMPUTED_VALUE"""),"Envia")</f>
        <v>Envia</v>
      </c>
      <c r="C2858" s="15" t="str">
        <f>IFERROR(__xludf.DUMMYFUNCTION("""COMPUTED_VALUE"""),"CÚCUTA")</f>
        <v>CÚCUTA</v>
      </c>
      <c r="D2858" s="15" t="str">
        <f>IFERROR(__xludf.DUMMYFUNCTION("""COMPUTED_VALUE"""),"MEDELLÍN")</f>
        <v>MEDELLÍN</v>
      </c>
      <c r="E2858" s="15" t="str">
        <f>IFERROR(__xludf.DUMMYFUNCTION("""COMPUTED_VALUE"""),"Momo Tea S.A.S Gabriel Echavarría")</f>
        <v>Momo Tea S.A.S Gabriel Echavarría</v>
      </c>
      <c r="F2858" s="17" t="str">
        <f>IFERROR(__xludf.DUMMYFUNCTION("""COMPUTED_VALUE"""),"CL 11 N 16 E 35 / CA B 1")</f>
        <v>CL 11 N 16 E 35 / CA B 1</v>
      </c>
      <c r="G2858" s="15" t="str">
        <f>IFERROR(__xludf.DUMMYFUNCTION("""COMPUTED_VALUE"""),"Gabriel Echavarría")</f>
        <v>Gabriel Echavarría</v>
      </c>
      <c r="H2858" s="16">
        <f>IFERROR(__xludf.DUMMYFUNCTION("""COMPUTED_VALUE"""),11376.0)</f>
        <v>11376</v>
      </c>
      <c r="I2858" s="18">
        <f>IFERROR(__xludf.DUMMYFUNCTION("""COMPUTED_VALUE"""),63.0)</f>
        <v>63</v>
      </c>
      <c r="J2858" s="18">
        <f>IFERROR(__xludf.DUMMYFUNCTION("""COMPUTED_VALUE"""),10.0)</f>
        <v>10</v>
      </c>
      <c r="K2858" s="18">
        <f>IFERROR(__xludf.DUMMYFUNCTION("""COMPUTED_VALUE"""),9.0)</f>
        <v>9</v>
      </c>
      <c r="L2858" s="17">
        <f>IFERROR(__xludf.DUMMYFUNCTION("""COMPUTED_VALUE"""),3.017909548E9)</f>
        <v>3017909548</v>
      </c>
      <c r="M2858" s="17" t="str">
        <f>IFERROR(__xludf.DUMMYFUNCTION("""COMPUTED_VALUE"""),"#REF!")</f>
        <v>#REF!</v>
      </c>
      <c r="N2858" s="17"/>
      <c r="O2858" s="17"/>
      <c r="P2858" s="17" t="b">
        <f>IFERROR(__xludf.DUMMYFUNCTION("""COMPUTED_VALUE"""),FALSE)</f>
        <v>0</v>
      </c>
      <c r="Q2858" s="20" t="str">
        <f>IFERROR(__xludf.DUMMYFUNCTION("""COMPUTED_VALUE"""),"")</f>
        <v/>
      </c>
      <c r="R2858" s="21" t="str">
        <f>IFERROR(__xludf.DUMMYFUNCTION("""COMPUTED_VALUE"""),"https://drive.google.com/file/d/1C0k26gtIsnlO_DUphd9bRh86EkgjxH_Q/view?usp=drivesdk")</f>
        <v>https://drive.google.com/file/d/1C0k26gtIsnlO_DUphd9bRh86EkgjxH_Q/view?usp=drivesdk</v>
      </c>
    </row>
    <row r="2859">
      <c r="A2859" s="15">
        <f>IFERROR(__xludf.DUMMYFUNCTION("""COMPUTED_VALUE"""),45084.0)</f>
        <v>45084</v>
      </c>
      <c r="B2859" s="16" t="str">
        <f>IFERROR(__xludf.DUMMYFUNCTION("""COMPUTED_VALUE"""),"Envia")</f>
        <v>Envia</v>
      </c>
      <c r="C2859" s="15" t="str">
        <f>IFERROR(__xludf.DUMMYFUNCTION("""COMPUTED_VALUE"""),"MONTERIA")</f>
        <v>MONTERIA</v>
      </c>
      <c r="D2859" s="15" t="str">
        <f>IFERROR(__xludf.DUMMYFUNCTION("""COMPUTED_VALUE"""),"MEDELLÍN")</f>
        <v>MEDELLÍN</v>
      </c>
      <c r="E2859" s="15" t="str">
        <f>IFERROR(__xludf.DUMMYFUNCTION("""COMPUTED_VALUE"""),"Moloso S.A.S")</f>
        <v>Moloso S.A.S</v>
      </c>
      <c r="F2859" s="17" t="str">
        <f>IFERROR(__xludf.DUMMYFUNCTION("""COMPUTED_VALUE"""),"CALLE 68  5-51 / BO D AP 301")</f>
        <v>CALLE 68  5-51 / BO D AP 301</v>
      </c>
      <c r="G2859" s="15" t="str">
        <f>IFERROR(__xludf.DUMMYFUNCTION("""COMPUTED_VALUE"""),"MARIA BEATRIZ PUCHE")</f>
        <v>MARIA BEATRIZ PUCHE</v>
      </c>
      <c r="H2859" s="16">
        <f>IFERROR(__xludf.DUMMYFUNCTION("""COMPUTED_VALUE"""),11437.0)</f>
        <v>11437</v>
      </c>
      <c r="I2859" s="18">
        <f>IFERROR(__xludf.DUMMYFUNCTION("""COMPUTED_VALUE"""),17.0)</f>
        <v>17</v>
      </c>
      <c r="J2859" s="18">
        <f>IFERROR(__xludf.DUMMYFUNCTION("""COMPUTED_VALUE"""),15.0)</f>
        <v>15</v>
      </c>
      <c r="K2859" s="18">
        <f>IFERROR(__xludf.DUMMYFUNCTION("""COMPUTED_VALUE"""),28.0)</f>
        <v>28</v>
      </c>
      <c r="L2859" s="17">
        <f>IFERROR(__xludf.DUMMYFUNCTION("""COMPUTED_VALUE"""),3.103549972E9)</f>
        <v>3103549972</v>
      </c>
      <c r="M2859" s="17" t="str">
        <f>IFERROR(__xludf.DUMMYFUNCTION("""COMPUTED_VALUE"""),"#REF!")</f>
        <v>#REF!</v>
      </c>
      <c r="N2859" s="17"/>
      <c r="O2859" s="17"/>
      <c r="P2859" s="17" t="b">
        <f>IFERROR(__xludf.DUMMYFUNCTION("""COMPUTED_VALUE"""),FALSE)</f>
        <v>0</v>
      </c>
      <c r="Q2859" s="20" t="str">
        <f>IFERROR(__xludf.DUMMYFUNCTION("""COMPUTED_VALUE"""),"")</f>
        <v/>
      </c>
      <c r="R2859" s="21" t="str">
        <f>IFERROR(__xludf.DUMMYFUNCTION("""COMPUTED_VALUE"""),"https://drive.google.com/file/d/1TcTG9oZ8x6Z8j-Xxk_ZKN5JeXnWQHdmP/view?usp=drivesdk")</f>
        <v>https://drive.google.com/file/d/1TcTG9oZ8x6Z8j-Xxk_ZKN5JeXnWQHdmP/view?usp=drivesdk</v>
      </c>
    </row>
    <row r="2860">
      <c r="A2860" s="15">
        <f>IFERROR(__xludf.DUMMYFUNCTION("""COMPUTED_VALUE"""),45084.0)</f>
        <v>45084</v>
      </c>
      <c r="B2860" s="16" t="str">
        <f>IFERROR(__xludf.DUMMYFUNCTION("""COMPUTED_VALUE"""),"Envia")</f>
        <v>Envia</v>
      </c>
      <c r="C2860" s="15" t="str">
        <f>IFERROR(__xludf.DUMMYFUNCTION("""COMPUTED_VALUE"""),"MONTERIA")</f>
        <v>MONTERIA</v>
      </c>
      <c r="D2860" s="15" t="str">
        <f>IFERROR(__xludf.DUMMYFUNCTION("""COMPUTED_VALUE"""),"MEDELLÍN")</f>
        <v>MEDELLÍN</v>
      </c>
      <c r="E2860" s="15" t="str">
        <f>IFERROR(__xludf.DUMMYFUNCTION("""COMPUTED_VALUE"""),"Rambla")</f>
        <v>Rambla</v>
      </c>
      <c r="F2860" s="17" t="str">
        <f>IFERROR(__xludf.DUMMYFUNCTION("""COMPUTED_VALUE"""),"calle 44 #10-91 lc 4 cc alamedas / na / na")</f>
        <v>calle 44 #10-91 lc 4 cc alamedas / na / na</v>
      </c>
      <c r="G2860" s="15" t="str">
        <f>IFERROR(__xludf.DUMMYFUNCTION("""COMPUTED_VALUE"""),"Enjoy Fit Food Market")</f>
        <v>Enjoy Fit Food Market</v>
      </c>
      <c r="H2860" s="16">
        <f>IFERROR(__xludf.DUMMYFUNCTION("""COMPUTED_VALUE"""),11429.0)</f>
        <v>11429</v>
      </c>
      <c r="I2860" s="18">
        <f>IFERROR(__xludf.DUMMYFUNCTION("""COMPUTED_VALUE"""),24.0)</f>
        <v>24</v>
      </c>
      <c r="J2860" s="18">
        <f>IFERROR(__xludf.DUMMYFUNCTION("""COMPUTED_VALUE"""),27.0)</f>
        <v>27</v>
      </c>
      <c r="K2860" s="18">
        <f>IFERROR(__xludf.DUMMYFUNCTION("""COMPUTED_VALUE"""),30.0)</f>
        <v>30</v>
      </c>
      <c r="L2860" s="17">
        <f>IFERROR(__xludf.DUMMYFUNCTION("""COMPUTED_VALUE"""),3.107294683E9)</f>
        <v>3107294683</v>
      </c>
      <c r="M2860" s="17" t="str">
        <f>IFERROR(__xludf.DUMMYFUNCTION("""COMPUTED_VALUE"""),"#REF!")</f>
        <v>#REF!</v>
      </c>
      <c r="N2860" s="17"/>
      <c r="O2860" s="17"/>
      <c r="P2860" s="17" t="b">
        <f>IFERROR(__xludf.DUMMYFUNCTION("""COMPUTED_VALUE"""),FALSE)</f>
        <v>0</v>
      </c>
      <c r="Q2860" s="20" t="str">
        <f>IFERROR(__xludf.DUMMYFUNCTION("""COMPUTED_VALUE"""),"")</f>
        <v/>
      </c>
      <c r="R2860" s="21" t="str">
        <f>IFERROR(__xludf.DUMMYFUNCTION("""COMPUTED_VALUE"""),"https://drive.google.com/file/d/18YWVTCVGQLrrJUBl6Hv53SJSTgXykz65/view?usp=drivesdk")</f>
        <v>https://drive.google.com/file/d/18YWVTCVGQLrrJUBl6Hv53SJSTgXykz65/view?usp=drivesdk</v>
      </c>
    </row>
    <row r="2861">
      <c r="A2861" s="15">
        <f>IFERROR(__xludf.DUMMYFUNCTION("""COMPUTED_VALUE"""),45084.0)</f>
        <v>45084</v>
      </c>
      <c r="B2861" s="16" t="str">
        <f>IFERROR(__xludf.DUMMYFUNCTION("""COMPUTED_VALUE"""),"Envia")</f>
        <v>Envia</v>
      </c>
      <c r="C2861" s="15" t="str">
        <f>IFERROR(__xludf.DUMMYFUNCTION("""COMPUTED_VALUE"""),"PEREIRA")</f>
        <v>PEREIRA</v>
      </c>
      <c r="D2861" s="15" t="str">
        <f>IFERROR(__xludf.DUMMYFUNCTION("""COMPUTED_VALUE"""),"BOGOTÁ")</f>
        <v>BOGOTÁ</v>
      </c>
      <c r="E2861" s="15" t="str">
        <f>IFERROR(__xludf.DUMMYFUNCTION("""COMPUTED_VALUE"""),"Ins. Alimento Vital")</f>
        <v>Ins. Alimento Vital</v>
      </c>
      <c r="F2861" s="17" t="str">
        <f>IFERROR(__xludf.DUMMYFUNCTION("""COMPUTED_VALUE"""),"CR 5 18 43 / EDIFICIO CHALJUB / BARRIO URIBE")</f>
        <v>CR 5 18 43 / EDIFICIO CHALJUB / BARRIO URIBE</v>
      </c>
      <c r="G2861" s="15" t="str">
        <f>IFERROR(__xludf.DUMMYFUNCTION("""COMPUTED_VALUE"""),"CHALJUB")</f>
        <v>CHALJUB</v>
      </c>
      <c r="H2861" s="16">
        <f>IFERROR(__xludf.DUMMYFUNCTION("""COMPUTED_VALUE"""),11402.0)</f>
        <v>11402</v>
      </c>
      <c r="I2861" s="18">
        <f>IFERROR(__xludf.DUMMYFUNCTION("""COMPUTED_VALUE"""),1.0)</f>
        <v>1</v>
      </c>
      <c r="J2861" s="18">
        <f>IFERROR(__xludf.DUMMYFUNCTION("""COMPUTED_VALUE"""),1.0)</f>
        <v>1</v>
      </c>
      <c r="K2861" s="18">
        <f>IFERROR(__xludf.DUMMYFUNCTION("""COMPUTED_VALUE"""),1.0)</f>
        <v>1</v>
      </c>
      <c r="L2861" s="17">
        <f>IFERROR(__xludf.DUMMYFUNCTION("""COMPUTED_VALUE"""),3.008252529E9)</f>
        <v>3008252529</v>
      </c>
      <c r="M2861" s="17" t="str">
        <f>IFERROR(__xludf.DUMMYFUNCTION("""COMPUTED_VALUE"""),"#REF!")</f>
        <v>#REF!</v>
      </c>
      <c r="N2861" s="17"/>
      <c r="O2861" s="17"/>
      <c r="P2861" s="17" t="b">
        <f>IFERROR(__xludf.DUMMYFUNCTION("""COMPUTED_VALUE"""),FALSE)</f>
        <v>0</v>
      </c>
      <c r="Q2861" s="20" t="str">
        <f>IFERROR(__xludf.DUMMYFUNCTION("""COMPUTED_VALUE"""),"")</f>
        <v/>
      </c>
      <c r="R2861" s="21" t="str">
        <f>IFERROR(__xludf.DUMMYFUNCTION("""COMPUTED_VALUE"""),"https://drive.google.com/file/d/1exJpQIBsosryjVr723hwVYF17EiiYJcD/view?usp=drivesdk")</f>
        <v>https://drive.google.com/file/d/1exJpQIBsosryjVr723hwVYF17EiiYJcD/view?usp=drivesdk</v>
      </c>
    </row>
    <row r="2862">
      <c r="A2862" s="15">
        <f>IFERROR(__xludf.DUMMYFUNCTION("""COMPUTED_VALUE"""),45084.0)</f>
        <v>45084</v>
      </c>
      <c r="B2862" s="16" t="str">
        <f>IFERROR(__xludf.DUMMYFUNCTION("""COMPUTED_VALUE"""),"Envia")</f>
        <v>Envia</v>
      </c>
      <c r="C2862" s="15" t="str">
        <f>IFERROR(__xludf.DUMMYFUNCTION("""COMPUTED_VALUE"""),"VILLAVICENCIO")</f>
        <v>VILLAVICENCIO</v>
      </c>
      <c r="D2862" s="15" t="str">
        <f>IFERROR(__xludf.DUMMYFUNCTION("""COMPUTED_VALUE"""),"BOGOTÁ")</f>
        <v>BOGOTÁ</v>
      </c>
      <c r="E2862" s="15" t="str">
        <f>IFERROR(__xludf.DUMMYFUNCTION("""COMPUTED_VALUE"""),"Mochi")</f>
        <v>Mochi</v>
      </c>
      <c r="F2862" s="17" t="str">
        <f>IFERROR(__xludf.DUMMYFUNCTION("""COMPUTED_VALUE"""),"Centro comercial viva villavicencio / Centro comercial viva villavicencio / Centro comercial viva villavicencio")</f>
        <v>Centro comercial viva villavicencio / Centro comercial viva villavicencio / Centro comercial viva villavicencio</v>
      </c>
      <c r="G2862" s="15" t="str">
        <f>IFERROR(__xludf.DUMMYFUNCTION("""COMPUTED_VALUE"""),"Mauricio Morán")</f>
        <v>Mauricio Morán</v>
      </c>
      <c r="H2862" s="16">
        <f>IFERROR(__xludf.DUMMYFUNCTION("""COMPUTED_VALUE"""),11419.0)</f>
        <v>11419</v>
      </c>
      <c r="I2862" s="18">
        <f>IFERROR(__xludf.DUMMYFUNCTION("""COMPUTED_VALUE"""),100.0)</f>
        <v>100</v>
      </c>
      <c r="J2862" s="18">
        <f>IFERROR(__xludf.DUMMYFUNCTION("""COMPUTED_VALUE"""),200.0)</f>
        <v>200</v>
      </c>
      <c r="K2862" s="18">
        <f>IFERROR(__xludf.DUMMYFUNCTION("""COMPUTED_VALUE"""),200.0)</f>
        <v>200</v>
      </c>
      <c r="L2862" s="17">
        <f>IFERROR(__xludf.DUMMYFUNCTION("""COMPUTED_VALUE"""),3.115177645E9)</f>
        <v>3115177645</v>
      </c>
      <c r="M2862" s="17" t="str">
        <f>IFERROR(__xludf.DUMMYFUNCTION("""COMPUTED_VALUE"""),"#REF!")</f>
        <v>#REF!</v>
      </c>
      <c r="N2862" s="17"/>
      <c r="O2862" s="17"/>
      <c r="P2862" s="17" t="b">
        <f>IFERROR(__xludf.DUMMYFUNCTION("""COMPUTED_VALUE"""),FALSE)</f>
        <v>0</v>
      </c>
      <c r="Q2862" s="20" t="str">
        <f>IFERROR(__xludf.DUMMYFUNCTION("""COMPUTED_VALUE"""),"")</f>
        <v/>
      </c>
      <c r="R2862" s="21" t="str">
        <f>IFERROR(__xludf.DUMMYFUNCTION("""COMPUTED_VALUE"""),"https://drive.google.com/file/d/1r87Oe9JkqZOf63Lr85vxlx-gF1CbOWNu/view?usp=drivesdk")</f>
        <v>https://drive.google.com/file/d/1r87Oe9JkqZOf63Lr85vxlx-gF1CbOWNu/view?usp=drivesdk</v>
      </c>
    </row>
    <row r="2863">
      <c r="A2863" s="17" t="str">
        <f>IFERROR(__xludf.DUMMYFUNCTION("""COMPUTED_VALUE"""),"")</f>
        <v/>
      </c>
      <c r="B2863" s="17" t="str">
        <f>IFERROR(__xludf.DUMMYFUNCTION("""COMPUTED_VALUE"""),"")</f>
        <v/>
      </c>
      <c r="C2863" s="17" t="str">
        <f>IFERROR(__xludf.DUMMYFUNCTION("""COMPUTED_VALUE"""),"")</f>
        <v/>
      </c>
      <c r="D2863" s="17" t="str">
        <f>IFERROR(__xludf.DUMMYFUNCTION("""COMPUTED_VALUE"""),"")</f>
        <v/>
      </c>
      <c r="E2863" s="17" t="str">
        <f>IFERROR(__xludf.DUMMYFUNCTION("""COMPUTED_VALUE"""),"")</f>
        <v/>
      </c>
      <c r="F2863" s="17" t="str">
        <f>IFERROR(__xludf.DUMMYFUNCTION("""COMPUTED_VALUE"""),"")</f>
        <v/>
      </c>
      <c r="G2863" s="17" t="str">
        <f>IFERROR(__xludf.DUMMYFUNCTION("""COMPUTED_VALUE"""),"")</f>
        <v/>
      </c>
      <c r="H2863" s="17" t="str">
        <f>IFERROR(__xludf.DUMMYFUNCTION("""COMPUTED_VALUE"""),"")</f>
        <v/>
      </c>
      <c r="I2863" s="17" t="str">
        <f>IFERROR(__xludf.DUMMYFUNCTION("""COMPUTED_VALUE"""),"")</f>
        <v/>
      </c>
      <c r="J2863" s="17" t="str">
        <f>IFERROR(__xludf.DUMMYFUNCTION("""COMPUTED_VALUE"""),"")</f>
        <v/>
      </c>
      <c r="K2863" s="17" t="str">
        <f>IFERROR(__xludf.DUMMYFUNCTION("""COMPUTED_VALUE"""),"")</f>
        <v/>
      </c>
      <c r="L2863" s="17" t="str">
        <f>IFERROR(__xludf.DUMMYFUNCTION("""COMPUTED_VALUE"""),"")</f>
        <v/>
      </c>
      <c r="M2863" s="17" t="str">
        <f>IFERROR(__xludf.DUMMYFUNCTION("""COMPUTED_VALUE"""),"")</f>
        <v/>
      </c>
      <c r="N2863" s="17" t="str">
        <f>IFERROR(__xludf.DUMMYFUNCTION("""COMPUTED_VALUE"""),"")</f>
        <v/>
      </c>
      <c r="O2863" s="17" t="str">
        <f>IFERROR(__xludf.DUMMYFUNCTION("""COMPUTED_VALUE"""),"")</f>
        <v/>
      </c>
      <c r="P2863" s="17" t="str">
        <f>IFERROR(__xludf.DUMMYFUNCTION("""COMPUTED_VALUE"""),"")</f>
        <v/>
      </c>
      <c r="Q2863" s="17" t="str">
        <f>IFERROR(__xludf.DUMMYFUNCTION("""COMPUTED_VALUE"""),"")</f>
        <v/>
      </c>
      <c r="R2863" s="17" t="str">
        <f>IFERROR(__xludf.DUMMYFUNCTION("""COMPUTED_VALUE"""),"")</f>
        <v/>
      </c>
    </row>
    <row r="2864">
      <c r="A2864" s="15">
        <f>IFERROR(__xludf.DUMMYFUNCTION("""COMPUTED_VALUE"""),45084.0)</f>
        <v>45084</v>
      </c>
      <c r="B2864" s="16" t="str">
        <f>IFERROR(__xludf.DUMMYFUNCTION("""COMPUTED_VALUE"""),"Jeison Rubiano")</f>
        <v>Jeison Rubiano</v>
      </c>
      <c r="C2864" s="15" t="str">
        <f>IFERROR(__xludf.DUMMYFUNCTION("""COMPUTED_VALUE"""),"BOGOTÁ")</f>
        <v>BOGOTÁ</v>
      </c>
      <c r="D2864" s="15" t="str">
        <f>IFERROR(__xludf.DUMMYFUNCTION("""COMPUTED_VALUE"""),"MANIZALES")</f>
        <v>MANIZALES</v>
      </c>
      <c r="E2864" s="15" t="str">
        <f>IFERROR(__xludf.DUMMYFUNCTION("""COMPUTED_VALUE"""),"Congelados Típicos")</f>
        <v>Congelados Típicos</v>
      </c>
      <c r="F2864" s="17" t="str">
        <f>IFERROR(__xludf.DUMMYFUNCTION("""COMPUTED_VALUE"""),"Avenida Carrera 15 # 90-20 - Local 109 Barrio: El Chicó / CENTRO DE ACOPIO DANDO CUERDA / EL CHICHO")</f>
        <v>Avenida Carrera 15 # 90-20 - Local 109 Barrio: El Chicó / CENTRO DE ACOPIO DANDO CUERDA / EL CHICHO</v>
      </c>
      <c r="G2864" s="15" t="str">
        <f>IFERROR(__xludf.DUMMYFUNCTION("""COMPUTED_VALUE"""),"CONGELADOS TIPICOS")</f>
        <v>CONGELADOS TIPICOS</v>
      </c>
      <c r="H2864" s="16">
        <f>IFERROR(__xludf.DUMMYFUNCTION("""COMPUTED_VALUE"""),11397.0)</f>
        <v>11397</v>
      </c>
      <c r="I2864" s="18" t="str">
        <f>IFERROR(__xludf.DUMMYFUNCTION("""COMPUTED_VALUE"""),"52.5")</f>
        <v>52.5</v>
      </c>
      <c r="J2864" s="18">
        <f>IFERROR(__xludf.DUMMYFUNCTION("""COMPUTED_VALUE"""),55.0)</f>
        <v>55</v>
      </c>
      <c r="K2864" s="18">
        <f>IFERROR(__xludf.DUMMYFUNCTION("""COMPUTED_VALUE"""),45.0)</f>
        <v>45</v>
      </c>
      <c r="L2864" s="17">
        <f>IFERROR(__xludf.DUMMYFUNCTION("""COMPUTED_VALUE"""),3.113744276E9)</f>
        <v>3113744276</v>
      </c>
      <c r="M2864" s="17" t="str">
        <f>IFERROR(__xludf.DUMMYFUNCTION("""COMPUTED_VALUE"""),"#REF!")</f>
        <v>#REF!</v>
      </c>
      <c r="N2864" s="17"/>
      <c r="O2864" s="17"/>
      <c r="P2864" s="17" t="b">
        <f>IFERROR(__xludf.DUMMYFUNCTION("""COMPUTED_VALUE"""),FALSE)</f>
        <v>0</v>
      </c>
      <c r="Q2864" s="20" t="str">
        <f>IFERROR(__xludf.DUMMYFUNCTION("""COMPUTED_VALUE"""),"")</f>
        <v/>
      </c>
      <c r="R2864" s="21" t="str">
        <f>IFERROR(__xludf.DUMMYFUNCTION("""COMPUTED_VALUE"""),"https://drive.google.com/file/d/1CiRKlYBA5DUEuqcVdzM9dDCz0iXy_IeQ/view?usp=drivesdk")</f>
        <v>https://drive.google.com/file/d/1CiRKlYBA5DUEuqcVdzM9dDCz0iXy_IeQ/view?usp=drivesdk</v>
      </c>
    </row>
    <row r="2865">
      <c r="A2865" s="15">
        <f>IFERROR(__xludf.DUMMYFUNCTION("""COMPUTED_VALUE"""),45084.0)</f>
        <v>45084</v>
      </c>
      <c r="B2865" s="16" t="str">
        <f>IFERROR(__xludf.DUMMYFUNCTION("""COMPUTED_VALUE"""),"Jeison Rubiano")</f>
        <v>Jeison Rubiano</v>
      </c>
      <c r="C2865" s="15" t="str">
        <f>IFERROR(__xludf.DUMMYFUNCTION("""COMPUTED_VALUE"""),"BOGOTÁ")</f>
        <v>BOGOTÁ</v>
      </c>
      <c r="D2865" s="15" t="str">
        <f>IFERROR(__xludf.DUMMYFUNCTION("""COMPUTED_VALUE"""),"MANIZALES")</f>
        <v>MANIZALES</v>
      </c>
      <c r="E2865" s="15" t="str">
        <f>IFERROR(__xludf.DUMMYFUNCTION("""COMPUTED_VALUE"""),"Congelados Típicos")</f>
        <v>Congelados Típicos</v>
      </c>
      <c r="F2865" s="17" t="str">
        <f>IFERROR(__xludf.DUMMYFUNCTION("""COMPUTED_VALUE"""),"Avenida Carrera 15 # 90-20 - Local 109 Barrio: El Chicó / CENTRO DE ACOPIO DANDO CUERDA / EL CHICO")</f>
        <v>Avenida Carrera 15 # 90-20 - Local 109 Barrio: El Chicó / CENTRO DE ACOPIO DANDO CUERDA / EL CHICO</v>
      </c>
      <c r="G2865" s="15" t="str">
        <f>IFERROR(__xludf.DUMMYFUNCTION("""COMPUTED_VALUE"""),"CONGELADOS TIPICOS")</f>
        <v>CONGELADOS TIPICOS</v>
      </c>
      <c r="H2865" s="16">
        <f>IFERROR(__xludf.DUMMYFUNCTION("""COMPUTED_VALUE"""),11398.0)</f>
        <v>11398</v>
      </c>
      <c r="I2865" s="18">
        <f>IFERROR(__xludf.DUMMYFUNCTION("""COMPUTED_VALUE"""),29.0)</f>
        <v>29</v>
      </c>
      <c r="J2865" s="18">
        <f>IFERROR(__xludf.DUMMYFUNCTION("""COMPUTED_VALUE"""),55.0)</f>
        <v>55</v>
      </c>
      <c r="K2865" s="18">
        <f>IFERROR(__xludf.DUMMYFUNCTION("""COMPUTED_VALUE"""),45.0)</f>
        <v>45</v>
      </c>
      <c r="L2865" s="17">
        <f>IFERROR(__xludf.DUMMYFUNCTION("""COMPUTED_VALUE"""),3.113744276E9)</f>
        <v>3113744276</v>
      </c>
      <c r="M2865" s="17" t="str">
        <f>IFERROR(__xludf.DUMMYFUNCTION("""COMPUTED_VALUE"""),"#REF!")</f>
        <v>#REF!</v>
      </c>
      <c r="N2865" s="17"/>
      <c r="O2865" s="17"/>
      <c r="P2865" s="17" t="b">
        <f>IFERROR(__xludf.DUMMYFUNCTION("""COMPUTED_VALUE"""),FALSE)</f>
        <v>0</v>
      </c>
      <c r="Q2865" s="20" t="str">
        <f>IFERROR(__xludf.DUMMYFUNCTION("""COMPUTED_VALUE"""),"")</f>
        <v/>
      </c>
      <c r="R2865" s="21" t="str">
        <f>IFERROR(__xludf.DUMMYFUNCTION("""COMPUTED_VALUE"""),"https://drive.google.com/file/d/1tAcDe3RPa8bhibM-3TmKFbWEp8OTXV9b/view?usp=drivesdk")</f>
        <v>https://drive.google.com/file/d/1tAcDe3RPa8bhibM-3TmKFbWEp8OTXV9b/view?usp=drivesdk</v>
      </c>
    </row>
    <row r="2866">
      <c r="A2866" s="15">
        <f>IFERROR(__xludf.DUMMYFUNCTION("""COMPUTED_VALUE"""),45084.0)</f>
        <v>45084</v>
      </c>
      <c r="B2866" s="16" t="str">
        <f>IFERROR(__xludf.DUMMYFUNCTION("""COMPUTED_VALUE"""),"Jeison Rubiano")</f>
        <v>Jeison Rubiano</v>
      </c>
      <c r="C2866" s="15" t="str">
        <f>IFERROR(__xludf.DUMMYFUNCTION("""COMPUTED_VALUE"""),"BOGOTÁ")</f>
        <v>BOGOTÁ</v>
      </c>
      <c r="D2866" s="15" t="str">
        <f>IFERROR(__xludf.DUMMYFUNCTION("""COMPUTED_VALUE"""),"MEDELLÍN")</f>
        <v>MEDELLÍN</v>
      </c>
      <c r="E2866" s="15" t="str">
        <f>IFERROR(__xludf.DUMMYFUNCTION("""COMPUTED_VALUE"""),"AREPAS LA MARY")</f>
        <v>AREPAS LA MARY</v>
      </c>
      <c r="F2866" s="17" t="str">
        <f>IFERROR(__xludf.DUMMYFUNCTION("""COMPUTED_VALUE"""),"CRA 10 N.1A 50 LOCAL 22 / CC ASTURIAS")</f>
        <v>CRA 10 N.1A 50 LOCAL 22 / CC ASTURIAS</v>
      </c>
      <c r="G2866" s="15" t="str">
        <f>IFERROR(__xludf.DUMMYFUNCTION("""COMPUTED_VALUE"""),"VIVO MARKET CHIA")</f>
        <v>VIVO MARKET CHIA</v>
      </c>
      <c r="H2866" s="16">
        <f>IFERROR(__xludf.DUMMYFUNCTION("""COMPUTED_VALUE"""),11407.0)</f>
        <v>11407</v>
      </c>
      <c r="I2866" s="18">
        <f>IFERROR(__xludf.DUMMYFUNCTION("""COMPUTED_VALUE"""),89.0)</f>
        <v>89</v>
      </c>
      <c r="J2866" s="18">
        <f>IFERROR(__xludf.DUMMYFUNCTION("""COMPUTED_VALUE"""),1.0)</f>
        <v>1</v>
      </c>
      <c r="K2866" s="18">
        <f>IFERROR(__xludf.DUMMYFUNCTION("""COMPUTED_VALUE"""),10.0)</f>
        <v>10</v>
      </c>
      <c r="L2866" s="17">
        <f>IFERROR(__xludf.DUMMYFUNCTION("""COMPUTED_VALUE"""),3.145035171E9)</f>
        <v>3145035171</v>
      </c>
      <c r="M2866" s="17" t="str">
        <f>IFERROR(__xludf.DUMMYFUNCTION("""COMPUTED_VALUE"""),"#REF!")</f>
        <v>#REF!</v>
      </c>
      <c r="N2866" s="17"/>
      <c r="O2866" s="17"/>
      <c r="P2866" s="17" t="b">
        <f>IFERROR(__xludf.DUMMYFUNCTION("""COMPUTED_VALUE"""),FALSE)</f>
        <v>0</v>
      </c>
      <c r="Q2866" s="20" t="str">
        <f>IFERROR(__xludf.DUMMYFUNCTION("""COMPUTED_VALUE"""),"")</f>
        <v/>
      </c>
      <c r="R2866" s="21" t="str">
        <f>IFERROR(__xludf.DUMMYFUNCTION("""COMPUTED_VALUE"""),"https://drive.google.com/file/d/1Eam6iqvacb6qQ-lZ75XO7juzwJ8F4rGa/view?usp=drivesdk")</f>
        <v>https://drive.google.com/file/d/1Eam6iqvacb6qQ-lZ75XO7juzwJ8F4rGa/view?usp=drivesdk</v>
      </c>
    </row>
    <row r="2867">
      <c r="A2867" s="15">
        <f>IFERROR(__xludf.DUMMYFUNCTION("""COMPUTED_VALUE"""),45084.0)</f>
        <v>45084</v>
      </c>
      <c r="B2867" s="16" t="str">
        <f>IFERROR(__xludf.DUMMYFUNCTION("""COMPUTED_VALUE"""),"Jeison Rubiano")</f>
        <v>Jeison Rubiano</v>
      </c>
      <c r="C2867" s="15" t="str">
        <f>IFERROR(__xludf.DUMMYFUNCTION("""COMPUTED_VALUE"""),"BOGOTÁ")</f>
        <v>BOGOTÁ</v>
      </c>
      <c r="D2867" s="15" t="str">
        <f>IFERROR(__xludf.DUMMYFUNCTION("""COMPUTED_VALUE"""),"MEDELLÍN")</f>
        <v>MEDELLÍN</v>
      </c>
      <c r="E2867" s="15" t="str">
        <f>IFERROR(__xludf.DUMMYFUNCTION("""COMPUTED_VALUE"""),"AREPAS LA MARY")</f>
        <v>AREPAS LA MARY</v>
      </c>
      <c r="F2867" s="17" t="str">
        <f>IFERROR(__xludf.DUMMYFUNCTION("""COMPUTED_VALUE"""),"CRA 21 # 106 B-29 / ANCORA")</f>
        <v>CRA 21 # 106 B-29 / ANCORA</v>
      </c>
      <c r="G2867" s="15" t="str">
        <f>IFERROR(__xludf.DUMMYFUNCTION("""COMPUTED_VALUE"""),"JUAN CARLOS AMAYA")</f>
        <v>JUAN CARLOS AMAYA</v>
      </c>
      <c r="H2867" s="16">
        <f>IFERROR(__xludf.DUMMYFUNCTION("""COMPUTED_VALUE"""),11406.0)</f>
        <v>11406</v>
      </c>
      <c r="I2867" s="18">
        <f>IFERROR(__xludf.DUMMYFUNCTION("""COMPUTED_VALUE"""),89.0)</f>
        <v>89</v>
      </c>
      <c r="J2867" s="18">
        <f>IFERROR(__xludf.DUMMYFUNCTION("""COMPUTED_VALUE"""),1.0)</f>
        <v>1</v>
      </c>
      <c r="K2867" s="18">
        <f>IFERROR(__xludf.DUMMYFUNCTION("""COMPUTED_VALUE"""),10.0)</f>
        <v>10</v>
      </c>
      <c r="L2867" s="17">
        <f>IFERROR(__xludf.DUMMYFUNCTION("""COMPUTED_VALUE"""),3.174387238E9)</f>
        <v>3174387238</v>
      </c>
      <c r="M2867" s="17" t="str">
        <f>IFERROR(__xludf.DUMMYFUNCTION("""COMPUTED_VALUE"""),"#REF!")</f>
        <v>#REF!</v>
      </c>
      <c r="N2867" s="17"/>
      <c r="O2867" s="17"/>
      <c r="P2867" s="17" t="b">
        <f>IFERROR(__xludf.DUMMYFUNCTION("""COMPUTED_VALUE"""),FALSE)</f>
        <v>0</v>
      </c>
      <c r="Q2867" s="20" t="str">
        <f>IFERROR(__xludf.DUMMYFUNCTION("""COMPUTED_VALUE"""),"")</f>
        <v/>
      </c>
      <c r="R2867" s="21" t="str">
        <f>IFERROR(__xludf.DUMMYFUNCTION("""COMPUTED_VALUE"""),"https://drive.google.com/file/d/1S6BbJqee8mBlm_qbKEuMlkcsL9pm4uUk/view?usp=drivesdk")</f>
        <v>https://drive.google.com/file/d/1S6BbJqee8mBlm_qbKEuMlkcsL9pm4uUk/view?usp=drivesdk</v>
      </c>
    </row>
    <row r="2868">
      <c r="A2868" s="15">
        <f>IFERROR(__xludf.DUMMYFUNCTION("""COMPUTED_VALUE"""),45084.0)</f>
        <v>45084</v>
      </c>
      <c r="B2868" s="16" t="str">
        <f>IFERROR(__xludf.DUMMYFUNCTION("""COMPUTED_VALUE"""),"Jeison Rubiano")</f>
        <v>Jeison Rubiano</v>
      </c>
      <c r="C2868" s="15" t="str">
        <f>IFERROR(__xludf.DUMMYFUNCTION("""COMPUTED_VALUE"""),"BOGOTÁ")</f>
        <v>BOGOTÁ</v>
      </c>
      <c r="D2868" s="15" t="str">
        <f>IFERROR(__xludf.DUMMYFUNCTION("""COMPUTED_VALUE"""),"MEDELLÍN")</f>
        <v>MEDELLÍN</v>
      </c>
      <c r="E2868" s="15" t="str">
        <f>IFERROR(__xludf.DUMMYFUNCTION("""COMPUTED_VALUE"""),"AREPAS LA MARY")</f>
        <v>AREPAS LA MARY</v>
      </c>
      <c r="F2868" s="17" t="str">
        <f>IFERROR(__xludf.DUMMYFUNCTION("""COMPUTED_VALUE"""),"CRA 7C BIS N.141 A 217 CASA 125 / CONJUNTO AGRUPACION")</f>
        <v>CRA 7C BIS N.141 A 217 CASA 125 / CONJUNTO AGRUPACION</v>
      </c>
      <c r="G2868" s="15" t="str">
        <f>IFERROR(__xludf.DUMMYFUNCTION("""COMPUTED_VALUE"""),"MARIA ALEJANDRA ORTIZ")</f>
        <v>MARIA ALEJANDRA ORTIZ</v>
      </c>
      <c r="H2868" s="16">
        <f>IFERROR(__xludf.DUMMYFUNCTION("""COMPUTED_VALUE"""),11409.0)</f>
        <v>11409</v>
      </c>
      <c r="I2868" s="18">
        <f>IFERROR(__xludf.DUMMYFUNCTION("""COMPUTED_VALUE"""),89.0)</f>
        <v>89</v>
      </c>
      <c r="J2868" s="18">
        <f>IFERROR(__xludf.DUMMYFUNCTION("""COMPUTED_VALUE"""),1.0)</f>
        <v>1</v>
      </c>
      <c r="K2868" s="18">
        <f>IFERROR(__xludf.DUMMYFUNCTION("""COMPUTED_VALUE"""),10.0)</f>
        <v>10</v>
      </c>
      <c r="L2868" s="17">
        <f>IFERROR(__xludf.DUMMYFUNCTION("""COMPUTED_VALUE"""),3.153939093E9)</f>
        <v>3153939093</v>
      </c>
      <c r="M2868" s="17" t="str">
        <f>IFERROR(__xludf.DUMMYFUNCTION("""COMPUTED_VALUE"""),"#REF!")</f>
        <v>#REF!</v>
      </c>
      <c r="N2868" s="17"/>
      <c r="O2868" s="17"/>
      <c r="P2868" s="17" t="b">
        <f>IFERROR(__xludf.DUMMYFUNCTION("""COMPUTED_VALUE"""),FALSE)</f>
        <v>0</v>
      </c>
      <c r="Q2868" s="20" t="str">
        <f>IFERROR(__xludf.DUMMYFUNCTION("""COMPUTED_VALUE"""),"")</f>
        <v/>
      </c>
      <c r="R2868" s="21" t="str">
        <f>IFERROR(__xludf.DUMMYFUNCTION("""COMPUTED_VALUE"""),"https://drive.google.com/file/d/1A5W-u6tlYuHpV6jGELlz1H3I-7izwTNt/view?usp=drivesdk")</f>
        <v>https://drive.google.com/file/d/1A5W-u6tlYuHpV6jGELlz1H3I-7izwTNt/view?usp=drivesdk</v>
      </c>
    </row>
    <row r="2869">
      <c r="A2869" s="15">
        <f>IFERROR(__xludf.DUMMYFUNCTION("""COMPUTED_VALUE"""),45084.0)</f>
        <v>45084</v>
      </c>
      <c r="B2869" s="16" t="str">
        <f>IFERROR(__xludf.DUMMYFUNCTION("""COMPUTED_VALUE"""),"Jeison Rubiano")</f>
        <v>Jeison Rubiano</v>
      </c>
      <c r="C2869" s="15" t="str">
        <f>IFERROR(__xludf.DUMMYFUNCTION("""COMPUTED_VALUE"""),"BOGOTÁ")</f>
        <v>BOGOTÁ</v>
      </c>
      <c r="D2869" s="15" t="str">
        <f>IFERROR(__xludf.DUMMYFUNCTION("""COMPUTED_VALUE"""),"MEDELLÍN")</f>
        <v>MEDELLÍN</v>
      </c>
      <c r="E2869" s="15" t="str">
        <f>IFERROR(__xludf.DUMMYFUNCTION("""COMPUTED_VALUE"""),"AREPAS LA MARY")</f>
        <v>AREPAS LA MARY</v>
      </c>
      <c r="F2869" s="17" t="str">
        <f>IFERROR(__xludf.DUMMYFUNCTION("""COMPUTED_VALUE"""),"Kra 79 # 19 a 28 / Conjunto la sierra")</f>
        <v>Kra 79 # 19 a 28 / Conjunto la sierra</v>
      </c>
      <c r="G2869" s="15" t="str">
        <f>IFERROR(__xludf.DUMMYFUNCTION("""COMPUTED_VALUE"""),"LEIDY SILVA")</f>
        <v>LEIDY SILVA</v>
      </c>
      <c r="H2869" s="16">
        <f>IFERROR(__xludf.DUMMYFUNCTION("""COMPUTED_VALUE"""),11410.0)</f>
        <v>11410</v>
      </c>
      <c r="I2869" s="18">
        <f>IFERROR(__xludf.DUMMYFUNCTION("""COMPUTED_VALUE"""),89.0)</f>
        <v>89</v>
      </c>
      <c r="J2869" s="18">
        <f>IFERROR(__xludf.DUMMYFUNCTION("""COMPUTED_VALUE"""),1.0)</f>
        <v>1</v>
      </c>
      <c r="K2869" s="18">
        <f>IFERROR(__xludf.DUMMYFUNCTION("""COMPUTED_VALUE"""),10.0)</f>
        <v>10</v>
      </c>
      <c r="L2869" s="17">
        <f>IFERROR(__xludf.DUMMYFUNCTION("""COMPUTED_VALUE"""),3.208278815E9)</f>
        <v>3208278815</v>
      </c>
      <c r="M2869" s="17" t="str">
        <f>IFERROR(__xludf.DUMMYFUNCTION("""COMPUTED_VALUE"""),"#REF!")</f>
        <v>#REF!</v>
      </c>
      <c r="N2869" s="17"/>
      <c r="O2869" s="17"/>
      <c r="P2869" s="17" t="b">
        <f>IFERROR(__xludf.DUMMYFUNCTION("""COMPUTED_VALUE"""),FALSE)</f>
        <v>0</v>
      </c>
      <c r="Q2869" s="20" t="str">
        <f>IFERROR(__xludf.DUMMYFUNCTION("""COMPUTED_VALUE"""),"")</f>
        <v/>
      </c>
      <c r="R2869" s="21" t="str">
        <f>IFERROR(__xludf.DUMMYFUNCTION("""COMPUTED_VALUE"""),"https://drive.google.com/file/d/1BzOUrlKukbIaizAVlK4TMKd1aSmzNslS/view?usp=drivesdk")</f>
        <v>https://drive.google.com/file/d/1BzOUrlKukbIaizAVlK4TMKd1aSmzNslS/view?usp=drivesdk</v>
      </c>
    </row>
    <row r="2870">
      <c r="A2870" s="15">
        <f>IFERROR(__xludf.DUMMYFUNCTION("""COMPUTED_VALUE"""),45084.0)</f>
        <v>45084</v>
      </c>
      <c r="B2870" s="16" t="str">
        <f>IFERROR(__xludf.DUMMYFUNCTION("""COMPUTED_VALUE"""),"Jeison Rubiano")</f>
        <v>Jeison Rubiano</v>
      </c>
      <c r="C2870" s="15" t="str">
        <f>IFERROR(__xludf.DUMMYFUNCTION("""COMPUTED_VALUE"""),"BOGOTÁ")</f>
        <v>BOGOTÁ</v>
      </c>
      <c r="D2870" s="15" t="str">
        <f>IFERROR(__xludf.DUMMYFUNCTION("""COMPUTED_VALUE"""),"MEDELLÍN")</f>
        <v>MEDELLÍN</v>
      </c>
      <c r="E2870" s="15" t="str">
        <f>IFERROR(__xludf.DUMMYFUNCTION("""COMPUTED_VALUE"""),"Baby Chef")</f>
        <v>Baby Chef</v>
      </c>
      <c r="F2870" s="17" t="str">
        <f>IFERROR(__xludf.DUMMYFUNCTION("""COMPUTED_VALUE"""),"Avenida calle 116 no 55 c - 40 conjunto residencial bora bora apto 815 torre 3  / bogota  / bogota")</f>
        <v>Avenida calle 116 no 55 c - 40 conjunto residencial bora bora apto 815 torre 3  / bogota  / bogota</v>
      </c>
      <c r="G2870" s="15" t="str">
        <f>IFERROR(__xludf.DUMMYFUNCTION("""COMPUTED_VALUE"""),"Lina RIvera")</f>
        <v>Lina RIvera</v>
      </c>
      <c r="H2870" s="16">
        <f>IFERROR(__xludf.DUMMYFUNCTION("""COMPUTED_VALUE"""),11416.0)</f>
        <v>11416</v>
      </c>
      <c r="I2870" s="18">
        <f>IFERROR(__xludf.DUMMYFUNCTION("""COMPUTED_VALUE"""),8.0)</f>
        <v>8</v>
      </c>
      <c r="J2870" s="18">
        <f>IFERROR(__xludf.DUMMYFUNCTION("""COMPUTED_VALUE"""),16.0)</f>
        <v>16</v>
      </c>
      <c r="K2870" s="18">
        <f>IFERROR(__xludf.DUMMYFUNCTION("""COMPUTED_VALUE"""),20.0)</f>
        <v>20</v>
      </c>
      <c r="L2870" s="17">
        <f>IFERROR(__xludf.DUMMYFUNCTION("""COMPUTED_VALUE"""),3.015912144E9)</f>
        <v>3015912144</v>
      </c>
      <c r="M2870" s="17" t="str">
        <f>IFERROR(__xludf.DUMMYFUNCTION("""COMPUTED_VALUE"""),"#REF!")</f>
        <v>#REF!</v>
      </c>
      <c r="N2870" s="17"/>
      <c r="O2870" s="17"/>
      <c r="P2870" s="17" t="b">
        <f>IFERROR(__xludf.DUMMYFUNCTION("""COMPUTED_VALUE"""),FALSE)</f>
        <v>0</v>
      </c>
      <c r="Q2870" s="20" t="str">
        <f>IFERROR(__xludf.DUMMYFUNCTION("""COMPUTED_VALUE"""),"")</f>
        <v/>
      </c>
      <c r="R2870" s="21" t="str">
        <f>IFERROR(__xludf.DUMMYFUNCTION("""COMPUTED_VALUE"""),"https://drive.google.com/file/d/1ohwzao2li656eDneWouJCEaZK7O3P9D7/view?usp=drivesdk")</f>
        <v>https://drive.google.com/file/d/1ohwzao2li656eDneWouJCEaZK7O3P9D7/view?usp=drivesdk</v>
      </c>
    </row>
    <row r="2871">
      <c r="A2871" s="15">
        <f>IFERROR(__xludf.DUMMYFUNCTION("""COMPUTED_VALUE"""),45084.0)</f>
        <v>45084</v>
      </c>
      <c r="B2871" s="16" t="str">
        <f>IFERROR(__xludf.DUMMYFUNCTION("""COMPUTED_VALUE"""),"Jeison Rubiano")</f>
        <v>Jeison Rubiano</v>
      </c>
      <c r="C2871" s="15" t="str">
        <f>IFERROR(__xludf.DUMMYFUNCTION("""COMPUTED_VALUE"""),"BOGOTÁ")</f>
        <v>BOGOTÁ</v>
      </c>
      <c r="D2871" s="15" t="str">
        <f>IFERROR(__xludf.DUMMYFUNCTION("""COMPUTED_VALUE"""),"MEDELLÍN")</f>
        <v>MEDELLÍN</v>
      </c>
      <c r="E2871" s="15" t="str">
        <f>IFERROR(__xludf.DUMMYFUNCTION("""COMPUTED_VALUE"""),"Baby Chef")</f>
        <v>Baby Chef</v>
      </c>
      <c r="F2871" s="17" t="str">
        <f>IFERROR(__xludf.DUMMYFUNCTION("""COMPUTED_VALUE"""),"Cra 12 b no 8 - 35 sur  / ciudad berna  / bogota")</f>
        <v>Cra 12 b no 8 - 35 sur  / ciudad berna  / bogota</v>
      </c>
      <c r="G2871" s="15" t="str">
        <f>IFERROR(__xludf.DUMMYFUNCTION("""COMPUTED_VALUE"""),"Daniela muñoz")</f>
        <v>Daniela muñoz</v>
      </c>
      <c r="H2871" s="16">
        <f>IFERROR(__xludf.DUMMYFUNCTION("""COMPUTED_VALUE"""),11414.0)</f>
        <v>11414</v>
      </c>
      <c r="I2871" s="18">
        <f>IFERROR(__xludf.DUMMYFUNCTION("""COMPUTED_VALUE"""),8.0)</f>
        <v>8</v>
      </c>
      <c r="J2871" s="18">
        <f>IFERROR(__xludf.DUMMYFUNCTION("""COMPUTED_VALUE"""),16.0)</f>
        <v>16</v>
      </c>
      <c r="K2871" s="18">
        <f>IFERROR(__xludf.DUMMYFUNCTION("""COMPUTED_VALUE"""),20.0)</f>
        <v>20</v>
      </c>
      <c r="L2871" s="17">
        <f>IFERROR(__xludf.DUMMYFUNCTION("""COMPUTED_VALUE"""),3.153103317E9)</f>
        <v>3153103317</v>
      </c>
      <c r="M2871" s="17" t="str">
        <f>IFERROR(__xludf.DUMMYFUNCTION("""COMPUTED_VALUE"""),"#REF!")</f>
        <v>#REF!</v>
      </c>
      <c r="N2871" s="17"/>
      <c r="O2871" s="17"/>
      <c r="P2871" s="17" t="b">
        <f>IFERROR(__xludf.DUMMYFUNCTION("""COMPUTED_VALUE"""),FALSE)</f>
        <v>0</v>
      </c>
      <c r="Q2871" s="20" t="str">
        <f>IFERROR(__xludf.DUMMYFUNCTION("""COMPUTED_VALUE"""),"")</f>
        <v/>
      </c>
      <c r="R2871" s="21" t="str">
        <f>IFERROR(__xludf.DUMMYFUNCTION("""COMPUTED_VALUE"""),"https://drive.google.com/file/d/1H39v_STNTvfuO5nmiWqmj1z0EWaQ5WM-/view?usp=drivesdk")</f>
        <v>https://drive.google.com/file/d/1H39v_STNTvfuO5nmiWqmj1z0EWaQ5WM-/view?usp=drivesdk</v>
      </c>
    </row>
    <row r="2872">
      <c r="A2872" s="15">
        <f>IFERROR(__xludf.DUMMYFUNCTION("""COMPUTED_VALUE"""),45084.0)</f>
        <v>45084</v>
      </c>
      <c r="B2872" s="16" t="str">
        <f>IFERROR(__xludf.DUMMYFUNCTION("""COMPUTED_VALUE"""),"Jeison Rubiano")</f>
        <v>Jeison Rubiano</v>
      </c>
      <c r="C2872" s="15" t="str">
        <f>IFERROR(__xludf.DUMMYFUNCTION("""COMPUTED_VALUE"""),"BOGOTÁ")</f>
        <v>BOGOTÁ</v>
      </c>
      <c r="D2872" s="15" t="str">
        <f>IFERROR(__xludf.DUMMYFUNCTION("""COMPUTED_VALUE"""),"MEDELLÍN")</f>
        <v>MEDELLÍN</v>
      </c>
      <c r="E2872" s="15" t="str">
        <f>IFERROR(__xludf.DUMMYFUNCTION("""COMPUTED_VALUE"""),"Baby Chef")</f>
        <v>Baby Chef</v>
      </c>
      <c r="F2872" s="17" t="str">
        <f>IFERROR(__xludf.DUMMYFUNCTION("""COMPUTED_VALUE"""),"Cra 58 b no 136 - 34 torre 16 apto 103  / conjunto rincon de iberia  / bogota")</f>
        <v>Cra 58 b no 136 - 34 torre 16 apto 103  / conjunto rincon de iberia  / bogota</v>
      </c>
      <c r="G2872" s="15" t="str">
        <f>IFERROR(__xludf.DUMMYFUNCTION("""COMPUTED_VALUE"""),"Myriam Tibavisky D")</f>
        <v>Myriam Tibavisky D</v>
      </c>
      <c r="H2872" s="16">
        <f>IFERROR(__xludf.DUMMYFUNCTION("""COMPUTED_VALUE"""),11413.0)</f>
        <v>11413</v>
      </c>
      <c r="I2872" s="18">
        <f>IFERROR(__xludf.DUMMYFUNCTION("""COMPUTED_VALUE"""),8.0)</f>
        <v>8</v>
      </c>
      <c r="J2872" s="18">
        <f>IFERROR(__xludf.DUMMYFUNCTION("""COMPUTED_VALUE"""),16.0)</f>
        <v>16</v>
      </c>
      <c r="K2872" s="18">
        <f>IFERROR(__xludf.DUMMYFUNCTION("""COMPUTED_VALUE"""),20.0)</f>
        <v>20</v>
      </c>
      <c r="L2872" s="17">
        <f>IFERROR(__xludf.DUMMYFUNCTION("""COMPUTED_VALUE"""),3.108517159E9)</f>
        <v>3108517159</v>
      </c>
      <c r="M2872" s="17" t="str">
        <f>IFERROR(__xludf.DUMMYFUNCTION("""COMPUTED_VALUE"""),"#REF!")</f>
        <v>#REF!</v>
      </c>
      <c r="N2872" s="17"/>
      <c r="O2872" s="17"/>
      <c r="P2872" s="17" t="b">
        <f>IFERROR(__xludf.DUMMYFUNCTION("""COMPUTED_VALUE"""),FALSE)</f>
        <v>0</v>
      </c>
      <c r="Q2872" s="20" t="str">
        <f>IFERROR(__xludf.DUMMYFUNCTION("""COMPUTED_VALUE"""),"")</f>
        <v/>
      </c>
      <c r="R2872" s="21" t="str">
        <f>IFERROR(__xludf.DUMMYFUNCTION("""COMPUTED_VALUE"""),"https://drive.google.com/file/d/1E2V3_qZW0Pouw6u-9j_uXx2gKXVq8m9w/view?usp=drivesdk")</f>
        <v>https://drive.google.com/file/d/1E2V3_qZW0Pouw6u-9j_uXx2gKXVq8m9w/view?usp=drivesdk</v>
      </c>
    </row>
    <row r="2873">
      <c r="A2873" s="15">
        <f>IFERROR(__xludf.DUMMYFUNCTION("""COMPUTED_VALUE"""),45084.0)</f>
        <v>45084</v>
      </c>
      <c r="B2873" s="16" t="str">
        <f>IFERROR(__xludf.DUMMYFUNCTION("""COMPUTED_VALUE"""),"Jeison Rubiano")</f>
        <v>Jeison Rubiano</v>
      </c>
      <c r="C2873" s="15" t="str">
        <f>IFERROR(__xludf.DUMMYFUNCTION("""COMPUTED_VALUE"""),"BOGOTÁ")</f>
        <v>BOGOTÁ</v>
      </c>
      <c r="D2873" s="15" t="str">
        <f>IFERROR(__xludf.DUMMYFUNCTION("""COMPUTED_VALUE"""),"MEDELLÍN")</f>
        <v>MEDELLÍN</v>
      </c>
      <c r="E2873" s="15" t="str">
        <f>IFERROR(__xludf.DUMMYFUNCTION("""COMPUTED_VALUE"""),"Baby Chef")</f>
        <v>Baby Chef</v>
      </c>
      <c r="F2873" s="17" t="str">
        <f>IFERROR(__xludf.DUMMYFUNCTION("""COMPUTED_VALUE"""),"cra 77 no 18 - 51 apto 402  / torre 4 barrio la felicidad  / bogota")</f>
        <v>cra 77 no 18 - 51 apto 402  / torre 4 barrio la felicidad  / bogota</v>
      </c>
      <c r="G2873" s="15" t="str">
        <f>IFERROR(__xludf.DUMMYFUNCTION("""COMPUTED_VALUE"""),"Katerine Figueroa")</f>
        <v>Katerine Figueroa</v>
      </c>
      <c r="H2873" s="16">
        <f>IFERROR(__xludf.DUMMYFUNCTION("""COMPUTED_VALUE"""),11415.0)</f>
        <v>11415</v>
      </c>
      <c r="I2873" s="18">
        <f>IFERROR(__xludf.DUMMYFUNCTION("""COMPUTED_VALUE"""),8.0)</f>
        <v>8</v>
      </c>
      <c r="J2873" s="18">
        <f>IFERROR(__xludf.DUMMYFUNCTION("""COMPUTED_VALUE"""),16.0)</f>
        <v>16</v>
      </c>
      <c r="K2873" s="18">
        <f>IFERROR(__xludf.DUMMYFUNCTION("""COMPUTED_VALUE"""),20.0)</f>
        <v>20</v>
      </c>
      <c r="L2873" s="17">
        <f>IFERROR(__xludf.DUMMYFUNCTION("""COMPUTED_VALUE"""),3.502970217E9)</f>
        <v>3502970217</v>
      </c>
      <c r="M2873" s="17" t="str">
        <f>IFERROR(__xludf.DUMMYFUNCTION("""COMPUTED_VALUE"""),"#REF!")</f>
        <v>#REF!</v>
      </c>
      <c r="N2873" s="17"/>
      <c r="O2873" s="17"/>
      <c r="P2873" s="17" t="b">
        <f>IFERROR(__xludf.DUMMYFUNCTION("""COMPUTED_VALUE"""),FALSE)</f>
        <v>0</v>
      </c>
      <c r="Q2873" s="20" t="str">
        <f>IFERROR(__xludf.DUMMYFUNCTION("""COMPUTED_VALUE"""),"")</f>
        <v/>
      </c>
      <c r="R2873" s="21" t="str">
        <f>IFERROR(__xludf.DUMMYFUNCTION("""COMPUTED_VALUE"""),"https://drive.google.com/file/d/1mIbkBr7MKZNQb5th9Xp5ybAPSYIPHPNJ/view?usp=drivesdk")</f>
        <v>https://drive.google.com/file/d/1mIbkBr7MKZNQb5th9Xp5ybAPSYIPHPNJ/view?usp=drivesdk</v>
      </c>
    </row>
    <row r="2874">
      <c r="A2874" s="15">
        <f>IFERROR(__xludf.DUMMYFUNCTION("""COMPUTED_VALUE"""),45084.0)</f>
        <v>45084</v>
      </c>
      <c r="B2874" s="16" t="str">
        <f>IFERROR(__xludf.DUMMYFUNCTION("""COMPUTED_VALUE"""),"Jeison Rubiano")</f>
        <v>Jeison Rubiano</v>
      </c>
      <c r="C2874" s="15" t="str">
        <f>IFERROR(__xludf.DUMMYFUNCTION("""COMPUTED_VALUE"""),"BOGOTÁ")</f>
        <v>BOGOTÁ</v>
      </c>
      <c r="D2874" s="15" t="str">
        <f>IFERROR(__xludf.DUMMYFUNCTION("""COMPUTED_VALUE"""),"MEDELLÍN")</f>
        <v>MEDELLÍN</v>
      </c>
      <c r="E2874" s="15" t="str">
        <f>IFERROR(__xludf.DUMMYFUNCTION("""COMPUTED_VALUE"""),"TOLEDALES S.A.S")</f>
        <v>TOLEDALES S.A.S</v>
      </c>
      <c r="F2874" s="17" t="str">
        <f>IFERROR(__xludf.DUMMYFUNCTION("""COMPUTED_VALUE"""),"Av el dorado 69b 53")</f>
        <v>Av el dorado 69b 53</v>
      </c>
      <c r="G2874" s="15" t="str">
        <f>IFERROR(__xludf.DUMMYFUNCTION("""COMPUTED_VALUE"""),"Hoteleria Internacional SA")</f>
        <v>Hoteleria Internacional SA</v>
      </c>
      <c r="H2874" s="16">
        <f>IFERROR(__xludf.DUMMYFUNCTION("""COMPUTED_VALUE"""),11312.0)</f>
        <v>11312</v>
      </c>
      <c r="I2874" s="18">
        <f>IFERROR(__xludf.DUMMYFUNCTION("""COMPUTED_VALUE"""),7.0)</f>
        <v>7</v>
      </c>
      <c r="J2874" s="18">
        <f>IFERROR(__xludf.DUMMYFUNCTION("""COMPUTED_VALUE"""),20.0)</f>
        <v>20</v>
      </c>
      <c r="K2874" s="18">
        <f>IFERROR(__xludf.DUMMYFUNCTION("""COMPUTED_VALUE"""),31.0)</f>
        <v>31</v>
      </c>
      <c r="L2874" s="17">
        <f>IFERROR(__xludf.DUMMYFUNCTION("""COMPUTED_VALUE"""),3.193679565E9)</f>
        <v>3193679565</v>
      </c>
      <c r="M2874" s="17" t="str">
        <f>IFERROR(__xludf.DUMMYFUNCTION("""COMPUTED_VALUE"""),"#REF!")</f>
        <v>#REF!</v>
      </c>
      <c r="N2874" s="17"/>
      <c r="O2874" s="17"/>
      <c r="P2874" s="17" t="b">
        <f>IFERROR(__xludf.DUMMYFUNCTION("""COMPUTED_VALUE"""),FALSE)</f>
        <v>0</v>
      </c>
      <c r="Q2874" s="20" t="str">
        <f>IFERROR(__xludf.DUMMYFUNCTION("""COMPUTED_VALUE"""),"")</f>
        <v/>
      </c>
      <c r="R2874" s="22" t="str">
        <f>IFERROR(__xludf.DUMMYFUNCTION("""COMPUTED_VALUE"""),"")</f>
        <v/>
      </c>
    </row>
    <row r="2875">
      <c r="A2875" s="15">
        <f>IFERROR(__xludf.DUMMYFUNCTION("""COMPUTED_VALUE"""),45084.0)</f>
        <v>45084</v>
      </c>
      <c r="B2875" s="16" t="str">
        <f>IFERROR(__xludf.DUMMYFUNCTION("""COMPUTED_VALUE"""),"Jeison Rubiano")</f>
        <v>Jeison Rubiano</v>
      </c>
      <c r="C2875" s="15" t="str">
        <f>IFERROR(__xludf.DUMMYFUNCTION("""COMPUTED_VALUE"""),"BOGOTÁ")</f>
        <v>BOGOTÁ</v>
      </c>
      <c r="D2875" s="15" t="str">
        <f>IFERROR(__xludf.DUMMYFUNCTION("""COMPUTED_VALUE"""),"MEDELLÍN")</f>
        <v>MEDELLÍN</v>
      </c>
      <c r="E2875" s="15" t="str">
        <f>IFERROR(__xludf.DUMMYFUNCTION("""COMPUTED_VALUE"""),"TOLEDALES S.A.S")</f>
        <v>TOLEDALES S.A.S</v>
      </c>
      <c r="F2875" s="17" t="str">
        <f>IFERROR(__xludf.DUMMYFUNCTION("""COMPUTED_VALUE"""),"Carrera 19 # 80-39 / apto 502")</f>
        <v>Carrera 19 # 80-39 / apto 502</v>
      </c>
      <c r="G2875" s="15" t="str">
        <f>IFERROR(__xludf.DUMMYFUNCTION("""COMPUTED_VALUE"""),"Jelmer lopez")</f>
        <v>Jelmer lopez</v>
      </c>
      <c r="H2875" s="16">
        <f>IFERROR(__xludf.DUMMYFUNCTION("""COMPUTED_VALUE"""),11315.0)</f>
        <v>11315</v>
      </c>
      <c r="I2875" s="18">
        <f>IFERROR(__xludf.DUMMYFUNCTION("""COMPUTED_VALUE"""),12.0)</f>
        <v>12</v>
      </c>
      <c r="J2875" s="18">
        <f>IFERROR(__xludf.DUMMYFUNCTION("""COMPUTED_VALUE"""),18.0)</f>
        <v>18</v>
      </c>
      <c r="K2875" s="18">
        <f>IFERROR(__xludf.DUMMYFUNCTION("""COMPUTED_VALUE"""),30.0)</f>
        <v>30</v>
      </c>
      <c r="L2875" s="17">
        <f>IFERROR(__xludf.DUMMYFUNCTION("""COMPUTED_VALUE"""),3.168776416E9)</f>
        <v>3168776416</v>
      </c>
      <c r="M2875" s="17" t="str">
        <f>IFERROR(__xludf.DUMMYFUNCTION("""COMPUTED_VALUE"""),"#REF!")</f>
        <v>#REF!</v>
      </c>
      <c r="N2875" s="17"/>
      <c r="O2875" s="17"/>
      <c r="P2875" s="17" t="b">
        <f>IFERROR(__xludf.DUMMYFUNCTION("""COMPUTED_VALUE"""),FALSE)</f>
        <v>0</v>
      </c>
      <c r="Q2875" s="20" t="str">
        <f>IFERROR(__xludf.DUMMYFUNCTION("""COMPUTED_VALUE"""),"")</f>
        <v/>
      </c>
      <c r="R2875" s="22" t="str">
        <f>IFERROR(__xludf.DUMMYFUNCTION("""COMPUTED_VALUE"""),"")</f>
        <v/>
      </c>
    </row>
    <row r="2876">
      <c r="A2876" s="15">
        <f>IFERROR(__xludf.DUMMYFUNCTION("""COMPUTED_VALUE"""),45084.0)</f>
        <v>45084</v>
      </c>
      <c r="B2876" s="16" t="str">
        <f>IFERROR(__xludf.DUMMYFUNCTION("""COMPUTED_VALUE"""),"Jeison Rubiano")</f>
        <v>Jeison Rubiano</v>
      </c>
      <c r="C2876" s="15" t="str">
        <f>IFERROR(__xludf.DUMMYFUNCTION("""COMPUTED_VALUE"""),"BOGOTÁ")</f>
        <v>BOGOTÁ</v>
      </c>
      <c r="D2876" s="15" t="str">
        <f>IFERROR(__xludf.DUMMYFUNCTION("""COMPUTED_VALUE"""),"PEREIRA")</f>
        <v>PEREIRA</v>
      </c>
      <c r="E2876" s="15" t="str">
        <f>IFERROR(__xludf.DUMMYFUNCTION("""COMPUTED_VALUE"""),"BAK&amp;VEG")</f>
        <v>BAK&amp;VEG</v>
      </c>
      <c r="F2876" s="17" t="str">
        <f>IFERROR(__xludf.DUMMYFUNCTION("""COMPUTED_VALUE"""),"CALLE 45 #22-55")</f>
        <v>CALLE 45 #22-55</v>
      </c>
      <c r="G2876" s="15" t="str">
        <f>IFERROR(__xludf.DUMMYFUNCTION("""COMPUTED_VALUE"""),"ADRIANA CUCA")</f>
        <v>ADRIANA CUCA</v>
      </c>
      <c r="H2876" s="16">
        <f>IFERROR(__xludf.DUMMYFUNCTION("""COMPUTED_VALUE"""),11390.0)</f>
        <v>11390</v>
      </c>
      <c r="I2876" s="17"/>
      <c r="J2876" s="17"/>
      <c r="K2876" s="17"/>
      <c r="L2876" s="17">
        <f>IFERROR(__xludf.DUMMYFUNCTION("""COMPUTED_VALUE"""),3.116999271E9)</f>
        <v>3116999271</v>
      </c>
      <c r="M2876" s="17" t="str">
        <f>IFERROR(__xludf.DUMMYFUNCTION("""COMPUTED_VALUE"""),"#REF!")</f>
        <v>#REF!</v>
      </c>
      <c r="N2876" s="17"/>
      <c r="O2876" s="17"/>
      <c r="P2876" s="17" t="b">
        <f>IFERROR(__xludf.DUMMYFUNCTION("""COMPUTED_VALUE"""),FALSE)</f>
        <v>0</v>
      </c>
      <c r="Q2876" s="20" t="str">
        <f>IFERROR(__xludf.DUMMYFUNCTION("""COMPUTED_VALUE"""),"")</f>
        <v/>
      </c>
      <c r="R2876" s="22" t="str">
        <f>IFERROR(__xludf.DUMMYFUNCTION("""COMPUTED_VALUE"""),"")</f>
        <v/>
      </c>
    </row>
    <row r="2877">
      <c r="A2877" s="17" t="str">
        <f>IFERROR(__xludf.DUMMYFUNCTION("""COMPUTED_VALUE"""),"")</f>
        <v/>
      </c>
      <c r="B2877" s="17" t="str">
        <f>IFERROR(__xludf.DUMMYFUNCTION("""COMPUTED_VALUE"""),"")</f>
        <v/>
      </c>
      <c r="C2877" s="17" t="str">
        <f>IFERROR(__xludf.DUMMYFUNCTION("""COMPUTED_VALUE"""),"")</f>
        <v/>
      </c>
      <c r="D2877" s="17" t="str">
        <f>IFERROR(__xludf.DUMMYFUNCTION("""COMPUTED_VALUE"""),"")</f>
        <v/>
      </c>
      <c r="E2877" s="17" t="str">
        <f>IFERROR(__xludf.DUMMYFUNCTION("""COMPUTED_VALUE"""),"")</f>
        <v/>
      </c>
      <c r="F2877" s="17" t="str">
        <f>IFERROR(__xludf.DUMMYFUNCTION("""COMPUTED_VALUE"""),"")</f>
        <v/>
      </c>
      <c r="G2877" s="17" t="str">
        <f>IFERROR(__xludf.DUMMYFUNCTION("""COMPUTED_VALUE"""),"")</f>
        <v/>
      </c>
      <c r="H2877" s="17" t="str">
        <f>IFERROR(__xludf.DUMMYFUNCTION("""COMPUTED_VALUE"""),"")</f>
        <v/>
      </c>
      <c r="I2877" s="17" t="str">
        <f>IFERROR(__xludf.DUMMYFUNCTION("""COMPUTED_VALUE"""),"")</f>
        <v/>
      </c>
      <c r="J2877" s="17" t="str">
        <f>IFERROR(__xludf.DUMMYFUNCTION("""COMPUTED_VALUE"""),"")</f>
        <v/>
      </c>
      <c r="K2877" s="17" t="str">
        <f>IFERROR(__xludf.DUMMYFUNCTION("""COMPUTED_VALUE"""),"")</f>
        <v/>
      </c>
      <c r="L2877" s="17" t="str">
        <f>IFERROR(__xludf.DUMMYFUNCTION("""COMPUTED_VALUE"""),"")</f>
        <v/>
      </c>
      <c r="M2877" s="17" t="str">
        <f>IFERROR(__xludf.DUMMYFUNCTION("""COMPUTED_VALUE"""),"")</f>
        <v/>
      </c>
      <c r="N2877" s="17" t="str">
        <f>IFERROR(__xludf.DUMMYFUNCTION("""COMPUTED_VALUE"""),"")</f>
        <v/>
      </c>
      <c r="O2877" s="17" t="str">
        <f>IFERROR(__xludf.DUMMYFUNCTION("""COMPUTED_VALUE"""),"")</f>
        <v/>
      </c>
      <c r="P2877" s="17" t="str">
        <f>IFERROR(__xludf.DUMMYFUNCTION("""COMPUTED_VALUE"""),"")</f>
        <v/>
      </c>
      <c r="Q2877" s="17" t="str">
        <f>IFERROR(__xludf.DUMMYFUNCTION("""COMPUTED_VALUE"""),"")</f>
        <v/>
      </c>
      <c r="R2877" s="17" t="str">
        <f>IFERROR(__xludf.DUMMYFUNCTION("""COMPUTED_VALUE"""),"")</f>
        <v/>
      </c>
    </row>
    <row r="2878">
      <c r="A2878" s="15">
        <f>IFERROR(__xludf.DUMMYFUNCTION("""COMPUTED_VALUE"""),45084.0)</f>
        <v>45084</v>
      </c>
      <c r="B2878" s="16" t="str">
        <f>IFERROR(__xludf.DUMMYFUNCTION("""COMPUTED_VALUE"""),"Johan Alexander Escobar Arroyo ")</f>
        <v>Johan Alexander Escobar Arroyo </v>
      </c>
      <c r="C2878" s="15" t="str">
        <f>IFERROR(__xludf.DUMMYFUNCTION("""COMPUTED_VALUE"""),"CALI")</f>
        <v>CALI</v>
      </c>
      <c r="D2878" s="15" t="str">
        <f>IFERROR(__xludf.DUMMYFUNCTION("""COMPUTED_VALUE"""),"BOGOTÁ")</f>
        <v>BOGOTÁ</v>
      </c>
      <c r="E2878" s="15" t="str">
        <f>IFERROR(__xludf.DUMMYFUNCTION("""COMPUTED_VALUE"""),"Ins. Alimento Vital")</f>
        <v>Ins. Alimento Vital</v>
      </c>
      <c r="F2878" s="17" t="str">
        <f>IFERROR(__xludf.DUMMYFUNCTION("""COMPUTED_VALUE"""),"CL 34N 2BN 33 / BODEGA / BARRIO SAN VICENTE")</f>
        <v>CL 34N 2BN 33 / BODEGA / BARRIO SAN VICENTE</v>
      </c>
      <c r="G2878" s="15" t="str">
        <f>IFERROR(__xludf.DUMMYFUNCTION("""COMPUTED_VALUE"""),"VELOCITY CALI")</f>
        <v>VELOCITY CALI</v>
      </c>
      <c r="H2878" s="16">
        <f>IFERROR(__xludf.DUMMYFUNCTION("""COMPUTED_VALUE"""),11404.0)</f>
        <v>11404</v>
      </c>
      <c r="I2878" s="18">
        <f>IFERROR(__xludf.DUMMYFUNCTION("""COMPUTED_VALUE"""),1.0)</f>
        <v>1</v>
      </c>
      <c r="J2878" s="18">
        <f>IFERROR(__xludf.DUMMYFUNCTION("""COMPUTED_VALUE"""),1.0)</f>
        <v>1</v>
      </c>
      <c r="K2878" s="18">
        <f>IFERROR(__xludf.DUMMYFUNCTION("""COMPUTED_VALUE"""),1.0)</f>
        <v>1</v>
      </c>
      <c r="L2878" s="17">
        <f>IFERROR(__xludf.DUMMYFUNCTION("""COMPUTED_VALUE"""),3.117591055E9)</f>
        <v>3117591055</v>
      </c>
      <c r="M2878" s="17" t="str">
        <f>IFERROR(__xludf.DUMMYFUNCTION("""COMPUTED_VALUE"""),"#REF!")</f>
        <v>#REF!</v>
      </c>
      <c r="N2878" s="17"/>
      <c r="O2878" s="17"/>
      <c r="P2878" s="17" t="b">
        <f>IFERROR(__xludf.DUMMYFUNCTION("""COMPUTED_VALUE"""),FALSE)</f>
        <v>0</v>
      </c>
      <c r="Q2878" s="20" t="str">
        <f>IFERROR(__xludf.DUMMYFUNCTION("""COMPUTED_VALUE"""),"")</f>
        <v/>
      </c>
      <c r="R2878" s="21" t="str">
        <f>IFERROR(__xludf.DUMMYFUNCTION("""COMPUTED_VALUE"""),"https://drive.google.com/file/d/1NIeseoGJ76ozr8Ano_OymHI9JNo4VQ_l/view?usp=drivesdk")</f>
        <v>https://drive.google.com/file/d/1NIeseoGJ76ozr8Ano_OymHI9JNo4VQ_l/view?usp=drivesdk</v>
      </c>
    </row>
    <row r="2879">
      <c r="A2879" s="15">
        <f>IFERROR(__xludf.DUMMYFUNCTION("""COMPUTED_VALUE"""),45084.0)</f>
        <v>45084</v>
      </c>
      <c r="B2879" s="16" t="str">
        <f>IFERROR(__xludf.DUMMYFUNCTION("""COMPUTED_VALUE"""),"Johan Alexander Escobar Arroyo ")</f>
        <v>Johan Alexander Escobar Arroyo </v>
      </c>
      <c r="C2879" s="15" t="str">
        <f>IFERROR(__xludf.DUMMYFUNCTION("""COMPUTED_VALUE"""),"CALI")</f>
        <v>CALI</v>
      </c>
      <c r="D2879" s="15" t="str">
        <f>IFERROR(__xludf.DUMMYFUNCTION("""COMPUTED_VALUE"""),"MEDELLÍN")</f>
        <v>MEDELLÍN</v>
      </c>
      <c r="E2879" s="15" t="str">
        <f>IFERROR(__xludf.DUMMYFUNCTION("""COMPUTED_VALUE"""),"Baby Chef")</f>
        <v>Baby Chef</v>
      </c>
      <c r="F2879" s="17" t="str">
        <f>IFERROR(__xludf.DUMMYFUNCTION("""COMPUTED_VALUE"""),"avenida 3 g norte no 62 n 63  / apto 505 torre 1  / keretaro del viento")</f>
        <v>avenida 3 g norte no 62 n 63  / apto 505 torre 1  / keretaro del viento</v>
      </c>
      <c r="G2879" s="15" t="str">
        <f>IFERROR(__xludf.DUMMYFUNCTION("""COMPUTED_VALUE"""),"Nataly ocampo")</f>
        <v>Nataly ocampo</v>
      </c>
      <c r="H2879" s="16">
        <f>IFERROR(__xludf.DUMMYFUNCTION("""COMPUTED_VALUE"""),11420.0)</f>
        <v>11420</v>
      </c>
      <c r="I2879" s="18">
        <f>IFERROR(__xludf.DUMMYFUNCTION("""COMPUTED_VALUE"""),8.0)</f>
        <v>8</v>
      </c>
      <c r="J2879" s="18">
        <f>IFERROR(__xludf.DUMMYFUNCTION("""COMPUTED_VALUE"""),16.0)</f>
        <v>16</v>
      </c>
      <c r="K2879" s="18">
        <f>IFERROR(__xludf.DUMMYFUNCTION("""COMPUTED_VALUE"""),20.0)</f>
        <v>20</v>
      </c>
      <c r="L2879" s="17">
        <f>IFERROR(__xludf.DUMMYFUNCTION("""COMPUTED_VALUE"""),3.11362272E9)</f>
        <v>3113622720</v>
      </c>
      <c r="M2879" s="17" t="str">
        <f>IFERROR(__xludf.DUMMYFUNCTION("""COMPUTED_VALUE"""),"#REF!")</f>
        <v>#REF!</v>
      </c>
      <c r="N2879" s="17"/>
      <c r="O2879" s="17"/>
      <c r="P2879" s="17" t="b">
        <f>IFERROR(__xludf.DUMMYFUNCTION("""COMPUTED_VALUE"""),FALSE)</f>
        <v>0</v>
      </c>
      <c r="Q2879" s="20" t="str">
        <f>IFERROR(__xludf.DUMMYFUNCTION("""COMPUTED_VALUE"""),"")</f>
        <v/>
      </c>
      <c r="R2879" s="21" t="str">
        <f>IFERROR(__xludf.DUMMYFUNCTION("""COMPUTED_VALUE"""),"https://drive.google.com/file/d/1mukPRG7HJ4Djv7kIyTk1zk4mYKjTw_if/view?usp=drivesdk")</f>
        <v>https://drive.google.com/file/d/1mukPRG7HJ4Djv7kIyTk1zk4mYKjTw_if/view?usp=drivesdk</v>
      </c>
    </row>
    <row r="2880">
      <c r="A2880" s="15">
        <f>IFERROR(__xludf.DUMMYFUNCTION("""COMPUTED_VALUE"""),45084.0)</f>
        <v>45084</v>
      </c>
      <c r="B2880" s="16" t="str">
        <f>IFERROR(__xludf.DUMMYFUNCTION("""COMPUTED_VALUE"""),"Johan Alexander Escobar Arroyo ")</f>
        <v>Johan Alexander Escobar Arroyo </v>
      </c>
      <c r="C2880" s="15" t="str">
        <f>IFERROR(__xludf.DUMMYFUNCTION("""COMPUTED_VALUE"""),"CALI")</f>
        <v>CALI</v>
      </c>
      <c r="D2880" s="15" t="str">
        <f>IFERROR(__xludf.DUMMYFUNCTION("""COMPUTED_VALUE"""),"MEDELLÍN")</f>
        <v>MEDELLÍN</v>
      </c>
      <c r="E2880" s="15" t="str">
        <f>IFERROR(__xludf.DUMMYFUNCTION("""COMPUTED_VALUE"""),"Baby Chef")</f>
        <v>Baby Chef</v>
      </c>
      <c r="F2880" s="17" t="str">
        <f>IFERROR(__xludf.DUMMYFUNCTION("""COMPUTED_VALUE"""),"carrera 93 no 42 - 58 unidad residencial podium  / torre a apto 1501 / cali")</f>
        <v>carrera 93 no 42 - 58 unidad residencial podium  / torre a apto 1501 / cali</v>
      </c>
      <c r="G2880" s="15" t="str">
        <f>IFERROR(__xludf.DUMMYFUNCTION("""COMPUTED_VALUE"""),"Jorge Gutierrez")</f>
        <v>Jorge Gutierrez</v>
      </c>
      <c r="H2880" s="16">
        <f>IFERROR(__xludf.DUMMYFUNCTION("""COMPUTED_VALUE"""),11422.0)</f>
        <v>11422</v>
      </c>
      <c r="I2880" s="18">
        <f>IFERROR(__xludf.DUMMYFUNCTION("""COMPUTED_VALUE"""),10.0)</f>
        <v>10</v>
      </c>
      <c r="J2880" s="18">
        <f>IFERROR(__xludf.DUMMYFUNCTION("""COMPUTED_VALUE"""),20.0)</f>
        <v>20</v>
      </c>
      <c r="K2880" s="18">
        <f>IFERROR(__xludf.DUMMYFUNCTION("""COMPUTED_VALUE"""),20.0)</f>
        <v>20</v>
      </c>
      <c r="L2880" s="17">
        <f>IFERROR(__xludf.DUMMYFUNCTION("""COMPUTED_VALUE"""),3.502984795E9)</f>
        <v>3502984795</v>
      </c>
      <c r="M2880" s="17" t="str">
        <f>IFERROR(__xludf.DUMMYFUNCTION("""COMPUTED_VALUE"""),"#REF!")</f>
        <v>#REF!</v>
      </c>
      <c r="N2880" s="17"/>
      <c r="O2880" s="17"/>
      <c r="P2880" s="17" t="b">
        <f>IFERROR(__xludf.DUMMYFUNCTION("""COMPUTED_VALUE"""),FALSE)</f>
        <v>0</v>
      </c>
      <c r="Q2880" s="20" t="str">
        <f>IFERROR(__xludf.DUMMYFUNCTION("""COMPUTED_VALUE"""),"")</f>
        <v/>
      </c>
      <c r="R2880" s="21" t="str">
        <f>IFERROR(__xludf.DUMMYFUNCTION("""COMPUTED_VALUE"""),"https://drive.google.com/file/d/1YOvvJll4Lm3sE2eVHoM3oQ7aK55OQxYx/view?usp=drivesdk")</f>
        <v>https://drive.google.com/file/d/1YOvvJll4Lm3sE2eVHoM3oQ7aK55OQxYx/view?usp=drivesdk</v>
      </c>
    </row>
    <row r="2881">
      <c r="A2881" s="15">
        <f>IFERROR(__xludf.DUMMYFUNCTION("""COMPUTED_VALUE"""),45084.0)</f>
        <v>45084</v>
      </c>
      <c r="B2881" s="16" t="str">
        <f>IFERROR(__xludf.DUMMYFUNCTION("""COMPUTED_VALUE"""),"Johan Alexander Escobar Arroyo ")</f>
        <v>Johan Alexander Escobar Arroyo </v>
      </c>
      <c r="C2881" s="15" t="str">
        <f>IFERROR(__xludf.DUMMYFUNCTION("""COMPUTED_VALUE"""),"CALI")</f>
        <v>CALI</v>
      </c>
      <c r="D2881" s="15" t="str">
        <f>IFERROR(__xludf.DUMMYFUNCTION("""COMPUTED_VALUE"""),"MEDELLÍN")</f>
        <v>MEDELLÍN</v>
      </c>
      <c r="E2881" s="15" t="str">
        <f>IFERROR(__xludf.DUMMYFUNCTION("""COMPUTED_VALUE"""),"Baby Chef")</f>
        <v>Baby Chef</v>
      </c>
      <c r="F2881" s="17" t="str">
        <f>IFERROR(__xludf.DUMMYFUNCTION("""COMPUTED_VALUE"""),"CLL 17 NO 36 b - 05  / CASA, PRIMER PISO AL FONDO, GUABAL  / CALI")</f>
        <v>CLL 17 NO 36 b - 05  / CASA, PRIMER PISO AL FONDO, GUABAL  / CALI</v>
      </c>
      <c r="G2881" s="15" t="str">
        <f>IFERROR(__xludf.DUMMYFUNCTION("""COMPUTED_VALUE"""),"Yoselin otalvaro")</f>
        <v>Yoselin otalvaro</v>
      </c>
      <c r="H2881" s="16">
        <f>IFERROR(__xludf.DUMMYFUNCTION("""COMPUTED_VALUE"""),11425.0)</f>
        <v>11425</v>
      </c>
      <c r="I2881" s="18">
        <f>IFERROR(__xludf.DUMMYFUNCTION("""COMPUTED_VALUE"""),8.0)</f>
        <v>8</v>
      </c>
      <c r="J2881" s="18">
        <f>IFERROR(__xludf.DUMMYFUNCTION("""COMPUTED_VALUE"""),16.0)</f>
        <v>16</v>
      </c>
      <c r="K2881" s="18">
        <f>IFERROR(__xludf.DUMMYFUNCTION("""COMPUTED_VALUE"""),20.0)</f>
        <v>20</v>
      </c>
      <c r="L2881" s="17">
        <f>IFERROR(__xludf.DUMMYFUNCTION("""COMPUTED_VALUE"""),3.177835177E9)</f>
        <v>3177835177</v>
      </c>
      <c r="M2881" s="17" t="str">
        <f>IFERROR(__xludf.DUMMYFUNCTION("""COMPUTED_VALUE"""),"#REF!")</f>
        <v>#REF!</v>
      </c>
      <c r="N2881" s="17"/>
      <c r="O2881" s="17"/>
      <c r="P2881" s="17" t="b">
        <f>IFERROR(__xludf.DUMMYFUNCTION("""COMPUTED_VALUE"""),TRUE)</f>
        <v>1</v>
      </c>
      <c r="Q2881" s="20">
        <f>IFERROR(__xludf.DUMMYFUNCTION("""COMPUTED_VALUE"""),45088.560791261574)</f>
        <v>45088.56079</v>
      </c>
      <c r="R2881" s="21" t="str">
        <f>IFERROR(__xludf.DUMMYFUNCTION("""COMPUTED_VALUE"""),"https://drive.google.com/file/d/1tm1hStY-hj6dJ9UUWFe9sj1Ss-1vfWj9/view?usp=drivesdk")</f>
        <v>https://drive.google.com/file/d/1tm1hStY-hj6dJ9UUWFe9sj1Ss-1vfWj9/view?usp=drivesdk</v>
      </c>
    </row>
    <row r="2882">
      <c r="A2882" s="15">
        <f>IFERROR(__xludf.DUMMYFUNCTION("""COMPUTED_VALUE"""),45084.0)</f>
        <v>45084</v>
      </c>
      <c r="B2882" s="16" t="str">
        <f>IFERROR(__xludf.DUMMYFUNCTION("""COMPUTED_VALUE"""),"Johan Alexander Escobar Arroyo ")</f>
        <v>Johan Alexander Escobar Arroyo </v>
      </c>
      <c r="C2882" s="15" t="str">
        <f>IFERROR(__xludf.DUMMYFUNCTION("""COMPUTED_VALUE"""),"CALI")</f>
        <v>CALI</v>
      </c>
      <c r="D2882" s="15" t="str">
        <f>IFERROR(__xludf.DUMMYFUNCTION("""COMPUTED_VALUE"""),"MEDELLÍN")</f>
        <v>MEDELLÍN</v>
      </c>
      <c r="E2882" s="15" t="str">
        <f>IFERROR(__xludf.DUMMYFUNCTION("""COMPUTED_VALUE"""),"Baby Chef")</f>
        <v>Baby Chef</v>
      </c>
      <c r="F2882" s="17" t="str">
        <f>IFERROR(__xludf.DUMMYFUNCTION("""COMPUTED_VALUE"""),"cra 103 no 12 c 50 casa a 3  / reservas del polo club ciudad jardin  / cali")</f>
        <v>cra 103 no 12 c 50 casa a 3  / reservas del polo club ciudad jardin  / cali</v>
      </c>
      <c r="G2882" s="15" t="str">
        <f>IFERROR(__xludf.DUMMYFUNCTION("""COMPUTED_VALUE"""),"Lina Velasquez")</f>
        <v>Lina Velasquez</v>
      </c>
      <c r="H2882" s="16">
        <f>IFERROR(__xludf.DUMMYFUNCTION("""COMPUTED_VALUE"""),11423.0)</f>
        <v>11423</v>
      </c>
      <c r="I2882" s="18">
        <f>IFERROR(__xludf.DUMMYFUNCTION("""COMPUTED_VALUE"""),8.0)</f>
        <v>8</v>
      </c>
      <c r="J2882" s="18">
        <f>IFERROR(__xludf.DUMMYFUNCTION("""COMPUTED_VALUE"""),16.0)</f>
        <v>16</v>
      </c>
      <c r="K2882" s="18">
        <f>IFERROR(__xludf.DUMMYFUNCTION("""COMPUTED_VALUE"""),20.0)</f>
        <v>20</v>
      </c>
      <c r="L2882" s="17">
        <f>IFERROR(__xludf.DUMMYFUNCTION("""COMPUTED_VALUE"""),3.00613134E9)</f>
        <v>3006131340</v>
      </c>
      <c r="M2882" s="17" t="str">
        <f>IFERROR(__xludf.DUMMYFUNCTION("""COMPUTED_VALUE"""),"#REF!")</f>
        <v>#REF!</v>
      </c>
      <c r="N2882" s="17"/>
      <c r="O2882" s="17"/>
      <c r="P2882" s="17" t="b">
        <f>IFERROR(__xludf.DUMMYFUNCTION("""COMPUTED_VALUE"""),TRUE)</f>
        <v>1</v>
      </c>
      <c r="Q2882" s="20">
        <f>IFERROR(__xludf.DUMMYFUNCTION("""COMPUTED_VALUE"""),45088.560791261574)</f>
        <v>45088.56079</v>
      </c>
      <c r="R2882" s="21" t="str">
        <f>IFERROR(__xludf.DUMMYFUNCTION("""COMPUTED_VALUE"""),"https://drive.google.com/file/d/1Z0rUzbviwsbXwTHbg_YZJJXId434auD3/view?usp=drivesdk")</f>
        <v>https://drive.google.com/file/d/1Z0rUzbviwsbXwTHbg_YZJJXId434auD3/view?usp=drivesdk</v>
      </c>
    </row>
    <row r="2883">
      <c r="A2883" s="15">
        <f>IFERROR(__xludf.DUMMYFUNCTION("""COMPUTED_VALUE"""),45084.0)</f>
        <v>45084</v>
      </c>
      <c r="B2883" s="16" t="str">
        <f>IFERROR(__xludf.DUMMYFUNCTION("""COMPUTED_VALUE"""),"Johan Alexander Escobar Arroyo ")</f>
        <v>Johan Alexander Escobar Arroyo </v>
      </c>
      <c r="C2883" s="15" t="str">
        <f>IFERROR(__xludf.DUMMYFUNCTION("""COMPUTED_VALUE"""),"CALI")</f>
        <v>CALI</v>
      </c>
      <c r="D2883" s="15" t="str">
        <f>IFERROR(__xludf.DUMMYFUNCTION("""COMPUTED_VALUE"""),"MEDELLÍN")</f>
        <v>MEDELLÍN</v>
      </c>
      <c r="E2883" s="15" t="str">
        <f>IFERROR(__xludf.DUMMYFUNCTION("""COMPUTED_VALUE"""),"Baby Chef")</f>
        <v>Baby Chef</v>
      </c>
      <c r="F2883" s="17" t="str">
        <f>IFERROR(__xludf.DUMMYFUNCTION("""COMPUTED_VALUE"""),"Cra 97 no 2 c- 12  / Barrio Melendez, primer piso  / Cali")</f>
        <v>Cra 97 no 2 c- 12  / Barrio Melendez, primer piso  / Cali</v>
      </c>
      <c r="G2883" s="15" t="str">
        <f>IFERROR(__xludf.DUMMYFUNCTION("""COMPUTED_VALUE"""),"Diana Patricia Perafan")</f>
        <v>Diana Patricia Perafan</v>
      </c>
      <c r="H2883" s="16">
        <f>IFERROR(__xludf.DUMMYFUNCTION("""COMPUTED_VALUE"""),11424.0)</f>
        <v>11424</v>
      </c>
      <c r="I2883" s="18">
        <f>IFERROR(__xludf.DUMMYFUNCTION("""COMPUTED_VALUE"""),8.0)</f>
        <v>8</v>
      </c>
      <c r="J2883" s="18">
        <f>IFERROR(__xludf.DUMMYFUNCTION("""COMPUTED_VALUE"""),16.0)</f>
        <v>16</v>
      </c>
      <c r="K2883" s="18">
        <f>IFERROR(__xludf.DUMMYFUNCTION("""COMPUTED_VALUE"""),20.0)</f>
        <v>20</v>
      </c>
      <c r="L2883" s="17">
        <f>IFERROR(__xludf.DUMMYFUNCTION("""COMPUTED_VALUE"""),3.205519981E9)</f>
        <v>3205519981</v>
      </c>
      <c r="M2883" s="17" t="str">
        <f>IFERROR(__xludf.DUMMYFUNCTION("""COMPUTED_VALUE"""),"#REF!")</f>
        <v>#REF!</v>
      </c>
      <c r="N2883" s="17"/>
      <c r="O2883" s="17"/>
      <c r="P2883" s="17" t="b">
        <f>IFERROR(__xludf.DUMMYFUNCTION("""COMPUTED_VALUE"""),FALSE)</f>
        <v>0</v>
      </c>
      <c r="Q2883" s="20" t="str">
        <f>IFERROR(__xludf.DUMMYFUNCTION("""COMPUTED_VALUE"""),"")</f>
        <v/>
      </c>
      <c r="R2883" s="21" t="str">
        <f>IFERROR(__xludf.DUMMYFUNCTION("""COMPUTED_VALUE"""),"https://drive.google.com/file/d/1hjBqpU6_Vb3ew_p_wHaDQz6cAKmva32Q/view?usp=drivesdk")</f>
        <v>https://drive.google.com/file/d/1hjBqpU6_Vb3ew_p_wHaDQz6cAKmva32Q/view?usp=drivesdk</v>
      </c>
    </row>
    <row r="2884">
      <c r="A2884" s="15">
        <f>IFERROR(__xludf.DUMMYFUNCTION("""COMPUTED_VALUE"""),45084.0)</f>
        <v>45084</v>
      </c>
      <c r="B2884" s="16" t="str">
        <f>IFERROR(__xludf.DUMMYFUNCTION("""COMPUTED_VALUE"""),"Johan Alexander Escobar Arroyo ")</f>
        <v>Johan Alexander Escobar Arroyo </v>
      </c>
      <c r="C2884" s="15" t="str">
        <f>IFERROR(__xludf.DUMMYFUNCTION("""COMPUTED_VALUE"""),"CALI")</f>
        <v>CALI</v>
      </c>
      <c r="D2884" s="15" t="str">
        <f>IFERROR(__xludf.DUMMYFUNCTION("""COMPUTED_VALUE"""),"MEDELLÍN")</f>
        <v>MEDELLÍN</v>
      </c>
      <c r="E2884" s="15" t="str">
        <f>IFERROR(__xludf.DUMMYFUNCTION("""COMPUTED_VALUE"""),"JD Bufala")</f>
        <v>JD Bufala</v>
      </c>
      <c r="F2884" s="17" t="str">
        <f>IFERROR(__xludf.DUMMYFUNCTION("""COMPUTED_VALUE"""),"Calle 51norte #4bn72 / Delhuertopizzeria  / La Flora")</f>
        <v>Calle 51norte #4bn72 / Delhuertopizzeria  / La Flora</v>
      </c>
      <c r="G2884" s="15" t="str">
        <f>IFERROR(__xludf.DUMMYFUNCTION("""COMPUTED_VALUE"""),"Javier Rodríguez")</f>
        <v>Javier Rodríguez</v>
      </c>
      <c r="H2884" s="16">
        <f>IFERROR(__xludf.DUMMYFUNCTION("""COMPUTED_VALUE"""),11405.0)</f>
        <v>11405</v>
      </c>
      <c r="I2884" s="18">
        <f>IFERROR(__xludf.DUMMYFUNCTION("""COMPUTED_VALUE"""),45066.0)</f>
        <v>45066</v>
      </c>
      <c r="J2884" s="18">
        <f>IFERROR(__xludf.DUMMYFUNCTION("""COMPUTED_VALUE"""),28.0)</f>
        <v>28</v>
      </c>
      <c r="K2884" s="18">
        <f>IFERROR(__xludf.DUMMYFUNCTION("""COMPUTED_VALUE"""),40.0)</f>
        <v>40</v>
      </c>
      <c r="L2884" s="17">
        <f>IFERROR(__xludf.DUMMYFUNCTION("""COMPUTED_VALUE"""),3.104919761E9)</f>
        <v>3104919761</v>
      </c>
      <c r="M2884" s="17" t="str">
        <f>IFERROR(__xludf.DUMMYFUNCTION("""COMPUTED_VALUE"""),"#REF!")</f>
        <v>#REF!</v>
      </c>
      <c r="N2884" s="17"/>
      <c r="O2884" s="17"/>
      <c r="P2884" s="17" t="b">
        <f>IFERROR(__xludf.DUMMYFUNCTION("""COMPUTED_VALUE"""),TRUE)</f>
        <v>1</v>
      </c>
      <c r="Q2884" s="20">
        <f>IFERROR(__xludf.DUMMYFUNCTION("""COMPUTED_VALUE"""),45085.61875355324)</f>
        <v>45085.61875</v>
      </c>
      <c r="R2884" s="21" t="str">
        <f>IFERROR(__xludf.DUMMYFUNCTION("""COMPUTED_VALUE"""),"https://drive.google.com/file/d/1JSS3eeVlI5f2G7H8qcEkt3Rc7FgrNQxD/view?usp=drivesdk")</f>
        <v>https://drive.google.com/file/d/1JSS3eeVlI5f2G7H8qcEkt3Rc7FgrNQxD/view?usp=drivesdk</v>
      </c>
    </row>
    <row r="2885">
      <c r="A2885" s="15">
        <f>IFERROR(__xludf.DUMMYFUNCTION("""COMPUTED_VALUE"""),45084.0)</f>
        <v>45084</v>
      </c>
      <c r="B2885" s="16" t="str">
        <f>IFERROR(__xludf.DUMMYFUNCTION("""COMPUTED_VALUE"""),"Johan Alexander Escobar Arroyo ")</f>
        <v>Johan Alexander Escobar Arroyo </v>
      </c>
      <c r="C2885" s="15" t="str">
        <f>IFERROR(__xludf.DUMMYFUNCTION("""COMPUTED_VALUE"""),"CALI")</f>
        <v>CALI</v>
      </c>
      <c r="D2885" s="15" t="str">
        <f>IFERROR(__xludf.DUMMYFUNCTION("""COMPUTED_VALUE"""),"MEDELLÍN")</f>
        <v>MEDELLÍN</v>
      </c>
      <c r="E2885" s="15" t="str">
        <f>IFERROR(__xludf.DUMMYFUNCTION("""COMPUTED_VALUE"""),"Moloso S.A.S")</f>
        <v>Moloso S.A.S</v>
      </c>
      <c r="F2885" s="17" t="str">
        <f>IFERROR(__xludf.DUMMYFUNCTION("""COMPUTED_VALUE"""),"AVENIDA 3 OESTE 13 94 / EDIF SOL DEL OESTE APT 702")</f>
        <v>AVENIDA 3 OESTE 13 94 / EDIF SOL DEL OESTE APT 702</v>
      </c>
      <c r="G2885" s="15" t="str">
        <f>IFERROR(__xludf.DUMMYFUNCTION("""COMPUTED_VALUE"""),"LAURA HERNÁNDEZ ALVIAR")</f>
        <v>LAURA HERNÁNDEZ ALVIAR</v>
      </c>
      <c r="H2885" s="16">
        <f>IFERROR(__xludf.DUMMYFUNCTION("""COMPUTED_VALUE"""),11436.0)</f>
        <v>11436</v>
      </c>
      <c r="I2885" s="18">
        <f>IFERROR(__xludf.DUMMYFUNCTION("""COMPUTED_VALUE"""),17.0)</f>
        <v>17</v>
      </c>
      <c r="J2885" s="18">
        <f>IFERROR(__xludf.DUMMYFUNCTION("""COMPUTED_VALUE"""),15.0)</f>
        <v>15</v>
      </c>
      <c r="K2885" s="18">
        <f>IFERROR(__xludf.DUMMYFUNCTION("""COMPUTED_VALUE"""),28.0)</f>
        <v>28</v>
      </c>
      <c r="L2885" s="17" t="str">
        <f>IFERROR(__xludf.DUMMYFUNCTION("""COMPUTED_VALUE"""),"315 5762974")</f>
        <v>315 5762974</v>
      </c>
      <c r="M2885" s="17" t="str">
        <f>IFERROR(__xludf.DUMMYFUNCTION("""COMPUTED_VALUE"""),"#REF!")</f>
        <v>#REF!</v>
      </c>
      <c r="N2885" s="17"/>
      <c r="O2885" s="17"/>
      <c r="P2885" s="17" t="b">
        <f>IFERROR(__xludf.DUMMYFUNCTION("""COMPUTED_VALUE"""),TRUE)</f>
        <v>1</v>
      </c>
      <c r="Q2885" s="20">
        <f>IFERROR(__xludf.DUMMYFUNCTION("""COMPUTED_VALUE"""),45085.61181472222)</f>
        <v>45085.61181</v>
      </c>
      <c r="R2885" s="21" t="str">
        <f>IFERROR(__xludf.DUMMYFUNCTION("""COMPUTED_VALUE"""),"https://drive.google.com/file/d/1UovHSKnnw7KNEKUFhbKMc1NqeGiAhF9O/view?usp=drivesdk")</f>
        <v>https://drive.google.com/file/d/1UovHSKnnw7KNEKUFhbKMc1NqeGiAhF9O/view?usp=drivesdk</v>
      </c>
    </row>
    <row r="2886">
      <c r="A2886" s="15">
        <f>IFERROR(__xludf.DUMMYFUNCTION("""COMPUTED_VALUE"""),45084.0)</f>
        <v>45084</v>
      </c>
      <c r="B2886" s="16" t="str">
        <f>IFERROR(__xludf.DUMMYFUNCTION("""COMPUTED_VALUE"""),"Johan Alexander Escobar Arroyo ")</f>
        <v>Johan Alexander Escobar Arroyo </v>
      </c>
      <c r="C2886" s="15" t="str">
        <f>IFERROR(__xludf.DUMMYFUNCTION("""COMPUTED_VALUE"""),"SINCELEJO")</f>
        <v>SINCELEJO</v>
      </c>
      <c r="D2886" s="15" t="str">
        <f>IFERROR(__xludf.DUMMYFUNCTION("""COMPUTED_VALUE"""),"MEDELLÍN")</f>
        <v>MEDELLÍN</v>
      </c>
      <c r="E2886" s="15" t="str">
        <f>IFERROR(__xludf.DUMMYFUNCTION("""COMPUTED_VALUE"""),"Rambla")</f>
        <v>Rambla</v>
      </c>
      <c r="F2886" s="17" t="str">
        <f>IFERROR(__xludf.DUMMYFUNCTION("""COMPUTED_VALUE"""),"calle 32 #33 -119 local 101 cc living mall brr vene / na / na")</f>
        <v>calle 32 #33 -119 local 101 cc living mall brr vene / na / na</v>
      </c>
      <c r="G2886" s="15" t="str">
        <f>IFERROR(__xludf.DUMMYFUNCTION("""COMPUTED_VALUE"""),"Oliva")</f>
        <v>Oliva</v>
      </c>
      <c r="H2886" s="16">
        <f>IFERROR(__xludf.DUMMYFUNCTION("""COMPUTED_VALUE"""),11430.0)</f>
        <v>11430</v>
      </c>
      <c r="I2886" s="18">
        <f>IFERROR(__xludf.DUMMYFUNCTION("""COMPUTED_VALUE"""),28.0)</f>
        <v>28</v>
      </c>
      <c r="J2886" s="18">
        <f>IFERROR(__xludf.DUMMYFUNCTION("""COMPUTED_VALUE"""),30.0)</f>
        <v>30</v>
      </c>
      <c r="K2886" s="18">
        <f>IFERROR(__xludf.DUMMYFUNCTION("""COMPUTED_VALUE"""),35.0)</f>
        <v>35</v>
      </c>
      <c r="L2886" s="17">
        <f>IFERROR(__xludf.DUMMYFUNCTION("""COMPUTED_VALUE"""),3.022293728E9)</f>
        <v>3022293728</v>
      </c>
      <c r="M2886" s="17" t="str">
        <f>IFERROR(__xludf.DUMMYFUNCTION("""COMPUTED_VALUE"""),"#REF!")</f>
        <v>#REF!</v>
      </c>
      <c r="N2886" s="17"/>
      <c r="O2886" s="17"/>
      <c r="P2886" s="17" t="b">
        <f>IFERROR(__xludf.DUMMYFUNCTION("""COMPUTED_VALUE"""),TRUE)</f>
        <v>1</v>
      </c>
      <c r="Q2886" s="20">
        <f>IFERROR(__xludf.DUMMYFUNCTION("""COMPUTED_VALUE"""),45085.61181472222)</f>
        <v>45085.61181</v>
      </c>
      <c r="R2886" s="21" t="str">
        <f>IFERROR(__xludf.DUMMYFUNCTION("""COMPUTED_VALUE"""),"https://drive.google.com/file/d/1sWgTvfjN49FExcVmeMBX3MbISvU4FSGy/view?usp=drivesdk")</f>
        <v>https://drive.google.com/file/d/1sWgTvfjN49FExcVmeMBX3MbISvU4FSGy/view?usp=drivesdk</v>
      </c>
    </row>
    <row r="2887">
      <c r="A2887" s="17" t="str">
        <f>IFERROR(__xludf.DUMMYFUNCTION("""COMPUTED_VALUE"""),"")</f>
        <v/>
      </c>
      <c r="B2887" s="17" t="str">
        <f>IFERROR(__xludf.DUMMYFUNCTION("""COMPUTED_VALUE"""),"")</f>
        <v/>
      </c>
      <c r="C2887" s="17" t="str">
        <f>IFERROR(__xludf.DUMMYFUNCTION("""COMPUTED_VALUE"""),"")</f>
        <v/>
      </c>
      <c r="D2887" s="17" t="str">
        <f>IFERROR(__xludf.DUMMYFUNCTION("""COMPUTED_VALUE"""),"")</f>
        <v/>
      </c>
      <c r="E2887" s="17" t="str">
        <f>IFERROR(__xludf.DUMMYFUNCTION("""COMPUTED_VALUE"""),"")</f>
        <v/>
      </c>
      <c r="F2887" s="17" t="str">
        <f>IFERROR(__xludf.DUMMYFUNCTION("""COMPUTED_VALUE"""),"")</f>
        <v/>
      </c>
      <c r="G2887" s="17" t="str">
        <f>IFERROR(__xludf.DUMMYFUNCTION("""COMPUTED_VALUE"""),"")</f>
        <v/>
      </c>
      <c r="H2887" s="17" t="str">
        <f>IFERROR(__xludf.DUMMYFUNCTION("""COMPUTED_VALUE"""),"")</f>
        <v/>
      </c>
      <c r="I2887" s="17" t="str">
        <f>IFERROR(__xludf.DUMMYFUNCTION("""COMPUTED_VALUE"""),"")</f>
        <v/>
      </c>
      <c r="J2887" s="17" t="str">
        <f>IFERROR(__xludf.DUMMYFUNCTION("""COMPUTED_VALUE"""),"")</f>
        <v/>
      </c>
      <c r="K2887" s="17" t="str">
        <f>IFERROR(__xludf.DUMMYFUNCTION("""COMPUTED_VALUE"""),"")</f>
        <v/>
      </c>
      <c r="L2887" s="17" t="str">
        <f>IFERROR(__xludf.DUMMYFUNCTION("""COMPUTED_VALUE"""),"")</f>
        <v/>
      </c>
      <c r="M2887" s="17" t="str">
        <f>IFERROR(__xludf.DUMMYFUNCTION("""COMPUTED_VALUE"""),"")</f>
        <v/>
      </c>
      <c r="N2887" s="17" t="str">
        <f>IFERROR(__xludf.DUMMYFUNCTION("""COMPUTED_VALUE"""),"")</f>
        <v/>
      </c>
      <c r="O2887" s="17" t="str">
        <f>IFERROR(__xludf.DUMMYFUNCTION("""COMPUTED_VALUE"""),"")</f>
        <v/>
      </c>
      <c r="P2887" s="17" t="str">
        <f>IFERROR(__xludf.DUMMYFUNCTION("""COMPUTED_VALUE"""),"")</f>
        <v/>
      </c>
      <c r="Q2887" s="17" t="str">
        <f>IFERROR(__xludf.DUMMYFUNCTION("""COMPUTED_VALUE"""),"")</f>
        <v/>
      </c>
      <c r="R2887" s="17" t="str">
        <f>IFERROR(__xludf.DUMMYFUNCTION("""COMPUTED_VALUE"""),"")</f>
        <v/>
      </c>
    </row>
    <row r="2888">
      <c r="A2888" s="15">
        <f>IFERROR(__xludf.DUMMYFUNCTION("""COMPUTED_VALUE"""),45085.0)</f>
        <v>45085</v>
      </c>
      <c r="B2888" s="16" t="str">
        <f>IFERROR(__xludf.DUMMYFUNCTION("""COMPUTED_VALUE"""),"Angie Daniela Meneses ")</f>
        <v>Angie Daniela Meneses </v>
      </c>
      <c r="C2888" s="15" t="str">
        <f>IFERROR(__xludf.DUMMYFUNCTION("""COMPUTED_VALUE"""),"CARTAGENA")</f>
        <v>CARTAGENA</v>
      </c>
      <c r="D2888" s="15" t="str">
        <f>IFERROR(__xludf.DUMMYFUNCTION("""COMPUTED_VALUE"""),"MEDELLÍN")</f>
        <v>MEDELLÍN</v>
      </c>
      <c r="E2888" s="15" t="str">
        <f>IFERROR(__xludf.DUMMYFUNCTION("""COMPUTED_VALUE"""),"Rambla")</f>
        <v>Rambla</v>
      </c>
      <c r="F2888" s="17" t="str">
        <f>IFERROR(__xludf.DUMMYFUNCTION("""COMPUTED_VALUE"""),"barrio bocagrande  av san martin 9 -161 / na / na")</f>
        <v>barrio bocagrande  av san martin 9 -161 / na / na</v>
      </c>
      <c r="G2888" s="15" t="str">
        <f>IFERROR(__xludf.DUMMYFUNCTION("""COMPUTED_VALUE"""),"Salute Mercado")</f>
        <v>Salute Mercado</v>
      </c>
      <c r="H2888" s="16">
        <f>IFERROR(__xludf.DUMMYFUNCTION("""COMPUTED_VALUE"""),11431.0)</f>
        <v>11431</v>
      </c>
      <c r="I2888" s="18">
        <f>IFERROR(__xludf.DUMMYFUNCTION("""COMPUTED_VALUE"""),28.0)</f>
        <v>28</v>
      </c>
      <c r="J2888" s="18">
        <f>IFERROR(__xludf.DUMMYFUNCTION("""COMPUTED_VALUE"""),30.0)</f>
        <v>30</v>
      </c>
      <c r="K2888" s="18">
        <f>IFERROR(__xludf.DUMMYFUNCTION("""COMPUTED_VALUE"""),32.0)</f>
        <v>32</v>
      </c>
      <c r="L2888" s="17">
        <f>IFERROR(__xludf.DUMMYFUNCTION("""COMPUTED_VALUE"""),6.056799772E9)</f>
        <v>6056799772</v>
      </c>
      <c r="M2888" s="17" t="str">
        <f>IFERROR(__xludf.DUMMYFUNCTION("""COMPUTED_VALUE"""),"#REF!")</f>
        <v>#REF!</v>
      </c>
      <c r="N2888" s="17"/>
      <c r="O2888" s="17"/>
      <c r="P2888" s="17" t="b">
        <f>IFERROR(__xludf.DUMMYFUNCTION("""COMPUTED_VALUE"""),FALSE)</f>
        <v>0</v>
      </c>
      <c r="Q2888" s="20" t="str">
        <f>IFERROR(__xludf.DUMMYFUNCTION("""COMPUTED_VALUE"""),"")</f>
        <v/>
      </c>
      <c r="R2888" s="21" t="str">
        <f>IFERROR(__xludf.DUMMYFUNCTION("""COMPUTED_VALUE"""),"https://drive.google.com/file/d/1NKV5KyFJHnNhUCSMHoer8m9LPVv7syKm/view?usp=drivesdk")</f>
        <v>https://drive.google.com/file/d/1NKV5KyFJHnNhUCSMHoer8m9LPVv7syKm/view?usp=drivesdk</v>
      </c>
    </row>
    <row r="2889">
      <c r="A2889" s="15">
        <f>IFERROR(__xludf.DUMMYFUNCTION("""COMPUTED_VALUE"""),45085.0)</f>
        <v>45085</v>
      </c>
      <c r="B2889" s="16" t="str">
        <f>IFERROR(__xludf.DUMMYFUNCTION("""COMPUTED_VALUE"""),"Angie Daniela Meneses ")</f>
        <v>Angie Daniela Meneses </v>
      </c>
      <c r="C2889" s="15" t="str">
        <f>IFERROR(__xludf.DUMMYFUNCTION("""COMPUTED_VALUE"""),"CARTAGENA")</f>
        <v>CARTAGENA</v>
      </c>
      <c r="D2889" s="15" t="str">
        <f>IFERROR(__xludf.DUMMYFUNCTION("""COMPUTED_VALUE"""),"MEDELLÍN")</f>
        <v>MEDELLÍN</v>
      </c>
      <c r="E2889" s="15" t="str">
        <f>IFERROR(__xludf.DUMMYFUNCTION("""COMPUTED_VALUE"""),"Rambla")</f>
        <v>Rambla</v>
      </c>
      <c r="F2889" s="17" t="str">
        <f>IFERROR(__xludf.DUMMYFUNCTION("""COMPUTED_VALUE"""),"CRA 12  5A-09 Apto 2101 Edificio Ponce de León Cartagena / na / na")</f>
        <v>CRA 12  5A-09 Apto 2101 Edificio Ponce de León Cartagena / na / na</v>
      </c>
      <c r="G2889" s="15" t="str">
        <f>IFERROR(__xludf.DUMMYFUNCTION("""COMPUTED_VALUE"""),"Guadalupe Yidios G.")</f>
        <v>Guadalupe Yidios G.</v>
      </c>
      <c r="H2889" s="16">
        <f>IFERROR(__xludf.DUMMYFUNCTION("""COMPUTED_VALUE"""),11432.0)</f>
        <v>11432</v>
      </c>
      <c r="I2889" s="18">
        <f>IFERROR(__xludf.DUMMYFUNCTION("""COMPUTED_VALUE"""),18.0)</f>
        <v>18</v>
      </c>
      <c r="J2889" s="18">
        <f>IFERROR(__xludf.DUMMYFUNCTION("""COMPUTED_VALUE"""),22.0)</f>
        <v>22</v>
      </c>
      <c r="K2889" s="18">
        <f>IFERROR(__xludf.DUMMYFUNCTION("""COMPUTED_VALUE"""),25.0)</f>
        <v>25</v>
      </c>
      <c r="L2889" s="17">
        <f>IFERROR(__xludf.DUMMYFUNCTION("""COMPUTED_VALUE"""),3.157312839E9)</f>
        <v>3157312839</v>
      </c>
      <c r="M2889" s="17" t="str">
        <f>IFERROR(__xludf.DUMMYFUNCTION("""COMPUTED_VALUE"""),"#REF!")</f>
        <v>#REF!</v>
      </c>
      <c r="N2889" s="17"/>
      <c r="O2889" s="17"/>
      <c r="P2889" s="17" t="b">
        <f>IFERROR(__xludf.DUMMYFUNCTION("""COMPUTED_VALUE"""),FALSE)</f>
        <v>0</v>
      </c>
      <c r="Q2889" s="20" t="str">
        <f>IFERROR(__xludf.DUMMYFUNCTION("""COMPUTED_VALUE"""),"")</f>
        <v/>
      </c>
      <c r="R2889" s="21" t="str">
        <f>IFERROR(__xludf.DUMMYFUNCTION("""COMPUTED_VALUE"""),"https://drive.google.com/file/d/1r10syE6aiDUlMiNZCZPArVnFVGMHEMFk/view?usp=drivesdk")</f>
        <v>https://drive.google.com/file/d/1r10syE6aiDUlMiNZCZPArVnFVGMHEMFk/view?usp=drivesdk</v>
      </c>
    </row>
    <row r="2890">
      <c r="A2890" s="17" t="str">
        <f>IFERROR(__xludf.DUMMYFUNCTION("""COMPUTED_VALUE"""),"")</f>
        <v/>
      </c>
      <c r="B2890" s="17" t="str">
        <f>IFERROR(__xludf.DUMMYFUNCTION("""COMPUTED_VALUE"""),"")</f>
        <v/>
      </c>
      <c r="C2890" s="17" t="str">
        <f>IFERROR(__xludf.DUMMYFUNCTION("""COMPUTED_VALUE"""),"")</f>
        <v/>
      </c>
      <c r="D2890" s="17" t="str">
        <f>IFERROR(__xludf.DUMMYFUNCTION("""COMPUTED_VALUE"""),"")</f>
        <v/>
      </c>
      <c r="E2890" s="17" t="str">
        <f>IFERROR(__xludf.DUMMYFUNCTION("""COMPUTED_VALUE"""),"")</f>
        <v/>
      </c>
      <c r="F2890" s="17" t="str">
        <f>IFERROR(__xludf.DUMMYFUNCTION("""COMPUTED_VALUE"""),"")</f>
        <v/>
      </c>
      <c r="G2890" s="17" t="str">
        <f>IFERROR(__xludf.DUMMYFUNCTION("""COMPUTED_VALUE"""),"")</f>
        <v/>
      </c>
      <c r="H2890" s="17" t="str">
        <f>IFERROR(__xludf.DUMMYFUNCTION("""COMPUTED_VALUE"""),"")</f>
        <v/>
      </c>
      <c r="I2890" s="17" t="str">
        <f>IFERROR(__xludf.DUMMYFUNCTION("""COMPUTED_VALUE"""),"")</f>
        <v/>
      </c>
      <c r="J2890" s="17" t="str">
        <f>IFERROR(__xludf.DUMMYFUNCTION("""COMPUTED_VALUE"""),"")</f>
        <v/>
      </c>
      <c r="K2890" s="17" t="str">
        <f>IFERROR(__xludf.DUMMYFUNCTION("""COMPUTED_VALUE"""),"")</f>
        <v/>
      </c>
      <c r="L2890" s="17" t="str">
        <f>IFERROR(__xludf.DUMMYFUNCTION("""COMPUTED_VALUE"""),"")</f>
        <v/>
      </c>
      <c r="M2890" s="17" t="str">
        <f>IFERROR(__xludf.DUMMYFUNCTION("""COMPUTED_VALUE"""),"")</f>
        <v/>
      </c>
      <c r="N2890" s="17" t="str">
        <f>IFERROR(__xludf.DUMMYFUNCTION("""COMPUTED_VALUE"""),"")</f>
        <v/>
      </c>
      <c r="O2890" s="17" t="str">
        <f>IFERROR(__xludf.DUMMYFUNCTION("""COMPUTED_VALUE"""),"")</f>
        <v/>
      </c>
      <c r="P2890" s="17" t="str">
        <f>IFERROR(__xludf.DUMMYFUNCTION("""COMPUTED_VALUE"""),"")</f>
        <v/>
      </c>
      <c r="Q2890" s="17" t="str">
        <f>IFERROR(__xludf.DUMMYFUNCTION("""COMPUTED_VALUE"""),"")</f>
        <v/>
      </c>
      <c r="R2890" s="17" t="str">
        <f>IFERROR(__xludf.DUMMYFUNCTION("""COMPUTED_VALUE"""),"")</f>
        <v/>
      </c>
    </row>
    <row r="2891">
      <c r="A2891" s="15">
        <f>IFERROR(__xludf.DUMMYFUNCTION("""COMPUTED_VALUE"""),45085.0)</f>
        <v>45085</v>
      </c>
      <c r="B2891" s="16" t="str">
        <f>IFERROR(__xludf.DUMMYFUNCTION("""COMPUTED_VALUE"""),"Cesar Barrios")</f>
        <v>Cesar Barrios</v>
      </c>
      <c r="C2891" s="15" t="str">
        <f>IFERROR(__xludf.DUMMYFUNCTION("""COMPUTED_VALUE"""),"BOGOTÁ")</f>
        <v>BOGOTÁ</v>
      </c>
      <c r="D2891" s="15" t="str">
        <f>IFERROR(__xludf.DUMMYFUNCTION("""COMPUTED_VALUE"""),"CALI")</f>
        <v>CALI</v>
      </c>
      <c r="E2891" s="15" t="str">
        <f>IFERROR(__xludf.DUMMYFUNCTION("""COMPUTED_VALUE"""),"Sabor Típico")</f>
        <v>Sabor Típico</v>
      </c>
      <c r="F2891" s="17" t="str">
        <f>IFERROR(__xludf.DUMMYFUNCTION("""COMPUTED_VALUE"""),"Carrera 13a # 91-53 torre alameda, localidad chapinero en bogota apartamento 703  / torre alameda / localidad chapinero")</f>
        <v>Carrera 13a # 91-53 torre alameda, localidad chapinero en bogota apartamento 703  / torre alameda / localidad chapinero</v>
      </c>
      <c r="G2891" s="15" t="str">
        <f>IFERROR(__xludf.DUMMYFUNCTION("""COMPUTED_VALUE"""),"Daniel Murphy Pineda")</f>
        <v>Daniel Murphy Pineda</v>
      </c>
      <c r="H2891" s="16">
        <f>IFERROR(__xludf.DUMMYFUNCTION("""COMPUTED_VALUE"""),11433.0)</f>
        <v>11433</v>
      </c>
      <c r="I2891" s="18">
        <f>IFERROR(__xludf.DUMMYFUNCTION("""COMPUTED_VALUE"""),9.0)</f>
        <v>9</v>
      </c>
      <c r="J2891" s="18">
        <f>IFERROR(__xludf.DUMMYFUNCTION("""COMPUTED_VALUE"""),30.0)</f>
        <v>30</v>
      </c>
      <c r="K2891" s="18">
        <f>IFERROR(__xludf.DUMMYFUNCTION("""COMPUTED_VALUE"""),22.0)</f>
        <v>22</v>
      </c>
      <c r="L2891" s="17">
        <f>IFERROR(__xludf.DUMMYFUNCTION("""COMPUTED_VALUE"""),3.013535094E9)</f>
        <v>3013535094</v>
      </c>
      <c r="M2891" s="17" t="str">
        <f>IFERROR(__xludf.DUMMYFUNCTION("""COMPUTED_VALUE"""),"#REF!")</f>
        <v>#REF!</v>
      </c>
      <c r="N2891" s="17"/>
      <c r="O2891" s="17"/>
      <c r="P2891" s="17" t="b">
        <f>IFERROR(__xludf.DUMMYFUNCTION("""COMPUTED_VALUE"""),FALSE)</f>
        <v>0</v>
      </c>
      <c r="Q2891" s="20" t="str">
        <f>IFERROR(__xludf.DUMMYFUNCTION("""COMPUTED_VALUE"""),"")</f>
        <v/>
      </c>
      <c r="R2891" s="22" t="str">
        <f>IFERROR(__xludf.DUMMYFUNCTION("""COMPUTED_VALUE"""),"")</f>
        <v/>
      </c>
    </row>
    <row r="2892">
      <c r="A2892" s="15">
        <f>IFERROR(__xludf.DUMMYFUNCTION("""COMPUTED_VALUE"""),45085.0)</f>
        <v>45085</v>
      </c>
      <c r="B2892" s="16" t="str">
        <f>IFERROR(__xludf.DUMMYFUNCTION("""COMPUTED_VALUE"""),"Cesar Barrios")</f>
        <v>Cesar Barrios</v>
      </c>
      <c r="C2892" s="15" t="str">
        <f>IFERROR(__xludf.DUMMYFUNCTION("""COMPUTED_VALUE"""),"GIRARDOT")</f>
        <v>GIRARDOT</v>
      </c>
      <c r="D2892" s="15" t="str">
        <f>IFERROR(__xludf.DUMMYFUNCTION("""COMPUTED_VALUE"""),"BOGOTÁ")</f>
        <v>BOGOTÁ</v>
      </c>
      <c r="E2892" s="15" t="str">
        <f>IFERROR(__xludf.DUMMYFUNCTION("""COMPUTED_VALUE"""),"Evamazzita")</f>
        <v>Evamazzita</v>
      </c>
      <c r="F2892" s="17" t="str">
        <f>IFERROR(__xludf.DUMMYFUNCTION("""COMPUTED_VALUE"""),"Mzna i casa 2 piso 3 barrio Ciudad montes / Mzna i casa 2 piso 3  / barrio Ciudad montes")</f>
        <v>Mzna i casa 2 piso 3 barrio Ciudad montes / Mzna i casa 2 piso 3  / barrio Ciudad montes</v>
      </c>
      <c r="G2892" s="15" t="str">
        <f>IFERROR(__xludf.DUMMYFUNCTION("""COMPUTED_VALUE"""),"GABRIELA JARAMILLO")</f>
        <v>GABRIELA JARAMILLO</v>
      </c>
      <c r="H2892" s="16">
        <f>IFERROR(__xludf.DUMMYFUNCTION("""COMPUTED_VALUE"""),11498.0)</f>
        <v>11498</v>
      </c>
      <c r="I2892" s="18">
        <f>IFERROR(__xludf.DUMMYFUNCTION("""COMPUTED_VALUE"""),3.0)</f>
        <v>3</v>
      </c>
      <c r="J2892" s="18">
        <f>IFERROR(__xludf.DUMMYFUNCTION("""COMPUTED_VALUE"""),20.0)</f>
        <v>20</v>
      </c>
      <c r="K2892" s="18">
        <f>IFERROR(__xludf.DUMMYFUNCTION("""COMPUTED_VALUE"""),15.0)</f>
        <v>15</v>
      </c>
      <c r="L2892" s="17">
        <f>IFERROR(__xludf.DUMMYFUNCTION("""COMPUTED_VALUE"""),3.042180072E9)</f>
        <v>3042180072</v>
      </c>
      <c r="M2892" s="17" t="str">
        <f>IFERROR(__xludf.DUMMYFUNCTION("""COMPUTED_VALUE"""),"#REF!")</f>
        <v>#REF!</v>
      </c>
      <c r="N2892" s="17"/>
      <c r="O2892" s="17"/>
      <c r="P2892" s="17" t="b">
        <f>IFERROR(__xludf.DUMMYFUNCTION("""COMPUTED_VALUE"""),FALSE)</f>
        <v>0</v>
      </c>
      <c r="Q2892" s="20" t="str">
        <f>IFERROR(__xludf.DUMMYFUNCTION("""COMPUTED_VALUE"""),"")</f>
        <v/>
      </c>
      <c r="R2892" s="22" t="str">
        <f>IFERROR(__xludf.DUMMYFUNCTION("""COMPUTED_VALUE"""),"")</f>
        <v/>
      </c>
    </row>
    <row r="2893">
      <c r="A2893" s="15">
        <f>IFERROR(__xludf.DUMMYFUNCTION("""COMPUTED_VALUE"""),45085.0)</f>
        <v>45085</v>
      </c>
      <c r="B2893" s="16" t="str">
        <f>IFERROR(__xludf.DUMMYFUNCTION("""COMPUTED_VALUE"""),"Cesar Barrios")</f>
        <v>Cesar Barrios</v>
      </c>
      <c r="C2893" s="15" t="str">
        <f>IFERROR(__xludf.DUMMYFUNCTION("""COMPUTED_VALUE"""),"POPAYAN")</f>
        <v>POPAYAN</v>
      </c>
      <c r="D2893" s="15" t="str">
        <f>IFERROR(__xludf.DUMMYFUNCTION("""COMPUTED_VALUE"""),"BOGOTÁ")</f>
        <v>BOGOTÁ</v>
      </c>
      <c r="E2893" s="15" t="str">
        <f>IFERROR(__xludf.DUMMYFUNCTION("""COMPUTED_VALUE"""),"Top Spun")</f>
        <v>Top Spun</v>
      </c>
      <c r="F2893" s="17" t="str">
        <f>IFERROR(__xludf.DUMMYFUNCTION("""COMPUTED_VALUE"""),"Calle 80 Norte # 7 - 76 / casa 38, Conjunto Sendero de Eucaliptos / Popayán, Cauca")</f>
        <v>Calle 80 Norte # 7 - 76 / casa 38, Conjunto Sendero de Eucaliptos / Popayán, Cauca</v>
      </c>
      <c r="G2893" s="15" t="str">
        <f>IFERROR(__xludf.DUMMYFUNCTION("""COMPUTED_VALUE"""),"MARIA DEL ROSARIO GARZON")</f>
        <v>MARIA DEL ROSARIO GARZON</v>
      </c>
      <c r="H2893" s="16">
        <f>IFERROR(__xludf.DUMMYFUNCTION("""COMPUTED_VALUE"""),11435.0)</f>
        <v>11435</v>
      </c>
      <c r="I2893" s="18">
        <f>IFERROR(__xludf.DUMMYFUNCTION("""COMPUTED_VALUE"""),20.0)</f>
        <v>20</v>
      </c>
      <c r="J2893" s="18">
        <f>IFERROR(__xludf.DUMMYFUNCTION("""COMPUTED_VALUE"""),10.0)</f>
        <v>10</v>
      </c>
      <c r="K2893" s="18">
        <f>IFERROR(__xludf.DUMMYFUNCTION("""COMPUTED_VALUE"""),40.0)</f>
        <v>40</v>
      </c>
      <c r="L2893" s="17">
        <f>IFERROR(__xludf.DUMMYFUNCTION("""COMPUTED_VALUE"""),3.017486069E9)</f>
        <v>3017486069</v>
      </c>
      <c r="M2893" s="17" t="str">
        <f>IFERROR(__xludf.DUMMYFUNCTION("""COMPUTED_VALUE"""),"#REF!")</f>
        <v>#REF!</v>
      </c>
      <c r="N2893" s="17"/>
      <c r="O2893" s="17"/>
      <c r="P2893" s="17" t="b">
        <f>IFERROR(__xludf.DUMMYFUNCTION("""COMPUTED_VALUE"""),FALSE)</f>
        <v>0</v>
      </c>
      <c r="Q2893" s="20" t="str">
        <f>IFERROR(__xludf.DUMMYFUNCTION("""COMPUTED_VALUE"""),"")</f>
        <v/>
      </c>
      <c r="R2893" s="22" t="str">
        <f>IFERROR(__xludf.DUMMYFUNCTION("""COMPUTED_VALUE"""),"")</f>
        <v/>
      </c>
    </row>
    <row r="2894">
      <c r="A2894" s="17" t="str">
        <f>IFERROR(__xludf.DUMMYFUNCTION("""COMPUTED_VALUE"""),"")</f>
        <v/>
      </c>
      <c r="B2894" s="17" t="str">
        <f>IFERROR(__xludf.DUMMYFUNCTION("""COMPUTED_VALUE"""),"")</f>
        <v/>
      </c>
      <c r="C2894" s="17" t="str">
        <f>IFERROR(__xludf.DUMMYFUNCTION("""COMPUTED_VALUE"""),"")</f>
        <v/>
      </c>
      <c r="D2894" s="17" t="str">
        <f>IFERROR(__xludf.DUMMYFUNCTION("""COMPUTED_VALUE"""),"")</f>
        <v/>
      </c>
      <c r="E2894" s="17" t="str">
        <f>IFERROR(__xludf.DUMMYFUNCTION("""COMPUTED_VALUE"""),"")</f>
        <v/>
      </c>
      <c r="F2894" s="17" t="str">
        <f>IFERROR(__xludf.DUMMYFUNCTION("""COMPUTED_VALUE"""),"")</f>
        <v/>
      </c>
      <c r="G2894" s="17" t="str">
        <f>IFERROR(__xludf.DUMMYFUNCTION("""COMPUTED_VALUE"""),"")</f>
        <v/>
      </c>
      <c r="H2894" s="17" t="str">
        <f>IFERROR(__xludf.DUMMYFUNCTION("""COMPUTED_VALUE"""),"")</f>
        <v/>
      </c>
      <c r="I2894" s="17" t="str">
        <f>IFERROR(__xludf.DUMMYFUNCTION("""COMPUTED_VALUE"""),"")</f>
        <v/>
      </c>
      <c r="J2894" s="17" t="str">
        <f>IFERROR(__xludf.DUMMYFUNCTION("""COMPUTED_VALUE"""),"")</f>
        <v/>
      </c>
      <c r="K2894" s="17" t="str">
        <f>IFERROR(__xludf.DUMMYFUNCTION("""COMPUTED_VALUE"""),"")</f>
        <v/>
      </c>
      <c r="L2894" s="17" t="str">
        <f>IFERROR(__xludf.DUMMYFUNCTION("""COMPUTED_VALUE"""),"")</f>
        <v/>
      </c>
      <c r="M2894" s="17" t="str">
        <f>IFERROR(__xludf.DUMMYFUNCTION("""COMPUTED_VALUE"""),"")</f>
        <v/>
      </c>
      <c r="N2894" s="17" t="str">
        <f>IFERROR(__xludf.DUMMYFUNCTION("""COMPUTED_VALUE"""),"")</f>
        <v/>
      </c>
      <c r="O2894" s="17" t="str">
        <f>IFERROR(__xludf.DUMMYFUNCTION("""COMPUTED_VALUE"""),"")</f>
        <v/>
      </c>
      <c r="P2894" s="17" t="str">
        <f>IFERROR(__xludf.DUMMYFUNCTION("""COMPUTED_VALUE"""),"")</f>
        <v/>
      </c>
      <c r="Q2894" s="17" t="str">
        <f>IFERROR(__xludf.DUMMYFUNCTION("""COMPUTED_VALUE"""),"")</f>
        <v/>
      </c>
      <c r="R2894" s="17" t="str">
        <f>IFERROR(__xludf.DUMMYFUNCTION("""COMPUTED_VALUE"""),"")</f>
        <v/>
      </c>
    </row>
    <row r="2895">
      <c r="A2895" s="15">
        <f>IFERROR(__xludf.DUMMYFUNCTION("""COMPUTED_VALUE"""),45085.0)</f>
        <v>45085</v>
      </c>
      <c r="B2895" s="16" t="str">
        <f>IFERROR(__xludf.DUMMYFUNCTION("""COMPUTED_VALUE"""),"David Sanmartin Bello")</f>
        <v>David Sanmartin Bello</v>
      </c>
      <c r="C2895" s="15" t="str">
        <f>IFERROR(__xludf.DUMMYFUNCTION("""COMPUTED_VALUE"""),"BARRANQUILLA")</f>
        <v>BARRANQUILLA</v>
      </c>
      <c r="D2895" s="15" t="str">
        <f>IFERROR(__xludf.DUMMYFUNCTION("""COMPUTED_VALUE"""),"MANIZALES")</f>
        <v>MANIZALES</v>
      </c>
      <c r="E2895" s="15" t="str">
        <f>IFERROR(__xludf.DUMMYFUNCTION("""COMPUTED_VALUE"""),"Congelados Típicos")</f>
        <v>Congelados Típicos</v>
      </c>
      <c r="F2895" s="17" t="str">
        <f>IFERROR(__xludf.DUMMYFUNCTION("""COMPUTED_VALUE"""),"envia colvanes Barranquilla / centro de acopio dando lora  / envia colvanes Barranquilla")</f>
        <v>envia colvanes Barranquilla / centro de acopio dando lora  / envia colvanes Barranquilla</v>
      </c>
      <c r="G2895" s="15" t="str">
        <f>IFERROR(__xludf.DUMMYFUNCTION("""COMPUTED_VALUE"""),"Mateo D Rabal - Congelados típicos")</f>
        <v>Mateo D Rabal - Congelados típicos</v>
      </c>
      <c r="H2895" s="16">
        <f>IFERROR(__xludf.DUMMYFUNCTION("""COMPUTED_VALUE"""),11400.0)</f>
        <v>11400</v>
      </c>
      <c r="I2895" s="18">
        <f>IFERROR(__xludf.DUMMYFUNCTION("""COMPUTED_VALUE"""),29.0)</f>
        <v>29</v>
      </c>
      <c r="J2895" s="18">
        <f>IFERROR(__xludf.DUMMYFUNCTION("""COMPUTED_VALUE"""),55.0)</f>
        <v>55</v>
      </c>
      <c r="K2895" s="18">
        <f>IFERROR(__xludf.DUMMYFUNCTION("""COMPUTED_VALUE"""),45.0)</f>
        <v>45</v>
      </c>
      <c r="L2895" s="17">
        <f>IFERROR(__xludf.DUMMYFUNCTION("""COMPUTED_VALUE"""),3.113744276E9)</f>
        <v>3113744276</v>
      </c>
      <c r="M2895" s="17" t="str">
        <f>IFERROR(__xludf.DUMMYFUNCTION("""COMPUTED_VALUE"""),"#REF!")</f>
        <v>#REF!</v>
      </c>
      <c r="N2895" s="17"/>
      <c r="O2895" s="17"/>
      <c r="P2895" s="17" t="b">
        <f>IFERROR(__xludf.DUMMYFUNCTION("""COMPUTED_VALUE"""),FALSE)</f>
        <v>0</v>
      </c>
      <c r="Q2895" s="20" t="str">
        <f>IFERROR(__xludf.DUMMYFUNCTION("""COMPUTED_VALUE"""),"")</f>
        <v/>
      </c>
      <c r="R2895" s="21" t="str">
        <f>IFERROR(__xludf.DUMMYFUNCTION("""COMPUTED_VALUE"""),"https://drive.google.com/file/d/1h5NWXXvWLxplguJYiyw1xynAReWsJSKl/view?usp=drivesdk")</f>
        <v>https://drive.google.com/file/d/1h5NWXXvWLxplguJYiyw1xynAReWsJSKl/view?usp=drivesdk</v>
      </c>
    </row>
    <row r="2896">
      <c r="A2896" s="15">
        <f>IFERROR(__xludf.DUMMYFUNCTION("""COMPUTED_VALUE"""),45085.0)</f>
        <v>45085</v>
      </c>
      <c r="B2896" s="16" t="str">
        <f>IFERROR(__xludf.DUMMYFUNCTION("""COMPUTED_VALUE"""),"David Sanmartin Bello")</f>
        <v>David Sanmartin Bello</v>
      </c>
      <c r="C2896" s="15" t="str">
        <f>IFERROR(__xludf.DUMMYFUNCTION("""COMPUTED_VALUE"""),"CARTAGENA")</f>
        <v>CARTAGENA</v>
      </c>
      <c r="D2896" s="15" t="str">
        <f>IFERROR(__xludf.DUMMYFUNCTION("""COMPUTED_VALUE"""),"BOGOTÁ")</f>
        <v>BOGOTÁ</v>
      </c>
      <c r="E2896" s="15" t="str">
        <f>IFERROR(__xludf.DUMMYFUNCTION("""COMPUTED_VALUE"""),"SISU PARTNERS SAS")</f>
        <v>SISU PARTNERS SAS</v>
      </c>
      <c r="F2896" s="17" t="str">
        <f>IFERROR(__xludf.DUMMYFUNCTION("""COMPUTED_VALUE"""),"Carrera 7 no. 38-48 local 3 / Local Mary &amp; George")</f>
        <v>Carrera 7 no. 38-48 local 3 / Local Mary &amp; George</v>
      </c>
      <c r="G2896" s="15" t="str">
        <f>IFERROR(__xludf.DUMMYFUNCTION("""COMPUTED_VALUE"""),"Carolyne Bailey")</f>
        <v>Carolyne Bailey</v>
      </c>
      <c r="H2896" s="16">
        <f>IFERROR(__xludf.DUMMYFUNCTION("""COMPUTED_VALUE"""),11487.0)</f>
        <v>11487</v>
      </c>
      <c r="I2896" s="18" t="str">
        <f>IFERROR(__xludf.DUMMYFUNCTION("""COMPUTED_VALUE"""),"52.5")</f>
        <v>52.5</v>
      </c>
      <c r="J2896" s="18">
        <f>IFERROR(__xludf.DUMMYFUNCTION("""COMPUTED_VALUE"""),45.0)</f>
        <v>45</v>
      </c>
      <c r="K2896" s="18">
        <f>IFERROR(__xludf.DUMMYFUNCTION("""COMPUTED_VALUE"""),55.0)</f>
        <v>55</v>
      </c>
      <c r="L2896" s="17">
        <f>IFERROR(__xludf.DUMMYFUNCTION("""COMPUTED_VALUE"""),3.105510381E9)</f>
        <v>3105510381</v>
      </c>
      <c r="M2896" s="17" t="str">
        <f>IFERROR(__xludf.DUMMYFUNCTION("""COMPUTED_VALUE"""),"#REF!")</f>
        <v>#REF!</v>
      </c>
      <c r="N2896" s="17"/>
      <c r="O2896" s="17"/>
      <c r="P2896" s="17" t="b">
        <f>IFERROR(__xludf.DUMMYFUNCTION("""COMPUTED_VALUE"""),FALSE)</f>
        <v>0</v>
      </c>
      <c r="Q2896" s="20" t="str">
        <f>IFERROR(__xludf.DUMMYFUNCTION("""COMPUTED_VALUE"""),"")</f>
        <v/>
      </c>
      <c r="R2896" s="21" t="str">
        <f>IFERROR(__xludf.DUMMYFUNCTION("""COMPUTED_VALUE"""),"https://drive.google.com/file/d/1HKiiQ7KQ7TEe-VaWlVVNVgHw9YGeCgSH/view?usp=drivesdk")</f>
        <v>https://drive.google.com/file/d/1HKiiQ7KQ7TEe-VaWlVVNVgHw9YGeCgSH/view?usp=drivesdk</v>
      </c>
    </row>
    <row r="2897">
      <c r="A2897" s="15">
        <f>IFERROR(__xludf.DUMMYFUNCTION("""COMPUTED_VALUE"""),45085.0)</f>
        <v>45085</v>
      </c>
      <c r="B2897" s="16" t="str">
        <f>IFERROR(__xludf.DUMMYFUNCTION("""COMPUTED_VALUE"""),"David Sanmartin Bello")</f>
        <v>David Sanmartin Bello</v>
      </c>
      <c r="C2897" s="15" t="str">
        <f>IFERROR(__xludf.DUMMYFUNCTION("""COMPUTED_VALUE"""),"CARTAGENA")</f>
        <v>CARTAGENA</v>
      </c>
      <c r="D2897" s="15" t="str">
        <f>IFERROR(__xludf.DUMMYFUNCTION("""COMPUTED_VALUE"""),"MEDELLÍN")</f>
        <v>MEDELLÍN</v>
      </c>
      <c r="E2897" s="15" t="str">
        <f>IFERROR(__xludf.DUMMYFUNCTION("""COMPUTED_VALUE"""),"Baby Chef")</f>
        <v>Baby Chef</v>
      </c>
      <c r="F2897" s="17" t="str">
        <f>IFERROR(__xludf.DUMMYFUNCTION("""COMPUTED_VALUE"""),"BARRIO JUNIN MZ J LOTE 3  / CALLE PRIMERO DE MAYO  / CARTAGENA")</f>
        <v>BARRIO JUNIN MZ J LOTE 3  / CALLE PRIMERO DE MAYO  / CARTAGENA</v>
      </c>
      <c r="G2897" s="15" t="str">
        <f>IFERROR(__xludf.DUMMYFUNCTION("""COMPUTED_VALUE"""),"YURY PAOLA RAMIREZ")</f>
        <v>YURY PAOLA RAMIREZ</v>
      </c>
      <c r="H2897" s="16">
        <f>IFERROR(__xludf.DUMMYFUNCTION("""COMPUTED_VALUE"""),11428.0)</f>
        <v>11428</v>
      </c>
      <c r="I2897" s="18">
        <f>IFERROR(__xludf.DUMMYFUNCTION("""COMPUTED_VALUE"""),8.0)</f>
        <v>8</v>
      </c>
      <c r="J2897" s="18">
        <f>IFERROR(__xludf.DUMMYFUNCTION("""COMPUTED_VALUE"""),16.0)</f>
        <v>16</v>
      </c>
      <c r="K2897" s="18">
        <f>IFERROR(__xludf.DUMMYFUNCTION("""COMPUTED_VALUE"""),20.0)</f>
        <v>20</v>
      </c>
      <c r="L2897" s="17">
        <f>IFERROR(__xludf.DUMMYFUNCTION("""COMPUTED_VALUE"""),3.01771961E9)</f>
        <v>3017719610</v>
      </c>
      <c r="M2897" s="17" t="str">
        <f>IFERROR(__xludf.DUMMYFUNCTION("""COMPUTED_VALUE"""),"#REF!")</f>
        <v>#REF!</v>
      </c>
      <c r="N2897" s="17"/>
      <c r="O2897" s="17"/>
      <c r="P2897" s="17" t="b">
        <f>IFERROR(__xludf.DUMMYFUNCTION("""COMPUTED_VALUE"""),FALSE)</f>
        <v>0</v>
      </c>
      <c r="Q2897" s="20" t="str">
        <f>IFERROR(__xludf.DUMMYFUNCTION("""COMPUTED_VALUE"""),"")</f>
        <v/>
      </c>
      <c r="R2897" s="21" t="str">
        <f>IFERROR(__xludf.DUMMYFUNCTION("""COMPUTED_VALUE"""),"https://drive.google.com/file/d/1Fw-0jrL6L7X7Jjg-PIJiHrbmg0teihdI/view?usp=drivesdk")</f>
        <v>https://drive.google.com/file/d/1Fw-0jrL6L7X7Jjg-PIJiHrbmg0teihdI/view?usp=drivesdk</v>
      </c>
    </row>
    <row r="2898">
      <c r="A2898" s="15">
        <f>IFERROR(__xludf.DUMMYFUNCTION("""COMPUTED_VALUE"""),45085.0)</f>
        <v>45085</v>
      </c>
      <c r="B2898" s="16" t="str">
        <f>IFERROR(__xludf.DUMMYFUNCTION("""COMPUTED_VALUE"""),"David Sanmartin Bello")</f>
        <v>David Sanmartin Bello</v>
      </c>
      <c r="C2898" s="15" t="str">
        <f>IFERROR(__xludf.DUMMYFUNCTION("""COMPUTED_VALUE"""),"CARTAGENA")</f>
        <v>CARTAGENA</v>
      </c>
      <c r="D2898" s="15" t="str">
        <f>IFERROR(__xludf.DUMMYFUNCTION("""COMPUTED_VALUE"""),"MEDELLÍN")</f>
        <v>MEDELLÍN</v>
      </c>
      <c r="E2898" s="15" t="str">
        <f>IFERROR(__xludf.DUMMYFUNCTION("""COMPUTED_VALUE"""),"Baby Chef")</f>
        <v>Baby Chef</v>
      </c>
      <c r="F2898" s="17" t="str">
        <f>IFERROR(__xludf.DUMMYFUNCTION("""COMPUTED_VALUE"""),"la concepcion, calle 3 a no 1 - 45 barrio la concepcion / a dos casas del parque de la concepcion  / cartagena")</f>
        <v>la concepcion, calle 3 a no 1 - 45 barrio la concepcion / a dos casas del parque de la concepcion  / cartagena</v>
      </c>
      <c r="G2898" s="15" t="str">
        <f>IFERROR(__xludf.DUMMYFUNCTION("""COMPUTED_VALUE"""),"Enith Rodriguez")</f>
        <v>Enith Rodriguez</v>
      </c>
      <c r="H2898" s="16">
        <f>IFERROR(__xludf.DUMMYFUNCTION("""COMPUTED_VALUE"""),11426.0)</f>
        <v>11426</v>
      </c>
      <c r="I2898" s="18">
        <f>IFERROR(__xludf.DUMMYFUNCTION("""COMPUTED_VALUE"""),8.0)</f>
        <v>8</v>
      </c>
      <c r="J2898" s="18">
        <f>IFERROR(__xludf.DUMMYFUNCTION("""COMPUTED_VALUE"""),16.0)</f>
        <v>16</v>
      </c>
      <c r="K2898" s="18">
        <f>IFERROR(__xludf.DUMMYFUNCTION("""COMPUTED_VALUE"""),20.0)</f>
        <v>20</v>
      </c>
      <c r="L2898" s="17">
        <f>IFERROR(__xludf.DUMMYFUNCTION("""COMPUTED_VALUE"""),3.155388271E9)</f>
        <v>3155388271</v>
      </c>
      <c r="M2898" s="17" t="str">
        <f>IFERROR(__xludf.DUMMYFUNCTION("""COMPUTED_VALUE"""),"#REF!")</f>
        <v>#REF!</v>
      </c>
      <c r="N2898" s="17"/>
      <c r="O2898" s="17"/>
      <c r="P2898" s="17" t="b">
        <f>IFERROR(__xludf.DUMMYFUNCTION("""COMPUTED_VALUE"""),FALSE)</f>
        <v>0</v>
      </c>
      <c r="Q2898" s="20" t="str">
        <f>IFERROR(__xludf.DUMMYFUNCTION("""COMPUTED_VALUE"""),"")</f>
        <v/>
      </c>
      <c r="R2898" s="21" t="str">
        <f>IFERROR(__xludf.DUMMYFUNCTION("""COMPUTED_VALUE"""),"https://drive.google.com/file/d/1_15QES8XQvGyjXHdW762uCXXCJXqXlb1/view?usp=drivesdk")</f>
        <v>https://drive.google.com/file/d/1_15QES8XQvGyjXHdW762uCXXCJXqXlb1/view?usp=drivesdk</v>
      </c>
    </row>
    <row r="2899">
      <c r="A2899" s="15">
        <f>IFERROR(__xludf.DUMMYFUNCTION("""COMPUTED_VALUE"""),45085.0)</f>
        <v>45085</v>
      </c>
      <c r="B2899" s="16" t="str">
        <f>IFERROR(__xludf.DUMMYFUNCTION("""COMPUTED_VALUE"""),"David Sanmartin Bello")</f>
        <v>David Sanmartin Bello</v>
      </c>
      <c r="C2899" s="15" t="str">
        <f>IFERROR(__xludf.DUMMYFUNCTION("""COMPUTED_VALUE"""),"CARTAGENA")</f>
        <v>CARTAGENA</v>
      </c>
      <c r="D2899" s="15" t="str">
        <f>IFERROR(__xludf.DUMMYFUNCTION("""COMPUTED_VALUE"""),"MEDELLÍN")</f>
        <v>MEDELLÍN</v>
      </c>
      <c r="E2899" s="15" t="str">
        <f>IFERROR(__xludf.DUMMYFUNCTION("""COMPUTED_VALUE"""),"Baby Chef")</f>
        <v>Baby Chef</v>
      </c>
      <c r="F2899" s="17" t="str">
        <f>IFERROR(__xludf.DUMMYFUNCTION("""COMPUTED_VALUE"""),"TV 78 NO 127 - 315  / MANZANA MF 23  / PARQUES DE BOLIVAR 3, CASA 6")</f>
        <v>TV 78 NO 127 - 315  / MANZANA MF 23  / PARQUES DE BOLIVAR 3, CASA 6</v>
      </c>
      <c r="G2899" s="15" t="str">
        <f>IFERROR(__xludf.DUMMYFUNCTION("""COMPUTED_VALUE"""),"Libis Acevedo")</f>
        <v>Libis Acevedo</v>
      </c>
      <c r="H2899" s="16">
        <f>IFERROR(__xludf.DUMMYFUNCTION("""COMPUTED_VALUE"""),11427.0)</f>
        <v>11427</v>
      </c>
      <c r="I2899" s="18">
        <f>IFERROR(__xludf.DUMMYFUNCTION("""COMPUTED_VALUE"""),8.0)</f>
        <v>8</v>
      </c>
      <c r="J2899" s="18">
        <f>IFERROR(__xludf.DUMMYFUNCTION("""COMPUTED_VALUE"""),16.0)</f>
        <v>16</v>
      </c>
      <c r="K2899" s="18">
        <f>IFERROR(__xludf.DUMMYFUNCTION("""COMPUTED_VALUE"""),20.0)</f>
        <v>20</v>
      </c>
      <c r="L2899" s="17">
        <f>IFERROR(__xludf.DUMMYFUNCTION("""COMPUTED_VALUE"""),3.122027581E9)</f>
        <v>3122027581</v>
      </c>
      <c r="M2899" s="17" t="str">
        <f>IFERROR(__xludf.DUMMYFUNCTION("""COMPUTED_VALUE"""),"#REF!")</f>
        <v>#REF!</v>
      </c>
      <c r="N2899" s="17"/>
      <c r="O2899" s="17"/>
      <c r="P2899" s="17" t="b">
        <f>IFERROR(__xludf.DUMMYFUNCTION("""COMPUTED_VALUE"""),FALSE)</f>
        <v>0</v>
      </c>
      <c r="Q2899" s="20" t="str">
        <f>IFERROR(__xludf.DUMMYFUNCTION("""COMPUTED_VALUE"""),"")</f>
        <v/>
      </c>
      <c r="R2899" s="21" t="str">
        <f>IFERROR(__xludf.DUMMYFUNCTION("""COMPUTED_VALUE"""),"https://drive.google.com/file/d/1DuazoxxZVQTRjk1NSsYnLJBOedB-iSBL/view?usp=drivesdk")</f>
        <v>https://drive.google.com/file/d/1DuazoxxZVQTRjk1NSsYnLJBOedB-iSBL/view?usp=drivesdk</v>
      </c>
    </row>
    <row r="2900">
      <c r="A2900" s="17" t="str">
        <f>IFERROR(__xludf.DUMMYFUNCTION("""COMPUTED_VALUE"""),"")</f>
        <v/>
      </c>
      <c r="B2900" s="17" t="str">
        <f>IFERROR(__xludf.DUMMYFUNCTION("""COMPUTED_VALUE"""),"")</f>
        <v/>
      </c>
      <c r="C2900" s="17" t="str">
        <f>IFERROR(__xludf.DUMMYFUNCTION("""COMPUTED_VALUE"""),"")</f>
        <v/>
      </c>
      <c r="D2900" s="17" t="str">
        <f>IFERROR(__xludf.DUMMYFUNCTION("""COMPUTED_VALUE"""),"")</f>
        <v/>
      </c>
      <c r="E2900" s="17" t="str">
        <f>IFERROR(__xludf.DUMMYFUNCTION("""COMPUTED_VALUE"""),"")</f>
        <v/>
      </c>
      <c r="F2900" s="17" t="str">
        <f>IFERROR(__xludf.DUMMYFUNCTION("""COMPUTED_VALUE"""),"")</f>
        <v/>
      </c>
      <c r="G2900" s="17" t="str">
        <f>IFERROR(__xludf.DUMMYFUNCTION("""COMPUTED_VALUE"""),"")</f>
        <v/>
      </c>
      <c r="H2900" s="17" t="str">
        <f>IFERROR(__xludf.DUMMYFUNCTION("""COMPUTED_VALUE"""),"")</f>
        <v/>
      </c>
      <c r="I2900" s="17" t="str">
        <f>IFERROR(__xludf.DUMMYFUNCTION("""COMPUTED_VALUE"""),"")</f>
        <v/>
      </c>
      <c r="J2900" s="17" t="str">
        <f>IFERROR(__xludf.DUMMYFUNCTION("""COMPUTED_VALUE"""),"")</f>
        <v/>
      </c>
      <c r="K2900" s="17" t="str">
        <f>IFERROR(__xludf.DUMMYFUNCTION("""COMPUTED_VALUE"""),"")</f>
        <v/>
      </c>
      <c r="L2900" s="17" t="str">
        <f>IFERROR(__xludf.DUMMYFUNCTION("""COMPUTED_VALUE"""),"")</f>
        <v/>
      </c>
      <c r="M2900" s="17" t="str">
        <f>IFERROR(__xludf.DUMMYFUNCTION("""COMPUTED_VALUE"""),"")</f>
        <v/>
      </c>
      <c r="N2900" s="17" t="str">
        <f>IFERROR(__xludf.DUMMYFUNCTION("""COMPUTED_VALUE"""),"")</f>
        <v/>
      </c>
      <c r="O2900" s="17" t="str">
        <f>IFERROR(__xludf.DUMMYFUNCTION("""COMPUTED_VALUE"""),"")</f>
        <v/>
      </c>
      <c r="P2900" s="17" t="str">
        <f>IFERROR(__xludf.DUMMYFUNCTION("""COMPUTED_VALUE"""),"")</f>
        <v/>
      </c>
      <c r="Q2900" s="17" t="str">
        <f>IFERROR(__xludf.DUMMYFUNCTION("""COMPUTED_VALUE"""),"")</f>
        <v/>
      </c>
      <c r="R2900" s="17" t="str">
        <f>IFERROR(__xludf.DUMMYFUNCTION("""COMPUTED_VALUE"""),"")</f>
        <v/>
      </c>
    </row>
    <row r="2901">
      <c r="A2901" s="15">
        <f>IFERROR(__xludf.DUMMYFUNCTION("""COMPUTED_VALUE"""),45085.0)</f>
        <v>45085</v>
      </c>
      <c r="B2901" s="16" t="str">
        <f>IFERROR(__xludf.DUMMYFUNCTION("""COMPUTED_VALUE"""),"Envia")</f>
        <v>Envia</v>
      </c>
      <c r="C2901" s="15" t="str">
        <f>IFERROR(__xludf.DUMMYFUNCTION("""COMPUTED_VALUE"""),"BARRANQUILLA")</f>
        <v>BARRANQUILLA</v>
      </c>
      <c r="D2901" s="15" t="str">
        <f>IFERROR(__xludf.DUMMYFUNCTION("""COMPUTED_VALUE"""),"MANIZALES")</f>
        <v>MANIZALES</v>
      </c>
      <c r="E2901" s="15" t="str">
        <f>IFERROR(__xludf.DUMMYFUNCTION("""COMPUTED_VALUE"""),"Congelados Típicos")</f>
        <v>Congelados Típicos</v>
      </c>
      <c r="F2901" s="17" t="str">
        <f>IFERROR(__xludf.DUMMYFUNCTION("""COMPUTED_VALUE"""),"envia colvanes Barranquilla / dando lora centro de acopio  / envia collantes barranquilla")</f>
        <v>envia colvanes Barranquilla / dando lora centro de acopio  / envia collantes barranquilla</v>
      </c>
      <c r="G2901" s="15" t="str">
        <f>IFERROR(__xludf.DUMMYFUNCTION("""COMPUTED_VALUE"""),"Mateo D Rabal - CONGELADOS TIPICOS")</f>
        <v>Mateo D Rabal - CONGELADOS TIPICOS</v>
      </c>
      <c r="H2901" s="16">
        <f>IFERROR(__xludf.DUMMYFUNCTION("""COMPUTED_VALUE"""),11399.0)</f>
        <v>11399</v>
      </c>
      <c r="I2901" s="18" t="str">
        <f>IFERROR(__xludf.DUMMYFUNCTION("""COMPUTED_VALUE"""),"52.5")</f>
        <v>52.5</v>
      </c>
      <c r="J2901" s="18">
        <f>IFERROR(__xludf.DUMMYFUNCTION("""COMPUTED_VALUE"""),55.0)</f>
        <v>55</v>
      </c>
      <c r="K2901" s="18">
        <f>IFERROR(__xludf.DUMMYFUNCTION("""COMPUTED_VALUE"""),45.0)</f>
        <v>45</v>
      </c>
      <c r="L2901" s="17">
        <f>IFERROR(__xludf.DUMMYFUNCTION("""COMPUTED_VALUE"""),3.113744276E9)</f>
        <v>3113744276</v>
      </c>
      <c r="M2901" s="17" t="str">
        <f>IFERROR(__xludf.DUMMYFUNCTION("""COMPUTED_VALUE"""),"#REF!")</f>
        <v>#REF!</v>
      </c>
      <c r="N2901" s="17"/>
      <c r="O2901" s="17"/>
      <c r="P2901" s="17" t="b">
        <f>IFERROR(__xludf.DUMMYFUNCTION("""COMPUTED_VALUE"""),TRUE)</f>
        <v>1</v>
      </c>
      <c r="Q2901" s="20">
        <f>IFERROR(__xludf.DUMMYFUNCTION("""COMPUTED_VALUE"""),45085.71514112268)</f>
        <v>45085.71514</v>
      </c>
      <c r="R2901" s="21" t="str">
        <f>IFERROR(__xludf.DUMMYFUNCTION("""COMPUTED_VALUE"""),"https://drive.google.com/file/d/1SbEk79XLzqonuq_fRTJEZA2Z7Oi5Qcey/view?usp=drivesdk")</f>
        <v>https://drive.google.com/file/d/1SbEk79XLzqonuq_fRTJEZA2Z7Oi5Qcey/view?usp=drivesdk</v>
      </c>
    </row>
    <row r="2902">
      <c r="A2902" s="15">
        <f>IFERROR(__xludf.DUMMYFUNCTION("""COMPUTED_VALUE"""),45085.0)</f>
        <v>45085</v>
      </c>
      <c r="B2902" s="16" t="str">
        <f>IFERROR(__xludf.DUMMYFUNCTION("""COMPUTED_VALUE"""),"Envia")</f>
        <v>Envia</v>
      </c>
      <c r="C2902" s="15" t="str">
        <f>IFERROR(__xludf.DUMMYFUNCTION("""COMPUTED_VALUE"""),"BUCARAMANGA")</f>
        <v>BUCARAMANGA</v>
      </c>
      <c r="D2902" s="15" t="str">
        <f>IFERROR(__xludf.DUMMYFUNCTION("""COMPUTED_VALUE"""),"BOGOTÁ")</f>
        <v>BOGOTÁ</v>
      </c>
      <c r="E2902" s="15" t="str">
        <f>IFERROR(__xludf.DUMMYFUNCTION("""COMPUTED_VALUE"""),"Evamazzita")</f>
        <v>Evamazzita</v>
      </c>
      <c r="F2902" s="17" t="str">
        <f>IFERROR(__xludf.DUMMYFUNCTION("""COMPUTED_VALUE"""),"CARRERA 20 # 7 - 11 / N/A / BARRIO COMUNEROS")</f>
        <v>CARRERA 20 # 7 - 11 / N/A / BARRIO COMUNEROS</v>
      </c>
      <c r="G2902" s="15" t="str">
        <f>IFERROR(__xludf.DUMMYFUNCTION("""COMPUTED_VALUE"""),"MARIO JOSÉ CORTÉS PARADA")</f>
        <v>MARIO JOSÉ CORTÉS PARADA</v>
      </c>
      <c r="H2902" s="16">
        <f>IFERROR(__xludf.DUMMYFUNCTION("""COMPUTED_VALUE"""),11492.0)</f>
        <v>11492</v>
      </c>
      <c r="I2902" s="18">
        <f>IFERROR(__xludf.DUMMYFUNCTION("""COMPUTED_VALUE"""),24.0)</f>
        <v>24</v>
      </c>
      <c r="J2902" s="18">
        <f>IFERROR(__xludf.DUMMYFUNCTION("""COMPUTED_VALUE"""),37.0)</f>
        <v>37</v>
      </c>
      <c r="K2902" s="18">
        <f>IFERROR(__xludf.DUMMYFUNCTION("""COMPUTED_VALUE"""),23.0)</f>
        <v>23</v>
      </c>
      <c r="L2902" s="17">
        <f>IFERROR(__xludf.DUMMYFUNCTION("""COMPUTED_VALUE"""),3.123394474E9)</f>
        <v>3123394474</v>
      </c>
      <c r="M2902" s="17" t="str">
        <f>IFERROR(__xludf.DUMMYFUNCTION("""COMPUTED_VALUE"""),"#REF!")</f>
        <v>#REF!</v>
      </c>
      <c r="N2902" s="17"/>
      <c r="O2902" s="17"/>
      <c r="P2902" s="17" t="b">
        <f>IFERROR(__xludf.DUMMYFUNCTION("""COMPUTED_VALUE"""),FALSE)</f>
        <v>0</v>
      </c>
      <c r="Q2902" s="20" t="str">
        <f>IFERROR(__xludf.DUMMYFUNCTION("""COMPUTED_VALUE"""),"")</f>
        <v/>
      </c>
      <c r="R2902" s="21" t="str">
        <f>IFERROR(__xludf.DUMMYFUNCTION("""COMPUTED_VALUE"""),"https://drive.google.com/file/d/1kcZzklFpZlLuUH271qV6OQODeHnrTCWd/view?usp=drivesdk")</f>
        <v>https://drive.google.com/file/d/1kcZzklFpZlLuUH271qV6OQODeHnrTCWd/view?usp=drivesdk</v>
      </c>
    </row>
    <row r="2903">
      <c r="A2903" s="15">
        <f>IFERROR(__xludf.DUMMYFUNCTION("""COMPUTED_VALUE"""),45085.0)</f>
        <v>45085</v>
      </c>
      <c r="B2903" s="16" t="str">
        <f>IFERROR(__xludf.DUMMYFUNCTION("""COMPUTED_VALUE"""),"Envia")</f>
        <v>Envia</v>
      </c>
      <c r="C2903" s="15" t="str">
        <f>IFERROR(__xludf.DUMMYFUNCTION("""COMPUTED_VALUE"""),"CALI")</f>
        <v>CALI</v>
      </c>
      <c r="D2903" s="15" t="str">
        <f>IFERROR(__xludf.DUMMYFUNCTION("""COMPUTED_VALUE"""),"BOGOTÁ")</f>
        <v>BOGOTÁ</v>
      </c>
      <c r="E2903" s="15" t="str">
        <f>IFERROR(__xludf.DUMMYFUNCTION("""COMPUTED_VALUE"""),"Ölu")</f>
        <v>Ölu</v>
      </c>
      <c r="F2903" s="17" t="str">
        <f>IFERROR(__xludf.DUMMYFUNCTION("""COMPUTED_VALUE"""),"Calle 16 # 85 - 10  / Local 102 - Saludable Tentación / Barrio Ingenio")</f>
        <v>Calle 16 # 85 - 10  / Local 102 - Saludable Tentación / Barrio Ingenio</v>
      </c>
      <c r="G2903" s="15" t="str">
        <f>IFERROR(__xludf.DUMMYFUNCTION("""COMPUTED_VALUE"""),"Jessica Guerrero")</f>
        <v>Jessica Guerrero</v>
      </c>
      <c r="H2903" s="16">
        <f>IFERROR(__xludf.DUMMYFUNCTION("""COMPUTED_VALUE"""),11411.0)</f>
        <v>11411</v>
      </c>
      <c r="I2903" s="18">
        <f>IFERROR(__xludf.DUMMYFUNCTION("""COMPUTED_VALUE"""),21.0)</f>
        <v>21</v>
      </c>
      <c r="J2903" s="18">
        <f>IFERROR(__xludf.DUMMYFUNCTION("""COMPUTED_VALUE"""),30.0)</f>
        <v>30</v>
      </c>
      <c r="K2903" s="18">
        <f>IFERROR(__xludf.DUMMYFUNCTION("""COMPUTED_VALUE"""),50.0)</f>
        <v>50</v>
      </c>
      <c r="L2903" s="17">
        <f>IFERROR(__xludf.DUMMYFUNCTION("""COMPUTED_VALUE"""),3.112664694E9)</f>
        <v>3112664694</v>
      </c>
      <c r="M2903" s="17" t="str">
        <f>IFERROR(__xludf.DUMMYFUNCTION("""COMPUTED_VALUE"""),"#REF!")</f>
        <v>#REF!</v>
      </c>
      <c r="N2903" s="17"/>
      <c r="O2903" s="17"/>
      <c r="P2903" s="17" t="b">
        <f>IFERROR(__xludf.DUMMYFUNCTION("""COMPUTED_VALUE"""),TRUE)</f>
        <v>1</v>
      </c>
      <c r="Q2903" s="20">
        <f>IFERROR(__xludf.DUMMYFUNCTION("""COMPUTED_VALUE"""),45088.560791261574)</f>
        <v>45088.56079</v>
      </c>
      <c r="R2903" s="21" t="str">
        <f>IFERROR(__xludf.DUMMYFUNCTION("""COMPUTED_VALUE"""),"https://drive.google.com/file/d/1cxN51OFJm53qM6CgoEBi6EIL4bNg3R8N/view?usp=drivesdk")</f>
        <v>https://drive.google.com/file/d/1cxN51OFJm53qM6CgoEBi6EIL4bNg3R8N/view?usp=drivesdk</v>
      </c>
    </row>
    <row r="2904">
      <c r="A2904" s="15">
        <f>IFERROR(__xludf.DUMMYFUNCTION("""COMPUTED_VALUE"""),45085.0)</f>
        <v>45085</v>
      </c>
      <c r="B2904" s="16" t="str">
        <f>IFERROR(__xludf.DUMMYFUNCTION("""COMPUTED_VALUE"""),"Envia")</f>
        <v>Envia</v>
      </c>
      <c r="C2904" s="15" t="str">
        <f>IFERROR(__xludf.DUMMYFUNCTION("""COMPUTED_VALUE"""),"GIRARDOT")</f>
        <v>GIRARDOT</v>
      </c>
      <c r="D2904" s="15" t="str">
        <f>IFERROR(__xludf.DUMMYFUNCTION("""COMPUTED_VALUE"""),"BOGOTÁ")</f>
        <v>BOGOTÁ</v>
      </c>
      <c r="E2904" s="15" t="str">
        <f>IFERROR(__xludf.DUMMYFUNCTION("""COMPUTED_VALUE"""),"Evamazzita")</f>
        <v>Evamazzita</v>
      </c>
      <c r="F2904" s="17" t="str">
        <f>IFERROR(__xludf.DUMMYFUNCTION("""COMPUTED_VALUE"""),"Calle 32a #4-24  / santafe  / Santafe")</f>
        <v>Calle 32a #4-24  / santafe  / Santafe</v>
      </c>
      <c r="G2904" s="15" t="str">
        <f>IFERROR(__xludf.DUMMYFUNCTION("""COMPUTED_VALUE"""),"LIZETH CAROLINA BARRETO TRUJILLO")</f>
        <v>LIZETH CAROLINA BARRETO TRUJILLO</v>
      </c>
      <c r="H2904" s="16">
        <f>IFERROR(__xludf.DUMMYFUNCTION("""COMPUTED_VALUE"""),11496.0)</f>
        <v>11496</v>
      </c>
      <c r="I2904" s="18">
        <f>IFERROR(__xludf.DUMMYFUNCTION("""COMPUTED_VALUE"""),3.0)</f>
        <v>3</v>
      </c>
      <c r="J2904" s="18">
        <f>IFERROR(__xludf.DUMMYFUNCTION("""COMPUTED_VALUE"""),20.0)</f>
        <v>20</v>
      </c>
      <c r="K2904" s="18">
        <f>IFERROR(__xludf.DUMMYFUNCTION("""COMPUTED_VALUE"""),15.0)</f>
        <v>15</v>
      </c>
      <c r="L2904" s="17">
        <f>IFERROR(__xludf.DUMMYFUNCTION("""COMPUTED_VALUE"""),3.134566703E9)</f>
        <v>3134566703</v>
      </c>
      <c r="M2904" s="17" t="str">
        <f>IFERROR(__xludf.DUMMYFUNCTION("""COMPUTED_VALUE"""),"#REF!")</f>
        <v>#REF!</v>
      </c>
      <c r="N2904" s="17"/>
      <c r="O2904" s="17"/>
      <c r="P2904" s="17" t="b">
        <f>IFERROR(__xludf.DUMMYFUNCTION("""COMPUTED_VALUE"""),FALSE)</f>
        <v>0</v>
      </c>
      <c r="Q2904" s="20" t="str">
        <f>IFERROR(__xludf.DUMMYFUNCTION("""COMPUTED_VALUE"""),"")</f>
        <v/>
      </c>
      <c r="R2904" s="22" t="str">
        <f>IFERROR(__xludf.DUMMYFUNCTION("""COMPUTED_VALUE"""),"")</f>
        <v/>
      </c>
    </row>
    <row r="2905">
      <c r="A2905" s="15">
        <f>IFERROR(__xludf.DUMMYFUNCTION("""COMPUTED_VALUE"""),45085.0)</f>
        <v>45085</v>
      </c>
      <c r="B2905" s="16" t="str">
        <f>IFERROR(__xludf.DUMMYFUNCTION("""COMPUTED_VALUE"""),"Envia")</f>
        <v>Envia</v>
      </c>
      <c r="C2905" s="15" t="str">
        <f>IFERROR(__xludf.DUMMYFUNCTION("""COMPUTED_VALUE"""),"GIRARDOT")</f>
        <v>GIRARDOT</v>
      </c>
      <c r="D2905" s="15" t="str">
        <f>IFERROR(__xludf.DUMMYFUNCTION("""COMPUTED_VALUE"""),"BOGOTÁ")</f>
        <v>BOGOTÁ</v>
      </c>
      <c r="E2905" s="15" t="str">
        <f>IFERROR(__xludf.DUMMYFUNCTION("""COMPUTED_VALUE"""),"Evamazzita")</f>
        <v>Evamazzita</v>
      </c>
      <c r="F2905" s="17" t="str">
        <f>IFERROR(__xludf.DUMMYFUNCTION("""COMPUTED_VALUE"""),"SANTA PAULA  / MZ 15 CASA 16 / SANTA PAULA")</f>
        <v>SANTA PAULA  / MZ 15 CASA 16 / SANTA PAULA</v>
      </c>
      <c r="G2905" s="15" t="str">
        <f>IFERROR(__xludf.DUMMYFUNCTION("""COMPUTED_VALUE"""),"LUISA ROMERO")</f>
        <v>LUISA ROMERO</v>
      </c>
      <c r="H2905" s="16">
        <f>IFERROR(__xludf.DUMMYFUNCTION("""COMPUTED_VALUE"""),11497.0)</f>
        <v>11497</v>
      </c>
      <c r="I2905" s="18">
        <f>IFERROR(__xludf.DUMMYFUNCTION("""COMPUTED_VALUE"""),3.0)</f>
        <v>3</v>
      </c>
      <c r="J2905" s="18">
        <f>IFERROR(__xludf.DUMMYFUNCTION("""COMPUTED_VALUE"""),15.0)</f>
        <v>15</v>
      </c>
      <c r="K2905" s="18">
        <f>IFERROR(__xludf.DUMMYFUNCTION("""COMPUTED_VALUE"""),20.0)</f>
        <v>20</v>
      </c>
      <c r="L2905" s="17">
        <f>IFERROR(__xludf.DUMMYFUNCTION("""COMPUTED_VALUE"""),3.202105485E9)</f>
        <v>3202105485</v>
      </c>
      <c r="M2905" s="17" t="str">
        <f>IFERROR(__xludf.DUMMYFUNCTION("""COMPUTED_VALUE"""),"#REF!")</f>
        <v>#REF!</v>
      </c>
      <c r="N2905" s="17"/>
      <c r="O2905" s="17"/>
      <c r="P2905" s="17" t="b">
        <f>IFERROR(__xludf.DUMMYFUNCTION("""COMPUTED_VALUE"""),FALSE)</f>
        <v>0</v>
      </c>
      <c r="Q2905" s="20" t="str">
        <f>IFERROR(__xludf.DUMMYFUNCTION("""COMPUTED_VALUE"""),"")</f>
        <v/>
      </c>
      <c r="R2905" s="22" t="str">
        <f>IFERROR(__xludf.DUMMYFUNCTION("""COMPUTED_VALUE"""),"")</f>
        <v/>
      </c>
    </row>
    <row r="2906">
      <c r="A2906" s="15">
        <f>IFERROR(__xludf.DUMMYFUNCTION("""COMPUTED_VALUE"""),45085.0)</f>
        <v>45085</v>
      </c>
      <c r="B2906" s="16" t="str">
        <f>IFERROR(__xludf.DUMMYFUNCTION("""COMPUTED_VALUE"""),"Envia")</f>
        <v>Envia</v>
      </c>
      <c r="C2906" s="15" t="str">
        <f>IFERROR(__xludf.DUMMYFUNCTION("""COMPUTED_VALUE"""),"MEDELLÍN")</f>
        <v>MEDELLÍN</v>
      </c>
      <c r="D2906" s="15" t="str">
        <f>IFERROR(__xludf.DUMMYFUNCTION("""COMPUTED_VALUE"""),"BOGOTÁ")</f>
        <v>BOGOTÁ</v>
      </c>
      <c r="E2906" s="15" t="str">
        <f>IFERROR(__xludf.DUMMYFUNCTION("""COMPUTED_VALUE"""),"SISU PARTNERS SAS")</f>
        <v>SISU PARTNERS SAS</v>
      </c>
      <c r="F2906" s="17" t="str">
        <f>IFERROR(__xludf.DUMMYFUNCTION("""COMPUTED_VALUE"""),"Carrera 34 no. 7-86 / Local Mary &amp; George")</f>
        <v>Carrera 34 no. 7-86 / Local Mary &amp; George</v>
      </c>
      <c r="G2906" s="15" t="str">
        <f>IFERROR(__xludf.DUMMYFUNCTION("""COMPUTED_VALUE"""),"Maria Paulina Pérez")</f>
        <v>Maria Paulina Pérez</v>
      </c>
      <c r="H2906" s="16">
        <f>IFERROR(__xludf.DUMMYFUNCTION("""COMPUTED_VALUE"""),11486.0)</f>
        <v>11486</v>
      </c>
      <c r="I2906" s="18" t="str">
        <f>IFERROR(__xludf.DUMMYFUNCTION("""COMPUTED_VALUE"""),"52.5")</f>
        <v>52.5</v>
      </c>
      <c r="J2906" s="18">
        <f>IFERROR(__xludf.DUMMYFUNCTION("""COMPUTED_VALUE"""),45.0)</f>
        <v>45</v>
      </c>
      <c r="K2906" s="18">
        <f>IFERROR(__xludf.DUMMYFUNCTION("""COMPUTED_VALUE"""),55.0)</f>
        <v>55</v>
      </c>
      <c r="L2906" s="17">
        <f>IFERROR(__xludf.DUMMYFUNCTION("""COMPUTED_VALUE"""),3.182186058E9)</f>
        <v>3182186058</v>
      </c>
      <c r="M2906" s="17" t="str">
        <f>IFERROR(__xludf.DUMMYFUNCTION("""COMPUTED_VALUE"""),"#REF!")</f>
        <v>#REF!</v>
      </c>
      <c r="N2906" s="17"/>
      <c r="O2906" s="17"/>
      <c r="P2906" s="17" t="b">
        <f>IFERROR(__xludf.DUMMYFUNCTION("""COMPUTED_VALUE"""),FALSE)</f>
        <v>0</v>
      </c>
      <c r="Q2906" s="20" t="str">
        <f>IFERROR(__xludf.DUMMYFUNCTION("""COMPUTED_VALUE"""),"")</f>
        <v/>
      </c>
      <c r="R2906" s="21" t="str">
        <f>IFERROR(__xludf.DUMMYFUNCTION("""COMPUTED_VALUE"""),"https://drive.google.com/file/d/1WtEicPrUHJDMJ2KOn9EYqfqKnLzddbL2/view?usp=drivesdk")</f>
        <v>https://drive.google.com/file/d/1WtEicPrUHJDMJ2KOn9EYqfqKnLzddbL2/view?usp=drivesdk</v>
      </c>
    </row>
    <row r="2907">
      <c r="A2907" s="15">
        <f>IFERROR(__xludf.DUMMYFUNCTION("""COMPUTED_VALUE"""),45085.0)</f>
        <v>45085</v>
      </c>
      <c r="B2907" s="16" t="str">
        <f>IFERROR(__xludf.DUMMYFUNCTION("""COMPUTED_VALUE"""),"Envia")</f>
        <v>Envia</v>
      </c>
      <c r="C2907" s="15" t="str">
        <f>IFERROR(__xludf.DUMMYFUNCTION("""COMPUTED_VALUE"""),"VILLAVICENCIO")</f>
        <v>VILLAVICENCIO</v>
      </c>
      <c r="D2907" s="15" t="str">
        <f>IFERROR(__xludf.DUMMYFUNCTION("""COMPUTED_VALUE"""),"BOGOTÁ")</f>
        <v>BOGOTÁ</v>
      </c>
      <c r="E2907" s="15" t="str">
        <f>IFERROR(__xludf.DUMMYFUNCTION("""COMPUTED_VALUE"""),"Lunchy Kids")</f>
        <v>Lunchy Kids</v>
      </c>
      <c r="F2907" s="17" t="str">
        <f>IFERROR(__xludf.DUMMYFUNCTION("""COMPUTED_VALUE"""),"Calle 31 17- 87   / Multifamiliar 6 casa 4  / Villavicencio")</f>
        <v>Calle 31 17- 87   / Multifamiliar 6 casa 4  / Villavicencio</v>
      </c>
      <c r="G2907" s="15" t="str">
        <f>IFERROR(__xludf.DUMMYFUNCTION("""COMPUTED_VALUE"""),"Sandra Montejo")</f>
        <v>Sandra Montejo</v>
      </c>
      <c r="H2907" s="16">
        <f>IFERROR(__xludf.DUMMYFUNCTION("""COMPUTED_VALUE"""),11289.0)</f>
        <v>11289</v>
      </c>
      <c r="I2907" s="18">
        <f>IFERROR(__xludf.DUMMYFUNCTION("""COMPUTED_VALUE"""),13.0)</f>
        <v>13</v>
      </c>
      <c r="J2907" s="18">
        <f>IFERROR(__xludf.DUMMYFUNCTION("""COMPUTED_VALUE"""),20.0)</f>
        <v>20</v>
      </c>
      <c r="K2907" s="18">
        <f>IFERROR(__xludf.DUMMYFUNCTION("""COMPUTED_VALUE"""),7.0)</f>
        <v>7</v>
      </c>
      <c r="L2907" s="17">
        <f>IFERROR(__xludf.DUMMYFUNCTION("""COMPUTED_VALUE"""),3.11606543E9)</f>
        <v>3116065430</v>
      </c>
      <c r="M2907" s="17" t="str">
        <f>IFERROR(__xludf.DUMMYFUNCTION("""COMPUTED_VALUE"""),"#REF!")</f>
        <v>#REF!</v>
      </c>
      <c r="N2907" s="17"/>
      <c r="O2907" s="17"/>
      <c r="P2907" s="17" t="b">
        <f>IFERROR(__xludf.DUMMYFUNCTION("""COMPUTED_VALUE"""),FALSE)</f>
        <v>0</v>
      </c>
      <c r="Q2907" s="20" t="str">
        <f>IFERROR(__xludf.DUMMYFUNCTION("""COMPUTED_VALUE"""),"")</f>
        <v/>
      </c>
      <c r="R2907" s="21" t="str">
        <f>IFERROR(__xludf.DUMMYFUNCTION("""COMPUTED_VALUE"""),"https://drive.google.com/file/d/1HTom_877hlLdkoanXM5u0nMrNu8zCJnH/view?usp=drivesdk")</f>
        <v>https://drive.google.com/file/d/1HTom_877hlLdkoanXM5u0nMrNu8zCJnH/view?usp=drivesdk</v>
      </c>
    </row>
    <row r="2908">
      <c r="A2908" s="15">
        <f>IFERROR(__xludf.DUMMYFUNCTION("""COMPUTED_VALUE"""),45085.0)</f>
        <v>45085</v>
      </c>
      <c r="B2908" s="16" t="str">
        <f>IFERROR(__xludf.DUMMYFUNCTION("""COMPUTED_VALUE"""),"Envia")</f>
        <v>Envia</v>
      </c>
      <c r="C2908" s="15" t="str">
        <f>IFERROR(__xludf.DUMMYFUNCTION("""COMPUTED_VALUE"""),"VILLAVICENCIO")</f>
        <v>VILLAVICENCIO</v>
      </c>
      <c r="D2908" s="15" t="str">
        <f>IFERROR(__xludf.DUMMYFUNCTION("""COMPUTED_VALUE"""),"BOGOTÁ")</f>
        <v>BOGOTÁ</v>
      </c>
      <c r="E2908" s="15" t="str">
        <f>IFERROR(__xludf.DUMMYFUNCTION("""COMPUTED_VALUE"""),"Pan de Waffle")</f>
        <v>Pan de Waffle</v>
      </c>
      <c r="F2908" s="17" t="str">
        <f>IFERROR(__xludf.DUMMYFUNCTION("""COMPUTED_VALUE"""),"Calle 15 # 44D - 28 LOCAL 1 Edifi. Palos de Caña / Calle 15 # 44D - 28 LOCAL 1 Edifi. Palos de Caña / Calle 15 # 44D - 28 LOCAL 1 Edifi. Palos de Caña")</f>
        <v>Calle 15 # 44D - 28 LOCAL 1 Edifi. Palos de Caña / Calle 15 # 44D - 28 LOCAL 1 Edifi. Palos de Caña / Calle 15 # 44D - 28 LOCAL 1 Edifi. Palos de Caña</v>
      </c>
      <c r="G2908" s="15" t="str">
        <f>IFERROR(__xludf.DUMMYFUNCTION("""COMPUTED_VALUE"""),"SANA TENTACION")</f>
        <v>SANA TENTACION</v>
      </c>
      <c r="H2908" s="16">
        <f>IFERROR(__xludf.DUMMYFUNCTION("""COMPUTED_VALUE"""),11531.0)</f>
        <v>11531</v>
      </c>
      <c r="I2908" s="18">
        <f>IFERROR(__xludf.DUMMYFUNCTION("""COMPUTED_VALUE"""),40.0)</f>
        <v>40</v>
      </c>
      <c r="J2908" s="18">
        <f>IFERROR(__xludf.DUMMYFUNCTION("""COMPUTED_VALUE"""),40.0)</f>
        <v>40</v>
      </c>
      <c r="K2908" s="18">
        <f>IFERROR(__xludf.DUMMYFUNCTION("""COMPUTED_VALUE"""),30.0)</f>
        <v>30</v>
      </c>
      <c r="L2908" s="17">
        <f>IFERROR(__xludf.DUMMYFUNCTION("""COMPUTED_VALUE"""),3.008383033E9)</f>
        <v>3008383033</v>
      </c>
      <c r="M2908" s="17" t="str">
        <f>IFERROR(__xludf.DUMMYFUNCTION("""COMPUTED_VALUE"""),"#REF!")</f>
        <v>#REF!</v>
      </c>
      <c r="N2908" s="17"/>
      <c r="O2908" s="17"/>
      <c r="P2908" s="17" t="b">
        <f>IFERROR(__xludf.DUMMYFUNCTION("""COMPUTED_VALUE"""),FALSE)</f>
        <v>0</v>
      </c>
      <c r="Q2908" s="20" t="str">
        <f>IFERROR(__xludf.DUMMYFUNCTION("""COMPUTED_VALUE"""),"")</f>
        <v/>
      </c>
      <c r="R2908" s="21" t="str">
        <f>IFERROR(__xludf.DUMMYFUNCTION("""COMPUTED_VALUE"""),"https://drive.google.com/file/d/1xZcuiJ1XjKrZPU1wi0sg6gQhc4_VkIOr/view?usp=drivesdk")</f>
        <v>https://drive.google.com/file/d/1xZcuiJ1XjKrZPU1wi0sg6gQhc4_VkIOr/view?usp=drivesdk</v>
      </c>
    </row>
    <row r="2909">
      <c r="A2909" s="17" t="str">
        <f>IFERROR(__xludf.DUMMYFUNCTION("""COMPUTED_VALUE"""),"")</f>
        <v/>
      </c>
      <c r="B2909" s="17" t="str">
        <f>IFERROR(__xludf.DUMMYFUNCTION("""COMPUTED_VALUE"""),"")</f>
        <v/>
      </c>
      <c r="C2909" s="17" t="str">
        <f>IFERROR(__xludf.DUMMYFUNCTION("""COMPUTED_VALUE"""),"")</f>
        <v/>
      </c>
      <c r="D2909" s="17" t="str">
        <f>IFERROR(__xludf.DUMMYFUNCTION("""COMPUTED_VALUE"""),"")</f>
        <v/>
      </c>
      <c r="E2909" s="17" t="str">
        <f>IFERROR(__xludf.DUMMYFUNCTION("""COMPUTED_VALUE"""),"")</f>
        <v/>
      </c>
      <c r="F2909" s="17" t="str">
        <f>IFERROR(__xludf.DUMMYFUNCTION("""COMPUTED_VALUE"""),"")</f>
        <v/>
      </c>
      <c r="G2909" s="17" t="str">
        <f>IFERROR(__xludf.DUMMYFUNCTION("""COMPUTED_VALUE"""),"")</f>
        <v/>
      </c>
      <c r="H2909" s="17" t="str">
        <f>IFERROR(__xludf.DUMMYFUNCTION("""COMPUTED_VALUE"""),"")</f>
        <v/>
      </c>
      <c r="I2909" s="17" t="str">
        <f>IFERROR(__xludf.DUMMYFUNCTION("""COMPUTED_VALUE"""),"")</f>
        <v/>
      </c>
      <c r="J2909" s="17" t="str">
        <f>IFERROR(__xludf.DUMMYFUNCTION("""COMPUTED_VALUE"""),"")</f>
        <v/>
      </c>
      <c r="K2909" s="17" t="str">
        <f>IFERROR(__xludf.DUMMYFUNCTION("""COMPUTED_VALUE"""),"")</f>
        <v/>
      </c>
      <c r="L2909" s="17" t="str">
        <f>IFERROR(__xludf.DUMMYFUNCTION("""COMPUTED_VALUE"""),"")</f>
        <v/>
      </c>
      <c r="M2909" s="17" t="str">
        <f>IFERROR(__xludf.DUMMYFUNCTION("""COMPUTED_VALUE"""),"")</f>
        <v/>
      </c>
      <c r="N2909" s="17" t="str">
        <f>IFERROR(__xludf.DUMMYFUNCTION("""COMPUTED_VALUE"""),"")</f>
        <v/>
      </c>
      <c r="O2909" s="17" t="str">
        <f>IFERROR(__xludf.DUMMYFUNCTION("""COMPUTED_VALUE"""),"")</f>
        <v/>
      </c>
      <c r="P2909" s="17" t="str">
        <f>IFERROR(__xludf.DUMMYFUNCTION("""COMPUTED_VALUE"""),"")</f>
        <v/>
      </c>
      <c r="Q2909" s="17" t="str">
        <f>IFERROR(__xludf.DUMMYFUNCTION("""COMPUTED_VALUE"""),"")</f>
        <v/>
      </c>
      <c r="R2909" s="17" t="str">
        <f>IFERROR(__xludf.DUMMYFUNCTION("""COMPUTED_VALUE"""),"")</f>
        <v/>
      </c>
    </row>
    <row r="2910">
      <c r="A2910" s="15">
        <f>IFERROR(__xludf.DUMMYFUNCTION("""COMPUTED_VALUE"""),45085.0)</f>
        <v>45085</v>
      </c>
      <c r="B2910" s="16" t="str">
        <f>IFERROR(__xludf.DUMMYFUNCTION("""COMPUTED_VALUE"""),"Jeison Rubiano")</f>
        <v>Jeison Rubiano</v>
      </c>
      <c r="C2910" s="15" t="str">
        <f>IFERROR(__xludf.DUMMYFUNCTION("""COMPUTED_VALUE"""),"POPAYAN")</f>
        <v>POPAYAN</v>
      </c>
      <c r="D2910" s="15" t="str">
        <f>IFERROR(__xludf.DUMMYFUNCTION("""COMPUTED_VALUE"""),"BOGOTÁ")</f>
        <v>BOGOTÁ</v>
      </c>
      <c r="E2910" s="15" t="str">
        <f>IFERROR(__xludf.DUMMYFUNCTION("""COMPUTED_VALUE"""),"Ins. Alimento Vital")</f>
        <v>Ins. Alimento Vital</v>
      </c>
      <c r="F2910" s="17" t="str">
        <f>IFERROR(__xludf.DUMMYFUNCTION("""COMPUTED_VALUE"""),"ATARDECERES DE LA PRADERA / CASA C9  / CEMENTERIO JARDINES DE LA PAZ, VARIANTE NORTE")</f>
        <v>ATARDECERES DE LA PRADERA / CASA C9  / CEMENTERIO JARDINES DE LA PAZ, VARIANTE NORTE</v>
      </c>
      <c r="G2910" s="15" t="str">
        <f>IFERROR(__xludf.DUMMYFUNCTION("""COMPUTED_VALUE"""),"VICTOR HUGO MORALES")</f>
        <v>VICTOR HUGO MORALES</v>
      </c>
      <c r="H2910" s="16">
        <f>IFERROR(__xludf.DUMMYFUNCTION("""COMPUTED_VALUE"""),11500.0)</f>
        <v>11500</v>
      </c>
      <c r="I2910" s="18">
        <f>IFERROR(__xludf.DUMMYFUNCTION("""COMPUTED_VALUE"""),1.0)</f>
        <v>1</v>
      </c>
      <c r="J2910" s="18">
        <f>IFERROR(__xludf.DUMMYFUNCTION("""COMPUTED_VALUE"""),1.0)</f>
        <v>1</v>
      </c>
      <c r="K2910" s="18">
        <f>IFERROR(__xludf.DUMMYFUNCTION("""COMPUTED_VALUE"""),1.0)</f>
        <v>1</v>
      </c>
      <c r="L2910" s="17">
        <f>IFERROR(__xludf.DUMMYFUNCTION("""COMPUTED_VALUE"""),3.148536593E9)</f>
        <v>3148536593</v>
      </c>
      <c r="M2910" s="17" t="str">
        <f>IFERROR(__xludf.DUMMYFUNCTION("""COMPUTED_VALUE"""),"#REF!")</f>
        <v>#REF!</v>
      </c>
      <c r="N2910" s="17"/>
      <c r="O2910" s="17"/>
      <c r="P2910" s="17" t="b">
        <f>IFERROR(__xludf.DUMMYFUNCTION("""COMPUTED_VALUE"""),TRUE)</f>
        <v>1</v>
      </c>
      <c r="Q2910" s="20">
        <f>IFERROR(__xludf.DUMMYFUNCTION("""COMPUTED_VALUE"""),45088.56079127315)</f>
        <v>45088.56079</v>
      </c>
      <c r="R2910" s="22" t="str">
        <f>IFERROR(__xludf.DUMMYFUNCTION("""COMPUTED_VALUE"""),"")</f>
        <v/>
      </c>
    </row>
    <row r="2911">
      <c r="A2911" s="17" t="str">
        <f>IFERROR(__xludf.DUMMYFUNCTION("""COMPUTED_VALUE"""),"")</f>
        <v/>
      </c>
      <c r="B2911" s="17" t="str">
        <f>IFERROR(__xludf.DUMMYFUNCTION("""COMPUTED_VALUE"""),"")</f>
        <v/>
      </c>
      <c r="C2911" s="17" t="str">
        <f>IFERROR(__xludf.DUMMYFUNCTION("""COMPUTED_VALUE"""),"")</f>
        <v/>
      </c>
      <c r="D2911" s="17" t="str">
        <f>IFERROR(__xludf.DUMMYFUNCTION("""COMPUTED_VALUE"""),"")</f>
        <v/>
      </c>
      <c r="E2911" s="17" t="str">
        <f>IFERROR(__xludf.DUMMYFUNCTION("""COMPUTED_VALUE"""),"")</f>
        <v/>
      </c>
      <c r="F2911" s="17" t="str">
        <f>IFERROR(__xludf.DUMMYFUNCTION("""COMPUTED_VALUE"""),"")</f>
        <v/>
      </c>
      <c r="G2911" s="17" t="str">
        <f>IFERROR(__xludf.DUMMYFUNCTION("""COMPUTED_VALUE"""),"")</f>
        <v/>
      </c>
      <c r="H2911" s="17" t="str">
        <f>IFERROR(__xludf.DUMMYFUNCTION("""COMPUTED_VALUE"""),"")</f>
        <v/>
      </c>
      <c r="I2911" s="17" t="str">
        <f>IFERROR(__xludf.DUMMYFUNCTION("""COMPUTED_VALUE"""),"")</f>
        <v/>
      </c>
      <c r="J2911" s="17" t="str">
        <f>IFERROR(__xludf.DUMMYFUNCTION("""COMPUTED_VALUE"""),"")</f>
        <v/>
      </c>
      <c r="K2911" s="17" t="str">
        <f>IFERROR(__xludf.DUMMYFUNCTION("""COMPUTED_VALUE"""),"")</f>
        <v/>
      </c>
      <c r="L2911" s="17" t="str">
        <f>IFERROR(__xludf.DUMMYFUNCTION("""COMPUTED_VALUE"""),"")</f>
        <v/>
      </c>
      <c r="M2911" s="17" t="str">
        <f>IFERROR(__xludf.DUMMYFUNCTION("""COMPUTED_VALUE"""),"")</f>
        <v/>
      </c>
      <c r="N2911" s="17" t="str">
        <f>IFERROR(__xludf.DUMMYFUNCTION("""COMPUTED_VALUE"""),"")</f>
        <v/>
      </c>
      <c r="O2911" s="17" t="str">
        <f>IFERROR(__xludf.DUMMYFUNCTION("""COMPUTED_VALUE"""),"")</f>
        <v/>
      </c>
      <c r="P2911" s="17" t="str">
        <f>IFERROR(__xludf.DUMMYFUNCTION("""COMPUTED_VALUE"""),"")</f>
        <v/>
      </c>
      <c r="Q2911" s="17" t="str">
        <f>IFERROR(__xludf.DUMMYFUNCTION("""COMPUTED_VALUE"""),"")</f>
        <v/>
      </c>
      <c r="R2911" s="17" t="str">
        <f>IFERROR(__xludf.DUMMYFUNCTION("""COMPUTED_VALUE"""),"")</f>
        <v/>
      </c>
    </row>
    <row r="2912">
      <c r="A2912" s="15">
        <f>IFERROR(__xludf.DUMMYFUNCTION("""COMPUTED_VALUE"""),45085.0)</f>
        <v>45085</v>
      </c>
      <c r="B2912" s="16" t="str">
        <f>IFERROR(__xludf.DUMMYFUNCTION("""COMPUTED_VALUE"""),"Julian Calderon Rodriguez ")</f>
        <v>Julian Calderon Rodriguez </v>
      </c>
      <c r="C2912" s="15" t="str">
        <f>IFERROR(__xludf.DUMMYFUNCTION("""COMPUTED_VALUE"""),"NEIVA")</f>
        <v>NEIVA</v>
      </c>
      <c r="D2912" s="15" t="str">
        <f>IFERROR(__xludf.DUMMYFUNCTION("""COMPUTED_VALUE"""),"MEDELLÍN")</f>
        <v>MEDELLÍN</v>
      </c>
      <c r="E2912" s="15" t="str">
        <f>IFERROR(__xludf.DUMMYFUNCTION("""COMPUTED_VALUE"""),"AREPAS LA MARY")</f>
        <v>AREPAS LA MARY</v>
      </c>
      <c r="F2912" s="17" t="str">
        <f>IFERROR(__xludf.DUMMYFUNCTION("""COMPUTED_VALUE"""),"Calle 13 # 7-46 apto. 804 / edif. La alameda.")</f>
        <v>Calle 13 # 7-46 apto. 804 / edif. La alameda.</v>
      </c>
      <c r="G2912" s="15" t="str">
        <f>IFERROR(__xludf.DUMMYFUNCTION("""COMPUTED_VALUE"""),"OLGA FALLA")</f>
        <v>OLGA FALLA</v>
      </c>
      <c r="H2912" s="16">
        <f>IFERROR(__xludf.DUMMYFUNCTION("""COMPUTED_VALUE"""),11408.0)</f>
        <v>11408</v>
      </c>
      <c r="I2912" s="18">
        <f>IFERROR(__xludf.DUMMYFUNCTION("""COMPUTED_VALUE"""),89.0)</f>
        <v>89</v>
      </c>
      <c r="J2912" s="18">
        <f>IFERROR(__xludf.DUMMYFUNCTION("""COMPUTED_VALUE"""),1.0)</f>
        <v>1</v>
      </c>
      <c r="K2912" s="18">
        <f>IFERROR(__xludf.DUMMYFUNCTION("""COMPUTED_VALUE"""),10.0)</f>
        <v>10</v>
      </c>
      <c r="L2912" s="17" t="str">
        <f>IFERROR(__xludf.DUMMYFUNCTION("""COMPUTED_VALUE"""),"318 2152072")</f>
        <v>318 2152072</v>
      </c>
      <c r="M2912" s="17" t="str">
        <f>IFERROR(__xludf.DUMMYFUNCTION("""COMPUTED_VALUE"""),"#REF!")</f>
        <v>#REF!</v>
      </c>
      <c r="N2912" s="17"/>
      <c r="O2912" s="17"/>
      <c r="P2912" s="17" t="b">
        <f>IFERROR(__xludf.DUMMYFUNCTION("""COMPUTED_VALUE"""),FALSE)</f>
        <v>0</v>
      </c>
      <c r="Q2912" s="20" t="str">
        <f>IFERROR(__xludf.DUMMYFUNCTION("""COMPUTED_VALUE"""),"")</f>
        <v/>
      </c>
      <c r="R2912" s="21" t="str">
        <f>IFERROR(__xludf.DUMMYFUNCTION("""COMPUTED_VALUE"""),"https://drive.google.com/file/d/1bThOnL26GMkT0xub33eM-U_sMJJFtxUo/view?usp=drivesdk")</f>
        <v>https://drive.google.com/file/d/1bThOnL26GMkT0xub33eM-U_sMJJFtxUo/view?usp=drivesdk</v>
      </c>
    </row>
    <row r="2913">
      <c r="A2913" s="15">
        <f>IFERROR(__xludf.DUMMYFUNCTION("""COMPUTED_VALUE"""),45085.0)</f>
        <v>45085</v>
      </c>
      <c r="B2913" s="16" t="str">
        <f>IFERROR(__xludf.DUMMYFUNCTION("""COMPUTED_VALUE"""),"Julian Calderon Rodriguez ")</f>
        <v>Julian Calderon Rodriguez </v>
      </c>
      <c r="C2913" s="15" t="str">
        <f>IFERROR(__xludf.DUMMYFUNCTION("""COMPUTED_VALUE"""),"NEIVA")</f>
        <v>NEIVA</v>
      </c>
      <c r="D2913" s="15" t="str">
        <f>IFERROR(__xludf.DUMMYFUNCTION("""COMPUTED_VALUE"""),"MEDELLÍN")</f>
        <v>MEDELLÍN</v>
      </c>
      <c r="E2913" s="15" t="str">
        <f>IFERROR(__xludf.DUMMYFUNCTION("""COMPUTED_VALUE"""),"Baby Chef")</f>
        <v>Baby Chef</v>
      </c>
      <c r="F2913" s="17" t="str">
        <f>IFERROR(__xludf.DUMMYFUNCTION("""COMPUTED_VALUE"""),"calle 78 no 8 - 42  / conjunto caminos de la primavera torre 1  / apto 703 neiva , llamar al llegar")</f>
        <v>calle 78 no 8 - 42  / conjunto caminos de la primavera torre 1  / apto 703 neiva , llamar al llegar</v>
      </c>
      <c r="G2913" s="15" t="str">
        <f>IFERROR(__xludf.DUMMYFUNCTION("""COMPUTED_VALUE"""),"caterine jimenez ( muy importante llamar al llegar)")</f>
        <v>caterine jimenez ( muy importante llamar al llegar)</v>
      </c>
      <c r="H2913" s="16">
        <f>IFERROR(__xludf.DUMMYFUNCTION("""COMPUTED_VALUE"""),11417.0)</f>
        <v>11417</v>
      </c>
      <c r="I2913" s="18">
        <f>IFERROR(__xludf.DUMMYFUNCTION("""COMPUTED_VALUE"""),8.0)</f>
        <v>8</v>
      </c>
      <c r="J2913" s="18">
        <f>IFERROR(__xludf.DUMMYFUNCTION("""COMPUTED_VALUE"""),16.0)</f>
        <v>16</v>
      </c>
      <c r="K2913" s="18">
        <f>IFERROR(__xludf.DUMMYFUNCTION("""COMPUTED_VALUE"""),20.0)</f>
        <v>20</v>
      </c>
      <c r="L2913" s="17">
        <f>IFERROR(__xludf.DUMMYFUNCTION("""COMPUTED_VALUE"""),3.125628342E9)</f>
        <v>3125628342</v>
      </c>
      <c r="M2913" s="17" t="str">
        <f>IFERROR(__xludf.DUMMYFUNCTION("""COMPUTED_VALUE"""),"#REF!")</f>
        <v>#REF!</v>
      </c>
      <c r="N2913" s="17"/>
      <c r="O2913" s="17"/>
      <c r="P2913" s="17" t="b">
        <f>IFERROR(__xludf.DUMMYFUNCTION("""COMPUTED_VALUE"""),FALSE)</f>
        <v>0</v>
      </c>
      <c r="Q2913" s="20" t="str">
        <f>IFERROR(__xludf.DUMMYFUNCTION("""COMPUTED_VALUE"""),"")</f>
        <v/>
      </c>
      <c r="R2913" s="21" t="str">
        <f>IFERROR(__xludf.DUMMYFUNCTION("""COMPUTED_VALUE"""),"https://drive.google.com/file/d/1BnYn8EC2esb_Wc1gtHI79hjHMRpKedax/view?usp=drivesdk")</f>
        <v>https://drive.google.com/file/d/1BnYn8EC2esb_Wc1gtHI79hjHMRpKedax/view?usp=drivesdk</v>
      </c>
    </row>
    <row r="2914">
      <c r="A2914" s="15">
        <f>IFERROR(__xludf.DUMMYFUNCTION("""COMPUTED_VALUE"""),45085.0)</f>
        <v>45085</v>
      </c>
      <c r="B2914" s="16" t="str">
        <f>IFERROR(__xludf.DUMMYFUNCTION("""COMPUTED_VALUE"""),"Julian Calderon Rodriguez ")</f>
        <v>Julian Calderon Rodriguez </v>
      </c>
      <c r="C2914" s="15" t="str">
        <f>IFERROR(__xludf.DUMMYFUNCTION("""COMPUTED_VALUE"""),"VILLAVICENCIO")</f>
        <v>VILLAVICENCIO</v>
      </c>
      <c r="D2914" s="15" t="str">
        <f>IFERROR(__xludf.DUMMYFUNCTION("""COMPUTED_VALUE"""),"BOGOTÁ")</f>
        <v>BOGOTÁ</v>
      </c>
      <c r="E2914" s="15" t="str">
        <f>IFERROR(__xludf.DUMMYFUNCTION("""COMPUTED_VALUE"""),"Asociacion Agropecuaria Juana Maria")</f>
        <v>Asociacion Agropecuaria Juana Maria</v>
      </c>
      <c r="F2914" s="17" t="str">
        <f>IFERROR(__xludf.DUMMYFUNCTION("""COMPUTED_VALUE"""),"Cra 34 # 3C -38 Barrio Piamonte Reservado")</f>
        <v>Cra 34 # 3C -38 Barrio Piamonte Reservado</v>
      </c>
      <c r="G2914" s="15" t="str">
        <f>IFERROR(__xludf.DUMMYFUNCTION("""COMPUTED_VALUE"""),"Melisa Real Stephen")</f>
        <v>Melisa Real Stephen</v>
      </c>
      <c r="H2914" s="16">
        <f>IFERROR(__xludf.DUMMYFUNCTION("""COMPUTED_VALUE"""),11309.0)</f>
        <v>11309</v>
      </c>
      <c r="I2914" s="18">
        <f>IFERROR(__xludf.DUMMYFUNCTION("""COMPUTED_VALUE"""),25.0)</f>
        <v>25</v>
      </c>
      <c r="J2914" s="18">
        <f>IFERROR(__xludf.DUMMYFUNCTION("""COMPUTED_VALUE"""),18.0)</f>
        <v>18</v>
      </c>
      <c r="K2914" s="18">
        <f>IFERROR(__xludf.DUMMYFUNCTION("""COMPUTED_VALUE"""),3.0)</f>
        <v>3</v>
      </c>
      <c r="L2914" s="17">
        <f>IFERROR(__xludf.DUMMYFUNCTION("""COMPUTED_VALUE"""),3.103404727E9)</f>
        <v>3103404727</v>
      </c>
      <c r="M2914" s="17" t="str">
        <f>IFERROR(__xludf.DUMMYFUNCTION("""COMPUTED_VALUE"""),"#REF!")</f>
        <v>#REF!</v>
      </c>
      <c r="N2914" s="17"/>
      <c r="O2914" s="17"/>
      <c r="P2914" s="17" t="b">
        <f>IFERROR(__xludf.DUMMYFUNCTION("""COMPUTED_VALUE"""),FALSE)</f>
        <v>0</v>
      </c>
      <c r="Q2914" s="20" t="str">
        <f>IFERROR(__xludf.DUMMYFUNCTION("""COMPUTED_VALUE"""),"")</f>
        <v/>
      </c>
      <c r="R2914" s="21" t="str">
        <f>IFERROR(__xludf.DUMMYFUNCTION("""COMPUTED_VALUE"""),"https://drive.google.com/file/d/12dkyHlVWCNUwlr_p87d800Ooed4wkFAQ/view?usp=drivesdk")</f>
        <v>https://drive.google.com/file/d/12dkyHlVWCNUwlr_p87d800Ooed4wkFAQ/view?usp=drivesdk</v>
      </c>
    </row>
    <row r="2915">
      <c r="A2915" s="15">
        <f>IFERROR(__xludf.DUMMYFUNCTION("""COMPUTED_VALUE"""),45085.0)</f>
        <v>45085</v>
      </c>
      <c r="B2915" s="16" t="str">
        <f>IFERROR(__xludf.DUMMYFUNCTION("""COMPUTED_VALUE"""),"Julian Calderon Rodriguez ")</f>
        <v>Julian Calderon Rodriguez </v>
      </c>
      <c r="C2915" s="15" t="str">
        <f>IFERROR(__xludf.DUMMYFUNCTION("""COMPUTED_VALUE"""),"VILLAVICENCIO")</f>
        <v>VILLAVICENCIO</v>
      </c>
      <c r="D2915" s="15" t="str">
        <f>IFERROR(__xludf.DUMMYFUNCTION("""COMPUTED_VALUE"""),"BOGOTÁ")</f>
        <v>BOGOTÁ</v>
      </c>
      <c r="E2915" s="15" t="str">
        <f>IFERROR(__xludf.DUMMYFUNCTION("""COMPUTED_VALUE"""),"Lunchy Kids")</f>
        <v>Lunchy Kids</v>
      </c>
      <c r="F2915" s="17" t="str">
        <f>IFERROR(__xludf.DUMMYFUNCTION("""COMPUTED_VALUE"""),"Calle 47 bis # 28-55  / Casa / Caudal oriental")</f>
        <v>Calle 47 bis # 28-55  / Casa / Caudal oriental</v>
      </c>
      <c r="G2915" s="15" t="str">
        <f>IFERROR(__xludf.DUMMYFUNCTION("""COMPUTED_VALUE"""),"Adriana Londoño Guateque")</f>
        <v>Adriana Londoño Guateque</v>
      </c>
      <c r="H2915" s="16">
        <f>IFERROR(__xludf.DUMMYFUNCTION("""COMPUTED_VALUE"""),11282.0)</f>
        <v>11282</v>
      </c>
      <c r="I2915" s="18">
        <f>IFERROR(__xludf.DUMMYFUNCTION("""COMPUTED_VALUE"""),18.0)</f>
        <v>18</v>
      </c>
      <c r="J2915" s="18">
        <f>IFERROR(__xludf.DUMMYFUNCTION("""COMPUTED_VALUE"""),30.0)</f>
        <v>30</v>
      </c>
      <c r="K2915" s="18">
        <f>IFERROR(__xludf.DUMMYFUNCTION("""COMPUTED_VALUE"""),9.0)</f>
        <v>9</v>
      </c>
      <c r="L2915" s="17">
        <f>IFERROR(__xludf.DUMMYFUNCTION("""COMPUTED_VALUE"""),3.12434977E9)</f>
        <v>3124349770</v>
      </c>
      <c r="M2915" s="17" t="str">
        <f>IFERROR(__xludf.DUMMYFUNCTION("""COMPUTED_VALUE"""),"#REF!")</f>
        <v>#REF!</v>
      </c>
      <c r="N2915" s="17"/>
      <c r="O2915" s="17"/>
      <c r="P2915" s="17" t="b">
        <f>IFERROR(__xludf.DUMMYFUNCTION("""COMPUTED_VALUE"""),FALSE)</f>
        <v>0</v>
      </c>
      <c r="Q2915" s="20" t="str">
        <f>IFERROR(__xludf.DUMMYFUNCTION("""COMPUTED_VALUE"""),"")</f>
        <v/>
      </c>
      <c r="R2915" s="21" t="str">
        <f>IFERROR(__xludf.DUMMYFUNCTION("""COMPUTED_VALUE"""),"https://drive.google.com/file/d/1GvyIuWFOeYPVnAeEzde21cT4rXfi-1Dl/view?usp=drivesdk")</f>
        <v>https://drive.google.com/file/d/1GvyIuWFOeYPVnAeEzde21cT4rXfi-1Dl/view?usp=drivesdk</v>
      </c>
    </row>
    <row r="2916">
      <c r="A2916" s="17" t="str">
        <f>IFERROR(__xludf.DUMMYFUNCTION("""COMPUTED_VALUE"""),"")</f>
        <v/>
      </c>
      <c r="B2916" s="17" t="str">
        <f>IFERROR(__xludf.DUMMYFUNCTION("""COMPUTED_VALUE"""),"")</f>
        <v/>
      </c>
      <c r="C2916" s="17" t="str">
        <f>IFERROR(__xludf.DUMMYFUNCTION("""COMPUTED_VALUE"""),"")</f>
        <v/>
      </c>
      <c r="D2916" s="17" t="str">
        <f>IFERROR(__xludf.DUMMYFUNCTION("""COMPUTED_VALUE"""),"")</f>
        <v/>
      </c>
      <c r="E2916" s="17" t="str">
        <f>IFERROR(__xludf.DUMMYFUNCTION("""COMPUTED_VALUE"""),"")</f>
        <v/>
      </c>
      <c r="F2916" s="17" t="str">
        <f>IFERROR(__xludf.DUMMYFUNCTION("""COMPUTED_VALUE"""),"")</f>
        <v/>
      </c>
      <c r="G2916" s="17" t="str">
        <f>IFERROR(__xludf.DUMMYFUNCTION("""COMPUTED_VALUE"""),"")</f>
        <v/>
      </c>
      <c r="H2916" s="17" t="str">
        <f>IFERROR(__xludf.DUMMYFUNCTION("""COMPUTED_VALUE"""),"")</f>
        <v/>
      </c>
      <c r="I2916" s="17" t="str">
        <f>IFERROR(__xludf.DUMMYFUNCTION("""COMPUTED_VALUE"""),"")</f>
        <v/>
      </c>
      <c r="J2916" s="17" t="str">
        <f>IFERROR(__xludf.DUMMYFUNCTION("""COMPUTED_VALUE"""),"")</f>
        <v/>
      </c>
      <c r="K2916" s="17" t="str">
        <f>IFERROR(__xludf.DUMMYFUNCTION("""COMPUTED_VALUE"""),"")</f>
        <v/>
      </c>
      <c r="L2916" s="17" t="str">
        <f>IFERROR(__xludf.DUMMYFUNCTION("""COMPUTED_VALUE"""),"")</f>
        <v/>
      </c>
      <c r="M2916" s="17" t="str">
        <f>IFERROR(__xludf.DUMMYFUNCTION("""COMPUTED_VALUE"""),"")</f>
        <v/>
      </c>
      <c r="N2916" s="17" t="str">
        <f>IFERROR(__xludf.DUMMYFUNCTION("""COMPUTED_VALUE"""),"")</f>
        <v/>
      </c>
      <c r="O2916" s="17" t="str">
        <f>IFERROR(__xludf.DUMMYFUNCTION("""COMPUTED_VALUE"""),"")</f>
        <v/>
      </c>
      <c r="P2916" s="17" t="str">
        <f>IFERROR(__xludf.DUMMYFUNCTION("""COMPUTED_VALUE"""),"")</f>
        <v/>
      </c>
      <c r="Q2916" s="17" t="str">
        <f>IFERROR(__xludf.DUMMYFUNCTION("""COMPUTED_VALUE"""),"")</f>
        <v/>
      </c>
      <c r="R2916" s="17" t="str">
        <f>IFERROR(__xludf.DUMMYFUNCTION("""COMPUTED_VALUE"""),"")</f>
        <v/>
      </c>
    </row>
    <row r="2917">
      <c r="A2917" s="15">
        <f>IFERROR(__xludf.DUMMYFUNCTION("""COMPUTED_VALUE"""),45086.0)</f>
        <v>45086</v>
      </c>
      <c r="B2917" s="16" t="str">
        <f>IFERROR(__xludf.DUMMYFUNCTION("""COMPUTED_VALUE"""),"Andres felipe maya bautista ")</f>
        <v>Andres felipe maya bautista </v>
      </c>
      <c r="C2917" s="15" t="str">
        <f>IFERROR(__xludf.DUMMYFUNCTION("""COMPUTED_VALUE"""),"BOGOTÁ")</f>
        <v>BOGOTÁ</v>
      </c>
      <c r="D2917" s="15" t="str">
        <f>IFERROR(__xludf.DUMMYFUNCTION("""COMPUTED_VALUE"""),"MEDELLÍN")</f>
        <v>MEDELLÍN</v>
      </c>
      <c r="E2917" s="15" t="str">
        <f>IFERROR(__xludf.DUMMYFUNCTION("""COMPUTED_VALUE"""),"Moloso S.A.S")</f>
        <v>Moloso S.A.S</v>
      </c>
      <c r="F2917" s="17" t="str">
        <f>IFERROR(__xludf.DUMMYFUNCTION("""COMPUTED_VALUE"""),"CRA 64 24 47 / INTERIOR 2. APTO.605")</f>
        <v>CRA 64 24 47 / INTERIOR 2. APTO.605</v>
      </c>
      <c r="G2917" s="15" t="str">
        <f>IFERROR(__xludf.DUMMYFUNCTION("""COMPUTED_VALUE"""),"ROSARIO ANDREA GÓMEZ RODRÍGUEZ")</f>
        <v>ROSARIO ANDREA GÓMEZ RODRÍGUEZ</v>
      </c>
      <c r="H2917" s="16">
        <f>IFERROR(__xludf.DUMMYFUNCTION("""COMPUTED_VALUE"""),11553.0)</f>
        <v>11553</v>
      </c>
      <c r="I2917" s="18">
        <f>IFERROR(__xludf.DUMMYFUNCTION("""COMPUTED_VALUE"""),17.0)</f>
        <v>17</v>
      </c>
      <c r="J2917" s="18">
        <f>IFERROR(__xludf.DUMMYFUNCTION("""COMPUTED_VALUE"""),15.0)</f>
        <v>15</v>
      </c>
      <c r="K2917" s="18">
        <f>IFERROR(__xludf.DUMMYFUNCTION("""COMPUTED_VALUE"""),28.0)</f>
        <v>28</v>
      </c>
      <c r="L2917" s="17" t="str">
        <f>IFERROR(__xludf.DUMMYFUNCTION("""COMPUTED_VALUE"""),"310 8539573")</f>
        <v>310 8539573</v>
      </c>
      <c r="M2917" s="17" t="str">
        <f>IFERROR(__xludf.DUMMYFUNCTION("""COMPUTED_VALUE"""),"#REF!")</f>
        <v>#REF!</v>
      </c>
      <c r="N2917" s="17"/>
      <c r="O2917" s="17"/>
      <c r="P2917" s="17" t="b">
        <f>IFERROR(__xludf.DUMMYFUNCTION("""COMPUTED_VALUE"""),FALSE)</f>
        <v>0</v>
      </c>
      <c r="Q2917" s="20" t="str">
        <f>IFERROR(__xludf.DUMMYFUNCTION("""COMPUTED_VALUE"""),"")</f>
        <v/>
      </c>
      <c r="R2917" s="22" t="str">
        <f>IFERROR(__xludf.DUMMYFUNCTION("""COMPUTED_VALUE"""),"")</f>
        <v/>
      </c>
    </row>
    <row r="2918">
      <c r="A2918" s="15">
        <f>IFERROR(__xludf.DUMMYFUNCTION("""COMPUTED_VALUE"""),45086.0)</f>
        <v>45086</v>
      </c>
      <c r="B2918" s="16" t="str">
        <f>IFERROR(__xludf.DUMMYFUNCTION("""COMPUTED_VALUE"""),"Andres felipe maya bautista ")</f>
        <v>Andres felipe maya bautista </v>
      </c>
      <c r="C2918" s="15" t="str">
        <f>IFERROR(__xludf.DUMMYFUNCTION("""COMPUTED_VALUE"""),"BOGOTÁ")</f>
        <v>BOGOTÁ</v>
      </c>
      <c r="D2918" s="15" t="str">
        <f>IFERROR(__xludf.DUMMYFUNCTION("""COMPUTED_VALUE"""),"MEDELLÍN")</f>
        <v>MEDELLÍN</v>
      </c>
      <c r="E2918" s="15" t="str">
        <f>IFERROR(__xludf.DUMMYFUNCTION("""COMPUTED_VALUE"""),"Rambla")</f>
        <v>Rambla</v>
      </c>
      <c r="F2918" s="17" t="str">
        <f>IFERROR(__xludf.DUMMYFUNCTION("""COMPUTED_VALUE"""),"Av Cra 9 # 113-52 local 306 / na / na")</f>
        <v>Av Cra 9 # 113-52 local 306 / na / na</v>
      </c>
      <c r="G2918" s="15" t="str">
        <f>IFERROR(__xludf.DUMMYFUNCTION("""COMPUTED_VALUE"""),"FRESHCO")</f>
        <v>FRESHCO</v>
      </c>
      <c r="H2918" s="16">
        <f>IFERROR(__xludf.DUMMYFUNCTION("""COMPUTED_VALUE"""),11545.0)</f>
        <v>11545</v>
      </c>
      <c r="I2918" s="18">
        <f>IFERROR(__xludf.DUMMYFUNCTION("""COMPUTED_VALUE"""),18.0)</f>
        <v>18</v>
      </c>
      <c r="J2918" s="18">
        <f>IFERROR(__xludf.DUMMYFUNCTION("""COMPUTED_VALUE"""),21.0)</f>
        <v>21</v>
      </c>
      <c r="K2918" s="18">
        <f>IFERROR(__xludf.DUMMYFUNCTION("""COMPUTED_VALUE"""),25.0)</f>
        <v>25</v>
      </c>
      <c r="L2918" s="17">
        <f>IFERROR(__xludf.DUMMYFUNCTION("""COMPUTED_VALUE"""),3.229417869E9)</f>
        <v>3229417869</v>
      </c>
      <c r="M2918" s="17" t="str">
        <f>IFERROR(__xludf.DUMMYFUNCTION("""COMPUTED_VALUE"""),"#REF!")</f>
        <v>#REF!</v>
      </c>
      <c r="N2918" s="17"/>
      <c r="O2918" s="17"/>
      <c r="P2918" s="17" t="b">
        <f>IFERROR(__xludf.DUMMYFUNCTION("""COMPUTED_VALUE"""),FALSE)</f>
        <v>0</v>
      </c>
      <c r="Q2918" s="20" t="str">
        <f>IFERROR(__xludf.DUMMYFUNCTION("""COMPUTED_VALUE"""),"")</f>
        <v/>
      </c>
      <c r="R2918" s="22" t="str">
        <f>IFERROR(__xludf.DUMMYFUNCTION("""COMPUTED_VALUE"""),"")</f>
        <v/>
      </c>
    </row>
    <row r="2919">
      <c r="A2919" s="15">
        <f>IFERROR(__xludf.DUMMYFUNCTION("""COMPUTED_VALUE"""),45086.0)</f>
        <v>45086</v>
      </c>
      <c r="B2919" s="16" t="str">
        <f>IFERROR(__xludf.DUMMYFUNCTION("""COMPUTED_VALUE"""),"Andres felipe maya bautista ")</f>
        <v>Andres felipe maya bautista </v>
      </c>
      <c r="C2919" s="15" t="str">
        <f>IFERROR(__xludf.DUMMYFUNCTION("""COMPUTED_VALUE"""),"BOGOTÁ")</f>
        <v>BOGOTÁ</v>
      </c>
      <c r="D2919" s="15" t="str">
        <f>IFERROR(__xludf.DUMMYFUNCTION("""COMPUTED_VALUE"""),"MEDELLÍN")</f>
        <v>MEDELLÍN</v>
      </c>
      <c r="E2919" s="15" t="str">
        <f>IFERROR(__xludf.DUMMYFUNCTION("""COMPUTED_VALUE"""),"Rambla")</f>
        <v>Rambla</v>
      </c>
      <c r="F2919" s="17" t="str">
        <f>IFERROR(__xludf.DUMMYFUNCTION("""COMPUTED_VALUE"""),"Calle 41 a número 8-25 bulevar 42 apto 707 b  / na / na")</f>
        <v>Calle 41 a número 8-25 bulevar 42 apto 707 b  / na / na</v>
      </c>
      <c r="G2919" s="15" t="str">
        <f>IFERROR(__xludf.DUMMYFUNCTION("""COMPUTED_VALUE"""),"Nutriclicstore")</f>
        <v>Nutriclicstore</v>
      </c>
      <c r="H2919" s="16">
        <f>IFERROR(__xludf.DUMMYFUNCTION("""COMPUTED_VALUE"""),11540.0)</f>
        <v>11540</v>
      </c>
      <c r="I2919" s="18">
        <f>IFERROR(__xludf.DUMMYFUNCTION("""COMPUTED_VALUE"""),18.0)</f>
        <v>18</v>
      </c>
      <c r="J2919" s="18">
        <f>IFERROR(__xludf.DUMMYFUNCTION("""COMPUTED_VALUE"""),21.0)</f>
        <v>21</v>
      </c>
      <c r="K2919" s="18">
        <f>IFERROR(__xludf.DUMMYFUNCTION("""COMPUTED_VALUE"""),25.0)</f>
        <v>25</v>
      </c>
      <c r="L2919" s="17">
        <f>IFERROR(__xludf.DUMMYFUNCTION("""COMPUTED_VALUE"""),3.102661625E9)</f>
        <v>3102661625</v>
      </c>
      <c r="M2919" s="17" t="str">
        <f>IFERROR(__xludf.DUMMYFUNCTION("""COMPUTED_VALUE"""),"#REF!")</f>
        <v>#REF!</v>
      </c>
      <c r="N2919" s="17"/>
      <c r="O2919" s="17"/>
      <c r="P2919" s="17" t="b">
        <f>IFERROR(__xludf.DUMMYFUNCTION("""COMPUTED_VALUE"""),FALSE)</f>
        <v>0</v>
      </c>
      <c r="Q2919" s="20" t="str">
        <f>IFERROR(__xludf.DUMMYFUNCTION("""COMPUTED_VALUE"""),"")</f>
        <v/>
      </c>
      <c r="R2919" s="21" t="str">
        <f>IFERROR(__xludf.DUMMYFUNCTION("""COMPUTED_VALUE"""),"https://drive.google.com/file/d/14AEHkrRE8BWe_WMavy_29ElM_3scsf1a/view?usp=drivesdk")</f>
        <v>https://drive.google.com/file/d/14AEHkrRE8BWe_WMavy_29ElM_3scsf1a/view?usp=drivesdk</v>
      </c>
    </row>
    <row r="2920">
      <c r="A2920" s="15">
        <f>IFERROR(__xludf.DUMMYFUNCTION("""COMPUTED_VALUE"""),45086.0)</f>
        <v>45086</v>
      </c>
      <c r="B2920" s="16" t="str">
        <f>IFERROR(__xludf.DUMMYFUNCTION("""COMPUTED_VALUE"""),"Andres felipe maya bautista ")</f>
        <v>Andres felipe maya bautista </v>
      </c>
      <c r="C2920" s="15" t="str">
        <f>IFERROR(__xludf.DUMMYFUNCTION("""COMPUTED_VALUE"""),"BOGOTÁ")</f>
        <v>BOGOTÁ</v>
      </c>
      <c r="D2920" s="15" t="str">
        <f>IFERROR(__xludf.DUMMYFUNCTION("""COMPUTED_VALUE"""),"MEDELLÍN")</f>
        <v>MEDELLÍN</v>
      </c>
      <c r="E2920" s="15" t="str">
        <f>IFERROR(__xludf.DUMMYFUNCTION("""COMPUTED_VALUE"""),"Rambla")</f>
        <v>Rambla</v>
      </c>
      <c r="F2920" s="17" t="str">
        <f>IFERROR(__xludf.DUMMYFUNCTION("""COMPUTED_VALUE"""),"Carrera 5 # 86-58 casa en bogota / na / na")</f>
        <v>Carrera 5 # 86-58 casa en bogota / na / na</v>
      </c>
      <c r="G2920" s="15" t="str">
        <f>IFERROR(__xludf.DUMMYFUNCTION("""COMPUTED_VALUE"""),"Alicia Maldonado")</f>
        <v>Alicia Maldonado</v>
      </c>
      <c r="H2920" s="16">
        <f>IFERROR(__xludf.DUMMYFUNCTION("""COMPUTED_VALUE"""),11546.0)</f>
        <v>11546</v>
      </c>
      <c r="I2920" s="18">
        <f>IFERROR(__xludf.DUMMYFUNCTION("""COMPUTED_VALUE"""),18.0)</f>
        <v>18</v>
      </c>
      <c r="J2920" s="18">
        <f>IFERROR(__xludf.DUMMYFUNCTION("""COMPUTED_VALUE"""),21.0)</f>
        <v>21</v>
      </c>
      <c r="K2920" s="18">
        <f>IFERROR(__xludf.DUMMYFUNCTION("""COMPUTED_VALUE"""),25.0)</f>
        <v>25</v>
      </c>
      <c r="L2920" s="17">
        <f>IFERROR(__xludf.DUMMYFUNCTION("""COMPUTED_VALUE"""),3.208309047E9)</f>
        <v>3208309047</v>
      </c>
      <c r="M2920" s="17" t="str">
        <f>IFERROR(__xludf.DUMMYFUNCTION("""COMPUTED_VALUE"""),"#REF!")</f>
        <v>#REF!</v>
      </c>
      <c r="N2920" s="17"/>
      <c r="O2920" s="17"/>
      <c r="P2920" s="17" t="b">
        <f>IFERROR(__xludf.DUMMYFUNCTION("""COMPUTED_VALUE"""),FALSE)</f>
        <v>0</v>
      </c>
      <c r="Q2920" s="20" t="str">
        <f>IFERROR(__xludf.DUMMYFUNCTION("""COMPUTED_VALUE"""),"")</f>
        <v/>
      </c>
      <c r="R2920" s="22" t="str">
        <f>IFERROR(__xludf.DUMMYFUNCTION("""COMPUTED_VALUE"""),"")</f>
        <v/>
      </c>
    </row>
    <row r="2921">
      <c r="A2921" s="15">
        <f>IFERROR(__xludf.DUMMYFUNCTION("""COMPUTED_VALUE"""),45086.0)</f>
        <v>45086</v>
      </c>
      <c r="B2921" s="16" t="str">
        <f>IFERROR(__xludf.DUMMYFUNCTION("""COMPUTED_VALUE"""),"Andres felipe maya bautista ")</f>
        <v>Andres felipe maya bautista </v>
      </c>
      <c r="C2921" s="15" t="str">
        <f>IFERROR(__xludf.DUMMYFUNCTION("""COMPUTED_VALUE"""),"BOGOTÁ")</f>
        <v>BOGOTÁ</v>
      </c>
      <c r="D2921" s="15" t="str">
        <f>IFERROR(__xludf.DUMMYFUNCTION("""COMPUTED_VALUE"""),"MEDELLÍN")</f>
        <v>MEDELLÍN</v>
      </c>
      <c r="E2921" s="15" t="str">
        <f>IFERROR(__xludf.DUMMYFUNCTION("""COMPUTED_VALUE"""),"Rambla")</f>
        <v>Rambla</v>
      </c>
      <c r="F2921" s="17" t="str">
        <f>IFERROR(__xludf.DUMMYFUNCTION("""COMPUTED_VALUE"""),"Cra 7 No. 88-96 apto 1401 Edificio Montecarlo. El Chicó / na / na")</f>
        <v>Cra 7 No. 88-96 apto 1401 Edificio Montecarlo. El Chicó / na / na</v>
      </c>
      <c r="G2921" s="15" t="str">
        <f>IFERROR(__xludf.DUMMYFUNCTION("""COMPUTED_VALUE"""),"Betty Vargas")</f>
        <v>Betty Vargas</v>
      </c>
      <c r="H2921" s="16">
        <f>IFERROR(__xludf.DUMMYFUNCTION("""COMPUTED_VALUE"""),11547.0)</f>
        <v>11547</v>
      </c>
      <c r="I2921" s="18">
        <f>IFERROR(__xludf.DUMMYFUNCTION("""COMPUTED_VALUE"""),18.0)</f>
        <v>18</v>
      </c>
      <c r="J2921" s="18">
        <f>IFERROR(__xludf.DUMMYFUNCTION("""COMPUTED_VALUE"""),21.0)</f>
        <v>21</v>
      </c>
      <c r="K2921" s="18">
        <f>IFERROR(__xludf.DUMMYFUNCTION("""COMPUTED_VALUE"""),25.0)</f>
        <v>25</v>
      </c>
      <c r="L2921" s="17">
        <f>IFERROR(__xludf.DUMMYFUNCTION("""COMPUTED_VALUE"""),3.167936595E9)</f>
        <v>3167936595</v>
      </c>
      <c r="M2921" s="17" t="str">
        <f>IFERROR(__xludf.DUMMYFUNCTION("""COMPUTED_VALUE"""),"#REF!")</f>
        <v>#REF!</v>
      </c>
      <c r="N2921" s="17"/>
      <c r="O2921" s="17"/>
      <c r="P2921" s="17" t="b">
        <f>IFERROR(__xludf.DUMMYFUNCTION("""COMPUTED_VALUE"""),FALSE)</f>
        <v>0</v>
      </c>
      <c r="Q2921" s="20" t="str">
        <f>IFERROR(__xludf.DUMMYFUNCTION("""COMPUTED_VALUE"""),"")</f>
        <v/>
      </c>
      <c r="R2921" s="22" t="str">
        <f>IFERROR(__xludf.DUMMYFUNCTION("""COMPUTED_VALUE"""),"")</f>
        <v/>
      </c>
    </row>
    <row r="2922">
      <c r="A2922" s="17" t="str">
        <f>IFERROR(__xludf.DUMMYFUNCTION("""COMPUTED_VALUE"""),"")</f>
        <v/>
      </c>
      <c r="B2922" s="17" t="str">
        <f>IFERROR(__xludf.DUMMYFUNCTION("""COMPUTED_VALUE"""),"")</f>
        <v/>
      </c>
      <c r="C2922" s="17" t="str">
        <f>IFERROR(__xludf.DUMMYFUNCTION("""COMPUTED_VALUE"""),"")</f>
        <v/>
      </c>
      <c r="D2922" s="17" t="str">
        <f>IFERROR(__xludf.DUMMYFUNCTION("""COMPUTED_VALUE"""),"")</f>
        <v/>
      </c>
      <c r="E2922" s="17" t="str">
        <f>IFERROR(__xludf.DUMMYFUNCTION("""COMPUTED_VALUE"""),"")</f>
        <v/>
      </c>
      <c r="F2922" s="17" t="str">
        <f>IFERROR(__xludf.DUMMYFUNCTION("""COMPUTED_VALUE"""),"")</f>
        <v/>
      </c>
      <c r="G2922" s="17" t="str">
        <f>IFERROR(__xludf.DUMMYFUNCTION("""COMPUTED_VALUE"""),"")</f>
        <v/>
      </c>
      <c r="H2922" s="17" t="str">
        <f>IFERROR(__xludf.DUMMYFUNCTION("""COMPUTED_VALUE"""),"")</f>
        <v/>
      </c>
      <c r="I2922" s="17" t="str">
        <f>IFERROR(__xludf.DUMMYFUNCTION("""COMPUTED_VALUE"""),"")</f>
        <v/>
      </c>
      <c r="J2922" s="17" t="str">
        <f>IFERROR(__xludf.DUMMYFUNCTION("""COMPUTED_VALUE"""),"")</f>
        <v/>
      </c>
      <c r="K2922" s="17" t="str">
        <f>IFERROR(__xludf.DUMMYFUNCTION("""COMPUTED_VALUE"""),"")</f>
        <v/>
      </c>
      <c r="L2922" s="17" t="str">
        <f>IFERROR(__xludf.DUMMYFUNCTION("""COMPUTED_VALUE"""),"")</f>
        <v/>
      </c>
      <c r="M2922" s="17" t="str">
        <f>IFERROR(__xludf.DUMMYFUNCTION("""COMPUTED_VALUE"""),"")</f>
        <v/>
      </c>
      <c r="N2922" s="17" t="str">
        <f>IFERROR(__xludf.DUMMYFUNCTION("""COMPUTED_VALUE"""),"")</f>
        <v/>
      </c>
      <c r="O2922" s="17" t="str">
        <f>IFERROR(__xludf.DUMMYFUNCTION("""COMPUTED_VALUE"""),"")</f>
        <v/>
      </c>
      <c r="P2922" s="17" t="str">
        <f>IFERROR(__xludf.DUMMYFUNCTION("""COMPUTED_VALUE"""),"")</f>
        <v/>
      </c>
      <c r="Q2922" s="17" t="str">
        <f>IFERROR(__xludf.DUMMYFUNCTION("""COMPUTED_VALUE"""),"")</f>
        <v/>
      </c>
      <c r="R2922" s="17" t="str">
        <f>IFERROR(__xludf.DUMMYFUNCTION("""COMPUTED_VALUE"""),"")</f>
        <v/>
      </c>
    </row>
    <row r="2923">
      <c r="A2923" s="15">
        <f>IFERROR(__xludf.DUMMYFUNCTION("""COMPUTED_VALUE"""),45086.0)</f>
        <v>45086</v>
      </c>
      <c r="B2923" s="16" t="str">
        <f>IFERROR(__xludf.DUMMYFUNCTION("""COMPUTED_VALUE"""),"Daniel José sandoval gonzalez")</f>
        <v>Daniel José sandoval gonzalez</v>
      </c>
      <c r="C2923" s="15" t="str">
        <f>IFERROR(__xludf.DUMMYFUNCTION("""COMPUTED_VALUE"""),"BARRANQUILLA")</f>
        <v>BARRANQUILLA</v>
      </c>
      <c r="D2923" s="15" t="str">
        <f>IFERROR(__xludf.DUMMYFUNCTION("""COMPUTED_VALUE"""),"BOGOTÁ")</f>
        <v>BOGOTÁ</v>
      </c>
      <c r="E2923" s="15" t="str">
        <f>IFERROR(__xludf.DUMMYFUNCTION("""COMPUTED_VALUE"""),"Asociacion Agropecuaria Juana Maria")</f>
        <v>Asociacion Agropecuaria Juana Maria</v>
      </c>
      <c r="F2923" s="17" t="str">
        <f>IFERROR(__xludf.DUMMYFUNCTION("""COMPUTED_VALUE"""),"Calle 82 # 49C-50 Local 3")</f>
        <v>Calle 82 # 49C-50 Local 3</v>
      </c>
      <c r="G2923" s="15" t="str">
        <f>IFERROR(__xludf.DUMMYFUNCTION("""COMPUTED_VALUE"""),"STALIN ALBERTO NAVARRO POLO")</f>
        <v>STALIN ALBERTO NAVARRO POLO</v>
      </c>
      <c r="H2923" s="16">
        <f>IFERROR(__xludf.DUMMYFUNCTION("""COMPUTED_VALUE"""),11307.0)</f>
        <v>11307</v>
      </c>
      <c r="I2923" s="18">
        <f>IFERROR(__xludf.DUMMYFUNCTION("""COMPUTED_VALUE"""),17.0)</f>
        <v>17</v>
      </c>
      <c r="J2923" s="18">
        <f>IFERROR(__xludf.DUMMYFUNCTION("""COMPUTED_VALUE"""),37.0)</f>
        <v>37</v>
      </c>
      <c r="K2923" s="18">
        <f>IFERROR(__xludf.DUMMYFUNCTION("""COMPUTED_VALUE"""),28.0)</f>
        <v>28</v>
      </c>
      <c r="L2923" s="17">
        <f>IFERROR(__xludf.DUMMYFUNCTION("""COMPUTED_VALUE"""),3.135021201E9)</f>
        <v>3135021201</v>
      </c>
      <c r="M2923" s="17" t="str">
        <f>IFERROR(__xludf.DUMMYFUNCTION("""COMPUTED_VALUE"""),"#REF!")</f>
        <v>#REF!</v>
      </c>
      <c r="N2923" s="17"/>
      <c r="O2923" s="17"/>
      <c r="P2923" s="17" t="b">
        <f>IFERROR(__xludf.DUMMYFUNCTION("""COMPUTED_VALUE"""),FALSE)</f>
        <v>0</v>
      </c>
      <c r="Q2923" s="20" t="str">
        <f>IFERROR(__xludf.DUMMYFUNCTION("""COMPUTED_VALUE"""),"")</f>
        <v/>
      </c>
      <c r="R2923" s="21" t="str">
        <f>IFERROR(__xludf.DUMMYFUNCTION("""COMPUTED_VALUE"""),"https://drive.google.com/file/d/1U8-__ejGJeC1MrVud6L1dLC6gKvM0sgE/view?usp=drivesdk")</f>
        <v>https://drive.google.com/file/d/1U8-__ejGJeC1MrVud6L1dLC6gKvM0sgE/view?usp=drivesdk</v>
      </c>
    </row>
    <row r="2924">
      <c r="A2924" s="15">
        <f>IFERROR(__xludf.DUMMYFUNCTION("""COMPUTED_VALUE"""),45086.0)</f>
        <v>45086</v>
      </c>
      <c r="B2924" s="16" t="str">
        <f>IFERROR(__xludf.DUMMYFUNCTION("""COMPUTED_VALUE"""),"Daniel José sandoval gonzalez")</f>
        <v>Daniel José sandoval gonzalez</v>
      </c>
      <c r="C2924" s="15" t="str">
        <f>IFERROR(__xludf.DUMMYFUNCTION("""COMPUTED_VALUE"""),"BARRANQUILLA")</f>
        <v>BARRANQUILLA</v>
      </c>
      <c r="D2924" s="15" t="str">
        <f>IFERROR(__xludf.DUMMYFUNCTION("""COMPUTED_VALUE"""),"BOGOTÁ")</f>
        <v>BOGOTÁ</v>
      </c>
      <c r="E2924" s="15" t="str">
        <f>IFERROR(__xludf.DUMMYFUNCTION("""COMPUTED_VALUE"""),"Evamazzita")</f>
        <v>Evamazzita</v>
      </c>
      <c r="F2924" s="17" t="str">
        <f>IFERROR(__xludf.DUMMYFUNCTION("""COMPUTED_VALUE"""),"carrera 50 # 46-93  / piso 2 apto 1 entrada principal por la calle 47  / (edificio de color blanco de esquina)  Barrio abajo")</f>
        <v>carrera 50 # 46-93  / piso 2 apto 1 entrada principal por la calle 47  / (edificio de color blanco de esquina)  Barrio abajo</v>
      </c>
      <c r="G2924" s="15" t="str">
        <f>IFERROR(__xludf.DUMMYFUNCTION("""COMPUTED_VALUE"""),"IVETH BARRERA REINA")</f>
        <v>IVETH BARRERA REINA</v>
      </c>
      <c r="H2924" s="16">
        <f>IFERROR(__xludf.DUMMYFUNCTION("""COMPUTED_VALUE"""),11491.0)</f>
        <v>11491</v>
      </c>
      <c r="I2924" s="18">
        <f>IFERROR(__xludf.DUMMYFUNCTION("""COMPUTED_VALUE"""),3.0)</f>
        <v>3</v>
      </c>
      <c r="J2924" s="18">
        <f>IFERROR(__xludf.DUMMYFUNCTION("""COMPUTED_VALUE"""),20.0)</f>
        <v>20</v>
      </c>
      <c r="K2924" s="18">
        <f>IFERROR(__xludf.DUMMYFUNCTION("""COMPUTED_VALUE"""),15.0)</f>
        <v>15</v>
      </c>
      <c r="L2924" s="17">
        <f>IFERROR(__xludf.DUMMYFUNCTION("""COMPUTED_VALUE"""),3.013669213E9)</f>
        <v>3013669213</v>
      </c>
      <c r="M2924" s="17" t="str">
        <f>IFERROR(__xludf.DUMMYFUNCTION("""COMPUTED_VALUE"""),"#REF!")</f>
        <v>#REF!</v>
      </c>
      <c r="N2924" s="17"/>
      <c r="O2924" s="17"/>
      <c r="P2924" s="17" t="b">
        <f>IFERROR(__xludf.DUMMYFUNCTION("""COMPUTED_VALUE"""),FALSE)</f>
        <v>0</v>
      </c>
      <c r="Q2924" s="20" t="str">
        <f>IFERROR(__xludf.DUMMYFUNCTION("""COMPUTED_VALUE"""),"")</f>
        <v/>
      </c>
      <c r="R2924" s="21" t="str">
        <f>IFERROR(__xludf.DUMMYFUNCTION("""COMPUTED_VALUE"""),"https://drive.google.com/file/d/1ljzeCMj1kBvjpRa-5h2QFdpy4aN2HqVj/view?usp=drivesdk")</f>
        <v>https://drive.google.com/file/d/1ljzeCMj1kBvjpRa-5h2QFdpy4aN2HqVj/view?usp=drivesdk</v>
      </c>
    </row>
    <row r="2925">
      <c r="A2925" s="15">
        <f>IFERROR(__xludf.DUMMYFUNCTION("""COMPUTED_VALUE"""),45086.0)</f>
        <v>45086</v>
      </c>
      <c r="B2925" s="16" t="str">
        <f>IFERROR(__xludf.DUMMYFUNCTION("""COMPUTED_VALUE"""),"Daniel José sandoval gonzalez")</f>
        <v>Daniel José sandoval gonzalez</v>
      </c>
      <c r="C2925" s="15" t="str">
        <f>IFERROR(__xludf.DUMMYFUNCTION("""COMPUTED_VALUE"""),"BARRANQUILLA")</f>
        <v>BARRANQUILLA</v>
      </c>
      <c r="D2925" s="15" t="str">
        <f>IFERROR(__xludf.DUMMYFUNCTION("""COMPUTED_VALUE"""),"BOGOTÁ")</f>
        <v>BOGOTÁ</v>
      </c>
      <c r="E2925" s="15" t="str">
        <f>IFERROR(__xludf.DUMMYFUNCTION("""COMPUTED_VALUE"""),"Evamazzita")</f>
        <v>Evamazzita</v>
      </c>
      <c r="F2925" s="17" t="str">
        <f>IFERROR(__xludf.DUMMYFUNCTION("""COMPUTED_VALUE"""),"Cra 42f no 79 60 /  ap 304  / Ciudad jardin")</f>
        <v>Cra 42f no 79 60 /  ap 304  / Ciudad jardin</v>
      </c>
      <c r="G2925" s="15" t="str">
        <f>IFERROR(__xludf.DUMMYFUNCTION("""COMPUTED_VALUE"""),"MARGARITA SILVA GARCIA")</f>
        <v>MARGARITA SILVA GARCIA</v>
      </c>
      <c r="H2925" s="16">
        <f>IFERROR(__xludf.DUMMYFUNCTION("""COMPUTED_VALUE"""),11490.0)</f>
        <v>11490</v>
      </c>
      <c r="I2925" s="18">
        <f>IFERROR(__xludf.DUMMYFUNCTION("""COMPUTED_VALUE"""),3.0)</f>
        <v>3</v>
      </c>
      <c r="J2925" s="18">
        <f>IFERROR(__xludf.DUMMYFUNCTION("""COMPUTED_VALUE"""),20.0)</f>
        <v>20</v>
      </c>
      <c r="K2925" s="18">
        <f>IFERROR(__xludf.DUMMYFUNCTION("""COMPUTED_VALUE"""),15.0)</f>
        <v>15</v>
      </c>
      <c r="L2925" s="17">
        <f>IFERROR(__xludf.DUMMYFUNCTION("""COMPUTED_VALUE"""),3.008157819E9)</f>
        <v>3008157819</v>
      </c>
      <c r="M2925" s="17" t="str">
        <f>IFERROR(__xludf.DUMMYFUNCTION("""COMPUTED_VALUE"""),"#REF!")</f>
        <v>#REF!</v>
      </c>
      <c r="N2925" s="17"/>
      <c r="O2925" s="17"/>
      <c r="P2925" s="17" t="b">
        <f>IFERROR(__xludf.DUMMYFUNCTION("""COMPUTED_VALUE"""),FALSE)</f>
        <v>0</v>
      </c>
      <c r="Q2925" s="20" t="str">
        <f>IFERROR(__xludf.DUMMYFUNCTION("""COMPUTED_VALUE"""),"")</f>
        <v/>
      </c>
      <c r="R2925" s="22" t="str">
        <f>IFERROR(__xludf.DUMMYFUNCTION("""COMPUTED_VALUE"""),"")</f>
        <v/>
      </c>
    </row>
    <row r="2926">
      <c r="A2926" s="15">
        <f>IFERROR(__xludf.DUMMYFUNCTION("""COMPUTED_VALUE"""),45086.0)</f>
        <v>45086</v>
      </c>
      <c r="B2926" s="16" t="str">
        <f>IFERROR(__xludf.DUMMYFUNCTION("""COMPUTED_VALUE"""),"Daniel José sandoval gonzalez")</f>
        <v>Daniel José sandoval gonzalez</v>
      </c>
      <c r="C2926" s="15" t="str">
        <f>IFERROR(__xludf.DUMMYFUNCTION("""COMPUTED_VALUE"""),"BARRANQUILLA")</f>
        <v>BARRANQUILLA</v>
      </c>
      <c r="D2926" s="15" t="str">
        <f>IFERROR(__xludf.DUMMYFUNCTION("""COMPUTED_VALUE"""),"BOGOTÁ")</f>
        <v>BOGOTÁ</v>
      </c>
      <c r="E2926" s="15" t="str">
        <f>IFERROR(__xludf.DUMMYFUNCTION("""COMPUTED_VALUE"""),"Frubits")</f>
        <v>Frubits</v>
      </c>
      <c r="F2926" s="17" t="str">
        <f>IFERROR(__xludf.DUMMYFUNCTION("""COMPUTED_VALUE"""),"calle 66 #41- 73 Barranquilla / calle 66 #41- 73 Barranquilla / calle 66 #41- 73 Barranquilla")</f>
        <v>calle 66 #41- 73 Barranquilla / calle 66 #41- 73 Barranquilla / calle 66 #41- 73 Barranquilla</v>
      </c>
      <c r="G2926" s="15" t="str">
        <f>IFERROR(__xludf.DUMMYFUNCTION("""COMPUTED_VALUE"""),"Pola Mercedes delgado")</f>
        <v>Pola Mercedes delgado</v>
      </c>
      <c r="H2926" s="16">
        <f>IFERROR(__xludf.DUMMYFUNCTION("""COMPUTED_VALUE"""),11502.0)</f>
        <v>11502</v>
      </c>
      <c r="I2926" s="18">
        <f>IFERROR(__xludf.DUMMYFUNCTION("""COMPUTED_VALUE"""),16.0)</f>
        <v>16</v>
      </c>
      <c r="J2926" s="18">
        <f>IFERROR(__xludf.DUMMYFUNCTION("""COMPUTED_VALUE"""),21.0)</f>
        <v>21</v>
      </c>
      <c r="K2926" s="18">
        <f>IFERROR(__xludf.DUMMYFUNCTION("""COMPUTED_VALUE"""),12.0)</f>
        <v>12</v>
      </c>
      <c r="L2926" s="17">
        <f>IFERROR(__xludf.DUMMYFUNCTION("""COMPUTED_VALUE"""),3.043640482E9)</f>
        <v>3043640482</v>
      </c>
      <c r="M2926" s="17" t="str">
        <f>IFERROR(__xludf.DUMMYFUNCTION("""COMPUTED_VALUE"""),"#REF!")</f>
        <v>#REF!</v>
      </c>
      <c r="N2926" s="17"/>
      <c r="O2926" s="17"/>
      <c r="P2926" s="17" t="b">
        <f>IFERROR(__xludf.DUMMYFUNCTION("""COMPUTED_VALUE"""),FALSE)</f>
        <v>0</v>
      </c>
      <c r="Q2926" s="20" t="str">
        <f>IFERROR(__xludf.DUMMYFUNCTION("""COMPUTED_VALUE"""),"")</f>
        <v/>
      </c>
      <c r="R2926" s="22" t="str">
        <f>IFERROR(__xludf.DUMMYFUNCTION("""COMPUTED_VALUE"""),"")</f>
        <v/>
      </c>
    </row>
    <row r="2927">
      <c r="A2927" s="15">
        <f>IFERROR(__xludf.DUMMYFUNCTION("""COMPUTED_VALUE"""),45086.0)</f>
        <v>45086</v>
      </c>
      <c r="B2927" s="16" t="str">
        <f>IFERROR(__xludf.DUMMYFUNCTION("""COMPUTED_VALUE"""),"Daniel José sandoval gonzalez")</f>
        <v>Daniel José sandoval gonzalez</v>
      </c>
      <c r="C2927" s="15" t="str">
        <f>IFERROR(__xludf.DUMMYFUNCTION("""COMPUTED_VALUE"""),"BARRANQUILLA")</f>
        <v>BARRANQUILLA</v>
      </c>
      <c r="D2927" s="15" t="str">
        <f>IFERROR(__xludf.DUMMYFUNCTION("""COMPUTED_VALUE"""),"BOGOTÁ")</f>
        <v>BOGOTÁ</v>
      </c>
      <c r="E2927" s="15" t="str">
        <f>IFERROR(__xludf.DUMMYFUNCTION("""COMPUTED_VALUE"""),"MAI ALIMENTOS REALES")</f>
        <v>MAI ALIMENTOS REALES</v>
      </c>
      <c r="F2927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2927" s="15" t="str">
        <f>IFERROR(__xludf.DUMMYFUNCTION("""COMPUTED_VALUE"""),"Fithub")</f>
        <v>Fithub</v>
      </c>
      <c r="H2927" s="16">
        <f>IFERROR(__xludf.DUMMYFUNCTION("""COMPUTED_VALUE"""),11379.0)</f>
        <v>11379</v>
      </c>
      <c r="I2927" s="17"/>
      <c r="J2927" s="17"/>
      <c r="K2927" s="17"/>
      <c r="L2927" s="17">
        <f>IFERROR(__xludf.DUMMYFUNCTION("""COMPUTED_VALUE"""),0.0)</f>
        <v>0</v>
      </c>
      <c r="M2927" s="17" t="str">
        <f>IFERROR(__xludf.DUMMYFUNCTION("""COMPUTED_VALUE"""),"#REF!")</f>
        <v>#REF!</v>
      </c>
      <c r="N2927" s="17"/>
      <c r="O2927" s="17"/>
      <c r="P2927" s="17" t="b">
        <f>IFERROR(__xludf.DUMMYFUNCTION("""COMPUTED_VALUE"""),FALSE)</f>
        <v>0</v>
      </c>
      <c r="Q2927" s="20" t="str">
        <f>IFERROR(__xludf.DUMMYFUNCTION("""COMPUTED_VALUE"""),"")</f>
        <v/>
      </c>
      <c r="R2927" s="21" t="str">
        <f>IFERROR(__xludf.DUMMYFUNCTION("""COMPUTED_VALUE"""),"https://drive.google.com/file/d/1taGf26ce9yUugUUUwJyFopvftOS2YcNF/view?usp=drivesdk")</f>
        <v>https://drive.google.com/file/d/1taGf26ce9yUugUUUwJyFopvftOS2YcNF/view?usp=drivesdk</v>
      </c>
    </row>
    <row r="2928">
      <c r="A2928" s="15">
        <f>IFERROR(__xludf.DUMMYFUNCTION("""COMPUTED_VALUE"""),45086.0)</f>
        <v>45086</v>
      </c>
      <c r="B2928" s="16" t="str">
        <f>IFERROR(__xludf.DUMMYFUNCTION("""COMPUTED_VALUE"""),"Daniel José sandoval gonzalez")</f>
        <v>Daniel José sandoval gonzalez</v>
      </c>
      <c r="C2928" s="15" t="str">
        <f>IFERROR(__xludf.DUMMYFUNCTION("""COMPUTED_VALUE"""),"BARRANQUILLA")</f>
        <v>BARRANQUILLA</v>
      </c>
      <c r="D2928" s="15" t="str">
        <f>IFERROR(__xludf.DUMMYFUNCTION("""COMPUTED_VALUE"""),"BOGOTÁ")</f>
        <v>BOGOTÁ</v>
      </c>
      <c r="E2928" s="15" t="str">
        <f>IFERROR(__xludf.DUMMYFUNCTION("""COMPUTED_VALUE"""),"Pan de Waffle")</f>
        <v>Pan de Waffle</v>
      </c>
      <c r="F2928" s="17" t="str">
        <f>IFERROR(__xludf.DUMMYFUNCTION("""COMPUTED_VALUE"""),"Carrera 45 # 85 - 168 / Carrera 45 # 85 - 168 / Carrera 45 # 85 - 168")</f>
        <v>Carrera 45 # 85 - 168 / Carrera 45 # 85 - 168 / Carrera 45 # 85 - 168</v>
      </c>
      <c r="G2928" s="15" t="str">
        <f>IFERROR(__xludf.DUMMYFUNCTION("""COMPUTED_VALUE"""),"FOODOLOGY- BARRANQUILLA")</f>
        <v>FOODOLOGY- BARRANQUILLA</v>
      </c>
      <c r="H2928" s="16">
        <f>IFERROR(__xludf.DUMMYFUNCTION("""COMPUTED_VALUE"""),11530.0)</f>
        <v>11530</v>
      </c>
      <c r="I2928" s="18">
        <f>IFERROR(__xludf.DUMMYFUNCTION("""COMPUTED_VALUE"""),30.0)</f>
        <v>30</v>
      </c>
      <c r="J2928" s="18">
        <f>IFERROR(__xludf.DUMMYFUNCTION("""COMPUTED_VALUE"""),40.0)</f>
        <v>40</v>
      </c>
      <c r="K2928" s="18">
        <f>IFERROR(__xludf.DUMMYFUNCTION("""COMPUTED_VALUE"""),30.0)</f>
        <v>30</v>
      </c>
      <c r="L2928" s="17">
        <f>IFERROR(__xludf.DUMMYFUNCTION("""COMPUTED_VALUE"""),3.017001909E9)</f>
        <v>3017001909</v>
      </c>
      <c r="M2928" s="17" t="str">
        <f>IFERROR(__xludf.DUMMYFUNCTION("""COMPUTED_VALUE"""),"#REF!")</f>
        <v>#REF!</v>
      </c>
      <c r="N2928" s="17"/>
      <c r="O2928" s="17"/>
      <c r="P2928" s="17" t="b">
        <f>IFERROR(__xludf.DUMMYFUNCTION("""COMPUTED_VALUE"""),FALSE)</f>
        <v>0</v>
      </c>
      <c r="Q2928" s="20" t="str">
        <f>IFERROR(__xludf.DUMMYFUNCTION("""COMPUTED_VALUE"""),"")</f>
        <v/>
      </c>
      <c r="R2928" s="22" t="str">
        <f>IFERROR(__xludf.DUMMYFUNCTION("""COMPUTED_VALUE"""),"")</f>
        <v/>
      </c>
    </row>
    <row r="2929">
      <c r="A2929" s="15">
        <f>IFERROR(__xludf.DUMMYFUNCTION("""COMPUTED_VALUE"""),45086.0)</f>
        <v>45086</v>
      </c>
      <c r="B2929" s="16" t="str">
        <f>IFERROR(__xludf.DUMMYFUNCTION("""COMPUTED_VALUE"""),"Daniel José sandoval gonzalez")</f>
        <v>Daniel José sandoval gonzalez</v>
      </c>
      <c r="C2929" s="15" t="str">
        <f>IFERROR(__xludf.DUMMYFUNCTION("""COMPUTED_VALUE"""),"BARRANQUILLA")</f>
        <v>BARRANQUILLA</v>
      </c>
      <c r="D2929" s="15" t="str">
        <f>IFERROR(__xludf.DUMMYFUNCTION("""COMPUTED_VALUE"""),"MEDELLÍN")</f>
        <v>MEDELLÍN</v>
      </c>
      <c r="E2929" s="15" t="str">
        <f>IFERROR(__xludf.DUMMYFUNCTION("""COMPUTED_VALUE"""),"AREPAS LA MARY")</f>
        <v>AREPAS LA MARY</v>
      </c>
      <c r="F2929" s="17" t="str">
        <f>IFERROR(__xludf.DUMMYFUNCTION("""COMPUTED_VALUE"""),"CARRERA51#76-126 APTO 1301 / ED. PARQUE AVENIDA")</f>
        <v>CARRERA51#76-126 APTO 1301 / ED. PARQUE AVENIDA</v>
      </c>
      <c r="G2929" s="15" t="str">
        <f>IFERROR(__xludf.DUMMYFUNCTION("""COMPUTED_VALUE"""),"LILIANA CASTILLO")</f>
        <v>LILIANA CASTILLO</v>
      </c>
      <c r="H2929" s="16">
        <f>IFERROR(__xludf.DUMMYFUNCTION("""COMPUTED_VALUE"""),11489.0)</f>
        <v>11489</v>
      </c>
      <c r="I2929" s="18">
        <f>IFERROR(__xludf.DUMMYFUNCTION("""COMPUTED_VALUE"""),89.0)</f>
        <v>89</v>
      </c>
      <c r="J2929" s="18">
        <f>IFERROR(__xludf.DUMMYFUNCTION("""COMPUTED_VALUE"""),1.0)</f>
        <v>1</v>
      </c>
      <c r="K2929" s="18">
        <f>IFERROR(__xludf.DUMMYFUNCTION("""COMPUTED_VALUE"""),10.0)</f>
        <v>10</v>
      </c>
      <c r="L2929" s="17" t="str">
        <f>IFERROR(__xludf.DUMMYFUNCTION("""COMPUTED_VALUE"""),"315 7216905")</f>
        <v>315 7216905</v>
      </c>
      <c r="M2929" s="17" t="str">
        <f>IFERROR(__xludf.DUMMYFUNCTION("""COMPUTED_VALUE"""),"#REF!")</f>
        <v>#REF!</v>
      </c>
      <c r="N2929" s="17"/>
      <c r="O2929" s="17"/>
      <c r="P2929" s="17" t="b">
        <f>IFERROR(__xludf.DUMMYFUNCTION("""COMPUTED_VALUE"""),FALSE)</f>
        <v>0</v>
      </c>
      <c r="Q2929" s="20" t="str">
        <f>IFERROR(__xludf.DUMMYFUNCTION("""COMPUTED_VALUE"""),"")</f>
        <v/>
      </c>
      <c r="R2929" s="21" t="str">
        <f>IFERROR(__xludf.DUMMYFUNCTION("""COMPUTED_VALUE"""),"https://drive.google.com/file/d/159ZAV1RdH1viKPOJhOqWL7x5_3fTSVlp/view?usp=drivesdk")</f>
        <v>https://drive.google.com/file/d/159ZAV1RdH1viKPOJhOqWL7x5_3fTSVlp/view?usp=drivesdk</v>
      </c>
    </row>
    <row r="2930">
      <c r="A2930" s="15">
        <f>IFERROR(__xludf.DUMMYFUNCTION("""COMPUTED_VALUE"""),45086.0)</f>
        <v>45086</v>
      </c>
      <c r="B2930" s="16" t="str">
        <f>IFERROR(__xludf.DUMMYFUNCTION("""COMPUTED_VALUE"""),"Daniel José sandoval gonzalez")</f>
        <v>Daniel José sandoval gonzalez</v>
      </c>
      <c r="C2930" s="15" t="str">
        <f>IFERROR(__xludf.DUMMYFUNCTION("""COMPUTED_VALUE"""),"BARRANQUILLA")</f>
        <v>BARRANQUILLA</v>
      </c>
      <c r="D2930" s="15" t="str">
        <f>IFERROR(__xludf.DUMMYFUNCTION("""COMPUTED_VALUE"""),"MEDELLÍN")</f>
        <v>MEDELLÍN</v>
      </c>
      <c r="E2930" s="15" t="str">
        <f>IFERROR(__xludf.DUMMYFUNCTION("""COMPUTED_VALUE"""),"AREPAS LA MARY")</f>
        <v>AREPAS LA MARY</v>
      </c>
      <c r="F2930" s="17" t="str">
        <f>IFERROR(__xludf.DUMMYFUNCTION("""COMPUTED_VALUE"""),"CRA 57 N.82 83 APTO 18A / PAR 57")</f>
        <v>CRA 57 N.82 83 APTO 18A / PAR 57</v>
      </c>
      <c r="G2930" s="15" t="str">
        <f>IFERROR(__xludf.DUMMYFUNCTION("""COMPUTED_VALUE"""),"CAMILA OLACIREGUI")</f>
        <v>CAMILA OLACIREGUI</v>
      </c>
      <c r="H2930" s="16">
        <f>IFERROR(__xludf.DUMMYFUNCTION("""COMPUTED_VALUE"""),11412.0)</f>
        <v>11412</v>
      </c>
      <c r="I2930" s="18">
        <f>IFERROR(__xludf.DUMMYFUNCTION("""COMPUTED_VALUE"""),89.0)</f>
        <v>89</v>
      </c>
      <c r="J2930" s="18">
        <f>IFERROR(__xludf.DUMMYFUNCTION("""COMPUTED_VALUE"""),1.0)</f>
        <v>1</v>
      </c>
      <c r="K2930" s="18">
        <f>IFERROR(__xludf.DUMMYFUNCTION("""COMPUTED_VALUE"""),10.0)</f>
        <v>10</v>
      </c>
      <c r="L2930" s="17">
        <f>IFERROR(__xludf.DUMMYFUNCTION("""COMPUTED_VALUE"""),3.10444397E9)</f>
        <v>3104443970</v>
      </c>
      <c r="M2930" s="17" t="str">
        <f>IFERROR(__xludf.DUMMYFUNCTION("""COMPUTED_VALUE"""),"#REF!")</f>
        <v>#REF!</v>
      </c>
      <c r="N2930" s="17"/>
      <c r="O2930" s="17"/>
      <c r="P2930" s="17" t="b">
        <f>IFERROR(__xludf.DUMMYFUNCTION("""COMPUTED_VALUE"""),FALSE)</f>
        <v>0</v>
      </c>
      <c r="Q2930" s="20" t="str">
        <f>IFERROR(__xludf.DUMMYFUNCTION("""COMPUTED_VALUE"""),"")</f>
        <v/>
      </c>
      <c r="R2930" s="21" t="str">
        <f>IFERROR(__xludf.DUMMYFUNCTION("""COMPUTED_VALUE"""),"https://drive.google.com/file/d/1tgmcGKuKQhO6gfy5hwavHOBxjevqvvhp/view?usp=drivesdk")</f>
        <v>https://drive.google.com/file/d/1tgmcGKuKQhO6gfy5hwavHOBxjevqvvhp/view?usp=drivesdk</v>
      </c>
    </row>
    <row r="2931">
      <c r="A2931" s="15">
        <f>IFERROR(__xludf.DUMMYFUNCTION("""COMPUTED_VALUE"""),45086.0)</f>
        <v>45086</v>
      </c>
      <c r="B2931" s="16" t="str">
        <f>IFERROR(__xludf.DUMMYFUNCTION("""COMPUTED_VALUE"""),"Daniel José sandoval gonzalez")</f>
        <v>Daniel José sandoval gonzalez</v>
      </c>
      <c r="C2931" s="15" t="str">
        <f>IFERROR(__xludf.DUMMYFUNCTION("""COMPUTED_VALUE"""),"BARRANQUILLA")</f>
        <v>BARRANQUILLA</v>
      </c>
      <c r="D2931" s="15" t="str">
        <f>IFERROR(__xludf.DUMMYFUNCTION("""COMPUTED_VALUE"""),"MEDELLÍN")</f>
        <v>MEDELLÍN</v>
      </c>
      <c r="E2931" s="15" t="str">
        <f>IFERROR(__xludf.DUMMYFUNCTION("""COMPUTED_VALUE"""),"Baby Chef")</f>
        <v>Baby Chef</v>
      </c>
      <c r="F2931" s="17" t="str">
        <f>IFERROR(__xludf.DUMMYFUNCTION("""COMPUTED_VALUE"""),"Calle 100 no 42 f- 100, torre 10, apto 402 / parque 100, miramar el tabor  / cerca al centro comercial miramar")</f>
        <v>Calle 100 no 42 f- 100, torre 10, apto 402 / parque 100, miramar el tabor  / cerca al centro comercial miramar</v>
      </c>
      <c r="G2931" s="15" t="str">
        <f>IFERROR(__xludf.DUMMYFUNCTION("""COMPUTED_VALUE"""),"Wendy Angulo")</f>
        <v>Wendy Angulo</v>
      </c>
      <c r="H2931" s="16">
        <f>IFERROR(__xludf.DUMMYFUNCTION("""COMPUTED_VALUE"""),11505.0)</f>
        <v>11505</v>
      </c>
      <c r="I2931" s="18">
        <f>IFERROR(__xludf.DUMMYFUNCTION("""COMPUTED_VALUE"""),8.0)</f>
        <v>8</v>
      </c>
      <c r="J2931" s="18">
        <f>IFERROR(__xludf.DUMMYFUNCTION("""COMPUTED_VALUE"""),16.0)</f>
        <v>16</v>
      </c>
      <c r="K2931" s="18">
        <f>IFERROR(__xludf.DUMMYFUNCTION("""COMPUTED_VALUE"""),20.0)</f>
        <v>20</v>
      </c>
      <c r="L2931" s="17">
        <f>IFERROR(__xludf.DUMMYFUNCTION("""COMPUTED_VALUE"""),3.022448188E9)</f>
        <v>3022448188</v>
      </c>
      <c r="M2931" s="17" t="str">
        <f>IFERROR(__xludf.DUMMYFUNCTION("""COMPUTED_VALUE"""),"#REF!")</f>
        <v>#REF!</v>
      </c>
      <c r="N2931" s="17"/>
      <c r="O2931" s="17"/>
      <c r="P2931" s="17" t="b">
        <f>IFERROR(__xludf.DUMMYFUNCTION("""COMPUTED_VALUE"""),FALSE)</f>
        <v>0</v>
      </c>
      <c r="Q2931" s="20" t="str">
        <f>IFERROR(__xludf.DUMMYFUNCTION("""COMPUTED_VALUE"""),"")</f>
        <v/>
      </c>
      <c r="R2931" s="21" t="str">
        <f>IFERROR(__xludf.DUMMYFUNCTION("""COMPUTED_VALUE"""),"https://drive.google.com/file/d/1Fs7nKUsPNTuCT-4w6rbyYP95wOVNNopN/view?usp=drivesdk")</f>
        <v>https://drive.google.com/file/d/1Fs7nKUsPNTuCT-4w6rbyYP95wOVNNopN/view?usp=drivesdk</v>
      </c>
    </row>
    <row r="2932">
      <c r="A2932" s="15">
        <f>IFERROR(__xludf.DUMMYFUNCTION("""COMPUTED_VALUE"""),45086.0)</f>
        <v>45086</v>
      </c>
      <c r="B2932" s="16" t="str">
        <f>IFERROR(__xludf.DUMMYFUNCTION("""COMPUTED_VALUE"""),"Daniel José sandoval gonzalez")</f>
        <v>Daniel José sandoval gonzalez</v>
      </c>
      <c r="C2932" s="15" t="str">
        <f>IFERROR(__xludf.DUMMYFUNCTION("""COMPUTED_VALUE"""),"BARRANQUILLA")</f>
        <v>BARRANQUILLA</v>
      </c>
      <c r="D2932" s="15" t="str">
        <f>IFERROR(__xludf.DUMMYFUNCTION("""COMPUTED_VALUE"""),"MEDELLÍN")</f>
        <v>MEDELLÍN</v>
      </c>
      <c r="E2932" s="15" t="str">
        <f>IFERROR(__xludf.DUMMYFUNCTION("""COMPUTED_VALUE"""),"Baby Chef")</f>
        <v>Baby Chef</v>
      </c>
      <c r="F2932" s="17" t="str">
        <f>IFERROR(__xludf.DUMMYFUNCTION("""COMPUTED_VALUE"""),"Calle 3 num 51 b - 137  / casa 47 conjunto corales 1 barrio villa campestre  / barranquilla")</f>
        <v>Calle 3 num 51 b - 137  / casa 47 conjunto corales 1 barrio villa campestre  / barranquilla</v>
      </c>
      <c r="G2932" s="15" t="str">
        <f>IFERROR(__xludf.DUMMYFUNCTION("""COMPUTED_VALUE"""),"Ingrith Paola Ocampo")</f>
        <v>Ingrith Paola Ocampo</v>
      </c>
      <c r="H2932" s="16">
        <f>IFERROR(__xludf.DUMMYFUNCTION("""COMPUTED_VALUE"""),11506.0)</f>
        <v>11506</v>
      </c>
      <c r="I2932" s="18">
        <f>IFERROR(__xludf.DUMMYFUNCTION("""COMPUTED_VALUE"""),8.0)</f>
        <v>8</v>
      </c>
      <c r="J2932" s="18">
        <f>IFERROR(__xludf.DUMMYFUNCTION("""COMPUTED_VALUE"""),16.0)</f>
        <v>16</v>
      </c>
      <c r="K2932" s="18">
        <f>IFERROR(__xludf.DUMMYFUNCTION("""COMPUTED_VALUE"""),20.0)</f>
        <v>20</v>
      </c>
      <c r="L2932" s="17">
        <f>IFERROR(__xludf.DUMMYFUNCTION("""COMPUTED_VALUE"""),3.013322969E9)</f>
        <v>3013322969</v>
      </c>
      <c r="M2932" s="17" t="str">
        <f>IFERROR(__xludf.DUMMYFUNCTION("""COMPUTED_VALUE"""),"#REF!")</f>
        <v>#REF!</v>
      </c>
      <c r="N2932" s="17"/>
      <c r="O2932" s="17"/>
      <c r="P2932" s="17" t="b">
        <f>IFERROR(__xludf.DUMMYFUNCTION("""COMPUTED_VALUE"""),FALSE)</f>
        <v>0</v>
      </c>
      <c r="Q2932" s="20" t="str">
        <f>IFERROR(__xludf.DUMMYFUNCTION("""COMPUTED_VALUE"""),"")</f>
        <v/>
      </c>
      <c r="R2932" s="21" t="str">
        <f>IFERROR(__xludf.DUMMYFUNCTION("""COMPUTED_VALUE"""),"https://drive.google.com/file/d/1LlayZjDIUL2MPQiEUdZ2dr-FmIvWGbpc/view?usp=drivesdk")</f>
        <v>https://drive.google.com/file/d/1LlayZjDIUL2MPQiEUdZ2dr-FmIvWGbpc/view?usp=drivesdk</v>
      </c>
    </row>
    <row r="2933">
      <c r="A2933" s="15">
        <f>IFERROR(__xludf.DUMMYFUNCTION("""COMPUTED_VALUE"""),45086.0)</f>
        <v>45086</v>
      </c>
      <c r="B2933" s="16" t="str">
        <f>IFERROR(__xludf.DUMMYFUNCTION("""COMPUTED_VALUE"""),"Daniel José sandoval gonzalez")</f>
        <v>Daniel José sandoval gonzalez</v>
      </c>
      <c r="C2933" s="15" t="str">
        <f>IFERROR(__xludf.DUMMYFUNCTION("""COMPUTED_VALUE"""),"BARRANQUILLA")</f>
        <v>BARRANQUILLA</v>
      </c>
      <c r="D2933" s="15" t="str">
        <f>IFERROR(__xludf.DUMMYFUNCTION("""COMPUTED_VALUE"""),"MEDELLÍN")</f>
        <v>MEDELLÍN</v>
      </c>
      <c r="E2933" s="15" t="str">
        <f>IFERROR(__xludf.DUMMYFUNCTION("""COMPUTED_VALUE"""),"Baby Chef")</f>
        <v>Baby Chef</v>
      </c>
      <c r="F2933" s="17" t="str">
        <f>IFERROR(__xludf.DUMMYFUNCTION("""COMPUTED_VALUE"""),"cra 18 no 26 - 118  / barrio las nieves  / barranquilla")</f>
        <v>cra 18 no 26 - 118  / barrio las nieves  / barranquilla</v>
      </c>
      <c r="G2933" s="15" t="str">
        <f>IFERROR(__xludf.DUMMYFUNCTION("""COMPUTED_VALUE"""),"Karen Madrid Velez")</f>
        <v>Karen Madrid Velez</v>
      </c>
      <c r="H2933" s="16">
        <f>IFERROR(__xludf.DUMMYFUNCTION("""COMPUTED_VALUE"""),11508.0)</f>
        <v>11508</v>
      </c>
      <c r="I2933" s="18">
        <f>IFERROR(__xludf.DUMMYFUNCTION("""COMPUTED_VALUE"""),8.0)</f>
        <v>8</v>
      </c>
      <c r="J2933" s="18">
        <f>IFERROR(__xludf.DUMMYFUNCTION("""COMPUTED_VALUE"""),16.0)</f>
        <v>16</v>
      </c>
      <c r="K2933" s="18">
        <f>IFERROR(__xludf.DUMMYFUNCTION("""COMPUTED_VALUE"""),20.0)</f>
        <v>20</v>
      </c>
      <c r="L2933" s="17">
        <f>IFERROR(__xludf.DUMMYFUNCTION("""COMPUTED_VALUE"""),3.00735457E9)</f>
        <v>3007354570</v>
      </c>
      <c r="M2933" s="17" t="str">
        <f>IFERROR(__xludf.DUMMYFUNCTION("""COMPUTED_VALUE"""),"#REF!")</f>
        <v>#REF!</v>
      </c>
      <c r="N2933" s="17"/>
      <c r="O2933" s="17"/>
      <c r="P2933" s="17" t="b">
        <f>IFERROR(__xludf.DUMMYFUNCTION("""COMPUTED_VALUE"""),FALSE)</f>
        <v>0</v>
      </c>
      <c r="Q2933" s="20" t="str">
        <f>IFERROR(__xludf.DUMMYFUNCTION("""COMPUTED_VALUE"""),"")</f>
        <v/>
      </c>
      <c r="R2933" s="21" t="str">
        <f>IFERROR(__xludf.DUMMYFUNCTION("""COMPUTED_VALUE"""),"https://drive.google.com/file/d/1Olh9up1KfGsrwQNdcEiT4DiNJKjMRrYn/view?usp=drivesdk")</f>
        <v>https://drive.google.com/file/d/1Olh9up1KfGsrwQNdcEiT4DiNJKjMRrYn/view?usp=drivesdk</v>
      </c>
    </row>
    <row r="2934">
      <c r="A2934" s="15">
        <f>IFERROR(__xludf.DUMMYFUNCTION("""COMPUTED_VALUE"""),45086.0)</f>
        <v>45086</v>
      </c>
      <c r="B2934" s="16" t="str">
        <f>IFERROR(__xludf.DUMMYFUNCTION("""COMPUTED_VALUE"""),"Daniel José sandoval gonzalez")</f>
        <v>Daniel José sandoval gonzalez</v>
      </c>
      <c r="C2934" s="15" t="str">
        <f>IFERROR(__xludf.DUMMYFUNCTION("""COMPUTED_VALUE"""),"BARRANQUILLA")</f>
        <v>BARRANQUILLA</v>
      </c>
      <c r="D2934" s="15" t="str">
        <f>IFERROR(__xludf.DUMMYFUNCTION("""COMPUTED_VALUE"""),"MEDELLÍN")</f>
        <v>MEDELLÍN</v>
      </c>
      <c r="E2934" s="15" t="str">
        <f>IFERROR(__xludf.DUMMYFUNCTION("""COMPUTED_VALUE"""),"Magda")</f>
        <v>Magda</v>
      </c>
      <c r="F2934" s="17" t="str">
        <f>IFERROR(__xludf.DUMMYFUNCTION("""COMPUTED_VALUE"""),"Cra 53 No. 68-55 / cocina oculta / Alto Prado")</f>
        <v>Cra 53 No. 68-55 / cocina oculta / Alto Prado</v>
      </c>
      <c r="G2934" s="15" t="str">
        <f>IFERROR(__xludf.DUMMYFUNCTION("""COMPUTED_VALUE"""),"María José Cervantes")</f>
        <v>María José Cervantes</v>
      </c>
      <c r="H2934" s="16">
        <f>IFERROR(__xludf.DUMMYFUNCTION("""COMPUTED_VALUE"""),11525.0)</f>
        <v>11525</v>
      </c>
      <c r="I2934" s="18">
        <f>IFERROR(__xludf.DUMMYFUNCTION("""COMPUTED_VALUE"""),5.0)</f>
        <v>5</v>
      </c>
      <c r="J2934" s="18">
        <f>IFERROR(__xludf.DUMMYFUNCTION("""COMPUTED_VALUE"""),5.0)</f>
        <v>5</v>
      </c>
      <c r="K2934" s="18">
        <f>IFERROR(__xludf.DUMMYFUNCTION("""COMPUTED_VALUE"""),5.0)</f>
        <v>5</v>
      </c>
      <c r="L2934" s="17">
        <f>IFERROR(__xludf.DUMMYFUNCTION("""COMPUTED_VALUE"""),3.113152215E9)</f>
        <v>3113152215</v>
      </c>
      <c r="M2934" s="17" t="str">
        <f>IFERROR(__xludf.DUMMYFUNCTION("""COMPUTED_VALUE"""),"#REF!")</f>
        <v>#REF!</v>
      </c>
      <c r="N2934" s="17"/>
      <c r="O2934" s="17"/>
      <c r="P2934" s="17" t="b">
        <f>IFERROR(__xludf.DUMMYFUNCTION("""COMPUTED_VALUE"""),FALSE)</f>
        <v>0</v>
      </c>
      <c r="Q2934" s="20" t="str">
        <f>IFERROR(__xludf.DUMMYFUNCTION("""COMPUTED_VALUE"""),"")</f>
        <v/>
      </c>
      <c r="R2934" s="21" t="str">
        <f>IFERROR(__xludf.DUMMYFUNCTION("""COMPUTED_VALUE"""),"https://drive.google.com/file/d/1ANs3En5AbJMTOSrs3qPRy-ZGIrIGzDyN/view?usp=drivesdk")</f>
        <v>https://drive.google.com/file/d/1ANs3En5AbJMTOSrs3qPRy-ZGIrIGzDyN/view?usp=drivesdk</v>
      </c>
    </row>
    <row r="2935">
      <c r="A2935" s="15">
        <f>IFERROR(__xludf.DUMMYFUNCTION("""COMPUTED_VALUE"""),45086.0)</f>
        <v>45086</v>
      </c>
      <c r="B2935" s="16" t="str">
        <f>IFERROR(__xludf.DUMMYFUNCTION("""COMPUTED_VALUE"""),"Daniel José sandoval gonzalez")</f>
        <v>Daniel José sandoval gonzalez</v>
      </c>
      <c r="C2935" s="15" t="str">
        <f>IFERROR(__xludf.DUMMYFUNCTION("""COMPUTED_VALUE"""),"MEDELLÍN")</f>
        <v>MEDELLÍN</v>
      </c>
      <c r="D2935" s="15" t="str">
        <f>IFERROR(__xludf.DUMMYFUNCTION("""COMPUTED_VALUE"""),"BOGOTÁ")</f>
        <v>BOGOTÁ</v>
      </c>
      <c r="E2935" s="15" t="str">
        <f>IFERROR(__xludf.DUMMYFUNCTION("""COMPUTED_VALUE"""),"Viral Brands")</f>
        <v>Viral Brands</v>
      </c>
      <c r="F2935" s="17" t="str">
        <f>IFERROR(__xludf.DUMMYFUNCTION("""COMPUTED_VALUE"""),"calle 1 sur # 29-354 / cocina de chuzales y min burger- bodega amarilla al lado de rappi turbo / poblado, loma de los parra")</f>
        <v>calle 1 sur # 29-354 / cocina de chuzales y min burger- bodega amarilla al lado de rappi turbo / poblado, loma de los parra</v>
      </c>
      <c r="G2935" s="15" t="str">
        <f>IFERROR(__xludf.DUMMYFUNCTION("""COMPUTED_VALUE"""),"carlos olivero")</f>
        <v>carlos olivero</v>
      </c>
      <c r="H2935" s="16">
        <f>IFERROR(__xludf.DUMMYFUNCTION("""COMPUTED_VALUE"""),11542.0)</f>
        <v>11542</v>
      </c>
      <c r="I2935" s="18">
        <f>IFERROR(__xludf.DUMMYFUNCTION("""COMPUTED_VALUE"""),29.0)</f>
        <v>29</v>
      </c>
      <c r="J2935" s="18">
        <f>IFERROR(__xludf.DUMMYFUNCTION("""COMPUTED_VALUE"""),55.0)</f>
        <v>55</v>
      </c>
      <c r="K2935" s="18">
        <f>IFERROR(__xludf.DUMMYFUNCTION("""COMPUTED_VALUE"""),45.0)</f>
        <v>45</v>
      </c>
      <c r="L2935" s="17">
        <f>IFERROR(__xludf.DUMMYFUNCTION("""COMPUTED_VALUE"""),3.053460624E9)</f>
        <v>3053460624</v>
      </c>
      <c r="M2935" s="17" t="str">
        <f>IFERROR(__xludf.DUMMYFUNCTION("""COMPUTED_VALUE"""),"#REF!")</f>
        <v>#REF!</v>
      </c>
      <c r="N2935" s="17"/>
      <c r="O2935" s="17"/>
      <c r="P2935" s="17" t="b">
        <f>IFERROR(__xludf.DUMMYFUNCTION("""COMPUTED_VALUE"""),FALSE)</f>
        <v>0</v>
      </c>
      <c r="Q2935" s="20" t="str">
        <f>IFERROR(__xludf.DUMMYFUNCTION("""COMPUTED_VALUE"""),"")</f>
        <v/>
      </c>
      <c r="R2935" s="21" t="str">
        <f>IFERROR(__xludf.DUMMYFUNCTION("""COMPUTED_VALUE"""),"https://drive.google.com/file/d/1ggrNkQH5cvQ1VpsS37izyCPaB-3m1gdg/view?usp=drivesdk")</f>
        <v>https://drive.google.com/file/d/1ggrNkQH5cvQ1VpsS37izyCPaB-3m1gdg/view?usp=drivesdk</v>
      </c>
    </row>
    <row r="2936">
      <c r="A2936" s="17" t="str">
        <f>IFERROR(__xludf.DUMMYFUNCTION("""COMPUTED_VALUE"""),"")</f>
        <v/>
      </c>
      <c r="B2936" s="17" t="str">
        <f>IFERROR(__xludf.DUMMYFUNCTION("""COMPUTED_VALUE"""),"")</f>
        <v/>
      </c>
      <c r="C2936" s="17" t="str">
        <f>IFERROR(__xludf.DUMMYFUNCTION("""COMPUTED_VALUE"""),"")</f>
        <v/>
      </c>
      <c r="D2936" s="17" t="str">
        <f>IFERROR(__xludf.DUMMYFUNCTION("""COMPUTED_VALUE"""),"")</f>
        <v/>
      </c>
      <c r="E2936" s="17" t="str">
        <f>IFERROR(__xludf.DUMMYFUNCTION("""COMPUTED_VALUE"""),"")</f>
        <v/>
      </c>
      <c r="F2936" s="17" t="str">
        <f>IFERROR(__xludf.DUMMYFUNCTION("""COMPUTED_VALUE"""),"")</f>
        <v/>
      </c>
      <c r="G2936" s="17" t="str">
        <f>IFERROR(__xludf.DUMMYFUNCTION("""COMPUTED_VALUE"""),"")</f>
        <v/>
      </c>
      <c r="H2936" s="17" t="str">
        <f>IFERROR(__xludf.DUMMYFUNCTION("""COMPUTED_VALUE"""),"")</f>
        <v/>
      </c>
      <c r="I2936" s="17" t="str">
        <f>IFERROR(__xludf.DUMMYFUNCTION("""COMPUTED_VALUE"""),"")</f>
        <v/>
      </c>
      <c r="J2936" s="17" t="str">
        <f>IFERROR(__xludf.DUMMYFUNCTION("""COMPUTED_VALUE"""),"")</f>
        <v/>
      </c>
      <c r="K2936" s="17" t="str">
        <f>IFERROR(__xludf.DUMMYFUNCTION("""COMPUTED_VALUE"""),"")</f>
        <v/>
      </c>
      <c r="L2936" s="17" t="str">
        <f>IFERROR(__xludf.DUMMYFUNCTION("""COMPUTED_VALUE"""),"")</f>
        <v/>
      </c>
      <c r="M2936" s="17" t="str">
        <f>IFERROR(__xludf.DUMMYFUNCTION("""COMPUTED_VALUE"""),"")</f>
        <v/>
      </c>
      <c r="N2936" s="17" t="str">
        <f>IFERROR(__xludf.DUMMYFUNCTION("""COMPUTED_VALUE"""),"")</f>
        <v/>
      </c>
      <c r="O2936" s="17" t="str">
        <f>IFERROR(__xludf.DUMMYFUNCTION("""COMPUTED_VALUE"""),"")</f>
        <v/>
      </c>
      <c r="P2936" s="17" t="str">
        <f>IFERROR(__xludf.DUMMYFUNCTION("""COMPUTED_VALUE"""),"")</f>
        <v/>
      </c>
      <c r="Q2936" s="17" t="str">
        <f>IFERROR(__xludf.DUMMYFUNCTION("""COMPUTED_VALUE"""),"")</f>
        <v/>
      </c>
      <c r="R2936" s="17" t="str">
        <f>IFERROR(__xludf.DUMMYFUNCTION("""COMPUTED_VALUE"""),"")</f>
        <v/>
      </c>
    </row>
    <row r="2937">
      <c r="A2937" s="15">
        <f>IFERROR(__xludf.DUMMYFUNCTION("""COMPUTED_VALUE"""),45086.0)</f>
        <v>45086</v>
      </c>
      <c r="B2937" s="16" t="str">
        <f>IFERROR(__xludf.DUMMYFUNCTION("""COMPUTED_VALUE"""),"Envia")</f>
        <v>Envia</v>
      </c>
      <c r="C2937" s="15" t="str">
        <f>IFERROR(__xludf.DUMMYFUNCTION("""COMPUTED_VALUE"""),"BARRANQUILLA")</f>
        <v>BARRANQUILLA</v>
      </c>
      <c r="D2937" s="15" t="str">
        <f>IFERROR(__xludf.DUMMYFUNCTION("""COMPUTED_VALUE"""),"MEDELLÍN")</f>
        <v>MEDELLÍN</v>
      </c>
      <c r="E2937" s="15" t="str">
        <f>IFERROR(__xludf.DUMMYFUNCTION("""COMPUTED_VALUE"""),"Baby Chef")</f>
        <v>Baby Chef</v>
      </c>
      <c r="F2937" s="17" t="str">
        <f>IFERROR(__xludf.DUMMYFUNCTION("""COMPUTED_VALUE"""),"Crra 46 calle34 esquina centro comercial fedecafe local 234  / local 234  / barranquilla")</f>
        <v>Crra 46 calle34 esquina centro comercial fedecafe local 234  / local 234  / barranquilla</v>
      </c>
      <c r="G2937" s="15" t="str">
        <f>IFERROR(__xludf.DUMMYFUNCTION("""COMPUTED_VALUE"""),"Mayra Martinez Guzman")</f>
        <v>Mayra Martinez Guzman</v>
      </c>
      <c r="H2937" s="16">
        <f>IFERROR(__xludf.DUMMYFUNCTION("""COMPUTED_VALUE"""),11507.0)</f>
        <v>11507</v>
      </c>
      <c r="I2937" s="18">
        <f>IFERROR(__xludf.DUMMYFUNCTION("""COMPUTED_VALUE"""),8.0)</f>
        <v>8</v>
      </c>
      <c r="J2937" s="18">
        <f>IFERROR(__xludf.DUMMYFUNCTION("""COMPUTED_VALUE"""),16.0)</f>
        <v>16</v>
      </c>
      <c r="K2937" s="18">
        <f>IFERROR(__xludf.DUMMYFUNCTION("""COMPUTED_VALUE"""),20.0)</f>
        <v>20</v>
      </c>
      <c r="L2937" s="17">
        <f>IFERROR(__xludf.DUMMYFUNCTION("""COMPUTED_VALUE"""),3.01700062E9)</f>
        <v>3017000620</v>
      </c>
      <c r="M2937" s="17" t="str">
        <f>IFERROR(__xludf.DUMMYFUNCTION("""COMPUTED_VALUE"""),"#REF!")</f>
        <v>#REF!</v>
      </c>
      <c r="N2937" s="17"/>
      <c r="O2937" s="17"/>
      <c r="P2937" s="17" t="b">
        <f>IFERROR(__xludf.DUMMYFUNCTION("""COMPUTED_VALUE"""),FALSE)</f>
        <v>0</v>
      </c>
      <c r="Q2937" s="20" t="str">
        <f>IFERROR(__xludf.DUMMYFUNCTION("""COMPUTED_VALUE"""),"")</f>
        <v/>
      </c>
      <c r="R2937" s="21" t="str">
        <f>IFERROR(__xludf.DUMMYFUNCTION("""COMPUTED_VALUE"""),"https://drive.google.com/file/d/13xThqEzyaak_xiGY4TydQ0bohOZKLW_5/view?usp=drivesdk")</f>
        <v>https://drive.google.com/file/d/13xThqEzyaak_xiGY4TydQ0bohOZKLW_5/view?usp=drivesdk</v>
      </c>
    </row>
    <row r="2938">
      <c r="A2938" s="15">
        <f>IFERROR(__xludf.DUMMYFUNCTION("""COMPUTED_VALUE"""),45086.0)</f>
        <v>45086</v>
      </c>
      <c r="B2938" s="16" t="str">
        <f>IFERROR(__xludf.DUMMYFUNCTION("""COMPUTED_VALUE"""),"Envia")</f>
        <v>Envia</v>
      </c>
      <c r="C2938" s="15" t="str">
        <f>IFERROR(__xludf.DUMMYFUNCTION("""COMPUTED_VALUE"""),"BARRANQUILLA")</f>
        <v>BARRANQUILLA</v>
      </c>
      <c r="D2938" s="15" t="str">
        <f>IFERROR(__xludf.DUMMYFUNCTION("""COMPUTED_VALUE"""),"MEDELLÍN")</f>
        <v>MEDELLÍN</v>
      </c>
      <c r="E2938" s="15" t="str">
        <f>IFERROR(__xludf.DUMMYFUNCTION("""COMPUTED_VALUE"""),"Rambla")</f>
        <v>Rambla</v>
      </c>
      <c r="F2938" s="17" t="str">
        <f>IFERROR(__xludf.DUMMYFUNCTION("""COMPUTED_VALUE"""),"CALLE 6 #20 CC LA ESTANCIA LC 1 10 BRR  CASTILLO GRANDE  / na / na")</f>
        <v>CALLE 6 #20 CC LA ESTANCIA LC 1 10 BRR  CASTILLO GRANDE  / na / na</v>
      </c>
      <c r="G2938" s="15" t="str">
        <f>IFERROR(__xludf.DUMMYFUNCTION("""COMPUTED_VALUE"""),"Cocofit Mercado Saludable S.A.S")</f>
        <v>Cocofit Mercado Saludable S.A.S</v>
      </c>
      <c r="H2938" s="16">
        <f>IFERROR(__xludf.DUMMYFUNCTION("""COMPUTED_VALUE"""),11514.0)</f>
        <v>11514</v>
      </c>
      <c r="I2938" s="18">
        <f>IFERROR(__xludf.DUMMYFUNCTION("""COMPUTED_VALUE"""),28.0)</f>
        <v>28</v>
      </c>
      <c r="J2938" s="18">
        <f>IFERROR(__xludf.DUMMYFUNCTION("""COMPUTED_VALUE"""),30.0)</f>
        <v>30</v>
      </c>
      <c r="K2938" s="18">
        <f>IFERROR(__xludf.DUMMYFUNCTION("""COMPUTED_VALUE"""),35.0)</f>
        <v>35</v>
      </c>
      <c r="L2938" s="17">
        <f>IFERROR(__xludf.DUMMYFUNCTION("""COMPUTED_VALUE"""),3.135781119E9)</f>
        <v>3135781119</v>
      </c>
      <c r="M2938" s="17" t="str">
        <f>IFERROR(__xludf.DUMMYFUNCTION("""COMPUTED_VALUE"""),"#REF!")</f>
        <v>#REF!</v>
      </c>
      <c r="N2938" s="17"/>
      <c r="O2938" s="17"/>
      <c r="P2938" s="17" t="b">
        <f>IFERROR(__xludf.DUMMYFUNCTION("""COMPUTED_VALUE"""),FALSE)</f>
        <v>0</v>
      </c>
      <c r="Q2938" s="20" t="str">
        <f>IFERROR(__xludf.DUMMYFUNCTION("""COMPUTED_VALUE"""),"")</f>
        <v/>
      </c>
      <c r="R2938" s="21" t="str">
        <f>IFERROR(__xludf.DUMMYFUNCTION("""COMPUTED_VALUE"""),"https://drive.google.com/file/d/1wflOWrxhVElOvlqeKXFzS9LFZ25KuBhX/view?usp=drivesdk")</f>
        <v>https://drive.google.com/file/d/1wflOWrxhVElOvlqeKXFzS9LFZ25KuBhX/view?usp=drivesdk</v>
      </c>
    </row>
    <row r="2939">
      <c r="A2939" s="15">
        <f>IFERROR(__xludf.DUMMYFUNCTION("""COMPUTED_VALUE"""),45086.0)</f>
        <v>45086</v>
      </c>
      <c r="B2939" s="16" t="str">
        <f>IFERROR(__xludf.DUMMYFUNCTION("""COMPUTED_VALUE"""),"Envia")</f>
        <v>Envia</v>
      </c>
      <c r="C2939" s="15" t="str">
        <f>IFERROR(__xludf.DUMMYFUNCTION("""COMPUTED_VALUE"""),"BARRANQUILLA")</f>
        <v>BARRANQUILLA</v>
      </c>
      <c r="D2939" s="15" t="str">
        <f>IFERROR(__xludf.DUMMYFUNCTION("""COMPUTED_VALUE"""),"MEDELLÍN")</f>
        <v>MEDELLÍN</v>
      </c>
      <c r="E2939" s="15" t="str">
        <f>IFERROR(__xludf.DUMMYFUNCTION("""COMPUTED_VALUE"""),"Rambla")</f>
        <v>Rambla</v>
      </c>
      <c r="F2939" s="17" t="str">
        <f>IFERROR(__xludf.DUMMYFUNCTION("""COMPUTED_VALUE"""),"CARRERA 74 #76-74 / na / na")</f>
        <v>CARRERA 74 #76-74 / na / na</v>
      </c>
      <c r="G2939" s="15" t="str">
        <f>IFERROR(__xludf.DUMMYFUNCTION("""COMPUTED_VALUE"""),"Fit Hub")</f>
        <v>Fit Hub</v>
      </c>
      <c r="H2939" s="16">
        <f>IFERROR(__xludf.DUMMYFUNCTION("""COMPUTED_VALUE"""),11516.0)</f>
        <v>11516</v>
      </c>
      <c r="I2939" s="18">
        <f>IFERROR(__xludf.DUMMYFUNCTION("""COMPUTED_VALUE"""),18.0)</f>
        <v>18</v>
      </c>
      <c r="J2939" s="18">
        <f>IFERROR(__xludf.DUMMYFUNCTION("""COMPUTED_VALUE"""),22.0)</f>
        <v>22</v>
      </c>
      <c r="K2939" s="18">
        <f>IFERROR(__xludf.DUMMYFUNCTION("""COMPUTED_VALUE"""),25.0)</f>
        <v>25</v>
      </c>
      <c r="L2939" s="17">
        <f>IFERROR(__xludf.DUMMYFUNCTION("""COMPUTED_VALUE"""),3.157039547E9)</f>
        <v>3157039547</v>
      </c>
      <c r="M2939" s="17" t="str">
        <f>IFERROR(__xludf.DUMMYFUNCTION("""COMPUTED_VALUE"""),"#REF!")</f>
        <v>#REF!</v>
      </c>
      <c r="N2939" s="17"/>
      <c r="O2939" s="17"/>
      <c r="P2939" s="17" t="b">
        <f>IFERROR(__xludf.DUMMYFUNCTION("""COMPUTED_VALUE"""),FALSE)</f>
        <v>0</v>
      </c>
      <c r="Q2939" s="20" t="str">
        <f>IFERROR(__xludf.DUMMYFUNCTION("""COMPUTED_VALUE"""),"")</f>
        <v/>
      </c>
      <c r="R2939" s="21" t="str">
        <f>IFERROR(__xludf.DUMMYFUNCTION("""COMPUTED_VALUE"""),"https://drive.google.com/file/d/1ZYKZYcUB8g81NA7Nrbz55oO_8QekyYAs/view?usp=drivesdk")</f>
        <v>https://drive.google.com/file/d/1ZYKZYcUB8g81NA7Nrbz55oO_8QekyYAs/view?usp=drivesdk</v>
      </c>
    </row>
    <row r="2940">
      <c r="A2940" s="15">
        <f>IFERROR(__xludf.DUMMYFUNCTION("""COMPUTED_VALUE"""),45086.0)</f>
        <v>45086</v>
      </c>
      <c r="B2940" s="16" t="str">
        <f>IFERROR(__xludf.DUMMYFUNCTION("""COMPUTED_VALUE"""),"Envia")</f>
        <v>Envia</v>
      </c>
      <c r="C2940" s="15" t="str">
        <f>IFERROR(__xludf.DUMMYFUNCTION("""COMPUTED_VALUE"""),"BOGOTÁ")</f>
        <v>BOGOTÁ</v>
      </c>
      <c r="D2940" s="15" t="str">
        <f>IFERROR(__xludf.DUMMYFUNCTION("""COMPUTED_VALUE"""),"MEDELLÍN")</f>
        <v>MEDELLÍN</v>
      </c>
      <c r="E2940" s="15" t="str">
        <f>IFERROR(__xludf.DUMMYFUNCTION("""COMPUTED_VALUE"""),"Baby Chef")</f>
        <v>Baby Chef</v>
      </c>
      <c r="F2940" s="17" t="str">
        <f>IFERROR(__xludf.DUMMYFUNCTION("""COMPUTED_VALUE"""),"Carrera 19 a no 105 - 40, apto 201  / edificio eukliptus  / barrio chico navarra")</f>
        <v>Carrera 19 a no 105 - 40, apto 201  / edificio eukliptus  / barrio chico navarra</v>
      </c>
      <c r="G2940" s="15" t="str">
        <f>IFERROR(__xludf.DUMMYFUNCTION("""COMPUTED_VALUE"""),"Ana maria Castiblanco Duran")</f>
        <v>Ana maria Castiblanco Duran</v>
      </c>
      <c r="H2940" s="16">
        <f>IFERROR(__xludf.DUMMYFUNCTION("""COMPUTED_VALUE"""),11556.0)</f>
        <v>11556</v>
      </c>
      <c r="I2940" s="18">
        <f>IFERROR(__xludf.DUMMYFUNCTION("""COMPUTED_VALUE"""),8.0)</f>
        <v>8</v>
      </c>
      <c r="J2940" s="18">
        <f>IFERROR(__xludf.DUMMYFUNCTION("""COMPUTED_VALUE"""),16.0)</f>
        <v>16</v>
      </c>
      <c r="K2940" s="18">
        <f>IFERROR(__xludf.DUMMYFUNCTION("""COMPUTED_VALUE"""),20.0)</f>
        <v>20</v>
      </c>
      <c r="L2940" s="17">
        <f>IFERROR(__xludf.DUMMYFUNCTION("""COMPUTED_VALUE"""),3.00620727E9)</f>
        <v>3006207270</v>
      </c>
      <c r="M2940" s="17" t="str">
        <f>IFERROR(__xludf.DUMMYFUNCTION("""COMPUTED_VALUE"""),"#REF!")</f>
        <v>#REF!</v>
      </c>
      <c r="N2940" s="17"/>
      <c r="O2940" s="17"/>
      <c r="P2940" s="17" t="b">
        <f>IFERROR(__xludf.DUMMYFUNCTION("""COMPUTED_VALUE"""),FALSE)</f>
        <v>0</v>
      </c>
      <c r="Q2940" s="20" t="str">
        <f>IFERROR(__xludf.DUMMYFUNCTION("""COMPUTED_VALUE"""),"")</f>
        <v/>
      </c>
      <c r="R2940" s="22" t="str">
        <f>IFERROR(__xludf.DUMMYFUNCTION("""COMPUTED_VALUE"""),"")</f>
        <v/>
      </c>
    </row>
    <row r="2941">
      <c r="A2941" s="15">
        <f>IFERROR(__xludf.DUMMYFUNCTION("""COMPUTED_VALUE"""),45086.0)</f>
        <v>45086</v>
      </c>
      <c r="B2941" s="16" t="str">
        <f>IFERROR(__xludf.DUMMYFUNCTION("""COMPUTED_VALUE"""),"Envia")</f>
        <v>Envia</v>
      </c>
      <c r="C2941" s="15" t="str">
        <f>IFERROR(__xludf.DUMMYFUNCTION("""COMPUTED_VALUE"""),"BOGOTÁ")</f>
        <v>BOGOTÁ</v>
      </c>
      <c r="D2941" s="15" t="str">
        <f>IFERROR(__xludf.DUMMYFUNCTION("""COMPUTED_VALUE"""),"MEDELLÍN")</f>
        <v>MEDELLÍN</v>
      </c>
      <c r="E2941" s="15" t="str">
        <f>IFERROR(__xludf.DUMMYFUNCTION("""COMPUTED_VALUE"""),"Moloso S.A.S")</f>
        <v>Moloso S.A.S</v>
      </c>
      <c r="F2941" s="17" t="str">
        <f>IFERROR(__xludf.DUMMYFUNCTION("""COMPUTED_VALUE"""),"CR 23 134 A 41 / AP 502")</f>
        <v>CR 23 134 A 41 / AP 502</v>
      </c>
      <c r="G2941" s="15" t="str">
        <f>IFERROR(__xludf.DUMMYFUNCTION("""COMPUTED_VALUE"""),"MARIA OCHOA MARTELO 2")</f>
        <v>MARIA OCHOA MARTELO 2</v>
      </c>
      <c r="H2941" s="16">
        <f>IFERROR(__xludf.DUMMYFUNCTION("""COMPUTED_VALUE"""),11552.0)</f>
        <v>11552</v>
      </c>
      <c r="I2941" s="18">
        <f>IFERROR(__xludf.DUMMYFUNCTION("""COMPUTED_VALUE"""),17.0)</f>
        <v>17</v>
      </c>
      <c r="J2941" s="18">
        <f>IFERROR(__xludf.DUMMYFUNCTION("""COMPUTED_VALUE"""),15.0)</f>
        <v>15</v>
      </c>
      <c r="K2941" s="18">
        <f>IFERROR(__xludf.DUMMYFUNCTION("""COMPUTED_VALUE"""),28.0)</f>
        <v>28</v>
      </c>
      <c r="L2941" s="17" t="str">
        <f>IFERROR(__xludf.DUMMYFUNCTION("""COMPUTED_VALUE"""),"301 7890418")</f>
        <v>301 7890418</v>
      </c>
      <c r="M2941" s="17" t="str">
        <f>IFERROR(__xludf.DUMMYFUNCTION("""COMPUTED_VALUE"""),"#REF!")</f>
        <v>#REF!</v>
      </c>
      <c r="N2941" s="17"/>
      <c r="O2941" s="17"/>
      <c r="P2941" s="17" t="b">
        <f>IFERROR(__xludf.DUMMYFUNCTION("""COMPUTED_VALUE"""),FALSE)</f>
        <v>0</v>
      </c>
      <c r="Q2941" s="20" t="str">
        <f>IFERROR(__xludf.DUMMYFUNCTION("""COMPUTED_VALUE"""),"")</f>
        <v/>
      </c>
      <c r="R2941" s="22" t="str">
        <f>IFERROR(__xludf.DUMMYFUNCTION("""COMPUTED_VALUE"""),"")</f>
        <v/>
      </c>
    </row>
    <row r="2942">
      <c r="A2942" s="15">
        <f>IFERROR(__xludf.DUMMYFUNCTION("""COMPUTED_VALUE"""),45086.0)</f>
        <v>45086</v>
      </c>
      <c r="B2942" s="16" t="str">
        <f>IFERROR(__xludf.DUMMYFUNCTION("""COMPUTED_VALUE"""),"Envia")</f>
        <v>Envia</v>
      </c>
      <c r="C2942" s="15" t="str">
        <f>IFERROR(__xludf.DUMMYFUNCTION("""COMPUTED_VALUE"""),"BOGOTÁ")</f>
        <v>BOGOTÁ</v>
      </c>
      <c r="D2942" s="15" t="str">
        <f>IFERROR(__xludf.DUMMYFUNCTION("""COMPUTED_VALUE"""),"MEDELLÍN")</f>
        <v>MEDELLÍN</v>
      </c>
      <c r="E2942" s="15" t="str">
        <f>IFERROR(__xludf.DUMMYFUNCTION("""COMPUTED_VALUE"""),"TOLEDALES S.A.S")</f>
        <v>TOLEDALES S.A.S</v>
      </c>
      <c r="F2942" s="17" t="str">
        <f>IFERROR(__xludf.DUMMYFUNCTION("""COMPUTED_VALUE"""),"Carrera 19 # 80-39 / apto 502")</f>
        <v>Carrera 19 # 80-39 / apto 502</v>
      </c>
      <c r="G2942" s="15" t="str">
        <f>IFERROR(__xludf.DUMMYFUNCTION("""COMPUTED_VALUE"""),"Jelmer lopez")</f>
        <v>Jelmer lopez</v>
      </c>
      <c r="H2942" s="16">
        <f>IFERROR(__xludf.DUMMYFUNCTION("""COMPUTED_VALUE"""),11562.0)</f>
        <v>11562</v>
      </c>
      <c r="I2942" s="18">
        <f>IFERROR(__xludf.DUMMYFUNCTION("""COMPUTED_VALUE"""),12.0)</f>
        <v>12</v>
      </c>
      <c r="J2942" s="18">
        <f>IFERROR(__xludf.DUMMYFUNCTION("""COMPUTED_VALUE"""),18.0)</f>
        <v>18</v>
      </c>
      <c r="K2942" s="18">
        <f>IFERROR(__xludf.DUMMYFUNCTION("""COMPUTED_VALUE"""),30.0)</f>
        <v>30</v>
      </c>
      <c r="L2942" s="17">
        <f>IFERROR(__xludf.DUMMYFUNCTION("""COMPUTED_VALUE"""),3.168776416E9)</f>
        <v>3168776416</v>
      </c>
      <c r="M2942" s="17" t="str">
        <f>IFERROR(__xludf.DUMMYFUNCTION("""COMPUTED_VALUE"""),"#REF!")</f>
        <v>#REF!</v>
      </c>
      <c r="N2942" s="17"/>
      <c r="O2942" s="17"/>
      <c r="P2942" s="17" t="b">
        <f>IFERROR(__xludf.DUMMYFUNCTION("""COMPUTED_VALUE"""),FALSE)</f>
        <v>0</v>
      </c>
      <c r="Q2942" s="20" t="str">
        <f>IFERROR(__xludf.DUMMYFUNCTION("""COMPUTED_VALUE"""),"")</f>
        <v/>
      </c>
      <c r="R2942" s="22" t="str">
        <f>IFERROR(__xludf.DUMMYFUNCTION("""COMPUTED_VALUE"""),"")</f>
        <v/>
      </c>
    </row>
    <row r="2943">
      <c r="A2943" s="15">
        <f>IFERROR(__xludf.DUMMYFUNCTION("""COMPUTED_VALUE"""),45086.0)</f>
        <v>45086</v>
      </c>
      <c r="B2943" s="16" t="str">
        <f>IFERROR(__xludf.DUMMYFUNCTION("""COMPUTED_VALUE"""),"Envia")</f>
        <v>Envia</v>
      </c>
      <c r="C2943" s="15" t="str">
        <f>IFERROR(__xludf.DUMMYFUNCTION("""COMPUTED_VALUE"""),"CAJICÁ")</f>
        <v>CAJICÁ</v>
      </c>
      <c r="D2943" s="15" t="str">
        <f>IFERROR(__xludf.DUMMYFUNCTION("""COMPUTED_VALUE"""),"MEDELLÍN")</f>
        <v>MEDELLÍN</v>
      </c>
      <c r="E2943" s="15" t="str">
        <f>IFERROR(__xludf.DUMMYFUNCTION("""COMPUTED_VALUE"""),"Rambla")</f>
        <v>Rambla</v>
      </c>
      <c r="F2943" s="17" t="str">
        <f>IFERROR(__xludf.DUMMYFUNCTION("""COMPUTED_VALUE"""),"Km 1.5 via Chia Cajica 100 mts antes de Fontanar / na / na")</f>
        <v>Km 1.5 via Chia Cajica 100 mts antes de Fontanar / na / na</v>
      </c>
      <c r="G2943" s="15" t="str">
        <f>IFERROR(__xludf.DUMMYFUNCTION("""COMPUTED_VALUE"""),"The Choice Natural - Laura Posada")</f>
        <v>The Choice Natural - Laura Posada</v>
      </c>
      <c r="H2943" s="16">
        <f>IFERROR(__xludf.DUMMYFUNCTION("""COMPUTED_VALUE"""),11539.0)</f>
        <v>11539</v>
      </c>
      <c r="I2943" s="18">
        <f>IFERROR(__xludf.DUMMYFUNCTION("""COMPUTED_VALUE"""),18.0)</f>
        <v>18</v>
      </c>
      <c r="J2943" s="18">
        <f>IFERROR(__xludf.DUMMYFUNCTION("""COMPUTED_VALUE"""),21.0)</f>
        <v>21</v>
      </c>
      <c r="K2943" s="18">
        <f>IFERROR(__xludf.DUMMYFUNCTION("""COMPUTED_VALUE"""),25.0)</f>
        <v>25</v>
      </c>
      <c r="L2943" s="17">
        <f>IFERROR(__xludf.DUMMYFUNCTION("""COMPUTED_VALUE"""),3.212415592E9)</f>
        <v>3212415592</v>
      </c>
      <c r="M2943" s="17" t="str">
        <f>IFERROR(__xludf.DUMMYFUNCTION("""COMPUTED_VALUE"""),"#REF!")</f>
        <v>#REF!</v>
      </c>
      <c r="N2943" s="17"/>
      <c r="O2943" s="17"/>
      <c r="P2943" s="17" t="b">
        <f>IFERROR(__xludf.DUMMYFUNCTION("""COMPUTED_VALUE"""),FALSE)</f>
        <v>0</v>
      </c>
      <c r="Q2943" s="20" t="str">
        <f>IFERROR(__xludf.DUMMYFUNCTION("""COMPUTED_VALUE"""),"")</f>
        <v/>
      </c>
      <c r="R2943" s="21" t="str">
        <f>IFERROR(__xludf.DUMMYFUNCTION("""COMPUTED_VALUE"""),"https://drive.google.com/file/d/13mNMHYjYrPGZGW5rruDzzTCwfC6StAtc/view?usp=drivesdk")</f>
        <v>https://drive.google.com/file/d/13mNMHYjYrPGZGW5rruDzzTCwfC6StAtc/view?usp=drivesdk</v>
      </c>
    </row>
    <row r="2944">
      <c r="A2944" s="15">
        <f>IFERROR(__xludf.DUMMYFUNCTION("""COMPUTED_VALUE"""),45086.0)</f>
        <v>45086</v>
      </c>
      <c r="B2944" s="16" t="str">
        <f>IFERROR(__xludf.DUMMYFUNCTION("""COMPUTED_VALUE"""),"Envia")</f>
        <v>Envia</v>
      </c>
      <c r="C2944" s="15" t="str">
        <f>IFERROR(__xludf.DUMMYFUNCTION("""COMPUTED_VALUE"""),"CALI")</f>
        <v>CALI</v>
      </c>
      <c r="D2944" s="15" t="str">
        <f>IFERROR(__xludf.DUMMYFUNCTION("""COMPUTED_VALUE"""),"BOGOTÁ")</f>
        <v>BOGOTÁ</v>
      </c>
      <c r="E2944" s="15" t="str">
        <f>IFERROR(__xludf.DUMMYFUNCTION("""COMPUTED_VALUE"""),"Athenas")</f>
        <v>Athenas</v>
      </c>
      <c r="F2944" s="17" t="str">
        <f>IFERROR(__xludf.DUMMYFUNCTION("""COMPUTED_VALUE"""),"Calle 7 oeste #1 a 59 / Esificio bodytech segundo piso / Santa teresita")</f>
        <v>Calle 7 oeste #1 a 59 / Esificio bodytech segundo piso / Santa teresita</v>
      </c>
      <c r="G2944" s="15" t="str">
        <f>IFERROR(__xludf.DUMMYFUNCTION("""COMPUTED_VALUE"""),"Jorge parra")</f>
        <v>Jorge parra</v>
      </c>
      <c r="H2944" s="16">
        <f>IFERROR(__xludf.DUMMYFUNCTION("""COMPUTED_VALUE"""),11536.0)</f>
        <v>11536</v>
      </c>
      <c r="I2944" s="18">
        <f>IFERROR(__xludf.DUMMYFUNCTION("""COMPUTED_VALUE"""),52.0)</f>
        <v>52</v>
      </c>
      <c r="J2944" s="18">
        <f>IFERROR(__xludf.DUMMYFUNCTION("""COMPUTED_VALUE"""),45.0)</f>
        <v>45</v>
      </c>
      <c r="K2944" s="18">
        <f>IFERROR(__xludf.DUMMYFUNCTION("""COMPUTED_VALUE"""),55.0)</f>
        <v>55</v>
      </c>
      <c r="L2944" s="17">
        <f>IFERROR(__xludf.DUMMYFUNCTION("""COMPUTED_VALUE"""),3.103897576E9)</f>
        <v>3103897576</v>
      </c>
      <c r="M2944" s="17" t="str">
        <f>IFERROR(__xludf.DUMMYFUNCTION("""COMPUTED_VALUE"""),"#REF!")</f>
        <v>#REF!</v>
      </c>
      <c r="N2944" s="17"/>
      <c r="O2944" s="17"/>
      <c r="P2944" s="17" t="b">
        <f>IFERROR(__xludf.DUMMYFUNCTION("""COMPUTED_VALUE"""),FALSE)</f>
        <v>0</v>
      </c>
      <c r="Q2944" s="20" t="str">
        <f>IFERROR(__xludf.DUMMYFUNCTION("""COMPUTED_VALUE"""),"")</f>
        <v/>
      </c>
      <c r="R2944" s="21" t="str">
        <f>IFERROR(__xludf.DUMMYFUNCTION("""COMPUTED_VALUE"""),"https://drive.google.com/file/d/14rSmDNpaMm3a7EJkHmPWv0SB6qYmOao7/view?usp=drivesdk")</f>
        <v>https://drive.google.com/file/d/14rSmDNpaMm3a7EJkHmPWv0SB6qYmOao7/view?usp=drivesdk</v>
      </c>
    </row>
    <row r="2945">
      <c r="A2945" s="15">
        <f>IFERROR(__xludf.DUMMYFUNCTION("""COMPUTED_VALUE"""),45086.0)</f>
        <v>45086</v>
      </c>
      <c r="B2945" s="16" t="str">
        <f>IFERROR(__xludf.DUMMYFUNCTION("""COMPUTED_VALUE"""),"Envia")</f>
        <v>Envia</v>
      </c>
      <c r="C2945" s="15" t="str">
        <f>IFERROR(__xludf.DUMMYFUNCTION("""COMPUTED_VALUE"""),"CALI")</f>
        <v>CALI</v>
      </c>
      <c r="D2945" s="15" t="str">
        <f>IFERROR(__xludf.DUMMYFUNCTION("""COMPUTED_VALUE"""),"BOGOTÁ")</f>
        <v>BOGOTÁ</v>
      </c>
      <c r="E2945" s="15" t="str">
        <f>IFERROR(__xludf.DUMMYFUNCTION("""COMPUTED_VALUE"""),"Athenas")</f>
        <v>Athenas</v>
      </c>
      <c r="F2945" s="17" t="str">
        <f>IFERROR(__xludf.DUMMYFUNCTION("""COMPUTED_VALUE"""),"Calle 98 #16 200  / Centro comercial jardin plaza local bodytech / Ciudad jardin")</f>
        <v>Calle 98 #16 200  / Centro comercial jardin plaza local bodytech / Ciudad jardin</v>
      </c>
      <c r="G2945" s="15" t="str">
        <f>IFERROR(__xludf.DUMMYFUNCTION("""COMPUTED_VALUE"""),"Jorge parra")</f>
        <v>Jorge parra</v>
      </c>
      <c r="H2945" s="16">
        <f>IFERROR(__xludf.DUMMYFUNCTION("""COMPUTED_VALUE"""),11535.0)</f>
        <v>11535</v>
      </c>
      <c r="I2945" s="18">
        <f>IFERROR(__xludf.DUMMYFUNCTION("""COMPUTED_VALUE"""),52.0)</f>
        <v>52</v>
      </c>
      <c r="J2945" s="18">
        <f>IFERROR(__xludf.DUMMYFUNCTION("""COMPUTED_VALUE"""),45.0)</f>
        <v>45</v>
      </c>
      <c r="K2945" s="18" t="str">
        <f>IFERROR(__xludf.DUMMYFUNCTION("""COMPUTED_VALUE"""),"52.5")</f>
        <v>52.5</v>
      </c>
      <c r="L2945" s="17">
        <f>IFERROR(__xludf.DUMMYFUNCTION("""COMPUTED_VALUE"""),3.103897576E9)</f>
        <v>3103897576</v>
      </c>
      <c r="M2945" s="17" t="str">
        <f>IFERROR(__xludf.DUMMYFUNCTION("""COMPUTED_VALUE"""),"#REF!")</f>
        <v>#REF!</v>
      </c>
      <c r="N2945" s="17"/>
      <c r="O2945" s="17"/>
      <c r="P2945" s="17" t="b">
        <f>IFERROR(__xludf.DUMMYFUNCTION("""COMPUTED_VALUE"""),FALSE)</f>
        <v>0</v>
      </c>
      <c r="Q2945" s="20" t="str">
        <f>IFERROR(__xludf.DUMMYFUNCTION("""COMPUTED_VALUE"""),"")</f>
        <v/>
      </c>
      <c r="R2945" s="21" t="str">
        <f>IFERROR(__xludf.DUMMYFUNCTION("""COMPUTED_VALUE"""),"https://drive.google.com/file/d/1EmC5HjgxpmHoMeq9SEwsogzNbjDvYnnV/view?usp=drivesdk")</f>
        <v>https://drive.google.com/file/d/1EmC5HjgxpmHoMeq9SEwsogzNbjDvYnnV/view?usp=drivesdk</v>
      </c>
    </row>
    <row r="2946">
      <c r="A2946" s="15">
        <f>IFERROR(__xludf.DUMMYFUNCTION("""COMPUTED_VALUE"""),45086.0)</f>
        <v>45086</v>
      </c>
      <c r="B2946" s="16" t="str">
        <f>IFERROR(__xludf.DUMMYFUNCTION("""COMPUTED_VALUE"""),"Envia")</f>
        <v>Envia</v>
      </c>
      <c r="C2946" s="15" t="str">
        <f>IFERROR(__xludf.DUMMYFUNCTION("""COMPUTED_VALUE"""),"CALI")</f>
        <v>CALI</v>
      </c>
      <c r="D2946" s="15" t="str">
        <f>IFERROR(__xludf.DUMMYFUNCTION("""COMPUTED_VALUE"""),"MEDELLÍN")</f>
        <v>MEDELLÍN</v>
      </c>
      <c r="E2946" s="15" t="str">
        <f>IFERROR(__xludf.DUMMYFUNCTION("""COMPUTED_VALUE"""),"Terravocado")</f>
        <v>Terravocado</v>
      </c>
      <c r="F2946" s="17" t="str">
        <f>IFERROR(__xludf.DUMMYFUNCTION("""COMPUTED_VALUE"""),"CL 34 NORTE 2 BN 33 LC 1 / COCINA 1 / ALEJANDRO CHUMACERO - ENTRE LA 14 DE LA SEXTA Y EL DEPORTIVO CALI")</f>
        <v>CL 34 NORTE 2 BN 33 LC 1 / COCINA 1 / ALEJANDRO CHUMACERO - ENTRE LA 14 DE LA SEXTA Y EL DEPORTIVO CALI</v>
      </c>
      <c r="G2946" s="15" t="str">
        <f>IFERROR(__xludf.DUMMYFUNCTION("""COMPUTED_VALUE"""),"CONTINENTAL KITCHENS SAS")</f>
        <v>CONTINENTAL KITCHENS SAS</v>
      </c>
      <c r="H2946" s="16">
        <f>IFERROR(__xludf.DUMMYFUNCTION("""COMPUTED_VALUE"""),11434.0)</f>
        <v>11434</v>
      </c>
      <c r="I2946" s="18">
        <f>IFERROR(__xludf.DUMMYFUNCTION("""COMPUTED_VALUE"""),20.0)</f>
        <v>20</v>
      </c>
      <c r="J2946" s="18">
        <f>IFERROR(__xludf.DUMMYFUNCTION("""COMPUTED_VALUE"""),24.0)</f>
        <v>24</v>
      </c>
      <c r="K2946" s="18">
        <f>IFERROR(__xludf.DUMMYFUNCTION("""COMPUTED_VALUE"""),34.0)</f>
        <v>34</v>
      </c>
      <c r="L2946" s="17">
        <f>IFERROR(__xludf.DUMMYFUNCTION("""COMPUTED_VALUE"""),3.166313887E9)</f>
        <v>3166313887</v>
      </c>
      <c r="M2946" s="17" t="str">
        <f>IFERROR(__xludf.DUMMYFUNCTION("""COMPUTED_VALUE"""),"#REF!")</f>
        <v>#REF!</v>
      </c>
      <c r="N2946" s="17"/>
      <c r="O2946" s="17"/>
      <c r="P2946" s="17" t="b">
        <f>IFERROR(__xludf.DUMMYFUNCTION("""COMPUTED_VALUE"""),FALSE)</f>
        <v>0</v>
      </c>
      <c r="Q2946" s="20" t="str">
        <f>IFERROR(__xludf.DUMMYFUNCTION("""COMPUTED_VALUE"""),"")</f>
        <v/>
      </c>
      <c r="R2946" s="21" t="str">
        <f>IFERROR(__xludf.DUMMYFUNCTION("""COMPUTED_VALUE"""),"https://drive.google.com/file/d/1F6Woda4idj3Lc4BLHOO_lF2ZiAAnihuS/view?usp=drivesdk")</f>
        <v>https://drive.google.com/file/d/1F6Woda4idj3Lc4BLHOO_lF2ZiAAnihuS/view?usp=drivesdk</v>
      </c>
    </row>
    <row r="2947">
      <c r="A2947" s="15">
        <f>IFERROR(__xludf.DUMMYFUNCTION("""COMPUTED_VALUE"""),45086.0)</f>
        <v>45086</v>
      </c>
      <c r="B2947" s="16" t="str">
        <f>IFERROR(__xludf.DUMMYFUNCTION("""COMPUTED_VALUE"""),"Envia")</f>
        <v>Envia</v>
      </c>
      <c r="C2947" s="15" t="str">
        <f>IFERROR(__xludf.DUMMYFUNCTION("""COMPUTED_VALUE"""),"CALI")</f>
        <v>CALI</v>
      </c>
      <c r="D2947" s="15" t="str">
        <f>IFERROR(__xludf.DUMMYFUNCTION("""COMPUTED_VALUE"""),"MEDELLÍN")</f>
        <v>MEDELLÍN</v>
      </c>
      <c r="E2947" s="15" t="str">
        <f>IFERROR(__xludf.DUMMYFUNCTION("""COMPUTED_VALUE"""),"TOLEDALES S.A.S")</f>
        <v>TOLEDALES S.A.S</v>
      </c>
      <c r="F2947" s="17" t="str">
        <f>IFERROR(__xludf.DUMMYFUNCTION("""COMPUTED_VALUE"""),"k45 #56 E 41")</f>
        <v>k45 #56 E 41</v>
      </c>
      <c r="G2947" s="15" t="str">
        <f>IFERROR(__xludf.DUMMYFUNCTION("""COMPUTED_VALUE"""),"alex mondragon")</f>
        <v>alex mondragon</v>
      </c>
      <c r="H2947" s="16">
        <f>IFERROR(__xludf.DUMMYFUNCTION("""COMPUTED_VALUE"""),11561.0)</f>
        <v>11561</v>
      </c>
      <c r="I2947" s="18">
        <f>IFERROR(__xludf.DUMMYFUNCTION("""COMPUTED_VALUE"""),9.0)</f>
        <v>9</v>
      </c>
      <c r="J2947" s="18">
        <f>IFERROR(__xludf.DUMMYFUNCTION("""COMPUTED_VALUE"""),12.0)</f>
        <v>12</v>
      </c>
      <c r="K2947" s="18">
        <f>IFERROR(__xludf.DUMMYFUNCTION("""COMPUTED_VALUE"""),20.0)</f>
        <v>20</v>
      </c>
      <c r="L2947" s="17">
        <f>IFERROR(__xludf.DUMMYFUNCTION("""COMPUTED_VALUE"""),3.173402957E9)</f>
        <v>3173402957</v>
      </c>
      <c r="M2947" s="17" t="str">
        <f>IFERROR(__xludf.DUMMYFUNCTION("""COMPUTED_VALUE"""),"#REF!")</f>
        <v>#REF!</v>
      </c>
      <c r="N2947" s="17"/>
      <c r="O2947" s="17"/>
      <c r="P2947" s="17" t="b">
        <f>IFERROR(__xludf.DUMMYFUNCTION("""COMPUTED_VALUE"""),FALSE)</f>
        <v>0</v>
      </c>
      <c r="Q2947" s="20" t="str">
        <f>IFERROR(__xludf.DUMMYFUNCTION("""COMPUTED_VALUE"""),"")</f>
        <v/>
      </c>
      <c r="R2947" s="21" t="str">
        <f>IFERROR(__xludf.DUMMYFUNCTION("""COMPUTED_VALUE"""),"https://drive.google.com/file/d/1a-gFHMD6r4mLt6KxdjiuQFIqNDpUT4SP/view?usp=drivesdk")</f>
        <v>https://drive.google.com/file/d/1a-gFHMD6r4mLt6KxdjiuQFIqNDpUT4SP/view?usp=drivesdk</v>
      </c>
    </row>
    <row r="2948">
      <c r="A2948" s="15">
        <f>IFERROR(__xludf.DUMMYFUNCTION("""COMPUTED_VALUE"""),45086.0)</f>
        <v>45086</v>
      </c>
      <c r="B2948" s="16" t="str">
        <f>IFERROR(__xludf.DUMMYFUNCTION("""COMPUTED_VALUE"""),"Envia")</f>
        <v>Envia</v>
      </c>
      <c r="C2948" s="15" t="str">
        <f>IFERROR(__xludf.DUMMYFUNCTION("""COMPUTED_VALUE"""),"CÚCUTA")</f>
        <v>CÚCUTA</v>
      </c>
      <c r="D2948" s="15" t="str">
        <f>IFERROR(__xludf.DUMMYFUNCTION("""COMPUTED_VALUE"""),"MEDELLÍN")</f>
        <v>MEDELLÍN</v>
      </c>
      <c r="E2948" s="15" t="str">
        <f>IFERROR(__xludf.DUMMYFUNCTION("""COMPUTED_VALUE"""),"Rambla")</f>
        <v>Rambla</v>
      </c>
      <c r="F2948" s="17" t="str">
        <f>IFERROR(__xludf.DUMMYFUNCTION("""COMPUTED_VALUE"""),"Av 9e # 7-12 la Riviera / na / na")</f>
        <v>Av 9e # 7-12 la Riviera / na / na</v>
      </c>
      <c r="G2948" s="15" t="str">
        <f>IFERROR(__xludf.DUMMYFUNCTION("""COMPUTED_VALUE"""),"Sexto sentido")</f>
        <v>Sexto sentido</v>
      </c>
      <c r="H2948" s="16">
        <f>IFERROR(__xludf.DUMMYFUNCTION("""COMPUTED_VALUE"""),11513.0)</f>
        <v>11513</v>
      </c>
      <c r="I2948" s="18">
        <f>IFERROR(__xludf.DUMMYFUNCTION("""COMPUTED_VALUE"""),28.0)</f>
        <v>28</v>
      </c>
      <c r="J2948" s="18">
        <f>IFERROR(__xludf.DUMMYFUNCTION("""COMPUTED_VALUE"""),30.0)</f>
        <v>30</v>
      </c>
      <c r="K2948" s="18">
        <f>IFERROR(__xludf.DUMMYFUNCTION("""COMPUTED_VALUE"""),35.0)</f>
        <v>35</v>
      </c>
      <c r="L2948" s="17">
        <f>IFERROR(__xludf.DUMMYFUNCTION("""COMPUTED_VALUE"""),3.154996494E9)</f>
        <v>3154996494</v>
      </c>
      <c r="M2948" s="17" t="str">
        <f>IFERROR(__xludf.DUMMYFUNCTION("""COMPUTED_VALUE"""),"#REF!")</f>
        <v>#REF!</v>
      </c>
      <c r="N2948" s="17"/>
      <c r="O2948" s="17"/>
      <c r="P2948" s="17" t="b">
        <f>IFERROR(__xludf.DUMMYFUNCTION("""COMPUTED_VALUE"""),FALSE)</f>
        <v>0</v>
      </c>
      <c r="Q2948" s="20" t="str">
        <f>IFERROR(__xludf.DUMMYFUNCTION("""COMPUTED_VALUE"""),"")</f>
        <v/>
      </c>
      <c r="R2948" s="21" t="str">
        <f>IFERROR(__xludf.DUMMYFUNCTION("""COMPUTED_VALUE"""),"https://drive.google.com/file/d/1qjcs2UVq9g8xkpp5jmAMOUMpsFQ3EOia/view?usp=drivesdk")</f>
        <v>https://drive.google.com/file/d/1qjcs2UVq9g8xkpp5jmAMOUMpsFQ3EOia/view?usp=drivesdk</v>
      </c>
    </row>
    <row r="2949">
      <c r="A2949" s="15">
        <f>IFERROR(__xludf.DUMMYFUNCTION("""COMPUTED_VALUE"""),45086.0)</f>
        <v>45086</v>
      </c>
      <c r="B2949" s="16" t="str">
        <f>IFERROR(__xludf.DUMMYFUNCTION("""COMPUTED_VALUE"""),"Envia")</f>
        <v>Envia</v>
      </c>
      <c r="C2949" s="15" t="str">
        <f>IFERROR(__xludf.DUMMYFUNCTION("""COMPUTED_VALUE"""),"CÚCUTA")</f>
        <v>CÚCUTA</v>
      </c>
      <c r="D2949" s="15" t="str">
        <f>IFERROR(__xludf.DUMMYFUNCTION("""COMPUTED_VALUE"""),"MEDELLÍN")</f>
        <v>MEDELLÍN</v>
      </c>
      <c r="E2949" s="15" t="str">
        <f>IFERROR(__xludf.DUMMYFUNCTION("""COMPUTED_VALUE"""),"Rambla")</f>
        <v>Rambla</v>
      </c>
      <c r="F2949" s="17" t="str">
        <f>IFERROR(__xludf.DUMMYFUNCTION("""COMPUTED_VALUE"""),"Variante de la floresta, subiendo pinar del rio. Urbanización montealina casa B29. / na / na")</f>
        <v>Variante de la floresta, subiendo pinar del rio. Urbanización montealina casa B29. / na / na</v>
      </c>
      <c r="G2949" s="15" t="str">
        <f>IFERROR(__xludf.DUMMYFUNCTION("""COMPUTED_VALUE"""),"puerto foods")</f>
        <v>puerto foods</v>
      </c>
      <c r="H2949" s="16">
        <f>IFERROR(__xludf.DUMMYFUNCTION("""COMPUTED_VALUE"""),11515.0)</f>
        <v>11515</v>
      </c>
      <c r="I2949" s="18">
        <f>IFERROR(__xludf.DUMMYFUNCTION("""COMPUTED_VALUE"""),22.0)</f>
        <v>22</v>
      </c>
      <c r="J2949" s="18">
        <f>IFERROR(__xludf.DUMMYFUNCTION("""COMPUTED_VALUE"""),24.0)</f>
        <v>24</v>
      </c>
      <c r="K2949" s="18">
        <f>IFERROR(__xludf.DUMMYFUNCTION("""COMPUTED_VALUE"""),28.0)</f>
        <v>28</v>
      </c>
      <c r="L2949" s="17">
        <f>IFERROR(__xludf.DUMMYFUNCTION("""COMPUTED_VALUE"""),4.245532636E9)</f>
        <v>4245532636</v>
      </c>
      <c r="M2949" s="17" t="str">
        <f>IFERROR(__xludf.DUMMYFUNCTION("""COMPUTED_VALUE"""),"#REF!")</f>
        <v>#REF!</v>
      </c>
      <c r="N2949" s="17"/>
      <c r="O2949" s="17"/>
      <c r="P2949" s="17" t="b">
        <f>IFERROR(__xludf.DUMMYFUNCTION("""COMPUTED_VALUE"""),FALSE)</f>
        <v>0</v>
      </c>
      <c r="Q2949" s="20" t="str">
        <f>IFERROR(__xludf.DUMMYFUNCTION("""COMPUTED_VALUE"""),"")</f>
        <v/>
      </c>
      <c r="R2949" s="21" t="str">
        <f>IFERROR(__xludf.DUMMYFUNCTION("""COMPUTED_VALUE"""),"https://drive.google.com/file/d/1RaQqV92NVzlKaPGKFsxOPEl_FeroM8hP/view?usp=drivesdk")</f>
        <v>https://drive.google.com/file/d/1RaQqV92NVzlKaPGKFsxOPEl_FeroM8hP/view?usp=drivesdk</v>
      </c>
    </row>
    <row r="2950">
      <c r="A2950" s="15">
        <f>IFERROR(__xludf.DUMMYFUNCTION("""COMPUTED_VALUE"""),45086.0)</f>
        <v>45086</v>
      </c>
      <c r="B2950" s="16" t="str">
        <f>IFERROR(__xludf.DUMMYFUNCTION("""COMPUTED_VALUE"""),"Envia")</f>
        <v>Envia</v>
      </c>
      <c r="C2950" s="15" t="str">
        <f>IFERROR(__xludf.DUMMYFUNCTION("""COMPUTED_VALUE"""),"IBAGUÉ")</f>
        <v>IBAGUÉ</v>
      </c>
      <c r="D2950" s="15" t="str">
        <f>IFERROR(__xludf.DUMMYFUNCTION("""COMPUTED_VALUE"""),"BOGOTÁ")</f>
        <v>BOGOTÁ</v>
      </c>
      <c r="E2950" s="15" t="str">
        <f>IFERROR(__xludf.DUMMYFUNCTION("""COMPUTED_VALUE"""),"Mochi")</f>
        <v>Mochi</v>
      </c>
      <c r="F2950" s="17" t="str">
        <f>IFERROR(__xludf.DUMMYFUNCTION("""COMPUTED_VALUE"""),"Centro comercial la estacion / Centro comercial la estacion / Centro comercial la estacion")</f>
        <v>Centro comercial la estacion / Centro comercial la estacion / Centro comercial la estacion</v>
      </c>
      <c r="G2950" s="15" t="str">
        <f>IFERROR(__xludf.DUMMYFUNCTION("""COMPUTED_VALUE"""),"Diego gacrcia")</f>
        <v>Diego gacrcia</v>
      </c>
      <c r="H2950" s="16">
        <f>IFERROR(__xludf.DUMMYFUNCTION("""COMPUTED_VALUE"""),11560.0)</f>
        <v>11560</v>
      </c>
      <c r="I2950" s="18">
        <f>IFERROR(__xludf.DUMMYFUNCTION("""COMPUTED_VALUE"""),100.0)</f>
        <v>100</v>
      </c>
      <c r="J2950" s="18">
        <f>IFERROR(__xludf.DUMMYFUNCTION("""COMPUTED_VALUE"""),100.0)</f>
        <v>100</v>
      </c>
      <c r="K2950" s="18">
        <f>IFERROR(__xludf.DUMMYFUNCTION("""COMPUTED_VALUE"""),100.0)</f>
        <v>100</v>
      </c>
      <c r="L2950" s="17">
        <f>IFERROR(__xludf.DUMMYFUNCTION("""COMPUTED_VALUE"""),3.152686881E9)</f>
        <v>3152686881</v>
      </c>
      <c r="M2950" s="17" t="str">
        <f>IFERROR(__xludf.DUMMYFUNCTION("""COMPUTED_VALUE"""),"#REF!")</f>
        <v>#REF!</v>
      </c>
      <c r="N2950" s="17"/>
      <c r="O2950" s="17"/>
      <c r="P2950" s="17" t="b">
        <f>IFERROR(__xludf.DUMMYFUNCTION("""COMPUTED_VALUE"""),FALSE)</f>
        <v>0</v>
      </c>
      <c r="Q2950" s="20" t="str">
        <f>IFERROR(__xludf.DUMMYFUNCTION("""COMPUTED_VALUE"""),"")</f>
        <v/>
      </c>
      <c r="R2950" s="21" t="str">
        <f>IFERROR(__xludf.DUMMYFUNCTION("""COMPUTED_VALUE"""),"https://drive.google.com/file/d/16nHuOnIUFJ-l5C-owdmG6AxiMxLQnbyn/view?usp=drivesdk")</f>
        <v>https://drive.google.com/file/d/16nHuOnIUFJ-l5C-owdmG6AxiMxLQnbyn/view?usp=drivesdk</v>
      </c>
    </row>
    <row r="2951">
      <c r="A2951" s="15">
        <f>IFERROR(__xludf.DUMMYFUNCTION("""COMPUTED_VALUE"""),45086.0)</f>
        <v>45086</v>
      </c>
      <c r="B2951" s="16" t="str">
        <f>IFERROR(__xludf.DUMMYFUNCTION("""COMPUTED_VALUE"""),"Envia")</f>
        <v>Envia</v>
      </c>
      <c r="C2951" s="15" t="str">
        <f>IFERROR(__xludf.DUMMYFUNCTION("""COMPUTED_VALUE"""),"MEDELLÍN")</f>
        <v>MEDELLÍN</v>
      </c>
      <c r="D2951" s="15" t="str">
        <f>IFERROR(__xludf.DUMMYFUNCTION("""COMPUTED_VALUE"""),"BOGOTÁ")</f>
        <v>BOGOTÁ</v>
      </c>
      <c r="E2951" s="15" t="str">
        <f>IFERROR(__xludf.DUMMYFUNCTION("""COMPUTED_VALUE"""),"Fit Market AAA")</f>
        <v>Fit Market AAA</v>
      </c>
      <c r="F2951" s="17" t="str">
        <f>IFERROR(__xludf.DUMMYFUNCTION("""COMPUTED_VALUE"""),"Cra 43a # 32bsur - 38 av. el poblado al frente de mundo huevo / NA / NA")</f>
        <v>Cra 43a # 32bsur - 38 av. el poblado al frente de mundo huevo / NA / NA</v>
      </c>
      <c r="G2951" s="15" t="str">
        <f>IFERROR(__xludf.DUMMYFUNCTION("""COMPUTED_VALUE"""),"JUAN CAMILO CORDOBA")</f>
        <v>JUAN CAMILO CORDOBA</v>
      </c>
      <c r="H2951" s="16">
        <f>IFERROR(__xludf.DUMMYFUNCTION("""COMPUTED_VALUE"""),11269.0)</f>
        <v>11269</v>
      </c>
      <c r="I2951" s="18">
        <f>IFERROR(__xludf.DUMMYFUNCTION("""COMPUTED_VALUE"""),17.0)</f>
        <v>17</v>
      </c>
      <c r="J2951" s="18">
        <f>IFERROR(__xludf.DUMMYFUNCTION("""COMPUTED_VALUE"""),22.0)</f>
        <v>22</v>
      </c>
      <c r="K2951" s="18">
        <f>IFERROR(__xludf.DUMMYFUNCTION("""COMPUTED_VALUE"""),24.0)</f>
        <v>24</v>
      </c>
      <c r="L2951" s="17">
        <f>IFERROR(__xludf.DUMMYFUNCTION("""COMPUTED_VALUE"""),3.005006258E9)</f>
        <v>3005006258</v>
      </c>
      <c r="M2951" s="17" t="str">
        <f>IFERROR(__xludf.DUMMYFUNCTION("""COMPUTED_VALUE"""),"#REF!")</f>
        <v>#REF!</v>
      </c>
      <c r="N2951" s="17"/>
      <c r="O2951" s="17"/>
      <c r="P2951" s="17" t="b">
        <f>IFERROR(__xludf.DUMMYFUNCTION("""COMPUTED_VALUE"""),FALSE)</f>
        <v>0</v>
      </c>
      <c r="Q2951" s="20" t="str">
        <f>IFERROR(__xludf.DUMMYFUNCTION("""COMPUTED_VALUE"""),"")</f>
        <v/>
      </c>
      <c r="R2951" s="21" t="str">
        <f>IFERROR(__xludf.DUMMYFUNCTION("""COMPUTED_VALUE"""),"https://drive.google.com/file/d/1xer74eXhJSkpj4GfMlGRvYq0TXcGxQJW/view?usp=drivesdk")</f>
        <v>https://drive.google.com/file/d/1xer74eXhJSkpj4GfMlGRvYq0TXcGxQJW/view?usp=drivesdk</v>
      </c>
    </row>
    <row r="2952">
      <c r="A2952" s="15">
        <f>IFERROR(__xludf.DUMMYFUNCTION("""COMPUTED_VALUE"""),45086.0)</f>
        <v>45086</v>
      </c>
      <c r="B2952" s="16" t="str">
        <f>IFERROR(__xludf.DUMMYFUNCTION("""COMPUTED_VALUE"""),"Envia")</f>
        <v>Envia</v>
      </c>
      <c r="C2952" s="15" t="str">
        <f>IFERROR(__xludf.DUMMYFUNCTION("""COMPUTED_VALUE"""),"MEDELLÍN")</f>
        <v>MEDELLÍN</v>
      </c>
      <c r="D2952" s="15" t="str">
        <f>IFERROR(__xludf.DUMMYFUNCTION("""COMPUTED_VALUE"""),"BOGOTÁ")</f>
        <v>BOGOTÁ</v>
      </c>
      <c r="E2952" s="15" t="str">
        <f>IFERROR(__xludf.DUMMYFUNCTION("""COMPUTED_VALUE"""),"Forever Dog")</f>
        <v>Forever Dog</v>
      </c>
      <c r="F2952" s="17" t="str">
        <f>IFERROR(__xludf.DUMMYFUNCTION("""COMPUTED_VALUE"""),"Cra 28# 37b sur -  / Edf. Torre san miguel apto 501  / Envigado, Barrio Loma de las Brujas")</f>
        <v>Cra 28# 37b sur -  / Edf. Torre san miguel apto 501  / Envigado, Barrio Loma de las Brujas</v>
      </c>
      <c r="G2952" s="15" t="str">
        <f>IFERROR(__xludf.DUMMYFUNCTION("""COMPUTED_VALUE"""),"Dustin Torres")</f>
        <v>Dustin Torres</v>
      </c>
      <c r="H2952" s="16">
        <f>IFERROR(__xludf.DUMMYFUNCTION("""COMPUTED_VALUE"""),11528.0)</f>
        <v>11528</v>
      </c>
      <c r="I2952" s="18">
        <f>IFERROR(__xludf.DUMMYFUNCTION("""COMPUTED_VALUE"""),21.0)</f>
        <v>21</v>
      </c>
      <c r="J2952" s="18">
        <f>IFERROR(__xludf.DUMMYFUNCTION("""COMPUTED_VALUE"""),50.0)</f>
        <v>50</v>
      </c>
      <c r="K2952" s="18">
        <f>IFERROR(__xludf.DUMMYFUNCTION("""COMPUTED_VALUE"""),30.0)</f>
        <v>30</v>
      </c>
      <c r="L2952" s="17">
        <f>IFERROR(__xludf.DUMMYFUNCTION("""COMPUTED_VALUE"""),3.013390836E9)</f>
        <v>3013390836</v>
      </c>
      <c r="M2952" s="17" t="str">
        <f>IFERROR(__xludf.DUMMYFUNCTION("""COMPUTED_VALUE"""),"#REF!")</f>
        <v>#REF!</v>
      </c>
      <c r="N2952" s="17"/>
      <c r="O2952" s="17"/>
      <c r="P2952" s="17" t="b">
        <f>IFERROR(__xludf.DUMMYFUNCTION("""COMPUTED_VALUE"""),FALSE)</f>
        <v>0</v>
      </c>
      <c r="Q2952" s="20" t="str">
        <f>IFERROR(__xludf.DUMMYFUNCTION("""COMPUTED_VALUE"""),"")</f>
        <v/>
      </c>
      <c r="R2952" s="21" t="str">
        <f>IFERROR(__xludf.DUMMYFUNCTION("""COMPUTED_VALUE"""),"https://drive.google.com/file/d/1vBlJMIMZW4jp0235GVaFVhZodkZ44rU6/view?usp=drivesdk")</f>
        <v>https://drive.google.com/file/d/1vBlJMIMZW4jp0235GVaFVhZodkZ44rU6/view?usp=drivesdk</v>
      </c>
    </row>
    <row r="2953">
      <c r="A2953" s="15">
        <f>IFERROR(__xludf.DUMMYFUNCTION("""COMPUTED_VALUE"""),45086.0)</f>
        <v>45086</v>
      </c>
      <c r="B2953" s="16" t="str">
        <f>IFERROR(__xludf.DUMMYFUNCTION("""COMPUTED_VALUE"""),"Envia")</f>
        <v>Envia</v>
      </c>
      <c r="C2953" s="15" t="str">
        <f>IFERROR(__xludf.DUMMYFUNCTION("""COMPUTED_VALUE"""),"MEDELLÍN")</f>
        <v>MEDELLÍN</v>
      </c>
      <c r="D2953" s="15" t="str">
        <f>IFERROR(__xludf.DUMMYFUNCTION("""COMPUTED_VALUE"""),"BOGOTÁ")</f>
        <v>BOGOTÁ</v>
      </c>
      <c r="E2953" s="15" t="str">
        <f>IFERROR(__xludf.DUMMYFUNCTION("""COMPUTED_VALUE"""),"Frambascolombia sas")</f>
        <v>Frambascolombia sas</v>
      </c>
      <c r="F2953" s="17" t="str">
        <f>IFERROR(__xludf.DUMMYFUNCTION("""COMPUTED_VALUE"""),"Cl. 16 #55-129 / local 2")</f>
        <v>Cl. 16 #55-129 / local 2</v>
      </c>
      <c r="G2953" s="15" t="str">
        <f>IFERROR(__xludf.DUMMYFUNCTION("""COMPUTED_VALUE"""),"PikNPak Medellín")</f>
        <v>PikNPak Medellín</v>
      </c>
      <c r="H2953" s="16">
        <f>IFERROR(__xludf.DUMMYFUNCTION("""COMPUTED_VALUE"""),11533.0)</f>
        <v>11533</v>
      </c>
      <c r="I2953" s="18">
        <f>IFERROR(__xludf.DUMMYFUNCTION("""COMPUTED_VALUE"""),11.0)</f>
        <v>11</v>
      </c>
      <c r="J2953" s="18">
        <f>IFERROR(__xludf.DUMMYFUNCTION("""COMPUTED_VALUE"""),9.0)</f>
        <v>9</v>
      </c>
      <c r="K2953" s="18">
        <f>IFERROR(__xludf.DUMMYFUNCTION("""COMPUTED_VALUE"""),9.0)</f>
        <v>9</v>
      </c>
      <c r="L2953" s="17" t="str">
        <f>IFERROR(__xludf.DUMMYFUNCTION("""COMPUTED_VALUE"""),"321 4229567")</f>
        <v>321 4229567</v>
      </c>
      <c r="M2953" s="17" t="str">
        <f>IFERROR(__xludf.DUMMYFUNCTION("""COMPUTED_VALUE"""),"#REF!")</f>
        <v>#REF!</v>
      </c>
      <c r="N2953" s="17"/>
      <c r="O2953" s="17"/>
      <c r="P2953" s="17" t="b">
        <f>IFERROR(__xludf.DUMMYFUNCTION("""COMPUTED_VALUE"""),FALSE)</f>
        <v>0</v>
      </c>
      <c r="Q2953" s="20" t="str">
        <f>IFERROR(__xludf.DUMMYFUNCTION("""COMPUTED_VALUE"""),"")</f>
        <v/>
      </c>
      <c r="R2953" s="21" t="str">
        <f>IFERROR(__xludf.DUMMYFUNCTION("""COMPUTED_VALUE"""),"https://drive.google.com/file/d/1DeiZzmiGAQuC3HknAbXCoY8olXWp-HD1/view?usp=drivesdk")</f>
        <v>https://drive.google.com/file/d/1DeiZzmiGAQuC3HknAbXCoY8olXWp-HD1/view?usp=drivesdk</v>
      </c>
    </row>
    <row r="2954">
      <c r="A2954" s="15">
        <f>IFERROR(__xludf.DUMMYFUNCTION("""COMPUTED_VALUE"""),45086.0)</f>
        <v>45086</v>
      </c>
      <c r="B2954" s="16" t="str">
        <f>IFERROR(__xludf.DUMMYFUNCTION("""COMPUTED_VALUE"""),"Envia")</f>
        <v>Envia</v>
      </c>
      <c r="C2954" s="15" t="str">
        <f>IFERROR(__xludf.DUMMYFUNCTION("""COMPUTED_VALUE"""),"MEDELLÍN")</f>
        <v>MEDELLÍN</v>
      </c>
      <c r="D2954" s="15" t="str">
        <f>IFERROR(__xludf.DUMMYFUNCTION("""COMPUTED_VALUE"""),"BOGOTÁ")</f>
        <v>BOGOTÁ</v>
      </c>
      <c r="E2954" s="15" t="str">
        <f>IFERROR(__xludf.DUMMYFUNCTION("""COMPUTED_VALUE"""),"Petit Wip")</f>
        <v>Petit Wip</v>
      </c>
      <c r="F2954" s="17" t="str">
        <f>IFERROR(__xludf.DUMMYFUNCTION("""COMPUTED_VALUE"""),"calle 48f sur #42c - 103 / bloque 7.16 int 301 / Queda arriba de la panadería “panes y rones” y abajo de la unidad Zúrich Apartamentos")</f>
        <v>calle 48f sur #42c - 103 / bloque 7.16 int 301 / Queda arriba de la panadería “panes y rones” y abajo de la unidad Zúrich Apartamentos</v>
      </c>
      <c r="G2954" s="15" t="str">
        <f>IFERROR(__xludf.DUMMYFUNCTION("""COMPUTED_VALUE"""),"Juan David dónde Julián Bermúdez")</f>
        <v>Juan David dónde Julián Bermúdez</v>
      </c>
      <c r="H2954" s="16">
        <f>IFERROR(__xludf.DUMMYFUNCTION("""COMPUTED_VALUE"""),11532.0)</f>
        <v>11532</v>
      </c>
      <c r="I2954" s="18">
        <f>IFERROR(__xludf.DUMMYFUNCTION("""COMPUTED_VALUE"""),13.0)</f>
        <v>13</v>
      </c>
      <c r="J2954" s="18">
        <f>IFERROR(__xludf.DUMMYFUNCTION("""COMPUTED_VALUE"""),30.0)</f>
        <v>30</v>
      </c>
      <c r="K2954" s="18">
        <f>IFERROR(__xludf.DUMMYFUNCTION("""COMPUTED_VALUE"""),30.0)</f>
        <v>30</v>
      </c>
      <c r="L2954" s="17">
        <f>IFERROR(__xludf.DUMMYFUNCTION("""COMPUTED_VALUE"""),3.223133235E9)</f>
        <v>3223133235</v>
      </c>
      <c r="M2954" s="17" t="str">
        <f>IFERROR(__xludf.DUMMYFUNCTION("""COMPUTED_VALUE"""),"#REF!")</f>
        <v>#REF!</v>
      </c>
      <c r="N2954" s="17"/>
      <c r="O2954" s="17"/>
      <c r="P2954" s="17" t="b">
        <f>IFERROR(__xludf.DUMMYFUNCTION("""COMPUTED_VALUE"""),FALSE)</f>
        <v>0</v>
      </c>
      <c r="Q2954" s="20" t="str">
        <f>IFERROR(__xludf.DUMMYFUNCTION("""COMPUTED_VALUE"""),"")</f>
        <v/>
      </c>
      <c r="R2954" s="21" t="str">
        <f>IFERROR(__xludf.DUMMYFUNCTION("""COMPUTED_VALUE"""),"https://drive.google.com/file/d/1sig-bY8GzVdqMot6K-4vUggWRrN7lXXQ/view?usp=drivesdk")</f>
        <v>https://drive.google.com/file/d/1sig-bY8GzVdqMot6K-4vUggWRrN7lXXQ/view?usp=drivesdk</v>
      </c>
    </row>
    <row r="2955">
      <c r="A2955" s="15">
        <f>IFERROR(__xludf.DUMMYFUNCTION("""COMPUTED_VALUE"""),45086.0)</f>
        <v>45086</v>
      </c>
      <c r="B2955" s="16" t="str">
        <f>IFERROR(__xludf.DUMMYFUNCTION("""COMPUTED_VALUE"""),"Envia")</f>
        <v>Envia</v>
      </c>
      <c r="C2955" s="15" t="str">
        <f>IFERROR(__xludf.DUMMYFUNCTION("""COMPUTED_VALUE"""),"MEDELLÍN")</f>
        <v>MEDELLÍN</v>
      </c>
      <c r="D2955" s="15" t="str">
        <f>IFERROR(__xludf.DUMMYFUNCTION("""COMPUTED_VALUE"""),"BOGOTÁ")</f>
        <v>BOGOTÁ</v>
      </c>
      <c r="E2955" s="15" t="str">
        <f>IFERROR(__xludf.DUMMYFUNCTION("""COMPUTED_VALUE"""),"Top Spun")</f>
        <v>Top Spun</v>
      </c>
      <c r="F2955" s="17" t="str">
        <f>IFERROR(__xludf.DUMMYFUNCTION("""COMPUTED_VALUE"""),"Cr 27B 27D Sur 225 / Apto 1306 Envigado / Apto 1306 Envigado")</f>
        <v>Cr 27B 27D Sur 225 / Apto 1306 Envigado / Apto 1306 Envigado</v>
      </c>
      <c r="G2955" s="15" t="str">
        <f>IFERROR(__xludf.DUMMYFUNCTION("""COMPUTED_VALUE"""),"Natalia Carranza")</f>
        <v>Natalia Carranza</v>
      </c>
      <c r="H2955" s="16">
        <f>IFERROR(__xludf.DUMMYFUNCTION("""COMPUTED_VALUE"""),11522.0)</f>
        <v>11522</v>
      </c>
      <c r="I2955" s="18">
        <f>IFERROR(__xludf.DUMMYFUNCTION("""COMPUTED_VALUE"""),20.0)</f>
        <v>20</v>
      </c>
      <c r="J2955" s="18">
        <f>IFERROR(__xludf.DUMMYFUNCTION("""COMPUTED_VALUE"""),40.0)</f>
        <v>40</v>
      </c>
      <c r="K2955" s="18">
        <f>IFERROR(__xludf.DUMMYFUNCTION("""COMPUTED_VALUE"""),10.0)</f>
        <v>10</v>
      </c>
      <c r="L2955" s="17">
        <f>IFERROR(__xludf.DUMMYFUNCTION("""COMPUTED_VALUE"""),3.103354557E9)</f>
        <v>3103354557</v>
      </c>
      <c r="M2955" s="17" t="str">
        <f>IFERROR(__xludf.DUMMYFUNCTION("""COMPUTED_VALUE"""),"#REF!")</f>
        <v>#REF!</v>
      </c>
      <c r="N2955" s="17"/>
      <c r="O2955" s="17"/>
      <c r="P2955" s="17" t="b">
        <f>IFERROR(__xludf.DUMMYFUNCTION("""COMPUTED_VALUE"""),FALSE)</f>
        <v>0</v>
      </c>
      <c r="Q2955" s="20" t="str">
        <f>IFERROR(__xludf.DUMMYFUNCTION("""COMPUTED_VALUE"""),"")</f>
        <v/>
      </c>
      <c r="R2955" s="21" t="str">
        <f>IFERROR(__xludf.DUMMYFUNCTION("""COMPUTED_VALUE"""),"https://drive.google.com/file/d/12MnhiD3KGklvWJbxd3KqBcelYo3TTr1C/view?usp=drivesdk")</f>
        <v>https://drive.google.com/file/d/12MnhiD3KGklvWJbxd3KqBcelYo3TTr1C/view?usp=drivesdk</v>
      </c>
    </row>
    <row r="2956">
      <c r="A2956" s="15">
        <f>IFERROR(__xludf.DUMMYFUNCTION("""COMPUTED_VALUE"""),45086.0)</f>
        <v>45086</v>
      </c>
      <c r="B2956" s="16" t="str">
        <f>IFERROR(__xludf.DUMMYFUNCTION("""COMPUTED_VALUE"""),"Envia")</f>
        <v>Envia</v>
      </c>
      <c r="C2956" s="15" t="str">
        <f>IFERROR(__xludf.DUMMYFUNCTION("""COMPUTED_VALUE"""),"MEDELLÍN")</f>
        <v>MEDELLÍN</v>
      </c>
      <c r="D2956" s="15" t="str">
        <f>IFERROR(__xludf.DUMMYFUNCTION("""COMPUTED_VALUE"""),"BOGOTÁ")</f>
        <v>BOGOTÁ</v>
      </c>
      <c r="E2956" s="15" t="str">
        <f>IFERROR(__xludf.DUMMYFUNCTION("""COMPUTED_VALUE"""),"Top Spun")</f>
        <v>Top Spun</v>
      </c>
      <c r="F2956" s="17" t="str">
        <f>IFERROR(__xludf.DUMMYFUNCTION("""COMPUTED_VALUE"""),"DIAGONAL 54#17-100  / APTO 1132. -NIQUIA BELLO / POBLADO NIQUIA")</f>
        <v>DIAGONAL 54#17-100  / APTO 1132. -NIQUIA BELLO / POBLADO NIQUIA</v>
      </c>
      <c r="G2956" s="15" t="str">
        <f>IFERROR(__xludf.DUMMYFUNCTION("""COMPUTED_VALUE"""),"PAULA RUIZ")</f>
        <v>PAULA RUIZ</v>
      </c>
      <c r="H2956" s="16">
        <f>IFERROR(__xludf.DUMMYFUNCTION("""COMPUTED_VALUE"""),11520.0)</f>
        <v>11520</v>
      </c>
      <c r="I2956" s="18">
        <f>IFERROR(__xludf.DUMMYFUNCTION("""COMPUTED_VALUE"""),20.0)</f>
        <v>20</v>
      </c>
      <c r="J2956" s="18">
        <f>IFERROR(__xludf.DUMMYFUNCTION("""COMPUTED_VALUE"""),10.0)</f>
        <v>10</v>
      </c>
      <c r="K2956" s="18">
        <f>IFERROR(__xludf.DUMMYFUNCTION("""COMPUTED_VALUE"""),40.0)</f>
        <v>40</v>
      </c>
      <c r="L2956" s="17">
        <f>IFERROR(__xludf.DUMMYFUNCTION("""COMPUTED_VALUE"""),3.147541301E9)</f>
        <v>3147541301</v>
      </c>
      <c r="M2956" s="17" t="str">
        <f>IFERROR(__xludf.DUMMYFUNCTION("""COMPUTED_VALUE"""),"#REF!")</f>
        <v>#REF!</v>
      </c>
      <c r="N2956" s="17"/>
      <c r="O2956" s="17"/>
      <c r="P2956" s="17" t="b">
        <f>IFERROR(__xludf.DUMMYFUNCTION("""COMPUTED_VALUE"""),FALSE)</f>
        <v>0</v>
      </c>
      <c r="Q2956" s="20" t="str">
        <f>IFERROR(__xludf.DUMMYFUNCTION("""COMPUTED_VALUE"""),"")</f>
        <v/>
      </c>
      <c r="R2956" s="21" t="str">
        <f>IFERROR(__xludf.DUMMYFUNCTION("""COMPUTED_VALUE"""),"https://drive.google.com/file/d/1XhUs5Mj6s-yiW6m8MAL1O788ZTKQqvpd/view?usp=drivesdk")</f>
        <v>https://drive.google.com/file/d/1XhUs5Mj6s-yiW6m8MAL1O788ZTKQqvpd/view?usp=drivesdk</v>
      </c>
    </row>
    <row r="2957">
      <c r="A2957" s="15">
        <f>IFERROR(__xludf.DUMMYFUNCTION("""COMPUTED_VALUE"""),45086.0)</f>
        <v>45086</v>
      </c>
      <c r="B2957" s="16" t="str">
        <f>IFERROR(__xludf.DUMMYFUNCTION("""COMPUTED_VALUE"""),"Envia")</f>
        <v>Envia</v>
      </c>
      <c r="C2957" s="15" t="str">
        <f>IFERROR(__xludf.DUMMYFUNCTION("""COMPUTED_VALUE"""),"MEDELLÍN")</f>
        <v>MEDELLÍN</v>
      </c>
      <c r="D2957" s="15" t="str">
        <f>IFERROR(__xludf.DUMMYFUNCTION("""COMPUTED_VALUE"""),"BOGOTÁ")</f>
        <v>BOGOTÁ</v>
      </c>
      <c r="E2957" s="15" t="str">
        <f>IFERROR(__xludf.DUMMYFUNCTION("""COMPUTED_VALUE"""),"Viiva Fermentados")</f>
        <v>Viiva Fermentados</v>
      </c>
      <c r="F2957" s="17" t="str">
        <f>IFERROR(__xludf.DUMMYFUNCTION("""COMPUTED_VALUE"""),"CR 42 # 08 -39 /  LC PISO 1  / Poblado")</f>
        <v>CR 42 # 08 -39 /  LC PISO 1  / Poblado</v>
      </c>
      <c r="G2957" s="15" t="str">
        <f>IFERROR(__xludf.DUMMYFUNCTION("""COMPUTED_VALUE"""),"Julia Correa Ochoa La Real Vegetal")</f>
        <v>Julia Correa Ochoa La Real Vegetal</v>
      </c>
      <c r="H2957" s="16">
        <f>IFERROR(__xludf.DUMMYFUNCTION("""COMPUTED_VALUE"""),11438.0)</f>
        <v>11438</v>
      </c>
      <c r="I2957" s="18">
        <f>IFERROR(__xludf.DUMMYFUNCTION("""COMPUTED_VALUE"""),26.0)</f>
        <v>26</v>
      </c>
      <c r="J2957" s="18">
        <f>IFERROR(__xludf.DUMMYFUNCTION("""COMPUTED_VALUE"""),35.0)</f>
        <v>35</v>
      </c>
      <c r="K2957" s="18">
        <f>IFERROR(__xludf.DUMMYFUNCTION("""COMPUTED_VALUE"""),26.0)</f>
        <v>26</v>
      </c>
      <c r="L2957" s="17">
        <f>IFERROR(__xludf.DUMMYFUNCTION("""COMPUTED_VALUE"""),3.116345472E9)</f>
        <v>3116345472</v>
      </c>
      <c r="M2957" s="17" t="str">
        <f>IFERROR(__xludf.DUMMYFUNCTION("""COMPUTED_VALUE"""),"#REF!")</f>
        <v>#REF!</v>
      </c>
      <c r="N2957" s="17"/>
      <c r="O2957" s="17"/>
      <c r="P2957" s="17" t="b">
        <f>IFERROR(__xludf.DUMMYFUNCTION("""COMPUTED_VALUE"""),FALSE)</f>
        <v>0</v>
      </c>
      <c r="Q2957" s="20" t="str">
        <f>IFERROR(__xludf.DUMMYFUNCTION("""COMPUTED_VALUE"""),"")</f>
        <v/>
      </c>
      <c r="R2957" s="21" t="str">
        <f>IFERROR(__xludf.DUMMYFUNCTION("""COMPUTED_VALUE"""),"https://drive.google.com/file/d/1Ks2ACcn9C37IugyeiDb-kW5Oi-3B18K1/view?usp=drivesdk")</f>
        <v>https://drive.google.com/file/d/1Ks2ACcn9C37IugyeiDb-kW5Oi-3B18K1/view?usp=drivesdk</v>
      </c>
    </row>
    <row r="2958">
      <c r="A2958" s="15">
        <f>IFERROR(__xludf.DUMMYFUNCTION("""COMPUTED_VALUE"""),45086.0)</f>
        <v>45086</v>
      </c>
      <c r="B2958" s="16" t="str">
        <f>IFERROR(__xludf.DUMMYFUNCTION("""COMPUTED_VALUE"""),"Envia")</f>
        <v>Envia</v>
      </c>
      <c r="C2958" s="15" t="str">
        <f>IFERROR(__xludf.DUMMYFUNCTION("""COMPUTED_VALUE"""),"MOSQUERA")</f>
        <v>MOSQUERA</v>
      </c>
      <c r="D2958" s="15" t="str">
        <f>IFERROR(__xludf.DUMMYFUNCTION("""COMPUTED_VALUE"""),"BOGOTÁ")</f>
        <v>BOGOTÁ</v>
      </c>
      <c r="E2958" s="15" t="str">
        <f>IFERROR(__xludf.DUMMYFUNCTION("""COMPUTED_VALUE"""),"Viiva Fermentados")</f>
        <v>Viiva Fermentados</v>
      </c>
      <c r="F2958" s="17" t="str">
        <f>IFERROR(__xludf.DUMMYFUNCTION("""COMPUTED_VALUE"""),"Cra 3A 17 sur 93.  / Local 124.   / Mall comercial Meridiano Novaterra")</f>
        <v>Cra 3A 17 sur 93.  / Local 124.   / Mall comercial Meridiano Novaterra</v>
      </c>
      <c r="G2958" s="15" t="str">
        <f>IFERROR(__xludf.DUMMYFUNCTION("""COMPUTED_VALUE"""),"Yuri Andrea Estrada - Tienda Bida")</f>
        <v>Yuri Andrea Estrada - Tienda Bida</v>
      </c>
      <c r="H2958" s="16">
        <f>IFERROR(__xludf.DUMMYFUNCTION("""COMPUTED_VALUE"""),11439.0)</f>
        <v>11439</v>
      </c>
      <c r="I2958" s="18">
        <f>IFERROR(__xludf.DUMMYFUNCTION("""COMPUTED_VALUE"""),22.0)</f>
        <v>22</v>
      </c>
      <c r="J2958" s="18">
        <f>IFERROR(__xludf.DUMMYFUNCTION("""COMPUTED_VALUE"""),25.0)</f>
        <v>25</v>
      </c>
      <c r="K2958" s="18" t="str">
        <f>IFERROR(__xludf.DUMMYFUNCTION("""COMPUTED_VALUE"""),"37.5")</f>
        <v>37.5</v>
      </c>
      <c r="L2958" s="17">
        <f>IFERROR(__xludf.DUMMYFUNCTION("""COMPUTED_VALUE"""),3.166819934E9)</f>
        <v>3166819934</v>
      </c>
      <c r="M2958" s="17" t="str">
        <f>IFERROR(__xludf.DUMMYFUNCTION("""COMPUTED_VALUE"""),"#REF!")</f>
        <v>#REF!</v>
      </c>
      <c r="N2958" s="17"/>
      <c r="O2958" s="17"/>
      <c r="P2958" s="17" t="b">
        <f>IFERROR(__xludf.DUMMYFUNCTION("""COMPUTED_VALUE"""),FALSE)</f>
        <v>0</v>
      </c>
      <c r="Q2958" s="20" t="str">
        <f>IFERROR(__xludf.DUMMYFUNCTION("""COMPUTED_VALUE"""),"")</f>
        <v/>
      </c>
      <c r="R2958" s="21" t="str">
        <f>IFERROR(__xludf.DUMMYFUNCTION("""COMPUTED_VALUE"""),"https://drive.google.com/file/d/1-bOjwXhwjzpufQazwBMh9pT2lVSkaodh/view?usp=drivesdk")</f>
        <v>https://drive.google.com/file/d/1-bOjwXhwjzpufQazwBMh9pT2lVSkaodh/view?usp=drivesdk</v>
      </c>
    </row>
    <row r="2959">
      <c r="A2959" s="15">
        <f>IFERROR(__xludf.DUMMYFUNCTION("""COMPUTED_VALUE"""),45086.0)</f>
        <v>45086</v>
      </c>
      <c r="B2959" s="16" t="str">
        <f>IFERROR(__xludf.DUMMYFUNCTION("""COMPUTED_VALUE"""),"Envia")</f>
        <v>Envia</v>
      </c>
      <c r="C2959" s="15" t="str">
        <f>IFERROR(__xludf.DUMMYFUNCTION("""COMPUTED_VALUE"""),"SANTA MARTA")</f>
        <v>SANTA MARTA</v>
      </c>
      <c r="D2959" s="15" t="str">
        <f>IFERROR(__xludf.DUMMYFUNCTION("""COMPUTED_VALUE"""),"BOGOTÁ")</f>
        <v>BOGOTÁ</v>
      </c>
      <c r="E2959" s="15" t="str">
        <f>IFERROR(__xludf.DUMMYFUNCTION("""COMPUTED_VALUE"""),"Evamazzita")</f>
        <v>Evamazzita</v>
      </c>
      <c r="F2959" s="17" t="str">
        <f>IFERROR(__xludf.DUMMYFUNCTION("""COMPUTED_VALUE"""),"AV. DEL LIBERTADOR # 29 - 125  / CASA 8  / (CALLE FRENTE A RESTAURANTE 18-08)")</f>
        <v>AV. DEL LIBERTADOR # 29 - 125  / CASA 8  / (CALLE FRENTE A RESTAURANTE 18-08)</v>
      </c>
      <c r="G2959" s="15" t="str">
        <f>IFERROR(__xludf.DUMMYFUNCTION("""COMPUTED_VALUE"""),"MAYA CADENA")</f>
        <v>MAYA CADENA</v>
      </c>
      <c r="H2959" s="16">
        <f>IFERROR(__xludf.DUMMYFUNCTION("""COMPUTED_VALUE"""),11494.0)</f>
        <v>11494</v>
      </c>
      <c r="I2959" s="18">
        <f>IFERROR(__xludf.DUMMYFUNCTION("""COMPUTED_VALUE"""),8.0)</f>
        <v>8</v>
      </c>
      <c r="J2959" s="18">
        <f>IFERROR(__xludf.DUMMYFUNCTION("""COMPUTED_VALUE"""),22.0)</f>
        <v>22</v>
      </c>
      <c r="K2959" s="18">
        <f>IFERROR(__xludf.DUMMYFUNCTION("""COMPUTED_VALUE"""),17.0)</f>
        <v>17</v>
      </c>
      <c r="L2959" s="17">
        <f>IFERROR(__xludf.DUMMYFUNCTION("""COMPUTED_VALUE"""),3.012318065E9)</f>
        <v>3012318065</v>
      </c>
      <c r="M2959" s="17" t="str">
        <f>IFERROR(__xludf.DUMMYFUNCTION("""COMPUTED_VALUE"""),"#REF!")</f>
        <v>#REF!</v>
      </c>
      <c r="N2959" s="17"/>
      <c r="O2959" s="17"/>
      <c r="P2959" s="17" t="b">
        <f>IFERROR(__xludf.DUMMYFUNCTION("""COMPUTED_VALUE"""),FALSE)</f>
        <v>0</v>
      </c>
      <c r="Q2959" s="20" t="str">
        <f>IFERROR(__xludf.DUMMYFUNCTION("""COMPUTED_VALUE"""),"")</f>
        <v/>
      </c>
      <c r="R2959" s="21" t="str">
        <f>IFERROR(__xludf.DUMMYFUNCTION("""COMPUTED_VALUE"""),"https://drive.google.com/file/d/1cRxBPf2TRl7qxqAyL9f56rPK0RfbhPyw/view?usp=drivesdk")</f>
        <v>https://drive.google.com/file/d/1cRxBPf2TRl7qxqAyL9f56rPK0RfbhPyw/view?usp=drivesdk</v>
      </c>
    </row>
    <row r="2960">
      <c r="A2960" s="17" t="str">
        <f>IFERROR(__xludf.DUMMYFUNCTION("""COMPUTED_VALUE"""),"")</f>
        <v/>
      </c>
      <c r="B2960" s="17" t="str">
        <f>IFERROR(__xludf.DUMMYFUNCTION("""COMPUTED_VALUE"""),"")</f>
        <v/>
      </c>
      <c r="C2960" s="17" t="str">
        <f>IFERROR(__xludf.DUMMYFUNCTION("""COMPUTED_VALUE"""),"")</f>
        <v/>
      </c>
      <c r="D2960" s="17" t="str">
        <f>IFERROR(__xludf.DUMMYFUNCTION("""COMPUTED_VALUE"""),"")</f>
        <v/>
      </c>
      <c r="E2960" s="17" t="str">
        <f>IFERROR(__xludf.DUMMYFUNCTION("""COMPUTED_VALUE"""),"")</f>
        <v/>
      </c>
      <c r="F2960" s="17" t="str">
        <f>IFERROR(__xludf.DUMMYFUNCTION("""COMPUTED_VALUE"""),"")</f>
        <v/>
      </c>
      <c r="G2960" s="17" t="str">
        <f>IFERROR(__xludf.DUMMYFUNCTION("""COMPUTED_VALUE"""),"")</f>
        <v/>
      </c>
      <c r="H2960" s="17" t="str">
        <f>IFERROR(__xludf.DUMMYFUNCTION("""COMPUTED_VALUE"""),"")</f>
        <v/>
      </c>
      <c r="I2960" s="17" t="str">
        <f>IFERROR(__xludf.DUMMYFUNCTION("""COMPUTED_VALUE"""),"")</f>
        <v/>
      </c>
      <c r="J2960" s="17" t="str">
        <f>IFERROR(__xludf.DUMMYFUNCTION("""COMPUTED_VALUE"""),"")</f>
        <v/>
      </c>
      <c r="K2960" s="17" t="str">
        <f>IFERROR(__xludf.DUMMYFUNCTION("""COMPUTED_VALUE"""),"")</f>
        <v/>
      </c>
      <c r="L2960" s="17" t="str">
        <f>IFERROR(__xludf.DUMMYFUNCTION("""COMPUTED_VALUE"""),"")</f>
        <v/>
      </c>
      <c r="M2960" s="17" t="str">
        <f>IFERROR(__xludf.DUMMYFUNCTION("""COMPUTED_VALUE"""),"")</f>
        <v/>
      </c>
      <c r="N2960" s="17" t="str">
        <f>IFERROR(__xludf.DUMMYFUNCTION("""COMPUTED_VALUE"""),"")</f>
        <v/>
      </c>
      <c r="O2960" s="17" t="str">
        <f>IFERROR(__xludf.DUMMYFUNCTION("""COMPUTED_VALUE"""),"")</f>
        <v/>
      </c>
      <c r="P2960" s="17" t="str">
        <f>IFERROR(__xludf.DUMMYFUNCTION("""COMPUTED_VALUE"""),"")</f>
        <v/>
      </c>
      <c r="Q2960" s="17" t="str">
        <f>IFERROR(__xludf.DUMMYFUNCTION("""COMPUTED_VALUE"""),"")</f>
        <v/>
      </c>
      <c r="R2960" s="17" t="str">
        <f>IFERROR(__xludf.DUMMYFUNCTION("""COMPUTED_VALUE"""),"")</f>
        <v/>
      </c>
    </row>
    <row r="2961">
      <c r="A2961" s="15">
        <f>IFERROR(__xludf.DUMMYFUNCTION("""COMPUTED_VALUE"""),45086.0)</f>
        <v>45086</v>
      </c>
      <c r="B2961" s="16" t="str">
        <f>IFERROR(__xludf.DUMMYFUNCTION("""COMPUTED_VALUE"""),"Jeison Rubiano")</f>
        <v>Jeison Rubiano</v>
      </c>
      <c r="C2961" s="15" t="str">
        <f>IFERROR(__xludf.DUMMYFUNCTION("""COMPUTED_VALUE"""),"BOGOTÁ")</f>
        <v>BOGOTÁ</v>
      </c>
      <c r="D2961" s="15" t="str">
        <f>IFERROR(__xludf.DUMMYFUNCTION("""COMPUTED_VALUE"""),"MEDELLÍN")</f>
        <v>MEDELLÍN</v>
      </c>
      <c r="E2961" s="15" t="str">
        <f>IFERROR(__xludf.DUMMYFUNCTION("""COMPUTED_VALUE"""),"Baby Chef")</f>
        <v>Baby Chef</v>
      </c>
      <c r="F2961" s="17" t="str">
        <f>IFERROR(__xludf.DUMMYFUNCTION("""COMPUTED_VALUE"""),"Calle 3 sur no 69 D - 34, casa 49 CJ  / condado de las americas casa 46  / bogota")</f>
        <v>Calle 3 sur no 69 D - 34, casa 49 CJ  / condado de las americas casa 46  / bogota</v>
      </c>
      <c r="G2961" s="15" t="str">
        <f>IFERROR(__xludf.DUMMYFUNCTION("""COMPUTED_VALUE"""),"Andrea Rosero")</f>
        <v>Andrea Rosero</v>
      </c>
      <c r="H2961" s="16">
        <f>IFERROR(__xludf.DUMMYFUNCTION("""COMPUTED_VALUE"""),11557.0)</f>
        <v>11557</v>
      </c>
      <c r="I2961" s="18">
        <f>IFERROR(__xludf.DUMMYFUNCTION("""COMPUTED_VALUE"""),8.0)</f>
        <v>8</v>
      </c>
      <c r="J2961" s="18">
        <f>IFERROR(__xludf.DUMMYFUNCTION("""COMPUTED_VALUE"""),16.0)</f>
        <v>16</v>
      </c>
      <c r="K2961" s="18">
        <f>IFERROR(__xludf.DUMMYFUNCTION("""COMPUTED_VALUE"""),20.0)</f>
        <v>20</v>
      </c>
      <c r="L2961" s="17">
        <f>IFERROR(__xludf.DUMMYFUNCTION("""COMPUTED_VALUE"""),3.013514377E9)</f>
        <v>3013514377</v>
      </c>
      <c r="M2961" s="17" t="str">
        <f>IFERROR(__xludf.DUMMYFUNCTION("""COMPUTED_VALUE"""),"#REF!")</f>
        <v>#REF!</v>
      </c>
      <c r="N2961" s="17"/>
      <c r="O2961" s="17"/>
      <c r="P2961" s="17" t="b">
        <f>IFERROR(__xludf.DUMMYFUNCTION("""COMPUTED_VALUE"""),FALSE)</f>
        <v>0</v>
      </c>
      <c r="Q2961" s="20" t="str">
        <f>IFERROR(__xludf.DUMMYFUNCTION("""COMPUTED_VALUE"""),"")</f>
        <v/>
      </c>
      <c r="R2961" s="22" t="str">
        <f>IFERROR(__xludf.DUMMYFUNCTION("""COMPUTED_VALUE"""),"")</f>
        <v/>
      </c>
    </row>
    <row r="2962">
      <c r="A2962" s="15">
        <f>IFERROR(__xludf.DUMMYFUNCTION("""COMPUTED_VALUE"""),45086.0)</f>
        <v>45086</v>
      </c>
      <c r="B2962" s="16" t="str">
        <f>IFERROR(__xludf.DUMMYFUNCTION("""COMPUTED_VALUE"""),"Jeison Rubiano")</f>
        <v>Jeison Rubiano</v>
      </c>
      <c r="C2962" s="15" t="str">
        <f>IFERROR(__xludf.DUMMYFUNCTION("""COMPUTED_VALUE"""),"BOGOTÁ")</f>
        <v>BOGOTÁ</v>
      </c>
      <c r="D2962" s="15" t="str">
        <f>IFERROR(__xludf.DUMMYFUNCTION("""COMPUTED_VALUE"""),"MEDELLÍN")</f>
        <v>MEDELLÍN</v>
      </c>
      <c r="E2962" s="15" t="str">
        <f>IFERROR(__xludf.DUMMYFUNCTION("""COMPUTED_VALUE"""),"Rambla")</f>
        <v>Rambla</v>
      </c>
      <c r="F2962" s="17" t="str">
        <f>IFERROR(__xludf.DUMMYFUNCTION("""COMPUTED_VALUE"""),"Calle 25B # 70B - 50, Conjunto Gran reserva de Mallorca, Torre 3, Apto 1207, Barrio Salitre / na / na")</f>
        <v>Calle 25B # 70B - 50, Conjunto Gran reserva de Mallorca, Torre 3, Apto 1207, Barrio Salitre / na / na</v>
      </c>
      <c r="G2962" s="15" t="str">
        <f>IFERROR(__xludf.DUMMYFUNCTION("""COMPUTED_VALUE"""),"Andrés Hamón Silva")</f>
        <v>Andrés Hamón Silva</v>
      </c>
      <c r="H2962" s="16">
        <f>IFERROR(__xludf.DUMMYFUNCTION("""COMPUTED_VALUE"""),11538.0)</f>
        <v>11538</v>
      </c>
      <c r="I2962" s="18">
        <f>IFERROR(__xludf.DUMMYFUNCTION("""COMPUTED_VALUE"""),18.0)</f>
        <v>18</v>
      </c>
      <c r="J2962" s="18">
        <f>IFERROR(__xludf.DUMMYFUNCTION("""COMPUTED_VALUE"""),21.0)</f>
        <v>21</v>
      </c>
      <c r="K2962" s="18">
        <f>IFERROR(__xludf.DUMMYFUNCTION("""COMPUTED_VALUE"""),15.0)</f>
        <v>15</v>
      </c>
      <c r="L2962" s="17">
        <f>IFERROR(__xludf.DUMMYFUNCTION("""COMPUTED_VALUE"""),3.014772992E9)</f>
        <v>3014772992</v>
      </c>
      <c r="M2962" s="17" t="str">
        <f>IFERROR(__xludf.DUMMYFUNCTION("""COMPUTED_VALUE"""),"#REF!")</f>
        <v>#REF!</v>
      </c>
      <c r="N2962" s="17"/>
      <c r="O2962" s="17"/>
      <c r="P2962" s="17" t="b">
        <f>IFERROR(__xludf.DUMMYFUNCTION("""COMPUTED_VALUE"""),FALSE)</f>
        <v>0</v>
      </c>
      <c r="Q2962" s="20" t="str">
        <f>IFERROR(__xludf.DUMMYFUNCTION("""COMPUTED_VALUE"""),"")</f>
        <v/>
      </c>
      <c r="R2962" s="22" t="str">
        <f>IFERROR(__xludf.DUMMYFUNCTION("""COMPUTED_VALUE"""),"")</f>
        <v/>
      </c>
    </row>
    <row r="2963">
      <c r="A2963" s="15">
        <f>IFERROR(__xludf.DUMMYFUNCTION("""COMPUTED_VALUE"""),45086.0)</f>
        <v>45086</v>
      </c>
      <c r="B2963" s="16" t="str">
        <f>IFERROR(__xludf.DUMMYFUNCTION("""COMPUTED_VALUE"""),"Jeison Rubiano")</f>
        <v>Jeison Rubiano</v>
      </c>
      <c r="C2963" s="15" t="str">
        <f>IFERROR(__xludf.DUMMYFUNCTION("""COMPUTED_VALUE"""),"BOGOTÁ")</f>
        <v>BOGOTÁ</v>
      </c>
      <c r="D2963" s="15" t="str">
        <f>IFERROR(__xludf.DUMMYFUNCTION("""COMPUTED_VALUE"""),"MEDELLÍN")</f>
        <v>MEDELLÍN</v>
      </c>
      <c r="E2963" s="15" t="str">
        <f>IFERROR(__xludf.DUMMYFUNCTION("""COMPUTED_VALUE"""),"Rambla")</f>
        <v>Rambla</v>
      </c>
      <c r="F2963" s="17" t="str">
        <f>IFERROR(__xludf.DUMMYFUNCTION("""COMPUTED_VALUE"""),"Carrera 12c #151-35 interior 05  apartamento 173, Bogotá, barrio cedritos,  / na / na")</f>
        <v>Carrera 12c #151-35 interior 05  apartamento 173, Bogotá, barrio cedritos,  / na / na</v>
      </c>
      <c r="G2963" s="15" t="str">
        <f>IFERROR(__xludf.DUMMYFUNCTION("""COMPUTED_VALUE"""),"Margehrita Omarini")</f>
        <v>Margehrita Omarini</v>
      </c>
      <c r="H2963" s="16">
        <f>IFERROR(__xludf.DUMMYFUNCTION("""COMPUTED_VALUE"""),11548.0)</f>
        <v>11548</v>
      </c>
      <c r="I2963" s="18">
        <f>IFERROR(__xludf.DUMMYFUNCTION("""COMPUTED_VALUE"""),18.0)</f>
        <v>18</v>
      </c>
      <c r="J2963" s="18">
        <f>IFERROR(__xludf.DUMMYFUNCTION("""COMPUTED_VALUE"""),21.0)</f>
        <v>21</v>
      </c>
      <c r="K2963" s="18">
        <f>IFERROR(__xludf.DUMMYFUNCTION("""COMPUTED_VALUE"""),25.0)</f>
        <v>25</v>
      </c>
      <c r="L2963" s="17">
        <f>IFERROR(__xludf.DUMMYFUNCTION("""COMPUTED_VALUE"""),3.164684094E9)</f>
        <v>3164684094</v>
      </c>
      <c r="M2963" s="17" t="str">
        <f>IFERROR(__xludf.DUMMYFUNCTION("""COMPUTED_VALUE"""),"#REF!")</f>
        <v>#REF!</v>
      </c>
      <c r="N2963" s="17"/>
      <c r="O2963" s="17"/>
      <c r="P2963" s="17" t="b">
        <f>IFERROR(__xludf.DUMMYFUNCTION("""COMPUTED_VALUE"""),FALSE)</f>
        <v>0</v>
      </c>
      <c r="Q2963" s="20" t="str">
        <f>IFERROR(__xludf.DUMMYFUNCTION("""COMPUTED_VALUE"""),"")</f>
        <v/>
      </c>
      <c r="R2963" s="22" t="str">
        <f>IFERROR(__xludf.DUMMYFUNCTION("""COMPUTED_VALUE"""),"")</f>
        <v/>
      </c>
    </row>
    <row r="2964">
      <c r="A2964" s="15">
        <f>IFERROR(__xludf.DUMMYFUNCTION("""COMPUTED_VALUE"""),45086.0)</f>
        <v>45086</v>
      </c>
      <c r="B2964" s="16" t="str">
        <f>IFERROR(__xludf.DUMMYFUNCTION("""COMPUTED_VALUE"""),"Jeison Rubiano")</f>
        <v>Jeison Rubiano</v>
      </c>
      <c r="C2964" s="15" t="str">
        <f>IFERROR(__xludf.DUMMYFUNCTION("""COMPUTED_VALUE"""),"BOGOTÁ")</f>
        <v>BOGOTÁ</v>
      </c>
      <c r="D2964" s="15" t="str">
        <f>IFERROR(__xludf.DUMMYFUNCTION("""COMPUTED_VALUE"""),"MEDELLÍN")</f>
        <v>MEDELLÍN</v>
      </c>
      <c r="E2964" s="15" t="str">
        <f>IFERROR(__xludf.DUMMYFUNCTION("""COMPUTED_VALUE"""),"Rambla")</f>
        <v>Rambla</v>
      </c>
      <c r="F2964" s="17" t="str">
        <f>IFERROR(__xludf.DUMMYFUNCTION("""COMPUTED_VALUE"""),"Cl. 93a #11-46, Barrio Chicó / na / na")</f>
        <v>Cl. 93a #11-46, Barrio Chicó / na / na</v>
      </c>
      <c r="G2964" s="15" t="str">
        <f>IFERROR(__xludf.DUMMYFUNCTION("""COMPUTED_VALUE"""),"Fit Hub Bogota")</f>
        <v>Fit Hub Bogota</v>
      </c>
      <c r="H2964" s="16">
        <f>IFERROR(__xludf.DUMMYFUNCTION("""COMPUTED_VALUE"""),11544.0)</f>
        <v>11544</v>
      </c>
      <c r="I2964" s="18">
        <f>IFERROR(__xludf.DUMMYFUNCTION("""COMPUTED_VALUE"""),18.0)</f>
        <v>18</v>
      </c>
      <c r="J2964" s="18">
        <f>IFERROR(__xludf.DUMMYFUNCTION("""COMPUTED_VALUE"""),21.0)</f>
        <v>21</v>
      </c>
      <c r="K2964" s="18">
        <f>IFERROR(__xludf.DUMMYFUNCTION("""COMPUTED_VALUE"""),25.0)</f>
        <v>25</v>
      </c>
      <c r="L2964" s="17">
        <f>IFERROR(__xludf.DUMMYFUNCTION("""COMPUTED_VALUE"""),3.015447307E9)</f>
        <v>3015447307</v>
      </c>
      <c r="M2964" s="17" t="str">
        <f>IFERROR(__xludf.DUMMYFUNCTION("""COMPUTED_VALUE"""),"#REF!")</f>
        <v>#REF!</v>
      </c>
      <c r="N2964" s="17"/>
      <c r="O2964" s="17"/>
      <c r="P2964" s="17" t="b">
        <f>IFERROR(__xludf.DUMMYFUNCTION("""COMPUTED_VALUE"""),FALSE)</f>
        <v>0</v>
      </c>
      <c r="Q2964" s="20" t="str">
        <f>IFERROR(__xludf.DUMMYFUNCTION("""COMPUTED_VALUE"""),"")</f>
        <v/>
      </c>
      <c r="R2964" s="21" t="str">
        <f>IFERROR(__xludf.DUMMYFUNCTION("""COMPUTED_VALUE"""),"https://drive.google.com/file/d/1SCTAbZNkbalo2_Z3RishZrzf-S7IZu_M/view?usp=drivesdk")</f>
        <v>https://drive.google.com/file/d/1SCTAbZNkbalo2_Z3RishZrzf-S7IZu_M/view?usp=drivesdk</v>
      </c>
    </row>
    <row r="2965">
      <c r="A2965" s="15">
        <f>IFERROR(__xludf.DUMMYFUNCTION("""COMPUTED_VALUE"""),45086.0)</f>
        <v>45086</v>
      </c>
      <c r="B2965" s="16" t="str">
        <f>IFERROR(__xludf.DUMMYFUNCTION("""COMPUTED_VALUE"""),"Jeison Rubiano")</f>
        <v>Jeison Rubiano</v>
      </c>
      <c r="C2965" s="15" t="str">
        <f>IFERROR(__xludf.DUMMYFUNCTION("""COMPUTED_VALUE"""),"BOGOTÁ")</f>
        <v>BOGOTÁ</v>
      </c>
      <c r="D2965" s="15" t="str">
        <f>IFERROR(__xludf.DUMMYFUNCTION("""COMPUTED_VALUE"""),"MEDELLÍN")</f>
        <v>MEDELLÍN</v>
      </c>
      <c r="E2965" s="15" t="str">
        <f>IFERROR(__xludf.DUMMYFUNCTION("""COMPUTED_VALUE"""),"Rambla")</f>
        <v>Rambla</v>
      </c>
      <c r="F2965" s="17" t="str">
        <f>IFERROR(__xludf.DUMMYFUNCTION("""COMPUTED_VALUE"""),"Cr 26a#62-20 of 2204  Edificio Zully 2  Barrio: san Nicolás  Bogot / na / na")</f>
        <v>Cr 26a#62-20 of 2204  Edificio Zully 2  Barrio: san Nicolás  Bogot / na / na</v>
      </c>
      <c r="G2965" s="15" t="str">
        <f>IFERROR(__xludf.DUMMYFUNCTION("""COMPUTED_VALUE"""),"GRUPO YORIDI SAS")</f>
        <v>GRUPO YORIDI SAS</v>
      </c>
      <c r="H2965" s="16">
        <f>IFERROR(__xludf.DUMMYFUNCTION("""COMPUTED_VALUE"""),11555.0)</f>
        <v>11555</v>
      </c>
      <c r="I2965" s="18">
        <f>IFERROR(__xludf.DUMMYFUNCTION("""COMPUTED_VALUE"""),18.0)</f>
        <v>18</v>
      </c>
      <c r="J2965" s="18">
        <f>IFERROR(__xludf.DUMMYFUNCTION("""COMPUTED_VALUE"""),21.0)</f>
        <v>21</v>
      </c>
      <c r="K2965" s="18">
        <f>IFERROR(__xludf.DUMMYFUNCTION("""COMPUTED_VALUE"""),25.0)</f>
        <v>25</v>
      </c>
      <c r="L2965" s="17">
        <f>IFERROR(__xludf.DUMMYFUNCTION("""COMPUTED_VALUE"""),3.002752554E9)</f>
        <v>3002752554</v>
      </c>
      <c r="M2965" s="17" t="str">
        <f>IFERROR(__xludf.DUMMYFUNCTION("""COMPUTED_VALUE"""),"#REF!")</f>
        <v>#REF!</v>
      </c>
      <c r="N2965" s="17"/>
      <c r="O2965" s="17"/>
      <c r="P2965" s="17" t="b">
        <f>IFERROR(__xludf.DUMMYFUNCTION("""COMPUTED_VALUE"""),TRUE)</f>
        <v>1</v>
      </c>
      <c r="Q2965" s="20">
        <f>IFERROR(__xludf.DUMMYFUNCTION("""COMPUTED_VALUE"""),45088.56079127315)</f>
        <v>45088.56079</v>
      </c>
      <c r="R2965" s="21" t="str">
        <f>IFERROR(__xludf.DUMMYFUNCTION("""COMPUTED_VALUE"""),"https://drive.google.com/file/d/1kuiJblOLJetBjd19jC7To-J3K1tTIej4/view?usp=drivesdk")</f>
        <v>https://drive.google.com/file/d/1kuiJblOLJetBjd19jC7To-J3K1tTIej4/view?usp=drivesdk</v>
      </c>
    </row>
    <row r="2966">
      <c r="A2966" s="15">
        <f>IFERROR(__xludf.DUMMYFUNCTION("""COMPUTED_VALUE"""),45086.0)</f>
        <v>45086</v>
      </c>
      <c r="B2966" s="16" t="str">
        <f>IFERROR(__xludf.DUMMYFUNCTION("""COMPUTED_VALUE"""),"Jeison Rubiano")</f>
        <v>Jeison Rubiano</v>
      </c>
      <c r="C2966" s="15" t="str">
        <f>IFERROR(__xludf.DUMMYFUNCTION("""COMPUTED_VALUE"""),"BOGOTÁ")</f>
        <v>BOGOTÁ</v>
      </c>
      <c r="D2966" s="15" t="str">
        <f>IFERROR(__xludf.DUMMYFUNCTION("""COMPUTED_VALUE"""),"MEDELLÍN")</f>
        <v>MEDELLÍN</v>
      </c>
      <c r="E2966" s="15" t="str">
        <f>IFERROR(__xludf.DUMMYFUNCTION("""COMPUTED_VALUE"""),"Rambla")</f>
        <v>Rambla</v>
      </c>
      <c r="F2966" s="17" t="str">
        <f>IFERROR(__xludf.DUMMYFUNCTION("""COMPUTED_VALUE"""),"Cra 52 # 122- 30 / na / na")</f>
        <v>Cra 52 # 122- 30 / na / na</v>
      </c>
      <c r="G2966" s="15" t="str">
        <f>IFERROR(__xludf.DUMMYFUNCTION("""COMPUTED_VALUE"""),"Sweet")</f>
        <v>Sweet</v>
      </c>
      <c r="H2966" s="16">
        <f>IFERROR(__xludf.DUMMYFUNCTION("""COMPUTED_VALUE"""),11550.0)</f>
        <v>11550</v>
      </c>
      <c r="I2966" s="18">
        <f>IFERROR(__xludf.DUMMYFUNCTION("""COMPUTED_VALUE"""),18.0)</f>
        <v>18</v>
      </c>
      <c r="J2966" s="18">
        <f>IFERROR(__xludf.DUMMYFUNCTION("""COMPUTED_VALUE"""),21.0)</f>
        <v>21</v>
      </c>
      <c r="K2966" s="18">
        <f>IFERROR(__xludf.DUMMYFUNCTION("""COMPUTED_VALUE"""),25.0)</f>
        <v>25</v>
      </c>
      <c r="L2966" s="17">
        <f>IFERROR(__xludf.DUMMYFUNCTION("""COMPUTED_VALUE"""),3.207201556E9)</f>
        <v>3207201556</v>
      </c>
      <c r="M2966" s="17" t="str">
        <f>IFERROR(__xludf.DUMMYFUNCTION("""COMPUTED_VALUE"""),"#REF!")</f>
        <v>#REF!</v>
      </c>
      <c r="N2966" s="17"/>
      <c r="O2966" s="17"/>
      <c r="P2966" s="17" t="b">
        <f>IFERROR(__xludf.DUMMYFUNCTION("""COMPUTED_VALUE"""),TRUE)</f>
        <v>1</v>
      </c>
      <c r="Q2966" s="20">
        <f>IFERROR(__xludf.DUMMYFUNCTION("""COMPUTED_VALUE"""),45088.56079127315)</f>
        <v>45088.56079</v>
      </c>
      <c r="R2966" s="22" t="str">
        <f>IFERROR(__xludf.DUMMYFUNCTION("""COMPUTED_VALUE"""),"")</f>
        <v/>
      </c>
    </row>
    <row r="2967">
      <c r="A2967" s="15">
        <f>IFERROR(__xludf.DUMMYFUNCTION("""COMPUTED_VALUE"""),45086.0)</f>
        <v>45086</v>
      </c>
      <c r="B2967" s="16" t="str">
        <f>IFERROR(__xludf.DUMMYFUNCTION("""COMPUTED_VALUE"""),"Jeison Rubiano")</f>
        <v>Jeison Rubiano</v>
      </c>
      <c r="C2967" s="15" t="str">
        <f>IFERROR(__xludf.DUMMYFUNCTION("""COMPUTED_VALUE"""),"BOGOTÁ")</f>
        <v>BOGOTÁ</v>
      </c>
      <c r="D2967" s="15" t="str">
        <f>IFERROR(__xludf.DUMMYFUNCTION("""COMPUTED_VALUE"""),"MEDELLÍN")</f>
        <v>MEDELLÍN</v>
      </c>
      <c r="E2967" s="15" t="str">
        <f>IFERROR(__xludf.DUMMYFUNCTION("""COMPUTED_VALUE"""),"TOLEDALES S.A.S")</f>
        <v>TOLEDALES S.A.S</v>
      </c>
      <c r="F2967" s="17" t="str">
        <f>IFERROR(__xludf.DUMMYFUNCTION("""COMPUTED_VALUE"""),"CR 13 79 10")</f>
        <v>CR 13 79 10</v>
      </c>
      <c r="G2967" s="15" t="str">
        <f>IFERROR(__xludf.DUMMYFUNCTION("""COMPUTED_VALUE"""),"DU BRANDS SAS")</f>
        <v>DU BRANDS SAS</v>
      </c>
      <c r="H2967" s="16">
        <f>IFERROR(__xludf.DUMMYFUNCTION("""COMPUTED_VALUE"""),11503.0)</f>
        <v>11503</v>
      </c>
      <c r="I2967" s="18">
        <f>IFERROR(__xludf.DUMMYFUNCTION("""COMPUTED_VALUE"""),10.0)</f>
        <v>10</v>
      </c>
      <c r="J2967" s="18">
        <f>IFERROR(__xludf.DUMMYFUNCTION("""COMPUTED_VALUE"""),46.0)</f>
        <v>46</v>
      </c>
      <c r="K2967" s="18">
        <f>IFERROR(__xludf.DUMMYFUNCTION("""COMPUTED_VALUE"""),30.0)</f>
        <v>30</v>
      </c>
      <c r="L2967" s="17">
        <f>IFERROR(__xludf.DUMMYFUNCTION("""COMPUTED_VALUE"""),3.174328767E9)</f>
        <v>3174328767</v>
      </c>
      <c r="M2967" s="17" t="str">
        <f>IFERROR(__xludf.DUMMYFUNCTION("""COMPUTED_VALUE"""),"#REF!")</f>
        <v>#REF!</v>
      </c>
      <c r="N2967" s="17"/>
      <c r="O2967" s="17"/>
      <c r="P2967" s="17" t="b">
        <f>IFERROR(__xludf.DUMMYFUNCTION("""COMPUTED_VALUE"""),TRUE)</f>
        <v>1</v>
      </c>
      <c r="Q2967" s="20">
        <f>IFERROR(__xludf.DUMMYFUNCTION("""COMPUTED_VALUE"""),45088.56079127315)</f>
        <v>45088.56079</v>
      </c>
      <c r="R2967" s="21" t="str">
        <f>IFERROR(__xludf.DUMMYFUNCTION("""COMPUTED_VALUE"""),"https://drive.google.com/file/d/1BnXIa2nXB7BVYDMJZg8ElAvTlt-wmuAv/view?usp=drivesdk")</f>
        <v>https://drive.google.com/file/d/1BnXIa2nXB7BVYDMJZg8ElAvTlt-wmuAv/view?usp=drivesdk</v>
      </c>
    </row>
    <row r="2968">
      <c r="A2968" s="17" t="str">
        <f>IFERROR(__xludf.DUMMYFUNCTION("""COMPUTED_VALUE"""),"")</f>
        <v/>
      </c>
      <c r="B2968" s="17" t="str">
        <f>IFERROR(__xludf.DUMMYFUNCTION("""COMPUTED_VALUE"""),"")</f>
        <v/>
      </c>
      <c r="C2968" s="17" t="str">
        <f>IFERROR(__xludf.DUMMYFUNCTION("""COMPUTED_VALUE"""),"")</f>
        <v/>
      </c>
      <c r="D2968" s="17" t="str">
        <f>IFERROR(__xludf.DUMMYFUNCTION("""COMPUTED_VALUE"""),"")</f>
        <v/>
      </c>
      <c r="E2968" s="17" t="str">
        <f>IFERROR(__xludf.DUMMYFUNCTION("""COMPUTED_VALUE"""),"")</f>
        <v/>
      </c>
      <c r="F2968" s="17" t="str">
        <f>IFERROR(__xludf.DUMMYFUNCTION("""COMPUTED_VALUE"""),"")</f>
        <v/>
      </c>
      <c r="G2968" s="17" t="str">
        <f>IFERROR(__xludf.DUMMYFUNCTION("""COMPUTED_VALUE"""),"")</f>
        <v/>
      </c>
      <c r="H2968" s="17" t="str">
        <f>IFERROR(__xludf.DUMMYFUNCTION("""COMPUTED_VALUE"""),"")</f>
        <v/>
      </c>
      <c r="I2968" s="17" t="str">
        <f>IFERROR(__xludf.DUMMYFUNCTION("""COMPUTED_VALUE"""),"")</f>
        <v/>
      </c>
      <c r="J2968" s="17" t="str">
        <f>IFERROR(__xludf.DUMMYFUNCTION("""COMPUTED_VALUE"""),"")</f>
        <v/>
      </c>
      <c r="K2968" s="17" t="str">
        <f>IFERROR(__xludf.DUMMYFUNCTION("""COMPUTED_VALUE"""),"")</f>
        <v/>
      </c>
      <c r="L2968" s="17" t="str">
        <f>IFERROR(__xludf.DUMMYFUNCTION("""COMPUTED_VALUE"""),"")</f>
        <v/>
      </c>
      <c r="M2968" s="17" t="str">
        <f>IFERROR(__xludf.DUMMYFUNCTION("""COMPUTED_VALUE"""),"")</f>
        <v/>
      </c>
      <c r="N2968" s="17" t="str">
        <f>IFERROR(__xludf.DUMMYFUNCTION("""COMPUTED_VALUE"""),"")</f>
        <v/>
      </c>
      <c r="O2968" s="17" t="str">
        <f>IFERROR(__xludf.DUMMYFUNCTION("""COMPUTED_VALUE"""),"")</f>
        <v/>
      </c>
      <c r="P2968" s="17" t="str">
        <f>IFERROR(__xludf.DUMMYFUNCTION("""COMPUTED_VALUE"""),"")</f>
        <v/>
      </c>
      <c r="Q2968" s="17" t="str">
        <f>IFERROR(__xludf.DUMMYFUNCTION("""COMPUTED_VALUE"""),"")</f>
        <v/>
      </c>
      <c r="R2968" s="17" t="str">
        <f>IFERROR(__xludf.DUMMYFUNCTION("""COMPUTED_VALUE"""),"")</f>
        <v/>
      </c>
    </row>
    <row r="2969">
      <c r="A2969" s="15">
        <f>IFERROR(__xludf.DUMMYFUNCTION("""COMPUTED_VALUE"""),45086.0)</f>
        <v>45086</v>
      </c>
      <c r="B2969" s="16" t="str">
        <f>IFERROR(__xludf.DUMMYFUNCTION("""COMPUTED_VALUE"""),"Johan Alexander Escobar Arroyo ")</f>
        <v>Johan Alexander Escobar Arroyo </v>
      </c>
      <c r="C2969" s="15" t="str">
        <f>IFERROR(__xludf.DUMMYFUNCTION("""COMPUTED_VALUE"""),"CALI")</f>
        <v>CALI</v>
      </c>
      <c r="D2969" s="15" t="str">
        <f>IFERROR(__xludf.DUMMYFUNCTION("""COMPUTED_VALUE"""),"BOGOTÁ")</f>
        <v>BOGOTÁ</v>
      </c>
      <c r="E2969" s="15" t="str">
        <f>IFERROR(__xludf.DUMMYFUNCTION("""COMPUTED_VALUE"""),"Frambascolombia sas")</f>
        <v>Frambascolombia sas</v>
      </c>
      <c r="F2969" s="17" t="str">
        <f>IFERROR(__xludf.DUMMYFUNCTION("""COMPUTED_VALUE"""),"Av 5a Nte. # 25n18 / local 2")</f>
        <v>Av 5a Nte. # 25n18 / local 2</v>
      </c>
      <c r="G2969" s="15" t="str">
        <f>IFERROR(__xludf.DUMMYFUNCTION("""COMPUTED_VALUE"""),"PikNPak Cali")</f>
        <v>PikNPak Cali</v>
      </c>
      <c r="H2969" s="16">
        <f>IFERROR(__xludf.DUMMYFUNCTION("""COMPUTED_VALUE"""),11395.0)</f>
        <v>11395</v>
      </c>
      <c r="I2969" s="18">
        <f>IFERROR(__xludf.DUMMYFUNCTION("""COMPUTED_VALUE"""),29.0)</f>
        <v>29</v>
      </c>
      <c r="J2969" s="18">
        <f>IFERROR(__xludf.DUMMYFUNCTION("""COMPUTED_VALUE"""),45.0)</f>
        <v>45</v>
      </c>
      <c r="K2969" s="18">
        <f>IFERROR(__xludf.DUMMYFUNCTION("""COMPUTED_VALUE"""),53.0)</f>
        <v>53</v>
      </c>
      <c r="L2969" s="17" t="str">
        <f>IFERROR(__xludf.DUMMYFUNCTION("""COMPUTED_VALUE"""),"321 4229567")</f>
        <v>321 4229567</v>
      </c>
      <c r="M2969" s="17" t="str">
        <f>IFERROR(__xludf.DUMMYFUNCTION("""COMPUTED_VALUE"""),"#REF!")</f>
        <v>#REF!</v>
      </c>
      <c r="N2969" s="17"/>
      <c r="O2969" s="17"/>
      <c r="P2969" s="17" t="b">
        <f>IFERROR(__xludf.DUMMYFUNCTION("""COMPUTED_VALUE"""),FALSE)</f>
        <v>0</v>
      </c>
      <c r="Q2969" s="20" t="str">
        <f>IFERROR(__xludf.DUMMYFUNCTION("""COMPUTED_VALUE"""),"")</f>
        <v/>
      </c>
      <c r="R2969" s="21" t="str">
        <f>IFERROR(__xludf.DUMMYFUNCTION("""COMPUTED_VALUE"""),"https://drive.google.com/file/d/1dgnsZsIaV1v8v84-nFlJkREJHRV6zeIR/view?usp=drivesdk")</f>
        <v>https://drive.google.com/file/d/1dgnsZsIaV1v8v84-nFlJkREJHRV6zeIR/view?usp=drivesdk</v>
      </c>
    </row>
    <row r="2970">
      <c r="A2970" s="15">
        <f>IFERROR(__xludf.DUMMYFUNCTION("""COMPUTED_VALUE"""),45086.0)</f>
        <v>45086</v>
      </c>
      <c r="B2970" s="16" t="str">
        <f>IFERROR(__xludf.DUMMYFUNCTION("""COMPUTED_VALUE"""),"Johan Alexander Escobar Arroyo ")</f>
        <v>Johan Alexander Escobar Arroyo </v>
      </c>
      <c r="C2970" s="15" t="str">
        <f>IFERROR(__xludf.DUMMYFUNCTION("""COMPUTED_VALUE"""),"CALI")</f>
        <v>CALI</v>
      </c>
      <c r="D2970" s="15" t="str">
        <f>IFERROR(__xludf.DUMMYFUNCTION("""COMPUTED_VALUE"""),"BOGOTÁ")</f>
        <v>BOGOTÁ</v>
      </c>
      <c r="E2970" s="15" t="str">
        <f>IFERROR(__xludf.DUMMYFUNCTION("""COMPUTED_VALUE"""),"Renata")</f>
        <v>Renata</v>
      </c>
      <c r="F2970" s="17" t="str">
        <f>IFERROR(__xludf.DUMMYFUNCTION("""COMPUTED_VALUE"""),"Carrera 3#3a-83 / Patio 34 food containers -restaurante  / San Fernando")</f>
        <v>Carrera 3#3a-83 / Patio 34 food containers -restaurante  / San Fernando</v>
      </c>
      <c r="G2970" s="15" t="str">
        <f>IFERROR(__xludf.DUMMYFUNCTION("""COMPUTED_VALUE"""),"Retaco sas")</f>
        <v>Retaco sas</v>
      </c>
      <c r="H2970" s="16">
        <f>IFERROR(__xludf.DUMMYFUNCTION("""COMPUTED_VALUE"""),11534.0)</f>
        <v>11534</v>
      </c>
      <c r="I2970" s="18">
        <f>IFERROR(__xludf.DUMMYFUNCTION("""COMPUTED_VALUE"""),90.0)</f>
        <v>90</v>
      </c>
      <c r="J2970" s="18">
        <f>IFERROR(__xludf.DUMMYFUNCTION("""COMPUTED_VALUE"""),70.0)</f>
        <v>70</v>
      </c>
      <c r="K2970" s="18">
        <f>IFERROR(__xludf.DUMMYFUNCTION("""COMPUTED_VALUE"""),60.0)</f>
        <v>60</v>
      </c>
      <c r="L2970" s="17">
        <f>IFERROR(__xludf.DUMMYFUNCTION("""COMPUTED_VALUE"""),3.134720976E9)</f>
        <v>3134720976</v>
      </c>
      <c r="M2970" s="17" t="str">
        <f>IFERROR(__xludf.DUMMYFUNCTION("""COMPUTED_VALUE"""),"#REF!")</f>
        <v>#REF!</v>
      </c>
      <c r="N2970" s="17"/>
      <c r="O2970" s="17"/>
      <c r="P2970" s="17" t="b">
        <f>IFERROR(__xludf.DUMMYFUNCTION("""COMPUTED_VALUE"""),FALSE)</f>
        <v>0</v>
      </c>
      <c r="Q2970" s="20" t="str">
        <f>IFERROR(__xludf.DUMMYFUNCTION("""COMPUTED_VALUE"""),"")</f>
        <v/>
      </c>
      <c r="R2970" s="21" t="str">
        <f>IFERROR(__xludf.DUMMYFUNCTION("""COMPUTED_VALUE"""),"https://drive.google.com/file/d/12BPSAA1x3SXmMbyTfEaiaFp5BEgX_Uxe/view?usp=drivesdk")</f>
        <v>https://drive.google.com/file/d/12BPSAA1x3SXmMbyTfEaiaFp5BEgX_Uxe/view?usp=drivesdk</v>
      </c>
    </row>
    <row r="2971">
      <c r="A2971" s="17" t="str">
        <f>IFERROR(__xludf.DUMMYFUNCTION("""COMPUTED_VALUE"""),"")</f>
        <v/>
      </c>
      <c r="B2971" s="17" t="str">
        <f>IFERROR(__xludf.DUMMYFUNCTION("""COMPUTED_VALUE"""),"")</f>
        <v/>
      </c>
      <c r="C2971" s="17" t="str">
        <f>IFERROR(__xludf.DUMMYFUNCTION("""COMPUTED_VALUE"""),"")</f>
        <v/>
      </c>
      <c r="D2971" s="17" t="str">
        <f>IFERROR(__xludf.DUMMYFUNCTION("""COMPUTED_VALUE"""),"")</f>
        <v/>
      </c>
      <c r="E2971" s="17" t="str">
        <f>IFERROR(__xludf.DUMMYFUNCTION("""COMPUTED_VALUE"""),"")</f>
        <v/>
      </c>
      <c r="F2971" s="17" t="str">
        <f>IFERROR(__xludf.DUMMYFUNCTION("""COMPUTED_VALUE"""),"")</f>
        <v/>
      </c>
      <c r="G2971" s="17" t="str">
        <f>IFERROR(__xludf.DUMMYFUNCTION("""COMPUTED_VALUE"""),"")</f>
        <v/>
      </c>
      <c r="H2971" s="17" t="str">
        <f>IFERROR(__xludf.DUMMYFUNCTION("""COMPUTED_VALUE"""),"")</f>
        <v/>
      </c>
      <c r="I2971" s="17" t="str">
        <f>IFERROR(__xludf.DUMMYFUNCTION("""COMPUTED_VALUE"""),"")</f>
        <v/>
      </c>
      <c r="J2971" s="17" t="str">
        <f>IFERROR(__xludf.DUMMYFUNCTION("""COMPUTED_VALUE"""),"")</f>
        <v/>
      </c>
      <c r="K2971" s="17" t="str">
        <f>IFERROR(__xludf.DUMMYFUNCTION("""COMPUTED_VALUE"""),"")</f>
        <v/>
      </c>
      <c r="L2971" s="17" t="str">
        <f>IFERROR(__xludf.DUMMYFUNCTION("""COMPUTED_VALUE"""),"")</f>
        <v/>
      </c>
      <c r="M2971" s="17" t="str">
        <f>IFERROR(__xludf.DUMMYFUNCTION("""COMPUTED_VALUE"""),"")</f>
        <v/>
      </c>
      <c r="N2971" s="17" t="str">
        <f>IFERROR(__xludf.DUMMYFUNCTION("""COMPUTED_VALUE"""),"")</f>
        <v/>
      </c>
      <c r="O2971" s="17" t="str">
        <f>IFERROR(__xludf.DUMMYFUNCTION("""COMPUTED_VALUE"""),"")</f>
        <v/>
      </c>
      <c r="P2971" s="17" t="str">
        <f>IFERROR(__xludf.DUMMYFUNCTION("""COMPUTED_VALUE"""),"")</f>
        <v/>
      </c>
      <c r="Q2971" s="17" t="str">
        <f>IFERROR(__xludf.DUMMYFUNCTION("""COMPUTED_VALUE"""),"")</f>
        <v/>
      </c>
      <c r="R2971" s="17" t="str">
        <f>IFERROR(__xludf.DUMMYFUNCTION("""COMPUTED_VALUE"""),"")</f>
        <v/>
      </c>
    </row>
    <row r="2972">
      <c r="A2972" s="15">
        <f>IFERROR(__xludf.DUMMYFUNCTION("""COMPUTED_VALUE"""),45086.0)</f>
        <v>45086</v>
      </c>
      <c r="B2972" s="16" t="str">
        <f>IFERROR(__xludf.DUMMYFUNCTION("""COMPUTED_VALUE"""),"JOSE ALFREDO RAMIREZ VERGARA ")</f>
        <v>JOSE ALFREDO RAMIREZ VERGARA </v>
      </c>
      <c r="C2972" s="15" t="str">
        <f>IFERROR(__xludf.DUMMYFUNCTION("""COMPUTED_VALUE"""),"BOGOTÁ")</f>
        <v>BOGOTÁ</v>
      </c>
      <c r="D2972" s="15" t="str">
        <f>IFERROR(__xludf.DUMMYFUNCTION("""COMPUTED_VALUE"""),"MEDELLÍN")</f>
        <v>MEDELLÍN</v>
      </c>
      <c r="E2972" s="15" t="str">
        <f>IFERROR(__xludf.DUMMYFUNCTION("""COMPUTED_VALUE"""),"Magda")</f>
        <v>Magda</v>
      </c>
      <c r="F2972" s="17" t="str">
        <f>IFERROR(__xludf.DUMMYFUNCTION("""COMPUTED_VALUE"""),"Calle 71a # 14a22/26 / cocina oculta / san felipe")</f>
        <v>Calle 71a # 14a22/26 / cocina oculta / san felipe</v>
      </c>
      <c r="G2972" s="15" t="str">
        <f>IFERROR(__xludf.DUMMYFUNCTION("""COMPUTED_VALUE"""),"Andrez hernandez")</f>
        <v>Andrez hernandez</v>
      </c>
      <c r="H2972" s="16">
        <f>IFERROR(__xludf.DUMMYFUNCTION("""COMPUTED_VALUE"""),11526.0)</f>
        <v>11526</v>
      </c>
      <c r="I2972" s="18">
        <f>IFERROR(__xludf.DUMMYFUNCTION("""COMPUTED_VALUE"""),5.0)</f>
        <v>5</v>
      </c>
      <c r="J2972" s="18">
        <f>IFERROR(__xludf.DUMMYFUNCTION("""COMPUTED_VALUE"""),5.0)</f>
        <v>5</v>
      </c>
      <c r="K2972" s="18">
        <f>IFERROR(__xludf.DUMMYFUNCTION("""COMPUTED_VALUE"""),5.0)</f>
        <v>5</v>
      </c>
      <c r="L2972" s="17">
        <f>IFERROR(__xludf.DUMMYFUNCTION("""COMPUTED_VALUE"""),3.20414202E9)</f>
        <v>3204142020</v>
      </c>
      <c r="M2972" s="17" t="str">
        <f>IFERROR(__xludf.DUMMYFUNCTION("""COMPUTED_VALUE"""),"#REF!")</f>
        <v>#REF!</v>
      </c>
      <c r="N2972" s="17"/>
      <c r="O2972" s="17"/>
      <c r="P2972" s="17" t="b">
        <f>IFERROR(__xludf.DUMMYFUNCTION("""COMPUTED_VALUE"""),FALSE)</f>
        <v>0</v>
      </c>
      <c r="Q2972" s="20" t="str">
        <f>IFERROR(__xludf.DUMMYFUNCTION("""COMPUTED_VALUE"""),"")</f>
        <v/>
      </c>
      <c r="R2972" s="21" t="str">
        <f>IFERROR(__xludf.DUMMYFUNCTION("""COMPUTED_VALUE"""),"https://drive.google.com/file/d/1pzPGiKDIdSMX7erO7_PVgoFtf5gqvu3_/view?usp=drivesdk")</f>
        <v>https://drive.google.com/file/d/1pzPGiKDIdSMX7erO7_PVgoFtf5gqvu3_/view?usp=drivesdk</v>
      </c>
    </row>
    <row r="2973">
      <c r="A2973" s="15">
        <f>IFERROR(__xludf.DUMMYFUNCTION("""COMPUTED_VALUE"""),45086.0)</f>
        <v>45086</v>
      </c>
      <c r="B2973" s="16" t="str">
        <f>IFERROR(__xludf.DUMMYFUNCTION("""COMPUTED_VALUE"""),"JOSE ALFREDO RAMIREZ VERGARA ")</f>
        <v>JOSE ALFREDO RAMIREZ VERGARA </v>
      </c>
      <c r="C2973" s="15" t="str">
        <f>IFERROR(__xludf.DUMMYFUNCTION("""COMPUTED_VALUE"""),"BOGOTÁ")</f>
        <v>BOGOTÁ</v>
      </c>
      <c r="D2973" s="15" t="str">
        <f>IFERROR(__xludf.DUMMYFUNCTION("""COMPUTED_VALUE"""),"MEDELLÍN")</f>
        <v>MEDELLÍN</v>
      </c>
      <c r="E2973" s="15" t="str">
        <f>IFERROR(__xludf.DUMMYFUNCTION("""COMPUTED_VALUE"""),"Rambla")</f>
        <v>Rambla</v>
      </c>
      <c r="F2973" s="17" t="str">
        <f>IFERROR(__xludf.DUMMYFUNCTION("""COMPUTED_VALUE"""),"Calle 24 # 80B -82 - Modelia / na / na")</f>
        <v>Calle 24 # 80B -82 - Modelia / na / na</v>
      </c>
      <c r="G2973" s="15" t="str">
        <f>IFERROR(__xludf.DUMMYFUNCTION("""COMPUTED_VALUE"""),"Mercado Origenes")</f>
        <v>Mercado Origenes</v>
      </c>
      <c r="H2973" s="16">
        <f>IFERROR(__xludf.DUMMYFUNCTION("""COMPUTED_VALUE"""),11537.0)</f>
        <v>11537</v>
      </c>
      <c r="I2973" s="18">
        <f>IFERROR(__xludf.DUMMYFUNCTION("""COMPUTED_VALUE"""),18.0)</f>
        <v>18</v>
      </c>
      <c r="J2973" s="18">
        <f>IFERROR(__xludf.DUMMYFUNCTION("""COMPUTED_VALUE"""),21.0)</f>
        <v>21</v>
      </c>
      <c r="K2973" s="18">
        <f>IFERROR(__xludf.DUMMYFUNCTION("""COMPUTED_VALUE"""),25.0)</f>
        <v>25</v>
      </c>
      <c r="L2973" s="17">
        <f>IFERROR(__xludf.DUMMYFUNCTION("""COMPUTED_VALUE"""),3.136299043E9)</f>
        <v>3136299043</v>
      </c>
      <c r="M2973" s="17" t="str">
        <f>IFERROR(__xludf.DUMMYFUNCTION("""COMPUTED_VALUE"""),"#REF!")</f>
        <v>#REF!</v>
      </c>
      <c r="N2973" s="17"/>
      <c r="O2973" s="17"/>
      <c r="P2973" s="17" t="b">
        <f>IFERROR(__xludf.DUMMYFUNCTION("""COMPUTED_VALUE"""),FALSE)</f>
        <v>0</v>
      </c>
      <c r="Q2973" s="20" t="str">
        <f>IFERROR(__xludf.DUMMYFUNCTION("""COMPUTED_VALUE"""),"")</f>
        <v/>
      </c>
      <c r="R2973" s="22" t="str">
        <f>IFERROR(__xludf.DUMMYFUNCTION("""COMPUTED_VALUE"""),"")</f>
        <v/>
      </c>
    </row>
    <row r="2974">
      <c r="A2974" s="15">
        <f>IFERROR(__xludf.DUMMYFUNCTION("""COMPUTED_VALUE"""),45086.0)</f>
        <v>45086</v>
      </c>
      <c r="B2974" s="16" t="str">
        <f>IFERROR(__xludf.DUMMYFUNCTION("""COMPUTED_VALUE"""),"JOSE ALFREDO RAMIREZ VERGARA ")</f>
        <v>JOSE ALFREDO RAMIREZ VERGARA </v>
      </c>
      <c r="C2974" s="15" t="str">
        <f>IFERROR(__xludf.DUMMYFUNCTION("""COMPUTED_VALUE"""),"BOGOTÁ")</f>
        <v>BOGOTÁ</v>
      </c>
      <c r="D2974" s="15" t="str">
        <f>IFERROR(__xludf.DUMMYFUNCTION("""COMPUTED_VALUE"""),"MEDELLÍN")</f>
        <v>MEDELLÍN</v>
      </c>
      <c r="E2974" s="15" t="str">
        <f>IFERROR(__xludf.DUMMYFUNCTION("""COMPUTED_VALUE"""),"Rambla")</f>
        <v>Rambla</v>
      </c>
      <c r="F2974" s="17" t="str">
        <f>IFERROR(__xludf.DUMMYFUNCTION("""COMPUTED_VALUE"""),"Carrera 8c 188 95 torre 2 apt 1404 Barrio tibabita Bogota / na / na")</f>
        <v>Carrera 8c 188 95 torre 2 apt 1404 Barrio tibabita Bogota / na / na</v>
      </c>
      <c r="G2974" s="15" t="str">
        <f>IFERROR(__xludf.DUMMYFUNCTION("""COMPUTED_VALUE"""),"Jeimy Esperanza Acevedo Castillo")</f>
        <v>Jeimy Esperanza Acevedo Castillo</v>
      </c>
      <c r="H2974" s="16">
        <f>IFERROR(__xludf.DUMMYFUNCTION("""COMPUTED_VALUE"""),11551.0)</f>
        <v>11551</v>
      </c>
      <c r="I2974" s="18">
        <f>IFERROR(__xludf.DUMMYFUNCTION("""COMPUTED_VALUE"""),18.0)</f>
        <v>18</v>
      </c>
      <c r="J2974" s="18">
        <f>IFERROR(__xludf.DUMMYFUNCTION("""COMPUTED_VALUE"""),21.0)</f>
        <v>21</v>
      </c>
      <c r="K2974" s="18">
        <f>IFERROR(__xludf.DUMMYFUNCTION("""COMPUTED_VALUE"""),25.0)</f>
        <v>25</v>
      </c>
      <c r="L2974" s="17">
        <f>IFERROR(__xludf.DUMMYFUNCTION("""COMPUTED_VALUE"""),3.134919878E9)</f>
        <v>3134919878</v>
      </c>
      <c r="M2974" s="17" t="str">
        <f>IFERROR(__xludf.DUMMYFUNCTION("""COMPUTED_VALUE"""),"#REF!")</f>
        <v>#REF!</v>
      </c>
      <c r="N2974" s="17"/>
      <c r="O2974" s="17"/>
      <c r="P2974" s="17" t="b">
        <f>IFERROR(__xludf.DUMMYFUNCTION("""COMPUTED_VALUE"""),FALSE)</f>
        <v>0</v>
      </c>
      <c r="Q2974" s="20" t="str">
        <f>IFERROR(__xludf.DUMMYFUNCTION("""COMPUTED_VALUE"""),"")</f>
        <v/>
      </c>
      <c r="R2974" s="22" t="str">
        <f>IFERROR(__xludf.DUMMYFUNCTION("""COMPUTED_VALUE"""),"")</f>
        <v/>
      </c>
    </row>
    <row r="2975">
      <c r="A2975" s="15">
        <f>IFERROR(__xludf.DUMMYFUNCTION("""COMPUTED_VALUE"""),45086.0)</f>
        <v>45086</v>
      </c>
      <c r="B2975" s="16" t="str">
        <f>IFERROR(__xludf.DUMMYFUNCTION("""COMPUTED_VALUE"""),"JOSE ALFREDO RAMIREZ VERGARA ")</f>
        <v>JOSE ALFREDO RAMIREZ VERGARA </v>
      </c>
      <c r="C2975" s="15" t="str">
        <f>IFERROR(__xludf.DUMMYFUNCTION("""COMPUTED_VALUE"""),"BOGOTÁ")</f>
        <v>BOGOTÁ</v>
      </c>
      <c r="D2975" s="15" t="str">
        <f>IFERROR(__xludf.DUMMYFUNCTION("""COMPUTED_VALUE"""),"MEDELLÍN")</f>
        <v>MEDELLÍN</v>
      </c>
      <c r="E2975" s="15" t="str">
        <f>IFERROR(__xludf.DUMMYFUNCTION("""COMPUTED_VALUE"""),"Rambla")</f>
        <v>Rambla</v>
      </c>
      <c r="F2975" s="17" t="str">
        <f>IFERROR(__xludf.DUMMYFUNCTION("""COMPUTED_VALUE"""),"Cra 17 # 145-15 Apto 403 Edificio Scala 26 Barrio Cedritos BOGOTA / na / na")</f>
        <v>Cra 17 # 145-15 Apto 403 Edificio Scala 26 Barrio Cedritos BOGOTA / na / na</v>
      </c>
      <c r="G2975" s="15" t="str">
        <f>IFERROR(__xludf.DUMMYFUNCTION("""COMPUTED_VALUE"""),"Paola Gallo Stiernon")</f>
        <v>Paola Gallo Stiernon</v>
      </c>
      <c r="H2975" s="16">
        <f>IFERROR(__xludf.DUMMYFUNCTION("""COMPUTED_VALUE"""),11543.0)</f>
        <v>11543</v>
      </c>
      <c r="I2975" s="18">
        <f>IFERROR(__xludf.DUMMYFUNCTION("""COMPUTED_VALUE"""),18.0)</f>
        <v>18</v>
      </c>
      <c r="J2975" s="18">
        <f>IFERROR(__xludf.DUMMYFUNCTION("""COMPUTED_VALUE"""),21.0)</f>
        <v>21</v>
      </c>
      <c r="K2975" s="18">
        <f>IFERROR(__xludf.DUMMYFUNCTION("""COMPUTED_VALUE"""),25.0)</f>
        <v>25</v>
      </c>
      <c r="L2975" s="17">
        <f>IFERROR(__xludf.DUMMYFUNCTION("""COMPUTED_VALUE"""),3.102370451E9)</f>
        <v>3102370451</v>
      </c>
      <c r="M2975" s="17" t="str">
        <f>IFERROR(__xludf.DUMMYFUNCTION("""COMPUTED_VALUE"""),"#REF!")</f>
        <v>#REF!</v>
      </c>
      <c r="N2975" s="17"/>
      <c r="O2975" s="17"/>
      <c r="P2975" s="17" t="b">
        <f>IFERROR(__xludf.DUMMYFUNCTION("""COMPUTED_VALUE"""),FALSE)</f>
        <v>0</v>
      </c>
      <c r="Q2975" s="20" t="str">
        <f>IFERROR(__xludf.DUMMYFUNCTION("""COMPUTED_VALUE"""),"")</f>
        <v/>
      </c>
      <c r="R2975" s="22" t="str">
        <f>IFERROR(__xludf.DUMMYFUNCTION("""COMPUTED_VALUE"""),"")</f>
        <v/>
      </c>
    </row>
    <row r="2976">
      <c r="A2976" s="15">
        <f>IFERROR(__xludf.DUMMYFUNCTION("""COMPUTED_VALUE"""),45086.0)</f>
        <v>45086</v>
      </c>
      <c r="B2976" s="16" t="str">
        <f>IFERROR(__xludf.DUMMYFUNCTION("""COMPUTED_VALUE"""),"JOSE ALFREDO RAMIREZ VERGARA ")</f>
        <v>JOSE ALFREDO RAMIREZ VERGARA </v>
      </c>
      <c r="C2976" s="15" t="str">
        <f>IFERROR(__xludf.DUMMYFUNCTION("""COMPUTED_VALUE"""),"CARTAGENA")</f>
        <v>CARTAGENA</v>
      </c>
      <c r="D2976" s="15" t="str">
        <f>IFERROR(__xludf.DUMMYFUNCTION("""COMPUTED_VALUE"""),"BOGOTÁ")</f>
        <v>BOGOTÁ</v>
      </c>
      <c r="E2976" s="15" t="str">
        <f>IFERROR(__xludf.DUMMYFUNCTION("""COMPUTED_VALUE"""),"Diana Rodriguez")</f>
        <v>Diana Rodriguez</v>
      </c>
      <c r="F2976" s="17" t="str">
        <f>IFERROR(__xludf.DUMMYFUNCTION("""COMPUTED_VALUE"""),"cra 7 #32 -77 portal de dulces - mirador gastrobar ciudad: Cartagena de indias  / portal de dulces - mirador gastrobar ciudad / portal de dulces - mirador gastrobar ciudad amurallada Cartagena")</f>
        <v>cra 7 #32 -77 portal de dulces - mirador gastrobar ciudad: Cartagena de indias  / portal de dulces - mirador gastrobar ciudad / portal de dulces - mirador gastrobar ciudad amurallada Cartagena</v>
      </c>
      <c r="G2976" s="15" t="str">
        <f>IFERROR(__xludf.DUMMYFUNCTION("""COMPUTED_VALUE"""),"Javier Vasquez - Mirador gastrobar")</f>
        <v>Javier Vasquez - Mirador gastrobar</v>
      </c>
      <c r="H2976" s="16">
        <f>IFERROR(__xludf.DUMMYFUNCTION("""COMPUTED_VALUE"""),11488.0)</f>
        <v>11488</v>
      </c>
      <c r="I2976" s="18">
        <f>IFERROR(__xludf.DUMMYFUNCTION("""COMPUTED_VALUE"""),21.0)</f>
        <v>21</v>
      </c>
      <c r="J2976" s="18">
        <f>IFERROR(__xludf.DUMMYFUNCTION("""COMPUTED_VALUE"""),30.0)</f>
        <v>30</v>
      </c>
      <c r="K2976" s="18">
        <f>IFERROR(__xludf.DUMMYFUNCTION("""COMPUTED_VALUE"""),50.0)</f>
        <v>50</v>
      </c>
      <c r="L2976" s="17">
        <f>IFERROR(__xludf.DUMMYFUNCTION("""COMPUTED_VALUE"""),3.045746956E9)</f>
        <v>3045746956</v>
      </c>
      <c r="M2976" s="17" t="str">
        <f>IFERROR(__xludf.DUMMYFUNCTION("""COMPUTED_VALUE"""),"#REF!")</f>
        <v>#REF!</v>
      </c>
      <c r="N2976" s="17"/>
      <c r="O2976" s="17"/>
      <c r="P2976" s="17" t="b">
        <f>IFERROR(__xludf.DUMMYFUNCTION("""COMPUTED_VALUE"""),FALSE)</f>
        <v>0</v>
      </c>
      <c r="Q2976" s="20" t="str">
        <f>IFERROR(__xludf.DUMMYFUNCTION("""COMPUTED_VALUE"""),"")</f>
        <v/>
      </c>
      <c r="R2976" s="21" t="str">
        <f>IFERROR(__xludf.DUMMYFUNCTION("""COMPUTED_VALUE"""),"https://drive.google.com/file/d/1FxLxQPrL9NEfqe7TYM01Zwfq_-4ibvwA/view?usp=drivesdk")</f>
        <v>https://drive.google.com/file/d/1FxLxQPrL9NEfqe7TYM01Zwfq_-4ibvwA/view?usp=drivesdk</v>
      </c>
    </row>
    <row r="2977">
      <c r="A2977" s="17" t="str">
        <f>IFERROR(__xludf.DUMMYFUNCTION("""COMPUTED_VALUE"""),"")</f>
        <v/>
      </c>
      <c r="B2977" s="17" t="str">
        <f>IFERROR(__xludf.DUMMYFUNCTION("""COMPUTED_VALUE"""),"")</f>
        <v/>
      </c>
      <c r="C2977" s="17" t="str">
        <f>IFERROR(__xludf.DUMMYFUNCTION("""COMPUTED_VALUE"""),"")</f>
        <v/>
      </c>
      <c r="D2977" s="17" t="str">
        <f>IFERROR(__xludf.DUMMYFUNCTION("""COMPUTED_VALUE"""),"")</f>
        <v/>
      </c>
      <c r="E2977" s="17" t="str">
        <f>IFERROR(__xludf.DUMMYFUNCTION("""COMPUTED_VALUE"""),"")</f>
        <v/>
      </c>
      <c r="F2977" s="17" t="str">
        <f>IFERROR(__xludf.DUMMYFUNCTION("""COMPUTED_VALUE"""),"")</f>
        <v/>
      </c>
      <c r="G2977" s="17" t="str">
        <f>IFERROR(__xludf.DUMMYFUNCTION("""COMPUTED_VALUE"""),"")</f>
        <v/>
      </c>
      <c r="H2977" s="17" t="str">
        <f>IFERROR(__xludf.DUMMYFUNCTION("""COMPUTED_VALUE"""),"")</f>
        <v/>
      </c>
      <c r="I2977" s="17" t="str">
        <f>IFERROR(__xludf.DUMMYFUNCTION("""COMPUTED_VALUE"""),"")</f>
        <v/>
      </c>
      <c r="J2977" s="17" t="str">
        <f>IFERROR(__xludf.DUMMYFUNCTION("""COMPUTED_VALUE"""),"")</f>
        <v/>
      </c>
      <c r="K2977" s="17" t="str">
        <f>IFERROR(__xludf.DUMMYFUNCTION("""COMPUTED_VALUE"""),"")</f>
        <v/>
      </c>
      <c r="L2977" s="17" t="str">
        <f>IFERROR(__xludf.DUMMYFUNCTION("""COMPUTED_VALUE"""),"")</f>
        <v/>
      </c>
      <c r="M2977" s="17" t="str">
        <f>IFERROR(__xludf.DUMMYFUNCTION("""COMPUTED_VALUE"""),"")</f>
        <v/>
      </c>
      <c r="N2977" s="17" t="str">
        <f>IFERROR(__xludf.DUMMYFUNCTION("""COMPUTED_VALUE"""),"")</f>
        <v/>
      </c>
      <c r="O2977" s="17" t="str">
        <f>IFERROR(__xludf.DUMMYFUNCTION("""COMPUTED_VALUE"""),"")</f>
        <v/>
      </c>
      <c r="P2977" s="17" t="str">
        <f>IFERROR(__xludf.DUMMYFUNCTION("""COMPUTED_VALUE"""),"")</f>
        <v/>
      </c>
      <c r="Q2977" s="17" t="str">
        <f>IFERROR(__xludf.DUMMYFUNCTION("""COMPUTED_VALUE"""),"")</f>
        <v/>
      </c>
      <c r="R2977" s="17" t="str">
        <f>IFERROR(__xludf.DUMMYFUNCTION("""COMPUTED_VALUE"""),"")</f>
        <v/>
      </c>
    </row>
    <row r="2978">
      <c r="A2978" s="15">
        <f>IFERROR(__xludf.DUMMYFUNCTION("""COMPUTED_VALUE"""),45086.0)</f>
        <v>45086</v>
      </c>
      <c r="B2978" s="16" t="str">
        <f>IFERROR(__xludf.DUMMYFUNCTION("""COMPUTED_VALUE"""),"Lina Gaona")</f>
        <v>Lina Gaona</v>
      </c>
      <c r="C2978" s="15" t="str">
        <f>IFERROR(__xludf.DUMMYFUNCTION("""COMPUTED_VALUE"""),"CÚCUTA")</f>
        <v>CÚCUTA</v>
      </c>
      <c r="D2978" s="15" t="str">
        <f>IFERROR(__xludf.DUMMYFUNCTION("""COMPUTED_VALUE"""),"BOGOTÁ")</f>
        <v>BOGOTÁ</v>
      </c>
      <c r="E2978" s="15" t="str">
        <f>IFERROR(__xludf.DUMMYFUNCTION("""COMPUTED_VALUE"""),"Evamazzita")</f>
        <v>Evamazzita</v>
      </c>
      <c r="F2978" s="17" t="str">
        <f>IFERROR(__xludf.DUMMYFUNCTION("""COMPUTED_VALUE"""),"Av 2E # 15A -17  / Caobos / SE ENVÍAN TRES (3) CAJAS")</f>
        <v>Av 2E # 15A -17  / Caobos / SE ENVÍAN TRES (3) CAJAS</v>
      </c>
      <c r="G2978" s="15" t="str">
        <f>IFERROR(__xludf.DUMMYFUNCTION("""COMPUTED_VALUE"""),"DACCY KARINA LOPEZ MORENO")</f>
        <v>DACCY KARINA LOPEZ MORENO</v>
      </c>
      <c r="H2978" s="16">
        <f>IFERROR(__xludf.DUMMYFUNCTION("""COMPUTED_VALUE"""),11493.0)</f>
        <v>11493</v>
      </c>
      <c r="I2978" s="18">
        <f>IFERROR(__xludf.DUMMYFUNCTION("""COMPUTED_VALUE"""),22.0)</f>
        <v>22</v>
      </c>
      <c r="J2978" s="18">
        <f>IFERROR(__xludf.DUMMYFUNCTION("""COMPUTED_VALUE"""),41.0)</f>
        <v>41</v>
      </c>
      <c r="K2978" s="18">
        <f>IFERROR(__xludf.DUMMYFUNCTION("""COMPUTED_VALUE"""),33.0)</f>
        <v>33</v>
      </c>
      <c r="L2978" s="17">
        <f>IFERROR(__xludf.DUMMYFUNCTION("""COMPUTED_VALUE"""),3.208615379E9)</f>
        <v>3208615379</v>
      </c>
      <c r="M2978" s="17" t="str">
        <f>IFERROR(__xludf.DUMMYFUNCTION("""COMPUTED_VALUE"""),"#REF!")</f>
        <v>#REF!</v>
      </c>
      <c r="N2978" s="17"/>
      <c r="O2978" s="17"/>
      <c r="P2978" s="17" t="b">
        <f>IFERROR(__xludf.DUMMYFUNCTION("""COMPUTED_VALUE"""),FALSE)</f>
        <v>0</v>
      </c>
      <c r="Q2978" s="20" t="str">
        <f>IFERROR(__xludf.DUMMYFUNCTION("""COMPUTED_VALUE"""),"")</f>
        <v/>
      </c>
      <c r="R2978" s="21" t="str">
        <f>IFERROR(__xludf.DUMMYFUNCTION("""COMPUTED_VALUE"""),"https://drive.google.com/file/d/1nMa67YAJuKEzqiKg2i69c29HylXaoHRW/view?usp=drivesdk")</f>
        <v>https://drive.google.com/file/d/1nMa67YAJuKEzqiKg2i69c29HylXaoHRW/view?usp=drivesdk</v>
      </c>
    </row>
    <row r="2979">
      <c r="A2979" s="15">
        <f>IFERROR(__xludf.DUMMYFUNCTION("""COMPUTED_VALUE"""),45086.0)</f>
        <v>45086</v>
      </c>
      <c r="B2979" s="16" t="str">
        <f>IFERROR(__xludf.DUMMYFUNCTION("""COMPUTED_VALUE"""),"Lina Gaona")</f>
        <v>Lina Gaona</v>
      </c>
      <c r="C2979" s="15" t="str">
        <f>IFERROR(__xludf.DUMMYFUNCTION("""COMPUTED_VALUE"""),"CÚCUTA")</f>
        <v>CÚCUTA</v>
      </c>
      <c r="D2979" s="15" t="str">
        <f>IFERROR(__xludf.DUMMYFUNCTION("""COMPUTED_VALUE"""),"BOGOTÁ")</f>
        <v>BOGOTÁ</v>
      </c>
      <c r="E2979" s="15" t="str">
        <f>IFERROR(__xludf.DUMMYFUNCTION("""COMPUTED_VALUE"""),"Evamazzita")</f>
        <v>Evamazzita</v>
      </c>
      <c r="F2979" s="17" t="str">
        <f>IFERROR(__xludf.DUMMYFUNCTION("""COMPUTED_VALUE"""),"Av 4 # 8-24  /  Daniel jordan   / Los patios -norte de Santander")</f>
        <v>Av 4 # 8-24  /  Daniel jordan   / Los patios -norte de Santander</v>
      </c>
      <c r="G2979" s="15" t="str">
        <f>IFERROR(__xludf.DUMMYFUNCTION("""COMPUTED_VALUE"""),"KAREM JULIETH RODRIGUEZ MORALES")</f>
        <v>KAREM JULIETH RODRIGUEZ MORALES</v>
      </c>
      <c r="H2979" s="16">
        <f>IFERROR(__xludf.DUMMYFUNCTION("""COMPUTED_VALUE"""),11495.0)</f>
        <v>11495</v>
      </c>
      <c r="I2979" s="18">
        <f>IFERROR(__xludf.DUMMYFUNCTION("""COMPUTED_VALUE"""),10.0)</f>
        <v>10</v>
      </c>
      <c r="J2979" s="18">
        <f>IFERROR(__xludf.DUMMYFUNCTION("""COMPUTED_VALUE"""),20.0)</f>
        <v>20</v>
      </c>
      <c r="K2979" s="18">
        <f>IFERROR(__xludf.DUMMYFUNCTION("""COMPUTED_VALUE"""),12.0)</f>
        <v>12</v>
      </c>
      <c r="L2979" s="17">
        <f>IFERROR(__xludf.DUMMYFUNCTION("""COMPUTED_VALUE"""),3.212886197E9)</f>
        <v>3212886197</v>
      </c>
      <c r="M2979" s="17" t="str">
        <f>IFERROR(__xludf.DUMMYFUNCTION("""COMPUTED_VALUE"""),"#REF!")</f>
        <v>#REF!</v>
      </c>
      <c r="N2979" s="17"/>
      <c r="O2979" s="17"/>
      <c r="P2979" s="17" t="b">
        <f>IFERROR(__xludf.DUMMYFUNCTION("""COMPUTED_VALUE"""),FALSE)</f>
        <v>0</v>
      </c>
      <c r="Q2979" s="20" t="str">
        <f>IFERROR(__xludf.DUMMYFUNCTION("""COMPUTED_VALUE"""),"")</f>
        <v/>
      </c>
      <c r="R2979" s="21" t="str">
        <f>IFERROR(__xludf.DUMMYFUNCTION("""COMPUTED_VALUE"""),"https://drive.google.com/file/d/1szplSZ43SIiGLiTkQvAgGG_Ue2hBWgwB/view?usp=drivesdk")</f>
        <v>https://drive.google.com/file/d/1szplSZ43SIiGLiTkQvAgGG_Ue2hBWgwB/view?usp=drivesdk</v>
      </c>
    </row>
    <row r="2980">
      <c r="A2980" s="15">
        <f>IFERROR(__xludf.DUMMYFUNCTION("""COMPUTED_VALUE"""),45086.0)</f>
        <v>45086</v>
      </c>
      <c r="B2980" s="16" t="str">
        <f>IFERROR(__xludf.DUMMYFUNCTION("""COMPUTED_VALUE"""),"Lina Gaona")</f>
        <v>Lina Gaona</v>
      </c>
      <c r="C2980" s="15" t="str">
        <f>IFERROR(__xludf.DUMMYFUNCTION("""COMPUTED_VALUE"""),"CÚCUTA")</f>
        <v>CÚCUTA</v>
      </c>
      <c r="D2980" s="15" t="str">
        <f>IFERROR(__xludf.DUMMYFUNCTION("""COMPUTED_VALUE"""),"BOGOTÁ")</f>
        <v>BOGOTÁ</v>
      </c>
      <c r="E2980" s="15" t="str">
        <f>IFERROR(__xludf.DUMMYFUNCTION("""COMPUTED_VALUE"""),"Ins. Alimento Vital")</f>
        <v>Ins. Alimento Vital</v>
      </c>
      <c r="F2980" s="17" t="str">
        <f>IFERROR(__xludf.DUMMYFUNCTION("""COMPUTED_VALUE"""),"AV 16 E 2N 108 / BLOQUE A INT C6, PARQUES RESIDENCIALES LOS LIBERTADORES / PARQUES RESIDENCIALES LOS LIBERTADORES")</f>
        <v>AV 16 E 2N 108 / BLOQUE A INT C6, PARQUES RESIDENCIALES LOS LIBERTADORES / PARQUES RESIDENCIALES LOS LIBERTADORES</v>
      </c>
      <c r="G2980" s="15" t="str">
        <f>IFERROR(__xludf.DUMMYFUNCTION("""COMPUTED_VALUE"""),"JENNY CAROLINA CARRERO BONILLA")</f>
        <v>JENNY CAROLINA CARRERO BONILLA</v>
      </c>
      <c r="H2980" s="16">
        <f>IFERROR(__xludf.DUMMYFUNCTION("""COMPUTED_VALUE"""),11501.0)</f>
        <v>11501</v>
      </c>
      <c r="I2980" s="18">
        <f>IFERROR(__xludf.DUMMYFUNCTION("""COMPUTED_VALUE"""),1.0)</f>
        <v>1</v>
      </c>
      <c r="J2980" s="18">
        <f>IFERROR(__xludf.DUMMYFUNCTION("""COMPUTED_VALUE"""),1.0)</f>
        <v>1</v>
      </c>
      <c r="K2980" s="18">
        <f>IFERROR(__xludf.DUMMYFUNCTION("""COMPUTED_VALUE"""),1.0)</f>
        <v>1</v>
      </c>
      <c r="L2980" s="17">
        <f>IFERROR(__xludf.DUMMYFUNCTION("""COMPUTED_VALUE"""),3.157915349E9)</f>
        <v>3157915349</v>
      </c>
      <c r="M2980" s="17" t="str">
        <f>IFERROR(__xludf.DUMMYFUNCTION("""COMPUTED_VALUE"""),"#REF!")</f>
        <v>#REF!</v>
      </c>
      <c r="N2980" s="17"/>
      <c r="O2980" s="17"/>
      <c r="P2980" s="17" t="b">
        <f>IFERROR(__xludf.DUMMYFUNCTION("""COMPUTED_VALUE"""),FALSE)</f>
        <v>0</v>
      </c>
      <c r="Q2980" s="20" t="str">
        <f>IFERROR(__xludf.DUMMYFUNCTION("""COMPUTED_VALUE"""),"")</f>
        <v/>
      </c>
      <c r="R2980" s="21" t="str">
        <f>IFERROR(__xludf.DUMMYFUNCTION("""COMPUTED_VALUE"""),"https://drive.google.com/file/d/1NZWQUoTF5zHa9q7y8Os8lv7KhzmnNVdx/view?usp=drivesdk")</f>
        <v>https://drive.google.com/file/d/1NZWQUoTF5zHa9q7y8Os8lv7KhzmnNVdx/view?usp=drivesdk</v>
      </c>
    </row>
    <row r="2981">
      <c r="A2981" s="15">
        <f>IFERROR(__xludf.DUMMYFUNCTION("""COMPUTED_VALUE"""),45086.0)</f>
        <v>45086</v>
      </c>
      <c r="B2981" s="16" t="str">
        <f>IFERROR(__xludf.DUMMYFUNCTION("""COMPUTED_VALUE"""),"Lina Gaona")</f>
        <v>Lina Gaona</v>
      </c>
      <c r="C2981" s="15" t="str">
        <f>IFERROR(__xludf.DUMMYFUNCTION("""COMPUTED_VALUE"""),"CÚCUTA")</f>
        <v>CÚCUTA</v>
      </c>
      <c r="D2981" s="15" t="str">
        <f>IFERROR(__xludf.DUMMYFUNCTION("""COMPUTED_VALUE"""),"MEDELLÍN")</f>
        <v>MEDELLÍN</v>
      </c>
      <c r="E2981" s="15" t="str">
        <f>IFERROR(__xludf.DUMMYFUNCTION("""COMPUTED_VALUE"""),"Baby Chef")</f>
        <v>Baby Chef</v>
      </c>
      <c r="F2981" s="17" t="str">
        <f>IFERROR(__xludf.DUMMYFUNCTION("""COMPUTED_VALUE"""),"av 5 bis 9 - 26 prados del este  / conjunto vallejas del este A, casa b3  / cucuta")</f>
        <v>av 5 bis 9 - 26 prados del este  / conjunto vallejas del este A, casa b3  / cucuta</v>
      </c>
      <c r="G2981" s="15" t="str">
        <f>IFERROR(__xludf.DUMMYFUNCTION("""COMPUTED_VALUE"""),"Stefany carreño")</f>
        <v>Stefany carreño</v>
      </c>
      <c r="H2981" s="16">
        <f>IFERROR(__xludf.DUMMYFUNCTION("""COMPUTED_VALUE"""),11509.0)</f>
        <v>11509</v>
      </c>
      <c r="I2981" s="18">
        <f>IFERROR(__xludf.DUMMYFUNCTION("""COMPUTED_VALUE"""),8.0)</f>
        <v>8</v>
      </c>
      <c r="J2981" s="18">
        <f>IFERROR(__xludf.DUMMYFUNCTION("""COMPUTED_VALUE"""),16.0)</f>
        <v>16</v>
      </c>
      <c r="K2981" s="18">
        <f>IFERROR(__xludf.DUMMYFUNCTION("""COMPUTED_VALUE"""),20.0)</f>
        <v>20</v>
      </c>
      <c r="L2981" s="17">
        <f>IFERROR(__xludf.DUMMYFUNCTION("""COMPUTED_VALUE"""),3.246827585E9)</f>
        <v>3246827585</v>
      </c>
      <c r="M2981" s="17" t="str">
        <f>IFERROR(__xludf.DUMMYFUNCTION("""COMPUTED_VALUE"""),"#REF!")</f>
        <v>#REF!</v>
      </c>
      <c r="N2981" s="17"/>
      <c r="O2981" s="17"/>
      <c r="P2981" s="17" t="b">
        <f>IFERROR(__xludf.DUMMYFUNCTION("""COMPUTED_VALUE"""),FALSE)</f>
        <v>0</v>
      </c>
      <c r="Q2981" s="20" t="str">
        <f>IFERROR(__xludf.DUMMYFUNCTION("""COMPUTED_VALUE"""),"")</f>
        <v/>
      </c>
      <c r="R2981" s="21" t="str">
        <f>IFERROR(__xludf.DUMMYFUNCTION("""COMPUTED_VALUE"""),"https://drive.google.com/file/d/1EtqRrPGaH59-65qgA1Ilrh6r8DXgx5GF/view?usp=drivesdk")</f>
        <v>https://drive.google.com/file/d/1EtqRrPGaH59-65qgA1Ilrh6r8DXgx5GF/view?usp=drivesdk</v>
      </c>
    </row>
    <row r="2982">
      <c r="A2982" s="15">
        <f>IFERROR(__xludf.DUMMYFUNCTION("""COMPUTED_VALUE"""),45086.0)</f>
        <v>45086</v>
      </c>
      <c r="B2982" s="16" t="str">
        <f>IFERROR(__xludf.DUMMYFUNCTION("""COMPUTED_VALUE"""),"Lina Gaona")</f>
        <v>Lina Gaona</v>
      </c>
      <c r="C2982" s="15" t="str">
        <f>IFERROR(__xludf.DUMMYFUNCTION("""COMPUTED_VALUE"""),"CÚCUTA")</f>
        <v>CÚCUTA</v>
      </c>
      <c r="D2982" s="15" t="str">
        <f>IFERROR(__xludf.DUMMYFUNCTION("""COMPUTED_VALUE"""),"MEDELLÍN")</f>
        <v>MEDELLÍN</v>
      </c>
      <c r="E2982" s="15" t="str">
        <f>IFERROR(__xludf.DUMMYFUNCTION("""COMPUTED_VALUE"""),"La Bodeguita")</f>
        <v>La Bodeguita</v>
      </c>
      <c r="F2982" s="17" t="str">
        <f>IFERROR(__xludf.DUMMYFUNCTION("""COMPUTED_VALUE"""),"Av 3e No 6cn-12 / Ceiba dos / Local comercial")</f>
        <v>Av 3e No 6cn-12 / Ceiba dos / Local comercial</v>
      </c>
      <c r="G2982" s="15" t="str">
        <f>IFERROR(__xludf.DUMMYFUNCTION("""COMPUTED_VALUE"""),"La bodeguita market fit")</f>
        <v>La bodeguita market fit</v>
      </c>
      <c r="H2982" s="16">
        <f>IFERROR(__xludf.DUMMYFUNCTION("""COMPUTED_VALUE"""),11519.0)</f>
        <v>11519</v>
      </c>
      <c r="I2982" s="18">
        <f>IFERROR(__xludf.DUMMYFUNCTION("""COMPUTED_VALUE"""),18.0)</f>
        <v>18</v>
      </c>
      <c r="J2982" s="18">
        <f>IFERROR(__xludf.DUMMYFUNCTION("""COMPUTED_VALUE"""),17.0)</f>
        <v>17</v>
      </c>
      <c r="K2982" s="18">
        <f>IFERROR(__xludf.DUMMYFUNCTION("""COMPUTED_VALUE"""),50.0)</f>
        <v>50</v>
      </c>
      <c r="L2982" s="17">
        <f>IFERROR(__xludf.DUMMYFUNCTION("""COMPUTED_VALUE"""),3.209091389E9)</f>
        <v>3209091389</v>
      </c>
      <c r="M2982" s="17" t="str">
        <f>IFERROR(__xludf.DUMMYFUNCTION("""COMPUTED_VALUE"""),"#REF!")</f>
        <v>#REF!</v>
      </c>
      <c r="N2982" s="17"/>
      <c r="O2982" s="17"/>
      <c r="P2982" s="17" t="b">
        <f>IFERROR(__xludf.DUMMYFUNCTION("""COMPUTED_VALUE"""),FALSE)</f>
        <v>0</v>
      </c>
      <c r="Q2982" s="20" t="str">
        <f>IFERROR(__xludf.DUMMYFUNCTION("""COMPUTED_VALUE"""),"")</f>
        <v/>
      </c>
      <c r="R2982" s="22" t="str">
        <f>IFERROR(__xludf.DUMMYFUNCTION("""COMPUTED_VALUE"""),"")</f>
        <v/>
      </c>
    </row>
    <row r="2983">
      <c r="A2983" s="15">
        <f>IFERROR(__xludf.DUMMYFUNCTION("""COMPUTED_VALUE"""),45086.0)</f>
        <v>45086</v>
      </c>
      <c r="B2983" s="16" t="str">
        <f>IFERROR(__xludf.DUMMYFUNCTION("""COMPUTED_VALUE"""),"Lina Gaona")</f>
        <v>Lina Gaona</v>
      </c>
      <c r="C2983" s="15" t="str">
        <f>IFERROR(__xludf.DUMMYFUNCTION("""COMPUTED_VALUE"""),"SANTA MARTA")</f>
        <v>SANTA MARTA</v>
      </c>
      <c r="D2983" s="15" t="str">
        <f>IFERROR(__xludf.DUMMYFUNCTION("""COMPUTED_VALUE"""),"MEDELLÍN")</f>
        <v>MEDELLÍN</v>
      </c>
      <c r="E2983" s="15" t="str">
        <f>IFERROR(__xludf.DUMMYFUNCTION("""COMPUTED_VALUE"""),"Rambla")</f>
        <v>Rambla</v>
      </c>
      <c r="F2983" s="17" t="str">
        <f>IFERROR(__xludf.DUMMYFUNCTION("""COMPUTED_VALUE"""),"cra 21 #21-153 local 105 centro comercial plaza jardín  / na / na")</f>
        <v>cra 21 #21-153 local 105 centro comercial plaza jardín  / na / na</v>
      </c>
      <c r="G2983" s="15" t="str">
        <f>IFERROR(__xludf.DUMMYFUNCTION("""COMPUTED_VALUE"""),"Punto Saludable")</f>
        <v>Punto Saludable</v>
      </c>
      <c r="H2983" s="16">
        <f>IFERROR(__xludf.DUMMYFUNCTION("""COMPUTED_VALUE"""),11511.0)</f>
        <v>11511</v>
      </c>
      <c r="I2983" s="18">
        <f>IFERROR(__xludf.DUMMYFUNCTION("""COMPUTED_VALUE"""),24.0)</f>
        <v>24</v>
      </c>
      <c r="J2983" s="18">
        <f>IFERROR(__xludf.DUMMYFUNCTION("""COMPUTED_VALUE"""),27.0)</f>
        <v>27</v>
      </c>
      <c r="K2983" s="18">
        <f>IFERROR(__xludf.DUMMYFUNCTION("""COMPUTED_VALUE"""),30.0)</f>
        <v>30</v>
      </c>
      <c r="L2983" s="17">
        <f>IFERROR(__xludf.DUMMYFUNCTION("""COMPUTED_VALUE"""),3.013146331E9)</f>
        <v>3013146331</v>
      </c>
      <c r="M2983" s="17" t="str">
        <f>IFERROR(__xludf.DUMMYFUNCTION("""COMPUTED_VALUE"""),"#REF!")</f>
        <v>#REF!</v>
      </c>
      <c r="N2983" s="17"/>
      <c r="O2983" s="17"/>
      <c r="P2983" s="17" t="b">
        <f>IFERROR(__xludf.DUMMYFUNCTION("""COMPUTED_VALUE"""),FALSE)</f>
        <v>0</v>
      </c>
      <c r="Q2983" s="20" t="str">
        <f>IFERROR(__xludf.DUMMYFUNCTION("""COMPUTED_VALUE"""),"")</f>
        <v/>
      </c>
      <c r="R2983" s="21" t="str">
        <f>IFERROR(__xludf.DUMMYFUNCTION("""COMPUTED_VALUE"""),"https://drive.google.com/file/d/1NFVRwiKFPxpISn6TSCmTFtqWi2vcF-KH/view?usp=drivesdk")</f>
        <v>https://drive.google.com/file/d/1NFVRwiKFPxpISn6TSCmTFtqWi2vcF-KH/view?usp=drivesdk</v>
      </c>
    </row>
    <row r="2984">
      <c r="A2984" s="15">
        <f>IFERROR(__xludf.DUMMYFUNCTION("""COMPUTED_VALUE"""),45086.0)</f>
        <v>45086</v>
      </c>
      <c r="B2984" s="16" t="str">
        <f>IFERROR(__xludf.DUMMYFUNCTION("""COMPUTED_VALUE"""),"Lina Gaona")</f>
        <v>Lina Gaona</v>
      </c>
      <c r="C2984" s="15" t="str">
        <f>IFERROR(__xludf.DUMMYFUNCTION("""COMPUTED_VALUE"""),"SANTA MARTA")</f>
        <v>SANTA MARTA</v>
      </c>
      <c r="D2984" s="15" t="str">
        <f>IFERROR(__xludf.DUMMYFUNCTION("""COMPUTED_VALUE"""),"MEDELLÍN")</f>
        <v>MEDELLÍN</v>
      </c>
      <c r="E2984" s="15" t="str">
        <f>IFERROR(__xludf.DUMMYFUNCTION("""COMPUTED_VALUE"""),"Rambla")</f>
        <v>Rambla</v>
      </c>
      <c r="F2984" s="17" t="str">
        <f>IFERROR(__xludf.DUMMYFUNCTION("""COMPUTED_VALUE"""),"Direccion: Cra 1c # 23-56 Barrio BellaVista / na / na")</f>
        <v>Direccion: Cra 1c # 23-56 Barrio BellaVista / na / na</v>
      </c>
      <c r="G2984" s="15" t="str">
        <f>IFERROR(__xludf.DUMMYFUNCTION("""COMPUTED_VALUE"""),"fresco")</f>
        <v>fresco</v>
      </c>
      <c r="H2984" s="16">
        <f>IFERROR(__xludf.DUMMYFUNCTION("""COMPUTED_VALUE"""),11512.0)</f>
        <v>11512</v>
      </c>
      <c r="I2984" s="18">
        <f>IFERROR(__xludf.DUMMYFUNCTION("""COMPUTED_VALUE"""),24.0)</f>
        <v>24</v>
      </c>
      <c r="J2984" s="18">
        <f>IFERROR(__xludf.DUMMYFUNCTION("""COMPUTED_VALUE"""),27.0)</f>
        <v>27</v>
      </c>
      <c r="K2984" s="18">
        <f>IFERROR(__xludf.DUMMYFUNCTION("""COMPUTED_VALUE"""),30.0)</f>
        <v>30</v>
      </c>
      <c r="L2984" s="17">
        <f>IFERROR(__xludf.DUMMYFUNCTION("""COMPUTED_VALUE"""),3.104615133E9)</f>
        <v>3104615133</v>
      </c>
      <c r="M2984" s="17" t="str">
        <f>IFERROR(__xludf.DUMMYFUNCTION("""COMPUTED_VALUE"""),"#REF!")</f>
        <v>#REF!</v>
      </c>
      <c r="N2984" s="17"/>
      <c r="O2984" s="17"/>
      <c r="P2984" s="17" t="b">
        <f>IFERROR(__xludf.DUMMYFUNCTION("""COMPUTED_VALUE"""),FALSE)</f>
        <v>0</v>
      </c>
      <c r="Q2984" s="20" t="str">
        <f>IFERROR(__xludf.DUMMYFUNCTION("""COMPUTED_VALUE"""),"")</f>
        <v/>
      </c>
      <c r="R2984" s="21" t="str">
        <f>IFERROR(__xludf.DUMMYFUNCTION("""COMPUTED_VALUE"""),"https://drive.google.com/file/d/1VGEY2YprsP0KHm4ox7JZY8dGMtO9C0zM/view?usp=drivesdk")</f>
        <v>https://drive.google.com/file/d/1VGEY2YprsP0KHm4ox7JZY8dGMtO9C0zM/view?usp=drivesdk</v>
      </c>
    </row>
    <row r="2985">
      <c r="A2985" s="17" t="str">
        <f>IFERROR(__xludf.DUMMYFUNCTION("""COMPUTED_VALUE"""),"")</f>
        <v/>
      </c>
      <c r="B2985" s="17" t="str">
        <f>IFERROR(__xludf.DUMMYFUNCTION("""COMPUTED_VALUE"""),"")</f>
        <v/>
      </c>
      <c r="C2985" s="17" t="str">
        <f>IFERROR(__xludf.DUMMYFUNCTION("""COMPUTED_VALUE"""),"")</f>
        <v/>
      </c>
      <c r="D2985" s="17" t="str">
        <f>IFERROR(__xludf.DUMMYFUNCTION("""COMPUTED_VALUE"""),"")</f>
        <v/>
      </c>
      <c r="E2985" s="17" t="str">
        <f>IFERROR(__xludf.DUMMYFUNCTION("""COMPUTED_VALUE"""),"")</f>
        <v/>
      </c>
      <c r="F2985" s="17" t="str">
        <f>IFERROR(__xludf.DUMMYFUNCTION("""COMPUTED_VALUE"""),"")</f>
        <v/>
      </c>
      <c r="G2985" s="17" t="str">
        <f>IFERROR(__xludf.DUMMYFUNCTION("""COMPUTED_VALUE"""),"")</f>
        <v/>
      </c>
      <c r="H2985" s="17" t="str">
        <f>IFERROR(__xludf.DUMMYFUNCTION("""COMPUTED_VALUE"""),"")</f>
        <v/>
      </c>
      <c r="I2985" s="17" t="str">
        <f>IFERROR(__xludf.DUMMYFUNCTION("""COMPUTED_VALUE"""),"")</f>
        <v/>
      </c>
      <c r="J2985" s="17" t="str">
        <f>IFERROR(__xludf.DUMMYFUNCTION("""COMPUTED_VALUE"""),"")</f>
        <v/>
      </c>
      <c r="K2985" s="17" t="str">
        <f>IFERROR(__xludf.DUMMYFUNCTION("""COMPUTED_VALUE"""),"")</f>
        <v/>
      </c>
      <c r="L2985" s="17" t="str">
        <f>IFERROR(__xludf.DUMMYFUNCTION("""COMPUTED_VALUE"""),"")</f>
        <v/>
      </c>
      <c r="M2985" s="17" t="str">
        <f>IFERROR(__xludf.DUMMYFUNCTION("""COMPUTED_VALUE"""),"")</f>
        <v/>
      </c>
      <c r="N2985" s="17" t="str">
        <f>IFERROR(__xludf.DUMMYFUNCTION("""COMPUTED_VALUE"""),"")</f>
        <v/>
      </c>
      <c r="O2985" s="17" t="str">
        <f>IFERROR(__xludf.DUMMYFUNCTION("""COMPUTED_VALUE"""),"")</f>
        <v/>
      </c>
      <c r="P2985" s="17" t="str">
        <f>IFERROR(__xludf.DUMMYFUNCTION("""COMPUTED_VALUE"""),"")</f>
        <v/>
      </c>
      <c r="Q2985" s="17" t="str">
        <f>IFERROR(__xludf.DUMMYFUNCTION("""COMPUTED_VALUE"""),"")</f>
        <v/>
      </c>
      <c r="R2985" s="17" t="str">
        <f>IFERROR(__xludf.DUMMYFUNCTION("""COMPUTED_VALUE"""),"")</f>
        <v/>
      </c>
    </row>
    <row r="2986">
      <c r="A2986" s="15">
        <f>IFERROR(__xludf.DUMMYFUNCTION("""COMPUTED_VALUE"""),45086.0)</f>
        <v>45086</v>
      </c>
      <c r="B2986" s="16" t="str">
        <f>IFERROR(__xludf.DUMMYFUNCTION("""COMPUTED_VALUE"""),"Luis Miguel Ramirez Morales")</f>
        <v>Luis Miguel Ramirez Morales</v>
      </c>
      <c r="C2986" s="15" t="str">
        <f>IFERROR(__xludf.DUMMYFUNCTION("""COMPUTED_VALUE"""),"BOGOTÁ")</f>
        <v>BOGOTÁ</v>
      </c>
      <c r="D2986" s="15" t="str">
        <f>IFERROR(__xludf.DUMMYFUNCTION("""COMPUTED_VALUE"""),"MEDELLÍN")</f>
        <v>MEDELLÍN</v>
      </c>
      <c r="E2986" s="15" t="str">
        <f>IFERROR(__xludf.DUMMYFUNCTION("""COMPUTED_VALUE"""),"Moloso S.A.S")</f>
        <v>Moloso S.A.S</v>
      </c>
      <c r="F2986" s="17" t="str">
        <f>IFERROR(__xludf.DUMMYFUNCTION("""COMPUTED_VALUE"""),"CL 23 14 13 MANZANA N / CENTRO DE ACOPIO HENRY DAVID CUBIDES (EL CHICO)")</f>
        <v>CL 23 14 13 MANZANA N / CENTRO DE ACOPIO HENRY DAVID CUBIDES (EL CHICO)</v>
      </c>
      <c r="G2986" s="15" t="str">
        <f>IFERROR(__xludf.DUMMYFUNCTION("""COMPUTED_VALUE"""),"MARIA JOSE MELO BONILLA")</f>
        <v>MARIA JOSE MELO BONILLA</v>
      </c>
      <c r="H2986" s="16">
        <f>IFERROR(__xludf.DUMMYFUNCTION("""COMPUTED_VALUE"""),11554.0)</f>
        <v>11554</v>
      </c>
      <c r="I2986" s="18">
        <f>IFERROR(__xludf.DUMMYFUNCTION("""COMPUTED_VALUE"""),17.0)</f>
        <v>17</v>
      </c>
      <c r="J2986" s="18">
        <f>IFERROR(__xludf.DUMMYFUNCTION("""COMPUTED_VALUE"""),15.0)</f>
        <v>15</v>
      </c>
      <c r="K2986" s="18">
        <f>IFERROR(__xludf.DUMMYFUNCTION("""COMPUTED_VALUE"""),28.0)</f>
        <v>28</v>
      </c>
      <c r="L2986" s="17">
        <f>IFERROR(__xludf.DUMMYFUNCTION("""COMPUTED_VALUE"""),3.143504351E9)</f>
        <v>3143504351</v>
      </c>
      <c r="M2986" s="17" t="str">
        <f>IFERROR(__xludf.DUMMYFUNCTION("""COMPUTED_VALUE"""),"#REF!")</f>
        <v>#REF!</v>
      </c>
      <c r="N2986" s="17"/>
      <c r="O2986" s="17"/>
      <c r="P2986" s="17" t="b">
        <f>IFERROR(__xludf.DUMMYFUNCTION("""COMPUTED_VALUE"""),FALSE)</f>
        <v>0</v>
      </c>
      <c r="Q2986" s="20" t="str">
        <f>IFERROR(__xludf.DUMMYFUNCTION("""COMPUTED_VALUE"""),"")</f>
        <v/>
      </c>
      <c r="R2986" s="22" t="str">
        <f>IFERROR(__xludf.DUMMYFUNCTION("""COMPUTED_VALUE"""),"")</f>
        <v/>
      </c>
    </row>
    <row r="2987">
      <c r="A2987" s="15">
        <f>IFERROR(__xludf.DUMMYFUNCTION("""COMPUTED_VALUE"""),45086.0)</f>
        <v>45086</v>
      </c>
      <c r="B2987" s="16" t="str">
        <f>IFERROR(__xludf.DUMMYFUNCTION("""COMPUTED_VALUE"""),"Luis Miguel Ramirez Morales")</f>
        <v>Luis Miguel Ramirez Morales</v>
      </c>
      <c r="C2987" s="15" t="str">
        <f>IFERROR(__xludf.DUMMYFUNCTION("""COMPUTED_VALUE"""),"BOGOTÁ")</f>
        <v>BOGOTÁ</v>
      </c>
      <c r="D2987" s="15" t="str">
        <f>IFERROR(__xludf.DUMMYFUNCTION("""COMPUTED_VALUE"""),"MEDELLÍN")</f>
        <v>MEDELLÍN</v>
      </c>
      <c r="E2987" s="15" t="str">
        <f>IFERROR(__xludf.DUMMYFUNCTION("""COMPUTED_VALUE"""),"Puro Verde")</f>
        <v>Puro Verde</v>
      </c>
      <c r="F2987" s="17" t="str">
        <f>IFERROR(__xludf.DUMMYFUNCTION("""COMPUTED_VALUE"""),"AV  CRA 15 # 90-20 / LOCAL 109 / BARRIO CHICO")</f>
        <v>AV  CRA 15 # 90-20 / LOCAL 109 / BARRIO CHICO</v>
      </c>
      <c r="G2987" s="15" t="str">
        <f>IFERROR(__xludf.DUMMYFUNCTION("""COMPUTED_VALUE"""),"DANDO CUERDA")</f>
        <v>DANDO CUERDA</v>
      </c>
      <c r="H2987" s="16">
        <f>IFERROR(__xludf.DUMMYFUNCTION("""COMPUTED_VALUE"""),11518.0)</f>
        <v>11518</v>
      </c>
      <c r="I2987" s="18">
        <f>IFERROR(__xludf.DUMMYFUNCTION("""COMPUTED_VALUE"""),21.0)</f>
        <v>21</v>
      </c>
      <c r="J2987" s="18">
        <f>IFERROR(__xludf.DUMMYFUNCTION("""COMPUTED_VALUE"""),29.0)</f>
        <v>29</v>
      </c>
      <c r="K2987" s="18">
        <f>IFERROR(__xludf.DUMMYFUNCTION("""COMPUTED_VALUE"""),39.0)</f>
        <v>39</v>
      </c>
      <c r="L2987" s="17">
        <f>IFERROR(__xludf.DUMMYFUNCTION("""COMPUTED_VALUE"""),3.163816691E9)</f>
        <v>3163816691</v>
      </c>
      <c r="M2987" s="17" t="str">
        <f>IFERROR(__xludf.DUMMYFUNCTION("""COMPUTED_VALUE"""),"#REF!")</f>
        <v>#REF!</v>
      </c>
      <c r="N2987" s="17"/>
      <c r="O2987" s="17"/>
      <c r="P2987" s="17" t="b">
        <f>IFERROR(__xludf.DUMMYFUNCTION("""COMPUTED_VALUE"""),FALSE)</f>
        <v>0</v>
      </c>
      <c r="Q2987" s="20" t="str">
        <f>IFERROR(__xludf.DUMMYFUNCTION("""COMPUTED_VALUE"""),"")</f>
        <v/>
      </c>
      <c r="R2987" s="21" t="str">
        <f>IFERROR(__xludf.DUMMYFUNCTION("""COMPUTED_VALUE"""),"https://drive.google.com/file/d/1XjPc_4ZQy_MHvxbZ45L4tNK5uaifPzrO/view?usp=drivesdk")</f>
        <v>https://drive.google.com/file/d/1XjPc_4ZQy_MHvxbZ45L4tNK5uaifPzrO/view?usp=drivesdk</v>
      </c>
    </row>
    <row r="2988">
      <c r="A2988" s="15">
        <f>IFERROR(__xludf.DUMMYFUNCTION("""COMPUTED_VALUE"""),45086.0)</f>
        <v>45086</v>
      </c>
      <c r="B2988" s="16" t="str">
        <f>IFERROR(__xludf.DUMMYFUNCTION("""COMPUTED_VALUE"""),"Luis Miguel Ramirez Morales")</f>
        <v>Luis Miguel Ramirez Morales</v>
      </c>
      <c r="C2988" s="15" t="str">
        <f>IFERROR(__xludf.DUMMYFUNCTION("""COMPUTED_VALUE"""),"BOGOTÁ")</f>
        <v>BOGOTÁ</v>
      </c>
      <c r="D2988" s="15" t="str">
        <f>IFERROR(__xludf.DUMMYFUNCTION("""COMPUTED_VALUE"""),"MEDELLÍN")</f>
        <v>MEDELLÍN</v>
      </c>
      <c r="E2988" s="15" t="str">
        <f>IFERROR(__xludf.DUMMYFUNCTION("""COMPUTED_VALUE"""),"Rambla")</f>
        <v>Rambla</v>
      </c>
      <c r="F2988" s="17" t="str">
        <f>IFERROR(__xludf.DUMMYFUNCTION("""COMPUTED_VALUE"""),"Calle 95# 71-11 bloque 1 apto 801 parque central Pontevedra 3  / na / na")</f>
        <v>Calle 95# 71-11 bloque 1 apto 801 parque central Pontevedra 3  / na / na</v>
      </c>
      <c r="G2988" s="15" t="str">
        <f>IFERROR(__xludf.DUMMYFUNCTION("""COMPUTED_VALUE"""),"Marcela Delgado")</f>
        <v>Marcela Delgado</v>
      </c>
      <c r="H2988" s="16">
        <f>IFERROR(__xludf.DUMMYFUNCTION("""COMPUTED_VALUE"""),11541.0)</f>
        <v>11541</v>
      </c>
      <c r="I2988" s="18">
        <f>IFERROR(__xludf.DUMMYFUNCTION("""COMPUTED_VALUE"""),18.0)</f>
        <v>18</v>
      </c>
      <c r="J2988" s="18">
        <f>IFERROR(__xludf.DUMMYFUNCTION("""COMPUTED_VALUE"""),21.0)</f>
        <v>21</v>
      </c>
      <c r="K2988" s="18">
        <f>IFERROR(__xludf.DUMMYFUNCTION("""COMPUTED_VALUE"""),25.0)</f>
        <v>25</v>
      </c>
      <c r="L2988" s="17">
        <f>IFERROR(__xludf.DUMMYFUNCTION("""COMPUTED_VALUE"""),3.16691461E9)</f>
        <v>3166914610</v>
      </c>
      <c r="M2988" s="17" t="str">
        <f>IFERROR(__xludf.DUMMYFUNCTION("""COMPUTED_VALUE"""),"#REF!")</f>
        <v>#REF!</v>
      </c>
      <c r="N2988" s="17"/>
      <c r="O2988" s="17"/>
      <c r="P2988" s="17" t="b">
        <f>IFERROR(__xludf.DUMMYFUNCTION("""COMPUTED_VALUE"""),FALSE)</f>
        <v>0</v>
      </c>
      <c r="Q2988" s="20" t="str">
        <f>IFERROR(__xludf.DUMMYFUNCTION("""COMPUTED_VALUE"""),"")</f>
        <v/>
      </c>
      <c r="R2988" s="22" t="str">
        <f>IFERROR(__xludf.DUMMYFUNCTION("""COMPUTED_VALUE"""),"")</f>
        <v/>
      </c>
    </row>
    <row r="2989">
      <c r="A2989" s="15">
        <f>IFERROR(__xludf.DUMMYFUNCTION("""COMPUTED_VALUE"""),45086.0)</f>
        <v>45086</v>
      </c>
      <c r="B2989" s="16" t="str">
        <f>IFERROR(__xludf.DUMMYFUNCTION("""COMPUTED_VALUE"""),"Luis Miguel Ramirez Morales")</f>
        <v>Luis Miguel Ramirez Morales</v>
      </c>
      <c r="C2989" s="15" t="str">
        <f>IFERROR(__xludf.DUMMYFUNCTION("""COMPUTED_VALUE"""),"BOGOTÁ")</f>
        <v>BOGOTÁ</v>
      </c>
      <c r="D2989" s="15" t="str">
        <f>IFERROR(__xludf.DUMMYFUNCTION("""COMPUTED_VALUE"""),"MEDELLÍN")</f>
        <v>MEDELLÍN</v>
      </c>
      <c r="E2989" s="15" t="str">
        <f>IFERROR(__xludf.DUMMYFUNCTION("""COMPUTED_VALUE"""),"Terravocado")</f>
        <v>Terravocado</v>
      </c>
      <c r="F2989" s="17" t="str">
        <f>IFERROR(__xludf.DUMMYFUNCTION("""COMPUTED_VALUE"""),"Carrera 20#168-32 / bogoa / toberin")</f>
        <v>Carrera 20#168-32 / bogoa / toberin</v>
      </c>
      <c r="G2989" s="15" t="str">
        <f>IFERROR(__xludf.DUMMYFUNCTION("""COMPUTED_VALUE"""),"bukoi")</f>
        <v>bukoi</v>
      </c>
      <c r="H2989" s="16">
        <f>IFERROR(__xludf.DUMMYFUNCTION("""COMPUTED_VALUE"""),11517.0)</f>
        <v>11517</v>
      </c>
      <c r="I2989" s="18">
        <f>IFERROR(__xludf.DUMMYFUNCTION("""COMPUTED_VALUE"""),20.0)</f>
        <v>20</v>
      </c>
      <c r="J2989" s="18">
        <f>IFERROR(__xludf.DUMMYFUNCTION("""COMPUTED_VALUE"""),22.0)</f>
        <v>22</v>
      </c>
      <c r="K2989" s="18">
        <f>IFERROR(__xludf.DUMMYFUNCTION("""COMPUTED_VALUE"""),34.0)</f>
        <v>34</v>
      </c>
      <c r="L2989" s="17">
        <f>IFERROR(__xludf.DUMMYFUNCTION("""COMPUTED_VALUE"""),3.103668164E9)</f>
        <v>3103668164</v>
      </c>
      <c r="M2989" s="17" t="str">
        <f>IFERROR(__xludf.DUMMYFUNCTION("""COMPUTED_VALUE"""),"#REF!")</f>
        <v>#REF!</v>
      </c>
      <c r="N2989" s="17"/>
      <c r="O2989" s="17"/>
      <c r="P2989" s="17" t="b">
        <f>IFERROR(__xludf.DUMMYFUNCTION("""COMPUTED_VALUE"""),FALSE)</f>
        <v>0</v>
      </c>
      <c r="Q2989" s="20" t="str">
        <f>IFERROR(__xludf.DUMMYFUNCTION("""COMPUTED_VALUE"""),"")</f>
        <v/>
      </c>
      <c r="R2989" s="22" t="str">
        <f>IFERROR(__xludf.DUMMYFUNCTION("""COMPUTED_VALUE"""),"")</f>
        <v/>
      </c>
    </row>
    <row r="2990">
      <c r="A2990" s="15">
        <f>IFERROR(__xludf.DUMMYFUNCTION("""COMPUTED_VALUE"""),45086.0)</f>
        <v>45086</v>
      </c>
      <c r="B2990" s="16" t="str">
        <f>IFERROR(__xludf.DUMMYFUNCTION("""COMPUTED_VALUE"""),"Luis Miguel Ramirez Morales")</f>
        <v>Luis Miguel Ramirez Morales</v>
      </c>
      <c r="C2990" s="15" t="str">
        <f>IFERROR(__xludf.DUMMYFUNCTION("""COMPUTED_VALUE"""),"GIRARDOT")</f>
        <v>GIRARDOT</v>
      </c>
      <c r="D2990" s="15" t="str">
        <f>IFERROR(__xludf.DUMMYFUNCTION("""COMPUTED_VALUE"""),"BOGOTÁ")</f>
        <v>BOGOTÁ</v>
      </c>
      <c r="E2990" s="15" t="str">
        <f>IFERROR(__xludf.DUMMYFUNCTION("""COMPUTED_VALUE"""),"Coffit")</f>
        <v>Coffit</v>
      </c>
      <c r="F2990" s="17" t="str">
        <f>IFERROR(__xludf.DUMMYFUNCTION("""COMPUTED_VALUE"""),"carrera 9 n 19-53 local 107 edificio rafael díaz  / diagonal glorieta leon  / GIRARDOT")</f>
        <v>carrera 9 n 19-53 local 107 edificio rafael díaz  / diagonal glorieta leon  / GIRARDOT</v>
      </c>
      <c r="G2990" s="15" t="str">
        <f>IFERROR(__xludf.DUMMYFUNCTION("""COMPUTED_VALUE"""),"coffit market")</f>
        <v>coffit market</v>
      </c>
      <c r="H2990" s="16">
        <f>IFERROR(__xludf.DUMMYFUNCTION("""COMPUTED_VALUE"""),11564.0)</f>
        <v>11564</v>
      </c>
      <c r="I2990" s="18">
        <f>IFERROR(__xludf.DUMMYFUNCTION("""COMPUTED_VALUE"""),55.0)</f>
        <v>55</v>
      </c>
      <c r="J2990" s="18">
        <f>IFERROR(__xludf.DUMMYFUNCTION("""COMPUTED_VALUE"""),45.0)</f>
        <v>45</v>
      </c>
      <c r="K2990" s="18" t="str">
        <f>IFERROR(__xludf.DUMMYFUNCTION("""COMPUTED_VALUE"""),"52.5")</f>
        <v>52.5</v>
      </c>
      <c r="L2990" s="17">
        <f>IFERROR(__xludf.DUMMYFUNCTION("""COMPUTED_VALUE"""),3.166279434E9)</f>
        <v>3166279434</v>
      </c>
      <c r="M2990" s="17" t="str">
        <f>IFERROR(__xludf.DUMMYFUNCTION("""COMPUTED_VALUE"""),"#REF!")</f>
        <v>#REF!</v>
      </c>
      <c r="N2990" s="17"/>
      <c r="O2990" s="17"/>
      <c r="P2990" s="17" t="b">
        <f>IFERROR(__xludf.DUMMYFUNCTION("""COMPUTED_VALUE"""),FALSE)</f>
        <v>0</v>
      </c>
      <c r="Q2990" s="20" t="str">
        <f>IFERROR(__xludf.DUMMYFUNCTION("""COMPUTED_VALUE"""),"")</f>
        <v/>
      </c>
      <c r="R2990" s="21" t="str">
        <f>IFERROR(__xludf.DUMMYFUNCTION("""COMPUTED_VALUE"""),"https://drive.google.com/file/d/1iljrmB26_zgchGqQt6UyUJgVt42Zl-j_/view?usp=drivesdk")</f>
        <v>https://drive.google.com/file/d/1iljrmB26_zgchGqQt6UyUJgVt42Zl-j_/view?usp=drivesdk</v>
      </c>
    </row>
    <row r="2991">
      <c r="A2991" s="15">
        <f>IFERROR(__xludf.DUMMYFUNCTION("""COMPUTED_VALUE"""),45086.0)</f>
        <v>45086</v>
      </c>
      <c r="B2991" s="16" t="str">
        <f>IFERROR(__xludf.DUMMYFUNCTION("""COMPUTED_VALUE"""),"Luis Miguel Ramirez Morales")</f>
        <v>Luis Miguel Ramirez Morales</v>
      </c>
      <c r="C2991" s="15" t="str">
        <f>IFERROR(__xludf.DUMMYFUNCTION("""COMPUTED_VALUE"""),"VALLEDUPAR")</f>
        <v>VALLEDUPAR</v>
      </c>
      <c r="D2991" s="15" t="str">
        <f>IFERROR(__xludf.DUMMYFUNCTION("""COMPUTED_VALUE"""),"BOGOTÁ")</f>
        <v>BOGOTÁ</v>
      </c>
      <c r="E2991" s="15" t="str">
        <f>IFERROR(__xludf.DUMMYFUNCTION("""COMPUTED_VALUE"""),"Evamazzita")</f>
        <v>Evamazzita</v>
      </c>
      <c r="F2991" s="17" t="str">
        <f>IFERROR(__xludf.DUMMYFUNCTION("""COMPUTED_VALUE"""),"CALLE 6 # 13 - 24   / EDIFICIO MULTICENTRO APTO. 103  / BARRIO LOS ÁNGELES")</f>
        <v>CALLE 6 # 13 - 24   / EDIFICIO MULTICENTRO APTO. 103  / BARRIO LOS ÁNGELES</v>
      </c>
      <c r="G2991" s="15" t="str">
        <f>IFERROR(__xludf.DUMMYFUNCTION("""COMPUTED_VALUE"""),"GINA PAOLA MENDIOLA PEÑA")</f>
        <v>GINA PAOLA MENDIOLA PEÑA</v>
      </c>
      <c r="H2991" s="16">
        <f>IFERROR(__xludf.DUMMYFUNCTION("""COMPUTED_VALUE"""),11499.0)</f>
        <v>11499</v>
      </c>
      <c r="I2991" s="18">
        <f>IFERROR(__xludf.DUMMYFUNCTION("""COMPUTED_VALUE"""),9.0)</f>
        <v>9</v>
      </c>
      <c r="J2991" s="18">
        <f>IFERROR(__xludf.DUMMYFUNCTION("""COMPUTED_VALUE"""),24.0)</f>
        <v>24</v>
      </c>
      <c r="K2991" s="18">
        <f>IFERROR(__xludf.DUMMYFUNCTION("""COMPUTED_VALUE"""),17.0)</f>
        <v>17</v>
      </c>
      <c r="L2991" s="17">
        <f>IFERROR(__xludf.DUMMYFUNCTION("""COMPUTED_VALUE"""),3.114085752E9)</f>
        <v>3114085752</v>
      </c>
      <c r="M2991" s="17" t="str">
        <f>IFERROR(__xludf.DUMMYFUNCTION("""COMPUTED_VALUE"""),"#REF!")</f>
        <v>#REF!</v>
      </c>
      <c r="N2991" s="17"/>
      <c r="O2991" s="17"/>
      <c r="P2991" s="17" t="b">
        <f>IFERROR(__xludf.DUMMYFUNCTION("""COMPUTED_VALUE"""),FALSE)</f>
        <v>0</v>
      </c>
      <c r="Q2991" s="20" t="str">
        <f>IFERROR(__xludf.DUMMYFUNCTION("""COMPUTED_VALUE"""),"")</f>
        <v/>
      </c>
      <c r="R2991" s="21" t="str">
        <f>IFERROR(__xludf.DUMMYFUNCTION("""COMPUTED_VALUE"""),"https://drive.google.com/file/d/1b1Oq6GtCWuQ-HkFRQwi_LOABT59kfDXB/view?usp=drivesdk")</f>
        <v>https://drive.google.com/file/d/1b1Oq6GtCWuQ-HkFRQwi_LOABT59kfDXB/view?usp=drivesdk</v>
      </c>
    </row>
    <row r="2992">
      <c r="A2992" s="17" t="str">
        <f>IFERROR(__xludf.DUMMYFUNCTION("""COMPUTED_VALUE"""),"")</f>
        <v/>
      </c>
      <c r="B2992" s="17" t="str">
        <f>IFERROR(__xludf.DUMMYFUNCTION("""COMPUTED_VALUE"""),"")</f>
        <v/>
      </c>
      <c r="C2992" s="17" t="str">
        <f>IFERROR(__xludf.DUMMYFUNCTION("""COMPUTED_VALUE"""),"")</f>
        <v/>
      </c>
      <c r="D2992" s="17" t="str">
        <f>IFERROR(__xludf.DUMMYFUNCTION("""COMPUTED_VALUE"""),"")</f>
        <v/>
      </c>
      <c r="E2992" s="17" t="str">
        <f>IFERROR(__xludf.DUMMYFUNCTION("""COMPUTED_VALUE"""),"")</f>
        <v/>
      </c>
      <c r="F2992" s="17" t="str">
        <f>IFERROR(__xludf.DUMMYFUNCTION("""COMPUTED_VALUE"""),"")</f>
        <v/>
      </c>
      <c r="G2992" s="17" t="str">
        <f>IFERROR(__xludf.DUMMYFUNCTION("""COMPUTED_VALUE"""),"")</f>
        <v/>
      </c>
      <c r="H2992" s="17" t="str">
        <f>IFERROR(__xludf.DUMMYFUNCTION("""COMPUTED_VALUE"""),"")</f>
        <v/>
      </c>
      <c r="I2992" s="17" t="str">
        <f>IFERROR(__xludf.DUMMYFUNCTION("""COMPUTED_VALUE"""),"")</f>
        <v/>
      </c>
      <c r="J2992" s="17" t="str">
        <f>IFERROR(__xludf.DUMMYFUNCTION("""COMPUTED_VALUE"""),"")</f>
        <v/>
      </c>
      <c r="K2992" s="17" t="str">
        <f>IFERROR(__xludf.DUMMYFUNCTION("""COMPUTED_VALUE"""),"")</f>
        <v/>
      </c>
      <c r="L2992" s="17" t="str">
        <f>IFERROR(__xludf.DUMMYFUNCTION("""COMPUTED_VALUE"""),"")</f>
        <v/>
      </c>
      <c r="M2992" s="17" t="str">
        <f>IFERROR(__xludf.DUMMYFUNCTION("""COMPUTED_VALUE"""),"")</f>
        <v/>
      </c>
      <c r="N2992" s="17" t="str">
        <f>IFERROR(__xludf.DUMMYFUNCTION("""COMPUTED_VALUE"""),"")</f>
        <v/>
      </c>
      <c r="O2992" s="17" t="str">
        <f>IFERROR(__xludf.DUMMYFUNCTION("""COMPUTED_VALUE"""),"")</f>
        <v/>
      </c>
      <c r="P2992" s="17" t="str">
        <f>IFERROR(__xludf.DUMMYFUNCTION("""COMPUTED_VALUE"""),"")</f>
        <v/>
      </c>
      <c r="Q2992" s="17" t="str">
        <f>IFERROR(__xludf.DUMMYFUNCTION("""COMPUTED_VALUE"""),"")</f>
        <v/>
      </c>
      <c r="R2992" s="17" t="str">
        <f>IFERROR(__xludf.DUMMYFUNCTION("""COMPUTED_VALUE"""),"")</f>
        <v/>
      </c>
    </row>
    <row r="2993">
      <c r="A2993" s="15">
        <f>IFERROR(__xludf.DUMMYFUNCTION("""COMPUTED_VALUE"""),45086.0)</f>
        <v>45086</v>
      </c>
      <c r="B2993" s="16" t="str">
        <f>IFERROR(__xludf.DUMMYFUNCTION("""COMPUTED_VALUE"""),"Orlando Urdaneta Rincon ")</f>
        <v>Orlando Urdaneta Rincon </v>
      </c>
      <c r="C2993" s="15" t="str">
        <f>IFERROR(__xludf.DUMMYFUNCTION("""COMPUTED_VALUE"""),"SANTA MARTA")</f>
        <v>SANTA MARTA</v>
      </c>
      <c r="D2993" s="15" t="str">
        <f>IFERROR(__xludf.DUMMYFUNCTION("""COMPUTED_VALUE"""),"MEDELLÍN")</f>
        <v>MEDELLÍN</v>
      </c>
      <c r="E2993" s="15" t="str">
        <f>IFERROR(__xludf.DUMMYFUNCTION("""COMPUTED_VALUE"""),"Baby Chef")</f>
        <v>Baby Chef</v>
      </c>
      <c r="F2993" s="17" t="str">
        <f>IFERROR(__xludf.DUMMYFUNCTION("""COMPUTED_VALUE"""),"Carrera 1 a no 23- 84  / Edificio ancon apto 702  / barrio los cocos")</f>
        <v>Carrera 1 a no 23- 84  / Edificio ancon apto 702  / barrio los cocos</v>
      </c>
      <c r="G2993" s="15" t="str">
        <f>IFERROR(__xludf.DUMMYFUNCTION("""COMPUTED_VALUE"""),"Estefania Reyes")</f>
        <v>Estefania Reyes</v>
      </c>
      <c r="H2993" s="16">
        <f>IFERROR(__xludf.DUMMYFUNCTION("""COMPUTED_VALUE"""),11510.0)</f>
        <v>11510</v>
      </c>
      <c r="I2993" s="18">
        <f>IFERROR(__xludf.DUMMYFUNCTION("""COMPUTED_VALUE"""),8.0)</f>
        <v>8</v>
      </c>
      <c r="J2993" s="18">
        <f>IFERROR(__xludf.DUMMYFUNCTION("""COMPUTED_VALUE"""),16.0)</f>
        <v>16</v>
      </c>
      <c r="K2993" s="18">
        <f>IFERROR(__xludf.DUMMYFUNCTION("""COMPUTED_VALUE"""),20.0)</f>
        <v>20</v>
      </c>
      <c r="L2993" s="17">
        <f>IFERROR(__xludf.DUMMYFUNCTION("""COMPUTED_VALUE"""),3.146758961E9)</f>
        <v>3146758961</v>
      </c>
      <c r="M2993" s="17" t="str">
        <f>IFERROR(__xludf.DUMMYFUNCTION("""COMPUTED_VALUE"""),"#REF!")</f>
        <v>#REF!</v>
      </c>
      <c r="N2993" s="17"/>
      <c r="O2993" s="17"/>
      <c r="P2993" s="17" t="b">
        <f>IFERROR(__xludf.DUMMYFUNCTION("""COMPUTED_VALUE"""),FALSE)</f>
        <v>0</v>
      </c>
      <c r="Q2993" s="20" t="str">
        <f>IFERROR(__xludf.DUMMYFUNCTION("""COMPUTED_VALUE"""),"")</f>
        <v/>
      </c>
      <c r="R2993" s="21" t="str">
        <f>IFERROR(__xludf.DUMMYFUNCTION("""COMPUTED_VALUE"""),"https://drive.google.com/file/d/1rRK6GuKIhTGjxB7MgIseObAbfrGuij1D/view?usp=drivesdk")</f>
        <v>https://drive.google.com/file/d/1rRK6GuKIhTGjxB7MgIseObAbfrGuij1D/view?usp=drivesdk</v>
      </c>
    </row>
    <row r="2994">
      <c r="A2994" s="15">
        <f>IFERROR(__xludf.DUMMYFUNCTION("""COMPUTED_VALUE"""),45086.0)</f>
        <v>45086</v>
      </c>
      <c r="B2994" s="16" t="str">
        <f>IFERROR(__xludf.DUMMYFUNCTION("""COMPUTED_VALUE"""),"Orlando Urdaneta Rincon ")</f>
        <v>Orlando Urdaneta Rincon </v>
      </c>
      <c r="C2994" s="15" t="str">
        <f>IFERROR(__xludf.DUMMYFUNCTION("""COMPUTED_VALUE"""),"SANTA MARTA")</f>
        <v>SANTA MARTA</v>
      </c>
      <c r="D2994" s="15" t="str">
        <f>IFERROR(__xludf.DUMMYFUNCTION("""COMPUTED_VALUE"""),"MEDELLÍN")</f>
        <v>MEDELLÍN</v>
      </c>
      <c r="E2994" s="15" t="str">
        <f>IFERROR(__xludf.DUMMYFUNCTION("""COMPUTED_VALUE"""),"Magda")</f>
        <v>Magda</v>
      </c>
      <c r="F2994" s="17" t="str">
        <f>IFERROR(__xludf.DUMMYFUNCTION("""COMPUTED_VALUE"""),"calle 22#6-82  / ""centro comercial plazuela 22 local 27 "" / centro")</f>
        <v>calle 22#6-82  / "centro comercial plazuela 22 local 27 " / centro</v>
      </c>
      <c r="G2994" s="15" t="str">
        <f>IFERROR(__xludf.DUMMYFUNCTION("""COMPUTED_VALUE"""),"Shirley Monjarres")</f>
        <v>Shirley Monjarres</v>
      </c>
      <c r="H2994" s="16">
        <f>IFERROR(__xludf.DUMMYFUNCTION("""COMPUTED_VALUE"""),11524.0)</f>
        <v>11524</v>
      </c>
      <c r="I2994" s="18">
        <f>IFERROR(__xludf.DUMMYFUNCTION("""COMPUTED_VALUE"""),5.0)</f>
        <v>5</v>
      </c>
      <c r="J2994" s="18">
        <f>IFERROR(__xludf.DUMMYFUNCTION("""COMPUTED_VALUE"""),5.0)</f>
        <v>5</v>
      </c>
      <c r="K2994" s="18">
        <f>IFERROR(__xludf.DUMMYFUNCTION("""COMPUTED_VALUE"""),5.0)</f>
        <v>5</v>
      </c>
      <c r="L2994" s="17">
        <f>IFERROR(__xludf.DUMMYFUNCTION("""COMPUTED_VALUE"""),3.054269156E9)</f>
        <v>3054269156</v>
      </c>
      <c r="M2994" s="17" t="str">
        <f>IFERROR(__xludf.DUMMYFUNCTION("""COMPUTED_VALUE"""),"#REF!")</f>
        <v>#REF!</v>
      </c>
      <c r="N2994" s="17"/>
      <c r="O2994" s="17"/>
      <c r="P2994" s="17" t="b">
        <f>IFERROR(__xludf.DUMMYFUNCTION("""COMPUTED_VALUE"""),FALSE)</f>
        <v>0</v>
      </c>
      <c r="Q2994" s="20" t="str">
        <f>IFERROR(__xludf.DUMMYFUNCTION("""COMPUTED_VALUE"""),"")</f>
        <v/>
      </c>
      <c r="R2994" s="21" t="str">
        <f>IFERROR(__xludf.DUMMYFUNCTION("""COMPUTED_VALUE"""),"https://drive.google.com/file/d/1FZrGDscEivmUxxhHOZabjdNncCQw-54W/view?usp=drivesdk")</f>
        <v>https://drive.google.com/file/d/1FZrGDscEivmUxxhHOZabjdNncCQw-54W/view?usp=drivesdk</v>
      </c>
    </row>
    <row r="2995">
      <c r="A2995" s="15">
        <f>IFERROR(__xludf.DUMMYFUNCTION("""COMPUTED_VALUE"""),45086.0)</f>
        <v>45086</v>
      </c>
      <c r="B2995" s="16" t="str">
        <f>IFERROR(__xludf.DUMMYFUNCTION("""COMPUTED_VALUE"""),"Orlando Urdaneta Rincon ")</f>
        <v>Orlando Urdaneta Rincon </v>
      </c>
      <c r="C2995" s="15" t="str">
        <f>IFERROR(__xludf.DUMMYFUNCTION("""COMPUTED_VALUE"""),"SOACHA")</f>
        <v>SOACHA</v>
      </c>
      <c r="D2995" s="15" t="str">
        <f>IFERROR(__xludf.DUMMYFUNCTION("""COMPUTED_VALUE"""),"MEDELLÍN")</f>
        <v>MEDELLÍN</v>
      </c>
      <c r="E2995" s="15" t="str">
        <f>IFERROR(__xludf.DUMMYFUNCTION("""COMPUTED_VALUE"""),"Rambla")</f>
        <v>Rambla</v>
      </c>
      <c r="F2995" s="17" t="str">
        <f>IFERROR(__xludf.DUMMYFUNCTION("""COMPUTED_VALUE"""),"Carrera 1A No. 20 - 138 Urbanizacion El Sol - Soacha / na / na")</f>
        <v>Carrera 1A No. 20 - 138 Urbanizacion El Sol - Soacha / na / na</v>
      </c>
      <c r="G2995" s="15" t="str">
        <f>IFERROR(__xludf.DUMMYFUNCTION("""COMPUTED_VALUE"""),"Diana Marcela Velasquez Castañeda")</f>
        <v>Diana Marcela Velasquez Castañeda</v>
      </c>
      <c r="H2995" s="16">
        <f>IFERROR(__xludf.DUMMYFUNCTION("""COMPUTED_VALUE"""),11549.0)</f>
        <v>11549</v>
      </c>
      <c r="I2995" s="18">
        <f>IFERROR(__xludf.DUMMYFUNCTION("""COMPUTED_VALUE"""),18.0)</f>
        <v>18</v>
      </c>
      <c r="J2995" s="18">
        <f>IFERROR(__xludf.DUMMYFUNCTION("""COMPUTED_VALUE"""),21.0)</f>
        <v>21</v>
      </c>
      <c r="K2995" s="18">
        <f>IFERROR(__xludf.DUMMYFUNCTION("""COMPUTED_VALUE"""),25.0)</f>
        <v>25</v>
      </c>
      <c r="L2995" s="17">
        <f>IFERROR(__xludf.DUMMYFUNCTION("""COMPUTED_VALUE"""),3.107768763E9)</f>
        <v>3107768763</v>
      </c>
      <c r="M2995" s="17" t="str">
        <f>IFERROR(__xludf.DUMMYFUNCTION("""COMPUTED_VALUE"""),"#REF!")</f>
        <v>#REF!</v>
      </c>
      <c r="N2995" s="17"/>
      <c r="O2995" s="17"/>
      <c r="P2995" s="17" t="b">
        <f>IFERROR(__xludf.DUMMYFUNCTION("""COMPUTED_VALUE"""),FALSE)</f>
        <v>0</v>
      </c>
      <c r="Q2995" s="20" t="str">
        <f>IFERROR(__xludf.DUMMYFUNCTION("""COMPUTED_VALUE"""),"")</f>
        <v/>
      </c>
      <c r="R2995" s="22" t="str">
        <f>IFERROR(__xludf.DUMMYFUNCTION("""COMPUTED_VALUE"""),"")</f>
        <v/>
      </c>
    </row>
    <row r="2996">
      <c r="A2996" s="17" t="str">
        <f>IFERROR(__xludf.DUMMYFUNCTION("""COMPUTED_VALUE"""),"")</f>
        <v/>
      </c>
      <c r="B2996" s="17" t="str">
        <f>IFERROR(__xludf.DUMMYFUNCTION("""COMPUTED_VALUE"""),"")</f>
        <v/>
      </c>
      <c r="C2996" s="17" t="str">
        <f>IFERROR(__xludf.DUMMYFUNCTION("""COMPUTED_VALUE"""),"")</f>
        <v/>
      </c>
      <c r="D2996" s="17" t="str">
        <f>IFERROR(__xludf.DUMMYFUNCTION("""COMPUTED_VALUE"""),"")</f>
        <v/>
      </c>
      <c r="E2996" s="17" t="str">
        <f>IFERROR(__xludf.DUMMYFUNCTION("""COMPUTED_VALUE"""),"")</f>
        <v/>
      </c>
      <c r="F2996" s="17" t="str">
        <f>IFERROR(__xludf.DUMMYFUNCTION("""COMPUTED_VALUE"""),"")</f>
        <v/>
      </c>
      <c r="G2996" s="17" t="str">
        <f>IFERROR(__xludf.DUMMYFUNCTION("""COMPUTED_VALUE"""),"")</f>
        <v/>
      </c>
      <c r="H2996" s="17" t="str">
        <f>IFERROR(__xludf.DUMMYFUNCTION("""COMPUTED_VALUE"""),"")</f>
        <v/>
      </c>
      <c r="I2996" s="17" t="str">
        <f>IFERROR(__xludf.DUMMYFUNCTION("""COMPUTED_VALUE"""),"")</f>
        <v/>
      </c>
      <c r="J2996" s="17" t="str">
        <f>IFERROR(__xludf.DUMMYFUNCTION("""COMPUTED_VALUE"""),"")</f>
        <v/>
      </c>
      <c r="K2996" s="17" t="str">
        <f>IFERROR(__xludf.DUMMYFUNCTION("""COMPUTED_VALUE"""),"")</f>
        <v/>
      </c>
      <c r="L2996" s="17" t="str">
        <f>IFERROR(__xludf.DUMMYFUNCTION("""COMPUTED_VALUE"""),"")</f>
        <v/>
      </c>
      <c r="M2996" s="17" t="str">
        <f>IFERROR(__xludf.DUMMYFUNCTION("""COMPUTED_VALUE"""),"")</f>
        <v/>
      </c>
      <c r="N2996" s="17" t="str">
        <f>IFERROR(__xludf.DUMMYFUNCTION("""COMPUTED_VALUE"""),"")</f>
        <v/>
      </c>
      <c r="O2996" s="17" t="str">
        <f>IFERROR(__xludf.DUMMYFUNCTION("""COMPUTED_VALUE"""),"")</f>
        <v/>
      </c>
      <c r="P2996" s="17" t="str">
        <f>IFERROR(__xludf.DUMMYFUNCTION("""COMPUTED_VALUE"""),"")</f>
        <v/>
      </c>
      <c r="Q2996" s="17" t="str">
        <f>IFERROR(__xludf.DUMMYFUNCTION("""COMPUTED_VALUE"""),"")</f>
        <v/>
      </c>
      <c r="R2996" s="17" t="str">
        <f>IFERROR(__xludf.DUMMYFUNCTION("""COMPUTED_VALUE"""),"")</f>
        <v/>
      </c>
    </row>
    <row r="2997">
      <c r="A2997" s="15">
        <f>IFERROR(__xludf.DUMMYFUNCTION("""COMPUTED_VALUE"""),45086.0)</f>
        <v>45086</v>
      </c>
      <c r="B2997" s="16" t="str">
        <f>IFERROR(__xludf.DUMMYFUNCTION("""COMPUTED_VALUE"""),"Oscar Augusto Meneses Osias")</f>
        <v>Oscar Augusto Meneses Osias</v>
      </c>
      <c r="C2997" s="15" t="str">
        <f>IFERROR(__xludf.DUMMYFUNCTION("""COMPUTED_VALUE"""),"MEDELLÍN")</f>
        <v>MEDELLÍN</v>
      </c>
      <c r="D2997" s="15" t="str">
        <f>IFERROR(__xludf.DUMMYFUNCTION("""COMPUTED_VALUE"""),"BOGOTÁ")</f>
        <v>BOGOTÁ</v>
      </c>
      <c r="E2997" s="15" t="str">
        <f>IFERROR(__xludf.DUMMYFUNCTION("""COMPUTED_VALUE"""),"Forever Dog")</f>
        <v>Forever Dog</v>
      </c>
      <c r="F2997" s="17" t="str">
        <f>IFERROR(__xludf.DUMMYFUNCTION("""COMPUTED_VALUE"""),"Calle 36 sur # 27 -  / 10 apto 9615 torre 3  / unidad residencial entreparques")</f>
        <v>Calle 36 sur # 27 -  / 10 apto 9615 torre 3  / unidad residencial entreparques</v>
      </c>
      <c r="G2997" s="15" t="str">
        <f>IFERROR(__xludf.DUMMYFUNCTION("""COMPUTED_VALUE"""),"Alejandra Maya")</f>
        <v>Alejandra Maya</v>
      </c>
      <c r="H2997" s="16">
        <f>IFERROR(__xludf.DUMMYFUNCTION("""COMPUTED_VALUE"""),11527.0)</f>
        <v>11527</v>
      </c>
      <c r="I2997" s="18">
        <f>IFERROR(__xludf.DUMMYFUNCTION("""COMPUTED_VALUE"""),21.0)</f>
        <v>21</v>
      </c>
      <c r="J2997" s="18">
        <f>IFERROR(__xludf.DUMMYFUNCTION("""COMPUTED_VALUE"""),50.0)</f>
        <v>50</v>
      </c>
      <c r="K2997" s="18">
        <f>IFERROR(__xludf.DUMMYFUNCTION("""COMPUTED_VALUE"""),30.0)</f>
        <v>30</v>
      </c>
      <c r="L2997" s="17">
        <f>IFERROR(__xludf.DUMMYFUNCTION("""COMPUTED_VALUE"""),3.016427229E9)</f>
        <v>3016427229</v>
      </c>
      <c r="M2997" s="17" t="str">
        <f>IFERROR(__xludf.DUMMYFUNCTION("""COMPUTED_VALUE"""),"#REF!")</f>
        <v>#REF!</v>
      </c>
      <c r="N2997" s="17"/>
      <c r="O2997" s="17"/>
      <c r="P2997" s="17" t="b">
        <f>IFERROR(__xludf.DUMMYFUNCTION("""COMPUTED_VALUE"""),FALSE)</f>
        <v>0</v>
      </c>
      <c r="Q2997" s="20" t="str">
        <f>IFERROR(__xludf.DUMMYFUNCTION("""COMPUTED_VALUE"""),"")</f>
        <v/>
      </c>
      <c r="R2997" s="21" t="str">
        <f>IFERROR(__xludf.DUMMYFUNCTION("""COMPUTED_VALUE"""),"https://drive.google.com/file/d/1BymGya3SsnJT8PKPuwD2DvxS2Fwe0Rpl/view?usp=drivesdk")</f>
        <v>https://drive.google.com/file/d/1BymGya3SsnJT8PKPuwD2DvxS2Fwe0Rpl/view?usp=drivesdk</v>
      </c>
    </row>
    <row r="2998">
      <c r="A2998" s="15">
        <f>IFERROR(__xludf.DUMMYFUNCTION("""COMPUTED_VALUE"""),45086.0)</f>
        <v>45086</v>
      </c>
      <c r="B2998" s="16" t="str">
        <f>IFERROR(__xludf.DUMMYFUNCTION("""COMPUTED_VALUE"""),"Oscar Augusto Meneses Osias")</f>
        <v>Oscar Augusto Meneses Osias</v>
      </c>
      <c r="C2998" s="15" t="str">
        <f>IFERROR(__xludf.DUMMYFUNCTION("""COMPUTED_VALUE"""),"MEDELLÍN")</f>
        <v>MEDELLÍN</v>
      </c>
      <c r="D2998" s="15" t="str">
        <f>IFERROR(__xludf.DUMMYFUNCTION("""COMPUTED_VALUE"""),"BOGOTÁ")</f>
        <v>BOGOTÁ</v>
      </c>
      <c r="E2998" s="15" t="str">
        <f>IFERROR(__xludf.DUMMYFUNCTION("""COMPUTED_VALUE"""),"MAI ALIMENTOS S.A.S")</f>
        <v>MAI ALIMENTOS S.A.S</v>
      </c>
      <c r="F2998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2998" s="15" t="str">
        <f>IFERROR(__xludf.DUMMYFUNCTION("""COMPUTED_VALUE"""),"Novaventas - Medellin")</f>
        <v>Novaventas - Medellin</v>
      </c>
      <c r="H2998" s="16">
        <f>IFERROR(__xludf.DUMMYFUNCTION("""COMPUTED_VALUE"""),11558.0)</f>
        <v>11558</v>
      </c>
      <c r="I2998" s="18">
        <f>IFERROR(__xludf.DUMMYFUNCTION("""COMPUTED_VALUE"""),35.0)</f>
        <v>35</v>
      </c>
      <c r="J2998" s="18">
        <f>IFERROR(__xludf.DUMMYFUNCTION("""COMPUTED_VALUE"""),17.0)</f>
        <v>17</v>
      </c>
      <c r="K2998" s="18">
        <f>IFERROR(__xludf.DUMMYFUNCTION("""COMPUTED_VALUE"""),13.0)</f>
        <v>13</v>
      </c>
      <c r="L2998" s="17">
        <f>IFERROR(__xludf.DUMMYFUNCTION("""COMPUTED_VALUE"""),3.187351593E9)</f>
        <v>3187351593</v>
      </c>
      <c r="M2998" s="17" t="str">
        <f>IFERROR(__xludf.DUMMYFUNCTION("""COMPUTED_VALUE"""),"#REF!")</f>
        <v>#REF!</v>
      </c>
      <c r="N2998" s="17"/>
      <c r="O2998" s="17"/>
      <c r="P2998" s="17" t="b">
        <f>IFERROR(__xludf.DUMMYFUNCTION("""COMPUTED_VALUE"""),FALSE)</f>
        <v>0</v>
      </c>
      <c r="Q2998" s="20" t="str">
        <f>IFERROR(__xludf.DUMMYFUNCTION("""COMPUTED_VALUE"""),"")</f>
        <v/>
      </c>
      <c r="R2998" s="21" t="str">
        <f>IFERROR(__xludf.DUMMYFUNCTION("""COMPUTED_VALUE"""),"https://drive.google.com/file/d/1LavqpHHOckc9YXC6JdO4u0UCG9XpQTLv/view?usp=drivesdk")</f>
        <v>https://drive.google.com/file/d/1LavqpHHOckc9YXC6JdO4u0UCG9XpQTLv/view?usp=drivesdk</v>
      </c>
    </row>
    <row r="2999">
      <c r="A2999" s="15">
        <f>IFERROR(__xludf.DUMMYFUNCTION("""COMPUTED_VALUE"""),45086.0)</f>
        <v>45086</v>
      </c>
      <c r="B2999" s="16" t="str">
        <f>IFERROR(__xludf.DUMMYFUNCTION("""COMPUTED_VALUE"""),"Oscar Augusto Meneses Osias")</f>
        <v>Oscar Augusto Meneses Osias</v>
      </c>
      <c r="C2999" s="15" t="str">
        <f>IFERROR(__xludf.DUMMYFUNCTION("""COMPUTED_VALUE"""),"MEDELLÍN")</f>
        <v>MEDELLÍN</v>
      </c>
      <c r="D2999" s="15" t="str">
        <f>IFERROR(__xludf.DUMMYFUNCTION("""COMPUTED_VALUE"""),"BOGOTÁ")</f>
        <v>BOGOTÁ</v>
      </c>
      <c r="E2999" s="15" t="str">
        <f>IFERROR(__xludf.DUMMYFUNCTION("""COMPUTED_VALUE"""),"Mochi")</f>
        <v>Mochi</v>
      </c>
      <c r="F2999" s="17" t="str">
        <f>IFERROR(__xludf.DUMMYFUNCTION("""COMPUTED_VALUE"""),"Centro comercial viva envigado / Centro comercial viva envigado / Centro comercial viva envigado")</f>
        <v>Centro comercial viva envigado / Centro comercial viva envigado / Centro comercial viva envigado</v>
      </c>
      <c r="G2999" s="15" t="str">
        <f>IFERROR(__xludf.DUMMYFUNCTION("""COMPUTED_VALUE"""),"Tania vellojin")</f>
        <v>Tania vellojin</v>
      </c>
      <c r="H2999" s="16">
        <f>IFERROR(__xludf.DUMMYFUNCTION("""COMPUTED_VALUE"""),11559.0)</f>
        <v>11559</v>
      </c>
      <c r="I2999" s="18">
        <f>IFERROR(__xludf.DUMMYFUNCTION("""COMPUTED_VALUE"""),100.0)</f>
        <v>100</v>
      </c>
      <c r="J2999" s="18">
        <f>IFERROR(__xludf.DUMMYFUNCTION("""COMPUTED_VALUE"""),100.0)</f>
        <v>100</v>
      </c>
      <c r="K2999" s="18">
        <f>IFERROR(__xludf.DUMMYFUNCTION("""COMPUTED_VALUE"""),500.0)</f>
        <v>500</v>
      </c>
      <c r="L2999" s="17">
        <f>IFERROR(__xludf.DUMMYFUNCTION("""COMPUTED_VALUE"""),3.115177645E9)</f>
        <v>3115177645</v>
      </c>
      <c r="M2999" s="17" t="str">
        <f>IFERROR(__xludf.DUMMYFUNCTION("""COMPUTED_VALUE"""),"#REF!")</f>
        <v>#REF!</v>
      </c>
      <c r="N2999" s="17"/>
      <c r="O2999" s="17"/>
      <c r="P2999" s="17" t="b">
        <f>IFERROR(__xludf.DUMMYFUNCTION("""COMPUTED_VALUE"""),FALSE)</f>
        <v>0</v>
      </c>
      <c r="Q2999" s="20" t="str">
        <f>IFERROR(__xludf.DUMMYFUNCTION("""COMPUTED_VALUE"""),"")</f>
        <v/>
      </c>
      <c r="R2999" s="21" t="str">
        <f>IFERROR(__xludf.DUMMYFUNCTION("""COMPUTED_VALUE"""),"https://drive.google.com/file/d/1DVHscI_T2Ns0sxI2LqaqJd5E74Xl9hzh/view?usp=drivesdk")</f>
        <v>https://drive.google.com/file/d/1DVHscI_T2Ns0sxI2LqaqJd5E74Xl9hzh/view?usp=drivesdk</v>
      </c>
    </row>
    <row r="3000">
      <c r="A3000" s="15">
        <f>IFERROR(__xludf.DUMMYFUNCTION("""COMPUTED_VALUE"""),45086.0)</f>
        <v>45086</v>
      </c>
      <c r="B3000" s="16" t="str">
        <f>IFERROR(__xludf.DUMMYFUNCTION("""COMPUTED_VALUE"""),"Oscar Augusto Meneses Osias")</f>
        <v>Oscar Augusto Meneses Osias</v>
      </c>
      <c r="C3000" s="15" t="str">
        <f>IFERROR(__xludf.DUMMYFUNCTION("""COMPUTED_VALUE"""),"MEDELLÍN")</f>
        <v>MEDELLÍN</v>
      </c>
      <c r="D3000" s="15" t="str">
        <f>IFERROR(__xludf.DUMMYFUNCTION("""COMPUTED_VALUE"""),"BOGOTÁ")</f>
        <v>BOGOTÁ</v>
      </c>
      <c r="E3000" s="15" t="str">
        <f>IFERROR(__xludf.DUMMYFUNCTION("""COMPUTED_VALUE"""),"Petit Wip")</f>
        <v>Petit Wip</v>
      </c>
      <c r="F3000" s="17" t="str">
        <f>IFERROR(__xludf.DUMMYFUNCTION("""COMPUTED_VALUE"""),"calle 48f sur #42c - 103 / bloque 7.16 int 301 / queda arriba de la panadería “panes y rones” y abajo de la unidad Zúrich Apartamentos")</f>
        <v>calle 48f sur #42c - 103 / bloque 7.16 int 301 / queda arriba de la panadería “panes y rones” y abajo de la unidad Zúrich Apartamentos</v>
      </c>
      <c r="G3000" s="15" t="str">
        <f>IFERROR(__xludf.DUMMYFUNCTION("""COMPUTED_VALUE"""),"Julián Bermúdez")</f>
        <v>Julián Bermúdez</v>
      </c>
      <c r="H3000" s="16">
        <f>IFERROR(__xludf.DUMMYFUNCTION("""COMPUTED_VALUE"""),11529.0)</f>
        <v>11529</v>
      </c>
      <c r="I3000" s="18">
        <f>IFERROR(__xludf.DUMMYFUNCTION("""COMPUTED_VALUE"""),12.0)</f>
        <v>12</v>
      </c>
      <c r="J3000" s="18">
        <f>IFERROR(__xludf.DUMMYFUNCTION("""COMPUTED_VALUE"""),30.0)</f>
        <v>30</v>
      </c>
      <c r="K3000" s="18">
        <f>IFERROR(__xludf.DUMMYFUNCTION("""COMPUTED_VALUE"""),30.0)</f>
        <v>30</v>
      </c>
      <c r="L3000" s="17">
        <f>IFERROR(__xludf.DUMMYFUNCTION("""COMPUTED_VALUE"""),3.18800008E9)</f>
        <v>3188000080</v>
      </c>
      <c r="M3000" s="17" t="str">
        <f>IFERROR(__xludf.DUMMYFUNCTION("""COMPUTED_VALUE"""),"#REF!")</f>
        <v>#REF!</v>
      </c>
      <c r="N3000" s="17"/>
      <c r="O3000" s="17"/>
      <c r="P3000" s="17" t="b">
        <f>IFERROR(__xludf.DUMMYFUNCTION("""COMPUTED_VALUE"""),TRUE)</f>
        <v>1</v>
      </c>
      <c r="Q3000" s="20">
        <f>IFERROR(__xludf.DUMMYFUNCTION("""COMPUTED_VALUE"""),45091.44265336805)</f>
        <v>45091.44265</v>
      </c>
      <c r="R3000" s="21" t="str">
        <f>IFERROR(__xludf.DUMMYFUNCTION("""COMPUTED_VALUE"""),"https://drive.google.com/file/d/1yIStELn4EoEhM8fc3l2ehNok7GYHXkZi/view?usp=drivesdk")</f>
        <v>https://drive.google.com/file/d/1yIStELn4EoEhM8fc3l2ehNok7GYHXkZi/view?usp=drivesdk</v>
      </c>
    </row>
    <row r="3001">
      <c r="A3001" s="15">
        <f>IFERROR(__xludf.DUMMYFUNCTION("""COMPUTED_VALUE"""),45086.0)</f>
        <v>45086</v>
      </c>
      <c r="B3001" s="16" t="str">
        <f>IFERROR(__xludf.DUMMYFUNCTION("""COMPUTED_VALUE"""),"Oscar Augusto Meneses Osias")</f>
        <v>Oscar Augusto Meneses Osias</v>
      </c>
      <c r="C3001" s="15" t="str">
        <f>IFERROR(__xludf.DUMMYFUNCTION("""COMPUTED_VALUE"""),"MEDELLÍN")</f>
        <v>MEDELLÍN</v>
      </c>
      <c r="D3001" s="15" t="str">
        <f>IFERROR(__xludf.DUMMYFUNCTION("""COMPUTED_VALUE"""),"BOGOTÁ")</f>
        <v>BOGOTÁ</v>
      </c>
      <c r="E3001" s="15" t="str">
        <f>IFERROR(__xludf.DUMMYFUNCTION("""COMPUTED_VALUE"""),"Renata Medellín")</f>
        <v>Renata Medellín</v>
      </c>
      <c r="F3001" s="17" t="str">
        <f>IFERROR(__xludf.DUMMYFUNCTION("""COMPUTED_VALUE"""),"Carrera 32d#9-43 / Seline y cowork -restaurante  / Provenza")</f>
        <v>Carrera 32d#9-43 / Seline y cowork -restaurante  / Provenza</v>
      </c>
      <c r="G3001" s="15" t="str">
        <f>IFERROR(__xludf.DUMMYFUNCTION("""COMPUTED_VALUE"""),"Front y back Hospitality group")</f>
        <v>Front y back Hospitality group</v>
      </c>
      <c r="H3001" s="16">
        <f>IFERROR(__xludf.DUMMYFUNCTION("""COMPUTED_VALUE"""),11563.0)</f>
        <v>11563</v>
      </c>
      <c r="I3001" s="18">
        <f>IFERROR(__xludf.DUMMYFUNCTION("""COMPUTED_VALUE"""),55.0)</f>
        <v>55</v>
      </c>
      <c r="J3001" s="18">
        <f>IFERROR(__xludf.DUMMYFUNCTION("""COMPUTED_VALUE"""),45.0)</f>
        <v>45</v>
      </c>
      <c r="K3001" s="18" t="str">
        <f>IFERROR(__xludf.DUMMYFUNCTION("""COMPUTED_VALUE"""),"52.5")</f>
        <v>52.5</v>
      </c>
      <c r="L3001" s="17">
        <f>IFERROR(__xludf.DUMMYFUNCTION("""COMPUTED_VALUE"""),3.104047368E9)</f>
        <v>3104047368</v>
      </c>
      <c r="M3001" s="17" t="str">
        <f>IFERROR(__xludf.DUMMYFUNCTION("""COMPUTED_VALUE"""),"#REF!")</f>
        <v>#REF!</v>
      </c>
      <c r="N3001" s="17"/>
      <c r="O3001" s="17"/>
      <c r="P3001" s="17" t="b">
        <f>IFERROR(__xludf.DUMMYFUNCTION("""COMPUTED_VALUE"""),TRUE)</f>
        <v>1</v>
      </c>
      <c r="Q3001" s="20">
        <f>IFERROR(__xludf.DUMMYFUNCTION("""COMPUTED_VALUE"""),45091.44265336805)</f>
        <v>45091.44265</v>
      </c>
      <c r="R3001" s="21" t="str">
        <f>IFERROR(__xludf.DUMMYFUNCTION("""COMPUTED_VALUE"""),"https://drive.google.com/file/d/1P3c_QJtmTYCbHnY1ngvXE3M5pDrbNzaH/view?usp=drivesdk")</f>
        <v>https://drive.google.com/file/d/1P3c_QJtmTYCbHnY1ngvXE3M5pDrbNzaH/view?usp=drivesdk</v>
      </c>
    </row>
    <row r="3002">
      <c r="A3002" s="15">
        <f>IFERROR(__xludf.DUMMYFUNCTION("""COMPUTED_VALUE"""),45086.0)</f>
        <v>45086</v>
      </c>
      <c r="B3002" s="16" t="str">
        <f>IFERROR(__xludf.DUMMYFUNCTION("""COMPUTED_VALUE"""),"Oscar Augusto Meneses Osias")</f>
        <v>Oscar Augusto Meneses Osias</v>
      </c>
      <c r="C3002" s="15" t="str">
        <f>IFERROR(__xludf.DUMMYFUNCTION("""COMPUTED_VALUE"""),"MEDELLÍN")</f>
        <v>MEDELLÍN</v>
      </c>
      <c r="D3002" s="15" t="str">
        <f>IFERROR(__xludf.DUMMYFUNCTION("""COMPUTED_VALUE"""),"BOGOTÁ")</f>
        <v>BOGOTÁ</v>
      </c>
      <c r="E3002" s="15" t="str">
        <f>IFERROR(__xludf.DUMMYFUNCTION("""COMPUTED_VALUE"""),"Top Spun")</f>
        <v>Top Spun</v>
      </c>
      <c r="F3002" s="17" t="str">
        <f>IFERROR(__xludf.DUMMYFUNCTION("""COMPUTED_VALUE"""),"CALLE 16A SUR #30-33 / APT 102, EDIFICIO RINCON DEL CAMPESTRE / MEDELLIN")</f>
        <v>CALLE 16A SUR #30-33 / APT 102, EDIFICIO RINCON DEL CAMPESTRE / MEDELLIN</v>
      </c>
      <c r="G3002" s="15" t="str">
        <f>IFERROR(__xludf.DUMMYFUNCTION("""COMPUTED_VALUE"""),"MARIANA URIBE")</f>
        <v>MARIANA URIBE</v>
      </c>
      <c r="H3002" s="16">
        <f>IFERROR(__xludf.DUMMYFUNCTION("""COMPUTED_VALUE"""),11521.0)</f>
        <v>11521</v>
      </c>
      <c r="I3002" s="18">
        <f>IFERROR(__xludf.DUMMYFUNCTION("""COMPUTED_VALUE"""),20.0)</f>
        <v>20</v>
      </c>
      <c r="J3002" s="18">
        <f>IFERROR(__xludf.DUMMYFUNCTION("""COMPUTED_VALUE"""),10.0)</f>
        <v>10</v>
      </c>
      <c r="K3002" s="18">
        <f>IFERROR(__xludf.DUMMYFUNCTION("""COMPUTED_VALUE"""),40.0)</f>
        <v>40</v>
      </c>
      <c r="L3002" s="17">
        <f>IFERROR(__xludf.DUMMYFUNCTION("""COMPUTED_VALUE"""),1.3057767336E10)</f>
        <v>13057767336</v>
      </c>
      <c r="M3002" s="17" t="str">
        <f>IFERROR(__xludf.DUMMYFUNCTION("""COMPUTED_VALUE"""),"#REF!")</f>
        <v>#REF!</v>
      </c>
      <c r="N3002" s="17"/>
      <c r="O3002" s="17"/>
      <c r="P3002" s="17" t="b">
        <f>IFERROR(__xludf.DUMMYFUNCTION("""COMPUTED_VALUE"""),FALSE)</f>
        <v>0</v>
      </c>
      <c r="Q3002" s="20" t="str">
        <f>IFERROR(__xludf.DUMMYFUNCTION("""COMPUTED_VALUE"""),"")</f>
        <v/>
      </c>
      <c r="R3002" s="21" t="str">
        <f>IFERROR(__xludf.DUMMYFUNCTION("""COMPUTED_VALUE"""),"https://drive.google.com/file/d/1otljU0wI5hhDLqcuisoRZef2ZcAQmx7r/view?usp=drivesdk")</f>
        <v>https://drive.google.com/file/d/1otljU0wI5hhDLqcuisoRZef2ZcAQmx7r/view?usp=drivesdk</v>
      </c>
    </row>
    <row r="3003">
      <c r="A3003" s="17" t="str">
        <f>IFERROR(__xludf.DUMMYFUNCTION("""COMPUTED_VALUE"""),"")</f>
        <v/>
      </c>
      <c r="B3003" s="17" t="str">
        <f>IFERROR(__xludf.DUMMYFUNCTION("""COMPUTED_VALUE"""),"")</f>
        <v/>
      </c>
      <c r="C3003" s="17" t="str">
        <f>IFERROR(__xludf.DUMMYFUNCTION("""COMPUTED_VALUE"""),"")</f>
        <v/>
      </c>
      <c r="D3003" s="17" t="str">
        <f>IFERROR(__xludf.DUMMYFUNCTION("""COMPUTED_VALUE"""),"")</f>
        <v/>
      </c>
      <c r="E3003" s="17" t="str">
        <f>IFERROR(__xludf.DUMMYFUNCTION("""COMPUTED_VALUE"""),"")</f>
        <v/>
      </c>
      <c r="F3003" s="17" t="str">
        <f>IFERROR(__xludf.DUMMYFUNCTION("""COMPUTED_VALUE"""),"")</f>
        <v/>
      </c>
      <c r="G3003" s="17" t="str">
        <f>IFERROR(__xludf.DUMMYFUNCTION("""COMPUTED_VALUE"""),"")</f>
        <v/>
      </c>
      <c r="H3003" s="17" t="str">
        <f>IFERROR(__xludf.DUMMYFUNCTION("""COMPUTED_VALUE"""),"")</f>
        <v/>
      </c>
      <c r="I3003" s="17" t="str">
        <f>IFERROR(__xludf.DUMMYFUNCTION("""COMPUTED_VALUE"""),"")</f>
        <v/>
      </c>
      <c r="J3003" s="17" t="str">
        <f>IFERROR(__xludf.DUMMYFUNCTION("""COMPUTED_VALUE"""),"")</f>
        <v/>
      </c>
      <c r="K3003" s="17" t="str">
        <f>IFERROR(__xludf.DUMMYFUNCTION("""COMPUTED_VALUE"""),"")</f>
        <v/>
      </c>
      <c r="L3003" s="17" t="str">
        <f>IFERROR(__xludf.DUMMYFUNCTION("""COMPUTED_VALUE"""),"")</f>
        <v/>
      </c>
      <c r="M3003" s="17" t="str">
        <f>IFERROR(__xludf.DUMMYFUNCTION("""COMPUTED_VALUE"""),"")</f>
        <v/>
      </c>
      <c r="N3003" s="17" t="str">
        <f>IFERROR(__xludf.DUMMYFUNCTION("""COMPUTED_VALUE"""),"")</f>
        <v/>
      </c>
      <c r="O3003" s="17" t="str">
        <f>IFERROR(__xludf.DUMMYFUNCTION("""COMPUTED_VALUE"""),"")</f>
        <v/>
      </c>
      <c r="P3003" s="17" t="str">
        <f>IFERROR(__xludf.DUMMYFUNCTION("""COMPUTED_VALUE"""),"")</f>
        <v/>
      </c>
      <c r="Q3003" s="17" t="str">
        <f>IFERROR(__xludf.DUMMYFUNCTION("""COMPUTED_VALUE"""),"")</f>
        <v/>
      </c>
      <c r="R3003" s="17" t="str">
        <f>IFERROR(__xludf.DUMMYFUNCTION("""COMPUTED_VALUE"""),"")</f>
        <v/>
      </c>
    </row>
    <row r="3004">
      <c r="A3004" s="15">
        <f>IFERROR(__xludf.DUMMYFUNCTION("""COMPUTED_VALUE"""),45091.0)</f>
        <v>45091</v>
      </c>
      <c r="B3004" s="17"/>
      <c r="C3004" s="15" t="str">
        <f>IFERROR(__xludf.DUMMYFUNCTION("""COMPUTED_VALUE"""),"BUCARAMANGA")</f>
        <v>BUCARAMANGA</v>
      </c>
      <c r="D3004" s="15" t="str">
        <f>IFERROR(__xludf.DUMMYFUNCTION("""COMPUTED_VALUE"""),"MEDELLÍN")</f>
        <v>MEDELLÍN</v>
      </c>
      <c r="E3004" s="15" t="str">
        <f>IFERROR(__xludf.DUMMYFUNCTION("""COMPUTED_VALUE"""),"Moloso S.A.S")</f>
        <v>Moloso S.A.S</v>
      </c>
      <c r="F3004" s="17" t="str">
        <f>IFERROR(__xludf.DUMMYFUNCTION("""COMPUTED_VALUE"""),"CR 27A 15 01 / APT 103")</f>
        <v>CR 27A 15 01 / APT 103</v>
      </c>
      <c r="G3004" s="15" t="str">
        <f>IFERROR(__xludf.DUMMYFUNCTION("""COMPUTED_VALUE"""),"JUANITA CATALINA PEREIRA CARDEÑO")</f>
        <v>JUANITA CATALINA PEREIRA CARDEÑO</v>
      </c>
      <c r="H3004" s="16">
        <f>IFERROR(__xludf.DUMMYFUNCTION("""COMPUTED_VALUE"""),11676.0)</f>
        <v>11676</v>
      </c>
      <c r="I3004" s="18">
        <f>IFERROR(__xludf.DUMMYFUNCTION("""COMPUTED_VALUE"""),17.0)</f>
        <v>17</v>
      </c>
      <c r="J3004" s="18">
        <f>IFERROR(__xludf.DUMMYFUNCTION("""COMPUTED_VALUE"""),15.0)</f>
        <v>15</v>
      </c>
      <c r="K3004" s="18">
        <f>IFERROR(__xludf.DUMMYFUNCTION("""COMPUTED_VALUE"""),28.0)</f>
        <v>28</v>
      </c>
      <c r="L3004" s="17" t="str">
        <f>IFERROR(__xludf.DUMMYFUNCTION("""COMPUTED_VALUE"""),"301 3824871")</f>
        <v>301 3824871</v>
      </c>
      <c r="M3004" s="17" t="str">
        <f>IFERROR(__xludf.DUMMYFUNCTION("""COMPUTED_VALUE"""),"#REF!")</f>
        <v>#REF!</v>
      </c>
      <c r="N3004" s="17"/>
      <c r="O3004" s="17"/>
      <c r="P3004" s="17" t="b">
        <f>IFERROR(__xludf.DUMMYFUNCTION("""COMPUTED_VALUE"""),FALSE)</f>
        <v>0</v>
      </c>
      <c r="Q3004" s="20" t="str">
        <f>IFERROR(__xludf.DUMMYFUNCTION("""COMPUTED_VALUE"""),"")</f>
        <v/>
      </c>
      <c r="R3004" s="21" t="str">
        <f>IFERROR(__xludf.DUMMYFUNCTION("""COMPUTED_VALUE"""),"https://drive.google.com/file/d/1hGAXpy3vE54Fy_7jOZMBCWKCayITL5DP/view?usp=drivesdk")</f>
        <v>https://drive.google.com/file/d/1hGAXpy3vE54Fy_7jOZMBCWKCayITL5DP/view?usp=drivesdk</v>
      </c>
    </row>
    <row r="3005">
      <c r="A3005" s="15">
        <f>IFERROR(__xludf.DUMMYFUNCTION("""COMPUTED_VALUE"""),45091.0)</f>
        <v>45091</v>
      </c>
      <c r="B3005" s="17"/>
      <c r="C3005" s="15" t="str">
        <f>IFERROR(__xludf.DUMMYFUNCTION("""COMPUTED_VALUE"""),"PEREIRA")</f>
        <v>PEREIRA</v>
      </c>
      <c r="D3005" s="15" t="str">
        <f>IFERROR(__xludf.DUMMYFUNCTION("""COMPUTED_VALUE"""),"MEDELLÍN")</f>
        <v>MEDELLÍN</v>
      </c>
      <c r="E3005" s="15" t="str">
        <f>IFERROR(__xludf.DUMMYFUNCTION("""COMPUTED_VALUE"""),"Rambla")</f>
        <v>Rambla</v>
      </c>
      <c r="F3005" s="17" t="str">
        <f>IFERROR(__xludf.DUMMYFUNCTION("""COMPUTED_VALUE"""),"Cra 23 14 148 Trilogia apto 1505 torre1 -  Pereira. / na / na")</f>
        <v>Cra 23 14 148 Trilogia apto 1505 torre1 -  Pereira. / na / na</v>
      </c>
      <c r="G3005" s="15" t="str">
        <f>IFERROR(__xludf.DUMMYFUNCTION("""COMPUTED_VALUE"""),"nutrishop")</f>
        <v>nutrishop</v>
      </c>
      <c r="H3005" s="16">
        <f>IFERROR(__xludf.DUMMYFUNCTION("""COMPUTED_VALUE"""),11683.0)</f>
        <v>11683</v>
      </c>
      <c r="I3005" s="18">
        <f>IFERROR(__xludf.DUMMYFUNCTION("""COMPUTED_VALUE"""),17.0)</f>
        <v>17</v>
      </c>
      <c r="J3005" s="18">
        <f>IFERROR(__xludf.DUMMYFUNCTION("""COMPUTED_VALUE"""),22.0)</f>
        <v>22</v>
      </c>
      <c r="K3005" s="18">
        <f>IFERROR(__xludf.DUMMYFUNCTION("""COMPUTED_VALUE"""),25.0)</f>
        <v>25</v>
      </c>
      <c r="L3005" s="17">
        <f>IFERROR(__xludf.DUMMYFUNCTION("""COMPUTED_VALUE"""),3.10379892E9)</f>
        <v>3103798920</v>
      </c>
      <c r="M3005" s="17" t="str">
        <f>IFERROR(__xludf.DUMMYFUNCTION("""COMPUTED_VALUE"""),"#REF!")</f>
        <v>#REF!</v>
      </c>
      <c r="N3005" s="17"/>
      <c r="O3005" s="17"/>
      <c r="P3005" s="17" t="b">
        <f>IFERROR(__xludf.DUMMYFUNCTION("""COMPUTED_VALUE"""),FALSE)</f>
        <v>0</v>
      </c>
      <c r="Q3005" s="20" t="str">
        <f>IFERROR(__xludf.DUMMYFUNCTION("""COMPUTED_VALUE"""),"")</f>
        <v/>
      </c>
      <c r="R3005" s="21" t="str">
        <f>IFERROR(__xludf.DUMMYFUNCTION("""COMPUTED_VALUE"""),"https://drive.google.com/file/d/1quXr8uUAlTfBiNk2eOdoS_oA7nWUJlPH/view?usp=drivesdk")</f>
        <v>https://drive.google.com/file/d/1quXr8uUAlTfBiNk2eOdoS_oA7nWUJlPH/view?usp=drivesdk</v>
      </c>
    </row>
    <row r="3006">
      <c r="A3006" s="17" t="str">
        <f>IFERROR(__xludf.DUMMYFUNCTION("""COMPUTED_VALUE"""),"")</f>
        <v/>
      </c>
      <c r="B3006" s="17" t="str">
        <f>IFERROR(__xludf.DUMMYFUNCTION("""COMPUTED_VALUE"""),"")</f>
        <v/>
      </c>
      <c r="C3006" s="17" t="str">
        <f>IFERROR(__xludf.DUMMYFUNCTION("""COMPUTED_VALUE"""),"")</f>
        <v/>
      </c>
      <c r="D3006" s="17" t="str">
        <f>IFERROR(__xludf.DUMMYFUNCTION("""COMPUTED_VALUE"""),"")</f>
        <v/>
      </c>
      <c r="E3006" s="17" t="str">
        <f>IFERROR(__xludf.DUMMYFUNCTION("""COMPUTED_VALUE"""),"")</f>
        <v/>
      </c>
      <c r="F3006" s="17" t="str">
        <f>IFERROR(__xludf.DUMMYFUNCTION("""COMPUTED_VALUE"""),"")</f>
        <v/>
      </c>
      <c r="G3006" s="17" t="str">
        <f>IFERROR(__xludf.DUMMYFUNCTION("""COMPUTED_VALUE"""),"")</f>
        <v/>
      </c>
      <c r="H3006" s="17" t="str">
        <f>IFERROR(__xludf.DUMMYFUNCTION("""COMPUTED_VALUE"""),"")</f>
        <v/>
      </c>
      <c r="I3006" s="17" t="str">
        <f>IFERROR(__xludf.DUMMYFUNCTION("""COMPUTED_VALUE"""),"")</f>
        <v/>
      </c>
      <c r="J3006" s="17" t="str">
        <f>IFERROR(__xludf.DUMMYFUNCTION("""COMPUTED_VALUE"""),"")</f>
        <v/>
      </c>
      <c r="K3006" s="17" t="str">
        <f>IFERROR(__xludf.DUMMYFUNCTION("""COMPUTED_VALUE"""),"")</f>
        <v/>
      </c>
      <c r="L3006" s="17" t="str">
        <f>IFERROR(__xludf.DUMMYFUNCTION("""COMPUTED_VALUE"""),"")</f>
        <v/>
      </c>
      <c r="M3006" s="17" t="str">
        <f>IFERROR(__xludf.DUMMYFUNCTION("""COMPUTED_VALUE"""),"")</f>
        <v/>
      </c>
      <c r="N3006" s="17" t="str">
        <f>IFERROR(__xludf.DUMMYFUNCTION("""COMPUTED_VALUE"""),"")</f>
        <v/>
      </c>
      <c r="O3006" s="17" t="str">
        <f>IFERROR(__xludf.DUMMYFUNCTION("""COMPUTED_VALUE"""),"")</f>
        <v/>
      </c>
      <c r="P3006" s="17" t="str">
        <f>IFERROR(__xludf.DUMMYFUNCTION("""COMPUTED_VALUE"""),"")</f>
        <v/>
      </c>
      <c r="Q3006" s="17" t="str">
        <f>IFERROR(__xludf.DUMMYFUNCTION("""COMPUTED_VALUE"""),"")</f>
        <v/>
      </c>
      <c r="R3006" s="17" t="str">
        <f>IFERROR(__xludf.DUMMYFUNCTION("""COMPUTED_VALUE"""),"")</f>
        <v/>
      </c>
    </row>
    <row r="3007">
      <c r="A3007" s="15">
        <f>IFERROR(__xludf.DUMMYFUNCTION("""COMPUTED_VALUE"""),45091.0)</f>
        <v>45091</v>
      </c>
      <c r="B3007" s="16" t="str">
        <f>IFERROR(__xludf.DUMMYFUNCTION("""COMPUTED_VALUE"""),"Carlos Andres Pirachican Numpaque (Mayerli)")</f>
        <v>Carlos Andres Pirachican Numpaque (Mayerli)</v>
      </c>
      <c r="C3007" s="15" t="str">
        <f>IFERROR(__xludf.DUMMYFUNCTION("""COMPUTED_VALUE"""),"MEDELLÍN")</f>
        <v>MEDELLÍN</v>
      </c>
      <c r="D3007" s="15" t="str">
        <f>IFERROR(__xludf.DUMMYFUNCTION("""COMPUTED_VALUE"""),"BOGOTÁ")</f>
        <v>BOGOTÁ</v>
      </c>
      <c r="E3007" s="15" t="str">
        <f>IFERROR(__xludf.DUMMYFUNCTION("""COMPUTED_VALUE"""),"Viiva Fermentados")</f>
        <v>Viiva Fermentados</v>
      </c>
      <c r="F3007" s="17" t="str">
        <f>IFERROR(__xludf.DUMMYFUNCTION("""COMPUTED_VALUE"""),"Transversal 39b#77-48 / interior 302 / Laureles")</f>
        <v>Transversal 39b#77-48 / interior 302 / Laureles</v>
      </c>
      <c r="G3007" s="15" t="str">
        <f>IFERROR(__xludf.DUMMYFUNCTION("""COMPUTED_VALUE"""),"VITA INTEGRAL SAS")</f>
        <v>VITA INTEGRAL SAS</v>
      </c>
      <c r="H3007" s="16">
        <f>IFERROR(__xludf.DUMMYFUNCTION("""COMPUTED_VALUE"""),11599.0)</f>
        <v>11599</v>
      </c>
      <c r="I3007" s="18">
        <f>IFERROR(__xludf.DUMMYFUNCTION("""COMPUTED_VALUE"""),15.0)</f>
        <v>15</v>
      </c>
      <c r="J3007" s="18">
        <f>IFERROR(__xludf.DUMMYFUNCTION("""COMPUTED_VALUE"""),24.0)</f>
        <v>24</v>
      </c>
      <c r="K3007" s="18">
        <f>IFERROR(__xludf.DUMMYFUNCTION("""COMPUTED_VALUE"""),36.0)</f>
        <v>36</v>
      </c>
      <c r="L3007" s="17">
        <f>IFERROR(__xludf.DUMMYFUNCTION("""COMPUTED_VALUE"""),3.188473468E9)</f>
        <v>3188473468</v>
      </c>
      <c r="M3007" s="17" t="str">
        <f>IFERROR(__xludf.DUMMYFUNCTION("""COMPUTED_VALUE"""),"#REF!")</f>
        <v>#REF!</v>
      </c>
      <c r="N3007" s="17"/>
      <c r="O3007" s="17"/>
      <c r="P3007" s="17" t="b">
        <f>IFERROR(__xludf.DUMMYFUNCTION("""COMPUTED_VALUE"""),FALSE)</f>
        <v>0</v>
      </c>
      <c r="Q3007" s="20" t="str">
        <f>IFERROR(__xludf.DUMMYFUNCTION("""COMPUTED_VALUE"""),"")</f>
        <v/>
      </c>
      <c r="R3007" s="21" t="str">
        <f>IFERROR(__xludf.DUMMYFUNCTION("""COMPUTED_VALUE"""),"https://drive.google.com/file/d/1_EXrKRsIO00smmnj9m5RCgqD31RRtUNe/view?usp=drivesdk")</f>
        <v>https://drive.google.com/file/d/1_EXrKRsIO00smmnj9m5RCgqD31RRtUNe/view?usp=drivesdk</v>
      </c>
    </row>
    <row r="3008">
      <c r="A3008" s="15">
        <f>IFERROR(__xludf.DUMMYFUNCTION("""COMPUTED_VALUE"""),45091.0)</f>
        <v>45091</v>
      </c>
      <c r="B3008" s="16" t="str">
        <f>IFERROR(__xludf.DUMMYFUNCTION("""COMPUTED_VALUE"""),"Carlos Andres Pirachican Numpaque (Mayerli)")</f>
        <v>Carlos Andres Pirachican Numpaque (Mayerli)</v>
      </c>
      <c r="C3008" s="15" t="str">
        <f>IFERROR(__xludf.DUMMYFUNCTION("""COMPUTED_VALUE"""),"TUNJA")</f>
        <v>TUNJA</v>
      </c>
      <c r="D3008" s="15" t="str">
        <f>IFERROR(__xludf.DUMMYFUNCTION("""COMPUTED_VALUE"""),"BOGOTÁ")</f>
        <v>BOGOTÁ</v>
      </c>
      <c r="E3008" s="15" t="str">
        <f>IFERROR(__xludf.DUMMYFUNCTION("""COMPUTED_VALUE"""),"Evamazzita")</f>
        <v>Evamazzita</v>
      </c>
      <c r="F3008" s="17" t="str">
        <f>IFERROR(__xludf.DUMMYFUNCTION("""COMPUTED_VALUE"""),"CARRERA 2 A # 47 - 77  / N/A / BARRIO LAS QUINTAS")</f>
        <v>CARRERA 2 A # 47 - 77  / N/A / BARRIO LAS QUINTAS</v>
      </c>
      <c r="G3008" s="15" t="str">
        <f>IFERROR(__xludf.DUMMYFUNCTION("""COMPUTED_VALUE"""),"ASTRID CAROLINA CHOCONTA LEON")</f>
        <v>ASTRID CAROLINA CHOCONTA LEON</v>
      </c>
      <c r="H3008" s="16">
        <f>IFERROR(__xludf.DUMMYFUNCTION("""COMPUTED_VALUE"""),11659.0)</f>
        <v>11659</v>
      </c>
      <c r="I3008" s="18">
        <f>IFERROR(__xludf.DUMMYFUNCTION("""COMPUTED_VALUE"""),3.0)</f>
        <v>3</v>
      </c>
      <c r="J3008" s="18">
        <f>IFERROR(__xludf.DUMMYFUNCTION("""COMPUTED_VALUE"""),20.0)</f>
        <v>20</v>
      </c>
      <c r="K3008" s="18">
        <f>IFERROR(__xludf.DUMMYFUNCTION("""COMPUTED_VALUE"""),15.0)</f>
        <v>15</v>
      </c>
      <c r="L3008" s="17">
        <f>IFERROR(__xludf.DUMMYFUNCTION("""COMPUTED_VALUE"""),3.143440914E9)</f>
        <v>3143440914</v>
      </c>
      <c r="M3008" s="17" t="str">
        <f>IFERROR(__xludf.DUMMYFUNCTION("""COMPUTED_VALUE"""),"#REF!")</f>
        <v>#REF!</v>
      </c>
      <c r="N3008" s="17"/>
      <c r="O3008" s="17"/>
      <c r="P3008" s="17" t="b">
        <f>IFERROR(__xludf.DUMMYFUNCTION("""COMPUTED_VALUE"""),FALSE)</f>
        <v>0</v>
      </c>
      <c r="Q3008" s="20" t="str">
        <f>IFERROR(__xludf.DUMMYFUNCTION("""COMPUTED_VALUE"""),"")</f>
        <v/>
      </c>
      <c r="R3008" s="22" t="str">
        <f>IFERROR(__xludf.DUMMYFUNCTION("""COMPUTED_VALUE"""),"")</f>
        <v/>
      </c>
    </row>
    <row r="3009">
      <c r="A3009" s="17" t="str">
        <f>IFERROR(__xludf.DUMMYFUNCTION("""COMPUTED_VALUE"""),"")</f>
        <v/>
      </c>
      <c r="B3009" s="17" t="str">
        <f>IFERROR(__xludf.DUMMYFUNCTION("""COMPUTED_VALUE"""),"")</f>
        <v/>
      </c>
      <c r="C3009" s="17" t="str">
        <f>IFERROR(__xludf.DUMMYFUNCTION("""COMPUTED_VALUE"""),"")</f>
        <v/>
      </c>
      <c r="D3009" s="17" t="str">
        <f>IFERROR(__xludf.DUMMYFUNCTION("""COMPUTED_VALUE"""),"")</f>
        <v/>
      </c>
      <c r="E3009" s="17" t="str">
        <f>IFERROR(__xludf.DUMMYFUNCTION("""COMPUTED_VALUE"""),"")</f>
        <v/>
      </c>
      <c r="F3009" s="17" t="str">
        <f>IFERROR(__xludf.DUMMYFUNCTION("""COMPUTED_VALUE"""),"")</f>
        <v/>
      </c>
      <c r="G3009" s="17" t="str">
        <f>IFERROR(__xludf.DUMMYFUNCTION("""COMPUTED_VALUE"""),"")</f>
        <v/>
      </c>
      <c r="H3009" s="17" t="str">
        <f>IFERROR(__xludf.DUMMYFUNCTION("""COMPUTED_VALUE"""),"")</f>
        <v/>
      </c>
      <c r="I3009" s="17" t="str">
        <f>IFERROR(__xludf.DUMMYFUNCTION("""COMPUTED_VALUE"""),"")</f>
        <v/>
      </c>
      <c r="J3009" s="17" t="str">
        <f>IFERROR(__xludf.DUMMYFUNCTION("""COMPUTED_VALUE"""),"")</f>
        <v/>
      </c>
      <c r="K3009" s="17" t="str">
        <f>IFERROR(__xludf.DUMMYFUNCTION("""COMPUTED_VALUE"""),"")</f>
        <v/>
      </c>
      <c r="L3009" s="17" t="str">
        <f>IFERROR(__xludf.DUMMYFUNCTION("""COMPUTED_VALUE"""),"")</f>
        <v/>
      </c>
      <c r="M3009" s="17" t="str">
        <f>IFERROR(__xludf.DUMMYFUNCTION("""COMPUTED_VALUE"""),"")</f>
        <v/>
      </c>
      <c r="N3009" s="17" t="str">
        <f>IFERROR(__xludf.DUMMYFUNCTION("""COMPUTED_VALUE"""),"")</f>
        <v/>
      </c>
      <c r="O3009" s="17" t="str">
        <f>IFERROR(__xludf.DUMMYFUNCTION("""COMPUTED_VALUE"""),"")</f>
        <v/>
      </c>
      <c r="P3009" s="17" t="str">
        <f>IFERROR(__xludf.DUMMYFUNCTION("""COMPUTED_VALUE"""),"")</f>
        <v/>
      </c>
      <c r="Q3009" s="17" t="str">
        <f>IFERROR(__xludf.DUMMYFUNCTION("""COMPUTED_VALUE"""),"")</f>
        <v/>
      </c>
      <c r="R3009" s="17" t="str">
        <f>IFERROR(__xludf.DUMMYFUNCTION("""COMPUTED_VALUE"""),"")</f>
        <v/>
      </c>
    </row>
    <row r="3010">
      <c r="A3010" s="15">
        <f>IFERROR(__xludf.DUMMYFUNCTION("""COMPUTED_VALUE"""),45091.0)</f>
        <v>45091</v>
      </c>
      <c r="B3010" s="16" t="str">
        <f>IFERROR(__xludf.DUMMYFUNCTION("""COMPUTED_VALUE"""),"Deivi Alejandro Quintero Corrales")</f>
        <v>Deivi Alejandro Quintero Corrales</v>
      </c>
      <c r="C3010" s="15" t="str">
        <f>IFERROR(__xludf.DUMMYFUNCTION("""COMPUTED_VALUE"""),"ARMENIA")</f>
        <v>ARMENIA</v>
      </c>
      <c r="D3010" s="15" t="str">
        <f>IFERROR(__xludf.DUMMYFUNCTION("""COMPUTED_VALUE"""),"MEDELLÍN")</f>
        <v>MEDELLÍN</v>
      </c>
      <c r="E3010" s="15" t="str">
        <f>IFERROR(__xludf.DUMMYFUNCTION("""COMPUTED_VALUE"""),"Puro Verde")</f>
        <v>Puro Verde</v>
      </c>
      <c r="F3010" s="17" t="str">
        <f>IFERROR(__xludf.DUMMYFUNCTION("""COMPUTED_VALUE"""),"CRA 10 # 11 N - 05. / APTO 405. TORRE 1. CONJUNTO RESIDENCIAL TERRA / BARRIO LA CASTELLANA")</f>
        <v>CRA 10 # 11 N - 05. / APTO 405. TORRE 1. CONJUNTO RESIDENCIAL TERRA / BARRIO LA CASTELLANA</v>
      </c>
      <c r="G3010" s="15" t="str">
        <f>IFERROR(__xludf.DUMMYFUNCTION("""COMPUTED_VALUE"""),"CLAUDIA VILLAMIZAR")</f>
        <v>CLAUDIA VILLAMIZAR</v>
      </c>
      <c r="H3010" s="16">
        <f>IFERROR(__xludf.DUMMYFUNCTION("""COMPUTED_VALUE"""),11586.0)</f>
        <v>11586</v>
      </c>
      <c r="I3010" s="18">
        <f>IFERROR(__xludf.DUMMYFUNCTION("""COMPUTED_VALUE"""),45034.0)</f>
        <v>45034</v>
      </c>
      <c r="J3010" s="18" t="str">
        <f>IFERROR(__xludf.DUMMYFUNCTION("""COMPUTED_VALUE"""),"32.2")</f>
        <v>32.2</v>
      </c>
      <c r="K3010" s="18" t="str">
        <f>IFERROR(__xludf.DUMMYFUNCTION("""COMPUTED_VALUE"""),"39.4")</f>
        <v>39.4</v>
      </c>
      <c r="L3010" s="17">
        <f>IFERROR(__xludf.DUMMYFUNCTION("""COMPUTED_VALUE"""),3.225175611E9)</f>
        <v>3225175611</v>
      </c>
      <c r="M3010" s="17" t="str">
        <f>IFERROR(__xludf.DUMMYFUNCTION("""COMPUTED_VALUE"""),"#REF!")</f>
        <v>#REF!</v>
      </c>
      <c r="N3010" s="17"/>
      <c r="O3010" s="17"/>
      <c r="P3010" s="17" t="b">
        <f>IFERROR(__xludf.DUMMYFUNCTION("""COMPUTED_VALUE"""),FALSE)</f>
        <v>0</v>
      </c>
      <c r="Q3010" s="20" t="str">
        <f>IFERROR(__xludf.DUMMYFUNCTION("""COMPUTED_VALUE"""),"")</f>
        <v/>
      </c>
      <c r="R3010" s="21" t="str">
        <f>IFERROR(__xludf.DUMMYFUNCTION("""COMPUTED_VALUE"""),"https://drive.google.com/file/d/1g8zvX1BTusBQ7mBE4IhIN9rGD_OKLHw7/view?usp=drivesdk")</f>
        <v>https://drive.google.com/file/d/1g8zvX1BTusBQ7mBE4IhIN9rGD_OKLHw7/view?usp=drivesdk</v>
      </c>
    </row>
    <row r="3011">
      <c r="A3011" s="15">
        <f>IFERROR(__xludf.DUMMYFUNCTION("""COMPUTED_VALUE"""),45091.0)</f>
        <v>45091</v>
      </c>
      <c r="B3011" s="16" t="str">
        <f>IFERROR(__xludf.DUMMYFUNCTION("""COMPUTED_VALUE"""),"Deivi Alejandro Quintero Corrales")</f>
        <v>Deivi Alejandro Quintero Corrales</v>
      </c>
      <c r="C3011" s="15" t="str">
        <f>IFERROR(__xludf.DUMMYFUNCTION("""COMPUTED_VALUE"""),"PEREIRA")</f>
        <v>PEREIRA</v>
      </c>
      <c r="D3011" s="15" t="str">
        <f>IFERROR(__xludf.DUMMYFUNCTION("""COMPUTED_VALUE"""),"BOGOTÁ")</f>
        <v>BOGOTÁ</v>
      </c>
      <c r="E3011" s="15" t="str">
        <f>IFERROR(__xludf.DUMMYFUNCTION("""COMPUTED_VALUE"""),"Ins. Alimento Vital")</f>
        <v>Ins. Alimento Vital</v>
      </c>
      <c r="F3011" s="17" t="str">
        <f>IFERROR(__xludf.DUMMYFUNCTION("""COMPUTED_VALUE"""),"CR 5 18 43 / EDIFICIO CHALJUB / BARRIO URIBE")</f>
        <v>CR 5 18 43 / EDIFICIO CHALJUB / BARRIO URIBE</v>
      </c>
      <c r="G3011" s="15" t="str">
        <f>IFERROR(__xludf.DUMMYFUNCTION("""COMPUTED_VALUE"""),"CHALJUB")</f>
        <v>CHALJUB</v>
      </c>
      <c r="H3011" s="16">
        <f>IFERROR(__xludf.DUMMYFUNCTION("""COMPUTED_VALUE"""),11622.0)</f>
        <v>11622</v>
      </c>
      <c r="I3011" s="18">
        <f>IFERROR(__xludf.DUMMYFUNCTION("""COMPUTED_VALUE"""),1.0)</f>
        <v>1</v>
      </c>
      <c r="J3011" s="18">
        <f>IFERROR(__xludf.DUMMYFUNCTION("""COMPUTED_VALUE"""),1.0)</f>
        <v>1</v>
      </c>
      <c r="K3011" s="18">
        <f>IFERROR(__xludf.DUMMYFUNCTION("""COMPUTED_VALUE"""),1.0)</f>
        <v>1</v>
      </c>
      <c r="L3011" s="17">
        <f>IFERROR(__xludf.DUMMYFUNCTION("""COMPUTED_VALUE"""),3.008252529E9)</f>
        <v>3008252529</v>
      </c>
      <c r="M3011" s="17" t="str">
        <f>IFERROR(__xludf.DUMMYFUNCTION("""COMPUTED_VALUE"""),"#REF!")</f>
        <v>#REF!</v>
      </c>
      <c r="N3011" s="17"/>
      <c r="O3011" s="17"/>
      <c r="P3011" s="17" t="b">
        <f>IFERROR(__xludf.DUMMYFUNCTION("""COMPUTED_VALUE"""),FALSE)</f>
        <v>0</v>
      </c>
      <c r="Q3011" s="20" t="str">
        <f>IFERROR(__xludf.DUMMYFUNCTION("""COMPUTED_VALUE"""),"")</f>
        <v/>
      </c>
      <c r="R3011" s="21" t="str">
        <f>IFERROR(__xludf.DUMMYFUNCTION("""COMPUTED_VALUE"""),"https://drive.google.com/file/d/1Fqoj1gimE7RlLPGAQZp5apDEFZbW7lN5/view?usp=drivesdk")</f>
        <v>https://drive.google.com/file/d/1Fqoj1gimE7RlLPGAQZp5apDEFZbW7lN5/view?usp=drivesdk</v>
      </c>
    </row>
    <row r="3012">
      <c r="A3012" s="15">
        <f>IFERROR(__xludf.DUMMYFUNCTION("""COMPUTED_VALUE"""),45091.0)</f>
        <v>45091</v>
      </c>
      <c r="B3012" s="16" t="str">
        <f>IFERROR(__xludf.DUMMYFUNCTION("""COMPUTED_VALUE"""),"Deivi Alejandro Quintero Corrales")</f>
        <v>Deivi Alejandro Quintero Corrales</v>
      </c>
      <c r="C3012" s="15" t="str">
        <f>IFERROR(__xludf.DUMMYFUNCTION("""COMPUTED_VALUE"""),"PEREIRA")</f>
        <v>PEREIRA</v>
      </c>
      <c r="D3012" s="15" t="str">
        <f>IFERROR(__xludf.DUMMYFUNCTION("""COMPUTED_VALUE"""),"BOGOTÁ")</f>
        <v>BOGOTÁ</v>
      </c>
      <c r="E3012" s="15" t="str">
        <f>IFERROR(__xludf.DUMMYFUNCTION("""COMPUTED_VALUE"""),"Lunchy Kids")</f>
        <v>Lunchy Kids</v>
      </c>
      <c r="F3012" s="17" t="str">
        <f>IFERROR(__xludf.DUMMYFUNCTION("""COMPUTED_VALUE"""),"Variante Condina, sector guacari  / condominio Villa del Bambu casa 6  / Pereira")</f>
        <v>Variante Condina, sector guacari  / condominio Villa del Bambu casa 6  / Pereira</v>
      </c>
      <c r="G3012" s="15" t="str">
        <f>IFERROR(__xludf.DUMMYFUNCTION("""COMPUTED_VALUE"""),"Luisa Fernanda Ortiz")</f>
        <v>Luisa Fernanda Ortiz</v>
      </c>
      <c r="H3012" s="16">
        <f>IFERROR(__xludf.DUMMYFUNCTION("""COMPUTED_VALUE"""),11592.0)</f>
        <v>11592</v>
      </c>
      <c r="I3012" s="18">
        <f>IFERROR(__xludf.DUMMYFUNCTION("""COMPUTED_VALUE"""),24.0)</f>
        <v>24</v>
      </c>
      <c r="J3012" s="18">
        <f>IFERROR(__xludf.DUMMYFUNCTION("""COMPUTED_VALUE"""),23.0)</f>
        <v>23</v>
      </c>
      <c r="K3012" s="18">
        <f>IFERROR(__xludf.DUMMYFUNCTION("""COMPUTED_VALUE"""),17.0)</f>
        <v>17</v>
      </c>
      <c r="L3012" s="17">
        <f>IFERROR(__xludf.DUMMYFUNCTION("""COMPUTED_VALUE"""),3.128089465E9)</f>
        <v>3128089465</v>
      </c>
      <c r="M3012" s="17" t="str">
        <f>IFERROR(__xludf.DUMMYFUNCTION("""COMPUTED_VALUE"""),"#REF!")</f>
        <v>#REF!</v>
      </c>
      <c r="N3012" s="17"/>
      <c r="O3012" s="17"/>
      <c r="P3012" s="17" t="b">
        <f>IFERROR(__xludf.DUMMYFUNCTION("""COMPUTED_VALUE"""),FALSE)</f>
        <v>0</v>
      </c>
      <c r="Q3012" s="20" t="str">
        <f>IFERROR(__xludf.DUMMYFUNCTION("""COMPUTED_VALUE"""),"")</f>
        <v/>
      </c>
      <c r="R3012" s="21" t="str">
        <f>IFERROR(__xludf.DUMMYFUNCTION("""COMPUTED_VALUE"""),"https://drive.google.com/file/d/1oac1976t-QwWTURytnof5vAWeP5jeA7R/view?usp=drivesdk")</f>
        <v>https://drive.google.com/file/d/1oac1976t-QwWTURytnof5vAWeP5jeA7R/view?usp=drivesdk</v>
      </c>
    </row>
    <row r="3013">
      <c r="A3013" s="15">
        <f>IFERROR(__xludf.DUMMYFUNCTION("""COMPUTED_VALUE"""),45091.0)</f>
        <v>45091</v>
      </c>
      <c r="B3013" s="16" t="str">
        <f>IFERROR(__xludf.DUMMYFUNCTION("""COMPUTED_VALUE"""),"Deivi Alejandro Quintero Corrales")</f>
        <v>Deivi Alejandro Quintero Corrales</v>
      </c>
      <c r="C3013" s="15" t="str">
        <f>IFERROR(__xludf.DUMMYFUNCTION("""COMPUTED_VALUE"""),"PEREIRA")</f>
        <v>PEREIRA</v>
      </c>
      <c r="D3013" s="15" t="str">
        <f>IFERROR(__xludf.DUMMYFUNCTION("""COMPUTED_VALUE"""),"BOGOTÁ")</f>
        <v>BOGOTÁ</v>
      </c>
      <c r="E3013" s="15" t="str">
        <f>IFERROR(__xludf.DUMMYFUNCTION("""COMPUTED_VALUE"""),"Pan de Waffle")</f>
        <v>Pan de Waffle</v>
      </c>
      <c r="F3013" s="17" t="str">
        <f>IFERROR(__xludf.DUMMYFUNCTION("""COMPUTED_VALUE"""),"Av. De las Americas Mercasa, zp 17 Bodega 2 - Pereira / Av. De las Americas Mercasa, zp 17 Bodega 2 - Pereira / Av. De las Americas Mercasa, zp 17 Bodega 2 - Pereira")</f>
        <v>Av. De las Americas Mercasa, zp 17 Bodega 2 - Pereira / Av. De las Americas Mercasa, zp 17 Bodega 2 - Pereira / Av. De las Americas Mercasa, zp 17 Bodega 2 - Pereira</v>
      </c>
      <c r="G3013" s="15" t="str">
        <f>IFERROR(__xludf.DUMMYFUNCTION("""COMPUTED_VALUE"""),"EL ORIGEN")</f>
        <v>EL ORIGEN</v>
      </c>
      <c r="H3013" s="16">
        <f>IFERROR(__xludf.DUMMYFUNCTION("""COMPUTED_VALUE"""),11663.0)</f>
        <v>11663</v>
      </c>
      <c r="I3013" s="18">
        <f>IFERROR(__xludf.DUMMYFUNCTION("""COMPUTED_VALUE"""),40.0)</f>
        <v>40</v>
      </c>
      <c r="J3013" s="18">
        <f>IFERROR(__xludf.DUMMYFUNCTION("""COMPUTED_VALUE"""),30.0)</f>
        <v>30</v>
      </c>
      <c r="K3013" s="18">
        <f>IFERROR(__xludf.DUMMYFUNCTION("""COMPUTED_VALUE"""),30.0)</f>
        <v>30</v>
      </c>
      <c r="L3013" s="17">
        <f>IFERROR(__xludf.DUMMYFUNCTION("""COMPUTED_VALUE"""),3.184341572E9)</f>
        <v>3184341572</v>
      </c>
      <c r="M3013" s="17" t="str">
        <f>IFERROR(__xludf.DUMMYFUNCTION("""COMPUTED_VALUE"""),"#REF!")</f>
        <v>#REF!</v>
      </c>
      <c r="N3013" s="17"/>
      <c r="O3013" s="17"/>
      <c r="P3013" s="17" t="b">
        <f>IFERROR(__xludf.DUMMYFUNCTION("""COMPUTED_VALUE"""),FALSE)</f>
        <v>0</v>
      </c>
      <c r="Q3013" s="20" t="str">
        <f>IFERROR(__xludf.DUMMYFUNCTION("""COMPUTED_VALUE"""),"")</f>
        <v/>
      </c>
      <c r="R3013" s="21" t="str">
        <f>IFERROR(__xludf.DUMMYFUNCTION("""COMPUTED_VALUE"""),"https://drive.google.com/file/d/1QdNOFZxwvalPVBTLENQmukm2tE5ZsJAx/view?usp=drivesdk")</f>
        <v>https://drive.google.com/file/d/1QdNOFZxwvalPVBTLENQmukm2tE5ZsJAx/view?usp=drivesdk</v>
      </c>
    </row>
    <row r="3014">
      <c r="A3014" s="15">
        <f>IFERROR(__xludf.DUMMYFUNCTION("""COMPUTED_VALUE"""),45091.0)</f>
        <v>45091</v>
      </c>
      <c r="B3014" s="16" t="str">
        <f>IFERROR(__xludf.DUMMYFUNCTION("""COMPUTED_VALUE"""),"Deivi Alejandro Quintero Corrales")</f>
        <v>Deivi Alejandro Quintero Corrales</v>
      </c>
      <c r="C3014" s="15" t="str">
        <f>IFERROR(__xludf.DUMMYFUNCTION("""COMPUTED_VALUE"""),"PEREIRA")</f>
        <v>PEREIRA</v>
      </c>
      <c r="D3014" s="15" t="str">
        <f>IFERROR(__xludf.DUMMYFUNCTION("""COMPUTED_VALUE"""),"MEDELLÍN")</f>
        <v>MEDELLÍN</v>
      </c>
      <c r="E3014" s="15" t="str">
        <f>IFERROR(__xludf.DUMMYFUNCTION("""COMPUTED_VALUE"""),"AREPAS LA MARY")</f>
        <v>AREPAS LA MARY</v>
      </c>
      <c r="F3014" s="17" t="str">
        <f>IFERROR(__xludf.DUMMYFUNCTION("""COMPUTED_VALUE"""),"CRA 14 N.12 55 CIRCUNVALAR / LOCAL")</f>
        <v>CRA 14 N.12 55 CIRCUNVALAR / LOCAL</v>
      </c>
      <c r="G3014" s="15" t="str">
        <f>IFERROR(__xludf.DUMMYFUNCTION("""COMPUTED_VALUE"""),"VITAECO MARKET")</f>
        <v>VITAECO MARKET</v>
      </c>
      <c r="H3014" s="16">
        <f>IFERROR(__xludf.DUMMYFUNCTION("""COMPUTED_VALUE"""),11625.0)</f>
        <v>11625</v>
      </c>
      <c r="I3014" s="18">
        <f>IFERROR(__xludf.DUMMYFUNCTION("""COMPUTED_VALUE"""),89.0)</f>
        <v>89</v>
      </c>
      <c r="J3014" s="18">
        <f>IFERROR(__xludf.DUMMYFUNCTION("""COMPUTED_VALUE"""),1.0)</f>
        <v>1</v>
      </c>
      <c r="K3014" s="18">
        <f>IFERROR(__xludf.DUMMYFUNCTION("""COMPUTED_VALUE"""),10.0)</f>
        <v>10</v>
      </c>
      <c r="L3014" s="17" t="str">
        <f>IFERROR(__xludf.DUMMYFUNCTION("""COMPUTED_VALUE"""),"314 6455280")</f>
        <v>314 6455280</v>
      </c>
      <c r="M3014" s="17" t="str">
        <f>IFERROR(__xludf.DUMMYFUNCTION("""COMPUTED_VALUE"""),"#REF!")</f>
        <v>#REF!</v>
      </c>
      <c r="N3014" s="17"/>
      <c r="O3014" s="17"/>
      <c r="P3014" s="17" t="b">
        <f>IFERROR(__xludf.DUMMYFUNCTION("""COMPUTED_VALUE"""),FALSE)</f>
        <v>0</v>
      </c>
      <c r="Q3014" s="20" t="str">
        <f>IFERROR(__xludf.DUMMYFUNCTION("""COMPUTED_VALUE"""),"")</f>
        <v/>
      </c>
      <c r="R3014" s="21" t="str">
        <f>IFERROR(__xludf.DUMMYFUNCTION("""COMPUTED_VALUE"""),"https://drive.google.com/file/d/1ADwa_bxcXE-8EmbuJK2_a4ieTeijHWuM/view?usp=drivesdk")</f>
        <v>https://drive.google.com/file/d/1ADwa_bxcXE-8EmbuJK2_a4ieTeijHWuM/view?usp=drivesdk</v>
      </c>
    </row>
    <row r="3015">
      <c r="A3015" s="15">
        <f>IFERROR(__xludf.DUMMYFUNCTION("""COMPUTED_VALUE"""),45091.0)</f>
        <v>45091</v>
      </c>
      <c r="B3015" s="16" t="str">
        <f>IFERROR(__xludf.DUMMYFUNCTION("""COMPUTED_VALUE"""),"Deivi Alejandro Quintero Corrales")</f>
        <v>Deivi Alejandro Quintero Corrales</v>
      </c>
      <c r="C3015" s="15" t="str">
        <f>IFERROR(__xludf.DUMMYFUNCTION("""COMPUTED_VALUE"""),"PEREIRA")</f>
        <v>PEREIRA</v>
      </c>
      <c r="D3015" s="15" t="str">
        <f>IFERROR(__xludf.DUMMYFUNCTION("""COMPUTED_VALUE"""),"MEDELLÍN")</f>
        <v>MEDELLÍN</v>
      </c>
      <c r="E3015" s="15" t="str">
        <f>IFERROR(__xludf.DUMMYFUNCTION("""COMPUTED_VALUE"""),"Baby Chef")</f>
        <v>Baby Chef</v>
      </c>
      <c r="F3015" s="17" t="str">
        <f>IFERROR(__xludf.DUMMYFUNCTION("""COMPUTED_VALUE"""),"carrera 5 15-20 apto 301 / 304 (Te doy dos apartamentos para timbrar si no responden en uno   Los timbres están en la parte de afuera una reja negra, el edificio es blanco y no tiene nombre, en la parte de abajo hay unos locales comerciales) / carrera 5 1"&amp;"5-20 apto 301 / 304 (Te doy dos apartamentos para timbrar si no responden en uno   Los timbres están en la parte de afuera una reja negra, el edificio es blanco y no tiene nombre, en la parte de abajo hay unos locales comerciales) / carrera 5 15-20 apto 3"&amp;"01 / 304 (Te doy dos apartamentos para timbrar si no responden en uno   Los timbres están en la parte de afuera una reja negra, el edificio es blanco y no tiene nombre, en la parte de abajo hay unos locales comerciales)")</f>
        <v>carrera 5 15-20 apto 301 / 304 (Te doy dos apartamentos para timbrar si no responden en uno   Los timbres están en la parte de afuera una reja negra, el edificio es blanco y no tiene nombre, en la parte de abajo hay unos locales comerciales) / carrera 5 15-20 apto 301 / 304 (Te doy dos apartamentos para timbrar si no responden en uno   Los timbres están en la parte de afuera una reja negra, el edificio es blanco y no tiene nombre, en la parte de abajo hay unos locales comerciales) / carrera 5 15-20 apto 301 / 304 (Te doy dos apartamentos para timbrar si no responden en uno   Los timbres están en la parte de afuera una reja negra, el edificio es blanco y no tiene nombre, en la parte de abajo hay unos locales comerciales)</v>
      </c>
      <c r="G3015" s="15" t="str">
        <f>IFERROR(__xludf.DUMMYFUNCTION("""COMPUTED_VALUE"""),"Andrea Mesa Quiceno")</f>
        <v>Andrea Mesa Quiceno</v>
      </c>
      <c r="H3015" s="16">
        <f>IFERROR(__xludf.DUMMYFUNCTION("""COMPUTED_VALUE"""),11696.0)</f>
        <v>11696</v>
      </c>
      <c r="I3015" s="18">
        <f>IFERROR(__xludf.DUMMYFUNCTION("""COMPUTED_VALUE"""),8.0)</f>
        <v>8</v>
      </c>
      <c r="J3015" s="18">
        <f>IFERROR(__xludf.DUMMYFUNCTION("""COMPUTED_VALUE"""),16.0)</f>
        <v>16</v>
      </c>
      <c r="K3015" s="18">
        <f>IFERROR(__xludf.DUMMYFUNCTION("""COMPUTED_VALUE"""),20.0)</f>
        <v>20</v>
      </c>
      <c r="L3015" s="17">
        <f>IFERROR(__xludf.DUMMYFUNCTION("""COMPUTED_VALUE"""),3.128677028E9)</f>
        <v>3128677028</v>
      </c>
      <c r="M3015" s="17" t="str">
        <f>IFERROR(__xludf.DUMMYFUNCTION("""COMPUTED_VALUE"""),"#REF!")</f>
        <v>#REF!</v>
      </c>
      <c r="N3015" s="17"/>
      <c r="O3015" s="17"/>
      <c r="P3015" s="17" t="b">
        <f>IFERROR(__xludf.DUMMYFUNCTION("""COMPUTED_VALUE"""),FALSE)</f>
        <v>0</v>
      </c>
      <c r="Q3015" s="20" t="str">
        <f>IFERROR(__xludf.DUMMYFUNCTION("""COMPUTED_VALUE"""),"")</f>
        <v/>
      </c>
      <c r="R3015" s="21" t="str">
        <f>IFERROR(__xludf.DUMMYFUNCTION("""COMPUTED_VALUE"""),"https://drive.google.com/file/d/19rlFrn00N0q2-IjwdZ2oB7IuGoz5vNQ7/view?usp=drivesdk")</f>
        <v>https://drive.google.com/file/d/19rlFrn00N0q2-IjwdZ2oB7IuGoz5vNQ7/view?usp=drivesdk</v>
      </c>
    </row>
    <row r="3016">
      <c r="A3016" s="15">
        <f>IFERROR(__xludf.DUMMYFUNCTION("""COMPUTED_VALUE"""),45091.0)</f>
        <v>45091</v>
      </c>
      <c r="B3016" s="16" t="str">
        <f>IFERROR(__xludf.DUMMYFUNCTION("""COMPUTED_VALUE"""),"Deivi Alejandro Quintero Corrales")</f>
        <v>Deivi Alejandro Quintero Corrales</v>
      </c>
      <c r="C3016" s="15" t="str">
        <f>IFERROR(__xludf.DUMMYFUNCTION("""COMPUTED_VALUE"""),"PEREIRA")</f>
        <v>PEREIRA</v>
      </c>
      <c r="D3016" s="15" t="str">
        <f>IFERROR(__xludf.DUMMYFUNCTION("""COMPUTED_VALUE"""),"MEDELLÍN")</f>
        <v>MEDELLÍN</v>
      </c>
      <c r="E3016" s="15" t="str">
        <f>IFERROR(__xludf.DUMMYFUNCTION("""COMPUTED_VALUE"""),"Baby Chef")</f>
        <v>Baby Chef</v>
      </c>
      <c r="F3016" s="17" t="str">
        <f>IFERROR(__xludf.DUMMYFUNCTION("""COMPUTED_VALUE"""),"Cerritos campestre casa 8 14 Pereira risaralda / Cerritos campestre casa 8 14 Pereira risaralda / Cerritos campestre casa 8 14 Pereira risaralda")</f>
        <v>Cerritos campestre casa 8 14 Pereira risaralda / Cerritos campestre casa 8 14 Pereira risaralda / Cerritos campestre casa 8 14 Pereira risaralda</v>
      </c>
      <c r="G3016" s="15" t="str">
        <f>IFERROR(__xludf.DUMMYFUNCTION("""COMPUTED_VALUE"""),"Natalia Herrera")</f>
        <v>Natalia Herrera</v>
      </c>
      <c r="H3016" s="16">
        <f>IFERROR(__xludf.DUMMYFUNCTION("""COMPUTED_VALUE"""),11697.0)</f>
        <v>11697</v>
      </c>
      <c r="I3016" s="18">
        <f>IFERROR(__xludf.DUMMYFUNCTION("""COMPUTED_VALUE"""),8.0)</f>
        <v>8</v>
      </c>
      <c r="J3016" s="18">
        <f>IFERROR(__xludf.DUMMYFUNCTION("""COMPUTED_VALUE"""),16.0)</f>
        <v>16</v>
      </c>
      <c r="K3016" s="18">
        <f>IFERROR(__xludf.DUMMYFUNCTION("""COMPUTED_VALUE"""),20.0)</f>
        <v>20</v>
      </c>
      <c r="L3016" s="17">
        <f>IFERROR(__xludf.DUMMYFUNCTION("""COMPUTED_VALUE"""),3.226743942E9)</f>
        <v>3226743942</v>
      </c>
      <c r="M3016" s="17" t="str">
        <f>IFERROR(__xludf.DUMMYFUNCTION("""COMPUTED_VALUE"""),"#REF!")</f>
        <v>#REF!</v>
      </c>
      <c r="N3016" s="17"/>
      <c r="O3016" s="17"/>
      <c r="P3016" s="17" t="b">
        <f>IFERROR(__xludf.DUMMYFUNCTION("""COMPUTED_VALUE"""),FALSE)</f>
        <v>0</v>
      </c>
      <c r="Q3016" s="20" t="str">
        <f>IFERROR(__xludf.DUMMYFUNCTION("""COMPUTED_VALUE"""),"")</f>
        <v/>
      </c>
      <c r="R3016" s="21" t="str">
        <f>IFERROR(__xludf.DUMMYFUNCTION("""COMPUTED_VALUE"""),"https://drive.google.com/file/d/1OrDSf2hXAy_mCQjjYFAId1ApYB1XzyjY/view?usp=drivesdk")</f>
        <v>https://drive.google.com/file/d/1OrDSf2hXAy_mCQjjYFAId1ApYB1XzyjY/view?usp=drivesdk</v>
      </c>
    </row>
    <row r="3017">
      <c r="A3017" s="15">
        <f>IFERROR(__xludf.DUMMYFUNCTION("""COMPUTED_VALUE"""),45091.0)</f>
        <v>45091</v>
      </c>
      <c r="B3017" s="16" t="str">
        <f>IFERROR(__xludf.DUMMYFUNCTION("""COMPUTED_VALUE"""),"Deivi Alejandro Quintero Corrales")</f>
        <v>Deivi Alejandro Quintero Corrales</v>
      </c>
      <c r="C3017" s="15" t="str">
        <f>IFERROR(__xludf.DUMMYFUNCTION("""COMPUTED_VALUE"""),"PEREIRA")</f>
        <v>PEREIRA</v>
      </c>
      <c r="D3017" s="15" t="str">
        <f>IFERROR(__xludf.DUMMYFUNCTION("""COMPUTED_VALUE"""),"MEDELLÍN")</f>
        <v>MEDELLÍN</v>
      </c>
      <c r="E3017" s="15" t="str">
        <f>IFERROR(__xludf.DUMMYFUNCTION("""COMPUTED_VALUE"""),"Goyo Todo por ellos")</f>
        <v>Goyo Todo por ellos</v>
      </c>
      <c r="F3017" s="17" t="str">
        <f>IFERROR(__xludf.DUMMYFUNCTION("""COMPUTED_VALUE"""),"Calle 12 Bis #16 18  / Casa Hoja Comunidad Consciente  / Barrio Pinares")</f>
        <v>Calle 12 Bis #16 18  / Casa Hoja Comunidad Consciente  / Barrio Pinares</v>
      </c>
      <c r="G3017" s="15" t="str">
        <f>IFERROR(__xludf.DUMMYFUNCTION("""COMPUTED_VALUE"""),"Hector Hernandez")</f>
        <v>Hector Hernandez</v>
      </c>
      <c r="H3017" s="16">
        <f>IFERROR(__xludf.DUMMYFUNCTION("""COMPUTED_VALUE"""),11673.0)</f>
        <v>11673</v>
      </c>
      <c r="I3017" s="18">
        <f>IFERROR(__xludf.DUMMYFUNCTION("""COMPUTED_VALUE"""),20.0)</f>
        <v>20</v>
      </c>
      <c r="J3017" s="18">
        <f>IFERROR(__xludf.DUMMYFUNCTION("""COMPUTED_VALUE"""),38.0)</f>
        <v>38</v>
      </c>
      <c r="K3017" s="18">
        <f>IFERROR(__xludf.DUMMYFUNCTION("""COMPUTED_VALUE"""),18.0)</f>
        <v>18</v>
      </c>
      <c r="L3017" s="17">
        <f>IFERROR(__xludf.DUMMYFUNCTION("""COMPUTED_VALUE"""),3.18591145E9)</f>
        <v>3185911450</v>
      </c>
      <c r="M3017" s="17" t="str">
        <f>IFERROR(__xludf.DUMMYFUNCTION("""COMPUTED_VALUE"""),"#REF!")</f>
        <v>#REF!</v>
      </c>
      <c r="N3017" s="17"/>
      <c r="O3017" s="17"/>
      <c r="P3017" s="17" t="b">
        <f>IFERROR(__xludf.DUMMYFUNCTION("""COMPUTED_VALUE"""),FALSE)</f>
        <v>0</v>
      </c>
      <c r="Q3017" s="20" t="str">
        <f>IFERROR(__xludf.DUMMYFUNCTION("""COMPUTED_VALUE"""),"")</f>
        <v/>
      </c>
      <c r="R3017" s="21" t="str">
        <f>IFERROR(__xludf.DUMMYFUNCTION("""COMPUTED_VALUE"""),"https://drive.google.com/file/d/1VOnbvZjUVk-WzsdseYfk7yVStgN69vNU/view?usp=drivesdk")</f>
        <v>https://drive.google.com/file/d/1VOnbvZjUVk-WzsdseYfk7yVStgN69vNU/view?usp=drivesdk</v>
      </c>
    </row>
    <row r="3018">
      <c r="A3018" s="15">
        <f>IFERROR(__xludf.DUMMYFUNCTION("""COMPUTED_VALUE"""),45091.0)</f>
        <v>45091</v>
      </c>
      <c r="B3018" s="16" t="str">
        <f>IFERROR(__xludf.DUMMYFUNCTION("""COMPUTED_VALUE"""),"Deivi Alejandro Quintero Corrales")</f>
        <v>Deivi Alejandro Quintero Corrales</v>
      </c>
      <c r="C3018" s="15" t="str">
        <f>IFERROR(__xludf.DUMMYFUNCTION("""COMPUTED_VALUE"""),"PEREIRA")</f>
        <v>PEREIRA</v>
      </c>
      <c r="D3018" s="15" t="str">
        <f>IFERROR(__xludf.DUMMYFUNCTION("""COMPUTED_VALUE"""),"MEDELLÍN")</f>
        <v>MEDELLÍN</v>
      </c>
      <c r="E3018" s="15" t="str">
        <f>IFERROR(__xludf.DUMMYFUNCTION("""COMPUTED_VALUE"""),"Moloso S.A.S")</f>
        <v>Moloso S.A.S</v>
      </c>
      <c r="F3018" s="17" t="str">
        <f>IFERROR(__xludf.DUMMYFUNCTION("""COMPUTED_VALUE"""),"CL 106 13 75 / SENDEROS DE SAN SILVESTRE. T1 AP1086")</f>
        <v>CL 106 13 75 / SENDEROS DE SAN SILVESTRE. T1 AP1086</v>
      </c>
      <c r="G3018" s="15" t="str">
        <f>IFERROR(__xludf.DUMMYFUNCTION("""COMPUTED_VALUE"""),"LILIANA PRIETO VILLARREAL")</f>
        <v>LILIANA PRIETO VILLARREAL</v>
      </c>
      <c r="H3018" s="16">
        <f>IFERROR(__xludf.DUMMYFUNCTION("""COMPUTED_VALUE"""),11677.0)</f>
        <v>11677</v>
      </c>
      <c r="I3018" s="18">
        <f>IFERROR(__xludf.DUMMYFUNCTION("""COMPUTED_VALUE"""),17.0)</f>
        <v>17</v>
      </c>
      <c r="J3018" s="18">
        <f>IFERROR(__xludf.DUMMYFUNCTION("""COMPUTED_VALUE"""),15.0)</f>
        <v>15</v>
      </c>
      <c r="K3018" s="18">
        <f>IFERROR(__xludf.DUMMYFUNCTION("""COMPUTED_VALUE"""),28.0)</f>
        <v>28</v>
      </c>
      <c r="L3018" s="17" t="str">
        <f>IFERROR(__xludf.DUMMYFUNCTION("""COMPUTED_VALUE"""),"313 3915798")</f>
        <v>313 3915798</v>
      </c>
      <c r="M3018" s="17" t="str">
        <f>IFERROR(__xludf.DUMMYFUNCTION("""COMPUTED_VALUE"""),"#REF!")</f>
        <v>#REF!</v>
      </c>
      <c r="N3018" s="17"/>
      <c r="O3018" s="17"/>
      <c r="P3018" s="17" t="b">
        <f>IFERROR(__xludf.DUMMYFUNCTION("""COMPUTED_VALUE"""),FALSE)</f>
        <v>0</v>
      </c>
      <c r="Q3018" s="20" t="str">
        <f>IFERROR(__xludf.DUMMYFUNCTION("""COMPUTED_VALUE"""),"")</f>
        <v/>
      </c>
      <c r="R3018" s="21" t="str">
        <f>IFERROR(__xludf.DUMMYFUNCTION("""COMPUTED_VALUE"""),"https://drive.google.com/file/d/1-LyDHZUc2JaVPFiuJH6zF0elBJU0zyO9/view?usp=drivesdk")</f>
        <v>https://drive.google.com/file/d/1-LyDHZUc2JaVPFiuJH6zF0elBJU0zyO9/view?usp=drivesdk</v>
      </c>
    </row>
    <row r="3019">
      <c r="A3019" s="17" t="str">
        <f>IFERROR(__xludf.DUMMYFUNCTION("""COMPUTED_VALUE"""),"")</f>
        <v/>
      </c>
      <c r="B3019" s="17" t="str">
        <f>IFERROR(__xludf.DUMMYFUNCTION("""COMPUTED_VALUE"""),"")</f>
        <v/>
      </c>
      <c r="C3019" s="17" t="str">
        <f>IFERROR(__xludf.DUMMYFUNCTION("""COMPUTED_VALUE"""),"")</f>
        <v/>
      </c>
      <c r="D3019" s="17" t="str">
        <f>IFERROR(__xludf.DUMMYFUNCTION("""COMPUTED_VALUE"""),"")</f>
        <v/>
      </c>
      <c r="E3019" s="17" t="str">
        <f>IFERROR(__xludf.DUMMYFUNCTION("""COMPUTED_VALUE"""),"")</f>
        <v/>
      </c>
      <c r="F3019" s="17" t="str">
        <f>IFERROR(__xludf.DUMMYFUNCTION("""COMPUTED_VALUE"""),"")</f>
        <v/>
      </c>
      <c r="G3019" s="17" t="str">
        <f>IFERROR(__xludf.DUMMYFUNCTION("""COMPUTED_VALUE"""),"")</f>
        <v/>
      </c>
      <c r="H3019" s="17" t="str">
        <f>IFERROR(__xludf.DUMMYFUNCTION("""COMPUTED_VALUE"""),"")</f>
        <v/>
      </c>
      <c r="I3019" s="17" t="str">
        <f>IFERROR(__xludf.DUMMYFUNCTION("""COMPUTED_VALUE"""),"")</f>
        <v/>
      </c>
      <c r="J3019" s="17" t="str">
        <f>IFERROR(__xludf.DUMMYFUNCTION("""COMPUTED_VALUE"""),"")</f>
        <v/>
      </c>
      <c r="K3019" s="17" t="str">
        <f>IFERROR(__xludf.DUMMYFUNCTION("""COMPUTED_VALUE"""),"")</f>
        <v/>
      </c>
      <c r="L3019" s="17" t="str">
        <f>IFERROR(__xludf.DUMMYFUNCTION("""COMPUTED_VALUE"""),"")</f>
        <v/>
      </c>
      <c r="M3019" s="17" t="str">
        <f>IFERROR(__xludf.DUMMYFUNCTION("""COMPUTED_VALUE"""),"")</f>
        <v/>
      </c>
      <c r="N3019" s="17" t="str">
        <f>IFERROR(__xludf.DUMMYFUNCTION("""COMPUTED_VALUE"""),"")</f>
        <v/>
      </c>
      <c r="O3019" s="17" t="str">
        <f>IFERROR(__xludf.DUMMYFUNCTION("""COMPUTED_VALUE"""),"")</f>
        <v/>
      </c>
      <c r="P3019" s="17" t="str">
        <f>IFERROR(__xludf.DUMMYFUNCTION("""COMPUTED_VALUE"""),"")</f>
        <v/>
      </c>
      <c r="Q3019" s="17" t="str">
        <f>IFERROR(__xludf.DUMMYFUNCTION("""COMPUTED_VALUE"""),"")</f>
        <v/>
      </c>
      <c r="R3019" s="17" t="str">
        <f>IFERROR(__xludf.DUMMYFUNCTION("""COMPUTED_VALUE"""),"")</f>
        <v/>
      </c>
    </row>
    <row r="3020">
      <c r="A3020" s="15">
        <f>IFERROR(__xludf.DUMMYFUNCTION("""COMPUTED_VALUE"""),45091.0)</f>
        <v>45091</v>
      </c>
      <c r="B3020" s="16" t="str">
        <f>IFERROR(__xludf.DUMMYFUNCTION("""COMPUTED_VALUE"""),"Duvan Gabriel Alvarez Giron")</f>
        <v>Duvan Gabriel Alvarez Giron</v>
      </c>
      <c r="C3020" s="15" t="str">
        <f>IFERROR(__xludf.DUMMYFUNCTION("""COMPUTED_VALUE"""),"IBAGUÉ")</f>
        <v>IBAGUÉ</v>
      </c>
      <c r="D3020" s="15" t="str">
        <f>IFERROR(__xludf.DUMMYFUNCTION("""COMPUTED_VALUE"""),"BOGOTÁ")</f>
        <v>BOGOTÁ</v>
      </c>
      <c r="E3020" s="15" t="str">
        <f>IFERROR(__xludf.DUMMYFUNCTION("""COMPUTED_VALUE"""),"Asociacion Agropecuaria Juana Maria")</f>
        <v>Asociacion Agropecuaria Juana Maria</v>
      </c>
      <c r="F3020" s="17" t="str">
        <f>IFERROR(__xludf.DUMMYFUNCTION("""COMPUTED_VALUE"""),"Calle 93 # 7 Sur-90 torre 8 apto 102 Conjunto Residencial Altagracia")</f>
        <v>Calle 93 # 7 Sur-90 torre 8 apto 102 Conjunto Residencial Altagracia</v>
      </c>
      <c r="G3020" s="15" t="str">
        <f>IFERROR(__xludf.DUMMYFUNCTION("""COMPUTED_VALUE"""),"Mariam Yasmin Murillo Rubio")</f>
        <v>Mariam Yasmin Murillo Rubio</v>
      </c>
      <c r="H3020" s="16">
        <f>IFERROR(__xludf.DUMMYFUNCTION("""COMPUTED_VALUE"""),11613.0)</f>
        <v>11613</v>
      </c>
      <c r="I3020" s="18">
        <f>IFERROR(__xludf.DUMMYFUNCTION("""COMPUTED_VALUE"""),21.0)</f>
        <v>21</v>
      </c>
      <c r="J3020" s="18">
        <f>IFERROR(__xludf.DUMMYFUNCTION("""COMPUTED_VALUE"""),37.0)</f>
        <v>37</v>
      </c>
      <c r="K3020" s="18">
        <f>IFERROR(__xludf.DUMMYFUNCTION("""COMPUTED_VALUE"""),30.0)</f>
        <v>30</v>
      </c>
      <c r="L3020" s="17">
        <f>IFERROR(__xludf.DUMMYFUNCTION("""COMPUTED_VALUE"""),3.105789664E9)</f>
        <v>3105789664</v>
      </c>
      <c r="M3020" s="17" t="str">
        <f>IFERROR(__xludf.DUMMYFUNCTION("""COMPUTED_VALUE"""),"#REF!")</f>
        <v>#REF!</v>
      </c>
      <c r="N3020" s="17"/>
      <c r="O3020" s="17"/>
      <c r="P3020" s="17" t="b">
        <f>IFERROR(__xludf.DUMMYFUNCTION("""COMPUTED_VALUE"""),FALSE)</f>
        <v>0</v>
      </c>
      <c r="Q3020" s="20" t="str">
        <f>IFERROR(__xludf.DUMMYFUNCTION("""COMPUTED_VALUE"""),"")</f>
        <v/>
      </c>
      <c r="R3020" s="21" t="str">
        <f>IFERROR(__xludf.DUMMYFUNCTION("""COMPUTED_VALUE"""),"https://drive.google.com/file/d/1b5gFhkbDKjXZf0YBEtoP5yPQnsxDH8Xj/view?usp=drivesdk")</f>
        <v>https://drive.google.com/file/d/1b5gFhkbDKjXZf0YBEtoP5yPQnsxDH8Xj/view?usp=drivesdk</v>
      </c>
    </row>
    <row r="3021">
      <c r="A3021" s="15">
        <f>IFERROR(__xludf.DUMMYFUNCTION("""COMPUTED_VALUE"""),45091.0)</f>
        <v>45091</v>
      </c>
      <c r="B3021" s="16" t="str">
        <f>IFERROR(__xludf.DUMMYFUNCTION("""COMPUTED_VALUE"""),"Duvan Gabriel Alvarez Giron")</f>
        <v>Duvan Gabriel Alvarez Giron</v>
      </c>
      <c r="C3021" s="15" t="str">
        <f>IFERROR(__xludf.DUMMYFUNCTION("""COMPUTED_VALUE"""),"IBAGUÉ")</f>
        <v>IBAGUÉ</v>
      </c>
      <c r="D3021" s="15" t="str">
        <f>IFERROR(__xludf.DUMMYFUNCTION("""COMPUTED_VALUE"""),"BOGOTÁ")</f>
        <v>BOGOTÁ</v>
      </c>
      <c r="E3021" s="15" t="str">
        <f>IFERROR(__xludf.DUMMYFUNCTION("""COMPUTED_VALUE"""),"Evamazzita")</f>
        <v>Evamazzita</v>
      </c>
      <c r="F3021" s="17" t="str">
        <f>IFERROR(__xludf.DUMMYFUNCTION("""COMPUTED_VALUE"""),"CARRERA 11 A # 35 - 62 / N/A / BARRIO GAITÁN PARTE ALTA")</f>
        <v>CARRERA 11 A # 35 - 62 / N/A / BARRIO GAITÁN PARTE ALTA</v>
      </c>
      <c r="G3021" s="15" t="str">
        <f>IFERROR(__xludf.DUMMYFUNCTION("""COMPUTED_VALUE"""),"JORGE BERNARDO TORRES")</f>
        <v>JORGE BERNARDO TORRES</v>
      </c>
      <c r="H3021" s="16">
        <f>IFERROR(__xludf.DUMMYFUNCTION("""COMPUTED_VALUE"""),11661.0)</f>
        <v>11661</v>
      </c>
      <c r="I3021" s="18">
        <f>IFERROR(__xludf.DUMMYFUNCTION("""COMPUTED_VALUE"""),30.0)</f>
        <v>30</v>
      </c>
      <c r="J3021" s="18">
        <f>IFERROR(__xludf.DUMMYFUNCTION("""COMPUTED_VALUE"""),24.0)</f>
        <v>24</v>
      </c>
      <c r="K3021" s="18">
        <f>IFERROR(__xludf.DUMMYFUNCTION("""COMPUTED_VALUE"""),37.0)</f>
        <v>37</v>
      </c>
      <c r="L3021" s="17">
        <f>IFERROR(__xludf.DUMMYFUNCTION("""COMPUTED_VALUE"""),3.144530156E9)</f>
        <v>3144530156</v>
      </c>
      <c r="M3021" s="17" t="str">
        <f>IFERROR(__xludf.DUMMYFUNCTION("""COMPUTED_VALUE"""),"#REF!")</f>
        <v>#REF!</v>
      </c>
      <c r="N3021" s="17"/>
      <c r="O3021" s="17"/>
      <c r="P3021" s="17" t="b">
        <f>IFERROR(__xludf.DUMMYFUNCTION("""COMPUTED_VALUE"""),FALSE)</f>
        <v>0</v>
      </c>
      <c r="Q3021" s="20" t="str">
        <f>IFERROR(__xludf.DUMMYFUNCTION("""COMPUTED_VALUE"""),"")</f>
        <v/>
      </c>
      <c r="R3021" s="21" t="str">
        <f>IFERROR(__xludf.DUMMYFUNCTION("""COMPUTED_VALUE"""),"https://drive.google.com/file/d/1FBEXc4mFbP_tedm--2tC5kxeLo5pL-uJ/view?usp=drivesdk")</f>
        <v>https://drive.google.com/file/d/1FBEXc4mFbP_tedm--2tC5kxeLo5pL-uJ/view?usp=drivesdk</v>
      </c>
    </row>
    <row r="3022">
      <c r="A3022" s="15">
        <f>IFERROR(__xludf.DUMMYFUNCTION("""COMPUTED_VALUE"""),45091.0)</f>
        <v>45091</v>
      </c>
      <c r="B3022" s="16" t="str">
        <f>IFERROR(__xludf.DUMMYFUNCTION("""COMPUTED_VALUE"""),"Duvan Gabriel Alvarez Giron")</f>
        <v>Duvan Gabriel Alvarez Giron</v>
      </c>
      <c r="C3022" s="15" t="str">
        <f>IFERROR(__xludf.DUMMYFUNCTION("""COMPUTED_VALUE"""),"PIEDECUESTA")</f>
        <v>PIEDECUESTA</v>
      </c>
      <c r="D3022" s="15" t="str">
        <f>IFERROR(__xludf.DUMMYFUNCTION("""COMPUTED_VALUE"""),"BOGOTÁ")</f>
        <v>BOGOTÁ</v>
      </c>
      <c r="E3022" s="15" t="str">
        <f>IFERROR(__xludf.DUMMYFUNCTION("""COMPUTED_VALUE"""),"Evamazzita")</f>
        <v>Evamazzita</v>
      </c>
      <c r="F3022" s="17" t="str">
        <f>IFERROR(__xludf.DUMMYFUNCTION("""COMPUTED_VALUE"""),"CARRERA 15 # 18 - 70  / CONJUNTO RESERVA DE LA LOMA TORRE 5 APTO 236  / ENTRADA POR LA AUTOPISTA")</f>
        <v>CARRERA 15 # 18 - 70  / CONJUNTO RESERVA DE LA LOMA TORRE 5 APTO 236  / ENTRADA POR LA AUTOPISTA</v>
      </c>
      <c r="G3022" s="15" t="str">
        <f>IFERROR(__xludf.DUMMYFUNCTION("""COMPUTED_VALUE"""),"SILVIA MARCELA SOLANO VASQUEZ")</f>
        <v>SILVIA MARCELA SOLANO VASQUEZ</v>
      </c>
      <c r="H3022" s="16">
        <f>IFERROR(__xludf.DUMMYFUNCTION("""COMPUTED_VALUE"""),11649.0)</f>
        <v>11649</v>
      </c>
      <c r="I3022" s="18">
        <f>IFERROR(__xludf.DUMMYFUNCTION("""COMPUTED_VALUE"""),3.0)</f>
        <v>3</v>
      </c>
      <c r="J3022" s="18">
        <f>IFERROR(__xludf.DUMMYFUNCTION("""COMPUTED_VALUE"""),20.0)</f>
        <v>20</v>
      </c>
      <c r="K3022" s="18">
        <f>IFERROR(__xludf.DUMMYFUNCTION("""COMPUTED_VALUE"""),15.0)</f>
        <v>15</v>
      </c>
      <c r="L3022" s="17">
        <f>IFERROR(__xludf.DUMMYFUNCTION("""COMPUTED_VALUE"""),3.160409443E9)</f>
        <v>3160409443</v>
      </c>
      <c r="M3022" s="17" t="str">
        <f>IFERROR(__xludf.DUMMYFUNCTION("""COMPUTED_VALUE"""),"#REF!")</f>
        <v>#REF!</v>
      </c>
      <c r="N3022" s="17"/>
      <c r="O3022" s="17"/>
      <c r="P3022" s="17" t="b">
        <f>IFERROR(__xludf.DUMMYFUNCTION("""COMPUTED_VALUE"""),FALSE)</f>
        <v>0</v>
      </c>
      <c r="Q3022" s="20" t="str">
        <f>IFERROR(__xludf.DUMMYFUNCTION("""COMPUTED_VALUE"""),"")</f>
        <v/>
      </c>
      <c r="R3022" s="21" t="str">
        <f>IFERROR(__xludf.DUMMYFUNCTION("""COMPUTED_VALUE"""),"https://drive.google.com/file/d/1H96iFn7l5mwTIUseVOgjJFScfSfVgzOI/view?usp=drivesdk")</f>
        <v>https://drive.google.com/file/d/1H96iFn7l5mwTIUseVOgjJFScfSfVgzOI/view?usp=drivesdk</v>
      </c>
    </row>
    <row r="3023">
      <c r="A3023" s="15">
        <f>IFERROR(__xludf.DUMMYFUNCTION("""COMPUTED_VALUE"""),45091.0)</f>
        <v>45091</v>
      </c>
      <c r="B3023" s="16" t="str">
        <f>IFERROR(__xludf.DUMMYFUNCTION("""COMPUTED_VALUE"""),"Duvan Gabriel Alvarez Giron")</f>
        <v>Duvan Gabriel Alvarez Giron</v>
      </c>
      <c r="C3023" s="15" t="str">
        <f>IFERROR(__xludf.DUMMYFUNCTION("""COMPUTED_VALUE"""),"PIEDECUESTA")</f>
        <v>PIEDECUESTA</v>
      </c>
      <c r="D3023" s="15" t="str">
        <f>IFERROR(__xludf.DUMMYFUNCTION("""COMPUTED_VALUE"""),"BOGOTÁ")</f>
        <v>BOGOTÁ</v>
      </c>
      <c r="E3023" s="15" t="str">
        <f>IFERROR(__xludf.DUMMYFUNCTION("""COMPUTED_VALUE"""),"Evamazzita")</f>
        <v>Evamazzita</v>
      </c>
      <c r="F3023" s="17" t="str">
        <f>IFERROR(__xludf.DUMMYFUNCTION("""COMPUTED_VALUE"""),"CARRERA 4 # 1 E - 31  / TORRE 1 APTO. 204  / TORRES DE CAMPO VERDE")</f>
        <v>CARRERA 4 # 1 E - 31  / TORRE 1 APTO. 204  / TORRES DE CAMPO VERDE</v>
      </c>
      <c r="G3023" s="15" t="str">
        <f>IFERROR(__xludf.DUMMYFUNCTION("""COMPUTED_VALUE"""),"LINA MARIA RINCON BARRERA")</f>
        <v>LINA MARIA RINCON BARRERA</v>
      </c>
      <c r="H3023" s="16">
        <f>IFERROR(__xludf.DUMMYFUNCTION("""COMPUTED_VALUE"""),11650.0)</f>
        <v>11650</v>
      </c>
      <c r="I3023" s="18">
        <f>IFERROR(__xludf.DUMMYFUNCTION("""COMPUTED_VALUE"""),10.0)</f>
        <v>10</v>
      </c>
      <c r="J3023" s="18">
        <f>IFERROR(__xludf.DUMMYFUNCTION("""COMPUTED_VALUE"""),18.0)</f>
        <v>18</v>
      </c>
      <c r="K3023" s="18">
        <f>IFERROR(__xludf.DUMMYFUNCTION("""COMPUTED_VALUE"""),22.0)</f>
        <v>22</v>
      </c>
      <c r="L3023" s="17">
        <f>IFERROR(__xludf.DUMMYFUNCTION("""COMPUTED_VALUE"""),3.173720489E9)</f>
        <v>3173720489</v>
      </c>
      <c r="M3023" s="17" t="str">
        <f>IFERROR(__xludf.DUMMYFUNCTION("""COMPUTED_VALUE"""),"#REF!")</f>
        <v>#REF!</v>
      </c>
      <c r="N3023" s="17"/>
      <c r="O3023" s="17"/>
      <c r="P3023" s="17" t="b">
        <f>IFERROR(__xludf.DUMMYFUNCTION("""COMPUTED_VALUE"""),FALSE)</f>
        <v>0</v>
      </c>
      <c r="Q3023" s="20" t="str">
        <f>IFERROR(__xludf.DUMMYFUNCTION("""COMPUTED_VALUE"""),"")</f>
        <v/>
      </c>
      <c r="R3023" s="21" t="str">
        <f>IFERROR(__xludf.DUMMYFUNCTION("""COMPUTED_VALUE"""),"https://drive.google.com/file/d/1-_iiAmYq76URl4tn5dF0vy5BAdhfZa6A/view?usp=drivesdk")</f>
        <v>https://drive.google.com/file/d/1-_iiAmYq76URl4tn5dF0vy5BAdhfZa6A/view?usp=drivesdk</v>
      </c>
    </row>
    <row r="3024">
      <c r="A3024" s="17" t="str">
        <f>IFERROR(__xludf.DUMMYFUNCTION("""COMPUTED_VALUE"""),"")</f>
        <v/>
      </c>
      <c r="B3024" s="17" t="str">
        <f>IFERROR(__xludf.DUMMYFUNCTION("""COMPUTED_VALUE"""),"")</f>
        <v/>
      </c>
      <c r="C3024" s="17" t="str">
        <f>IFERROR(__xludf.DUMMYFUNCTION("""COMPUTED_VALUE"""),"")</f>
        <v/>
      </c>
      <c r="D3024" s="17" t="str">
        <f>IFERROR(__xludf.DUMMYFUNCTION("""COMPUTED_VALUE"""),"")</f>
        <v/>
      </c>
      <c r="E3024" s="17" t="str">
        <f>IFERROR(__xludf.DUMMYFUNCTION("""COMPUTED_VALUE"""),"")</f>
        <v/>
      </c>
      <c r="F3024" s="17" t="str">
        <f>IFERROR(__xludf.DUMMYFUNCTION("""COMPUTED_VALUE"""),"")</f>
        <v/>
      </c>
      <c r="G3024" s="17" t="str">
        <f>IFERROR(__xludf.DUMMYFUNCTION("""COMPUTED_VALUE"""),"")</f>
        <v/>
      </c>
      <c r="H3024" s="17" t="str">
        <f>IFERROR(__xludf.DUMMYFUNCTION("""COMPUTED_VALUE"""),"")</f>
        <v/>
      </c>
      <c r="I3024" s="17" t="str">
        <f>IFERROR(__xludf.DUMMYFUNCTION("""COMPUTED_VALUE"""),"")</f>
        <v/>
      </c>
      <c r="J3024" s="17" t="str">
        <f>IFERROR(__xludf.DUMMYFUNCTION("""COMPUTED_VALUE"""),"")</f>
        <v/>
      </c>
      <c r="K3024" s="17" t="str">
        <f>IFERROR(__xludf.DUMMYFUNCTION("""COMPUTED_VALUE"""),"")</f>
        <v/>
      </c>
      <c r="L3024" s="17" t="str">
        <f>IFERROR(__xludf.DUMMYFUNCTION("""COMPUTED_VALUE"""),"")</f>
        <v/>
      </c>
      <c r="M3024" s="17" t="str">
        <f>IFERROR(__xludf.DUMMYFUNCTION("""COMPUTED_VALUE"""),"")</f>
        <v/>
      </c>
      <c r="N3024" s="17" t="str">
        <f>IFERROR(__xludf.DUMMYFUNCTION("""COMPUTED_VALUE"""),"")</f>
        <v/>
      </c>
      <c r="O3024" s="17" t="str">
        <f>IFERROR(__xludf.DUMMYFUNCTION("""COMPUTED_VALUE"""),"")</f>
        <v/>
      </c>
      <c r="P3024" s="17" t="str">
        <f>IFERROR(__xludf.DUMMYFUNCTION("""COMPUTED_VALUE"""),"")</f>
        <v/>
      </c>
      <c r="Q3024" s="17" t="str">
        <f>IFERROR(__xludf.DUMMYFUNCTION("""COMPUTED_VALUE"""),"")</f>
        <v/>
      </c>
      <c r="R3024" s="17" t="str">
        <f>IFERROR(__xludf.DUMMYFUNCTION("""COMPUTED_VALUE"""),"")</f>
        <v/>
      </c>
    </row>
    <row r="3025">
      <c r="A3025" s="15">
        <f>IFERROR(__xludf.DUMMYFUNCTION("""COMPUTED_VALUE"""),45091.0)</f>
        <v>45091</v>
      </c>
      <c r="B3025" s="16" t="str">
        <f>IFERROR(__xludf.DUMMYFUNCTION("""COMPUTED_VALUE"""),"Envia")</f>
        <v>Envia</v>
      </c>
      <c r="C3025" s="15" t="str">
        <f>IFERROR(__xludf.DUMMYFUNCTION("""COMPUTED_VALUE"""),"ARMENIA")</f>
        <v>ARMENIA</v>
      </c>
      <c r="D3025" s="15" t="str">
        <f>IFERROR(__xludf.DUMMYFUNCTION("""COMPUTED_VALUE"""),"MEDELLÍN")</f>
        <v>MEDELLÍN</v>
      </c>
      <c r="E3025" s="15" t="str">
        <f>IFERROR(__xludf.DUMMYFUNCTION("""COMPUTED_VALUE"""),"Baby Chef")</f>
        <v>Baby Chef</v>
      </c>
      <c r="F3025" s="17" t="str">
        <f>IFERROR(__xludf.DUMMYFUNCTION("""COMPUTED_VALUE"""),"Calle 6 Norte #16A 44 Edificio Valparaiso apto 1102 Barrio los profesionales Armenia Quindío / ""Calle 6 Norte #16A 44 Edificio Valparaiso apto 1102 Barrio los profesionales Armenia Quindío"" / ""Calle 6 Norte #16A 44 Edificio Valparaiso apto 1102 Barrio "&amp;"los profesionales Armenia Quindío""")</f>
        <v>Calle 6 Norte #16A 44 Edificio Valparaiso apto 1102 Barrio los profesionales Armenia Quindío / "Calle 6 Norte #16A 44 Edificio Valparaiso apto 1102 Barrio los profesionales Armenia Quindío" / "Calle 6 Norte #16A 44 Edificio Valparaiso apto 1102 Barrio los profesionales Armenia Quindío"</v>
      </c>
      <c r="G3025" s="15" t="str">
        <f>IFERROR(__xludf.DUMMYFUNCTION("""COMPUTED_VALUE"""),"Leidy Echeverri")</f>
        <v>Leidy Echeverri</v>
      </c>
      <c r="H3025" s="16">
        <f>IFERROR(__xludf.DUMMYFUNCTION("""COMPUTED_VALUE"""),11700.0)</f>
        <v>11700</v>
      </c>
      <c r="I3025" s="18">
        <f>IFERROR(__xludf.DUMMYFUNCTION("""COMPUTED_VALUE"""),8.0)</f>
        <v>8</v>
      </c>
      <c r="J3025" s="18">
        <f>IFERROR(__xludf.DUMMYFUNCTION("""COMPUTED_VALUE"""),16.0)</f>
        <v>16</v>
      </c>
      <c r="K3025" s="18">
        <f>IFERROR(__xludf.DUMMYFUNCTION("""COMPUTED_VALUE"""),20.0)</f>
        <v>20</v>
      </c>
      <c r="L3025" s="17">
        <f>IFERROR(__xludf.DUMMYFUNCTION("""COMPUTED_VALUE"""),3.16575559E9)</f>
        <v>3165755590</v>
      </c>
      <c r="M3025" s="17" t="str">
        <f>IFERROR(__xludf.DUMMYFUNCTION("""COMPUTED_VALUE"""),"#REF!")</f>
        <v>#REF!</v>
      </c>
      <c r="N3025" s="17"/>
      <c r="O3025" s="17"/>
      <c r="P3025" s="17" t="b">
        <f>IFERROR(__xludf.DUMMYFUNCTION("""COMPUTED_VALUE"""),FALSE)</f>
        <v>0</v>
      </c>
      <c r="Q3025" s="20" t="str">
        <f>IFERROR(__xludf.DUMMYFUNCTION("""COMPUTED_VALUE"""),"")</f>
        <v/>
      </c>
      <c r="R3025" s="21" t="str">
        <f>IFERROR(__xludf.DUMMYFUNCTION("""COMPUTED_VALUE"""),"https://drive.google.com/file/d/1vKb9beCezOLRZjP-Hv6e1_r7G7VSp6nc/view?usp=drivesdk")</f>
        <v>https://drive.google.com/file/d/1vKb9beCezOLRZjP-Hv6e1_r7G7VSp6nc/view?usp=drivesdk</v>
      </c>
    </row>
    <row r="3026">
      <c r="A3026" s="15">
        <f>IFERROR(__xludf.DUMMYFUNCTION("""COMPUTED_VALUE"""),45091.0)</f>
        <v>45091</v>
      </c>
      <c r="B3026" s="16" t="str">
        <f>IFERROR(__xludf.DUMMYFUNCTION("""COMPUTED_VALUE"""),"Envia")</f>
        <v>Envia</v>
      </c>
      <c r="C3026" s="15" t="str">
        <f>IFERROR(__xludf.DUMMYFUNCTION("""COMPUTED_VALUE"""),"BUCARAMANGA")</f>
        <v>BUCARAMANGA</v>
      </c>
      <c r="D3026" s="15" t="str">
        <f>IFERROR(__xludf.DUMMYFUNCTION("""COMPUTED_VALUE"""),"MEDELLÍN")</f>
        <v>MEDELLÍN</v>
      </c>
      <c r="E3026" s="15" t="str">
        <f>IFERROR(__xludf.DUMMYFUNCTION("""COMPUTED_VALUE"""),"AREPAS LA MARY")</f>
        <v>AREPAS LA MARY</v>
      </c>
      <c r="F3026" s="17" t="str">
        <f>IFERROR(__xludf.DUMMYFUNCTION("""COMPUTED_VALUE"""),"calle 34 # 22-46 / edificio picasso cubismo t2 apto 604")</f>
        <v>calle 34 # 22-46 / edificio picasso cubismo t2 apto 604</v>
      </c>
      <c r="G3026" s="15" t="str">
        <f>IFERROR(__xludf.DUMMYFUNCTION("""COMPUTED_VALUE"""),"PANERA BUCARAMANGA")</f>
        <v>PANERA BUCARAMANGA</v>
      </c>
      <c r="H3026" s="16">
        <f>IFERROR(__xludf.DUMMYFUNCTION("""COMPUTED_VALUE"""),11621.0)</f>
        <v>11621</v>
      </c>
      <c r="I3026" s="18">
        <f>IFERROR(__xludf.DUMMYFUNCTION("""COMPUTED_VALUE"""),89.0)</f>
        <v>89</v>
      </c>
      <c r="J3026" s="18">
        <f>IFERROR(__xludf.DUMMYFUNCTION("""COMPUTED_VALUE"""),1.0)</f>
        <v>1</v>
      </c>
      <c r="K3026" s="18">
        <f>IFERROR(__xludf.DUMMYFUNCTION("""COMPUTED_VALUE"""),10.0)</f>
        <v>10</v>
      </c>
      <c r="L3026" s="17">
        <f>IFERROR(__xludf.DUMMYFUNCTION("""COMPUTED_VALUE"""),3.213260509E9)</f>
        <v>3213260509</v>
      </c>
      <c r="M3026" s="17" t="str">
        <f>IFERROR(__xludf.DUMMYFUNCTION("""COMPUTED_VALUE"""),"#REF!")</f>
        <v>#REF!</v>
      </c>
      <c r="N3026" s="17"/>
      <c r="O3026" s="17"/>
      <c r="P3026" s="17" t="b">
        <f>IFERROR(__xludf.DUMMYFUNCTION("""COMPUTED_VALUE"""),FALSE)</f>
        <v>0</v>
      </c>
      <c r="Q3026" s="20" t="str">
        <f>IFERROR(__xludf.DUMMYFUNCTION("""COMPUTED_VALUE"""),"")</f>
        <v/>
      </c>
      <c r="R3026" s="21" t="str">
        <f>IFERROR(__xludf.DUMMYFUNCTION("""COMPUTED_VALUE"""),"https://drive.google.com/file/d/1_4BN1c8prpcitzT1dPw1SevM1FGKpdSz/view?usp=drivesdk")</f>
        <v>https://drive.google.com/file/d/1_4BN1c8prpcitzT1dPw1SevM1FGKpdSz/view?usp=drivesdk</v>
      </c>
    </row>
    <row r="3027">
      <c r="A3027" s="15">
        <f>IFERROR(__xludf.DUMMYFUNCTION("""COMPUTED_VALUE"""),45091.0)</f>
        <v>45091</v>
      </c>
      <c r="B3027" s="16" t="str">
        <f>IFERROR(__xludf.DUMMYFUNCTION("""COMPUTED_VALUE"""),"Envia")</f>
        <v>Envia</v>
      </c>
      <c r="C3027" s="15" t="str">
        <f>IFERROR(__xludf.DUMMYFUNCTION("""COMPUTED_VALUE"""),"CALI")</f>
        <v>CALI</v>
      </c>
      <c r="D3027" s="15" t="str">
        <f>IFERROR(__xludf.DUMMYFUNCTION("""COMPUTED_VALUE"""),"BOGOTÁ")</f>
        <v>BOGOTÁ</v>
      </c>
      <c r="E3027" s="15" t="str">
        <f>IFERROR(__xludf.DUMMYFUNCTION("""COMPUTED_VALUE"""),"Karem foods")</f>
        <v>Karem foods</v>
      </c>
      <c r="F3027" s="17" t="str">
        <f>IFERROR(__xludf.DUMMYFUNCTION("""COMPUTED_VALUE"""),"Calle 52 # 1 N - 97 / No  / Reciben de 8-12 y 2-5")</f>
        <v>Calle 52 # 1 N - 97 / No  / Reciben de 8-12 y 2-5</v>
      </c>
      <c r="G3027" s="15" t="str">
        <f>IFERROR(__xludf.DUMMYFUNCTION("""COMPUTED_VALUE"""),"Claudia valencia")</f>
        <v>Claudia valencia</v>
      </c>
      <c r="H3027" s="16">
        <f>IFERROR(__xludf.DUMMYFUNCTION("""COMPUTED_VALUE"""),11702.0)</f>
        <v>11702</v>
      </c>
      <c r="I3027" s="18">
        <f>IFERROR(__xludf.DUMMYFUNCTION("""COMPUTED_VALUE"""),8.0)</f>
        <v>8</v>
      </c>
      <c r="J3027" s="18">
        <f>IFERROR(__xludf.DUMMYFUNCTION("""COMPUTED_VALUE"""),25.0)</f>
        <v>25</v>
      </c>
      <c r="K3027" s="18">
        <f>IFERROR(__xludf.DUMMYFUNCTION("""COMPUTED_VALUE"""),22.0)</f>
        <v>22</v>
      </c>
      <c r="L3027" s="17">
        <f>IFERROR(__xludf.DUMMYFUNCTION("""COMPUTED_VALUE"""),3.164527635E9)</f>
        <v>3164527635</v>
      </c>
      <c r="M3027" s="17" t="str">
        <f>IFERROR(__xludf.DUMMYFUNCTION("""COMPUTED_VALUE"""),"#REF!")</f>
        <v>#REF!</v>
      </c>
      <c r="N3027" s="17"/>
      <c r="O3027" s="17"/>
      <c r="P3027" s="17" t="b">
        <f>IFERROR(__xludf.DUMMYFUNCTION("""COMPUTED_VALUE"""),FALSE)</f>
        <v>0</v>
      </c>
      <c r="Q3027" s="20" t="str">
        <f>IFERROR(__xludf.DUMMYFUNCTION("""COMPUTED_VALUE"""),"")</f>
        <v/>
      </c>
      <c r="R3027" s="21" t="str">
        <f>IFERROR(__xludf.DUMMYFUNCTION("""COMPUTED_VALUE"""),"https://drive.google.com/file/d/1MvdBRA5zsjtzC8HL9SwGPz0wlTTkhCqj/view?usp=drivesdk")</f>
        <v>https://drive.google.com/file/d/1MvdBRA5zsjtzC8HL9SwGPz0wlTTkhCqj/view?usp=drivesdk</v>
      </c>
    </row>
    <row r="3028">
      <c r="A3028" s="15">
        <f>IFERROR(__xludf.DUMMYFUNCTION("""COMPUTED_VALUE"""),45091.0)</f>
        <v>45091</v>
      </c>
      <c r="B3028" s="16" t="str">
        <f>IFERROR(__xludf.DUMMYFUNCTION("""COMPUTED_VALUE"""),"Envia")</f>
        <v>Envia</v>
      </c>
      <c r="C3028" s="15" t="str">
        <f>IFERROR(__xludf.DUMMYFUNCTION("""COMPUTED_VALUE"""),"CALI")</f>
        <v>CALI</v>
      </c>
      <c r="D3028" s="15" t="str">
        <f>IFERROR(__xludf.DUMMYFUNCTION("""COMPUTED_VALUE"""),"BOGOTÁ")</f>
        <v>BOGOTÁ</v>
      </c>
      <c r="E3028" s="15" t="str">
        <f>IFERROR(__xludf.DUMMYFUNCTION("""COMPUTED_VALUE"""),"My Choice")</f>
        <v>My Choice</v>
      </c>
      <c r="F3028" s="17" t="str">
        <f>IFERROR(__xludf.DUMMYFUNCTION("""COMPUTED_VALUE"""),"Vía dapa km 1 colinas de arroyohondo  / Condominio Colinas de Arroyohondo , casa 57-6 / Dapa")</f>
        <v>Vía dapa km 1 colinas de arroyohondo  / Condominio Colinas de Arroyohondo , casa 57-6 / Dapa</v>
      </c>
      <c r="G3028" s="15" t="str">
        <f>IFERROR(__xludf.DUMMYFUNCTION("""COMPUTED_VALUE"""),"Alejandra Castillo")</f>
        <v>Alejandra Castillo</v>
      </c>
      <c r="H3028" s="16">
        <f>IFERROR(__xludf.DUMMYFUNCTION("""COMPUTED_VALUE"""),11674.0)</f>
        <v>11674</v>
      </c>
      <c r="I3028" s="18">
        <f>IFERROR(__xludf.DUMMYFUNCTION("""COMPUTED_VALUE"""),55.0)</f>
        <v>55</v>
      </c>
      <c r="J3028" s="18">
        <f>IFERROR(__xludf.DUMMYFUNCTION("""COMPUTED_VALUE"""),36.0)</f>
        <v>36</v>
      </c>
      <c r="K3028" s="18">
        <f>IFERROR(__xludf.DUMMYFUNCTION("""COMPUTED_VALUE"""),18.0)</f>
        <v>18</v>
      </c>
      <c r="L3028" s="17">
        <f>IFERROR(__xludf.DUMMYFUNCTION("""COMPUTED_VALUE"""),3.232263656E9)</f>
        <v>3232263656</v>
      </c>
      <c r="M3028" s="17" t="str">
        <f>IFERROR(__xludf.DUMMYFUNCTION("""COMPUTED_VALUE"""),"#REF!")</f>
        <v>#REF!</v>
      </c>
      <c r="N3028" s="17"/>
      <c r="O3028" s="17"/>
      <c r="P3028" s="17" t="b">
        <f>IFERROR(__xludf.DUMMYFUNCTION("""COMPUTED_VALUE"""),FALSE)</f>
        <v>0</v>
      </c>
      <c r="Q3028" s="20" t="str">
        <f>IFERROR(__xludf.DUMMYFUNCTION("""COMPUTED_VALUE"""),"")</f>
        <v/>
      </c>
      <c r="R3028" s="21" t="str">
        <f>IFERROR(__xludf.DUMMYFUNCTION("""COMPUTED_VALUE"""),"https://drive.google.com/file/d/1uHhe2GSfrINMSGYiviLKWfi-07govN7x/view?usp=drivesdk")</f>
        <v>https://drive.google.com/file/d/1uHhe2GSfrINMSGYiviLKWfi-07govN7x/view?usp=drivesdk</v>
      </c>
    </row>
    <row r="3029">
      <c r="A3029" s="15">
        <f>IFERROR(__xludf.DUMMYFUNCTION("""COMPUTED_VALUE"""),45091.0)</f>
        <v>45091</v>
      </c>
      <c r="B3029" s="16" t="str">
        <f>IFERROR(__xludf.DUMMYFUNCTION("""COMPUTED_VALUE"""),"Envia")</f>
        <v>Envia</v>
      </c>
      <c r="C3029" s="15" t="str">
        <f>IFERROR(__xludf.DUMMYFUNCTION("""COMPUTED_VALUE"""),"CALI")</f>
        <v>CALI</v>
      </c>
      <c r="D3029" s="15" t="str">
        <f>IFERROR(__xludf.DUMMYFUNCTION("""COMPUTED_VALUE"""),"BOGOTÁ")</f>
        <v>BOGOTÁ</v>
      </c>
      <c r="E3029" s="15" t="str">
        <f>IFERROR(__xludf.DUMMYFUNCTION("""COMPUTED_VALUE"""),"My Choice")</f>
        <v>My Choice</v>
      </c>
      <c r="F3029" s="17" t="str">
        <f>IFERROR(__xludf.DUMMYFUNCTION("""COMPUTED_VALUE"""),"Vía dapa Km 1 colinas de arroyohondo  / Condominio colinas De Arroyohondo ,casa 57-6 / Dapa")</f>
        <v>Vía dapa Km 1 colinas de arroyohondo  / Condominio colinas De Arroyohondo ,casa 57-6 / Dapa</v>
      </c>
      <c r="G3029" s="15" t="str">
        <f>IFERROR(__xludf.DUMMYFUNCTION("""COMPUTED_VALUE"""),"Alejandra Castillo")</f>
        <v>Alejandra Castillo</v>
      </c>
      <c r="H3029" s="16">
        <f>IFERROR(__xludf.DUMMYFUNCTION("""COMPUTED_VALUE"""),11675.0)</f>
        <v>11675</v>
      </c>
      <c r="I3029" s="18">
        <f>IFERROR(__xludf.DUMMYFUNCTION("""COMPUTED_VALUE"""),7.0)</f>
        <v>7</v>
      </c>
      <c r="J3029" s="18">
        <f>IFERROR(__xludf.DUMMYFUNCTION("""COMPUTED_VALUE"""),29.0)</f>
        <v>29</v>
      </c>
      <c r="K3029" s="18">
        <f>IFERROR(__xludf.DUMMYFUNCTION("""COMPUTED_VALUE"""),19.0)</f>
        <v>19</v>
      </c>
      <c r="L3029" s="17">
        <f>IFERROR(__xludf.DUMMYFUNCTION("""COMPUTED_VALUE"""),3.232263656E9)</f>
        <v>3232263656</v>
      </c>
      <c r="M3029" s="17" t="str">
        <f>IFERROR(__xludf.DUMMYFUNCTION("""COMPUTED_VALUE"""),"#REF!")</f>
        <v>#REF!</v>
      </c>
      <c r="N3029" s="17"/>
      <c r="O3029" s="17"/>
      <c r="P3029" s="17" t="b">
        <f>IFERROR(__xludf.DUMMYFUNCTION("""COMPUTED_VALUE"""),FALSE)</f>
        <v>0</v>
      </c>
      <c r="Q3029" s="20" t="str">
        <f>IFERROR(__xludf.DUMMYFUNCTION("""COMPUTED_VALUE"""),"")</f>
        <v/>
      </c>
      <c r="R3029" s="21" t="str">
        <f>IFERROR(__xludf.DUMMYFUNCTION("""COMPUTED_VALUE"""),"https://drive.google.com/file/d/1woazarWSiSPUlLGV3M8TeZmXhKIPUtpx/view?usp=drivesdk")</f>
        <v>https://drive.google.com/file/d/1woazarWSiSPUlLGV3M8TeZmXhKIPUtpx/view?usp=drivesdk</v>
      </c>
    </row>
    <row r="3030">
      <c r="A3030" s="15">
        <f>IFERROR(__xludf.DUMMYFUNCTION("""COMPUTED_VALUE"""),45091.0)</f>
        <v>45091</v>
      </c>
      <c r="B3030" s="16" t="str">
        <f>IFERROR(__xludf.DUMMYFUNCTION("""COMPUTED_VALUE"""),"Envia")</f>
        <v>Envia</v>
      </c>
      <c r="C3030" s="15" t="str">
        <f>IFERROR(__xludf.DUMMYFUNCTION("""COMPUTED_VALUE"""),"IBAGUÉ")</f>
        <v>IBAGUÉ</v>
      </c>
      <c r="D3030" s="15" t="str">
        <f>IFERROR(__xludf.DUMMYFUNCTION("""COMPUTED_VALUE"""),"BOGOTÁ")</f>
        <v>BOGOTÁ</v>
      </c>
      <c r="E3030" s="15" t="str">
        <f>IFERROR(__xludf.DUMMYFUNCTION("""COMPUTED_VALUE"""),"Asociacion Agropecuaria Juana Maria")</f>
        <v>Asociacion Agropecuaria Juana Maria</v>
      </c>
      <c r="F3030" s="17" t="str">
        <f>IFERROR(__xludf.DUMMYFUNCTION("""COMPUTED_VALUE"""),"MZ 13 CASA 3 PISO 3 PROTECHO TOPACIO")</f>
        <v>MZ 13 CASA 3 PISO 3 PROTECHO TOPACIO</v>
      </c>
      <c r="G3030" s="15" t="str">
        <f>IFERROR(__xludf.DUMMYFUNCTION("""COMPUTED_VALUE"""),"Diana Carolina Preciado")</f>
        <v>Diana Carolina Preciado</v>
      </c>
      <c r="H3030" s="16">
        <f>IFERROR(__xludf.DUMMYFUNCTION("""COMPUTED_VALUE"""),11614.0)</f>
        <v>11614</v>
      </c>
      <c r="I3030" s="18">
        <f>IFERROR(__xludf.DUMMYFUNCTION("""COMPUTED_VALUE"""),10.0)</f>
        <v>10</v>
      </c>
      <c r="J3030" s="18">
        <f>IFERROR(__xludf.DUMMYFUNCTION("""COMPUTED_VALUE"""),34.0)</f>
        <v>34</v>
      </c>
      <c r="K3030" s="18">
        <f>IFERROR(__xludf.DUMMYFUNCTION("""COMPUTED_VALUE"""),18.0)</f>
        <v>18</v>
      </c>
      <c r="L3030" s="17">
        <f>IFERROR(__xludf.DUMMYFUNCTION("""COMPUTED_VALUE"""),3.187475137E9)</f>
        <v>3187475137</v>
      </c>
      <c r="M3030" s="17" t="str">
        <f>IFERROR(__xludf.DUMMYFUNCTION("""COMPUTED_VALUE"""),"#REF!")</f>
        <v>#REF!</v>
      </c>
      <c r="N3030" s="17"/>
      <c r="O3030" s="17"/>
      <c r="P3030" s="17" t="b">
        <f>IFERROR(__xludf.DUMMYFUNCTION("""COMPUTED_VALUE"""),TRUE)</f>
        <v>1</v>
      </c>
      <c r="Q3030" s="20">
        <f>IFERROR(__xludf.DUMMYFUNCTION("""COMPUTED_VALUE"""),45091.74914777778)</f>
        <v>45091.74915</v>
      </c>
      <c r="R3030" s="21" t="str">
        <f>IFERROR(__xludf.DUMMYFUNCTION("""COMPUTED_VALUE"""),"https://drive.google.com/file/d/1DQ4hYOU5r_gfBWmyIszJLn_D7kOD4Bd9/view?usp=drivesdk")</f>
        <v>https://drive.google.com/file/d/1DQ4hYOU5r_gfBWmyIszJLn_D7kOD4Bd9/view?usp=drivesdk</v>
      </c>
    </row>
    <row r="3031">
      <c r="A3031" s="15">
        <f>IFERROR(__xludf.DUMMYFUNCTION("""COMPUTED_VALUE"""),45091.0)</f>
        <v>45091</v>
      </c>
      <c r="B3031" s="16" t="str">
        <f>IFERROR(__xludf.DUMMYFUNCTION("""COMPUTED_VALUE"""),"Envia")</f>
        <v>Envia</v>
      </c>
      <c r="C3031" s="15" t="str">
        <f>IFERROR(__xludf.DUMMYFUNCTION("""COMPUTED_VALUE"""),"IBAGUÉ")</f>
        <v>IBAGUÉ</v>
      </c>
      <c r="D3031" s="15" t="str">
        <f>IFERROR(__xludf.DUMMYFUNCTION("""COMPUTED_VALUE"""),"BOGOTÁ")</f>
        <v>BOGOTÁ</v>
      </c>
      <c r="E3031" s="15" t="str">
        <f>IFERROR(__xludf.DUMMYFUNCTION("""COMPUTED_VALUE"""),"Ins. Alimento Vital")</f>
        <v>Ins. Alimento Vital</v>
      </c>
      <c r="F3031" s="17" t="str">
        <f>IFERROR(__xludf.DUMMYFUNCTION("""COMPUTED_VALUE"""),"MANZANA M CASA 2B / MANZANA M CASA 2B / BARRIO ARKALA IBAGUE")</f>
        <v>MANZANA M CASA 2B / MANZANA M CASA 2B / BARRIO ARKALA IBAGUE</v>
      </c>
      <c r="G3031" s="15" t="str">
        <f>IFERROR(__xludf.DUMMYFUNCTION("""COMPUTED_VALUE"""),"MIRYAM TORRES")</f>
        <v>MIRYAM TORRES</v>
      </c>
      <c r="H3031" s="16">
        <f>IFERROR(__xludf.DUMMYFUNCTION("""COMPUTED_VALUE"""),11627.0)</f>
        <v>11627</v>
      </c>
      <c r="I3031" s="18">
        <f>IFERROR(__xludf.DUMMYFUNCTION("""COMPUTED_VALUE"""),1.0)</f>
        <v>1</v>
      </c>
      <c r="J3031" s="18">
        <f>IFERROR(__xludf.DUMMYFUNCTION("""COMPUTED_VALUE"""),1.0)</f>
        <v>1</v>
      </c>
      <c r="K3031" s="18">
        <f>IFERROR(__xludf.DUMMYFUNCTION("""COMPUTED_VALUE"""),1.0)</f>
        <v>1</v>
      </c>
      <c r="L3031" s="17">
        <f>IFERROR(__xludf.DUMMYFUNCTION("""COMPUTED_VALUE"""),3.134502277E9)</f>
        <v>3134502277</v>
      </c>
      <c r="M3031" s="17" t="str">
        <f>IFERROR(__xludf.DUMMYFUNCTION("""COMPUTED_VALUE"""),"#REF!")</f>
        <v>#REF!</v>
      </c>
      <c r="N3031" s="17"/>
      <c r="O3031" s="17"/>
      <c r="P3031" s="17" t="b">
        <f>IFERROR(__xludf.DUMMYFUNCTION("""COMPUTED_VALUE"""),FALSE)</f>
        <v>0</v>
      </c>
      <c r="Q3031" s="20" t="str">
        <f>IFERROR(__xludf.DUMMYFUNCTION("""COMPUTED_VALUE"""),"")</f>
        <v/>
      </c>
      <c r="R3031" s="21" t="str">
        <f>IFERROR(__xludf.DUMMYFUNCTION("""COMPUTED_VALUE"""),"https://drive.google.com/file/d/1LgqNQDw77rtkI3S2wdlTjaEQ3XsDOdSH/view?usp=drivesdk")</f>
        <v>https://drive.google.com/file/d/1LgqNQDw77rtkI3S2wdlTjaEQ3XsDOdSH/view?usp=drivesdk</v>
      </c>
    </row>
    <row r="3032">
      <c r="A3032" s="15">
        <f>IFERROR(__xludf.DUMMYFUNCTION("""COMPUTED_VALUE"""),45091.0)</f>
        <v>45091</v>
      </c>
      <c r="B3032" s="16" t="str">
        <f>IFERROR(__xludf.DUMMYFUNCTION("""COMPUTED_VALUE"""),"Envia")</f>
        <v>Envia</v>
      </c>
      <c r="C3032" s="15" t="str">
        <f>IFERROR(__xludf.DUMMYFUNCTION("""COMPUTED_VALUE"""),"MADRID")</f>
        <v>MADRID</v>
      </c>
      <c r="D3032" s="15" t="str">
        <f>IFERROR(__xludf.DUMMYFUNCTION("""COMPUTED_VALUE"""),"MEDELLÍN")</f>
        <v>MEDELLÍN</v>
      </c>
      <c r="E3032" s="15" t="str">
        <f>IFERROR(__xludf.DUMMYFUNCTION("""COMPUTED_VALUE"""),"Rambla")</f>
        <v>Rambla</v>
      </c>
      <c r="F3032" s="17" t="str">
        <f>IFERROR(__xludf.DUMMYFUNCTION("""COMPUTED_VALUE"""),"Carrera 12 #23a-50 Torre 11 Apto 504. Madrid (Cund / NA / NA")</f>
        <v>Carrera 12 #23a-50 Torre 11 Apto 504. Madrid (Cund / NA / NA</v>
      </c>
      <c r="G3032" s="15" t="str">
        <f>IFERROR(__xludf.DUMMYFUNCTION("""COMPUTED_VALUE"""),"Andrea del Pilar Orjuela")</f>
        <v>Andrea del Pilar Orjuela</v>
      </c>
      <c r="H3032" s="16">
        <f>IFERROR(__xludf.DUMMYFUNCTION("""COMPUTED_VALUE"""),11682.0)</f>
        <v>11682</v>
      </c>
      <c r="I3032" s="18">
        <f>IFERROR(__xludf.DUMMYFUNCTION("""COMPUTED_VALUE"""),17.0)</f>
        <v>17</v>
      </c>
      <c r="J3032" s="18">
        <f>IFERROR(__xludf.DUMMYFUNCTION("""COMPUTED_VALUE"""),22.0)</f>
        <v>22</v>
      </c>
      <c r="K3032" s="18">
        <f>IFERROR(__xludf.DUMMYFUNCTION("""COMPUTED_VALUE"""),25.0)</f>
        <v>25</v>
      </c>
      <c r="L3032" s="17">
        <f>IFERROR(__xludf.DUMMYFUNCTION("""COMPUTED_VALUE"""),3.138854507E9)</f>
        <v>3138854507</v>
      </c>
      <c r="M3032" s="17" t="str">
        <f>IFERROR(__xludf.DUMMYFUNCTION("""COMPUTED_VALUE"""),"#REF!")</f>
        <v>#REF!</v>
      </c>
      <c r="N3032" s="17"/>
      <c r="O3032" s="17"/>
      <c r="P3032" s="17" t="b">
        <f>IFERROR(__xludf.DUMMYFUNCTION("""COMPUTED_VALUE"""),FALSE)</f>
        <v>0</v>
      </c>
      <c r="Q3032" s="20" t="str">
        <f>IFERROR(__xludf.DUMMYFUNCTION("""COMPUTED_VALUE"""),"")</f>
        <v/>
      </c>
      <c r="R3032" s="21" t="str">
        <f>IFERROR(__xludf.DUMMYFUNCTION("""COMPUTED_VALUE"""),"https://drive.google.com/file/d/1Bc30SiWBjTXYTYLAS2z8TmI1rpvR6b-q/view?usp=drivesdk")</f>
        <v>https://drive.google.com/file/d/1Bc30SiWBjTXYTYLAS2z8TmI1rpvR6b-q/view?usp=drivesdk</v>
      </c>
    </row>
    <row r="3033">
      <c r="A3033" s="15">
        <f>IFERROR(__xludf.DUMMYFUNCTION("""COMPUTED_VALUE"""),45091.0)</f>
        <v>45091</v>
      </c>
      <c r="B3033" s="16" t="str">
        <f>IFERROR(__xludf.DUMMYFUNCTION("""COMPUTED_VALUE"""),"Envia")</f>
        <v>Envia</v>
      </c>
      <c r="C3033" s="15" t="str">
        <f>IFERROR(__xludf.DUMMYFUNCTION("""COMPUTED_VALUE"""),"MEDELLIN")</f>
        <v>MEDELLIN</v>
      </c>
      <c r="D3033" s="15" t="str">
        <f>IFERROR(__xludf.DUMMYFUNCTION("""COMPUTED_VALUE"""),"BOGOTÁ")</f>
        <v>BOGOTÁ</v>
      </c>
      <c r="E3033" s="15" t="str">
        <f>IFERROR(__xludf.DUMMYFUNCTION("""COMPUTED_VALUE"""),"MAI ALIMENTOS REALES")</f>
        <v>MAI ALIMENTOS REALES</v>
      </c>
      <c r="F3033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033" s="15" t="str">
        <f>IFERROR(__xludf.DUMMYFUNCTION("""COMPUTED_VALUE"""),"Novaventas")</f>
        <v>Novaventas</v>
      </c>
      <c r="H3033" s="16">
        <f>IFERROR(__xludf.DUMMYFUNCTION("""COMPUTED_VALUE"""),11617.0)</f>
        <v>11617</v>
      </c>
      <c r="I3033" s="17"/>
      <c r="J3033" s="17"/>
      <c r="K3033" s="17"/>
      <c r="L3033" s="17">
        <f>IFERROR(__xludf.DUMMYFUNCTION("""COMPUTED_VALUE"""),3.187351593E9)</f>
        <v>3187351593</v>
      </c>
      <c r="M3033" s="17" t="str">
        <f>IFERROR(__xludf.DUMMYFUNCTION("""COMPUTED_VALUE"""),"#REF!")</f>
        <v>#REF!</v>
      </c>
      <c r="N3033" s="17"/>
      <c r="O3033" s="17"/>
      <c r="P3033" s="17" t="b">
        <f>IFERROR(__xludf.DUMMYFUNCTION("""COMPUTED_VALUE"""),FALSE)</f>
        <v>0</v>
      </c>
      <c r="Q3033" s="20" t="str">
        <f>IFERROR(__xludf.DUMMYFUNCTION("""COMPUTED_VALUE"""),"")</f>
        <v/>
      </c>
      <c r="R3033" s="21" t="str">
        <f>IFERROR(__xludf.DUMMYFUNCTION("""COMPUTED_VALUE"""),"https://drive.google.com/file/d/12yDq7gjglqlhEw5HJXzQauCMc0KdK0O7/view?usp=drivesdk")</f>
        <v>https://drive.google.com/file/d/12yDq7gjglqlhEw5HJXzQauCMc0KdK0O7/view?usp=drivesdk</v>
      </c>
    </row>
    <row r="3034">
      <c r="A3034" s="15">
        <f>IFERROR(__xludf.DUMMYFUNCTION("""COMPUTED_VALUE"""),45091.0)</f>
        <v>45091</v>
      </c>
      <c r="B3034" s="16" t="str">
        <f>IFERROR(__xludf.DUMMYFUNCTION("""COMPUTED_VALUE"""),"Envia")</f>
        <v>Envia</v>
      </c>
      <c r="C3034" s="15" t="str">
        <f>IFERROR(__xludf.DUMMYFUNCTION("""COMPUTED_VALUE"""),"MEDELLÍN")</f>
        <v>MEDELLÍN</v>
      </c>
      <c r="D3034" s="15" t="str">
        <f>IFERROR(__xludf.DUMMYFUNCTION("""COMPUTED_VALUE"""),"BOGOTÁ")</f>
        <v>BOGOTÁ</v>
      </c>
      <c r="E3034" s="15" t="str">
        <f>IFERROR(__xludf.DUMMYFUNCTION("""COMPUTED_VALUE"""),"Asociacion Agropecuaria Juana Maria")</f>
        <v>Asociacion Agropecuaria Juana Maria</v>
      </c>
      <c r="F3034" s="17" t="str">
        <f>IFERROR(__xludf.DUMMYFUNCTION("""COMPUTED_VALUE"""),"Cra 82C # 30A-100 apto 1202 urbanizacion Torres de Vicuña Belen los Alpes")</f>
        <v>Cra 82C # 30A-100 apto 1202 urbanizacion Torres de Vicuña Belen los Alpes</v>
      </c>
      <c r="G3034" s="15" t="str">
        <f>IFERROR(__xludf.DUMMYFUNCTION("""COMPUTED_VALUE"""),"Gloria Moreno")</f>
        <v>Gloria Moreno</v>
      </c>
      <c r="H3034" s="16">
        <f>IFERROR(__xludf.DUMMYFUNCTION("""COMPUTED_VALUE"""),11609.0)</f>
        <v>11609</v>
      </c>
      <c r="I3034" s="18">
        <f>IFERROR(__xludf.DUMMYFUNCTION("""COMPUTED_VALUE"""),12.0)</f>
        <v>12</v>
      </c>
      <c r="J3034" s="18">
        <f>IFERROR(__xludf.DUMMYFUNCTION("""COMPUTED_VALUE"""),37.0)</f>
        <v>37</v>
      </c>
      <c r="K3034" s="18">
        <f>IFERROR(__xludf.DUMMYFUNCTION("""COMPUTED_VALUE"""),24.0)</f>
        <v>24</v>
      </c>
      <c r="L3034" s="17">
        <f>IFERROR(__xludf.DUMMYFUNCTION("""COMPUTED_VALUE"""),3.162544201E9)</f>
        <v>3162544201</v>
      </c>
      <c r="M3034" s="17" t="str">
        <f>IFERROR(__xludf.DUMMYFUNCTION("""COMPUTED_VALUE"""),"#REF!")</f>
        <v>#REF!</v>
      </c>
      <c r="N3034" s="17"/>
      <c r="O3034" s="17"/>
      <c r="P3034" s="17" t="b">
        <f>IFERROR(__xludf.DUMMYFUNCTION("""COMPUTED_VALUE"""),FALSE)</f>
        <v>0</v>
      </c>
      <c r="Q3034" s="20" t="str">
        <f>IFERROR(__xludf.DUMMYFUNCTION("""COMPUTED_VALUE"""),"")</f>
        <v/>
      </c>
      <c r="R3034" s="21" t="str">
        <f>IFERROR(__xludf.DUMMYFUNCTION("""COMPUTED_VALUE"""),"https://drive.google.com/file/d/1dbL90tNuzkpEsUBmxrBMyAor8Sfo2Rux/view?usp=drivesdk")</f>
        <v>https://drive.google.com/file/d/1dbL90tNuzkpEsUBmxrBMyAor8Sfo2Rux/view?usp=drivesdk</v>
      </c>
    </row>
    <row r="3035">
      <c r="A3035" s="15">
        <f>IFERROR(__xludf.DUMMYFUNCTION("""COMPUTED_VALUE"""),45091.0)</f>
        <v>45091</v>
      </c>
      <c r="B3035" s="16" t="str">
        <f>IFERROR(__xludf.DUMMYFUNCTION("""COMPUTED_VALUE"""),"Envia")</f>
        <v>Envia</v>
      </c>
      <c r="C3035" s="15" t="str">
        <f>IFERROR(__xludf.DUMMYFUNCTION("""COMPUTED_VALUE"""),"MEDELLÍN")</f>
        <v>MEDELLÍN</v>
      </c>
      <c r="D3035" s="15" t="str">
        <f>IFERROR(__xludf.DUMMYFUNCTION("""COMPUTED_VALUE"""),"BOGOTÁ")</f>
        <v>BOGOTÁ</v>
      </c>
      <c r="E3035" s="15" t="str">
        <f>IFERROR(__xludf.DUMMYFUNCTION("""COMPUTED_VALUE"""),"Bendita Carne")</f>
        <v>Bendita Carne</v>
      </c>
      <c r="F3035" s="17" t="str">
        <f>IFERROR(__xludf.DUMMYFUNCTION("""COMPUTED_VALUE"""),"Calle 41 sur# 29b-13 / Edificio / Barrio la fe")</f>
        <v>Calle 41 sur# 29b-13 / Edificio / Barrio la fe</v>
      </c>
      <c r="G3035" s="15" t="str">
        <f>IFERROR(__xludf.DUMMYFUNCTION("""COMPUTED_VALUE"""),"Sebastián Román")</f>
        <v>Sebastián Román</v>
      </c>
      <c r="H3035" s="16">
        <f>IFERROR(__xludf.DUMMYFUNCTION("""COMPUTED_VALUE"""),11678.0)</f>
        <v>11678</v>
      </c>
      <c r="I3035" s="18">
        <f>IFERROR(__xludf.DUMMYFUNCTION("""COMPUTED_VALUE"""),10.0)</f>
        <v>10</v>
      </c>
      <c r="J3035" s="18">
        <f>IFERROR(__xludf.DUMMYFUNCTION("""COMPUTED_VALUE"""),20.0)</f>
        <v>20</v>
      </c>
      <c r="K3035" s="18">
        <f>IFERROR(__xludf.DUMMYFUNCTION("""COMPUTED_VALUE"""),20.0)</f>
        <v>20</v>
      </c>
      <c r="L3035" s="17">
        <f>IFERROR(__xludf.DUMMYFUNCTION("""COMPUTED_VALUE"""),3.00865481E9)</f>
        <v>3008654810</v>
      </c>
      <c r="M3035" s="17" t="str">
        <f>IFERROR(__xludf.DUMMYFUNCTION("""COMPUTED_VALUE"""),"#REF!")</f>
        <v>#REF!</v>
      </c>
      <c r="N3035" s="17"/>
      <c r="O3035" s="17"/>
      <c r="P3035" s="17" t="b">
        <f>IFERROR(__xludf.DUMMYFUNCTION("""COMPUTED_VALUE"""),FALSE)</f>
        <v>0</v>
      </c>
      <c r="Q3035" s="20" t="str">
        <f>IFERROR(__xludf.DUMMYFUNCTION("""COMPUTED_VALUE"""),"")</f>
        <v/>
      </c>
      <c r="R3035" s="21" t="str">
        <f>IFERROR(__xludf.DUMMYFUNCTION("""COMPUTED_VALUE"""),"https://drive.google.com/file/d/1le4pzmbTBT8BVcrS0HTt9pqYDOIxzajm/view?usp=drivesdk")</f>
        <v>https://drive.google.com/file/d/1le4pzmbTBT8BVcrS0HTt9pqYDOIxzajm/view?usp=drivesdk</v>
      </c>
    </row>
    <row r="3036">
      <c r="A3036" s="15">
        <f>IFERROR(__xludf.DUMMYFUNCTION("""COMPUTED_VALUE"""),45091.0)</f>
        <v>45091</v>
      </c>
      <c r="B3036" s="16" t="str">
        <f>IFERROR(__xludf.DUMMYFUNCTION("""COMPUTED_VALUE"""),"Envia")</f>
        <v>Envia</v>
      </c>
      <c r="C3036" s="15" t="str">
        <f>IFERROR(__xludf.DUMMYFUNCTION("""COMPUTED_VALUE"""),"MEDELLÍN")</f>
        <v>MEDELLÍN</v>
      </c>
      <c r="D3036" s="15" t="str">
        <f>IFERROR(__xludf.DUMMYFUNCTION("""COMPUTED_VALUE"""),"BOGOTÁ")</f>
        <v>BOGOTÁ</v>
      </c>
      <c r="E3036" s="15" t="str">
        <f>IFERROR(__xludf.DUMMYFUNCTION("""COMPUTED_VALUE"""),"Evamazzita")</f>
        <v>Evamazzita</v>
      </c>
      <c r="F3036" s="17" t="str">
        <f>IFERROR(__xludf.DUMMYFUNCTION("""COMPUTED_VALUE"""),"Calle 48 F sur 40 55  / Puerto luna apto 102   / Envigado señorial")</f>
        <v>Calle 48 F sur 40 55  / Puerto luna apto 102   / Envigado señorial</v>
      </c>
      <c r="G3036" s="15" t="str">
        <f>IFERROR(__xludf.DUMMYFUNCTION("""COMPUTED_VALUE"""),"VERONICA OSPINA AGUIRRE")</f>
        <v>VERONICA OSPINA AGUIRRE</v>
      </c>
      <c r="H3036" s="16">
        <f>IFERROR(__xludf.DUMMYFUNCTION("""COMPUTED_VALUE"""),11637.0)</f>
        <v>11637</v>
      </c>
      <c r="I3036" s="18">
        <f>IFERROR(__xludf.DUMMYFUNCTION("""COMPUTED_VALUE"""),3.0)</f>
        <v>3</v>
      </c>
      <c r="J3036" s="18">
        <f>IFERROR(__xludf.DUMMYFUNCTION("""COMPUTED_VALUE"""),15.0)</f>
        <v>15</v>
      </c>
      <c r="K3036" s="18">
        <f>IFERROR(__xludf.DUMMYFUNCTION("""COMPUTED_VALUE"""),20.0)</f>
        <v>20</v>
      </c>
      <c r="L3036" s="17">
        <f>IFERROR(__xludf.DUMMYFUNCTION("""COMPUTED_VALUE"""),3.005665757E9)</f>
        <v>3005665757</v>
      </c>
      <c r="M3036" s="17" t="str">
        <f>IFERROR(__xludf.DUMMYFUNCTION("""COMPUTED_VALUE"""),"#REF!")</f>
        <v>#REF!</v>
      </c>
      <c r="N3036" s="17"/>
      <c r="O3036" s="17"/>
      <c r="P3036" s="17" t="b">
        <f>IFERROR(__xludf.DUMMYFUNCTION("""COMPUTED_VALUE"""),FALSE)</f>
        <v>0</v>
      </c>
      <c r="Q3036" s="20" t="str">
        <f>IFERROR(__xludf.DUMMYFUNCTION("""COMPUTED_VALUE"""),"")</f>
        <v/>
      </c>
      <c r="R3036" s="21" t="str">
        <f>IFERROR(__xludf.DUMMYFUNCTION("""COMPUTED_VALUE"""),"https://drive.google.com/file/d/1Ukqlw1qxU5CiAf4ttNC-oaKSPmeQDGuO/view?usp=drivesdk")</f>
        <v>https://drive.google.com/file/d/1Ukqlw1qxU5CiAf4ttNC-oaKSPmeQDGuO/view?usp=drivesdk</v>
      </c>
    </row>
    <row r="3037">
      <c r="A3037" s="15">
        <f>IFERROR(__xludf.DUMMYFUNCTION("""COMPUTED_VALUE"""),45091.0)</f>
        <v>45091</v>
      </c>
      <c r="B3037" s="16" t="str">
        <f>IFERROR(__xludf.DUMMYFUNCTION("""COMPUTED_VALUE"""),"Envia")</f>
        <v>Envia</v>
      </c>
      <c r="C3037" s="15" t="str">
        <f>IFERROR(__xludf.DUMMYFUNCTION("""COMPUTED_VALUE"""),"MEDELLÍN")</f>
        <v>MEDELLÍN</v>
      </c>
      <c r="D3037" s="15" t="str">
        <f>IFERROR(__xludf.DUMMYFUNCTION("""COMPUTED_VALUE"""),"BOGOTÁ")</f>
        <v>BOGOTÁ</v>
      </c>
      <c r="E3037" s="15" t="str">
        <f>IFERROR(__xludf.DUMMYFUNCTION("""COMPUTED_VALUE"""),"Ins. Alimento Vital")</f>
        <v>Ins. Alimento Vital</v>
      </c>
      <c r="F3037" s="17" t="str">
        <f>IFERROR(__xludf.DUMMYFUNCTION("""COMPUTED_VALUE"""),"AV 74B 39B 142 / CASA NEGRA 2 PISO / BARRIO LAURELES")</f>
        <v>AV 74B 39B 142 / CASA NEGRA 2 PISO / BARRIO LAURELES</v>
      </c>
      <c r="G3037" s="15" t="str">
        <f>IFERROR(__xludf.DUMMYFUNCTION("""COMPUTED_VALUE"""),"VELOCITY MEDELLIN")</f>
        <v>VELOCITY MEDELLIN</v>
      </c>
      <c r="H3037" s="16">
        <f>IFERROR(__xludf.DUMMYFUNCTION("""COMPUTED_VALUE"""),11618.0)</f>
        <v>11618</v>
      </c>
      <c r="I3037" s="18">
        <f>IFERROR(__xludf.DUMMYFUNCTION("""COMPUTED_VALUE"""),1.0)</f>
        <v>1</v>
      </c>
      <c r="J3037" s="18">
        <f>IFERROR(__xludf.DUMMYFUNCTION("""COMPUTED_VALUE"""),1.0)</f>
        <v>1</v>
      </c>
      <c r="K3037" s="18">
        <f>IFERROR(__xludf.DUMMYFUNCTION("""COMPUTED_VALUE"""),1.0)</f>
        <v>1</v>
      </c>
      <c r="L3037" s="17">
        <f>IFERROR(__xludf.DUMMYFUNCTION("""COMPUTED_VALUE"""),3.239674555E9)</f>
        <v>3239674555</v>
      </c>
      <c r="M3037" s="17" t="str">
        <f>IFERROR(__xludf.DUMMYFUNCTION("""COMPUTED_VALUE"""),"#REF!")</f>
        <v>#REF!</v>
      </c>
      <c r="N3037" s="17"/>
      <c r="O3037" s="17"/>
      <c r="P3037" s="17" t="b">
        <f>IFERROR(__xludf.DUMMYFUNCTION("""COMPUTED_VALUE"""),FALSE)</f>
        <v>0</v>
      </c>
      <c r="Q3037" s="20" t="str">
        <f>IFERROR(__xludf.DUMMYFUNCTION("""COMPUTED_VALUE"""),"")</f>
        <v/>
      </c>
      <c r="R3037" s="21" t="str">
        <f>IFERROR(__xludf.DUMMYFUNCTION("""COMPUTED_VALUE"""),"https://drive.google.com/file/d/1pCVqHzEtMPC4odxIVAJf0NBXj6qq8yWC/view?usp=drivesdk")</f>
        <v>https://drive.google.com/file/d/1pCVqHzEtMPC4odxIVAJf0NBXj6qq8yWC/view?usp=drivesdk</v>
      </c>
    </row>
    <row r="3038">
      <c r="A3038" s="15">
        <f>IFERROR(__xludf.DUMMYFUNCTION("""COMPUTED_VALUE"""),45091.0)</f>
        <v>45091</v>
      </c>
      <c r="B3038" s="16" t="str">
        <f>IFERROR(__xludf.DUMMYFUNCTION("""COMPUTED_VALUE"""),"Envia")</f>
        <v>Envia</v>
      </c>
      <c r="C3038" s="15" t="str">
        <f>IFERROR(__xludf.DUMMYFUNCTION("""COMPUTED_VALUE"""),"MEDELLÍN")</f>
        <v>MEDELLÍN</v>
      </c>
      <c r="D3038" s="15" t="str">
        <f>IFERROR(__xludf.DUMMYFUNCTION("""COMPUTED_VALUE"""),"BOGOTÁ")</f>
        <v>BOGOTÁ</v>
      </c>
      <c r="E3038" s="15" t="str">
        <f>IFERROR(__xludf.DUMMYFUNCTION("""COMPUTED_VALUE"""),"Pave")</f>
        <v>Pave</v>
      </c>
      <c r="F3038" s="17" t="str">
        <f>IFERROR(__xludf.DUMMYFUNCTION("""COMPUTED_VALUE"""),"PARMA APTOS Calle 12# 40 a 135 apto 602 / PARMA APTOS Calle 12# 40 a 135 apto 602 / PARMA APTOS Calle 12# 40 a 135 apto 602")</f>
        <v>PARMA APTOS Calle 12# 40 a 135 apto 602 / PARMA APTOS Calle 12# 40 a 135 apto 602 / PARMA APTOS Calle 12# 40 a 135 apto 602</v>
      </c>
      <c r="G3038" s="15" t="str">
        <f>IFERROR(__xludf.DUMMYFUNCTION("""COMPUTED_VALUE"""),"sara correa")</f>
        <v>sara correa</v>
      </c>
      <c r="H3038" s="16">
        <f>IFERROR(__xludf.DUMMYFUNCTION("""COMPUTED_VALUE"""),11633.0)</f>
        <v>11633</v>
      </c>
      <c r="I3038" s="18">
        <f>IFERROR(__xludf.DUMMYFUNCTION("""COMPUTED_VALUE"""),6.0)</f>
        <v>6</v>
      </c>
      <c r="J3038" s="18">
        <f>IFERROR(__xludf.DUMMYFUNCTION("""COMPUTED_VALUE"""),13.0)</f>
        <v>13</v>
      </c>
      <c r="K3038" s="18">
        <f>IFERROR(__xludf.DUMMYFUNCTION("""COMPUTED_VALUE"""),13.0)</f>
        <v>13</v>
      </c>
      <c r="L3038" s="17">
        <f>IFERROR(__xludf.DUMMYFUNCTION("""COMPUTED_VALUE"""),3.143623212E9)</f>
        <v>3143623212</v>
      </c>
      <c r="M3038" s="17" t="str">
        <f>IFERROR(__xludf.DUMMYFUNCTION("""COMPUTED_VALUE"""),"#REF!")</f>
        <v>#REF!</v>
      </c>
      <c r="N3038" s="17"/>
      <c r="O3038" s="17"/>
      <c r="P3038" s="17" t="b">
        <f>IFERROR(__xludf.DUMMYFUNCTION("""COMPUTED_VALUE"""),FALSE)</f>
        <v>0</v>
      </c>
      <c r="Q3038" s="20" t="str">
        <f>IFERROR(__xludf.DUMMYFUNCTION("""COMPUTED_VALUE"""),"")</f>
        <v/>
      </c>
      <c r="R3038" s="21" t="str">
        <f>IFERROR(__xludf.DUMMYFUNCTION("""COMPUTED_VALUE"""),"https://drive.google.com/file/d/11niGh-pIG4SbrN-P19Tvaj2jWt4HcLeS/view?usp=drivesdk")</f>
        <v>https://drive.google.com/file/d/11niGh-pIG4SbrN-P19Tvaj2jWt4HcLeS/view?usp=drivesdk</v>
      </c>
    </row>
    <row r="3039">
      <c r="A3039" s="15">
        <f>IFERROR(__xludf.DUMMYFUNCTION("""COMPUTED_VALUE"""),45091.0)</f>
        <v>45091</v>
      </c>
      <c r="B3039" s="16" t="str">
        <f>IFERROR(__xludf.DUMMYFUNCTION("""COMPUTED_VALUE"""),"Envia")</f>
        <v>Envia</v>
      </c>
      <c r="C3039" s="15" t="str">
        <f>IFERROR(__xludf.DUMMYFUNCTION("""COMPUTED_VALUE"""),"MEDELLÍN")</f>
        <v>MEDELLÍN</v>
      </c>
      <c r="D3039" s="15" t="str">
        <f>IFERROR(__xludf.DUMMYFUNCTION("""COMPUTED_VALUE"""),"BOGOTÁ")</f>
        <v>BOGOTÁ</v>
      </c>
      <c r="E3039" s="15" t="str">
        <f>IFERROR(__xludf.DUMMYFUNCTION("""COMPUTED_VALUE"""),"Viiva Fermentados")</f>
        <v>Viiva Fermentados</v>
      </c>
      <c r="F3039" s="17" t="str">
        <f>IFERROR(__xludf.DUMMYFUNCTION("""COMPUTED_VALUE"""),"CR 42 # 08 -39 / Local piso 1 / El poblado")</f>
        <v>CR 42 # 08 -39 / Local piso 1 / El poblado</v>
      </c>
      <c r="G3039" s="15" t="str">
        <f>IFERROR(__xludf.DUMMYFUNCTION("""COMPUTED_VALUE"""),"Julia Correa Ochoa La Real Vegetal")</f>
        <v>Julia Correa Ochoa La Real Vegetal</v>
      </c>
      <c r="H3039" s="16">
        <f>IFERROR(__xludf.DUMMYFUNCTION("""COMPUTED_VALUE"""),11598.0)</f>
        <v>11598</v>
      </c>
      <c r="I3039" s="18">
        <f>IFERROR(__xludf.DUMMYFUNCTION("""COMPUTED_VALUE"""),26.0)</f>
        <v>26</v>
      </c>
      <c r="J3039" s="18">
        <f>IFERROR(__xludf.DUMMYFUNCTION("""COMPUTED_VALUE"""),35.0)</f>
        <v>35</v>
      </c>
      <c r="K3039" s="18">
        <f>IFERROR(__xludf.DUMMYFUNCTION("""COMPUTED_VALUE"""),26.0)</f>
        <v>26</v>
      </c>
      <c r="L3039" s="17">
        <f>IFERROR(__xludf.DUMMYFUNCTION("""COMPUTED_VALUE"""),3.116345472E9)</f>
        <v>3116345472</v>
      </c>
      <c r="M3039" s="17" t="str">
        <f>IFERROR(__xludf.DUMMYFUNCTION("""COMPUTED_VALUE"""),"#REF!")</f>
        <v>#REF!</v>
      </c>
      <c r="N3039" s="17"/>
      <c r="O3039" s="17"/>
      <c r="P3039" s="17" t="b">
        <f>IFERROR(__xludf.DUMMYFUNCTION("""COMPUTED_VALUE"""),FALSE)</f>
        <v>0</v>
      </c>
      <c r="Q3039" s="20" t="str">
        <f>IFERROR(__xludf.DUMMYFUNCTION("""COMPUTED_VALUE"""),"")</f>
        <v/>
      </c>
      <c r="R3039" s="21" t="str">
        <f>IFERROR(__xludf.DUMMYFUNCTION("""COMPUTED_VALUE"""),"https://drive.google.com/file/d/1BUU_ZZ3R89uinIGoyRGRjp0gFr0DoQI1/view?usp=drivesdk")</f>
        <v>https://drive.google.com/file/d/1BUU_ZZ3R89uinIGoyRGRjp0gFr0DoQI1/view?usp=drivesdk</v>
      </c>
    </row>
    <row r="3040">
      <c r="A3040" s="15">
        <f>IFERROR(__xludf.DUMMYFUNCTION("""COMPUTED_VALUE"""),45091.0)</f>
        <v>45091</v>
      </c>
      <c r="B3040" s="16" t="str">
        <f>IFERROR(__xludf.DUMMYFUNCTION("""COMPUTED_VALUE"""),"Envia")</f>
        <v>Envia</v>
      </c>
      <c r="C3040" s="15" t="str">
        <f>IFERROR(__xludf.DUMMYFUNCTION("""COMPUTED_VALUE"""),"PEREIRA")</f>
        <v>PEREIRA</v>
      </c>
      <c r="D3040" s="15" t="str">
        <f>IFERROR(__xludf.DUMMYFUNCTION("""COMPUTED_VALUE"""),"BOGOTÁ")</f>
        <v>BOGOTÁ</v>
      </c>
      <c r="E3040" s="15" t="str">
        <f>IFERROR(__xludf.DUMMYFUNCTION("""COMPUTED_VALUE"""),"Karem foods")</f>
        <v>Karem foods</v>
      </c>
      <c r="F3040" s="17" t="str">
        <f>IFERROR(__xludf.DUMMYFUNCTION("""COMPUTED_VALUE"""),"Kr 17b # 40-117  / Bloque 6 apto 201 / Av sur los cedros")</f>
        <v>Kr 17b # 40-117  / Bloque 6 apto 201 / Av sur los cedros</v>
      </c>
      <c r="G3040" s="15" t="str">
        <f>IFERROR(__xludf.DUMMYFUNCTION("""COMPUTED_VALUE"""),"Daniela Ospina")</f>
        <v>Daniela Ospina</v>
      </c>
      <c r="H3040" s="16">
        <f>IFERROR(__xludf.DUMMYFUNCTION("""COMPUTED_VALUE"""),11703.0)</f>
        <v>11703</v>
      </c>
      <c r="I3040" s="18">
        <f>IFERROR(__xludf.DUMMYFUNCTION("""COMPUTED_VALUE"""),8.0)</f>
        <v>8</v>
      </c>
      <c r="J3040" s="18">
        <f>IFERROR(__xludf.DUMMYFUNCTION("""COMPUTED_VALUE"""),25.0)</f>
        <v>25</v>
      </c>
      <c r="K3040" s="18">
        <f>IFERROR(__xludf.DUMMYFUNCTION("""COMPUTED_VALUE"""),22.0)</f>
        <v>22</v>
      </c>
      <c r="L3040" s="17">
        <f>IFERROR(__xludf.DUMMYFUNCTION("""COMPUTED_VALUE"""),3.135503988E9)</f>
        <v>3135503988</v>
      </c>
      <c r="M3040" s="17" t="str">
        <f>IFERROR(__xludf.DUMMYFUNCTION("""COMPUTED_VALUE"""),"#REF!")</f>
        <v>#REF!</v>
      </c>
      <c r="N3040" s="17"/>
      <c r="O3040" s="17"/>
      <c r="P3040" s="17" t="b">
        <f>IFERROR(__xludf.DUMMYFUNCTION("""COMPUTED_VALUE"""),FALSE)</f>
        <v>0</v>
      </c>
      <c r="Q3040" s="20" t="str">
        <f>IFERROR(__xludf.DUMMYFUNCTION("""COMPUTED_VALUE"""),"")</f>
        <v/>
      </c>
      <c r="R3040" s="21" t="str">
        <f>IFERROR(__xludf.DUMMYFUNCTION("""COMPUTED_VALUE"""),"https://drive.google.com/file/d/1ScUl9u6oKLPPWZwOhtmqfC3H6-2z-6ty/view?usp=drivesdk")</f>
        <v>https://drive.google.com/file/d/1ScUl9u6oKLPPWZwOhtmqfC3H6-2z-6ty/view?usp=drivesdk</v>
      </c>
    </row>
    <row r="3041">
      <c r="A3041" s="17" t="str">
        <f>IFERROR(__xludf.DUMMYFUNCTION("""COMPUTED_VALUE"""),"")</f>
        <v/>
      </c>
      <c r="B3041" s="17" t="str">
        <f>IFERROR(__xludf.DUMMYFUNCTION("""COMPUTED_VALUE"""),"")</f>
        <v/>
      </c>
      <c r="C3041" s="17" t="str">
        <f>IFERROR(__xludf.DUMMYFUNCTION("""COMPUTED_VALUE"""),"")</f>
        <v/>
      </c>
      <c r="D3041" s="17" t="str">
        <f>IFERROR(__xludf.DUMMYFUNCTION("""COMPUTED_VALUE"""),"")</f>
        <v/>
      </c>
      <c r="E3041" s="17" t="str">
        <f>IFERROR(__xludf.DUMMYFUNCTION("""COMPUTED_VALUE"""),"")</f>
        <v/>
      </c>
      <c r="F3041" s="17" t="str">
        <f>IFERROR(__xludf.DUMMYFUNCTION("""COMPUTED_VALUE"""),"")</f>
        <v/>
      </c>
      <c r="G3041" s="17" t="str">
        <f>IFERROR(__xludf.DUMMYFUNCTION("""COMPUTED_VALUE"""),"")</f>
        <v/>
      </c>
      <c r="H3041" s="17" t="str">
        <f>IFERROR(__xludf.DUMMYFUNCTION("""COMPUTED_VALUE"""),"")</f>
        <v/>
      </c>
      <c r="I3041" s="17" t="str">
        <f>IFERROR(__xludf.DUMMYFUNCTION("""COMPUTED_VALUE"""),"")</f>
        <v/>
      </c>
      <c r="J3041" s="17" t="str">
        <f>IFERROR(__xludf.DUMMYFUNCTION("""COMPUTED_VALUE"""),"")</f>
        <v/>
      </c>
      <c r="K3041" s="17" t="str">
        <f>IFERROR(__xludf.DUMMYFUNCTION("""COMPUTED_VALUE"""),"")</f>
        <v/>
      </c>
      <c r="L3041" s="17" t="str">
        <f>IFERROR(__xludf.DUMMYFUNCTION("""COMPUTED_VALUE"""),"")</f>
        <v/>
      </c>
      <c r="M3041" s="17" t="str">
        <f>IFERROR(__xludf.DUMMYFUNCTION("""COMPUTED_VALUE"""),"")</f>
        <v/>
      </c>
      <c r="N3041" s="17" t="str">
        <f>IFERROR(__xludf.DUMMYFUNCTION("""COMPUTED_VALUE"""),"")</f>
        <v/>
      </c>
      <c r="O3041" s="17" t="str">
        <f>IFERROR(__xludf.DUMMYFUNCTION("""COMPUTED_VALUE"""),"")</f>
        <v/>
      </c>
      <c r="P3041" s="17" t="str">
        <f>IFERROR(__xludf.DUMMYFUNCTION("""COMPUTED_VALUE"""),"")</f>
        <v/>
      </c>
      <c r="Q3041" s="17" t="str">
        <f>IFERROR(__xludf.DUMMYFUNCTION("""COMPUTED_VALUE"""),"")</f>
        <v/>
      </c>
      <c r="R3041" s="17" t="str">
        <f>IFERROR(__xludf.DUMMYFUNCTION("""COMPUTED_VALUE"""),"")</f>
        <v/>
      </c>
    </row>
    <row r="3042">
      <c r="A3042" s="15">
        <f>IFERROR(__xludf.DUMMYFUNCTION("""COMPUTED_VALUE"""),45091.0)</f>
        <v>45091</v>
      </c>
      <c r="B3042" s="16" t="str">
        <f>IFERROR(__xludf.DUMMYFUNCTION("""COMPUTED_VALUE"""),"Jeison Rubiano")</f>
        <v>Jeison Rubiano</v>
      </c>
      <c r="C3042" s="15" t="str">
        <f>IFERROR(__xludf.DUMMYFUNCTION("""COMPUTED_VALUE"""),"BOGOTÁ")</f>
        <v>BOGOTÁ</v>
      </c>
      <c r="D3042" s="15" t="str">
        <f>IFERROR(__xludf.DUMMYFUNCTION("""COMPUTED_VALUE"""),"MEDELLÍN")</f>
        <v>MEDELLÍN</v>
      </c>
      <c r="E3042" s="15" t="str">
        <f>IFERROR(__xludf.DUMMYFUNCTION("""COMPUTED_VALUE"""),"AREPAS LA MARY")</f>
        <v>AREPAS LA MARY</v>
      </c>
      <c r="F3042" s="17" t="str">
        <f>IFERROR(__xludf.DUMMYFUNCTION("""COMPUTED_VALUE"""),"Calle 62 #37-94 apto 403 / Altos de Federman")</f>
        <v>Calle 62 #37-94 apto 403 / Altos de Federman</v>
      </c>
      <c r="G3042" s="15" t="str">
        <f>IFERROR(__xludf.DUMMYFUNCTION("""COMPUTED_VALUE"""),"IVONNE OSPINA")</f>
        <v>IVONNE OSPINA</v>
      </c>
      <c r="H3042" s="16">
        <f>IFERROR(__xludf.DUMMYFUNCTION("""COMPUTED_VALUE"""),11634.0)</f>
        <v>11634</v>
      </c>
      <c r="I3042" s="18">
        <f>IFERROR(__xludf.DUMMYFUNCTION("""COMPUTED_VALUE"""),89.0)</f>
        <v>89</v>
      </c>
      <c r="J3042" s="18">
        <f>IFERROR(__xludf.DUMMYFUNCTION("""COMPUTED_VALUE"""),1.0)</f>
        <v>1</v>
      </c>
      <c r="K3042" s="18">
        <f>IFERROR(__xludf.DUMMYFUNCTION("""COMPUTED_VALUE"""),10.0)</f>
        <v>10</v>
      </c>
      <c r="L3042" s="17">
        <f>IFERROR(__xludf.DUMMYFUNCTION("""COMPUTED_VALUE"""),3.143305814E9)</f>
        <v>3143305814</v>
      </c>
      <c r="M3042" s="17" t="str">
        <f>IFERROR(__xludf.DUMMYFUNCTION("""COMPUTED_VALUE"""),"#REF!")</f>
        <v>#REF!</v>
      </c>
      <c r="N3042" s="17"/>
      <c r="O3042" s="17"/>
      <c r="P3042" s="17" t="b">
        <f>IFERROR(__xludf.DUMMYFUNCTION("""COMPUTED_VALUE"""),FALSE)</f>
        <v>0</v>
      </c>
      <c r="Q3042" s="20" t="str">
        <f>IFERROR(__xludf.DUMMYFUNCTION("""COMPUTED_VALUE"""),"")</f>
        <v/>
      </c>
      <c r="R3042" s="21" t="str">
        <f>IFERROR(__xludf.DUMMYFUNCTION("""COMPUTED_VALUE"""),"https://drive.google.com/file/d/1mMNgLaEgfYFLmO2DtY91uUmDjgOQexo_/view?usp=drivesdk")</f>
        <v>https://drive.google.com/file/d/1mMNgLaEgfYFLmO2DtY91uUmDjgOQexo_/view?usp=drivesdk</v>
      </c>
    </row>
    <row r="3043">
      <c r="A3043" s="15">
        <f>IFERROR(__xludf.DUMMYFUNCTION("""COMPUTED_VALUE"""),45091.0)</f>
        <v>45091</v>
      </c>
      <c r="B3043" s="16" t="str">
        <f>IFERROR(__xludf.DUMMYFUNCTION("""COMPUTED_VALUE"""),"Jeison Rubiano")</f>
        <v>Jeison Rubiano</v>
      </c>
      <c r="C3043" s="15" t="str">
        <f>IFERROR(__xludf.DUMMYFUNCTION("""COMPUTED_VALUE"""),"BOGOTÁ")</f>
        <v>BOGOTÁ</v>
      </c>
      <c r="D3043" s="15" t="str">
        <f>IFERROR(__xludf.DUMMYFUNCTION("""COMPUTED_VALUE"""),"MEDELLÍN")</f>
        <v>MEDELLÍN</v>
      </c>
      <c r="E3043" s="15" t="str">
        <f>IFERROR(__xludf.DUMMYFUNCTION("""COMPUTED_VALUE"""),"AREPAS LA MARY")</f>
        <v>AREPAS LA MARY</v>
      </c>
      <c r="F3043" s="17" t="str">
        <f>IFERROR(__xludf.DUMMYFUNCTION("""COMPUTED_VALUE"""),"Cr 68B # 25B 20 apto 302 / PUERTO VAYARTA")</f>
        <v>Cr 68B # 25B 20 apto 302 / PUERTO VAYARTA</v>
      </c>
      <c r="G3043" s="15" t="str">
        <f>IFERROR(__xludf.DUMMYFUNCTION("""COMPUTED_VALUE"""),"JUAN SEBASTIAN ZULUAGA")</f>
        <v>JUAN SEBASTIAN ZULUAGA</v>
      </c>
      <c r="H3043" s="16">
        <f>IFERROR(__xludf.DUMMYFUNCTION("""COMPUTED_VALUE"""),11670.0)</f>
        <v>11670</v>
      </c>
      <c r="I3043" s="18">
        <f>IFERROR(__xludf.DUMMYFUNCTION("""COMPUTED_VALUE"""),89.0)</f>
        <v>89</v>
      </c>
      <c r="J3043" s="18">
        <f>IFERROR(__xludf.DUMMYFUNCTION("""COMPUTED_VALUE"""),1.0)</f>
        <v>1</v>
      </c>
      <c r="K3043" s="18">
        <f>IFERROR(__xludf.DUMMYFUNCTION("""COMPUTED_VALUE"""),10.0)</f>
        <v>10</v>
      </c>
      <c r="L3043" s="17">
        <f>IFERROR(__xludf.DUMMYFUNCTION("""COMPUTED_VALUE"""),3.232253153E9)</f>
        <v>3232253153</v>
      </c>
      <c r="M3043" s="17" t="str">
        <f>IFERROR(__xludf.DUMMYFUNCTION("""COMPUTED_VALUE"""),"#REF!")</f>
        <v>#REF!</v>
      </c>
      <c r="N3043" s="17"/>
      <c r="O3043" s="17"/>
      <c r="P3043" s="17" t="b">
        <f>IFERROR(__xludf.DUMMYFUNCTION("""COMPUTED_VALUE"""),FALSE)</f>
        <v>0</v>
      </c>
      <c r="Q3043" s="20" t="str">
        <f>IFERROR(__xludf.DUMMYFUNCTION("""COMPUTED_VALUE"""),"")</f>
        <v/>
      </c>
      <c r="R3043" s="21" t="str">
        <f>IFERROR(__xludf.DUMMYFUNCTION("""COMPUTED_VALUE"""),"https://drive.google.com/file/d/1tOO7Vh5CQQJbJOMYg1yIthOJciaXZMkS/view?usp=drivesdk")</f>
        <v>https://drive.google.com/file/d/1tOO7Vh5CQQJbJOMYg1yIthOJciaXZMkS/view?usp=drivesdk</v>
      </c>
    </row>
    <row r="3044">
      <c r="A3044" s="15">
        <f>IFERROR(__xludf.DUMMYFUNCTION("""COMPUTED_VALUE"""),45091.0)</f>
        <v>45091</v>
      </c>
      <c r="B3044" s="16" t="str">
        <f>IFERROR(__xludf.DUMMYFUNCTION("""COMPUTED_VALUE"""),"Jeison Rubiano")</f>
        <v>Jeison Rubiano</v>
      </c>
      <c r="C3044" s="15" t="str">
        <f>IFERROR(__xludf.DUMMYFUNCTION("""COMPUTED_VALUE"""),"BOGOTÁ")</f>
        <v>BOGOTÁ</v>
      </c>
      <c r="D3044" s="15" t="str">
        <f>IFERROR(__xludf.DUMMYFUNCTION("""COMPUTED_VALUE"""),"MEDELLÍN")</f>
        <v>MEDELLÍN</v>
      </c>
      <c r="E3044" s="15" t="str">
        <f>IFERROR(__xludf.DUMMYFUNCTION("""COMPUTED_VALUE"""),"AREPAS LA MARY")</f>
        <v>AREPAS LA MARY</v>
      </c>
      <c r="F3044" s="17" t="str">
        <f>IFERROR(__xludf.DUMMYFUNCTION("""COMPUTED_VALUE"""),"cra 58 no 125b-96 bloque 4 apto 514 / NIZA VIII")</f>
        <v>cra 58 no 125b-96 bloque 4 apto 514 / NIZA VIII</v>
      </c>
      <c r="G3044" s="15" t="str">
        <f>IFERROR(__xludf.DUMMYFUNCTION("""COMPUTED_VALUE"""),"JULIE ADRILA TORRES")</f>
        <v>JULIE ADRILA TORRES</v>
      </c>
      <c r="H3044" s="16">
        <f>IFERROR(__xludf.DUMMYFUNCTION("""COMPUTED_VALUE"""),11668.0)</f>
        <v>11668</v>
      </c>
      <c r="I3044" s="18">
        <f>IFERROR(__xludf.DUMMYFUNCTION("""COMPUTED_VALUE"""),89.0)</f>
        <v>89</v>
      </c>
      <c r="J3044" s="18">
        <f>IFERROR(__xludf.DUMMYFUNCTION("""COMPUTED_VALUE"""),1.0)</f>
        <v>1</v>
      </c>
      <c r="K3044" s="18">
        <f>IFERROR(__xludf.DUMMYFUNCTION("""COMPUTED_VALUE"""),10.0)</f>
        <v>10</v>
      </c>
      <c r="L3044" s="17">
        <f>IFERROR(__xludf.DUMMYFUNCTION("""COMPUTED_VALUE"""),3.160185516E9)</f>
        <v>3160185516</v>
      </c>
      <c r="M3044" s="17" t="str">
        <f>IFERROR(__xludf.DUMMYFUNCTION("""COMPUTED_VALUE"""),"#REF!")</f>
        <v>#REF!</v>
      </c>
      <c r="N3044" s="17"/>
      <c r="O3044" s="17"/>
      <c r="P3044" s="17" t="b">
        <f>IFERROR(__xludf.DUMMYFUNCTION("""COMPUTED_VALUE"""),FALSE)</f>
        <v>0</v>
      </c>
      <c r="Q3044" s="20" t="str">
        <f>IFERROR(__xludf.DUMMYFUNCTION("""COMPUTED_VALUE"""),"")</f>
        <v/>
      </c>
      <c r="R3044" s="21" t="str">
        <f>IFERROR(__xludf.DUMMYFUNCTION("""COMPUTED_VALUE"""),"https://drive.google.com/file/d/1IUQy4yS635KFWHzuzfAwyhhQmOHohfwD/view?usp=drivesdk")</f>
        <v>https://drive.google.com/file/d/1IUQy4yS635KFWHzuzfAwyhhQmOHohfwD/view?usp=drivesdk</v>
      </c>
    </row>
    <row r="3045">
      <c r="A3045" s="15">
        <f>IFERROR(__xludf.DUMMYFUNCTION("""COMPUTED_VALUE"""),45091.0)</f>
        <v>45091</v>
      </c>
      <c r="B3045" s="16" t="str">
        <f>IFERROR(__xludf.DUMMYFUNCTION("""COMPUTED_VALUE"""),"Jeison Rubiano")</f>
        <v>Jeison Rubiano</v>
      </c>
      <c r="C3045" s="15" t="str">
        <f>IFERROR(__xludf.DUMMYFUNCTION("""COMPUTED_VALUE"""),"BOGOTÁ")</f>
        <v>BOGOTÁ</v>
      </c>
      <c r="D3045" s="15" t="str">
        <f>IFERROR(__xludf.DUMMYFUNCTION("""COMPUTED_VALUE"""),"MEDELLÍN")</f>
        <v>MEDELLÍN</v>
      </c>
      <c r="E3045" s="15" t="str">
        <f>IFERROR(__xludf.DUMMYFUNCTION("""COMPUTED_VALUE"""),"Felicidad Bakery Bogotá")</f>
        <v>Felicidad Bakery Bogotá</v>
      </c>
      <c r="F3045" s="17" t="str">
        <f>IFERROR(__xludf.DUMMYFUNCTION("""COMPUTED_VALUE"""),"Calle 92 #15-62 / Edificio centro chico  / Local 103")</f>
        <v>Calle 92 #15-62 / Edificio centro chico  / Local 103</v>
      </c>
      <c r="G3045" s="15" t="str">
        <f>IFERROR(__xludf.DUMMYFUNCTION("""COMPUTED_VALUE"""),"Camilo Hernandez")</f>
        <v>Camilo Hernandez</v>
      </c>
      <c r="H3045" s="16">
        <f>IFERROR(__xludf.DUMMYFUNCTION("""COMPUTED_VALUE"""),11669.0)</f>
        <v>11669</v>
      </c>
      <c r="I3045" s="18">
        <f>IFERROR(__xludf.DUMMYFUNCTION("""COMPUTED_VALUE"""),1.0)</f>
        <v>1</v>
      </c>
      <c r="J3045" s="18">
        <f>IFERROR(__xludf.DUMMYFUNCTION("""COMPUTED_VALUE"""),1.0)</f>
        <v>1</v>
      </c>
      <c r="K3045" s="18">
        <f>IFERROR(__xludf.DUMMYFUNCTION("""COMPUTED_VALUE"""),1.0)</f>
        <v>1</v>
      </c>
      <c r="L3045" s="17">
        <f>IFERROR(__xludf.DUMMYFUNCTION("""COMPUTED_VALUE"""),3.013527163E9)</f>
        <v>3013527163</v>
      </c>
      <c r="M3045" s="17" t="str">
        <f>IFERROR(__xludf.DUMMYFUNCTION("""COMPUTED_VALUE"""),"#REF!")</f>
        <v>#REF!</v>
      </c>
      <c r="N3045" s="17"/>
      <c r="O3045" s="17"/>
      <c r="P3045" s="17" t="b">
        <f>IFERROR(__xludf.DUMMYFUNCTION("""COMPUTED_VALUE"""),FALSE)</f>
        <v>0</v>
      </c>
      <c r="Q3045" s="20" t="str">
        <f>IFERROR(__xludf.DUMMYFUNCTION("""COMPUTED_VALUE"""),"")</f>
        <v/>
      </c>
      <c r="R3045" s="21" t="str">
        <f>IFERROR(__xludf.DUMMYFUNCTION("""COMPUTED_VALUE"""),"https://drive.google.com/file/d/17AE3CnlrHFUAjv_tTdAcZpJ0LqHkeB2J/view?usp=drivesdk")</f>
        <v>https://drive.google.com/file/d/17AE3CnlrHFUAjv_tTdAcZpJ0LqHkeB2J/view?usp=drivesdk</v>
      </c>
    </row>
    <row r="3046">
      <c r="A3046" s="15">
        <f>IFERROR(__xludf.DUMMYFUNCTION("""COMPUTED_VALUE"""),45091.0)</f>
        <v>45091</v>
      </c>
      <c r="B3046" s="16" t="str">
        <f>IFERROR(__xludf.DUMMYFUNCTION("""COMPUTED_VALUE"""),"Jeison Rubiano")</f>
        <v>Jeison Rubiano</v>
      </c>
      <c r="C3046" s="15" t="str">
        <f>IFERROR(__xludf.DUMMYFUNCTION("""COMPUTED_VALUE"""),"BOGOTÁ")</f>
        <v>BOGOTÁ</v>
      </c>
      <c r="D3046" s="15" t="str">
        <f>IFERROR(__xludf.DUMMYFUNCTION("""COMPUTED_VALUE"""),"MEDELLÍN")</f>
        <v>MEDELLÍN</v>
      </c>
      <c r="E3046" s="15" t="str">
        <f>IFERROR(__xludf.DUMMYFUNCTION("""COMPUTED_VALUE"""),"Lácteos El Pino SAS")</f>
        <v>Lácteos El Pino SAS</v>
      </c>
      <c r="F3046" s="17" t="str">
        <f>IFERROR(__xludf.DUMMYFUNCTION("""COMPUTED_VALUE"""),"CALLE 93# 18 -81 / ENTREGAR EN EL LOCAL")</f>
        <v>CALLE 93# 18 -81 / ENTREGAR EN EL LOCAL</v>
      </c>
      <c r="G3046" s="15" t="str">
        <f>IFERROR(__xludf.DUMMYFUNCTION("""COMPUTED_VALUE"""),"KIM")</f>
        <v>KIM</v>
      </c>
      <c r="H3046" s="16">
        <f>IFERROR(__xludf.DUMMYFUNCTION("""COMPUTED_VALUE"""),11640.0)</f>
        <v>11640</v>
      </c>
      <c r="I3046" s="18">
        <f>IFERROR(__xludf.DUMMYFUNCTION("""COMPUTED_VALUE"""),33.0)</f>
        <v>33</v>
      </c>
      <c r="J3046" s="18">
        <f>IFERROR(__xludf.DUMMYFUNCTION("""COMPUTED_VALUE"""),22.0)</f>
        <v>22</v>
      </c>
      <c r="K3046" s="18">
        <f>IFERROR(__xludf.DUMMYFUNCTION("""COMPUTED_VALUE"""),36.0)</f>
        <v>36</v>
      </c>
      <c r="L3046" s="17"/>
      <c r="M3046" s="17" t="str">
        <f>IFERROR(__xludf.DUMMYFUNCTION("""COMPUTED_VALUE"""),"#REF!")</f>
        <v>#REF!</v>
      </c>
      <c r="N3046" s="17"/>
      <c r="O3046" s="17"/>
      <c r="P3046" s="17" t="b">
        <f>IFERROR(__xludf.DUMMYFUNCTION("""COMPUTED_VALUE"""),FALSE)</f>
        <v>0</v>
      </c>
      <c r="Q3046" s="20" t="str">
        <f>IFERROR(__xludf.DUMMYFUNCTION("""COMPUTED_VALUE"""),"")</f>
        <v/>
      </c>
      <c r="R3046" s="21" t="str">
        <f>IFERROR(__xludf.DUMMYFUNCTION("""COMPUTED_VALUE"""),"https://drive.google.com/file/d/16AQkU7wcWF8JENpJhCSeFKPv94e9oNuo/view?usp=drivesdk")</f>
        <v>https://drive.google.com/file/d/16AQkU7wcWF8JENpJhCSeFKPv94e9oNuo/view?usp=drivesdk</v>
      </c>
    </row>
    <row r="3047">
      <c r="A3047" s="15">
        <f>IFERROR(__xludf.DUMMYFUNCTION("""COMPUTED_VALUE"""),45091.0)</f>
        <v>45091</v>
      </c>
      <c r="B3047" s="16" t="str">
        <f>IFERROR(__xludf.DUMMYFUNCTION("""COMPUTED_VALUE"""),"Jeison Rubiano")</f>
        <v>Jeison Rubiano</v>
      </c>
      <c r="C3047" s="15" t="str">
        <f>IFERROR(__xludf.DUMMYFUNCTION("""COMPUTED_VALUE"""),"BOGOTÁ")</f>
        <v>BOGOTÁ</v>
      </c>
      <c r="D3047" s="15" t="str">
        <f>IFERROR(__xludf.DUMMYFUNCTION("""COMPUTED_VALUE"""),"MEDELLÍN")</f>
        <v>MEDELLÍN</v>
      </c>
      <c r="E3047" s="15" t="str">
        <f>IFERROR(__xludf.DUMMYFUNCTION("""COMPUTED_VALUE"""),"Rambla")</f>
        <v>Rambla</v>
      </c>
      <c r="F3047" s="17" t="str">
        <f>IFERROR(__xludf.DUMMYFUNCTION("""COMPUTED_VALUE"""),"Bogota calle 95 #21-80 apto 706 / na / na")</f>
        <v>Bogota calle 95 #21-80 apto 706 / na / na</v>
      </c>
      <c r="G3047" s="15" t="str">
        <f>IFERROR(__xludf.DUMMYFUNCTION("""COMPUTED_VALUE"""),"Angela Chiquillo")</f>
        <v>Angela Chiquillo</v>
      </c>
      <c r="H3047" s="16">
        <f>IFERROR(__xludf.DUMMYFUNCTION("""COMPUTED_VALUE"""),11686.0)</f>
        <v>11686</v>
      </c>
      <c r="I3047" s="18">
        <f>IFERROR(__xludf.DUMMYFUNCTION("""COMPUTED_VALUE"""),15.0)</f>
        <v>15</v>
      </c>
      <c r="J3047" s="18">
        <f>IFERROR(__xludf.DUMMYFUNCTION("""COMPUTED_VALUE"""),18.0)</f>
        <v>18</v>
      </c>
      <c r="K3047" s="18">
        <f>IFERROR(__xludf.DUMMYFUNCTION("""COMPUTED_VALUE"""),20.0)</f>
        <v>20</v>
      </c>
      <c r="L3047" s="17">
        <f>IFERROR(__xludf.DUMMYFUNCTION("""COMPUTED_VALUE"""),3.132150983E9)</f>
        <v>3132150983</v>
      </c>
      <c r="M3047" s="17" t="str">
        <f>IFERROR(__xludf.DUMMYFUNCTION("""COMPUTED_VALUE"""),"#REF!")</f>
        <v>#REF!</v>
      </c>
      <c r="N3047" s="17"/>
      <c r="O3047" s="17"/>
      <c r="P3047" s="17" t="b">
        <f>IFERROR(__xludf.DUMMYFUNCTION("""COMPUTED_VALUE"""),FALSE)</f>
        <v>0</v>
      </c>
      <c r="Q3047" s="20" t="str">
        <f>IFERROR(__xludf.DUMMYFUNCTION("""COMPUTED_VALUE"""),"")</f>
        <v/>
      </c>
      <c r="R3047" s="21" t="str">
        <f>IFERROR(__xludf.DUMMYFUNCTION("""COMPUTED_VALUE"""),"https://drive.google.com/file/d/1JCBGgJl6jG172uFCV2r7w8DQkqj2iqzt/view?usp=drivesdk")</f>
        <v>https://drive.google.com/file/d/1JCBGgJl6jG172uFCV2r7w8DQkqj2iqzt/view?usp=drivesdk</v>
      </c>
    </row>
    <row r="3048">
      <c r="A3048" s="15">
        <f>IFERROR(__xludf.DUMMYFUNCTION("""COMPUTED_VALUE"""),45091.0)</f>
        <v>45091</v>
      </c>
      <c r="B3048" s="16" t="str">
        <f>IFERROR(__xludf.DUMMYFUNCTION("""COMPUTED_VALUE"""),"Jeison Rubiano")</f>
        <v>Jeison Rubiano</v>
      </c>
      <c r="C3048" s="15" t="str">
        <f>IFERROR(__xludf.DUMMYFUNCTION("""COMPUTED_VALUE"""),"BOGOTÁ")</f>
        <v>BOGOTÁ</v>
      </c>
      <c r="D3048" s="15" t="str">
        <f>IFERROR(__xludf.DUMMYFUNCTION("""COMPUTED_VALUE"""),"MEDELLÍN")</f>
        <v>MEDELLÍN</v>
      </c>
      <c r="E3048" s="15" t="str">
        <f>IFERROR(__xludf.DUMMYFUNCTION("""COMPUTED_VALUE"""),"Terravocado")</f>
        <v>Terravocado</v>
      </c>
      <c r="F3048" s="17" t="str">
        <f>IFERROR(__xludf.DUMMYFUNCTION("""COMPUTED_VALUE"""),"Carrera 20#168-32 / bukoi / Toberin")</f>
        <v>Carrera 20#168-32 / bukoi / Toberin</v>
      </c>
      <c r="G3048" s="15" t="str">
        <f>IFERROR(__xludf.DUMMYFUNCTION("""COMPUTED_VALUE"""),"BUKOI")</f>
        <v>BUKOI</v>
      </c>
      <c r="H3048" s="16">
        <f>IFERROR(__xludf.DUMMYFUNCTION("""COMPUTED_VALUE"""),11680.0)</f>
        <v>11680</v>
      </c>
      <c r="I3048" s="18">
        <f>IFERROR(__xludf.DUMMYFUNCTION("""COMPUTED_VALUE"""),20.0)</f>
        <v>20</v>
      </c>
      <c r="J3048" s="18">
        <f>IFERROR(__xludf.DUMMYFUNCTION("""COMPUTED_VALUE"""),20.0)</f>
        <v>20</v>
      </c>
      <c r="K3048" s="18">
        <f>IFERROR(__xludf.DUMMYFUNCTION("""COMPUTED_VALUE"""),34.0)</f>
        <v>34</v>
      </c>
      <c r="L3048" s="17">
        <f>IFERROR(__xludf.DUMMYFUNCTION("""COMPUTED_VALUE"""),3.103668164E9)</f>
        <v>3103668164</v>
      </c>
      <c r="M3048" s="17" t="str">
        <f>IFERROR(__xludf.DUMMYFUNCTION("""COMPUTED_VALUE"""),"#REF!")</f>
        <v>#REF!</v>
      </c>
      <c r="N3048" s="17"/>
      <c r="O3048" s="17"/>
      <c r="P3048" s="17" t="b">
        <f>IFERROR(__xludf.DUMMYFUNCTION("""COMPUTED_VALUE"""),FALSE)</f>
        <v>0</v>
      </c>
      <c r="Q3048" s="20" t="str">
        <f>IFERROR(__xludf.DUMMYFUNCTION("""COMPUTED_VALUE"""),"")</f>
        <v/>
      </c>
      <c r="R3048" s="21" t="str">
        <f>IFERROR(__xludf.DUMMYFUNCTION("""COMPUTED_VALUE"""),"https://drive.google.com/file/d/1hDnRnBdekvIyLOcO-vgi8zDjmVxQT1sF/view?usp=drivesdk")</f>
        <v>https://drive.google.com/file/d/1hDnRnBdekvIyLOcO-vgi8zDjmVxQT1sF/view?usp=drivesdk</v>
      </c>
    </row>
    <row r="3049">
      <c r="A3049" s="15">
        <f>IFERROR(__xludf.DUMMYFUNCTION("""COMPUTED_VALUE"""),45091.0)</f>
        <v>45091</v>
      </c>
      <c r="B3049" s="16" t="str">
        <f>IFERROR(__xludf.DUMMYFUNCTION("""COMPUTED_VALUE"""),"Jeison Rubiano")</f>
        <v>Jeison Rubiano</v>
      </c>
      <c r="C3049" s="15" t="str">
        <f>IFERROR(__xludf.DUMMYFUNCTION("""COMPUTED_VALUE"""),"MANIZALES")</f>
        <v>MANIZALES</v>
      </c>
      <c r="D3049" s="15" t="str">
        <f>IFERROR(__xludf.DUMMYFUNCTION("""COMPUTED_VALUE"""),"MEDELLÍN")</f>
        <v>MEDELLÍN</v>
      </c>
      <c r="E3049" s="15" t="str">
        <f>IFERROR(__xludf.DUMMYFUNCTION("""COMPUTED_VALUE"""),"Todo Bufala")</f>
        <v>Todo Bufala</v>
      </c>
      <c r="F3049" s="17" t="str">
        <f>IFERROR(__xludf.DUMMYFUNCTION("""COMPUTED_VALUE"""),"Call 66 #23b-211 / Edifico calle larga, local 5c")</f>
        <v>Call 66 #23b-211 / Edifico calle larga, local 5c</v>
      </c>
      <c r="G3049" s="15" t="str">
        <f>IFERROR(__xludf.DUMMYFUNCTION("""COMPUTED_VALUE"""),"Sebastian Perez")</f>
        <v>Sebastian Perez</v>
      </c>
      <c r="H3049" s="16">
        <f>IFERROR(__xludf.DUMMYFUNCTION("""COMPUTED_VALUE"""),11587.0)</f>
        <v>11587</v>
      </c>
      <c r="I3049" s="18">
        <f>IFERROR(__xludf.DUMMYFUNCTION("""COMPUTED_VALUE"""),20.0)</f>
        <v>20</v>
      </c>
      <c r="J3049" s="18">
        <f>IFERROR(__xludf.DUMMYFUNCTION("""COMPUTED_VALUE"""),30.0)</f>
        <v>30</v>
      </c>
      <c r="K3049" s="18">
        <f>IFERROR(__xludf.DUMMYFUNCTION("""COMPUTED_VALUE"""),40.0)</f>
        <v>40</v>
      </c>
      <c r="L3049" s="17">
        <f>IFERROR(__xludf.DUMMYFUNCTION("""COMPUTED_VALUE"""),3.106974621E9)</f>
        <v>3106974621</v>
      </c>
      <c r="M3049" s="17" t="str">
        <f>IFERROR(__xludf.DUMMYFUNCTION("""COMPUTED_VALUE"""),"#REF!")</f>
        <v>#REF!</v>
      </c>
      <c r="N3049" s="17"/>
      <c r="O3049" s="17"/>
      <c r="P3049" s="17" t="b">
        <f>IFERROR(__xludf.DUMMYFUNCTION("""COMPUTED_VALUE"""),FALSE)</f>
        <v>0</v>
      </c>
      <c r="Q3049" s="20" t="str">
        <f>IFERROR(__xludf.DUMMYFUNCTION("""COMPUTED_VALUE"""),"")</f>
        <v/>
      </c>
      <c r="R3049" s="21" t="str">
        <f>IFERROR(__xludf.DUMMYFUNCTION("""COMPUTED_VALUE"""),"https://drive.google.com/file/d/1-SFYddfq2Xf7AhFC1dykSjKP14eABXrA/view?usp=drivesdk")</f>
        <v>https://drive.google.com/file/d/1-SFYddfq2Xf7AhFC1dykSjKP14eABXrA/view?usp=drivesdk</v>
      </c>
    </row>
    <row r="3050">
      <c r="A3050" s="17" t="str">
        <f>IFERROR(__xludf.DUMMYFUNCTION("""COMPUTED_VALUE"""),"")</f>
        <v/>
      </c>
      <c r="B3050" s="17" t="str">
        <f>IFERROR(__xludf.DUMMYFUNCTION("""COMPUTED_VALUE"""),"")</f>
        <v/>
      </c>
      <c r="C3050" s="17" t="str">
        <f>IFERROR(__xludf.DUMMYFUNCTION("""COMPUTED_VALUE"""),"")</f>
        <v/>
      </c>
      <c r="D3050" s="17" t="str">
        <f>IFERROR(__xludf.DUMMYFUNCTION("""COMPUTED_VALUE"""),"")</f>
        <v/>
      </c>
      <c r="E3050" s="17" t="str">
        <f>IFERROR(__xludf.DUMMYFUNCTION("""COMPUTED_VALUE"""),"")</f>
        <v/>
      </c>
      <c r="F3050" s="17" t="str">
        <f>IFERROR(__xludf.DUMMYFUNCTION("""COMPUTED_VALUE"""),"")</f>
        <v/>
      </c>
      <c r="G3050" s="17" t="str">
        <f>IFERROR(__xludf.DUMMYFUNCTION("""COMPUTED_VALUE"""),"")</f>
        <v/>
      </c>
      <c r="H3050" s="17" t="str">
        <f>IFERROR(__xludf.DUMMYFUNCTION("""COMPUTED_VALUE"""),"")</f>
        <v/>
      </c>
      <c r="I3050" s="17" t="str">
        <f>IFERROR(__xludf.DUMMYFUNCTION("""COMPUTED_VALUE"""),"")</f>
        <v/>
      </c>
      <c r="J3050" s="17" t="str">
        <f>IFERROR(__xludf.DUMMYFUNCTION("""COMPUTED_VALUE"""),"")</f>
        <v/>
      </c>
      <c r="K3050" s="17" t="str">
        <f>IFERROR(__xludf.DUMMYFUNCTION("""COMPUTED_VALUE"""),"")</f>
        <v/>
      </c>
      <c r="L3050" s="17" t="str">
        <f>IFERROR(__xludf.DUMMYFUNCTION("""COMPUTED_VALUE"""),"")</f>
        <v/>
      </c>
      <c r="M3050" s="17" t="str">
        <f>IFERROR(__xludf.DUMMYFUNCTION("""COMPUTED_VALUE"""),"")</f>
        <v/>
      </c>
      <c r="N3050" s="17" t="str">
        <f>IFERROR(__xludf.DUMMYFUNCTION("""COMPUTED_VALUE"""),"")</f>
        <v/>
      </c>
      <c r="O3050" s="17" t="str">
        <f>IFERROR(__xludf.DUMMYFUNCTION("""COMPUTED_VALUE"""),"")</f>
        <v/>
      </c>
      <c r="P3050" s="17" t="str">
        <f>IFERROR(__xludf.DUMMYFUNCTION("""COMPUTED_VALUE"""),"")</f>
        <v/>
      </c>
      <c r="Q3050" s="17" t="str">
        <f>IFERROR(__xludf.DUMMYFUNCTION("""COMPUTED_VALUE"""),"")</f>
        <v/>
      </c>
      <c r="R3050" s="17" t="str">
        <f>IFERROR(__xludf.DUMMYFUNCTION("""COMPUTED_VALUE"""),"")</f>
        <v/>
      </c>
    </row>
    <row r="3051">
      <c r="A3051" s="15">
        <f>IFERROR(__xludf.DUMMYFUNCTION("""COMPUTED_VALUE"""),45091.0)</f>
        <v>45091</v>
      </c>
      <c r="B3051" s="16" t="str">
        <f>IFERROR(__xludf.DUMMYFUNCTION("""COMPUTED_VALUE"""),"Jhon Anderson Ceballos Hernandez")</f>
        <v>Jhon Anderson Ceballos Hernandez</v>
      </c>
      <c r="C3051" s="15" t="str">
        <f>IFERROR(__xludf.DUMMYFUNCTION("""COMPUTED_VALUE"""),"MANIZALES")</f>
        <v>MANIZALES</v>
      </c>
      <c r="D3051" s="15" t="str">
        <f>IFERROR(__xludf.DUMMYFUNCTION("""COMPUTED_VALUE"""),"BOGOTÁ")</f>
        <v>BOGOTÁ</v>
      </c>
      <c r="E3051" s="15" t="str">
        <f>IFERROR(__xludf.DUMMYFUNCTION("""COMPUTED_VALUE"""),"Asociacion Agropecuaria Juana Maria")</f>
        <v>Asociacion Agropecuaria Juana Maria</v>
      </c>
      <c r="F3051" s="17" t="str">
        <f>IFERROR(__xludf.DUMMYFUNCTION("""COMPUTED_VALUE"""),"CRA 9 # 16-9 MANZANA 28 CASA 2 CONJUNTO MIRADOR DE LAS LOMAS - BARRIO LA FLORIDA VILLAMARIA CALDAS")</f>
        <v>CRA 9 # 16-9 MANZANA 28 CASA 2 CONJUNTO MIRADOR DE LAS LOMAS - BARRIO LA FLORIDA VILLAMARIA CALDAS</v>
      </c>
      <c r="G3051" s="15" t="str">
        <f>IFERROR(__xludf.DUMMYFUNCTION("""COMPUTED_VALUE"""),"ANA MARIA GARZON")</f>
        <v>ANA MARIA GARZON</v>
      </c>
      <c r="H3051" s="16">
        <f>IFERROR(__xludf.DUMMYFUNCTION("""COMPUTED_VALUE"""),11615.0)</f>
        <v>11615</v>
      </c>
      <c r="I3051" s="18">
        <f>IFERROR(__xludf.DUMMYFUNCTION("""COMPUTED_VALUE"""),12.0)</f>
        <v>12</v>
      </c>
      <c r="J3051" s="18">
        <f>IFERROR(__xludf.DUMMYFUNCTION("""COMPUTED_VALUE"""),37.0)</f>
        <v>37</v>
      </c>
      <c r="K3051" s="18">
        <f>IFERROR(__xludf.DUMMYFUNCTION("""COMPUTED_VALUE"""),24.0)</f>
        <v>24</v>
      </c>
      <c r="L3051" s="17">
        <f>IFERROR(__xludf.DUMMYFUNCTION("""COMPUTED_VALUE"""),3.21566191E9)</f>
        <v>3215661910</v>
      </c>
      <c r="M3051" s="17" t="str">
        <f>IFERROR(__xludf.DUMMYFUNCTION("""COMPUTED_VALUE"""),"#REF!")</f>
        <v>#REF!</v>
      </c>
      <c r="N3051" s="17"/>
      <c r="O3051" s="17"/>
      <c r="P3051" s="17" t="b">
        <f>IFERROR(__xludf.DUMMYFUNCTION("""COMPUTED_VALUE"""),FALSE)</f>
        <v>0</v>
      </c>
      <c r="Q3051" s="20" t="str">
        <f>IFERROR(__xludf.DUMMYFUNCTION("""COMPUTED_VALUE"""),"")</f>
        <v/>
      </c>
      <c r="R3051" s="21" t="str">
        <f>IFERROR(__xludf.DUMMYFUNCTION("""COMPUTED_VALUE"""),"https://drive.google.com/file/d/1traJ8qklqxe8D1KLk7SegPsGbafpmwZO/view?usp=drivesdk")</f>
        <v>https://drive.google.com/file/d/1traJ8qklqxe8D1KLk7SegPsGbafpmwZO/view?usp=drivesdk</v>
      </c>
    </row>
    <row r="3052">
      <c r="A3052" s="15">
        <f>IFERROR(__xludf.DUMMYFUNCTION("""COMPUTED_VALUE"""),45091.0)</f>
        <v>45091</v>
      </c>
      <c r="B3052" s="16" t="str">
        <f>IFERROR(__xludf.DUMMYFUNCTION("""COMPUTED_VALUE"""),"Jhon Anderson Ceballos Hernandez")</f>
        <v>Jhon Anderson Ceballos Hernandez</v>
      </c>
      <c r="C3052" s="15" t="str">
        <f>IFERROR(__xludf.DUMMYFUNCTION("""COMPUTED_VALUE"""),"MANIZALES")</f>
        <v>MANIZALES</v>
      </c>
      <c r="D3052" s="15" t="str">
        <f>IFERROR(__xludf.DUMMYFUNCTION("""COMPUTED_VALUE"""),"BOGOTÁ")</f>
        <v>BOGOTÁ</v>
      </c>
      <c r="E3052" s="15" t="str">
        <f>IFERROR(__xludf.DUMMYFUNCTION("""COMPUTED_VALUE"""),"Blond &amp; This")</f>
        <v>Blond &amp; This</v>
      </c>
      <c r="F3052" s="17" t="str">
        <f>IFERROR(__xludf.DUMMYFUNCTION("""COMPUTED_VALUE"""),"cr23#73-86 / restaurante farfalla / milan")</f>
        <v>cr23#73-86 / restaurante farfalla / milan</v>
      </c>
      <c r="G3052" s="15" t="str">
        <f>IFERROR(__xludf.DUMMYFUNCTION("""COMPUTED_VALUE"""),"omaira lopez")</f>
        <v>omaira lopez</v>
      </c>
      <c r="H3052" s="16">
        <f>IFERROR(__xludf.DUMMYFUNCTION("""COMPUTED_VALUE"""),11679.0)</f>
        <v>11679</v>
      </c>
      <c r="I3052" s="18">
        <f>IFERROR(__xludf.DUMMYFUNCTION("""COMPUTED_VALUE"""),21.0)</f>
        <v>21</v>
      </c>
      <c r="J3052" s="18">
        <f>IFERROR(__xludf.DUMMYFUNCTION("""COMPUTED_VALUE"""),26.0)</f>
        <v>26</v>
      </c>
      <c r="K3052" s="18">
        <f>IFERROR(__xludf.DUMMYFUNCTION("""COMPUTED_VALUE"""),31.0)</f>
        <v>31</v>
      </c>
      <c r="L3052" s="17">
        <f>IFERROR(__xludf.DUMMYFUNCTION("""COMPUTED_VALUE"""),3.10421678E9)</f>
        <v>3104216780</v>
      </c>
      <c r="M3052" s="17" t="str">
        <f>IFERROR(__xludf.DUMMYFUNCTION("""COMPUTED_VALUE"""),"#REF!")</f>
        <v>#REF!</v>
      </c>
      <c r="N3052" s="17"/>
      <c r="O3052" s="17"/>
      <c r="P3052" s="17" t="b">
        <f>IFERROR(__xludf.DUMMYFUNCTION("""COMPUTED_VALUE"""),FALSE)</f>
        <v>0</v>
      </c>
      <c r="Q3052" s="20" t="str">
        <f>IFERROR(__xludf.DUMMYFUNCTION("""COMPUTED_VALUE"""),"")</f>
        <v/>
      </c>
      <c r="R3052" s="21" t="str">
        <f>IFERROR(__xludf.DUMMYFUNCTION("""COMPUTED_VALUE"""),"https://drive.google.com/file/d/1VoVB6wAv7ZIRWYS2fs6LPzecsmhdmKdT/view?usp=drivesdk")</f>
        <v>https://drive.google.com/file/d/1VoVB6wAv7ZIRWYS2fs6LPzecsmhdmKdT/view?usp=drivesdk</v>
      </c>
    </row>
    <row r="3053">
      <c r="A3053" s="15">
        <f>IFERROR(__xludf.DUMMYFUNCTION("""COMPUTED_VALUE"""),45091.0)</f>
        <v>45091</v>
      </c>
      <c r="B3053" s="16" t="str">
        <f>IFERROR(__xludf.DUMMYFUNCTION("""COMPUTED_VALUE"""),"Jhon Anderson Ceballos Hernandez")</f>
        <v>Jhon Anderson Ceballos Hernandez</v>
      </c>
      <c r="C3053" s="15" t="str">
        <f>IFERROR(__xludf.DUMMYFUNCTION("""COMPUTED_VALUE"""),"MANIZALES")</f>
        <v>MANIZALES</v>
      </c>
      <c r="D3053" s="15" t="str">
        <f>IFERROR(__xludf.DUMMYFUNCTION("""COMPUTED_VALUE"""),"BOGOTÁ")</f>
        <v>BOGOTÁ</v>
      </c>
      <c r="E3053" s="15" t="str">
        <f>IFERROR(__xludf.DUMMYFUNCTION("""COMPUTED_VALUE"""),"Evamazzita")</f>
        <v>Evamazzita</v>
      </c>
      <c r="F3053" s="17" t="str">
        <f>IFERROR(__xludf.DUMMYFUNCTION("""COMPUTED_VALUE"""),"AV. ALBERTO MENDOZA # 89 - 89  / CONJUNTO SIERRA VERDE CASA 48  / BARRIO SAN MARCEL")</f>
        <v>AV. ALBERTO MENDOZA # 89 - 89  / CONJUNTO SIERRA VERDE CASA 48  / BARRIO SAN MARCEL</v>
      </c>
      <c r="G3053" s="15" t="str">
        <f>IFERROR(__xludf.DUMMYFUNCTION("""COMPUTED_VALUE"""),"DANIELA VELASQUEZ ORREGO")</f>
        <v>DANIELA VELASQUEZ ORREGO</v>
      </c>
      <c r="H3053" s="16">
        <f>IFERROR(__xludf.DUMMYFUNCTION("""COMPUTED_VALUE"""),11657.0)</f>
        <v>11657</v>
      </c>
      <c r="I3053" s="18">
        <f>IFERROR(__xludf.DUMMYFUNCTION("""COMPUTED_VALUE"""),3.0)</f>
        <v>3</v>
      </c>
      <c r="J3053" s="18">
        <f>IFERROR(__xludf.DUMMYFUNCTION("""COMPUTED_VALUE"""),20.0)</f>
        <v>20</v>
      </c>
      <c r="K3053" s="18">
        <f>IFERROR(__xludf.DUMMYFUNCTION("""COMPUTED_VALUE"""),15.0)</f>
        <v>15</v>
      </c>
      <c r="L3053" s="17">
        <f>IFERROR(__xludf.DUMMYFUNCTION("""COMPUTED_VALUE"""),3.11302447E9)</f>
        <v>3113024470</v>
      </c>
      <c r="M3053" s="17" t="str">
        <f>IFERROR(__xludf.DUMMYFUNCTION("""COMPUTED_VALUE"""),"#REF!")</f>
        <v>#REF!</v>
      </c>
      <c r="N3053" s="17"/>
      <c r="O3053" s="17"/>
      <c r="P3053" s="17" t="b">
        <f>IFERROR(__xludf.DUMMYFUNCTION("""COMPUTED_VALUE"""),FALSE)</f>
        <v>0</v>
      </c>
      <c r="Q3053" s="20" t="str">
        <f>IFERROR(__xludf.DUMMYFUNCTION("""COMPUTED_VALUE"""),"")</f>
        <v/>
      </c>
      <c r="R3053" s="21" t="str">
        <f>IFERROR(__xludf.DUMMYFUNCTION("""COMPUTED_VALUE"""),"https://drive.google.com/file/d/11VyraWq0QzrzLe8rEL_-0caMyXTeMjAV/view?usp=drivesdk")</f>
        <v>https://drive.google.com/file/d/11VyraWq0QzrzLe8rEL_-0caMyXTeMjAV/view?usp=drivesdk</v>
      </c>
    </row>
    <row r="3054">
      <c r="A3054" s="15">
        <f>IFERROR(__xludf.DUMMYFUNCTION("""COMPUTED_VALUE"""),45091.0)</f>
        <v>45091</v>
      </c>
      <c r="B3054" s="16" t="str">
        <f>IFERROR(__xludf.DUMMYFUNCTION("""COMPUTED_VALUE"""),"Jhon Anderson Ceballos Hernandez")</f>
        <v>Jhon Anderson Ceballos Hernandez</v>
      </c>
      <c r="C3054" s="15" t="str">
        <f>IFERROR(__xludf.DUMMYFUNCTION("""COMPUTED_VALUE"""),"MANIZALES")</f>
        <v>MANIZALES</v>
      </c>
      <c r="D3054" s="15" t="str">
        <f>IFERROR(__xludf.DUMMYFUNCTION("""COMPUTED_VALUE"""),"BOGOTÁ")</f>
        <v>BOGOTÁ</v>
      </c>
      <c r="E3054" s="15" t="str">
        <f>IFERROR(__xludf.DUMMYFUNCTION("""COMPUTED_VALUE"""),"Evamazzita")</f>
        <v>Evamazzita</v>
      </c>
      <c r="F3054" s="17" t="str">
        <f>IFERROR(__xludf.DUMMYFUNCTION("""COMPUTED_VALUE"""),"CRA 9 CALLE 16 - 9  /  MZ 28 CASA 2 CONJUNTO MIRADOR DE LAS LOMAS  / VILLAMARÍA - BARRIO LA FLORIDA")</f>
        <v>CRA 9 CALLE 16 - 9  /  MZ 28 CASA 2 CONJUNTO MIRADOR DE LAS LOMAS  / VILLAMARÍA - BARRIO LA FLORIDA</v>
      </c>
      <c r="G3054" s="15" t="str">
        <f>IFERROR(__xludf.DUMMYFUNCTION("""COMPUTED_VALUE"""),"ANA MARIA GARZON")</f>
        <v>ANA MARIA GARZON</v>
      </c>
      <c r="H3054" s="16">
        <f>IFERROR(__xludf.DUMMYFUNCTION("""COMPUTED_VALUE"""),11658.0)</f>
        <v>11658</v>
      </c>
      <c r="I3054" s="18">
        <f>IFERROR(__xludf.DUMMYFUNCTION("""COMPUTED_VALUE"""),3.0)</f>
        <v>3</v>
      </c>
      <c r="J3054" s="18">
        <f>IFERROR(__xludf.DUMMYFUNCTION("""COMPUTED_VALUE"""),20.0)</f>
        <v>20</v>
      </c>
      <c r="K3054" s="18">
        <f>IFERROR(__xludf.DUMMYFUNCTION("""COMPUTED_VALUE"""),15.0)</f>
        <v>15</v>
      </c>
      <c r="L3054" s="17">
        <f>IFERROR(__xludf.DUMMYFUNCTION("""COMPUTED_VALUE"""),3.21566191E9)</f>
        <v>3215661910</v>
      </c>
      <c r="M3054" s="17" t="str">
        <f>IFERROR(__xludf.DUMMYFUNCTION("""COMPUTED_VALUE"""),"#REF!")</f>
        <v>#REF!</v>
      </c>
      <c r="N3054" s="17"/>
      <c r="O3054" s="17"/>
      <c r="P3054" s="17" t="b">
        <f>IFERROR(__xludf.DUMMYFUNCTION("""COMPUTED_VALUE"""),FALSE)</f>
        <v>0</v>
      </c>
      <c r="Q3054" s="20" t="str">
        <f>IFERROR(__xludf.DUMMYFUNCTION("""COMPUTED_VALUE"""),"")</f>
        <v/>
      </c>
      <c r="R3054" s="21" t="str">
        <f>IFERROR(__xludf.DUMMYFUNCTION("""COMPUTED_VALUE"""),"https://drive.google.com/file/d/18ewE0OcSkPQ5Ypbit0Xjw5sXP5uYs5fs/view?usp=drivesdk")</f>
        <v>https://drive.google.com/file/d/18ewE0OcSkPQ5Ypbit0Xjw5sXP5uYs5fs/view?usp=drivesdk</v>
      </c>
    </row>
    <row r="3055">
      <c r="A3055" s="15">
        <f>IFERROR(__xludf.DUMMYFUNCTION("""COMPUTED_VALUE"""),45091.0)</f>
        <v>45091</v>
      </c>
      <c r="B3055" s="16" t="str">
        <f>IFERROR(__xludf.DUMMYFUNCTION("""COMPUTED_VALUE"""),"Jhon Anderson Ceballos Hernandez")</f>
        <v>Jhon Anderson Ceballos Hernandez</v>
      </c>
      <c r="C3055" s="15" t="str">
        <f>IFERROR(__xludf.DUMMYFUNCTION("""COMPUTED_VALUE"""),"MANIZALES")</f>
        <v>MANIZALES</v>
      </c>
      <c r="D3055" s="15" t="str">
        <f>IFERROR(__xludf.DUMMYFUNCTION("""COMPUTED_VALUE"""),"BOGOTÁ")</f>
        <v>BOGOTÁ</v>
      </c>
      <c r="E3055" s="15" t="str">
        <f>IFERROR(__xludf.DUMMYFUNCTION("""COMPUTED_VALUE"""),"Vtopia")</f>
        <v>Vtopia</v>
      </c>
      <c r="F3055" s="17" t="str">
        <f>IFERROR(__xludf.DUMMYFUNCTION("""COMPUTED_VALUE"""),"Carrera 28 #14 - 62 / Casa, tienda esquina / Barrio el bosque")</f>
        <v>Carrera 28 #14 - 62 / Casa, tienda esquina / Barrio el bosque</v>
      </c>
      <c r="G3055" s="15" t="str">
        <f>IFERROR(__xludf.DUMMYFUNCTION("""COMPUTED_VALUE"""),"Mariela Ruiz o Luis Fernando Valencia")</f>
        <v>Mariela Ruiz o Luis Fernando Valencia</v>
      </c>
      <c r="H3055" s="16">
        <f>IFERROR(__xludf.DUMMYFUNCTION("""COMPUTED_VALUE"""),11601.0)</f>
        <v>11601</v>
      </c>
      <c r="I3055" s="18">
        <f>IFERROR(__xludf.DUMMYFUNCTION("""COMPUTED_VALUE"""),18.0)</f>
        <v>18</v>
      </c>
      <c r="J3055" s="18">
        <f>IFERROR(__xludf.DUMMYFUNCTION("""COMPUTED_VALUE"""),12.0)</f>
        <v>12</v>
      </c>
      <c r="K3055" s="18">
        <f>IFERROR(__xludf.DUMMYFUNCTION("""COMPUTED_VALUE"""),12.0)</f>
        <v>12</v>
      </c>
      <c r="L3055" s="17">
        <f>IFERROR(__xludf.DUMMYFUNCTION("""COMPUTED_VALUE"""),3.122157816E9)</f>
        <v>3122157816</v>
      </c>
      <c r="M3055" s="17" t="str">
        <f>IFERROR(__xludf.DUMMYFUNCTION("""COMPUTED_VALUE"""),"#REF!")</f>
        <v>#REF!</v>
      </c>
      <c r="N3055" s="17"/>
      <c r="O3055" s="17"/>
      <c r="P3055" s="17" t="b">
        <f>IFERROR(__xludf.DUMMYFUNCTION("""COMPUTED_VALUE"""),FALSE)</f>
        <v>0</v>
      </c>
      <c r="Q3055" s="20" t="str">
        <f>IFERROR(__xludf.DUMMYFUNCTION("""COMPUTED_VALUE"""),"")</f>
        <v/>
      </c>
      <c r="R3055" s="21" t="str">
        <f>IFERROR(__xludf.DUMMYFUNCTION("""COMPUTED_VALUE"""),"https://drive.google.com/file/d/1gFDBXj3N5CV_-QDnNDMxxk2yK1a2ceKL/view?usp=drivesdk")</f>
        <v>https://drive.google.com/file/d/1gFDBXj3N5CV_-QDnNDMxxk2yK1a2ceKL/view?usp=drivesdk</v>
      </c>
    </row>
    <row r="3056">
      <c r="A3056" s="15">
        <f>IFERROR(__xludf.DUMMYFUNCTION("""COMPUTED_VALUE"""),45091.0)</f>
        <v>45091</v>
      </c>
      <c r="B3056" s="16" t="str">
        <f>IFERROR(__xludf.DUMMYFUNCTION("""COMPUTED_VALUE"""),"Jhon Anderson Ceballos Hernandez")</f>
        <v>Jhon Anderson Ceballos Hernandez</v>
      </c>
      <c r="C3056" s="15" t="str">
        <f>IFERROR(__xludf.DUMMYFUNCTION("""COMPUTED_VALUE"""),"MANIZALES")</f>
        <v>MANIZALES</v>
      </c>
      <c r="D3056" s="15" t="str">
        <f>IFERROR(__xludf.DUMMYFUNCTION("""COMPUTED_VALUE"""),"MEDELLÍN")</f>
        <v>MEDELLÍN</v>
      </c>
      <c r="E3056" s="15" t="str">
        <f>IFERROR(__xludf.DUMMYFUNCTION("""COMPUTED_VALUE"""),"Todo Bufala")</f>
        <v>Todo Bufala</v>
      </c>
      <c r="F3056" s="17" t="str">
        <f>IFERROR(__xludf.DUMMYFUNCTION("""COMPUTED_VALUE"""),"Avenida Alberto mendoza # 89-94 / edificio paseo del bosque apto 901")</f>
        <v>Avenida Alberto mendoza # 89-94 / edificio paseo del bosque apto 901</v>
      </c>
      <c r="G3056" s="15" t="str">
        <f>IFERROR(__xludf.DUMMYFUNCTION("""COMPUTED_VALUE"""),"CATHERINE FRANCO MARMOLEJO")</f>
        <v>CATHERINE FRANCO MARMOLEJO</v>
      </c>
      <c r="H3056" s="16">
        <f>IFERROR(__xludf.DUMMYFUNCTION("""COMPUTED_VALUE"""),11566.0)</f>
        <v>11566</v>
      </c>
      <c r="I3056" s="18">
        <f>IFERROR(__xludf.DUMMYFUNCTION("""COMPUTED_VALUE"""),20.0)</f>
        <v>20</v>
      </c>
      <c r="J3056" s="18">
        <f>IFERROR(__xludf.DUMMYFUNCTION("""COMPUTED_VALUE"""),30.0)</f>
        <v>30</v>
      </c>
      <c r="K3056" s="18">
        <f>IFERROR(__xludf.DUMMYFUNCTION("""COMPUTED_VALUE"""),40.0)</f>
        <v>40</v>
      </c>
      <c r="L3056" s="17">
        <f>IFERROR(__xludf.DUMMYFUNCTION("""COMPUTED_VALUE"""),3.105466055E9)</f>
        <v>3105466055</v>
      </c>
      <c r="M3056" s="17" t="str">
        <f>IFERROR(__xludf.DUMMYFUNCTION("""COMPUTED_VALUE"""),"#REF!")</f>
        <v>#REF!</v>
      </c>
      <c r="N3056" s="17"/>
      <c r="O3056" s="17"/>
      <c r="P3056" s="17" t="b">
        <f>IFERROR(__xludf.DUMMYFUNCTION("""COMPUTED_VALUE"""),FALSE)</f>
        <v>0</v>
      </c>
      <c r="Q3056" s="20" t="str">
        <f>IFERROR(__xludf.DUMMYFUNCTION("""COMPUTED_VALUE"""),"")</f>
        <v/>
      </c>
      <c r="R3056" s="21" t="str">
        <f>IFERROR(__xludf.DUMMYFUNCTION("""COMPUTED_VALUE"""),"https://drive.google.com/file/d/1zEzvx41GmXJ_Srvp_xAnzwJbl9iWXkiV/view?usp=drivesdk")</f>
        <v>https://drive.google.com/file/d/1zEzvx41GmXJ_Srvp_xAnzwJbl9iWXkiV/view?usp=drivesdk</v>
      </c>
    </row>
    <row r="3057">
      <c r="A3057" s="15">
        <f>IFERROR(__xludf.DUMMYFUNCTION("""COMPUTED_VALUE"""),45091.0)</f>
        <v>45091</v>
      </c>
      <c r="B3057" s="16" t="str">
        <f>IFERROR(__xludf.DUMMYFUNCTION("""COMPUTED_VALUE"""),"Jhon Anderson Ceballos Hernandez")</f>
        <v>Jhon Anderson Ceballos Hernandez</v>
      </c>
      <c r="C3057" s="15" t="str">
        <f>IFERROR(__xludf.DUMMYFUNCTION("""COMPUTED_VALUE"""),"TUNJA")</f>
        <v>TUNJA</v>
      </c>
      <c r="D3057" s="15" t="str">
        <f>IFERROR(__xludf.DUMMYFUNCTION("""COMPUTED_VALUE"""),"BOGOTÁ")</f>
        <v>BOGOTÁ</v>
      </c>
      <c r="E3057" s="15" t="str">
        <f>IFERROR(__xludf.DUMMYFUNCTION("""COMPUTED_VALUE"""),"Evamazzita")</f>
        <v>Evamazzita</v>
      </c>
      <c r="F3057" s="17" t="str">
        <f>IFERROR(__xludf.DUMMYFUNCTION("""COMPUTED_VALUE"""),"Diagonal 66A # 4-20  / N/A / Barrio Los Muiscas")</f>
        <v>Diagonal 66A # 4-20  / N/A / Barrio Los Muiscas</v>
      </c>
      <c r="G3057" s="15" t="str">
        <f>IFERROR(__xludf.DUMMYFUNCTION("""COMPUTED_VALUE"""),"MERY YOLIMA URIBE RIOS")</f>
        <v>MERY YOLIMA URIBE RIOS</v>
      </c>
      <c r="H3057" s="16">
        <f>IFERROR(__xludf.DUMMYFUNCTION("""COMPUTED_VALUE"""),11660.0)</f>
        <v>11660</v>
      </c>
      <c r="I3057" s="18">
        <f>IFERROR(__xludf.DUMMYFUNCTION("""COMPUTED_VALUE"""),3.0)</f>
        <v>3</v>
      </c>
      <c r="J3057" s="18">
        <f>IFERROR(__xludf.DUMMYFUNCTION("""COMPUTED_VALUE"""),20.0)</f>
        <v>20</v>
      </c>
      <c r="K3057" s="18">
        <f>IFERROR(__xludf.DUMMYFUNCTION("""COMPUTED_VALUE"""),15.0)</f>
        <v>15</v>
      </c>
      <c r="L3057" s="17">
        <f>IFERROR(__xludf.DUMMYFUNCTION("""COMPUTED_VALUE"""),3.102399974E9)</f>
        <v>3102399974</v>
      </c>
      <c r="M3057" s="17" t="str">
        <f>IFERROR(__xludf.DUMMYFUNCTION("""COMPUTED_VALUE"""),"#REF!")</f>
        <v>#REF!</v>
      </c>
      <c r="N3057" s="17"/>
      <c r="O3057" s="17"/>
      <c r="P3057" s="17" t="b">
        <f>IFERROR(__xludf.DUMMYFUNCTION("""COMPUTED_VALUE"""),FALSE)</f>
        <v>0</v>
      </c>
      <c r="Q3057" s="20" t="str">
        <f>IFERROR(__xludf.DUMMYFUNCTION("""COMPUTED_VALUE"""),"")</f>
        <v/>
      </c>
      <c r="R3057" s="22" t="str">
        <f>IFERROR(__xludf.DUMMYFUNCTION("""COMPUTED_VALUE"""),"")</f>
        <v/>
      </c>
    </row>
    <row r="3058">
      <c r="A3058" s="17" t="str">
        <f>IFERROR(__xludf.DUMMYFUNCTION("""COMPUTED_VALUE"""),"")</f>
        <v/>
      </c>
      <c r="B3058" s="17" t="str">
        <f>IFERROR(__xludf.DUMMYFUNCTION("""COMPUTED_VALUE"""),"")</f>
        <v/>
      </c>
      <c r="C3058" s="17" t="str">
        <f>IFERROR(__xludf.DUMMYFUNCTION("""COMPUTED_VALUE"""),"")</f>
        <v/>
      </c>
      <c r="D3058" s="17" t="str">
        <f>IFERROR(__xludf.DUMMYFUNCTION("""COMPUTED_VALUE"""),"")</f>
        <v/>
      </c>
      <c r="E3058" s="17" t="str">
        <f>IFERROR(__xludf.DUMMYFUNCTION("""COMPUTED_VALUE"""),"")</f>
        <v/>
      </c>
      <c r="F3058" s="17" t="str">
        <f>IFERROR(__xludf.DUMMYFUNCTION("""COMPUTED_VALUE"""),"")</f>
        <v/>
      </c>
      <c r="G3058" s="17" t="str">
        <f>IFERROR(__xludf.DUMMYFUNCTION("""COMPUTED_VALUE"""),"")</f>
        <v/>
      </c>
      <c r="H3058" s="17" t="str">
        <f>IFERROR(__xludf.DUMMYFUNCTION("""COMPUTED_VALUE"""),"")</f>
        <v/>
      </c>
      <c r="I3058" s="17" t="str">
        <f>IFERROR(__xludf.DUMMYFUNCTION("""COMPUTED_VALUE"""),"")</f>
        <v/>
      </c>
      <c r="J3058" s="17" t="str">
        <f>IFERROR(__xludf.DUMMYFUNCTION("""COMPUTED_VALUE"""),"")</f>
        <v/>
      </c>
      <c r="K3058" s="17" t="str">
        <f>IFERROR(__xludf.DUMMYFUNCTION("""COMPUTED_VALUE"""),"")</f>
        <v/>
      </c>
      <c r="L3058" s="17" t="str">
        <f>IFERROR(__xludf.DUMMYFUNCTION("""COMPUTED_VALUE"""),"")</f>
        <v/>
      </c>
      <c r="M3058" s="17" t="str">
        <f>IFERROR(__xludf.DUMMYFUNCTION("""COMPUTED_VALUE"""),"")</f>
        <v/>
      </c>
      <c r="N3058" s="17" t="str">
        <f>IFERROR(__xludf.DUMMYFUNCTION("""COMPUTED_VALUE"""),"")</f>
        <v/>
      </c>
      <c r="O3058" s="17" t="str">
        <f>IFERROR(__xludf.DUMMYFUNCTION("""COMPUTED_VALUE"""),"")</f>
        <v/>
      </c>
      <c r="P3058" s="17" t="str">
        <f>IFERROR(__xludf.DUMMYFUNCTION("""COMPUTED_VALUE"""),"")</f>
        <v/>
      </c>
      <c r="Q3058" s="17" t="str">
        <f>IFERROR(__xludf.DUMMYFUNCTION("""COMPUTED_VALUE"""),"")</f>
        <v/>
      </c>
      <c r="R3058" s="17" t="str">
        <f>IFERROR(__xludf.DUMMYFUNCTION("""COMPUTED_VALUE"""),"")</f>
        <v/>
      </c>
    </row>
    <row r="3059">
      <c r="A3059" s="15">
        <f>IFERROR(__xludf.DUMMYFUNCTION("""COMPUTED_VALUE"""),45091.0)</f>
        <v>45091</v>
      </c>
      <c r="B3059" s="16" t="str">
        <f>IFERROR(__xludf.DUMMYFUNCTION("""COMPUTED_VALUE"""),"Johan Alexander Escobar Arroyo ")</f>
        <v>Johan Alexander Escobar Arroyo </v>
      </c>
      <c r="C3059" s="15" t="str">
        <f>IFERROR(__xludf.DUMMYFUNCTION("""COMPUTED_VALUE"""),"CALI")</f>
        <v>CALI</v>
      </c>
      <c r="D3059" s="15" t="str">
        <f>IFERROR(__xludf.DUMMYFUNCTION("""COMPUTED_VALUE"""),"BOGOTÁ")</f>
        <v>BOGOTÁ</v>
      </c>
      <c r="E3059" s="15" t="str">
        <f>IFERROR(__xludf.DUMMYFUNCTION("""COMPUTED_VALUE"""),"Asociacion Agropecuaria Juana Maria")</f>
        <v>Asociacion Agropecuaria Juana Maria</v>
      </c>
      <c r="F3059" s="17" t="str">
        <f>IFERROR(__xludf.DUMMYFUNCTION("""COMPUTED_VALUE"""),"Carrera 17B # 33E-33 La Floresta vieja")</f>
        <v>Carrera 17B # 33E-33 La Floresta vieja</v>
      </c>
      <c r="G3059" s="15" t="str">
        <f>IFERROR(__xludf.DUMMYFUNCTION("""COMPUTED_VALUE"""),"Johanna acuña  Molina")</f>
        <v>Johanna acuña  Molina</v>
      </c>
      <c r="H3059" s="16">
        <f>IFERROR(__xludf.DUMMYFUNCTION("""COMPUTED_VALUE"""),11606.0)</f>
        <v>11606</v>
      </c>
      <c r="I3059" s="18">
        <f>IFERROR(__xludf.DUMMYFUNCTION("""COMPUTED_VALUE"""),12.0)</f>
        <v>12</v>
      </c>
      <c r="J3059" s="18">
        <f>IFERROR(__xludf.DUMMYFUNCTION("""COMPUTED_VALUE"""),37.0)</f>
        <v>37</v>
      </c>
      <c r="K3059" s="18">
        <f>IFERROR(__xludf.DUMMYFUNCTION("""COMPUTED_VALUE"""),24.0)</f>
        <v>24</v>
      </c>
      <c r="L3059" s="17">
        <f>IFERROR(__xludf.DUMMYFUNCTION("""COMPUTED_VALUE"""),3.218700343E9)</f>
        <v>3218700343</v>
      </c>
      <c r="M3059" s="17" t="str">
        <f>IFERROR(__xludf.DUMMYFUNCTION("""COMPUTED_VALUE"""),"#REF!")</f>
        <v>#REF!</v>
      </c>
      <c r="N3059" s="17"/>
      <c r="O3059" s="17"/>
      <c r="P3059" s="17" t="b">
        <f>IFERROR(__xludf.DUMMYFUNCTION("""COMPUTED_VALUE"""),FALSE)</f>
        <v>0</v>
      </c>
      <c r="Q3059" s="20" t="str">
        <f>IFERROR(__xludf.DUMMYFUNCTION("""COMPUTED_VALUE"""),"")</f>
        <v/>
      </c>
      <c r="R3059" s="21" t="str">
        <f>IFERROR(__xludf.DUMMYFUNCTION("""COMPUTED_VALUE"""),"https://drive.google.com/file/d/1N_3BtomHEYlluUHdSsaYzN-HEqO8-1B_/view?usp=drivesdk")</f>
        <v>https://drive.google.com/file/d/1N_3BtomHEYlluUHdSsaYzN-HEqO8-1B_/view?usp=drivesdk</v>
      </c>
    </row>
    <row r="3060">
      <c r="A3060" s="15">
        <f>IFERROR(__xludf.DUMMYFUNCTION("""COMPUTED_VALUE"""),45091.0)</f>
        <v>45091</v>
      </c>
      <c r="B3060" s="16" t="str">
        <f>IFERROR(__xludf.DUMMYFUNCTION("""COMPUTED_VALUE"""),"Johan Alexander Escobar Arroyo ")</f>
        <v>Johan Alexander Escobar Arroyo </v>
      </c>
      <c r="C3060" s="15" t="str">
        <f>IFERROR(__xludf.DUMMYFUNCTION("""COMPUTED_VALUE"""),"CALI")</f>
        <v>CALI</v>
      </c>
      <c r="D3060" s="15" t="str">
        <f>IFERROR(__xludf.DUMMYFUNCTION("""COMPUTED_VALUE"""),"BOGOTÁ")</f>
        <v>BOGOTÁ</v>
      </c>
      <c r="E3060" s="15" t="str">
        <f>IFERROR(__xludf.DUMMYFUNCTION("""COMPUTED_VALUE"""),"Evamazzita")</f>
        <v>Evamazzita</v>
      </c>
      <c r="F3060" s="17" t="str">
        <f>IFERROR(__xludf.DUMMYFUNCTION("""COMPUTED_VALUE"""),"CALI: CRA 46C No. 55A - 15  / N/A / BARRIO CIUDAD CORDOBA")</f>
        <v>CALI: CRA 46C No. 55A - 15  / N/A / BARRIO CIUDAD CORDOBA</v>
      </c>
      <c r="G3060" s="15" t="str">
        <f>IFERROR(__xludf.DUMMYFUNCTION("""COMPUTED_VALUE"""),"CLAUDIA CANTERO")</f>
        <v>CLAUDIA CANTERO</v>
      </c>
      <c r="H3060" s="16">
        <f>IFERROR(__xludf.DUMMYFUNCTION("""COMPUTED_VALUE"""),11653.0)</f>
        <v>11653</v>
      </c>
      <c r="I3060" s="18">
        <f>IFERROR(__xludf.DUMMYFUNCTION("""COMPUTED_VALUE"""),3.0)</f>
        <v>3</v>
      </c>
      <c r="J3060" s="18">
        <f>IFERROR(__xludf.DUMMYFUNCTION("""COMPUTED_VALUE"""),20.0)</f>
        <v>20</v>
      </c>
      <c r="K3060" s="18">
        <f>IFERROR(__xludf.DUMMYFUNCTION("""COMPUTED_VALUE"""),15.0)</f>
        <v>15</v>
      </c>
      <c r="L3060" s="17">
        <f>IFERROR(__xludf.DUMMYFUNCTION("""COMPUTED_VALUE"""),3.176248548E9)</f>
        <v>3176248548</v>
      </c>
      <c r="M3060" s="17" t="str">
        <f>IFERROR(__xludf.DUMMYFUNCTION("""COMPUTED_VALUE"""),"#REF!")</f>
        <v>#REF!</v>
      </c>
      <c r="N3060" s="17"/>
      <c r="O3060" s="17"/>
      <c r="P3060" s="17" t="b">
        <f>IFERROR(__xludf.DUMMYFUNCTION("""COMPUTED_VALUE"""),FALSE)</f>
        <v>0</v>
      </c>
      <c r="Q3060" s="20" t="str">
        <f>IFERROR(__xludf.DUMMYFUNCTION("""COMPUTED_VALUE"""),"")</f>
        <v/>
      </c>
      <c r="R3060" s="21" t="str">
        <f>IFERROR(__xludf.DUMMYFUNCTION("""COMPUTED_VALUE"""),"https://drive.google.com/file/d/1dFg3CGYI7CTXnhbKG7TgLDgGnJ4vhMvM/view?usp=drivesdk")</f>
        <v>https://drive.google.com/file/d/1dFg3CGYI7CTXnhbKG7TgLDgGnJ4vhMvM/view?usp=drivesdk</v>
      </c>
    </row>
    <row r="3061">
      <c r="A3061" s="15">
        <f>IFERROR(__xludf.DUMMYFUNCTION("""COMPUTED_VALUE"""),45091.0)</f>
        <v>45091</v>
      </c>
      <c r="B3061" s="16" t="str">
        <f>IFERROR(__xludf.DUMMYFUNCTION("""COMPUTED_VALUE"""),"Johan Alexander Escobar Arroyo ")</f>
        <v>Johan Alexander Escobar Arroyo </v>
      </c>
      <c r="C3061" s="15" t="str">
        <f>IFERROR(__xludf.DUMMYFUNCTION("""COMPUTED_VALUE"""),"CALI")</f>
        <v>CALI</v>
      </c>
      <c r="D3061" s="15" t="str">
        <f>IFERROR(__xludf.DUMMYFUNCTION("""COMPUTED_VALUE"""),"BOGOTÁ")</f>
        <v>BOGOTÁ</v>
      </c>
      <c r="E3061" s="15" t="str">
        <f>IFERROR(__xludf.DUMMYFUNCTION("""COMPUTED_VALUE"""),"Evamazzita")</f>
        <v>Evamazzita</v>
      </c>
      <c r="F3061" s="17" t="str">
        <f>IFERROR(__xludf.DUMMYFUNCTION("""COMPUTED_VALUE"""),"Calle 9c #40a 57  / Apto 201  / Barrio Los Cambulos")</f>
        <v>Calle 9c #40a 57  / Apto 201  / Barrio Los Cambulos</v>
      </c>
      <c r="G3061" s="15" t="str">
        <f>IFERROR(__xludf.DUMMYFUNCTION("""COMPUTED_VALUE"""),"GABRIELA URBANO")</f>
        <v>GABRIELA URBANO</v>
      </c>
      <c r="H3061" s="16">
        <f>IFERROR(__xludf.DUMMYFUNCTION("""COMPUTED_VALUE"""),11654.0)</f>
        <v>11654</v>
      </c>
      <c r="I3061" s="18">
        <f>IFERROR(__xludf.DUMMYFUNCTION("""COMPUTED_VALUE"""),3.0)</f>
        <v>3</v>
      </c>
      <c r="J3061" s="18">
        <f>IFERROR(__xludf.DUMMYFUNCTION("""COMPUTED_VALUE"""),20.0)</f>
        <v>20</v>
      </c>
      <c r="K3061" s="18">
        <f>IFERROR(__xludf.DUMMYFUNCTION("""COMPUTED_VALUE"""),15.0)</f>
        <v>15</v>
      </c>
      <c r="L3061" s="17">
        <f>IFERROR(__xludf.DUMMYFUNCTION("""COMPUTED_VALUE"""),3.165364257E9)</f>
        <v>3165364257</v>
      </c>
      <c r="M3061" s="17" t="str">
        <f>IFERROR(__xludf.DUMMYFUNCTION("""COMPUTED_VALUE"""),"#REF!")</f>
        <v>#REF!</v>
      </c>
      <c r="N3061" s="17"/>
      <c r="O3061" s="17"/>
      <c r="P3061" s="17" t="b">
        <f>IFERROR(__xludf.DUMMYFUNCTION("""COMPUTED_VALUE"""),FALSE)</f>
        <v>0</v>
      </c>
      <c r="Q3061" s="20" t="str">
        <f>IFERROR(__xludf.DUMMYFUNCTION("""COMPUTED_VALUE"""),"")</f>
        <v/>
      </c>
      <c r="R3061" s="21" t="str">
        <f>IFERROR(__xludf.DUMMYFUNCTION("""COMPUTED_VALUE"""),"https://drive.google.com/file/d/1SX_CKnuxgkrK6iwmBIrpX-QuaWxcmC5H/view?usp=drivesdk")</f>
        <v>https://drive.google.com/file/d/1SX_CKnuxgkrK6iwmBIrpX-QuaWxcmC5H/view?usp=drivesdk</v>
      </c>
    </row>
    <row r="3062">
      <c r="A3062" s="15">
        <f>IFERROR(__xludf.DUMMYFUNCTION("""COMPUTED_VALUE"""),45091.0)</f>
        <v>45091</v>
      </c>
      <c r="B3062" s="16" t="str">
        <f>IFERROR(__xludf.DUMMYFUNCTION("""COMPUTED_VALUE"""),"Johan Alexander Escobar Arroyo ")</f>
        <v>Johan Alexander Escobar Arroyo </v>
      </c>
      <c r="C3062" s="15" t="str">
        <f>IFERROR(__xludf.DUMMYFUNCTION("""COMPUTED_VALUE"""),"CALI")</f>
        <v>CALI</v>
      </c>
      <c r="D3062" s="15" t="str">
        <f>IFERROR(__xludf.DUMMYFUNCTION("""COMPUTED_VALUE"""),"BOGOTÁ")</f>
        <v>BOGOTÁ</v>
      </c>
      <c r="E3062" s="15" t="str">
        <f>IFERROR(__xludf.DUMMYFUNCTION("""COMPUTED_VALUE"""),"Evamazzita")</f>
        <v>Evamazzita</v>
      </c>
      <c r="F3062" s="17" t="str">
        <f>IFERROR(__xludf.DUMMYFUNCTION("""COMPUTED_VALUE"""),"Carrera 105  No. 11-145  / Conjunto  Residencial Polo Club 1 casa  7   / Barrio ciudad jardín")</f>
        <v>Carrera 105  No. 11-145  / Conjunto  Residencial Polo Club 1 casa  7   / Barrio ciudad jardín</v>
      </c>
      <c r="G3062" s="15" t="str">
        <f>IFERROR(__xludf.DUMMYFUNCTION("""COMPUTED_VALUE"""),"KATERIN JOHANA PAREDES VEGA")</f>
        <v>KATERIN JOHANA PAREDES VEGA</v>
      </c>
      <c r="H3062" s="16">
        <f>IFERROR(__xludf.DUMMYFUNCTION("""COMPUTED_VALUE"""),11652.0)</f>
        <v>11652</v>
      </c>
      <c r="I3062" s="18">
        <f>IFERROR(__xludf.DUMMYFUNCTION("""COMPUTED_VALUE"""),3.0)</f>
        <v>3</v>
      </c>
      <c r="J3062" s="18">
        <f>IFERROR(__xludf.DUMMYFUNCTION("""COMPUTED_VALUE"""),20.0)</f>
        <v>20</v>
      </c>
      <c r="K3062" s="18">
        <f>IFERROR(__xludf.DUMMYFUNCTION("""COMPUTED_VALUE"""),15.0)</f>
        <v>15</v>
      </c>
      <c r="L3062" s="17">
        <f>IFERROR(__xludf.DUMMYFUNCTION("""COMPUTED_VALUE"""),3.234879088E9)</f>
        <v>3234879088</v>
      </c>
      <c r="M3062" s="17" t="str">
        <f>IFERROR(__xludf.DUMMYFUNCTION("""COMPUTED_VALUE"""),"#REF!")</f>
        <v>#REF!</v>
      </c>
      <c r="N3062" s="17"/>
      <c r="O3062" s="17"/>
      <c r="P3062" s="17" t="b">
        <f>IFERROR(__xludf.DUMMYFUNCTION("""COMPUTED_VALUE"""),FALSE)</f>
        <v>0</v>
      </c>
      <c r="Q3062" s="20" t="str">
        <f>IFERROR(__xludf.DUMMYFUNCTION("""COMPUTED_VALUE"""),"")</f>
        <v/>
      </c>
      <c r="R3062" s="21" t="str">
        <f>IFERROR(__xludf.DUMMYFUNCTION("""COMPUTED_VALUE"""),"https://drive.google.com/file/d/1Ry7PIgVRCESIcO-kDcyVvokmPh4XqnfY/view?usp=drivesdk")</f>
        <v>https://drive.google.com/file/d/1Ry7PIgVRCESIcO-kDcyVvokmPh4XqnfY/view?usp=drivesdk</v>
      </c>
    </row>
    <row r="3063">
      <c r="A3063" s="15">
        <f>IFERROR(__xludf.DUMMYFUNCTION("""COMPUTED_VALUE"""),45091.0)</f>
        <v>45091</v>
      </c>
      <c r="B3063" s="16" t="str">
        <f>IFERROR(__xludf.DUMMYFUNCTION("""COMPUTED_VALUE"""),"Johan Alexander Escobar Arroyo ")</f>
        <v>Johan Alexander Escobar Arroyo </v>
      </c>
      <c r="C3063" s="15" t="str">
        <f>IFERROR(__xludf.DUMMYFUNCTION("""COMPUTED_VALUE"""),"CALI")</f>
        <v>CALI</v>
      </c>
      <c r="D3063" s="15" t="str">
        <f>IFERROR(__xludf.DUMMYFUNCTION("""COMPUTED_VALUE"""),"BOGOTÁ")</f>
        <v>BOGOTÁ</v>
      </c>
      <c r="E3063" s="15" t="str">
        <f>IFERROR(__xludf.DUMMYFUNCTION("""COMPUTED_VALUE"""),"Evamazzita")</f>
        <v>Evamazzita</v>
      </c>
      <c r="F3063" s="17" t="str">
        <f>IFERROR(__xludf.DUMMYFUNCTION("""COMPUTED_VALUE"""),"carrera 5 número 10-63  / edificio colseguros oficina 828    / centro-plaza caicedo")</f>
        <v>carrera 5 número 10-63  / edificio colseguros oficina 828    / centro-plaza caicedo</v>
      </c>
      <c r="G3063" s="15" t="str">
        <f>IFERROR(__xludf.DUMMYFUNCTION("""COMPUTED_VALUE"""),"LINA MARCELA PIEDRAHITA ERAZO")</f>
        <v>LINA MARCELA PIEDRAHITA ERAZO</v>
      </c>
      <c r="H3063" s="16">
        <f>IFERROR(__xludf.DUMMYFUNCTION("""COMPUTED_VALUE"""),11655.0)</f>
        <v>11655</v>
      </c>
      <c r="I3063" s="18">
        <f>IFERROR(__xludf.DUMMYFUNCTION("""COMPUTED_VALUE"""),10.0)</f>
        <v>10</v>
      </c>
      <c r="J3063" s="18">
        <f>IFERROR(__xludf.DUMMYFUNCTION("""COMPUTED_VALUE"""),18.0)</f>
        <v>18</v>
      </c>
      <c r="K3063" s="18">
        <f>IFERROR(__xludf.DUMMYFUNCTION("""COMPUTED_VALUE"""),22.0)</f>
        <v>22</v>
      </c>
      <c r="L3063" s="17">
        <f>IFERROR(__xludf.DUMMYFUNCTION("""COMPUTED_VALUE"""),3.216861055E9)</f>
        <v>3216861055</v>
      </c>
      <c r="M3063" s="17" t="str">
        <f>IFERROR(__xludf.DUMMYFUNCTION("""COMPUTED_VALUE"""),"#REF!")</f>
        <v>#REF!</v>
      </c>
      <c r="N3063" s="17"/>
      <c r="O3063" s="17"/>
      <c r="P3063" s="17" t="b">
        <f>IFERROR(__xludf.DUMMYFUNCTION("""COMPUTED_VALUE"""),FALSE)</f>
        <v>0</v>
      </c>
      <c r="Q3063" s="20" t="str">
        <f>IFERROR(__xludf.DUMMYFUNCTION("""COMPUTED_VALUE"""),"")</f>
        <v/>
      </c>
      <c r="R3063" s="21" t="str">
        <f>IFERROR(__xludf.DUMMYFUNCTION("""COMPUTED_VALUE"""),"https://drive.google.com/file/d/1v1wZ4O2jV_xQoTNso0AzC5-bLLz_ys28/view?usp=drivesdk")</f>
        <v>https://drive.google.com/file/d/1v1wZ4O2jV_xQoTNso0AzC5-bLLz_ys28/view?usp=drivesdk</v>
      </c>
    </row>
    <row r="3064">
      <c r="A3064" s="15">
        <f>IFERROR(__xludf.DUMMYFUNCTION("""COMPUTED_VALUE"""),45091.0)</f>
        <v>45091</v>
      </c>
      <c r="B3064" s="16" t="str">
        <f>IFERROR(__xludf.DUMMYFUNCTION("""COMPUTED_VALUE"""),"Johan Alexander Escobar Arroyo ")</f>
        <v>Johan Alexander Escobar Arroyo </v>
      </c>
      <c r="C3064" s="15" t="str">
        <f>IFERROR(__xludf.DUMMYFUNCTION("""COMPUTED_VALUE"""),"CALI")</f>
        <v>CALI</v>
      </c>
      <c r="D3064" s="15" t="str">
        <f>IFERROR(__xludf.DUMMYFUNCTION("""COMPUTED_VALUE"""),"BOGOTÁ")</f>
        <v>BOGOTÁ</v>
      </c>
      <c r="E3064" s="15" t="str">
        <f>IFERROR(__xludf.DUMMYFUNCTION("""COMPUTED_VALUE"""),"Evamazzita")</f>
        <v>Evamazzita</v>
      </c>
      <c r="F3064" s="17" t="str">
        <f>IFERROR(__xludf.DUMMYFUNCTION("""COMPUTED_VALUE"""),"CARRERA 69 # 16 - 60  / BALCONES DEL LIMONAR 3  / TORRE E APTO. 704")</f>
        <v>CARRERA 69 # 16 - 60  / BALCONES DEL LIMONAR 3  / TORRE E APTO. 704</v>
      </c>
      <c r="G3064" s="15" t="str">
        <f>IFERROR(__xludf.DUMMYFUNCTION("""COMPUTED_VALUE"""),"JOHANNA GODOY")</f>
        <v>JOHANNA GODOY</v>
      </c>
      <c r="H3064" s="16">
        <f>IFERROR(__xludf.DUMMYFUNCTION("""COMPUTED_VALUE"""),11651.0)</f>
        <v>11651</v>
      </c>
      <c r="I3064" s="18">
        <f>IFERROR(__xludf.DUMMYFUNCTION("""COMPUTED_VALUE"""),3.0)</f>
        <v>3</v>
      </c>
      <c r="J3064" s="18">
        <f>IFERROR(__xludf.DUMMYFUNCTION("""COMPUTED_VALUE"""),15.0)</f>
        <v>15</v>
      </c>
      <c r="K3064" s="18">
        <f>IFERROR(__xludf.DUMMYFUNCTION("""COMPUTED_VALUE"""),20.0)</f>
        <v>20</v>
      </c>
      <c r="L3064" s="17">
        <f>IFERROR(__xludf.DUMMYFUNCTION("""COMPUTED_VALUE"""),3.122261282E9)</f>
        <v>3122261282</v>
      </c>
      <c r="M3064" s="17" t="str">
        <f>IFERROR(__xludf.DUMMYFUNCTION("""COMPUTED_VALUE"""),"#REF!")</f>
        <v>#REF!</v>
      </c>
      <c r="N3064" s="17"/>
      <c r="O3064" s="17"/>
      <c r="P3064" s="17" t="b">
        <f>IFERROR(__xludf.DUMMYFUNCTION("""COMPUTED_VALUE"""),FALSE)</f>
        <v>0</v>
      </c>
      <c r="Q3064" s="20" t="str">
        <f>IFERROR(__xludf.DUMMYFUNCTION("""COMPUTED_VALUE"""),"")</f>
        <v/>
      </c>
      <c r="R3064" s="21" t="str">
        <f>IFERROR(__xludf.DUMMYFUNCTION("""COMPUTED_VALUE"""),"https://drive.google.com/file/d/1sxR4OIm0sLVBVR5cXfbGJHQVXK-2dwTX/view?usp=drivesdk")</f>
        <v>https://drive.google.com/file/d/1sxR4OIm0sLVBVR5cXfbGJHQVXK-2dwTX/view?usp=drivesdk</v>
      </c>
    </row>
    <row r="3065">
      <c r="A3065" s="15">
        <f>IFERROR(__xludf.DUMMYFUNCTION("""COMPUTED_VALUE"""),45091.0)</f>
        <v>45091</v>
      </c>
      <c r="B3065" s="16" t="str">
        <f>IFERROR(__xludf.DUMMYFUNCTION("""COMPUTED_VALUE"""),"Johan Alexander Escobar Arroyo ")</f>
        <v>Johan Alexander Escobar Arroyo </v>
      </c>
      <c r="C3065" s="15" t="str">
        <f>IFERROR(__xludf.DUMMYFUNCTION("""COMPUTED_VALUE"""),"CALI")</f>
        <v>CALI</v>
      </c>
      <c r="D3065" s="15" t="str">
        <f>IFERROR(__xludf.DUMMYFUNCTION("""COMPUTED_VALUE"""),"BOGOTÁ")</f>
        <v>BOGOTÁ</v>
      </c>
      <c r="E3065" s="15" t="str">
        <f>IFERROR(__xludf.DUMMYFUNCTION("""COMPUTED_VALUE"""),"Evamazzita")</f>
        <v>Evamazzita</v>
      </c>
      <c r="F3065" s="17" t="str">
        <f>IFERROR(__xludf.DUMMYFUNCTION("""COMPUTED_VALUE"""),"Carrera 85d #54-60  / apto 303 torre A  / jardin de las vegas Vegas de comfandi")</f>
        <v>Carrera 85d #54-60  / apto 303 torre A  / jardin de las vegas Vegas de comfandi</v>
      </c>
      <c r="G3065" s="15" t="str">
        <f>IFERROR(__xludf.DUMMYFUNCTION("""COMPUTED_VALUE"""),"DIANA MARCELA MESA")</f>
        <v>DIANA MARCELA MESA</v>
      </c>
      <c r="H3065" s="16">
        <f>IFERROR(__xludf.DUMMYFUNCTION("""COMPUTED_VALUE"""),11656.0)</f>
        <v>11656</v>
      </c>
      <c r="I3065" s="18">
        <f>IFERROR(__xludf.DUMMYFUNCTION("""COMPUTED_VALUE"""),3.0)</f>
        <v>3</v>
      </c>
      <c r="J3065" s="18">
        <f>IFERROR(__xludf.DUMMYFUNCTION("""COMPUTED_VALUE"""),15.0)</f>
        <v>15</v>
      </c>
      <c r="K3065" s="18">
        <f>IFERROR(__xludf.DUMMYFUNCTION("""COMPUTED_VALUE"""),20.0)</f>
        <v>20</v>
      </c>
      <c r="L3065" s="17">
        <f>IFERROR(__xludf.DUMMYFUNCTION("""COMPUTED_VALUE"""),3.013659291E9)</f>
        <v>3013659291</v>
      </c>
      <c r="M3065" s="17" t="str">
        <f>IFERROR(__xludf.DUMMYFUNCTION("""COMPUTED_VALUE"""),"#REF!")</f>
        <v>#REF!</v>
      </c>
      <c r="N3065" s="17"/>
      <c r="O3065" s="17"/>
      <c r="P3065" s="17" t="b">
        <f>IFERROR(__xludf.DUMMYFUNCTION("""COMPUTED_VALUE"""),FALSE)</f>
        <v>0</v>
      </c>
      <c r="Q3065" s="20" t="str">
        <f>IFERROR(__xludf.DUMMYFUNCTION("""COMPUTED_VALUE"""),"")</f>
        <v/>
      </c>
      <c r="R3065" s="21" t="str">
        <f>IFERROR(__xludf.DUMMYFUNCTION("""COMPUTED_VALUE"""),"https://drive.google.com/file/d/18L0r7NCIp8sbNHrGnZW_MwWC98c3FvQ0/view?usp=drivesdk")</f>
        <v>https://drive.google.com/file/d/18L0r7NCIp8sbNHrGnZW_MwWC98c3FvQ0/view?usp=drivesdk</v>
      </c>
    </row>
    <row r="3066">
      <c r="A3066" s="15">
        <f>IFERROR(__xludf.DUMMYFUNCTION("""COMPUTED_VALUE"""),45091.0)</f>
        <v>45091</v>
      </c>
      <c r="B3066" s="16" t="str">
        <f>IFERROR(__xludf.DUMMYFUNCTION("""COMPUTED_VALUE"""),"Johan Alexander Escobar Arroyo ")</f>
        <v>Johan Alexander Escobar Arroyo </v>
      </c>
      <c r="C3066" s="15" t="str">
        <f>IFERROR(__xludf.DUMMYFUNCTION("""COMPUTED_VALUE"""),"CALI")</f>
        <v>CALI</v>
      </c>
      <c r="D3066" s="15" t="str">
        <f>IFERROR(__xludf.DUMMYFUNCTION("""COMPUTED_VALUE"""),"BOGOTÁ")</f>
        <v>BOGOTÁ</v>
      </c>
      <c r="E3066" s="15" t="str">
        <f>IFERROR(__xludf.DUMMYFUNCTION("""COMPUTED_VALUE"""),"Karem foods")</f>
        <v>Karem foods</v>
      </c>
      <c r="F3066" s="17" t="str">
        <f>IFERROR(__xludf.DUMMYFUNCTION("""COMPUTED_VALUE"""),"Av 6 oeste # 5 oeste - 200  / Torre 2 apto 502  / No")</f>
        <v>Av 6 oeste # 5 oeste - 200  / Torre 2 apto 502  / No</v>
      </c>
      <c r="G3066" s="15" t="str">
        <f>IFERROR(__xludf.DUMMYFUNCTION("""COMPUTED_VALUE"""),"Maria lopez")</f>
        <v>Maria lopez</v>
      </c>
      <c r="H3066" s="16">
        <f>IFERROR(__xludf.DUMMYFUNCTION("""COMPUTED_VALUE"""),11704.0)</f>
        <v>11704</v>
      </c>
      <c r="I3066" s="18">
        <f>IFERROR(__xludf.DUMMYFUNCTION("""COMPUTED_VALUE"""),8.0)</f>
        <v>8</v>
      </c>
      <c r="J3066" s="18">
        <f>IFERROR(__xludf.DUMMYFUNCTION("""COMPUTED_VALUE"""),25.0)</f>
        <v>25</v>
      </c>
      <c r="K3066" s="18">
        <f>IFERROR(__xludf.DUMMYFUNCTION("""COMPUTED_VALUE"""),22.0)</f>
        <v>22</v>
      </c>
      <c r="L3066" s="17">
        <f>IFERROR(__xludf.DUMMYFUNCTION("""COMPUTED_VALUE"""),3.203416838E9)</f>
        <v>3203416838</v>
      </c>
      <c r="M3066" s="17" t="str">
        <f>IFERROR(__xludf.DUMMYFUNCTION("""COMPUTED_VALUE"""),"#REF!")</f>
        <v>#REF!</v>
      </c>
      <c r="N3066" s="17"/>
      <c r="O3066" s="17"/>
      <c r="P3066" s="17" t="b">
        <f>IFERROR(__xludf.DUMMYFUNCTION("""COMPUTED_VALUE"""),FALSE)</f>
        <v>0</v>
      </c>
      <c r="Q3066" s="20" t="str">
        <f>IFERROR(__xludf.DUMMYFUNCTION("""COMPUTED_VALUE"""),"")</f>
        <v/>
      </c>
      <c r="R3066" s="21" t="str">
        <f>IFERROR(__xludf.DUMMYFUNCTION("""COMPUTED_VALUE"""),"https://drive.google.com/file/d/1Yl96LwfsJhtSLMjIHzE9-nz6rQiHxHW4/view?usp=drivesdk")</f>
        <v>https://drive.google.com/file/d/1Yl96LwfsJhtSLMjIHzE9-nz6rQiHxHW4/view?usp=drivesdk</v>
      </c>
    </row>
    <row r="3067">
      <c r="A3067" s="15">
        <f>IFERROR(__xludf.DUMMYFUNCTION("""COMPUTED_VALUE"""),45091.0)</f>
        <v>45091</v>
      </c>
      <c r="B3067" s="16" t="str">
        <f>IFERROR(__xludf.DUMMYFUNCTION("""COMPUTED_VALUE"""),"Johan Alexander Escobar Arroyo ")</f>
        <v>Johan Alexander Escobar Arroyo </v>
      </c>
      <c r="C3067" s="15" t="str">
        <f>IFERROR(__xludf.DUMMYFUNCTION("""COMPUTED_VALUE"""),"IBAGUÉ")</f>
        <v>IBAGUÉ</v>
      </c>
      <c r="D3067" s="15" t="str">
        <f>IFERROR(__xludf.DUMMYFUNCTION("""COMPUTED_VALUE"""),"BOGOTÁ")</f>
        <v>BOGOTÁ</v>
      </c>
      <c r="E3067" s="15" t="str">
        <f>IFERROR(__xludf.DUMMYFUNCTION("""COMPUTED_VALUE"""),"Olü")</f>
        <v>Olü</v>
      </c>
      <c r="F3067" s="17" t="str">
        <f>IFERROR(__xludf.DUMMYFUNCTION("""COMPUTED_VALUE"""),"Cra 14 # 75a - 29 / Local 5 / Estancia del vergel")</f>
        <v>Cra 14 # 75a - 29 / Local 5 / Estancia del vergel</v>
      </c>
      <c r="G3067" s="15" t="str">
        <f>IFERROR(__xludf.DUMMYFUNCTION("""COMPUTED_VALUE"""),"Daniela Tatiana Arbelaez")</f>
        <v>Daniela Tatiana Arbelaez</v>
      </c>
      <c r="H3067" s="16">
        <f>IFERROR(__xludf.DUMMYFUNCTION("""COMPUTED_VALUE"""),11671.0)</f>
        <v>11671</v>
      </c>
      <c r="I3067" s="18">
        <f>IFERROR(__xludf.DUMMYFUNCTION("""COMPUTED_VALUE"""),15.0)</f>
        <v>15</v>
      </c>
      <c r="J3067" s="18">
        <f>IFERROR(__xludf.DUMMYFUNCTION("""COMPUTED_VALUE"""),15.0)</f>
        <v>15</v>
      </c>
      <c r="K3067" s="18">
        <f>IFERROR(__xludf.DUMMYFUNCTION("""COMPUTED_VALUE"""),15.0)</f>
        <v>15</v>
      </c>
      <c r="L3067" s="17">
        <f>IFERROR(__xludf.DUMMYFUNCTION("""COMPUTED_VALUE"""),3.177002909E9)</f>
        <v>3177002909</v>
      </c>
      <c r="M3067" s="17" t="str">
        <f>IFERROR(__xludf.DUMMYFUNCTION("""COMPUTED_VALUE"""),"#REF!")</f>
        <v>#REF!</v>
      </c>
      <c r="N3067" s="17"/>
      <c r="O3067" s="17"/>
      <c r="P3067" s="17" t="b">
        <f>IFERROR(__xludf.DUMMYFUNCTION("""COMPUTED_VALUE"""),FALSE)</f>
        <v>0</v>
      </c>
      <c r="Q3067" s="20" t="str">
        <f>IFERROR(__xludf.DUMMYFUNCTION("""COMPUTED_VALUE"""),"")</f>
        <v/>
      </c>
      <c r="R3067" s="21" t="str">
        <f>IFERROR(__xludf.DUMMYFUNCTION("""COMPUTED_VALUE"""),"https://drive.google.com/file/d/1sWpP-5g5OUaFtrpHoKqZBTryxWGPU-TX/view?usp=drivesdk")</f>
        <v>https://drive.google.com/file/d/1sWpP-5g5OUaFtrpHoKqZBTryxWGPU-TX/view?usp=drivesdk</v>
      </c>
    </row>
    <row r="3068">
      <c r="A3068" s="15">
        <f>IFERROR(__xludf.DUMMYFUNCTION("""COMPUTED_VALUE"""),45091.0)</f>
        <v>45091</v>
      </c>
      <c r="B3068" s="16" t="str">
        <f>IFERROR(__xludf.DUMMYFUNCTION("""COMPUTED_VALUE"""),"Johan Alexander Escobar Arroyo ")</f>
        <v>Johan Alexander Escobar Arroyo </v>
      </c>
      <c r="C3068" s="15" t="str">
        <f>IFERROR(__xludf.DUMMYFUNCTION("""COMPUTED_VALUE"""),"IBAGUÉ")</f>
        <v>IBAGUÉ</v>
      </c>
      <c r="D3068" s="15" t="str">
        <f>IFERROR(__xludf.DUMMYFUNCTION("""COMPUTED_VALUE"""),"MEDELLÍN")</f>
        <v>MEDELLÍN</v>
      </c>
      <c r="E3068" s="15" t="str">
        <f>IFERROR(__xludf.DUMMYFUNCTION("""COMPUTED_VALUE"""),"AREPAS LA MARY")</f>
        <v>AREPAS LA MARY</v>
      </c>
      <c r="F3068" s="17" t="str">
        <f>IFERROR(__xludf.DUMMYFUNCTION("""COMPUTED_VALUE"""),"cra 14 # 75 a 29 / local 5 estancia del vergel")</f>
        <v>cra 14 # 75 a 29 / local 5 estancia del vergel</v>
      </c>
      <c r="G3068" s="15" t="str">
        <f>IFERROR(__xludf.DUMMYFUNCTION("""COMPUTED_VALUE"""),"soy natural market")</f>
        <v>soy natural market</v>
      </c>
      <c r="H3068" s="16">
        <f>IFERROR(__xludf.DUMMYFUNCTION("""COMPUTED_VALUE"""),11619.0)</f>
        <v>11619</v>
      </c>
      <c r="I3068" s="18">
        <f>IFERROR(__xludf.DUMMYFUNCTION("""COMPUTED_VALUE"""),89.0)</f>
        <v>89</v>
      </c>
      <c r="J3068" s="18">
        <f>IFERROR(__xludf.DUMMYFUNCTION("""COMPUTED_VALUE"""),1.0)</f>
        <v>1</v>
      </c>
      <c r="K3068" s="18">
        <f>IFERROR(__xludf.DUMMYFUNCTION("""COMPUTED_VALUE"""),10.0)</f>
        <v>10</v>
      </c>
      <c r="L3068" s="17">
        <f>IFERROR(__xludf.DUMMYFUNCTION("""COMPUTED_VALUE"""),3.177002909E9)</f>
        <v>3177002909</v>
      </c>
      <c r="M3068" s="17" t="str">
        <f>IFERROR(__xludf.DUMMYFUNCTION("""COMPUTED_VALUE"""),"#REF!")</f>
        <v>#REF!</v>
      </c>
      <c r="N3068" s="17"/>
      <c r="O3068" s="17"/>
      <c r="P3068" s="17" t="b">
        <f>IFERROR(__xludf.DUMMYFUNCTION("""COMPUTED_VALUE"""),FALSE)</f>
        <v>0</v>
      </c>
      <c r="Q3068" s="20" t="str">
        <f>IFERROR(__xludf.DUMMYFUNCTION("""COMPUTED_VALUE"""),"")</f>
        <v/>
      </c>
      <c r="R3068" s="21" t="str">
        <f>IFERROR(__xludf.DUMMYFUNCTION("""COMPUTED_VALUE"""),"https://drive.google.com/file/d/1ub3-1STFX-N6hsgnkBVexc1CNffRwjXl/view?usp=drivesdk")</f>
        <v>https://drive.google.com/file/d/1ub3-1STFX-N6hsgnkBVexc1CNffRwjXl/view?usp=drivesdk</v>
      </c>
    </row>
    <row r="3069">
      <c r="A3069" s="17" t="str">
        <f>IFERROR(__xludf.DUMMYFUNCTION("""COMPUTED_VALUE"""),"")</f>
        <v/>
      </c>
      <c r="B3069" s="17" t="str">
        <f>IFERROR(__xludf.DUMMYFUNCTION("""COMPUTED_VALUE"""),"")</f>
        <v/>
      </c>
      <c r="C3069" s="17" t="str">
        <f>IFERROR(__xludf.DUMMYFUNCTION("""COMPUTED_VALUE"""),"")</f>
        <v/>
      </c>
      <c r="D3069" s="17" t="str">
        <f>IFERROR(__xludf.DUMMYFUNCTION("""COMPUTED_VALUE"""),"")</f>
        <v/>
      </c>
      <c r="E3069" s="17" t="str">
        <f>IFERROR(__xludf.DUMMYFUNCTION("""COMPUTED_VALUE"""),"")</f>
        <v/>
      </c>
      <c r="F3069" s="17" t="str">
        <f>IFERROR(__xludf.DUMMYFUNCTION("""COMPUTED_VALUE"""),"")</f>
        <v/>
      </c>
      <c r="G3069" s="17" t="str">
        <f>IFERROR(__xludf.DUMMYFUNCTION("""COMPUTED_VALUE"""),"")</f>
        <v/>
      </c>
      <c r="H3069" s="17" t="str">
        <f>IFERROR(__xludf.DUMMYFUNCTION("""COMPUTED_VALUE"""),"")</f>
        <v/>
      </c>
      <c r="I3069" s="17" t="str">
        <f>IFERROR(__xludf.DUMMYFUNCTION("""COMPUTED_VALUE"""),"")</f>
        <v/>
      </c>
      <c r="J3069" s="17" t="str">
        <f>IFERROR(__xludf.DUMMYFUNCTION("""COMPUTED_VALUE"""),"")</f>
        <v/>
      </c>
      <c r="K3069" s="17" t="str">
        <f>IFERROR(__xludf.DUMMYFUNCTION("""COMPUTED_VALUE"""),"")</f>
        <v/>
      </c>
      <c r="L3069" s="17" t="str">
        <f>IFERROR(__xludf.DUMMYFUNCTION("""COMPUTED_VALUE"""),"")</f>
        <v/>
      </c>
      <c r="M3069" s="17" t="str">
        <f>IFERROR(__xludf.DUMMYFUNCTION("""COMPUTED_VALUE"""),"")</f>
        <v/>
      </c>
      <c r="N3069" s="17" t="str">
        <f>IFERROR(__xludf.DUMMYFUNCTION("""COMPUTED_VALUE"""),"")</f>
        <v/>
      </c>
      <c r="O3069" s="17" t="str">
        <f>IFERROR(__xludf.DUMMYFUNCTION("""COMPUTED_VALUE"""),"")</f>
        <v/>
      </c>
      <c r="P3069" s="17" t="str">
        <f>IFERROR(__xludf.DUMMYFUNCTION("""COMPUTED_VALUE"""),"")</f>
        <v/>
      </c>
      <c r="Q3069" s="17" t="str">
        <f>IFERROR(__xludf.DUMMYFUNCTION("""COMPUTED_VALUE"""),"")</f>
        <v/>
      </c>
      <c r="R3069" s="17" t="str">
        <f>IFERROR(__xludf.DUMMYFUNCTION("""COMPUTED_VALUE"""),"")</f>
        <v/>
      </c>
    </row>
    <row r="3070">
      <c r="A3070" s="15">
        <f>IFERROR(__xludf.DUMMYFUNCTION("""COMPUTED_VALUE"""),45091.0)</f>
        <v>45091</v>
      </c>
      <c r="B3070" s="16" t="str">
        <f>IFERROR(__xludf.DUMMYFUNCTION("""COMPUTED_VALUE"""),"Jonathan Steven Taborda")</f>
        <v>Jonathan Steven Taborda</v>
      </c>
      <c r="C3070" s="15" t="str">
        <f>IFERROR(__xludf.DUMMYFUNCTION("""COMPUTED_VALUE"""),"ARMENIA")</f>
        <v>ARMENIA</v>
      </c>
      <c r="D3070" s="15" t="str">
        <f>IFERROR(__xludf.DUMMYFUNCTION("""COMPUTED_VALUE"""),"BOGOTÁ")</f>
        <v>BOGOTÁ</v>
      </c>
      <c r="E3070" s="15" t="str">
        <f>IFERROR(__xludf.DUMMYFUNCTION("""COMPUTED_VALUE"""),"Asociacion Agropecuaria Juana Maria")</f>
        <v>Asociacion Agropecuaria Juana Maria</v>
      </c>
      <c r="F3070" s="17" t="str">
        <f>IFERROR(__xludf.DUMMYFUNCTION("""COMPUTED_VALUE"""),"URBANIZACION ENTREVERDES MANZANA 8 CASA 7")</f>
        <v>URBANIZACION ENTREVERDES MANZANA 8 CASA 7</v>
      </c>
      <c r="G3070" s="15" t="str">
        <f>IFERROR(__xludf.DUMMYFUNCTION("""COMPUTED_VALUE"""),"Claudia Castillo")</f>
        <v>Claudia Castillo</v>
      </c>
      <c r="H3070" s="16">
        <f>IFERROR(__xludf.DUMMYFUNCTION("""COMPUTED_VALUE"""),11603.0)</f>
        <v>11603</v>
      </c>
      <c r="I3070" s="18">
        <f>IFERROR(__xludf.DUMMYFUNCTION("""COMPUTED_VALUE"""),21.0)</f>
        <v>21</v>
      </c>
      <c r="J3070" s="18">
        <f>IFERROR(__xludf.DUMMYFUNCTION("""COMPUTED_VALUE"""),37.0)</f>
        <v>37</v>
      </c>
      <c r="K3070" s="18">
        <f>IFERROR(__xludf.DUMMYFUNCTION("""COMPUTED_VALUE"""),30.0)</f>
        <v>30</v>
      </c>
      <c r="L3070" s="17">
        <f>IFERROR(__xludf.DUMMYFUNCTION("""COMPUTED_VALUE"""),3.20804821E9)</f>
        <v>3208048210</v>
      </c>
      <c r="M3070" s="17" t="str">
        <f>IFERROR(__xludf.DUMMYFUNCTION("""COMPUTED_VALUE"""),"#REF!")</f>
        <v>#REF!</v>
      </c>
      <c r="N3070" s="17"/>
      <c r="O3070" s="17"/>
      <c r="P3070" s="17" t="b">
        <f>IFERROR(__xludf.DUMMYFUNCTION("""COMPUTED_VALUE"""),FALSE)</f>
        <v>0</v>
      </c>
      <c r="Q3070" s="20" t="str">
        <f>IFERROR(__xludf.DUMMYFUNCTION("""COMPUTED_VALUE"""),"")</f>
        <v/>
      </c>
      <c r="R3070" s="21" t="str">
        <f>IFERROR(__xludf.DUMMYFUNCTION("""COMPUTED_VALUE"""),"https://drive.google.com/file/d/1HPrrsOI3FgpJUMlzvgqK_1nUmyDx_hVk/view?usp=drivesdk")</f>
        <v>https://drive.google.com/file/d/1HPrrsOI3FgpJUMlzvgqK_1nUmyDx_hVk/view?usp=drivesdk</v>
      </c>
    </row>
    <row r="3071">
      <c r="A3071" s="15">
        <f>IFERROR(__xludf.DUMMYFUNCTION("""COMPUTED_VALUE"""),45091.0)</f>
        <v>45091</v>
      </c>
      <c r="B3071" s="16" t="str">
        <f>IFERROR(__xludf.DUMMYFUNCTION("""COMPUTED_VALUE"""),"Jonathan Steven Taborda")</f>
        <v>Jonathan Steven Taborda</v>
      </c>
      <c r="C3071" s="15" t="str">
        <f>IFERROR(__xludf.DUMMYFUNCTION("""COMPUTED_VALUE"""),"ARMENIA")</f>
        <v>ARMENIA</v>
      </c>
      <c r="D3071" s="15" t="str">
        <f>IFERROR(__xludf.DUMMYFUNCTION("""COMPUTED_VALUE"""),"BOGOTÁ")</f>
        <v>BOGOTÁ</v>
      </c>
      <c r="E3071" s="15" t="str">
        <f>IFERROR(__xludf.DUMMYFUNCTION("""COMPUTED_VALUE"""),"Asociacion Agropecuaria Juana Maria")</f>
        <v>Asociacion Agropecuaria Juana Maria</v>
      </c>
      <c r="F3071" s="17" t="str">
        <f>IFERROR(__xludf.DUMMYFUNCTION("""COMPUTED_VALUE"""),"URBANIZACION ENTREVERDES MANZANA 8 CASA 7")</f>
        <v>URBANIZACION ENTREVERDES MANZANA 8 CASA 7</v>
      </c>
      <c r="G3071" s="15" t="str">
        <f>IFERROR(__xludf.DUMMYFUNCTION("""COMPUTED_VALUE"""),"Claudia Castillo")</f>
        <v>Claudia Castillo</v>
      </c>
      <c r="H3071" s="16">
        <f>IFERROR(__xludf.DUMMYFUNCTION("""COMPUTED_VALUE"""),11604.0)</f>
        <v>11604</v>
      </c>
      <c r="I3071" s="18">
        <f>IFERROR(__xludf.DUMMYFUNCTION("""COMPUTED_VALUE"""),12.0)</f>
        <v>12</v>
      </c>
      <c r="J3071" s="18">
        <f>IFERROR(__xludf.DUMMYFUNCTION("""COMPUTED_VALUE"""),37.0)</f>
        <v>37</v>
      </c>
      <c r="K3071" s="18">
        <f>IFERROR(__xludf.DUMMYFUNCTION("""COMPUTED_VALUE"""),24.0)</f>
        <v>24</v>
      </c>
      <c r="L3071" s="17">
        <f>IFERROR(__xludf.DUMMYFUNCTION("""COMPUTED_VALUE"""),3.20804821E9)</f>
        <v>3208048210</v>
      </c>
      <c r="M3071" s="17" t="str">
        <f>IFERROR(__xludf.DUMMYFUNCTION("""COMPUTED_VALUE"""),"#REF!")</f>
        <v>#REF!</v>
      </c>
      <c r="N3071" s="17"/>
      <c r="O3071" s="17"/>
      <c r="P3071" s="17" t="b">
        <f>IFERROR(__xludf.DUMMYFUNCTION("""COMPUTED_VALUE"""),FALSE)</f>
        <v>0</v>
      </c>
      <c r="Q3071" s="20" t="str">
        <f>IFERROR(__xludf.DUMMYFUNCTION("""COMPUTED_VALUE"""),"")</f>
        <v/>
      </c>
      <c r="R3071" s="21" t="str">
        <f>IFERROR(__xludf.DUMMYFUNCTION("""COMPUTED_VALUE"""),"https://drive.google.com/file/d/1_QcirkndeeAv_eb68xWaQ6tVVepOXuVd/view?usp=drivesdk")</f>
        <v>https://drive.google.com/file/d/1_QcirkndeeAv_eb68xWaQ6tVVepOXuVd/view?usp=drivesdk</v>
      </c>
    </row>
    <row r="3072">
      <c r="A3072" s="15">
        <f>IFERROR(__xludf.DUMMYFUNCTION("""COMPUTED_VALUE"""),45091.0)</f>
        <v>45091</v>
      </c>
      <c r="B3072" s="16" t="str">
        <f>IFERROR(__xludf.DUMMYFUNCTION("""COMPUTED_VALUE"""),"Jonathan Steven Taborda")</f>
        <v>Jonathan Steven Taborda</v>
      </c>
      <c r="C3072" s="15" t="str">
        <f>IFERROR(__xludf.DUMMYFUNCTION("""COMPUTED_VALUE"""),"ARMENIA")</f>
        <v>ARMENIA</v>
      </c>
      <c r="D3072" s="15" t="str">
        <f>IFERROR(__xludf.DUMMYFUNCTION("""COMPUTED_VALUE"""),"BOGOTÁ")</f>
        <v>BOGOTÁ</v>
      </c>
      <c r="E3072" s="15" t="str">
        <f>IFERROR(__xludf.DUMMYFUNCTION("""COMPUTED_VALUE"""),"Evamazzita")</f>
        <v>Evamazzita</v>
      </c>
      <c r="F3072" s="17" t="str">
        <f>IFERROR(__xludf.DUMMYFUNCTION("""COMPUTED_VALUE"""),"carrera 19 # 30norte-65  / mz B casa 7 / condominio la aurora")</f>
        <v>carrera 19 # 30norte-65  / mz B casa 7 / condominio la aurora</v>
      </c>
      <c r="G3072" s="15" t="str">
        <f>IFERROR(__xludf.DUMMYFUNCTION("""COMPUTED_VALUE"""),"MARIA DEL MAR HURTADO")</f>
        <v>MARIA DEL MAR HURTADO</v>
      </c>
      <c r="H3072" s="16">
        <f>IFERROR(__xludf.DUMMYFUNCTION("""COMPUTED_VALUE"""),11628.0)</f>
        <v>11628</v>
      </c>
      <c r="I3072" s="18">
        <f>IFERROR(__xludf.DUMMYFUNCTION("""COMPUTED_VALUE"""),6.0)</f>
        <v>6</v>
      </c>
      <c r="J3072" s="18">
        <f>IFERROR(__xludf.DUMMYFUNCTION("""COMPUTED_VALUE"""),21.0)</f>
        <v>21</v>
      </c>
      <c r="K3072" s="18">
        <f>IFERROR(__xludf.DUMMYFUNCTION("""COMPUTED_VALUE"""),19.0)</f>
        <v>19</v>
      </c>
      <c r="L3072" s="17">
        <f>IFERROR(__xludf.DUMMYFUNCTION("""COMPUTED_VALUE"""),3.024680664E9)</f>
        <v>3024680664</v>
      </c>
      <c r="M3072" s="17" t="str">
        <f>IFERROR(__xludf.DUMMYFUNCTION("""COMPUTED_VALUE"""),"#REF!")</f>
        <v>#REF!</v>
      </c>
      <c r="N3072" s="17"/>
      <c r="O3072" s="17"/>
      <c r="P3072" s="17" t="b">
        <f>IFERROR(__xludf.DUMMYFUNCTION("""COMPUTED_VALUE"""),FALSE)</f>
        <v>0</v>
      </c>
      <c r="Q3072" s="20" t="str">
        <f>IFERROR(__xludf.DUMMYFUNCTION("""COMPUTED_VALUE"""),"")</f>
        <v/>
      </c>
      <c r="R3072" s="21" t="str">
        <f>IFERROR(__xludf.DUMMYFUNCTION("""COMPUTED_VALUE"""),"https://drive.google.com/file/d/1UQKyTegrrCmKt70u_G_LIZgQEVPE6HjO/view?usp=drivesdk")</f>
        <v>https://drive.google.com/file/d/1UQKyTegrrCmKt70u_G_LIZgQEVPE6HjO/view?usp=drivesdk</v>
      </c>
    </row>
    <row r="3073">
      <c r="A3073" s="15">
        <f>IFERROR(__xludf.DUMMYFUNCTION("""COMPUTED_VALUE"""),45091.0)</f>
        <v>45091</v>
      </c>
      <c r="B3073" s="16" t="str">
        <f>IFERROR(__xludf.DUMMYFUNCTION("""COMPUTED_VALUE"""),"Jonathan Steven Taborda")</f>
        <v>Jonathan Steven Taborda</v>
      </c>
      <c r="C3073" s="15" t="str">
        <f>IFERROR(__xludf.DUMMYFUNCTION("""COMPUTED_VALUE"""),"ARMENIA")</f>
        <v>ARMENIA</v>
      </c>
      <c r="D3073" s="15" t="str">
        <f>IFERROR(__xludf.DUMMYFUNCTION("""COMPUTED_VALUE"""),"BOGOTÁ")</f>
        <v>BOGOTÁ</v>
      </c>
      <c r="E3073" s="15" t="str">
        <f>IFERROR(__xludf.DUMMYFUNCTION("""COMPUTED_VALUE"""),"Loomifoods")</f>
        <v>Loomifoods</v>
      </c>
      <c r="F3073" s="17" t="str">
        <f>IFERROR(__xludf.DUMMYFUNCTION("""COMPUTED_VALUE"""),"Calle 6 # 18-22  /  Mz H casa 2 / urbanización cantabria")</f>
        <v>Calle 6 # 18-22  /  Mz H casa 2 / urbanización cantabria</v>
      </c>
      <c r="G3073" s="15" t="str">
        <f>IFERROR(__xludf.DUMMYFUNCTION("""COMPUTED_VALUE"""),"Hilary Montes")</f>
        <v>Hilary Montes</v>
      </c>
      <c r="H3073" s="16">
        <f>IFERROR(__xludf.DUMMYFUNCTION("""COMPUTED_VALUE"""),11672.0)</f>
        <v>11672</v>
      </c>
      <c r="I3073" s="18">
        <f>IFERROR(__xludf.DUMMYFUNCTION("""COMPUTED_VALUE"""),20.0)</f>
        <v>20</v>
      </c>
      <c r="J3073" s="18">
        <f>IFERROR(__xludf.DUMMYFUNCTION("""COMPUTED_VALUE"""),5.0)</f>
        <v>5</v>
      </c>
      <c r="K3073" s="18">
        <f>IFERROR(__xludf.DUMMYFUNCTION("""COMPUTED_VALUE"""),16.0)</f>
        <v>16</v>
      </c>
      <c r="L3073" s="17">
        <f>IFERROR(__xludf.DUMMYFUNCTION("""COMPUTED_VALUE"""),3.167864881E9)</f>
        <v>3167864881</v>
      </c>
      <c r="M3073" s="17" t="str">
        <f>IFERROR(__xludf.DUMMYFUNCTION("""COMPUTED_VALUE"""),"#REF!")</f>
        <v>#REF!</v>
      </c>
      <c r="N3073" s="17"/>
      <c r="O3073" s="17"/>
      <c r="P3073" s="17" t="b">
        <f>IFERROR(__xludf.DUMMYFUNCTION("""COMPUTED_VALUE"""),FALSE)</f>
        <v>0</v>
      </c>
      <c r="Q3073" s="20" t="str">
        <f>IFERROR(__xludf.DUMMYFUNCTION("""COMPUTED_VALUE"""),"")</f>
        <v/>
      </c>
      <c r="R3073" s="21" t="str">
        <f>IFERROR(__xludf.DUMMYFUNCTION("""COMPUTED_VALUE"""),"https://drive.google.com/file/d/13q_1IGccMS6YZLioiplbZd9PmM0aefbh/view?usp=drivesdk")</f>
        <v>https://drive.google.com/file/d/13q_1IGccMS6YZLioiplbZd9PmM0aefbh/view?usp=drivesdk</v>
      </c>
    </row>
    <row r="3074">
      <c r="A3074" s="15">
        <f>IFERROR(__xludf.DUMMYFUNCTION("""COMPUTED_VALUE"""),45091.0)</f>
        <v>45091</v>
      </c>
      <c r="B3074" s="16" t="str">
        <f>IFERROR(__xludf.DUMMYFUNCTION("""COMPUTED_VALUE"""),"Jonathan Steven Taborda")</f>
        <v>Jonathan Steven Taborda</v>
      </c>
      <c r="C3074" s="15" t="str">
        <f>IFERROR(__xludf.DUMMYFUNCTION("""COMPUTED_VALUE"""),"ARMENIA")</f>
        <v>ARMENIA</v>
      </c>
      <c r="D3074" s="15" t="str">
        <f>IFERROR(__xludf.DUMMYFUNCTION("""COMPUTED_VALUE"""),"MEDELLÍN")</f>
        <v>MEDELLÍN</v>
      </c>
      <c r="E3074" s="15" t="str">
        <f>IFERROR(__xludf.DUMMYFUNCTION("""COMPUTED_VALUE"""),"AREPAS LA MARY")</f>
        <v>AREPAS LA MARY</v>
      </c>
      <c r="F3074" s="17" t="str">
        <f>IFERROR(__xludf.DUMMYFUNCTION("""COMPUTED_VALUE"""),"calle 7 # 21-17 barrio 60 casas")</f>
        <v>calle 7 # 21-17 barrio 60 casas</v>
      </c>
      <c r="G3074" s="15" t="str">
        <f>IFERROR(__xludf.DUMMYFUNCTION("""COMPUTED_VALUE"""),"antojitos fit")</f>
        <v>antojitos fit</v>
      </c>
      <c r="H3074" s="16">
        <f>IFERROR(__xludf.DUMMYFUNCTION("""COMPUTED_VALUE"""),11623.0)</f>
        <v>11623</v>
      </c>
      <c r="I3074" s="18">
        <f>IFERROR(__xludf.DUMMYFUNCTION("""COMPUTED_VALUE"""),89.0)</f>
        <v>89</v>
      </c>
      <c r="J3074" s="18">
        <f>IFERROR(__xludf.DUMMYFUNCTION("""COMPUTED_VALUE"""),1.0)</f>
        <v>1</v>
      </c>
      <c r="K3074" s="18">
        <f>IFERROR(__xludf.DUMMYFUNCTION("""COMPUTED_VALUE"""),10.0)</f>
        <v>10</v>
      </c>
      <c r="L3074" s="17">
        <f>IFERROR(__xludf.DUMMYFUNCTION("""COMPUTED_VALUE"""),3.204937012E9)</f>
        <v>3204937012</v>
      </c>
      <c r="M3074" s="17" t="str">
        <f>IFERROR(__xludf.DUMMYFUNCTION("""COMPUTED_VALUE"""),"#REF!")</f>
        <v>#REF!</v>
      </c>
      <c r="N3074" s="17"/>
      <c r="O3074" s="17"/>
      <c r="P3074" s="17" t="b">
        <f>IFERROR(__xludf.DUMMYFUNCTION("""COMPUTED_VALUE"""),FALSE)</f>
        <v>0</v>
      </c>
      <c r="Q3074" s="20" t="str">
        <f>IFERROR(__xludf.DUMMYFUNCTION("""COMPUTED_VALUE"""),"")</f>
        <v/>
      </c>
      <c r="R3074" s="21" t="str">
        <f>IFERROR(__xludf.DUMMYFUNCTION("""COMPUTED_VALUE"""),"https://drive.google.com/file/d/1pyi4jvwZNHgc0y4M-sfjf56IC9UKqhpr/view?usp=drivesdk")</f>
        <v>https://drive.google.com/file/d/1pyi4jvwZNHgc0y4M-sfjf56IC9UKqhpr/view?usp=drivesdk</v>
      </c>
    </row>
    <row r="3075">
      <c r="A3075" s="15">
        <f>IFERROR(__xludf.DUMMYFUNCTION("""COMPUTED_VALUE"""),45091.0)</f>
        <v>45091</v>
      </c>
      <c r="B3075" s="16" t="str">
        <f>IFERROR(__xludf.DUMMYFUNCTION("""COMPUTED_VALUE"""),"Jonathan Steven Taborda")</f>
        <v>Jonathan Steven Taborda</v>
      </c>
      <c r="C3075" s="15" t="str">
        <f>IFERROR(__xludf.DUMMYFUNCTION("""COMPUTED_VALUE"""),"ARMENIA")</f>
        <v>ARMENIA</v>
      </c>
      <c r="D3075" s="15" t="str">
        <f>IFERROR(__xludf.DUMMYFUNCTION("""COMPUTED_VALUE"""),"MEDELLÍN")</f>
        <v>MEDELLÍN</v>
      </c>
      <c r="E3075" s="15" t="str">
        <f>IFERROR(__xludf.DUMMYFUNCTION("""COMPUTED_VALUE"""),"Baby Chef")</f>
        <v>Baby Chef</v>
      </c>
      <c r="F3075" s="17" t="str">
        <f>IFERROR(__xludf.DUMMYFUNCTION("""COMPUTED_VALUE"""),"carrera 14 #4-15 edificio Tacuara apto 1104 frente al lote abandonado - Armenia Quindio / carrera 14 #4-15 edificio Tacuara apto 1104 frente al lote abandonado - Armenia Quindio / carrera 14 #4-15 edificio Tacuara apto 1104 frente al lote abandonado - Arm"&amp;"enia Quindio")</f>
        <v>carrera 14 #4-15 edificio Tacuara apto 1104 frente al lote abandonado - Armenia Quindio / carrera 14 #4-15 edificio Tacuara apto 1104 frente al lote abandonado - Armenia Quindio / carrera 14 #4-15 edificio Tacuara apto 1104 frente al lote abandonado - Armenia Quindio</v>
      </c>
      <c r="G3075" s="15" t="str">
        <f>IFERROR(__xludf.DUMMYFUNCTION("""COMPUTED_VALUE"""),"Katherine Urrea")</f>
        <v>Katherine Urrea</v>
      </c>
      <c r="H3075" s="16">
        <f>IFERROR(__xludf.DUMMYFUNCTION("""COMPUTED_VALUE"""),11695.0)</f>
        <v>11695</v>
      </c>
      <c r="I3075" s="18">
        <f>IFERROR(__xludf.DUMMYFUNCTION("""COMPUTED_VALUE"""),8.0)</f>
        <v>8</v>
      </c>
      <c r="J3075" s="18">
        <f>IFERROR(__xludf.DUMMYFUNCTION("""COMPUTED_VALUE"""),16.0)</f>
        <v>16</v>
      </c>
      <c r="K3075" s="18">
        <f>IFERROR(__xludf.DUMMYFUNCTION("""COMPUTED_VALUE"""),20.0)</f>
        <v>20</v>
      </c>
      <c r="L3075" s="17">
        <f>IFERROR(__xludf.DUMMYFUNCTION("""COMPUTED_VALUE"""),3.193104101E9)</f>
        <v>3193104101</v>
      </c>
      <c r="M3075" s="17" t="str">
        <f>IFERROR(__xludf.DUMMYFUNCTION("""COMPUTED_VALUE"""),"#REF!")</f>
        <v>#REF!</v>
      </c>
      <c r="N3075" s="17"/>
      <c r="O3075" s="17"/>
      <c r="P3075" s="17" t="b">
        <f>IFERROR(__xludf.DUMMYFUNCTION("""COMPUTED_VALUE"""),FALSE)</f>
        <v>0</v>
      </c>
      <c r="Q3075" s="20" t="str">
        <f>IFERROR(__xludf.DUMMYFUNCTION("""COMPUTED_VALUE"""),"")</f>
        <v/>
      </c>
      <c r="R3075" s="21" t="str">
        <f>IFERROR(__xludf.DUMMYFUNCTION("""COMPUTED_VALUE"""),"https://drive.google.com/file/d/1bhelu1IR9IP5Y5KeL8_aW8_8VjIMyEpd/view?usp=drivesdk")</f>
        <v>https://drive.google.com/file/d/1bhelu1IR9IP5Y5KeL8_aW8_8VjIMyEpd/view?usp=drivesdk</v>
      </c>
    </row>
    <row r="3076">
      <c r="A3076" s="17" t="str">
        <f>IFERROR(__xludf.DUMMYFUNCTION("""COMPUTED_VALUE"""),"")</f>
        <v/>
      </c>
      <c r="B3076" s="17" t="str">
        <f>IFERROR(__xludf.DUMMYFUNCTION("""COMPUTED_VALUE"""),"")</f>
        <v/>
      </c>
      <c r="C3076" s="17" t="str">
        <f>IFERROR(__xludf.DUMMYFUNCTION("""COMPUTED_VALUE"""),"")</f>
        <v/>
      </c>
      <c r="D3076" s="17" t="str">
        <f>IFERROR(__xludf.DUMMYFUNCTION("""COMPUTED_VALUE"""),"")</f>
        <v/>
      </c>
      <c r="E3076" s="17" t="str">
        <f>IFERROR(__xludf.DUMMYFUNCTION("""COMPUTED_VALUE"""),"")</f>
        <v/>
      </c>
      <c r="F3076" s="17" t="str">
        <f>IFERROR(__xludf.DUMMYFUNCTION("""COMPUTED_VALUE"""),"")</f>
        <v/>
      </c>
      <c r="G3076" s="17" t="str">
        <f>IFERROR(__xludf.DUMMYFUNCTION("""COMPUTED_VALUE"""),"")</f>
        <v/>
      </c>
      <c r="H3076" s="17" t="str">
        <f>IFERROR(__xludf.DUMMYFUNCTION("""COMPUTED_VALUE"""),"")</f>
        <v/>
      </c>
      <c r="I3076" s="17" t="str">
        <f>IFERROR(__xludf.DUMMYFUNCTION("""COMPUTED_VALUE"""),"")</f>
        <v/>
      </c>
      <c r="J3076" s="17" t="str">
        <f>IFERROR(__xludf.DUMMYFUNCTION("""COMPUTED_VALUE"""),"")</f>
        <v/>
      </c>
      <c r="K3076" s="17" t="str">
        <f>IFERROR(__xludf.DUMMYFUNCTION("""COMPUTED_VALUE"""),"")</f>
        <v/>
      </c>
      <c r="L3076" s="17" t="str">
        <f>IFERROR(__xludf.DUMMYFUNCTION("""COMPUTED_VALUE"""),"")</f>
        <v/>
      </c>
      <c r="M3076" s="17" t="str">
        <f>IFERROR(__xludf.DUMMYFUNCTION("""COMPUTED_VALUE"""),"")</f>
        <v/>
      </c>
      <c r="N3076" s="17" t="str">
        <f>IFERROR(__xludf.DUMMYFUNCTION("""COMPUTED_VALUE"""),"")</f>
        <v/>
      </c>
      <c r="O3076" s="17" t="str">
        <f>IFERROR(__xludf.DUMMYFUNCTION("""COMPUTED_VALUE"""),"")</f>
        <v/>
      </c>
      <c r="P3076" s="17" t="str">
        <f>IFERROR(__xludf.DUMMYFUNCTION("""COMPUTED_VALUE"""),"")</f>
        <v/>
      </c>
      <c r="Q3076" s="17" t="str">
        <f>IFERROR(__xludf.DUMMYFUNCTION("""COMPUTED_VALUE"""),"")</f>
        <v/>
      </c>
      <c r="R3076" s="17" t="str">
        <f>IFERROR(__xludf.DUMMYFUNCTION("""COMPUTED_VALUE"""),"")</f>
        <v/>
      </c>
    </row>
    <row r="3077">
      <c r="A3077" s="15">
        <f>IFERROR(__xludf.DUMMYFUNCTION("""COMPUTED_VALUE"""),45091.0)</f>
        <v>45091</v>
      </c>
      <c r="B3077" s="16" t="str">
        <f>IFERROR(__xludf.DUMMYFUNCTION("""COMPUTED_VALUE"""),"José Miguel Bonilla")</f>
        <v>José Miguel Bonilla</v>
      </c>
      <c r="C3077" s="15" t="str">
        <f>IFERROR(__xludf.DUMMYFUNCTION("""COMPUTED_VALUE"""),"BUCARAMANGA")</f>
        <v>BUCARAMANGA</v>
      </c>
      <c r="D3077" s="15" t="str">
        <f>IFERROR(__xludf.DUMMYFUNCTION("""COMPUTED_VALUE"""),"BOGOTÁ")</f>
        <v>BOGOTÁ</v>
      </c>
      <c r="E3077" s="15" t="str">
        <f>IFERROR(__xludf.DUMMYFUNCTION("""COMPUTED_VALUE"""),"Frambascolombia sas")</f>
        <v>Frambascolombia sas</v>
      </c>
      <c r="F3077" s="17" t="str">
        <f>IFERROR(__xludf.DUMMYFUNCTION("""COMPUTED_VALUE"""),"Calle 32 # 34-31 / local 2")</f>
        <v>Calle 32 # 34-31 / local 2</v>
      </c>
      <c r="G3077" s="15" t="str">
        <f>IFERROR(__xludf.DUMMYFUNCTION("""COMPUTED_VALUE"""),"HILLARY GERENA")</f>
        <v>HILLARY GERENA</v>
      </c>
      <c r="H3077" s="16">
        <f>IFERROR(__xludf.DUMMYFUNCTION("""COMPUTED_VALUE"""),11393.0)</f>
        <v>11393</v>
      </c>
      <c r="I3077" s="18">
        <f>IFERROR(__xludf.DUMMYFUNCTION("""COMPUTED_VALUE"""),8.0)</f>
        <v>8</v>
      </c>
      <c r="J3077" s="18">
        <f>IFERROR(__xludf.DUMMYFUNCTION("""COMPUTED_VALUE"""),44992.0)</f>
        <v>44992</v>
      </c>
      <c r="K3077" s="18">
        <f>IFERROR(__xludf.DUMMYFUNCTION("""COMPUTED_VALUE"""),44992.0)</f>
        <v>44992</v>
      </c>
      <c r="L3077" s="17">
        <f>IFERROR(__xludf.DUMMYFUNCTION("""COMPUTED_VALUE"""),3.168647915E9)</f>
        <v>3168647915</v>
      </c>
      <c r="M3077" s="17" t="str">
        <f>IFERROR(__xludf.DUMMYFUNCTION("""COMPUTED_VALUE"""),"#REF!")</f>
        <v>#REF!</v>
      </c>
      <c r="N3077" s="17"/>
      <c r="O3077" s="17"/>
      <c r="P3077" s="17" t="b">
        <f>IFERROR(__xludf.DUMMYFUNCTION("""COMPUTED_VALUE"""),FALSE)</f>
        <v>0</v>
      </c>
      <c r="Q3077" s="20" t="str">
        <f>IFERROR(__xludf.DUMMYFUNCTION("""COMPUTED_VALUE"""),"")</f>
        <v/>
      </c>
      <c r="R3077" s="22" t="str">
        <f>IFERROR(__xludf.DUMMYFUNCTION("""COMPUTED_VALUE"""),"")</f>
        <v/>
      </c>
    </row>
    <row r="3078">
      <c r="A3078" s="15">
        <f>IFERROR(__xludf.DUMMYFUNCTION("""COMPUTED_VALUE"""),45091.0)</f>
        <v>45091</v>
      </c>
      <c r="B3078" s="16" t="str">
        <f>IFERROR(__xludf.DUMMYFUNCTION("""COMPUTED_VALUE"""),"José Miguel Bonilla")</f>
        <v>José Miguel Bonilla</v>
      </c>
      <c r="C3078" s="15" t="str">
        <f>IFERROR(__xludf.DUMMYFUNCTION("""COMPUTED_VALUE"""),"BUCARAMANGA")</f>
        <v>BUCARAMANGA</v>
      </c>
      <c r="D3078" s="15" t="str">
        <f>IFERROR(__xludf.DUMMYFUNCTION("""COMPUTED_VALUE"""),"BOGOTÁ")</f>
        <v>BOGOTÁ</v>
      </c>
      <c r="E3078" s="15" t="str">
        <f>IFERROR(__xludf.DUMMYFUNCTION("""COMPUTED_VALUE"""),"Frambascolombia sas")</f>
        <v>Frambascolombia sas</v>
      </c>
      <c r="F3078" s="17" t="str">
        <f>IFERROR(__xludf.DUMMYFUNCTION("""COMPUTED_VALUE"""),"Calle 32 # 34-31 / local 2")</f>
        <v>Calle 32 # 34-31 / local 2</v>
      </c>
      <c r="G3078" s="15" t="str">
        <f>IFERROR(__xludf.DUMMYFUNCTION("""COMPUTED_VALUE"""),"HILLARY GERENA")</f>
        <v>HILLARY GERENA</v>
      </c>
      <c r="H3078" s="16">
        <f>IFERROR(__xludf.DUMMYFUNCTION("""COMPUTED_VALUE"""),11394.0)</f>
        <v>11394</v>
      </c>
      <c r="I3078" s="18">
        <f>IFERROR(__xludf.DUMMYFUNCTION("""COMPUTED_VALUE"""),11.0)</f>
        <v>11</v>
      </c>
      <c r="J3078" s="18">
        <f>IFERROR(__xludf.DUMMYFUNCTION("""COMPUTED_VALUE"""),9.0)</f>
        <v>9</v>
      </c>
      <c r="K3078" s="18">
        <f>IFERROR(__xludf.DUMMYFUNCTION("""COMPUTED_VALUE"""),9.0)</f>
        <v>9</v>
      </c>
      <c r="L3078" s="17">
        <f>IFERROR(__xludf.DUMMYFUNCTION("""COMPUTED_VALUE"""),3.168647915E9)</f>
        <v>3168647915</v>
      </c>
      <c r="M3078" s="17" t="str">
        <f>IFERROR(__xludf.DUMMYFUNCTION("""COMPUTED_VALUE"""),"#REF!")</f>
        <v>#REF!</v>
      </c>
      <c r="N3078" s="17"/>
      <c r="O3078" s="17"/>
      <c r="P3078" s="17" t="b">
        <f>IFERROR(__xludf.DUMMYFUNCTION("""COMPUTED_VALUE"""),FALSE)</f>
        <v>0</v>
      </c>
      <c r="Q3078" s="20" t="str">
        <f>IFERROR(__xludf.DUMMYFUNCTION("""COMPUTED_VALUE"""),"")</f>
        <v/>
      </c>
      <c r="R3078" s="21" t="str">
        <f>IFERROR(__xludf.DUMMYFUNCTION("""COMPUTED_VALUE"""),"https://drive.google.com/file/d/11DEo0KcWWnEYDOdP_xHvOXcfspKXeO2q/view?usp=drivesdk")</f>
        <v>https://drive.google.com/file/d/11DEo0KcWWnEYDOdP_xHvOXcfspKXeO2q/view?usp=drivesdk</v>
      </c>
    </row>
    <row r="3079">
      <c r="A3079" s="15">
        <f>IFERROR(__xludf.DUMMYFUNCTION("""COMPUTED_VALUE"""),45091.0)</f>
        <v>45091</v>
      </c>
      <c r="B3079" s="16" t="str">
        <f>IFERROR(__xludf.DUMMYFUNCTION("""COMPUTED_VALUE"""),"José Miguel Bonilla")</f>
        <v>José Miguel Bonilla</v>
      </c>
      <c r="C3079" s="15" t="str">
        <f>IFERROR(__xludf.DUMMYFUNCTION("""COMPUTED_VALUE"""),"BUCARAMANGA")</f>
        <v>BUCARAMANGA</v>
      </c>
      <c r="D3079" s="15" t="str">
        <f>IFERROR(__xludf.DUMMYFUNCTION("""COMPUTED_VALUE"""),"BOGOTÁ")</f>
        <v>BOGOTÁ</v>
      </c>
      <c r="E3079" s="15" t="str">
        <f>IFERROR(__xludf.DUMMYFUNCTION("""COMPUTED_VALUE"""),"Ins. Alimento Vital")</f>
        <v>Ins. Alimento Vital</v>
      </c>
      <c r="F3079" s="17" t="str">
        <f>IFERROR(__xludf.DUMMYFUNCTION("""COMPUTED_VALUE"""),"TRANSVERSAL ORIENTE 90 102 / PISO 11 TORRE EMP CACIQUE / TR  EMP CACIQUE")</f>
        <v>TRANSVERSAL ORIENTE 90 102 / PISO 11 TORRE EMP CACIQUE / TR  EMP CACIQUE</v>
      </c>
      <c r="G3079" s="15" t="str">
        <f>IFERROR(__xludf.DUMMYFUNCTION("""COMPUTED_VALUE"""),"LORENA GRANADOS BARCO")</f>
        <v>LORENA GRANADOS BARCO</v>
      </c>
      <c r="H3079" s="16">
        <f>IFERROR(__xludf.DUMMYFUNCTION("""COMPUTED_VALUE"""),11626.0)</f>
        <v>11626</v>
      </c>
      <c r="I3079" s="18">
        <f>IFERROR(__xludf.DUMMYFUNCTION("""COMPUTED_VALUE"""),1.0)</f>
        <v>1</v>
      </c>
      <c r="J3079" s="18">
        <f>IFERROR(__xludf.DUMMYFUNCTION("""COMPUTED_VALUE"""),1.0)</f>
        <v>1</v>
      </c>
      <c r="K3079" s="18">
        <f>IFERROR(__xludf.DUMMYFUNCTION("""COMPUTED_VALUE"""),1.0)</f>
        <v>1</v>
      </c>
      <c r="L3079" s="17">
        <f>IFERROR(__xludf.DUMMYFUNCTION("""COMPUTED_VALUE"""),3.003286319E9)</f>
        <v>3003286319</v>
      </c>
      <c r="M3079" s="17" t="str">
        <f>IFERROR(__xludf.DUMMYFUNCTION("""COMPUTED_VALUE"""),"#REF!")</f>
        <v>#REF!</v>
      </c>
      <c r="N3079" s="17"/>
      <c r="O3079" s="17"/>
      <c r="P3079" s="17" t="b">
        <f>IFERROR(__xludf.DUMMYFUNCTION("""COMPUTED_VALUE"""),FALSE)</f>
        <v>0</v>
      </c>
      <c r="Q3079" s="20" t="str">
        <f>IFERROR(__xludf.DUMMYFUNCTION("""COMPUTED_VALUE"""),"")</f>
        <v/>
      </c>
      <c r="R3079" s="21" t="str">
        <f>IFERROR(__xludf.DUMMYFUNCTION("""COMPUTED_VALUE"""),"https://drive.google.com/file/d/13IVS28j0NfL0SVu2lZiGYxf8ErT33e_i/view?usp=drivesdk")</f>
        <v>https://drive.google.com/file/d/13IVS28j0NfL0SVu2lZiGYxf8ErT33e_i/view?usp=drivesdk</v>
      </c>
    </row>
    <row r="3080">
      <c r="A3080" s="15">
        <f>IFERROR(__xludf.DUMMYFUNCTION("""COMPUTED_VALUE"""),45091.0)</f>
        <v>45091</v>
      </c>
      <c r="B3080" s="16" t="str">
        <f>IFERROR(__xludf.DUMMYFUNCTION("""COMPUTED_VALUE"""),"José Miguel Bonilla")</f>
        <v>José Miguel Bonilla</v>
      </c>
      <c r="C3080" s="15" t="str">
        <f>IFERROR(__xludf.DUMMYFUNCTION("""COMPUTED_VALUE"""),"BUCARAMANGA")</f>
        <v>BUCARAMANGA</v>
      </c>
      <c r="D3080" s="15" t="str">
        <f>IFERROR(__xludf.DUMMYFUNCTION("""COMPUTED_VALUE"""),"BOGOTÁ")</f>
        <v>BOGOTÁ</v>
      </c>
      <c r="E3080" s="15" t="str">
        <f>IFERROR(__xludf.DUMMYFUNCTION("""COMPUTED_VALUE"""),"Karem foods")</f>
        <v>Karem foods</v>
      </c>
      <c r="F3080" s="17" t="str">
        <f>IFERROR(__xludf.DUMMYFUNCTION("""COMPUTED_VALUE"""),"Calle 147 # 25 - 30 / Torre C - apto 503  / Palmas del campo")</f>
        <v>Calle 147 # 25 - 30 / Torre C - apto 503  / Palmas del campo</v>
      </c>
      <c r="G3080" s="15" t="str">
        <f>IFERROR(__xludf.DUMMYFUNCTION("""COMPUTED_VALUE"""),"Isabel la villamizar")</f>
        <v>Isabel la villamizar</v>
      </c>
      <c r="H3080" s="16">
        <f>IFERROR(__xludf.DUMMYFUNCTION("""COMPUTED_VALUE"""),11523.0)</f>
        <v>11523</v>
      </c>
      <c r="I3080" s="18">
        <f>IFERROR(__xludf.DUMMYFUNCTION("""COMPUTED_VALUE"""),8.0)</f>
        <v>8</v>
      </c>
      <c r="J3080" s="18">
        <f>IFERROR(__xludf.DUMMYFUNCTION("""COMPUTED_VALUE"""),23.0)</f>
        <v>23</v>
      </c>
      <c r="K3080" s="18">
        <f>IFERROR(__xludf.DUMMYFUNCTION("""COMPUTED_VALUE"""),23.0)</f>
        <v>23</v>
      </c>
      <c r="L3080" s="17">
        <f>IFERROR(__xludf.DUMMYFUNCTION("""COMPUTED_VALUE"""),3.003488361E9)</f>
        <v>3003488361</v>
      </c>
      <c r="M3080" s="17" t="str">
        <f>IFERROR(__xludf.DUMMYFUNCTION("""COMPUTED_VALUE"""),"#REF!")</f>
        <v>#REF!</v>
      </c>
      <c r="N3080" s="17"/>
      <c r="O3080" s="17"/>
      <c r="P3080" s="17" t="b">
        <f>IFERROR(__xludf.DUMMYFUNCTION("""COMPUTED_VALUE"""),FALSE)</f>
        <v>0</v>
      </c>
      <c r="Q3080" s="20" t="str">
        <f>IFERROR(__xludf.DUMMYFUNCTION("""COMPUTED_VALUE"""),"")</f>
        <v/>
      </c>
      <c r="R3080" s="21" t="str">
        <f>IFERROR(__xludf.DUMMYFUNCTION("""COMPUTED_VALUE"""),"https://drive.google.com/file/d/19e3jZ2EAdVH29r3VzHt5KWhWUBWy8hqU/view?usp=drivesdk")</f>
        <v>https://drive.google.com/file/d/19e3jZ2EAdVH29r3VzHt5KWhWUBWy8hqU/view?usp=drivesdk</v>
      </c>
    </row>
    <row r="3081">
      <c r="A3081" s="15">
        <f>IFERROR(__xludf.DUMMYFUNCTION("""COMPUTED_VALUE"""),45091.0)</f>
        <v>45091</v>
      </c>
      <c r="B3081" s="16" t="str">
        <f>IFERROR(__xludf.DUMMYFUNCTION("""COMPUTED_VALUE"""),"José Miguel Bonilla")</f>
        <v>José Miguel Bonilla</v>
      </c>
      <c r="C3081" s="15" t="str">
        <f>IFERROR(__xludf.DUMMYFUNCTION("""COMPUTED_VALUE"""),"BUCARAMANGA")</f>
        <v>BUCARAMANGA</v>
      </c>
      <c r="D3081" s="15" t="str">
        <f>IFERROR(__xludf.DUMMYFUNCTION("""COMPUTED_VALUE"""),"BOGOTÁ")</f>
        <v>BOGOTÁ</v>
      </c>
      <c r="E3081" s="15" t="str">
        <f>IFERROR(__xludf.DUMMYFUNCTION("""COMPUTED_VALUE"""),"Lunchy Kids")</f>
        <v>Lunchy Kids</v>
      </c>
      <c r="F3081" s="17" t="str">
        <f>IFERROR(__xludf.DUMMYFUNCTION("""COMPUTED_VALUE"""),"Cra 32 #110-40   / Conjunto Palmas de la frontera Torre 2, apartamento 704  / Bucaramanga")</f>
        <v>Cra 32 #110-40   / Conjunto Palmas de la frontera Torre 2, apartamento 704  / Bucaramanga</v>
      </c>
      <c r="G3081" s="15" t="str">
        <f>IFERROR(__xludf.DUMMYFUNCTION("""COMPUTED_VALUE"""),"Zabdy Suarez")</f>
        <v>Zabdy Suarez</v>
      </c>
      <c r="H3081" s="16">
        <f>IFERROR(__xludf.DUMMYFUNCTION("""COMPUTED_VALUE"""),11588.0)</f>
        <v>11588</v>
      </c>
      <c r="I3081" s="18">
        <f>IFERROR(__xludf.DUMMYFUNCTION("""COMPUTED_VALUE"""),18.0)</f>
        <v>18</v>
      </c>
      <c r="J3081" s="18">
        <f>IFERROR(__xludf.DUMMYFUNCTION("""COMPUTED_VALUE"""),27.0)</f>
        <v>27</v>
      </c>
      <c r="K3081" s="18">
        <f>IFERROR(__xludf.DUMMYFUNCTION("""COMPUTED_VALUE"""),7.0)</f>
        <v>7</v>
      </c>
      <c r="L3081" s="17">
        <f>IFERROR(__xludf.DUMMYFUNCTION("""COMPUTED_VALUE"""),3.187591046E9)</f>
        <v>3187591046</v>
      </c>
      <c r="M3081" s="17" t="str">
        <f>IFERROR(__xludf.DUMMYFUNCTION("""COMPUTED_VALUE"""),"#REF!")</f>
        <v>#REF!</v>
      </c>
      <c r="N3081" s="17"/>
      <c r="O3081" s="17"/>
      <c r="P3081" s="17" t="b">
        <f>IFERROR(__xludf.DUMMYFUNCTION("""COMPUTED_VALUE"""),FALSE)</f>
        <v>0</v>
      </c>
      <c r="Q3081" s="20" t="str">
        <f>IFERROR(__xludf.DUMMYFUNCTION("""COMPUTED_VALUE"""),"")</f>
        <v/>
      </c>
      <c r="R3081" s="21" t="str">
        <f>IFERROR(__xludf.DUMMYFUNCTION("""COMPUTED_VALUE"""),"https://drive.google.com/file/d/1PDswG7ig6XquNrn2ubYC6MotsO_uq_rp/view?usp=drivesdk")</f>
        <v>https://drive.google.com/file/d/1PDswG7ig6XquNrn2ubYC6MotsO_uq_rp/view?usp=drivesdk</v>
      </c>
    </row>
    <row r="3082">
      <c r="A3082" s="15">
        <f>IFERROR(__xludf.DUMMYFUNCTION("""COMPUTED_VALUE"""),45091.0)</f>
        <v>45091</v>
      </c>
      <c r="B3082" s="16" t="str">
        <f>IFERROR(__xludf.DUMMYFUNCTION("""COMPUTED_VALUE"""),"José Miguel Bonilla")</f>
        <v>José Miguel Bonilla</v>
      </c>
      <c r="C3082" s="15" t="str">
        <f>IFERROR(__xludf.DUMMYFUNCTION("""COMPUTED_VALUE"""),"BUCARAMANGA")</f>
        <v>BUCARAMANGA</v>
      </c>
      <c r="D3082" s="15" t="str">
        <f>IFERROR(__xludf.DUMMYFUNCTION("""COMPUTED_VALUE"""),"MEDELLÍN")</f>
        <v>MEDELLÍN</v>
      </c>
      <c r="E3082" s="15" t="str">
        <f>IFERROR(__xludf.DUMMYFUNCTION("""COMPUTED_VALUE"""),"AREPAS LA MARY")</f>
        <v>AREPAS LA MARY</v>
      </c>
      <c r="F3082" s="17" t="str">
        <f>IFERROR(__xludf.DUMMYFUNCTION("""COMPUTED_VALUE"""),"CALLE 45 # 28-64")</f>
        <v>CALLE 45 # 28-64</v>
      </c>
      <c r="G3082" s="15" t="str">
        <f>IFERROR(__xludf.DUMMYFUNCTION("""COMPUTED_VALUE"""),"FITBUK")</f>
        <v>FITBUK</v>
      </c>
      <c r="H3082" s="16">
        <f>IFERROR(__xludf.DUMMYFUNCTION("""COMPUTED_VALUE"""),11620.0)</f>
        <v>11620</v>
      </c>
      <c r="I3082" s="18">
        <f>IFERROR(__xludf.DUMMYFUNCTION("""COMPUTED_VALUE"""),89.0)</f>
        <v>89</v>
      </c>
      <c r="J3082" s="18">
        <f>IFERROR(__xludf.DUMMYFUNCTION("""COMPUTED_VALUE"""),1.0)</f>
        <v>1</v>
      </c>
      <c r="K3082" s="18">
        <f>IFERROR(__xludf.DUMMYFUNCTION("""COMPUTED_VALUE"""),10.0)</f>
        <v>10</v>
      </c>
      <c r="L3082" s="17">
        <f>IFERROR(__xludf.DUMMYFUNCTION("""COMPUTED_VALUE"""),3.214652576E9)</f>
        <v>3214652576</v>
      </c>
      <c r="M3082" s="17" t="str">
        <f>IFERROR(__xludf.DUMMYFUNCTION("""COMPUTED_VALUE"""),"#REF!")</f>
        <v>#REF!</v>
      </c>
      <c r="N3082" s="17"/>
      <c r="O3082" s="17"/>
      <c r="P3082" s="17" t="b">
        <f>IFERROR(__xludf.DUMMYFUNCTION("""COMPUTED_VALUE"""),FALSE)</f>
        <v>0</v>
      </c>
      <c r="Q3082" s="20" t="str">
        <f>IFERROR(__xludf.DUMMYFUNCTION("""COMPUTED_VALUE"""),"")</f>
        <v/>
      </c>
      <c r="R3082" s="21" t="str">
        <f>IFERROR(__xludf.DUMMYFUNCTION("""COMPUTED_VALUE"""),"https://drive.google.com/file/d/1tMq6QX7IiB-zrWBjAE2dEuSEr77RGtAL/view?usp=drivesdk")</f>
        <v>https://drive.google.com/file/d/1tMq6QX7IiB-zrWBjAE2dEuSEr77RGtAL/view?usp=drivesdk</v>
      </c>
    </row>
    <row r="3083">
      <c r="A3083" s="15">
        <f>IFERROR(__xludf.DUMMYFUNCTION("""COMPUTED_VALUE"""),45091.0)</f>
        <v>45091</v>
      </c>
      <c r="B3083" s="16" t="str">
        <f>IFERROR(__xludf.DUMMYFUNCTION("""COMPUTED_VALUE"""),"José Miguel Bonilla")</f>
        <v>José Miguel Bonilla</v>
      </c>
      <c r="C3083" s="15" t="str">
        <f>IFERROR(__xludf.DUMMYFUNCTION("""COMPUTED_VALUE"""),"FLORIDABLANCA")</f>
        <v>FLORIDABLANCA</v>
      </c>
      <c r="D3083" s="15" t="str">
        <f>IFERROR(__xludf.DUMMYFUNCTION("""COMPUTED_VALUE"""),"BOGOTÁ")</f>
        <v>BOGOTÁ</v>
      </c>
      <c r="E3083" s="15" t="str">
        <f>IFERROR(__xludf.DUMMYFUNCTION("""COMPUTED_VALUE"""),"Asociacion Agropecuaria Juana Maria")</f>
        <v>Asociacion Agropecuaria Juana Maria</v>
      </c>
      <c r="F3083" s="17" t="str">
        <f>IFERROR(__xludf.DUMMYFUNCTION("""COMPUTED_VALUE"""),"Calle 19 #11-37 Guanatá FLORIDABLANCA")</f>
        <v>Calle 19 #11-37 Guanatá FLORIDABLANCA</v>
      </c>
      <c r="G3083" s="15" t="str">
        <f>IFERROR(__xludf.DUMMYFUNCTION("""COMPUTED_VALUE"""),"Claudia Gonzalez")</f>
        <v>Claudia Gonzalez</v>
      </c>
      <c r="H3083" s="16">
        <f>IFERROR(__xludf.DUMMYFUNCTION("""COMPUTED_VALUE"""),11607.0)</f>
        <v>11607</v>
      </c>
      <c r="I3083" s="18">
        <f>IFERROR(__xludf.DUMMYFUNCTION("""COMPUTED_VALUE"""),21.0)</f>
        <v>21</v>
      </c>
      <c r="J3083" s="18">
        <f>IFERROR(__xludf.DUMMYFUNCTION("""COMPUTED_VALUE"""),37.0)</f>
        <v>37</v>
      </c>
      <c r="K3083" s="18">
        <f>IFERROR(__xludf.DUMMYFUNCTION("""COMPUTED_VALUE"""),30.0)</f>
        <v>30</v>
      </c>
      <c r="L3083" s="17">
        <f>IFERROR(__xludf.DUMMYFUNCTION("""COMPUTED_VALUE"""),3.002802001E9)</f>
        <v>3002802001</v>
      </c>
      <c r="M3083" s="17" t="str">
        <f>IFERROR(__xludf.DUMMYFUNCTION("""COMPUTED_VALUE"""),"#REF!")</f>
        <v>#REF!</v>
      </c>
      <c r="N3083" s="17"/>
      <c r="O3083" s="17"/>
      <c r="P3083" s="17" t="b">
        <f>IFERROR(__xludf.DUMMYFUNCTION("""COMPUTED_VALUE"""),FALSE)</f>
        <v>0</v>
      </c>
      <c r="Q3083" s="20" t="str">
        <f>IFERROR(__xludf.DUMMYFUNCTION("""COMPUTED_VALUE"""),"")</f>
        <v/>
      </c>
      <c r="R3083" s="21" t="str">
        <f>IFERROR(__xludf.DUMMYFUNCTION("""COMPUTED_VALUE"""),"https://drive.google.com/file/d/1kJYw3WV4wgtOXWXRbbFzG4rDHGxF7GFr/view?usp=drivesdk")</f>
        <v>https://drive.google.com/file/d/1kJYw3WV4wgtOXWXRbbFzG4rDHGxF7GFr/view?usp=drivesdk</v>
      </c>
    </row>
    <row r="3084">
      <c r="A3084" s="15">
        <f>IFERROR(__xludf.DUMMYFUNCTION("""COMPUTED_VALUE"""),45091.0)</f>
        <v>45091</v>
      </c>
      <c r="B3084" s="16" t="str">
        <f>IFERROR(__xludf.DUMMYFUNCTION("""COMPUTED_VALUE"""),"José Miguel Bonilla")</f>
        <v>José Miguel Bonilla</v>
      </c>
      <c r="C3084" s="15" t="str">
        <f>IFERROR(__xludf.DUMMYFUNCTION("""COMPUTED_VALUE"""),"FLORIDABLANCA")</f>
        <v>FLORIDABLANCA</v>
      </c>
      <c r="D3084" s="15" t="str">
        <f>IFERROR(__xludf.DUMMYFUNCTION("""COMPUTED_VALUE"""),"BOGOTÁ")</f>
        <v>BOGOTÁ</v>
      </c>
      <c r="E3084" s="15" t="str">
        <f>IFERROR(__xludf.DUMMYFUNCTION("""COMPUTED_VALUE"""),"Asociacion Agropecuaria Juana Maria")</f>
        <v>Asociacion Agropecuaria Juana Maria</v>
      </c>
      <c r="F3084" s="17" t="str">
        <f>IFERROR(__xludf.DUMMYFUNCTION("""COMPUTED_VALUE"""),"Calle 19 #11-37 Guanatá FLORIDABLANCA")</f>
        <v>Calle 19 #11-37 Guanatá FLORIDABLANCA</v>
      </c>
      <c r="G3084" s="15" t="str">
        <f>IFERROR(__xludf.DUMMYFUNCTION("""COMPUTED_VALUE"""),"Claudia Gonzalez")</f>
        <v>Claudia Gonzalez</v>
      </c>
      <c r="H3084" s="16">
        <f>IFERROR(__xludf.DUMMYFUNCTION("""COMPUTED_VALUE"""),11608.0)</f>
        <v>11608</v>
      </c>
      <c r="I3084" s="18">
        <f>IFERROR(__xludf.DUMMYFUNCTION("""COMPUTED_VALUE"""),12.0)</f>
        <v>12</v>
      </c>
      <c r="J3084" s="18">
        <f>IFERROR(__xludf.DUMMYFUNCTION("""COMPUTED_VALUE"""),37.0)</f>
        <v>37</v>
      </c>
      <c r="K3084" s="18">
        <f>IFERROR(__xludf.DUMMYFUNCTION("""COMPUTED_VALUE"""),20.0)</f>
        <v>20</v>
      </c>
      <c r="L3084" s="17">
        <f>IFERROR(__xludf.DUMMYFUNCTION("""COMPUTED_VALUE"""),3.002802001E9)</f>
        <v>3002802001</v>
      </c>
      <c r="M3084" s="17" t="str">
        <f>IFERROR(__xludf.DUMMYFUNCTION("""COMPUTED_VALUE"""),"#REF!")</f>
        <v>#REF!</v>
      </c>
      <c r="N3084" s="17"/>
      <c r="O3084" s="17"/>
      <c r="P3084" s="17" t="b">
        <f>IFERROR(__xludf.DUMMYFUNCTION("""COMPUTED_VALUE"""),FALSE)</f>
        <v>0</v>
      </c>
      <c r="Q3084" s="20" t="str">
        <f>IFERROR(__xludf.DUMMYFUNCTION("""COMPUTED_VALUE"""),"")</f>
        <v/>
      </c>
      <c r="R3084" s="22" t="str">
        <f>IFERROR(__xludf.DUMMYFUNCTION("""COMPUTED_VALUE"""),"")</f>
        <v/>
      </c>
    </row>
    <row r="3085">
      <c r="A3085" s="15">
        <f>IFERROR(__xludf.DUMMYFUNCTION("""COMPUTED_VALUE"""),45091.0)</f>
        <v>45091</v>
      </c>
      <c r="B3085" s="16" t="str">
        <f>IFERROR(__xludf.DUMMYFUNCTION("""COMPUTED_VALUE"""),"José Miguel Bonilla")</f>
        <v>José Miguel Bonilla</v>
      </c>
      <c r="C3085" s="15" t="str">
        <f>IFERROR(__xludf.DUMMYFUNCTION("""COMPUTED_VALUE"""),"FLORIDABLANCA")</f>
        <v>FLORIDABLANCA</v>
      </c>
      <c r="D3085" s="15" t="str">
        <f>IFERROR(__xludf.DUMMYFUNCTION("""COMPUTED_VALUE"""),"BOGOTÁ")</f>
        <v>BOGOTÁ</v>
      </c>
      <c r="E3085" s="15" t="str">
        <f>IFERROR(__xludf.DUMMYFUNCTION("""COMPUTED_VALUE"""),"Loomifoods")</f>
        <v>Loomifoods</v>
      </c>
      <c r="F3085" s="17" t="str">
        <f>IFERROR(__xludf.DUMMYFUNCTION("""COMPUTED_VALUE"""),"calle 200 no 13-36  / apto 803  / Montesol apartamentos club")</f>
        <v>calle 200 no 13-36  / apto 803  / Montesol apartamentos club</v>
      </c>
      <c r="G3085" s="15" t="str">
        <f>IFERROR(__xludf.DUMMYFUNCTION("""COMPUTED_VALUE"""),"Cindy Castro")</f>
        <v>Cindy Castro</v>
      </c>
      <c r="H3085" s="16">
        <f>IFERROR(__xludf.DUMMYFUNCTION("""COMPUTED_VALUE"""),11641.0)</f>
        <v>11641</v>
      </c>
      <c r="I3085" s="18">
        <f>IFERROR(__xludf.DUMMYFUNCTION("""COMPUTED_VALUE"""),20.0)</f>
        <v>20</v>
      </c>
      <c r="J3085" s="18">
        <f>IFERROR(__xludf.DUMMYFUNCTION("""COMPUTED_VALUE"""),10.0)</f>
        <v>10</v>
      </c>
      <c r="K3085" s="18">
        <f>IFERROR(__xludf.DUMMYFUNCTION("""COMPUTED_VALUE"""),16.0)</f>
        <v>16</v>
      </c>
      <c r="L3085" s="17">
        <f>IFERROR(__xludf.DUMMYFUNCTION("""COMPUTED_VALUE"""),3.173678048E9)</f>
        <v>3173678048</v>
      </c>
      <c r="M3085" s="17" t="str">
        <f>IFERROR(__xludf.DUMMYFUNCTION("""COMPUTED_VALUE"""),"#REF!")</f>
        <v>#REF!</v>
      </c>
      <c r="N3085" s="17"/>
      <c r="O3085" s="17"/>
      <c r="P3085" s="17" t="b">
        <f>IFERROR(__xludf.DUMMYFUNCTION("""COMPUTED_VALUE"""),FALSE)</f>
        <v>0</v>
      </c>
      <c r="Q3085" s="20" t="str">
        <f>IFERROR(__xludf.DUMMYFUNCTION("""COMPUTED_VALUE"""),"")</f>
        <v/>
      </c>
      <c r="R3085" s="21" t="str">
        <f>IFERROR(__xludf.DUMMYFUNCTION("""COMPUTED_VALUE"""),"https://drive.google.com/file/d/1X_EdHA7F0Nhp4tA2TE0s14v_--ymjvqe/view?usp=drivesdk")</f>
        <v>https://drive.google.com/file/d/1X_EdHA7F0Nhp4tA2TE0s14v_--ymjvqe/view?usp=drivesdk</v>
      </c>
    </row>
    <row r="3086">
      <c r="A3086" s="15">
        <f>IFERROR(__xludf.DUMMYFUNCTION("""COMPUTED_VALUE"""),45091.0)</f>
        <v>45091</v>
      </c>
      <c r="B3086" s="16" t="str">
        <f>IFERROR(__xludf.DUMMYFUNCTION("""COMPUTED_VALUE"""),"José Miguel Bonilla")</f>
        <v>José Miguel Bonilla</v>
      </c>
      <c r="C3086" s="15" t="str">
        <f>IFERROR(__xludf.DUMMYFUNCTION("""COMPUTED_VALUE"""),"FLORIDABLANCA")</f>
        <v>FLORIDABLANCA</v>
      </c>
      <c r="D3086" s="15" t="str">
        <f>IFERROR(__xludf.DUMMYFUNCTION("""COMPUTED_VALUE"""),"MEDELLÍN")</f>
        <v>MEDELLÍN</v>
      </c>
      <c r="E3086" s="15" t="str">
        <f>IFERROR(__xludf.DUMMYFUNCTION("""COMPUTED_VALUE"""),"Baby Chef")</f>
        <v>Baby Chef</v>
      </c>
      <c r="F3086" s="17" t="str">
        <f>IFERROR(__xludf.DUMMYFUNCTION("""COMPUTED_VALUE"""),"Cra 12# 200- 14, Mediterrrane royal torre 1 apto 1107, floridablanca Santander / Cra 12# 200- 14, Mediterrrane royal torre 1 apto 1107, floridablanca Santander / Cra 12# 200- 14, Mediterrrane royal torre 1 apto 1107, floridablanca Santander")</f>
        <v>Cra 12# 200- 14, Mediterrrane royal torre 1 apto 1107, floridablanca Santander / Cra 12# 200- 14, Mediterrrane royal torre 1 apto 1107, floridablanca Santander / Cra 12# 200- 14, Mediterrrane royal torre 1 apto 1107, floridablanca Santander</v>
      </c>
      <c r="G3086" s="15" t="str">
        <f>IFERROR(__xludf.DUMMYFUNCTION("""COMPUTED_VALUE"""),"Diana Ayala")</f>
        <v>Diana Ayala</v>
      </c>
      <c r="H3086" s="16">
        <f>IFERROR(__xludf.DUMMYFUNCTION("""COMPUTED_VALUE"""),11699.0)</f>
        <v>11699</v>
      </c>
      <c r="I3086" s="18">
        <f>IFERROR(__xludf.DUMMYFUNCTION("""COMPUTED_VALUE"""),8.0)</f>
        <v>8</v>
      </c>
      <c r="J3086" s="18">
        <f>IFERROR(__xludf.DUMMYFUNCTION("""COMPUTED_VALUE"""),16.0)</f>
        <v>16</v>
      </c>
      <c r="K3086" s="18">
        <f>IFERROR(__xludf.DUMMYFUNCTION("""COMPUTED_VALUE"""),20.0)</f>
        <v>20</v>
      </c>
      <c r="L3086" s="17">
        <f>IFERROR(__xludf.DUMMYFUNCTION("""COMPUTED_VALUE"""),3.504830538E9)</f>
        <v>3504830538</v>
      </c>
      <c r="M3086" s="17" t="str">
        <f>IFERROR(__xludf.DUMMYFUNCTION("""COMPUTED_VALUE"""),"#REF!")</f>
        <v>#REF!</v>
      </c>
      <c r="N3086" s="17"/>
      <c r="O3086" s="17"/>
      <c r="P3086" s="17" t="b">
        <f>IFERROR(__xludf.DUMMYFUNCTION("""COMPUTED_VALUE"""),FALSE)</f>
        <v>0</v>
      </c>
      <c r="Q3086" s="20" t="str">
        <f>IFERROR(__xludf.DUMMYFUNCTION("""COMPUTED_VALUE"""),"")</f>
        <v/>
      </c>
      <c r="R3086" s="21" t="str">
        <f>IFERROR(__xludf.DUMMYFUNCTION("""COMPUTED_VALUE"""),"https://drive.google.com/file/d/1EZStb24_rNvnM_mOCDV3s-eobacTkKv8/view?usp=drivesdk")</f>
        <v>https://drive.google.com/file/d/1EZStb24_rNvnM_mOCDV3s-eobacTkKv8/view?usp=drivesdk</v>
      </c>
    </row>
    <row r="3087">
      <c r="A3087" s="15">
        <f>IFERROR(__xludf.DUMMYFUNCTION("""COMPUTED_VALUE"""),45091.0)</f>
        <v>45091</v>
      </c>
      <c r="B3087" s="16" t="str">
        <f>IFERROR(__xludf.DUMMYFUNCTION("""COMPUTED_VALUE"""),"José Miguel Bonilla")</f>
        <v>José Miguel Bonilla</v>
      </c>
      <c r="C3087" s="15" t="str">
        <f>IFERROR(__xludf.DUMMYFUNCTION("""COMPUTED_VALUE"""),"GIRÓN")</f>
        <v>GIRÓN</v>
      </c>
      <c r="D3087" s="15" t="str">
        <f>IFERROR(__xludf.DUMMYFUNCTION("""COMPUTED_VALUE"""),"BOGOTÁ")</f>
        <v>BOGOTÁ</v>
      </c>
      <c r="E3087" s="15" t="str">
        <f>IFERROR(__xludf.DUMMYFUNCTION("""COMPUTED_VALUE"""),"Evamazzita")</f>
        <v>Evamazzita</v>
      </c>
      <c r="F3087" s="17" t="str">
        <f>IFERROR(__xludf.DUMMYFUNCTION("""COMPUTED_VALUE"""),"Calle 35b 18A-09  / N/A / Corte Real I")</f>
        <v>Calle 35b 18A-09  / N/A / Corte Real I</v>
      </c>
      <c r="G3087" s="15" t="str">
        <f>IFERROR(__xludf.DUMMYFUNCTION("""COMPUTED_VALUE"""),"VIVIANA YILIVETH ESPINOSA BARAHONA")</f>
        <v>VIVIANA YILIVETH ESPINOSA BARAHONA</v>
      </c>
      <c r="H3087" s="16">
        <f>IFERROR(__xludf.DUMMYFUNCTION("""COMPUTED_VALUE"""),11647.0)</f>
        <v>11647</v>
      </c>
      <c r="I3087" s="18">
        <f>IFERROR(__xludf.DUMMYFUNCTION("""COMPUTED_VALUE"""),10.0)</f>
        <v>10</v>
      </c>
      <c r="J3087" s="18">
        <f>IFERROR(__xludf.DUMMYFUNCTION("""COMPUTED_VALUE"""),18.0)</f>
        <v>18</v>
      </c>
      <c r="K3087" s="18">
        <f>IFERROR(__xludf.DUMMYFUNCTION("""COMPUTED_VALUE"""),22.0)</f>
        <v>22</v>
      </c>
      <c r="L3087" s="17">
        <f>IFERROR(__xludf.DUMMYFUNCTION("""COMPUTED_VALUE"""),3.214058334E9)</f>
        <v>3214058334</v>
      </c>
      <c r="M3087" s="17" t="str">
        <f>IFERROR(__xludf.DUMMYFUNCTION("""COMPUTED_VALUE"""),"#REF!")</f>
        <v>#REF!</v>
      </c>
      <c r="N3087" s="17"/>
      <c r="O3087" s="17"/>
      <c r="P3087" s="17" t="b">
        <f>IFERROR(__xludf.DUMMYFUNCTION("""COMPUTED_VALUE"""),FALSE)</f>
        <v>0</v>
      </c>
      <c r="Q3087" s="20" t="str">
        <f>IFERROR(__xludf.DUMMYFUNCTION("""COMPUTED_VALUE"""),"")</f>
        <v/>
      </c>
      <c r="R3087" s="21" t="str">
        <f>IFERROR(__xludf.DUMMYFUNCTION("""COMPUTED_VALUE"""),"https://drive.google.com/file/d/16VM3CmtHJKc1PVSuz85Ry4PsnTq7a3-T/view?usp=drivesdk")</f>
        <v>https://drive.google.com/file/d/16VM3CmtHJKc1PVSuz85Ry4PsnTq7a3-T/view?usp=drivesdk</v>
      </c>
    </row>
    <row r="3088">
      <c r="A3088" s="15">
        <f>IFERROR(__xludf.DUMMYFUNCTION("""COMPUTED_VALUE"""),45091.0)</f>
        <v>45091</v>
      </c>
      <c r="B3088" s="16" t="str">
        <f>IFERROR(__xludf.DUMMYFUNCTION("""COMPUTED_VALUE"""),"José Miguel Bonilla")</f>
        <v>José Miguel Bonilla</v>
      </c>
      <c r="C3088" s="15" t="str">
        <f>IFERROR(__xludf.DUMMYFUNCTION("""COMPUTED_VALUE"""),"GIRÓN")</f>
        <v>GIRÓN</v>
      </c>
      <c r="D3088" s="15" t="str">
        <f>IFERROR(__xludf.DUMMYFUNCTION("""COMPUTED_VALUE"""),"BOGOTÁ")</f>
        <v>BOGOTÁ</v>
      </c>
      <c r="E3088" s="15" t="str">
        <f>IFERROR(__xludf.DUMMYFUNCTION("""COMPUTED_VALUE"""),"Evamazzita")</f>
        <v>Evamazzita</v>
      </c>
      <c r="F3088" s="17" t="str">
        <f>IFERROR(__xludf.DUMMYFUNCTION("""COMPUTED_VALUE"""),"Calle 37 #23- 105  / piso 2  / Barrio Poblado")</f>
        <v>Calle 37 #23- 105  / piso 2  / Barrio Poblado</v>
      </c>
      <c r="G3088" s="15" t="str">
        <f>IFERROR(__xludf.DUMMYFUNCTION("""COMPUTED_VALUE"""),"YESENIA RODRIGUEZ")</f>
        <v>YESENIA RODRIGUEZ</v>
      </c>
      <c r="H3088" s="16">
        <f>IFERROR(__xludf.DUMMYFUNCTION("""COMPUTED_VALUE"""),11646.0)</f>
        <v>11646</v>
      </c>
      <c r="I3088" s="18">
        <f>IFERROR(__xludf.DUMMYFUNCTION("""COMPUTED_VALUE"""),3.0)</f>
        <v>3</v>
      </c>
      <c r="J3088" s="18">
        <f>IFERROR(__xludf.DUMMYFUNCTION("""COMPUTED_VALUE"""),15.0)</f>
        <v>15</v>
      </c>
      <c r="K3088" s="18">
        <f>IFERROR(__xludf.DUMMYFUNCTION("""COMPUTED_VALUE"""),20.0)</f>
        <v>20</v>
      </c>
      <c r="L3088" s="17">
        <f>IFERROR(__xludf.DUMMYFUNCTION("""COMPUTED_VALUE"""),3.157756829E9)</f>
        <v>3157756829</v>
      </c>
      <c r="M3088" s="17" t="str">
        <f>IFERROR(__xludf.DUMMYFUNCTION("""COMPUTED_VALUE"""),"#REF!")</f>
        <v>#REF!</v>
      </c>
      <c r="N3088" s="17"/>
      <c r="O3088" s="17"/>
      <c r="P3088" s="17" t="b">
        <f>IFERROR(__xludf.DUMMYFUNCTION("""COMPUTED_VALUE"""),FALSE)</f>
        <v>0</v>
      </c>
      <c r="Q3088" s="20" t="str">
        <f>IFERROR(__xludf.DUMMYFUNCTION("""COMPUTED_VALUE"""),"")</f>
        <v/>
      </c>
      <c r="R3088" s="21" t="str">
        <f>IFERROR(__xludf.DUMMYFUNCTION("""COMPUTED_VALUE"""),"https://drive.google.com/file/d/1HfvfHskFF0qWlLcEXqX08Ro8be4LIQsG/view?usp=drivesdk")</f>
        <v>https://drive.google.com/file/d/1HfvfHskFF0qWlLcEXqX08Ro8be4LIQsG/view?usp=drivesdk</v>
      </c>
    </row>
    <row r="3089">
      <c r="A3089" s="15">
        <f>IFERROR(__xludf.DUMMYFUNCTION("""COMPUTED_VALUE"""),45091.0)</f>
        <v>45091</v>
      </c>
      <c r="B3089" s="16" t="str">
        <f>IFERROR(__xludf.DUMMYFUNCTION("""COMPUTED_VALUE"""),"José Miguel Bonilla")</f>
        <v>José Miguel Bonilla</v>
      </c>
      <c r="C3089" s="15" t="str">
        <f>IFERROR(__xludf.DUMMYFUNCTION("""COMPUTED_VALUE"""),"PEREIRA")</f>
        <v>PEREIRA</v>
      </c>
      <c r="D3089" s="15" t="str">
        <f>IFERROR(__xludf.DUMMYFUNCTION("""COMPUTED_VALUE"""),"MEDELLÍN")</f>
        <v>MEDELLÍN</v>
      </c>
      <c r="E3089" s="15" t="str">
        <f>IFERROR(__xludf.DUMMYFUNCTION("""COMPUTED_VALUE"""),"Rambla")</f>
        <v>Rambla</v>
      </c>
      <c r="F3089" s="17" t="str">
        <f>IFERROR(__xludf.DUMMYFUNCTION("""COMPUTED_VALUE"""),"CARRERA 14 -12-55 / na / na")</f>
        <v>CARRERA 14 -12-55 / na / na</v>
      </c>
      <c r="G3089" s="15" t="str">
        <f>IFERROR(__xludf.DUMMYFUNCTION("""COMPUTED_VALUE"""),"Vita Eco")</f>
        <v>Vita Eco</v>
      </c>
      <c r="H3089" s="16">
        <f>IFERROR(__xludf.DUMMYFUNCTION("""COMPUTED_VALUE"""),11685.0)</f>
        <v>11685</v>
      </c>
      <c r="I3089" s="18">
        <f>IFERROR(__xludf.DUMMYFUNCTION("""COMPUTED_VALUE"""),25.0)</f>
        <v>25</v>
      </c>
      <c r="J3089" s="18">
        <f>IFERROR(__xludf.DUMMYFUNCTION("""COMPUTED_VALUE"""),27.0)</f>
        <v>27</v>
      </c>
      <c r="K3089" s="18">
        <f>IFERROR(__xludf.DUMMYFUNCTION("""COMPUTED_VALUE"""),30.0)</f>
        <v>30</v>
      </c>
      <c r="L3089" s="17">
        <f>IFERROR(__xludf.DUMMYFUNCTION("""COMPUTED_VALUE"""),3.215501948E9)</f>
        <v>3215501948</v>
      </c>
      <c r="M3089" s="17" t="str">
        <f>IFERROR(__xludf.DUMMYFUNCTION("""COMPUTED_VALUE"""),"#REF!")</f>
        <v>#REF!</v>
      </c>
      <c r="N3089" s="17"/>
      <c r="O3089" s="17"/>
      <c r="P3089" s="17" t="b">
        <f>IFERROR(__xludf.DUMMYFUNCTION("""COMPUTED_VALUE"""),FALSE)</f>
        <v>0</v>
      </c>
      <c r="Q3089" s="20" t="str">
        <f>IFERROR(__xludf.DUMMYFUNCTION("""COMPUTED_VALUE"""),"")</f>
        <v/>
      </c>
      <c r="R3089" s="21" t="str">
        <f>IFERROR(__xludf.DUMMYFUNCTION("""COMPUTED_VALUE"""),"https://drive.google.com/file/d/188Aj4ieodCWXq8OiBOAUWCC8iWzBmYjT/view?usp=drivesdk")</f>
        <v>https://drive.google.com/file/d/188Aj4ieodCWXq8OiBOAUWCC8iWzBmYjT/view?usp=drivesdk</v>
      </c>
    </row>
    <row r="3090">
      <c r="A3090" s="15">
        <f>IFERROR(__xludf.DUMMYFUNCTION("""COMPUTED_VALUE"""),45091.0)</f>
        <v>45091</v>
      </c>
      <c r="B3090" s="16" t="str">
        <f>IFERROR(__xludf.DUMMYFUNCTION("""COMPUTED_VALUE"""),"José Miguel Bonilla")</f>
        <v>José Miguel Bonilla</v>
      </c>
      <c r="C3090" s="15" t="str">
        <f>IFERROR(__xludf.DUMMYFUNCTION("""COMPUTED_VALUE"""),"PIEDECUESTA")</f>
        <v>PIEDECUESTA</v>
      </c>
      <c r="D3090" s="15" t="str">
        <f>IFERROR(__xludf.DUMMYFUNCTION("""COMPUTED_VALUE"""),"BOGOTÁ")</f>
        <v>BOGOTÁ</v>
      </c>
      <c r="E3090" s="15" t="str">
        <f>IFERROR(__xludf.DUMMYFUNCTION("""COMPUTED_VALUE"""),"Evamazzita")</f>
        <v>Evamazzita</v>
      </c>
      <c r="F3090" s="17" t="str">
        <f>IFERROR(__xludf.DUMMYFUNCTION("""COMPUTED_VALUE"""),"CALLE 6N No. 4 - 200  / CASA M11  / CONJUNTO JUNIN 2")</f>
        <v>CALLE 6N No. 4 - 200  / CASA M11  / CONJUNTO JUNIN 2</v>
      </c>
      <c r="G3090" s="15" t="str">
        <f>IFERROR(__xludf.DUMMYFUNCTION("""COMPUTED_VALUE"""),"KATHERINE PABON")</f>
        <v>KATHERINE PABON</v>
      </c>
      <c r="H3090" s="16">
        <f>IFERROR(__xludf.DUMMYFUNCTION("""COMPUTED_VALUE"""),11648.0)</f>
        <v>11648</v>
      </c>
      <c r="I3090" s="18">
        <f>IFERROR(__xludf.DUMMYFUNCTION("""COMPUTED_VALUE"""),3.0)</f>
        <v>3</v>
      </c>
      <c r="J3090" s="18">
        <f>IFERROR(__xludf.DUMMYFUNCTION("""COMPUTED_VALUE"""),20.0)</f>
        <v>20</v>
      </c>
      <c r="K3090" s="18">
        <f>IFERROR(__xludf.DUMMYFUNCTION("""COMPUTED_VALUE"""),15.0)</f>
        <v>15</v>
      </c>
      <c r="L3090" s="17">
        <f>IFERROR(__xludf.DUMMYFUNCTION("""COMPUTED_VALUE"""),3.214757511E9)</f>
        <v>3214757511</v>
      </c>
      <c r="M3090" s="17" t="str">
        <f>IFERROR(__xludf.DUMMYFUNCTION("""COMPUTED_VALUE"""),"#REF!")</f>
        <v>#REF!</v>
      </c>
      <c r="N3090" s="17"/>
      <c r="O3090" s="17"/>
      <c r="P3090" s="17" t="b">
        <f>IFERROR(__xludf.DUMMYFUNCTION("""COMPUTED_VALUE"""),FALSE)</f>
        <v>0</v>
      </c>
      <c r="Q3090" s="20" t="str">
        <f>IFERROR(__xludf.DUMMYFUNCTION("""COMPUTED_VALUE"""),"")</f>
        <v/>
      </c>
      <c r="R3090" s="21" t="str">
        <f>IFERROR(__xludf.DUMMYFUNCTION("""COMPUTED_VALUE"""),"https://drive.google.com/file/d/1KS4ZqhwaTNk73-AtTZwXf5d16MUKngm4/view?usp=drivesdk")</f>
        <v>https://drive.google.com/file/d/1KS4ZqhwaTNk73-AtTZwXf5d16MUKngm4/view?usp=drivesdk</v>
      </c>
    </row>
    <row r="3091">
      <c r="A3091" s="17" t="str">
        <f>IFERROR(__xludf.DUMMYFUNCTION("""COMPUTED_VALUE"""),"")</f>
        <v/>
      </c>
      <c r="B3091" s="17" t="str">
        <f>IFERROR(__xludf.DUMMYFUNCTION("""COMPUTED_VALUE"""),"")</f>
        <v/>
      </c>
      <c r="C3091" s="17" t="str">
        <f>IFERROR(__xludf.DUMMYFUNCTION("""COMPUTED_VALUE"""),"")</f>
        <v/>
      </c>
      <c r="D3091" s="17" t="str">
        <f>IFERROR(__xludf.DUMMYFUNCTION("""COMPUTED_VALUE"""),"")</f>
        <v/>
      </c>
      <c r="E3091" s="17" t="str">
        <f>IFERROR(__xludf.DUMMYFUNCTION("""COMPUTED_VALUE"""),"")</f>
        <v/>
      </c>
      <c r="F3091" s="17" t="str">
        <f>IFERROR(__xludf.DUMMYFUNCTION("""COMPUTED_VALUE"""),"")</f>
        <v/>
      </c>
      <c r="G3091" s="17" t="str">
        <f>IFERROR(__xludf.DUMMYFUNCTION("""COMPUTED_VALUE"""),"")</f>
        <v/>
      </c>
      <c r="H3091" s="17" t="str">
        <f>IFERROR(__xludf.DUMMYFUNCTION("""COMPUTED_VALUE"""),"")</f>
        <v/>
      </c>
      <c r="I3091" s="17" t="str">
        <f>IFERROR(__xludf.DUMMYFUNCTION("""COMPUTED_VALUE"""),"")</f>
        <v/>
      </c>
      <c r="J3091" s="17" t="str">
        <f>IFERROR(__xludf.DUMMYFUNCTION("""COMPUTED_VALUE"""),"")</f>
        <v/>
      </c>
      <c r="K3091" s="17" t="str">
        <f>IFERROR(__xludf.DUMMYFUNCTION("""COMPUTED_VALUE"""),"")</f>
        <v/>
      </c>
      <c r="L3091" s="17" t="str">
        <f>IFERROR(__xludf.DUMMYFUNCTION("""COMPUTED_VALUE"""),"")</f>
        <v/>
      </c>
      <c r="M3091" s="17" t="str">
        <f>IFERROR(__xludf.DUMMYFUNCTION("""COMPUTED_VALUE"""),"")</f>
        <v/>
      </c>
      <c r="N3091" s="17" t="str">
        <f>IFERROR(__xludf.DUMMYFUNCTION("""COMPUTED_VALUE"""),"")</f>
        <v/>
      </c>
      <c r="O3091" s="17" t="str">
        <f>IFERROR(__xludf.DUMMYFUNCTION("""COMPUTED_VALUE"""),"")</f>
        <v/>
      </c>
      <c r="P3091" s="17" t="str">
        <f>IFERROR(__xludf.DUMMYFUNCTION("""COMPUTED_VALUE"""),"")</f>
        <v/>
      </c>
      <c r="Q3091" s="17" t="str">
        <f>IFERROR(__xludf.DUMMYFUNCTION("""COMPUTED_VALUE"""),"")</f>
        <v/>
      </c>
      <c r="R3091" s="17" t="str">
        <f>IFERROR(__xludf.DUMMYFUNCTION("""COMPUTED_VALUE"""),"")</f>
        <v/>
      </c>
    </row>
    <row r="3092">
      <c r="A3092" s="15">
        <f>IFERROR(__xludf.DUMMYFUNCTION("""COMPUTED_VALUE"""),45091.0)</f>
        <v>45091</v>
      </c>
      <c r="B3092" s="16" t="str">
        <f>IFERROR(__xludf.DUMMYFUNCTION("""COMPUTED_VALUE"""),"Oscar Augusto Meneses Osias")</f>
        <v>Oscar Augusto Meneses Osias</v>
      </c>
      <c r="C3092" s="15" t="str">
        <f>IFERROR(__xludf.DUMMYFUNCTION("""COMPUTED_VALUE"""),"MEDELLÍN")</f>
        <v>MEDELLÍN</v>
      </c>
      <c r="D3092" s="15" t="str">
        <f>IFERROR(__xludf.DUMMYFUNCTION("""COMPUTED_VALUE"""),"BOGOTÁ")</f>
        <v>BOGOTÁ</v>
      </c>
      <c r="E3092" s="15" t="str">
        <f>IFERROR(__xludf.DUMMYFUNCTION("""COMPUTED_VALUE"""),"Asociacion Agropecuaria Juana Maria")</f>
        <v>Asociacion Agropecuaria Juana Maria</v>
      </c>
      <c r="F3092" s="17" t="str">
        <f>IFERROR(__xludf.DUMMYFUNCTION("""COMPUTED_VALUE"""),"Carrera 15 BA # 30D-44 int 201")</f>
        <v>Carrera 15 BA # 30D-44 int 201</v>
      </c>
      <c r="G3092" s="15" t="str">
        <f>IFERROR(__xludf.DUMMYFUNCTION("""COMPUTED_VALUE"""),"Daniela Bedoya Blandon")</f>
        <v>Daniela Bedoya Blandon</v>
      </c>
      <c r="H3092" s="16">
        <f>IFERROR(__xludf.DUMMYFUNCTION("""COMPUTED_VALUE"""),11611.0)</f>
        <v>11611</v>
      </c>
      <c r="I3092" s="18">
        <f>IFERROR(__xludf.DUMMYFUNCTION("""COMPUTED_VALUE"""),21.0)</f>
        <v>21</v>
      </c>
      <c r="J3092" s="18">
        <f>IFERROR(__xludf.DUMMYFUNCTION("""COMPUTED_VALUE"""),37.0)</f>
        <v>37</v>
      </c>
      <c r="K3092" s="18">
        <f>IFERROR(__xludf.DUMMYFUNCTION("""COMPUTED_VALUE"""),30.0)</f>
        <v>30</v>
      </c>
      <c r="L3092" s="17">
        <f>IFERROR(__xludf.DUMMYFUNCTION("""COMPUTED_VALUE"""),3.14672822E9)</f>
        <v>3146728220</v>
      </c>
      <c r="M3092" s="17" t="str">
        <f>IFERROR(__xludf.DUMMYFUNCTION("""COMPUTED_VALUE"""),"#REF!")</f>
        <v>#REF!</v>
      </c>
      <c r="N3092" s="17"/>
      <c r="O3092" s="17"/>
      <c r="P3092" s="17" t="b">
        <f>IFERROR(__xludf.DUMMYFUNCTION("""COMPUTED_VALUE"""),FALSE)</f>
        <v>0</v>
      </c>
      <c r="Q3092" s="20" t="str">
        <f>IFERROR(__xludf.DUMMYFUNCTION("""COMPUTED_VALUE"""),"")</f>
        <v/>
      </c>
      <c r="R3092" s="21" t="str">
        <f>IFERROR(__xludf.DUMMYFUNCTION("""COMPUTED_VALUE"""),"https://drive.google.com/file/d/1aHSKpPPYZKXp9LqwxJ04hvF0IhtttI4c/view?usp=drivesdk")</f>
        <v>https://drive.google.com/file/d/1aHSKpPPYZKXp9LqwxJ04hvF0IhtttI4c/view?usp=drivesdk</v>
      </c>
    </row>
    <row r="3093">
      <c r="A3093" s="15">
        <f>IFERROR(__xludf.DUMMYFUNCTION("""COMPUTED_VALUE"""),45091.0)</f>
        <v>45091</v>
      </c>
      <c r="B3093" s="16" t="str">
        <f>IFERROR(__xludf.DUMMYFUNCTION("""COMPUTED_VALUE"""),"Oscar Augusto Meneses Osias")</f>
        <v>Oscar Augusto Meneses Osias</v>
      </c>
      <c r="C3093" s="15" t="str">
        <f>IFERROR(__xludf.DUMMYFUNCTION("""COMPUTED_VALUE"""),"MEDELLÍN")</f>
        <v>MEDELLÍN</v>
      </c>
      <c r="D3093" s="15" t="str">
        <f>IFERROR(__xludf.DUMMYFUNCTION("""COMPUTED_VALUE"""),"BOGOTÁ")</f>
        <v>BOGOTÁ</v>
      </c>
      <c r="E3093" s="15" t="str">
        <f>IFERROR(__xludf.DUMMYFUNCTION("""COMPUTED_VALUE"""),"Asociacion Agropecuaria Juana Maria")</f>
        <v>Asociacion Agropecuaria Juana Maria</v>
      </c>
      <c r="F3093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3093" s="15" t="str">
        <f>IFERROR(__xludf.DUMMYFUNCTION("""COMPUTED_VALUE"""),"Jennifer Sanchez Blandon")</f>
        <v>Jennifer Sanchez Blandon</v>
      </c>
      <c r="H3093" s="16">
        <f>IFERROR(__xludf.DUMMYFUNCTION("""COMPUTED_VALUE"""),11605.0)</f>
        <v>11605</v>
      </c>
      <c r="I3093" s="18">
        <f>IFERROR(__xludf.DUMMYFUNCTION("""COMPUTED_VALUE"""),21.0)</f>
        <v>21</v>
      </c>
      <c r="J3093" s="18">
        <f>IFERROR(__xludf.DUMMYFUNCTION("""COMPUTED_VALUE"""),37.0)</f>
        <v>37</v>
      </c>
      <c r="K3093" s="18">
        <f>IFERROR(__xludf.DUMMYFUNCTION("""COMPUTED_VALUE"""),30.0)</f>
        <v>30</v>
      </c>
      <c r="L3093" s="17">
        <f>IFERROR(__xludf.DUMMYFUNCTION("""COMPUTED_VALUE"""),3.016937674E9)</f>
        <v>3016937674</v>
      </c>
      <c r="M3093" s="17" t="str">
        <f>IFERROR(__xludf.DUMMYFUNCTION("""COMPUTED_VALUE"""),"#REF!")</f>
        <v>#REF!</v>
      </c>
      <c r="N3093" s="17"/>
      <c r="O3093" s="17"/>
      <c r="P3093" s="17" t="b">
        <f>IFERROR(__xludf.DUMMYFUNCTION("""COMPUTED_VALUE"""),FALSE)</f>
        <v>0</v>
      </c>
      <c r="Q3093" s="20" t="str">
        <f>IFERROR(__xludf.DUMMYFUNCTION("""COMPUTED_VALUE"""),"")</f>
        <v/>
      </c>
      <c r="R3093" s="21" t="str">
        <f>IFERROR(__xludf.DUMMYFUNCTION("""COMPUTED_VALUE"""),"https://drive.google.com/file/d/1pM0VNf4Z978dm87KcNornrqfzn1ZoH9b/view?usp=drivesdk")</f>
        <v>https://drive.google.com/file/d/1pM0VNf4Z978dm87KcNornrqfzn1ZoH9b/view?usp=drivesdk</v>
      </c>
    </row>
    <row r="3094">
      <c r="A3094" s="15">
        <f>IFERROR(__xludf.DUMMYFUNCTION("""COMPUTED_VALUE"""),45091.0)</f>
        <v>45091</v>
      </c>
      <c r="B3094" s="16" t="str">
        <f>IFERROR(__xludf.DUMMYFUNCTION("""COMPUTED_VALUE"""),"Oscar Augusto Meneses Osias")</f>
        <v>Oscar Augusto Meneses Osias</v>
      </c>
      <c r="C3094" s="15" t="str">
        <f>IFERROR(__xludf.DUMMYFUNCTION("""COMPUTED_VALUE"""),"MEDELLÍN")</f>
        <v>MEDELLÍN</v>
      </c>
      <c r="D3094" s="15" t="str">
        <f>IFERROR(__xludf.DUMMYFUNCTION("""COMPUTED_VALUE"""),"BOGOTÁ")</f>
        <v>BOGOTÁ</v>
      </c>
      <c r="E3094" s="15" t="str">
        <f>IFERROR(__xludf.DUMMYFUNCTION("""COMPUTED_VALUE"""),"Asociacion Agropecuaria Juana Maria")</f>
        <v>Asociacion Agropecuaria Juana Maria</v>
      </c>
      <c r="F3094" s="17" t="str">
        <f>IFERROR(__xludf.DUMMYFUNCTION("""COMPUTED_VALUE"""),"Diagonal 42EC #36A-74 barrio la Calima Bello antioquia")</f>
        <v>Diagonal 42EC #36A-74 barrio la Calima Bello antioquia</v>
      </c>
      <c r="G3094" s="15" t="str">
        <f>IFERROR(__xludf.DUMMYFUNCTION("""COMPUTED_VALUE"""),"Francy Bibiana Davila")</f>
        <v>Francy Bibiana Davila</v>
      </c>
      <c r="H3094" s="16">
        <f>IFERROR(__xludf.DUMMYFUNCTION("""COMPUTED_VALUE"""),11610.0)</f>
        <v>11610</v>
      </c>
      <c r="I3094" s="18">
        <f>IFERROR(__xludf.DUMMYFUNCTION("""COMPUTED_VALUE"""),12.0)</f>
        <v>12</v>
      </c>
      <c r="J3094" s="18">
        <f>IFERROR(__xludf.DUMMYFUNCTION("""COMPUTED_VALUE"""),37.0)</f>
        <v>37</v>
      </c>
      <c r="K3094" s="18">
        <f>IFERROR(__xludf.DUMMYFUNCTION("""COMPUTED_VALUE"""),24.0)</f>
        <v>24</v>
      </c>
      <c r="L3094" s="17">
        <f>IFERROR(__xludf.DUMMYFUNCTION("""COMPUTED_VALUE"""),3.145488107E9)</f>
        <v>3145488107</v>
      </c>
      <c r="M3094" s="17" t="str">
        <f>IFERROR(__xludf.DUMMYFUNCTION("""COMPUTED_VALUE"""),"#REF!")</f>
        <v>#REF!</v>
      </c>
      <c r="N3094" s="17"/>
      <c r="O3094" s="17"/>
      <c r="P3094" s="17" t="b">
        <f>IFERROR(__xludf.DUMMYFUNCTION("""COMPUTED_VALUE"""),FALSE)</f>
        <v>0</v>
      </c>
      <c r="Q3094" s="20" t="str">
        <f>IFERROR(__xludf.DUMMYFUNCTION("""COMPUTED_VALUE"""),"")</f>
        <v/>
      </c>
      <c r="R3094" s="22" t="str">
        <f>IFERROR(__xludf.DUMMYFUNCTION("""COMPUTED_VALUE"""),"")</f>
        <v/>
      </c>
    </row>
    <row r="3095">
      <c r="A3095" s="15">
        <f>IFERROR(__xludf.DUMMYFUNCTION("""COMPUTED_VALUE"""),45091.0)</f>
        <v>45091</v>
      </c>
      <c r="B3095" s="16" t="str">
        <f>IFERROR(__xludf.DUMMYFUNCTION("""COMPUTED_VALUE"""),"Oscar Augusto Meneses Osias")</f>
        <v>Oscar Augusto Meneses Osias</v>
      </c>
      <c r="C3095" s="15" t="str">
        <f>IFERROR(__xludf.DUMMYFUNCTION("""COMPUTED_VALUE"""),"MEDELLÍN")</f>
        <v>MEDELLÍN</v>
      </c>
      <c r="D3095" s="15" t="str">
        <f>IFERROR(__xludf.DUMMYFUNCTION("""COMPUTED_VALUE"""),"BOGOTÁ")</f>
        <v>BOGOTÁ</v>
      </c>
      <c r="E3095" s="15" t="str">
        <f>IFERROR(__xludf.DUMMYFUNCTION("""COMPUTED_VALUE"""),"Bendita Carne")</f>
        <v>Bendita Carne</v>
      </c>
      <c r="F3095" s="17" t="str">
        <f>IFERROR(__xludf.DUMMYFUNCTION("""COMPUTED_VALUE"""),"carrera 42 #60 Sur 60  / casa 218 / Urb. Campo Amalia,")</f>
        <v>carrera 42 #60 Sur 60  / casa 218 / Urb. Campo Amalia,</v>
      </c>
      <c r="G3095" s="15" t="str">
        <f>IFERROR(__xludf.DUMMYFUNCTION("""COMPUTED_VALUE"""),"Nicolas Cano")</f>
        <v>Nicolas Cano</v>
      </c>
      <c r="H3095" s="16">
        <f>IFERROR(__xludf.DUMMYFUNCTION("""COMPUTED_VALUE"""),11594.0)</f>
        <v>11594</v>
      </c>
      <c r="I3095" s="18">
        <f>IFERROR(__xludf.DUMMYFUNCTION("""COMPUTED_VALUE"""),41.0)</f>
        <v>41</v>
      </c>
      <c r="J3095" s="18">
        <f>IFERROR(__xludf.DUMMYFUNCTION("""COMPUTED_VALUE"""),45061.0)</f>
        <v>45061</v>
      </c>
      <c r="K3095" s="18">
        <f>IFERROR(__xludf.DUMMYFUNCTION("""COMPUTED_VALUE"""),45076.0)</f>
        <v>45076</v>
      </c>
      <c r="L3095" s="17">
        <f>IFERROR(__xludf.DUMMYFUNCTION("""COMPUTED_VALUE"""),3.007561252E9)</f>
        <v>3007561252</v>
      </c>
      <c r="M3095" s="17" t="str">
        <f>IFERROR(__xludf.DUMMYFUNCTION("""COMPUTED_VALUE"""),"#REF!")</f>
        <v>#REF!</v>
      </c>
      <c r="N3095" s="17"/>
      <c r="O3095" s="17"/>
      <c r="P3095" s="17" t="b">
        <f>IFERROR(__xludf.DUMMYFUNCTION("""COMPUTED_VALUE"""),FALSE)</f>
        <v>0</v>
      </c>
      <c r="Q3095" s="20" t="str">
        <f>IFERROR(__xludf.DUMMYFUNCTION("""COMPUTED_VALUE"""),"")</f>
        <v/>
      </c>
      <c r="R3095" s="21" t="str">
        <f>IFERROR(__xludf.DUMMYFUNCTION("""COMPUTED_VALUE"""),"https://drive.google.com/file/d/1EkkQvPxgZJCZA05VnpHe50a0mhXKN5VP/view?usp=drivesdk")</f>
        <v>https://drive.google.com/file/d/1EkkQvPxgZJCZA05VnpHe50a0mhXKN5VP/view?usp=drivesdk</v>
      </c>
    </row>
    <row r="3096">
      <c r="A3096" s="15">
        <f>IFERROR(__xludf.DUMMYFUNCTION("""COMPUTED_VALUE"""),45091.0)</f>
        <v>45091</v>
      </c>
      <c r="B3096" s="16" t="str">
        <f>IFERROR(__xludf.DUMMYFUNCTION("""COMPUTED_VALUE"""),"Oscar Augusto Meneses Osias")</f>
        <v>Oscar Augusto Meneses Osias</v>
      </c>
      <c r="C3096" s="15" t="str">
        <f>IFERROR(__xludf.DUMMYFUNCTION("""COMPUTED_VALUE"""),"MEDELLÍN")</f>
        <v>MEDELLÍN</v>
      </c>
      <c r="D3096" s="15" t="str">
        <f>IFERROR(__xludf.DUMMYFUNCTION("""COMPUTED_VALUE"""),"BOGOTÁ")</f>
        <v>BOGOTÁ</v>
      </c>
      <c r="E3096" s="15" t="str">
        <f>IFERROR(__xludf.DUMMYFUNCTION("""COMPUTED_VALUE"""),"Evamazzita")</f>
        <v>Evamazzita</v>
      </c>
      <c r="F3096" s="17" t="str">
        <f>IFERROR(__xludf.DUMMYFUNCTION("""COMPUTED_VALUE"""),"Av 35b #64-76  / niquia quitasol / BELLO")</f>
        <v>Av 35b #64-76  / niquia quitasol / BELLO</v>
      </c>
      <c r="G3096" s="15" t="str">
        <f>IFERROR(__xludf.DUMMYFUNCTION("""COMPUTED_VALUE"""),"GLORIA VANESSA GUISAO OBANDO")</f>
        <v>GLORIA VANESSA GUISAO OBANDO</v>
      </c>
      <c r="H3096" s="16">
        <f>IFERROR(__xludf.DUMMYFUNCTION("""COMPUTED_VALUE"""),11636.0)</f>
        <v>11636</v>
      </c>
      <c r="I3096" s="18">
        <f>IFERROR(__xludf.DUMMYFUNCTION("""COMPUTED_VALUE"""),3.0)</f>
        <v>3</v>
      </c>
      <c r="J3096" s="18">
        <f>IFERROR(__xludf.DUMMYFUNCTION("""COMPUTED_VALUE"""),20.0)</f>
        <v>20</v>
      </c>
      <c r="K3096" s="18">
        <f>IFERROR(__xludf.DUMMYFUNCTION("""COMPUTED_VALUE"""),15.0)</f>
        <v>15</v>
      </c>
      <c r="L3096" s="17">
        <f>IFERROR(__xludf.DUMMYFUNCTION("""COMPUTED_VALUE"""),3.11621858E9)</f>
        <v>3116218580</v>
      </c>
      <c r="M3096" s="17" t="str">
        <f>IFERROR(__xludf.DUMMYFUNCTION("""COMPUTED_VALUE"""),"#REF!")</f>
        <v>#REF!</v>
      </c>
      <c r="N3096" s="17"/>
      <c r="O3096" s="17"/>
      <c r="P3096" s="17" t="b">
        <f>IFERROR(__xludf.DUMMYFUNCTION("""COMPUTED_VALUE"""),FALSE)</f>
        <v>0</v>
      </c>
      <c r="Q3096" s="20" t="str">
        <f>IFERROR(__xludf.DUMMYFUNCTION("""COMPUTED_VALUE"""),"")</f>
        <v/>
      </c>
      <c r="R3096" s="21" t="str">
        <f>IFERROR(__xludf.DUMMYFUNCTION("""COMPUTED_VALUE"""),"https://drive.google.com/file/d/1CWYhluUORfvY3WtOV_I853Vrrr8iadpg/view?usp=drivesdk")</f>
        <v>https://drive.google.com/file/d/1CWYhluUORfvY3WtOV_I853Vrrr8iadpg/view?usp=drivesdk</v>
      </c>
    </row>
    <row r="3097">
      <c r="A3097" s="15">
        <f>IFERROR(__xludf.DUMMYFUNCTION("""COMPUTED_VALUE"""),45091.0)</f>
        <v>45091</v>
      </c>
      <c r="B3097" s="16" t="str">
        <f>IFERROR(__xludf.DUMMYFUNCTION("""COMPUTED_VALUE"""),"Oscar Augusto Meneses Osias")</f>
        <v>Oscar Augusto Meneses Osias</v>
      </c>
      <c r="C3097" s="15" t="str">
        <f>IFERROR(__xludf.DUMMYFUNCTION("""COMPUTED_VALUE"""),"MEDELLÍN")</f>
        <v>MEDELLÍN</v>
      </c>
      <c r="D3097" s="15" t="str">
        <f>IFERROR(__xludf.DUMMYFUNCTION("""COMPUTED_VALUE"""),"BOGOTÁ")</f>
        <v>BOGOTÁ</v>
      </c>
      <c r="E3097" s="15" t="str">
        <f>IFERROR(__xludf.DUMMYFUNCTION("""COMPUTED_VALUE"""),"Evamazzita")</f>
        <v>Evamazzita</v>
      </c>
      <c r="F3097" s="17" t="str">
        <f>IFERROR(__xludf.DUMMYFUNCTION("""COMPUTED_VALUE"""),"CALLE 36 # 50 - 17  / PISO 1  / BARRIO BUENOS AIRES")</f>
        <v>CALLE 36 # 50 - 17  / PISO 1  / BARRIO BUENOS AIRES</v>
      </c>
      <c r="G3097" s="15" t="str">
        <f>IFERROR(__xludf.DUMMYFUNCTION("""COMPUTED_VALUE"""),"MERLYS PATRICIA HERNANDEZ GUEVARA")</f>
        <v>MERLYS PATRICIA HERNANDEZ GUEVARA</v>
      </c>
      <c r="H3097" s="16">
        <f>IFERROR(__xludf.DUMMYFUNCTION("""COMPUTED_VALUE"""),11639.0)</f>
        <v>11639</v>
      </c>
      <c r="I3097" s="18">
        <f>IFERROR(__xludf.DUMMYFUNCTION("""COMPUTED_VALUE"""),3.0)</f>
        <v>3</v>
      </c>
      <c r="J3097" s="18">
        <f>IFERROR(__xludf.DUMMYFUNCTION("""COMPUTED_VALUE"""),20.0)</f>
        <v>20</v>
      </c>
      <c r="K3097" s="18">
        <f>IFERROR(__xludf.DUMMYFUNCTION("""COMPUTED_VALUE"""),15.0)</f>
        <v>15</v>
      </c>
      <c r="L3097" s="17">
        <f>IFERROR(__xludf.DUMMYFUNCTION("""COMPUTED_VALUE"""),3.106816856E9)</f>
        <v>3106816856</v>
      </c>
      <c r="M3097" s="17" t="str">
        <f>IFERROR(__xludf.DUMMYFUNCTION("""COMPUTED_VALUE"""),"#REF!")</f>
        <v>#REF!</v>
      </c>
      <c r="N3097" s="17"/>
      <c r="O3097" s="17"/>
      <c r="P3097" s="17" t="b">
        <f>IFERROR(__xludf.DUMMYFUNCTION("""COMPUTED_VALUE"""),FALSE)</f>
        <v>0</v>
      </c>
      <c r="Q3097" s="20" t="str">
        <f>IFERROR(__xludf.DUMMYFUNCTION("""COMPUTED_VALUE"""),"")</f>
        <v/>
      </c>
      <c r="R3097" s="21" t="str">
        <f>IFERROR(__xludf.DUMMYFUNCTION("""COMPUTED_VALUE"""),"https://drive.google.com/file/d/1uCcE6t71UtFTS_aPeW7Y1uUtbdKcf71O/view?usp=drivesdk")</f>
        <v>https://drive.google.com/file/d/1uCcE6t71UtFTS_aPeW7Y1uUtbdKcf71O/view?usp=drivesdk</v>
      </c>
    </row>
    <row r="3098">
      <c r="A3098" s="15">
        <f>IFERROR(__xludf.DUMMYFUNCTION("""COMPUTED_VALUE"""),45091.0)</f>
        <v>45091</v>
      </c>
      <c r="B3098" s="16" t="str">
        <f>IFERROR(__xludf.DUMMYFUNCTION("""COMPUTED_VALUE"""),"Oscar Augusto Meneses Osias")</f>
        <v>Oscar Augusto Meneses Osias</v>
      </c>
      <c r="C3098" s="15" t="str">
        <f>IFERROR(__xludf.DUMMYFUNCTION("""COMPUTED_VALUE"""),"MEDELLÍN")</f>
        <v>MEDELLÍN</v>
      </c>
      <c r="D3098" s="15" t="str">
        <f>IFERROR(__xludf.DUMMYFUNCTION("""COMPUTED_VALUE"""),"BOGOTÁ")</f>
        <v>BOGOTÁ</v>
      </c>
      <c r="E3098" s="15" t="str">
        <f>IFERROR(__xludf.DUMMYFUNCTION("""COMPUTED_VALUE"""),"Evamazzita")</f>
        <v>Evamazzita</v>
      </c>
      <c r="F3098" s="17" t="str">
        <f>IFERROR(__xludf.DUMMYFUNCTION("""COMPUTED_VALUE"""),"CARRERA 59 # 27 B - 387  / URBANIZACIÓN BOAVISTA APTO 1614  / BELLO - CABAÑAS")</f>
        <v>CARRERA 59 # 27 B - 387  / URBANIZACIÓN BOAVISTA APTO 1614  / BELLO - CABAÑAS</v>
      </c>
      <c r="G3098" s="15" t="str">
        <f>IFERROR(__xludf.DUMMYFUNCTION("""COMPUTED_VALUE"""),"LAURA PERDOMO ANGEL")</f>
        <v>LAURA PERDOMO ANGEL</v>
      </c>
      <c r="H3098" s="16">
        <f>IFERROR(__xludf.DUMMYFUNCTION("""COMPUTED_VALUE"""),11635.0)</f>
        <v>11635</v>
      </c>
      <c r="I3098" s="18">
        <f>IFERROR(__xludf.DUMMYFUNCTION("""COMPUTED_VALUE"""),3.0)</f>
        <v>3</v>
      </c>
      <c r="J3098" s="18">
        <f>IFERROR(__xludf.DUMMYFUNCTION("""COMPUTED_VALUE"""),20.0)</f>
        <v>20</v>
      </c>
      <c r="K3098" s="18">
        <f>IFERROR(__xludf.DUMMYFUNCTION("""COMPUTED_VALUE"""),15.0)</f>
        <v>15</v>
      </c>
      <c r="L3098" s="17">
        <f>IFERROR(__xludf.DUMMYFUNCTION("""COMPUTED_VALUE"""),3.207007904E9)</f>
        <v>3207007904</v>
      </c>
      <c r="M3098" s="17" t="str">
        <f>IFERROR(__xludf.DUMMYFUNCTION("""COMPUTED_VALUE"""),"#REF!")</f>
        <v>#REF!</v>
      </c>
      <c r="N3098" s="17"/>
      <c r="O3098" s="17"/>
      <c r="P3098" s="17" t="b">
        <f>IFERROR(__xludf.DUMMYFUNCTION("""COMPUTED_VALUE"""),FALSE)</f>
        <v>0</v>
      </c>
      <c r="Q3098" s="20" t="str">
        <f>IFERROR(__xludf.DUMMYFUNCTION("""COMPUTED_VALUE"""),"")</f>
        <v/>
      </c>
      <c r="R3098" s="21" t="str">
        <f>IFERROR(__xludf.DUMMYFUNCTION("""COMPUTED_VALUE"""),"https://drive.google.com/file/d/1hYahoG7aY_gMruo7MWEdmwmyTK9F6UTL/view?usp=drivesdk")</f>
        <v>https://drive.google.com/file/d/1hYahoG7aY_gMruo7MWEdmwmyTK9F6UTL/view?usp=drivesdk</v>
      </c>
    </row>
    <row r="3099">
      <c r="A3099" s="15">
        <f>IFERROR(__xludf.DUMMYFUNCTION("""COMPUTED_VALUE"""),45091.0)</f>
        <v>45091</v>
      </c>
      <c r="B3099" s="16" t="str">
        <f>IFERROR(__xludf.DUMMYFUNCTION("""COMPUTED_VALUE"""),"Oscar Augusto Meneses Osias")</f>
        <v>Oscar Augusto Meneses Osias</v>
      </c>
      <c r="C3099" s="15" t="str">
        <f>IFERROR(__xludf.DUMMYFUNCTION("""COMPUTED_VALUE"""),"MEDELLÍN")</f>
        <v>MEDELLÍN</v>
      </c>
      <c r="D3099" s="15" t="str">
        <f>IFERROR(__xludf.DUMMYFUNCTION("""COMPUTED_VALUE"""),"BOGOTÁ")</f>
        <v>BOGOTÁ</v>
      </c>
      <c r="E3099" s="15" t="str">
        <f>IFERROR(__xludf.DUMMYFUNCTION("""COMPUTED_VALUE"""),"Evamazzita")</f>
        <v>Evamazzita</v>
      </c>
      <c r="F3099" s="17" t="str">
        <f>IFERROR(__xludf.DUMMYFUNCTION("""COMPUTED_VALUE"""),"CRA 15 BA No. 34D- 44  / INT 201  / BUENOS AIRES")</f>
        <v>CRA 15 BA No. 34D- 44  / INT 201  / BUENOS AIRES</v>
      </c>
      <c r="G3099" s="15" t="str">
        <f>IFERROR(__xludf.DUMMYFUNCTION("""COMPUTED_VALUE"""),"DANIELA BEDOYA BLANDON")</f>
        <v>DANIELA BEDOYA BLANDON</v>
      </c>
      <c r="H3099" s="16">
        <f>IFERROR(__xludf.DUMMYFUNCTION("""COMPUTED_VALUE"""),11632.0)</f>
        <v>11632</v>
      </c>
      <c r="I3099" s="18">
        <f>IFERROR(__xludf.DUMMYFUNCTION("""COMPUTED_VALUE"""),30.0)</f>
        <v>30</v>
      </c>
      <c r="J3099" s="18">
        <f>IFERROR(__xludf.DUMMYFUNCTION("""COMPUTED_VALUE"""),37.0)</f>
        <v>37</v>
      </c>
      <c r="K3099" s="18">
        <f>IFERROR(__xludf.DUMMYFUNCTION("""COMPUTED_VALUE"""),24.0)</f>
        <v>24</v>
      </c>
      <c r="L3099" s="17">
        <f>IFERROR(__xludf.DUMMYFUNCTION("""COMPUTED_VALUE"""),3.14672822E9)</f>
        <v>3146728220</v>
      </c>
      <c r="M3099" s="17" t="str">
        <f>IFERROR(__xludf.DUMMYFUNCTION("""COMPUTED_VALUE"""),"#REF!")</f>
        <v>#REF!</v>
      </c>
      <c r="N3099" s="17"/>
      <c r="O3099" s="17"/>
      <c r="P3099" s="17" t="b">
        <f>IFERROR(__xludf.DUMMYFUNCTION("""COMPUTED_VALUE"""),FALSE)</f>
        <v>0</v>
      </c>
      <c r="Q3099" s="20" t="str">
        <f>IFERROR(__xludf.DUMMYFUNCTION("""COMPUTED_VALUE"""),"")</f>
        <v/>
      </c>
      <c r="R3099" s="21" t="str">
        <f>IFERROR(__xludf.DUMMYFUNCTION("""COMPUTED_VALUE"""),"https://drive.google.com/file/d/1ombuKhOWXEDQUZKPzsHWgagPfAeSuPtt/view?usp=drivesdk")</f>
        <v>https://drive.google.com/file/d/1ombuKhOWXEDQUZKPzsHWgagPfAeSuPtt/view?usp=drivesdk</v>
      </c>
    </row>
    <row r="3100">
      <c r="A3100" s="15">
        <f>IFERROR(__xludf.DUMMYFUNCTION("""COMPUTED_VALUE"""),45091.0)</f>
        <v>45091</v>
      </c>
      <c r="B3100" s="16" t="str">
        <f>IFERROR(__xludf.DUMMYFUNCTION("""COMPUTED_VALUE"""),"Oscar Augusto Meneses Osias")</f>
        <v>Oscar Augusto Meneses Osias</v>
      </c>
      <c r="C3100" s="15" t="str">
        <f>IFERROR(__xludf.DUMMYFUNCTION("""COMPUTED_VALUE"""),"MEDELLÍN")</f>
        <v>MEDELLÍN</v>
      </c>
      <c r="D3100" s="15" t="str">
        <f>IFERROR(__xludf.DUMMYFUNCTION("""COMPUTED_VALUE"""),"BOGOTÁ")</f>
        <v>BOGOTÁ</v>
      </c>
      <c r="E3100" s="15" t="str">
        <f>IFERROR(__xludf.DUMMYFUNCTION("""COMPUTED_VALUE"""),"Evamazzita")</f>
        <v>Evamazzita</v>
      </c>
      <c r="F3100" s="17" t="str">
        <f>IFERROR(__xludf.DUMMYFUNCTION("""COMPUTED_VALUE"""),"CRA 32 No. 38B - 02  / N/A / BARRIO SALVADOR")</f>
        <v>CRA 32 No. 38B - 02  / N/A / BARRIO SALVADOR</v>
      </c>
      <c r="G3100" s="15" t="str">
        <f>IFERROR(__xludf.DUMMYFUNCTION("""COMPUTED_VALUE"""),"DANIELA MEJIA")</f>
        <v>DANIELA MEJIA</v>
      </c>
      <c r="H3100" s="16">
        <f>IFERROR(__xludf.DUMMYFUNCTION("""COMPUTED_VALUE"""),11645.0)</f>
        <v>11645</v>
      </c>
      <c r="I3100" s="18">
        <f>IFERROR(__xludf.DUMMYFUNCTION("""COMPUTED_VALUE"""),10.0)</f>
        <v>10</v>
      </c>
      <c r="J3100" s="18">
        <f>IFERROR(__xludf.DUMMYFUNCTION("""COMPUTED_VALUE"""),18.0)</f>
        <v>18</v>
      </c>
      <c r="K3100" s="18">
        <f>IFERROR(__xludf.DUMMYFUNCTION("""COMPUTED_VALUE"""),22.0)</f>
        <v>22</v>
      </c>
      <c r="L3100" s="17">
        <f>IFERROR(__xludf.DUMMYFUNCTION("""COMPUTED_VALUE"""),3.044418425E9)</f>
        <v>3044418425</v>
      </c>
      <c r="M3100" s="17" t="str">
        <f>IFERROR(__xludf.DUMMYFUNCTION("""COMPUTED_VALUE"""),"#REF!")</f>
        <v>#REF!</v>
      </c>
      <c r="N3100" s="17"/>
      <c r="O3100" s="17"/>
      <c r="P3100" s="17" t="b">
        <f>IFERROR(__xludf.DUMMYFUNCTION("""COMPUTED_VALUE"""),FALSE)</f>
        <v>0</v>
      </c>
      <c r="Q3100" s="20" t="str">
        <f>IFERROR(__xludf.DUMMYFUNCTION("""COMPUTED_VALUE"""),"")</f>
        <v/>
      </c>
      <c r="R3100" s="21" t="str">
        <f>IFERROR(__xludf.DUMMYFUNCTION("""COMPUTED_VALUE"""),"https://drive.google.com/file/d/1ShtS7CKifaRHn8gzcRv36yeLHn9p1hnQ/view?usp=drivesdk")</f>
        <v>https://drive.google.com/file/d/1ShtS7CKifaRHn8gzcRv36yeLHn9p1hnQ/view?usp=drivesdk</v>
      </c>
    </row>
    <row r="3101">
      <c r="A3101" s="15">
        <f>IFERROR(__xludf.DUMMYFUNCTION("""COMPUTED_VALUE"""),45091.0)</f>
        <v>45091</v>
      </c>
      <c r="B3101" s="16" t="str">
        <f>IFERROR(__xludf.DUMMYFUNCTION("""COMPUTED_VALUE"""),"Oscar Augusto Meneses Osias")</f>
        <v>Oscar Augusto Meneses Osias</v>
      </c>
      <c r="C3101" s="15" t="str">
        <f>IFERROR(__xludf.DUMMYFUNCTION("""COMPUTED_VALUE"""),"MEDELLÍN")</f>
        <v>MEDELLÍN</v>
      </c>
      <c r="D3101" s="15" t="str">
        <f>IFERROR(__xludf.DUMMYFUNCTION("""COMPUTED_VALUE"""),"BOGOTÁ")</f>
        <v>BOGOTÁ</v>
      </c>
      <c r="E3101" s="15" t="str">
        <f>IFERROR(__xludf.DUMMYFUNCTION("""COMPUTED_VALUE"""),"Evamazzita")</f>
        <v>Evamazzita</v>
      </c>
      <c r="F3101" s="17" t="str">
        <f>IFERROR(__xludf.DUMMYFUNCTION("""COMPUTED_VALUE"""),"TRANSV 34DD SUR No. 30A - 22  / APTO 201 Y 301 CASA    /  ENVIGADO - BARRIO MANUEL URIBE ANGEL")</f>
        <v>TRANSV 34DD SUR No. 30A - 22  / APTO 201 Y 301 CASA    /  ENVIGADO - BARRIO MANUEL URIBE ANGEL</v>
      </c>
      <c r="G3101" s="15" t="str">
        <f>IFERROR(__xludf.DUMMYFUNCTION("""COMPUTED_VALUE"""),"MARLEN LONDOÑO CIFUENTES")</f>
        <v>MARLEN LONDOÑO CIFUENTES</v>
      </c>
      <c r="H3101" s="16">
        <f>IFERROR(__xludf.DUMMYFUNCTION("""COMPUTED_VALUE"""),11638.0)</f>
        <v>11638</v>
      </c>
      <c r="I3101" s="18">
        <f>IFERROR(__xludf.DUMMYFUNCTION("""COMPUTED_VALUE"""),3.0)</f>
        <v>3</v>
      </c>
      <c r="J3101" s="18">
        <f>IFERROR(__xludf.DUMMYFUNCTION("""COMPUTED_VALUE"""),20.0)</f>
        <v>20</v>
      </c>
      <c r="K3101" s="18">
        <f>IFERROR(__xludf.DUMMYFUNCTION("""COMPUTED_VALUE"""),15.0)</f>
        <v>15</v>
      </c>
      <c r="L3101" s="17">
        <f>IFERROR(__xludf.DUMMYFUNCTION("""COMPUTED_VALUE"""),3.156672207E9)</f>
        <v>3156672207</v>
      </c>
      <c r="M3101" s="17" t="str">
        <f>IFERROR(__xludf.DUMMYFUNCTION("""COMPUTED_VALUE"""),"#REF!")</f>
        <v>#REF!</v>
      </c>
      <c r="N3101" s="17"/>
      <c r="O3101" s="17"/>
      <c r="P3101" s="17" t="b">
        <f>IFERROR(__xludf.DUMMYFUNCTION("""COMPUTED_VALUE"""),FALSE)</f>
        <v>0</v>
      </c>
      <c r="Q3101" s="20" t="str">
        <f>IFERROR(__xludf.DUMMYFUNCTION("""COMPUTED_VALUE"""),"")</f>
        <v/>
      </c>
      <c r="R3101" s="21" t="str">
        <f>IFERROR(__xludf.DUMMYFUNCTION("""COMPUTED_VALUE"""),"https://drive.google.com/file/d/1zHOBmrh4DdNfd40H96Np2C-enyM02AZG/view?usp=drivesdk")</f>
        <v>https://drive.google.com/file/d/1zHOBmrh4DdNfd40H96Np2C-enyM02AZG/view?usp=drivesdk</v>
      </c>
    </row>
    <row r="3102">
      <c r="A3102" s="15">
        <f>IFERROR(__xludf.DUMMYFUNCTION("""COMPUTED_VALUE"""),45091.0)</f>
        <v>45091</v>
      </c>
      <c r="B3102" s="16" t="str">
        <f>IFERROR(__xludf.DUMMYFUNCTION("""COMPUTED_VALUE"""),"Oscar Augusto Meneses Osias")</f>
        <v>Oscar Augusto Meneses Osias</v>
      </c>
      <c r="C3102" s="15" t="str">
        <f>IFERROR(__xludf.DUMMYFUNCTION("""COMPUTED_VALUE"""),"MEDELLÍN")</f>
        <v>MEDELLÍN</v>
      </c>
      <c r="D3102" s="15" t="str">
        <f>IFERROR(__xludf.DUMMYFUNCTION("""COMPUTED_VALUE"""),"BOGOTÁ")</f>
        <v>BOGOTÁ</v>
      </c>
      <c r="E3102" s="15" t="str">
        <f>IFERROR(__xludf.DUMMYFUNCTION("""COMPUTED_VALUE"""),"Evamazzita")</f>
        <v>Evamazzita</v>
      </c>
      <c r="F3102" s="17" t="str">
        <f>IFERROR(__xludf.DUMMYFUNCTION("""COMPUTED_VALUE"""),"TRANSVERSAL 53 A # 65 - 70  / EDIFICIO MADRID APTO. 601  / BARRIO CARLOS E RESTREPO")</f>
        <v>TRANSVERSAL 53 A # 65 - 70  / EDIFICIO MADRID APTO. 601  / BARRIO CARLOS E RESTREPO</v>
      </c>
      <c r="G3102" s="15" t="str">
        <f>IFERROR(__xludf.DUMMYFUNCTION("""COMPUTED_VALUE"""),"JOHANNA ISABEL TRUJILLO QUINTERO")</f>
        <v>JOHANNA ISABEL TRUJILLO QUINTERO</v>
      </c>
      <c r="H3102" s="16">
        <f>IFERROR(__xludf.DUMMYFUNCTION("""COMPUTED_VALUE"""),11644.0)</f>
        <v>11644</v>
      </c>
      <c r="I3102" s="18">
        <f>IFERROR(__xludf.DUMMYFUNCTION("""COMPUTED_VALUE"""),10.0)</f>
        <v>10</v>
      </c>
      <c r="J3102" s="18">
        <f>IFERROR(__xludf.DUMMYFUNCTION("""COMPUTED_VALUE"""),18.0)</f>
        <v>18</v>
      </c>
      <c r="K3102" s="18">
        <f>IFERROR(__xludf.DUMMYFUNCTION("""COMPUTED_VALUE"""),22.0)</f>
        <v>22</v>
      </c>
      <c r="L3102" s="17">
        <f>IFERROR(__xludf.DUMMYFUNCTION("""COMPUTED_VALUE"""),3.003034627E9)</f>
        <v>3003034627</v>
      </c>
      <c r="M3102" s="17" t="str">
        <f>IFERROR(__xludf.DUMMYFUNCTION("""COMPUTED_VALUE"""),"#REF!")</f>
        <v>#REF!</v>
      </c>
      <c r="N3102" s="17"/>
      <c r="O3102" s="17"/>
      <c r="P3102" s="17" t="b">
        <f>IFERROR(__xludf.DUMMYFUNCTION("""COMPUTED_VALUE"""),FALSE)</f>
        <v>0</v>
      </c>
      <c r="Q3102" s="20" t="str">
        <f>IFERROR(__xludf.DUMMYFUNCTION("""COMPUTED_VALUE"""),"")</f>
        <v/>
      </c>
      <c r="R3102" s="21" t="str">
        <f>IFERROR(__xludf.DUMMYFUNCTION("""COMPUTED_VALUE"""),"https://drive.google.com/file/d/1A9j57hwME75BrPjAhS8WLWT2UaukE4yc/view?usp=drivesdk")</f>
        <v>https://drive.google.com/file/d/1A9j57hwME75BrPjAhS8WLWT2UaukE4yc/view?usp=drivesdk</v>
      </c>
    </row>
    <row r="3103">
      <c r="A3103" s="15">
        <f>IFERROR(__xludf.DUMMYFUNCTION("""COMPUTED_VALUE"""),45091.0)</f>
        <v>45091</v>
      </c>
      <c r="B3103" s="16" t="str">
        <f>IFERROR(__xludf.DUMMYFUNCTION("""COMPUTED_VALUE"""),"Oscar Augusto Meneses Osias")</f>
        <v>Oscar Augusto Meneses Osias</v>
      </c>
      <c r="C3103" s="15" t="str">
        <f>IFERROR(__xludf.DUMMYFUNCTION("""COMPUTED_VALUE"""),"MEDELLÍN")</f>
        <v>MEDELLÍN</v>
      </c>
      <c r="D3103" s="15" t="str">
        <f>IFERROR(__xludf.DUMMYFUNCTION("""COMPUTED_VALUE"""),"BOGOTÁ")</f>
        <v>BOGOTÁ</v>
      </c>
      <c r="E3103" s="15" t="str">
        <f>IFERROR(__xludf.DUMMYFUNCTION("""COMPUTED_VALUE"""),"Loomifoods")</f>
        <v>Loomifoods</v>
      </c>
      <c r="F3103" s="17" t="str">
        <f>IFERROR(__xludf.DUMMYFUNCTION("""COMPUTED_VALUE"""),"Cra 15 BA no. 34D - 44 / Interior 201 / Medellin")</f>
        <v>Cra 15 BA no. 34D - 44 / Interior 201 / Medellin</v>
      </c>
      <c r="G3103" s="15" t="str">
        <f>IFERROR(__xludf.DUMMYFUNCTION("""COMPUTED_VALUE"""),"Daniela Bedoya")</f>
        <v>Daniela Bedoya</v>
      </c>
      <c r="H3103" s="16">
        <f>IFERROR(__xludf.DUMMYFUNCTION("""COMPUTED_VALUE"""),11642.0)</f>
        <v>11642</v>
      </c>
      <c r="I3103" s="18">
        <f>IFERROR(__xludf.DUMMYFUNCTION("""COMPUTED_VALUE"""),20.0)</f>
        <v>20</v>
      </c>
      <c r="J3103" s="18">
        <f>IFERROR(__xludf.DUMMYFUNCTION("""COMPUTED_VALUE"""),10.0)</f>
        <v>10</v>
      </c>
      <c r="K3103" s="18">
        <f>IFERROR(__xludf.DUMMYFUNCTION("""COMPUTED_VALUE"""),16.0)</f>
        <v>16</v>
      </c>
      <c r="L3103" s="17">
        <f>IFERROR(__xludf.DUMMYFUNCTION("""COMPUTED_VALUE"""),3.14672822E9)</f>
        <v>3146728220</v>
      </c>
      <c r="M3103" s="17" t="str">
        <f>IFERROR(__xludf.DUMMYFUNCTION("""COMPUTED_VALUE"""),"#REF!")</f>
        <v>#REF!</v>
      </c>
      <c r="N3103" s="17"/>
      <c r="O3103" s="17"/>
      <c r="P3103" s="17" t="b">
        <f>IFERROR(__xludf.DUMMYFUNCTION("""COMPUTED_VALUE"""),FALSE)</f>
        <v>0</v>
      </c>
      <c r="Q3103" s="20" t="str">
        <f>IFERROR(__xludf.DUMMYFUNCTION("""COMPUTED_VALUE"""),"")</f>
        <v/>
      </c>
      <c r="R3103" s="21" t="str">
        <f>IFERROR(__xludf.DUMMYFUNCTION("""COMPUTED_VALUE"""),"https://drive.google.com/file/d/1HAK5E94hNt8cPsTY-TaOj5AxfropICVW/view?usp=drivesdk")</f>
        <v>https://drive.google.com/file/d/1HAK5E94hNt8cPsTY-TaOj5AxfropICVW/view?usp=drivesdk</v>
      </c>
    </row>
    <row r="3104">
      <c r="A3104" s="15">
        <f>IFERROR(__xludf.DUMMYFUNCTION("""COMPUTED_VALUE"""),45091.0)</f>
        <v>45091</v>
      </c>
      <c r="B3104" s="16" t="str">
        <f>IFERROR(__xludf.DUMMYFUNCTION("""COMPUTED_VALUE"""),"Oscar Augusto Meneses Osias")</f>
        <v>Oscar Augusto Meneses Osias</v>
      </c>
      <c r="C3104" s="15" t="str">
        <f>IFERROR(__xludf.DUMMYFUNCTION("""COMPUTED_VALUE"""),"MEDELLÍN")</f>
        <v>MEDELLÍN</v>
      </c>
      <c r="D3104" s="15" t="str">
        <f>IFERROR(__xludf.DUMMYFUNCTION("""COMPUTED_VALUE"""),"BOGOTÁ")</f>
        <v>BOGOTÁ</v>
      </c>
      <c r="E3104" s="15" t="str">
        <f>IFERROR(__xludf.DUMMYFUNCTION("""COMPUTED_VALUE"""),"Lunchy Kids")</f>
        <v>Lunchy Kids</v>
      </c>
      <c r="F3104" s="17" t="str">
        <f>IFERROR(__xludf.DUMMYFUNCTION("""COMPUTED_VALUE"""),"Carrera 67 A # 59 A - 24  / Bloque 7 apto 303   / Bello - Ant")</f>
        <v>Carrera 67 A # 59 A - 24  / Bloque 7 apto 303   / Bello - Ant</v>
      </c>
      <c r="G3104" s="15" t="str">
        <f>IFERROR(__xludf.DUMMYFUNCTION("""COMPUTED_VALUE"""),"Daniela Giraldo")</f>
        <v>Daniela Giraldo</v>
      </c>
      <c r="H3104" s="16">
        <f>IFERROR(__xludf.DUMMYFUNCTION("""COMPUTED_VALUE"""),11590.0)</f>
        <v>11590</v>
      </c>
      <c r="I3104" s="18">
        <f>IFERROR(__xludf.DUMMYFUNCTION("""COMPUTED_VALUE"""),21.0)</f>
        <v>21</v>
      </c>
      <c r="J3104" s="18">
        <f>IFERROR(__xludf.DUMMYFUNCTION("""COMPUTED_VALUE"""),8.0)</f>
        <v>8</v>
      </c>
      <c r="K3104" s="18">
        <f>IFERROR(__xludf.DUMMYFUNCTION("""COMPUTED_VALUE"""),31.0)</f>
        <v>31</v>
      </c>
      <c r="L3104" s="17">
        <f>IFERROR(__xludf.DUMMYFUNCTION("""COMPUTED_VALUE"""),3.002772544E9)</f>
        <v>3002772544</v>
      </c>
      <c r="M3104" s="17" t="str">
        <f>IFERROR(__xludf.DUMMYFUNCTION("""COMPUTED_VALUE"""),"#REF!")</f>
        <v>#REF!</v>
      </c>
      <c r="N3104" s="17"/>
      <c r="O3104" s="17"/>
      <c r="P3104" s="17" t="b">
        <f>IFERROR(__xludf.DUMMYFUNCTION("""COMPUTED_VALUE"""),FALSE)</f>
        <v>0</v>
      </c>
      <c r="Q3104" s="20" t="str">
        <f>IFERROR(__xludf.DUMMYFUNCTION("""COMPUTED_VALUE"""),"")</f>
        <v/>
      </c>
      <c r="R3104" s="21" t="str">
        <f>IFERROR(__xludf.DUMMYFUNCTION("""COMPUTED_VALUE"""),"https://drive.google.com/file/d/1DBKaXo5ChR9rATuPNMWRZKXiRYHQdscA/view?usp=drivesdk")</f>
        <v>https://drive.google.com/file/d/1DBKaXo5ChR9rATuPNMWRZKXiRYHQdscA/view?usp=drivesdk</v>
      </c>
    </row>
    <row r="3105">
      <c r="A3105" s="15">
        <f>IFERROR(__xludf.DUMMYFUNCTION("""COMPUTED_VALUE"""),45091.0)</f>
        <v>45091</v>
      </c>
      <c r="B3105" s="16" t="str">
        <f>IFERROR(__xludf.DUMMYFUNCTION("""COMPUTED_VALUE"""),"Oscar Augusto Meneses Osias")</f>
        <v>Oscar Augusto Meneses Osias</v>
      </c>
      <c r="C3105" s="15" t="str">
        <f>IFERROR(__xludf.DUMMYFUNCTION("""COMPUTED_VALUE"""),"MEDELLÍN")</f>
        <v>MEDELLÍN</v>
      </c>
      <c r="D3105" s="15" t="str">
        <f>IFERROR(__xludf.DUMMYFUNCTION("""COMPUTED_VALUE"""),"BOGOTÁ")</f>
        <v>BOGOTÁ</v>
      </c>
      <c r="E3105" s="15" t="str">
        <f>IFERROR(__xludf.DUMMYFUNCTION("""COMPUTED_VALUE"""),"Lunchy Kids")</f>
        <v>Lunchy Kids</v>
      </c>
      <c r="F3105" s="17" t="str">
        <f>IFERROR(__xludf.DUMMYFUNCTION("""COMPUTED_VALUE"""),"Cl 38 # 92 30   / Santa Mónica 1  / Medellin")</f>
        <v>Cl 38 # 92 30   / Santa Mónica 1  / Medellin</v>
      </c>
      <c r="G3105" s="15" t="str">
        <f>IFERROR(__xludf.DUMMYFUNCTION("""COMPUTED_VALUE"""),"Katerinne Lotero")</f>
        <v>Katerinne Lotero</v>
      </c>
      <c r="H3105" s="16">
        <f>IFERROR(__xludf.DUMMYFUNCTION("""COMPUTED_VALUE"""),11591.0)</f>
        <v>11591</v>
      </c>
      <c r="I3105" s="18">
        <f>IFERROR(__xludf.DUMMYFUNCTION("""COMPUTED_VALUE"""),18.0)</f>
        <v>18</v>
      </c>
      <c r="J3105" s="18">
        <f>IFERROR(__xludf.DUMMYFUNCTION("""COMPUTED_VALUE"""),28.0)</f>
        <v>28</v>
      </c>
      <c r="K3105" s="18">
        <f>IFERROR(__xludf.DUMMYFUNCTION("""COMPUTED_VALUE"""),6.0)</f>
        <v>6</v>
      </c>
      <c r="L3105" s="17">
        <f>IFERROR(__xludf.DUMMYFUNCTION("""COMPUTED_VALUE"""),3.015949204E9)</f>
        <v>3015949204</v>
      </c>
      <c r="M3105" s="17" t="str">
        <f>IFERROR(__xludf.DUMMYFUNCTION("""COMPUTED_VALUE"""),"#REF!")</f>
        <v>#REF!</v>
      </c>
      <c r="N3105" s="17"/>
      <c r="O3105" s="17"/>
      <c r="P3105" s="17" t="b">
        <f>IFERROR(__xludf.DUMMYFUNCTION("""COMPUTED_VALUE"""),FALSE)</f>
        <v>0</v>
      </c>
      <c r="Q3105" s="20" t="str">
        <f>IFERROR(__xludf.DUMMYFUNCTION("""COMPUTED_VALUE"""),"")</f>
        <v/>
      </c>
      <c r="R3105" s="21" t="str">
        <f>IFERROR(__xludf.DUMMYFUNCTION("""COMPUTED_VALUE"""),"https://drive.google.com/file/d/1gGQO4UZMrYFwIRrDVWma11dDW1NBIcz2/view?usp=drivesdk")</f>
        <v>https://drive.google.com/file/d/1gGQO4UZMrYFwIRrDVWma11dDW1NBIcz2/view?usp=drivesdk</v>
      </c>
    </row>
    <row r="3106">
      <c r="A3106" s="15">
        <f>IFERROR(__xludf.DUMMYFUNCTION("""COMPUTED_VALUE"""),45091.0)</f>
        <v>45091</v>
      </c>
      <c r="B3106" s="16" t="str">
        <f>IFERROR(__xludf.DUMMYFUNCTION("""COMPUTED_VALUE"""),"Oscar Augusto Meneses Osias")</f>
        <v>Oscar Augusto Meneses Osias</v>
      </c>
      <c r="C3106" s="15" t="str">
        <f>IFERROR(__xludf.DUMMYFUNCTION("""COMPUTED_VALUE"""),"MEDELLÍN")</f>
        <v>MEDELLÍN</v>
      </c>
      <c r="D3106" s="15" t="str">
        <f>IFERROR(__xludf.DUMMYFUNCTION("""COMPUTED_VALUE"""),"BOGOTÁ")</f>
        <v>BOGOTÁ</v>
      </c>
      <c r="E3106" s="15" t="str">
        <f>IFERROR(__xludf.DUMMYFUNCTION("""COMPUTED_VALUE"""),"Lunchy Kids")</f>
        <v>Lunchy Kids</v>
      </c>
      <c r="F3106" s="17" t="str">
        <f>IFERROR(__xludf.DUMMYFUNCTION("""COMPUTED_VALUE"""),"Diagonal 43 #34e - 20   / Torre 5 Apartamento 1639  / Bello ANT Colombia")</f>
        <v>Diagonal 43 #34e - 20   / Torre 5 Apartamento 1639  / Bello ANT Colombia</v>
      </c>
      <c r="G3106" s="15" t="str">
        <f>IFERROR(__xludf.DUMMYFUNCTION("""COMPUTED_VALUE"""),"Julissa Anaya")</f>
        <v>Julissa Anaya</v>
      </c>
      <c r="H3106" s="16">
        <f>IFERROR(__xludf.DUMMYFUNCTION("""COMPUTED_VALUE"""),11593.0)</f>
        <v>11593</v>
      </c>
      <c r="I3106" s="18">
        <f>IFERROR(__xludf.DUMMYFUNCTION("""COMPUTED_VALUE"""),18.0)</f>
        <v>18</v>
      </c>
      <c r="J3106" s="18">
        <f>IFERROR(__xludf.DUMMYFUNCTION("""COMPUTED_VALUE"""),30.0)</f>
        <v>30</v>
      </c>
      <c r="K3106" s="18">
        <f>IFERROR(__xludf.DUMMYFUNCTION("""COMPUTED_VALUE"""),13.0)</f>
        <v>13</v>
      </c>
      <c r="L3106" s="17">
        <f>IFERROR(__xludf.DUMMYFUNCTION("""COMPUTED_VALUE"""),3.104301008E9)</f>
        <v>3104301008</v>
      </c>
      <c r="M3106" s="17" t="str">
        <f>IFERROR(__xludf.DUMMYFUNCTION("""COMPUTED_VALUE"""),"#REF!")</f>
        <v>#REF!</v>
      </c>
      <c r="N3106" s="17"/>
      <c r="O3106" s="17"/>
      <c r="P3106" s="17" t="b">
        <f>IFERROR(__xludf.DUMMYFUNCTION("""COMPUTED_VALUE"""),FALSE)</f>
        <v>0</v>
      </c>
      <c r="Q3106" s="20" t="str">
        <f>IFERROR(__xludf.DUMMYFUNCTION("""COMPUTED_VALUE"""),"")</f>
        <v/>
      </c>
      <c r="R3106" s="21" t="str">
        <f>IFERROR(__xludf.DUMMYFUNCTION("""COMPUTED_VALUE"""),"https://drive.google.com/file/d/191ibhdO1ai3zKDJk5jVpuIbGrSvqVm4Q/view?usp=drivesdk")</f>
        <v>https://drive.google.com/file/d/191ibhdO1ai3zKDJk5jVpuIbGrSvqVm4Q/view?usp=drivesdk</v>
      </c>
    </row>
    <row r="3107">
      <c r="A3107" s="15">
        <f>IFERROR(__xludf.DUMMYFUNCTION("""COMPUTED_VALUE"""),45091.0)</f>
        <v>45091</v>
      </c>
      <c r="B3107" s="16" t="str">
        <f>IFERROR(__xludf.DUMMYFUNCTION("""COMPUTED_VALUE"""),"Oscar Augusto Meneses Osias")</f>
        <v>Oscar Augusto Meneses Osias</v>
      </c>
      <c r="C3107" s="15" t="str">
        <f>IFERROR(__xludf.DUMMYFUNCTION("""COMPUTED_VALUE"""),"MEDELLÍN")</f>
        <v>MEDELLÍN</v>
      </c>
      <c r="D3107" s="15" t="str">
        <f>IFERROR(__xludf.DUMMYFUNCTION("""COMPUTED_VALUE"""),"BOGOTÁ")</f>
        <v>BOGOTÁ</v>
      </c>
      <c r="E3107" s="15" t="str">
        <f>IFERROR(__xludf.DUMMYFUNCTION("""COMPUTED_VALUE"""),"Pan de Waffle")</f>
        <v>Pan de Waffle</v>
      </c>
      <c r="F3107" s="17" t="str">
        <f>IFERROR(__xludf.DUMMYFUNCTION("""COMPUTED_VALUE"""),"Carrera 39 # 59 - 32 / Carrera 39 # 59 - 32 / Carrera 39 # 59 - 32")</f>
        <v>Carrera 39 # 59 - 32 / Carrera 39 # 59 - 32 / Carrera 39 # 59 - 32</v>
      </c>
      <c r="G3107" s="15" t="str">
        <f>IFERROR(__xludf.DUMMYFUNCTION("""COMPUTED_VALUE"""),"FOODOLOGY")</f>
        <v>FOODOLOGY</v>
      </c>
      <c r="H3107" s="16">
        <f>IFERROR(__xludf.DUMMYFUNCTION("""COMPUTED_VALUE"""),11664.0)</f>
        <v>11664</v>
      </c>
      <c r="I3107" s="18">
        <f>IFERROR(__xludf.DUMMYFUNCTION("""COMPUTED_VALUE"""),30.0)</f>
        <v>30</v>
      </c>
      <c r="J3107" s="18">
        <f>IFERROR(__xludf.DUMMYFUNCTION("""COMPUTED_VALUE"""),40.0)</f>
        <v>40</v>
      </c>
      <c r="K3107" s="18">
        <f>IFERROR(__xludf.DUMMYFUNCTION("""COMPUTED_VALUE"""),30.0)</f>
        <v>30</v>
      </c>
      <c r="L3107" s="17">
        <f>IFERROR(__xludf.DUMMYFUNCTION("""COMPUTED_VALUE"""),3.123558292E9)</f>
        <v>3123558292</v>
      </c>
      <c r="M3107" s="17" t="str">
        <f>IFERROR(__xludf.DUMMYFUNCTION("""COMPUTED_VALUE"""),"#REF!")</f>
        <v>#REF!</v>
      </c>
      <c r="N3107" s="17"/>
      <c r="O3107" s="17"/>
      <c r="P3107" s="17" t="b">
        <f>IFERROR(__xludf.DUMMYFUNCTION("""COMPUTED_VALUE"""),FALSE)</f>
        <v>0</v>
      </c>
      <c r="Q3107" s="20" t="str">
        <f>IFERROR(__xludf.DUMMYFUNCTION("""COMPUTED_VALUE"""),"")</f>
        <v/>
      </c>
      <c r="R3107" s="21" t="str">
        <f>IFERROR(__xludf.DUMMYFUNCTION("""COMPUTED_VALUE"""),"https://drive.google.com/file/d/1wIOLL4A62efM6SOs7z2SI5THlsDZdM-W/view?usp=drivesdk")</f>
        <v>https://drive.google.com/file/d/1wIOLL4A62efM6SOs7z2SI5THlsDZdM-W/view?usp=drivesdk</v>
      </c>
    </row>
    <row r="3108">
      <c r="A3108" s="17" t="str">
        <f>IFERROR(__xludf.DUMMYFUNCTION("""COMPUTED_VALUE"""),"")</f>
        <v/>
      </c>
      <c r="B3108" s="17" t="str">
        <f>IFERROR(__xludf.DUMMYFUNCTION("""COMPUTED_VALUE"""),"")</f>
        <v/>
      </c>
      <c r="C3108" s="17" t="str">
        <f>IFERROR(__xludf.DUMMYFUNCTION("""COMPUTED_VALUE"""),"")</f>
        <v/>
      </c>
      <c r="D3108" s="17" t="str">
        <f>IFERROR(__xludf.DUMMYFUNCTION("""COMPUTED_VALUE"""),"")</f>
        <v/>
      </c>
      <c r="E3108" s="17" t="str">
        <f>IFERROR(__xludf.DUMMYFUNCTION("""COMPUTED_VALUE"""),"")</f>
        <v/>
      </c>
      <c r="F3108" s="17" t="str">
        <f>IFERROR(__xludf.DUMMYFUNCTION("""COMPUTED_VALUE"""),"")</f>
        <v/>
      </c>
      <c r="G3108" s="17" t="str">
        <f>IFERROR(__xludf.DUMMYFUNCTION("""COMPUTED_VALUE"""),"")</f>
        <v/>
      </c>
      <c r="H3108" s="17" t="str">
        <f>IFERROR(__xludf.DUMMYFUNCTION("""COMPUTED_VALUE"""),"")</f>
        <v/>
      </c>
      <c r="I3108" s="17" t="str">
        <f>IFERROR(__xludf.DUMMYFUNCTION("""COMPUTED_VALUE"""),"")</f>
        <v/>
      </c>
      <c r="J3108" s="17" t="str">
        <f>IFERROR(__xludf.DUMMYFUNCTION("""COMPUTED_VALUE"""),"")</f>
        <v/>
      </c>
      <c r="K3108" s="17" t="str">
        <f>IFERROR(__xludf.DUMMYFUNCTION("""COMPUTED_VALUE"""),"")</f>
        <v/>
      </c>
      <c r="L3108" s="17" t="str">
        <f>IFERROR(__xludf.DUMMYFUNCTION("""COMPUTED_VALUE"""),"")</f>
        <v/>
      </c>
      <c r="M3108" s="17" t="str">
        <f>IFERROR(__xludf.DUMMYFUNCTION("""COMPUTED_VALUE"""),"")</f>
        <v/>
      </c>
      <c r="N3108" s="17" t="str">
        <f>IFERROR(__xludf.DUMMYFUNCTION("""COMPUTED_VALUE"""),"")</f>
        <v/>
      </c>
      <c r="O3108" s="17" t="str">
        <f>IFERROR(__xludf.DUMMYFUNCTION("""COMPUTED_VALUE"""),"")</f>
        <v/>
      </c>
      <c r="P3108" s="17" t="str">
        <f>IFERROR(__xludf.DUMMYFUNCTION("""COMPUTED_VALUE"""),"")</f>
        <v/>
      </c>
      <c r="Q3108" s="17" t="str">
        <f>IFERROR(__xludf.DUMMYFUNCTION("""COMPUTED_VALUE"""),"")</f>
        <v/>
      </c>
      <c r="R3108" s="17" t="str">
        <f>IFERROR(__xludf.DUMMYFUNCTION("""COMPUTED_VALUE"""),"")</f>
        <v/>
      </c>
    </row>
    <row r="3109">
      <c r="A3109" s="15">
        <f>IFERROR(__xludf.DUMMYFUNCTION("""COMPUTED_VALUE"""),45092.0)</f>
        <v>45092</v>
      </c>
      <c r="B3109" s="17"/>
      <c r="C3109" s="15" t="str">
        <f>IFERROR(__xludf.DUMMYFUNCTION("""COMPUTED_VALUE"""),"BOGOTÁ")</f>
        <v>BOGOTÁ</v>
      </c>
      <c r="D3109" s="15" t="str">
        <f>IFERROR(__xludf.DUMMYFUNCTION("""COMPUTED_VALUE"""),"MEDELLÍN")</f>
        <v>MEDELLÍN</v>
      </c>
      <c r="E3109" s="15" t="str">
        <f>IFERROR(__xludf.DUMMYFUNCTION("""COMPUTED_VALUE"""),"Puro Verde")</f>
        <v>Puro Verde</v>
      </c>
      <c r="F3109" s="17" t="str">
        <f>IFERROR(__xludf.DUMMYFUNCTION("""COMPUTED_VALUE"""),"AV CRA 15 #90-20 / LOCLA 109 / BARRIO CHICO")</f>
        <v>AV CRA 15 #90-20 / LOCLA 109 / BARRIO CHICO</v>
      </c>
      <c r="G3109" s="15" t="str">
        <f>IFERROR(__xludf.DUMMYFUNCTION("""COMPUTED_VALUE"""),"DANDO CUERDA")</f>
        <v>DANDO CUERDA</v>
      </c>
      <c r="H3109" s="16">
        <f>IFERROR(__xludf.DUMMYFUNCTION("""COMPUTED_VALUE"""),11745.0)</f>
        <v>11745</v>
      </c>
      <c r="I3109" s="18">
        <f>IFERROR(__xludf.DUMMYFUNCTION("""COMPUTED_VALUE"""),67.0)</f>
        <v>67</v>
      </c>
      <c r="J3109" s="18">
        <f>IFERROR(__xludf.DUMMYFUNCTION("""COMPUTED_VALUE"""),65.0)</f>
        <v>65</v>
      </c>
      <c r="K3109" s="18">
        <f>IFERROR(__xludf.DUMMYFUNCTION("""COMPUTED_VALUE"""),55.0)</f>
        <v>55</v>
      </c>
      <c r="L3109" s="17">
        <f>IFERROR(__xludf.DUMMYFUNCTION("""COMPUTED_VALUE"""),3.163816691E9)</f>
        <v>3163816691</v>
      </c>
      <c r="M3109" s="17" t="str">
        <f>IFERROR(__xludf.DUMMYFUNCTION("""COMPUTED_VALUE"""),"#REF!")</f>
        <v>#REF!</v>
      </c>
      <c r="N3109" s="17"/>
      <c r="O3109" s="17"/>
      <c r="P3109" s="17" t="b">
        <f>IFERROR(__xludf.DUMMYFUNCTION("""COMPUTED_VALUE"""),FALSE)</f>
        <v>0</v>
      </c>
      <c r="Q3109" s="20" t="str">
        <f>IFERROR(__xludf.DUMMYFUNCTION("""COMPUTED_VALUE"""),"")</f>
        <v/>
      </c>
      <c r="R3109" s="21" t="str">
        <f>IFERROR(__xludf.DUMMYFUNCTION("""COMPUTED_VALUE"""),"https://drive.google.com/file/d/1qYWeML0b8ljZ1JTNTVhi53rLmSKkUt5V/view?usp=drivesdk")</f>
        <v>https://drive.google.com/file/d/1qYWeML0b8ljZ1JTNTVhi53rLmSKkUt5V/view?usp=drivesdk</v>
      </c>
    </row>
    <row r="3110">
      <c r="A3110" s="15">
        <f>IFERROR(__xludf.DUMMYFUNCTION("""COMPUTED_VALUE"""),45092.0)</f>
        <v>45092</v>
      </c>
      <c r="B3110" s="17"/>
      <c r="C3110" s="15" t="str">
        <f>IFERROR(__xludf.DUMMYFUNCTION("""COMPUTED_VALUE"""),"CARTAGENA")</f>
        <v>CARTAGENA</v>
      </c>
      <c r="D3110" s="15" t="str">
        <f>IFERROR(__xludf.DUMMYFUNCTION("""COMPUTED_VALUE"""),"BOGOTÁ")</f>
        <v>BOGOTÁ</v>
      </c>
      <c r="E3110" s="15" t="str">
        <f>IFERROR(__xludf.DUMMYFUNCTION("""COMPUTED_VALUE"""),"MAI ALIMENTOS REALES")</f>
        <v>MAI ALIMENTOS REALES</v>
      </c>
      <c r="F3110" s="17" t="str">
        <f>IFERROR(__xludf.DUMMYFUNCTION("""COMPUTED_VALUE"""),"Carrera 3 A # 31 - 23 / Plaza Santa teresa / Restaurante Harry Sasson")</f>
        <v>Carrera 3 A # 31 - 23 / Plaza Santa teresa / Restaurante Harry Sasson</v>
      </c>
      <c r="G3110" s="15" t="str">
        <f>IFERROR(__xludf.DUMMYFUNCTION("""COMPUTED_VALUE"""),"Hoteles Charleston SAS")</f>
        <v>Hoteles Charleston SAS</v>
      </c>
      <c r="H3110" s="16">
        <f>IFERROR(__xludf.DUMMYFUNCTION("""COMPUTED_VALUE"""),11616.0)</f>
        <v>11616</v>
      </c>
      <c r="I3110" s="17"/>
      <c r="J3110" s="17"/>
      <c r="K3110" s="17"/>
      <c r="L3110" s="17">
        <f>IFERROR(__xludf.DUMMYFUNCTION("""COMPUTED_VALUE"""),3.174374246E9)</f>
        <v>3174374246</v>
      </c>
      <c r="M3110" s="17" t="str">
        <f>IFERROR(__xludf.DUMMYFUNCTION("""COMPUTED_VALUE"""),"#REF!")</f>
        <v>#REF!</v>
      </c>
      <c r="N3110" s="17"/>
      <c r="O3110" s="17"/>
      <c r="P3110" s="17" t="b">
        <f>IFERROR(__xludf.DUMMYFUNCTION("""COMPUTED_VALUE"""),FALSE)</f>
        <v>0</v>
      </c>
      <c r="Q3110" s="20" t="str">
        <f>IFERROR(__xludf.DUMMYFUNCTION("""COMPUTED_VALUE"""),"")</f>
        <v/>
      </c>
      <c r="R3110" s="21" t="str">
        <f>IFERROR(__xludf.DUMMYFUNCTION("""COMPUTED_VALUE"""),"https://drive.google.com/file/d/1NkDaZiA4A3jDnkHC1v2RqlsomNmV24Y4/view?usp=drivesdk")</f>
        <v>https://drive.google.com/file/d/1NkDaZiA4A3jDnkHC1v2RqlsomNmV24Y4/view?usp=drivesdk</v>
      </c>
    </row>
    <row r="3111">
      <c r="A3111" s="17" t="str">
        <f>IFERROR(__xludf.DUMMYFUNCTION("""COMPUTED_VALUE"""),"")</f>
        <v/>
      </c>
      <c r="B3111" s="17" t="str">
        <f>IFERROR(__xludf.DUMMYFUNCTION("""COMPUTED_VALUE"""),"")</f>
        <v/>
      </c>
      <c r="C3111" s="17" t="str">
        <f>IFERROR(__xludf.DUMMYFUNCTION("""COMPUTED_VALUE"""),"")</f>
        <v/>
      </c>
      <c r="D3111" s="17" t="str">
        <f>IFERROR(__xludf.DUMMYFUNCTION("""COMPUTED_VALUE"""),"")</f>
        <v/>
      </c>
      <c r="E3111" s="17" t="str">
        <f>IFERROR(__xludf.DUMMYFUNCTION("""COMPUTED_VALUE"""),"")</f>
        <v/>
      </c>
      <c r="F3111" s="17" t="str">
        <f>IFERROR(__xludf.DUMMYFUNCTION("""COMPUTED_VALUE"""),"")</f>
        <v/>
      </c>
      <c r="G3111" s="17" t="str">
        <f>IFERROR(__xludf.DUMMYFUNCTION("""COMPUTED_VALUE"""),"")</f>
        <v/>
      </c>
      <c r="H3111" s="17" t="str">
        <f>IFERROR(__xludf.DUMMYFUNCTION("""COMPUTED_VALUE"""),"")</f>
        <v/>
      </c>
      <c r="I3111" s="17" t="str">
        <f>IFERROR(__xludf.DUMMYFUNCTION("""COMPUTED_VALUE"""),"")</f>
        <v/>
      </c>
      <c r="J3111" s="17" t="str">
        <f>IFERROR(__xludf.DUMMYFUNCTION("""COMPUTED_VALUE"""),"")</f>
        <v/>
      </c>
      <c r="K3111" s="17" t="str">
        <f>IFERROR(__xludf.DUMMYFUNCTION("""COMPUTED_VALUE"""),"")</f>
        <v/>
      </c>
      <c r="L3111" s="17" t="str">
        <f>IFERROR(__xludf.DUMMYFUNCTION("""COMPUTED_VALUE"""),"")</f>
        <v/>
      </c>
      <c r="M3111" s="17" t="str">
        <f>IFERROR(__xludf.DUMMYFUNCTION("""COMPUTED_VALUE"""),"")</f>
        <v/>
      </c>
      <c r="N3111" s="17" t="str">
        <f>IFERROR(__xludf.DUMMYFUNCTION("""COMPUTED_VALUE"""),"")</f>
        <v/>
      </c>
      <c r="O3111" s="17" t="str">
        <f>IFERROR(__xludf.DUMMYFUNCTION("""COMPUTED_VALUE"""),"")</f>
        <v/>
      </c>
      <c r="P3111" s="17" t="str">
        <f>IFERROR(__xludf.DUMMYFUNCTION("""COMPUTED_VALUE"""),"")</f>
        <v/>
      </c>
      <c r="Q3111" s="17" t="str">
        <f>IFERROR(__xludf.DUMMYFUNCTION("""COMPUTED_VALUE"""),"")</f>
        <v/>
      </c>
      <c r="R3111" s="17" t="str">
        <f>IFERROR(__xludf.DUMMYFUNCTION("""COMPUTED_VALUE"""),"")</f>
        <v/>
      </c>
    </row>
    <row r="3112">
      <c r="A3112" s="15">
        <f>IFERROR(__xludf.DUMMYFUNCTION("""COMPUTED_VALUE"""),45092.0)</f>
        <v>45092</v>
      </c>
      <c r="B3112" s="16" t="str">
        <f>IFERROR(__xludf.DUMMYFUNCTION("""COMPUTED_VALUE"""),"Anuar suarez jimenez ")</f>
        <v>Anuar suarez jimenez </v>
      </c>
      <c r="C3112" s="15" t="str">
        <f>IFERROR(__xludf.DUMMYFUNCTION("""COMPUTED_VALUE"""),"MONTERIA")</f>
        <v>MONTERIA</v>
      </c>
      <c r="D3112" s="15" t="str">
        <f>IFERROR(__xludf.DUMMYFUNCTION("""COMPUTED_VALUE"""),"BOGOTÁ")</f>
        <v>BOGOTÁ</v>
      </c>
      <c r="E3112" s="15" t="str">
        <f>IFERROR(__xludf.DUMMYFUNCTION("""COMPUTED_VALUE"""),"Asociacion Agropecuaria Juana Maria")</f>
        <v>Asociacion Agropecuaria Juana Maria</v>
      </c>
      <c r="F3112" s="17" t="str">
        <f>IFERROR(__xludf.DUMMYFUNCTION("""COMPUTED_VALUE"""),"Cra 14A #54-23 Barrio Monte Verde")</f>
        <v>Cra 14A #54-23 Barrio Monte Verde</v>
      </c>
      <c r="G3112" s="15" t="str">
        <f>IFERROR(__xludf.DUMMYFUNCTION("""COMPUTED_VALUE"""),"Emilia Miranda")</f>
        <v>Emilia Miranda</v>
      </c>
      <c r="H3112" s="16">
        <f>IFERROR(__xludf.DUMMYFUNCTION("""COMPUTED_VALUE"""),11602.0)</f>
        <v>11602</v>
      </c>
      <c r="I3112" s="18">
        <f>IFERROR(__xludf.DUMMYFUNCTION("""COMPUTED_VALUE"""),17.0)</f>
        <v>17</v>
      </c>
      <c r="J3112" s="18">
        <f>IFERROR(__xludf.DUMMYFUNCTION("""COMPUTED_VALUE"""),37.0)</f>
        <v>37</v>
      </c>
      <c r="K3112" s="18">
        <f>IFERROR(__xludf.DUMMYFUNCTION("""COMPUTED_VALUE"""),28.0)</f>
        <v>28</v>
      </c>
      <c r="L3112" s="17">
        <f>IFERROR(__xludf.DUMMYFUNCTION("""COMPUTED_VALUE"""),3.113438505E9)</f>
        <v>3113438505</v>
      </c>
      <c r="M3112" s="17" t="str">
        <f>IFERROR(__xludf.DUMMYFUNCTION("""COMPUTED_VALUE"""),"#REF!")</f>
        <v>#REF!</v>
      </c>
      <c r="N3112" s="17"/>
      <c r="O3112" s="17"/>
      <c r="P3112" s="17" t="b">
        <f>IFERROR(__xludf.DUMMYFUNCTION("""COMPUTED_VALUE"""),FALSE)</f>
        <v>0</v>
      </c>
      <c r="Q3112" s="20" t="str">
        <f>IFERROR(__xludf.DUMMYFUNCTION("""COMPUTED_VALUE"""),"")</f>
        <v/>
      </c>
      <c r="R3112" s="21" t="str">
        <f>IFERROR(__xludf.DUMMYFUNCTION("""COMPUTED_VALUE"""),"https://drive.google.com/file/d/169Uq8njbOKHOXUN2tKpdQtAFSIB91RS8/view?usp=drivesdk")</f>
        <v>https://drive.google.com/file/d/169Uq8njbOKHOXUN2tKpdQtAFSIB91RS8/view?usp=drivesdk</v>
      </c>
    </row>
    <row r="3113">
      <c r="A3113" s="17" t="str">
        <f>IFERROR(__xludf.DUMMYFUNCTION("""COMPUTED_VALUE"""),"")</f>
        <v/>
      </c>
      <c r="B3113" s="17" t="str">
        <f>IFERROR(__xludf.DUMMYFUNCTION("""COMPUTED_VALUE"""),"")</f>
        <v/>
      </c>
      <c r="C3113" s="17" t="str">
        <f>IFERROR(__xludf.DUMMYFUNCTION("""COMPUTED_VALUE"""),"")</f>
        <v/>
      </c>
      <c r="D3113" s="17" t="str">
        <f>IFERROR(__xludf.DUMMYFUNCTION("""COMPUTED_VALUE"""),"")</f>
        <v/>
      </c>
      <c r="E3113" s="17" t="str">
        <f>IFERROR(__xludf.DUMMYFUNCTION("""COMPUTED_VALUE"""),"")</f>
        <v/>
      </c>
      <c r="F3113" s="17" t="str">
        <f>IFERROR(__xludf.DUMMYFUNCTION("""COMPUTED_VALUE"""),"")</f>
        <v/>
      </c>
      <c r="G3113" s="17" t="str">
        <f>IFERROR(__xludf.DUMMYFUNCTION("""COMPUTED_VALUE"""),"")</f>
        <v/>
      </c>
      <c r="H3113" s="17" t="str">
        <f>IFERROR(__xludf.DUMMYFUNCTION("""COMPUTED_VALUE"""),"")</f>
        <v/>
      </c>
      <c r="I3113" s="17" t="str">
        <f>IFERROR(__xludf.DUMMYFUNCTION("""COMPUTED_VALUE"""),"")</f>
        <v/>
      </c>
      <c r="J3113" s="17" t="str">
        <f>IFERROR(__xludf.DUMMYFUNCTION("""COMPUTED_VALUE"""),"")</f>
        <v/>
      </c>
      <c r="K3113" s="17" t="str">
        <f>IFERROR(__xludf.DUMMYFUNCTION("""COMPUTED_VALUE"""),"")</f>
        <v/>
      </c>
      <c r="L3113" s="17" t="str">
        <f>IFERROR(__xludf.DUMMYFUNCTION("""COMPUTED_VALUE"""),"")</f>
        <v/>
      </c>
      <c r="M3113" s="17" t="str">
        <f>IFERROR(__xludf.DUMMYFUNCTION("""COMPUTED_VALUE"""),"")</f>
        <v/>
      </c>
      <c r="N3113" s="17" t="str">
        <f>IFERROR(__xludf.DUMMYFUNCTION("""COMPUTED_VALUE"""),"")</f>
        <v/>
      </c>
      <c r="O3113" s="17" t="str">
        <f>IFERROR(__xludf.DUMMYFUNCTION("""COMPUTED_VALUE"""),"")</f>
        <v/>
      </c>
      <c r="P3113" s="17" t="str">
        <f>IFERROR(__xludf.DUMMYFUNCTION("""COMPUTED_VALUE"""),"")</f>
        <v/>
      </c>
      <c r="Q3113" s="17" t="str">
        <f>IFERROR(__xludf.DUMMYFUNCTION("""COMPUTED_VALUE"""),"")</f>
        <v/>
      </c>
      <c r="R3113" s="17" t="str">
        <f>IFERROR(__xludf.DUMMYFUNCTION("""COMPUTED_VALUE"""),"")</f>
        <v/>
      </c>
    </row>
    <row r="3114">
      <c r="A3114" s="15">
        <f>IFERROR(__xludf.DUMMYFUNCTION("""COMPUTED_VALUE"""),45092.0)</f>
        <v>45092</v>
      </c>
      <c r="B3114" s="16" t="str">
        <f>IFERROR(__xludf.DUMMYFUNCTION("""COMPUTED_VALUE"""),"David Sanmartin Bello")</f>
        <v>David Sanmartin Bello</v>
      </c>
      <c r="C3114" s="15" t="str">
        <f>IFERROR(__xludf.DUMMYFUNCTION("""COMPUTED_VALUE"""),"CARTAGENA")</f>
        <v>CARTAGENA</v>
      </c>
      <c r="D3114" s="15" t="str">
        <f>IFERROR(__xludf.DUMMYFUNCTION("""COMPUTED_VALUE"""),"BOGOTÁ")</f>
        <v>BOGOTÁ</v>
      </c>
      <c r="E3114" s="15" t="str">
        <f>IFERROR(__xludf.DUMMYFUNCTION("""COMPUTED_VALUE"""),"Evamazzita")</f>
        <v>Evamazzita</v>
      </c>
      <c r="F3114" s="17" t="str">
        <f>IFERROR(__xludf.DUMMYFUNCTION("""COMPUTED_VALUE"""),"CALLE 20 #18-70  / EDIFICIO GEMINIS APTO 809   / CIELO MAR")</f>
        <v>CALLE 20 #18-70  / EDIFICIO GEMINIS APTO 809   / CIELO MAR</v>
      </c>
      <c r="G3114" s="15" t="str">
        <f>IFERROR(__xludf.DUMMYFUNCTION("""COMPUTED_VALUE"""),"MIVERLIS MANGA VELILLA")</f>
        <v>MIVERLIS MANGA VELILLA</v>
      </c>
      <c r="H3114" s="16">
        <f>IFERROR(__xludf.DUMMYFUNCTION("""COMPUTED_VALUE"""),11629.0)</f>
        <v>11629</v>
      </c>
      <c r="I3114" s="18">
        <f>IFERROR(__xludf.DUMMYFUNCTION("""COMPUTED_VALUE"""),10.0)</f>
        <v>10</v>
      </c>
      <c r="J3114" s="18">
        <f>IFERROR(__xludf.DUMMYFUNCTION("""COMPUTED_VALUE"""),18.0)</f>
        <v>18</v>
      </c>
      <c r="K3114" s="18">
        <f>IFERROR(__xludf.DUMMYFUNCTION("""COMPUTED_VALUE"""),22.0)</f>
        <v>22</v>
      </c>
      <c r="L3114" s="17">
        <f>IFERROR(__xludf.DUMMYFUNCTION("""COMPUTED_VALUE"""),3.168883322E9)</f>
        <v>3168883322</v>
      </c>
      <c r="M3114" s="17" t="str">
        <f>IFERROR(__xludf.DUMMYFUNCTION("""COMPUTED_VALUE"""),"#REF!")</f>
        <v>#REF!</v>
      </c>
      <c r="N3114" s="17"/>
      <c r="O3114" s="17"/>
      <c r="P3114" s="17" t="b">
        <f>IFERROR(__xludf.DUMMYFUNCTION("""COMPUTED_VALUE"""),FALSE)</f>
        <v>0</v>
      </c>
      <c r="Q3114" s="20" t="str">
        <f>IFERROR(__xludf.DUMMYFUNCTION("""COMPUTED_VALUE"""),"")</f>
        <v/>
      </c>
      <c r="R3114" s="21" t="str">
        <f>IFERROR(__xludf.DUMMYFUNCTION("""COMPUTED_VALUE"""),"https://drive.google.com/file/d/1ITewyqPnUE5YQMQ4UezUlakpTvuVWMi5/view?usp=drivesdk")</f>
        <v>https://drive.google.com/file/d/1ITewyqPnUE5YQMQ4UezUlakpTvuVWMi5/view?usp=drivesdk</v>
      </c>
    </row>
    <row r="3115">
      <c r="A3115" s="15">
        <f>IFERROR(__xludf.DUMMYFUNCTION("""COMPUTED_VALUE"""),45092.0)</f>
        <v>45092</v>
      </c>
      <c r="B3115" s="16" t="str">
        <f>IFERROR(__xludf.DUMMYFUNCTION("""COMPUTED_VALUE"""),"David Sanmartin Bello")</f>
        <v>David Sanmartin Bello</v>
      </c>
      <c r="C3115" s="15" t="str">
        <f>IFERROR(__xludf.DUMMYFUNCTION("""COMPUTED_VALUE"""),"CARTAGENA")</f>
        <v>CARTAGENA</v>
      </c>
      <c r="D3115" s="15" t="str">
        <f>IFERROR(__xludf.DUMMYFUNCTION("""COMPUTED_VALUE"""),"BOGOTÁ")</f>
        <v>BOGOTÁ</v>
      </c>
      <c r="E3115" s="15" t="str">
        <f>IFERROR(__xludf.DUMMYFUNCTION("""COMPUTED_VALUE"""),"Evamazzita")</f>
        <v>Evamazzita</v>
      </c>
      <c r="F3115" s="17" t="str">
        <f>IFERROR(__xludf.DUMMYFUNCTION("""COMPUTED_VALUE"""),"Cra 20A#29b-24  / edifciio terra club house apto 701   / Pie de la popa")</f>
        <v>Cra 20A#29b-24  / edifciio terra club house apto 701   / Pie de la popa</v>
      </c>
      <c r="G3115" s="15" t="str">
        <f>IFERROR(__xludf.DUMMYFUNCTION("""COMPUTED_VALUE"""),"ANDREA BERDUGO OSORIO")</f>
        <v>ANDREA BERDUGO OSORIO</v>
      </c>
      <c r="H3115" s="16">
        <f>IFERROR(__xludf.DUMMYFUNCTION("""COMPUTED_VALUE"""),11630.0)</f>
        <v>11630</v>
      </c>
      <c r="I3115" s="18">
        <f>IFERROR(__xludf.DUMMYFUNCTION("""COMPUTED_VALUE"""),3.0)</f>
        <v>3</v>
      </c>
      <c r="J3115" s="18">
        <f>IFERROR(__xludf.DUMMYFUNCTION("""COMPUTED_VALUE"""),15.0)</f>
        <v>15</v>
      </c>
      <c r="K3115" s="18">
        <f>IFERROR(__xludf.DUMMYFUNCTION("""COMPUTED_VALUE"""),20.0)</f>
        <v>20</v>
      </c>
      <c r="L3115" s="17">
        <f>IFERROR(__xludf.DUMMYFUNCTION("""COMPUTED_VALUE"""),3.102979161E9)</f>
        <v>3102979161</v>
      </c>
      <c r="M3115" s="17" t="str">
        <f>IFERROR(__xludf.DUMMYFUNCTION("""COMPUTED_VALUE"""),"#REF!")</f>
        <v>#REF!</v>
      </c>
      <c r="N3115" s="17"/>
      <c r="O3115" s="17"/>
      <c r="P3115" s="17" t="b">
        <f>IFERROR(__xludf.DUMMYFUNCTION("""COMPUTED_VALUE"""),FALSE)</f>
        <v>0</v>
      </c>
      <c r="Q3115" s="20" t="str">
        <f>IFERROR(__xludf.DUMMYFUNCTION("""COMPUTED_VALUE"""),"")</f>
        <v/>
      </c>
      <c r="R3115" s="21" t="str">
        <f>IFERROR(__xludf.DUMMYFUNCTION("""COMPUTED_VALUE"""),"https://drive.google.com/file/d/1BZw5CdIcyPapiXcKeLIw__IGUsXrokjK/view?usp=drivesdk")</f>
        <v>https://drive.google.com/file/d/1BZw5CdIcyPapiXcKeLIw__IGUsXrokjK/view?usp=drivesdk</v>
      </c>
    </row>
    <row r="3116">
      <c r="A3116" s="15">
        <f>IFERROR(__xludf.DUMMYFUNCTION("""COMPUTED_VALUE"""),45092.0)</f>
        <v>45092</v>
      </c>
      <c r="B3116" s="16" t="str">
        <f>IFERROR(__xludf.DUMMYFUNCTION("""COMPUTED_VALUE"""),"David Sanmartin Bello")</f>
        <v>David Sanmartin Bello</v>
      </c>
      <c r="C3116" s="15" t="str">
        <f>IFERROR(__xludf.DUMMYFUNCTION("""COMPUTED_VALUE"""),"CARTAGENA")</f>
        <v>CARTAGENA</v>
      </c>
      <c r="D3116" s="15" t="str">
        <f>IFERROR(__xludf.DUMMYFUNCTION("""COMPUTED_VALUE"""),"BOGOTÁ")</f>
        <v>BOGOTÁ</v>
      </c>
      <c r="E3116" s="15" t="str">
        <f>IFERROR(__xludf.DUMMYFUNCTION("""COMPUTED_VALUE"""),"Evamazzita")</f>
        <v>Evamazzita</v>
      </c>
      <c r="F3116" s="17" t="str">
        <f>IFERROR(__xludf.DUMMYFUNCTION("""COMPUTED_VALUE"""),"Urbanización los coralez  / mza L lote 14-1  / primer piso")</f>
        <v>Urbanización los coralez  / mza L lote 14-1  / primer piso</v>
      </c>
      <c r="G3116" s="15" t="str">
        <f>IFERROR(__xludf.DUMMYFUNCTION("""COMPUTED_VALUE"""),"DANIELA GRISAFI CUELLO")</f>
        <v>DANIELA GRISAFI CUELLO</v>
      </c>
      <c r="H3116" s="16">
        <f>IFERROR(__xludf.DUMMYFUNCTION("""COMPUTED_VALUE"""),11631.0)</f>
        <v>11631</v>
      </c>
      <c r="I3116" s="18">
        <f>IFERROR(__xludf.DUMMYFUNCTION("""COMPUTED_VALUE"""),10.0)</f>
        <v>10</v>
      </c>
      <c r="J3116" s="18">
        <f>IFERROR(__xludf.DUMMYFUNCTION("""COMPUTED_VALUE"""),18.0)</f>
        <v>18</v>
      </c>
      <c r="K3116" s="18">
        <f>IFERROR(__xludf.DUMMYFUNCTION("""COMPUTED_VALUE"""),22.0)</f>
        <v>22</v>
      </c>
      <c r="L3116" s="17">
        <f>IFERROR(__xludf.DUMMYFUNCTION("""COMPUTED_VALUE"""),3.017397665E9)</f>
        <v>3017397665</v>
      </c>
      <c r="M3116" s="17" t="str">
        <f>IFERROR(__xludf.DUMMYFUNCTION("""COMPUTED_VALUE"""),"#REF!")</f>
        <v>#REF!</v>
      </c>
      <c r="N3116" s="17"/>
      <c r="O3116" s="17"/>
      <c r="P3116" s="17" t="b">
        <f>IFERROR(__xludf.DUMMYFUNCTION("""COMPUTED_VALUE"""),TRUE)</f>
        <v>1</v>
      </c>
      <c r="Q3116" s="20">
        <f>IFERROR(__xludf.DUMMYFUNCTION("""COMPUTED_VALUE"""),45092.74996587963)</f>
        <v>45092.74997</v>
      </c>
      <c r="R3116" s="21" t="str">
        <f>IFERROR(__xludf.DUMMYFUNCTION("""COMPUTED_VALUE"""),"https://drive.google.com/file/d/1folMZkPL03m4ZOYhBSh4JfXl0XcMKnK_/view?usp=drivesdk")</f>
        <v>https://drive.google.com/file/d/1folMZkPL03m4ZOYhBSh4JfXl0XcMKnK_/view?usp=drivesdk</v>
      </c>
    </row>
    <row r="3117">
      <c r="A3117" s="15">
        <f>IFERROR(__xludf.DUMMYFUNCTION("""COMPUTED_VALUE"""),45092.0)</f>
        <v>45092</v>
      </c>
      <c r="B3117" s="16" t="str">
        <f>IFERROR(__xludf.DUMMYFUNCTION("""COMPUTED_VALUE"""),"David Sanmartin Bello")</f>
        <v>David Sanmartin Bello</v>
      </c>
      <c r="C3117" s="15" t="str">
        <f>IFERROR(__xludf.DUMMYFUNCTION("""COMPUTED_VALUE"""),"CARTAGENA")</f>
        <v>CARTAGENA</v>
      </c>
      <c r="D3117" s="15" t="str">
        <f>IFERROR(__xludf.DUMMYFUNCTION("""COMPUTED_VALUE"""),"BOGOTÁ")</f>
        <v>BOGOTÁ</v>
      </c>
      <c r="E3117" s="15" t="str">
        <f>IFERROR(__xludf.DUMMYFUNCTION("""COMPUTED_VALUE"""),"SISU PARTNERS SAS")</f>
        <v>SISU PARTNERS SAS</v>
      </c>
      <c r="F3117" s="17" t="str">
        <f>IFERROR(__xludf.DUMMYFUNCTION("""COMPUTED_VALUE"""),"Carrera 7 no. 38-48 local 3 / Local Mary &amp; George")</f>
        <v>Carrera 7 no. 38-48 local 3 / Local Mary &amp; George</v>
      </c>
      <c r="G3117" s="15" t="str">
        <f>IFERROR(__xludf.DUMMYFUNCTION("""COMPUTED_VALUE"""),"Carolyne Bailey")</f>
        <v>Carolyne Bailey</v>
      </c>
      <c r="H3117" s="16">
        <f>IFERROR(__xludf.DUMMYFUNCTION("""COMPUTED_VALUE"""),11718.0)</f>
        <v>11718</v>
      </c>
      <c r="I3117" s="18" t="str">
        <f>IFERROR(__xludf.DUMMYFUNCTION("""COMPUTED_VALUE"""),"52.5")</f>
        <v>52.5</v>
      </c>
      <c r="J3117" s="18">
        <f>IFERROR(__xludf.DUMMYFUNCTION("""COMPUTED_VALUE"""),45.0)</f>
        <v>45</v>
      </c>
      <c r="K3117" s="18">
        <f>IFERROR(__xludf.DUMMYFUNCTION("""COMPUTED_VALUE"""),55.0)</f>
        <v>55</v>
      </c>
      <c r="L3117" s="17">
        <f>IFERROR(__xludf.DUMMYFUNCTION("""COMPUTED_VALUE"""),3.105510381E9)</f>
        <v>3105510381</v>
      </c>
      <c r="M3117" s="17" t="str">
        <f>IFERROR(__xludf.DUMMYFUNCTION("""COMPUTED_VALUE"""),"#REF!")</f>
        <v>#REF!</v>
      </c>
      <c r="N3117" s="17"/>
      <c r="O3117" s="17"/>
      <c r="P3117" s="17" t="b">
        <f>IFERROR(__xludf.DUMMYFUNCTION("""COMPUTED_VALUE"""),TRUE)</f>
        <v>1</v>
      </c>
      <c r="Q3117" s="20">
        <f>IFERROR(__xludf.DUMMYFUNCTION("""COMPUTED_VALUE"""),45092.75019791667)</f>
        <v>45092.7502</v>
      </c>
      <c r="R3117" s="21" t="str">
        <f>IFERROR(__xludf.DUMMYFUNCTION("""COMPUTED_VALUE"""),"https://drive.google.com/file/d/1npnmwtl34maIVGq5WUu5qfsI1ZG6mROY/view?usp=drivesdk")</f>
        <v>https://drive.google.com/file/d/1npnmwtl34maIVGq5WUu5qfsI1ZG6mROY/view?usp=drivesdk</v>
      </c>
    </row>
    <row r="3118">
      <c r="A3118" s="15">
        <f>IFERROR(__xludf.DUMMYFUNCTION("""COMPUTED_VALUE"""),45092.0)</f>
        <v>45092</v>
      </c>
      <c r="B3118" s="16" t="str">
        <f>IFERROR(__xludf.DUMMYFUNCTION("""COMPUTED_VALUE"""),"David Sanmartin Bello")</f>
        <v>David Sanmartin Bello</v>
      </c>
      <c r="C3118" s="15" t="str">
        <f>IFERROR(__xludf.DUMMYFUNCTION("""COMPUTED_VALUE"""),"CARTAGENA")</f>
        <v>CARTAGENA</v>
      </c>
      <c r="D3118" s="15" t="str">
        <f>IFERROR(__xludf.DUMMYFUNCTION("""COMPUTED_VALUE"""),"BOGOTÁ")</f>
        <v>BOGOTÁ</v>
      </c>
      <c r="E3118" s="15" t="str">
        <f>IFERROR(__xludf.DUMMYFUNCTION("""COMPUTED_VALUE"""),"Ventura Productos Arg")</f>
        <v>Ventura Productos Arg</v>
      </c>
      <c r="F3118" s="17" t="str">
        <f>IFERROR(__xludf.DUMMYFUNCTION("""COMPUTED_VALUE"""),"Calle del Torno 39-29 / HOTEL SANTA CLARA CARTAGENA")</f>
        <v>Calle del Torno 39-29 / HOTEL SANTA CLARA CARTAGENA</v>
      </c>
      <c r="G3118" s="15" t="str">
        <f>IFERROR(__xludf.DUMMYFUNCTION("""COMPUTED_VALUE"""),"Elena Iboucheva-Resnick CTG")</f>
        <v>Elena Iboucheva-Resnick CTG</v>
      </c>
      <c r="H3118" s="16">
        <f>IFERROR(__xludf.DUMMYFUNCTION("""COMPUTED_VALUE"""),11595.0)</f>
        <v>11595</v>
      </c>
      <c r="I3118" s="18">
        <f>IFERROR(__xludf.DUMMYFUNCTION("""COMPUTED_VALUE"""),22.0)</f>
        <v>22</v>
      </c>
      <c r="J3118" s="18">
        <f>IFERROR(__xludf.DUMMYFUNCTION("""COMPUTED_VALUE"""),17.0)</f>
        <v>17</v>
      </c>
      <c r="K3118" s="18">
        <f>IFERROR(__xludf.DUMMYFUNCTION("""COMPUTED_VALUE"""),8.0)</f>
        <v>8</v>
      </c>
      <c r="L3118" s="17" t="str">
        <f>IFERROR(__xludf.DUMMYFUNCTION("""COMPUTED_VALUE"""),"3002603393 (tel de Francisco)")</f>
        <v>3002603393 (tel de Francisco)</v>
      </c>
      <c r="M3118" s="17" t="str">
        <f>IFERROR(__xludf.DUMMYFUNCTION("""COMPUTED_VALUE"""),"#REF!")</f>
        <v>#REF!</v>
      </c>
      <c r="N3118" s="17"/>
      <c r="O3118" s="17"/>
      <c r="P3118" s="17" t="b">
        <f>IFERROR(__xludf.DUMMYFUNCTION("""COMPUTED_VALUE"""),TRUE)</f>
        <v>1</v>
      </c>
      <c r="Q3118" s="20">
        <f>IFERROR(__xludf.DUMMYFUNCTION("""COMPUTED_VALUE"""),45092.74980564815)</f>
        <v>45092.74981</v>
      </c>
      <c r="R3118" s="22" t="str">
        <f>IFERROR(__xludf.DUMMYFUNCTION("""COMPUTED_VALUE"""),"")</f>
        <v/>
      </c>
    </row>
    <row r="3119">
      <c r="A3119" s="15">
        <f>IFERROR(__xludf.DUMMYFUNCTION("""COMPUTED_VALUE"""),45092.0)</f>
        <v>45092</v>
      </c>
      <c r="B3119" s="16" t="str">
        <f>IFERROR(__xludf.DUMMYFUNCTION("""COMPUTED_VALUE"""),"David Sanmartin Bello")</f>
        <v>David Sanmartin Bello</v>
      </c>
      <c r="C3119" s="15" t="str">
        <f>IFERROR(__xludf.DUMMYFUNCTION("""COMPUTED_VALUE"""),"CARTAGENA")</f>
        <v>CARTAGENA</v>
      </c>
      <c r="D3119" s="15" t="str">
        <f>IFERROR(__xludf.DUMMYFUNCTION("""COMPUTED_VALUE"""),"BOGOTÁ")</f>
        <v>BOGOTÁ</v>
      </c>
      <c r="E3119" s="15" t="str">
        <f>IFERROR(__xludf.DUMMYFUNCTION("""COMPUTED_VALUE"""),"Ventura Productos Arg")</f>
        <v>Ventura Productos Arg</v>
      </c>
      <c r="F3119" s="17" t="str">
        <f>IFERROR(__xludf.DUMMYFUNCTION("""COMPUTED_VALUE"""),"Calle del Torno 39-29 / HOTEL SANTA CLARA CARTAGENA")</f>
        <v>Calle del Torno 39-29 / HOTEL SANTA CLARA CARTAGENA</v>
      </c>
      <c r="G3119" s="15" t="str">
        <f>IFERROR(__xludf.DUMMYFUNCTION("""COMPUTED_VALUE"""),"Elena Iboucheva-Resnick CTG")</f>
        <v>Elena Iboucheva-Resnick CTG</v>
      </c>
      <c r="H3119" s="16">
        <f>IFERROR(__xludf.DUMMYFUNCTION("""COMPUTED_VALUE"""),11596.0)</f>
        <v>11596</v>
      </c>
      <c r="I3119" s="18">
        <f>IFERROR(__xludf.DUMMYFUNCTION("""COMPUTED_VALUE"""),3.0)</f>
        <v>3</v>
      </c>
      <c r="J3119" s="18">
        <f>IFERROR(__xludf.DUMMYFUNCTION("""COMPUTED_VALUE"""),45060.0)</f>
        <v>45060</v>
      </c>
      <c r="K3119" s="18">
        <f>IFERROR(__xludf.DUMMYFUNCTION("""COMPUTED_VALUE"""),22.0)</f>
        <v>22</v>
      </c>
      <c r="L3119" s="17" t="str">
        <f>IFERROR(__xludf.DUMMYFUNCTION("""COMPUTED_VALUE"""),"3002603393 (tel de Francisco)")</f>
        <v>3002603393 (tel de Francisco)</v>
      </c>
      <c r="M3119" s="17" t="str">
        <f>IFERROR(__xludf.DUMMYFUNCTION("""COMPUTED_VALUE"""),"#REF!")</f>
        <v>#REF!</v>
      </c>
      <c r="N3119" s="17"/>
      <c r="O3119" s="17"/>
      <c r="P3119" s="17" t="b">
        <f>IFERROR(__xludf.DUMMYFUNCTION("""COMPUTED_VALUE"""),FALSE)</f>
        <v>0</v>
      </c>
      <c r="Q3119" s="20" t="str">
        <f>IFERROR(__xludf.DUMMYFUNCTION("""COMPUTED_VALUE"""),"")</f>
        <v/>
      </c>
      <c r="R3119" s="21" t="str">
        <f>IFERROR(__xludf.DUMMYFUNCTION("""COMPUTED_VALUE"""),"https://drive.google.com/file/d/1A8Lgn78JxepfjFSJRgt7J-RsG-NOtDv7/view?usp=drivesdk")</f>
        <v>https://drive.google.com/file/d/1A8Lgn78JxepfjFSJRgt7J-RsG-NOtDv7/view?usp=drivesdk</v>
      </c>
    </row>
    <row r="3120">
      <c r="A3120" s="15">
        <f>IFERROR(__xludf.DUMMYFUNCTION("""COMPUTED_VALUE"""),45092.0)</f>
        <v>45092</v>
      </c>
      <c r="B3120" s="16" t="str">
        <f>IFERROR(__xludf.DUMMYFUNCTION("""COMPUTED_VALUE"""),"David Sanmartin Bello")</f>
        <v>David Sanmartin Bello</v>
      </c>
      <c r="C3120" s="15" t="str">
        <f>IFERROR(__xludf.DUMMYFUNCTION("""COMPUTED_VALUE"""),"MEDELLÍN")</f>
        <v>MEDELLÍN</v>
      </c>
      <c r="D3120" s="15" t="str">
        <f>IFERROR(__xludf.DUMMYFUNCTION("""COMPUTED_VALUE"""),"BOGOTÁ")</f>
        <v>BOGOTÁ</v>
      </c>
      <c r="E3120" s="15" t="str">
        <f>IFERROR(__xludf.DUMMYFUNCTION("""COMPUTED_VALUE"""),"SISU PARTNERS SAS")</f>
        <v>SISU PARTNERS SAS</v>
      </c>
      <c r="F3120" s="17" t="str">
        <f>IFERROR(__xludf.DUMMYFUNCTION("""COMPUTED_VALUE"""),"Carrera 34 no. 7-86 / Local Mary &amp; George")</f>
        <v>Carrera 34 no. 7-86 / Local Mary &amp; George</v>
      </c>
      <c r="G3120" s="15" t="str">
        <f>IFERROR(__xludf.DUMMYFUNCTION("""COMPUTED_VALUE"""),"Maria Paulina Pérez")</f>
        <v>Maria Paulina Pérez</v>
      </c>
      <c r="H3120" s="16">
        <f>IFERROR(__xludf.DUMMYFUNCTION("""COMPUTED_VALUE"""),11717.0)</f>
        <v>11717</v>
      </c>
      <c r="I3120" s="18" t="str">
        <f>IFERROR(__xludf.DUMMYFUNCTION("""COMPUTED_VALUE"""),"52.5")</f>
        <v>52.5</v>
      </c>
      <c r="J3120" s="18">
        <f>IFERROR(__xludf.DUMMYFUNCTION("""COMPUTED_VALUE"""),45.0)</f>
        <v>45</v>
      </c>
      <c r="K3120" s="18">
        <f>IFERROR(__xludf.DUMMYFUNCTION("""COMPUTED_VALUE"""),55.0)</f>
        <v>55</v>
      </c>
      <c r="L3120" s="17">
        <f>IFERROR(__xludf.DUMMYFUNCTION("""COMPUTED_VALUE"""),3.182186058E9)</f>
        <v>3182186058</v>
      </c>
      <c r="M3120" s="17" t="str">
        <f>IFERROR(__xludf.DUMMYFUNCTION("""COMPUTED_VALUE"""),"#REF!")</f>
        <v>#REF!</v>
      </c>
      <c r="N3120" s="17"/>
      <c r="O3120" s="17"/>
      <c r="P3120" s="17" t="b">
        <f>IFERROR(__xludf.DUMMYFUNCTION("""COMPUTED_VALUE"""),TRUE)</f>
        <v>1</v>
      </c>
      <c r="Q3120" s="20">
        <f>IFERROR(__xludf.DUMMYFUNCTION("""COMPUTED_VALUE"""),45092.75023561342)</f>
        <v>45092.75024</v>
      </c>
      <c r="R3120" s="21" t="str">
        <f>IFERROR(__xludf.DUMMYFUNCTION("""COMPUTED_VALUE"""),"https://drive.google.com/file/d/1ZIBShhs8f-rb0FAW0i9o9L2mSmK-5m4y/view?usp=drivesdk")</f>
        <v>https://drive.google.com/file/d/1ZIBShhs8f-rb0FAW0i9o9L2mSmK-5m4y/view?usp=drivesdk</v>
      </c>
    </row>
    <row r="3121">
      <c r="A3121" s="15">
        <f>IFERROR(__xludf.DUMMYFUNCTION("""COMPUTED_VALUE"""),45092.0)</f>
        <v>45092</v>
      </c>
      <c r="B3121" s="16" t="str">
        <f>IFERROR(__xludf.DUMMYFUNCTION("""COMPUTED_VALUE"""),"David Sanmartin Bello")</f>
        <v>David Sanmartin Bello</v>
      </c>
      <c r="C3121" s="15" t="str">
        <f>IFERROR(__xludf.DUMMYFUNCTION("""COMPUTED_VALUE"""),"MEDELLÍN")</f>
        <v>MEDELLÍN</v>
      </c>
      <c r="D3121" s="15" t="str">
        <f>IFERROR(__xludf.DUMMYFUNCTION("""COMPUTED_VALUE"""),"PEREIRA")</f>
        <v>PEREIRA</v>
      </c>
      <c r="E3121" s="15" t="str">
        <f>IFERROR(__xludf.DUMMYFUNCTION("""COMPUTED_VALUE"""),"BAK&amp;VEG")</f>
        <v>BAK&amp;VEG</v>
      </c>
      <c r="F3121" s="17" t="str">
        <f>IFERROR(__xludf.DUMMYFUNCTION("""COMPUTED_VALUE"""),"calle 52 #64A - 39 / bloque 73  apto 301")</f>
        <v>calle 52 #64A - 39 / bloque 73  apto 301</v>
      </c>
      <c r="G3121" s="15" t="str">
        <f>IFERROR(__xludf.DUMMYFUNCTION("""COMPUTED_VALUE"""),"Carla cueto")</f>
        <v>Carla cueto</v>
      </c>
      <c r="H3121" s="16">
        <f>IFERROR(__xludf.DUMMYFUNCTION("""COMPUTED_VALUE"""),11754.0)</f>
        <v>11754</v>
      </c>
      <c r="I3121" s="18">
        <f>IFERROR(__xludf.DUMMYFUNCTION("""COMPUTED_VALUE"""),20.0)</f>
        <v>20</v>
      </c>
      <c r="J3121" s="18">
        <f>IFERROR(__xludf.DUMMYFUNCTION("""COMPUTED_VALUE"""),20.0)</f>
        <v>20</v>
      </c>
      <c r="K3121" s="18">
        <f>IFERROR(__xludf.DUMMYFUNCTION("""COMPUTED_VALUE"""),26.0)</f>
        <v>26</v>
      </c>
      <c r="L3121" s="17">
        <f>IFERROR(__xludf.DUMMYFUNCTION("""COMPUTED_VALUE"""),3.178728823E9)</f>
        <v>3178728823</v>
      </c>
      <c r="M3121" s="17" t="str">
        <f>IFERROR(__xludf.DUMMYFUNCTION("""COMPUTED_VALUE"""),"#REF!")</f>
        <v>#REF!</v>
      </c>
      <c r="N3121" s="17"/>
      <c r="O3121" s="17"/>
      <c r="P3121" s="17" t="b">
        <f>IFERROR(__xludf.DUMMYFUNCTION("""COMPUTED_VALUE"""),TRUE)</f>
        <v>1</v>
      </c>
      <c r="Q3121" s="20">
        <f>IFERROR(__xludf.DUMMYFUNCTION("""COMPUTED_VALUE"""),45092.63287769676)</f>
        <v>45092.63288</v>
      </c>
      <c r="R3121" s="21" t="str">
        <f>IFERROR(__xludf.DUMMYFUNCTION("""COMPUTED_VALUE"""),"https://drive.google.com/file/d/1jdnjcMqDCd-IJZsGPjLC3K-vkqy5dk9S/view?usp=drivesdk")</f>
        <v>https://drive.google.com/file/d/1jdnjcMqDCd-IJZsGPjLC3K-vkqy5dk9S/view?usp=drivesdk</v>
      </c>
    </row>
    <row r="3122">
      <c r="A3122" s="17" t="str">
        <f>IFERROR(__xludf.DUMMYFUNCTION("""COMPUTED_VALUE"""),"")</f>
        <v/>
      </c>
      <c r="B3122" s="17" t="str">
        <f>IFERROR(__xludf.DUMMYFUNCTION("""COMPUTED_VALUE"""),"")</f>
        <v/>
      </c>
      <c r="C3122" s="17" t="str">
        <f>IFERROR(__xludf.DUMMYFUNCTION("""COMPUTED_VALUE"""),"")</f>
        <v/>
      </c>
      <c r="D3122" s="17" t="str">
        <f>IFERROR(__xludf.DUMMYFUNCTION("""COMPUTED_VALUE"""),"")</f>
        <v/>
      </c>
      <c r="E3122" s="17" t="str">
        <f>IFERROR(__xludf.DUMMYFUNCTION("""COMPUTED_VALUE"""),"")</f>
        <v/>
      </c>
      <c r="F3122" s="17" t="str">
        <f>IFERROR(__xludf.DUMMYFUNCTION("""COMPUTED_VALUE"""),"")</f>
        <v/>
      </c>
      <c r="G3122" s="17" t="str">
        <f>IFERROR(__xludf.DUMMYFUNCTION("""COMPUTED_VALUE"""),"")</f>
        <v/>
      </c>
      <c r="H3122" s="17" t="str">
        <f>IFERROR(__xludf.DUMMYFUNCTION("""COMPUTED_VALUE"""),"")</f>
        <v/>
      </c>
      <c r="I3122" s="17" t="str">
        <f>IFERROR(__xludf.DUMMYFUNCTION("""COMPUTED_VALUE"""),"")</f>
        <v/>
      </c>
      <c r="J3122" s="17" t="str">
        <f>IFERROR(__xludf.DUMMYFUNCTION("""COMPUTED_VALUE"""),"")</f>
        <v/>
      </c>
      <c r="K3122" s="17" t="str">
        <f>IFERROR(__xludf.DUMMYFUNCTION("""COMPUTED_VALUE"""),"")</f>
        <v/>
      </c>
      <c r="L3122" s="17" t="str">
        <f>IFERROR(__xludf.DUMMYFUNCTION("""COMPUTED_VALUE"""),"")</f>
        <v/>
      </c>
      <c r="M3122" s="17" t="str">
        <f>IFERROR(__xludf.DUMMYFUNCTION("""COMPUTED_VALUE"""),"")</f>
        <v/>
      </c>
      <c r="N3122" s="17" t="str">
        <f>IFERROR(__xludf.DUMMYFUNCTION("""COMPUTED_VALUE"""),"")</f>
        <v/>
      </c>
      <c r="O3122" s="17" t="str">
        <f>IFERROR(__xludf.DUMMYFUNCTION("""COMPUTED_VALUE"""),"")</f>
        <v/>
      </c>
      <c r="P3122" s="17" t="str">
        <f>IFERROR(__xludf.DUMMYFUNCTION("""COMPUTED_VALUE"""),"")</f>
        <v/>
      </c>
      <c r="Q3122" s="17" t="str">
        <f>IFERROR(__xludf.DUMMYFUNCTION("""COMPUTED_VALUE"""),"")</f>
        <v/>
      </c>
      <c r="R3122" s="17" t="str">
        <f>IFERROR(__xludf.DUMMYFUNCTION("""COMPUTED_VALUE"""),"")</f>
        <v/>
      </c>
    </row>
    <row r="3123">
      <c r="A3123" s="15">
        <f>IFERROR(__xludf.DUMMYFUNCTION("""COMPUTED_VALUE"""),45092.0)</f>
        <v>45092</v>
      </c>
      <c r="B3123" s="16" t="str">
        <f>IFERROR(__xludf.DUMMYFUNCTION("""COMPUTED_VALUE"""),"Envia")</f>
        <v>Envia</v>
      </c>
      <c r="C3123" s="15" t="str">
        <f>IFERROR(__xludf.DUMMYFUNCTION("""COMPUTED_VALUE"""),"BOGOTÁ")</f>
        <v>BOGOTÁ</v>
      </c>
      <c r="D3123" s="15" t="str">
        <f>IFERROR(__xludf.DUMMYFUNCTION("""COMPUTED_VALUE"""),"CALI")</f>
        <v>CALI</v>
      </c>
      <c r="E3123" s="15" t="str">
        <f>IFERROR(__xludf.DUMMYFUNCTION("""COMPUTED_VALUE"""),"Sabor Típico")</f>
        <v>Sabor Típico</v>
      </c>
      <c r="F3123" s="17" t="str">
        <f>IFERROR(__xludf.DUMMYFUNCTION("""COMPUTED_VALUE"""),"Transversal 9 este #29-56 sur balcones de San Pedro torre 1 apto 202 / Balcones de San Pedro / Balcones de San Pedro")</f>
        <v>Transversal 9 este #29-56 sur balcones de San Pedro torre 1 apto 202 / Balcones de San Pedro / Balcones de San Pedro</v>
      </c>
      <c r="G3123" s="15" t="str">
        <f>IFERROR(__xludf.DUMMYFUNCTION("""COMPUTED_VALUE"""),"Edgar Lara")</f>
        <v>Edgar Lara</v>
      </c>
      <c r="H3123" s="16">
        <f>IFERROR(__xludf.DUMMYFUNCTION("""COMPUTED_VALUE"""),11706.0)</f>
        <v>11706</v>
      </c>
      <c r="I3123" s="18">
        <f>IFERROR(__xludf.DUMMYFUNCTION("""COMPUTED_VALUE"""),9.0)</f>
        <v>9</v>
      </c>
      <c r="J3123" s="18">
        <f>IFERROR(__xludf.DUMMYFUNCTION("""COMPUTED_VALUE"""),30.0)</f>
        <v>30</v>
      </c>
      <c r="K3123" s="18">
        <f>IFERROR(__xludf.DUMMYFUNCTION("""COMPUTED_VALUE"""),22.0)</f>
        <v>22</v>
      </c>
      <c r="L3123" s="17">
        <f>IFERROR(__xludf.DUMMYFUNCTION("""COMPUTED_VALUE"""),3.228519758E9)</f>
        <v>3228519758</v>
      </c>
      <c r="M3123" s="17" t="str">
        <f>IFERROR(__xludf.DUMMYFUNCTION("""COMPUTED_VALUE"""),"#REF!")</f>
        <v>#REF!</v>
      </c>
      <c r="N3123" s="17"/>
      <c r="O3123" s="17"/>
      <c r="P3123" s="17" t="b">
        <f>IFERROR(__xludf.DUMMYFUNCTION("""COMPUTED_VALUE"""),TRUE)</f>
        <v>1</v>
      </c>
      <c r="Q3123" s="20">
        <f>IFERROR(__xludf.DUMMYFUNCTION("""COMPUTED_VALUE"""),45092.63292542824)</f>
        <v>45092.63293</v>
      </c>
      <c r="R3123" s="21" t="str">
        <f>IFERROR(__xludf.DUMMYFUNCTION("""COMPUTED_VALUE"""),"https://drive.google.com/file/d/1p7AH3YyxPByboQBVzJAy27VuD9u4Ut6u/view?usp=drivesdk")</f>
        <v>https://drive.google.com/file/d/1p7AH3YyxPByboQBVzJAy27VuD9u4Ut6u/view?usp=drivesdk</v>
      </c>
    </row>
    <row r="3124">
      <c r="A3124" s="15">
        <f>IFERROR(__xludf.DUMMYFUNCTION("""COMPUTED_VALUE"""),45092.0)</f>
        <v>45092</v>
      </c>
      <c r="B3124" s="16" t="str">
        <f>IFERROR(__xludf.DUMMYFUNCTION("""COMPUTED_VALUE"""),"Envia")</f>
        <v>Envia</v>
      </c>
      <c r="C3124" s="15" t="str">
        <f>IFERROR(__xludf.DUMMYFUNCTION("""COMPUTED_VALUE"""),"BOGOTÁ")</f>
        <v>BOGOTÁ</v>
      </c>
      <c r="D3124" s="15" t="str">
        <f>IFERROR(__xludf.DUMMYFUNCTION("""COMPUTED_VALUE"""),"PEREIRA")</f>
        <v>PEREIRA</v>
      </c>
      <c r="E3124" s="15" t="str">
        <f>IFERROR(__xludf.DUMMYFUNCTION("""COMPUTED_VALUE"""),"BAK&amp;VEG")</f>
        <v>BAK&amp;VEG</v>
      </c>
      <c r="F3124" s="17" t="str">
        <f>IFERROR(__xludf.DUMMYFUNCTION("""COMPUTED_VALUE"""),"CALLE 45 #22-55")</f>
        <v>CALLE 45 #22-55</v>
      </c>
      <c r="G3124" s="15" t="str">
        <f>IFERROR(__xludf.DUMMYFUNCTION("""COMPUTED_VALUE"""),"ADRIANA CUCA")</f>
        <v>ADRIANA CUCA</v>
      </c>
      <c r="H3124" s="16">
        <f>IFERROR(__xludf.DUMMYFUNCTION("""COMPUTED_VALUE"""),11707.0)</f>
        <v>11707</v>
      </c>
      <c r="I3124" s="17"/>
      <c r="J3124" s="17"/>
      <c r="K3124" s="17"/>
      <c r="L3124" s="17">
        <f>IFERROR(__xludf.DUMMYFUNCTION("""COMPUTED_VALUE"""),3.116999271E9)</f>
        <v>3116999271</v>
      </c>
      <c r="M3124" s="17" t="str">
        <f>IFERROR(__xludf.DUMMYFUNCTION("""COMPUTED_VALUE"""),"#REF!")</f>
        <v>#REF!</v>
      </c>
      <c r="N3124" s="17"/>
      <c r="O3124" s="17"/>
      <c r="P3124" s="17" t="b">
        <f>IFERROR(__xludf.DUMMYFUNCTION("""COMPUTED_VALUE"""),TRUE)</f>
        <v>1</v>
      </c>
      <c r="Q3124" s="20">
        <f>IFERROR(__xludf.DUMMYFUNCTION("""COMPUTED_VALUE"""),45092.63292542824)</f>
        <v>45092.63293</v>
      </c>
      <c r="R3124" s="22" t="str">
        <f>IFERROR(__xludf.DUMMYFUNCTION("""COMPUTED_VALUE"""),"")</f>
        <v/>
      </c>
    </row>
    <row r="3125">
      <c r="A3125" s="15">
        <f>IFERROR(__xludf.DUMMYFUNCTION("""COMPUTED_VALUE"""),45092.0)</f>
        <v>45092</v>
      </c>
      <c r="B3125" s="16" t="str">
        <f>IFERROR(__xludf.DUMMYFUNCTION("""COMPUTED_VALUE"""),"Envia")</f>
        <v>Envia</v>
      </c>
      <c r="C3125" s="15" t="str">
        <f>IFERROR(__xludf.DUMMYFUNCTION("""COMPUTED_VALUE"""),"BOGOTÁ")</f>
        <v>BOGOTÁ</v>
      </c>
      <c r="D3125" s="15" t="str">
        <f>IFERROR(__xludf.DUMMYFUNCTION("""COMPUTED_VALUE"""),"PEREIRA")</f>
        <v>PEREIRA</v>
      </c>
      <c r="E3125" s="15" t="str">
        <f>IFERROR(__xludf.DUMMYFUNCTION("""COMPUTED_VALUE"""),"BAK&amp;VEG")</f>
        <v>BAK&amp;VEG</v>
      </c>
      <c r="F3125" s="17" t="str">
        <f>IFERROR(__xludf.DUMMYFUNCTION("""COMPUTED_VALUE"""),"CALLE 45 #22-55")</f>
        <v>CALLE 45 #22-55</v>
      </c>
      <c r="G3125" s="15" t="str">
        <f>IFERROR(__xludf.DUMMYFUNCTION("""COMPUTED_VALUE"""),"ADRIANA CUCA")</f>
        <v>ADRIANA CUCA</v>
      </c>
      <c r="H3125" s="16">
        <f>IFERROR(__xludf.DUMMYFUNCTION("""COMPUTED_VALUE"""),11708.0)</f>
        <v>11708</v>
      </c>
      <c r="I3125" s="18">
        <f>IFERROR(__xludf.DUMMYFUNCTION("""COMPUTED_VALUE"""),27.0)</f>
        <v>27</v>
      </c>
      <c r="J3125" s="18">
        <f>IFERROR(__xludf.DUMMYFUNCTION("""COMPUTED_VALUE"""),27.0)</f>
        <v>27</v>
      </c>
      <c r="K3125" s="18">
        <f>IFERROR(__xludf.DUMMYFUNCTION("""COMPUTED_VALUE"""),27.0)</f>
        <v>27</v>
      </c>
      <c r="L3125" s="17">
        <f>IFERROR(__xludf.DUMMYFUNCTION("""COMPUTED_VALUE"""),3.116999271E9)</f>
        <v>3116999271</v>
      </c>
      <c r="M3125" s="17" t="str">
        <f>IFERROR(__xludf.DUMMYFUNCTION("""COMPUTED_VALUE"""),"#REF!")</f>
        <v>#REF!</v>
      </c>
      <c r="N3125" s="17"/>
      <c r="O3125" s="17"/>
      <c r="P3125" s="17" t="b">
        <f>IFERROR(__xludf.DUMMYFUNCTION("""COMPUTED_VALUE"""),TRUE)</f>
        <v>1</v>
      </c>
      <c r="Q3125" s="20">
        <f>IFERROR(__xludf.DUMMYFUNCTION("""COMPUTED_VALUE"""),45092.63292542824)</f>
        <v>45092.63293</v>
      </c>
      <c r="R3125" s="22" t="str">
        <f>IFERROR(__xludf.DUMMYFUNCTION("""COMPUTED_VALUE"""),"")</f>
        <v/>
      </c>
    </row>
    <row r="3126">
      <c r="A3126" s="15">
        <f>IFERROR(__xludf.DUMMYFUNCTION("""COMPUTED_VALUE"""),45092.0)</f>
        <v>45092</v>
      </c>
      <c r="B3126" s="16" t="str">
        <f>IFERROR(__xludf.DUMMYFUNCTION("""COMPUTED_VALUE"""),"Envia")</f>
        <v>Envia</v>
      </c>
      <c r="C3126" s="15" t="str">
        <f>IFERROR(__xludf.DUMMYFUNCTION("""COMPUTED_VALUE"""),"CALI")</f>
        <v>CALI</v>
      </c>
      <c r="D3126" s="15" t="str">
        <f>IFERROR(__xludf.DUMMYFUNCTION("""COMPUTED_VALUE"""),"MEDELLÍN")</f>
        <v>MEDELLÍN</v>
      </c>
      <c r="E3126" s="15" t="str">
        <f>IFERROR(__xludf.DUMMYFUNCTION("""COMPUTED_VALUE"""),"Baby Chef")</f>
        <v>Baby Chef</v>
      </c>
      <c r="F3126" s="17" t="str">
        <f>IFERROR(__xludf.DUMMYFUNCTION("""COMPUTED_VALUE"""),"Carrera 69 # 13E-15 Manzana 4 casa 27 La hacienda  / Carrera 69 # 13E-15 Manzana 4 casa 27 La hacienda  / Carrera 69 # 13E-15 Manzana 4 casa 27 La hacienda")</f>
        <v>Carrera 69 # 13E-15 Manzana 4 casa 27 La hacienda  / Carrera 69 # 13E-15 Manzana 4 casa 27 La hacienda  / Carrera 69 # 13E-15 Manzana 4 casa 27 La hacienda</v>
      </c>
      <c r="G3126" s="15" t="str">
        <f>IFERROR(__xludf.DUMMYFUNCTION("""COMPUTED_VALUE"""),"Monica Díaz")</f>
        <v>Monica Díaz</v>
      </c>
      <c r="H3126" s="16">
        <f>IFERROR(__xludf.DUMMYFUNCTION("""COMPUTED_VALUE"""),11750.0)</f>
        <v>11750</v>
      </c>
      <c r="I3126" s="18">
        <f>IFERROR(__xludf.DUMMYFUNCTION("""COMPUTED_VALUE"""),8.0)</f>
        <v>8</v>
      </c>
      <c r="J3126" s="18">
        <f>IFERROR(__xludf.DUMMYFUNCTION("""COMPUTED_VALUE"""),16.0)</f>
        <v>16</v>
      </c>
      <c r="K3126" s="18">
        <f>IFERROR(__xludf.DUMMYFUNCTION("""COMPUTED_VALUE"""),20.0)</f>
        <v>20</v>
      </c>
      <c r="L3126" s="17">
        <f>IFERROR(__xludf.DUMMYFUNCTION("""COMPUTED_VALUE"""),3.102113698E9)</f>
        <v>3102113698</v>
      </c>
      <c r="M3126" s="17" t="str">
        <f>IFERROR(__xludf.DUMMYFUNCTION("""COMPUTED_VALUE"""),"#REF!")</f>
        <v>#REF!</v>
      </c>
      <c r="N3126" s="17"/>
      <c r="O3126" s="17"/>
      <c r="P3126" s="17" t="b">
        <f>IFERROR(__xludf.DUMMYFUNCTION("""COMPUTED_VALUE"""),TRUE)</f>
        <v>1</v>
      </c>
      <c r="Q3126" s="20">
        <f>IFERROR(__xludf.DUMMYFUNCTION("""COMPUTED_VALUE"""),45092.63292542824)</f>
        <v>45092.63293</v>
      </c>
      <c r="R3126" s="21" t="str">
        <f>IFERROR(__xludf.DUMMYFUNCTION("""COMPUTED_VALUE"""),"https://drive.google.com/file/d/1B5emIv5IiVTKIx5RVH-wfBICdcWycJBG/view?usp=drivesdk")</f>
        <v>https://drive.google.com/file/d/1B5emIv5IiVTKIx5RVH-wfBICdcWycJBG/view?usp=drivesdk</v>
      </c>
    </row>
    <row r="3127">
      <c r="A3127" s="15">
        <f>IFERROR(__xludf.DUMMYFUNCTION("""COMPUTED_VALUE"""),45092.0)</f>
        <v>45092</v>
      </c>
      <c r="B3127" s="16" t="str">
        <f>IFERROR(__xludf.DUMMYFUNCTION("""COMPUTED_VALUE"""),"Envia")</f>
        <v>Envia</v>
      </c>
      <c r="C3127" s="15" t="str">
        <f>IFERROR(__xludf.DUMMYFUNCTION("""COMPUTED_VALUE"""),"CALI")</f>
        <v>CALI</v>
      </c>
      <c r="D3127" s="15" t="str">
        <f>IFERROR(__xludf.DUMMYFUNCTION("""COMPUTED_VALUE"""),"MEDELLÍN")</f>
        <v>MEDELLÍN</v>
      </c>
      <c r="E3127" s="15" t="str">
        <f>IFERROR(__xludf.DUMMYFUNCTION("""COMPUTED_VALUE"""),"JD Bufala")</f>
        <v>JD Bufala</v>
      </c>
      <c r="F3127" s="17" t="str">
        <f>IFERROR(__xludf.DUMMYFUNCTION("""COMPUTED_VALUE"""),"Cll 51norte #4bn72 / Delhuertopizzeria  / La flora")</f>
        <v>Cll 51norte #4bn72 / Delhuertopizzeria  / La flora</v>
      </c>
      <c r="G3127" s="15" t="str">
        <f>IFERROR(__xludf.DUMMYFUNCTION("""COMPUTED_VALUE"""),"Javier Rodríguez")</f>
        <v>Javier Rodríguez</v>
      </c>
      <c r="H3127" s="16">
        <f>IFERROR(__xludf.DUMMYFUNCTION("""COMPUTED_VALUE"""),11721.0)</f>
        <v>11721</v>
      </c>
      <c r="I3127" s="18">
        <f>IFERROR(__xludf.DUMMYFUNCTION("""COMPUTED_VALUE"""),45066.0)</f>
        <v>45066</v>
      </c>
      <c r="J3127" s="18">
        <f>IFERROR(__xludf.DUMMYFUNCTION("""COMPUTED_VALUE"""),28.0)</f>
        <v>28</v>
      </c>
      <c r="K3127" s="18">
        <f>IFERROR(__xludf.DUMMYFUNCTION("""COMPUTED_VALUE"""),40.0)</f>
        <v>40</v>
      </c>
      <c r="L3127" s="17">
        <f>IFERROR(__xludf.DUMMYFUNCTION("""COMPUTED_VALUE"""),3.104919761E9)</f>
        <v>3104919761</v>
      </c>
      <c r="M3127" s="17" t="str">
        <f>IFERROR(__xludf.DUMMYFUNCTION("""COMPUTED_VALUE"""),"#REF!")</f>
        <v>#REF!</v>
      </c>
      <c r="N3127" s="17"/>
      <c r="O3127" s="17"/>
      <c r="P3127" s="17" t="b">
        <f>IFERROR(__xludf.DUMMYFUNCTION("""COMPUTED_VALUE"""),TRUE)</f>
        <v>1</v>
      </c>
      <c r="Q3127" s="20">
        <f>IFERROR(__xludf.DUMMYFUNCTION("""COMPUTED_VALUE"""),45092.632925439815)</f>
        <v>45092.63293</v>
      </c>
      <c r="R3127" s="22" t="str">
        <f>IFERROR(__xludf.DUMMYFUNCTION("""COMPUTED_VALUE"""),"")</f>
        <v/>
      </c>
    </row>
    <row r="3128">
      <c r="A3128" s="15">
        <f>IFERROR(__xludf.DUMMYFUNCTION("""COMPUTED_VALUE"""),45092.0)</f>
        <v>45092</v>
      </c>
      <c r="B3128" s="16" t="str">
        <f>IFERROR(__xludf.DUMMYFUNCTION("""COMPUTED_VALUE"""),"Envia")</f>
        <v>Envia</v>
      </c>
      <c r="C3128" s="15" t="str">
        <f>IFERROR(__xludf.DUMMYFUNCTION("""COMPUTED_VALUE"""),"CARTAGENA")</f>
        <v>CARTAGENA</v>
      </c>
      <c r="D3128" s="15" t="str">
        <f>IFERROR(__xludf.DUMMYFUNCTION("""COMPUTED_VALUE"""),"BOGOTÁ")</f>
        <v>BOGOTÁ</v>
      </c>
      <c r="E3128" s="15" t="str">
        <f>IFERROR(__xludf.DUMMYFUNCTION("""COMPUTED_VALUE"""),"Lunchy Kids")</f>
        <v>Lunchy Kids</v>
      </c>
      <c r="F3128" s="17" t="str">
        <f>IFERROR(__xludf.DUMMYFUNCTION("""COMPUTED_VALUE"""),"MonteBianco Club House, Transversal 73 #31i-129  / Edificio Montebianco torre 3b apto 916  / Barrio Los alpes")</f>
        <v>MonteBianco Club House, Transversal 73 #31i-129  / Edificio Montebianco torre 3b apto 916  / Barrio Los alpes</v>
      </c>
      <c r="G3128" s="15" t="str">
        <f>IFERROR(__xludf.DUMMYFUNCTION("""COMPUTED_VALUE"""),"Lelys Thorrens")</f>
        <v>Lelys Thorrens</v>
      </c>
      <c r="H3128" s="16">
        <f>IFERROR(__xludf.DUMMYFUNCTION("""COMPUTED_VALUE"""),11589.0)</f>
        <v>11589</v>
      </c>
      <c r="I3128" s="18">
        <f>IFERROR(__xludf.DUMMYFUNCTION("""COMPUTED_VALUE"""),17.0)</f>
        <v>17</v>
      </c>
      <c r="J3128" s="18">
        <f>IFERROR(__xludf.DUMMYFUNCTION("""COMPUTED_VALUE"""),27.0)</f>
        <v>27</v>
      </c>
      <c r="K3128" s="18">
        <f>IFERROR(__xludf.DUMMYFUNCTION("""COMPUTED_VALUE"""),9.0)</f>
        <v>9</v>
      </c>
      <c r="L3128" s="17">
        <f>IFERROR(__xludf.DUMMYFUNCTION("""COMPUTED_VALUE"""),3.005251631E9)</f>
        <v>3005251631</v>
      </c>
      <c r="M3128" s="17" t="str">
        <f>IFERROR(__xludf.DUMMYFUNCTION("""COMPUTED_VALUE"""),"#REF!")</f>
        <v>#REF!</v>
      </c>
      <c r="N3128" s="17"/>
      <c r="O3128" s="17"/>
      <c r="P3128" s="17" t="b">
        <f>IFERROR(__xludf.DUMMYFUNCTION("""COMPUTED_VALUE"""),FALSE)</f>
        <v>0</v>
      </c>
      <c r="Q3128" s="20" t="str">
        <f>IFERROR(__xludf.DUMMYFUNCTION("""COMPUTED_VALUE"""),"")</f>
        <v/>
      </c>
      <c r="R3128" s="21" t="str">
        <f>IFERROR(__xludf.DUMMYFUNCTION("""COMPUTED_VALUE"""),"https://drive.google.com/file/d/1yUHhUXE8GF5pwd_dyIi8oOl3EjQ3MNsQ/view?usp=drivesdk")</f>
        <v>https://drive.google.com/file/d/1yUHhUXE8GF5pwd_dyIi8oOl3EjQ3MNsQ/view?usp=drivesdk</v>
      </c>
    </row>
    <row r="3129">
      <c r="A3129" s="15">
        <f>IFERROR(__xludf.DUMMYFUNCTION("""COMPUTED_VALUE"""),45092.0)</f>
        <v>45092</v>
      </c>
      <c r="B3129" s="16" t="str">
        <f>IFERROR(__xludf.DUMMYFUNCTION("""COMPUTED_VALUE"""),"Envia")</f>
        <v>Envia</v>
      </c>
      <c r="C3129" s="15" t="str">
        <f>IFERROR(__xludf.DUMMYFUNCTION("""COMPUTED_VALUE"""),"CARTAGENA")</f>
        <v>CARTAGENA</v>
      </c>
      <c r="D3129" s="15" t="str">
        <f>IFERROR(__xludf.DUMMYFUNCTION("""COMPUTED_VALUE"""),"MEDELLÍN")</f>
        <v>MEDELLÍN</v>
      </c>
      <c r="E3129" s="15" t="str">
        <f>IFERROR(__xludf.DUMMYFUNCTION("""COMPUTED_VALUE"""),"Expoclover")</f>
        <v>Expoclover</v>
      </c>
      <c r="F3129" s="17" t="str">
        <f>IFERROR(__xludf.DUMMYFUNCTION("""COMPUTED_VALUE"""),"CARRERA 1 # 05-01  / HOTEL INTERCONTINENTAL  / BOCAGRANDE")</f>
        <v>CARRERA 1 # 05-01  / HOTEL INTERCONTINENTAL  / BOCAGRANDE</v>
      </c>
      <c r="G3129" s="15" t="str">
        <f>IFERROR(__xludf.DUMMYFUNCTION("""COMPUTED_VALUE"""),"ALEJANDRO  MANFREDONIO")</f>
        <v>ALEJANDRO  MANFREDONIO</v>
      </c>
      <c r="H3129" s="16">
        <f>IFERROR(__xludf.DUMMYFUNCTION("""COMPUTED_VALUE"""),11666.0)</f>
        <v>11666</v>
      </c>
      <c r="I3129" s="18">
        <f>IFERROR(__xludf.DUMMYFUNCTION("""COMPUTED_VALUE"""),16.0)</f>
        <v>16</v>
      </c>
      <c r="J3129" s="18">
        <f>IFERROR(__xludf.DUMMYFUNCTION("""COMPUTED_VALUE"""),27.0)</f>
        <v>27</v>
      </c>
      <c r="K3129" s="18">
        <f>IFERROR(__xludf.DUMMYFUNCTION("""COMPUTED_VALUE"""),34.0)</f>
        <v>34</v>
      </c>
      <c r="L3129" s="17">
        <f>IFERROR(__xludf.DUMMYFUNCTION("""COMPUTED_VALUE"""),3.188717562E9)</f>
        <v>3188717562</v>
      </c>
      <c r="M3129" s="17" t="str">
        <f>IFERROR(__xludf.DUMMYFUNCTION("""COMPUTED_VALUE"""),"#REF!")</f>
        <v>#REF!</v>
      </c>
      <c r="N3129" s="17"/>
      <c r="O3129" s="17"/>
      <c r="P3129" s="17" t="b">
        <f>IFERROR(__xludf.DUMMYFUNCTION("""COMPUTED_VALUE"""),FALSE)</f>
        <v>0</v>
      </c>
      <c r="Q3129" s="20" t="str">
        <f>IFERROR(__xludf.DUMMYFUNCTION("""COMPUTED_VALUE"""),"")</f>
        <v/>
      </c>
      <c r="R3129" s="21" t="str">
        <f>IFERROR(__xludf.DUMMYFUNCTION("""COMPUTED_VALUE"""),"https://drive.google.com/file/d/1D4z0vWIWaQQV5aIlB_PMFr_DtxhiW_z_/view?usp=drivesdk")</f>
        <v>https://drive.google.com/file/d/1D4z0vWIWaQQV5aIlB_PMFr_DtxhiW_z_/view?usp=drivesdk</v>
      </c>
    </row>
    <row r="3130">
      <c r="A3130" s="15">
        <f>IFERROR(__xludf.DUMMYFUNCTION("""COMPUTED_VALUE"""),45092.0)</f>
        <v>45092</v>
      </c>
      <c r="B3130" s="16" t="str">
        <f>IFERROR(__xludf.DUMMYFUNCTION("""COMPUTED_VALUE"""),"Envia")</f>
        <v>Envia</v>
      </c>
      <c r="C3130" s="15" t="str">
        <f>IFERROR(__xludf.DUMMYFUNCTION("""COMPUTED_VALUE"""),"CARTAGENA")</f>
        <v>CARTAGENA</v>
      </c>
      <c r="D3130" s="15" t="str">
        <f>IFERROR(__xludf.DUMMYFUNCTION("""COMPUTED_VALUE"""),"MEDELLÍN")</f>
        <v>MEDELLÍN</v>
      </c>
      <c r="E3130" s="15" t="str">
        <f>IFERROR(__xludf.DUMMYFUNCTION("""COMPUTED_VALUE"""),"Expoclover")</f>
        <v>Expoclover</v>
      </c>
      <c r="F3130" s="17" t="str">
        <f>IFERROR(__xludf.DUMMYFUNCTION("""COMPUTED_VALUE"""),"CARRERA 9 # 34-120  / MORROS EPIC  / MORROS")</f>
        <v>CARRERA 9 # 34-120  / MORROS EPIC  / MORROS</v>
      </c>
      <c r="G3130" s="15" t="str">
        <f>IFERROR(__xludf.DUMMYFUNCTION("""COMPUTED_VALUE"""),"SEBASTIAN SALAZAR")</f>
        <v>SEBASTIAN SALAZAR</v>
      </c>
      <c r="H3130" s="16">
        <f>IFERROR(__xludf.DUMMYFUNCTION("""COMPUTED_VALUE"""),11667.0)</f>
        <v>11667</v>
      </c>
      <c r="I3130" s="18">
        <f>IFERROR(__xludf.DUMMYFUNCTION("""COMPUTED_VALUE"""),10.0)</f>
        <v>10</v>
      </c>
      <c r="J3130" s="18">
        <f>IFERROR(__xludf.DUMMYFUNCTION("""COMPUTED_VALUE"""),20.0)</f>
        <v>20</v>
      </c>
      <c r="K3130" s="18">
        <f>IFERROR(__xludf.DUMMYFUNCTION("""COMPUTED_VALUE"""),36.0)</f>
        <v>36</v>
      </c>
      <c r="L3130" s="17">
        <f>IFERROR(__xludf.DUMMYFUNCTION("""COMPUTED_VALUE"""),3.136717339E9)</f>
        <v>3136717339</v>
      </c>
      <c r="M3130" s="17" t="str">
        <f>IFERROR(__xludf.DUMMYFUNCTION("""COMPUTED_VALUE"""),"#REF!")</f>
        <v>#REF!</v>
      </c>
      <c r="N3130" s="17"/>
      <c r="O3130" s="17"/>
      <c r="P3130" s="17" t="b">
        <f>IFERROR(__xludf.DUMMYFUNCTION("""COMPUTED_VALUE"""),FALSE)</f>
        <v>0</v>
      </c>
      <c r="Q3130" s="20" t="str">
        <f>IFERROR(__xludf.DUMMYFUNCTION("""COMPUTED_VALUE"""),"")</f>
        <v/>
      </c>
      <c r="R3130" s="21" t="str">
        <f>IFERROR(__xludf.DUMMYFUNCTION("""COMPUTED_VALUE"""),"https://drive.google.com/file/d/1bNxdPoJn8clas8mlkYkR1wr1eR5CbJip/view?usp=drivesdk")</f>
        <v>https://drive.google.com/file/d/1bNxdPoJn8clas8mlkYkR1wr1eR5CbJip/view?usp=drivesdk</v>
      </c>
    </row>
    <row r="3131">
      <c r="A3131" s="15">
        <f>IFERROR(__xludf.DUMMYFUNCTION("""COMPUTED_VALUE"""),45092.0)</f>
        <v>45092</v>
      </c>
      <c r="B3131" s="16" t="str">
        <f>IFERROR(__xludf.DUMMYFUNCTION("""COMPUTED_VALUE"""),"Envia")</f>
        <v>Envia</v>
      </c>
      <c r="C3131" s="15" t="str">
        <f>IFERROR(__xludf.DUMMYFUNCTION("""COMPUTED_VALUE"""),"CARTAGENA")</f>
        <v>CARTAGENA</v>
      </c>
      <c r="D3131" s="15" t="str">
        <f>IFERROR(__xludf.DUMMYFUNCTION("""COMPUTED_VALUE"""),"MEDELLÍN")</f>
        <v>MEDELLÍN</v>
      </c>
      <c r="E3131" s="15" t="str">
        <f>IFERROR(__xludf.DUMMYFUNCTION("""COMPUTED_VALUE"""),"Rambla")</f>
        <v>Rambla</v>
      </c>
      <c r="F3131" s="17" t="str">
        <f>IFERROR(__xludf.DUMMYFUNCTION("""COMPUTED_VALUE"""),"CALLE 6 #20 CC LA ESTANCIA LC 1 10 BRR  CASTILLO GRANDE  / na / na")</f>
        <v>CALLE 6 #20 CC LA ESTANCIA LC 1 10 BRR  CASTILLO GRANDE  / na / na</v>
      </c>
      <c r="G3131" s="15" t="str">
        <f>IFERROR(__xludf.DUMMYFUNCTION("""COMPUTED_VALUE"""),"Cocofit Mercado Saludable S.A.S")</f>
        <v>Cocofit Mercado Saludable S.A.S</v>
      </c>
      <c r="H3131" s="16">
        <f>IFERROR(__xludf.DUMMYFUNCTION("""COMPUTED_VALUE"""),11684.0)</f>
        <v>11684</v>
      </c>
      <c r="I3131" s="18">
        <f>IFERROR(__xludf.DUMMYFUNCTION("""COMPUTED_VALUE"""),35.0)</f>
        <v>35</v>
      </c>
      <c r="J3131" s="18">
        <f>IFERROR(__xludf.DUMMYFUNCTION("""COMPUTED_VALUE"""),40.0)</f>
        <v>40</v>
      </c>
      <c r="K3131" s="18">
        <f>IFERROR(__xludf.DUMMYFUNCTION("""COMPUTED_VALUE"""),43.0)</f>
        <v>43</v>
      </c>
      <c r="L3131" s="17">
        <f>IFERROR(__xludf.DUMMYFUNCTION("""COMPUTED_VALUE"""),3.135781119E9)</f>
        <v>3135781119</v>
      </c>
      <c r="M3131" s="17" t="str">
        <f>IFERROR(__xludf.DUMMYFUNCTION("""COMPUTED_VALUE"""),"#REF!")</f>
        <v>#REF!</v>
      </c>
      <c r="N3131" s="17"/>
      <c r="O3131" s="17"/>
      <c r="P3131" s="17" t="b">
        <f>IFERROR(__xludf.DUMMYFUNCTION("""COMPUTED_VALUE"""),FALSE)</f>
        <v>0</v>
      </c>
      <c r="Q3131" s="20" t="str">
        <f>IFERROR(__xludf.DUMMYFUNCTION("""COMPUTED_VALUE"""),"")</f>
        <v/>
      </c>
      <c r="R3131" s="21" t="str">
        <f>IFERROR(__xludf.DUMMYFUNCTION("""COMPUTED_VALUE"""),"https://drive.google.com/file/d/1LijERIC0z6X4ik7k7OQov_k0IF6pqulO/view?usp=drivesdk")</f>
        <v>https://drive.google.com/file/d/1LijERIC0z6X4ik7k7OQov_k0IF6pqulO/view?usp=drivesdk</v>
      </c>
    </row>
    <row r="3132">
      <c r="A3132" s="15">
        <f>IFERROR(__xludf.DUMMYFUNCTION("""COMPUTED_VALUE"""),45092.0)</f>
        <v>45092</v>
      </c>
      <c r="B3132" s="16" t="str">
        <f>IFERROR(__xludf.DUMMYFUNCTION("""COMPUTED_VALUE"""),"Envia")</f>
        <v>Envia</v>
      </c>
      <c r="C3132" s="15" t="str">
        <f>IFERROR(__xludf.DUMMYFUNCTION("""COMPUTED_VALUE"""),"CÚCUTA")</f>
        <v>CÚCUTA</v>
      </c>
      <c r="D3132" s="15" t="str">
        <f>IFERROR(__xludf.DUMMYFUNCTION("""COMPUTED_VALUE"""),"MEDELLÍN")</f>
        <v>MEDELLÍN</v>
      </c>
      <c r="E3132" s="15" t="str">
        <f>IFERROR(__xludf.DUMMYFUNCTION("""COMPUTED_VALUE"""),"Momo Tea S.A.S Gabriel Echavarría")</f>
        <v>Momo Tea S.A.S Gabriel Echavarría</v>
      </c>
      <c r="F3132" s="17" t="str">
        <f>IFERROR(__xludf.DUMMYFUNCTION("""COMPUTED_VALUE"""),"CL 11 N 16 E 35 / CA B 1")</f>
        <v>CL 11 N 16 E 35 / CA B 1</v>
      </c>
      <c r="G3132" s="15" t="str">
        <f>IFERROR(__xludf.DUMMYFUNCTION("""COMPUTED_VALUE"""),"Gabriel Echavarría")</f>
        <v>Gabriel Echavarría</v>
      </c>
      <c r="H3132" s="16">
        <f>IFERROR(__xludf.DUMMYFUNCTION("""COMPUTED_VALUE"""),11687.0)</f>
        <v>11687</v>
      </c>
      <c r="I3132" s="18">
        <f>IFERROR(__xludf.DUMMYFUNCTION("""COMPUTED_VALUE"""),21.0)</f>
        <v>21</v>
      </c>
      <c r="J3132" s="18">
        <f>IFERROR(__xludf.DUMMYFUNCTION("""COMPUTED_VALUE"""),29.0)</f>
        <v>29</v>
      </c>
      <c r="K3132" s="18">
        <f>IFERROR(__xludf.DUMMYFUNCTION("""COMPUTED_VALUE"""),29.0)</f>
        <v>29</v>
      </c>
      <c r="L3132" s="17">
        <f>IFERROR(__xludf.DUMMYFUNCTION("""COMPUTED_VALUE"""),3.017909548E9)</f>
        <v>3017909548</v>
      </c>
      <c r="M3132" s="17" t="str">
        <f>IFERROR(__xludf.DUMMYFUNCTION("""COMPUTED_VALUE"""),"#REF!")</f>
        <v>#REF!</v>
      </c>
      <c r="N3132" s="17"/>
      <c r="O3132" s="17"/>
      <c r="P3132" s="17" t="b">
        <f>IFERROR(__xludf.DUMMYFUNCTION("""COMPUTED_VALUE"""),FALSE)</f>
        <v>0</v>
      </c>
      <c r="Q3132" s="20" t="str">
        <f>IFERROR(__xludf.DUMMYFUNCTION("""COMPUTED_VALUE"""),"")</f>
        <v/>
      </c>
      <c r="R3132" s="22" t="str">
        <f>IFERROR(__xludf.DUMMYFUNCTION("""COMPUTED_VALUE"""),"")</f>
        <v/>
      </c>
    </row>
    <row r="3133">
      <c r="A3133" s="15">
        <f>IFERROR(__xludf.DUMMYFUNCTION("""COMPUTED_VALUE"""),45092.0)</f>
        <v>45092</v>
      </c>
      <c r="B3133" s="16" t="str">
        <f>IFERROR(__xludf.DUMMYFUNCTION("""COMPUTED_VALUE"""),"Envia")</f>
        <v>Envia</v>
      </c>
      <c r="C3133" s="15" t="str">
        <f>IFERROR(__xludf.DUMMYFUNCTION("""COMPUTED_VALUE"""),"CÚCUTA")</f>
        <v>CÚCUTA</v>
      </c>
      <c r="D3133" s="15" t="str">
        <f>IFERROR(__xludf.DUMMYFUNCTION("""COMPUTED_VALUE"""),"MEDELLÍN")</f>
        <v>MEDELLÍN</v>
      </c>
      <c r="E3133" s="15" t="str">
        <f>IFERROR(__xludf.DUMMYFUNCTION("""COMPUTED_VALUE"""),"Momo Tea S.A.S Gabriel Echavarría")</f>
        <v>Momo Tea S.A.S Gabriel Echavarría</v>
      </c>
      <c r="F3133" s="17" t="str">
        <f>IFERROR(__xludf.DUMMYFUNCTION("""COMPUTED_VALUE"""),"CL 11 N 16 E 35 / CA B 1")</f>
        <v>CL 11 N 16 E 35 / CA B 1</v>
      </c>
      <c r="G3133" s="15" t="str">
        <f>IFERROR(__xludf.DUMMYFUNCTION("""COMPUTED_VALUE"""),"Gabriel Echavarría")</f>
        <v>Gabriel Echavarría</v>
      </c>
      <c r="H3133" s="16">
        <f>IFERROR(__xludf.DUMMYFUNCTION("""COMPUTED_VALUE"""),11688.0)</f>
        <v>11688</v>
      </c>
      <c r="I3133" s="18">
        <f>IFERROR(__xludf.DUMMYFUNCTION("""COMPUTED_VALUE"""),28.0)</f>
        <v>28</v>
      </c>
      <c r="J3133" s="18">
        <f>IFERROR(__xludf.DUMMYFUNCTION("""COMPUTED_VALUE"""),54.0)</f>
        <v>54</v>
      </c>
      <c r="K3133" s="18">
        <f>IFERROR(__xludf.DUMMYFUNCTION("""COMPUTED_VALUE"""),35.0)</f>
        <v>35</v>
      </c>
      <c r="L3133" s="17">
        <f>IFERROR(__xludf.DUMMYFUNCTION("""COMPUTED_VALUE"""),3.017909548E9)</f>
        <v>3017909548</v>
      </c>
      <c r="M3133" s="17" t="str">
        <f>IFERROR(__xludf.DUMMYFUNCTION("""COMPUTED_VALUE"""),"#REF!")</f>
        <v>#REF!</v>
      </c>
      <c r="N3133" s="17"/>
      <c r="O3133" s="17"/>
      <c r="P3133" s="17" t="b">
        <f>IFERROR(__xludf.DUMMYFUNCTION("""COMPUTED_VALUE"""),TRUE)</f>
        <v>1</v>
      </c>
      <c r="Q3133" s="20">
        <f>IFERROR(__xludf.DUMMYFUNCTION("""COMPUTED_VALUE"""),45092.75030998843)</f>
        <v>45092.75031</v>
      </c>
      <c r="R3133" s="22" t="str">
        <f>IFERROR(__xludf.DUMMYFUNCTION("""COMPUTED_VALUE"""),"")</f>
        <v/>
      </c>
    </row>
    <row r="3134">
      <c r="A3134" s="15">
        <f>IFERROR(__xludf.DUMMYFUNCTION("""COMPUTED_VALUE"""),45092.0)</f>
        <v>45092</v>
      </c>
      <c r="B3134" s="16" t="str">
        <f>IFERROR(__xludf.DUMMYFUNCTION("""COMPUTED_VALUE"""),"Envia")</f>
        <v>Envia</v>
      </c>
      <c r="C3134" s="15" t="str">
        <f>IFERROR(__xludf.DUMMYFUNCTION("""COMPUTED_VALUE"""),"CÚCUTA")</f>
        <v>CÚCUTA</v>
      </c>
      <c r="D3134" s="15" t="str">
        <f>IFERROR(__xludf.DUMMYFUNCTION("""COMPUTED_VALUE"""),"MEDELLÍN")</f>
        <v>MEDELLÍN</v>
      </c>
      <c r="E3134" s="15" t="str">
        <f>IFERROR(__xludf.DUMMYFUNCTION("""COMPUTED_VALUE"""),"Momo Tea S.A.S Gabriel Echavarría")</f>
        <v>Momo Tea S.A.S Gabriel Echavarría</v>
      </c>
      <c r="F3134" s="17" t="str">
        <f>IFERROR(__xludf.DUMMYFUNCTION("""COMPUTED_VALUE"""),"CL 11 N 16 E 35 / CA B 1")</f>
        <v>CL 11 N 16 E 35 / CA B 1</v>
      </c>
      <c r="G3134" s="15" t="str">
        <f>IFERROR(__xludf.DUMMYFUNCTION("""COMPUTED_VALUE"""),"Gabriel Echavarría")</f>
        <v>Gabriel Echavarría</v>
      </c>
      <c r="H3134" s="16">
        <f>IFERROR(__xludf.DUMMYFUNCTION("""COMPUTED_VALUE"""),11689.0)</f>
        <v>11689</v>
      </c>
      <c r="I3134" s="18">
        <f>IFERROR(__xludf.DUMMYFUNCTION("""COMPUTED_VALUE"""),24.0)</f>
        <v>24</v>
      </c>
      <c r="J3134" s="18">
        <f>IFERROR(__xludf.DUMMYFUNCTION("""COMPUTED_VALUE"""),3.0)</f>
        <v>3</v>
      </c>
      <c r="K3134" s="18">
        <f>IFERROR(__xludf.DUMMYFUNCTION("""COMPUTED_VALUE"""),26.0)</f>
        <v>26</v>
      </c>
      <c r="L3134" s="17">
        <f>IFERROR(__xludf.DUMMYFUNCTION("""COMPUTED_VALUE"""),3.017909548E9)</f>
        <v>3017909548</v>
      </c>
      <c r="M3134" s="17" t="str">
        <f>IFERROR(__xludf.DUMMYFUNCTION("""COMPUTED_VALUE"""),"#REF!")</f>
        <v>#REF!</v>
      </c>
      <c r="N3134" s="17"/>
      <c r="O3134" s="17"/>
      <c r="P3134" s="17" t="b">
        <f>IFERROR(__xludf.DUMMYFUNCTION("""COMPUTED_VALUE"""),TRUE)</f>
        <v>1</v>
      </c>
      <c r="Q3134" s="20">
        <f>IFERROR(__xludf.DUMMYFUNCTION("""COMPUTED_VALUE"""),45092.750345277775)</f>
        <v>45092.75035</v>
      </c>
      <c r="R3134" s="22" t="str">
        <f>IFERROR(__xludf.DUMMYFUNCTION("""COMPUTED_VALUE"""),"")</f>
        <v/>
      </c>
    </row>
    <row r="3135">
      <c r="A3135" s="15">
        <f>IFERROR(__xludf.DUMMYFUNCTION("""COMPUTED_VALUE"""),45092.0)</f>
        <v>45092</v>
      </c>
      <c r="B3135" s="16" t="str">
        <f>IFERROR(__xludf.DUMMYFUNCTION("""COMPUTED_VALUE"""),"Envia")</f>
        <v>Envia</v>
      </c>
      <c r="C3135" s="15" t="str">
        <f>IFERROR(__xludf.DUMMYFUNCTION("""COMPUTED_VALUE"""),"CÚCUTA")</f>
        <v>CÚCUTA</v>
      </c>
      <c r="D3135" s="15" t="str">
        <f>IFERROR(__xludf.DUMMYFUNCTION("""COMPUTED_VALUE"""),"MEDELLÍN")</f>
        <v>MEDELLÍN</v>
      </c>
      <c r="E3135" s="15" t="str">
        <f>IFERROR(__xludf.DUMMYFUNCTION("""COMPUTED_VALUE"""),"Momo Tea S.A.S Gabriel Echavarría")</f>
        <v>Momo Tea S.A.S Gabriel Echavarría</v>
      </c>
      <c r="F3135" s="17" t="str">
        <f>IFERROR(__xludf.DUMMYFUNCTION("""COMPUTED_VALUE"""),"CL 11 N 16 E 35 / CA B 1")</f>
        <v>CL 11 N 16 E 35 / CA B 1</v>
      </c>
      <c r="G3135" s="15" t="str">
        <f>IFERROR(__xludf.DUMMYFUNCTION("""COMPUTED_VALUE"""),"Gabriel Echavarría")</f>
        <v>Gabriel Echavarría</v>
      </c>
      <c r="H3135" s="16">
        <f>IFERROR(__xludf.DUMMYFUNCTION("""COMPUTED_VALUE"""),11690.0)</f>
        <v>11690</v>
      </c>
      <c r="I3135" s="18">
        <f>IFERROR(__xludf.DUMMYFUNCTION("""COMPUTED_VALUE"""),30.0)</f>
        <v>30</v>
      </c>
      <c r="J3135" s="18">
        <f>IFERROR(__xludf.DUMMYFUNCTION("""COMPUTED_VALUE"""),8.0)</f>
        <v>8</v>
      </c>
      <c r="K3135" s="18">
        <f>IFERROR(__xludf.DUMMYFUNCTION("""COMPUTED_VALUE"""),18.0)</f>
        <v>18</v>
      </c>
      <c r="L3135" s="17">
        <f>IFERROR(__xludf.DUMMYFUNCTION("""COMPUTED_VALUE"""),3.017909548E9)</f>
        <v>3017909548</v>
      </c>
      <c r="M3135" s="17" t="str">
        <f>IFERROR(__xludf.DUMMYFUNCTION("""COMPUTED_VALUE"""),"#REF!")</f>
        <v>#REF!</v>
      </c>
      <c r="N3135" s="17"/>
      <c r="O3135" s="17"/>
      <c r="P3135" s="17" t="b">
        <f>IFERROR(__xludf.DUMMYFUNCTION("""COMPUTED_VALUE"""),TRUE)</f>
        <v>1</v>
      </c>
      <c r="Q3135" s="20">
        <f>IFERROR(__xludf.DUMMYFUNCTION("""COMPUTED_VALUE"""),45092.750345277775)</f>
        <v>45092.75035</v>
      </c>
      <c r="R3135" s="22" t="str">
        <f>IFERROR(__xludf.DUMMYFUNCTION("""COMPUTED_VALUE"""),"")</f>
        <v/>
      </c>
    </row>
    <row r="3136">
      <c r="A3136" s="15">
        <f>IFERROR(__xludf.DUMMYFUNCTION("""COMPUTED_VALUE"""),45092.0)</f>
        <v>45092</v>
      </c>
      <c r="B3136" s="16" t="str">
        <f>IFERROR(__xludf.DUMMYFUNCTION("""COMPUTED_VALUE"""),"Envia")</f>
        <v>Envia</v>
      </c>
      <c r="C3136" s="15" t="str">
        <f>IFERROR(__xludf.DUMMYFUNCTION("""COMPUTED_VALUE"""),"CÚCUTA")</f>
        <v>CÚCUTA</v>
      </c>
      <c r="D3136" s="15" t="str">
        <f>IFERROR(__xludf.DUMMYFUNCTION("""COMPUTED_VALUE"""),"MEDELLÍN")</f>
        <v>MEDELLÍN</v>
      </c>
      <c r="E3136" s="15" t="str">
        <f>IFERROR(__xludf.DUMMYFUNCTION("""COMPUTED_VALUE"""),"Momo Tea S.A.S Gabriel Echavarría")</f>
        <v>Momo Tea S.A.S Gabriel Echavarría</v>
      </c>
      <c r="F3136" s="17" t="str">
        <f>IFERROR(__xludf.DUMMYFUNCTION("""COMPUTED_VALUE"""),"CL 11 N 16 E 35 / CA B 1")</f>
        <v>CL 11 N 16 E 35 / CA B 1</v>
      </c>
      <c r="G3136" s="15" t="str">
        <f>IFERROR(__xludf.DUMMYFUNCTION("""COMPUTED_VALUE"""),"Gabriel Echavarría")</f>
        <v>Gabriel Echavarría</v>
      </c>
      <c r="H3136" s="16">
        <f>IFERROR(__xludf.DUMMYFUNCTION("""COMPUTED_VALUE"""),11691.0)</f>
        <v>11691</v>
      </c>
      <c r="I3136" s="18">
        <f>IFERROR(__xludf.DUMMYFUNCTION("""COMPUTED_VALUE"""),17.0)</f>
        <v>17</v>
      </c>
      <c r="J3136" s="18">
        <f>IFERROR(__xludf.DUMMYFUNCTION("""COMPUTED_VALUE"""),17.0)</f>
        <v>17</v>
      </c>
      <c r="K3136" s="18">
        <f>IFERROR(__xludf.DUMMYFUNCTION("""COMPUTED_VALUE"""),23.0)</f>
        <v>23</v>
      </c>
      <c r="L3136" s="17">
        <f>IFERROR(__xludf.DUMMYFUNCTION("""COMPUTED_VALUE"""),3.017909548E9)</f>
        <v>3017909548</v>
      </c>
      <c r="M3136" s="17" t="str">
        <f>IFERROR(__xludf.DUMMYFUNCTION("""COMPUTED_VALUE"""),"#REF!")</f>
        <v>#REF!</v>
      </c>
      <c r="N3136" s="17"/>
      <c r="O3136" s="17"/>
      <c r="P3136" s="17" t="b">
        <f>IFERROR(__xludf.DUMMYFUNCTION("""COMPUTED_VALUE"""),TRUE)</f>
        <v>1</v>
      </c>
      <c r="Q3136" s="20">
        <f>IFERROR(__xludf.DUMMYFUNCTION("""COMPUTED_VALUE"""),45092.750345277775)</f>
        <v>45092.75035</v>
      </c>
      <c r="R3136" s="22" t="str">
        <f>IFERROR(__xludf.DUMMYFUNCTION("""COMPUTED_VALUE"""),"")</f>
        <v/>
      </c>
    </row>
    <row r="3137">
      <c r="A3137" s="15">
        <f>IFERROR(__xludf.DUMMYFUNCTION("""COMPUTED_VALUE"""),45092.0)</f>
        <v>45092</v>
      </c>
      <c r="B3137" s="16" t="str">
        <f>IFERROR(__xludf.DUMMYFUNCTION("""COMPUTED_VALUE"""),"Envia")</f>
        <v>Envia</v>
      </c>
      <c r="C3137" s="15" t="str">
        <f>IFERROR(__xludf.DUMMYFUNCTION("""COMPUTED_VALUE"""),"LA DORADA")</f>
        <v>LA DORADA</v>
      </c>
      <c r="D3137" s="15" t="str">
        <f>IFERROR(__xludf.DUMMYFUNCTION("""COMPUTED_VALUE"""),"BOGOTÁ")</f>
        <v>BOGOTÁ</v>
      </c>
      <c r="E3137" s="15" t="str">
        <f>IFERROR(__xludf.DUMMYFUNCTION("""COMPUTED_VALUE"""),"Ins. Alimento Vital")</f>
        <v>Ins. Alimento Vital</v>
      </c>
      <c r="F3137" s="17" t="str">
        <f>IFERROR(__xludf.DUMMYFUNCTION("""COMPUTED_VALUE"""),"CR 5 A 1 46  / CASA / LA DORADA")</f>
        <v>CR 5 A 1 46  / CASA / LA DORADA</v>
      </c>
      <c r="G3137" s="15" t="str">
        <f>IFERROR(__xludf.DUMMYFUNCTION("""COMPUTED_VALUE"""),"SANTIAGO VERA ACOSTA")</f>
        <v>SANTIAGO VERA ACOSTA</v>
      </c>
      <c r="H3137" s="16">
        <f>IFERROR(__xludf.DUMMYFUNCTION("""COMPUTED_VALUE"""),11722.0)</f>
        <v>11722</v>
      </c>
      <c r="I3137" s="18">
        <f>IFERROR(__xludf.DUMMYFUNCTION("""COMPUTED_VALUE"""),1.0)</f>
        <v>1</v>
      </c>
      <c r="J3137" s="18">
        <f>IFERROR(__xludf.DUMMYFUNCTION("""COMPUTED_VALUE"""),1.0)</f>
        <v>1</v>
      </c>
      <c r="K3137" s="18">
        <f>IFERROR(__xludf.DUMMYFUNCTION("""COMPUTED_VALUE"""),1.0)</f>
        <v>1</v>
      </c>
      <c r="L3137" s="17">
        <f>IFERROR(__xludf.DUMMYFUNCTION("""COMPUTED_VALUE"""),3.214887531E9)</f>
        <v>3214887531</v>
      </c>
      <c r="M3137" s="17" t="str">
        <f>IFERROR(__xludf.DUMMYFUNCTION("""COMPUTED_VALUE"""),"#REF!")</f>
        <v>#REF!</v>
      </c>
      <c r="N3137" s="17"/>
      <c r="O3137" s="17"/>
      <c r="P3137" s="17" t="b">
        <f>IFERROR(__xludf.DUMMYFUNCTION("""COMPUTED_VALUE"""),TRUE)</f>
        <v>1</v>
      </c>
      <c r="Q3137" s="20">
        <f>IFERROR(__xludf.DUMMYFUNCTION("""COMPUTED_VALUE"""),45092.75040130787)</f>
        <v>45092.7504</v>
      </c>
      <c r="R3137" s="21" t="str">
        <f>IFERROR(__xludf.DUMMYFUNCTION("""COMPUTED_VALUE"""),"https://drive.google.com/file/d/1qqXzujoHGKi5uQ9RDgcYD3onKJIBh7aA/view?usp=drivesdk")</f>
        <v>https://drive.google.com/file/d/1qqXzujoHGKi5uQ9RDgcYD3onKJIBh7aA/view?usp=drivesdk</v>
      </c>
    </row>
    <row r="3138">
      <c r="A3138" s="15">
        <f>IFERROR(__xludf.DUMMYFUNCTION("""COMPUTED_VALUE"""),45092.0)</f>
        <v>45092</v>
      </c>
      <c r="B3138" s="16" t="str">
        <f>IFERROR(__xludf.DUMMYFUNCTION("""COMPUTED_VALUE"""),"Envia")</f>
        <v>Envia</v>
      </c>
      <c r="C3138" s="15" t="str">
        <f>IFERROR(__xludf.DUMMYFUNCTION("""COMPUTED_VALUE"""),"NEIVA")</f>
        <v>NEIVA</v>
      </c>
      <c r="D3138" s="15" t="str">
        <f>IFERROR(__xludf.DUMMYFUNCTION("""COMPUTED_VALUE"""),"BOGOTÁ")</f>
        <v>BOGOTÁ</v>
      </c>
      <c r="E3138" s="15" t="str">
        <f>IFERROR(__xludf.DUMMYFUNCTION("""COMPUTED_VALUE"""),"Asociacion Agropecuaria Juana Maria")</f>
        <v>Asociacion Agropecuaria Juana Maria</v>
      </c>
      <c r="F3138" s="17" t="str">
        <f>IFERROR(__xludf.DUMMYFUNCTION("""COMPUTED_VALUE"""),"CARRERA 46 #17-13 CONDOMINIO ALTAVISTA CASA 31")</f>
        <v>CARRERA 46 #17-13 CONDOMINIO ALTAVISTA CASA 31</v>
      </c>
      <c r="G3138" s="15" t="str">
        <f>IFERROR(__xludf.DUMMYFUNCTION("""COMPUTED_VALUE"""),"JENNIFFER FERNANDEZ")</f>
        <v>JENNIFFER FERNANDEZ</v>
      </c>
      <c r="H3138" s="16">
        <f>IFERROR(__xludf.DUMMYFUNCTION("""COMPUTED_VALUE"""),11612.0)</f>
        <v>11612</v>
      </c>
      <c r="I3138" s="18">
        <f>IFERROR(__xludf.DUMMYFUNCTION("""COMPUTED_VALUE"""),12.0)</f>
        <v>12</v>
      </c>
      <c r="J3138" s="18">
        <f>IFERROR(__xludf.DUMMYFUNCTION("""COMPUTED_VALUE"""),37.0)</f>
        <v>37</v>
      </c>
      <c r="K3138" s="18">
        <f>IFERROR(__xludf.DUMMYFUNCTION("""COMPUTED_VALUE"""),24.0)</f>
        <v>24</v>
      </c>
      <c r="L3138" s="17">
        <f>IFERROR(__xludf.DUMMYFUNCTION("""COMPUTED_VALUE"""),3.167942612E9)</f>
        <v>3167942612</v>
      </c>
      <c r="M3138" s="17" t="str">
        <f>IFERROR(__xludf.DUMMYFUNCTION("""COMPUTED_VALUE"""),"#REF!")</f>
        <v>#REF!</v>
      </c>
      <c r="N3138" s="17"/>
      <c r="O3138" s="17"/>
      <c r="P3138" s="17" t="b">
        <f>IFERROR(__xludf.DUMMYFUNCTION("""COMPUTED_VALUE"""),TRUE)</f>
        <v>1</v>
      </c>
      <c r="Q3138" s="20">
        <f>IFERROR(__xludf.DUMMYFUNCTION("""COMPUTED_VALUE"""),45092.63763114583)</f>
        <v>45092.63763</v>
      </c>
      <c r="R3138" s="22" t="str">
        <f>IFERROR(__xludf.DUMMYFUNCTION("""COMPUTED_VALUE"""),"")</f>
        <v/>
      </c>
    </row>
    <row r="3139">
      <c r="A3139" s="15">
        <f>IFERROR(__xludf.DUMMYFUNCTION("""COMPUTED_VALUE"""),45092.0)</f>
        <v>45092</v>
      </c>
      <c r="B3139" s="16" t="str">
        <f>IFERROR(__xludf.DUMMYFUNCTION("""COMPUTED_VALUE"""),"Envia")</f>
        <v>Envia</v>
      </c>
      <c r="C3139" s="15" t="str">
        <f>IFERROR(__xludf.DUMMYFUNCTION("""COMPUTED_VALUE"""),"NEIVA")</f>
        <v>NEIVA</v>
      </c>
      <c r="D3139" s="15" t="str">
        <f>IFERROR(__xludf.DUMMYFUNCTION("""COMPUTED_VALUE"""),"BOGOTÁ")</f>
        <v>BOGOTÁ</v>
      </c>
      <c r="E3139" s="15" t="str">
        <f>IFERROR(__xludf.DUMMYFUNCTION("""COMPUTED_VALUE"""),"Loomifoods")</f>
        <v>Loomifoods</v>
      </c>
      <c r="F3139" s="17" t="str">
        <f>IFERROR(__xludf.DUMMYFUNCTION("""COMPUTED_VALUE"""),"Calle 7 no. 29a - 107 / Apto 703 / neiva")</f>
        <v>Calle 7 no. 29a - 107 / Apto 703 / neiva</v>
      </c>
      <c r="G3139" s="15" t="str">
        <f>IFERROR(__xludf.DUMMYFUNCTION("""COMPUTED_VALUE"""),"Alejandra Gutierrez")</f>
        <v>Alejandra Gutierrez</v>
      </c>
      <c r="H3139" s="16">
        <f>IFERROR(__xludf.DUMMYFUNCTION("""COMPUTED_VALUE"""),11723.0)</f>
        <v>11723</v>
      </c>
      <c r="I3139" s="18">
        <f>IFERROR(__xludf.DUMMYFUNCTION("""COMPUTED_VALUE"""),20.0)</f>
        <v>20</v>
      </c>
      <c r="J3139" s="18">
        <f>IFERROR(__xludf.DUMMYFUNCTION("""COMPUTED_VALUE"""),5.0)</f>
        <v>5</v>
      </c>
      <c r="K3139" s="18">
        <f>IFERROR(__xludf.DUMMYFUNCTION("""COMPUTED_VALUE"""),16.0)</f>
        <v>16</v>
      </c>
      <c r="L3139" s="17">
        <f>IFERROR(__xludf.DUMMYFUNCTION("""COMPUTED_VALUE"""),3.002706127E9)</f>
        <v>3002706127</v>
      </c>
      <c r="M3139" s="17" t="str">
        <f>IFERROR(__xludf.DUMMYFUNCTION("""COMPUTED_VALUE"""),"#REF!")</f>
        <v>#REF!</v>
      </c>
      <c r="N3139" s="17"/>
      <c r="O3139" s="17"/>
      <c r="P3139" s="17" t="b">
        <f>IFERROR(__xludf.DUMMYFUNCTION("""COMPUTED_VALUE"""),FALSE)</f>
        <v>0</v>
      </c>
      <c r="Q3139" s="20" t="str">
        <f>IFERROR(__xludf.DUMMYFUNCTION("""COMPUTED_VALUE"""),"")</f>
        <v/>
      </c>
      <c r="R3139" s="22" t="str">
        <f>IFERROR(__xludf.DUMMYFUNCTION("""COMPUTED_VALUE"""),"")</f>
        <v/>
      </c>
    </row>
    <row r="3140">
      <c r="A3140" s="15">
        <f>IFERROR(__xludf.DUMMYFUNCTION("""COMPUTED_VALUE"""),45092.0)</f>
        <v>45092</v>
      </c>
      <c r="B3140" s="16" t="str">
        <f>IFERROR(__xludf.DUMMYFUNCTION("""COMPUTED_VALUE"""),"Envia")</f>
        <v>Envia</v>
      </c>
      <c r="C3140" s="15" t="str">
        <f>IFERROR(__xludf.DUMMYFUNCTION("""COMPUTED_VALUE"""),"NEIVA")</f>
        <v>NEIVA</v>
      </c>
      <c r="D3140" s="15" t="str">
        <f>IFERROR(__xludf.DUMMYFUNCTION("""COMPUTED_VALUE"""),"BOGOTÁ")</f>
        <v>BOGOTÁ</v>
      </c>
      <c r="E3140" s="15" t="str">
        <f>IFERROR(__xludf.DUMMYFUNCTION("""COMPUTED_VALUE"""),"Viiva Fermentados")</f>
        <v>Viiva Fermentados</v>
      </c>
      <c r="F3140" s="17" t="str">
        <f>IFERROR(__xludf.DUMMYFUNCTION("""COMPUTED_VALUE"""),"Calle 8 No. 30-121  / tienda ecovida / barrio las brisas")</f>
        <v>Calle 8 No. 30-121  / tienda ecovida / barrio las brisas</v>
      </c>
      <c r="G3140" s="15" t="str">
        <f>IFERROR(__xludf.DUMMYFUNCTION("""COMPUTED_VALUE"""),"Nury Dianey Vargas Bonilla - Tienda Ecovida")</f>
        <v>Nury Dianey Vargas Bonilla - Tienda Ecovida</v>
      </c>
      <c r="H3140" s="16">
        <f>IFERROR(__xludf.DUMMYFUNCTION("""COMPUTED_VALUE"""),11600.0)</f>
        <v>11600</v>
      </c>
      <c r="I3140" s="18">
        <f>IFERROR(__xludf.DUMMYFUNCTION("""COMPUTED_VALUE"""),15.0)</f>
        <v>15</v>
      </c>
      <c r="J3140" s="18">
        <f>IFERROR(__xludf.DUMMYFUNCTION("""COMPUTED_VALUE"""),35.0)</f>
        <v>35</v>
      </c>
      <c r="K3140" s="18">
        <f>IFERROR(__xludf.DUMMYFUNCTION("""COMPUTED_VALUE"""),26.0)</f>
        <v>26</v>
      </c>
      <c r="L3140" s="17">
        <f>IFERROR(__xludf.DUMMYFUNCTION("""COMPUTED_VALUE"""),3.16834206E9)</f>
        <v>3168342060</v>
      </c>
      <c r="M3140" s="17" t="str">
        <f>IFERROR(__xludf.DUMMYFUNCTION("""COMPUTED_VALUE"""),"#REF!")</f>
        <v>#REF!</v>
      </c>
      <c r="N3140" s="17"/>
      <c r="O3140" s="17"/>
      <c r="P3140" s="17" t="b">
        <f>IFERROR(__xludf.DUMMYFUNCTION("""COMPUTED_VALUE"""),FALSE)</f>
        <v>0</v>
      </c>
      <c r="Q3140" s="20" t="str">
        <f>IFERROR(__xludf.DUMMYFUNCTION("""COMPUTED_VALUE"""),"")</f>
        <v/>
      </c>
      <c r="R3140" s="22" t="str">
        <f>IFERROR(__xludf.DUMMYFUNCTION("""COMPUTED_VALUE"""),"")</f>
        <v/>
      </c>
    </row>
    <row r="3141">
      <c r="A3141" s="15">
        <f>IFERROR(__xludf.DUMMYFUNCTION("""COMPUTED_VALUE"""),45092.0)</f>
        <v>45092</v>
      </c>
      <c r="B3141" s="16" t="str">
        <f>IFERROR(__xludf.DUMMYFUNCTION("""COMPUTED_VALUE"""),"Envia")</f>
        <v>Envia</v>
      </c>
      <c r="C3141" s="15" t="str">
        <f>IFERROR(__xludf.DUMMYFUNCTION("""COMPUTED_VALUE"""),"POPAYAN")</f>
        <v>POPAYAN</v>
      </c>
      <c r="D3141" s="15" t="str">
        <f>IFERROR(__xludf.DUMMYFUNCTION("""COMPUTED_VALUE"""),"BOGOTÁ")</f>
        <v>BOGOTÁ</v>
      </c>
      <c r="E3141" s="15" t="str">
        <f>IFERROR(__xludf.DUMMYFUNCTION("""COMPUTED_VALUE"""),"Evamazzita")</f>
        <v>Evamazzita</v>
      </c>
      <c r="F3141" s="17" t="str">
        <f>IFERROR(__xludf.DUMMYFUNCTION("""COMPUTED_VALUE"""),"CRA 6 # 27N - 58 /  LOCAL 1 /  BARRIO LOS HOYOS - VIVEA MERCADO SALUDABLE")</f>
        <v>CRA 6 # 27N - 58 /  LOCAL 1 /  BARRIO LOS HOYOS - VIVEA MERCADO SALUDABLE</v>
      </c>
      <c r="G3141" s="15" t="str">
        <f>IFERROR(__xludf.DUMMYFUNCTION("""COMPUTED_VALUE"""),"VIVIANA ANDREA CHAMORRO YANZA")</f>
        <v>VIVIANA ANDREA CHAMORRO YANZA</v>
      </c>
      <c r="H3141" s="16">
        <f>IFERROR(__xludf.DUMMYFUNCTION("""COMPUTED_VALUE"""),11734.0)</f>
        <v>11734</v>
      </c>
      <c r="I3141" s="18">
        <f>IFERROR(__xludf.DUMMYFUNCTION("""COMPUTED_VALUE"""),13.0)</f>
        <v>13</v>
      </c>
      <c r="J3141" s="18">
        <f>IFERROR(__xludf.DUMMYFUNCTION("""COMPUTED_VALUE"""),24.0)</f>
        <v>24</v>
      </c>
      <c r="K3141" s="18">
        <f>IFERROR(__xludf.DUMMYFUNCTION("""COMPUTED_VALUE"""),18.0)</f>
        <v>18</v>
      </c>
      <c r="L3141" s="17">
        <f>IFERROR(__xludf.DUMMYFUNCTION("""COMPUTED_VALUE"""),3.122971002E9)</f>
        <v>3122971002</v>
      </c>
      <c r="M3141" s="17" t="str">
        <f>IFERROR(__xludf.DUMMYFUNCTION("""COMPUTED_VALUE"""),"#REF!")</f>
        <v>#REF!</v>
      </c>
      <c r="N3141" s="17"/>
      <c r="O3141" s="17"/>
      <c r="P3141" s="17" t="b">
        <f>IFERROR(__xludf.DUMMYFUNCTION("""COMPUTED_VALUE"""),FALSE)</f>
        <v>0</v>
      </c>
      <c r="Q3141" s="20" t="str">
        <f>IFERROR(__xludf.DUMMYFUNCTION("""COMPUTED_VALUE"""),"")</f>
        <v/>
      </c>
      <c r="R3141" s="21" t="str">
        <f>IFERROR(__xludf.DUMMYFUNCTION("""COMPUTED_VALUE"""),"https://drive.google.com/file/d/1x5aektv20R54B2AKvSjqpiPEo4Tr51op/view?usp=drivesdk")</f>
        <v>https://drive.google.com/file/d/1x5aektv20R54B2AKvSjqpiPEo4Tr51op/view?usp=drivesdk</v>
      </c>
    </row>
    <row r="3142">
      <c r="A3142" s="15">
        <f>IFERROR(__xludf.DUMMYFUNCTION("""COMPUTED_VALUE"""),45092.0)</f>
        <v>45092</v>
      </c>
      <c r="B3142" s="16" t="str">
        <f>IFERROR(__xludf.DUMMYFUNCTION("""COMPUTED_VALUE"""),"Envia")</f>
        <v>Envia</v>
      </c>
      <c r="C3142" s="15" t="str">
        <f>IFERROR(__xludf.DUMMYFUNCTION("""COMPUTED_VALUE"""),"TULUA")</f>
        <v>TULUA</v>
      </c>
      <c r="D3142" s="15" t="str">
        <f>IFERROR(__xludf.DUMMYFUNCTION("""COMPUTED_VALUE"""),"BOGOTÁ")</f>
        <v>BOGOTÁ</v>
      </c>
      <c r="E3142" s="15" t="str">
        <f>IFERROR(__xludf.DUMMYFUNCTION("""COMPUTED_VALUE"""),"Evamazzita")</f>
        <v>Evamazzita</v>
      </c>
      <c r="F3142" s="17" t="str">
        <f>IFERROR(__xludf.DUMMYFUNCTION("""COMPUTED_VALUE"""),"Calle 38#44-37  / piso 1  / Barrio Villa campestre")</f>
        <v>Calle 38#44-37  / piso 1  / Barrio Villa campestre</v>
      </c>
      <c r="G3142" s="15" t="str">
        <f>IFERROR(__xludf.DUMMYFUNCTION("""COMPUTED_VALUE"""),"YAMILETH TIJO SOTO")</f>
        <v>YAMILETH TIJO SOTO</v>
      </c>
      <c r="H3142" s="16">
        <f>IFERROR(__xludf.DUMMYFUNCTION("""COMPUTED_VALUE"""),11729.0)</f>
        <v>11729</v>
      </c>
      <c r="I3142" s="18">
        <f>IFERROR(__xludf.DUMMYFUNCTION("""COMPUTED_VALUE"""),1.0)</f>
        <v>1</v>
      </c>
      <c r="J3142" s="18">
        <f>IFERROR(__xludf.DUMMYFUNCTION("""COMPUTED_VALUE"""),1.0)</f>
        <v>1</v>
      </c>
      <c r="K3142" s="18">
        <f>IFERROR(__xludf.DUMMYFUNCTION("""COMPUTED_VALUE"""),1.0)</f>
        <v>1</v>
      </c>
      <c r="L3142" s="17">
        <f>IFERROR(__xludf.DUMMYFUNCTION("""COMPUTED_VALUE"""),3.187988707E9)</f>
        <v>3187988707</v>
      </c>
      <c r="M3142" s="17" t="str">
        <f>IFERROR(__xludf.DUMMYFUNCTION("""COMPUTED_VALUE"""),"#REF!")</f>
        <v>#REF!</v>
      </c>
      <c r="N3142" s="17"/>
      <c r="O3142" s="17"/>
      <c r="P3142" s="17" t="b">
        <f>IFERROR(__xludf.DUMMYFUNCTION("""COMPUTED_VALUE"""),FALSE)</f>
        <v>0</v>
      </c>
      <c r="Q3142" s="20" t="str">
        <f>IFERROR(__xludf.DUMMYFUNCTION("""COMPUTED_VALUE"""),"")</f>
        <v/>
      </c>
      <c r="R3142" s="21" t="str">
        <f>IFERROR(__xludf.DUMMYFUNCTION("""COMPUTED_VALUE"""),"https://drive.google.com/file/d/1o_kP0k4KKAugePbIbHToB4YIPWrZX_JQ/view?usp=drivesdk")</f>
        <v>https://drive.google.com/file/d/1o_kP0k4KKAugePbIbHToB4YIPWrZX_JQ/view?usp=drivesdk</v>
      </c>
    </row>
    <row r="3143">
      <c r="A3143" s="15">
        <f>IFERROR(__xludf.DUMMYFUNCTION("""COMPUTED_VALUE"""),45092.0)</f>
        <v>45092</v>
      </c>
      <c r="B3143" s="16" t="str">
        <f>IFERROR(__xludf.DUMMYFUNCTION("""COMPUTED_VALUE"""),"Envia")</f>
        <v>Envia</v>
      </c>
      <c r="C3143" s="15" t="str">
        <f>IFERROR(__xludf.DUMMYFUNCTION("""COMPUTED_VALUE"""),"TULUA")</f>
        <v>TULUA</v>
      </c>
      <c r="D3143" s="15" t="str">
        <f>IFERROR(__xludf.DUMMYFUNCTION("""COMPUTED_VALUE"""),"BOGOTÁ")</f>
        <v>BOGOTÁ</v>
      </c>
      <c r="E3143" s="15" t="str">
        <f>IFERROR(__xludf.DUMMYFUNCTION("""COMPUTED_VALUE"""),"Evamazzita")</f>
        <v>Evamazzita</v>
      </c>
      <c r="F3143" s="17" t="str">
        <f>IFERROR(__xludf.DUMMYFUNCTION("""COMPUTED_VALUE"""),"CALLE 5 B # 19 - 14  / SAN LUIS / SAN LUIS")</f>
        <v>CALLE 5 B # 19 - 14  / SAN LUIS / SAN LUIS</v>
      </c>
      <c r="G3143" s="15" t="str">
        <f>IFERROR(__xludf.DUMMYFUNCTION("""COMPUTED_VALUE"""),"YESSENIA CHALA TRUJILLO")</f>
        <v>YESSENIA CHALA TRUJILLO</v>
      </c>
      <c r="H3143" s="16">
        <f>IFERROR(__xludf.DUMMYFUNCTION("""COMPUTED_VALUE"""),11733.0)</f>
        <v>11733</v>
      </c>
      <c r="I3143" s="18">
        <f>IFERROR(__xludf.DUMMYFUNCTION("""COMPUTED_VALUE"""),1.0)</f>
        <v>1</v>
      </c>
      <c r="J3143" s="18">
        <f>IFERROR(__xludf.DUMMYFUNCTION("""COMPUTED_VALUE"""),1.0)</f>
        <v>1</v>
      </c>
      <c r="K3143" s="18">
        <f>IFERROR(__xludf.DUMMYFUNCTION("""COMPUTED_VALUE"""),1.0)</f>
        <v>1</v>
      </c>
      <c r="L3143" s="17">
        <f>IFERROR(__xludf.DUMMYFUNCTION("""COMPUTED_VALUE"""),3.218394286E9)</f>
        <v>3218394286</v>
      </c>
      <c r="M3143" s="17" t="str">
        <f>IFERROR(__xludf.DUMMYFUNCTION("""COMPUTED_VALUE"""),"#REF!")</f>
        <v>#REF!</v>
      </c>
      <c r="N3143" s="17"/>
      <c r="O3143" s="17"/>
      <c r="P3143" s="17" t="b">
        <f>IFERROR(__xludf.DUMMYFUNCTION("""COMPUTED_VALUE"""),FALSE)</f>
        <v>0</v>
      </c>
      <c r="Q3143" s="20" t="str">
        <f>IFERROR(__xludf.DUMMYFUNCTION("""COMPUTED_VALUE"""),"")</f>
        <v/>
      </c>
      <c r="R3143" s="21" t="str">
        <f>IFERROR(__xludf.DUMMYFUNCTION("""COMPUTED_VALUE"""),"https://drive.google.com/file/d/1ut6M512CCjCmO3J0Hgg1ZSLpA7-00zTk/view?usp=drivesdk")</f>
        <v>https://drive.google.com/file/d/1ut6M512CCjCmO3J0Hgg1ZSLpA7-00zTk/view?usp=drivesdk</v>
      </c>
    </row>
    <row r="3144">
      <c r="A3144" s="15">
        <f>IFERROR(__xludf.DUMMYFUNCTION("""COMPUTED_VALUE"""),45092.0)</f>
        <v>45092</v>
      </c>
      <c r="B3144" s="16" t="str">
        <f>IFERROR(__xludf.DUMMYFUNCTION("""COMPUTED_VALUE"""),"Envia")</f>
        <v>Envia</v>
      </c>
      <c r="C3144" s="15" t="str">
        <f>IFERROR(__xludf.DUMMYFUNCTION("""COMPUTED_VALUE"""),"VILLAVICENCIO")</f>
        <v>VILLAVICENCIO</v>
      </c>
      <c r="D3144" s="15" t="str">
        <f>IFERROR(__xludf.DUMMYFUNCTION("""COMPUTED_VALUE"""),"MEDELLÍN")</f>
        <v>MEDELLÍN</v>
      </c>
      <c r="E3144" s="15" t="str">
        <f>IFERROR(__xludf.DUMMYFUNCTION("""COMPUTED_VALUE"""),"Baby Chef")</f>
        <v>Baby Chef</v>
      </c>
      <c r="F3144" s="17" t="str">
        <f>IFERROR(__xludf.DUMMYFUNCTION("""COMPUTED_VALUE"""),"Prados de Mavicure Manzana H12 casa 9A Villavicencio Meta / ""Prados de Mavicure Manzana H12 casa 9A Villavicencio Meta"" / ""Prados de Mavicure Manzana H12 casa 9A Villavicencio Meta""")</f>
        <v>Prados de Mavicure Manzana H12 casa 9A Villavicencio Meta / "Prados de Mavicure Manzana H12 casa 9A Villavicencio Meta" / "Prados de Mavicure Manzana H12 casa 9A Villavicencio Meta"</v>
      </c>
      <c r="G3144" s="15" t="str">
        <f>IFERROR(__xludf.DUMMYFUNCTION("""COMPUTED_VALUE"""),"Liseth Paola Castillo Ortíz")</f>
        <v>Liseth Paola Castillo Ortíz</v>
      </c>
      <c r="H3144" s="16">
        <f>IFERROR(__xludf.DUMMYFUNCTION("""COMPUTED_VALUE"""),11698.0)</f>
        <v>11698</v>
      </c>
      <c r="I3144" s="18">
        <f>IFERROR(__xludf.DUMMYFUNCTION("""COMPUTED_VALUE"""),8.0)</f>
        <v>8</v>
      </c>
      <c r="J3144" s="18">
        <f>IFERROR(__xludf.DUMMYFUNCTION("""COMPUTED_VALUE"""),16.0)</f>
        <v>16</v>
      </c>
      <c r="K3144" s="18">
        <f>IFERROR(__xludf.DUMMYFUNCTION("""COMPUTED_VALUE"""),20.0)</f>
        <v>20</v>
      </c>
      <c r="L3144" s="17">
        <f>IFERROR(__xludf.DUMMYFUNCTION("""COMPUTED_VALUE"""),3.208533656E9)</f>
        <v>3208533656</v>
      </c>
      <c r="M3144" s="17" t="str">
        <f>IFERROR(__xludf.DUMMYFUNCTION("""COMPUTED_VALUE"""),"#REF!")</f>
        <v>#REF!</v>
      </c>
      <c r="N3144" s="17"/>
      <c r="O3144" s="17"/>
      <c r="P3144" s="17" t="b">
        <f>IFERROR(__xludf.DUMMYFUNCTION("""COMPUTED_VALUE"""),FALSE)</f>
        <v>0</v>
      </c>
      <c r="Q3144" s="20" t="str">
        <f>IFERROR(__xludf.DUMMYFUNCTION("""COMPUTED_VALUE"""),"")</f>
        <v/>
      </c>
      <c r="R3144" s="21" t="str">
        <f>IFERROR(__xludf.DUMMYFUNCTION("""COMPUTED_VALUE"""),"https://drive.google.com/file/d/1KWq95T45jlXV3bA8OFjGd6OiheqYRDLv/view?usp=drivesdk")</f>
        <v>https://drive.google.com/file/d/1KWq95T45jlXV3bA8OFjGd6OiheqYRDLv/view?usp=drivesdk</v>
      </c>
    </row>
    <row r="3145">
      <c r="A3145" s="15">
        <f>IFERROR(__xludf.DUMMYFUNCTION("""COMPUTED_VALUE"""),45092.0)</f>
        <v>45092</v>
      </c>
      <c r="B3145" s="16" t="str">
        <f>IFERROR(__xludf.DUMMYFUNCTION("""COMPUTED_VALUE"""),"Envia")</f>
        <v>Envia</v>
      </c>
      <c r="C3145" s="15" t="str">
        <f>IFERROR(__xludf.DUMMYFUNCTION("""COMPUTED_VALUE"""),"VILLAVICENCIO")</f>
        <v>VILLAVICENCIO</v>
      </c>
      <c r="D3145" s="15" t="str">
        <f>IFERROR(__xludf.DUMMYFUNCTION("""COMPUTED_VALUE"""),"MEDELLÍN")</f>
        <v>MEDELLÍN</v>
      </c>
      <c r="E3145" s="15" t="str">
        <f>IFERROR(__xludf.DUMMYFUNCTION("""COMPUTED_VALUE"""),"Lácteos El Pino SAS")</f>
        <v>Lácteos El Pino SAS</v>
      </c>
      <c r="F3145" s="17" t="str">
        <f>IFERROR(__xludf.DUMMYFUNCTION("""COMPUTED_VALUE"""),"Cra. 32 #39-14 / CAFE BRA KAFFE")</f>
        <v>Cra. 32 #39-14 / CAFE BRA KAFFE</v>
      </c>
      <c r="G3145" s="15" t="str">
        <f>IFERROR(__xludf.DUMMYFUNCTION("""COMPUTED_VALUE"""),"BRA KAFFE SAS")</f>
        <v>BRA KAFFE SAS</v>
      </c>
      <c r="H3145" s="16">
        <f>IFERROR(__xludf.DUMMYFUNCTION("""COMPUTED_VALUE"""),11643.0)</f>
        <v>11643</v>
      </c>
      <c r="I3145" s="18">
        <f>IFERROR(__xludf.DUMMYFUNCTION("""COMPUTED_VALUE"""),33.0)</f>
        <v>33</v>
      </c>
      <c r="J3145" s="18">
        <f>IFERROR(__xludf.DUMMYFUNCTION("""COMPUTED_VALUE"""),22.0)</f>
        <v>22</v>
      </c>
      <c r="K3145" s="18">
        <f>IFERROR(__xludf.DUMMYFUNCTION("""COMPUTED_VALUE"""),36.0)</f>
        <v>36</v>
      </c>
      <c r="L3145" s="17"/>
      <c r="M3145" s="17" t="str">
        <f>IFERROR(__xludf.DUMMYFUNCTION("""COMPUTED_VALUE"""),"#REF!")</f>
        <v>#REF!</v>
      </c>
      <c r="N3145" s="17"/>
      <c r="O3145" s="17"/>
      <c r="P3145" s="17" t="b">
        <f>IFERROR(__xludf.DUMMYFUNCTION("""COMPUTED_VALUE"""),FALSE)</f>
        <v>0</v>
      </c>
      <c r="Q3145" s="20" t="str">
        <f>IFERROR(__xludf.DUMMYFUNCTION("""COMPUTED_VALUE"""),"")</f>
        <v/>
      </c>
      <c r="R3145" s="21" t="str">
        <f>IFERROR(__xludf.DUMMYFUNCTION("""COMPUTED_VALUE"""),"https://drive.google.com/file/d/1NaorsiKG-5JeQ4O9ltJxbvpxk4_1jniM/view?usp=drivesdk")</f>
        <v>https://drive.google.com/file/d/1NaorsiKG-5JeQ4O9ltJxbvpxk4_1jniM/view?usp=drivesdk</v>
      </c>
    </row>
    <row r="3146">
      <c r="A3146" s="17" t="str">
        <f>IFERROR(__xludf.DUMMYFUNCTION("""COMPUTED_VALUE"""),"")</f>
        <v/>
      </c>
      <c r="B3146" s="17" t="str">
        <f>IFERROR(__xludf.DUMMYFUNCTION("""COMPUTED_VALUE"""),"")</f>
        <v/>
      </c>
      <c r="C3146" s="17" t="str">
        <f>IFERROR(__xludf.DUMMYFUNCTION("""COMPUTED_VALUE"""),"")</f>
        <v/>
      </c>
      <c r="D3146" s="17" t="str">
        <f>IFERROR(__xludf.DUMMYFUNCTION("""COMPUTED_VALUE"""),"")</f>
        <v/>
      </c>
      <c r="E3146" s="17" t="str">
        <f>IFERROR(__xludf.DUMMYFUNCTION("""COMPUTED_VALUE"""),"")</f>
        <v/>
      </c>
      <c r="F3146" s="17" t="str">
        <f>IFERROR(__xludf.DUMMYFUNCTION("""COMPUTED_VALUE"""),"")</f>
        <v/>
      </c>
      <c r="G3146" s="17" t="str">
        <f>IFERROR(__xludf.DUMMYFUNCTION("""COMPUTED_VALUE"""),"")</f>
        <v/>
      </c>
      <c r="H3146" s="17" t="str">
        <f>IFERROR(__xludf.DUMMYFUNCTION("""COMPUTED_VALUE"""),"")</f>
        <v/>
      </c>
      <c r="I3146" s="17" t="str">
        <f>IFERROR(__xludf.DUMMYFUNCTION("""COMPUTED_VALUE"""),"")</f>
        <v/>
      </c>
      <c r="J3146" s="17" t="str">
        <f>IFERROR(__xludf.DUMMYFUNCTION("""COMPUTED_VALUE"""),"")</f>
        <v/>
      </c>
      <c r="K3146" s="17" t="str">
        <f>IFERROR(__xludf.DUMMYFUNCTION("""COMPUTED_VALUE"""),"")</f>
        <v/>
      </c>
      <c r="L3146" s="17" t="str">
        <f>IFERROR(__xludf.DUMMYFUNCTION("""COMPUTED_VALUE"""),"")</f>
        <v/>
      </c>
      <c r="M3146" s="17" t="str">
        <f>IFERROR(__xludf.DUMMYFUNCTION("""COMPUTED_VALUE"""),"")</f>
        <v/>
      </c>
      <c r="N3146" s="17" t="str">
        <f>IFERROR(__xludf.DUMMYFUNCTION("""COMPUTED_VALUE"""),"")</f>
        <v/>
      </c>
      <c r="O3146" s="17" t="str">
        <f>IFERROR(__xludf.DUMMYFUNCTION("""COMPUTED_VALUE"""),"")</f>
        <v/>
      </c>
      <c r="P3146" s="17" t="str">
        <f>IFERROR(__xludf.DUMMYFUNCTION("""COMPUTED_VALUE"""),"")</f>
        <v/>
      </c>
      <c r="Q3146" s="17" t="str">
        <f>IFERROR(__xludf.DUMMYFUNCTION("""COMPUTED_VALUE"""),"")</f>
        <v/>
      </c>
      <c r="R3146" s="17" t="str">
        <f>IFERROR(__xludf.DUMMYFUNCTION("""COMPUTED_VALUE"""),"")</f>
        <v/>
      </c>
    </row>
    <row r="3147">
      <c r="A3147" s="15">
        <f>IFERROR(__xludf.DUMMYFUNCTION("""COMPUTED_VALUE"""),45092.0)</f>
        <v>45092</v>
      </c>
      <c r="B3147" s="16" t="str">
        <f>IFERROR(__xludf.DUMMYFUNCTION("""COMPUTED_VALUE"""),"Jeison Rubiano")</f>
        <v>Jeison Rubiano</v>
      </c>
      <c r="C3147" s="15" t="str">
        <f>IFERROR(__xludf.DUMMYFUNCTION("""COMPUTED_VALUE"""),"BOGOTÁ")</f>
        <v>BOGOTÁ</v>
      </c>
      <c r="D3147" s="15" t="str">
        <f>IFERROR(__xludf.DUMMYFUNCTION("""COMPUTED_VALUE"""),"CALI")</f>
        <v>CALI</v>
      </c>
      <c r="E3147" s="15" t="str">
        <f>IFERROR(__xludf.DUMMYFUNCTION("""COMPUTED_VALUE"""),"Sabor Típico")</f>
        <v>Sabor Típico</v>
      </c>
      <c r="F3147" s="17" t="str">
        <f>IFERROR(__xludf.DUMMYFUNCTION("""COMPUTED_VALUE"""),"Carrera 91a 73a 80 int2 apt101 / Diamantes de Zarzamora / Diamantes de Zarzamora")</f>
        <v>Carrera 91a 73a 80 int2 apt101 / Diamantes de Zarzamora / Diamantes de Zarzamora</v>
      </c>
      <c r="G3147" s="15" t="str">
        <f>IFERROR(__xludf.DUMMYFUNCTION("""COMPUTED_VALUE"""),"Ivonne Katherine Lozano")</f>
        <v>Ivonne Katherine Lozano</v>
      </c>
      <c r="H3147" s="16">
        <f>IFERROR(__xludf.DUMMYFUNCTION("""COMPUTED_VALUE"""),11705.0)</f>
        <v>11705</v>
      </c>
      <c r="I3147" s="18">
        <f>IFERROR(__xludf.DUMMYFUNCTION("""COMPUTED_VALUE"""),9.0)</f>
        <v>9</v>
      </c>
      <c r="J3147" s="18">
        <f>IFERROR(__xludf.DUMMYFUNCTION("""COMPUTED_VALUE"""),30.0)</f>
        <v>30</v>
      </c>
      <c r="K3147" s="18">
        <f>IFERROR(__xludf.DUMMYFUNCTION("""COMPUTED_VALUE"""),22.0)</f>
        <v>22</v>
      </c>
      <c r="L3147" s="17">
        <f>IFERROR(__xludf.DUMMYFUNCTION("""COMPUTED_VALUE"""),3.023890398E9)</f>
        <v>3023890398</v>
      </c>
      <c r="M3147" s="17" t="str">
        <f>IFERROR(__xludf.DUMMYFUNCTION("""COMPUTED_VALUE"""),"#REF!")</f>
        <v>#REF!</v>
      </c>
      <c r="N3147" s="17"/>
      <c r="O3147" s="17"/>
      <c r="P3147" s="17" t="b">
        <f>IFERROR(__xludf.DUMMYFUNCTION("""COMPUTED_VALUE"""),FALSE)</f>
        <v>0</v>
      </c>
      <c r="Q3147" s="20" t="str">
        <f>IFERROR(__xludf.DUMMYFUNCTION("""COMPUTED_VALUE"""),"")</f>
        <v/>
      </c>
      <c r="R3147" s="22" t="str">
        <f>IFERROR(__xludf.DUMMYFUNCTION("""COMPUTED_VALUE"""),"")</f>
        <v/>
      </c>
    </row>
    <row r="3148">
      <c r="A3148" s="15">
        <f>IFERROR(__xludf.DUMMYFUNCTION("""COMPUTED_VALUE"""),45092.0)</f>
        <v>45092</v>
      </c>
      <c r="B3148" s="16" t="str">
        <f>IFERROR(__xludf.DUMMYFUNCTION("""COMPUTED_VALUE"""),"Jeison Rubiano")</f>
        <v>Jeison Rubiano</v>
      </c>
      <c r="C3148" s="15" t="str">
        <f>IFERROR(__xludf.DUMMYFUNCTION("""COMPUTED_VALUE"""),"MONTERIA")</f>
        <v>MONTERIA</v>
      </c>
      <c r="D3148" s="15" t="str">
        <f>IFERROR(__xludf.DUMMYFUNCTION("""COMPUTED_VALUE"""),"BOGOTÁ")</f>
        <v>BOGOTÁ</v>
      </c>
      <c r="E3148" s="15" t="str">
        <f>IFERROR(__xludf.DUMMYFUNCTION("""COMPUTED_VALUE"""),"Evamazzita")</f>
        <v>Evamazzita</v>
      </c>
      <c r="F3148" s="17" t="str">
        <f>IFERROR(__xludf.DUMMYFUNCTION("""COMPUTED_VALUE"""),"CRA 14A No. 54 . 23  / N/A / BARRIO MONTEVERDE")</f>
        <v>CRA 14A No. 54 . 23  / N/A / BARRIO MONTEVERDE</v>
      </c>
      <c r="G3148" s="15" t="str">
        <f>IFERROR(__xludf.DUMMYFUNCTION("""COMPUTED_VALUE"""),"EMILIA MIRANDA")</f>
        <v>EMILIA MIRANDA</v>
      </c>
      <c r="H3148" s="16">
        <f>IFERROR(__xludf.DUMMYFUNCTION("""COMPUTED_VALUE"""),11662.0)</f>
        <v>11662</v>
      </c>
      <c r="I3148" s="18">
        <f>IFERROR(__xludf.DUMMYFUNCTION("""COMPUTED_VALUE"""),15.0)</f>
        <v>15</v>
      </c>
      <c r="J3148" s="18">
        <f>IFERROR(__xludf.DUMMYFUNCTION("""COMPUTED_VALUE"""),37.0)</f>
        <v>37</v>
      </c>
      <c r="K3148" s="18">
        <f>IFERROR(__xludf.DUMMYFUNCTION("""COMPUTED_VALUE"""),24.0)</f>
        <v>24</v>
      </c>
      <c r="L3148" s="17">
        <f>IFERROR(__xludf.DUMMYFUNCTION("""COMPUTED_VALUE"""),3.113438505E9)</f>
        <v>3113438505</v>
      </c>
      <c r="M3148" s="17" t="str">
        <f>IFERROR(__xludf.DUMMYFUNCTION("""COMPUTED_VALUE"""),"#REF!")</f>
        <v>#REF!</v>
      </c>
      <c r="N3148" s="17"/>
      <c r="O3148" s="17"/>
      <c r="P3148" s="17" t="b">
        <f>IFERROR(__xludf.DUMMYFUNCTION("""COMPUTED_VALUE"""),FALSE)</f>
        <v>0</v>
      </c>
      <c r="Q3148" s="20" t="str">
        <f>IFERROR(__xludf.DUMMYFUNCTION("""COMPUTED_VALUE"""),"")</f>
        <v/>
      </c>
      <c r="R3148" s="21" t="str">
        <f>IFERROR(__xludf.DUMMYFUNCTION("""COMPUTED_VALUE"""),"https://drive.google.com/file/d/1Kjd2fRK7EGqrQzoff9Rr6QhbX8Qb2RAR/view?usp=drivesdk")</f>
        <v>https://drive.google.com/file/d/1Kjd2fRK7EGqrQzoff9Rr6QhbX8Qb2RAR/view?usp=drivesdk</v>
      </c>
    </row>
    <row r="3149">
      <c r="A3149" s="15">
        <f>IFERROR(__xludf.DUMMYFUNCTION("""COMPUTED_VALUE"""),45092.0)</f>
        <v>45092</v>
      </c>
      <c r="B3149" s="16" t="str">
        <f>IFERROR(__xludf.DUMMYFUNCTION("""COMPUTED_VALUE"""),"Jeison Rubiano")</f>
        <v>Jeison Rubiano</v>
      </c>
      <c r="C3149" s="15" t="str">
        <f>IFERROR(__xludf.DUMMYFUNCTION("""COMPUTED_VALUE"""),"MONTERIA")</f>
        <v>MONTERIA</v>
      </c>
      <c r="D3149" s="15" t="str">
        <f>IFERROR(__xludf.DUMMYFUNCTION("""COMPUTED_VALUE"""),"MEDELLÍN")</f>
        <v>MEDELLÍN</v>
      </c>
      <c r="E3149" s="15" t="str">
        <f>IFERROR(__xludf.DUMMYFUNCTION("""COMPUTED_VALUE"""),"Rambla")</f>
        <v>Rambla</v>
      </c>
      <c r="F3149" s="17" t="str">
        <f>IFERROR(__xludf.DUMMYFUNCTION("""COMPUTED_VALUE"""),"centro comercial place mall cra 6 #65-24 local: 18 barrio castellana / na / na")</f>
        <v>centro comercial place mall cra 6 #65-24 local: 18 barrio castellana / na / na</v>
      </c>
      <c r="G3149" s="15" t="str">
        <f>IFERROR(__xludf.DUMMYFUNCTION("""COMPUTED_VALUE"""),"amate mercado saludable")</f>
        <v>amate mercado saludable</v>
      </c>
      <c r="H3149" s="16">
        <f>IFERROR(__xludf.DUMMYFUNCTION("""COMPUTED_VALUE"""),11735.0)</f>
        <v>11735</v>
      </c>
      <c r="I3149" s="18">
        <f>IFERROR(__xludf.DUMMYFUNCTION("""COMPUTED_VALUE"""),25.0)</f>
        <v>25</v>
      </c>
      <c r="J3149" s="18">
        <f>IFERROR(__xludf.DUMMYFUNCTION("""COMPUTED_VALUE"""),26.0)</f>
        <v>26</v>
      </c>
      <c r="K3149" s="18">
        <f>IFERROR(__xludf.DUMMYFUNCTION("""COMPUTED_VALUE"""),30.0)</f>
        <v>30</v>
      </c>
      <c r="L3149" s="17">
        <f>IFERROR(__xludf.DUMMYFUNCTION("""COMPUTED_VALUE"""),3.005102494E9)</f>
        <v>3005102494</v>
      </c>
      <c r="M3149" s="17" t="str">
        <f>IFERROR(__xludf.DUMMYFUNCTION("""COMPUTED_VALUE"""),"#REF!")</f>
        <v>#REF!</v>
      </c>
      <c r="N3149" s="17"/>
      <c r="O3149" s="17"/>
      <c r="P3149" s="17" t="b">
        <f>IFERROR(__xludf.DUMMYFUNCTION("""COMPUTED_VALUE"""),FALSE)</f>
        <v>0</v>
      </c>
      <c r="Q3149" s="20" t="str">
        <f>IFERROR(__xludf.DUMMYFUNCTION("""COMPUTED_VALUE"""),"")</f>
        <v/>
      </c>
      <c r="R3149" s="21" t="str">
        <f>IFERROR(__xludf.DUMMYFUNCTION("""COMPUTED_VALUE"""),"https://drive.google.com/file/d/11HA7BGFZLb6BWBaZ0m19IRk8Uo8Qp3L-/view?usp=drivesdk")</f>
        <v>https://drive.google.com/file/d/11HA7BGFZLb6BWBaZ0m19IRk8Uo8Qp3L-/view?usp=drivesdk</v>
      </c>
    </row>
    <row r="3150">
      <c r="A3150" s="17" t="str">
        <f>IFERROR(__xludf.DUMMYFUNCTION("""COMPUTED_VALUE"""),"")</f>
        <v/>
      </c>
      <c r="B3150" s="17" t="str">
        <f>IFERROR(__xludf.DUMMYFUNCTION("""COMPUTED_VALUE"""),"")</f>
        <v/>
      </c>
      <c r="C3150" s="17" t="str">
        <f>IFERROR(__xludf.DUMMYFUNCTION("""COMPUTED_VALUE"""),"")</f>
        <v/>
      </c>
      <c r="D3150" s="17" t="str">
        <f>IFERROR(__xludf.DUMMYFUNCTION("""COMPUTED_VALUE"""),"")</f>
        <v/>
      </c>
      <c r="E3150" s="17" t="str">
        <f>IFERROR(__xludf.DUMMYFUNCTION("""COMPUTED_VALUE"""),"")</f>
        <v/>
      </c>
      <c r="F3150" s="17" t="str">
        <f>IFERROR(__xludf.DUMMYFUNCTION("""COMPUTED_VALUE"""),"")</f>
        <v/>
      </c>
      <c r="G3150" s="17" t="str">
        <f>IFERROR(__xludf.DUMMYFUNCTION("""COMPUTED_VALUE"""),"")</f>
        <v/>
      </c>
      <c r="H3150" s="17" t="str">
        <f>IFERROR(__xludf.DUMMYFUNCTION("""COMPUTED_VALUE"""),"")</f>
        <v/>
      </c>
      <c r="I3150" s="17" t="str">
        <f>IFERROR(__xludf.DUMMYFUNCTION("""COMPUTED_VALUE"""),"")</f>
        <v/>
      </c>
      <c r="J3150" s="17" t="str">
        <f>IFERROR(__xludf.DUMMYFUNCTION("""COMPUTED_VALUE"""),"")</f>
        <v/>
      </c>
      <c r="K3150" s="17" t="str">
        <f>IFERROR(__xludf.DUMMYFUNCTION("""COMPUTED_VALUE"""),"")</f>
        <v/>
      </c>
      <c r="L3150" s="17" t="str">
        <f>IFERROR(__xludf.DUMMYFUNCTION("""COMPUTED_VALUE"""),"")</f>
        <v/>
      </c>
      <c r="M3150" s="17" t="str">
        <f>IFERROR(__xludf.DUMMYFUNCTION("""COMPUTED_VALUE"""),"")</f>
        <v/>
      </c>
      <c r="N3150" s="17" t="str">
        <f>IFERROR(__xludf.DUMMYFUNCTION("""COMPUTED_VALUE"""),"")</f>
        <v/>
      </c>
      <c r="O3150" s="17" t="str">
        <f>IFERROR(__xludf.DUMMYFUNCTION("""COMPUTED_VALUE"""),"")</f>
        <v/>
      </c>
      <c r="P3150" s="17" t="str">
        <f>IFERROR(__xludf.DUMMYFUNCTION("""COMPUTED_VALUE"""),"")</f>
        <v/>
      </c>
      <c r="Q3150" s="17" t="str">
        <f>IFERROR(__xludf.DUMMYFUNCTION("""COMPUTED_VALUE"""),"")</f>
        <v/>
      </c>
      <c r="R3150" s="17" t="str">
        <f>IFERROR(__xludf.DUMMYFUNCTION("""COMPUTED_VALUE"""),"")</f>
        <v/>
      </c>
    </row>
    <row r="3151">
      <c r="A3151" s="15">
        <f>IFERROR(__xludf.DUMMYFUNCTION("""COMPUTED_VALUE"""),45092.0)</f>
        <v>45092</v>
      </c>
      <c r="B3151" s="16" t="str">
        <f>IFERROR(__xludf.DUMMYFUNCTION("""COMPUTED_VALUE"""),"Johan Alexander Escobar Arroyo ")</f>
        <v>Johan Alexander Escobar Arroyo </v>
      </c>
      <c r="C3151" s="15" t="str">
        <f>IFERROR(__xludf.DUMMYFUNCTION("""COMPUTED_VALUE"""),"CALI")</f>
        <v>CALI</v>
      </c>
      <c r="D3151" s="15" t="str">
        <f>IFERROR(__xludf.DUMMYFUNCTION("""COMPUTED_VALUE"""),"MEDELLÍN")</f>
        <v>MEDELLÍN</v>
      </c>
      <c r="E3151" s="15" t="str">
        <f>IFERROR(__xludf.DUMMYFUNCTION("""COMPUTED_VALUE"""),"AREPAS LA MARY")</f>
        <v>AREPAS LA MARY</v>
      </c>
      <c r="F3151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3151" s="15" t="str">
        <f>IFERROR(__xludf.DUMMYFUNCTION("""COMPUTED_VALUE"""),"VITALFINESS CALI")</f>
        <v>VITALFINESS CALI</v>
      </c>
      <c r="H3151" s="16">
        <f>IFERROR(__xludf.DUMMYFUNCTION("""COMPUTED_VALUE"""),11710.0)</f>
        <v>11710</v>
      </c>
      <c r="I3151" s="18">
        <f>IFERROR(__xludf.DUMMYFUNCTION("""COMPUTED_VALUE"""),89.0)</f>
        <v>89</v>
      </c>
      <c r="J3151" s="18">
        <f>IFERROR(__xludf.DUMMYFUNCTION("""COMPUTED_VALUE"""),1.0)</f>
        <v>1</v>
      </c>
      <c r="K3151" s="18">
        <f>IFERROR(__xludf.DUMMYFUNCTION("""COMPUTED_VALUE"""),10.0)</f>
        <v>10</v>
      </c>
      <c r="L3151" s="17">
        <f>IFERROR(__xludf.DUMMYFUNCTION("""COMPUTED_VALUE"""),3.226925759E9)</f>
        <v>3226925759</v>
      </c>
      <c r="M3151" s="17" t="str">
        <f>IFERROR(__xludf.DUMMYFUNCTION("""COMPUTED_VALUE"""),"#REF!")</f>
        <v>#REF!</v>
      </c>
      <c r="N3151" s="17"/>
      <c r="O3151" s="17"/>
      <c r="P3151" s="17" t="b">
        <f>IFERROR(__xludf.DUMMYFUNCTION("""COMPUTED_VALUE"""),FALSE)</f>
        <v>0</v>
      </c>
      <c r="Q3151" s="20" t="str">
        <f>IFERROR(__xludf.DUMMYFUNCTION("""COMPUTED_VALUE"""),"")</f>
        <v/>
      </c>
      <c r="R3151" s="21" t="str">
        <f>IFERROR(__xludf.DUMMYFUNCTION("""COMPUTED_VALUE"""),"https://drive.google.com/file/d/1e_mbMCLv5oTMEkTdgno6MTFk_5mKv1H0/view?usp=drivesdk")</f>
        <v>https://drive.google.com/file/d/1e_mbMCLv5oTMEkTdgno6MTFk_5mKv1H0/view?usp=drivesdk</v>
      </c>
    </row>
    <row r="3152">
      <c r="A3152" s="15">
        <f>IFERROR(__xludf.DUMMYFUNCTION("""COMPUTED_VALUE"""),45092.0)</f>
        <v>45092</v>
      </c>
      <c r="B3152" s="16" t="str">
        <f>IFERROR(__xludf.DUMMYFUNCTION("""COMPUTED_VALUE"""),"Johan Alexander Escobar Arroyo ")</f>
        <v>Johan Alexander Escobar Arroyo </v>
      </c>
      <c r="C3152" s="15" t="str">
        <f>IFERROR(__xludf.DUMMYFUNCTION("""COMPUTED_VALUE"""),"CALI")</f>
        <v>CALI</v>
      </c>
      <c r="D3152" s="15" t="str">
        <f>IFERROR(__xludf.DUMMYFUNCTION("""COMPUTED_VALUE"""),"MEDELLÍN")</f>
        <v>MEDELLÍN</v>
      </c>
      <c r="E3152" s="15" t="str">
        <f>IFERROR(__xludf.DUMMYFUNCTION("""COMPUTED_VALUE"""),"AREPAS LA MARY")</f>
        <v>AREPAS LA MARY</v>
      </c>
      <c r="F3152" s="17" t="str">
        <f>IFERROR(__xludf.DUMMYFUNCTION("""COMPUTED_VALUE"""),"CALLE 6 N.118 20 CASA 5 / CONJUNTO COLINAS DEL VIENTO")</f>
        <v>CALLE 6 N.118 20 CASA 5 / CONJUNTO COLINAS DEL VIENTO</v>
      </c>
      <c r="G3152" s="15" t="str">
        <f>IFERROR(__xludf.DUMMYFUNCTION("""COMPUTED_VALUE"""),"CATALINA DAZA")</f>
        <v>CATALINA DAZA</v>
      </c>
      <c r="H3152" s="16">
        <f>IFERROR(__xludf.DUMMYFUNCTION("""COMPUTED_VALUE"""),11716.0)</f>
        <v>11716</v>
      </c>
      <c r="I3152" s="18">
        <f>IFERROR(__xludf.DUMMYFUNCTION("""COMPUTED_VALUE"""),89.0)</f>
        <v>89</v>
      </c>
      <c r="J3152" s="18">
        <f>IFERROR(__xludf.DUMMYFUNCTION("""COMPUTED_VALUE"""),1.0)</f>
        <v>1</v>
      </c>
      <c r="K3152" s="18">
        <f>IFERROR(__xludf.DUMMYFUNCTION("""COMPUTED_VALUE"""),10.0)</f>
        <v>10</v>
      </c>
      <c r="L3152" s="17">
        <f>IFERROR(__xludf.DUMMYFUNCTION("""COMPUTED_VALUE"""),3.165281956E9)</f>
        <v>3165281956</v>
      </c>
      <c r="M3152" s="17" t="str">
        <f>IFERROR(__xludf.DUMMYFUNCTION("""COMPUTED_VALUE"""),"#REF!")</f>
        <v>#REF!</v>
      </c>
      <c r="N3152" s="17"/>
      <c r="O3152" s="17"/>
      <c r="P3152" s="17" t="b">
        <f>IFERROR(__xludf.DUMMYFUNCTION("""COMPUTED_VALUE"""),TRUE)</f>
        <v>1</v>
      </c>
      <c r="Q3152" s="20">
        <f>IFERROR(__xludf.DUMMYFUNCTION("""COMPUTED_VALUE"""),45092.63415428241)</f>
        <v>45092.63415</v>
      </c>
      <c r="R3152" s="21" t="str">
        <f>IFERROR(__xludf.DUMMYFUNCTION("""COMPUTED_VALUE"""),"https://drive.google.com/file/d/1s2amxxokVS3HO5Z4Br7fTJJblmrsEXl6/view?usp=drivesdk")</f>
        <v>https://drive.google.com/file/d/1s2amxxokVS3HO5Z4Br7fTJJblmrsEXl6/view?usp=drivesdk</v>
      </c>
    </row>
    <row r="3153">
      <c r="A3153" s="15">
        <f>IFERROR(__xludf.DUMMYFUNCTION("""COMPUTED_VALUE"""),45092.0)</f>
        <v>45092</v>
      </c>
      <c r="B3153" s="16" t="str">
        <f>IFERROR(__xludf.DUMMYFUNCTION("""COMPUTED_VALUE"""),"Johan Alexander Escobar Arroyo ")</f>
        <v>Johan Alexander Escobar Arroyo </v>
      </c>
      <c r="C3153" s="15" t="str">
        <f>IFERROR(__xludf.DUMMYFUNCTION("""COMPUTED_VALUE"""),"CALI")</f>
        <v>CALI</v>
      </c>
      <c r="D3153" s="15" t="str">
        <f>IFERROR(__xludf.DUMMYFUNCTION("""COMPUTED_VALUE"""),"MEDELLÍN")</f>
        <v>MEDELLÍN</v>
      </c>
      <c r="E3153" s="15" t="str">
        <f>IFERROR(__xludf.DUMMYFUNCTION("""COMPUTED_VALUE"""),"Baby Chef")</f>
        <v>Baby Chef</v>
      </c>
      <c r="F3153" s="17" t="str">
        <f>IFERROR(__xludf.DUMMYFUNCTION("""COMPUTED_VALUE"""),"Carrera 103 # 11-40  Sendero del Polo club casa P1 Barrio Ciudad Jardín / Carrera 103 # 11-40  Sendero del Polo club casa P1 Barrio Ciudad Jardín / Carrera 103 # 11-40  Sendero del Polo club casa P1 Barrio Ciudad Jardín")</f>
        <v>Carrera 103 # 11-40  Sendero del Polo club casa P1 Barrio Ciudad Jardín / Carrera 103 # 11-40  Sendero del Polo club casa P1 Barrio Ciudad Jardín / Carrera 103 # 11-40  Sendero del Polo club casa P1 Barrio Ciudad Jardín</v>
      </c>
      <c r="G3153" s="15" t="str">
        <f>IFERROR(__xludf.DUMMYFUNCTION("""COMPUTED_VALUE"""),"Johanna Rojas")</f>
        <v>Johanna Rojas</v>
      </c>
      <c r="H3153" s="16">
        <f>IFERROR(__xludf.DUMMYFUNCTION("""COMPUTED_VALUE"""),11749.0)</f>
        <v>11749</v>
      </c>
      <c r="I3153" s="18">
        <f>IFERROR(__xludf.DUMMYFUNCTION("""COMPUTED_VALUE"""),8.0)</f>
        <v>8</v>
      </c>
      <c r="J3153" s="18">
        <f>IFERROR(__xludf.DUMMYFUNCTION("""COMPUTED_VALUE"""),16.0)</f>
        <v>16</v>
      </c>
      <c r="K3153" s="18">
        <f>IFERROR(__xludf.DUMMYFUNCTION("""COMPUTED_VALUE"""),20.0)</f>
        <v>20</v>
      </c>
      <c r="L3153" s="17">
        <f>IFERROR(__xludf.DUMMYFUNCTION("""COMPUTED_VALUE"""),3.183307191E9)</f>
        <v>3183307191</v>
      </c>
      <c r="M3153" s="17" t="str">
        <f>IFERROR(__xludf.DUMMYFUNCTION("""COMPUTED_VALUE"""),"#REF!")</f>
        <v>#REF!</v>
      </c>
      <c r="N3153" s="17"/>
      <c r="O3153" s="17"/>
      <c r="P3153" s="17" t="b">
        <f>IFERROR(__xludf.DUMMYFUNCTION("""COMPUTED_VALUE"""),FALSE)</f>
        <v>0</v>
      </c>
      <c r="Q3153" s="20" t="str">
        <f>IFERROR(__xludf.DUMMYFUNCTION("""COMPUTED_VALUE"""),"")</f>
        <v/>
      </c>
      <c r="R3153" s="21" t="str">
        <f>IFERROR(__xludf.DUMMYFUNCTION("""COMPUTED_VALUE"""),"https://drive.google.com/file/d/1soTTX-gQtOxkvi1b1A86Onb4RPyQPjNE/view?usp=drivesdk")</f>
        <v>https://drive.google.com/file/d/1soTTX-gQtOxkvi1b1A86Onb4RPyQPjNE/view?usp=drivesdk</v>
      </c>
    </row>
    <row r="3154">
      <c r="A3154" s="15">
        <f>IFERROR(__xludf.DUMMYFUNCTION("""COMPUTED_VALUE"""),45092.0)</f>
        <v>45092</v>
      </c>
      <c r="B3154" s="16" t="str">
        <f>IFERROR(__xludf.DUMMYFUNCTION("""COMPUTED_VALUE"""),"Johan Alexander Escobar Arroyo ")</f>
        <v>Johan Alexander Escobar Arroyo </v>
      </c>
      <c r="C3154" s="15" t="str">
        <f>IFERROR(__xludf.DUMMYFUNCTION("""COMPUTED_VALUE"""),"CALI")</f>
        <v>CALI</v>
      </c>
      <c r="D3154" s="15" t="str">
        <f>IFERROR(__xludf.DUMMYFUNCTION("""COMPUTED_VALUE"""),"MEDELLÍN")</f>
        <v>MEDELLÍN</v>
      </c>
      <c r="E3154" s="15" t="str">
        <f>IFERROR(__xludf.DUMMYFUNCTION("""COMPUTED_VALUE"""),"Baby Chef")</f>
        <v>Baby Chef</v>
      </c>
      <c r="F3154" s="17" t="str">
        <f>IFERROR(__xludf.DUMMYFUNCTION("""COMPUTED_VALUE"""),"Carrera 17 b 43 100 Santa Fe Piso 2 / ""Carrera 17 b 43 100 Santa Fe Piso 2"" / ""Carrera 17 b 43 100 Santa Fe Piso 2""")</f>
        <v>Carrera 17 b 43 100 Santa Fe Piso 2 / "Carrera 17 b 43 100 Santa Fe Piso 2" / "Carrera 17 b 43 100 Santa Fe Piso 2"</v>
      </c>
      <c r="G3154" s="15" t="str">
        <f>IFERROR(__xludf.DUMMYFUNCTION("""COMPUTED_VALUE"""),"Sorany Andrea Amaya Gonzalez")</f>
        <v>Sorany Andrea Amaya Gonzalez</v>
      </c>
      <c r="H3154" s="16">
        <f>IFERROR(__xludf.DUMMYFUNCTION("""COMPUTED_VALUE"""),11747.0)</f>
        <v>11747</v>
      </c>
      <c r="I3154" s="18">
        <f>IFERROR(__xludf.DUMMYFUNCTION("""COMPUTED_VALUE"""),10.0)</f>
        <v>10</v>
      </c>
      <c r="J3154" s="18">
        <f>IFERROR(__xludf.DUMMYFUNCTION("""COMPUTED_VALUE"""),20.0)</f>
        <v>20</v>
      </c>
      <c r="K3154" s="18">
        <f>IFERROR(__xludf.DUMMYFUNCTION("""COMPUTED_VALUE"""),20.0)</f>
        <v>20</v>
      </c>
      <c r="L3154" s="17">
        <f>IFERROR(__xludf.DUMMYFUNCTION("""COMPUTED_VALUE"""),3.147386984E9)</f>
        <v>3147386984</v>
      </c>
      <c r="M3154" s="17" t="str">
        <f>IFERROR(__xludf.DUMMYFUNCTION("""COMPUTED_VALUE"""),"#REF!")</f>
        <v>#REF!</v>
      </c>
      <c r="N3154" s="17"/>
      <c r="O3154" s="17"/>
      <c r="P3154" s="17" t="b">
        <f>IFERROR(__xludf.DUMMYFUNCTION("""COMPUTED_VALUE"""),FALSE)</f>
        <v>0</v>
      </c>
      <c r="Q3154" s="20" t="str">
        <f>IFERROR(__xludf.DUMMYFUNCTION("""COMPUTED_VALUE"""),"")</f>
        <v/>
      </c>
      <c r="R3154" s="21" t="str">
        <f>IFERROR(__xludf.DUMMYFUNCTION("""COMPUTED_VALUE"""),"https://drive.google.com/file/d/12Z7naEMPoTdzZDAmTWg_3BKOdu6yPMMc/view?usp=drivesdk")</f>
        <v>https://drive.google.com/file/d/12Z7naEMPoTdzZDAmTWg_3BKOdu6yPMMc/view?usp=drivesdk</v>
      </c>
    </row>
    <row r="3155">
      <c r="A3155" s="15">
        <f>IFERROR(__xludf.DUMMYFUNCTION("""COMPUTED_VALUE"""),45092.0)</f>
        <v>45092</v>
      </c>
      <c r="B3155" s="16" t="str">
        <f>IFERROR(__xludf.DUMMYFUNCTION("""COMPUTED_VALUE"""),"Johan Alexander Escobar Arroyo ")</f>
        <v>Johan Alexander Escobar Arroyo </v>
      </c>
      <c r="C3155" s="15" t="str">
        <f>IFERROR(__xludf.DUMMYFUNCTION("""COMPUTED_VALUE"""),"CALI")</f>
        <v>CALI</v>
      </c>
      <c r="D3155" s="15" t="str">
        <f>IFERROR(__xludf.DUMMYFUNCTION("""COMPUTED_VALUE"""),"MEDELLÍN")</f>
        <v>MEDELLÍN</v>
      </c>
      <c r="E3155" s="15" t="str">
        <f>IFERROR(__xludf.DUMMYFUNCTION("""COMPUTED_VALUE"""),"Baby Chef")</f>
        <v>Baby Chef</v>
      </c>
      <c r="F3155" s="17" t="str">
        <f>IFERROR(__xludf.DUMMYFUNCTION("""COMPUTED_VALUE"""),"Cr 92 número 42 - 95, casa en 2 piso Barrio Valle de Lili / Cr 92 número 42 - 95, casa en 2 piso Barrio Valle de Lili / Cr 92 número 42 - 95, casa en 2 piso Barrio Valle de Lili")</f>
        <v>Cr 92 número 42 - 95, casa en 2 piso Barrio Valle de Lili / Cr 92 número 42 - 95, casa en 2 piso Barrio Valle de Lili / Cr 92 número 42 - 95, casa en 2 piso Barrio Valle de Lili</v>
      </c>
      <c r="G3155" s="15" t="str">
        <f>IFERROR(__xludf.DUMMYFUNCTION("""COMPUTED_VALUE"""),"Milena De La Portilla Melo")</f>
        <v>Milena De La Portilla Melo</v>
      </c>
      <c r="H3155" s="16">
        <f>IFERROR(__xludf.DUMMYFUNCTION("""COMPUTED_VALUE"""),11751.0)</f>
        <v>11751</v>
      </c>
      <c r="I3155" s="18">
        <f>IFERROR(__xludf.DUMMYFUNCTION("""COMPUTED_VALUE"""),8.0)</f>
        <v>8</v>
      </c>
      <c r="J3155" s="18">
        <f>IFERROR(__xludf.DUMMYFUNCTION("""COMPUTED_VALUE"""),16.0)</f>
        <v>16</v>
      </c>
      <c r="K3155" s="18">
        <f>IFERROR(__xludf.DUMMYFUNCTION("""COMPUTED_VALUE"""),20.0)</f>
        <v>20</v>
      </c>
      <c r="L3155" s="17">
        <f>IFERROR(__xludf.DUMMYFUNCTION("""COMPUTED_VALUE"""),3.12753146E9)</f>
        <v>3127531460</v>
      </c>
      <c r="M3155" s="17" t="str">
        <f>IFERROR(__xludf.DUMMYFUNCTION("""COMPUTED_VALUE"""),"#REF!")</f>
        <v>#REF!</v>
      </c>
      <c r="N3155" s="17"/>
      <c r="O3155" s="17"/>
      <c r="P3155" s="17" t="b">
        <f>IFERROR(__xludf.DUMMYFUNCTION("""COMPUTED_VALUE"""),FALSE)</f>
        <v>0</v>
      </c>
      <c r="Q3155" s="20" t="str">
        <f>IFERROR(__xludf.DUMMYFUNCTION("""COMPUTED_VALUE"""),"")</f>
        <v/>
      </c>
      <c r="R3155" s="21" t="str">
        <f>IFERROR(__xludf.DUMMYFUNCTION("""COMPUTED_VALUE"""),"https://drive.google.com/file/d/1Po4CVWCVLLbwvwXlHlkIjLCYZ8gbVvQB/view?usp=drivesdk")</f>
        <v>https://drive.google.com/file/d/1Po4CVWCVLLbwvwXlHlkIjLCYZ8gbVvQB/view?usp=drivesdk</v>
      </c>
    </row>
    <row r="3156">
      <c r="A3156" s="15">
        <f>IFERROR(__xludf.DUMMYFUNCTION("""COMPUTED_VALUE"""),45092.0)</f>
        <v>45092</v>
      </c>
      <c r="B3156" s="16" t="str">
        <f>IFERROR(__xludf.DUMMYFUNCTION("""COMPUTED_VALUE"""),"Johan Alexander Escobar Arroyo ")</f>
        <v>Johan Alexander Escobar Arroyo </v>
      </c>
      <c r="C3156" s="15" t="str">
        <f>IFERROR(__xludf.DUMMYFUNCTION("""COMPUTED_VALUE"""),"CALI")</f>
        <v>CALI</v>
      </c>
      <c r="D3156" s="15" t="str">
        <f>IFERROR(__xludf.DUMMYFUNCTION("""COMPUTED_VALUE"""),"MEDELLÍN")</f>
        <v>MEDELLÍN</v>
      </c>
      <c r="E3156" s="15" t="str">
        <f>IFERROR(__xludf.DUMMYFUNCTION("""COMPUTED_VALUE"""),"Baby Chef")</f>
        <v>Baby Chef</v>
      </c>
      <c r="F3156" s="17" t="str">
        <f>IFERROR(__xludf.DUMMYFUNCTION("""COMPUTED_VALUE"""),"Cra 138 # 4-133, “Condominio Batik”,  Casa 75. Barrio Pance  / Cra 138 # 4-133, “Condominio Batik”,  Casa 75. Barrio Pance  / Cra 138 # 4-133, “Condominio Batik”,  Casa 75. Barrio Pance")</f>
        <v>Cra 138 # 4-133, “Condominio Batik”,  Casa 75. Barrio Pance  / Cra 138 # 4-133, “Condominio Batik”,  Casa 75. Barrio Pance  / Cra 138 # 4-133, “Condominio Batik”,  Casa 75. Barrio Pance</v>
      </c>
      <c r="G3156" s="15" t="str">
        <f>IFERROR(__xludf.DUMMYFUNCTION("""COMPUTED_VALUE"""),"Carolina Cerón Plazas")</f>
        <v>Carolina Cerón Plazas</v>
      </c>
      <c r="H3156" s="16">
        <f>IFERROR(__xludf.DUMMYFUNCTION("""COMPUTED_VALUE"""),11748.0)</f>
        <v>11748</v>
      </c>
      <c r="I3156" s="18">
        <f>IFERROR(__xludf.DUMMYFUNCTION("""COMPUTED_VALUE"""),8.0)</f>
        <v>8</v>
      </c>
      <c r="J3156" s="18">
        <f>IFERROR(__xludf.DUMMYFUNCTION("""COMPUTED_VALUE"""),16.0)</f>
        <v>16</v>
      </c>
      <c r="K3156" s="18">
        <f>IFERROR(__xludf.DUMMYFUNCTION("""COMPUTED_VALUE"""),20.0)</f>
        <v>20</v>
      </c>
      <c r="L3156" s="17">
        <f>IFERROR(__xludf.DUMMYFUNCTION("""COMPUTED_VALUE"""),3.00419566E9)</f>
        <v>3004195660</v>
      </c>
      <c r="M3156" s="17" t="str">
        <f>IFERROR(__xludf.DUMMYFUNCTION("""COMPUTED_VALUE"""),"#REF!")</f>
        <v>#REF!</v>
      </c>
      <c r="N3156" s="17"/>
      <c r="O3156" s="17"/>
      <c r="P3156" s="17" t="b">
        <f>IFERROR(__xludf.DUMMYFUNCTION("""COMPUTED_VALUE"""),FALSE)</f>
        <v>0</v>
      </c>
      <c r="Q3156" s="20" t="str">
        <f>IFERROR(__xludf.DUMMYFUNCTION("""COMPUTED_VALUE"""),"")</f>
        <v/>
      </c>
      <c r="R3156" s="21" t="str">
        <f>IFERROR(__xludf.DUMMYFUNCTION("""COMPUTED_VALUE"""),"https://drive.google.com/file/d/1QXUQcdYnY7ZdeV1yEe5-bzjkA-ciB6tN/view?usp=drivesdk")</f>
        <v>https://drive.google.com/file/d/1QXUQcdYnY7ZdeV1yEe5-bzjkA-ciB6tN/view?usp=drivesdk</v>
      </c>
    </row>
    <row r="3157">
      <c r="A3157" s="15">
        <f>IFERROR(__xludf.DUMMYFUNCTION("""COMPUTED_VALUE"""),45092.0)</f>
        <v>45092</v>
      </c>
      <c r="B3157" s="16" t="str">
        <f>IFERROR(__xludf.DUMMYFUNCTION("""COMPUTED_VALUE"""),"Johan Alexander Escobar Arroyo ")</f>
        <v>Johan Alexander Escobar Arroyo </v>
      </c>
      <c r="C3157" s="15" t="str">
        <f>IFERROR(__xludf.DUMMYFUNCTION("""COMPUTED_VALUE"""),"CALI")</f>
        <v>CALI</v>
      </c>
      <c r="D3157" s="15" t="str">
        <f>IFERROR(__xludf.DUMMYFUNCTION("""COMPUTED_VALUE"""),"MEDELLÍN")</f>
        <v>MEDELLÍN</v>
      </c>
      <c r="E3157" s="15" t="str">
        <f>IFERROR(__xludf.DUMMYFUNCTION("""COMPUTED_VALUE"""),"Baby Chef")</f>
        <v>Baby Chef</v>
      </c>
      <c r="F3157" s="17" t="str">
        <f>IFERROR(__xludf.DUMMYFUNCTION("""COMPUTED_VALUE"""),"Cra 2D # 12 Oeste 94 Apto 701 Edificio Mirador del Oeste / Cra 2D # 12 Oeste 94 Apto 701 Edificio Mirador del Oeste / Cra 2D # 12 Oeste 94 Apto 701 Edificio Mirador del Oeste")</f>
        <v>Cra 2D # 12 Oeste 94 Apto 701 Edificio Mirador del Oeste / Cra 2D # 12 Oeste 94 Apto 701 Edificio Mirador del Oeste / Cra 2D # 12 Oeste 94 Apto 701 Edificio Mirador del Oeste</v>
      </c>
      <c r="G3157" s="15" t="str">
        <f>IFERROR(__xludf.DUMMYFUNCTION("""COMPUTED_VALUE"""),"Diana Aragón")</f>
        <v>Diana Aragón</v>
      </c>
      <c r="H3157" s="16">
        <f>IFERROR(__xludf.DUMMYFUNCTION("""COMPUTED_VALUE"""),11752.0)</f>
        <v>11752</v>
      </c>
      <c r="I3157" s="18">
        <f>IFERROR(__xludf.DUMMYFUNCTION("""COMPUTED_VALUE"""),8.0)</f>
        <v>8</v>
      </c>
      <c r="J3157" s="18">
        <f>IFERROR(__xludf.DUMMYFUNCTION("""COMPUTED_VALUE"""),16.0)</f>
        <v>16</v>
      </c>
      <c r="K3157" s="18">
        <f>IFERROR(__xludf.DUMMYFUNCTION("""COMPUTED_VALUE"""),20.0)</f>
        <v>20</v>
      </c>
      <c r="L3157" s="17">
        <f>IFERROR(__xludf.DUMMYFUNCTION("""COMPUTED_VALUE"""),3.163168121E9)</f>
        <v>3163168121</v>
      </c>
      <c r="M3157" s="17" t="str">
        <f>IFERROR(__xludf.DUMMYFUNCTION("""COMPUTED_VALUE"""),"#REF!")</f>
        <v>#REF!</v>
      </c>
      <c r="N3157" s="17"/>
      <c r="O3157" s="17"/>
      <c r="P3157" s="17" t="b">
        <f>IFERROR(__xludf.DUMMYFUNCTION("""COMPUTED_VALUE"""),FALSE)</f>
        <v>0</v>
      </c>
      <c r="Q3157" s="20" t="str">
        <f>IFERROR(__xludf.DUMMYFUNCTION("""COMPUTED_VALUE"""),"")</f>
        <v/>
      </c>
      <c r="R3157" s="21" t="str">
        <f>IFERROR(__xludf.DUMMYFUNCTION("""COMPUTED_VALUE"""),"https://drive.google.com/file/d/1e-EatNz1QfCmBk73LoqP3CIC8T4F0MUK/view?usp=drivesdk")</f>
        <v>https://drive.google.com/file/d/1e-EatNz1QfCmBk73LoqP3CIC8T4F0MUK/view?usp=drivesdk</v>
      </c>
    </row>
    <row r="3158">
      <c r="A3158" s="15">
        <f>IFERROR(__xludf.DUMMYFUNCTION("""COMPUTED_VALUE"""),45092.0)</f>
        <v>45092</v>
      </c>
      <c r="B3158" s="16" t="str">
        <f>IFERROR(__xludf.DUMMYFUNCTION("""COMPUTED_VALUE"""),"Johan Alexander Escobar Arroyo ")</f>
        <v>Johan Alexander Escobar Arroyo </v>
      </c>
      <c r="C3158" s="15" t="str">
        <f>IFERROR(__xludf.DUMMYFUNCTION("""COMPUTED_VALUE"""),"CALI")</f>
        <v>CALI</v>
      </c>
      <c r="D3158" s="15" t="str">
        <f>IFERROR(__xludf.DUMMYFUNCTION("""COMPUTED_VALUE"""),"MEDELLÍN")</f>
        <v>MEDELLÍN</v>
      </c>
      <c r="E3158" s="15" t="str">
        <f>IFERROR(__xludf.DUMMYFUNCTION("""COMPUTED_VALUE"""),"Goyo Todo por ellos")</f>
        <v>Goyo Todo por ellos</v>
      </c>
      <c r="F3158" s="17" t="str">
        <f>IFERROR(__xludf.DUMMYFUNCTION("""COMPUTED_VALUE"""),"Calle 55 # 99 - 250 / Unidad Residencial Remansos del Lili Torre 1 Apto 706 / Barrio Valle del Lili")</f>
        <v>Calle 55 # 99 - 250 / Unidad Residencial Remansos del Lili Torre 1 Apto 706 / Barrio Valle del Lili</v>
      </c>
      <c r="G3158" s="15" t="str">
        <f>IFERROR(__xludf.DUMMYFUNCTION("""COMPUTED_VALUE"""),"Cristian David Pelaez")</f>
        <v>Cristian David Pelaez</v>
      </c>
      <c r="H3158" s="16">
        <f>IFERROR(__xludf.DUMMYFUNCTION("""COMPUTED_VALUE"""),11742.0)</f>
        <v>11742</v>
      </c>
      <c r="I3158" s="18">
        <f>IFERROR(__xludf.DUMMYFUNCTION("""COMPUTED_VALUE"""),30.0)</f>
        <v>30</v>
      </c>
      <c r="J3158" s="18">
        <f>IFERROR(__xludf.DUMMYFUNCTION("""COMPUTED_VALUE"""),20.0)</f>
        <v>20</v>
      </c>
      <c r="K3158" s="18">
        <f>IFERROR(__xludf.DUMMYFUNCTION("""COMPUTED_VALUE"""),20.0)</f>
        <v>20</v>
      </c>
      <c r="L3158" s="17">
        <f>IFERROR(__xludf.DUMMYFUNCTION("""COMPUTED_VALUE"""),3.105902029E9)</f>
        <v>3105902029</v>
      </c>
      <c r="M3158" s="17" t="str">
        <f>IFERROR(__xludf.DUMMYFUNCTION("""COMPUTED_VALUE"""),"#REF!")</f>
        <v>#REF!</v>
      </c>
      <c r="N3158" s="17"/>
      <c r="O3158" s="17"/>
      <c r="P3158" s="17" t="b">
        <f>IFERROR(__xludf.DUMMYFUNCTION("""COMPUTED_VALUE"""),FALSE)</f>
        <v>0</v>
      </c>
      <c r="Q3158" s="20" t="str">
        <f>IFERROR(__xludf.DUMMYFUNCTION("""COMPUTED_VALUE"""),"")</f>
        <v/>
      </c>
      <c r="R3158" s="22" t="str">
        <f>IFERROR(__xludf.DUMMYFUNCTION("""COMPUTED_VALUE"""),"")</f>
        <v/>
      </c>
    </row>
    <row r="3159">
      <c r="A3159" s="15">
        <f>IFERROR(__xludf.DUMMYFUNCTION("""COMPUTED_VALUE"""),45092.0)</f>
        <v>45092</v>
      </c>
      <c r="B3159" s="16" t="str">
        <f>IFERROR(__xludf.DUMMYFUNCTION("""COMPUTED_VALUE"""),"Johan Alexander Escobar Arroyo ")</f>
        <v>Johan Alexander Escobar Arroyo </v>
      </c>
      <c r="C3159" s="15" t="str">
        <f>IFERROR(__xludf.DUMMYFUNCTION("""COMPUTED_VALUE"""),"CALI")</f>
        <v>CALI</v>
      </c>
      <c r="D3159" s="15" t="str">
        <f>IFERROR(__xludf.DUMMYFUNCTION("""COMPUTED_VALUE"""),"MEDELLÍN")</f>
        <v>MEDELLÍN</v>
      </c>
      <c r="E3159" s="15" t="str">
        <f>IFERROR(__xludf.DUMMYFUNCTION("""COMPUTED_VALUE"""),"Moloso S.A.S")</f>
        <v>Moloso S.A.S</v>
      </c>
      <c r="F3159" s="17" t="str">
        <f>IFERROR(__xludf.DUMMYFUNCTION("""COMPUTED_VALUE"""),"CR 12 50 07 / CASA P 2")</f>
        <v>CR 12 50 07 / CASA P 2</v>
      </c>
      <c r="G3159" s="15" t="str">
        <f>IFERROR(__xludf.DUMMYFUNCTION("""COMPUTED_VALUE"""),"NATALIA GONZALEZ VASQUEZ")</f>
        <v>NATALIA GONZALEZ VASQUEZ</v>
      </c>
      <c r="H3159" s="16">
        <f>IFERROR(__xludf.DUMMYFUNCTION("""COMPUTED_VALUE"""),11740.0)</f>
        <v>11740</v>
      </c>
      <c r="I3159" s="18">
        <f>IFERROR(__xludf.DUMMYFUNCTION("""COMPUTED_VALUE"""),17.0)</f>
        <v>17</v>
      </c>
      <c r="J3159" s="18">
        <f>IFERROR(__xludf.DUMMYFUNCTION("""COMPUTED_VALUE"""),15.0)</f>
        <v>15</v>
      </c>
      <c r="K3159" s="18">
        <f>IFERROR(__xludf.DUMMYFUNCTION("""COMPUTED_VALUE"""),28.0)</f>
        <v>28</v>
      </c>
      <c r="L3159" s="17" t="str">
        <f>IFERROR(__xludf.DUMMYFUNCTION("""COMPUTED_VALUE"""),"312 8814825")</f>
        <v>312 8814825</v>
      </c>
      <c r="M3159" s="17" t="str">
        <f>IFERROR(__xludf.DUMMYFUNCTION("""COMPUTED_VALUE"""),"#REF!")</f>
        <v>#REF!</v>
      </c>
      <c r="N3159" s="17"/>
      <c r="O3159" s="17"/>
      <c r="P3159" s="17" t="b">
        <f>IFERROR(__xludf.DUMMYFUNCTION("""COMPUTED_VALUE"""),FALSE)</f>
        <v>0</v>
      </c>
      <c r="Q3159" s="20" t="str">
        <f>IFERROR(__xludf.DUMMYFUNCTION("""COMPUTED_VALUE"""),"")</f>
        <v/>
      </c>
      <c r="R3159" s="21" t="str">
        <f>IFERROR(__xludf.DUMMYFUNCTION("""COMPUTED_VALUE"""),"https://drive.google.com/file/d/1DUOo2QzqgMOljhkUyl2V7aGoQnoLydWk/view?usp=drivesdk")</f>
        <v>https://drive.google.com/file/d/1DUOo2QzqgMOljhkUyl2V7aGoQnoLydWk/view?usp=drivesdk</v>
      </c>
    </row>
    <row r="3160">
      <c r="A3160" s="15">
        <f>IFERROR(__xludf.DUMMYFUNCTION("""COMPUTED_VALUE"""),45092.0)</f>
        <v>45092</v>
      </c>
      <c r="B3160" s="16" t="str">
        <f>IFERROR(__xludf.DUMMYFUNCTION("""COMPUTED_VALUE"""),"Johan Alexander Escobar Arroyo ")</f>
        <v>Johan Alexander Escobar Arroyo </v>
      </c>
      <c r="C3160" s="15" t="str">
        <f>IFERROR(__xludf.DUMMYFUNCTION("""COMPUTED_VALUE"""),"CARTAGO")</f>
        <v>CARTAGO</v>
      </c>
      <c r="D3160" s="15" t="str">
        <f>IFERROR(__xludf.DUMMYFUNCTION("""COMPUTED_VALUE"""),"BOGOTÁ")</f>
        <v>BOGOTÁ</v>
      </c>
      <c r="E3160" s="15" t="str">
        <f>IFERROR(__xludf.DUMMYFUNCTION("""COMPUTED_VALUE"""),"Pan de Waffle")</f>
        <v>Pan de Waffle</v>
      </c>
      <c r="F3160" s="17" t="str">
        <f>IFERROR(__xludf.DUMMYFUNCTION("""COMPUTED_VALUE"""),"CR 4 # 16 107 / CR 4 # 16 107 / CR 4 # 16 107")</f>
        <v>CR 4 # 16 107 / CR 4 # 16 107 / CR 4 # 16 107</v>
      </c>
      <c r="G3160" s="15" t="str">
        <f>IFERROR(__xludf.DUMMYFUNCTION("""COMPUTED_VALUE"""),"THE NATURAL")</f>
        <v>THE NATURAL</v>
      </c>
      <c r="H3160" s="16">
        <f>IFERROR(__xludf.DUMMYFUNCTION("""COMPUTED_VALUE"""),11665.0)</f>
        <v>11665</v>
      </c>
      <c r="I3160" s="18">
        <f>IFERROR(__xludf.DUMMYFUNCTION("""COMPUTED_VALUE"""),40.0)</f>
        <v>40</v>
      </c>
      <c r="J3160" s="18">
        <f>IFERROR(__xludf.DUMMYFUNCTION("""COMPUTED_VALUE"""),30.0)</f>
        <v>30</v>
      </c>
      <c r="K3160" s="18">
        <f>IFERROR(__xludf.DUMMYFUNCTION("""COMPUTED_VALUE"""),30.0)</f>
        <v>30</v>
      </c>
      <c r="L3160" s="17">
        <f>IFERROR(__xludf.DUMMYFUNCTION("""COMPUTED_VALUE"""),3.146025882E9)</f>
        <v>3146025882</v>
      </c>
      <c r="M3160" s="17" t="str">
        <f>IFERROR(__xludf.DUMMYFUNCTION("""COMPUTED_VALUE"""),"#REF!")</f>
        <v>#REF!</v>
      </c>
      <c r="N3160" s="17"/>
      <c r="O3160" s="17"/>
      <c r="P3160" s="17" t="b">
        <f>IFERROR(__xludf.DUMMYFUNCTION("""COMPUTED_VALUE"""),FALSE)</f>
        <v>0</v>
      </c>
      <c r="Q3160" s="20" t="str">
        <f>IFERROR(__xludf.DUMMYFUNCTION("""COMPUTED_VALUE"""),"")</f>
        <v/>
      </c>
      <c r="R3160" s="22" t="str">
        <f>IFERROR(__xludf.DUMMYFUNCTION("""COMPUTED_VALUE"""),"")</f>
        <v/>
      </c>
    </row>
    <row r="3161">
      <c r="A3161" s="15">
        <f>IFERROR(__xludf.DUMMYFUNCTION("""COMPUTED_VALUE"""),45092.0)</f>
        <v>45092</v>
      </c>
      <c r="B3161" s="16" t="str">
        <f>IFERROR(__xludf.DUMMYFUNCTION("""COMPUTED_VALUE"""),"Johan Alexander Escobar Arroyo ")</f>
        <v>Johan Alexander Escobar Arroyo </v>
      </c>
      <c r="C3161" s="15" t="str">
        <f>IFERROR(__xludf.DUMMYFUNCTION("""COMPUTED_VALUE"""),"CÚCUTA")</f>
        <v>CÚCUTA</v>
      </c>
      <c r="D3161" s="15" t="str">
        <f>IFERROR(__xludf.DUMMYFUNCTION("""COMPUTED_VALUE"""),"MEDELLÍN")</f>
        <v>MEDELLÍN</v>
      </c>
      <c r="E3161" s="15" t="str">
        <f>IFERROR(__xludf.DUMMYFUNCTION("""COMPUTED_VALUE"""),"Momo Tea S.A.S Gabriel Echavarría")</f>
        <v>Momo Tea S.A.S Gabriel Echavarría</v>
      </c>
      <c r="F3161" s="17" t="str">
        <f>IFERROR(__xludf.DUMMYFUNCTION("""COMPUTED_VALUE"""),"CL 11 N 16 E 35 / CA B 1")</f>
        <v>CL 11 N 16 E 35 / CA B 1</v>
      </c>
      <c r="G3161" s="15" t="str">
        <f>IFERROR(__xludf.DUMMYFUNCTION("""COMPUTED_VALUE"""),"Gabriel Echavarría")</f>
        <v>Gabriel Echavarría</v>
      </c>
      <c r="H3161" s="16">
        <f>IFERROR(__xludf.DUMMYFUNCTION("""COMPUTED_VALUE"""),11692.0)</f>
        <v>11692</v>
      </c>
      <c r="I3161" s="18">
        <f>IFERROR(__xludf.DUMMYFUNCTION("""COMPUTED_VALUE"""),17.0)</f>
        <v>17</v>
      </c>
      <c r="J3161" s="18">
        <f>IFERROR(__xludf.DUMMYFUNCTION("""COMPUTED_VALUE"""),13.0)</f>
        <v>13</v>
      </c>
      <c r="K3161" s="18">
        <f>IFERROR(__xludf.DUMMYFUNCTION("""COMPUTED_VALUE"""),20.0)</f>
        <v>20</v>
      </c>
      <c r="L3161" s="17">
        <f>IFERROR(__xludf.DUMMYFUNCTION("""COMPUTED_VALUE"""),3.017909548E9)</f>
        <v>3017909548</v>
      </c>
      <c r="M3161" s="17" t="str">
        <f>IFERROR(__xludf.DUMMYFUNCTION("""COMPUTED_VALUE"""),"#REF!")</f>
        <v>#REF!</v>
      </c>
      <c r="N3161" s="17"/>
      <c r="O3161" s="17"/>
      <c r="P3161" s="17" t="b">
        <f>IFERROR(__xludf.DUMMYFUNCTION("""COMPUTED_VALUE"""),FALSE)</f>
        <v>0</v>
      </c>
      <c r="Q3161" s="20" t="str">
        <f>IFERROR(__xludf.DUMMYFUNCTION("""COMPUTED_VALUE"""),"")</f>
        <v/>
      </c>
      <c r="R3161" s="22" t="str">
        <f>IFERROR(__xludf.DUMMYFUNCTION("""COMPUTED_VALUE"""),"")</f>
        <v/>
      </c>
    </row>
    <row r="3162">
      <c r="A3162" s="15">
        <f>IFERROR(__xludf.DUMMYFUNCTION("""COMPUTED_VALUE"""),45092.0)</f>
        <v>45092</v>
      </c>
      <c r="B3162" s="16" t="str">
        <f>IFERROR(__xludf.DUMMYFUNCTION("""COMPUTED_VALUE"""),"Johan Alexander Escobar Arroyo ")</f>
        <v>Johan Alexander Escobar Arroyo </v>
      </c>
      <c r="C3162" s="15" t="str">
        <f>IFERROR(__xludf.DUMMYFUNCTION("""COMPUTED_VALUE"""),"CÚCUTA")</f>
        <v>CÚCUTA</v>
      </c>
      <c r="D3162" s="15" t="str">
        <f>IFERROR(__xludf.DUMMYFUNCTION("""COMPUTED_VALUE"""),"MEDELLÍN")</f>
        <v>MEDELLÍN</v>
      </c>
      <c r="E3162" s="15" t="str">
        <f>IFERROR(__xludf.DUMMYFUNCTION("""COMPUTED_VALUE"""),"Momo Tea S.A.S Gabriel Echavarría")</f>
        <v>Momo Tea S.A.S Gabriel Echavarría</v>
      </c>
      <c r="F3162" s="17" t="str">
        <f>IFERROR(__xludf.DUMMYFUNCTION("""COMPUTED_VALUE"""),"CL 11 N 16 E 35 / CA B 1")</f>
        <v>CL 11 N 16 E 35 / CA B 1</v>
      </c>
      <c r="G3162" s="15" t="str">
        <f>IFERROR(__xludf.DUMMYFUNCTION("""COMPUTED_VALUE"""),"Gabriel Echavarría")</f>
        <v>Gabriel Echavarría</v>
      </c>
      <c r="H3162" s="16">
        <f>IFERROR(__xludf.DUMMYFUNCTION("""COMPUTED_VALUE"""),11693.0)</f>
        <v>11693</v>
      </c>
      <c r="I3162" s="18">
        <f>IFERROR(__xludf.DUMMYFUNCTION("""COMPUTED_VALUE"""),63.0)</f>
        <v>63</v>
      </c>
      <c r="J3162" s="18">
        <f>IFERROR(__xludf.DUMMYFUNCTION("""COMPUTED_VALUE"""),10.0)</f>
        <v>10</v>
      </c>
      <c r="K3162" s="18">
        <f>IFERROR(__xludf.DUMMYFUNCTION("""COMPUTED_VALUE"""),9.0)</f>
        <v>9</v>
      </c>
      <c r="L3162" s="17">
        <f>IFERROR(__xludf.DUMMYFUNCTION("""COMPUTED_VALUE"""),3.017909548E9)</f>
        <v>3017909548</v>
      </c>
      <c r="M3162" s="17" t="str">
        <f>IFERROR(__xludf.DUMMYFUNCTION("""COMPUTED_VALUE"""),"#REF!")</f>
        <v>#REF!</v>
      </c>
      <c r="N3162" s="17"/>
      <c r="O3162" s="17"/>
      <c r="P3162" s="17" t="b">
        <f>IFERROR(__xludf.DUMMYFUNCTION("""COMPUTED_VALUE"""),FALSE)</f>
        <v>0</v>
      </c>
      <c r="Q3162" s="20" t="str">
        <f>IFERROR(__xludf.DUMMYFUNCTION("""COMPUTED_VALUE"""),"")</f>
        <v/>
      </c>
      <c r="R3162" s="22" t="str">
        <f>IFERROR(__xludf.DUMMYFUNCTION("""COMPUTED_VALUE"""),"")</f>
        <v/>
      </c>
    </row>
    <row r="3163">
      <c r="A3163" s="15">
        <f>IFERROR(__xludf.DUMMYFUNCTION("""COMPUTED_VALUE"""),45092.0)</f>
        <v>45092</v>
      </c>
      <c r="B3163" s="16" t="str">
        <f>IFERROR(__xludf.DUMMYFUNCTION("""COMPUTED_VALUE"""),"Johan Alexander Escobar Arroyo ")</f>
        <v>Johan Alexander Escobar Arroyo </v>
      </c>
      <c r="C3163" s="15" t="str">
        <f>IFERROR(__xludf.DUMMYFUNCTION("""COMPUTED_VALUE"""),"TULUA")</f>
        <v>TULUA</v>
      </c>
      <c r="D3163" s="15" t="str">
        <f>IFERROR(__xludf.DUMMYFUNCTION("""COMPUTED_VALUE"""),"BOGOTÁ")</f>
        <v>BOGOTÁ</v>
      </c>
      <c r="E3163" s="15" t="str">
        <f>IFERROR(__xludf.DUMMYFUNCTION("""COMPUTED_VALUE"""),"Evamazzita")</f>
        <v>Evamazzita</v>
      </c>
      <c r="F3163" s="17" t="str">
        <f>IFERROR(__xludf.DUMMYFUNCTION("""COMPUTED_VALUE"""),"Carrera 24 A #44-19   / Nuevo Príncipe / Nuevo Príncipe""")</f>
        <v>Carrera 24 A #44-19   / Nuevo Príncipe / Nuevo Príncipe"</v>
      </c>
      <c r="G3163" s="15" t="str">
        <f>IFERROR(__xludf.DUMMYFUNCTION("""COMPUTED_VALUE"""),"ADRIANA DIAZ TORRALBA")</f>
        <v>ADRIANA DIAZ TORRALBA</v>
      </c>
      <c r="H3163" s="16">
        <f>IFERROR(__xludf.DUMMYFUNCTION("""COMPUTED_VALUE"""),11730.0)</f>
        <v>11730</v>
      </c>
      <c r="I3163" s="18">
        <f>IFERROR(__xludf.DUMMYFUNCTION("""COMPUTED_VALUE"""),1.0)</f>
        <v>1</v>
      </c>
      <c r="J3163" s="18">
        <f>IFERROR(__xludf.DUMMYFUNCTION("""COMPUTED_VALUE"""),1.0)</f>
        <v>1</v>
      </c>
      <c r="K3163" s="18">
        <f>IFERROR(__xludf.DUMMYFUNCTION("""COMPUTED_VALUE"""),1.0)</f>
        <v>1</v>
      </c>
      <c r="L3163" s="17">
        <f>IFERROR(__xludf.DUMMYFUNCTION("""COMPUTED_VALUE"""),3.104421129E9)</f>
        <v>3104421129</v>
      </c>
      <c r="M3163" s="17" t="str">
        <f>IFERROR(__xludf.DUMMYFUNCTION("""COMPUTED_VALUE"""),"#REF!")</f>
        <v>#REF!</v>
      </c>
      <c r="N3163" s="17"/>
      <c r="O3163" s="17"/>
      <c r="P3163" s="17" t="b">
        <f>IFERROR(__xludf.DUMMYFUNCTION("""COMPUTED_VALUE"""),FALSE)</f>
        <v>0</v>
      </c>
      <c r="Q3163" s="20" t="str">
        <f>IFERROR(__xludf.DUMMYFUNCTION("""COMPUTED_VALUE"""),"")</f>
        <v/>
      </c>
      <c r="R3163" s="21" t="str">
        <f>IFERROR(__xludf.DUMMYFUNCTION("""COMPUTED_VALUE"""),"https://drive.google.com/file/d/1EFNZpV6BYUIlVwNN0vmwBSJa-Gqmx3rX/view?usp=drivesdk")</f>
        <v>https://drive.google.com/file/d/1EFNZpV6BYUIlVwNN0vmwBSJa-Gqmx3rX/view?usp=drivesdk</v>
      </c>
    </row>
    <row r="3164">
      <c r="A3164" s="15">
        <f>IFERROR(__xludf.DUMMYFUNCTION("""COMPUTED_VALUE"""),45092.0)</f>
        <v>45092</v>
      </c>
      <c r="B3164" s="16" t="str">
        <f>IFERROR(__xludf.DUMMYFUNCTION("""COMPUTED_VALUE"""),"Johan Alexander Escobar Arroyo ")</f>
        <v>Johan Alexander Escobar Arroyo </v>
      </c>
      <c r="C3164" s="15" t="str">
        <f>IFERROR(__xludf.DUMMYFUNCTION("""COMPUTED_VALUE"""),"TULUA")</f>
        <v>TULUA</v>
      </c>
      <c r="D3164" s="15" t="str">
        <f>IFERROR(__xludf.DUMMYFUNCTION("""COMPUTED_VALUE"""),"BOGOTÁ")</f>
        <v>BOGOTÁ</v>
      </c>
      <c r="E3164" s="15" t="str">
        <f>IFERROR(__xludf.DUMMYFUNCTION("""COMPUTED_VALUE"""),"Evamazzita")</f>
        <v>Evamazzita</v>
      </c>
      <c r="F3164" s="17" t="str">
        <f>IFERROR(__xludf.DUMMYFUNCTION("""COMPUTED_VALUE"""),"Carrera 34a No 29-66   / píso 2 /  Barrio Victoria  Cel: 320 4848091						1	1	1	$32,000							2023-06-15	2023-06-14								2
11728		14/6/2023 11:00:15	Evamazzita	BOGOTÁ	IVONNE SAAVEDRA	TULUA	3175115462	Lina Paola Ramirez			Refrigerado	CARRERA 13 # 26 - 13"&amp;"3  / BARRIO LA CEIBA"" / BARRIO LA CEIBA""")</f>
        <v>Carrera 34a No 29-66   / píso 2 /  Barrio Victoria  Cel: 320 4848091						1	1	1	$32,000							2023-06-15	2023-06-14								2
11728		14/6/2023 11:00:15	Evamazzita	BOGOTÁ	IVONNE SAAVEDRA	TULUA	3175115462	Lina Paola Ramirez			Refrigerado	CARRERA 13 # 26 - 133  / BARRIO LA CEIBA" / BARRIO LA CEIBA"</v>
      </c>
      <c r="G3164" s="15" t="str">
        <f>IFERROR(__xludf.DUMMYFUNCTION("""COMPUTED_VALUE"""),"MARIA ANGELICA HERNANDEZ")</f>
        <v>MARIA ANGELICA HERNANDEZ</v>
      </c>
      <c r="H3164" s="16">
        <f>IFERROR(__xludf.DUMMYFUNCTION("""COMPUTED_VALUE"""),11727.0)</f>
        <v>11727</v>
      </c>
      <c r="I3164" s="18">
        <f>IFERROR(__xludf.DUMMYFUNCTION("""COMPUTED_VALUE"""),1.0)</f>
        <v>1</v>
      </c>
      <c r="J3164" s="18">
        <f>IFERROR(__xludf.DUMMYFUNCTION("""COMPUTED_VALUE"""),1.0)</f>
        <v>1</v>
      </c>
      <c r="K3164" s="18">
        <f>IFERROR(__xludf.DUMMYFUNCTION("""COMPUTED_VALUE"""),1.0)</f>
        <v>1</v>
      </c>
      <c r="L3164" s="17">
        <f>IFERROR(__xludf.DUMMYFUNCTION("""COMPUTED_VALUE"""),3.057079152E9)</f>
        <v>3057079152</v>
      </c>
      <c r="M3164" s="17" t="str">
        <f>IFERROR(__xludf.DUMMYFUNCTION("""COMPUTED_VALUE"""),"#REF!")</f>
        <v>#REF!</v>
      </c>
      <c r="N3164" s="17"/>
      <c r="O3164" s="17"/>
      <c r="P3164" s="17" t="b">
        <f>IFERROR(__xludf.DUMMYFUNCTION("""COMPUTED_VALUE"""),FALSE)</f>
        <v>0</v>
      </c>
      <c r="Q3164" s="20" t="str">
        <f>IFERROR(__xludf.DUMMYFUNCTION("""COMPUTED_VALUE"""),"")</f>
        <v/>
      </c>
      <c r="R3164" s="21" t="str">
        <f>IFERROR(__xludf.DUMMYFUNCTION("""COMPUTED_VALUE"""),"https://drive.google.com/file/d/1U2vSh9I0uf1s0wltXoTX2AIJ3iazkd_N/view?usp=drivesdk")</f>
        <v>https://drive.google.com/file/d/1U2vSh9I0uf1s0wltXoTX2AIJ3iazkd_N/view?usp=drivesdk</v>
      </c>
    </row>
    <row r="3165">
      <c r="A3165" s="15">
        <f>IFERROR(__xludf.DUMMYFUNCTION("""COMPUTED_VALUE"""),45092.0)</f>
        <v>45092</v>
      </c>
      <c r="B3165" s="16" t="str">
        <f>IFERROR(__xludf.DUMMYFUNCTION("""COMPUTED_VALUE"""),"Johan Alexander Escobar Arroyo ")</f>
        <v>Johan Alexander Escobar Arroyo </v>
      </c>
      <c r="C3165" s="15" t="str">
        <f>IFERROR(__xludf.DUMMYFUNCTION("""COMPUTED_VALUE"""),"TULUA")</f>
        <v>TULUA</v>
      </c>
      <c r="D3165" s="15" t="str">
        <f>IFERROR(__xludf.DUMMYFUNCTION("""COMPUTED_VALUE"""),"BOGOTÁ")</f>
        <v>BOGOTÁ</v>
      </c>
      <c r="E3165" s="15" t="str">
        <f>IFERROR(__xludf.DUMMYFUNCTION("""COMPUTED_VALUE"""),"Evamazzita")</f>
        <v>Evamazzita</v>
      </c>
      <c r="F3165" s="17" t="str">
        <f>IFERROR(__xludf.DUMMYFUNCTION("""COMPUTED_VALUE"""),"parque de Versalles  / apto 403 torre b / parque de Versalles")</f>
        <v>parque de Versalles  / apto 403 torre b / parque de Versalles</v>
      </c>
      <c r="G3165" s="15" t="str">
        <f>IFERROR(__xludf.DUMMYFUNCTION("""COMPUTED_VALUE"""),"JULIANA CRUZ")</f>
        <v>JULIANA CRUZ</v>
      </c>
      <c r="H3165" s="16">
        <f>IFERROR(__xludf.DUMMYFUNCTION("""COMPUTED_VALUE"""),11731.0)</f>
        <v>11731</v>
      </c>
      <c r="I3165" s="18">
        <f>IFERROR(__xludf.DUMMYFUNCTION("""COMPUTED_VALUE"""),1.0)</f>
        <v>1</v>
      </c>
      <c r="J3165" s="18">
        <f>IFERROR(__xludf.DUMMYFUNCTION("""COMPUTED_VALUE"""),1.0)</f>
        <v>1</v>
      </c>
      <c r="K3165" s="18">
        <f>IFERROR(__xludf.DUMMYFUNCTION("""COMPUTED_VALUE"""),1.0)</f>
        <v>1</v>
      </c>
      <c r="L3165" s="17">
        <f>IFERROR(__xludf.DUMMYFUNCTION("""COMPUTED_VALUE"""),3.165247891E9)</f>
        <v>3165247891</v>
      </c>
      <c r="M3165" s="17" t="str">
        <f>IFERROR(__xludf.DUMMYFUNCTION("""COMPUTED_VALUE"""),"#REF!")</f>
        <v>#REF!</v>
      </c>
      <c r="N3165" s="17"/>
      <c r="O3165" s="17"/>
      <c r="P3165" s="17" t="b">
        <f>IFERROR(__xludf.DUMMYFUNCTION("""COMPUTED_VALUE"""),FALSE)</f>
        <v>0</v>
      </c>
      <c r="Q3165" s="20" t="str">
        <f>IFERROR(__xludf.DUMMYFUNCTION("""COMPUTED_VALUE"""),"")</f>
        <v/>
      </c>
      <c r="R3165" s="21" t="str">
        <f>IFERROR(__xludf.DUMMYFUNCTION("""COMPUTED_VALUE"""),"https://drive.google.com/file/d/1OARMMbV6xO08zrk1E45YaKabSv-CSExC/view?usp=drivesdk")</f>
        <v>https://drive.google.com/file/d/1OARMMbV6xO08zrk1E45YaKabSv-CSExC/view?usp=drivesdk</v>
      </c>
    </row>
    <row r="3166">
      <c r="A3166" s="15">
        <f>IFERROR(__xludf.DUMMYFUNCTION("""COMPUTED_VALUE"""),45092.0)</f>
        <v>45092</v>
      </c>
      <c r="B3166" s="16" t="str">
        <f>IFERROR(__xludf.DUMMYFUNCTION("""COMPUTED_VALUE"""),"Johan Alexander Escobar Arroyo ")</f>
        <v>Johan Alexander Escobar Arroyo </v>
      </c>
      <c r="C3166" s="15" t="str">
        <f>IFERROR(__xludf.DUMMYFUNCTION("""COMPUTED_VALUE"""),"TULUA")</f>
        <v>TULUA</v>
      </c>
      <c r="D3166" s="15" t="str">
        <f>IFERROR(__xludf.DUMMYFUNCTION("""COMPUTED_VALUE"""),"BOGOTÁ")</f>
        <v>BOGOTÁ</v>
      </c>
      <c r="E3166" s="15" t="str">
        <f>IFERROR(__xludf.DUMMYFUNCTION("""COMPUTED_VALUE"""),"Evamazzita")</f>
        <v>Evamazzita</v>
      </c>
      <c r="F3166" s="17" t="str">
        <f>IFERROR(__xludf.DUMMYFUNCTION("""COMPUTED_VALUE"""),"Transversal 11 # 22-18.   / Barrio Chiminangos / Barrio Chiminangos")</f>
        <v>Transversal 11 # 22-18.   / Barrio Chiminangos / Barrio Chiminangos</v>
      </c>
      <c r="G3166" s="15" t="str">
        <f>IFERROR(__xludf.DUMMYFUNCTION("""COMPUTED_VALUE"""),"TANIA RUIZ HERNANDEZ")</f>
        <v>TANIA RUIZ HERNANDEZ</v>
      </c>
      <c r="H3166" s="16">
        <f>IFERROR(__xludf.DUMMYFUNCTION("""COMPUTED_VALUE"""),11732.0)</f>
        <v>11732</v>
      </c>
      <c r="I3166" s="18">
        <f>IFERROR(__xludf.DUMMYFUNCTION("""COMPUTED_VALUE"""),13.0)</f>
        <v>13</v>
      </c>
      <c r="J3166" s="18">
        <f>IFERROR(__xludf.DUMMYFUNCTION("""COMPUTED_VALUE"""),37.0)</f>
        <v>37</v>
      </c>
      <c r="K3166" s="18">
        <f>IFERROR(__xludf.DUMMYFUNCTION("""COMPUTED_VALUE"""),23.0)</f>
        <v>23</v>
      </c>
      <c r="L3166" s="17">
        <f>IFERROR(__xludf.DUMMYFUNCTION("""COMPUTED_VALUE"""),3.164319841E9)</f>
        <v>3164319841</v>
      </c>
      <c r="M3166" s="17" t="str">
        <f>IFERROR(__xludf.DUMMYFUNCTION("""COMPUTED_VALUE"""),"#REF!")</f>
        <v>#REF!</v>
      </c>
      <c r="N3166" s="17"/>
      <c r="O3166" s="17"/>
      <c r="P3166" s="17" t="b">
        <f>IFERROR(__xludf.DUMMYFUNCTION("""COMPUTED_VALUE"""),FALSE)</f>
        <v>0</v>
      </c>
      <c r="Q3166" s="20" t="str">
        <f>IFERROR(__xludf.DUMMYFUNCTION("""COMPUTED_VALUE"""),"")</f>
        <v/>
      </c>
      <c r="R3166" s="21" t="str">
        <f>IFERROR(__xludf.DUMMYFUNCTION("""COMPUTED_VALUE"""),"https://drive.google.com/file/d/1HiVLDRmw5vEDAgCL2qXvFbFiySmLS6P8/view?usp=drivesdk")</f>
        <v>https://drive.google.com/file/d/1HiVLDRmw5vEDAgCL2qXvFbFiySmLS6P8/view?usp=drivesdk</v>
      </c>
    </row>
    <row r="3167">
      <c r="A3167" s="17" t="str">
        <f>IFERROR(__xludf.DUMMYFUNCTION("""COMPUTED_VALUE"""),"")</f>
        <v/>
      </c>
      <c r="B3167" s="17" t="str">
        <f>IFERROR(__xludf.DUMMYFUNCTION("""COMPUTED_VALUE"""),"")</f>
        <v/>
      </c>
      <c r="C3167" s="17" t="str">
        <f>IFERROR(__xludf.DUMMYFUNCTION("""COMPUTED_VALUE"""),"")</f>
        <v/>
      </c>
      <c r="D3167" s="17" t="str">
        <f>IFERROR(__xludf.DUMMYFUNCTION("""COMPUTED_VALUE"""),"")</f>
        <v/>
      </c>
      <c r="E3167" s="17" t="str">
        <f>IFERROR(__xludf.DUMMYFUNCTION("""COMPUTED_VALUE"""),"")</f>
        <v/>
      </c>
      <c r="F3167" s="17" t="str">
        <f>IFERROR(__xludf.DUMMYFUNCTION("""COMPUTED_VALUE"""),"")</f>
        <v/>
      </c>
      <c r="G3167" s="17" t="str">
        <f>IFERROR(__xludf.DUMMYFUNCTION("""COMPUTED_VALUE"""),"")</f>
        <v/>
      </c>
      <c r="H3167" s="17" t="str">
        <f>IFERROR(__xludf.DUMMYFUNCTION("""COMPUTED_VALUE"""),"")</f>
        <v/>
      </c>
      <c r="I3167" s="17" t="str">
        <f>IFERROR(__xludf.DUMMYFUNCTION("""COMPUTED_VALUE"""),"")</f>
        <v/>
      </c>
      <c r="J3167" s="17" t="str">
        <f>IFERROR(__xludf.DUMMYFUNCTION("""COMPUTED_VALUE"""),"")</f>
        <v/>
      </c>
      <c r="K3167" s="17" t="str">
        <f>IFERROR(__xludf.DUMMYFUNCTION("""COMPUTED_VALUE"""),"")</f>
        <v/>
      </c>
      <c r="L3167" s="17" t="str">
        <f>IFERROR(__xludf.DUMMYFUNCTION("""COMPUTED_VALUE"""),"")</f>
        <v/>
      </c>
      <c r="M3167" s="17" t="str">
        <f>IFERROR(__xludf.DUMMYFUNCTION("""COMPUTED_VALUE"""),"")</f>
        <v/>
      </c>
      <c r="N3167" s="17" t="str">
        <f>IFERROR(__xludf.DUMMYFUNCTION("""COMPUTED_VALUE"""),"")</f>
        <v/>
      </c>
      <c r="O3167" s="17" t="str">
        <f>IFERROR(__xludf.DUMMYFUNCTION("""COMPUTED_VALUE"""),"")</f>
        <v/>
      </c>
      <c r="P3167" s="17" t="str">
        <f>IFERROR(__xludf.DUMMYFUNCTION("""COMPUTED_VALUE"""),"")</f>
        <v/>
      </c>
      <c r="Q3167" s="17" t="str">
        <f>IFERROR(__xludf.DUMMYFUNCTION("""COMPUTED_VALUE"""),"")</f>
        <v/>
      </c>
      <c r="R3167" s="17" t="str">
        <f>IFERROR(__xludf.DUMMYFUNCTION("""COMPUTED_VALUE"""),"")</f>
        <v/>
      </c>
    </row>
    <row r="3168">
      <c r="A3168" s="15">
        <f>IFERROR(__xludf.DUMMYFUNCTION("""COMPUTED_VALUE"""),45092.0)</f>
        <v>45092</v>
      </c>
      <c r="B3168" s="16" t="str">
        <f>IFERROR(__xludf.DUMMYFUNCTION("""COMPUTED_VALUE"""),"Julian Calderon Rodriguez ")</f>
        <v>Julian Calderon Rodriguez </v>
      </c>
      <c r="C3168" s="15" t="str">
        <f>IFERROR(__xludf.DUMMYFUNCTION("""COMPUTED_VALUE"""),"NEIVA")</f>
        <v>NEIVA</v>
      </c>
      <c r="D3168" s="15" t="str">
        <f>IFERROR(__xludf.DUMMYFUNCTION("""COMPUTED_VALUE"""),"MEDELLÍN")</f>
        <v>MEDELLÍN</v>
      </c>
      <c r="E3168" s="15" t="str">
        <f>IFERROR(__xludf.DUMMYFUNCTION("""COMPUTED_VALUE"""),"Baby Chef")</f>
        <v>Baby Chef</v>
      </c>
      <c r="F3168" s="17" t="str">
        <f>IFERROR(__xludf.DUMMYFUNCTION("""COMPUTED_VALUE"""),"carrera 32 Nro. 8-133 casa 6 conjunto Paraíso , barrio prado alto. Neiva (huila) / carrera 32 Nro. 8-133 casa 6 conjunto Paraíso , barrio prado alto. Neiva (huila) / carrera 32 Nro. 8-133 casa 6 conjunto Paraíso , barrio prado alto. Neiva (huila)")</f>
        <v>carrera 32 Nro. 8-133 casa 6 conjunto Paraíso , barrio prado alto. Neiva (huila) / carrera 32 Nro. 8-133 casa 6 conjunto Paraíso , barrio prado alto. Neiva (huila) / carrera 32 Nro. 8-133 casa 6 conjunto Paraíso , barrio prado alto. Neiva (huila)</v>
      </c>
      <c r="G3168" s="15" t="str">
        <f>IFERROR(__xludf.DUMMYFUNCTION("""COMPUTED_VALUE"""),"Maria Alejandra Falla Granados")</f>
        <v>Maria Alejandra Falla Granados</v>
      </c>
      <c r="H3168" s="16">
        <f>IFERROR(__xludf.DUMMYFUNCTION("""COMPUTED_VALUE"""),11694.0)</f>
        <v>11694</v>
      </c>
      <c r="I3168" s="18">
        <f>IFERROR(__xludf.DUMMYFUNCTION("""COMPUTED_VALUE"""),8.0)</f>
        <v>8</v>
      </c>
      <c r="J3168" s="18">
        <f>IFERROR(__xludf.DUMMYFUNCTION("""COMPUTED_VALUE"""),16.0)</f>
        <v>16</v>
      </c>
      <c r="K3168" s="18">
        <f>IFERROR(__xludf.DUMMYFUNCTION("""COMPUTED_VALUE"""),20.0)</f>
        <v>20</v>
      </c>
      <c r="L3168" s="17">
        <f>IFERROR(__xludf.DUMMYFUNCTION("""COMPUTED_VALUE"""),3.12542704E9)</f>
        <v>3125427040</v>
      </c>
      <c r="M3168" s="17" t="str">
        <f>IFERROR(__xludf.DUMMYFUNCTION("""COMPUTED_VALUE"""),"#REF!")</f>
        <v>#REF!</v>
      </c>
      <c r="N3168" s="17"/>
      <c r="O3168" s="17"/>
      <c r="P3168" s="17" t="b">
        <f>IFERROR(__xludf.DUMMYFUNCTION("""COMPUTED_VALUE"""),FALSE)</f>
        <v>0</v>
      </c>
      <c r="Q3168" s="20" t="str">
        <f>IFERROR(__xludf.DUMMYFUNCTION("""COMPUTED_VALUE"""),"")</f>
        <v/>
      </c>
      <c r="R3168" s="22" t="str">
        <f>IFERROR(__xludf.DUMMYFUNCTION("""COMPUTED_VALUE"""),"")</f>
        <v/>
      </c>
    </row>
    <row r="3169">
      <c r="A3169" s="15">
        <f>IFERROR(__xludf.DUMMYFUNCTION("""COMPUTED_VALUE"""),45092.0)</f>
        <v>45092</v>
      </c>
      <c r="B3169" s="16" t="str">
        <f>IFERROR(__xludf.DUMMYFUNCTION("""COMPUTED_VALUE"""),"Julian Calderon Rodriguez ")</f>
        <v>Julian Calderon Rodriguez </v>
      </c>
      <c r="C3169" s="15" t="str">
        <f>IFERROR(__xludf.DUMMYFUNCTION("""COMPUTED_VALUE"""),"VILLAVICENCIO")</f>
        <v>VILLAVICENCIO</v>
      </c>
      <c r="D3169" s="15" t="str">
        <f>IFERROR(__xludf.DUMMYFUNCTION("""COMPUTED_VALUE"""),"BOGOTÁ")</f>
        <v>BOGOTÁ</v>
      </c>
      <c r="E3169" s="15" t="str">
        <f>IFERROR(__xludf.DUMMYFUNCTION("""COMPUTED_VALUE"""),"Mochi")</f>
        <v>Mochi</v>
      </c>
      <c r="F3169" s="17" t="str">
        <f>IFERROR(__xludf.DUMMYFUNCTION("""COMPUTED_VALUE"""),"Centro comercial viva villavicencio / Centro comercial viva villavicencio / Centro comercial viva villavicencio")</f>
        <v>Centro comercial viva villavicencio / Centro comercial viva villavicencio / Centro comercial viva villavicencio</v>
      </c>
      <c r="G3169" s="15" t="str">
        <f>IFERROR(__xludf.DUMMYFUNCTION("""COMPUTED_VALUE"""),"Daniela Lizeth")</f>
        <v>Daniela Lizeth</v>
      </c>
      <c r="H3169" s="16">
        <f>IFERROR(__xludf.DUMMYFUNCTION("""COMPUTED_VALUE"""),11753.0)</f>
        <v>11753</v>
      </c>
      <c r="I3169" s="18">
        <f>IFERROR(__xludf.DUMMYFUNCTION("""COMPUTED_VALUE"""),300.0)</f>
        <v>300</v>
      </c>
      <c r="J3169" s="18">
        <f>IFERROR(__xludf.DUMMYFUNCTION("""COMPUTED_VALUE"""),100.0)</f>
        <v>100</v>
      </c>
      <c r="K3169" s="18">
        <f>IFERROR(__xludf.DUMMYFUNCTION("""COMPUTED_VALUE"""),100.0)</f>
        <v>100</v>
      </c>
      <c r="L3169" s="17">
        <f>IFERROR(__xludf.DUMMYFUNCTION("""COMPUTED_VALUE"""),3.115177645E9)</f>
        <v>3115177645</v>
      </c>
      <c r="M3169" s="17" t="str">
        <f>IFERROR(__xludf.DUMMYFUNCTION("""COMPUTED_VALUE"""),"#REF!")</f>
        <v>#REF!</v>
      </c>
      <c r="N3169" s="17"/>
      <c r="O3169" s="17"/>
      <c r="P3169" s="17" t="b">
        <f>IFERROR(__xludf.DUMMYFUNCTION("""COMPUTED_VALUE"""),FALSE)</f>
        <v>0</v>
      </c>
      <c r="Q3169" s="20" t="str">
        <f>IFERROR(__xludf.DUMMYFUNCTION("""COMPUTED_VALUE"""),"")</f>
        <v/>
      </c>
      <c r="R3169" s="21" t="str">
        <f>IFERROR(__xludf.DUMMYFUNCTION("""COMPUTED_VALUE"""),"https://drive.google.com/file/d/1dlunMMBxvzGQMA87YuIbomFp7Aa52-UE/view?usp=drivesdk")</f>
        <v>https://drive.google.com/file/d/1dlunMMBxvzGQMA87YuIbomFp7Aa52-UE/view?usp=drivesdk</v>
      </c>
    </row>
    <row r="3170">
      <c r="A3170" s="15">
        <f>IFERROR(__xludf.DUMMYFUNCTION("""COMPUTED_VALUE"""),45092.0)</f>
        <v>45092</v>
      </c>
      <c r="B3170" s="16" t="str">
        <f>IFERROR(__xludf.DUMMYFUNCTION("""COMPUTED_VALUE"""),"Julian Calderon Rodriguez ")</f>
        <v>Julian Calderon Rodriguez </v>
      </c>
      <c r="C3170" s="15" t="str">
        <f>IFERROR(__xludf.DUMMYFUNCTION("""COMPUTED_VALUE"""),"VILLAVICENCIO")</f>
        <v>VILLAVICENCIO</v>
      </c>
      <c r="D3170" s="15" t="str">
        <f>IFERROR(__xludf.DUMMYFUNCTION("""COMPUTED_VALUE"""),"MEDELLÍN")</f>
        <v>MEDELLÍN</v>
      </c>
      <c r="E3170" s="15" t="str">
        <f>IFERROR(__xludf.DUMMYFUNCTION("""COMPUTED_VALUE"""),"AREPAS LA MARY")</f>
        <v>AREPAS LA MARY</v>
      </c>
      <c r="F3170" s="17" t="str">
        <f>IFERROR(__xludf.DUMMYFUNCTION("""COMPUTED_VALUE"""),"CLLE 15 N.44 116 / LOCAL 5")</f>
        <v>CLLE 15 N.44 116 / LOCAL 5</v>
      </c>
      <c r="G3170" s="15" t="str">
        <f>IFERROR(__xludf.DUMMYFUNCTION("""COMPUTED_VALUE"""),"SANA TENTACION")</f>
        <v>SANA TENTACION</v>
      </c>
      <c r="H3170" s="16">
        <f>IFERROR(__xludf.DUMMYFUNCTION("""COMPUTED_VALUE"""),11624.0)</f>
        <v>11624</v>
      </c>
      <c r="I3170" s="18">
        <f>IFERROR(__xludf.DUMMYFUNCTION("""COMPUTED_VALUE"""),89.0)</f>
        <v>89</v>
      </c>
      <c r="J3170" s="18">
        <f>IFERROR(__xludf.DUMMYFUNCTION("""COMPUTED_VALUE"""),1.0)</f>
        <v>1</v>
      </c>
      <c r="K3170" s="18">
        <f>IFERROR(__xludf.DUMMYFUNCTION("""COMPUTED_VALUE"""),10.0)</f>
        <v>10</v>
      </c>
      <c r="L3170" s="17">
        <f>IFERROR(__xludf.DUMMYFUNCTION("""COMPUTED_VALUE"""),3.008383044E9)</f>
        <v>3008383044</v>
      </c>
      <c r="M3170" s="17" t="str">
        <f>IFERROR(__xludf.DUMMYFUNCTION("""COMPUTED_VALUE"""),"#REF!")</f>
        <v>#REF!</v>
      </c>
      <c r="N3170" s="17"/>
      <c r="O3170" s="17"/>
      <c r="P3170" s="17" t="b">
        <f>IFERROR(__xludf.DUMMYFUNCTION("""COMPUTED_VALUE"""),FALSE)</f>
        <v>0</v>
      </c>
      <c r="Q3170" s="20" t="str">
        <f>IFERROR(__xludf.DUMMYFUNCTION("""COMPUTED_VALUE"""),"")</f>
        <v/>
      </c>
      <c r="R3170" s="21" t="str">
        <f>IFERROR(__xludf.DUMMYFUNCTION("""COMPUTED_VALUE"""),"https://drive.google.com/file/d/1lRvnfn9cq1o0GlvcDoUVFtIzfYHqOCdl/view?usp=drivesdk")</f>
        <v>https://drive.google.com/file/d/1lRvnfn9cq1o0GlvcDoUVFtIzfYHqOCdl/view?usp=drivesdk</v>
      </c>
    </row>
    <row r="3171">
      <c r="A3171" s="17" t="str">
        <f>IFERROR(__xludf.DUMMYFUNCTION("""COMPUTED_VALUE"""),"")</f>
        <v/>
      </c>
      <c r="B3171" s="17" t="str">
        <f>IFERROR(__xludf.DUMMYFUNCTION("""COMPUTED_VALUE"""),"")</f>
        <v/>
      </c>
      <c r="C3171" s="17" t="str">
        <f>IFERROR(__xludf.DUMMYFUNCTION("""COMPUTED_VALUE"""),"")</f>
        <v/>
      </c>
      <c r="D3171" s="17" t="str">
        <f>IFERROR(__xludf.DUMMYFUNCTION("""COMPUTED_VALUE"""),"")</f>
        <v/>
      </c>
      <c r="E3171" s="17" t="str">
        <f>IFERROR(__xludf.DUMMYFUNCTION("""COMPUTED_VALUE"""),"")</f>
        <v/>
      </c>
      <c r="F3171" s="17" t="str">
        <f>IFERROR(__xludf.DUMMYFUNCTION("""COMPUTED_VALUE"""),"")</f>
        <v/>
      </c>
      <c r="G3171" s="17" t="str">
        <f>IFERROR(__xludf.DUMMYFUNCTION("""COMPUTED_VALUE"""),"")</f>
        <v/>
      </c>
      <c r="H3171" s="17" t="str">
        <f>IFERROR(__xludf.DUMMYFUNCTION("""COMPUTED_VALUE"""),"")</f>
        <v/>
      </c>
      <c r="I3171" s="17" t="str">
        <f>IFERROR(__xludf.DUMMYFUNCTION("""COMPUTED_VALUE"""),"")</f>
        <v/>
      </c>
      <c r="J3171" s="17" t="str">
        <f>IFERROR(__xludf.DUMMYFUNCTION("""COMPUTED_VALUE"""),"")</f>
        <v/>
      </c>
      <c r="K3171" s="17" t="str">
        <f>IFERROR(__xludf.DUMMYFUNCTION("""COMPUTED_VALUE"""),"")</f>
        <v/>
      </c>
      <c r="L3171" s="17" t="str">
        <f>IFERROR(__xludf.DUMMYFUNCTION("""COMPUTED_VALUE"""),"")</f>
        <v/>
      </c>
      <c r="M3171" s="17" t="str">
        <f>IFERROR(__xludf.DUMMYFUNCTION("""COMPUTED_VALUE"""),"")</f>
        <v/>
      </c>
      <c r="N3171" s="17" t="str">
        <f>IFERROR(__xludf.DUMMYFUNCTION("""COMPUTED_VALUE"""),"")</f>
        <v/>
      </c>
      <c r="O3171" s="17" t="str">
        <f>IFERROR(__xludf.DUMMYFUNCTION("""COMPUTED_VALUE"""),"")</f>
        <v/>
      </c>
      <c r="P3171" s="17" t="str">
        <f>IFERROR(__xludf.DUMMYFUNCTION("""COMPUTED_VALUE"""),"")</f>
        <v/>
      </c>
      <c r="Q3171" s="17" t="str">
        <f>IFERROR(__xludf.DUMMYFUNCTION("""COMPUTED_VALUE"""),"")</f>
        <v/>
      </c>
      <c r="R3171" s="17" t="str">
        <f>IFERROR(__xludf.DUMMYFUNCTION("""COMPUTED_VALUE"""),"")</f>
        <v/>
      </c>
    </row>
    <row r="3172">
      <c r="A3172" s="15">
        <f>IFERROR(__xludf.DUMMYFUNCTION("""COMPUTED_VALUE"""),45093.0)</f>
        <v>45093</v>
      </c>
      <c r="B3172" s="16" t="str">
        <f>IFERROR(__xludf.DUMMYFUNCTION("""COMPUTED_VALUE"""),"Daniel José sandoval gonzalez")</f>
        <v>Daniel José sandoval gonzalez</v>
      </c>
      <c r="C3172" s="15" t="str">
        <f>IFERROR(__xludf.DUMMYFUNCTION("""COMPUTED_VALUE"""),"BARRANQUILLA")</f>
        <v>BARRANQUILLA</v>
      </c>
      <c r="D3172" s="15" t="str">
        <f>IFERROR(__xludf.DUMMYFUNCTION("""COMPUTED_VALUE"""),"BOGOTÁ")</f>
        <v>BOGOTÁ</v>
      </c>
      <c r="E3172" s="15" t="str">
        <f>IFERROR(__xludf.DUMMYFUNCTION("""COMPUTED_VALUE"""),"MAI ALIMENTOS REALES")</f>
        <v>MAI ALIMENTOS REALES</v>
      </c>
      <c r="F3172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3172" s="15" t="str">
        <f>IFERROR(__xludf.DUMMYFUNCTION("""COMPUTED_VALUE"""),"Fithub")</f>
        <v>Fithub</v>
      </c>
      <c r="H3172" s="16">
        <f>IFERROR(__xludf.DUMMYFUNCTION("""COMPUTED_VALUE"""),11709.0)</f>
        <v>11709</v>
      </c>
      <c r="I3172" s="17"/>
      <c r="J3172" s="17"/>
      <c r="K3172" s="17"/>
      <c r="L3172" s="17">
        <f>IFERROR(__xludf.DUMMYFUNCTION("""COMPUTED_VALUE"""),0.0)</f>
        <v>0</v>
      </c>
      <c r="M3172" s="17" t="str">
        <f>IFERROR(__xludf.DUMMYFUNCTION("""COMPUTED_VALUE"""),"#REF!")</f>
        <v>#REF!</v>
      </c>
      <c r="N3172" s="17"/>
      <c r="O3172" s="17"/>
      <c r="P3172" s="17" t="b">
        <f>IFERROR(__xludf.DUMMYFUNCTION("""COMPUTED_VALUE"""),FALSE)</f>
        <v>0</v>
      </c>
      <c r="Q3172" s="20" t="str">
        <f>IFERROR(__xludf.DUMMYFUNCTION("""COMPUTED_VALUE"""),"")</f>
        <v/>
      </c>
      <c r="R3172" s="21" t="str">
        <f>IFERROR(__xludf.DUMMYFUNCTION("""COMPUTED_VALUE"""),"https://drive.google.com/file/d/1vKY8rKWRMNJZXKJ2XW9JAtU9cOJBngXh/view?usp=drivesdk")</f>
        <v>https://drive.google.com/file/d/1vKY8rKWRMNJZXKJ2XW9JAtU9cOJBngXh/view?usp=drivesdk</v>
      </c>
    </row>
    <row r="3173">
      <c r="A3173" s="15">
        <f>IFERROR(__xludf.DUMMYFUNCTION("""COMPUTED_VALUE"""),45093.0)</f>
        <v>45093</v>
      </c>
      <c r="B3173" s="16" t="str">
        <f>IFERROR(__xludf.DUMMYFUNCTION("""COMPUTED_VALUE"""),"Daniel José sandoval gonzalez")</f>
        <v>Daniel José sandoval gonzalez</v>
      </c>
      <c r="C3173" s="15" t="str">
        <f>IFERROR(__xludf.DUMMYFUNCTION("""COMPUTED_VALUE"""),"BARRANQUILLA")</f>
        <v>BARRANQUILLA</v>
      </c>
      <c r="D3173" s="15" t="str">
        <f>IFERROR(__xludf.DUMMYFUNCTION("""COMPUTED_VALUE"""),"BOGOTÁ")</f>
        <v>BOGOTÁ</v>
      </c>
      <c r="E3173" s="15" t="str">
        <f>IFERROR(__xludf.DUMMYFUNCTION("""COMPUTED_VALUE"""),"Mochi")</f>
        <v>Mochi</v>
      </c>
      <c r="F3173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3173" s="15" t="str">
        <f>IFERROR(__xludf.DUMMYFUNCTION("""COMPUTED_VALUE"""),"MAria Camila")</f>
        <v>MAria Camila</v>
      </c>
      <c r="H3173" s="16">
        <f>IFERROR(__xludf.DUMMYFUNCTION("""COMPUTED_VALUE"""),11782.0)</f>
        <v>11782</v>
      </c>
      <c r="I3173" s="18">
        <f>IFERROR(__xludf.DUMMYFUNCTION("""COMPUTED_VALUE"""),100.0)</f>
        <v>100</v>
      </c>
      <c r="J3173" s="18">
        <f>IFERROR(__xludf.DUMMYFUNCTION("""COMPUTED_VALUE"""),100.0)</f>
        <v>100</v>
      </c>
      <c r="K3173" s="18">
        <f>IFERROR(__xludf.DUMMYFUNCTION("""COMPUTED_VALUE"""),100.0)</f>
        <v>100</v>
      </c>
      <c r="L3173" s="17">
        <f>IFERROR(__xludf.DUMMYFUNCTION("""COMPUTED_VALUE"""),3.116026252E9)</f>
        <v>3116026252</v>
      </c>
      <c r="M3173" s="17" t="str">
        <f>IFERROR(__xludf.DUMMYFUNCTION("""COMPUTED_VALUE"""),"#REF!")</f>
        <v>#REF!</v>
      </c>
      <c r="N3173" s="17"/>
      <c r="O3173" s="17"/>
      <c r="P3173" s="17" t="b">
        <f>IFERROR(__xludf.DUMMYFUNCTION("""COMPUTED_VALUE"""),TRUE)</f>
        <v>1</v>
      </c>
      <c r="Q3173" s="20">
        <f>IFERROR(__xludf.DUMMYFUNCTION("""COMPUTED_VALUE"""),45093.741785289356)</f>
        <v>45093.74179</v>
      </c>
      <c r="R3173" s="21" t="str">
        <f>IFERROR(__xludf.DUMMYFUNCTION("""COMPUTED_VALUE"""),"https://drive.google.com/file/d/1JpkJqAVj7lMQHVOlOjKbbjkwSIfoHiJ7/view?usp=drivesdk")</f>
        <v>https://drive.google.com/file/d/1JpkJqAVj7lMQHVOlOjKbbjkwSIfoHiJ7/view?usp=drivesdk</v>
      </c>
    </row>
    <row r="3174">
      <c r="A3174" s="15">
        <f>IFERROR(__xludf.DUMMYFUNCTION("""COMPUTED_VALUE"""),45093.0)</f>
        <v>45093</v>
      </c>
      <c r="B3174" s="16" t="str">
        <f>IFERROR(__xludf.DUMMYFUNCTION("""COMPUTED_VALUE"""),"Daniel José sandoval gonzalez")</f>
        <v>Daniel José sandoval gonzalez</v>
      </c>
      <c r="C3174" s="15" t="str">
        <f>IFERROR(__xludf.DUMMYFUNCTION("""COMPUTED_VALUE"""),"BARRANQUILLA")</f>
        <v>BARRANQUILLA</v>
      </c>
      <c r="D3174" s="15" t="str">
        <f>IFERROR(__xludf.DUMMYFUNCTION("""COMPUTED_VALUE"""),"MEDELLÍN")</f>
        <v>MEDELLÍN</v>
      </c>
      <c r="E3174" s="15" t="str">
        <f>IFERROR(__xludf.DUMMYFUNCTION("""COMPUTED_VALUE"""),"Baby Chef")</f>
        <v>Baby Chef</v>
      </c>
      <c r="F3174" s="17" t="str">
        <f>IFERROR(__xludf.DUMMYFUNCTION("""COMPUTED_VALUE"""),"Calle 76#54-54 Edificio  Embajador 10A Indicación: Frente del country club / Calle 76#54-54 Edificio  Embajador 10A Indicación: Frente del country club / Calle 76#54-54 Edificio  Embajador 10A Indicación: Frente del country club")</f>
        <v>Calle 76#54-54 Edificio  Embajador 10A Indicación: Frente del country club / Calle 76#54-54 Edificio  Embajador 10A Indicación: Frente del country club / Calle 76#54-54 Edificio  Embajador 10A Indicación: Frente del country club</v>
      </c>
      <c r="G3174" s="15" t="str">
        <f>IFERROR(__xludf.DUMMYFUNCTION("""COMPUTED_VALUE"""),"Monica Perez")</f>
        <v>Monica Perez</v>
      </c>
      <c r="H3174" s="16">
        <f>IFERROR(__xludf.DUMMYFUNCTION("""COMPUTED_VALUE"""),11746.0)</f>
        <v>11746</v>
      </c>
      <c r="I3174" s="18">
        <f>IFERROR(__xludf.DUMMYFUNCTION("""COMPUTED_VALUE"""),8.0)</f>
        <v>8</v>
      </c>
      <c r="J3174" s="18">
        <f>IFERROR(__xludf.DUMMYFUNCTION("""COMPUTED_VALUE"""),16.0)</f>
        <v>16</v>
      </c>
      <c r="K3174" s="18">
        <f>IFERROR(__xludf.DUMMYFUNCTION("""COMPUTED_VALUE"""),20.0)</f>
        <v>20</v>
      </c>
      <c r="L3174" s="17">
        <f>IFERROR(__xludf.DUMMYFUNCTION("""COMPUTED_VALUE"""),3.226861517E9)</f>
        <v>3226861517</v>
      </c>
      <c r="M3174" s="17" t="str">
        <f>IFERROR(__xludf.DUMMYFUNCTION("""COMPUTED_VALUE"""),"#REF!")</f>
        <v>#REF!</v>
      </c>
      <c r="N3174" s="17"/>
      <c r="O3174" s="17"/>
      <c r="P3174" s="17" t="b">
        <f>IFERROR(__xludf.DUMMYFUNCTION("""COMPUTED_VALUE"""),FALSE)</f>
        <v>0</v>
      </c>
      <c r="Q3174" s="20" t="str">
        <f>IFERROR(__xludf.DUMMYFUNCTION("""COMPUTED_VALUE"""),"")</f>
        <v/>
      </c>
      <c r="R3174" s="21" t="str">
        <f>IFERROR(__xludf.DUMMYFUNCTION("""COMPUTED_VALUE"""),"https://drive.google.com/file/d/1LE0Um2wXm31yXCgCqknEWJIJ0YnalQJs/view?usp=drivesdk")</f>
        <v>https://drive.google.com/file/d/1LE0Um2wXm31yXCgCqknEWJIJ0YnalQJs/view?usp=drivesdk</v>
      </c>
    </row>
    <row r="3175">
      <c r="A3175" s="15">
        <f>IFERROR(__xludf.DUMMYFUNCTION("""COMPUTED_VALUE"""),45093.0)</f>
        <v>45093</v>
      </c>
      <c r="B3175" s="16" t="str">
        <f>IFERROR(__xludf.DUMMYFUNCTION("""COMPUTED_VALUE"""),"Daniel José sandoval gonzalez")</f>
        <v>Daniel José sandoval gonzalez</v>
      </c>
      <c r="C3175" s="15" t="str">
        <f>IFERROR(__xludf.DUMMYFUNCTION("""COMPUTED_VALUE"""),"BARRANQUILLA")</f>
        <v>BARRANQUILLA</v>
      </c>
      <c r="D3175" s="15" t="str">
        <f>IFERROR(__xludf.DUMMYFUNCTION("""COMPUTED_VALUE"""),"MEDELLÍN")</f>
        <v>MEDELLÍN</v>
      </c>
      <c r="E3175" s="15" t="str">
        <f>IFERROR(__xludf.DUMMYFUNCTION("""COMPUTED_VALUE"""),"Magda")</f>
        <v>Magda</v>
      </c>
      <c r="F3175" s="17" t="str">
        <f>IFERROR(__xludf.DUMMYFUNCTION("""COMPUTED_VALUE"""),"Cra 53 No. 68-55 / cocina oculta / Alto prado")</f>
        <v>Cra 53 No. 68-55 / cocina oculta / Alto prado</v>
      </c>
      <c r="G3175" s="15" t="str">
        <f>IFERROR(__xludf.DUMMYFUNCTION("""COMPUTED_VALUE"""),"María José Cervantes")</f>
        <v>María José Cervantes</v>
      </c>
      <c r="H3175" s="16">
        <f>IFERROR(__xludf.DUMMYFUNCTION("""COMPUTED_VALUE"""),11755.0)</f>
        <v>11755</v>
      </c>
      <c r="I3175" s="18">
        <f>IFERROR(__xludf.DUMMYFUNCTION("""COMPUTED_VALUE"""),5.0)</f>
        <v>5</v>
      </c>
      <c r="J3175" s="18">
        <f>IFERROR(__xludf.DUMMYFUNCTION("""COMPUTED_VALUE"""),5.0)</f>
        <v>5</v>
      </c>
      <c r="K3175" s="18">
        <f>IFERROR(__xludf.DUMMYFUNCTION("""COMPUTED_VALUE"""),5.0)</f>
        <v>5</v>
      </c>
      <c r="L3175" s="17">
        <f>IFERROR(__xludf.DUMMYFUNCTION("""COMPUTED_VALUE"""),3.113152215E9)</f>
        <v>3113152215</v>
      </c>
      <c r="M3175" s="17" t="str">
        <f>IFERROR(__xludf.DUMMYFUNCTION("""COMPUTED_VALUE"""),"#REF!")</f>
        <v>#REF!</v>
      </c>
      <c r="N3175" s="17"/>
      <c r="O3175" s="17"/>
      <c r="P3175" s="17" t="b">
        <f>IFERROR(__xludf.DUMMYFUNCTION("""COMPUTED_VALUE"""),FALSE)</f>
        <v>0</v>
      </c>
      <c r="Q3175" s="20" t="str">
        <f>IFERROR(__xludf.DUMMYFUNCTION("""COMPUTED_VALUE"""),"")</f>
        <v/>
      </c>
      <c r="R3175" s="21" t="str">
        <f>IFERROR(__xludf.DUMMYFUNCTION("""COMPUTED_VALUE"""),"https://drive.google.com/file/d/1AwlvdG9nLm9RGbt2mxw6x5GGFFt29yMD/view?usp=drivesdk")</f>
        <v>https://drive.google.com/file/d/1AwlvdG9nLm9RGbt2mxw6x5GGFFt29yMD/view?usp=drivesdk</v>
      </c>
    </row>
    <row r="3176">
      <c r="A3176" s="15">
        <f>IFERROR(__xludf.DUMMYFUNCTION("""COMPUTED_VALUE"""),45093.0)</f>
        <v>45093</v>
      </c>
      <c r="B3176" s="16" t="str">
        <f>IFERROR(__xludf.DUMMYFUNCTION("""COMPUTED_VALUE"""),"Daniel José sandoval gonzalez")</f>
        <v>Daniel José sandoval gonzalez</v>
      </c>
      <c r="C3176" s="15" t="str">
        <f>IFERROR(__xludf.DUMMYFUNCTION("""COMPUTED_VALUE"""),"MEDELLÍN")</f>
        <v>MEDELLÍN</v>
      </c>
      <c r="D3176" s="15" t="str">
        <f>IFERROR(__xludf.DUMMYFUNCTION("""COMPUTED_VALUE"""),"BOGOTÁ")</f>
        <v>BOGOTÁ</v>
      </c>
      <c r="E3176" s="15" t="str">
        <f>IFERROR(__xludf.DUMMYFUNCTION("""COMPUTED_VALUE"""),"Renata")</f>
        <v>Renata</v>
      </c>
      <c r="F3176" s="17" t="str">
        <f>IFERROR(__xludf.DUMMYFUNCTION("""COMPUTED_VALUE"""),"Carrera 32d#9-43 / Seline y cowork -restaurante  / Provenza")</f>
        <v>Carrera 32d#9-43 / Seline y cowork -restaurante  / Provenza</v>
      </c>
      <c r="G3176" s="15" t="str">
        <f>IFERROR(__xludf.DUMMYFUNCTION("""COMPUTED_VALUE"""),"Front y back Hospitality group")</f>
        <v>Front y back Hospitality group</v>
      </c>
      <c r="H3176" s="16">
        <f>IFERROR(__xludf.DUMMYFUNCTION("""COMPUTED_VALUE"""),11776.0)</f>
        <v>11776</v>
      </c>
      <c r="I3176" s="18">
        <f>IFERROR(__xludf.DUMMYFUNCTION("""COMPUTED_VALUE"""),90.0)</f>
        <v>90</v>
      </c>
      <c r="J3176" s="18">
        <f>IFERROR(__xludf.DUMMYFUNCTION("""COMPUTED_VALUE"""),70.0)</f>
        <v>70</v>
      </c>
      <c r="K3176" s="18">
        <f>IFERROR(__xludf.DUMMYFUNCTION("""COMPUTED_VALUE"""),60.0)</f>
        <v>60</v>
      </c>
      <c r="L3176" s="17">
        <f>IFERROR(__xludf.DUMMYFUNCTION("""COMPUTED_VALUE"""),3.104047368E9)</f>
        <v>3104047368</v>
      </c>
      <c r="M3176" s="17" t="str">
        <f>IFERROR(__xludf.DUMMYFUNCTION("""COMPUTED_VALUE"""),"#REF!")</f>
        <v>#REF!</v>
      </c>
      <c r="N3176" s="17"/>
      <c r="O3176" s="17"/>
      <c r="P3176" s="17" t="b">
        <f>IFERROR(__xludf.DUMMYFUNCTION("""COMPUTED_VALUE"""),FALSE)</f>
        <v>0</v>
      </c>
      <c r="Q3176" s="20" t="str">
        <f>IFERROR(__xludf.DUMMYFUNCTION("""COMPUTED_VALUE"""),"")</f>
        <v/>
      </c>
      <c r="R3176" s="21" t="str">
        <f>IFERROR(__xludf.DUMMYFUNCTION("""COMPUTED_VALUE"""),"https://drive.google.com/file/d/1FdeA7x3vy_CJqd9fM10dtrVs2QgRipQl/view?usp=drivesdk")</f>
        <v>https://drive.google.com/file/d/1FdeA7x3vy_CJqd9fM10dtrVs2QgRipQl/view?usp=drivesdk</v>
      </c>
    </row>
    <row r="3177">
      <c r="A3177" s="15">
        <f>IFERROR(__xludf.DUMMYFUNCTION("""COMPUTED_VALUE"""),45093.0)</f>
        <v>45093</v>
      </c>
      <c r="B3177" s="16" t="str">
        <f>IFERROR(__xludf.DUMMYFUNCTION("""COMPUTED_VALUE"""),"Daniel José sandoval gonzalez")</f>
        <v>Daniel José sandoval gonzalez</v>
      </c>
      <c r="C3177" s="15" t="str">
        <f>IFERROR(__xludf.DUMMYFUNCTION("""COMPUTED_VALUE"""),"MEDELLÍN")</f>
        <v>MEDELLÍN</v>
      </c>
      <c r="D3177" s="15" t="str">
        <f>IFERROR(__xludf.DUMMYFUNCTION("""COMPUTED_VALUE"""),"BOGOTÁ")</f>
        <v>BOGOTÁ</v>
      </c>
      <c r="E3177" s="15" t="str">
        <f>IFERROR(__xludf.DUMMYFUNCTION("""COMPUTED_VALUE"""),"Viiva Fermentados")</f>
        <v>Viiva Fermentados</v>
      </c>
      <c r="F3177" s="17" t="str">
        <f>IFERROR(__xludf.DUMMYFUNCTION("""COMPUTED_VALUE"""),"Calle 98 #50b-19 primer piso  Preguntar por Doña Fabiola / primer piso / Aranjuez")</f>
        <v>Calle 98 #50b-19 primer piso  Preguntar por Doña Fabiola / primer piso / Aranjuez</v>
      </c>
      <c r="G3177" s="15" t="str">
        <f>IFERROR(__xludf.DUMMYFUNCTION("""COMPUTED_VALUE"""),"Bayron Rodriguez (2 cajas)")</f>
        <v>Bayron Rodriguez (2 cajas)</v>
      </c>
      <c r="H3177" s="16">
        <f>IFERROR(__xludf.DUMMYFUNCTION("""COMPUTED_VALUE"""),11779.0)</f>
        <v>11779</v>
      </c>
      <c r="I3177" s="18">
        <f>IFERROR(__xludf.DUMMYFUNCTION("""COMPUTED_VALUE"""),46.0)</f>
        <v>46</v>
      </c>
      <c r="J3177" s="18">
        <f>IFERROR(__xludf.DUMMYFUNCTION("""COMPUTED_VALUE"""),40.0)</f>
        <v>40</v>
      </c>
      <c r="K3177" s="18">
        <f>IFERROR(__xludf.DUMMYFUNCTION("""COMPUTED_VALUE"""),25.0)</f>
        <v>25</v>
      </c>
      <c r="L3177" s="17">
        <f>IFERROR(__xludf.DUMMYFUNCTION("""COMPUTED_VALUE"""),3.166261966E9)</f>
        <v>3166261966</v>
      </c>
      <c r="M3177" s="17" t="str">
        <f>IFERROR(__xludf.DUMMYFUNCTION("""COMPUTED_VALUE"""),"#REF!")</f>
        <v>#REF!</v>
      </c>
      <c r="N3177" s="17"/>
      <c r="O3177" s="17"/>
      <c r="P3177" s="17" t="b">
        <f>IFERROR(__xludf.DUMMYFUNCTION("""COMPUTED_VALUE"""),FALSE)</f>
        <v>0</v>
      </c>
      <c r="Q3177" s="20" t="str">
        <f>IFERROR(__xludf.DUMMYFUNCTION("""COMPUTED_VALUE"""),"")</f>
        <v/>
      </c>
      <c r="R3177" s="21" t="str">
        <f>IFERROR(__xludf.DUMMYFUNCTION("""COMPUTED_VALUE"""),"https://drive.google.com/file/d/1ZSfK6cSoEUawAQOM1-kvId7XUEraZLgR/view?usp=drivesdk")</f>
        <v>https://drive.google.com/file/d/1ZSfK6cSoEUawAQOM1-kvId7XUEraZLgR/view?usp=drivesdk</v>
      </c>
    </row>
    <row r="3178">
      <c r="A3178" s="17" t="str">
        <f>IFERROR(__xludf.DUMMYFUNCTION("""COMPUTED_VALUE"""),"")</f>
        <v/>
      </c>
      <c r="B3178" s="17" t="str">
        <f>IFERROR(__xludf.DUMMYFUNCTION("""COMPUTED_VALUE"""),"")</f>
        <v/>
      </c>
      <c r="C3178" s="17" t="str">
        <f>IFERROR(__xludf.DUMMYFUNCTION("""COMPUTED_VALUE"""),"")</f>
        <v/>
      </c>
      <c r="D3178" s="17" t="str">
        <f>IFERROR(__xludf.DUMMYFUNCTION("""COMPUTED_VALUE"""),"")</f>
        <v/>
      </c>
      <c r="E3178" s="17" t="str">
        <f>IFERROR(__xludf.DUMMYFUNCTION("""COMPUTED_VALUE"""),"")</f>
        <v/>
      </c>
      <c r="F3178" s="17" t="str">
        <f>IFERROR(__xludf.DUMMYFUNCTION("""COMPUTED_VALUE"""),"")</f>
        <v/>
      </c>
      <c r="G3178" s="17" t="str">
        <f>IFERROR(__xludf.DUMMYFUNCTION("""COMPUTED_VALUE"""),"")</f>
        <v/>
      </c>
      <c r="H3178" s="17" t="str">
        <f>IFERROR(__xludf.DUMMYFUNCTION("""COMPUTED_VALUE"""),"")</f>
        <v/>
      </c>
      <c r="I3178" s="17" t="str">
        <f>IFERROR(__xludf.DUMMYFUNCTION("""COMPUTED_VALUE"""),"")</f>
        <v/>
      </c>
      <c r="J3178" s="17" t="str">
        <f>IFERROR(__xludf.DUMMYFUNCTION("""COMPUTED_VALUE"""),"")</f>
        <v/>
      </c>
      <c r="K3178" s="17" t="str">
        <f>IFERROR(__xludf.DUMMYFUNCTION("""COMPUTED_VALUE"""),"")</f>
        <v/>
      </c>
      <c r="L3178" s="17" t="str">
        <f>IFERROR(__xludf.DUMMYFUNCTION("""COMPUTED_VALUE"""),"")</f>
        <v/>
      </c>
      <c r="M3178" s="17" t="str">
        <f>IFERROR(__xludf.DUMMYFUNCTION("""COMPUTED_VALUE"""),"")</f>
        <v/>
      </c>
      <c r="N3178" s="17" t="str">
        <f>IFERROR(__xludf.DUMMYFUNCTION("""COMPUTED_VALUE"""),"")</f>
        <v/>
      </c>
      <c r="O3178" s="17" t="str">
        <f>IFERROR(__xludf.DUMMYFUNCTION("""COMPUTED_VALUE"""),"")</f>
        <v/>
      </c>
      <c r="P3178" s="17" t="str">
        <f>IFERROR(__xludf.DUMMYFUNCTION("""COMPUTED_VALUE"""),"")</f>
        <v/>
      </c>
      <c r="Q3178" s="17" t="str">
        <f>IFERROR(__xludf.DUMMYFUNCTION("""COMPUTED_VALUE"""),"")</f>
        <v/>
      </c>
      <c r="R3178" s="17" t="str">
        <f>IFERROR(__xludf.DUMMYFUNCTION("""COMPUTED_VALUE"""),"")</f>
        <v/>
      </c>
    </row>
    <row r="3179">
      <c r="A3179" s="15">
        <f>IFERROR(__xludf.DUMMYFUNCTION("""COMPUTED_VALUE"""),45093.0)</f>
        <v>45093</v>
      </c>
      <c r="B3179" s="16" t="str">
        <f>IFERROR(__xludf.DUMMYFUNCTION("""COMPUTED_VALUE"""),"Envia")</f>
        <v>Envia</v>
      </c>
      <c r="C3179" s="15" t="str">
        <f>IFERROR(__xludf.DUMMYFUNCTION("""COMPUTED_VALUE"""),"BARRANQUILLA")</f>
        <v>BARRANQUILLA</v>
      </c>
      <c r="D3179" s="15" t="str">
        <f>IFERROR(__xludf.DUMMYFUNCTION("""COMPUTED_VALUE"""),"BOGOTÁ")</f>
        <v>BOGOTÁ</v>
      </c>
      <c r="E3179" s="15" t="str">
        <f>IFERROR(__xludf.DUMMYFUNCTION("""COMPUTED_VALUE"""),"Evamazzita")</f>
        <v>Evamazzita</v>
      </c>
      <c r="F3179" s="17" t="str">
        <f>IFERROR(__xludf.DUMMYFUNCTION("""COMPUTED_VALUE"""),"CARRERA 34 # 65 - 35 / APTO. 1B /  BARRIO RECREO")</f>
        <v>CARRERA 34 # 65 - 35 / APTO. 1B /  BARRIO RECREO</v>
      </c>
      <c r="G3179" s="15" t="str">
        <f>IFERROR(__xludf.DUMMYFUNCTION("""COMPUTED_VALUE"""),"ALEXANDRA VASQUEZ")</f>
        <v>ALEXANDRA VASQUEZ</v>
      </c>
      <c r="H3179" s="16">
        <f>IFERROR(__xludf.DUMMYFUNCTION("""COMPUTED_VALUE"""),11726.0)</f>
        <v>11726</v>
      </c>
      <c r="I3179" s="18">
        <f>IFERROR(__xludf.DUMMYFUNCTION("""COMPUTED_VALUE"""),15.0)</f>
        <v>15</v>
      </c>
      <c r="J3179" s="18">
        <f>IFERROR(__xludf.DUMMYFUNCTION("""COMPUTED_VALUE"""),23.0)</f>
        <v>23</v>
      </c>
      <c r="K3179" s="18">
        <f>IFERROR(__xludf.DUMMYFUNCTION("""COMPUTED_VALUE"""),18.0)</f>
        <v>18</v>
      </c>
      <c r="L3179" s="17">
        <f>IFERROR(__xludf.DUMMYFUNCTION("""COMPUTED_VALUE"""),3.014597718E9)</f>
        <v>3014597718</v>
      </c>
      <c r="M3179" s="17" t="str">
        <f>IFERROR(__xludf.DUMMYFUNCTION("""COMPUTED_VALUE"""),"#REF!")</f>
        <v>#REF!</v>
      </c>
      <c r="N3179" s="17"/>
      <c r="O3179" s="17"/>
      <c r="P3179" s="17" t="b">
        <f>IFERROR(__xludf.DUMMYFUNCTION("""COMPUTED_VALUE"""),TRUE)</f>
        <v>1</v>
      </c>
      <c r="Q3179" s="20">
        <f>IFERROR(__xludf.DUMMYFUNCTION("""COMPUTED_VALUE"""),45093.61801734954)</f>
        <v>45093.61802</v>
      </c>
      <c r="R3179" s="21" t="str">
        <f>IFERROR(__xludf.DUMMYFUNCTION("""COMPUTED_VALUE"""),"https://drive.google.com/file/d/1tcvUngIHUqasNBJ5ypIZAElxxLjOFl01/view?usp=drivesdk")</f>
        <v>https://drive.google.com/file/d/1tcvUngIHUqasNBJ5ypIZAElxxLjOFl01/view?usp=drivesdk</v>
      </c>
    </row>
    <row r="3180">
      <c r="A3180" s="15">
        <f>IFERROR(__xludf.DUMMYFUNCTION("""COMPUTED_VALUE"""),45093.0)</f>
        <v>45093</v>
      </c>
      <c r="B3180" s="16" t="str">
        <f>IFERROR(__xludf.DUMMYFUNCTION("""COMPUTED_VALUE"""),"Envia")</f>
        <v>Envia</v>
      </c>
      <c r="C3180" s="15" t="str">
        <f>IFERROR(__xludf.DUMMYFUNCTION("""COMPUTED_VALUE"""),"BARRANQUILLA")</f>
        <v>BARRANQUILLA</v>
      </c>
      <c r="D3180" s="15" t="str">
        <f>IFERROR(__xludf.DUMMYFUNCTION("""COMPUTED_VALUE"""),"BOGOTÁ")</f>
        <v>BOGOTÁ</v>
      </c>
      <c r="E3180" s="15" t="str">
        <f>IFERROR(__xludf.DUMMYFUNCTION("""COMPUTED_VALUE"""),"Evamazzita")</f>
        <v>Evamazzita</v>
      </c>
      <c r="F3180" s="17" t="str">
        <f>IFERROR(__xludf.DUMMYFUNCTION("""COMPUTED_VALUE"""),"CARRERA 7 # 18 - 07 SIMÓN BOLÍVAR / ""CARRERA 7 # 18 - 07 SIMÓN BOLÍVAR"" / ""CARRERA 7 # 18 - 07 SIMÓN BOLÍVAR""")</f>
        <v>CARRERA 7 # 18 - 07 SIMÓN BOLÍVAR / "CARRERA 7 # 18 - 07 SIMÓN BOLÍVAR" / "CARRERA 7 # 18 - 07 SIMÓN BOLÍVAR"</v>
      </c>
      <c r="G3180" s="15" t="str">
        <f>IFERROR(__xludf.DUMMYFUNCTION("""COMPUTED_VALUE"""),"SANDRA PAOLA CABRERA CERVANTES")</f>
        <v>SANDRA PAOLA CABRERA CERVANTES</v>
      </c>
      <c r="H3180" s="16">
        <f>IFERROR(__xludf.DUMMYFUNCTION("""COMPUTED_VALUE"""),11725.0)</f>
        <v>11725</v>
      </c>
      <c r="I3180" s="18">
        <f>IFERROR(__xludf.DUMMYFUNCTION("""COMPUTED_VALUE"""),1.0)</f>
        <v>1</v>
      </c>
      <c r="J3180" s="18">
        <f>IFERROR(__xludf.DUMMYFUNCTION("""COMPUTED_VALUE"""),1.0)</f>
        <v>1</v>
      </c>
      <c r="K3180" s="18">
        <f>IFERROR(__xludf.DUMMYFUNCTION("""COMPUTED_VALUE"""),1.0)</f>
        <v>1</v>
      </c>
      <c r="L3180" s="17">
        <f>IFERROR(__xludf.DUMMYFUNCTION("""COMPUTED_VALUE"""),3.023199004E9)</f>
        <v>3023199004</v>
      </c>
      <c r="M3180" s="17" t="str">
        <f>IFERROR(__xludf.DUMMYFUNCTION("""COMPUTED_VALUE"""),"#REF!")</f>
        <v>#REF!</v>
      </c>
      <c r="N3180" s="17"/>
      <c r="O3180" s="17"/>
      <c r="P3180" s="17" t="b">
        <f>IFERROR(__xludf.DUMMYFUNCTION("""COMPUTED_VALUE"""),FALSE)</f>
        <v>0</v>
      </c>
      <c r="Q3180" s="20" t="str">
        <f>IFERROR(__xludf.DUMMYFUNCTION("""COMPUTED_VALUE"""),"")</f>
        <v/>
      </c>
      <c r="R3180" s="21" t="str">
        <f>IFERROR(__xludf.DUMMYFUNCTION("""COMPUTED_VALUE"""),"https://drive.google.com/file/d/1JEaiPQ7fCU89sK9w7nN5A2mjW1yeK4yK/view?usp=drivesdk")</f>
        <v>https://drive.google.com/file/d/1JEaiPQ7fCU89sK9w7nN5A2mjW1yeK4yK/view?usp=drivesdk</v>
      </c>
    </row>
    <row r="3181">
      <c r="A3181" s="15">
        <f>IFERROR(__xludf.DUMMYFUNCTION("""COMPUTED_VALUE"""),45093.0)</f>
        <v>45093</v>
      </c>
      <c r="B3181" s="16" t="str">
        <f>IFERROR(__xludf.DUMMYFUNCTION("""COMPUTED_VALUE"""),"Envia")</f>
        <v>Envia</v>
      </c>
      <c r="C3181" s="15" t="str">
        <f>IFERROR(__xludf.DUMMYFUNCTION("""COMPUTED_VALUE"""),"BARRANQUILLA")</f>
        <v>BARRANQUILLA</v>
      </c>
      <c r="D3181" s="15" t="str">
        <f>IFERROR(__xludf.DUMMYFUNCTION("""COMPUTED_VALUE"""),"MEDELLÍN")</f>
        <v>MEDELLÍN</v>
      </c>
      <c r="E3181" s="15" t="str">
        <f>IFERROR(__xludf.DUMMYFUNCTION("""COMPUTED_VALUE"""),"AREPAS LA MARY")</f>
        <v>AREPAS LA MARY</v>
      </c>
      <c r="F3181" s="17" t="str">
        <f>IFERROR(__xludf.DUMMYFUNCTION("""COMPUTED_VALUE"""),"CLL 133 22 356 CASA 5 / VILLA CAMPESTRE CONJUNTO RIVIERA CLUB HOUSE")</f>
        <v>CLL 133 22 356 CASA 5 / VILLA CAMPESTRE CONJUNTO RIVIERA CLUB HOUSE</v>
      </c>
      <c r="G3181" s="15" t="str">
        <f>IFERROR(__xludf.DUMMYFUNCTION("""COMPUTED_VALUE"""),"MARILIA AYCARDI")</f>
        <v>MARILIA AYCARDI</v>
      </c>
      <c r="H3181" s="16">
        <f>IFERROR(__xludf.DUMMYFUNCTION("""COMPUTED_VALUE"""),11711.0)</f>
        <v>11711</v>
      </c>
      <c r="I3181" s="18">
        <f>IFERROR(__xludf.DUMMYFUNCTION("""COMPUTED_VALUE"""),89.0)</f>
        <v>89</v>
      </c>
      <c r="J3181" s="18">
        <f>IFERROR(__xludf.DUMMYFUNCTION("""COMPUTED_VALUE"""),1.0)</f>
        <v>1</v>
      </c>
      <c r="K3181" s="18">
        <f>IFERROR(__xludf.DUMMYFUNCTION("""COMPUTED_VALUE"""),10.0)</f>
        <v>10</v>
      </c>
      <c r="L3181" s="17">
        <f>IFERROR(__xludf.DUMMYFUNCTION("""COMPUTED_VALUE"""),3.106317352E9)</f>
        <v>3106317352</v>
      </c>
      <c r="M3181" s="17" t="str">
        <f>IFERROR(__xludf.DUMMYFUNCTION("""COMPUTED_VALUE"""),"#REF!")</f>
        <v>#REF!</v>
      </c>
      <c r="N3181" s="17"/>
      <c r="O3181" s="17"/>
      <c r="P3181" s="17" t="b">
        <f>IFERROR(__xludf.DUMMYFUNCTION("""COMPUTED_VALUE"""),FALSE)</f>
        <v>0</v>
      </c>
      <c r="Q3181" s="20" t="str">
        <f>IFERROR(__xludf.DUMMYFUNCTION("""COMPUTED_VALUE"""),"")</f>
        <v/>
      </c>
      <c r="R3181" s="21" t="str">
        <f>IFERROR(__xludf.DUMMYFUNCTION("""COMPUTED_VALUE"""),"https://drive.google.com/file/d/1qMy05LJ_usCbFbi3-0CIkBSO6h9opIQA/view?usp=drivesdk")</f>
        <v>https://drive.google.com/file/d/1qMy05LJ_usCbFbi3-0CIkBSO6h9opIQA/view?usp=drivesdk</v>
      </c>
    </row>
    <row r="3182">
      <c r="A3182" s="15">
        <f>IFERROR(__xludf.DUMMYFUNCTION("""COMPUTED_VALUE"""),45093.0)</f>
        <v>45093</v>
      </c>
      <c r="B3182" s="16" t="str">
        <f>IFERROR(__xludf.DUMMYFUNCTION("""COMPUTED_VALUE"""),"Envia")</f>
        <v>Envia</v>
      </c>
      <c r="C3182" s="15" t="str">
        <f>IFERROR(__xludf.DUMMYFUNCTION("""COMPUTED_VALUE"""),"BARRANQUILLA")</f>
        <v>BARRANQUILLA</v>
      </c>
      <c r="D3182" s="15" t="str">
        <f>IFERROR(__xludf.DUMMYFUNCTION("""COMPUTED_VALUE"""),"MEDELLÍN")</f>
        <v>MEDELLÍN</v>
      </c>
      <c r="E3182" s="15" t="str">
        <f>IFERROR(__xludf.DUMMYFUNCTION("""COMPUTED_VALUE"""),"Moloso S.A.S")</f>
        <v>Moloso S.A.S</v>
      </c>
      <c r="F3182" s="17" t="str">
        <f>IFERROR(__xludf.DUMMYFUNCTION("""COMPUTED_VALUE"""),"CRA 65 99 109 / EDF. CENTRAL GARDEN APTO 521 TORRE 4")</f>
        <v>CRA 65 99 109 / EDF. CENTRAL GARDEN APTO 521 TORRE 4</v>
      </c>
      <c r="G3182" s="15" t="str">
        <f>IFERROR(__xludf.DUMMYFUNCTION("""COMPUTED_VALUE"""),"LOURDES ACOSTA")</f>
        <v>LOURDES ACOSTA</v>
      </c>
      <c r="H3182" s="16">
        <f>IFERROR(__xludf.DUMMYFUNCTION("""COMPUTED_VALUE"""),11741.0)</f>
        <v>11741</v>
      </c>
      <c r="I3182" s="18">
        <f>IFERROR(__xludf.DUMMYFUNCTION("""COMPUTED_VALUE"""),17.0)</f>
        <v>17</v>
      </c>
      <c r="J3182" s="18">
        <f>IFERROR(__xludf.DUMMYFUNCTION("""COMPUTED_VALUE"""),15.0)</f>
        <v>15</v>
      </c>
      <c r="K3182" s="18">
        <f>IFERROR(__xludf.DUMMYFUNCTION("""COMPUTED_VALUE"""),28.0)</f>
        <v>28</v>
      </c>
      <c r="L3182" s="17" t="str">
        <f>IFERROR(__xludf.DUMMYFUNCTION("""COMPUTED_VALUE"""),"322 5119030")</f>
        <v>322 5119030</v>
      </c>
      <c r="M3182" s="17" t="str">
        <f>IFERROR(__xludf.DUMMYFUNCTION("""COMPUTED_VALUE"""),"#REF!")</f>
        <v>#REF!</v>
      </c>
      <c r="N3182" s="17"/>
      <c r="O3182" s="17"/>
      <c r="P3182" s="17" t="b">
        <f>IFERROR(__xludf.DUMMYFUNCTION("""COMPUTED_VALUE"""),FALSE)</f>
        <v>0</v>
      </c>
      <c r="Q3182" s="20" t="str">
        <f>IFERROR(__xludf.DUMMYFUNCTION("""COMPUTED_VALUE"""),"")</f>
        <v/>
      </c>
      <c r="R3182" s="21" t="str">
        <f>IFERROR(__xludf.DUMMYFUNCTION("""COMPUTED_VALUE"""),"https://drive.google.com/file/d/1SaUwIInSQ5p6vkGfzVki_DYreUODaZw0/view?usp=drivesdk")</f>
        <v>https://drive.google.com/file/d/1SaUwIInSQ5p6vkGfzVki_DYreUODaZw0/view?usp=drivesdk</v>
      </c>
    </row>
    <row r="3183">
      <c r="A3183" s="15">
        <f>IFERROR(__xludf.DUMMYFUNCTION("""COMPUTED_VALUE"""),45093.0)</f>
        <v>45093</v>
      </c>
      <c r="B3183" s="16" t="str">
        <f>IFERROR(__xludf.DUMMYFUNCTION("""COMPUTED_VALUE"""),"Envia")</f>
        <v>Envia</v>
      </c>
      <c r="C3183" s="15" t="str">
        <f>IFERROR(__xludf.DUMMYFUNCTION("""COMPUTED_VALUE"""),"BARRANQUILLA")</f>
        <v>BARRANQUILLA</v>
      </c>
      <c r="D3183" s="15" t="str">
        <f>IFERROR(__xludf.DUMMYFUNCTION("""COMPUTED_VALUE"""),"MEDELLÍN")</f>
        <v>MEDELLÍN</v>
      </c>
      <c r="E3183" s="15" t="str">
        <f>IFERROR(__xludf.DUMMYFUNCTION("""COMPUTED_VALUE"""),"Todo Bufala")</f>
        <v>Todo Bufala</v>
      </c>
      <c r="F3183" s="17" t="str">
        <f>IFERROR(__xludf.DUMMYFUNCTION("""COMPUTED_VALUE"""),"cra 43 n. 84-74 / centro nutricional local 3")</f>
        <v>cra 43 n. 84-74 / centro nutricional local 3</v>
      </c>
      <c r="G3183" s="15" t="str">
        <f>IFERROR(__xludf.DUMMYFUNCTION("""COMPUTED_VALUE"""),"Eliana Sarmiento")</f>
        <v>Eliana Sarmiento</v>
      </c>
      <c r="H3183" s="16">
        <f>IFERROR(__xludf.DUMMYFUNCTION("""COMPUTED_VALUE"""),11701.0)</f>
        <v>11701</v>
      </c>
      <c r="I3183" s="18">
        <f>IFERROR(__xludf.DUMMYFUNCTION("""COMPUTED_VALUE"""),20.0)</f>
        <v>20</v>
      </c>
      <c r="J3183" s="18">
        <f>IFERROR(__xludf.DUMMYFUNCTION("""COMPUTED_VALUE"""),30.0)</f>
        <v>30</v>
      </c>
      <c r="K3183" s="18">
        <f>IFERROR(__xludf.DUMMYFUNCTION("""COMPUTED_VALUE"""),40.0)</f>
        <v>40</v>
      </c>
      <c r="L3183" s="17">
        <f>IFERROR(__xludf.DUMMYFUNCTION("""COMPUTED_VALUE"""),3.226082052E9)</f>
        <v>3226082052</v>
      </c>
      <c r="M3183" s="17" t="str">
        <f>IFERROR(__xludf.DUMMYFUNCTION("""COMPUTED_VALUE"""),"#REF!")</f>
        <v>#REF!</v>
      </c>
      <c r="N3183" s="17"/>
      <c r="O3183" s="17"/>
      <c r="P3183" s="17" t="b">
        <f>IFERROR(__xludf.DUMMYFUNCTION("""COMPUTED_VALUE"""),TRUE)</f>
        <v>1</v>
      </c>
      <c r="Q3183" s="20">
        <f>IFERROR(__xludf.DUMMYFUNCTION("""COMPUTED_VALUE"""),45093.49399337963)</f>
        <v>45093.49399</v>
      </c>
      <c r="R3183" s="21" t="str">
        <f>IFERROR(__xludf.DUMMYFUNCTION("""COMPUTED_VALUE"""),"https://drive.google.com/file/d/1oj_v_SGXgXUyOCSsTvmDcbmdO1GAGpVW/view?usp=drivesdk")</f>
        <v>https://drive.google.com/file/d/1oj_v_SGXgXUyOCSsTvmDcbmdO1GAGpVW/view?usp=drivesdk</v>
      </c>
    </row>
    <row r="3184">
      <c r="A3184" s="15">
        <f>IFERROR(__xludf.DUMMYFUNCTION("""COMPUTED_VALUE"""),45093.0)</f>
        <v>45093</v>
      </c>
      <c r="B3184" s="16" t="str">
        <f>IFERROR(__xludf.DUMMYFUNCTION("""COMPUTED_VALUE"""),"Envia")</f>
        <v>Envia</v>
      </c>
      <c r="C3184" s="15" t="str">
        <f>IFERROR(__xludf.DUMMYFUNCTION("""COMPUTED_VALUE"""),"BOGOTÁ")</f>
        <v>BOGOTÁ</v>
      </c>
      <c r="D3184" s="15" t="str">
        <f>IFERROR(__xludf.DUMMYFUNCTION("""COMPUTED_VALUE"""),"MEDELLÍN")</f>
        <v>MEDELLÍN</v>
      </c>
      <c r="E3184" s="15" t="str">
        <f>IFERROR(__xludf.DUMMYFUNCTION("""COMPUTED_VALUE"""),"Baby Chef")</f>
        <v>Baby Chef</v>
      </c>
      <c r="F3184" s="17" t="str">
        <f>IFERROR(__xludf.DUMMYFUNCTION("""COMPUTED_VALUE"""),"calle 57 b # 64-62 sur barrio villa del Río Casa: preguntar en la droguería villa rous / calle 57 b # 64-62 sur barrio villa del Río Casa: preguntar en la droguería villa rous / calle 57 b # 64-62 sur barrio villa del Río Casa: preguntar en la droguería v"&amp;"illa rous")</f>
        <v>calle 57 b # 64-62 sur barrio villa del Río Casa: preguntar en la droguería villa rous / calle 57 b # 64-62 sur barrio villa del Río Casa: preguntar en la droguería villa rous / calle 57 b # 64-62 sur barrio villa del Río Casa: preguntar en la droguería villa rous</v>
      </c>
      <c r="G3184" s="15" t="str">
        <f>IFERROR(__xludf.DUMMYFUNCTION("""COMPUTED_VALUE"""),"Vanessa Agudelo")</f>
        <v>Vanessa Agudelo</v>
      </c>
      <c r="H3184" s="16">
        <f>IFERROR(__xludf.DUMMYFUNCTION("""COMPUTED_VALUE"""),11790.0)</f>
        <v>11790</v>
      </c>
      <c r="I3184" s="18">
        <f>IFERROR(__xludf.DUMMYFUNCTION("""COMPUTED_VALUE"""),8.0)</f>
        <v>8</v>
      </c>
      <c r="J3184" s="18">
        <f>IFERROR(__xludf.DUMMYFUNCTION("""COMPUTED_VALUE"""),16.0)</f>
        <v>16</v>
      </c>
      <c r="K3184" s="18">
        <f>IFERROR(__xludf.DUMMYFUNCTION("""COMPUTED_VALUE"""),20.0)</f>
        <v>20</v>
      </c>
      <c r="L3184" s="17">
        <f>IFERROR(__xludf.DUMMYFUNCTION("""COMPUTED_VALUE"""),3.10281927E9)</f>
        <v>3102819270</v>
      </c>
      <c r="M3184" s="17" t="str">
        <f>IFERROR(__xludf.DUMMYFUNCTION("""COMPUTED_VALUE"""),"#REF!")</f>
        <v>#REF!</v>
      </c>
      <c r="N3184" s="17"/>
      <c r="O3184" s="17"/>
      <c r="P3184" s="17" t="b">
        <f>IFERROR(__xludf.DUMMYFUNCTION("""COMPUTED_VALUE"""),FALSE)</f>
        <v>0</v>
      </c>
      <c r="Q3184" s="20" t="str">
        <f>IFERROR(__xludf.DUMMYFUNCTION("""COMPUTED_VALUE"""),"")</f>
        <v/>
      </c>
      <c r="R3184" s="21" t="str">
        <f>IFERROR(__xludf.DUMMYFUNCTION("""COMPUTED_VALUE"""),"https://drive.google.com/file/d/1fkxiGwpAhCBHo8e2disk2xipGAdyLeq9/view?usp=drivesdk")</f>
        <v>https://drive.google.com/file/d/1fkxiGwpAhCBHo8e2disk2xipGAdyLeq9/view?usp=drivesdk</v>
      </c>
    </row>
    <row r="3185">
      <c r="A3185" s="15">
        <f>IFERROR(__xludf.DUMMYFUNCTION("""COMPUTED_VALUE"""),45093.0)</f>
        <v>45093</v>
      </c>
      <c r="B3185" s="16" t="str">
        <f>IFERROR(__xludf.DUMMYFUNCTION("""COMPUTED_VALUE"""),"Envia")</f>
        <v>Envia</v>
      </c>
      <c r="C3185" s="15" t="str">
        <f>IFERROR(__xludf.DUMMYFUNCTION("""COMPUTED_VALUE"""),"BUCARAMANGA")</f>
        <v>BUCARAMANGA</v>
      </c>
      <c r="D3185" s="15" t="str">
        <f>IFERROR(__xludf.DUMMYFUNCTION("""COMPUTED_VALUE"""),"BOGOTÁ")</f>
        <v>BOGOTÁ</v>
      </c>
      <c r="E3185" s="15" t="str">
        <f>IFERROR(__xludf.DUMMYFUNCTION("""COMPUTED_VALUE"""),"Athenas")</f>
        <v>Athenas</v>
      </c>
      <c r="F3185" s="17" t="str">
        <f>IFERROR(__xludf.DUMMYFUNCTION("""COMPUTED_VALUE"""),"Transversal el bosque#29 -145  / Local 503 Bodytech / Florida blanca santader")</f>
        <v>Transversal el bosque#29 -145  / Local 503 Bodytech / Florida blanca santader</v>
      </c>
      <c r="G3185" s="15" t="str">
        <f>IFERROR(__xludf.DUMMYFUNCTION("""COMPUTED_VALUE"""),"Monica nuñez")</f>
        <v>Monica nuñez</v>
      </c>
      <c r="H3185" s="16">
        <f>IFERROR(__xludf.DUMMYFUNCTION("""COMPUTED_VALUE"""),11773.0)</f>
        <v>11773</v>
      </c>
      <c r="I3185" s="18">
        <f>IFERROR(__xludf.DUMMYFUNCTION("""COMPUTED_VALUE"""),29.0)</f>
        <v>29</v>
      </c>
      <c r="J3185" s="18">
        <f>IFERROR(__xludf.DUMMYFUNCTION("""COMPUTED_VALUE"""),55.0)</f>
        <v>55</v>
      </c>
      <c r="K3185" s="18">
        <f>IFERROR(__xludf.DUMMYFUNCTION("""COMPUTED_VALUE"""),45.0)</f>
        <v>45</v>
      </c>
      <c r="L3185" s="17">
        <f>IFERROR(__xludf.DUMMYFUNCTION("""COMPUTED_VALUE"""),3.223812644E9)</f>
        <v>3223812644</v>
      </c>
      <c r="M3185" s="17" t="str">
        <f>IFERROR(__xludf.DUMMYFUNCTION("""COMPUTED_VALUE"""),"#REF!")</f>
        <v>#REF!</v>
      </c>
      <c r="N3185" s="17"/>
      <c r="O3185" s="17"/>
      <c r="P3185" s="17" t="b">
        <f>IFERROR(__xludf.DUMMYFUNCTION("""COMPUTED_VALUE"""),FALSE)</f>
        <v>0</v>
      </c>
      <c r="Q3185" s="20" t="str">
        <f>IFERROR(__xludf.DUMMYFUNCTION("""COMPUTED_VALUE"""),"")</f>
        <v/>
      </c>
      <c r="R3185" s="22" t="str">
        <f>IFERROR(__xludf.DUMMYFUNCTION("""COMPUTED_VALUE"""),"")</f>
        <v/>
      </c>
    </row>
    <row r="3186">
      <c r="A3186" s="15">
        <f>IFERROR(__xludf.DUMMYFUNCTION("""COMPUTED_VALUE"""),45093.0)</f>
        <v>45093</v>
      </c>
      <c r="B3186" s="16" t="str">
        <f>IFERROR(__xludf.DUMMYFUNCTION("""COMPUTED_VALUE"""),"Envia")</f>
        <v>Envia</v>
      </c>
      <c r="C3186" s="15" t="str">
        <f>IFERROR(__xludf.DUMMYFUNCTION("""COMPUTED_VALUE"""),"BUCARAMANGA")</f>
        <v>BUCARAMANGA</v>
      </c>
      <c r="D3186" s="15" t="str">
        <f>IFERROR(__xludf.DUMMYFUNCTION("""COMPUTED_VALUE"""),"BOGOTÁ")</f>
        <v>BOGOTÁ</v>
      </c>
      <c r="E3186" s="15" t="str">
        <f>IFERROR(__xludf.DUMMYFUNCTION("""COMPUTED_VALUE"""),"Evamazzita")</f>
        <v>Evamazzita</v>
      </c>
      <c r="F3186" s="17" t="str">
        <f>IFERROR(__xludf.DUMMYFUNCTION("""COMPUTED_VALUE"""),"Cra 20 # 7 - 11 BARRIO COMUNEROS / Cra 20 # 7 - 11 BARRIO COMUNEROS / BARRIO COMUNEROS")</f>
        <v>Cra 20 # 7 - 11 BARRIO COMUNEROS / Cra 20 # 7 - 11 BARRIO COMUNEROS / BARRIO COMUNEROS</v>
      </c>
      <c r="G3186" s="15" t="str">
        <f>IFERROR(__xludf.DUMMYFUNCTION("""COMPUTED_VALUE"""),"MARIO JOSE CORTES")</f>
        <v>MARIO JOSE CORTES</v>
      </c>
      <c r="H3186" s="16">
        <f>IFERROR(__xludf.DUMMYFUNCTION("""COMPUTED_VALUE"""),11762.0)</f>
        <v>11762</v>
      </c>
      <c r="I3186" s="18">
        <f>IFERROR(__xludf.DUMMYFUNCTION("""COMPUTED_VALUE"""),10.0)</f>
        <v>10</v>
      </c>
      <c r="J3186" s="18">
        <f>IFERROR(__xludf.DUMMYFUNCTION("""COMPUTED_VALUE"""),37.0)</f>
        <v>37</v>
      </c>
      <c r="K3186" s="18">
        <f>IFERROR(__xludf.DUMMYFUNCTION("""COMPUTED_VALUE"""),23.0)</f>
        <v>23</v>
      </c>
      <c r="L3186" s="17">
        <f>IFERROR(__xludf.DUMMYFUNCTION("""COMPUTED_VALUE"""),3.123394474E9)</f>
        <v>3123394474</v>
      </c>
      <c r="M3186" s="17" t="str">
        <f>IFERROR(__xludf.DUMMYFUNCTION("""COMPUTED_VALUE"""),"#REF!")</f>
        <v>#REF!</v>
      </c>
      <c r="N3186" s="17"/>
      <c r="O3186" s="17"/>
      <c r="P3186" s="17" t="b">
        <f>IFERROR(__xludf.DUMMYFUNCTION("""COMPUTED_VALUE"""),FALSE)</f>
        <v>0</v>
      </c>
      <c r="Q3186" s="20" t="str">
        <f>IFERROR(__xludf.DUMMYFUNCTION("""COMPUTED_VALUE"""),"")</f>
        <v/>
      </c>
      <c r="R3186" s="21" t="str">
        <f>IFERROR(__xludf.DUMMYFUNCTION("""COMPUTED_VALUE"""),"https://drive.google.com/file/d/1nC-7cSGOoAxo4qZdc4xPFvuAulNXQgUU/view?usp=drivesdk")</f>
        <v>https://drive.google.com/file/d/1nC-7cSGOoAxo4qZdc4xPFvuAulNXQgUU/view?usp=drivesdk</v>
      </c>
    </row>
    <row r="3187">
      <c r="A3187" s="15">
        <f>IFERROR(__xludf.DUMMYFUNCTION("""COMPUTED_VALUE"""),45093.0)</f>
        <v>45093</v>
      </c>
      <c r="B3187" s="16" t="str">
        <f>IFERROR(__xludf.DUMMYFUNCTION("""COMPUTED_VALUE"""),"Envia")</f>
        <v>Envia</v>
      </c>
      <c r="C3187" s="15" t="str">
        <f>IFERROR(__xludf.DUMMYFUNCTION("""COMPUTED_VALUE"""),"CALI")</f>
        <v>CALI</v>
      </c>
      <c r="D3187" s="15" t="str">
        <f>IFERROR(__xludf.DUMMYFUNCTION("""COMPUTED_VALUE"""),"BOGOTÁ")</f>
        <v>BOGOTÁ</v>
      </c>
      <c r="E3187" s="15" t="str">
        <f>IFERROR(__xludf.DUMMYFUNCTION("""COMPUTED_VALUE"""),"Bendita Carne")</f>
        <v>Bendita Carne</v>
      </c>
      <c r="F3187" s="17" t="str">
        <f>IFERROR(__xludf.DUMMYFUNCTION("""COMPUTED_VALUE"""),"CRA 2C # 57-97 / CASA 2DO PISO / BARRIO LOS ANDES")</f>
        <v>CRA 2C # 57-97 / CASA 2DO PISO / BARRIO LOS ANDES</v>
      </c>
      <c r="G3187" s="15" t="str">
        <f>IFERROR(__xludf.DUMMYFUNCTION("""COMPUTED_VALUE"""),"Mercedes Osorio Benavidez")</f>
        <v>Mercedes Osorio Benavidez</v>
      </c>
      <c r="H3187" s="16">
        <f>IFERROR(__xludf.DUMMYFUNCTION("""COMPUTED_VALUE"""),11763.0)</f>
        <v>11763</v>
      </c>
      <c r="I3187" s="18">
        <f>IFERROR(__xludf.DUMMYFUNCTION("""COMPUTED_VALUE"""),10.0)</f>
        <v>10</v>
      </c>
      <c r="J3187" s="18">
        <f>IFERROR(__xludf.DUMMYFUNCTION("""COMPUTED_VALUE"""),20.0)</f>
        <v>20</v>
      </c>
      <c r="K3187" s="18">
        <f>IFERROR(__xludf.DUMMYFUNCTION("""COMPUTED_VALUE"""),20.0)</f>
        <v>20</v>
      </c>
      <c r="L3187" s="17">
        <f>IFERROR(__xludf.DUMMYFUNCTION("""COMPUTED_VALUE"""),3.23485252E9)</f>
        <v>3234852520</v>
      </c>
      <c r="M3187" s="17" t="str">
        <f>IFERROR(__xludf.DUMMYFUNCTION("""COMPUTED_VALUE"""),"#REF!")</f>
        <v>#REF!</v>
      </c>
      <c r="N3187" s="17"/>
      <c r="O3187" s="17"/>
      <c r="P3187" s="17" t="b">
        <f>IFERROR(__xludf.DUMMYFUNCTION("""COMPUTED_VALUE"""),FALSE)</f>
        <v>0</v>
      </c>
      <c r="Q3187" s="20" t="str">
        <f>IFERROR(__xludf.DUMMYFUNCTION("""COMPUTED_VALUE"""),"")</f>
        <v/>
      </c>
      <c r="R3187" s="21" t="str">
        <f>IFERROR(__xludf.DUMMYFUNCTION("""COMPUTED_VALUE"""),"https://drive.google.com/file/d/10qmVmlcWrb0d0U2-GFx5wBA8aBvQll2_/view?usp=drivesdk")</f>
        <v>https://drive.google.com/file/d/10qmVmlcWrb0d0U2-GFx5wBA8aBvQll2_/view?usp=drivesdk</v>
      </c>
    </row>
    <row r="3188">
      <c r="A3188" s="15">
        <f>IFERROR(__xludf.DUMMYFUNCTION("""COMPUTED_VALUE"""),45093.0)</f>
        <v>45093</v>
      </c>
      <c r="B3188" s="16" t="str">
        <f>IFERROR(__xludf.DUMMYFUNCTION("""COMPUTED_VALUE"""),"Envia")</f>
        <v>Envia</v>
      </c>
      <c r="C3188" s="15" t="str">
        <f>IFERROR(__xludf.DUMMYFUNCTION("""COMPUTED_VALUE"""),"CALI")</f>
        <v>CALI</v>
      </c>
      <c r="D3188" s="15" t="str">
        <f>IFERROR(__xludf.DUMMYFUNCTION("""COMPUTED_VALUE"""),"BOGOTÁ")</f>
        <v>BOGOTÁ</v>
      </c>
      <c r="E3188" s="15" t="str">
        <f>IFERROR(__xludf.DUMMYFUNCTION("""COMPUTED_VALUE"""),"Mochi")</f>
        <v>Mochi</v>
      </c>
      <c r="F3188" s="17" t="str">
        <f>IFERROR(__xludf.DUMMYFUNCTION("""COMPUTED_VALUE"""),"Cl. 15 Nte. #9n-16, Granada, Cali, Valle del Cauca / Cl. 15 Nte. #9n-16, Granada, Cali, Valle del Cauca / Cl. 15 Nte. #9n-16, Granada, Cali, Valle del Cauca")</f>
        <v>Cl. 15 Nte. #9n-16, Granada, Cali, Valle del Cauca / Cl. 15 Nte. #9n-16, Granada, Cali, Valle del Cauca / Cl. 15 Nte. #9n-16, Granada, Cali, Valle del Cauca</v>
      </c>
      <c r="G3188" s="15" t="str">
        <f>IFERROR(__xludf.DUMMYFUNCTION("""COMPUTED_VALUE"""),"estefania")</f>
        <v>estefania</v>
      </c>
      <c r="H3188" s="16">
        <f>IFERROR(__xludf.DUMMYFUNCTION("""COMPUTED_VALUE"""),11784.0)</f>
        <v>11784</v>
      </c>
      <c r="I3188" s="18">
        <f>IFERROR(__xludf.DUMMYFUNCTION("""COMPUTED_VALUE"""),100.0)</f>
        <v>100</v>
      </c>
      <c r="J3188" s="18">
        <f>IFERROR(__xludf.DUMMYFUNCTION("""COMPUTED_VALUE"""),100.0)</f>
        <v>100</v>
      </c>
      <c r="K3188" s="18">
        <f>IFERROR(__xludf.DUMMYFUNCTION("""COMPUTED_VALUE"""),100.0)</f>
        <v>100</v>
      </c>
      <c r="L3188" s="17">
        <f>IFERROR(__xludf.DUMMYFUNCTION("""COMPUTED_VALUE"""),3.183028598E9)</f>
        <v>3183028598</v>
      </c>
      <c r="M3188" s="17" t="str">
        <f>IFERROR(__xludf.DUMMYFUNCTION("""COMPUTED_VALUE"""),"#REF!")</f>
        <v>#REF!</v>
      </c>
      <c r="N3188" s="17"/>
      <c r="O3188" s="17"/>
      <c r="P3188" s="17" t="b">
        <f>IFERROR(__xludf.DUMMYFUNCTION("""COMPUTED_VALUE"""),TRUE)</f>
        <v>1</v>
      </c>
      <c r="Q3188" s="20">
        <f>IFERROR(__xludf.DUMMYFUNCTION("""COMPUTED_VALUE"""),45093.49405809028)</f>
        <v>45093.49406</v>
      </c>
      <c r="R3188" s="21" t="str">
        <f>IFERROR(__xludf.DUMMYFUNCTION("""COMPUTED_VALUE"""),"https://drive.google.com/file/d/1ykFJQHXD_YRy6D4c-U0t849eQ0ZVziBV/view?usp=drivesdk")</f>
        <v>https://drive.google.com/file/d/1ykFJQHXD_YRy6D4c-U0t849eQ0ZVziBV/view?usp=drivesdk</v>
      </c>
    </row>
    <row r="3189">
      <c r="A3189" s="15">
        <f>IFERROR(__xludf.DUMMYFUNCTION("""COMPUTED_VALUE"""),45093.0)</f>
        <v>45093</v>
      </c>
      <c r="B3189" s="16" t="str">
        <f>IFERROR(__xludf.DUMMYFUNCTION("""COMPUTED_VALUE"""),"Envia")</f>
        <v>Envia</v>
      </c>
      <c r="C3189" s="15" t="str">
        <f>IFERROR(__xludf.DUMMYFUNCTION("""COMPUTED_VALUE"""),"CALI")</f>
        <v>CALI</v>
      </c>
      <c r="D3189" s="15" t="str">
        <f>IFERROR(__xludf.DUMMYFUNCTION("""COMPUTED_VALUE"""),"BOGOTÁ")</f>
        <v>BOGOTÁ</v>
      </c>
      <c r="E3189" s="15" t="str">
        <f>IFERROR(__xludf.DUMMYFUNCTION("""COMPUTED_VALUE"""),"Pan de Waffle")</f>
        <v>Pan de Waffle</v>
      </c>
      <c r="F3189" s="17" t="str">
        <f>IFERROR(__xludf.DUMMYFUNCTION("""COMPUTED_VALUE"""),"Calle 18 norte # 9n-45 Cali  / Calle 18 norte # 9n-45 Cali  / Calle 18 norte # 9n-45 Cali")</f>
        <v>Calle 18 norte # 9n-45 Cali  / Calle 18 norte # 9n-45 Cali  / Calle 18 norte # 9n-45 Cali</v>
      </c>
      <c r="G3189" s="15" t="str">
        <f>IFERROR(__xludf.DUMMYFUNCTION("""COMPUTED_VALUE"""),"NUTRICION EN MOVIMIENTO")</f>
        <v>NUTRICION EN MOVIMIENTO</v>
      </c>
      <c r="H3189" s="16">
        <f>IFERROR(__xludf.DUMMYFUNCTION("""COMPUTED_VALUE"""),11767.0)</f>
        <v>11767</v>
      </c>
      <c r="I3189" s="18">
        <f>IFERROR(__xludf.DUMMYFUNCTION("""COMPUTED_VALUE"""),40.0)</f>
        <v>40</v>
      </c>
      <c r="J3189" s="18">
        <f>IFERROR(__xludf.DUMMYFUNCTION("""COMPUTED_VALUE"""),40.0)</f>
        <v>40</v>
      </c>
      <c r="K3189" s="18">
        <f>IFERROR(__xludf.DUMMYFUNCTION("""COMPUTED_VALUE"""),30.0)</f>
        <v>30</v>
      </c>
      <c r="L3189" s="17">
        <f>IFERROR(__xludf.DUMMYFUNCTION("""COMPUTED_VALUE"""),3.148101084E9)</f>
        <v>3148101084</v>
      </c>
      <c r="M3189" s="17" t="str">
        <f>IFERROR(__xludf.DUMMYFUNCTION("""COMPUTED_VALUE"""),"#REF!")</f>
        <v>#REF!</v>
      </c>
      <c r="N3189" s="17"/>
      <c r="O3189" s="17"/>
      <c r="P3189" s="17" t="b">
        <f>IFERROR(__xludf.DUMMYFUNCTION("""COMPUTED_VALUE"""),FALSE)</f>
        <v>0</v>
      </c>
      <c r="Q3189" s="20" t="str">
        <f>IFERROR(__xludf.DUMMYFUNCTION("""COMPUTED_VALUE"""),"")</f>
        <v/>
      </c>
      <c r="R3189" s="21" t="str">
        <f>IFERROR(__xludf.DUMMYFUNCTION("""COMPUTED_VALUE"""),"https://drive.google.com/file/d/1Hadozl1fvzi06Ew53MoEeaRQB1JkdoN0/view?usp=drivesdk")</f>
        <v>https://drive.google.com/file/d/1Hadozl1fvzi06Ew53MoEeaRQB1JkdoN0/view?usp=drivesdk</v>
      </c>
    </row>
    <row r="3190">
      <c r="A3190" s="15">
        <f>IFERROR(__xludf.DUMMYFUNCTION("""COMPUTED_VALUE"""),45093.0)</f>
        <v>45093</v>
      </c>
      <c r="B3190" s="16" t="str">
        <f>IFERROR(__xludf.DUMMYFUNCTION("""COMPUTED_VALUE"""),"Envia")</f>
        <v>Envia</v>
      </c>
      <c r="C3190" s="15" t="str">
        <f>IFERROR(__xludf.DUMMYFUNCTION("""COMPUTED_VALUE"""),"CALI")</f>
        <v>CALI</v>
      </c>
      <c r="D3190" s="15" t="str">
        <f>IFERROR(__xludf.DUMMYFUNCTION("""COMPUTED_VALUE"""),"BOGOTÁ")</f>
        <v>BOGOTÁ</v>
      </c>
      <c r="E3190" s="15" t="str">
        <f>IFERROR(__xludf.DUMMYFUNCTION("""COMPUTED_VALUE"""),"Renata")</f>
        <v>Renata</v>
      </c>
      <c r="F3190" s="17" t="str">
        <f>IFERROR(__xludf.DUMMYFUNCTION("""COMPUTED_VALUE"""),"Carrera 3#3a-83 / Restaurante  / San Fernando")</f>
        <v>Carrera 3#3a-83 / Restaurante  / San Fernando</v>
      </c>
      <c r="G3190" s="15" t="str">
        <f>IFERROR(__xludf.DUMMYFUNCTION("""COMPUTED_VALUE"""),"Retaco sas")</f>
        <v>Retaco sas</v>
      </c>
      <c r="H3190" s="16">
        <f>IFERROR(__xludf.DUMMYFUNCTION("""COMPUTED_VALUE"""),11777.0)</f>
        <v>11777</v>
      </c>
      <c r="I3190" s="18">
        <f>IFERROR(__xludf.DUMMYFUNCTION("""COMPUTED_VALUE"""),90.0)</f>
        <v>90</v>
      </c>
      <c r="J3190" s="18">
        <f>IFERROR(__xludf.DUMMYFUNCTION("""COMPUTED_VALUE"""),70.0)</f>
        <v>70</v>
      </c>
      <c r="K3190" s="18">
        <f>IFERROR(__xludf.DUMMYFUNCTION("""COMPUTED_VALUE"""),60.0)</f>
        <v>60</v>
      </c>
      <c r="L3190" s="17">
        <f>IFERROR(__xludf.DUMMYFUNCTION("""COMPUTED_VALUE"""),3.134720976E9)</f>
        <v>3134720976</v>
      </c>
      <c r="M3190" s="17" t="str">
        <f>IFERROR(__xludf.DUMMYFUNCTION("""COMPUTED_VALUE"""),"#REF!")</f>
        <v>#REF!</v>
      </c>
      <c r="N3190" s="17"/>
      <c r="O3190" s="17"/>
      <c r="P3190" s="17" t="b">
        <f>IFERROR(__xludf.DUMMYFUNCTION("""COMPUTED_VALUE"""),TRUE)</f>
        <v>1</v>
      </c>
      <c r="Q3190" s="20">
        <f>IFERROR(__xludf.DUMMYFUNCTION("""COMPUTED_VALUE"""),45093.74202263889)</f>
        <v>45093.74202</v>
      </c>
      <c r="R3190" s="21" t="str">
        <f>IFERROR(__xludf.DUMMYFUNCTION("""COMPUTED_VALUE"""),"https://drive.google.com/file/d/1x2wsr8_Tm1jowE1KJayb8-KJnoHfqm5H/view?usp=drivesdk")</f>
        <v>https://drive.google.com/file/d/1x2wsr8_Tm1jowE1KJayb8-KJnoHfqm5H/view?usp=drivesdk</v>
      </c>
    </row>
    <row r="3191">
      <c r="A3191" s="15">
        <f>IFERROR(__xludf.DUMMYFUNCTION("""COMPUTED_VALUE"""),45093.0)</f>
        <v>45093</v>
      </c>
      <c r="B3191" s="16" t="str">
        <f>IFERROR(__xludf.DUMMYFUNCTION("""COMPUTED_VALUE"""),"Envia")</f>
        <v>Envia</v>
      </c>
      <c r="C3191" s="15" t="str">
        <f>IFERROR(__xludf.DUMMYFUNCTION("""COMPUTED_VALUE"""),"CÚCUTA")</f>
        <v>CÚCUTA</v>
      </c>
      <c r="D3191" s="15" t="str">
        <f>IFERROR(__xludf.DUMMYFUNCTION("""COMPUTED_VALUE"""),"MEDELLÍN")</f>
        <v>MEDELLÍN</v>
      </c>
      <c r="E3191" s="15" t="str">
        <f>IFERROR(__xludf.DUMMYFUNCTION("""COMPUTED_VALUE"""),"Rambla")</f>
        <v>Rambla</v>
      </c>
      <c r="F3191" s="17" t="str">
        <f>IFERROR(__xludf.DUMMYFUNCTION("""COMPUTED_VALUE"""),"Av 2E # 15A -17 Caobos / na / na")</f>
        <v>Av 2E # 15A -17 Caobos / na / na</v>
      </c>
      <c r="G3191" s="15" t="str">
        <f>IFERROR(__xludf.DUMMYFUNCTION("""COMPUTED_VALUE"""),"pistachofitmarket")</f>
        <v>pistachofitmarket</v>
      </c>
      <c r="H3191" s="16">
        <f>IFERROR(__xludf.DUMMYFUNCTION("""COMPUTED_VALUE"""),11738.0)</f>
        <v>11738</v>
      </c>
      <c r="I3191" s="18">
        <f>IFERROR(__xludf.DUMMYFUNCTION("""COMPUTED_VALUE"""),22.0)</f>
        <v>22</v>
      </c>
      <c r="J3191" s="18">
        <f>IFERROR(__xludf.DUMMYFUNCTION("""COMPUTED_VALUE"""),25.0)</f>
        <v>25</v>
      </c>
      <c r="K3191" s="18">
        <f>IFERROR(__xludf.DUMMYFUNCTION("""COMPUTED_VALUE"""),28.0)</f>
        <v>28</v>
      </c>
      <c r="L3191" s="17">
        <f>IFERROR(__xludf.DUMMYFUNCTION("""COMPUTED_VALUE"""),3.133032295E9)</f>
        <v>3133032295</v>
      </c>
      <c r="M3191" s="17" t="str">
        <f>IFERROR(__xludf.DUMMYFUNCTION("""COMPUTED_VALUE"""),"#REF!")</f>
        <v>#REF!</v>
      </c>
      <c r="N3191" s="17"/>
      <c r="O3191" s="17"/>
      <c r="P3191" s="17" t="b">
        <f>IFERROR(__xludf.DUMMYFUNCTION("""COMPUTED_VALUE"""),FALSE)</f>
        <v>0</v>
      </c>
      <c r="Q3191" s="20" t="str">
        <f>IFERROR(__xludf.DUMMYFUNCTION("""COMPUTED_VALUE"""),"")</f>
        <v/>
      </c>
      <c r="R3191" s="21" t="str">
        <f>IFERROR(__xludf.DUMMYFUNCTION("""COMPUTED_VALUE"""),"https://drive.google.com/file/d/1QG90N-ZdipJv9-2lqMYk2mOaTffmzAAY/view?usp=drivesdk")</f>
        <v>https://drive.google.com/file/d/1QG90N-ZdipJv9-2lqMYk2mOaTffmzAAY/view?usp=drivesdk</v>
      </c>
    </row>
    <row r="3192">
      <c r="A3192" s="15">
        <f>IFERROR(__xludf.DUMMYFUNCTION("""COMPUTED_VALUE"""),45093.0)</f>
        <v>45093</v>
      </c>
      <c r="B3192" s="16" t="str">
        <f>IFERROR(__xludf.DUMMYFUNCTION("""COMPUTED_VALUE"""),"Envia")</f>
        <v>Envia</v>
      </c>
      <c r="C3192" s="15" t="str">
        <f>IFERROR(__xludf.DUMMYFUNCTION("""COMPUTED_VALUE"""),"CÚCUTA")</f>
        <v>CÚCUTA</v>
      </c>
      <c r="D3192" s="15" t="str">
        <f>IFERROR(__xludf.DUMMYFUNCTION("""COMPUTED_VALUE"""),"MEDELLÍN")</f>
        <v>MEDELLÍN</v>
      </c>
      <c r="E3192" s="15" t="str">
        <f>IFERROR(__xludf.DUMMYFUNCTION("""COMPUTED_VALUE"""),"Rambla")</f>
        <v>Rambla</v>
      </c>
      <c r="F3192" s="17" t="str">
        <f>IFERROR(__xludf.DUMMYFUNCTION("""COMPUTED_VALUE"""),"Av 9e # 7-12 la Riviera / NA / NA")</f>
        <v>Av 9e # 7-12 la Riviera / NA / NA</v>
      </c>
      <c r="G3192" s="15" t="str">
        <f>IFERROR(__xludf.DUMMYFUNCTION("""COMPUTED_VALUE"""),"Sexto sentido")</f>
        <v>Sexto sentido</v>
      </c>
      <c r="H3192" s="16">
        <f>IFERROR(__xludf.DUMMYFUNCTION("""COMPUTED_VALUE"""),11739.0)</f>
        <v>11739</v>
      </c>
      <c r="I3192" s="18">
        <f>IFERROR(__xludf.DUMMYFUNCTION("""COMPUTED_VALUE"""),27.0)</f>
        <v>27</v>
      </c>
      <c r="J3192" s="18">
        <f>IFERROR(__xludf.DUMMYFUNCTION("""COMPUTED_VALUE"""),32.0)</f>
        <v>32</v>
      </c>
      <c r="K3192" s="18">
        <f>IFERROR(__xludf.DUMMYFUNCTION("""COMPUTED_VALUE"""),35.0)</f>
        <v>35</v>
      </c>
      <c r="L3192" s="17">
        <f>IFERROR(__xludf.DUMMYFUNCTION("""COMPUTED_VALUE"""),3.154996494E9)</f>
        <v>3154996494</v>
      </c>
      <c r="M3192" s="17" t="str">
        <f>IFERROR(__xludf.DUMMYFUNCTION("""COMPUTED_VALUE"""),"#REF!")</f>
        <v>#REF!</v>
      </c>
      <c r="N3192" s="17"/>
      <c r="O3192" s="17"/>
      <c r="P3192" s="17" t="b">
        <f>IFERROR(__xludf.DUMMYFUNCTION("""COMPUTED_VALUE"""),FALSE)</f>
        <v>0</v>
      </c>
      <c r="Q3192" s="20" t="str">
        <f>IFERROR(__xludf.DUMMYFUNCTION("""COMPUTED_VALUE"""),"")</f>
        <v/>
      </c>
      <c r="R3192" s="21" t="str">
        <f>IFERROR(__xludf.DUMMYFUNCTION("""COMPUTED_VALUE"""),"https://drive.google.com/file/d/1cfF7g6uuo74V6lAwK_NhXvKUcK9r7y5d/view?usp=drivesdk")</f>
        <v>https://drive.google.com/file/d/1cfF7g6uuo74V6lAwK_NhXvKUcK9r7y5d/view?usp=drivesdk</v>
      </c>
    </row>
    <row r="3193">
      <c r="A3193" s="15">
        <f>IFERROR(__xludf.DUMMYFUNCTION("""COMPUTED_VALUE"""),45093.0)</f>
        <v>45093</v>
      </c>
      <c r="B3193" s="16" t="str">
        <f>IFERROR(__xludf.DUMMYFUNCTION("""COMPUTED_VALUE"""),"Envia")</f>
        <v>Envia</v>
      </c>
      <c r="C3193" s="15" t="str">
        <f>IFERROR(__xludf.DUMMYFUNCTION("""COMPUTED_VALUE"""),"FLORIDABLANCA")</f>
        <v>FLORIDABLANCA</v>
      </c>
      <c r="D3193" s="15" t="str">
        <f>IFERROR(__xludf.DUMMYFUNCTION("""COMPUTED_VALUE"""),"BOGOTÁ")</f>
        <v>BOGOTÁ</v>
      </c>
      <c r="E3193" s="15" t="str">
        <f>IFERROR(__xludf.DUMMYFUNCTION("""COMPUTED_VALUE"""),"Pan de Waffle")</f>
        <v>Pan de Waffle</v>
      </c>
      <c r="F3193" s="17" t="str">
        <f>IFERROR(__xludf.DUMMYFUNCTION("""COMPUTED_VALUE"""),"Calle 31 # 22 - 97 Cañaveral / Calle 31 # 22 - 97 Cañaveral / Calle 31 # 22 - 97 Cañaveral")</f>
        <v>Calle 31 # 22 - 97 Cañaveral / Calle 31 # 22 - 97 Cañaveral / Calle 31 # 22 - 97 Cañaveral</v>
      </c>
      <c r="G3193" s="15" t="str">
        <f>IFERROR(__xludf.DUMMYFUNCTION("""COMPUTED_VALUE"""),"FIT STORE EXPRESS")</f>
        <v>FIT STORE EXPRESS</v>
      </c>
      <c r="H3193" s="16">
        <f>IFERROR(__xludf.DUMMYFUNCTION("""COMPUTED_VALUE"""),11766.0)</f>
        <v>11766</v>
      </c>
      <c r="I3193" s="18">
        <f>IFERROR(__xludf.DUMMYFUNCTION("""COMPUTED_VALUE"""),40.0)</f>
        <v>40</v>
      </c>
      <c r="J3193" s="18">
        <f>IFERROR(__xludf.DUMMYFUNCTION("""COMPUTED_VALUE"""),40.0)</f>
        <v>40</v>
      </c>
      <c r="K3193" s="18">
        <f>IFERROR(__xludf.DUMMYFUNCTION("""COMPUTED_VALUE"""),30.0)</f>
        <v>30</v>
      </c>
      <c r="L3193" s="17">
        <f>IFERROR(__xludf.DUMMYFUNCTION("""COMPUTED_VALUE"""),3.005711168E9)</f>
        <v>3005711168</v>
      </c>
      <c r="M3193" s="17" t="str">
        <f>IFERROR(__xludf.DUMMYFUNCTION("""COMPUTED_VALUE"""),"#REF!")</f>
        <v>#REF!</v>
      </c>
      <c r="N3193" s="17"/>
      <c r="O3193" s="17"/>
      <c r="P3193" s="17" t="b">
        <f>IFERROR(__xludf.DUMMYFUNCTION("""COMPUTED_VALUE"""),FALSE)</f>
        <v>0</v>
      </c>
      <c r="Q3193" s="20" t="str">
        <f>IFERROR(__xludf.DUMMYFUNCTION("""COMPUTED_VALUE"""),"")</f>
        <v/>
      </c>
      <c r="R3193" s="21" t="str">
        <f>IFERROR(__xludf.DUMMYFUNCTION("""COMPUTED_VALUE"""),"https://drive.google.com/file/d/1KtgT_ZyvEYdEj3PPlQE0cTsXa6plHecg/view?usp=drivesdk")</f>
        <v>https://drive.google.com/file/d/1KtgT_ZyvEYdEj3PPlQE0cTsXa6plHecg/view?usp=drivesdk</v>
      </c>
    </row>
    <row r="3194">
      <c r="A3194" s="15">
        <f>IFERROR(__xludf.DUMMYFUNCTION("""COMPUTED_VALUE"""),45093.0)</f>
        <v>45093</v>
      </c>
      <c r="B3194" s="16" t="str">
        <f>IFERROR(__xludf.DUMMYFUNCTION("""COMPUTED_VALUE"""),"Envia")</f>
        <v>Envia</v>
      </c>
      <c r="C3194" s="15" t="str">
        <f>IFERROR(__xludf.DUMMYFUNCTION("""COMPUTED_VALUE"""),"MEDELLÍN")</f>
        <v>MEDELLÍN</v>
      </c>
      <c r="D3194" s="15" t="str">
        <f>IFERROR(__xludf.DUMMYFUNCTION("""COMPUTED_VALUE"""),"BOGOTÁ")</f>
        <v>BOGOTÁ</v>
      </c>
      <c r="E3194" s="15" t="str">
        <f>IFERROR(__xludf.DUMMYFUNCTION("""COMPUTED_VALUE"""),"Forever Dog")</f>
        <v>Forever Dog</v>
      </c>
      <c r="F3194" s="17" t="str">
        <f>IFERROR(__xludf.DUMMYFUNCTION("""COMPUTED_VALUE"""),"Calle 37 B # 81 a 109 / Torre Gabriel apto 103 / a")</f>
        <v>Calle 37 B # 81 a 109 / Torre Gabriel apto 103 / a</v>
      </c>
      <c r="G3194" s="15" t="str">
        <f>IFERROR(__xludf.DUMMYFUNCTION("""COMPUTED_VALUE"""),"Jenny Sua")</f>
        <v>Jenny Sua</v>
      </c>
      <c r="H3194" s="16">
        <f>IFERROR(__xludf.DUMMYFUNCTION("""COMPUTED_VALUE"""),11759.0)</f>
        <v>11759</v>
      </c>
      <c r="I3194" s="18">
        <f>IFERROR(__xludf.DUMMYFUNCTION("""COMPUTED_VALUE"""),21.0)</f>
        <v>21</v>
      </c>
      <c r="J3194" s="18">
        <f>IFERROR(__xludf.DUMMYFUNCTION("""COMPUTED_VALUE"""),50.0)</f>
        <v>50</v>
      </c>
      <c r="K3194" s="18">
        <f>IFERROR(__xludf.DUMMYFUNCTION("""COMPUTED_VALUE"""),30.0)</f>
        <v>30</v>
      </c>
      <c r="L3194" s="17">
        <f>IFERROR(__xludf.DUMMYFUNCTION("""COMPUTED_VALUE"""),3.14202892E9)</f>
        <v>3142028920</v>
      </c>
      <c r="M3194" s="17" t="str">
        <f>IFERROR(__xludf.DUMMYFUNCTION("""COMPUTED_VALUE"""),"#REF!")</f>
        <v>#REF!</v>
      </c>
      <c r="N3194" s="17"/>
      <c r="O3194" s="17"/>
      <c r="P3194" s="17" t="b">
        <f>IFERROR(__xludf.DUMMYFUNCTION("""COMPUTED_VALUE"""),FALSE)</f>
        <v>0</v>
      </c>
      <c r="Q3194" s="20" t="str">
        <f>IFERROR(__xludf.DUMMYFUNCTION("""COMPUTED_VALUE"""),"")</f>
        <v/>
      </c>
      <c r="R3194" s="21" t="str">
        <f>IFERROR(__xludf.DUMMYFUNCTION("""COMPUTED_VALUE"""),"https://drive.google.com/file/d/1kxbQxsOtCaOElVjvfuPg75ZahOTw9JbC/view?usp=drivesdk")</f>
        <v>https://drive.google.com/file/d/1kxbQxsOtCaOElVjvfuPg75ZahOTw9JbC/view?usp=drivesdk</v>
      </c>
    </row>
    <row r="3195">
      <c r="A3195" s="15">
        <f>IFERROR(__xludf.DUMMYFUNCTION("""COMPUTED_VALUE"""),45093.0)</f>
        <v>45093</v>
      </c>
      <c r="B3195" s="16" t="str">
        <f>IFERROR(__xludf.DUMMYFUNCTION("""COMPUTED_VALUE"""),"Envia")</f>
        <v>Envia</v>
      </c>
      <c r="C3195" s="15" t="str">
        <f>IFERROR(__xludf.DUMMYFUNCTION("""COMPUTED_VALUE"""),"MEDELLÍN")</f>
        <v>MEDELLÍN</v>
      </c>
      <c r="D3195" s="15" t="str">
        <f>IFERROR(__xludf.DUMMYFUNCTION("""COMPUTED_VALUE"""),"BOGOTÁ")</f>
        <v>BOGOTÁ</v>
      </c>
      <c r="E3195" s="15" t="str">
        <f>IFERROR(__xludf.DUMMYFUNCTION("""COMPUTED_VALUE"""),"MAI ALIMENTOS S.A.S")</f>
        <v>MAI ALIMENTOS S.A.S</v>
      </c>
      <c r="F3195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195" s="15" t="str">
        <f>IFERROR(__xludf.DUMMYFUNCTION("""COMPUTED_VALUE"""),"Novaventas")</f>
        <v>Novaventas</v>
      </c>
      <c r="H3195" s="16">
        <f>IFERROR(__xludf.DUMMYFUNCTION("""COMPUTED_VALUE"""),11785.0)</f>
        <v>11785</v>
      </c>
      <c r="I3195" s="17"/>
      <c r="J3195" s="17"/>
      <c r="K3195" s="17"/>
      <c r="L3195" s="17">
        <f>IFERROR(__xludf.DUMMYFUNCTION("""COMPUTED_VALUE"""),3.187351593E9)</f>
        <v>3187351593</v>
      </c>
      <c r="M3195" s="17" t="str">
        <f>IFERROR(__xludf.DUMMYFUNCTION("""COMPUTED_VALUE"""),"#REF!")</f>
        <v>#REF!</v>
      </c>
      <c r="N3195" s="17"/>
      <c r="O3195" s="17"/>
      <c r="P3195" s="17" t="b">
        <f>IFERROR(__xludf.DUMMYFUNCTION("""COMPUTED_VALUE"""),FALSE)</f>
        <v>0</v>
      </c>
      <c r="Q3195" s="20" t="str">
        <f>IFERROR(__xludf.DUMMYFUNCTION("""COMPUTED_VALUE"""),"")</f>
        <v/>
      </c>
      <c r="R3195" s="21" t="str">
        <f>IFERROR(__xludf.DUMMYFUNCTION("""COMPUTED_VALUE"""),"https://drive.google.com/file/d/1Jpz5ul6H-hO3dGFdcjEWHyYLkG4N0VZo/view?usp=drivesdk")</f>
        <v>https://drive.google.com/file/d/1Jpz5ul6H-hO3dGFdcjEWHyYLkG4N0VZo/view?usp=drivesdk</v>
      </c>
    </row>
    <row r="3196">
      <c r="A3196" s="15">
        <f>IFERROR(__xludf.DUMMYFUNCTION("""COMPUTED_VALUE"""),45093.0)</f>
        <v>45093</v>
      </c>
      <c r="B3196" s="16" t="str">
        <f>IFERROR(__xludf.DUMMYFUNCTION("""COMPUTED_VALUE"""),"Envia")</f>
        <v>Envia</v>
      </c>
      <c r="C3196" s="15" t="str">
        <f>IFERROR(__xludf.DUMMYFUNCTION("""COMPUTED_VALUE"""),"MEDELLÍN")</f>
        <v>MEDELLÍN</v>
      </c>
      <c r="D3196" s="15" t="str">
        <f>IFERROR(__xludf.DUMMYFUNCTION("""COMPUTED_VALUE"""),"BOGOTÁ")</f>
        <v>BOGOTÁ</v>
      </c>
      <c r="E3196" s="15" t="str">
        <f>IFERROR(__xludf.DUMMYFUNCTION("""COMPUTED_VALUE"""),"Mochi")</f>
        <v>Mochi</v>
      </c>
      <c r="F3196" s="17" t="str">
        <f>IFERROR(__xludf.DUMMYFUNCTION("""COMPUTED_VALUE"""),"Centro copmercial viva Envigado / Centro copmercial viva Envigado / Centro copmercial viva Envigado")</f>
        <v>Centro copmercial viva Envigado / Centro copmercial viva Envigado / Centro copmercial viva Envigado</v>
      </c>
      <c r="G3196" s="15" t="str">
        <f>IFERROR(__xludf.DUMMYFUNCTION("""COMPUTED_VALUE"""),"Tania vellojin")</f>
        <v>Tania vellojin</v>
      </c>
      <c r="H3196" s="16">
        <f>IFERROR(__xludf.DUMMYFUNCTION("""COMPUTED_VALUE"""),11781.0)</f>
        <v>11781</v>
      </c>
      <c r="I3196" s="18">
        <f>IFERROR(__xludf.DUMMYFUNCTION("""COMPUTED_VALUE"""),200.0)</f>
        <v>200</v>
      </c>
      <c r="J3196" s="18">
        <f>IFERROR(__xludf.DUMMYFUNCTION("""COMPUTED_VALUE"""),100.0)</f>
        <v>100</v>
      </c>
      <c r="K3196" s="18">
        <f>IFERROR(__xludf.DUMMYFUNCTION("""COMPUTED_VALUE"""),100.0)</f>
        <v>100</v>
      </c>
      <c r="L3196" s="17">
        <f>IFERROR(__xludf.DUMMYFUNCTION("""COMPUTED_VALUE"""),3.142587995E9)</f>
        <v>3142587995</v>
      </c>
      <c r="M3196" s="17" t="str">
        <f>IFERROR(__xludf.DUMMYFUNCTION("""COMPUTED_VALUE"""),"#REF!")</f>
        <v>#REF!</v>
      </c>
      <c r="N3196" s="17"/>
      <c r="O3196" s="17"/>
      <c r="P3196" s="17" t="b">
        <f>IFERROR(__xludf.DUMMYFUNCTION("""COMPUTED_VALUE"""),FALSE)</f>
        <v>0</v>
      </c>
      <c r="Q3196" s="20" t="str">
        <f>IFERROR(__xludf.DUMMYFUNCTION("""COMPUTED_VALUE"""),"")</f>
        <v/>
      </c>
      <c r="R3196" s="21" t="str">
        <f>IFERROR(__xludf.DUMMYFUNCTION("""COMPUTED_VALUE"""),"https://drive.google.com/file/d/1jYBES5mF3EylBp7KSoTbCdUqvHJZ5hOF/view?usp=drivesdk")</f>
        <v>https://drive.google.com/file/d/1jYBES5mF3EylBp7KSoTbCdUqvHJZ5hOF/view?usp=drivesdk</v>
      </c>
    </row>
    <row r="3197">
      <c r="A3197" s="15">
        <f>IFERROR(__xludf.DUMMYFUNCTION("""COMPUTED_VALUE"""),45093.0)</f>
        <v>45093</v>
      </c>
      <c r="B3197" s="16" t="str">
        <f>IFERROR(__xludf.DUMMYFUNCTION("""COMPUTED_VALUE"""),"Envia")</f>
        <v>Envia</v>
      </c>
      <c r="C3197" s="15" t="str">
        <f>IFERROR(__xludf.DUMMYFUNCTION("""COMPUTED_VALUE"""),"PEREIRA")</f>
        <v>PEREIRA</v>
      </c>
      <c r="D3197" s="15" t="str">
        <f>IFERROR(__xludf.DUMMYFUNCTION("""COMPUTED_VALUE"""),"BOGOTÁ")</f>
        <v>BOGOTÁ</v>
      </c>
      <c r="E3197" s="15" t="str">
        <f>IFERROR(__xludf.DUMMYFUNCTION("""COMPUTED_VALUE"""),"Athenas")</f>
        <v>Athenas</v>
      </c>
      <c r="F3197" s="17" t="str">
        <f>IFERROR(__xludf.DUMMYFUNCTION("""COMPUTED_VALUE"""),"Carrera 13 #12b 25 / Edificio uniplex bodytech / Pereira")</f>
        <v>Carrera 13 #12b 25 / Edificio uniplex bodytech / Pereira</v>
      </c>
      <c r="G3197" s="15" t="str">
        <f>IFERROR(__xludf.DUMMYFUNCTION("""COMPUTED_VALUE"""),"Adriana castro")</f>
        <v>Adriana castro</v>
      </c>
      <c r="H3197" s="16">
        <f>IFERROR(__xludf.DUMMYFUNCTION("""COMPUTED_VALUE"""),11774.0)</f>
        <v>11774</v>
      </c>
      <c r="I3197" s="18">
        <f>IFERROR(__xludf.DUMMYFUNCTION("""COMPUTED_VALUE"""),52.0)</f>
        <v>52</v>
      </c>
      <c r="J3197" s="18">
        <f>IFERROR(__xludf.DUMMYFUNCTION("""COMPUTED_VALUE"""),55.0)</f>
        <v>55</v>
      </c>
      <c r="K3197" s="18">
        <f>IFERROR(__xludf.DUMMYFUNCTION("""COMPUTED_VALUE"""),45.0)</f>
        <v>45</v>
      </c>
      <c r="L3197" s="17">
        <f>IFERROR(__xludf.DUMMYFUNCTION("""COMPUTED_VALUE"""),3.104011367E9)</f>
        <v>3104011367</v>
      </c>
      <c r="M3197" s="17" t="str">
        <f>IFERROR(__xludf.DUMMYFUNCTION("""COMPUTED_VALUE"""),"#REF!")</f>
        <v>#REF!</v>
      </c>
      <c r="N3197" s="17"/>
      <c r="O3197" s="17"/>
      <c r="P3197" s="17" t="b">
        <f>IFERROR(__xludf.DUMMYFUNCTION("""COMPUTED_VALUE"""),FALSE)</f>
        <v>0</v>
      </c>
      <c r="Q3197" s="20" t="str">
        <f>IFERROR(__xludf.DUMMYFUNCTION("""COMPUTED_VALUE"""),"")</f>
        <v/>
      </c>
      <c r="R3197" s="21" t="str">
        <f>IFERROR(__xludf.DUMMYFUNCTION("""COMPUTED_VALUE"""),"https://drive.google.com/file/d/1RbKobVBM5Jk7bH90kY4QMmBbTNcj4f6N/view?usp=drivesdk")</f>
        <v>https://drive.google.com/file/d/1RbKobVBM5Jk7bH90kY4QMmBbTNcj4f6N/view?usp=drivesdk</v>
      </c>
    </row>
    <row r="3198">
      <c r="A3198" s="15">
        <f>IFERROR(__xludf.DUMMYFUNCTION("""COMPUTED_VALUE"""),45093.0)</f>
        <v>45093</v>
      </c>
      <c r="B3198" s="16" t="str">
        <f>IFERROR(__xludf.DUMMYFUNCTION("""COMPUTED_VALUE"""),"Envia")</f>
        <v>Envia</v>
      </c>
      <c r="C3198" s="15" t="str">
        <f>IFERROR(__xludf.DUMMYFUNCTION("""COMPUTED_VALUE"""),"SANTA MARTA")</f>
        <v>SANTA MARTA</v>
      </c>
      <c r="D3198" s="15" t="str">
        <f>IFERROR(__xludf.DUMMYFUNCTION("""COMPUTED_VALUE"""),"BOGOTÁ")</f>
        <v>BOGOTÁ</v>
      </c>
      <c r="E3198" s="15" t="str">
        <f>IFERROR(__xludf.DUMMYFUNCTION("""COMPUTED_VALUE"""),"Ins. Alimento Vital")</f>
        <v>Ins. Alimento Vital</v>
      </c>
      <c r="F3198" s="17" t="str">
        <f>IFERROR(__xludf.DUMMYFUNCTION("""COMPUTED_VALUE"""),"CR 2 16 28 / VILLA BELLA CASA 10 / RODADERO")</f>
        <v>CR 2 16 28 / VILLA BELLA CASA 10 / RODADERO</v>
      </c>
      <c r="G3198" s="15" t="str">
        <f>IFERROR(__xludf.DUMMYFUNCTION("""COMPUTED_VALUE"""),"LILIANA DEL CARMEN RODRIGUEZ ACEVEDO")</f>
        <v>LILIANA DEL CARMEN RODRIGUEZ ACEVEDO</v>
      </c>
      <c r="H3198" s="16">
        <f>IFERROR(__xludf.DUMMYFUNCTION("""COMPUTED_VALUE"""),11719.0)</f>
        <v>11719</v>
      </c>
      <c r="I3198" s="18">
        <f>IFERROR(__xludf.DUMMYFUNCTION("""COMPUTED_VALUE"""),1.0)</f>
        <v>1</v>
      </c>
      <c r="J3198" s="18">
        <f>IFERROR(__xludf.DUMMYFUNCTION("""COMPUTED_VALUE"""),1.0)</f>
        <v>1</v>
      </c>
      <c r="K3198" s="18">
        <f>IFERROR(__xludf.DUMMYFUNCTION("""COMPUTED_VALUE"""),1.0)</f>
        <v>1</v>
      </c>
      <c r="L3198" s="17">
        <f>IFERROR(__xludf.DUMMYFUNCTION("""COMPUTED_VALUE"""),3.008165296E9)</f>
        <v>3008165296</v>
      </c>
      <c r="M3198" s="17" t="str">
        <f>IFERROR(__xludf.DUMMYFUNCTION("""COMPUTED_VALUE"""),"#REF!")</f>
        <v>#REF!</v>
      </c>
      <c r="N3198" s="17"/>
      <c r="O3198" s="17"/>
      <c r="P3198" s="17" t="b">
        <f>IFERROR(__xludf.DUMMYFUNCTION("""COMPUTED_VALUE"""),FALSE)</f>
        <v>0</v>
      </c>
      <c r="Q3198" s="20" t="str">
        <f>IFERROR(__xludf.DUMMYFUNCTION("""COMPUTED_VALUE"""),"")</f>
        <v/>
      </c>
      <c r="R3198" s="21" t="str">
        <f>IFERROR(__xludf.DUMMYFUNCTION("""COMPUTED_VALUE"""),"https://drive.google.com/file/d/1egCZl0fFe7-Mn8HSeSDfF9lLApnzvcMK/view?usp=drivesdk")</f>
        <v>https://drive.google.com/file/d/1egCZl0fFe7-Mn8HSeSDfF9lLApnzvcMK/view?usp=drivesdk</v>
      </c>
    </row>
    <row r="3199">
      <c r="A3199" s="15">
        <f>IFERROR(__xludf.DUMMYFUNCTION("""COMPUTED_VALUE"""),45093.0)</f>
        <v>45093</v>
      </c>
      <c r="B3199" s="16" t="str">
        <f>IFERROR(__xludf.DUMMYFUNCTION("""COMPUTED_VALUE"""),"Envia")</f>
        <v>Envia</v>
      </c>
      <c r="C3199" s="15" t="str">
        <f>IFERROR(__xludf.DUMMYFUNCTION("""COMPUTED_VALUE"""),"SANTA MARTA")</f>
        <v>SANTA MARTA</v>
      </c>
      <c r="D3199" s="15" t="str">
        <f>IFERROR(__xludf.DUMMYFUNCTION("""COMPUTED_VALUE"""),"MEDELLÍN")</f>
        <v>MEDELLÍN</v>
      </c>
      <c r="E3199" s="15" t="str">
        <f>IFERROR(__xludf.DUMMYFUNCTION("""COMPUTED_VALUE"""),"Magda")</f>
        <v>Magda</v>
      </c>
      <c r="F3199" s="17" t="str">
        <f>IFERROR(__xludf.DUMMYFUNCTION("""COMPUTED_VALUE"""),"calle 22#6-82  / ""centro comercial plazuela 22 local 27 "" / Centro")</f>
        <v>calle 22#6-82  / "centro comercial plazuela 22 local 27 " / Centro</v>
      </c>
      <c r="G3199" s="15" t="str">
        <f>IFERROR(__xludf.DUMMYFUNCTION("""COMPUTED_VALUE"""),"Shirley Monjarres")</f>
        <v>Shirley Monjarres</v>
      </c>
      <c r="H3199" s="16">
        <f>IFERROR(__xludf.DUMMYFUNCTION("""COMPUTED_VALUE"""),11756.0)</f>
        <v>11756</v>
      </c>
      <c r="I3199" s="18">
        <f>IFERROR(__xludf.DUMMYFUNCTION("""COMPUTED_VALUE"""),6.0)</f>
        <v>6</v>
      </c>
      <c r="J3199" s="18">
        <f>IFERROR(__xludf.DUMMYFUNCTION("""COMPUTED_VALUE"""),5.0)</f>
        <v>5</v>
      </c>
      <c r="K3199" s="18">
        <f>IFERROR(__xludf.DUMMYFUNCTION("""COMPUTED_VALUE"""),5.0)</f>
        <v>5</v>
      </c>
      <c r="L3199" s="17">
        <f>IFERROR(__xludf.DUMMYFUNCTION("""COMPUTED_VALUE"""),3.054269156E9)</f>
        <v>3054269156</v>
      </c>
      <c r="M3199" s="17" t="str">
        <f>IFERROR(__xludf.DUMMYFUNCTION("""COMPUTED_VALUE"""),"#REF!")</f>
        <v>#REF!</v>
      </c>
      <c r="N3199" s="17"/>
      <c r="O3199" s="17"/>
      <c r="P3199" s="17" t="b">
        <f>IFERROR(__xludf.DUMMYFUNCTION("""COMPUTED_VALUE"""),FALSE)</f>
        <v>0</v>
      </c>
      <c r="Q3199" s="20" t="str">
        <f>IFERROR(__xludf.DUMMYFUNCTION("""COMPUTED_VALUE"""),"")</f>
        <v/>
      </c>
      <c r="R3199" s="21" t="str">
        <f>IFERROR(__xludf.DUMMYFUNCTION("""COMPUTED_VALUE"""),"https://drive.google.com/file/d/1wLeXqFCiiQIyklDcFcZjfXkQ4vznn20o/view?usp=drivesdk")</f>
        <v>https://drive.google.com/file/d/1wLeXqFCiiQIyklDcFcZjfXkQ4vznn20o/view?usp=drivesdk</v>
      </c>
    </row>
    <row r="3200">
      <c r="A3200" s="17" t="str">
        <f>IFERROR(__xludf.DUMMYFUNCTION("""COMPUTED_VALUE"""),"")</f>
        <v/>
      </c>
      <c r="B3200" s="17" t="str">
        <f>IFERROR(__xludf.DUMMYFUNCTION("""COMPUTED_VALUE"""),"")</f>
        <v/>
      </c>
      <c r="C3200" s="17" t="str">
        <f>IFERROR(__xludf.DUMMYFUNCTION("""COMPUTED_VALUE"""),"")</f>
        <v/>
      </c>
      <c r="D3200" s="17" t="str">
        <f>IFERROR(__xludf.DUMMYFUNCTION("""COMPUTED_VALUE"""),"")</f>
        <v/>
      </c>
      <c r="E3200" s="17" t="str">
        <f>IFERROR(__xludf.DUMMYFUNCTION("""COMPUTED_VALUE"""),"")</f>
        <v/>
      </c>
      <c r="F3200" s="17" t="str">
        <f>IFERROR(__xludf.DUMMYFUNCTION("""COMPUTED_VALUE"""),"")</f>
        <v/>
      </c>
      <c r="G3200" s="17" t="str">
        <f>IFERROR(__xludf.DUMMYFUNCTION("""COMPUTED_VALUE"""),"")</f>
        <v/>
      </c>
      <c r="H3200" s="17" t="str">
        <f>IFERROR(__xludf.DUMMYFUNCTION("""COMPUTED_VALUE"""),"")</f>
        <v/>
      </c>
      <c r="I3200" s="17" t="str">
        <f>IFERROR(__xludf.DUMMYFUNCTION("""COMPUTED_VALUE"""),"")</f>
        <v/>
      </c>
      <c r="J3200" s="17" t="str">
        <f>IFERROR(__xludf.DUMMYFUNCTION("""COMPUTED_VALUE"""),"")</f>
        <v/>
      </c>
      <c r="K3200" s="17" t="str">
        <f>IFERROR(__xludf.DUMMYFUNCTION("""COMPUTED_VALUE"""),"")</f>
        <v/>
      </c>
      <c r="L3200" s="17" t="str">
        <f>IFERROR(__xludf.DUMMYFUNCTION("""COMPUTED_VALUE"""),"")</f>
        <v/>
      </c>
      <c r="M3200" s="17" t="str">
        <f>IFERROR(__xludf.DUMMYFUNCTION("""COMPUTED_VALUE"""),"")</f>
        <v/>
      </c>
      <c r="N3200" s="17" t="str">
        <f>IFERROR(__xludf.DUMMYFUNCTION("""COMPUTED_VALUE"""),"")</f>
        <v/>
      </c>
      <c r="O3200" s="17" t="str">
        <f>IFERROR(__xludf.DUMMYFUNCTION("""COMPUTED_VALUE"""),"")</f>
        <v/>
      </c>
      <c r="P3200" s="17" t="str">
        <f>IFERROR(__xludf.DUMMYFUNCTION("""COMPUTED_VALUE"""),"")</f>
        <v/>
      </c>
      <c r="Q3200" s="17" t="str">
        <f>IFERROR(__xludf.DUMMYFUNCTION("""COMPUTED_VALUE"""),"")</f>
        <v/>
      </c>
      <c r="R3200" s="17" t="str">
        <f>IFERROR(__xludf.DUMMYFUNCTION("""COMPUTED_VALUE"""),"")</f>
        <v/>
      </c>
    </row>
    <row r="3201">
      <c r="A3201" s="15">
        <f>IFERROR(__xludf.DUMMYFUNCTION("""COMPUTED_VALUE"""),45093.0)</f>
        <v>45093</v>
      </c>
      <c r="B3201" s="16" t="str">
        <f>IFERROR(__xludf.DUMMYFUNCTION("""COMPUTED_VALUE"""),"Jeison Rubiano")</f>
        <v>Jeison Rubiano</v>
      </c>
      <c r="C3201" s="15" t="str">
        <f>IFERROR(__xludf.DUMMYFUNCTION("""COMPUTED_VALUE"""),"BOGOTÁ")</f>
        <v>BOGOTÁ</v>
      </c>
      <c r="D3201" s="15" t="str">
        <f>IFERROR(__xludf.DUMMYFUNCTION("""COMPUTED_VALUE"""),"CALI")</f>
        <v>CALI</v>
      </c>
      <c r="E3201" s="15" t="str">
        <f>IFERROR(__xludf.DUMMYFUNCTION("""COMPUTED_VALUE"""),"Natalia Carreño")</f>
        <v>Natalia Carreño</v>
      </c>
      <c r="F3201" s="17" t="str">
        <f>IFERROR(__xludf.DUMMYFUNCTION("""COMPUTED_VALUE"""),"Carrera 27 #70-83 / Casa  / Barrio Los Alcazares")</f>
        <v>Carrera 27 #70-83 / Casa  / Barrio Los Alcazares</v>
      </c>
      <c r="G3201" s="15" t="str">
        <f>IFERROR(__xludf.DUMMYFUNCTION("""COMPUTED_VALUE"""),"Natalia Carreño")</f>
        <v>Natalia Carreño</v>
      </c>
      <c r="H3201" s="16">
        <f>IFERROR(__xludf.DUMMYFUNCTION("""COMPUTED_VALUE"""),11778.0)</f>
        <v>11778</v>
      </c>
      <c r="I3201" s="18">
        <f>IFERROR(__xludf.DUMMYFUNCTION("""COMPUTED_VALUE"""),30.0)</f>
        <v>30</v>
      </c>
      <c r="J3201" s="18">
        <f>IFERROR(__xludf.DUMMYFUNCTION("""COMPUTED_VALUE"""),40.0)</f>
        <v>40</v>
      </c>
      <c r="K3201" s="18">
        <f>IFERROR(__xludf.DUMMYFUNCTION("""COMPUTED_VALUE"""),60.0)</f>
        <v>60</v>
      </c>
      <c r="L3201" s="17">
        <f>IFERROR(__xludf.DUMMYFUNCTION("""COMPUTED_VALUE"""),3.11561131E9)</f>
        <v>3115611310</v>
      </c>
      <c r="M3201" s="17" t="str">
        <f>IFERROR(__xludf.DUMMYFUNCTION("""COMPUTED_VALUE"""),"#REF!")</f>
        <v>#REF!</v>
      </c>
      <c r="N3201" s="17"/>
      <c r="O3201" s="17"/>
      <c r="P3201" s="17" t="b">
        <f>IFERROR(__xludf.DUMMYFUNCTION("""COMPUTED_VALUE"""),FALSE)</f>
        <v>0</v>
      </c>
      <c r="Q3201" s="20" t="str">
        <f>IFERROR(__xludf.DUMMYFUNCTION("""COMPUTED_VALUE"""),"")</f>
        <v/>
      </c>
      <c r="R3201" s="21" t="str">
        <f>IFERROR(__xludf.DUMMYFUNCTION("""COMPUTED_VALUE"""),"https://drive.google.com/file/d/1S2iylk4_ldZQzCogXgHlQAMEX0cOtgvL/view?usp=drivesdk")</f>
        <v>https://drive.google.com/file/d/1S2iylk4_ldZQzCogXgHlQAMEX0cOtgvL/view?usp=drivesdk</v>
      </c>
    </row>
    <row r="3202">
      <c r="A3202" s="15">
        <f>IFERROR(__xludf.DUMMYFUNCTION("""COMPUTED_VALUE"""),45093.0)</f>
        <v>45093</v>
      </c>
      <c r="B3202" s="16" t="str">
        <f>IFERROR(__xludf.DUMMYFUNCTION("""COMPUTED_VALUE"""),"Jeison Rubiano")</f>
        <v>Jeison Rubiano</v>
      </c>
      <c r="C3202" s="15" t="str">
        <f>IFERROR(__xludf.DUMMYFUNCTION("""COMPUTED_VALUE"""),"BOGOTÁ")</f>
        <v>BOGOTÁ</v>
      </c>
      <c r="D3202" s="15" t="str">
        <f>IFERROR(__xludf.DUMMYFUNCTION("""COMPUTED_VALUE"""),"MEDELLÍN")</f>
        <v>MEDELLÍN</v>
      </c>
      <c r="E3202" s="15" t="str">
        <f>IFERROR(__xludf.DUMMYFUNCTION("""COMPUTED_VALUE"""),"AREPAS LA MARY")</f>
        <v>AREPAS LA MARY</v>
      </c>
      <c r="F3202" s="17" t="str">
        <f>IFERROR(__xludf.DUMMYFUNCTION("""COMPUTED_VALUE"""),"CALLE 136 # 16A-49 APTO 103")</f>
        <v>CALLE 136 # 16A-49 APTO 103</v>
      </c>
      <c r="G3202" s="15" t="str">
        <f>IFERROR(__xludf.DUMMYFUNCTION("""COMPUTED_VALUE"""),"LUIS AYRAN GONZALES")</f>
        <v>LUIS AYRAN GONZALES</v>
      </c>
      <c r="H3202" s="16">
        <f>IFERROR(__xludf.DUMMYFUNCTION("""COMPUTED_VALUE"""),11712.0)</f>
        <v>11712</v>
      </c>
      <c r="I3202" s="18">
        <f>IFERROR(__xludf.DUMMYFUNCTION("""COMPUTED_VALUE"""),89.0)</f>
        <v>89</v>
      </c>
      <c r="J3202" s="18">
        <f>IFERROR(__xludf.DUMMYFUNCTION("""COMPUTED_VALUE"""),1.0)</f>
        <v>1</v>
      </c>
      <c r="K3202" s="18">
        <f>IFERROR(__xludf.DUMMYFUNCTION("""COMPUTED_VALUE"""),10.0)</f>
        <v>10</v>
      </c>
      <c r="L3202" s="17">
        <f>IFERROR(__xludf.DUMMYFUNCTION("""COMPUTED_VALUE"""),3.115696795E9)</f>
        <v>3115696795</v>
      </c>
      <c r="M3202" s="17" t="str">
        <f>IFERROR(__xludf.DUMMYFUNCTION("""COMPUTED_VALUE"""),"#REF!")</f>
        <v>#REF!</v>
      </c>
      <c r="N3202" s="17"/>
      <c r="O3202" s="17"/>
      <c r="P3202" s="17" t="b">
        <f>IFERROR(__xludf.DUMMYFUNCTION("""COMPUTED_VALUE"""),FALSE)</f>
        <v>0</v>
      </c>
      <c r="Q3202" s="20" t="str">
        <f>IFERROR(__xludf.DUMMYFUNCTION("""COMPUTED_VALUE"""),"")</f>
        <v/>
      </c>
      <c r="R3202" s="21" t="str">
        <f>IFERROR(__xludf.DUMMYFUNCTION("""COMPUTED_VALUE"""),"https://drive.google.com/file/d/1o09JgW1u1IrEjDwaED0kS0yXG2kr5vhU/view?usp=drivesdk")</f>
        <v>https://drive.google.com/file/d/1o09JgW1u1IrEjDwaED0kS0yXG2kr5vhU/view?usp=drivesdk</v>
      </c>
    </row>
    <row r="3203">
      <c r="A3203" s="15">
        <f>IFERROR(__xludf.DUMMYFUNCTION("""COMPUTED_VALUE"""),45093.0)</f>
        <v>45093</v>
      </c>
      <c r="B3203" s="16" t="str">
        <f>IFERROR(__xludf.DUMMYFUNCTION("""COMPUTED_VALUE"""),"Jeison Rubiano")</f>
        <v>Jeison Rubiano</v>
      </c>
      <c r="C3203" s="15" t="str">
        <f>IFERROR(__xludf.DUMMYFUNCTION("""COMPUTED_VALUE"""),"BOGOTÁ")</f>
        <v>BOGOTÁ</v>
      </c>
      <c r="D3203" s="15" t="str">
        <f>IFERROR(__xludf.DUMMYFUNCTION("""COMPUTED_VALUE"""),"MEDELLÍN")</f>
        <v>MEDELLÍN</v>
      </c>
      <c r="E3203" s="15" t="str">
        <f>IFERROR(__xludf.DUMMYFUNCTION("""COMPUTED_VALUE"""),"AREPAS LA MARY")</f>
        <v>AREPAS LA MARY</v>
      </c>
      <c r="F3203" s="17" t="str">
        <f>IFERROR(__xludf.DUMMYFUNCTION("""COMPUTED_VALUE"""),"CALLE 45A # 53-56")</f>
        <v>CALLE 45A # 53-56</v>
      </c>
      <c r="G3203" s="15" t="str">
        <f>IFERROR(__xludf.DUMMYFUNCTION("""COMPUTED_VALUE"""),"JOHANNA GOMEZ")</f>
        <v>JOHANNA GOMEZ</v>
      </c>
      <c r="H3203" s="16">
        <f>IFERROR(__xludf.DUMMYFUNCTION("""COMPUTED_VALUE"""),11786.0)</f>
        <v>11786</v>
      </c>
      <c r="I3203" s="18">
        <f>IFERROR(__xludf.DUMMYFUNCTION("""COMPUTED_VALUE"""),89.0)</f>
        <v>89</v>
      </c>
      <c r="J3203" s="18">
        <f>IFERROR(__xludf.DUMMYFUNCTION("""COMPUTED_VALUE"""),1.0)</f>
        <v>1</v>
      </c>
      <c r="K3203" s="18">
        <f>IFERROR(__xludf.DUMMYFUNCTION("""COMPUTED_VALUE"""),10.0)</f>
        <v>10</v>
      </c>
      <c r="L3203" s="17">
        <f>IFERROR(__xludf.DUMMYFUNCTION("""COMPUTED_VALUE"""),3.16829499E9)</f>
        <v>3168294990</v>
      </c>
      <c r="M3203" s="17" t="str">
        <f>IFERROR(__xludf.DUMMYFUNCTION("""COMPUTED_VALUE"""),"#REF!")</f>
        <v>#REF!</v>
      </c>
      <c r="N3203" s="17"/>
      <c r="O3203" s="17"/>
      <c r="P3203" s="17" t="b">
        <f>IFERROR(__xludf.DUMMYFUNCTION("""COMPUTED_VALUE"""),FALSE)</f>
        <v>0</v>
      </c>
      <c r="Q3203" s="20" t="str">
        <f>IFERROR(__xludf.DUMMYFUNCTION("""COMPUTED_VALUE"""),"")</f>
        <v/>
      </c>
      <c r="R3203" s="21" t="str">
        <f>IFERROR(__xludf.DUMMYFUNCTION("""COMPUTED_VALUE"""),"https://drive.google.com/file/d/1qgNZ_zkSWLV3ZsQl5R2QNWI44yvUs6PF/view?usp=drivesdk")</f>
        <v>https://drive.google.com/file/d/1qgNZ_zkSWLV3ZsQl5R2QNWI44yvUs6PF/view?usp=drivesdk</v>
      </c>
    </row>
    <row r="3204">
      <c r="A3204" s="15">
        <f>IFERROR(__xludf.DUMMYFUNCTION("""COMPUTED_VALUE"""),45093.0)</f>
        <v>45093</v>
      </c>
      <c r="B3204" s="16" t="str">
        <f>IFERROR(__xludf.DUMMYFUNCTION("""COMPUTED_VALUE"""),"Jeison Rubiano")</f>
        <v>Jeison Rubiano</v>
      </c>
      <c r="C3204" s="15" t="str">
        <f>IFERROR(__xludf.DUMMYFUNCTION("""COMPUTED_VALUE"""),"BOGOTÁ")</f>
        <v>BOGOTÁ</v>
      </c>
      <c r="D3204" s="15" t="str">
        <f>IFERROR(__xludf.DUMMYFUNCTION("""COMPUTED_VALUE"""),"MEDELLÍN")</f>
        <v>MEDELLÍN</v>
      </c>
      <c r="E3204" s="15" t="str">
        <f>IFERROR(__xludf.DUMMYFUNCTION("""COMPUTED_VALUE"""),"AREPAS LA MARY")</f>
        <v>AREPAS LA MARY</v>
      </c>
      <c r="F3204" s="17" t="str">
        <f>IFERROR(__xludf.DUMMYFUNCTION("""COMPUTED_VALUE"""),"Carrera 72 23  24 int 8 apt 102 Manz B1 / CARLOS LLERAS")</f>
        <v>Carrera 72 23  24 int 8 apt 102 Manz B1 / CARLOS LLERAS</v>
      </c>
      <c r="G3204" s="15" t="str">
        <f>IFERROR(__xludf.DUMMYFUNCTION("""COMPUTED_VALUE"""),"CLAUDIA RODRIGUEZ")</f>
        <v>CLAUDIA RODRIGUEZ</v>
      </c>
      <c r="H3204" s="16">
        <f>IFERROR(__xludf.DUMMYFUNCTION("""COMPUTED_VALUE"""),11787.0)</f>
        <v>11787</v>
      </c>
      <c r="I3204" s="18">
        <f>IFERROR(__xludf.DUMMYFUNCTION("""COMPUTED_VALUE"""),89.0)</f>
        <v>89</v>
      </c>
      <c r="J3204" s="18">
        <f>IFERROR(__xludf.DUMMYFUNCTION("""COMPUTED_VALUE"""),1.0)</f>
        <v>1</v>
      </c>
      <c r="K3204" s="18">
        <f>IFERROR(__xludf.DUMMYFUNCTION("""COMPUTED_VALUE"""),10.0)</f>
        <v>10</v>
      </c>
      <c r="L3204" s="17">
        <f>IFERROR(__xludf.DUMMYFUNCTION("""COMPUTED_VALUE"""),3.007382248E9)</f>
        <v>3007382248</v>
      </c>
      <c r="M3204" s="17" t="str">
        <f>IFERROR(__xludf.DUMMYFUNCTION("""COMPUTED_VALUE"""),"#REF!")</f>
        <v>#REF!</v>
      </c>
      <c r="N3204" s="17"/>
      <c r="O3204" s="17"/>
      <c r="P3204" s="17" t="b">
        <f>IFERROR(__xludf.DUMMYFUNCTION("""COMPUTED_VALUE"""),FALSE)</f>
        <v>0</v>
      </c>
      <c r="Q3204" s="20" t="str">
        <f>IFERROR(__xludf.DUMMYFUNCTION("""COMPUTED_VALUE"""),"")</f>
        <v/>
      </c>
      <c r="R3204" s="21" t="str">
        <f>IFERROR(__xludf.DUMMYFUNCTION("""COMPUTED_VALUE"""),"https://drive.google.com/file/d/1yyjyEPhrPdClVcaJCcYckwg1WH3KoSuR/view?usp=drivesdk")</f>
        <v>https://drive.google.com/file/d/1yyjyEPhrPdClVcaJCcYckwg1WH3KoSuR/view?usp=drivesdk</v>
      </c>
    </row>
    <row r="3205">
      <c r="A3205" s="15">
        <f>IFERROR(__xludf.DUMMYFUNCTION("""COMPUTED_VALUE"""),45093.0)</f>
        <v>45093</v>
      </c>
      <c r="B3205" s="16" t="str">
        <f>IFERROR(__xludf.DUMMYFUNCTION("""COMPUTED_VALUE"""),"Jeison Rubiano")</f>
        <v>Jeison Rubiano</v>
      </c>
      <c r="C3205" s="15" t="str">
        <f>IFERROR(__xludf.DUMMYFUNCTION("""COMPUTED_VALUE"""),"BOGOTÁ")</f>
        <v>BOGOTÁ</v>
      </c>
      <c r="D3205" s="15" t="str">
        <f>IFERROR(__xludf.DUMMYFUNCTION("""COMPUTED_VALUE"""),"MEDELLÍN")</f>
        <v>MEDELLÍN</v>
      </c>
      <c r="E3205" s="15" t="str">
        <f>IFERROR(__xludf.DUMMYFUNCTION("""COMPUTED_VALUE"""),"AREPAS LA MARY")</f>
        <v>AREPAS LA MARY</v>
      </c>
      <c r="F3205" s="17" t="str">
        <f>IFERROR(__xludf.DUMMYFUNCTION("""COMPUTED_VALUE"""),"CRA 13 # 93-13 LOCAL 103 / LOCAL 103")</f>
        <v>CRA 13 # 93-13 LOCAL 103 / LOCAL 103</v>
      </c>
      <c r="G3205" s="15" t="str">
        <f>IFERROR(__xludf.DUMMYFUNCTION("""COMPUTED_VALUE"""),"HEALING FOODS")</f>
        <v>HEALING FOODS</v>
      </c>
      <c r="H3205" s="16">
        <f>IFERROR(__xludf.DUMMYFUNCTION("""COMPUTED_VALUE"""),11713.0)</f>
        <v>11713</v>
      </c>
      <c r="I3205" s="18">
        <f>IFERROR(__xludf.DUMMYFUNCTION("""COMPUTED_VALUE"""),89.0)</f>
        <v>89</v>
      </c>
      <c r="J3205" s="18">
        <f>IFERROR(__xludf.DUMMYFUNCTION("""COMPUTED_VALUE"""),1.0)</f>
        <v>1</v>
      </c>
      <c r="K3205" s="18">
        <f>IFERROR(__xludf.DUMMYFUNCTION("""COMPUTED_VALUE"""),10.0)</f>
        <v>10</v>
      </c>
      <c r="L3205" s="17">
        <f>IFERROR(__xludf.DUMMYFUNCTION("""COMPUTED_VALUE"""),3.142647408E9)</f>
        <v>3142647408</v>
      </c>
      <c r="M3205" s="17" t="str">
        <f>IFERROR(__xludf.DUMMYFUNCTION("""COMPUTED_VALUE"""),"#REF!")</f>
        <v>#REF!</v>
      </c>
      <c r="N3205" s="17"/>
      <c r="O3205" s="17"/>
      <c r="P3205" s="17" t="b">
        <f>IFERROR(__xludf.DUMMYFUNCTION("""COMPUTED_VALUE"""),FALSE)</f>
        <v>0</v>
      </c>
      <c r="Q3205" s="20" t="str">
        <f>IFERROR(__xludf.DUMMYFUNCTION("""COMPUTED_VALUE"""),"")</f>
        <v/>
      </c>
      <c r="R3205" s="21" t="str">
        <f>IFERROR(__xludf.DUMMYFUNCTION("""COMPUTED_VALUE"""),"https://drive.google.com/file/d/1u1GZ-9MTeApVelMo2TfC_30acXb3U88n/view?usp=drivesdk")</f>
        <v>https://drive.google.com/file/d/1u1GZ-9MTeApVelMo2TfC_30acXb3U88n/view?usp=drivesdk</v>
      </c>
    </row>
    <row r="3206">
      <c r="A3206" s="15">
        <f>IFERROR(__xludf.DUMMYFUNCTION("""COMPUTED_VALUE"""),45093.0)</f>
        <v>45093</v>
      </c>
      <c r="B3206" s="16" t="str">
        <f>IFERROR(__xludf.DUMMYFUNCTION("""COMPUTED_VALUE"""),"Jeison Rubiano")</f>
        <v>Jeison Rubiano</v>
      </c>
      <c r="C3206" s="15" t="str">
        <f>IFERROR(__xludf.DUMMYFUNCTION("""COMPUTED_VALUE"""),"BOGOTÁ")</f>
        <v>BOGOTÁ</v>
      </c>
      <c r="D3206" s="15" t="str">
        <f>IFERROR(__xludf.DUMMYFUNCTION("""COMPUTED_VALUE"""),"MEDELLÍN")</f>
        <v>MEDELLÍN</v>
      </c>
      <c r="E3206" s="15" t="str">
        <f>IFERROR(__xludf.DUMMYFUNCTION("""COMPUTED_VALUE"""),"Baby Chef")</f>
        <v>Baby Chef</v>
      </c>
      <c r="F3206" s="17" t="str">
        <f>IFERROR(__xludf.DUMMYFUNCTION("""COMPUTED_VALUE"""),"Calle 31 #13a-51 t1 apto 1608 Centro Internacional, Bogota  Edificio Panorama / Calle 31 #13a-51 t1 apto 1608 Centro Internacional, Bogota  Edificio Panorama / Calle 31 #13a-51 t1 apto 1608 Centro Internacional, Bogota  Edificio Panorama")</f>
        <v>Calle 31 #13a-51 t1 apto 1608 Centro Internacional, Bogota  Edificio Panorama / Calle 31 #13a-51 t1 apto 1608 Centro Internacional, Bogota  Edificio Panorama / Calle 31 #13a-51 t1 apto 1608 Centro Internacional, Bogota  Edificio Panorama</v>
      </c>
      <c r="G3206" s="15" t="str">
        <f>IFERROR(__xludf.DUMMYFUNCTION("""COMPUTED_VALUE"""),"Maria Breton")</f>
        <v>Maria Breton</v>
      </c>
      <c r="H3206" s="16">
        <f>IFERROR(__xludf.DUMMYFUNCTION("""COMPUTED_VALUE"""),11792.0)</f>
        <v>11792</v>
      </c>
      <c r="I3206" s="18">
        <f>IFERROR(__xludf.DUMMYFUNCTION("""COMPUTED_VALUE"""),8.0)</f>
        <v>8</v>
      </c>
      <c r="J3206" s="18">
        <f>IFERROR(__xludf.DUMMYFUNCTION("""COMPUTED_VALUE"""),16.0)</f>
        <v>16</v>
      </c>
      <c r="K3206" s="18">
        <f>IFERROR(__xludf.DUMMYFUNCTION("""COMPUTED_VALUE"""),20.0)</f>
        <v>20</v>
      </c>
      <c r="L3206" s="17">
        <f>IFERROR(__xludf.DUMMYFUNCTION("""COMPUTED_VALUE"""),3.116301963E9)</f>
        <v>3116301963</v>
      </c>
      <c r="M3206" s="17" t="str">
        <f>IFERROR(__xludf.DUMMYFUNCTION("""COMPUTED_VALUE"""),"#REF!")</f>
        <v>#REF!</v>
      </c>
      <c r="N3206" s="17"/>
      <c r="O3206" s="17"/>
      <c r="P3206" s="17" t="b">
        <f>IFERROR(__xludf.DUMMYFUNCTION("""COMPUTED_VALUE"""),FALSE)</f>
        <v>0</v>
      </c>
      <c r="Q3206" s="20" t="str">
        <f>IFERROR(__xludf.DUMMYFUNCTION("""COMPUTED_VALUE"""),"")</f>
        <v/>
      </c>
      <c r="R3206" s="21" t="str">
        <f>IFERROR(__xludf.DUMMYFUNCTION("""COMPUTED_VALUE"""),"https://drive.google.com/file/d/1e5kSNDqExPD3DIo5W0MnHy5wW7mZzhGK/view?usp=drivesdk")</f>
        <v>https://drive.google.com/file/d/1e5kSNDqExPD3DIo5W0MnHy5wW7mZzhGK/view?usp=drivesdk</v>
      </c>
    </row>
    <row r="3207">
      <c r="A3207" s="15">
        <f>IFERROR(__xludf.DUMMYFUNCTION("""COMPUTED_VALUE"""),45093.0)</f>
        <v>45093</v>
      </c>
      <c r="B3207" s="16" t="str">
        <f>IFERROR(__xludf.DUMMYFUNCTION("""COMPUTED_VALUE"""),"Jeison Rubiano")</f>
        <v>Jeison Rubiano</v>
      </c>
      <c r="C3207" s="15" t="str">
        <f>IFERROR(__xludf.DUMMYFUNCTION("""COMPUTED_VALUE"""),"BOGOTÁ")</f>
        <v>BOGOTÁ</v>
      </c>
      <c r="D3207" s="15" t="str">
        <f>IFERROR(__xludf.DUMMYFUNCTION("""COMPUTED_VALUE"""),"MEDELLÍN")</f>
        <v>MEDELLÍN</v>
      </c>
      <c r="E3207" s="15" t="str">
        <f>IFERROR(__xludf.DUMMYFUNCTION("""COMPUTED_VALUE"""),"Baby Chef")</f>
        <v>Baby Chef</v>
      </c>
      <c r="F3207" s="17" t="str">
        <f>IFERROR(__xludf.DUMMYFUNCTION("""COMPUTED_VALUE"""),"Calle 44d #45-86  Barrio Rafael Nuñez. Conjunto Entre Parques / Calle 44d #45-86  Barrio Rafael Nuñez. Conjunto Entre Parques / Calle 44d #45-86  Barrio Rafael Nuñez. Conjunto Entre Parques")</f>
        <v>Calle 44d #45-86  Barrio Rafael Nuñez. Conjunto Entre Parques / Calle 44d #45-86  Barrio Rafael Nuñez. Conjunto Entre Parques / Calle 44d #45-86  Barrio Rafael Nuñez. Conjunto Entre Parques</v>
      </c>
      <c r="G3207" s="15" t="str">
        <f>IFERROR(__xludf.DUMMYFUNCTION("""COMPUTED_VALUE"""),"Luz Natalia Merchan Suarez")</f>
        <v>Luz Natalia Merchan Suarez</v>
      </c>
      <c r="H3207" s="16">
        <f>IFERROR(__xludf.DUMMYFUNCTION("""COMPUTED_VALUE"""),11791.0)</f>
        <v>11791</v>
      </c>
      <c r="I3207" s="18">
        <f>IFERROR(__xludf.DUMMYFUNCTION("""COMPUTED_VALUE"""),8.0)</f>
        <v>8</v>
      </c>
      <c r="J3207" s="18">
        <f>IFERROR(__xludf.DUMMYFUNCTION("""COMPUTED_VALUE"""),16.0)</f>
        <v>16</v>
      </c>
      <c r="K3207" s="18">
        <f>IFERROR(__xludf.DUMMYFUNCTION("""COMPUTED_VALUE"""),20.0)</f>
        <v>20</v>
      </c>
      <c r="L3207" s="17">
        <f>IFERROR(__xludf.DUMMYFUNCTION("""COMPUTED_VALUE"""),3.002114989E9)</f>
        <v>3002114989</v>
      </c>
      <c r="M3207" s="17" t="str">
        <f>IFERROR(__xludf.DUMMYFUNCTION("""COMPUTED_VALUE"""),"#REF!")</f>
        <v>#REF!</v>
      </c>
      <c r="N3207" s="17"/>
      <c r="O3207" s="17"/>
      <c r="P3207" s="17" t="b">
        <f>IFERROR(__xludf.DUMMYFUNCTION("""COMPUTED_VALUE"""),FALSE)</f>
        <v>0</v>
      </c>
      <c r="Q3207" s="20" t="str">
        <f>IFERROR(__xludf.DUMMYFUNCTION("""COMPUTED_VALUE"""),"")</f>
        <v/>
      </c>
      <c r="R3207" s="21" t="str">
        <f>IFERROR(__xludf.DUMMYFUNCTION("""COMPUTED_VALUE"""),"https://drive.google.com/file/d/1wO5ICK8apXkbDTMRpK7t7TntFJUTNpIr/view?usp=drivesdk")</f>
        <v>https://drive.google.com/file/d/1wO5ICK8apXkbDTMRpK7t7TntFJUTNpIr/view?usp=drivesdk</v>
      </c>
    </row>
    <row r="3208">
      <c r="A3208" s="15">
        <f>IFERROR(__xludf.DUMMYFUNCTION("""COMPUTED_VALUE"""),45093.0)</f>
        <v>45093</v>
      </c>
      <c r="B3208" s="16" t="str">
        <f>IFERROR(__xludf.DUMMYFUNCTION("""COMPUTED_VALUE"""),"Jeison Rubiano")</f>
        <v>Jeison Rubiano</v>
      </c>
      <c r="C3208" s="15" t="str">
        <f>IFERROR(__xludf.DUMMYFUNCTION("""COMPUTED_VALUE"""),"BOGOTÁ")</f>
        <v>BOGOTÁ</v>
      </c>
      <c r="D3208" s="15" t="str">
        <f>IFERROR(__xludf.DUMMYFUNCTION("""COMPUTED_VALUE"""),"MEDELLÍN")</f>
        <v>MEDELLÍN</v>
      </c>
      <c r="E3208" s="15" t="str">
        <f>IFERROR(__xludf.DUMMYFUNCTION("""COMPUTED_VALUE"""),"Baby Chef")</f>
        <v>Baby Chef</v>
      </c>
      <c r="F3208" s="17" t="str">
        <f>IFERROR(__xludf.DUMMYFUNCTION("""COMPUTED_VALUE"""),"Carrera 17 No. 96-61. Edificio Loretto 96, apto 403 / Carrera 17 No. 96-61. Edificio Loretto 96, apto 403 / Carrera 17 No. 96-61. Edificio Loretto 96, apto 403")</f>
        <v>Carrera 17 No. 96-61. Edificio Loretto 96, apto 403 / Carrera 17 No. 96-61. Edificio Loretto 96, apto 403 / Carrera 17 No. 96-61. Edificio Loretto 96, apto 403</v>
      </c>
      <c r="G3208" s="15" t="str">
        <f>IFERROR(__xludf.DUMMYFUNCTION("""COMPUTED_VALUE"""),"Ana Karina Mendez Fernandez")</f>
        <v>Ana Karina Mendez Fernandez</v>
      </c>
      <c r="H3208" s="16">
        <f>IFERROR(__xludf.DUMMYFUNCTION("""COMPUTED_VALUE"""),11793.0)</f>
        <v>11793</v>
      </c>
      <c r="I3208" s="18">
        <f>IFERROR(__xludf.DUMMYFUNCTION("""COMPUTED_VALUE"""),8.0)</f>
        <v>8</v>
      </c>
      <c r="J3208" s="18">
        <f>IFERROR(__xludf.DUMMYFUNCTION("""COMPUTED_VALUE"""),16.0)</f>
        <v>16</v>
      </c>
      <c r="K3208" s="18">
        <f>IFERROR(__xludf.DUMMYFUNCTION("""COMPUTED_VALUE"""),20.0)</f>
        <v>20</v>
      </c>
      <c r="L3208" s="17">
        <f>IFERROR(__xludf.DUMMYFUNCTION("""COMPUTED_VALUE"""),3.165213452E9)</f>
        <v>3165213452</v>
      </c>
      <c r="M3208" s="17" t="str">
        <f>IFERROR(__xludf.DUMMYFUNCTION("""COMPUTED_VALUE"""),"#REF!")</f>
        <v>#REF!</v>
      </c>
      <c r="N3208" s="17"/>
      <c r="O3208" s="17"/>
      <c r="P3208" s="17" t="b">
        <f>IFERROR(__xludf.DUMMYFUNCTION("""COMPUTED_VALUE"""),FALSE)</f>
        <v>0</v>
      </c>
      <c r="Q3208" s="20" t="str">
        <f>IFERROR(__xludf.DUMMYFUNCTION("""COMPUTED_VALUE"""),"")</f>
        <v/>
      </c>
      <c r="R3208" s="21" t="str">
        <f>IFERROR(__xludf.DUMMYFUNCTION("""COMPUTED_VALUE"""),"https://drive.google.com/file/d/1WJzFiwtODTLifXXA0r-uTihSFUThfhrO/view?usp=drivesdk")</f>
        <v>https://drive.google.com/file/d/1WJzFiwtODTLifXXA0r-uTihSFUThfhrO/view?usp=drivesdk</v>
      </c>
    </row>
    <row r="3209">
      <c r="A3209" s="15">
        <f>IFERROR(__xludf.DUMMYFUNCTION("""COMPUTED_VALUE"""),45093.0)</f>
        <v>45093</v>
      </c>
      <c r="B3209" s="16" t="str">
        <f>IFERROR(__xludf.DUMMYFUNCTION("""COMPUTED_VALUE"""),"Jeison Rubiano")</f>
        <v>Jeison Rubiano</v>
      </c>
      <c r="C3209" s="15" t="str">
        <f>IFERROR(__xludf.DUMMYFUNCTION("""COMPUTED_VALUE"""),"BOGOTÁ")</f>
        <v>BOGOTÁ</v>
      </c>
      <c r="D3209" s="15" t="str">
        <f>IFERROR(__xludf.DUMMYFUNCTION("""COMPUTED_VALUE"""),"MEDELLÍN")</f>
        <v>MEDELLÍN</v>
      </c>
      <c r="E3209" s="15" t="str">
        <f>IFERROR(__xludf.DUMMYFUNCTION("""COMPUTED_VALUE"""),"Baby Chef")</f>
        <v>Baby Chef</v>
      </c>
      <c r="F3209" s="17" t="str">
        <f>IFERROR(__xludf.DUMMYFUNCTION("""COMPUTED_VALUE"""),"Carrera 21 114-20 Edificio Cerezo apto 101 / ""Carrera 21 114-20 Edificio Cerezo apto 101"" / ""Carrera 21 114-20 Edificio Cerezo apto 101""")</f>
        <v>Carrera 21 114-20 Edificio Cerezo apto 101 / "Carrera 21 114-20 Edificio Cerezo apto 101" / "Carrera 21 114-20 Edificio Cerezo apto 101"</v>
      </c>
      <c r="G3209" s="15" t="str">
        <f>IFERROR(__xludf.DUMMYFUNCTION("""COMPUTED_VALUE"""),"Laura Martinez")</f>
        <v>Laura Martinez</v>
      </c>
      <c r="H3209" s="16">
        <f>IFERROR(__xludf.DUMMYFUNCTION("""COMPUTED_VALUE"""),11789.0)</f>
        <v>11789</v>
      </c>
      <c r="I3209" s="18">
        <f>IFERROR(__xludf.DUMMYFUNCTION("""COMPUTED_VALUE"""),8.0)</f>
        <v>8</v>
      </c>
      <c r="J3209" s="18">
        <f>IFERROR(__xludf.DUMMYFUNCTION("""COMPUTED_VALUE"""),16.0)</f>
        <v>16</v>
      </c>
      <c r="K3209" s="18">
        <f>IFERROR(__xludf.DUMMYFUNCTION("""COMPUTED_VALUE"""),20.0)</f>
        <v>20</v>
      </c>
      <c r="L3209" s="17">
        <f>IFERROR(__xludf.DUMMYFUNCTION("""COMPUTED_VALUE"""),3.152629963E9)</f>
        <v>3152629963</v>
      </c>
      <c r="M3209" s="17" t="str">
        <f>IFERROR(__xludf.DUMMYFUNCTION("""COMPUTED_VALUE"""),"#REF!")</f>
        <v>#REF!</v>
      </c>
      <c r="N3209" s="17"/>
      <c r="O3209" s="17"/>
      <c r="P3209" s="17" t="b">
        <f>IFERROR(__xludf.DUMMYFUNCTION("""COMPUTED_VALUE"""),FALSE)</f>
        <v>0</v>
      </c>
      <c r="Q3209" s="20" t="str">
        <f>IFERROR(__xludf.DUMMYFUNCTION("""COMPUTED_VALUE"""),"")</f>
        <v/>
      </c>
      <c r="R3209" s="21" t="str">
        <f>IFERROR(__xludf.DUMMYFUNCTION("""COMPUTED_VALUE"""),"https://drive.google.com/file/d/1VD6IABvMEbAKUXR-3cpmTIbH9Pxu1wtM/view?usp=drivesdk")</f>
        <v>https://drive.google.com/file/d/1VD6IABvMEbAKUXR-3cpmTIbH9Pxu1wtM/view?usp=drivesdk</v>
      </c>
    </row>
    <row r="3210">
      <c r="A3210" s="15">
        <f>IFERROR(__xludf.DUMMYFUNCTION("""COMPUTED_VALUE"""),45093.0)</f>
        <v>45093</v>
      </c>
      <c r="B3210" s="16" t="str">
        <f>IFERROR(__xludf.DUMMYFUNCTION("""COMPUTED_VALUE"""),"Jeison Rubiano")</f>
        <v>Jeison Rubiano</v>
      </c>
      <c r="C3210" s="15" t="str">
        <f>IFERROR(__xludf.DUMMYFUNCTION("""COMPUTED_VALUE"""),"BOGOTÁ")</f>
        <v>BOGOTÁ</v>
      </c>
      <c r="D3210" s="15" t="str">
        <f>IFERROR(__xludf.DUMMYFUNCTION("""COMPUTED_VALUE"""),"MEDELLÍN")</f>
        <v>MEDELLÍN</v>
      </c>
      <c r="E3210" s="15" t="str">
        <f>IFERROR(__xludf.DUMMYFUNCTION("""COMPUTED_VALUE"""),"Baby Chef")</f>
        <v>Baby Chef</v>
      </c>
      <c r="F3210" s="17" t="str">
        <f>IFERROR(__xludf.DUMMYFUNCTION("""COMPUTED_VALUE"""),"Carrera 54 #18-30 sur milenta lV Interior 4 apto 202 / ""Carrera 54 #18-30 sur milenta lV Interior 4 apto 202"" / ""Carrera 54 #18-30 sur milenta lV Interior 4 apto 202""")</f>
        <v>Carrera 54 #18-30 sur milenta lV Interior 4 apto 202 / "Carrera 54 #18-30 sur milenta lV Interior 4 apto 202" / "Carrera 54 #18-30 sur milenta lV Interior 4 apto 202"</v>
      </c>
      <c r="G3210" s="15" t="str">
        <f>IFERROR(__xludf.DUMMYFUNCTION("""COMPUTED_VALUE"""),"Paula León")</f>
        <v>Paula León</v>
      </c>
      <c r="H3210" s="16">
        <f>IFERROR(__xludf.DUMMYFUNCTION("""COMPUTED_VALUE"""),11794.0)</f>
        <v>11794</v>
      </c>
      <c r="I3210" s="18">
        <f>IFERROR(__xludf.DUMMYFUNCTION("""COMPUTED_VALUE"""),8.0)</f>
        <v>8</v>
      </c>
      <c r="J3210" s="18">
        <f>IFERROR(__xludf.DUMMYFUNCTION("""COMPUTED_VALUE"""),16.0)</f>
        <v>16</v>
      </c>
      <c r="K3210" s="18">
        <f>IFERROR(__xludf.DUMMYFUNCTION("""COMPUTED_VALUE"""),20.0)</f>
        <v>20</v>
      </c>
      <c r="L3210" s="17">
        <f>IFERROR(__xludf.DUMMYFUNCTION("""COMPUTED_VALUE"""),3.108888961E9)</f>
        <v>3108888961</v>
      </c>
      <c r="M3210" s="17" t="str">
        <f>IFERROR(__xludf.DUMMYFUNCTION("""COMPUTED_VALUE"""),"#REF!")</f>
        <v>#REF!</v>
      </c>
      <c r="N3210" s="17"/>
      <c r="O3210" s="17"/>
      <c r="P3210" s="17" t="b">
        <f>IFERROR(__xludf.DUMMYFUNCTION("""COMPUTED_VALUE"""),FALSE)</f>
        <v>0</v>
      </c>
      <c r="Q3210" s="20" t="str">
        <f>IFERROR(__xludf.DUMMYFUNCTION("""COMPUTED_VALUE"""),"")</f>
        <v/>
      </c>
      <c r="R3210" s="21" t="str">
        <f>IFERROR(__xludf.DUMMYFUNCTION("""COMPUTED_VALUE"""),"https://drive.google.com/file/d/1Y3gZPrfainbyVXNkmRdbb3gUCQegWaM5/view?usp=drivesdk")</f>
        <v>https://drive.google.com/file/d/1Y3gZPrfainbyVXNkmRdbb3gUCQegWaM5/view?usp=drivesdk</v>
      </c>
    </row>
    <row r="3211">
      <c r="A3211" s="15">
        <f>IFERROR(__xludf.DUMMYFUNCTION("""COMPUTED_VALUE"""),45093.0)</f>
        <v>45093</v>
      </c>
      <c r="B3211" s="16" t="str">
        <f>IFERROR(__xludf.DUMMYFUNCTION("""COMPUTED_VALUE"""),"Jeison Rubiano")</f>
        <v>Jeison Rubiano</v>
      </c>
      <c r="C3211" s="15" t="str">
        <f>IFERROR(__xludf.DUMMYFUNCTION("""COMPUTED_VALUE"""),"BOGOTÁ")</f>
        <v>BOGOTÁ</v>
      </c>
      <c r="D3211" s="15" t="str">
        <f>IFERROR(__xludf.DUMMYFUNCTION("""COMPUTED_VALUE"""),"MEDELLÍN")</f>
        <v>MEDELLÍN</v>
      </c>
      <c r="E3211" s="15" t="str">
        <f>IFERROR(__xludf.DUMMYFUNCTION("""COMPUTED_VALUE"""),"Lácteos El Pino SAS")</f>
        <v>Lácteos El Pino SAS</v>
      </c>
      <c r="F3211" s="17" t="str">
        <f>IFERROR(__xludf.DUMMYFUNCTION("""COMPUTED_VALUE"""),"CALLE 59 # 58 - 17 INTERIOR 23 APTO 502 / ENTREGAR EN APARTAMENTO")</f>
        <v>CALLE 59 # 58 - 17 INTERIOR 23 APTO 502 / ENTREGAR EN APARTAMENTO</v>
      </c>
      <c r="G3211" s="15" t="str">
        <f>IFERROR(__xludf.DUMMYFUNCTION("""COMPUTED_VALUE"""),"JUANITA ROJAS")</f>
        <v>JUANITA ROJAS</v>
      </c>
      <c r="H3211" s="16">
        <f>IFERROR(__xludf.DUMMYFUNCTION("""COMPUTED_VALUE"""),11760.0)</f>
        <v>11760</v>
      </c>
      <c r="I3211" s="18">
        <f>IFERROR(__xludf.DUMMYFUNCTION("""COMPUTED_VALUE"""),30.0)</f>
        <v>30</v>
      </c>
      <c r="J3211" s="18">
        <f>IFERROR(__xludf.DUMMYFUNCTION("""COMPUTED_VALUE"""),8.0)</f>
        <v>8</v>
      </c>
      <c r="K3211" s="18">
        <f>IFERROR(__xludf.DUMMYFUNCTION("""COMPUTED_VALUE"""),9.0)</f>
        <v>9</v>
      </c>
      <c r="L3211" s="17"/>
      <c r="M3211" s="17" t="str">
        <f>IFERROR(__xludf.DUMMYFUNCTION("""COMPUTED_VALUE"""),"#REF!")</f>
        <v>#REF!</v>
      </c>
      <c r="N3211" s="17"/>
      <c r="O3211" s="17"/>
      <c r="P3211" s="17" t="b">
        <f>IFERROR(__xludf.DUMMYFUNCTION("""COMPUTED_VALUE"""),FALSE)</f>
        <v>0</v>
      </c>
      <c r="Q3211" s="20" t="str">
        <f>IFERROR(__xludf.DUMMYFUNCTION("""COMPUTED_VALUE"""),"")</f>
        <v/>
      </c>
      <c r="R3211" s="21" t="str">
        <f>IFERROR(__xludf.DUMMYFUNCTION("""COMPUTED_VALUE"""),"https://drive.google.com/file/d/1OGRX8BNeDbChKxtZcIWwADRLVNMYbekK/view?usp=drivesdk")</f>
        <v>https://drive.google.com/file/d/1OGRX8BNeDbChKxtZcIWwADRLVNMYbekK/view?usp=drivesdk</v>
      </c>
    </row>
    <row r="3212">
      <c r="A3212" s="15">
        <f>IFERROR(__xludf.DUMMYFUNCTION("""COMPUTED_VALUE"""),45093.0)</f>
        <v>45093</v>
      </c>
      <c r="B3212" s="16" t="str">
        <f>IFERROR(__xludf.DUMMYFUNCTION("""COMPUTED_VALUE"""),"Jeison Rubiano")</f>
        <v>Jeison Rubiano</v>
      </c>
      <c r="C3212" s="15" t="str">
        <f>IFERROR(__xludf.DUMMYFUNCTION("""COMPUTED_VALUE"""),"BOGOTÁ")</f>
        <v>BOGOTÁ</v>
      </c>
      <c r="D3212" s="15" t="str">
        <f>IFERROR(__xludf.DUMMYFUNCTION("""COMPUTED_VALUE"""),"MEDELLÍN")</f>
        <v>MEDELLÍN</v>
      </c>
      <c r="E3212" s="15" t="str">
        <f>IFERROR(__xludf.DUMMYFUNCTION("""COMPUTED_VALUE"""),"Magda")</f>
        <v>Magda</v>
      </c>
      <c r="F3212" s="17" t="str">
        <f>IFERROR(__xludf.DUMMYFUNCTION("""COMPUTED_VALUE"""),"Calle 71a # 14a22/26 / cocina oculta  / San felipe")</f>
        <v>Calle 71a # 14a22/26 / cocina oculta  / San felipe</v>
      </c>
      <c r="G3212" s="15" t="str">
        <f>IFERROR(__xludf.DUMMYFUNCTION("""COMPUTED_VALUE"""),"Andrez hernandez")</f>
        <v>Andrez hernandez</v>
      </c>
      <c r="H3212" s="16">
        <f>IFERROR(__xludf.DUMMYFUNCTION("""COMPUTED_VALUE"""),11757.0)</f>
        <v>11757</v>
      </c>
      <c r="I3212" s="18">
        <f>IFERROR(__xludf.DUMMYFUNCTION("""COMPUTED_VALUE"""),5.0)</f>
        <v>5</v>
      </c>
      <c r="J3212" s="18">
        <f>IFERROR(__xludf.DUMMYFUNCTION("""COMPUTED_VALUE"""),5.0)</f>
        <v>5</v>
      </c>
      <c r="K3212" s="18">
        <f>IFERROR(__xludf.DUMMYFUNCTION("""COMPUTED_VALUE"""),5.0)</f>
        <v>5</v>
      </c>
      <c r="L3212" s="17">
        <f>IFERROR(__xludf.DUMMYFUNCTION("""COMPUTED_VALUE"""),3.20414202E9)</f>
        <v>3204142020</v>
      </c>
      <c r="M3212" s="17" t="str">
        <f>IFERROR(__xludf.DUMMYFUNCTION("""COMPUTED_VALUE"""),"#REF!")</f>
        <v>#REF!</v>
      </c>
      <c r="N3212" s="17"/>
      <c r="O3212" s="17"/>
      <c r="P3212" s="17" t="b">
        <f>IFERROR(__xludf.DUMMYFUNCTION("""COMPUTED_VALUE"""),FALSE)</f>
        <v>0</v>
      </c>
      <c r="Q3212" s="20" t="str">
        <f>IFERROR(__xludf.DUMMYFUNCTION("""COMPUTED_VALUE"""),"")</f>
        <v/>
      </c>
      <c r="R3212" s="21" t="str">
        <f>IFERROR(__xludf.DUMMYFUNCTION("""COMPUTED_VALUE"""),"https://drive.google.com/file/d/1QaMDw7zasVfZeoYXccqEevgaVS8zlbCJ/view?usp=drivesdk")</f>
        <v>https://drive.google.com/file/d/1QaMDw7zasVfZeoYXccqEevgaVS8zlbCJ/view?usp=drivesdk</v>
      </c>
    </row>
    <row r="3213">
      <c r="A3213" s="15">
        <f>IFERROR(__xludf.DUMMYFUNCTION("""COMPUTED_VALUE"""),45093.0)</f>
        <v>45093</v>
      </c>
      <c r="B3213" s="16" t="str">
        <f>IFERROR(__xludf.DUMMYFUNCTION("""COMPUTED_VALUE"""),"Jeison Rubiano")</f>
        <v>Jeison Rubiano</v>
      </c>
      <c r="C3213" s="15" t="str">
        <f>IFERROR(__xludf.DUMMYFUNCTION("""COMPUTED_VALUE"""),"BOGOTÁ")</f>
        <v>BOGOTÁ</v>
      </c>
      <c r="D3213" s="15" t="str">
        <f>IFERROR(__xludf.DUMMYFUNCTION("""COMPUTED_VALUE"""),"MEDELLÍN")</f>
        <v>MEDELLÍN</v>
      </c>
      <c r="E3213" s="15" t="str">
        <f>IFERROR(__xludf.DUMMYFUNCTION("""COMPUTED_VALUE"""),"Masar Cocina")</f>
        <v>Masar Cocina</v>
      </c>
      <c r="F3213" s="17" t="str">
        <f>IFERROR(__xludf.DUMMYFUNCTION("""COMPUTED_VALUE"""),"Calle 152C # 72-87 Apto 503 Torre 7 Conjunto Barrio : El plan / Conjunto teca apt 503 torre 7 / Barrio el plan")</f>
        <v>Calle 152C # 72-87 Apto 503 Torre 7 Conjunto Barrio : El plan / Conjunto teca apt 503 torre 7 / Barrio el plan</v>
      </c>
      <c r="G3213" s="15" t="str">
        <f>IFERROR(__xludf.DUMMYFUNCTION("""COMPUTED_VALUE"""),"Maria juliana ramirez lemus")</f>
        <v>Maria juliana ramirez lemus</v>
      </c>
      <c r="H3213" s="16">
        <f>IFERROR(__xludf.DUMMYFUNCTION("""COMPUTED_VALUE"""),11764.0)</f>
        <v>11764</v>
      </c>
      <c r="I3213" s="18">
        <f>IFERROR(__xludf.DUMMYFUNCTION("""COMPUTED_VALUE"""),20.0)</f>
        <v>20</v>
      </c>
      <c r="J3213" s="18">
        <f>IFERROR(__xludf.DUMMYFUNCTION("""COMPUTED_VALUE"""),15.0)</f>
        <v>15</v>
      </c>
      <c r="K3213" s="18">
        <f>IFERROR(__xludf.DUMMYFUNCTION("""COMPUTED_VALUE"""),15.0)</f>
        <v>15</v>
      </c>
      <c r="L3213" s="17">
        <f>IFERROR(__xludf.DUMMYFUNCTION("""COMPUTED_VALUE"""),3.183904779E9)</f>
        <v>3183904779</v>
      </c>
      <c r="M3213" s="17" t="str">
        <f>IFERROR(__xludf.DUMMYFUNCTION("""COMPUTED_VALUE"""),"#REF!")</f>
        <v>#REF!</v>
      </c>
      <c r="N3213" s="17"/>
      <c r="O3213" s="17"/>
      <c r="P3213" s="17" t="b">
        <f>IFERROR(__xludf.DUMMYFUNCTION("""COMPUTED_VALUE"""),FALSE)</f>
        <v>0</v>
      </c>
      <c r="Q3213" s="20" t="str">
        <f>IFERROR(__xludf.DUMMYFUNCTION("""COMPUTED_VALUE"""),"")</f>
        <v/>
      </c>
      <c r="R3213" s="21" t="str">
        <f>IFERROR(__xludf.DUMMYFUNCTION("""COMPUTED_VALUE"""),"https://drive.google.com/file/d/1yD9SJBlTY8Gs_ncar2jYPs0885aKvHqI/view?usp=drivesdk")</f>
        <v>https://drive.google.com/file/d/1yD9SJBlTY8Gs_ncar2jYPs0885aKvHqI/view?usp=drivesdk</v>
      </c>
    </row>
    <row r="3214">
      <c r="A3214" s="15">
        <f>IFERROR(__xludf.DUMMYFUNCTION("""COMPUTED_VALUE"""),45093.0)</f>
        <v>45093</v>
      </c>
      <c r="B3214" s="16" t="str">
        <f>IFERROR(__xludf.DUMMYFUNCTION("""COMPUTED_VALUE"""),"Jeison Rubiano")</f>
        <v>Jeison Rubiano</v>
      </c>
      <c r="C3214" s="15" t="str">
        <f>IFERROR(__xludf.DUMMYFUNCTION("""COMPUTED_VALUE"""),"BOGOTÁ")</f>
        <v>BOGOTÁ</v>
      </c>
      <c r="D3214" s="15" t="str">
        <f>IFERROR(__xludf.DUMMYFUNCTION("""COMPUTED_VALUE"""),"MEDELLÍN")</f>
        <v>MEDELLÍN</v>
      </c>
      <c r="E3214" s="15" t="str">
        <f>IFERROR(__xludf.DUMMYFUNCTION("""COMPUTED_VALUE"""),"Masar Cocina")</f>
        <v>Masar Cocina</v>
      </c>
      <c r="F3214" s="17" t="str">
        <f>IFERROR(__xludf.DUMMYFUNCTION("""COMPUTED_VALUE"""),"Carrera 11a #98-50 farmatodo / Piso 3 farmatodo usaquen / Usaquen")</f>
        <v>Carrera 11a #98-50 farmatodo / Piso 3 farmatodo usaquen / Usaquen</v>
      </c>
      <c r="G3214" s="15" t="str">
        <f>IFERROR(__xludf.DUMMYFUNCTION("""COMPUTED_VALUE"""),"Daniel sepulveda pulido")</f>
        <v>Daniel sepulveda pulido</v>
      </c>
      <c r="H3214" s="16">
        <f>IFERROR(__xludf.DUMMYFUNCTION("""COMPUTED_VALUE"""),11765.0)</f>
        <v>11765</v>
      </c>
      <c r="I3214" s="18">
        <f>IFERROR(__xludf.DUMMYFUNCTION("""COMPUTED_VALUE"""),12.0)</f>
        <v>12</v>
      </c>
      <c r="J3214" s="18">
        <f>IFERROR(__xludf.DUMMYFUNCTION("""COMPUTED_VALUE"""),20.0)</f>
        <v>20</v>
      </c>
      <c r="K3214" s="18">
        <f>IFERROR(__xludf.DUMMYFUNCTION("""COMPUTED_VALUE"""),30.0)</f>
        <v>30</v>
      </c>
      <c r="L3214" s="17">
        <f>IFERROR(__xludf.DUMMYFUNCTION("""COMPUTED_VALUE"""),3.102246611E9)</f>
        <v>3102246611</v>
      </c>
      <c r="M3214" s="17" t="str">
        <f>IFERROR(__xludf.DUMMYFUNCTION("""COMPUTED_VALUE"""),"#REF!")</f>
        <v>#REF!</v>
      </c>
      <c r="N3214" s="17"/>
      <c r="O3214" s="17"/>
      <c r="P3214" s="17" t="b">
        <f>IFERROR(__xludf.DUMMYFUNCTION("""COMPUTED_VALUE"""),FALSE)</f>
        <v>0</v>
      </c>
      <c r="Q3214" s="20" t="str">
        <f>IFERROR(__xludf.DUMMYFUNCTION("""COMPUTED_VALUE"""),"")</f>
        <v/>
      </c>
      <c r="R3214" s="21" t="str">
        <f>IFERROR(__xludf.DUMMYFUNCTION("""COMPUTED_VALUE"""),"https://drive.google.com/file/d/1rDIM64Gpn7YBrXWemMXZkWlSJ2655cN2/view?usp=drivesdk")</f>
        <v>https://drive.google.com/file/d/1rDIM64Gpn7YBrXWemMXZkWlSJ2655cN2/view?usp=drivesdk</v>
      </c>
    </row>
    <row r="3215">
      <c r="A3215" s="15">
        <f>IFERROR(__xludf.DUMMYFUNCTION("""COMPUTED_VALUE"""),45093.0)</f>
        <v>45093</v>
      </c>
      <c r="B3215" s="16" t="str">
        <f>IFERROR(__xludf.DUMMYFUNCTION("""COMPUTED_VALUE"""),"Jeison Rubiano")</f>
        <v>Jeison Rubiano</v>
      </c>
      <c r="C3215" s="15" t="str">
        <f>IFERROR(__xludf.DUMMYFUNCTION("""COMPUTED_VALUE"""),"BOGOTÁ")</f>
        <v>BOGOTÁ</v>
      </c>
      <c r="D3215" s="15" t="str">
        <f>IFERROR(__xludf.DUMMYFUNCTION("""COMPUTED_VALUE"""),"MEDELLÍN")</f>
        <v>MEDELLÍN</v>
      </c>
      <c r="E3215" s="15" t="str">
        <f>IFERROR(__xludf.DUMMYFUNCTION("""COMPUTED_VALUE"""),"Moloso S.A.S")</f>
        <v>Moloso S.A.S</v>
      </c>
      <c r="F3215" s="17" t="str">
        <f>IFERROR(__xludf.DUMMYFUNCTION("""COMPUTED_VALUE"""),"	 CRA 9 BIS 97 06 / APTO 604")</f>
        <v>	 CRA 9 BIS 97 06 / APTO 604</v>
      </c>
      <c r="G3215" s="15" t="str">
        <f>IFERROR(__xludf.DUMMYFUNCTION("""COMPUTED_VALUE"""),"MARIA XIMENA GUZMAN DEL CASTILLO")</f>
        <v>MARIA XIMENA GUZMAN DEL CASTILLO</v>
      </c>
      <c r="H3215" s="16">
        <f>IFERROR(__xludf.DUMMYFUNCTION("""COMPUTED_VALUE"""),11780.0)</f>
        <v>11780</v>
      </c>
      <c r="I3215" s="18">
        <f>IFERROR(__xludf.DUMMYFUNCTION("""COMPUTED_VALUE"""),17.0)</f>
        <v>17</v>
      </c>
      <c r="J3215" s="18">
        <f>IFERROR(__xludf.DUMMYFUNCTION("""COMPUTED_VALUE"""),15.0)</f>
        <v>15</v>
      </c>
      <c r="K3215" s="18">
        <f>IFERROR(__xludf.DUMMYFUNCTION("""COMPUTED_VALUE"""),28.0)</f>
        <v>28</v>
      </c>
      <c r="L3215" s="17" t="str">
        <f>IFERROR(__xludf.DUMMYFUNCTION("""COMPUTED_VALUE"""),"311 2848381")</f>
        <v>311 2848381</v>
      </c>
      <c r="M3215" s="17" t="str">
        <f>IFERROR(__xludf.DUMMYFUNCTION("""COMPUTED_VALUE"""),"#REF!")</f>
        <v>#REF!</v>
      </c>
      <c r="N3215" s="17"/>
      <c r="O3215" s="17"/>
      <c r="P3215" s="17" t="b">
        <f>IFERROR(__xludf.DUMMYFUNCTION("""COMPUTED_VALUE"""),FALSE)</f>
        <v>0</v>
      </c>
      <c r="Q3215" s="20" t="str">
        <f>IFERROR(__xludf.DUMMYFUNCTION("""COMPUTED_VALUE"""),"")</f>
        <v/>
      </c>
      <c r="R3215" s="21" t="str">
        <f>IFERROR(__xludf.DUMMYFUNCTION("""COMPUTED_VALUE"""),"https://drive.google.com/file/d/1T3JEzWK4lagHvpeY5TGWnSBccFHOen65/view?usp=drivesdk")</f>
        <v>https://drive.google.com/file/d/1T3JEzWK4lagHvpeY5TGWnSBccFHOen65/view?usp=drivesdk</v>
      </c>
    </row>
    <row r="3216">
      <c r="A3216" s="15">
        <f>IFERROR(__xludf.DUMMYFUNCTION("""COMPUTED_VALUE"""),45093.0)</f>
        <v>45093</v>
      </c>
      <c r="B3216" s="16" t="str">
        <f>IFERROR(__xludf.DUMMYFUNCTION("""COMPUTED_VALUE"""),"Jeison Rubiano")</f>
        <v>Jeison Rubiano</v>
      </c>
      <c r="C3216" s="15" t="str">
        <f>IFERROR(__xludf.DUMMYFUNCTION("""COMPUTED_VALUE"""),"BOGOTÁ")</f>
        <v>BOGOTÁ</v>
      </c>
      <c r="D3216" s="15" t="str">
        <f>IFERROR(__xludf.DUMMYFUNCTION("""COMPUTED_VALUE"""),"MEDELLÍN")</f>
        <v>MEDELLÍN</v>
      </c>
      <c r="E3216" s="15" t="str">
        <f>IFERROR(__xludf.DUMMYFUNCTION("""COMPUTED_VALUE"""),"Rambla")</f>
        <v>Rambla</v>
      </c>
      <c r="F3216" s="17" t="str">
        <f>IFERROR(__xludf.DUMMYFUNCTION("""COMPUTED_VALUE"""),"Calle 20 sur # 12B 26 apto 402 barrio ciudad jardín sur / NA / NA")</f>
        <v>Calle 20 sur # 12B 26 apto 402 barrio ciudad jardín sur / NA / NA</v>
      </c>
      <c r="G3216" s="15" t="str">
        <f>IFERROR(__xludf.DUMMYFUNCTION("""COMPUTED_VALUE"""),"Elisa Joya")</f>
        <v>Elisa Joya</v>
      </c>
      <c r="H3216" s="16">
        <f>IFERROR(__xludf.DUMMYFUNCTION("""COMPUTED_VALUE"""),11769.0)</f>
        <v>11769</v>
      </c>
      <c r="I3216" s="18">
        <f>IFERROR(__xludf.DUMMYFUNCTION("""COMPUTED_VALUE"""),21.0)</f>
        <v>21</v>
      </c>
      <c r="J3216" s="18">
        <f>IFERROR(__xludf.DUMMYFUNCTION("""COMPUTED_VALUE"""),23.0)</f>
        <v>23</v>
      </c>
      <c r="K3216" s="18">
        <f>IFERROR(__xludf.DUMMYFUNCTION("""COMPUTED_VALUE"""),25.0)</f>
        <v>25</v>
      </c>
      <c r="L3216" s="17">
        <f>IFERROR(__xludf.DUMMYFUNCTION("""COMPUTED_VALUE"""),3.115842241E9)</f>
        <v>3115842241</v>
      </c>
      <c r="M3216" s="17" t="str">
        <f>IFERROR(__xludf.DUMMYFUNCTION("""COMPUTED_VALUE"""),"#REF!")</f>
        <v>#REF!</v>
      </c>
      <c r="N3216" s="17"/>
      <c r="O3216" s="17"/>
      <c r="P3216" s="17" t="b">
        <f>IFERROR(__xludf.DUMMYFUNCTION("""COMPUTED_VALUE"""),FALSE)</f>
        <v>0</v>
      </c>
      <c r="Q3216" s="20" t="str">
        <f>IFERROR(__xludf.DUMMYFUNCTION("""COMPUTED_VALUE"""),"")</f>
        <v/>
      </c>
      <c r="R3216" s="21" t="str">
        <f>IFERROR(__xludf.DUMMYFUNCTION("""COMPUTED_VALUE"""),"https://drive.google.com/file/d/14s2-eAaWhh1cffaZHyUITJ1P3S203gD_/view?usp=drivesdk")</f>
        <v>https://drive.google.com/file/d/14s2-eAaWhh1cffaZHyUITJ1P3S203gD_/view?usp=drivesdk</v>
      </c>
    </row>
    <row r="3217">
      <c r="A3217" s="15">
        <f>IFERROR(__xludf.DUMMYFUNCTION("""COMPUTED_VALUE"""),45093.0)</f>
        <v>45093</v>
      </c>
      <c r="B3217" s="16" t="str">
        <f>IFERROR(__xludf.DUMMYFUNCTION("""COMPUTED_VALUE"""),"Jeison Rubiano")</f>
        <v>Jeison Rubiano</v>
      </c>
      <c r="C3217" s="15" t="str">
        <f>IFERROR(__xludf.DUMMYFUNCTION("""COMPUTED_VALUE"""),"BOGOTÁ")</f>
        <v>BOGOTÁ</v>
      </c>
      <c r="D3217" s="15" t="str">
        <f>IFERROR(__xludf.DUMMYFUNCTION("""COMPUTED_VALUE"""),"MEDELLÍN")</f>
        <v>MEDELLÍN</v>
      </c>
      <c r="E3217" s="15" t="str">
        <f>IFERROR(__xludf.DUMMYFUNCTION("""COMPUTED_VALUE"""),"Rambla")</f>
        <v>Rambla</v>
      </c>
      <c r="F3217" s="17" t="str">
        <f>IFERROR(__xludf.DUMMYFUNCTION("""COMPUTED_VALUE"""),"calle 71 # 4 - 55 / NA / NA")</f>
        <v>calle 71 # 4 - 55 / NA / NA</v>
      </c>
      <c r="G3217" s="15" t="str">
        <f>IFERROR(__xludf.DUMMYFUNCTION("""COMPUTED_VALUE"""),"Fit Market")</f>
        <v>Fit Market</v>
      </c>
      <c r="H3217" s="16">
        <f>IFERROR(__xludf.DUMMYFUNCTION("""COMPUTED_VALUE"""),11772.0)</f>
        <v>11772</v>
      </c>
      <c r="I3217" s="18">
        <f>IFERROR(__xludf.DUMMYFUNCTION("""COMPUTED_VALUE"""),20.0)</f>
        <v>20</v>
      </c>
      <c r="J3217" s="18">
        <f>IFERROR(__xludf.DUMMYFUNCTION("""COMPUTED_VALUE"""),23.0)</f>
        <v>23</v>
      </c>
      <c r="K3217" s="18">
        <f>IFERROR(__xludf.DUMMYFUNCTION("""COMPUTED_VALUE"""),25.0)</f>
        <v>25</v>
      </c>
      <c r="L3217" s="17">
        <f>IFERROR(__xludf.DUMMYFUNCTION("""COMPUTED_VALUE"""),3.183545455E9)</f>
        <v>3183545455</v>
      </c>
      <c r="M3217" s="17" t="str">
        <f>IFERROR(__xludf.DUMMYFUNCTION("""COMPUTED_VALUE"""),"#REF!")</f>
        <v>#REF!</v>
      </c>
      <c r="N3217" s="17"/>
      <c r="O3217" s="17"/>
      <c r="P3217" s="17" t="b">
        <f>IFERROR(__xludf.DUMMYFUNCTION("""COMPUTED_VALUE"""),FALSE)</f>
        <v>0</v>
      </c>
      <c r="Q3217" s="20" t="str">
        <f>IFERROR(__xludf.DUMMYFUNCTION("""COMPUTED_VALUE"""),"")</f>
        <v/>
      </c>
      <c r="R3217" s="21" t="str">
        <f>IFERROR(__xludf.DUMMYFUNCTION("""COMPUTED_VALUE"""),"https://drive.google.com/file/d/1syEH1tbf4oxQe20-zo55vDEEHpTh2l92/view?usp=drivesdk")</f>
        <v>https://drive.google.com/file/d/1syEH1tbf4oxQe20-zo55vDEEHpTh2l92/view?usp=drivesdk</v>
      </c>
    </row>
    <row r="3218">
      <c r="A3218" s="15">
        <f>IFERROR(__xludf.DUMMYFUNCTION("""COMPUTED_VALUE"""),45093.0)</f>
        <v>45093</v>
      </c>
      <c r="B3218" s="16" t="str">
        <f>IFERROR(__xludf.DUMMYFUNCTION("""COMPUTED_VALUE"""),"Jeison Rubiano")</f>
        <v>Jeison Rubiano</v>
      </c>
      <c r="C3218" s="15" t="str">
        <f>IFERROR(__xludf.DUMMYFUNCTION("""COMPUTED_VALUE"""),"BOGOTÁ")</f>
        <v>BOGOTÁ</v>
      </c>
      <c r="D3218" s="15" t="str">
        <f>IFERROR(__xludf.DUMMYFUNCTION("""COMPUTED_VALUE"""),"MEDELLÍN")</f>
        <v>MEDELLÍN</v>
      </c>
      <c r="E3218" s="15" t="str">
        <f>IFERROR(__xludf.DUMMYFUNCTION("""COMPUTED_VALUE"""),"Rambla")</f>
        <v>Rambla</v>
      </c>
      <c r="F3218" s="17" t="str">
        <f>IFERROR(__xludf.DUMMYFUNCTION("""COMPUTED_VALUE"""),"Cl. 93a #11-46, Barrio Chicó / NA / NA")</f>
        <v>Cl. 93a #11-46, Barrio Chicó / NA / NA</v>
      </c>
      <c r="G3218" s="15" t="str">
        <f>IFERROR(__xludf.DUMMYFUNCTION("""COMPUTED_VALUE"""),"Fit Hub Bogota")</f>
        <v>Fit Hub Bogota</v>
      </c>
      <c r="H3218" s="16">
        <f>IFERROR(__xludf.DUMMYFUNCTION("""COMPUTED_VALUE"""),11771.0)</f>
        <v>11771</v>
      </c>
      <c r="I3218" s="18">
        <f>IFERROR(__xludf.DUMMYFUNCTION("""COMPUTED_VALUE"""),21.0)</f>
        <v>21</v>
      </c>
      <c r="J3218" s="18">
        <f>IFERROR(__xludf.DUMMYFUNCTION("""COMPUTED_VALUE"""),23.0)</f>
        <v>23</v>
      </c>
      <c r="K3218" s="18">
        <f>IFERROR(__xludf.DUMMYFUNCTION("""COMPUTED_VALUE"""),25.0)</f>
        <v>25</v>
      </c>
      <c r="L3218" s="17">
        <f>IFERROR(__xludf.DUMMYFUNCTION("""COMPUTED_VALUE"""),3.015447307E9)</f>
        <v>3015447307</v>
      </c>
      <c r="M3218" s="17" t="str">
        <f>IFERROR(__xludf.DUMMYFUNCTION("""COMPUTED_VALUE"""),"#REF!")</f>
        <v>#REF!</v>
      </c>
      <c r="N3218" s="17"/>
      <c r="O3218" s="17"/>
      <c r="P3218" s="17" t="b">
        <f>IFERROR(__xludf.DUMMYFUNCTION("""COMPUTED_VALUE"""),FALSE)</f>
        <v>0</v>
      </c>
      <c r="Q3218" s="20" t="str">
        <f>IFERROR(__xludf.DUMMYFUNCTION("""COMPUTED_VALUE"""),"")</f>
        <v/>
      </c>
      <c r="R3218" s="21" t="str">
        <f>IFERROR(__xludf.DUMMYFUNCTION("""COMPUTED_VALUE"""),"https://drive.google.com/file/d/1D6SjkmCcz7SNrja0TaCTphLOKYszhxBj/view?usp=drivesdk")</f>
        <v>https://drive.google.com/file/d/1D6SjkmCcz7SNrja0TaCTphLOKYszhxBj/view?usp=drivesdk</v>
      </c>
    </row>
    <row r="3219">
      <c r="A3219" s="15">
        <f>IFERROR(__xludf.DUMMYFUNCTION("""COMPUTED_VALUE"""),45093.0)</f>
        <v>45093</v>
      </c>
      <c r="B3219" s="16" t="str">
        <f>IFERROR(__xludf.DUMMYFUNCTION("""COMPUTED_VALUE"""),"Jeison Rubiano")</f>
        <v>Jeison Rubiano</v>
      </c>
      <c r="C3219" s="15" t="str">
        <f>IFERROR(__xludf.DUMMYFUNCTION("""COMPUTED_VALUE"""),"BOGOTÁ")</f>
        <v>BOGOTÁ</v>
      </c>
      <c r="D3219" s="15" t="str">
        <f>IFERROR(__xludf.DUMMYFUNCTION("""COMPUTED_VALUE"""),"MEDELLÍN")</f>
        <v>MEDELLÍN</v>
      </c>
      <c r="E3219" s="15" t="str">
        <f>IFERROR(__xludf.DUMMYFUNCTION("""COMPUTED_VALUE"""),"Rambla")</f>
        <v>Rambla</v>
      </c>
      <c r="F3219" s="17" t="str">
        <f>IFERROR(__xludf.DUMMYFUNCTION("""COMPUTED_VALUE"""),"Cll 43 sur # 80 i 29 / NA / NA")</f>
        <v>Cll 43 sur # 80 i 29 / NA / NA</v>
      </c>
      <c r="G3219" s="15" t="str">
        <f>IFERROR(__xludf.DUMMYFUNCTION("""COMPUTED_VALUE"""),"Diana Martínez")</f>
        <v>Diana Martínez</v>
      </c>
      <c r="H3219" s="16">
        <f>IFERROR(__xludf.DUMMYFUNCTION("""COMPUTED_VALUE"""),11770.0)</f>
        <v>11770</v>
      </c>
      <c r="I3219" s="18">
        <f>IFERROR(__xludf.DUMMYFUNCTION("""COMPUTED_VALUE"""),21.0)</f>
        <v>21</v>
      </c>
      <c r="J3219" s="18">
        <f>IFERROR(__xludf.DUMMYFUNCTION("""COMPUTED_VALUE"""),23.0)</f>
        <v>23</v>
      </c>
      <c r="K3219" s="18">
        <f>IFERROR(__xludf.DUMMYFUNCTION("""COMPUTED_VALUE"""),25.0)</f>
        <v>25</v>
      </c>
      <c r="L3219" s="17">
        <f>IFERROR(__xludf.DUMMYFUNCTION("""COMPUTED_VALUE"""),3.215092937E9)</f>
        <v>3215092937</v>
      </c>
      <c r="M3219" s="17" t="str">
        <f>IFERROR(__xludf.DUMMYFUNCTION("""COMPUTED_VALUE"""),"#REF!")</f>
        <v>#REF!</v>
      </c>
      <c r="N3219" s="17"/>
      <c r="O3219" s="17"/>
      <c r="P3219" s="17" t="b">
        <f>IFERROR(__xludf.DUMMYFUNCTION("""COMPUTED_VALUE"""),FALSE)</f>
        <v>0</v>
      </c>
      <c r="Q3219" s="20" t="str">
        <f>IFERROR(__xludf.DUMMYFUNCTION("""COMPUTED_VALUE"""),"")</f>
        <v/>
      </c>
      <c r="R3219" s="21" t="str">
        <f>IFERROR(__xludf.DUMMYFUNCTION("""COMPUTED_VALUE"""),"https://drive.google.com/file/d/1TpDvrbrTByyhhFuqGE_u22_h5rNIapcZ/view?usp=drivesdk")</f>
        <v>https://drive.google.com/file/d/1TpDvrbrTByyhhFuqGE_u22_h5rNIapcZ/view?usp=drivesdk</v>
      </c>
    </row>
    <row r="3220">
      <c r="A3220" s="15">
        <f>IFERROR(__xludf.DUMMYFUNCTION("""COMPUTED_VALUE"""),45093.0)</f>
        <v>45093</v>
      </c>
      <c r="B3220" s="16" t="str">
        <f>IFERROR(__xludf.DUMMYFUNCTION("""COMPUTED_VALUE"""),"Jeison Rubiano")</f>
        <v>Jeison Rubiano</v>
      </c>
      <c r="C3220" s="15" t="str">
        <f>IFERROR(__xludf.DUMMYFUNCTION("""COMPUTED_VALUE"""),"CARTAGENA")</f>
        <v>CARTAGENA</v>
      </c>
      <c r="D3220" s="15" t="str">
        <f>IFERROR(__xludf.DUMMYFUNCTION("""COMPUTED_VALUE"""),"BOGOTÁ")</f>
        <v>BOGOTÁ</v>
      </c>
      <c r="E3220" s="15" t="str">
        <f>IFERROR(__xludf.DUMMYFUNCTION("""COMPUTED_VALUE"""),"Mochi")</f>
        <v>Mochi</v>
      </c>
      <c r="F3220" s="17" t="str">
        <f>IFERROR(__xludf.DUMMYFUNCTION("""COMPUTED_VALUE"""),"centro comercial serrezuela / centro comercial serrezuela / centro comercial serrezuela")</f>
        <v>centro comercial serrezuela / centro comercial serrezuela / centro comercial serrezuela</v>
      </c>
      <c r="G3220" s="15" t="str">
        <f>IFERROR(__xludf.DUMMYFUNCTION("""COMPUTED_VALUE"""),"maria camila")</f>
        <v>maria camila</v>
      </c>
      <c r="H3220" s="16">
        <f>IFERROR(__xludf.DUMMYFUNCTION("""COMPUTED_VALUE"""),11783.0)</f>
        <v>11783</v>
      </c>
      <c r="I3220" s="18">
        <f>IFERROR(__xludf.DUMMYFUNCTION("""COMPUTED_VALUE"""),100.0)</f>
        <v>100</v>
      </c>
      <c r="J3220" s="18">
        <f>IFERROR(__xludf.DUMMYFUNCTION("""COMPUTED_VALUE"""),100.0)</f>
        <v>100</v>
      </c>
      <c r="K3220" s="18">
        <f>IFERROR(__xludf.DUMMYFUNCTION("""COMPUTED_VALUE"""),100.0)</f>
        <v>100</v>
      </c>
      <c r="L3220" s="17">
        <f>IFERROR(__xludf.DUMMYFUNCTION("""COMPUTED_VALUE"""),3.116026252E9)</f>
        <v>3116026252</v>
      </c>
      <c r="M3220" s="17" t="str">
        <f>IFERROR(__xludf.DUMMYFUNCTION("""COMPUTED_VALUE"""),"#REF!")</f>
        <v>#REF!</v>
      </c>
      <c r="N3220" s="17"/>
      <c r="O3220" s="17"/>
      <c r="P3220" s="17" t="b">
        <f>IFERROR(__xludf.DUMMYFUNCTION("""COMPUTED_VALUE"""),FALSE)</f>
        <v>0</v>
      </c>
      <c r="Q3220" s="20" t="str">
        <f>IFERROR(__xludf.DUMMYFUNCTION("""COMPUTED_VALUE"""),"")</f>
        <v/>
      </c>
      <c r="R3220" s="21" t="str">
        <f>IFERROR(__xludf.DUMMYFUNCTION("""COMPUTED_VALUE"""),"https://drive.google.com/file/d/1LXK2hLDeFWIDM0c3ueI_2Terz7s71vdW/view?usp=drivesdk")</f>
        <v>https://drive.google.com/file/d/1LXK2hLDeFWIDM0c3ueI_2Terz7s71vdW/view?usp=drivesdk</v>
      </c>
    </row>
    <row r="3221">
      <c r="A3221" s="17" t="str">
        <f>IFERROR(__xludf.DUMMYFUNCTION("""COMPUTED_VALUE"""),"")</f>
        <v/>
      </c>
      <c r="B3221" s="17" t="str">
        <f>IFERROR(__xludf.DUMMYFUNCTION("""COMPUTED_VALUE"""),"")</f>
        <v/>
      </c>
      <c r="C3221" s="17" t="str">
        <f>IFERROR(__xludf.DUMMYFUNCTION("""COMPUTED_VALUE"""),"")</f>
        <v/>
      </c>
      <c r="D3221" s="17" t="str">
        <f>IFERROR(__xludf.DUMMYFUNCTION("""COMPUTED_VALUE"""),"")</f>
        <v/>
      </c>
      <c r="E3221" s="17" t="str">
        <f>IFERROR(__xludf.DUMMYFUNCTION("""COMPUTED_VALUE"""),"")</f>
        <v/>
      </c>
      <c r="F3221" s="17" t="str">
        <f>IFERROR(__xludf.DUMMYFUNCTION("""COMPUTED_VALUE"""),"")</f>
        <v/>
      </c>
      <c r="G3221" s="17" t="str">
        <f>IFERROR(__xludf.DUMMYFUNCTION("""COMPUTED_VALUE"""),"")</f>
        <v/>
      </c>
      <c r="H3221" s="17" t="str">
        <f>IFERROR(__xludf.DUMMYFUNCTION("""COMPUTED_VALUE"""),"")</f>
        <v/>
      </c>
      <c r="I3221" s="17" t="str">
        <f>IFERROR(__xludf.DUMMYFUNCTION("""COMPUTED_VALUE"""),"")</f>
        <v/>
      </c>
      <c r="J3221" s="17" t="str">
        <f>IFERROR(__xludf.DUMMYFUNCTION("""COMPUTED_VALUE"""),"")</f>
        <v/>
      </c>
      <c r="K3221" s="17" t="str">
        <f>IFERROR(__xludf.DUMMYFUNCTION("""COMPUTED_VALUE"""),"")</f>
        <v/>
      </c>
      <c r="L3221" s="17" t="str">
        <f>IFERROR(__xludf.DUMMYFUNCTION("""COMPUTED_VALUE"""),"")</f>
        <v/>
      </c>
      <c r="M3221" s="17" t="str">
        <f>IFERROR(__xludf.DUMMYFUNCTION("""COMPUTED_VALUE"""),"")</f>
        <v/>
      </c>
      <c r="N3221" s="17" t="str">
        <f>IFERROR(__xludf.DUMMYFUNCTION("""COMPUTED_VALUE"""),"")</f>
        <v/>
      </c>
      <c r="O3221" s="17" t="str">
        <f>IFERROR(__xludf.DUMMYFUNCTION("""COMPUTED_VALUE"""),"")</f>
        <v/>
      </c>
      <c r="P3221" s="17" t="str">
        <f>IFERROR(__xludf.DUMMYFUNCTION("""COMPUTED_VALUE"""),"")</f>
        <v/>
      </c>
      <c r="Q3221" s="17" t="str">
        <f>IFERROR(__xludf.DUMMYFUNCTION("""COMPUTED_VALUE"""),"")</f>
        <v/>
      </c>
      <c r="R3221" s="17" t="str">
        <f>IFERROR(__xludf.DUMMYFUNCTION("""COMPUTED_VALUE"""),"")</f>
        <v/>
      </c>
    </row>
    <row r="3222">
      <c r="A3222" s="15">
        <f>IFERROR(__xludf.DUMMYFUNCTION("""COMPUTED_VALUE"""),45093.0)</f>
        <v>45093</v>
      </c>
      <c r="B3222" s="16" t="str">
        <f>IFERROR(__xludf.DUMMYFUNCTION("""COMPUTED_VALUE"""),"Johan Alexander Escobar Arroyo ")</f>
        <v>Johan Alexander Escobar Arroyo </v>
      </c>
      <c r="C3222" s="15" t="str">
        <f>IFERROR(__xludf.DUMMYFUNCTION("""COMPUTED_VALUE"""),"BUCARAMANGA")</f>
        <v>BUCARAMANGA</v>
      </c>
      <c r="D3222" s="15" t="str">
        <f>IFERROR(__xludf.DUMMYFUNCTION("""COMPUTED_VALUE"""),"BOGOTÁ")</f>
        <v>BOGOTÁ</v>
      </c>
      <c r="E3222" s="15" t="str">
        <f>IFERROR(__xludf.DUMMYFUNCTION("""COMPUTED_VALUE"""),"Evamazzita")</f>
        <v>Evamazzita</v>
      </c>
      <c r="F3222" s="17" t="str">
        <f>IFERROR(__xludf.DUMMYFUNCTION("""COMPUTED_VALUE"""),"Cra 20 # 7 - 11 BARRIO COMUNEROS / Cra 20 # 7 - 11 BARRIO COMUNEROS /  BARRIO COMUNEROS")</f>
        <v>Cra 20 # 7 - 11 BARRIO COMUNEROS / Cra 20 # 7 - 11 BARRIO COMUNEROS /  BARRIO COMUNEROS</v>
      </c>
      <c r="G3222" s="15" t="str">
        <f>IFERROR(__xludf.DUMMYFUNCTION("""COMPUTED_VALUE"""),"MARIO JOSE CORTES PARADA")</f>
        <v>MARIO JOSE CORTES PARADA</v>
      </c>
      <c r="H3222" s="16">
        <f>IFERROR(__xludf.DUMMYFUNCTION("""COMPUTED_VALUE"""),11761.0)</f>
        <v>11761</v>
      </c>
      <c r="I3222" s="18">
        <f>IFERROR(__xludf.DUMMYFUNCTION("""COMPUTED_VALUE"""),34.0)</f>
        <v>34</v>
      </c>
      <c r="J3222" s="18">
        <f>IFERROR(__xludf.DUMMYFUNCTION("""COMPUTED_VALUE"""),37.0)</f>
        <v>37</v>
      </c>
      <c r="K3222" s="18">
        <f>IFERROR(__xludf.DUMMYFUNCTION("""COMPUTED_VALUE"""),23.0)</f>
        <v>23</v>
      </c>
      <c r="L3222" s="17">
        <f>IFERROR(__xludf.DUMMYFUNCTION("""COMPUTED_VALUE"""),3.123394474E9)</f>
        <v>3123394474</v>
      </c>
      <c r="M3222" s="17" t="str">
        <f>IFERROR(__xludf.DUMMYFUNCTION("""COMPUTED_VALUE"""),"#REF!")</f>
        <v>#REF!</v>
      </c>
      <c r="N3222" s="17"/>
      <c r="O3222" s="17"/>
      <c r="P3222" s="17" t="b">
        <f>IFERROR(__xludf.DUMMYFUNCTION("""COMPUTED_VALUE"""),FALSE)</f>
        <v>0</v>
      </c>
      <c r="Q3222" s="20" t="str">
        <f>IFERROR(__xludf.DUMMYFUNCTION("""COMPUTED_VALUE"""),"")</f>
        <v/>
      </c>
      <c r="R3222" s="21" t="str">
        <f>IFERROR(__xludf.DUMMYFUNCTION("""COMPUTED_VALUE"""),"https://drive.google.com/file/d/1YjbAkbWsKY1vB-yl2X1aoKvgMKJBzOdz/view?usp=drivesdk")</f>
        <v>https://drive.google.com/file/d/1YjbAkbWsKY1vB-yl2X1aoKvgMKJBzOdz/view?usp=drivesdk</v>
      </c>
    </row>
    <row r="3223">
      <c r="A3223" s="17" t="str">
        <f>IFERROR(__xludf.DUMMYFUNCTION("""COMPUTED_VALUE"""),"")</f>
        <v/>
      </c>
      <c r="B3223" s="17" t="str">
        <f>IFERROR(__xludf.DUMMYFUNCTION("""COMPUTED_VALUE"""),"")</f>
        <v/>
      </c>
      <c r="C3223" s="17" t="str">
        <f>IFERROR(__xludf.DUMMYFUNCTION("""COMPUTED_VALUE"""),"")</f>
        <v/>
      </c>
      <c r="D3223" s="17" t="str">
        <f>IFERROR(__xludf.DUMMYFUNCTION("""COMPUTED_VALUE"""),"")</f>
        <v/>
      </c>
      <c r="E3223" s="17" t="str">
        <f>IFERROR(__xludf.DUMMYFUNCTION("""COMPUTED_VALUE"""),"")</f>
        <v/>
      </c>
      <c r="F3223" s="17" t="str">
        <f>IFERROR(__xludf.DUMMYFUNCTION("""COMPUTED_VALUE"""),"")</f>
        <v/>
      </c>
      <c r="G3223" s="17" t="str">
        <f>IFERROR(__xludf.DUMMYFUNCTION("""COMPUTED_VALUE"""),"")</f>
        <v/>
      </c>
      <c r="H3223" s="17" t="str">
        <f>IFERROR(__xludf.DUMMYFUNCTION("""COMPUTED_VALUE"""),"")</f>
        <v/>
      </c>
      <c r="I3223" s="17" t="str">
        <f>IFERROR(__xludf.DUMMYFUNCTION("""COMPUTED_VALUE"""),"")</f>
        <v/>
      </c>
      <c r="J3223" s="17" t="str">
        <f>IFERROR(__xludf.DUMMYFUNCTION("""COMPUTED_VALUE"""),"")</f>
        <v/>
      </c>
      <c r="K3223" s="17" t="str">
        <f>IFERROR(__xludf.DUMMYFUNCTION("""COMPUTED_VALUE"""),"")</f>
        <v/>
      </c>
      <c r="L3223" s="17" t="str">
        <f>IFERROR(__xludf.DUMMYFUNCTION("""COMPUTED_VALUE"""),"")</f>
        <v/>
      </c>
      <c r="M3223" s="17" t="str">
        <f>IFERROR(__xludf.DUMMYFUNCTION("""COMPUTED_VALUE"""),"")</f>
        <v/>
      </c>
      <c r="N3223" s="17" t="str">
        <f>IFERROR(__xludf.DUMMYFUNCTION("""COMPUTED_VALUE"""),"")</f>
        <v/>
      </c>
      <c r="O3223" s="17" t="str">
        <f>IFERROR(__xludf.DUMMYFUNCTION("""COMPUTED_VALUE"""),"")</f>
        <v/>
      </c>
      <c r="P3223" s="17" t="str">
        <f>IFERROR(__xludf.DUMMYFUNCTION("""COMPUTED_VALUE"""),"")</f>
        <v/>
      </c>
      <c r="Q3223" s="17" t="str">
        <f>IFERROR(__xludf.DUMMYFUNCTION("""COMPUTED_VALUE"""),"")</f>
        <v/>
      </c>
      <c r="R3223" s="17" t="str">
        <f>IFERROR(__xludf.DUMMYFUNCTION("""COMPUTED_VALUE"""),"")</f>
        <v/>
      </c>
    </row>
    <row r="3224">
      <c r="A3224" s="15">
        <f>IFERROR(__xludf.DUMMYFUNCTION("""COMPUTED_VALUE"""),45093.0)</f>
        <v>45093</v>
      </c>
      <c r="B3224" s="16" t="str">
        <f>IFERROR(__xludf.DUMMYFUNCTION("""COMPUTED_VALUE"""),"Lina Gaona")</f>
        <v>Lina Gaona</v>
      </c>
      <c r="C3224" s="15" t="str">
        <f>IFERROR(__xludf.DUMMYFUNCTION("""COMPUTED_VALUE"""),"CÚCUTA")</f>
        <v>CÚCUTA</v>
      </c>
      <c r="D3224" s="15" t="str">
        <f>IFERROR(__xludf.DUMMYFUNCTION("""COMPUTED_VALUE"""),"BOGOTÁ")</f>
        <v>BOGOTÁ</v>
      </c>
      <c r="E3224" s="15" t="str">
        <f>IFERROR(__xludf.DUMMYFUNCTION("""COMPUTED_VALUE"""),"Ventura Productos Arg")</f>
        <v>Ventura Productos Arg</v>
      </c>
      <c r="F3224" s="17" t="str">
        <f>IFERROR(__xludf.DUMMYFUNCTION("""COMPUTED_VALUE"""),"Avenida 4e #12-85 / Torre 1, Interior 2, Apto 1203")</f>
        <v>Avenida 4e #12-85 / Torre 1, Interior 2, Apto 1203</v>
      </c>
      <c r="G3224" s="15" t="str">
        <f>IFERROR(__xludf.DUMMYFUNCTION("""COMPUTED_VALUE"""),"Tiana Anaya")</f>
        <v>Tiana Anaya</v>
      </c>
      <c r="H3224" s="16">
        <f>IFERROR(__xludf.DUMMYFUNCTION("""COMPUTED_VALUE"""),11597.0)</f>
        <v>11597</v>
      </c>
      <c r="I3224" s="18">
        <f>IFERROR(__xludf.DUMMYFUNCTION("""COMPUTED_VALUE"""),22.0)</f>
        <v>22</v>
      </c>
      <c r="J3224" s="18">
        <f>IFERROR(__xludf.DUMMYFUNCTION("""COMPUTED_VALUE"""),17.0)</f>
        <v>17</v>
      </c>
      <c r="K3224" s="18">
        <f>IFERROR(__xludf.DUMMYFUNCTION("""COMPUTED_VALUE"""),8.0)</f>
        <v>8</v>
      </c>
      <c r="L3224" s="17">
        <f>IFERROR(__xludf.DUMMYFUNCTION("""COMPUTED_VALUE"""),3.14555216E9)</f>
        <v>3145552160</v>
      </c>
      <c r="M3224" s="17" t="str">
        <f>IFERROR(__xludf.DUMMYFUNCTION("""COMPUTED_VALUE"""),"#REF!")</f>
        <v>#REF!</v>
      </c>
      <c r="N3224" s="17"/>
      <c r="O3224" s="17"/>
      <c r="P3224" s="17" t="b">
        <f>IFERROR(__xludf.DUMMYFUNCTION("""COMPUTED_VALUE"""),FALSE)</f>
        <v>0</v>
      </c>
      <c r="Q3224" s="20" t="str">
        <f>IFERROR(__xludf.DUMMYFUNCTION("""COMPUTED_VALUE"""),"")</f>
        <v/>
      </c>
      <c r="R3224" s="21" t="str">
        <f>IFERROR(__xludf.DUMMYFUNCTION("""COMPUTED_VALUE"""),"https://drive.google.com/file/d/16MDNcDY-Br22p-RKJN5Chb0RO-h1mWHK/view?usp=drivesdk")</f>
        <v>https://drive.google.com/file/d/16MDNcDY-Br22p-RKJN5Chb0RO-h1mWHK/view?usp=drivesdk</v>
      </c>
    </row>
    <row r="3225">
      <c r="A3225" s="15">
        <f>IFERROR(__xludf.DUMMYFUNCTION("""COMPUTED_VALUE"""),45093.0)</f>
        <v>45093</v>
      </c>
      <c r="B3225" s="16" t="str">
        <f>IFERROR(__xludf.DUMMYFUNCTION("""COMPUTED_VALUE"""),"Lina Gaona")</f>
        <v>Lina Gaona</v>
      </c>
      <c r="C3225" s="15" t="str">
        <f>IFERROR(__xludf.DUMMYFUNCTION("""COMPUTED_VALUE"""),"CÚCUTA")</f>
        <v>CÚCUTA</v>
      </c>
      <c r="D3225" s="15" t="str">
        <f>IFERROR(__xludf.DUMMYFUNCTION("""COMPUTED_VALUE"""),"MEDELLÍN")</f>
        <v>MEDELLÍN</v>
      </c>
      <c r="E3225" s="15" t="str">
        <f>IFERROR(__xludf.DUMMYFUNCTION("""COMPUTED_VALUE"""),"AREPAS LA MARY")</f>
        <v>AREPAS LA MARY</v>
      </c>
      <c r="F3225" s="17" t="str">
        <f>IFERROR(__xludf.DUMMYFUNCTION("""COMPUTED_VALUE"""),"AV 0#4 50 LOCAL 1 / LOCAL BELLEZA NATURAL")</f>
        <v>AV 0#4 50 LOCAL 1 / LOCAL BELLEZA NATURAL</v>
      </c>
      <c r="G3225" s="15" t="str">
        <f>IFERROR(__xludf.DUMMYFUNCTION("""COMPUTED_VALUE"""),"PABLO ESCALANTE")</f>
        <v>PABLO ESCALANTE</v>
      </c>
      <c r="H3225" s="16">
        <f>IFERROR(__xludf.DUMMYFUNCTION("""COMPUTED_VALUE"""),11715.0)</f>
        <v>11715</v>
      </c>
      <c r="I3225" s="18">
        <f>IFERROR(__xludf.DUMMYFUNCTION("""COMPUTED_VALUE"""),89.0)</f>
        <v>89</v>
      </c>
      <c r="J3225" s="18">
        <f>IFERROR(__xludf.DUMMYFUNCTION("""COMPUTED_VALUE"""),1.0)</f>
        <v>1</v>
      </c>
      <c r="K3225" s="18">
        <f>IFERROR(__xludf.DUMMYFUNCTION("""COMPUTED_VALUE"""),10.0)</f>
        <v>10</v>
      </c>
      <c r="L3225" s="17" t="str">
        <f>IFERROR(__xludf.DUMMYFUNCTION("""COMPUTED_VALUE"""),"301 7398127")</f>
        <v>301 7398127</v>
      </c>
      <c r="M3225" s="17" t="str">
        <f>IFERROR(__xludf.DUMMYFUNCTION("""COMPUTED_VALUE"""),"#REF!")</f>
        <v>#REF!</v>
      </c>
      <c r="N3225" s="17"/>
      <c r="O3225" s="17"/>
      <c r="P3225" s="17" t="b">
        <f>IFERROR(__xludf.DUMMYFUNCTION("""COMPUTED_VALUE"""),FALSE)</f>
        <v>0</v>
      </c>
      <c r="Q3225" s="20" t="str">
        <f>IFERROR(__xludf.DUMMYFUNCTION("""COMPUTED_VALUE"""),"")</f>
        <v/>
      </c>
      <c r="R3225" s="21" t="str">
        <f>IFERROR(__xludf.DUMMYFUNCTION("""COMPUTED_VALUE"""),"https://drive.google.com/file/d/1lrk_Bc4dmzJFl8dydWbqkGdwKWBAneLM/view?usp=drivesdk")</f>
        <v>https://drive.google.com/file/d/1lrk_Bc4dmzJFl8dydWbqkGdwKWBAneLM/view?usp=drivesdk</v>
      </c>
    </row>
    <row r="3226">
      <c r="A3226" s="15">
        <f>IFERROR(__xludf.DUMMYFUNCTION("""COMPUTED_VALUE"""),45093.0)</f>
        <v>45093</v>
      </c>
      <c r="B3226" s="16" t="str">
        <f>IFERROR(__xludf.DUMMYFUNCTION("""COMPUTED_VALUE"""),"Lina Gaona")</f>
        <v>Lina Gaona</v>
      </c>
      <c r="C3226" s="15" t="str">
        <f>IFERROR(__xludf.DUMMYFUNCTION("""COMPUTED_VALUE"""),"CÚCUTA")</f>
        <v>CÚCUTA</v>
      </c>
      <c r="D3226" s="15" t="str">
        <f>IFERROR(__xludf.DUMMYFUNCTION("""COMPUTED_VALUE"""),"MEDELLÍN")</f>
        <v>MEDELLÍN</v>
      </c>
      <c r="E3226" s="15" t="str">
        <f>IFERROR(__xludf.DUMMYFUNCTION("""COMPUTED_VALUE"""),"AREPAS LA MARY")</f>
        <v>AREPAS LA MARY</v>
      </c>
      <c r="F3226" s="17" t="str">
        <f>IFERROR(__xludf.DUMMYFUNCTION("""COMPUTED_VALUE"""),"Av18E 7N-54 apto503 / Edificio balcones de versalles")</f>
        <v>Av18E 7N-54 apto503 / Edificio balcones de versalles</v>
      </c>
      <c r="G3226" s="15" t="str">
        <f>IFERROR(__xludf.DUMMYFUNCTION("""COMPUTED_VALUE"""),"ROCIO MANOSALVA")</f>
        <v>ROCIO MANOSALVA</v>
      </c>
      <c r="H3226" s="16">
        <f>IFERROR(__xludf.DUMMYFUNCTION("""COMPUTED_VALUE"""),11714.0)</f>
        <v>11714</v>
      </c>
      <c r="I3226" s="18">
        <f>IFERROR(__xludf.DUMMYFUNCTION("""COMPUTED_VALUE"""),89.0)</f>
        <v>89</v>
      </c>
      <c r="J3226" s="18">
        <f>IFERROR(__xludf.DUMMYFUNCTION("""COMPUTED_VALUE"""),1.0)</f>
        <v>1</v>
      </c>
      <c r="K3226" s="18">
        <f>IFERROR(__xludf.DUMMYFUNCTION("""COMPUTED_VALUE"""),10.0)</f>
        <v>10</v>
      </c>
      <c r="L3226" s="17">
        <f>IFERROR(__xludf.DUMMYFUNCTION("""COMPUTED_VALUE"""),3.112422889E9)</f>
        <v>3112422889</v>
      </c>
      <c r="M3226" s="17" t="str">
        <f>IFERROR(__xludf.DUMMYFUNCTION("""COMPUTED_VALUE"""),"#REF!")</f>
        <v>#REF!</v>
      </c>
      <c r="N3226" s="17"/>
      <c r="O3226" s="17"/>
      <c r="P3226" s="17" t="b">
        <f>IFERROR(__xludf.DUMMYFUNCTION("""COMPUTED_VALUE"""),FALSE)</f>
        <v>0</v>
      </c>
      <c r="Q3226" s="20" t="str">
        <f>IFERROR(__xludf.DUMMYFUNCTION("""COMPUTED_VALUE"""),"")</f>
        <v/>
      </c>
      <c r="R3226" s="21" t="str">
        <f>IFERROR(__xludf.DUMMYFUNCTION("""COMPUTED_VALUE"""),"https://drive.google.com/file/d/1gAERht4WC-xUyAWWVx7ZkmbT613eIjUM/view?usp=drivesdk")</f>
        <v>https://drive.google.com/file/d/1gAERht4WC-xUyAWWVx7ZkmbT613eIjUM/view?usp=drivesdk</v>
      </c>
    </row>
    <row r="3227">
      <c r="A3227" s="15">
        <f>IFERROR(__xludf.DUMMYFUNCTION("""COMPUTED_VALUE"""),45093.0)</f>
        <v>45093</v>
      </c>
      <c r="B3227" s="16" t="str">
        <f>IFERROR(__xludf.DUMMYFUNCTION("""COMPUTED_VALUE"""),"Lina Gaona")</f>
        <v>Lina Gaona</v>
      </c>
      <c r="C3227" s="15" t="str">
        <f>IFERROR(__xludf.DUMMYFUNCTION("""COMPUTED_VALUE"""),"CÚCUTA")</f>
        <v>CÚCUTA</v>
      </c>
      <c r="D3227" s="15" t="str">
        <f>IFERROR(__xludf.DUMMYFUNCTION("""COMPUTED_VALUE"""),"MEDELLÍN")</f>
        <v>MEDELLÍN</v>
      </c>
      <c r="E3227" s="15" t="str">
        <f>IFERROR(__xludf.DUMMYFUNCTION("""COMPUTED_VALUE"""),"Rambla")</f>
        <v>Rambla</v>
      </c>
      <c r="F3227" s="17" t="str">
        <f>IFERROR(__xludf.DUMMYFUNCTION("""COMPUTED_VALUE"""),"av 3e con 15A Esquina Los Caobos Jengibre Mercado Cucuta / na / na")</f>
        <v>av 3e con 15A Esquina Los Caobos Jengibre Mercado Cucuta / na / na</v>
      </c>
      <c r="G3227" s="15" t="str">
        <f>IFERROR(__xludf.DUMMYFUNCTION("""COMPUTED_VALUE"""),"Jengibre")</f>
        <v>Jengibre</v>
      </c>
      <c r="H3227" s="16">
        <f>IFERROR(__xludf.DUMMYFUNCTION("""COMPUTED_VALUE"""),11736.0)</f>
        <v>11736</v>
      </c>
      <c r="I3227" s="18">
        <f>IFERROR(__xludf.DUMMYFUNCTION("""COMPUTED_VALUE"""),25.0)</f>
        <v>25</v>
      </c>
      <c r="J3227" s="18">
        <f>IFERROR(__xludf.DUMMYFUNCTION("""COMPUTED_VALUE"""),26.0)</f>
        <v>26</v>
      </c>
      <c r="K3227" s="18">
        <f>IFERROR(__xludf.DUMMYFUNCTION("""COMPUTED_VALUE"""),30.0)</f>
        <v>30</v>
      </c>
      <c r="L3227" s="17">
        <f>IFERROR(__xludf.DUMMYFUNCTION("""COMPUTED_VALUE"""),3.005618715E9)</f>
        <v>3005618715</v>
      </c>
      <c r="M3227" s="17" t="str">
        <f>IFERROR(__xludf.DUMMYFUNCTION("""COMPUTED_VALUE"""),"#REF!")</f>
        <v>#REF!</v>
      </c>
      <c r="N3227" s="17"/>
      <c r="O3227" s="17"/>
      <c r="P3227" s="17" t="b">
        <f>IFERROR(__xludf.DUMMYFUNCTION("""COMPUTED_VALUE"""),FALSE)</f>
        <v>0</v>
      </c>
      <c r="Q3227" s="20" t="str">
        <f>IFERROR(__xludf.DUMMYFUNCTION("""COMPUTED_VALUE"""),"")</f>
        <v/>
      </c>
      <c r="R3227" s="21" t="str">
        <f>IFERROR(__xludf.DUMMYFUNCTION("""COMPUTED_VALUE"""),"https://drive.google.com/file/d/1G4wxIR4RyL4jg8_0Xblv186jfpNQkQ5p/view?usp=drivesdk")</f>
        <v>https://drive.google.com/file/d/1G4wxIR4RyL4jg8_0Xblv186jfpNQkQ5p/view?usp=drivesdk</v>
      </c>
    </row>
    <row r="3228">
      <c r="A3228" s="15">
        <f>IFERROR(__xludf.DUMMYFUNCTION("""COMPUTED_VALUE"""),45093.0)</f>
        <v>45093</v>
      </c>
      <c r="B3228" s="16" t="str">
        <f>IFERROR(__xludf.DUMMYFUNCTION("""COMPUTED_VALUE"""),"Lina Gaona")</f>
        <v>Lina Gaona</v>
      </c>
      <c r="C3228" s="15" t="str">
        <f>IFERROR(__xludf.DUMMYFUNCTION("""COMPUTED_VALUE"""),"CÚCUTA")</f>
        <v>CÚCUTA</v>
      </c>
      <c r="D3228" s="15" t="str">
        <f>IFERROR(__xludf.DUMMYFUNCTION("""COMPUTED_VALUE"""),"MEDELLÍN")</f>
        <v>MEDELLÍN</v>
      </c>
      <c r="E3228" s="15" t="str">
        <f>IFERROR(__xludf.DUMMYFUNCTION("""COMPUTED_VALUE"""),"Rambla")</f>
        <v>Rambla</v>
      </c>
      <c r="F3228" s="17" t="str">
        <f>IFERROR(__xludf.DUMMYFUNCTION("""COMPUTED_VALUE"""),"CR 4 26 40 CC PRADO PLAZA LC 117 / na / na")</f>
        <v>CR 4 26 40 CC PRADO PLAZA LC 117 / na / na</v>
      </c>
      <c r="G3228" s="15" t="str">
        <f>IFERROR(__xludf.DUMMYFUNCTION("""COMPUTED_VALUE"""),"Hecho en casa")</f>
        <v>Hecho en casa</v>
      </c>
      <c r="H3228" s="16">
        <f>IFERROR(__xludf.DUMMYFUNCTION("""COMPUTED_VALUE"""),11737.0)</f>
        <v>11737</v>
      </c>
      <c r="I3228" s="18">
        <f>IFERROR(__xludf.DUMMYFUNCTION("""COMPUTED_VALUE"""),28.0)</f>
        <v>28</v>
      </c>
      <c r="J3228" s="18">
        <f>IFERROR(__xludf.DUMMYFUNCTION("""COMPUTED_VALUE"""),22.0)</f>
        <v>22</v>
      </c>
      <c r="K3228" s="18">
        <f>IFERROR(__xludf.DUMMYFUNCTION("""COMPUTED_VALUE"""),25.0)</f>
        <v>25</v>
      </c>
      <c r="L3228" s="17">
        <f>IFERROR(__xludf.DUMMYFUNCTION("""COMPUTED_VALUE"""),3.106119626E9)</f>
        <v>3106119626</v>
      </c>
      <c r="M3228" s="17" t="str">
        <f>IFERROR(__xludf.DUMMYFUNCTION("""COMPUTED_VALUE"""),"#REF!")</f>
        <v>#REF!</v>
      </c>
      <c r="N3228" s="17"/>
      <c r="O3228" s="17"/>
      <c r="P3228" s="17" t="b">
        <f>IFERROR(__xludf.DUMMYFUNCTION("""COMPUTED_VALUE"""),FALSE)</f>
        <v>0</v>
      </c>
      <c r="Q3228" s="20" t="str">
        <f>IFERROR(__xludf.DUMMYFUNCTION("""COMPUTED_VALUE"""),"")</f>
        <v/>
      </c>
      <c r="R3228" s="22" t="str">
        <f>IFERROR(__xludf.DUMMYFUNCTION("""COMPUTED_VALUE"""),"")</f>
        <v/>
      </c>
    </row>
    <row r="3229">
      <c r="A3229" s="15">
        <f>IFERROR(__xludf.DUMMYFUNCTION("""COMPUTED_VALUE"""),45093.0)</f>
        <v>45093</v>
      </c>
      <c r="B3229" s="16" t="str">
        <f>IFERROR(__xludf.DUMMYFUNCTION("""COMPUTED_VALUE"""),"Lina Gaona")</f>
        <v>Lina Gaona</v>
      </c>
      <c r="C3229" s="15" t="str">
        <f>IFERROR(__xludf.DUMMYFUNCTION("""COMPUTED_VALUE"""),"SANTA MARTA")</f>
        <v>SANTA MARTA</v>
      </c>
      <c r="D3229" s="15" t="str">
        <f>IFERROR(__xludf.DUMMYFUNCTION("""COMPUTED_VALUE"""),"MEDELLÍN")</f>
        <v>MEDELLÍN</v>
      </c>
      <c r="E3229" s="15" t="str">
        <f>IFERROR(__xludf.DUMMYFUNCTION("""COMPUTED_VALUE"""),"Terravocado")</f>
        <v>Terravocado</v>
      </c>
      <c r="F3229" s="17" t="str">
        <f>IFERROR(__xludf.DUMMYFUNCTION("""COMPUTED_VALUE"""),"CALLE 18 #4 - 5  / DEALER TAQUERIA / BARRIO CENTRO")</f>
        <v>CALLE 18 #4 - 5  / DEALER TAQUERIA / BARRIO CENTRO</v>
      </c>
      <c r="G3229" s="15" t="str">
        <f>IFERROR(__xludf.DUMMYFUNCTION("""COMPUTED_VALUE"""),"DEALER")</f>
        <v>DEALER</v>
      </c>
      <c r="H3229" s="16">
        <f>IFERROR(__xludf.DUMMYFUNCTION("""COMPUTED_VALUE"""),11681.0)</f>
        <v>11681</v>
      </c>
      <c r="I3229" s="18">
        <f>IFERROR(__xludf.DUMMYFUNCTION("""COMPUTED_VALUE"""),20.0)</f>
        <v>20</v>
      </c>
      <c r="J3229" s="18">
        <f>IFERROR(__xludf.DUMMYFUNCTION("""COMPUTED_VALUE"""),20.0)</f>
        <v>20</v>
      </c>
      <c r="K3229" s="18">
        <f>IFERROR(__xludf.DUMMYFUNCTION("""COMPUTED_VALUE"""),34.0)</f>
        <v>34</v>
      </c>
      <c r="L3229" s="17">
        <f>IFERROR(__xludf.DUMMYFUNCTION("""COMPUTED_VALUE"""),3.13672152E9)</f>
        <v>3136721520</v>
      </c>
      <c r="M3229" s="17" t="str">
        <f>IFERROR(__xludf.DUMMYFUNCTION("""COMPUTED_VALUE"""),"#REF!")</f>
        <v>#REF!</v>
      </c>
      <c r="N3229" s="17"/>
      <c r="O3229" s="17"/>
      <c r="P3229" s="17" t="b">
        <f>IFERROR(__xludf.DUMMYFUNCTION("""COMPUTED_VALUE"""),FALSE)</f>
        <v>0</v>
      </c>
      <c r="Q3229" s="20" t="str">
        <f>IFERROR(__xludf.DUMMYFUNCTION("""COMPUTED_VALUE"""),"")</f>
        <v/>
      </c>
      <c r="R3229" s="21" t="str">
        <f>IFERROR(__xludf.DUMMYFUNCTION("""COMPUTED_VALUE"""),"https://drive.google.com/file/d/1n-0nREUOYpDrf3nAbszTjMz49RPTliHu/view?usp=drivesdk")</f>
        <v>https://drive.google.com/file/d/1n-0nREUOYpDrf3nAbszTjMz49RPTliHu/view?usp=drivesdk</v>
      </c>
    </row>
    <row r="3230">
      <c r="A3230" s="17" t="str">
        <f>IFERROR(__xludf.DUMMYFUNCTION("""COMPUTED_VALUE"""),"")</f>
        <v/>
      </c>
      <c r="B3230" s="17" t="str">
        <f>IFERROR(__xludf.DUMMYFUNCTION("""COMPUTED_VALUE"""),"")</f>
        <v/>
      </c>
      <c r="C3230" s="17" t="str">
        <f>IFERROR(__xludf.DUMMYFUNCTION("""COMPUTED_VALUE"""),"")</f>
        <v/>
      </c>
      <c r="D3230" s="17" t="str">
        <f>IFERROR(__xludf.DUMMYFUNCTION("""COMPUTED_VALUE"""),"")</f>
        <v/>
      </c>
      <c r="E3230" s="17" t="str">
        <f>IFERROR(__xludf.DUMMYFUNCTION("""COMPUTED_VALUE"""),"")</f>
        <v/>
      </c>
      <c r="F3230" s="17" t="str">
        <f>IFERROR(__xludf.DUMMYFUNCTION("""COMPUTED_VALUE"""),"")</f>
        <v/>
      </c>
      <c r="G3230" s="17" t="str">
        <f>IFERROR(__xludf.DUMMYFUNCTION("""COMPUTED_VALUE"""),"")</f>
        <v/>
      </c>
      <c r="H3230" s="17" t="str">
        <f>IFERROR(__xludf.DUMMYFUNCTION("""COMPUTED_VALUE"""),"")</f>
        <v/>
      </c>
      <c r="I3230" s="17" t="str">
        <f>IFERROR(__xludf.DUMMYFUNCTION("""COMPUTED_VALUE"""),"")</f>
        <v/>
      </c>
      <c r="J3230" s="17" t="str">
        <f>IFERROR(__xludf.DUMMYFUNCTION("""COMPUTED_VALUE"""),"")</f>
        <v/>
      </c>
      <c r="K3230" s="17" t="str">
        <f>IFERROR(__xludf.DUMMYFUNCTION("""COMPUTED_VALUE"""),"")</f>
        <v/>
      </c>
      <c r="L3230" s="17" t="str">
        <f>IFERROR(__xludf.DUMMYFUNCTION("""COMPUTED_VALUE"""),"")</f>
        <v/>
      </c>
      <c r="M3230" s="17" t="str">
        <f>IFERROR(__xludf.DUMMYFUNCTION("""COMPUTED_VALUE"""),"")</f>
        <v/>
      </c>
      <c r="N3230" s="17" t="str">
        <f>IFERROR(__xludf.DUMMYFUNCTION("""COMPUTED_VALUE"""),"")</f>
        <v/>
      </c>
      <c r="O3230" s="17" t="str">
        <f>IFERROR(__xludf.DUMMYFUNCTION("""COMPUTED_VALUE"""),"")</f>
        <v/>
      </c>
      <c r="P3230" s="17" t="str">
        <f>IFERROR(__xludf.DUMMYFUNCTION("""COMPUTED_VALUE"""),"")</f>
        <v/>
      </c>
      <c r="Q3230" s="17" t="str">
        <f>IFERROR(__xludf.DUMMYFUNCTION("""COMPUTED_VALUE"""),"")</f>
        <v/>
      </c>
      <c r="R3230" s="17" t="str">
        <f>IFERROR(__xludf.DUMMYFUNCTION("""COMPUTED_VALUE"""),"")</f>
        <v/>
      </c>
    </row>
    <row r="3231">
      <c r="A3231" s="15">
        <f>IFERROR(__xludf.DUMMYFUNCTION("""COMPUTED_VALUE"""),45093.0)</f>
        <v>45093</v>
      </c>
      <c r="B3231" s="16" t="str">
        <f>IFERROR(__xludf.DUMMYFUNCTION("""COMPUTED_VALUE"""),"Orlando Urdaneta Rincon ")</f>
        <v>Orlando Urdaneta Rincon </v>
      </c>
      <c r="C3231" s="15" t="str">
        <f>IFERROR(__xludf.DUMMYFUNCTION("""COMPUTED_VALUE"""),"BOGOTÁ")</f>
        <v>BOGOTÁ</v>
      </c>
      <c r="D3231" s="15" t="str">
        <f>IFERROR(__xludf.DUMMYFUNCTION("""COMPUTED_VALUE"""),"MEDELLÍN")</f>
        <v>MEDELLÍN</v>
      </c>
      <c r="E3231" s="15" t="str">
        <f>IFERROR(__xludf.DUMMYFUNCTION("""COMPUTED_VALUE"""),"Rambla")</f>
        <v>Rambla</v>
      </c>
      <c r="F3231" s="17" t="str">
        <f>IFERROR(__xludf.DUMMYFUNCTION("""COMPUTED_VALUE"""),"Cll 8 sur # 39 _34. Ciudad montes / NA / NA")</f>
        <v>Cll 8 sur # 39 _34. Ciudad montes / NA / NA</v>
      </c>
      <c r="G3231" s="15" t="str">
        <f>IFERROR(__xludf.DUMMYFUNCTION("""COMPUTED_VALUE"""),"Tierra Fértil")</f>
        <v>Tierra Fértil</v>
      </c>
      <c r="H3231" s="16">
        <f>IFERROR(__xludf.DUMMYFUNCTION("""COMPUTED_VALUE"""),11768.0)</f>
        <v>11768</v>
      </c>
      <c r="I3231" s="18">
        <f>IFERROR(__xludf.DUMMYFUNCTION("""COMPUTED_VALUE"""),21.0)</f>
        <v>21</v>
      </c>
      <c r="J3231" s="18">
        <f>IFERROR(__xludf.DUMMYFUNCTION("""COMPUTED_VALUE"""),23.0)</f>
        <v>23</v>
      </c>
      <c r="K3231" s="18">
        <f>IFERROR(__xludf.DUMMYFUNCTION("""COMPUTED_VALUE"""),25.0)</f>
        <v>25</v>
      </c>
      <c r="L3231" s="17">
        <f>IFERROR(__xludf.DUMMYFUNCTION("""COMPUTED_VALUE"""),3.112876801E9)</f>
        <v>3112876801</v>
      </c>
      <c r="M3231" s="17" t="str">
        <f>IFERROR(__xludf.DUMMYFUNCTION("""COMPUTED_VALUE"""),"#REF!")</f>
        <v>#REF!</v>
      </c>
      <c r="N3231" s="17"/>
      <c r="O3231" s="17"/>
      <c r="P3231" s="17" t="b">
        <f>IFERROR(__xludf.DUMMYFUNCTION("""COMPUTED_VALUE"""),FALSE)</f>
        <v>0</v>
      </c>
      <c r="Q3231" s="20" t="str">
        <f>IFERROR(__xludf.DUMMYFUNCTION("""COMPUTED_VALUE"""),"")</f>
        <v/>
      </c>
      <c r="R3231" s="21" t="str">
        <f>IFERROR(__xludf.DUMMYFUNCTION("""COMPUTED_VALUE"""),"https://drive.google.com/file/d/1tNrAxyiGAEXUNkVX1BbJUf9WoBCuZQzW/view?usp=drivesdk")</f>
        <v>https://drive.google.com/file/d/1tNrAxyiGAEXUNkVX1BbJUf9WoBCuZQzW/view?usp=drivesdk</v>
      </c>
    </row>
    <row r="3232">
      <c r="A3232" s="15">
        <f>IFERROR(__xludf.DUMMYFUNCTION("""COMPUTED_VALUE"""),45093.0)</f>
        <v>45093</v>
      </c>
      <c r="B3232" s="16" t="str">
        <f>IFERROR(__xludf.DUMMYFUNCTION("""COMPUTED_VALUE"""),"Orlando Urdaneta Rincon ")</f>
        <v>Orlando Urdaneta Rincon </v>
      </c>
      <c r="C3232" s="15" t="str">
        <f>IFERROR(__xludf.DUMMYFUNCTION("""COMPUTED_VALUE"""),"BOGOTÁ")</f>
        <v>BOGOTÁ</v>
      </c>
      <c r="D3232" s="15" t="str">
        <f>IFERROR(__xludf.DUMMYFUNCTION("""COMPUTED_VALUE"""),"MEDELLÍN")</f>
        <v>MEDELLÍN</v>
      </c>
      <c r="E3232" s="15" t="str">
        <f>IFERROR(__xludf.DUMMYFUNCTION("""COMPUTED_VALUE"""),"TOLEDALES S.A.S")</f>
        <v>TOLEDALES S.A.S</v>
      </c>
      <c r="F3232" s="17" t="str">
        <f>IFERROR(__xludf.DUMMYFUNCTION("""COMPUTED_VALUE"""),"Av calle 92 # 11-51. / oficina 802")</f>
        <v>Av calle 92 # 11-51. / oficina 802</v>
      </c>
      <c r="G3232" s="15" t="str">
        <f>IFERROR(__xludf.DUMMYFUNCTION("""COMPUTED_VALUE"""),"felipe lozano")</f>
        <v>felipe lozano</v>
      </c>
      <c r="H3232" s="16">
        <f>IFERROR(__xludf.DUMMYFUNCTION("""COMPUTED_VALUE"""),11758.0)</f>
        <v>11758</v>
      </c>
      <c r="I3232" s="18">
        <f>IFERROR(__xludf.DUMMYFUNCTION("""COMPUTED_VALUE"""),9.0)</f>
        <v>9</v>
      </c>
      <c r="J3232" s="18">
        <f>IFERROR(__xludf.DUMMYFUNCTION("""COMPUTED_VALUE"""),33.0)</f>
        <v>33</v>
      </c>
      <c r="K3232" s="18">
        <f>IFERROR(__xludf.DUMMYFUNCTION("""COMPUTED_VALUE"""),24.0)</f>
        <v>24</v>
      </c>
      <c r="L3232" s="17">
        <f>IFERROR(__xludf.DUMMYFUNCTION("""COMPUTED_VALUE"""),3.137333975E9)</f>
        <v>3137333975</v>
      </c>
      <c r="M3232" s="17" t="str">
        <f>IFERROR(__xludf.DUMMYFUNCTION("""COMPUTED_VALUE"""),"#REF!")</f>
        <v>#REF!</v>
      </c>
      <c r="N3232" s="17"/>
      <c r="O3232" s="17"/>
      <c r="P3232" s="17" t="b">
        <f>IFERROR(__xludf.DUMMYFUNCTION("""COMPUTED_VALUE"""),FALSE)</f>
        <v>0</v>
      </c>
      <c r="Q3232" s="20" t="str">
        <f>IFERROR(__xludf.DUMMYFUNCTION("""COMPUTED_VALUE"""),"")</f>
        <v/>
      </c>
      <c r="R3232" s="21" t="str">
        <f>IFERROR(__xludf.DUMMYFUNCTION("""COMPUTED_VALUE"""),"https://drive.google.com/file/d/1ZH4b3XCN99d1hxM9CK6y-If33ePJWsnN/view?usp=drivesdk")</f>
        <v>https://drive.google.com/file/d/1ZH4b3XCN99d1hxM9CK6y-If33ePJWsnN/view?usp=drivesdk</v>
      </c>
    </row>
    <row r="3233">
      <c r="A3233" s="15">
        <f>IFERROR(__xludf.DUMMYFUNCTION("""COMPUTED_VALUE"""),45093.0)</f>
        <v>45093</v>
      </c>
      <c r="B3233" s="16" t="str">
        <f>IFERROR(__xludf.DUMMYFUNCTION("""COMPUTED_VALUE"""),"Orlando Urdaneta Rincon ")</f>
        <v>Orlando Urdaneta Rincon </v>
      </c>
      <c r="C3233" s="15" t="str">
        <f>IFERROR(__xludf.DUMMYFUNCTION("""COMPUTED_VALUE"""),"SANTA MARTA")</f>
        <v>SANTA MARTA</v>
      </c>
      <c r="D3233" s="15" t="str">
        <f>IFERROR(__xludf.DUMMYFUNCTION("""COMPUTED_VALUE"""),"BOGOTÁ")</f>
        <v>BOGOTÁ</v>
      </c>
      <c r="E3233" s="15" t="str">
        <f>IFERROR(__xludf.DUMMYFUNCTION("""COMPUTED_VALUE"""),"Evamazzita")</f>
        <v>Evamazzita</v>
      </c>
      <c r="F3233" s="17" t="str">
        <f>IFERROR(__xludf.DUMMYFUNCTION("""COMPUTED_VALUE"""),"CALLE 11B No. 26 - 15 / JUAN 23 / SANTA MARTA")</f>
        <v>CALLE 11B No. 26 - 15 / JUAN 23 / SANTA MARTA</v>
      </c>
      <c r="G3233" s="15" t="str">
        <f>IFERROR(__xludf.DUMMYFUNCTION("""COMPUTED_VALUE"""),"CRISTINA SANJUAN PAREDES")</f>
        <v>CRISTINA SANJUAN PAREDES</v>
      </c>
      <c r="H3233" s="16">
        <f>IFERROR(__xludf.DUMMYFUNCTION("""COMPUTED_VALUE"""),11724.0)</f>
        <v>11724</v>
      </c>
      <c r="I3233" s="18">
        <f>IFERROR(__xludf.DUMMYFUNCTION("""COMPUTED_VALUE"""),5.0)</f>
        <v>5</v>
      </c>
      <c r="J3233" s="18">
        <f>IFERROR(__xludf.DUMMYFUNCTION("""COMPUTED_VALUE"""),22.0)</f>
        <v>22</v>
      </c>
      <c r="K3233" s="18">
        <f>IFERROR(__xludf.DUMMYFUNCTION("""COMPUTED_VALUE"""),16.0)</f>
        <v>16</v>
      </c>
      <c r="L3233" s="17">
        <f>IFERROR(__xludf.DUMMYFUNCTION("""COMPUTED_VALUE"""),3.215964037E9)</f>
        <v>3215964037</v>
      </c>
      <c r="M3233" s="17" t="str">
        <f>IFERROR(__xludf.DUMMYFUNCTION("""COMPUTED_VALUE"""),"#REF!")</f>
        <v>#REF!</v>
      </c>
      <c r="N3233" s="17"/>
      <c r="O3233" s="17"/>
      <c r="P3233" s="17" t="b">
        <f>IFERROR(__xludf.DUMMYFUNCTION("""COMPUTED_VALUE"""),FALSE)</f>
        <v>0</v>
      </c>
      <c r="Q3233" s="20" t="str">
        <f>IFERROR(__xludf.DUMMYFUNCTION("""COMPUTED_VALUE"""),"")</f>
        <v/>
      </c>
      <c r="R3233" s="21" t="str">
        <f>IFERROR(__xludf.DUMMYFUNCTION("""COMPUTED_VALUE"""),"https://drive.google.com/file/d/1mFGDSiIxHztZWtqP3NjAGr5utpYfRvw6/view?usp=drivesdk")</f>
        <v>https://drive.google.com/file/d/1mFGDSiIxHztZWtqP3NjAGr5utpYfRvw6/view?usp=drivesdk</v>
      </c>
    </row>
    <row r="3234">
      <c r="A3234" s="15">
        <f>IFERROR(__xludf.DUMMYFUNCTION("""COMPUTED_VALUE"""),45093.0)</f>
        <v>45093</v>
      </c>
      <c r="B3234" s="16" t="str">
        <f>IFERROR(__xludf.DUMMYFUNCTION("""COMPUTED_VALUE"""),"Orlando Urdaneta Rincon ")</f>
        <v>Orlando Urdaneta Rincon </v>
      </c>
      <c r="C3234" s="15" t="str">
        <f>IFERROR(__xludf.DUMMYFUNCTION("""COMPUTED_VALUE"""),"SANTA MARTA")</f>
        <v>SANTA MARTA</v>
      </c>
      <c r="D3234" s="15" t="str">
        <f>IFERROR(__xludf.DUMMYFUNCTION("""COMPUTED_VALUE"""),"BOGOTÁ")</f>
        <v>BOGOTÁ</v>
      </c>
      <c r="E3234" s="15" t="str">
        <f>IFERROR(__xludf.DUMMYFUNCTION("""COMPUTED_VALUE"""),"Ins. Alimento Vital")</f>
        <v>Ins. Alimento Vital</v>
      </c>
      <c r="F3234" s="17" t="str">
        <f>IFERROR(__xludf.DUMMYFUNCTION("""COMPUTED_VALUE"""),"CR 1 B 26 A 109 / EDIFICIO ALMIRANTE APTO 501 / EDIFICIO ALMIRANTE")</f>
        <v>CR 1 B 26 A 109 / EDIFICIO ALMIRANTE APTO 501 / EDIFICIO ALMIRANTE</v>
      </c>
      <c r="G3234" s="15" t="str">
        <f>IFERROR(__xludf.DUMMYFUNCTION("""COMPUTED_VALUE"""),"VERONICA GOMEZ DE ZUBIRIA")</f>
        <v>VERONICA GOMEZ DE ZUBIRIA</v>
      </c>
      <c r="H3234" s="16">
        <f>IFERROR(__xludf.DUMMYFUNCTION("""COMPUTED_VALUE"""),11720.0)</f>
        <v>11720</v>
      </c>
      <c r="I3234" s="18">
        <f>IFERROR(__xludf.DUMMYFUNCTION("""COMPUTED_VALUE"""),1.0)</f>
        <v>1</v>
      </c>
      <c r="J3234" s="18">
        <f>IFERROR(__xludf.DUMMYFUNCTION("""COMPUTED_VALUE"""),1.0)</f>
        <v>1</v>
      </c>
      <c r="K3234" s="18">
        <f>IFERROR(__xludf.DUMMYFUNCTION("""COMPUTED_VALUE"""),1.0)</f>
        <v>1</v>
      </c>
      <c r="L3234" s="17">
        <f>IFERROR(__xludf.DUMMYFUNCTION("""COMPUTED_VALUE"""),3.107893555E9)</f>
        <v>3107893555</v>
      </c>
      <c r="M3234" s="17" t="str">
        <f>IFERROR(__xludf.DUMMYFUNCTION("""COMPUTED_VALUE"""),"#REF!")</f>
        <v>#REF!</v>
      </c>
      <c r="N3234" s="17"/>
      <c r="O3234" s="17"/>
      <c r="P3234" s="17" t="b">
        <f>IFERROR(__xludf.DUMMYFUNCTION("""COMPUTED_VALUE"""),FALSE)</f>
        <v>0</v>
      </c>
      <c r="Q3234" s="20" t="str">
        <f>IFERROR(__xludf.DUMMYFUNCTION("""COMPUTED_VALUE"""),"")</f>
        <v/>
      </c>
      <c r="R3234" s="21" t="str">
        <f>IFERROR(__xludf.DUMMYFUNCTION("""COMPUTED_VALUE"""),"https://drive.google.com/file/d/1i8YD22WwMAja7RwIq0NEaWjVx_9RDSrz/view?usp=drivesdk")</f>
        <v>https://drive.google.com/file/d/1i8YD22WwMAja7RwIq0NEaWjVx_9RDSrz/view?usp=drivesdk</v>
      </c>
    </row>
    <row r="3235">
      <c r="A3235" s="17" t="str">
        <f>IFERROR(__xludf.DUMMYFUNCTION("""COMPUTED_VALUE"""),"")</f>
        <v/>
      </c>
      <c r="B3235" s="17" t="str">
        <f>IFERROR(__xludf.DUMMYFUNCTION("""COMPUTED_VALUE"""),"")</f>
        <v/>
      </c>
      <c r="C3235" s="17" t="str">
        <f>IFERROR(__xludf.DUMMYFUNCTION("""COMPUTED_VALUE"""),"")</f>
        <v/>
      </c>
      <c r="D3235" s="17" t="str">
        <f>IFERROR(__xludf.DUMMYFUNCTION("""COMPUTED_VALUE"""),"")</f>
        <v/>
      </c>
      <c r="E3235" s="17" t="str">
        <f>IFERROR(__xludf.DUMMYFUNCTION("""COMPUTED_VALUE"""),"")</f>
        <v/>
      </c>
      <c r="F3235" s="17" t="str">
        <f>IFERROR(__xludf.DUMMYFUNCTION("""COMPUTED_VALUE"""),"")</f>
        <v/>
      </c>
      <c r="G3235" s="17" t="str">
        <f>IFERROR(__xludf.DUMMYFUNCTION("""COMPUTED_VALUE"""),"")</f>
        <v/>
      </c>
      <c r="H3235" s="17" t="str">
        <f>IFERROR(__xludf.DUMMYFUNCTION("""COMPUTED_VALUE"""),"")</f>
        <v/>
      </c>
      <c r="I3235" s="17" t="str">
        <f>IFERROR(__xludf.DUMMYFUNCTION("""COMPUTED_VALUE"""),"")</f>
        <v/>
      </c>
      <c r="J3235" s="17" t="str">
        <f>IFERROR(__xludf.DUMMYFUNCTION("""COMPUTED_VALUE"""),"")</f>
        <v/>
      </c>
      <c r="K3235" s="17" t="str">
        <f>IFERROR(__xludf.DUMMYFUNCTION("""COMPUTED_VALUE"""),"")</f>
        <v/>
      </c>
      <c r="L3235" s="17" t="str">
        <f>IFERROR(__xludf.DUMMYFUNCTION("""COMPUTED_VALUE"""),"")</f>
        <v/>
      </c>
      <c r="M3235" s="17" t="str">
        <f>IFERROR(__xludf.DUMMYFUNCTION("""COMPUTED_VALUE"""),"")</f>
        <v/>
      </c>
      <c r="N3235" s="17" t="str">
        <f>IFERROR(__xludf.DUMMYFUNCTION("""COMPUTED_VALUE"""),"")</f>
        <v/>
      </c>
      <c r="O3235" s="17" t="str">
        <f>IFERROR(__xludf.DUMMYFUNCTION("""COMPUTED_VALUE"""),"")</f>
        <v/>
      </c>
      <c r="P3235" s="17" t="str">
        <f>IFERROR(__xludf.DUMMYFUNCTION("""COMPUTED_VALUE"""),"")</f>
        <v/>
      </c>
      <c r="Q3235" s="17" t="str">
        <f>IFERROR(__xludf.DUMMYFUNCTION("""COMPUTED_VALUE"""),"")</f>
        <v/>
      </c>
      <c r="R3235" s="17" t="str">
        <f>IFERROR(__xludf.DUMMYFUNCTION("""COMPUTED_VALUE"""),"")</f>
        <v/>
      </c>
    </row>
    <row r="3236">
      <c r="A3236" s="15">
        <f>IFERROR(__xludf.DUMMYFUNCTION("""COMPUTED_VALUE"""),45094.0)</f>
        <v>45094</v>
      </c>
      <c r="B3236" s="16" t="str">
        <f>IFERROR(__xludf.DUMMYFUNCTION("""COMPUTED_VALUE"""),"Oscar Augusto Meneses Osias")</f>
        <v>Oscar Augusto Meneses Osias</v>
      </c>
      <c r="C3236" s="15" t="str">
        <f>IFERROR(__xludf.DUMMYFUNCTION("""COMPUTED_VALUE"""),"MEDELLÍN")</f>
        <v>MEDELLÍN</v>
      </c>
      <c r="D3236" s="15" t="str">
        <f>IFERROR(__xludf.DUMMYFUNCTION("""COMPUTED_VALUE"""),"BOGOTÁ")</f>
        <v>BOGOTÁ</v>
      </c>
      <c r="E3236" s="15" t="str">
        <f>IFERROR(__xludf.DUMMYFUNCTION("""COMPUTED_VALUE"""),"Mochi")</f>
        <v>Mochi</v>
      </c>
      <c r="F3236" s="17" t="str">
        <f>IFERROR(__xludf.DUMMYFUNCTION("""COMPUTED_VALUE"""),"Centro comercial viva envigado / Centro comercial viva envigado / Centro comercial viva envigado")</f>
        <v>Centro comercial viva envigado / Centro comercial viva envigado / Centro comercial viva envigado</v>
      </c>
      <c r="G3236" s="15" t="str">
        <f>IFERROR(__xludf.DUMMYFUNCTION("""COMPUTED_VALUE"""),"Tania")</f>
        <v>Tania</v>
      </c>
      <c r="H3236" s="16">
        <f>IFERROR(__xludf.DUMMYFUNCTION("""COMPUTED_VALUE"""),11796.0)</f>
        <v>11796</v>
      </c>
      <c r="I3236" s="18">
        <f>IFERROR(__xludf.DUMMYFUNCTION("""COMPUTED_VALUE"""),100.0)</f>
        <v>100</v>
      </c>
      <c r="J3236" s="18">
        <f>IFERROR(__xludf.DUMMYFUNCTION("""COMPUTED_VALUE"""),100.0)</f>
        <v>100</v>
      </c>
      <c r="K3236" s="18">
        <f>IFERROR(__xludf.DUMMYFUNCTION("""COMPUTED_VALUE"""),100.0)</f>
        <v>100</v>
      </c>
      <c r="L3236" s="17">
        <f>IFERROR(__xludf.DUMMYFUNCTION("""COMPUTED_VALUE"""),3.115177645E9)</f>
        <v>3115177645</v>
      </c>
      <c r="M3236" s="17" t="str">
        <f>IFERROR(__xludf.DUMMYFUNCTION("""COMPUTED_VALUE"""),"#REF!")</f>
        <v>#REF!</v>
      </c>
      <c r="N3236" s="17"/>
      <c r="O3236" s="17"/>
      <c r="P3236" s="17" t="b">
        <f>IFERROR(__xludf.DUMMYFUNCTION("""COMPUTED_VALUE"""),FALSE)</f>
        <v>0</v>
      </c>
      <c r="Q3236" s="20" t="str">
        <f>IFERROR(__xludf.DUMMYFUNCTION("""COMPUTED_VALUE"""),"")</f>
        <v/>
      </c>
      <c r="R3236" s="21" t="str">
        <f>IFERROR(__xludf.DUMMYFUNCTION("""COMPUTED_VALUE"""),"https://drive.google.com/file/d/1Ve1qcJD_1TFgNFpwI8-jndc6CcZb5wpn/view?usp=drivesdk")</f>
        <v>https://drive.google.com/file/d/1Ve1qcJD_1TFgNFpwI8-jndc6CcZb5wpn/view?usp=drivesdk</v>
      </c>
    </row>
    <row r="3237">
      <c r="A3237" s="17" t="str">
        <f>IFERROR(__xludf.DUMMYFUNCTION("""COMPUTED_VALUE"""),"")</f>
        <v/>
      </c>
      <c r="B3237" s="17" t="str">
        <f>IFERROR(__xludf.DUMMYFUNCTION("""COMPUTED_VALUE"""),"")</f>
        <v/>
      </c>
      <c r="C3237" s="17" t="str">
        <f>IFERROR(__xludf.DUMMYFUNCTION("""COMPUTED_VALUE"""),"")</f>
        <v/>
      </c>
      <c r="D3237" s="17" t="str">
        <f>IFERROR(__xludf.DUMMYFUNCTION("""COMPUTED_VALUE"""),"")</f>
        <v/>
      </c>
      <c r="E3237" s="17" t="str">
        <f>IFERROR(__xludf.DUMMYFUNCTION("""COMPUTED_VALUE"""),"")</f>
        <v/>
      </c>
      <c r="F3237" s="17" t="str">
        <f>IFERROR(__xludf.DUMMYFUNCTION("""COMPUTED_VALUE"""),"")</f>
        <v/>
      </c>
      <c r="G3237" s="17" t="str">
        <f>IFERROR(__xludf.DUMMYFUNCTION("""COMPUTED_VALUE"""),"")</f>
        <v/>
      </c>
      <c r="H3237" s="17" t="str">
        <f>IFERROR(__xludf.DUMMYFUNCTION("""COMPUTED_VALUE"""),"")</f>
        <v/>
      </c>
      <c r="I3237" s="17" t="str">
        <f>IFERROR(__xludf.DUMMYFUNCTION("""COMPUTED_VALUE"""),"")</f>
        <v/>
      </c>
      <c r="J3237" s="17" t="str">
        <f>IFERROR(__xludf.DUMMYFUNCTION("""COMPUTED_VALUE"""),"")</f>
        <v/>
      </c>
      <c r="K3237" s="17" t="str">
        <f>IFERROR(__xludf.DUMMYFUNCTION("""COMPUTED_VALUE"""),"")</f>
        <v/>
      </c>
      <c r="L3237" s="17" t="str">
        <f>IFERROR(__xludf.DUMMYFUNCTION("""COMPUTED_VALUE"""),"")</f>
        <v/>
      </c>
      <c r="M3237" s="17" t="str">
        <f>IFERROR(__xludf.DUMMYFUNCTION("""COMPUTED_VALUE"""),"")</f>
        <v/>
      </c>
      <c r="N3237" s="17" t="str">
        <f>IFERROR(__xludf.DUMMYFUNCTION("""COMPUTED_VALUE"""),"")</f>
        <v/>
      </c>
      <c r="O3237" s="17" t="str">
        <f>IFERROR(__xludf.DUMMYFUNCTION("""COMPUTED_VALUE"""),"")</f>
        <v/>
      </c>
      <c r="P3237" s="17" t="str">
        <f>IFERROR(__xludf.DUMMYFUNCTION("""COMPUTED_VALUE"""),"")</f>
        <v/>
      </c>
      <c r="Q3237" s="17" t="str">
        <f>IFERROR(__xludf.DUMMYFUNCTION("""COMPUTED_VALUE"""),"")</f>
        <v/>
      </c>
      <c r="R3237" s="17" t="str">
        <f>IFERROR(__xludf.DUMMYFUNCTION("""COMPUTED_VALUE"""),"")</f>
        <v/>
      </c>
    </row>
    <row r="3238">
      <c r="A3238" s="15">
        <f>IFERROR(__xludf.DUMMYFUNCTION("""COMPUTED_VALUE"""),45098.0)</f>
        <v>45098</v>
      </c>
      <c r="B3238" s="17"/>
      <c r="C3238" s="15" t="str">
        <f>IFERROR(__xludf.DUMMYFUNCTION("""COMPUTED_VALUE"""),"IBAGUÉ")</f>
        <v>IBAGUÉ</v>
      </c>
      <c r="D3238" s="15" t="str">
        <f>IFERROR(__xludf.DUMMYFUNCTION("""COMPUTED_VALUE"""),"BOGOTÁ")</f>
        <v>BOGOTÁ</v>
      </c>
      <c r="E3238" s="15" t="str">
        <f>IFERROR(__xludf.DUMMYFUNCTION("""COMPUTED_VALUE"""),"Asociacion Agropecuaria Juana Maria")</f>
        <v>Asociacion Agropecuaria Juana Maria</v>
      </c>
      <c r="F3238" s="17" t="str">
        <f>IFERROR(__xludf.DUMMYFUNCTION("""COMPUTED_VALUE"""),"Calle 93 # 7 Sur-90 torre 8 apto 102 Conjunto Residencial Altagracia")</f>
        <v>Calle 93 # 7 Sur-90 torre 8 apto 102 Conjunto Residencial Altagracia</v>
      </c>
      <c r="G3238" s="15" t="str">
        <f>IFERROR(__xludf.DUMMYFUNCTION("""COMPUTED_VALUE"""),"Mariam Yasmin Murillo Rubio")</f>
        <v>Mariam Yasmin Murillo Rubio</v>
      </c>
      <c r="H3238" s="16">
        <f>IFERROR(__xludf.DUMMYFUNCTION("""COMPUTED_VALUE"""),11821.0)</f>
        <v>11821</v>
      </c>
      <c r="I3238" s="18">
        <f>IFERROR(__xludf.DUMMYFUNCTION("""COMPUTED_VALUE"""),12.0)</f>
        <v>12</v>
      </c>
      <c r="J3238" s="18">
        <f>IFERROR(__xludf.DUMMYFUNCTION("""COMPUTED_VALUE"""),37.0)</f>
        <v>37</v>
      </c>
      <c r="K3238" s="18">
        <f>IFERROR(__xludf.DUMMYFUNCTION("""COMPUTED_VALUE"""),20.0)</f>
        <v>20</v>
      </c>
      <c r="L3238" s="17">
        <f>IFERROR(__xludf.DUMMYFUNCTION("""COMPUTED_VALUE"""),3.105789664E9)</f>
        <v>3105789664</v>
      </c>
      <c r="M3238" s="17" t="str">
        <f>IFERROR(__xludf.DUMMYFUNCTION("""COMPUTED_VALUE"""),"#REF!")</f>
        <v>#REF!</v>
      </c>
      <c r="N3238" s="17"/>
      <c r="O3238" s="17"/>
      <c r="P3238" s="17" t="b">
        <f>IFERROR(__xludf.DUMMYFUNCTION("""COMPUTED_VALUE"""),FALSE)</f>
        <v>0</v>
      </c>
      <c r="Q3238" s="20" t="str">
        <f>IFERROR(__xludf.DUMMYFUNCTION("""COMPUTED_VALUE"""),"")</f>
        <v/>
      </c>
      <c r="R3238" s="21" t="str">
        <f>IFERROR(__xludf.DUMMYFUNCTION("""COMPUTED_VALUE"""),"https://drive.google.com/file/d/1tTP53VNMoTPtDEw3MMJciIdz1T8t_kjL/view?usp=drivesdk")</f>
        <v>https://drive.google.com/file/d/1tTP53VNMoTPtDEw3MMJciIdz1T8t_kjL/view?usp=drivesdk</v>
      </c>
    </row>
    <row r="3239">
      <c r="A3239" s="17" t="str">
        <f>IFERROR(__xludf.DUMMYFUNCTION("""COMPUTED_VALUE"""),"")</f>
        <v/>
      </c>
      <c r="B3239" s="17" t="str">
        <f>IFERROR(__xludf.DUMMYFUNCTION("""COMPUTED_VALUE"""),"")</f>
        <v/>
      </c>
      <c r="C3239" s="17" t="str">
        <f>IFERROR(__xludf.DUMMYFUNCTION("""COMPUTED_VALUE"""),"")</f>
        <v/>
      </c>
      <c r="D3239" s="17" t="str">
        <f>IFERROR(__xludf.DUMMYFUNCTION("""COMPUTED_VALUE"""),"")</f>
        <v/>
      </c>
      <c r="E3239" s="17" t="str">
        <f>IFERROR(__xludf.DUMMYFUNCTION("""COMPUTED_VALUE"""),"")</f>
        <v/>
      </c>
      <c r="F3239" s="17" t="str">
        <f>IFERROR(__xludf.DUMMYFUNCTION("""COMPUTED_VALUE"""),"")</f>
        <v/>
      </c>
      <c r="G3239" s="17" t="str">
        <f>IFERROR(__xludf.DUMMYFUNCTION("""COMPUTED_VALUE"""),"")</f>
        <v/>
      </c>
      <c r="H3239" s="17" t="str">
        <f>IFERROR(__xludf.DUMMYFUNCTION("""COMPUTED_VALUE"""),"")</f>
        <v/>
      </c>
      <c r="I3239" s="17" t="str">
        <f>IFERROR(__xludf.DUMMYFUNCTION("""COMPUTED_VALUE"""),"")</f>
        <v/>
      </c>
      <c r="J3239" s="17" t="str">
        <f>IFERROR(__xludf.DUMMYFUNCTION("""COMPUTED_VALUE"""),"")</f>
        <v/>
      </c>
      <c r="K3239" s="17" t="str">
        <f>IFERROR(__xludf.DUMMYFUNCTION("""COMPUTED_VALUE"""),"")</f>
        <v/>
      </c>
      <c r="L3239" s="17" t="str">
        <f>IFERROR(__xludf.DUMMYFUNCTION("""COMPUTED_VALUE"""),"")</f>
        <v/>
      </c>
      <c r="M3239" s="17" t="str">
        <f>IFERROR(__xludf.DUMMYFUNCTION("""COMPUTED_VALUE"""),"")</f>
        <v/>
      </c>
      <c r="N3239" s="17" t="str">
        <f>IFERROR(__xludf.DUMMYFUNCTION("""COMPUTED_VALUE"""),"")</f>
        <v/>
      </c>
      <c r="O3239" s="17" t="str">
        <f>IFERROR(__xludf.DUMMYFUNCTION("""COMPUTED_VALUE"""),"")</f>
        <v/>
      </c>
      <c r="P3239" s="17" t="str">
        <f>IFERROR(__xludf.DUMMYFUNCTION("""COMPUTED_VALUE"""),"")</f>
        <v/>
      </c>
      <c r="Q3239" s="17" t="str">
        <f>IFERROR(__xludf.DUMMYFUNCTION("""COMPUTED_VALUE"""),"")</f>
        <v/>
      </c>
      <c r="R3239" s="17" t="str">
        <f>IFERROR(__xludf.DUMMYFUNCTION("""COMPUTED_VALUE"""),"")</f>
        <v/>
      </c>
    </row>
    <row r="3240">
      <c r="A3240" s="15">
        <f>IFERROR(__xludf.DUMMYFUNCTION("""COMPUTED_VALUE"""),45098.0)</f>
        <v>45098</v>
      </c>
      <c r="B3240" s="16" t="str">
        <f>IFERROR(__xludf.DUMMYFUNCTION("""COMPUTED_VALUE"""),"Daniel José sandoval gonzalez")</f>
        <v>Daniel José sandoval gonzalez</v>
      </c>
      <c r="C3240" s="15" t="str">
        <f>IFERROR(__xludf.DUMMYFUNCTION("""COMPUTED_VALUE"""),"CARTAGO")</f>
        <v>CARTAGO</v>
      </c>
      <c r="D3240" s="15" t="str">
        <f>IFERROR(__xludf.DUMMYFUNCTION("""COMPUTED_VALUE"""),"MEDELLÍN")</f>
        <v>MEDELLÍN</v>
      </c>
      <c r="E3240" s="15" t="str">
        <f>IFERROR(__xludf.DUMMYFUNCTION("""COMPUTED_VALUE"""),"Masar Cocina")</f>
        <v>Masar Cocina</v>
      </c>
      <c r="F3240" s="17" t="str">
        <f>IFERROR(__xludf.DUMMYFUNCTION("""COMPUTED_VALUE"""),"Calle 8 bis n 3b 50 guadalupe cartago / Laboratorio maruja Aristizabal  / Guadalupe cartago valle del cauca")</f>
        <v>Calle 8 bis n 3b 50 guadalupe cartago / Laboratorio maruja Aristizabal  / Guadalupe cartago valle del cauca</v>
      </c>
      <c r="G3240" s="15" t="str">
        <f>IFERROR(__xludf.DUMMYFUNCTION("""COMPUTED_VALUE"""),"Stefany mosquera atehortua")</f>
        <v>Stefany mosquera atehortua</v>
      </c>
      <c r="H3240" s="16">
        <f>IFERROR(__xludf.DUMMYFUNCTION("""COMPUTED_VALUE"""),11807.0)</f>
        <v>11807</v>
      </c>
      <c r="I3240" s="18">
        <f>IFERROR(__xludf.DUMMYFUNCTION("""COMPUTED_VALUE"""),10.0)</f>
        <v>10</v>
      </c>
      <c r="J3240" s="18">
        <f>IFERROR(__xludf.DUMMYFUNCTION("""COMPUTED_VALUE"""),20.0)</f>
        <v>20</v>
      </c>
      <c r="K3240" s="18">
        <f>IFERROR(__xludf.DUMMYFUNCTION("""COMPUTED_VALUE"""),40.0)</f>
        <v>40</v>
      </c>
      <c r="L3240" s="17">
        <f>IFERROR(__xludf.DUMMYFUNCTION("""COMPUTED_VALUE"""),3.204659613E9)</f>
        <v>3204659613</v>
      </c>
      <c r="M3240" s="17" t="str">
        <f>IFERROR(__xludf.DUMMYFUNCTION("""COMPUTED_VALUE"""),"#REF!")</f>
        <v>#REF!</v>
      </c>
      <c r="N3240" s="17"/>
      <c r="O3240" s="17"/>
      <c r="P3240" s="17" t="b">
        <f>IFERROR(__xludf.DUMMYFUNCTION("""COMPUTED_VALUE"""),FALSE)</f>
        <v>0</v>
      </c>
      <c r="Q3240" s="20" t="str">
        <f>IFERROR(__xludf.DUMMYFUNCTION("""COMPUTED_VALUE"""),"")</f>
        <v/>
      </c>
      <c r="R3240" s="22" t="str">
        <f>IFERROR(__xludf.DUMMYFUNCTION("""COMPUTED_VALUE"""),"")</f>
        <v/>
      </c>
    </row>
    <row r="3241">
      <c r="A3241" s="15">
        <f>IFERROR(__xludf.DUMMYFUNCTION("""COMPUTED_VALUE"""),45098.0)</f>
        <v>45098</v>
      </c>
      <c r="B3241" s="16" t="str">
        <f>IFERROR(__xludf.DUMMYFUNCTION("""COMPUTED_VALUE"""),"Daniel José sandoval gonzalez")</f>
        <v>Daniel José sandoval gonzalez</v>
      </c>
      <c r="C3241" s="15" t="str">
        <f>IFERROR(__xludf.DUMMYFUNCTION("""COMPUTED_VALUE"""),"CARTAGO")</f>
        <v>CARTAGO</v>
      </c>
      <c r="D3241" s="15" t="str">
        <f>IFERROR(__xludf.DUMMYFUNCTION("""COMPUTED_VALUE"""),"MEDELLÍN")</f>
        <v>MEDELLÍN</v>
      </c>
      <c r="E3241" s="15" t="str">
        <f>IFERROR(__xludf.DUMMYFUNCTION("""COMPUTED_VALUE"""),"Masar Cocina")</f>
        <v>Masar Cocina</v>
      </c>
      <c r="F3241" s="17" t="str">
        <f>IFERROR(__xludf.DUMMYFUNCTION("""COMPUTED_VALUE"""),"Carrera 1c n31-60 / Primero de mayo  / Cartago valle")</f>
        <v>Carrera 1c n31-60 / Primero de mayo  / Cartago valle</v>
      </c>
      <c r="G3241" s="15" t="str">
        <f>IFERROR(__xludf.DUMMYFUNCTION("""COMPUTED_VALUE"""),"Laura Daniela giraldo Hernandez")</f>
        <v>Laura Daniela giraldo Hernandez</v>
      </c>
      <c r="H3241" s="16">
        <f>IFERROR(__xludf.DUMMYFUNCTION("""COMPUTED_VALUE"""),11808.0)</f>
        <v>11808</v>
      </c>
      <c r="I3241" s="18">
        <f>IFERROR(__xludf.DUMMYFUNCTION("""COMPUTED_VALUE"""),12.0)</f>
        <v>12</v>
      </c>
      <c r="J3241" s="18">
        <f>IFERROR(__xludf.DUMMYFUNCTION("""COMPUTED_VALUE"""),10.0)</f>
        <v>10</v>
      </c>
      <c r="K3241" s="18">
        <f>IFERROR(__xludf.DUMMYFUNCTION("""COMPUTED_VALUE"""),10.0)</f>
        <v>10</v>
      </c>
      <c r="L3241" s="17">
        <f>IFERROR(__xludf.DUMMYFUNCTION("""COMPUTED_VALUE"""),3.105443049E9)</f>
        <v>3105443049</v>
      </c>
      <c r="M3241" s="17" t="str">
        <f>IFERROR(__xludf.DUMMYFUNCTION("""COMPUTED_VALUE"""),"#REF!")</f>
        <v>#REF!</v>
      </c>
      <c r="N3241" s="17"/>
      <c r="O3241" s="17"/>
      <c r="P3241" s="17" t="b">
        <f>IFERROR(__xludf.DUMMYFUNCTION("""COMPUTED_VALUE"""),FALSE)</f>
        <v>0</v>
      </c>
      <c r="Q3241" s="20" t="str">
        <f>IFERROR(__xludf.DUMMYFUNCTION("""COMPUTED_VALUE"""),"")</f>
        <v/>
      </c>
      <c r="R3241" s="22" t="str">
        <f>IFERROR(__xludf.DUMMYFUNCTION("""COMPUTED_VALUE"""),"")</f>
        <v/>
      </c>
    </row>
    <row r="3242">
      <c r="A3242" s="17" t="str">
        <f>IFERROR(__xludf.DUMMYFUNCTION("""COMPUTED_VALUE"""),"")</f>
        <v/>
      </c>
      <c r="B3242" s="17" t="str">
        <f>IFERROR(__xludf.DUMMYFUNCTION("""COMPUTED_VALUE"""),"")</f>
        <v/>
      </c>
      <c r="C3242" s="17" t="str">
        <f>IFERROR(__xludf.DUMMYFUNCTION("""COMPUTED_VALUE"""),"")</f>
        <v/>
      </c>
      <c r="D3242" s="17" t="str">
        <f>IFERROR(__xludf.DUMMYFUNCTION("""COMPUTED_VALUE"""),"")</f>
        <v/>
      </c>
      <c r="E3242" s="17" t="str">
        <f>IFERROR(__xludf.DUMMYFUNCTION("""COMPUTED_VALUE"""),"")</f>
        <v/>
      </c>
      <c r="F3242" s="17" t="str">
        <f>IFERROR(__xludf.DUMMYFUNCTION("""COMPUTED_VALUE"""),"")</f>
        <v/>
      </c>
      <c r="G3242" s="17" t="str">
        <f>IFERROR(__xludf.DUMMYFUNCTION("""COMPUTED_VALUE"""),"")</f>
        <v/>
      </c>
      <c r="H3242" s="17" t="str">
        <f>IFERROR(__xludf.DUMMYFUNCTION("""COMPUTED_VALUE"""),"")</f>
        <v/>
      </c>
      <c r="I3242" s="17" t="str">
        <f>IFERROR(__xludf.DUMMYFUNCTION("""COMPUTED_VALUE"""),"")</f>
        <v/>
      </c>
      <c r="J3242" s="17" t="str">
        <f>IFERROR(__xludf.DUMMYFUNCTION("""COMPUTED_VALUE"""),"")</f>
        <v/>
      </c>
      <c r="K3242" s="17" t="str">
        <f>IFERROR(__xludf.DUMMYFUNCTION("""COMPUTED_VALUE"""),"")</f>
        <v/>
      </c>
      <c r="L3242" s="17" t="str">
        <f>IFERROR(__xludf.DUMMYFUNCTION("""COMPUTED_VALUE"""),"")</f>
        <v/>
      </c>
      <c r="M3242" s="17" t="str">
        <f>IFERROR(__xludf.DUMMYFUNCTION("""COMPUTED_VALUE"""),"")</f>
        <v/>
      </c>
      <c r="N3242" s="17" t="str">
        <f>IFERROR(__xludf.DUMMYFUNCTION("""COMPUTED_VALUE"""),"")</f>
        <v/>
      </c>
      <c r="O3242" s="17" t="str">
        <f>IFERROR(__xludf.DUMMYFUNCTION("""COMPUTED_VALUE"""),"")</f>
        <v/>
      </c>
      <c r="P3242" s="17" t="str">
        <f>IFERROR(__xludf.DUMMYFUNCTION("""COMPUTED_VALUE"""),"")</f>
        <v/>
      </c>
      <c r="Q3242" s="17" t="str">
        <f>IFERROR(__xludf.DUMMYFUNCTION("""COMPUTED_VALUE"""),"")</f>
        <v/>
      </c>
      <c r="R3242" s="17" t="str">
        <f>IFERROR(__xludf.DUMMYFUNCTION("""COMPUTED_VALUE"""),"")</f>
        <v/>
      </c>
    </row>
    <row r="3243">
      <c r="A3243" s="15">
        <f>IFERROR(__xludf.DUMMYFUNCTION("""COMPUTED_VALUE"""),45098.0)</f>
        <v>45098</v>
      </c>
      <c r="B3243" s="16" t="str">
        <f>IFERROR(__xludf.DUMMYFUNCTION("""COMPUTED_VALUE"""),"Deivi Alejandro Quintero Corrales")</f>
        <v>Deivi Alejandro Quintero Corrales</v>
      </c>
      <c r="C3243" s="15" t="str">
        <f>IFERROR(__xludf.DUMMYFUNCTION("""COMPUTED_VALUE"""),"ARMENIA")</f>
        <v>ARMENIA</v>
      </c>
      <c r="D3243" s="15" t="str">
        <f>IFERROR(__xludf.DUMMYFUNCTION("""COMPUTED_VALUE"""),"MEDELLÍN")</f>
        <v>MEDELLÍN</v>
      </c>
      <c r="E3243" s="15" t="str">
        <f>IFERROR(__xludf.DUMMYFUNCTION("""COMPUTED_VALUE"""),"Todo Bufala")</f>
        <v>Todo Bufala</v>
      </c>
      <c r="F3243" s="17" t="str">
        <f>IFERROR(__xludf.DUMMYFUNCTION("""COMPUTED_VALUE"""),"Cra 19 #32N - 11 / Bosques de Viena 1 casa 50")</f>
        <v>Cra 19 #32N - 11 / Bosques de Viena 1 casa 50</v>
      </c>
      <c r="G3243" s="15" t="str">
        <f>IFERROR(__xludf.DUMMYFUNCTION("""COMPUTED_VALUE"""),"Jaime Andres Yara Chaves")</f>
        <v>Jaime Andres Yara Chaves</v>
      </c>
      <c r="H3243" s="16">
        <f>IFERROR(__xludf.DUMMYFUNCTION("""COMPUTED_VALUE"""),11800.0)</f>
        <v>11800</v>
      </c>
      <c r="I3243" s="18">
        <f>IFERROR(__xludf.DUMMYFUNCTION("""COMPUTED_VALUE"""),20.0)</f>
        <v>20</v>
      </c>
      <c r="J3243" s="18">
        <f>IFERROR(__xludf.DUMMYFUNCTION("""COMPUTED_VALUE"""),15.0)</f>
        <v>15</v>
      </c>
      <c r="K3243" s="18">
        <f>IFERROR(__xludf.DUMMYFUNCTION("""COMPUTED_VALUE"""),20.0)</f>
        <v>20</v>
      </c>
      <c r="L3243" s="17">
        <f>IFERROR(__xludf.DUMMYFUNCTION("""COMPUTED_VALUE"""),3.102807868E9)</f>
        <v>3102807868</v>
      </c>
      <c r="M3243" s="17" t="str">
        <f>IFERROR(__xludf.DUMMYFUNCTION("""COMPUTED_VALUE"""),"#REF!")</f>
        <v>#REF!</v>
      </c>
      <c r="N3243" s="17"/>
      <c r="O3243" s="17"/>
      <c r="P3243" s="17" t="b">
        <f>IFERROR(__xludf.DUMMYFUNCTION("""COMPUTED_VALUE"""),FALSE)</f>
        <v>0</v>
      </c>
      <c r="Q3243" s="20" t="str">
        <f>IFERROR(__xludf.DUMMYFUNCTION("""COMPUTED_VALUE"""),"")</f>
        <v/>
      </c>
      <c r="R3243" s="21" t="str">
        <f>IFERROR(__xludf.DUMMYFUNCTION("""COMPUTED_VALUE"""),"https://drive.google.com/file/d/19WrMZ0-lNWpryoM6Aex11yTDDjtUOeK3/view?usp=drivesdk")</f>
        <v>https://drive.google.com/file/d/19WrMZ0-lNWpryoM6Aex11yTDDjtUOeK3/view?usp=drivesdk</v>
      </c>
    </row>
    <row r="3244">
      <c r="A3244" s="15">
        <f>IFERROR(__xludf.DUMMYFUNCTION("""COMPUTED_VALUE"""),45098.0)</f>
        <v>45098</v>
      </c>
      <c r="B3244" s="16" t="str">
        <f>IFERROR(__xludf.DUMMYFUNCTION("""COMPUTED_VALUE"""),"Deivi Alejandro Quintero Corrales")</f>
        <v>Deivi Alejandro Quintero Corrales</v>
      </c>
      <c r="C3244" s="15" t="str">
        <f>IFERROR(__xludf.DUMMYFUNCTION("""COMPUTED_VALUE"""),"ARMENIA")</f>
        <v>ARMENIA</v>
      </c>
      <c r="D3244" s="15" t="str">
        <f>IFERROR(__xludf.DUMMYFUNCTION("""COMPUTED_VALUE"""),"MEDELLÍN")</f>
        <v>MEDELLÍN</v>
      </c>
      <c r="E3244" s="15" t="str">
        <f>IFERROR(__xludf.DUMMYFUNCTION("""COMPUTED_VALUE"""),"TOLEDALES S.A.S")</f>
        <v>TOLEDALES S.A.S</v>
      </c>
      <c r="F3244" s="17" t="str">
        <f>IFERROR(__xludf.DUMMYFUNCTION("""COMPUTED_VALUE"""),"Cll23A norte 19 47 / casa 2")</f>
        <v>Cll23A norte 19 47 / casa 2</v>
      </c>
      <c r="G3244" s="15" t="str">
        <f>IFERROR(__xludf.DUMMYFUNCTION("""COMPUTED_VALUE"""),"sandra salas")</f>
        <v>sandra salas</v>
      </c>
      <c r="H3244" s="16">
        <f>IFERROR(__xludf.DUMMYFUNCTION("""COMPUTED_VALUE"""),11840.0)</f>
        <v>11840</v>
      </c>
      <c r="I3244" s="18">
        <f>IFERROR(__xludf.DUMMYFUNCTION("""COMPUTED_VALUE"""),20.0)</f>
        <v>20</v>
      </c>
      <c r="J3244" s="18">
        <f>IFERROR(__xludf.DUMMYFUNCTION("""COMPUTED_VALUE"""),8.0)</f>
        <v>8</v>
      </c>
      <c r="K3244" s="18">
        <f>IFERROR(__xludf.DUMMYFUNCTION("""COMPUTED_VALUE"""),40.0)</f>
        <v>40</v>
      </c>
      <c r="L3244" s="17">
        <f>IFERROR(__xludf.DUMMYFUNCTION("""COMPUTED_VALUE"""),3.176643506E9)</f>
        <v>3176643506</v>
      </c>
      <c r="M3244" s="17" t="str">
        <f>IFERROR(__xludf.DUMMYFUNCTION("""COMPUTED_VALUE"""),"#REF!")</f>
        <v>#REF!</v>
      </c>
      <c r="N3244" s="17"/>
      <c r="O3244" s="17"/>
      <c r="P3244" s="17" t="b">
        <f>IFERROR(__xludf.DUMMYFUNCTION("""COMPUTED_VALUE"""),FALSE)</f>
        <v>0</v>
      </c>
      <c r="Q3244" s="20" t="str">
        <f>IFERROR(__xludf.DUMMYFUNCTION("""COMPUTED_VALUE"""),"")</f>
        <v/>
      </c>
      <c r="R3244" s="21" t="str">
        <f>IFERROR(__xludf.DUMMYFUNCTION("""COMPUTED_VALUE"""),"https://drive.google.com/file/d/1ShXesd34lafswFvccBJwyb0yF4noSYfC/view?usp=drivesdk")</f>
        <v>https://drive.google.com/file/d/1ShXesd34lafswFvccBJwyb0yF4noSYfC/view?usp=drivesdk</v>
      </c>
    </row>
    <row r="3245">
      <c r="A3245" s="15">
        <f>IFERROR(__xludf.DUMMYFUNCTION("""COMPUTED_VALUE"""),45098.0)</f>
        <v>45098</v>
      </c>
      <c r="B3245" s="16" t="str">
        <f>IFERROR(__xludf.DUMMYFUNCTION("""COMPUTED_VALUE"""),"Deivi Alejandro Quintero Corrales")</f>
        <v>Deivi Alejandro Quintero Corrales</v>
      </c>
      <c r="C3245" s="15" t="str">
        <f>IFERROR(__xludf.DUMMYFUNCTION("""COMPUTED_VALUE"""),"CALI")</f>
        <v>CALI</v>
      </c>
      <c r="D3245" s="15" t="str">
        <f>IFERROR(__xludf.DUMMYFUNCTION("""COMPUTED_VALUE"""),"BOGOTÁ")</f>
        <v>BOGOTÁ</v>
      </c>
      <c r="E3245" s="15" t="str">
        <f>IFERROR(__xludf.DUMMYFUNCTION("""COMPUTED_VALUE"""),"Pan de Waffle")</f>
        <v>Pan de Waffle</v>
      </c>
      <c r="F3245" s="17" t="str">
        <f>IFERROR(__xludf.DUMMYFUNCTION("""COMPUTED_VALUE"""),"Carrera 1 OESTE # 1-109 / Carrera 1 OESTE # 1-109 / Carrera 1 OESTE # 1-109")</f>
        <v>Carrera 1 OESTE # 1-109 / Carrera 1 OESTE # 1-109 / Carrera 1 OESTE # 1-109</v>
      </c>
      <c r="G3245" s="15" t="str">
        <f>IFERROR(__xludf.DUMMYFUNCTION("""COMPUTED_VALUE"""),"SUPER A LIMITADA")</f>
        <v>SUPER A LIMITADA</v>
      </c>
      <c r="H3245" s="16">
        <f>IFERROR(__xludf.DUMMYFUNCTION("""COMPUTED_VALUE"""),11875.0)</f>
        <v>11875</v>
      </c>
      <c r="I3245" s="18">
        <f>IFERROR(__xludf.DUMMYFUNCTION("""COMPUTED_VALUE"""),40.0)</f>
        <v>40</v>
      </c>
      <c r="J3245" s="18">
        <f>IFERROR(__xludf.DUMMYFUNCTION("""COMPUTED_VALUE"""),30.0)</f>
        <v>30</v>
      </c>
      <c r="K3245" s="18">
        <f>IFERROR(__xludf.DUMMYFUNCTION("""COMPUTED_VALUE"""),40.0)</f>
        <v>40</v>
      </c>
      <c r="L3245" s="17">
        <f>IFERROR(__xludf.DUMMYFUNCTION("""COMPUTED_VALUE"""),3.163388276E9)</f>
        <v>3163388276</v>
      </c>
      <c r="M3245" s="17" t="str">
        <f>IFERROR(__xludf.DUMMYFUNCTION("""COMPUTED_VALUE"""),"#REF!")</f>
        <v>#REF!</v>
      </c>
      <c r="N3245" s="17"/>
      <c r="O3245" s="17"/>
      <c r="P3245" s="17" t="b">
        <f>IFERROR(__xludf.DUMMYFUNCTION("""COMPUTED_VALUE"""),FALSE)</f>
        <v>0</v>
      </c>
      <c r="Q3245" s="20" t="str">
        <f>IFERROR(__xludf.DUMMYFUNCTION("""COMPUTED_VALUE"""),"")</f>
        <v/>
      </c>
      <c r="R3245" s="21" t="str">
        <f>IFERROR(__xludf.DUMMYFUNCTION("""COMPUTED_VALUE"""),"https://drive.google.com/file/d/1lBZpVqC8VlHNmVJRdYhAqqcHJ4AkfSdB/view?usp=drivesdk")</f>
        <v>https://drive.google.com/file/d/1lBZpVqC8VlHNmVJRdYhAqqcHJ4AkfSdB/view?usp=drivesdk</v>
      </c>
    </row>
    <row r="3246">
      <c r="A3246" s="15">
        <f>IFERROR(__xludf.DUMMYFUNCTION("""COMPUTED_VALUE"""),45098.0)</f>
        <v>45098</v>
      </c>
      <c r="B3246" s="16" t="str">
        <f>IFERROR(__xludf.DUMMYFUNCTION("""COMPUTED_VALUE"""),"Deivi Alejandro Quintero Corrales")</f>
        <v>Deivi Alejandro Quintero Corrales</v>
      </c>
      <c r="C3246" s="15" t="str">
        <f>IFERROR(__xludf.DUMMYFUNCTION("""COMPUTED_VALUE"""),"CALI")</f>
        <v>CALI</v>
      </c>
      <c r="D3246" s="15" t="str">
        <f>IFERROR(__xludf.DUMMYFUNCTION("""COMPUTED_VALUE"""),"BOGOTÁ")</f>
        <v>BOGOTÁ</v>
      </c>
      <c r="E3246" s="15" t="str">
        <f>IFERROR(__xludf.DUMMYFUNCTION("""COMPUTED_VALUE"""),"Pan de Waffle")</f>
        <v>Pan de Waffle</v>
      </c>
      <c r="F3246" s="17" t="str">
        <f>IFERROR(__xludf.DUMMYFUNCTION("""COMPUTED_VALUE"""),"Carrera 1 OESTE # 1-109 / Carrera 1 OESTE # 1-109 / Carrera 1 OESTE # 1-109")</f>
        <v>Carrera 1 OESTE # 1-109 / Carrera 1 OESTE # 1-109 / Carrera 1 OESTE # 1-109</v>
      </c>
      <c r="G3246" s="15" t="str">
        <f>IFERROR(__xludf.DUMMYFUNCTION("""COMPUTED_VALUE"""),"SUPER A LIMITADA")</f>
        <v>SUPER A LIMITADA</v>
      </c>
      <c r="H3246" s="16">
        <f>IFERROR(__xludf.DUMMYFUNCTION("""COMPUTED_VALUE"""),11918.0)</f>
        <v>11918</v>
      </c>
      <c r="I3246" s="18">
        <f>IFERROR(__xludf.DUMMYFUNCTION("""COMPUTED_VALUE"""),30.0)</f>
        <v>30</v>
      </c>
      <c r="J3246" s="18">
        <f>IFERROR(__xludf.DUMMYFUNCTION("""COMPUTED_VALUE"""),40.0)</f>
        <v>40</v>
      </c>
      <c r="K3246" s="18">
        <f>IFERROR(__xludf.DUMMYFUNCTION("""COMPUTED_VALUE"""),40.0)</f>
        <v>40</v>
      </c>
      <c r="L3246" s="17">
        <f>IFERROR(__xludf.DUMMYFUNCTION("""COMPUTED_VALUE"""),3.163388276E9)</f>
        <v>3163388276</v>
      </c>
      <c r="M3246" s="17" t="str">
        <f>IFERROR(__xludf.DUMMYFUNCTION("""COMPUTED_VALUE"""),"#REF!")</f>
        <v>#REF!</v>
      </c>
      <c r="N3246" s="17"/>
      <c r="O3246" s="17"/>
      <c r="P3246" s="17" t="b">
        <f>IFERROR(__xludf.DUMMYFUNCTION("""COMPUTED_VALUE"""),FALSE)</f>
        <v>0</v>
      </c>
      <c r="Q3246" s="20" t="str">
        <f>IFERROR(__xludf.DUMMYFUNCTION("""COMPUTED_VALUE"""),"")</f>
        <v/>
      </c>
      <c r="R3246" s="22" t="str">
        <f>IFERROR(__xludf.DUMMYFUNCTION("""COMPUTED_VALUE"""),"")</f>
        <v/>
      </c>
    </row>
    <row r="3247">
      <c r="A3247" s="15">
        <f>IFERROR(__xludf.DUMMYFUNCTION("""COMPUTED_VALUE"""),45098.0)</f>
        <v>45098</v>
      </c>
      <c r="B3247" s="16" t="str">
        <f>IFERROR(__xludf.DUMMYFUNCTION("""COMPUTED_VALUE"""),"Deivi Alejandro Quintero Corrales")</f>
        <v>Deivi Alejandro Quintero Corrales</v>
      </c>
      <c r="C3247" s="15" t="str">
        <f>IFERROR(__xludf.DUMMYFUNCTION("""COMPUTED_VALUE"""),"PEREIRA")</f>
        <v>PEREIRA</v>
      </c>
      <c r="D3247" s="15" t="str">
        <f>IFERROR(__xludf.DUMMYFUNCTION("""COMPUTED_VALUE"""),"BOGOTÁ")</f>
        <v>BOGOTÁ</v>
      </c>
      <c r="E3247" s="15" t="str">
        <f>IFERROR(__xludf.DUMMYFUNCTION("""COMPUTED_VALUE"""),"Ins. Alimento Vital")</f>
        <v>Ins. Alimento Vital</v>
      </c>
      <c r="F3247" s="17" t="str">
        <f>IFERROR(__xludf.DUMMYFUNCTION("""COMPUTED_VALUE"""),"CR 5 18 43 / EDIFICIO CHALJUB / BARRI URIBE")</f>
        <v>CR 5 18 43 / EDIFICIO CHALJUB / BARRI URIBE</v>
      </c>
      <c r="G3247" s="15" t="str">
        <f>IFERROR(__xludf.DUMMYFUNCTION("""COMPUTED_VALUE"""),"CHALJUB")</f>
        <v>CHALJUB</v>
      </c>
      <c r="H3247" s="16">
        <f>IFERROR(__xludf.DUMMYFUNCTION("""COMPUTED_VALUE"""),11835.0)</f>
        <v>11835</v>
      </c>
      <c r="I3247" s="18">
        <f>IFERROR(__xludf.DUMMYFUNCTION("""COMPUTED_VALUE"""),1.0)</f>
        <v>1</v>
      </c>
      <c r="J3247" s="18">
        <f>IFERROR(__xludf.DUMMYFUNCTION("""COMPUTED_VALUE"""),1.0)</f>
        <v>1</v>
      </c>
      <c r="K3247" s="18">
        <f>IFERROR(__xludf.DUMMYFUNCTION("""COMPUTED_VALUE"""),1.0)</f>
        <v>1</v>
      </c>
      <c r="L3247" s="17">
        <f>IFERROR(__xludf.DUMMYFUNCTION("""COMPUTED_VALUE"""),3.008252529E9)</f>
        <v>3008252529</v>
      </c>
      <c r="M3247" s="17" t="str">
        <f>IFERROR(__xludf.DUMMYFUNCTION("""COMPUTED_VALUE"""),"#REF!")</f>
        <v>#REF!</v>
      </c>
      <c r="N3247" s="17"/>
      <c r="O3247" s="17"/>
      <c r="P3247" s="17" t="b">
        <f>IFERROR(__xludf.DUMMYFUNCTION("""COMPUTED_VALUE"""),FALSE)</f>
        <v>0</v>
      </c>
      <c r="Q3247" s="20" t="str">
        <f>IFERROR(__xludf.DUMMYFUNCTION("""COMPUTED_VALUE"""),"")</f>
        <v/>
      </c>
      <c r="R3247" s="22" t="str">
        <f>IFERROR(__xludf.DUMMYFUNCTION("""COMPUTED_VALUE"""),"")</f>
        <v/>
      </c>
    </row>
    <row r="3248">
      <c r="A3248" s="15">
        <f>IFERROR(__xludf.DUMMYFUNCTION("""COMPUTED_VALUE"""),45098.0)</f>
        <v>45098</v>
      </c>
      <c r="B3248" s="16" t="str">
        <f>IFERROR(__xludf.DUMMYFUNCTION("""COMPUTED_VALUE"""),"Deivi Alejandro Quintero Corrales")</f>
        <v>Deivi Alejandro Quintero Corrales</v>
      </c>
      <c r="C3248" s="15" t="str">
        <f>IFERROR(__xludf.DUMMYFUNCTION("""COMPUTED_VALUE"""),"PEREIRA")</f>
        <v>PEREIRA</v>
      </c>
      <c r="D3248" s="15" t="str">
        <f>IFERROR(__xludf.DUMMYFUNCTION("""COMPUTED_VALUE"""),"BOGOTÁ")</f>
        <v>BOGOTÁ</v>
      </c>
      <c r="E3248" s="15" t="str">
        <f>IFERROR(__xludf.DUMMYFUNCTION("""COMPUTED_VALUE"""),"Top Spun")</f>
        <v>Top Spun</v>
      </c>
      <c r="F3248" s="17" t="str">
        <f>IFERROR(__xludf.DUMMYFUNCTION("""COMPUTED_VALUE"""),"AV LAS AMéRICAS #85-80  / PARQUE RESIDENCIAL SAN SILVESTRE APTO 3015  / PEREIRA")</f>
        <v>AV LAS AMéRICAS #85-80  / PARQUE RESIDENCIAL SAN SILVESTRE APTO 3015  / PEREIRA</v>
      </c>
      <c r="G3248" s="15" t="str">
        <f>IFERROR(__xludf.DUMMYFUNCTION("""COMPUTED_VALUE"""),"STEPHANY COLORADO")</f>
        <v>STEPHANY COLORADO</v>
      </c>
      <c r="H3248" s="16">
        <f>IFERROR(__xludf.DUMMYFUNCTION("""COMPUTED_VALUE"""),11805.0)</f>
        <v>11805</v>
      </c>
      <c r="I3248" s="18">
        <f>IFERROR(__xludf.DUMMYFUNCTION("""COMPUTED_VALUE"""),20.0)</f>
        <v>20</v>
      </c>
      <c r="J3248" s="18">
        <f>IFERROR(__xludf.DUMMYFUNCTION("""COMPUTED_VALUE"""),10.0)</f>
        <v>10</v>
      </c>
      <c r="K3248" s="18">
        <f>IFERROR(__xludf.DUMMYFUNCTION("""COMPUTED_VALUE"""),40.0)</f>
        <v>40</v>
      </c>
      <c r="L3248" s="17">
        <f>IFERROR(__xludf.DUMMYFUNCTION("""COMPUTED_VALUE"""),3.137239429E9)</f>
        <v>3137239429</v>
      </c>
      <c r="M3248" s="17" t="str">
        <f>IFERROR(__xludf.DUMMYFUNCTION("""COMPUTED_VALUE"""),"#REF!")</f>
        <v>#REF!</v>
      </c>
      <c r="N3248" s="17"/>
      <c r="O3248" s="17"/>
      <c r="P3248" s="17" t="b">
        <f>IFERROR(__xludf.DUMMYFUNCTION("""COMPUTED_VALUE"""),FALSE)</f>
        <v>0</v>
      </c>
      <c r="Q3248" s="20" t="str">
        <f>IFERROR(__xludf.DUMMYFUNCTION("""COMPUTED_VALUE"""),"")</f>
        <v/>
      </c>
      <c r="R3248" s="21" t="str">
        <f>IFERROR(__xludf.DUMMYFUNCTION("""COMPUTED_VALUE"""),"https://drive.google.com/file/d/1Tj4NzW2dc0C8YENp1wBgxgGzj569KJHA/view?usp=drivesdk")</f>
        <v>https://drive.google.com/file/d/1Tj4NzW2dc0C8YENp1wBgxgGzj569KJHA/view?usp=drivesdk</v>
      </c>
    </row>
    <row r="3249">
      <c r="A3249" s="15">
        <f>IFERROR(__xludf.DUMMYFUNCTION("""COMPUTED_VALUE"""),45098.0)</f>
        <v>45098</v>
      </c>
      <c r="B3249" s="16" t="str">
        <f>IFERROR(__xludf.DUMMYFUNCTION("""COMPUTED_VALUE"""),"Deivi Alejandro Quintero Corrales")</f>
        <v>Deivi Alejandro Quintero Corrales</v>
      </c>
      <c r="C3249" s="15" t="str">
        <f>IFERROR(__xludf.DUMMYFUNCTION("""COMPUTED_VALUE"""),"PEREIRA")</f>
        <v>PEREIRA</v>
      </c>
      <c r="D3249" s="15" t="str">
        <f>IFERROR(__xludf.DUMMYFUNCTION("""COMPUTED_VALUE"""),"MEDELLÍN")</f>
        <v>MEDELLÍN</v>
      </c>
      <c r="E3249" s="15" t="str">
        <f>IFERROR(__xludf.DUMMYFUNCTION("""COMPUTED_VALUE"""),"AREPAS LA MARY")</f>
        <v>AREPAS LA MARY</v>
      </c>
      <c r="F3249" s="17" t="str">
        <f>IFERROR(__xludf.DUMMYFUNCTION("""COMPUTED_VALUE"""),"CALLE 14 # 14-15")</f>
        <v>CALLE 14 # 14-15</v>
      </c>
      <c r="G3249" s="15" t="str">
        <f>IFERROR(__xludf.DUMMYFUNCTION("""COMPUTED_VALUE"""),"MAJANA FIT TIENDA 1")</f>
        <v>MAJANA FIT TIENDA 1</v>
      </c>
      <c r="H3249" s="16">
        <f>IFERROR(__xludf.DUMMYFUNCTION("""COMPUTED_VALUE"""),11884.0)</f>
        <v>11884</v>
      </c>
      <c r="I3249" s="18">
        <f>IFERROR(__xludf.DUMMYFUNCTION("""COMPUTED_VALUE"""),89.0)</f>
        <v>89</v>
      </c>
      <c r="J3249" s="18">
        <f>IFERROR(__xludf.DUMMYFUNCTION("""COMPUTED_VALUE"""),1.0)</f>
        <v>1</v>
      </c>
      <c r="K3249" s="18">
        <f>IFERROR(__xludf.DUMMYFUNCTION("""COMPUTED_VALUE"""),10.0)</f>
        <v>10</v>
      </c>
      <c r="L3249" s="17" t="str">
        <f>IFERROR(__xludf.DUMMYFUNCTION("""COMPUTED_VALUE"""),"311 6123447")</f>
        <v>311 6123447</v>
      </c>
      <c r="M3249" s="17" t="str">
        <f>IFERROR(__xludf.DUMMYFUNCTION("""COMPUTED_VALUE"""),"#REF!")</f>
        <v>#REF!</v>
      </c>
      <c r="N3249" s="17"/>
      <c r="O3249" s="17"/>
      <c r="P3249" s="17" t="b">
        <f>IFERROR(__xludf.DUMMYFUNCTION("""COMPUTED_VALUE"""),FALSE)</f>
        <v>0</v>
      </c>
      <c r="Q3249" s="20" t="str">
        <f>IFERROR(__xludf.DUMMYFUNCTION("""COMPUTED_VALUE"""),"")</f>
        <v/>
      </c>
      <c r="R3249" s="21" t="str">
        <f>IFERROR(__xludf.DUMMYFUNCTION("""COMPUTED_VALUE"""),"https://drive.google.com/file/d/1_M5CM-ua30ZOuWLAjRqQG-iIlYybp_zp/view?usp=drivesdk")</f>
        <v>https://drive.google.com/file/d/1_M5CM-ua30ZOuWLAjRqQG-iIlYybp_zp/view?usp=drivesdk</v>
      </c>
    </row>
    <row r="3250">
      <c r="A3250" s="15">
        <f>IFERROR(__xludf.DUMMYFUNCTION("""COMPUTED_VALUE"""),45098.0)</f>
        <v>45098</v>
      </c>
      <c r="B3250" s="16" t="str">
        <f>IFERROR(__xludf.DUMMYFUNCTION("""COMPUTED_VALUE"""),"Deivi Alejandro Quintero Corrales")</f>
        <v>Deivi Alejandro Quintero Corrales</v>
      </c>
      <c r="C3250" s="15" t="str">
        <f>IFERROR(__xludf.DUMMYFUNCTION("""COMPUTED_VALUE"""),"PEREIRA")</f>
        <v>PEREIRA</v>
      </c>
      <c r="D3250" s="15" t="str">
        <f>IFERROR(__xludf.DUMMYFUNCTION("""COMPUTED_VALUE"""),"MEDELLÍN")</f>
        <v>MEDELLÍN</v>
      </c>
      <c r="E3250" s="15" t="str">
        <f>IFERROR(__xludf.DUMMYFUNCTION("""COMPUTED_VALUE"""),"Masar Cocina")</f>
        <v>Masar Cocina</v>
      </c>
      <c r="F3250" s="17" t="str">
        <f>IFERROR(__xludf.DUMMYFUNCTION("""COMPUTED_VALUE"""),"Calle 86 portales de birmania mz 10 casa 7a / Birmania pereira risaralda / Birmania")</f>
        <v>Calle 86 portales de birmania mz 10 casa 7a / Birmania pereira risaralda / Birmania</v>
      </c>
      <c r="G3250" s="15" t="str">
        <f>IFERROR(__xludf.DUMMYFUNCTION("""COMPUTED_VALUE"""),"Ana maria bautista")</f>
        <v>Ana maria bautista</v>
      </c>
      <c r="H3250" s="16">
        <f>IFERROR(__xludf.DUMMYFUNCTION("""COMPUTED_VALUE"""),11832.0)</f>
        <v>11832</v>
      </c>
      <c r="I3250" s="18">
        <f>IFERROR(__xludf.DUMMYFUNCTION("""COMPUTED_VALUE"""),13.0)</f>
        <v>13</v>
      </c>
      <c r="J3250" s="18">
        <f>IFERROR(__xludf.DUMMYFUNCTION("""COMPUTED_VALUE"""),15.0)</f>
        <v>15</v>
      </c>
      <c r="K3250" s="18">
        <f>IFERROR(__xludf.DUMMYFUNCTION("""COMPUTED_VALUE"""),15.0)</f>
        <v>15</v>
      </c>
      <c r="L3250" s="17">
        <f>IFERROR(__xludf.DUMMYFUNCTION("""COMPUTED_VALUE"""),3.157318133E9)</f>
        <v>3157318133</v>
      </c>
      <c r="M3250" s="17" t="str">
        <f>IFERROR(__xludf.DUMMYFUNCTION("""COMPUTED_VALUE"""),"#REF!")</f>
        <v>#REF!</v>
      </c>
      <c r="N3250" s="17"/>
      <c r="O3250" s="17"/>
      <c r="P3250" s="17" t="b">
        <f>IFERROR(__xludf.DUMMYFUNCTION("""COMPUTED_VALUE"""),FALSE)</f>
        <v>0</v>
      </c>
      <c r="Q3250" s="20" t="str">
        <f>IFERROR(__xludf.DUMMYFUNCTION("""COMPUTED_VALUE"""),"")</f>
        <v/>
      </c>
      <c r="R3250" s="21" t="str">
        <f>IFERROR(__xludf.DUMMYFUNCTION("""COMPUTED_VALUE"""),"https://drive.google.com/file/d/16aE8DM-aaSpj1SyTpVU_2nQ94T4i0N7j/view?usp=drivesdk")</f>
        <v>https://drive.google.com/file/d/16aE8DM-aaSpj1SyTpVU_2nQ94T4i0N7j/view?usp=drivesdk</v>
      </c>
    </row>
    <row r="3251">
      <c r="A3251" s="15">
        <f>IFERROR(__xludf.DUMMYFUNCTION("""COMPUTED_VALUE"""),45098.0)</f>
        <v>45098</v>
      </c>
      <c r="B3251" s="16" t="str">
        <f>IFERROR(__xludf.DUMMYFUNCTION("""COMPUTED_VALUE"""),"Deivi Alejandro Quintero Corrales")</f>
        <v>Deivi Alejandro Quintero Corrales</v>
      </c>
      <c r="C3251" s="15" t="str">
        <f>IFERROR(__xludf.DUMMYFUNCTION("""COMPUTED_VALUE"""),"PEREIRA")</f>
        <v>PEREIRA</v>
      </c>
      <c r="D3251" s="15" t="str">
        <f>IFERROR(__xludf.DUMMYFUNCTION("""COMPUTED_VALUE"""),"MEDELLÍN")</f>
        <v>MEDELLÍN</v>
      </c>
      <c r="E3251" s="15" t="str">
        <f>IFERROR(__xludf.DUMMYFUNCTION("""COMPUTED_VALUE"""),"Masar Cocina")</f>
        <v>Masar Cocina</v>
      </c>
      <c r="F3251" s="17" t="str">
        <f>IFERROR(__xludf.DUMMYFUNCTION("""COMPUTED_VALUE"""),"Calle 95 n 40-75  / Kaoba maz 3 casa 10 / Av condina pereira risaralda")</f>
        <v>Calle 95 n 40-75  / Kaoba maz 3 casa 10 / Av condina pereira risaralda</v>
      </c>
      <c r="G3251" s="15" t="str">
        <f>IFERROR(__xludf.DUMMYFUNCTION("""COMPUTED_VALUE"""),"Laura catalina escobar")</f>
        <v>Laura catalina escobar</v>
      </c>
      <c r="H3251" s="16">
        <f>IFERROR(__xludf.DUMMYFUNCTION("""COMPUTED_VALUE"""),11833.0)</f>
        <v>11833</v>
      </c>
      <c r="I3251" s="18">
        <f>IFERROR(__xludf.DUMMYFUNCTION("""COMPUTED_VALUE"""),13.0)</f>
        <v>13</v>
      </c>
      <c r="J3251" s="18">
        <f>IFERROR(__xludf.DUMMYFUNCTION("""COMPUTED_VALUE"""),15.0)</f>
        <v>15</v>
      </c>
      <c r="K3251" s="18">
        <f>IFERROR(__xludf.DUMMYFUNCTION("""COMPUTED_VALUE"""),15.0)</f>
        <v>15</v>
      </c>
      <c r="L3251" s="17">
        <f>IFERROR(__xludf.DUMMYFUNCTION("""COMPUTED_VALUE"""),3.106116468E9)</f>
        <v>3106116468</v>
      </c>
      <c r="M3251" s="17" t="str">
        <f>IFERROR(__xludf.DUMMYFUNCTION("""COMPUTED_VALUE"""),"#REF!")</f>
        <v>#REF!</v>
      </c>
      <c r="N3251" s="17"/>
      <c r="O3251" s="17"/>
      <c r="P3251" s="17" t="b">
        <f>IFERROR(__xludf.DUMMYFUNCTION("""COMPUTED_VALUE"""),FALSE)</f>
        <v>0</v>
      </c>
      <c r="Q3251" s="20" t="str">
        <f>IFERROR(__xludf.DUMMYFUNCTION("""COMPUTED_VALUE"""),"")</f>
        <v/>
      </c>
      <c r="R3251" s="21" t="str">
        <f>IFERROR(__xludf.DUMMYFUNCTION("""COMPUTED_VALUE"""),"https://drive.google.com/file/d/1uyjOCRXBxxjIr8fbYO7LfKYNaBOeK4Lz/view?usp=drivesdk")</f>
        <v>https://drive.google.com/file/d/1uyjOCRXBxxjIr8fbYO7LfKYNaBOeK4Lz/view?usp=drivesdk</v>
      </c>
    </row>
    <row r="3252">
      <c r="A3252" s="17" t="str">
        <f>IFERROR(__xludf.DUMMYFUNCTION("""COMPUTED_VALUE"""),"")</f>
        <v/>
      </c>
      <c r="B3252" s="17" t="str">
        <f>IFERROR(__xludf.DUMMYFUNCTION("""COMPUTED_VALUE"""),"")</f>
        <v/>
      </c>
      <c r="C3252" s="17" t="str">
        <f>IFERROR(__xludf.DUMMYFUNCTION("""COMPUTED_VALUE"""),"")</f>
        <v/>
      </c>
      <c r="D3252" s="17" t="str">
        <f>IFERROR(__xludf.DUMMYFUNCTION("""COMPUTED_VALUE"""),"")</f>
        <v/>
      </c>
      <c r="E3252" s="17" t="str">
        <f>IFERROR(__xludf.DUMMYFUNCTION("""COMPUTED_VALUE"""),"")</f>
        <v/>
      </c>
      <c r="F3252" s="17" t="str">
        <f>IFERROR(__xludf.DUMMYFUNCTION("""COMPUTED_VALUE"""),"")</f>
        <v/>
      </c>
      <c r="G3252" s="17" t="str">
        <f>IFERROR(__xludf.DUMMYFUNCTION("""COMPUTED_VALUE"""),"")</f>
        <v/>
      </c>
      <c r="H3252" s="17" t="str">
        <f>IFERROR(__xludf.DUMMYFUNCTION("""COMPUTED_VALUE"""),"")</f>
        <v/>
      </c>
      <c r="I3252" s="17" t="str">
        <f>IFERROR(__xludf.DUMMYFUNCTION("""COMPUTED_VALUE"""),"")</f>
        <v/>
      </c>
      <c r="J3252" s="17" t="str">
        <f>IFERROR(__xludf.DUMMYFUNCTION("""COMPUTED_VALUE"""),"")</f>
        <v/>
      </c>
      <c r="K3252" s="17" t="str">
        <f>IFERROR(__xludf.DUMMYFUNCTION("""COMPUTED_VALUE"""),"")</f>
        <v/>
      </c>
      <c r="L3252" s="17" t="str">
        <f>IFERROR(__xludf.DUMMYFUNCTION("""COMPUTED_VALUE"""),"")</f>
        <v/>
      </c>
      <c r="M3252" s="17" t="str">
        <f>IFERROR(__xludf.DUMMYFUNCTION("""COMPUTED_VALUE"""),"")</f>
        <v/>
      </c>
      <c r="N3252" s="17" t="str">
        <f>IFERROR(__xludf.DUMMYFUNCTION("""COMPUTED_VALUE"""),"")</f>
        <v/>
      </c>
      <c r="O3252" s="17" t="str">
        <f>IFERROR(__xludf.DUMMYFUNCTION("""COMPUTED_VALUE"""),"")</f>
        <v/>
      </c>
      <c r="P3252" s="17" t="str">
        <f>IFERROR(__xludf.DUMMYFUNCTION("""COMPUTED_VALUE"""),"")</f>
        <v/>
      </c>
      <c r="Q3252" s="17" t="str">
        <f>IFERROR(__xludf.DUMMYFUNCTION("""COMPUTED_VALUE"""),"")</f>
        <v/>
      </c>
      <c r="R3252" s="17" t="str">
        <f>IFERROR(__xludf.DUMMYFUNCTION("""COMPUTED_VALUE"""),"")</f>
        <v/>
      </c>
    </row>
    <row r="3253">
      <c r="A3253" s="15">
        <f>IFERROR(__xludf.DUMMYFUNCTION("""COMPUTED_VALUE"""),45098.0)</f>
        <v>45098</v>
      </c>
      <c r="B3253" s="16" t="str">
        <f>IFERROR(__xludf.DUMMYFUNCTION("""COMPUTED_VALUE"""),"Duvan Gabriel Alvarez Giron")</f>
        <v>Duvan Gabriel Alvarez Giron</v>
      </c>
      <c r="C3253" s="15" t="str">
        <f>IFERROR(__xludf.DUMMYFUNCTION("""COMPUTED_VALUE"""),"IBAGUÉ")</f>
        <v>IBAGUÉ</v>
      </c>
      <c r="D3253" s="15" t="str">
        <f>IFERROR(__xludf.DUMMYFUNCTION("""COMPUTED_VALUE"""),"BOGOTÁ")</f>
        <v>BOGOTÁ</v>
      </c>
      <c r="E3253" s="15" t="str">
        <f>IFERROR(__xludf.DUMMYFUNCTION("""COMPUTED_VALUE"""),"Asociacion Agropecuaria Juana Maria")</f>
        <v>Asociacion Agropecuaria Juana Maria</v>
      </c>
      <c r="F3253" s="17" t="str">
        <f>IFERROR(__xludf.DUMMYFUNCTION("""COMPUTED_VALUE"""),"Calle 93 # 7 Sur-90 torre 8 apto 102 Conjunto Residencial Altagracia")</f>
        <v>Calle 93 # 7 Sur-90 torre 8 apto 102 Conjunto Residencial Altagracia</v>
      </c>
      <c r="G3253" s="15" t="str">
        <f>IFERROR(__xludf.DUMMYFUNCTION("""COMPUTED_VALUE"""),"Mariam Yasmin Murillo Rubio")</f>
        <v>Mariam Yasmin Murillo Rubio</v>
      </c>
      <c r="H3253" s="16">
        <f>IFERROR(__xludf.DUMMYFUNCTION("""COMPUTED_VALUE"""),11820.0)</f>
        <v>11820</v>
      </c>
      <c r="I3253" s="18">
        <f>IFERROR(__xludf.DUMMYFUNCTION("""COMPUTED_VALUE"""),21.0)</f>
        <v>21</v>
      </c>
      <c r="J3253" s="18">
        <f>IFERROR(__xludf.DUMMYFUNCTION("""COMPUTED_VALUE"""),37.0)</f>
        <v>37</v>
      </c>
      <c r="K3253" s="18">
        <f>IFERROR(__xludf.DUMMYFUNCTION("""COMPUTED_VALUE"""),30.0)</f>
        <v>30</v>
      </c>
      <c r="L3253" s="17">
        <f>IFERROR(__xludf.DUMMYFUNCTION("""COMPUTED_VALUE"""),3.105789664E9)</f>
        <v>3105789664</v>
      </c>
      <c r="M3253" s="17" t="str">
        <f>IFERROR(__xludf.DUMMYFUNCTION("""COMPUTED_VALUE"""),"#REF!")</f>
        <v>#REF!</v>
      </c>
      <c r="N3253" s="17"/>
      <c r="O3253" s="17"/>
      <c r="P3253" s="17" t="b">
        <f>IFERROR(__xludf.DUMMYFUNCTION("""COMPUTED_VALUE"""),FALSE)</f>
        <v>0</v>
      </c>
      <c r="Q3253" s="20" t="str">
        <f>IFERROR(__xludf.DUMMYFUNCTION("""COMPUTED_VALUE"""),"")</f>
        <v/>
      </c>
      <c r="R3253" s="21" t="str">
        <f>IFERROR(__xludf.DUMMYFUNCTION("""COMPUTED_VALUE"""),"https://drive.google.com/file/d/1pLvYx6bpopqxhKMjkHW3N5iK7RXO1AkW/view?usp=drivesdk")</f>
        <v>https://drive.google.com/file/d/1pLvYx6bpopqxhKMjkHW3N5iK7RXO1AkW/view?usp=drivesdk</v>
      </c>
    </row>
    <row r="3254">
      <c r="A3254" s="15">
        <f>IFERROR(__xludf.DUMMYFUNCTION("""COMPUTED_VALUE"""),45098.0)</f>
        <v>45098</v>
      </c>
      <c r="B3254" s="16" t="str">
        <f>IFERROR(__xludf.DUMMYFUNCTION("""COMPUTED_VALUE"""),"Duvan Gabriel Alvarez Giron")</f>
        <v>Duvan Gabriel Alvarez Giron</v>
      </c>
      <c r="C3254" s="15" t="str">
        <f>IFERROR(__xludf.DUMMYFUNCTION("""COMPUTED_VALUE"""),"IBAGUÉ")</f>
        <v>IBAGUÉ</v>
      </c>
      <c r="D3254" s="15" t="str">
        <f>IFERROR(__xludf.DUMMYFUNCTION("""COMPUTED_VALUE"""),"BOGOTÁ")</f>
        <v>BOGOTÁ</v>
      </c>
      <c r="E3254" s="15" t="str">
        <f>IFERROR(__xludf.DUMMYFUNCTION("""COMPUTED_VALUE"""),"Evamazzita")</f>
        <v>Evamazzita</v>
      </c>
      <c r="F3254" s="17" t="str">
        <f>IFERROR(__xludf.DUMMYFUNCTION("""COMPUTED_VALUE"""),"Calle 41 # 16-04  /  Edificio Calatay Torre C Apto 1206   / Barrio Sorrento")</f>
        <v>Calle 41 # 16-04  /  Edificio Calatay Torre C Apto 1206   / Barrio Sorrento</v>
      </c>
      <c r="G3254" s="15" t="str">
        <f>IFERROR(__xludf.DUMMYFUNCTION("""COMPUTED_VALUE"""),"CIELO PINTO")</f>
        <v>CIELO PINTO</v>
      </c>
      <c r="H3254" s="16">
        <f>IFERROR(__xludf.DUMMYFUNCTION("""COMPUTED_VALUE"""),11867.0)</f>
        <v>11867</v>
      </c>
      <c r="I3254" s="18">
        <f>IFERROR(__xludf.DUMMYFUNCTION("""COMPUTED_VALUE"""),2.0)</f>
        <v>2</v>
      </c>
      <c r="J3254" s="18">
        <f>IFERROR(__xludf.DUMMYFUNCTION("""COMPUTED_VALUE"""),14.0)</f>
        <v>14</v>
      </c>
      <c r="K3254" s="18">
        <f>IFERROR(__xludf.DUMMYFUNCTION("""COMPUTED_VALUE"""),16.0)</f>
        <v>16</v>
      </c>
      <c r="L3254" s="17">
        <f>IFERROR(__xludf.DUMMYFUNCTION("""COMPUTED_VALUE"""),3.20738218E9)</f>
        <v>3207382180</v>
      </c>
      <c r="M3254" s="17" t="str">
        <f>IFERROR(__xludf.DUMMYFUNCTION("""COMPUTED_VALUE"""),"#REF!")</f>
        <v>#REF!</v>
      </c>
      <c r="N3254" s="17"/>
      <c r="O3254" s="17"/>
      <c r="P3254" s="17" t="b">
        <f>IFERROR(__xludf.DUMMYFUNCTION("""COMPUTED_VALUE"""),FALSE)</f>
        <v>0</v>
      </c>
      <c r="Q3254" s="20" t="str">
        <f>IFERROR(__xludf.DUMMYFUNCTION("""COMPUTED_VALUE"""),"")</f>
        <v/>
      </c>
      <c r="R3254" s="21" t="str">
        <f>IFERROR(__xludf.DUMMYFUNCTION("""COMPUTED_VALUE"""),"https://drive.google.com/file/d/137O94l8HvpOQarpywO505nbIl2fVtUQN/view?usp=drivesdk")</f>
        <v>https://drive.google.com/file/d/137O94l8HvpOQarpywO505nbIl2fVtUQN/view?usp=drivesdk</v>
      </c>
    </row>
    <row r="3255">
      <c r="A3255" s="15">
        <f>IFERROR(__xludf.DUMMYFUNCTION("""COMPUTED_VALUE"""),45098.0)</f>
        <v>45098</v>
      </c>
      <c r="B3255" s="16" t="str">
        <f>IFERROR(__xludf.DUMMYFUNCTION("""COMPUTED_VALUE"""),"Duvan Gabriel Alvarez Giron")</f>
        <v>Duvan Gabriel Alvarez Giron</v>
      </c>
      <c r="C3255" s="15" t="str">
        <f>IFERROR(__xludf.DUMMYFUNCTION("""COMPUTED_VALUE"""),"IBAGUÉ")</f>
        <v>IBAGUÉ</v>
      </c>
      <c r="D3255" s="15" t="str">
        <f>IFERROR(__xludf.DUMMYFUNCTION("""COMPUTED_VALUE"""),"BOGOTÁ")</f>
        <v>BOGOTÁ</v>
      </c>
      <c r="E3255" s="15" t="str">
        <f>IFERROR(__xludf.DUMMYFUNCTION("""COMPUTED_VALUE"""),"Frutos Silvestres")</f>
        <v>Frutos Silvestres</v>
      </c>
      <c r="F3255" s="17" t="str">
        <f>IFERROR(__xludf.DUMMYFUNCTION("""COMPUTED_VALUE"""),"Manzana 12 casa 11  / Primer piso puerta negra  / Terrazas del tejar")</f>
        <v>Manzana 12 casa 11  / Primer piso puerta negra  / Terrazas del tejar</v>
      </c>
      <c r="G3255" s="15" t="str">
        <f>IFERROR(__xludf.DUMMYFUNCTION("""COMPUTED_VALUE"""),"Johanna Jaramillo")</f>
        <v>Johanna Jaramillo</v>
      </c>
      <c r="H3255" s="16">
        <f>IFERROR(__xludf.DUMMYFUNCTION("""COMPUTED_VALUE"""),11834.0)</f>
        <v>11834</v>
      </c>
      <c r="I3255" s="18">
        <f>IFERROR(__xludf.DUMMYFUNCTION("""COMPUTED_VALUE"""),20.0)</f>
        <v>20</v>
      </c>
      <c r="J3255" s="18">
        <f>IFERROR(__xludf.DUMMYFUNCTION("""COMPUTED_VALUE"""),15.0)</f>
        <v>15</v>
      </c>
      <c r="K3255" s="18">
        <f>IFERROR(__xludf.DUMMYFUNCTION("""COMPUTED_VALUE"""),15.0)</f>
        <v>15</v>
      </c>
      <c r="L3255" s="17">
        <f>IFERROR(__xludf.DUMMYFUNCTION("""COMPUTED_VALUE"""),3.245887861E9)</f>
        <v>3245887861</v>
      </c>
      <c r="M3255" s="17" t="str">
        <f>IFERROR(__xludf.DUMMYFUNCTION("""COMPUTED_VALUE"""),"#REF!")</f>
        <v>#REF!</v>
      </c>
      <c r="N3255" s="17"/>
      <c r="O3255" s="17"/>
      <c r="P3255" s="17" t="b">
        <f>IFERROR(__xludf.DUMMYFUNCTION("""COMPUTED_VALUE"""),FALSE)</f>
        <v>0</v>
      </c>
      <c r="Q3255" s="20" t="str">
        <f>IFERROR(__xludf.DUMMYFUNCTION("""COMPUTED_VALUE"""),"")</f>
        <v/>
      </c>
      <c r="R3255" s="22" t="str">
        <f>IFERROR(__xludf.DUMMYFUNCTION("""COMPUTED_VALUE"""),"")</f>
        <v/>
      </c>
    </row>
    <row r="3256">
      <c r="A3256" s="15">
        <f>IFERROR(__xludf.DUMMYFUNCTION("""COMPUTED_VALUE"""),45098.0)</f>
        <v>45098</v>
      </c>
      <c r="B3256" s="16" t="str">
        <f>IFERROR(__xludf.DUMMYFUNCTION("""COMPUTED_VALUE"""),"Duvan Gabriel Alvarez Giron")</f>
        <v>Duvan Gabriel Alvarez Giron</v>
      </c>
      <c r="C3256" s="15" t="str">
        <f>IFERROR(__xludf.DUMMYFUNCTION("""COMPUTED_VALUE"""),"IBAGUÉ")</f>
        <v>IBAGUÉ</v>
      </c>
      <c r="D3256" s="15" t="str">
        <f>IFERROR(__xludf.DUMMYFUNCTION("""COMPUTED_VALUE"""),"BOGOTÁ")</f>
        <v>BOGOTÁ</v>
      </c>
      <c r="E3256" s="15" t="str">
        <f>IFERROR(__xludf.DUMMYFUNCTION("""COMPUTED_VALUE"""),"Ins. Alimento Vital")</f>
        <v>Ins. Alimento Vital</v>
      </c>
      <c r="F3256" s="17" t="str">
        <f>IFERROR(__xludf.DUMMYFUNCTION("""COMPUTED_VALUE"""),"CL 26 5 45 / BELALCAZAR / BARRIO BELALCAZAR")</f>
        <v>CL 26 5 45 / BELALCAZAR / BARRIO BELALCAZAR</v>
      </c>
      <c r="G3256" s="15" t="str">
        <f>IFERROR(__xludf.DUMMYFUNCTION("""COMPUTED_VALUE"""),"LEIDY PAOLA GOMEZ")</f>
        <v>LEIDY PAOLA GOMEZ</v>
      </c>
      <c r="H3256" s="16">
        <f>IFERROR(__xludf.DUMMYFUNCTION("""COMPUTED_VALUE"""),11839.0)</f>
        <v>11839</v>
      </c>
      <c r="I3256" s="18">
        <f>IFERROR(__xludf.DUMMYFUNCTION("""COMPUTED_VALUE"""),1.0)</f>
        <v>1</v>
      </c>
      <c r="J3256" s="18">
        <f>IFERROR(__xludf.DUMMYFUNCTION("""COMPUTED_VALUE"""),1.0)</f>
        <v>1</v>
      </c>
      <c r="K3256" s="18">
        <f>IFERROR(__xludf.DUMMYFUNCTION("""COMPUTED_VALUE"""),1.0)</f>
        <v>1</v>
      </c>
      <c r="L3256" s="17">
        <f>IFERROR(__xludf.DUMMYFUNCTION("""COMPUTED_VALUE"""),3.043758112E9)</f>
        <v>3043758112</v>
      </c>
      <c r="M3256" s="17" t="str">
        <f>IFERROR(__xludf.DUMMYFUNCTION("""COMPUTED_VALUE"""),"#REF!")</f>
        <v>#REF!</v>
      </c>
      <c r="N3256" s="17"/>
      <c r="O3256" s="17"/>
      <c r="P3256" s="17" t="b">
        <f>IFERROR(__xludf.DUMMYFUNCTION("""COMPUTED_VALUE"""),TRUE)</f>
        <v>1</v>
      </c>
      <c r="Q3256" s="20">
        <f>IFERROR(__xludf.DUMMYFUNCTION("""COMPUTED_VALUE"""),45098.74549162037)</f>
        <v>45098.74549</v>
      </c>
      <c r="R3256" s="21" t="str">
        <f>IFERROR(__xludf.DUMMYFUNCTION("""COMPUTED_VALUE"""),"https://drive.google.com/file/d/1DqGsv6Ocp11YzSeeLukaMvYGmDo2Xu1g/view?usp=drivesdk")</f>
        <v>https://drive.google.com/file/d/1DqGsv6Ocp11YzSeeLukaMvYGmDo2Xu1g/view?usp=drivesdk</v>
      </c>
    </row>
    <row r="3257">
      <c r="A3257" s="15">
        <f>IFERROR(__xludf.DUMMYFUNCTION("""COMPUTED_VALUE"""),45098.0)</f>
        <v>45098</v>
      </c>
      <c r="B3257" s="16" t="str">
        <f>IFERROR(__xludf.DUMMYFUNCTION("""COMPUTED_VALUE"""),"Duvan Gabriel Alvarez Giron")</f>
        <v>Duvan Gabriel Alvarez Giron</v>
      </c>
      <c r="C3257" s="15" t="str">
        <f>IFERROR(__xludf.DUMMYFUNCTION("""COMPUTED_VALUE"""),"IBAGUÉ")</f>
        <v>IBAGUÉ</v>
      </c>
      <c r="D3257" s="15" t="str">
        <f>IFERROR(__xludf.DUMMYFUNCTION("""COMPUTED_VALUE"""),"BOGOTÁ")</f>
        <v>BOGOTÁ</v>
      </c>
      <c r="E3257" s="15" t="str">
        <f>IFERROR(__xludf.DUMMYFUNCTION("""COMPUTED_VALUE"""),"Lunchy Kids")</f>
        <v>Lunchy Kids</v>
      </c>
      <c r="F3257" s="17" t="str">
        <f>IFERROR(__xludf.DUMMYFUNCTION("""COMPUTED_VALUE"""),"Condominio la Samaria / Mz C Casa 26 / Ibagué")</f>
        <v>Condominio la Samaria / Mz C Casa 26 / Ibagué</v>
      </c>
      <c r="G3257" s="15" t="str">
        <f>IFERROR(__xludf.DUMMYFUNCTION("""COMPUTED_VALUE"""),"Paola Jaramillo")</f>
        <v>Paola Jaramillo</v>
      </c>
      <c r="H3257" s="16">
        <f>IFERROR(__xludf.DUMMYFUNCTION("""COMPUTED_VALUE"""),11836.0)</f>
        <v>11836</v>
      </c>
      <c r="I3257" s="18">
        <f>IFERROR(__xludf.DUMMYFUNCTION("""COMPUTED_VALUE"""),25.0)</f>
        <v>25</v>
      </c>
      <c r="J3257" s="18">
        <f>IFERROR(__xludf.DUMMYFUNCTION("""COMPUTED_VALUE"""),26.0)</f>
        <v>26</v>
      </c>
      <c r="K3257" s="18">
        <f>IFERROR(__xludf.DUMMYFUNCTION("""COMPUTED_VALUE"""),9.0)</f>
        <v>9</v>
      </c>
      <c r="L3257" s="17">
        <f>IFERROR(__xludf.DUMMYFUNCTION("""COMPUTED_VALUE"""),3.142207089E9)</f>
        <v>3142207089</v>
      </c>
      <c r="M3257" s="17" t="str">
        <f>IFERROR(__xludf.DUMMYFUNCTION("""COMPUTED_VALUE"""),"#REF!")</f>
        <v>#REF!</v>
      </c>
      <c r="N3257" s="17"/>
      <c r="O3257" s="17"/>
      <c r="P3257" s="17" t="b">
        <f>IFERROR(__xludf.DUMMYFUNCTION("""COMPUTED_VALUE"""),FALSE)</f>
        <v>0</v>
      </c>
      <c r="Q3257" s="20" t="str">
        <f>IFERROR(__xludf.DUMMYFUNCTION("""COMPUTED_VALUE"""),"")</f>
        <v/>
      </c>
      <c r="R3257" s="21" t="str">
        <f>IFERROR(__xludf.DUMMYFUNCTION("""COMPUTED_VALUE"""),"https://drive.google.com/file/d/1-lU6IgqvY67LulbOR015GIJ5X6mjswy2/view?usp=drivesdk")</f>
        <v>https://drive.google.com/file/d/1-lU6IgqvY67LulbOR015GIJ5X6mjswy2/view?usp=drivesdk</v>
      </c>
    </row>
    <row r="3258">
      <c r="A3258" s="15">
        <f>IFERROR(__xludf.DUMMYFUNCTION("""COMPUTED_VALUE"""),45098.0)</f>
        <v>45098</v>
      </c>
      <c r="B3258" s="16" t="str">
        <f>IFERROR(__xludf.DUMMYFUNCTION("""COMPUTED_VALUE"""),"Duvan Gabriel Alvarez Giron")</f>
        <v>Duvan Gabriel Alvarez Giron</v>
      </c>
      <c r="C3258" s="15" t="str">
        <f>IFERROR(__xludf.DUMMYFUNCTION("""COMPUTED_VALUE"""),"IBAGUÉ")</f>
        <v>IBAGUÉ</v>
      </c>
      <c r="D3258" s="15" t="str">
        <f>IFERROR(__xludf.DUMMYFUNCTION("""COMPUTED_VALUE"""),"MEDELLÍN")</f>
        <v>MEDELLÍN</v>
      </c>
      <c r="E3258" s="15" t="str">
        <f>IFERROR(__xludf.DUMMYFUNCTION("""COMPUTED_VALUE"""),"Baby Chef")</f>
        <v>Baby Chef</v>
      </c>
      <c r="F3258" s="17" t="str">
        <f>IFERROR(__xludf.DUMMYFUNCTION("""COMPUTED_VALUE"""),"Calle 93 # 9-02  Casa D18 Hacienda Palos Verdes Sector LA SAMARIA Via al aeropuerto / ""Calle 93 # 9-02  Casa D18 Hacienda Palos Verdes Sector LA SAMARIA Via al aeropuerto"" / ""Calle 93 # 9-02  Casa D18 Hacienda Palos Verdes Sector LA SAMARIA Via al aero"&amp;"puerto""")</f>
        <v>Calle 93 # 9-02  Casa D18 Hacienda Palos Verdes Sector LA SAMARIA Via al aeropuerto / "Calle 93 # 9-02  Casa D18 Hacienda Palos Verdes Sector LA SAMARIA Via al aeropuerto" / "Calle 93 # 9-02  Casa D18 Hacienda Palos Verdes Sector LA SAMARIA Via al aeropuerto"</v>
      </c>
      <c r="G3258" s="15" t="str">
        <f>IFERROR(__xludf.DUMMYFUNCTION("""COMPUTED_VALUE"""),"Lina Marcela Castellanos López")</f>
        <v>Lina Marcela Castellanos López</v>
      </c>
      <c r="H3258" s="16">
        <f>IFERROR(__xludf.DUMMYFUNCTION("""COMPUTED_VALUE"""),11913.0)</f>
        <v>11913</v>
      </c>
      <c r="I3258" s="18">
        <f>IFERROR(__xludf.DUMMYFUNCTION("""COMPUTED_VALUE"""),8.0)</f>
        <v>8</v>
      </c>
      <c r="J3258" s="18">
        <f>IFERROR(__xludf.DUMMYFUNCTION("""COMPUTED_VALUE"""),16.0)</f>
        <v>16</v>
      </c>
      <c r="K3258" s="18">
        <f>IFERROR(__xludf.DUMMYFUNCTION("""COMPUTED_VALUE"""),20.0)</f>
        <v>20</v>
      </c>
      <c r="L3258" s="17">
        <f>IFERROR(__xludf.DUMMYFUNCTION("""COMPUTED_VALUE"""),3.166227417E9)</f>
        <v>3166227417</v>
      </c>
      <c r="M3258" s="17" t="str">
        <f>IFERROR(__xludf.DUMMYFUNCTION("""COMPUTED_VALUE"""),"#REF!")</f>
        <v>#REF!</v>
      </c>
      <c r="N3258" s="17"/>
      <c r="O3258" s="17"/>
      <c r="P3258" s="17" t="b">
        <f>IFERROR(__xludf.DUMMYFUNCTION("""COMPUTED_VALUE"""),FALSE)</f>
        <v>0</v>
      </c>
      <c r="Q3258" s="20" t="str">
        <f>IFERROR(__xludf.DUMMYFUNCTION("""COMPUTED_VALUE"""),"")</f>
        <v/>
      </c>
      <c r="R3258" s="21" t="str">
        <f>IFERROR(__xludf.DUMMYFUNCTION("""COMPUTED_VALUE"""),"https://drive.google.com/file/d/1zYH8p6aPceWnRpkEAB8tVwzHvloSSFqJ/view?usp=drivesdk")</f>
        <v>https://drive.google.com/file/d/1zYH8p6aPceWnRpkEAB8tVwzHvloSSFqJ/view?usp=drivesdk</v>
      </c>
    </row>
    <row r="3259">
      <c r="A3259" s="15">
        <f>IFERROR(__xludf.DUMMYFUNCTION("""COMPUTED_VALUE"""),45098.0)</f>
        <v>45098</v>
      </c>
      <c r="B3259" s="16" t="str">
        <f>IFERROR(__xludf.DUMMYFUNCTION("""COMPUTED_VALUE"""),"Duvan Gabriel Alvarez Giron")</f>
        <v>Duvan Gabriel Alvarez Giron</v>
      </c>
      <c r="C3259" s="15" t="str">
        <f>IFERROR(__xludf.DUMMYFUNCTION("""COMPUTED_VALUE"""),"IBAGUÉ")</f>
        <v>IBAGUÉ</v>
      </c>
      <c r="D3259" s="15" t="str">
        <f>IFERROR(__xludf.DUMMYFUNCTION("""COMPUTED_VALUE"""),"MEDELLÍN")</f>
        <v>MEDELLÍN</v>
      </c>
      <c r="E3259" s="15" t="str">
        <f>IFERROR(__xludf.DUMMYFUNCTION("""COMPUTED_VALUE"""),"Baby Chef")</f>
        <v>Baby Chef</v>
      </c>
      <c r="F3259" s="17" t="str">
        <f>IFERROR(__xludf.DUMMYFUNCTION("""COMPUTED_VALUE"""),"Carrera 20 sur #120-171 portal del campestre casa 2  / Carrera 20 sur #120-171 portal del campestre casa 2  / Carrera 20 sur #120-171 portal del campestre casa 2")</f>
        <v>Carrera 20 sur #120-171 portal del campestre casa 2  / Carrera 20 sur #120-171 portal del campestre casa 2  / Carrera 20 sur #120-171 portal del campestre casa 2</v>
      </c>
      <c r="G3259" s="15" t="str">
        <f>IFERROR(__xludf.DUMMYFUNCTION("""COMPUTED_VALUE"""),"Jessica Gómez")</f>
        <v>Jessica Gómez</v>
      </c>
      <c r="H3259" s="16">
        <f>IFERROR(__xludf.DUMMYFUNCTION("""COMPUTED_VALUE"""),11912.0)</f>
        <v>11912</v>
      </c>
      <c r="I3259" s="18">
        <f>IFERROR(__xludf.DUMMYFUNCTION("""COMPUTED_VALUE"""),8.0)</f>
        <v>8</v>
      </c>
      <c r="J3259" s="18">
        <f>IFERROR(__xludf.DUMMYFUNCTION("""COMPUTED_VALUE"""),16.0)</f>
        <v>16</v>
      </c>
      <c r="K3259" s="18">
        <f>IFERROR(__xludf.DUMMYFUNCTION("""COMPUTED_VALUE"""),20.0)</f>
        <v>20</v>
      </c>
      <c r="L3259" s="17">
        <f>IFERROR(__xludf.DUMMYFUNCTION("""COMPUTED_VALUE"""),3.153916473E9)</f>
        <v>3153916473</v>
      </c>
      <c r="M3259" s="17" t="str">
        <f>IFERROR(__xludf.DUMMYFUNCTION("""COMPUTED_VALUE"""),"#REF!")</f>
        <v>#REF!</v>
      </c>
      <c r="N3259" s="17"/>
      <c r="O3259" s="17"/>
      <c r="P3259" s="17" t="b">
        <f>IFERROR(__xludf.DUMMYFUNCTION("""COMPUTED_VALUE"""),FALSE)</f>
        <v>0</v>
      </c>
      <c r="Q3259" s="20" t="str">
        <f>IFERROR(__xludf.DUMMYFUNCTION("""COMPUTED_VALUE"""),"")</f>
        <v/>
      </c>
      <c r="R3259" s="21" t="str">
        <f>IFERROR(__xludf.DUMMYFUNCTION("""COMPUTED_VALUE"""),"https://drive.google.com/file/d/1LtNjzQx07AAS4o8M63i4CDmmTS9U07hd/view?usp=drivesdk")</f>
        <v>https://drive.google.com/file/d/1LtNjzQx07AAS4o8M63i4CDmmTS9U07hd/view?usp=drivesdk</v>
      </c>
    </row>
    <row r="3260">
      <c r="A3260" s="17" t="str">
        <f>IFERROR(__xludf.DUMMYFUNCTION("""COMPUTED_VALUE"""),"")</f>
        <v/>
      </c>
      <c r="B3260" s="17" t="str">
        <f>IFERROR(__xludf.DUMMYFUNCTION("""COMPUTED_VALUE"""),"")</f>
        <v/>
      </c>
      <c r="C3260" s="17" t="str">
        <f>IFERROR(__xludf.DUMMYFUNCTION("""COMPUTED_VALUE"""),"")</f>
        <v/>
      </c>
      <c r="D3260" s="17" t="str">
        <f>IFERROR(__xludf.DUMMYFUNCTION("""COMPUTED_VALUE"""),"")</f>
        <v/>
      </c>
      <c r="E3260" s="17" t="str">
        <f>IFERROR(__xludf.DUMMYFUNCTION("""COMPUTED_VALUE"""),"")</f>
        <v/>
      </c>
      <c r="F3260" s="17" t="str">
        <f>IFERROR(__xludf.DUMMYFUNCTION("""COMPUTED_VALUE"""),"")</f>
        <v/>
      </c>
      <c r="G3260" s="17" t="str">
        <f>IFERROR(__xludf.DUMMYFUNCTION("""COMPUTED_VALUE"""),"")</f>
        <v/>
      </c>
      <c r="H3260" s="17" t="str">
        <f>IFERROR(__xludf.DUMMYFUNCTION("""COMPUTED_VALUE"""),"")</f>
        <v/>
      </c>
      <c r="I3260" s="17" t="str">
        <f>IFERROR(__xludf.DUMMYFUNCTION("""COMPUTED_VALUE"""),"")</f>
        <v/>
      </c>
      <c r="J3260" s="17" t="str">
        <f>IFERROR(__xludf.DUMMYFUNCTION("""COMPUTED_VALUE"""),"")</f>
        <v/>
      </c>
      <c r="K3260" s="17" t="str">
        <f>IFERROR(__xludf.DUMMYFUNCTION("""COMPUTED_VALUE"""),"")</f>
        <v/>
      </c>
      <c r="L3260" s="17" t="str">
        <f>IFERROR(__xludf.DUMMYFUNCTION("""COMPUTED_VALUE"""),"")</f>
        <v/>
      </c>
      <c r="M3260" s="17" t="str">
        <f>IFERROR(__xludf.DUMMYFUNCTION("""COMPUTED_VALUE"""),"")</f>
        <v/>
      </c>
      <c r="N3260" s="17" t="str">
        <f>IFERROR(__xludf.DUMMYFUNCTION("""COMPUTED_VALUE"""),"")</f>
        <v/>
      </c>
      <c r="O3260" s="17" t="str">
        <f>IFERROR(__xludf.DUMMYFUNCTION("""COMPUTED_VALUE"""),"")</f>
        <v/>
      </c>
      <c r="P3260" s="17" t="str">
        <f>IFERROR(__xludf.DUMMYFUNCTION("""COMPUTED_VALUE"""),"")</f>
        <v/>
      </c>
      <c r="Q3260" s="17" t="str">
        <f>IFERROR(__xludf.DUMMYFUNCTION("""COMPUTED_VALUE"""),"")</f>
        <v/>
      </c>
      <c r="R3260" s="17" t="str">
        <f>IFERROR(__xludf.DUMMYFUNCTION("""COMPUTED_VALUE"""),"")</f>
        <v/>
      </c>
    </row>
    <row r="3261">
      <c r="A3261" s="15">
        <f>IFERROR(__xludf.DUMMYFUNCTION("""COMPUTED_VALUE"""),45098.0)</f>
        <v>45098</v>
      </c>
      <c r="B3261" s="16" t="str">
        <f>IFERROR(__xludf.DUMMYFUNCTION("""COMPUTED_VALUE"""),"Envia")</f>
        <v>Envia</v>
      </c>
      <c r="C3261" s="15" t="str">
        <f>IFERROR(__xludf.DUMMYFUNCTION("""COMPUTED_VALUE"""),"BOGOTÁ")</f>
        <v>BOGOTÁ</v>
      </c>
      <c r="D3261" s="15" t="str">
        <f>IFERROR(__xludf.DUMMYFUNCTION("""COMPUTED_VALUE"""),"MEDELLÍN")</f>
        <v>MEDELLÍN</v>
      </c>
      <c r="E3261" s="15" t="str">
        <f>IFERROR(__xludf.DUMMYFUNCTION("""COMPUTED_VALUE"""),"AREPAS LA MARY")</f>
        <v>AREPAS LA MARY</v>
      </c>
      <c r="F3261" s="17" t="str">
        <f>IFERROR(__xludf.DUMMYFUNCTION("""COMPUTED_VALUE"""),"cra 8 a # 97 -07 / country octava")</f>
        <v>cra 8 a # 97 -07 / country octava</v>
      </c>
      <c r="G3261" s="15" t="str">
        <f>IFERROR(__xludf.DUMMYFUNCTION("""COMPUTED_VALUE"""),"nicole gazzera")</f>
        <v>nicole gazzera</v>
      </c>
      <c r="H3261" s="16">
        <f>IFERROR(__xludf.DUMMYFUNCTION("""COMPUTED_VALUE"""),11891.0)</f>
        <v>11891</v>
      </c>
      <c r="I3261" s="18">
        <f>IFERROR(__xludf.DUMMYFUNCTION("""COMPUTED_VALUE"""),89.0)</f>
        <v>89</v>
      </c>
      <c r="J3261" s="18">
        <f>IFERROR(__xludf.DUMMYFUNCTION("""COMPUTED_VALUE"""),1.0)</f>
        <v>1</v>
      </c>
      <c r="K3261" s="18">
        <f>IFERROR(__xludf.DUMMYFUNCTION("""COMPUTED_VALUE"""),10.0)</f>
        <v>10</v>
      </c>
      <c r="L3261" s="17">
        <f>IFERROR(__xludf.DUMMYFUNCTION("""COMPUTED_VALUE"""),3.136937631E9)</f>
        <v>3136937631</v>
      </c>
      <c r="M3261" s="17" t="str">
        <f>IFERROR(__xludf.DUMMYFUNCTION("""COMPUTED_VALUE"""),"#REF!")</f>
        <v>#REF!</v>
      </c>
      <c r="N3261" s="17"/>
      <c r="O3261" s="17"/>
      <c r="P3261" s="17" t="b">
        <f>IFERROR(__xludf.DUMMYFUNCTION("""COMPUTED_VALUE"""),FALSE)</f>
        <v>0</v>
      </c>
      <c r="Q3261" s="20" t="str">
        <f>IFERROR(__xludf.DUMMYFUNCTION("""COMPUTED_VALUE"""),"")</f>
        <v/>
      </c>
      <c r="R3261" s="21" t="str">
        <f>IFERROR(__xludf.DUMMYFUNCTION("""COMPUTED_VALUE"""),"https://drive.google.com/file/d/1E59XZaqMdLCn4xiqZHU04oFEFmmM3un0/view?usp=drivesdk")</f>
        <v>https://drive.google.com/file/d/1E59XZaqMdLCn4xiqZHU04oFEFmmM3un0/view?usp=drivesdk</v>
      </c>
    </row>
    <row r="3262">
      <c r="A3262" s="15">
        <f>IFERROR(__xludf.DUMMYFUNCTION("""COMPUTED_VALUE"""),45098.0)</f>
        <v>45098</v>
      </c>
      <c r="B3262" s="16" t="str">
        <f>IFERROR(__xludf.DUMMYFUNCTION("""COMPUTED_VALUE"""),"Envia")</f>
        <v>Envia</v>
      </c>
      <c r="C3262" s="15" t="str">
        <f>IFERROR(__xludf.DUMMYFUNCTION("""COMPUTED_VALUE"""),"BUCARAMANGA")</f>
        <v>BUCARAMANGA</v>
      </c>
      <c r="D3262" s="15" t="str">
        <f>IFERROR(__xludf.DUMMYFUNCTION("""COMPUTED_VALUE"""),"BOGOTÁ")</f>
        <v>BOGOTÁ</v>
      </c>
      <c r="E3262" s="15" t="str">
        <f>IFERROR(__xludf.DUMMYFUNCTION("""COMPUTED_VALUE"""),"Ins. Alimento Vital")</f>
        <v>Ins. Alimento Vital</v>
      </c>
      <c r="F3262" s="17" t="str">
        <f>IFERROR(__xludf.DUMMYFUNCTION("""COMPUTED_VALUE"""),"CR 25 33 95 / EDIFICIO SALONICA TR 2 APTO 2004 / BARRIO ANTONIA SANTOS CENTRO")</f>
        <v>CR 25 33 95 / EDIFICIO SALONICA TR 2 APTO 2004 / BARRIO ANTONIA SANTOS CENTRO</v>
      </c>
      <c r="G3262" s="15" t="str">
        <f>IFERROR(__xludf.DUMMYFUNCTION("""COMPUTED_VALUE"""),"NAISLA MARIA TORRADO OSORIO")</f>
        <v>NAISLA MARIA TORRADO OSORIO</v>
      </c>
      <c r="H3262" s="16">
        <f>IFERROR(__xludf.DUMMYFUNCTION("""COMPUTED_VALUE"""),11845.0)</f>
        <v>11845</v>
      </c>
      <c r="I3262" s="18">
        <f>IFERROR(__xludf.DUMMYFUNCTION("""COMPUTED_VALUE"""),1.0)</f>
        <v>1</v>
      </c>
      <c r="J3262" s="18">
        <f>IFERROR(__xludf.DUMMYFUNCTION("""COMPUTED_VALUE"""),1.0)</f>
        <v>1</v>
      </c>
      <c r="K3262" s="18">
        <f>IFERROR(__xludf.DUMMYFUNCTION("""COMPUTED_VALUE"""),1.0)</f>
        <v>1</v>
      </c>
      <c r="L3262" s="17">
        <f>IFERROR(__xludf.DUMMYFUNCTION("""COMPUTED_VALUE"""),3.127134546E9)</f>
        <v>3127134546</v>
      </c>
      <c r="M3262" s="17" t="str">
        <f>IFERROR(__xludf.DUMMYFUNCTION("""COMPUTED_VALUE"""),"#REF!")</f>
        <v>#REF!</v>
      </c>
      <c r="N3262" s="17"/>
      <c r="O3262" s="17"/>
      <c r="P3262" s="17" t="b">
        <f>IFERROR(__xludf.DUMMYFUNCTION("""COMPUTED_VALUE"""),FALSE)</f>
        <v>0</v>
      </c>
      <c r="Q3262" s="20" t="str">
        <f>IFERROR(__xludf.DUMMYFUNCTION("""COMPUTED_VALUE"""),"")</f>
        <v/>
      </c>
      <c r="R3262" s="21" t="str">
        <f>IFERROR(__xludf.DUMMYFUNCTION("""COMPUTED_VALUE"""),"https://drive.google.com/file/d/1Hut69JTRbO2bF7cCG2z1v6IFMzyGMCfF/view?usp=drivesdk")</f>
        <v>https://drive.google.com/file/d/1Hut69JTRbO2bF7cCG2z1v6IFMzyGMCfF/view?usp=drivesdk</v>
      </c>
    </row>
    <row r="3263">
      <c r="A3263" s="15">
        <f>IFERROR(__xludf.DUMMYFUNCTION("""COMPUTED_VALUE"""),45098.0)</f>
        <v>45098</v>
      </c>
      <c r="B3263" s="16" t="str">
        <f>IFERROR(__xludf.DUMMYFUNCTION("""COMPUTED_VALUE"""),"Envia")</f>
        <v>Envia</v>
      </c>
      <c r="C3263" s="15" t="str">
        <f>IFERROR(__xludf.DUMMYFUNCTION("""COMPUTED_VALUE"""),"BUCARAMANGA")</f>
        <v>BUCARAMANGA</v>
      </c>
      <c r="D3263" s="15" t="str">
        <f>IFERROR(__xludf.DUMMYFUNCTION("""COMPUTED_VALUE"""),"BOGOTÁ")</f>
        <v>BOGOTÁ</v>
      </c>
      <c r="E3263" s="15" t="str">
        <f>IFERROR(__xludf.DUMMYFUNCTION("""COMPUTED_VALUE"""),"Ins. Alimento Vital")</f>
        <v>Ins. Alimento Vital</v>
      </c>
      <c r="F3263" s="17" t="str">
        <f>IFERROR(__xludf.DUMMYFUNCTION("""COMPUTED_VALUE"""),"CR 44 64 A 73 / TR 2 AP 801 EDIFICIO MONSERRAT / BARRIO LA FLORESTA")</f>
        <v>CR 44 64 A 73 / TR 2 AP 801 EDIFICIO MONSERRAT / BARRIO LA FLORESTA</v>
      </c>
      <c r="G3263" s="15" t="str">
        <f>IFERROR(__xludf.DUMMYFUNCTION("""COMPUTED_VALUE"""),"LUISA FERNANDA CASTELLANOS RAMIREZ")</f>
        <v>LUISA FERNANDA CASTELLANOS RAMIREZ</v>
      </c>
      <c r="H3263" s="16">
        <f>IFERROR(__xludf.DUMMYFUNCTION("""COMPUTED_VALUE"""),11847.0)</f>
        <v>11847</v>
      </c>
      <c r="I3263" s="18">
        <f>IFERROR(__xludf.DUMMYFUNCTION("""COMPUTED_VALUE"""),1.0)</f>
        <v>1</v>
      </c>
      <c r="J3263" s="18">
        <f>IFERROR(__xludf.DUMMYFUNCTION("""COMPUTED_VALUE"""),1.0)</f>
        <v>1</v>
      </c>
      <c r="K3263" s="18">
        <f>IFERROR(__xludf.DUMMYFUNCTION("""COMPUTED_VALUE"""),1.0)</f>
        <v>1</v>
      </c>
      <c r="L3263" s="17">
        <f>IFERROR(__xludf.DUMMYFUNCTION("""COMPUTED_VALUE"""),3.153976486E9)</f>
        <v>3153976486</v>
      </c>
      <c r="M3263" s="17" t="str">
        <f>IFERROR(__xludf.DUMMYFUNCTION("""COMPUTED_VALUE"""),"#REF!")</f>
        <v>#REF!</v>
      </c>
      <c r="N3263" s="17"/>
      <c r="O3263" s="17"/>
      <c r="P3263" s="17" t="b">
        <f>IFERROR(__xludf.DUMMYFUNCTION("""COMPUTED_VALUE"""),FALSE)</f>
        <v>0</v>
      </c>
      <c r="Q3263" s="20" t="str">
        <f>IFERROR(__xludf.DUMMYFUNCTION("""COMPUTED_VALUE"""),"")</f>
        <v/>
      </c>
      <c r="R3263" s="21" t="str">
        <f>IFERROR(__xludf.DUMMYFUNCTION("""COMPUTED_VALUE"""),"https://drive.google.com/file/d/1ICLvZOYjgBZgJ0CTNemeYrReVAIkpbAC/view?usp=drivesdk")</f>
        <v>https://drive.google.com/file/d/1ICLvZOYjgBZgJ0CTNemeYrReVAIkpbAC/view?usp=drivesdk</v>
      </c>
    </row>
    <row r="3264">
      <c r="A3264" s="15">
        <f>IFERROR(__xludf.DUMMYFUNCTION("""COMPUTED_VALUE"""),45098.0)</f>
        <v>45098</v>
      </c>
      <c r="B3264" s="16" t="str">
        <f>IFERROR(__xludf.DUMMYFUNCTION("""COMPUTED_VALUE"""),"Envia")</f>
        <v>Envia</v>
      </c>
      <c r="C3264" s="15" t="str">
        <f>IFERROR(__xludf.DUMMYFUNCTION("""COMPUTED_VALUE"""),"BUCARAMANGA")</f>
        <v>BUCARAMANGA</v>
      </c>
      <c r="D3264" s="15" t="str">
        <f>IFERROR(__xludf.DUMMYFUNCTION("""COMPUTED_VALUE"""),"BOGOTÁ")</f>
        <v>BOGOTÁ</v>
      </c>
      <c r="E3264" s="15" t="str">
        <f>IFERROR(__xludf.DUMMYFUNCTION("""COMPUTED_VALUE"""),"MAI ALIMENTOS S.A.S")</f>
        <v>MAI ALIMENTOS S.A.S</v>
      </c>
      <c r="F3264" s="17" t="str">
        <f>IFERROR(__xludf.DUMMYFUNCTION("""COMPUTED_VALUE"""),"Calle 59 #. 9A - 96 / Km 6 Vía Girón")</f>
        <v>Calle 59 #. 9A - 96 / Km 6 Vía Girón</v>
      </c>
      <c r="G3264" s="15" t="str">
        <f>IFERROR(__xludf.DUMMYFUNCTION("""COMPUTED_VALUE"""),"Fit Store Express")</f>
        <v>Fit Store Express</v>
      </c>
      <c r="H3264" s="16">
        <f>IFERROR(__xludf.DUMMYFUNCTION("""COMPUTED_VALUE"""),11827.0)</f>
        <v>11827</v>
      </c>
      <c r="I3264" s="18">
        <f>IFERROR(__xludf.DUMMYFUNCTION("""COMPUTED_VALUE"""),35.0)</f>
        <v>35</v>
      </c>
      <c r="J3264" s="18">
        <f>IFERROR(__xludf.DUMMYFUNCTION("""COMPUTED_VALUE"""),17.0)</f>
        <v>17</v>
      </c>
      <c r="K3264" s="18">
        <f>IFERROR(__xludf.DUMMYFUNCTION("""COMPUTED_VALUE"""),13.0)</f>
        <v>13</v>
      </c>
      <c r="L3264" s="17">
        <f>IFERROR(__xludf.DUMMYFUNCTION("""COMPUTED_VALUE"""),3.005711168E9)</f>
        <v>3005711168</v>
      </c>
      <c r="M3264" s="17" t="str">
        <f>IFERROR(__xludf.DUMMYFUNCTION("""COMPUTED_VALUE"""),"#REF!")</f>
        <v>#REF!</v>
      </c>
      <c r="N3264" s="17"/>
      <c r="O3264" s="17"/>
      <c r="P3264" s="17" t="b">
        <f>IFERROR(__xludf.DUMMYFUNCTION("""COMPUTED_VALUE"""),TRUE)</f>
        <v>1</v>
      </c>
      <c r="Q3264" s="20">
        <f>IFERROR(__xludf.DUMMYFUNCTION("""COMPUTED_VALUE"""),45098.74632715278)</f>
        <v>45098.74633</v>
      </c>
      <c r="R3264" s="21" t="str">
        <f>IFERROR(__xludf.DUMMYFUNCTION("""COMPUTED_VALUE"""),"https://drive.google.com/file/d/1-WbPLif210cZnAGktCNJhPRQTebMf8h_/view?usp=drivesdk")</f>
        <v>https://drive.google.com/file/d/1-WbPLif210cZnAGktCNJhPRQTebMf8h_/view?usp=drivesdk</v>
      </c>
    </row>
    <row r="3265">
      <c r="A3265" s="15">
        <f>IFERROR(__xludf.DUMMYFUNCTION("""COMPUTED_VALUE"""),45098.0)</f>
        <v>45098</v>
      </c>
      <c r="B3265" s="16" t="str">
        <f>IFERROR(__xludf.DUMMYFUNCTION("""COMPUTED_VALUE"""),"Envia")</f>
        <v>Envia</v>
      </c>
      <c r="C3265" s="15" t="str">
        <f>IFERROR(__xludf.DUMMYFUNCTION("""COMPUTED_VALUE"""),"BUCARAMANGA")</f>
        <v>BUCARAMANGA</v>
      </c>
      <c r="D3265" s="15" t="str">
        <f>IFERROR(__xludf.DUMMYFUNCTION("""COMPUTED_VALUE"""),"BOGOTÁ")</f>
        <v>BOGOTÁ</v>
      </c>
      <c r="E3265" s="15" t="str">
        <f>IFERROR(__xludf.DUMMYFUNCTION("""COMPUTED_VALUE"""),"Pan de Yuca")</f>
        <v>Pan de Yuca</v>
      </c>
      <c r="F3265" s="17" t="str">
        <f>IFERROR(__xludf.DUMMYFUNCTION("""COMPUTED_VALUE"""),"Carrera 37 # 53 - 08 / Casa / Cabecera")</f>
        <v>Carrera 37 # 53 - 08 / Casa / Cabecera</v>
      </c>
      <c r="G3265" s="15" t="str">
        <f>IFERROR(__xludf.DUMMYFUNCTION("""COMPUTED_VALUE"""),"Daniela Ordóñez")</f>
        <v>Daniela Ordóñez</v>
      </c>
      <c r="H3265" s="16">
        <f>IFERROR(__xludf.DUMMYFUNCTION("""COMPUTED_VALUE"""),11797.0)</f>
        <v>11797</v>
      </c>
      <c r="I3265" s="18">
        <f>IFERROR(__xludf.DUMMYFUNCTION("""COMPUTED_VALUE"""),30.0)</f>
        <v>30</v>
      </c>
      <c r="J3265" s="18">
        <f>IFERROR(__xludf.DUMMYFUNCTION("""COMPUTED_VALUE"""),32.0)</f>
        <v>32</v>
      </c>
      <c r="K3265" s="18">
        <f>IFERROR(__xludf.DUMMYFUNCTION("""COMPUTED_VALUE"""),43.0)</f>
        <v>43</v>
      </c>
      <c r="L3265" s="17">
        <f>IFERROR(__xludf.DUMMYFUNCTION("""COMPUTED_VALUE"""),3.176362164E9)</f>
        <v>3176362164</v>
      </c>
      <c r="M3265" s="17" t="str">
        <f>IFERROR(__xludf.DUMMYFUNCTION("""COMPUTED_VALUE"""),"#REF!")</f>
        <v>#REF!</v>
      </c>
      <c r="N3265" s="17"/>
      <c r="O3265" s="17"/>
      <c r="P3265" s="17" t="b">
        <f>IFERROR(__xludf.DUMMYFUNCTION("""COMPUTED_VALUE"""),FALSE)</f>
        <v>0</v>
      </c>
      <c r="Q3265" s="20" t="str">
        <f>IFERROR(__xludf.DUMMYFUNCTION("""COMPUTED_VALUE"""),"")</f>
        <v/>
      </c>
      <c r="R3265" s="21" t="str">
        <f>IFERROR(__xludf.DUMMYFUNCTION("""COMPUTED_VALUE"""),"https://drive.google.com/file/d/1ts4GQRfxLrcIrjq7wAoGilg_QX95HhYT/view?usp=drivesdk")</f>
        <v>https://drive.google.com/file/d/1ts4GQRfxLrcIrjq7wAoGilg_QX95HhYT/view?usp=drivesdk</v>
      </c>
    </row>
    <row r="3266">
      <c r="A3266" s="15">
        <f>IFERROR(__xludf.DUMMYFUNCTION("""COMPUTED_VALUE"""),45098.0)</f>
        <v>45098</v>
      </c>
      <c r="B3266" s="16" t="str">
        <f>IFERROR(__xludf.DUMMYFUNCTION("""COMPUTED_VALUE"""),"Envia")</f>
        <v>Envia</v>
      </c>
      <c r="C3266" s="15" t="str">
        <f>IFERROR(__xludf.DUMMYFUNCTION("""COMPUTED_VALUE"""),"CAJICÁ")</f>
        <v>CAJICÁ</v>
      </c>
      <c r="D3266" s="15" t="str">
        <f>IFERROR(__xludf.DUMMYFUNCTION("""COMPUTED_VALUE"""),"MEDELLÍN")</f>
        <v>MEDELLÍN</v>
      </c>
      <c r="E3266" s="15" t="str">
        <f>IFERROR(__xludf.DUMMYFUNCTION("""COMPUTED_VALUE"""),"Rambla")</f>
        <v>Rambla</v>
      </c>
      <c r="F3266" s="17" t="str">
        <f>IFERROR(__xludf.DUMMYFUNCTION("""COMPUTED_VALUE"""),"Calle 3 # 19-307 torre 3 apto 404 Conjunto park place Barrio el tejar Cajica- cundinamarca / NA / NA")</f>
        <v>Calle 3 # 19-307 torre 3 apto 404 Conjunto park place Barrio el tejar Cajica- cundinamarca / NA / NA</v>
      </c>
      <c r="G3266" s="15" t="str">
        <f>IFERROR(__xludf.DUMMYFUNCTION("""COMPUTED_VALUE"""),"Monica Mora")</f>
        <v>Monica Mora</v>
      </c>
      <c r="H3266" s="16">
        <f>IFERROR(__xludf.DUMMYFUNCTION("""COMPUTED_VALUE"""),11910.0)</f>
        <v>11910</v>
      </c>
      <c r="I3266" s="18">
        <f>IFERROR(__xludf.DUMMYFUNCTION("""COMPUTED_VALUE"""),18.0)</f>
        <v>18</v>
      </c>
      <c r="J3266" s="18">
        <f>IFERROR(__xludf.DUMMYFUNCTION("""COMPUTED_VALUE"""),13.0)</f>
        <v>13</v>
      </c>
      <c r="K3266" s="18">
        <f>IFERROR(__xludf.DUMMYFUNCTION("""COMPUTED_VALUE"""),15.0)</f>
        <v>15</v>
      </c>
      <c r="L3266" s="17">
        <f>IFERROR(__xludf.DUMMYFUNCTION("""COMPUTED_VALUE"""),3.215092937E9)</f>
        <v>3215092937</v>
      </c>
      <c r="M3266" s="17" t="str">
        <f>IFERROR(__xludf.DUMMYFUNCTION("""COMPUTED_VALUE"""),"#REF!")</f>
        <v>#REF!</v>
      </c>
      <c r="N3266" s="17"/>
      <c r="O3266" s="17"/>
      <c r="P3266" s="17" t="b">
        <f>IFERROR(__xludf.DUMMYFUNCTION("""COMPUTED_VALUE"""),FALSE)</f>
        <v>0</v>
      </c>
      <c r="Q3266" s="20" t="str">
        <f>IFERROR(__xludf.DUMMYFUNCTION("""COMPUTED_VALUE"""),"")</f>
        <v/>
      </c>
      <c r="R3266" s="21" t="str">
        <f>IFERROR(__xludf.DUMMYFUNCTION("""COMPUTED_VALUE"""),"https://drive.google.com/file/d/1t7wrO5zSTjOpU3nJnAR6gaRMeCD1mA1B/view?usp=drivesdk")</f>
        <v>https://drive.google.com/file/d/1t7wrO5zSTjOpU3nJnAR6gaRMeCD1mA1B/view?usp=drivesdk</v>
      </c>
    </row>
    <row r="3267">
      <c r="A3267" s="15">
        <f>IFERROR(__xludf.DUMMYFUNCTION("""COMPUTED_VALUE"""),45098.0)</f>
        <v>45098</v>
      </c>
      <c r="B3267" s="16" t="str">
        <f>IFERROR(__xludf.DUMMYFUNCTION("""COMPUTED_VALUE"""),"Envia")</f>
        <v>Envia</v>
      </c>
      <c r="C3267" s="15" t="str">
        <f>IFERROR(__xludf.DUMMYFUNCTION("""COMPUTED_VALUE"""),"CALI")</f>
        <v>CALI</v>
      </c>
      <c r="D3267" s="15" t="str">
        <f>IFERROR(__xludf.DUMMYFUNCTION("""COMPUTED_VALUE"""),"BOGOTÁ")</f>
        <v>BOGOTÁ</v>
      </c>
      <c r="E3267" s="15" t="str">
        <f>IFERROR(__xludf.DUMMYFUNCTION("""COMPUTED_VALUE"""),"Helados Socos")</f>
        <v>Helados Socos</v>
      </c>
      <c r="F3267" s="17" t="str">
        <f>IFERROR(__xludf.DUMMYFUNCTION("""COMPUTED_VALUE"""),"Cra 1 oeste # 11 - 31 / APTO 501 Edificio El Canelo / Santa Teresita")</f>
        <v>Cra 1 oeste # 11 - 31 / APTO 501 Edificio El Canelo / Santa Teresita</v>
      </c>
      <c r="G3267" s="15" t="str">
        <f>IFERROR(__xludf.DUMMYFUNCTION("""COMPUTED_VALUE"""),"Olga Dorronsoro")</f>
        <v>Olga Dorronsoro</v>
      </c>
      <c r="H3267" s="16">
        <f>IFERROR(__xludf.DUMMYFUNCTION("""COMPUTED_VALUE"""),11803.0)</f>
        <v>11803</v>
      </c>
      <c r="I3267" s="18">
        <f>IFERROR(__xludf.DUMMYFUNCTION("""COMPUTED_VALUE"""),10.0)</f>
        <v>10</v>
      </c>
      <c r="J3267" s="18">
        <f>IFERROR(__xludf.DUMMYFUNCTION("""COMPUTED_VALUE"""),10.0)</f>
        <v>10</v>
      </c>
      <c r="K3267" s="18">
        <f>IFERROR(__xludf.DUMMYFUNCTION("""COMPUTED_VALUE"""),15.0)</f>
        <v>15</v>
      </c>
      <c r="L3267" s="17">
        <f>IFERROR(__xludf.DUMMYFUNCTION("""COMPUTED_VALUE"""),3.1176404E9)</f>
        <v>3117640400</v>
      </c>
      <c r="M3267" s="17" t="str">
        <f>IFERROR(__xludf.DUMMYFUNCTION("""COMPUTED_VALUE"""),"#REF!")</f>
        <v>#REF!</v>
      </c>
      <c r="N3267" s="17"/>
      <c r="O3267" s="17"/>
      <c r="P3267" s="17" t="b">
        <f>IFERROR(__xludf.DUMMYFUNCTION("""COMPUTED_VALUE"""),FALSE)</f>
        <v>0</v>
      </c>
      <c r="Q3267" s="20" t="str">
        <f>IFERROR(__xludf.DUMMYFUNCTION("""COMPUTED_VALUE"""),"")</f>
        <v/>
      </c>
      <c r="R3267" s="21" t="str">
        <f>IFERROR(__xludf.DUMMYFUNCTION("""COMPUTED_VALUE"""),"https://drive.google.com/file/d/1Q37aUyuic_sjL8T5My3x8bFxfYgpbM3O/view?usp=drivesdk")</f>
        <v>https://drive.google.com/file/d/1Q37aUyuic_sjL8T5My3x8bFxfYgpbM3O/view?usp=drivesdk</v>
      </c>
    </row>
    <row r="3268">
      <c r="A3268" s="15">
        <f>IFERROR(__xludf.DUMMYFUNCTION("""COMPUTED_VALUE"""),45098.0)</f>
        <v>45098</v>
      </c>
      <c r="B3268" s="16" t="str">
        <f>IFERROR(__xludf.DUMMYFUNCTION("""COMPUTED_VALUE"""),"Envia")</f>
        <v>Envia</v>
      </c>
      <c r="C3268" s="15" t="str">
        <f>IFERROR(__xludf.DUMMYFUNCTION("""COMPUTED_VALUE"""),"FLORIDABLANCA")</f>
        <v>FLORIDABLANCA</v>
      </c>
      <c r="D3268" s="15" t="str">
        <f>IFERROR(__xludf.DUMMYFUNCTION("""COMPUTED_VALUE"""),"BOGOTÁ")</f>
        <v>BOGOTÁ</v>
      </c>
      <c r="E3268" s="15" t="str">
        <f>IFERROR(__xludf.DUMMYFUNCTION("""COMPUTED_VALUE"""),"Ins. Alimento Vital")</f>
        <v>Ins. Alimento Vital</v>
      </c>
      <c r="F3268" s="17" t="str">
        <f>IFERROR(__xludf.DUMMYFUNCTION("""COMPUTED_VALUE"""),"CL 200 13 200 / TR 2 AP 1504 ED PARK 200 / ED PARK 200")</f>
        <v>CL 200 13 200 / TR 2 AP 1504 ED PARK 200 / ED PARK 200</v>
      </c>
      <c r="G3268" s="15" t="str">
        <f>IFERROR(__xludf.DUMMYFUNCTION("""COMPUTED_VALUE"""),"VIVIANA CECILIA GUZMAN GHISSAYS")</f>
        <v>VIVIANA CECILIA GUZMAN GHISSAYS</v>
      </c>
      <c r="H3268" s="16">
        <f>IFERROR(__xludf.DUMMYFUNCTION("""COMPUTED_VALUE"""),11846.0)</f>
        <v>11846</v>
      </c>
      <c r="I3268" s="18">
        <f>IFERROR(__xludf.DUMMYFUNCTION("""COMPUTED_VALUE"""),1.0)</f>
        <v>1</v>
      </c>
      <c r="J3268" s="18">
        <f>IFERROR(__xludf.DUMMYFUNCTION("""COMPUTED_VALUE"""),1.0)</f>
        <v>1</v>
      </c>
      <c r="K3268" s="18">
        <f>IFERROR(__xludf.DUMMYFUNCTION("""COMPUTED_VALUE"""),1.0)</f>
        <v>1</v>
      </c>
      <c r="L3268" s="17">
        <f>IFERROR(__xludf.DUMMYFUNCTION("""COMPUTED_VALUE"""),3.183879871E9)</f>
        <v>3183879871</v>
      </c>
      <c r="M3268" s="17" t="str">
        <f>IFERROR(__xludf.DUMMYFUNCTION("""COMPUTED_VALUE"""),"#REF!")</f>
        <v>#REF!</v>
      </c>
      <c r="N3268" s="17"/>
      <c r="O3268" s="17"/>
      <c r="P3268" s="17" t="b">
        <f>IFERROR(__xludf.DUMMYFUNCTION("""COMPUTED_VALUE"""),TRUE)</f>
        <v>1</v>
      </c>
      <c r="Q3268" s="20">
        <f>IFERROR(__xludf.DUMMYFUNCTION("""COMPUTED_VALUE"""),45098.74593424769)</f>
        <v>45098.74593</v>
      </c>
      <c r="R3268" s="21" t="str">
        <f>IFERROR(__xludf.DUMMYFUNCTION("""COMPUTED_VALUE"""),"https://drive.google.com/file/d/11-q6ZZzG9EXkB6ckG38e9nDGkZLU8Y5s/view?usp=drivesdk")</f>
        <v>https://drive.google.com/file/d/11-q6ZZzG9EXkB6ckG38e9nDGkZLU8Y5s/view?usp=drivesdk</v>
      </c>
    </row>
    <row r="3269">
      <c r="A3269" s="15">
        <f>IFERROR(__xludf.DUMMYFUNCTION("""COMPUTED_VALUE"""),45098.0)</f>
        <v>45098</v>
      </c>
      <c r="B3269" s="16" t="str">
        <f>IFERROR(__xludf.DUMMYFUNCTION("""COMPUTED_VALUE"""),"Envia")</f>
        <v>Envia</v>
      </c>
      <c r="C3269" s="15" t="str">
        <f>IFERROR(__xludf.DUMMYFUNCTION("""COMPUTED_VALUE"""),"FLORIDABLANCA")</f>
        <v>FLORIDABLANCA</v>
      </c>
      <c r="D3269" s="15" t="str">
        <f>IFERROR(__xludf.DUMMYFUNCTION("""COMPUTED_VALUE"""),"BOGOTÁ")</f>
        <v>BOGOTÁ</v>
      </c>
      <c r="E3269" s="15" t="str">
        <f>IFERROR(__xludf.DUMMYFUNCTION("""COMPUTED_VALUE"""),"Ins. Alimento Vital")</f>
        <v>Ins. Alimento Vital</v>
      </c>
      <c r="F3269" s="17" t="str">
        <f>IFERROR(__xludf.DUMMYFUNCTION("""COMPUTED_VALUE"""),"CONDOMINIO ROUITIQUE CONJUNTO LA PRADERA / CASA 39 / CONJUNTO LA PRADERA")</f>
        <v>CONDOMINIO ROUITIQUE CONJUNTO LA PRADERA / CASA 39 / CONJUNTO LA PRADERA</v>
      </c>
      <c r="G3269" s="15" t="str">
        <f>IFERROR(__xludf.DUMMYFUNCTION("""COMPUTED_VALUE"""),"ADRIANA MARIA BARRERA SARMIENTO")</f>
        <v>ADRIANA MARIA BARRERA SARMIENTO</v>
      </c>
      <c r="H3269" s="16">
        <f>IFERROR(__xludf.DUMMYFUNCTION("""COMPUTED_VALUE"""),11843.0)</f>
        <v>11843</v>
      </c>
      <c r="I3269" s="18">
        <f>IFERROR(__xludf.DUMMYFUNCTION("""COMPUTED_VALUE"""),1.0)</f>
        <v>1</v>
      </c>
      <c r="J3269" s="18">
        <f>IFERROR(__xludf.DUMMYFUNCTION("""COMPUTED_VALUE"""),1.0)</f>
        <v>1</v>
      </c>
      <c r="K3269" s="18">
        <f>IFERROR(__xludf.DUMMYFUNCTION("""COMPUTED_VALUE"""),1.0)</f>
        <v>1</v>
      </c>
      <c r="L3269" s="17">
        <f>IFERROR(__xludf.DUMMYFUNCTION("""COMPUTED_VALUE"""),3.21372563E9)</f>
        <v>3213725630</v>
      </c>
      <c r="M3269" s="17" t="str">
        <f>IFERROR(__xludf.DUMMYFUNCTION("""COMPUTED_VALUE"""),"#REF!")</f>
        <v>#REF!</v>
      </c>
      <c r="N3269" s="17"/>
      <c r="O3269" s="17"/>
      <c r="P3269" s="17" t="b">
        <f>IFERROR(__xludf.DUMMYFUNCTION("""COMPUTED_VALUE"""),TRUE)</f>
        <v>1</v>
      </c>
      <c r="Q3269" s="20">
        <f>IFERROR(__xludf.DUMMYFUNCTION("""COMPUTED_VALUE"""),45098.745966620365)</f>
        <v>45098.74597</v>
      </c>
      <c r="R3269" s="21" t="str">
        <f>IFERROR(__xludf.DUMMYFUNCTION("""COMPUTED_VALUE"""),"https://drive.google.com/file/d/103fmh-F-Ks4dfQhaQvBxksdU6T4kmn0Q/view?usp=drivesdk")</f>
        <v>https://drive.google.com/file/d/103fmh-F-Ks4dfQhaQvBxksdU6T4kmn0Q/view?usp=drivesdk</v>
      </c>
    </row>
    <row r="3270">
      <c r="A3270" s="15">
        <f>IFERROR(__xludf.DUMMYFUNCTION("""COMPUTED_VALUE"""),45098.0)</f>
        <v>45098</v>
      </c>
      <c r="B3270" s="16" t="str">
        <f>IFERROR(__xludf.DUMMYFUNCTION("""COMPUTED_VALUE"""),"Envia")</f>
        <v>Envia</v>
      </c>
      <c r="C3270" s="15" t="str">
        <f>IFERROR(__xludf.DUMMYFUNCTION("""COMPUTED_VALUE"""),"GIRÓN")</f>
        <v>GIRÓN</v>
      </c>
      <c r="D3270" s="15" t="str">
        <f>IFERROR(__xludf.DUMMYFUNCTION("""COMPUTED_VALUE"""),"BOGOTÁ")</f>
        <v>BOGOTÁ</v>
      </c>
      <c r="E3270" s="15" t="str">
        <f>IFERROR(__xludf.DUMMYFUNCTION("""COMPUTED_VALUE"""),"Evamazzita")</f>
        <v>Evamazzita</v>
      </c>
      <c r="F3270" s="17" t="str">
        <f>IFERROR(__xludf.DUMMYFUNCTION("""COMPUTED_VALUE"""),"Calle 35b 18A-09 / Calle 35b 18A-09 / Corte Real I")</f>
        <v>Calle 35b 18A-09 / Calle 35b 18A-09 / Corte Real I</v>
      </c>
      <c r="G3270" s="15" t="str">
        <f>IFERROR(__xludf.DUMMYFUNCTION("""COMPUTED_VALUE"""),"VIVIANA YILIVETH ESPINOSA BARAHONA")</f>
        <v>VIVIANA YILIVETH ESPINOSA BARAHONA</v>
      </c>
      <c r="H3270" s="16">
        <f>IFERROR(__xludf.DUMMYFUNCTION("""COMPUTED_VALUE"""),11869.0)</f>
        <v>11869</v>
      </c>
      <c r="I3270" s="18">
        <f>IFERROR(__xludf.DUMMYFUNCTION("""COMPUTED_VALUE"""),1.0)</f>
        <v>1</v>
      </c>
      <c r="J3270" s="18">
        <f>IFERROR(__xludf.DUMMYFUNCTION("""COMPUTED_VALUE"""),1.0)</f>
        <v>1</v>
      </c>
      <c r="K3270" s="18">
        <f>IFERROR(__xludf.DUMMYFUNCTION("""COMPUTED_VALUE"""),1.0)</f>
        <v>1</v>
      </c>
      <c r="L3270" s="17">
        <f>IFERROR(__xludf.DUMMYFUNCTION("""COMPUTED_VALUE"""),3.214058334E9)</f>
        <v>3214058334</v>
      </c>
      <c r="M3270" s="17" t="str">
        <f>IFERROR(__xludf.DUMMYFUNCTION("""COMPUTED_VALUE"""),"#REF!")</f>
        <v>#REF!</v>
      </c>
      <c r="N3270" s="17"/>
      <c r="O3270" s="17"/>
      <c r="P3270" s="17" t="b">
        <f>IFERROR(__xludf.DUMMYFUNCTION("""COMPUTED_VALUE"""),TRUE)</f>
        <v>1</v>
      </c>
      <c r="Q3270" s="20">
        <f>IFERROR(__xludf.DUMMYFUNCTION("""COMPUTED_VALUE"""),45098.74596663195)</f>
        <v>45098.74597</v>
      </c>
      <c r="R3270" s="21" t="str">
        <f>IFERROR(__xludf.DUMMYFUNCTION("""COMPUTED_VALUE"""),"https://drive.google.com/file/d/1DtqBRZg2YEDRdRnvRcviq-_iTWZGAtDU/view?usp=drivesdk")</f>
        <v>https://drive.google.com/file/d/1DtqBRZg2YEDRdRnvRcviq-_iTWZGAtDU/view?usp=drivesdk</v>
      </c>
    </row>
    <row r="3271">
      <c r="A3271" s="15">
        <f>IFERROR(__xludf.DUMMYFUNCTION("""COMPUTED_VALUE"""),45098.0)</f>
        <v>45098</v>
      </c>
      <c r="B3271" s="16" t="str">
        <f>IFERROR(__xludf.DUMMYFUNCTION("""COMPUTED_VALUE"""),"Envia")</f>
        <v>Envia</v>
      </c>
      <c r="C3271" s="15" t="str">
        <f>IFERROR(__xludf.DUMMYFUNCTION("""COMPUTED_VALUE"""),"GIRÓN")</f>
        <v>GIRÓN</v>
      </c>
      <c r="D3271" s="15" t="str">
        <f>IFERROR(__xludf.DUMMYFUNCTION("""COMPUTED_VALUE"""),"BOGOTÁ")</f>
        <v>BOGOTÁ</v>
      </c>
      <c r="E3271" s="15" t="str">
        <f>IFERROR(__xludf.DUMMYFUNCTION("""COMPUTED_VALUE"""),"Evamazzita")</f>
        <v>Evamazzita</v>
      </c>
      <c r="F3271" s="17" t="str">
        <f>IFERROR(__xludf.DUMMYFUNCTION("""COMPUTED_VALUE"""),"CALLE 9 No. 27A - 09  / ARENALES 4 / ARENALES 4")</f>
        <v>CALLE 9 No. 27A - 09  / ARENALES 4 / ARENALES 4</v>
      </c>
      <c r="G3271" s="15" t="str">
        <f>IFERROR(__xludf.DUMMYFUNCTION("""COMPUTED_VALUE"""),"MARIA CAMILA OLAYA SILVA")</f>
        <v>MARIA CAMILA OLAYA SILVA</v>
      </c>
      <c r="H3271" s="16">
        <f>IFERROR(__xludf.DUMMYFUNCTION("""COMPUTED_VALUE"""),11868.0)</f>
        <v>11868</v>
      </c>
      <c r="I3271" s="18">
        <f>IFERROR(__xludf.DUMMYFUNCTION("""COMPUTED_VALUE"""),1.0)</f>
        <v>1</v>
      </c>
      <c r="J3271" s="18">
        <f>IFERROR(__xludf.DUMMYFUNCTION("""COMPUTED_VALUE"""),1.0)</f>
        <v>1</v>
      </c>
      <c r="K3271" s="18">
        <f>IFERROR(__xludf.DUMMYFUNCTION("""COMPUTED_VALUE"""),1.0)</f>
        <v>1</v>
      </c>
      <c r="L3271" s="17">
        <f>IFERROR(__xludf.DUMMYFUNCTION("""COMPUTED_VALUE"""),3.00217289E9)</f>
        <v>3002172890</v>
      </c>
      <c r="M3271" s="17" t="str">
        <f>IFERROR(__xludf.DUMMYFUNCTION("""COMPUTED_VALUE"""),"#REF!")</f>
        <v>#REF!</v>
      </c>
      <c r="N3271" s="17"/>
      <c r="O3271" s="17"/>
      <c r="P3271" s="17" t="b">
        <f>IFERROR(__xludf.DUMMYFUNCTION("""COMPUTED_VALUE"""),TRUE)</f>
        <v>1</v>
      </c>
      <c r="Q3271" s="20">
        <f>IFERROR(__xludf.DUMMYFUNCTION("""COMPUTED_VALUE"""),45098.74613084491)</f>
        <v>45098.74613</v>
      </c>
      <c r="R3271" s="21" t="str">
        <f>IFERROR(__xludf.DUMMYFUNCTION("""COMPUTED_VALUE"""),"https://drive.google.com/file/d/1EgWOMnSfi-CBLaBngogDIaLIjL1XYUJG/view?usp=drivesdk")</f>
        <v>https://drive.google.com/file/d/1EgWOMnSfi-CBLaBngogDIaLIjL1XYUJG/view?usp=drivesdk</v>
      </c>
    </row>
    <row r="3272">
      <c r="A3272" s="15">
        <f>IFERROR(__xludf.DUMMYFUNCTION("""COMPUTED_VALUE"""),45098.0)</f>
        <v>45098</v>
      </c>
      <c r="B3272" s="16" t="str">
        <f>IFERROR(__xludf.DUMMYFUNCTION("""COMPUTED_VALUE"""),"Envia")</f>
        <v>Envia</v>
      </c>
      <c r="C3272" s="15" t="str">
        <f>IFERROR(__xludf.DUMMYFUNCTION("""COMPUTED_VALUE"""),"MANIZALES")</f>
        <v>MANIZALES</v>
      </c>
      <c r="D3272" s="15" t="str">
        <f>IFERROR(__xludf.DUMMYFUNCTION("""COMPUTED_VALUE"""),"MEDELLÍN")</f>
        <v>MEDELLÍN</v>
      </c>
      <c r="E3272" s="15" t="str">
        <f>IFERROR(__xludf.DUMMYFUNCTION("""COMPUTED_VALUE"""),"Masar Cocina")</f>
        <v>Masar Cocina</v>
      </c>
      <c r="F3272" s="17" t="str">
        <f>IFERROR(__xludf.DUMMYFUNCTION("""COMPUTED_VALUE"""),"Calle 105 n27-36 casa  / Bosques de la enea  / Manizales caldas")</f>
        <v>Calle 105 n27-36 casa  / Bosques de la enea  / Manizales caldas</v>
      </c>
      <c r="G3272" s="15" t="str">
        <f>IFERROR(__xludf.DUMMYFUNCTION("""COMPUTED_VALUE"""),"Manuela López uribe")</f>
        <v>Manuela López uribe</v>
      </c>
      <c r="H3272" s="16">
        <f>IFERROR(__xludf.DUMMYFUNCTION("""COMPUTED_VALUE"""),11810.0)</f>
        <v>11810</v>
      </c>
      <c r="I3272" s="18">
        <f>IFERROR(__xludf.DUMMYFUNCTION("""COMPUTED_VALUE"""),12.0)</f>
        <v>12</v>
      </c>
      <c r="J3272" s="18">
        <f>IFERROR(__xludf.DUMMYFUNCTION("""COMPUTED_VALUE"""),10.0)</f>
        <v>10</v>
      </c>
      <c r="K3272" s="18">
        <f>IFERROR(__xludf.DUMMYFUNCTION("""COMPUTED_VALUE"""),10.0)</f>
        <v>10</v>
      </c>
      <c r="L3272" s="17">
        <f>IFERROR(__xludf.DUMMYFUNCTION("""COMPUTED_VALUE"""),3.152731725E9)</f>
        <v>3152731725</v>
      </c>
      <c r="M3272" s="17" t="str">
        <f>IFERROR(__xludf.DUMMYFUNCTION("""COMPUTED_VALUE"""),"#REF!")</f>
        <v>#REF!</v>
      </c>
      <c r="N3272" s="17"/>
      <c r="O3272" s="17"/>
      <c r="P3272" s="17" t="b">
        <f>IFERROR(__xludf.DUMMYFUNCTION("""COMPUTED_VALUE"""),FALSE)</f>
        <v>0</v>
      </c>
      <c r="Q3272" s="20" t="str">
        <f>IFERROR(__xludf.DUMMYFUNCTION("""COMPUTED_VALUE"""),"")</f>
        <v/>
      </c>
      <c r="R3272" s="21" t="str">
        <f>IFERROR(__xludf.DUMMYFUNCTION("""COMPUTED_VALUE"""),"https://drive.google.com/file/d/1lqMmjda4grCluuhqG9DnecybWOvV4q_I/view?usp=drivesdk")</f>
        <v>https://drive.google.com/file/d/1lqMmjda4grCluuhqG9DnecybWOvV4q_I/view?usp=drivesdk</v>
      </c>
    </row>
    <row r="3273">
      <c r="A3273" s="15">
        <f>IFERROR(__xludf.DUMMYFUNCTION("""COMPUTED_VALUE"""),45098.0)</f>
        <v>45098</v>
      </c>
      <c r="B3273" s="16" t="str">
        <f>IFERROR(__xludf.DUMMYFUNCTION("""COMPUTED_VALUE"""),"Envia")</f>
        <v>Envia</v>
      </c>
      <c r="C3273" s="15" t="str">
        <f>IFERROR(__xludf.DUMMYFUNCTION("""COMPUTED_VALUE"""),"MEDELLÍN")</f>
        <v>MEDELLÍN</v>
      </c>
      <c r="D3273" s="15" t="str">
        <f>IFERROR(__xludf.DUMMYFUNCTION("""COMPUTED_VALUE"""),"BOGOTÁ")</f>
        <v>BOGOTÁ</v>
      </c>
      <c r="E3273" s="15" t="str">
        <f>IFERROR(__xludf.DUMMYFUNCTION("""COMPUTED_VALUE"""),"Asociacion Agropecuaria Juana Maria")</f>
        <v>Asociacion Agropecuaria Juana Maria</v>
      </c>
      <c r="F3273" s="17" t="str">
        <f>IFERROR(__xludf.DUMMYFUNCTION("""COMPUTED_VALUE"""),"Carrera 15 BA # 30D-44 int 201")</f>
        <v>Carrera 15 BA # 30D-44 int 201</v>
      </c>
      <c r="G3273" s="15" t="str">
        <f>IFERROR(__xludf.DUMMYFUNCTION("""COMPUTED_VALUE"""),"Daniela Bedoya Blandon")</f>
        <v>Daniela Bedoya Blandon</v>
      </c>
      <c r="H3273" s="16">
        <f>IFERROR(__xludf.DUMMYFUNCTION("""COMPUTED_VALUE"""),11816.0)</f>
        <v>11816</v>
      </c>
      <c r="I3273" s="18">
        <f>IFERROR(__xludf.DUMMYFUNCTION("""COMPUTED_VALUE"""),21.0)</f>
        <v>21</v>
      </c>
      <c r="J3273" s="18">
        <f>IFERROR(__xludf.DUMMYFUNCTION("""COMPUTED_VALUE"""),37.0)</f>
        <v>37</v>
      </c>
      <c r="K3273" s="18">
        <f>IFERROR(__xludf.DUMMYFUNCTION("""COMPUTED_VALUE"""),30.0)</f>
        <v>30</v>
      </c>
      <c r="L3273" s="17">
        <f>IFERROR(__xludf.DUMMYFUNCTION("""COMPUTED_VALUE"""),3.14672822E9)</f>
        <v>3146728220</v>
      </c>
      <c r="M3273" s="17" t="str">
        <f>IFERROR(__xludf.DUMMYFUNCTION("""COMPUTED_VALUE"""),"#REF!")</f>
        <v>#REF!</v>
      </c>
      <c r="N3273" s="17"/>
      <c r="O3273" s="17"/>
      <c r="P3273" s="17" t="b">
        <f>IFERROR(__xludf.DUMMYFUNCTION("""COMPUTED_VALUE"""),FALSE)</f>
        <v>0</v>
      </c>
      <c r="Q3273" s="20" t="str">
        <f>IFERROR(__xludf.DUMMYFUNCTION("""COMPUTED_VALUE"""),"")</f>
        <v/>
      </c>
      <c r="R3273" s="22" t="str">
        <f>IFERROR(__xludf.DUMMYFUNCTION("""COMPUTED_VALUE"""),"")</f>
        <v/>
      </c>
    </row>
    <row r="3274">
      <c r="A3274" s="15">
        <f>IFERROR(__xludf.DUMMYFUNCTION("""COMPUTED_VALUE"""),45098.0)</f>
        <v>45098</v>
      </c>
      <c r="B3274" s="16" t="str">
        <f>IFERROR(__xludf.DUMMYFUNCTION("""COMPUTED_VALUE"""),"Envia")</f>
        <v>Envia</v>
      </c>
      <c r="C3274" s="15" t="str">
        <f>IFERROR(__xludf.DUMMYFUNCTION("""COMPUTED_VALUE"""),"MEDELLÍN")</f>
        <v>MEDELLÍN</v>
      </c>
      <c r="D3274" s="15" t="str">
        <f>IFERROR(__xludf.DUMMYFUNCTION("""COMPUTED_VALUE"""),"BOGOTÁ")</f>
        <v>BOGOTÁ</v>
      </c>
      <c r="E3274" s="15" t="str">
        <f>IFERROR(__xludf.DUMMYFUNCTION("""COMPUTED_VALUE"""),"Asociacion Agropecuaria Juana Maria")</f>
        <v>Asociacion Agropecuaria Juana Maria</v>
      </c>
      <c r="F3274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3274" s="15" t="str">
        <f>IFERROR(__xludf.DUMMYFUNCTION("""COMPUTED_VALUE"""),"Jennifer Sanchez Blandon")</f>
        <v>Jennifer Sanchez Blandon</v>
      </c>
      <c r="H3274" s="16">
        <f>IFERROR(__xludf.DUMMYFUNCTION("""COMPUTED_VALUE"""),11814.0)</f>
        <v>11814</v>
      </c>
      <c r="I3274" s="18">
        <f>IFERROR(__xludf.DUMMYFUNCTION("""COMPUTED_VALUE"""),10.0)</f>
        <v>10</v>
      </c>
      <c r="J3274" s="18">
        <f>IFERROR(__xludf.DUMMYFUNCTION("""COMPUTED_VALUE"""),34.0)</f>
        <v>34</v>
      </c>
      <c r="K3274" s="18">
        <f>IFERROR(__xludf.DUMMYFUNCTION("""COMPUTED_VALUE"""),18.0)</f>
        <v>18</v>
      </c>
      <c r="L3274" s="17">
        <f>IFERROR(__xludf.DUMMYFUNCTION("""COMPUTED_VALUE"""),3.016937674E9)</f>
        <v>3016937674</v>
      </c>
      <c r="M3274" s="17" t="str">
        <f>IFERROR(__xludf.DUMMYFUNCTION("""COMPUTED_VALUE"""),"#REF!")</f>
        <v>#REF!</v>
      </c>
      <c r="N3274" s="17"/>
      <c r="O3274" s="17"/>
      <c r="P3274" s="17" t="b">
        <f>IFERROR(__xludf.DUMMYFUNCTION("""COMPUTED_VALUE"""),FALSE)</f>
        <v>0</v>
      </c>
      <c r="Q3274" s="20" t="str">
        <f>IFERROR(__xludf.DUMMYFUNCTION("""COMPUTED_VALUE"""),"")</f>
        <v/>
      </c>
      <c r="R3274" s="21" t="str">
        <f>IFERROR(__xludf.DUMMYFUNCTION("""COMPUTED_VALUE"""),"https://drive.google.com/file/d/1qcZkZDSfqWibxw3nC1aM5qwZ_cd3ZJgf/view?usp=drivesdk")</f>
        <v>https://drive.google.com/file/d/1qcZkZDSfqWibxw3nC1aM5qwZ_cd3ZJgf/view?usp=drivesdk</v>
      </c>
    </row>
    <row r="3275">
      <c r="A3275" s="15">
        <f>IFERROR(__xludf.DUMMYFUNCTION("""COMPUTED_VALUE"""),45098.0)</f>
        <v>45098</v>
      </c>
      <c r="B3275" s="16" t="str">
        <f>IFERROR(__xludf.DUMMYFUNCTION("""COMPUTED_VALUE"""),"Envia")</f>
        <v>Envia</v>
      </c>
      <c r="C3275" s="15" t="str">
        <f>IFERROR(__xludf.DUMMYFUNCTION("""COMPUTED_VALUE"""),"MEDELLÍN")</f>
        <v>MEDELLÍN</v>
      </c>
      <c r="D3275" s="15" t="str">
        <f>IFERROR(__xludf.DUMMYFUNCTION("""COMPUTED_VALUE"""),"BOGOTÁ")</f>
        <v>BOGOTÁ</v>
      </c>
      <c r="E3275" s="15" t="str">
        <f>IFERROR(__xludf.DUMMYFUNCTION("""COMPUTED_VALUE"""),"Asociacion Agropecuaria Juana Maria")</f>
        <v>Asociacion Agropecuaria Juana Maria</v>
      </c>
      <c r="F3275" s="17" t="str">
        <f>IFERROR(__xludf.DUMMYFUNCTION("""COMPUTED_VALUE"""),"Cra 82C # 30A-100 apto 1202 urbanizacion Torres de Vicuña Belen los Alpes")</f>
        <v>Cra 82C # 30A-100 apto 1202 urbanizacion Torres de Vicuña Belen los Alpes</v>
      </c>
      <c r="G3275" s="15" t="str">
        <f>IFERROR(__xludf.DUMMYFUNCTION("""COMPUTED_VALUE"""),"Gloria Moreno")</f>
        <v>Gloria Moreno</v>
      </c>
      <c r="H3275" s="16">
        <f>IFERROR(__xludf.DUMMYFUNCTION("""COMPUTED_VALUE"""),11811.0)</f>
        <v>11811</v>
      </c>
      <c r="I3275" s="18">
        <f>IFERROR(__xludf.DUMMYFUNCTION("""COMPUTED_VALUE"""),17.0)</f>
        <v>17</v>
      </c>
      <c r="J3275" s="18">
        <f>IFERROR(__xludf.DUMMYFUNCTION("""COMPUTED_VALUE"""),37.0)</f>
        <v>37</v>
      </c>
      <c r="K3275" s="18">
        <f>IFERROR(__xludf.DUMMYFUNCTION("""COMPUTED_VALUE"""),28.0)</f>
        <v>28</v>
      </c>
      <c r="L3275" s="17">
        <f>IFERROR(__xludf.DUMMYFUNCTION("""COMPUTED_VALUE"""),3.162544201E9)</f>
        <v>3162544201</v>
      </c>
      <c r="M3275" s="17" t="str">
        <f>IFERROR(__xludf.DUMMYFUNCTION("""COMPUTED_VALUE"""),"#REF!")</f>
        <v>#REF!</v>
      </c>
      <c r="N3275" s="17"/>
      <c r="O3275" s="17"/>
      <c r="P3275" s="17" t="b">
        <f>IFERROR(__xludf.DUMMYFUNCTION("""COMPUTED_VALUE"""),FALSE)</f>
        <v>0</v>
      </c>
      <c r="Q3275" s="20" t="str">
        <f>IFERROR(__xludf.DUMMYFUNCTION("""COMPUTED_VALUE"""),"")</f>
        <v/>
      </c>
      <c r="R3275" s="21" t="str">
        <f>IFERROR(__xludf.DUMMYFUNCTION("""COMPUTED_VALUE"""),"https://drive.google.com/file/d/1W_-ACRK_-k_C4IipZOQMFS-_nK5PY8oU/view?usp=drivesdk")</f>
        <v>https://drive.google.com/file/d/1W_-ACRK_-k_C4IipZOQMFS-_nK5PY8oU/view?usp=drivesdk</v>
      </c>
    </row>
    <row r="3276">
      <c r="A3276" s="15">
        <f>IFERROR(__xludf.DUMMYFUNCTION("""COMPUTED_VALUE"""),45098.0)</f>
        <v>45098</v>
      </c>
      <c r="B3276" s="16" t="str">
        <f>IFERROR(__xludf.DUMMYFUNCTION("""COMPUTED_VALUE"""),"Envia")</f>
        <v>Envia</v>
      </c>
      <c r="C3276" s="15" t="str">
        <f>IFERROR(__xludf.DUMMYFUNCTION("""COMPUTED_VALUE"""),"MEDELLÍN")</f>
        <v>MEDELLÍN</v>
      </c>
      <c r="D3276" s="15" t="str">
        <f>IFERROR(__xludf.DUMMYFUNCTION("""COMPUTED_VALUE"""),"BOGOTÁ")</f>
        <v>BOGOTÁ</v>
      </c>
      <c r="E3276" s="15" t="str">
        <f>IFERROR(__xludf.DUMMYFUNCTION("""COMPUTED_VALUE"""),"Evamazzita")</f>
        <v>Evamazzita</v>
      </c>
      <c r="F3276" s="17" t="str">
        <f>IFERROR(__xludf.DUMMYFUNCTION("""COMPUTED_VALUE"""),"CARRERA 27 # 23 S - 101  / URB AKACIA CASA 142 / ENVIGADO")</f>
        <v>CARRERA 27 # 23 S - 101  / URB AKACIA CASA 142 / ENVIGADO</v>
      </c>
      <c r="G3276" s="15" t="str">
        <f>IFERROR(__xludf.DUMMYFUNCTION("""COMPUTED_VALUE"""),"CRISTINA DUQUE")</f>
        <v>CRISTINA DUQUE</v>
      </c>
      <c r="H3276" s="16">
        <f>IFERROR(__xludf.DUMMYFUNCTION("""COMPUTED_VALUE"""),11853.0)</f>
        <v>11853</v>
      </c>
      <c r="I3276" s="18">
        <f>IFERROR(__xludf.DUMMYFUNCTION("""COMPUTED_VALUE"""),1.0)</f>
        <v>1</v>
      </c>
      <c r="J3276" s="18">
        <f>IFERROR(__xludf.DUMMYFUNCTION("""COMPUTED_VALUE"""),1.0)</f>
        <v>1</v>
      </c>
      <c r="K3276" s="18">
        <f>IFERROR(__xludf.DUMMYFUNCTION("""COMPUTED_VALUE"""),1.0)</f>
        <v>1</v>
      </c>
      <c r="L3276" s="17">
        <f>IFERROR(__xludf.DUMMYFUNCTION("""COMPUTED_VALUE"""),3.008463536E9)</f>
        <v>3008463536</v>
      </c>
      <c r="M3276" s="17" t="str">
        <f>IFERROR(__xludf.DUMMYFUNCTION("""COMPUTED_VALUE"""),"#REF!")</f>
        <v>#REF!</v>
      </c>
      <c r="N3276" s="17"/>
      <c r="O3276" s="17"/>
      <c r="P3276" s="17" t="b">
        <f>IFERROR(__xludf.DUMMYFUNCTION("""COMPUTED_VALUE"""),TRUE)</f>
        <v>1</v>
      </c>
      <c r="Q3276" s="20">
        <f>IFERROR(__xludf.DUMMYFUNCTION("""COMPUTED_VALUE"""),45099.733508888894)</f>
        <v>45099.73351</v>
      </c>
      <c r="R3276" s="21" t="str">
        <f>IFERROR(__xludf.DUMMYFUNCTION("""COMPUTED_VALUE"""),"https://drive.google.com/file/d/1_ePUVXK3i73qRURqGhu9HPvqBYHFn-Cs/view?usp=drivesdk")</f>
        <v>https://drive.google.com/file/d/1_ePUVXK3i73qRURqGhu9HPvqBYHFn-Cs/view?usp=drivesdk</v>
      </c>
    </row>
    <row r="3277">
      <c r="A3277" s="15">
        <f>IFERROR(__xludf.DUMMYFUNCTION("""COMPUTED_VALUE"""),45098.0)</f>
        <v>45098</v>
      </c>
      <c r="B3277" s="16" t="str">
        <f>IFERROR(__xludf.DUMMYFUNCTION("""COMPUTED_VALUE"""),"Envia")</f>
        <v>Envia</v>
      </c>
      <c r="C3277" s="15" t="str">
        <f>IFERROR(__xludf.DUMMYFUNCTION("""COMPUTED_VALUE"""),"MEDELLÍN")</f>
        <v>MEDELLÍN</v>
      </c>
      <c r="D3277" s="15" t="str">
        <f>IFERROR(__xludf.DUMMYFUNCTION("""COMPUTED_VALUE"""),"BOGOTÁ")</f>
        <v>BOGOTÁ</v>
      </c>
      <c r="E3277" s="15" t="str">
        <f>IFERROR(__xludf.DUMMYFUNCTION("""COMPUTED_VALUE"""),"Evamazzita")</f>
        <v>Evamazzita</v>
      </c>
      <c r="F3277" s="17" t="str">
        <f>IFERROR(__xludf.DUMMYFUNCTION("""COMPUTED_VALUE"""),"CLL 29 #57-122  / segundo piso /  CABAÑAS BELLO")</f>
        <v>CLL 29 #57-122  / segundo piso /  CABAÑAS BELLO</v>
      </c>
      <c r="G3277" s="15" t="str">
        <f>IFERROR(__xludf.DUMMYFUNCTION("""COMPUTED_VALUE"""),"CAMILA ANDREA PARRA ZULETA")</f>
        <v>CAMILA ANDREA PARRA ZULETA</v>
      </c>
      <c r="H3277" s="16">
        <f>IFERROR(__xludf.DUMMYFUNCTION("""COMPUTED_VALUE"""),11854.0)</f>
        <v>11854</v>
      </c>
      <c r="I3277" s="18">
        <f>IFERROR(__xludf.DUMMYFUNCTION("""COMPUTED_VALUE"""),1.0)</f>
        <v>1</v>
      </c>
      <c r="J3277" s="18">
        <f>IFERROR(__xludf.DUMMYFUNCTION("""COMPUTED_VALUE"""),1.0)</f>
        <v>1</v>
      </c>
      <c r="K3277" s="18">
        <f>IFERROR(__xludf.DUMMYFUNCTION("""COMPUTED_VALUE"""),1.0)</f>
        <v>1</v>
      </c>
      <c r="L3277" s="17">
        <f>IFERROR(__xludf.DUMMYFUNCTION("""COMPUTED_VALUE"""),3.14397666E9)</f>
        <v>3143976660</v>
      </c>
      <c r="M3277" s="17" t="str">
        <f>IFERROR(__xludf.DUMMYFUNCTION("""COMPUTED_VALUE"""),"#REF!")</f>
        <v>#REF!</v>
      </c>
      <c r="N3277" s="17"/>
      <c r="O3277" s="17"/>
      <c r="P3277" s="17" t="b">
        <f>IFERROR(__xludf.DUMMYFUNCTION("""COMPUTED_VALUE"""),FALSE)</f>
        <v>0</v>
      </c>
      <c r="Q3277" s="20" t="str">
        <f>IFERROR(__xludf.DUMMYFUNCTION("""COMPUTED_VALUE"""),"")</f>
        <v/>
      </c>
      <c r="R3277" s="21" t="str">
        <f>IFERROR(__xludf.DUMMYFUNCTION("""COMPUTED_VALUE"""),"https://drive.google.com/file/d/1hTi9qIkCzT7chFDKifNms4z8PVA4dk5E/view?usp=drivesdk")</f>
        <v>https://drive.google.com/file/d/1hTi9qIkCzT7chFDKifNms4z8PVA4dk5E/view?usp=drivesdk</v>
      </c>
    </row>
    <row r="3278">
      <c r="A3278" s="15">
        <f>IFERROR(__xludf.DUMMYFUNCTION("""COMPUTED_VALUE"""),45098.0)</f>
        <v>45098</v>
      </c>
      <c r="B3278" s="16" t="str">
        <f>IFERROR(__xludf.DUMMYFUNCTION("""COMPUTED_VALUE"""),"Envia")</f>
        <v>Envia</v>
      </c>
      <c r="C3278" s="15" t="str">
        <f>IFERROR(__xludf.DUMMYFUNCTION("""COMPUTED_VALUE"""),"MEDELLÍN")</f>
        <v>MEDELLÍN</v>
      </c>
      <c r="D3278" s="15" t="str">
        <f>IFERROR(__xludf.DUMMYFUNCTION("""COMPUTED_VALUE"""),"BOGOTÁ")</f>
        <v>BOGOTÁ</v>
      </c>
      <c r="E3278" s="15" t="str">
        <f>IFERROR(__xludf.DUMMYFUNCTION("""COMPUTED_VALUE"""),"Evamazzita")</f>
        <v>Evamazzita</v>
      </c>
      <c r="F3278" s="17" t="str">
        <f>IFERROR(__xludf.DUMMYFUNCTION("""COMPUTED_VALUE"""),"Cr 35 # 65 Sur 135   / EDIFICIO DUBLIN apto 2804  / Las lomitas")</f>
        <v>Cr 35 # 65 Sur 135   / EDIFICIO DUBLIN apto 2804  / Las lomitas</v>
      </c>
      <c r="G3278" s="15" t="str">
        <f>IFERROR(__xludf.DUMMYFUNCTION("""COMPUTED_VALUE"""),"VANESSA BEDOYA")</f>
        <v>VANESSA BEDOYA</v>
      </c>
      <c r="H3278" s="16">
        <f>IFERROR(__xludf.DUMMYFUNCTION("""COMPUTED_VALUE"""),11861.0)</f>
        <v>11861</v>
      </c>
      <c r="I3278" s="18">
        <f>IFERROR(__xludf.DUMMYFUNCTION("""COMPUTED_VALUE"""),1.0)</f>
        <v>1</v>
      </c>
      <c r="J3278" s="18">
        <f>IFERROR(__xludf.DUMMYFUNCTION("""COMPUTED_VALUE"""),1.0)</f>
        <v>1</v>
      </c>
      <c r="K3278" s="18">
        <f>IFERROR(__xludf.DUMMYFUNCTION("""COMPUTED_VALUE"""),1.0)</f>
        <v>1</v>
      </c>
      <c r="L3278" s="17">
        <f>IFERROR(__xludf.DUMMYFUNCTION("""COMPUTED_VALUE"""),3.1847212E9)</f>
        <v>3184721200</v>
      </c>
      <c r="M3278" s="17" t="str">
        <f>IFERROR(__xludf.DUMMYFUNCTION("""COMPUTED_VALUE"""),"#REF!")</f>
        <v>#REF!</v>
      </c>
      <c r="N3278" s="17"/>
      <c r="O3278" s="17"/>
      <c r="P3278" s="17" t="b">
        <f>IFERROR(__xludf.DUMMYFUNCTION("""COMPUTED_VALUE"""),FALSE)</f>
        <v>0</v>
      </c>
      <c r="Q3278" s="20" t="str">
        <f>IFERROR(__xludf.DUMMYFUNCTION("""COMPUTED_VALUE"""),"")</f>
        <v/>
      </c>
      <c r="R3278" s="21" t="str">
        <f>IFERROR(__xludf.DUMMYFUNCTION("""COMPUTED_VALUE"""),"https://drive.google.com/file/d/1gyRVGfRBajC2Ly0CQE8fhUBoONdnCzm5/view?usp=drivesdk")</f>
        <v>https://drive.google.com/file/d/1gyRVGfRBajC2Ly0CQE8fhUBoONdnCzm5/view?usp=drivesdk</v>
      </c>
    </row>
    <row r="3279">
      <c r="A3279" s="15">
        <f>IFERROR(__xludf.DUMMYFUNCTION("""COMPUTED_VALUE"""),45098.0)</f>
        <v>45098</v>
      </c>
      <c r="B3279" s="16" t="str">
        <f>IFERROR(__xludf.DUMMYFUNCTION("""COMPUTED_VALUE"""),"Envia")</f>
        <v>Envia</v>
      </c>
      <c r="C3279" s="15" t="str">
        <f>IFERROR(__xludf.DUMMYFUNCTION("""COMPUTED_VALUE"""),"MEDELLÍN")</f>
        <v>MEDELLÍN</v>
      </c>
      <c r="D3279" s="15" t="str">
        <f>IFERROR(__xludf.DUMMYFUNCTION("""COMPUTED_VALUE"""),"BOGOTÁ")</f>
        <v>BOGOTÁ</v>
      </c>
      <c r="E3279" s="15" t="str">
        <f>IFERROR(__xludf.DUMMYFUNCTION("""COMPUTED_VALUE"""),"Loomifoods")</f>
        <v>Loomifoods</v>
      </c>
      <c r="F3279" s="17" t="str">
        <f>IFERROR(__xludf.DUMMYFUNCTION("""COMPUTED_VALUE"""),"Cra 15 BA no. 34D - 44  / Interior 201 / Medellin")</f>
        <v>Cra 15 BA no. 34D - 44  / Interior 201 / Medellin</v>
      </c>
      <c r="G3279" s="15" t="str">
        <f>IFERROR(__xludf.DUMMYFUNCTION("""COMPUTED_VALUE"""),"Daniela Bedoya")</f>
        <v>Daniela Bedoya</v>
      </c>
      <c r="H3279" s="16">
        <f>IFERROR(__xludf.DUMMYFUNCTION("""COMPUTED_VALUE"""),11856.0)</f>
        <v>11856</v>
      </c>
      <c r="I3279" s="18">
        <f>IFERROR(__xludf.DUMMYFUNCTION("""COMPUTED_VALUE"""),20.0)</f>
        <v>20</v>
      </c>
      <c r="J3279" s="18">
        <f>IFERROR(__xludf.DUMMYFUNCTION("""COMPUTED_VALUE"""),5.0)</f>
        <v>5</v>
      </c>
      <c r="K3279" s="18">
        <f>IFERROR(__xludf.DUMMYFUNCTION("""COMPUTED_VALUE"""),16.0)</f>
        <v>16</v>
      </c>
      <c r="L3279" s="17">
        <f>IFERROR(__xludf.DUMMYFUNCTION("""COMPUTED_VALUE"""),3.14672822E9)</f>
        <v>3146728220</v>
      </c>
      <c r="M3279" s="17" t="str">
        <f>IFERROR(__xludf.DUMMYFUNCTION("""COMPUTED_VALUE"""),"#REF!")</f>
        <v>#REF!</v>
      </c>
      <c r="N3279" s="17"/>
      <c r="O3279" s="17"/>
      <c r="P3279" s="17" t="b">
        <f>IFERROR(__xludf.DUMMYFUNCTION("""COMPUTED_VALUE"""),FALSE)</f>
        <v>0</v>
      </c>
      <c r="Q3279" s="20" t="str">
        <f>IFERROR(__xludf.DUMMYFUNCTION("""COMPUTED_VALUE"""),"")</f>
        <v/>
      </c>
      <c r="R3279" s="22" t="str">
        <f>IFERROR(__xludf.DUMMYFUNCTION("""COMPUTED_VALUE"""),"")</f>
        <v/>
      </c>
    </row>
    <row r="3280">
      <c r="A3280" s="15">
        <f>IFERROR(__xludf.DUMMYFUNCTION("""COMPUTED_VALUE"""),45098.0)</f>
        <v>45098</v>
      </c>
      <c r="B3280" s="16" t="str">
        <f>IFERROR(__xludf.DUMMYFUNCTION("""COMPUTED_VALUE"""),"Envia")</f>
        <v>Envia</v>
      </c>
      <c r="C3280" s="15" t="str">
        <f>IFERROR(__xludf.DUMMYFUNCTION("""COMPUTED_VALUE"""),"MEDELLÍN")</f>
        <v>MEDELLÍN</v>
      </c>
      <c r="D3280" s="15" t="str">
        <f>IFERROR(__xludf.DUMMYFUNCTION("""COMPUTED_VALUE"""),"BOGOTÁ")</f>
        <v>BOGOTÁ</v>
      </c>
      <c r="E3280" s="15" t="str">
        <f>IFERROR(__xludf.DUMMYFUNCTION("""COMPUTED_VALUE"""),"MAI ALIMENTOS S.A.S")</f>
        <v>MAI ALIMENTOS S.A.S</v>
      </c>
      <c r="F3280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280" s="15" t="str">
        <f>IFERROR(__xludf.DUMMYFUNCTION("""COMPUTED_VALUE"""),"Novaventas")</f>
        <v>Novaventas</v>
      </c>
      <c r="H3280" s="16">
        <f>IFERROR(__xludf.DUMMYFUNCTION("""COMPUTED_VALUE"""),11825.0)</f>
        <v>11825</v>
      </c>
      <c r="I3280" s="18">
        <f>IFERROR(__xludf.DUMMYFUNCTION("""COMPUTED_VALUE"""),35.0)</f>
        <v>35</v>
      </c>
      <c r="J3280" s="18">
        <f>IFERROR(__xludf.DUMMYFUNCTION("""COMPUTED_VALUE"""),17.0)</f>
        <v>17</v>
      </c>
      <c r="K3280" s="18">
        <f>IFERROR(__xludf.DUMMYFUNCTION("""COMPUTED_VALUE"""),13.0)</f>
        <v>13</v>
      </c>
      <c r="L3280" s="17">
        <f>IFERROR(__xludf.DUMMYFUNCTION("""COMPUTED_VALUE"""),3.187351593E9)</f>
        <v>3187351593</v>
      </c>
      <c r="M3280" s="17" t="str">
        <f>IFERROR(__xludf.DUMMYFUNCTION("""COMPUTED_VALUE"""),"#REF!")</f>
        <v>#REF!</v>
      </c>
      <c r="N3280" s="17"/>
      <c r="O3280" s="17"/>
      <c r="P3280" s="17" t="b">
        <f>IFERROR(__xludf.DUMMYFUNCTION("""COMPUTED_VALUE"""),FALSE)</f>
        <v>0</v>
      </c>
      <c r="Q3280" s="20" t="str">
        <f>IFERROR(__xludf.DUMMYFUNCTION("""COMPUTED_VALUE"""),"")</f>
        <v/>
      </c>
      <c r="R3280" s="22" t="str">
        <f>IFERROR(__xludf.DUMMYFUNCTION("""COMPUTED_VALUE"""),"")</f>
        <v/>
      </c>
    </row>
    <row r="3281">
      <c r="A3281" s="15">
        <f>IFERROR(__xludf.DUMMYFUNCTION("""COMPUTED_VALUE"""),45098.0)</f>
        <v>45098</v>
      </c>
      <c r="B3281" s="16" t="str">
        <f>IFERROR(__xludf.DUMMYFUNCTION("""COMPUTED_VALUE"""),"Envia")</f>
        <v>Envia</v>
      </c>
      <c r="C3281" s="15" t="str">
        <f>IFERROR(__xludf.DUMMYFUNCTION("""COMPUTED_VALUE"""),"PEREIRA")</f>
        <v>PEREIRA</v>
      </c>
      <c r="D3281" s="15" t="str">
        <f>IFERROR(__xludf.DUMMYFUNCTION("""COMPUTED_VALUE"""),"BOGOTÁ")</f>
        <v>BOGOTÁ</v>
      </c>
      <c r="E3281" s="15" t="str">
        <f>IFERROR(__xludf.DUMMYFUNCTION("""COMPUTED_VALUE"""),"Asociacion Agropecuaria Juana Maria")</f>
        <v>Asociacion Agropecuaria Juana Maria</v>
      </c>
      <c r="F3281" s="17" t="str">
        <f>IFERROR(__xludf.DUMMYFUNCTION("""COMPUTED_VALUE"""),"Calle 153 # 23 -41 manzana 1 casa 9 sol de Galicia")</f>
        <v>Calle 153 # 23 -41 manzana 1 casa 9 sol de Galicia</v>
      </c>
      <c r="G3281" s="15" t="str">
        <f>IFERROR(__xludf.DUMMYFUNCTION("""COMPUTED_VALUE"""),"Paula Andrea Forero")</f>
        <v>Paula Andrea Forero</v>
      </c>
      <c r="H3281" s="16">
        <f>IFERROR(__xludf.DUMMYFUNCTION("""COMPUTED_VALUE"""),11812.0)</f>
        <v>11812</v>
      </c>
      <c r="I3281" s="18">
        <f>IFERROR(__xludf.DUMMYFUNCTION("""COMPUTED_VALUE"""),21.0)</f>
        <v>21</v>
      </c>
      <c r="J3281" s="18">
        <f>IFERROR(__xludf.DUMMYFUNCTION("""COMPUTED_VALUE"""),37.0)</f>
        <v>37</v>
      </c>
      <c r="K3281" s="18">
        <f>IFERROR(__xludf.DUMMYFUNCTION("""COMPUTED_VALUE"""),30.0)</f>
        <v>30</v>
      </c>
      <c r="L3281" s="17">
        <f>IFERROR(__xludf.DUMMYFUNCTION("""COMPUTED_VALUE"""),3.115760231E9)</f>
        <v>3115760231</v>
      </c>
      <c r="M3281" s="17" t="str">
        <f>IFERROR(__xludf.DUMMYFUNCTION("""COMPUTED_VALUE"""),"#REF!")</f>
        <v>#REF!</v>
      </c>
      <c r="N3281" s="17"/>
      <c r="O3281" s="17"/>
      <c r="P3281" s="17" t="b">
        <f>IFERROR(__xludf.DUMMYFUNCTION("""COMPUTED_VALUE"""),FALSE)</f>
        <v>0</v>
      </c>
      <c r="Q3281" s="20" t="str">
        <f>IFERROR(__xludf.DUMMYFUNCTION("""COMPUTED_VALUE"""),"")</f>
        <v/>
      </c>
      <c r="R3281" s="21" t="str">
        <f>IFERROR(__xludf.DUMMYFUNCTION("""COMPUTED_VALUE"""),"https://drive.google.com/file/d/1ySiW0GLYj7CAqSbHAcwgQYp2BMu9s7Y3/view?usp=drivesdk")</f>
        <v>https://drive.google.com/file/d/1ySiW0GLYj7CAqSbHAcwgQYp2BMu9s7Y3/view?usp=drivesdk</v>
      </c>
    </row>
    <row r="3282">
      <c r="A3282" s="15">
        <f>IFERROR(__xludf.DUMMYFUNCTION("""COMPUTED_VALUE"""),45098.0)</f>
        <v>45098</v>
      </c>
      <c r="B3282" s="16" t="str">
        <f>IFERROR(__xludf.DUMMYFUNCTION("""COMPUTED_VALUE"""),"Envia")</f>
        <v>Envia</v>
      </c>
      <c r="C3282" s="15" t="str">
        <f>IFERROR(__xludf.DUMMYFUNCTION("""COMPUTED_VALUE"""),"PEREIRA")</f>
        <v>PEREIRA</v>
      </c>
      <c r="D3282" s="15" t="str">
        <f>IFERROR(__xludf.DUMMYFUNCTION("""COMPUTED_VALUE"""),"BOGOTÁ")</f>
        <v>BOGOTÁ</v>
      </c>
      <c r="E3282" s="15" t="str">
        <f>IFERROR(__xludf.DUMMYFUNCTION("""COMPUTED_VALUE"""),"Evamazzita")</f>
        <v>Evamazzita</v>
      </c>
      <c r="F3282" s="17" t="str">
        <f>IFERROR(__xludf.DUMMYFUNCTION("""COMPUTED_VALUE"""),"CALLE 153 # 23 - 41  / SOL DE GALICIA MZ 1 CASA 9 / SOL DE GALICIA MZ 1 CASA 9")</f>
        <v>CALLE 153 # 23 - 41  / SOL DE GALICIA MZ 1 CASA 9 / SOL DE GALICIA MZ 1 CASA 9</v>
      </c>
      <c r="G3282" s="15" t="str">
        <f>IFERROR(__xludf.DUMMYFUNCTION("""COMPUTED_VALUE"""),"PAULA FORERO")</f>
        <v>PAULA FORERO</v>
      </c>
      <c r="H3282" s="16">
        <f>IFERROR(__xludf.DUMMYFUNCTION("""COMPUTED_VALUE"""),11883.0)</f>
        <v>11883</v>
      </c>
      <c r="I3282" s="18">
        <f>IFERROR(__xludf.DUMMYFUNCTION("""COMPUTED_VALUE"""),18.0)</f>
        <v>18</v>
      </c>
      <c r="J3282" s="18">
        <f>IFERROR(__xludf.DUMMYFUNCTION("""COMPUTED_VALUE"""),32.0)</f>
        <v>32</v>
      </c>
      <c r="K3282" s="18">
        <f>IFERROR(__xludf.DUMMYFUNCTION("""COMPUTED_VALUE"""),37.0)</f>
        <v>37</v>
      </c>
      <c r="L3282" s="17">
        <f>IFERROR(__xludf.DUMMYFUNCTION("""COMPUTED_VALUE"""),3.115760231E9)</f>
        <v>3115760231</v>
      </c>
      <c r="M3282" s="17" t="str">
        <f>IFERROR(__xludf.DUMMYFUNCTION("""COMPUTED_VALUE"""),"#REF!")</f>
        <v>#REF!</v>
      </c>
      <c r="N3282" s="17"/>
      <c r="O3282" s="17"/>
      <c r="P3282" s="17" t="b">
        <f>IFERROR(__xludf.DUMMYFUNCTION("""COMPUTED_VALUE"""),FALSE)</f>
        <v>0</v>
      </c>
      <c r="Q3282" s="20" t="str">
        <f>IFERROR(__xludf.DUMMYFUNCTION("""COMPUTED_VALUE"""),"")</f>
        <v/>
      </c>
      <c r="R3282" s="22" t="str">
        <f>IFERROR(__xludf.DUMMYFUNCTION("""COMPUTED_VALUE"""),"")</f>
        <v/>
      </c>
    </row>
    <row r="3283">
      <c r="A3283" s="15">
        <f>IFERROR(__xludf.DUMMYFUNCTION("""COMPUTED_VALUE"""),45098.0)</f>
        <v>45098</v>
      </c>
      <c r="B3283" s="16" t="str">
        <f>IFERROR(__xludf.DUMMYFUNCTION("""COMPUTED_VALUE"""),"Envia")</f>
        <v>Envia</v>
      </c>
      <c r="C3283" s="15" t="str">
        <f>IFERROR(__xludf.DUMMYFUNCTION("""COMPUTED_VALUE"""),"PEREIRA")</f>
        <v>PEREIRA</v>
      </c>
      <c r="D3283" s="15" t="str">
        <f>IFERROR(__xludf.DUMMYFUNCTION("""COMPUTED_VALUE"""),"BOGOTÁ")</f>
        <v>BOGOTÁ</v>
      </c>
      <c r="E3283" s="15" t="str">
        <f>IFERROR(__xludf.DUMMYFUNCTION("""COMPUTED_VALUE"""),"Pan de Waffle")</f>
        <v>Pan de Waffle</v>
      </c>
      <c r="F3283" s="17" t="str">
        <f>IFERROR(__xludf.DUMMYFUNCTION("""COMPUTED_VALUE"""),"Calle 14 # 14 - 15 San José sur circunvalar / Calle 14 # 14 - 15 San José sur circunvalar / Calle 14 # 14 - 15 San José sur circunvalar")</f>
        <v>Calle 14 # 14 - 15 San José sur circunvalar / Calle 14 # 14 - 15 San José sur circunvalar / Calle 14 # 14 - 15 San José sur circunvalar</v>
      </c>
      <c r="G3283" s="15" t="str">
        <f>IFERROR(__xludf.DUMMYFUNCTION("""COMPUTED_VALUE"""),"MAJANA")</f>
        <v>MAJANA</v>
      </c>
      <c r="H3283" s="16">
        <f>IFERROR(__xludf.DUMMYFUNCTION("""COMPUTED_VALUE"""),11873.0)</f>
        <v>11873</v>
      </c>
      <c r="I3283" s="18">
        <f>IFERROR(__xludf.DUMMYFUNCTION("""COMPUTED_VALUE"""),40.0)</f>
        <v>40</v>
      </c>
      <c r="J3283" s="18">
        <f>IFERROR(__xludf.DUMMYFUNCTION("""COMPUTED_VALUE"""),40.0)</f>
        <v>40</v>
      </c>
      <c r="K3283" s="18">
        <f>IFERROR(__xludf.DUMMYFUNCTION("""COMPUTED_VALUE"""),30.0)</f>
        <v>30</v>
      </c>
      <c r="L3283" s="17">
        <f>IFERROR(__xludf.DUMMYFUNCTION("""COMPUTED_VALUE"""),3.148112262E9)</f>
        <v>3148112262</v>
      </c>
      <c r="M3283" s="17" t="str">
        <f>IFERROR(__xludf.DUMMYFUNCTION("""COMPUTED_VALUE"""),"#REF!")</f>
        <v>#REF!</v>
      </c>
      <c r="N3283" s="17"/>
      <c r="O3283" s="17"/>
      <c r="P3283" s="17" t="b">
        <f>IFERROR(__xludf.DUMMYFUNCTION("""COMPUTED_VALUE"""),FALSE)</f>
        <v>0</v>
      </c>
      <c r="Q3283" s="20" t="str">
        <f>IFERROR(__xludf.DUMMYFUNCTION("""COMPUTED_VALUE"""),"")</f>
        <v/>
      </c>
      <c r="R3283" s="21" t="str">
        <f>IFERROR(__xludf.DUMMYFUNCTION("""COMPUTED_VALUE"""),"https://drive.google.com/file/d/1AUvHN1osa4vjdTuqe-Rdk2nlq29EhNFk/view?usp=drivesdk")</f>
        <v>https://drive.google.com/file/d/1AUvHN1osa4vjdTuqe-Rdk2nlq29EhNFk/view?usp=drivesdk</v>
      </c>
    </row>
    <row r="3284">
      <c r="A3284" s="15">
        <f>IFERROR(__xludf.DUMMYFUNCTION("""COMPUTED_VALUE"""),45098.0)</f>
        <v>45098</v>
      </c>
      <c r="B3284" s="16" t="str">
        <f>IFERROR(__xludf.DUMMYFUNCTION("""COMPUTED_VALUE"""),"Envia")</f>
        <v>Envia</v>
      </c>
      <c r="C3284" s="15" t="str">
        <f>IFERROR(__xludf.DUMMYFUNCTION("""COMPUTED_VALUE"""),"PEREIRA")</f>
        <v>PEREIRA</v>
      </c>
      <c r="D3284" s="15" t="str">
        <f>IFERROR(__xludf.DUMMYFUNCTION("""COMPUTED_VALUE"""),"MEDELLÍN")</f>
        <v>MEDELLÍN</v>
      </c>
      <c r="E3284" s="15" t="str">
        <f>IFERROR(__xludf.DUMMYFUNCTION("""COMPUTED_VALUE"""),"Masar Cocina")</f>
        <v>Masar Cocina</v>
      </c>
      <c r="F3284" s="17" t="str">
        <f>IFERROR(__xludf.DUMMYFUNCTION("""COMPUTED_VALUE"""),"Calle 153 av de las americas n22-40 pereira risaralda  / Sector galicia torre 3 apt 602 parqueadero n98 / Conjunto residencia naborí PH barrio galicia")</f>
        <v>Calle 153 av de las americas n22-40 pereira risaralda  / Sector galicia torre 3 apt 602 parqueadero n98 / Conjunto residencia naborí PH barrio galicia</v>
      </c>
      <c r="G3284" s="15" t="str">
        <f>IFERROR(__xludf.DUMMYFUNCTION("""COMPUTED_VALUE"""),"Daniela Monsalve mafla")</f>
        <v>Daniela Monsalve mafla</v>
      </c>
      <c r="H3284" s="16">
        <f>IFERROR(__xludf.DUMMYFUNCTION("""COMPUTED_VALUE"""),11809.0)</f>
        <v>11809</v>
      </c>
      <c r="I3284" s="18">
        <f>IFERROR(__xludf.DUMMYFUNCTION("""COMPUTED_VALUE"""),12.0)</f>
        <v>12</v>
      </c>
      <c r="J3284" s="18">
        <f>IFERROR(__xludf.DUMMYFUNCTION("""COMPUTED_VALUE"""),10.0)</f>
        <v>10</v>
      </c>
      <c r="K3284" s="18">
        <f>IFERROR(__xludf.DUMMYFUNCTION("""COMPUTED_VALUE"""),10.0)</f>
        <v>10</v>
      </c>
      <c r="L3284" s="17">
        <f>IFERROR(__xludf.DUMMYFUNCTION("""COMPUTED_VALUE"""),3.104057544E9)</f>
        <v>3104057544</v>
      </c>
      <c r="M3284" s="17" t="str">
        <f>IFERROR(__xludf.DUMMYFUNCTION("""COMPUTED_VALUE"""),"#REF!")</f>
        <v>#REF!</v>
      </c>
      <c r="N3284" s="17"/>
      <c r="O3284" s="17"/>
      <c r="P3284" s="17" t="b">
        <f>IFERROR(__xludf.DUMMYFUNCTION("""COMPUTED_VALUE"""),FALSE)</f>
        <v>0</v>
      </c>
      <c r="Q3284" s="20" t="str">
        <f>IFERROR(__xludf.DUMMYFUNCTION("""COMPUTED_VALUE"""),"")</f>
        <v/>
      </c>
      <c r="R3284" s="21" t="str">
        <f>IFERROR(__xludf.DUMMYFUNCTION("""COMPUTED_VALUE"""),"https://drive.google.com/file/d/1yoyGspgxiUonReSqoAlissT0JbRmvo7r/view?usp=drivesdk")</f>
        <v>https://drive.google.com/file/d/1yoyGspgxiUonReSqoAlissT0JbRmvo7r/view?usp=drivesdk</v>
      </c>
    </row>
    <row r="3285">
      <c r="A3285" s="15">
        <f>IFERROR(__xludf.DUMMYFUNCTION("""COMPUTED_VALUE"""),45098.0)</f>
        <v>45098</v>
      </c>
      <c r="B3285" s="16" t="str">
        <f>IFERROR(__xludf.DUMMYFUNCTION("""COMPUTED_VALUE"""),"Envia")</f>
        <v>Envia</v>
      </c>
      <c r="C3285" s="15" t="str">
        <f>IFERROR(__xludf.DUMMYFUNCTION("""COMPUTED_VALUE"""),"PEREIRA")</f>
        <v>PEREIRA</v>
      </c>
      <c r="D3285" s="15" t="str">
        <f>IFERROR(__xludf.DUMMYFUNCTION("""COMPUTED_VALUE"""),"MEDELLÍN")</f>
        <v>MEDELLÍN</v>
      </c>
      <c r="E3285" s="15" t="str">
        <f>IFERROR(__xludf.DUMMYFUNCTION("""COMPUTED_VALUE"""),"Rambla")</f>
        <v>Rambla</v>
      </c>
      <c r="F3285" s="17" t="str">
        <f>IFERROR(__xludf.DUMMYFUNCTION("""COMPUTED_VALUE"""),"CALLE 14 #14-15  SAN JOSE CIRCUNVALAR / NA / NA")</f>
        <v>CALLE 14 #14-15  SAN JOSE CIRCUNVALAR / NA / NA</v>
      </c>
      <c r="G3285" s="15" t="str">
        <f>IFERROR(__xludf.DUMMYFUNCTION("""COMPUTED_VALUE"""),"MAJANA MERCADO SALUDABLE")</f>
        <v>MAJANA MERCADO SALUDABLE</v>
      </c>
      <c r="H3285" s="16">
        <f>IFERROR(__xludf.DUMMYFUNCTION("""COMPUTED_VALUE"""),11898.0)</f>
        <v>11898</v>
      </c>
      <c r="I3285" s="18">
        <f>IFERROR(__xludf.DUMMYFUNCTION("""COMPUTED_VALUE"""),25.0)</f>
        <v>25</v>
      </c>
      <c r="J3285" s="18">
        <f>IFERROR(__xludf.DUMMYFUNCTION("""COMPUTED_VALUE"""),27.0)</f>
        <v>27</v>
      </c>
      <c r="K3285" s="18">
        <f>IFERROR(__xludf.DUMMYFUNCTION("""COMPUTED_VALUE"""),30.0)</f>
        <v>30</v>
      </c>
      <c r="L3285" s="17">
        <f>IFERROR(__xludf.DUMMYFUNCTION("""COMPUTED_VALUE"""),3.016794068E9)</f>
        <v>3016794068</v>
      </c>
      <c r="M3285" s="17" t="str">
        <f>IFERROR(__xludf.DUMMYFUNCTION("""COMPUTED_VALUE"""),"#REF!")</f>
        <v>#REF!</v>
      </c>
      <c r="N3285" s="17"/>
      <c r="O3285" s="17"/>
      <c r="P3285" s="17" t="b">
        <f>IFERROR(__xludf.DUMMYFUNCTION("""COMPUTED_VALUE"""),FALSE)</f>
        <v>0</v>
      </c>
      <c r="Q3285" s="20" t="str">
        <f>IFERROR(__xludf.DUMMYFUNCTION("""COMPUTED_VALUE"""),"")</f>
        <v/>
      </c>
      <c r="R3285" s="21" t="str">
        <f>IFERROR(__xludf.DUMMYFUNCTION("""COMPUTED_VALUE"""),"https://drive.google.com/file/d/1vvCOq3ZFT9mDv7UdPn0qd6TwluyOhAcT/view?usp=drivesdk")</f>
        <v>https://drive.google.com/file/d/1vvCOq3ZFT9mDv7UdPn0qd6TwluyOhAcT/view?usp=drivesdk</v>
      </c>
    </row>
    <row r="3286">
      <c r="A3286" s="15">
        <f>IFERROR(__xludf.DUMMYFUNCTION("""COMPUTED_VALUE"""),45098.0)</f>
        <v>45098</v>
      </c>
      <c r="B3286" s="16" t="str">
        <f>IFERROR(__xludf.DUMMYFUNCTION("""COMPUTED_VALUE"""),"Envia")</f>
        <v>Envia</v>
      </c>
      <c r="C3286" s="15" t="str">
        <f>IFERROR(__xludf.DUMMYFUNCTION("""COMPUTED_VALUE"""),"SINCELEJO")</f>
        <v>SINCELEJO</v>
      </c>
      <c r="D3286" s="15" t="str">
        <f>IFERROR(__xludf.DUMMYFUNCTION("""COMPUTED_VALUE"""),"MEDELLÍN")</f>
        <v>MEDELLÍN</v>
      </c>
      <c r="E3286" s="15" t="str">
        <f>IFERROR(__xludf.DUMMYFUNCTION("""COMPUTED_VALUE"""),"Rambla")</f>
        <v>Rambla</v>
      </c>
      <c r="F3286" s="17" t="str">
        <f>IFERROR(__xludf.DUMMYFUNCTION("""COMPUTED_VALUE"""),"calle 32 #33 -119 local 101 cc living mall brr vene / NA / NA")</f>
        <v>calle 32 #33 -119 local 101 cc living mall brr vene / NA / NA</v>
      </c>
      <c r="G3286" s="15" t="str">
        <f>IFERROR(__xludf.DUMMYFUNCTION("""COMPUTED_VALUE"""),"Oliva")</f>
        <v>Oliva</v>
      </c>
      <c r="H3286" s="16">
        <f>IFERROR(__xludf.DUMMYFUNCTION("""COMPUTED_VALUE"""),11899.0)</f>
        <v>11899</v>
      </c>
      <c r="I3286" s="18">
        <f>IFERROR(__xludf.DUMMYFUNCTION("""COMPUTED_VALUE"""),25.0)</f>
        <v>25</v>
      </c>
      <c r="J3286" s="18">
        <f>IFERROR(__xludf.DUMMYFUNCTION("""COMPUTED_VALUE"""),27.0)</f>
        <v>27</v>
      </c>
      <c r="K3286" s="18">
        <f>IFERROR(__xludf.DUMMYFUNCTION("""COMPUTED_VALUE"""),30.0)</f>
        <v>30</v>
      </c>
      <c r="L3286" s="17">
        <f>IFERROR(__xludf.DUMMYFUNCTION("""COMPUTED_VALUE"""),3.022293728E9)</f>
        <v>3022293728</v>
      </c>
      <c r="M3286" s="17" t="str">
        <f>IFERROR(__xludf.DUMMYFUNCTION("""COMPUTED_VALUE"""),"#REF!")</f>
        <v>#REF!</v>
      </c>
      <c r="N3286" s="17"/>
      <c r="O3286" s="17"/>
      <c r="P3286" s="17" t="b">
        <f>IFERROR(__xludf.DUMMYFUNCTION("""COMPUTED_VALUE"""),FALSE)</f>
        <v>0</v>
      </c>
      <c r="Q3286" s="20" t="str">
        <f>IFERROR(__xludf.DUMMYFUNCTION("""COMPUTED_VALUE"""),"")</f>
        <v/>
      </c>
      <c r="R3286" s="22" t="str">
        <f>IFERROR(__xludf.DUMMYFUNCTION("""COMPUTED_VALUE"""),"")</f>
        <v/>
      </c>
    </row>
    <row r="3287">
      <c r="A3287" s="17" t="str">
        <f>IFERROR(__xludf.DUMMYFUNCTION("""COMPUTED_VALUE"""),"")</f>
        <v/>
      </c>
      <c r="B3287" s="17" t="str">
        <f>IFERROR(__xludf.DUMMYFUNCTION("""COMPUTED_VALUE"""),"")</f>
        <v/>
      </c>
      <c r="C3287" s="17" t="str">
        <f>IFERROR(__xludf.DUMMYFUNCTION("""COMPUTED_VALUE"""),"")</f>
        <v/>
      </c>
      <c r="D3287" s="17" t="str">
        <f>IFERROR(__xludf.DUMMYFUNCTION("""COMPUTED_VALUE"""),"")</f>
        <v/>
      </c>
      <c r="E3287" s="17" t="str">
        <f>IFERROR(__xludf.DUMMYFUNCTION("""COMPUTED_VALUE"""),"")</f>
        <v/>
      </c>
      <c r="F3287" s="17" t="str">
        <f>IFERROR(__xludf.DUMMYFUNCTION("""COMPUTED_VALUE"""),"")</f>
        <v/>
      </c>
      <c r="G3287" s="17" t="str">
        <f>IFERROR(__xludf.DUMMYFUNCTION("""COMPUTED_VALUE"""),"")</f>
        <v/>
      </c>
      <c r="H3287" s="17" t="str">
        <f>IFERROR(__xludf.DUMMYFUNCTION("""COMPUTED_VALUE"""),"")</f>
        <v/>
      </c>
      <c r="I3287" s="17" t="str">
        <f>IFERROR(__xludf.DUMMYFUNCTION("""COMPUTED_VALUE"""),"")</f>
        <v/>
      </c>
      <c r="J3287" s="17" t="str">
        <f>IFERROR(__xludf.DUMMYFUNCTION("""COMPUTED_VALUE"""),"")</f>
        <v/>
      </c>
      <c r="K3287" s="17" t="str">
        <f>IFERROR(__xludf.DUMMYFUNCTION("""COMPUTED_VALUE"""),"")</f>
        <v/>
      </c>
      <c r="L3287" s="17" t="str">
        <f>IFERROR(__xludf.DUMMYFUNCTION("""COMPUTED_VALUE"""),"")</f>
        <v/>
      </c>
      <c r="M3287" s="17" t="str">
        <f>IFERROR(__xludf.DUMMYFUNCTION("""COMPUTED_VALUE"""),"")</f>
        <v/>
      </c>
      <c r="N3287" s="17" t="str">
        <f>IFERROR(__xludf.DUMMYFUNCTION("""COMPUTED_VALUE"""),"")</f>
        <v/>
      </c>
      <c r="O3287" s="17" t="str">
        <f>IFERROR(__xludf.DUMMYFUNCTION("""COMPUTED_VALUE"""),"")</f>
        <v/>
      </c>
      <c r="P3287" s="17" t="str">
        <f>IFERROR(__xludf.DUMMYFUNCTION("""COMPUTED_VALUE"""),"")</f>
        <v/>
      </c>
      <c r="Q3287" s="17" t="str">
        <f>IFERROR(__xludf.DUMMYFUNCTION("""COMPUTED_VALUE"""),"")</f>
        <v/>
      </c>
      <c r="R3287" s="17" t="str">
        <f>IFERROR(__xludf.DUMMYFUNCTION("""COMPUTED_VALUE"""),"")</f>
        <v/>
      </c>
    </row>
    <row r="3288">
      <c r="A3288" s="15">
        <f>IFERROR(__xludf.DUMMYFUNCTION("""COMPUTED_VALUE"""),45098.0)</f>
        <v>45098</v>
      </c>
      <c r="B3288" s="16" t="str">
        <f>IFERROR(__xludf.DUMMYFUNCTION("""COMPUTED_VALUE"""),"Jeison Rubiano")</f>
        <v>Jeison Rubiano</v>
      </c>
      <c r="C3288" s="15" t="str">
        <f>IFERROR(__xludf.DUMMYFUNCTION("""COMPUTED_VALUE"""),"BOGOTÁ")</f>
        <v>BOGOTÁ</v>
      </c>
      <c r="D3288" s="15" t="str">
        <f>IFERROR(__xludf.DUMMYFUNCTION("""COMPUTED_VALUE"""),"MEDELLÍN")</f>
        <v>MEDELLÍN</v>
      </c>
      <c r="E3288" s="15" t="str">
        <f>IFERROR(__xludf.DUMMYFUNCTION("""COMPUTED_VALUE"""),"AREPAS LA MARY")</f>
        <v>AREPAS LA MARY</v>
      </c>
      <c r="F3288" s="17" t="str">
        <f>IFERROR(__xludf.DUMMYFUNCTION("""COMPUTED_VALUE"""),"CALLE 148 N.92 84 BLOQUE 6 301")</f>
        <v>CALLE 148 N.92 84 BLOQUE 6 301</v>
      </c>
      <c r="G3288" s="15" t="str">
        <f>IFERROR(__xludf.DUMMYFUNCTION("""COMPUTED_VALUE"""),"GERMAN CARDENAS")</f>
        <v>GERMAN CARDENAS</v>
      </c>
      <c r="H3288" s="16">
        <f>IFERROR(__xludf.DUMMYFUNCTION("""COMPUTED_VALUE"""),11890.0)</f>
        <v>11890</v>
      </c>
      <c r="I3288" s="18">
        <f>IFERROR(__xludf.DUMMYFUNCTION("""COMPUTED_VALUE"""),89.0)</f>
        <v>89</v>
      </c>
      <c r="J3288" s="18">
        <f>IFERROR(__xludf.DUMMYFUNCTION("""COMPUTED_VALUE"""),1.0)</f>
        <v>1</v>
      </c>
      <c r="K3288" s="18">
        <f>IFERROR(__xludf.DUMMYFUNCTION("""COMPUTED_VALUE"""),10.0)</f>
        <v>10</v>
      </c>
      <c r="L3288" s="17">
        <f>IFERROR(__xludf.DUMMYFUNCTION("""COMPUTED_VALUE"""),3.185850715E9)</f>
        <v>3185850715</v>
      </c>
      <c r="M3288" s="17" t="str">
        <f>IFERROR(__xludf.DUMMYFUNCTION("""COMPUTED_VALUE"""),"#REF!")</f>
        <v>#REF!</v>
      </c>
      <c r="N3288" s="17"/>
      <c r="O3288" s="17"/>
      <c r="P3288" s="17" t="b">
        <f>IFERROR(__xludf.DUMMYFUNCTION("""COMPUTED_VALUE"""),FALSE)</f>
        <v>0</v>
      </c>
      <c r="Q3288" s="20" t="str">
        <f>IFERROR(__xludf.DUMMYFUNCTION("""COMPUTED_VALUE"""),"")</f>
        <v/>
      </c>
      <c r="R3288" s="21" t="str">
        <f>IFERROR(__xludf.DUMMYFUNCTION("""COMPUTED_VALUE"""),"https://drive.google.com/file/d/1_XKPTjdMSKnPTIDrnCKkmjAXJZ18SGD6/view?usp=drivesdk")</f>
        <v>https://drive.google.com/file/d/1_XKPTjdMSKnPTIDrnCKkmjAXJZ18SGD6/view?usp=drivesdk</v>
      </c>
    </row>
    <row r="3289">
      <c r="A3289" s="15">
        <f>IFERROR(__xludf.DUMMYFUNCTION("""COMPUTED_VALUE"""),45098.0)</f>
        <v>45098</v>
      </c>
      <c r="B3289" s="16" t="str">
        <f>IFERROR(__xludf.DUMMYFUNCTION("""COMPUTED_VALUE"""),"Jeison Rubiano")</f>
        <v>Jeison Rubiano</v>
      </c>
      <c r="C3289" s="15" t="str">
        <f>IFERROR(__xludf.DUMMYFUNCTION("""COMPUTED_VALUE"""),"BOGOTÁ")</f>
        <v>BOGOTÁ</v>
      </c>
      <c r="D3289" s="15" t="str">
        <f>IFERROR(__xludf.DUMMYFUNCTION("""COMPUTED_VALUE"""),"MEDELLÍN")</f>
        <v>MEDELLÍN</v>
      </c>
      <c r="E3289" s="15" t="str">
        <f>IFERROR(__xludf.DUMMYFUNCTION("""COMPUTED_VALUE"""),"AREPAS LA MARY")</f>
        <v>AREPAS LA MARY</v>
      </c>
      <c r="F3289" s="17" t="str">
        <f>IFERROR(__xludf.DUMMYFUNCTION("""COMPUTED_VALUE"""),"Calle 21 Sur 9 D 67 este")</f>
        <v>Calle 21 Sur 9 D 67 este</v>
      </c>
      <c r="G3289" s="15" t="str">
        <f>IFERROR(__xludf.DUMMYFUNCTION("""COMPUTED_VALUE"""),"DORIS MURCIA")</f>
        <v>DORIS MURCIA</v>
      </c>
      <c r="H3289" s="16">
        <f>IFERROR(__xludf.DUMMYFUNCTION("""COMPUTED_VALUE"""),11894.0)</f>
        <v>11894</v>
      </c>
      <c r="I3289" s="18">
        <f>IFERROR(__xludf.DUMMYFUNCTION("""COMPUTED_VALUE"""),89.0)</f>
        <v>89</v>
      </c>
      <c r="J3289" s="18">
        <f>IFERROR(__xludf.DUMMYFUNCTION("""COMPUTED_VALUE"""),1.0)</f>
        <v>1</v>
      </c>
      <c r="K3289" s="18">
        <f>IFERROR(__xludf.DUMMYFUNCTION("""COMPUTED_VALUE"""),10.0)</f>
        <v>10</v>
      </c>
      <c r="L3289" s="17" t="str">
        <f>IFERROR(__xludf.DUMMYFUNCTION("""COMPUTED_VALUE"""),"317 8607764")</f>
        <v>317 8607764</v>
      </c>
      <c r="M3289" s="17" t="str">
        <f>IFERROR(__xludf.DUMMYFUNCTION("""COMPUTED_VALUE"""),"#REF!")</f>
        <v>#REF!</v>
      </c>
      <c r="N3289" s="17"/>
      <c r="O3289" s="17"/>
      <c r="P3289" s="17" t="b">
        <f>IFERROR(__xludf.DUMMYFUNCTION("""COMPUTED_VALUE"""),FALSE)</f>
        <v>0</v>
      </c>
      <c r="Q3289" s="20" t="str">
        <f>IFERROR(__xludf.DUMMYFUNCTION("""COMPUTED_VALUE"""),"")</f>
        <v/>
      </c>
      <c r="R3289" s="21" t="str">
        <f>IFERROR(__xludf.DUMMYFUNCTION("""COMPUTED_VALUE"""),"https://drive.google.com/file/d/1QC6zoq7aMrWaHhYCKxx1WwdhoIL_-2b3/view?usp=drivesdk")</f>
        <v>https://drive.google.com/file/d/1QC6zoq7aMrWaHhYCKxx1WwdhoIL_-2b3/view?usp=drivesdk</v>
      </c>
    </row>
    <row r="3290">
      <c r="A3290" s="15">
        <f>IFERROR(__xludf.DUMMYFUNCTION("""COMPUTED_VALUE"""),45098.0)</f>
        <v>45098</v>
      </c>
      <c r="B3290" s="16" t="str">
        <f>IFERROR(__xludf.DUMMYFUNCTION("""COMPUTED_VALUE"""),"Jeison Rubiano")</f>
        <v>Jeison Rubiano</v>
      </c>
      <c r="C3290" s="15" t="str">
        <f>IFERROR(__xludf.DUMMYFUNCTION("""COMPUTED_VALUE"""),"BOGOTÁ")</f>
        <v>BOGOTÁ</v>
      </c>
      <c r="D3290" s="15" t="str">
        <f>IFERROR(__xludf.DUMMYFUNCTION("""COMPUTED_VALUE"""),"MEDELLÍN")</f>
        <v>MEDELLÍN</v>
      </c>
      <c r="E3290" s="15" t="str">
        <f>IFERROR(__xludf.DUMMYFUNCTION("""COMPUTED_VALUE"""),"AREPAS LA MARY")</f>
        <v>AREPAS LA MARY</v>
      </c>
      <c r="F3290" s="17" t="str">
        <f>IFERROR(__xludf.DUMMYFUNCTION("""COMPUTED_VALUE"""),"CALLE 92 N.13 68 APTO 602 / ED. PALJO 92")</f>
        <v>CALLE 92 N.13 68 APTO 602 / ED. PALJO 92</v>
      </c>
      <c r="G3290" s="15" t="str">
        <f>IFERROR(__xludf.DUMMYFUNCTION("""COMPUTED_VALUE"""),"CAMILA ISAZA")</f>
        <v>CAMILA ISAZA</v>
      </c>
      <c r="H3290" s="16">
        <f>IFERROR(__xludf.DUMMYFUNCTION("""COMPUTED_VALUE"""),11895.0)</f>
        <v>11895</v>
      </c>
      <c r="I3290" s="18">
        <f>IFERROR(__xludf.DUMMYFUNCTION("""COMPUTED_VALUE"""),89.0)</f>
        <v>89</v>
      </c>
      <c r="J3290" s="18">
        <f>IFERROR(__xludf.DUMMYFUNCTION("""COMPUTED_VALUE"""),1.0)</f>
        <v>1</v>
      </c>
      <c r="K3290" s="18">
        <f>IFERROR(__xludf.DUMMYFUNCTION("""COMPUTED_VALUE"""),10.0)</f>
        <v>10</v>
      </c>
      <c r="L3290" s="17">
        <f>IFERROR(__xludf.DUMMYFUNCTION("""COMPUTED_VALUE"""),3.102878086E9)</f>
        <v>3102878086</v>
      </c>
      <c r="M3290" s="17" t="str">
        <f>IFERROR(__xludf.DUMMYFUNCTION("""COMPUTED_VALUE"""),"#REF!")</f>
        <v>#REF!</v>
      </c>
      <c r="N3290" s="17"/>
      <c r="O3290" s="17"/>
      <c r="P3290" s="17" t="b">
        <f>IFERROR(__xludf.DUMMYFUNCTION("""COMPUTED_VALUE"""),FALSE)</f>
        <v>0</v>
      </c>
      <c r="Q3290" s="20" t="str">
        <f>IFERROR(__xludf.DUMMYFUNCTION("""COMPUTED_VALUE"""),"")</f>
        <v/>
      </c>
      <c r="R3290" s="21" t="str">
        <f>IFERROR(__xludf.DUMMYFUNCTION("""COMPUTED_VALUE"""),"https://drive.google.com/file/d/1GuUFFIAhcHxINWxVj4jrdVzT7Q1DfBLE/view?usp=drivesdk")</f>
        <v>https://drive.google.com/file/d/1GuUFFIAhcHxINWxVj4jrdVzT7Q1DfBLE/view?usp=drivesdk</v>
      </c>
    </row>
    <row r="3291">
      <c r="A3291" s="15">
        <f>IFERROR(__xludf.DUMMYFUNCTION("""COMPUTED_VALUE"""),45098.0)</f>
        <v>45098</v>
      </c>
      <c r="B3291" s="16" t="str">
        <f>IFERROR(__xludf.DUMMYFUNCTION("""COMPUTED_VALUE"""),"Jeison Rubiano")</f>
        <v>Jeison Rubiano</v>
      </c>
      <c r="C3291" s="15" t="str">
        <f>IFERROR(__xludf.DUMMYFUNCTION("""COMPUTED_VALUE"""),"BOGOTÁ")</f>
        <v>BOGOTÁ</v>
      </c>
      <c r="D3291" s="15" t="str">
        <f>IFERROR(__xludf.DUMMYFUNCTION("""COMPUTED_VALUE"""),"MEDELLÍN")</f>
        <v>MEDELLÍN</v>
      </c>
      <c r="E3291" s="15" t="str">
        <f>IFERROR(__xludf.DUMMYFUNCTION("""COMPUTED_VALUE"""),"AREPAS LA MARY")</f>
        <v>AREPAS LA MARY</v>
      </c>
      <c r="F3291" s="17" t="str">
        <f>IFERROR(__xludf.DUMMYFUNCTION("""COMPUTED_VALUE"""),"Carrera 17 # 118-32 / Edificio siempreverde 118")</f>
        <v>Carrera 17 # 118-32 / Edificio siempreverde 118</v>
      </c>
      <c r="G3291" s="15" t="str">
        <f>IFERROR(__xludf.DUMMYFUNCTION("""COMPUTED_VALUE"""),"ANGELA GARZON")</f>
        <v>ANGELA GARZON</v>
      </c>
      <c r="H3291" s="16">
        <f>IFERROR(__xludf.DUMMYFUNCTION("""COMPUTED_VALUE"""),11886.0)</f>
        <v>11886</v>
      </c>
      <c r="I3291" s="18">
        <f>IFERROR(__xludf.DUMMYFUNCTION("""COMPUTED_VALUE"""),89.0)</f>
        <v>89</v>
      </c>
      <c r="J3291" s="18">
        <f>IFERROR(__xludf.DUMMYFUNCTION("""COMPUTED_VALUE"""),1.0)</f>
        <v>1</v>
      </c>
      <c r="K3291" s="18">
        <f>IFERROR(__xludf.DUMMYFUNCTION("""COMPUTED_VALUE"""),10.0)</f>
        <v>10</v>
      </c>
      <c r="L3291" s="17">
        <f>IFERROR(__xludf.DUMMYFUNCTION("""COMPUTED_VALUE"""),3.007382248E9)</f>
        <v>3007382248</v>
      </c>
      <c r="M3291" s="17" t="str">
        <f>IFERROR(__xludf.DUMMYFUNCTION("""COMPUTED_VALUE"""),"#REF!")</f>
        <v>#REF!</v>
      </c>
      <c r="N3291" s="17"/>
      <c r="O3291" s="17"/>
      <c r="P3291" s="17" t="b">
        <f>IFERROR(__xludf.DUMMYFUNCTION("""COMPUTED_VALUE"""),FALSE)</f>
        <v>0</v>
      </c>
      <c r="Q3291" s="20" t="str">
        <f>IFERROR(__xludf.DUMMYFUNCTION("""COMPUTED_VALUE"""),"")</f>
        <v/>
      </c>
      <c r="R3291" s="21" t="str">
        <f>IFERROR(__xludf.DUMMYFUNCTION("""COMPUTED_VALUE"""),"https://drive.google.com/file/d/1XKcB-FpNft8KF01L_8BnzUV5-nSX979i/view?usp=drivesdk")</f>
        <v>https://drive.google.com/file/d/1XKcB-FpNft8KF01L_8BnzUV5-nSX979i/view?usp=drivesdk</v>
      </c>
    </row>
    <row r="3292">
      <c r="A3292" s="15">
        <f>IFERROR(__xludf.DUMMYFUNCTION("""COMPUTED_VALUE"""),45098.0)</f>
        <v>45098</v>
      </c>
      <c r="B3292" s="16" t="str">
        <f>IFERROR(__xludf.DUMMYFUNCTION("""COMPUTED_VALUE"""),"Jeison Rubiano")</f>
        <v>Jeison Rubiano</v>
      </c>
      <c r="C3292" s="15" t="str">
        <f>IFERROR(__xludf.DUMMYFUNCTION("""COMPUTED_VALUE"""),"BOGOTÁ")</f>
        <v>BOGOTÁ</v>
      </c>
      <c r="D3292" s="15" t="str">
        <f>IFERROR(__xludf.DUMMYFUNCTION("""COMPUTED_VALUE"""),"MEDELLÍN")</f>
        <v>MEDELLÍN</v>
      </c>
      <c r="E3292" s="15" t="str">
        <f>IFERROR(__xludf.DUMMYFUNCTION("""COMPUTED_VALUE"""),"AREPAS LA MARY")</f>
        <v>AREPAS LA MARY</v>
      </c>
      <c r="F3292" s="17" t="str">
        <f>IFERROR(__xludf.DUMMYFUNCTION("""COMPUTED_VALUE"""),"CRA 1 no 78-55 ap 701 / PIETRAMONTE")</f>
        <v>CRA 1 no 78-55 ap 701 / PIETRAMONTE</v>
      </c>
      <c r="G3292" s="15" t="str">
        <f>IFERROR(__xludf.DUMMYFUNCTION("""COMPUTED_VALUE"""),"DIANA MARIA GOMEZ")</f>
        <v>DIANA MARIA GOMEZ</v>
      </c>
      <c r="H3292" s="16">
        <f>IFERROR(__xludf.DUMMYFUNCTION("""COMPUTED_VALUE"""),11887.0)</f>
        <v>11887</v>
      </c>
      <c r="I3292" s="18">
        <f>IFERROR(__xludf.DUMMYFUNCTION("""COMPUTED_VALUE"""),89.0)</f>
        <v>89</v>
      </c>
      <c r="J3292" s="18">
        <f>IFERROR(__xludf.DUMMYFUNCTION("""COMPUTED_VALUE"""),1.0)</f>
        <v>1</v>
      </c>
      <c r="K3292" s="18">
        <f>IFERROR(__xludf.DUMMYFUNCTION("""COMPUTED_VALUE"""),10.0)</f>
        <v>10</v>
      </c>
      <c r="L3292" s="17">
        <f>IFERROR(__xludf.DUMMYFUNCTION("""COMPUTED_VALUE"""),3.138705396E9)</f>
        <v>3138705396</v>
      </c>
      <c r="M3292" s="17" t="str">
        <f>IFERROR(__xludf.DUMMYFUNCTION("""COMPUTED_VALUE"""),"#REF!")</f>
        <v>#REF!</v>
      </c>
      <c r="N3292" s="17"/>
      <c r="O3292" s="17"/>
      <c r="P3292" s="17" t="b">
        <f>IFERROR(__xludf.DUMMYFUNCTION("""COMPUTED_VALUE"""),FALSE)</f>
        <v>0</v>
      </c>
      <c r="Q3292" s="20" t="str">
        <f>IFERROR(__xludf.DUMMYFUNCTION("""COMPUTED_VALUE"""),"")</f>
        <v/>
      </c>
      <c r="R3292" s="21" t="str">
        <f>IFERROR(__xludf.DUMMYFUNCTION("""COMPUTED_VALUE"""),"https://drive.google.com/file/d/1NL1y0aP65LuD9GwX6DECAhVajISokIGf/view?usp=drivesdk")</f>
        <v>https://drive.google.com/file/d/1NL1y0aP65LuD9GwX6DECAhVajISokIGf/view?usp=drivesdk</v>
      </c>
    </row>
    <row r="3293">
      <c r="A3293" s="15">
        <f>IFERROR(__xludf.DUMMYFUNCTION("""COMPUTED_VALUE"""),45098.0)</f>
        <v>45098</v>
      </c>
      <c r="B3293" s="16" t="str">
        <f>IFERROR(__xludf.DUMMYFUNCTION("""COMPUTED_VALUE"""),"Jeison Rubiano")</f>
        <v>Jeison Rubiano</v>
      </c>
      <c r="C3293" s="15" t="str">
        <f>IFERROR(__xludf.DUMMYFUNCTION("""COMPUTED_VALUE"""),"BOGOTÁ")</f>
        <v>BOGOTÁ</v>
      </c>
      <c r="D3293" s="15" t="str">
        <f>IFERROR(__xludf.DUMMYFUNCTION("""COMPUTED_VALUE"""),"MEDELLÍN")</f>
        <v>MEDELLÍN</v>
      </c>
      <c r="E3293" s="15" t="str">
        <f>IFERROR(__xludf.DUMMYFUNCTION("""COMPUTED_VALUE"""),"AREPAS LA MARY")</f>
        <v>AREPAS LA MARY</v>
      </c>
      <c r="F3293" s="17" t="str">
        <f>IFERROR(__xludf.DUMMYFUNCTION("""COMPUTED_VALUE"""),"CRA 10 N.27 51 INT 150 PLAZOLETA DEL CASINO / HOTEL SUITES TEQUENDAMA")</f>
        <v>CRA 10 N.27 51 INT 150 PLAZOLETA DEL CASINO / HOTEL SUITES TEQUENDAMA</v>
      </c>
      <c r="G3293" s="15" t="str">
        <f>IFERROR(__xludf.DUMMYFUNCTION("""COMPUTED_VALUE"""),"ALEXANDRA ROMERO")</f>
        <v>ALEXANDRA ROMERO</v>
      </c>
      <c r="H3293" s="16">
        <f>IFERROR(__xludf.DUMMYFUNCTION("""COMPUTED_VALUE"""),11892.0)</f>
        <v>11892</v>
      </c>
      <c r="I3293" s="18">
        <f>IFERROR(__xludf.DUMMYFUNCTION("""COMPUTED_VALUE"""),89.0)</f>
        <v>89</v>
      </c>
      <c r="J3293" s="18">
        <f>IFERROR(__xludf.DUMMYFUNCTION("""COMPUTED_VALUE"""),1.0)</f>
        <v>1</v>
      </c>
      <c r="K3293" s="18">
        <f>IFERROR(__xludf.DUMMYFUNCTION("""COMPUTED_VALUE"""),10.0)</f>
        <v>10</v>
      </c>
      <c r="L3293" s="17">
        <f>IFERROR(__xludf.DUMMYFUNCTION("""COMPUTED_VALUE"""),3.186807872E9)</f>
        <v>3186807872</v>
      </c>
      <c r="M3293" s="17" t="str">
        <f>IFERROR(__xludf.DUMMYFUNCTION("""COMPUTED_VALUE"""),"#REF!")</f>
        <v>#REF!</v>
      </c>
      <c r="N3293" s="17"/>
      <c r="O3293" s="17"/>
      <c r="P3293" s="17" t="b">
        <f>IFERROR(__xludf.DUMMYFUNCTION("""COMPUTED_VALUE"""),FALSE)</f>
        <v>0</v>
      </c>
      <c r="Q3293" s="20" t="str">
        <f>IFERROR(__xludf.DUMMYFUNCTION("""COMPUTED_VALUE"""),"")</f>
        <v/>
      </c>
      <c r="R3293" s="21" t="str">
        <f>IFERROR(__xludf.DUMMYFUNCTION("""COMPUTED_VALUE"""),"https://drive.google.com/file/d/1A4PMBNgDUsm5aNwwx3ee7ZtPhG75iZcI/view?usp=drivesdk")</f>
        <v>https://drive.google.com/file/d/1A4PMBNgDUsm5aNwwx3ee7ZtPhG75iZcI/view?usp=drivesdk</v>
      </c>
    </row>
    <row r="3294">
      <c r="A3294" s="15">
        <f>IFERROR(__xludf.DUMMYFUNCTION("""COMPUTED_VALUE"""),45098.0)</f>
        <v>45098</v>
      </c>
      <c r="B3294" s="16" t="str">
        <f>IFERROR(__xludf.DUMMYFUNCTION("""COMPUTED_VALUE"""),"Jeison Rubiano")</f>
        <v>Jeison Rubiano</v>
      </c>
      <c r="C3294" s="15" t="str">
        <f>IFERROR(__xludf.DUMMYFUNCTION("""COMPUTED_VALUE"""),"BOGOTÁ")</f>
        <v>BOGOTÁ</v>
      </c>
      <c r="D3294" s="15" t="str">
        <f>IFERROR(__xludf.DUMMYFUNCTION("""COMPUTED_VALUE"""),"MEDELLÍN")</f>
        <v>MEDELLÍN</v>
      </c>
      <c r="E3294" s="15" t="str">
        <f>IFERROR(__xludf.DUMMYFUNCTION("""COMPUTED_VALUE"""),"AREPAS LA MARY")</f>
        <v>AREPAS LA MARY</v>
      </c>
      <c r="F3294" s="17" t="str">
        <f>IFERROR(__xludf.DUMMYFUNCTION("""COMPUTED_VALUE"""),"cra 3 este #6c-82 sur, torre 2, apto 1104 / conjunto residencial bariloche")</f>
        <v>cra 3 este #6c-82 sur, torre 2, apto 1104 / conjunto residencial bariloche</v>
      </c>
      <c r="G3294" s="15" t="str">
        <f>IFERROR(__xludf.DUMMYFUNCTION("""COMPUTED_VALUE"""),"YENNIFER MARMOLEJO")</f>
        <v>YENNIFER MARMOLEJO</v>
      </c>
      <c r="H3294" s="16">
        <f>IFERROR(__xludf.DUMMYFUNCTION("""COMPUTED_VALUE"""),11893.0)</f>
        <v>11893</v>
      </c>
      <c r="I3294" s="18">
        <f>IFERROR(__xludf.DUMMYFUNCTION("""COMPUTED_VALUE"""),89.0)</f>
        <v>89</v>
      </c>
      <c r="J3294" s="18">
        <f>IFERROR(__xludf.DUMMYFUNCTION("""COMPUTED_VALUE"""),1.0)</f>
        <v>1</v>
      </c>
      <c r="K3294" s="18">
        <f>IFERROR(__xludf.DUMMYFUNCTION("""COMPUTED_VALUE"""),10.0)</f>
        <v>10</v>
      </c>
      <c r="L3294" s="17">
        <f>IFERROR(__xludf.DUMMYFUNCTION("""COMPUTED_VALUE"""),3.01333367E9)</f>
        <v>3013333670</v>
      </c>
      <c r="M3294" s="17" t="str">
        <f>IFERROR(__xludf.DUMMYFUNCTION("""COMPUTED_VALUE"""),"#REF!")</f>
        <v>#REF!</v>
      </c>
      <c r="N3294" s="17"/>
      <c r="O3294" s="17"/>
      <c r="P3294" s="17" t="b">
        <f>IFERROR(__xludf.DUMMYFUNCTION("""COMPUTED_VALUE"""),FALSE)</f>
        <v>0</v>
      </c>
      <c r="Q3294" s="20" t="str">
        <f>IFERROR(__xludf.DUMMYFUNCTION("""COMPUTED_VALUE"""),"")</f>
        <v/>
      </c>
      <c r="R3294" s="21" t="str">
        <f>IFERROR(__xludf.DUMMYFUNCTION("""COMPUTED_VALUE"""),"https://drive.google.com/file/d/1myi-INObjfnblAM09778-WFMbA_Jg0q5/view?usp=drivesdk")</f>
        <v>https://drive.google.com/file/d/1myi-INObjfnblAM09778-WFMbA_Jg0q5/view?usp=drivesdk</v>
      </c>
    </row>
    <row r="3295">
      <c r="A3295" s="15">
        <f>IFERROR(__xludf.DUMMYFUNCTION("""COMPUTED_VALUE"""),45098.0)</f>
        <v>45098</v>
      </c>
      <c r="B3295" s="16" t="str">
        <f>IFERROR(__xludf.DUMMYFUNCTION("""COMPUTED_VALUE"""),"Jeison Rubiano")</f>
        <v>Jeison Rubiano</v>
      </c>
      <c r="C3295" s="15" t="str">
        <f>IFERROR(__xludf.DUMMYFUNCTION("""COMPUTED_VALUE"""),"BOGOTÁ")</f>
        <v>BOGOTÁ</v>
      </c>
      <c r="D3295" s="15" t="str">
        <f>IFERROR(__xludf.DUMMYFUNCTION("""COMPUTED_VALUE"""),"MEDELLÍN")</f>
        <v>MEDELLÍN</v>
      </c>
      <c r="E3295" s="15" t="str">
        <f>IFERROR(__xludf.DUMMYFUNCTION("""COMPUTED_VALUE"""),"AREPAS LA MARY")</f>
        <v>AREPAS LA MARY</v>
      </c>
      <c r="F3295" s="17" t="str">
        <f>IFERROR(__xludf.DUMMYFUNCTION("""COMPUTED_VALUE"""),"CRA 77 N.18 51 TORRE 3 APTO 1502 / LA ARBOLEDA")</f>
        <v>CRA 77 N.18 51 TORRE 3 APTO 1502 / LA ARBOLEDA</v>
      </c>
      <c r="G3295" s="15" t="str">
        <f>IFERROR(__xludf.DUMMYFUNCTION("""COMPUTED_VALUE"""),"INDIRA PAOLA SALGADO")</f>
        <v>INDIRA PAOLA SALGADO</v>
      </c>
      <c r="H3295" s="16">
        <f>IFERROR(__xludf.DUMMYFUNCTION("""COMPUTED_VALUE"""),11889.0)</f>
        <v>11889</v>
      </c>
      <c r="I3295" s="18">
        <f>IFERROR(__xludf.DUMMYFUNCTION("""COMPUTED_VALUE"""),89.0)</f>
        <v>89</v>
      </c>
      <c r="J3295" s="18">
        <f>IFERROR(__xludf.DUMMYFUNCTION("""COMPUTED_VALUE"""),1.0)</f>
        <v>1</v>
      </c>
      <c r="K3295" s="18">
        <f>IFERROR(__xludf.DUMMYFUNCTION("""COMPUTED_VALUE"""),10.0)</f>
        <v>10</v>
      </c>
      <c r="L3295" s="17">
        <f>IFERROR(__xludf.DUMMYFUNCTION("""COMPUTED_VALUE"""),3.123836883E9)</f>
        <v>3123836883</v>
      </c>
      <c r="M3295" s="17" t="str">
        <f>IFERROR(__xludf.DUMMYFUNCTION("""COMPUTED_VALUE"""),"#REF!")</f>
        <v>#REF!</v>
      </c>
      <c r="N3295" s="17"/>
      <c r="O3295" s="17"/>
      <c r="P3295" s="17" t="b">
        <f>IFERROR(__xludf.DUMMYFUNCTION("""COMPUTED_VALUE"""),FALSE)</f>
        <v>0</v>
      </c>
      <c r="Q3295" s="20" t="str">
        <f>IFERROR(__xludf.DUMMYFUNCTION("""COMPUTED_VALUE"""),"")</f>
        <v/>
      </c>
      <c r="R3295" s="21" t="str">
        <f>IFERROR(__xludf.DUMMYFUNCTION("""COMPUTED_VALUE"""),"https://drive.google.com/file/d/1E1oRnD9fK_Htsqzgj4p5kYCDtb-VGjiY/view?usp=drivesdk")</f>
        <v>https://drive.google.com/file/d/1E1oRnD9fK_Htsqzgj4p5kYCDtb-VGjiY/view?usp=drivesdk</v>
      </c>
    </row>
    <row r="3296">
      <c r="A3296" s="15">
        <f>IFERROR(__xludf.DUMMYFUNCTION("""COMPUTED_VALUE"""),45098.0)</f>
        <v>45098</v>
      </c>
      <c r="B3296" s="16" t="str">
        <f>IFERROR(__xludf.DUMMYFUNCTION("""COMPUTED_VALUE"""),"Jeison Rubiano")</f>
        <v>Jeison Rubiano</v>
      </c>
      <c r="C3296" s="15" t="str">
        <f>IFERROR(__xludf.DUMMYFUNCTION("""COMPUTED_VALUE"""),"BOGOTÁ")</f>
        <v>BOGOTÁ</v>
      </c>
      <c r="D3296" s="15" t="str">
        <f>IFERROR(__xludf.DUMMYFUNCTION("""COMPUTED_VALUE"""),"MEDELLÍN")</f>
        <v>MEDELLÍN</v>
      </c>
      <c r="E3296" s="15" t="str">
        <f>IFERROR(__xludf.DUMMYFUNCTION("""COMPUTED_VALUE"""),"AREPAS LA MARY")</f>
        <v>AREPAS LA MARY</v>
      </c>
      <c r="F3296" s="17" t="str">
        <f>IFERROR(__xludf.DUMMYFUNCTION("""COMPUTED_VALUE"""),"Diagonal 75No 2-84 / Edificio Verona")</f>
        <v>Diagonal 75No 2-84 / Edificio Verona</v>
      </c>
      <c r="G3296" s="15" t="str">
        <f>IFERROR(__xludf.DUMMYFUNCTION("""COMPUTED_VALUE"""),"ALEJANDRA UMANA")</f>
        <v>ALEJANDRA UMANA</v>
      </c>
      <c r="H3296" s="16">
        <f>IFERROR(__xludf.DUMMYFUNCTION("""COMPUTED_VALUE"""),11888.0)</f>
        <v>11888</v>
      </c>
      <c r="I3296" s="18">
        <f>IFERROR(__xludf.DUMMYFUNCTION("""COMPUTED_VALUE"""),89.0)</f>
        <v>89</v>
      </c>
      <c r="J3296" s="18">
        <f>IFERROR(__xludf.DUMMYFUNCTION("""COMPUTED_VALUE"""),1.0)</f>
        <v>1</v>
      </c>
      <c r="K3296" s="18">
        <f>IFERROR(__xludf.DUMMYFUNCTION("""COMPUTED_VALUE"""),10.0)</f>
        <v>10</v>
      </c>
      <c r="L3296" s="17" t="str">
        <f>IFERROR(__xludf.DUMMYFUNCTION("""COMPUTED_VALUE"""),"310 2936176")</f>
        <v>310 2936176</v>
      </c>
      <c r="M3296" s="17" t="str">
        <f>IFERROR(__xludf.DUMMYFUNCTION("""COMPUTED_VALUE"""),"#REF!")</f>
        <v>#REF!</v>
      </c>
      <c r="N3296" s="17"/>
      <c r="O3296" s="17"/>
      <c r="P3296" s="17" t="b">
        <f>IFERROR(__xludf.DUMMYFUNCTION("""COMPUTED_VALUE"""),FALSE)</f>
        <v>0</v>
      </c>
      <c r="Q3296" s="20" t="str">
        <f>IFERROR(__xludf.DUMMYFUNCTION("""COMPUTED_VALUE"""),"")</f>
        <v/>
      </c>
      <c r="R3296" s="21" t="str">
        <f>IFERROR(__xludf.DUMMYFUNCTION("""COMPUTED_VALUE"""),"https://drive.google.com/file/d/1xTUTrr0173_ccKDm5Fxx-53U1yf8pfWL/view?usp=drivesdk")</f>
        <v>https://drive.google.com/file/d/1xTUTrr0173_ccKDm5Fxx-53U1yf8pfWL/view?usp=drivesdk</v>
      </c>
    </row>
    <row r="3297">
      <c r="A3297" s="15">
        <f>IFERROR(__xludf.DUMMYFUNCTION("""COMPUTED_VALUE"""),45098.0)</f>
        <v>45098</v>
      </c>
      <c r="B3297" s="16" t="str">
        <f>IFERROR(__xludf.DUMMYFUNCTION("""COMPUTED_VALUE"""),"Jeison Rubiano")</f>
        <v>Jeison Rubiano</v>
      </c>
      <c r="C3297" s="15" t="str">
        <f>IFERROR(__xludf.DUMMYFUNCTION("""COMPUTED_VALUE"""),"BOGOTÁ")</f>
        <v>BOGOTÁ</v>
      </c>
      <c r="D3297" s="15" t="str">
        <f>IFERROR(__xludf.DUMMYFUNCTION("""COMPUTED_VALUE"""),"MEDELLÍN")</f>
        <v>MEDELLÍN</v>
      </c>
      <c r="E3297" s="15" t="str">
        <f>IFERROR(__xludf.DUMMYFUNCTION("""COMPUTED_VALUE"""),"Helados swip")</f>
        <v>Helados swip</v>
      </c>
      <c r="F3297" s="17" t="str">
        <f>IFERROR(__xludf.DUMMYFUNCTION("""COMPUTED_VALUE"""),"CALLE 152 # 58-51  / TORRE 5 APTO 103 / MAECELA HUERTAS")</f>
        <v>CALLE 152 # 58-51  / TORRE 5 APTO 103 / MAECELA HUERTAS</v>
      </c>
      <c r="G3297" s="15" t="str">
        <f>IFERROR(__xludf.DUMMYFUNCTION("""COMPUTED_VALUE"""),"ORIGEN MERCADO SALUDABLE")</f>
        <v>ORIGEN MERCADO SALUDABLE</v>
      </c>
      <c r="H3297" s="16">
        <f>IFERROR(__xludf.DUMMYFUNCTION("""COMPUTED_VALUE"""),11850.0)</f>
        <v>11850</v>
      </c>
      <c r="I3297" s="18">
        <f>IFERROR(__xludf.DUMMYFUNCTION("""COMPUTED_VALUE"""),50.0)</f>
        <v>50</v>
      </c>
      <c r="J3297" s="18">
        <f>IFERROR(__xludf.DUMMYFUNCTION("""COMPUTED_VALUE"""),30.0)</f>
        <v>30</v>
      </c>
      <c r="K3297" s="18">
        <f>IFERROR(__xludf.DUMMYFUNCTION("""COMPUTED_VALUE"""),21.0)</f>
        <v>21</v>
      </c>
      <c r="L3297" s="17">
        <f>IFERROR(__xludf.DUMMYFUNCTION("""COMPUTED_VALUE"""),3.012909459E9)</f>
        <v>3012909459</v>
      </c>
      <c r="M3297" s="17" t="str">
        <f>IFERROR(__xludf.DUMMYFUNCTION("""COMPUTED_VALUE"""),"#REF!")</f>
        <v>#REF!</v>
      </c>
      <c r="N3297" s="17"/>
      <c r="O3297" s="17"/>
      <c r="P3297" s="17" t="b">
        <f>IFERROR(__xludf.DUMMYFUNCTION("""COMPUTED_VALUE"""),FALSE)</f>
        <v>0</v>
      </c>
      <c r="Q3297" s="20" t="str">
        <f>IFERROR(__xludf.DUMMYFUNCTION("""COMPUTED_VALUE"""),"")</f>
        <v/>
      </c>
      <c r="R3297" s="21" t="str">
        <f>IFERROR(__xludf.DUMMYFUNCTION("""COMPUTED_VALUE"""),"https://drive.google.com/file/d/18Sn3MC8EFOTkc6SRsryG7hlgm2yNyRGu/view?usp=drivesdk")</f>
        <v>https://drive.google.com/file/d/18Sn3MC8EFOTkc6SRsryG7hlgm2yNyRGu/view?usp=drivesdk</v>
      </c>
    </row>
    <row r="3298">
      <c r="A3298" s="15">
        <f>IFERROR(__xludf.DUMMYFUNCTION("""COMPUTED_VALUE"""),45098.0)</f>
        <v>45098</v>
      </c>
      <c r="B3298" s="16" t="str">
        <f>IFERROR(__xludf.DUMMYFUNCTION("""COMPUTED_VALUE"""),"Jeison Rubiano")</f>
        <v>Jeison Rubiano</v>
      </c>
      <c r="C3298" s="15" t="str">
        <f>IFERROR(__xludf.DUMMYFUNCTION("""COMPUTED_VALUE"""),"BOGOTÁ")</f>
        <v>BOGOTÁ</v>
      </c>
      <c r="D3298" s="15" t="str">
        <f>IFERROR(__xludf.DUMMYFUNCTION("""COMPUTED_VALUE"""),"MEDELLÍN")</f>
        <v>MEDELLÍN</v>
      </c>
      <c r="E3298" s="15" t="str">
        <f>IFERROR(__xludf.DUMMYFUNCTION("""COMPUTED_VALUE"""),"Moloso S.A.S")</f>
        <v>Moloso S.A.S</v>
      </c>
      <c r="F3298" s="17" t="str">
        <f>IFERROR(__xludf.DUMMYFUNCTION("""COMPUTED_VALUE"""),"CR 23 134 A 41 / AP 502")</f>
        <v>CR 23 134 A 41 / AP 502</v>
      </c>
      <c r="G3298" s="15" t="str">
        <f>IFERROR(__xludf.DUMMYFUNCTION("""COMPUTED_VALUE"""),"MARIA OCHOA MARTELO 2")</f>
        <v>MARIA OCHOA MARTELO 2</v>
      </c>
      <c r="H3298" s="16">
        <f>IFERROR(__xludf.DUMMYFUNCTION("""COMPUTED_VALUE"""),11909.0)</f>
        <v>11909</v>
      </c>
      <c r="I3298" s="18">
        <f>IFERROR(__xludf.DUMMYFUNCTION("""COMPUTED_VALUE"""),17.0)</f>
        <v>17</v>
      </c>
      <c r="J3298" s="18">
        <f>IFERROR(__xludf.DUMMYFUNCTION("""COMPUTED_VALUE"""),15.0)</f>
        <v>15</v>
      </c>
      <c r="K3298" s="18">
        <f>IFERROR(__xludf.DUMMYFUNCTION("""COMPUTED_VALUE"""),28.0)</f>
        <v>28</v>
      </c>
      <c r="L3298" s="17" t="str">
        <f>IFERROR(__xludf.DUMMYFUNCTION("""COMPUTED_VALUE"""),"301 7890418")</f>
        <v>301 7890418</v>
      </c>
      <c r="M3298" s="17" t="str">
        <f>IFERROR(__xludf.DUMMYFUNCTION("""COMPUTED_VALUE"""),"#REF!")</f>
        <v>#REF!</v>
      </c>
      <c r="N3298" s="17"/>
      <c r="O3298" s="17"/>
      <c r="P3298" s="17" t="b">
        <f>IFERROR(__xludf.DUMMYFUNCTION("""COMPUTED_VALUE"""),FALSE)</f>
        <v>0</v>
      </c>
      <c r="Q3298" s="20" t="str">
        <f>IFERROR(__xludf.DUMMYFUNCTION("""COMPUTED_VALUE"""),"")</f>
        <v/>
      </c>
      <c r="R3298" s="21" t="str">
        <f>IFERROR(__xludf.DUMMYFUNCTION("""COMPUTED_VALUE"""),"https://drive.google.com/file/d/1WNA4ei00j5lyK59nMWMh-2174yddIJGM/view?usp=drivesdk")</f>
        <v>https://drive.google.com/file/d/1WNA4ei00j5lyK59nMWMh-2174yddIJGM/view?usp=drivesdk</v>
      </c>
    </row>
    <row r="3299">
      <c r="A3299" s="15">
        <f>IFERROR(__xludf.DUMMYFUNCTION("""COMPUTED_VALUE"""),45098.0)</f>
        <v>45098</v>
      </c>
      <c r="B3299" s="16" t="str">
        <f>IFERROR(__xludf.DUMMYFUNCTION("""COMPUTED_VALUE"""),"Jeison Rubiano")</f>
        <v>Jeison Rubiano</v>
      </c>
      <c r="C3299" s="15" t="str">
        <f>IFERROR(__xludf.DUMMYFUNCTION("""COMPUTED_VALUE"""),"BOGOTÁ")</f>
        <v>BOGOTÁ</v>
      </c>
      <c r="D3299" s="15" t="str">
        <f>IFERROR(__xludf.DUMMYFUNCTION("""COMPUTED_VALUE"""),"MEDELLÍN")</f>
        <v>MEDELLÍN</v>
      </c>
      <c r="E3299" s="15" t="str">
        <f>IFERROR(__xludf.DUMMYFUNCTION("""COMPUTED_VALUE"""),"Rambla")</f>
        <v>Rambla</v>
      </c>
      <c r="F3299" s="17" t="str">
        <f>IFERROR(__xludf.DUMMYFUNCTION("""COMPUTED_VALUE"""),"Bogota calle 95 #21-80 apto 706 / NA / NA")</f>
        <v>Bogota calle 95 #21-80 apto 706 / NA / NA</v>
      </c>
      <c r="G3299" s="15" t="str">
        <f>IFERROR(__xludf.DUMMYFUNCTION("""COMPUTED_VALUE"""),"Angela Chiquillo")</f>
        <v>Angela Chiquillo</v>
      </c>
      <c r="H3299" s="16">
        <f>IFERROR(__xludf.DUMMYFUNCTION("""COMPUTED_VALUE"""),11897.0)</f>
        <v>11897</v>
      </c>
      <c r="I3299" s="18">
        <f>IFERROR(__xludf.DUMMYFUNCTION("""COMPUTED_VALUE"""),7.0)</f>
        <v>7</v>
      </c>
      <c r="J3299" s="18">
        <f>IFERROR(__xludf.DUMMYFUNCTION("""COMPUTED_VALUE"""),10.0)</f>
        <v>10</v>
      </c>
      <c r="K3299" s="18">
        <f>IFERROR(__xludf.DUMMYFUNCTION("""COMPUTED_VALUE"""),5.0)</f>
        <v>5</v>
      </c>
      <c r="L3299" s="17">
        <f>IFERROR(__xludf.DUMMYFUNCTION("""COMPUTED_VALUE"""),3.132150983E9)</f>
        <v>3132150983</v>
      </c>
      <c r="M3299" s="17" t="str">
        <f>IFERROR(__xludf.DUMMYFUNCTION("""COMPUTED_VALUE"""),"#REF!")</f>
        <v>#REF!</v>
      </c>
      <c r="N3299" s="17"/>
      <c r="O3299" s="17"/>
      <c r="P3299" s="17" t="b">
        <f>IFERROR(__xludf.DUMMYFUNCTION("""COMPUTED_VALUE"""),FALSE)</f>
        <v>0</v>
      </c>
      <c r="Q3299" s="20" t="str">
        <f>IFERROR(__xludf.DUMMYFUNCTION("""COMPUTED_VALUE"""),"")</f>
        <v/>
      </c>
      <c r="R3299" s="21" t="str">
        <f>IFERROR(__xludf.DUMMYFUNCTION("""COMPUTED_VALUE"""),"https://drive.google.com/file/d/1Hb25hGD8R9bvTzuD9JfDka4kT_hx_n1s/view?usp=drivesdk")</f>
        <v>https://drive.google.com/file/d/1Hb25hGD8R9bvTzuD9JfDka4kT_hx_n1s/view?usp=drivesdk</v>
      </c>
    </row>
    <row r="3300">
      <c r="A3300" s="15">
        <f>IFERROR(__xludf.DUMMYFUNCTION("""COMPUTED_VALUE"""),45098.0)</f>
        <v>45098</v>
      </c>
      <c r="B3300" s="16" t="str">
        <f>IFERROR(__xludf.DUMMYFUNCTION("""COMPUTED_VALUE"""),"Jeison Rubiano")</f>
        <v>Jeison Rubiano</v>
      </c>
      <c r="C3300" s="15" t="str">
        <f>IFERROR(__xludf.DUMMYFUNCTION("""COMPUTED_VALUE"""),"MANIZALES")</f>
        <v>MANIZALES</v>
      </c>
      <c r="D3300" s="15" t="str">
        <f>IFERROR(__xludf.DUMMYFUNCTION("""COMPUTED_VALUE"""),"MEDELLÍN")</f>
        <v>MEDELLÍN</v>
      </c>
      <c r="E3300" s="15" t="str">
        <f>IFERROR(__xludf.DUMMYFUNCTION("""COMPUTED_VALUE"""),"Puro Verde")</f>
        <v>Puro Verde</v>
      </c>
      <c r="F3300" s="17" t="str">
        <f>IFERROR(__xludf.DUMMYFUNCTION("""COMPUTED_VALUE"""),"Calle 43 # 1 - 351  / CASA 54. CONJUNTO ENTREVERDE / BARRIO LA FLORIDA. VILLAMARIA")</f>
        <v>Calle 43 # 1 - 351  / CASA 54. CONJUNTO ENTREVERDE / BARRIO LA FLORIDA. VILLAMARIA</v>
      </c>
      <c r="G3300" s="15" t="str">
        <f>IFERROR(__xludf.DUMMYFUNCTION("""COMPUTED_VALUE"""),"CLAUDIA QUINTERO")</f>
        <v>CLAUDIA QUINTERO</v>
      </c>
      <c r="H3300" s="16">
        <f>IFERROR(__xludf.DUMMYFUNCTION("""COMPUTED_VALUE"""),11842.0)</f>
        <v>11842</v>
      </c>
      <c r="I3300" s="18">
        <f>IFERROR(__xludf.DUMMYFUNCTION("""COMPUTED_VALUE"""),12.0)</f>
        <v>12</v>
      </c>
      <c r="J3300" s="18">
        <f>IFERROR(__xludf.DUMMYFUNCTION("""COMPUTED_VALUE"""),18.0)</f>
        <v>18</v>
      </c>
      <c r="K3300" s="18">
        <f>IFERROR(__xludf.DUMMYFUNCTION("""COMPUTED_VALUE"""),45.0)</f>
        <v>45</v>
      </c>
      <c r="L3300" s="17">
        <f>IFERROR(__xludf.DUMMYFUNCTION("""COMPUTED_VALUE"""),3.16384593E9)</f>
        <v>3163845930</v>
      </c>
      <c r="M3300" s="17" t="str">
        <f>IFERROR(__xludf.DUMMYFUNCTION("""COMPUTED_VALUE"""),"#REF!")</f>
        <v>#REF!</v>
      </c>
      <c r="N3300" s="17"/>
      <c r="O3300" s="17"/>
      <c r="P3300" s="17" t="b">
        <f>IFERROR(__xludf.DUMMYFUNCTION("""COMPUTED_VALUE"""),FALSE)</f>
        <v>0</v>
      </c>
      <c r="Q3300" s="20" t="str">
        <f>IFERROR(__xludf.DUMMYFUNCTION("""COMPUTED_VALUE"""),"")</f>
        <v/>
      </c>
      <c r="R3300" s="21" t="str">
        <f>IFERROR(__xludf.DUMMYFUNCTION("""COMPUTED_VALUE"""),"https://drive.google.com/file/d/1O9aTDf4fLqeGpK9dOSw4UnJ9JeocWRpH/view?usp=drivesdk")</f>
        <v>https://drive.google.com/file/d/1O9aTDf4fLqeGpK9dOSw4UnJ9JeocWRpH/view?usp=drivesdk</v>
      </c>
    </row>
    <row r="3301">
      <c r="A3301" s="15">
        <f>IFERROR(__xludf.DUMMYFUNCTION("""COMPUTED_VALUE"""),45098.0)</f>
        <v>45098</v>
      </c>
      <c r="B3301" s="16" t="str">
        <f>IFERROR(__xludf.DUMMYFUNCTION("""COMPUTED_VALUE"""),"Jeison Rubiano")</f>
        <v>Jeison Rubiano</v>
      </c>
      <c r="C3301" s="15" t="str">
        <f>IFERROR(__xludf.DUMMYFUNCTION("""COMPUTED_VALUE"""),"MANIZALES")</f>
        <v>MANIZALES</v>
      </c>
      <c r="D3301" s="15" t="str">
        <f>IFERROR(__xludf.DUMMYFUNCTION("""COMPUTED_VALUE"""),"MEDELLÍN")</f>
        <v>MEDELLÍN</v>
      </c>
      <c r="E3301" s="15" t="str">
        <f>IFERROR(__xludf.DUMMYFUNCTION("""COMPUTED_VALUE"""),"Todo Bufala")</f>
        <v>Todo Bufala</v>
      </c>
      <c r="F3301" s="17" t="str">
        <f>IFERROR(__xludf.DUMMYFUNCTION("""COMPUTED_VALUE"""),"Call 66 #23b-211 / Edifico calle larga, local 5c")</f>
        <v>Call 66 #23b-211 / Edifico calle larga, local 5c</v>
      </c>
      <c r="G3301" s="15" t="str">
        <f>IFERROR(__xludf.DUMMYFUNCTION("""COMPUTED_VALUE"""),"Sebastian Perez")</f>
        <v>Sebastian Perez</v>
      </c>
      <c r="H3301" s="16">
        <f>IFERROR(__xludf.DUMMYFUNCTION("""COMPUTED_VALUE"""),11798.0)</f>
        <v>11798</v>
      </c>
      <c r="I3301" s="18">
        <f>IFERROR(__xludf.DUMMYFUNCTION("""COMPUTED_VALUE"""),20.0)</f>
        <v>20</v>
      </c>
      <c r="J3301" s="18">
        <f>IFERROR(__xludf.DUMMYFUNCTION("""COMPUTED_VALUE"""),30.0)</f>
        <v>30</v>
      </c>
      <c r="K3301" s="18">
        <f>IFERROR(__xludf.DUMMYFUNCTION("""COMPUTED_VALUE"""),40.0)</f>
        <v>40</v>
      </c>
      <c r="L3301" s="17">
        <f>IFERROR(__xludf.DUMMYFUNCTION("""COMPUTED_VALUE"""),3.106974621E9)</f>
        <v>3106974621</v>
      </c>
      <c r="M3301" s="17" t="str">
        <f>IFERROR(__xludf.DUMMYFUNCTION("""COMPUTED_VALUE"""),"#REF!")</f>
        <v>#REF!</v>
      </c>
      <c r="N3301" s="17"/>
      <c r="O3301" s="17"/>
      <c r="P3301" s="17" t="b">
        <f>IFERROR(__xludf.DUMMYFUNCTION("""COMPUTED_VALUE"""),FALSE)</f>
        <v>0</v>
      </c>
      <c r="Q3301" s="20" t="str">
        <f>IFERROR(__xludf.DUMMYFUNCTION("""COMPUTED_VALUE"""),"")</f>
        <v/>
      </c>
      <c r="R3301" s="21" t="str">
        <f>IFERROR(__xludf.DUMMYFUNCTION("""COMPUTED_VALUE"""),"https://drive.google.com/file/d/16TT4R8h1lVQXxupMRgYS9pbVic3KOlAk/view?usp=drivesdk")</f>
        <v>https://drive.google.com/file/d/16TT4R8h1lVQXxupMRgYS9pbVic3KOlAk/view?usp=drivesdk</v>
      </c>
    </row>
    <row r="3302">
      <c r="A3302" s="17" t="str">
        <f>IFERROR(__xludf.DUMMYFUNCTION("""COMPUTED_VALUE"""),"")</f>
        <v/>
      </c>
      <c r="B3302" s="17" t="str">
        <f>IFERROR(__xludf.DUMMYFUNCTION("""COMPUTED_VALUE"""),"")</f>
        <v/>
      </c>
      <c r="C3302" s="17" t="str">
        <f>IFERROR(__xludf.DUMMYFUNCTION("""COMPUTED_VALUE"""),"")</f>
        <v/>
      </c>
      <c r="D3302" s="17" t="str">
        <f>IFERROR(__xludf.DUMMYFUNCTION("""COMPUTED_VALUE"""),"")</f>
        <v/>
      </c>
      <c r="E3302" s="17" t="str">
        <f>IFERROR(__xludf.DUMMYFUNCTION("""COMPUTED_VALUE"""),"")</f>
        <v/>
      </c>
      <c r="F3302" s="17" t="str">
        <f>IFERROR(__xludf.DUMMYFUNCTION("""COMPUTED_VALUE"""),"")</f>
        <v/>
      </c>
      <c r="G3302" s="17" t="str">
        <f>IFERROR(__xludf.DUMMYFUNCTION("""COMPUTED_VALUE"""),"")</f>
        <v/>
      </c>
      <c r="H3302" s="17" t="str">
        <f>IFERROR(__xludf.DUMMYFUNCTION("""COMPUTED_VALUE"""),"")</f>
        <v/>
      </c>
      <c r="I3302" s="17" t="str">
        <f>IFERROR(__xludf.DUMMYFUNCTION("""COMPUTED_VALUE"""),"")</f>
        <v/>
      </c>
      <c r="J3302" s="17" t="str">
        <f>IFERROR(__xludf.DUMMYFUNCTION("""COMPUTED_VALUE"""),"")</f>
        <v/>
      </c>
      <c r="K3302" s="17" t="str">
        <f>IFERROR(__xludf.DUMMYFUNCTION("""COMPUTED_VALUE"""),"")</f>
        <v/>
      </c>
      <c r="L3302" s="17" t="str">
        <f>IFERROR(__xludf.DUMMYFUNCTION("""COMPUTED_VALUE"""),"")</f>
        <v/>
      </c>
      <c r="M3302" s="17" t="str">
        <f>IFERROR(__xludf.DUMMYFUNCTION("""COMPUTED_VALUE"""),"")</f>
        <v/>
      </c>
      <c r="N3302" s="17" t="str">
        <f>IFERROR(__xludf.DUMMYFUNCTION("""COMPUTED_VALUE"""),"")</f>
        <v/>
      </c>
      <c r="O3302" s="17" t="str">
        <f>IFERROR(__xludf.DUMMYFUNCTION("""COMPUTED_VALUE"""),"")</f>
        <v/>
      </c>
      <c r="P3302" s="17" t="str">
        <f>IFERROR(__xludf.DUMMYFUNCTION("""COMPUTED_VALUE"""),"")</f>
        <v/>
      </c>
      <c r="Q3302" s="17" t="str">
        <f>IFERROR(__xludf.DUMMYFUNCTION("""COMPUTED_VALUE"""),"")</f>
        <v/>
      </c>
      <c r="R3302" s="17" t="str">
        <f>IFERROR(__xludf.DUMMYFUNCTION("""COMPUTED_VALUE"""),"")</f>
        <v/>
      </c>
    </row>
    <row r="3303">
      <c r="A3303" s="15">
        <f>IFERROR(__xludf.DUMMYFUNCTION("""COMPUTED_VALUE"""),45098.0)</f>
        <v>45098</v>
      </c>
      <c r="B3303" s="16" t="str">
        <f>IFERROR(__xludf.DUMMYFUNCTION("""COMPUTED_VALUE"""),"Jhon Anderson Ceballos Hernandez")</f>
        <v>Jhon Anderson Ceballos Hernandez</v>
      </c>
      <c r="C3303" s="15" t="str">
        <f>IFERROR(__xludf.DUMMYFUNCTION("""COMPUTED_VALUE"""),"MANIZALES")</f>
        <v>MANIZALES</v>
      </c>
      <c r="D3303" s="15" t="str">
        <f>IFERROR(__xludf.DUMMYFUNCTION("""COMPUTED_VALUE"""),"BOGOTÁ")</f>
        <v>BOGOTÁ</v>
      </c>
      <c r="E3303" s="15" t="str">
        <f>IFERROR(__xludf.DUMMYFUNCTION("""COMPUTED_VALUE"""),"Evamazzita")</f>
        <v>Evamazzita</v>
      </c>
      <c r="F3303" s="17" t="str">
        <f>IFERROR(__xludf.DUMMYFUNCTION("""COMPUTED_VALUE"""),"CALLE 27 # 30 - 12  / CALLE 27 # 30 - 12  / BARRIO CAMPOAMOR")</f>
        <v>CALLE 27 # 30 - 12  / CALLE 27 # 30 - 12  / BARRIO CAMPOAMOR</v>
      </c>
      <c r="G3303" s="15" t="str">
        <f>IFERROR(__xludf.DUMMYFUNCTION("""COMPUTED_VALUE"""),"ANDREA VASCO MARIN")</f>
        <v>ANDREA VASCO MARIN</v>
      </c>
      <c r="H3303" s="16">
        <f>IFERROR(__xludf.DUMMYFUNCTION("""COMPUTED_VALUE"""),11870.0)</f>
        <v>11870</v>
      </c>
      <c r="I3303" s="18">
        <f>IFERROR(__xludf.DUMMYFUNCTION("""COMPUTED_VALUE"""),1.0)</f>
        <v>1</v>
      </c>
      <c r="J3303" s="18">
        <f>IFERROR(__xludf.DUMMYFUNCTION("""COMPUTED_VALUE"""),1.0)</f>
        <v>1</v>
      </c>
      <c r="K3303" s="18">
        <f>IFERROR(__xludf.DUMMYFUNCTION("""COMPUTED_VALUE"""),1.0)</f>
        <v>1</v>
      </c>
      <c r="L3303" s="17">
        <f>IFERROR(__xludf.DUMMYFUNCTION("""COMPUTED_VALUE"""),3.104965793E9)</f>
        <v>3104965793</v>
      </c>
      <c r="M3303" s="17" t="str">
        <f>IFERROR(__xludf.DUMMYFUNCTION("""COMPUTED_VALUE"""),"#REF!")</f>
        <v>#REF!</v>
      </c>
      <c r="N3303" s="17"/>
      <c r="O3303" s="17"/>
      <c r="P3303" s="17" t="b">
        <f>IFERROR(__xludf.DUMMYFUNCTION("""COMPUTED_VALUE"""),FALSE)</f>
        <v>0</v>
      </c>
      <c r="Q3303" s="20" t="str">
        <f>IFERROR(__xludf.DUMMYFUNCTION("""COMPUTED_VALUE"""),"")</f>
        <v/>
      </c>
      <c r="R3303" s="21" t="str">
        <f>IFERROR(__xludf.DUMMYFUNCTION("""COMPUTED_VALUE"""),"https://drive.google.com/file/d/1SXniu5lZ45FfQKhZhDzhgeK-fbP7C_S6/view?usp=drivesdk")</f>
        <v>https://drive.google.com/file/d/1SXniu5lZ45FfQKhZhDzhgeK-fbP7C_S6/view?usp=drivesdk</v>
      </c>
    </row>
    <row r="3304">
      <c r="A3304" s="15">
        <f>IFERROR(__xludf.DUMMYFUNCTION("""COMPUTED_VALUE"""),45098.0)</f>
        <v>45098</v>
      </c>
      <c r="B3304" s="16" t="str">
        <f>IFERROR(__xludf.DUMMYFUNCTION("""COMPUTED_VALUE"""),"Jhon Anderson Ceballos Hernandez")</f>
        <v>Jhon Anderson Ceballos Hernandez</v>
      </c>
      <c r="C3304" s="15" t="str">
        <f>IFERROR(__xludf.DUMMYFUNCTION("""COMPUTED_VALUE"""),"MEDELLÍN")</f>
        <v>MEDELLÍN</v>
      </c>
      <c r="D3304" s="15" t="str">
        <f>IFERROR(__xludf.DUMMYFUNCTION("""COMPUTED_VALUE"""),"BOGOTÁ")</f>
        <v>BOGOTÁ</v>
      </c>
      <c r="E3304" s="15" t="str">
        <f>IFERROR(__xludf.DUMMYFUNCTION("""COMPUTED_VALUE"""),"Vtopia")</f>
        <v>Vtopia</v>
      </c>
      <c r="F3304" s="17" t="str">
        <f>IFERROR(__xludf.DUMMYFUNCTION("""COMPUTED_VALUE"""),"Calle 48 #46B - 17 / Casa / Barrio Fatima, Copacabana Antioquia")</f>
        <v>Calle 48 #46B - 17 / Casa / Barrio Fatima, Copacabana Antioquia</v>
      </c>
      <c r="G3304" s="15" t="str">
        <f>IFERROR(__xludf.DUMMYFUNCTION("""COMPUTED_VALUE"""),"Ana María Rivera")</f>
        <v>Ana María Rivera</v>
      </c>
      <c r="H3304" s="16">
        <f>IFERROR(__xludf.DUMMYFUNCTION("""COMPUTED_VALUE"""),11828.0)</f>
        <v>11828</v>
      </c>
      <c r="I3304" s="18">
        <f>IFERROR(__xludf.DUMMYFUNCTION("""COMPUTED_VALUE"""),17.0)</f>
        <v>17</v>
      </c>
      <c r="J3304" s="18">
        <f>IFERROR(__xludf.DUMMYFUNCTION("""COMPUTED_VALUE"""),12.0)</f>
        <v>12</v>
      </c>
      <c r="K3304" s="18">
        <f>IFERROR(__xludf.DUMMYFUNCTION("""COMPUTED_VALUE"""),12.0)</f>
        <v>12</v>
      </c>
      <c r="L3304" s="17">
        <f>IFERROR(__xludf.DUMMYFUNCTION("""COMPUTED_VALUE"""),3.135382433E9)</f>
        <v>3135382433</v>
      </c>
      <c r="M3304" s="17" t="str">
        <f>IFERROR(__xludf.DUMMYFUNCTION("""COMPUTED_VALUE"""),"#REF!")</f>
        <v>#REF!</v>
      </c>
      <c r="N3304" s="17"/>
      <c r="O3304" s="17"/>
      <c r="P3304" s="17" t="b">
        <f>IFERROR(__xludf.DUMMYFUNCTION("""COMPUTED_VALUE"""),FALSE)</f>
        <v>0</v>
      </c>
      <c r="Q3304" s="20" t="str">
        <f>IFERROR(__xludf.DUMMYFUNCTION("""COMPUTED_VALUE"""),"")</f>
        <v/>
      </c>
      <c r="R3304" s="21" t="str">
        <f>IFERROR(__xludf.DUMMYFUNCTION("""COMPUTED_VALUE"""),"https://drive.google.com/file/d/1vHjFplA0yI4u3MtmZIJhhqA9LAQXiHY5/view?usp=drivesdk")</f>
        <v>https://drive.google.com/file/d/1vHjFplA0yI4u3MtmZIJhhqA9LAQXiHY5/view?usp=drivesdk</v>
      </c>
    </row>
    <row r="3305">
      <c r="A3305" s="15">
        <f>IFERROR(__xludf.DUMMYFUNCTION("""COMPUTED_VALUE"""),45098.0)</f>
        <v>45098</v>
      </c>
      <c r="B3305" s="16" t="str">
        <f>IFERROR(__xludf.DUMMYFUNCTION("""COMPUTED_VALUE"""),"Jhon Anderson Ceballos Hernandez")</f>
        <v>Jhon Anderson Ceballos Hernandez</v>
      </c>
      <c r="C3305" s="15" t="str">
        <f>IFERROR(__xludf.DUMMYFUNCTION("""COMPUTED_VALUE"""),"TUNJA")</f>
        <v>TUNJA</v>
      </c>
      <c r="D3305" s="15" t="str">
        <f>IFERROR(__xludf.DUMMYFUNCTION("""COMPUTED_VALUE"""),"BOGOTÁ")</f>
        <v>BOGOTÁ</v>
      </c>
      <c r="E3305" s="15" t="str">
        <f>IFERROR(__xludf.DUMMYFUNCTION("""COMPUTED_VALUE"""),"Asociacion Agropecuaria Juana Maria")</f>
        <v>Asociacion Agropecuaria Juana Maria</v>
      </c>
      <c r="F3305" s="17" t="str">
        <f>IFERROR(__xludf.DUMMYFUNCTION("""COMPUTED_VALUE"""),"Calle 37#4-37 apartamento 305 edificio Atrium barrio Mesopotamia")</f>
        <v>Calle 37#4-37 apartamento 305 edificio Atrium barrio Mesopotamia</v>
      </c>
      <c r="G3305" s="15" t="str">
        <f>IFERROR(__xludf.DUMMYFUNCTION("""COMPUTED_VALUE"""),"Monica Johanna Osorio")</f>
        <v>Monica Johanna Osorio</v>
      </c>
      <c r="H3305" s="16">
        <f>IFERROR(__xludf.DUMMYFUNCTION("""COMPUTED_VALUE"""),11822.0)</f>
        <v>11822</v>
      </c>
      <c r="I3305" s="18">
        <f>IFERROR(__xludf.DUMMYFUNCTION("""COMPUTED_VALUE"""),25.0)</f>
        <v>25</v>
      </c>
      <c r="J3305" s="18">
        <f>IFERROR(__xludf.DUMMYFUNCTION("""COMPUTED_VALUE"""),18.0)</f>
        <v>18</v>
      </c>
      <c r="K3305" s="18">
        <f>IFERROR(__xludf.DUMMYFUNCTION("""COMPUTED_VALUE"""),3.0)</f>
        <v>3</v>
      </c>
      <c r="L3305" s="17">
        <f>IFERROR(__xludf.DUMMYFUNCTION("""COMPUTED_VALUE"""),3.125074246E9)</f>
        <v>3125074246</v>
      </c>
      <c r="M3305" s="17" t="str">
        <f>IFERROR(__xludf.DUMMYFUNCTION("""COMPUTED_VALUE"""),"#REF!")</f>
        <v>#REF!</v>
      </c>
      <c r="N3305" s="17"/>
      <c r="O3305" s="17"/>
      <c r="P3305" s="17" t="b">
        <f>IFERROR(__xludf.DUMMYFUNCTION("""COMPUTED_VALUE"""),FALSE)</f>
        <v>0</v>
      </c>
      <c r="Q3305" s="20" t="str">
        <f>IFERROR(__xludf.DUMMYFUNCTION("""COMPUTED_VALUE"""),"")</f>
        <v/>
      </c>
      <c r="R3305" s="21" t="str">
        <f>IFERROR(__xludf.DUMMYFUNCTION("""COMPUTED_VALUE"""),"https://drive.google.com/file/d/1NbKG4U4BgSfzz0tSMCtxIbinE5Rj2Crm/view?usp=drivesdk")</f>
        <v>https://drive.google.com/file/d/1NbKG4U4BgSfzz0tSMCtxIbinE5Rj2Crm/view?usp=drivesdk</v>
      </c>
    </row>
    <row r="3306">
      <c r="A3306" s="17" t="str">
        <f>IFERROR(__xludf.DUMMYFUNCTION("""COMPUTED_VALUE"""),"")</f>
        <v/>
      </c>
      <c r="B3306" s="17" t="str">
        <f>IFERROR(__xludf.DUMMYFUNCTION("""COMPUTED_VALUE"""),"")</f>
        <v/>
      </c>
      <c r="C3306" s="17" t="str">
        <f>IFERROR(__xludf.DUMMYFUNCTION("""COMPUTED_VALUE"""),"")</f>
        <v/>
      </c>
      <c r="D3306" s="17" t="str">
        <f>IFERROR(__xludf.DUMMYFUNCTION("""COMPUTED_VALUE"""),"")</f>
        <v/>
      </c>
      <c r="E3306" s="17" t="str">
        <f>IFERROR(__xludf.DUMMYFUNCTION("""COMPUTED_VALUE"""),"")</f>
        <v/>
      </c>
      <c r="F3306" s="17" t="str">
        <f>IFERROR(__xludf.DUMMYFUNCTION("""COMPUTED_VALUE"""),"")</f>
        <v/>
      </c>
      <c r="G3306" s="17" t="str">
        <f>IFERROR(__xludf.DUMMYFUNCTION("""COMPUTED_VALUE"""),"")</f>
        <v/>
      </c>
      <c r="H3306" s="17" t="str">
        <f>IFERROR(__xludf.DUMMYFUNCTION("""COMPUTED_VALUE"""),"")</f>
        <v/>
      </c>
      <c r="I3306" s="17" t="str">
        <f>IFERROR(__xludf.DUMMYFUNCTION("""COMPUTED_VALUE"""),"")</f>
        <v/>
      </c>
      <c r="J3306" s="17" t="str">
        <f>IFERROR(__xludf.DUMMYFUNCTION("""COMPUTED_VALUE"""),"")</f>
        <v/>
      </c>
      <c r="K3306" s="17" t="str">
        <f>IFERROR(__xludf.DUMMYFUNCTION("""COMPUTED_VALUE"""),"")</f>
        <v/>
      </c>
      <c r="L3306" s="17" t="str">
        <f>IFERROR(__xludf.DUMMYFUNCTION("""COMPUTED_VALUE"""),"")</f>
        <v/>
      </c>
      <c r="M3306" s="17" t="str">
        <f>IFERROR(__xludf.DUMMYFUNCTION("""COMPUTED_VALUE"""),"")</f>
        <v/>
      </c>
      <c r="N3306" s="17" t="str">
        <f>IFERROR(__xludf.DUMMYFUNCTION("""COMPUTED_VALUE"""),"")</f>
        <v/>
      </c>
      <c r="O3306" s="17" t="str">
        <f>IFERROR(__xludf.DUMMYFUNCTION("""COMPUTED_VALUE"""),"")</f>
        <v/>
      </c>
      <c r="P3306" s="17" t="str">
        <f>IFERROR(__xludf.DUMMYFUNCTION("""COMPUTED_VALUE"""),"")</f>
        <v/>
      </c>
      <c r="Q3306" s="17" t="str">
        <f>IFERROR(__xludf.DUMMYFUNCTION("""COMPUTED_VALUE"""),"")</f>
        <v/>
      </c>
      <c r="R3306" s="17" t="str">
        <f>IFERROR(__xludf.DUMMYFUNCTION("""COMPUTED_VALUE"""),"")</f>
        <v/>
      </c>
    </row>
    <row r="3307">
      <c r="A3307" s="15">
        <f>IFERROR(__xludf.DUMMYFUNCTION("""COMPUTED_VALUE"""),45098.0)</f>
        <v>45098</v>
      </c>
      <c r="B3307" s="16" t="str">
        <f>IFERROR(__xludf.DUMMYFUNCTION("""COMPUTED_VALUE"""),"Johan Alexander Escobar Arroyo ")</f>
        <v>Johan Alexander Escobar Arroyo </v>
      </c>
      <c r="C3307" s="15" t="str">
        <f>IFERROR(__xludf.DUMMYFUNCTION("""COMPUTED_VALUE"""),"CALI")</f>
        <v>CALI</v>
      </c>
      <c r="D3307" s="15" t="str">
        <f>IFERROR(__xludf.DUMMYFUNCTION("""COMPUTED_VALUE"""),"BOGOTÁ")</f>
        <v>BOGOTÁ</v>
      </c>
      <c r="E3307" s="15" t="str">
        <f>IFERROR(__xludf.DUMMYFUNCTION("""COMPUTED_VALUE"""),"Asociacion Agropecuaria Juana Maria")</f>
        <v>Asociacion Agropecuaria Juana Maria</v>
      </c>
      <c r="F3307" s="17" t="str">
        <f>IFERROR(__xludf.DUMMYFUNCTION("""COMPUTED_VALUE"""),"Carrera 17B # 33E-33 La Floresta vieja")</f>
        <v>Carrera 17B # 33E-33 La Floresta vieja</v>
      </c>
      <c r="G3307" s="15" t="str">
        <f>IFERROR(__xludf.DUMMYFUNCTION("""COMPUTED_VALUE"""),"Johanna acuña  Molina")</f>
        <v>Johanna acuña  Molina</v>
      </c>
      <c r="H3307" s="16">
        <f>IFERROR(__xludf.DUMMYFUNCTION("""COMPUTED_VALUE"""),11819.0)</f>
        <v>11819</v>
      </c>
      <c r="I3307" s="18">
        <f>IFERROR(__xludf.DUMMYFUNCTION("""COMPUTED_VALUE"""),12.0)</f>
        <v>12</v>
      </c>
      <c r="J3307" s="18">
        <f>IFERROR(__xludf.DUMMYFUNCTION("""COMPUTED_VALUE"""),37.0)</f>
        <v>37</v>
      </c>
      <c r="K3307" s="18">
        <f>IFERROR(__xludf.DUMMYFUNCTION("""COMPUTED_VALUE"""),20.0)</f>
        <v>20</v>
      </c>
      <c r="L3307" s="17">
        <f>IFERROR(__xludf.DUMMYFUNCTION("""COMPUTED_VALUE"""),3.218700343E9)</f>
        <v>3218700343</v>
      </c>
      <c r="M3307" s="17" t="str">
        <f>IFERROR(__xludf.DUMMYFUNCTION("""COMPUTED_VALUE"""),"#REF!")</f>
        <v>#REF!</v>
      </c>
      <c r="N3307" s="17"/>
      <c r="O3307" s="17"/>
      <c r="P3307" s="17" t="b">
        <f>IFERROR(__xludf.DUMMYFUNCTION("""COMPUTED_VALUE"""),FALSE)</f>
        <v>0</v>
      </c>
      <c r="Q3307" s="20" t="str">
        <f>IFERROR(__xludf.DUMMYFUNCTION("""COMPUTED_VALUE"""),"")</f>
        <v/>
      </c>
      <c r="R3307" s="21" t="str">
        <f>IFERROR(__xludf.DUMMYFUNCTION("""COMPUTED_VALUE"""),"https://drive.google.com/file/d/1aPsPv4DN5rr5PkfI-Qwi2wT2P8YLIJej/view?usp=drivesdk")</f>
        <v>https://drive.google.com/file/d/1aPsPv4DN5rr5PkfI-Qwi2wT2P8YLIJej/view?usp=drivesdk</v>
      </c>
    </row>
    <row r="3308">
      <c r="A3308" s="15">
        <f>IFERROR(__xludf.DUMMYFUNCTION("""COMPUTED_VALUE"""),45098.0)</f>
        <v>45098</v>
      </c>
      <c r="B3308" s="16" t="str">
        <f>IFERROR(__xludf.DUMMYFUNCTION("""COMPUTED_VALUE"""),"Johan Alexander Escobar Arroyo ")</f>
        <v>Johan Alexander Escobar Arroyo </v>
      </c>
      <c r="C3308" s="15" t="str">
        <f>IFERROR(__xludf.DUMMYFUNCTION("""COMPUTED_VALUE"""),"CALI")</f>
        <v>CALI</v>
      </c>
      <c r="D3308" s="15" t="str">
        <f>IFERROR(__xludf.DUMMYFUNCTION("""COMPUTED_VALUE"""),"BOGOTÁ")</f>
        <v>BOGOTÁ</v>
      </c>
      <c r="E3308" s="15" t="str">
        <f>IFERROR(__xludf.DUMMYFUNCTION("""COMPUTED_VALUE"""),"Evamazzita")</f>
        <v>Evamazzita</v>
      </c>
      <c r="F3308" s="17" t="str">
        <f>IFERROR(__xludf.DUMMYFUNCTION("""COMPUTED_VALUE"""),"Av 3g norte #62n-63 / apto 702, Edificio Keretaro del Viento  / Barrio La Flora")</f>
        <v>Av 3g norte #62n-63 / apto 702, Edificio Keretaro del Viento  / Barrio La Flora</v>
      </c>
      <c r="G3308" s="15" t="str">
        <f>IFERROR(__xludf.DUMMYFUNCTION("""COMPUTED_VALUE"""),"JESSICA MARTINEZ")</f>
        <v>JESSICA MARTINEZ</v>
      </c>
      <c r="H3308" s="16">
        <f>IFERROR(__xludf.DUMMYFUNCTION("""COMPUTED_VALUE"""),11881.0)</f>
        <v>11881</v>
      </c>
      <c r="I3308" s="18">
        <f>IFERROR(__xludf.DUMMYFUNCTION("""COMPUTED_VALUE"""),1.0)</f>
        <v>1</v>
      </c>
      <c r="J3308" s="18">
        <f>IFERROR(__xludf.DUMMYFUNCTION("""COMPUTED_VALUE"""),1.0)</f>
        <v>1</v>
      </c>
      <c r="K3308" s="18">
        <f>IFERROR(__xludf.DUMMYFUNCTION("""COMPUTED_VALUE"""),1.0)</f>
        <v>1</v>
      </c>
      <c r="L3308" s="17">
        <f>IFERROR(__xludf.DUMMYFUNCTION("""COMPUTED_VALUE"""),3.168847884E9)</f>
        <v>3168847884</v>
      </c>
      <c r="M3308" s="17" t="str">
        <f>IFERROR(__xludf.DUMMYFUNCTION("""COMPUTED_VALUE"""),"#REF!")</f>
        <v>#REF!</v>
      </c>
      <c r="N3308" s="17"/>
      <c r="O3308" s="17"/>
      <c r="P3308" s="17" t="b">
        <f>IFERROR(__xludf.DUMMYFUNCTION("""COMPUTED_VALUE"""),FALSE)</f>
        <v>0</v>
      </c>
      <c r="Q3308" s="20" t="str">
        <f>IFERROR(__xludf.DUMMYFUNCTION("""COMPUTED_VALUE"""),"")</f>
        <v/>
      </c>
      <c r="R3308" s="21" t="str">
        <f>IFERROR(__xludf.DUMMYFUNCTION("""COMPUTED_VALUE"""),"https://drive.google.com/file/d/1f3aYfctSEkm68fnYQHZXZqMNocEQ9pII/view?usp=drivesdk")</f>
        <v>https://drive.google.com/file/d/1f3aYfctSEkm68fnYQHZXZqMNocEQ9pII/view?usp=drivesdk</v>
      </c>
    </row>
    <row r="3309">
      <c r="A3309" s="15">
        <f>IFERROR(__xludf.DUMMYFUNCTION("""COMPUTED_VALUE"""),45098.0)</f>
        <v>45098</v>
      </c>
      <c r="B3309" s="16" t="str">
        <f>IFERROR(__xludf.DUMMYFUNCTION("""COMPUTED_VALUE"""),"Johan Alexander Escobar Arroyo ")</f>
        <v>Johan Alexander Escobar Arroyo </v>
      </c>
      <c r="C3309" s="15" t="str">
        <f>IFERROR(__xludf.DUMMYFUNCTION("""COMPUTED_VALUE"""),"CALI")</f>
        <v>CALI</v>
      </c>
      <c r="D3309" s="15" t="str">
        <f>IFERROR(__xludf.DUMMYFUNCTION("""COMPUTED_VALUE"""),"BOGOTÁ")</f>
        <v>BOGOTÁ</v>
      </c>
      <c r="E3309" s="15" t="str">
        <f>IFERROR(__xludf.DUMMYFUNCTION("""COMPUTED_VALUE"""),"Evamazzita")</f>
        <v>Evamazzita</v>
      </c>
      <c r="F3309" s="17" t="str">
        <f>IFERROR(__xludf.DUMMYFUNCTION("""COMPUTED_VALUE"""),"AV 9 NORTE # 56 NORTE - 140  / APTO 907 UNIDAD ATIKO 66 / BARRIO MENGA")</f>
        <v>AV 9 NORTE # 56 NORTE - 140  / APTO 907 UNIDAD ATIKO 66 / BARRIO MENGA</v>
      </c>
      <c r="G3309" s="15" t="str">
        <f>IFERROR(__xludf.DUMMYFUNCTION("""COMPUTED_VALUE"""),"VANESSA ERAZO ROJAS")</f>
        <v>VANESSA ERAZO ROJAS</v>
      </c>
      <c r="H3309" s="16">
        <f>IFERROR(__xludf.DUMMYFUNCTION("""COMPUTED_VALUE"""),11880.0)</f>
        <v>11880</v>
      </c>
      <c r="I3309" s="18">
        <f>IFERROR(__xludf.DUMMYFUNCTION("""COMPUTED_VALUE"""),1.0)</f>
        <v>1</v>
      </c>
      <c r="J3309" s="18">
        <f>IFERROR(__xludf.DUMMYFUNCTION("""COMPUTED_VALUE"""),1.0)</f>
        <v>1</v>
      </c>
      <c r="K3309" s="18">
        <f>IFERROR(__xludf.DUMMYFUNCTION("""COMPUTED_VALUE"""),1.0)</f>
        <v>1</v>
      </c>
      <c r="L3309" s="17">
        <f>IFERROR(__xludf.DUMMYFUNCTION("""COMPUTED_VALUE"""),3.11671249E9)</f>
        <v>3116712490</v>
      </c>
      <c r="M3309" s="17" t="str">
        <f>IFERROR(__xludf.DUMMYFUNCTION("""COMPUTED_VALUE"""),"#REF!")</f>
        <v>#REF!</v>
      </c>
      <c r="N3309" s="17"/>
      <c r="O3309" s="17"/>
      <c r="P3309" s="17" t="b">
        <f>IFERROR(__xludf.DUMMYFUNCTION("""COMPUTED_VALUE"""),FALSE)</f>
        <v>0</v>
      </c>
      <c r="Q3309" s="20" t="str">
        <f>IFERROR(__xludf.DUMMYFUNCTION("""COMPUTED_VALUE"""),"")</f>
        <v/>
      </c>
      <c r="R3309" s="21" t="str">
        <f>IFERROR(__xludf.DUMMYFUNCTION("""COMPUTED_VALUE"""),"https://drive.google.com/file/d/1iIwyOEiVP_s7GKfXnXpN9lV4XbElTcjF/view?usp=drivesdk")</f>
        <v>https://drive.google.com/file/d/1iIwyOEiVP_s7GKfXnXpN9lV4XbElTcjF/view?usp=drivesdk</v>
      </c>
    </row>
    <row r="3310">
      <c r="A3310" s="15">
        <f>IFERROR(__xludf.DUMMYFUNCTION("""COMPUTED_VALUE"""),45098.0)</f>
        <v>45098</v>
      </c>
      <c r="B3310" s="16" t="str">
        <f>IFERROR(__xludf.DUMMYFUNCTION("""COMPUTED_VALUE"""),"Johan Alexander Escobar Arroyo ")</f>
        <v>Johan Alexander Escobar Arroyo </v>
      </c>
      <c r="C3310" s="15" t="str">
        <f>IFERROR(__xludf.DUMMYFUNCTION("""COMPUTED_VALUE"""),"CALI")</f>
        <v>CALI</v>
      </c>
      <c r="D3310" s="15" t="str">
        <f>IFERROR(__xludf.DUMMYFUNCTION("""COMPUTED_VALUE"""),"BOGOTÁ")</f>
        <v>BOGOTÁ</v>
      </c>
      <c r="E3310" s="15" t="str">
        <f>IFERROR(__xludf.DUMMYFUNCTION("""COMPUTED_VALUE"""),"Evamazzita")</f>
        <v>Evamazzita</v>
      </c>
      <c r="F3310" s="17" t="str">
        <f>IFERROR(__xludf.DUMMYFUNCTION("""COMPUTED_VALUE"""),"Calle 13b # 37-86 apto 101 bloque 2 / apto 101 bloque 2 / N/A")</f>
        <v>Calle 13b # 37-86 apto 101 bloque 2 / apto 101 bloque 2 / N/A</v>
      </c>
      <c r="G3310" s="15" t="str">
        <f>IFERROR(__xludf.DUMMYFUNCTION("""COMPUTED_VALUE"""),"YENI ARISTIZABAL")</f>
        <v>YENI ARISTIZABAL</v>
      </c>
      <c r="H3310" s="16">
        <f>IFERROR(__xludf.DUMMYFUNCTION("""COMPUTED_VALUE"""),11879.0)</f>
        <v>11879</v>
      </c>
      <c r="I3310" s="18">
        <f>IFERROR(__xludf.DUMMYFUNCTION("""COMPUTED_VALUE"""),1.0)</f>
        <v>1</v>
      </c>
      <c r="J3310" s="18">
        <f>IFERROR(__xludf.DUMMYFUNCTION("""COMPUTED_VALUE"""),1.0)</f>
        <v>1</v>
      </c>
      <c r="K3310" s="18">
        <f>IFERROR(__xludf.DUMMYFUNCTION("""COMPUTED_VALUE"""),1.0)</f>
        <v>1</v>
      </c>
      <c r="L3310" s="17">
        <f>IFERROR(__xludf.DUMMYFUNCTION("""COMPUTED_VALUE"""),3.113816929E9)</f>
        <v>3113816929</v>
      </c>
      <c r="M3310" s="17" t="str">
        <f>IFERROR(__xludf.DUMMYFUNCTION("""COMPUTED_VALUE"""),"#REF!")</f>
        <v>#REF!</v>
      </c>
      <c r="N3310" s="17"/>
      <c r="O3310" s="17"/>
      <c r="P3310" s="17" t="b">
        <f>IFERROR(__xludf.DUMMYFUNCTION("""COMPUTED_VALUE"""),FALSE)</f>
        <v>0</v>
      </c>
      <c r="Q3310" s="20" t="str">
        <f>IFERROR(__xludf.DUMMYFUNCTION("""COMPUTED_VALUE"""),"")</f>
        <v/>
      </c>
      <c r="R3310" s="21" t="str">
        <f>IFERROR(__xludf.DUMMYFUNCTION("""COMPUTED_VALUE"""),"https://drive.google.com/file/d/1Ms6t-sRN3q9y2TaUwBwsH9RipwvpbyqF/view?usp=drivesdk")</f>
        <v>https://drive.google.com/file/d/1Ms6t-sRN3q9y2TaUwBwsH9RipwvpbyqF/view?usp=drivesdk</v>
      </c>
    </row>
    <row r="3311">
      <c r="A3311" s="15">
        <f>IFERROR(__xludf.DUMMYFUNCTION("""COMPUTED_VALUE"""),45098.0)</f>
        <v>45098</v>
      </c>
      <c r="B3311" s="16" t="str">
        <f>IFERROR(__xludf.DUMMYFUNCTION("""COMPUTED_VALUE"""),"Johan Alexander Escobar Arroyo ")</f>
        <v>Johan Alexander Escobar Arroyo </v>
      </c>
      <c r="C3311" s="15" t="str">
        <f>IFERROR(__xludf.DUMMYFUNCTION("""COMPUTED_VALUE"""),"CALI")</f>
        <v>CALI</v>
      </c>
      <c r="D3311" s="15" t="str">
        <f>IFERROR(__xludf.DUMMYFUNCTION("""COMPUTED_VALUE"""),"BOGOTÁ")</f>
        <v>BOGOTÁ</v>
      </c>
      <c r="E3311" s="15" t="str">
        <f>IFERROR(__xludf.DUMMYFUNCTION("""COMPUTED_VALUE"""),"Evamazzita")</f>
        <v>Evamazzita</v>
      </c>
      <c r="F3311" s="17" t="str">
        <f>IFERROR(__xludf.DUMMYFUNCTION("""COMPUTED_VALUE"""),"CALLE 45 No. 99-39  / CONDOMINIO ENTRE PARQUES APTO 202 TORRE C  / BARRIO VALLE DEL LILI")</f>
        <v>CALLE 45 No. 99-39  / CONDOMINIO ENTRE PARQUES APTO 202 TORRE C  / BARRIO VALLE DEL LILI</v>
      </c>
      <c r="G3311" s="15" t="str">
        <f>IFERROR(__xludf.DUMMYFUNCTION("""COMPUTED_VALUE"""),"PAULA YULIETH LARA")</f>
        <v>PAULA YULIETH LARA</v>
      </c>
      <c r="H3311" s="16">
        <f>IFERROR(__xludf.DUMMYFUNCTION("""COMPUTED_VALUE"""),11872.0)</f>
        <v>11872</v>
      </c>
      <c r="I3311" s="18">
        <f>IFERROR(__xludf.DUMMYFUNCTION("""COMPUTED_VALUE"""),1.0)</f>
        <v>1</v>
      </c>
      <c r="J3311" s="18">
        <f>IFERROR(__xludf.DUMMYFUNCTION("""COMPUTED_VALUE"""),1.0)</f>
        <v>1</v>
      </c>
      <c r="K3311" s="18">
        <f>IFERROR(__xludf.DUMMYFUNCTION("""COMPUTED_VALUE"""),1.0)</f>
        <v>1</v>
      </c>
      <c r="L3311" s="17">
        <f>IFERROR(__xludf.DUMMYFUNCTION("""COMPUTED_VALUE"""),3.104905985E9)</f>
        <v>3104905985</v>
      </c>
      <c r="M3311" s="17" t="str">
        <f>IFERROR(__xludf.DUMMYFUNCTION("""COMPUTED_VALUE"""),"#REF!")</f>
        <v>#REF!</v>
      </c>
      <c r="N3311" s="17"/>
      <c r="O3311" s="17"/>
      <c r="P3311" s="17" t="b">
        <f>IFERROR(__xludf.DUMMYFUNCTION("""COMPUTED_VALUE"""),TRUE)</f>
        <v>1</v>
      </c>
      <c r="Q3311" s="20">
        <f>IFERROR(__xludf.DUMMYFUNCTION("""COMPUTED_VALUE"""),45113.752141226854)</f>
        <v>45113.75214</v>
      </c>
      <c r="R3311" s="21" t="str">
        <f>IFERROR(__xludf.DUMMYFUNCTION("""COMPUTED_VALUE"""),"https://drive.google.com/file/d/1s3jK0TX_Sn_Jkvm_4DLSU2CJ0ErjhFeC/view?usp=drivesdk")</f>
        <v>https://drive.google.com/file/d/1s3jK0TX_Sn_Jkvm_4DLSU2CJ0ErjhFeC/view?usp=drivesdk</v>
      </c>
    </row>
    <row r="3312">
      <c r="A3312" s="15">
        <f>IFERROR(__xludf.DUMMYFUNCTION("""COMPUTED_VALUE"""),45098.0)</f>
        <v>45098</v>
      </c>
      <c r="B3312" s="16" t="str">
        <f>IFERROR(__xludf.DUMMYFUNCTION("""COMPUTED_VALUE"""),"Johan Alexander Escobar Arroyo ")</f>
        <v>Johan Alexander Escobar Arroyo </v>
      </c>
      <c r="C3312" s="15" t="str">
        <f>IFERROR(__xludf.DUMMYFUNCTION("""COMPUTED_VALUE"""),"CALI")</f>
        <v>CALI</v>
      </c>
      <c r="D3312" s="15" t="str">
        <f>IFERROR(__xludf.DUMMYFUNCTION("""COMPUTED_VALUE"""),"BOGOTÁ")</f>
        <v>BOGOTÁ</v>
      </c>
      <c r="E3312" s="15" t="str">
        <f>IFERROR(__xludf.DUMMYFUNCTION("""COMPUTED_VALUE"""),"Evamazzita")</f>
        <v>Evamazzita</v>
      </c>
      <c r="F3312" s="17" t="str">
        <f>IFERROR(__xludf.DUMMYFUNCTION("""COMPUTED_VALUE"""),"CALLE 69A No. 4C-84  / CALLE 69A No. 4C-84  / BARRIO SANTA BARBARA")</f>
        <v>CALLE 69A No. 4C-84  / CALLE 69A No. 4C-84  / BARRIO SANTA BARBARA</v>
      </c>
      <c r="G3312" s="15" t="str">
        <f>IFERROR(__xludf.DUMMYFUNCTION("""COMPUTED_VALUE"""),"ELENA MORENO")</f>
        <v>ELENA MORENO</v>
      </c>
      <c r="H3312" s="16">
        <f>IFERROR(__xludf.DUMMYFUNCTION("""COMPUTED_VALUE"""),11877.0)</f>
        <v>11877</v>
      </c>
      <c r="I3312" s="18">
        <f>IFERROR(__xludf.DUMMYFUNCTION("""COMPUTED_VALUE"""),1.0)</f>
        <v>1</v>
      </c>
      <c r="J3312" s="18">
        <f>IFERROR(__xludf.DUMMYFUNCTION("""COMPUTED_VALUE"""),1.0)</f>
        <v>1</v>
      </c>
      <c r="K3312" s="18">
        <f>IFERROR(__xludf.DUMMYFUNCTION("""COMPUTED_VALUE"""),1.0)</f>
        <v>1</v>
      </c>
      <c r="L3312" s="17">
        <f>IFERROR(__xludf.DUMMYFUNCTION("""COMPUTED_VALUE"""),3.162432084E9)</f>
        <v>3162432084</v>
      </c>
      <c r="M3312" s="17" t="str">
        <f>IFERROR(__xludf.DUMMYFUNCTION("""COMPUTED_VALUE"""),"#REF!")</f>
        <v>#REF!</v>
      </c>
      <c r="N3312" s="17"/>
      <c r="O3312" s="17"/>
      <c r="P3312" s="17" t="b">
        <f>IFERROR(__xludf.DUMMYFUNCTION("""COMPUTED_VALUE"""),TRUE)</f>
        <v>1</v>
      </c>
      <c r="Q3312" s="20">
        <f>IFERROR(__xludf.DUMMYFUNCTION("""COMPUTED_VALUE"""),45113.74319565972)</f>
        <v>45113.7432</v>
      </c>
      <c r="R3312" s="21" t="str">
        <f>IFERROR(__xludf.DUMMYFUNCTION("""COMPUTED_VALUE"""),"https://drive.google.com/file/d/1UQOLcfpCfRqvBa2UI3Rrqrc2Vw4Lq5sI/view?usp=drivesdk")</f>
        <v>https://drive.google.com/file/d/1UQOLcfpCfRqvBa2UI3Rrqrc2Vw4Lq5sI/view?usp=drivesdk</v>
      </c>
    </row>
    <row r="3313">
      <c r="A3313" s="15">
        <f>IFERROR(__xludf.DUMMYFUNCTION("""COMPUTED_VALUE"""),45098.0)</f>
        <v>45098</v>
      </c>
      <c r="B3313" s="16" t="str">
        <f>IFERROR(__xludf.DUMMYFUNCTION("""COMPUTED_VALUE"""),"Johan Alexander Escobar Arroyo ")</f>
        <v>Johan Alexander Escobar Arroyo </v>
      </c>
      <c r="C3313" s="15" t="str">
        <f>IFERROR(__xludf.DUMMYFUNCTION("""COMPUTED_VALUE"""),"CALI")</f>
        <v>CALI</v>
      </c>
      <c r="D3313" s="15" t="str">
        <f>IFERROR(__xludf.DUMMYFUNCTION("""COMPUTED_VALUE"""),"BOGOTÁ")</f>
        <v>BOGOTÁ</v>
      </c>
      <c r="E3313" s="15" t="str">
        <f>IFERROR(__xludf.DUMMYFUNCTION("""COMPUTED_VALUE"""),"Evamazzita")</f>
        <v>Evamazzita</v>
      </c>
      <c r="F3313" s="17" t="str">
        <f>IFERROR(__xludf.DUMMYFUNCTION("""COMPUTED_VALUE"""),"CALLE 73 1 J 49 / CALLE 73 1 J 49 / CALLE 73 1 J 49")</f>
        <v>CALLE 73 1 J 49 / CALLE 73 1 J 49 / CALLE 73 1 J 49</v>
      </c>
      <c r="G3313" s="15" t="str">
        <f>IFERROR(__xludf.DUMMYFUNCTION("""COMPUTED_VALUE"""),"LINA OTALVARO|")</f>
        <v>LINA OTALVARO|</v>
      </c>
      <c r="H3313" s="16">
        <f>IFERROR(__xludf.DUMMYFUNCTION("""COMPUTED_VALUE"""),11876.0)</f>
        <v>11876</v>
      </c>
      <c r="I3313" s="18">
        <f>IFERROR(__xludf.DUMMYFUNCTION("""COMPUTED_VALUE"""),1.0)</f>
        <v>1</v>
      </c>
      <c r="J3313" s="18">
        <f>IFERROR(__xludf.DUMMYFUNCTION("""COMPUTED_VALUE"""),1.0)</f>
        <v>1</v>
      </c>
      <c r="K3313" s="18">
        <f>IFERROR(__xludf.DUMMYFUNCTION("""COMPUTED_VALUE"""),1.0)</f>
        <v>1</v>
      </c>
      <c r="L3313" s="17">
        <f>IFERROR(__xludf.DUMMYFUNCTION("""COMPUTED_VALUE"""),3.148781509E9)</f>
        <v>3148781509</v>
      </c>
      <c r="M3313" s="17" t="str">
        <f>IFERROR(__xludf.DUMMYFUNCTION("""COMPUTED_VALUE"""),"#REF!")</f>
        <v>#REF!</v>
      </c>
      <c r="N3313" s="17"/>
      <c r="O3313" s="17"/>
      <c r="P3313" s="17" t="b">
        <f>IFERROR(__xludf.DUMMYFUNCTION("""COMPUTED_VALUE"""),TRUE)</f>
        <v>1</v>
      </c>
      <c r="Q3313" s="20">
        <f>IFERROR(__xludf.DUMMYFUNCTION("""COMPUTED_VALUE"""),45113.74319565972)</f>
        <v>45113.7432</v>
      </c>
      <c r="R3313" s="21" t="str">
        <f>IFERROR(__xludf.DUMMYFUNCTION("""COMPUTED_VALUE"""),"https://drive.google.com/file/d/1gwgOc2s-DShH00MVNfXW7lXOIevlIm2H/view?usp=drivesdk")</f>
        <v>https://drive.google.com/file/d/1gwgOc2s-DShH00MVNfXW7lXOIevlIm2H/view?usp=drivesdk</v>
      </c>
    </row>
    <row r="3314">
      <c r="A3314" s="15">
        <f>IFERROR(__xludf.DUMMYFUNCTION("""COMPUTED_VALUE"""),45098.0)</f>
        <v>45098</v>
      </c>
      <c r="B3314" s="16" t="str">
        <f>IFERROR(__xludf.DUMMYFUNCTION("""COMPUTED_VALUE"""),"Johan Alexander Escobar Arroyo ")</f>
        <v>Johan Alexander Escobar Arroyo </v>
      </c>
      <c r="C3314" s="15" t="str">
        <f>IFERROR(__xludf.DUMMYFUNCTION("""COMPUTED_VALUE"""),"CALI")</f>
        <v>CALI</v>
      </c>
      <c r="D3314" s="15" t="str">
        <f>IFERROR(__xludf.DUMMYFUNCTION("""COMPUTED_VALUE"""),"BOGOTÁ")</f>
        <v>BOGOTÁ</v>
      </c>
      <c r="E3314" s="15" t="str">
        <f>IFERROR(__xludf.DUMMYFUNCTION("""COMPUTED_VALUE"""),"Evamazzita")</f>
        <v>Evamazzita</v>
      </c>
      <c r="F3314" s="17" t="str">
        <f>IFERROR(__xludf.DUMMYFUNCTION("""COMPUTED_VALUE"""),"CRA 1D2 No. 53 - 23 / N/A / N/A")</f>
        <v>CRA 1D2 No. 53 - 23 / N/A / N/A</v>
      </c>
      <c r="G3314" s="15" t="str">
        <f>IFERROR(__xludf.DUMMYFUNCTION("""COMPUTED_VALUE"""),"EDILSON LOPEZ")</f>
        <v>EDILSON LOPEZ</v>
      </c>
      <c r="H3314" s="16">
        <f>IFERROR(__xludf.DUMMYFUNCTION("""COMPUTED_VALUE"""),11882.0)</f>
        <v>11882</v>
      </c>
      <c r="I3314" s="18">
        <f>IFERROR(__xludf.DUMMYFUNCTION("""COMPUTED_VALUE"""),1.0)</f>
        <v>1</v>
      </c>
      <c r="J3314" s="18">
        <f>IFERROR(__xludf.DUMMYFUNCTION("""COMPUTED_VALUE"""),1.0)</f>
        <v>1</v>
      </c>
      <c r="K3314" s="18">
        <f>IFERROR(__xludf.DUMMYFUNCTION("""COMPUTED_VALUE"""),1.0)</f>
        <v>1</v>
      </c>
      <c r="L3314" s="17">
        <f>IFERROR(__xludf.DUMMYFUNCTION("""COMPUTED_VALUE"""),3.112519394E9)</f>
        <v>3112519394</v>
      </c>
      <c r="M3314" s="17" t="str">
        <f>IFERROR(__xludf.DUMMYFUNCTION("""COMPUTED_VALUE"""),"#REF!")</f>
        <v>#REF!</v>
      </c>
      <c r="N3314" s="17"/>
      <c r="O3314" s="17"/>
      <c r="P3314" s="17" t="b">
        <f>IFERROR(__xludf.DUMMYFUNCTION("""COMPUTED_VALUE"""),TRUE)</f>
        <v>1</v>
      </c>
      <c r="Q3314" s="20">
        <f>IFERROR(__xludf.DUMMYFUNCTION("""COMPUTED_VALUE"""),45113.74324997685)</f>
        <v>45113.74325</v>
      </c>
      <c r="R3314" s="21" t="str">
        <f>IFERROR(__xludf.DUMMYFUNCTION("""COMPUTED_VALUE"""),"https://drive.google.com/file/d/1mqp82UMsLalumnLJHbAqamtkz-4B8Kh5/view?usp=drivesdk")</f>
        <v>https://drive.google.com/file/d/1mqp82UMsLalumnLJHbAqamtkz-4B8Kh5/view?usp=drivesdk</v>
      </c>
    </row>
    <row r="3315">
      <c r="A3315" s="15">
        <f>IFERROR(__xludf.DUMMYFUNCTION("""COMPUTED_VALUE"""),45098.0)</f>
        <v>45098</v>
      </c>
      <c r="B3315" s="16" t="str">
        <f>IFERROR(__xludf.DUMMYFUNCTION("""COMPUTED_VALUE"""),"Johan Alexander Escobar Arroyo ")</f>
        <v>Johan Alexander Escobar Arroyo </v>
      </c>
      <c r="C3315" s="15" t="str">
        <f>IFERROR(__xludf.DUMMYFUNCTION("""COMPUTED_VALUE"""),"CALI")</f>
        <v>CALI</v>
      </c>
      <c r="D3315" s="15" t="str">
        <f>IFERROR(__xludf.DUMMYFUNCTION("""COMPUTED_VALUE"""),"BOGOTÁ")</f>
        <v>BOGOTÁ</v>
      </c>
      <c r="E3315" s="15" t="str">
        <f>IFERROR(__xludf.DUMMYFUNCTION("""COMPUTED_VALUE"""),"Evamazzita")</f>
        <v>Evamazzita</v>
      </c>
      <c r="F3315" s="17" t="str">
        <f>IFERROR(__xludf.DUMMYFUNCTION("""COMPUTED_VALUE"""),"CRA 39 No. 15 - 23  / CASA  / BARRIO CRISTOBAL COLON")</f>
        <v>CRA 39 No. 15 - 23  / CASA  / BARRIO CRISTOBAL COLON</v>
      </c>
      <c r="G3315" s="15" t="str">
        <f>IFERROR(__xludf.DUMMYFUNCTION("""COMPUTED_VALUE"""),"JOVANNA BEDOYA HERRERA")</f>
        <v>JOVANNA BEDOYA HERRERA</v>
      </c>
      <c r="H3315" s="16">
        <f>IFERROR(__xludf.DUMMYFUNCTION("""COMPUTED_VALUE"""),11871.0)</f>
        <v>11871</v>
      </c>
      <c r="I3315" s="18">
        <f>IFERROR(__xludf.DUMMYFUNCTION("""COMPUTED_VALUE"""),1.0)</f>
        <v>1</v>
      </c>
      <c r="J3315" s="18">
        <f>IFERROR(__xludf.DUMMYFUNCTION("""COMPUTED_VALUE"""),1.0)</f>
        <v>1</v>
      </c>
      <c r="K3315" s="18">
        <f>IFERROR(__xludf.DUMMYFUNCTION("""COMPUTED_VALUE"""),1.0)</f>
        <v>1</v>
      </c>
      <c r="L3315" s="17">
        <f>IFERROR(__xludf.DUMMYFUNCTION("""COMPUTED_VALUE"""),3.163619374E9)</f>
        <v>3163619374</v>
      </c>
      <c r="M3315" s="17" t="str">
        <f>IFERROR(__xludf.DUMMYFUNCTION("""COMPUTED_VALUE"""),"#REF!")</f>
        <v>#REF!</v>
      </c>
      <c r="N3315" s="17"/>
      <c r="O3315" s="17"/>
      <c r="P3315" s="17" t="b">
        <f>IFERROR(__xludf.DUMMYFUNCTION("""COMPUTED_VALUE"""),TRUE)</f>
        <v>1</v>
      </c>
      <c r="Q3315" s="20">
        <f>IFERROR(__xludf.DUMMYFUNCTION("""COMPUTED_VALUE"""),45113.74319565972)</f>
        <v>45113.7432</v>
      </c>
      <c r="R3315" s="21" t="str">
        <f>IFERROR(__xludf.DUMMYFUNCTION("""COMPUTED_VALUE"""),"https://drive.google.com/file/d/1sc-KSqihCpIM74EpC5YQj2P0ZOZmhFxp/view?usp=drivesdk")</f>
        <v>https://drive.google.com/file/d/1sc-KSqihCpIM74EpC5YQj2P0ZOZmhFxp/view?usp=drivesdk</v>
      </c>
    </row>
    <row r="3316">
      <c r="A3316" s="15">
        <f>IFERROR(__xludf.DUMMYFUNCTION("""COMPUTED_VALUE"""),45098.0)</f>
        <v>45098</v>
      </c>
      <c r="B3316" s="16" t="str">
        <f>IFERROR(__xludf.DUMMYFUNCTION("""COMPUTED_VALUE"""),"Johan Alexander Escobar Arroyo ")</f>
        <v>Johan Alexander Escobar Arroyo </v>
      </c>
      <c r="C3316" s="15" t="str">
        <f>IFERROR(__xludf.DUMMYFUNCTION("""COMPUTED_VALUE"""),"CALI")</f>
        <v>CALI</v>
      </c>
      <c r="D3316" s="15" t="str">
        <f>IFERROR(__xludf.DUMMYFUNCTION("""COMPUTED_VALUE"""),"BOGOTÁ")</f>
        <v>BOGOTÁ</v>
      </c>
      <c r="E3316" s="15" t="str">
        <f>IFERROR(__xludf.DUMMYFUNCTION("""COMPUTED_VALUE"""),"Evamazzita")</f>
        <v>Evamazzita</v>
      </c>
      <c r="F3316" s="17" t="str">
        <f>IFERROR(__xludf.DUMMYFUNCTION("""COMPUTED_VALUE"""),"Cra 64 a # 14-75. /  Casa 47. Conjunto cañamiel  / Barrio limonar")</f>
        <v>Cra 64 a # 14-75. /  Casa 47. Conjunto cañamiel  / Barrio limonar</v>
      </c>
      <c r="G3316" s="15" t="str">
        <f>IFERROR(__xludf.DUMMYFUNCTION("""COMPUTED_VALUE"""),"ANGELA MARIA LOPEZ|")</f>
        <v>ANGELA MARIA LOPEZ|</v>
      </c>
      <c r="H3316" s="16">
        <f>IFERROR(__xludf.DUMMYFUNCTION("""COMPUTED_VALUE"""),11878.0)</f>
        <v>11878</v>
      </c>
      <c r="I3316" s="18">
        <f>IFERROR(__xludf.DUMMYFUNCTION("""COMPUTED_VALUE"""),1.0)</f>
        <v>1</v>
      </c>
      <c r="J3316" s="18">
        <f>IFERROR(__xludf.DUMMYFUNCTION("""COMPUTED_VALUE"""),1.0)</f>
        <v>1</v>
      </c>
      <c r="K3316" s="18">
        <f>IFERROR(__xludf.DUMMYFUNCTION("""COMPUTED_VALUE"""),1.0)</f>
        <v>1</v>
      </c>
      <c r="L3316" s="17">
        <f>IFERROR(__xludf.DUMMYFUNCTION("""COMPUTED_VALUE"""),3.164688197E9)</f>
        <v>3164688197</v>
      </c>
      <c r="M3316" s="17" t="str">
        <f>IFERROR(__xludf.DUMMYFUNCTION("""COMPUTED_VALUE"""),"#REF!")</f>
        <v>#REF!</v>
      </c>
      <c r="N3316" s="17"/>
      <c r="O3316" s="17"/>
      <c r="P3316" s="17" t="b">
        <f>IFERROR(__xludf.DUMMYFUNCTION("""COMPUTED_VALUE"""),TRUE)</f>
        <v>1</v>
      </c>
      <c r="Q3316" s="20">
        <f>IFERROR(__xludf.DUMMYFUNCTION("""COMPUTED_VALUE"""),45113.74319565972)</f>
        <v>45113.7432</v>
      </c>
      <c r="R3316" s="21" t="str">
        <f>IFERROR(__xludf.DUMMYFUNCTION("""COMPUTED_VALUE"""),"https://drive.google.com/file/d/1D9ubLFIsX9bg9hlMueO_2QMgI4C-aoCT/view?usp=drivesdk")</f>
        <v>https://drive.google.com/file/d/1D9ubLFIsX9bg9hlMueO_2QMgI4C-aoCT/view?usp=drivesdk</v>
      </c>
    </row>
    <row r="3317">
      <c r="A3317" s="15">
        <f>IFERROR(__xludf.DUMMYFUNCTION("""COMPUTED_VALUE"""),45098.0)</f>
        <v>45098</v>
      </c>
      <c r="B3317" s="16" t="str">
        <f>IFERROR(__xludf.DUMMYFUNCTION("""COMPUTED_VALUE"""),"Johan Alexander Escobar Arroyo ")</f>
        <v>Johan Alexander Escobar Arroyo </v>
      </c>
      <c r="C3317" s="15" t="str">
        <f>IFERROR(__xludf.DUMMYFUNCTION("""COMPUTED_VALUE"""),"CALI")</f>
        <v>CALI</v>
      </c>
      <c r="D3317" s="15" t="str">
        <f>IFERROR(__xludf.DUMMYFUNCTION("""COMPUTED_VALUE"""),"BOGOTÁ")</f>
        <v>BOGOTÁ</v>
      </c>
      <c r="E3317" s="15" t="str">
        <f>IFERROR(__xludf.DUMMYFUNCTION("""COMPUTED_VALUE"""),"Helados Socos")</f>
        <v>Helados Socos</v>
      </c>
      <c r="F3317" s="17" t="str">
        <f>IFERROR(__xludf.DUMMYFUNCTION("""COMPUTED_VALUE"""),"Cll 15 B # 107 - 41  / Es una casa que queda por la callecita que queda entre la panaderia el molino y colezzioni Casa 41 Blanca con rejas negras / Ciudad Jardín")</f>
        <v>Cll 15 B # 107 - 41  / Es una casa que queda por la callecita que queda entre la panaderia el molino y colezzioni Casa 41 Blanca con rejas negras / Ciudad Jardín</v>
      </c>
      <c r="G3317" s="15" t="str">
        <f>IFERROR(__xludf.DUMMYFUNCTION("""COMPUTED_VALUE"""),"Inés Falabella")</f>
        <v>Inés Falabella</v>
      </c>
      <c r="H3317" s="16">
        <f>IFERROR(__xludf.DUMMYFUNCTION("""COMPUTED_VALUE"""),11743.0)</f>
        <v>11743</v>
      </c>
      <c r="I3317" s="18">
        <f>IFERROR(__xludf.DUMMYFUNCTION("""COMPUTED_VALUE"""),10.0)</f>
        <v>10</v>
      </c>
      <c r="J3317" s="18">
        <f>IFERROR(__xludf.DUMMYFUNCTION("""COMPUTED_VALUE"""),10.0)</f>
        <v>10</v>
      </c>
      <c r="K3317" s="18">
        <f>IFERROR(__xludf.DUMMYFUNCTION("""COMPUTED_VALUE"""),15.0)</f>
        <v>15</v>
      </c>
      <c r="L3317" s="17">
        <f>IFERROR(__xludf.DUMMYFUNCTION("""COMPUTED_VALUE"""),3.155050104E9)</f>
        <v>3155050104</v>
      </c>
      <c r="M3317" s="17" t="str">
        <f>IFERROR(__xludf.DUMMYFUNCTION("""COMPUTED_VALUE"""),"#REF!")</f>
        <v>#REF!</v>
      </c>
      <c r="N3317" s="17"/>
      <c r="O3317" s="17"/>
      <c r="P3317" s="17" t="b">
        <f>IFERROR(__xludf.DUMMYFUNCTION("""COMPUTED_VALUE"""),TRUE)</f>
        <v>1</v>
      </c>
      <c r="Q3317" s="20">
        <f>IFERROR(__xludf.DUMMYFUNCTION("""COMPUTED_VALUE"""),45113.74319565972)</f>
        <v>45113.7432</v>
      </c>
      <c r="R3317" s="21" t="str">
        <f>IFERROR(__xludf.DUMMYFUNCTION("""COMPUTED_VALUE"""),"https://drive.google.com/file/d/1Rdi5HtN4rnrPHQws3S27y_iT66WuB7AC/view?usp=drivesdk")</f>
        <v>https://drive.google.com/file/d/1Rdi5HtN4rnrPHQws3S27y_iT66WuB7AC/view?usp=drivesdk</v>
      </c>
    </row>
    <row r="3318">
      <c r="A3318" s="15">
        <f>IFERROR(__xludf.DUMMYFUNCTION("""COMPUTED_VALUE"""),45098.0)</f>
        <v>45098</v>
      </c>
      <c r="B3318" s="16" t="str">
        <f>IFERROR(__xludf.DUMMYFUNCTION("""COMPUTED_VALUE"""),"Johan Alexander Escobar Arroyo ")</f>
        <v>Johan Alexander Escobar Arroyo </v>
      </c>
      <c r="C3318" s="15" t="str">
        <f>IFERROR(__xludf.DUMMYFUNCTION("""COMPUTED_VALUE"""),"CALI")</f>
        <v>CALI</v>
      </c>
      <c r="D3318" s="15" t="str">
        <f>IFERROR(__xludf.DUMMYFUNCTION("""COMPUTED_VALUE"""),"BOGOTÁ")</f>
        <v>BOGOTÁ</v>
      </c>
      <c r="E3318" s="15" t="str">
        <f>IFERROR(__xludf.DUMMYFUNCTION("""COMPUTED_VALUE"""),"Helados Socos")</f>
        <v>Helados Socos</v>
      </c>
      <c r="F3318" s="17" t="str">
        <f>IFERROR(__xludf.DUMMYFUNCTION("""COMPUTED_VALUE"""),"Cra 106 # 12 A - 43 / Torre 3 apto 701 / Ciudad Jardín")</f>
        <v>Cra 106 # 12 A - 43 / Torre 3 apto 701 / Ciudad Jardín</v>
      </c>
      <c r="G3318" s="15" t="str">
        <f>IFERROR(__xludf.DUMMYFUNCTION("""COMPUTED_VALUE"""),"María Juliana López")</f>
        <v>María Juliana López</v>
      </c>
      <c r="H3318" s="16">
        <f>IFERROR(__xludf.DUMMYFUNCTION("""COMPUTED_VALUE"""),11744.0)</f>
        <v>11744</v>
      </c>
      <c r="I3318" s="18">
        <f>IFERROR(__xludf.DUMMYFUNCTION("""COMPUTED_VALUE"""),10.0)</f>
        <v>10</v>
      </c>
      <c r="J3318" s="18">
        <f>IFERROR(__xludf.DUMMYFUNCTION("""COMPUTED_VALUE"""),10.0)</f>
        <v>10</v>
      </c>
      <c r="K3318" s="18">
        <f>IFERROR(__xludf.DUMMYFUNCTION("""COMPUTED_VALUE"""),15.0)</f>
        <v>15</v>
      </c>
      <c r="L3318" s="17">
        <f>IFERROR(__xludf.DUMMYFUNCTION("""COMPUTED_VALUE"""),3.182755577E9)</f>
        <v>3182755577</v>
      </c>
      <c r="M3318" s="17" t="str">
        <f>IFERROR(__xludf.DUMMYFUNCTION("""COMPUTED_VALUE"""),"#REF!")</f>
        <v>#REF!</v>
      </c>
      <c r="N3318" s="17"/>
      <c r="O3318" s="17"/>
      <c r="P3318" s="17" t="b">
        <f>IFERROR(__xludf.DUMMYFUNCTION("""COMPUTED_VALUE"""),TRUE)</f>
        <v>1</v>
      </c>
      <c r="Q3318" s="20">
        <f>IFERROR(__xludf.DUMMYFUNCTION("""COMPUTED_VALUE"""),45113.74319565972)</f>
        <v>45113.7432</v>
      </c>
      <c r="R3318" s="21" t="str">
        <f>IFERROR(__xludf.DUMMYFUNCTION("""COMPUTED_VALUE"""),"https://drive.google.com/file/d/1NPBO3Njfqk7ION64osicn06ImdUNyZs3/view?usp=drivesdk")</f>
        <v>https://drive.google.com/file/d/1NPBO3Njfqk7ION64osicn06ImdUNyZs3/view?usp=drivesdk</v>
      </c>
    </row>
    <row r="3319">
      <c r="A3319" s="15">
        <f>IFERROR(__xludf.DUMMYFUNCTION("""COMPUTED_VALUE"""),45098.0)</f>
        <v>45098</v>
      </c>
      <c r="B3319" s="16" t="str">
        <f>IFERROR(__xludf.DUMMYFUNCTION("""COMPUTED_VALUE"""),"Johan Alexander Escobar Arroyo ")</f>
        <v>Johan Alexander Escobar Arroyo </v>
      </c>
      <c r="C3319" s="15" t="str">
        <f>IFERROR(__xludf.DUMMYFUNCTION("""COMPUTED_VALUE"""),"CALI")</f>
        <v>CALI</v>
      </c>
      <c r="D3319" s="15" t="str">
        <f>IFERROR(__xludf.DUMMYFUNCTION("""COMPUTED_VALUE"""),"BOGOTÁ")</f>
        <v>BOGOTÁ</v>
      </c>
      <c r="E3319" s="15" t="str">
        <f>IFERROR(__xludf.DUMMYFUNCTION("""COMPUTED_VALUE"""),"Helados Socos")</f>
        <v>Helados Socos</v>
      </c>
      <c r="F3319" s="17" t="str">
        <f>IFERROR(__xludf.DUMMYFUNCTION("""COMPUTED_VALUE"""),"Cra 50 # 8 F - 50  / apto 903 Edificio Torre Galeón  / Cali")</f>
        <v>Cra 50 # 8 F - 50  / apto 903 Edificio Torre Galeón  / Cali</v>
      </c>
      <c r="G3319" s="15" t="str">
        <f>IFERROR(__xludf.DUMMYFUNCTION("""COMPUTED_VALUE"""),"Samira Ruiz")</f>
        <v>Samira Ruiz</v>
      </c>
      <c r="H3319" s="16">
        <f>IFERROR(__xludf.DUMMYFUNCTION("""COMPUTED_VALUE"""),11802.0)</f>
        <v>11802</v>
      </c>
      <c r="I3319" s="18">
        <f>IFERROR(__xludf.DUMMYFUNCTION("""COMPUTED_VALUE"""),10.0)</f>
        <v>10</v>
      </c>
      <c r="J3319" s="18">
        <f>IFERROR(__xludf.DUMMYFUNCTION("""COMPUTED_VALUE"""),10.0)</f>
        <v>10</v>
      </c>
      <c r="K3319" s="18">
        <f>IFERROR(__xludf.DUMMYFUNCTION("""COMPUTED_VALUE"""),15.0)</f>
        <v>15</v>
      </c>
      <c r="L3319" s="17">
        <f>IFERROR(__xludf.DUMMYFUNCTION("""COMPUTED_VALUE"""),3.182406004E9)</f>
        <v>3182406004</v>
      </c>
      <c r="M3319" s="17" t="str">
        <f>IFERROR(__xludf.DUMMYFUNCTION("""COMPUTED_VALUE"""),"#REF!")</f>
        <v>#REF!</v>
      </c>
      <c r="N3319" s="17"/>
      <c r="O3319" s="17"/>
      <c r="P3319" s="17" t="b">
        <f>IFERROR(__xludf.DUMMYFUNCTION("""COMPUTED_VALUE"""),FALSE)</f>
        <v>0</v>
      </c>
      <c r="Q3319" s="20" t="str">
        <f>IFERROR(__xludf.DUMMYFUNCTION("""COMPUTED_VALUE"""),"")</f>
        <v/>
      </c>
      <c r="R3319" s="21" t="str">
        <f>IFERROR(__xludf.DUMMYFUNCTION("""COMPUTED_VALUE"""),"https://drive.google.com/file/d/170ur2SNCsBvKvVYWgPO8sODwNx9pzrPg/view?usp=drivesdk")</f>
        <v>https://drive.google.com/file/d/170ur2SNCsBvKvVYWgPO8sODwNx9pzrPg/view?usp=drivesdk</v>
      </c>
    </row>
    <row r="3320">
      <c r="A3320" s="15">
        <f>IFERROR(__xludf.DUMMYFUNCTION("""COMPUTED_VALUE"""),45098.0)</f>
        <v>45098</v>
      </c>
      <c r="B3320" s="16" t="str">
        <f>IFERROR(__xludf.DUMMYFUNCTION("""COMPUTED_VALUE"""),"Johan Alexander Escobar Arroyo ")</f>
        <v>Johan Alexander Escobar Arroyo </v>
      </c>
      <c r="C3320" s="15" t="str">
        <f>IFERROR(__xludf.DUMMYFUNCTION("""COMPUTED_VALUE"""),"CALI")</f>
        <v>CALI</v>
      </c>
      <c r="D3320" s="15" t="str">
        <f>IFERROR(__xludf.DUMMYFUNCTION("""COMPUTED_VALUE"""),"BOGOTÁ")</f>
        <v>BOGOTÁ</v>
      </c>
      <c r="E3320" s="15" t="str">
        <f>IFERROR(__xludf.DUMMYFUNCTION("""COMPUTED_VALUE"""),"Ins. Alimento Vital")</f>
        <v>Ins. Alimento Vital</v>
      </c>
      <c r="F3320" s="17" t="str">
        <f>IFERROR(__xludf.DUMMYFUNCTION("""COMPUTED_VALUE"""),"CL 34 N 2BN 33 / BODEGA / BARRIO SAN VICENTE")</f>
        <v>CL 34 N 2BN 33 / BODEGA / BARRIO SAN VICENTE</v>
      </c>
      <c r="G3320" s="15" t="str">
        <f>IFERROR(__xludf.DUMMYFUNCTION("""COMPUTED_VALUE"""),"VELOCITY CALI")</f>
        <v>VELOCITY CALI</v>
      </c>
      <c r="H3320" s="16">
        <f>IFERROR(__xludf.DUMMYFUNCTION("""COMPUTED_VALUE"""),11837.0)</f>
        <v>11837</v>
      </c>
      <c r="I3320" s="18">
        <f>IFERROR(__xludf.DUMMYFUNCTION("""COMPUTED_VALUE"""),1.0)</f>
        <v>1</v>
      </c>
      <c r="J3320" s="18">
        <f>IFERROR(__xludf.DUMMYFUNCTION("""COMPUTED_VALUE"""),1.0)</f>
        <v>1</v>
      </c>
      <c r="K3320" s="18">
        <f>IFERROR(__xludf.DUMMYFUNCTION("""COMPUTED_VALUE"""),1.0)</f>
        <v>1</v>
      </c>
      <c r="L3320" s="17">
        <f>IFERROR(__xludf.DUMMYFUNCTION("""COMPUTED_VALUE"""),3.117591055E9)</f>
        <v>3117591055</v>
      </c>
      <c r="M3320" s="17" t="str">
        <f>IFERROR(__xludf.DUMMYFUNCTION("""COMPUTED_VALUE"""),"#REF!")</f>
        <v>#REF!</v>
      </c>
      <c r="N3320" s="17"/>
      <c r="O3320" s="17"/>
      <c r="P3320" s="17" t="b">
        <f>IFERROR(__xludf.DUMMYFUNCTION("""COMPUTED_VALUE"""),TRUE)</f>
        <v>1</v>
      </c>
      <c r="Q3320" s="20">
        <f>IFERROR(__xludf.DUMMYFUNCTION("""COMPUTED_VALUE"""),45113.74461840278)</f>
        <v>45113.74462</v>
      </c>
      <c r="R3320" s="22" t="str">
        <f>IFERROR(__xludf.DUMMYFUNCTION("""COMPUTED_VALUE"""),"")</f>
        <v/>
      </c>
    </row>
    <row r="3321">
      <c r="A3321" s="15">
        <f>IFERROR(__xludf.DUMMYFUNCTION("""COMPUTED_VALUE"""),45098.0)</f>
        <v>45098</v>
      </c>
      <c r="B3321" s="16" t="str">
        <f>IFERROR(__xludf.DUMMYFUNCTION("""COMPUTED_VALUE"""),"Johan Alexander Escobar Arroyo ")</f>
        <v>Johan Alexander Escobar Arroyo </v>
      </c>
      <c r="C3321" s="15" t="str">
        <f>IFERROR(__xludf.DUMMYFUNCTION("""COMPUTED_VALUE"""),"CALI")</f>
        <v>CALI</v>
      </c>
      <c r="D3321" s="15" t="str">
        <f>IFERROR(__xludf.DUMMYFUNCTION("""COMPUTED_VALUE"""),"BOGOTÁ")</f>
        <v>BOGOTÁ</v>
      </c>
      <c r="E3321" s="15" t="str">
        <f>IFERROR(__xludf.DUMMYFUNCTION("""COMPUTED_VALUE"""),"Monttü")</f>
        <v>Monttü</v>
      </c>
      <c r="F3321" s="17" t="str">
        <f>IFERROR(__xludf.DUMMYFUNCTION("""COMPUTED_VALUE"""),"Cra 83c #46-31 / Apto 618 Torre 3 / Barrio El caney")</f>
        <v>Cra 83c #46-31 / Apto 618 Torre 3 / Barrio El caney</v>
      </c>
      <c r="G3321" s="15" t="str">
        <f>IFERROR(__xludf.DUMMYFUNCTION("""COMPUTED_VALUE"""),"Vanessa Mercado Rubio")</f>
        <v>Vanessa Mercado Rubio</v>
      </c>
      <c r="H3321" s="16">
        <f>IFERROR(__xludf.DUMMYFUNCTION("""COMPUTED_VALUE"""),11824.0)</f>
        <v>11824</v>
      </c>
      <c r="I3321" s="18">
        <f>IFERROR(__xludf.DUMMYFUNCTION("""COMPUTED_VALUE"""),13.0)</f>
        <v>13</v>
      </c>
      <c r="J3321" s="18">
        <f>IFERROR(__xludf.DUMMYFUNCTION("""COMPUTED_VALUE"""),15.0)</f>
        <v>15</v>
      </c>
      <c r="K3321" s="18">
        <f>IFERROR(__xludf.DUMMYFUNCTION("""COMPUTED_VALUE"""),22.0)</f>
        <v>22</v>
      </c>
      <c r="L3321" s="17">
        <f>IFERROR(__xludf.DUMMYFUNCTION("""COMPUTED_VALUE"""),3.105452523E9)</f>
        <v>3105452523</v>
      </c>
      <c r="M3321" s="17" t="str">
        <f>IFERROR(__xludf.DUMMYFUNCTION("""COMPUTED_VALUE"""),"#REF!")</f>
        <v>#REF!</v>
      </c>
      <c r="N3321" s="17"/>
      <c r="O3321" s="17"/>
      <c r="P3321" s="17" t="b">
        <f>IFERROR(__xludf.DUMMYFUNCTION("""COMPUTED_VALUE"""),TRUE)</f>
        <v>1</v>
      </c>
      <c r="Q3321" s="20">
        <f>IFERROR(__xludf.DUMMYFUNCTION("""COMPUTED_VALUE"""),45113.74466949074)</f>
        <v>45113.74467</v>
      </c>
      <c r="R3321" s="21" t="str">
        <f>IFERROR(__xludf.DUMMYFUNCTION("""COMPUTED_VALUE"""),"https://drive.google.com/file/d/1joUqJg-ITccYa7_nuAZk6QmXFoHvIRXO/view?usp=drivesdk")</f>
        <v>https://drive.google.com/file/d/1joUqJg-ITccYa7_nuAZk6QmXFoHvIRXO/view?usp=drivesdk</v>
      </c>
    </row>
    <row r="3322">
      <c r="A3322" s="15">
        <f>IFERROR(__xludf.DUMMYFUNCTION("""COMPUTED_VALUE"""),45098.0)</f>
        <v>45098</v>
      </c>
      <c r="B3322" s="16" t="str">
        <f>IFERROR(__xludf.DUMMYFUNCTION("""COMPUTED_VALUE"""),"Johan Alexander Escobar Arroyo ")</f>
        <v>Johan Alexander Escobar Arroyo </v>
      </c>
      <c r="C3322" s="15" t="str">
        <f>IFERROR(__xludf.DUMMYFUNCTION("""COMPUTED_VALUE"""),"IBAGUÉ")</f>
        <v>IBAGUÉ</v>
      </c>
      <c r="D3322" s="15" t="str">
        <f>IFERROR(__xludf.DUMMYFUNCTION("""COMPUTED_VALUE"""),"MEDELLÍN")</f>
        <v>MEDELLÍN</v>
      </c>
      <c r="E3322" s="15" t="str">
        <f>IFERROR(__xludf.DUMMYFUNCTION("""COMPUTED_VALUE"""),"Baby Chef")</f>
        <v>Baby Chef</v>
      </c>
      <c r="F3322" s="17" t="str">
        <f>IFERROR(__xludf.DUMMYFUNCTION("""COMPUTED_VALUE"""),"Mz c casa 13 brisas del pedregal Casa 13 segundo piso Ibague / ""Mz c casa 13 brisas del pedregal Casa 13 segundo piso Ibague"" / ""Mz c casa 13 brisas del pedregal Casa 13 segundo piso Ibague""")</f>
        <v>Mz c casa 13 brisas del pedregal Casa 13 segundo piso Ibague / "Mz c casa 13 brisas del pedregal Casa 13 segundo piso Ibague" / "Mz c casa 13 brisas del pedregal Casa 13 segundo piso Ibague"</v>
      </c>
      <c r="G3322" s="15" t="str">
        <f>IFERROR(__xludf.DUMMYFUNCTION("""COMPUTED_VALUE"""),"Marcela Guevara")</f>
        <v>Marcela Guevara</v>
      </c>
      <c r="H3322" s="16">
        <f>IFERROR(__xludf.DUMMYFUNCTION("""COMPUTED_VALUE"""),11914.0)</f>
        <v>11914</v>
      </c>
      <c r="I3322" s="18">
        <f>IFERROR(__xludf.DUMMYFUNCTION("""COMPUTED_VALUE"""),8.0)</f>
        <v>8</v>
      </c>
      <c r="J3322" s="18">
        <f>IFERROR(__xludf.DUMMYFUNCTION("""COMPUTED_VALUE"""),16.0)</f>
        <v>16</v>
      </c>
      <c r="K3322" s="18">
        <f>IFERROR(__xludf.DUMMYFUNCTION("""COMPUTED_VALUE"""),20.0)</f>
        <v>20</v>
      </c>
      <c r="L3322" s="17">
        <f>IFERROR(__xludf.DUMMYFUNCTION("""COMPUTED_VALUE"""),3.21352719E9)</f>
        <v>3213527190</v>
      </c>
      <c r="M3322" s="17" t="str">
        <f>IFERROR(__xludf.DUMMYFUNCTION("""COMPUTED_VALUE"""),"#REF!")</f>
        <v>#REF!</v>
      </c>
      <c r="N3322" s="17"/>
      <c r="O3322" s="17"/>
      <c r="P3322" s="17" t="b">
        <f>IFERROR(__xludf.DUMMYFUNCTION("""COMPUTED_VALUE"""),FALSE)</f>
        <v>0</v>
      </c>
      <c r="Q3322" s="20" t="str">
        <f>IFERROR(__xludf.DUMMYFUNCTION("""COMPUTED_VALUE"""),"")</f>
        <v/>
      </c>
      <c r="R3322" s="21" t="str">
        <f>IFERROR(__xludf.DUMMYFUNCTION("""COMPUTED_VALUE"""),"https://drive.google.com/file/d/1MPEMQ59X2eBmw_LZCowlK5abAx5xLgaF/view?usp=drivesdk")</f>
        <v>https://drive.google.com/file/d/1MPEMQ59X2eBmw_LZCowlK5abAx5xLgaF/view?usp=drivesdk</v>
      </c>
    </row>
    <row r="3323">
      <c r="A3323" s="15">
        <f>IFERROR(__xludf.DUMMYFUNCTION("""COMPUTED_VALUE"""),45098.0)</f>
        <v>45098</v>
      </c>
      <c r="B3323" s="16" t="str">
        <f>IFERROR(__xludf.DUMMYFUNCTION("""COMPUTED_VALUE"""),"Johan Alexander Escobar Arroyo ")</f>
        <v>Johan Alexander Escobar Arroyo </v>
      </c>
      <c r="C3323" s="15" t="str">
        <f>IFERROR(__xludf.DUMMYFUNCTION("""COMPUTED_VALUE"""),"IBAGUÉ")</f>
        <v>IBAGUÉ</v>
      </c>
      <c r="D3323" s="15" t="str">
        <f>IFERROR(__xludf.DUMMYFUNCTION("""COMPUTED_VALUE"""),"MEDELLÍN")</f>
        <v>MEDELLÍN</v>
      </c>
      <c r="E3323" s="15" t="str">
        <f>IFERROR(__xludf.DUMMYFUNCTION("""COMPUTED_VALUE"""),"Rambla")</f>
        <v>Rambla</v>
      </c>
      <c r="F3323" s="17" t="str">
        <f>IFERROR(__xludf.DUMMYFUNCTION("""COMPUTED_VALUE"""),"Cra 14 #75A-29 local 5 estancia del vergel ibague - Tolima / NA / NA")</f>
        <v>Cra 14 #75A-29 local 5 estancia del vergel ibague - Tolima / NA / NA</v>
      </c>
      <c r="G3323" s="15" t="str">
        <f>IFERROR(__xludf.DUMMYFUNCTION("""COMPUTED_VALUE"""),"Soy natural market fit")</f>
        <v>Soy natural market fit</v>
      </c>
      <c r="H3323" s="16">
        <f>IFERROR(__xludf.DUMMYFUNCTION("""COMPUTED_VALUE"""),11900.0)</f>
        <v>11900</v>
      </c>
      <c r="I3323" s="18">
        <f>IFERROR(__xludf.DUMMYFUNCTION("""COMPUTED_VALUE"""),25.0)</f>
        <v>25</v>
      </c>
      <c r="J3323" s="18">
        <f>IFERROR(__xludf.DUMMYFUNCTION("""COMPUTED_VALUE"""),27.0)</f>
        <v>27</v>
      </c>
      <c r="K3323" s="18">
        <f>IFERROR(__xludf.DUMMYFUNCTION("""COMPUTED_VALUE"""),30.0)</f>
        <v>30</v>
      </c>
      <c r="L3323" s="17">
        <f>IFERROR(__xludf.DUMMYFUNCTION("""COMPUTED_VALUE"""),3.177002909E9)</f>
        <v>3177002909</v>
      </c>
      <c r="M3323" s="17" t="str">
        <f>IFERROR(__xludf.DUMMYFUNCTION("""COMPUTED_VALUE"""),"#REF!")</f>
        <v>#REF!</v>
      </c>
      <c r="N3323" s="17"/>
      <c r="O3323" s="17"/>
      <c r="P3323" s="17" t="b">
        <f>IFERROR(__xludf.DUMMYFUNCTION("""COMPUTED_VALUE"""),TRUE)</f>
        <v>1</v>
      </c>
      <c r="Q3323" s="20">
        <f>IFERROR(__xludf.DUMMYFUNCTION("""COMPUTED_VALUE"""),45113.74471753472)</f>
        <v>45113.74472</v>
      </c>
      <c r="R3323" s="21" t="str">
        <f>IFERROR(__xludf.DUMMYFUNCTION("""COMPUTED_VALUE"""),"https://drive.google.com/file/d/1gGAF_VWiBwStxSZfYWEwIATekQ9F19q3/view?usp=drivesdk")</f>
        <v>https://drive.google.com/file/d/1gGAF_VWiBwStxSZfYWEwIATekQ9F19q3/view?usp=drivesdk</v>
      </c>
    </row>
    <row r="3324">
      <c r="A3324" s="17" t="str">
        <f>IFERROR(__xludf.DUMMYFUNCTION("""COMPUTED_VALUE"""),"")</f>
        <v/>
      </c>
      <c r="B3324" s="17" t="str">
        <f>IFERROR(__xludf.DUMMYFUNCTION("""COMPUTED_VALUE"""),"")</f>
        <v/>
      </c>
      <c r="C3324" s="17" t="str">
        <f>IFERROR(__xludf.DUMMYFUNCTION("""COMPUTED_VALUE"""),"")</f>
        <v/>
      </c>
      <c r="D3324" s="17" t="str">
        <f>IFERROR(__xludf.DUMMYFUNCTION("""COMPUTED_VALUE"""),"")</f>
        <v/>
      </c>
      <c r="E3324" s="17" t="str">
        <f>IFERROR(__xludf.DUMMYFUNCTION("""COMPUTED_VALUE"""),"")</f>
        <v/>
      </c>
      <c r="F3324" s="17" t="str">
        <f>IFERROR(__xludf.DUMMYFUNCTION("""COMPUTED_VALUE"""),"")</f>
        <v/>
      </c>
      <c r="G3324" s="17" t="str">
        <f>IFERROR(__xludf.DUMMYFUNCTION("""COMPUTED_VALUE"""),"")</f>
        <v/>
      </c>
      <c r="H3324" s="17" t="str">
        <f>IFERROR(__xludf.DUMMYFUNCTION("""COMPUTED_VALUE"""),"")</f>
        <v/>
      </c>
      <c r="I3324" s="17" t="str">
        <f>IFERROR(__xludf.DUMMYFUNCTION("""COMPUTED_VALUE"""),"")</f>
        <v/>
      </c>
      <c r="J3324" s="17" t="str">
        <f>IFERROR(__xludf.DUMMYFUNCTION("""COMPUTED_VALUE"""),"")</f>
        <v/>
      </c>
      <c r="K3324" s="17" t="str">
        <f>IFERROR(__xludf.DUMMYFUNCTION("""COMPUTED_VALUE"""),"")</f>
        <v/>
      </c>
      <c r="L3324" s="17" t="str">
        <f>IFERROR(__xludf.DUMMYFUNCTION("""COMPUTED_VALUE"""),"")</f>
        <v/>
      </c>
      <c r="M3324" s="17" t="str">
        <f>IFERROR(__xludf.DUMMYFUNCTION("""COMPUTED_VALUE"""),"")</f>
        <v/>
      </c>
      <c r="N3324" s="17" t="str">
        <f>IFERROR(__xludf.DUMMYFUNCTION("""COMPUTED_VALUE"""),"")</f>
        <v/>
      </c>
      <c r="O3324" s="17" t="str">
        <f>IFERROR(__xludf.DUMMYFUNCTION("""COMPUTED_VALUE"""),"")</f>
        <v/>
      </c>
      <c r="P3324" s="17" t="str">
        <f>IFERROR(__xludf.DUMMYFUNCTION("""COMPUTED_VALUE"""),"")</f>
        <v/>
      </c>
      <c r="Q3324" s="17" t="str">
        <f>IFERROR(__xludf.DUMMYFUNCTION("""COMPUTED_VALUE"""),"")</f>
        <v/>
      </c>
      <c r="R3324" s="17" t="str">
        <f>IFERROR(__xludf.DUMMYFUNCTION("""COMPUTED_VALUE"""),"")</f>
        <v/>
      </c>
    </row>
    <row r="3325">
      <c r="A3325" s="15">
        <f>IFERROR(__xludf.DUMMYFUNCTION("""COMPUTED_VALUE"""),45098.0)</f>
        <v>45098</v>
      </c>
      <c r="B3325" s="16" t="str">
        <f>IFERROR(__xludf.DUMMYFUNCTION("""COMPUTED_VALUE"""),"Jonathan Steven Taborda")</f>
        <v>Jonathan Steven Taborda</v>
      </c>
      <c r="C3325" s="15" t="str">
        <f>IFERROR(__xludf.DUMMYFUNCTION("""COMPUTED_VALUE"""),"ARMENIA")</f>
        <v>ARMENIA</v>
      </c>
      <c r="D3325" s="15" t="str">
        <f>IFERROR(__xludf.DUMMYFUNCTION("""COMPUTED_VALUE"""),"BOGOTÁ")</f>
        <v>BOGOTÁ</v>
      </c>
      <c r="E3325" s="15" t="str">
        <f>IFERROR(__xludf.DUMMYFUNCTION("""COMPUTED_VALUE"""),"Pan de Waffle")</f>
        <v>Pan de Waffle</v>
      </c>
      <c r="F3325" s="17" t="str">
        <f>IFERROR(__xludf.DUMMYFUNCTION("""COMPUTED_VALUE"""),"CL 5 NORTE 18 A 88 CC BAMBUSA LC 32 / CL 5 NORTE 18 A 88 CC BAMBUSA LC 32 / CL 5 NORTE 18 A 88 CC BAMBUSA LC 32")</f>
        <v>CL 5 NORTE 18 A 88 CC BAMBUSA LC 32 / CL 5 NORTE 18 A 88 CC BAMBUSA LC 32 / CL 5 NORTE 18 A 88 CC BAMBUSA LC 32</v>
      </c>
      <c r="G3325" s="15" t="str">
        <f>IFERROR(__xludf.DUMMYFUNCTION("""COMPUTED_VALUE"""),"FEEL FIT")</f>
        <v>FEEL FIT</v>
      </c>
      <c r="H3325" s="16">
        <f>IFERROR(__xludf.DUMMYFUNCTION("""COMPUTED_VALUE"""),11874.0)</f>
        <v>11874</v>
      </c>
      <c r="I3325" s="18">
        <f>IFERROR(__xludf.DUMMYFUNCTION("""COMPUTED_VALUE"""),40.0)</f>
        <v>40</v>
      </c>
      <c r="J3325" s="18">
        <f>IFERROR(__xludf.DUMMYFUNCTION("""COMPUTED_VALUE"""),40.0)</f>
        <v>40</v>
      </c>
      <c r="K3325" s="18">
        <f>IFERROR(__xludf.DUMMYFUNCTION("""COMPUTED_VALUE"""),30.0)</f>
        <v>30</v>
      </c>
      <c r="L3325" s="17">
        <f>IFERROR(__xludf.DUMMYFUNCTION("""COMPUTED_VALUE"""),3.113745588E9)</f>
        <v>3113745588</v>
      </c>
      <c r="M3325" s="17" t="str">
        <f>IFERROR(__xludf.DUMMYFUNCTION("""COMPUTED_VALUE"""),"#REF!")</f>
        <v>#REF!</v>
      </c>
      <c r="N3325" s="17"/>
      <c r="O3325" s="17"/>
      <c r="P3325" s="17" t="b">
        <f>IFERROR(__xludf.DUMMYFUNCTION("""COMPUTED_VALUE"""),FALSE)</f>
        <v>0</v>
      </c>
      <c r="Q3325" s="20" t="str">
        <f>IFERROR(__xludf.DUMMYFUNCTION("""COMPUTED_VALUE"""),"")</f>
        <v/>
      </c>
      <c r="R3325" s="21" t="str">
        <f>IFERROR(__xludf.DUMMYFUNCTION("""COMPUTED_VALUE"""),"https://drive.google.com/file/d/10csPVdORv2XQ8mczXS2OEWh4mNuVdD5U/view?usp=drivesdk")</f>
        <v>https://drive.google.com/file/d/10csPVdORv2XQ8mczXS2OEWh4mNuVdD5U/view?usp=drivesdk</v>
      </c>
    </row>
    <row r="3326">
      <c r="A3326" s="15">
        <f>IFERROR(__xludf.DUMMYFUNCTION("""COMPUTED_VALUE"""),45098.0)</f>
        <v>45098</v>
      </c>
      <c r="B3326" s="16" t="str">
        <f>IFERROR(__xludf.DUMMYFUNCTION("""COMPUTED_VALUE"""),"Jonathan Steven Taborda")</f>
        <v>Jonathan Steven Taborda</v>
      </c>
      <c r="C3326" s="15" t="str">
        <f>IFERROR(__xludf.DUMMYFUNCTION("""COMPUTED_VALUE"""),"ARMENIA")</f>
        <v>ARMENIA</v>
      </c>
      <c r="D3326" s="15" t="str">
        <f>IFERROR(__xludf.DUMMYFUNCTION("""COMPUTED_VALUE"""),"BOGOTÁ")</f>
        <v>BOGOTÁ</v>
      </c>
      <c r="E3326" s="15" t="str">
        <f>IFERROR(__xludf.DUMMYFUNCTION("""COMPUTED_VALUE"""),"Top Spun")</f>
        <v>Top Spun</v>
      </c>
      <c r="F3326" s="17" t="str">
        <f>IFERROR(__xludf.DUMMYFUNCTION("""COMPUTED_VALUE"""),"Km. 2.6 vía al valle. A 15km de Armenia y 17km del Parque del Cafe / Hotel Mocawa Resort /  La Tebaida")</f>
        <v>Km. 2.6 vía al valle. A 15km de Armenia y 17km del Parque del Cafe / Hotel Mocawa Resort /  La Tebaida</v>
      </c>
      <c r="G3326" s="15" t="str">
        <f>IFERROR(__xludf.DUMMYFUNCTION("""COMPUTED_VALUE"""),"Yessika Milena Rojas Villegas")</f>
        <v>Yessika Milena Rojas Villegas</v>
      </c>
      <c r="H3326" s="16">
        <f>IFERROR(__xludf.DUMMYFUNCTION("""COMPUTED_VALUE"""),11806.0)</f>
        <v>11806</v>
      </c>
      <c r="I3326" s="18">
        <f>IFERROR(__xludf.DUMMYFUNCTION("""COMPUTED_VALUE"""),20.0)</f>
        <v>20</v>
      </c>
      <c r="J3326" s="18">
        <f>IFERROR(__xludf.DUMMYFUNCTION("""COMPUTED_VALUE"""),10.0)</f>
        <v>10</v>
      </c>
      <c r="K3326" s="18">
        <f>IFERROR(__xludf.DUMMYFUNCTION("""COMPUTED_VALUE"""),40.0)</f>
        <v>40</v>
      </c>
      <c r="L3326" s="17">
        <f>IFERROR(__xludf.DUMMYFUNCTION("""COMPUTED_VALUE"""),3.212400946E9)</f>
        <v>3212400946</v>
      </c>
      <c r="M3326" s="17" t="str">
        <f>IFERROR(__xludf.DUMMYFUNCTION("""COMPUTED_VALUE"""),"#REF!")</f>
        <v>#REF!</v>
      </c>
      <c r="N3326" s="17"/>
      <c r="O3326" s="17"/>
      <c r="P3326" s="17" t="b">
        <f>IFERROR(__xludf.DUMMYFUNCTION("""COMPUTED_VALUE"""),FALSE)</f>
        <v>0</v>
      </c>
      <c r="Q3326" s="20" t="str">
        <f>IFERROR(__xludf.DUMMYFUNCTION("""COMPUTED_VALUE"""),"")</f>
        <v/>
      </c>
      <c r="R3326" s="21" t="str">
        <f>IFERROR(__xludf.DUMMYFUNCTION("""COMPUTED_VALUE"""),"https://drive.google.com/file/d/1nlQe3Gx93fEu1ni11s9MASI55iUvwc4t/view?usp=drivesdk")</f>
        <v>https://drive.google.com/file/d/1nlQe3Gx93fEu1ni11s9MASI55iUvwc4t/view?usp=drivesdk</v>
      </c>
    </row>
    <row r="3327">
      <c r="A3327" s="15">
        <f>IFERROR(__xludf.DUMMYFUNCTION("""COMPUTED_VALUE"""),45098.0)</f>
        <v>45098</v>
      </c>
      <c r="B3327" s="16" t="str">
        <f>IFERROR(__xludf.DUMMYFUNCTION("""COMPUTED_VALUE"""),"Jonathan Steven Taborda")</f>
        <v>Jonathan Steven Taborda</v>
      </c>
      <c r="C3327" s="15" t="str">
        <f>IFERROR(__xludf.DUMMYFUNCTION("""COMPUTED_VALUE"""),"ARMENIA")</f>
        <v>ARMENIA</v>
      </c>
      <c r="D3327" s="15" t="str">
        <f>IFERROR(__xludf.DUMMYFUNCTION("""COMPUTED_VALUE"""),"MEDELLÍN")</f>
        <v>MEDELLÍN</v>
      </c>
      <c r="E3327" s="15" t="str">
        <f>IFERROR(__xludf.DUMMYFUNCTION("""COMPUTED_VALUE"""),"AREPAS LA MARY")</f>
        <v>AREPAS LA MARY</v>
      </c>
      <c r="F3327" s="17" t="str">
        <f>IFERROR(__xludf.DUMMYFUNCTION("""COMPUTED_VALUE"""),"calle 3ra norte # 15-10esquina")</f>
        <v>calle 3ra norte # 15-10esquina</v>
      </c>
      <c r="G3327" s="15" t="str">
        <f>IFERROR(__xludf.DUMMYFUNCTION("""COMPUTED_VALUE"""),"ayni diseño de arte y cafe")</f>
        <v>ayni diseño de arte y cafe</v>
      </c>
      <c r="H3327" s="16">
        <f>IFERROR(__xludf.DUMMYFUNCTION("""COMPUTED_VALUE"""),11841.0)</f>
        <v>11841</v>
      </c>
      <c r="I3327" s="18">
        <f>IFERROR(__xludf.DUMMYFUNCTION("""COMPUTED_VALUE"""),89.0)</f>
        <v>89</v>
      </c>
      <c r="J3327" s="18">
        <f>IFERROR(__xludf.DUMMYFUNCTION("""COMPUTED_VALUE"""),1.0)</f>
        <v>1</v>
      </c>
      <c r="K3327" s="18">
        <f>IFERROR(__xludf.DUMMYFUNCTION("""COMPUTED_VALUE"""),10.0)</f>
        <v>10</v>
      </c>
      <c r="L3327" s="17">
        <f>IFERROR(__xludf.DUMMYFUNCTION("""COMPUTED_VALUE"""),3.016571819E9)</f>
        <v>3016571819</v>
      </c>
      <c r="M3327" s="17" t="str">
        <f>IFERROR(__xludf.DUMMYFUNCTION("""COMPUTED_VALUE"""),"#REF!")</f>
        <v>#REF!</v>
      </c>
      <c r="N3327" s="17"/>
      <c r="O3327" s="17"/>
      <c r="P3327" s="17" t="b">
        <f>IFERROR(__xludf.DUMMYFUNCTION("""COMPUTED_VALUE"""),FALSE)</f>
        <v>0</v>
      </c>
      <c r="Q3327" s="20" t="str">
        <f>IFERROR(__xludf.DUMMYFUNCTION("""COMPUTED_VALUE"""),"")</f>
        <v/>
      </c>
      <c r="R3327" s="21" t="str">
        <f>IFERROR(__xludf.DUMMYFUNCTION("""COMPUTED_VALUE"""),"https://drive.google.com/file/d/1unA0EJeJ4oEAIAgRaEtHPzS9bmkfU06d/view?usp=drivesdk")</f>
        <v>https://drive.google.com/file/d/1unA0EJeJ4oEAIAgRaEtHPzS9bmkfU06d/view?usp=drivesdk</v>
      </c>
    </row>
    <row r="3328">
      <c r="A3328" s="15">
        <f>IFERROR(__xludf.DUMMYFUNCTION("""COMPUTED_VALUE"""),45098.0)</f>
        <v>45098</v>
      </c>
      <c r="B3328" s="16" t="str">
        <f>IFERROR(__xludf.DUMMYFUNCTION("""COMPUTED_VALUE"""),"Jonathan Steven Taborda")</f>
        <v>Jonathan Steven Taborda</v>
      </c>
      <c r="C3328" s="15" t="str">
        <f>IFERROR(__xludf.DUMMYFUNCTION("""COMPUTED_VALUE"""),"CAJICÁ")</f>
        <v>CAJICÁ</v>
      </c>
      <c r="D3328" s="15" t="str">
        <f>IFERROR(__xludf.DUMMYFUNCTION("""COMPUTED_VALUE"""),"MEDELLÍN")</f>
        <v>MEDELLÍN</v>
      </c>
      <c r="E3328" s="15" t="str">
        <f>IFERROR(__xludf.DUMMYFUNCTION("""COMPUTED_VALUE"""),"Rambla")</f>
        <v>Rambla</v>
      </c>
      <c r="F3328" s="17" t="str">
        <f>IFERROR(__xludf.DUMMYFUNCTION("""COMPUTED_VALUE"""),"Km 1.5 via Chia Cajica 100 mts antes de Fontanar / NA / NA")</f>
        <v>Km 1.5 via Chia Cajica 100 mts antes de Fontanar / NA / NA</v>
      </c>
      <c r="G3328" s="15" t="str">
        <f>IFERROR(__xludf.DUMMYFUNCTION("""COMPUTED_VALUE"""),"The Choice Natural")</f>
        <v>The Choice Natural</v>
      </c>
      <c r="H3328" s="16">
        <f>IFERROR(__xludf.DUMMYFUNCTION("""COMPUTED_VALUE"""),11901.0)</f>
        <v>11901</v>
      </c>
      <c r="I3328" s="18">
        <f>IFERROR(__xludf.DUMMYFUNCTION("""COMPUTED_VALUE"""),22.0)</f>
        <v>22</v>
      </c>
      <c r="J3328" s="18">
        <f>IFERROR(__xludf.DUMMYFUNCTION("""COMPUTED_VALUE"""),25.0)</f>
        <v>25</v>
      </c>
      <c r="K3328" s="18">
        <f>IFERROR(__xludf.DUMMYFUNCTION("""COMPUTED_VALUE"""),27.0)</f>
        <v>27</v>
      </c>
      <c r="L3328" s="17">
        <f>IFERROR(__xludf.DUMMYFUNCTION("""COMPUTED_VALUE"""),3.212415592E9)</f>
        <v>3212415592</v>
      </c>
      <c r="M3328" s="17" t="str">
        <f>IFERROR(__xludf.DUMMYFUNCTION("""COMPUTED_VALUE"""),"#REF!")</f>
        <v>#REF!</v>
      </c>
      <c r="N3328" s="17"/>
      <c r="O3328" s="17"/>
      <c r="P3328" s="17" t="b">
        <f>IFERROR(__xludf.DUMMYFUNCTION("""COMPUTED_VALUE"""),FALSE)</f>
        <v>0</v>
      </c>
      <c r="Q3328" s="20" t="str">
        <f>IFERROR(__xludf.DUMMYFUNCTION("""COMPUTED_VALUE"""),"")</f>
        <v/>
      </c>
      <c r="R3328" s="21" t="str">
        <f>IFERROR(__xludf.DUMMYFUNCTION("""COMPUTED_VALUE"""),"https://drive.google.com/file/d/1-uqBXPFf5vDuYIQ1Ru3rQM-0igZxrMQh/view?usp=drivesdk")</f>
        <v>https://drive.google.com/file/d/1-uqBXPFf5vDuYIQ1Ru3rQM-0igZxrMQh/view?usp=drivesdk</v>
      </c>
    </row>
    <row r="3329">
      <c r="A3329" s="17" t="str">
        <f>IFERROR(__xludf.DUMMYFUNCTION("""COMPUTED_VALUE"""),"")</f>
        <v/>
      </c>
      <c r="B3329" s="17" t="str">
        <f>IFERROR(__xludf.DUMMYFUNCTION("""COMPUTED_VALUE"""),"")</f>
        <v/>
      </c>
      <c r="C3329" s="17" t="str">
        <f>IFERROR(__xludf.DUMMYFUNCTION("""COMPUTED_VALUE"""),"")</f>
        <v/>
      </c>
      <c r="D3329" s="17" t="str">
        <f>IFERROR(__xludf.DUMMYFUNCTION("""COMPUTED_VALUE"""),"")</f>
        <v/>
      </c>
      <c r="E3329" s="17" t="str">
        <f>IFERROR(__xludf.DUMMYFUNCTION("""COMPUTED_VALUE"""),"")</f>
        <v/>
      </c>
      <c r="F3329" s="17" t="str">
        <f>IFERROR(__xludf.DUMMYFUNCTION("""COMPUTED_VALUE"""),"")</f>
        <v/>
      </c>
      <c r="G3329" s="17" t="str">
        <f>IFERROR(__xludf.DUMMYFUNCTION("""COMPUTED_VALUE"""),"")</f>
        <v/>
      </c>
      <c r="H3329" s="17" t="str">
        <f>IFERROR(__xludf.DUMMYFUNCTION("""COMPUTED_VALUE"""),"")</f>
        <v/>
      </c>
      <c r="I3329" s="17" t="str">
        <f>IFERROR(__xludf.DUMMYFUNCTION("""COMPUTED_VALUE"""),"")</f>
        <v/>
      </c>
      <c r="J3329" s="17" t="str">
        <f>IFERROR(__xludf.DUMMYFUNCTION("""COMPUTED_VALUE"""),"")</f>
        <v/>
      </c>
      <c r="K3329" s="17" t="str">
        <f>IFERROR(__xludf.DUMMYFUNCTION("""COMPUTED_VALUE"""),"")</f>
        <v/>
      </c>
      <c r="L3329" s="17" t="str">
        <f>IFERROR(__xludf.DUMMYFUNCTION("""COMPUTED_VALUE"""),"")</f>
        <v/>
      </c>
      <c r="M3329" s="17" t="str">
        <f>IFERROR(__xludf.DUMMYFUNCTION("""COMPUTED_VALUE"""),"")</f>
        <v/>
      </c>
      <c r="N3329" s="17" t="str">
        <f>IFERROR(__xludf.DUMMYFUNCTION("""COMPUTED_VALUE"""),"")</f>
        <v/>
      </c>
      <c r="O3329" s="17" t="str">
        <f>IFERROR(__xludf.DUMMYFUNCTION("""COMPUTED_VALUE"""),"")</f>
        <v/>
      </c>
      <c r="P3329" s="17" t="str">
        <f>IFERROR(__xludf.DUMMYFUNCTION("""COMPUTED_VALUE"""),"")</f>
        <v/>
      </c>
      <c r="Q3329" s="17" t="str">
        <f>IFERROR(__xludf.DUMMYFUNCTION("""COMPUTED_VALUE"""),"")</f>
        <v/>
      </c>
      <c r="R3329" s="17" t="str">
        <f>IFERROR(__xludf.DUMMYFUNCTION("""COMPUTED_VALUE"""),"")</f>
        <v/>
      </c>
    </row>
    <row r="3330">
      <c r="A3330" s="15">
        <f>IFERROR(__xludf.DUMMYFUNCTION("""COMPUTED_VALUE"""),45098.0)</f>
        <v>45098</v>
      </c>
      <c r="B3330" s="16" t="str">
        <f>IFERROR(__xludf.DUMMYFUNCTION("""COMPUTED_VALUE"""),"José Miguel Bonilla")</f>
        <v>José Miguel Bonilla</v>
      </c>
      <c r="C3330" s="15" t="str">
        <f>IFERROR(__xludf.DUMMYFUNCTION("""COMPUTED_VALUE"""),"BUCARAMANGA")</f>
        <v>BUCARAMANGA</v>
      </c>
      <c r="D3330" s="15" t="str">
        <f>IFERROR(__xludf.DUMMYFUNCTION("""COMPUTED_VALUE"""),"BOGOTÁ")</f>
        <v>BOGOTÁ</v>
      </c>
      <c r="E3330" s="15" t="str">
        <f>IFERROR(__xludf.DUMMYFUNCTION("""COMPUTED_VALUE"""),"Ins. Alimento Vital")</f>
        <v>Ins. Alimento Vital</v>
      </c>
      <c r="F3330" s="17" t="str">
        <f>IFERROR(__xludf.DUMMYFUNCTION("""COMPUTED_VALUE"""),"CL 31 30 08 / AP 501 AURORA ROYAL / AURORA ROYAL")</f>
        <v>CL 31 30 08 / AP 501 AURORA ROYAL / AURORA ROYAL</v>
      </c>
      <c r="G3330" s="15" t="str">
        <f>IFERROR(__xludf.DUMMYFUNCTION("""COMPUTED_VALUE"""),"LARRY ALBERTO LOPEZ MACANA")</f>
        <v>LARRY ALBERTO LOPEZ MACANA</v>
      </c>
      <c r="H3330" s="16">
        <f>IFERROR(__xludf.DUMMYFUNCTION("""COMPUTED_VALUE"""),11844.0)</f>
        <v>11844</v>
      </c>
      <c r="I3330" s="18">
        <f>IFERROR(__xludf.DUMMYFUNCTION("""COMPUTED_VALUE"""),1.0)</f>
        <v>1</v>
      </c>
      <c r="J3330" s="18">
        <f>IFERROR(__xludf.DUMMYFUNCTION("""COMPUTED_VALUE"""),1.0)</f>
        <v>1</v>
      </c>
      <c r="K3330" s="18">
        <f>IFERROR(__xludf.DUMMYFUNCTION("""COMPUTED_VALUE"""),1.0)</f>
        <v>1</v>
      </c>
      <c r="L3330" s="17">
        <f>IFERROR(__xludf.DUMMYFUNCTION("""COMPUTED_VALUE"""),3.185709801E9)</f>
        <v>3185709801</v>
      </c>
      <c r="M3330" s="17" t="str">
        <f>IFERROR(__xludf.DUMMYFUNCTION("""COMPUTED_VALUE"""),"#REF!")</f>
        <v>#REF!</v>
      </c>
      <c r="N3330" s="17"/>
      <c r="O3330" s="17"/>
      <c r="P3330" s="17" t="b">
        <f>IFERROR(__xludf.DUMMYFUNCTION("""COMPUTED_VALUE"""),FALSE)</f>
        <v>0</v>
      </c>
      <c r="Q3330" s="20" t="str">
        <f>IFERROR(__xludf.DUMMYFUNCTION("""COMPUTED_VALUE"""),"")</f>
        <v/>
      </c>
      <c r="R3330" s="21" t="str">
        <f>IFERROR(__xludf.DUMMYFUNCTION("""COMPUTED_VALUE"""),"https://drive.google.com/file/d/1HBcl9GtxMLTyat_fHKoSDKQXHrPZIeSY/view?usp=drivesdk")</f>
        <v>https://drive.google.com/file/d/1HBcl9GtxMLTyat_fHKoSDKQXHrPZIeSY/view?usp=drivesdk</v>
      </c>
    </row>
    <row r="3331">
      <c r="A3331" s="15">
        <f>IFERROR(__xludf.DUMMYFUNCTION("""COMPUTED_VALUE"""),45098.0)</f>
        <v>45098</v>
      </c>
      <c r="B3331" s="16" t="str">
        <f>IFERROR(__xludf.DUMMYFUNCTION("""COMPUTED_VALUE"""),"José Miguel Bonilla")</f>
        <v>José Miguel Bonilla</v>
      </c>
      <c r="C3331" s="15" t="str">
        <f>IFERROR(__xludf.DUMMYFUNCTION("""COMPUTED_VALUE"""),"FLORIDABLANCA")</f>
        <v>FLORIDABLANCA</v>
      </c>
      <c r="D3331" s="15" t="str">
        <f>IFERROR(__xludf.DUMMYFUNCTION("""COMPUTED_VALUE"""),"BOGOTÁ")</f>
        <v>BOGOTÁ</v>
      </c>
      <c r="E3331" s="15" t="str">
        <f>IFERROR(__xludf.DUMMYFUNCTION("""COMPUTED_VALUE"""),"Asociacion Agropecuaria Juana Maria")</f>
        <v>Asociacion Agropecuaria Juana Maria</v>
      </c>
      <c r="F3331" s="17" t="str">
        <f>IFERROR(__xludf.DUMMYFUNCTION("""COMPUTED_VALUE"""),"Calle 19 #11-37 Guanatá FLORIDABLANCA")</f>
        <v>Calle 19 #11-37 Guanatá FLORIDABLANCA</v>
      </c>
      <c r="G3331" s="15" t="str">
        <f>IFERROR(__xludf.DUMMYFUNCTION("""COMPUTED_VALUE"""),"Claudia Gonzalez")</f>
        <v>Claudia Gonzalez</v>
      </c>
      <c r="H3331" s="16">
        <f>IFERROR(__xludf.DUMMYFUNCTION("""COMPUTED_VALUE"""),11817.0)</f>
        <v>11817</v>
      </c>
      <c r="I3331" s="18">
        <f>IFERROR(__xludf.DUMMYFUNCTION("""COMPUTED_VALUE"""),21.0)</f>
        <v>21</v>
      </c>
      <c r="J3331" s="18">
        <f>IFERROR(__xludf.DUMMYFUNCTION("""COMPUTED_VALUE"""),37.0)</f>
        <v>37</v>
      </c>
      <c r="K3331" s="18">
        <f>IFERROR(__xludf.DUMMYFUNCTION("""COMPUTED_VALUE"""),30.0)</f>
        <v>30</v>
      </c>
      <c r="L3331" s="17">
        <f>IFERROR(__xludf.DUMMYFUNCTION("""COMPUTED_VALUE"""),3.002802001E9)</f>
        <v>3002802001</v>
      </c>
      <c r="M3331" s="17" t="str">
        <f>IFERROR(__xludf.DUMMYFUNCTION("""COMPUTED_VALUE"""),"#REF!")</f>
        <v>#REF!</v>
      </c>
      <c r="N3331" s="17"/>
      <c r="O3331" s="17"/>
      <c r="P3331" s="17" t="b">
        <f>IFERROR(__xludf.DUMMYFUNCTION("""COMPUTED_VALUE"""),FALSE)</f>
        <v>0</v>
      </c>
      <c r="Q3331" s="20" t="str">
        <f>IFERROR(__xludf.DUMMYFUNCTION("""COMPUTED_VALUE"""),"")</f>
        <v/>
      </c>
      <c r="R3331" s="21" t="str">
        <f>IFERROR(__xludf.DUMMYFUNCTION("""COMPUTED_VALUE"""),"https://drive.google.com/file/d/1L2r3oYGC-yHwiy-p-P2Apba3DccVh9oX/view?usp=drivesdk")</f>
        <v>https://drive.google.com/file/d/1L2r3oYGC-yHwiy-p-P2Apba3DccVh9oX/view?usp=drivesdk</v>
      </c>
    </row>
    <row r="3332">
      <c r="A3332" s="15">
        <f>IFERROR(__xludf.DUMMYFUNCTION("""COMPUTED_VALUE"""),45098.0)</f>
        <v>45098</v>
      </c>
      <c r="B3332" s="16" t="str">
        <f>IFERROR(__xludf.DUMMYFUNCTION("""COMPUTED_VALUE"""),"José Miguel Bonilla")</f>
        <v>José Miguel Bonilla</v>
      </c>
      <c r="C3332" s="15" t="str">
        <f>IFERROR(__xludf.DUMMYFUNCTION("""COMPUTED_VALUE"""),"FLORIDABLANCA")</f>
        <v>FLORIDABLANCA</v>
      </c>
      <c r="D3332" s="15" t="str">
        <f>IFERROR(__xludf.DUMMYFUNCTION("""COMPUTED_VALUE"""),"BOGOTÁ")</f>
        <v>BOGOTÁ</v>
      </c>
      <c r="E3332" s="15" t="str">
        <f>IFERROR(__xludf.DUMMYFUNCTION("""COMPUTED_VALUE"""),"Asociacion Agropecuaria Juana Maria")</f>
        <v>Asociacion Agropecuaria Juana Maria</v>
      </c>
      <c r="F3332" s="17" t="str">
        <f>IFERROR(__xludf.DUMMYFUNCTION("""COMPUTED_VALUE"""),"Calle 19 #11-37 Guanatá FLORIDABLANCA")</f>
        <v>Calle 19 #11-37 Guanatá FLORIDABLANCA</v>
      </c>
      <c r="G3332" s="15" t="str">
        <f>IFERROR(__xludf.DUMMYFUNCTION("""COMPUTED_VALUE"""),"Claudia Gonzalez")</f>
        <v>Claudia Gonzalez</v>
      </c>
      <c r="H3332" s="16">
        <f>IFERROR(__xludf.DUMMYFUNCTION("""COMPUTED_VALUE"""),11818.0)</f>
        <v>11818</v>
      </c>
      <c r="I3332" s="18">
        <f>IFERROR(__xludf.DUMMYFUNCTION("""COMPUTED_VALUE"""),12.0)</f>
        <v>12</v>
      </c>
      <c r="J3332" s="18">
        <f>IFERROR(__xludf.DUMMYFUNCTION("""COMPUTED_VALUE"""),37.0)</f>
        <v>37</v>
      </c>
      <c r="K3332" s="18">
        <f>IFERROR(__xludf.DUMMYFUNCTION("""COMPUTED_VALUE"""),24.0)</f>
        <v>24</v>
      </c>
      <c r="L3332" s="17">
        <f>IFERROR(__xludf.DUMMYFUNCTION("""COMPUTED_VALUE"""),3.002802001E9)</f>
        <v>3002802001</v>
      </c>
      <c r="M3332" s="17" t="str">
        <f>IFERROR(__xludf.DUMMYFUNCTION("""COMPUTED_VALUE"""),"#REF!")</f>
        <v>#REF!</v>
      </c>
      <c r="N3332" s="17"/>
      <c r="O3332" s="17"/>
      <c r="P3332" s="17" t="b">
        <f>IFERROR(__xludf.DUMMYFUNCTION("""COMPUTED_VALUE"""),FALSE)</f>
        <v>0</v>
      </c>
      <c r="Q3332" s="20" t="str">
        <f>IFERROR(__xludf.DUMMYFUNCTION("""COMPUTED_VALUE"""),"")</f>
        <v/>
      </c>
      <c r="R3332" s="21" t="str">
        <f>IFERROR(__xludf.DUMMYFUNCTION("""COMPUTED_VALUE"""),"https://drive.google.com/file/d/172zAjuO0TuzgZTkp5PqYm29Jzoo-9DMY/view?usp=drivesdk")</f>
        <v>https://drive.google.com/file/d/172zAjuO0TuzgZTkp5PqYm29Jzoo-9DMY/view?usp=drivesdk</v>
      </c>
    </row>
    <row r="3333">
      <c r="A3333" s="15">
        <f>IFERROR(__xludf.DUMMYFUNCTION("""COMPUTED_VALUE"""),45098.0)</f>
        <v>45098</v>
      </c>
      <c r="B3333" s="16" t="str">
        <f>IFERROR(__xludf.DUMMYFUNCTION("""COMPUTED_VALUE"""),"José Miguel Bonilla")</f>
        <v>José Miguel Bonilla</v>
      </c>
      <c r="C3333" s="15" t="str">
        <f>IFERROR(__xludf.DUMMYFUNCTION("""COMPUTED_VALUE"""),"FLORIDABLANCA")</f>
        <v>FLORIDABLANCA</v>
      </c>
      <c r="D3333" s="15" t="str">
        <f>IFERROR(__xludf.DUMMYFUNCTION("""COMPUTED_VALUE"""),"MEDELLÍN")</f>
        <v>MEDELLÍN</v>
      </c>
      <c r="E3333" s="15" t="str">
        <f>IFERROR(__xludf.DUMMYFUNCTION("""COMPUTED_VALUE"""),"Goyo Todo por ellos")</f>
        <v>Goyo Todo por ellos</v>
      </c>
      <c r="F3333" s="17" t="str">
        <f>IFERROR(__xludf.DUMMYFUNCTION("""COMPUTED_VALUE"""),"Carrera 21 #158-65 / Conjunto Tayrona 1. Torre 4. Apto 702. / Barrio Cañaveral")</f>
        <v>Carrera 21 #158-65 / Conjunto Tayrona 1. Torre 4. Apto 702. / Barrio Cañaveral</v>
      </c>
      <c r="G3333" s="15" t="str">
        <f>IFERROR(__xludf.DUMMYFUNCTION("""COMPUTED_VALUE"""),"Savina Andrea Vergel tarazona")</f>
        <v>Savina Andrea Vergel tarazona</v>
      </c>
      <c r="H3333" s="16">
        <f>IFERROR(__xludf.DUMMYFUNCTION("""COMPUTED_VALUE"""),11896.0)</f>
        <v>11896</v>
      </c>
      <c r="I3333" s="18">
        <f>IFERROR(__xludf.DUMMYFUNCTION("""COMPUTED_VALUE"""),14.0)</f>
        <v>14</v>
      </c>
      <c r="J3333" s="18">
        <f>IFERROR(__xludf.DUMMYFUNCTION("""COMPUTED_VALUE"""),28.0)</f>
        <v>28</v>
      </c>
      <c r="K3333" s="18">
        <f>IFERROR(__xludf.DUMMYFUNCTION("""COMPUTED_VALUE"""),26.0)</f>
        <v>26</v>
      </c>
      <c r="L3333" s="17">
        <f>IFERROR(__xludf.DUMMYFUNCTION("""COMPUTED_VALUE"""),3.15687232E9)</f>
        <v>3156872320</v>
      </c>
      <c r="M3333" s="17" t="str">
        <f>IFERROR(__xludf.DUMMYFUNCTION("""COMPUTED_VALUE"""),"#REF!")</f>
        <v>#REF!</v>
      </c>
      <c r="N3333" s="17"/>
      <c r="O3333" s="17"/>
      <c r="P3333" s="17" t="b">
        <f>IFERROR(__xludf.DUMMYFUNCTION("""COMPUTED_VALUE"""),FALSE)</f>
        <v>0</v>
      </c>
      <c r="Q3333" s="20" t="str">
        <f>IFERROR(__xludf.DUMMYFUNCTION("""COMPUTED_VALUE"""),"")</f>
        <v/>
      </c>
      <c r="R3333" s="21" t="str">
        <f>IFERROR(__xludf.DUMMYFUNCTION("""COMPUTED_VALUE"""),"https://drive.google.com/file/d/16fIQtMCIuoLazr7WDbfbMWl0_ec5XyiY/view?usp=drivesdk")</f>
        <v>https://drive.google.com/file/d/16fIQtMCIuoLazr7WDbfbMWl0_ec5XyiY/view?usp=drivesdk</v>
      </c>
    </row>
    <row r="3334">
      <c r="A3334" s="15">
        <f>IFERROR(__xludf.DUMMYFUNCTION("""COMPUTED_VALUE"""),45098.0)</f>
        <v>45098</v>
      </c>
      <c r="B3334" s="16" t="str">
        <f>IFERROR(__xludf.DUMMYFUNCTION("""COMPUTED_VALUE"""),"José Miguel Bonilla")</f>
        <v>José Miguel Bonilla</v>
      </c>
      <c r="C3334" s="15" t="str">
        <f>IFERROR(__xludf.DUMMYFUNCTION("""COMPUTED_VALUE"""),"FLORIDABLANCA")</f>
        <v>FLORIDABLANCA</v>
      </c>
      <c r="D3334" s="15" t="str">
        <f>IFERROR(__xludf.DUMMYFUNCTION("""COMPUTED_VALUE"""),"MEDELLÍN")</f>
        <v>MEDELLÍN</v>
      </c>
      <c r="E3334" s="15" t="str">
        <f>IFERROR(__xludf.DUMMYFUNCTION("""COMPUTED_VALUE"""),"Helados swip")</f>
        <v>Helados swip</v>
      </c>
      <c r="F3334" s="17" t="str">
        <f>IFERROR(__xludf.DUMMYFUNCTION("""COMPUTED_VALUE"""),"CALLE 31 # 22-97 / CLAUDIA PRADA / FIT STORE EXPRESS")</f>
        <v>CALLE 31 # 22-97 / CLAUDIA PRADA / FIT STORE EXPRESS</v>
      </c>
      <c r="G3334" s="15" t="str">
        <f>IFERROR(__xludf.DUMMYFUNCTION("""COMPUTED_VALUE"""),"FIT STORE EXPRESS CLAUDIA PRADA")</f>
        <v>FIT STORE EXPRESS CLAUDIA PRADA</v>
      </c>
      <c r="H3334" s="16">
        <f>IFERROR(__xludf.DUMMYFUNCTION("""COMPUTED_VALUE"""),11849.0)</f>
        <v>11849</v>
      </c>
      <c r="I3334" s="18">
        <f>IFERROR(__xludf.DUMMYFUNCTION("""COMPUTED_VALUE"""),29.0)</f>
        <v>29</v>
      </c>
      <c r="J3334" s="18">
        <f>IFERROR(__xludf.DUMMYFUNCTION("""COMPUTED_VALUE"""),55.0)</f>
        <v>55</v>
      </c>
      <c r="K3334" s="18">
        <f>IFERROR(__xludf.DUMMYFUNCTION("""COMPUTED_VALUE"""),45.0)</f>
        <v>45</v>
      </c>
      <c r="L3334" s="17">
        <f>IFERROR(__xludf.DUMMYFUNCTION("""COMPUTED_VALUE"""),3.005711168E9)</f>
        <v>3005711168</v>
      </c>
      <c r="M3334" s="17" t="str">
        <f>IFERROR(__xludf.DUMMYFUNCTION("""COMPUTED_VALUE"""),"#REF!")</f>
        <v>#REF!</v>
      </c>
      <c r="N3334" s="17"/>
      <c r="O3334" s="17"/>
      <c r="P3334" s="17" t="b">
        <f>IFERROR(__xludf.DUMMYFUNCTION("""COMPUTED_VALUE"""),FALSE)</f>
        <v>0</v>
      </c>
      <c r="Q3334" s="20" t="str">
        <f>IFERROR(__xludf.DUMMYFUNCTION("""COMPUTED_VALUE"""),"")</f>
        <v/>
      </c>
      <c r="R3334" s="21" t="str">
        <f>IFERROR(__xludf.DUMMYFUNCTION("""COMPUTED_VALUE"""),"https://drive.google.com/file/d/17RILJ8Kp3aXjsrD9EWJj5rKzpmj_WScI/view?usp=drivesdk")</f>
        <v>https://drive.google.com/file/d/17RILJ8Kp3aXjsrD9EWJj5rKzpmj_WScI/view?usp=drivesdk</v>
      </c>
    </row>
    <row r="3335">
      <c r="A3335" s="15">
        <f>IFERROR(__xludf.DUMMYFUNCTION("""COMPUTED_VALUE"""),45098.0)</f>
        <v>45098</v>
      </c>
      <c r="B3335" s="16" t="str">
        <f>IFERROR(__xludf.DUMMYFUNCTION("""COMPUTED_VALUE"""),"José Miguel Bonilla")</f>
        <v>José Miguel Bonilla</v>
      </c>
      <c r="C3335" s="15" t="str">
        <f>IFERROR(__xludf.DUMMYFUNCTION("""COMPUTED_VALUE"""),"PEREIRA")</f>
        <v>PEREIRA</v>
      </c>
      <c r="D3335" s="15" t="str">
        <f>IFERROR(__xludf.DUMMYFUNCTION("""COMPUTED_VALUE"""),"MEDELLÍN")</f>
        <v>MEDELLÍN</v>
      </c>
      <c r="E3335" s="15" t="str">
        <f>IFERROR(__xludf.DUMMYFUNCTION("""COMPUTED_VALUE"""),"Todo Bufala")</f>
        <v>Todo Bufala</v>
      </c>
      <c r="F3335" s="17" t="str">
        <f>IFERROR(__xludf.DUMMYFUNCTION("""COMPUTED_VALUE"""),"Cra 14 N 12-55 Circunvalar")</f>
        <v>Cra 14 N 12-55 Circunvalar</v>
      </c>
      <c r="G3335" s="15" t="str">
        <f>IFERROR(__xludf.DUMMYFUNCTION("""COMPUTED_VALUE"""),"Yeimi Jaramillo")</f>
        <v>Yeimi Jaramillo</v>
      </c>
      <c r="H3335" s="16">
        <f>IFERROR(__xludf.DUMMYFUNCTION("""COMPUTED_VALUE"""),11799.0)</f>
        <v>11799</v>
      </c>
      <c r="I3335" s="18">
        <f>IFERROR(__xludf.DUMMYFUNCTION("""COMPUTED_VALUE"""),20.0)</f>
        <v>20</v>
      </c>
      <c r="J3335" s="18">
        <f>IFERROR(__xludf.DUMMYFUNCTION("""COMPUTED_VALUE"""),30.0)</f>
        <v>30</v>
      </c>
      <c r="K3335" s="18">
        <f>IFERROR(__xludf.DUMMYFUNCTION("""COMPUTED_VALUE"""),40.0)</f>
        <v>40</v>
      </c>
      <c r="L3335" s="17">
        <f>IFERROR(__xludf.DUMMYFUNCTION("""COMPUTED_VALUE"""),3.14645528E9)</f>
        <v>3146455280</v>
      </c>
      <c r="M3335" s="17" t="str">
        <f>IFERROR(__xludf.DUMMYFUNCTION("""COMPUTED_VALUE"""),"#REF!")</f>
        <v>#REF!</v>
      </c>
      <c r="N3335" s="17"/>
      <c r="O3335" s="17"/>
      <c r="P3335" s="17" t="b">
        <f>IFERROR(__xludf.DUMMYFUNCTION("""COMPUTED_VALUE"""),FALSE)</f>
        <v>0</v>
      </c>
      <c r="Q3335" s="20" t="str">
        <f>IFERROR(__xludf.DUMMYFUNCTION("""COMPUTED_VALUE"""),"")</f>
        <v/>
      </c>
      <c r="R3335" s="21" t="str">
        <f>IFERROR(__xludf.DUMMYFUNCTION("""COMPUTED_VALUE"""),"https://drive.google.com/file/d/1wnFxgAiPHqZl4BWdlFBhmqjVyiyDSJO8/view?usp=drivesdk")</f>
        <v>https://drive.google.com/file/d/1wnFxgAiPHqZl4BWdlFBhmqjVyiyDSJO8/view?usp=drivesdk</v>
      </c>
    </row>
    <row r="3336">
      <c r="A3336" s="17" t="str">
        <f>IFERROR(__xludf.DUMMYFUNCTION("""COMPUTED_VALUE"""),"")</f>
        <v/>
      </c>
      <c r="B3336" s="17" t="str">
        <f>IFERROR(__xludf.DUMMYFUNCTION("""COMPUTED_VALUE"""),"")</f>
        <v/>
      </c>
      <c r="C3336" s="17" t="str">
        <f>IFERROR(__xludf.DUMMYFUNCTION("""COMPUTED_VALUE"""),"")</f>
        <v/>
      </c>
      <c r="D3336" s="17" t="str">
        <f>IFERROR(__xludf.DUMMYFUNCTION("""COMPUTED_VALUE"""),"")</f>
        <v/>
      </c>
      <c r="E3336" s="17" t="str">
        <f>IFERROR(__xludf.DUMMYFUNCTION("""COMPUTED_VALUE"""),"")</f>
        <v/>
      </c>
      <c r="F3336" s="17" t="str">
        <f>IFERROR(__xludf.DUMMYFUNCTION("""COMPUTED_VALUE"""),"")</f>
        <v/>
      </c>
      <c r="G3336" s="17" t="str">
        <f>IFERROR(__xludf.DUMMYFUNCTION("""COMPUTED_VALUE"""),"")</f>
        <v/>
      </c>
      <c r="H3336" s="17" t="str">
        <f>IFERROR(__xludf.DUMMYFUNCTION("""COMPUTED_VALUE"""),"")</f>
        <v/>
      </c>
      <c r="I3336" s="17" t="str">
        <f>IFERROR(__xludf.DUMMYFUNCTION("""COMPUTED_VALUE"""),"")</f>
        <v/>
      </c>
      <c r="J3336" s="17" t="str">
        <f>IFERROR(__xludf.DUMMYFUNCTION("""COMPUTED_VALUE"""),"")</f>
        <v/>
      </c>
      <c r="K3336" s="17" t="str">
        <f>IFERROR(__xludf.DUMMYFUNCTION("""COMPUTED_VALUE"""),"")</f>
        <v/>
      </c>
      <c r="L3336" s="17" t="str">
        <f>IFERROR(__xludf.DUMMYFUNCTION("""COMPUTED_VALUE"""),"")</f>
        <v/>
      </c>
      <c r="M3336" s="17" t="str">
        <f>IFERROR(__xludf.DUMMYFUNCTION("""COMPUTED_VALUE"""),"")</f>
        <v/>
      </c>
      <c r="N3336" s="17" t="str">
        <f>IFERROR(__xludf.DUMMYFUNCTION("""COMPUTED_VALUE"""),"")</f>
        <v/>
      </c>
      <c r="O3336" s="17" t="str">
        <f>IFERROR(__xludf.DUMMYFUNCTION("""COMPUTED_VALUE"""),"")</f>
        <v/>
      </c>
      <c r="P3336" s="17" t="str">
        <f>IFERROR(__xludf.DUMMYFUNCTION("""COMPUTED_VALUE"""),"")</f>
        <v/>
      </c>
      <c r="Q3336" s="17" t="str">
        <f>IFERROR(__xludf.DUMMYFUNCTION("""COMPUTED_VALUE"""),"")</f>
        <v/>
      </c>
      <c r="R3336" s="17" t="str">
        <f>IFERROR(__xludf.DUMMYFUNCTION("""COMPUTED_VALUE"""),"")</f>
        <v/>
      </c>
    </row>
    <row r="3337">
      <c r="A3337" s="15">
        <f>IFERROR(__xludf.DUMMYFUNCTION("""COMPUTED_VALUE"""),45098.0)</f>
        <v>45098</v>
      </c>
      <c r="B3337" s="16" t="str">
        <f>IFERROR(__xludf.DUMMYFUNCTION("""COMPUTED_VALUE"""),"Oscar Augusto Meneses Osias")</f>
        <v>Oscar Augusto Meneses Osias</v>
      </c>
      <c r="C3337" s="15" t="str">
        <f>IFERROR(__xludf.DUMMYFUNCTION("""COMPUTED_VALUE"""),"MEDELLÍN")</f>
        <v>MEDELLÍN</v>
      </c>
      <c r="D3337" s="15" t="str">
        <f>IFERROR(__xludf.DUMMYFUNCTION("""COMPUTED_VALUE"""),"BOGOTÁ")</f>
        <v>BOGOTÁ</v>
      </c>
      <c r="E3337" s="15" t="str">
        <f>IFERROR(__xludf.DUMMYFUNCTION("""COMPUTED_VALUE"""),"Asociacion Agropecuaria Juana Maria")</f>
        <v>Asociacion Agropecuaria Juana Maria</v>
      </c>
      <c r="F3337" s="17" t="str">
        <f>IFERROR(__xludf.DUMMYFUNCTION("""COMPUTED_VALUE"""),"CALLE 33AA # 78ª-124 APTO 301 EDIFICIO ONTARIO LAURELES")</f>
        <v>CALLE 33AA # 78ª-124 APTO 301 EDIFICIO ONTARIO LAURELES</v>
      </c>
      <c r="G3337" s="15" t="str">
        <f>IFERROR(__xludf.DUMMYFUNCTION("""COMPUTED_VALUE"""),"Yuliana Lopez")</f>
        <v>Yuliana Lopez</v>
      </c>
      <c r="H3337" s="16">
        <f>IFERROR(__xludf.DUMMYFUNCTION("""COMPUTED_VALUE"""),11815.0)</f>
        <v>11815</v>
      </c>
      <c r="I3337" s="18">
        <f>IFERROR(__xludf.DUMMYFUNCTION("""COMPUTED_VALUE"""),17.0)</f>
        <v>17</v>
      </c>
      <c r="J3337" s="18">
        <f>IFERROR(__xludf.DUMMYFUNCTION("""COMPUTED_VALUE"""),37.0)</f>
        <v>37</v>
      </c>
      <c r="K3337" s="18">
        <f>IFERROR(__xludf.DUMMYFUNCTION("""COMPUTED_VALUE"""),28.0)</f>
        <v>28</v>
      </c>
      <c r="L3337" s="17">
        <f>IFERROR(__xludf.DUMMYFUNCTION("""COMPUTED_VALUE"""),3.136078393E9)</f>
        <v>3136078393</v>
      </c>
      <c r="M3337" s="17" t="str">
        <f>IFERROR(__xludf.DUMMYFUNCTION("""COMPUTED_VALUE"""),"#REF!")</f>
        <v>#REF!</v>
      </c>
      <c r="N3337" s="17"/>
      <c r="O3337" s="17"/>
      <c r="P3337" s="17" t="b">
        <f>IFERROR(__xludf.DUMMYFUNCTION("""COMPUTED_VALUE"""),FALSE)</f>
        <v>0</v>
      </c>
      <c r="Q3337" s="20" t="str">
        <f>IFERROR(__xludf.DUMMYFUNCTION("""COMPUTED_VALUE"""),"")</f>
        <v/>
      </c>
      <c r="R3337" s="21" t="str">
        <f>IFERROR(__xludf.DUMMYFUNCTION("""COMPUTED_VALUE"""),"https://drive.google.com/file/d/1gPpYNbLKlJZzWIcEwgNymYx21N84HYsI/view?usp=drivesdk")</f>
        <v>https://drive.google.com/file/d/1gPpYNbLKlJZzWIcEwgNymYx21N84HYsI/view?usp=drivesdk</v>
      </c>
    </row>
    <row r="3338">
      <c r="A3338" s="15">
        <f>IFERROR(__xludf.DUMMYFUNCTION("""COMPUTED_VALUE"""),45098.0)</f>
        <v>45098</v>
      </c>
      <c r="B3338" s="16" t="str">
        <f>IFERROR(__xludf.DUMMYFUNCTION("""COMPUTED_VALUE"""),"Oscar Augusto Meneses Osias")</f>
        <v>Oscar Augusto Meneses Osias</v>
      </c>
      <c r="C3338" s="15" t="str">
        <f>IFERROR(__xludf.DUMMYFUNCTION("""COMPUTED_VALUE"""),"MEDELLÍN")</f>
        <v>MEDELLÍN</v>
      </c>
      <c r="D3338" s="15" t="str">
        <f>IFERROR(__xludf.DUMMYFUNCTION("""COMPUTED_VALUE"""),"BOGOTÁ")</f>
        <v>BOGOTÁ</v>
      </c>
      <c r="E3338" s="15" t="str">
        <f>IFERROR(__xludf.DUMMYFUNCTION("""COMPUTED_VALUE"""),"Asociacion Agropecuaria Juana Maria")</f>
        <v>Asociacion Agropecuaria Juana Maria</v>
      </c>
      <c r="F3338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3338" s="15" t="str">
        <f>IFERROR(__xludf.DUMMYFUNCTION("""COMPUTED_VALUE"""),"Jennifer Sanchez Blandon")</f>
        <v>Jennifer Sanchez Blandon</v>
      </c>
      <c r="H3338" s="16">
        <f>IFERROR(__xludf.DUMMYFUNCTION("""COMPUTED_VALUE"""),11813.0)</f>
        <v>11813</v>
      </c>
      <c r="I3338" s="18">
        <f>IFERROR(__xludf.DUMMYFUNCTION("""COMPUTED_VALUE"""),21.0)</f>
        <v>21</v>
      </c>
      <c r="J3338" s="18">
        <f>IFERROR(__xludf.DUMMYFUNCTION("""COMPUTED_VALUE"""),37.0)</f>
        <v>37</v>
      </c>
      <c r="K3338" s="18">
        <f>IFERROR(__xludf.DUMMYFUNCTION("""COMPUTED_VALUE"""),30.0)</f>
        <v>30</v>
      </c>
      <c r="L3338" s="17">
        <f>IFERROR(__xludf.DUMMYFUNCTION("""COMPUTED_VALUE"""),3.016937674E9)</f>
        <v>3016937674</v>
      </c>
      <c r="M3338" s="17" t="str">
        <f>IFERROR(__xludf.DUMMYFUNCTION("""COMPUTED_VALUE"""),"#REF!")</f>
        <v>#REF!</v>
      </c>
      <c r="N3338" s="17"/>
      <c r="O3338" s="17"/>
      <c r="P3338" s="17" t="b">
        <f>IFERROR(__xludf.DUMMYFUNCTION("""COMPUTED_VALUE"""),FALSE)</f>
        <v>0</v>
      </c>
      <c r="Q3338" s="20" t="str">
        <f>IFERROR(__xludf.DUMMYFUNCTION("""COMPUTED_VALUE"""),"")</f>
        <v/>
      </c>
      <c r="R3338" s="21" t="str">
        <f>IFERROR(__xludf.DUMMYFUNCTION("""COMPUTED_VALUE"""),"https://drive.google.com/file/d/1cFvjJTOVU5ZM5gD7t9ri1ibPJ17Vd8OX/view?usp=drivesdk")</f>
        <v>https://drive.google.com/file/d/1cFvjJTOVU5ZM5gD7t9ri1ibPJ17Vd8OX/view?usp=drivesdk</v>
      </c>
    </row>
    <row r="3339">
      <c r="A3339" s="15">
        <f>IFERROR(__xludf.DUMMYFUNCTION("""COMPUTED_VALUE"""),45098.0)</f>
        <v>45098</v>
      </c>
      <c r="B3339" s="16" t="str">
        <f>IFERROR(__xludf.DUMMYFUNCTION("""COMPUTED_VALUE"""),"Oscar Augusto Meneses Osias")</f>
        <v>Oscar Augusto Meneses Osias</v>
      </c>
      <c r="C3339" s="15" t="str">
        <f>IFERROR(__xludf.DUMMYFUNCTION("""COMPUTED_VALUE"""),"MEDELLÍN")</f>
        <v>MEDELLÍN</v>
      </c>
      <c r="D3339" s="15" t="str">
        <f>IFERROR(__xludf.DUMMYFUNCTION("""COMPUTED_VALUE"""),"BOGOTÁ")</f>
        <v>BOGOTÁ</v>
      </c>
      <c r="E3339" s="15" t="str">
        <f>IFERROR(__xludf.DUMMYFUNCTION("""COMPUTED_VALUE"""),"Diana Rodriguez")</f>
        <v>Diana Rodriguez</v>
      </c>
      <c r="F3339" s="17" t="str">
        <f>IFERROR(__xludf.DUMMYFUNCTION("""COMPUTED_VALUE"""),"Calle 10 B n. 37-29 / Hotel click clack / Provenza Poblado")</f>
        <v>Calle 10 B n. 37-29 / Hotel click clack / Provenza Poblado</v>
      </c>
      <c r="G3339" s="15" t="str">
        <f>IFERROR(__xludf.DUMMYFUNCTION("""COMPUTED_VALUE"""),"Michael Mejía")</f>
        <v>Michael Mejía</v>
      </c>
      <c r="H3339" s="16">
        <f>IFERROR(__xludf.DUMMYFUNCTION("""COMPUTED_VALUE"""),11804.0)</f>
        <v>11804</v>
      </c>
      <c r="I3339" s="18">
        <f>IFERROR(__xludf.DUMMYFUNCTION("""COMPUTED_VALUE"""),140.0)</f>
        <v>140</v>
      </c>
      <c r="J3339" s="18">
        <f>IFERROR(__xludf.DUMMYFUNCTION("""COMPUTED_VALUE"""),100.0)</f>
        <v>100</v>
      </c>
      <c r="K3339" s="18">
        <f>IFERROR(__xludf.DUMMYFUNCTION("""COMPUTED_VALUE"""),180.0)</f>
        <v>180</v>
      </c>
      <c r="L3339" s="17">
        <f>IFERROR(__xludf.DUMMYFUNCTION("""COMPUTED_VALUE"""),3.232793596E9)</f>
        <v>3232793596</v>
      </c>
      <c r="M3339" s="17" t="str">
        <f>IFERROR(__xludf.DUMMYFUNCTION("""COMPUTED_VALUE"""),"#REF!")</f>
        <v>#REF!</v>
      </c>
      <c r="N3339" s="17"/>
      <c r="O3339" s="17"/>
      <c r="P3339" s="17" t="b">
        <f>IFERROR(__xludf.DUMMYFUNCTION("""COMPUTED_VALUE"""),FALSE)</f>
        <v>0</v>
      </c>
      <c r="Q3339" s="20" t="str">
        <f>IFERROR(__xludf.DUMMYFUNCTION("""COMPUTED_VALUE"""),"")</f>
        <v/>
      </c>
      <c r="R3339" s="21" t="str">
        <f>IFERROR(__xludf.DUMMYFUNCTION("""COMPUTED_VALUE"""),"https://drive.google.com/file/d/1kb7uCZDIPdditvuV4kJaY2iqec1kb-ba/view?usp=drivesdk")</f>
        <v>https://drive.google.com/file/d/1kb7uCZDIPdditvuV4kJaY2iqec1kb-ba/view?usp=drivesdk</v>
      </c>
    </row>
    <row r="3340">
      <c r="A3340" s="15">
        <f>IFERROR(__xludf.DUMMYFUNCTION("""COMPUTED_VALUE"""),45098.0)</f>
        <v>45098</v>
      </c>
      <c r="B3340" s="16" t="str">
        <f>IFERROR(__xludf.DUMMYFUNCTION("""COMPUTED_VALUE"""),"Oscar Augusto Meneses Osias")</f>
        <v>Oscar Augusto Meneses Osias</v>
      </c>
      <c r="C3340" s="15" t="str">
        <f>IFERROR(__xludf.DUMMYFUNCTION("""COMPUTED_VALUE"""),"MEDELLÍN")</f>
        <v>MEDELLÍN</v>
      </c>
      <c r="D3340" s="15" t="str">
        <f>IFERROR(__xludf.DUMMYFUNCTION("""COMPUTED_VALUE"""),"BOGOTÁ")</f>
        <v>BOGOTÁ</v>
      </c>
      <c r="E3340" s="15" t="str">
        <f>IFERROR(__xludf.DUMMYFUNCTION("""COMPUTED_VALUE"""),"Evamazzita")</f>
        <v>Evamazzita</v>
      </c>
      <c r="F3340" s="17" t="str">
        <f>IFERROR(__xludf.DUMMYFUNCTION("""COMPUTED_VALUE"""),"CALLE 35 No. 69A - 33  / CALLE 35 No. 69A - 33  / SAN GABRIEL")</f>
        <v>CALLE 35 No. 69A - 33  / CALLE 35 No. 69A - 33  / SAN GABRIEL</v>
      </c>
      <c r="G3340" s="15" t="str">
        <f>IFERROR(__xludf.DUMMYFUNCTION("""COMPUTED_VALUE"""),"TATIANA QUINTERO ROJAS")</f>
        <v>TATIANA QUINTERO ROJAS</v>
      </c>
      <c r="H3340" s="16">
        <f>IFERROR(__xludf.DUMMYFUNCTION("""COMPUTED_VALUE"""),11858.0)</f>
        <v>11858</v>
      </c>
      <c r="I3340" s="18">
        <f>IFERROR(__xludf.DUMMYFUNCTION("""COMPUTED_VALUE"""),1.0)</f>
        <v>1</v>
      </c>
      <c r="J3340" s="18">
        <f>IFERROR(__xludf.DUMMYFUNCTION("""COMPUTED_VALUE"""),1.0)</f>
        <v>1</v>
      </c>
      <c r="K3340" s="18">
        <f>IFERROR(__xludf.DUMMYFUNCTION("""COMPUTED_VALUE"""),1.0)</f>
        <v>1</v>
      </c>
      <c r="L3340" s="17">
        <f>IFERROR(__xludf.DUMMYFUNCTION("""COMPUTED_VALUE"""),3.108485523E9)</f>
        <v>3108485523</v>
      </c>
      <c r="M3340" s="17" t="str">
        <f>IFERROR(__xludf.DUMMYFUNCTION("""COMPUTED_VALUE"""),"#REF!")</f>
        <v>#REF!</v>
      </c>
      <c r="N3340" s="17"/>
      <c r="O3340" s="17"/>
      <c r="P3340" s="17" t="b">
        <f>IFERROR(__xludf.DUMMYFUNCTION("""COMPUTED_VALUE"""),FALSE)</f>
        <v>0</v>
      </c>
      <c r="Q3340" s="20" t="str">
        <f>IFERROR(__xludf.DUMMYFUNCTION("""COMPUTED_VALUE"""),"")</f>
        <v/>
      </c>
      <c r="R3340" s="21" t="str">
        <f>IFERROR(__xludf.DUMMYFUNCTION("""COMPUTED_VALUE"""),"https://drive.google.com/file/d/1z54WMWQagRSTYLGlV_Rt6Gmx7vgbJwk2/view?usp=drivesdk")</f>
        <v>https://drive.google.com/file/d/1z54WMWQagRSTYLGlV_Rt6Gmx7vgbJwk2/view?usp=drivesdk</v>
      </c>
    </row>
    <row r="3341">
      <c r="A3341" s="15">
        <f>IFERROR(__xludf.DUMMYFUNCTION("""COMPUTED_VALUE"""),45098.0)</f>
        <v>45098</v>
      </c>
      <c r="B3341" s="16" t="str">
        <f>IFERROR(__xludf.DUMMYFUNCTION("""COMPUTED_VALUE"""),"Oscar Augusto Meneses Osias")</f>
        <v>Oscar Augusto Meneses Osias</v>
      </c>
      <c r="C3341" s="15" t="str">
        <f>IFERROR(__xludf.DUMMYFUNCTION("""COMPUTED_VALUE"""),"MEDELLÍN")</f>
        <v>MEDELLÍN</v>
      </c>
      <c r="D3341" s="15" t="str">
        <f>IFERROR(__xludf.DUMMYFUNCTION("""COMPUTED_VALUE"""),"BOGOTÁ")</f>
        <v>BOGOTÁ</v>
      </c>
      <c r="E3341" s="15" t="str">
        <f>IFERROR(__xludf.DUMMYFUNCTION("""COMPUTED_VALUE"""),"Evamazzita")</f>
        <v>Evamazzita</v>
      </c>
      <c r="F3341" s="17" t="str">
        <f>IFERROR(__xludf.DUMMYFUNCTION("""COMPUTED_VALUE"""),"calle 38b # 66-25  / apto 301  / Barrio villa lia- por la glorieta de ditaires")</f>
        <v>calle 38b # 66-25  / apto 301  / Barrio villa lia- por la glorieta de ditaires</v>
      </c>
      <c r="G3341" s="15" t="str">
        <f>IFERROR(__xludf.DUMMYFUNCTION("""COMPUTED_VALUE"""),"MARIA ELENA CONTRERAS MATTOS")</f>
        <v>MARIA ELENA CONTRERAS MATTOS</v>
      </c>
      <c r="H3341" s="16">
        <f>IFERROR(__xludf.DUMMYFUNCTION("""COMPUTED_VALUE"""),11859.0)</f>
        <v>11859</v>
      </c>
      <c r="I3341" s="18">
        <f>IFERROR(__xludf.DUMMYFUNCTION("""COMPUTED_VALUE"""),1.0)</f>
        <v>1</v>
      </c>
      <c r="J3341" s="18">
        <f>IFERROR(__xludf.DUMMYFUNCTION("""COMPUTED_VALUE"""),1.0)</f>
        <v>1</v>
      </c>
      <c r="K3341" s="18">
        <f>IFERROR(__xludf.DUMMYFUNCTION("""COMPUTED_VALUE"""),1.0)</f>
        <v>1</v>
      </c>
      <c r="L3341" s="17">
        <f>IFERROR(__xludf.DUMMYFUNCTION("""COMPUTED_VALUE"""),3.165204659E9)</f>
        <v>3165204659</v>
      </c>
      <c r="M3341" s="17" t="str">
        <f>IFERROR(__xludf.DUMMYFUNCTION("""COMPUTED_VALUE"""),"#REF!")</f>
        <v>#REF!</v>
      </c>
      <c r="N3341" s="17"/>
      <c r="O3341" s="17"/>
      <c r="P3341" s="17" t="b">
        <f>IFERROR(__xludf.DUMMYFUNCTION("""COMPUTED_VALUE"""),FALSE)</f>
        <v>0</v>
      </c>
      <c r="Q3341" s="20" t="str">
        <f>IFERROR(__xludf.DUMMYFUNCTION("""COMPUTED_VALUE"""),"")</f>
        <v/>
      </c>
      <c r="R3341" s="21" t="str">
        <f>IFERROR(__xludf.DUMMYFUNCTION("""COMPUTED_VALUE"""),"https://drive.google.com/file/d/1Io8FMZk2UBPDNdoqNTf4XbSi2hJebPMH/view?usp=drivesdk")</f>
        <v>https://drive.google.com/file/d/1Io8FMZk2UBPDNdoqNTf4XbSi2hJebPMH/view?usp=drivesdk</v>
      </c>
    </row>
    <row r="3342">
      <c r="A3342" s="15">
        <f>IFERROR(__xludf.DUMMYFUNCTION("""COMPUTED_VALUE"""),45098.0)</f>
        <v>45098</v>
      </c>
      <c r="B3342" s="16" t="str">
        <f>IFERROR(__xludf.DUMMYFUNCTION("""COMPUTED_VALUE"""),"Oscar Augusto Meneses Osias")</f>
        <v>Oscar Augusto Meneses Osias</v>
      </c>
      <c r="C3342" s="15" t="str">
        <f>IFERROR(__xludf.DUMMYFUNCTION("""COMPUTED_VALUE"""),"MEDELLÍN")</f>
        <v>MEDELLÍN</v>
      </c>
      <c r="D3342" s="15" t="str">
        <f>IFERROR(__xludf.DUMMYFUNCTION("""COMPUTED_VALUE"""),"BOGOTÁ")</f>
        <v>BOGOTÁ</v>
      </c>
      <c r="E3342" s="15" t="str">
        <f>IFERROR(__xludf.DUMMYFUNCTION("""COMPUTED_VALUE"""),"Evamazzita")</f>
        <v>Evamazzita</v>
      </c>
      <c r="F3342" s="17" t="str">
        <f>IFERROR(__xludf.DUMMYFUNCTION("""COMPUTED_VALUE"""),"CALLE 40C SUR No. 42 - 28  / CASA PRIMER PISO / BARRIO EL DORADO")</f>
        <v>CALLE 40C SUR No. 42 - 28  / CASA PRIMER PISO / BARRIO EL DORADO</v>
      </c>
      <c r="G3342" s="15" t="str">
        <f>IFERROR(__xludf.DUMMYFUNCTION("""COMPUTED_VALUE"""),"LIZETH ARANGO")</f>
        <v>LIZETH ARANGO</v>
      </c>
      <c r="H3342" s="16">
        <f>IFERROR(__xludf.DUMMYFUNCTION("""COMPUTED_VALUE"""),11862.0)</f>
        <v>11862</v>
      </c>
      <c r="I3342" s="18">
        <f>IFERROR(__xludf.DUMMYFUNCTION("""COMPUTED_VALUE"""),1.0)</f>
        <v>1</v>
      </c>
      <c r="J3342" s="18">
        <f>IFERROR(__xludf.DUMMYFUNCTION("""COMPUTED_VALUE"""),1.0)</f>
        <v>1</v>
      </c>
      <c r="K3342" s="18">
        <f>IFERROR(__xludf.DUMMYFUNCTION("""COMPUTED_VALUE"""),1.0)</f>
        <v>1</v>
      </c>
      <c r="L3342" s="17">
        <f>IFERROR(__xludf.DUMMYFUNCTION("""COMPUTED_VALUE"""),3.152227165E9)</f>
        <v>3152227165</v>
      </c>
      <c r="M3342" s="17" t="str">
        <f>IFERROR(__xludf.DUMMYFUNCTION("""COMPUTED_VALUE"""),"#REF!")</f>
        <v>#REF!</v>
      </c>
      <c r="N3342" s="17"/>
      <c r="O3342" s="17"/>
      <c r="P3342" s="17" t="b">
        <f>IFERROR(__xludf.DUMMYFUNCTION("""COMPUTED_VALUE"""),FALSE)</f>
        <v>0</v>
      </c>
      <c r="Q3342" s="20" t="str">
        <f>IFERROR(__xludf.DUMMYFUNCTION("""COMPUTED_VALUE"""),"")</f>
        <v/>
      </c>
      <c r="R3342" s="21" t="str">
        <f>IFERROR(__xludf.DUMMYFUNCTION("""COMPUTED_VALUE"""),"https://drive.google.com/file/d/1Y-fqmORrHmdiGk-7u5wPGDWmT1jrz2z8/view?usp=drivesdk")</f>
        <v>https://drive.google.com/file/d/1Y-fqmORrHmdiGk-7u5wPGDWmT1jrz2z8/view?usp=drivesdk</v>
      </c>
    </row>
    <row r="3343">
      <c r="A3343" s="15">
        <f>IFERROR(__xludf.DUMMYFUNCTION("""COMPUTED_VALUE"""),45098.0)</f>
        <v>45098</v>
      </c>
      <c r="B3343" s="16" t="str">
        <f>IFERROR(__xludf.DUMMYFUNCTION("""COMPUTED_VALUE"""),"Oscar Augusto Meneses Osias")</f>
        <v>Oscar Augusto Meneses Osias</v>
      </c>
      <c r="C3343" s="15" t="str">
        <f>IFERROR(__xludf.DUMMYFUNCTION("""COMPUTED_VALUE"""),"MEDELLÍN")</f>
        <v>MEDELLÍN</v>
      </c>
      <c r="D3343" s="15" t="str">
        <f>IFERROR(__xludf.DUMMYFUNCTION("""COMPUTED_VALUE"""),"BOGOTÁ")</f>
        <v>BOGOTÁ</v>
      </c>
      <c r="E3343" s="15" t="str">
        <f>IFERROR(__xludf.DUMMYFUNCTION("""COMPUTED_VALUE"""),"Evamazzita")</f>
        <v>Evamazzita</v>
      </c>
      <c r="F3343" s="17" t="str">
        <f>IFERROR(__xludf.DUMMYFUNCTION("""COMPUTED_VALUE"""),"CRA 15 BA No. 34D- 44 /  INT 201  / BUENOS AIRES")</f>
        <v>CRA 15 BA No. 34D- 44 /  INT 201  / BUENOS AIRES</v>
      </c>
      <c r="G3343" s="15" t="str">
        <f>IFERROR(__xludf.DUMMYFUNCTION("""COMPUTED_VALUE"""),"DANIELA BEDOYA BLANDON")</f>
        <v>DANIELA BEDOYA BLANDON</v>
      </c>
      <c r="H3343" s="16">
        <f>IFERROR(__xludf.DUMMYFUNCTION("""COMPUTED_VALUE"""),11851.0)</f>
        <v>11851</v>
      </c>
      <c r="I3343" s="18">
        <f>IFERROR(__xludf.DUMMYFUNCTION("""COMPUTED_VALUE"""),11.0)</f>
        <v>11</v>
      </c>
      <c r="J3343" s="18">
        <f>IFERROR(__xludf.DUMMYFUNCTION("""COMPUTED_VALUE"""),37.0)</f>
        <v>37</v>
      </c>
      <c r="K3343" s="18">
        <f>IFERROR(__xludf.DUMMYFUNCTION("""COMPUTED_VALUE"""),33.0)</f>
        <v>33</v>
      </c>
      <c r="L3343" s="17">
        <f>IFERROR(__xludf.DUMMYFUNCTION("""COMPUTED_VALUE"""),3.14672822E9)</f>
        <v>3146728220</v>
      </c>
      <c r="M3343" s="17" t="str">
        <f>IFERROR(__xludf.DUMMYFUNCTION("""COMPUTED_VALUE"""),"#REF!")</f>
        <v>#REF!</v>
      </c>
      <c r="N3343" s="17"/>
      <c r="O3343" s="17"/>
      <c r="P3343" s="17" t="b">
        <f>IFERROR(__xludf.DUMMYFUNCTION("""COMPUTED_VALUE"""),FALSE)</f>
        <v>0</v>
      </c>
      <c r="Q3343" s="20" t="str">
        <f>IFERROR(__xludf.DUMMYFUNCTION("""COMPUTED_VALUE"""),"")</f>
        <v/>
      </c>
      <c r="R3343" s="22" t="str">
        <f>IFERROR(__xludf.DUMMYFUNCTION("""COMPUTED_VALUE"""),"")</f>
        <v/>
      </c>
    </row>
    <row r="3344">
      <c r="A3344" s="15">
        <f>IFERROR(__xludf.DUMMYFUNCTION("""COMPUTED_VALUE"""),45098.0)</f>
        <v>45098</v>
      </c>
      <c r="B3344" s="16" t="str">
        <f>IFERROR(__xludf.DUMMYFUNCTION("""COMPUTED_VALUE"""),"Oscar Augusto Meneses Osias")</f>
        <v>Oscar Augusto Meneses Osias</v>
      </c>
      <c r="C3344" s="15" t="str">
        <f>IFERROR(__xludf.DUMMYFUNCTION("""COMPUTED_VALUE"""),"MEDELLÍN")</f>
        <v>MEDELLÍN</v>
      </c>
      <c r="D3344" s="15" t="str">
        <f>IFERROR(__xludf.DUMMYFUNCTION("""COMPUTED_VALUE"""),"BOGOTÁ")</f>
        <v>BOGOTÁ</v>
      </c>
      <c r="E3344" s="15" t="str">
        <f>IFERROR(__xludf.DUMMYFUNCTION("""COMPUTED_VALUE"""),"Evamazzita")</f>
        <v>Evamazzita</v>
      </c>
      <c r="F3344" s="17" t="str">
        <f>IFERROR(__xludf.DUMMYFUNCTION("""COMPUTED_VALUE"""),"CRA 15 BA No. 34D- 44 /  INT 201  / BUENOS AIRES")</f>
        <v>CRA 15 BA No. 34D- 44 /  INT 201  / BUENOS AIRES</v>
      </c>
      <c r="G3344" s="15" t="str">
        <f>IFERROR(__xludf.DUMMYFUNCTION("""COMPUTED_VALUE"""),"DANIELA BEDOYA BLANDON")</f>
        <v>DANIELA BEDOYA BLANDON</v>
      </c>
      <c r="H3344" s="16">
        <f>IFERROR(__xludf.DUMMYFUNCTION("""COMPUTED_VALUE"""),11852.0)</f>
        <v>11852</v>
      </c>
      <c r="I3344" s="18">
        <f>IFERROR(__xludf.DUMMYFUNCTION("""COMPUTED_VALUE"""),14.0)</f>
        <v>14</v>
      </c>
      <c r="J3344" s="18">
        <f>IFERROR(__xludf.DUMMYFUNCTION("""COMPUTED_VALUE"""),32.0)</f>
        <v>32</v>
      </c>
      <c r="K3344" s="18">
        <f>IFERROR(__xludf.DUMMYFUNCTION("""COMPUTED_VALUE"""),23.0)</f>
        <v>23</v>
      </c>
      <c r="L3344" s="17">
        <f>IFERROR(__xludf.DUMMYFUNCTION("""COMPUTED_VALUE"""),3.14672822E9)</f>
        <v>3146728220</v>
      </c>
      <c r="M3344" s="17" t="str">
        <f>IFERROR(__xludf.DUMMYFUNCTION("""COMPUTED_VALUE"""),"#REF!")</f>
        <v>#REF!</v>
      </c>
      <c r="N3344" s="17"/>
      <c r="O3344" s="17"/>
      <c r="P3344" s="17" t="b">
        <f>IFERROR(__xludf.DUMMYFUNCTION("""COMPUTED_VALUE"""),TRUE)</f>
        <v>1</v>
      </c>
      <c r="Q3344" s="20">
        <f>IFERROR(__xludf.DUMMYFUNCTION("""COMPUTED_VALUE"""),45099.740050625)</f>
        <v>45099.74005</v>
      </c>
      <c r="R3344" s="22" t="str">
        <f>IFERROR(__xludf.DUMMYFUNCTION("""COMPUTED_VALUE"""),"")</f>
        <v/>
      </c>
    </row>
    <row r="3345">
      <c r="A3345" s="15">
        <f>IFERROR(__xludf.DUMMYFUNCTION("""COMPUTED_VALUE"""),45098.0)</f>
        <v>45098</v>
      </c>
      <c r="B3345" s="16" t="str">
        <f>IFERROR(__xludf.DUMMYFUNCTION("""COMPUTED_VALUE"""),"Oscar Augusto Meneses Osias")</f>
        <v>Oscar Augusto Meneses Osias</v>
      </c>
      <c r="C3345" s="15" t="str">
        <f>IFERROR(__xludf.DUMMYFUNCTION("""COMPUTED_VALUE"""),"MEDELLÍN")</f>
        <v>MEDELLÍN</v>
      </c>
      <c r="D3345" s="15" t="str">
        <f>IFERROR(__xludf.DUMMYFUNCTION("""COMPUTED_VALUE"""),"BOGOTÁ")</f>
        <v>BOGOTÁ</v>
      </c>
      <c r="E3345" s="15" t="str">
        <f>IFERROR(__xludf.DUMMYFUNCTION("""COMPUTED_VALUE"""),"Evamazzita")</f>
        <v>Evamazzita</v>
      </c>
      <c r="F3345" s="17" t="str">
        <f>IFERROR(__xludf.DUMMYFUNCTION("""COMPUTED_VALUE"""),"Cra 27 #36 sur 159  / Unidad Baltico apto 1203  Tv Intermedia  / Sector cumbres")</f>
        <v>Cra 27 #36 sur 159  / Unidad Baltico apto 1203  Tv Intermedia  / Sector cumbres</v>
      </c>
      <c r="G3345" s="15" t="str">
        <f>IFERROR(__xludf.DUMMYFUNCTION("""COMPUTED_VALUE"""),"DANIELA VILLEGAS")</f>
        <v>DANIELA VILLEGAS</v>
      </c>
      <c r="H3345" s="16">
        <f>IFERROR(__xludf.DUMMYFUNCTION("""COMPUTED_VALUE"""),11855.0)</f>
        <v>11855</v>
      </c>
      <c r="I3345" s="18">
        <f>IFERROR(__xludf.DUMMYFUNCTION("""COMPUTED_VALUE"""),1.0)</f>
        <v>1</v>
      </c>
      <c r="J3345" s="18">
        <f>IFERROR(__xludf.DUMMYFUNCTION("""COMPUTED_VALUE"""),1.0)</f>
        <v>1</v>
      </c>
      <c r="K3345" s="18">
        <f>IFERROR(__xludf.DUMMYFUNCTION("""COMPUTED_VALUE"""),1.0)</f>
        <v>1</v>
      </c>
      <c r="L3345" s="17">
        <f>IFERROR(__xludf.DUMMYFUNCTION("""COMPUTED_VALUE"""),3.122950818E9)</f>
        <v>3122950818</v>
      </c>
      <c r="M3345" s="17" t="str">
        <f>IFERROR(__xludf.DUMMYFUNCTION("""COMPUTED_VALUE"""),"#REF!")</f>
        <v>#REF!</v>
      </c>
      <c r="N3345" s="17"/>
      <c r="O3345" s="17"/>
      <c r="P3345" s="17" t="b">
        <f>IFERROR(__xludf.DUMMYFUNCTION("""COMPUTED_VALUE"""),TRUE)</f>
        <v>1</v>
      </c>
      <c r="Q3345" s="20">
        <f>IFERROR(__xludf.DUMMYFUNCTION("""COMPUTED_VALUE"""),45099.733508888894)</f>
        <v>45099.73351</v>
      </c>
      <c r="R3345" s="21" t="str">
        <f>IFERROR(__xludf.DUMMYFUNCTION("""COMPUTED_VALUE"""),"https://drive.google.com/file/d/1z3cE3N64Y18m-6p651XXGO6mDhKwSUWI/view?usp=drivesdk")</f>
        <v>https://drive.google.com/file/d/1z3cE3N64Y18m-6p651XXGO6mDhKwSUWI/view?usp=drivesdk</v>
      </c>
    </row>
    <row r="3346">
      <c r="A3346" s="15">
        <f>IFERROR(__xludf.DUMMYFUNCTION("""COMPUTED_VALUE"""),45098.0)</f>
        <v>45098</v>
      </c>
      <c r="B3346" s="16" t="str">
        <f>IFERROR(__xludf.DUMMYFUNCTION("""COMPUTED_VALUE"""),"Oscar Augusto Meneses Osias")</f>
        <v>Oscar Augusto Meneses Osias</v>
      </c>
      <c r="C3346" s="15" t="str">
        <f>IFERROR(__xludf.DUMMYFUNCTION("""COMPUTED_VALUE"""),"MEDELLÍN")</f>
        <v>MEDELLÍN</v>
      </c>
      <c r="D3346" s="15" t="str">
        <f>IFERROR(__xludf.DUMMYFUNCTION("""COMPUTED_VALUE"""),"BOGOTÁ")</f>
        <v>BOGOTÁ</v>
      </c>
      <c r="E3346" s="15" t="str">
        <f>IFERROR(__xludf.DUMMYFUNCTION("""COMPUTED_VALUE"""),"Evamazzita")</f>
        <v>Evamazzita</v>
      </c>
      <c r="F3346" s="17" t="str">
        <f>IFERROR(__xludf.DUMMYFUNCTION("""COMPUTED_VALUE"""),"Cra 37A #15B-50  / apto 2110   / POBLADO")</f>
        <v>Cra 37A #15B-50  / apto 2110   / POBLADO</v>
      </c>
      <c r="G3346" s="15" t="str">
        <f>IFERROR(__xludf.DUMMYFUNCTION("""COMPUTED_VALUE"""),"MELISSA ACOSTA GIRALDO")</f>
        <v>MELISSA ACOSTA GIRALDO</v>
      </c>
      <c r="H3346" s="16">
        <f>IFERROR(__xludf.DUMMYFUNCTION("""COMPUTED_VALUE"""),11860.0)</f>
        <v>11860</v>
      </c>
      <c r="I3346" s="18">
        <f>IFERROR(__xludf.DUMMYFUNCTION("""COMPUTED_VALUE"""),1.0)</f>
        <v>1</v>
      </c>
      <c r="J3346" s="18">
        <f>IFERROR(__xludf.DUMMYFUNCTION("""COMPUTED_VALUE"""),1.0)</f>
        <v>1</v>
      </c>
      <c r="K3346" s="18">
        <f>IFERROR(__xludf.DUMMYFUNCTION("""COMPUTED_VALUE"""),1.0)</f>
        <v>1</v>
      </c>
      <c r="L3346" s="17">
        <f>IFERROR(__xludf.DUMMYFUNCTION("""COMPUTED_VALUE"""),3.14773679E9)</f>
        <v>3147736790</v>
      </c>
      <c r="M3346" s="17" t="str">
        <f>IFERROR(__xludf.DUMMYFUNCTION("""COMPUTED_VALUE"""),"#REF!")</f>
        <v>#REF!</v>
      </c>
      <c r="N3346" s="17"/>
      <c r="O3346" s="17"/>
      <c r="P3346" s="17" t="b">
        <f>IFERROR(__xludf.DUMMYFUNCTION("""COMPUTED_VALUE"""),TRUE)</f>
        <v>1</v>
      </c>
      <c r="Q3346" s="20">
        <f>IFERROR(__xludf.DUMMYFUNCTION("""COMPUTED_VALUE"""),45099.733508888894)</f>
        <v>45099.73351</v>
      </c>
      <c r="R3346" s="21" t="str">
        <f>IFERROR(__xludf.DUMMYFUNCTION("""COMPUTED_VALUE"""),"https://drive.google.com/file/d/15CFStAUg7dFcHnY2WLRqA377eyJajaJT/view?usp=drivesdk")</f>
        <v>https://drive.google.com/file/d/15CFStAUg7dFcHnY2WLRqA377eyJajaJT/view?usp=drivesdk</v>
      </c>
    </row>
    <row r="3347">
      <c r="A3347" s="15">
        <f>IFERROR(__xludf.DUMMYFUNCTION("""COMPUTED_VALUE"""),45098.0)</f>
        <v>45098</v>
      </c>
      <c r="B3347" s="16" t="str">
        <f>IFERROR(__xludf.DUMMYFUNCTION("""COMPUTED_VALUE"""),"Oscar Augusto Meneses Osias")</f>
        <v>Oscar Augusto Meneses Osias</v>
      </c>
      <c r="C3347" s="15" t="str">
        <f>IFERROR(__xludf.DUMMYFUNCTION("""COMPUTED_VALUE"""),"MEDELLÍN")</f>
        <v>MEDELLÍN</v>
      </c>
      <c r="D3347" s="15" t="str">
        <f>IFERROR(__xludf.DUMMYFUNCTION("""COMPUTED_VALUE"""),"BOGOTÁ")</f>
        <v>BOGOTÁ</v>
      </c>
      <c r="E3347" s="15" t="str">
        <f>IFERROR(__xludf.DUMMYFUNCTION("""COMPUTED_VALUE"""),"Ins. Alimento Vital")</f>
        <v>Ins. Alimento Vital</v>
      </c>
      <c r="F3347" s="17" t="str">
        <f>IFERROR(__xludf.DUMMYFUNCTION("""COMPUTED_VALUE"""),"AV 74B 39B 142 / CASA NEGRA 2 PISO / BARRIO LAURELES")</f>
        <v>AV 74B 39B 142 / CASA NEGRA 2 PISO / BARRIO LAURELES</v>
      </c>
      <c r="G3347" s="15" t="str">
        <f>IFERROR(__xludf.DUMMYFUNCTION("""COMPUTED_VALUE"""),"VELOCITY MEDELLIN")</f>
        <v>VELOCITY MEDELLIN</v>
      </c>
      <c r="H3347" s="16">
        <f>IFERROR(__xludf.DUMMYFUNCTION("""COMPUTED_VALUE"""),11838.0)</f>
        <v>11838</v>
      </c>
      <c r="I3347" s="18">
        <f>IFERROR(__xludf.DUMMYFUNCTION("""COMPUTED_VALUE"""),1.0)</f>
        <v>1</v>
      </c>
      <c r="J3347" s="18">
        <f>IFERROR(__xludf.DUMMYFUNCTION("""COMPUTED_VALUE"""),1.0)</f>
        <v>1</v>
      </c>
      <c r="K3347" s="18">
        <f>IFERROR(__xludf.DUMMYFUNCTION("""COMPUTED_VALUE"""),1.0)</f>
        <v>1</v>
      </c>
      <c r="L3347" s="17">
        <f>IFERROR(__xludf.DUMMYFUNCTION("""COMPUTED_VALUE"""),3.239674555E9)</f>
        <v>3239674555</v>
      </c>
      <c r="M3347" s="17" t="str">
        <f>IFERROR(__xludf.DUMMYFUNCTION("""COMPUTED_VALUE"""),"#REF!")</f>
        <v>#REF!</v>
      </c>
      <c r="N3347" s="17"/>
      <c r="O3347" s="17"/>
      <c r="P3347" s="17" t="b">
        <f>IFERROR(__xludf.DUMMYFUNCTION("""COMPUTED_VALUE"""),TRUE)</f>
        <v>1</v>
      </c>
      <c r="Q3347" s="20">
        <f>IFERROR(__xludf.DUMMYFUNCTION("""COMPUTED_VALUE"""),45113.74351414352)</f>
        <v>45113.74351</v>
      </c>
      <c r="R3347" s="22" t="str">
        <f>IFERROR(__xludf.DUMMYFUNCTION("""COMPUTED_VALUE"""),"")</f>
        <v/>
      </c>
    </row>
    <row r="3348">
      <c r="A3348" s="15">
        <f>IFERROR(__xludf.DUMMYFUNCTION("""COMPUTED_VALUE"""),45098.0)</f>
        <v>45098</v>
      </c>
      <c r="B3348" s="16" t="str">
        <f>IFERROR(__xludf.DUMMYFUNCTION("""COMPUTED_VALUE"""),"Oscar Augusto Meneses Osias")</f>
        <v>Oscar Augusto Meneses Osias</v>
      </c>
      <c r="C3348" s="15" t="str">
        <f>IFERROR(__xludf.DUMMYFUNCTION("""COMPUTED_VALUE"""),"MEDELLÍN")</f>
        <v>MEDELLÍN</v>
      </c>
      <c r="D3348" s="15" t="str">
        <f>IFERROR(__xludf.DUMMYFUNCTION("""COMPUTED_VALUE"""),"BOGOTÁ")</f>
        <v>BOGOTÁ</v>
      </c>
      <c r="E3348" s="15" t="str">
        <f>IFERROR(__xludf.DUMMYFUNCTION("""COMPUTED_VALUE"""),"Loomifoods")</f>
        <v>Loomifoods</v>
      </c>
      <c r="F3348" s="17" t="str">
        <f>IFERROR(__xludf.DUMMYFUNCTION("""COMPUTED_VALUE"""),"Cra 38 no. 2 Sur - 72 / Brick  / Apto 1001")</f>
        <v>Cra 38 no. 2 Sur - 72 / Brick  / Apto 1001</v>
      </c>
      <c r="G3348" s="15" t="str">
        <f>IFERROR(__xludf.DUMMYFUNCTION("""COMPUTED_VALUE"""),"Daniela Ospina")</f>
        <v>Daniela Ospina</v>
      </c>
      <c r="H3348" s="16">
        <f>IFERROR(__xludf.DUMMYFUNCTION("""COMPUTED_VALUE"""),11857.0)</f>
        <v>11857</v>
      </c>
      <c r="I3348" s="18">
        <f>IFERROR(__xludf.DUMMYFUNCTION("""COMPUTED_VALUE"""),19.0)</f>
        <v>19</v>
      </c>
      <c r="J3348" s="18">
        <f>IFERROR(__xludf.DUMMYFUNCTION("""COMPUTED_VALUE"""),10.0)</f>
        <v>10</v>
      </c>
      <c r="K3348" s="18">
        <f>IFERROR(__xludf.DUMMYFUNCTION("""COMPUTED_VALUE"""),16.0)</f>
        <v>16</v>
      </c>
      <c r="L3348" s="17">
        <f>IFERROR(__xludf.DUMMYFUNCTION("""COMPUTED_VALUE"""),3.208147842E9)</f>
        <v>3208147842</v>
      </c>
      <c r="M3348" s="17" t="str">
        <f>IFERROR(__xludf.DUMMYFUNCTION("""COMPUTED_VALUE"""),"#REF!")</f>
        <v>#REF!</v>
      </c>
      <c r="N3348" s="17"/>
      <c r="O3348" s="17"/>
      <c r="P3348" s="17" t="b">
        <f>IFERROR(__xludf.DUMMYFUNCTION("""COMPUTED_VALUE"""),FALSE)</f>
        <v>0</v>
      </c>
      <c r="Q3348" s="20" t="str">
        <f>IFERROR(__xludf.DUMMYFUNCTION("""COMPUTED_VALUE"""),"")</f>
        <v/>
      </c>
      <c r="R3348" s="21" t="str">
        <f>IFERROR(__xludf.DUMMYFUNCTION("""COMPUTED_VALUE"""),"https://drive.google.com/file/d/1RIoWSOVet93eKFopApkjQJQot1XPR7du/view?usp=drivesdk")</f>
        <v>https://drive.google.com/file/d/1RIoWSOVet93eKFopApkjQJQot1XPR7du/view?usp=drivesdk</v>
      </c>
    </row>
    <row r="3349">
      <c r="A3349" s="17" t="str">
        <f>IFERROR(__xludf.DUMMYFUNCTION("""COMPUTED_VALUE"""),"")</f>
        <v/>
      </c>
      <c r="B3349" s="17" t="str">
        <f>IFERROR(__xludf.DUMMYFUNCTION("""COMPUTED_VALUE"""),"")</f>
        <v/>
      </c>
      <c r="C3349" s="17" t="str">
        <f>IFERROR(__xludf.DUMMYFUNCTION("""COMPUTED_VALUE"""),"")</f>
        <v/>
      </c>
      <c r="D3349" s="17" t="str">
        <f>IFERROR(__xludf.DUMMYFUNCTION("""COMPUTED_VALUE"""),"")</f>
        <v/>
      </c>
      <c r="E3349" s="17" t="str">
        <f>IFERROR(__xludf.DUMMYFUNCTION("""COMPUTED_VALUE"""),"")</f>
        <v/>
      </c>
      <c r="F3349" s="17" t="str">
        <f>IFERROR(__xludf.DUMMYFUNCTION("""COMPUTED_VALUE"""),"")</f>
        <v/>
      </c>
      <c r="G3349" s="17" t="str">
        <f>IFERROR(__xludf.DUMMYFUNCTION("""COMPUTED_VALUE"""),"")</f>
        <v/>
      </c>
      <c r="H3349" s="17" t="str">
        <f>IFERROR(__xludf.DUMMYFUNCTION("""COMPUTED_VALUE"""),"")</f>
        <v/>
      </c>
      <c r="I3349" s="17" t="str">
        <f>IFERROR(__xludf.DUMMYFUNCTION("""COMPUTED_VALUE"""),"")</f>
        <v/>
      </c>
      <c r="J3349" s="17" t="str">
        <f>IFERROR(__xludf.DUMMYFUNCTION("""COMPUTED_VALUE"""),"")</f>
        <v/>
      </c>
      <c r="K3349" s="17" t="str">
        <f>IFERROR(__xludf.DUMMYFUNCTION("""COMPUTED_VALUE"""),"")</f>
        <v/>
      </c>
      <c r="L3349" s="17" t="str">
        <f>IFERROR(__xludf.DUMMYFUNCTION("""COMPUTED_VALUE"""),"")</f>
        <v/>
      </c>
      <c r="M3349" s="17" t="str">
        <f>IFERROR(__xludf.DUMMYFUNCTION("""COMPUTED_VALUE"""),"")</f>
        <v/>
      </c>
      <c r="N3349" s="17" t="str">
        <f>IFERROR(__xludf.DUMMYFUNCTION("""COMPUTED_VALUE"""),"")</f>
        <v/>
      </c>
      <c r="O3349" s="17" t="str">
        <f>IFERROR(__xludf.DUMMYFUNCTION("""COMPUTED_VALUE"""),"")</f>
        <v/>
      </c>
      <c r="P3349" s="17" t="str">
        <f>IFERROR(__xludf.DUMMYFUNCTION("""COMPUTED_VALUE"""),"")</f>
        <v/>
      </c>
      <c r="Q3349" s="17" t="str">
        <f>IFERROR(__xludf.DUMMYFUNCTION("""COMPUTED_VALUE"""),"")</f>
        <v/>
      </c>
      <c r="R3349" s="17" t="str">
        <f>IFERROR(__xludf.DUMMYFUNCTION("""COMPUTED_VALUE"""),"")</f>
        <v/>
      </c>
    </row>
    <row r="3350">
      <c r="A3350" s="15">
        <f>IFERROR(__xludf.DUMMYFUNCTION("""COMPUTED_VALUE"""),45099.0)</f>
        <v>45099</v>
      </c>
      <c r="B3350" s="17"/>
      <c r="C3350" s="15" t="str">
        <f>IFERROR(__xludf.DUMMYFUNCTION("""COMPUTED_VALUE"""),"CARTAGENA")</f>
        <v>CARTAGENA</v>
      </c>
      <c r="D3350" s="15" t="str">
        <f>IFERROR(__xludf.DUMMYFUNCTION("""COMPUTED_VALUE"""),"MEDELLÍN")</f>
        <v>MEDELLÍN</v>
      </c>
      <c r="E3350" s="15" t="str">
        <f>IFERROR(__xludf.DUMMYFUNCTION("""COMPUTED_VALUE"""),"Baby Chef")</f>
        <v>Baby Chef</v>
      </c>
      <c r="F3350" s="17" t="str">
        <f>IFERROR(__xludf.DUMMYFUNCTION("""COMPUTED_VALUE"""),"Avenida 2 No. 10-02 bocagrande conjunto la marina Bloque 2 apto 104 / ""Avenida 2 No. 10-02 bocagrande conjunto la marina Bloque 2 apto 104"" / ""Avenida 2 No. 10-02 bocagrande conjunto la marina Bloque 2 apto 104""")</f>
        <v>Avenida 2 No. 10-02 bocagrande conjunto la marina Bloque 2 apto 104 / "Avenida 2 No. 10-02 bocagrande conjunto la marina Bloque 2 apto 104" / "Avenida 2 No. 10-02 bocagrande conjunto la marina Bloque 2 apto 104"</v>
      </c>
      <c r="G3350" s="15" t="str">
        <f>IFERROR(__xludf.DUMMYFUNCTION("""COMPUTED_VALUE"""),"Lucía Gómez")</f>
        <v>Lucía Gómez</v>
      </c>
      <c r="H3350" s="16">
        <f>IFERROR(__xludf.DUMMYFUNCTION("""COMPUTED_VALUE"""),11916.0)</f>
        <v>11916</v>
      </c>
      <c r="I3350" s="18">
        <f>IFERROR(__xludf.DUMMYFUNCTION("""COMPUTED_VALUE"""),8.0)</f>
        <v>8</v>
      </c>
      <c r="J3350" s="18">
        <f>IFERROR(__xludf.DUMMYFUNCTION("""COMPUTED_VALUE"""),16.0)</f>
        <v>16</v>
      </c>
      <c r="K3350" s="18">
        <f>IFERROR(__xludf.DUMMYFUNCTION("""COMPUTED_VALUE"""),20.0)</f>
        <v>20</v>
      </c>
      <c r="L3350" s="17">
        <f>IFERROR(__xludf.DUMMYFUNCTION("""COMPUTED_VALUE"""),3.113544072E9)</f>
        <v>3113544072</v>
      </c>
      <c r="M3350" s="17" t="str">
        <f>IFERROR(__xludf.DUMMYFUNCTION("""COMPUTED_VALUE"""),"#REF!")</f>
        <v>#REF!</v>
      </c>
      <c r="N3350" s="17"/>
      <c r="O3350" s="17"/>
      <c r="P3350" s="17" t="b">
        <f>IFERROR(__xludf.DUMMYFUNCTION("""COMPUTED_VALUE"""),FALSE)</f>
        <v>0</v>
      </c>
      <c r="Q3350" s="20" t="str">
        <f>IFERROR(__xludf.DUMMYFUNCTION("""COMPUTED_VALUE"""),"")</f>
        <v/>
      </c>
      <c r="R3350" s="21" t="str">
        <f>IFERROR(__xludf.DUMMYFUNCTION("""COMPUTED_VALUE"""),"https://drive.google.com/file/d/1l__LFGJ5Aoppe2qZS07wQSCTLdFkoJKn/view?usp=drivesdk")</f>
        <v>https://drive.google.com/file/d/1l__LFGJ5Aoppe2qZS07wQSCTLdFkoJKn/view?usp=drivesdk</v>
      </c>
    </row>
    <row r="3351">
      <c r="A3351" s="15">
        <f>IFERROR(__xludf.DUMMYFUNCTION("""COMPUTED_VALUE"""),45099.0)</f>
        <v>45099</v>
      </c>
      <c r="B3351" s="17"/>
      <c r="C3351" s="15" t="str">
        <f>IFERROR(__xludf.DUMMYFUNCTION("""COMPUTED_VALUE"""),"CARTAGENA")</f>
        <v>CARTAGENA</v>
      </c>
      <c r="D3351" s="15" t="str">
        <f>IFERROR(__xludf.DUMMYFUNCTION("""COMPUTED_VALUE"""),"MEDELLÍN")</f>
        <v>MEDELLÍN</v>
      </c>
      <c r="E3351" s="15" t="str">
        <f>IFERROR(__xludf.DUMMYFUNCTION("""COMPUTED_VALUE"""),"Baby Chef")</f>
        <v>Baby Chef</v>
      </c>
      <c r="F3351" s="17" t="str">
        <f>IFERROR(__xludf.DUMMYFUNCTION("""COMPUTED_VALUE"""),"Carrera 4 numero 5-123 apto 1602 , bocagrande / Carrera 4 numero 5-123 apto 1602 , bocagrande / Carrera 4 numero 5-123 apto 1602 , bocagrande")</f>
        <v>Carrera 4 numero 5-123 apto 1602 , bocagrande / Carrera 4 numero 5-123 apto 1602 , bocagrande / Carrera 4 numero 5-123 apto 1602 , bocagrande</v>
      </c>
      <c r="G3351" s="15" t="str">
        <f>IFERROR(__xludf.DUMMYFUNCTION("""COMPUTED_VALUE"""),"Jacqueline farah LLAMAR AL LLEGAR")</f>
        <v>Jacqueline farah LLAMAR AL LLEGAR</v>
      </c>
      <c r="H3351" s="16">
        <f>IFERROR(__xludf.DUMMYFUNCTION("""COMPUTED_VALUE"""),11915.0)</f>
        <v>11915</v>
      </c>
      <c r="I3351" s="18">
        <f>IFERROR(__xludf.DUMMYFUNCTION("""COMPUTED_VALUE"""),8.0)</f>
        <v>8</v>
      </c>
      <c r="J3351" s="18">
        <f>IFERROR(__xludf.DUMMYFUNCTION("""COMPUTED_VALUE"""),16.0)</f>
        <v>16</v>
      </c>
      <c r="K3351" s="18">
        <f>IFERROR(__xludf.DUMMYFUNCTION("""COMPUTED_VALUE"""),20.0)</f>
        <v>20</v>
      </c>
      <c r="L3351" s="17">
        <f>IFERROR(__xludf.DUMMYFUNCTION("""COMPUTED_VALUE"""),3.203337464E9)</f>
        <v>3203337464</v>
      </c>
      <c r="M3351" s="17" t="str">
        <f>IFERROR(__xludf.DUMMYFUNCTION("""COMPUTED_VALUE"""),"#REF!")</f>
        <v>#REF!</v>
      </c>
      <c r="N3351" s="17"/>
      <c r="O3351" s="17"/>
      <c r="P3351" s="17" t="b">
        <f>IFERROR(__xludf.DUMMYFUNCTION("""COMPUTED_VALUE"""),FALSE)</f>
        <v>0</v>
      </c>
      <c r="Q3351" s="20" t="str">
        <f>IFERROR(__xludf.DUMMYFUNCTION("""COMPUTED_VALUE"""),"")</f>
        <v/>
      </c>
      <c r="R3351" s="21" t="str">
        <f>IFERROR(__xludf.DUMMYFUNCTION("""COMPUTED_VALUE"""),"https://drive.google.com/file/d/12DnIubyCWk-swKB_9BXsC-gDToBqwLJ2/view?usp=drivesdk")</f>
        <v>https://drive.google.com/file/d/12DnIubyCWk-swKB_9BXsC-gDToBqwLJ2/view?usp=drivesdk</v>
      </c>
    </row>
    <row r="3352">
      <c r="A3352" s="15">
        <f>IFERROR(__xludf.DUMMYFUNCTION("""COMPUTED_VALUE"""),45099.0)</f>
        <v>45099</v>
      </c>
      <c r="B3352" s="17"/>
      <c r="C3352" s="15" t="str">
        <f>IFERROR(__xludf.DUMMYFUNCTION("""COMPUTED_VALUE"""),"YOPAL")</f>
        <v>YOPAL</v>
      </c>
      <c r="D3352" s="15" t="str">
        <f>IFERROR(__xludf.DUMMYFUNCTION("""COMPUTED_VALUE"""),"BOGOTÁ")</f>
        <v>BOGOTÁ</v>
      </c>
      <c r="E3352" s="15" t="str">
        <f>IFERROR(__xludf.DUMMYFUNCTION("""COMPUTED_VALUE"""),"Evamazzita")</f>
        <v>Evamazzita</v>
      </c>
      <c r="F3352" s="17" t="str">
        <f>IFERROR(__xludf.DUMMYFUNCTION("""COMPUTED_VALUE"""),"Calle 15 n 27 16 CASA  / Calle 15 n 27 16 CASA  / N/A")</f>
        <v>Calle 15 n 27 16 CASA  / Calle 15 n 27 16 CASA  / N/A</v>
      </c>
      <c r="G3352" s="15" t="str">
        <f>IFERROR(__xludf.DUMMYFUNCTION("""COMPUTED_VALUE"""),"ESTELA MUÑOZ")</f>
        <v>ESTELA MUÑOZ</v>
      </c>
      <c r="H3352" s="16">
        <f>IFERROR(__xludf.DUMMYFUNCTION("""COMPUTED_VALUE"""),11933.0)</f>
        <v>11933</v>
      </c>
      <c r="I3352" s="18">
        <f>IFERROR(__xludf.DUMMYFUNCTION("""COMPUTED_VALUE"""),9.0)</f>
        <v>9</v>
      </c>
      <c r="J3352" s="18">
        <f>IFERROR(__xludf.DUMMYFUNCTION("""COMPUTED_VALUE"""),23.0)</f>
        <v>23</v>
      </c>
      <c r="K3352" s="18">
        <f>IFERROR(__xludf.DUMMYFUNCTION("""COMPUTED_VALUE"""),15.0)</f>
        <v>15</v>
      </c>
      <c r="L3352" s="17">
        <f>IFERROR(__xludf.DUMMYFUNCTION("""COMPUTED_VALUE"""),3.11506336E9)</f>
        <v>3115063360</v>
      </c>
      <c r="M3352" s="17" t="str">
        <f>IFERROR(__xludf.DUMMYFUNCTION("""COMPUTED_VALUE"""),"#REF!")</f>
        <v>#REF!</v>
      </c>
      <c r="N3352" s="17"/>
      <c r="O3352" s="17"/>
      <c r="P3352" s="17" t="b">
        <f>IFERROR(__xludf.DUMMYFUNCTION("""COMPUTED_VALUE"""),FALSE)</f>
        <v>0</v>
      </c>
      <c r="Q3352" s="20" t="str">
        <f>IFERROR(__xludf.DUMMYFUNCTION("""COMPUTED_VALUE"""),"")</f>
        <v/>
      </c>
      <c r="R3352" s="22" t="str">
        <f>IFERROR(__xludf.DUMMYFUNCTION("""COMPUTED_VALUE"""),"")</f>
        <v/>
      </c>
    </row>
    <row r="3353">
      <c r="A3353" s="17" t="str">
        <f>IFERROR(__xludf.DUMMYFUNCTION("""COMPUTED_VALUE"""),"")</f>
        <v/>
      </c>
      <c r="B3353" s="17" t="str">
        <f>IFERROR(__xludf.DUMMYFUNCTION("""COMPUTED_VALUE"""),"")</f>
        <v/>
      </c>
      <c r="C3353" s="17" t="str">
        <f>IFERROR(__xludf.DUMMYFUNCTION("""COMPUTED_VALUE"""),"")</f>
        <v/>
      </c>
      <c r="D3353" s="17" t="str">
        <f>IFERROR(__xludf.DUMMYFUNCTION("""COMPUTED_VALUE"""),"")</f>
        <v/>
      </c>
      <c r="E3353" s="17" t="str">
        <f>IFERROR(__xludf.DUMMYFUNCTION("""COMPUTED_VALUE"""),"")</f>
        <v/>
      </c>
      <c r="F3353" s="17" t="str">
        <f>IFERROR(__xludf.DUMMYFUNCTION("""COMPUTED_VALUE"""),"")</f>
        <v/>
      </c>
      <c r="G3353" s="17" t="str">
        <f>IFERROR(__xludf.DUMMYFUNCTION("""COMPUTED_VALUE"""),"")</f>
        <v/>
      </c>
      <c r="H3353" s="17" t="str">
        <f>IFERROR(__xludf.DUMMYFUNCTION("""COMPUTED_VALUE"""),"")</f>
        <v/>
      </c>
      <c r="I3353" s="17" t="str">
        <f>IFERROR(__xludf.DUMMYFUNCTION("""COMPUTED_VALUE"""),"")</f>
        <v/>
      </c>
      <c r="J3353" s="17" t="str">
        <f>IFERROR(__xludf.DUMMYFUNCTION("""COMPUTED_VALUE"""),"")</f>
        <v/>
      </c>
      <c r="K3353" s="17" t="str">
        <f>IFERROR(__xludf.DUMMYFUNCTION("""COMPUTED_VALUE"""),"")</f>
        <v/>
      </c>
      <c r="L3353" s="17" t="str">
        <f>IFERROR(__xludf.DUMMYFUNCTION("""COMPUTED_VALUE"""),"")</f>
        <v/>
      </c>
      <c r="M3353" s="17" t="str">
        <f>IFERROR(__xludf.DUMMYFUNCTION("""COMPUTED_VALUE"""),"")</f>
        <v/>
      </c>
      <c r="N3353" s="17" t="str">
        <f>IFERROR(__xludf.DUMMYFUNCTION("""COMPUTED_VALUE"""),"")</f>
        <v/>
      </c>
      <c r="O3353" s="17" t="str">
        <f>IFERROR(__xludf.DUMMYFUNCTION("""COMPUTED_VALUE"""),"")</f>
        <v/>
      </c>
      <c r="P3353" s="17" t="str">
        <f>IFERROR(__xludf.DUMMYFUNCTION("""COMPUTED_VALUE"""),"")</f>
        <v/>
      </c>
      <c r="Q3353" s="17" t="str">
        <f>IFERROR(__xludf.DUMMYFUNCTION("""COMPUTED_VALUE"""),"")</f>
        <v/>
      </c>
      <c r="R3353" s="17" t="str">
        <f>IFERROR(__xludf.DUMMYFUNCTION("""COMPUTED_VALUE"""),"")</f>
        <v/>
      </c>
    </row>
    <row r="3354">
      <c r="A3354" s="15">
        <f>IFERROR(__xludf.DUMMYFUNCTION("""COMPUTED_VALUE"""),45099.0)</f>
        <v>45099</v>
      </c>
      <c r="B3354" s="16" t="str">
        <f>IFERROR(__xludf.DUMMYFUNCTION("""COMPUTED_VALUE"""),"David Sanmartin Bello")</f>
        <v>David Sanmartin Bello</v>
      </c>
      <c r="C3354" s="15" t="str">
        <f>IFERROR(__xludf.DUMMYFUNCTION("""COMPUTED_VALUE"""),"BARRANQUILLA")</f>
        <v>BARRANQUILLA</v>
      </c>
      <c r="D3354" s="15" t="str">
        <f>IFERROR(__xludf.DUMMYFUNCTION("""COMPUTED_VALUE"""),"MEDELLÍN")</f>
        <v>MEDELLÍN</v>
      </c>
      <c r="E3354" s="15" t="str">
        <f>IFERROR(__xludf.DUMMYFUNCTION("""COMPUTED_VALUE"""),"Baby Chef")</f>
        <v>Baby Chef</v>
      </c>
      <c r="F3354" s="17" t="str">
        <f>IFERROR(__xludf.DUMMYFUNCTION("""COMPUTED_VALUE"""),"Barrio alameda del Río  Conjunto guacamaya  Carrera 42b#114-31 Torre 6- Apto 403 / Barrio alameda del Río  Conjunto guacamaya  Carrera 42b#114-31 Torre 6- Apto 403 / Barrio alameda del Río  Conjunto guacamaya  Carrera 42b#114-31 Torre 6- Apto 403")</f>
        <v>Barrio alameda del Río  Conjunto guacamaya  Carrera 42b#114-31 Torre 6- Apto 403 / Barrio alameda del Río  Conjunto guacamaya  Carrera 42b#114-31 Torre 6- Apto 403 / Barrio alameda del Río  Conjunto guacamaya  Carrera 42b#114-31 Torre 6- Apto 403</v>
      </c>
      <c r="G3354" s="15" t="str">
        <f>IFERROR(__xludf.DUMMYFUNCTION("""COMPUTED_VALUE"""),"Jennifer Daniela Donado Fontalvo")</f>
        <v>Jennifer Daniela Donado Fontalvo</v>
      </c>
      <c r="H3354" s="16">
        <f>IFERROR(__xludf.DUMMYFUNCTION("""COMPUTED_VALUE"""),11951.0)</f>
        <v>11951</v>
      </c>
      <c r="I3354" s="18">
        <f>IFERROR(__xludf.DUMMYFUNCTION("""COMPUTED_VALUE"""),8.0)</f>
        <v>8</v>
      </c>
      <c r="J3354" s="18">
        <f>IFERROR(__xludf.DUMMYFUNCTION("""COMPUTED_VALUE"""),16.0)</f>
        <v>16</v>
      </c>
      <c r="K3354" s="18">
        <f>IFERROR(__xludf.DUMMYFUNCTION("""COMPUTED_VALUE"""),20.0)</f>
        <v>20</v>
      </c>
      <c r="L3354" s="17">
        <f>IFERROR(__xludf.DUMMYFUNCTION("""COMPUTED_VALUE"""),3.103510259E9)</f>
        <v>3103510259</v>
      </c>
      <c r="M3354" s="17" t="str">
        <f>IFERROR(__xludf.DUMMYFUNCTION("""COMPUTED_VALUE"""),"#REF!")</f>
        <v>#REF!</v>
      </c>
      <c r="N3354" s="17"/>
      <c r="O3354" s="17"/>
      <c r="P3354" s="17" t="b">
        <f>IFERROR(__xludf.DUMMYFUNCTION("""COMPUTED_VALUE"""),FALSE)</f>
        <v>0</v>
      </c>
      <c r="Q3354" s="20" t="str">
        <f>IFERROR(__xludf.DUMMYFUNCTION("""COMPUTED_VALUE"""),"")</f>
        <v/>
      </c>
      <c r="R3354" s="21" t="str">
        <f>IFERROR(__xludf.DUMMYFUNCTION("""COMPUTED_VALUE"""),"https://drive.google.com/file/d/1UpWmCyB9Jt0W_TNgEmgoMf7uVGc_c-3-/view?usp=drivesdk")</f>
        <v>https://drive.google.com/file/d/1UpWmCyB9Jt0W_TNgEmgoMf7uVGc_c-3-/view?usp=drivesdk</v>
      </c>
    </row>
    <row r="3355">
      <c r="A3355" s="15">
        <f>IFERROR(__xludf.DUMMYFUNCTION("""COMPUTED_VALUE"""),45099.0)</f>
        <v>45099</v>
      </c>
      <c r="B3355" s="16" t="str">
        <f>IFERROR(__xludf.DUMMYFUNCTION("""COMPUTED_VALUE"""),"David Sanmartin Bello")</f>
        <v>David Sanmartin Bello</v>
      </c>
      <c r="C3355" s="15" t="str">
        <f>IFERROR(__xludf.DUMMYFUNCTION("""COMPUTED_VALUE"""),"BARRANQUILLA")</f>
        <v>BARRANQUILLA</v>
      </c>
      <c r="D3355" s="15" t="str">
        <f>IFERROR(__xludf.DUMMYFUNCTION("""COMPUTED_VALUE"""),"MEDELLÍN")</f>
        <v>MEDELLÍN</v>
      </c>
      <c r="E3355" s="15" t="str">
        <f>IFERROR(__xludf.DUMMYFUNCTION("""COMPUTED_VALUE"""),"Baby Chef")</f>
        <v>Baby Chef</v>
      </c>
      <c r="F3355" s="17" t="str">
        <f>IFERROR(__xludf.DUMMYFUNCTION("""COMPUTED_VALUE"""),"Calle 81 B# 64 - 27 Apto 203 Edificio Valle de Ordesa Barrio Paraíso / Calle 81 B# 64 - 27 Apto 203 Edificio Valle de Ordesa Barrio Paraíso / Calle 81 B# 64 - 27 Apto 203 Edificio Valle de Ordesa Barrio Paraíso")</f>
        <v>Calle 81 B# 64 - 27 Apto 203 Edificio Valle de Ordesa Barrio Paraíso / Calle 81 B# 64 - 27 Apto 203 Edificio Valle de Ordesa Barrio Paraíso / Calle 81 B# 64 - 27 Apto 203 Edificio Valle de Ordesa Barrio Paraíso</v>
      </c>
      <c r="G3355" s="15" t="str">
        <f>IFERROR(__xludf.DUMMYFUNCTION("""COMPUTED_VALUE"""),"Fabiola Alcalá Manjarrés")</f>
        <v>Fabiola Alcalá Manjarrés</v>
      </c>
      <c r="H3355" s="16">
        <f>IFERROR(__xludf.DUMMYFUNCTION("""COMPUTED_VALUE"""),11950.0)</f>
        <v>11950</v>
      </c>
      <c r="I3355" s="18">
        <f>IFERROR(__xludf.DUMMYFUNCTION("""COMPUTED_VALUE"""),8.0)</f>
        <v>8</v>
      </c>
      <c r="J3355" s="18">
        <f>IFERROR(__xludf.DUMMYFUNCTION("""COMPUTED_VALUE"""),16.0)</f>
        <v>16</v>
      </c>
      <c r="K3355" s="18">
        <f>IFERROR(__xludf.DUMMYFUNCTION("""COMPUTED_VALUE"""),20.0)</f>
        <v>20</v>
      </c>
      <c r="L3355" s="17">
        <f>IFERROR(__xludf.DUMMYFUNCTION("""COMPUTED_VALUE"""),3.007540313E9)</f>
        <v>3007540313</v>
      </c>
      <c r="M3355" s="17" t="str">
        <f>IFERROR(__xludf.DUMMYFUNCTION("""COMPUTED_VALUE"""),"#REF!")</f>
        <v>#REF!</v>
      </c>
      <c r="N3355" s="17"/>
      <c r="O3355" s="17"/>
      <c r="P3355" s="17" t="b">
        <f>IFERROR(__xludf.DUMMYFUNCTION("""COMPUTED_VALUE"""),TRUE)</f>
        <v>1</v>
      </c>
      <c r="Q3355" s="20">
        <f>IFERROR(__xludf.DUMMYFUNCTION("""COMPUTED_VALUE"""),45099.74013247685)</f>
        <v>45099.74013</v>
      </c>
      <c r="R3355" s="21" t="str">
        <f>IFERROR(__xludf.DUMMYFUNCTION("""COMPUTED_VALUE"""),"https://drive.google.com/file/d/1gQAPx2lRtgqVWc-oEgVOD_ahE641FKxo/view?usp=drivesdk")</f>
        <v>https://drive.google.com/file/d/1gQAPx2lRtgqVWc-oEgVOD_ahE641FKxo/view?usp=drivesdk</v>
      </c>
    </row>
    <row r="3356">
      <c r="A3356" s="15">
        <f>IFERROR(__xludf.DUMMYFUNCTION("""COMPUTED_VALUE"""),45099.0)</f>
        <v>45099</v>
      </c>
      <c r="B3356" s="16" t="str">
        <f>IFERROR(__xludf.DUMMYFUNCTION("""COMPUTED_VALUE"""),"David Sanmartin Bello")</f>
        <v>David Sanmartin Bello</v>
      </c>
      <c r="C3356" s="15" t="str">
        <f>IFERROR(__xludf.DUMMYFUNCTION("""COMPUTED_VALUE"""),"CARTAGENA")</f>
        <v>CARTAGENA</v>
      </c>
      <c r="D3356" s="15" t="str">
        <f>IFERROR(__xludf.DUMMYFUNCTION("""COMPUTED_VALUE"""),"BOGOTÁ")</f>
        <v>BOGOTÁ</v>
      </c>
      <c r="E3356" s="15" t="str">
        <f>IFERROR(__xludf.DUMMYFUNCTION("""COMPUTED_VALUE"""),"Evamazzita")</f>
        <v>Evamazzita</v>
      </c>
      <c r="F3356" s="17" t="str">
        <f>IFERROR(__xludf.DUMMYFUNCTION("""COMPUTED_VALUE"""),"BARRIO VILLA ESTRELLA CONDOMINIO CARIOCA EDIFICIO IPANEMA TORRE 4 APTO 402 / BARRIO VILLA ESTRELLA CONDOMINIO CARIOCA EDIFICIO IPANEMA TORRE 4 APTO 402 / BARRIO VILLA ESTRELLA CONDOMINIO CARIOCA EDIFICIO IPANEMA TORRE 4 APTO 402")</f>
        <v>BARRIO VILLA ESTRELLA CONDOMINIO CARIOCA EDIFICIO IPANEMA TORRE 4 APTO 402 / BARRIO VILLA ESTRELLA CONDOMINIO CARIOCA EDIFICIO IPANEMA TORRE 4 APTO 402 / BARRIO VILLA ESTRELLA CONDOMINIO CARIOCA EDIFICIO IPANEMA TORRE 4 APTO 402</v>
      </c>
      <c r="G3356" s="15" t="str">
        <f>IFERROR(__xludf.DUMMYFUNCTION("""COMPUTED_VALUE"""),"TAMMY CAROLINA URUETA REBOLLEDO")</f>
        <v>TAMMY CAROLINA URUETA REBOLLEDO</v>
      </c>
      <c r="H3356" s="16">
        <f>IFERROR(__xludf.DUMMYFUNCTION("""COMPUTED_VALUE"""),11865.0)</f>
        <v>11865</v>
      </c>
      <c r="I3356" s="18">
        <f>IFERROR(__xludf.DUMMYFUNCTION("""COMPUTED_VALUE"""),1.0)</f>
        <v>1</v>
      </c>
      <c r="J3356" s="18">
        <f>IFERROR(__xludf.DUMMYFUNCTION("""COMPUTED_VALUE"""),1.0)</f>
        <v>1</v>
      </c>
      <c r="K3356" s="18">
        <f>IFERROR(__xludf.DUMMYFUNCTION("""COMPUTED_VALUE"""),1.0)</f>
        <v>1</v>
      </c>
      <c r="L3356" s="17">
        <f>IFERROR(__xludf.DUMMYFUNCTION("""COMPUTED_VALUE"""),3.042103443E9)</f>
        <v>3042103443</v>
      </c>
      <c r="M3356" s="17" t="str">
        <f>IFERROR(__xludf.DUMMYFUNCTION("""COMPUTED_VALUE"""),"#REF!")</f>
        <v>#REF!</v>
      </c>
      <c r="N3356" s="17"/>
      <c r="O3356" s="17"/>
      <c r="P3356" s="17" t="b">
        <f>IFERROR(__xludf.DUMMYFUNCTION("""COMPUTED_VALUE"""),TRUE)</f>
        <v>1</v>
      </c>
      <c r="Q3356" s="20">
        <f>IFERROR(__xludf.DUMMYFUNCTION("""COMPUTED_VALUE"""),45099.733508888894)</f>
        <v>45099.73351</v>
      </c>
      <c r="R3356" s="21" t="str">
        <f>IFERROR(__xludf.DUMMYFUNCTION("""COMPUTED_VALUE"""),"https://drive.google.com/file/d/1vDeOEaipWsZlKPO9jp_GXNApmJXnQ_8D/view?usp=drivesdk")</f>
        <v>https://drive.google.com/file/d/1vDeOEaipWsZlKPO9jp_GXNApmJXnQ_8D/view?usp=drivesdk</v>
      </c>
    </row>
    <row r="3357">
      <c r="A3357" s="15">
        <f>IFERROR(__xludf.DUMMYFUNCTION("""COMPUTED_VALUE"""),45099.0)</f>
        <v>45099</v>
      </c>
      <c r="B3357" s="16" t="str">
        <f>IFERROR(__xludf.DUMMYFUNCTION("""COMPUTED_VALUE"""),"David Sanmartin Bello")</f>
        <v>David Sanmartin Bello</v>
      </c>
      <c r="C3357" s="15" t="str">
        <f>IFERROR(__xludf.DUMMYFUNCTION("""COMPUTED_VALUE"""),"CARTAGENA")</f>
        <v>CARTAGENA</v>
      </c>
      <c r="D3357" s="15" t="str">
        <f>IFERROR(__xludf.DUMMYFUNCTION("""COMPUTED_VALUE"""),"BOGOTÁ")</f>
        <v>BOGOTÁ</v>
      </c>
      <c r="E3357" s="15" t="str">
        <f>IFERROR(__xludf.DUMMYFUNCTION("""COMPUTED_VALUE"""),"Evamazzita")</f>
        <v>Evamazzita</v>
      </c>
      <c r="F3357" s="17" t="str">
        <f>IFERROR(__xludf.DUMMYFUNCTION("""COMPUTED_VALUE"""),"Calle 35 # 102 - 10 Condominio Torres de San José / Apto. 407 B /  Barrio San José de los campanos")</f>
        <v>Calle 35 # 102 - 10 Condominio Torres de San José / Apto. 407 B /  Barrio San José de los campanos</v>
      </c>
      <c r="G3357" s="15" t="str">
        <f>IFERROR(__xludf.DUMMYFUNCTION("""COMPUTED_VALUE"""),"FANNY CABARCAS ARTEAGA")</f>
        <v>FANNY CABARCAS ARTEAGA</v>
      </c>
      <c r="H3357" s="16">
        <f>IFERROR(__xludf.DUMMYFUNCTION("""COMPUTED_VALUE"""),11866.0)</f>
        <v>11866</v>
      </c>
      <c r="I3357" s="18">
        <f>IFERROR(__xludf.DUMMYFUNCTION("""COMPUTED_VALUE"""),1.0)</f>
        <v>1</v>
      </c>
      <c r="J3357" s="18">
        <f>IFERROR(__xludf.DUMMYFUNCTION("""COMPUTED_VALUE"""),1.0)</f>
        <v>1</v>
      </c>
      <c r="K3357" s="18">
        <f>IFERROR(__xludf.DUMMYFUNCTION("""COMPUTED_VALUE"""),1.0)</f>
        <v>1</v>
      </c>
      <c r="L3357" s="17">
        <f>IFERROR(__xludf.DUMMYFUNCTION("""COMPUTED_VALUE"""),3.014081162E9)</f>
        <v>3014081162</v>
      </c>
      <c r="M3357" s="17" t="str">
        <f>IFERROR(__xludf.DUMMYFUNCTION("""COMPUTED_VALUE"""),"#REF!")</f>
        <v>#REF!</v>
      </c>
      <c r="N3357" s="17"/>
      <c r="O3357" s="17"/>
      <c r="P3357" s="17" t="b">
        <f>IFERROR(__xludf.DUMMYFUNCTION("""COMPUTED_VALUE"""),TRUE)</f>
        <v>1</v>
      </c>
      <c r="Q3357" s="20">
        <f>IFERROR(__xludf.DUMMYFUNCTION("""COMPUTED_VALUE"""),45099.733508888894)</f>
        <v>45099.73351</v>
      </c>
      <c r="R3357" s="21" t="str">
        <f>IFERROR(__xludf.DUMMYFUNCTION("""COMPUTED_VALUE"""),"https://drive.google.com/file/d/1umetAsQXhate69LeV6bok8NirN4GtIJb/view?usp=drivesdk")</f>
        <v>https://drive.google.com/file/d/1umetAsQXhate69LeV6bok8NirN4GtIJb/view?usp=drivesdk</v>
      </c>
    </row>
    <row r="3358">
      <c r="A3358" s="15">
        <f>IFERROR(__xludf.DUMMYFUNCTION("""COMPUTED_VALUE"""),45099.0)</f>
        <v>45099</v>
      </c>
      <c r="B3358" s="16" t="str">
        <f>IFERROR(__xludf.DUMMYFUNCTION("""COMPUTED_VALUE"""),"David Sanmartin Bello")</f>
        <v>David Sanmartin Bello</v>
      </c>
      <c r="C3358" s="15" t="str">
        <f>IFERROR(__xludf.DUMMYFUNCTION("""COMPUTED_VALUE"""),"CARTAGENA")</f>
        <v>CARTAGENA</v>
      </c>
      <c r="D3358" s="15" t="str">
        <f>IFERROR(__xludf.DUMMYFUNCTION("""COMPUTED_VALUE"""),"BOGOTÁ")</f>
        <v>BOGOTÁ</v>
      </c>
      <c r="E3358" s="15" t="str">
        <f>IFERROR(__xludf.DUMMYFUNCTION("""COMPUTED_VALUE"""),"Evamazzita")</f>
        <v>Evamazzita</v>
      </c>
      <c r="F3358" s="17" t="str">
        <f>IFERROR(__xludf.DUMMYFUNCTION("""COMPUTED_VALUE"""),"Calle 68 N 15 73 /  Segundo Piso  / Barrio Daniel Lemaitre  Referencia entrando por el parque de Daniel Lemaitre")</f>
        <v>Calle 68 N 15 73 /  Segundo Piso  / Barrio Daniel Lemaitre  Referencia entrando por el parque de Daniel Lemaitre</v>
      </c>
      <c r="G3358" s="15" t="str">
        <f>IFERROR(__xludf.DUMMYFUNCTION("""COMPUTED_VALUE"""),"KATERIN ALIES ALVAREZ")</f>
        <v>KATERIN ALIES ALVAREZ</v>
      </c>
      <c r="H3358" s="16">
        <f>IFERROR(__xludf.DUMMYFUNCTION("""COMPUTED_VALUE"""),11863.0)</f>
        <v>11863</v>
      </c>
      <c r="I3358" s="18">
        <f>IFERROR(__xludf.DUMMYFUNCTION("""COMPUTED_VALUE"""),1.0)</f>
        <v>1</v>
      </c>
      <c r="J3358" s="18">
        <f>IFERROR(__xludf.DUMMYFUNCTION("""COMPUTED_VALUE"""),1.0)</f>
        <v>1</v>
      </c>
      <c r="K3358" s="18">
        <f>IFERROR(__xludf.DUMMYFUNCTION("""COMPUTED_VALUE"""),1.0)</f>
        <v>1</v>
      </c>
      <c r="L3358" s="17">
        <f>IFERROR(__xludf.DUMMYFUNCTION("""COMPUTED_VALUE"""),3.157537911E9)</f>
        <v>3157537911</v>
      </c>
      <c r="M3358" s="17" t="str">
        <f>IFERROR(__xludf.DUMMYFUNCTION("""COMPUTED_VALUE"""),"#REF!")</f>
        <v>#REF!</v>
      </c>
      <c r="N3358" s="17"/>
      <c r="O3358" s="17"/>
      <c r="P3358" s="17" t="b">
        <f>IFERROR(__xludf.DUMMYFUNCTION("""COMPUTED_VALUE"""),TRUE)</f>
        <v>1</v>
      </c>
      <c r="Q3358" s="20">
        <f>IFERROR(__xludf.DUMMYFUNCTION("""COMPUTED_VALUE"""),45099.733508888894)</f>
        <v>45099.73351</v>
      </c>
      <c r="R3358" s="21" t="str">
        <f>IFERROR(__xludf.DUMMYFUNCTION("""COMPUTED_VALUE"""),"https://drive.google.com/file/d/1ntc2uTWvDYPbBG1c1yl5yxePrfF3oT2z/view?usp=drivesdk")</f>
        <v>https://drive.google.com/file/d/1ntc2uTWvDYPbBG1c1yl5yxePrfF3oT2z/view?usp=drivesdk</v>
      </c>
    </row>
    <row r="3359">
      <c r="A3359" s="15">
        <f>IFERROR(__xludf.DUMMYFUNCTION("""COMPUTED_VALUE"""),45099.0)</f>
        <v>45099</v>
      </c>
      <c r="B3359" s="16" t="str">
        <f>IFERROR(__xludf.DUMMYFUNCTION("""COMPUTED_VALUE"""),"David Sanmartin Bello")</f>
        <v>David Sanmartin Bello</v>
      </c>
      <c r="C3359" s="15" t="str">
        <f>IFERROR(__xludf.DUMMYFUNCTION("""COMPUTED_VALUE"""),"CARTAGENA")</f>
        <v>CARTAGENA</v>
      </c>
      <c r="D3359" s="15" t="str">
        <f>IFERROR(__xludf.DUMMYFUNCTION("""COMPUTED_VALUE"""),"BOGOTÁ")</f>
        <v>BOGOTÁ</v>
      </c>
      <c r="E3359" s="15" t="str">
        <f>IFERROR(__xludf.DUMMYFUNCTION("""COMPUTED_VALUE"""),"Evamazzita")</f>
        <v>Evamazzita</v>
      </c>
      <c r="F3359" s="17" t="str">
        <f>IFERROR(__xludf.DUMMYFUNCTION("""COMPUTED_VALUE"""),"MZ 15 LOTE 16 TERCERA ETAPA / MZ 15 LOTE 16 TERCERA ETAPA / BARRIO LAS GAVIOTAS")</f>
        <v>MZ 15 LOTE 16 TERCERA ETAPA / MZ 15 LOTE 16 TERCERA ETAPA / BARRIO LAS GAVIOTAS</v>
      </c>
      <c r="G3359" s="15" t="str">
        <f>IFERROR(__xludf.DUMMYFUNCTION("""COMPUTED_VALUE"""),"SOL MARINA RODRIGUEZ JULIO")</f>
        <v>SOL MARINA RODRIGUEZ JULIO</v>
      </c>
      <c r="H3359" s="16">
        <f>IFERROR(__xludf.DUMMYFUNCTION("""COMPUTED_VALUE"""),11864.0)</f>
        <v>11864</v>
      </c>
      <c r="I3359" s="18">
        <f>IFERROR(__xludf.DUMMYFUNCTION("""COMPUTED_VALUE"""),1.0)</f>
        <v>1</v>
      </c>
      <c r="J3359" s="18">
        <f>IFERROR(__xludf.DUMMYFUNCTION("""COMPUTED_VALUE"""),1.0)</f>
        <v>1</v>
      </c>
      <c r="K3359" s="18">
        <f>IFERROR(__xludf.DUMMYFUNCTION("""COMPUTED_VALUE"""),1.0)</f>
        <v>1</v>
      </c>
      <c r="L3359" s="17">
        <f>IFERROR(__xludf.DUMMYFUNCTION("""COMPUTED_VALUE"""),3.148409236E9)</f>
        <v>3148409236</v>
      </c>
      <c r="M3359" s="17" t="str">
        <f>IFERROR(__xludf.DUMMYFUNCTION("""COMPUTED_VALUE"""),"#REF!")</f>
        <v>#REF!</v>
      </c>
      <c r="N3359" s="17"/>
      <c r="O3359" s="17"/>
      <c r="P3359" s="17" t="b">
        <f>IFERROR(__xludf.DUMMYFUNCTION("""COMPUTED_VALUE"""),TRUE)</f>
        <v>1</v>
      </c>
      <c r="Q3359" s="20">
        <f>IFERROR(__xludf.DUMMYFUNCTION("""COMPUTED_VALUE"""),45099.733508888894)</f>
        <v>45099.73351</v>
      </c>
      <c r="R3359" s="21" t="str">
        <f>IFERROR(__xludf.DUMMYFUNCTION("""COMPUTED_VALUE"""),"https://drive.google.com/file/d/1dC8WZ7oqWU42d5xBmCRMJzS8dzZpOQXV/view?usp=drivesdk")</f>
        <v>https://drive.google.com/file/d/1dC8WZ7oqWU42d5xBmCRMJzS8dzZpOQXV/view?usp=drivesdk</v>
      </c>
    </row>
    <row r="3360">
      <c r="A3360" s="17" t="str">
        <f>IFERROR(__xludf.DUMMYFUNCTION("""COMPUTED_VALUE"""),"")</f>
        <v/>
      </c>
      <c r="B3360" s="17" t="str">
        <f>IFERROR(__xludf.DUMMYFUNCTION("""COMPUTED_VALUE"""),"")</f>
        <v/>
      </c>
      <c r="C3360" s="17" t="str">
        <f>IFERROR(__xludf.DUMMYFUNCTION("""COMPUTED_VALUE"""),"")</f>
        <v/>
      </c>
      <c r="D3360" s="17" t="str">
        <f>IFERROR(__xludf.DUMMYFUNCTION("""COMPUTED_VALUE"""),"")</f>
        <v/>
      </c>
      <c r="E3360" s="17" t="str">
        <f>IFERROR(__xludf.DUMMYFUNCTION("""COMPUTED_VALUE"""),"")</f>
        <v/>
      </c>
      <c r="F3360" s="17" t="str">
        <f>IFERROR(__xludf.DUMMYFUNCTION("""COMPUTED_VALUE"""),"")</f>
        <v/>
      </c>
      <c r="G3360" s="17" t="str">
        <f>IFERROR(__xludf.DUMMYFUNCTION("""COMPUTED_VALUE"""),"")</f>
        <v/>
      </c>
      <c r="H3360" s="17" t="str">
        <f>IFERROR(__xludf.DUMMYFUNCTION("""COMPUTED_VALUE"""),"")</f>
        <v/>
      </c>
      <c r="I3360" s="17" t="str">
        <f>IFERROR(__xludf.DUMMYFUNCTION("""COMPUTED_VALUE"""),"")</f>
        <v/>
      </c>
      <c r="J3360" s="17" t="str">
        <f>IFERROR(__xludf.DUMMYFUNCTION("""COMPUTED_VALUE"""),"")</f>
        <v/>
      </c>
      <c r="K3360" s="17" t="str">
        <f>IFERROR(__xludf.DUMMYFUNCTION("""COMPUTED_VALUE"""),"")</f>
        <v/>
      </c>
      <c r="L3360" s="17" t="str">
        <f>IFERROR(__xludf.DUMMYFUNCTION("""COMPUTED_VALUE"""),"")</f>
        <v/>
      </c>
      <c r="M3360" s="17" t="str">
        <f>IFERROR(__xludf.DUMMYFUNCTION("""COMPUTED_VALUE"""),"")</f>
        <v/>
      </c>
      <c r="N3360" s="17" t="str">
        <f>IFERROR(__xludf.DUMMYFUNCTION("""COMPUTED_VALUE"""),"")</f>
        <v/>
      </c>
      <c r="O3360" s="17" t="str">
        <f>IFERROR(__xludf.DUMMYFUNCTION("""COMPUTED_VALUE"""),"")</f>
        <v/>
      </c>
      <c r="P3360" s="17" t="str">
        <f>IFERROR(__xludf.DUMMYFUNCTION("""COMPUTED_VALUE"""),"")</f>
        <v/>
      </c>
      <c r="Q3360" s="17" t="str">
        <f>IFERROR(__xludf.DUMMYFUNCTION("""COMPUTED_VALUE"""),"")</f>
        <v/>
      </c>
      <c r="R3360" s="17" t="str">
        <f>IFERROR(__xludf.DUMMYFUNCTION("""COMPUTED_VALUE"""),"")</f>
        <v/>
      </c>
    </row>
    <row r="3361">
      <c r="A3361" s="15">
        <f>IFERROR(__xludf.DUMMYFUNCTION("""COMPUTED_VALUE"""),45099.0)</f>
        <v>45099</v>
      </c>
      <c r="B3361" s="16" t="str">
        <f>IFERROR(__xludf.DUMMYFUNCTION("""COMPUTED_VALUE"""),"Envia")</f>
        <v>Envia</v>
      </c>
      <c r="C3361" s="15" t="str">
        <f>IFERROR(__xludf.DUMMYFUNCTION("""COMPUTED_VALUE"""),"CALI")</f>
        <v>CALI</v>
      </c>
      <c r="D3361" s="15" t="str">
        <f>IFERROR(__xludf.DUMMYFUNCTION("""COMPUTED_VALUE"""),"MEDELLÍN")</f>
        <v>MEDELLÍN</v>
      </c>
      <c r="E3361" s="15" t="str">
        <f>IFERROR(__xludf.DUMMYFUNCTION("""COMPUTED_VALUE"""),"Baby Chef")</f>
        <v>Baby Chef</v>
      </c>
      <c r="F3361" s="17" t="str">
        <f>IFERROR(__xludf.DUMMYFUNCTION("""COMPUTED_VALUE"""),"Carrera 28 #44-50 / Primer Piso  Barrio Sindical / Carrera 28 #44-50 / Primer Piso  Barrio Sindical / Carrera 28 #44-50 / Primer Piso  Barrio Sindical")</f>
        <v>Carrera 28 #44-50 / Primer Piso  Barrio Sindical / Carrera 28 #44-50 / Primer Piso  Barrio Sindical / Carrera 28 #44-50 / Primer Piso  Barrio Sindical</v>
      </c>
      <c r="G3361" s="15" t="str">
        <f>IFERROR(__xludf.DUMMYFUNCTION("""COMPUTED_VALUE"""),"Stephania Narváez")</f>
        <v>Stephania Narváez</v>
      </c>
      <c r="H3361" s="16">
        <f>IFERROR(__xludf.DUMMYFUNCTION("""COMPUTED_VALUE"""),11945.0)</f>
        <v>11945</v>
      </c>
      <c r="I3361" s="18">
        <f>IFERROR(__xludf.DUMMYFUNCTION("""COMPUTED_VALUE"""),8.0)</f>
        <v>8</v>
      </c>
      <c r="J3361" s="18">
        <f>IFERROR(__xludf.DUMMYFUNCTION("""COMPUTED_VALUE"""),16.0)</f>
        <v>16</v>
      </c>
      <c r="K3361" s="18">
        <f>IFERROR(__xludf.DUMMYFUNCTION("""COMPUTED_VALUE"""),20.0)</f>
        <v>20</v>
      </c>
      <c r="L3361" s="17">
        <f>IFERROR(__xludf.DUMMYFUNCTION("""COMPUTED_VALUE"""),3.122399554E9)</f>
        <v>3122399554</v>
      </c>
      <c r="M3361" s="17" t="str">
        <f>IFERROR(__xludf.DUMMYFUNCTION("""COMPUTED_VALUE"""),"#REF!")</f>
        <v>#REF!</v>
      </c>
      <c r="N3361" s="17"/>
      <c r="O3361" s="17"/>
      <c r="P3361" s="17" t="b">
        <f>IFERROR(__xludf.DUMMYFUNCTION("""COMPUTED_VALUE"""),TRUE)</f>
        <v>1</v>
      </c>
      <c r="Q3361" s="20">
        <f>IFERROR(__xludf.DUMMYFUNCTION("""COMPUTED_VALUE"""),45099.733508888894)</f>
        <v>45099.73351</v>
      </c>
      <c r="R3361" s="21" t="str">
        <f>IFERROR(__xludf.DUMMYFUNCTION("""COMPUTED_VALUE"""),"https://drive.google.com/file/d/10EDd9unkO_I8f1N4GE9R60OTq9LGbzaa/view?usp=drivesdk")</f>
        <v>https://drive.google.com/file/d/10EDd9unkO_I8f1N4GE9R60OTq9LGbzaa/view?usp=drivesdk</v>
      </c>
    </row>
    <row r="3362">
      <c r="A3362" s="15">
        <f>IFERROR(__xludf.DUMMYFUNCTION("""COMPUTED_VALUE"""),45099.0)</f>
        <v>45099</v>
      </c>
      <c r="B3362" s="16" t="str">
        <f>IFERROR(__xludf.DUMMYFUNCTION("""COMPUTED_VALUE"""),"Envia")</f>
        <v>Envia</v>
      </c>
      <c r="C3362" s="15" t="str">
        <f>IFERROR(__xludf.DUMMYFUNCTION("""COMPUTED_VALUE"""),"CALI")</f>
        <v>CALI</v>
      </c>
      <c r="D3362" s="15" t="str">
        <f>IFERROR(__xludf.DUMMYFUNCTION("""COMPUTED_VALUE"""),"MEDELLÍN")</f>
        <v>MEDELLÍN</v>
      </c>
      <c r="E3362" s="15" t="str">
        <f>IFERROR(__xludf.DUMMYFUNCTION("""COMPUTED_VALUE"""),"Moloso S.A.S")</f>
        <v>Moloso S.A.S</v>
      </c>
      <c r="F3362" s="17" t="str">
        <f>IFERROR(__xludf.DUMMYFUNCTION("""COMPUTED_VALUE"""),"CL 10 CR 118 1 55 / APT 1003B")</f>
        <v>CL 10 CR 118 1 55 / APT 1003B</v>
      </c>
      <c r="G3362" s="15" t="str">
        <f>IFERROR(__xludf.DUMMYFUNCTION("""COMPUTED_VALUE"""),"NICOLE CRUZ MUÑOZ")</f>
        <v>NICOLE CRUZ MUÑOZ</v>
      </c>
      <c r="H3362" s="16">
        <f>IFERROR(__xludf.DUMMYFUNCTION("""COMPUTED_VALUE"""),11938.0)</f>
        <v>11938</v>
      </c>
      <c r="I3362" s="18">
        <f>IFERROR(__xludf.DUMMYFUNCTION("""COMPUTED_VALUE"""),17.0)</f>
        <v>17</v>
      </c>
      <c r="J3362" s="18">
        <f>IFERROR(__xludf.DUMMYFUNCTION("""COMPUTED_VALUE"""),15.0)</f>
        <v>15</v>
      </c>
      <c r="K3362" s="18">
        <f>IFERROR(__xludf.DUMMYFUNCTION("""COMPUTED_VALUE"""),28.0)</f>
        <v>28</v>
      </c>
      <c r="L3362" s="17" t="str">
        <f>IFERROR(__xludf.DUMMYFUNCTION("""COMPUTED_VALUE"""),"316 0470203")</f>
        <v>316 0470203</v>
      </c>
      <c r="M3362" s="17" t="str">
        <f>IFERROR(__xludf.DUMMYFUNCTION("""COMPUTED_VALUE"""),"#REF!")</f>
        <v>#REF!</v>
      </c>
      <c r="N3362" s="17"/>
      <c r="O3362" s="17"/>
      <c r="P3362" s="17" t="b">
        <f>IFERROR(__xludf.DUMMYFUNCTION("""COMPUTED_VALUE"""),TRUE)</f>
        <v>1</v>
      </c>
      <c r="Q3362" s="20">
        <f>IFERROR(__xludf.DUMMYFUNCTION("""COMPUTED_VALUE"""),45099.733508888894)</f>
        <v>45099.73351</v>
      </c>
      <c r="R3362" s="21" t="str">
        <f>IFERROR(__xludf.DUMMYFUNCTION("""COMPUTED_VALUE"""),"https://drive.google.com/file/d/1d-4foEQEfVGcGSOwLFm4KakJx0J4Bb_l/view?usp=drivesdk")</f>
        <v>https://drive.google.com/file/d/1d-4foEQEfVGcGSOwLFm4KakJx0J4Bb_l/view?usp=drivesdk</v>
      </c>
    </row>
    <row r="3363">
      <c r="A3363" s="15">
        <f>IFERROR(__xludf.DUMMYFUNCTION("""COMPUTED_VALUE"""),45099.0)</f>
        <v>45099</v>
      </c>
      <c r="B3363" s="16" t="str">
        <f>IFERROR(__xludf.DUMMYFUNCTION("""COMPUTED_VALUE"""),"Envia")</f>
        <v>Envia</v>
      </c>
      <c r="C3363" s="15" t="str">
        <f>IFERROR(__xludf.DUMMYFUNCTION("""COMPUTED_VALUE"""),"CÚCUTA")</f>
        <v>CÚCUTA</v>
      </c>
      <c r="D3363" s="15" t="str">
        <f>IFERROR(__xludf.DUMMYFUNCTION("""COMPUTED_VALUE"""),"MEDELLÍN")</f>
        <v>MEDELLÍN</v>
      </c>
      <c r="E3363" s="15" t="str">
        <f>IFERROR(__xludf.DUMMYFUNCTION("""COMPUTED_VALUE"""),"Momo Tea S.A.S Gabriel Echavarría")</f>
        <v>Momo Tea S.A.S Gabriel Echavarría</v>
      </c>
      <c r="F3363" s="17" t="str">
        <f>IFERROR(__xludf.DUMMYFUNCTION("""COMPUTED_VALUE"""),"CL 11 N 16 E 35 / CA B 1")</f>
        <v>CL 11 N 16 E 35 / CA B 1</v>
      </c>
      <c r="G3363" s="15" t="str">
        <f>IFERROR(__xludf.DUMMYFUNCTION("""COMPUTED_VALUE"""),"Gabriel Echavarría")</f>
        <v>Gabriel Echavarría</v>
      </c>
      <c r="H3363" s="16">
        <f>IFERROR(__xludf.DUMMYFUNCTION("""COMPUTED_VALUE"""),11902.0)</f>
        <v>11902</v>
      </c>
      <c r="I3363" s="18">
        <f>IFERROR(__xludf.DUMMYFUNCTION("""COMPUTED_VALUE"""),21.0)</f>
        <v>21</v>
      </c>
      <c r="J3363" s="18">
        <f>IFERROR(__xludf.DUMMYFUNCTION("""COMPUTED_VALUE"""),29.0)</f>
        <v>29</v>
      </c>
      <c r="K3363" s="18">
        <f>IFERROR(__xludf.DUMMYFUNCTION("""COMPUTED_VALUE"""),29.0)</f>
        <v>29</v>
      </c>
      <c r="L3363" s="17">
        <f>IFERROR(__xludf.DUMMYFUNCTION("""COMPUTED_VALUE"""),3.017909548E9)</f>
        <v>3017909548</v>
      </c>
      <c r="M3363" s="17" t="str">
        <f>IFERROR(__xludf.DUMMYFUNCTION("""COMPUTED_VALUE"""),"#REF!")</f>
        <v>#REF!</v>
      </c>
      <c r="N3363" s="17"/>
      <c r="O3363" s="17"/>
      <c r="P3363" s="17" t="b">
        <f>IFERROR(__xludf.DUMMYFUNCTION("""COMPUTED_VALUE"""),TRUE)</f>
        <v>1</v>
      </c>
      <c r="Q3363" s="20">
        <f>IFERROR(__xludf.DUMMYFUNCTION("""COMPUTED_VALUE"""),45099.543249571754)</f>
        <v>45099.54325</v>
      </c>
      <c r="R3363" s="22" t="str">
        <f>IFERROR(__xludf.DUMMYFUNCTION("""COMPUTED_VALUE"""),"")</f>
        <v/>
      </c>
    </row>
    <row r="3364">
      <c r="A3364" s="15">
        <f>IFERROR(__xludf.DUMMYFUNCTION("""COMPUTED_VALUE"""),45099.0)</f>
        <v>45099</v>
      </c>
      <c r="B3364" s="16" t="str">
        <f>IFERROR(__xludf.DUMMYFUNCTION("""COMPUTED_VALUE"""),"Envia")</f>
        <v>Envia</v>
      </c>
      <c r="C3364" s="15" t="str">
        <f>IFERROR(__xludf.DUMMYFUNCTION("""COMPUTED_VALUE"""),"CÚCUTA")</f>
        <v>CÚCUTA</v>
      </c>
      <c r="D3364" s="15" t="str">
        <f>IFERROR(__xludf.DUMMYFUNCTION("""COMPUTED_VALUE"""),"MEDELLÍN")</f>
        <v>MEDELLÍN</v>
      </c>
      <c r="E3364" s="15" t="str">
        <f>IFERROR(__xludf.DUMMYFUNCTION("""COMPUTED_VALUE"""),"Momo Tea S.A.S Gabriel Echavarría")</f>
        <v>Momo Tea S.A.S Gabriel Echavarría</v>
      </c>
      <c r="F3364" s="17" t="str">
        <f>IFERROR(__xludf.DUMMYFUNCTION("""COMPUTED_VALUE"""),"CL 11 N 16 E 35 / CA B 1")</f>
        <v>CL 11 N 16 E 35 / CA B 1</v>
      </c>
      <c r="G3364" s="15" t="str">
        <f>IFERROR(__xludf.DUMMYFUNCTION("""COMPUTED_VALUE"""),"Gabriel Echavarría")</f>
        <v>Gabriel Echavarría</v>
      </c>
      <c r="H3364" s="16">
        <f>IFERROR(__xludf.DUMMYFUNCTION("""COMPUTED_VALUE"""),11903.0)</f>
        <v>11903</v>
      </c>
      <c r="I3364" s="18">
        <f>IFERROR(__xludf.DUMMYFUNCTION("""COMPUTED_VALUE"""),28.0)</f>
        <v>28</v>
      </c>
      <c r="J3364" s="18">
        <f>IFERROR(__xludf.DUMMYFUNCTION("""COMPUTED_VALUE"""),54.0)</f>
        <v>54</v>
      </c>
      <c r="K3364" s="18">
        <f>IFERROR(__xludf.DUMMYFUNCTION("""COMPUTED_VALUE"""),35.0)</f>
        <v>35</v>
      </c>
      <c r="L3364" s="17">
        <f>IFERROR(__xludf.DUMMYFUNCTION("""COMPUTED_VALUE"""),3.017909548E9)</f>
        <v>3017909548</v>
      </c>
      <c r="M3364" s="17" t="str">
        <f>IFERROR(__xludf.DUMMYFUNCTION("""COMPUTED_VALUE"""),"#REF!")</f>
        <v>#REF!</v>
      </c>
      <c r="N3364" s="17"/>
      <c r="O3364" s="17"/>
      <c r="P3364" s="17" t="b">
        <f>IFERROR(__xludf.DUMMYFUNCTION("""COMPUTED_VALUE"""),TRUE)</f>
        <v>1</v>
      </c>
      <c r="Q3364" s="20">
        <f>IFERROR(__xludf.DUMMYFUNCTION("""COMPUTED_VALUE"""),45099.48314065972)</f>
        <v>45099.48314</v>
      </c>
      <c r="R3364" s="22" t="str">
        <f>IFERROR(__xludf.DUMMYFUNCTION("""COMPUTED_VALUE"""),"")</f>
        <v/>
      </c>
    </row>
    <row r="3365">
      <c r="A3365" s="15">
        <f>IFERROR(__xludf.DUMMYFUNCTION("""COMPUTED_VALUE"""),45099.0)</f>
        <v>45099</v>
      </c>
      <c r="B3365" s="16" t="str">
        <f>IFERROR(__xludf.DUMMYFUNCTION("""COMPUTED_VALUE"""),"Envia")</f>
        <v>Envia</v>
      </c>
      <c r="C3365" s="15" t="str">
        <f>IFERROR(__xludf.DUMMYFUNCTION("""COMPUTED_VALUE"""),"CÚCUTA")</f>
        <v>CÚCUTA</v>
      </c>
      <c r="D3365" s="15" t="str">
        <f>IFERROR(__xludf.DUMMYFUNCTION("""COMPUTED_VALUE"""),"MEDELLÍN")</f>
        <v>MEDELLÍN</v>
      </c>
      <c r="E3365" s="15" t="str">
        <f>IFERROR(__xludf.DUMMYFUNCTION("""COMPUTED_VALUE"""),"Momo Tea S.A.S Gabriel Echavarría")</f>
        <v>Momo Tea S.A.S Gabriel Echavarría</v>
      </c>
      <c r="F3365" s="17" t="str">
        <f>IFERROR(__xludf.DUMMYFUNCTION("""COMPUTED_VALUE"""),"CL 11 N 16 E 35 / CA B 1")</f>
        <v>CL 11 N 16 E 35 / CA B 1</v>
      </c>
      <c r="G3365" s="15" t="str">
        <f>IFERROR(__xludf.DUMMYFUNCTION("""COMPUTED_VALUE"""),"Gabriel Echavarría")</f>
        <v>Gabriel Echavarría</v>
      </c>
      <c r="H3365" s="16">
        <f>IFERROR(__xludf.DUMMYFUNCTION("""COMPUTED_VALUE"""),11904.0)</f>
        <v>11904</v>
      </c>
      <c r="I3365" s="18">
        <f>IFERROR(__xludf.DUMMYFUNCTION("""COMPUTED_VALUE"""),39.0)</f>
        <v>39</v>
      </c>
      <c r="J3365" s="18">
        <f>IFERROR(__xludf.DUMMYFUNCTION("""COMPUTED_VALUE"""),27.0)</f>
        <v>27</v>
      </c>
      <c r="K3365" s="18">
        <f>IFERROR(__xludf.DUMMYFUNCTION("""COMPUTED_VALUE"""),27.0)</f>
        <v>27</v>
      </c>
      <c r="L3365" s="17">
        <f>IFERROR(__xludf.DUMMYFUNCTION("""COMPUTED_VALUE"""),3.017909548E9)</f>
        <v>3017909548</v>
      </c>
      <c r="M3365" s="17" t="str">
        <f>IFERROR(__xludf.DUMMYFUNCTION("""COMPUTED_VALUE"""),"#REF!")</f>
        <v>#REF!</v>
      </c>
      <c r="N3365" s="17"/>
      <c r="O3365" s="17"/>
      <c r="P3365" s="17" t="b">
        <f>IFERROR(__xludf.DUMMYFUNCTION("""COMPUTED_VALUE"""),TRUE)</f>
        <v>1</v>
      </c>
      <c r="Q3365" s="20">
        <f>IFERROR(__xludf.DUMMYFUNCTION("""COMPUTED_VALUE"""),45099.48318234953)</f>
        <v>45099.48318</v>
      </c>
      <c r="R3365" s="22" t="str">
        <f>IFERROR(__xludf.DUMMYFUNCTION("""COMPUTED_VALUE"""),"")</f>
        <v/>
      </c>
    </row>
    <row r="3366">
      <c r="A3366" s="15">
        <f>IFERROR(__xludf.DUMMYFUNCTION("""COMPUTED_VALUE"""),45099.0)</f>
        <v>45099</v>
      </c>
      <c r="B3366" s="16" t="str">
        <f>IFERROR(__xludf.DUMMYFUNCTION("""COMPUTED_VALUE"""),"Envia")</f>
        <v>Envia</v>
      </c>
      <c r="C3366" s="15" t="str">
        <f>IFERROR(__xludf.DUMMYFUNCTION("""COMPUTED_VALUE"""),"CÚCUTA")</f>
        <v>CÚCUTA</v>
      </c>
      <c r="D3366" s="15" t="str">
        <f>IFERROR(__xludf.DUMMYFUNCTION("""COMPUTED_VALUE"""),"MEDELLÍN")</f>
        <v>MEDELLÍN</v>
      </c>
      <c r="E3366" s="15" t="str">
        <f>IFERROR(__xludf.DUMMYFUNCTION("""COMPUTED_VALUE"""),"Momo Tea S.A.S Gabriel Echavarría")</f>
        <v>Momo Tea S.A.S Gabriel Echavarría</v>
      </c>
      <c r="F3366" s="17" t="str">
        <f>IFERROR(__xludf.DUMMYFUNCTION("""COMPUTED_VALUE"""),"CL 11 N 16 E 35 / CA B 1")</f>
        <v>CL 11 N 16 E 35 / CA B 1</v>
      </c>
      <c r="G3366" s="15" t="str">
        <f>IFERROR(__xludf.DUMMYFUNCTION("""COMPUTED_VALUE"""),"Gabriel Echavarría")</f>
        <v>Gabriel Echavarría</v>
      </c>
      <c r="H3366" s="16">
        <f>IFERROR(__xludf.DUMMYFUNCTION("""COMPUTED_VALUE"""),11905.0)</f>
        <v>11905</v>
      </c>
      <c r="I3366" s="18">
        <f>IFERROR(__xludf.DUMMYFUNCTION("""COMPUTED_VALUE"""),30.0)</f>
        <v>30</v>
      </c>
      <c r="J3366" s="18">
        <f>IFERROR(__xludf.DUMMYFUNCTION("""COMPUTED_VALUE"""),8.0)</f>
        <v>8</v>
      </c>
      <c r="K3366" s="18">
        <f>IFERROR(__xludf.DUMMYFUNCTION("""COMPUTED_VALUE"""),18.0)</f>
        <v>18</v>
      </c>
      <c r="L3366" s="17">
        <f>IFERROR(__xludf.DUMMYFUNCTION("""COMPUTED_VALUE"""),3.017909548E9)</f>
        <v>3017909548</v>
      </c>
      <c r="M3366" s="17" t="str">
        <f>IFERROR(__xludf.DUMMYFUNCTION("""COMPUTED_VALUE"""),"#REF!")</f>
        <v>#REF!</v>
      </c>
      <c r="N3366" s="17"/>
      <c r="O3366" s="17"/>
      <c r="P3366" s="17" t="b">
        <f>IFERROR(__xludf.DUMMYFUNCTION("""COMPUTED_VALUE"""),TRUE)</f>
        <v>1</v>
      </c>
      <c r="Q3366" s="20">
        <f>IFERROR(__xludf.DUMMYFUNCTION("""COMPUTED_VALUE"""),45099.48293895833)</f>
        <v>45099.48294</v>
      </c>
      <c r="R3366" s="22" t="str">
        <f>IFERROR(__xludf.DUMMYFUNCTION("""COMPUTED_VALUE"""),"")</f>
        <v/>
      </c>
    </row>
    <row r="3367">
      <c r="A3367" s="15">
        <f>IFERROR(__xludf.DUMMYFUNCTION("""COMPUTED_VALUE"""),45099.0)</f>
        <v>45099</v>
      </c>
      <c r="B3367" s="16" t="str">
        <f>IFERROR(__xludf.DUMMYFUNCTION("""COMPUTED_VALUE"""),"Envia")</f>
        <v>Envia</v>
      </c>
      <c r="C3367" s="15" t="str">
        <f>IFERROR(__xludf.DUMMYFUNCTION("""COMPUTED_VALUE"""),"CÚCUTA")</f>
        <v>CÚCUTA</v>
      </c>
      <c r="D3367" s="15" t="str">
        <f>IFERROR(__xludf.DUMMYFUNCTION("""COMPUTED_VALUE"""),"MEDELLÍN")</f>
        <v>MEDELLÍN</v>
      </c>
      <c r="E3367" s="15" t="str">
        <f>IFERROR(__xludf.DUMMYFUNCTION("""COMPUTED_VALUE"""),"Momo Tea S.A.S Gabriel Echavarría")</f>
        <v>Momo Tea S.A.S Gabriel Echavarría</v>
      </c>
      <c r="F3367" s="17" t="str">
        <f>IFERROR(__xludf.DUMMYFUNCTION("""COMPUTED_VALUE"""),"CL 11 N 16 E 35 / CA B 1")</f>
        <v>CL 11 N 16 E 35 / CA B 1</v>
      </c>
      <c r="G3367" s="15" t="str">
        <f>IFERROR(__xludf.DUMMYFUNCTION("""COMPUTED_VALUE"""),"Gabriel Echavarría")</f>
        <v>Gabriel Echavarría</v>
      </c>
      <c r="H3367" s="16">
        <f>IFERROR(__xludf.DUMMYFUNCTION("""COMPUTED_VALUE"""),11906.0)</f>
        <v>11906</v>
      </c>
      <c r="I3367" s="18">
        <f>IFERROR(__xludf.DUMMYFUNCTION("""COMPUTED_VALUE"""),17.0)</f>
        <v>17</v>
      </c>
      <c r="J3367" s="18">
        <f>IFERROR(__xludf.DUMMYFUNCTION("""COMPUTED_VALUE"""),17.0)</f>
        <v>17</v>
      </c>
      <c r="K3367" s="18">
        <f>IFERROR(__xludf.DUMMYFUNCTION("""COMPUTED_VALUE"""),23.0)</f>
        <v>23</v>
      </c>
      <c r="L3367" s="17">
        <f>IFERROR(__xludf.DUMMYFUNCTION("""COMPUTED_VALUE"""),3.017909548E9)</f>
        <v>3017909548</v>
      </c>
      <c r="M3367" s="17" t="str">
        <f>IFERROR(__xludf.DUMMYFUNCTION("""COMPUTED_VALUE"""),"#REF!")</f>
        <v>#REF!</v>
      </c>
      <c r="N3367" s="17"/>
      <c r="O3367" s="17"/>
      <c r="P3367" s="17" t="b">
        <f>IFERROR(__xludf.DUMMYFUNCTION("""COMPUTED_VALUE"""),TRUE)</f>
        <v>1</v>
      </c>
      <c r="Q3367" s="20">
        <f>IFERROR(__xludf.DUMMYFUNCTION("""COMPUTED_VALUE"""),45099.48298217593)</f>
        <v>45099.48298</v>
      </c>
      <c r="R3367" s="22" t="str">
        <f>IFERROR(__xludf.DUMMYFUNCTION("""COMPUTED_VALUE"""),"")</f>
        <v/>
      </c>
    </row>
    <row r="3368">
      <c r="A3368" s="15">
        <f>IFERROR(__xludf.DUMMYFUNCTION("""COMPUTED_VALUE"""),45099.0)</f>
        <v>45099</v>
      </c>
      <c r="B3368" s="16" t="str">
        <f>IFERROR(__xludf.DUMMYFUNCTION("""COMPUTED_VALUE"""),"Envia")</f>
        <v>Envia</v>
      </c>
      <c r="C3368" s="15" t="str">
        <f>IFERROR(__xludf.DUMMYFUNCTION("""COMPUTED_VALUE"""),"MONTERIA")</f>
        <v>MONTERIA</v>
      </c>
      <c r="D3368" s="15" t="str">
        <f>IFERROR(__xludf.DUMMYFUNCTION("""COMPUTED_VALUE"""),"MEDELLÍN")</f>
        <v>MEDELLÍN</v>
      </c>
      <c r="E3368" s="15" t="str">
        <f>IFERROR(__xludf.DUMMYFUNCTION("""COMPUTED_VALUE"""),"Rambla")</f>
        <v>Rambla</v>
      </c>
      <c r="F3368" s="17" t="str">
        <f>IFERROR(__xludf.DUMMYFUNCTION("""COMPUTED_VALUE"""),"Calle 48 con la cra 9 local 128 dentro del exito Alamedas / na / na")</f>
        <v>Calle 48 con la cra 9 local 128 dentro del exito Alamedas / na / na</v>
      </c>
      <c r="G3368" s="15" t="str">
        <f>IFERROR(__xludf.DUMMYFUNCTION("""COMPUTED_VALUE"""),"Zona azul")</f>
        <v>Zona azul</v>
      </c>
      <c r="H3368" s="16">
        <f>IFERROR(__xludf.DUMMYFUNCTION("""COMPUTED_VALUE"""),11934.0)</f>
        <v>11934</v>
      </c>
      <c r="I3368" s="18">
        <f>IFERROR(__xludf.DUMMYFUNCTION("""COMPUTED_VALUE"""),18.0)</f>
        <v>18</v>
      </c>
      <c r="J3368" s="18">
        <f>IFERROR(__xludf.DUMMYFUNCTION("""COMPUTED_VALUE"""),22.0)</f>
        <v>22</v>
      </c>
      <c r="K3368" s="18">
        <f>IFERROR(__xludf.DUMMYFUNCTION("""COMPUTED_VALUE"""),25.0)</f>
        <v>25</v>
      </c>
      <c r="L3368" s="17">
        <f>IFERROR(__xludf.DUMMYFUNCTION("""COMPUTED_VALUE"""),3.053529729E9)</f>
        <v>3053529729</v>
      </c>
      <c r="M3368" s="17" t="str">
        <f>IFERROR(__xludf.DUMMYFUNCTION("""COMPUTED_VALUE"""),"#REF!")</f>
        <v>#REF!</v>
      </c>
      <c r="N3368" s="17"/>
      <c r="O3368" s="17"/>
      <c r="P3368" s="17" t="b">
        <f>IFERROR(__xludf.DUMMYFUNCTION("""COMPUTED_VALUE"""),FALSE)</f>
        <v>0</v>
      </c>
      <c r="Q3368" s="20" t="str">
        <f>IFERROR(__xludf.DUMMYFUNCTION("""COMPUTED_VALUE"""),"")</f>
        <v/>
      </c>
      <c r="R3368" s="22" t="str">
        <f>IFERROR(__xludf.DUMMYFUNCTION("""COMPUTED_VALUE"""),"")</f>
        <v/>
      </c>
    </row>
    <row r="3369">
      <c r="A3369" s="15">
        <f>IFERROR(__xludf.DUMMYFUNCTION("""COMPUTED_VALUE"""),45099.0)</f>
        <v>45099</v>
      </c>
      <c r="B3369" s="16" t="str">
        <f>IFERROR(__xludf.DUMMYFUNCTION("""COMPUTED_VALUE"""),"Envia")</f>
        <v>Envia</v>
      </c>
      <c r="C3369" s="15" t="str">
        <f>IFERROR(__xludf.DUMMYFUNCTION("""COMPUTED_VALUE"""),"NEIVA")</f>
        <v>NEIVA</v>
      </c>
      <c r="D3369" s="15" t="str">
        <f>IFERROR(__xludf.DUMMYFUNCTION("""COMPUTED_VALUE"""),"BOGOTÁ")</f>
        <v>BOGOTÁ</v>
      </c>
      <c r="E3369" s="15" t="str">
        <f>IFERROR(__xludf.DUMMYFUNCTION("""COMPUTED_VALUE"""),"Evamazzita")</f>
        <v>Evamazzita</v>
      </c>
      <c r="F3369" s="17" t="str">
        <f>IFERROR(__xludf.DUMMYFUNCTION("""COMPUTED_VALUE"""),"AVENIDA 26 No. 27 - 94  / CONJUNTO RESIDENCIAL SANTA LUCÍA- TORRE 2 APTO 204  / BARRIO LAS GRANJAS")</f>
        <v>AVENIDA 26 No. 27 - 94  / CONJUNTO RESIDENCIAL SANTA LUCÍA- TORRE 2 APTO 204  / BARRIO LAS GRANJAS</v>
      </c>
      <c r="G3369" s="15" t="str">
        <f>IFERROR(__xludf.DUMMYFUNCTION("""COMPUTED_VALUE"""),"ANA MARIA SANTOFIMIO MENDEZ")</f>
        <v>ANA MARIA SANTOFIMIO MENDEZ</v>
      </c>
      <c r="H3369" s="16">
        <f>IFERROR(__xludf.DUMMYFUNCTION("""COMPUTED_VALUE"""),11929.0)</f>
        <v>11929</v>
      </c>
      <c r="I3369" s="18">
        <f>IFERROR(__xludf.DUMMYFUNCTION("""COMPUTED_VALUE"""),1.0)</f>
        <v>1</v>
      </c>
      <c r="J3369" s="18">
        <f>IFERROR(__xludf.DUMMYFUNCTION("""COMPUTED_VALUE"""),1.0)</f>
        <v>1</v>
      </c>
      <c r="K3369" s="18">
        <f>IFERROR(__xludf.DUMMYFUNCTION("""COMPUTED_VALUE"""),1.0)</f>
        <v>1</v>
      </c>
      <c r="L3369" s="17">
        <f>IFERROR(__xludf.DUMMYFUNCTION("""COMPUTED_VALUE"""),3.214676999E9)</f>
        <v>3214676999</v>
      </c>
      <c r="M3369" s="17" t="str">
        <f>IFERROR(__xludf.DUMMYFUNCTION("""COMPUTED_VALUE"""),"#REF!")</f>
        <v>#REF!</v>
      </c>
      <c r="N3369" s="17"/>
      <c r="O3369" s="17"/>
      <c r="P3369" s="17" t="b">
        <f>IFERROR(__xludf.DUMMYFUNCTION("""COMPUTED_VALUE"""),FALSE)</f>
        <v>0</v>
      </c>
      <c r="Q3369" s="20" t="str">
        <f>IFERROR(__xludf.DUMMYFUNCTION("""COMPUTED_VALUE"""),"")</f>
        <v/>
      </c>
      <c r="R3369" s="22" t="str">
        <f>IFERROR(__xludf.DUMMYFUNCTION("""COMPUTED_VALUE"""),"")</f>
        <v/>
      </c>
    </row>
    <row r="3370">
      <c r="A3370" s="15">
        <f>IFERROR(__xludf.DUMMYFUNCTION("""COMPUTED_VALUE"""),45099.0)</f>
        <v>45099</v>
      </c>
      <c r="B3370" s="16" t="str">
        <f>IFERROR(__xludf.DUMMYFUNCTION("""COMPUTED_VALUE"""),"Envia")</f>
        <v>Envia</v>
      </c>
      <c r="C3370" s="15" t="str">
        <f>IFERROR(__xludf.DUMMYFUNCTION("""COMPUTED_VALUE"""),"NEIVA")</f>
        <v>NEIVA</v>
      </c>
      <c r="D3370" s="15" t="str">
        <f>IFERROR(__xludf.DUMMYFUNCTION("""COMPUTED_VALUE"""),"BOGOTÁ")</f>
        <v>BOGOTÁ</v>
      </c>
      <c r="E3370" s="15" t="str">
        <f>IFERROR(__xludf.DUMMYFUNCTION("""COMPUTED_VALUE"""),"Evamazzita")</f>
        <v>Evamazzita</v>
      </c>
      <c r="F3370" s="17" t="str">
        <f>IFERROR(__xludf.DUMMYFUNCTION("""COMPUTED_VALUE"""),"Calle 75A 1w 77  / Calle 75A 1w 77 / Barrio calamari")</f>
        <v>Calle 75A 1w 77  / Calle 75A 1w 77 / Barrio calamari</v>
      </c>
      <c r="G3370" s="15" t="str">
        <f>IFERROR(__xludf.DUMMYFUNCTION("""COMPUTED_VALUE"""),"DIANA MARCELA HORTA")</f>
        <v>DIANA MARCELA HORTA</v>
      </c>
      <c r="H3370" s="16">
        <f>IFERROR(__xludf.DUMMYFUNCTION("""COMPUTED_VALUE"""),11930.0)</f>
        <v>11930</v>
      </c>
      <c r="I3370" s="18">
        <f>IFERROR(__xludf.DUMMYFUNCTION("""COMPUTED_VALUE"""),1.0)</f>
        <v>1</v>
      </c>
      <c r="J3370" s="18">
        <f>IFERROR(__xludf.DUMMYFUNCTION("""COMPUTED_VALUE"""),1.0)</f>
        <v>1</v>
      </c>
      <c r="K3370" s="18">
        <f>IFERROR(__xludf.DUMMYFUNCTION("""COMPUTED_VALUE"""),1.0)</f>
        <v>1</v>
      </c>
      <c r="L3370" s="17">
        <f>IFERROR(__xludf.DUMMYFUNCTION("""COMPUTED_VALUE"""),3.167562064E9)</f>
        <v>3167562064</v>
      </c>
      <c r="M3370" s="17" t="str">
        <f>IFERROR(__xludf.DUMMYFUNCTION("""COMPUTED_VALUE"""),"#REF!")</f>
        <v>#REF!</v>
      </c>
      <c r="N3370" s="17"/>
      <c r="O3370" s="17"/>
      <c r="P3370" s="17" t="b">
        <f>IFERROR(__xludf.DUMMYFUNCTION("""COMPUTED_VALUE"""),FALSE)</f>
        <v>0</v>
      </c>
      <c r="Q3370" s="20" t="str">
        <f>IFERROR(__xludf.DUMMYFUNCTION("""COMPUTED_VALUE"""),"")</f>
        <v/>
      </c>
      <c r="R3370" s="22" t="str">
        <f>IFERROR(__xludf.DUMMYFUNCTION("""COMPUTED_VALUE"""),"")</f>
        <v/>
      </c>
    </row>
    <row r="3371">
      <c r="A3371" s="15">
        <f>IFERROR(__xludf.DUMMYFUNCTION("""COMPUTED_VALUE"""),45099.0)</f>
        <v>45099</v>
      </c>
      <c r="B3371" s="16" t="str">
        <f>IFERROR(__xludf.DUMMYFUNCTION("""COMPUTED_VALUE"""),"Envia")</f>
        <v>Envia</v>
      </c>
      <c r="C3371" s="15" t="str">
        <f>IFERROR(__xludf.DUMMYFUNCTION("""COMPUTED_VALUE"""),"NEIVA")</f>
        <v>NEIVA</v>
      </c>
      <c r="D3371" s="15" t="str">
        <f>IFERROR(__xludf.DUMMYFUNCTION("""COMPUTED_VALUE"""),"BOGOTÁ")</f>
        <v>BOGOTÁ</v>
      </c>
      <c r="E3371" s="15" t="str">
        <f>IFERROR(__xludf.DUMMYFUNCTION("""COMPUTED_VALUE"""),"Evamazzita")</f>
        <v>Evamazzita</v>
      </c>
      <c r="F3371" s="17" t="str">
        <f>IFERROR(__xludf.DUMMYFUNCTION("""COMPUTED_VALUE"""),"CRA 1D No. 71 - 46  / TORRE A APTO 120 CONJUNTO HACIENDA SANTA MARIA BARRIO MADRIGAL / TORRE A APTO 120 CONJUNTO HACIENDA SANTA MARIA BARRIO MADRIGAL")</f>
        <v>CRA 1D No. 71 - 46  / TORRE A APTO 120 CONJUNTO HACIENDA SANTA MARIA BARRIO MADRIGAL / TORRE A APTO 120 CONJUNTO HACIENDA SANTA MARIA BARRIO MADRIGAL</v>
      </c>
      <c r="G3371" s="15" t="str">
        <f>IFERROR(__xludf.DUMMYFUNCTION("""COMPUTED_VALUE"""),"EDNA LUCIA HERRERA")</f>
        <v>EDNA LUCIA HERRERA</v>
      </c>
      <c r="H3371" s="16">
        <f>IFERROR(__xludf.DUMMYFUNCTION("""COMPUTED_VALUE"""),11931.0)</f>
        <v>11931</v>
      </c>
      <c r="I3371" s="18">
        <f>IFERROR(__xludf.DUMMYFUNCTION("""COMPUTED_VALUE"""),1.0)</f>
        <v>1</v>
      </c>
      <c r="J3371" s="18">
        <f>IFERROR(__xludf.DUMMYFUNCTION("""COMPUTED_VALUE"""),1.0)</f>
        <v>1</v>
      </c>
      <c r="K3371" s="18">
        <f>IFERROR(__xludf.DUMMYFUNCTION("""COMPUTED_VALUE"""),1.0)</f>
        <v>1</v>
      </c>
      <c r="L3371" s="17">
        <f>IFERROR(__xludf.DUMMYFUNCTION("""COMPUTED_VALUE"""),3.187649163E9)</f>
        <v>3187649163</v>
      </c>
      <c r="M3371" s="17" t="str">
        <f>IFERROR(__xludf.DUMMYFUNCTION("""COMPUTED_VALUE"""),"#REF!")</f>
        <v>#REF!</v>
      </c>
      <c r="N3371" s="17"/>
      <c r="O3371" s="17"/>
      <c r="P3371" s="17" t="b">
        <f>IFERROR(__xludf.DUMMYFUNCTION("""COMPUTED_VALUE"""),FALSE)</f>
        <v>0</v>
      </c>
      <c r="Q3371" s="20" t="str">
        <f>IFERROR(__xludf.DUMMYFUNCTION("""COMPUTED_VALUE"""),"")</f>
        <v/>
      </c>
      <c r="R3371" s="22" t="str">
        <f>IFERROR(__xludf.DUMMYFUNCTION("""COMPUTED_VALUE"""),"")</f>
        <v/>
      </c>
    </row>
    <row r="3372">
      <c r="A3372" s="15">
        <f>IFERROR(__xludf.DUMMYFUNCTION("""COMPUTED_VALUE"""),45099.0)</f>
        <v>45099</v>
      </c>
      <c r="B3372" s="16" t="str">
        <f>IFERROR(__xludf.DUMMYFUNCTION("""COMPUTED_VALUE"""),"Envia")</f>
        <v>Envia</v>
      </c>
      <c r="C3372" s="15" t="str">
        <f>IFERROR(__xludf.DUMMYFUNCTION("""COMPUTED_VALUE"""),"POPAYAN")</f>
        <v>POPAYAN</v>
      </c>
      <c r="D3372" s="15" t="str">
        <f>IFERROR(__xludf.DUMMYFUNCTION("""COMPUTED_VALUE"""),"MEDELLÍN")</f>
        <v>MEDELLÍN</v>
      </c>
      <c r="E3372" s="15" t="str">
        <f>IFERROR(__xludf.DUMMYFUNCTION("""COMPUTED_VALUE"""),"AREPAS LA MARY")</f>
        <v>AREPAS LA MARY</v>
      </c>
      <c r="F3372" s="17" t="str">
        <f>IFERROR(__xludf.DUMMYFUNCTION("""COMPUTED_VALUE"""),"CRA 9 # 18 N- 239 / LOCAL 4 TERRAZAS DEL NORTE")</f>
        <v>CRA 9 # 18 N- 239 / LOCAL 4 TERRAZAS DEL NORTE</v>
      </c>
      <c r="G3372" s="15" t="str">
        <f>IFERROR(__xludf.DUMMYFUNCTION("""COMPUTED_VALUE"""),"VITA FIT POPAYAN")</f>
        <v>VITA FIT POPAYAN</v>
      </c>
      <c r="H3372" s="16">
        <f>IFERROR(__xludf.DUMMYFUNCTION("""COMPUTED_VALUE"""),11885.0)</f>
        <v>11885</v>
      </c>
      <c r="I3372" s="18">
        <f>IFERROR(__xludf.DUMMYFUNCTION("""COMPUTED_VALUE"""),89.0)</f>
        <v>89</v>
      </c>
      <c r="J3372" s="18">
        <f>IFERROR(__xludf.DUMMYFUNCTION("""COMPUTED_VALUE"""),1.0)</f>
        <v>1</v>
      </c>
      <c r="K3372" s="18">
        <f>IFERROR(__xludf.DUMMYFUNCTION("""COMPUTED_VALUE"""),10.0)</f>
        <v>10</v>
      </c>
      <c r="L3372" s="17">
        <f>IFERROR(__xludf.DUMMYFUNCTION("""COMPUTED_VALUE"""),3.017324093E9)</f>
        <v>3017324093</v>
      </c>
      <c r="M3372" s="17" t="str">
        <f>IFERROR(__xludf.DUMMYFUNCTION("""COMPUTED_VALUE"""),"#REF!")</f>
        <v>#REF!</v>
      </c>
      <c r="N3372" s="17"/>
      <c r="O3372" s="17"/>
      <c r="P3372" s="17" t="b">
        <f>IFERROR(__xludf.DUMMYFUNCTION("""COMPUTED_VALUE"""),FALSE)</f>
        <v>0</v>
      </c>
      <c r="Q3372" s="20" t="str">
        <f>IFERROR(__xludf.DUMMYFUNCTION("""COMPUTED_VALUE"""),"")</f>
        <v/>
      </c>
      <c r="R3372" s="22" t="str">
        <f>IFERROR(__xludf.DUMMYFUNCTION("""COMPUTED_VALUE"""),"")</f>
        <v/>
      </c>
    </row>
    <row r="3373">
      <c r="A3373" s="15">
        <f>IFERROR(__xludf.DUMMYFUNCTION("""COMPUTED_VALUE"""),45099.0)</f>
        <v>45099</v>
      </c>
      <c r="B3373" s="16" t="str">
        <f>IFERROR(__xludf.DUMMYFUNCTION("""COMPUTED_VALUE"""),"Envia")</f>
        <v>Envia</v>
      </c>
      <c r="C3373" s="15" t="str">
        <f>IFERROR(__xludf.DUMMYFUNCTION("""COMPUTED_VALUE"""),"VILLAVICENCIO")</f>
        <v>VILLAVICENCIO</v>
      </c>
      <c r="D3373" s="15" t="str">
        <f>IFERROR(__xludf.DUMMYFUNCTION("""COMPUTED_VALUE"""),"BOGOTÁ")</f>
        <v>BOGOTÁ</v>
      </c>
      <c r="E3373" s="15" t="str">
        <f>IFERROR(__xludf.DUMMYFUNCTION("""COMPUTED_VALUE"""),"Evamazzita")</f>
        <v>Evamazzita</v>
      </c>
      <c r="F3373" s="17" t="str">
        <f>IFERROR(__xludf.DUMMYFUNCTION("""COMPUTED_VALUE"""),"Cra 44#13-38  / Apto 308 edificio VIZION   / Barrio El buque")</f>
        <v>Cra 44#13-38  / Apto 308 edificio VIZION   / Barrio El buque</v>
      </c>
      <c r="G3373" s="15" t="str">
        <f>IFERROR(__xludf.DUMMYFUNCTION("""COMPUTED_VALUE"""),"MONICA GONZALEZ")</f>
        <v>MONICA GONZALEZ</v>
      </c>
      <c r="H3373" s="16">
        <f>IFERROR(__xludf.DUMMYFUNCTION("""COMPUTED_VALUE"""),11932.0)</f>
        <v>11932</v>
      </c>
      <c r="I3373" s="18">
        <f>IFERROR(__xludf.DUMMYFUNCTION("""COMPUTED_VALUE"""),6.0)</f>
        <v>6</v>
      </c>
      <c r="J3373" s="18">
        <f>IFERROR(__xludf.DUMMYFUNCTION("""COMPUTED_VALUE"""),11.0)</f>
        <v>11</v>
      </c>
      <c r="K3373" s="18">
        <f>IFERROR(__xludf.DUMMYFUNCTION("""COMPUTED_VALUE"""),19.0)</f>
        <v>19</v>
      </c>
      <c r="L3373" s="17">
        <f>IFERROR(__xludf.DUMMYFUNCTION("""COMPUTED_VALUE"""),3.023889775E9)</f>
        <v>3023889775</v>
      </c>
      <c r="M3373" s="17" t="str">
        <f>IFERROR(__xludf.DUMMYFUNCTION("""COMPUTED_VALUE"""),"#REF!")</f>
        <v>#REF!</v>
      </c>
      <c r="N3373" s="17"/>
      <c r="O3373" s="17"/>
      <c r="P3373" s="17" t="b">
        <f>IFERROR(__xludf.DUMMYFUNCTION("""COMPUTED_VALUE"""),FALSE)</f>
        <v>0</v>
      </c>
      <c r="Q3373" s="20" t="str">
        <f>IFERROR(__xludf.DUMMYFUNCTION("""COMPUTED_VALUE"""),"")</f>
        <v/>
      </c>
      <c r="R3373" s="21" t="str">
        <f>IFERROR(__xludf.DUMMYFUNCTION("""COMPUTED_VALUE"""),"https://drive.google.com/file/d/1Sjzr1yLWSFCeS1eViy02Qhe6n-Xt_cQl/view?usp=drivesdk")</f>
        <v>https://drive.google.com/file/d/1Sjzr1yLWSFCeS1eViy02Qhe6n-Xt_cQl/view?usp=drivesdk</v>
      </c>
    </row>
    <row r="3374">
      <c r="A3374" s="15">
        <f>IFERROR(__xludf.DUMMYFUNCTION("""COMPUTED_VALUE"""),45099.0)</f>
        <v>45099</v>
      </c>
      <c r="B3374" s="16" t="str">
        <f>IFERROR(__xludf.DUMMYFUNCTION("""COMPUTED_VALUE"""),"Envia")</f>
        <v>Envia</v>
      </c>
      <c r="C3374" s="15" t="str">
        <f>IFERROR(__xludf.DUMMYFUNCTION("""COMPUTED_VALUE"""),"VILLAVICENCIO")</f>
        <v>VILLAVICENCIO</v>
      </c>
      <c r="D3374" s="15" t="str">
        <f>IFERROR(__xludf.DUMMYFUNCTION("""COMPUTED_VALUE"""),"BOGOTÁ")</f>
        <v>BOGOTÁ</v>
      </c>
      <c r="E3374" s="15" t="str">
        <f>IFERROR(__xludf.DUMMYFUNCTION("""COMPUTED_VALUE"""),"Top Spun")</f>
        <v>Top Spun</v>
      </c>
      <c r="F3374" s="17" t="str">
        <f>IFERROR(__xludf.DUMMYFUNCTION("""COMPUTED_VALUE"""),"Cra 24a 8-125 / Casa 7 multifamiliar 7 /  Cond la cabaña")</f>
        <v>Cra 24a 8-125 / Casa 7 multifamiliar 7 /  Cond la cabaña</v>
      </c>
      <c r="G3374" s="15" t="str">
        <f>IFERROR(__xludf.DUMMYFUNCTION("""COMPUTED_VALUE"""),"Leidi Correa")</f>
        <v>Leidi Correa</v>
      </c>
      <c r="H3374" s="16">
        <f>IFERROR(__xludf.DUMMYFUNCTION("""COMPUTED_VALUE"""),11917.0)</f>
        <v>11917</v>
      </c>
      <c r="I3374" s="18">
        <f>IFERROR(__xludf.DUMMYFUNCTION("""COMPUTED_VALUE"""),20.0)</f>
        <v>20</v>
      </c>
      <c r="J3374" s="18">
        <f>IFERROR(__xludf.DUMMYFUNCTION("""COMPUTED_VALUE"""),10.0)</f>
        <v>10</v>
      </c>
      <c r="K3374" s="18">
        <f>IFERROR(__xludf.DUMMYFUNCTION("""COMPUTED_VALUE"""),40.0)</f>
        <v>40</v>
      </c>
      <c r="L3374" s="17">
        <f>IFERROR(__xludf.DUMMYFUNCTION("""COMPUTED_VALUE"""),3.142364906E9)</f>
        <v>3142364906</v>
      </c>
      <c r="M3374" s="17" t="str">
        <f>IFERROR(__xludf.DUMMYFUNCTION("""COMPUTED_VALUE"""),"#REF!")</f>
        <v>#REF!</v>
      </c>
      <c r="N3374" s="17"/>
      <c r="O3374" s="17"/>
      <c r="P3374" s="17" t="b">
        <f>IFERROR(__xludf.DUMMYFUNCTION("""COMPUTED_VALUE"""),FALSE)</f>
        <v>0</v>
      </c>
      <c r="Q3374" s="20" t="str">
        <f>IFERROR(__xludf.DUMMYFUNCTION("""COMPUTED_VALUE"""),"")</f>
        <v/>
      </c>
      <c r="R3374" s="21" t="str">
        <f>IFERROR(__xludf.DUMMYFUNCTION("""COMPUTED_VALUE"""),"https://drive.google.com/file/d/1zr-xm3fuFLUbQigXcQXzoNUh9ZeT1WLL/view?usp=drivesdk")</f>
        <v>https://drive.google.com/file/d/1zr-xm3fuFLUbQigXcQXzoNUh9ZeT1WLL/view?usp=drivesdk</v>
      </c>
    </row>
    <row r="3375">
      <c r="A3375" s="17" t="str">
        <f>IFERROR(__xludf.DUMMYFUNCTION("""COMPUTED_VALUE"""),"")</f>
        <v/>
      </c>
      <c r="B3375" s="17" t="str">
        <f>IFERROR(__xludf.DUMMYFUNCTION("""COMPUTED_VALUE"""),"")</f>
        <v/>
      </c>
      <c r="C3375" s="17" t="str">
        <f>IFERROR(__xludf.DUMMYFUNCTION("""COMPUTED_VALUE"""),"")</f>
        <v/>
      </c>
      <c r="D3375" s="17" t="str">
        <f>IFERROR(__xludf.DUMMYFUNCTION("""COMPUTED_VALUE"""),"")</f>
        <v/>
      </c>
      <c r="E3375" s="17" t="str">
        <f>IFERROR(__xludf.DUMMYFUNCTION("""COMPUTED_VALUE"""),"")</f>
        <v/>
      </c>
      <c r="F3375" s="17" t="str">
        <f>IFERROR(__xludf.DUMMYFUNCTION("""COMPUTED_VALUE"""),"")</f>
        <v/>
      </c>
      <c r="G3375" s="17" t="str">
        <f>IFERROR(__xludf.DUMMYFUNCTION("""COMPUTED_VALUE"""),"")</f>
        <v/>
      </c>
      <c r="H3375" s="17" t="str">
        <f>IFERROR(__xludf.DUMMYFUNCTION("""COMPUTED_VALUE"""),"")</f>
        <v/>
      </c>
      <c r="I3375" s="17" t="str">
        <f>IFERROR(__xludf.DUMMYFUNCTION("""COMPUTED_VALUE"""),"")</f>
        <v/>
      </c>
      <c r="J3375" s="17" t="str">
        <f>IFERROR(__xludf.DUMMYFUNCTION("""COMPUTED_VALUE"""),"")</f>
        <v/>
      </c>
      <c r="K3375" s="17" t="str">
        <f>IFERROR(__xludf.DUMMYFUNCTION("""COMPUTED_VALUE"""),"")</f>
        <v/>
      </c>
      <c r="L3375" s="17" t="str">
        <f>IFERROR(__xludf.DUMMYFUNCTION("""COMPUTED_VALUE"""),"")</f>
        <v/>
      </c>
      <c r="M3375" s="17" t="str">
        <f>IFERROR(__xludf.DUMMYFUNCTION("""COMPUTED_VALUE"""),"")</f>
        <v/>
      </c>
      <c r="N3375" s="17" t="str">
        <f>IFERROR(__xludf.DUMMYFUNCTION("""COMPUTED_VALUE"""),"")</f>
        <v/>
      </c>
      <c r="O3375" s="17" t="str">
        <f>IFERROR(__xludf.DUMMYFUNCTION("""COMPUTED_VALUE"""),"")</f>
        <v/>
      </c>
      <c r="P3375" s="17" t="str">
        <f>IFERROR(__xludf.DUMMYFUNCTION("""COMPUTED_VALUE"""),"")</f>
        <v/>
      </c>
      <c r="Q3375" s="17" t="str">
        <f>IFERROR(__xludf.DUMMYFUNCTION("""COMPUTED_VALUE"""),"")</f>
        <v/>
      </c>
      <c r="R3375" s="17" t="str">
        <f>IFERROR(__xludf.DUMMYFUNCTION("""COMPUTED_VALUE"""),"")</f>
        <v/>
      </c>
    </row>
    <row r="3376">
      <c r="A3376" s="15">
        <f>IFERROR(__xludf.DUMMYFUNCTION("""COMPUTED_VALUE"""),45099.0)</f>
        <v>45099</v>
      </c>
      <c r="B3376" s="16" t="str">
        <f>IFERROR(__xludf.DUMMYFUNCTION("""COMPUTED_VALUE"""),"Johan Alexander Escobar Arroyo ")</f>
        <v>Johan Alexander Escobar Arroyo </v>
      </c>
      <c r="C3376" s="15" t="str">
        <f>IFERROR(__xludf.DUMMYFUNCTION("""COMPUTED_VALUE"""),"CALI")</f>
        <v>CALI</v>
      </c>
      <c r="D3376" s="15" t="str">
        <f>IFERROR(__xludf.DUMMYFUNCTION("""COMPUTED_VALUE"""),"MEDELLÍN")</f>
        <v>MEDELLÍN</v>
      </c>
      <c r="E3376" s="15" t="str">
        <f>IFERROR(__xludf.DUMMYFUNCTION("""COMPUTED_VALUE"""),"Baby Chef")</f>
        <v>Baby Chef</v>
      </c>
      <c r="F3376" s="17" t="str">
        <f>IFERROR(__xludf.DUMMYFUNCTION("""COMPUTED_VALUE"""),"Calle 70 # 3N-110 Conjunto D - Bloque 3 - Apto 504 / ""Calle 70 # 3N-110 Conjunto D - Bloque 3 - Apto 504"" / ""Calle 70 # 3N-110 Conjunto D - Bloque 3 - Apto 504""")</f>
        <v>Calle 70 # 3N-110 Conjunto D - Bloque 3 - Apto 504 / "Calle 70 # 3N-110 Conjunto D - Bloque 3 - Apto 504" / "Calle 70 # 3N-110 Conjunto D - Bloque 3 - Apto 504"</v>
      </c>
      <c r="G3376" s="15" t="str">
        <f>IFERROR(__xludf.DUMMYFUNCTION("""COMPUTED_VALUE"""),"Medardo Mesa")</f>
        <v>Medardo Mesa</v>
      </c>
      <c r="H3376" s="16">
        <f>IFERROR(__xludf.DUMMYFUNCTION("""COMPUTED_VALUE"""),11948.0)</f>
        <v>11948</v>
      </c>
      <c r="I3376" s="18">
        <f>IFERROR(__xludf.DUMMYFUNCTION("""COMPUTED_VALUE"""),8.0)</f>
        <v>8</v>
      </c>
      <c r="J3376" s="18">
        <f>IFERROR(__xludf.DUMMYFUNCTION("""COMPUTED_VALUE"""),16.0)</f>
        <v>16</v>
      </c>
      <c r="K3376" s="18">
        <f>IFERROR(__xludf.DUMMYFUNCTION("""COMPUTED_VALUE"""),20.0)</f>
        <v>20</v>
      </c>
      <c r="L3376" s="17">
        <f>IFERROR(__xludf.DUMMYFUNCTION("""COMPUTED_VALUE"""),3.128844267E9)</f>
        <v>3128844267</v>
      </c>
      <c r="M3376" s="17" t="str">
        <f>IFERROR(__xludf.DUMMYFUNCTION("""COMPUTED_VALUE"""),"#REF!")</f>
        <v>#REF!</v>
      </c>
      <c r="N3376" s="17"/>
      <c r="O3376" s="17"/>
      <c r="P3376" s="17" t="b">
        <f>IFERROR(__xludf.DUMMYFUNCTION("""COMPUTED_VALUE"""),FALSE)</f>
        <v>0</v>
      </c>
      <c r="Q3376" s="20" t="str">
        <f>IFERROR(__xludf.DUMMYFUNCTION("""COMPUTED_VALUE"""),"")</f>
        <v/>
      </c>
      <c r="R3376" s="21" t="str">
        <f>IFERROR(__xludf.DUMMYFUNCTION("""COMPUTED_VALUE"""),"https://drive.google.com/file/d/17yV4091BLGrT3Wdus5HC41E0HpIWabpR/view?usp=drivesdk")</f>
        <v>https://drive.google.com/file/d/17yV4091BLGrT3Wdus5HC41E0HpIWabpR/view?usp=drivesdk</v>
      </c>
    </row>
    <row r="3377">
      <c r="A3377" s="15">
        <f>IFERROR(__xludf.DUMMYFUNCTION("""COMPUTED_VALUE"""),45099.0)</f>
        <v>45099</v>
      </c>
      <c r="B3377" s="16" t="str">
        <f>IFERROR(__xludf.DUMMYFUNCTION("""COMPUTED_VALUE"""),"Johan Alexander Escobar Arroyo ")</f>
        <v>Johan Alexander Escobar Arroyo </v>
      </c>
      <c r="C3377" s="15" t="str">
        <f>IFERROR(__xludf.DUMMYFUNCTION("""COMPUTED_VALUE"""),"CALI")</f>
        <v>CALI</v>
      </c>
      <c r="D3377" s="15" t="str">
        <f>IFERROR(__xludf.DUMMYFUNCTION("""COMPUTED_VALUE"""),"MEDELLÍN")</f>
        <v>MEDELLÍN</v>
      </c>
      <c r="E3377" s="15" t="str">
        <f>IFERROR(__xludf.DUMMYFUNCTION("""COMPUTED_VALUE"""),"Baby Chef")</f>
        <v>Baby Chef</v>
      </c>
      <c r="F3377" s="17" t="str">
        <f>IFERROR(__xludf.DUMMYFUNCTION("""COMPUTED_VALUE"""),"Calle 78# 4Norte-85 Barrio floralia, es por un pasaje / ""Calle 78# 4Norte-85 Barrio floralia, es por un pasaje"" / ""Calle 78# 4Norte-85 Barrio floralia, es por un pasaje""")</f>
        <v>Calle 78# 4Norte-85 Barrio floralia, es por un pasaje / "Calle 78# 4Norte-85 Barrio floralia, es por un pasaje" / "Calle 78# 4Norte-85 Barrio floralia, es por un pasaje"</v>
      </c>
      <c r="G3377" s="15" t="str">
        <f>IFERROR(__xludf.DUMMYFUNCTION("""COMPUTED_VALUE"""),"Monica Mosquera")</f>
        <v>Monica Mosquera</v>
      </c>
      <c r="H3377" s="16">
        <f>IFERROR(__xludf.DUMMYFUNCTION("""COMPUTED_VALUE"""),11947.0)</f>
        <v>11947</v>
      </c>
      <c r="I3377" s="18">
        <f>IFERROR(__xludf.DUMMYFUNCTION("""COMPUTED_VALUE"""),8.0)</f>
        <v>8</v>
      </c>
      <c r="J3377" s="18">
        <f>IFERROR(__xludf.DUMMYFUNCTION("""COMPUTED_VALUE"""),16.0)</f>
        <v>16</v>
      </c>
      <c r="K3377" s="18">
        <f>IFERROR(__xludf.DUMMYFUNCTION("""COMPUTED_VALUE"""),20.0)</f>
        <v>20</v>
      </c>
      <c r="L3377" s="17">
        <f>IFERROR(__xludf.DUMMYFUNCTION("""COMPUTED_VALUE"""),3.147701321E9)</f>
        <v>3147701321</v>
      </c>
      <c r="M3377" s="17" t="str">
        <f>IFERROR(__xludf.DUMMYFUNCTION("""COMPUTED_VALUE"""),"#REF!")</f>
        <v>#REF!</v>
      </c>
      <c r="N3377" s="17"/>
      <c r="O3377" s="17"/>
      <c r="P3377" s="17" t="b">
        <f>IFERROR(__xludf.DUMMYFUNCTION("""COMPUTED_VALUE"""),FALSE)</f>
        <v>0</v>
      </c>
      <c r="Q3377" s="20" t="str">
        <f>IFERROR(__xludf.DUMMYFUNCTION("""COMPUTED_VALUE"""),"")</f>
        <v/>
      </c>
      <c r="R3377" s="21" t="str">
        <f>IFERROR(__xludf.DUMMYFUNCTION("""COMPUTED_VALUE"""),"https://drive.google.com/file/d/1M10uIM1PFa3KbZsCmdjarUjJm26VzX9Z/view?usp=drivesdk")</f>
        <v>https://drive.google.com/file/d/1M10uIM1PFa3KbZsCmdjarUjJm26VzX9Z/view?usp=drivesdk</v>
      </c>
    </row>
    <row r="3378">
      <c r="A3378" s="15">
        <f>IFERROR(__xludf.DUMMYFUNCTION("""COMPUTED_VALUE"""),45099.0)</f>
        <v>45099</v>
      </c>
      <c r="B3378" s="16" t="str">
        <f>IFERROR(__xludf.DUMMYFUNCTION("""COMPUTED_VALUE"""),"Johan Alexander Escobar Arroyo ")</f>
        <v>Johan Alexander Escobar Arroyo </v>
      </c>
      <c r="C3378" s="15" t="str">
        <f>IFERROR(__xludf.DUMMYFUNCTION("""COMPUTED_VALUE"""),"CALI")</f>
        <v>CALI</v>
      </c>
      <c r="D3378" s="15" t="str">
        <f>IFERROR(__xludf.DUMMYFUNCTION("""COMPUTED_VALUE"""),"MEDELLÍN")</f>
        <v>MEDELLÍN</v>
      </c>
      <c r="E3378" s="15" t="str">
        <f>IFERROR(__xludf.DUMMYFUNCTION("""COMPUTED_VALUE"""),"Baby Chef")</f>
        <v>Baby Chef</v>
      </c>
      <c r="F3378" s="17" t="str">
        <f>IFERROR(__xludf.DUMMYFUNCTION("""COMPUTED_VALUE"""),"Cra 68 # 16-07 Apto. 204E Portón de Asturias  B/ La Hacienda / Cra 68 # 16-07 Apto. 204E Portón de Asturias  B/ La Hacienda / Cra 68 # 16-07 Apto. 204E Portón de Asturias  B/ La Hacienda")</f>
        <v>Cra 68 # 16-07 Apto. 204E Portón de Asturias  B/ La Hacienda / Cra 68 # 16-07 Apto. 204E Portón de Asturias  B/ La Hacienda / Cra 68 # 16-07 Apto. 204E Portón de Asturias  B/ La Hacienda</v>
      </c>
      <c r="G3378" s="15" t="str">
        <f>IFERROR(__xludf.DUMMYFUNCTION("""COMPUTED_VALUE"""),"Silvia Narvaez Zambrano")</f>
        <v>Silvia Narvaez Zambrano</v>
      </c>
      <c r="H3378" s="16">
        <f>IFERROR(__xludf.DUMMYFUNCTION("""COMPUTED_VALUE"""),11946.0)</f>
        <v>11946</v>
      </c>
      <c r="I3378" s="18">
        <f>IFERROR(__xludf.DUMMYFUNCTION("""COMPUTED_VALUE"""),8.0)</f>
        <v>8</v>
      </c>
      <c r="J3378" s="18">
        <f>IFERROR(__xludf.DUMMYFUNCTION("""COMPUTED_VALUE"""),16.0)</f>
        <v>16</v>
      </c>
      <c r="K3378" s="18">
        <f>IFERROR(__xludf.DUMMYFUNCTION("""COMPUTED_VALUE"""),20.0)</f>
        <v>20</v>
      </c>
      <c r="L3378" s="17">
        <f>IFERROR(__xludf.DUMMYFUNCTION("""COMPUTED_VALUE"""),3.173703258E9)</f>
        <v>3173703258</v>
      </c>
      <c r="M3378" s="17" t="str">
        <f>IFERROR(__xludf.DUMMYFUNCTION("""COMPUTED_VALUE"""),"#REF!")</f>
        <v>#REF!</v>
      </c>
      <c r="N3378" s="17"/>
      <c r="O3378" s="17"/>
      <c r="P3378" s="17" t="b">
        <f>IFERROR(__xludf.DUMMYFUNCTION("""COMPUTED_VALUE"""),FALSE)</f>
        <v>0</v>
      </c>
      <c r="Q3378" s="20" t="str">
        <f>IFERROR(__xludf.DUMMYFUNCTION("""COMPUTED_VALUE"""),"")</f>
        <v/>
      </c>
      <c r="R3378" s="21" t="str">
        <f>IFERROR(__xludf.DUMMYFUNCTION("""COMPUTED_VALUE"""),"https://drive.google.com/file/d/18vbE_QNF_LaRBrtTWaRfdO8xgfAbhM2m/view?usp=drivesdk")</f>
        <v>https://drive.google.com/file/d/18vbE_QNF_LaRBrtTWaRfdO8xgfAbhM2m/view?usp=drivesdk</v>
      </c>
    </row>
    <row r="3379">
      <c r="A3379" s="15">
        <f>IFERROR(__xludf.DUMMYFUNCTION("""COMPUTED_VALUE"""),45099.0)</f>
        <v>45099</v>
      </c>
      <c r="B3379" s="16" t="str">
        <f>IFERROR(__xludf.DUMMYFUNCTION("""COMPUTED_VALUE"""),"Johan Alexander Escobar Arroyo ")</f>
        <v>Johan Alexander Escobar Arroyo </v>
      </c>
      <c r="C3379" s="15" t="str">
        <f>IFERROR(__xludf.DUMMYFUNCTION("""COMPUTED_VALUE"""),"CALI")</f>
        <v>CALI</v>
      </c>
      <c r="D3379" s="15" t="str">
        <f>IFERROR(__xludf.DUMMYFUNCTION("""COMPUTED_VALUE"""),"MEDELLÍN")</f>
        <v>MEDELLÍN</v>
      </c>
      <c r="E3379" s="15" t="str">
        <f>IFERROR(__xludf.DUMMYFUNCTION("""COMPUTED_VALUE"""),"Baby Chef")</f>
        <v>Baby Chef</v>
      </c>
      <c r="F3379" s="17" t="str">
        <f>IFERROR(__xludf.DUMMYFUNCTION("""COMPUTED_VALUE"""),"cra 80A 43-49 Barrio Caney / cra 80A 43-49 Barrio Caney / cra 80A 43-49 Barrio Caney")</f>
        <v>cra 80A 43-49 Barrio Caney / cra 80A 43-49 Barrio Caney / cra 80A 43-49 Barrio Caney</v>
      </c>
      <c r="G3379" s="15" t="str">
        <f>IFERROR(__xludf.DUMMYFUNCTION("""COMPUTED_VALUE"""),"Laura Lorena Cifuentes Araujo")</f>
        <v>Laura Lorena Cifuentes Araujo</v>
      </c>
      <c r="H3379" s="16">
        <f>IFERROR(__xludf.DUMMYFUNCTION("""COMPUTED_VALUE"""),11949.0)</f>
        <v>11949</v>
      </c>
      <c r="I3379" s="18">
        <f>IFERROR(__xludf.DUMMYFUNCTION("""COMPUTED_VALUE"""),8.0)</f>
        <v>8</v>
      </c>
      <c r="J3379" s="18">
        <f>IFERROR(__xludf.DUMMYFUNCTION("""COMPUTED_VALUE"""),16.0)</f>
        <v>16</v>
      </c>
      <c r="K3379" s="18">
        <f>IFERROR(__xludf.DUMMYFUNCTION("""COMPUTED_VALUE"""),20.0)</f>
        <v>20</v>
      </c>
      <c r="L3379" s="17">
        <f>IFERROR(__xludf.DUMMYFUNCTION("""COMPUTED_VALUE"""),3.174433549E9)</f>
        <v>3174433549</v>
      </c>
      <c r="M3379" s="17" t="str">
        <f>IFERROR(__xludf.DUMMYFUNCTION("""COMPUTED_VALUE"""),"#REF!")</f>
        <v>#REF!</v>
      </c>
      <c r="N3379" s="17"/>
      <c r="O3379" s="17"/>
      <c r="P3379" s="17" t="b">
        <f>IFERROR(__xludf.DUMMYFUNCTION("""COMPUTED_VALUE"""),FALSE)</f>
        <v>0</v>
      </c>
      <c r="Q3379" s="20" t="str">
        <f>IFERROR(__xludf.DUMMYFUNCTION("""COMPUTED_VALUE"""),"")</f>
        <v/>
      </c>
      <c r="R3379" s="21" t="str">
        <f>IFERROR(__xludf.DUMMYFUNCTION("""COMPUTED_VALUE"""),"https://drive.google.com/file/d/15pLWWNt2jvhfivNe_flwWqk1lMWeZYoN/view?usp=drivesdk")</f>
        <v>https://drive.google.com/file/d/15pLWWNt2jvhfivNe_flwWqk1lMWeZYoN/view?usp=drivesdk</v>
      </c>
    </row>
    <row r="3380">
      <c r="A3380" s="15">
        <f>IFERROR(__xludf.DUMMYFUNCTION("""COMPUTED_VALUE"""),45099.0)</f>
        <v>45099</v>
      </c>
      <c r="B3380" s="16" t="str">
        <f>IFERROR(__xludf.DUMMYFUNCTION("""COMPUTED_VALUE"""),"Johan Alexander Escobar Arroyo ")</f>
        <v>Johan Alexander Escobar Arroyo </v>
      </c>
      <c r="C3380" s="15" t="str">
        <f>IFERROR(__xludf.DUMMYFUNCTION("""COMPUTED_VALUE"""),"CALI")</f>
        <v>CALI</v>
      </c>
      <c r="D3380" s="15" t="str">
        <f>IFERROR(__xludf.DUMMYFUNCTION("""COMPUTED_VALUE"""),"MEDELLÍN")</f>
        <v>MEDELLÍN</v>
      </c>
      <c r="E3380" s="15" t="str">
        <f>IFERROR(__xludf.DUMMYFUNCTION("""COMPUTED_VALUE"""),"Goyo Todo por ellos")</f>
        <v>Goyo Todo por ellos</v>
      </c>
      <c r="F3380" s="17" t="str">
        <f>IFERROR(__xludf.DUMMYFUNCTION("""COMPUTED_VALUE"""),"Calle 18 #66 51 / Unidad El Parque Apto 101b / Barrio la hacienda")</f>
        <v>Calle 18 #66 51 / Unidad El Parque Apto 101b / Barrio la hacienda</v>
      </c>
      <c r="G3380" s="15" t="str">
        <f>IFERROR(__xludf.DUMMYFUNCTION("""COMPUTED_VALUE"""),"Carolina Lopez")</f>
        <v>Carolina Lopez</v>
      </c>
      <c r="H3380" s="16">
        <f>IFERROR(__xludf.DUMMYFUNCTION("""COMPUTED_VALUE"""),11939.0)</f>
        <v>11939</v>
      </c>
      <c r="I3380" s="18">
        <f>IFERROR(__xludf.DUMMYFUNCTION("""COMPUTED_VALUE"""),10.0)</f>
        <v>10</v>
      </c>
      <c r="J3380" s="18">
        <f>IFERROR(__xludf.DUMMYFUNCTION("""COMPUTED_VALUE"""),28.0)</f>
        <v>28</v>
      </c>
      <c r="K3380" s="18">
        <f>IFERROR(__xludf.DUMMYFUNCTION("""COMPUTED_VALUE"""),17.0)</f>
        <v>17</v>
      </c>
      <c r="L3380" s="17">
        <f>IFERROR(__xludf.DUMMYFUNCTION("""COMPUTED_VALUE"""),3.136195862E9)</f>
        <v>3136195862</v>
      </c>
      <c r="M3380" s="17" t="str">
        <f>IFERROR(__xludf.DUMMYFUNCTION("""COMPUTED_VALUE"""),"#REF!")</f>
        <v>#REF!</v>
      </c>
      <c r="N3380" s="17"/>
      <c r="O3380" s="17"/>
      <c r="P3380" s="17" t="b">
        <f>IFERROR(__xludf.DUMMYFUNCTION("""COMPUTED_VALUE"""),FALSE)</f>
        <v>0</v>
      </c>
      <c r="Q3380" s="20" t="str">
        <f>IFERROR(__xludf.DUMMYFUNCTION("""COMPUTED_VALUE"""),"")</f>
        <v/>
      </c>
      <c r="R3380" s="21" t="str">
        <f>IFERROR(__xludf.DUMMYFUNCTION("""COMPUTED_VALUE"""),"https://drive.google.com/file/d/1fgmJwb5zY8t_A2uad2cwE9iF-vtlA0DA/view?usp=drivesdk")</f>
        <v>https://drive.google.com/file/d/1fgmJwb5zY8t_A2uad2cwE9iF-vtlA0DA/view?usp=drivesdk</v>
      </c>
    </row>
    <row r="3381">
      <c r="A3381" s="15">
        <f>IFERROR(__xludf.DUMMYFUNCTION("""COMPUTED_VALUE"""),45099.0)</f>
        <v>45099</v>
      </c>
      <c r="B3381" s="16" t="str">
        <f>IFERROR(__xludf.DUMMYFUNCTION("""COMPUTED_VALUE"""),"Johan Alexander Escobar Arroyo ")</f>
        <v>Johan Alexander Escobar Arroyo </v>
      </c>
      <c r="C3381" s="15" t="str">
        <f>IFERROR(__xludf.DUMMYFUNCTION("""COMPUTED_VALUE"""),"CALI")</f>
        <v>CALI</v>
      </c>
      <c r="D3381" s="15" t="str">
        <f>IFERROR(__xludf.DUMMYFUNCTION("""COMPUTED_VALUE"""),"MEDELLÍN")</f>
        <v>MEDELLÍN</v>
      </c>
      <c r="E3381" s="15" t="str">
        <f>IFERROR(__xludf.DUMMYFUNCTION("""COMPUTED_VALUE"""),"JD Bufala")</f>
        <v>JD Bufala</v>
      </c>
      <c r="F3381" s="17" t="str">
        <f>IFERROR(__xludf.DUMMYFUNCTION("""COMPUTED_VALUE"""),"Calle 51norte#4bn72 / Delhuertopizzeria  / La Flora")</f>
        <v>Calle 51norte#4bn72 / Delhuertopizzeria  / La Flora</v>
      </c>
      <c r="G3381" s="15" t="str">
        <f>IFERROR(__xludf.DUMMYFUNCTION("""COMPUTED_VALUE"""),"Javier Rodríguez")</f>
        <v>Javier Rodríguez</v>
      </c>
      <c r="H3381" s="16">
        <f>IFERROR(__xludf.DUMMYFUNCTION("""COMPUTED_VALUE"""),11923.0)</f>
        <v>11923</v>
      </c>
      <c r="I3381" s="18">
        <f>IFERROR(__xludf.DUMMYFUNCTION("""COMPUTED_VALUE"""),45066.0)</f>
        <v>45066</v>
      </c>
      <c r="J3381" s="18">
        <f>IFERROR(__xludf.DUMMYFUNCTION("""COMPUTED_VALUE"""),28.0)</f>
        <v>28</v>
      </c>
      <c r="K3381" s="18">
        <f>IFERROR(__xludf.DUMMYFUNCTION("""COMPUTED_VALUE"""),40.0)</f>
        <v>40</v>
      </c>
      <c r="L3381" s="17">
        <f>IFERROR(__xludf.DUMMYFUNCTION("""COMPUTED_VALUE"""),3.104919761E9)</f>
        <v>3104919761</v>
      </c>
      <c r="M3381" s="17" t="str">
        <f>IFERROR(__xludf.DUMMYFUNCTION("""COMPUTED_VALUE"""),"#REF!")</f>
        <v>#REF!</v>
      </c>
      <c r="N3381" s="17"/>
      <c r="O3381" s="17"/>
      <c r="P3381" s="17" t="b">
        <f>IFERROR(__xludf.DUMMYFUNCTION("""COMPUTED_VALUE"""),FALSE)</f>
        <v>0</v>
      </c>
      <c r="Q3381" s="20" t="str">
        <f>IFERROR(__xludf.DUMMYFUNCTION("""COMPUTED_VALUE"""),"")</f>
        <v/>
      </c>
      <c r="R3381" s="22" t="str">
        <f>IFERROR(__xludf.DUMMYFUNCTION("""COMPUTED_VALUE"""),"")</f>
        <v/>
      </c>
    </row>
    <row r="3382">
      <c r="A3382" s="15">
        <f>IFERROR(__xludf.DUMMYFUNCTION("""COMPUTED_VALUE"""),45099.0)</f>
        <v>45099</v>
      </c>
      <c r="B3382" s="16" t="str">
        <f>IFERROR(__xludf.DUMMYFUNCTION("""COMPUTED_VALUE"""),"Johan Alexander Escobar Arroyo ")</f>
        <v>Johan Alexander Escobar Arroyo </v>
      </c>
      <c r="C3382" s="15" t="str">
        <f>IFERROR(__xludf.DUMMYFUNCTION("""COMPUTED_VALUE"""),"CÚCUTA")</f>
        <v>CÚCUTA</v>
      </c>
      <c r="D3382" s="15" t="str">
        <f>IFERROR(__xludf.DUMMYFUNCTION("""COMPUTED_VALUE"""),"MEDELLÍN")</f>
        <v>MEDELLÍN</v>
      </c>
      <c r="E3382" s="15" t="str">
        <f>IFERROR(__xludf.DUMMYFUNCTION("""COMPUTED_VALUE"""),"Momo Tea S.A.S Gabriel Echavarría")</f>
        <v>Momo Tea S.A.S Gabriel Echavarría</v>
      </c>
      <c r="F3382" s="17" t="str">
        <f>IFERROR(__xludf.DUMMYFUNCTION("""COMPUTED_VALUE"""),"CL 11 N 16 E 35 / CA B 1")</f>
        <v>CL 11 N 16 E 35 / CA B 1</v>
      </c>
      <c r="G3382" s="15" t="str">
        <f>IFERROR(__xludf.DUMMYFUNCTION("""COMPUTED_VALUE"""),"Gabriel Echavarría")</f>
        <v>Gabriel Echavarría</v>
      </c>
      <c r="H3382" s="16">
        <f>IFERROR(__xludf.DUMMYFUNCTION("""COMPUTED_VALUE"""),11907.0)</f>
        <v>11907</v>
      </c>
      <c r="I3382" s="18">
        <f>IFERROR(__xludf.DUMMYFUNCTION("""COMPUTED_VALUE"""),17.0)</f>
        <v>17</v>
      </c>
      <c r="J3382" s="18">
        <f>IFERROR(__xludf.DUMMYFUNCTION("""COMPUTED_VALUE"""),13.0)</f>
        <v>13</v>
      </c>
      <c r="K3382" s="18">
        <f>IFERROR(__xludf.DUMMYFUNCTION("""COMPUTED_VALUE"""),20.0)</f>
        <v>20</v>
      </c>
      <c r="L3382" s="17">
        <f>IFERROR(__xludf.DUMMYFUNCTION("""COMPUTED_VALUE"""),3.017909548E9)</f>
        <v>3017909548</v>
      </c>
      <c r="M3382" s="17" t="str">
        <f>IFERROR(__xludf.DUMMYFUNCTION("""COMPUTED_VALUE"""),"#REF!")</f>
        <v>#REF!</v>
      </c>
      <c r="N3382" s="17"/>
      <c r="O3382" s="17"/>
      <c r="P3382" s="17" t="b">
        <f>IFERROR(__xludf.DUMMYFUNCTION("""COMPUTED_VALUE"""),FALSE)</f>
        <v>0</v>
      </c>
      <c r="Q3382" s="20" t="str">
        <f>IFERROR(__xludf.DUMMYFUNCTION("""COMPUTED_VALUE"""),"")</f>
        <v/>
      </c>
      <c r="R3382" s="22" t="str">
        <f>IFERROR(__xludf.DUMMYFUNCTION("""COMPUTED_VALUE"""),"")</f>
        <v/>
      </c>
    </row>
    <row r="3383">
      <c r="A3383" s="15">
        <f>IFERROR(__xludf.DUMMYFUNCTION("""COMPUTED_VALUE"""),45099.0)</f>
        <v>45099</v>
      </c>
      <c r="B3383" s="16" t="str">
        <f>IFERROR(__xludf.DUMMYFUNCTION("""COMPUTED_VALUE"""),"Johan Alexander Escobar Arroyo ")</f>
        <v>Johan Alexander Escobar Arroyo </v>
      </c>
      <c r="C3383" s="15" t="str">
        <f>IFERROR(__xludf.DUMMYFUNCTION("""COMPUTED_VALUE"""),"CÚCUTA")</f>
        <v>CÚCUTA</v>
      </c>
      <c r="D3383" s="15" t="str">
        <f>IFERROR(__xludf.DUMMYFUNCTION("""COMPUTED_VALUE"""),"MEDELLÍN")</f>
        <v>MEDELLÍN</v>
      </c>
      <c r="E3383" s="15" t="str">
        <f>IFERROR(__xludf.DUMMYFUNCTION("""COMPUTED_VALUE"""),"Momo Tea S.A.S Gabriel Echavarría")</f>
        <v>Momo Tea S.A.S Gabriel Echavarría</v>
      </c>
      <c r="F3383" s="17" t="str">
        <f>IFERROR(__xludf.DUMMYFUNCTION("""COMPUTED_VALUE"""),"CL 11 N 16 E 35 / CA B 1")</f>
        <v>CL 11 N 16 E 35 / CA B 1</v>
      </c>
      <c r="G3383" s="15" t="str">
        <f>IFERROR(__xludf.DUMMYFUNCTION("""COMPUTED_VALUE"""),"Gabriel Echavarría")</f>
        <v>Gabriel Echavarría</v>
      </c>
      <c r="H3383" s="16">
        <f>IFERROR(__xludf.DUMMYFUNCTION("""COMPUTED_VALUE"""),11908.0)</f>
        <v>11908</v>
      </c>
      <c r="I3383" s="18">
        <f>IFERROR(__xludf.DUMMYFUNCTION("""COMPUTED_VALUE"""),63.0)</f>
        <v>63</v>
      </c>
      <c r="J3383" s="18">
        <f>IFERROR(__xludf.DUMMYFUNCTION("""COMPUTED_VALUE"""),10.0)</f>
        <v>10</v>
      </c>
      <c r="K3383" s="18">
        <f>IFERROR(__xludf.DUMMYFUNCTION("""COMPUTED_VALUE"""),9.0)</f>
        <v>9</v>
      </c>
      <c r="L3383" s="17">
        <f>IFERROR(__xludf.DUMMYFUNCTION("""COMPUTED_VALUE"""),3.017909548E9)</f>
        <v>3017909548</v>
      </c>
      <c r="M3383" s="17" t="str">
        <f>IFERROR(__xludf.DUMMYFUNCTION("""COMPUTED_VALUE"""),"#REF!")</f>
        <v>#REF!</v>
      </c>
      <c r="N3383" s="17"/>
      <c r="O3383" s="17"/>
      <c r="P3383" s="17" t="b">
        <f>IFERROR(__xludf.DUMMYFUNCTION("""COMPUTED_VALUE"""),FALSE)</f>
        <v>0</v>
      </c>
      <c r="Q3383" s="20" t="str">
        <f>IFERROR(__xludf.DUMMYFUNCTION("""COMPUTED_VALUE"""),"")</f>
        <v/>
      </c>
      <c r="R3383" s="22" t="str">
        <f>IFERROR(__xludf.DUMMYFUNCTION("""COMPUTED_VALUE"""),"")</f>
        <v/>
      </c>
    </row>
    <row r="3384">
      <c r="A3384" s="17" t="str">
        <f>IFERROR(__xludf.DUMMYFUNCTION("""COMPUTED_VALUE"""),"")</f>
        <v/>
      </c>
      <c r="B3384" s="17" t="str">
        <f>IFERROR(__xludf.DUMMYFUNCTION("""COMPUTED_VALUE"""),"")</f>
        <v/>
      </c>
      <c r="C3384" s="17" t="str">
        <f>IFERROR(__xludf.DUMMYFUNCTION("""COMPUTED_VALUE"""),"")</f>
        <v/>
      </c>
      <c r="D3384" s="17" t="str">
        <f>IFERROR(__xludf.DUMMYFUNCTION("""COMPUTED_VALUE"""),"")</f>
        <v/>
      </c>
      <c r="E3384" s="17" t="str">
        <f>IFERROR(__xludf.DUMMYFUNCTION("""COMPUTED_VALUE"""),"")</f>
        <v/>
      </c>
      <c r="F3384" s="17" t="str">
        <f>IFERROR(__xludf.DUMMYFUNCTION("""COMPUTED_VALUE"""),"")</f>
        <v/>
      </c>
      <c r="G3384" s="17" t="str">
        <f>IFERROR(__xludf.DUMMYFUNCTION("""COMPUTED_VALUE"""),"")</f>
        <v/>
      </c>
      <c r="H3384" s="17" t="str">
        <f>IFERROR(__xludf.DUMMYFUNCTION("""COMPUTED_VALUE"""),"")</f>
        <v/>
      </c>
      <c r="I3384" s="17" t="str">
        <f>IFERROR(__xludf.DUMMYFUNCTION("""COMPUTED_VALUE"""),"")</f>
        <v/>
      </c>
      <c r="J3384" s="17" t="str">
        <f>IFERROR(__xludf.DUMMYFUNCTION("""COMPUTED_VALUE"""),"")</f>
        <v/>
      </c>
      <c r="K3384" s="17" t="str">
        <f>IFERROR(__xludf.DUMMYFUNCTION("""COMPUTED_VALUE"""),"")</f>
        <v/>
      </c>
      <c r="L3384" s="17" t="str">
        <f>IFERROR(__xludf.DUMMYFUNCTION("""COMPUTED_VALUE"""),"")</f>
        <v/>
      </c>
      <c r="M3384" s="17" t="str">
        <f>IFERROR(__xludf.DUMMYFUNCTION("""COMPUTED_VALUE"""),"")</f>
        <v/>
      </c>
      <c r="N3384" s="17" t="str">
        <f>IFERROR(__xludf.DUMMYFUNCTION("""COMPUTED_VALUE"""),"")</f>
        <v/>
      </c>
      <c r="O3384" s="17" t="str">
        <f>IFERROR(__xludf.DUMMYFUNCTION("""COMPUTED_VALUE"""),"")</f>
        <v/>
      </c>
      <c r="P3384" s="17" t="str">
        <f>IFERROR(__xludf.DUMMYFUNCTION("""COMPUTED_VALUE"""),"")</f>
        <v/>
      </c>
      <c r="Q3384" s="17" t="str">
        <f>IFERROR(__xludf.DUMMYFUNCTION("""COMPUTED_VALUE"""),"")</f>
        <v/>
      </c>
      <c r="R3384" s="17" t="str">
        <f>IFERROR(__xludf.DUMMYFUNCTION("""COMPUTED_VALUE"""),"")</f>
        <v/>
      </c>
    </row>
    <row r="3385">
      <c r="A3385" s="15">
        <f>IFERROR(__xludf.DUMMYFUNCTION("""COMPUTED_VALUE"""),45099.0)</f>
        <v>45099</v>
      </c>
      <c r="B3385" s="16" t="str">
        <f>IFERROR(__xludf.DUMMYFUNCTION("""COMPUTED_VALUE"""),"Julian Calderon Rodriguez ")</f>
        <v>Julian Calderon Rodriguez </v>
      </c>
      <c r="C3385" s="15" t="str">
        <f>IFERROR(__xludf.DUMMYFUNCTION("""COMPUTED_VALUE"""),"NEIVA")</f>
        <v>NEIVA</v>
      </c>
      <c r="D3385" s="15" t="str">
        <f>IFERROR(__xludf.DUMMYFUNCTION("""COMPUTED_VALUE"""),"BOGOTÁ")</f>
        <v>BOGOTÁ</v>
      </c>
      <c r="E3385" s="15" t="str">
        <f>IFERROR(__xludf.DUMMYFUNCTION("""COMPUTED_VALUE"""),"Viiva Fermentados")</f>
        <v>Viiva Fermentados</v>
      </c>
      <c r="F3385" s="17" t="str">
        <f>IFERROR(__xludf.DUMMYFUNCTION("""COMPUTED_VALUE"""),"Calle 8 No. 30-121 / Tienda Ecovida / Las Brisas")</f>
        <v>Calle 8 No. 30-121 / Tienda Ecovida / Las Brisas</v>
      </c>
      <c r="G3385" s="15" t="str">
        <f>IFERROR(__xludf.DUMMYFUNCTION("""COMPUTED_VALUE"""),"Tienda Ecovida")</f>
        <v>Tienda Ecovida</v>
      </c>
      <c r="H3385" s="16">
        <f>IFERROR(__xludf.DUMMYFUNCTION("""COMPUTED_VALUE"""),11829.0)</f>
        <v>11829</v>
      </c>
      <c r="I3385" s="18">
        <f>IFERROR(__xludf.DUMMYFUNCTION("""COMPUTED_VALUE"""),26.0)</f>
        <v>26</v>
      </c>
      <c r="J3385" s="18">
        <f>IFERROR(__xludf.DUMMYFUNCTION("""COMPUTED_VALUE"""),24.0)</f>
        <v>24</v>
      </c>
      <c r="K3385" s="18">
        <f>IFERROR(__xludf.DUMMYFUNCTION("""COMPUTED_VALUE"""),32.0)</f>
        <v>32</v>
      </c>
      <c r="L3385" s="17">
        <f>IFERROR(__xludf.DUMMYFUNCTION("""COMPUTED_VALUE"""),3.16834206E9)</f>
        <v>3168342060</v>
      </c>
      <c r="M3385" s="17" t="str">
        <f>IFERROR(__xludf.DUMMYFUNCTION("""COMPUTED_VALUE"""),"#REF!")</f>
        <v>#REF!</v>
      </c>
      <c r="N3385" s="17"/>
      <c r="O3385" s="17"/>
      <c r="P3385" s="17" t="b">
        <f>IFERROR(__xludf.DUMMYFUNCTION("""COMPUTED_VALUE"""),FALSE)</f>
        <v>0</v>
      </c>
      <c r="Q3385" s="20" t="str">
        <f>IFERROR(__xludf.DUMMYFUNCTION("""COMPUTED_VALUE"""),"")</f>
        <v/>
      </c>
      <c r="R3385" s="21" t="str">
        <f>IFERROR(__xludf.DUMMYFUNCTION("""COMPUTED_VALUE"""),"https://drive.google.com/file/d/1ajmsSMgR3iZTzBRs45tIiba2y0vVB-Og/view?usp=drivesdk")</f>
        <v>https://drive.google.com/file/d/1ajmsSMgR3iZTzBRs45tIiba2y0vVB-Og/view?usp=drivesdk</v>
      </c>
    </row>
    <row r="3386">
      <c r="A3386" s="15">
        <f>IFERROR(__xludf.DUMMYFUNCTION("""COMPUTED_VALUE"""),45099.0)</f>
        <v>45099</v>
      </c>
      <c r="B3386" s="16" t="str">
        <f>IFERROR(__xludf.DUMMYFUNCTION("""COMPUTED_VALUE"""),"Julian Calderon Rodriguez ")</f>
        <v>Julian Calderon Rodriguez </v>
      </c>
      <c r="C3386" s="15" t="str">
        <f>IFERROR(__xludf.DUMMYFUNCTION("""COMPUTED_VALUE"""),"NEIVA")</f>
        <v>NEIVA</v>
      </c>
      <c r="D3386" s="15" t="str">
        <f>IFERROR(__xludf.DUMMYFUNCTION("""COMPUTED_VALUE"""),"MEDELLÍN")</f>
        <v>MEDELLÍN</v>
      </c>
      <c r="E3386" s="15" t="str">
        <f>IFERROR(__xludf.DUMMYFUNCTION("""COMPUTED_VALUE"""),"Baby Chef")</f>
        <v>Baby Chef</v>
      </c>
      <c r="F3386" s="17" t="str">
        <f>IFERROR(__xludf.DUMMYFUNCTION("""COMPUTED_VALUE"""),"Calle 22 sur No. 21-58 404 torre 4 conjunto reserva de tulipanes Neiva Huila / ""Calle 22 sur No. 21-58 404 torre 4 conjunto reserva de tulipanes Neiva Huila"" / ""Calle 22 sur No. 21-58 404 torre 4 conjunto reserva de tulipanes Neiva Huila""")</f>
        <v>Calle 22 sur No. 21-58 404 torre 4 conjunto reserva de tulipanes Neiva Huila / "Calle 22 sur No. 21-58 404 torre 4 conjunto reserva de tulipanes Neiva Huila" / "Calle 22 sur No. 21-58 404 torre 4 conjunto reserva de tulipanes Neiva Huila"</v>
      </c>
      <c r="G3386" s="15" t="str">
        <f>IFERROR(__xludf.DUMMYFUNCTION("""COMPUTED_VALUE"""),"Ernesto Cardenas Vega")</f>
        <v>Ernesto Cardenas Vega</v>
      </c>
      <c r="H3386" s="16">
        <f>IFERROR(__xludf.DUMMYFUNCTION("""COMPUTED_VALUE"""),11911.0)</f>
        <v>11911</v>
      </c>
      <c r="I3386" s="18">
        <f>IFERROR(__xludf.DUMMYFUNCTION("""COMPUTED_VALUE"""),8.0)</f>
        <v>8</v>
      </c>
      <c r="J3386" s="18">
        <f>IFERROR(__xludf.DUMMYFUNCTION("""COMPUTED_VALUE"""),16.0)</f>
        <v>16</v>
      </c>
      <c r="K3386" s="18">
        <f>IFERROR(__xludf.DUMMYFUNCTION("""COMPUTED_VALUE"""),20.0)</f>
        <v>20</v>
      </c>
      <c r="L3386" s="17">
        <f>IFERROR(__xludf.DUMMYFUNCTION("""COMPUTED_VALUE"""),3.108179998E9)</f>
        <v>3108179998</v>
      </c>
      <c r="M3386" s="17" t="str">
        <f>IFERROR(__xludf.DUMMYFUNCTION("""COMPUTED_VALUE"""),"#REF!")</f>
        <v>#REF!</v>
      </c>
      <c r="N3386" s="17"/>
      <c r="O3386" s="17"/>
      <c r="P3386" s="17" t="b">
        <f>IFERROR(__xludf.DUMMYFUNCTION("""COMPUTED_VALUE"""),FALSE)</f>
        <v>0</v>
      </c>
      <c r="Q3386" s="20" t="str">
        <f>IFERROR(__xludf.DUMMYFUNCTION("""COMPUTED_VALUE"""),"")</f>
        <v/>
      </c>
      <c r="R3386" s="22" t="str">
        <f>IFERROR(__xludf.DUMMYFUNCTION("""COMPUTED_VALUE"""),"")</f>
        <v/>
      </c>
    </row>
    <row r="3387">
      <c r="A3387" s="17" t="str">
        <f>IFERROR(__xludf.DUMMYFUNCTION("""COMPUTED_VALUE"""),"")</f>
        <v/>
      </c>
      <c r="B3387" s="17" t="str">
        <f>IFERROR(__xludf.DUMMYFUNCTION("""COMPUTED_VALUE"""),"")</f>
        <v/>
      </c>
      <c r="C3387" s="17" t="str">
        <f>IFERROR(__xludf.DUMMYFUNCTION("""COMPUTED_VALUE"""),"")</f>
        <v/>
      </c>
      <c r="D3387" s="17" t="str">
        <f>IFERROR(__xludf.DUMMYFUNCTION("""COMPUTED_VALUE"""),"")</f>
        <v/>
      </c>
      <c r="E3387" s="17" t="str">
        <f>IFERROR(__xludf.DUMMYFUNCTION("""COMPUTED_VALUE"""),"")</f>
        <v/>
      </c>
      <c r="F3387" s="17" t="str">
        <f>IFERROR(__xludf.DUMMYFUNCTION("""COMPUTED_VALUE"""),"")</f>
        <v/>
      </c>
      <c r="G3387" s="17" t="str">
        <f>IFERROR(__xludf.DUMMYFUNCTION("""COMPUTED_VALUE"""),"")</f>
        <v/>
      </c>
      <c r="H3387" s="17" t="str">
        <f>IFERROR(__xludf.DUMMYFUNCTION("""COMPUTED_VALUE"""),"")</f>
        <v/>
      </c>
      <c r="I3387" s="17" t="str">
        <f>IFERROR(__xludf.DUMMYFUNCTION("""COMPUTED_VALUE"""),"")</f>
        <v/>
      </c>
      <c r="J3387" s="17" t="str">
        <f>IFERROR(__xludf.DUMMYFUNCTION("""COMPUTED_VALUE"""),"")</f>
        <v/>
      </c>
      <c r="K3387" s="17" t="str">
        <f>IFERROR(__xludf.DUMMYFUNCTION("""COMPUTED_VALUE"""),"")</f>
        <v/>
      </c>
      <c r="L3387" s="17" t="str">
        <f>IFERROR(__xludf.DUMMYFUNCTION("""COMPUTED_VALUE"""),"")</f>
        <v/>
      </c>
      <c r="M3387" s="17" t="str">
        <f>IFERROR(__xludf.DUMMYFUNCTION("""COMPUTED_VALUE"""),"")</f>
        <v/>
      </c>
      <c r="N3387" s="17" t="str">
        <f>IFERROR(__xludf.DUMMYFUNCTION("""COMPUTED_VALUE"""),"")</f>
        <v/>
      </c>
      <c r="O3387" s="17" t="str">
        <f>IFERROR(__xludf.DUMMYFUNCTION("""COMPUTED_VALUE"""),"")</f>
        <v/>
      </c>
      <c r="P3387" s="17" t="str">
        <f>IFERROR(__xludf.DUMMYFUNCTION("""COMPUTED_VALUE"""),"")</f>
        <v/>
      </c>
      <c r="Q3387" s="17" t="str">
        <f>IFERROR(__xludf.DUMMYFUNCTION("""COMPUTED_VALUE"""),"")</f>
        <v/>
      </c>
      <c r="R3387" s="17" t="str">
        <f>IFERROR(__xludf.DUMMYFUNCTION("""COMPUTED_VALUE"""),"")</f>
        <v/>
      </c>
    </row>
    <row r="3388">
      <c r="A3388" s="15">
        <f>IFERROR(__xludf.DUMMYFUNCTION("""COMPUTED_VALUE"""),45099.0)</f>
        <v>45099</v>
      </c>
      <c r="B3388" s="16" t="str">
        <f>IFERROR(__xludf.DUMMYFUNCTION("""COMPUTED_VALUE"""),"Oscar Augusto Meneses Osias")</f>
        <v>Oscar Augusto Meneses Osias</v>
      </c>
      <c r="C3388" s="15" t="str">
        <f>IFERROR(__xludf.DUMMYFUNCTION("""COMPUTED_VALUE"""),"CALI")</f>
        <v>CALI</v>
      </c>
      <c r="D3388" s="15" t="str">
        <f>IFERROR(__xludf.DUMMYFUNCTION("""COMPUTED_VALUE"""),"MEDELLÍN")</f>
        <v>MEDELLÍN</v>
      </c>
      <c r="E3388" s="15" t="str">
        <f>IFERROR(__xludf.DUMMYFUNCTION("""COMPUTED_VALUE"""),"Moloso S.A.S")</f>
        <v>Moloso S.A.S</v>
      </c>
      <c r="F3388" s="17" t="str">
        <f>IFERROR(__xludf.DUMMYFUNCTION("""COMPUTED_VALUE"""),"AVENIDA 3 OESTE 13 94 / EDIF SOL DEL OESTE APT 702")</f>
        <v>AVENIDA 3 OESTE 13 94 / EDIF SOL DEL OESTE APT 702</v>
      </c>
      <c r="G3388" s="15" t="str">
        <f>IFERROR(__xludf.DUMMYFUNCTION("""COMPUTED_VALUE"""),"LAURA HERNÁNDEZ ALVIAR")</f>
        <v>LAURA HERNÁNDEZ ALVIAR</v>
      </c>
      <c r="H3388" s="16">
        <f>IFERROR(__xludf.DUMMYFUNCTION("""COMPUTED_VALUE"""),11937.0)</f>
        <v>11937</v>
      </c>
      <c r="I3388" s="18">
        <f>IFERROR(__xludf.DUMMYFUNCTION("""COMPUTED_VALUE"""),17.0)</f>
        <v>17</v>
      </c>
      <c r="J3388" s="18">
        <f>IFERROR(__xludf.DUMMYFUNCTION("""COMPUTED_VALUE"""),15.0)</f>
        <v>15</v>
      </c>
      <c r="K3388" s="18">
        <f>IFERROR(__xludf.DUMMYFUNCTION("""COMPUTED_VALUE"""),28.0)</f>
        <v>28</v>
      </c>
      <c r="L3388" s="17" t="str">
        <f>IFERROR(__xludf.DUMMYFUNCTION("""COMPUTED_VALUE"""),"315 5762974")</f>
        <v>315 5762974</v>
      </c>
      <c r="M3388" s="17" t="str">
        <f>IFERROR(__xludf.DUMMYFUNCTION("""COMPUTED_VALUE"""),"#REF!")</f>
        <v>#REF!</v>
      </c>
      <c r="N3388" s="17"/>
      <c r="O3388" s="17"/>
      <c r="P3388" s="17" t="b">
        <f>IFERROR(__xludf.DUMMYFUNCTION("""COMPUTED_VALUE"""),FALSE)</f>
        <v>0</v>
      </c>
      <c r="Q3388" s="20" t="str">
        <f>IFERROR(__xludf.DUMMYFUNCTION("""COMPUTED_VALUE"""),"")</f>
        <v/>
      </c>
      <c r="R3388" s="21" t="str">
        <f>IFERROR(__xludf.DUMMYFUNCTION("""COMPUTED_VALUE"""),"https://drive.google.com/file/d/1_p-ycoK6Z3ONytemo1ZHJdLvqJ5W4aKr/view?usp=drivesdk")</f>
        <v>https://drive.google.com/file/d/1_p-ycoK6Z3ONytemo1ZHJdLvqJ5W4aKr/view?usp=drivesdk</v>
      </c>
    </row>
    <row r="3389">
      <c r="A3389" s="17" t="str">
        <f>IFERROR(__xludf.DUMMYFUNCTION("""COMPUTED_VALUE"""),"")</f>
        <v/>
      </c>
      <c r="B3389" s="17" t="str">
        <f>IFERROR(__xludf.DUMMYFUNCTION("""COMPUTED_VALUE"""),"")</f>
        <v/>
      </c>
      <c r="C3389" s="17" t="str">
        <f>IFERROR(__xludf.DUMMYFUNCTION("""COMPUTED_VALUE"""),"")</f>
        <v/>
      </c>
      <c r="D3389" s="17" t="str">
        <f>IFERROR(__xludf.DUMMYFUNCTION("""COMPUTED_VALUE"""),"")</f>
        <v/>
      </c>
      <c r="E3389" s="17" t="str">
        <f>IFERROR(__xludf.DUMMYFUNCTION("""COMPUTED_VALUE"""),"")</f>
        <v/>
      </c>
      <c r="F3389" s="17" t="str">
        <f>IFERROR(__xludf.DUMMYFUNCTION("""COMPUTED_VALUE"""),"")</f>
        <v/>
      </c>
      <c r="G3389" s="17" t="str">
        <f>IFERROR(__xludf.DUMMYFUNCTION("""COMPUTED_VALUE"""),"")</f>
        <v/>
      </c>
      <c r="H3389" s="17" t="str">
        <f>IFERROR(__xludf.DUMMYFUNCTION("""COMPUTED_VALUE"""),"")</f>
        <v/>
      </c>
      <c r="I3389" s="17" t="str">
        <f>IFERROR(__xludf.DUMMYFUNCTION("""COMPUTED_VALUE"""),"")</f>
        <v/>
      </c>
      <c r="J3389" s="17" t="str">
        <f>IFERROR(__xludf.DUMMYFUNCTION("""COMPUTED_VALUE"""),"")</f>
        <v/>
      </c>
      <c r="K3389" s="17" t="str">
        <f>IFERROR(__xludf.DUMMYFUNCTION("""COMPUTED_VALUE"""),"")</f>
        <v/>
      </c>
      <c r="L3389" s="17" t="str">
        <f>IFERROR(__xludf.DUMMYFUNCTION("""COMPUTED_VALUE"""),"")</f>
        <v/>
      </c>
      <c r="M3389" s="17" t="str">
        <f>IFERROR(__xludf.DUMMYFUNCTION("""COMPUTED_VALUE"""),"")</f>
        <v/>
      </c>
      <c r="N3389" s="17" t="str">
        <f>IFERROR(__xludf.DUMMYFUNCTION("""COMPUTED_VALUE"""),"")</f>
        <v/>
      </c>
      <c r="O3389" s="17" t="str">
        <f>IFERROR(__xludf.DUMMYFUNCTION("""COMPUTED_VALUE"""),"")</f>
        <v/>
      </c>
      <c r="P3389" s="17" t="str">
        <f>IFERROR(__xludf.DUMMYFUNCTION("""COMPUTED_VALUE"""),"")</f>
        <v/>
      </c>
      <c r="Q3389" s="17" t="str">
        <f>IFERROR(__xludf.DUMMYFUNCTION("""COMPUTED_VALUE"""),"")</f>
        <v/>
      </c>
      <c r="R3389" s="17" t="str">
        <f>IFERROR(__xludf.DUMMYFUNCTION("""COMPUTED_VALUE"""),"")</f>
        <v/>
      </c>
    </row>
    <row r="3390">
      <c r="A3390" s="15">
        <f>IFERROR(__xludf.DUMMYFUNCTION("""COMPUTED_VALUE"""),45100.0)</f>
        <v>45100</v>
      </c>
      <c r="B3390" s="16" t="str">
        <f>IFERROR(__xludf.DUMMYFUNCTION("""COMPUTED_VALUE"""),"Daniel José sandoval gonzalez")</f>
        <v>Daniel José sandoval gonzalez</v>
      </c>
      <c r="C3390" s="15" t="str">
        <f>IFERROR(__xludf.DUMMYFUNCTION("""COMPUTED_VALUE"""),"BARRANQUILLA")</f>
        <v>BARRANQUILLA</v>
      </c>
      <c r="D3390" s="15" t="str">
        <f>IFERROR(__xludf.DUMMYFUNCTION("""COMPUTED_VALUE"""),"BOGOTÁ")</f>
        <v>BOGOTÁ</v>
      </c>
      <c r="E3390" s="15" t="str">
        <f>IFERROR(__xludf.DUMMYFUNCTION("""COMPUTED_VALUE"""),"Evamazzita")</f>
        <v>Evamazzita</v>
      </c>
      <c r="F3390" s="17" t="str">
        <f>IFERROR(__xludf.DUMMYFUNCTION("""COMPUTED_VALUE"""),"Cra8#36b64  / segundo piso  |  / Barrio el campito")</f>
        <v>Cra8#36b64  / segundo piso  |  / Barrio el campito</v>
      </c>
      <c r="G3390" s="15" t="str">
        <f>IFERROR(__xludf.DUMMYFUNCTION("""COMPUTED_VALUE"""),"KATERINE ALGARIN MONSALVO")</f>
        <v>KATERINE ALGARIN MONSALVO</v>
      </c>
      <c r="H3390" s="16">
        <f>IFERROR(__xludf.DUMMYFUNCTION("""COMPUTED_VALUE"""),11925.0)</f>
        <v>11925</v>
      </c>
      <c r="I3390" s="18">
        <f>IFERROR(__xludf.DUMMYFUNCTION("""COMPUTED_VALUE"""),1.0)</f>
        <v>1</v>
      </c>
      <c r="J3390" s="18">
        <f>IFERROR(__xludf.DUMMYFUNCTION("""COMPUTED_VALUE"""),1.0)</f>
        <v>1</v>
      </c>
      <c r="K3390" s="18">
        <f>IFERROR(__xludf.DUMMYFUNCTION("""COMPUTED_VALUE"""),1.0)</f>
        <v>1</v>
      </c>
      <c r="L3390" s="17">
        <f>IFERROR(__xludf.DUMMYFUNCTION("""COMPUTED_VALUE"""),3.162935258E9)</f>
        <v>3162935258</v>
      </c>
      <c r="M3390" s="17" t="str">
        <f>IFERROR(__xludf.DUMMYFUNCTION("""COMPUTED_VALUE"""),"#REF!")</f>
        <v>#REF!</v>
      </c>
      <c r="N3390" s="17"/>
      <c r="O3390" s="17"/>
      <c r="P3390" s="17" t="b">
        <f>IFERROR(__xludf.DUMMYFUNCTION("""COMPUTED_VALUE"""),TRUE)</f>
        <v>1</v>
      </c>
      <c r="Q3390" s="20">
        <f>IFERROR(__xludf.DUMMYFUNCTION("""COMPUTED_VALUE"""),45103.38993925926)</f>
        <v>45103.38994</v>
      </c>
      <c r="R3390" s="22" t="str">
        <f>IFERROR(__xludf.DUMMYFUNCTION("""COMPUTED_VALUE"""),"")</f>
        <v/>
      </c>
    </row>
    <row r="3391">
      <c r="A3391" s="15">
        <f>IFERROR(__xludf.DUMMYFUNCTION("""COMPUTED_VALUE"""),45100.0)</f>
        <v>45100</v>
      </c>
      <c r="B3391" s="16" t="str">
        <f>IFERROR(__xludf.DUMMYFUNCTION("""COMPUTED_VALUE"""),"Daniel José sandoval gonzalez")</f>
        <v>Daniel José sandoval gonzalez</v>
      </c>
      <c r="C3391" s="15" t="str">
        <f>IFERROR(__xludf.DUMMYFUNCTION("""COMPUTED_VALUE"""),"BARRANQUILLA")</f>
        <v>BARRANQUILLA</v>
      </c>
      <c r="D3391" s="15" t="str">
        <f>IFERROR(__xludf.DUMMYFUNCTION("""COMPUTED_VALUE"""),"BOGOTÁ")</f>
        <v>BOGOTÁ</v>
      </c>
      <c r="E3391" s="15" t="str">
        <f>IFERROR(__xludf.DUMMYFUNCTION("""COMPUTED_VALUE"""),"Mochi")</f>
        <v>Mochi</v>
      </c>
      <c r="F3391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3391" s="15" t="str">
        <f>IFERROR(__xludf.DUMMYFUNCTION("""COMPUTED_VALUE"""),"Maria camila")</f>
        <v>Maria camila</v>
      </c>
      <c r="H3391" s="16">
        <f>IFERROR(__xludf.DUMMYFUNCTION("""COMPUTED_VALUE"""),12006.0)</f>
        <v>12006</v>
      </c>
      <c r="I3391" s="18">
        <f>IFERROR(__xludf.DUMMYFUNCTION("""COMPUTED_VALUE"""),100.0)</f>
        <v>100</v>
      </c>
      <c r="J3391" s="18">
        <f>IFERROR(__xludf.DUMMYFUNCTION("""COMPUTED_VALUE"""),100.0)</f>
        <v>100</v>
      </c>
      <c r="K3391" s="18">
        <f>IFERROR(__xludf.DUMMYFUNCTION("""COMPUTED_VALUE"""),100.0)</f>
        <v>100</v>
      </c>
      <c r="L3391" s="17">
        <f>IFERROR(__xludf.DUMMYFUNCTION("""COMPUTED_VALUE"""),3.116026252E9)</f>
        <v>3116026252</v>
      </c>
      <c r="M3391" s="17" t="str">
        <f>IFERROR(__xludf.DUMMYFUNCTION("""COMPUTED_VALUE"""),"#REF!")</f>
        <v>#REF!</v>
      </c>
      <c r="N3391" s="17"/>
      <c r="O3391" s="17"/>
      <c r="P3391" s="17" t="b">
        <f>IFERROR(__xludf.DUMMYFUNCTION("""COMPUTED_VALUE"""),FALSE)</f>
        <v>0</v>
      </c>
      <c r="Q3391" s="20" t="str">
        <f>IFERROR(__xludf.DUMMYFUNCTION("""COMPUTED_VALUE"""),"")</f>
        <v/>
      </c>
      <c r="R3391" s="22" t="str">
        <f>IFERROR(__xludf.DUMMYFUNCTION("""COMPUTED_VALUE"""),"")</f>
        <v/>
      </c>
    </row>
    <row r="3392">
      <c r="A3392" s="15">
        <f>IFERROR(__xludf.DUMMYFUNCTION("""COMPUTED_VALUE"""),45100.0)</f>
        <v>45100</v>
      </c>
      <c r="B3392" s="16" t="str">
        <f>IFERROR(__xludf.DUMMYFUNCTION("""COMPUTED_VALUE"""),"Daniel José sandoval gonzalez")</f>
        <v>Daniel José sandoval gonzalez</v>
      </c>
      <c r="C3392" s="15" t="str">
        <f>IFERROR(__xludf.DUMMYFUNCTION("""COMPUTED_VALUE"""),"BARRANQUILLA")</f>
        <v>BARRANQUILLA</v>
      </c>
      <c r="D3392" s="15" t="str">
        <f>IFERROR(__xludf.DUMMYFUNCTION("""COMPUTED_VALUE"""),"MANIZALES")</f>
        <v>MANIZALES</v>
      </c>
      <c r="E3392" s="15" t="str">
        <f>IFERROR(__xludf.DUMMYFUNCTION("""COMPUTED_VALUE"""),"Congelados Típicos")</f>
        <v>Congelados Típicos</v>
      </c>
      <c r="F3392" s="17" t="str">
        <f>IFERROR(__xludf.DUMMYFUNCTION("""COMPUTED_VALUE"""),"envia colvanes Barranquilla / Centro de acopio dando lora  / envia colvanes Barranquilla")</f>
        <v>envia colvanes Barranquilla / Centro de acopio dando lora  / envia colvanes Barranquilla</v>
      </c>
      <c r="G3392" s="15" t="str">
        <f>IFERROR(__xludf.DUMMYFUNCTION("""COMPUTED_VALUE"""),"Mateo D Rabal - congelados tipicos")</f>
        <v>Mateo D Rabal - congelados tipicos</v>
      </c>
      <c r="H3392" s="16">
        <f>IFERROR(__xludf.DUMMYFUNCTION("""COMPUTED_VALUE"""),11920.0)</f>
        <v>11920</v>
      </c>
      <c r="I3392" s="18">
        <f>IFERROR(__xludf.DUMMYFUNCTION("""COMPUTED_VALUE"""),29.0)</f>
        <v>29</v>
      </c>
      <c r="J3392" s="18">
        <f>IFERROR(__xludf.DUMMYFUNCTION("""COMPUTED_VALUE"""),55.0)</f>
        <v>55</v>
      </c>
      <c r="K3392" s="18">
        <f>IFERROR(__xludf.DUMMYFUNCTION("""COMPUTED_VALUE"""),45.0)</f>
        <v>45</v>
      </c>
      <c r="L3392" s="17">
        <f>IFERROR(__xludf.DUMMYFUNCTION("""COMPUTED_VALUE"""),3.113744276E9)</f>
        <v>3113744276</v>
      </c>
      <c r="M3392" s="17" t="str">
        <f>IFERROR(__xludf.DUMMYFUNCTION("""COMPUTED_VALUE"""),"#REF!")</f>
        <v>#REF!</v>
      </c>
      <c r="N3392" s="17"/>
      <c r="O3392" s="17"/>
      <c r="P3392" s="17" t="b">
        <f>IFERROR(__xludf.DUMMYFUNCTION("""COMPUTED_VALUE"""),FALSE)</f>
        <v>0</v>
      </c>
      <c r="Q3392" s="20" t="str">
        <f>IFERROR(__xludf.DUMMYFUNCTION("""COMPUTED_VALUE"""),"")</f>
        <v/>
      </c>
      <c r="R3392" s="22" t="str">
        <f>IFERROR(__xludf.DUMMYFUNCTION("""COMPUTED_VALUE"""),"")</f>
        <v/>
      </c>
    </row>
    <row r="3393">
      <c r="A3393" s="15">
        <f>IFERROR(__xludf.DUMMYFUNCTION("""COMPUTED_VALUE"""),45100.0)</f>
        <v>45100</v>
      </c>
      <c r="B3393" s="16" t="str">
        <f>IFERROR(__xludf.DUMMYFUNCTION("""COMPUTED_VALUE"""),"Daniel José sandoval gonzalez")</f>
        <v>Daniel José sandoval gonzalez</v>
      </c>
      <c r="C3393" s="15" t="str">
        <f>IFERROR(__xludf.DUMMYFUNCTION("""COMPUTED_VALUE"""),"BARRANQUILLA")</f>
        <v>BARRANQUILLA</v>
      </c>
      <c r="D3393" s="15" t="str">
        <f>IFERROR(__xludf.DUMMYFUNCTION("""COMPUTED_VALUE"""),"MEDELLÍN")</f>
        <v>MEDELLÍN</v>
      </c>
      <c r="E3393" s="15" t="str">
        <f>IFERROR(__xludf.DUMMYFUNCTION("""COMPUTED_VALUE"""),"Masar Cocina")</f>
        <v>Masar Cocina</v>
      </c>
      <c r="F3393" s="17" t="str">
        <f>IFERROR(__xludf.DUMMYFUNCTION("""COMPUTED_VALUE"""),"Cra 47 n80-112 / Edificio puerta del sol apt 301 / Barrio torcoroma")</f>
        <v>Cra 47 n80-112 / Edificio puerta del sol apt 301 / Barrio torcoroma</v>
      </c>
      <c r="G3393" s="15" t="str">
        <f>IFERROR(__xludf.DUMMYFUNCTION("""COMPUTED_VALUE"""),"Miguel angel quintero")</f>
        <v>Miguel angel quintero</v>
      </c>
      <c r="H3393" s="16">
        <f>IFERROR(__xludf.DUMMYFUNCTION("""COMPUTED_VALUE"""),11919.0)</f>
        <v>11919</v>
      </c>
      <c r="I3393" s="18">
        <f>IFERROR(__xludf.DUMMYFUNCTION("""COMPUTED_VALUE"""),13.0)</f>
        <v>13</v>
      </c>
      <c r="J3393" s="18">
        <f>IFERROR(__xludf.DUMMYFUNCTION("""COMPUTED_VALUE"""),10.0)</f>
        <v>10</v>
      </c>
      <c r="K3393" s="18">
        <f>IFERROR(__xludf.DUMMYFUNCTION("""COMPUTED_VALUE"""),10.0)</f>
        <v>10</v>
      </c>
      <c r="L3393" s="17">
        <f>IFERROR(__xludf.DUMMYFUNCTION("""COMPUTED_VALUE"""),3.002574467E9)</f>
        <v>3002574467</v>
      </c>
      <c r="M3393" s="17" t="str">
        <f>IFERROR(__xludf.DUMMYFUNCTION("""COMPUTED_VALUE"""),"#REF!")</f>
        <v>#REF!</v>
      </c>
      <c r="N3393" s="17"/>
      <c r="O3393" s="17"/>
      <c r="P3393" s="17" t="b">
        <f>IFERROR(__xludf.DUMMYFUNCTION("""COMPUTED_VALUE"""),FALSE)</f>
        <v>0</v>
      </c>
      <c r="Q3393" s="20" t="str">
        <f>IFERROR(__xludf.DUMMYFUNCTION("""COMPUTED_VALUE"""),"")</f>
        <v/>
      </c>
      <c r="R3393" s="21" t="str">
        <f>IFERROR(__xludf.DUMMYFUNCTION("""COMPUTED_VALUE"""),"https://drive.google.com/file/d/13Jz3QTGaJRXDzfWvxSuiIXQLEiNqC_yd/view?usp=drivesdk")</f>
        <v>https://drive.google.com/file/d/13Jz3QTGaJRXDzfWvxSuiIXQLEiNqC_yd/view?usp=drivesdk</v>
      </c>
    </row>
    <row r="3394">
      <c r="A3394" s="15">
        <f>IFERROR(__xludf.DUMMYFUNCTION("""COMPUTED_VALUE"""),45100.0)</f>
        <v>45100</v>
      </c>
      <c r="B3394" s="16" t="str">
        <f>IFERROR(__xludf.DUMMYFUNCTION("""COMPUTED_VALUE"""),"Daniel José sandoval gonzalez")</f>
        <v>Daniel José sandoval gonzalez</v>
      </c>
      <c r="C3394" s="15" t="str">
        <f>IFERROR(__xludf.DUMMYFUNCTION("""COMPUTED_VALUE"""),"MEDELLÍN")</f>
        <v>MEDELLÍN</v>
      </c>
      <c r="D3394" s="15" t="str">
        <f>IFERROR(__xludf.DUMMYFUNCTION("""COMPUTED_VALUE"""),"BOGOTÁ")</f>
        <v>BOGOTÁ</v>
      </c>
      <c r="E3394" s="15" t="str">
        <f>IFERROR(__xludf.DUMMYFUNCTION("""COMPUTED_VALUE"""),"Viiva Fermentados")</f>
        <v>Viiva Fermentados</v>
      </c>
      <c r="F3394" s="17" t="str">
        <f>IFERROR(__xludf.DUMMYFUNCTION("""COMPUTED_VALUE"""),"CR 42 # 08 -39 / Local piso 1 / Poblado")</f>
        <v>CR 42 # 08 -39 / Local piso 1 / Poblado</v>
      </c>
      <c r="G3394" s="15" t="str">
        <f>IFERROR(__xludf.DUMMYFUNCTION("""COMPUTED_VALUE"""),"Restaurante Real Vegetal")</f>
        <v>Restaurante Real Vegetal</v>
      </c>
      <c r="H3394" s="16">
        <f>IFERROR(__xludf.DUMMYFUNCTION("""COMPUTED_VALUE"""),11831.0)</f>
        <v>11831</v>
      </c>
      <c r="I3394" s="18">
        <f>IFERROR(__xludf.DUMMYFUNCTION("""COMPUTED_VALUE"""),26.0)</f>
        <v>26</v>
      </c>
      <c r="J3394" s="18">
        <f>IFERROR(__xludf.DUMMYFUNCTION("""COMPUTED_VALUE"""),24.0)</f>
        <v>24</v>
      </c>
      <c r="K3394" s="18">
        <f>IFERROR(__xludf.DUMMYFUNCTION("""COMPUTED_VALUE"""),32.0)</f>
        <v>32</v>
      </c>
      <c r="L3394" s="17">
        <f>IFERROR(__xludf.DUMMYFUNCTION("""COMPUTED_VALUE"""),3.116345472E9)</f>
        <v>3116345472</v>
      </c>
      <c r="M3394" s="17" t="str">
        <f>IFERROR(__xludf.DUMMYFUNCTION("""COMPUTED_VALUE"""),"#REF!")</f>
        <v>#REF!</v>
      </c>
      <c r="N3394" s="17"/>
      <c r="O3394" s="17"/>
      <c r="P3394" s="17" t="b">
        <f>IFERROR(__xludf.DUMMYFUNCTION("""COMPUTED_VALUE"""),FALSE)</f>
        <v>0</v>
      </c>
      <c r="Q3394" s="20" t="str">
        <f>IFERROR(__xludf.DUMMYFUNCTION("""COMPUTED_VALUE"""),"")</f>
        <v/>
      </c>
      <c r="R3394" s="22" t="str">
        <f>IFERROR(__xludf.DUMMYFUNCTION("""COMPUTED_VALUE"""),"")</f>
        <v/>
      </c>
    </row>
    <row r="3395">
      <c r="A3395" s="15">
        <f>IFERROR(__xludf.DUMMYFUNCTION("""COMPUTED_VALUE"""),45100.0)</f>
        <v>45100</v>
      </c>
      <c r="B3395" s="16" t="str">
        <f>IFERROR(__xludf.DUMMYFUNCTION("""COMPUTED_VALUE"""),"Daniel José sandoval gonzalez")</f>
        <v>Daniel José sandoval gonzalez</v>
      </c>
      <c r="C3395" s="15" t="str">
        <f>IFERROR(__xludf.DUMMYFUNCTION("""COMPUTED_VALUE"""),"MEDELLÍN")</f>
        <v>MEDELLÍN</v>
      </c>
      <c r="D3395" s="15" t="str">
        <f>IFERROR(__xludf.DUMMYFUNCTION("""COMPUTED_VALUE"""),"BOGOTÁ")</f>
        <v>BOGOTÁ</v>
      </c>
      <c r="E3395" s="15" t="str">
        <f>IFERROR(__xludf.DUMMYFUNCTION("""COMPUTED_VALUE"""),"Viral Brands")</f>
        <v>Viral Brands</v>
      </c>
      <c r="F3395" s="17" t="str">
        <f>IFERROR(__xludf.DUMMYFUNCTION("""COMPUTED_VALUE"""),"calle 1 sur # 29-354 / cocina de chuzales y min  burguer, al lado de  la bodega de rappi turbo / poblado- en la loma de los parra")</f>
        <v>calle 1 sur # 29-354 / cocina de chuzales y min  burguer, al lado de  la bodega de rappi turbo / poblado- en la loma de los parra</v>
      </c>
      <c r="G3395" s="15" t="str">
        <f>IFERROR(__xludf.DUMMYFUNCTION("""COMPUTED_VALUE"""),"carlos olivero")</f>
        <v>carlos olivero</v>
      </c>
      <c r="H3395" s="16">
        <f>IFERROR(__xludf.DUMMYFUNCTION("""COMPUTED_VALUE"""),11973.0)</f>
        <v>11973</v>
      </c>
      <c r="I3395" s="18">
        <f>IFERROR(__xludf.DUMMYFUNCTION("""COMPUTED_VALUE"""),29.0)</f>
        <v>29</v>
      </c>
      <c r="J3395" s="18">
        <f>IFERROR(__xludf.DUMMYFUNCTION("""COMPUTED_VALUE"""),55.0)</f>
        <v>55</v>
      </c>
      <c r="K3395" s="18">
        <f>IFERROR(__xludf.DUMMYFUNCTION("""COMPUTED_VALUE"""),45.0)</f>
        <v>45</v>
      </c>
      <c r="L3395" s="17">
        <f>IFERROR(__xludf.DUMMYFUNCTION("""COMPUTED_VALUE"""),3.053460624E9)</f>
        <v>3053460624</v>
      </c>
      <c r="M3395" s="17" t="str">
        <f>IFERROR(__xludf.DUMMYFUNCTION("""COMPUTED_VALUE"""),"#REF!")</f>
        <v>#REF!</v>
      </c>
      <c r="N3395" s="17"/>
      <c r="O3395" s="17"/>
      <c r="P3395" s="17" t="b">
        <f>IFERROR(__xludf.DUMMYFUNCTION("""COMPUTED_VALUE"""),FALSE)</f>
        <v>0</v>
      </c>
      <c r="Q3395" s="20" t="str">
        <f>IFERROR(__xludf.DUMMYFUNCTION("""COMPUTED_VALUE"""),"")</f>
        <v/>
      </c>
      <c r="R3395" s="21" t="str">
        <f>IFERROR(__xludf.DUMMYFUNCTION("""COMPUTED_VALUE"""),"https://drive.google.com/file/d/1KnjjfWoQdU9b32Ypwmz8CQcxqgH25GvD/view?usp=drivesdk")</f>
        <v>https://drive.google.com/file/d/1KnjjfWoQdU9b32Ypwmz8CQcxqgH25GvD/view?usp=drivesdk</v>
      </c>
    </row>
    <row r="3396">
      <c r="A3396" s="17" t="str">
        <f>IFERROR(__xludf.DUMMYFUNCTION("""COMPUTED_VALUE"""),"")</f>
        <v/>
      </c>
      <c r="B3396" s="17" t="str">
        <f>IFERROR(__xludf.DUMMYFUNCTION("""COMPUTED_VALUE"""),"")</f>
        <v/>
      </c>
      <c r="C3396" s="17" t="str">
        <f>IFERROR(__xludf.DUMMYFUNCTION("""COMPUTED_VALUE"""),"")</f>
        <v/>
      </c>
      <c r="D3396" s="17" t="str">
        <f>IFERROR(__xludf.DUMMYFUNCTION("""COMPUTED_VALUE"""),"")</f>
        <v/>
      </c>
      <c r="E3396" s="17" t="str">
        <f>IFERROR(__xludf.DUMMYFUNCTION("""COMPUTED_VALUE"""),"")</f>
        <v/>
      </c>
      <c r="F3396" s="17" t="str">
        <f>IFERROR(__xludf.DUMMYFUNCTION("""COMPUTED_VALUE"""),"")</f>
        <v/>
      </c>
      <c r="G3396" s="17" t="str">
        <f>IFERROR(__xludf.DUMMYFUNCTION("""COMPUTED_VALUE"""),"")</f>
        <v/>
      </c>
      <c r="H3396" s="17" t="str">
        <f>IFERROR(__xludf.DUMMYFUNCTION("""COMPUTED_VALUE"""),"")</f>
        <v/>
      </c>
      <c r="I3396" s="17" t="str">
        <f>IFERROR(__xludf.DUMMYFUNCTION("""COMPUTED_VALUE"""),"")</f>
        <v/>
      </c>
      <c r="J3396" s="17" t="str">
        <f>IFERROR(__xludf.DUMMYFUNCTION("""COMPUTED_VALUE"""),"")</f>
        <v/>
      </c>
      <c r="K3396" s="17" t="str">
        <f>IFERROR(__xludf.DUMMYFUNCTION("""COMPUTED_VALUE"""),"")</f>
        <v/>
      </c>
      <c r="L3396" s="17" t="str">
        <f>IFERROR(__xludf.DUMMYFUNCTION("""COMPUTED_VALUE"""),"")</f>
        <v/>
      </c>
      <c r="M3396" s="17" t="str">
        <f>IFERROR(__xludf.DUMMYFUNCTION("""COMPUTED_VALUE"""),"")</f>
        <v/>
      </c>
      <c r="N3396" s="17" t="str">
        <f>IFERROR(__xludf.DUMMYFUNCTION("""COMPUTED_VALUE"""),"")</f>
        <v/>
      </c>
      <c r="O3396" s="17" t="str">
        <f>IFERROR(__xludf.DUMMYFUNCTION("""COMPUTED_VALUE"""),"")</f>
        <v/>
      </c>
      <c r="P3396" s="17" t="str">
        <f>IFERROR(__xludf.DUMMYFUNCTION("""COMPUTED_VALUE"""),"")</f>
        <v/>
      </c>
      <c r="Q3396" s="17" t="str">
        <f>IFERROR(__xludf.DUMMYFUNCTION("""COMPUTED_VALUE"""),"")</f>
        <v/>
      </c>
      <c r="R3396" s="17" t="str">
        <f>IFERROR(__xludf.DUMMYFUNCTION("""COMPUTED_VALUE"""),"")</f>
        <v/>
      </c>
    </row>
    <row r="3397">
      <c r="A3397" s="15">
        <f>IFERROR(__xludf.DUMMYFUNCTION("""COMPUTED_VALUE"""),45100.0)</f>
        <v>45100</v>
      </c>
      <c r="B3397" s="16" t="str">
        <f>IFERROR(__xludf.DUMMYFUNCTION("""COMPUTED_VALUE"""),"Envia")</f>
        <v>Envia</v>
      </c>
      <c r="C3397" s="15" t="str">
        <f>IFERROR(__xludf.DUMMYFUNCTION("""COMPUTED_VALUE"""),"BARRANQUILLA")</f>
        <v>BARRANQUILLA</v>
      </c>
      <c r="D3397" s="15" t="str">
        <f>IFERROR(__xludf.DUMMYFUNCTION("""COMPUTED_VALUE"""),"BOGOTÁ")</f>
        <v>BOGOTÁ</v>
      </c>
      <c r="E3397" s="15" t="str">
        <f>IFERROR(__xludf.DUMMYFUNCTION("""COMPUTED_VALUE"""),"Evamazzita")</f>
        <v>Evamazzita</v>
      </c>
      <c r="F3397" s="17" t="str">
        <f>IFERROR(__xludf.DUMMYFUNCTION("""COMPUTED_VALUE"""),"cra 44 # 85 - 130 /  apto 701, edificio Évora 85   / Barrio La campiña")</f>
        <v>cra 44 # 85 - 130 /  apto 701, edificio Évora 85   / Barrio La campiña</v>
      </c>
      <c r="G3397" s="15" t="str">
        <f>IFERROR(__xludf.DUMMYFUNCTION("""COMPUTED_VALUE"""),"SANDRA HAMBURGER ACOSTA")</f>
        <v>SANDRA HAMBURGER ACOSTA</v>
      </c>
      <c r="H3397" s="16">
        <f>IFERROR(__xludf.DUMMYFUNCTION("""COMPUTED_VALUE"""),11926.0)</f>
        <v>11926</v>
      </c>
      <c r="I3397" s="18">
        <f>IFERROR(__xludf.DUMMYFUNCTION("""COMPUTED_VALUE"""),1.0)</f>
        <v>1</v>
      </c>
      <c r="J3397" s="18">
        <f>IFERROR(__xludf.DUMMYFUNCTION("""COMPUTED_VALUE"""),1.0)</f>
        <v>1</v>
      </c>
      <c r="K3397" s="18">
        <f>IFERROR(__xludf.DUMMYFUNCTION("""COMPUTED_VALUE"""),1.0)</f>
        <v>1</v>
      </c>
      <c r="L3397" s="17">
        <f>IFERROR(__xludf.DUMMYFUNCTION("""COMPUTED_VALUE"""),3.00893007E9)</f>
        <v>3008930070</v>
      </c>
      <c r="M3397" s="17" t="str">
        <f>IFERROR(__xludf.DUMMYFUNCTION("""COMPUTED_VALUE"""),"#REF!")</f>
        <v>#REF!</v>
      </c>
      <c r="N3397" s="17"/>
      <c r="O3397" s="17"/>
      <c r="P3397" s="17" t="b">
        <f>IFERROR(__xludf.DUMMYFUNCTION("""COMPUTED_VALUE"""),TRUE)</f>
        <v>1</v>
      </c>
      <c r="Q3397" s="20">
        <f>IFERROR(__xludf.DUMMYFUNCTION("""COMPUTED_VALUE"""),45103.38993925926)</f>
        <v>45103.38994</v>
      </c>
      <c r="R3397" s="21" t="str">
        <f>IFERROR(__xludf.DUMMYFUNCTION("""COMPUTED_VALUE"""),"https://drive.google.com/file/d/1yDZrguNr7c-6Jy6wQh3texYNZ1x5O7Bm/view?usp=drivesdk")</f>
        <v>https://drive.google.com/file/d/1yDZrguNr7c-6Jy6wQh3texYNZ1x5O7Bm/view?usp=drivesdk</v>
      </c>
    </row>
    <row r="3398">
      <c r="A3398" s="15">
        <f>IFERROR(__xludf.DUMMYFUNCTION("""COMPUTED_VALUE"""),45100.0)</f>
        <v>45100</v>
      </c>
      <c r="B3398" s="16" t="str">
        <f>IFERROR(__xludf.DUMMYFUNCTION("""COMPUTED_VALUE"""),"Envia")</f>
        <v>Envia</v>
      </c>
      <c r="C3398" s="15" t="str">
        <f>IFERROR(__xludf.DUMMYFUNCTION("""COMPUTED_VALUE"""),"BARRANQUILLA")</f>
        <v>BARRANQUILLA</v>
      </c>
      <c r="D3398" s="15" t="str">
        <f>IFERROR(__xludf.DUMMYFUNCTION("""COMPUTED_VALUE"""),"BOGOTÁ")</f>
        <v>BOGOTÁ</v>
      </c>
      <c r="E3398" s="15" t="str">
        <f>IFERROR(__xludf.DUMMYFUNCTION("""COMPUTED_VALUE"""),"MAI ALIMENTOS S.A.S")</f>
        <v>MAI ALIMENTOS S.A.S</v>
      </c>
      <c r="F3398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3398" s="15" t="str">
        <f>IFERROR(__xludf.DUMMYFUNCTION("""COMPUTED_VALUE"""),"Fithub")</f>
        <v>Fithub</v>
      </c>
      <c r="H3398" s="16">
        <f>IFERROR(__xludf.DUMMYFUNCTION("""COMPUTED_VALUE"""),11826.0)</f>
        <v>11826</v>
      </c>
      <c r="I3398" s="18">
        <f>IFERROR(__xludf.DUMMYFUNCTION("""COMPUTED_VALUE"""),28.0)</f>
        <v>28</v>
      </c>
      <c r="J3398" s="18">
        <f>IFERROR(__xludf.DUMMYFUNCTION("""COMPUTED_VALUE"""),17.0)</f>
        <v>17</v>
      </c>
      <c r="K3398" s="18">
        <f>IFERROR(__xludf.DUMMYFUNCTION("""COMPUTED_VALUE"""),13.0)</f>
        <v>13</v>
      </c>
      <c r="L3398" s="17">
        <f>IFERROR(__xludf.DUMMYFUNCTION("""COMPUTED_VALUE"""),0.0)</f>
        <v>0</v>
      </c>
      <c r="M3398" s="17" t="str">
        <f>IFERROR(__xludf.DUMMYFUNCTION("""COMPUTED_VALUE"""),"#REF!")</f>
        <v>#REF!</v>
      </c>
      <c r="N3398" s="17"/>
      <c r="O3398" s="17"/>
      <c r="P3398" s="17" t="b">
        <f>IFERROR(__xludf.DUMMYFUNCTION("""COMPUTED_VALUE"""),TRUE)</f>
        <v>1</v>
      </c>
      <c r="Q3398" s="20">
        <f>IFERROR(__xludf.DUMMYFUNCTION("""COMPUTED_VALUE"""),45103.38993925926)</f>
        <v>45103.38994</v>
      </c>
      <c r="R3398" s="22" t="str">
        <f>IFERROR(__xludf.DUMMYFUNCTION("""COMPUTED_VALUE"""),"")</f>
        <v/>
      </c>
    </row>
    <row r="3399">
      <c r="A3399" s="15">
        <f>IFERROR(__xludf.DUMMYFUNCTION("""COMPUTED_VALUE"""),45100.0)</f>
        <v>45100</v>
      </c>
      <c r="B3399" s="16" t="str">
        <f>IFERROR(__xludf.DUMMYFUNCTION("""COMPUTED_VALUE"""),"Envia")</f>
        <v>Envia</v>
      </c>
      <c r="C3399" s="15" t="str">
        <f>IFERROR(__xludf.DUMMYFUNCTION("""COMPUTED_VALUE"""),"BARRANQUILLA")</f>
        <v>BARRANQUILLA</v>
      </c>
      <c r="D3399" s="15" t="str">
        <f>IFERROR(__xludf.DUMMYFUNCTION("""COMPUTED_VALUE"""),"MEDELLÍN")</f>
        <v>MEDELLÍN</v>
      </c>
      <c r="E3399" s="15" t="str">
        <f>IFERROR(__xludf.DUMMYFUNCTION("""COMPUTED_VALUE"""),"Moloso S.A.S")</f>
        <v>Moloso S.A.S</v>
      </c>
      <c r="F3399" s="17" t="str">
        <f>IFERROR(__xludf.DUMMYFUNCTION("""COMPUTED_VALUE"""),"CARRERA 49B  74 142 / APTO 303  ED MARTHA ELENA")</f>
        <v>CARRERA 49B  74 142 / APTO 303  ED MARTHA ELENA</v>
      </c>
      <c r="G3399" s="15" t="str">
        <f>IFERROR(__xludf.DUMMYFUNCTION("""COMPUTED_VALUE"""),"SILVANA RUBIO AFRICAN")</f>
        <v>SILVANA RUBIO AFRICAN</v>
      </c>
      <c r="H3399" s="16">
        <f>IFERROR(__xludf.DUMMYFUNCTION("""COMPUTED_VALUE"""),11936.0)</f>
        <v>11936</v>
      </c>
      <c r="I3399" s="18">
        <f>IFERROR(__xludf.DUMMYFUNCTION("""COMPUTED_VALUE"""),17.0)</f>
        <v>17</v>
      </c>
      <c r="J3399" s="18">
        <f>IFERROR(__xludf.DUMMYFUNCTION("""COMPUTED_VALUE"""),15.0)</f>
        <v>15</v>
      </c>
      <c r="K3399" s="18">
        <f>IFERROR(__xludf.DUMMYFUNCTION("""COMPUTED_VALUE"""),28.0)</f>
        <v>28</v>
      </c>
      <c r="L3399" s="17" t="str">
        <f>IFERROR(__xludf.DUMMYFUNCTION("""COMPUTED_VALUE"""),"300 3469905")</f>
        <v>300 3469905</v>
      </c>
      <c r="M3399" s="17" t="str">
        <f>IFERROR(__xludf.DUMMYFUNCTION("""COMPUTED_VALUE"""),"#REF!")</f>
        <v>#REF!</v>
      </c>
      <c r="N3399" s="17"/>
      <c r="O3399" s="17"/>
      <c r="P3399" s="17" t="b">
        <f>IFERROR(__xludf.DUMMYFUNCTION("""COMPUTED_VALUE"""),FALSE)</f>
        <v>0</v>
      </c>
      <c r="Q3399" s="20" t="str">
        <f>IFERROR(__xludf.DUMMYFUNCTION("""COMPUTED_VALUE"""),"")</f>
        <v/>
      </c>
      <c r="R3399" s="22" t="str">
        <f>IFERROR(__xludf.DUMMYFUNCTION("""COMPUTED_VALUE"""),"")</f>
        <v/>
      </c>
    </row>
    <row r="3400">
      <c r="A3400" s="15">
        <f>IFERROR(__xludf.DUMMYFUNCTION("""COMPUTED_VALUE"""),45100.0)</f>
        <v>45100</v>
      </c>
      <c r="B3400" s="16" t="str">
        <f>IFERROR(__xludf.DUMMYFUNCTION("""COMPUTED_VALUE"""),"Envia")</f>
        <v>Envia</v>
      </c>
      <c r="C3400" s="15" t="str">
        <f>IFERROR(__xludf.DUMMYFUNCTION("""COMPUTED_VALUE"""),"BARRANQUILLA")</f>
        <v>BARRANQUILLA</v>
      </c>
      <c r="D3400" s="15" t="str">
        <f>IFERROR(__xludf.DUMMYFUNCTION("""COMPUTED_VALUE"""),"MEDELLÍN")</f>
        <v>MEDELLÍN</v>
      </c>
      <c r="E3400" s="15" t="str">
        <f>IFERROR(__xludf.DUMMYFUNCTION("""COMPUTED_VALUE"""),"Rambla")</f>
        <v>Rambla</v>
      </c>
      <c r="F3400" s="17" t="str">
        <f>IFERROR(__xludf.DUMMYFUNCTION("""COMPUTED_VALUE"""),"CARRERA 74 #76-74 / na / na")</f>
        <v>CARRERA 74 #76-74 / na / na</v>
      </c>
      <c r="G3400" s="15" t="str">
        <f>IFERROR(__xludf.DUMMYFUNCTION("""COMPUTED_VALUE"""),"Fit Hub")</f>
        <v>Fit Hub</v>
      </c>
      <c r="H3400" s="16">
        <f>IFERROR(__xludf.DUMMYFUNCTION("""COMPUTED_VALUE"""),11935.0)</f>
        <v>11935</v>
      </c>
      <c r="I3400" s="18">
        <f>IFERROR(__xludf.DUMMYFUNCTION("""COMPUTED_VALUE"""),18.0)</f>
        <v>18</v>
      </c>
      <c r="J3400" s="18">
        <f>IFERROR(__xludf.DUMMYFUNCTION("""COMPUTED_VALUE"""),20.0)</f>
        <v>20</v>
      </c>
      <c r="K3400" s="18">
        <f>IFERROR(__xludf.DUMMYFUNCTION("""COMPUTED_VALUE"""),23.0)</f>
        <v>23</v>
      </c>
      <c r="L3400" s="17">
        <f>IFERROR(__xludf.DUMMYFUNCTION("""COMPUTED_VALUE"""),3.157039547E9)</f>
        <v>3157039547</v>
      </c>
      <c r="M3400" s="17" t="str">
        <f>IFERROR(__xludf.DUMMYFUNCTION("""COMPUTED_VALUE"""),"#REF!")</f>
        <v>#REF!</v>
      </c>
      <c r="N3400" s="17"/>
      <c r="O3400" s="17"/>
      <c r="P3400" s="17" t="b">
        <f>IFERROR(__xludf.DUMMYFUNCTION("""COMPUTED_VALUE"""),FALSE)</f>
        <v>0</v>
      </c>
      <c r="Q3400" s="20" t="str">
        <f>IFERROR(__xludf.DUMMYFUNCTION("""COMPUTED_VALUE"""),"")</f>
        <v/>
      </c>
      <c r="R3400" s="21" t="str">
        <f>IFERROR(__xludf.DUMMYFUNCTION("""COMPUTED_VALUE"""),"https://drive.google.com/file/d/1ErTMtg7N-wAnune_dVQHIwpqpSUIfaCm/view?usp=drivesdk")</f>
        <v>https://drive.google.com/file/d/1ErTMtg7N-wAnune_dVQHIwpqpSUIfaCm/view?usp=drivesdk</v>
      </c>
    </row>
    <row r="3401">
      <c r="A3401" s="15">
        <f>IFERROR(__xludf.DUMMYFUNCTION("""COMPUTED_VALUE"""),45100.0)</f>
        <v>45100</v>
      </c>
      <c r="B3401" s="16" t="str">
        <f>IFERROR(__xludf.DUMMYFUNCTION("""COMPUTED_VALUE"""),"Envia")</f>
        <v>Envia</v>
      </c>
      <c r="C3401" s="15" t="str">
        <f>IFERROR(__xludf.DUMMYFUNCTION("""COMPUTED_VALUE"""),"BOGOTÁ")</f>
        <v>BOGOTÁ</v>
      </c>
      <c r="D3401" s="15" t="str">
        <f>IFERROR(__xludf.DUMMYFUNCTION("""COMPUTED_VALUE"""),"MEDELLÍN")</f>
        <v>MEDELLÍN</v>
      </c>
      <c r="E3401" s="15" t="str">
        <f>IFERROR(__xludf.DUMMYFUNCTION("""COMPUTED_VALUE"""),"Moloso S.A.S")</f>
        <v>Moloso S.A.S</v>
      </c>
      <c r="F3401" s="17" t="str">
        <f>IFERROR(__xludf.DUMMYFUNCTION("""COMPUTED_VALUE"""),"CRR 6 123A 12 / Torre 6 Apto 201 ENTREMONTES")</f>
        <v>CRR 6 123A 12 / Torre 6 Apto 201 ENTREMONTES</v>
      </c>
      <c r="G3401" s="15" t="str">
        <f>IFERROR(__xludf.DUMMYFUNCTION("""COMPUTED_VALUE"""),"MARCELA ARENAS SANIN")</f>
        <v>MARCELA ARENAS SANIN</v>
      </c>
      <c r="H3401" s="16">
        <f>IFERROR(__xludf.DUMMYFUNCTION("""COMPUTED_VALUE"""),11985.0)</f>
        <v>11985</v>
      </c>
      <c r="I3401" s="18">
        <f>IFERROR(__xludf.DUMMYFUNCTION("""COMPUTED_VALUE"""),17.0)</f>
        <v>17</v>
      </c>
      <c r="J3401" s="18">
        <f>IFERROR(__xludf.DUMMYFUNCTION("""COMPUTED_VALUE"""),15.0)</f>
        <v>15</v>
      </c>
      <c r="K3401" s="18">
        <f>IFERROR(__xludf.DUMMYFUNCTION("""COMPUTED_VALUE"""),28.0)</f>
        <v>28</v>
      </c>
      <c r="L3401" s="17" t="str">
        <f>IFERROR(__xludf.DUMMYFUNCTION("""COMPUTED_VALUE"""),"317 4008085")</f>
        <v>317 4008085</v>
      </c>
      <c r="M3401" s="17" t="str">
        <f>IFERROR(__xludf.DUMMYFUNCTION("""COMPUTED_VALUE"""),"#REF!")</f>
        <v>#REF!</v>
      </c>
      <c r="N3401" s="17"/>
      <c r="O3401" s="17"/>
      <c r="P3401" s="17" t="b">
        <f>IFERROR(__xludf.DUMMYFUNCTION("""COMPUTED_VALUE"""),FALSE)</f>
        <v>0</v>
      </c>
      <c r="Q3401" s="20" t="str">
        <f>IFERROR(__xludf.DUMMYFUNCTION("""COMPUTED_VALUE"""),"")</f>
        <v/>
      </c>
      <c r="R3401" s="21" t="str">
        <f>IFERROR(__xludf.DUMMYFUNCTION("""COMPUTED_VALUE"""),"https://drive.google.com/file/d/1MORt6q__s1jTiVyG1UEEqW645St24lEx/view?usp=drivesdk")</f>
        <v>https://drive.google.com/file/d/1MORt6q__s1jTiVyG1UEEqW645St24lEx/view?usp=drivesdk</v>
      </c>
    </row>
    <row r="3402">
      <c r="A3402" s="15">
        <f>IFERROR(__xludf.DUMMYFUNCTION("""COMPUTED_VALUE"""),45100.0)</f>
        <v>45100</v>
      </c>
      <c r="B3402" s="16" t="str">
        <f>IFERROR(__xludf.DUMMYFUNCTION("""COMPUTED_VALUE"""),"Envia")</f>
        <v>Envia</v>
      </c>
      <c r="C3402" s="15" t="str">
        <f>IFERROR(__xludf.DUMMYFUNCTION("""COMPUTED_VALUE"""),"BOGOTÁ")</f>
        <v>BOGOTÁ</v>
      </c>
      <c r="D3402" s="15" t="str">
        <f>IFERROR(__xludf.DUMMYFUNCTION("""COMPUTED_VALUE"""),"MEDELLÍN")</f>
        <v>MEDELLÍN</v>
      </c>
      <c r="E3402" s="15" t="str">
        <f>IFERROR(__xludf.DUMMYFUNCTION("""COMPUTED_VALUE"""),"Rambla")</f>
        <v>Rambla</v>
      </c>
      <c r="F3402" s="17" t="str">
        <f>IFERROR(__xludf.DUMMYFUNCTION("""COMPUTED_VALUE"""),"Cra 17 # 145-15 Apto 403 Edificio Scala 26 Barrio Cedritos BOGOTA / NA / NA")</f>
        <v>Cra 17 # 145-15 Apto 403 Edificio Scala 26 Barrio Cedritos BOGOTA / NA / NA</v>
      </c>
      <c r="G3402" s="15" t="str">
        <f>IFERROR(__xludf.DUMMYFUNCTION("""COMPUTED_VALUE"""),"Paola Gallo Stiernon")</f>
        <v>Paola Gallo Stiernon</v>
      </c>
      <c r="H3402" s="16">
        <f>IFERROR(__xludf.DUMMYFUNCTION("""COMPUTED_VALUE"""),12002.0)</f>
        <v>12002</v>
      </c>
      <c r="I3402" s="18">
        <f>IFERROR(__xludf.DUMMYFUNCTION("""COMPUTED_VALUE"""),27.0)</f>
        <v>27</v>
      </c>
      <c r="J3402" s="18">
        <f>IFERROR(__xludf.DUMMYFUNCTION("""COMPUTED_VALUE"""),25.0)</f>
        <v>25</v>
      </c>
      <c r="K3402" s="18">
        <f>IFERROR(__xludf.DUMMYFUNCTION("""COMPUTED_VALUE"""),21.0)</f>
        <v>21</v>
      </c>
      <c r="L3402" s="17">
        <f>IFERROR(__xludf.DUMMYFUNCTION("""COMPUTED_VALUE"""),3.102370451E9)</f>
        <v>3102370451</v>
      </c>
      <c r="M3402" s="17" t="str">
        <f>IFERROR(__xludf.DUMMYFUNCTION("""COMPUTED_VALUE"""),"#REF!")</f>
        <v>#REF!</v>
      </c>
      <c r="N3402" s="17"/>
      <c r="O3402" s="17"/>
      <c r="P3402" s="17" t="b">
        <f>IFERROR(__xludf.DUMMYFUNCTION("""COMPUTED_VALUE"""),FALSE)</f>
        <v>0</v>
      </c>
      <c r="Q3402" s="20" t="str">
        <f>IFERROR(__xludf.DUMMYFUNCTION("""COMPUTED_VALUE"""),"")</f>
        <v/>
      </c>
      <c r="R3402" s="21" t="str">
        <f>IFERROR(__xludf.DUMMYFUNCTION("""COMPUTED_VALUE"""),"https://drive.google.com/file/d/1ftXTG2_hvDNZp7LOyjJYaT58Fr2Rr-Yw/view?usp=drivesdk")</f>
        <v>https://drive.google.com/file/d/1ftXTG2_hvDNZp7LOyjJYaT58Fr2Rr-Yw/view?usp=drivesdk</v>
      </c>
    </row>
    <row r="3403">
      <c r="A3403" s="15">
        <f>IFERROR(__xludf.DUMMYFUNCTION("""COMPUTED_VALUE"""),45100.0)</f>
        <v>45100</v>
      </c>
      <c r="B3403" s="16" t="str">
        <f>IFERROR(__xludf.DUMMYFUNCTION("""COMPUTED_VALUE"""),"Envia")</f>
        <v>Envia</v>
      </c>
      <c r="C3403" s="15" t="str">
        <f>IFERROR(__xludf.DUMMYFUNCTION("""COMPUTED_VALUE"""),"BOGOTÁ")</f>
        <v>BOGOTÁ</v>
      </c>
      <c r="D3403" s="15" t="str">
        <f>IFERROR(__xludf.DUMMYFUNCTION("""COMPUTED_VALUE"""),"NEIVA")</f>
        <v>NEIVA</v>
      </c>
      <c r="E3403" s="15" t="str">
        <f>IFERROR(__xludf.DUMMYFUNCTION("""COMPUTED_VALUE"""),"Natalia Carreño")</f>
        <v>Natalia Carreño</v>
      </c>
      <c r="F3403" s="17" t="str">
        <f>IFERROR(__xludf.DUMMYFUNCTION("""COMPUTED_VALUE"""),"Carrera 27 #70-83 / Casa / Barrio Los Alcázares")</f>
        <v>Carrera 27 #70-83 / Casa / Barrio Los Alcázares</v>
      </c>
      <c r="G3403" s="15" t="str">
        <f>IFERROR(__xludf.DUMMYFUNCTION("""COMPUTED_VALUE"""),"Natalia Carreño")</f>
        <v>Natalia Carreño</v>
      </c>
      <c r="H3403" s="16">
        <f>IFERROR(__xludf.DUMMYFUNCTION("""COMPUTED_VALUE"""),11848.0)</f>
        <v>11848</v>
      </c>
      <c r="I3403" s="18">
        <f>IFERROR(__xludf.DUMMYFUNCTION("""COMPUTED_VALUE"""),30.0)</f>
        <v>30</v>
      </c>
      <c r="J3403" s="18">
        <f>IFERROR(__xludf.DUMMYFUNCTION("""COMPUTED_VALUE"""),40.0)</f>
        <v>40</v>
      </c>
      <c r="K3403" s="18">
        <f>IFERROR(__xludf.DUMMYFUNCTION("""COMPUTED_VALUE"""),60.0)</f>
        <v>60</v>
      </c>
      <c r="L3403" s="17">
        <f>IFERROR(__xludf.DUMMYFUNCTION("""COMPUTED_VALUE"""),3.11561131E9)</f>
        <v>3115611310</v>
      </c>
      <c r="M3403" s="17" t="str">
        <f>IFERROR(__xludf.DUMMYFUNCTION("""COMPUTED_VALUE"""),"#REF!")</f>
        <v>#REF!</v>
      </c>
      <c r="N3403" s="17"/>
      <c r="O3403" s="17"/>
      <c r="P3403" s="17" t="b">
        <f>IFERROR(__xludf.DUMMYFUNCTION("""COMPUTED_VALUE"""),FALSE)</f>
        <v>0</v>
      </c>
      <c r="Q3403" s="20" t="str">
        <f>IFERROR(__xludf.DUMMYFUNCTION("""COMPUTED_VALUE"""),"")</f>
        <v/>
      </c>
      <c r="R3403" s="21" t="str">
        <f>IFERROR(__xludf.DUMMYFUNCTION("""COMPUTED_VALUE"""),"https://drive.google.com/file/d/1KqmfnD-LPlfAxioTq2T-oUtC9X6xgu4Q/view?usp=drivesdk")</f>
        <v>https://drive.google.com/file/d/1KqmfnD-LPlfAxioTq2T-oUtC9X6xgu4Q/view?usp=drivesdk</v>
      </c>
    </row>
    <row r="3404">
      <c r="A3404" s="15">
        <f>IFERROR(__xludf.DUMMYFUNCTION("""COMPUTED_VALUE"""),45100.0)</f>
        <v>45100</v>
      </c>
      <c r="B3404" s="16" t="str">
        <f>IFERROR(__xludf.DUMMYFUNCTION("""COMPUTED_VALUE"""),"Envia")</f>
        <v>Envia</v>
      </c>
      <c r="C3404" s="15" t="str">
        <f>IFERROR(__xludf.DUMMYFUNCTION("""COMPUTED_VALUE"""),"BUCARAMANGA")</f>
        <v>BUCARAMANGA</v>
      </c>
      <c r="D3404" s="15" t="str">
        <f>IFERROR(__xludf.DUMMYFUNCTION("""COMPUTED_VALUE"""),"BOGOTÁ")</f>
        <v>BOGOTÁ</v>
      </c>
      <c r="E3404" s="15" t="str">
        <f>IFERROR(__xludf.DUMMYFUNCTION("""COMPUTED_VALUE"""),"Evamazzita")</f>
        <v>Evamazzita</v>
      </c>
      <c r="F3404" s="17" t="str">
        <f>IFERROR(__xludf.DUMMYFUNCTION("""COMPUTED_VALUE"""),"Carrera 20 #7 -11 / Carrera 20 #7 -11 / Barrio Comuneros")</f>
        <v>Carrera 20 #7 -11 / Carrera 20 #7 -11 / Barrio Comuneros</v>
      </c>
      <c r="G3404" s="15" t="str">
        <f>IFERROR(__xludf.DUMMYFUNCTION("""COMPUTED_VALUE"""),"MARIO JOSE CORTES PARADA")</f>
        <v>MARIO JOSE CORTES PARADA</v>
      </c>
      <c r="H3404" s="16">
        <f>IFERROR(__xludf.DUMMYFUNCTION("""COMPUTED_VALUE"""),11972.0)</f>
        <v>11972</v>
      </c>
      <c r="I3404" s="18">
        <f>IFERROR(__xludf.DUMMYFUNCTION("""COMPUTED_VALUE"""),24.0)</f>
        <v>24</v>
      </c>
      <c r="J3404" s="18">
        <f>IFERROR(__xludf.DUMMYFUNCTION("""COMPUTED_VALUE"""),43.0)</f>
        <v>43</v>
      </c>
      <c r="K3404" s="18">
        <f>IFERROR(__xludf.DUMMYFUNCTION("""COMPUTED_VALUE"""),19.0)</f>
        <v>19</v>
      </c>
      <c r="L3404" s="17">
        <f>IFERROR(__xludf.DUMMYFUNCTION("""COMPUTED_VALUE"""),3.123394474E9)</f>
        <v>3123394474</v>
      </c>
      <c r="M3404" s="17" t="str">
        <f>IFERROR(__xludf.DUMMYFUNCTION("""COMPUTED_VALUE"""),"#REF!")</f>
        <v>#REF!</v>
      </c>
      <c r="N3404" s="17"/>
      <c r="O3404" s="17"/>
      <c r="P3404" s="17" t="b">
        <f>IFERROR(__xludf.DUMMYFUNCTION("""COMPUTED_VALUE"""),FALSE)</f>
        <v>0</v>
      </c>
      <c r="Q3404" s="20" t="str">
        <f>IFERROR(__xludf.DUMMYFUNCTION("""COMPUTED_VALUE"""),"")</f>
        <v/>
      </c>
      <c r="R3404" s="21" t="str">
        <f>IFERROR(__xludf.DUMMYFUNCTION("""COMPUTED_VALUE"""),"https://drive.google.com/file/d/1eDOQ9uLQZ5EsRrJtJx1yf6QazEVJegIl/view?usp=drivesdk")</f>
        <v>https://drive.google.com/file/d/1eDOQ9uLQZ5EsRrJtJx1yf6QazEVJegIl/view?usp=drivesdk</v>
      </c>
    </row>
    <row r="3405">
      <c r="A3405" s="15">
        <f>IFERROR(__xludf.DUMMYFUNCTION("""COMPUTED_VALUE"""),45100.0)</f>
        <v>45100</v>
      </c>
      <c r="B3405" s="16" t="str">
        <f>IFERROR(__xludf.DUMMYFUNCTION("""COMPUTED_VALUE"""),"Envia")</f>
        <v>Envia</v>
      </c>
      <c r="C3405" s="15" t="str">
        <f>IFERROR(__xludf.DUMMYFUNCTION("""COMPUTED_VALUE"""),"CALI")</f>
        <v>CALI</v>
      </c>
      <c r="D3405" s="15" t="str">
        <f>IFERROR(__xludf.DUMMYFUNCTION("""COMPUTED_VALUE"""),"BOGOTÁ")</f>
        <v>BOGOTÁ</v>
      </c>
      <c r="E3405" s="15" t="str">
        <f>IFERROR(__xludf.DUMMYFUNCTION("""COMPUTED_VALUE"""),"Renata")</f>
        <v>Renata</v>
      </c>
      <c r="F3405" s="17" t="str">
        <f>IFERROR(__xludf.DUMMYFUNCTION("""COMPUTED_VALUE"""),"Carrera 3#3a-83 / Patio 34 food containers -restaurante  / San Fernando")</f>
        <v>Carrera 3#3a-83 / Patio 34 food containers -restaurante  / San Fernando</v>
      </c>
      <c r="G3405" s="15" t="str">
        <f>IFERROR(__xludf.DUMMYFUNCTION("""COMPUTED_VALUE"""),"Retaco sas")</f>
        <v>Retaco sas</v>
      </c>
      <c r="H3405" s="16">
        <f>IFERROR(__xludf.DUMMYFUNCTION("""COMPUTED_VALUE"""),11974.0)</f>
        <v>11974</v>
      </c>
      <c r="I3405" s="18">
        <f>IFERROR(__xludf.DUMMYFUNCTION("""COMPUTED_VALUE"""),90.0)</f>
        <v>90</v>
      </c>
      <c r="J3405" s="18">
        <f>IFERROR(__xludf.DUMMYFUNCTION("""COMPUTED_VALUE"""),70.0)</f>
        <v>70</v>
      </c>
      <c r="K3405" s="18">
        <f>IFERROR(__xludf.DUMMYFUNCTION("""COMPUTED_VALUE"""),60.0)</f>
        <v>60</v>
      </c>
      <c r="L3405" s="17">
        <f>IFERROR(__xludf.DUMMYFUNCTION("""COMPUTED_VALUE"""),3.104720976E9)</f>
        <v>3104720976</v>
      </c>
      <c r="M3405" s="17" t="str">
        <f>IFERROR(__xludf.DUMMYFUNCTION("""COMPUTED_VALUE"""),"#REF!")</f>
        <v>#REF!</v>
      </c>
      <c r="N3405" s="17"/>
      <c r="O3405" s="17"/>
      <c r="P3405" s="17" t="b">
        <f>IFERROR(__xludf.DUMMYFUNCTION("""COMPUTED_VALUE"""),FALSE)</f>
        <v>0</v>
      </c>
      <c r="Q3405" s="20" t="str">
        <f>IFERROR(__xludf.DUMMYFUNCTION("""COMPUTED_VALUE"""),"")</f>
        <v/>
      </c>
      <c r="R3405" s="21" t="str">
        <f>IFERROR(__xludf.DUMMYFUNCTION("""COMPUTED_VALUE"""),"https://drive.google.com/file/d/1FLuIAbpHSqVHgb4K6Ttgp2p5n8JIBhqg/view?usp=drivesdk")</f>
        <v>https://drive.google.com/file/d/1FLuIAbpHSqVHgb4K6Ttgp2p5n8JIBhqg/view?usp=drivesdk</v>
      </c>
    </row>
    <row r="3406">
      <c r="A3406" s="15">
        <f>IFERROR(__xludf.DUMMYFUNCTION("""COMPUTED_VALUE"""),45100.0)</f>
        <v>45100</v>
      </c>
      <c r="B3406" s="16" t="str">
        <f>IFERROR(__xludf.DUMMYFUNCTION("""COMPUTED_VALUE"""),"Envia")</f>
        <v>Envia</v>
      </c>
      <c r="C3406" s="15" t="str">
        <f>IFERROR(__xludf.DUMMYFUNCTION("""COMPUTED_VALUE"""),"CALI")</f>
        <v>CALI</v>
      </c>
      <c r="D3406" s="15" t="str">
        <f>IFERROR(__xludf.DUMMYFUNCTION("""COMPUTED_VALUE"""),"BOGOTÁ")</f>
        <v>BOGOTÁ</v>
      </c>
      <c r="E3406" s="15" t="str">
        <f>IFERROR(__xludf.DUMMYFUNCTION("""COMPUTED_VALUE"""),"Viral Brands")</f>
        <v>Viral Brands</v>
      </c>
      <c r="F3406" s="17" t="str">
        <f>IFERROR(__xludf.DUMMYFUNCTION("""COMPUTED_VALUE"""),"Avekida 5a 25n39 / Edificio / Barrio san vicente")</f>
        <v>Avekida 5a 25n39 / Edificio / Barrio san vicente</v>
      </c>
      <c r="G3406" s="15" t="str">
        <f>IFERROR(__xludf.DUMMYFUNCTION("""COMPUTED_VALUE"""),"Lisbet gamez")</f>
        <v>Lisbet gamez</v>
      </c>
      <c r="H3406" s="16">
        <f>IFERROR(__xludf.DUMMYFUNCTION("""COMPUTED_VALUE"""),11970.0)</f>
        <v>11970</v>
      </c>
      <c r="I3406" s="18">
        <f>IFERROR(__xludf.DUMMYFUNCTION("""COMPUTED_VALUE"""),52.0)</f>
        <v>52</v>
      </c>
      <c r="J3406" s="18">
        <f>IFERROR(__xludf.DUMMYFUNCTION("""COMPUTED_VALUE"""),55.0)</f>
        <v>55</v>
      </c>
      <c r="K3406" s="18">
        <f>IFERROR(__xludf.DUMMYFUNCTION("""COMPUTED_VALUE"""),45.0)</f>
        <v>45</v>
      </c>
      <c r="L3406" s="17">
        <f>IFERROR(__xludf.DUMMYFUNCTION("""COMPUTED_VALUE"""),3.218280504E9)</f>
        <v>3218280504</v>
      </c>
      <c r="M3406" s="17" t="str">
        <f>IFERROR(__xludf.DUMMYFUNCTION("""COMPUTED_VALUE"""),"#REF!")</f>
        <v>#REF!</v>
      </c>
      <c r="N3406" s="17"/>
      <c r="O3406" s="17"/>
      <c r="P3406" s="17" t="b">
        <f>IFERROR(__xludf.DUMMYFUNCTION("""COMPUTED_VALUE"""),FALSE)</f>
        <v>0</v>
      </c>
      <c r="Q3406" s="20" t="str">
        <f>IFERROR(__xludf.DUMMYFUNCTION("""COMPUTED_VALUE"""),"")</f>
        <v/>
      </c>
      <c r="R3406" s="22" t="str">
        <f>IFERROR(__xludf.DUMMYFUNCTION("""COMPUTED_VALUE"""),"")</f>
        <v/>
      </c>
    </row>
    <row r="3407">
      <c r="A3407" s="15">
        <f>IFERROR(__xludf.DUMMYFUNCTION("""COMPUTED_VALUE"""),45100.0)</f>
        <v>45100</v>
      </c>
      <c r="B3407" s="16" t="str">
        <f>IFERROR(__xludf.DUMMYFUNCTION("""COMPUTED_VALUE"""),"Envia")</f>
        <v>Envia</v>
      </c>
      <c r="C3407" s="15" t="str">
        <f>IFERROR(__xludf.DUMMYFUNCTION("""COMPUTED_VALUE"""),"CÚCUTA")</f>
        <v>CÚCUTA</v>
      </c>
      <c r="D3407" s="15" t="str">
        <f>IFERROR(__xludf.DUMMYFUNCTION("""COMPUTED_VALUE"""),"BOGOTÁ")</f>
        <v>BOGOTÁ</v>
      </c>
      <c r="E3407" s="15" t="str">
        <f>IFERROR(__xludf.DUMMYFUNCTION("""COMPUTED_VALUE"""),"Evamazzita")</f>
        <v>Evamazzita</v>
      </c>
      <c r="F3407" s="17" t="str">
        <f>IFERROR(__xludf.DUMMYFUNCTION("""COMPUTED_VALUE"""),"CALLE 9AN No. 15E - 114  / CALLE 9AN No. 15E - 114 / BARRIO LOS PROCERES AV LIBERTADORES DETRAS DEL ANTIGUO CASD")</f>
        <v>CALLE 9AN No. 15E - 114  / CALLE 9AN No. 15E - 114 / BARRIO LOS PROCERES AV LIBERTADORES DETRAS DEL ANTIGUO CASD</v>
      </c>
      <c r="G3407" s="15" t="str">
        <f>IFERROR(__xludf.DUMMYFUNCTION("""COMPUTED_VALUE"""),"BIBIANA AREVALO")</f>
        <v>BIBIANA AREVALO</v>
      </c>
      <c r="H3407" s="16">
        <f>IFERROR(__xludf.DUMMYFUNCTION("""COMPUTED_VALUE"""),11928.0)</f>
        <v>11928</v>
      </c>
      <c r="I3407" s="18">
        <f>IFERROR(__xludf.DUMMYFUNCTION("""COMPUTED_VALUE"""),6.0)</f>
        <v>6</v>
      </c>
      <c r="J3407" s="18">
        <f>IFERROR(__xludf.DUMMYFUNCTION("""COMPUTED_VALUE"""),25.0)</f>
        <v>25</v>
      </c>
      <c r="K3407" s="18">
        <f>IFERROR(__xludf.DUMMYFUNCTION("""COMPUTED_VALUE"""),17.0)</f>
        <v>17</v>
      </c>
      <c r="L3407" s="17">
        <f>IFERROR(__xludf.DUMMYFUNCTION("""COMPUTED_VALUE"""),3.116364609E9)</f>
        <v>3116364609</v>
      </c>
      <c r="M3407" s="17" t="str">
        <f>IFERROR(__xludf.DUMMYFUNCTION("""COMPUTED_VALUE"""),"#REF!")</f>
        <v>#REF!</v>
      </c>
      <c r="N3407" s="17"/>
      <c r="O3407" s="17"/>
      <c r="P3407" s="17" t="b">
        <f>IFERROR(__xludf.DUMMYFUNCTION("""COMPUTED_VALUE"""),FALSE)</f>
        <v>0</v>
      </c>
      <c r="Q3407" s="20" t="str">
        <f>IFERROR(__xludf.DUMMYFUNCTION("""COMPUTED_VALUE"""),"")</f>
        <v/>
      </c>
      <c r="R3407" s="22" t="str">
        <f>IFERROR(__xludf.DUMMYFUNCTION("""COMPUTED_VALUE"""),"")</f>
        <v/>
      </c>
    </row>
    <row r="3408">
      <c r="A3408" s="15">
        <f>IFERROR(__xludf.DUMMYFUNCTION("""COMPUTED_VALUE"""),45100.0)</f>
        <v>45100</v>
      </c>
      <c r="B3408" s="16" t="str">
        <f>IFERROR(__xludf.DUMMYFUNCTION("""COMPUTED_VALUE"""),"Envia")</f>
        <v>Envia</v>
      </c>
      <c r="C3408" s="15" t="str">
        <f>IFERROR(__xludf.DUMMYFUNCTION("""COMPUTED_VALUE"""),"CÚCUTA")</f>
        <v>CÚCUTA</v>
      </c>
      <c r="D3408" s="15" t="str">
        <f>IFERROR(__xludf.DUMMYFUNCTION("""COMPUTED_VALUE"""),"BOGOTÁ")</f>
        <v>BOGOTÁ</v>
      </c>
      <c r="E3408" s="15" t="str">
        <f>IFERROR(__xludf.DUMMYFUNCTION("""COMPUTED_VALUE"""),"Ins. Alimento Vital")</f>
        <v>Ins. Alimento Vital</v>
      </c>
      <c r="F3408" s="17" t="str">
        <f>IFERROR(__xludf.DUMMYFUNCTION("""COMPUTED_VALUE"""),"AV 0 AE 2N 57  / POR LA OLIMPICA DE LA 0 / BARRIO CAPELLANA")</f>
        <v>AV 0 AE 2N 57  / POR LA OLIMPICA DE LA 0 / BARRIO CAPELLANA</v>
      </c>
      <c r="G3408" s="15" t="str">
        <f>IFERROR(__xludf.DUMMYFUNCTION("""COMPUTED_VALUE"""),"ERIKA LEONOR VASQUEZ")</f>
        <v>ERIKA LEONOR VASQUEZ</v>
      </c>
      <c r="H3408" s="16">
        <f>IFERROR(__xludf.DUMMYFUNCTION("""COMPUTED_VALUE"""),11921.0)</f>
        <v>11921</v>
      </c>
      <c r="I3408" s="18">
        <f>IFERROR(__xludf.DUMMYFUNCTION("""COMPUTED_VALUE"""),1.0)</f>
        <v>1</v>
      </c>
      <c r="J3408" s="18">
        <f>IFERROR(__xludf.DUMMYFUNCTION("""COMPUTED_VALUE"""),1.0)</f>
        <v>1</v>
      </c>
      <c r="K3408" s="18">
        <f>IFERROR(__xludf.DUMMYFUNCTION("""COMPUTED_VALUE"""),1.0)</f>
        <v>1</v>
      </c>
      <c r="L3408" s="17">
        <f>IFERROR(__xludf.DUMMYFUNCTION("""COMPUTED_VALUE"""),3.185355209E9)</f>
        <v>3185355209</v>
      </c>
      <c r="M3408" s="17" t="str">
        <f>IFERROR(__xludf.DUMMYFUNCTION("""COMPUTED_VALUE"""),"#REF!")</f>
        <v>#REF!</v>
      </c>
      <c r="N3408" s="17"/>
      <c r="O3408" s="17"/>
      <c r="P3408" s="17" t="b">
        <f>IFERROR(__xludf.DUMMYFUNCTION("""COMPUTED_VALUE"""),FALSE)</f>
        <v>0</v>
      </c>
      <c r="Q3408" s="20" t="str">
        <f>IFERROR(__xludf.DUMMYFUNCTION("""COMPUTED_VALUE"""),"")</f>
        <v/>
      </c>
      <c r="R3408" s="22" t="str">
        <f>IFERROR(__xludf.DUMMYFUNCTION("""COMPUTED_VALUE"""),"")</f>
        <v/>
      </c>
    </row>
    <row r="3409">
      <c r="A3409" s="15">
        <f>IFERROR(__xludf.DUMMYFUNCTION("""COMPUTED_VALUE"""),45100.0)</f>
        <v>45100</v>
      </c>
      <c r="B3409" s="16" t="str">
        <f>IFERROR(__xludf.DUMMYFUNCTION("""COMPUTED_VALUE"""),"Envia")</f>
        <v>Envia</v>
      </c>
      <c r="C3409" s="15" t="str">
        <f>IFERROR(__xludf.DUMMYFUNCTION("""COMPUTED_VALUE"""),"CÚCUTA")</f>
        <v>CÚCUTA</v>
      </c>
      <c r="D3409" s="15" t="str">
        <f>IFERROR(__xludf.DUMMYFUNCTION("""COMPUTED_VALUE"""),"MEDELLÍN")</f>
        <v>MEDELLÍN</v>
      </c>
      <c r="E3409" s="15" t="str">
        <f>IFERROR(__xludf.DUMMYFUNCTION("""COMPUTED_VALUE"""),"Helados swip")</f>
        <v>Helados swip</v>
      </c>
      <c r="F3409" s="17" t="str">
        <f>IFERROR(__xludf.DUMMYFUNCTION("""COMPUTED_VALUE"""),"AV 9E 12-50  / LOCAL 2 ED. LA CASTELLANA  / LA RIVIERA")</f>
        <v>AV 9E 12-50  / LOCAL 2 ED. LA CASTELLANA  / LA RIVIERA</v>
      </c>
      <c r="G3409" s="15" t="str">
        <f>IFERROR(__xludf.DUMMYFUNCTION("""COMPUTED_VALUE"""),"ANGIE PORTILLA  - BALANZAI")</f>
        <v>ANGIE PORTILLA  - BALANZAI</v>
      </c>
      <c r="H3409" s="16">
        <f>IFERROR(__xludf.DUMMYFUNCTION("""COMPUTED_VALUE"""),11942.0)</f>
        <v>11942</v>
      </c>
      <c r="I3409" s="18">
        <f>IFERROR(__xludf.DUMMYFUNCTION("""COMPUTED_VALUE"""),50.0)</f>
        <v>50</v>
      </c>
      <c r="J3409" s="18">
        <f>IFERROR(__xludf.DUMMYFUNCTION("""COMPUTED_VALUE"""),30.0)</f>
        <v>30</v>
      </c>
      <c r="K3409" s="18">
        <f>IFERROR(__xludf.DUMMYFUNCTION("""COMPUTED_VALUE"""),21.0)</f>
        <v>21</v>
      </c>
      <c r="L3409" s="17">
        <f>IFERROR(__xludf.DUMMYFUNCTION("""COMPUTED_VALUE"""),3.008540473E9)</f>
        <v>3008540473</v>
      </c>
      <c r="M3409" s="17" t="str">
        <f>IFERROR(__xludf.DUMMYFUNCTION("""COMPUTED_VALUE"""),"#REF!")</f>
        <v>#REF!</v>
      </c>
      <c r="N3409" s="17"/>
      <c r="O3409" s="17"/>
      <c r="P3409" s="17" t="b">
        <f>IFERROR(__xludf.DUMMYFUNCTION("""COMPUTED_VALUE"""),FALSE)</f>
        <v>0</v>
      </c>
      <c r="Q3409" s="20" t="str">
        <f>IFERROR(__xludf.DUMMYFUNCTION("""COMPUTED_VALUE"""),"")</f>
        <v/>
      </c>
      <c r="R3409" s="22" t="str">
        <f>IFERROR(__xludf.DUMMYFUNCTION("""COMPUTED_VALUE"""),"")</f>
        <v/>
      </c>
    </row>
    <row r="3410">
      <c r="A3410" s="15">
        <f>IFERROR(__xludf.DUMMYFUNCTION("""COMPUTED_VALUE"""),45100.0)</f>
        <v>45100</v>
      </c>
      <c r="B3410" s="16" t="str">
        <f>IFERROR(__xludf.DUMMYFUNCTION("""COMPUTED_VALUE"""),"Envia")</f>
        <v>Envia</v>
      </c>
      <c r="C3410" s="15" t="str">
        <f>IFERROR(__xludf.DUMMYFUNCTION("""COMPUTED_VALUE"""),"IBAGUÉ")</f>
        <v>IBAGUÉ</v>
      </c>
      <c r="D3410" s="15" t="str">
        <f>IFERROR(__xludf.DUMMYFUNCTION("""COMPUTED_VALUE"""),"MEDELLÍN")</f>
        <v>MEDELLÍN</v>
      </c>
      <c r="E3410" s="15" t="str">
        <f>IFERROR(__xludf.DUMMYFUNCTION("""COMPUTED_VALUE"""),"Helados swip")</f>
        <v>Helados swip</v>
      </c>
      <c r="F3410" s="17" t="str">
        <f>IFERROR(__xludf.DUMMYFUNCTION("""COMPUTED_VALUE"""),"CARRERA 14 # 75 A 29 / LOCAL 5 / ESTANCIA DEL VERGEL")</f>
        <v>CARRERA 14 # 75 A 29 / LOCAL 5 / ESTANCIA DEL VERGEL</v>
      </c>
      <c r="G3410" s="15" t="str">
        <f>IFERROR(__xludf.DUMMYFUNCTION("""COMPUTED_VALUE"""),"SOY NATURAL")</f>
        <v>SOY NATURAL</v>
      </c>
      <c r="H3410" s="16">
        <f>IFERROR(__xludf.DUMMYFUNCTION("""COMPUTED_VALUE"""),11992.0)</f>
        <v>11992</v>
      </c>
      <c r="I3410" s="18">
        <f>IFERROR(__xludf.DUMMYFUNCTION("""COMPUTED_VALUE"""),50.0)</f>
        <v>50</v>
      </c>
      <c r="J3410" s="18">
        <f>IFERROR(__xludf.DUMMYFUNCTION("""COMPUTED_VALUE"""),30.0)</f>
        <v>30</v>
      </c>
      <c r="K3410" s="18">
        <f>IFERROR(__xludf.DUMMYFUNCTION("""COMPUTED_VALUE"""),21.0)</f>
        <v>21</v>
      </c>
      <c r="L3410" s="17">
        <f>IFERROR(__xludf.DUMMYFUNCTION("""COMPUTED_VALUE"""),3.177002909E9)</f>
        <v>3177002909</v>
      </c>
      <c r="M3410" s="17" t="str">
        <f>IFERROR(__xludf.DUMMYFUNCTION("""COMPUTED_VALUE"""),"#REF!")</f>
        <v>#REF!</v>
      </c>
      <c r="N3410" s="17"/>
      <c r="O3410" s="17"/>
      <c r="P3410" s="17" t="b">
        <f>IFERROR(__xludf.DUMMYFUNCTION("""COMPUTED_VALUE"""),FALSE)</f>
        <v>0</v>
      </c>
      <c r="Q3410" s="20" t="str">
        <f>IFERROR(__xludf.DUMMYFUNCTION("""COMPUTED_VALUE"""),"")</f>
        <v/>
      </c>
      <c r="R3410" s="21" t="str">
        <f>IFERROR(__xludf.DUMMYFUNCTION("""COMPUTED_VALUE"""),"https://drive.google.com/file/d/1zwqtUvwvUZRcKU3vfVBShcWPcuxYZ8_P/view?usp=drivesdk")</f>
        <v>https://drive.google.com/file/d/1zwqtUvwvUZRcKU3vfVBShcWPcuxYZ8_P/view?usp=drivesdk</v>
      </c>
    </row>
    <row r="3411">
      <c r="A3411" s="15">
        <f>IFERROR(__xludf.DUMMYFUNCTION("""COMPUTED_VALUE"""),45100.0)</f>
        <v>45100</v>
      </c>
      <c r="B3411" s="16" t="str">
        <f>IFERROR(__xludf.DUMMYFUNCTION("""COMPUTED_VALUE"""),"Envia")</f>
        <v>Envia</v>
      </c>
      <c r="C3411" s="15" t="str">
        <f>IFERROR(__xludf.DUMMYFUNCTION("""COMPUTED_VALUE"""),"MEDELLÍN")</f>
        <v>MEDELLÍN</v>
      </c>
      <c r="D3411" s="15" t="str">
        <f>IFERROR(__xludf.DUMMYFUNCTION("""COMPUTED_VALUE"""),"BOGOTÁ")</f>
        <v>BOGOTÁ</v>
      </c>
      <c r="E3411" s="15" t="str">
        <f>IFERROR(__xludf.DUMMYFUNCTION("""COMPUTED_VALUE"""),"Loomifoods")</f>
        <v>Loomifoods</v>
      </c>
      <c r="F3411" s="17" t="str">
        <f>IFERROR(__xludf.DUMMYFUNCTION("""COMPUTED_VALUE"""),"Calle 4 sur no. 43a - 195 / oficina 235c / El Centro Ejecutivo")</f>
        <v>Calle 4 sur no. 43a - 195 / oficina 235c / El Centro Ejecutivo</v>
      </c>
      <c r="G3411" s="15" t="str">
        <f>IFERROR(__xludf.DUMMYFUNCTION("""COMPUTED_VALUE"""),"Manuela Carvajal")</f>
        <v>Manuela Carvajal</v>
      </c>
      <c r="H3411" s="16">
        <f>IFERROR(__xludf.DUMMYFUNCTION("""COMPUTED_VALUE"""),11971.0)</f>
        <v>11971</v>
      </c>
      <c r="I3411" s="18">
        <f>IFERROR(__xludf.DUMMYFUNCTION("""COMPUTED_VALUE"""),20.0)</f>
        <v>20</v>
      </c>
      <c r="J3411" s="18">
        <f>IFERROR(__xludf.DUMMYFUNCTION("""COMPUTED_VALUE"""),10.0)</f>
        <v>10</v>
      </c>
      <c r="K3411" s="18">
        <f>IFERROR(__xludf.DUMMYFUNCTION("""COMPUTED_VALUE"""),16.0)</f>
        <v>16</v>
      </c>
      <c r="L3411" s="17">
        <f>IFERROR(__xludf.DUMMYFUNCTION("""COMPUTED_VALUE"""),3.206685131E9)</f>
        <v>3206685131</v>
      </c>
      <c r="M3411" s="17" t="str">
        <f>IFERROR(__xludf.DUMMYFUNCTION("""COMPUTED_VALUE"""),"#REF!")</f>
        <v>#REF!</v>
      </c>
      <c r="N3411" s="17"/>
      <c r="O3411" s="17"/>
      <c r="P3411" s="17" t="b">
        <f>IFERROR(__xludf.DUMMYFUNCTION("""COMPUTED_VALUE"""),FALSE)</f>
        <v>0</v>
      </c>
      <c r="Q3411" s="20" t="str">
        <f>IFERROR(__xludf.DUMMYFUNCTION("""COMPUTED_VALUE"""),"")</f>
        <v/>
      </c>
      <c r="R3411" s="22" t="str">
        <f>IFERROR(__xludf.DUMMYFUNCTION("""COMPUTED_VALUE"""),"")</f>
        <v/>
      </c>
    </row>
    <row r="3412">
      <c r="A3412" s="15">
        <f>IFERROR(__xludf.DUMMYFUNCTION("""COMPUTED_VALUE"""),45100.0)</f>
        <v>45100</v>
      </c>
      <c r="B3412" s="16" t="str">
        <f>IFERROR(__xludf.DUMMYFUNCTION("""COMPUTED_VALUE"""),"Envia")</f>
        <v>Envia</v>
      </c>
      <c r="C3412" s="15" t="str">
        <f>IFERROR(__xludf.DUMMYFUNCTION("""COMPUTED_VALUE"""),"MEDELLÍN")</f>
        <v>MEDELLÍN</v>
      </c>
      <c r="D3412" s="15" t="str">
        <f>IFERROR(__xludf.DUMMYFUNCTION("""COMPUTED_VALUE"""),"BOGOTÁ")</f>
        <v>BOGOTÁ</v>
      </c>
      <c r="E3412" s="15" t="str">
        <f>IFERROR(__xludf.DUMMYFUNCTION("""COMPUTED_VALUE"""),"Mochi")</f>
        <v>Mochi</v>
      </c>
      <c r="F3412" s="17" t="str">
        <f>IFERROR(__xludf.DUMMYFUNCTION("""COMPUTED_VALUE"""),"Centro comercial viva envigado / Centro comercial viva envigado / Centro comercial viva envigado")</f>
        <v>Centro comercial viva envigado / Centro comercial viva envigado / Centro comercial viva envigado</v>
      </c>
      <c r="G3412" s="15" t="str">
        <f>IFERROR(__xludf.DUMMYFUNCTION("""COMPUTED_VALUE"""),"tania vellojin")</f>
        <v>tania vellojin</v>
      </c>
      <c r="H3412" s="16">
        <f>IFERROR(__xludf.DUMMYFUNCTION("""COMPUTED_VALUE"""),12005.0)</f>
        <v>12005</v>
      </c>
      <c r="I3412" s="18">
        <f>IFERROR(__xludf.DUMMYFUNCTION("""COMPUTED_VALUE"""),100.0)</f>
        <v>100</v>
      </c>
      <c r="J3412" s="18">
        <f>IFERROR(__xludf.DUMMYFUNCTION("""COMPUTED_VALUE"""),100.0)</f>
        <v>100</v>
      </c>
      <c r="K3412" s="18">
        <f>IFERROR(__xludf.DUMMYFUNCTION("""COMPUTED_VALUE"""),200.0)</f>
        <v>200</v>
      </c>
      <c r="L3412" s="17">
        <f>IFERROR(__xludf.DUMMYFUNCTION("""COMPUTED_VALUE"""),3.142587995E9)</f>
        <v>3142587995</v>
      </c>
      <c r="M3412" s="17" t="str">
        <f>IFERROR(__xludf.DUMMYFUNCTION("""COMPUTED_VALUE"""),"#REF!")</f>
        <v>#REF!</v>
      </c>
      <c r="N3412" s="17"/>
      <c r="O3412" s="17"/>
      <c r="P3412" s="17" t="b">
        <f>IFERROR(__xludf.DUMMYFUNCTION("""COMPUTED_VALUE"""),FALSE)</f>
        <v>0</v>
      </c>
      <c r="Q3412" s="20" t="str">
        <f>IFERROR(__xludf.DUMMYFUNCTION("""COMPUTED_VALUE"""),"")</f>
        <v/>
      </c>
      <c r="R3412" s="21" t="str">
        <f>IFERROR(__xludf.DUMMYFUNCTION("""COMPUTED_VALUE"""),"https://drive.google.com/file/d/1IAqH0yT7ByR6kLBrJo0WMiUJl-iDnplk/view?usp=drivesdk")</f>
        <v>https://drive.google.com/file/d/1IAqH0yT7ByR6kLBrJo0WMiUJl-iDnplk/view?usp=drivesdk</v>
      </c>
    </row>
    <row r="3413">
      <c r="A3413" s="15">
        <f>IFERROR(__xludf.DUMMYFUNCTION("""COMPUTED_VALUE"""),45100.0)</f>
        <v>45100</v>
      </c>
      <c r="B3413" s="16" t="str">
        <f>IFERROR(__xludf.DUMMYFUNCTION("""COMPUTED_VALUE"""),"Envia")</f>
        <v>Envia</v>
      </c>
      <c r="C3413" s="15" t="str">
        <f>IFERROR(__xludf.DUMMYFUNCTION("""COMPUTED_VALUE"""),"MEDELLÍN")</f>
        <v>MEDELLÍN</v>
      </c>
      <c r="D3413" s="15" t="str">
        <f>IFERROR(__xludf.DUMMYFUNCTION("""COMPUTED_VALUE"""),"BOGOTÁ")</f>
        <v>BOGOTÁ</v>
      </c>
      <c r="E3413" s="15" t="str">
        <f>IFERROR(__xludf.DUMMYFUNCTION("""COMPUTED_VALUE"""),"Pan de Waffle")</f>
        <v>Pan de Waffle</v>
      </c>
      <c r="F3413" s="17" t="str">
        <f>IFERROR(__xludf.DUMMYFUNCTION("""COMPUTED_VALUE"""),"Carrera 39 # 59 - 32 / Carrera 39 # 59 - 32 / Carrera 39 # 59 - 32")</f>
        <v>Carrera 39 # 59 - 32 / Carrera 39 # 59 - 32 / Carrera 39 # 59 - 32</v>
      </c>
      <c r="G3413" s="15" t="str">
        <f>IFERROR(__xludf.DUMMYFUNCTION("""COMPUTED_VALUE"""),"FOODOLOGY")</f>
        <v>FOODOLOGY</v>
      </c>
      <c r="H3413" s="16">
        <f>IFERROR(__xludf.DUMMYFUNCTION("""COMPUTED_VALUE"""),11976.0)</f>
        <v>11976</v>
      </c>
      <c r="I3413" s="18">
        <f>IFERROR(__xludf.DUMMYFUNCTION("""COMPUTED_VALUE"""),40.0)</f>
        <v>40</v>
      </c>
      <c r="J3413" s="18">
        <f>IFERROR(__xludf.DUMMYFUNCTION("""COMPUTED_VALUE"""),30.0)</f>
        <v>30</v>
      </c>
      <c r="K3413" s="18">
        <f>IFERROR(__xludf.DUMMYFUNCTION("""COMPUTED_VALUE"""),30.0)</f>
        <v>30</v>
      </c>
      <c r="L3413" s="17">
        <f>IFERROR(__xludf.DUMMYFUNCTION("""COMPUTED_VALUE"""),3.123558292E9)</f>
        <v>3123558292</v>
      </c>
      <c r="M3413" s="17" t="str">
        <f>IFERROR(__xludf.DUMMYFUNCTION("""COMPUTED_VALUE"""),"#REF!")</f>
        <v>#REF!</v>
      </c>
      <c r="N3413" s="17"/>
      <c r="O3413" s="17"/>
      <c r="P3413" s="17" t="b">
        <f>IFERROR(__xludf.DUMMYFUNCTION("""COMPUTED_VALUE"""),FALSE)</f>
        <v>0</v>
      </c>
      <c r="Q3413" s="20" t="str">
        <f>IFERROR(__xludf.DUMMYFUNCTION("""COMPUTED_VALUE"""),"")</f>
        <v/>
      </c>
      <c r="R3413" s="22" t="str">
        <f>IFERROR(__xludf.DUMMYFUNCTION("""COMPUTED_VALUE"""),"")</f>
        <v/>
      </c>
    </row>
    <row r="3414">
      <c r="A3414" s="15">
        <f>IFERROR(__xludf.DUMMYFUNCTION("""COMPUTED_VALUE"""),45100.0)</f>
        <v>45100</v>
      </c>
      <c r="B3414" s="16" t="str">
        <f>IFERROR(__xludf.DUMMYFUNCTION("""COMPUTED_VALUE"""),"Envia")</f>
        <v>Envia</v>
      </c>
      <c r="C3414" s="15" t="str">
        <f>IFERROR(__xludf.DUMMYFUNCTION("""COMPUTED_VALUE"""),"MEDELLÍN")</f>
        <v>MEDELLÍN</v>
      </c>
      <c r="D3414" s="15" t="str">
        <f>IFERROR(__xludf.DUMMYFUNCTION("""COMPUTED_VALUE"""),"BOGOTÁ")</f>
        <v>BOGOTÁ</v>
      </c>
      <c r="E3414" s="15" t="str">
        <f>IFERROR(__xludf.DUMMYFUNCTION("""COMPUTED_VALUE"""),"SISU PARTNERS SAS")</f>
        <v>SISU PARTNERS SAS</v>
      </c>
      <c r="F3414" s="17" t="str">
        <f>IFERROR(__xludf.DUMMYFUNCTION("""COMPUTED_VALUE"""),"Carrera 34 no. 7-86 / Local Mary &amp; George")</f>
        <v>Carrera 34 no. 7-86 / Local Mary &amp; George</v>
      </c>
      <c r="G3414" s="15" t="str">
        <f>IFERROR(__xludf.DUMMYFUNCTION("""COMPUTED_VALUE"""),"Maria Paulina Pérez")</f>
        <v>Maria Paulina Pérez</v>
      </c>
      <c r="H3414" s="16">
        <f>IFERROR(__xludf.DUMMYFUNCTION("""COMPUTED_VALUE"""),11954.0)</f>
        <v>11954</v>
      </c>
      <c r="I3414" s="18" t="str">
        <f>IFERROR(__xludf.DUMMYFUNCTION("""COMPUTED_VALUE"""),"52.5")</f>
        <v>52.5</v>
      </c>
      <c r="J3414" s="18">
        <f>IFERROR(__xludf.DUMMYFUNCTION("""COMPUTED_VALUE"""),45.0)</f>
        <v>45</v>
      </c>
      <c r="K3414" s="18">
        <f>IFERROR(__xludf.DUMMYFUNCTION("""COMPUTED_VALUE"""),55.0)</f>
        <v>55</v>
      </c>
      <c r="L3414" s="17">
        <f>IFERROR(__xludf.DUMMYFUNCTION("""COMPUTED_VALUE"""),3.182186058E9)</f>
        <v>3182186058</v>
      </c>
      <c r="M3414" s="17" t="str">
        <f>IFERROR(__xludf.DUMMYFUNCTION("""COMPUTED_VALUE"""),"#REF!")</f>
        <v>#REF!</v>
      </c>
      <c r="N3414" s="17"/>
      <c r="O3414" s="17"/>
      <c r="P3414" s="17" t="b">
        <f>IFERROR(__xludf.DUMMYFUNCTION("""COMPUTED_VALUE"""),FALSE)</f>
        <v>0</v>
      </c>
      <c r="Q3414" s="20" t="str">
        <f>IFERROR(__xludf.DUMMYFUNCTION("""COMPUTED_VALUE"""),"")</f>
        <v/>
      </c>
      <c r="R3414" s="21" t="str">
        <f>IFERROR(__xludf.DUMMYFUNCTION("""COMPUTED_VALUE"""),"https://drive.google.com/file/d/1Ph0TaF2nxWJRq_2FPxRuKTxjKcEjiMpd/view?usp=drivesdk")</f>
        <v>https://drive.google.com/file/d/1Ph0TaF2nxWJRq_2FPxRuKTxjKcEjiMpd/view?usp=drivesdk</v>
      </c>
    </row>
    <row r="3415">
      <c r="A3415" s="15">
        <f>IFERROR(__xludf.DUMMYFUNCTION("""COMPUTED_VALUE"""),45100.0)</f>
        <v>45100</v>
      </c>
      <c r="B3415" s="16" t="str">
        <f>IFERROR(__xludf.DUMMYFUNCTION("""COMPUTED_VALUE"""),"Envia")</f>
        <v>Envia</v>
      </c>
      <c r="C3415" s="15" t="str">
        <f>IFERROR(__xludf.DUMMYFUNCTION("""COMPUTED_VALUE"""),"MEDELLÍN")</f>
        <v>MEDELLÍN</v>
      </c>
      <c r="D3415" s="15" t="str">
        <f>IFERROR(__xludf.DUMMYFUNCTION("""COMPUTED_VALUE"""),"BOGOTÁ")</f>
        <v>BOGOTÁ</v>
      </c>
      <c r="E3415" s="15" t="str">
        <f>IFERROR(__xludf.DUMMYFUNCTION("""COMPUTED_VALUE"""),"Top Spun")</f>
        <v>Top Spun</v>
      </c>
      <c r="F3415" s="17" t="str">
        <f>IFERROR(__xludf.DUMMYFUNCTION("""COMPUTED_VALUE"""),"CRA 48 # 32 B SUR - 219  / AVENIDA LAS VEGAS ENVIGADO / AVENIDA LAS VEGAS ENVIGADO")</f>
        <v>CRA 48 # 32 B SUR - 219  / AVENIDA LAS VEGAS ENVIGADO / AVENIDA LAS VEGAS ENVIGADO</v>
      </c>
      <c r="G3415" s="15" t="str">
        <f>IFERROR(__xludf.DUMMYFUNCTION("""COMPUTED_VALUE"""),"LUIS MIGUEL CANO MI EXITO")</f>
        <v>LUIS MIGUEL CANO MI EXITO</v>
      </c>
      <c r="H3415" s="16">
        <f>IFERROR(__xludf.DUMMYFUNCTION("""COMPUTED_VALUE"""),11957.0)</f>
        <v>11957</v>
      </c>
      <c r="I3415" s="18">
        <f>IFERROR(__xludf.DUMMYFUNCTION("""COMPUTED_VALUE"""),20.0)</f>
        <v>20</v>
      </c>
      <c r="J3415" s="18">
        <f>IFERROR(__xludf.DUMMYFUNCTION("""COMPUTED_VALUE"""),10.0)</f>
        <v>10</v>
      </c>
      <c r="K3415" s="18">
        <f>IFERROR(__xludf.DUMMYFUNCTION("""COMPUTED_VALUE"""),40.0)</f>
        <v>40</v>
      </c>
      <c r="L3415" s="17">
        <f>IFERROR(__xludf.DUMMYFUNCTION("""COMPUTED_VALUE"""),5.746049696E9)</f>
        <v>5746049696</v>
      </c>
      <c r="M3415" s="17" t="str">
        <f>IFERROR(__xludf.DUMMYFUNCTION("""COMPUTED_VALUE"""),"#REF!")</f>
        <v>#REF!</v>
      </c>
      <c r="N3415" s="17"/>
      <c r="O3415" s="17"/>
      <c r="P3415" s="17" t="b">
        <f>IFERROR(__xludf.DUMMYFUNCTION("""COMPUTED_VALUE"""),FALSE)</f>
        <v>0</v>
      </c>
      <c r="Q3415" s="20" t="str">
        <f>IFERROR(__xludf.DUMMYFUNCTION("""COMPUTED_VALUE"""),"")</f>
        <v/>
      </c>
      <c r="R3415" s="22" t="str">
        <f>IFERROR(__xludf.DUMMYFUNCTION("""COMPUTED_VALUE"""),"")</f>
        <v/>
      </c>
    </row>
    <row r="3416">
      <c r="A3416" s="15">
        <f>IFERROR(__xludf.DUMMYFUNCTION("""COMPUTED_VALUE"""),45100.0)</f>
        <v>45100</v>
      </c>
      <c r="B3416" s="16" t="str">
        <f>IFERROR(__xludf.DUMMYFUNCTION("""COMPUTED_VALUE"""),"Envia")</f>
        <v>Envia</v>
      </c>
      <c r="C3416" s="15" t="str">
        <f>IFERROR(__xludf.DUMMYFUNCTION("""COMPUTED_VALUE"""),"MEDELLÍN")</f>
        <v>MEDELLÍN</v>
      </c>
      <c r="D3416" s="15" t="str">
        <f>IFERROR(__xludf.DUMMYFUNCTION("""COMPUTED_VALUE"""),"BOGOTÁ")</f>
        <v>BOGOTÁ</v>
      </c>
      <c r="E3416" s="15" t="str">
        <f>IFERROR(__xludf.DUMMYFUNCTION("""COMPUTED_VALUE"""),"Viiva Fermentados")</f>
        <v>Viiva Fermentados</v>
      </c>
      <c r="F3416" s="17" t="str">
        <f>IFERROR(__xludf.DUMMYFUNCTION("""COMPUTED_VALUE"""),"Calle 98 #50b-19 / primer piso  Preguntar por Doña Fabiola / Aranjuez")</f>
        <v>Calle 98 #50b-19 / primer piso  Preguntar por Doña Fabiola / Aranjuez</v>
      </c>
      <c r="G3416" s="15" t="str">
        <f>IFERROR(__xludf.DUMMYFUNCTION("""COMPUTED_VALUE"""),"Bayron Rodriguez (2 cajas)")</f>
        <v>Bayron Rodriguez (2 cajas)</v>
      </c>
      <c r="H3416" s="16">
        <f>IFERROR(__xludf.DUMMYFUNCTION("""COMPUTED_VALUE"""),11830.0)</f>
        <v>11830</v>
      </c>
      <c r="I3416" s="18">
        <f>IFERROR(__xludf.DUMMYFUNCTION("""COMPUTED_VALUE"""),13.0)</f>
        <v>13</v>
      </c>
      <c r="J3416" s="18">
        <f>IFERROR(__xludf.DUMMYFUNCTION("""COMPUTED_VALUE"""),24.0)</f>
        <v>24</v>
      </c>
      <c r="K3416" s="18">
        <f>IFERROR(__xludf.DUMMYFUNCTION("""COMPUTED_VALUE"""),36.0)</f>
        <v>36</v>
      </c>
      <c r="L3416" s="17">
        <f>IFERROR(__xludf.DUMMYFUNCTION("""COMPUTED_VALUE"""),3.166261966E9)</f>
        <v>3166261966</v>
      </c>
      <c r="M3416" s="17" t="str">
        <f>IFERROR(__xludf.DUMMYFUNCTION("""COMPUTED_VALUE"""),"#REF!")</f>
        <v>#REF!</v>
      </c>
      <c r="N3416" s="17"/>
      <c r="O3416" s="17"/>
      <c r="P3416" s="17" t="b">
        <f>IFERROR(__xludf.DUMMYFUNCTION("""COMPUTED_VALUE"""),FALSE)</f>
        <v>0</v>
      </c>
      <c r="Q3416" s="20" t="str">
        <f>IFERROR(__xludf.DUMMYFUNCTION("""COMPUTED_VALUE"""),"")</f>
        <v/>
      </c>
      <c r="R3416" s="22" t="str">
        <f>IFERROR(__xludf.DUMMYFUNCTION("""COMPUTED_VALUE"""),"")</f>
        <v/>
      </c>
    </row>
    <row r="3417">
      <c r="A3417" s="15">
        <f>IFERROR(__xludf.DUMMYFUNCTION("""COMPUTED_VALUE"""),45100.0)</f>
        <v>45100</v>
      </c>
      <c r="B3417" s="16" t="str">
        <f>IFERROR(__xludf.DUMMYFUNCTION("""COMPUTED_VALUE"""),"Envia")</f>
        <v>Envia</v>
      </c>
      <c r="C3417" s="15" t="str">
        <f>IFERROR(__xludf.DUMMYFUNCTION("""COMPUTED_VALUE"""),"SANTA MARTA")</f>
        <v>SANTA MARTA</v>
      </c>
      <c r="D3417" s="15" t="str">
        <f>IFERROR(__xludf.DUMMYFUNCTION("""COMPUTED_VALUE"""),"BOGOTÁ")</f>
        <v>BOGOTÁ</v>
      </c>
      <c r="E3417" s="15" t="str">
        <f>IFERROR(__xludf.DUMMYFUNCTION("""COMPUTED_VALUE"""),"Evamazzita")</f>
        <v>Evamazzita</v>
      </c>
      <c r="F3417" s="17" t="str">
        <f>IFERROR(__xludf.DUMMYFUNCTION("""COMPUTED_VALUE"""),"Mz 7 casa 23 Urbanización Sierradentro  / Mz 7 casa 23 Urbanización Sierradentro  / Mz 7 casa 23 Urbanización Sierradentro")</f>
        <v>Mz 7 casa 23 Urbanización Sierradentro  / Mz 7 casa 23 Urbanización Sierradentro  / Mz 7 casa 23 Urbanización Sierradentro</v>
      </c>
      <c r="G3417" s="15" t="str">
        <f>IFERROR(__xludf.DUMMYFUNCTION("""COMPUTED_VALUE"""),"YINETH TATIANA PEREZ TORRES")</f>
        <v>YINETH TATIANA PEREZ TORRES</v>
      </c>
      <c r="H3417" s="16">
        <f>IFERROR(__xludf.DUMMYFUNCTION("""COMPUTED_VALUE"""),11927.0)</f>
        <v>11927</v>
      </c>
      <c r="I3417" s="18">
        <f>IFERROR(__xludf.DUMMYFUNCTION("""COMPUTED_VALUE"""),12.0)</f>
        <v>12</v>
      </c>
      <c r="J3417" s="18">
        <f>IFERROR(__xludf.DUMMYFUNCTION("""COMPUTED_VALUE"""),14.0)</f>
        <v>14</v>
      </c>
      <c r="K3417" s="18">
        <f>IFERROR(__xludf.DUMMYFUNCTION("""COMPUTED_VALUE"""),18.0)</f>
        <v>18</v>
      </c>
      <c r="L3417" s="17">
        <f>IFERROR(__xludf.DUMMYFUNCTION("""COMPUTED_VALUE"""),3.165250569E9)</f>
        <v>3165250569</v>
      </c>
      <c r="M3417" s="17" t="str">
        <f>IFERROR(__xludf.DUMMYFUNCTION("""COMPUTED_VALUE"""),"#REF!")</f>
        <v>#REF!</v>
      </c>
      <c r="N3417" s="17"/>
      <c r="O3417" s="17"/>
      <c r="P3417" s="17" t="b">
        <f>IFERROR(__xludf.DUMMYFUNCTION("""COMPUTED_VALUE"""),FALSE)</f>
        <v>0</v>
      </c>
      <c r="Q3417" s="20" t="str">
        <f>IFERROR(__xludf.DUMMYFUNCTION("""COMPUTED_VALUE"""),"")</f>
        <v/>
      </c>
      <c r="R3417" s="21" t="str">
        <f>IFERROR(__xludf.DUMMYFUNCTION("""COMPUTED_VALUE"""),"https://drive.google.com/file/d/19uK_44dD_tb8zvpfKhV9ScNNDc1gy7w_/view?usp=drivesdk")</f>
        <v>https://drive.google.com/file/d/19uK_44dD_tb8zvpfKhV9ScNNDc1gy7w_/view?usp=drivesdk</v>
      </c>
    </row>
    <row r="3418">
      <c r="A3418" s="15">
        <f>IFERROR(__xludf.DUMMYFUNCTION("""COMPUTED_VALUE"""),45100.0)</f>
        <v>45100</v>
      </c>
      <c r="B3418" s="16" t="str">
        <f>IFERROR(__xludf.DUMMYFUNCTION("""COMPUTED_VALUE"""),"Envia")</f>
        <v>Envia</v>
      </c>
      <c r="C3418" s="15" t="str">
        <f>IFERROR(__xludf.DUMMYFUNCTION("""COMPUTED_VALUE"""),"SANTA MARTA")</f>
        <v>SANTA MARTA</v>
      </c>
      <c r="D3418" s="15" t="str">
        <f>IFERROR(__xludf.DUMMYFUNCTION("""COMPUTED_VALUE"""),"BOGOTÁ")</f>
        <v>BOGOTÁ</v>
      </c>
      <c r="E3418" s="15" t="str">
        <f>IFERROR(__xludf.DUMMYFUNCTION("""COMPUTED_VALUE"""),"Ins. Alimento Vital")</f>
        <v>Ins. Alimento Vital</v>
      </c>
      <c r="F3418" s="17" t="str">
        <f>IFERROR(__xludf.DUMMYFUNCTION("""COMPUTED_VALUE"""),"CL 29 1 65 / ED AMBAR OCEANIC AP 1702 / RODADERO SUR")</f>
        <v>CL 29 1 65 / ED AMBAR OCEANIC AP 1702 / RODADERO SUR</v>
      </c>
      <c r="G3418" s="15" t="str">
        <f>IFERROR(__xludf.DUMMYFUNCTION("""COMPUTED_VALUE"""),"ISABELA MARGARITA VARGAS MOZO")</f>
        <v>ISABELA MARGARITA VARGAS MOZO</v>
      </c>
      <c r="H3418" s="16">
        <f>IFERROR(__xludf.DUMMYFUNCTION("""COMPUTED_VALUE"""),11922.0)</f>
        <v>11922</v>
      </c>
      <c r="I3418" s="18">
        <f>IFERROR(__xludf.DUMMYFUNCTION("""COMPUTED_VALUE"""),1.0)</f>
        <v>1</v>
      </c>
      <c r="J3418" s="18">
        <f>IFERROR(__xludf.DUMMYFUNCTION("""COMPUTED_VALUE"""),1.0)</f>
        <v>1</v>
      </c>
      <c r="K3418" s="18">
        <f>IFERROR(__xludf.DUMMYFUNCTION("""COMPUTED_VALUE"""),1.0)</f>
        <v>1</v>
      </c>
      <c r="L3418" s="17">
        <f>IFERROR(__xludf.DUMMYFUNCTION("""COMPUTED_VALUE"""),3.00767069E9)</f>
        <v>3007670690</v>
      </c>
      <c r="M3418" s="17" t="str">
        <f>IFERROR(__xludf.DUMMYFUNCTION("""COMPUTED_VALUE"""),"#REF!")</f>
        <v>#REF!</v>
      </c>
      <c r="N3418" s="17"/>
      <c r="O3418" s="17"/>
      <c r="P3418" s="17" t="b">
        <f>IFERROR(__xludf.DUMMYFUNCTION("""COMPUTED_VALUE"""),FALSE)</f>
        <v>0</v>
      </c>
      <c r="Q3418" s="20" t="str">
        <f>IFERROR(__xludf.DUMMYFUNCTION("""COMPUTED_VALUE"""),"")</f>
        <v/>
      </c>
      <c r="R3418" s="21" t="str">
        <f>IFERROR(__xludf.DUMMYFUNCTION("""COMPUTED_VALUE"""),"https://drive.google.com/file/d/1vkYsGqOqg7F14jv9-ZMbqfKHszy_o5sR/view?usp=drivesdk")</f>
        <v>https://drive.google.com/file/d/1vkYsGqOqg7F14jv9-ZMbqfKHszy_o5sR/view?usp=drivesdk</v>
      </c>
    </row>
    <row r="3419">
      <c r="A3419" s="17" t="str">
        <f>IFERROR(__xludf.DUMMYFUNCTION("""COMPUTED_VALUE"""),"")</f>
        <v/>
      </c>
      <c r="B3419" s="17" t="str">
        <f>IFERROR(__xludf.DUMMYFUNCTION("""COMPUTED_VALUE"""),"")</f>
        <v/>
      </c>
      <c r="C3419" s="17" t="str">
        <f>IFERROR(__xludf.DUMMYFUNCTION("""COMPUTED_VALUE"""),"")</f>
        <v/>
      </c>
      <c r="D3419" s="17" t="str">
        <f>IFERROR(__xludf.DUMMYFUNCTION("""COMPUTED_VALUE"""),"")</f>
        <v/>
      </c>
      <c r="E3419" s="17" t="str">
        <f>IFERROR(__xludf.DUMMYFUNCTION("""COMPUTED_VALUE"""),"")</f>
        <v/>
      </c>
      <c r="F3419" s="17" t="str">
        <f>IFERROR(__xludf.DUMMYFUNCTION("""COMPUTED_VALUE"""),"")</f>
        <v/>
      </c>
      <c r="G3419" s="17" t="str">
        <f>IFERROR(__xludf.DUMMYFUNCTION("""COMPUTED_VALUE"""),"")</f>
        <v/>
      </c>
      <c r="H3419" s="17" t="str">
        <f>IFERROR(__xludf.DUMMYFUNCTION("""COMPUTED_VALUE"""),"")</f>
        <v/>
      </c>
      <c r="I3419" s="17" t="str">
        <f>IFERROR(__xludf.DUMMYFUNCTION("""COMPUTED_VALUE"""),"")</f>
        <v/>
      </c>
      <c r="J3419" s="17" t="str">
        <f>IFERROR(__xludf.DUMMYFUNCTION("""COMPUTED_VALUE"""),"")</f>
        <v/>
      </c>
      <c r="K3419" s="17" t="str">
        <f>IFERROR(__xludf.DUMMYFUNCTION("""COMPUTED_VALUE"""),"")</f>
        <v/>
      </c>
      <c r="L3419" s="17" t="str">
        <f>IFERROR(__xludf.DUMMYFUNCTION("""COMPUTED_VALUE"""),"")</f>
        <v/>
      </c>
      <c r="M3419" s="17" t="str">
        <f>IFERROR(__xludf.DUMMYFUNCTION("""COMPUTED_VALUE"""),"")</f>
        <v/>
      </c>
      <c r="N3419" s="17" t="str">
        <f>IFERROR(__xludf.DUMMYFUNCTION("""COMPUTED_VALUE"""),"")</f>
        <v/>
      </c>
      <c r="O3419" s="17" t="str">
        <f>IFERROR(__xludf.DUMMYFUNCTION("""COMPUTED_VALUE"""),"")</f>
        <v/>
      </c>
      <c r="P3419" s="17" t="str">
        <f>IFERROR(__xludf.DUMMYFUNCTION("""COMPUTED_VALUE"""),"")</f>
        <v/>
      </c>
      <c r="Q3419" s="17" t="str">
        <f>IFERROR(__xludf.DUMMYFUNCTION("""COMPUTED_VALUE"""),"")</f>
        <v/>
      </c>
      <c r="R3419" s="17" t="str">
        <f>IFERROR(__xludf.DUMMYFUNCTION("""COMPUTED_VALUE"""),"")</f>
        <v/>
      </c>
    </row>
    <row r="3420">
      <c r="A3420" s="15">
        <f>IFERROR(__xludf.DUMMYFUNCTION("""COMPUTED_VALUE"""),45100.0)</f>
        <v>45100</v>
      </c>
      <c r="B3420" s="16" t="str">
        <f>IFERROR(__xludf.DUMMYFUNCTION("""COMPUTED_VALUE"""),"Jeison Rubiano")</f>
        <v>Jeison Rubiano</v>
      </c>
      <c r="C3420" s="15" t="str">
        <f>IFERROR(__xludf.DUMMYFUNCTION("""COMPUTED_VALUE"""),"BOGOTÁ")</f>
        <v>BOGOTÁ</v>
      </c>
      <c r="D3420" s="15" t="str">
        <f>IFERROR(__xludf.DUMMYFUNCTION("""COMPUTED_VALUE"""),"CALI")</f>
        <v>CALI</v>
      </c>
      <c r="E3420" s="15" t="str">
        <f>IFERROR(__xludf.DUMMYFUNCTION("""COMPUTED_VALUE"""),"Sabor Típico")</f>
        <v>Sabor Típico</v>
      </c>
      <c r="F3420" s="17" t="str">
        <f>IFERROR(__xludf.DUMMYFUNCTION("""COMPUTED_VALUE"""),"Carrera 11 Bis #124a-51, Apto 201 Torre 1 / Carrera 11 Bis #124a-51, Apto 201 Torre 1 / Carrera 11 Bis #124a-51, Apto 201 Torre 1")</f>
        <v>Carrera 11 Bis #124a-51, Apto 201 Torre 1 / Carrera 11 Bis #124a-51, Apto 201 Torre 1 / Carrera 11 Bis #124a-51, Apto 201 Torre 1</v>
      </c>
      <c r="G3420" s="15" t="str">
        <f>IFERROR(__xludf.DUMMYFUNCTION("""COMPUTED_VALUE"""),"Sebastián Panesso")</f>
        <v>Sebastián Panesso</v>
      </c>
      <c r="H3420" s="16">
        <f>IFERROR(__xludf.DUMMYFUNCTION("""COMPUTED_VALUE"""),11941.0)</f>
        <v>11941</v>
      </c>
      <c r="I3420" s="18">
        <f>IFERROR(__xludf.DUMMYFUNCTION("""COMPUTED_VALUE"""),9.0)</f>
        <v>9</v>
      </c>
      <c r="J3420" s="18">
        <f>IFERROR(__xludf.DUMMYFUNCTION("""COMPUTED_VALUE"""),30.0)</f>
        <v>30</v>
      </c>
      <c r="K3420" s="18">
        <f>IFERROR(__xludf.DUMMYFUNCTION("""COMPUTED_VALUE"""),22.0)</f>
        <v>22</v>
      </c>
      <c r="L3420" s="17">
        <f>IFERROR(__xludf.DUMMYFUNCTION("""COMPUTED_VALUE"""),3.184773664E9)</f>
        <v>3184773664</v>
      </c>
      <c r="M3420" s="17" t="str">
        <f>IFERROR(__xludf.DUMMYFUNCTION("""COMPUTED_VALUE"""),"#REF!")</f>
        <v>#REF!</v>
      </c>
      <c r="N3420" s="17"/>
      <c r="O3420" s="17"/>
      <c r="P3420" s="17" t="b">
        <f>IFERROR(__xludf.DUMMYFUNCTION("""COMPUTED_VALUE"""),FALSE)</f>
        <v>0</v>
      </c>
      <c r="Q3420" s="20" t="str">
        <f>IFERROR(__xludf.DUMMYFUNCTION("""COMPUTED_VALUE"""),"")</f>
        <v/>
      </c>
      <c r="R3420" s="21" t="str">
        <f>IFERROR(__xludf.DUMMYFUNCTION("""COMPUTED_VALUE"""),"https://drive.google.com/file/d/1gkEdBDuc6ri-inw-KHSlQEQrGQStdoGk/view?usp=drivesdk")</f>
        <v>https://drive.google.com/file/d/1gkEdBDuc6ri-inw-KHSlQEQrGQStdoGk/view?usp=drivesdk</v>
      </c>
    </row>
    <row r="3421">
      <c r="A3421" s="15">
        <f>IFERROR(__xludf.DUMMYFUNCTION("""COMPUTED_VALUE"""),45100.0)</f>
        <v>45100</v>
      </c>
      <c r="B3421" s="16" t="str">
        <f>IFERROR(__xludf.DUMMYFUNCTION("""COMPUTED_VALUE"""),"Jeison Rubiano")</f>
        <v>Jeison Rubiano</v>
      </c>
      <c r="C3421" s="15" t="str">
        <f>IFERROR(__xludf.DUMMYFUNCTION("""COMPUTED_VALUE"""),"BOGOTÁ")</f>
        <v>BOGOTÁ</v>
      </c>
      <c r="D3421" s="15" t="str">
        <f>IFERROR(__xludf.DUMMYFUNCTION("""COMPUTED_VALUE"""),"CALI")</f>
        <v>CALI</v>
      </c>
      <c r="E3421" s="15" t="str">
        <f>IFERROR(__xludf.DUMMYFUNCTION("""COMPUTED_VALUE"""),"Sabor Típico")</f>
        <v>Sabor Típico</v>
      </c>
      <c r="F3421" s="17" t="str">
        <f>IFERROR(__xludf.DUMMYFUNCTION("""COMPUTED_VALUE"""),"Recoge en centro de acopio / Recoge en centro de acopio / Recoge en centro de acopio")</f>
        <v>Recoge en centro de acopio / Recoge en centro de acopio / Recoge en centro de acopio</v>
      </c>
      <c r="G3421" s="15" t="str">
        <f>IFERROR(__xludf.DUMMYFUNCTION("""COMPUTED_VALUE"""),"Monica Ardila")</f>
        <v>Monica Ardila</v>
      </c>
      <c r="H3421" s="16">
        <f>IFERROR(__xludf.DUMMYFUNCTION("""COMPUTED_VALUE"""),11943.0)</f>
        <v>11943</v>
      </c>
      <c r="I3421" s="18">
        <f>IFERROR(__xludf.DUMMYFUNCTION("""COMPUTED_VALUE"""),9.0)</f>
        <v>9</v>
      </c>
      <c r="J3421" s="18">
        <f>IFERROR(__xludf.DUMMYFUNCTION("""COMPUTED_VALUE"""),30.0)</f>
        <v>30</v>
      </c>
      <c r="K3421" s="18">
        <f>IFERROR(__xludf.DUMMYFUNCTION("""COMPUTED_VALUE"""),22.0)</f>
        <v>22</v>
      </c>
      <c r="L3421" s="17">
        <f>IFERROR(__xludf.DUMMYFUNCTION("""COMPUTED_VALUE"""),3.163816691E9)</f>
        <v>3163816691</v>
      </c>
      <c r="M3421" s="17" t="str">
        <f>IFERROR(__xludf.DUMMYFUNCTION("""COMPUTED_VALUE"""),"#REF!")</f>
        <v>#REF!</v>
      </c>
      <c r="N3421" s="17"/>
      <c r="O3421" s="17"/>
      <c r="P3421" s="17" t="b">
        <f>IFERROR(__xludf.DUMMYFUNCTION("""COMPUTED_VALUE"""),FALSE)</f>
        <v>0</v>
      </c>
      <c r="Q3421" s="20" t="str">
        <f>IFERROR(__xludf.DUMMYFUNCTION("""COMPUTED_VALUE"""),"")</f>
        <v/>
      </c>
      <c r="R3421" s="21" t="str">
        <f>IFERROR(__xludf.DUMMYFUNCTION("""COMPUTED_VALUE"""),"https://drive.google.com/file/d/17rCiRa-0mQmNHI0DFd3zd6q6SQ41drXB/view?usp=drivesdk")</f>
        <v>https://drive.google.com/file/d/17rCiRa-0mQmNHI0DFd3zd6q6SQ41drXB/view?usp=drivesdk</v>
      </c>
    </row>
    <row r="3422">
      <c r="A3422" s="15">
        <f>IFERROR(__xludf.DUMMYFUNCTION("""COMPUTED_VALUE"""),45100.0)</f>
        <v>45100</v>
      </c>
      <c r="B3422" s="16" t="str">
        <f>IFERROR(__xludf.DUMMYFUNCTION("""COMPUTED_VALUE"""),"Jeison Rubiano")</f>
        <v>Jeison Rubiano</v>
      </c>
      <c r="C3422" s="15" t="str">
        <f>IFERROR(__xludf.DUMMYFUNCTION("""COMPUTED_VALUE"""),"BOGOTÁ")</f>
        <v>BOGOTÁ</v>
      </c>
      <c r="D3422" s="15" t="str">
        <f>IFERROR(__xludf.DUMMYFUNCTION("""COMPUTED_VALUE"""),"MEDELLÍN")</f>
        <v>MEDELLÍN</v>
      </c>
      <c r="E3422" s="15" t="str">
        <f>IFERROR(__xludf.DUMMYFUNCTION("""COMPUTED_VALUE"""),"AREPAS LA MARY")</f>
        <v>AREPAS LA MARY</v>
      </c>
      <c r="F3422" s="17" t="str">
        <f>IFERROR(__xludf.DUMMYFUNCTION("""COMPUTED_VALUE"""),"Cra 86a 86-69 / CASA")</f>
        <v>Cra 86a 86-69 / CASA</v>
      </c>
      <c r="G3422" s="15" t="str">
        <f>IFERROR(__xludf.DUMMYFUNCTION("""COMPUTED_VALUE"""),"MARTHA SUAREZ MONTAÑA")</f>
        <v>MARTHA SUAREZ MONTAÑA</v>
      </c>
      <c r="H3422" s="16">
        <f>IFERROR(__xludf.DUMMYFUNCTION("""COMPUTED_VALUE"""),11998.0)</f>
        <v>11998</v>
      </c>
      <c r="I3422" s="18">
        <f>IFERROR(__xludf.DUMMYFUNCTION("""COMPUTED_VALUE"""),89.0)</f>
        <v>89</v>
      </c>
      <c r="J3422" s="18">
        <f>IFERROR(__xludf.DUMMYFUNCTION("""COMPUTED_VALUE"""),1.0)</f>
        <v>1</v>
      </c>
      <c r="K3422" s="18">
        <f>IFERROR(__xludf.DUMMYFUNCTION("""COMPUTED_VALUE"""),10.0)</f>
        <v>10</v>
      </c>
      <c r="L3422" s="17">
        <f>IFERROR(__xludf.DUMMYFUNCTION("""COMPUTED_VALUE"""),3.165754626E9)</f>
        <v>3165754626</v>
      </c>
      <c r="M3422" s="17" t="str">
        <f>IFERROR(__xludf.DUMMYFUNCTION("""COMPUTED_VALUE"""),"#REF!")</f>
        <v>#REF!</v>
      </c>
      <c r="N3422" s="17"/>
      <c r="O3422" s="17"/>
      <c r="P3422" s="17" t="b">
        <f>IFERROR(__xludf.DUMMYFUNCTION("""COMPUTED_VALUE"""),FALSE)</f>
        <v>0</v>
      </c>
      <c r="Q3422" s="20" t="str">
        <f>IFERROR(__xludf.DUMMYFUNCTION("""COMPUTED_VALUE"""),"")</f>
        <v/>
      </c>
      <c r="R3422" s="21" t="str">
        <f>IFERROR(__xludf.DUMMYFUNCTION("""COMPUTED_VALUE"""),"https://drive.google.com/file/d/1jAcEtfbLGGnUZ43mNGefUJxaiBon4uRw/view?usp=drivesdk")</f>
        <v>https://drive.google.com/file/d/1jAcEtfbLGGnUZ43mNGefUJxaiBon4uRw/view?usp=drivesdk</v>
      </c>
    </row>
    <row r="3423">
      <c r="A3423" s="15">
        <f>IFERROR(__xludf.DUMMYFUNCTION("""COMPUTED_VALUE"""),45100.0)</f>
        <v>45100</v>
      </c>
      <c r="B3423" s="16" t="str">
        <f>IFERROR(__xludf.DUMMYFUNCTION("""COMPUTED_VALUE"""),"Jeison Rubiano")</f>
        <v>Jeison Rubiano</v>
      </c>
      <c r="C3423" s="15" t="str">
        <f>IFERROR(__xludf.DUMMYFUNCTION("""COMPUTED_VALUE"""),"BOGOTÁ")</f>
        <v>BOGOTÁ</v>
      </c>
      <c r="D3423" s="15" t="str">
        <f>IFERROR(__xludf.DUMMYFUNCTION("""COMPUTED_VALUE"""),"MEDELLÍN")</f>
        <v>MEDELLÍN</v>
      </c>
      <c r="E3423" s="15" t="str">
        <f>IFERROR(__xludf.DUMMYFUNCTION("""COMPUTED_VALUE"""),"Baby Chef")</f>
        <v>Baby Chef</v>
      </c>
      <c r="F3423" s="17" t="str">
        <f>IFERROR(__xludf.DUMMYFUNCTION("""COMPUTED_VALUE"""),"Ac 45 a sur 52c 14  La ALQUERIA - ALMACEN de bicicletas AMSTERDAM BIKE BOGOTA. (PUEDEN RECIBIR DESDE LAS 10 AM HASTA LAS 5PM) / Ac 45 a sur 52c 14  La ALQUERIA - ALMACEN de bicicletas AMSTERDAM BIKE BOGOTA. (PUEDEN RECIBIR DESDE LAS 10 AM HASTA LAS 5PM) /"&amp;" Ac 45 a sur 52c 14  La ALQUERIA - ALMACEN de bicicletas AMSTERDAM BIKE BOGOTA. (PUEDEN RECIBIR DESDE LAS 10 AM HASTA LAS 5PM)")</f>
        <v>Ac 45 a sur 52c 14  La ALQUERIA - ALMACEN de bicicletas AMSTERDAM BIKE BOGOTA. (PUEDEN RECIBIR DESDE LAS 10 AM HASTA LAS 5PM) / Ac 45 a sur 52c 14  La ALQUERIA - ALMACEN de bicicletas AMSTERDAM BIKE BOGOTA. (PUEDEN RECIBIR DESDE LAS 10 AM HASTA LAS 5PM) / Ac 45 a sur 52c 14  La ALQUERIA - ALMACEN de bicicletas AMSTERDAM BIKE BOGOTA. (PUEDEN RECIBIR DESDE LAS 10 AM HASTA LAS 5PM)</v>
      </c>
      <c r="G3423" s="15" t="str">
        <f>IFERROR(__xludf.DUMMYFUNCTION("""COMPUTED_VALUE"""),"Yeniffer Urrea")</f>
        <v>Yeniffer Urrea</v>
      </c>
      <c r="H3423" s="16">
        <f>IFERROR(__xludf.DUMMYFUNCTION("""COMPUTED_VALUE"""),11978.0)</f>
        <v>11978</v>
      </c>
      <c r="I3423" s="18">
        <f>IFERROR(__xludf.DUMMYFUNCTION("""COMPUTED_VALUE"""),8.0)</f>
        <v>8</v>
      </c>
      <c r="J3423" s="18">
        <f>IFERROR(__xludf.DUMMYFUNCTION("""COMPUTED_VALUE"""),16.0)</f>
        <v>16</v>
      </c>
      <c r="K3423" s="18">
        <f>IFERROR(__xludf.DUMMYFUNCTION("""COMPUTED_VALUE"""),20.0)</f>
        <v>20</v>
      </c>
      <c r="L3423" s="17">
        <f>IFERROR(__xludf.DUMMYFUNCTION("""COMPUTED_VALUE"""),3.22387886E9)</f>
        <v>3223878860</v>
      </c>
      <c r="M3423" s="17" t="str">
        <f>IFERROR(__xludf.DUMMYFUNCTION("""COMPUTED_VALUE"""),"#REF!")</f>
        <v>#REF!</v>
      </c>
      <c r="N3423" s="17"/>
      <c r="O3423" s="17"/>
      <c r="P3423" s="17" t="b">
        <f>IFERROR(__xludf.DUMMYFUNCTION("""COMPUTED_VALUE"""),FALSE)</f>
        <v>0</v>
      </c>
      <c r="Q3423" s="20" t="str">
        <f>IFERROR(__xludf.DUMMYFUNCTION("""COMPUTED_VALUE"""),"")</f>
        <v/>
      </c>
      <c r="R3423" s="21" t="str">
        <f>IFERROR(__xludf.DUMMYFUNCTION("""COMPUTED_VALUE"""),"https://drive.google.com/file/d/1zbpabpXx1Xst6MxvKhiwyDfbDdHZhIlJ/view?usp=drivesdk")</f>
        <v>https://drive.google.com/file/d/1zbpabpXx1Xst6MxvKhiwyDfbDdHZhIlJ/view?usp=drivesdk</v>
      </c>
    </row>
    <row r="3424">
      <c r="A3424" s="15">
        <f>IFERROR(__xludf.DUMMYFUNCTION("""COMPUTED_VALUE"""),45100.0)</f>
        <v>45100</v>
      </c>
      <c r="B3424" s="16" t="str">
        <f>IFERROR(__xludf.DUMMYFUNCTION("""COMPUTED_VALUE"""),"Jeison Rubiano")</f>
        <v>Jeison Rubiano</v>
      </c>
      <c r="C3424" s="15" t="str">
        <f>IFERROR(__xludf.DUMMYFUNCTION("""COMPUTED_VALUE"""),"BOGOTÁ")</f>
        <v>BOGOTÁ</v>
      </c>
      <c r="D3424" s="15" t="str">
        <f>IFERROR(__xludf.DUMMYFUNCTION("""COMPUTED_VALUE"""),"MEDELLÍN")</f>
        <v>MEDELLÍN</v>
      </c>
      <c r="E3424" s="15" t="str">
        <f>IFERROR(__xludf.DUMMYFUNCTION("""COMPUTED_VALUE"""),"Baby Chef")</f>
        <v>Baby Chef</v>
      </c>
      <c r="F3424" s="17" t="str">
        <f>IFERROR(__xludf.DUMMYFUNCTION("""COMPUTED_VALUE"""),"calle 142 # 11-50 Apt 706 Edificio Botanika Aqua   Barrio Cedritos  / calle 142 # 11-50 Apt 706 Edificio Botanika Aqua   Barrio Cedritos  / calle 142 # 11-50 Apt 706 Edificio Botanika Aqua   Barrio Cedritos")</f>
        <v>calle 142 # 11-50 Apt 706 Edificio Botanika Aqua   Barrio Cedritos  / calle 142 # 11-50 Apt 706 Edificio Botanika Aqua   Barrio Cedritos  / calle 142 # 11-50 Apt 706 Edificio Botanika Aqua   Barrio Cedritos</v>
      </c>
      <c r="G3424" s="15" t="str">
        <f>IFERROR(__xludf.DUMMYFUNCTION("""COMPUTED_VALUE"""),"Paola Medina")</f>
        <v>Paola Medina</v>
      </c>
      <c r="H3424" s="16">
        <f>IFERROR(__xludf.DUMMYFUNCTION("""COMPUTED_VALUE"""),11980.0)</f>
        <v>11980</v>
      </c>
      <c r="I3424" s="18">
        <f>IFERROR(__xludf.DUMMYFUNCTION("""COMPUTED_VALUE"""),8.0)</f>
        <v>8</v>
      </c>
      <c r="J3424" s="18">
        <f>IFERROR(__xludf.DUMMYFUNCTION("""COMPUTED_VALUE"""),16.0)</f>
        <v>16</v>
      </c>
      <c r="K3424" s="18">
        <f>IFERROR(__xludf.DUMMYFUNCTION("""COMPUTED_VALUE"""),20.0)</f>
        <v>20</v>
      </c>
      <c r="L3424" s="17">
        <f>IFERROR(__xludf.DUMMYFUNCTION("""COMPUTED_VALUE"""),3.162263374E9)</f>
        <v>3162263374</v>
      </c>
      <c r="M3424" s="17" t="str">
        <f>IFERROR(__xludf.DUMMYFUNCTION("""COMPUTED_VALUE"""),"#REF!")</f>
        <v>#REF!</v>
      </c>
      <c r="N3424" s="17"/>
      <c r="O3424" s="17"/>
      <c r="P3424" s="17" t="b">
        <f>IFERROR(__xludf.DUMMYFUNCTION("""COMPUTED_VALUE"""),FALSE)</f>
        <v>0</v>
      </c>
      <c r="Q3424" s="20" t="str">
        <f>IFERROR(__xludf.DUMMYFUNCTION("""COMPUTED_VALUE"""),"")</f>
        <v/>
      </c>
      <c r="R3424" s="21" t="str">
        <f>IFERROR(__xludf.DUMMYFUNCTION("""COMPUTED_VALUE"""),"https://drive.google.com/file/d/1-K8SKXo93irIBtqTKPjpxr49ng5YGD0H/view?usp=drivesdk")</f>
        <v>https://drive.google.com/file/d/1-K8SKXo93irIBtqTKPjpxr49ng5YGD0H/view?usp=drivesdk</v>
      </c>
    </row>
    <row r="3425">
      <c r="A3425" s="15">
        <f>IFERROR(__xludf.DUMMYFUNCTION("""COMPUTED_VALUE"""),45100.0)</f>
        <v>45100</v>
      </c>
      <c r="B3425" s="16" t="str">
        <f>IFERROR(__xludf.DUMMYFUNCTION("""COMPUTED_VALUE"""),"Jeison Rubiano")</f>
        <v>Jeison Rubiano</v>
      </c>
      <c r="C3425" s="15" t="str">
        <f>IFERROR(__xludf.DUMMYFUNCTION("""COMPUTED_VALUE"""),"BOGOTÁ")</f>
        <v>BOGOTÁ</v>
      </c>
      <c r="D3425" s="15" t="str">
        <f>IFERROR(__xludf.DUMMYFUNCTION("""COMPUTED_VALUE"""),"MEDELLÍN")</f>
        <v>MEDELLÍN</v>
      </c>
      <c r="E3425" s="15" t="str">
        <f>IFERROR(__xludf.DUMMYFUNCTION("""COMPUTED_VALUE"""),"Baby Chef")</f>
        <v>Baby Chef</v>
      </c>
      <c r="F3425" s="17" t="str">
        <f>IFERROR(__xludf.DUMMYFUNCTION("""COMPUTED_VALUE"""),"Calle 151 n 11-32 torre 4 apto 914 conjunto Lombardía , cedritos / Calle 151 n 11-32 torre 4 apto 914 conjunto Lombardía , cedritos / Calle 151 n 11-32 torre 4 apto 914 conjunto Lombardía , cedritos")</f>
        <v>Calle 151 n 11-32 torre 4 apto 914 conjunto Lombardía , cedritos / Calle 151 n 11-32 torre 4 apto 914 conjunto Lombardía , cedritos / Calle 151 n 11-32 torre 4 apto 914 conjunto Lombardía , cedritos</v>
      </c>
      <c r="G3425" s="15" t="str">
        <f>IFERROR(__xludf.DUMMYFUNCTION("""COMPUTED_VALUE"""),"Nathali Vargas")</f>
        <v>Nathali Vargas</v>
      </c>
      <c r="H3425" s="16">
        <f>IFERROR(__xludf.DUMMYFUNCTION("""COMPUTED_VALUE"""),11987.0)</f>
        <v>11987</v>
      </c>
      <c r="I3425" s="18">
        <f>IFERROR(__xludf.DUMMYFUNCTION("""COMPUTED_VALUE"""),8.0)</f>
        <v>8</v>
      </c>
      <c r="J3425" s="18">
        <f>IFERROR(__xludf.DUMMYFUNCTION("""COMPUTED_VALUE"""),16.0)</f>
        <v>16</v>
      </c>
      <c r="K3425" s="18">
        <f>IFERROR(__xludf.DUMMYFUNCTION("""COMPUTED_VALUE"""),20.0)</f>
        <v>20</v>
      </c>
      <c r="L3425" s="17">
        <f>IFERROR(__xludf.DUMMYFUNCTION("""COMPUTED_VALUE"""),3.233254363E9)</f>
        <v>3233254363</v>
      </c>
      <c r="M3425" s="17" t="str">
        <f>IFERROR(__xludf.DUMMYFUNCTION("""COMPUTED_VALUE"""),"#REF!")</f>
        <v>#REF!</v>
      </c>
      <c r="N3425" s="17"/>
      <c r="O3425" s="17"/>
      <c r="P3425" s="17" t="b">
        <f>IFERROR(__xludf.DUMMYFUNCTION("""COMPUTED_VALUE"""),FALSE)</f>
        <v>0</v>
      </c>
      <c r="Q3425" s="20" t="str">
        <f>IFERROR(__xludf.DUMMYFUNCTION("""COMPUTED_VALUE"""),"")</f>
        <v/>
      </c>
      <c r="R3425" s="21" t="str">
        <f>IFERROR(__xludf.DUMMYFUNCTION("""COMPUTED_VALUE"""),"https://drive.google.com/file/d/1nd715yb_8ehr-0rTsyVzPxIR1Kuzd1Wn/view?usp=drivesdk")</f>
        <v>https://drive.google.com/file/d/1nd715yb_8ehr-0rTsyVzPxIR1Kuzd1Wn/view?usp=drivesdk</v>
      </c>
    </row>
    <row r="3426">
      <c r="A3426" s="15">
        <f>IFERROR(__xludf.DUMMYFUNCTION("""COMPUTED_VALUE"""),45100.0)</f>
        <v>45100</v>
      </c>
      <c r="B3426" s="16" t="str">
        <f>IFERROR(__xludf.DUMMYFUNCTION("""COMPUTED_VALUE"""),"Jeison Rubiano")</f>
        <v>Jeison Rubiano</v>
      </c>
      <c r="C3426" s="15" t="str">
        <f>IFERROR(__xludf.DUMMYFUNCTION("""COMPUTED_VALUE"""),"BOGOTÁ")</f>
        <v>BOGOTÁ</v>
      </c>
      <c r="D3426" s="15" t="str">
        <f>IFERROR(__xludf.DUMMYFUNCTION("""COMPUTED_VALUE"""),"MEDELLÍN")</f>
        <v>MEDELLÍN</v>
      </c>
      <c r="E3426" s="15" t="str">
        <f>IFERROR(__xludf.DUMMYFUNCTION("""COMPUTED_VALUE"""),"Baby Chef")</f>
        <v>Baby Chef</v>
      </c>
      <c r="F3426" s="17" t="str">
        <f>IFERROR(__xludf.DUMMYFUNCTION("""COMPUTED_VALUE"""),"Calle 63d bis 28a 52 T1 A508 Conjunto Salamanca - Benjamin Herrera / Calle 63d bis 28a 52 T1 A508 Conjunto Salamanca - Benjamin Herrera / Calle 63d bis 28a 52 T1 A508 Conjunto Salamanca - Benjamin Herrera")</f>
        <v>Calle 63d bis 28a 52 T1 A508 Conjunto Salamanca - Benjamin Herrera / Calle 63d bis 28a 52 T1 A508 Conjunto Salamanca - Benjamin Herrera / Calle 63d bis 28a 52 T1 A508 Conjunto Salamanca - Benjamin Herrera</v>
      </c>
      <c r="G3426" s="15" t="str">
        <f>IFERROR(__xludf.DUMMYFUNCTION("""COMPUTED_VALUE"""),"Lady Vivian Pinzón")</f>
        <v>Lady Vivian Pinzón</v>
      </c>
      <c r="H3426" s="16">
        <f>IFERROR(__xludf.DUMMYFUNCTION("""COMPUTED_VALUE"""),11977.0)</f>
        <v>11977</v>
      </c>
      <c r="I3426" s="18">
        <f>IFERROR(__xludf.DUMMYFUNCTION("""COMPUTED_VALUE"""),8.0)</f>
        <v>8</v>
      </c>
      <c r="J3426" s="18">
        <f>IFERROR(__xludf.DUMMYFUNCTION("""COMPUTED_VALUE"""),16.0)</f>
        <v>16</v>
      </c>
      <c r="K3426" s="18">
        <f>IFERROR(__xludf.DUMMYFUNCTION("""COMPUTED_VALUE"""),20.0)</f>
        <v>20</v>
      </c>
      <c r="L3426" s="17">
        <f>IFERROR(__xludf.DUMMYFUNCTION("""COMPUTED_VALUE"""),3.118549719E9)</f>
        <v>3118549719</v>
      </c>
      <c r="M3426" s="17" t="str">
        <f>IFERROR(__xludf.DUMMYFUNCTION("""COMPUTED_VALUE"""),"#REF!")</f>
        <v>#REF!</v>
      </c>
      <c r="N3426" s="17"/>
      <c r="O3426" s="17"/>
      <c r="P3426" s="17" t="b">
        <f>IFERROR(__xludf.DUMMYFUNCTION("""COMPUTED_VALUE"""),FALSE)</f>
        <v>0</v>
      </c>
      <c r="Q3426" s="20" t="str">
        <f>IFERROR(__xludf.DUMMYFUNCTION("""COMPUTED_VALUE"""),"")</f>
        <v/>
      </c>
      <c r="R3426" s="21" t="str">
        <f>IFERROR(__xludf.DUMMYFUNCTION("""COMPUTED_VALUE"""),"https://drive.google.com/file/d/1Jpmasb69_fAkxRNIzAHtI3EDIAfOBUI7/view?usp=drivesdk")</f>
        <v>https://drive.google.com/file/d/1Jpmasb69_fAkxRNIzAHtI3EDIAfOBUI7/view?usp=drivesdk</v>
      </c>
    </row>
    <row r="3427">
      <c r="A3427" s="15">
        <f>IFERROR(__xludf.DUMMYFUNCTION("""COMPUTED_VALUE"""),45100.0)</f>
        <v>45100</v>
      </c>
      <c r="B3427" s="16" t="str">
        <f>IFERROR(__xludf.DUMMYFUNCTION("""COMPUTED_VALUE"""),"Jeison Rubiano")</f>
        <v>Jeison Rubiano</v>
      </c>
      <c r="C3427" s="15" t="str">
        <f>IFERROR(__xludf.DUMMYFUNCTION("""COMPUTED_VALUE"""),"BOGOTÁ")</f>
        <v>BOGOTÁ</v>
      </c>
      <c r="D3427" s="15" t="str">
        <f>IFERROR(__xludf.DUMMYFUNCTION("""COMPUTED_VALUE"""),"MEDELLÍN")</f>
        <v>MEDELLÍN</v>
      </c>
      <c r="E3427" s="15" t="str">
        <f>IFERROR(__xludf.DUMMYFUNCTION("""COMPUTED_VALUE"""),"Baby Chef")</f>
        <v>Baby Chef</v>
      </c>
      <c r="F3427" s="17" t="str">
        <f>IFERROR(__xludf.DUMMYFUNCTION("""COMPUTED_VALUE"""),"Carrera 18 # 122-98, apto 502. Edificio Cova de Iria 2. Barrio Santa Bárbara / Carrera 18 # 122-98, apto 502. Edificio Cova de Iria 2. Barrio Santa Bárbara / Carrera 18 # 122-98, apto 502. Edificio Cova de Iria 2. Barrio Santa Bárbara")</f>
        <v>Carrera 18 # 122-98, apto 502. Edificio Cova de Iria 2. Barrio Santa Bárbara / Carrera 18 # 122-98, apto 502. Edificio Cova de Iria 2. Barrio Santa Bárbara / Carrera 18 # 122-98, apto 502. Edificio Cova de Iria 2. Barrio Santa Bárbara</v>
      </c>
      <c r="G3427" s="15" t="str">
        <f>IFERROR(__xludf.DUMMYFUNCTION("""COMPUTED_VALUE"""),"Caro Niño Homez")</f>
        <v>Caro Niño Homez</v>
      </c>
      <c r="H3427" s="16">
        <f>IFERROR(__xludf.DUMMYFUNCTION("""COMPUTED_VALUE"""),11979.0)</f>
        <v>11979</v>
      </c>
      <c r="I3427" s="18">
        <f>IFERROR(__xludf.DUMMYFUNCTION("""COMPUTED_VALUE"""),8.0)</f>
        <v>8</v>
      </c>
      <c r="J3427" s="18">
        <f>IFERROR(__xludf.DUMMYFUNCTION("""COMPUTED_VALUE"""),16.0)</f>
        <v>16</v>
      </c>
      <c r="K3427" s="18">
        <f>IFERROR(__xludf.DUMMYFUNCTION("""COMPUTED_VALUE"""),20.0)</f>
        <v>20</v>
      </c>
      <c r="L3427" s="17">
        <f>IFERROR(__xludf.DUMMYFUNCTION("""COMPUTED_VALUE"""),3.106251239E9)</f>
        <v>3106251239</v>
      </c>
      <c r="M3427" s="17" t="str">
        <f>IFERROR(__xludf.DUMMYFUNCTION("""COMPUTED_VALUE"""),"#REF!")</f>
        <v>#REF!</v>
      </c>
      <c r="N3427" s="17"/>
      <c r="O3427" s="17"/>
      <c r="P3427" s="17" t="b">
        <f>IFERROR(__xludf.DUMMYFUNCTION("""COMPUTED_VALUE"""),FALSE)</f>
        <v>0</v>
      </c>
      <c r="Q3427" s="20" t="str">
        <f>IFERROR(__xludf.DUMMYFUNCTION("""COMPUTED_VALUE"""),"")</f>
        <v/>
      </c>
      <c r="R3427" s="21" t="str">
        <f>IFERROR(__xludf.DUMMYFUNCTION("""COMPUTED_VALUE"""),"https://drive.google.com/file/d/18MzHrLDpZCf_VTg7kV2k4npuxCAOiI2n/view?usp=drivesdk")</f>
        <v>https://drive.google.com/file/d/18MzHrLDpZCf_VTg7kV2k4npuxCAOiI2n/view?usp=drivesdk</v>
      </c>
    </row>
    <row r="3428">
      <c r="A3428" s="15">
        <f>IFERROR(__xludf.DUMMYFUNCTION("""COMPUTED_VALUE"""),45100.0)</f>
        <v>45100</v>
      </c>
      <c r="B3428" s="16" t="str">
        <f>IFERROR(__xludf.DUMMYFUNCTION("""COMPUTED_VALUE"""),"Jeison Rubiano")</f>
        <v>Jeison Rubiano</v>
      </c>
      <c r="C3428" s="15" t="str">
        <f>IFERROR(__xludf.DUMMYFUNCTION("""COMPUTED_VALUE"""),"BOGOTÁ")</f>
        <v>BOGOTÁ</v>
      </c>
      <c r="D3428" s="15" t="str">
        <f>IFERROR(__xludf.DUMMYFUNCTION("""COMPUTED_VALUE"""),"MEDELLÍN")</f>
        <v>MEDELLÍN</v>
      </c>
      <c r="E3428" s="15" t="str">
        <f>IFERROR(__xludf.DUMMYFUNCTION("""COMPUTED_VALUE"""),"Baby Chef")</f>
        <v>Baby Chef</v>
      </c>
      <c r="F3428" s="17" t="str">
        <f>IFERROR(__xludf.DUMMYFUNCTION("""COMPUTED_VALUE"""),"Carrera 70 F # 125 - 22  Niza Antigua / Carrera 70 F # 125 - 22  Niza Antigua / Carrera 70 F # 125 - 22  Niza Antigua")</f>
        <v>Carrera 70 F # 125 - 22  Niza Antigua / Carrera 70 F # 125 - 22  Niza Antigua / Carrera 70 F # 125 - 22  Niza Antigua</v>
      </c>
      <c r="G3428" s="15" t="str">
        <f>IFERROR(__xludf.DUMMYFUNCTION("""COMPUTED_VALUE"""),"Adriana Lucía AVISAR EN PORTERÍA QUE RECIBAN EL PAQUETE RÁPIDO PORQUE ES ALIMENTOS CONGELADOS")</f>
        <v>Adriana Lucía AVISAR EN PORTERÍA QUE RECIBAN EL PAQUETE RÁPIDO PORQUE ES ALIMENTOS CONGELADOS</v>
      </c>
      <c r="H3428" s="16">
        <f>IFERROR(__xludf.DUMMYFUNCTION("""COMPUTED_VALUE"""),11989.0)</f>
        <v>11989</v>
      </c>
      <c r="I3428" s="18">
        <f>IFERROR(__xludf.DUMMYFUNCTION("""COMPUTED_VALUE"""),8.0)</f>
        <v>8</v>
      </c>
      <c r="J3428" s="18">
        <f>IFERROR(__xludf.DUMMYFUNCTION("""COMPUTED_VALUE"""),16.0)</f>
        <v>16</v>
      </c>
      <c r="K3428" s="18">
        <f>IFERROR(__xludf.DUMMYFUNCTION("""COMPUTED_VALUE"""),20.0)</f>
        <v>20</v>
      </c>
      <c r="L3428" s="17">
        <f>IFERROR(__xludf.DUMMYFUNCTION("""COMPUTED_VALUE"""),3.0038284E9)</f>
        <v>3003828400</v>
      </c>
      <c r="M3428" s="17" t="str">
        <f>IFERROR(__xludf.DUMMYFUNCTION("""COMPUTED_VALUE"""),"#REF!")</f>
        <v>#REF!</v>
      </c>
      <c r="N3428" s="17"/>
      <c r="O3428" s="17"/>
      <c r="P3428" s="17" t="b">
        <f>IFERROR(__xludf.DUMMYFUNCTION("""COMPUTED_VALUE"""),FALSE)</f>
        <v>0</v>
      </c>
      <c r="Q3428" s="20" t="str">
        <f>IFERROR(__xludf.DUMMYFUNCTION("""COMPUTED_VALUE"""),"")</f>
        <v/>
      </c>
      <c r="R3428" s="21" t="str">
        <f>IFERROR(__xludf.DUMMYFUNCTION("""COMPUTED_VALUE"""),"https://drive.google.com/file/d/1Ms38IejRAAoOFqoxNVHns283ItFmTpQ5/view?usp=drivesdk")</f>
        <v>https://drive.google.com/file/d/1Ms38IejRAAoOFqoxNVHns283ItFmTpQ5/view?usp=drivesdk</v>
      </c>
    </row>
    <row r="3429">
      <c r="A3429" s="15">
        <f>IFERROR(__xludf.DUMMYFUNCTION("""COMPUTED_VALUE"""),45100.0)</f>
        <v>45100</v>
      </c>
      <c r="B3429" s="16" t="str">
        <f>IFERROR(__xludf.DUMMYFUNCTION("""COMPUTED_VALUE"""),"Jeison Rubiano")</f>
        <v>Jeison Rubiano</v>
      </c>
      <c r="C3429" s="15" t="str">
        <f>IFERROR(__xludf.DUMMYFUNCTION("""COMPUTED_VALUE"""),"BOGOTÁ")</f>
        <v>BOGOTÁ</v>
      </c>
      <c r="D3429" s="15" t="str">
        <f>IFERROR(__xludf.DUMMYFUNCTION("""COMPUTED_VALUE"""),"MEDELLÍN")</f>
        <v>MEDELLÍN</v>
      </c>
      <c r="E3429" s="15" t="str">
        <f>IFERROR(__xludf.DUMMYFUNCTION("""COMPUTED_VALUE"""),"Baby Chef")</f>
        <v>Baby Chef</v>
      </c>
      <c r="F3429" s="17" t="str">
        <f>IFERROR(__xludf.DUMMYFUNCTION("""COMPUTED_VALUE"""),"Cra 21 # 86-39 El polo / Cra 21 # 86-39 El polo / Cra 21 # 86-39 El polo")</f>
        <v>Cra 21 # 86-39 El polo / Cra 21 # 86-39 El polo / Cra 21 # 86-39 El polo</v>
      </c>
      <c r="G3429" s="15" t="str">
        <f>IFERROR(__xludf.DUMMYFUNCTION("""COMPUTED_VALUE"""),"Alicia Burguess")</f>
        <v>Alicia Burguess</v>
      </c>
      <c r="H3429" s="16">
        <f>IFERROR(__xludf.DUMMYFUNCTION("""COMPUTED_VALUE"""),11988.0)</f>
        <v>11988</v>
      </c>
      <c r="I3429" s="18">
        <f>IFERROR(__xludf.DUMMYFUNCTION("""COMPUTED_VALUE"""),8.0)</f>
        <v>8</v>
      </c>
      <c r="J3429" s="18">
        <f>IFERROR(__xludf.DUMMYFUNCTION("""COMPUTED_VALUE"""),16.0)</f>
        <v>16</v>
      </c>
      <c r="K3429" s="18">
        <f>IFERROR(__xludf.DUMMYFUNCTION("""COMPUTED_VALUE"""),20.0)</f>
        <v>20</v>
      </c>
      <c r="L3429" s="17">
        <f>IFERROR(__xludf.DUMMYFUNCTION("""COMPUTED_VALUE"""),3.214623157E9)</f>
        <v>3214623157</v>
      </c>
      <c r="M3429" s="17" t="str">
        <f>IFERROR(__xludf.DUMMYFUNCTION("""COMPUTED_VALUE"""),"#REF!")</f>
        <v>#REF!</v>
      </c>
      <c r="N3429" s="17"/>
      <c r="O3429" s="17"/>
      <c r="P3429" s="17" t="b">
        <f>IFERROR(__xludf.DUMMYFUNCTION("""COMPUTED_VALUE"""),FALSE)</f>
        <v>0</v>
      </c>
      <c r="Q3429" s="20" t="str">
        <f>IFERROR(__xludf.DUMMYFUNCTION("""COMPUTED_VALUE"""),"")</f>
        <v/>
      </c>
      <c r="R3429" s="21" t="str">
        <f>IFERROR(__xludf.DUMMYFUNCTION("""COMPUTED_VALUE"""),"https://drive.google.com/file/d/1EM9iACksw0c2KUWwGjPZuy5kFPBH5oen/view?usp=drivesdk")</f>
        <v>https://drive.google.com/file/d/1EM9iACksw0c2KUWwGjPZuy5kFPBH5oen/view?usp=drivesdk</v>
      </c>
    </row>
    <row r="3430">
      <c r="A3430" s="15">
        <f>IFERROR(__xludf.DUMMYFUNCTION("""COMPUTED_VALUE"""),45100.0)</f>
        <v>45100</v>
      </c>
      <c r="B3430" s="16" t="str">
        <f>IFERROR(__xludf.DUMMYFUNCTION("""COMPUTED_VALUE"""),"Jeison Rubiano")</f>
        <v>Jeison Rubiano</v>
      </c>
      <c r="C3430" s="15" t="str">
        <f>IFERROR(__xludf.DUMMYFUNCTION("""COMPUTED_VALUE"""),"BOGOTÁ")</f>
        <v>BOGOTÁ</v>
      </c>
      <c r="D3430" s="15" t="str">
        <f>IFERROR(__xludf.DUMMYFUNCTION("""COMPUTED_VALUE"""),"MEDELLÍN")</f>
        <v>MEDELLÍN</v>
      </c>
      <c r="E3430" s="15" t="str">
        <f>IFERROR(__xludf.DUMMYFUNCTION("""COMPUTED_VALUE"""),"Baby Chef")</f>
        <v>Baby Chef</v>
      </c>
      <c r="F3430" s="17" t="str">
        <f>IFERROR(__xludf.DUMMYFUNCTION("""COMPUTED_VALUE"""),"Cra 57 125b 36 casa 11 Barrio niza Cordoba / Cra 57 125b 36 casa 11 Barrio niza Cordoba / Cra 57 125b 36 casa 11 Barrio niza Cordoba")</f>
        <v>Cra 57 125b 36 casa 11 Barrio niza Cordoba / Cra 57 125b 36 casa 11 Barrio niza Cordoba / Cra 57 125b 36 casa 11 Barrio niza Cordoba</v>
      </c>
      <c r="G3430" s="15" t="str">
        <f>IFERROR(__xludf.DUMMYFUNCTION("""COMPUTED_VALUE"""),"Francisco Jose Niño Ruiz")</f>
        <v>Francisco Jose Niño Ruiz</v>
      </c>
      <c r="H3430" s="16">
        <f>IFERROR(__xludf.DUMMYFUNCTION("""COMPUTED_VALUE"""),11991.0)</f>
        <v>11991</v>
      </c>
      <c r="I3430" s="18">
        <f>IFERROR(__xludf.DUMMYFUNCTION("""COMPUTED_VALUE"""),8.0)</f>
        <v>8</v>
      </c>
      <c r="J3430" s="18">
        <f>IFERROR(__xludf.DUMMYFUNCTION("""COMPUTED_VALUE"""),16.0)</f>
        <v>16</v>
      </c>
      <c r="K3430" s="18">
        <f>IFERROR(__xludf.DUMMYFUNCTION("""COMPUTED_VALUE"""),20.0)</f>
        <v>20</v>
      </c>
      <c r="L3430" s="17">
        <f>IFERROR(__xludf.DUMMYFUNCTION("""COMPUTED_VALUE"""),3.017873187E9)</f>
        <v>3017873187</v>
      </c>
      <c r="M3430" s="17" t="str">
        <f>IFERROR(__xludf.DUMMYFUNCTION("""COMPUTED_VALUE"""),"#REF!")</f>
        <v>#REF!</v>
      </c>
      <c r="N3430" s="17"/>
      <c r="O3430" s="17"/>
      <c r="P3430" s="17" t="b">
        <f>IFERROR(__xludf.DUMMYFUNCTION("""COMPUTED_VALUE"""),FALSE)</f>
        <v>0</v>
      </c>
      <c r="Q3430" s="20" t="str">
        <f>IFERROR(__xludf.DUMMYFUNCTION("""COMPUTED_VALUE"""),"")</f>
        <v/>
      </c>
      <c r="R3430" s="21" t="str">
        <f>IFERROR(__xludf.DUMMYFUNCTION("""COMPUTED_VALUE"""),"https://drive.google.com/file/d/1XOmSh9Ohw4BWsiJ2nLHCjkWVLWxrS2Cw/view?usp=drivesdk")</f>
        <v>https://drive.google.com/file/d/1XOmSh9Ohw4BWsiJ2nLHCjkWVLWxrS2Cw/view?usp=drivesdk</v>
      </c>
    </row>
    <row r="3431">
      <c r="A3431" s="15">
        <f>IFERROR(__xludf.DUMMYFUNCTION("""COMPUTED_VALUE"""),45100.0)</f>
        <v>45100</v>
      </c>
      <c r="B3431" s="16" t="str">
        <f>IFERROR(__xludf.DUMMYFUNCTION("""COMPUTED_VALUE"""),"Jeison Rubiano")</f>
        <v>Jeison Rubiano</v>
      </c>
      <c r="C3431" s="15" t="str">
        <f>IFERROR(__xludf.DUMMYFUNCTION("""COMPUTED_VALUE"""),"BOGOTÁ")</f>
        <v>BOGOTÁ</v>
      </c>
      <c r="D3431" s="15" t="str">
        <f>IFERROR(__xludf.DUMMYFUNCTION("""COMPUTED_VALUE"""),"MEDELLÍN")</f>
        <v>MEDELLÍN</v>
      </c>
      <c r="E3431" s="15" t="str">
        <f>IFERROR(__xludf.DUMMYFUNCTION("""COMPUTED_VALUE"""),"Baby Chef")</f>
        <v>Baby Chef</v>
      </c>
      <c r="F3431" s="17" t="str">
        <f>IFERROR(__xludf.DUMMYFUNCTION("""COMPUTED_VALUE"""),"transversal 56 #104b-05 apto 503 Edificio el marques CLub House Puente largo / transversal 56 #104b-05 apto 503 Edificio el marques CLub House Puente largo / transversal 56 #104b-05 apto 503 Edificio el marques CLub House Puente largo")</f>
        <v>transversal 56 #104b-05 apto 503 Edificio el marques CLub House Puente largo / transversal 56 #104b-05 apto 503 Edificio el marques CLub House Puente largo / transversal 56 #104b-05 apto 503 Edificio el marques CLub House Puente largo</v>
      </c>
      <c r="G3431" s="15" t="str">
        <f>IFERROR(__xludf.DUMMYFUNCTION("""COMPUTED_VALUE"""),"Julian Sanchez")</f>
        <v>Julian Sanchez</v>
      </c>
      <c r="H3431" s="16">
        <f>IFERROR(__xludf.DUMMYFUNCTION("""COMPUTED_VALUE"""),11981.0)</f>
        <v>11981</v>
      </c>
      <c r="I3431" s="18">
        <f>IFERROR(__xludf.DUMMYFUNCTION("""COMPUTED_VALUE"""),8.0)</f>
        <v>8</v>
      </c>
      <c r="J3431" s="18">
        <f>IFERROR(__xludf.DUMMYFUNCTION("""COMPUTED_VALUE"""),16.0)</f>
        <v>16</v>
      </c>
      <c r="K3431" s="18">
        <f>IFERROR(__xludf.DUMMYFUNCTION("""COMPUTED_VALUE"""),20.0)</f>
        <v>20</v>
      </c>
      <c r="L3431" s="17">
        <f>IFERROR(__xludf.DUMMYFUNCTION("""COMPUTED_VALUE"""),3.153094127E9)</f>
        <v>3153094127</v>
      </c>
      <c r="M3431" s="17" t="str">
        <f>IFERROR(__xludf.DUMMYFUNCTION("""COMPUTED_VALUE"""),"#REF!")</f>
        <v>#REF!</v>
      </c>
      <c r="N3431" s="17"/>
      <c r="O3431" s="17"/>
      <c r="P3431" s="17" t="b">
        <f>IFERROR(__xludf.DUMMYFUNCTION("""COMPUTED_VALUE"""),FALSE)</f>
        <v>0</v>
      </c>
      <c r="Q3431" s="20" t="str">
        <f>IFERROR(__xludf.DUMMYFUNCTION("""COMPUTED_VALUE"""),"")</f>
        <v/>
      </c>
      <c r="R3431" s="21" t="str">
        <f>IFERROR(__xludf.DUMMYFUNCTION("""COMPUTED_VALUE"""),"https://drive.google.com/file/d/1XPifk_aXVeuss81_BtUZ5gLgDhuh2ut0/view?usp=drivesdk")</f>
        <v>https://drive.google.com/file/d/1XPifk_aXVeuss81_BtUZ5gLgDhuh2ut0/view?usp=drivesdk</v>
      </c>
    </row>
    <row r="3432">
      <c r="A3432" s="15">
        <f>IFERROR(__xludf.DUMMYFUNCTION("""COMPUTED_VALUE"""),45100.0)</f>
        <v>45100</v>
      </c>
      <c r="B3432" s="16" t="str">
        <f>IFERROR(__xludf.DUMMYFUNCTION("""COMPUTED_VALUE"""),"Jeison Rubiano")</f>
        <v>Jeison Rubiano</v>
      </c>
      <c r="C3432" s="15" t="str">
        <f>IFERROR(__xludf.DUMMYFUNCTION("""COMPUTED_VALUE"""),"BOGOTÁ")</f>
        <v>BOGOTÁ</v>
      </c>
      <c r="D3432" s="15" t="str">
        <f>IFERROR(__xludf.DUMMYFUNCTION("""COMPUTED_VALUE"""),"MEDELLÍN")</f>
        <v>MEDELLÍN</v>
      </c>
      <c r="E3432" s="15" t="str">
        <f>IFERROR(__xludf.DUMMYFUNCTION("""COMPUTED_VALUE"""),"Baby Chef")</f>
        <v>Baby Chef</v>
      </c>
      <c r="F3432" s="17" t="str">
        <f>IFERROR(__xludf.DUMMYFUNCTION("""COMPUTED_VALUE"""),"Tv. 19A #94a-19, Apto: 809, Edificio Akai95 Barrio: Chico Norte / Tv. 19A #94a-19, Apto: 809, Edificio Akai95 Barrio: Chico Norte / Tv. 19A #94a-19, Apto: 809, Edificio Akai95 Barrio: Chico Norte")</f>
        <v>Tv. 19A #94a-19, Apto: 809, Edificio Akai95 Barrio: Chico Norte / Tv. 19A #94a-19, Apto: 809, Edificio Akai95 Barrio: Chico Norte / Tv. 19A #94a-19, Apto: 809, Edificio Akai95 Barrio: Chico Norte</v>
      </c>
      <c r="G3432" s="15" t="str">
        <f>IFERROR(__xludf.DUMMYFUNCTION("""COMPUTED_VALUE"""),"Lina Arguello")</f>
        <v>Lina Arguello</v>
      </c>
      <c r="H3432" s="16">
        <f>IFERROR(__xludf.DUMMYFUNCTION("""COMPUTED_VALUE"""),11990.0)</f>
        <v>11990</v>
      </c>
      <c r="I3432" s="18">
        <f>IFERROR(__xludf.DUMMYFUNCTION("""COMPUTED_VALUE"""),8.0)</f>
        <v>8</v>
      </c>
      <c r="J3432" s="18">
        <f>IFERROR(__xludf.DUMMYFUNCTION("""COMPUTED_VALUE"""),16.0)</f>
        <v>16</v>
      </c>
      <c r="K3432" s="18">
        <f>IFERROR(__xludf.DUMMYFUNCTION("""COMPUTED_VALUE"""),20.0)</f>
        <v>20</v>
      </c>
      <c r="L3432" s="17">
        <f>IFERROR(__xludf.DUMMYFUNCTION("""COMPUTED_VALUE"""),3.002129615E9)</f>
        <v>3002129615</v>
      </c>
      <c r="M3432" s="17" t="str">
        <f>IFERROR(__xludf.DUMMYFUNCTION("""COMPUTED_VALUE"""),"#REF!")</f>
        <v>#REF!</v>
      </c>
      <c r="N3432" s="17"/>
      <c r="O3432" s="17"/>
      <c r="P3432" s="17" t="b">
        <f>IFERROR(__xludf.DUMMYFUNCTION("""COMPUTED_VALUE"""),FALSE)</f>
        <v>0</v>
      </c>
      <c r="Q3432" s="20" t="str">
        <f>IFERROR(__xludf.DUMMYFUNCTION("""COMPUTED_VALUE"""),"")</f>
        <v/>
      </c>
      <c r="R3432" s="21" t="str">
        <f>IFERROR(__xludf.DUMMYFUNCTION("""COMPUTED_VALUE"""),"https://drive.google.com/file/d/13HDekgwedAsMy2vAQ-WsBiGgwk0SeQ8f/view?usp=drivesdk")</f>
        <v>https://drive.google.com/file/d/13HDekgwedAsMy2vAQ-WsBiGgwk0SeQ8f/view?usp=drivesdk</v>
      </c>
    </row>
    <row r="3433">
      <c r="A3433" s="15">
        <f>IFERROR(__xludf.DUMMYFUNCTION("""COMPUTED_VALUE"""),45100.0)</f>
        <v>45100</v>
      </c>
      <c r="B3433" s="16" t="str">
        <f>IFERROR(__xludf.DUMMYFUNCTION("""COMPUTED_VALUE"""),"Jeison Rubiano")</f>
        <v>Jeison Rubiano</v>
      </c>
      <c r="C3433" s="15" t="str">
        <f>IFERROR(__xludf.DUMMYFUNCTION("""COMPUTED_VALUE"""),"BOGOTÁ")</f>
        <v>BOGOTÁ</v>
      </c>
      <c r="D3433" s="15" t="str">
        <f>IFERROR(__xludf.DUMMYFUNCTION("""COMPUTED_VALUE"""),"MEDELLÍN")</f>
        <v>MEDELLÍN</v>
      </c>
      <c r="E3433" s="15" t="str">
        <f>IFERROR(__xludf.DUMMYFUNCTION("""COMPUTED_VALUE"""),"Masar Cocina")</f>
        <v>Masar Cocina</v>
      </c>
      <c r="F3433" s="17" t="str">
        <f>IFERROR(__xludf.DUMMYFUNCTION("""COMPUTED_VALUE"""),"Carrera 48 n127-51 / Interior 7 apt 526 / Atabanza bogota cundinamarca")</f>
        <v>Carrera 48 n127-51 / Interior 7 apt 526 / Atabanza bogota cundinamarca</v>
      </c>
      <c r="G3433" s="15" t="str">
        <f>IFERROR(__xludf.DUMMYFUNCTION("""COMPUTED_VALUE"""),"Maria alejandra ferrin ayala")</f>
        <v>Maria alejandra ferrin ayala</v>
      </c>
      <c r="H3433" s="16">
        <f>IFERROR(__xludf.DUMMYFUNCTION("""COMPUTED_VALUE"""),11953.0)</f>
        <v>11953</v>
      </c>
      <c r="I3433" s="18">
        <f>IFERROR(__xludf.DUMMYFUNCTION("""COMPUTED_VALUE"""),13.0)</f>
        <v>13</v>
      </c>
      <c r="J3433" s="18">
        <f>IFERROR(__xludf.DUMMYFUNCTION("""COMPUTED_VALUE"""),10.0)</f>
        <v>10</v>
      </c>
      <c r="K3433" s="18">
        <f>IFERROR(__xludf.DUMMYFUNCTION("""COMPUTED_VALUE"""),10.0)</f>
        <v>10</v>
      </c>
      <c r="L3433" s="17">
        <f>IFERROR(__xludf.DUMMYFUNCTION("""COMPUTED_VALUE"""),3.123795675E9)</f>
        <v>3123795675</v>
      </c>
      <c r="M3433" s="17" t="str">
        <f>IFERROR(__xludf.DUMMYFUNCTION("""COMPUTED_VALUE"""),"#REF!")</f>
        <v>#REF!</v>
      </c>
      <c r="N3433" s="17"/>
      <c r="O3433" s="17"/>
      <c r="P3433" s="17" t="b">
        <f>IFERROR(__xludf.DUMMYFUNCTION("""COMPUTED_VALUE"""),FALSE)</f>
        <v>0</v>
      </c>
      <c r="Q3433" s="20" t="str">
        <f>IFERROR(__xludf.DUMMYFUNCTION("""COMPUTED_VALUE"""),"")</f>
        <v/>
      </c>
      <c r="R3433" s="21" t="str">
        <f>IFERROR(__xludf.DUMMYFUNCTION("""COMPUTED_VALUE"""),"https://drive.google.com/file/d/1Rpdcny1vn8MpiqoYT8T3Rg-reb0oEok3/view?usp=drivesdk")</f>
        <v>https://drive.google.com/file/d/1Rpdcny1vn8MpiqoYT8T3Rg-reb0oEok3/view?usp=drivesdk</v>
      </c>
    </row>
    <row r="3434">
      <c r="A3434" s="15">
        <f>IFERROR(__xludf.DUMMYFUNCTION("""COMPUTED_VALUE"""),45100.0)</f>
        <v>45100</v>
      </c>
      <c r="B3434" s="16" t="str">
        <f>IFERROR(__xludf.DUMMYFUNCTION("""COMPUTED_VALUE"""),"Jeison Rubiano")</f>
        <v>Jeison Rubiano</v>
      </c>
      <c r="C3434" s="15" t="str">
        <f>IFERROR(__xludf.DUMMYFUNCTION("""COMPUTED_VALUE"""),"BOGOTÁ")</f>
        <v>BOGOTÁ</v>
      </c>
      <c r="D3434" s="15" t="str">
        <f>IFERROR(__xludf.DUMMYFUNCTION("""COMPUTED_VALUE"""),"MEDELLÍN")</f>
        <v>MEDELLÍN</v>
      </c>
      <c r="E3434" s="15" t="str">
        <f>IFERROR(__xludf.DUMMYFUNCTION("""COMPUTED_VALUE"""),"Masar Cocina")</f>
        <v>Masar Cocina</v>
      </c>
      <c r="F3434" s="17" t="str">
        <f>IFERROR(__xludf.DUMMYFUNCTION("""COMPUTED_VALUE"""),"Edificio plura / Apt 705 / Barrios unidos bogota")</f>
        <v>Edificio plura / Apt 705 / Barrios unidos bogota</v>
      </c>
      <c r="G3434" s="15" t="str">
        <f>IFERROR(__xludf.DUMMYFUNCTION("""COMPUTED_VALUE"""),"Natalia mondragon oliveros")</f>
        <v>Natalia mondragon oliveros</v>
      </c>
      <c r="H3434" s="16">
        <f>IFERROR(__xludf.DUMMYFUNCTION("""COMPUTED_VALUE"""),11952.0)</f>
        <v>11952</v>
      </c>
      <c r="I3434" s="18">
        <f>IFERROR(__xludf.DUMMYFUNCTION("""COMPUTED_VALUE"""),13.0)</f>
        <v>13</v>
      </c>
      <c r="J3434" s="18">
        <f>IFERROR(__xludf.DUMMYFUNCTION("""COMPUTED_VALUE"""),10.0)</f>
        <v>10</v>
      </c>
      <c r="K3434" s="18">
        <f>IFERROR(__xludf.DUMMYFUNCTION("""COMPUTED_VALUE"""),10.0)</f>
        <v>10</v>
      </c>
      <c r="L3434" s="17">
        <f>IFERROR(__xludf.DUMMYFUNCTION("""COMPUTED_VALUE"""),3.124437045E9)</f>
        <v>3124437045</v>
      </c>
      <c r="M3434" s="17" t="str">
        <f>IFERROR(__xludf.DUMMYFUNCTION("""COMPUTED_VALUE"""),"#REF!")</f>
        <v>#REF!</v>
      </c>
      <c r="N3434" s="17"/>
      <c r="O3434" s="17"/>
      <c r="P3434" s="17" t="b">
        <f>IFERROR(__xludf.DUMMYFUNCTION("""COMPUTED_VALUE"""),FALSE)</f>
        <v>0</v>
      </c>
      <c r="Q3434" s="20" t="str">
        <f>IFERROR(__xludf.DUMMYFUNCTION("""COMPUTED_VALUE"""),"")</f>
        <v/>
      </c>
      <c r="R3434" s="21" t="str">
        <f>IFERROR(__xludf.DUMMYFUNCTION("""COMPUTED_VALUE"""),"https://drive.google.com/file/d/1lEUVE1870vggBmcdMLU2WPsv3oJ8TDxj/view?usp=drivesdk")</f>
        <v>https://drive.google.com/file/d/1lEUVE1870vggBmcdMLU2WPsv3oJ8TDxj/view?usp=drivesdk</v>
      </c>
    </row>
    <row r="3435">
      <c r="A3435" s="15">
        <f>IFERROR(__xludf.DUMMYFUNCTION("""COMPUTED_VALUE"""),45100.0)</f>
        <v>45100</v>
      </c>
      <c r="B3435" s="16" t="str">
        <f>IFERROR(__xludf.DUMMYFUNCTION("""COMPUTED_VALUE"""),"Jeison Rubiano")</f>
        <v>Jeison Rubiano</v>
      </c>
      <c r="C3435" s="15" t="str">
        <f>IFERROR(__xludf.DUMMYFUNCTION("""COMPUTED_VALUE"""),"BOGOTÁ")</f>
        <v>BOGOTÁ</v>
      </c>
      <c r="D3435" s="15" t="str">
        <f>IFERROR(__xludf.DUMMYFUNCTION("""COMPUTED_VALUE"""),"MEDELLÍN")</f>
        <v>MEDELLÍN</v>
      </c>
      <c r="E3435" s="15" t="str">
        <f>IFERROR(__xludf.DUMMYFUNCTION("""COMPUTED_VALUE"""),"Moloso S.A.S")</f>
        <v>Moloso S.A.S</v>
      </c>
      <c r="F3435" s="17" t="str">
        <f>IFERROR(__xludf.DUMMYFUNCTION("""COMPUTED_VALUE"""),"CLL 118 16 32 / APT 502")</f>
        <v>CLL 118 16 32 / APT 502</v>
      </c>
      <c r="G3435" s="15" t="str">
        <f>IFERROR(__xludf.DUMMYFUNCTION("""COMPUTED_VALUE"""),"ANGELICA MANCILLA")</f>
        <v>ANGELICA MANCILLA</v>
      </c>
      <c r="H3435" s="16">
        <f>IFERROR(__xludf.DUMMYFUNCTION("""COMPUTED_VALUE"""),11986.0)</f>
        <v>11986</v>
      </c>
      <c r="I3435" s="18">
        <f>IFERROR(__xludf.DUMMYFUNCTION("""COMPUTED_VALUE"""),17.0)</f>
        <v>17</v>
      </c>
      <c r="J3435" s="18">
        <f>IFERROR(__xludf.DUMMYFUNCTION("""COMPUTED_VALUE"""),15.0)</f>
        <v>15</v>
      </c>
      <c r="K3435" s="18">
        <f>IFERROR(__xludf.DUMMYFUNCTION("""COMPUTED_VALUE"""),28.0)</f>
        <v>28</v>
      </c>
      <c r="L3435" s="17">
        <f>IFERROR(__xludf.DUMMYFUNCTION("""COMPUTED_VALUE"""),3.174401028E9)</f>
        <v>3174401028</v>
      </c>
      <c r="M3435" s="17" t="str">
        <f>IFERROR(__xludf.DUMMYFUNCTION("""COMPUTED_VALUE"""),"#REF!")</f>
        <v>#REF!</v>
      </c>
      <c r="N3435" s="17"/>
      <c r="O3435" s="17"/>
      <c r="P3435" s="17" t="b">
        <f>IFERROR(__xludf.DUMMYFUNCTION("""COMPUTED_VALUE"""),FALSE)</f>
        <v>0</v>
      </c>
      <c r="Q3435" s="20" t="str">
        <f>IFERROR(__xludf.DUMMYFUNCTION("""COMPUTED_VALUE"""),"")</f>
        <v/>
      </c>
      <c r="R3435" s="22" t="str">
        <f>IFERROR(__xludf.DUMMYFUNCTION("""COMPUTED_VALUE"""),"")</f>
        <v/>
      </c>
    </row>
    <row r="3436">
      <c r="A3436" s="15">
        <f>IFERROR(__xludf.DUMMYFUNCTION("""COMPUTED_VALUE"""),45100.0)</f>
        <v>45100</v>
      </c>
      <c r="B3436" s="16" t="str">
        <f>IFERROR(__xludf.DUMMYFUNCTION("""COMPUTED_VALUE"""),"Jeison Rubiano")</f>
        <v>Jeison Rubiano</v>
      </c>
      <c r="C3436" s="15" t="str">
        <f>IFERROR(__xludf.DUMMYFUNCTION("""COMPUTED_VALUE"""),"BOGOTÁ")</f>
        <v>BOGOTÁ</v>
      </c>
      <c r="D3436" s="15" t="str">
        <f>IFERROR(__xludf.DUMMYFUNCTION("""COMPUTED_VALUE"""),"MEDELLÍN")</f>
        <v>MEDELLÍN</v>
      </c>
      <c r="E3436" s="15" t="str">
        <f>IFERROR(__xludf.DUMMYFUNCTION("""COMPUTED_VALUE"""),"Moloso S.A.S")</f>
        <v>Moloso S.A.S</v>
      </c>
      <c r="F3436" s="17" t="str">
        <f>IFERROR(__xludf.DUMMYFUNCTION("""COMPUTED_VALUE"""),"CR 23 106 B 64 / EDF MYSTIQUE 106")</f>
        <v>CR 23 106 B 64 / EDF MYSTIQUE 106</v>
      </c>
      <c r="G3436" s="15" t="str">
        <f>IFERROR(__xludf.DUMMYFUNCTION("""COMPUTED_VALUE"""),"MARIANA OSPINA")</f>
        <v>MARIANA OSPINA</v>
      </c>
      <c r="H3436" s="16">
        <f>IFERROR(__xludf.DUMMYFUNCTION("""COMPUTED_VALUE"""),11984.0)</f>
        <v>11984</v>
      </c>
      <c r="I3436" s="18">
        <f>IFERROR(__xludf.DUMMYFUNCTION("""COMPUTED_VALUE"""),17.0)</f>
        <v>17</v>
      </c>
      <c r="J3436" s="18">
        <f>IFERROR(__xludf.DUMMYFUNCTION("""COMPUTED_VALUE"""),15.0)</f>
        <v>15</v>
      </c>
      <c r="K3436" s="18">
        <f>IFERROR(__xludf.DUMMYFUNCTION("""COMPUTED_VALUE"""),28.0)</f>
        <v>28</v>
      </c>
      <c r="L3436" s="17">
        <f>IFERROR(__xludf.DUMMYFUNCTION("""COMPUTED_VALUE"""),3.017656611E9)</f>
        <v>3017656611</v>
      </c>
      <c r="M3436" s="17" t="str">
        <f>IFERROR(__xludf.DUMMYFUNCTION("""COMPUTED_VALUE"""),"#REF!")</f>
        <v>#REF!</v>
      </c>
      <c r="N3436" s="17"/>
      <c r="O3436" s="17"/>
      <c r="P3436" s="17" t="b">
        <f>IFERROR(__xludf.DUMMYFUNCTION("""COMPUTED_VALUE"""),FALSE)</f>
        <v>0</v>
      </c>
      <c r="Q3436" s="20" t="str">
        <f>IFERROR(__xludf.DUMMYFUNCTION("""COMPUTED_VALUE"""),"")</f>
        <v/>
      </c>
      <c r="R3436" s="21" t="str">
        <f>IFERROR(__xludf.DUMMYFUNCTION("""COMPUTED_VALUE"""),"https://drive.google.com/file/d/1ezTohhte0fQk-H_dmoD3WCN3p1vSAVAg/view?usp=drivesdk")</f>
        <v>https://drive.google.com/file/d/1ezTohhte0fQk-H_dmoD3WCN3p1vSAVAg/view?usp=drivesdk</v>
      </c>
    </row>
    <row r="3437">
      <c r="A3437" s="15">
        <f>IFERROR(__xludf.DUMMYFUNCTION("""COMPUTED_VALUE"""),45100.0)</f>
        <v>45100</v>
      </c>
      <c r="B3437" s="16" t="str">
        <f>IFERROR(__xludf.DUMMYFUNCTION("""COMPUTED_VALUE"""),"Jeison Rubiano")</f>
        <v>Jeison Rubiano</v>
      </c>
      <c r="C3437" s="15" t="str">
        <f>IFERROR(__xludf.DUMMYFUNCTION("""COMPUTED_VALUE"""),"BOGOTÁ")</f>
        <v>BOGOTÁ</v>
      </c>
      <c r="D3437" s="15" t="str">
        <f>IFERROR(__xludf.DUMMYFUNCTION("""COMPUTED_VALUE"""),"MEDELLÍN")</f>
        <v>MEDELLÍN</v>
      </c>
      <c r="E3437" s="15" t="str">
        <f>IFERROR(__xludf.DUMMYFUNCTION("""COMPUTED_VALUE"""),"Moloso S.A.S")</f>
        <v>Moloso S.A.S</v>
      </c>
      <c r="F3437" s="17" t="str">
        <f>IFERROR(__xludf.DUMMYFUNCTION("""COMPUTED_VALUE"""),"CR 65 103 62 / CONJ PORTOBELO 2 AP 505")</f>
        <v>CR 65 103 62 / CONJ PORTOBELO 2 AP 505</v>
      </c>
      <c r="G3437" s="15" t="str">
        <f>IFERROR(__xludf.DUMMYFUNCTION("""COMPUTED_VALUE"""),"CLAUDIA LILIANA SANCHEZ FINO")</f>
        <v>CLAUDIA LILIANA SANCHEZ FINO</v>
      </c>
      <c r="H3437" s="16">
        <f>IFERROR(__xludf.DUMMYFUNCTION("""COMPUTED_VALUE"""),11982.0)</f>
        <v>11982</v>
      </c>
      <c r="I3437" s="18">
        <f>IFERROR(__xludf.DUMMYFUNCTION("""COMPUTED_VALUE"""),17.0)</f>
        <v>17</v>
      </c>
      <c r="J3437" s="18">
        <f>IFERROR(__xludf.DUMMYFUNCTION("""COMPUTED_VALUE"""),15.0)</f>
        <v>15</v>
      </c>
      <c r="K3437" s="18">
        <f>IFERROR(__xludf.DUMMYFUNCTION("""COMPUTED_VALUE"""),28.0)</f>
        <v>28</v>
      </c>
      <c r="L3437" s="17" t="str">
        <f>IFERROR(__xludf.DUMMYFUNCTION("""COMPUTED_VALUE"""),"313 2626232")</f>
        <v>313 2626232</v>
      </c>
      <c r="M3437" s="17" t="str">
        <f>IFERROR(__xludf.DUMMYFUNCTION("""COMPUTED_VALUE"""),"#REF!")</f>
        <v>#REF!</v>
      </c>
      <c r="N3437" s="17"/>
      <c r="O3437" s="17"/>
      <c r="P3437" s="17" t="b">
        <f>IFERROR(__xludf.DUMMYFUNCTION("""COMPUTED_VALUE"""),FALSE)</f>
        <v>0</v>
      </c>
      <c r="Q3437" s="20" t="str">
        <f>IFERROR(__xludf.DUMMYFUNCTION("""COMPUTED_VALUE"""),"")</f>
        <v/>
      </c>
      <c r="R3437" s="21" t="str">
        <f>IFERROR(__xludf.DUMMYFUNCTION("""COMPUTED_VALUE"""),"https://drive.google.com/file/d/1eEbLDyT1DivJlwe1-KiYJfkgQSdETg9e/view?usp=drivesdk")</f>
        <v>https://drive.google.com/file/d/1eEbLDyT1DivJlwe1-KiYJfkgQSdETg9e/view?usp=drivesdk</v>
      </c>
    </row>
    <row r="3438">
      <c r="A3438" s="15">
        <f>IFERROR(__xludf.DUMMYFUNCTION("""COMPUTED_VALUE"""),45100.0)</f>
        <v>45100</v>
      </c>
      <c r="B3438" s="16" t="str">
        <f>IFERROR(__xludf.DUMMYFUNCTION("""COMPUTED_VALUE"""),"Jeison Rubiano")</f>
        <v>Jeison Rubiano</v>
      </c>
      <c r="C3438" s="15" t="str">
        <f>IFERROR(__xludf.DUMMYFUNCTION("""COMPUTED_VALUE"""),"BOGOTÁ")</f>
        <v>BOGOTÁ</v>
      </c>
      <c r="D3438" s="15" t="str">
        <f>IFERROR(__xludf.DUMMYFUNCTION("""COMPUTED_VALUE"""),"MEDELLÍN")</f>
        <v>MEDELLÍN</v>
      </c>
      <c r="E3438" s="15" t="str">
        <f>IFERROR(__xludf.DUMMYFUNCTION("""COMPUTED_VALUE"""),"Moloso S.A.S")</f>
        <v>Moloso S.A.S</v>
      </c>
      <c r="F3438" s="17" t="str">
        <f>IFERROR(__xludf.DUMMYFUNCTION("""COMPUTED_VALUE"""),"CRA 55 149 09 / CONJUNTO MONTECARLO 3 CASA 16")</f>
        <v>CRA 55 149 09 / CONJUNTO MONTECARLO 3 CASA 16</v>
      </c>
      <c r="G3438" s="15" t="str">
        <f>IFERROR(__xludf.DUMMYFUNCTION("""COMPUTED_VALUE"""),"CLAUDIA ADRIANA GARCIA FINO")</f>
        <v>CLAUDIA ADRIANA GARCIA FINO</v>
      </c>
      <c r="H3438" s="16">
        <f>IFERROR(__xludf.DUMMYFUNCTION("""COMPUTED_VALUE"""),11983.0)</f>
        <v>11983</v>
      </c>
      <c r="I3438" s="18">
        <f>IFERROR(__xludf.DUMMYFUNCTION("""COMPUTED_VALUE"""),17.0)</f>
        <v>17</v>
      </c>
      <c r="J3438" s="18">
        <f>IFERROR(__xludf.DUMMYFUNCTION("""COMPUTED_VALUE"""),15.0)</f>
        <v>15</v>
      </c>
      <c r="K3438" s="18">
        <f>IFERROR(__xludf.DUMMYFUNCTION("""COMPUTED_VALUE"""),28.0)</f>
        <v>28</v>
      </c>
      <c r="L3438" s="17" t="str">
        <f>IFERROR(__xludf.DUMMYFUNCTION("""COMPUTED_VALUE"""),"313 2628813")</f>
        <v>313 2628813</v>
      </c>
      <c r="M3438" s="17" t="str">
        <f>IFERROR(__xludf.DUMMYFUNCTION("""COMPUTED_VALUE"""),"#REF!")</f>
        <v>#REF!</v>
      </c>
      <c r="N3438" s="17"/>
      <c r="O3438" s="17"/>
      <c r="P3438" s="17" t="b">
        <f>IFERROR(__xludf.DUMMYFUNCTION("""COMPUTED_VALUE"""),TRUE)</f>
        <v>1</v>
      </c>
      <c r="Q3438" s="20">
        <f>IFERROR(__xludf.DUMMYFUNCTION("""COMPUTED_VALUE"""),45103.46323527778)</f>
        <v>45103.46324</v>
      </c>
      <c r="R3438" s="21" t="str">
        <f>IFERROR(__xludf.DUMMYFUNCTION("""COMPUTED_VALUE"""),"https://drive.google.com/file/d/1mLGcx0BaI938DSia4emLsabgkxcS_2-W/view?usp=drivesdk")</f>
        <v>https://drive.google.com/file/d/1mLGcx0BaI938DSia4emLsabgkxcS_2-W/view?usp=drivesdk</v>
      </c>
    </row>
    <row r="3439">
      <c r="A3439" s="15">
        <f>IFERROR(__xludf.DUMMYFUNCTION("""COMPUTED_VALUE"""),45100.0)</f>
        <v>45100</v>
      </c>
      <c r="B3439" s="16" t="str">
        <f>IFERROR(__xludf.DUMMYFUNCTION("""COMPUTED_VALUE"""),"Jeison Rubiano")</f>
        <v>Jeison Rubiano</v>
      </c>
      <c r="C3439" s="15" t="str">
        <f>IFERROR(__xludf.DUMMYFUNCTION("""COMPUTED_VALUE"""),"BOGOTÁ")</f>
        <v>BOGOTÁ</v>
      </c>
      <c r="D3439" s="15" t="str">
        <f>IFERROR(__xludf.DUMMYFUNCTION("""COMPUTED_VALUE"""),"MEDELLÍN")</f>
        <v>MEDELLÍN</v>
      </c>
      <c r="E3439" s="15" t="str">
        <f>IFERROR(__xludf.DUMMYFUNCTION("""COMPUTED_VALUE"""),"Puro Verde")</f>
        <v>Puro Verde</v>
      </c>
      <c r="F3439" s="17" t="str">
        <f>IFERROR(__xludf.DUMMYFUNCTION("""COMPUTED_VALUE"""),"AV CRA 15 # 90-20.  / LOCAL 109 / BARRIO CHICO")</f>
        <v>AV CRA 15 # 90-20.  / LOCAL 109 / BARRIO CHICO</v>
      </c>
      <c r="G3439" s="15" t="str">
        <f>IFERROR(__xludf.DUMMYFUNCTION("""COMPUTED_VALUE"""),"DANDO CUERDA")</f>
        <v>DANDO CUERDA</v>
      </c>
      <c r="H3439" s="16">
        <f>IFERROR(__xludf.DUMMYFUNCTION("""COMPUTED_VALUE"""),11963.0)</f>
        <v>11963</v>
      </c>
      <c r="I3439" s="18">
        <f>IFERROR(__xludf.DUMMYFUNCTION("""COMPUTED_VALUE"""),67.0)</f>
        <v>67</v>
      </c>
      <c r="J3439" s="18">
        <f>IFERROR(__xludf.DUMMYFUNCTION("""COMPUTED_VALUE"""),65.0)</f>
        <v>65</v>
      </c>
      <c r="K3439" s="18">
        <f>IFERROR(__xludf.DUMMYFUNCTION("""COMPUTED_VALUE"""),55.0)</f>
        <v>55</v>
      </c>
      <c r="L3439" s="17">
        <f>IFERROR(__xludf.DUMMYFUNCTION("""COMPUTED_VALUE"""),3.163816691E9)</f>
        <v>3163816691</v>
      </c>
      <c r="M3439" s="17" t="str">
        <f>IFERROR(__xludf.DUMMYFUNCTION("""COMPUTED_VALUE"""),"#REF!")</f>
        <v>#REF!</v>
      </c>
      <c r="N3439" s="17"/>
      <c r="O3439" s="17"/>
      <c r="P3439" s="17" t="b">
        <f>IFERROR(__xludf.DUMMYFUNCTION("""COMPUTED_VALUE"""),TRUE)</f>
        <v>1</v>
      </c>
      <c r="Q3439" s="20">
        <f>IFERROR(__xludf.DUMMYFUNCTION("""COMPUTED_VALUE"""),45100.68239956019)</f>
        <v>45100.6824</v>
      </c>
      <c r="R3439" s="21" t="str">
        <f>IFERROR(__xludf.DUMMYFUNCTION("""COMPUTED_VALUE"""),"https://drive.google.com/file/d/1aVuo-YTtKGZqS9dzkbzdyXICdwJbG5u5/view?usp=drivesdk")</f>
        <v>https://drive.google.com/file/d/1aVuo-YTtKGZqS9dzkbzdyXICdwJbG5u5/view?usp=drivesdk</v>
      </c>
    </row>
    <row r="3440">
      <c r="A3440" s="15">
        <f>IFERROR(__xludf.DUMMYFUNCTION("""COMPUTED_VALUE"""),45100.0)</f>
        <v>45100</v>
      </c>
      <c r="B3440" s="16" t="str">
        <f>IFERROR(__xludf.DUMMYFUNCTION("""COMPUTED_VALUE"""),"Jeison Rubiano")</f>
        <v>Jeison Rubiano</v>
      </c>
      <c r="C3440" s="15" t="str">
        <f>IFERROR(__xludf.DUMMYFUNCTION("""COMPUTED_VALUE"""),"BOGOTÁ")</f>
        <v>BOGOTÁ</v>
      </c>
      <c r="D3440" s="15" t="str">
        <f>IFERROR(__xludf.DUMMYFUNCTION("""COMPUTED_VALUE"""),"MEDELLÍN")</f>
        <v>MEDELLÍN</v>
      </c>
      <c r="E3440" s="15" t="str">
        <f>IFERROR(__xludf.DUMMYFUNCTION("""COMPUTED_VALUE"""),"Rambla")</f>
        <v>Rambla</v>
      </c>
      <c r="F3440" s="17" t="str">
        <f>IFERROR(__xludf.DUMMYFUNCTION("""COMPUTED_VALUE"""),"Calle 136 A # 73 A 69 / NA / NA")</f>
        <v>Calle 136 A # 73 A 69 / NA / NA</v>
      </c>
      <c r="G3440" s="15" t="str">
        <f>IFERROR(__xludf.DUMMYFUNCTION("""COMPUTED_VALUE"""),"Margehrita Omarini")</f>
        <v>Margehrita Omarini</v>
      </c>
      <c r="H3440" s="16">
        <f>IFERROR(__xludf.DUMMYFUNCTION("""COMPUTED_VALUE"""),12001.0)</f>
        <v>12001</v>
      </c>
      <c r="I3440" s="18">
        <f>IFERROR(__xludf.DUMMYFUNCTION("""COMPUTED_VALUE"""),25.0)</f>
        <v>25</v>
      </c>
      <c r="J3440" s="18">
        <f>IFERROR(__xludf.DUMMYFUNCTION("""COMPUTED_VALUE"""),27.0)</f>
        <v>27</v>
      </c>
      <c r="K3440" s="18">
        <f>IFERROR(__xludf.DUMMYFUNCTION("""COMPUTED_VALUE"""),21.0)</f>
        <v>21</v>
      </c>
      <c r="L3440" s="17">
        <f>IFERROR(__xludf.DUMMYFUNCTION("""COMPUTED_VALUE"""),3.164684094E9)</f>
        <v>3164684094</v>
      </c>
      <c r="M3440" s="17" t="str">
        <f>IFERROR(__xludf.DUMMYFUNCTION("""COMPUTED_VALUE"""),"#REF!")</f>
        <v>#REF!</v>
      </c>
      <c r="N3440" s="17"/>
      <c r="O3440" s="17"/>
      <c r="P3440" s="17" t="b">
        <f>IFERROR(__xludf.DUMMYFUNCTION("""COMPUTED_VALUE"""),TRUE)</f>
        <v>1</v>
      </c>
      <c r="Q3440" s="20">
        <f>IFERROR(__xludf.DUMMYFUNCTION("""COMPUTED_VALUE"""),45103.46326193287)</f>
        <v>45103.46326</v>
      </c>
      <c r="R3440" s="21" t="str">
        <f>IFERROR(__xludf.DUMMYFUNCTION("""COMPUTED_VALUE"""),"https://drive.google.com/file/d/1-hljWm7QOtRzzHn9Rk2FWdBpUfAUKvuN/view?usp=drivesdk")</f>
        <v>https://drive.google.com/file/d/1-hljWm7QOtRzzHn9Rk2FWdBpUfAUKvuN/view?usp=drivesdk</v>
      </c>
    </row>
    <row r="3441">
      <c r="A3441" s="15">
        <f>IFERROR(__xludf.DUMMYFUNCTION("""COMPUTED_VALUE"""),45100.0)</f>
        <v>45100</v>
      </c>
      <c r="B3441" s="16" t="str">
        <f>IFERROR(__xludf.DUMMYFUNCTION("""COMPUTED_VALUE"""),"Jeison Rubiano")</f>
        <v>Jeison Rubiano</v>
      </c>
      <c r="C3441" s="15" t="str">
        <f>IFERROR(__xludf.DUMMYFUNCTION("""COMPUTED_VALUE"""),"BOGOTÁ")</f>
        <v>BOGOTÁ</v>
      </c>
      <c r="D3441" s="15" t="str">
        <f>IFERROR(__xludf.DUMMYFUNCTION("""COMPUTED_VALUE"""),"MEDELLÍN")</f>
        <v>MEDELLÍN</v>
      </c>
      <c r="E3441" s="15" t="str">
        <f>IFERROR(__xludf.DUMMYFUNCTION("""COMPUTED_VALUE"""),"Rambla")</f>
        <v>Rambla</v>
      </c>
      <c r="F3441" s="17" t="str">
        <f>IFERROR(__xludf.DUMMYFUNCTION("""COMPUTED_VALUE"""),"Calle 41 a número 8-25 bulevar 42 apto 707 b  / NA / NA")</f>
        <v>Calle 41 a número 8-25 bulevar 42 apto 707 b  / NA / NA</v>
      </c>
      <c r="G3441" s="15" t="str">
        <f>IFERROR(__xludf.DUMMYFUNCTION("""COMPUTED_VALUE"""),"Nutriclicstore")</f>
        <v>Nutriclicstore</v>
      </c>
      <c r="H3441" s="16">
        <f>IFERROR(__xludf.DUMMYFUNCTION("""COMPUTED_VALUE"""),12003.0)</f>
        <v>12003</v>
      </c>
      <c r="I3441" s="18">
        <f>IFERROR(__xludf.DUMMYFUNCTION("""COMPUTED_VALUE"""),27.0)</f>
        <v>27</v>
      </c>
      <c r="J3441" s="18">
        <f>IFERROR(__xludf.DUMMYFUNCTION("""COMPUTED_VALUE"""),25.0)</f>
        <v>25</v>
      </c>
      <c r="K3441" s="18">
        <f>IFERROR(__xludf.DUMMYFUNCTION("""COMPUTED_VALUE"""),21.0)</f>
        <v>21</v>
      </c>
      <c r="L3441" s="17">
        <f>IFERROR(__xludf.DUMMYFUNCTION("""COMPUTED_VALUE"""),3.102661625E9)</f>
        <v>3102661625</v>
      </c>
      <c r="M3441" s="17" t="str">
        <f>IFERROR(__xludf.DUMMYFUNCTION("""COMPUTED_VALUE"""),"#REF!")</f>
        <v>#REF!</v>
      </c>
      <c r="N3441" s="17"/>
      <c r="O3441" s="17"/>
      <c r="P3441" s="17" t="b">
        <f>IFERROR(__xludf.DUMMYFUNCTION("""COMPUTED_VALUE"""),TRUE)</f>
        <v>1</v>
      </c>
      <c r="Q3441" s="20">
        <f>IFERROR(__xludf.DUMMYFUNCTION("""COMPUTED_VALUE"""),45103.46326193287)</f>
        <v>45103.46326</v>
      </c>
      <c r="R3441" s="21" t="str">
        <f>IFERROR(__xludf.DUMMYFUNCTION("""COMPUTED_VALUE"""),"https://drive.google.com/file/d/1UZItQLSHh-WbzZiPwNBVxWoxKeBKnyv5/view?usp=drivesdk")</f>
        <v>https://drive.google.com/file/d/1UZItQLSHh-WbzZiPwNBVxWoxKeBKnyv5/view?usp=drivesdk</v>
      </c>
    </row>
    <row r="3442">
      <c r="A3442" s="15">
        <f>IFERROR(__xludf.DUMMYFUNCTION("""COMPUTED_VALUE"""),45100.0)</f>
        <v>45100</v>
      </c>
      <c r="B3442" s="16" t="str">
        <f>IFERROR(__xludf.DUMMYFUNCTION("""COMPUTED_VALUE"""),"Jeison Rubiano")</f>
        <v>Jeison Rubiano</v>
      </c>
      <c r="C3442" s="15" t="str">
        <f>IFERROR(__xludf.DUMMYFUNCTION("""COMPUTED_VALUE"""),"BOGOTÁ")</f>
        <v>BOGOTÁ</v>
      </c>
      <c r="D3442" s="15" t="str">
        <f>IFERROR(__xludf.DUMMYFUNCTION("""COMPUTED_VALUE"""),"MEDELLÍN")</f>
        <v>MEDELLÍN</v>
      </c>
      <c r="E3442" s="15" t="str">
        <f>IFERROR(__xludf.DUMMYFUNCTION("""COMPUTED_VALUE"""),"Rambla")</f>
        <v>Rambla</v>
      </c>
      <c r="F3442" s="17" t="str">
        <f>IFERROR(__xludf.DUMMYFUNCTION("""COMPUTED_VALUE"""),"calle 71 # 4 - 55 / NA / NA")</f>
        <v>calle 71 # 4 - 55 / NA / NA</v>
      </c>
      <c r="G3442" s="15" t="str">
        <f>IFERROR(__xludf.DUMMYFUNCTION("""COMPUTED_VALUE"""),"Fit Market")</f>
        <v>Fit Market</v>
      </c>
      <c r="H3442" s="16">
        <f>IFERROR(__xludf.DUMMYFUNCTION("""COMPUTED_VALUE"""),12004.0)</f>
        <v>12004</v>
      </c>
      <c r="I3442" s="18">
        <f>IFERROR(__xludf.DUMMYFUNCTION("""COMPUTED_VALUE"""),25.0)</f>
        <v>25</v>
      </c>
      <c r="J3442" s="18">
        <f>IFERROR(__xludf.DUMMYFUNCTION("""COMPUTED_VALUE"""),27.0)</f>
        <v>27</v>
      </c>
      <c r="K3442" s="18">
        <f>IFERROR(__xludf.DUMMYFUNCTION("""COMPUTED_VALUE"""),21.0)</f>
        <v>21</v>
      </c>
      <c r="L3442" s="17">
        <f>IFERROR(__xludf.DUMMYFUNCTION("""COMPUTED_VALUE"""),3.183545455E9)</f>
        <v>3183545455</v>
      </c>
      <c r="M3442" s="17" t="str">
        <f>IFERROR(__xludf.DUMMYFUNCTION("""COMPUTED_VALUE"""),"#REF!")</f>
        <v>#REF!</v>
      </c>
      <c r="N3442" s="17"/>
      <c r="O3442" s="17"/>
      <c r="P3442" s="17" t="b">
        <f>IFERROR(__xludf.DUMMYFUNCTION("""COMPUTED_VALUE"""),FALSE)</f>
        <v>0</v>
      </c>
      <c r="Q3442" s="20" t="str">
        <f>IFERROR(__xludf.DUMMYFUNCTION("""COMPUTED_VALUE"""),"")</f>
        <v/>
      </c>
      <c r="R3442" s="21" t="str">
        <f>IFERROR(__xludf.DUMMYFUNCTION("""COMPUTED_VALUE"""),"https://drive.google.com/file/d/1jjrj-kHpmquZOsQve-DFxbyWZs7FEFV0/view?usp=drivesdk")</f>
        <v>https://drive.google.com/file/d/1jjrj-kHpmquZOsQve-DFxbyWZs7FEFV0/view?usp=drivesdk</v>
      </c>
    </row>
    <row r="3443">
      <c r="A3443" s="15">
        <f>IFERROR(__xludf.DUMMYFUNCTION("""COMPUTED_VALUE"""),45100.0)</f>
        <v>45100</v>
      </c>
      <c r="B3443" s="16" t="str">
        <f>IFERROR(__xludf.DUMMYFUNCTION("""COMPUTED_VALUE"""),"Jeison Rubiano")</f>
        <v>Jeison Rubiano</v>
      </c>
      <c r="C3443" s="15" t="str">
        <f>IFERROR(__xludf.DUMMYFUNCTION("""COMPUTED_VALUE"""),"BOGOTÁ")</f>
        <v>BOGOTÁ</v>
      </c>
      <c r="D3443" s="15" t="str">
        <f>IFERROR(__xludf.DUMMYFUNCTION("""COMPUTED_VALUE"""),"MEDELLÍN")</f>
        <v>MEDELLÍN</v>
      </c>
      <c r="E3443" s="15" t="str">
        <f>IFERROR(__xludf.DUMMYFUNCTION("""COMPUTED_VALUE"""),"Rambla")</f>
        <v>Rambla</v>
      </c>
      <c r="F3443" s="17" t="str">
        <f>IFERROR(__xludf.DUMMYFUNCTION("""COMPUTED_VALUE"""),"carrera  13 #44-34, apartamento 1012 edificio centrika Bogota / NA / NA")</f>
        <v>carrera  13 #44-34, apartamento 1012 edificio centrika Bogota / NA / NA</v>
      </c>
      <c r="G3443" s="15" t="str">
        <f>IFERROR(__xludf.DUMMYFUNCTION("""COMPUTED_VALUE"""),"Diego Jiménez")</f>
        <v>Diego Jiménez</v>
      </c>
      <c r="H3443" s="16">
        <f>IFERROR(__xludf.DUMMYFUNCTION("""COMPUTED_VALUE"""),12000.0)</f>
        <v>12000</v>
      </c>
      <c r="I3443" s="18">
        <f>IFERROR(__xludf.DUMMYFUNCTION("""COMPUTED_VALUE"""),25.0)</f>
        <v>25</v>
      </c>
      <c r="J3443" s="18">
        <f>IFERROR(__xludf.DUMMYFUNCTION("""COMPUTED_VALUE"""),27.0)</f>
        <v>27</v>
      </c>
      <c r="K3443" s="18">
        <f>IFERROR(__xludf.DUMMYFUNCTION("""COMPUTED_VALUE"""),21.0)</f>
        <v>21</v>
      </c>
      <c r="L3443" s="17">
        <f>IFERROR(__xludf.DUMMYFUNCTION("""COMPUTED_VALUE"""),3.204720869E9)</f>
        <v>3204720869</v>
      </c>
      <c r="M3443" s="17" t="str">
        <f>IFERROR(__xludf.DUMMYFUNCTION("""COMPUTED_VALUE"""),"#REF!")</f>
        <v>#REF!</v>
      </c>
      <c r="N3443" s="17"/>
      <c r="O3443" s="17"/>
      <c r="P3443" s="17" t="b">
        <f>IFERROR(__xludf.DUMMYFUNCTION("""COMPUTED_VALUE"""),FALSE)</f>
        <v>0</v>
      </c>
      <c r="Q3443" s="20" t="str">
        <f>IFERROR(__xludf.DUMMYFUNCTION("""COMPUTED_VALUE"""),"")</f>
        <v/>
      </c>
      <c r="R3443" s="21" t="str">
        <f>IFERROR(__xludf.DUMMYFUNCTION("""COMPUTED_VALUE"""),"https://drive.google.com/file/d/1xWpUwDWIfC-OY7QjJ5PHkeg7ZQvtMbau/view?usp=drivesdk")</f>
        <v>https://drive.google.com/file/d/1xWpUwDWIfC-OY7QjJ5PHkeg7ZQvtMbau/view?usp=drivesdk</v>
      </c>
    </row>
    <row r="3444">
      <c r="A3444" s="15">
        <f>IFERROR(__xludf.DUMMYFUNCTION("""COMPUTED_VALUE"""),45100.0)</f>
        <v>45100</v>
      </c>
      <c r="B3444" s="16" t="str">
        <f>IFERROR(__xludf.DUMMYFUNCTION("""COMPUTED_VALUE"""),"Jeison Rubiano")</f>
        <v>Jeison Rubiano</v>
      </c>
      <c r="C3444" s="15" t="str">
        <f>IFERROR(__xludf.DUMMYFUNCTION("""COMPUTED_VALUE"""),"CARTAGENA")</f>
        <v>CARTAGENA</v>
      </c>
      <c r="D3444" s="15" t="str">
        <f>IFERROR(__xludf.DUMMYFUNCTION("""COMPUTED_VALUE"""),"BOGOTÁ")</f>
        <v>BOGOTÁ</v>
      </c>
      <c r="E3444" s="15" t="str">
        <f>IFERROR(__xludf.DUMMYFUNCTION("""COMPUTED_VALUE"""),"Mochi")</f>
        <v>Mochi</v>
      </c>
      <c r="F3444" s="17" t="str">
        <f>IFERROR(__xludf.DUMMYFUNCTION("""COMPUTED_VALUE"""),"centro comercial serrezuela / Centro comercial viva barranquilla / Centro comercial viva barranquilla")</f>
        <v>centro comercial serrezuela / Centro comercial viva barranquilla / Centro comercial viva barranquilla</v>
      </c>
      <c r="G3444" s="15" t="str">
        <f>IFERROR(__xludf.DUMMYFUNCTION("""COMPUTED_VALUE"""),"maria camila")</f>
        <v>maria camila</v>
      </c>
      <c r="H3444" s="16">
        <f>IFERROR(__xludf.DUMMYFUNCTION("""COMPUTED_VALUE"""),12007.0)</f>
        <v>12007</v>
      </c>
      <c r="I3444" s="18">
        <f>IFERROR(__xludf.DUMMYFUNCTION("""COMPUTED_VALUE"""),100.0)</f>
        <v>100</v>
      </c>
      <c r="J3444" s="18">
        <f>IFERROR(__xludf.DUMMYFUNCTION("""COMPUTED_VALUE"""),100.0)</f>
        <v>100</v>
      </c>
      <c r="K3444" s="18">
        <f>IFERROR(__xludf.DUMMYFUNCTION("""COMPUTED_VALUE"""),100.0)</f>
        <v>100</v>
      </c>
      <c r="L3444" s="17">
        <f>IFERROR(__xludf.DUMMYFUNCTION("""COMPUTED_VALUE"""),3.116026252E9)</f>
        <v>3116026252</v>
      </c>
      <c r="M3444" s="17" t="str">
        <f>IFERROR(__xludf.DUMMYFUNCTION("""COMPUTED_VALUE"""),"#REF!")</f>
        <v>#REF!</v>
      </c>
      <c r="N3444" s="17"/>
      <c r="O3444" s="17"/>
      <c r="P3444" s="17" t="b">
        <f>IFERROR(__xludf.DUMMYFUNCTION("""COMPUTED_VALUE"""),FALSE)</f>
        <v>0</v>
      </c>
      <c r="Q3444" s="20" t="str">
        <f>IFERROR(__xludf.DUMMYFUNCTION("""COMPUTED_VALUE"""),"")</f>
        <v/>
      </c>
      <c r="R3444" s="21" t="str">
        <f>IFERROR(__xludf.DUMMYFUNCTION("""COMPUTED_VALUE"""),"https://drive.google.com/file/d/1j8Fe88Mey7jwYYfUo72L61PDEoY0HnaU/view?usp=drivesdk")</f>
        <v>https://drive.google.com/file/d/1j8Fe88Mey7jwYYfUo72L61PDEoY0HnaU/view?usp=drivesdk</v>
      </c>
    </row>
    <row r="3445">
      <c r="A3445" s="15">
        <f>IFERROR(__xludf.DUMMYFUNCTION("""COMPUTED_VALUE"""),45100.0)</f>
        <v>45100</v>
      </c>
      <c r="B3445" s="16" t="str">
        <f>IFERROR(__xludf.DUMMYFUNCTION("""COMPUTED_VALUE"""),"Jeison Rubiano")</f>
        <v>Jeison Rubiano</v>
      </c>
      <c r="C3445" s="15" t="str">
        <f>IFERROR(__xludf.DUMMYFUNCTION("""COMPUTED_VALUE"""),"CARTAGENA")</f>
        <v>CARTAGENA</v>
      </c>
      <c r="D3445" s="15" t="str">
        <f>IFERROR(__xludf.DUMMYFUNCTION("""COMPUTED_VALUE"""),"BOGOTÁ")</f>
        <v>BOGOTÁ</v>
      </c>
      <c r="E3445" s="15" t="str">
        <f>IFERROR(__xludf.DUMMYFUNCTION("""COMPUTED_VALUE"""),"SISU PARTNERS SAS")</f>
        <v>SISU PARTNERS SAS</v>
      </c>
      <c r="F3445" s="17" t="str">
        <f>IFERROR(__xludf.DUMMYFUNCTION("""COMPUTED_VALUE"""),"Carrera 7 no. 38-48 local 3 / Local Mary &amp; George")</f>
        <v>Carrera 7 no. 38-48 local 3 / Local Mary &amp; George</v>
      </c>
      <c r="G3445" s="15" t="str">
        <f>IFERROR(__xludf.DUMMYFUNCTION("""COMPUTED_VALUE"""),"Carolyne Bailey")</f>
        <v>Carolyne Bailey</v>
      </c>
      <c r="H3445" s="16">
        <f>IFERROR(__xludf.DUMMYFUNCTION("""COMPUTED_VALUE"""),11955.0)</f>
        <v>11955</v>
      </c>
      <c r="I3445" s="18" t="str">
        <f>IFERROR(__xludf.DUMMYFUNCTION("""COMPUTED_VALUE"""),"52.5")</f>
        <v>52.5</v>
      </c>
      <c r="J3445" s="18">
        <f>IFERROR(__xludf.DUMMYFUNCTION("""COMPUTED_VALUE"""),45.0)</f>
        <v>45</v>
      </c>
      <c r="K3445" s="18">
        <f>IFERROR(__xludf.DUMMYFUNCTION("""COMPUTED_VALUE"""),55.0)</f>
        <v>55</v>
      </c>
      <c r="L3445" s="17">
        <f>IFERROR(__xludf.DUMMYFUNCTION("""COMPUTED_VALUE"""),3.105510381E9)</f>
        <v>3105510381</v>
      </c>
      <c r="M3445" s="17" t="str">
        <f>IFERROR(__xludf.DUMMYFUNCTION("""COMPUTED_VALUE"""),"#REF!")</f>
        <v>#REF!</v>
      </c>
      <c r="N3445" s="17"/>
      <c r="O3445" s="17"/>
      <c r="P3445" s="17" t="b">
        <f>IFERROR(__xludf.DUMMYFUNCTION("""COMPUTED_VALUE"""),FALSE)</f>
        <v>0</v>
      </c>
      <c r="Q3445" s="20" t="str">
        <f>IFERROR(__xludf.DUMMYFUNCTION("""COMPUTED_VALUE"""),"")</f>
        <v/>
      </c>
      <c r="R3445" s="22" t="str">
        <f>IFERROR(__xludf.DUMMYFUNCTION("""COMPUTED_VALUE"""),"")</f>
        <v/>
      </c>
    </row>
    <row r="3446">
      <c r="A3446" s="17" t="str">
        <f>IFERROR(__xludf.DUMMYFUNCTION("""COMPUTED_VALUE"""),"")</f>
        <v/>
      </c>
      <c r="B3446" s="17" t="str">
        <f>IFERROR(__xludf.DUMMYFUNCTION("""COMPUTED_VALUE"""),"")</f>
        <v/>
      </c>
      <c r="C3446" s="17" t="str">
        <f>IFERROR(__xludf.DUMMYFUNCTION("""COMPUTED_VALUE"""),"")</f>
        <v/>
      </c>
      <c r="D3446" s="17" t="str">
        <f>IFERROR(__xludf.DUMMYFUNCTION("""COMPUTED_VALUE"""),"")</f>
        <v/>
      </c>
      <c r="E3446" s="17" t="str">
        <f>IFERROR(__xludf.DUMMYFUNCTION("""COMPUTED_VALUE"""),"")</f>
        <v/>
      </c>
      <c r="F3446" s="17" t="str">
        <f>IFERROR(__xludf.DUMMYFUNCTION("""COMPUTED_VALUE"""),"")</f>
        <v/>
      </c>
      <c r="G3446" s="17" t="str">
        <f>IFERROR(__xludf.DUMMYFUNCTION("""COMPUTED_VALUE"""),"")</f>
        <v/>
      </c>
      <c r="H3446" s="17" t="str">
        <f>IFERROR(__xludf.DUMMYFUNCTION("""COMPUTED_VALUE"""),"")</f>
        <v/>
      </c>
      <c r="I3446" s="17" t="str">
        <f>IFERROR(__xludf.DUMMYFUNCTION("""COMPUTED_VALUE"""),"")</f>
        <v/>
      </c>
      <c r="J3446" s="17" t="str">
        <f>IFERROR(__xludf.DUMMYFUNCTION("""COMPUTED_VALUE"""),"")</f>
        <v/>
      </c>
      <c r="K3446" s="17" t="str">
        <f>IFERROR(__xludf.DUMMYFUNCTION("""COMPUTED_VALUE"""),"")</f>
        <v/>
      </c>
      <c r="L3446" s="17" t="str">
        <f>IFERROR(__xludf.DUMMYFUNCTION("""COMPUTED_VALUE"""),"")</f>
        <v/>
      </c>
      <c r="M3446" s="17" t="str">
        <f>IFERROR(__xludf.DUMMYFUNCTION("""COMPUTED_VALUE"""),"")</f>
        <v/>
      </c>
      <c r="N3446" s="17" t="str">
        <f>IFERROR(__xludf.DUMMYFUNCTION("""COMPUTED_VALUE"""),"")</f>
        <v/>
      </c>
      <c r="O3446" s="17" t="str">
        <f>IFERROR(__xludf.DUMMYFUNCTION("""COMPUTED_VALUE"""),"")</f>
        <v/>
      </c>
      <c r="P3446" s="17" t="str">
        <f>IFERROR(__xludf.DUMMYFUNCTION("""COMPUTED_VALUE"""),"")</f>
        <v/>
      </c>
      <c r="Q3446" s="17" t="str">
        <f>IFERROR(__xludf.DUMMYFUNCTION("""COMPUTED_VALUE"""),"")</f>
        <v/>
      </c>
      <c r="R3446" s="17" t="str">
        <f>IFERROR(__xludf.DUMMYFUNCTION("""COMPUTED_VALUE"""),"")</f>
        <v/>
      </c>
    </row>
    <row r="3447">
      <c r="A3447" s="15">
        <f>IFERROR(__xludf.DUMMYFUNCTION("""COMPUTED_VALUE"""),45100.0)</f>
        <v>45100</v>
      </c>
      <c r="B3447" s="16" t="str">
        <f>IFERROR(__xludf.DUMMYFUNCTION("""COMPUTED_VALUE"""),"Lina Gaona")</f>
        <v>Lina Gaona</v>
      </c>
      <c r="C3447" s="15" t="str">
        <f>IFERROR(__xludf.DUMMYFUNCTION("""COMPUTED_VALUE"""),"CÚCUTA")</f>
        <v>CÚCUTA</v>
      </c>
      <c r="D3447" s="15" t="str">
        <f>IFERROR(__xludf.DUMMYFUNCTION("""COMPUTED_VALUE"""),"BOGOTÁ")</f>
        <v>BOGOTÁ</v>
      </c>
      <c r="E3447" s="15" t="str">
        <f>IFERROR(__xludf.DUMMYFUNCTION("""COMPUTED_VALUE"""),"Asociacion Agropecuaria Juana Maria")</f>
        <v>Asociacion Agropecuaria Juana Maria</v>
      </c>
      <c r="F3447" s="17" t="str">
        <f>IFERROR(__xludf.DUMMYFUNCTION("""COMPUTED_VALUE"""),"Calle 18 N #4-31 edificio tulipán apto 702 Prados Norte")</f>
        <v>Calle 18 N #4-31 edificio tulipán apto 702 Prados Norte</v>
      </c>
      <c r="G3447" s="15" t="str">
        <f>IFERROR(__xludf.DUMMYFUNCTION("""COMPUTED_VALUE"""),"Yurley Camacho")</f>
        <v>Yurley Camacho</v>
      </c>
      <c r="H3447" s="16">
        <f>IFERROR(__xludf.DUMMYFUNCTION("""COMPUTED_VALUE"""),11823.0)</f>
        <v>11823</v>
      </c>
      <c r="I3447" s="18">
        <f>IFERROR(__xludf.DUMMYFUNCTION("""COMPUTED_VALUE"""),10.0)</f>
        <v>10</v>
      </c>
      <c r="J3447" s="18">
        <f>IFERROR(__xludf.DUMMYFUNCTION("""COMPUTED_VALUE"""),34.0)</f>
        <v>34</v>
      </c>
      <c r="K3447" s="18">
        <f>IFERROR(__xludf.DUMMYFUNCTION("""COMPUTED_VALUE"""),18.0)</f>
        <v>18</v>
      </c>
      <c r="L3447" s="17">
        <f>IFERROR(__xludf.DUMMYFUNCTION("""COMPUTED_VALUE"""),3.142544369E9)</f>
        <v>3142544369</v>
      </c>
      <c r="M3447" s="17" t="str">
        <f>IFERROR(__xludf.DUMMYFUNCTION("""COMPUTED_VALUE"""),"#REF!")</f>
        <v>#REF!</v>
      </c>
      <c r="N3447" s="17"/>
      <c r="O3447" s="17"/>
      <c r="P3447" s="17" t="b">
        <f>IFERROR(__xludf.DUMMYFUNCTION("""COMPUTED_VALUE"""),FALSE)</f>
        <v>0</v>
      </c>
      <c r="Q3447" s="20" t="str">
        <f>IFERROR(__xludf.DUMMYFUNCTION("""COMPUTED_VALUE"""),"")</f>
        <v/>
      </c>
      <c r="R3447" s="22" t="str">
        <f>IFERROR(__xludf.DUMMYFUNCTION("""COMPUTED_VALUE"""),"")</f>
        <v/>
      </c>
    </row>
    <row r="3448">
      <c r="A3448" s="15">
        <f>IFERROR(__xludf.DUMMYFUNCTION("""COMPUTED_VALUE"""),45100.0)</f>
        <v>45100</v>
      </c>
      <c r="B3448" s="16" t="str">
        <f>IFERROR(__xludf.DUMMYFUNCTION("""COMPUTED_VALUE"""),"Lina Gaona")</f>
        <v>Lina Gaona</v>
      </c>
      <c r="C3448" s="15" t="str">
        <f>IFERROR(__xludf.DUMMYFUNCTION("""COMPUTED_VALUE"""),"CÚCUTA")</f>
        <v>CÚCUTA</v>
      </c>
      <c r="D3448" s="15" t="str">
        <f>IFERROR(__xludf.DUMMYFUNCTION("""COMPUTED_VALUE"""),"BOGOTÁ")</f>
        <v>BOGOTÁ</v>
      </c>
      <c r="E3448" s="15" t="str">
        <f>IFERROR(__xludf.DUMMYFUNCTION("""COMPUTED_VALUE"""),"Athenas")</f>
        <v>Athenas</v>
      </c>
      <c r="F3448" s="17" t="str">
        <f>IFERROR(__xludf.DUMMYFUNCTION("""COMPUTED_VALUE"""),"Calle 11 con diagonal santander / 3 piso cafeteria bodytech  / Los caobos")</f>
        <v>Calle 11 con diagonal santander / 3 piso cafeteria bodytech  / Los caobos</v>
      </c>
      <c r="G3448" s="15" t="str">
        <f>IFERROR(__xludf.DUMMYFUNCTION("""COMPUTED_VALUE"""),"Jennifer rodriguez")</f>
        <v>Jennifer rodriguez</v>
      </c>
      <c r="H3448" s="16">
        <f>IFERROR(__xludf.DUMMYFUNCTION("""COMPUTED_VALUE"""),11775.0)</f>
        <v>11775</v>
      </c>
      <c r="I3448" s="18">
        <f>IFERROR(__xludf.DUMMYFUNCTION("""COMPUTED_VALUE"""),29.0)</f>
        <v>29</v>
      </c>
      <c r="J3448" s="18">
        <f>IFERROR(__xludf.DUMMYFUNCTION("""COMPUTED_VALUE"""),55.0)</f>
        <v>55</v>
      </c>
      <c r="K3448" s="18">
        <f>IFERROR(__xludf.DUMMYFUNCTION("""COMPUTED_VALUE"""),45.0)</f>
        <v>45</v>
      </c>
      <c r="L3448" s="17">
        <f>IFERROR(__xludf.DUMMYFUNCTION("""COMPUTED_VALUE"""),3.185909524E9)</f>
        <v>3185909524</v>
      </c>
      <c r="M3448" s="17" t="str">
        <f>IFERROR(__xludf.DUMMYFUNCTION("""COMPUTED_VALUE"""),"#REF!")</f>
        <v>#REF!</v>
      </c>
      <c r="N3448" s="17"/>
      <c r="O3448" s="17"/>
      <c r="P3448" s="17" t="b">
        <f>IFERROR(__xludf.DUMMYFUNCTION("""COMPUTED_VALUE"""),FALSE)</f>
        <v>0</v>
      </c>
      <c r="Q3448" s="20" t="str">
        <f>IFERROR(__xludf.DUMMYFUNCTION("""COMPUTED_VALUE"""),"")</f>
        <v/>
      </c>
      <c r="R3448" s="22" t="str">
        <f>IFERROR(__xludf.DUMMYFUNCTION("""COMPUTED_VALUE"""),"")</f>
        <v/>
      </c>
    </row>
    <row r="3449">
      <c r="A3449" s="15">
        <f>IFERROR(__xludf.DUMMYFUNCTION("""COMPUTED_VALUE"""),45100.0)</f>
        <v>45100</v>
      </c>
      <c r="B3449" s="16" t="str">
        <f>IFERROR(__xludf.DUMMYFUNCTION("""COMPUTED_VALUE"""),"Lina Gaona")</f>
        <v>Lina Gaona</v>
      </c>
      <c r="C3449" s="15" t="str">
        <f>IFERROR(__xludf.DUMMYFUNCTION("""COMPUTED_VALUE"""),"SANTA MARTA")</f>
        <v>SANTA MARTA</v>
      </c>
      <c r="D3449" s="15" t="str">
        <f>IFERROR(__xludf.DUMMYFUNCTION("""COMPUTED_VALUE"""),"MEDELLÍN")</f>
        <v>MEDELLÍN</v>
      </c>
      <c r="E3449" s="15" t="str">
        <f>IFERROR(__xludf.DUMMYFUNCTION("""COMPUTED_VALUE"""),"Magda")</f>
        <v>Magda</v>
      </c>
      <c r="F3449" s="17" t="str">
        <f>IFERROR(__xludf.DUMMYFUNCTION("""COMPUTED_VALUE"""),"calle 22#6-82  / ""centro comercial plazuela 22 local 27 "" / centro")</f>
        <v>calle 22#6-82  / "centro comercial plazuela 22 local 27 " / centro</v>
      </c>
      <c r="G3449" s="15" t="str">
        <f>IFERROR(__xludf.DUMMYFUNCTION("""COMPUTED_VALUE"""),"Shirley Monjarres")</f>
        <v>Shirley Monjarres</v>
      </c>
      <c r="H3449" s="16">
        <f>IFERROR(__xludf.DUMMYFUNCTION("""COMPUTED_VALUE"""),11940.0)</f>
        <v>11940</v>
      </c>
      <c r="I3449" s="18">
        <f>IFERROR(__xludf.DUMMYFUNCTION("""COMPUTED_VALUE"""),5.0)</f>
        <v>5</v>
      </c>
      <c r="J3449" s="18">
        <f>IFERROR(__xludf.DUMMYFUNCTION("""COMPUTED_VALUE"""),5.0)</f>
        <v>5</v>
      </c>
      <c r="K3449" s="18">
        <f>IFERROR(__xludf.DUMMYFUNCTION("""COMPUTED_VALUE"""),5.0)</f>
        <v>5</v>
      </c>
      <c r="L3449" s="17">
        <f>IFERROR(__xludf.DUMMYFUNCTION("""COMPUTED_VALUE"""),3.054269156E9)</f>
        <v>3054269156</v>
      </c>
      <c r="M3449" s="17" t="str">
        <f>IFERROR(__xludf.DUMMYFUNCTION("""COMPUTED_VALUE"""),"#REF!")</f>
        <v>#REF!</v>
      </c>
      <c r="N3449" s="17"/>
      <c r="O3449" s="17"/>
      <c r="P3449" s="17" t="b">
        <f>IFERROR(__xludf.DUMMYFUNCTION("""COMPUTED_VALUE"""),FALSE)</f>
        <v>0</v>
      </c>
      <c r="Q3449" s="20" t="str">
        <f>IFERROR(__xludf.DUMMYFUNCTION("""COMPUTED_VALUE"""),"")</f>
        <v/>
      </c>
      <c r="R3449" s="21" t="str">
        <f>IFERROR(__xludf.DUMMYFUNCTION("""COMPUTED_VALUE"""),"https://drive.google.com/file/d/1EP_WWWXlSxfTQiomYatOH7G8FnnO6SPD/view?usp=drivesdk")</f>
        <v>https://drive.google.com/file/d/1EP_WWWXlSxfTQiomYatOH7G8FnnO6SPD/view?usp=drivesdk</v>
      </c>
    </row>
    <row r="3450">
      <c r="A3450" s="15">
        <f>IFERROR(__xludf.DUMMYFUNCTION("""COMPUTED_VALUE"""),45100.0)</f>
        <v>45100</v>
      </c>
      <c r="B3450" s="16" t="str">
        <f>IFERROR(__xludf.DUMMYFUNCTION("""COMPUTED_VALUE"""),"Lina Gaona")</f>
        <v>Lina Gaona</v>
      </c>
      <c r="C3450" s="15" t="str">
        <f>IFERROR(__xludf.DUMMYFUNCTION("""COMPUTED_VALUE"""),"VILLAVICENCIO")</f>
        <v>VILLAVICENCIO</v>
      </c>
      <c r="D3450" s="15" t="str">
        <f>IFERROR(__xludf.DUMMYFUNCTION("""COMPUTED_VALUE"""),"BOGOTÁ")</f>
        <v>BOGOTÁ</v>
      </c>
      <c r="E3450" s="15" t="str">
        <f>IFERROR(__xludf.DUMMYFUNCTION("""COMPUTED_VALUE"""),"Mochi")</f>
        <v>Mochi</v>
      </c>
      <c r="F3450" s="17" t="str">
        <f>IFERROR(__xludf.DUMMYFUNCTION("""COMPUTED_VALUE"""),"centro comercial viva villavicencio / centro comercial viva villavicencio / centro comercial viva villavicencio")</f>
        <v>centro comercial viva villavicencio / centro comercial viva villavicencio / centro comercial viva villavicencio</v>
      </c>
      <c r="G3450" s="15" t="str">
        <f>IFERROR(__xludf.DUMMYFUNCTION("""COMPUTED_VALUE"""),"Mauricio Mora")</f>
        <v>Mauricio Mora</v>
      </c>
      <c r="H3450" s="16">
        <f>IFERROR(__xludf.DUMMYFUNCTION("""COMPUTED_VALUE"""),12008.0)</f>
        <v>12008</v>
      </c>
      <c r="I3450" s="18">
        <f>IFERROR(__xludf.DUMMYFUNCTION("""COMPUTED_VALUE"""),100.0)</f>
        <v>100</v>
      </c>
      <c r="J3450" s="18">
        <f>IFERROR(__xludf.DUMMYFUNCTION("""COMPUTED_VALUE"""),100.0)</f>
        <v>100</v>
      </c>
      <c r="K3450" s="18">
        <f>IFERROR(__xludf.DUMMYFUNCTION("""COMPUTED_VALUE"""),100.0)</f>
        <v>100</v>
      </c>
      <c r="L3450" s="17">
        <f>IFERROR(__xludf.DUMMYFUNCTION("""COMPUTED_VALUE"""),3.115177645E9)</f>
        <v>3115177645</v>
      </c>
      <c r="M3450" s="17" t="str">
        <f>IFERROR(__xludf.DUMMYFUNCTION("""COMPUTED_VALUE"""),"#REF!")</f>
        <v>#REF!</v>
      </c>
      <c r="N3450" s="17"/>
      <c r="O3450" s="17"/>
      <c r="P3450" s="17" t="b">
        <f>IFERROR(__xludf.DUMMYFUNCTION("""COMPUTED_VALUE"""),FALSE)</f>
        <v>0</v>
      </c>
      <c r="Q3450" s="20" t="str">
        <f>IFERROR(__xludf.DUMMYFUNCTION("""COMPUTED_VALUE"""),"")</f>
        <v/>
      </c>
      <c r="R3450" s="21" t="str">
        <f>IFERROR(__xludf.DUMMYFUNCTION("""COMPUTED_VALUE"""),"https://drive.google.com/file/d/1ufRSM8fxhF78S9UMokJzyscBVL94YveD/view?usp=drivesdk")</f>
        <v>https://drive.google.com/file/d/1ufRSM8fxhF78S9UMokJzyscBVL94YveD/view?usp=drivesdk</v>
      </c>
    </row>
    <row r="3451">
      <c r="A3451" s="17" t="str">
        <f>IFERROR(__xludf.DUMMYFUNCTION("""COMPUTED_VALUE"""),"")</f>
        <v/>
      </c>
      <c r="B3451" s="17" t="str">
        <f>IFERROR(__xludf.DUMMYFUNCTION("""COMPUTED_VALUE"""),"")</f>
        <v/>
      </c>
      <c r="C3451" s="17" t="str">
        <f>IFERROR(__xludf.DUMMYFUNCTION("""COMPUTED_VALUE"""),"")</f>
        <v/>
      </c>
      <c r="D3451" s="17" t="str">
        <f>IFERROR(__xludf.DUMMYFUNCTION("""COMPUTED_VALUE"""),"")</f>
        <v/>
      </c>
      <c r="E3451" s="17" t="str">
        <f>IFERROR(__xludf.DUMMYFUNCTION("""COMPUTED_VALUE"""),"")</f>
        <v/>
      </c>
      <c r="F3451" s="17" t="str">
        <f>IFERROR(__xludf.DUMMYFUNCTION("""COMPUTED_VALUE"""),"")</f>
        <v/>
      </c>
      <c r="G3451" s="17" t="str">
        <f>IFERROR(__xludf.DUMMYFUNCTION("""COMPUTED_VALUE"""),"")</f>
        <v/>
      </c>
      <c r="H3451" s="17" t="str">
        <f>IFERROR(__xludf.DUMMYFUNCTION("""COMPUTED_VALUE"""),"")</f>
        <v/>
      </c>
      <c r="I3451" s="17" t="str">
        <f>IFERROR(__xludf.DUMMYFUNCTION("""COMPUTED_VALUE"""),"")</f>
        <v/>
      </c>
      <c r="J3451" s="17" t="str">
        <f>IFERROR(__xludf.DUMMYFUNCTION("""COMPUTED_VALUE"""),"")</f>
        <v/>
      </c>
      <c r="K3451" s="17" t="str">
        <f>IFERROR(__xludf.DUMMYFUNCTION("""COMPUTED_VALUE"""),"")</f>
        <v/>
      </c>
      <c r="L3451" s="17" t="str">
        <f>IFERROR(__xludf.DUMMYFUNCTION("""COMPUTED_VALUE"""),"")</f>
        <v/>
      </c>
      <c r="M3451" s="17" t="str">
        <f>IFERROR(__xludf.DUMMYFUNCTION("""COMPUTED_VALUE"""),"")</f>
        <v/>
      </c>
      <c r="N3451" s="17" t="str">
        <f>IFERROR(__xludf.DUMMYFUNCTION("""COMPUTED_VALUE"""),"")</f>
        <v/>
      </c>
      <c r="O3451" s="17" t="str">
        <f>IFERROR(__xludf.DUMMYFUNCTION("""COMPUTED_VALUE"""),"")</f>
        <v/>
      </c>
      <c r="P3451" s="17" t="str">
        <f>IFERROR(__xludf.DUMMYFUNCTION("""COMPUTED_VALUE"""),"")</f>
        <v/>
      </c>
      <c r="Q3451" s="17" t="str">
        <f>IFERROR(__xludf.DUMMYFUNCTION("""COMPUTED_VALUE"""),"")</f>
        <v/>
      </c>
      <c r="R3451" s="17" t="str">
        <f>IFERROR(__xludf.DUMMYFUNCTION("""COMPUTED_VALUE"""),"")</f>
        <v/>
      </c>
    </row>
    <row r="3452">
      <c r="A3452" s="15">
        <f>IFERROR(__xludf.DUMMYFUNCTION("""COMPUTED_VALUE"""),45100.0)</f>
        <v>45100</v>
      </c>
      <c r="B3452" s="16" t="str">
        <f>IFERROR(__xludf.DUMMYFUNCTION("""COMPUTED_VALUE"""),"Orlando Urdaneta Rincon ")</f>
        <v>Orlando Urdaneta Rincon </v>
      </c>
      <c r="C3452" s="15" t="str">
        <f>IFERROR(__xludf.DUMMYFUNCTION("""COMPUTED_VALUE"""),"BOGOTÁ")</f>
        <v>BOGOTÁ</v>
      </c>
      <c r="D3452" s="15" t="str">
        <f>IFERROR(__xludf.DUMMYFUNCTION("""COMPUTED_VALUE"""),"MEDELLÍN")</f>
        <v>MEDELLÍN</v>
      </c>
      <c r="E3452" s="15" t="str">
        <f>IFERROR(__xludf.DUMMYFUNCTION("""COMPUTED_VALUE"""),"Rambla")</f>
        <v>Rambla</v>
      </c>
      <c r="F3452" s="17" t="str">
        <f>IFERROR(__xludf.DUMMYFUNCTION("""COMPUTED_VALUE"""),"Cr 26a#62-20 of 2204  Edificio Zully 2  Barrio: san Nicolás  Bogot / NA / NA")</f>
        <v>Cr 26a#62-20 of 2204  Edificio Zully 2  Barrio: san Nicolás  Bogot / NA / NA</v>
      </c>
      <c r="G3452" s="15" t="str">
        <f>IFERROR(__xludf.DUMMYFUNCTION("""COMPUTED_VALUE"""),"Sinutre")</f>
        <v>Sinutre</v>
      </c>
      <c r="H3452" s="16">
        <f>IFERROR(__xludf.DUMMYFUNCTION("""COMPUTED_VALUE"""),11999.0)</f>
        <v>11999</v>
      </c>
      <c r="I3452" s="18">
        <f>IFERROR(__xludf.DUMMYFUNCTION("""COMPUTED_VALUE"""),21.0)</f>
        <v>21</v>
      </c>
      <c r="J3452" s="18">
        <f>IFERROR(__xludf.DUMMYFUNCTION("""COMPUTED_VALUE"""),25.0)</f>
        <v>25</v>
      </c>
      <c r="K3452" s="18">
        <f>IFERROR(__xludf.DUMMYFUNCTION("""COMPUTED_VALUE"""),27.0)</f>
        <v>27</v>
      </c>
      <c r="L3452" s="17">
        <f>IFERROR(__xludf.DUMMYFUNCTION("""COMPUTED_VALUE"""),3.002752554E9)</f>
        <v>3002752554</v>
      </c>
      <c r="M3452" s="17" t="str">
        <f>IFERROR(__xludf.DUMMYFUNCTION("""COMPUTED_VALUE"""),"#REF!")</f>
        <v>#REF!</v>
      </c>
      <c r="N3452" s="17"/>
      <c r="O3452" s="17"/>
      <c r="P3452" s="17" t="b">
        <f>IFERROR(__xludf.DUMMYFUNCTION("""COMPUTED_VALUE"""),FALSE)</f>
        <v>0</v>
      </c>
      <c r="Q3452" s="20" t="str">
        <f>IFERROR(__xludf.DUMMYFUNCTION("""COMPUTED_VALUE"""),"")</f>
        <v/>
      </c>
      <c r="R3452" s="21" t="str">
        <f>IFERROR(__xludf.DUMMYFUNCTION("""COMPUTED_VALUE"""),"https://drive.google.com/file/d/17XQZUBzf_6b4c48is7AxUc96ijptDHRP/view?usp=drivesdk")</f>
        <v>https://drive.google.com/file/d/17XQZUBzf_6b4c48is7AxUc96ijptDHRP/view?usp=drivesdk</v>
      </c>
    </row>
    <row r="3453">
      <c r="A3453" s="17" t="str">
        <f>IFERROR(__xludf.DUMMYFUNCTION("""COMPUTED_VALUE"""),"")</f>
        <v/>
      </c>
      <c r="B3453" s="17" t="str">
        <f>IFERROR(__xludf.DUMMYFUNCTION("""COMPUTED_VALUE"""),"")</f>
        <v/>
      </c>
      <c r="C3453" s="17" t="str">
        <f>IFERROR(__xludf.DUMMYFUNCTION("""COMPUTED_VALUE"""),"")</f>
        <v/>
      </c>
      <c r="D3453" s="17" t="str">
        <f>IFERROR(__xludf.DUMMYFUNCTION("""COMPUTED_VALUE"""),"")</f>
        <v/>
      </c>
      <c r="E3453" s="17" t="str">
        <f>IFERROR(__xludf.DUMMYFUNCTION("""COMPUTED_VALUE"""),"")</f>
        <v/>
      </c>
      <c r="F3453" s="17" t="str">
        <f>IFERROR(__xludf.DUMMYFUNCTION("""COMPUTED_VALUE"""),"")</f>
        <v/>
      </c>
      <c r="G3453" s="17" t="str">
        <f>IFERROR(__xludf.DUMMYFUNCTION("""COMPUTED_VALUE"""),"")</f>
        <v/>
      </c>
      <c r="H3453" s="17" t="str">
        <f>IFERROR(__xludf.DUMMYFUNCTION("""COMPUTED_VALUE"""),"")</f>
        <v/>
      </c>
      <c r="I3453" s="17" t="str">
        <f>IFERROR(__xludf.DUMMYFUNCTION("""COMPUTED_VALUE"""),"")</f>
        <v/>
      </c>
      <c r="J3453" s="17" t="str">
        <f>IFERROR(__xludf.DUMMYFUNCTION("""COMPUTED_VALUE"""),"")</f>
        <v/>
      </c>
      <c r="K3453" s="17" t="str">
        <f>IFERROR(__xludf.DUMMYFUNCTION("""COMPUTED_VALUE"""),"")</f>
        <v/>
      </c>
      <c r="L3453" s="17" t="str">
        <f>IFERROR(__xludf.DUMMYFUNCTION("""COMPUTED_VALUE"""),"")</f>
        <v/>
      </c>
      <c r="M3453" s="17" t="str">
        <f>IFERROR(__xludf.DUMMYFUNCTION("""COMPUTED_VALUE"""),"")</f>
        <v/>
      </c>
      <c r="N3453" s="17" t="str">
        <f>IFERROR(__xludf.DUMMYFUNCTION("""COMPUTED_VALUE"""),"")</f>
        <v/>
      </c>
      <c r="O3453" s="17" t="str">
        <f>IFERROR(__xludf.DUMMYFUNCTION("""COMPUTED_VALUE"""),"")</f>
        <v/>
      </c>
      <c r="P3453" s="17" t="str">
        <f>IFERROR(__xludf.DUMMYFUNCTION("""COMPUTED_VALUE"""),"")</f>
        <v/>
      </c>
      <c r="Q3453" s="17" t="str">
        <f>IFERROR(__xludf.DUMMYFUNCTION("""COMPUTED_VALUE"""),"")</f>
        <v/>
      </c>
      <c r="R3453" s="17" t="str">
        <f>IFERROR(__xludf.DUMMYFUNCTION("""COMPUTED_VALUE"""),"")</f>
        <v/>
      </c>
    </row>
    <row r="3454">
      <c r="A3454" s="15">
        <f>IFERROR(__xludf.DUMMYFUNCTION("""COMPUTED_VALUE"""),45100.0)</f>
        <v>45100</v>
      </c>
      <c r="B3454" s="16" t="str">
        <f>IFERROR(__xludf.DUMMYFUNCTION("""COMPUTED_VALUE"""),"Oscar Augusto Meneses Osias")</f>
        <v>Oscar Augusto Meneses Osias</v>
      </c>
      <c r="C3454" s="15" t="str">
        <f>IFERROR(__xludf.DUMMYFUNCTION("""COMPUTED_VALUE"""),"MEDELLÍN")</f>
        <v>MEDELLÍN</v>
      </c>
      <c r="D3454" s="15" t="str">
        <f>IFERROR(__xludf.DUMMYFUNCTION("""COMPUTED_VALUE"""),"BOGOTÁ")</f>
        <v>BOGOTÁ</v>
      </c>
      <c r="E3454" s="15" t="str">
        <f>IFERROR(__xludf.DUMMYFUNCTION("""COMPUTED_VALUE"""),"MAI ALIMENTOS S.A.S")</f>
        <v>MAI ALIMENTOS S.A.S</v>
      </c>
      <c r="F3454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3454" s="15" t="str">
        <f>IFERROR(__xludf.DUMMYFUNCTION("""COMPUTED_VALUE"""),"Novaventas - Medellin")</f>
        <v>Novaventas - Medellin</v>
      </c>
      <c r="H3454" s="16">
        <f>IFERROR(__xludf.DUMMYFUNCTION("""COMPUTED_VALUE"""),11956.0)</f>
        <v>11956</v>
      </c>
      <c r="I3454" s="18">
        <f>IFERROR(__xludf.DUMMYFUNCTION("""COMPUTED_VALUE"""),35.0)</f>
        <v>35</v>
      </c>
      <c r="J3454" s="18">
        <f>IFERROR(__xludf.DUMMYFUNCTION("""COMPUTED_VALUE"""),17.0)</f>
        <v>17</v>
      </c>
      <c r="K3454" s="18">
        <f>IFERROR(__xludf.DUMMYFUNCTION("""COMPUTED_VALUE"""),13.0)</f>
        <v>13</v>
      </c>
      <c r="L3454" s="17">
        <f>IFERROR(__xludf.DUMMYFUNCTION("""COMPUTED_VALUE"""),3.187351593E9)</f>
        <v>3187351593</v>
      </c>
      <c r="M3454" s="17" t="str">
        <f>IFERROR(__xludf.DUMMYFUNCTION("""COMPUTED_VALUE"""),"#REF!")</f>
        <v>#REF!</v>
      </c>
      <c r="N3454" s="17"/>
      <c r="O3454" s="17"/>
      <c r="P3454" s="17" t="b">
        <f>IFERROR(__xludf.DUMMYFUNCTION("""COMPUTED_VALUE"""),FALSE)</f>
        <v>0</v>
      </c>
      <c r="Q3454" s="20" t="str">
        <f>IFERROR(__xludf.DUMMYFUNCTION("""COMPUTED_VALUE"""),"")</f>
        <v/>
      </c>
      <c r="R3454" s="21" t="str">
        <f>IFERROR(__xludf.DUMMYFUNCTION("""COMPUTED_VALUE"""),"https://drive.google.com/file/d/1jC3cCU1RD_tLkSrvrCi8_-2IqNeEDsOt/view?usp=drivesdk")</f>
        <v>https://drive.google.com/file/d/1jC3cCU1RD_tLkSrvrCi8_-2IqNeEDsOt/view?usp=drivesdk</v>
      </c>
    </row>
    <row r="3455">
      <c r="A3455" s="15">
        <f>IFERROR(__xludf.DUMMYFUNCTION("""COMPUTED_VALUE"""),45100.0)</f>
        <v>45100</v>
      </c>
      <c r="B3455" s="16" t="str">
        <f>IFERROR(__xludf.DUMMYFUNCTION("""COMPUTED_VALUE"""),"Oscar Augusto Meneses Osias")</f>
        <v>Oscar Augusto Meneses Osias</v>
      </c>
      <c r="C3455" s="15" t="str">
        <f>IFERROR(__xludf.DUMMYFUNCTION("""COMPUTED_VALUE"""),"MEDELLÍN")</f>
        <v>MEDELLÍN</v>
      </c>
      <c r="D3455" s="15" t="str">
        <f>IFERROR(__xludf.DUMMYFUNCTION("""COMPUTED_VALUE"""),"BOGOTÁ")</f>
        <v>BOGOTÁ</v>
      </c>
      <c r="E3455" s="15" t="str">
        <f>IFERROR(__xludf.DUMMYFUNCTION("""COMPUTED_VALUE"""),"Renata")</f>
        <v>Renata</v>
      </c>
      <c r="F3455" s="17" t="str">
        <f>IFERROR(__xludf.DUMMYFUNCTION("""COMPUTED_VALUE"""),"Carrera 32d#9-43 / Seline y cowork -restaurante  / Provenza")</f>
        <v>Carrera 32d#9-43 / Seline y cowork -restaurante  / Provenza</v>
      </c>
      <c r="G3455" s="15" t="str">
        <f>IFERROR(__xludf.DUMMYFUNCTION("""COMPUTED_VALUE"""),"Front y back hospitality group")</f>
        <v>Front y back hospitality group</v>
      </c>
      <c r="H3455" s="16">
        <f>IFERROR(__xludf.DUMMYFUNCTION("""COMPUTED_VALUE"""),11975.0)</f>
        <v>11975</v>
      </c>
      <c r="I3455" s="18">
        <f>IFERROR(__xludf.DUMMYFUNCTION("""COMPUTED_VALUE"""),90.0)</f>
        <v>90</v>
      </c>
      <c r="J3455" s="18">
        <f>IFERROR(__xludf.DUMMYFUNCTION("""COMPUTED_VALUE"""),70.0)</f>
        <v>70</v>
      </c>
      <c r="K3455" s="18">
        <f>IFERROR(__xludf.DUMMYFUNCTION("""COMPUTED_VALUE"""),60.0)</f>
        <v>60</v>
      </c>
      <c r="L3455" s="17">
        <f>IFERROR(__xludf.DUMMYFUNCTION("""COMPUTED_VALUE"""),3.104047368E9)</f>
        <v>3104047368</v>
      </c>
      <c r="M3455" s="17" t="str">
        <f>IFERROR(__xludf.DUMMYFUNCTION("""COMPUTED_VALUE"""),"#REF!")</f>
        <v>#REF!</v>
      </c>
      <c r="N3455" s="17"/>
      <c r="O3455" s="17"/>
      <c r="P3455" s="17" t="b">
        <f>IFERROR(__xludf.DUMMYFUNCTION("""COMPUTED_VALUE"""),FALSE)</f>
        <v>0</v>
      </c>
      <c r="Q3455" s="20" t="str">
        <f>IFERROR(__xludf.DUMMYFUNCTION("""COMPUTED_VALUE"""),"")</f>
        <v/>
      </c>
      <c r="R3455" s="21" t="str">
        <f>IFERROR(__xludf.DUMMYFUNCTION("""COMPUTED_VALUE"""),"https://drive.google.com/file/d/1QvvGqj6UAkx16-EPP52yPayPFt3idnfH/view?usp=drivesdk")</f>
        <v>https://drive.google.com/file/d/1QvvGqj6UAkx16-EPP52yPayPFt3idnfH/view?usp=drivesdk</v>
      </c>
    </row>
    <row r="3456">
      <c r="A3456" s="15">
        <f>IFERROR(__xludf.DUMMYFUNCTION("""COMPUTED_VALUE"""),45100.0)</f>
        <v>45100</v>
      </c>
      <c r="B3456" s="16" t="str">
        <f>IFERROR(__xludf.DUMMYFUNCTION("""COMPUTED_VALUE"""),"Oscar Augusto Meneses Osias")</f>
        <v>Oscar Augusto Meneses Osias</v>
      </c>
      <c r="C3456" s="15" t="str">
        <f>IFERROR(__xludf.DUMMYFUNCTION("""COMPUTED_VALUE"""),"MEDELLÍN")</f>
        <v>MEDELLÍN</v>
      </c>
      <c r="D3456" s="15" t="str">
        <f>IFERROR(__xludf.DUMMYFUNCTION("""COMPUTED_VALUE"""),"BOGOTÁ")</f>
        <v>BOGOTÁ</v>
      </c>
      <c r="E3456" s="15" t="str">
        <f>IFERROR(__xludf.DUMMYFUNCTION("""COMPUTED_VALUE"""),"Top Spun")</f>
        <v>Top Spun</v>
      </c>
      <c r="F3456" s="17" t="str">
        <f>IFERROR(__xludf.DUMMYFUNCTION("""COMPUTED_VALUE"""),"Carrera 25 # 1 A Sur 45 / Bodega N°3NP-B-02 Sótano S4 Rojo  / Parque Comercial El Tesoro")</f>
        <v>Carrera 25 # 1 A Sur 45 / Bodega N°3NP-B-02 Sótano S4 Rojo  / Parque Comercial El Tesoro</v>
      </c>
      <c r="G3456" s="15" t="str">
        <f>IFERROR(__xludf.DUMMYFUNCTION("""COMPUTED_VALUE"""),"Merkaorganico")</f>
        <v>Merkaorganico</v>
      </c>
      <c r="H3456" s="16">
        <f>IFERROR(__xludf.DUMMYFUNCTION("""COMPUTED_VALUE"""),11944.0)</f>
        <v>11944</v>
      </c>
      <c r="I3456" s="18">
        <f>IFERROR(__xludf.DUMMYFUNCTION("""COMPUTED_VALUE"""),21.0)</f>
        <v>21</v>
      </c>
      <c r="J3456" s="18">
        <f>IFERROR(__xludf.DUMMYFUNCTION("""COMPUTED_VALUE"""),30.0)</f>
        <v>30</v>
      </c>
      <c r="K3456" s="18">
        <f>IFERROR(__xludf.DUMMYFUNCTION("""COMPUTED_VALUE"""),50.0)</f>
        <v>50</v>
      </c>
      <c r="L3456" s="17">
        <f>IFERROR(__xludf.DUMMYFUNCTION("""COMPUTED_VALUE"""),3.214690579E9)</f>
        <v>3214690579</v>
      </c>
      <c r="M3456" s="17" t="str">
        <f>IFERROR(__xludf.DUMMYFUNCTION("""COMPUTED_VALUE"""),"#REF!")</f>
        <v>#REF!</v>
      </c>
      <c r="N3456" s="17"/>
      <c r="O3456" s="17"/>
      <c r="P3456" s="17" t="b">
        <f>IFERROR(__xludf.DUMMYFUNCTION("""COMPUTED_VALUE"""),FALSE)</f>
        <v>0</v>
      </c>
      <c r="Q3456" s="20" t="str">
        <f>IFERROR(__xludf.DUMMYFUNCTION("""COMPUTED_VALUE"""),"")</f>
        <v/>
      </c>
      <c r="R3456" s="21" t="str">
        <f>IFERROR(__xludf.DUMMYFUNCTION("""COMPUTED_VALUE"""),"https://drive.google.com/file/d/1morPsCD73UugLwD326rqi3uKvvv_Ehya/view?usp=drivesdk")</f>
        <v>https://drive.google.com/file/d/1morPsCD73UugLwD326rqi3uKvvv_Ehya/view?usp=drivesdk</v>
      </c>
    </row>
    <row r="3457">
      <c r="A3457" s="17" t="str">
        <f>IFERROR(__xludf.DUMMYFUNCTION("""COMPUTED_VALUE"""),"")</f>
        <v/>
      </c>
      <c r="B3457" s="17" t="str">
        <f>IFERROR(__xludf.DUMMYFUNCTION("""COMPUTED_VALUE"""),"")</f>
        <v/>
      </c>
      <c r="C3457" s="17" t="str">
        <f>IFERROR(__xludf.DUMMYFUNCTION("""COMPUTED_VALUE"""),"")</f>
        <v/>
      </c>
      <c r="D3457" s="17" t="str">
        <f>IFERROR(__xludf.DUMMYFUNCTION("""COMPUTED_VALUE"""),"")</f>
        <v/>
      </c>
      <c r="E3457" s="17" t="str">
        <f>IFERROR(__xludf.DUMMYFUNCTION("""COMPUTED_VALUE"""),"")</f>
        <v/>
      </c>
      <c r="F3457" s="17" t="str">
        <f>IFERROR(__xludf.DUMMYFUNCTION("""COMPUTED_VALUE"""),"")</f>
        <v/>
      </c>
      <c r="G3457" s="17" t="str">
        <f>IFERROR(__xludf.DUMMYFUNCTION("""COMPUTED_VALUE"""),"")</f>
        <v/>
      </c>
      <c r="H3457" s="17" t="str">
        <f>IFERROR(__xludf.DUMMYFUNCTION("""COMPUTED_VALUE"""),"")</f>
        <v/>
      </c>
      <c r="I3457" s="17" t="str">
        <f>IFERROR(__xludf.DUMMYFUNCTION("""COMPUTED_VALUE"""),"")</f>
        <v/>
      </c>
      <c r="J3457" s="17" t="str">
        <f>IFERROR(__xludf.DUMMYFUNCTION("""COMPUTED_VALUE"""),"")</f>
        <v/>
      </c>
      <c r="K3457" s="17" t="str">
        <f>IFERROR(__xludf.DUMMYFUNCTION("""COMPUTED_VALUE"""),"")</f>
        <v/>
      </c>
      <c r="L3457" s="17" t="str">
        <f>IFERROR(__xludf.DUMMYFUNCTION("""COMPUTED_VALUE"""),"")</f>
        <v/>
      </c>
      <c r="M3457" s="17" t="str">
        <f>IFERROR(__xludf.DUMMYFUNCTION("""COMPUTED_VALUE"""),"")</f>
        <v/>
      </c>
      <c r="N3457" s="17" t="str">
        <f>IFERROR(__xludf.DUMMYFUNCTION("""COMPUTED_VALUE"""),"")</f>
        <v/>
      </c>
      <c r="O3457" s="17" t="str">
        <f>IFERROR(__xludf.DUMMYFUNCTION("""COMPUTED_VALUE"""),"")</f>
        <v/>
      </c>
      <c r="P3457" s="17" t="str">
        <f>IFERROR(__xludf.DUMMYFUNCTION("""COMPUTED_VALUE"""),"")</f>
        <v/>
      </c>
      <c r="Q3457" s="17" t="str">
        <f>IFERROR(__xludf.DUMMYFUNCTION("""COMPUTED_VALUE"""),"")</f>
        <v/>
      </c>
      <c r="R3457" s="17" t="str">
        <f>IFERROR(__xludf.DUMMYFUNCTION("""COMPUTED_VALUE"""),"")</f>
        <v/>
      </c>
    </row>
    <row r="3458">
      <c r="A3458" s="15">
        <f>IFERROR(__xludf.DUMMYFUNCTION("""COMPUTED_VALUE"""),45101.0)</f>
        <v>45101</v>
      </c>
      <c r="B3458" s="16" t="str">
        <f>IFERROR(__xludf.DUMMYFUNCTION("""COMPUTED_VALUE"""),"Envia")</f>
        <v>Envia</v>
      </c>
      <c r="C3458" s="15" t="str">
        <f>IFERROR(__xludf.DUMMYFUNCTION("""COMPUTED_VALUE"""),"VILLAVICENCIO")</f>
        <v>VILLAVICENCIO</v>
      </c>
      <c r="D3458" s="15" t="str">
        <f>IFERROR(__xludf.DUMMYFUNCTION("""COMPUTED_VALUE"""),"BOGOTÁ")</f>
        <v>BOGOTÁ</v>
      </c>
      <c r="E3458" s="15" t="str">
        <f>IFERROR(__xludf.DUMMYFUNCTION("""COMPUTED_VALUE"""),"Mochi")</f>
        <v>Mochi</v>
      </c>
      <c r="F3458" s="17" t="str">
        <f>IFERROR(__xludf.DUMMYFUNCTION("""COMPUTED_VALUE"""),"Centro Comercial Viva Villavicencio / Centro Comercial Viva Villavicencio / Centro Comercial Viva Villavicencio")</f>
        <v>Centro Comercial Viva Villavicencio / Centro Comercial Viva Villavicencio / Centro Comercial Viva Villavicencio</v>
      </c>
      <c r="G3458" s="15" t="str">
        <f>IFERROR(__xludf.DUMMYFUNCTION("""COMPUTED_VALUE"""),"Mauriio Mora")</f>
        <v>Mauriio Mora</v>
      </c>
      <c r="H3458" s="16">
        <f>IFERROR(__xludf.DUMMYFUNCTION("""COMPUTED_VALUE"""),12010.0)</f>
        <v>12010</v>
      </c>
      <c r="I3458" s="18">
        <f>IFERROR(__xludf.DUMMYFUNCTION("""COMPUTED_VALUE"""),100.0)</f>
        <v>100</v>
      </c>
      <c r="J3458" s="18">
        <f>IFERROR(__xludf.DUMMYFUNCTION("""COMPUTED_VALUE"""),100.0)</f>
        <v>100</v>
      </c>
      <c r="K3458" s="18">
        <f>IFERROR(__xludf.DUMMYFUNCTION("""COMPUTED_VALUE"""),100.0)</f>
        <v>100</v>
      </c>
      <c r="L3458" s="17">
        <f>IFERROR(__xludf.DUMMYFUNCTION("""COMPUTED_VALUE"""),3.115177645E9)</f>
        <v>3115177645</v>
      </c>
      <c r="M3458" s="17" t="str">
        <f>IFERROR(__xludf.DUMMYFUNCTION("""COMPUTED_VALUE"""),"#REF!")</f>
        <v>#REF!</v>
      </c>
      <c r="N3458" s="17"/>
      <c r="O3458" s="17"/>
      <c r="P3458" s="17" t="b">
        <f>IFERROR(__xludf.DUMMYFUNCTION("""COMPUTED_VALUE"""),FALSE)</f>
        <v>0</v>
      </c>
      <c r="Q3458" s="20" t="str">
        <f>IFERROR(__xludf.DUMMYFUNCTION("""COMPUTED_VALUE"""),"")</f>
        <v/>
      </c>
      <c r="R3458" s="22" t="str">
        <f>IFERROR(__xludf.DUMMYFUNCTION("""COMPUTED_VALUE"""),"")</f>
        <v/>
      </c>
    </row>
    <row r="3459">
      <c r="A3459" s="17" t="str">
        <f>IFERROR(__xludf.DUMMYFUNCTION("""COMPUTED_VALUE"""),"")</f>
        <v/>
      </c>
      <c r="B3459" s="17" t="str">
        <f>IFERROR(__xludf.DUMMYFUNCTION("""COMPUTED_VALUE"""),"")</f>
        <v/>
      </c>
      <c r="C3459" s="17" t="str">
        <f>IFERROR(__xludf.DUMMYFUNCTION("""COMPUTED_VALUE"""),"")</f>
        <v/>
      </c>
      <c r="D3459" s="17" t="str">
        <f>IFERROR(__xludf.DUMMYFUNCTION("""COMPUTED_VALUE"""),"")</f>
        <v/>
      </c>
      <c r="E3459" s="17" t="str">
        <f>IFERROR(__xludf.DUMMYFUNCTION("""COMPUTED_VALUE"""),"")</f>
        <v/>
      </c>
      <c r="F3459" s="17" t="str">
        <f>IFERROR(__xludf.DUMMYFUNCTION("""COMPUTED_VALUE"""),"")</f>
        <v/>
      </c>
      <c r="G3459" s="17" t="str">
        <f>IFERROR(__xludf.DUMMYFUNCTION("""COMPUTED_VALUE"""),"")</f>
        <v/>
      </c>
      <c r="H3459" s="17" t="str">
        <f>IFERROR(__xludf.DUMMYFUNCTION("""COMPUTED_VALUE"""),"")</f>
        <v/>
      </c>
      <c r="I3459" s="17" t="str">
        <f>IFERROR(__xludf.DUMMYFUNCTION("""COMPUTED_VALUE"""),"")</f>
        <v/>
      </c>
      <c r="J3459" s="17" t="str">
        <f>IFERROR(__xludf.DUMMYFUNCTION("""COMPUTED_VALUE"""),"")</f>
        <v/>
      </c>
      <c r="K3459" s="17" t="str">
        <f>IFERROR(__xludf.DUMMYFUNCTION("""COMPUTED_VALUE"""),"")</f>
        <v/>
      </c>
      <c r="L3459" s="17" t="str">
        <f>IFERROR(__xludf.DUMMYFUNCTION("""COMPUTED_VALUE"""),"")</f>
        <v/>
      </c>
      <c r="M3459" s="17" t="str">
        <f>IFERROR(__xludf.DUMMYFUNCTION("""COMPUTED_VALUE"""),"")</f>
        <v/>
      </c>
      <c r="N3459" s="17" t="str">
        <f>IFERROR(__xludf.DUMMYFUNCTION("""COMPUTED_VALUE"""),"")</f>
        <v/>
      </c>
      <c r="O3459" s="17" t="str">
        <f>IFERROR(__xludf.DUMMYFUNCTION("""COMPUTED_VALUE"""),"")</f>
        <v/>
      </c>
      <c r="P3459" s="17" t="str">
        <f>IFERROR(__xludf.DUMMYFUNCTION("""COMPUTED_VALUE"""),"")</f>
        <v/>
      </c>
      <c r="Q3459" s="17" t="str">
        <f>IFERROR(__xludf.DUMMYFUNCTION("""COMPUTED_VALUE"""),"")</f>
        <v/>
      </c>
      <c r="R3459" s="17" t="str">
        <f>IFERROR(__xludf.DUMMYFUNCTION("""COMPUTED_VALUE"""),"")</f>
        <v/>
      </c>
    </row>
    <row r="3460">
      <c r="A3460" s="15">
        <f>IFERROR(__xludf.DUMMYFUNCTION("""COMPUTED_VALUE"""),45101.0)</f>
        <v>45101</v>
      </c>
      <c r="B3460" s="16" t="str">
        <f>IFERROR(__xludf.DUMMYFUNCTION("""COMPUTED_VALUE"""),"Oscar Augusto Meneses Osias")</f>
        <v>Oscar Augusto Meneses Osias</v>
      </c>
      <c r="C3460" s="15" t="str">
        <f>IFERROR(__xludf.DUMMYFUNCTION("""COMPUTED_VALUE"""),"MEDELLÍN")</f>
        <v>MEDELLÍN</v>
      </c>
      <c r="D3460" s="15" t="str">
        <f>IFERROR(__xludf.DUMMYFUNCTION("""COMPUTED_VALUE"""),"BOGOTÁ")</f>
        <v>BOGOTÁ</v>
      </c>
      <c r="E3460" s="15" t="str">
        <f>IFERROR(__xludf.DUMMYFUNCTION("""COMPUTED_VALUE"""),"Mochi")</f>
        <v>Mochi</v>
      </c>
      <c r="F3460" s="17" t="str">
        <f>IFERROR(__xludf.DUMMYFUNCTION("""COMPUTED_VALUE"""),"Centro Comercial Viva Envigado / Centro Comercial Viva Envigado / Centro Comercial Viva Envigado")</f>
        <v>Centro Comercial Viva Envigado / Centro Comercial Viva Envigado / Centro Comercial Viva Envigado</v>
      </c>
      <c r="G3460" s="15" t="str">
        <f>IFERROR(__xludf.DUMMYFUNCTION("""COMPUTED_VALUE"""),"Tania")</f>
        <v>Tania</v>
      </c>
      <c r="H3460" s="16">
        <f>IFERROR(__xludf.DUMMYFUNCTION("""COMPUTED_VALUE"""),12011.0)</f>
        <v>12011</v>
      </c>
      <c r="I3460" s="18">
        <f>IFERROR(__xludf.DUMMYFUNCTION("""COMPUTED_VALUE"""),100.0)</f>
        <v>100</v>
      </c>
      <c r="J3460" s="18">
        <f>IFERROR(__xludf.DUMMYFUNCTION("""COMPUTED_VALUE"""),100.0)</f>
        <v>100</v>
      </c>
      <c r="K3460" s="18">
        <f>IFERROR(__xludf.DUMMYFUNCTION("""COMPUTED_VALUE"""),100.0)</f>
        <v>100</v>
      </c>
      <c r="L3460" s="17">
        <f>IFERROR(__xludf.DUMMYFUNCTION("""COMPUTED_VALUE"""),3.142587995E9)</f>
        <v>3142587995</v>
      </c>
      <c r="M3460" s="17" t="str">
        <f>IFERROR(__xludf.DUMMYFUNCTION("""COMPUTED_VALUE"""),"#REF!")</f>
        <v>#REF!</v>
      </c>
      <c r="N3460" s="17"/>
      <c r="O3460" s="17"/>
      <c r="P3460" s="17" t="b">
        <f>IFERROR(__xludf.DUMMYFUNCTION("""COMPUTED_VALUE"""),FALSE)</f>
        <v>0</v>
      </c>
      <c r="Q3460" s="20" t="str">
        <f>IFERROR(__xludf.DUMMYFUNCTION("""COMPUTED_VALUE"""),"")</f>
        <v/>
      </c>
      <c r="R3460" s="22" t="str">
        <f>IFERROR(__xludf.DUMMYFUNCTION("""COMPUTED_VALUE"""),"")</f>
        <v/>
      </c>
    </row>
    <row r="3461">
      <c r="A3461" s="17" t="str">
        <f>IFERROR(__xludf.DUMMYFUNCTION("""COMPUTED_VALUE"""),"")</f>
        <v/>
      </c>
      <c r="B3461" s="17" t="str">
        <f>IFERROR(__xludf.DUMMYFUNCTION("""COMPUTED_VALUE"""),"")</f>
        <v/>
      </c>
      <c r="C3461" s="17" t="str">
        <f>IFERROR(__xludf.DUMMYFUNCTION("""COMPUTED_VALUE"""),"")</f>
        <v/>
      </c>
      <c r="D3461" s="17" t="str">
        <f>IFERROR(__xludf.DUMMYFUNCTION("""COMPUTED_VALUE"""),"")</f>
        <v/>
      </c>
      <c r="E3461" s="17" t="str">
        <f>IFERROR(__xludf.DUMMYFUNCTION("""COMPUTED_VALUE"""),"")</f>
        <v/>
      </c>
      <c r="F3461" s="17" t="str">
        <f>IFERROR(__xludf.DUMMYFUNCTION("""COMPUTED_VALUE"""),"")</f>
        <v/>
      </c>
      <c r="G3461" s="17" t="str">
        <f>IFERROR(__xludf.DUMMYFUNCTION("""COMPUTED_VALUE"""),"")</f>
        <v/>
      </c>
      <c r="H3461" s="17" t="str">
        <f>IFERROR(__xludf.DUMMYFUNCTION("""COMPUTED_VALUE"""),"")</f>
        <v/>
      </c>
      <c r="I3461" s="17" t="str">
        <f>IFERROR(__xludf.DUMMYFUNCTION("""COMPUTED_VALUE"""),"")</f>
        <v/>
      </c>
      <c r="J3461" s="17" t="str">
        <f>IFERROR(__xludf.DUMMYFUNCTION("""COMPUTED_VALUE"""),"")</f>
        <v/>
      </c>
      <c r="K3461" s="17" t="str">
        <f>IFERROR(__xludf.DUMMYFUNCTION("""COMPUTED_VALUE"""),"")</f>
        <v/>
      </c>
      <c r="L3461" s="17" t="str">
        <f>IFERROR(__xludf.DUMMYFUNCTION("""COMPUTED_VALUE"""),"")</f>
        <v/>
      </c>
      <c r="M3461" s="17" t="str">
        <f>IFERROR(__xludf.DUMMYFUNCTION("""COMPUTED_VALUE"""),"")</f>
        <v/>
      </c>
      <c r="N3461" s="17" t="str">
        <f>IFERROR(__xludf.DUMMYFUNCTION("""COMPUTED_VALUE"""),"")</f>
        <v/>
      </c>
      <c r="O3461" s="17" t="str">
        <f>IFERROR(__xludf.DUMMYFUNCTION("""COMPUTED_VALUE"""),"")</f>
        <v/>
      </c>
      <c r="P3461" s="17" t="str">
        <f>IFERROR(__xludf.DUMMYFUNCTION("""COMPUTED_VALUE"""),"")</f>
        <v/>
      </c>
      <c r="Q3461" s="17" t="str">
        <f>IFERROR(__xludf.DUMMYFUNCTION("""COMPUTED_VALUE"""),"")</f>
        <v/>
      </c>
      <c r="R3461" s="17" t="str">
        <f>IFERROR(__xludf.DUMMYFUNCTION("""COMPUTED_VALUE"""),"")</f>
        <v/>
      </c>
    </row>
    <row r="3462">
      <c r="A3462" s="15">
        <f>IFERROR(__xludf.DUMMYFUNCTION("""COMPUTED_VALUE"""),45104.0)</f>
        <v>45104</v>
      </c>
      <c r="B3462" s="17"/>
      <c r="C3462" s="15" t="str">
        <f>IFERROR(__xludf.DUMMYFUNCTION("""COMPUTED_VALUE"""),"CALI")</f>
        <v>CALI</v>
      </c>
      <c r="D3462" s="15" t="str">
        <f>IFERROR(__xludf.DUMMYFUNCTION("""COMPUTED_VALUE"""),"BOGOTÁ")</f>
        <v>BOGOTÁ</v>
      </c>
      <c r="E3462" s="15" t="str">
        <f>IFERROR(__xludf.DUMMYFUNCTION("""COMPUTED_VALUE"""),"Loomifoods")</f>
        <v>Loomifoods</v>
      </c>
      <c r="F3462" s="17" t="str">
        <f>IFERROR(__xludf.DUMMYFUNCTION("""COMPUTED_VALUE"""),"Calle 21AN no. 9AN - 81 / apto 503 / Edificio Tali, Barrio Santa Mónica")</f>
        <v>Calle 21AN no. 9AN - 81 / apto 503 / Edificio Tali, Barrio Santa Mónica</v>
      </c>
      <c r="G3462" s="15" t="str">
        <f>IFERROR(__xludf.DUMMYFUNCTION("""COMPUTED_VALUE"""),"Alejandra Gomez")</f>
        <v>Alejandra Gomez</v>
      </c>
      <c r="H3462" s="16">
        <f>IFERROR(__xludf.DUMMYFUNCTION("""COMPUTED_VALUE"""),12030.0)</f>
        <v>12030</v>
      </c>
      <c r="I3462" s="18">
        <f>IFERROR(__xludf.DUMMYFUNCTION("""COMPUTED_VALUE"""),20.0)</f>
        <v>20</v>
      </c>
      <c r="J3462" s="18">
        <f>IFERROR(__xludf.DUMMYFUNCTION("""COMPUTED_VALUE"""),5.0)</f>
        <v>5</v>
      </c>
      <c r="K3462" s="18">
        <f>IFERROR(__xludf.DUMMYFUNCTION("""COMPUTED_VALUE"""),16.0)</f>
        <v>16</v>
      </c>
      <c r="L3462" s="17">
        <f>IFERROR(__xludf.DUMMYFUNCTION("""COMPUTED_VALUE"""),3.012249591E9)</f>
        <v>3012249591</v>
      </c>
      <c r="M3462" s="17" t="str">
        <f>IFERROR(__xludf.DUMMYFUNCTION("""COMPUTED_VALUE"""),"#REF!")</f>
        <v>#REF!</v>
      </c>
      <c r="N3462" s="17"/>
      <c r="O3462" s="17"/>
      <c r="P3462" s="17" t="b">
        <f>IFERROR(__xludf.DUMMYFUNCTION("""COMPUTED_VALUE"""),FALSE)</f>
        <v>0</v>
      </c>
      <c r="Q3462" s="20" t="str">
        <f>IFERROR(__xludf.DUMMYFUNCTION("""COMPUTED_VALUE"""),"")</f>
        <v/>
      </c>
      <c r="R3462" s="21" t="str">
        <f>IFERROR(__xludf.DUMMYFUNCTION("""COMPUTED_VALUE"""),"https://drive.google.com/file/d/1haXsPf2XDmeKs-BEoPASINfaz5yNtral/view?usp=drivesdk")</f>
        <v>https://drive.google.com/file/d/1haXsPf2XDmeKs-BEoPASINfaz5yNtral/view?usp=drivesdk</v>
      </c>
    </row>
    <row r="3463">
      <c r="A3463" s="15">
        <f>IFERROR(__xludf.DUMMYFUNCTION("""COMPUTED_VALUE"""),45104.0)</f>
        <v>45104</v>
      </c>
      <c r="B3463" s="17"/>
      <c r="C3463" s="15" t="str">
        <f>IFERROR(__xludf.DUMMYFUNCTION("""COMPUTED_VALUE"""),"CALI")</f>
        <v>CALI</v>
      </c>
      <c r="D3463" s="15" t="str">
        <f>IFERROR(__xludf.DUMMYFUNCTION("""COMPUTED_VALUE"""),"MEDELLÍN")</f>
        <v>MEDELLÍN</v>
      </c>
      <c r="E3463" s="15" t="str">
        <f>IFERROR(__xludf.DUMMYFUNCTION("""COMPUTED_VALUE"""),"Helados swip")</f>
        <v>Helados swip</v>
      </c>
      <c r="F3463" s="17" t="str">
        <f>IFERROR(__xludf.DUMMYFUNCTION("""COMPUTED_VALUE"""),"CARRERA 100# 15A 90 / LOCAL 104 / NUTRILIGHT AVENTURA CALI")</f>
        <v>CARRERA 100# 15A 90 / LOCAL 104 / NUTRILIGHT AVENTURA CALI</v>
      </c>
      <c r="G3463" s="15" t="str">
        <f>IFERROR(__xludf.DUMMYFUNCTION("""COMPUTED_VALUE"""),"NUTRILIGHT")</f>
        <v>NUTRILIGHT</v>
      </c>
      <c r="H3463" s="16">
        <f>IFERROR(__xludf.DUMMYFUNCTION("""COMPUTED_VALUE"""),12044.0)</f>
        <v>12044</v>
      </c>
      <c r="I3463" s="18">
        <f>IFERROR(__xludf.DUMMYFUNCTION("""COMPUTED_VALUE"""),50.0)</f>
        <v>50</v>
      </c>
      <c r="J3463" s="18">
        <f>IFERROR(__xludf.DUMMYFUNCTION("""COMPUTED_VALUE"""),30.0)</f>
        <v>30</v>
      </c>
      <c r="K3463" s="18">
        <f>IFERROR(__xludf.DUMMYFUNCTION("""COMPUTED_VALUE"""),21.0)</f>
        <v>21</v>
      </c>
      <c r="L3463" s="17">
        <f>IFERROR(__xludf.DUMMYFUNCTION("""COMPUTED_VALUE"""),3.127472631E9)</f>
        <v>3127472631</v>
      </c>
      <c r="M3463" s="17" t="str">
        <f>IFERROR(__xludf.DUMMYFUNCTION("""COMPUTED_VALUE"""),"#REF!")</f>
        <v>#REF!</v>
      </c>
      <c r="N3463" s="17"/>
      <c r="O3463" s="17"/>
      <c r="P3463" s="17" t="b">
        <f>IFERROR(__xludf.DUMMYFUNCTION("""COMPUTED_VALUE"""),FALSE)</f>
        <v>0</v>
      </c>
      <c r="Q3463" s="20" t="str">
        <f>IFERROR(__xludf.DUMMYFUNCTION("""COMPUTED_VALUE"""),"")</f>
        <v/>
      </c>
      <c r="R3463" s="21" t="str">
        <f>IFERROR(__xludf.DUMMYFUNCTION("""COMPUTED_VALUE"""),"https://drive.google.com/file/d/1oZCvyP2MeYtRss1jcEuD6ogGyucMcb3b/view?usp=drivesdk")</f>
        <v>https://drive.google.com/file/d/1oZCvyP2MeYtRss1jcEuD6ogGyucMcb3b/view?usp=drivesdk</v>
      </c>
    </row>
    <row r="3464">
      <c r="A3464" s="17" t="str">
        <f>IFERROR(__xludf.DUMMYFUNCTION("""COMPUTED_VALUE"""),"")</f>
        <v/>
      </c>
      <c r="B3464" s="17" t="str">
        <f>IFERROR(__xludf.DUMMYFUNCTION("""COMPUTED_VALUE"""),"")</f>
        <v/>
      </c>
      <c r="C3464" s="17" t="str">
        <f>IFERROR(__xludf.DUMMYFUNCTION("""COMPUTED_VALUE"""),"")</f>
        <v/>
      </c>
      <c r="D3464" s="17" t="str">
        <f>IFERROR(__xludf.DUMMYFUNCTION("""COMPUTED_VALUE"""),"")</f>
        <v/>
      </c>
      <c r="E3464" s="17" t="str">
        <f>IFERROR(__xludf.DUMMYFUNCTION("""COMPUTED_VALUE"""),"")</f>
        <v/>
      </c>
      <c r="F3464" s="17" t="str">
        <f>IFERROR(__xludf.DUMMYFUNCTION("""COMPUTED_VALUE"""),"")</f>
        <v/>
      </c>
      <c r="G3464" s="17" t="str">
        <f>IFERROR(__xludf.DUMMYFUNCTION("""COMPUTED_VALUE"""),"")</f>
        <v/>
      </c>
      <c r="H3464" s="17" t="str">
        <f>IFERROR(__xludf.DUMMYFUNCTION("""COMPUTED_VALUE"""),"")</f>
        <v/>
      </c>
      <c r="I3464" s="17" t="str">
        <f>IFERROR(__xludf.DUMMYFUNCTION("""COMPUTED_VALUE"""),"")</f>
        <v/>
      </c>
      <c r="J3464" s="17" t="str">
        <f>IFERROR(__xludf.DUMMYFUNCTION("""COMPUTED_VALUE"""),"")</f>
        <v/>
      </c>
      <c r="K3464" s="17" t="str">
        <f>IFERROR(__xludf.DUMMYFUNCTION("""COMPUTED_VALUE"""),"")</f>
        <v/>
      </c>
      <c r="L3464" s="17" t="str">
        <f>IFERROR(__xludf.DUMMYFUNCTION("""COMPUTED_VALUE"""),"")</f>
        <v/>
      </c>
      <c r="M3464" s="17" t="str">
        <f>IFERROR(__xludf.DUMMYFUNCTION("""COMPUTED_VALUE"""),"")</f>
        <v/>
      </c>
      <c r="N3464" s="17" t="str">
        <f>IFERROR(__xludf.DUMMYFUNCTION("""COMPUTED_VALUE"""),"")</f>
        <v/>
      </c>
      <c r="O3464" s="17" t="str">
        <f>IFERROR(__xludf.DUMMYFUNCTION("""COMPUTED_VALUE"""),"")</f>
        <v/>
      </c>
      <c r="P3464" s="17" t="str">
        <f>IFERROR(__xludf.DUMMYFUNCTION("""COMPUTED_VALUE"""),"")</f>
        <v/>
      </c>
      <c r="Q3464" s="17" t="str">
        <f>IFERROR(__xludf.DUMMYFUNCTION("""COMPUTED_VALUE"""),"")</f>
        <v/>
      </c>
      <c r="R3464" s="17" t="str">
        <f>IFERROR(__xludf.DUMMYFUNCTION("""COMPUTED_VALUE"""),"")</f>
        <v/>
      </c>
    </row>
    <row r="3465">
      <c r="A3465" s="15">
        <f>IFERROR(__xludf.DUMMYFUNCTION("""COMPUTED_VALUE"""),45104.0)</f>
        <v>45104</v>
      </c>
      <c r="B3465" s="16" t="str">
        <f>IFERROR(__xludf.DUMMYFUNCTION("""COMPUTED_VALUE"""),"Deivi Alejandro Quintero Corrales")</f>
        <v>Deivi Alejandro Quintero Corrales</v>
      </c>
      <c r="C3465" s="15" t="str">
        <f>IFERROR(__xludf.DUMMYFUNCTION("""COMPUTED_VALUE"""),"ARMENIA")</f>
        <v>ARMENIA</v>
      </c>
      <c r="D3465" s="15" t="str">
        <f>IFERROR(__xludf.DUMMYFUNCTION("""COMPUTED_VALUE"""),"MEDELLÍN")</f>
        <v>MEDELLÍN</v>
      </c>
      <c r="E3465" s="15" t="str">
        <f>IFERROR(__xludf.DUMMYFUNCTION("""COMPUTED_VALUE"""),"TOLEDALES S.A.S")</f>
        <v>TOLEDALES S.A.S</v>
      </c>
      <c r="F3465" s="17" t="str">
        <f>IFERROR(__xludf.DUMMYFUNCTION("""COMPUTED_VALUE"""),"Cra 14 # 46 norte -41 mall zona de oro")</f>
        <v>Cra 14 # 46 norte -41 mall zona de oro</v>
      </c>
      <c r="G3465" s="15" t="str">
        <f>IFERROR(__xludf.DUMMYFUNCTION("""COMPUTED_VALUE"""),"paola andrea gomez")</f>
        <v>paola andrea gomez</v>
      </c>
      <c r="H3465" s="16">
        <f>IFERROR(__xludf.DUMMYFUNCTION("""COMPUTED_VALUE"""),12036.0)</f>
        <v>12036</v>
      </c>
      <c r="I3465" s="18">
        <f>IFERROR(__xludf.DUMMYFUNCTION("""COMPUTED_VALUE"""),9.0)</f>
        <v>9</v>
      </c>
      <c r="J3465" s="18">
        <f>IFERROR(__xludf.DUMMYFUNCTION("""COMPUTED_VALUE"""),23.0)</f>
        <v>23</v>
      </c>
      <c r="K3465" s="18">
        <f>IFERROR(__xludf.DUMMYFUNCTION("""COMPUTED_VALUE"""),25.0)</f>
        <v>25</v>
      </c>
      <c r="L3465" s="17">
        <f>IFERROR(__xludf.DUMMYFUNCTION("""COMPUTED_VALUE"""),3.003222972E9)</f>
        <v>3003222972</v>
      </c>
      <c r="M3465" s="17" t="str">
        <f>IFERROR(__xludf.DUMMYFUNCTION("""COMPUTED_VALUE"""),"#REF!")</f>
        <v>#REF!</v>
      </c>
      <c r="N3465" s="17"/>
      <c r="O3465" s="17"/>
      <c r="P3465" s="17" t="b">
        <f>IFERROR(__xludf.DUMMYFUNCTION("""COMPUTED_VALUE"""),FALSE)</f>
        <v>0</v>
      </c>
      <c r="Q3465" s="20" t="str">
        <f>IFERROR(__xludf.DUMMYFUNCTION("""COMPUTED_VALUE"""),"")</f>
        <v/>
      </c>
      <c r="R3465" s="21" t="str">
        <f>IFERROR(__xludf.DUMMYFUNCTION("""COMPUTED_VALUE"""),"https://drive.google.com/file/d/1uyMcIm9m-6DF5p0tQNKVkh99tXnu5VIl/view?usp=drivesdk")</f>
        <v>https://drive.google.com/file/d/1uyMcIm9m-6DF5p0tQNKVkh99tXnu5VIl/view?usp=drivesdk</v>
      </c>
    </row>
    <row r="3466">
      <c r="A3466" s="15">
        <f>IFERROR(__xludf.DUMMYFUNCTION("""COMPUTED_VALUE"""),45104.0)</f>
        <v>45104</v>
      </c>
      <c r="B3466" s="16" t="str">
        <f>IFERROR(__xludf.DUMMYFUNCTION("""COMPUTED_VALUE"""),"Deivi Alejandro Quintero Corrales")</f>
        <v>Deivi Alejandro Quintero Corrales</v>
      </c>
      <c r="C3466" s="15" t="str">
        <f>IFERROR(__xludf.DUMMYFUNCTION("""COMPUTED_VALUE"""),"PEREIRA")</f>
        <v>PEREIRA</v>
      </c>
      <c r="D3466" s="15" t="str">
        <f>IFERROR(__xludf.DUMMYFUNCTION("""COMPUTED_VALUE"""),"BOGOTÁ")</f>
        <v>BOGOTÁ</v>
      </c>
      <c r="E3466" s="15" t="str">
        <f>IFERROR(__xludf.DUMMYFUNCTION("""COMPUTED_VALUE"""),"Pan de Waffle")</f>
        <v>Pan de Waffle</v>
      </c>
      <c r="F3466" s="17" t="str">
        <f>IFERROR(__xludf.DUMMYFUNCTION("""COMPUTED_VALUE"""),"Calle 35 # 11 - 41 Local 43 Conjunto Las Garzas / Calle 35 # 11 - 41 Local 43 Conjunto Las Garzas / Calle 35 # 11 - 41 Local 43 Conjunto Las Garzas")</f>
        <v>Calle 35 # 11 - 41 Local 43 Conjunto Las Garzas / Calle 35 # 11 - 41 Local 43 Conjunto Las Garzas / Calle 35 # 11 - 41 Local 43 Conjunto Las Garzas</v>
      </c>
      <c r="G3466" s="15" t="str">
        <f>IFERROR(__xludf.DUMMYFUNCTION("""COMPUTED_VALUE"""),"NATURALE CARNICOS Y SALSAMENTARIA")</f>
        <v>NATURALE CARNICOS Y SALSAMENTARIA</v>
      </c>
      <c r="H3466" s="16">
        <f>IFERROR(__xludf.DUMMYFUNCTION("""COMPUTED_VALUE"""),12046.0)</f>
        <v>12046</v>
      </c>
      <c r="I3466" s="18">
        <f>IFERROR(__xludf.DUMMYFUNCTION("""COMPUTED_VALUE"""),40.0)</f>
        <v>40</v>
      </c>
      <c r="J3466" s="18">
        <f>IFERROR(__xludf.DUMMYFUNCTION("""COMPUTED_VALUE"""),30.0)</f>
        <v>30</v>
      </c>
      <c r="K3466" s="18">
        <f>IFERROR(__xludf.DUMMYFUNCTION("""COMPUTED_VALUE"""),40.0)</f>
        <v>40</v>
      </c>
      <c r="L3466" s="17">
        <f>IFERROR(__xludf.DUMMYFUNCTION("""COMPUTED_VALUE"""),3.136850381E9)</f>
        <v>3136850381</v>
      </c>
      <c r="M3466" s="17" t="str">
        <f>IFERROR(__xludf.DUMMYFUNCTION("""COMPUTED_VALUE"""),"#REF!")</f>
        <v>#REF!</v>
      </c>
      <c r="N3466" s="17"/>
      <c r="O3466" s="17"/>
      <c r="P3466" s="17" t="b">
        <f>IFERROR(__xludf.DUMMYFUNCTION("""COMPUTED_VALUE"""),FALSE)</f>
        <v>0</v>
      </c>
      <c r="Q3466" s="20" t="str">
        <f>IFERROR(__xludf.DUMMYFUNCTION("""COMPUTED_VALUE"""),"")</f>
        <v/>
      </c>
      <c r="R3466" s="21" t="str">
        <f>IFERROR(__xludf.DUMMYFUNCTION("""COMPUTED_VALUE"""),"https://drive.google.com/file/d/1KhpEotPccwMqBHYp0_4wOqkvkL9JSL1U/view?usp=drivesdk")</f>
        <v>https://drive.google.com/file/d/1KhpEotPccwMqBHYp0_4wOqkvkL9JSL1U/view?usp=drivesdk</v>
      </c>
    </row>
    <row r="3467">
      <c r="A3467" s="15">
        <f>IFERROR(__xludf.DUMMYFUNCTION("""COMPUTED_VALUE"""),45104.0)</f>
        <v>45104</v>
      </c>
      <c r="B3467" s="16" t="str">
        <f>IFERROR(__xludf.DUMMYFUNCTION("""COMPUTED_VALUE"""),"Deivi Alejandro Quintero Corrales")</f>
        <v>Deivi Alejandro Quintero Corrales</v>
      </c>
      <c r="C3467" s="15" t="str">
        <f>IFERROR(__xludf.DUMMYFUNCTION("""COMPUTED_VALUE"""),"PEREIRA")</f>
        <v>PEREIRA</v>
      </c>
      <c r="D3467" s="15" t="str">
        <f>IFERROR(__xludf.DUMMYFUNCTION("""COMPUTED_VALUE"""),"BOGOTÁ")</f>
        <v>BOGOTÁ</v>
      </c>
      <c r="E3467" s="15" t="str">
        <f>IFERROR(__xludf.DUMMYFUNCTION("""COMPUTED_VALUE"""),"Pan de Waffle")</f>
        <v>Pan de Waffle</v>
      </c>
      <c r="F3467" s="17" t="str">
        <f>IFERROR(__xludf.DUMMYFUNCTION("""COMPUTED_VALUE"""),"Carrera 14 # 12 - 55 / Carrera 14 # 12 - 55 / Carrera 14 # 12 - 55")</f>
        <v>Carrera 14 # 12 - 55 / Carrera 14 # 12 - 55 / Carrera 14 # 12 - 55</v>
      </c>
      <c r="G3467" s="15" t="str">
        <f>IFERROR(__xludf.DUMMYFUNCTION("""COMPUTED_VALUE"""),"VITA ECO PEREIRA")</f>
        <v>VITA ECO PEREIRA</v>
      </c>
      <c r="H3467" s="16">
        <f>IFERROR(__xludf.DUMMYFUNCTION("""COMPUTED_VALUE"""),12049.0)</f>
        <v>12049</v>
      </c>
      <c r="I3467" s="18">
        <f>IFERROR(__xludf.DUMMYFUNCTION("""COMPUTED_VALUE"""),30.0)</f>
        <v>30</v>
      </c>
      <c r="J3467" s="18">
        <f>IFERROR(__xludf.DUMMYFUNCTION("""COMPUTED_VALUE"""),40.0)</f>
        <v>40</v>
      </c>
      <c r="K3467" s="18">
        <f>IFERROR(__xludf.DUMMYFUNCTION("""COMPUTED_VALUE"""),30.0)</f>
        <v>30</v>
      </c>
      <c r="L3467" s="17">
        <f>IFERROR(__xludf.DUMMYFUNCTION("""COMPUTED_VALUE"""),3.215501948E9)</f>
        <v>3215501948</v>
      </c>
      <c r="M3467" s="17" t="str">
        <f>IFERROR(__xludf.DUMMYFUNCTION("""COMPUTED_VALUE"""),"#REF!")</f>
        <v>#REF!</v>
      </c>
      <c r="N3467" s="17"/>
      <c r="O3467" s="17"/>
      <c r="P3467" s="17" t="b">
        <f>IFERROR(__xludf.DUMMYFUNCTION("""COMPUTED_VALUE"""),FALSE)</f>
        <v>0</v>
      </c>
      <c r="Q3467" s="20" t="str">
        <f>IFERROR(__xludf.DUMMYFUNCTION("""COMPUTED_VALUE"""),"")</f>
        <v/>
      </c>
      <c r="R3467" s="21" t="str">
        <f>IFERROR(__xludf.DUMMYFUNCTION("""COMPUTED_VALUE"""),"https://drive.google.com/file/d/1AbTF5f1G03MTvzwy5eeAC1vvaWVGL_Ni/view?usp=drivesdk")</f>
        <v>https://drive.google.com/file/d/1AbTF5f1G03MTvzwy5eeAC1vvaWVGL_Ni/view?usp=drivesdk</v>
      </c>
    </row>
    <row r="3468">
      <c r="A3468" s="15">
        <f>IFERROR(__xludf.DUMMYFUNCTION("""COMPUTED_VALUE"""),45104.0)</f>
        <v>45104</v>
      </c>
      <c r="B3468" s="16" t="str">
        <f>IFERROR(__xludf.DUMMYFUNCTION("""COMPUTED_VALUE"""),"Deivi Alejandro Quintero Corrales")</f>
        <v>Deivi Alejandro Quintero Corrales</v>
      </c>
      <c r="C3468" s="15" t="str">
        <f>IFERROR(__xludf.DUMMYFUNCTION("""COMPUTED_VALUE"""),"PEREIRA")</f>
        <v>PEREIRA</v>
      </c>
      <c r="D3468" s="15" t="str">
        <f>IFERROR(__xludf.DUMMYFUNCTION("""COMPUTED_VALUE"""),"BOGOTÁ")</f>
        <v>BOGOTÁ</v>
      </c>
      <c r="E3468" s="15" t="str">
        <f>IFERROR(__xludf.DUMMYFUNCTION("""COMPUTED_VALUE"""),"Pan de Waffle")</f>
        <v>Pan de Waffle</v>
      </c>
      <c r="F3468" s="17" t="str">
        <f>IFERROR(__xludf.DUMMYFUNCTION("""COMPUTED_VALUE"""),"Megacentro Pinares Piso 0 Local 019 / Megacentro Pinares Piso 0 Local 019 / Megacentro Pinares Piso 0 Local 019")</f>
        <v>Megacentro Pinares Piso 0 Local 019 / Megacentro Pinares Piso 0 Local 019 / Megacentro Pinares Piso 0 Local 019</v>
      </c>
      <c r="G3468" s="15" t="str">
        <f>IFERROR(__xludf.DUMMYFUNCTION("""COMPUTED_VALUE"""),"TERRASANO MEGACENTRO")</f>
        <v>TERRASANO MEGACENTRO</v>
      </c>
      <c r="H3468" s="16">
        <f>IFERROR(__xludf.DUMMYFUNCTION("""COMPUTED_VALUE"""),12045.0)</f>
        <v>12045</v>
      </c>
      <c r="I3468" s="18">
        <f>IFERROR(__xludf.DUMMYFUNCTION("""COMPUTED_VALUE"""),30.0)</f>
        <v>30</v>
      </c>
      <c r="J3468" s="18">
        <f>IFERROR(__xludf.DUMMYFUNCTION("""COMPUTED_VALUE"""),30.0)</f>
        <v>30</v>
      </c>
      <c r="K3468" s="18">
        <f>IFERROR(__xludf.DUMMYFUNCTION("""COMPUTED_VALUE"""),40.0)</f>
        <v>40</v>
      </c>
      <c r="L3468" s="17">
        <f>IFERROR(__xludf.DUMMYFUNCTION("""COMPUTED_VALUE"""),3.13703624E9)</f>
        <v>3137036240</v>
      </c>
      <c r="M3468" s="17" t="str">
        <f>IFERROR(__xludf.DUMMYFUNCTION("""COMPUTED_VALUE"""),"#REF!")</f>
        <v>#REF!</v>
      </c>
      <c r="N3468" s="17"/>
      <c r="O3468" s="17"/>
      <c r="P3468" s="17" t="b">
        <f>IFERROR(__xludf.DUMMYFUNCTION("""COMPUTED_VALUE"""),FALSE)</f>
        <v>0</v>
      </c>
      <c r="Q3468" s="20" t="str">
        <f>IFERROR(__xludf.DUMMYFUNCTION("""COMPUTED_VALUE"""),"")</f>
        <v/>
      </c>
      <c r="R3468" s="22" t="str">
        <f>IFERROR(__xludf.DUMMYFUNCTION("""COMPUTED_VALUE"""),"")</f>
        <v/>
      </c>
    </row>
    <row r="3469">
      <c r="A3469" s="15">
        <f>IFERROR(__xludf.DUMMYFUNCTION("""COMPUTED_VALUE"""),45104.0)</f>
        <v>45104</v>
      </c>
      <c r="B3469" s="16" t="str">
        <f>IFERROR(__xludf.DUMMYFUNCTION("""COMPUTED_VALUE"""),"Deivi Alejandro Quintero Corrales")</f>
        <v>Deivi Alejandro Quintero Corrales</v>
      </c>
      <c r="C3469" s="15" t="str">
        <f>IFERROR(__xludf.DUMMYFUNCTION("""COMPUTED_VALUE"""),"PEREIRA")</f>
        <v>PEREIRA</v>
      </c>
      <c r="D3469" s="15" t="str">
        <f>IFERROR(__xludf.DUMMYFUNCTION("""COMPUTED_VALUE"""),"MEDELLÍN")</f>
        <v>MEDELLÍN</v>
      </c>
      <c r="E3469" s="15" t="str">
        <f>IFERROR(__xludf.DUMMYFUNCTION("""COMPUTED_VALUE"""),"AREPAS LA MARY")</f>
        <v>AREPAS LA MARY</v>
      </c>
      <c r="F3469" s="17" t="str">
        <f>IFERROR(__xludf.DUMMYFUNCTION("""COMPUTED_VALUE"""),"CC UNICENTRO / NIVEL 2 LOCAL B 04")</f>
        <v>CC UNICENTRO / NIVEL 2 LOCAL B 04</v>
      </c>
      <c r="G3469" s="15" t="str">
        <f>IFERROR(__xludf.DUMMYFUNCTION("""COMPUTED_VALUE"""),"TERRASANO")</f>
        <v>TERRASANO</v>
      </c>
      <c r="H3469" s="16">
        <f>IFERROR(__xludf.DUMMYFUNCTION("""COMPUTED_VALUE"""),12073.0)</f>
        <v>12073</v>
      </c>
      <c r="I3469" s="18">
        <f>IFERROR(__xludf.DUMMYFUNCTION("""COMPUTED_VALUE"""),89.0)</f>
        <v>89</v>
      </c>
      <c r="J3469" s="18">
        <f>IFERROR(__xludf.DUMMYFUNCTION("""COMPUTED_VALUE"""),1.0)</f>
        <v>1</v>
      </c>
      <c r="K3469" s="18">
        <f>IFERROR(__xludf.DUMMYFUNCTION("""COMPUTED_VALUE"""),10.0)</f>
        <v>10</v>
      </c>
      <c r="L3469" s="17">
        <f>IFERROR(__xludf.DUMMYFUNCTION("""COMPUTED_VALUE"""),3.234572533E9)</f>
        <v>3234572533</v>
      </c>
      <c r="M3469" s="17" t="str">
        <f>IFERROR(__xludf.DUMMYFUNCTION("""COMPUTED_VALUE"""),"#REF!")</f>
        <v>#REF!</v>
      </c>
      <c r="N3469" s="17"/>
      <c r="O3469" s="17"/>
      <c r="P3469" s="17" t="b">
        <f>IFERROR(__xludf.DUMMYFUNCTION("""COMPUTED_VALUE"""),FALSE)</f>
        <v>0</v>
      </c>
      <c r="Q3469" s="20" t="str">
        <f>IFERROR(__xludf.DUMMYFUNCTION("""COMPUTED_VALUE"""),"")</f>
        <v/>
      </c>
      <c r="R3469" s="22" t="str">
        <f>IFERROR(__xludf.DUMMYFUNCTION("""COMPUTED_VALUE"""),"")</f>
        <v/>
      </c>
    </row>
    <row r="3470">
      <c r="A3470" s="15">
        <f>IFERROR(__xludf.DUMMYFUNCTION("""COMPUTED_VALUE"""),45104.0)</f>
        <v>45104</v>
      </c>
      <c r="B3470" s="16" t="str">
        <f>IFERROR(__xludf.DUMMYFUNCTION("""COMPUTED_VALUE"""),"Deivi Alejandro Quintero Corrales")</f>
        <v>Deivi Alejandro Quintero Corrales</v>
      </c>
      <c r="C3470" s="15" t="str">
        <f>IFERROR(__xludf.DUMMYFUNCTION("""COMPUTED_VALUE"""),"PEREIRA")</f>
        <v>PEREIRA</v>
      </c>
      <c r="D3470" s="15" t="str">
        <f>IFERROR(__xludf.DUMMYFUNCTION("""COMPUTED_VALUE"""),"MEDELLÍN")</f>
        <v>MEDELLÍN</v>
      </c>
      <c r="E3470" s="15" t="str">
        <f>IFERROR(__xludf.DUMMYFUNCTION("""COMPUTED_VALUE"""),"AREPAS LA MARY")</f>
        <v>AREPAS LA MARY</v>
      </c>
      <c r="F3470" s="17" t="str">
        <f>IFERROR(__xludf.DUMMYFUNCTION("""COMPUTED_VALUE"""),"CC UNICENTRO / NIVEL 2 LOCAL B 04")</f>
        <v>CC UNICENTRO / NIVEL 2 LOCAL B 04</v>
      </c>
      <c r="G3470" s="15" t="str">
        <f>IFERROR(__xludf.DUMMYFUNCTION("""COMPUTED_VALUE"""),"TERRASANO")</f>
        <v>TERRASANO</v>
      </c>
      <c r="H3470" s="16">
        <f>IFERROR(__xludf.DUMMYFUNCTION("""COMPUTED_VALUE"""),12075.0)</f>
        <v>12075</v>
      </c>
      <c r="I3470" s="18">
        <f>IFERROR(__xludf.DUMMYFUNCTION("""COMPUTED_VALUE"""),89.0)</f>
        <v>89</v>
      </c>
      <c r="J3470" s="18">
        <f>IFERROR(__xludf.DUMMYFUNCTION("""COMPUTED_VALUE"""),1.0)</f>
        <v>1</v>
      </c>
      <c r="K3470" s="18">
        <f>IFERROR(__xludf.DUMMYFUNCTION("""COMPUTED_VALUE"""),10.0)</f>
        <v>10</v>
      </c>
      <c r="L3470" s="17">
        <f>IFERROR(__xludf.DUMMYFUNCTION("""COMPUTED_VALUE"""),3.234572533E9)</f>
        <v>3234572533</v>
      </c>
      <c r="M3470" s="17" t="str">
        <f>IFERROR(__xludf.DUMMYFUNCTION("""COMPUTED_VALUE"""),"#REF!")</f>
        <v>#REF!</v>
      </c>
      <c r="N3470" s="17"/>
      <c r="O3470" s="17"/>
      <c r="P3470" s="17" t="b">
        <f>IFERROR(__xludf.DUMMYFUNCTION("""COMPUTED_VALUE"""),FALSE)</f>
        <v>0</v>
      </c>
      <c r="Q3470" s="20" t="str">
        <f>IFERROR(__xludf.DUMMYFUNCTION("""COMPUTED_VALUE"""),"")</f>
        <v/>
      </c>
      <c r="R3470" s="22" t="str">
        <f>IFERROR(__xludf.DUMMYFUNCTION("""COMPUTED_VALUE"""),"")</f>
        <v/>
      </c>
    </row>
    <row r="3471">
      <c r="A3471" s="15">
        <f>IFERROR(__xludf.DUMMYFUNCTION("""COMPUTED_VALUE"""),45104.0)</f>
        <v>45104</v>
      </c>
      <c r="B3471" s="16" t="str">
        <f>IFERROR(__xludf.DUMMYFUNCTION("""COMPUTED_VALUE"""),"Deivi Alejandro Quintero Corrales")</f>
        <v>Deivi Alejandro Quintero Corrales</v>
      </c>
      <c r="C3471" s="15" t="str">
        <f>IFERROR(__xludf.DUMMYFUNCTION("""COMPUTED_VALUE"""),"PEREIRA")</f>
        <v>PEREIRA</v>
      </c>
      <c r="D3471" s="15" t="str">
        <f>IFERROR(__xludf.DUMMYFUNCTION("""COMPUTED_VALUE"""),"MEDELLÍN")</f>
        <v>MEDELLÍN</v>
      </c>
      <c r="E3471" s="15" t="str">
        <f>IFERROR(__xludf.DUMMYFUNCTION("""COMPUTED_VALUE"""),"AREPAS LA MARY")</f>
        <v>AREPAS LA MARY</v>
      </c>
      <c r="F3471" s="17" t="str">
        <f>IFERROR(__xludf.DUMMYFUNCTION("""COMPUTED_VALUE"""),"kilometro 4 via cerritos entrada 1 / unidad piedras blancas apto 101 torre 1")</f>
        <v>kilometro 4 via cerritos entrada 1 / unidad piedras blancas apto 101 torre 1</v>
      </c>
      <c r="G3471" s="15" t="str">
        <f>IFERROR(__xludf.DUMMYFUNCTION("""COMPUTED_VALUE"""),"esperanza castaño")</f>
        <v>esperanza castaño</v>
      </c>
      <c r="H3471" s="16">
        <f>IFERROR(__xludf.DUMMYFUNCTION("""COMPUTED_VALUE"""),12074.0)</f>
        <v>12074</v>
      </c>
      <c r="I3471" s="18">
        <f>IFERROR(__xludf.DUMMYFUNCTION("""COMPUTED_VALUE"""),89.0)</f>
        <v>89</v>
      </c>
      <c r="J3471" s="18">
        <f>IFERROR(__xludf.DUMMYFUNCTION("""COMPUTED_VALUE"""),1.0)</f>
        <v>1</v>
      </c>
      <c r="K3471" s="18">
        <f>IFERROR(__xludf.DUMMYFUNCTION("""COMPUTED_VALUE"""),10.0)</f>
        <v>10</v>
      </c>
      <c r="L3471" s="17">
        <f>IFERROR(__xludf.DUMMYFUNCTION("""COMPUTED_VALUE"""),3.146452424E9)</f>
        <v>3146452424</v>
      </c>
      <c r="M3471" s="17" t="str">
        <f>IFERROR(__xludf.DUMMYFUNCTION("""COMPUTED_VALUE"""),"#REF!")</f>
        <v>#REF!</v>
      </c>
      <c r="N3471" s="17"/>
      <c r="O3471" s="17"/>
      <c r="P3471" s="17" t="b">
        <f>IFERROR(__xludf.DUMMYFUNCTION("""COMPUTED_VALUE"""),FALSE)</f>
        <v>0</v>
      </c>
      <c r="Q3471" s="20" t="str">
        <f>IFERROR(__xludf.DUMMYFUNCTION("""COMPUTED_VALUE"""),"")</f>
        <v/>
      </c>
      <c r="R3471" s="21" t="str">
        <f>IFERROR(__xludf.DUMMYFUNCTION("""COMPUTED_VALUE"""),"https://drive.google.com/file/d/1by2zTO8yN6nROPTs3Ms_wqN-NGoflxoC/view?usp=drivesdk")</f>
        <v>https://drive.google.com/file/d/1by2zTO8yN6nROPTs3Ms_wqN-NGoflxoC/view?usp=drivesdk</v>
      </c>
    </row>
    <row r="3472">
      <c r="A3472" s="15">
        <f>IFERROR(__xludf.DUMMYFUNCTION("""COMPUTED_VALUE"""),45104.0)</f>
        <v>45104</v>
      </c>
      <c r="B3472" s="16" t="str">
        <f>IFERROR(__xludf.DUMMYFUNCTION("""COMPUTED_VALUE"""),"Deivi Alejandro Quintero Corrales")</f>
        <v>Deivi Alejandro Quintero Corrales</v>
      </c>
      <c r="C3472" s="15" t="str">
        <f>IFERROR(__xludf.DUMMYFUNCTION("""COMPUTED_VALUE"""),"PEREIRA")</f>
        <v>PEREIRA</v>
      </c>
      <c r="D3472" s="15" t="str">
        <f>IFERROR(__xludf.DUMMYFUNCTION("""COMPUTED_VALUE"""),"MEDELLÍN")</f>
        <v>MEDELLÍN</v>
      </c>
      <c r="E3472" s="15" t="str">
        <f>IFERROR(__xludf.DUMMYFUNCTION("""COMPUTED_VALUE"""),"Baby Chef")</f>
        <v>Baby Chef</v>
      </c>
      <c r="F3472" s="17" t="str">
        <f>IFERROR(__xludf.DUMMYFUNCTION("""COMPUTED_VALUE"""),"Cll 75#45 03 bosques de cuba Trr 26 apto 13 / ""Cll 75#45 03 bosques de cuba Trr 26 apto 13"" / ""Cll 75#45 03 bosques de cuba Trr 26 apto 13""")</f>
        <v>Cll 75#45 03 bosques de cuba Trr 26 apto 13 / "Cll 75#45 03 bosques de cuba Trr 26 apto 13" / "Cll 75#45 03 bosques de cuba Trr 26 apto 13"</v>
      </c>
      <c r="G3472" s="15" t="str">
        <f>IFERROR(__xludf.DUMMYFUNCTION("""COMPUTED_VALUE"""),"Estefania Cardona")</f>
        <v>Estefania Cardona</v>
      </c>
      <c r="H3472" s="16">
        <f>IFERROR(__xludf.DUMMYFUNCTION("""COMPUTED_VALUE"""),12105.0)</f>
        <v>12105</v>
      </c>
      <c r="I3472" s="18">
        <f>IFERROR(__xludf.DUMMYFUNCTION("""COMPUTED_VALUE"""),8.0)</f>
        <v>8</v>
      </c>
      <c r="J3472" s="18">
        <f>IFERROR(__xludf.DUMMYFUNCTION("""COMPUTED_VALUE"""),16.0)</f>
        <v>16</v>
      </c>
      <c r="K3472" s="18">
        <f>IFERROR(__xludf.DUMMYFUNCTION("""COMPUTED_VALUE"""),20.0)</f>
        <v>20</v>
      </c>
      <c r="L3472" s="17">
        <f>IFERROR(__xludf.DUMMYFUNCTION("""COMPUTED_VALUE"""),3.145950034E9)</f>
        <v>3145950034</v>
      </c>
      <c r="M3472" s="17" t="str">
        <f>IFERROR(__xludf.DUMMYFUNCTION("""COMPUTED_VALUE"""),"#REF!")</f>
        <v>#REF!</v>
      </c>
      <c r="N3472" s="17"/>
      <c r="O3472" s="17"/>
      <c r="P3472" s="17" t="b">
        <f>IFERROR(__xludf.DUMMYFUNCTION("""COMPUTED_VALUE"""),FALSE)</f>
        <v>0</v>
      </c>
      <c r="Q3472" s="20" t="str">
        <f>IFERROR(__xludf.DUMMYFUNCTION("""COMPUTED_VALUE"""),"")</f>
        <v/>
      </c>
      <c r="R3472" s="21" t="str">
        <f>IFERROR(__xludf.DUMMYFUNCTION("""COMPUTED_VALUE"""),"https://drive.google.com/file/d/114zxTwwK6mqsGnX2Xw85cIY6Byv_lLO-/view?usp=drivesdk")</f>
        <v>https://drive.google.com/file/d/114zxTwwK6mqsGnX2Xw85cIY6Byv_lLO-/view?usp=drivesdk</v>
      </c>
    </row>
    <row r="3473">
      <c r="A3473" s="15">
        <f>IFERROR(__xludf.DUMMYFUNCTION("""COMPUTED_VALUE"""),45104.0)</f>
        <v>45104</v>
      </c>
      <c r="B3473" s="16" t="str">
        <f>IFERROR(__xludf.DUMMYFUNCTION("""COMPUTED_VALUE"""),"Deivi Alejandro Quintero Corrales")</f>
        <v>Deivi Alejandro Quintero Corrales</v>
      </c>
      <c r="C3473" s="15" t="str">
        <f>IFERROR(__xludf.DUMMYFUNCTION("""COMPUTED_VALUE"""),"PEREIRA")</f>
        <v>PEREIRA</v>
      </c>
      <c r="D3473" s="15" t="str">
        <f>IFERROR(__xludf.DUMMYFUNCTION("""COMPUTED_VALUE"""),"MEDELLÍN")</f>
        <v>MEDELLÍN</v>
      </c>
      <c r="E3473" s="15" t="str">
        <f>IFERROR(__xludf.DUMMYFUNCTION("""COMPUTED_VALUE"""),"Goyo Todo por ellos")</f>
        <v>Goyo Todo por ellos</v>
      </c>
      <c r="F3473" s="17" t="str">
        <f>IFERROR(__xludf.DUMMYFUNCTION("""COMPUTED_VALUE"""),"Calle 12 bis #16 18 / Casa Hoja Comunidad Consciente  / Barrio Pinares")</f>
        <v>Calle 12 bis #16 18 / Casa Hoja Comunidad Consciente  / Barrio Pinares</v>
      </c>
      <c r="G3473" s="15" t="str">
        <f>IFERROR(__xludf.DUMMYFUNCTION("""COMPUTED_VALUE"""),"Hector Hernandez")</f>
        <v>Hector Hernandez</v>
      </c>
      <c r="H3473" s="16">
        <f>IFERROR(__xludf.DUMMYFUNCTION("""COMPUTED_VALUE"""),12097.0)</f>
        <v>12097</v>
      </c>
      <c r="I3473" s="18">
        <f>IFERROR(__xludf.DUMMYFUNCTION("""COMPUTED_VALUE"""),14.0)</f>
        <v>14</v>
      </c>
      <c r="J3473" s="18">
        <f>IFERROR(__xludf.DUMMYFUNCTION("""COMPUTED_VALUE"""),40.0)</f>
        <v>40</v>
      </c>
      <c r="K3473" s="18">
        <f>IFERROR(__xludf.DUMMYFUNCTION("""COMPUTED_VALUE"""),27.0)</f>
        <v>27</v>
      </c>
      <c r="L3473" s="17">
        <f>IFERROR(__xludf.DUMMYFUNCTION("""COMPUTED_VALUE"""),3.18591145E9)</f>
        <v>3185911450</v>
      </c>
      <c r="M3473" s="17" t="str">
        <f>IFERROR(__xludf.DUMMYFUNCTION("""COMPUTED_VALUE"""),"#REF!")</f>
        <v>#REF!</v>
      </c>
      <c r="N3473" s="17"/>
      <c r="O3473" s="17"/>
      <c r="P3473" s="17" t="b">
        <f>IFERROR(__xludf.DUMMYFUNCTION("""COMPUTED_VALUE"""),TRUE)</f>
        <v>1</v>
      </c>
      <c r="Q3473" s="20">
        <f>IFERROR(__xludf.DUMMYFUNCTION("""COMPUTED_VALUE"""),45104.719457314815)</f>
        <v>45104.71946</v>
      </c>
      <c r="R3473" s="21" t="str">
        <f>IFERROR(__xludf.DUMMYFUNCTION("""COMPUTED_VALUE"""),"https://drive.google.com/file/d/1TxlPKy67n4c_afVfqsgpLZjSFJApo06H/view?usp=drivesdk")</f>
        <v>https://drive.google.com/file/d/1TxlPKy67n4c_afVfqsgpLZjSFJApo06H/view?usp=drivesdk</v>
      </c>
    </row>
    <row r="3474">
      <c r="A3474" s="17" t="str">
        <f>IFERROR(__xludf.DUMMYFUNCTION("""COMPUTED_VALUE"""),"")</f>
        <v/>
      </c>
      <c r="B3474" s="17" t="str">
        <f>IFERROR(__xludf.DUMMYFUNCTION("""COMPUTED_VALUE"""),"")</f>
        <v/>
      </c>
      <c r="C3474" s="17" t="str">
        <f>IFERROR(__xludf.DUMMYFUNCTION("""COMPUTED_VALUE"""),"")</f>
        <v/>
      </c>
      <c r="D3474" s="17" t="str">
        <f>IFERROR(__xludf.DUMMYFUNCTION("""COMPUTED_VALUE"""),"")</f>
        <v/>
      </c>
      <c r="E3474" s="17" t="str">
        <f>IFERROR(__xludf.DUMMYFUNCTION("""COMPUTED_VALUE"""),"")</f>
        <v/>
      </c>
      <c r="F3474" s="17" t="str">
        <f>IFERROR(__xludf.DUMMYFUNCTION("""COMPUTED_VALUE"""),"")</f>
        <v/>
      </c>
      <c r="G3474" s="17" t="str">
        <f>IFERROR(__xludf.DUMMYFUNCTION("""COMPUTED_VALUE"""),"")</f>
        <v/>
      </c>
      <c r="H3474" s="17" t="str">
        <f>IFERROR(__xludf.DUMMYFUNCTION("""COMPUTED_VALUE"""),"")</f>
        <v/>
      </c>
      <c r="I3474" s="17" t="str">
        <f>IFERROR(__xludf.DUMMYFUNCTION("""COMPUTED_VALUE"""),"")</f>
        <v/>
      </c>
      <c r="J3474" s="17" t="str">
        <f>IFERROR(__xludf.DUMMYFUNCTION("""COMPUTED_VALUE"""),"")</f>
        <v/>
      </c>
      <c r="K3474" s="17" t="str">
        <f>IFERROR(__xludf.DUMMYFUNCTION("""COMPUTED_VALUE"""),"")</f>
        <v/>
      </c>
      <c r="L3474" s="17" t="str">
        <f>IFERROR(__xludf.DUMMYFUNCTION("""COMPUTED_VALUE"""),"")</f>
        <v/>
      </c>
      <c r="M3474" s="17" t="str">
        <f>IFERROR(__xludf.DUMMYFUNCTION("""COMPUTED_VALUE"""),"")</f>
        <v/>
      </c>
      <c r="N3474" s="17" t="str">
        <f>IFERROR(__xludf.DUMMYFUNCTION("""COMPUTED_VALUE"""),"")</f>
        <v/>
      </c>
      <c r="O3474" s="17" t="str">
        <f>IFERROR(__xludf.DUMMYFUNCTION("""COMPUTED_VALUE"""),"")</f>
        <v/>
      </c>
      <c r="P3474" s="17" t="str">
        <f>IFERROR(__xludf.DUMMYFUNCTION("""COMPUTED_VALUE"""),"")</f>
        <v/>
      </c>
      <c r="Q3474" s="17" t="str">
        <f>IFERROR(__xludf.DUMMYFUNCTION("""COMPUTED_VALUE"""),"")</f>
        <v/>
      </c>
      <c r="R3474" s="17" t="str">
        <f>IFERROR(__xludf.DUMMYFUNCTION("""COMPUTED_VALUE"""),"")</f>
        <v/>
      </c>
    </row>
    <row r="3475">
      <c r="A3475" s="15">
        <f>IFERROR(__xludf.DUMMYFUNCTION("""COMPUTED_VALUE"""),45104.0)</f>
        <v>45104</v>
      </c>
      <c r="B3475" s="16" t="str">
        <f>IFERROR(__xludf.DUMMYFUNCTION("""COMPUTED_VALUE"""),"Duvan Gabriel Alvarez Giron")</f>
        <v>Duvan Gabriel Alvarez Giron</v>
      </c>
      <c r="C3475" s="15" t="str">
        <f>IFERROR(__xludf.DUMMYFUNCTION("""COMPUTED_VALUE"""),"GIRÓN")</f>
        <v>GIRÓN</v>
      </c>
      <c r="D3475" s="15" t="str">
        <f>IFERROR(__xludf.DUMMYFUNCTION("""COMPUTED_VALUE"""),"BOGOTÁ")</f>
        <v>BOGOTÁ</v>
      </c>
      <c r="E3475" s="15" t="str">
        <f>IFERROR(__xludf.DUMMYFUNCTION("""COMPUTED_VALUE"""),"Evamazzita")</f>
        <v>Evamazzita</v>
      </c>
      <c r="F3475" s="17" t="str">
        <f>IFERROR(__xludf.DUMMYFUNCTION("""COMPUTED_VALUE"""),"CALLE 30A No. 18-21  / MANZANA C CASA 10 CASTILLA REAL 1 / MANZANA C CASA 10 CASTILLA REAL 1")</f>
        <v>CALLE 30A No. 18-21  / MANZANA C CASA 10 CASTILLA REAL 1 / MANZANA C CASA 10 CASTILLA REAL 1</v>
      </c>
      <c r="G3475" s="15" t="str">
        <f>IFERROR(__xludf.DUMMYFUNCTION("""COMPUTED_VALUE"""),"WENDY AGUILAR ROMERO")</f>
        <v>WENDY AGUILAR ROMERO</v>
      </c>
      <c r="H3475" s="16">
        <f>IFERROR(__xludf.DUMMYFUNCTION("""COMPUTED_VALUE"""),12058.0)</f>
        <v>12058</v>
      </c>
      <c r="I3475" s="18">
        <f>IFERROR(__xludf.DUMMYFUNCTION("""COMPUTED_VALUE"""),1.0)</f>
        <v>1</v>
      </c>
      <c r="J3475" s="18">
        <f>IFERROR(__xludf.DUMMYFUNCTION("""COMPUTED_VALUE"""),1.0)</f>
        <v>1</v>
      </c>
      <c r="K3475" s="18">
        <f>IFERROR(__xludf.DUMMYFUNCTION("""COMPUTED_VALUE"""),1.0)</f>
        <v>1</v>
      </c>
      <c r="L3475" s="17">
        <f>IFERROR(__xludf.DUMMYFUNCTION("""COMPUTED_VALUE"""),3.176931253E9)</f>
        <v>3176931253</v>
      </c>
      <c r="M3475" s="17" t="str">
        <f>IFERROR(__xludf.DUMMYFUNCTION("""COMPUTED_VALUE"""),"#REF!")</f>
        <v>#REF!</v>
      </c>
      <c r="N3475" s="17"/>
      <c r="O3475" s="17"/>
      <c r="P3475" s="17" t="b">
        <f>IFERROR(__xludf.DUMMYFUNCTION("""COMPUTED_VALUE"""),FALSE)</f>
        <v>0</v>
      </c>
      <c r="Q3475" s="20" t="str">
        <f>IFERROR(__xludf.DUMMYFUNCTION("""COMPUTED_VALUE"""),"")</f>
        <v/>
      </c>
      <c r="R3475" s="22" t="str">
        <f>IFERROR(__xludf.DUMMYFUNCTION("""COMPUTED_VALUE"""),"")</f>
        <v/>
      </c>
    </row>
    <row r="3476">
      <c r="A3476" s="15">
        <f>IFERROR(__xludf.DUMMYFUNCTION("""COMPUTED_VALUE"""),45104.0)</f>
        <v>45104</v>
      </c>
      <c r="B3476" s="16" t="str">
        <f>IFERROR(__xludf.DUMMYFUNCTION("""COMPUTED_VALUE"""),"Duvan Gabriel Alvarez Giron")</f>
        <v>Duvan Gabriel Alvarez Giron</v>
      </c>
      <c r="C3476" s="15" t="str">
        <f>IFERROR(__xludf.DUMMYFUNCTION("""COMPUTED_VALUE"""),"IBAGUÉ")</f>
        <v>IBAGUÉ</v>
      </c>
      <c r="D3476" s="15" t="str">
        <f>IFERROR(__xludf.DUMMYFUNCTION("""COMPUTED_VALUE"""),"BOGOTÁ")</f>
        <v>BOGOTÁ</v>
      </c>
      <c r="E3476" s="15" t="str">
        <f>IFERROR(__xludf.DUMMYFUNCTION("""COMPUTED_VALUE"""),"Evamazzita")</f>
        <v>Evamazzita</v>
      </c>
      <c r="F3476" s="17" t="str">
        <f>IFERROR(__xludf.DUMMYFUNCTION("""COMPUTED_VALUE"""),"CARRERA 5 # 91 - 61  / CARRERA 5 # 91 - 61  / BARRIO EL JARDÍN CDA LA REVISIÓN")</f>
        <v>CARRERA 5 # 91 - 61  / CARRERA 5 # 91 - 61  / BARRIO EL JARDÍN CDA LA REVISIÓN</v>
      </c>
      <c r="G3476" s="15" t="str">
        <f>IFERROR(__xludf.DUMMYFUNCTION("""COMPUTED_VALUE"""),"PAOLA ANDREA OSORIO")</f>
        <v>PAOLA ANDREA OSORIO</v>
      </c>
      <c r="H3476" s="16">
        <f>IFERROR(__xludf.DUMMYFUNCTION("""COMPUTED_VALUE"""),12055.0)</f>
        <v>12055</v>
      </c>
      <c r="I3476" s="18">
        <f>IFERROR(__xludf.DUMMYFUNCTION("""COMPUTED_VALUE"""),12.0)</f>
        <v>12</v>
      </c>
      <c r="J3476" s="18">
        <f>IFERROR(__xludf.DUMMYFUNCTION("""COMPUTED_VALUE"""),13.0)</f>
        <v>13</v>
      </c>
      <c r="K3476" s="18">
        <f>IFERROR(__xludf.DUMMYFUNCTION("""COMPUTED_VALUE"""),20.0)</f>
        <v>20</v>
      </c>
      <c r="L3476" s="17">
        <f>IFERROR(__xludf.DUMMYFUNCTION("""COMPUTED_VALUE"""),3.043331591E9)</f>
        <v>3043331591</v>
      </c>
      <c r="M3476" s="17" t="str">
        <f>IFERROR(__xludf.DUMMYFUNCTION("""COMPUTED_VALUE"""),"#REF!")</f>
        <v>#REF!</v>
      </c>
      <c r="N3476" s="17"/>
      <c r="O3476" s="17"/>
      <c r="P3476" s="17" t="b">
        <f>IFERROR(__xludf.DUMMYFUNCTION("""COMPUTED_VALUE"""),FALSE)</f>
        <v>0</v>
      </c>
      <c r="Q3476" s="20" t="str">
        <f>IFERROR(__xludf.DUMMYFUNCTION("""COMPUTED_VALUE"""),"")</f>
        <v/>
      </c>
      <c r="R3476" s="21" t="str">
        <f>IFERROR(__xludf.DUMMYFUNCTION("""COMPUTED_VALUE"""),"https://drive.google.com/file/d/1ppxHPXbHCvgnuNJQCv8BPVB6TJI0TPBN/view?usp=drivesdk")</f>
        <v>https://drive.google.com/file/d/1ppxHPXbHCvgnuNJQCv8BPVB6TJI0TPBN/view?usp=drivesdk</v>
      </c>
    </row>
    <row r="3477">
      <c r="A3477" s="15">
        <f>IFERROR(__xludf.DUMMYFUNCTION("""COMPUTED_VALUE"""),45104.0)</f>
        <v>45104</v>
      </c>
      <c r="B3477" s="16" t="str">
        <f>IFERROR(__xludf.DUMMYFUNCTION("""COMPUTED_VALUE"""),"Duvan Gabriel Alvarez Giron")</f>
        <v>Duvan Gabriel Alvarez Giron</v>
      </c>
      <c r="C3477" s="15" t="str">
        <f>IFERROR(__xludf.DUMMYFUNCTION("""COMPUTED_VALUE"""),"IBAGUÉ")</f>
        <v>IBAGUÉ</v>
      </c>
      <c r="D3477" s="15" t="str">
        <f>IFERROR(__xludf.DUMMYFUNCTION("""COMPUTED_VALUE"""),"BOGOTÁ")</f>
        <v>BOGOTÁ</v>
      </c>
      <c r="E3477" s="15" t="str">
        <f>IFERROR(__xludf.DUMMYFUNCTION("""COMPUTED_VALUE"""),"Ins. Alimento Vital")</f>
        <v>Ins. Alimento Vital</v>
      </c>
      <c r="F3477" s="17" t="str">
        <f>IFERROR(__xludf.DUMMYFUNCTION("""COMPUTED_VALUE"""),"MANZANA 13 CASA 26 / CONJUNTO RESIDENCIAL LA ARBOLEDA / VIA PICALEÑA CONJUNTO DE SOLO CASAS, ENTRADA A LA CASA DE LA MONEDA")</f>
        <v>MANZANA 13 CASA 26 / CONJUNTO RESIDENCIAL LA ARBOLEDA / VIA PICALEÑA CONJUNTO DE SOLO CASAS, ENTRADA A LA CASA DE LA MONEDA</v>
      </c>
      <c r="G3477" s="15" t="str">
        <f>IFERROR(__xludf.DUMMYFUNCTION("""COMPUTED_VALUE"""),"IVONNE MARITZA ESPINOSA RODRIGUEZ")</f>
        <v>IVONNE MARITZA ESPINOSA RODRIGUEZ</v>
      </c>
      <c r="H3477" s="16">
        <f>IFERROR(__xludf.DUMMYFUNCTION("""COMPUTED_VALUE"""),12028.0)</f>
        <v>12028</v>
      </c>
      <c r="I3477" s="18">
        <f>IFERROR(__xludf.DUMMYFUNCTION("""COMPUTED_VALUE"""),1.0)</f>
        <v>1</v>
      </c>
      <c r="J3477" s="18">
        <f>IFERROR(__xludf.DUMMYFUNCTION("""COMPUTED_VALUE"""),1.0)</f>
        <v>1</v>
      </c>
      <c r="K3477" s="18">
        <f>IFERROR(__xludf.DUMMYFUNCTION("""COMPUTED_VALUE"""),1.0)</f>
        <v>1</v>
      </c>
      <c r="L3477" s="17">
        <f>IFERROR(__xludf.DUMMYFUNCTION("""COMPUTED_VALUE"""),3.017288399E9)</f>
        <v>3017288399</v>
      </c>
      <c r="M3477" s="17" t="str">
        <f>IFERROR(__xludf.DUMMYFUNCTION("""COMPUTED_VALUE"""),"#REF!")</f>
        <v>#REF!</v>
      </c>
      <c r="N3477" s="17"/>
      <c r="O3477" s="17"/>
      <c r="P3477" s="17" t="b">
        <f>IFERROR(__xludf.DUMMYFUNCTION("""COMPUTED_VALUE"""),FALSE)</f>
        <v>0</v>
      </c>
      <c r="Q3477" s="20" t="str">
        <f>IFERROR(__xludf.DUMMYFUNCTION("""COMPUTED_VALUE"""),"")</f>
        <v/>
      </c>
      <c r="R3477" s="22" t="str">
        <f>IFERROR(__xludf.DUMMYFUNCTION("""COMPUTED_VALUE"""),"")</f>
        <v/>
      </c>
    </row>
    <row r="3478">
      <c r="A3478" s="17" t="str">
        <f>IFERROR(__xludf.DUMMYFUNCTION("""COMPUTED_VALUE"""),"")</f>
        <v/>
      </c>
      <c r="B3478" s="17" t="str">
        <f>IFERROR(__xludf.DUMMYFUNCTION("""COMPUTED_VALUE"""),"")</f>
        <v/>
      </c>
      <c r="C3478" s="17" t="str">
        <f>IFERROR(__xludf.DUMMYFUNCTION("""COMPUTED_VALUE"""),"")</f>
        <v/>
      </c>
      <c r="D3478" s="17" t="str">
        <f>IFERROR(__xludf.DUMMYFUNCTION("""COMPUTED_VALUE"""),"")</f>
        <v/>
      </c>
      <c r="E3478" s="17" t="str">
        <f>IFERROR(__xludf.DUMMYFUNCTION("""COMPUTED_VALUE"""),"")</f>
        <v/>
      </c>
      <c r="F3478" s="17" t="str">
        <f>IFERROR(__xludf.DUMMYFUNCTION("""COMPUTED_VALUE"""),"")</f>
        <v/>
      </c>
      <c r="G3478" s="17" t="str">
        <f>IFERROR(__xludf.DUMMYFUNCTION("""COMPUTED_VALUE"""),"")</f>
        <v/>
      </c>
      <c r="H3478" s="17" t="str">
        <f>IFERROR(__xludf.DUMMYFUNCTION("""COMPUTED_VALUE"""),"")</f>
        <v/>
      </c>
      <c r="I3478" s="17" t="str">
        <f>IFERROR(__xludf.DUMMYFUNCTION("""COMPUTED_VALUE"""),"")</f>
        <v/>
      </c>
      <c r="J3478" s="17" t="str">
        <f>IFERROR(__xludf.DUMMYFUNCTION("""COMPUTED_VALUE"""),"")</f>
        <v/>
      </c>
      <c r="K3478" s="17" t="str">
        <f>IFERROR(__xludf.DUMMYFUNCTION("""COMPUTED_VALUE"""),"")</f>
        <v/>
      </c>
      <c r="L3478" s="17" t="str">
        <f>IFERROR(__xludf.DUMMYFUNCTION("""COMPUTED_VALUE"""),"")</f>
        <v/>
      </c>
      <c r="M3478" s="17" t="str">
        <f>IFERROR(__xludf.DUMMYFUNCTION("""COMPUTED_VALUE"""),"")</f>
        <v/>
      </c>
      <c r="N3478" s="17" t="str">
        <f>IFERROR(__xludf.DUMMYFUNCTION("""COMPUTED_VALUE"""),"")</f>
        <v/>
      </c>
      <c r="O3478" s="17" t="str">
        <f>IFERROR(__xludf.DUMMYFUNCTION("""COMPUTED_VALUE"""),"")</f>
        <v/>
      </c>
      <c r="P3478" s="17" t="str">
        <f>IFERROR(__xludf.DUMMYFUNCTION("""COMPUTED_VALUE"""),"")</f>
        <v/>
      </c>
      <c r="Q3478" s="17" t="str">
        <f>IFERROR(__xludf.DUMMYFUNCTION("""COMPUTED_VALUE"""),"")</f>
        <v/>
      </c>
      <c r="R3478" s="17" t="str">
        <f>IFERROR(__xludf.DUMMYFUNCTION("""COMPUTED_VALUE"""),"")</f>
        <v/>
      </c>
    </row>
    <row r="3479">
      <c r="A3479" s="15">
        <f>IFERROR(__xludf.DUMMYFUNCTION("""COMPUTED_VALUE"""),45104.0)</f>
        <v>45104</v>
      </c>
      <c r="B3479" s="16" t="str">
        <f>IFERROR(__xludf.DUMMYFUNCTION("""COMPUTED_VALUE"""),"Envia")</f>
        <v>Envia</v>
      </c>
      <c r="C3479" s="15" t="str">
        <f>IFERROR(__xludf.DUMMYFUNCTION("""COMPUTED_VALUE"""),"ARMENIA")</f>
        <v>ARMENIA</v>
      </c>
      <c r="D3479" s="15" t="str">
        <f>IFERROR(__xludf.DUMMYFUNCTION("""COMPUTED_VALUE"""),"BOGOTÁ")</f>
        <v>BOGOTÁ</v>
      </c>
      <c r="E3479" s="15" t="str">
        <f>IFERROR(__xludf.DUMMYFUNCTION("""COMPUTED_VALUE"""),"Top Spun")</f>
        <v>Top Spun</v>
      </c>
      <c r="F3479" s="17" t="str">
        <f>IFERROR(__xludf.DUMMYFUNCTION("""COMPUTED_VALUE"""),"Carrera 24 #5-20 / Conjunto montesanto bloque 11 apto 401  / Armenia")</f>
        <v>Carrera 24 #5-20 / Conjunto montesanto bloque 11 apto 401  / Armenia</v>
      </c>
      <c r="G3479" s="15" t="str">
        <f>IFERROR(__xludf.DUMMYFUNCTION("""COMPUTED_VALUE"""),"Mayra Delgado Moreno")</f>
        <v>Mayra Delgado Moreno</v>
      </c>
      <c r="H3479" s="16">
        <f>IFERROR(__xludf.DUMMYFUNCTION("""COMPUTED_VALUE"""),12040.0)</f>
        <v>12040</v>
      </c>
      <c r="I3479" s="18">
        <f>IFERROR(__xludf.DUMMYFUNCTION("""COMPUTED_VALUE"""),20.0)</f>
        <v>20</v>
      </c>
      <c r="J3479" s="18">
        <f>IFERROR(__xludf.DUMMYFUNCTION("""COMPUTED_VALUE"""),10.0)</f>
        <v>10</v>
      </c>
      <c r="K3479" s="18">
        <f>IFERROR(__xludf.DUMMYFUNCTION("""COMPUTED_VALUE"""),40.0)</f>
        <v>40</v>
      </c>
      <c r="L3479" s="17">
        <f>IFERROR(__xludf.DUMMYFUNCTION("""COMPUTED_VALUE"""),3.207135069E9)</f>
        <v>3207135069</v>
      </c>
      <c r="M3479" s="17" t="str">
        <f>IFERROR(__xludf.DUMMYFUNCTION("""COMPUTED_VALUE"""),"#REF!")</f>
        <v>#REF!</v>
      </c>
      <c r="N3479" s="17"/>
      <c r="O3479" s="17"/>
      <c r="P3479" s="17" t="b">
        <f>IFERROR(__xludf.DUMMYFUNCTION("""COMPUTED_VALUE"""),FALSE)</f>
        <v>0</v>
      </c>
      <c r="Q3479" s="20" t="str">
        <f>IFERROR(__xludf.DUMMYFUNCTION("""COMPUTED_VALUE"""),"")</f>
        <v/>
      </c>
      <c r="R3479" s="22" t="str">
        <f>IFERROR(__xludf.DUMMYFUNCTION("""COMPUTED_VALUE"""),"")</f>
        <v/>
      </c>
    </row>
    <row r="3480">
      <c r="A3480" s="15">
        <f>IFERROR(__xludf.DUMMYFUNCTION("""COMPUTED_VALUE"""),45104.0)</f>
        <v>45104</v>
      </c>
      <c r="B3480" s="16" t="str">
        <f>IFERROR(__xludf.DUMMYFUNCTION("""COMPUTED_VALUE"""),"Envia")</f>
        <v>Envia</v>
      </c>
      <c r="C3480" s="15" t="str">
        <f>IFERROR(__xludf.DUMMYFUNCTION("""COMPUTED_VALUE"""),"ARMENIA")</f>
        <v>ARMENIA</v>
      </c>
      <c r="D3480" s="15" t="str">
        <f>IFERROR(__xludf.DUMMYFUNCTION("""COMPUTED_VALUE"""),"BOGOTÁ")</f>
        <v>BOGOTÁ</v>
      </c>
      <c r="E3480" s="15" t="str">
        <f>IFERROR(__xludf.DUMMYFUNCTION("""COMPUTED_VALUE"""),"Top Spun")</f>
        <v>Top Spun</v>
      </c>
      <c r="F3480" s="17" t="str">
        <f>IFERROR(__xludf.DUMMYFUNCTION("""COMPUTED_VALUE"""),"CLL 41 # 36-110 / ALTOS DEL RIO CS 61 / CALARCA/ QUINDIO")</f>
        <v>CLL 41 # 36-110 / ALTOS DEL RIO CS 61 / CALARCA/ QUINDIO</v>
      </c>
      <c r="G3480" s="15" t="str">
        <f>IFERROR(__xludf.DUMMYFUNCTION("""COMPUTED_VALUE"""),"DANIELA VELASQUEZ BOTERO")</f>
        <v>DANIELA VELASQUEZ BOTERO</v>
      </c>
      <c r="H3480" s="16">
        <f>IFERROR(__xludf.DUMMYFUNCTION("""COMPUTED_VALUE"""),12039.0)</f>
        <v>12039</v>
      </c>
      <c r="I3480" s="18">
        <f>IFERROR(__xludf.DUMMYFUNCTION("""COMPUTED_VALUE"""),30.0)</f>
        <v>30</v>
      </c>
      <c r="J3480" s="18">
        <f>IFERROR(__xludf.DUMMYFUNCTION("""COMPUTED_VALUE"""),15.0)</f>
        <v>15</v>
      </c>
      <c r="K3480" s="18">
        <f>IFERROR(__xludf.DUMMYFUNCTION("""COMPUTED_VALUE"""),40.0)</f>
        <v>40</v>
      </c>
      <c r="L3480" s="17">
        <f>IFERROR(__xludf.DUMMYFUNCTION("""COMPUTED_VALUE"""),3.146309864E9)</f>
        <v>3146309864</v>
      </c>
      <c r="M3480" s="17" t="str">
        <f>IFERROR(__xludf.DUMMYFUNCTION("""COMPUTED_VALUE"""),"#REF!")</f>
        <v>#REF!</v>
      </c>
      <c r="N3480" s="17"/>
      <c r="O3480" s="17"/>
      <c r="P3480" s="17" t="b">
        <f>IFERROR(__xludf.DUMMYFUNCTION("""COMPUTED_VALUE"""),TRUE)</f>
        <v>1</v>
      </c>
      <c r="Q3480" s="20">
        <f>IFERROR(__xludf.DUMMYFUNCTION("""COMPUTED_VALUE"""),45104.71959231481)</f>
        <v>45104.71959</v>
      </c>
      <c r="R3480" s="22" t="str">
        <f>IFERROR(__xludf.DUMMYFUNCTION("""COMPUTED_VALUE"""),"")</f>
        <v/>
      </c>
    </row>
    <row r="3481">
      <c r="A3481" s="15">
        <f>IFERROR(__xludf.DUMMYFUNCTION("""COMPUTED_VALUE"""),45104.0)</f>
        <v>45104</v>
      </c>
      <c r="B3481" s="16" t="str">
        <f>IFERROR(__xludf.DUMMYFUNCTION("""COMPUTED_VALUE"""),"Envia")</f>
        <v>Envia</v>
      </c>
      <c r="C3481" s="15" t="str">
        <f>IFERROR(__xludf.DUMMYFUNCTION("""COMPUTED_VALUE"""),"BOGOTÁ")</f>
        <v>BOGOTÁ</v>
      </c>
      <c r="D3481" s="15" t="str">
        <f>IFERROR(__xludf.DUMMYFUNCTION("""COMPUTED_VALUE"""),"MEDELLÍN")</f>
        <v>MEDELLÍN</v>
      </c>
      <c r="E3481" s="15" t="str">
        <f>IFERROR(__xludf.DUMMYFUNCTION("""COMPUTED_VALUE"""),"AREPAS LA MARY")</f>
        <v>AREPAS LA MARY</v>
      </c>
      <c r="F3481" s="17" t="str">
        <f>IFERROR(__xludf.DUMMYFUNCTION("""COMPUTED_VALUE"""),"AUTOPISTA NORTE 120 37")</f>
        <v>AUTOPISTA NORTE 120 37</v>
      </c>
      <c r="G3481" s="15" t="str">
        <f>IFERROR(__xludf.DUMMYFUNCTION("""COMPUTED_VALUE"""),"EA VE MARIA")</f>
        <v>EA VE MARIA</v>
      </c>
      <c r="H3481" s="16">
        <f>IFERROR(__xludf.DUMMYFUNCTION("""COMPUTED_VALUE"""),12080.0)</f>
        <v>12080</v>
      </c>
      <c r="I3481" s="18">
        <f>IFERROR(__xludf.DUMMYFUNCTION("""COMPUTED_VALUE"""),89.0)</f>
        <v>89</v>
      </c>
      <c r="J3481" s="18">
        <f>IFERROR(__xludf.DUMMYFUNCTION("""COMPUTED_VALUE"""),1.0)</f>
        <v>1</v>
      </c>
      <c r="K3481" s="18">
        <f>IFERROR(__xludf.DUMMYFUNCTION("""COMPUTED_VALUE"""),10.0)</f>
        <v>10</v>
      </c>
      <c r="L3481" s="17" t="str">
        <f>IFERROR(__xludf.DUMMYFUNCTION("""COMPUTED_VALUE"""),"320 274 90 55")</f>
        <v>320 274 90 55</v>
      </c>
      <c r="M3481" s="17" t="str">
        <f>IFERROR(__xludf.DUMMYFUNCTION("""COMPUTED_VALUE"""),"#REF!")</f>
        <v>#REF!</v>
      </c>
      <c r="N3481" s="17"/>
      <c r="O3481" s="17"/>
      <c r="P3481" s="17" t="b">
        <f>IFERROR(__xludf.DUMMYFUNCTION("""COMPUTED_VALUE"""),TRUE)</f>
        <v>1</v>
      </c>
      <c r="Q3481" s="20">
        <f>IFERROR(__xludf.DUMMYFUNCTION("""COMPUTED_VALUE"""),45104.70231787037)</f>
        <v>45104.70232</v>
      </c>
      <c r="R3481" s="21" t="str">
        <f>IFERROR(__xludf.DUMMYFUNCTION("""COMPUTED_VALUE"""),"https://drive.google.com/file/d/1ojrsywYLQ-JU70C5vW0MFTm22m4zllvH/view?usp=drivesdk")</f>
        <v>https://drive.google.com/file/d/1ojrsywYLQ-JU70C5vW0MFTm22m4zllvH/view?usp=drivesdk</v>
      </c>
    </row>
    <row r="3482">
      <c r="A3482" s="15">
        <f>IFERROR(__xludf.DUMMYFUNCTION("""COMPUTED_VALUE"""),45104.0)</f>
        <v>45104</v>
      </c>
      <c r="B3482" s="16" t="str">
        <f>IFERROR(__xludf.DUMMYFUNCTION("""COMPUTED_VALUE"""),"Envia")</f>
        <v>Envia</v>
      </c>
      <c r="C3482" s="15" t="str">
        <f>IFERROR(__xludf.DUMMYFUNCTION("""COMPUTED_VALUE"""),"BOGOTÁ")</f>
        <v>BOGOTÁ</v>
      </c>
      <c r="D3482" s="15" t="str">
        <f>IFERROR(__xludf.DUMMYFUNCTION("""COMPUTED_VALUE"""),"MEDELLÍN")</f>
        <v>MEDELLÍN</v>
      </c>
      <c r="E3482" s="15" t="str">
        <f>IFERROR(__xludf.DUMMYFUNCTION("""COMPUTED_VALUE"""),"AREPAS LA MARY")</f>
        <v>AREPAS LA MARY</v>
      </c>
      <c r="F3482" s="17" t="str">
        <f>IFERROR(__xludf.DUMMYFUNCTION("""COMPUTED_VALUE"""),"CRA 13 # 93-13 LOCAL 103 / LOCAL 103")</f>
        <v>CRA 13 # 93-13 LOCAL 103 / LOCAL 103</v>
      </c>
      <c r="G3482" s="15" t="str">
        <f>IFERROR(__xludf.DUMMYFUNCTION("""COMPUTED_VALUE"""),"HEALING FOODS")</f>
        <v>HEALING FOODS</v>
      </c>
      <c r="H3482" s="16">
        <f>IFERROR(__xludf.DUMMYFUNCTION("""COMPUTED_VALUE"""),12081.0)</f>
        <v>12081</v>
      </c>
      <c r="I3482" s="18">
        <f>IFERROR(__xludf.DUMMYFUNCTION("""COMPUTED_VALUE"""),89.0)</f>
        <v>89</v>
      </c>
      <c r="J3482" s="18">
        <f>IFERROR(__xludf.DUMMYFUNCTION("""COMPUTED_VALUE"""),1.0)</f>
        <v>1</v>
      </c>
      <c r="K3482" s="18">
        <f>IFERROR(__xludf.DUMMYFUNCTION("""COMPUTED_VALUE"""),10.0)</f>
        <v>10</v>
      </c>
      <c r="L3482" s="17">
        <f>IFERROR(__xludf.DUMMYFUNCTION("""COMPUTED_VALUE"""),3.142647408E9)</f>
        <v>3142647408</v>
      </c>
      <c r="M3482" s="17" t="str">
        <f>IFERROR(__xludf.DUMMYFUNCTION("""COMPUTED_VALUE"""),"#REF!")</f>
        <v>#REF!</v>
      </c>
      <c r="N3482" s="17"/>
      <c r="O3482" s="17"/>
      <c r="P3482" s="17" t="b">
        <f>IFERROR(__xludf.DUMMYFUNCTION("""COMPUTED_VALUE"""),FALSE)</f>
        <v>0</v>
      </c>
      <c r="Q3482" s="20" t="str">
        <f>IFERROR(__xludf.DUMMYFUNCTION("""COMPUTED_VALUE"""),"")</f>
        <v/>
      </c>
      <c r="R3482" s="21" t="str">
        <f>IFERROR(__xludf.DUMMYFUNCTION("""COMPUTED_VALUE"""),"https://drive.google.com/file/d/1r1eB5NKa-XM-LkH65nXdu9ANJ2drVWOY/view?usp=drivesdk")</f>
        <v>https://drive.google.com/file/d/1r1eB5NKa-XM-LkH65nXdu9ANJ2drVWOY/view?usp=drivesdk</v>
      </c>
    </row>
    <row r="3483">
      <c r="A3483" s="15">
        <f>IFERROR(__xludf.DUMMYFUNCTION("""COMPUTED_VALUE"""),45104.0)</f>
        <v>45104</v>
      </c>
      <c r="B3483" s="16" t="str">
        <f>IFERROR(__xludf.DUMMYFUNCTION("""COMPUTED_VALUE"""),"Envia")</f>
        <v>Envia</v>
      </c>
      <c r="C3483" s="15" t="str">
        <f>IFERROR(__xludf.DUMMYFUNCTION("""COMPUTED_VALUE"""),"BOGOTÁ")</f>
        <v>BOGOTÁ</v>
      </c>
      <c r="D3483" s="15" t="str">
        <f>IFERROR(__xludf.DUMMYFUNCTION("""COMPUTED_VALUE"""),"MEDELLÍN")</f>
        <v>MEDELLÍN</v>
      </c>
      <c r="E3483" s="15" t="str">
        <f>IFERROR(__xludf.DUMMYFUNCTION("""COMPUTED_VALUE"""),"Helados swip")</f>
        <v>Helados swip</v>
      </c>
      <c r="F3483" s="17" t="str">
        <f>IFERROR(__xludf.DUMMYFUNCTION("""COMPUTED_VALUE"""),"CALLE 140# 13-50 / FIT MARKET 140 / FIT MARKET 140")</f>
        <v>CALLE 140# 13-50 / FIT MARKET 140 / FIT MARKET 140</v>
      </c>
      <c r="G3483" s="15" t="str">
        <f>IFERROR(__xludf.DUMMYFUNCTION("""COMPUTED_VALUE"""),"FIT MARKET TIENDA 140")</f>
        <v>FIT MARKET TIENDA 140</v>
      </c>
      <c r="H3483" s="16">
        <f>IFERROR(__xludf.DUMMYFUNCTION("""COMPUTED_VALUE"""),12043.0)</f>
        <v>12043</v>
      </c>
      <c r="I3483" s="18">
        <f>IFERROR(__xludf.DUMMYFUNCTION("""COMPUTED_VALUE"""),29.0)</f>
        <v>29</v>
      </c>
      <c r="J3483" s="18">
        <f>IFERROR(__xludf.DUMMYFUNCTION("""COMPUTED_VALUE"""),55.0)</f>
        <v>55</v>
      </c>
      <c r="K3483" s="18">
        <f>IFERROR(__xludf.DUMMYFUNCTION("""COMPUTED_VALUE"""),45.0)</f>
        <v>45</v>
      </c>
      <c r="L3483" s="17">
        <f>IFERROR(__xludf.DUMMYFUNCTION("""COMPUTED_VALUE"""),3.184646644E9)</f>
        <v>3184646644</v>
      </c>
      <c r="M3483" s="17" t="str">
        <f>IFERROR(__xludf.DUMMYFUNCTION("""COMPUTED_VALUE"""),"#REF!")</f>
        <v>#REF!</v>
      </c>
      <c r="N3483" s="17"/>
      <c r="O3483" s="17"/>
      <c r="P3483" s="17" t="b">
        <f>IFERROR(__xludf.DUMMYFUNCTION("""COMPUTED_VALUE"""),FALSE)</f>
        <v>0</v>
      </c>
      <c r="Q3483" s="20" t="str">
        <f>IFERROR(__xludf.DUMMYFUNCTION("""COMPUTED_VALUE"""),"")</f>
        <v/>
      </c>
      <c r="R3483" s="21" t="str">
        <f>IFERROR(__xludf.DUMMYFUNCTION("""COMPUTED_VALUE"""),"https://drive.google.com/file/d/10DFAe2Vqsdy8pU2WH73h2_g6VMUZ3vlO/view?usp=drivesdk")</f>
        <v>https://drive.google.com/file/d/10DFAe2Vqsdy8pU2WH73h2_g6VMUZ3vlO/view?usp=drivesdk</v>
      </c>
    </row>
    <row r="3484">
      <c r="A3484" s="15">
        <f>IFERROR(__xludf.DUMMYFUNCTION("""COMPUTED_VALUE"""),45104.0)</f>
        <v>45104</v>
      </c>
      <c r="B3484" s="16" t="str">
        <f>IFERROR(__xludf.DUMMYFUNCTION("""COMPUTED_VALUE"""),"Envia")</f>
        <v>Envia</v>
      </c>
      <c r="C3484" s="15" t="str">
        <f>IFERROR(__xludf.DUMMYFUNCTION("""COMPUTED_VALUE"""),"BOGOTÁ")</f>
        <v>BOGOTÁ</v>
      </c>
      <c r="D3484" s="15" t="str">
        <f>IFERROR(__xludf.DUMMYFUNCTION("""COMPUTED_VALUE"""),"MEDELLÍN")</f>
        <v>MEDELLÍN</v>
      </c>
      <c r="E3484" s="15" t="str">
        <f>IFERROR(__xludf.DUMMYFUNCTION("""COMPUTED_VALUE"""),"Helados swip")</f>
        <v>Helados swip</v>
      </c>
      <c r="F3484" s="17" t="str">
        <f>IFERROR(__xludf.DUMMYFUNCTION("""COMPUTED_VALUE"""),"CALLE 71 # 4-55 / ROSALES TIENDA 71 / FIT MARKET 71")</f>
        <v>CALLE 71 # 4-55 / ROSALES TIENDA 71 / FIT MARKET 71</v>
      </c>
      <c r="G3484" s="15" t="str">
        <f>IFERROR(__xludf.DUMMYFUNCTION("""COMPUTED_VALUE"""),"FIT MARKET TIENDA 71")</f>
        <v>FIT MARKET TIENDA 71</v>
      </c>
      <c r="H3484" s="16">
        <f>IFERROR(__xludf.DUMMYFUNCTION("""COMPUTED_VALUE"""),12042.0)</f>
        <v>12042</v>
      </c>
      <c r="I3484" s="18">
        <f>IFERROR(__xludf.DUMMYFUNCTION("""COMPUTED_VALUE"""),29.0)</f>
        <v>29</v>
      </c>
      <c r="J3484" s="18">
        <f>IFERROR(__xludf.DUMMYFUNCTION("""COMPUTED_VALUE"""),55.0)</f>
        <v>55</v>
      </c>
      <c r="K3484" s="18">
        <f>IFERROR(__xludf.DUMMYFUNCTION("""COMPUTED_VALUE"""),45.0)</f>
        <v>45</v>
      </c>
      <c r="L3484" s="17">
        <f>IFERROR(__xludf.DUMMYFUNCTION("""COMPUTED_VALUE"""),3.232200591E9)</f>
        <v>3232200591</v>
      </c>
      <c r="M3484" s="17" t="str">
        <f>IFERROR(__xludf.DUMMYFUNCTION("""COMPUTED_VALUE"""),"#REF!")</f>
        <v>#REF!</v>
      </c>
      <c r="N3484" s="17"/>
      <c r="O3484" s="17"/>
      <c r="P3484" s="17" t="b">
        <f>IFERROR(__xludf.DUMMYFUNCTION("""COMPUTED_VALUE"""),FALSE)</f>
        <v>0</v>
      </c>
      <c r="Q3484" s="20" t="str">
        <f>IFERROR(__xludf.DUMMYFUNCTION("""COMPUTED_VALUE"""),"")</f>
        <v/>
      </c>
      <c r="R3484" s="22" t="str">
        <f>IFERROR(__xludf.DUMMYFUNCTION("""COMPUTED_VALUE"""),"")</f>
        <v/>
      </c>
    </row>
    <row r="3485">
      <c r="A3485" s="15">
        <f>IFERROR(__xludf.DUMMYFUNCTION("""COMPUTED_VALUE"""),45104.0)</f>
        <v>45104</v>
      </c>
      <c r="B3485" s="16" t="str">
        <f>IFERROR(__xludf.DUMMYFUNCTION("""COMPUTED_VALUE"""),"Envia")</f>
        <v>Envia</v>
      </c>
      <c r="C3485" s="15" t="str">
        <f>IFERROR(__xludf.DUMMYFUNCTION("""COMPUTED_VALUE"""),"BUCARAMANGA")</f>
        <v>BUCARAMANGA</v>
      </c>
      <c r="D3485" s="15" t="str">
        <f>IFERROR(__xludf.DUMMYFUNCTION("""COMPUTED_VALUE"""),"MEDELLÍN")</f>
        <v>MEDELLÍN</v>
      </c>
      <c r="E3485" s="15" t="str">
        <f>IFERROR(__xludf.DUMMYFUNCTION("""COMPUTED_VALUE"""),"Baby Chef")</f>
        <v>Baby Chef</v>
      </c>
      <c r="F3485" s="17" t="str">
        <f>IFERROR(__xludf.DUMMYFUNCTION("""COMPUTED_VALUE"""),"Calle 100 # 18-117 Barrio Fontana Bucaramanga / ""Calle 100 # 18-117 Barrio Fontana Bucaramanga"" / ""Calle 100 # 18-117 Barrio Fontana Bucaramanga""")</f>
        <v>Calle 100 # 18-117 Barrio Fontana Bucaramanga / "Calle 100 # 18-117 Barrio Fontana Bucaramanga" / "Calle 100 # 18-117 Barrio Fontana Bucaramanga"</v>
      </c>
      <c r="G3485" s="15" t="str">
        <f>IFERROR(__xludf.DUMMYFUNCTION("""COMPUTED_VALUE"""),"Laura Patricia Guerrero Ramirez")</f>
        <v>Laura Patricia Guerrero Ramirez</v>
      </c>
      <c r="H3485" s="16">
        <f>IFERROR(__xludf.DUMMYFUNCTION("""COMPUTED_VALUE"""),12104.0)</f>
        <v>12104</v>
      </c>
      <c r="I3485" s="18">
        <f>IFERROR(__xludf.DUMMYFUNCTION("""COMPUTED_VALUE"""),8.0)</f>
        <v>8</v>
      </c>
      <c r="J3485" s="18">
        <f>IFERROR(__xludf.DUMMYFUNCTION("""COMPUTED_VALUE"""),16.0)</f>
        <v>16</v>
      </c>
      <c r="K3485" s="18">
        <f>IFERROR(__xludf.DUMMYFUNCTION("""COMPUTED_VALUE"""),20.0)</f>
        <v>20</v>
      </c>
      <c r="L3485" s="17">
        <f>IFERROR(__xludf.DUMMYFUNCTION("""COMPUTED_VALUE"""),3.134324746E9)</f>
        <v>3134324746</v>
      </c>
      <c r="M3485" s="17" t="str">
        <f>IFERROR(__xludf.DUMMYFUNCTION("""COMPUTED_VALUE"""),"#REF!")</f>
        <v>#REF!</v>
      </c>
      <c r="N3485" s="17"/>
      <c r="O3485" s="17"/>
      <c r="P3485" s="17" t="b">
        <f>IFERROR(__xludf.DUMMYFUNCTION("""COMPUTED_VALUE"""),FALSE)</f>
        <v>0</v>
      </c>
      <c r="Q3485" s="20" t="str">
        <f>IFERROR(__xludf.DUMMYFUNCTION("""COMPUTED_VALUE"""),"")</f>
        <v/>
      </c>
      <c r="R3485" s="22" t="str">
        <f>IFERROR(__xludf.DUMMYFUNCTION("""COMPUTED_VALUE"""),"")</f>
        <v/>
      </c>
    </row>
    <row r="3486">
      <c r="A3486" s="15">
        <f>IFERROR(__xludf.DUMMYFUNCTION("""COMPUTED_VALUE"""),45104.0)</f>
        <v>45104</v>
      </c>
      <c r="B3486" s="16" t="str">
        <f>IFERROR(__xludf.DUMMYFUNCTION("""COMPUTED_VALUE"""),"Envia")</f>
        <v>Envia</v>
      </c>
      <c r="C3486" s="15" t="str">
        <f>IFERROR(__xludf.DUMMYFUNCTION("""COMPUTED_VALUE"""),"CALI")</f>
        <v>CALI</v>
      </c>
      <c r="D3486" s="15" t="str">
        <f>IFERROR(__xludf.DUMMYFUNCTION("""COMPUTED_VALUE"""),"BOGOTÁ")</f>
        <v>BOGOTÁ</v>
      </c>
      <c r="E3486" s="15" t="str">
        <f>IFERROR(__xludf.DUMMYFUNCTION("""COMPUTED_VALUE"""),"Helados Socos")</f>
        <v>Helados Socos</v>
      </c>
      <c r="F3486" s="17" t="str">
        <f>IFERROR(__xludf.DUMMYFUNCTION("""COMPUTED_VALUE"""),"Cll 6ta oeste # 1 A - 55  / apto 1003 Edificio Mirador del Oeste / Santa Teresita CALI")</f>
        <v>Cll 6ta oeste # 1 A - 55  / apto 1003 Edificio Mirador del Oeste / Santa Teresita CALI</v>
      </c>
      <c r="G3486" s="15" t="str">
        <f>IFERROR(__xludf.DUMMYFUNCTION("""COMPUTED_VALUE"""),"Amparo Echeverry de Sardy")</f>
        <v>Amparo Echeverry de Sardy</v>
      </c>
      <c r="H3486" s="16">
        <f>IFERROR(__xludf.DUMMYFUNCTION("""COMPUTED_VALUE"""),11924.0)</f>
        <v>11924</v>
      </c>
      <c r="I3486" s="18">
        <f>IFERROR(__xludf.DUMMYFUNCTION("""COMPUTED_VALUE"""),8.0)</f>
        <v>8</v>
      </c>
      <c r="J3486" s="18">
        <f>IFERROR(__xludf.DUMMYFUNCTION("""COMPUTED_VALUE"""),10.0)</f>
        <v>10</v>
      </c>
      <c r="K3486" s="18">
        <f>IFERROR(__xludf.DUMMYFUNCTION("""COMPUTED_VALUE"""),15.0)</f>
        <v>15</v>
      </c>
      <c r="L3486" s="17">
        <f>IFERROR(__xludf.DUMMYFUNCTION("""COMPUTED_VALUE"""),3.154880454E9)</f>
        <v>3154880454</v>
      </c>
      <c r="M3486" s="17" t="str">
        <f>IFERROR(__xludf.DUMMYFUNCTION("""COMPUTED_VALUE"""),"#REF!")</f>
        <v>#REF!</v>
      </c>
      <c r="N3486" s="17"/>
      <c r="O3486" s="17"/>
      <c r="P3486" s="17" t="b">
        <f>IFERROR(__xludf.DUMMYFUNCTION("""COMPUTED_VALUE"""),FALSE)</f>
        <v>0</v>
      </c>
      <c r="Q3486" s="20" t="str">
        <f>IFERROR(__xludf.DUMMYFUNCTION("""COMPUTED_VALUE"""),"")</f>
        <v/>
      </c>
      <c r="R3486" s="21" t="str">
        <f>IFERROR(__xludf.DUMMYFUNCTION("""COMPUTED_VALUE"""),"https://drive.google.com/file/d/10Ngh-1KIw6GHsk0kOBeEGxgq4khjzZsJ/view?usp=drivesdk")</f>
        <v>https://drive.google.com/file/d/10Ngh-1KIw6GHsk0kOBeEGxgq4khjzZsJ/view?usp=drivesdk</v>
      </c>
    </row>
    <row r="3487">
      <c r="A3487" s="15">
        <f>IFERROR(__xludf.DUMMYFUNCTION("""COMPUTED_VALUE"""),45104.0)</f>
        <v>45104</v>
      </c>
      <c r="B3487" s="16" t="str">
        <f>IFERROR(__xludf.DUMMYFUNCTION("""COMPUTED_VALUE"""),"Envia")</f>
        <v>Envia</v>
      </c>
      <c r="C3487" s="15" t="str">
        <f>IFERROR(__xludf.DUMMYFUNCTION("""COMPUTED_VALUE"""),"IBAGUÉ")</f>
        <v>IBAGUÉ</v>
      </c>
      <c r="D3487" s="15" t="str">
        <f>IFERROR(__xludf.DUMMYFUNCTION("""COMPUTED_VALUE"""),"BOGOTÁ")</f>
        <v>BOGOTÁ</v>
      </c>
      <c r="E3487" s="15" t="str">
        <f>IFERROR(__xludf.DUMMYFUNCTION("""COMPUTED_VALUE"""),"Pan de Waffle")</f>
        <v>Pan de Waffle</v>
      </c>
      <c r="F3487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3487" s="15" t="str">
        <f>IFERROR(__xludf.DUMMYFUNCTION("""COMPUTED_VALUE"""),"SOY NATURAL SEDE VERGEL")</f>
        <v>SOY NATURAL SEDE VERGEL</v>
      </c>
      <c r="H3487" s="16">
        <f>IFERROR(__xludf.DUMMYFUNCTION("""COMPUTED_VALUE"""),12050.0)</f>
        <v>12050</v>
      </c>
      <c r="I3487" s="18">
        <f>IFERROR(__xludf.DUMMYFUNCTION("""COMPUTED_VALUE"""),30.0)</f>
        <v>30</v>
      </c>
      <c r="J3487" s="18">
        <f>IFERROR(__xludf.DUMMYFUNCTION("""COMPUTED_VALUE"""),40.0)</f>
        <v>40</v>
      </c>
      <c r="K3487" s="18">
        <f>IFERROR(__xludf.DUMMYFUNCTION("""COMPUTED_VALUE"""),30.0)</f>
        <v>30</v>
      </c>
      <c r="L3487" s="17">
        <f>IFERROR(__xludf.DUMMYFUNCTION("""COMPUTED_VALUE"""),3.208565148E9)</f>
        <v>3208565148</v>
      </c>
      <c r="M3487" s="17" t="str">
        <f>IFERROR(__xludf.DUMMYFUNCTION("""COMPUTED_VALUE"""),"#REF!")</f>
        <v>#REF!</v>
      </c>
      <c r="N3487" s="17"/>
      <c r="O3487" s="17"/>
      <c r="P3487" s="17" t="b">
        <f>IFERROR(__xludf.DUMMYFUNCTION("""COMPUTED_VALUE"""),FALSE)</f>
        <v>0</v>
      </c>
      <c r="Q3487" s="20" t="str">
        <f>IFERROR(__xludf.DUMMYFUNCTION("""COMPUTED_VALUE"""),"")</f>
        <v/>
      </c>
      <c r="R3487" s="21" t="str">
        <f>IFERROR(__xludf.DUMMYFUNCTION("""COMPUTED_VALUE"""),"https://drive.google.com/file/d/1u8eywmIoVqBggEL4P_A_QzlaoZ00mvhB/view?usp=drivesdk")</f>
        <v>https://drive.google.com/file/d/1u8eywmIoVqBggEL4P_A_QzlaoZ00mvhB/view?usp=drivesdk</v>
      </c>
    </row>
    <row r="3488">
      <c r="A3488" s="15">
        <f>IFERROR(__xludf.DUMMYFUNCTION("""COMPUTED_VALUE"""),45104.0)</f>
        <v>45104</v>
      </c>
      <c r="B3488" s="16" t="str">
        <f>IFERROR(__xludf.DUMMYFUNCTION("""COMPUTED_VALUE"""),"Envia")</f>
        <v>Envia</v>
      </c>
      <c r="C3488" s="15" t="str">
        <f>IFERROR(__xludf.DUMMYFUNCTION("""COMPUTED_VALUE"""),"MANIZALES")</f>
        <v>MANIZALES</v>
      </c>
      <c r="D3488" s="15" t="str">
        <f>IFERROR(__xludf.DUMMYFUNCTION("""COMPUTED_VALUE"""),"BOGOTÁ")</f>
        <v>BOGOTÁ</v>
      </c>
      <c r="E3488" s="15" t="str">
        <f>IFERROR(__xludf.DUMMYFUNCTION("""COMPUTED_VALUE"""),"Evamazzita")</f>
        <v>Evamazzita</v>
      </c>
      <c r="F3488" s="17" t="str">
        <f>IFERROR(__xludf.DUMMYFUNCTION("""COMPUTED_VALUE"""),"CRA 23A No. 74 - 238  / TORRE B APTO 505 TORRES DE POSITANO / TORRE B APTO 505 TORRES DE POSITANO")</f>
        <v>CRA 23A No. 74 - 238  / TORRE B APTO 505 TORRES DE POSITANO / TORRE B APTO 505 TORRES DE POSITANO</v>
      </c>
      <c r="G3488" s="15" t="str">
        <f>IFERROR(__xludf.DUMMYFUNCTION("""COMPUTED_VALUE"""),"LINA BURITICA")</f>
        <v>LINA BURITICA</v>
      </c>
      <c r="H3488" s="16">
        <f>IFERROR(__xludf.DUMMYFUNCTION("""COMPUTED_VALUE"""),12057.0)</f>
        <v>12057</v>
      </c>
      <c r="I3488" s="18">
        <f>IFERROR(__xludf.DUMMYFUNCTION("""COMPUTED_VALUE"""),1.0)</f>
        <v>1</v>
      </c>
      <c r="J3488" s="18">
        <f>IFERROR(__xludf.DUMMYFUNCTION("""COMPUTED_VALUE"""),1.0)</f>
        <v>1</v>
      </c>
      <c r="K3488" s="18">
        <f>IFERROR(__xludf.DUMMYFUNCTION("""COMPUTED_VALUE"""),1.0)</f>
        <v>1</v>
      </c>
      <c r="L3488" s="17">
        <f>IFERROR(__xludf.DUMMYFUNCTION("""COMPUTED_VALUE"""),3.137133231E9)</f>
        <v>3137133231</v>
      </c>
      <c r="M3488" s="17" t="str">
        <f>IFERROR(__xludf.DUMMYFUNCTION("""COMPUTED_VALUE"""),"#REF!")</f>
        <v>#REF!</v>
      </c>
      <c r="N3488" s="17"/>
      <c r="O3488" s="17"/>
      <c r="P3488" s="17" t="b">
        <f>IFERROR(__xludf.DUMMYFUNCTION("""COMPUTED_VALUE"""),FALSE)</f>
        <v>0</v>
      </c>
      <c r="Q3488" s="20" t="str">
        <f>IFERROR(__xludf.DUMMYFUNCTION("""COMPUTED_VALUE"""),"")</f>
        <v/>
      </c>
      <c r="R3488" s="21" t="str">
        <f>IFERROR(__xludf.DUMMYFUNCTION("""COMPUTED_VALUE"""),"https://drive.google.com/file/d/1VFQ-Rrl6ilZktCdmkXsQPQ9lzNmpZkBi/view?usp=drivesdk")</f>
        <v>https://drive.google.com/file/d/1VFQ-Rrl6ilZktCdmkXsQPQ9lzNmpZkBi/view?usp=drivesdk</v>
      </c>
    </row>
    <row r="3489">
      <c r="A3489" s="15">
        <f>IFERROR(__xludf.DUMMYFUNCTION("""COMPUTED_VALUE"""),45104.0)</f>
        <v>45104</v>
      </c>
      <c r="B3489" s="16" t="str">
        <f>IFERROR(__xludf.DUMMYFUNCTION("""COMPUTED_VALUE"""),"Envia")</f>
        <v>Envia</v>
      </c>
      <c r="C3489" s="15" t="str">
        <f>IFERROR(__xludf.DUMMYFUNCTION("""COMPUTED_VALUE"""),"MEDELLÍN")</f>
        <v>MEDELLÍN</v>
      </c>
      <c r="D3489" s="15" t="str">
        <f>IFERROR(__xludf.DUMMYFUNCTION("""COMPUTED_VALUE"""),"BOGOTÁ")</f>
        <v>BOGOTÁ</v>
      </c>
      <c r="E3489" s="15" t="str">
        <f>IFERROR(__xludf.DUMMYFUNCTION("""COMPUTED_VALUE"""),"Evamazzita")</f>
        <v>Evamazzita</v>
      </c>
      <c r="F3489" s="17" t="str">
        <f>IFERROR(__xludf.DUMMYFUNCTION("""COMPUTED_VALUE"""),"CRA 76 45 sur 122  / apto 201  / Barrio el vergel, San Antonio de Prado")</f>
        <v>CRA 76 45 sur 122  / apto 201  / Barrio el vergel, San Antonio de Prado</v>
      </c>
      <c r="G3489" s="15" t="str">
        <f>IFERROR(__xludf.DUMMYFUNCTION("""COMPUTED_VALUE"""),"CAROLINA GONZALEZ")</f>
        <v>CAROLINA GONZALEZ</v>
      </c>
      <c r="H3489" s="16">
        <f>IFERROR(__xludf.DUMMYFUNCTION("""COMPUTED_VALUE"""),12078.0)</f>
        <v>12078</v>
      </c>
      <c r="I3489" s="18">
        <f>IFERROR(__xludf.DUMMYFUNCTION("""COMPUTED_VALUE"""),1.0)</f>
        <v>1</v>
      </c>
      <c r="J3489" s="18">
        <f>IFERROR(__xludf.DUMMYFUNCTION("""COMPUTED_VALUE"""),1.0)</f>
        <v>1</v>
      </c>
      <c r="K3489" s="18">
        <f>IFERROR(__xludf.DUMMYFUNCTION("""COMPUTED_VALUE"""),1.0)</f>
        <v>1</v>
      </c>
      <c r="L3489" s="17">
        <f>IFERROR(__xludf.DUMMYFUNCTION("""COMPUTED_VALUE"""),3.113942982E9)</f>
        <v>3113942982</v>
      </c>
      <c r="M3489" s="17" t="str">
        <f>IFERROR(__xludf.DUMMYFUNCTION("""COMPUTED_VALUE"""),"#REF!")</f>
        <v>#REF!</v>
      </c>
      <c r="N3489" s="17"/>
      <c r="O3489" s="17"/>
      <c r="P3489" s="17" t="b">
        <f>IFERROR(__xludf.DUMMYFUNCTION("""COMPUTED_VALUE"""),FALSE)</f>
        <v>0</v>
      </c>
      <c r="Q3489" s="20" t="str">
        <f>IFERROR(__xludf.DUMMYFUNCTION("""COMPUTED_VALUE"""),"")</f>
        <v/>
      </c>
      <c r="R3489" s="21" t="str">
        <f>IFERROR(__xludf.DUMMYFUNCTION("""COMPUTED_VALUE"""),"https://drive.google.com/file/d/1xO86J2QutJ7etSjVz_t8cAafbaCcCFAf/view?usp=drivesdk")</f>
        <v>https://drive.google.com/file/d/1xO86J2QutJ7etSjVz_t8cAafbaCcCFAf/view?usp=drivesdk</v>
      </c>
    </row>
    <row r="3490">
      <c r="A3490" s="15">
        <f>IFERROR(__xludf.DUMMYFUNCTION("""COMPUTED_VALUE"""),45104.0)</f>
        <v>45104</v>
      </c>
      <c r="B3490" s="16" t="str">
        <f>IFERROR(__xludf.DUMMYFUNCTION("""COMPUTED_VALUE"""),"Envia")</f>
        <v>Envia</v>
      </c>
      <c r="C3490" s="15" t="str">
        <f>IFERROR(__xludf.DUMMYFUNCTION("""COMPUTED_VALUE"""),"MEDELLÍN")</f>
        <v>MEDELLÍN</v>
      </c>
      <c r="D3490" s="15" t="str">
        <f>IFERROR(__xludf.DUMMYFUNCTION("""COMPUTED_VALUE"""),"BOGOTÁ")</f>
        <v>BOGOTÁ</v>
      </c>
      <c r="E3490" s="15" t="str">
        <f>IFERROR(__xludf.DUMMYFUNCTION("""COMPUTED_VALUE"""),"Loomifoods")</f>
        <v>Loomifoods</v>
      </c>
      <c r="F3490" s="17" t="str">
        <f>IFERROR(__xludf.DUMMYFUNCTION("""COMPUTED_VALUE"""),"Calle 18 no. 43G - 90 / Apto 1612 / Urbanización Bosque del Río")</f>
        <v>Calle 18 no. 43G - 90 / Apto 1612 / Urbanización Bosque del Río</v>
      </c>
      <c r="G3490" s="15" t="str">
        <f>IFERROR(__xludf.DUMMYFUNCTION("""COMPUTED_VALUE"""),"Lizeth Vasquez")</f>
        <v>Lizeth Vasquez</v>
      </c>
      <c r="H3490" s="16">
        <f>IFERROR(__xludf.DUMMYFUNCTION("""COMPUTED_VALUE"""),12031.0)</f>
        <v>12031</v>
      </c>
      <c r="I3490" s="18">
        <f>IFERROR(__xludf.DUMMYFUNCTION("""COMPUTED_VALUE"""),20.0)</f>
        <v>20</v>
      </c>
      <c r="J3490" s="18">
        <f>IFERROR(__xludf.DUMMYFUNCTION("""COMPUTED_VALUE"""),5.0)</f>
        <v>5</v>
      </c>
      <c r="K3490" s="18">
        <f>IFERROR(__xludf.DUMMYFUNCTION("""COMPUTED_VALUE"""),16.0)</f>
        <v>16</v>
      </c>
      <c r="L3490" s="17">
        <f>IFERROR(__xludf.DUMMYFUNCTION("""COMPUTED_VALUE"""),3.117875093E9)</f>
        <v>3117875093</v>
      </c>
      <c r="M3490" s="17" t="str">
        <f>IFERROR(__xludf.DUMMYFUNCTION("""COMPUTED_VALUE"""),"#REF!")</f>
        <v>#REF!</v>
      </c>
      <c r="N3490" s="17"/>
      <c r="O3490" s="17"/>
      <c r="P3490" s="17" t="b">
        <f>IFERROR(__xludf.DUMMYFUNCTION("""COMPUTED_VALUE"""),FALSE)</f>
        <v>0</v>
      </c>
      <c r="Q3490" s="20" t="str">
        <f>IFERROR(__xludf.DUMMYFUNCTION("""COMPUTED_VALUE"""),"")</f>
        <v/>
      </c>
      <c r="R3490" s="21" t="str">
        <f>IFERROR(__xludf.DUMMYFUNCTION("""COMPUTED_VALUE"""),"https://drive.google.com/file/d/1GEBzZtz17VL9Uso4avp3sqKLQEvtAqhc/view?usp=drivesdk")</f>
        <v>https://drive.google.com/file/d/1GEBzZtz17VL9Uso4avp3sqKLQEvtAqhc/view?usp=drivesdk</v>
      </c>
    </row>
    <row r="3491">
      <c r="A3491" s="15">
        <f>IFERROR(__xludf.DUMMYFUNCTION("""COMPUTED_VALUE"""),45104.0)</f>
        <v>45104</v>
      </c>
      <c r="B3491" s="16" t="str">
        <f>IFERROR(__xludf.DUMMYFUNCTION("""COMPUTED_VALUE"""),"Envia")</f>
        <v>Envia</v>
      </c>
      <c r="C3491" s="15" t="str">
        <f>IFERROR(__xludf.DUMMYFUNCTION("""COMPUTED_VALUE"""),"MEDELLÍN")</f>
        <v>MEDELLÍN</v>
      </c>
      <c r="D3491" s="15" t="str">
        <f>IFERROR(__xludf.DUMMYFUNCTION("""COMPUTED_VALUE"""),"BOGOTÁ")</f>
        <v>BOGOTÁ</v>
      </c>
      <c r="E3491" s="15" t="str">
        <f>IFERROR(__xludf.DUMMYFUNCTION("""COMPUTED_VALUE"""),"Lunchy Kids")</f>
        <v>Lunchy Kids</v>
      </c>
      <c r="F3491" s="17" t="str">
        <f>IFERROR(__xludf.DUMMYFUNCTION("""COMPUTED_VALUE"""),"Calle 54 #81-55 / Apto 2201  / Calazans")</f>
        <v>Calle 54 #81-55 / Apto 2201  / Calazans</v>
      </c>
      <c r="G3491" s="15" t="str">
        <f>IFERROR(__xludf.DUMMYFUNCTION("""COMPUTED_VALUE"""),"Mariana Munera")</f>
        <v>Mariana Munera</v>
      </c>
      <c r="H3491" s="16">
        <f>IFERROR(__xludf.DUMMYFUNCTION("""COMPUTED_VALUE"""),12038.0)</f>
        <v>12038</v>
      </c>
      <c r="I3491" s="18">
        <f>IFERROR(__xludf.DUMMYFUNCTION("""COMPUTED_VALUE"""),14.0)</f>
        <v>14</v>
      </c>
      <c r="J3491" s="18">
        <f>IFERROR(__xludf.DUMMYFUNCTION("""COMPUTED_VALUE"""),29.0)</f>
        <v>29</v>
      </c>
      <c r="K3491" s="18">
        <f>IFERROR(__xludf.DUMMYFUNCTION("""COMPUTED_VALUE"""),6.0)</f>
        <v>6</v>
      </c>
      <c r="L3491" s="17">
        <f>IFERROR(__xludf.DUMMYFUNCTION("""COMPUTED_VALUE"""),3.146790242E9)</f>
        <v>3146790242</v>
      </c>
      <c r="M3491" s="17" t="str">
        <f>IFERROR(__xludf.DUMMYFUNCTION("""COMPUTED_VALUE"""),"#REF!")</f>
        <v>#REF!</v>
      </c>
      <c r="N3491" s="17"/>
      <c r="O3491" s="17"/>
      <c r="P3491" s="17" t="b">
        <f>IFERROR(__xludf.DUMMYFUNCTION("""COMPUTED_VALUE"""),FALSE)</f>
        <v>0</v>
      </c>
      <c r="Q3491" s="20" t="str">
        <f>IFERROR(__xludf.DUMMYFUNCTION("""COMPUTED_VALUE"""),"")</f>
        <v/>
      </c>
      <c r="R3491" s="21" t="str">
        <f>IFERROR(__xludf.DUMMYFUNCTION("""COMPUTED_VALUE"""),"https://drive.google.com/file/d/1_VH4VhsLbF83lKORxa4nbrmjGAu8rPbc/view?usp=drivesdk")</f>
        <v>https://drive.google.com/file/d/1_VH4VhsLbF83lKORxa4nbrmjGAu8rPbc/view?usp=drivesdk</v>
      </c>
    </row>
    <row r="3492">
      <c r="A3492" s="15">
        <f>IFERROR(__xludf.DUMMYFUNCTION("""COMPUTED_VALUE"""),45104.0)</f>
        <v>45104</v>
      </c>
      <c r="B3492" s="16" t="str">
        <f>IFERROR(__xludf.DUMMYFUNCTION("""COMPUTED_VALUE"""),"Envia")</f>
        <v>Envia</v>
      </c>
      <c r="C3492" s="15" t="str">
        <f>IFERROR(__xludf.DUMMYFUNCTION("""COMPUTED_VALUE"""),"MEDELLÍN")</f>
        <v>MEDELLÍN</v>
      </c>
      <c r="D3492" s="15" t="str">
        <f>IFERROR(__xludf.DUMMYFUNCTION("""COMPUTED_VALUE"""),"BOGOTÁ")</f>
        <v>BOGOTÁ</v>
      </c>
      <c r="E3492" s="15" t="str">
        <f>IFERROR(__xludf.DUMMYFUNCTION("""COMPUTED_VALUE"""),"MAI ALIMENTOS S.A.S")</f>
        <v>MAI ALIMENTOS S.A.S</v>
      </c>
      <c r="F3492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492" s="15" t="str">
        <f>IFERROR(__xludf.DUMMYFUNCTION("""COMPUTED_VALUE"""),"Novaventas")</f>
        <v>Novaventas</v>
      </c>
      <c r="H3492" s="16">
        <f>IFERROR(__xludf.DUMMYFUNCTION("""COMPUTED_VALUE"""),12016.0)</f>
        <v>12016</v>
      </c>
      <c r="I3492" s="18">
        <f>IFERROR(__xludf.DUMMYFUNCTION("""COMPUTED_VALUE"""),35.0)</f>
        <v>35</v>
      </c>
      <c r="J3492" s="18">
        <f>IFERROR(__xludf.DUMMYFUNCTION("""COMPUTED_VALUE"""),17.0)</f>
        <v>17</v>
      </c>
      <c r="K3492" s="18">
        <f>IFERROR(__xludf.DUMMYFUNCTION("""COMPUTED_VALUE"""),13.0)</f>
        <v>13</v>
      </c>
      <c r="L3492" s="17">
        <f>IFERROR(__xludf.DUMMYFUNCTION("""COMPUTED_VALUE"""),3.187351593E9)</f>
        <v>3187351593</v>
      </c>
      <c r="M3492" s="17" t="str">
        <f>IFERROR(__xludf.DUMMYFUNCTION("""COMPUTED_VALUE"""),"#REF!")</f>
        <v>#REF!</v>
      </c>
      <c r="N3492" s="17"/>
      <c r="O3492" s="17"/>
      <c r="P3492" s="17" t="b">
        <f>IFERROR(__xludf.DUMMYFUNCTION("""COMPUTED_VALUE"""),FALSE)</f>
        <v>0</v>
      </c>
      <c r="Q3492" s="20" t="str">
        <f>IFERROR(__xludf.DUMMYFUNCTION("""COMPUTED_VALUE"""),"")</f>
        <v/>
      </c>
      <c r="R3492" s="21" t="str">
        <f>IFERROR(__xludf.DUMMYFUNCTION("""COMPUTED_VALUE"""),"https://drive.google.com/file/d/1c5PbWyAJWLxU8LZHIXPrQN1hvhbHnDUr/view?usp=drivesdk")</f>
        <v>https://drive.google.com/file/d/1c5PbWyAJWLxU8LZHIXPrQN1hvhbHnDUr/view?usp=drivesdk</v>
      </c>
    </row>
    <row r="3493">
      <c r="A3493" s="15">
        <f>IFERROR(__xludf.DUMMYFUNCTION("""COMPUTED_VALUE"""),45104.0)</f>
        <v>45104</v>
      </c>
      <c r="B3493" s="16" t="str">
        <f>IFERROR(__xludf.DUMMYFUNCTION("""COMPUTED_VALUE"""),"Envia")</f>
        <v>Envia</v>
      </c>
      <c r="C3493" s="15" t="str">
        <f>IFERROR(__xludf.DUMMYFUNCTION("""COMPUTED_VALUE"""),"MEDELLÍN")</f>
        <v>MEDELLÍN</v>
      </c>
      <c r="D3493" s="15" t="str">
        <f>IFERROR(__xludf.DUMMYFUNCTION("""COMPUTED_VALUE"""),"BOGOTÁ")</f>
        <v>BOGOTÁ</v>
      </c>
      <c r="E3493" s="15" t="str">
        <f>IFERROR(__xludf.DUMMYFUNCTION("""COMPUTED_VALUE"""),"Mochi")</f>
        <v>Mochi</v>
      </c>
      <c r="F3493" s="17" t="str">
        <f>IFERROR(__xludf.DUMMYFUNCTION("""COMPUTED_VALUE"""),"Centro comercial viva envigado  / Centro comercial viva envigado / Centro comercial viva envigado")</f>
        <v>Centro comercial viva envigado  / Centro comercial viva envigado / Centro comercial viva envigado</v>
      </c>
      <c r="G3493" s="15" t="str">
        <f>IFERROR(__xludf.DUMMYFUNCTION("""COMPUTED_VALUE"""),"Tania vellojin")</f>
        <v>Tania vellojin</v>
      </c>
      <c r="H3493" s="16">
        <f>IFERROR(__xludf.DUMMYFUNCTION("""COMPUTED_VALUE"""),12087.0)</f>
        <v>12087</v>
      </c>
      <c r="I3493" s="18">
        <f>IFERROR(__xludf.DUMMYFUNCTION("""COMPUTED_VALUE"""),55.0)</f>
        <v>55</v>
      </c>
      <c r="J3493" s="18">
        <f>IFERROR(__xludf.DUMMYFUNCTION("""COMPUTED_VALUE"""),45.0)</f>
        <v>45</v>
      </c>
      <c r="K3493" s="18" t="str">
        <f>IFERROR(__xludf.DUMMYFUNCTION("""COMPUTED_VALUE"""),"52.5")</f>
        <v>52.5</v>
      </c>
      <c r="L3493" s="17">
        <f>IFERROR(__xludf.DUMMYFUNCTION("""COMPUTED_VALUE"""),3.142587995E9)</f>
        <v>3142587995</v>
      </c>
      <c r="M3493" s="17" t="str">
        <f>IFERROR(__xludf.DUMMYFUNCTION("""COMPUTED_VALUE"""),"#REF!")</f>
        <v>#REF!</v>
      </c>
      <c r="N3493" s="17"/>
      <c r="O3493" s="17"/>
      <c r="P3493" s="17" t="b">
        <f>IFERROR(__xludf.DUMMYFUNCTION("""COMPUTED_VALUE"""),FALSE)</f>
        <v>0</v>
      </c>
      <c r="Q3493" s="20" t="str">
        <f>IFERROR(__xludf.DUMMYFUNCTION("""COMPUTED_VALUE"""),"")</f>
        <v/>
      </c>
      <c r="R3493" s="21" t="str">
        <f>IFERROR(__xludf.DUMMYFUNCTION("""COMPUTED_VALUE"""),"https://drive.google.com/file/d/1Z93xQz9KVUGHm_E9U8yqkjqj327AZgph/view?usp=drivesdk")</f>
        <v>https://drive.google.com/file/d/1Z93xQz9KVUGHm_E9U8yqkjqj327AZgph/view?usp=drivesdk</v>
      </c>
    </row>
    <row r="3494">
      <c r="A3494" s="15">
        <f>IFERROR(__xludf.DUMMYFUNCTION("""COMPUTED_VALUE"""),45104.0)</f>
        <v>45104</v>
      </c>
      <c r="B3494" s="16" t="str">
        <f>IFERROR(__xludf.DUMMYFUNCTION("""COMPUTED_VALUE"""),"Envia")</f>
        <v>Envia</v>
      </c>
      <c r="C3494" s="15" t="str">
        <f>IFERROR(__xludf.DUMMYFUNCTION("""COMPUTED_VALUE"""),"MEDELLÍN")</f>
        <v>MEDELLÍN</v>
      </c>
      <c r="D3494" s="15" t="str">
        <f>IFERROR(__xludf.DUMMYFUNCTION("""COMPUTED_VALUE"""),"BOGOTÁ")</f>
        <v>BOGOTÁ</v>
      </c>
      <c r="E3494" s="15" t="str">
        <f>IFERROR(__xludf.DUMMYFUNCTION("""COMPUTED_VALUE"""),"Pan de Waffle")</f>
        <v>Pan de Waffle</v>
      </c>
      <c r="F3494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3494" s="15" t="str">
        <f>IFERROR(__xludf.DUMMYFUNCTION("""COMPUTED_VALUE"""),"VITA INTEGRAL MEDELLIN")</f>
        <v>VITA INTEGRAL MEDELLIN</v>
      </c>
      <c r="H3494" s="16">
        <f>IFERROR(__xludf.DUMMYFUNCTION("""COMPUTED_VALUE"""),12048.0)</f>
        <v>12048</v>
      </c>
      <c r="I3494" s="18">
        <f>IFERROR(__xludf.DUMMYFUNCTION("""COMPUTED_VALUE"""),40.0)</f>
        <v>40</v>
      </c>
      <c r="J3494" s="18">
        <f>IFERROR(__xludf.DUMMYFUNCTION("""COMPUTED_VALUE"""),30.0)</f>
        <v>30</v>
      </c>
      <c r="K3494" s="18">
        <f>IFERROR(__xludf.DUMMYFUNCTION("""COMPUTED_VALUE"""),40.0)</f>
        <v>40</v>
      </c>
      <c r="L3494" s="17">
        <f>IFERROR(__xludf.DUMMYFUNCTION("""COMPUTED_VALUE"""),3.20865425E9)</f>
        <v>3208654250</v>
      </c>
      <c r="M3494" s="17" t="str">
        <f>IFERROR(__xludf.DUMMYFUNCTION("""COMPUTED_VALUE"""),"#REF!")</f>
        <v>#REF!</v>
      </c>
      <c r="N3494" s="17"/>
      <c r="O3494" s="17"/>
      <c r="P3494" s="17" t="b">
        <f>IFERROR(__xludf.DUMMYFUNCTION("""COMPUTED_VALUE"""),FALSE)</f>
        <v>0</v>
      </c>
      <c r="Q3494" s="20" t="str">
        <f>IFERROR(__xludf.DUMMYFUNCTION("""COMPUTED_VALUE"""),"")</f>
        <v/>
      </c>
      <c r="R3494" s="21" t="str">
        <f>IFERROR(__xludf.DUMMYFUNCTION("""COMPUTED_VALUE"""),"https://drive.google.com/file/d/13mkazXM_LqGuHihuStHwOno-HNNnTT6d/view?usp=drivesdk")</f>
        <v>https://drive.google.com/file/d/13mkazXM_LqGuHihuStHwOno-HNNnTT6d/view?usp=drivesdk</v>
      </c>
    </row>
    <row r="3495">
      <c r="A3495" s="15">
        <f>IFERROR(__xludf.DUMMYFUNCTION("""COMPUTED_VALUE"""),45104.0)</f>
        <v>45104</v>
      </c>
      <c r="B3495" s="16" t="str">
        <f>IFERROR(__xludf.DUMMYFUNCTION("""COMPUTED_VALUE"""),"Envia")</f>
        <v>Envia</v>
      </c>
      <c r="C3495" s="15" t="str">
        <f>IFERROR(__xludf.DUMMYFUNCTION("""COMPUTED_VALUE"""),"PEREIRA")</f>
        <v>PEREIRA</v>
      </c>
      <c r="D3495" s="15" t="str">
        <f>IFERROR(__xludf.DUMMYFUNCTION("""COMPUTED_VALUE"""),"BOGOTÁ")</f>
        <v>BOGOTÁ</v>
      </c>
      <c r="E3495" s="15" t="str">
        <f>IFERROR(__xludf.DUMMYFUNCTION("""COMPUTED_VALUE"""),"Athenas")</f>
        <v>Athenas</v>
      </c>
      <c r="F3495" s="17" t="str">
        <f>IFERROR(__xludf.DUMMYFUNCTION("""COMPUTED_VALUE"""),"Carrera 16 #43 / Local 208 centro comercial el progreso / Dos quebradas risaralda")</f>
        <v>Carrera 16 #43 / Local 208 centro comercial el progreso / Dos quebradas risaralda</v>
      </c>
      <c r="G3495" s="15" t="str">
        <f>IFERROR(__xludf.DUMMYFUNCTION("""COMPUTED_VALUE"""),"Cafeteria bodytech dos quebradas")</f>
        <v>Cafeteria bodytech dos quebradas</v>
      </c>
      <c r="H3495" s="16">
        <f>IFERROR(__xludf.DUMMYFUNCTION("""COMPUTED_VALUE"""),12027.0)</f>
        <v>12027</v>
      </c>
      <c r="I3495" s="18">
        <f>IFERROR(__xludf.DUMMYFUNCTION("""COMPUTED_VALUE"""),55.0)</f>
        <v>55</v>
      </c>
      <c r="J3495" s="18">
        <f>IFERROR(__xludf.DUMMYFUNCTION("""COMPUTED_VALUE"""),45.0)</f>
        <v>45</v>
      </c>
      <c r="K3495" s="18">
        <f>IFERROR(__xludf.DUMMYFUNCTION("""COMPUTED_VALUE"""),29.0)</f>
        <v>29</v>
      </c>
      <c r="L3495" s="17">
        <f>IFERROR(__xludf.DUMMYFUNCTION("""COMPUTED_VALUE"""),3.104011367E9)</f>
        <v>3104011367</v>
      </c>
      <c r="M3495" s="17" t="str">
        <f>IFERROR(__xludf.DUMMYFUNCTION("""COMPUTED_VALUE"""),"#REF!")</f>
        <v>#REF!</v>
      </c>
      <c r="N3495" s="17"/>
      <c r="O3495" s="17"/>
      <c r="P3495" s="17" t="b">
        <f>IFERROR(__xludf.DUMMYFUNCTION("""COMPUTED_VALUE"""),FALSE)</f>
        <v>0</v>
      </c>
      <c r="Q3495" s="20" t="str">
        <f>IFERROR(__xludf.DUMMYFUNCTION("""COMPUTED_VALUE"""),"")</f>
        <v/>
      </c>
      <c r="R3495" s="21" t="str">
        <f>IFERROR(__xludf.DUMMYFUNCTION("""COMPUTED_VALUE"""),"https://drive.google.com/file/d/1JYdPLdp7KkB9LJ3iIWvSQ1c3F0CFlLvw/view?usp=drivesdk")</f>
        <v>https://drive.google.com/file/d/1JYdPLdp7KkB9LJ3iIWvSQ1c3F0CFlLvw/view?usp=drivesdk</v>
      </c>
    </row>
    <row r="3496">
      <c r="A3496" s="15">
        <f>IFERROR(__xludf.DUMMYFUNCTION("""COMPUTED_VALUE"""),45104.0)</f>
        <v>45104</v>
      </c>
      <c r="B3496" s="16" t="str">
        <f>IFERROR(__xludf.DUMMYFUNCTION("""COMPUTED_VALUE"""),"Envia")</f>
        <v>Envia</v>
      </c>
      <c r="C3496" s="15" t="str">
        <f>IFERROR(__xludf.DUMMYFUNCTION("""COMPUTED_VALUE"""),"PIEDECUESTA")</f>
        <v>PIEDECUESTA</v>
      </c>
      <c r="D3496" s="15" t="str">
        <f>IFERROR(__xludf.DUMMYFUNCTION("""COMPUTED_VALUE"""),"BOGOTÁ")</f>
        <v>BOGOTÁ</v>
      </c>
      <c r="E3496" s="15" t="str">
        <f>IFERROR(__xludf.DUMMYFUNCTION("""COMPUTED_VALUE"""),"Ins. Alimento Vital")</f>
        <v>Ins. Alimento Vital</v>
      </c>
      <c r="F3496" s="17" t="str">
        <f>IFERROR(__xludf.DUMMYFUNCTION("""COMPUTED_VALUE"""),"Transversal Oriental 90-102  / Piso 11 Torre Empresarial Cacique / Torre Empresarial Cacique")</f>
        <v>Transversal Oriental 90-102  / Piso 11 Torre Empresarial Cacique / Torre Empresarial Cacique</v>
      </c>
      <c r="G3496" s="15" t="str">
        <f>IFERROR(__xludf.DUMMYFUNCTION("""COMPUTED_VALUE"""),"LORENA GRANADOS BARCO")</f>
        <v>LORENA GRANADOS BARCO</v>
      </c>
      <c r="H3496" s="16">
        <f>IFERROR(__xludf.DUMMYFUNCTION("""COMPUTED_VALUE"""),12029.0)</f>
        <v>12029</v>
      </c>
      <c r="I3496" s="18">
        <f>IFERROR(__xludf.DUMMYFUNCTION("""COMPUTED_VALUE"""),1.0)</f>
        <v>1</v>
      </c>
      <c r="J3496" s="18">
        <f>IFERROR(__xludf.DUMMYFUNCTION("""COMPUTED_VALUE"""),1.0)</f>
        <v>1</v>
      </c>
      <c r="K3496" s="18">
        <f>IFERROR(__xludf.DUMMYFUNCTION("""COMPUTED_VALUE"""),1.0)</f>
        <v>1</v>
      </c>
      <c r="L3496" s="17">
        <f>IFERROR(__xludf.DUMMYFUNCTION("""COMPUTED_VALUE"""),3.003286319E9)</f>
        <v>3003286319</v>
      </c>
      <c r="M3496" s="17" t="str">
        <f>IFERROR(__xludf.DUMMYFUNCTION("""COMPUTED_VALUE"""),"#REF!")</f>
        <v>#REF!</v>
      </c>
      <c r="N3496" s="17"/>
      <c r="O3496" s="17"/>
      <c r="P3496" s="17" t="b">
        <f>IFERROR(__xludf.DUMMYFUNCTION("""COMPUTED_VALUE"""),TRUE)</f>
        <v>1</v>
      </c>
      <c r="Q3496" s="20">
        <f>IFERROR(__xludf.DUMMYFUNCTION("""COMPUTED_VALUE"""),45104.614799560186)</f>
        <v>45104.6148</v>
      </c>
      <c r="R3496" s="22" t="str">
        <f>IFERROR(__xludf.DUMMYFUNCTION("""COMPUTED_VALUE"""),"")</f>
        <v/>
      </c>
    </row>
    <row r="3497">
      <c r="A3497" s="17" t="str">
        <f>IFERROR(__xludf.DUMMYFUNCTION("""COMPUTED_VALUE"""),"")</f>
        <v/>
      </c>
      <c r="B3497" s="17" t="str">
        <f>IFERROR(__xludf.DUMMYFUNCTION("""COMPUTED_VALUE"""),"")</f>
        <v/>
      </c>
      <c r="C3497" s="17" t="str">
        <f>IFERROR(__xludf.DUMMYFUNCTION("""COMPUTED_VALUE"""),"")</f>
        <v/>
      </c>
      <c r="D3497" s="17" t="str">
        <f>IFERROR(__xludf.DUMMYFUNCTION("""COMPUTED_VALUE"""),"")</f>
        <v/>
      </c>
      <c r="E3497" s="17" t="str">
        <f>IFERROR(__xludf.DUMMYFUNCTION("""COMPUTED_VALUE"""),"")</f>
        <v/>
      </c>
      <c r="F3497" s="17" t="str">
        <f>IFERROR(__xludf.DUMMYFUNCTION("""COMPUTED_VALUE"""),"")</f>
        <v/>
      </c>
      <c r="G3497" s="17" t="str">
        <f>IFERROR(__xludf.DUMMYFUNCTION("""COMPUTED_VALUE"""),"")</f>
        <v/>
      </c>
      <c r="H3497" s="17" t="str">
        <f>IFERROR(__xludf.DUMMYFUNCTION("""COMPUTED_VALUE"""),"")</f>
        <v/>
      </c>
      <c r="I3497" s="17" t="str">
        <f>IFERROR(__xludf.DUMMYFUNCTION("""COMPUTED_VALUE"""),"")</f>
        <v/>
      </c>
      <c r="J3497" s="17" t="str">
        <f>IFERROR(__xludf.DUMMYFUNCTION("""COMPUTED_VALUE"""),"")</f>
        <v/>
      </c>
      <c r="K3497" s="17" t="str">
        <f>IFERROR(__xludf.DUMMYFUNCTION("""COMPUTED_VALUE"""),"")</f>
        <v/>
      </c>
      <c r="L3497" s="17" t="str">
        <f>IFERROR(__xludf.DUMMYFUNCTION("""COMPUTED_VALUE"""),"")</f>
        <v/>
      </c>
      <c r="M3497" s="17" t="str">
        <f>IFERROR(__xludf.DUMMYFUNCTION("""COMPUTED_VALUE"""),"")</f>
        <v/>
      </c>
      <c r="N3497" s="17" t="str">
        <f>IFERROR(__xludf.DUMMYFUNCTION("""COMPUTED_VALUE"""),"")</f>
        <v/>
      </c>
      <c r="O3497" s="17" t="str">
        <f>IFERROR(__xludf.DUMMYFUNCTION("""COMPUTED_VALUE"""),"")</f>
        <v/>
      </c>
      <c r="P3497" s="17" t="str">
        <f>IFERROR(__xludf.DUMMYFUNCTION("""COMPUTED_VALUE"""),"")</f>
        <v/>
      </c>
      <c r="Q3497" s="17" t="str">
        <f>IFERROR(__xludf.DUMMYFUNCTION("""COMPUTED_VALUE"""),"")</f>
        <v/>
      </c>
      <c r="R3497" s="17" t="str">
        <f>IFERROR(__xludf.DUMMYFUNCTION("""COMPUTED_VALUE"""),"")</f>
        <v/>
      </c>
    </row>
    <row r="3498">
      <c r="A3498" s="15">
        <f>IFERROR(__xludf.DUMMYFUNCTION("""COMPUTED_VALUE"""),45104.0)</f>
        <v>45104</v>
      </c>
      <c r="B3498" s="16" t="str">
        <f>IFERROR(__xludf.DUMMYFUNCTION("""COMPUTED_VALUE"""),"Jeison Rubiano")</f>
        <v>Jeison Rubiano</v>
      </c>
      <c r="C3498" s="15" t="str">
        <f>IFERROR(__xludf.DUMMYFUNCTION("""COMPUTED_VALUE"""),"MANIZALES")</f>
        <v>MANIZALES</v>
      </c>
      <c r="D3498" s="15" t="str">
        <f>IFERROR(__xludf.DUMMYFUNCTION("""COMPUTED_VALUE"""),"MEDELLÍN")</f>
        <v>MEDELLÍN</v>
      </c>
      <c r="E3498" s="15" t="str">
        <f>IFERROR(__xludf.DUMMYFUNCTION("""COMPUTED_VALUE"""),"Rambla")</f>
        <v>Rambla</v>
      </c>
      <c r="F3498" s="17" t="str">
        <f>IFERROR(__xludf.DUMMYFUNCTION("""COMPUTED_VALUE"""),"CL 66 26 45 ED GUAYACAN DE LA 66 / NA / NA")</f>
        <v>CL 66 26 45 ED GUAYACAN DE LA 66 / NA / NA</v>
      </c>
      <c r="G3498" s="15" t="str">
        <f>IFERROR(__xludf.DUMMYFUNCTION("""COMPUTED_VALUE"""),"mercafit")</f>
        <v>mercafit</v>
      </c>
      <c r="H3498" s="16">
        <f>IFERROR(__xludf.DUMMYFUNCTION("""COMPUTED_VALUE"""),12099.0)</f>
        <v>12099</v>
      </c>
      <c r="I3498" s="18">
        <f>IFERROR(__xludf.DUMMYFUNCTION("""COMPUTED_VALUE"""),28.0)</f>
        <v>28</v>
      </c>
      <c r="J3498" s="18">
        <f>IFERROR(__xludf.DUMMYFUNCTION("""COMPUTED_VALUE"""),31.0)</f>
        <v>31</v>
      </c>
      <c r="K3498" s="18">
        <f>IFERROR(__xludf.DUMMYFUNCTION("""COMPUTED_VALUE"""),35.0)</f>
        <v>35</v>
      </c>
      <c r="L3498" s="17">
        <f>IFERROR(__xludf.DUMMYFUNCTION("""COMPUTED_VALUE"""),3.004648126E9)</f>
        <v>3004648126</v>
      </c>
      <c r="M3498" s="17" t="str">
        <f>IFERROR(__xludf.DUMMYFUNCTION("""COMPUTED_VALUE"""),"#REF!")</f>
        <v>#REF!</v>
      </c>
      <c r="N3498" s="17"/>
      <c r="O3498" s="17"/>
      <c r="P3498" s="17" t="b">
        <f>IFERROR(__xludf.DUMMYFUNCTION("""COMPUTED_VALUE"""),FALSE)</f>
        <v>0</v>
      </c>
      <c r="Q3498" s="20" t="str">
        <f>IFERROR(__xludf.DUMMYFUNCTION("""COMPUTED_VALUE"""),"")</f>
        <v/>
      </c>
      <c r="R3498" s="21" t="str">
        <f>IFERROR(__xludf.DUMMYFUNCTION("""COMPUTED_VALUE"""),"https://drive.google.com/file/d/1jdUI5xAwyuVtDkkUnSEVsQaVwxqZfY-Q/view?usp=drivesdk")</f>
        <v>https://drive.google.com/file/d/1jdUI5xAwyuVtDkkUnSEVsQaVwxqZfY-Q/view?usp=drivesdk</v>
      </c>
    </row>
    <row r="3499">
      <c r="A3499" s="15">
        <f>IFERROR(__xludf.DUMMYFUNCTION("""COMPUTED_VALUE"""),45104.0)</f>
        <v>45104</v>
      </c>
      <c r="B3499" s="16" t="str">
        <f>IFERROR(__xludf.DUMMYFUNCTION("""COMPUTED_VALUE"""),"Jeison Rubiano")</f>
        <v>Jeison Rubiano</v>
      </c>
      <c r="C3499" s="15" t="str">
        <f>IFERROR(__xludf.DUMMYFUNCTION("""COMPUTED_VALUE"""),"MANIZALES")</f>
        <v>MANIZALES</v>
      </c>
      <c r="D3499" s="15" t="str">
        <f>IFERROR(__xludf.DUMMYFUNCTION("""COMPUTED_VALUE"""),"MEDELLÍN")</f>
        <v>MEDELLÍN</v>
      </c>
      <c r="E3499" s="15" t="str">
        <f>IFERROR(__xludf.DUMMYFUNCTION("""COMPUTED_VALUE"""),"Todo Bufala")</f>
        <v>Todo Bufala</v>
      </c>
      <c r="F3499" s="17" t="str">
        <f>IFERROR(__xludf.DUMMYFUNCTION("""COMPUTED_VALUE"""),"Call 66 #23B - 211 / Edifico calle larga, local 5c")</f>
        <v>Call 66 #23B - 211 / Edifico calle larga, local 5c</v>
      </c>
      <c r="G3499" s="15" t="str">
        <f>IFERROR(__xludf.DUMMYFUNCTION("""COMPUTED_VALUE"""),"Sebastian Perez")</f>
        <v>Sebastian Perez</v>
      </c>
      <c r="H3499" s="16">
        <f>IFERROR(__xludf.DUMMYFUNCTION("""COMPUTED_VALUE"""),12012.0)</f>
        <v>12012</v>
      </c>
      <c r="I3499" s="18">
        <f>IFERROR(__xludf.DUMMYFUNCTION("""COMPUTED_VALUE"""),20.0)</f>
        <v>20</v>
      </c>
      <c r="J3499" s="18">
        <f>IFERROR(__xludf.DUMMYFUNCTION("""COMPUTED_VALUE"""),30.0)</f>
        <v>30</v>
      </c>
      <c r="K3499" s="18">
        <f>IFERROR(__xludf.DUMMYFUNCTION("""COMPUTED_VALUE"""),40.0)</f>
        <v>40</v>
      </c>
      <c r="L3499" s="17">
        <f>IFERROR(__xludf.DUMMYFUNCTION("""COMPUTED_VALUE"""),3.106974621E9)</f>
        <v>3106974621</v>
      </c>
      <c r="M3499" s="17" t="str">
        <f>IFERROR(__xludf.DUMMYFUNCTION("""COMPUTED_VALUE"""),"#REF!")</f>
        <v>#REF!</v>
      </c>
      <c r="N3499" s="17"/>
      <c r="O3499" s="17"/>
      <c r="P3499" s="17" t="b">
        <f>IFERROR(__xludf.DUMMYFUNCTION("""COMPUTED_VALUE"""),FALSE)</f>
        <v>0</v>
      </c>
      <c r="Q3499" s="20" t="str">
        <f>IFERROR(__xludf.DUMMYFUNCTION("""COMPUTED_VALUE"""),"")</f>
        <v/>
      </c>
      <c r="R3499" s="21" t="str">
        <f>IFERROR(__xludf.DUMMYFUNCTION("""COMPUTED_VALUE"""),"https://drive.google.com/file/d/16AialI4dpsU4kaBZZKtR8zvw8_mpX8U3/view?usp=drivesdk")</f>
        <v>https://drive.google.com/file/d/16AialI4dpsU4kaBZZKtR8zvw8_mpX8U3/view?usp=drivesdk</v>
      </c>
    </row>
    <row r="3500">
      <c r="A3500" s="17" t="str">
        <f>IFERROR(__xludf.DUMMYFUNCTION("""COMPUTED_VALUE"""),"")</f>
        <v/>
      </c>
      <c r="B3500" s="17" t="str">
        <f>IFERROR(__xludf.DUMMYFUNCTION("""COMPUTED_VALUE"""),"")</f>
        <v/>
      </c>
      <c r="C3500" s="17" t="str">
        <f>IFERROR(__xludf.DUMMYFUNCTION("""COMPUTED_VALUE"""),"")</f>
        <v/>
      </c>
      <c r="D3500" s="17" t="str">
        <f>IFERROR(__xludf.DUMMYFUNCTION("""COMPUTED_VALUE"""),"")</f>
        <v/>
      </c>
      <c r="E3500" s="17" t="str">
        <f>IFERROR(__xludf.DUMMYFUNCTION("""COMPUTED_VALUE"""),"")</f>
        <v/>
      </c>
      <c r="F3500" s="17" t="str">
        <f>IFERROR(__xludf.DUMMYFUNCTION("""COMPUTED_VALUE"""),"")</f>
        <v/>
      </c>
      <c r="G3500" s="17" t="str">
        <f>IFERROR(__xludf.DUMMYFUNCTION("""COMPUTED_VALUE"""),"")</f>
        <v/>
      </c>
      <c r="H3500" s="17" t="str">
        <f>IFERROR(__xludf.DUMMYFUNCTION("""COMPUTED_VALUE"""),"")</f>
        <v/>
      </c>
      <c r="I3500" s="17" t="str">
        <f>IFERROR(__xludf.DUMMYFUNCTION("""COMPUTED_VALUE"""),"")</f>
        <v/>
      </c>
      <c r="J3500" s="17" t="str">
        <f>IFERROR(__xludf.DUMMYFUNCTION("""COMPUTED_VALUE"""),"")</f>
        <v/>
      </c>
      <c r="K3500" s="17" t="str">
        <f>IFERROR(__xludf.DUMMYFUNCTION("""COMPUTED_VALUE"""),"")</f>
        <v/>
      </c>
      <c r="L3500" s="17" t="str">
        <f>IFERROR(__xludf.DUMMYFUNCTION("""COMPUTED_VALUE"""),"")</f>
        <v/>
      </c>
      <c r="M3500" s="17" t="str">
        <f>IFERROR(__xludf.DUMMYFUNCTION("""COMPUTED_VALUE"""),"")</f>
        <v/>
      </c>
      <c r="N3500" s="17" t="str">
        <f>IFERROR(__xludf.DUMMYFUNCTION("""COMPUTED_VALUE"""),"")</f>
        <v/>
      </c>
      <c r="O3500" s="17" t="str">
        <f>IFERROR(__xludf.DUMMYFUNCTION("""COMPUTED_VALUE"""),"")</f>
        <v/>
      </c>
      <c r="P3500" s="17" t="str">
        <f>IFERROR(__xludf.DUMMYFUNCTION("""COMPUTED_VALUE"""),"")</f>
        <v/>
      </c>
      <c r="Q3500" s="17" t="str">
        <f>IFERROR(__xludf.DUMMYFUNCTION("""COMPUTED_VALUE"""),"")</f>
        <v/>
      </c>
      <c r="R3500" s="17" t="str">
        <f>IFERROR(__xludf.DUMMYFUNCTION("""COMPUTED_VALUE"""),"")</f>
        <v/>
      </c>
    </row>
    <row r="3501">
      <c r="A3501" s="15">
        <f>IFERROR(__xludf.DUMMYFUNCTION("""COMPUTED_VALUE"""),45104.0)</f>
        <v>45104</v>
      </c>
      <c r="B3501" s="16" t="str">
        <f>IFERROR(__xludf.DUMMYFUNCTION("""COMPUTED_VALUE"""),"Jhon Anderson Ceballos Hernandez")</f>
        <v>Jhon Anderson Ceballos Hernandez</v>
      </c>
      <c r="C3501" s="15" t="str">
        <f>IFERROR(__xludf.DUMMYFUNCTION("""COMPUTED_VALUE"""),"BARRANQUILLA")</f>
        <v>BARRANQUILLA</v>
      </c>
      <c r="D3501" s="15" t="str">
        <f>IFERROR(__xludf.DUMMYFUNCTION("""COMPUTED_VALUE"""),"BOGOTÁ")</f>
        <v>BOGOTÁ</v>
      </c>
      <c r="E3501" s="15" t="str">
        <f>IFERROR(__xludf.DUMMYFUNCTION("""COMPUTED_VALUE"""),"Mochi")</f>
        <v>Mochi</v>
      </c>
      <c r="F3501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3501" s="15" t="str">
        <f>IFERROR(__xludf.DUMMYFUNCTION("""COMPUTED_VALUE"""),"Ginna")</f>
        <v>Ginna</v>
      </c>
      <c r="H3501" s="16">
        <f>IFERROR(__xludf.DUMMYFUNCTION("""COMPUTED_VALUE"""),12088.0)</f>
        <v>12088</v>
      </c>
      <c r="I3501" s="18">
        <f>IFERROR(__xludf.DUMMYFUNCTION("""COMPUTED_VALUE"""),55.0)</f>
        <v>55</v>
      </c>
      <c r="J3501" s="18">
        <f>IFERROR(__xludf.DUMMYFUNCTION("""COMPUTED_VALUE"""),45.0)</f>
        <v>45</v>
      </c>
      <c r="K3501" s="18" t="str">
        <f>IFERROR(__xludf.DUMMYFUNCTION("""COMPUTED_VALUE"""),"52.5")</f>
        <v>52.5</v>
      </c>
      <c r="L3501" s="17">
        <f>IFERROR(__xludf.DUMMYFUNCTION("""COMPUTED_VALUE"""),3.216528485E9)</f>
        <v>3216528485</v>
      </c>
      <c r="M3501" s="17" t="str">
        <f>IFERROR(__xludf.DUMMYFUNCTION("""COMPUTED_VALUE"""),"#REF!")</f>
        <v>#REF!</v>
      </c>
      <c r="N3501" s="17"/>
      <c r="O3501" s="17"/>
      <c r="P3501" s="17" t="b">
        <f>IFERROR(__xludf.DUMMYFUNCTION("""COMPUTED_VALUE"""),FALSE)</f>
        <v>0</v>
      </c>
      <c r="Q3501" s="20" t="str">
        <f>IFERROR(__xludf.DUMMYFUNCTION("""COMPUTED_VALUE"""),"")</f>
        <v/>
      </c>
      <c r="R3501" s="21" t="str">
        <f>IFERROR(__xludf.DUMMYFUNCTION("""COMPUTED_VALUE"""),"https://drive.google.com/file/d/15yHgkCc61BEAUAyPfgqC8F8R4EgFVVIW/view?usp=drivesdk")</f>
        <v>https://drive.google.com/file/d/15yHgkCc61BEAUAyPfgqC8F8R4EgFVVIW/view?usp=drivesdk</v>
      </c>
    </row>
    <row r="3502">
      <c r="A3502" s="15">
        <f>IFERROR(__xludf.DUMMYFUNCTION("""COMPUTED_VALUE"""),45104.0)</f>
        <v>45104</v>
      </c>
      <c r="B3502" s="16" t="str">
        <f>IFERROR(__xludf.DUMMYFUNCTION("""COMPUTED_VALUE"""),"Jhon Anderson Ceballos Hernandez")</f>
        <v>Jhon Anderson Ceballos Hernandez</v>
      </c>
      <c r="C3502" s="15" t="str">
        <f>IFERROR(__xludf.DUMMYFUNCTION("""COMPUTED_VALUE"""),"CARTAGENA")</f>
        <v>CARTAGENA</v>
      </c>
      <c r="D3502" s="15" t="str">
        <f>IFERROR(__xludf.DUMMYFUNCTION("""COMPUTED_VALUE"""),"BOGOTÁ")</f>
        <v>BOGOTÁ</v>
      </c>
      <c r="E3502" s="15" t="str">
        <f>IFERROR(__xludf.DUMMYFUNCTION("""COMPUTED_VALUE"""),"Mochi")</f>
        <v>Mochi</v>
      </c>
      <c r="F3502" s="17" t="str">
        <f>IFERROR(__xludf.DUMMYFUNCTION("""COMPUTED_VALUE"""),"Centro comercial serrezuela / Centro comercial serrezuela / Centro comercial serrezuela")</f>
        <v>Centro comercial serrezuela / Centro comercial serrezuela / Centro comercial serrezuela</v>
      </c>
      <c r="G3502" s="15" t="str">
        <f>IFERROR(__xludf.DUMMYFUNCTION("""COMPUTED_VALUE"""),"Maria Camila")</f>
        <v>Maria Camila</v>
      </c>
      <c r="H3502" s="16">
        <f>IFERROR(__xludf.DUMMYFUNCTION("""COMPUTED_VALUE"""),12089.0)</f>
        <v>12089</v>
      </c>
      <c r="I3502" s="18">
        <f>IFERROR(__xludf.DUMMYFUNCTION("""COMPUTED_VALUE"""),55.0)</f>
        <v>55</v>
      </c>
      <c r="J3502" s="18">
        <f>IFERROR(__xludf.DUMMYFUNCTION("""COMPUTED_VALUE"""),45.0)</f>
        <v>45</v>
      </c>
      <c r="K3502" s="18" t="str">
        <f>IFERROR(__xludf.DUMMYFUNCTION("""COMPUTED_VALUE"""),"52.5")</f>
        <v>52.5</v>
      </c>
      <c r="L3502" s="17">
        <f>IFERROR(__xludf.DUMMYFUNCTION("""COMPUTED_VALUE"""),3.116026252E9)</f>
        <v>3116026252</v>
      </c>
      <c r="M3502" s="17" t="str">
        <f>IFERROR(__xludf.DUMMYFUNCTION("""COMPUTED_VALUE"""),"#REF!")</f>
        <v>#REF!</v>
      </c>
      <c r="N3502" s="17"/>
      <c r="O3502" s="17"/>
      <c r="P3502" s="17" t="b">
        <f>IFERROR(__xludf.DUMMYFUNCTION("""COMPUTED_VALUE"""),FALSE)</f>
        <v>0</v>
      </c>
      <c r="Q3502" s="20" t="str">
        <f>IFERROR(__xludf.DUMMYFUNCTION("""COMPUTED_VALUE"""),"")</f>
        <v/>
      </c>
      <c r="R3502" s="22" t="str">
        <f>IFERROR(__xludf.DUMMYFUNCTION("""COMPUTED_VALUE"""),"")</f>
        <v/>
      </c>
    </row>
    <row r="3503">
      <c r="A3503" s="15">
        <f>IFERROR(__xludf.DUMMYFUNCTION("""COMPUTED_VALUE"""),45104.0)</f>
        <v>45104</v>
      </c>
      <c r="B3503" s="16" t="str">
        <f>IFERROR(__xludf.DUMMYFUNCTION("""COMPUTED_VALUE"""),"Jhon Anderson Ceballos Hernandez")</f>
        <v>Jhon Anderson Ceballos Hernandez</v>
      </c>
      <c r="C3503" s="15" t="str">
        <f>IFERROR(__xludf.DUMMYFUNCTION("""COMPUTED_VALUE"""),"MANIZALES")</f>
        <v>MANIZALES</v>
      </c>
      <c r="D3503" s="15" t="str">
        <f>IFERROR(__xludf.DUMMYFUNCTION("""COMPUTED_VALUE"""),"BOGOTÁ")</f>
        <v>BOGOTÁ</v>
      </c>
      <c r="E3503" s="15" t="str">
        <f>IFERROR(__xludf.DUMMYFUNCTION("""COMPUTED_VALUE"""),"Blond &amp; This")</f>
        <v>Blond &amp; This</v>
      </c>
      <c r="F3503" s="17" t="str">
        <f>IFERROR(__xludf.DUMMYFUNCTION("""COMPUTED_VALUE"""),"calle80#27-90 / conjunto bosques del trébol / barrio el trebol")</f>
        <v>calle80#27-90 / conjunto bosques del trébol / barrio el trebol</v>
      </c>
      <c r="G3503" s="15" t="str">
        <f>IFERROR(__xludf.DUMMYFUNCTION("""COMPUTED_VALUE"""),"daniel jaramillo")</f>
        <v>daniel jaramillo</v>
      </c>
      <c r="H3503" s="16">
        <f>IFERROR(__xludf.DUMMYFUNCTION("""COMPUTED_VALUE"""),12100.0)</f>
        <v>12100</v>
      </c>
      <c r="I3503" s="18">
        <f>IFERROR(__xludf.DUMMYFUNCTION("""COMPUTED_VALUE"""),45052.0)</f>
        <v>45052</v>
      </c>
      <c r="J3503" s="18">
        <f>IFERROR(__xludf.DUMMYFUNCTION("""COMPUTED_VALUE"""),11.0)</f>
        <v>11</v>
      </c>
      <c r="K3503" s="18">
        <f>IFERROR(__xludf.DUMMYFUNCTION("""COMPUTED_VALUE"""),22.0)</f>
        <v>22</v>
      </c>
      <c r="L3503" s="17">
        <f>IFERROR(__xludf.DUMMYFUNCTION("""COMPUTED_VALUE"""),3.136492206E9)</f>
        <v>3136492206</v>
      </c>
      <c r="M3503" s="17" t="str">
        <f>IFERROR(__xludf.DUMMYFUNCTION("""COMPUTED_VALUE"""),"#REF!")</f>
        <v>#REF!</v>
      </c>
      <c r="N3503" s="17"/>
      <c r="O3503" s="17"/>
      <c r="P3503" s="17" t="b">
        <f>IFERROR(__xludf.DUMMYFUNCTION("""COMPUTED_VALUE"""),FALSE)</f>
        <v>0</v>
      </c>
      <c r="Q3503" s="20" t="str">
        <f>IFERROR(__xludf.DUMMYFUNCTION("""COMPUTED_VALUE"""),"")</f>
        <v/>
      </c>
      <c r="R3503" s="21" t="str">
        <f>IFERROR(__xludf.DUMMYFUNCTION("""COMPUTED_VALUE"""),"https://drive.google.com/file/d/1ElMZZ5dnpzpYdymSGb_X_WD13SgMDEGV/view?usp=drivesdk")</f>
        <v>https://drive.google.com/file/d/1ElMZZ5dnpzpYdymSGb_X_WD13SgMDEGV/view?usp=drivesdk</v>
      </c>
    </row>
    <row r="3504">
      <c r="A3504" s="15">
        <f>IFERROR(__xludf.DUMMYFUNCTION("""COMPUTED_VALUE"""),45104.0)</f>
        <v>45104</v>
      </c>
      <c r="B3504" s="16" t="str">
        <f>IFERROR(__xludf.DUMMYFUNCTION("""COMPUTED_VALUE"""),"Jhon Anderson Ceballos Hernandez")</f>
        <v>Jhon Anderson Ceballos Hernandez</v>
      </c>
      <c r="C3504" s="15" t="str">
        <f>IFERROR(__xludf.DUMMYFUNCTION("""COMPUTED_VALUE"""),"MANIZALES")</f>
        <v>MANIZALES</v>
      </c>
      <c r="D3504" s="15" t="str">
        <f>IFERROR(__xludf.DUMMYFUNCTION("""COMPUTED_VALUE"""),"BOGOTÁ")</f>
        <v>BOGOTÁ</v>
      </c>
      <c r="E3504" s="15" t="str">
        <f>IFERROR(__xludf.DUMMYFUNCTION("""COMPUTED_VALUE"""),"Evamazzita")</f>
        <v>Evamazzita</v>
      </c>
      <c r="F3504" s="17" t="str">
        <f>IFERROR(__xludf.DUMMYFUNCTION("""COMPUTED_VALUE"""),"Cra 28 D # 70-46  Palermo / Cra 28 D # 70-46  Palermo / Cra 28 D # 70-46  Palermo")</f>
        <v>Cra 28 D # 70-46  Palermo / Cra 28 D # 70-46  Palermo / Cra 28 D # 70-46  Palermo</v>
      </c>
      <c r="G3504" s="15" t="str">
        <f>IFERROR(__xludf.DUMMYFUNCTION("""COMPUTED_VALUE"""),"PAULA XIMENA BOLAÑOS")</f>
        <v>PAULA XIMENA BOLAÑOS</v>
      </c>
      <c r="H3504" s="16">
        <f>IFERROR(__xludf.DUMMYFUNCTION("""COMPUTED_VALUE"""),12056.0)</f>
        <v>12056</v>
      </c>
      <c r="I3504" s="18">
        <f>IFERROR(__xludf.DUMMYFUNCTION("""COMPUTED_VALUE"""),1.0)</f>
        <v>1</v>
      </c>
      <c r="J3504" s="18">
        <f>IFERROR(__xludf.DUMMYFUNCTION("""COMPUTED_VALUE"""),1.0)</f>
        <v>1</v>
      </c>
      <c r="K3504" s="18">
        <f>IFERROR(__xludf.DUMMYFUNCTION("""COMPUTED_VALUE"""),1.0)</f>
        <v>1</v>
      </c>
      <c r="L3504" s="17">
        <f>IFERROR(__xludf.DUMMYFUNCTION("""COMPUTED_VALUE"""),3.10398467E9)</f>
        <v>3103984670</v>
      </c>
      <c r="M3504" s="17" t="str">
        <f>IFERROR(__xludf.DUMMYFUNCTION("""COMPUTED_VALUE"""),"#REF!")</f>
        <v>#REF!</v>
      </c>
      <c r="N3504" s="17"/>
      <c r="O3504" s="17"/>
      <c r="P3504" s="17" t="b">
        <f>IFERROR(__xludf.DUMMYFUNCTION("""COMPUTED_VALUE"""),FALSE)</f>
        <v>0</v>
      </c>
      <c r="Q3504" s="20" t="str">
        <f>IFERROR(__xludf.DUMMYFUNCTION("""COMPUTED_VALUE"""),"")</f>
        <v/>
      </c>
      <c r="R3504" s="21" t="str">
        <f>IFERROR(__xludf.DUMMYFUNCTION("""COMPUTED_VALUE"""),"https://drive.google.com/file/d/1lcl0j_um1GQBEvN2mAkCeQJDRfshN3fL/view?usp=drivesdk")</f>
        <v>https://drive.google.com/file/d/1lcl0j_um1GQBEvN2mAkCeQJDRfshN3fL/view?usp=drivesdk</v>
      </c>
    </row>
    <row r="3505">
      <c r="A3505" s="15">
        <f>IFERROR(__xludf.DUMMYFUNCTION("""COMPUTED_VALUE"""),45104.0)</f>
        <v>45104</v>
      </c>
      <c r="B3505" s="16" t="str">
        <f>IFERROR(__xludf.DUMMYFUNCTION("""COMPUTED_VALUE"""),"Jhon Anderson Ceballos Hernandez")</f>
        <v>Jhon Anderson Ceballos Hernandez</v>
      </c>
      <c r="C3505" s="15" t="str">
        <f>IFERROR(__xludf.DUMMYFUNCTION("""COMPUTED_VALUE"""),"MANIZALES")</f>
        <v>MANIZALES</v>
      </c>
      <c r="D3505" s="15" t="str">
        <f>IFERROR(__xludf.DUMMYFUNCTION("""COMPUTED_VALUE"""),"BOGOTÁ")</f>
        <v>BOGOTÁ</v>
      </c>
      <c r="E3505" s="15" t="str">
        <f>IFERROR(__xludf.DUMMYFUNCTION("""COMPUTED_VALUE"""),"Viiva Fermentados")</f>
        <v>Viiva Fermentados</v>
      </c>
      <c r="F3505" s="17" t="str">
        <f>IFERROR(__xludf.DUMMYFUNCTION("""COMPUTED_VALUE"""),"Carrera 23#75A 95  / Opla Market / Milan")</f>
        <v>Carrera 23#75A 95  / Opla Market / Milan</v>
      </c>
      <c r="G3505" s="15" t="str">
        <f>IFERROR(__xludf.DUMMYFUNCTION("""COMPUTED_VALUE"""),"Opla Market Laura Prieto Orozco")</f>
        <v>Opla Market Laura Prieto Orozco</v>
      </c>
      <c r="H3505" s="16">
        <f>IFERROR(__xludf.DUMMYFUNCTION("""COMPUTED_VALUE"""),12022.0)</f>
        <v>12022</v>
      </c>
      <c r="I3505" s="18">
        <f>IFERROR(__xludf.DUMMYFUNCTION("""COMPUTED_VALUE"""),17.0)</f>
        <v>17</v>
      </c>
      <c r="J3505" s="18">
        <f>IFERROR(__xludf.DUMMYFUNCTION("""COMPUTED_VALUE"""),36.0)</f>
        <v>36</v>
      </c>
      <c r="K3505" s="18">
        <f>IFERROR(__xludf.DUMMYFUNCTION("""COMPUTED_VALUE"""),24.0)</f>
        <v>24</v>
      </c>
      <c r="L3505" s="17">
        <f>IFERROR(__xludf.DUMMYFUNCTION("""COMPUTED_VALUE"""),3.24428274E9)</f>
        <v>3244282740</v>
      </c>
      <c r="M3505" s="17" t="str">
        <f>IFERROR(__xludf.DUMMYFUNCTION("""COMPUTED_VALUE"""),"#REF!")</f>
        <v>#REF!</v>
      </c>
      <c r="N3505" s="17"/>
      <c r="O3505" s="17"/>
      <c r="P3505" s="17" t="b">
        <f>IFERROR(__xludf.DUMMYFUNCTION("""COMPUTED_VALUE"""),FALSE)</f>
        <v>0</v>
      </c>
      <c r="Q3505" s="20" t="str">
        <f>IFERROR(__xludf.DUMMYFUNCTION("""COMPUTED_VALUE"""),"")</f>
        <v/>
      </c>
      <c r="R3505" s="22" t="str">
        <f>IFERROR(__xludf.DUMMYFUNCTION("""COMPUTED_VALUE"""),"")</f>
        <v/>
      </c>
    </row>
    <row r="3506">
      <c r="A3506" s="15">
        <f>IFERROR(__xludf.DUMMYFUNCTION("""COMPUTED_VALUE"""),45104.0)</f>
        <v>45104</v>
      </c>
      <c r="B3506" s="16" t="str">
        <f>IFERROR(__xludf.DUMMYFUNCTION("""COMPUTED_VALUE"""),"Jhon Anderson Ceballos Hernandez")</f>
        <v>Jhon Anderson Ceballos Hernandez</v>
      </c>
      <c r="C3506" s="15" t="str">
        <f>IFERROR(__xludf.DUMMYFUNCTION("""COMPUTED_VALUE"""),"MANIZALES")</f>
        <v>MANIZALES</v>
      </c>
      <c r="D3506" s="15" t="str">
        <f>IFERROR(__xludf.DUMMYFUNCTION("""COMPUTED_VALUE"""),"MEDELLÍN")</f>
        <v>MEDELLÍN</v>
      </c>
      <c r="E3506" s="15" t="str">
        <f>IFERROR(__xludf.DUMMYFUNCTION("""COMPUTED_VALUE"""),"AREPAS LA MARY")</f>
        <v>AREPAS LA MARY</v>
      </c>
      <c r="F3506" s="17" t="str">
        <f>IFERROR(__xludf.DUMMYFUNCTION("""COMPUTED_VALUE"""),"AV ALBERTO MENDOZA HOYOS N 86 - 03 / CASA 23")</f>
        <v>AV ALBERTO MENDOZA HOYOS N 86 - 03 / CASA 23</v>
      </c>
      <c r="G3506" s="15" t="str">
        <f>IFERROR(__xludf.DUMMYFUNCTION("""COMPUTED_VALUE"""),"ANA TORO")</f>
        <v>ANA TORO</v>
      </c>
      <c r="H3506" s="16">
        <f>IFERROR(__xludf.DUMMYFUNCTION("""COMPUTED_VALUE"""),12052.0)</f>
        <v>12052</v>
      </c>
      <c r="I3506" s="18">
        <f>IFERROR(__xludf.DUMMYFUNCTION("""COMPUTED_VALUE"""),89.0)</f>
        <v>89</v>
      </c>
      <c r="J3506" s="18">
        <f>IFERROR(__xludf.DUMMYFUNCTION("""COMPUTED_VALUE"""),1.0)</f>
        <v>1</v>
      </c>
      <c r="K3506" s="18">
        <f>IFERROR(__xludf.DUMMYFUNCTION("""COMPUTED_VALUE"""),10.0)</f>
        <v>10</v>
      </c>
      <c r="L3506" s="17">
        <f>IFERROR(__xludf.DUMMYFUNCTION("""COMPUTED_VALUE"""),3.148680722E9)</f>
        <v>3148680722</v>
      </c>
      <c r="M3506" s="17" t="str">
        <f>IFERROR(__xludf.DUMMYFUNCTION("""COMPUTED_VALUE"""),"#REF!")</f>
        <v>#REF!</v>
      </c>
      <c r="N3506" s="17"/>
      <c r="O3506" s="17"/>
      <c r="P3506" s="17" t="b">
        <f>IFERROR(__xludf.DUMMYFUNCTION("""COMPUTED_VALUE"""),FALSE)</f>
        <v>0</v>
      </c>
      <c r="Q3506" s="20" t="str">
        <f>IFERROR(__xludf.DUMMYFUNCTION("""COMPUTED_VALUE"""),"")</f>
        <v/>
      </c>
      <c r="R3506" s="21" t="str">
        <f>IFERROR(__xludf.DUMMYFUNCTION("""COMPUTED_VALUE"""),"https://drive.google.com/file/d/1cHfyQ9yDIT6IMBEyqyX_HXkjS_UJ6FEV/view?usp=drivesdk")</f>
        <v>https://drive.google.com/file/d/1cHfyQ9yDIT6IMBEyqyX_HXkjS_UJ6FEV/view?usp=drivesdk</v>
      </c>
    </row>
    <row r="3507">
      <c r="A3507" s="15">
        <f>IFERROR(__xludf.DUMMYFUNCTION("""COMPUTED_VALUE"""),45104.0)</f>
        <v>45104</v>
      </c>
      <c r="B3507" s="16" t="str">
        <f>IFERROR(__xludf.DUMMYFUNCTION("""COMPUTED_VALUE"""),"Jhon Anderson Ceballos Hernandez")</f>
        <v>Jhon Anderson Ceballos Hernandez</v>
      </c>
      <c r="C3507" s="15" t="str">
        <f>IFERROR(__xludf.DUMMYFUNCTION("""COMPUTED_VALUE"""),"MANIZALES")</f>
        <v>MANIZALES</v>
      </c>
      <c r="D3507" s="15" t="str">
        <f>IFERROR(__xludf.DUMMYFUNCTION("""COMPUTED_VALUE"""),"MEDELLÍN")</f>
        <v>MEDELLÍN</v>
      </c>
      <c r="E3507" s="15" t="str">
        <f>IFERROR(__xludf.DUMMYFUNCTION("""COMPUTED_VALUE"""),"Baby Chef")</f>
        <v>Baby Chef</v>
      </c>
      <c r="F3507" s="17" t="str">
        <f>IFERROR(__xludf.DUMMYFUNCTION("""COMPUTED_VALUE"""),"Cra 23A nro 59-45. Edificio Multicentro Estrella apto 701. Barrio Estrella / Cra 23A nro 59-45. Edificio Multicentro Estrella apto 701. Barrio Estrella / Cra 23A nro 59-45. Edificio Multicentro Estrella apto 701. Barrio Estrella")</f>
        <v>Cra 23A nro 59-45. Edificio Multicentro Estrella apto 701. Barrio Estrella / Cra 23A nro 59-45. Edificio Multicentro Estrella apto 701. Barrio Estrella / Cra 23A nro 59-45. Edificio Multicentro Estrella apto 701. Barrio Estrella</v>
      </c>
      <c r="G3507" s="15" t="str">
        <f>IFERROR(__xludf.DUMMYFUNCTION("""COMPUTED_VALUE"""),"Daniela Marulanda Serna")</f>
        <v>Daniela Marulanda Serna</v>
      </c>
      <c r="H3507" s="16">
        <f>IFERROR(__xludf.DUMMYFUNCTION("""COMPUTED_VALUE"""),12102.0)</f>
        <v>12102</v>
      </c>
      <c r="I3507" s="18">
        <f>IFERROR(__xludf.DUMMYFUNCTION("""COMPUTED_VALUE"""),8.0)</f>
        <v>8</v>
      </c>
      <c r="J3507" s="18">
        <f>IFERROR(__xludf.DUMMYFUNCTION("""COMPUTED_VALUE"""),16.0)</f>
        <v>16</v>
      </c>
      <c r="K3507" s="18">
        <f>IFERROR(__xludf.DUMMYFUNCTION("""COMPUTED_VALUE"""),20.0)</f>
        <v>20</v>
      </c>
      <c r="L3507" s="17">
        <f>IFERROR(__xludf.DUMMYFUNCTION("""COMPUTED_VALUE"""),3.103846096E9)</f>
        <v>3103846096</v>
      </c>
      <c r="M3507" s="17" t="str">
        <f>IFERROR(__xludf.DUMMYFUNCTION("""COMPUTED_VALUE"""),"#REF!")</f>
        <v>#REF!</v>
      </c>
      <c r="N3507" s="17"/>
      <c r="O3507" s="17"/>
      <c r="P3507" s="17" t="b">
        <f>IFERROR(__xludf.DUMMYFUNCTION("""COMPUTED_VALUE"""),TRUE)</f>
        <v>1</v>
      </c>
      <c r="Q3507" s="20">
        <f>IFERROR(__xludf.DUMMYFUNCTION("""COMPUTED_VALUE"""),45106.747083333335)</f>
        <v>45106.74708</v>
      </c>
      <c r="R3507" s="21" t="str">
        <f>IFERROR(__xludf.DUMMYFUNCTION("""COMPUTED_VALUE"""),"https://drive.google.com/file/d/1yBFeZtDuHBNpRDYcuDoeqy0zbSLlFIlb/view?usp=drivesdk")</f>
        <v>https://drive.google.com/file/d/1yBFeZtDuHBNpRDYcuDoeqy0zbSLlFIlb/view?usp=drivesdk</v>
      </c>
    </row>
    <row r="3508">
      <c r="A3508" s="17" t="str">
        <f>IFERROR(__xludf.DUMMYFUNCTION("""COMPUTED_VALUE"""),"")</f>
        <v/>
      </c>
      <c r="B3508" s="17" t="str">
        <f>IFERROR(__xludf.DUMMYFUNCTION("""COMPUTED_VALUE"""),"")</f>
        <v/>
      </c>
      <c r="C3508" s="17" t="str">
        <f>IFERROR(__xludf.DUMMYFUNCTION("""COMPUTED_VALUE"""),"")</f>
        <v/>
      </c>
      <c r="D3508" s="17" t="str">
        <f>IFERROR(__xludf.DUMMYFUNCTION("""COMPUTED_VALUE"""),"")</f>
        <v/>
      </c>
      <c r="E3508" s="17" t="str">
        <f>IFERROR(__xludf.DUMMYFUNCTION("""COMPUTED_VALUE"""),"")</f>
        <v/>
      </c>
      <c r="F3508" s="17" t="str">
        <f>IFERROR(__xludf.DUMMYFUNCTION("""COMPUTED_VALUE"""),"")</f>
        <v/>
      </c>
      <c r="G3508" s="17" t="str">
        <f>IFERROR(__xludf.DUMMYFUNCTION("""COMPUTED_VALUE"""),"")</f>
        <v/>
      </c>
      <c r="H3508" s="17" t="str">
        <f>IFERROR(__xludf.DUMMYFUNCTION("""COMPUTED_VALUE"""),"")</f>
        <v/>
      </c>
      <c r="I3508" s="17" t="str">
        <f>IFERROR(__xludf.DUMMYFUNCTION("""COMPUTED_VALUE"""),"")</f>
        <v/>
      </c>
      <c r="J3508" s="17" t="str">
        <f>IFERROR(__xludf.DUMMYFUNCTION("""COMPUTED_VALUE"""),"")</f>
        <v/>
      </c>
      <c r="K3508" s="17" t="str">
        <f>IFERROR(__xludf.DUMMYFUNCTION("""COMPUTED_VALUE"""),"")</f>
        <v/>
      </c>
      <c r="L3508" s="17" t="str">
        <f>IFERROR(__xludf.DUMMYFUNCTION("""COMPUTED_VALUE"""),"")</f>
        <v/>
      </c>
      <c r="M3508" s="17" t="str">
        <f>IFERROR(__xludf.DUMMYFUNCTION("""COMPUTED_VALUE"""),"")</f>
        <v/>
      </c>
      <c r="N3508" s="17" t="str">
        <f>IFERROR(__xludf.DUMMYFUNCTION("""COMPUTED_VALUE"""),"")</f>
        <v/>
      </c>
      <c r="O3508" s="17" t="str">
        <f>IFERROR(__xludf.DUMMYFUNCTION("""COMPUTED_VALUE"""),"")</f>
        <v/>
      </c>
      <c r="P3508" s="17" t="str">
        <f>IFERROR(__xludf.DUMMYFUNCTION("""COMPUTED_VALUE"""),"")</f>
        <v/>
      </c>
      <c r="Q3508" s="17" t="str">
        <f>IFERROR(__xludf.DUMMYFUNCTION("""COMPUTED_VALUE"""),"")</f>
        <v/>
      </c>
      <c r="R3508" s="17" t="str">
        <f>IFERROR(__xludf.DUMMYFUNCTION("""COMPUTED_VALUE"""),"")</f>
        <v/>
      </c>
    </row>
    <row r="3509">
      <c r="A3509" s="15">
        <f>IFERROR(__xludf.DUMMYFUNCTION("""COMPUTED_VALUE"""),45104.0)</f>
        <v>45104</v>
      </c>
      <c r="B3509" s="16" t="str">
        <f>IFERROR(__xludf.DUMMYFUNCTION("""COMPUTED_VALUE"""),"Johan Alexander Escobar Arroyo ")</f>
        <v>Johan Alexander Escobar Arroyo </v>
      </c>
      <c r="C3509" s="15" t="str">
        <f>IFERROR(__xludf.DUMMYFUNCTION("""COMPUTED_VALUE"""),"CALI")</f>
        <v>CALI</v>
      </c>
      <c r="D3509" s="15" t="str">
        <f>IFERROR(__xludf.DUMMYFUNCTION("""COMPUTED_VALUE"""),"BOGOTÁ")</f>
        <v>BOGOTÁ</v>
      </c>
      <c r="E3509" s="15" t="str">
        <f>IFERROR(__xludf.DUMMYFUNCTION("""COMPUTED_VALUE"""),"Athenas")</f>
        <v>Athenas</v>
      </c>
      <c r="F3509" s="17" t="str">
        <f>IFERROR(__xludf.DUMMYFUNCTION("""COMPUTED_VALUE"""),"Carrera 98 #16 200 / Centro comercial jardin plaza 3 piso sector nuevo / Ciudad jardin")</f>
        <v>Carrera 98 #16 200 / Centro comercial jardin plaza 3 piso sector nuevo / Ciudad jardin</v>
      </c>
      <c r="G3509" s="15" t="str">
        <f>IFERROR(__xludf.DUMMYFUNCTION("""COMPUTED_VALUE"""),"Cafeteria athenas bodytech")</f>
        <v>Cafeteria athenas bodytech</v>
      </c>
      <c r="H3509" s="16">
        <f>IFERROR(__xludf.DUMMYFUNCTION("""COMPUTED_VALUE"""),12025.0)</f>
        <v>12025</v>
      </c>
      <c r="I3509" s="18">
        <f>IFERROR(__xludf.DUMMYFUNCTION("""COMPUTED_VALUE"""),47.0)</f>
        <v>47</v>
      </c>
      <c r="J3509" s="18">
        <f>IFERROR(__xludf.DUMMYFUNCTION("""COMPUTED_VALUE"""),55.0)</f>
        <v>55</v>
      </c>
      <c r="K3509" s="18">
        <f>IFERROR(__xludf.DUMMYFUNCTION("""COMPUTED_VALUE"""),29.0)</f>
        <v>29</v>
      </c>
      <c r="L3509" s="17">
        <f>IFERROR(__xludf.DUMMYFUNCTION("""COMPUTED_VALUE"""),3.103897576E9)</f>
        <v>3103897576</v>
      </c>
      <c r="M3509" s="17" t="str">
        <f>IFERROR(__xludf.DUMMYFUNCTION("""COMPUTED_VALUE"""),"#REF!")</f>
        <v>#REF!</v>
      </c>
      <c r="N3509" s="17"/>
      <c r="O3509" s="17"/>
      <c r="P3509" s="17" t="b">
        <f>IFERROR(__xludf.DUMMYFUNCTION("""COMPUTED_VALUE"""),TRUE)</f>
        <v>1</v>
      </c>
      <c r="Q3509" s="20">
        <f>IFERROR(__xludf.DUMMYFUNCTION("""COMPUTED_VALUE"""),45106.747083333335)</f>
        <v>45106.74708</v>
      </c>
      <c r="R3509" s="21" t="str">
        <f>IFERROR(__xludf.DUMMYFUNCTION("""COMPUTED_VALUE"""),"https://drive.google.com/file/d/1CWfG_5bSLTC7ihADmHGA1MPGDF-3C7eO/view?usp=drivesdk")</f>
        <v>https://drive.google.com/file/d/1CWfG_5bSLTC7ihADmHGA1MPGDF-3C7eO/view?usp=drivesdk</v>
      </c>
    </row>
    <row r="3510">
      <c r="A3510" s="15">
        <f>IFERROR(__xludf.DUMMYFUNCTION("""COMPUTED_VALUE"""),45104.0)</f>
        <v>45104</v>
      </c>
      <c r="B3510" s="16" t="str">
        <f>IFERROR(__xludf.DUMMYFUNCTION("""COMPUTED_VALUE"""),"Johan Alexander Escobar Arroyo ")</f>
        <v>Johan Alexander Escobar Arroyo </v>
      </c>
      <c r="C3510" s="15" t="str">
        <f>IFERROR(__xludf.DUMMYFUNCTION("""COMPUTED_VALUE"""),"CALI")</f>
        <v>CALI</v>
      </c>
      <c r="D3510" s="15" t="str">
        <f>IFERROR(__xludf.DUMMYFUNCTION("""COMPUTED_VALUE"""),"BOGOTÁ")</f>
        <v>BOGOTÁ</v>
      </c>
      <c r="E3510" s="15" t="str">
        <f>IFERROR(__xludf.DUMMYFUNCTION("""COMPUTED_VALUE"""),"Evamazzita")</f>
        <v>Evamazzita</v>
      </c>
      <c r="F3510" s="17" t="str">
        <f>IFERROR(__xludf.DUMMYFUNCTION("""COMPUTED_VALUE"""),"calle 34 # 94-143  / jardin del lili casa 08m / jardin del lili casa 08m")</f>
        <v>calle 34 # 94-143  / jardin del lili casa 08m / jardin del lili casa 08m</v>
      </c>
      <c r="G3510" s="15" t="str">
        <f>IFERROR(__xludf.DUMMYFUNCTION("""COMPUTED_VALUE"""),"MAYLIN CAROLINA MUÑOZ RAMOS")</f>
        <v>MAYLIN CAROLINA MUÑOZ RAMOS</v>
      </c>
      <c r="H3510" s="16">
        <f>IFERROR(__xludf.DUMMYFUNCTION("""COMPUTED_VALUE"""),12061.0)</f>
        <v>12061</v>
      </c>
      <c r="I3510" s="18">
        <f>IFERROR(__xludf.DUMMYFUNCTION("""COMPUTED_VALUE"""),1.0)</f>
        <v>1</v>
      </c>
      <c r="J3510" s="18">
        <f>IFERROR(__xludf.DUMMYFUNCTION("""COMPUTED_VALUE"""),1.0)</f>
        <v>1</v>
      </c>
      <c r="K3510" s="18">
        <f>IFERROR(__xludf.DUMMYFUNCTION("""COMPUTED_VALUE"""),1.0)</f>
        <v>1</v>
      </c>
      <c r="L3510" s="17">
        <f>IFERROR(__xludf.DUMMYFUNCTION("""COMPUTED_VALUE"""),3.118376725E9)</f>
        <v>3118376725</v>
      </c>
      <c r="M3510" s="17" t="str">
        <f>IFERROR(__xludf.DUMMYFUNCTION("""COMPUTED_VALUE"""),"#REF!")</f>
        <v>#REF!</v>
      </c>
      <c r="N3510" s="17"/>
      <c r="O3510" s="17"/>
      <c r="P3510" s="17" t="b">
        <f>IFERROR(__xludf.DUMMYFUNCTION("""COMPUTED_VALUE"""),FALSE)</f>
        <v>0</v>
      </c>
      <c r="Q3510" s="20" t="str">
        <f>IFERROR(__xludf.DUMMYFUNCTION("""COMPUTED_VALUE"""),"")</f>
        <v/>
      </c>
      <c r="R3510" s="21" t="str">
        <f>IFERROR(__xludf.DUMMYFUNCTION("""COMPUTED_VALUE"""),"https://drive.google.com/file/d/1-iZfzH2fHX0FQtjHxUDa_mh_Vjn7l67J/view?usp=drivesdk")</f>
        <v>https://drive.google.com/file/d/1-iZfzH2fHX0FQtjHxUDa_mh_Vjn7l67J/view?usp=drivesdk</v>
      </c>
    </row>
    <row r="3511">
      <c r="A3511" s="15">
        <f>IFERROR(__xludf.DUMMYFUNCTION("""COMPUTED_VALUE"""),45104.0)</f>
        <v>45104</v>
      </c>
      <c r="B3511" s="16" t="str">
        <f>IFERROR(__xludf.DUMMYFUNCTION("""COMPUTED_VALUE"""),"Johan Alexander Escobar Arroyo ")</f>
        <v>Johan Alexander Escobar Arroyo </v>
      </c>
      <c r="C3511" s="15" t="str">
        <f>IFERROR(__xludf.DUMMYFUNCTION("""COMPUTED_VALUE"""),"CALI")</f>
        <v>CALI</v>
      </c>
      <c r="D3511" s="15" t="str">
        <f>IFERROR(__xludf.DUMMYFUNCTION("""COMPUTED_VALUE"""),"BOGOTÁ")</f>
        <v>BOGOTÁ</v>
      </c>
      <c r="E3511" s="15" t="str">
        <f>IFERROR(__xludf.DUMMYFUNCTION("""COMPUTED_VALUE"""),"Evamazzita")</f>
        <v>Evamazzita</v>
      </c>
      <c r="F3511" s="17" t="str">
        <f>IFERROR(__xludf.DUMMYFUNCTION("""COMPUTED_VALUE"""),"CALLE 52 i NORTE # 3 N - 40  / TORRE 4 APTO. 408 / N/A")</f>
        <v>CALLE 52 i NORTE # 3 N - 40  / TORRE 4 APTO. 408 / N/A</v>
      </c>
      <c r="G3511" s="15" t="str">
        <f>IFERROR(__xludf.DUMMYFUNCTION("""COMPUTED_VALUE"""),"CRISTHIAN BEJARANO")</f>
        <v>CRISTHIAN BEJARANO</v>
      </c>
      <c r="H3511" s="16">
        <f>IFERROR(__xludf.DUMMYFUNCTION("""COMPUTED_VALUE"""),12063.0)</f>
        <v>12063</v>
      </c>
      <c r="I3511" s="18">
        <f>IFERROR(__xludf.DUMMYFUNCTION("""COMPUTED_VALUE"""),1.0)</f>
        <v>1</v>
      </c>
      <c r="J3511" s="18">
        <f>IFERROR(__xludf.DUMMYFUNCTION("""COMPUTED_VALUE"""),1.0)</f>
        <v>1</v>
      </c>
      <c r="K3511" s="18">
        <f>IFERROR(__xludf.DUMMYFUNCTION("""COMPUTED_VALUE"""),1.0)</f>
        <v>1</v>
      </c>
      <c r="L3511" s="17">
        <f>IFERROR(__xludf.DUMMYFUNCTION("""COMPUTED_VALUE"""),3.174282063E9)</f>
        <v>3174282063</v>
      </c>
      <c r="M3511" s="17" t="str">
        <f>IFERROR(__xludf.DUMMYFUNCTION("""COMPUTED_VALUE"""),"#REF!")</f>
        <v>#REF!</v>
      </c>
      <c r="N3511" s="17"/>
      <c r="O3511" s="17"/>
      <c r="P3511" s="17" t="b">
        <f>IFERROR(__xludf.DUMMYFUNCTION("""COMPUTED_VALUE"""),TRUE)</f>
        <v>1</v>
      </c>
      <c r="Q3511" s="20">
        <f>IFERROR(__xludf.DUMMYFUNCTION("""COMPUTED_VALUE"""),45104.63886869213)</f>
        <v>45104.63887</v>
      </c>
      <c r="R3511" s="21" t="str">
        <f>IFERROR(__xludf.DUMMYFUNCTION("""COMPUTED_VALUE"""),"https://drive.google.com/file/d/196SmI0QwfmzMS_4vSrdiG2oxzVSIoIzt/view?usp=drivesdk")</f>
        <v>https://drive.google.com/file/d/196SmI0QwfmzMS_4vSrdiG2oxzVSIoIzt/view?usp=drivesdk</v>
      </c>
    </row>
    <row r="3512">
      <c r="A3512" s="15">
        <f>IFERROR(__xludf.DUMMYFUNCTION("""COMPUTED_VALUE"""),45104.0)</f>
        <v>45104</v>
      </c>
      <c r="B3512" s="16" t="str">
        <f>IFERROR(__xludf.DUMMYFUNCTION("""COMPUTED_VALUE"""),"Johan Alexander Escobar Arroyo ")</f>
        <v>Johan Alexander Escobar Arroyo </v>
      </c>
      <c r="C3512" s="15" t="str">
        <f>IFERROR(__xludf.DUMMYFUNCTION("""COMPUTED_VALUE"""),"CALI")</f>
        <v>CALI</v>
      </c>
      <c r="D3512" s="15" t="str">
        <f>IFERROR(__xludf.DUMMYFUNCTION("""COMPUTED_VALUE"""),"BOGOTÁ")</f>
        <v>BOGOTÁ</v>
      </c>
      <c r="E3512" s="15" t="str">
        <f>IFERROR(__xludf.DUMMYFUNCTION("""COMPUTED_VALUE"""),"Evamazzita")</f>
        <v>Evamazzita</v>
      </c>
      <c r="F3512" s="17" t="str">
        <f>IFERROR(__xludf.DUMMYFUNCTION("""COMPUTED_VALUE"""),"Calle 6 # 29-104  / avenida Roosvelt Cali. Local Ferrollaves Ortiz / avenida Roosvelt Cali. Local Ferrollaves Ortiz")</f>
        <v>Calle 6 # 29-104  / avenida Roosvelt Cali. Local Ferrollaves Ortiz / avenida Roosvelt Cali. Local Ferrollaves Ortiz</v>
      </c>
      <c r="G3512" s="15" t="str">
        <f>IFERROR(__xludf.DUMMYFUNCTION("""COMPUTED_VALUE"""),"JHONATAN CASTILLO")</f>
        <v>JHONATAN CASTILLO</v>
      </c>
      <c r="H3512" s="16">
        <f>IFERROR(__xludf.DUMMYFUNCTION("""COMPUTED_VALUE"""),12062.0)</f>
        <v>12062</v>
      </c>
      <c r="I3512" s="18">
        <f>IFERROR(__xludf.DUMMYFUNCTION("""COMPUTED_VALUE"""),1.0)</f>
        <v>1</v>
      </c>
      <c r="J3512" s="18">
        <f>IFERROR(__xludf.DUMMYFUNCTION("""COMPUTED_VALUE"""),1.0)</f>
        <v>1</v>
      </c>
      <c r="K3512" s="18">
        <f>IFERROR(__xludf.DUMMYFUNCTION("""COMPUTED_VALUE"""),1.0)</f>
        <v>1</v>
      </c>
      <c r="L3512" s="17">
        <f>IFERROR(__xludf.DUMMYFUNCTION("""COMPUTED_VALUE"""),3.128308962E9)</f>
        <v>3128308962</v>
      </c>
      <c r="M3512" s="17" t="str">
        <f>IFERROR(__xludf.DUMMYFUNCTION("""COMPUTED_VALUE"""),"#REF!")</f>
        <v>#REF!</v>
      </c>
      <c r="N3512" s="17"/>
      <c r="O3512" s="17"/>
      <c r="P3512" s="17" t="b">
        <f>IFERROR(__xludf.DUMMYFUNCTION("""COMPUTED_VALUE"""),TRUE)</f>
        <v>1</v>
      </c>
      <c r="Q3512" s="20">
        <f>IFERROR(__xludf.DUMMYFUNCTION("""COMPUTED_VALUE"""),45104.63886869213)</f>
        <v>45104.63887</v>
      </c>
      <c r="R3512" s="21" t="str">
        <f>IFERROR(__xludf.DUMMYFUNCTION("""COMPUTED_VALUE"""),"https://drive.google.com/file/d/16Nn5eilDidoR-YagemVBl_7ysT-J47XQ/view?usp=drivesdk")</f>
        <v>https://drive.google.com/file/d/16Nn5eilDidoR-YagemVBl_7ysT-J47XQ/view?usp=drivesdk</v>
      </c>
    </row>
    <row r="3513">
      <c r="A3513" s="15">
        <f>IFERROR(__xludf.DUMMYFUNCTION("""COMPUTED_VALUE"""),45104.0)</f>
        <v>45104</v>
      </c>
      <c r="B3513" s="16" t="str">
        <f>IFERROR(__xludf.DUMMYFUNCTION("""COMPUTED_VALUE"""),"Johan Alexander Escobar Arroyo ")</f>
        <v>Johan Alexander Escobar Arroyo </v>
      </c>
      <c r="C3513" s="15" t="str">
        <f>IFERROR(__xludf.DUMMYFUNCTION("""COMPUTED_VALUE"""),"CALI")</f>
        <v>CALI</v>
      </c>
      <c r="D3513" s="15" t="str">
        <f>IFERROR(__xludf.DUMMYFUNCTION("""COMPUTED_VALUE"""),"BOGOTÁ")</f>
        <v>BOGOTÁ</v>
      </c>
      <c r="E3513" s="15" t="str">
        <f>IFERROR(__xludf.DUMMYFUNCTION("""COMPUTED_VALUE"""),"Evamazzita")</f>
        <v>Evamazzita</v>
      </c>
      <c r="F3513" s="17" t="str">
        <f>IFERROR(__xludf.DUMMYFUNCTION("""COMPUTED_VALUE"""),"Carrera 64A#13A-74  /  Apto 203-6 / Bosques del limonar / N/A")</f>
        <v>Carrera 64A#13A-74  /  Apto 203-6 / Bosques del limonar / N/A</v>
      </c>
      <c r="G3513" s="15" t="str">
        <f>IFERROR(__xludf.DUMMYFUNCTION("""COMPUTED_VALUE"""),"PAULA ANDREA RIOS")</f>
        <v>PAULA ANDREA RIOS</v>
      </c>
      <c r="H3513" s="16">
        <f>IFERROR(__xludf.DUMMYFUNCTION("""COMPUTED_VALUE"""),12060.0)</f>
        <v>12060</v>
      </c>
      <c r="I3513" s="18">
        <f>IFERROR(__xludf.DUMMYFUNCTION("""COMPUTED_VALUE"""),1.0)</f>
        <v>1</v>
      </c>
      <c r="J3513" s="18">
        <f>IFERROR(__xludf.DUMMYFUNCTION("""COMPUTED_VALUE"""),1.0)</f>
        <v>1</v>
      </c>
      <c r="K3513" s="18">
        <f>IFERROR(__xludf.DUMMYFUNCTION("""COMPUTED_VALUE"""),1.0)</f>
        <v>1</v>
      </c>
      <c r="L3513" s="17">
        <f>IFERROR(__xludf.DUMMYFUNCTION("""COMPUTED_VALUE"""),3.176754161E9)</f>
        <v>3176754161</v>
      </c>
      <c r="M3513" s="17" t="str">
        <f>IFERROR(__xludf.DUMMYFUNCTION("""COMPUTED_VALUE"""),"#REF!")</f>
        <v>#REF!</v>
      </c>
      <c r="N3513" s="17"/>
      <c r="O3513" s="17"/>
      <c r="P3513" s="17" t="b">
        <f>IFERROR(__xludf.DUMMYFUNCTION("""COMPUTED_VALUE"""),TRUE)</f>
        <v>1</v>
      </c>
      <c r="Q3513" s="20">
        <f>IFERROR(__xludf.DUMMYFUNCTION("""COMPUTED_VALUE"""),45104.63886869213)</f>
        <v>45104.63887</v>
      </c>
      <c r="R3513" s="21" t="str">
        <f>IFERROR(__xludf.DUMMYFUNCTION("""COMPUTED_VALUE"""),"https://drive.google.com/file/d/1HqLtcK_0UQsnX3bzbl8L6PytyG7o1z4Z/view?usp=drivesdk")</f>
        <v>https://drive.google.com/file/d/1HqLtcK_0UQsnX3bzbl8L6PytyG7o1z4Z/view?usp=drivesdk</v>
      </c>
    </row>
    <row r="3514">
      <c r="A3514" s="15">
        <f>IFERROR(__xludf.DUMMYFUNCTION("""COMPUTED_VALUE"""),45104.0)</f>
        <v>45104</v>
      </c>
      <c r="B3514" s="16" t="str">
        <f>IFERROR(__xludf.DUMMYFUNCTION("""COMPUTED_VALUE"""),"Johan Alexander Escobar Arroyo ")</f>
        <v>Johan Alexander Escobar Arroyo </v>
      </c>
      <c r="C3514" s="15" t="str">
        <f>IFERROR(__xludf.DUMMYFUNCTION("""COMPUTED_VALUE"""),"CALI")</f>
        <v>CALI</v>
      </c>
      <c r="D3514" s="15" t="str">
        <f>IFERROR(__xludf.DUMMYFUNCTION("""COMPUTED_VALUE"""),"BOGOTÁ")</f>
        <v>BOGOTÁ</v>
      </c>
      <c r="E3514" s="15" t="str">
        <f>IFERROR(__xludf.DUMMYFUNCTION("""COMPUTED_VALUE"""),"Evamazzita")</f>
        <v>Evamazzita</v>
      </c>
      <c r="F3514" s="17" t="str">
        <f>IFERROR(__xludf.DUMMYFUNCTION("""COMPUTED_VALUE"""),"CRA 46C No. 55A - 15  / N/A / BARRIO CIUDAD CORDOBA")</f>
        <v>CRA 46C No. 55A - 15  / N/A / BARRIO CIUDAD CORDOBA</v>
      </c>
      <c r="G3514" s="15" t="str">
        <f>IFERROR(__xludf.DUMMYFUNCTION("""COMPUTED_VALUE"""),"CLAUDIA CANTERO")</f>
        <v>CLAUDIA CANTERO</v>
      </c>
      <c r="H3514" s="16">
        <f>IFERROR(__xludf.DUMMYFUNCTION("""COMPUTED_VALUE"""),12064.0)</f>
        <v>12064</v>
      </c>
      <c r="I3514" s="18">
        <f>IFERROR(__xludf.DUMMYFUNCTION("""COMPUTED_VALUE"""),1.0)</f>
        <v>1</v>
      </c>
      <c r="J3514" s="18">
        <f>IFERROR(__xludf.DUMMYFUNCTION("""COMPUTED_VALUE"""),1.0)</f>
        <v>1</v>
      </c>
      <c r="K3514" s="18">
        <f>IFERROR(__xludf.DUMMYFUNCTION("""COMPUTED_VALUE"""),1.0)</f>
        <v>1</v>
      </c>
      <c r="L3514" s="17">
        <f>IFERROR(__xludf.DUMMYFUNCTION("""COMPUTED_VALUE"""),3.176248548E9)</f>
        <v>3176248548</v>
      </c>
      <c r="M3514" s="17" t="str">
        <f>IFERROR(__xludf.DUMMYFUNCTION("""COMPUTED_VALUE"""),"#REF!")</f>
        <v>#REF!</v>
      </c>
      <c r="N3514" s="17"/>
      <c r="O3514" s="17"/>
      <c r="P3514" s="17" t="b">
        <f>IFERROR(__xludf.DUMMYFUNCTION("""COMPUTED_VALUE"""),FALSE)</f>
        <v>0</v>
      </c>
      <c r="Q3514" s="20" t="str">
        <f>IFERROR(__xludf.DUMMYFUNCTION("""COMPUTED_VALUE"""),"")</f>
        <v/>
      </c>
      <c r="R3514" s="21" t="str">
        <f>IFERROR(__xludf.DUMMYFUNCTION("""COMPUTED_VALUE"""),"https://drive.google.com/file/d/1a5hbniaPx_k0xI6adSbMocvdTf9IahqP/view?usp=drivesdk")</f>
        <v>https://drive.google.com/file/d/1a5hbniaPx_k0xI6adSbMocvdTf9IahqP/view?usp=drivesdk</v>
      </c>
    </row>
    <row r="3515">
      <c r="A3515" s="15">
        <f>IFERROR(__xludf.DUMMYFUNCTION("""COMPUTED_VALUE"""),45104.0)</f>
        <v>45104</v>
      </c>
      <c r="B3515" s="16" t="str">
        <f>IFERROR(__xludf.DUMMYFUNCTION("""COMPUTED_VALUE"""),"Johan Alexander Escobar Arroyo ")</f>
        <v>Johan Alexander Escobar Arroyo </v>
      </c>
      <c r="C3515" s="15" t="str">
        <f>IFERROR(__xludf.DUMMYFUNCTION("""COMPUTED_VALUE"""),"CALI")</f>
        <v>CALI</v>
      </c>
      <c r="D3515" s="15" t="str">
        <f>IFERROR(__xludf.DUMMYFUNCTION("""COMPUTED_VALUE"""),"BOGOTÁ")</f>
        <v>BOGOTÁ</v>
      </c>
      <c r="E3515" s="15" t="str">
        <f>IFERROR(__xludf.DUMMYFUNCTION("""COMPUTED_VALUE"""),"Evamazzita")</f>
        <v>Evamazzita</v>
      </c>
      <c r="F3515" s="17" t="str">
        <f>IFERROR(__xludf.DUMMYFUNCTION("""COMPUTED_VALUE"""),"Cra 79 #13b-110  / apto 203C Torres de santorino  / Barrio quintas de don Simón")</f>
        <v>Cra 79 #13b-110  / apto 203C Torres de santorino  / Barrio quintas de don Simón</v>
      </c>
      <c r="G3515" s="15" t="str">
        <f>IFERROR(__xludf.DUMMYFUNCTION("""COMPUTED_VALUE"""),"CAROLINA RUBIANO ARANGO")</f>
        <v>CAROLINA RUBIANO ARANGO</v>
      </c>
      <c r="H3515" s="16">
        <f>IFERROR(__xludf.DUMMYFUNCTION("""COMPUTED_VALUE"""),12065.0)</f>
        <v>12065</v>
      </c>
      <c r="I3515" s="18">
        <f>IFERROR(__xludf.DUMMYFUNCTION("""COMPUTED_VALUE"""),1.0)</f>
        <v>1</v>
      </c>
      <c r="J3515" s="18">
        <f>IFERROR(__xludf.DUMMYFUNCTION("""COMPUTED_VALUE"""),1.0)</f>
        <v>1</v>
      </c>
      <c r="K3515" s="18">
        <f>IFERROR(__xludf.DUMMYFUNCTION("""COMPUTED_VALUE"""),1.0)</f>
        <v>1</v>
      </c>
      <c r="L3515" s="17">
        <f>IFERROR(__xludf.DUMMYFUNCTION("""COMPUTED_VALUE"""),3.113311218E9)</f>
        <v>3113311218</v>
      </c>
      <c r="M3515" s="17" t="str">
        <f>IFERROR(__xludf.DUMMYFUNCTION("""COMPUTED_VALUE"""),"#REF!")</f>
        <v>#REF!</v>
      </c>
      <c r="N3515" s="17"/>
      <c r="O3515" s="17"/>
      <c r="P3515" s="17" t="b">
        <f>IFERROR(__xludf.DUMMYFUNCTION("""COMPUTED_VALUE"""),FALSE)</f>
        <v>0</v>
      </c>
      <c r="Q3515" s="20" t="str">
        <f>IFERROR(__xludf.DUMMYFUNCTION("""COMPUTED_VALUE"""),"")</f>
        <v/>
      </c>
      <c r="R3515" s="21" t="str">
        <f>IFERROR(__xludf.DUMMYFUNCTION("""COMPUTED_VALUE"""),"https://drive.google.com/file/d/1ISjpkTQuOtVA4eORB1zb3kePW9ky6zpM/view?usp=drivesdk")</f>
        <v>https://drive.google.com/file/d/1ISjpkTQuOtVA4eORB1zb3kePW9ky6zpM/view?usp=drivesdk</v>
      </c>
    </row>
    <row r="3516">
      <c r="A3516" s="15">
        <f>IFERROR(__xludf.DUMMYFUNCTION("""COMPUTED_VALUE"""),45104.0)</f>
        <v>45104</v>
      </c>
      <c r="B3516" s="16" t="str">
        <f>IFERROR(__xludf.DUMMYFUNCTION("""COMPUTED_VALUE"""),"Johan Alexander Escobar Arroyo ")</f>
        <v>Johan Alexander Escobar Arroyo </v>
      </c>
      <c r="C3516" s="15" t="str">
        <f>IFERROR(__xludf.DUMMYFUNCTION("""COMPUTED_VALUE"""),"IBAGUÉ")</f>
        <v>IBAGUÉ</v>
      </c>
      <c r="D3516" s="15" t="str">
        <f>IFERROR(__xludf.DUMMYFUNCTION("""COMPUTED_VALUE"""),"BOGOTÁ")</f>
        <v>BOGOTÁ</v>
      </c>
      <c r="E3516" s="15" t="str">
        <f>IFERROR(__xludf.DUMMYFUNCTION("""COMPUTED_VALUE"""),"Ventura Productos Arg")</f>
        <v>Ventura Productos Arg</v>
      </c>
      <c r="F3516" s="17" t="str">
        <f>IFERROR(__xludf.DUMMYFUNCTION("""COMPUTED_VALUE"""),"Mz C Cs 15 / Mz C Cs 15")</f>
        <v>Mz C Cs 15 / Mz C Cs 15</v>
      </c>
      <c r="G3516" s="15" t="str">
        <f>IFERROR(__xludf.DUMMYFUNCTION("""COMPUTED_VALUE"""),"Jonathan Ortiz")</f>
        <v>Jonathan Ortiz</v>
      </c>
      <c r="H3516" s="16">
        <f>IFERROR(__xludf.DUMMYFUNCTION("""COMPUTED_VALUE"""),12009.0)</f>
        <v>12009</v>
      </c>
      <c r="I3516" s="18">
        <f>IFERROR(__xludf.DUMMYFUNCTION("""COMPUTED_VALUE"""),3.0)</f>
        <v>3</v>
      </c>
      <c r="J3516" s="18">
        <f>IFERROR(__xludf.DUMMYFUNCTION("""COMPUTED_VALUE"""),45060.0)</f>
        <v>45060</v>
      </c>
      <c r="K3516" s="18">
        <f>IFERROR(__xludf.DUMMYFUNCTION("""COMPUTED_VALUE"""),22.0)</f>
        <v>22</v>
      </c>
      <c r="L3516" s="17">
        <f>IFERROR(__xludf.DUMMYFUNCTION("""COMPUTED_VALUE"""),3.213727349E9)</f>
        <v>3213727349</v>
      </c>
      <c r="M3516" s="17" t="str">
        <f>IFERROR(__xludf.DUMMYFUNCTION("""COMPUTED_VALUE"""),"#REF!")</f>
        <v>#REF!</v>
      </c>
      <c r="N3516" s="17"/>
      <c r="O3516" s="17"/>
      <c r="P3516" s="17" t="b">
        <f>IFERROR(__xludf.DUMMYFUNCTION("""COMPUTED_VALUE"""),TRUE)</f>
        <v>1</v>
      </c>
      <c r="Q3516" s="20">
        <f>IFERROR(__xludf.DUMMYFUNCTION("""COMPUTED_VALUE"""),45104.63866081019)</f>
        <v>45104.63866</v>
      </c>
      <c r="R3516" s="21" t="str">
        <f>IFERROR(__xludf.DUMMYFUNCTION("""COMPUTED_VALUE"""),"https://drive.google.com/file/d/1p45xIH_cYZHGGhuJLCdrcNRVv-nxDf7s/view?usp=drivesdk")</f>
        <v>https://drive.google.com/file/d/1p45xIH_cYZHGGhuJLCdrcNRVv-nxDf7s/view?usp=drivesdk</v>
      </c>
    </row>
    <row r="3517">
      <c r="A3517" s="17" t="str">
        <f>IFERROR(__xludf.DUMMYFUNCTION("""COMPUTED_VALUE"""),"")</f>
        <v/>
      </c>
      <c r="B3517" s="17" t="str">
        <f>IFERROR(__xludf.DUMMYFUNCTION("""COMPUTED_VALUE"""),"")</f>
        <v/>
      </c>
      <c r="C3517" s="17" t="str">
        <f>IFERROR(__xludf.DUMMYFUNCTION("""COMPUTED_VALUE"""),"")</f>
        <v/>
      </c>
      <c r="D3517" s="17" t="str">
        <f>IFERROR(__xludf.DUMMYFUNCTION("""COMPUTED_VALUE"""),"")</f>
        <v/>
      </c>
      <c r="E3517" s="17" t="str">
        <f>IFERROR(__xludf.DUMMYFUNCTION("""COMPUTED_VALUE"""),"")</f>
        <v/>
      </c>
      <c r="F3517" s="17" t="str">
        <f>IFERROR(__xludf.DUMMYFUNCTION("""COMPUTED_VALUE"""),"")</f>
        <v/>
      </c>
      <c r="G3517" s="17" t="str">
        <f>IFERROR(__xludf.DUMMYFUNCTION("""COMPUTED_VALUE"""),"")</f>
        <v/>
      </c>
      <c r="H3517" s="17" t="str">
        <f>IFERROR(__xludf.DUMMYFUNCTION("""COMPUTED_VALUE"""),"")</f>
        <v/>
      </c>
      <c r="I3517" s="17" t="str">
        <f>IFERROR(__xludf.DUMMYFUNCTION("""COMPUTED_VALUE"""),"")</f>
        <v/>
      </c>
      <c r="J3517" s="17" t="str">
        <f>IFERROR(__xludf.DUMMYFUNCTION("""COMPUTED_VALUE"""),"")</f>
        <v/>
      </c>
      <c r="K3517" s="17" t="str">
        <f>IFERROR(__xludf.DUMMYFUNCTION("""COMPUTED_VALUE"""),"")</f>
        <v/>
      </c>
      <c r="L3517" s="17" t="str">
        <f>IFERROR(__xludf.DUMMYFUNCTION("""COMPUTED_VALUE"""),"")</f>
        <v/>
      </c>
      <c r="M3517" s="17" t="str">
        <f>IFERROR(__xludf.DUMMYFUNCTION("""COMPUTED_VALUE"""),"")</f>
        <v/>
      </c>
      <c r="N3517" s="17" t="str">
        <f>IFERROR(__xludf.DUMMYFUNCTION("""COMPUTED_VALUE"""),"")</f>
        <v/>
      </c>
      <c r="O3517" s="17" t="str">
        <f>IFERROR(__xludf.DUMMYFUNCTION("""COMPUTED_VALUE"""),"")</f>
        <v/>
      </c>
      <c r="P3517" s="17" t="str">
        <f>IFERROR(__xludf.DUMMYFUNCTION("""COMPUTED_VALUE"""),"")</f>
        <v/>
      </c>
      <c r="Q3517" s="17" t="str">
        <f>IFERROR(__xludf.DUMMYFUNCTION("""COMPUTED_VALUE"""),"")</f>
        <v/>
      </c>
      <c r="R3517" s="17" t="str">
        <f>IFERROR(__xludf.DUMMYFUNCTION("""COMPUTED_VALUE"""),"")</f>
        <v/>
      </c>
    </row>
    <row r="3518">
      <c r="A3518" s="15">
        <f>IFERROR(__xludf.DUMMYFUNCTION("""COMPUTED_VALUE"""),45104.0)</f>
        <v>45104</v>
      </c>
      <c r="B3518" s="16" t="str">
        <f>IFERROR(__xludf.DUMMYFUNCTION("""COMPUTED_VALUE"""),"Jonathan Steven Taborda")</f>
        <v>Jonathan Steven Taborda</v>
      </c>
      <c r="C3518" s="15" t="str">
        <f>IFERROR(__xludf.DUMMYFUNCTION("""COMPUTED_VALUE"""),"ARMENIA")</f>
        <v>ARMENIA</v>
      </c>
      <c r="D3518" s="15" t="str">
        <f>IFERROR(__xludf.DUMMYFUNCTION("""COMPUTED_VALUE"""),"BOGOTÁ")</f>
        <v>BOGOTÁ</v>
      </c>
      <c r="E3518" s="15" t="str">
        <f>IFERROR(__xludf.DUMMYFUNCTION("""COMPUTED_VALUE"""),"Evamazzita")</f>
        <v>Evamazzita</v>
      </c>
      <c r="F3518" s="17" t="str">
        <f>IFERROR(__xludf.DUMMYFUNCTION("""COMPUTED_VALUE"""),"CALLE 30 # 30 - 11  / CALLE 30 # 30 - 11  / BARRIO QUINDÍO")</f>
        <v>CALLE 30 # 30 - 11  / CALLE 30 # 30 - 11  / BARRIO QUINDÍO</v>
      </c>
      <c r="G3518" s="15" t="str">
        <f>IFERROR(__xludf.DUMMYFUNCTION("""COMPUTED_VALUE"""),"YORMARY JIMENEZ")</f>
        <v>YORMARY JIMENEZ</v>
      </c>
      <c r="H3518" s="16">
        <f>IFERROR(__xludf.DUMMYFUNCTION("""COMPUTED_VALUE"""),12053.0)</f>
        <v>12053</v>
      </c>
      <c r="I3518" s="18">
        <f>IFERROR(__xludf.DUMMYFUNCTION("""COMPUTED_VALUE"""),20.0)</f>
        <v>20</v>
      </c>
      <c r="J3518" s="18">
        <f>IFERROR(__xludf.DUMMYFUNCTION("""COMPUTED_VALUE"""),42.0)</f>
        <v>42</v>
      </c>
      <c r="K3518" s="18">
        <f>IFERROR(__xludf.DUMMYFUNCTION("""COMPUTED_VALUE"""),24.0)</f>
        <v>24</v>
      </c>
      <c r="L3518" s="17">
        <f>IFERROR(__xludf.DUMMYFUNCTION("""COMPUTED_VALUE"""),3.113196178E9)</f>
        <v>3113196178</v>
      </c>
      <c r="M3518" s="17" t="str">
        <f>IFERROR(__xludf.DUMMYFUNCTION("""COMPUTED_VALUE"""),"#REF!")</f>
        <v>#REF!</v>
      </c>
      <c r="N3518" s="17"/>
      <c r="O3518" s="17"/>
      <c r="P3518" s="17" t="b">
        <f>IFERROR(__xludf.DUMMYFUNCTION("""COMPUTED_VALUE"""),FALSE)</f>
        <v>0</v>
      </c>
      <c r="Q3518" s="20" t="str">
        <f>IFERROR(__xludf.DUMMYFUNCTION("""COMPUTED_VALUE"""),"")</f>
        <v/>
      </c>
      <c r="R3518" s="22" t="str">
        <f>IFERROR(__xludf.DUMMYFUNCTION("""COMPUTED_VALUE"""),"")</f>
        <v/>
      </c>
    </row>
    <row r="3519">
      <c r="A3519" s="15">
        <f>IFERROR(__xludf.DUMMYFUNCTION("""COMPUTED_VALUE"""),45104.0)</f>
        <v>45104</v>
      </c>
      <c r="B3519" s="16" t="str">
        <f>IFERROR(__xludf.DUMMYFUNCTION("""COMPUTED_VALUE"""),"Jonathan Steven Taborda")</f>
        <v>Jonathan Steven Taborda</v>
      </c>
      <c r="C3519" s="15" t="str">
        <f>IFERROR(__xludf.DUMMYFUNCTION("""COMPUTED_VALUE"""),"BOGOTÁ")</f>
        <v>BOGOTÁ</v>
      </c>
      <c r="D3519" s="15" t="str">
        <f>IFERROR(__xludf.DUMMYFUNCTION("""COMPUTED_VALUE"""),"MEDELLÍN")</f>
        <v>MEDELLÍN</v>
      </c>
      <c r="E3519" s="15" t="str">
        <f>IFERROR(__xludf.DUMMYFUNCTION("""COMPUTED_VALUE"""),"Helados swip")</f>
        <v>Helados swip</v>
      </c>
      <c r="F3519" s="17" t="str">
        <f>IFERROR(__xludf.DUMMYFUNCTION("""COMPUTED_VALUE"""),"CALLE 90 # 13-23  / LOCLA 2 / FIT MARKET  90")</f>
        <v>CALLE 90 # 13-23  / LOCLA 2 / FIT MARKET  90</v>
      </c>
      <c r="G3519" s="15" t="str">
        <f>IFERROR(__xludf.DUMMYFUNCTION("""COMPUTED_VALUE"""),"FIT MARKET TIENDO 90")</f>
        <v>FIT MARKET TIENDO 90</v>
      </c>
      <c r="H3519" s="16">
        <f>IFERROR(__xludf.DUMMYFUNCTION("""COMPUTED_VALUE"""),12041.0)</f>
        <v>12041</v>
      </c>
      <c r="I3519" s="18">
        <f>IFERROR(__xludf.DUMMYFUNCTION("""COMPUTED_VALUE"""),29.0)</f>
        <v>29</v>
      </c>
      <c r="J3519" s="18">
        <f>IFERROR(__xludf.DUMMYFUNCTION("""COMPUTED_VALUE"""),55.0)</f>
        <v>55</v>
      </c>
      <c r="K3519" s="18">
        <f>IFERROR(__xludf.DUMMYFUNCTION("""COMPUTED_VALUE"""),45.0)</f>
        <v>45</v>
      </c>
      <c r="L3519" s="17">
        <f>IFERROR(__xludf.DUMMYFUNCTION("""COMPUTED_VALUE"""),3.154237527E9)</f>
        <v>3154237527</v>
      </c>
      <c r="M3519" s="17" t="str">
        <f>IFERROR(__xludf.DUMMYFUNCTION("""COMPUTED_VALUE"""),"#REF!")</f>
        <v>#REF!</v>
      </c>
      <c r="N3519" s="17"/>
      <c r="O3519" s="17"/>
      <c r="P3519" s="17" t="b">
        <f>IFERROR(__xludf.DUMMYFUNCTION("""COMPUTED_VALUE"""),FALSE)</f>
        <v>0</v>
      </c>
      <c r="Q3519" s="20" t="str">
        <f>IFERROR(__xludf.DUMMYFUNCTION("""COMPUTED_VALUE"""),"")</f>
        <v/>
      </c>
      <c r="R3519" s="21" t="str">
        <f>IFERROR(__xludf.DUMMYFUNCTION("""COMPUTED_VALUE"""),"https://drive.google.com/file/d/1gWPW2N1gWoDN7xS2-x1rhSqoJJ5GJkBD/view?usp=drivesdk")</f>
        <v>https://drive.google.com/file/d/1gWPW2N1gWoDN7xS2-x1rhSqoJJ5GJkBD/view?usp=drivesdk</v>
      </c>
    </row>
    <row r="3520">
      <c r="A3520" s="15">
        <f>IFERROR(__xludf.DUMMYFUNCTION("""COMPUTED_VALUE"""),45104.0)</f>
        <v>45104</v>
      </c>
      <c r="B3520" s="16" t="str">
        <f>IFERROR(__xludf.DUMMYFUNCTION("""COMPUTED_VALUE"""),"Jonathan Steven Taborda")</f>
        <v>Jonathan Steven Taborda</v>
      </c>
      <c r="C3520" s="15" t="str">
        <f>IFERROR(__xludf.DUMMYFUNCTION("""COMPUTED_VALUE"""),"BOGOTÁ")</f>
        <v>BOGOTÁ</v>
      </c>
      <c r="D3520" s="15" t="str">
        <f>IFERROR(__xludf.DUMMYFUNCTION("""COMPUTED_VALUE"""),"MEDELLÍN")</f>
        <v>MEDELLÍN</v>
      </c>
      <c r="E3520" s="15" t="str">
        <f>IFERROR(__xludf.DUMMYFUNCTION("""COMPUTED_VALUE"""),"Puro Verde")</f>
        <v>Puro Verde</v>
      </c>
      <c r="F3520" s="17" t="str">
        <f>IFERROR(__xludf.DUMMYFUNCTION("""COMPUTED_VALUE"""),"AV CRA 15 # 90-20.  / LOCAL 109 / BARRIO CHICO")</f>
        <v>AV CRA 15 # 90-20.  / LOCAL 109 / BARRIO CHICO</v>
      </c>
      <c r="G3520" s="15" t="str">
        <f>IFERROR(__xludf.DUMMYFUNCTION("""COMPUTED_VALUE"""),"DANDO CUERDA")</f>
        <v>DANDO CUERDA</v>
      </c>
      <c r="H3520" s="16">
        <f>IFERROR(__xludf.DUMMYFUNCTION("""COMPUTED_VALUE"""),12037.0)</f>
        <v>12037</v>
      </c>
      <c r="I3520" s="18">
        <f>IFERROR(__xludf.DUMMYFUNCTION("""COMPUTED_VALUE"""),67.0)</f>
        <v>67</v>
      </c>
      <c r="J3520" s="18">
        <f>IFERROR(__xludf.DUMMYFUNCTION("""COMPUTED_VALUE"""),65.0)</f>
        <v>65</v>
      </c>
      <c r="K3520" s="18">
        <f>IFERROR(__xludf.DUMMYFUNCTION("""COMPUTED_VALUE"""),55.0)</f>
        <v>55</v>
      </c>
      <c r="L3520" s="17">
        <f>IFERROR(__xludf.DUMMYFUNCTION("""COMPUTED_VALUE"""),3.163816691E9)</f>
        <v>3163816691</v>
      </c>
      <c r="M3520" s="17" t="str">
        <f>IFERROR(__xludf.DUMMYFUNCTION("""COMPUTED_VALUE"""),"#REF!")</f>
        <v>#REF!</v>
      </c>
      <c r="N3520" s="17"/>
      <c r="O3520" s="17"/>
      <c r="P3520" s="17" t="b">
        <f>IFERROR(__xludf.DUMMYFUNCTION("""COMPUTED_VALUE"""),FALSE)</f>
        <v>0</v>
      </c>
      <c r="Q3520" s="20" t="str">
        <f>IFERROR(__xludf.DUMMYFUNCTION("""COMPUTED_VALUE"""),"")</f>
        <v/>
      </c>
      <c r="R3520" s="21" t="str">
        <f>IFERROR(__xludf.DUMMYFUNCTION("""COMPUTED_VALUE"""),"https://drive.google.com/file/d/1VDo5pz4MNPjeZZIlNq1-wX14bVVY41GH/view?usp=drivesdk")</f>
        <v>https://drive.google.com/file/d/1VDo5pz4MNPjeZZIlNq1-wX14bVVY41GH/view?usp=drivesdk</v>
      </c>
    </row>
    <row r="3521">
      <c r="A3521" s="17" t="str">
        <f>IFERROR(__xludf.DUMMYFUNCTION("""COMPUTED_VALUE"""),"")</f>
        <v/>
      </c>
      <c r="B3521" s="17" t="str">
        <f>IFERROR(__xludf.DUMMYFUNCTION("""COMPUTED_VALUE"""),"")</f>
        <v/>
      </c>
      <c r="C3521" s="17" t="str">
        <f>IFERROR(__xludf.DUMMYFUNCTION("""COMPUTED_VALUE"""),"")</f>
        <v/>
      </c>
      <c r="D3521" s="17" t="str">
        <f>IFERROR(__xludf.DUMMYFUNCTION("""COMPUTED_VALUE"""),"")</f>
        <v/>
      </c>
      <c r="E3521" s="17" t="str">
        <f>IFERROR(__xludf.DUMMYFUNCTION("""COMPUTED_VALUE"""),"")</f>
        <v/>
      </c>
      <c r="F3521" s="17" t="str">
        <f>IFERROR(__xludf.DUMMYFUNCTION("""COMPUTED_VALUE"""),"")</f>
        <v/>
      </c>
      <c r="G3521" s="17" t="str">
        <f>IFERROR(__xludf.DUMMYFUNCTION("""COMPUTED_VALUE"""),"")</f>
        <v/>
      </c>
      <c r="H3521" s="17" t="str">
        <f>IFERROR(__xludf.DUMMYFUNCTION("""COMPUTED_VALUE"""),"")</f>
        <v/>
      </c>
      <c r="I3521" s="17" t="str">
        <f>IFERROR(__xludf.DUMMYFUNCTION("""COMPUTED_VALUE"""),"")</f>
        <v/>
      </c>
      <c r="J3521" s="17" t="str">
        <f>IFERROR(__xludf.DUMMYFUNCTION("""COMPUTED_VALUE"""),"")</f>
        <v/>
      </c>
      <c r="K3521" s="17" t="str">
        <f>IFERROR(__xludf.DUMMYFUNCTION("""COMPUTED_VALUE"""),"")</f>
        <v/>
      </c>
      <c r="L3521" s="17" t="str">
        <f>IFERROR(__xludf.DUMMYFUNCTION("""COMPUTED_VALUE"""),"")</f>
        <v/>
      </c>
      <c r="M3521" s="17" t="str">
        <f>IFERROR(__xludf.DUMMYFUNCTION("""COMPUTED_VALUE"""),"")</f>
        <v/>
      </c>
      <c r="N3521" s="17" t="str">
        <f>IFERROR(__xludf.DUMMYFUNCTION("""COMPUTED_VALUE"""),"")</f>
        <v/>
      </c>
      <c r="O3521" s="17" t="str">
        <f>IFERROR(__xludf.DUMMYFUNCTION("""COMPUTED_VALUE"""),"")</f>
        <v/>
      </c>
      <c r="P3521" s="17" t="str">
        <f>IFERROR(__xludf.DUMMYFUNCTION("""COMPUTED_VALUE"""),"")</f>
        <v/>
      </c>
      <c r="Q3521" s="17" t="str">
        <f>IFERROR(__xludf.DUMMYFUNCTION("""COMPUTED_VALUE"""),"")</f>
        <v/>
      </c>
      <c r="R3521" s="17" t="str">
        <f>IFERROR(__xludf.DUMMYFUNCTION("""COMPUTED_VALUE"""),"")</f>
        <v/>
      </c>
    </row>
    <row r="3522">
      <c r="A3522" s="15">
        <f>IFERROR(__xludf.DUMMYFUNCTION("""COMPUTED_VALUE"""),45104.0)</f>
        <v>45104</v>
      </c>
      <c r="B3522" s="16" t="str">
        <f>IFERROR(__xludf.DUMMYFUNCTION("""COMPUTED_VALUE"""),"José Miguel Bonilla")</f>
        <v>José Miguel Bonilla</v>
      </c>
      <c r="C3522" s="15" t="str">
        <f>IFERROR(__xludf.DUMMYFUNCTION("""COMPUTED_VALUE"""),"BUCARAMANGA")</f>
        <v>BUCARAMANGA</v>
      </c>
      <c r="D3522" s="15" t="str">
        <f>IFERROR(__xludf.DUMMYFUNCTION("""COMPUTED_VALUE"""),"BOGOTÁ")</f>
        <v>BOGOTÁ</v>
      </c>
      <c r="E3522" s="15" t="str">
        <f>IFERROR(__xludf.DUMMYFUNCTION("""COMPUTED_VALUE"""),"Pan de Waffle")</f>
        <v>Pan de Waffle</v>
      </c>
      <c r="F3522" s="17" t="str">
        <f>IFERROR(__xludf.DUMMYFUNCTION("""COMPUTED_VALUE"""),"Carrera 35a # 54 - 113 / Carrera 35a # 54 - 113 / Carrera 35a # 54 - 113")</f>
        <v>Carrera 35a # 54 - 113 / Carrera 35a # 54 - 113 / Carrera 35a # 54 - 113</v>
      </c>
      <c r="G3522" s="15" t="str">
        <f>IFERROR(__xludf.DUMMYFUNCTION("""COMPUTED_VALUE"""),"FOODOLOGY BUCARAMANGA")</f>
        <v>FOODOLOGY BUCARAMANGA</v>
      </c>
      <c r="H3522" s="16">
        <f>IFERROR(__xludf.DUMMYFUNCTION("""COMPUTED_VALUE"""),12047.0)</f>
        <v>12047</v>
      </c>
      <c r="I3522" s="18">
        <f>IFERROR(__xludf.DUMMYFUNCTION("""COMPUTED_VALUE"""),30.0)</f>
        <v>30</v>
      </c>
      <c r="J3522" s="18">
        <f>IFERROR(__xludf.DUMMYFUNCTION("""COMPUTED_VALUE"""),40.0)</f>
        <v>40</v>
      </c>
      <c r="K3522" s="18">
        <f>IFERROR(__xludf.DUMMYFUNCTION("""COMPUTED_VALUE"""),30.0)</f>
        <v>30</v>
      </c>
      <c r="L3522" s="17">
        <f>IFERROR(__xludf.DUMMYFUNCTION("""COMPUTED_VALUE"""),3.017001909E9)</f>
        <v>3017001909</v>
      </c>
      <c r="M3522" s="17" t="str">
        <f>IFERROR(__xludf.DUMMYFUNCTION("""COMPUTED_VALUE"""),"#REF!")</f>
        <v>#REF!</v>
      </c>
      <c r="N3522" s="17"/>
      <c r="O3522" s="17"/>
      <c r="P3522" s="17" t="b">
        <f>IFERROR(__xludf.DUMMYFUNCTION("""COMPUTED_VALUE"""),FALSE)</f>
        <v>0</v>
      </c>
      <c r="Q3522" s="20" t="str">
        <f>IFERROR(__xludf.DUMMYFUNCTION("""COMPUTED_VALUE"""),"")</f>
        <v/>
      </c>
      <c r="R3522" s="22" t="str">
        <f>IFERROR(__xludf.DUMMYFUNCTION("""COMPUTED_VALUE"""),"")</f>
        <v/>
      </c>
    </row>
    <row r="3523">
      <c r="A3523" s="15">
        <f>IFERROR(__xludf.DUMMYFUNCTION("""COMPUTED_VALUE"""),45104.0)</f>
        <v>45104</v>
      </c>
      <c r="B3523" s="16" t="str">
        <f>IFERROR(__xludf.DUMMYFUNCTION("""COMPUTED_VALUE"""),"José Miguel Bonilla")</f>
        <v>José Miguel Bonilla</v>
      </c>
      <c r="C3523" s="15" t="str">
        <f>IFERROR(__xludf.DUMMYFUNCTION("""COMPUTED_VALUE"""),"BUCARAMANGA")</f>
        <v>BUCARAMANGA</v>
      </c>
      <c r="D3523" s="15" t="str">
        <f>IFERROR(__xludf.DUMMYFUNCTION("""COMPUTED_VALUE"""),"MEDELLÍN")</f>
        <v>MEDELLÍN</v>
      </c>
      <c r="E3523" s="15" t="str">
        <f>IFERROR(__xludf.DUMMYFUNCTION("""COMPUTED_VALUE"""),"Rambla")</f>
        <v>Rambla</v>
      </c>
      <c r="F3523" s="17" t="str">
        <f>IFERROR(__xludf.DUMMYFUNCTION("""COMPUTED_VALUE"""),"CR 36 52 45 LC 2 BRR CABECERA / NA / NA")</f>
        <v>CR 36 52 45 LC 2 BRR CABECERA / NA / NA</v>
      </c>
      <c r="G3523" s="15" t="str">
        <f>IFERROR(__xludf.DUMMYFUNCTION("""COMPUTED_VALUE"""),"Olivetta")</f>
        <v>Olivetta</v>
      </c>
      <c r="H3523" s="16">
        <f>IFERROR(__xludf.DUMMYFUNCTION("""COMPUTED_VALUE"""),12098.0)</f>
        <v>12098</v>
      </c>
      <c r="I3523" s="18">
        <f>IFERROR(__xludf.DUMMYFUNCTION("""COMPUTED_VALUE"""),20.0)</f>
        <v>20</v>
      </c>
      <c r="J3523" s="18">
        <f>IFERROR(__xludf.DUMMYFUNCTION("""COMPUTED_VALUE"""),23.0)</f>
        <v>23</v>
      </c>
      <c r="K3523" s="18">
        <f>IFERROR(__xludf.DUMMYFUNCTION("""COMPUTED_VALUE"""),27.0)</f>
        <v>27</v>
      </c>
      <c r="L3523" s="17">
        <f>IFERROR(__xludf.DUMMYFUNCTION("""COMPUTED_VALUE"""),3.043874601E9)</f>
        <v>3043874601</v>
      </c>
      <c r="M3523" s="17" t="str">
        <f>IFERROR(__xludf.DUMMYFUNCTION("""COMPUTED_VALUE"""),"#REF!")</f>
        <v>#REF!</v>
      </c>
      <c r="N3523" s="17"/>
      <c r="O3523" s="17"/>
      <c r="P3523" s="17" t="b">
        <f>IFERROR(__xludf.DUMMYFUNCTION("""COMPUTED_VALUE"""),FALSE)</f>
        <v>0</v>
      </c>
      <c r="Q3523" s="20" t="str">
        <f>IFERROR(__xludf.DUMMYFUNCTION("""COMPUTED_VALUE"""),"")</f>
        <v/>
      </c>
      <c r="R3523" s="22" t="str">
        <f>IFERROR(__xludf.DUMMYFUNCTION("""COMPUTED_VALUE"""),"")</f>
        <v/>
      </c>
    </row>
    <row r="3524">
      <c r="A3524" s="15">
        <f>IFERROR(__xludf.DUMMYFUNCTION("""COMPUTED_VALUE"""),45104.0)</f>
        <v>45104</v>
      </c>
      <c r="B3524" s="16" t="str">
        <f>IFERROR(__xludf.DUMMYFUNCTION("""COMPUTED_VALUE"""),"José Miguel Bonilla")</f>
        <v>José Miguel Bonilla</v>
      </c>
      <c r="C3524" s="15" t="str">
        <f>IFERROR(__xludf.DUMMYFUNCTION("""COMPUTED_VALUE"""),"FLORIDABLANCA")</f>
        <v>FLORIDABLANCA</v>
      </c>
      <c r="D3524" s="15" t="str">
        <f>IFERROR(__xludf.DUMMYFUNCTION("""COMPUTED_VALUE"""),"BOGOTÁ")</f>
        <v>BOGOTÁ</v>
      </c>
      <c r="E3524" s="15" t="str">
        <f>IFERROR(__xludf.DUMMYFUNCTION("""COMPUTED_VALUE"""),"Asociacion Agropecuaria Juana Maria")</f>
        <v>Asociacion Agropecuaria Juana Maria</v>
      </c>
      <c r="F3524" s="17" t="str">
        <f>IFERROR(__xludf.DUMMYFUNCTION("""COMPUTED_VALUE"""),"Calle 19 #11-37 Guanatá FLORIDABLANCA")</f>
        <v>Calle 19 #11-37 Guanatá FLORIDABLANCA</v>
      </c>
      <c r="G3524" s="15" t="str">
        <f>IFERROR(__xludf.DUMMYFUNCTION("""COMPUTED_VALUE"""),"Claudia Gonzalez")</f>
        <v>Claudia Gonzalez</v>
      </c>
      <c r="H3524" s="16">
        <f>IFERROR(__xludf.DUMMYFUNCTION("""COMPUTED_VALUE"""),12021.0)</f>
        <v>12021</v>
      </c>
      <c r="I3524" s="18">
        <f>IFERROR(__xludf.DUMMYFUNCTION("""COMPUTED_VALUE"""),21.0)</f>
        <v>21</v>
      </c>
      <c r="J3524" s="18">
        <f>IFERROR(__xludf.DUMMYFUNCTION("""COMPUTED_VALUE"""),37.0)</f>
        <v>37</v>
      </c>
      <c r="K3524" s="18">
        <f>IFERROR(__xludf.DUMMYFUNCTION("""COMPUTED_VALUE"""),30.0)</f>
        <v>30</v>
      </c>
      <c r="L3524" s="17">
        <f>IFERROR(__xludf.DUMMYFUNCTION("""COMPUTED_VALUE"""),3.002802001E9)</f>
        <v>3002802001</v>
      </c>
      <c r="M3524" s="17" t="str">
        <f>IFERROR(__xludf.DUMMYFUNCTION("""COMPUTED_VALUE"""),"#REF!")</f>
        <v>#REF!</v>
      </c>
      <c r="N3524" s="17"/>
      <c r="O3524" s="17"/>
      <c r="P3524" s="17" t="b">
        <f>IFERROR(__xludf.DUMMYFUNCTION("""COMPUTED_VALUE"""),FALSE)</f>
        <v>0</v>
      </c>
      <c r="Q3524" s="20" t="str">
        <f>IFERROR(__xludf.DUMMYFUNCTION("""COMPUTED_VALUE"""),"")</f>
        <v/>
      </c>
      <c r="R3524" s="21" t="str">
        <f>IFERROR(__xludf.DUMMYFUNCTION("""COMPUTED_VALUE"""),"https://drive.google.com/file/d/1MknjJ5gJCfvMBAnVJ0WJUmuNFwvS0CgR/view?usp=drivesdk")</f>
        <v>https://drive.google.com/file/d/1MknjJ5gJCfvMBAnVJ0WJUmuNFwvS0CgR/view?usp=drivesdk</v>
      </c>
    </row>
    <row r="3525">
      <c r="A3525" s="15">
        <f>IFERROR(__xludf.DUMMYFUNCTION("""COMPUTED_VALUE"""),45104.0)</f>
        <v>45104</v>
      </c>
      <c r="B3525" s="16" t="str">
        <f>IFERROR(__xludf.DUMMYFUNCTION("""COMPUTED_VALUE"""),"José Miguel Bonilla")</f>
        <v>José Miguel Bonilla</v>
      </c>
      <c r="C3525" s="15" t="str">
        <f>IFERROR(__xludf.DUMMYFUNCTION("""COMPUTED_VALUE"""),"GIRÓN")</f>
        <v>GIRÓN</v>
      </c>
      <c r="D3525" s="15" t="str">
        <f>IFERROR(__xludf.DUMMYFUNCTION("""COMPUTED_VALUE"""),"BOGOTÁ")</f>
        <v>BOGOTÁ</v>
      </c>
      <c r="E3525" s="15" t="str">
        <f>IFERROR(__xludf.DUMMYFUNCTION("""COMPUTED_VALUE"""),"Evamazzita")</f>
        <v>Evamazzita</v>
      </c>
      <c r="F3525" s="17" t="str">
        <f>IFERROR(__xludf.DUMMYFUNCTION("""COMPUTED_VALUE"""),"CRA 11C No. 11 - 03  / TORRE 1 APTO 303 CONJUNTO RESIDENCIAL VIENTO  / BARRIO PRADOS DE CATALUÑA")</f>
        <v>CRA 11C No. 11 - 03  / TORRE 1 APTO 303 CONJUNTO RESIDENCIAL VIENTO  / BARRIO PRADOS DE CATALUÑA</v>
      </c>
      <c r="G3525" s="15" t="str">
        <f>IFERROR(__xludf.DUMMYFUNCTION("""COMPUTED_VALUE"""),"JEIDY MARIAN CALDERON LONDOÑO")</f>
        <v>JEIDY MARIAN CALDERON LONDOÑO</v>
      </c>
      <c r="H3525" s="16">
        <f>IFERROR(__xludf.DUMMYFUNCTION("""COMPUTED_VALUE"""),12059.0)</f>
        <v>12059</v>
      </c>
      <c r="I3525" s="18">
        <f>IFERROR(__xludf.DUMMYFUNCTION("""COMPUTED_VALUE"""),1.0)</f>
        <v>1</v>
      </c>
      <c r="J3525" s="18">
        <f>IFERROR(__xludf.DUMMYFUNCTION("""COMPUTED_VALUE"""),1.0)</f>
        <v>1</v>
      </c>
      <c r="K3525" s="18">
        <f>IFERROR(__xludf.DUMMYFUNCTION("""COMPUTED_VALUE"""),1.0)</f>
        <v>1</v>
      </c>
      <c r="L3525" s="17">
        <f>IFERROR(__xludf.DUMMYFUNCTION("""COMPUTED_VALUE"""),3.118561523E9)</f>
        <v>3118561523</v>
      </c>
      <c r="M3525" s="17" t="str">
        <f>IFERROR(__xludf.DUMMYFUNCTION("""COMPUTED_VALUE"""),"#REF!")</f>
        <v>#REF!</v>
      </c>
      <c r="N3525" s="17"/>
      <c r="O3525" s="17"/>
      <c r="P3525" s="17" t="b">
        <f>IFERROR(__xludf.DUMMYFUNCTION("""COMPUTED_VALUE"""),FALSE)</f>
        <v>0</v>
      </c>
      <c r="Q3525" s="20" t="str">
        <f>IFERROR(__xludf.DUMMYFUNCTION("""COMPUTED_VALUE"""),"")</f>
        <v/>
      </c>
      <c r="R3525" s="22" t="str">
        <f>IFERROR(__xludf.DUMMYFUNCTION("""COMPUTED_VALUE"""),"")</f>
        <v/>
      </c>
    </row>
    <row r="3526">
      <c r="A3526" s="15">
        <f>IFERROR(__xludf.DUMMYFUNCTION("""COMPUTED_VALUE"""),45104.0)</f>
        <v>45104</v>
      </c>
      <c r="B3526" s="16" t="str">
        <f>IFERROR(__xludf.DUMMYFUNCTION("""COMPUTED_VALUE"""),"José Miguel Bonilla")</f>
        <v>José Miguel Bonilla</v>
      </c>
      <c r="C3526" s="15" t="str">
        <f>IFERROR(__xludf.DUMMYFUNCTION("""COMPUTED_VALUE"""),"PEREIRA")</f>
        <v>PEREIRA</v>
      </c>
      <c r="D3526" s="15" t="str">
        <f>IFERROR(__xludf.DUMMYFUNCTION("""COMPUTED_VALUE"""),"MEDELLÍN")</f>
        <v>MEDELLÍN</v>
      </c>
      <c r="E3526" s="15" t="str">
        <f>IFERROR(__xludf.DUMMYFUNCTION("""COMPUTED_VALUE"""),"TOLEDALES S.A.S")</f>
        <v>TOLEDALES S.A.S</v>
      </c>
      <c r="F3526" s="17" t="str">
        <f>IFERROR(__xludf.DUMMYFUNCTION("""COMPUTED_VALUE"""),"Conjunto Palo verde")</f>
        <v>Conjunto Palo verde</v>
      </c>
      <c r="G3526" s="15" t="str">
        <f>IFERROR(__xludf.DUMMYFUNCTION("""COMPUTED_VALUE"""),"Sara Valencia")</f>
        <v>Sara Valencia</v>
      </c>
      <c r="H3526" s="16">
        <f>IFERROR(__xludf.DUMMYFUNCTION("""COMPUTED_VALUE"""),12034.0)</f>
        <v>12034</v>
      </c>
      <c r="I3526" s="18">
        <f>IFERROR(__xludf.DUMMYFUNCTION("""COMPUTED_VALUE"""),3.0)</f>
        <v>3</v>
      </c>
      <c r="J3526" s="18">
        <f>IFERROR(__xludf.DUMMYFUNCTION("""COMPUTED_VALUE"""),14.0)</f>
        <v>14</v>
      </c>
      <c r="K3526" s="18">
        <f>IFERROR(__xludf.DUMMYFUNCTION("""COMPUTED_VALUE"""),24.0)</f>
        <v>24</v>
      </c>
      <c r="L3526" s="17">
        <f>IFERROR(__xludf.DUMMYFUNCTION("""COMPUTED_VALUE"""),3.117523054E9)</f>
        <v>3117523054</v>
      </c>
      <c r="M3526" s="17" t="str">
        <f>IFERROR(__xludf.DUMMYFUNCTION("""COMPUTED_VALUE"""),"#REF!")</f>
        <v>#REF!</v>
      </c>
      <c r="N3526" s="17"/>
      <c r="O3526" s="17"/>
      <c r="P3526" s="17" t="b">
        <f>IFERROR(__xludf.DUMMYFUNCTION("""COMPUTED_VALUE"""),FALSE)</f>
        <v>0</v>
      </c>
      <c r="Q3526" s="20" t="str">
        <f>IFERROR(__xludf.DUMMYFUNCTION("""COMPUTED_VALUE"""),"")</f>
        <v/>
      </c>
      <c r="R3526" s="21" t="str">
        <f>IFERROR(__xludf.DUMMYFUNCTION("""COMPUTED_VALUE"""),"https://drive.google.com/file/d/1pbgJP4yznWTIFLdiTFBc_9HJqFYnKMlR/view?usp=drivesdk")</f>
        <v>https://drive.google.com/file/d/1pbgJP4yznWTIFLdiTFBc_9HJqFYnKMlR/view?usp=drivesdk</v>
      </c>
    </row>
    <row r="3527">
      <c r="A3527" s="15">
        <f>IFERROR(__xludf.DUMMYFUNCTION("""COMPUTED_VALUE"""),45104.0)</f>
        <v>45104</v>
      </c>
      <c r="B3527" s="16" t="str">
        <f>IFERROR(__xludf.DUMMYFUNCTION("""COMPUTED_VALUE"""),"José Miguel Bonilla")</f>
        <v>José Miguel Bonilla</v>
      </c>
      <c r="C3527" s="15" t="str">
        <f>IFERROR(__xludf.DUMMYFUNCTION("""COMPUTED_VALUE"""),"PEREIRA")</f>
        <v>PEREIRA</v>
      </c>
      <c r="D3527" s="15" t="str">
        <f>IFERROR(__xludf.DUMMYFUNCTION("""COMPUTED_VALUE"""),"MEDELLÍN")</f>
        <v>MEDELLÍN</v>
      </c>
      <c r="E3527" s="15" t="str">
        <f>IFERROR(__xludf.DUMMYFUNCTION("""COMPUTED_VALUE"""),"TOLEDALES S.A.S")</f>
        <v>TOLEDALES S.A.S</v>
      </c>
      <c r="F3527" s="17" t="str">
        <f>IFERROR(__xludf.DUMMYFUNCTION("""COMPUTED_VALUE"""),"Manzana 42")</f>
        <v>Manzana 42</v>
      </c>
      <c r="G3527" s="15" t="str">
        <f>IFERROR(__xludf.DUMMYFUNCTION("""COMPUTED_VALUE"""),"luz omaida jimenez")</f>
        <v>luz omaida jimenez</v>
      </c>
      <c r="H3527" s="16">
        <f>IFERROR(__xludf.DUMMYFUNCTION("""COMPUTED_VALUE"""),12035.0)</f>
        <v>12035</v>
      </c>
      <c r="I3527" s="18">
        <f>IFERROR(__xludf.DUMMYFUNCTION("""COMPUTED_VALUE"""),4.0)</f>
        <v>4</v>
      </c>
      <c r="J3527" s="18">
        <f>IFERROR(__xludf.DUMMYFUNCTION("""COMPUTED_VALUE"""),9.0)</f>
        <v>9</v>
      </c>
      <c r="K3527" s="18">
        <f>IFERROR(__xludf.DUMMYFUNCTION("""COMPUTED_VALUE"""),30.0)</f>
        <v>30</v>
      </c>
      <c r="L3527" s="17">
        <f>IFERROR(__xludf.DUMMYFUNCTION("""COMPUTED_VALUE"""),3.14562573E9)</f>
        <v>3145625730</v>
      </c>
      <c r="M3527" s="17" t="str">
        <f>IFERROR(__xludf.DUMMYFUNCTION("""COMPUTED_VALUE"""),"#REF!")</f>
        <v>#REF!</v>
      </c>
      <c r="N3527" s="17"/>
      <c r="O3527" s="17"/>
      <c r="P3527" s="17" t="b">
        <f>IFERROR(__xludf.DUMMYFUNCTION("""COMPUTED_VALUE"""),FALSE)</f>
        <v>0</v>
      </c>
      <c r="Q3527" s="20" t="str">
        <f>IFERROR(__xludf.DUMMYFUNCTION("""COMPUTED_VALUE"""),"")</f>
        <v/>
      </c>
      <c r="R3527" s="21" t="str">
        <f>IFERROR(__xludf.DUMMYFUNCTION("""COMPUTED_VALUE"""),"https://drive.google.com/file/d/1lAFPjtV0_dNQZGsTygxZNhT2M9bISJ3r/view?usp=drivesdk")</f>
        <v>https://drive.google.com/file/d/1lAFPjtV0_dNQZGsTygxZNhT2M9bISJ3r/view?usp=drivesdk</v>
      </c>
    </row>
    <row r="3528">
      <c r="A3528" s="17" t="str">
        <f>IFERROR(__xludf.DUMMYFUNCTION("""COMPUTED_VALUE"""),"")</f>
        <v/>
      </c>
      <c r="B3528" s="17" t="str">
        <f>IFERROR(__xludf.DUMMYFUNCTION("""COMPUTED_VALUE"""),"")</f>
        <v/>
      </c>
      <c r="C3528" s="17" t="str">
        <f>IFERROR(__xludf.DUMMYFUNCTION("""COMPUTED_VALUE"""),"")</f>
        <v/>
      </c>
      <c r="D3528" s="17" t="str">
        <f>IFERROR(__xludf.DUMMYFUNCTION("""COMPUTED_VALUE"""),"")</f>
        <v/>
      </c>
      <c r="E3528" s="17" t="str">
        <f>IFERROR(__xludf.DUMMYFUNCTION("""COMPUTED_VALUE"""),"")</f>
        <v/>
      </c>
      <c r="F3528" s="17" t="str">
        <f>IFERROR(__xludf.DUMMYFUNCTION("""COMPUTED_VALUE"""),"")</f>
        <v/>
      </c>
      <c r="G3528" s="17" t="str">
        <f>IFERROR(__xludf.DUMMYFUNCTION("""COMPUTED_VALUE"""),"")</f>
        <v/>
      </c>
      <c r="H3528" s="17" t="str">
        <f>IFERROR(__xludf.DUMMYFUNCTION("""COMPUTED_VALUE"""),"")</f>
        <v/>
      </c>
      <c r="I3528" s="17" t="str">
        <f>IFERROR(__xludf.DUMMYFUNCTION("""COMPUTED_VALUE"""),"")</f>
        <v/>
      </c>
      <c r="J3528" s="17" t="str">
        <f>IFERROR(__xludf.DUMMYFUNCTION("""COMPUTED_VALUE"""),"")</f>
        <v/>
      </c>
      <c r="K3528" s="17" t="str">
        <f>IFERROR(__xludf.DUMMYFUNCTION("""COMPUTED_VALUE"""),"")</f>
        <v/>
      </c>
      <c r="L3528" s="17" t="str">
        <f>IFERROR(__xludf.DUMMYFUNCTION("""COMPUTED_VALUE"""),"")</f>
        <v/>
      </c>
      <c r="M3528" s="17" t="str">
        <f>IFERROR(__xludf.DUMMYFUNCTION("""COMPUTED_VALUE"""),"")</f>
        <v/>
      </c>
      <c r="N3528" s="17" t="str">
        <f>IFERROR(__xludf.DUMMYFUNCTION("""COMPUTED_VALUE"""),"")</f>
        <v/>
      </c>
      <c r="O3528" s="17" t="str">
        <f>IFERROR(__xludf.DUMMYFUNCTION("""COMPUTED_VALUE"""),"")</f>
        <v/>
      </c>
      <c r="P3528" s="17" t="str">
        <f>IFERROR(__xludf.DUMMYFUNCTION("""COMPUTED_VALUE"""),"")</f>
        <v/>
      </c>
      <c r="Q3528" s="17" t="str">
        <f>IFERROR(__xludf.DUMMYFUNCTION("""COMPUTED_VALUE"""),"")</f>
        <v/>
      </c>
      <c r="R3528" s="17" t="str">
        <f>IFERROR(__xludf.DUMMYFUNCTION("""COMPUTED_VALUE"""),"")</f>
        <v/>
      </c>
    </row>
    <row r="3529">
      <c r="A3529" s="15">
        <f>IFERROR(__xludf.DUMMYFUNCTION("""COMPUTED_VALUE"""),45104.0)</f>
        <v>45104</v>
      </c>
      <c r="B3529" s="16" t="str">
        <f>IFERROR(__xludf.DUMMYFUNCTION("""COMPUTED_VALUE"""),"Oscar Augusto Meneses Osias")</f>
        <v>Oscar Augusto Meneses Osias</v>
      </c>
      <c r="C3529" s="15" t="str">
        <f>IFERROR(__xludf.DUMMYFUNCTION("""COMPUTED_VALUE"""),"MEDELLÍN")</f>
        <v>MEDELLÍN</v>
      </c>
      <c r="D3529" s="15" t="str">
        <f>IFERROR(__xludf.DUMMYFUNCTION("""COMPUTED_VALUE"""),"BOGOTÁ")</f>
        <v>BOGOTÁ</v>
      </c>
      <c r="E3529" s="15" t="str">
        <f>IFERROR(__xludf.DUMMYFUNCTION("""COMPUTED_VALUE"""),"Amavilo")</f>
        <v>Amavilo</v>
      </c>
      <c r="F3529" s="17" t="str">
        <f>IFERROR(__xludf.DUMMYFUNCTION("""COMPUTED_VALUE"""),"Calle7d#43c-36 MEDELLIN  / Calle7d#43c-36 restaurante El Cielo / El poblado")</f>
        <v>Calle7d#43c-36 MEDELLIN  / Calle7d#43c-36 restaurante El Cielo / El poblado</v>
      </c>
      <c r="G3529" s="15" t="str">
        <f>IFERROR(__xludf.DUMMYFUNCTION("""COMPUTED_VALUE"""),"Restaursnte El cielo Medellin Juan camilo Gómez")</f>
        <v>Restaursnte El cielo Medellin Juan camilo Gómez</v>
      </c>
      <c r="H3529" s="16">
        <f>IFERROR(__xludf.DUMMYFUNCTION("""COMPUTED_VALUE"""),12096.0)</f>
        <v>12096</v>
      </c>
      <c r="I3529" s="18">
        <f>IFERROR(__xludf.DUMMYFUNCTION("""COMPUTED_VALUE"""),5.0)</f>
        <v>5</v>
      </c>
      <c r="J3529" s="18">
        <f>IFERROR(__xludf.DUMMYFUNCTION("""COMPUTED_VALUE"""),7.0)</f>
        <v>7</v>
      </c>
      <c r="K3529" s="18">
        <f>IFERROR(__xludf.DUMMYFUNCTION("""COMPUTED_VALUE"""),10.0)</f>
        <v>10</v>
      </c>
      <c r="L3529" s="17">
        <f>IFERROR(__xludf.DUMMYFUNCTION("""COMPUTED_VALUE"""),3.244167723E9)</f>
        <v>3244167723</v>
      </c>
      <c r="M3529" s="17" t="str">
        <f>IFERROR(__xludf.DUMMYFUNCTION("""COMPUTED_VALUE"""),"#REF!")</f>
        <v>#REF!</v>
      </c>
      <c r="N3529" s="17"/>
      <c r="O3529" s="17"/>
      <c r="P3529" s="17" t="b">
        <f>IFERROR(__xludf.DUMMYFUNCTION("""COMPUTED_VALUE"""),FALSE)</f>
        <v>0</v>
      </c>
      <c r="Q3529" s="20" t="str">
        <f>IFERROR(__xludf.DUMMYFUNCTION("""COMPUTED_VALUE"""),"")</f>
        <v/>
      </c>
      <c r="R3529" s="21" t="str">
        <f>IFERROR(__xludf.DUMMYFUNCTION("""COMPUTED_VALUE"""),"https://drive.google.com/file/d/1gasyZko_4TinaLJUbZUWGPDVBubY2PA7/view?usp=drivesdk")</f>
        <v>https://drive.google.com/file/d/1gasyZko_4TinaLJUbZUWGPDVBubY2PA7/view?usp=drivesdk</v>
      </c>
    </row>
    <row r="3530">
      <c r="A3530" s="15">
        <f>IFERROR(__xludf.DUMMYFUNCTION("""COMPUTED_VALUE"""),45104.0)</f>
        <v>45104</v>
      </c>
      <c r="B3530" s="16" t="str">
        <f>IFERROR(__xludf.DUMMYFUNCTION("""COMPUTED_VALUE"""),"Oscar Augusto Meneses Osias")</f>
        <v>Oscar Augusto Meneses Osias</v>
      </c>
      <c r="C3530" s="15" t="str">
        <f>IFERROR(__xludf.DUMMYFUNCTION("""COMPUTED_VALUE"""),"MEDELLÍN")</f>
        <v>MEDELLÍN</v>
      </c>
      <c r="D3530" s="15" t="str">
        <f>IFERROR(__xludf.DUMMYFUNCTION("""COMPUTED_VALUE"""),"BOGOTÁ")</f>
        <v>BOGOTÁ</v>
      </c>
      <c r="E3530" s="15" t="str">
        <f>IFERROR(__xludf.DUMMYFUNCTION("""COMPUTED_VALUE"""),"Asociacion Agropecuaria Juana Maria")</f>
        <v>Asociacion Agropecuaria Juana Maria</v>
      </c>
      <c r="F3530" s="17" t="str">
        <f>IFERROR(__xludf.DUMMYFUNCTION("""COMPUTED_VALUE"""),"Carrera 15 BA # 30D-44 int 201")</f>
        <v>Carrera 15 BA # 30D-44 int 201</v>
      </c>
      <c r="G3530" s="15" t="str">
        <f>IFERROR(__xludf.DUMMYFUNCTION("""COMPUTED_VALUE"""),"Daniela Bedoya Blandon")</f>
        <v>Daniela Bedoya Blandon</v>
      </c>
      <c r="H3530" s="16">
        <f>IFERROR(__xludf.DUMMYFUNCTION("""COMPUTED_VALUE"""),12020.0)</f>
        <v>12020</v>
      </c>
      <c r="I3530" s="18">
        <f>IFERROR(__xludf.DUMMYFUNCTION("""COMPUTED_VALUE"""),21.0)</f>
        <v>21</v>
      </c>
      <c r="J3530" s="18">
        <f>IFERROR(__xludf.DUMMYFUNCTION("""COMPUTED_VALUE"""),37.0)</f>
        <v>37</v>
      </c>
      <c r="K3530" s="18">
        <f>IFERROR(__xludf.DUMMYFUNCTION("""COMPUTED_VALUE"""),30.0)</f>
        <v>30</v>
      </c>
      <c r="L3530" s="17">
        <f>IFERROR(__xludf.DUMMYFUNCTION("""COMPUTED_VALUE"""),3.14672822E9)</f>
        <v>3146728220</v>
      </c>
      <c r="M3530" s="17" t="str">
        <f>IFERROR(__xludf.DUMMYFUNCTION("""COMPUTED_VALUE"""),"#REF!")</f>
        <v>#REF!</v>
      </c>
      <c r="N3530" s="17"/>
      <c r="O3530" s="17"/>
      <c r="P3530" s="17" t="b">
        <f>IFERROR(__xludf.DUMMYFUNCTION("""COMPUTED_VALUE"""),FALSE)</f>
        <v>0</v>
      </c>
      <c r="Q3530" s="20" t="str">
        <f>IFERROR(__xludf.DUMMYFUNCTION("""COMPUTED_VALUE"""),"")</f>
        <v/>
      </c>
      <c r="R3530" s="21" t="str">
        <f>IFERROR(__xludf.DUMMYFUNCTION("""COMPUTED_VALUE"""),"https://drive.google.com/file/d/1eYnn4W6W_IIAj6FQjO3RhqSZd7WgKgut/view?usp=drivesdk")</f>
        <v>https://drive.google.com/file/d/1eYnn4W6W_IIAj6FQjO3RhqSZd7WgKgut/view?usp=drivesdk</v>
      </c>
    </row>
    <row r="3531">
      <c r="A3531" s="15">
        <f>IFERROR(__xludf.DUMMYFUNCTION("""COMPUTED_VALUE"""),45104.0)</f>
        <v>45104</v>
      </c>
      <c r="B3531" s="16" t="str">
        <f>IFERROR(__xludf.DUMMYFUNCTION("""COMPUTED_VALUE"""),"Oscar Augusto Meneses Osias")</f>
        <v>Oscar Augusto Meneses Osias</v>
      </c>
      <c r="C3531" s="15" t="str">
        <f>IFERROR(__xludf.DUMMYFUNCTION("""COMPUTED_VALUE"""),"MEDELLÍN")</f>
        <v>MEDELLÍN</v>
      </c>
      <c r="D3531" s="15" t="str">
        <f>IFERROR(__xludf.DUMMYFUNCTION("""COMPUTED_VALUE"""),"BOGOTÁ")</f>
        <v>BOGOTÁ</v>
      </c>
      <c r="E3531" s="15" t="str">
        <f>IFERROR(__xludf.DUMMYFUNCTION("""COMPUTED_VALUE"""),"Evamazzita")</f>
        <v>Evamazzita</v>
      </c>
      <c r="F3531" s="17" t="str">
        <f>IFERROR(__xludf.DUMMYFUNCTION("""COMPUTED_VALUE"""),"Carrera 46c #80sur-155 / Apto 2705 San José / N/A")</f>
        <v>Carrera 46c #80sur-155 / Apto 2705 San José / N/A</v>
      </c>
      <c r="G3531" s="15" t="str">
        <f>IFERROR(__xludf.DUMMYFUNCTION("""COMPUTED_VALUE"""),"LAURA RUIZ RODRIGUEZ")</f>
        <v>LAURA RUIZ RODRIGUEZ</v>
      </c>
      <c r="H3531" s="16">
        <f>IFERROR(__xludf.DUMMYFUNCTION("""COMPUTED_VALUE"""),12076.0)</f>
        <v>12076</v>
      </c>
      <c r="I3531" s="18">
        <f>IFERROR(__xludf.DUMMYFUNCTION("""COMPUTED_VALUE"""),1.0)</f>
        <v>1</v>
      </c>
      <c r="J3531" s="18">
        <f>IFERROR(__xludf.DUMMYFUNCTION("""COMPUTED_VALUE"""),1.0)</f>
        <v>1</v>
      </c>
      <c r="K3531" s="18">
        <f>IFERROR(__xludf.DUMMYFUNCTION("""COMPUTED_VALUE"""),1.0)</f>
        <v>1</v>
      </c>
      <c r="L3531" s="17">
        <f>IFERROR(__xludf.DUMMYFUNCTION("""COMPUTED_VALUE"""),3.14795531E9)</f>
        <v>3147955310</v>
      </c>
      <c r="M3531" s="17" t="str">
        <f>IFERROR(__xludf.DUMMYFUNCTION("""COMPUTED_VALUE"""),"#REF!")</f>
        <v>#REF!</v>
      </c>
      <c r="N3531" s="17"/>
      <c r="O3531" s="17"/>
      <c r="P3531" s="17" t="b">
        <f>IFERROR(__xludf.DUMMYFUNCTION("""COMPUTED_VALUE"""),FALSE)</f>
        <v>0</v>
      </c>
      <c r="Q3531" s="20" t="str">
        <f>IFERROR(__xludf.DUMMYFUNCTION("""COMPUTED_VALUE"""),"")</f>
        <v/>
      </c>
      <c r="R3531" s="21" t="str">
        <f>IFERROR(__xludf.DUMMYFUNCTION("""COMPUTED_VALUE"""),"https://drive.google.com/file/d/1JAUPJiw-VMpqz3Q2rcF0LHStpYoLz5jW/view?usp=drivesdk")</f>
        <v>https://drive.google.com/file/d/1JAUPJiw-VMpqz3Q2rcF0LHStpYoLz5jW/view?usp=drivesdk</v>
      </c>
    </row>
    <row r="3532">
      <c r="A3532" s="15">
        <f>IFERROR(__xludf.DUMMYFUNCTION("""COMPUTED_VALUE"""),45104.0)</f>
        <v>45104</v>
      </c>
      <c r="B3532" s="16" t="str">
        <f>IFERROR(__xludf.DUMMYFUNCTION("""COMPUTED_VALUE"""),"Oscar Augusto Meneses Osias")</f>
        <v>Oscar Augusto Meneses Osias</v>
      </c>
      <c r="C3532" s="15" t="str">
        <f>IFERROR(__xludf.DUMMYFUNCTION("""COMPUTED_VALUE"""),"MEDELLÍN")</f>
        <v>MEDELLÍN</v>
      </c>
      <c r="D3532" s="15" t="str">
        <f>IFERROR(__xludf.DUMMYFUNCTION("""COMPUTED_VALUE"""),"BOGOTÁ")</f>
        <v>BOGOTÁ</v>
      </c>
      <c r="E3532" s="15" t="str">
        <f>IFERROR(__xludf.DUMMYFUNCTION("""COMPUTED_VALUE"""),"Evamazzita")</f>
        <v>Evamazzita</v>
      </c>
      <c r="F3532" s="17" t="str">
        <f>IFERROR(__xludf.DUMMYFUNCTION("""COMPUTED_VALUE"""),"Carrera 49b # 26 b 59. / Apto 1504 torre 4.  /  Urbanización ciudad central  / Barrio Madera")</f>
        <v>Carrera 49b # 26 b 59. / Apto 1504 torre 4.  /  Urbanización ciudad central  / Barrio Madera</v>
      </c>
      <c r="G3532" s="15" t="str">
        <f>IFERROR(__xludf.DUMMYFUNCTION("""COMPUTED_VALUE"""),"LUISA ROBLEDO")</f>
        <v>LUISA ROBLEDO</v>
      </c>
      <c r="H3532" s="16">
        <f>IFERROR(__xludf.DUMMYFUNCTION("""COMPUTED_VALUE"""),12066.0)</f>
        <v>12066</v>
      </c>
      <c r="I3532" s="18">
        <f>IFERROR(__xludf.DUMMYFUNCTION("""COMPUTED_VALUE"""),1.0)</f>
        <v>1</v>
      </c>
      <c r="J3532" s="18">
        <f>IFERROR(__xludf.DUMMYFUNCTION("""COMPUTED_VALUE"""),1.0)</f>
        <v>1</v>
      </c>
      <c r="K3532" s="18">
        <f>IFERROR(__xludf.DUMMYFUNCTION("""COMPUTED_VALUE"""),1.0)</f>
        <v>1</v>
      </c>
      <c r="L3532" s="17">
        <f>IFERROR(__xludf.DUMMYFUNCTION("""COMPUTED_VALUE"""),3.148075645E9)</f>
        <v>3148075645</v>
      </c>
      <c r="M3532" s="17" t="str">
        <f>IFERROR(__xludf.DUMMYFUNCTION("""COMPUTED_VALUE"""),"#REF!")</f>
        <v>#REF!</v>
      </c>
      <c r="N3532" s="17"/>
      <c r="O3532" s="17"/>
      <c r="P3532" s="17" t="b">
        <f>IFERROR(__xludf.DUMMYFUNCTION("""COMPUTED_VALUE"""),FALSE)</f>
        <v>0</v>
      </c>
      <c r="Q3532" s="20" t="str">
        <f>IFERROR(__xludf.DUMMYFUNCTION("""COMPUTED_VALUE"""),"")</f>
        <v/>
      </c>
      <c r="R3532" s="21" t="str">
        <f>IFERROR(__xludf.DUMMYFUNCTION("""COMPUTED_VALUE"""),"https://drive.google.com/file/d/1c1g7KrywDpPilV2LxcIrJ5sxAKvlsHsD/view?usp=drivesdk")</f>
        <v>https://drive.google.com/file/d/1c1g7KrywDpPilV2LxcIrJ5sxAKvlsHsD/view?usp=drivesdk</v>
      </c>
    </row>
    <row r="3533">
      <c r="A3533" s="15">
        <f>IFERROR(__xludf.DUMMYFUNCTION("""COMPUTED_VALUE"""),45104.0)</f>
        <v>45104</v>
      </c>
      <c r="B3533" s="16" t="str">
        <f>IFERROR(__xludf.DUMMYFUNCTION("""COMPUTED_VALUE"""),"Oscar Augusto Meneses Osias")</f>
        <v>Oscar Augusto Meneses Osias</v>
      </c>
      <c r="C3533" s="15" t="str">
        <f>IFERROR(__xludf.DUMMYFUNCTION("""COMPUTED_VALUE"""),"MEDELLÍN")</f>
        <v>MEDELLÍN</v>
      </c>
      <c r="D3533" s="15" t="str">
        <f>IFERROR(__xludf.DUMMYFUNCTION("""COMPUTED_VALUE"""),"BOGOTÁ")</f>
        <v>BOGOTÁ</v>
      </c>
      <c r="E3533" s="15" t="str">
        <f>IFERROR(__xludf.DUMMYFUNCTION("""COMPUTED_VALUE"""),"Evamazzita")</f>
        <v>Evamazzita</v>
      </c>
      <c r="F3533" s="17" t="str">
        <f>IFERROR(__xludf.DUMMYFUNCTION("""COMPUTED_VALUE"""),"CRA 15 BA No. 34D- 44  / INT 201 BUENOS AIRES / INT 201 BUENOS AIRES")</f>
        <v>CRA 15 BA No. 34D- 44  / INT 201 BUENOS AIRES / INT 201 BUENOS AIRES</v>
      </c>
      <c r="G3533" s="15" t="str">
        <f>IFERROR(__xludf.DUMMYFUNCTION("""COMPUTED_VALUE"""),"DANIELA BEDOYA BLANDON")</f>
        <v>DANIELA BEDOYA BLANDON</v>
      </c>
      <c r="H3533" s="16">
        <f>IFERROR(__xludf.DUMMYFUNCTION("""COMPUTED_VALUE"""),12054.0)</f>
        <v>12054</v>
      </c>
      <c r="I3533" s="18">
        <f>IFERROR(__xludf.DUMMYFUNCTION("""COMPUTED_VALUE"""),17.0)</f>
        <v>17</v>
      </c>
      <c r="J3533" s="18">
        <f>IFERROR(__xludf.DUMMYFUNCTION("""COMPUTED_VALUE"""),34.0)</f>
        <v>34</v>
      </c>
      <c r="K3533" s="18">
        <f>IFERROR(__xludf.DUMMYFUNCTION("""COMPUTED_VALUE"""),13.0)</f>
        <v>13</v>
      </c>
      <c r="L3533" s="17">
        <f>IFERROR(__xludf.DUMMYFUNCTION("""COMPUTED_VALUE"""),3.14672822E9)</f>
        <v>3146728220</v>
      </c>
      <c r="M3533" s="17" t="str">
        <f>IFERROR(__xludf.DUMMYFUNCTION("""COMPUTED_VALUE"""),"#REF!")</f>
        <v>#REF!</v>
      </c>
      <c r="N3533" s="17"/>
      <c r="O3533" s="17"/>
      <c r="P3533" s="17" t="b">
        <f>IFERROR(__xludf.DUMMYFUNCTION("""COMPUTED_VALUE"""),FALSE)</f>
        <v>0</v>
      </c>
      <c r="Q3533" s="20" t="str">
        <f>IFERROR(__xludf.DUMMYFUNCTION("""COMPUTED_VALUE"""),"")</f>
        <v/>
      </c>
      <c r="R3533" s="21" t="str">
        <f>IFERROR(__xludf.DUMMYFUNCTION("""COMPUTED_VALUE"""),"https://drive.google.com/file/d/1naFLTU2hMGqvGRJ_Tx-l47V3a884V4EE/view?usp=drivesdk")</f>
        <v>https://drive.google.com/file/d/1naFLTU2hMGqvGRJ_Tx-l47V3a884V4EE/view?usp=drivesdk</v>
      </c>
    </row>
    <row r="3534">
      <c r="A3534" s="15">
        <f>IFERROR(__xludf.DUMMYFUNCTION("""COMPUTED_VALUE"""),45104.0)</f>
        <v>45104</v>
      </c>
      <c r="B3534" s="16" t="str">
        <f>IFERROR(__xludf.DUMMYFUNCTION("""COMPUTED_VALUE"""),"Oscar Augusto Meneses Osias")</f>
        <v>Oscar Augusto Meneses Osias</v>
      </c>
      <c r="C3534" s="15" t="str">
        <f>IFERROR(__xludf.DUMMYFUNCTION("""COMPUTED_VALUE"""),"MEDELLÍN")</f>
        <v>MEDELLÍN</v>
      </c>
      <c r="D3534" s="15" t="str">
        <f>IFERROR(__xludf.DUMMYFUNCTION("""COMPUTED_VALUE"""),"BOGOTÁ")</f>
        <v>BOGOTÁ</v>
      </c>
      <c r="E3534" s="15" t="str">
        <f>IFERROR(__xludf.DUMMYFUNCTION("""COMPUTED_VALUE"""),"Evamazzita")</f>
        <v>Evamazzita</v>
      </c>
      <c r="F3534" s="17" t="str">
        <f>IFERROR(__xludf.DUMMYFUNCTION("""COMPUTED_VALUE"""),"CRA 20 n 12 sur 424 DuVille 805  Poblado "" /  CRA 20 n 12 sur 424 DuVille 805  Poblado "" / N/A")</f>
        <v>CRA 20 n 12 sur 424 DuVille 805  Poblado " /  CRA 20 n 12 sur 424 DuVille 805  Poblado " / N/A</v>
      </c>
      <c r="G3534" s="15" t="str">
        <f>IFERROR(__xludf.DUMMYFUNCTION("""COMPUTED_VALUE"""),"MANUELA MONSALVE")</f>
        <v>MANUELA MONSALVE</v>
      </c>
      <c r="H3534" s="16">
        <f>IFERROR(__xludf.DUMMYFUNCTION("""COMPUTED_VALUE"""),12071.0)</f>
        <v>12071</v>
      </c>
      <c r="I3534" s="18">
        <f>IFERROR(__xludf.DUMMYFUNCTION("""COMPUTED_VALUE"""),1.0)</f>
        <v>1</v>
      </c>
      <c r="J3534" s="18">
        <f>IFERROR(__xludf.DUMMYFUNCTION("""COMPUTED_VALUE"""),1.0)</f>
        <v>1</v>
      </c>
      <c r="K3534" s="18">
        <f>IFERROR(__xludf.DUMMYFUNCTION("""COMPUTED_VALUE"""),1.0)</f>
        <v>1</v>
      </c>
      <c r="L3534" s="17">
        <f>IFERROR(__xludf.DUMMYFUNCTION("""COMPUTED_VALUE"""),3.18649839E9)</f>
        <v>3186498390</v>
      </c>
      <c r="M3534" s="17" t="str">
        <f>IFERROR(__xludf.DUMMYFUNCTION("""COMPUTED_VALUE"""),"#REF!")</f>
        <v>#REF!</v>
      </c>
      <c r="N3534" s="17"/>
      <c r="O3534" s="17"/>
      <c r="P3534" s="17" t="b">
        <f>IFERROR(__xludf.DUMMYFUNCTION("""COMPUTED_VALUE"""),FALSE)</f>
        <v>0</v>
      </c>
      <c r="Q3534" s="20" t="str">
        <f>IFERROR(__xludf.DUMMYFUNCTION("""COMPUTED_VALUE"""),"")</f>
        <v/>
      </c>
      <c r="R3534" s="21" t="str">
        <f>IFERROR(__xludf.DUMMYFUNCTION("""COMPUTED_VALUE"""),"https://drive.google.com/file/d/1tI6ELlvZ4NFaY8co8Pp9T1ZpUGCVhVPD/view?usp=drivesdk")</f>
        <v>https://drive.google.com/file/d/1tI6ELlvZ4NFaY8co8Pp9T1ZpUGCVhVPD/view?usp=drivesdk</v>
      </c>
    </row>
    <row r="3535">
      <c r="A3535" s="15">
        <f>IFERROR(__xludf.DUMMYFUNCTION("""COMPUTED_VALUE"""),45104.0)</f>
        <v>45104</v>
      </c>
      <c r="B3535" s="16" t="str">
        <f>IFERROR(__xludf.DUMMYFUNCTION("""COMPUTED_VALUE"""),"Oscar Augusto Meneses Osias")</f>
        <v>Oscar Augusto Meneses Osias</v>
      </c>
      <c r="C3535" s="15" t="str">
        <f>IFERROR(__xludf.DUMMYFUNCTION("""COMPUTED_VALUE"""),"MEDELLÍN")</f>
        <v>MEDELLÍN</v>
      </c>
      <c r="D3535" s="15" t="str">
        <f>IFERROR(__xludf.DUMMYFUNCTION("""COMPUTED_VALUE"""),"BOGOTÁ")</f>
        <v>BOGOTÁ</v>
      </c>
      <c r="E3535" s="15" t="str">
        <f>IFERROR(__xludf.DUMMYFUNCTION("""COMPUTED_VALUE"""),"Evamazzita")</f>
        <v>Evamazzita</v>
      </c>
      <c r="F3535" s="17" t="str">
        <f>IFERROR(__xludf.DUMMYFUNCTION("""COMPUTED_VALUE"""),"CRA 20 No. 23SUR -140  / CASA 102 CONJUNTO RESIDENCIAL AVILA  / N/A")</f>
        <v>CRA 20 No. 23SUR -140  / CASA 102 CONJUNTO RESIDENCIAL AVILA  / N/A</v>
      </c>
      <c r="G3535" s="15" t="str">
        <f>IFERROR(__xludf.DUMMYFUNCTION("""COMPUTED_VALUE"""),"CRISTINA DUQUE JARAMILLO")</f>
        <v>CRISTINA DUQUE JARAMILLO</v>
      </c>
      <c r="H3535" s="16">
        <f>IFERROR(__xludf.DUMMYFUNCTION("""COMPUTED_VALUE"""),12069.0)</f>
        <v>12069</v>
      </c>
      <c r="I3535" s="18">
        <f>IFERROR(__xludf.DUMMYFUNCTION("""COMPUTED_VALUE"""),1.0)</f>
        <v>1</v>
      </c>
      <c r="J3535" s="18">
        <f>IFERROR(__xludf.DUMMYFUNCTION("""COMPUTED_VALUE"""),1.0)</f>
        <v>1</v>
      </c>
      <c r="K3535" s="18">
        <f>IFERROR(__xludf.DUMMYFUNCTION("""COMPUTED_VALUE"""),1.0)</f>
        <v>1</v>
      </c>
      <c r="L3535" s="17">
        <f>IFERROR(__xludf.DUMMYFUNCTION("""COMPUTED_VALUE"""),3.217000244E9)</f>
        <v>3217000244</v>
      </c>
      <c r="M3535" s="17" t="str">
        <f>IFERROR(__xludf.DUMMYFUNCTION("""COMPUTED_VALUE"""),"#REF!")</f>
        <v>#REF!</v>
      </c>
      <c r="N3535" s="17"/>
      <c r="O3535" s="17"/>
      <c r="P3535" s="17" t="b">
        <f>IFERROR(__xludf.DUMMYFUNCTION("""COMPUTED_VALUE"""),TRUE)</f>
        <v>1</v>
      </c>
      <c r="Q3535" s="20">
        <f>IFERROR(__xludf.DUMMYFUNCTION("""COMPUTED_VALUE"""),45105.71533899306)</f>
        <v>45105.71534</v>
      </c>
      <c r="R3535" s="21" t="str">
        <f>IFERROR(__xludf.DUMMYFUNCTION("""COMPUTED_VALUE"""),"https://drive.google.com/file/d/1h7c26cj008jVtCMyDwarG053O6DsLpiI/view?usp=drivesdk")</f>
        <v>https://drive.google.com/file/d/1h7c26cj008jVtCMyDwarG053O6DsLpiI/view?usp=drivesdk</v>
      </c>
    </row>
    <row r="3536">
      <c r="A3536" s="15">
        <f>IFERROR(__xludf.DUMMYFUNCTION("""COMPUTED_VALUE"""),45104.0)</f>
        <v>45104</v>
      </c>
      <c r="B3536" s="16" t="str">
        <f>IFERROR(__xludf.DUMMYFUNCTION("""COMPUTED_VALUE"""),"Oscar Augusto Meneses Osias")</f>
        <v>Oscar Augusto Meneses Osias</v>
      </c>
      <c r="C3536" s="15" t="str">
        <f>IFERROR(__xludf.DUMMYFUNCTION("""COMPUTED_VALUE"""),"MEDELLÍN")</f>
        <v>MEDELLÍN</v>
      </c>
      <c r="D3536" s="15" t="str">
        <f>IFERROR(__xludf.DUMMYFUNCTION("""COMPUTED_VALUE"""),"BOGOTÁ")</f>
        <v>BOGOTÁ</v>
      </c>
      <c r="E3536" s="15" t="str">
        <f>IFERROR(__xludf.DUMMYFUNCTION("""COMPUTED_VALUE"""),"Evamazzita")</f>
        <v>Evamazzita</v>
      </c>
      <c r="F3536" s="17" t="str">
        <f>IFERROR(__xludf.DUMMYFUNCTION("""COMPUTED_VALUE"""),"Cra 35 # 65 Sur 135   / EDIFICIO DUBLIN apto 2804 Las lomitas / EDIFICIO DUBLIN apto 2804 Las lomitas")</f>
        <v>Cra 35 # 65 Sur 135   / EDIFICIO DUBLIN apto 2804 Las lomitas / EDIFICIO DUBLIN apto 2804 Las lomitas</v>
      </c>
      <c r="G3536" s="15" t="str">
        <f>IFERROR(__xludf.DUMMYFUNCTION("""COMPUTED_VALUE"""),"VANESSA BEDOYA")</f>
        <v>VANESSA BEDOYA</v>
      </c>
      <c r="H3536" s="16">
        <f>IFERROR(__xludf.DUMMYFUNCTION("""COMPUTED_VALUE"""),12077.0)</f>
        <v>12077</v>
      </c>
      <c r="I3536" s="18">
        <f>IFERROR(__xludf.DUMMYFUNCTION("""COMPUTED_VALUE"""),1.0)</f>
        <v>1</v>
      </c>
      <c r="J3536" s="18">
        <f>IFERROR(__xludf.DUMMYFUNCTION("""COMPUTED_VALUE"""),1.0)</f>
        <v>1</v>
      </c>
      <c r="K3536" s="18">
        <f>IFERROR(__xludf.DUMMYFUNCTION("""COMPUTED_VALUE"""),1.0)</f>
        <v>1</v>
      </c>
      <c r="L3536" s="17">
        <f>IFERROR(__xludf.DUMMYFUNCTION("""COMPUTED_VALUE"""),3.1847212E9)</f>
        <v>3184721200</v>
      </c>
      <c r="M3536" s="17" t="str">
        <f>IFERROR(__xludf.DUMMYFUNCTION("""COMPUTED_VALUE"""),"#REF!")</f>
        <v>#REF!</v>
      </c>
      <c r="N3536" s="17"/>
      <c r="O3536" s="17"/>
      <c r="P3536" s="17" t="b">
        <f>IFERROR(__xludf.DUMMYFUNCTION("""COMPUTED_VALUE"""),FALSE)</f>
        <v>0</v>
      </c>
      <c r="Q3536" s="20" t="str">
        <f>IFERROR(__xludf.DUMMYFUNCTION("""COMPUTED_VALUE"""),"")</f>
        <v/>
      </c>
      <c r="R3536" s="21" t="str">
        <f>IFERROR(__xludf.DUMMYFUNCTION("""COMPUTED_VALUE"""),"https://drive.google.com/file/d/159AQ6zGPvBiehg3s3qe2TcD0K2gF2FQR/view?usp=drivesdk")</f>
        <v>https://drive.google.com/file/d/159AQ6zGPvBiehg3s3qe2TcD0K2gF2FQR/view?usp=drivesdk</v>
      </c>
    </row>
    <row r="3537">
      <c r="A3537" s="15">
        <f>IFERROR(__xludf.DUMMYFUNCTION("""COMPUTED_VALUE"""),45104.0)</f>
        <v>45104</v>
      </c>
      <c r="B3537" s="16" t="str">
        <f>IFERROR(__xludf.DUMMYFUNCTION("""COMPUTED_VALUE"""),"Oscar Augusto Meneses Osias")</f>
        <v>Oscar Augusto Meneses Osias</v>
      </c>
      <c r="C3537" s="15" t="str">
        <f>IFERROR(__xludf.DUMMYFUNCTION("""COMPUTED_VALUE"""),"MEDELLÍN")</f>
        <v>MEDELLÍN</v>
      </c>
      <c r="D3537" s="15" t="str">
        <f>IFERROR(__xludf.DUMMYFUNCTION("""COMPUTED_VALUE"""),"BOGOTÁ")</f>
        <v>BOGOTÁ</v>
      </c>
      <c r="E3537" s="15" t="str">
        <f>IFERROR(__xludf.DUMMYFUNCTION("""COMPUTED_VALUE"""),"Evamazzita")</f>
        <v>Evamazzita</v>
      </c>
      <c r="F3537" s="17" t="str">
        <f>IFERROR(__xludf.DUMMYFUNCTION("""COMPUTED_VALUE"""),"Cra 50 92 67 apto 202 / Cra 50 92 67 apto 202 /  Barrio Aranjuez")</f>
        <v>Cra 50 92 67 apto 202 / Cra 50 92 67 apto 202 /  Barrio Aranjuez</v>
      </c>
      <c r="G3537" s="15" t="str">
        <f>IFERROR(__xludf.DUMMYFUNCTION("""COMPUTED_VALUE"""),"MARISOL ARISTIZABAL")</f>
        <v>MARISOL ARISTIZABAL</v>
      </c>
      <c r="H3537" s="16">
        <f>IFERROR(__xludf.DUMMYFUNCTION("""COMPUTED_VALUE"""),12079.0)</f>
        <v>12079</v>
      </c>
      <c r="I3537" s="18">
        <f>IFERROR(__xludf.DUMMYFUNCTION("""COMPUTED_VALUE"""),1.0)</f>
        <v>1</v>
      </c>
      <c r="J3537" s="18">
        <f>IFERROR(__xludf.DUMMYFUNCTION("""COMPUTED_VALUE"""),1.0)</f>
        <v>1</v>
      </c>
      <c r="K3537" s="18">
        <f>IFERROR(__xludf.DUMMYFUNCTION("""COMPUTED_VALUE"""),11.0)</f>
        <v>11</v>
      </c>
      <c r="L3537" s="17">
        <f>IFERROR(__xludf.DUMMYFUNCTION("""COMPUTED_VALUE"""),3.175756568E9)</f>
        <v>3175756568</v>
      </c>
      <c r="M3537" s="17" t="str">
        <f>IFERROR(__xludf.DUMMYFUNCTION("""COMPUTED_VALUE"""),"#REF!")</f>
        <v>#REF!</v>
      </c>
      <c r="N3537" s="17"/>
      <c r="O3537" s="17"/>
      <c r="P3537" s="17" t="b">
        <f>IFERROR(__xludf.DUMMYFUNCTION("""COMPUTED_VALUE"""),FALSE)</f>
        <v>0</v>
      </c>
      <c r="Q3537" s="20" t="str">
        <f>IFERROR(__xludf.DUMMYFUNCTION("""COMPUTED_VALUE"""),"")</f>
        <v/>
      </c>
      <c r="R3537" s="21" t="str">
        <f>IFERROR(__xludf.DUMMYFUNCTION("""COMPUTED_VALUE"""),"https://drive.google.com/file/d/1GkEJAsC1Ia1ILWaKgS-hBi3GjsWZEDAw/view?usp=drivesdk")</f>
        <v>https://drive.google.com/file/d/1GkEJAsC1Ia1ILWaKgS-hBi3GjsWZEDAw/view?usp=drivesdk</v>
      </c>
    </row>
    <row r="3538">
      <c r="A3538" s="15">
        <f>IFERROR(__xludf.DUMMYFUNCTION("""COMPUTED_VALUE"""),45104.0)</f>
        <v>45104</v>
      </c>
      <c r="B3538" s="16" t="str">
        <f>IFERROR(__xludf.DUMMYFUNCTION("""COMPUTED_VALUE"""),"Oscar Augusto Meneses Osias")</f>
        <v>Oscar Augusto Meneses Osias</v>
      </c>
      <c r="C3538" s="15" t="str">
        <f>IFERROR(__xludf.DUMMYFUNCTION("""COMPUTED_VALUE"""),"MEDELLÍN")</f>
        <v>MEDELLÍN</v>
      </c>
      <c r="D3538" s="15" t="str">
        <f>IFERROR(__xludf.DUMMYFUNCTION("""COMPUTED_VALUE"""),"BOGOTÁ")</f>
        <v>BOGOTÁ</v>
      </c>
      <c r="E3538" s="15" t="str">
        <f>IFERROR(__xludf.DUMMYFUNCTION("""COMPUTED_VALUE"""),"Evamazzita")</f>
        <v>Evamazzita</v>
      </c>
      <c r="F3538" s="17" t="str">
        <f>IFERROR(__xludf.DUMMYFUNCTION("""COMPUTED_VALUE"""),"CRA 55 # 53 A 35  / Apto 1801 Edificio reservas del parque torre 1  / Barrio Artex")</f>
        <v>CRA 55 # 53 A 35  / Apto 1801 Edificio reservas del parque torre 1  / Barrio Artex</v>
      </c>
      <c r="G3538" s="15" t="str">
        <f>IFERROR(__xludf.DUMMYFUNCTION("""COMPUTED_VALUE"""),"MARILI ARANGO")</f>
        <v>MARILI ARANGO</v>
      </c>
      <c r="H3538" s="16">
        <f>IFERROR(__xludf.DUMMYFUNCTION("""COMPUTED_VALUE"""),12070.0)</f>
        <v>12070</v>
      </c>
      <c r="I3538" s="18">
        <f>IFERROR(__xludf.DUMMYFUNCTION("""COMPUTED_VALUE"""),1.0)</f>
        <v>1</v>
      </c>
      <c r="J3538" s="18">
        <f>IFERROR(__xludf.DUMMYFUNCTION("""COMPUTED_VALUE"""),11.0)</f>
        <v>11</v>
      </c>
      <c r="K3538" s="18">
        <f>IFERROR(__xludf.DUMMYFUNCTION("""COMPUTED_VALUE"""),1.0)</f>
        <v>1</v>
      </c>
      <c r="L3538" s="17">
        <f>IFERROR(__xludf.DUMMYFUNCTION("""COMPUTED_VALUE"""),3.11374543E9)</f>
        <v>3113745430</v>
      </c>
      <c r="M3538" s="17" t="str">
        <f>IFERROR(__xludf.DUMMYFUNCTION("""COMPUTED_VALUE"""),"#REF!")</f>
        <v>#REF!</v>
      </c>
      <c r="N3538" s="17"/>
      <c r="O3538" s="17"/>
      <c r="P3538" s="17" t="b">
        <f>IFERROR(__xludf.DUMMYFUNCTION("""COMPUTED_VALUE"""),FALSE)</f>
        <v>0</v>
      </c>
      <c r="Q3538" s="20" t="str">
        <f>IFERROR(__xludf.DUMMYFUNCTION("""COMPUTED_VALUE"""),"")</f>
        <v/>
      </c>
      <c r="R3538" s="21" t="str">
        <f>IFERROR(__xludf.DUMMYFUNCTION("""COMPUTED_VALUE"""),"https://drive.google.com/file/d/1FWw9Vgu84-HMRGpefqni5JVkB4JCltkL/view?usp=drivesdk")</f>
        <v>https://drive.google.com/file/d/1FWw9Vgu84-HMRGpefqni5JVkB4JCltkL/view?usp=drivesdk</v>
      </c>
    </row>
    <row r="3539">
      <c r="A3539" s="15">
        <f>IFERROR(__xludf.DUMMYFUNCTION("""COMPUTED_VALUE"""),45104.0)</f>
        <v>45104</v>
      </c>
      <c r="B3539" s="16" t="str">
        <f>IFERROR(__xludf.DUMMYFUNCTION("""COMPUTED_VALUE"""),"Oscar Augusto Meneses Osias")</f>
        <v>Oscar Augusto Meneses Osias</v>
      </c>
      <c r="C3539" s="15" t="str">
        <f>IFERROR(__xludf.DUMMYFUNCTION("""COMPUTED_VALUE"""),"MEDELLÍN")</f>
        <v>MEDELLÍN</v>
      </c>
      <c r="D3539" s="15" t="str">
        <f>IFERROR(__xludf.DUMMYFUNCTION("""COMPUTED_VALUE"""),"BOGOTÁ")</f>
        <v>BOGOTÁ</v>
      </c>
      <c r="E3539" s="15" t="str">
        <f>IFERROR(__xludf.DUMMYFUNCTION("""COMPUTED_VALUE"""),"Evamazzita")</f>
        <v>Evamazzita</v>
      </c>
      <c r="F3539" s="17" t="str">
        <f>IFERROR(__xludf.DUMMYFUNCTION("""COMPUTED_VALUE"""),"Cra 58 # 60-14 apto 302 buenos aires / Cra 58 # 60-14 apto 302 buenos aires / N/A")</f>
        <v>Cra 58 # 60-14 apto 302 buenos aires / Cra 58 # 60-14 apto 302 buenos aires / N/A</v>
      </c>
      <c r="G3539" s="15" t="str">
        <f>IFERROR(__xludf.DUMMYFUNCTION("""COMPUTED_VALUE"""),"ALEJANDRA MARCELA PEREZ RAMIREZ")</f>
        <v>ALEJANDRA MARCELA PEREZ RAMIREZ</v>
      </c>
      <c r="H3539" s="16">
        <f>IFERROR(__xludf.DUMMYFUNCTION("""COMPUTED_VALUE"""),12068.0)</f>
        <v>12068</v>
      </c>
      <c r="I3539" s="18">
        <f>IFERROR(__xludf.DUMMYFUNCTION("""COMPUTED_VALUE"""),1.0)</f>
        <v>1</v>
      </c>
      <c r="J3539" s="18">
        <f>IFERROR(__xludf.DUMMYFUNCTION("""COMPUTED_VALUE"""),1.0)</f>
        <v>1</v>
      </c>
      <c r="K3539" s="18">
        <f>IFERROR(__xludf.DUMMYFUNCTION("""COMPUTED_VALUE"""),1.0)</f>
        <v>1</v>
      </c>
      <c r="L3539" s="17">
        <f>IFERROR(__xludf.DUMMYFUNCTION("""COMPUTED_VALUE"""),3.136858024E9)</f>
        <v>3136858024</v>
      </c>
      <c r="M3539" s="17" t="str">
        <f>IFERROR(__xludf.DUMMYFUNCTION("""COMPUTED_VALUE"""),"#REF!")</f>
        <v>#REF!</v>
      </c>
      <c r="N3539" s="17"/>
      <c r="O3539" s="17"/>
      <c r="P3539" s="17" t="b">
        <f>IFERROR(__xludf.DUMMYFUNCTION("""COMPUTED_VALUE"""),TRUE)</f>
        <v>1</v>
      </c>
      <c r="Q3539" s="20">
        <f>IFERROR(__xludf.DUMMYFUNCTION("""COMPUTED_VALUE"""),45105.71533899306)</f>
        <v>45105.71534</v>
      </c>
      <c r="R3539" s="21" t="str">
        <f>IFERROR(__xludf.DUMMYFUNCTION("""COMPUTED_VALUE"""),"https://drive.google.com/file/d/1qH2QguqnFWVI2y4JwQG8r0RtYSsAXaJr/view?usp=drivesdk")</f>
        <v>https://drive.google.com/file/d/1qH2QguqnFWVI2y4JwQG8r0RtYSsAXaJr/view?usp=drivesdk</v>
      </c>
    </row>
    <row r="3540">
      <c r="A3540" s="15">
        <f>IFERROR(__xludf.DUMMYFUNCTION("""COMPUTED_VALUE"""),45104.0)</f>
        <v>45104</v>
      </c>
      <c r="B3540" s="16" t="str">
        <f>IFERROR(__xludf.DUMMYFUNCTION("""COMPUTED_VALUE"""),"Oscar Augusto Meneses Osias")</f>
        <v>Oscar Augusto Meneses Osias</v>
      </c>
      <c r="C3540" s="15" t="str">
        <f>IFERROR(__xludf.DUMMYFUNCTION("""COMPUTED_VALUE"""),"MEDELLÍN")</f>
        <v>MEDELLÍN</v>
      </c>
      <c r="D3540" s="15" t="str">
        <f>IFERROR(__xludf.DUMMYFUNCTION("""COMPUTED_VALUE"""),"BOGOTÁ")</f>
        <v>BOGOTÁ</v>
      </c>
      <c r="E3540" s="15" t="str">
        <f>IFERROR(__xludf.DUMMYFUNCTION("""COMPUTED_VALUE"""),"Evamazzita")</f>
        <v>Evamazzita</v>
      </c>
      <c r="F3540" s="17" t="str">
        <f>IFERROR(__xludf.DUMMYFUNCTION("""COMPUTED_VALUE"""),"CRA 65 CALLE 52 - 120  / APTO 1803 EDIFICIO CANTARES DE RIACHUELOS    / B. EL CARMELO")</f>
        <v>CRA 65 CALLE 52 - 120  / APTO 1803 EDIFICIO CANTARES DE RIACHUELOS    / B. EL CARMELO</v>
      </c>
      <c r="G3540" s="15" t="str">
        <f>IFERROR(__xludf.DUMMYFUNCTION("""COMPUTED_VALUE"""),"SARA ISABEL FULLA")</f>
        <v>SARA ISABEL FULLA</v>
      </c>
      <c r="H3540" s="16">
        <f>IFERROR(__xludf.DUMMYFUNCTION("""COMPUTED_VALUE"""),12067.0)</f>
        <v>12067</v>
      </c>
      <c r="I3540" s="18">
        <f>IFERROR(__xludf.DUMMYFUNCTION("""COMPUTED_VALUE"""),1.0)</f>
        <v>1</v>
      </c>
      <c r="J3540" s="18">
        <f>IFERROR(__xludf.DUMMYFUNCTION("""COMPUTED_VALUE"""),1.0)</f>
        <v>1</v>
      </c>
      <c r="K3540" s="18">
        <f>IFERROR(__xludf.DUMMYFUNCTION("""COMPUTED_VALUE"""),1.0)</f>
        <v>1</v>
      </c>
      <c r="L3540" s="17">
        <f>IFERROR(__xludf.DUMMYFUNCTION("""COMPUTED_VALUE"""),3.006755314E9)</f>
        <v>3006755314</v>
      </c>
      <c r="M3540" s="17" t="str">
        <f>IFERROR(__xludf.DUMMYFUNCTION("""COMPUTED_VALUE"""),"#REF!")</f>
        <v>#REF!</v>
      </c>
      <c r="N3540" s="17"/>
      <c r="O3540" s="17"/>
      <c r="P3540" s="17" t="b">
        <f>IFERROR(__xludf.DUMMYFUNCTION("""COMPUTED_VALUE"""),TRUE)</f>
        <v>1</v>
      </c>
      <c r="Q3540" s="20">
        <f>IFERROR(__xludf.DUMMYFUNCTION("""COMPUTED_VALUE"""),45105.71533899306)</f>
        <v>45105.71534</v>
      </c>
      <c r="R3540" s="21" t="str">
        <f>IFERROR(__xludf.DUMMYFUNCTION("""COMPUTED_VALUE"""),"https://drive.google.com/file/d/15gXzzfRTk028ch36rTJDj9my6m6SRSRY/view?usp=drivesdk")</f>
        <v>https://drive.google.com/file/d/15gXzzfRTk028ch36rTJDj9my6m6SRSRY/view?usp=drivesdk</v>
      </c>
    </row>
    <row r="3541">
      <c r="A3541" s="15">
        <f>IFERROR(__xludf.DUMMYFUNCTION("""COMPUTED_VALUE"""),45104.0)</f>
        <v>45104</v>
      </c>
      <c r="B3541" s="16" t="str">
        <f>IFERROR(__xludf.DUMMYFUNCTION("""COMPUTED_VALUE"""),"Oscar Augusto Meneses Osias")</f>
        <v>Oscar Augusto Meneses Osias</v>
      </c>
      <c r="C3541" s="15" t="str">
        <f>IFERROR(__xludf.DUMMYFUNCTION("""COMPUTED_VALUE"""),"MEDELLÍN")</f>
        <v>MEDELLÍN</v>
      </c>
      <c r="D3541" s="15" t="str">
        <f>IFERROR(__xludf.DUMMYFUNCTION("""COMPUTED_VALUE"""),"BOGOTÁ")</f>
        <v>BOGOTÁ</v>
      </c>
      <c r="E3541" s="15" t="str">
        <f>IFERROR(__xludf.DUMMYFUNCTION("""COMPUTED_VALUE"""),"Evamazzita")</f>
        <v>Evamazzita</v>
      </c>
      <c r="F3541" s="17" t="str">
        <f>IFERROR(__xludf.DUMMYFUNCTION("""COMPUTED_VALUE"""),"XRA 100B No. 45 - 5  / SAN JAVIER, CASA KOLACHO (CASA NARANJADA) / SAN JAVIER, CASA KOLACHO (CASA NARANJADA)")</f>
        <v>XRA 100B No. 45 - 5  / SAN JAVIER, CASA KOLACHO (CASA NARANJADA) / SAN JAVIER, CASA KOLACHO (CASA NARANJADA)</v>
      </c>
      <c r="G3541" s="15" t="str">
        <f>IFERROR(__xludf.DUMMYFUNCTION("""COMPUTED_VALUE"""),"MARIA ALEJANDRA POSADA")</f>
        <v>MARIA ALEJANDRA POSADA</v>
      </c>
      <c r="H3541" s="16">
        <f>IFERROR(__xludf.DUMMYFUNCTION("""COMPUTED_VALUE"""),12072.0)</f>
        <v>12072</v>
      </c>
      <c r="I3541" s="18">
        <f>IFERROR(__xludf.DUMMYFUNCTION("""COMPUTED_VALUE"""),1.0)</f>
        <v>1</v>
      </c>
      <c r="J3541" s="18">
        <f>IFERROR(__xludf.DUMMYFUNCTION("""COMPUTED_VALUE"""),1.0)</f>
        <v>1</v>
      </c>
      <c r="K3541" s="18">
        <f>IFERROR(__xludf.DUMMYFUNCTION("""COMPUTED_VALUE"""),1.0)</f>
        <v>1</v>
      </c>
      <c r="L3541" s="17">
        <f>IFERROR(__xludf.DUMMYFUNCTION("""COMPUTED_VALUE"""),3.136878729E9)</f>
        <v>3136878729</v>
      </c>
      <c r="M3541" s="17" t="str">
        <f>IFERROR(__xludf.DUMMYFUNCTION("""COMPUTED_VALUE"""),"#REF!")</f>
        <v>#REF!</v>
      </c>
      <c r="N3541" s="17"/>
      <c r="O3541" s="17"/>
      <c r="P3541" s="17" t="b">
        <f>IFERROR(__xludf.DUMMYFUNCTION("""COMPUTED_VALUE"""),TRUE)</f>
        <v>1</v>
      </c>
      <c r="Q3541" s="20">
        <f>IFERROR(__xludf.DUMMYFUNCTION("""COMPUTED_VALUE"""),45105.71533899306)</f>
        <v>45105.71534</v>
      </c>
      <c r="R3541" s="21" t="str">
        <f>IFERROR(__xludf.DUMMYFUNCTION("""COMPUTED_VALUE"""),"https://drive.google.com/file/d/1NAdaecTYri3PFQCU3jF2ev8NSiX2KQl1/view?usp=drivesdk")</f>
        <v>https://drive.google.com/file/d/1NAdaecTYri3PFQCU3jF2ev8NSiX2KQl1/view?usp=drivesdk</v>
      </c>
    </row>
    <row r="3542">
      <c r="A3542" s="17" t="str">
        <f>IFERROR(__xludf.DUMMYFUNCTION("""COMPUTED_VALUE"""),"")</f>
        <v/>
      </c>
      <c r="B3542" s="17" t="str">
        <f>IFERROR(__xludf.DUMMYFUNCTION("""COMPUTED_VALUE"""),"")</f>
        <v/>
      </c>
      <c r="C3542" s="17" t="str">
        <f>IFERROR(__xludf.DUMMYFUNCTION("""COMPUTED_VALUE"""),"")</f>
        <v/>
      </c>
      <c r="D3542" s="17" t="str">
        <f>IFERROR(__xludf.DUMMYFUNCTION("""COMPUTED_VALUE"""),"")</f>
        <v/>
      </c>
      <c r="E3542" s="17" t="str">
        <f>IFERROR(__xludf.DUMMYFUNCTION("""COMPUTED_VALUE"""),"")</f>
        <v/>
      </c>
      <c r="F3542" s="17" t="str">
        <f>IFERROR(__xludf.DUMMYFUNCTION("""COMPUTED_VALUE"""),"")</f>
        <v/>
      </c>
      <c r="G3542" s="17" t="str">
        <f>IFERROR(__xludf.DUMMYFUNCTION("""COMPUTED_VALUE"""),"")</f>
        <v/>
      </c>
      <c r="H3542" s="17" t="str">
        <f>IFERROR(__xludf.DUMMYFUNCTION("""COMPUTED_VALUE"""),"")</f>
        <v/>
      </c>
      <c r="I3542" s="17" t="str">
        <f>IFERROR(__xludf.DUMMYFUNCTION("""COMPUTED_VALUE"""),"")</f>
        <v/>
      </c>
      <c r="J3542" s="17" t="str">
        <f>IFERROR(__xludf.DUMMYFUNCTION("""COMPUTED_VALUE"""),"")</f>
        <v/>
      </c>
      <c r="K3542" s="17" t="str">
        <f>IFERROR(__xludf.DUMMYFUNCTION("""COMPUTED_VALUE"""),"")</f>
        <v/>
      </c>
      <c r="L3542" s="17" t="str">
        <f>IFERROR(__xludf.DUMMYFUNCTION("""COMPUTED_VALUE"""),"")</f>
        <v/>
      </c>
      <c r="M3542" s="17" t="str">
        <f>IFERROR(__xludf.DUMMYFUNCTION("""COMPUTED_VALUE"""),"")</f>
        <v/>
      </c>
      <c r="N3542" s="17" t="str">
        <f>IFERROR(__xludf.DUMMYFUNCTION("""COMPUTED_VALUE"""),"")</f>
        <v/>
      </c>
      <c r="O3542" s="17" t="str">
        <f>IFERROR(__xludf.DUMMYFUNCTION("""COMPUTED_VALUE"""),"")</f>
        <v/>
      </c>
      <c r="P3542" s="17" t="str">
        <f>IFERROR(__xludf.DUMMYFUNCTION("""COMPUTED_VALUE"""),"")</f>
        <v/>
      </c>
      <c r="Q3542" s="17" t="str">
        <f>IFERROR(__xludf.DUMMYFUNCTION("""COMPUTED_VALUE"""),"")</f>
        <v/>
      </c>
      <c r="R3542" s="17" t="str">
        <f>IFERROR(__xludf.DUMMYFUNCTION("""COMPUTED_VALUE"""),"")</f>
        <v/>
      </c>
    </row>
    <row r="3543">
      <c r="A3543" s="15">
        <f>IFERROR(__xludf.DUMMYFUNCTION("""COMPUTED_VALUE"""),45105.0)</f>
        <v>45105</v>
      </c>
      <c r="B3543" s="17"/>
      <c r="C3543" s="15" t="str">
        <f>IFERROR(__xludf.DUMMYFUNCTION("""COMPUTED_VALUE"""),"BOGOTÁ")</f>
        <v>BOGOTÁ</v>
      </c>
      <c r="D3543" s="15" t="str">
        <f>IFERROR(__xludf.DUMMYFUNCTION("""COMPUTED_VALUE"""),"MEDELLÍN")</f>
        <v>MEDELLÍN</v>
      </c>
      <c r="E3543" s="15" t="str">
        <f>IFERROR(__xludf.DUMMYFUNCTION("""COMPUTED_VALUE"""),"Baby Chef")</f>
        <v>Baby Chef</v>
      </c>
      <c r="F3543" s="17" t="str">
        <f>IFERROR(__xludf.DUMMYFUNCTION("""COMPUTED_VALUE"""),"Cra 116B #77 67 Apto 304 torre 2, conjunto Rincon de Granada II / ""Cra 116B #77 67 Apto 304 torre 2, conjunto Rincon de Granada II"" / ""Cra 116B #77 67 Apto 304 torre 2, conjunto Rincon de Granada II""")</f>
        <v>Cra 116B #77 67 Apto 304 torre 2, conjunto Rincon de Granada II / "Cra 116B #77 67 Apto 304 torre 2, conjunto Rincon de Granada II" / "Cra 116B #77 67 Apto 304 torre 2, conjunto Rincon de Granada II"</v>
      </c>
      <c r="G3543" s="15" t="str">
        <f>IFERROR(__xludf.DUMMYFUNCTION("""COMPUTED_VALUE"""),"Paola Fonseca")</f>
        <v>Paola Fonseca</v>
      </c>
      <c r="H3543" s="16">
        <f>IFERROR(__xludf.DUMMYFUNCTION("""COMPUTED_VALUE"""),12142.0)</f>
        <v>12142</v>
      </c>
      <c r="I3543" s="18">
        <f>IFERROR(__xludf.DUMMYFUNCTION("""COMPUTED_VALUE"""),8.0)</f>
        <v>8</v>
      </c>
      <c r="J3543" s="18">
        <f>IFERROR(__xludf.DUMMYFUNCTION("""COMPUTED_VALUE"""),16.0)</f>
        <v>16</v>
      </c>
      <c r="K3543" s="18">
        <f>IFERROR(__xludf.DUMMYFUNCTION("""COMPUTED_VALUE"""),20.0)</f>
        <v>20</v>
      </c>
      <c r="L3543" s="17">
        <f>IFERROR(__xludf.DUMMYFUNCTION("""COMPUTED_VALUE"""),3.143959451E9)</f>
        <v>3143959451</v>
      </c>
      <c r="M3543" s="17" t="str">
        <f>IFERROR(__xludf.DUMMYFUNCTION("""COMPUTED_VALUE"""),"#REF!")</f>
        <v>#REF!</v>
      </c>
      <c r="N3543" s="17"/>
      <c r="O3543" s="17"/>
      <c r="P3543" s="17" t="b">
        <f>IFERROR(__xludf.DUMMYFUNCTION("""COMPUTED_VALUE"""),TRUE)</f>
        <v>1</v>
      </c>
      <c r="Q3543" s="20">
        <f>IFERROR(__xludf.DUMMYFUNCTION("""COMPUTED_VALUE"""),45105.71533899306)</f>
        <v>45105.71534</v>
      </c>
      <c r="R3543" s="21" t="str">
        <f>IFERROR(__xludf.DUMMYFUNCTION("""COMPUTED_VALUE"""),"https://drive.google.com/file/d/1f-8GQ_g2sffwkMAVxruA_C_hBwARfoLC/view?usp=drivesdk")</f>
        <v>https://drive.google.com/file/d/1f-8GQ_g2sffwkMAVxruA_C_hBwARfoLC/view?usp=drivesdk</v>
      </c>
    </row>
    <row r="3544">
      <c r="A3544" s="15">
        <f>IFERROR(__xludf.DUMMYFUNCTION("""COMPUTED_VALUE"""),45105.0)</f>
        <v>45105</v>
      </c>
      <c r="B3544" s="17"/>
      <c r="C3544" s="15" t="str">
        <f>IFERROR(__xludf.DUMMYFUNCTION("""COMPUTED_VALUE"""),"BOGOTÁ")</f>
        <v>BOGOTÁ</v>
      </c>
      <c r="D3544" s="15" t="str">
        <f>IFERROR(__xludf.DUMMYFUNCTION("""COMPUTED_VALUE"""),"MEDELLÍN")</f>
        <v>MEDELLÍN</v>
      </c>
      <c r="E3544" s="15" t="str">
        <f>IFERROR(__xludf.DUMMYFUNCTION("""COMPUTED_VALUE"""),"Lácteos El Pino SAS")</f>
        <v>Lácteos El Pino SAS</v>
      </c>
      <c r="F3544" s="17" t="str">
        <f>IFERROR(__xludf.DUMMYFUNCTION("""COMPUTED_VALUE"""),"CALLE 93# 18 -81 / ENTREGAR EN EL LOCAL")</f>
        <v>CALLE 93# 18 -81 / ENTREGAR EN EL LOCAL</v>
      </c>
      <c r="G3544" s="15" t="str">
        <f>IFERROR(__xludf.DUMMYFUNCTION("""COMPUTED_VALUE"""),"KIM")</f>
        <v>KIM</v>
      </c>
      <c r="H3544" s="16">
        <f>IFERROR(__xludf.DUMMYFUNCTION("""COMPUTED_VALUE"""),12115.0)</f>
        <v>12115</v>
      </c>
      <c r="I3544" s="18">
        <f>IFERROR(__xludf.DUMMYFUNCTION("""COMPUTED_VALUE"""),33.0)</f>
        <v>33</v>
      </c>
      <c r="J3544" s="18">
        <f>IFERROR(__xludf.DUMMYFUNCTION("""COMPUTED_VALUE"""),22.0)</f>
        <v>22</v>
      </c>
      <c r="K3544" s="18">
        <f>IFERROR(__xludf.DUMMYFUNCTION("""COMPUTED_VALUE"""),36.0)</f>
        <v>36</v>
      </c>
      <c r="L3544" s="17"/>
      <c r="M3544" s="17" t="str">
        <f>IFERROR(__xludf.DUMMYFUNCTION("""COMPUTED_VALUE"""),"#REF!")</f>
        <v>#REF!</v>
      </c>
      <c r="N3544" s="17"/>
      <c r="O3544" s="17"/>
      <c r="P3544" s="17" t="b">
        <f>IFERROR(__xludf.DUMMYFUNCTION("""COMPUTED_VALUE"""),TRUE)</f>
        <v>1</v>
      </c>
      <c r="Q3544" s="20">
        <f>IFERROR(__xludf.DUMMYFUNCTION("""COMPUTED_VALUE"""),45105.71533899306)</f>
        <v>45105.71534</v>
      </c>
      <c r="R3544" s="21" t="str">
        <f>IFERROR(__xludf.DUMMYFUNCTION("""COMPUTED_VALUE"""),"https://drive.google.com/file/d/19YZ7GMjyx0zvPOBPFLK0xK37U37LPHpk/view?usp=drivesdk")</f>
        <v>https://drive.google.com/file/d/19YZ7GMjyx0zvPOBPFLK0xK37U37LPHpk/view?usp=drivesdk</v>
      </c>
    </row>
    <row r="3545">
      <c r="A3545" s="17" t="str">
        <f>IFERROR(__xludf.DUMMYFUNCTION("""COMPUTED_VALUE"""),"")</f>
        <v/>
      </c>
      <c r="B3545" s="17" t="str">
        <f>IFERROR(__xludf.DUMMYFUNCTION("""COMPUTED_VALUE"""),"")</f>
        <v/>
      </c>
      <c r="C3545" s="17" t="str">
        <f>IFERROR(__xludf.DUMMYFUNCTION("""COMPUTED_VALUE"""),"")</f>
        <v/>
      </c>
      <c r="D3545" s="17" t="str">
        <f>IFERROR(__xludf.DUMMYFUNCTION("""COMPUTED_VALUE"""),"")</f>
        <v/>
      </c>
      <c r="E3545" s="17" t="str">
        <f>IFERROR(__xludf.DUMMYFUNCTION("""COMPUTED_VALUE"""),"")</f>
        <v/>
      </c>
      <c r="F3545" s="17" t="str">
        <f>IFERROR(__xludf.DUMMYFUNCTION("""COMPUTED_VALUE"""),"")</f>
        <v/>
      </c>
      <c r="G3545" s="17" t="str">
        <f>IFERROR(__xludf.DUMMYFUNCTION("""COMPUTED_VALUE"""),"")</f>
        <v/>
      </c>
      <c r="H3545" s="17" t="str">
        <f>IFERROR(__xludf.DUMMYFUNCTION("""COMPUTED_VALUE"""),"")</f>
        <v/>
      </c>
      <c r="I3545" s="17" t="str">
        <f>IFERROR(__xludf.DUMMYFUNCTION("""COMPUTED_VALUE"""),"")</f>
        <v/>
      </c>
      <c r="J3545" s="17" t="str">
        <f>IFERROR(__xludf.DUMMYFUNCTION("""COMPUTED_VALUE"""),"")</f>
        <v/>
      </c>
      <c r="K3545" s="17" t="str">
        <f>IFERROR(__xludf.DUMMYFUNCTION("""COMPUTED_VALUE"""),"")</f>
        <v/>
      </c>
      <c r="L3545" s="17" t="str">
        <f>IFERROR(__xludf.DUMMYFUNCTION("""COMPUTED_VALUE"""),"")</f>
        <v/>
      </c>
      <c r="M3545" s="17" t="str">
        <f>IFERROR(__xludf.DUMMYFUNCTION("""COMPUTED_VALUE"""),"")</f>
        <v/>
      </c>
      <c r="N3545" s="17" t="str">
        <f>IFERROR(__xludf.DUMMYFUNCTION("""COMPUTED_VALUE"""),"")</f>
        <v/>
      </c>
      <c r="O3545" s="17" t="str">
        <f>IFERROR(__xludf.DUMMYFUNCTION("""COMPUTED_VALUE"""),"")</f>
        <v/>
      </c>
      <c r="P3545" s="17" t="str">
        <f>IFERROR(__xludf.DUMMYFUNCTION("""COMPUTED_VALUE"""),"")</f>
        <v/>
      </c>
      <c r="Q3545" s="17" t="str">
        <f>IFERROR(__xludf.DUMMYFUNCTION("""COMPUTED_VALUE"""),"")</f>
        <v/>
      </c>
      <c r="R3545" s="17" t="str">
        <f>IFERROR(__xludf.DUMMYFUNCTION("""COMPUTED_VALUE"""),"")</f>
        <v/>
      </c>
    </row>
    <row r="3546">
      <c r="A3546" s="15">
        <f>IFERROR(__xludf.DUMMYFUNCTION("""COMPUTED_VALUE"""),45105.0)</f>
        <v>45105</v>
      </c>
      <c r="B3546" s="16" t="str">
        <f>IFERROR(__xludf.DUMMYFUNCTION("""COMPUTED_VALUE"""),"Envia")</f>
        <v>Envia</v>
      </c>
      <c r="C3546" s="15" t="str">
        <f>IFERROR(__xludf.DUMMYFUNCTION("""COMPUTED_VALUE"""),"BOGOTÁ")</f>
        <v>BOGOTÁ</v>
      </c>
      <c r="D3546" s="15" t="str">
        <f>IFERROR(__xludf.DUMMYFUNCTION("""COMPUTED_VALUE"""),"MEDELLÍN")</f>
        <v>MEDELLÍN</v>
      </c>
      <c r="E3546" s="15" t="str">
        <f>IFERROR(__xludf.DUMMYFUNCTION("""COMPUTED_VALUE"""),"Lácteos El Pino SAS")</f>
        <v>Lácteos El Pino SAS</v>
      </c>
      <c r="F3546" s="17" t="str">
        <f>IFERROR(__xludf.DUMMYFUNCTION("""COMPUTED_VALUE"""),"CALLE 119 # 12-55  ESQUINA / SEGUNDO PISO")</f>
        <v>CALLE 119 # 12-55  ESQUINA / SEGUNDO PISO</v>
      </c>
      <c r="G3546" s="15" t="str">
        <f>IFERROR(__xludf.DUMMYFUNCTION("""COMPUTED_VALUE"""),"MI CAMPO")</f>
        <v>MI CAMPO</v>
      </c>
      <c r="H3546" s="16">
        <f>IFERROR(__xludf.DUMMYFUNCTION("""COMPUTED_VALUE"""),12114.0)</f>
        <v>12114</v>
      </c>
      <c r="I3546" s="18">
        <f>IFERROR(__xludf.DUMMYFUNCTION("""COMPUTED_VALUE"""),30.0)</f>
        <v>30</v>
      </c>
      <c r="J3546" s="18">
        <f>IFERROR(__xludf.DUMMYFUNCTION("""COMPUTED_VALUE"""),8.0)</f>
        <v>8</v>
      </c>
      <c r="K3546" s="18">
        <f>IFERROR(__xludf.DUMMYFUNCTION("""COMPUTED_VALUE"""),9.0)</f>
        <v>9</v>
      </c>
      <c r="L3546" s="17"/>
      <c r="M3546" s="17" t="str">
        <f>IFERROR(__xludf.DUMMYFUNCTION("""COMPUTED_VALUE"""),"#REF!")</f>
        <v>#REF!</v>
      </c>
      <c r="N3546" s="17"/>
      <c r="O3546" s="17"/>
      <c r="P3546" s="17" t="b">
        <f>IFERROR(__xludf.DUMMYFUNCTION("""COMPUTED_VALUE"""),TRUE)</f>
        <v>1</v>
      </c>
      <c r="Q3546" s="20">
        <f>IFERROR(__xludf.DUMMYFUNCTION("""COMPUTED_VALUE"""),45105.71533899306)</f>
        <v>45105.71534</v>
      </c>
      <c r="R3546" s="22" t="str">
        <f>IFERROR(__xludf.DUMMYFUNCTION("""COMPUTED_VALUE"""),"")</f>
        <v/>
      </c>
    </row>
    <row r="3547">
      <c r="A3547" s="15">
        <f>IFERROR(__xludf.DUMMYFUNCTION("""COMPUTED_VALUE"""),45105.0)</f>
        <v>45105</v>
      </c>
      <c r="B3547" s="16" t="str">
        <f>IFERROR(__xludf.DUMMYFUNCTION("""COMPUTED_VALUE"""),"Envia")</f>
        <v>Envia</v>
      </c>
      <c r="C3547" s="15" t="str">
        <f>IFERROR(__xludf.DUMMYFUNCTION("""COMPUTED_VALUE"""),"BOGOTÁ")</f>
        <v>BOGOTÁ</v>
      </c>
      <c r="D3547" s="15" t="str">
        <f>IFERROR(__xludf.DUMMYFUNCTION("""COMPUTED_VALUE"""),"MEDELLÍN")</f>
        <v>MEDELLÍN</v>
      </c>
      <c r="E3547" s="15" t="str">
        <f>IFERROR(__xludf.DUMMYFUNCTION("""COMPUTED_VALUE"""),"Moloso S.A.S")</f>
        <v>Moloso S.A.S</v>
      </c>
      <c r="F3547" s="17" t="str">
        <f>IFERROR(__xludf.DUMMYFUNCTION("""COMPUTED_VALUE"""),"AVENIDA CR 15 90 20 / CENTRO DE ACOPIO HENRY DAVID CUBIDES (EL CHICO) LOCAL 109")</f>
        <v>AVENIDA CR 15 90 20 / CENTRO DE ACOPIO HENRY DAVID CUBIDES (EL CHICO) LOCAL 109</v>
      </c>
      <c r="G3547" s="15" t="str">
        <f>IFERROR(__xludf.DUMMYFUNCTION("""COMPUTED_VALUE"""),"MARIA JOSE MELO BONILLA")</f>
        <v>MARIA JOSE MELO BONILLA</v>
      </c>
      <c r="H3547" s="16">
        <f>IFERROR(__xludf.DUMMYFUNCTION("""COMPUTED_VALUE"""),12120.0)</f>
        <v>12120</v>
      </c>
      <c r="I3547" s="18">
        <f>IFERROR(__xludf.DUMMYFUNCTION("""COMPUTED_VALUE"""),17.0)</f>
        <v>17</v>
      </c>
      <c r="J3547" s="18">
        <f>IFERROR(__xludf.DUMMYFUNCTION("""COMPUTED_VALUE"""),15.0)</f>
        <v>15</v>
      </c>
      <c r="K3547" s="18">
        <f>IFERROR(__xludf.DUMMYFUNCTION("""COMPUTED_VALUE"""),28.0)</f>
        <v>28</v>
      </c>
      <c r="L3547" s="17">
        <f>IFERROR(__xludf.DUMMYFUNCTION("""COMPUTED_VALUE"""),3.143504351E9)</f>
        <v>3143504351</v>
      </c>
      <c r="M3547" s="17" t="str">
        <f>IFERROR(__xludf.DUMMYFUNCTION("""COMPUTED_VALUE"""),"#REF!")</f>
        <v>#REF!</v>
      </c>
      <c r="N3547" s="17"/>
      <c r="O3547" s="17"/>
      <c r="P3547" s="17" t="b">
        <f>IFERROR(__xludf.DUMMYFUNCTION("""COMPUTED_VALUE"""),TRUE)</f>
        <v>1</v>
      </c>
      <c r="Q3547" s="20">
        <f>IFERROR(__xludf.DUMMYFUNCTION("""COMPUTED_VALUE"""),45105.71533899306)</f>
        <v>45105.71534</v>
      </c>
      <c r="R3547" s="22" t="str">
        <f>IFERROR(__xludf.DUMMYFUNCTION("""COMPUTED_VALUE"""),"")</f>
        <v/>
      </c>
    </row>
    <row r="3548">
      <c r="A3548" s="15">
        <f>IFERROR(__xludf.DUMMYFUNCTION("""COMPUTED_VALUE"""),45105.0)</f>
        <v>45105</v>
      </c>
      <c r="B3548" s="16" t="str">
        <f>IFERROR(__xludf.DUMMYFUNCTION("""COMPUTED_VALUE"""),"Envia")</f>
        <v>Envia</v>
      </c>
      <c r="C3548" s="15" t="str">
        <f>IFERROR(__xludf.DUMMYFUNCTION("""COMPUTED_VALUE"""),"BOGOTÁ")</f>
        <v>BOGOTÁ</v>
      </c>
      <c r="D3548" s="15" t="str">
        <f>IFERROR(__xludf.DUMMYFUNCTION("""COMPUTED_VALUE"""),"MEDELLÍN")</f>
        <v>MEDELLÍN</v>
      </c>
      <c r="E3548" s="15" t="str">
        <f>IFERROR(__xludf.DUMMYFUNCTION("""COMPUTED_VALUE"""),"Panki Waffle")</f>
        <v>Panki Waffle</v>
      </c>
      <c r="F3548" s="17" t="str">
        <f>IFERROR(__xludf.DUMMYFUNCTION("""COMPUTED_VALUE"""),"Carrera 68 B # 22A-71  / Apto 204 interior 10 / Salitre Club Residencial")</f>
        <v>Carrera 68 B # 22A-71  / Apto 204 interior 10 / Salitre Club Residencial</v>
      </c>
      <c r="G3548" s="15" t="str">
        <f>IFERROR(__xludf.DUMMYFUNCTION("""COMPUTED_VALUE"""),"Esperanza Perez")</f>
        <v>Esperanza Perez</v>
      </c>
      <c r="H3548" s="16">
        <f>IFERROR(__xludf.DUMMYFUNCTION("""COMPUTED_VALUE"""),12084.0)</f>
        <v>12084</v>
      </c>
      <c r="I3548" s="18">
        <f>IFERROR(__xludf.DUMMYFUNCTION("""COMPUTED_VALUE"""),10.0)</f>
        <v>10</v>
      </c>
      <c r="J3548" s="18">
        <f>IFERROR(__xludf.DUMMYFUNCTION("""COMPUTED_VALUE"""),10.0)</f>
        <v>10</v>
      </c>
      <c r="K3548" s="18">
        <f>IFERROR(__xludf.DUMMYFUNCTION("""COMPUTED_VALUE"""),10.0)</f>
        <v>10</v>
      </c>
      <c r="L3548" s="17">
        <f>IFERROR(__xludf.DUMMYFUNCTION("""COMPUTED_VALUE"""),3.108523039E9)</f>
        <v>3108523039</v>
      </c>
      <c r="M3548" s="17" t="str">
        <f>IFERROR(__xludf.DUMMYFUNCTION("""COMPUTED_VALUE"""),"#REF!")</f>
        <v>#REF!</v>
      </c>
      <c r="N3548" s="17"/>
      <c r="O3548" s="17"/>
      <c r="P3548" s="17" t="b">
        <f>IFERROR(__xludf.DUMMYFUNCTION("""COMPUTED_VALUE"""),TRUE)</f>
        <v>1</v>
      </c>
      <c r="Q3548" s="20">
        <f>IFERROR(__xludf.DUMMYFUNCTION("""COMPUTED_VALUE"""),45105.71533899306)</f>
        <v>45105.71534</v>
      </c>
      <c r="R3548" s="22" t="str">
        <f>IFERROR(__xludf.DUMMYFUNCTION("""COMPUTED_VALUE"""),"")</f>
        <v/>
      </c>
    </row>
    <row r="3549">
      <c r="A3549" s="15">
        <f>IFERROR(__xludf.DUMMYFUNCTION("""COMPUTED_VALUE"""),45105.0)</f>
        <v>45105</v>
      </c>
      <c r="B3549" s="16" t="str">
        <f>IFERROR(__xludf.DUMMYFUNCTION("""COMPUTED_VALUE"""),"Envia")</f>
        <v>Envia</v>
      </c>
      <c r="C3549" s="15" t="str">
        <f>IFERROR(__xludf.DUMMYFUNCTION("""COMPUTED_VALUE"""),"BOGOTÁ")</f>
        <v>BOGOTÁ</v>
      </c>
      <c r="D3549" s="15" t="str">
        <f>IFERROR(__xludf.DUMMYFUNCTION("""COMPUTED_VALUE"""),"MEDELLÍN")</f>
        <v>MEDELLÍN</v>
      </c>
      <c r="E3549" s="15" t="str">
        <f>IFERROR(__xludf.DUMMYFUNCTION("""COMPUTED_VALUE"""),"Terravocado")</f>
        <v>Terravocado</v>
      </c>
      <c r="F3549" s="17" t="str">
        <f>IFERROR(__xludf.DUMMYFUNCTION("""COMPUTED_VALUE"""),"CR 13 # 98 - 48 / RICAUTER  / CR 13 # 98 - 48")</f>
        <v>CR 13 # 98 - 48 / RICAUTER  / CR 13 # 98 - 48</v>
      </c>
      <c r="G3549" s="15" t="str">
        <f>IFERROR(__xludf.DUMMYFUNCTION("""COMPUTED_VALUE"""),"ALPARKE SAS")</f>
        <v>ALPARKE SAS</v>
      </c>
      <c r="H3549" s="16">
        <f>IFERROR(__xludf.DUMMYFUNCTION("""COMPUTED_VALUE"""),12014.0)</f>
        <v>12014</v>
      </c>
      <c r="I3549" s="18">
        <f>IFERROR(__xludf.DUMMYFUNCTION("""COMPUTED_VALUE"""),28.0)</f>
        <v>28</v>
      </c>
      <c r="J3549" s="18">
        <f>IFERROR(__xludf.DUMMYFUNCTION("""COMPUTED_VALUE"""),34.0)</f>
        <v>34</v>
      </c>
      <c r="K3549" s="18">
        <f>IFERROR(__xludf.DUMMYFUNCTION("""COMPUTED_VALUE"""),20.0)</f>
        <v>20</v>
      </c>
      <c r="L3549" s="17">
        <f>IFERROR(__xludf.DUMMYFUNCTION("""COMPUTED_VALUE"""),3.227737548E9)</f>
        <v>3227737548</v>
      </c>
      <c r="M3549" s="17" t="str">
        <f>IFERROR(__xludf.DUMMYFUNCTION("""COMPUTED_VALUE"""),"#REF!")</f>
        <v>#REF!</v>
      </c>
      <c r="N3549" s="17"/>
      <c r="O3549" s="17"/>
      <c r="P3549" s="17" t="b">
        <f>IFERROR(__xludf.DUMMYFUNCTION("""COMPUTED_VALUE"""),FALSE)</f>
        <v>0</v>
      </c>
      <c r="Q3549" s="20" t="str">
        <f>IFERROR(__xludf.DUMMYFUNCTION("""COMPUTED_VALUE"""),"")</f>
        <v/>
      </c>
      <c r="R3549" s="22" t="str">
        <f>IFERROR(__xludf.DUMMYFUNCTION("""COMPUTED_VALUE"""),"")</f>
        <v/>
      </c>
    </row>
    <row r="3550">
      <c r="A3550" s="15">
        <f>IFERROR(__xludf.DUMMYFUNCTION("""COMPUTED_VALUE"""),45105.0)</f>
        <v>45105</v>
      </c>
      <c r="B3550" s="16" t="str">
        <f>IFERROR(__xludf.DUMMYFUNCTION("""COMPUTED_VALUE"""),"Envia")</f>
        <v>Envia</v>
      </c>
      <c r="C3550" s="15" t="str">
        <f>IFERROR(__xludf.DUMMYFUNCTION("""COMPUTED_VALUE"""),"BOGOTÁ")</f>
        <v>BOGOTÁ</v>
      </c>
      <c r="D3550" s="15" t="str">
        <f>IFERROR(__xludf.DUMMYFUNCTION("""COMPUTED_VALUE"""),"MEDELLÍN")</f>
        <v>MEDELLÍN</v>
      </c>
      <c r="E3550" s="15" t="str">
        <f>IFERROR(__xludf.DUMMYFUNCTION("""COMPUTED_VALUE"""),"Terravocado")</f>
        <v>Terravocado</v>
      </c>
      <c r="F3550" s="17" t="str">
        <f>IFERROR(__xludf.DUMMYFUNCTION("""COMPUTED_VALUE"""),"CRA 13 # 33 - 07  / ED BALCONES DE SAN MARTIN LOCAL 1 CROOPS / SAN MARTIN")</f>
        <v>CRA 13 # 33 - 07  / ED BALCONES DE SAN MARTIN LOCAL 1 CROOPS / SAN MARTIN</v>
      </c>
      <c r="G3550" s="15" t="str">
        <f>IFERROR(__xludf.DUMMYFUNCTION("""COMPUTED_VALUE"""),"ANA ZAALISHVILI")</f>
        <v>ANA ZAALISHVILI</v>
      </c>
      <c r="H3550" s="16">
        <f>IFERROR(__xludf.DUMMYFUNCTION("""COMPUTED_VALUE"""),12015.0)</f>
        <v>12015</v>
      </c>
      <c r="I3550" s="18">
        <f>IFERROR(__xludf.DUMMYFUNCTION("""COMPUTED_VALUE"""),24.0)</f>
        <v>24</v>
      </c>
      <c r="J3550" s="18">
        <f>IFERROR(__xludf.DUMMYFUNCTION("""COMPUTED_VALUE"""),34.0)</f>
        <v>34</v>
      </c>
      <c r="K3550" s="18">
        <f>IFERROR(__xludf.DUMMYFUNCTION("""COMPUTED_VALUE"""),20.0)</f>
        <v>20</v>
      </c>
      <c r="L3550" s="17">
        <f>IFERROR(__xludf.DUMMYFUNCTION("""COMPUTED_VALUE"""),3.163246856E9)</f>
        <v>3163246856</v>
      </c>
      <c r="M3550" s="17" t="str">
        <f>IFERROR(__xludf.DUMMYFUNCTION("""COMPUTED_VALUE"""),"#REF!")</f>
        <v>#REF!</v>
      </c>
      <c r="N3550" s="17"/>
      <c r="O3550" s="17"/>
      <c r="P3550" s="17" t="b">
        <f>IFERROR(__xludf.DUMMYFUNCTION("""COMPUTED_VALUE"""),TRUE)</f>
        <v>1</v>
      </c>
      <c r="Q3550" s="20">
        <f>IFERROR(__xludf.DUMMYFUNCTION("""COMPUTED_VALUE"""),45105.71954229167)</f>
        <v>45105.71954</v>
      </c>
      <c r="R3550" s="22" t="str">
        <f>IFERROR(__xludf.DUMMYFUNCTION("""COMPUTED_VALUE"""),"")</f>
        <v/>
      </c>
    </row>
    <row r="3551">
      <c r="A3551" s="15">
        <f>IFERROR(__xludf.DUMMYFUNCTION("""COMPUTED_VALUE"""),45105.0)</f>
        <v>45105</v>
      </c>
      <c r="B3551" s="16" t="str">
        <f>IFERROR(__xludf.DUMMYFUNCTION("""COMPUTED_VALUE"""),"Envia")</f>
        <v>Envia</v>
      </c>
      <c r="C3551" s="15" t="str">
        <f>IFERROR(__xludf.DUMMYFUNCTION("""COMPUTED_VALUE"""),"CALI")</f>
        <v>CALI</v>
      </c>
      <c r="D3551" s="15" t="str">
        <f>IFERROR(__xludf.DUMMYFUNCTION("""COMPUTED_VALUE"""),"MEDELLÍN")</f>
        <v>MEDELLÍN</v>
      </c>
      <c r="E3551" s="15" t="str">
        <f>IFERROR(__xludf.DUMMYFUNCTION("""COMPUTED_VALUE"""),"Baby Chef")</f>
        <v>Baby Chef</v>
      </c>
      <c r="F3551" s="17" t="str">
        <f>IFERROR(__xludf.DUMMYFUNCTION("""COMPUTED_VALUE"""),"Cra 17A #33B-50 barrio La floresta / Cra 17A #33B-50 barrio La floresta / Cra 17A #33B-50 barrio La floresta")</f>
        <v>Cra 17A #33B-50 barrio La floresta / Cra 17A #33B-50 barrio La floresta / Cra 17A #33B-50 barrio La floresta</v>
      </c>
      <c r="G3551" s="15" t="str">
        <f>IFERROR(__xludf.DUMMYFUNCTION("""COMPUTED_VALUE"""),"Ximena Ahumada Torres")</f>
        <v>Ximena Ahumada Torres</v>
      </c>
      <c r="H3551" s="16">
        <f>IFERROR(__xludf.DUMMYFUNCTION("""COMPUTED_VALUE"""),12146.0)</f>
        <v>12146</v>
      </c>
      <c r="I3551" s="18">
        <f>IFERROR(__xludf.DUMMYFUNCTION("""COMPUTED_VALUE"""),8.0)</f>
        <v>8</v>
      </c>
      <c r="J3551" s="18">
        <f>IFERROR(__xludf.DUMMYFUNCTION("""COMPUTED_VALUE"""),16.0)</f>
        <v>16</v>
      </c>
      <c r="K3551" s="18">
        <f>IFERROR(__xludf.DUMMYFUNCTION("""COMPUTED_VALUE"""),20.0)</f>
        <v>20</v>
      </c>
      <c r="L3551" s="17">
        <f>IFERROR(__xludf.DUMMYFUNCTION("""COMPUTED_VALUE"""),3.212892544E9)</f>
        <v>3212892544</v>
      </c>
      <c r="M3551" s="17" t="str">
        <f>IFERROR(__xludf.DUMMYFUNCTION("""COMPUTED_VALUE"""),"#REF!")</f>
        <v>#REF!</v>
      </c>
      <c r="N3551" s="17"/>
      <c r="O3551" s="17"/>
      <c r="P3551" s="17" t="b">
        <f>IFERROR(__xludf.DUMMYFUNCTION("""COMPUTED_VALUE"""),FALSE)</f>
        <v>0</v>
      </c>
      <c r="Q3551" s="20" t="str">
        <f>IFERROR(__xludf.DUMMYFUNCTION("""COMPUTED_VALUE"""),"")</f>
        <v/>
      </c>
      <c r="R3551" s="21" t="str">
        <f>IFERROR(__xludf.DUMMYFUNCTION("""COMPUTED_VALUE"""),"https://drive.google.com/file/d/1QchzjeRevGc93B6XwUUl3h8-qJhz8zBD/view?usp=drivesdk")</f>
        <v>https://drive.google.com/file/d/1QchzjeRevGc93B6XwUUl3h8-qJhz8zBD/view?usp=drivesdk</v>
      </c>
    </row>
    <row r="3552">
      <c r="A3552" s="15">
        <f>IFERROR(__xludf.DUMMYFUNCTION("""COMPUTED_VALUE"""),45105.0)</f>
        <v>45105</v>
      </c>
      <c r="B3552" s="16" t="str">
        <f>IFERROR(__xludf.DUMMYFUNCTION("""COMPUTED_VALUE"""),"Envia")</f>
        <v>Envia</v>
      </c>
      <c r="C3552" s="15" t="str">
        <f>IFERROR(__xludf.DUMMYFUNCTION("""COMPUTED_VALUE"""),"CALI")</f>
        <v>CALI</v>
      </c>
      <c r="D3552" s="15" t="str">
        <f>IFERROR(__xludf.DUMMYFUNCTION("""COMPUTED_VALUE"""),"MEDELLÍN")</f>
        <v>MEDELLÍN</v>
      </c>
      <c r="E3552" s="15" t="str">
        <f>IFERROR(__xludf.DUMMYFUNCTION("""COMPUTED_VALUE"""),"Rambla")</f>
        <v>Rambla</v>
      </c>
      <c r="F3552" s="17" t="str">
        <f>IFERROR(__xludf.DUMMYFUNCTION("""COMPUTED_VALUE"""),"CRA 105 #15B45 LOCAL 15 CENTRO COMERCIAL LAS VELAS  cali / NA / NA")</f>
        <v>CRA 105 #15B45 LOCAL 15 CENTRO COMERCIAL LAS VELAS  cali / NA / NA</v>
      </c>
      <c r="G3552" s="15" t="str">
        <f>IFERROR(__xludf.DUMMYFUNCTION("""COMPUTED_VALUE"""),"Welthy Market")</f>
        <v>Welthy Market</v>
      </c>
      <c r="H3552" s="16">
        <f>IFERROR(__xludf.DUMMYFUNCTION("""COMPUTED_VALUE"""),12125.0)</f>
        <v>12125</v>
      </c>
      <c r="I3552" s="18">
        <f>IFERROR(__xludf.DUMMYFUNCTION("""COMPUTED_VALUE"""),25.0)</f>
        <v>25</v>
      </c>
      <c r="J3552" s="18">
        <f>IFERROR(__xludf.DUMMYFUNCTION("""COMPUTED_VALUE"""),27.0)</f>
        <v>27</v>
      </c>
      <c r="K3552" s="18">
        <f>IFERROR(__xludf.DUMMYFUNCTION("""COMPUTED_VALUE"""),30.0)</f>
        <v>30</v>
      </c>
      <c r="L3552" s="17">
        <f>IFERROR(__xludf.DUMMYFUNCTION("""COMPUTED_VALUE"""),3.057675698E9)</f>
        <v>3057675698</v>
      </c>
      <c r="M3552" s="17" t="str">
        <f>IFERROR(__xludf.DUMMYFUNCTION("""COMPUTED_VALUE"""),"#REF!")</f>
        <v>#REF!</v>
      </c>
      <c r="N3552" s="17"/>
      <c r="O3552" s="17"/>
      <c r="P3552" s="17" t="b">
        <f>IFERROR(__xludf.DUMMYFUNCTION("""COMPUTED_VALUE"""),FALSE)</f>
        <v>0</v>
      </c>
      <c r="Q3552" s="20" t="str">
        <f>IFERROR(__xludf.DUMMYFUNCTION("""COMPUTED_VALUE"""),"")</f>
        <v/>
      </c>
      <c r="R3552" s="21" t="str">
        <f>IFERROR(__xludf.DUMMYFUNCTION("""COMPUTED_VALUE"""),"https://drive.google.com/file/d/1olcEyHDwXiBO3LxAFPAlpLDr0a8_xkwS/view?usp=drivesdk")</f>
        <v>https://drive.google.com/file/d/1olcEyHDwXiBO3LxAFPAlpLDr0a8_xkwS/view?usp=drivesdk</v>
      </c>
    </row>
    <row r="3553">
      <c r="A3553" s="15">
        <f>IFERROR(__xludf.DUMMYFUNCTION("""COMPUTED_VALUE"""),45105.0)</f>
        <v>45105</v>
      </c>
      <c r="B3553" s="16" t="str">
        <f>IFERROR(__xludf.DUMMYFUNCTION("""COMPUTED_VALUE"""),"Envia")</f>
        <v>Envia</v>
      </c>
      <c r="C3553" s="15" t="str">
        <f>IFERROR(__xludf.DUMMYFUNCTION("""COMPUTED_VALUE"""),"CALI")</f>
        <v>CALI</v>
      </c>
      <c r="D3553" s="15" t="str">
        <f>IFERROR(__xludf.DUMMYFUNCTION("""COMPUTED_VALUE"""),"MEDELLÍN")</f>
        <v>MEDELLÍN</v>
      </c>
      <c r="E3553" s="15" t="str">
        <f>IFERROR(__xludf.DUMMYFUNCTION("""COMPUTED_VALUE"""),"Terravocado")</f>
        <v>Terravocado</v>
      </c>
      <c r="F3553" s="17" t="str">
        <f>IFERROR(__xludf.DUMMYFUNCTION("""COMPUTED_VALUE"""),"CLL 34 NORTE # 2 BN 33 / COCINA 1 ENTRE LA 14 DE LA SEXTA Y EL DEPORTIVO DE CALI  / SAN VICENTE")</f>
        <v>CLL 34 NORTE # 2 BN 33 / COCINA 1 ENTRE LA 14 DE LA SEXTA Y EL DEPORTIVO DE CALI  / SAN VICENTE</v>
      </c>
      <c r="G3553" s="15" t="str">
        <f>IFERROR(__xludf.DUMMYFUNCTION("""COMPUTED_VALUE"""),"ALEJANDRO CHUMACERO")</f>
        <v>ALEJANDRO CHUMACERO</v>
      </c>
      <c r="H3553" s="16">
        <f>IFERROR(__xludf.DUMMYFUNCTION("""COMPUTED_VALUE"""),12013.0)</f>
        <v>12013</v>
      </c>
      <c r="I3553" s="18">
        <f>IFERROR(__xludf.DUMMYFUNCTION("""COMPUTED_VALUE"""),34.0)</f>
        <v>34</v>
      </c>
      <c r="J3553" s="18">
        <f>IFERROR(__xludf.DUMMYFUNCTION("""COMPUTED_VALUE"""),24.0)</f>
        <v>24</v>
      </c>
      <c r="K3553" s="18">
        <f>IFERROR(__xludf.DUMMYFUNCTION("""COMPUTED_VALUE"""),20.0)</f>
        <v>20</v>
      </c>
      <c r="L3553" s="17">
        <f>IFERROR(__xludf.DUMMYFUNCTION("""COMPUTED_VALUE"""),3.166313887E9)</f>
        <v>3166313887</v>
      </c>
      <c r="M3553" s="17" t="str">
        <f>IFERROR(__xludf.DUMMYFUNCTION("""COMPUTED_VALUE"""),"#REF!")</f>
        <v>#REF!</v>
      </c>
      <c r="N3553" s="17"/>
      <c r="O3553" s="17"/>
      <c r="P3553" s="17" t="b">
        <f>IFERROR(__xludf.DUMMYFUNCTION("""COMPUTED_VALUE"""),FALSE)</f>
        <v>0</v>
      </c>
      <c r="Q3553" s="20" t="str">
        <f>IFERROR(__xludf.DUMMYFUNCTION("""COMPUTED_VALUE"""),"")</f>
        <v/>
      </c>
      <c r="R3553" s="21" t="str">
        <f>IFERROR(__xludf.DUMMYFUNCTION("""COMPUTED_VALUE"""),"https://drive.google.com/file/d/13cHepJgDAhStSQlJFOpgZ9NRcp4yf6pX/view?usp=drivesdk")</f>
        <v>https://drive.google.com/file/d/13cHepJgDAhStSQlJFOpgZ9NRcp4yf6pX/view?usp=drivesdk</v>
      </c>
    </row>
    <row r="3554">
      <c r="A3554" s="15">
        <f>IFERROR(__xludf.DUMMYFUNCTION("""COMPUTED_VALUE"""),45105.0)</f>
        <v>45105</v>
      </c>
      <c r="B3554" s="16" t="str">
        <f>IFERROR(__xludf.DUMMYFUNCTION("""COMPUTED_VALUE"""),"Envia")</f>
        <v>Envia</v>
      </c>
      <c r="C3554" s="15" t="str">
        <f>IFERROR(__xludf.DUMMYFUNCTION("""COMPUTED_VALUE"""),"CÚCUTA")</f>
        <v>CÚCUTA</v>
      </c>
      <c r="D3554" s="15" t="str">
        <f>IFERROR(__xludf.DUMMYFUNCTION("""COMPUTED_VALUE"""),"MEDELLÍN")</f>
        <v>MEDELLÍN</v>
      </c>
      <c r="E3554" s="15" t="str">
        <f>IFERROR(__xludf.DUMMYFUNCTION("""COMPUTED_VALUE"""),"Momo Tea S.A.S Gabriel Echavarría")</f>
        <v>Momo Tea S.A.S Gabriel Echavarría</v>
      </c>
      <c r="F3554" s="17" t="str">
        <f>IFERROR(__xludf.DUMMYFUNCTION("""COMPUTED_VALUE"""),"CL 11 N 16 E 35 / CA B 1")</f>
        <v>CL 11 N 16 E 35 / CA B 1</v>
      </c>
      <c r="G3554" s="15" t="str">
        <f>IFERROR(__xludf.DUMMYFUNCTION("""COMPUTED_VALUE"""),"Gabriel Echavarría")</f>
        <v>Gabriel Echavarría</v>
      </c>
      <c r="H3554" s="16">
        <f>IFERROR(__xludf.DUMMYFUNCTION("""COMPUTED_VALUE"""),12090.0)</f>
        <v>12090</v>
      </c>
      <c r="I3554" s="18">
        <f>IFERROR(__xludf.DUMMYFUNCTION("""COMPUTED_VALUE"""),21.0)</f>
        <v>21</v>
      </c>
      <c r="J3554" s="18">
        <f>IFERROR(__xludf.DUMMYFUNCTION("""COMPUTED_VALUE"""),29.0)</f>
        <v>29</v>
      </c>
      <c r="K3554" s="18">
        <f>IFERROR(__xludf.DUMMYFUNCTION("""COMPUTED_VALUE"""),29.0)</f>
        <v>29</v>
      </c>
      <c r="L3554" s="17">
        <f>IFERROR(__xludf.DUMMYFUNCTION("""COMPUTED_VALUE"""),3.017909548E9)</f>
        <v>3017909548</v>
      </c>
      <c r="M3554" s="17" t="str">
        <f>IFERROR(__xludf.DUMMYFUNCTION("""COMPUTED_VALUE"""),"#REF!")</f>
        <v>#REF!</v>
      </c>
      <c r="N3554" s="17"/>
      <c r="O3554" s="17"/>
      <c r="P3554" s="17" t="b">
        <f>IFERROR(__xludf.DUMMYFUNCTION("""COMPUTED_VALUE"""),FALSE)</f>
        <v>0</v>
      </c>
      <c r="Q3554" s="20" t="str">
        <f>IFERROR(__xludf.DUMMYFUNCTION("""COMPUTED_VALUE"""),"")</f>
        <v/>
      </c>
      <c r="R3554" s="22" t="str">
        <f>IFERROR(__xludf.DUMMYFUNCTION("""COMPUTED_VALUE"""),"")</f>
        <v/>
      </c>
    </row>
    <row r="3555">
      <c r="A3555" s="15">
        <f>IFERROR(__xludf.DUMMYFUNCTION("""COMPUTED_VALUE"""),45105.0)</f>
        <v>45105</v>
      </c>
      <c r="B3555" s="16" t="str">
        <f>IFERROR(__xludf.DUMMYFUNCTION("""COMPUTED_VALUE"""),"Envia")</f>
        <v>Envia</v>
      </c>
      <c r="C3555" s="15" t="str">
        <f>IFERROR(__xludf.DUMMYFUNCTION("""COMPUTED_VALUE"""),"CÚCUTA")</f>
        <v>CÚCUTA</v>
      </c>
      <c r="D3555" s="15" t="str">
        <f>IFERROR(__xludf.DUMMYFUNCTION("""COMPUTED_VALUE"""),"MEDELLÍN")</f>
        <v>MEDELLÍN</v>
      </c>
      <c r="E3555" s="15" t="str">
        <f>IFERROR(__xludf.DUMMYFUNCTION("""COMPUTED_VALUE"""),"Momo Tea S.A.S Gabriel Echavarría")</f>
        <v>Momo Tea S.A.S Gabriel Echavarría</v>
      </c>
      <c r="F3555" s="17" t="str">
        <f>IFERROR(__xludf.DUMMYFUNCTION("""COMPUTED_VALUE"""),"CL 11 N 16 E 35 / CA B 1")</f>
        <v>CL 11 N 16 E 35 / CA B 1</v>
      </c>
      <c r="G3555" s="15" t="str">
        <f>IFERROR(__xludf.DUMMYFUNCTION("""COMPUTED_VALUE"""),"Gabriel Echavarría")</f>
        <v>Gabriel Echavarría</v>
      </c>
      <c r="H3555" s="16">
        <f>IFERROR(__xludf.DUMMYFUNCTION("""COMPUTED_VALUE"""),12091.0)</f>
        <v>12091</v>
      </c>
      <c r="I3555" s="18">
        <f>IFERROR(__xludf.DUMMYFUNCTION("""COMPUTED_VALUE"""),28.0)</f>
        <v>28</v>
      </c>
      <c r="J3555" s="18">
        <f>IFERROR(__xludf.DUMMYFUNCTION("""COMPUTED_VALUE"""),54.0)</f>
        <v>54</v>
      </c>
      <c r="K3555" s="18">
        <f>IFERROR(__xludf.DUMMYFUNCTION("""COMPUTED_VALUE"""),35.0)</f>
        <v>35</v>
      </c>
      <c r="L3555" s="17">
        <f>IFERROR(__xludf.DUMMYFUNCTION("""COMPUTED_VALUE"""),3.017909548E9)</f>
        <v>3017909548</v>
      </c>
      <c r="M3555" s="17" t="str">
        <f>IFERROR(__xludf.DUMMYFUNCTION("""COMPUTED_VALUE"""),"#REF!")</f>
        <v>#REF!</v>
      </c>
      <c r="N3555" s="17"/>
      <c r="O3555" s="17"/>
      <c r="P3555" s="17" t="b">
        <f>IFERROR(__xludf.DUMMYFUNCTION("""COMPUTED_VALUE"""),FALSE)</f>
        <v>0</v>
      </c>
      <c r="Q3555" s="20" t="str">
        <f>IFERROR(__xludf.DUMMYFUNCTION("""COMPUTED_VALUE"""),"")</f>
        <v/>
      </c>
      <c r="R3555" s="22" t="str">
        <f>IFERROR(__xludf.DUMMYFUNCTION("""COMPUTED_VALUE"""),"")</f>
        <v/>
      </c>
    </row>
    <row r="3556">
      <c r="A3556" s="15">
        <f>IFERROR(__xludf.DUMMYFUNCTION("""COMPUTED_VALUE"""),45105.0)</f>
        <v>45105</v>
      </c>
      <c r="B3556" s="16" t="str">
        <f>IFERROR(__xludf.DUMMYFUNCTION("""COMPUTED_VALUE"""),"Envia")</f>
        <v>Envia</v>
      </c>
      <c r="C3556" s="15" t="str">
        <f>IFERROR(__xludf.DUMMYFUNCTION("""COMPUTED_VALUE"""),"CÚCUTA")</f>
        <v>CÚCUTA</v>
      </c>
      <c r="D3556" s="15" t="str">
        <f>IFERROR(__xludf.DUMMYFUNCTION("""COMPUTED_VALUE"""),"MEDELLÍN")</f>
        <v>MEDELLÍN</v>
      </c>
      <c r="E3556" s="15" t="str">
        <f>IFERROR(__xludf.DUMMYFUNCTION("""COMPUTED_VALUE"""),"Momo Tea S.A.S Gabriel Echavarría")</f>
        <v>Momo Tea S.A.S Gabriel Echavarría</v>
      </c>
      <c r="F3556" s="17" t="str">
        <f>IFERROR(__xludf.DUMMYFUNCTION("""COMPUTED_VALUE"""),"CL 11 N 16 E 35 / CA B 1")</f>
        <v>CL 11 N 16 E 35 / CA B 1</v>
      </c>
      <c r="G3556" s="15" t="str">
        <f>IFERROR(__xludf.DUMMYFUNCTION("""COMPUTED_VALUE"""),"Gabriel Echavarría")</f>
        <v>Gabriel Echavarría</v>
      </c>
      <c r="H3556" s="16">
        <f>IFERROR(__xludf.DUMMYFUNCTION("""COMPUTED_VALUE"""),12092.0)</f>
        <v>12092</v>
      </c>
      <c r="I3556" s="18">
        <f>IFERROR(__xludf.DUMMYFUNCTION("""COMPUTED_VALUE"""),24.0)</f>
        <v>24</v>
      </c>
      <c r="J3556" s="18">
        <f>IFERROR(__xludf.DUMMYFUNCTION("""COMPUTED_VALUE"""),3.0)</f>
        <v>3</v>
      </c>
      <c r="K3556" s="18">
        <f>IFERROR(__xludf.DUMMYFUNCTION("""COMPUTED_VALUE"""),26.0)</f>
        <v>26</v>
      </c>
      <c r="L3556" s="17">
        <f>IFERROR(__xludf.DUMMYFUNCTION("""COMPUTED_VALUE"""),3.017909548E9)</f>
        <v>3017909548</v>
      </c>
      <c r="M3556" s="17" t="str">
        <f>IFERROR(__xludf.DUMMYFUNCTION("""COMPUTED_VALUE"""),"#REF!")</f>
        <v>#REF!</v>
      </c>
      <c r="N3556" s="17"/>
      <c r="O3556" s="17"/>
      <c r="P3556" s="17" t="b">
        <f>IFERROR(__xludf.DUMMYFUNCTION("""COMPUTED_VALUE"""),FALSE)</f>
        <v>0</v>
      </c>
      <c r="Q3556" s="20" t="str">
        <f>IFERROR(__xludf.DUMMYFUNCTION("""COMPUTED_VALUE"""),"")</f>
        <v/>
      </c>
      <c r="R3556" s="22" t="str">
        <f>IFERROR(__xludf.DUMMYFUNCTION("""COMPUTED_VALUE"""),"")</f>
        <v/>
      </c>
    </row>
    <row r="3557">
      <c r="A3557" s="15">
        <f>IFERROR(__xludf.DUMMYFUNCTION("""COMPUTED_VALUE"""),45105.0)</f>
        <v>45105</v>
      </c>
      <c r="B3557" s="16" t="str">
        <f>IFERROR(__xludf.DUMMYFUNCTION("""COMPUTED_VALUE"""),"Envia")</f>
        <v>Envia</v>
      </c>
      <c r="C3557" s="15" t="str">
        <f>IFERROR(__xludf.DUMMYFUNCTION("""COMPUTED_VALUE"""),"CÚCUTA")</f>
        <v>CÚCUTA</v>
      </c>
      <c r="D3557" s="15" t="str">
        <f>IFERROR(__xludf.DUMMYFUNCTION("""COMPUTED_VALUE"""),"MEDELLÍN")</f>
        <v>MEDELLÍN</v>
      </c>
      <c r="E3557" s="15" t="str">
        <f>IFERROR(__xludf.DUMMYFUNCTION("""COMPUTED_VALUE"""),"Momo Tea S.A.S Gabriel Echavarría")</f>
        <v>Momo Tea S.A.S Gabriel Echavarría</v>
      </c>
      <c r="F3557" s="17" t="str">
        <f>IFERROR(__xludf.DUMMYFUNCTION("""COMPUTED_VALUE"""),"CL 11 N 16 E 35 / CA B 1")</f>
        <v>CL 11 N 16 E 35 / CA B 1</v>
      </c>
      <c r="G3557" s="15" t="str">
        <f>IFERROR(__xludf.DUMMYFUNCTION("""COMPUTED_VALUE"""),"Gabriel Echavarría")</f>
        <v>Gabriel Echavarría</v>
      </c>
      <c r="H3557" s="16">
        <f>IFERROR(__xludf.DUMMYFUNCTION("""COMPUTED_VALUE"""),12093.0)</f>
        <v>12093</v>
      </c>
      <c r="I3557" s="18">
        <f>IFERROR(__xludf.DUMMYFUNCTION("""COMPUTED_VALUE"""),30.0)</f>
        <v>30</v>
      </c>
      <c r="J3557" s="18">
        <f>IFERROR(__xludf.DUMMYFUNCTION("""COMPUTED_VALUE"""),8.0)</f>
        <v>8</v>
      </c>
      <c r="K3557" s="18">
        <f>IFERROR(__xludf.DUMMYFUNCTION("""COMPUTED_VALUE"""),18.0)</f>
        <v>18</v>
      </c>
      <c r="L3557" s="17">
        <f>IFERROR(__xludf.DUMMYFUNCTION("""COMPUTED_VALUE"""),3.017909548E9)</f>
        <v>3017909548</v>
      </c>
      <c r="M3557" s="17" t="str">
        <f>IFERROR(__xludf.DUMMYFUNCTION("""COMPUTED_VALUE"""),"#REF!")</f>
        <v>#REF!</v>
      </c>
      <c r="N3557" s="17"/>
      <c r="O3557" s="17"/>
      <c r="P3557" s="17" t="b">
        <f>IFERROR(__xludf.DUMMYFUNCTION("""COMPUTED_VALUE"""),FALSE)</f>
        <v>0</v>
      </c>
      <c r="Q3557" s="20" t="str">
        <f>IFERROR(__xludf.DUMMYFUNCTION("""COMPUTED_VALUE"""),"")</f>
        <v/>
      </c>
      <c r="R3557" s="22" t="str">
        <f>IFERROR(__xludf.DUMMYFUNCTION("""COMPUTED_VALUE"""),"")</f>
        <v/>
      </c>
    </row>
    <row r="3558">
      <c r="A3558" s="15">
        <f>IFERROR(__xludf.DUMMYFUNCTION("""COMPUTED_VALUE"""),45105.0)</f>
        <v>45105</v>
      </c>
      <c r="B3558" s="16" t="str">
        <f>IFERROR(__xludf.DUMMYFUNCTION("""COMPUTED_VALUE"""),"Envia")</f>
        <v>Envia</v>
      </c>
      <c r="C3558" s="15" t="str">
        <f>IFERROR(__xludf.DUMMYFUNCTION("""COMPUTED_VALUE"""),"CÚCUTA")</f>
        <v>CÚCUTA</v>
      </c>
      <c r="D3558" s="15" t="str">
        <f>IFERROR(__xludf.DUMMYFUNCTION("""COMPUTED_VALUE"""),"MEDELLÍN")</f>
        <v>MEDELLÍN</v>
      </c>
      <c r="E3558" s="15" t="str">
        <f>IFERROR(__xludf.DUMMYFUNCTION("""COMPUTED_VALUE"""),"Momo Tea S.A.S Gabriel Echavarría")</f>
        <v>Momo Tea S.A.S Gabriel Echavarría</v>
      </c>
      <c r="F3558" s="17" t="str">
        <f>IFERROR(__xludf.DUMMYFUNCTION("""COMPUTED_VALUE"""),"CL 11 N 16 E 35 / CA B 1")</f>
        <v>CL 11 N 16 E 35 / CA B 1</v>
      </c>
      <c r="G3558" s="15" t="str">
        <f>IFERROR(__xludf.DUMMYFUNCTION("""COMPUTED_VALUE"""),"Gabriel Echavarría")</f>
        <v>Gabriel Echavarría</v>
      </c>
      <c r="H3558" s="16">
        <f>IFERROR(__xludf.DUMMYFUNCTION("""COMPUTED_VALUE"""),12094.0)</f>
        <v>12094</v>
      </c>
      <c r="I3558" s="18">
        <f>IFERROR(__xludf.DUMMYFUNCTION("""COMPUTED_VALUE"""),17.0)</f>
        <v>17</v>
      </c>
      <c r="J3558" s="18">
        <f>IFERROR(__xludf.DUMMYFUNCTION("""COMPUTED_VALUE"""),17.0)</f>
        <v>17</v>
      </c>
      <c r="K3558" s="18">
        <f>IFERROR(__xludf.DUMMYFUNCTION("""COMPUTED_VALUE"""),23.0)</f>
        <v>23</v>
      </c>
      <c r="L3558" s="17">
        <f>IFERROR(__xludf.DUMMYFUNCTION("""COMPUTED_VALUE"""),3.017909548E9)</f>
        <v>3017909548</v>
      </c>
      <c r="M3558" s="17" t="str">
        <f>IFERROR(__xludf.DUMMYFUNCTION("""COMPUTED_VALUE"""),"#REF!")</f>
        <v>#REF!</v>
      </c>
      <c r="N3558" s="17"/>
      <c r="O3558" s="17"/>
      <c r="P3558" s="17" t="b">
        <f>IFERROR(__xludf.DUMMYFUNCTION("""COMPUTED_VALUE"""),FALSE)</f>
        <v>0</v>
      </c>
      <c r="Q3558" s="20" t="str">
        <f>IFERROR(__xludf.DUMMYFUNCTION("""COMPUTED_VALUE"""),"")</f>
        <v/>
      </c>
      <c r="R3558" s="22" t="str">
        <f>IFERROR(__xludf.DUMMYFUNCTION("""COMPUTED_VALUE"""),"")</f>
        <v/>
      </c>
    </row>
    <row r="3559">
      <c r="A3559" s="15">
        <f>IFERROR(__xludf.DUMMYFUNCTION("""COMPUTED_VALUE"""),45105.0)</f>
        <v>45105</v>
      </c>
      <c r="B3559" s="16" t="str">
        <f>IFERROR(__xludf.DUMMYFUNCTION("""COMPUTED_VALUE"""),"Envia")</f>
        <v>Envia</v>
      </c>
      <c r="C3559" s="15" t="str">
        <f>IFERROR(__xludf.DUMMYFUNCTION("""COMPUTED_VALUE"""),"CÚCUTA")</f>
        <v>CÚCUTA</v>
      </c>
      <c r="D3559" s="15" t="str">
        <f>IFERROR(__xludf.DUMMYFUNCTION("""COMPUTED_VALUE"""),"MEDELLÍN")</f>
        <v>MEDELLÍN</v>
      </c>
      <c r="E3559" s="15" t="str">
        <f>IFERROR(__xludf.DUMMYFUNCTION("""COMPUTED_VALUE"""),"Momo Tea S.A.S Gabriel Echavarría")</f>
        <v>Momo Tea S.A.S Gabriel Echavarría</v>
      </c>
      <c r="F3559" s="17" t="str">
        <f>IFERROR(__xludf.DUMMYFUNCTION("""COMPUTED_VALUE"""),"CL 11 N 16 E 35 / CA B 1")</f>
        <v>CL 11 N 16 E 35 / CA B 1</v>
      </c>
      <c r="G3559" s="15" t="str">
        <f>IFERROR(__xludf.DUMMYFUNCTION("""COMPUTED_VALUE"""),"Gabriel Echavarría")</f>
        <v>Gabriel Echavarría</v>
      </c>
      <c r="H3559" s="16">
        <f>IFERROR(__xludf.DUMMYFUNCTION("""COMPUTED_VALUE"""),12095.0)</f>
        <v>12095</v>
      </c>
      <c r="I3559" s="18">
        <f>IFERROR(__xludf.DUMMYFUNCTION("""COMPUTED_VALUE"""),63.0)</f>
        <v>63</v>
      </c>
      <c r="J3559" s="18">
        <f>IFERROR(__xludf.DUMMYFUNCTION("""COMPUTED_VALUE"""),10.0)</f>
        <v>10</v>
      </c>
      <c r="K3559" s="18">
        <f>IFERROR(__xludf.DUMMYFUNCTION("""COMPUTED_VALUE"""),9.0)</f>
        <v>9</v>
      </c>
      <c r="L3559" s="17">
        <f>IFERROR(__xludf.DUMMYFUNCTION("""COMPUTED_VALUE"""),3.017909548E9)</f>
        <v>3017909548</v>
      </c>
      <c r="M3559" s="17" t="str">
        <f>IFERROR(__xludf.DUMMYFUNCTION("""COMPUTED_VALUE"""),"#REF!")</f>
        <v>#REF!</v>
      </c>
      <c r="N3559" s="17"/>
      <c r="O3559" s="17"/>
      <c r="P3559" s="17" t="b">
        <f>IFERROR(__xludf.DUMMYFUNCTION("""COMPUTED_VALUE"""),FALSE)</f>
        <v>0</v>
      </c>
      <c r="Q3559" s="20" t="str">
        <f>IFERROR(__xludf.DUMMYFUNCTION("""COMPUTED_VALUE"""),"")</f>
        <v/>
      </c>
      <c r="R3559" s="22" t="str">
        <f>IFERROR(__xludf.DUMMYFUNCTION("""COMPUTED_VALUE"""),"")</f>
        <v/>
      </c>
    </row>
    <row r="3560">
      <c r="A3560" s="15">
        <f>IFERROR(__xludf.DUMMYFUNCTION("""COMPUTED_VALUE"""),45105.0)</f>
        <v>45105</v>
      </c>
      <c r="B3560" s="16" t="str">
        <f>IFERROR(__xludf.DUMMYFUNCTION("""COMPUTED_VALUE"""),"Envia")</f>
        <v>Envia</v>
      </c>
      <c r="C3560" s="15" t="str">
        <f>IFERROR(__xludf.DUMMYFUNCTION("""COMPUTED_VALUE"""),"VILLAVICENCIO")</f>
        <v>VILLAVICENCIO</v>
      </c>
      <c r="D3560" s="15" t="str">
        <f>IFERROR(__xludf.DUMMYFUNCTION("""COMPUTED_VALUE"""),"BOGOTÁ")</f>
        <v>BOGOTÁ</v>
      </c>
      <c r="E3560" s="15" t="str">
        <f>IFERROR(__xludf.DUMMYFUNCTION("""COMPUTED_VALUE"""),"Mochi")</f>
        <v>Mochi</v>
      </c>
      <c r="F3560" s="17" t="str">
        <f>IFERROR(__xludf.DUMMYFUNCTION("""COMPUTED_VALUE"""),"Centro comercial viva Villavicencio / Centro comercial viva Villavicencio / Centro comercial viva Villavicencio")</f>
        <v>Centro comercial viva Villavicencio / Centro comercial viva Villavicencio / Centro comercial viva Villavicencio</v>
      </c>
      <c r="G3560" s="15" t="str">
        <f>IFERROR(__xludf.DUMMYFUNCTION("""COMPUTED_VALUE"""),"Yurany Hernandez")</f>
        <v>Yurany Hernandez</v>
      </c>
      <c r="H3560" s="16">
        <f>IFERROR(__xludf.DUMMYFUNCTION("""COMPUTED_VALUE"""),12137.0)</f>
        <v>12137</v>
      </c>
      <c r="I3560" s="18">
        <f>IFERROR(__xludf.DUMMYFUNCTION("""COMPUTED_VALUE"""),100.0)</f>
        <v>100</v>
      </c>
      <c r="J3560" s="18">
        <f>IFERROR(__xludf.DUMMYFUNCTION("""COMPUTED_VALUE"""),100.0)</f>
        <v>100</v>
      </c>
      <c r="K3560" s="18">
        <f>IFERROR(__xludf.DUMMYFUNCTION("""COMPUTED_VALUE"""),200.0)</f>
        <v>200</v>
      </c>
      <c r="L3560" s="17">
        <f>IFERROR(__xludf.DUMMYFUNCTION("""COMPUTED_VALUE"""),3.106083708E9)</f>
        <v>3106083708</v>
      </c>
      <c r="M3560" s="17" t="str">
        <f>IFERROR(__xludf.DUMMYFUNCTION("""COMPUTED_VALUE"""),"#REF!")</f>
        <v>#REF!</v>
      </c>
      <c r="N3560" s="17"/>
      <c r="O3560" s="17"/>
      <c r="P3560" s="17" t="b">
        <f>IFERROR(__xludf.DUMMYFUNCTION("""COMPUTED_VALUE"""),FALSE)</f>
        <v>0</v>
      </c>
      <c r="Q3560" s="20" t="str">
        <f>IFERROR(__xludf.DUMMYFUNCTION("""COMPUTED_VALUE"""),"")</f>
        <v/>
      </c>
      <c r="R3560" s="22" t="str">
        <f>IFERROR(__xludf.DUMMYFUNCTION("""COMPUTED_VALUE"""),"")</f>
        <v/>
      </c>
    </row>
    <row r="3561">
      <c r="A3561" s="17" t="str">
        <f>IFERROR(__xludf.DUMMYFUNCTION("""COMPUTED_VALUE"""),"")</f>
        <v/>
      </c>
      <c r="B3561" s="17" t="str">
        <f>IFERROR(__xludf.DUMMYFUNCTION("""COMPUTED_VALUE"""),"")</f>
        <v/>
      </c>
      <c r="C3561" s="17" t="str">
        <f>IFERROR(__xludf.DUMMYFUNCTION("""COMPUTED_VALUE"""),"")</f>
        <v/>
      </c>
      <c r="D3561" s="17" t="str">
        <f>IFERROR(__xludf.DUMMYFUNCTION("""COMPUTED_VALUE"""),"")</f>
        <v/>
      </c>
      <c r="E3561" s="17" t="str">
        <f>IFERROR(__xludf.DUMMYFUNCTION("""COMPUTED_VALUE"""),"")</f>
        <v/>
      </c>
      <c r="F3561" s="17" t="str">
        <f>IFERROR(__xludf.DUMMYFUNCTION("""COMPUTED_VALUE"""),"")</f>
        <v/>
      </c>
      <c r="G3561" s="17" t="str">
        <f>IFERROR(__xludf.DUMMYFUNCTION("""COMPUTED_VALUE"""),"")</f>
        <v/>
      </c>
      <c r="H3561" s="17" t="str">
        <f>IFERROR(__xludf.DUMMYFUNCTION("""COMPUTED_VALUE"""),"")</f>
        <v/>
      </c>
      <c r="I3561" s="17" t="str">
        <f>IFERROR(__xludf.DUMMYFUNCTION("""COMPUTED_VALUE"""),"")</f>
        <v/>
      </c>
      <c r="J3561" s="17" t="str">
        <f>IFERROR(__xludf.DUMMYFUNCTION("""COMPUTED_VALUE"""),"")</f>
        <v/>
      </c>
      <c r="K3561" s="17" t="str">
        <f>IFERROR(__xludf.DUMMYFUNCTION("""COMPUTED_VALUE"""),"")</f>
        <v/>
      </c>
      <c r="L3561" s="17" t="str">
        <f>IFERROR(__xludf.DUMMYFUNCTION("""COMPUTED_VALUE"""),"")</f>
        <v/>
      </c>
      <c r="M3561" s="17" t="str">
        <f>IFERROR(__xludf.DUMMYFUNCTION("""COMPUTED_VALUE"""),"")</f>
        <v/>
      </c>
      <c r="N3561" s="17" t="str">
        <f>IFERROR(__xludf.DUMMYFUNCTION("""COMPUTED_VALUE"""),"")</f>
        <v/>
      </c>
      <c r="O3561" s="17" t="str">
        <f>IFERROR(__xludf.DUMMYFUNCTION("""COMPUTED_VALUE"""),"")</f>
        <v/>
      </c>
      <c r="P3561" s="17" t="str">
        <f>IFERROR(__xludf.DUMMYFUNCTION("""COMPUTED_VALUE"""),"")</f>
        <v/>
      </c>
      <c r="Q3561" s="17" t="str">
        <f>IFERROR(__xludf.DUMMYFUNCTION("""COMPUTED_VALUE"""),"")</f>
        <v/>
      </c>
      <c r="R3561" s="17" t="str">
        <f>IFERROR(__xludf.DUMMYFUNCTION("""COMPUTED_VALUE"""),"")</f>
        <v/>
      </c>
    </row>
    <row r="3562">
      <c r="A3562" s="15">
        <f>IFERROR(__xludf.DUMMYFUNCTION("""COMPUTED_VALUE"""),45105.0)</f>
        <v>45105</v>
      </c>
      <c r="B3562" s="16" t="str">
        <f>IFERROR(__xludf.DUMMYFUNCTION("""COMPUTED_VALUE"""),"Jeison Rubiano")</f>
        <v>Jeison Rubiano</v>
      </c>
      <c r="C3562" s="15" t="str">
        <f>IFERROR(__xludf.DUMMYFUNCTION("""COMPUTED_VALUE"""),"BOGOTÁ")</f>
        <v>BOGOTÁ</v>
      </c>
      <c r="D3562" s="15" t="str">
        <f>IFERROR(__xludf.DUMMYFUNCTION("""COMPUTED_VALUE"""),"MEDELLÍN")</f>
        <v>MEDELLÍN</v>
      </c>
      <c r="E3562" s="15" t="str">
        <f>IFERROR(__xludf.DUMMYFUNCTION("""COMPUTED_VALUE"""),"AREPAS LA MARY")</f>
        <v>AREPAS LA MARY</v>
      </c>
      <c r="F3562" s="17" t="str">
        <f>IFERROR(__xludf.DUMMYFUNCTION("""COMPUTED_VALUE"""),"AV. ESPERANZA N.46 39 APTO 205 / ED. SCALA XI")</f>
        <v>AV. ESPERANZA N.46 39 APTO 205 / ED. SCALA XI</v>
      </c>
      <c r="G3562" s="15" t="str">
        <f>IFERROR(__xludf.DUMMYFUNCTION("""COMPUTED_VALUE"""),"ANDREA ARIAS")</f>
        <v>ANDREA ARIAS</v>
      </c>
      <c r="H3562" s="16">
        <f>IFERROR(__xludf.DUMMYFUNCTION("""COMPUTED_VALUE"""),12122.0)</f>
        <v>12122</v>
      </c>
      <c r="I3562" s="18">
        <f>IFERROR(__xludf.DUMMYFUNCTION("""COMPUTED_VALUE"""),89.0)</f>
        <v>89</v>
      </c>
      <c r="J3562" s="18">
        <f>IFERROR(__xludf.DUMMYFUNCTION("""COMPUTED_VALUE"""),1.0)</f>
        <v>1</v>
      </c>
      <c r="K3562" s="18">
        <f>IFERROR(__xludf.DUMMYFUNCTION("""COMPUTED_VALUE"""),10.0)</f>
        <v>10</v>
      </c>
      <c r="L3562" s="17">
        <f>IFERROR(__xludf.DUMMYFUNCTION("""COMPUTED_VALUE"""),3.504287479E9)</f>
        <v>3504287479</v>
      </c>
      <c r="M3562" s="17" t="str">
        <f>IFERROR(__xludf.DUMMYFUNCTION("""COMPUTED_VALUE"""),"#REF!")</f>
        <v>#REF!</v>
      </c>
      <c r="N3562" s="17"/>
      <c r="O3562" s="17"/>
      <c r="P3562" s="17" t="b">
        <f>IFERROR(__xludf.DUMMYFUNCTION("""COMPUTED_VALUE"""),FALSE)</f>
        <v>0</v>
      </c>
      <c r="Q3562" s="20" t="str">
        <f>IFERROR(__xludf.DUMMYFUNCTION("""COMPUTED_VALUE"""),"")</f>
        <v/>
      </c>
      <c r="R3562" s="21" t="str">
        <f>IFERROR(__xludf.DUMMYFUNCTION("""COMPUTED_VALUE"""),"https://drive.google.com/file/d/1hhQhDovnQIFLI1m7AxAeFyYIKgo8WYAI/view?usp=drivesdk")</f>
        <v>https://drive.google.com/file/d/1hhQhDovnQIFLI1m7AxAeFyYIKgo8WYAI/view?usp=drivesdk</v>
      </c>
    </row>
    <row r="3563">
      <c r="A3563" s="15">
        <f>IFERROR(__xludf.DUMMYFUNCTION("""COMPUTED_VALUE"""),45105.0)</f>
        <v>45105</v>
      </c>
      <c r="B3563" s="16" t="str">
        <f>IFERROR(__xludf.DUMMYFUNCTION("""COMPUTED_VALUE"""),"Jeison Rubiano")</f>
        <v>Jeison Rubiano</v>
      </c>
      <c r="C3563" s="15" t="str">
        <f>IFERROR(__xludf.DUMMYFUNCTION("""COMPUTED_VALUE"""),"BOGOTÁ")</f>
        <v>BOGOTÁ</v>
      </c>
      <c r="D3563" s="15" t="str">
        <f>IFERROR(__xludf.DUMMYFUNCTION("""COMPUTED_VALUE"""),"MEDELLÍN")</f>
        <v>MEDELLÍN</v>
      </c>
      <c r="E3563" s="15" t="str">
        <f>IFERROR(__xludf.DUMMYFUNCTION("""COMPUTED_VALUE"""),"AREPAS LA MARY")</f>
        <v>AREPAS LA MARY</v>
      </c>
      <c r="F3563" s="17" t="str">
        <f>IFERROR(__xludf.DUMMYFUNCTION("""COMPUTED_VALUE"""),"CALLE 92 N.13 68 APTO 602 / ED. PALJO 92")</f>
        <v>CALLE 92 N.13 68 APTO 602 / ED. PALJO 92</v>
      </c>
      <c r="G3563" s="15" t="str">
        <f>IFERROR(__xludf.DUMMYFUNCTION("""COMPUTED_VALUE"""),"CAMILA ISAZA")</f>
        <v>CAMILA ISAZA</v>
      </c>
      <c r="H3563" s="16">
        <f>IFERROR(__xludf.DUMMYFUNCTION("""COMPUTED_VALUE"""),12123.0)</f>
        <v>12123</v>
      </c>
      <c r="I3563" s="18">
        <f>IFERROR(__xludf.DUMMYFUNCTION("""COMPUTED_VALUE"""),89.0)</f>
        <v>89</v>
      </c>
      <c r="J3563" s="18">
        <f>IFERROR(__xludf.DUMMYFUNCTION("""COMPUTED_VALUE"""),1.0)</f>
        <v>1</v>
      </c>
      <c r="K3563" s="18">
        <f>IFERROR(__xludf.DUMMYFUNCTION("""COMPUTED_VALUE"""),10.0)</f>
        <v>10</v>
      </c>
      <c r="L3563" s="17">
        <f>IFERROR(__xludf.DUMMYFUNCTION("""COMPUTED_VALUE"""),3.102878086E9)</f>
        <v>3102878086</v>
      </c>
      <c r="M3563" s="17" t="str">
        <f>IFERROR(__xludf.DUMMYFUNCTION("""COMPUTED_VALUE"""),"#REF!")</f>
        <v>#REF!</v>
      </c>
      <c r="N3563" s="17"/>
      <c r="O3563" s="17"/>
      <c r="P3563" s="17" t="b">
        <f>IFERROR(__xludf.DUMMYFUNCTION("""COMPUTED_VALUE"""),FALSE)</f>
        <v>0</v>
      </c>
      <c r="Q3563" s="20" t="str">
        <f>IFERROR(__xludf.DUMMYFUNCTION("""COMPUTED_VALUE"""),"")</f>
        <v/>
      </c>
      <c r="R3563" s="21" t="str">
        <f>IFERROR(__xludf.DUMMYFUNCTION("""COMPUTED_VALUE"""),"https://drive.google.com/file/d/1DUJ6JWT-rqVqKtKaTYpWeOPJ7vfhSuFO/view?usp=drivesdk")</f>
        <v>https://drive.google.com/file/d/1DUJ6JWT-rqVqKtKaTYpWeOPJ7vfhSuFO/view?usp=drivesdk</v>
      </c>
    </row>
    <row r="3564">
      <c r="A3564" s="15">
        <f>IFERROR(__xludf.DUMMYFUNCTION("""COMPUTED_VALUE"""),45105.0)</f>
        <v>45105</v>
      </c>
      <c r="B3564" s="16" t="str">
        <f>IFERROR(__xludf.DUMMYFUNCTION("""COMPUTED_VALUE"""),"Jeison Rubiano")</f>
        <v>Jeison Rubiano</v>
      </c>
      <c r="C3564" s="15" t="str">
        <f>IFERROR(__xludf.DUMMYFUNCTION("""COMPUTED_VALUE"""),"BOGOTÁ")</f>
        <v>BOGOTÁ</v>
      </c>
      <c r="D3564" s="15" t="str">
        <f>IFERROR(__xludf.DUMMYFUNCTION("""COMPUTED_VALUE"""),"MEDELLÍN")</f>
        <v>MEDELLÍN</v>
      </c>
      <c r="E3564" s="15" t="str">
        <f>IFERROR(__xludf.DUMMYFUNCTION("""COMPUTED_VALUE"""),"AREPAS LA MARY")</f>
        <v>AREPAS LA MARY</v>
      </c>
      <c r="F3564" s="17" t="str">
        <f>IFERROR(__xludf.DUMMYFUNCTION("""COMPUTED_VALUE"""),"Carrera 69b#24-39 torre 4 apto 401 / LAURELES DE SAUSALITO")</f>
        <v>Carrera 69b#24-39 torre 4 apto 401 / LAURELES DE SAUSALITO</v>
      </c>
      <c r="G3564" s="15" t="str">
        <f>IFERROR(__xludf.DUMMYFUNCTION("""COMPUTED_VALUE"""),"CAMILA GARCIA")</f>
        <v>CAMILA GARCIA</v>
      </c>
      <c r="H3564" s="16">
        <f>IFERROR(__xludf.DUMMYFUNCTION("""COMPUTED_VALUE"""),12083.0)</f>
        <v>12083</v>
      </c>
      <c r="I3564" s="18">
        <f>IFERROR(__xludf.DUMMYFUNCTION("""COMPUTED_VALUE"""),89.0)</f>
        <v>89</v>
      </c>
      <c r="J3564" s="18">
        <f>IFERROR(__xludf.DUMMYFUNCTION("""COMPUTED_VALUE"""),1.0)</f>
        <v>1</v>
      </c>
      <c r="K3564" s="18">
        <f>IFERROR(__xludf.DUMMYFUNCTION("""COMPUTED_VALUE"""),10.0)</f>
        <v>10</v>
      </c>
      <c r="L3564" s="17" t="str">
        <f>IFERROR(__xludf.DUMMYFUNCTION("""COMPUTED_VALUE"""),"3118681450.")</f>
        <v>3118681450.</v>
      </c>
      <c r="M3564" s="17" t="str">
        <f>IFERROR(__xludf.DUMMYFUNCTION("""COMPUTED_VALUE"""),"#REF!")</f>
        <v>#REF!</v>
      </c>
      <c r="N3564" s="17"/>
      <c r="O3564" s="17"/>
      <c r="P3564" s="17" t="b">
        <f>IFERROR(__xludf.DUMMYFUNCTION("""COMPUTED_VALUE"""),TRUE)</f>
        <v>1</v>
      </c>
      <c r="Q3564" s="20">
        <f>IFERROR(__xludf.DUMMYFUNCTION("""COMPUTED_VALUE"""),45105.71533899306)</f>
        <v>45105.71534</v>
      </c>
      <c r="R3564" s="22" t="str">
        <f>IFERROR(__xludf.DUMMYFUNCTION("""COMPUTED_VALUE"""),"")</f>
        <v/>
      </c>
    </row>
    <row r="3565">
      <c r="A3565" s="15">
        <f>IFERROR(__xludf.DUMMYFUNCTION("""COMPUTED_VALUE"""),45105.0)</f>
        <v>45105</v>
      </c>
      <c r="B3565" s="16" t="str">
        <f>IFERROR(__xludf.DUMMYFUNCTION("""COMPUTED_VALUE"""),"Jeison Rubiano")</f>
        <v>Jeison Rubiano</v>
      </c>
      <c r="C3565" s="15" t="str">
        <f>IFERROR(__xludf.DUMMYFUNCTION("""COMPUTED_VALUE"""),"BOGOTÁ")</f>
        <v>BOGOTÁ</v>
      </c>
      <c r="D3565" s="15" t="str">
        <f>IFERROR(__xludf.DUMMYFUNCTION("""COMPUTED_VALUE"""),"MEDELLÍN")</f>
        <v>MEDELLÍN</v>
      </c>
      <c r="E3565" s="15" t="str">
        <f>IFERROR(__xludf.DUMMYFUNCTION("""COMPUTED_VALUE"""),"AREPAS LA MARY")</f>
        <v>AREPAS LA MARY</v>
      </c>
      <c r="F3565" s="17" t="str">
        <f>IFERROR(__xludf.DUMMYFUNCTION("""COMPUTED_VALUE"""),"Kra11 este 17b 94 Sur / Casa")</f>
        <v>Kra11 este 17b 94 Sur / Casa</v>
      </c>
      <c r="G3565" s="15" t="str">
        <f>IFERROR(__xludf.DUMMYFUNCTION("""COMPUTED_VALUE"""),"ADRIANA SUAREZ")</f>
        <v>ADRIANA SUAREZ</v>
      </c>
      <c r="H3565" s="16">
        <f>IFERROR(__xludf.DUMMYFUNCTION("""COMPUTED_VALUE"""),12085.0)</f>
        <v>12085</v>
      </c>
      <c r="I3565" s="18">
        <f>IFERROR(__xludf.DUMMYFUNCTION("""COMPUTED_VALUE"""),89.0)</f>
        <v>89</v>
      </c>
      <c r="J3565" s="18">
        <f>IFERROR(__xludf.DUMMYFUNCTION("""COMPUTED_VALUE"""),1.0)</f>
        <v>1</v>
      </c>
      <c r="K3565" s="18">
        <f>IFERROR(__xludf.DUMMYFUNCTION("""COMPUTED_VALUE"""),10.0)</f>
        <v>10</v>
      </c>
      <c r="L3565" s="17">
        <f>IFERROR(__xludf.DUMMYFUNCTION("""COMPUTED_VALUE"""),3.204567982E9)</f>
        <v>3204567982</v>
      </c>
      <c r="M3565" s="17" t="str">
        <f>IFERROR(__xludf.DUMMYFUNCTION("""COMPUTED_VALUE"""),"#REF!")</f>
        <v>#REF!</v>
      </c>
      <c r="N3565" s="17"/>
      <c r="O3565" s="17"/>
      <c r="P3565" s="17" t="b">
        <f>IFERROR(__xludf.DUMMYFUNCTION("""COMPUTED_VALUE"""),FALSE)</f>
        <v>0</v>
      </c>
      <c r="Q3565" s="20" t="str">
        <f>IFERROR(__xludf.DUMMYFUNCTION("""COMPUTED_VALUE"""),"")</f>
        <v/>
      </c>
      <c r="R3565" s="21" t="str">
        <f>IFERROR(__xludf.DUMMYFUNCTION("""COMPUTED_VALUE"""),"https://drive.google.com/file/d/1W0ZnSXnVLOZu-k7iHwsPqGLawZGqfHOY/view?usp=drivesdk")</f>
        <v>https://drive.google.com/file/d/1W0ZnSXnVLOZu-k7iHwsPqGLawZGqfHOY/view?usp=drivesdk</v>
      </c>
    </row>
    <row r="3566">
      <c r="A3566" s="15">
        <f>IFERROR(__xludf.DUMMYFUNCTION("""COMPUTED_VALUE"""),45105.0)</f>
        <v>45105</v>
      </c>
      <c r="B3566" s="16" t="str">
        <f>IFERROR(__xludf.DUMMYFUNCTION("""COMPUTED_VALUE"""),"Jeison Rubiano")</f>
        <v>Jeison Rubiano</v>
      </c>
      <c r="C3566" s="15" t="str">
        <f>IFERROR(__xludf.DUMMYFUNCTION("""COMPUTED_VALUE"""),"BOGOTÁ")</f>
        <v>BOGOTÁ</v>
      </c>
      <c r="D3566" s="15" t="str">
        <f>IFERROR(__xludf.DUMMYFUNCTION("""COMPUTED_VALUE"""),"MEDELLÍN")</f>
        <v>MEDELLÍN</v>
      </c>
      <c r="E3566" s="15" t="str">
        <f>IFERROR(__xludf.DUMMYFUNCTION("""COMPUTED_VALUE"""),"Baby Chef")</f>
        <v>Baby Chef</v>
      </c>
      <c r="F3566" s="17" t="str">
        <f>IFERROR(__xludf.DUMMYFUNCTION("""COMPUTED_VALUE"""),"Calle 169 N54A-51 Bloque 8 Apto 302 / ""Calle 169 N54A-51 Bloque 8 Apto 302"" / ""Calle 169 N54A-51 Bloque 8 Apto 302""")</f>
        <v>Calle 169 N54A-51 Bloque 8 Apto 302 / "Calle 169 N54A-51 Bloque 8 Apto 302" / "Calle 169 N54A-51 Bloque 8 Apto 302"</v>
      </c>
      <c r="G3566" s="15" t="str">
        <f>IFERROR(__xludf.DUMMYFUNCTION("""COMPUTED_VALUE"""),"Johana Arguello")</f>
        <v>Johana Arguello</v>
      </c>
      <c r="H3566" s="16">
        <f>IFERROR(__xludf.DUMMYFUNCTION("""COMPUTED_VALUE"""),12143.0)</f>
        <v>12143</v>
      </c>
      <c r="I3566" s="18">
        <f>IFERROR(__xludf.DUMMYFUNCTION("""COMPUTED_VALUE"""),8.0)</f>
        <v>8</v>
      </c>
      <c r="J3566" s="18">
        <f>IFERROR(__xludf.DUMMYFUNCTION("""COMPUTED_VALUE"""),16.0)</f>
        <v>16</v>
      </c>
      <c r="K3566" s="18">
        <f>IFERROR(__xludf.DUMMYFUNCTION("""COMPUTED_VALUE"""),20.0)</f>
        <v>20</v>
      </c>
      <c r="L3566" s="17">
        <f>IFERROR(__xludf.DUMMYFUNCTION("""COMPUTED_VALUE"""),3.015956923E9)</f>
        <v>3015956923</v>
      </c>
      <c r="M3566" s="17" t="str">
        <f>IFERROR(__xludf.DUMMYFUNCTION("""COMPUTED_VALUE"""),"#REF!")</f>
        <v>#REF!</v>
      </c>
      <c r="N3566" s="17"/>
      <c r="O3566" s="17"/>
      <c r="P3566" s="17" t="b">
        <f>IFERROR(__xludf.DUMMYFUNCTION("""COMPUTED_VALUE"""),FALSE)</f>
        <v>0</v>
      </c>
      <c r="Q3566" s="20" t="str">
        <f>IFERROR(__xludf.DUMMYFUNCTION("""COMPUTED_VALUE"""),"")</f>
        <v/>
      </c>
      <c r="R3566" s="21" t="str">
        <f>IFERROR(__xludf.DUMMYFUNCTION("""COMPUTED_VALUE"""),"https://drive.google.com/file/d/1n_OX1xC9_d_LVXe_ym-6_l6RuuXxg2TA/view?usp=drivesdk")</f>
        <v>https://drive.google.com/file/d/1n_OX1xC9_d_LVXe_ym-6_l6RuuXxg2TA/view?usp=drivesdk</v>
      </c>
    </row>
    <row r="3567">
      <c r="A3567" s="15">
        <f>IFERROR(__xludf.DUMMYFUNCTION("""COMPUTED_VALUE"""),45105.0)</f>
        <v>45105</v>
      </c>
      <c r="B3567" s="16" t="str">
        <f>IFERROR(__xludf.DUMMYFUNCTION("""COMPUTED_VALUE"""),"Jeison Rubiano")</f>
        <v>Jeison Rubiano</v>
      </c>
      <c r="C3567" s="15" t="str">
        <f>IFERROR(__xludf.DUMMYFUNCTION("""COMPUTED_VALUE"""),"BOGOTÁ")</f>
        <v>BOGOTÁ</v>
      </c>
      <c r="D3567" s="15" t="str">
        <f>IFERROR(__xludf.DUMMYFUNCTION("""COMPUTED_VALUE"""),"MEDELLÍN")</f>
        <v>MEDELLÍN</v>
      </c>
      <c r="E3567" s="15" t="str">
        <f>IFERROR(__xludf.DUMMYFUNCTION("""COMPUTED_VALUE"""),"Baby Chef")</f>
        <v>Baby Chef</v>
      </c>
      <c r="F3567" s="17" t="str">
        <f>IFERROR(__xludf.DUMMYFUNCTION("""COMPUTED_VALUE"""),"Casa, piso 2 Cra 58C # 132 a 13 / ""Casa, piso 2 Cra 58C # 132 a 13"" / ""Casa, piso 2 Cra 58C # 132 a 13""")</f>
        <v>Casa, piso 2 Cra 58C # 132 a 13 / "Casa, piso 2 Cra 58C # 132 a 13" / "Casa, piso 2 Cra 58C # 132 a 13"</v>
      </c>
      <c r="G3567" s="15" t="str">
        <f>IFERROR(__xludf.DUMMYFUNCTION("""COMPUTED_VALUE"""),"Tania Jimenez")</f>
        <v>Tania Jimenez</v>
      </c>
      <c r="H3567" s="16">
        <f>IFERROR(__xludf.DUMMYFUNCTION("""COMPUTED_VALUE"""),12141.0)</f>
        <v>12141</v>
      </c>
      <c r="I3567" s="18">
        <f>IFERROR(__xludf.DUMMYFUNCTION("""COMPUTED_VALUE"""),8.0)</f>
        <v>8</v>
      </c>
      <c r="J3567" s="18">
        <f>IFERROR(__xludf.DUMMYFUNCTION("""COMPUTED_VALUE"""),16.0)</f>
        <v>16</v>
      </c>
      <c r="K3567" s="18">
        <f>IFERROR(__xludf.DUMMYFUNCTION("""COMPUTED_VALUE"""),20.0)</f>
        <v>20</v>
      </c>
      <c r="L3567" s="17">
        <f>IFERROR(__xludf.DUMMYFUNCTION("""COMPUTED_VALUE"""),3.214986088E9)</f>
        <v>3214986088</v>
      </c>
      <c r="M3567" s="17" t="str">
        <f>IFERROR(__xludf.DUMMYFUNCTION("""COMPUTED_VALUE"""),"#REF!")</f>
        <v>#REF!</v>
      </c>
      <c r="N3567" s="17"/>
      <c r="O3567" s="17"/>
      <c r="P3567" s="17" t="b">
        <f>IFERROR(__xludf.DUMMYFUNCTION("""COMPUTED_VALUE"""),FALSE)</f>
        <v>0</v>
      </c>
      <c r="Q3567" s="20" t="str">
        <f>IFERROR(__xludf.DUMMYFUNCTION("""COMPUTED_VALUE"""),"")</f>
        <v/>
      </c>
      <c r="R3567" s="21" t="str">
        <f>IFERROR(__xludf.DUMMYFUNCTION("""COMPUTED_VALUE"""),"https://drive.google.com/file/d/12N0TJ8L9RpP8hzie68fpSe5pCf2optcD/view?usp=drivesdk")</f>
        <v>https://drive.google.com/file/d/12N0TJ8L9RpP8hzie68fpSe5pCf2optcD/view?usp=drivesdk</v>
      </c>
    </row>
    <row r="3568">
      <c r="A3568" s="15">
        <f>IFERROR(__xludf.DUMMYFUNCTION("""COMPUTED_VALUE"""),45105.0)</f>
        <v>45105</v>
      </c>
      <c r="B3568" s="16" t="str">
        <f>IFERROR(__xludf.DUMMYFUNCTION("""COMPUTED_VALUE"""),"Jeison Rubiano")</f>
        <v>Jeison Rubiano</v>
      </c>
      <c r="C3568" s="15" t="str">
        <f>IFERROR(__xludf.DUMMYFUNCTION("""COMPUTED_VALUE"""),"BOGOTÁ")</f>
        <v>BOGOTÁ</v>
      </c>
      <c r="D3568" s="15" t="str">
        <f>IFERROR(__xludf.DUMMYFUNCTION("""COMPUTED_VALUE"""),"MEDELLÍN")</f>
        <v>MEDELLÍN</v>
      </c>
      <c r="E3568" s="15" t="str">
        <f>IFERROR(__xludf.DUMMYFUNCTION("""COMPUTED_VALUE"""),"Baby Chef")</f>
        <v>Baby Chef</v>
      </c>
      <c r="F3568" s="17" t="str">
        <f>IFERROR(__xludf.DUMMYFUNCTION("""COMPUTED_VALUE"""),"Cra 77 18 51 conjunto la arboleda Torre 4 apto 402 / ""Cra 77 18 51 conjunto la arboleda Torre 4 apto 402"" / ""Cra 77 18 51 conjunto la arboleda Torre 4 apto 402""")</f>
        <v>Cra 77 18 51 conjunto la arboleda Torre 4 apto 402 / "Cra 77 18 51 conjunto la arboleda Torre 4 apto 402" / "Cra 77 18 51 conjunto la arboleda Torre 4 apto 402"</v>
      </c>
      <c r="G3568" s="15" t="str">
        <f>IFERROR(__xludf.DUMMYFUNCTION("""COMPUTED_VALUE"""),"Kate Figueroa")</f>
        <v>Kate Figueroa</v>
      </c>
      <c r="H3568" s="16">
        <f>IFERROR(__xludf.DUMMYFUNCTION("""COMPUTED_VALUE"""),12144.0)</f>
        <v>12144</v>
      </c>
      <c r="I3568" s="18">
        <f>IFERROR(__xludf.DUMMYFUNCTION("""COMPUTED_VALUE"""),8.0)</f>
        <v>8</v>
      </c>
      <c r="J3568" s="18">
        <f>IFERROR(__xludf.DUMMYFUNCTION("""COMPUTED_VALUE"""),16.0)</f>
        <v>16</v>
      </c>
      <c r="K3568" s="18">
        <f>IFERROR(__xludf.DUMMYFUNCTION("""COMPUTED_VALUE"""),20.0)</f>
        <v>20</v>
      </c>
      <c r="L3568" s="17">
        <f>IFERROR(__xludf.DUMMYFUNCTION("""COMPUTED_VALUE"""),3.502970217E9)</f>
        <v>3502970217</v>
      </c>
      <c r="M3568" s="17" t="str">
        <f>IFERROR(__xludf.DUMMYFUNCTION("""COMPUTED_VALUE"""),"#REF!")</f>
        <v>#REF!</v>
      </c>
      <c r="N3568" s="17"/>
      <c r="O3568" s="17"/>
      <c r="P3568" s="17" t="b">
        <f>IFERROR(__xludf.DUMMYFUNCTION("""COMPUTED_VALUE"""),FALSE)</f>
        <v>0</v>
      </c>
      <c r="Q3568" s="20" t="str">
        <f>IFERROR(__xludf.DUMMYFUNCTION("""COMPUTED_VALUE"""),"")</f>
        <v/>
      </c>
      <c r="R3568" s="21" t="str">
        <f>IFERROR(__xludf.DUMMYFUNCTION("""COMPUTED_VALUE"""),"https://drive.google.com/file/d/12cxl8LD1NITHVqLT4dtBLhlglVAv7U_R/view?usp=drivesdk")</f>
        <v>https://drive.google.com/file/d/12cxl8LD1NITHVqLT4dtBLhlglVAv7U_R/view?usp=drivesdk</v>
      </c>
    </row>
    <row r="3569">
      <c r="A3569" s="15">
        <f>IFERROR(__xludf.DUMMYFUNCTION("""COMPUTED_VALUE"""),45105.0)</f>
        <v>45105</v>
      </c>
      <c r="B3569" s="16" t="str">
        <f>IFERROR(__xludf.DUMMYFUNCTION("""COMPUTED_VALUE"""),"Jeison Rubiano")</f>
        <v>Jeison Rubiano</v>
      </c>
      <c r="C3569" s="15" t="str">
        <f>IFERROR(__xludf.DUMMYFUNCTION("""COMPUTED_VALUE"""),"BOGOTÁ")</f>
        <v>BOGOTÁ</v>
      </c>
      <c r="D3569" s="15" t="str">
        <f>IFERROR(__xludf.DUMMYFUNCTION("""COMPUTED_VALUE"""),"MEDELLÍN")</f>
        <v>MEDELLÍN</v>
      </c>
      <c r="E3569" s="15" t="str">
        <f>IFERROR(__xludf.DUMMYFUNCTION("""COMPUTED_VALUE"""),"Baby Chef")</f>
        <v>Baby Chef</v>
      </c>
      <c r="F3569" s="17" t="str">
        <f>IFERROR(__xludf.DUMMYFUNCTION("""COMPUTED_VALUE"""),"Transversal 76 no 130-48 503 torre 1 / ""Transversal 76 no 130-48 503 torre 1"" / ""Transversal 76 no 130-48 503 torre 1""")</f>
        <v>Transversal 76 no 130-48 503 torre 1 / "Transversal 76 no 130-48 503 torre 1" / "Transversal 76 no 130-48 503 torre 1"</v>
      </c>
      <c r="G3569" s="15" t="str">
        <f>IFERROR(__xludf.DUMMYFUNCTION("""COMPUTED_VALUE"""),"Diana Harker")</f>
        <v>Diana Harker</v>
      </c>
      <c r="H3569" s="16">
        <f>IFERROR(__xludf.DUMMYFUNCTION("""COMPUTED_VALUE"""),12140.0)</f>
        <v>12140</v>
      </c>
      <c r="I3569" s="18">
        <f>IFERROR(__xludf.DUMMYFUNCTION("""COMPUTED_VALUE"""),8.0)</f>
        <v>8</v>
      </c>
      <c r="J3569" s="18">
        <f>IFERROR(__xludf.DUMMYFUNCTION("""COMPUTED_VALUE"""),16.0)</f>
        <v>16</v>
      </c>
      <c r="K3569" s="18">
        <f>IFERROR(__xludf.DUMMYFUNCTION("""COMPUTED_VALUE"""),20.0)</f>
        <v>20</v>
      </c>
      <c r="L3569" s="17">
        <f>IFERROR(__xludf.DUMMYFUNCTION("""COMPUTED_VALUE"""),3.125210868E9)</f>
        <v>3125210868</v>
      </c>
      <c r="M3569" s="17" t="str">
        <f>IFERROR(__xludf.DUMMYFUNCTION("""COMPUTED_VALUE"""),"#REF!")</f>
        <v>#REF!</v>
      </c>
      <c r="N3569" s="17"/>
      <c r="O3569" s="17"/>
      <c r="P3569" s="17" t="b">
        <f>IFERROR(__xludf.DUMMYFUNCTION("""COMPUTED_VALUE"""),FALSE)</f>
        <v>0</v>
      </c>
      <c r="Q3569" s="20" t="str">
        <f>IFERROR(__xludf.DUMMYFUNCTION("""COMPUTED_VALUE"""),"")</f>
        <v/>
      </c>
      <c r="R3569" s="21" t="str">
        <f>IFERROR(__xludf.DUMMYFUNCTION("""COMPUTED_VALUE"""),"https://drive.google.com/file/d/1p4lvHirAzvmWJfTS9XLqF2s-xZ49R7-6/view?usp=drivesdk")</f>
        <v>https://drive.google.com/file/d/1p4lvHirAzvmWJfTS9XLqF2s-xZ49R7-6/view?usp=drivesdk</v>
      </c>
    </row>
    <row r="3570">
      <c r="A3570" s="15">
        <f>IFERROR(__xludf.DUMMYFUNCTION("""COMPUTED_VALUE"""),45105.0)</f>
        <v>45105</v>
      </c>
      <c r="B3570" s="16" t="str">
        <f>IFERROR(__xludf.DUMMYFUNCTION("""COMPUTED_VALUE"""),"Jeison Rubiano")</f>
        <v>Jeison Rubiano</v>
      </c>
      <c r="C3570" s="15" t="str">
        <f>IFERROR(__xludf.DUMMYFUNCTION("""COMPUTED_VALUE"""),"BOGOTÁ")</f>
        <v>BOGOTÁ</v>
      </c>
      <c r="D3570" s="15" t="str">
        <f>IFERROR(__xludf.DUMMYFUNCTION("""COMPUTED_VALUE"""),"MEDELLÍN")</f>
        <v>MEDELLÍN</v>
      </c>
      <c r="E3570" s="15" t="str">
        <f>IFERROR(__xludf.DUMMYFUNCTION("""COMPUTED_VALUE"""),"Felicidad Bakery Bogotá")</f>
        <v>Felicidad Bakery Bogotá</v>
      </c>
      <c r="F3570" s="17" t="str">
        <f>IFERROR(__xludf.DUMMYFUNCTION("""COMPUTED_VALUE"""),"Calle 92 #15 62 / Ed centro chico / Local 103")</f>
        <v>Calle 92 #15 62 / Ed centro chico / Local 103</v>
      </c>
      <c r="G3570" s="15" t="str">
        <f>IFERROR(__xludf.DUMMYFUNCTION("""COMPUTED_VALUE"""),"Camilo Hernandez")</f>
        <v>Camilo Hernandez</v>
      </c>
      <c r="H3570" s="16">
        <f>IFERROR(__xludf.DUMMYFUNCTION("""COMPUTED_VALUE"""),12118.0)</f>
        <v>12118</v>
      </c>
      <c r="I3570" s="18">
        <f>IFERROR(__xludf.DUMMYFUNCTION("""COMPUTED_VALUE"""),1.0)</f>
        <v>1</v>
      </c>
      <c r="J3570" s="18">
        <f>IFERROR(__xludf.DUMMYFUNCTION("""COMPUTED_VALUE"""),1.0)</f>
        <v>1</v>
      </c>
      <c r="K3570" s="18">
        <f>IFERROR(__xludf.DUMMYFUNCTION("""COMPUTED_VALUE"""),1.0)</f>
        <v>1</v>
      </c>
      <c r="L3570" s="17">
        <f>IFERROR(__xludf.DUMMYFUNCTION("""COMPUTED_VALUE"""),3.013527163E9)</f>
        <v>3013527163</v>
      </c>
      <c r="M3570" s="17" t="str">
        <f>IFERROR(__xludf.DUMMYFUNCTION("""COMPUTED_VALUE"""),"#REF!")</f>
        <v>#REF!</v>
      </c>
      <c r="N3570" s="17"/>
      <c r="O3570" s="17"/>
      <c r="P3570" s="17" t="b">
        <f>IFERROR(__xludf.DUMMYFUNCTION("""COMPUTED_VALUE"""),FALSE)</f>
        <v>0</v>
      </c>
      <c r="Q3570" s="20" t="str">
        <f>IFERROR(__xludf.DUMMYFUNCTION("""COMPUTED_VALUE"""),"")</f>
        <v/>
      </c>
      <c r="R3570" s="22" t="str">
        <f>IFERROR(__xludf.DUMMYFUNCTION("""COMPUTED_VALUE"""),"")</f>
        <v/>
      </c>
    </row>
    <row r="3571">
      <c r="A3571" s="15">
        <f>IFERROR(__xludf.DUMMYFUNCTION("""COMPUTED_VALUE"""),45105.0)</f>
        <v>45105</v>
      </c>
      <c r="B3571" s="16" t="str">
        <f>IFERROR(__xludf.DUMMYFUNCTION("""COMPUTED_VALUE"""),"Jeison Rubiano")</f>
        <v>Jeison Rubiano</v>
      </c>
      <c r="C3571" s="15" t="str">
        <f>IFERROR(__xludf.DUMMYFUNCTION("""COMPUTED_VALUE"""),"BOGOTÁ")</f>
        <v>BOGOTÁ</v>
      </c>
      <c r="D3571" s="15" t="str">
        <f>IFERROR(__xludf.DUMMYFUNCTION("""COMPUTED_VALUE"""),"MEDELLÍN")</f>
        <v>MEDELLÍN</v>
      </c>
      <c r="E3571" s="15" t="str">
        <f>IFERROR(__xludf.DUMMYFUNCTION("""COMPUTED_VALUE"""),"Felicidad Bakery Bogotá")</f>
        <v>Felicidad Bakery Bogotá</v>
      </c>
      <c r="F3571" s="17" t="str">
        <f>IFERROR(__xludf.DUMMYFUNCTION("""COMPUTED_VALUE"""),"Calle 92 #15 62 / Ed centro chico / Local 103")</f>
        <v>Calle 92 #15 62 / Ed centro chico / Local 103</v>
      </c>
      <c r="G3571" s="15" t="str">
        <f>IFERROR(__xludf.DUMMYFUNCTION("""COMPUTED_VALUE"""),"Camilo Hernandez")</f>
        <v>Camilo Hernandez</v>
      </c>
      <c r="H3571" s="16">
        <f>IFERROR(__xludf.DUMMYFUNCTION("""COMPUTED_VALUE"""),12119.0)</f>
        <v>12119</v>
      </c>
      <c r="I3571" s="18">
        <f>IFERROR(__xludf.DUMMYFUNCTION("""COMPUTED_VALUE"""),1.0)</f>
        <v>1</v>
      </c>
      <c r="J3571" s="18">
        <f>IFERROR(__xludf.DUMMYFUNCTION("""COMPUTED_VALUE"""),1.0)</f>
        <v>1</v>
      </c>
      <c r="K3571" s="18">
        <f>IFERROR(__xludf.DUMMYFUNCTION("""COMPUTED_VALUE"""),1.0)</f>
        <v>1</v>
      </c>
      <c r="L3571" s="17">
        <f>IFERROR(__xludf.DUMMYFUNCTION("""COMPUTED_VALUE"""),3.013527163E9)</f>
        <v>3013527163</v>
      </c>
      <c r="M3571" s="17" t="str">
        <f>IFERROR(__xludf.DUMMYFUNCTION("""COMPUTED_VALUE"""),"#REF!")</f>
        <v>#REF!</v>
      </c>
      <c r="N3571" s="17"/>
      <c r="O3571" s="17"/>
      <c r="P3571" s="17" t="b">
        <f>IFERROR(__xludf.DUMMYFUNCTION("""COMPUTED_VALUE"""),FALSE)</f>
        <v>0</v>
      </c>
      <c r="Q3571" s="20" t="str">
        <f>IFERROR(__xludf.DUMMYFUNCTION("""COMPUTED_VALUE"""),"")</f>
        <v/>
      </c>
      <c r="R3571" s="21" t="str">
        <f>IFERROR(__xludf.DUMMYFUNCTION("""COMPUTED_VALUE"""),"https://drive.google.com/file/d/1lWGf-qkB_GCTB51K1-RxbOlMyvpidlRQ/view?usp=drivesdk")</f>
        <v>https://drive.google.com/file/d/1lWGf-qkB_GCTB51K1-RxbOlMyvpidlRQ/view?usp=drivesdk</v>
      </c>
    </row>
    <row r="3572">
      <c r="A3572" s="15">
        <f>IFERROR(__xludf.DUMMYFUNCTION("""COMPUTED_VALUE"""),45105.0)</f>
        <v>45105</v>
      </c>
      <c r="B3572" s="16" t="str">
        <f>IFERROR(__xludf.DUMMYFUNCTION("""COMPUTED_VALUE"""),"Jeison Rubiano")</f>
        <v>Jeison Rubiano</v>
      </c>
      <c r="C3572" s="15" t="str">
        <f>IFERROR(__xludf.DUMMYFUNCTION("""COMPUTED_VALUE"""),"BOGOTÁ")</f>
        <v>BOGOTÁ</v>
      </c>
      <c r="D3572" s="15" t="str">
        <f>IFERROR(__xludf.DUMMYFUNCTION("""COMPUTED_VALUE"""),"MEDELLÍN")</f>
        <v>MEDELLÍN</v>
      </c>
      <c r="E3572" s="15" t="str">
        <f>IFERROR(__xludf.DUMMYFUNCTION("""COMPUTED_VALUE"""),"Goyo Todo por ellos")</f>
        <v>Goyo Todo por ellos</v>
      </c>
      <c r="F3572" s="17" t="str">
        <f>IFERROR(__xludf.DUMMYFUNCTION("""COMPUTED_VALUE"""),"Carrera 78C #41A 05sur / Interior 4 Apto 503 Tonoli III / Timiza")</f>
        <v>Carrera 78C #41A 05sur / Interior 4 Apto 503 Tonoli III / Timiza</v>
      </c>
      <c r="G3572" s="15" t="str">
        <f>IFERROR(__xludf.DUMMYFUNCTION("""COMPUTED_VALUE"""),"Daniela Maldonado")</f>
        <v>Daniela Maldonado</v>
      </c>
      <c r="H3572" s="16">
        <f>IFERROR(__xludf.DUMMYFUNCTION("""COMPUTED_VALUE"""),12129.0)</f>
        <v>12129</v>
      </c>
      <c r="I3572" s="18">
        <f>IFERROR(__xludf.DUMMYFUNCTION("""COMPUTED_VALUE"""),13.0)</f>
        <v>13</v>
      </c>
      <c r="J3572" s="18">
        <f>IFERROR(__xludf.DUMMYFUNCTION("""COMPUTED_VALUE"""),30.0)</f>
        <v>30</v>
      </c>
      <c r="K3572" s="18">
        <f>IFERROR(__xludf.DUMMYFUNCTION("""COMPUTED_VALUE"""),19.0)</f>
        <v>19</v>
      </c>
      <c r="L3572" s="17">
        <f>IFERROR(__xludf.DUMMYFUNCTION("""COMPUTED_VALUE"""),1.4168062042E10)</f>
        <v>14168062042</v>
      </c>
      <c r="M3572" s="17" t="str">
        <f>IFERROR(__xludf.DUMMYFUNCTION("""COMPUTED_VALUE"""),"#REF!")</f>
        <v>#REF!</v>
      </c>
      <c r="N3572" s="17"/>
      <c r="O3572" s="17"/>
      <c r="P3572" s="17" t="b">
        <f>IFERROR(__xludf.DUMMYFUNCTION("""COMPUTED_VALUE"""),FALSE)</f>
        <v>0</v>
      </c>
      <c r="Q3572" s="20" t="str">
        <f>IFERROR(__xludf.DUMMYFUNCTION("""COMPUTED_VALUE"""),"")</f>
        <v/>
      </c>
      <c r="R3572" s="21" t="str">
        <f>IFERROR(__xludf.DUMMYFUNCTION("""COMPUTED_VALUE"""),"https://drive.google.com/file/d/1b6tE5IHStzOggmXjIO32i9NL2glpVLfD/view?usp=drivesdk")</f>
        <v>https://drive.google.com/file/d/1b6tE5IHStzOggmXjIO32i9NL2glpVLfD/view?usp=drivesdk</v>
      </c>
    </row>
    <row r="3573">
      <c r="A3573" s="15">
        <f>IFERROR(__xludf.DUMMYFUNCTION("""COMPUTED_VALUE"""),45105.0)</f>
        <v>45105</v>
      </c>
      <c r="B3573" s="16" t="str">
        <f>IFERROR(__xludf.DUMMYFUNCTION("""COMPUTED_VALUE"""),"Jeison Rubiano")</f>
        <v>Jeison Rubiano</v>
      </c>
      <c r="C3573" s="15" t="str">
        <f>IFERROR(__xludf.DUMMYFUNCTION("""COMPUTED_VALUE"""),"BOGOTÁ")</f>
        <v>BOGOTÁ</v>
      </c>
      <c r="D3573" s="15" t="str">
        <f>IFERROR(__xludf.DUMMYFUNCTION("""COMPUTED_VALUE"""),"MEDELLÍN")</f>
        <v>MEDELLÍN</v>
      </c>
      <c r="E3573" s="15" t="str">
        <f>IFERROR(__xludf.DUMMYFUNCTION("""COMPUTED_VALUE"""),"Lácteos El Pino SAS")</f>
        <v>Lácteos El Pino SAS</v>
      </c>
      <c r="F3573" s="17" t="str">
        <f>IFERROR(__xludf.DUMMYFUNCTION("""COMPUTED_VALUE"""),"CALLE 119 # 12-55  ESQUINA / SEGUNDO PISO")</f>
        <v>CALLE 119 # 12-55  ESQUINA / SEGUNDO PISO</v>
      </c>
      <c r="G3573" s="15" t="str">
        <f>IFERROR(__xludf.DUMMYFUNCTION("""COMPUTED_VALUE"""),"MI CAMPO")</f>
        <v>MI CAMPO</v>
      </c>
      <c r="H3573" s="16">
        <f>IFERROR(__xludf.DUMMYFUNCTION("""COMPUTED_VALUE"""),12113.0)</f>
        <v>12113</v>
      </c>
      <c r="I3573" s="18">
        <f>IFERROR(__xludf.DUMMYFUNCTION("""COMPUTED_VALUE"""),33.0)</f>
        <v>33</v>
      </c>
      <c r="J3573" s="18">
        <f>IFERROR(__xludf.DUMMYFUNCTION("""COMPUTED_VALUE"""),22.0)</f>
        <v>22</v>
      </c>
      <c r="K3573" s="18">
        <f>IFERROR(__xludf.DUMMYFUNCTION("""COMPUTED_VALUE"""),36.0)</f>
        <v>36</v>
      </c>
      <c r="L3573" s="17"/>
      <c r="M3573" s="17" t="str">
        <f>IFERROR(__xludf.DUMMYFUNCTION("""COMPUTED_VALUE"""),"#REF!")</f>
        <v>#REF!</v>
      </c>
      <c r="N3573" s="17"/>
      <c r="O3573" s="17"/>
      <c r="P3573" s="17" t="b">
        <f>IFERROR(__xludf.DUMMYFUNCTION("""COMPUTED_VALUE"""),FALSE)</f>
        <v>0</v>
      </c>
      <c r="Q3573" s="20" t="str">
        <f>IFERROR(__xludf.DUMMYFUNCTION("""COMPUTED_VALUE"""),"")</f>
        <v/>
      </c>
      <c r="R3573" s="22" t="str">
        <f>IFERROR(__xludf.DUMMYFUNCTION("""COMPUTED_VALUE"""),"")</f>
        <v/>
      </c>
    </row>
    <row r="3574">
      <c r="A3574" s="15">
        <f>IFERROR(__xludf.DUMMYFUNCTION("""COMPUTED_VALUE"""),45105.0)</f>
        <v>45105</v>
      </c>
      <c r="B3574" s="16" t="str">
        <f>IFERROR(__xludf.DUMMYFUNCTION("""COMPUTED_VALUE"""),"Jeison Rubiano")</f>
        <v>Jeison Rubiano</v>
      </c>
      <c r="C3574" s="15" t="str">
        <f>IFERROR(__xludf.DUMMYFUNCTION("""COMPUTED_VALUE"""),"BOGOTÁ")</f>
        <v>BOGOTÁ</v>
      </c>
      <c r="D3574" s="15" t="str">
        <f>IFERROR(__xludf.DUMMYFUNCTION("""COMPUTED_VALUE"""),"MEDELLÍN")</f>
        <v>MEDELLÍN</v>
      </c>
      <c r="E3574" s="15" t="str">
        <f>IFERROR(__xludf.DUMMYFUNCTION("""COMPUTED_VALUE"""),"Moloso S.A.S")</f>
        <v>Moloso S.A.S</v>
      </c>
      <c r="F3574" s="17" t="str">
        <f>IFERROR(__xludf.DUMMYFUNCTION("""COMPUTED_VALUE"""),"CL 139 72 A 60 / CASA 29")</f>
        <v>CL 139 72 A 60 / CASA 29</v>
      </c>
      <c r="G3574" s="15" t="str">
        <f>IFERROR(__xludf.DUMMYFUNCTION("""COMPUTED_VALUE"""),"DAVID PULIDO ROMERO")</f>
        <v>DAVID PULIDO ROMERO</v>
      </c>
      <c r="H3574" s="16">
        <f>IFERROR(__xludf.DUMMYFUNCTION("""COMPUTED_VALUE"""),12121.0)</f>
        <v>12121</v>
      </c>
      <c r="I3574" s="18">
        <f>IFERROR(__xludf.DUMMYFUNCTION("""COMPUTED_VALUE"""),17.0)</f>
        <v>17</v>
      </c>
      <c r="J3574" s="18">
        <f>IFERROR(__xludf.DUMMYFUNCTION("""COMPUTED_VALUE"""),15.0)</f>
        <v>15</v>
      </c>
      <c r="K3574" s="18">
        <f>IFERROR(__xludf.DUMMYFUNCTION("""COMPUTED_VALUE"""),28.0)</f>
        <v>28</v>
      </c>
      <c r="L3574" s="17">
        <f>IFERROR(__xludf.DUMMYFUNCTION("""COMPUTED_VALUE"""),3.053165403E9)</f>
        <v>3053165403</v>
      </c>
      <c r="M3574" s="17" t="str">
        <f>IFERROR(__xludf.DUMMYFUNCTION("""COMPUTED_VALUE"""),"#REF!")</f>
        <v>#REF!</v>
      </c>
      <c r="N3574" s="17"/>
      <c r="O3574" s="17"/>
      <c r="P3574" s="17" t="b">
        <f>IFERROR(__xludf.DUMMYFUNCTION("""COMPUTED_VALUE"""),FALSE)</f>
        <v>0</v>
      </c>
      <c r="Q3574" s="20" t="str">
        <f>IFERROR(__xludf.DUMMYFUNCTION("""COMPUTED_VALUE"""),"")</f>
        <v/>
      </c>
      <c r="R3574" s="21" t="str">
        <f>IFERROR(__xludf.DUMMYFUNCTION("""COMPUTED_VALUE"""),"https://drive.google.com/file/d/1pZ765iZeC2EoPlRDCKDz_GWBxQFqm8Kb/view?usp=drivesdk")</f>
        <v>https://drive.google.com/file/d/1pZ765iZeC2EoPlRDCKDz_GWBxQFqm8Kb/view?usp=drivesdk</v>
      </c>
    </row>
    <row r="3575">
      <c r="A3575" s="15">
        <f>IFERROR(__xludf.DUMMYFUNCTION("""COMPUTED_VALUE"""),45105.0)</f>
        <v>45105</v>
      </c>
      <c r="B3575" s="16" t="str">
        <f>IFERROR(__xludf.DUMMYFUNCTION("""COMPUTED_VALUE"""),"Jeison Rubiano")</f>
        <v>Jeison Rubiano</v>
      </c>
      <c r="C3575" s="15" t="str">
        <f>IFERROR(__xludf.DUMMYFUNCTION("""COMPUTED_VALUE"""),"MEDELLÍN")</f>
        <v>MEDELLÍN</v>
      </c>
      <c r="D3575" s="15" t="str">
        <f>IFERROR(__xludf.DUMMYFUNCTION("""COMPUTED_VALUE"""),"BOGOTÁ")</f>
        <v>BOGOTÁ</v>
      </c>
      <c r="E3575" s="15" t="str">
        <f>IFERROR(__xludf.DUMMYFUNCTION("""COMPUTED_VALUE"""),"Ins. Alimento Vital")</f>
        <v>Ins. Alimento Vital</v>
      </c>
      <c r="F3575" s="17" t="str">
        <f>IFERROR(__xludf.DUMMYFUNCTION("""COMPUTED_VALUE"""),"AV 74B 39B 142 / CASA NEGRA 2 PISO / BARRIO LAURELES")</f>
        <v>AV 74B 39B 142 / CASA NEGRA 2 PISO / BARRIO LAURELES</v>
      </c>
      <c r="G3575" s="15" t="str">
        <f>IFERROR(__xludf.DUMMYFUNCTION("""COMPUTED_VALUE"""),"VELOCITY MEDELLIN")</f>
        <v>VELOCITY MEDELLIN</v>
      </c>
      <c r="H3575" s="16">
        <f>IFERROR(__xludf.DUMMYFUNCTION("""COMPUTED_VALUE"""),12117.0)</f>
        <v>12117</v>
      </c>
      <c r="I3575" s="18">
        <f>IFERROR(__xludf.DUMMYFUNCTION("""COMPUTED_VALUE"""),1.0)</f>
        <v>1</v>
      </c>
      <c r="J3575" s="18">
        <f>IFERROR(__xludf.DUMMYFUNCTION("""COMPUTED_VALUE"""),1.0)</f>
        <v>1</v>
      </c>
      <c r="K3575" s="18">
        <f>IFERROR(__xludf.DUMMYFUNCTION("""COMPUTED_VALUE"""),1.0)</f>
        <v>1</v>
      </c>
      <c r="L3575" s="17">
        <f>IFERROR(__xludf.DUMMYFUNCTION("""COMPUTED_VALUE"""),3.239674555E9)</f>
        <v>3239674555</v>
      </c>
      <c r="M3575" s="17" t="str">
        <f>IFERROR(__xludf.DUMMYFUNCTION("""COMPUTED_VALUE"""),"#REF!")</f>
        <v>#REF!</v>
      </c>
      <c r="N3575" s="17"/>
      <c r="O3575" s="17"/>
      <c r="P3575" s="17" t="b">
        <f>IFERROR(__xludf.DUMMYFUNCTION("""COMPUTED_VALUE"""),FALSE)</f>
        <v>0</v>
      </c>
      <c r="Q3575" s="20" t="str">
        <f>IFERROR(__xludf.DUMMYFUNCTION("""COMPUTED_VALUE"""),"")</f>
        <v/>
      </c>
      <c r="R3575" s="22" t="str">
        <f>IFERROR(__xludf.DUMMYFUNCTION("""COMPUTED_VALUE"""),"")</f>
        <v/>
      </c>
    </row>
    <row r="3576">
      <c r="A3576" s="15">
        <f>IFERROR(__xludf.DUMMYFUNCTION("""COMPUTED_VALUE"""),45105.0)</f>
        <v>45105</v>
      </c>
      <c r="B3576" s="16" t="str">
        <f>IFERROR(__xludf.DUMMYFUNCTION("""COMPUTED_VALUE"""),"Jeison Rubiano")</f>
        <v>Jeison Rubiano</v>
      </c>
      <c r="C3576" s="15" t="str">
        <f>IFERROR(__xludf.DUMMYFUNCTION("""COMPUTED_VALUE"""),"VALLEDUPAR")</f>
        <v>VALLEDUPAR</v>
      </c>
      <c r="D3576" s="15" t="str">
        <f>IFERROR(__xludf.DUMMYFUNCTION("""COMPUTED_VALUE"""),"MEDELLÍN")</f>
        <v>MEDELLÍN</v>
      </c>
      <c r="E3576" s="15" t="str">
        <f>IFERROR(__xludf.DUMMYFUNCTION("""COMPUTED_VALUE"""),"Baby Chef")</f>
        <v>Baby Chef</v>
      </c>
      <c r="F3576" s="17" t="str">
        <f>IFERROR(__xludf.DUMMYFUNCTION("""COMPUTED_VALUE"""),"Calle 18A No. 34b-21 Barrio Francisco de Paula Santander / Calle 18A No. 34b-21 Barrio Francisco de Paula Santander / Calle 18A No. 34b-21 Barrio Francisco de Paula Santander")</f>
        <v>Calle 18A No. 34b-21 Barrio Francisco de Paula Santander / Calle 18A No. 34b-21 Barrio Francisco de Paula Santander / Calle 18A No. 34b-21 Barrio Francisco de Paula Santander</v>
      </c>
      <c r="G3576" s="15" t="str">
        <f>IFERROR(__xludf.DUMMYFUNCTION("""COMPUTED_VALUE"""),"Danya Pérez")</f>
        <v>Danya Pérez</v>
      </c>
      <c r="H3576" s="16">
        <f>IFERROR(__xludf.DUMMYFUNCTION("""COMPUTED_VALUE"""),12103.0)</f>
        <v>12103</v>
      </c>
      <c r="I3576" s="18">
        <f>IFERROR(__xludf.DUMMYFUNCTION("""COMPUTED_VALUE"""),8.0)</f>
        <v>8</v>
      </c>
      <c r="J3576" s="18">
        <f>IFERROR(__xludf.DUMMYFUNCTION("""COMPUTED_VALUE"""),16.0)</f>
        <v>16</v>
      </c>
      <c r="K3576" s="18">
        <f>IFERROR(__xludf.DUMMYFUNCTION("""COMPUTED_VALUE"""),20.0)</f>
        <v>20</v>
      </c>
      <c r="L3576" s="17">
        <f>IFERROR(__xludf.DUMMYFUNCTION("""COMPUTED_VALUE"""),3.004225894E9)</f>
        <v>3004225894</v>
      </c>
      <c r="M3576" s="17" t="str">
        <f>IFERROR(__xludf.DUMMYFUNCTION("""COMPUTED_VALUE"""),"#REF!")</f>
        <v>#REF!</v>
      </c>
      <c r="N3576" s="17"/>
      <c r="O3576" s="17"/>
      <c r="P3576" s="17" t="b">
        <f>IFERROR(__xludf.DUMMYFUNCTION("""COMPUTED_VALUE"""),FALSE)</f>
        <v>0</v>
      </c>
      <c r="Q3576" s="20" t="str">
        <f>IFERROR(__xludf.DUMMYFUNCTION("""COMPUTED_VALUE"""),"")</f>
        <v/>
      </c>
      <c r="R3576" s="22" t="str">
        <f>IFERROR(__xludf.DUMMYFUNCTION("""COMPUTED_VALUE"""),"")</f>
        <v/>
      </c>
    </row>
    <row r="3577">
      <c r="A3577" s="17" t="str">
        <f>IFERROR(__xludf.DUMMYFUNCTION("""COMPUTED_VALUE"""),"")</f>
        <v/>
      </c>
      <c r="B3577" s="17" t="str">
        <f>IFERROR(__xludf.DUMMYFUNCTION("""COMPUTED_VALUE"""),"")</f>
        <v/>
      </c>
      <c r="C3577" s="17" t="str">
        <f>IFERROR(__xludf.DUMMYFUNCTION("""COMPUTED_VALUE"""),"")</f>
        <v/>
      </c>
      <c r="D3577" s="17" t="str">
        <f>IFERROR(__xludf.DUMMYFUNCTION("""COMPUTED_VALUE"""),"")</f>
        <v/>
      </c>
      <c r="E3577" s="17" t="str">
        <f>IFERROR(__xludf.DUMMYFUNCTION("""COMPUTED_VALUE"""),"")</f>
        <v/>
      </c>
      <c r="F3577" s="17" t="str">
        <f>IFERROR(__xludf.DUMMYFUNCTION("""COMPUTED_VALUE"""),"")</f>
        <v/>
      </c>
      <c r="G3577" s="17" t="str">
        <f>IFERROR(__xludf.DUMMYFUNCTION("""COMPUTED_VALUE"""),"")</f>
        <v/>
      </c>
      <c r="H3577" s="17" t="str">
        <f>IFERROR(__xludf.DUMMYFUNCTION("""COMPUTED_VALUE"""),"")</f>
        <v/>
      </c>
      <c r="I3577" s="17" t="str">
        <f>IFERROR(__xludf.DUMMYFUNCTION("""COMPUTED_VALUE"""),"")</f>
        <v/>
      </c>
      <c r="J3577" s="17" t="str">
        <f>IFERROR(__xludf.DUMMYFUNCTION("""COMPUTED_VALUE"""),"")</f>
        <v/>
      </c>
      <c r="K3577" s="17" t="str">
        <f>IFERROR(__xludf.DUMMYFUNCTION("""COMPUTED_VALUE"""),"")</f>
        <v/>
      </c>
      <c r="L3577" s="17" t="str">
        <f>IFERROR(__xludf.DUMMYFUNCTION("""COMPUTED_VALUE"""),"")</f>
        <v/>
      </c>
      <c r="M3577" s="17" t="str">
        <f>IFERROR(__xludf.DUMMYFUNCTION("""COMPUTED_VALUE"""),"")</f>
        <v/>
      </c>
      <c r="N3577" s="17" t="str">
        <f>IFERROR(__xludf.DUMMYFUNCTION("""COMPUTED_VALUE"""),"")</f>
        <v/>
      </c>
      <c r="O3577" s="17" t="str">
        <f>IFERROR(__xludf.DUMMYFUNCTION("""COMPUTED_VALUE"""),"")</f>
        <v/>
      </c>
      <c r="P3577" s="17" t="str">
        <f>IFERROR(__xludf.DUMMYFUNCTION("""COMPUTED_VALUE"""),"")</f>
        <v/>
      </c>
      <c r="Q3577" s="17" t="str">
        <f>IFERROR(__xludf.DUMMYFUNCTION("""COMPUTED_VALUE"""),"")</f>
        <v/>
      </c>
      <c r="R3577" s="17" t="str">
        <f>IFERROR(__xludf.DUMMYFUNCTION("""COMPUTED_VALUE"""),"")</f>
        <v/>
      </c>
    </row>
    <row r="3578">
      <c r="A3578" s="15">
        <f>IFERROR(__xludf.DUMMYFUNCTION("""COMPUTED_VALUE"""),45105.0)</f>
        <v>45105</v>
      </c>
      <c r="B3578" s="16" t="str">
        <f>IFERROR(__xludf.DUMMYFUNCTION("""COMPUTED_VALUE"""),"Johan Alexander Escobar Arroyo ")</f>
        <v>Johan Alexander Escobar Arroyo </v>
      </c>
      <c r="C3578" s="15" t="str">
        <f>IFERROR(__xludf.DUMMYFUNCTION("""COMPUTED_VALUE"""),"CALI")</f>
        <v>CALI</v>
      </c>
      <c r="D3578" s="15" t="str">
        <f>IFERROR(__xludf.DUMMYFUNCTION("""COMPUTED_VALUE"""),"BOGOTÁ")</f>
        <v>BOGOTÁ</v>
      </c>
      <c r="E3578" s="15" t="str">
        <f>IFERROR(__xludf.DUMMYFUNCTION("""COMPUTED_VALUE"""),"Mochi")</f>
        <v>Mochi</v>
      </c>
      <c r="F3578" s="17" t="str">
        <f>IFERROR(__xludf.DUMMYFUNCTION("""COMPUTED_VALUE"""),"Cl. 15 Nte. #9n-16, Granada, Cali, Valle del Cauca / Cl. 15 Nte. #9n-16, Granada, Cali, Valle del Cauca / Cl. 15 Nte. #9n-16, Granada, Cali, Valle del Cauca")</f>
        <v>Cl. 15 Nte. #9n-16, Granada, Cali, Valle del Cauca / Cl. 15 Nte. #9n-16, Granada, Cali, Valle del Cauca / Cl. 15 Nte. #9n-16, Granada, Cali, Valle del Cauca</v>
      </c>
      <c r="G3578" s="15" t="str">
        <f>IFERROR(__xludf.DUMMYFUNCTION("""COMPUTED_VALUE"""),"Estefania")</f>
        <v>Estefania</v>
      </c>
      <c r="H3578" s="16">
        <f>IFERROR(__xludf.DUMMYFUNCTION("""COMPUTED_VALUE"""),12138.0)</f>
        <v>12138</v>
      </c>
      <c r="I3578" s="18">
        <f>IFERROR(__xludf.DUMMYFUNCTION("""COMPUTED_VALUE"""),100.0)</f>
        <v>100</v>
      </c>
      <c r="J3578" s="18">
        <f>IFERROR(__xludf.DUMMYFUNCTION("""COMPUTED_VALUE"""),100.0)</f>
        <v>100</v>
      </c>
      <c r="K3578" s="18">
        <f>IFERROR(__xludf.DUMMYFUNCTION("""COMPUTED_VALUE"""),100.0)</f>
        <v>100</v>
      </c>
      <c r="L3578" s="17">
        <f>IFERROR(__xludf.DUMMYFUNCTION("""COMPUTED_VALUE"""),3.183028598E9)</f>
        <v>3183028598</v>
      </c>
      <c r="M3578" s="17" t="str">
        <f>IFERROR(__xludf.DUMMYFUNCTION("""COMPUTED_VALUE"""),"#REF!")</f>
        <v>#REF!</v>
      </c>
      <c r="N3578" s="17"/>
      <c r="O3578" s="17"/>
      <c r="P3578" s="17" t="b">
        <f>IFERROR(__xludf.DUMMYFUNCTION("""COMPUTED_VALUE"""),TRUE)</f>
        <v>1</v>
      </c>
      <c r="Q3578" s="20">
        <f>IFERROR(__xludf.DUMMYFUNCTION("""COMPUTED_VALUE"""),45110.97969296297)</f>
        <v>45110.97969</v>
      </c>
      <c r="R3578" s="22" t="str">
        <f>IFERROR(__xludf.DUMMYFUNCTION("""COMPUTED_VALUE"""),"")</f>
        <v/>
      </c>
    </row>
    <row r="3579">
      <c r="A3579" s="15">
        <f>IFERROR(__xludf.DUMMYFUNCTION("""COMPUTED_VALUE"""),45105.0)</f>
        <v>45105</v>
      </c>
      <c r="B3579" s="16" t="str">
        <f>IFERROR(__xludf.DUMMYFUNCTION("""COMPUTED_VALUE"""),"Johan Alexander Escobar Arroyo ")</f>
        <v>Johan Alexander Escobar Arroyo </v>
      </c>
      <c r="C3579" s="15" t="str">
        <f>IFERROR(__xludf.DUMMYFUNCTION("""COMPUTED_VALUE"""),"CALI")</f>
        <v>CALI</v>
      </c>
      <c r="D3579" s="15" t="str">
        <f>IFERROR(__xludf.DUMMYFUNCTION("""COMPUTED_VALUE"""),"MEDELLÍN")</f>
        <v>MEDELLÍN</v>
      </c>
      <c r="E3579" s="15" t="str">
        <f>IFERROR(__xludf.DUMMYFUNCTION("""COMPUTED_VALUE"""),"Baby Chef")</f>
        <v>Baby Chef</v>
      </c>
      <c r="F3579" s="17" t="str">
        <f>IFERROR(__xludf.DUMMYFUNCTION("""COMPUTED_VALUE"""),"Calle 3#63-34  BARRIO PAMPALINDA  UNIDAD PUENTE BLANCO IV APTO203 TORRE 9 / Calle 3#63-34  BARRIO PAMPALINDA  UNIDAD PUENTE BLANCO IV APTO203 TORRE 9 / Calle 3#63-34  BARRIO PAMPALINDA  UNIDAD PUENTE BLANCO IV APTO203 TORRE 9")</f>
        <v>Calle 3#63-34  BARRIO PAMPALINDA  UNIDAD PUENTE BLANCO IV APTO203 TORRE 9 / Calle 3#63-34  BARRIO PAMPALINDA  UNIDAD PUENTE BLANCO IV APTO203 TORRE 9 / Calle 3#63-34  BARRIO PAMPALINDA  UNIDAD PUENTE BLANCO IV APTO203 TORRE 9</v>
      </c>
      <c r="G3579" s="15" t="str">
        <f>IFERROR(__xludf.DUMMYFUNCTION("""COMPUTED_VALUE"""),"Silvana Giraldo Galindo")</f>
        <v>Silvana Giraldo Galindo</v>
      </c>
      <c r="H3579" s="16">
        <f>IFERROR(__xludf.DUMMYFUNCTION("""COMPUTED_VALUE"""),12148.0)</f>
        <v>12148</v>
      </c>
      <c r="I3579" s="18">
        <f>IFERROR(__xludf.DUMMYFUNCTION("""COMPUTED_VALUE"""),8.0)</f>
        <v>8</v>
      </c>
      <c r="J3579" s="18">
        <f>IFERROR(__xludf.DUMMYFUNCTION("""COMPUTED_VALUE"""),16.0)</f>
        <v>16</v>
      </c>
      <c r="K3579" s="18">
        <f>IFERROR(__xludf.DUMMYFUNCTION("""COMPUTED_VALUE"""),20.0)</f>
        <v>20</v>
      </c>
      <c r="L3579" s="17">
        <f>IFERROR(__xludf.DUMMYFUNCTION("""COMPUTED_VALUE"""),3.012605443E9)</f>
        <v>3012605443</v>
      </c>
      <c r="M3579" s="17" t="str">
        <f>IFERROR(__xludf.DUMMYFUNCTION("""COMPUTED_VALUE"""),"#REF!")</f>
        <v>#REF!</v>
      </c>
      <c r="N3579" s="17"/>
      <c r="O3579" s="17"/>
      <c r="P3579" s="17" t="b">
        <f>IFERROR(__xludf.DUMMYFUNCTION("""COMPUTED_VALUE"""),TRUE)</f>
        <v>1</v>
      </c>
      <c r="Q3579" s="20">
        <f>IFERROR(__xludf.DUMMYFUNCTION("""COMPUTED_VALUE"""),45110.97969296297)</f>
        <v>45110.97969</v>
      </c>
      <c r="R3579" s="21" t="str">
        <f>IFERROR(__xludf.DUMMYFUNCTION("""COMPUTED_VALUE"""),"https://drive.google.com/file/d/1yvW8h1Uy-8aWHkT4-cafBaZZ9ulBaiXa/view?usp=drivesdk")</f>
        <v>https://drive.google.com/file/d/1yvW8h1Uy-8aWHkT4-cafBaZZ9ulBaiXa/view?usp=drivesdk</v>
      </c>
    </row>
    <row r="3580">
      <c r="A3580" s="15">
        <f>IFERROR(__xludf.DUMMYFUNCTION("""COMPUTED_VALUE"""),45105.0)</f>
        <v>45105</v>
      </c>
      <c r="B3580" s="16" t="str">
        <f>IFERROR(__xludf.DUMMYFUNCTION("""COMPUTED_VALUE"""),"Johan Alexander Escobar Arroyo ")</f>
        <v>Johan Alexander Escobar Arroyo </v>
      </c>
      <c r="C3580" s="15" t="str">
        <f>IFERROR(__xludf.DUMMYFUNCTION("""COMPUTED_VALUE"""),"CALI")</f>
        <v>CALI</v>
      </c>
      <c r="D3580" s="15" t="str">
        <f>IFERROR(__xludf.DUMMYFUNCTION("""COMPUTED_VALUE"""),"MEDELLÍN")</f>
        <v>MEDELLÍN</v>
      </c>
      <c r="E3580" s="15" t="str">
        <f>IFERROR(__xludf.DUMMYFUNCTION("""COMPUTED_VALUE"""),"Baby Chef")</f>
        <v>Baby Chef</v>
      </c>
      <c r="F3580" s="17" t="str">
        <f>IFERROR(__xludf.DUMMYFUNCTION("""COMPUTED_VALUE"""),"Calle 47 # 120 - 103 apto 425 Unida aurora Barrio ciudad pacifica / Calle 47 # 120 - 103 apto 425 Unida aurora Barrio ciudad pacifica / Calle 47 # 120 - 103 apto 425 Unida aurora Barrio ciudad pacifica")</f>
        <v>Calle 47 # 120 - 103 apto 425 Unida aurora Barrio ciudad pacifica / Calle 47 # 120 - 103 apto 425 Unida aurora Barrio ciudad pacifica / Calle 47 # 120 - 103 apto 425 Unida aurora Barrio ciudad pacifica</v>
      </c>
      <c r="G3580" s="15" t="str">
        <f>IFERROR(__xludf.DUMMYFUNCTION("""COMPUTED_VALUE"""),"Yilena Camargo torres")</f>
        <v>Yilena Camargo torres</v>
      </c>
      <c r="H3580" s="16">
        <f>IFERROR(__xludf.DUMMYFUNCTION("""COMPUTED_VALUE"""),12149.0)</f>
        <v>12149</v>
      </c>
      <c r="I3580" s="18">
        <f>IFERROR(__xludf.DUMMYFUNCTION("""COMPUTED_VALUE"""),8.0)</f>
        <v>8</v>
      </c>
      <c r="J3580" s="18">
        <f>IFERROR(__xludf.DUMMYFUNCTION("""COMPUTED_VALUE"""),16.0)</f>
        <v>16</v>
      </c>
      <c r="K3580" s="18">
        <f>IFERROR(__xludf.DUMMYFUNCTION("""COMPUTED_VALUE"""),20.0)</f>
        <v>20</v>
      </c>
      <c r="L3580" s="17">
        <f>IFERROR(__xludf.DUMMYFUNCTION("""COMPUTED_VALUE"""),3.007062348E9)</f>
        <v>3007062348</v>
      </c>
      <c r="M3580" s="17" t="str">
        <f>IFERROR(__xludf.DUMMYFUNCTION("""COMPUTED_VALUE"""),"#REF!")</f>
        <v>#REF!</v>
      </c>
      <c r="N3580" s="17"/>
      <c r="O3580" s="17"/>
      <c r="P3580" s="17" t="b">
        <f>IFERROR(__xludf.DUMMYFUNCTION("""COMPUTED_VALUE"""),TRUE)</f>
        <v>1</v>
      </c>
      <c r="Q3580" s="20">
        <f>IFERROR(__xludf.DUMMYFUNCTION("""COMPUTED_VALUE"""),45110.97969296297)</f>
        <v>45110.97969</v>
      </c>
      <c r="R3580" s="21" t="str">
        <f>IFERROR(__xludf.DUMMYFUNCTION("""COMPUTED_VALUE"""),"https://drive.google.com/file/d/1Qt82W7zDyzZGPkbPOfvYscWdlj1XxTfe/view?usp=drivesdk")</f>
        <v>https://drive.google.com/file/d/1Qt82W7zDyzZGPkbPOfvYscWdlj1XxTfe/view?usp=drivesdk</v>
      </c>
    </row>
    <row r="3581">
      <c r="A3581" s="15">
        <f>IFERROR(__xludf.DUMMYFUNCTION("""COMPUTED_VALUE"""),45105.0)</f>
        <v>45105</v>
      </c>
      <c r="B3581" s="16" t="str">
        <f>IFERROR(__xludf.DUMMYFUNCTION("""COMPUTED_VALUE"""),"Johan Alexander Escobar Arroyo ")</f>
        <v>Johan Alexander Escobar Arroyo </v>
      </c>
      <c r="C3581" s="15" t="str">
        <f>IFERROR(__xludf.DUMMYFUNCTION("""COMPUTED_VALUE"""),"CALI")</f>
        <v>CALI</v>
      </c>
      <c r="D3581" s="15" t="str">
        <f>IFERROR(__xludf.DUMMYFUNCTION("""COMPUTED_VALUE"""),"MEDELLÍN")</f>
        <v>MEDELLÍN</v>
      </c>
      <c r="E3581" s="15" t="str">
        <f>IFERROR(__xludf.DUMMYFUNCTION("""COMPUTED_VALUE"""),"Baby Chef")</f>
        <v>Baby Chef</v>
      </c>
      <c r="F3581" s="17" t="str">
        <f>IFERROR(__xludf.DUMMYFUNCTION("""COMPUTED_VALUE"""),"Cr 92 número 42 - 95, casa en 2 piso / Cr 92 número 42 - 95, casa en 2 piso / Cr 92 número 42 - 95, casa en 2 piso")</f>
        <v>Cr 92 número 42 - 95, casa en 2 piso / Cr 92 número 42 - 95, casa en 2 piso / Cr 92 número 42 - 95, casa en 2 piso</v>
      </c>
      <c r="G3581" s="15" t="str">
        <f>IFERROR(__xludf.DUMMYFUNCTION("""COMPUTED_VALUE"""),"Milena de la Portilla")</f>
        <v>Milena de la Portilla</v>
      </c>
      <c r="H3581" s="16">
        <f>IFERROR(__xludf.DUMMYFUNCTION("""COMPUTED_VALUE"""),12147.0)</f>
        <v>12147</v>
      </c>
      <c r="I3581" s="18">
        <f>IFERROR(__xludf.DUMMYFUNCTION("""COMPUTED_VALUE"""),8.0)</f>
        <v>8</v>
      </c>
      <c r="J3581" s="18">
        <f>IFERROR(__xludf.DUMMYFUNCTION("""COMPUTED_VALUE"""),16.0)</f>
        <v>16</v>
      </c>
      <c r="K3581" s="18">
        <f>IFERROR(__xludf.DUMMYFUNCTION("""COMPUTED_VALUE"""),20.0)</f>
        <v>20</v>
      </c>
      <c r="L3581" s="17">
        <f>IFERROR(__xludf.DUMMYFUNCTION("""COMPUTED_VALUE"""),3.12753256E9)</f>
        <v>3127532560</v>
      </c>
      <c r="M3581" s="17" t="str">
        <f>IFERROR(__xludf.DUMMYFUNCTION("""COMPUTED_VALUE"""),"#REF!")</f>
        <v>#REF!</v>
      </c>
      <c r="N3581" s="17"/>
      <c r="O3581" s="17"/>
      <c r="P3581" s="17" t="b">
        <f>IFERROR(__xludf.DUMMYFUNCTION("""COMPUTED_VALUE"""),FALSE)</f>
        <v>0</v>
      </c>
      <c r="Q3581" s="20" t="str">
        <f>IFERROR(__xludf.DUMMYFUNCTION("""COMPUTED_VALUE"""),"")</f>
        <v/>
      </c>
      <c r="R3581" s="21" t="str">
        <f>IFERROR(__xludf.DUMMYFUNCTION("""COMPUTED_VALUE"""),"https://drive.google.com/file/d/1RSIgrLdSXcuNzYM22xYppoQ4dYsDwzZV/view?usp=drivesdk")</f>
        <v>https://drive.google.com/file/d/1RSIgrLdSXcuNzYM22xYppoQ4dYsDwzZV/view?usp=drivesdk</v>
      </c>
    </row>
    <row r="3582">
      <c r="A3582" s="15">
        <f>IFERROR(__xludf.DUMMYFUNCTION("""COMPUTED_VALUE"""),45105.0)</f>
        <v>45105</v>
      </c>
      <c r="B3582" s="16" t="str">
        <f>IFERROR(__xludf.DUMMYFUNCTION("""COMPUTED_VALUE"""),"Johan Alexander Escobar Arroyo ")</f>
        <v>Johan Alexander Escobar Arroyo </v>
      </c>
      <c r="C3582" s="15" t="str">
        <f>IFERROR(__xludf.DUMMYFUNCTION("""COMPUTED_VALUE"""),"CALI")</f>
        <v>CALI</v>
      </c>
      <c r="D3582" s="15" t="str">
        <f>IFERROR(__xludf.DUMMYFUNCTION("""COMPUTED_VALUE"""),"MEDELLÍN")</f>
        <v>MEDELLÍN</v>
      </c>
      <c r="E3582" s="15" t="str">
        <f>IFERROR(__xludf.DUMMYFUNCTION("""COMPUTED_VALUE"""),"JD Bufala")</f>
        <v>JD Bufala</v>
      </c>
      <c r="F3582" s="17" t="str">
        <f>IFERROR(__xludf.DUMMYFUNCTION("""COMPUTED_VALUE"""),"Calle 51norte #4bn72 / Delhuertopizzeria  / La flora")</f>
        <v>Calle 51norte #4bn72 / Delhuertopizzeria  / La flora</v>
      </c>
      <c r="G3582" s="15" t="str">
        <f>IFERROR(__xludf.DUMMYFUNCTION("""COMPUTED_VALUE"""),"Javier Rodríguez")</f>
        <v>Javier Rodríguez</v>
      </c>
      <c r="H3582" s="16">
        <f>IFERROR(__xludf.DUMMYFUNCTION("""COMPUTED_VALUE"""),12112.0)</f>
        <v>12112</v>
      </c>
      <c r="I3582" s="18">
        <f>IFERROR(__xludf.DUMMYFUNCTION("""COMPUTED_VALUE"""),45066.0)</f>
        <v>45066</v>
      </c>
      <c r="J3582" s="18">
        <f>IFERROR(__xludf.DUMMYFUNCTION("""COMPUTED_VALUE"""),28.0)</f>
        <v>28</v>
      </c>
      <c r="K3582" s="18">
        <f>IFERROR(__xludf.DUMMYFUNCTION("""COMPUTED_VALUE"""),40.0)</f>
        <v>40</v>
      </c>
      <c r="L3582" s="17">
        <f>IFERROR(__xludf.DUMMYFUNCTION("""COMPUTED_VALUE"""),3.104919761E9)</f>
        <v>3104919761</v>
      </c>
      <c r="M3582" s="17" t="str">
        <f>IFERROR(__xludf.DUMMYFUNCTION("""COMPUTED_VALUE"""),"#REF!")</f>
        <v>#REF!</v>
      </c>
      <c r="N3582" s="17"/>
      <c r="O3582" s="17"/>
      <c r="P3582" s="17" t="b">
        <f>IFERROR(__xludf.DUMMYFUNCTION("""COMPUTED_VALUE"""),FALSE)</f>
        <v>0</v>
      </c>
      <c r="Q3582" s="20" t="str">
        <f>IFERROR(__xludf.DUMMYFUNCTION("""COMPUTED_VALUE"""),"")</f>
        <v/>
      </c>
      <c r="R3582" s="22" t="str">
        <f>IFERROR(__xludf.DUMMYFUNCTION("""COMPUTED_VALUE"""),"")</f>
        <v/>
      </c>
    </row>
    <row r="3583">
      <c r="A3583" s="15">
        <f>IFERROR(__xludf.DUMMYFUNCTION("""COMPUTED_VALUE"""),45105.0)</f>
        <v>45105</v>
      </c>
      <c r="B3583" s="16" t="str">
        <f>IFERROR(__xludf.DUMMYFUNCTION("""COMPUTED_VALUE"""),"Johan Alexander Escobar Arroyo ")</f>
        <v>Johan Alexander Escobar Arroyo </v>
      </c>
      <c r="C3583" s="15" t="str">
        <f>IFERROR(__xludf.DUMMYFUNCTION("""COMPUTED_VALUE"""),"CALI")</f>
        <v>CALI</v>
      </c>
      <c r="D3583" s="15" t="str">
        <f>IFERROR(__xludf.DUMMYFUNCTION("""COMPUTED_VALUE"""),"MEDELLÍN")</f>
        <v>MEDELLÍN</v>
      </c>
      <c r="E3583" s="15" t="str">
        <f>IFERROR(__xludf.DUMMYFUNCTION("""COMPUTED_VALUE"""),"Puro Verde")</f>
        <v>Puro Verde</v>
      </c>
      <c r="F3583" s="17" t="str">
        <f>IFERROR(__xludf.DUMMYFUNCTION("""COMPUTED_VALUE"""),"CALLE 67 NTE # 7N-59.  / OFICINA PISO 5. EDIFICIO PROCASAN / OFICINA. ENTREGAR DESPUES 10 AM")</f>
        <v>CALLE 67 NTE # 7N-59.  / OFICINA PISO 5. EDIFICIO PROCASAN / OFICINA. ENTREGAR DESPUES 10 AM</v>
      </c>
      <c r="G3583" s="15" t="str">
        <f>IFERROR(__xludf.DUMMYFUNCTION("""COMPUTED_VALUE"""),"MELISSA URIBE COBOS")</f>
        <v>MELISSA URIBE COBOS</v>
      </c>
      <c r="H3583" s="16">
        <f>IFERROR(__xludf.DUMMYFUNCTION("""COMPUTED_VALUE"""),12082.0)</f>
        <v>12082</v>
      </c>
      <c r="I3583" s="18">
        <f>IFERROR(__xludf.DUMMYFUNCTION("""COMPUTED_VALUE"""),12.0)</f>
        <v>12</v>
      </c>
      <c r="J3583" s="18">
        <f>IFERROR(__xludf.DUMMYFUNCTION("""COMPUTED_VALUE"""),18.0)</f>
        <v>18</v>
      </c>
      <c r="K3583" s="18">
        <f>IFERROR(__xludf.DUMMYFUNCTION("""COMPUTED_VALUE"""),45.0)</f>
        <v>45</v>
      </c>
      <c r="L3583" s="17">
        <f>IFERROR(__xludf.DUMMYFUNCTION("""COMPUTED_VALUE"""),3.013095515E9)</f>
        <v>3013095515</v>
      </c>
      <c r="M3583" s="17" t="str">
        <f>IFERROR(__xludf.DUMMYFUNCTION("""COMPUTED_VALUE"""),"#REF!")</f>
        <v>#REF!</v>
      </c>
      <c r="N3583" s="17"/>
      <c r="O3583" s="17"/>
      <c r="P3583" s="17" t="b">
        <f>IFERROR(__xludf.DUMMYFUNCTION("""COMPUTED_VALUE"""),FALSE)</f>
        <v>0</v>
      </c>
      <c r="Q3583" s="20" t="str">
        <f>IFERROR(__xludf.DUMMYFUNCTION("""COMPUTED_VALUE"""),"")</f>
        <v/>
      </c>
      <c r="R3583" s="21" t="str">
        <f>IFERROR(__xludf.DUMMYFUNCTION("""COMPUTED_VALUE"""),"https://drive.google.com/file/d/16gHu5pSjc4wS4YGfR8-6Jbd4bLXMSVdN/view?usp=drivesdk")</f>
        <v>https://drive.google.com/file/d/16gHu5pSjc4wS4YGfR8-6Jbd4bLXMSVdN/view?usp=drivesdk</v>
      </c>
    </row>
    <row r="3584">
      <c r="A3584" s="15">
        <f>IFERROR(__xludf.DUMMYFUNCTION("""COMPUTED_VALUE"""),45105.0)</f>
        <v>45105</v>
      </c>
      <c r="B3584" s="16" t="str">
        <f>IFERROR(__xludf.DUMMYFUNCTION("""COMPUTED_VALUE"""),"Johan Alexander Escobar Arroyo ")</f>
        <v>Johan Alexander Escobar Arroyo </v>
      </c>
      <c r="C3584" s="15" t="str">
        <f>IFERROR(__xludf.DUMMYFUNCTION("""COMPUTED_VALUE"""),"CALI")</f>
        <v>CALI</v>
      </c>
      <c r="D3584" s="15" t="str">
        <f>IFERROR(__xludf.DUMMYFUNCTION("""COMPUTED_VALUE"""),"MEDELLÍN")</f>
        <v>MEDELLÍN</v>
      </c>
      <c r="E3584" s="15" t="str">
        <f>IFERROR(__xludf.DUMMYFUNCTION("""COMPUTED_VALUE"""),"Rambla")</f>
        <v>Rambla</v>
      </c>
      <c r="F3584" s="17" t="str">
        <f>IFERROR(__xludf.DUMMYFUNCTION("""COMPUTED_VALUE"""),"avenida 4 norte #7n-46 lc 129 centro comercial centenario  / NA / NA")</f>
        <v>avenida 4 norte #7n-46 lc 129 centro comercial centenario  / NA / NA</v>
      </c>
      <c r="G3584" s="15" t="str">
        <f>IFERROR(__xludf.DUMMYFUNCTION("""COMPUTED_VALUE"""),"Vita Fitness")</f>
        <v>Vita Fitness</v>
      </c>
      <c r="H3584" s="16">
        <f>IFERROR(__xludf.DUMMYFUNCTION("""COMPUTED_VALUE"""),12126.0)</f>
        <v>12126</v>
      </c>
      <c r="I3584" s="18">
        <f>IFERROR(__xludf.DUMMYFUNCTION("""COMPUTED_VALUE"""),30.0)</f>
        <v>30</v>
      </c>
      <c r="J3584" s="18">
        <f>IFERROR(__xludf.DUMMYFUNCTION("""COMPUTED_VALUE"""),33.0)</f>
        <v>33</v>
      </c>
      <c r="K3584" s="18">
        <f>IFERROR(__xludf.DUMMYFUNCTION("""COMPUTED_VALUE"""),35.0)</f>
        <v>35</v>
      </c>
      <c r="L3584" s="17">
        <f>IFERROR(__xludf.DUMMYFUNCTION("""COMPUTED_VALUE"""),3.103420337E9)</f>
        <v>3103420337</v>
      </c>
      <c r="M3584" s="17" t="str">
        <f>IFERROR(__xludf.DUMMYFUNCTION("""COMPUTED_VALUE"""),"#REF!")</f>
        <v>#REF!</v>
      </c>
      <c r="N3584" s="17"/>
      <c r="O3584" s="17"/>
      <c r="P3584" s="17" t="b">
        <f>IFERROR(__xludf.DUMMYFUNCTION("""COMPUTED_VALUE"""),FALSE)</f>
        <v>0</v>
      </c>
      <c r="Q3584" s="20" t="str">
        <f>IFERROR(__xludf.DUMMYFUNCTION("""COMPUTED_VALUE"""),"")</f>
        <v/>
      </c>
      <c r="R3584" s="21" t="str">
        <f>IFERROR(__xludf.DUMMYFUNCTION("""COMPUTED_VALUE"""),"https://drive.google.com/file/d/1sNNbhL_ePqKZCjGejVQoX_ZZs6otizWn/view?usp=drivesdk")</f>
        <v>https://drive.google.com/file/d/1sNNbhL_ePqKZCjGejVQoX_ZZs6otizWn/view?usp=drivesdk</v>
      </c>
    </row>
    <row r="3585">
      <c r="A3585" s="15">
        <f>IFERROR(__xludf.DUMMYFUNCTION("""COMPUTED_VALUE"""),45105.0)</f>
        <v>45105</v>
      </c>
      <c r="B3585" s="16" t="str">
        <f>IFERROR(__xludf.DUMMYFUNCTION("""COMPUTED_VALUE"""),"Johan Alexander Escobar Arroyo ")</f>
        <v>Johan Alexander Escobar Arroyo </v>
      </c>
      <c r="C3585" s="15" t="str">
        <f>IFERROR(__xludf.DUMMYFUNCTION("""COMPUTED_VALUE"""),"CALI")</f>
        <v>CALI</v>
      </c>
      <c r="D3585" s="15" t="str">
        <f>IFERROR(__xludf.DUMMYFUNCTION("""COMPUTED_VALUE"""),"MEDELLÍN")</f>
        <v>MEDELLÍN</v>
      </c>
      <c r="E3585" s="15" t="str">
        <f>IFERROR(__xludf.DUMMYFUNCTION("""COMPUTED_VALUE"""),"Rambla")</f>
        <v>Rambla</v>
      </c>
      <c r="F3585" s="17" t="str">
        <f>IFERROR(__xludf.DUMMYFUNCTION("""COMPUTED_VALUE"""),"Carrera 105 #14-05 Ciudad jardín Local 5 CALI / NA / NA")</f>
        <v>Carrera 105 #14-05 Ciudad jardín Local 5 CALI / NA / NA</v>
      </c>
      <c r="G3585" s="15" t="str">
        <f>IFERROR(__xludf.DUMMYFUNCTION("""COMPUTED_VALUE"""),"Green house")</f>
        <v>Green house</v>
      </c>
      <c r="H3585" s="16">
        <f>IFERROR(__xludf.DUMMYFUNCTION("""COMPUTED_VALUE"""),12124.0)</f>
        <v>12124</v>
      </c>
      <c r="I3585" s="18">
        <f>IFERROR(__xludf.DUMMYFUNCTION("""COMPUTED_VALUE"""),25.0)</f>
        <v>25</v>
      </c>
      <c r="J3585" s="18">
        <f>IFERROR(__xludf.DUMMYFUNCTION("""COMPUTED_VALUE"""),27.0)</f>
        <v>27</v>
      </c>
      <c r="K3585" s="18">
        <f>IFERROR(__xludf.DUMMYFUNCTION("""COMPUTED_VALUE"""),30.0)</f>
        <v>30</v>
      </c>
      <c r="L3585" s="17">
        <f>IFERROR(__xludf.DUMMYFUNCTION("""COMPUTED_VALUE"""),3.155869547E9)</f>
        <v>3155869547</v>
      </c>
      <c r="M3585" s="17" t="str">
        <f>IFERROR(__xludf.DUMMYFUNCTION("""COMPUTED_VALUE"""),"#REF!")</f>
        <v>#REF!</v>
      </c>
      <c r="N3585" s="17"/>
      <c r="O3585" s="17"/>
      <c r="P3585" s="17" t="b">
        <f>IFERROR(__xludf.DUMMYFUNCTION("""COMPUTED_VALUE"""),FALSE)</f>
        <v>0</v>
      </c>
      <c r="Q3585" s="20" t="str">
        <f>IFERROR(__xludf.DUMMYFUNCTION("""COMPUTED_VALUE"""),"")</f>
        <v/>
      </c>
      <c r="R3585" s="21" t="str">
        <f>IFERROR(__xludf.DUMMYFUNCTION("""COMPUTED_VALUE"""),"https://drive.google.com/file/d/1YWexfF9SNDs6D0K1IsV8tTtZgowaYoBl/view?usp=drivesdk")</f>
        <v>https://drive.google.com/file/d/1YWexfF9SNDs6D0K1IsV8tTtZgowaYoBl/view?usp=drivesdk</v>
      </c>
    </row>
    <row r="3586">
      <c r="A3586" s="15">
        <f>IFERROR(__xludf.DUMMYFUNCTION("""COMPUTED_VALUE"""),45105.0)</f>
        <v>45105</v>
      </c>
      <c r="B3586" s="16" t="str">
        <f>IFERROR(__xludf.DUMMYFUNCTION("""COMPUTED_VALUE"""),"Johan Alexander Escobar Arroyo ")</f>
        <v>Johan Alexander Escobar Arroyo </v>
      </c>
      <c r="C3586" s="15" t="str">
        <f>IFERROR(__xludf.DUMMYFUNCTION("""COMPUTED_VALUE"""),"PEREIRA")</f>
        <v>PEREIRA</v>
      </c>
      <c r="D3586" s="15" t="str">
        <f>IFERROR(__xludf.DUMMYFUNCTION("""COMPUTED_VALUE"""),"BOGOTÁ")</f>
        <v>BOGOTÁ</v>
      </c>
      <c r="E3586" s="15" t="str">
        <f>IFERROR(__xludf.DUMMYFUNCTION("""COMPUTED_VALUE"""),"Ins. Alimento Vital")</f>
        <v>Ins. Alimento Vital</v>
      </c>
      <c r="F3586" s="17" t="str">
        <f>IFERROR(__xludf.DUMMYFUNCTION("""COMPUTED_VALUE"""),"CR 5 18 43 / EDIFICIO CHALJUB / BARRIO URIBE")</f>
        <v>CR 5 18 43 / EDIFICIO CHALJUB / BARRIO URIBE</v>
      </c>
      <c r="G3586" s="15" t="str">
        <f>IFERROR(__xludf.DUMMYFUNCTION("""COMPUTED_VALUE"""),"CHALJUB")</f>
        <v>CHALJUB</v>
      </c>
      <c r="H3586" s="16">
        <f>IFERROR(__xludf.DUMMYFUNCTION("""COMPUTED_VALUE"""),12116.0)</f>
        <v>12116</v>
      </c>
      <c r="I3586" s="18">
        <f>IFERROR(__xludf.DUMMYFUNCTION("""COMPUTED_VALUE"""),1.0)</f>
        <v>1</v>
      </c>
      <c r="J3586" s="18">
        <f>IFERROR(__xludf.DUMMYFUNCTION("""COMPUTED_VALUE"""),1.0)</f>
        <v>1</v>
      </c>
      <c r="K3586" s="18">
        <f>IFERROR(__xludf.DUMMYFUNCTION("""COMPUTED_VALUE"""),1.0)</f>
        <v>1</v>
      </c>
      <c r="L3586" s="17">
        <f>IFERROR(__xludf.DUMMYFUNCTION("""COMPUTED_VALUE"""),3.008252529E9)</f>
        <v>3008252529</v>
      </c>
      <c r="M3586" s="17" t="str">
        <f>IFERROR(__xludf.DUMMYFUNCTION("""COMPUTED_VALUE"""),"#REF!")</f>
        <v>#REF!</v>
      </c>
      <c r="N3586" s="17"/>
      <c r="O3586" s="17"/>
      <c r="P3586" s="17" t="b">
        <f>IFERROR(__xludf.DUMMYFUNCTION("""COMPUTED_VALUE"""),FALSE)</f>
        <v>0</v>
      </c>
      <c r="Q3586" s="20" t="str">
        <f>IFERROR(__xludf.DUMMYFUNCTION("""COMPUTED_VALUE"""),"")</f>
        <v/>
      </c>
      <c r="R3586" s="22" t="str">
        <f>IFERROR(__xludf.DUMMYFUNCTION("""COMPUTED_VALUE"""),"")</f>
        <v/>
      </c>
    </row>
    <row r="3587">
      <c r="A3587" s="17" t="str">
        <f>IFERROR(__xludf.DUMMYFUNCTION("""COMPUTED_VALUE"""),"")</f>
        <v/>
      </c>
      <c r="B3587" s="17" t="str">
        <f>IFERROR(__xludf.DUMMYFUNCTION("""COMPUTED_VALUE"""),"")</f>
        <v/>
      </c>
      <c r="C3587" s="17" t="str">
        <f>IFERROR(__xludf.DUMMYFUNCTION("""COMPUTED_VALUE"""),"")</f>
        <v/>
      </c>
      <c r="D3587" s="17" t="str">
        <f>IFERROR(__xludf.DUMMYFUNCTION("""COMPUTED_VALUE"""),"")</f>
        <v/>
      </c>
      <c r="E3587" s="17" t="str">
        <f>IFERROR(__xludf.DUMMYFUNCTION("""COMPUTED_VALUE"""),"")</f>
        <v/>
      </c>
      <c r="F3587" s="17" t="str">
        <f>IFERROR(__xludf.DUMMYFUNCTION("""COMPUTED_VALUE"""),"")</f>
        <v/>
      </c>
      <c r="G3587" s="17" t="str">
        <f>IFERROR(__xludf.DUMMYFUNCTION("""COMPUTED_VALUE"""),"")</f>
        <v/>
      </c>
      <c r="H3587" s="17" t="str">
        <f>IFERROR(__xludf.DUMMYFUNCTION("""COMPUTED_VALUE"""),"")</f>
        <v/>
      </c>
      <c r="I3587" s="17" t="str">
        <f>IFERROR(__xludf.DUMMYFUNCTION("""COMPUTED_VALUE"""),"")</f>
        <v/>
      </c>
      <c r="J3587" s="17" t="str">
        <f>IFERROR(__xludf.DUMMYFUNCTION("""COMPUTED_VALUE"""),"")</f>
        <v/>
      </c>
      <c r="K3587" s="17" t="str">
        <f>IFERROR(__xludf.DUMMYFUNCTION("""COMPUTED_VALUE"""),"")</f>
        <v/>
      </c>
      <c r="L3587" s="17" t="str">
        <f>IFERROR(__xludf.DUMMYFUNCTION("""COMPUTED_VALUE"""),"")</f>
        <v/>
      </c>
      <c r="M3587" s="17" t="str">
        <f>IFERROR(__xludf.DUMMYFUNCTION("""COMPUTED_VALUE"""),"")</f>
        <v/>
      </c>
      <c r="N3587" s="17" t="str">
        <f>IFERROR(__xludf.DUMMYFUNCTION("""COMPUTED_VALUE"""),"")</f>
        <v/>
      </c>
      <c r="O3587" s="17" t="str">
        <f>IFERROR(__xludf.DUMMYFUNCTION("""COMPUTED_VALUE"""),"")</f>
        <v/>
      </c>
      <c r="P3587" s="17" t="str">
        <f>IFERROR(__xludf.DUMMYFUNCTION("""COMPUTED_VALUE"""),"")</f>
        <v/>
      </c>
      <c r="Q3587" s="17" t="str">
        <f>IFERROR(__xludf.DUMMYFUNCTION("""COMPUTED_VALUE"""),"")</f>
        <v/>
      </c>
      <c r="R3587" s="17" t="str">
        <f>IFERROR(__xludf.DUMMYFUNCTION("""COMPUTED_VALUE"""),"")</f>
        <v/>
      </c>
    </row>
    <row r="3588">
      <c r="A3588" s="15">
        <f>IFERROR(__xludf.DUMMYFUNCTION("""COMPUTED_VALUE"""),45106.0)</f>
        <v>45106</v>
      </c>
      <c r="B3588" s="16" t="str">
        <f>IFERROR(__xludf.DUMMYFUNCTION("""COMPUTED_VALUE"""),"Angie Daniela Meneses ")</f>
        <v>Angie Daniela Meneses </v>
      </c>
      <c r="C3588" s="15" t="str">
        <f>IFERROR(__xludf.DUMMYFUNCTION("""COMPUTED_VALUE"""),"CARTAGENA")</f>
        <v>CARTAGENA</v>
      </c>
      <c r="D3588" s="15" t="str">
        <f>IFERROR(__xludf.DUMMYFUNCTION("""COMPUTED_VALUE"""),"MEDELLÍN")</f>
        <v>MEDELLÍN</v>
      </c>
      <c r="E3588" s="15" t="str">
        <f>IFERROR(__xludf.DUMMYFUNCTION("""COMPUTED_VALUE"""),"Rambla")</f>
        <v>Rambla</v>
      </c>
      <c r="F3588" s="17" t="str">
        <f>IFERROR(__xludf.DUMMYFUNCTION("""COMPUTED_VALUE"""),"cra 2 #7-47 local 3 barrio bocagrande / NA / NA")</f>
        <v>cra 2 #7-47 local 3 barrio bocagrande / NA / NA</v>
      </c>
      <c r="G3588" s="15" t="str">
        <f>IFERROR(__xludf.DUMMYFUNCTION("""COMPUTED_VALUE"""),"Enjoy Fit Food Market")</f>
        <v>Enjoy Fit Food Market</v>
      </c>
      <c r="H3588" s="16">
        <f>IFERROR(__xludf.DUMMYFUNCTION("""COMPUTED_VALUE"""),12127.0)</f>
        <v>12127</v>
      </c>
      <c r="I3588" s="18">
        <f>IFERROR(__xludf.DUMMYFUNCTION("""COMPUTED_VALUE"""),22.0)</f>
        <v>22</v>
      </c>
      <c r="J3588" s="18">
        <f>IFERROR(__xludf.DUMMYFUNCTION("""COMPUTED_VALUE"""),25.0)</f>
        <v>25</v>
      </c>
      <c r="K3588" s="18">
        <f>IFERROR(__xludf.DUMMYFUNCTION("""COMPUTED_VALUE"""),28.0)</f>
        <v>28</v>
      </c>
      <c r="L3588" s="17">
        <f>IFERROR(__xludf.DUMMYFUNCTION("""COMPUTED_VALUE"""),3.144759636E9)</f>
        <v>3144759636</v>
      </c>
      <c r="M3588" s="17" t="str">
        <f>IFERROR(__xludf.DUMMYFUNCTION("""COMPUTED_VALUE"""),"#REF!")</f>
        <v>#REF!</v>
      </c>
      <c r="N3588" s="17"/>
      <c r="O3588" s="17"/>
      <c r="P3588" s="17" t="b">
        <f>IFERROR(__xludf.DUMMYFUNCTION("""COMPUTED_VALUE"""),FALSE)</f>
        <v>0</v>
      </c>
      <c r="Q3588" s="20" t="str">
        <f>IFERROR(__xludf.DUMMYFUNCTION("""COMPUTED_VALUE"""),"")</f>
        <v/>
      </c>
      <c r="R3588" s="22" t="str">
        <f>IFERROR(__xludf.DUMMYFUNCTION("""COMPUTED_VALUE"""),"")</f>
        <v/>
      </c>
    </row>
    <row r="3589">
      <c r="A3589" s="15">
        <f>IFERROR(__xludf.DUMMYFUNCTION("""COMPUTED_VALUE"""),45106.0)</f>
        <v>45106</v>
      </c>
      <c r="B3589" s="16" t="str">
        <f>IFERROR(__xludf.DUMMYFUNCTION("""COMPUTED_VALUE"""),"Angie Daniela Meneses ")</f>
        <v>Angie Daniela Meneses </v>
      </c>
      <c r="C3589" s="15" t="str">
        <f>IFERROR(__xludf.DUMMYFUNCTION("""COMPUTED_VALUE"""),"LA DORADA")</f>
        <v>LA DORADA</v>
      </c>
      <c r="D3589" s="15" t="str">
        <f>IFERROR(__xludf.DUMMYFUNCTION("""COMPUTED_VALUE"""),"BOGOTÁ")</f>
        <v>BOGOTÁ</v>
      </c>
      <c r="E3589" s="15" t="str">
        <f>IFERROR(__xludf.DUMMYFUNCTION("""COMPUTED_VALUE"""),"Ins. Alimento Vital")</f>
        <v>Ins. Alimento Vital</v>
      </c>
      <c r="F3589" s="17" t="str">
        <f>IFERROR(__xludf.DUMMYFUNCTION("""COMPUTED_VALUE"""),"CR 5 1 51 AP 101 / LA DORADA / LA DORADA")</f>
        <v>CR 5 1 51 AP 101 / LA DORADA / LA DORADA</v>
      </c>
      <c r="G3589" s="15" t="str">
        <f>IFERROR(__xludf.DUMMYFUNCTION("""COMPUTED_VALUE"""),"MARIA PAULA VERA ACOSTA")</f>
        <v>MARIA PAULA VERA ACOSTA</v>
      </c>
      <c r="H3589" s="16">
        <f>IFERROR(__xludf.DUMMYFUNCTION("""COMPUTED_VALUE"""),12153.0)</f>
        <v>12153</v>
      </c>
      <c r="I3589" s="18">
        <f>IFERROR(__xludf.DUMMYFUNCTION("""COMPUTED_VALUE"""),1.0)</f>
        <v>1</v>
      </c>
      <c r="J3589" s="18">
        <f>IFERROR(__xludf.DUMMYFUNCTION("""COMPUTED_VALUE"""),1.0)</f>
        <v>1</v>
      </c>
      <c r="K3589" s="18">
        <f>IFERROR(__xludf.DUMMYFUNCTION("""COMPUTED_VALUE"""),1.0)</f>
        <v>1</v>
      </c>
      <c r="L3589" s="17">
        <f>IFERROR(__xludf.DUMMYFUNCTION("""COMPUTED_VALUE"""),3.232218966E9)</f>
        <v>3232218966</v>
      </c>
      <c r="M3589" s="17" t="str">
        <f>IFERROR(__xludf.DUMMYFUNCTION("""COMPUTED_VALUE"""),"#REF!")</f>
        <v>#REF!</v>
      </c>
      <c r="N3589" s="17"/>
      <c r="O3589" s="17"/>
      <c r="P3589" s="17" t="b">
        <f>IFERROR(__xludf.DUMMYFUNCTION("""COMPUTED_VALUE"""),TRUE)</f>
        <v>1</v>
      </c>
      <c r="Q3589" s="20">
        <f>IFERROR(__xludf.DUMMYFUNCTION("""COMPUTED_VALUE"""),45106.624545416664)</f>
        <v>45106.62455</v>
      </c>
      <c r="R3589" s="22" t="str">
        <f>IFERROR(__xludf.DUMMYFUNCTION("""COMPUTED_VALUE"""),"")</f>
        <v/>
      </c>
    </row>
    <row r="3590">
      <c r="A3590" s="15">
        <f>IFERROR(__xludf.DUMMYFUNCTION("""COMPUTED_VALUE"""),45106.0)</f>
        <v>45106</v>
      </c>
      <c r="B3590" s="16" t="str">
        <f>IFERROR(__xludf.DUMMYFUNCTION("""COMPUTED_VALUE"""),"Angie Daniela Meneses ")</f>
        <v>Angie Daniela Meneses </v>
      </c>
      <c r="C3590" s="15" t="str">
        <f>IFERROR(__xludf.DUMMYFUNCTION("""COMPUTED_VALUE"""),"POPAYAN")</f>
        <v>POPAYAN</v>
      </c>
      <c r="D3590" s="15" t="str">
        <f>IFERROR(__xludf.DUMMYFUNCTION("""COMPUTED_VALUE"""),"BOGOTÁ")</f>
        <v>BOGOTÁ</v>
      </c>
      <c r="E3590" s="15" t="str">
        <f>IFERROR(__xludf.DUMMYFUNCTION("""COMPUTED_VALUE"""),"Evamazzita")</f>
        <v>Evamazzita</v>
      </c>
      <c r="F3590" s="17" t="str">
        <f>IFERROR(__xludf.DUMMYFUNCTION("""COMPUTED_VALUE"""),"CRA 6 # 27N - 58 /  CRA 6 # 27N - 58 / LOCAL 1 BARRIO LOS HOYOS / VIVEA MERCADO SALUDABLE")</f>
        <v>CRA 6 # 27N - 58 /  CRA 6 # 27N - 58 / LOCAL 1 BARRIO LOS HOYOS / VIVEA MERCADO SALUDABLE</v>
      </c>
      <c r="G3590" s="15" t="str">
        <f>IFERROR(__xludf.DUMMYFUNCTION("""COMPUTED_VALUE"""),"VIVIANA ANDREA CHAMORRO YANZA")</f>
        <v>VIVIANA ANDREA CHAMORRO YANZA</v>
      </c>
      <c r="H3590" s="16">
        <f>IFERROR(__xludf.DUMMYFUNCTION("""COMPUTED_VALUE"""),12173.0)</f>
        <v>12173</v>
      </c>
      <c r="I3590" s="18">
        <f>IFERROR(__xludf.DUMMYFUNCTION("""COMPUTED_VALUE"""),20.0)</f>
        <v>20</v>
      </c>
      <c r="J3590" s="18">
        <f>IFERROR(__xludf.DUMMYFUNCTION("""COMPUTED_VALUE"""),30.0)</f>
        <v>30</v>
      </c>
      <c r="K3590" s="18">
        <f>IFERROR(__xludf.DUMMYFUNCTION("""COMPUTED_VALUE"""),26.0)</f>
        <v>26</v>
      </c>
      <c r="L3590" s="17">
        <f>IFERROR(__xludf.DUMMYFUNCTION("""COMPUTED_VALUE"""),3.122971002E9)</f>
        <v>3122971002</v>
      </c>
      <c r="M3590" s="17" t="str">
        <f>IFERROR(__xludf.DUMMYFUNCTION("""COMPUTED_VALUE"""),"#REF!")</f>
        <v>#REF!</v>
      </c>
      <c r="N3590" s="17"/>
      <c r="O3590" s="17"/>
      <c r="P3590" s="17" t="b">
        <f>IFERROR(__xludf.DUMMYFUNCTION("""COMPUTED_VALUE"""),TRUE)</f>
        <v>1</v>
      </c>
      <c r="Q3590" s="20">
        <f>IFERROR(__xludf.DUMMYFUNCTION("""COMPUTED_VALUE"""),45106.624545416664)</f>
        <v>45106.62455</v>
      </c>
      <c r="R3590" s="22" t="str">
        <f>IFERROR(__xludf.DUMMYFUNCTION("""COMPUTED_VALUE"""),"")</f>
        <v/>
      </c>
    </row>
    <row r="3591">
      <c r="A3591" s="17" t="str">
        <f>IFERROR(__xludf.DUMMYFUNCTION("""COMPUTED_VALUE"""),"")</f>
        <v/>
      </c>
      <c r="B3591" s="17" t="str">
        <f>IFERROR(__xludf.DUMMYFUNCTION("""COMPUTED_VALUE"""),"")</f>
        <v/>
      </c>
      <c r="C3591" s="17" t="str">
        <f>IFERROR(__xludf.DUMMYFUNCTION("""COMPUTED_VALUE"""),"")</f>
        <v/>
      </c>
      <c r="D3591" s="17" t="str">
        <f>IFERROR(__xludf.DUMMYFUNCTION("""COMPUTED_VALUE"""),"")</f>
        <v/>
      </c>
      <c r="E3591" s="17" t="str">
        <f>IFERROR(__xludf.DUMMYFUNCTION("""COMPUTED_VALUE"""),"")</f>
        <v/>
      </c>
      <c r="F3591" s="17" t="str">
        <f>IFERROR(__xludf.DUMMYFUNCTION("""COMPUTED_VALUE"""),"")</f>
        <v/>
      </c>
      <c r="G3591" s="17" t="str">
        <f>IFERROR(__xludf.DUMMYFUNCTION("""COMPUTED_VALUE"""),"")</f>
        <v/>
      </c>
      <c r="H3591" s="17" t="str">
        <f>IFERROR(__xludf.DUMMYFUNCTION("""COMPUTED_VALUE"""),"")</f>
        <v/>
      </c>
      <c r="I3591" s="17" t="str">
        <f>IFERROR(__xludf.DUMMYFUNCTION("""COMPUTED_VALUE"""),"")</f>
        <v/>
      </c>
      <c r="J3591" s="17" t="str">
        <f>IFERROR(__xludf.DUMMYFUNCTION("""COMPUTED_VALUE"""),"")</f>
        <v/>
      </c>
      <c r="K3591" s="17" t="str">
        <f>IFERROR(__xludf.DUMMYFUNCTION("""COMPUTED_VALUE"""),"")</f>
        <v/>
      </c>
      <c r="L3591" s="17" t="str">
        <f>IFERROR(__xludf.DUMMYFUNCTION("""COMPUTED_VALUE"""),"")</f>
        <v/>
      </c>
      <c r="M3591" s="17" t="str">
        <f>IFERROR(__xludf.DUMMYFUNCTION("""COMPUTED_VALUE"""),"")</f>
        <v/>
      </c>
      <c r="N3591" s="17" t="str">
        <f>IFERROR(__xludf.DUMMYFUNCTION("""COMPUTED_VALUE"""),"")</f>
        <v/>
      </c>
      <c r="O3591" s="17" t="str">
        <f>IFERROR(__xludf.DUMMYFUNCTION("""COMPUTED_VALUE"""),"")</f>
        <v/>
      </c>
      <c r="P3591" s="17" t="str">
        <f>IFERROR(__xludf.DUMMYFUNCTION("""COMPUTED_VALUE"""),"")</f>
        <v/>
      </c>
      <c r="Q3591" s="17" t="str">
        <f>IFERROR(__xludf.DUMMYFUNCTION("""COMPUTED_VALUE"""),"")</f>
        <v/>
      </c>
      <c r="R3591" s="17" t="str">
        <f>IFERROR(__xludf.DUMMYFUNCTION("""COMPUTED_VALUE"""),"")</f>
        <v/>
      </c>
    </row>
    <row r="3592">
      <c r="A3592" s="15">
        <f>IFERROR(__xludf.DUMMYFUNCTION("""COMPUTED_VALUE"""),45106.0)</f>
        <v>45106</v>
      </c>
      <c r="B3592" s="16" t="str">
        <f>IFERROR(__xludf.DUMMYFUNCTION("""COMPUTED_VALUE"""),"David Sanmartin Bello")</f>
        <v>David Sanmartin Bello</v>
      </c>
      <c r="C3592" s="15" t="str">
        <f>IFERROR(__xludf.DUMMYFUNCTION("""COMPUTED_VALUE"""),"BARRANQUILLA")</f>
        <v>BARRANQUILLA</v>
      </c>
      <c r="D3592" s="15" t="str">
        <f>IFERROR(__xludf.DUMMYFUNCTION("""COMPUTED_VALUE"""),"BOGOTÁ")</f>
        <v>BOGOTÁ</v>
      </c>
      <c r="E3592" s="15" t="str">
        <f>IFERROR(__xludf.DUMMYFUNCTION("""COMPUTED_VALUE"""),"Mochi")</f>
        <v>Mochi</v>
      </c>
      <c r="F3592" s="17" t="str">
        <f>IFERROR(__xludf.DUMMYFUNCTION("""COMPUTED_VALUE"""),"centro comercial viva barranquilla / centro comercial viva barranquilla / centro comercial viva barranquilla")</f>
        <v>centro comercial viva barranquilla / centro comercial viva barranquilla / centro comercial viva barranquilla</v>
      </c>
      <c r="G3592" s="15" t="str">
        <f>IFERROR(__xludf.DUMMYFUNCTION("""COMPUTED_VALUE"""),"yinna")</f>
        <v>yinna</v>
      </c>
      <c r="H3592" s="16">
        <f>IFERROR(__xludf.DUMMYFUNCTION("""COMPUTED_VALUE"""),12184.0)</f>
        <v>12184</v>
      </c>
      <c r="I3592" s="18">
        <f>IFERROR(__xludf.DUMMYFUNCTION("""COMPUTED_VALUE"""),100.0)</f>
        <v>100</v>
      </c>
      <c r="J3592" s="18">
        <f>IFERROR(__xludf.DUMMYFUNCTION("""COMPUTED_VALUE"""),100.0)</f>
        <v>100</v>
      </c>
      <c r="K3592" s="18">
        <f>IFERROR(__xludf.DUMMYFUNCTION("""COMPUTED_VALUE"""),200.0)</f>
        <v>200</v>
      </c>
      <c r="L3592" s="17">
        <f>IFERROR(__xludf.DUMMYFUNCTION("""COMPUTED_VALUE"""),3.26528485E8)</f>
        <v>326528485</v>
      </c>
      <c r="M3592" s="17" t="str">
        <f>IFERROR(__xludf.DUMMYFUNCTION("""COMPUTED_VALUE"""),"#REF!")</f>
        <v>#REF!</v>
      </c>
      <c r="N3592" s="17"/>
      <c r="O3592" s="17"/>
      <c r="P3592" s="17" t="b">
        <f>IFERROR(__xludf.DUMMYFUNCTION("""COMPUTED_VALUE"""),TRUE)</f>
        <v>1</v>
      </c>
      <c r="Q3592" s="20">
        <f>IFERROR(__xludf.DUMMYFUNCTION("""COMPUTED_VALUE"""),45110.97969296297)</f>
        <v>45110.97969</v>
      </c>
      <c r="R3592" s="22" t="str">
        <f>IFERROR(__xludf.DUMMYFUNCTION("""COMPUTED_VALUE"""),"")</f>
        <v/>
      </c>
    </row>
    <row r="3593">
      <c r="A3593" s="15">
        <f>IFERROR(__xludf.DUMMYFUNCTION("""COMPUTED_VALUE"""),45106.0)</f>
        <v>45106</v>
      </c>
      <c r="B3593" s="16" t="str">
        <f>IFERROR(__xludf.DUMMYFUNCTION("""COMPUTED_VALUE"""),"David Sanmartin Bello")</f>
        <v>David Sanmartin Bello</v>
      </c>
      <c r="C3593" s="15" t="str">
        <f>IFERROR(__xludf.DUMMYFUNCTION("""COMPUTED_VALUE"""),"CARTAGENA")</f>
        <v>CARTAGENA</v>
      </c>
      <c r="D3593" s="15" t="str">
        <f>IFERROR(__xludf.DUMMYFUNCTION("""COMPUTED_VALUE"""),"BOGOTÁ")</f>
        <v>BOGOTÁ</v>
      </c>
      <c r="E3593" s="15" t="str">
        <f>IFERROR(__xludf.DUMMYFUNCTION("""COMPUTED_VALUE"""),"Asociacion Agropecuaria Juana Maria")</f>
        <v>Asociacion Agropecuaria Juana Maria</v>
      </c>
      <c r="F3593" s="17" t="str">
        <f>IFERROR(__xludf.DUMMYFUNCTION("""COMPUTED_VALUE"""),"Calle 68 N 15 79 Barrio Daniel Lemaitre")</f>
        <v>Calle 68 N 15 79 Barrio Daniel Lemaitre</v>
      </c>
      <c r="G3593" s="15" t="str">
        <f>IFERROR(__xludf.DUMMYFUNCTION("""COMPUTED_VALUE"""),"Katerin Alies Alvarez")</f>
        <v>Katerin Alies Alvarez</v>
      </c>
      <c r="H3593" s="16">
        <f>IFERROR(__xludf.DUMMYFUNCTION("""COMPUTED_VALUE"""),12019.0)</f>
        <v>12019</v>
      </c>
      <c r="I3593" s="18">
        <f>IFERROR(__xludf.DUMMYFUNCTION("""COMPUTED_VALUE"""),25.0)</f>
        <v>25</v>
      </c>
      <c r="J3593" s="18">
        <f>IFERROR(__xludf.DUMMYFUNCTION("""COMPUTED_VALUE"""),18.0)</f>
        <v>18</v>
      </c>
      <c r="K3593" s="18">
        <f>IFERROR(__xludf.DUMMYFUNCTION("""COMPUTED_VALUE"""),3.0)</f>
        <v>3</v>
      </c>
      <c r="L3593" s="17">
        <f>IFERROR(__xludf.DUMMYFUNCTION("""COMPUTED_VALUE"""),3.157537911E9)</f>
        <v>3157537911</v>
      </c>
      <c r="M3593" s="17" t="str">
        <f>IFERROR(__xludf.DUMMYFUNCTION("""COMPUTED_VALUE"""),"#REF!")</f>
        <v>#REF!</v>
      </c>
      <c r="N3593" s="17"/>
      <c r="O3593" s="17"/>
      <c r="P3593" s="17" t="b">
        <f>IFERROR(__xludf.DUMMYFUNCTION("""COMPUTED_VALUE"""),TRUE)</f>
        <v>1</v>
      </c>
      <c r="Q3593" s="20">
        <f>IFERROR(__xludf.DUMMYFUNCTION("""COMPUTED_VALUE"""),45106.624545416664)</f>
        <v>45106.62455</v>
      </c>
      <c r="R3593" s="21" t="str">
        <f>IFERROR(__xludf.DUMMYFUNCTION("""COMPUTED_VALUE"""),"https://drive.google.com/file/d/1q283wQTuQ9hX3T0LPkRm-Rp_kWALOhqb/view?usp=drivesdk")</f>
        <v>https://drive.google.com/file/d/1q283wQTuQ9hX3T0LPkRm-Rp_kWALOhqb/view?usp=drivesdk</v>
      </c>
    </row>
    <row r="3594">
      <c r="A3594" s="15">
        <f>IFERROR(__xludf.DUMMYFUNCTION("""COMPUTED_VALUE"""),45106.0)</f>
        <v>45106</v>
      </c>
      <c r="B3594" s="16" t="str">
        <f>IFERROR(__xludf.DUMMYFUNCTION("""COMPUTED_VALUE"""),"David Sanmartin Bello")</f>
        <v>David Sanmartin Bello</v>
      </c>
      <c r="C3594" s="15" t="str">
        <f>IFERROR(__xludf.DUMMYFUNCTION("""COMPUTED_VALUE"""),"CARTAGENA")</f>
        <v>CARTAGENA</v>
      </c>
      <c r="D3594" s="15" t="str">
        <f>IFERROR(__xludf.DUMMYFUNCTION("""COMPUTED_VALUE"""),"BOGOTÁ")</f>
        <v>BOGOTÁ</v>
      </c>
      <c r="E3594" s="15" t="str">
        <f>IFERROR(__xludf.DUMMYFUNCTION("""COMPUTED_VALUE"""),"Mochi")</f>
        <v>Mochi</v>
      </c>
      <c r="F3594" s="17" t="str">
        <f>IFERROR(__xludf.DUMMYFUNCTION("""COMPUTED_VALUE"""),"centro comercial serrezuela / centro comercial serrezuela / centro comercial serrezuela")</f>
        <v>centro comercial serrezuela / centro comercial serrezuela / centro comercial serrezuela</v>
      </c>
      <c r="G3594" s="15" t="str">
        <f>IFERROR(__xludf.DUMMYFUNCTION("""COMPUTED_VALUE"""),"Maria Camila")</f>
        <v>Maria Camila</v>
      </c>
      <c r="H3594" s="16">
        <f>IFERROR(__xludf.DUMMYFUNCTION("""COMPUTED_VALUE"""),12183.0)</f>
        <v>12183</v>
      </c>
      <c r="I3594" s="18">
        <f>IFERROR(__xludf.DUMMYFUNCTION("""COMPUTED_VALUE"""),100.0)</f>
        <v>100</v>
      </c>
      <c r="J3594" s="18">
        <f>IFERROR(__xludf.DUMMYFUNCTION("""COMPUTED_VALUE"""),100.0)</f>
        <v>100</v>
      </c>
      <c r="K3594" s="18">
        <f>IFERROR(__xludf.DUMMYFUNCTION("""COMPUTED_VALUE"""),200.0)</f>
        <v>200</v>
      </c>
      <c r="L3594" s="17">
        <f>IFERROR(__xludf.DUMMYFUNCTION("""COMPUTED_VALUE"""),3.116026252E9)</f>
        <v>3116026252</v>
      </c>
      <c r="M3594" s="17" t="str">
        <f>IFERROR(__xludf.DUMMYFUNCTION("""COMPUTED_VALUE"""),"#REF!")</f>
        <v>#REF!</v>
      </c>
      <c r="N3594" s="17"/>
      <c r="O3594" s="17"/>
      <c r="P3594" s="17" t="b">
        <f>IFERROR(__xludf.DUMMYFUNCTION("""COMPUTED_VALUE"""),TRUE)</f>
        <v>1</v>
      </c>
      <c r="Q3594" s="20">
        <f>IFERROR(__xludf.DUMMYFUNCTION("""COMPUTED_VALUE"""),45106.624545416664)</f>
        <v>45106.62455</v>
      </c>
      <c r="R3594" s="22" t="str">
        <f>IFERROR(__xludf.DUMMYFUNCTION("""COMPUTED_VALUE"""),"")</f>
        <v/>
      </c>
    </row>
    <row r="3595">
      <c r="A3595" s="15">
        <f>IFERROR(__xludf.DUMMYFUNCTION("""COMPUTED_VALUE"""),45106.0)</f>
        <v>45106</v>
      </c>
      <c r="B3595" s="16" t="str">
        <f>IFERROR(__xludf.DUMMYFUNCTION("""COMPUTED_VALUE"""),"David Sanmartin Bello")</f>
        <v>David Sanmartin Bello</v>
      </c>
      <c r="C3595" s="15" t="str">
        <f>IFERROR(__xludf.DUMMYFUNCTION("""COMPUTED_VALUE"""),"CARTAGENA")</f>
        <v>CARTAGENA</v>
      </c>
      <c r="D3595" s="15" t="str">
        <f>IFERROR(__xludf.DUMMYFUNCTION("""COMPUTED_VALUE"""),"BOGOTÁ")</f>
        <v>BOGOTÁ</v>
      </c>
      <c r="E3595" s="15" t="str">
        <f>IFERROR(__xludf.DUMMYFUNCTION("""COMPUTED_VALUE"""),"SISU PARTNERS SAS")</f>
        <v>SISU PARTNERS SAS</v>
      </c>
      <c r="F3595" s="17" t="str">
        <f>IFERROR(__xludf.DUMMYFUNCTION("""COMPUTED_VALUE"""),"Carrera 7 no. 38-48 local 3 / Local Mary &amp; George")</f>
        <v>Carrera 7 no. 38-48 local 3 / Local Mary &amp; George</v>
      </c>
      <c r="G3595" s="15" t="str">
        <f>IFERROR(__xludf.DUMMYFUNCTION("""COMPUTED_VALUE"""),"Carolyne Bailey")</f>
        <v>Carolyne Bailey</v>
      </c>
      <c r="H3595" s="16">
        <f>IFERROR(__xludf.DUMMYFUNCTION("""COMPUTED_VALUE"""),12111.0)</f>
        <v>12111</v>
      </c>
      <c r="I3595" s="18">
        <f>IFERROR(__xludf.DUMMYFUNCTION("""COMPUTED_VALUE"""),29.0)</f>
        <v>29</v>
      </c>
      <c r="J3595" s="18">
        <f>IFERROR(__xludf.DUMMYFUNCTION("""COMPUTED_VALUE"""),45.0)</f>
        <v>45</v>
      </c>
      <c r="K3595" s="18">
        <f>IFERROR(__xludf.DUMMYFUNCTION("""COMPUTED_VALUE"""),55.0)</f>
        <v>55</v>
      </c>
      <c r="L3595" s="17">
        <f>IFERROR(__xludf.DUMMYFUNCTION("""COMPUTED_VALUE"""),3.105510381E9)</f>
        <v>3105510381</v>
      </c>
      <c r="M3595" s="17" t="str">
        <f>IFERROR(__xludf.DUMMYFUNCTION("""COMPUTED_VALUE"""),"#REF!")</f>
        <v>#REF!</v>
      </c>
      <c r="N3595" s="17"/>
      <c r="O3595" s="17"/>
      <c r="P3595" s="17" t="b">
        <f>IFERROR(__xludf.DUMMYFUNCTION("""COMPUTED_VALUE"""),TRUE)</f>
        <v>1</v>
      </c>
      <c r="Q3595" s="20">
        <f>IFERROR(__xludf.DUMMYFUNCTION("""COMPUTED_VALUE"""),45106.624545416664)</f>
        <v>45106.62455</v>
      </c>
      <c r="R3595" s="22" t="str">
        <f>IFERROR(__xludf.DUMMYFUNCTION("""COMPUTED_VALUE"""),"")</f>
        <v/>
      </c>
    </row>
    <row r="3596">
      <c r="A3596" s="15">
        <f>IFERROR(__xludf.DUMMYFUNCTION("""COMPUTED_VALUE"""),45106.0)</f>
        <v>45106</v>
      </c>
      <c r="B3596" s="16" t="str">
        <f>IFERROR(__xludf.DUMMYFUNCTION("""COMPUTED_VALUE"""),"David Sanmartin Bello")</f>
        <v>David Sanmartin Bello</v>
      </c>
      <c r="C3596" s="15" t="str">
        <f>IFERROR(__xludf.DUMMYFUNCTION("""COMPUTED_VALUE"""),"MEDELLÍN")</f>
        <v>MEDELLÍN</v>
      </c>
      <c r="D3596" s="15" t="str">
        <f>IFERROR(__xludf.DUMMYFUNCTION("""COMPUTED_VALUE"""),"BOGOTÁ")</f>
        <v>BOGOTÁ</v>
      </c>
      <c r="E3596" s="15" t="str">
        <f>IFERROR(__xludf.DUMMYFUNCTION("""COMPUTED_VALUE"""),"Viral Brands")</f>
        <v>Viral Brands</v>
      </c>
      <c r="F3596" s="17" t="str">
        <f>IFERROR(__xludf.DUMMYFUNCTION("""COMPUTED_VALUE"""),"Calle 1 sur # 29-354 / Cocina de chuzales y min burger  / Barrio poblado, loma de los parra al lado de la bodega de turbo rappi")</f>
        <v>Calle 1 sur # 29-354 / Cocina de chuzales y min burger  / Barrio poblado, loma de los parra al lado de la bodega de turbo rappi</v>
      </c>
      <c r="G3596" s="15" t="str">
        <f>IFERROR(__xludf.DUMMYFUNCTION("""COMPUTED_VALUE"""),"Carlos olivero")</f>
        <v>Carlos olivero</v>
      </c>
      <c r="H3596" s="16">
        <f>IFERROR(__xludf.DUMMYFUNCTION("""COMPUTED_VALUE"""),12156.0)</f>
        <v>12156</v>
      </c>
      <c r="I3596" s="18">
        <f>IFERROR(__xludf.DUMMYFUNCTION("""COMPUTED_VALUE"""),29.0)</f>
        <v>29</v>
      </c>
      <c r="J3596" s="18">
        <f>IFERROR(__xludf.DUMMYFUNCTION("""COMPUTED_VALUE"""),55.0)</f>
        <v>55</v>
      </c>
      <c r="K3596" s="18">
        <f>IFERROR(__xludf.DUMMYFUNCTION("""COMPUTED_VALUE"""),45.0)</f>
        <v>45</v>
      </c>
      <c r="L3596" s="17">
        <f>IFERROR(__xludf.DUMMYFUNCTION("""COMPUTED_VALUE"""),3.043460624E9)</f>
        <v>3043460624</v>
      </c>
      <c r="M3596" s="17" t="str">
        <f>IFERROR(__xludf.DUMMYFUNCTION("""COMPUTED_VALUE"""),"#REF!")</f>
        <v>#REF!</v>
      </c>
      <c r="N3596" s="17"/>
      <c r="O3596" s="17"/>
      <c r="P3596" s="17" t="b">
        <f>IFERROR(__xludf.DUMMYFUNCTION("""COMPUTED_VALUE"""),FALSE)</f>
        <v>0</v>
      </c>
      <c r="Q3596" s="20" t="str">
        <f>IFERROR(__xludf.DUMMYFUNCTION("""COMPUTED_VALUE"""),"")</f>
        <v/>
      </c>
      <c r="R3596" s="22" t="str">
        <f>IFERROR(__xludf.DUMMYFUNCTION("""COMPUTED_VALUE"""),"")</f>
        <v/>
      </c>
    </row>
    <row r="3597">
      <c r="A3597" s="17" t="str">
        <f>IFERROR(__xludf.DUMMYFUNCTION("""COMPUTED_VALUE"""),"")</f>
        <v/>
      </c>
      <c r="B3597" s="17" t="str">
        <f>IFERROR(__xludf.DUMMYFUNCTION("""COMPUTED_VALUE"""),"")</f>
        <v/>
      </c>
      <c r="C3597" s="17" t="str">
        <f>IFERROR(__xludf.DUMMYFUNCTION("""COMPUTED_VALUE"""),"")</f>
        <v/>
      </c>
      <c r="D3597" s="17" t="str">
        <f>IFERROR(__xludf.DUMMYFUNCTION("""COMPUTED_VALUE"""),"")</f>
        <v/>
      </c>
      <c r="E3597" s="17" t="str">
        <f>IFERROR(__xludf.DUMMYFUNCTION("""COMPUTED_VALUE"""),"")</f>
        <v/>
      </c>
      <c r="F3597" s="17" t="str">
        <f>IFERROR(__xludf.DUMMYFUNCTION("""COMPUTED_VALUE"""),"")</f>
        <v/>
      </c>
      <c r="G3597" s="17" t="str">
        <f>IFERROR(__xludf.DUMMYFUNCTION("""COMPUTED_VALUE"""),"")</f>
        <v/>
      </c>
      <c r="H3597" s="17" t="str">
        <f>IFERROR(__xludf.DUMMYFUNCTION("""COMPUTED_VALUE"""),"")</f>
        <v/>
      </c>
      <c r="I3597" s="17" t="str">
        <f>IFERROR(__xludf.DUMMYFUNCTION("""COMPUTED_VALUE"""),"")</f>
        <v/>
      </c>
      <c r="J3597" s="17" t="str">
        <f>IFERROR(__xludf.DUMMYFUNCTION("""COMPUTED_VALUE"""),"")</f>
        <v/>
      </c>
      <c r="K3597" s="17" t="str">
        <f>IFERROR(__xludf.DUMMYFUNCTION("""COMPUTED_VALUE"""),"")</f>
        <v/>
      </c>
      <c r="L3597" s="17" t="str">
        <f>IFERROR(__xludf.DUMMYFUNCTION("""COMPUTED_VALUE"""),"")</f>
        <v/>
      </c>
      <c r="M3597" s="17" t="str">
        <f>IFERROR(__xludf.DUMMYFUNCTION("""COMPUTED_VALUE"""),"")</f>
        <v/>
      </c>
      <c r="N3597" s="17" t="str">
        <f>IFERROR(__xludf.DUMMYFUNCTION("""COMPUTED_VALUE"""),"")</f>
        <v/>
      </c>
      <c r="O3597" s="17" t="str">
        <f>IFERROR(__xludf.DUMMYFUNCTION("""COMPUTED_VALUE"""),"")</f>
        <v/>
      </c>
      <c r="P3597" s="17" t="str">
        <f>IFERROR(__xludf.DUMMYFUNCTION("""COMPUTED_VALUE"""),"")</f>
        <v/>
      </c>
      <c r="Q3597" s="17" t="str">
        <f>IFERROR(__xludf.DUMMYFUNCTION("""COMPUTED_VALUE"""),"")</f>
        <v/>
      </c>
      <c r="R3597" s="17" t="str">
        <f>IFERROR(__xludf.DUMMYFUNCTION("""COMPUTED_VALUE"""),"")</f>
        <v/>
      </c>
    </row>
    <row r="3598">
      <c r="A3598" s="15">
        <f>IFERROR(__xludf.DUMMYFUNCTION("""COMPUTED_VALUE"""),45106.0)</f>
        <v>45106</v>
      </c>
      <c r="B3598" s="16" t="str">
        <f>IFERROR(__xludf.DUMMYFUNCTION("""COMPUTED_VALUE"""),"Envia")</f>
        <v>Envia</v>
      </c>
      <c r="C3598" s="15" t="str">
        <f>IFERROR(__xludf.DUMMYFUNCTION("""COMPUTED_VALUE"""),"BUCARAMANGA")</f>
        <v>BUCARAMANGA</v>
      </c>
      <c r="D3598" s="15" t="str">
        <f>IFERROR(__xludf.DUMMYFUNCTION("""COMPUTED_VALUE"""),"BOGOTÁ")</f>
        <v>BOGOTÁ</v>
      </c>
      <c r="E3598" s="15" t="str">
        <f>IFERROR(__xludf.DUMMYFUNCTION("""COMPUTED_VALUE"""),"Evamazzita")</f>
        <v>Evamazzita</v>
      </c>
      <c r="F3598" s="17" t="str">
        <f>IFERROR(__xludf.DUMMYFUNCTION("""COMPUTED_VALUE"""),"CRA 20 #7-11 / CRA 20 #7-11 / BARRIO COMUNEROS")</f>
        <v>CRA 20 #7-11 / CRA 20 #7-11 / BARRIO COMUNEROS</v>
      </c>
      <c r="G3598" s="15" t="str">
        <f>IFERROR(__xludf.DUMMYFUNCTION("""COMPUTED_VALUE"""),"MARIO JOSE CORTES PARADA")</f>
        <v>MARIO JOSE CORTES PARADA</v>
      </c>
      <c r="H3598" s="16">
        <f>IFERROR(__xludf.DUMMYFUNCTION("""COMPUTED_VALUE"""),12174.0)</f>
        <v>12174</v>
      </c>
      <c r="I3598" s="18">
        <f>IFERROR(__xludf.DUMMYFUNCTION("""COMPUTED_VALUE"""),21.0)</f>
        <v>21</v>
      </c>
      <c r="J3598" s="18">
        <f>IFERROR(__xludf.DUMMYFUNCTION("""COMPUTED_VALUE"""),35.0)</f>
        <v>35</v>
      </c>
      <c r="K3598" s="18">
        <f>IFERROR(__xludf.DUMMYFUNCTION("""COMPUTED_VALUE"""),29.0)</f>
        <v>29</v>
      </c>
      <c r="L3598" s="17">
        <f>IFERROR(__xludf.DUMMYFUNCTION("""COMPUTED_VALUE"""),3.123394474E9)</f>
        <v>3123394474</v>
      </c>
      <c r="M3598" s="17" t="str">
        <f>IFERROR(__xludf.DUMMYFUNCTION("""COMPUTED_VALUE"""),"#REF!")</f>
        <v>#REF!</v>
      </c>
      <c r="N3598" s="17"/>
      <c r="O3598" s="17"/>
      <c r="P3598" s="17" t="b">
        <f>IFERROR(__xludf.DUMMYFUNCTION("""COMPUTED_VALUE"""),FALSE)</f>
        <v>0</v>
      </c>
      <c r="Q3598" s="20" t="str">
        <f>IFERROR(__xludf.DUMMYFUNCTION("""COMPUTED_VALUE"""),"")</f>
        <v/>
      </c>
      <c r="R3598" s="22" t="str">
        <f>IFERROR(__xludf.DUMMYFUNCTION("""COMPUTED_VALUE"""),"")</f>
        <v/>
      </c>
    </row>
    <row r="3599">
      <c r="A3599" s="15">
        <f>IFERROR(__xludf.DUMMYFUNCTION("""COMPUTED_VALUE"""),45106.0)</f>
        <v>45106</v>
      </c>
      <c r="B3599" s="16" t="str">
        <f>IFERROR(__xludf.DUMMYFUNCTION("""COMPUTED_VALUE"""),"Envia")</f>
        <v>Envia</v>
      </c>
      <c r="C3599" s="15" t="str">
        <f>IFERROR(__xludf.DUMMYFUNCTION("""COMPUTED_VALUE"""),"CALI")</f>
        <v>CALI</v>
      </c>
      <c r="D3599" s="15" t="str">
        <f>IFERROR(__xludf.DUMMYFUNCTION("""COMPUTED_VALUE"""),"BOGOTÁ")</f>
        <v>BOGOTÁ</v>
      </c>
      <c r="E3599" s="15" t="str">
        <f>IFERROR(__xludf.DUMMYFUNCTION("""COMPUTED_VALUE"""),"Asociacion Agropecuaria Juana Maria")</f>
        <v>Asociacion Agropecuaria Juana Maria</v>
      </c>
      <c r="F3599" s="17" t="str">
        <f>IFERROR(__xludf.DUMMYFUNCTION("""COMPUTED_VALUE"""),"Carrera 17B # 33E-33 La Floresta vieja")</f>
        <v>Carrera 17B # 33E-33 La Floresta vieja</v>
      </c>
      <c r="G3599" s="15" t="str">
        <f>IFERROR(__xludf.DUMMYFUNCTION("""COMPUTED_VALUE"""),"Johanna acuña  Molina")</f>
        <v>Johanna acuña  Molina</v>
      </c>
      <c r="H3599" s="16">
        <f>IFERROR(__xludf.DUMMYFUNCTION("""COMPUTED_VALUE"""),12139.0)</f>
        <v>12139</v>
      </c>
      <c r="I3599" s="18">
        <f>IFERROR(__xludf.DUMMYFUNCTION("""COMPUTED_VALUE"""),30.0)</f>
        <v>30</v>
      </c>
      <c r="J3599" s="18">
        <f>IFERROR(__xludf.DUMMYFUNCTION("""COMPUTED_VALUE"""),50.0)</f>
        <v>50</v>
      </c>
      <c r="K3599" s="18">
        <f>IFERROR(__xludf.DUMMYFUNCTION("""COMPUTED_VALUE"""),21.0)</f>
        <v>21</v>
      </c>
      <c r="L3599" s="17">
        <f>IFERROR(__xludf.DUMMYFUNCTION("""COMPUTED_VALUE"""),3.218700343E9)</f>
        <v>3218700343</v>
      </c>
      <c r="M3599" s="17" t="str">
        <f>IFERROR(__xludf.DUMMYFUNCTION("""COMPUTED_VALUE"""),"#REF!")</f>
        <v>#REF!</v>
      </c>
      <c r="N3599" s="17"/>
      <c r="O3599" s="17"/>
      <c r="P3599" s="17" t="b">
        <f>IFERROR(__xludf.DUMMYFUNCTION("""COMPUTED_VALUE"""),TRUE)</f>
        <v>1</v>
      </c>
      <c r="Q3599" s="20">
        <f>IFERROR(__xludf.DUMMYFUNCTION("""COMPUTED_VALUE"""),45106.747083344904)</f>
        <v>45106.74708</v>
      </c>
      <c r="R3599" s="22" t="str">
        <f>IFERROR(__xludf.DUMMYFUNCTION("""COMPUTED_VALUE"""),"")</f>
        <v/>
      </c>
    </row>
    <row r="3600">
      <c r="A3600" s="15">
        <f>IFERROR(__xludf.DUMMYFUNCTION("""COMPUTED_VALUE"""),45106.0)</f>
        <v>45106</v>
      </c>
      <c r="B3600" s="16" t="str">
        <f>IFERROR(__xludf.DUMMYFUNCTION("""COMPUTED_VALUE"""),"Envia")</f>
        <v>Envia</v>
      </c>
      <c r="C3600" s="15" t="str">
        <f>IFERROR(__xludf.DUMMYFUNCTION("""COMPUTED_VALUE"""),"CARTAGENA")</f>
        <v>CARTAGENA</v>
      </c>
      <c r="D3600" s="15" t="str">
        <f>IFERROR(__xludf.DUMMYFUNCTION("""COMPUTED_VALUE"""),"BOGOTÁ")</f>
        <v>BOGOTÁ</v>
      </c>
      <c r="E3600" s="15" t="str">
        <f>IFERROR(__xludf.DUMMYFUNCTION("""COMPUTED_VALUE"""),"Karem foods")</f>
        <v>Karem foods</v>
      </c>
      <c r="F3600" s="17" t="str">
        <f>IFERROR(__xludf.DUMMYFUNCTION("""COMPUTED_VALUE"""),"Calle 6 # 4 -20  / Centro comercial La estación local 1  / Barrio castillo grande")</f>
        <v>Calle 6 # 4 -20  / Centro comercial La estación local 1  / Barrio castillo grande</v>
      </c>
      <c r="G3600" s="15" t="str">
        <f>IFERROR(__xludf.DUMMYFUNCTION("""COMPUTED_VALUE"""),"CocoFit Mercado saludable")</f>
        <v>CocoFit Mercado saludable</v>
      </c>
      <c r="H3600" s="16">
        <f>IFERROR(__xludf.DUMMYFUNCTION("""COMPUTED_VALUE"""),12101.0)</f>
        <v>12101</v>
      </c>
      <c r="I3600" s="18">
        <f>IFERROR(__xludf.DUMMYFUNCTION("""COMPUTED_VALUE"""),25.0)</f>
        <v>25</v>
      </c>
      <c r="J3600" s="18">
        <f>IFERROR(__xludf.DUMMYFUNCTION("""COMPUTED_VALUE"""),25.0)</f>
        <v>25</v>
      </c>
      <c r="K3600" s="18">
        <f>IFERROR(__xludf.DUMMYFUNCTION("""COMPUTED_VALUE"""),60.0)</f>
        <v>60</v>
      </c>
      <c r="L3600" s="17">
        <f>IFERROR(__xludf.DUMMYFUNCTION("""COMPUTED_VALUE"""),3.045768274E9)</f>
        <v>3045768274</v>
      </c>
      <c r="M3600" s="17" t="str">
        <f>IFERROR(__xludf.DUMMYFUNCTION("""COMPUTED_VALUE"""),"#REF!")</f>
        <v>#REF!</v>
      </c>
      <c r="N3600" s="17"/>
      <c r="O3600" s="17"/>
      <c r="P3600" s="17" t="b">
        <f>IFERROR(__xludf.DUMMYFUNCTION("""COMPUTED_VALUE"""),TRUE)</f>
        <v>1</v>
      </c>
      <c r="Q3600" s="20">
        <f>IFERROR(__xludf.DUMMYFUNCTION("""COMPUTED_VALUE"""),45106.747083344904)</f>
        <v>45106.74708</v>
      </c>
      <c r="R3600" s="21" t="str">
        <f>IFERROR(__xludf.DUMMYFUNCTION("""COMPUTED_VALUE"""),"https://drive.google.com/file/d/1HYxBc51TnEHmv_9H5xw2VRbTuVYnC08B/view?usp=drivesdk")</f>
        <v>https://drive.google.com/file/d/1HYxBc51TnEHmv_9H5xw2VRbTuVYnC08B/view?usp=drivesdk</v>
      </c>
    </row>
    <row r="3601">
      <c r="A3601" s="15">
        <f>IFERROR(__xludf.DUMMYFUNCTION("""COMPUTED_VALUE"""),45106.0)</f>
        <v>45106</v>
      </c>
      <c r="B3601" s="16" t="str">
        <f>IFERROR(__xludf.DUMMYFUNCTION("""COMPUTED_VALUE"""),"Envia")</f>
        <v>Envia</v>
      </c>
      <c r="C3601" s="15" t="str">
        <f>IFERROR(__xludf.DUMMYFUNCTION("""COMPUTED_VALUE"""),"CARTAGENA")</f>
        <v>CARTAGENA</v>
      </c>
      <c r="D3601" s="15" t="str">
        <f>IFERROR(__xludf.DUMMYFUNCTION("""COMPUTED_VALUE"""),"BOGOTÁ")</f>
        <v>BOGOTÁ</v>
      </c>
      <c r="E3601" s="15" t="str">
        <f>IFERROR(__xludf.DUMMYFUNCTION("""COMPUTED_VALUE"""),"MAI ALIMENTOS S.A.S")</f>
        <v>MAI ALIMENTOS S.A.S</v>
      </c>
      <c r="F3601" s="17" t="str">
        <f>IFERROR(__xludf.DUMMYFUNCTION("""COMPUTED_VALUE"""),"Carrera 3 A # 31 - 23 / Plaza Santa teresa / Restaurante Harry Sasson")</f>
        <v>Carrera 3 A # 31 - 23 / Plaza Santa teresa / Restaurante Harry Sasson</v>
      </c>
      <c r="G3601" s="15" t="str">
        <f>IFERROR(__xludf.DUMMYFUNCTION("""COMPUTED_VALUE"""),"Hoteles Charleston SAS")</f>
        <v>Hoteles Charleston SAS</v>
      </c>
      <c r="H3601" s="16">
        <f>IFERROR(__xludf.DUMMYFUNCTION("""COMPUTED_VALUE"""),12017.0)</f>
        <v>12017</v>
      </c>
      <c r="I3601" s="18">
        <f>IFERROR(__xludf.DUMMYFUNCTION("""COMPUTED_VALUE"""),35.0)</f>
        <v>35</v>
      </c>
      <c r="J3601" s="18">
        <f>IFERROR(__xludf.DUMMYFUNCTION("""COMPUTED_VALUE"""),17.0)</f>
        <v>17</v>
      </c>
      <c r="K3601" s="18">
        <f>IFERROR(__xludf.DUMMYFUNCTION("""COMPUTED_VALUE"""),13.0)</f>
        <v>13</v>
      </c>
      <c r="L3601" s="17">
        <f>IFERROR(__xludf.DUMMYFUNCTION("""COMPUTED_VALUE"""),3.174374246E9)</f>
        <v>3174374246</v>
      </c>
      <c r="M3601" s="17" t="str">
        <f>IFERROR(__xludf.DUMMYFUNCTION("""COMPUTED_VALUE"""),"#REF!")</f>
        <v>#REF!</v>
      </c>
      <c r="N3601" s="17"/>
      <c r="O3601" s="17"/>
      <c r="P3601" s="17" t="b">
        <f>IFERROR(__xludf.DUMMYFUNCTION("""COMPUTED_VALUE"""),FALSE)</f>
        <v>0</v>
      </c>
      <c r="Q3601" s="20" t="str">
        <f>IFERROR(__xludf.DUMMYFUNCTION("""COMPUTED_VALUE"""),"")</f>
        <v/>
      </c>
      <c r="R3601" s="21" t="str">
        <f>IFERROR(__xludf.DUMMYFUNCTION("""COMPUTED_VALUE"""),"https://drive.google.com/file/d/1SWC3lTuIgctH8CD3qWCzR5Y0xAZFw9YA/view?usp=drivesdk")</f>
        <v>https://drive.google.com/file/d/1SWC3lTuIgctH8CD3qWCzR5Y0xAZFw9YA/view?usp=drivesdk</v>
      </c>
    </row>
    <row r="3602">
      <c r="A3602" s="15">
        <f>IFERROR(__xludf.DUMMYFUNCTION("""COMPUTED_VALUE"""),45106.0)</f>
        <v>45106</v>
      </c>
      <c r="B3602" s="16" t="str">
        <f>IFERROR(__xludf.DUMMYFUNCTION("""COMPUTED_VALUE"""),"Envia")</f>
        <v>Envia</v>
      </c>
      <c r="C3602" s="15" t="str">
        <f>IFERROR(__xludf.DUMMYFUNCTION("""COMPUTED_VALUE"""),"CARTAGENA")</f>
        <v>CARTAGENA</v>
      </c>
      <c r="D3602" s="15" t="str">
        <f>IFERROR(__xludf.DUMMYFUNCTION("""COMPUTED_VALUE"""),"BOGOTÁ")</f>
        <v>BOGOTÁ</v>
      </c>
      <c r="E3602" s="15" t="str">
        <f>IFERROR(__xludf.DUMMYFUNCTION("""COMPUTED_VALUE"""),"Top Spun")</f>
        <v>Top Spun</v>
      </c>
      <c r="F3602" s="17" t="str">
        <f>IFERROR(__xludf.DUMMYFUNCTION("""COMPUTED_VALUE"""),"CRA 4 # 5 - 123 / APTO 1602 EDIFICIO ACUARELA BOCAGRANDE / BOCAGRANDE")</f>
        <v>CRA 4 # 5 - 123 / APTO 1602 EDIFICIO ACUARELA BOCAGRANDE / BOCAGRANDE</v>
      </c>
      <c r="G3602" s="15" t="str">
        <f>IFERROR(__xludf.DUMMYFUNCTION("""COMPUTED_VALUE"""),"JACQUELINE FARAH")</f>
        <v>JACQUELINE FARAH</v>
      </c>
      <c r="H3602" s="16">
        <f>IFERROR(__xludf.DUMMYFUNCTION("""COMPUTED_VALUE"""),12106.0)</f>
        <v>12106</v>
      </c>
      <c r="I3602" s="18">
        <f>IFERROR(__xludf.DUMMYFUNCTION("""COMPUTED_VALUE"""),20.0)</f>
        <v>20</v>
      </c>
      <c r="J3602" s="18">
        <f>IFERROR(__xludf.DUMMYFUNCTION("""COMPUTED_VALUE"""),10.0)</f>
        <v>10</v>
      </c>
      <c r="K3602" s="18">
        <f>IFERROR(__xludf.DUMMYFUNCTION("""COMPUTED_VALUE"""),40.0)</f>
        <v>40</v>
      </c>
      <c r="L3602" s="17">
        <f>IFERROR(__xludf.DUMMYFUNCTION("""COMPUTED_VALUE"""),3.203337464E9)</f>
        <v>3203337464</v>
      </c>
      <c r="M3602" s="17" t="str">
        <f>IFERROR(__xludf.DUMMYFUNCTION("""COMPUTED_VALUE"""),"#REF!")</f>
        <v>#REF!</v>
      </c>
      <c r="N3602" s="17"/>
      <c r="O3602" s="17"/>
      <c r="P3602" s="17" t="b">
        <f>IFERROR(__xludf.DUMMYFUNCTION("""COMPUTED_VALUE"""),FALSE)</f>
        <v>0</v>
      </c>
      <c r="Q3602" s="20" t="str">
        <f>IFERROR(__xludf.DUMMYFUNCTION("""COMPUTED_VALUE"""),"")</f>
        <v/>
      </c>
      <c r="R3602" s="21" t="str">
        <f>IFERROR(__xludf.DUMMYFUNCTION("""COMPUTED_VALUE"""),"https://drive.google.com/file/d/1yaS1R3sd9NJvT99TxrJWzosAc0E8Zu5e/view?usp=drivesdk")</f>
        <v>https://drive.google.com/file/d/1yaS1R3sd9NJvT99TxrJWzosAc0E8Zu5e/view?usp=drivesdk</v>
      </c>
    </row>
    <row r="3603">
      <c r="A3603" s="15">
        <f>IFERROR(__xludf.DUMMYFUNCTION("""COMPUTED_VALUE"""),45106.0)</f>
        <v>45106</v>
      </c>
      <c r="B3603" s="16" t="str">
        <f>IFERROR(__xludf.DUMMYFUNCTION("""COMPUTED_VALUE"""),"Envia")</f>
        <v>Envia</v>
      </c>
      <c r="C3603" s="15" t="str">
        <f>IFERROR(__xludf.DUMMYFUNCTION("""COMPUTED_VALUE"""),"CARTAGENA")</f>
        <v>CARTAGENA</v>
      </c>
      <c r="D3603" s="15" t="str">
        <f>IFERROR(__xludf.DUMMYFUNCTION("""COMPUTED_VALUE"""),"BOGOTÁ")</f>
        <v>BOGOTÁ</v>
      </c>
      <c r="E3603" s="15" t="str">
        <f>IFERROR(__xludf.DUMMYFUNCTION("""COMPUTED_VALUE"""),"Top Spun")</f>
        <v>Top Spun</v>
      </c>
      <c r="F3603" s="17" t="str">
        <f>IFERROR(__xludf.DUMMYFUNCTION("""COMPUTED_VALUE"""),"KM 8 SERENA DEL MAR. / CONJUNTO CAVANA. TORRE 10 APTO 301  / CARTAGENA DE INDIAS")</f>
        <v>KM 8 SERENA DEL MAR. / CONJUNTO CAVANA. TORRE 10 APTO 301  / CARTAGENA DE INDIAS</v>
      </c>
      <c r="G3603" s="15" t="str">
        <f>IFERROR(__xludf.DUMMYFUNCTION("""COMPUTED_VALUE"""),"LAURA MELóN")</f>
        <v>LAURA MELóN</v>
      </c>
      <c r="H3603" s="16">
        <f>IFERROR(__xludf.DUMMYFUNCTION("""COMPUTED_VALUE"""),12107.0)</f>
        <v>12107</v>
      </c>
      <c r="I3603" s="18">
        <f>IFERROR(__xludf.DUMMYFUNCTION("""COMPUTED_VALUE"""),20.0)</f>
        <v>20</v>
      </c>
      <c r="J3603" s="18">
        <f>IFERROR(__xludf.DUMMYFUNCTION("""COMPUTED_VALUE"""),10.0)</f>
        <v>10</v>
      </c>
      <c r="K3603" s="18">
        <f>IFERROR(__xludf.DUMMYFUNCTION("""COMPUTED_VALUE"""),40.0)</f>
        <v>40</v>
      </c>
      <c r="L3603" s="17">
        <f>IFERROR(__xludf.DUMMYFUNCTION("""COMPUTED_VALUE"""),3.002021173E9)</f>
        <v>3002021173</v>
      </c>
      <c r="M3603" s="17" t="str">
        <f>IFERROR(__xludf.DUMMYFUNCTION("""COMPUTED_VALUE"""),"#REF!")</f>
        <v>#REF!</v>
      </c>
      <c r="N3603" s="17"/>
      <c r="O3603" s="17"/>
      <c r="P3603" s="17" t="b">
        <f>IFERROR(__xludf.DUMMYFUNCTION("""COMPUTED_VALUE"""),FALSE)</f>
        <v>0</v>
      </c>
      <c r="Q3603" s="20" t="str">
        <f>IFERROR(__xludf.DUMMYFUNCTION("""COMPUTED_VALUE"""),"")</f>
        <v/>
      </c>
      <c r="R3603" s="21" t="str">
        <f>IFERROR(__xludf.DUMMYFUNCTION("""COMPUTED_VALUE"""),"https://drive.google.com/file/d/1hSSxUa3wPpdUuq4_q3sfFPYZoSno9WYP/view?usp=drivesdk")</f>
        <v>https://drive.google.com/file/d/1hSSxUa3wPpdUuq4_q3sfFPYZoSno9WYP/view?usp=drivesdk</v>
      </c>
    </row>
    <row r="3604">
      <c r="A3604" s="15">
        <f>IFERROR(__xludf.DUMMYFUNCTION("""COMPUTED_VALUE"""),45106.0)</f>
        <v>45106</v>
      </c>
      <c r="B3604" s="16" t="str">
        <f>IFERROR(__xludf.DUMMYFUNCTION("""COMPUTED_VALUE"""),"Envia")</f>
        <v>Envia</v>
      </c>
      <c r="C3604" s="15" t="str">
        <f>IFERROR(__xludf.DUMMYFUNCTION("""COMPUTED_VALUE"""),"MEDELLÍN")</f>
        <v>MEDELLÍN</v>
      </c>
      <c r="D3604" s="15" t="str">
        <f>IFERROR(__xludf.DUMMYFUNCTION("""COMPUTED_VALUE"""),"BOGOTÁ")</f>
        <v>BOGOTÁ</v>
      </c>
      <c r="E3604" s="15" t="str">
        <f>IFERROR(__xludf.DUMMYFUNCTION("""COMPUTED_VALUE"""),"SISU PARTNERS SAS")</f>
        <v>SISU PARTNERS SAS</v>
      </c>
      <c r="F3604" s="17" t="str">
        <f>IFERROR(__xludf.DUMMYFUNCTION("""COMPUTED_VALUE"""),"Carrera 34 no. 7-86 / Local Mary &amp; George")</f>
        <v>Carrera 34 no. 7-86 / Local Mary &amp; George</v>
      </c>
      <c r="G3604" s="15" t="str">
        <f>IFERROR(__xludf.DUMMYFUNCTION("""COMPUTED_VALUE"""),"Maria Paulina Pérez")</f>
        <v>Maria Paulina Pérez</v>
      </c>
      <c r="H3604" s="16">
        <f>IFERROR(__xludf.DUMMYFUNCTION("""COMPUTED_VALUE"""),12110.0)</f>
        <v>12110</v>
      </c>
      <c r="I3604" s="18" t="str">
        <f>IFERROR(__xludf.DUMMYFUNCTION("""COMPUTED_VALUE"""),"52.5")</f>
        <v>52.5</v>
      </c>
      <c r="J3604" s="18">
        <f>IFERROR(__xludf.DUMMYFUNCTION("""COMPUTED_VALUE"""),45.0)</f>
        <v>45</v>
      </c>
      <c r="K3604" s="18">
        <f>IFERROR(__xludf.DUMMYFUNCTION("""COMPUTED_VALUE"""),55.0)</f>
        <v>55</v>
      </c>
      <c r="L3604" s="17">
        <f>IFERROR(__xludf.DUMMYFUNCTION("""COMPUTED_VALUE"""),3.182186058E9)</f>
        <v>3182186058</v>
      </c>
      <c r="M3604" s="17" t="str">
        <f>IFERROR(__xludf.DUMMYFUNCTION("""COMPUTED_VALUE"""),"#REF!")</f>
        <v>#REF!</v>
      </c>
      <c r="N3604" s="17"/>
      <c r="O3604" s="17"/>
      <c r="P3604" s="17" t="b">
        <f>IFERROR(__xludf.DUMMYFUNCTION("""COMPUTED_VALUE"""),FALSE)</f>
        <v>0</v>
      </c>
      <c r="Q3604" s="20" t="str">
        <f>IFERROR(__xludf.DUMMYFUNCTION("""COMPUTED_VALUE"""),"")</f>
        <v/>
      </c>
      <c r="R3604" s="22" t="str">
        <f>IFERROR(__xludf.DUMMYFUNCTION("""COMPUTED_VALUE"""),"")</f>
        <v/>
      </c>
    </row>
    <row r="3605">
      <c r="A3605" s="15">
        <f>IFERROR(__xludf.DUMMYFUNCTION("""COMPUTED_VALUE"""),45106.0)</f>
        <v>45106</v>
      </c>
      <c r="B3605" s="16" t="str">
        <f>IFERROR(__xludf.DUMMYFUNCTION("""COMPUTED_VALUE"""),"Envia")</f>
        <v>Envia</v>
      </c>
      <c r="C3605" s="15" t="str">
        <f>IFERROR(__xludf.DUMMYFUNCTION("""COMPUTED_VALUE"""),"PASTO")</f>
        <v>PASTO</v>
      </c>
      <c r="D3605" s="15" t="str">
        <f>IFERROR(__xludf.DUMMYFUNCTION("""COMPUTED_VALUE"""),"MEDELLÍN")</f>
        <v>MEDELLÍN</v>
      </c>
      <c r="E3605" s="15" t="str">
        <f>IFERROR(__xludf.DUMMYFUNCTION("""COMPUTED_VALUE"""),"Baby Chef")</f>
        <v>Baby Chef</v>
      </c>
      <c r="F3605" s="17" t="str">
        <f>IFERROR(__xludf.DUMMYFUNCTION("""COMPUTED_VALUE"""),"Cra 40 #19b 56 Palermo edificio Amira apto 704 / Cra 40 #19b 56 Palermo edificio Amira apto 704 / Cra 40 #19b 56 Palermo edificio Amira apto 704")</f>
        <v>Cra 40 #19b 56 Palermo edificio Amira apto 704 / Cra 40 #19b 56 Palermo edificio Amira apto 704 / Cra 40 #19b 56 Palermo edificio Amira apto 704</v>
      </c>
      <c r="G3605" s="15" t="str">
        <f>IFERROR(__xludf.DUMMYFUNCTION("""COMPUTED_VALUE"""),"Karen Sofía Leiton")</f>
        <v>Karen Sofía Leiton</v>
      </c>
      <c r="H3605" s="16">
        <f>IFERROR(__xludf.DUMMYFUNCTION("""COMPUTED_VALUE"""),12145.0)</f>
        <v>12145</v>
      </c>
      <c r="I3605" s="18">
        <f>IFERROR(__xludf.DUMMYFUNCTION("""COMPUTED_VALUE"""),8.0)</f>
        <v>8</v>
      </c>
      <c r="J3605" s="18">
        <f>IFERROR(__xludf.DUMMYFUNCTION("""COMPUTED_VALUE"""),16.0)</f>
        <v>16</v>
      </c>
      <c r="K3605" s="18">
        <f>IFERROR(__xludf.DUMMYFUNCTION("""COMPUTED_VALUE"""),20.0)</f>
        <v>20</v>
      </c>
      <c r="L3605" s="17">
        <f>IFERROR(__xludf.DUMMYFUNCTION("""COMPUTED_VALUE"""),3.163488134E9)</f>
        <v>3163488134</v>
      </c>
      <c r="M3605" s="17" t="str">
        <f>IFERROR(__xludf.DUMMYFUNCTION("""COMPUTED_VALUE"""),"#REF!")</f>
        <v>#REF!</v>
      </c>
      <c r="N3605" s="17"/>
      <c r="O3605" s="17"/>
      <c r="P3605" s="17" t="b">
        <f>IFERROR(__xludf.DUMMYFUNCTION("""COMPUTED_VALUE"""),FALSE)</f>
        <v>0</v>
      </c>
      <c r="Q3605" s="20" t="str">
        <f>IFERROR(__xludf.DUMMYFUNCTION("""COMPUTED_VALUE"""),"")</f>
        <v/>
      </c>
      <c r="R3605" s="22" t="str">
        <f>IFERROR(__xludf.DUMMYFUNCTION("""COMPUTED_VALUE"""),"")</f>
        <v/>
      </c>
    </row>
    <row r="3606">
      <c r="A3606" s="15">
        <f>IFERROR(__xludf.DUMMYFUNCTION("""COMPUTED_VALUE"""),45106.0)</f>
        <v>45106</v>
      </c>
      <c r="B3606" s="16" t="str">
        <f>IFERROR(__xludf.DUMMYFUNCTION("""COMPUTED_VALUE"""),"Envia")</f>
        <v>Envia</v>
      </c>
      <c r="C3606" s="15" t="str">
        <f>IFERROR(__xludf.DUMMYFUNCTION("""COMPUTED_VALUE"""),"PASTO")</f>
        <v>PASTO</v>
      </c>
      <c r="D3606" s="15" t="str">
        <f>IFERROR(__xludf.DUMMYFUNCTION("""COMPUTED_VALUE"""),"MEDELLÍN")</f>
        <v>MEDELLÍN</v>
      </c>
      <c r="E3606" s="15" t="str">
        <f>IFERROR(__xludf.DUMMYFUNCTION("""COMPUTED_VALUE"""),"Rambla")</f>
        <v>Rambla</v>
      </c>
      <c r="F3606" s="17" t="str">
        <f>IFERROR(__xludf.DUMMYFUNCTION("""COMPUTED_VALUE"""),"Calle 19 # 31b 17 Pasaje Comercial Novacentro, local 13, Pasto. Horario: de 10am a 8pm  / NA / NA")</f>
        <v>Calle 19 # 31b 17 Pasaje Comercial Novacentro, local 13, Pasto. Horario: de 10am a 8pm  / NA / NA</v>
      </c>
      <c r="G3606" s="15" t="str">
        <f>IFERROR(__xludf.DUMMYFUNCTION("""COMPUTED_VALUE"""),"LUZ DEL SOCORRO")</f>
        <v>LUZ DEL SOCORRO</v>
      </c>
      <c r="H3606" s="16">
        <f>IFERROR(__xludf.DUMMYFUNCTION("""COMPUTED_VALUE"""),12128.0)</f>
        <v>12128</v>
      </c>
      <c r="I3606" s="18">
        <f>IFERROR(__xludf.DUMMYFUNCTION("""COMPUTED_VALUE"""),28.0)</f>
        <v>28</v>
      </c>
      <c r="J3606" s="18">
        <f>IFERROR(__xludf.DUMMYFUNCTION("""COMPUTED_VALUE"""),30.0)</f>
        <v>30</v>
      </c>
      <c r="K3606" s="18">
        <f>IFERROR(__xludf.DUMMYFUNCTION("""COMPUTED_VALUE"""),33.0)</f>
        <v>33</v>
      </c>
      <c r="L3606" s="17">
        <f>IFERROR(__xludf.DUMMYFUNCTION("""COMPUTED_VALUE"""),3.165760774E9)</f>
        <v>3165760774</v>
      </c>
      <c r="M3606" s="17" t="str">
        <f>IFERROR(__xludf.DUMMYFUNCTION("""COMPUTED_VALUE"""),"#REF!")</f>
        <v>#REF!</v>
      </c>
      <c r="N3606" s="17"/>
      <c r="O3606" s="17"/>
      <c r="P3606" s="17" t="b">
        <f>IFERROR(__xludf.DUMMYFUNCTION("""COMPUTED_VALUE"""),FALSE)</f>
        <v>0</v>
      </c>
      <c r="Q3606" s="20" t="str">
        <f>IFERROR(__xludf.DUMMYFUNCTION("""COMPUTED_VALUE"""),"")</f>
        <v/>
      </c>
      <c r="R3606" s="22" t="str">
        <f>IFERROR(__xludf.DUMMYFUNCTION("""COMPUTED_VALUE"""),"")</f>
        <v/>
      </c>
    </row>
    <row r="3607">
      <c r="A3607" s="15">
        <f>IFERROR(__xludf.DUMMYFUNCTION("""COMPUTED_VALUE"""),45106.0)</f>
        <v>45106</v>
      </c>
      <c r="B3607" s="16" t="str">
        <f>IFERROR(__xludf.DUMMYFUNCTION("""COMPUTED_VALUE"""),"Envia")</f>
        <v>Envia</v>
      </c>
      <c r="C3607" s="15" t="str">
        <f>IFERROR(__xludf.DUMMYFUNCTION("""COMPUTED_VALUE"""),"POPAYAN")</f>
        <v>POPAYAN</v>
      </c>
      <c r="D3607" s="15" t="str">
        <f>IFERROR(__xludf.DUMMYFUNCTION("""COMPUTED_VALUE"""),"BOGOTÁ")</f>
        <v>BOGOTÁ</v>
      </c>
      <c r="E3607" s="15" t="str">
        <f>IFERROR(__xludf.DUMMYFUNCTION("""COMPUTED_VALUE"""),"Ins. Alimento Vital")</f>
        <v>Ins. Alimento Vital</v>
      </c>
      <c r="F3607" s="17" t="str">
        <f>IFERROR(__xludf.DUMMYFUNCTION("""COMPUTED_VALUE"""),"ATARDECERES DE LA PRADERA / CASA C9 / AL CEMENTERIO JARDINES DE LA PAZ VARIANTE NORTE")</f>
        <v>ATARDECERES DE LA PRADERA / CASA C9 / AL CEMENTERIO JARDINES DE LA PAZ VARIANTE NORTE</v>
      </c>
      <c r="G3607" s="15" t="str">
        <f>IFERROR(__xludf.DUMMYFUNCTION("""COMPUTED_VALUE"""),"VICTOR HUGO MORALES HORMIGA")</f>
        <v>VICTOR HUGO MORALES HORMIGA</v>
      </c>
      <c r="H3607" s="16">
        <f>IFERROR(__xludf.DUMMYFUNCTION("""COMPUTED_VALUE"""),12157.0)</f>
        <v>12157</v>
      </c>
      <c r="I3607" s="18">
        <f>IFERROR(__xludf.DUMMYFUNCTION("""COMPUTED_VALUE"""),1.0)</f>
        <v>1</v>
      </c>
      <c r="J3607" s="18">
        <f>IFERROR(__xludf.DUMMYFUNCTION("""COMPUTED_VALUE"""),1.0)</f>
        <v>1</v>
      </c>
      <c r="K3607" s="18">
        <f>IFERROR(__xludf.DUMMYFUNCTION("""COMPUTED_VALUE"""),1.0)</f>
        <v>1</v>
      </c>
      <c r="L3607" s="17">
        <f>IFERROR(__xludf.DUMMYFUNCTION("""COMPUTED_VALUE"""),3.148536593E9)</f>
        <v>3148536593</v>
      </c>
      <c r="M3607" s="17" t="str">
        <f>IFERROR(__xludf.DUMMYFUNCTION("""COMPUTED_VALUE"""),"#REF!")</f>
        <v>#REF!</v>
      </c>
      <c r="N3607" s="17"/>
      <c r="O3607" s="17"/>
      <c r="P3607" s="17" t="b">
        <f>IFERROR(__xludf.DUMMYFUNCTION("""COMPUTED_VALUE"""),FALSE)</f>
        <v>0</v>
      </c>
      <c r="Q3607" s="20" t="str">
        <f>IFERROR(__xludf.DUMMYFUNCTION("""COMPUTED_VALUE"""),"")</f>
        <v/>
      </c>
      <c r="R3607" s="22" t="str">
        <f>IFERROR(__xludf.DUMMYFUNCTION("""COMPUTED_VALUE"""),"")</f>
        <v/>
      </c>
    </row>
    <row r="3608">
      <c r="A3608" s="17" t="str">
        <f>IFERROR(__xludf.DUMMYFUNCTION("""COMPUTED_VALUE"""),"")</f>
        <v/>
      </c>
      <c r="B3608" s="17" t="str">
        <f>IFERROR(__xludf.DUMMYFUNCTION("""COMPUTED_VALUE"""),"")</f>
        <v/>
      </c>
      <c r="C3608" s="17" t="str">
        <f>IFERROR(__xludf.DUMMYFUNCTION("""COMPUTED_VALUE"""),"")</f>
        <v/>
      </c>
      <c r="D3608" s="17" t="str">
        <f>IFERROR(__xludf.DUMMYFUNCTION("""COMPUTED_VALUE"""),"")</f>
        <v/>
      </c>
      <c r="E3608" s="17" t="str">
        <f>IFERROR(__xludf.DUMMYFUNCTION("""COMPUTED_VALUE"""),"")</f>
        <v/>
      </c>
      <c r="F3608" s="17" t="str">
        <f>IFERROR(__xludf.DUMMYFUNCTION("""COMPUTED_VALUE"""),"")</f>
        <v/>
      </c>
      <c r="G3608" s="17" t="str">
        <f>IFERROR(__xludf.DUMMYFUNCTION("""COMPUTED_VALUE"""),"")</f>
        <v/>
      </c>
      <c r="H3608" s="17" t="str">
        <f>IFERROR(__xludf.DUMMYFUNCTION("""COMPUTED_VALUE"""),"")</f>
        <v/>
      </c>
      <c r="I3608" s="17" t="str">
        <f>IFERROR(__xludf.DUMMYFUNCTION("""COMPUTED_VALUE"""),"")</f>
        <v/>
      </c>
      <c r="J3608" s="17" t="str">
        <f>IFERROR(__xludf.DUMMYFUNCTION("""COMPUTED_VALUE"""),"")</f>
        <v/>
      </c>
      <c r="K3608" s="17" t="str">
        <f>IFERROR(__xludf.DUMMYFUNCTION("""COMPUTED_VALUE"""),"")</f>
        <v/>
      </c>
      <c r="L3608" s="17" t="str">
        <f>IFERROR(__xludf.DUMMYFUNCTION("""COMPUTED_VALUE"""),"")</f>
        <v/>
      </c>
      <c r="M3608" s="17" t="str">
        <f>IFERROR(__xludf.DUMMYFUNCTION("""COMPUTED_VALUE"""),"")</f>
        <v/>
      </c>
      <c r="N3608" s="17" t="str">
        <f>IFERROR(__xludf.DUMMYFUNCTION("""COMPUTED_VALUE"""),"")</f>
        <v/>
      </c>
      <c r="O3608" s="17" t="str">
        <f>IFERROR(__xludf.DUMMYFUNCTION("""COMPUTED_VALUE"""),"")</f>
        <v/>
      </c>
      <c r="P3608" s="17" t="str">
        <f>IFERROR(__xludf.DUMMYFUNCTION("""COMPUTED_VALUE"""),"")</f>
        <v/>
      </c>
      <c r="Q3608" s="17" t="str">
        <f>IFERROR(__xludf.DUMMYFUNCTION("""COMPUTED_VALUE"""),"")</f>
        <v/>
      </c>
      <c r="R3608" s="17" t="str">
        <f>IFERROR(__xludf.DUMMYFUNCTION("""COMPUTED_VALUE"""),"")</f>
        <v/>
      </c>
    </row>
    <row r="3609">
      <c r="A3609" s="15">
        <f>IFERROR(__xludf.DUMMYFUNCTION("""COMPUTED_VALUE"""),45106.0)</f>
        <v>45106</v>
      </c>
      <c r="B3609" s="16" t="str">
        <f>IFERROR(__xludf.DUMMYFUNCTION("""COMPUTED_VALUE"""),"Gabriel Delgado Guerra")</f>
        <v>Gabriel Delgado Guerra</v>
      </c>
      <c r="C3609" s="15" t="str">
        <f>IFERROR(__xludf.DUMMYFUNCTION("""COMPUTED_VALUE"""),"VILLAVICENCIO")</f>
        <v>VILLAVICENCIO</v>
      </c>
      <c r="D3609" s="15" t="str">
        <f>IFERROR(__xludf.DUMMYFUNCTION("""COMPUTED_VALUE"""),"BOGOTÁ")</f>
        <v>BOGOTÁ</v>
      </c>
      <c r="E3609" s="15" t="str">
        <f>IFERROR(__xludf.DUMMYFUNCTION("""COMPUTED_VALUE"""),"Evamazzita")</f>
        <v>Evamazzita</v>
      </c>
      <c r="F3609" s="17" t="str">
        <f>IFERROR(__xludf.DUMMYFUNCTION("""COMPUTED_VALUE"""),"CRA 19A No. 36A - 03  / CRA 19A No. 36A - 03  / PARAISO JORDAN")</f>
        <v>CRA 19A No. 36A - 03  / CRA 19A No. 36A - 03  / PARAISO JORDAN</v>
      </c>
      <c r="G3609" s="15" t="str">
        <f>IFERROR(__xludf.DUMMYFUNCTION("""COMPUTED_VALUE"""),"LILIANA MARCELA LARA NIÑO")</f>
        <v>LILIANA MARCELA LARA NIÑO</v>
      </c>
      <c r="H3609" s="16">
        <f>IFERROR(__xludf.DUMMYFUNCTION("""COMPUTED_VALUE"""),12169.0)</f>
        <v>12169</v>
      </c>
      <c r="I3609" s="18">
        <f>IFERROR(__xludf.DUMMYFUNCTION("""COMPUTED_VALUE"""),1.0)</f>
        <v>1</v>
      </c>
      <c r="J3609" s="18">
        <f>IFERROR(__xludf.DUMMYFUNCTION("""COMPUTED_VALUE"""),1.0)</f>
        <v>1</v>
      </c>
      <c r="K3609" s="18">
        <f>IFERROR(__xludf.DUMMYFUNCTION("""COMPUTED_VALUE"""),1.0)</f>
        <v>1</v>
      </c>
      <c r="L3609" s="17">
        <f>IFERROR(__xludf.DUMMYFUNCTION("""COMPUTED_VALUE"""),3.224685604E9)</f>
        <v>3224685604</v>
      </c>
      <c r="M3609" s="17" t="str">
        <f>IFERROR(__xludf.DUMMYFUNCTION("""COMPUTED_VALUE"""),"#REF!")</f>
        <v>#REF!</v>
      </c>
      <c r="N3609" s="17"/>
      <c r="O3609" s="17"/>
      <c r="P3609" s="17" t="b">
        <f>IFERROR(__xludf.DUMMYFUNCTION("""COMPUTED_VALUE"""),FALSE)</f>
        <v>0</v>
      </c>
      <c r="Q3609" s="20" t="str">
        <f>IFERROR(__xludf.DUMMYFUNCTION("""COMPUTED_VALUE"""),"")</f>
        <v/>
      </c>
      <c r="R3609" s="21" t="str">
        <f>IFERROR(__xludf.DUMMYFUNCTION("""COMPUTED_VALUE"""),"https://drive.google.com/file/d/1DfhINjximjde7dubXv2c2-TecDoUW-mX/view?usp=drivesdk")</f>
        <v>https://drive.google.com/file/d/1DfhINjximjde7dubXv2c2-TecDoUW-mX/view?usp=drivesdk</v>
      </c>
    </row>
    <row r="3610">
      <c r="A3610" s="15">
        <f>IFERROR(__xludf.DUMMYFUNCTION("""COMPUTED_VALUE"""),45106.0)</f>
        <v>45106</v>
      </c>
      <c r="B3610" s="16" t="str">
        <f>IFERROR(__xludf.DUMMYFUNCTION("""COMPUTED_VALUE"""),"Gabriel Delgado Guerra")</f>
        <v>Gabriel Delgado Guerra</v>
      </c>
      <c r="C3610" s="15" t="str">
        <f>IFERROR(__xludf.DUMMYFUNCTION("""COMPUTED_VALUE"""),"VILLAVICENCIO")</f>
        <v>VILLAVICENCIO</v>
      </c>
      <c r="D3610" s="15" t="str">
        <f>IFERROR(__xludf.DUMMYFUNCTION("""COMPUTED_VALUE"""),"BOGOTÁ")</f>
        <v>BOGOTÁ</v>
      </c>
      <c r="E3610" s="15" t="str">
        <f>IFERROR(__xludf.DUMMYFUNCTION("""COMPUTED_VALUE"""),"Pan de Waffle")</f>
        <v>Pan de Waffle</v>
      </c>
      <c r="F3610" s="17" t="str">
        <f>IFERROR(__xludf.DUMMYFUNCTION("""COMPUTED_VALUE"""),"Calle 15 # 44D - 28 LOCAL 1 Edifi. Palos de Caña / Calle 15 # 44D - 28 LOCAL 1 Edifi. Palos de Caña / Calle 15 # 44D - 28 LOCAL 1 Edifi. Palos de Caña")</f>
        <v>Calle 15 # 44D - 28 LOCAL 1 Edifi. Palos de Caña / Calle 15 # 44D - 28 LOCAL 1 Edifi. Palos de Caña / Calle 15 # 44D - 28 LOCAL 1 Edifi. Palos de Caña</v>
      </c>
      <c r="G3610" s="15" t="str">
        <f>IFERROR(__xludf.DUMMYFUNCTION("""COMPUTED_VALUE"""),"SANA TENTACION - VILLAVICENCIO")</f>
        <v>SANA TENTACION - VILLAVICENCIO</v>
      </c>
      <c r="H3610" s="16">
        <f>IFERROR(__xludf.DUMMYFUNCTION("""COMPUTED_VALUE"""),12134.0)</f>
        <v>12134</v>
      </c>
      <c r="I3610" s="18">
        <f>IFERROR(__xludf.DUMMYFUNCTION("""COMPUTED_VALUE"""),40.0)</f>
        <v>40</v>
      </c>
      <c r="J3610" s="18">
        <f>IFERROR(__xludf.DUMMYFUNCTION("""COMPUTED_VALUE"""),30.0)</f>
        <v>30</v>
      </c>
      <c r="K3610" s="18">
        <f>IFERROR(__xludf.DUMMYFUNCTION("""COMPUTED_VALUE"""),40.0)</f>
        <v>40</v>
      </c>
      <c r="L3610" s="17">
        <f>IFERROR(__xludf.DUMMYFUNCTION("""COMPUTED_VALUE"""),3.008383033E9)</f>
        <v>3008383033</v>
      </c>
      <c r="M3610" s="17" t="str">
        <f>IFERROR(__xludf.DUMMYFUNCTION("""COMPUTED_VALUE"""),"#REF!")</f>
        <v>#REF!</v>
      </c>
      <c r="N3610" s="17"/>
      <c r="O3610" s="17"/>
      <c r="P3610" s="17" t="b">
        <f>IFERROR(__xludf.DUMMYFUNCTION("""COMPUTED_VALUE"""),TRUE)</f>
        <v>1</v>
      </c>
      <c r="Q3610" s="20">
        <f>IFERROR(__xludf.DUMMYFUNCTION("""COMPUTED_VALUE"""),45110.979692974535)</f>
        <v>45110.97969</v>
      </c>
      <c r="R3610" s="21" t="str">
        <f>IFERROR(__xludf.DUMMYFUNCTION("""COMPUTED_VALUE"""),"https://drive.google.com/file/d/1O4_02ACUo-utr1G2ts0GuqrLqDP_a6ao/view?usp=drivesdk")</f>
        <v>https://drive.google.com/file/d/1O4_02ACUo-utr1G2ts0GuqrLqDP_a6ao/view?usp=drivesdk</v>
      </c>
    </row>
    <row r="3611">
      <c r="A3611" s="17" t="str">
        <f>IFERROR(__xludf.DUMMYFUNCTION("""COMPUTED_VALUE"""),"")</f>
        <v/>
      </c>
      <c r="B3611" s="17" t="str">
        <f>IFERROR(__xludf.DUMMYFUNCTION("""COMPUTED_VALUE"""),"")</f>
        <v/>
      </c>
      <c r="C3611" s="17" t="str">
        <f>IFERROR(__xludf.DUMMYFUNCTION("""COMPUTED_VALUE"""),"")</f>
        <v/>
      </c>
      <c r="D3611" s="17" t="str">
        <f>IFERROR(__xludf.DUMMYFUNCTION("""COMPUTED_VALUE"""),"")</f>
        <v/>
      </c>
      <c r="E3611" s="17" t="str">
        <f>IFERROR(__xludf.DUMMYFUNCTION("""COMPUTED_VALUE"""),"")</f>
        <v/>
      </c>
      <c r="F3611" s="17" t="str">
        <f>IFERROR(__xludf.DUMMYFUNCTION("""COMPUTED_VALUE"""),"")</f>
        <v/>
      </c>
      <c r="G3611" s="17" t="str">
        <f>IFERROR(__xludf.DUMMYFUNCTION("""COMPUTED_VALUE"""),"")</f>
        <v/>
      </c>
      <c r="H3611" s="17" t="str">
        <f>IFERROR(__xludf.DUMMYFUNCTION("""COMPUTED_VALUE"""),"")</f>
        <v/>
      </c>
      <c r="I3611" s="17" t="str">
        <f>IFERROR(__xludf.DUMMYFUNCTION("""COMPUTED_VALUE"""),"")</f>
        <v/>
      </c>
      <c r="J3611" s="17" t="str">
        <f>IFERROR(__xludf.DUMMYFUNCTION("""COMPUTED_VALUE"""),"")</f>
        <v/>
      </c>
      <c r="K3611" s="17" t="str">
        <f>IFERROR(__xludf.DUMMYFUNCTION("""COMPUTED_VALUE"""),"")</f>
        <v/>
      </c>
      <c r="L3611" s="17" t="str">
        <f>IFERROR(__xludf.DUMMYFUNCTION("""COMPUTED_VALUE"""),"")</f>
        <v/>
      </c>
      <c r="M3611" s="17" t="str">
        <f>IFERROR(__xludf.DUMMYFUNCTION("""COMPUTED_VALUE"""),"")</f>
        <v/>
      </c>
      <c r="N3611" s="17" t="str">
        <f>IFERROR(__xludf.DUMMYFUNCTION("""COMPUTED_VALUE"""),"")</f>
        <v/>
      </c>
      <c r="O3611" s="17" t="str">
        <f>IFERROR(__xludf.DUMMYFUNCTION("""COMPUTED_VALUE"""),"")</f>
        <v/>
      </c>
      <c r="P3611" s="17" t="str">
        <f>IFERROR(__xludf.DUMMYFUNCTION("""COMPUTED_VALUE"""),"")</f>
        <v/>
      </c>
      <c r="Q3611" s="17" t="str">
        <f>IFERROR(__xludf.DUMMYFUNCTION("""COMPUTED_VALUE"""),"")</f>
        <v/>
      </c>
      <c r="R3611" s="17" t="str">
        <f>IFERROR(__xludf.DUMMYFUNCTION("""COMPUTED_VALUE"""),"")</f>
        <v/>
      </c>
    </row>
    <row r="3612">
      <c r="A3612" s="15">
        <f>IFERROR(__xludf.DUMMYFUNCTION("""COMPUTED_VALUE"""),45106.0)</f>
        <v>45106</v>
      </c>
      <c r="B3612" s="16" t="str">
        <f>IFERROR(__xludf.DUMMYFUNCTION("""COMPUTED_VALUE"""),"Julian Calderon Rodriguez ")</f>
        <v>Julian Calderon Rodriguez </v>
      </c>
      <c r="C3612" s="15" t="str">
        <f>IFERROR(__xludf.DUMMYFUNCTION("""COMPUTED_VALUE"""),"NEIVA")</f>
        <v>NEIVA</v>
      </c>
      <c r="D3612" s="15" t="str">
        <f>IFERROR(__xludf.DUMMYFUNCTION("""COMPUTED_VALUE"""),"BOGOTÁ")</f>
        <v>BOGOTÁ</v>
      </c>
      <c r="E3612" s="15" t="str">
        <f>IFERROR(__xludf.DUMMYFUNCTION("""COMPUTED_VALUE"""),"Ins. Alimento Vital")</f>
        <v>Ins. Alimento Vital</v>
      </c>
      <c r="F3612" s="17" t="str">
        <f>IFERROR(__xludf.DUMMYFUNCTION("""COMPUTED_VALUE"""),"CL 72 3A 09  / CASA / TERCER MILENIO")</f>
        <v>CL 72 3A 09  / CASA / TERCER MILENIO</v>
      </c>
      <c r="G3612" s="15" t="str">
        <f>IFERROR(__xludf.DUMMYFUNCTION("""COMPUTED_VALUE"""),"MICHELL POLO OVIEDO")</f>
        <v>MICHELL POLO OVIEDO</v>
      </c>
      <c r="H3612" s="16">
        <f>IFERROR(__xludf.DUMMYFUNCTION("""COMPUTED_VALUE"""),12152.0)</f>
        <v>12152</v>
      </c>
      <c r="I3612" s="18">
        <f>IFERROR(__xludf.DUMMYFUNCTION("""COMPUTED_VALUE"""),1.0)</f>
        <v>1</v>
      </c>
      <c r="J3612" s="18">
        <f>IFERROR(__xludf.DUMMYFUNCTION("""COMPUTED_VALUE"""),1.0)</f>
        <v>1</v>
      </c>
      <c r="K3612" s="18">
        <f>IFERROR(__xludf.DUMMYFUNCTION("""COMPUTED_VALUE"""),1.0)</f>
        <v>1</v>
      </c>
      <c r="L3612" s="17">
        <f>IFERROR(__xludf.DUMMYFUNCTION("""COMPUTED_VALUE"""),3.213440705E9)</f>
        <v>3213440705</v>
      </c>
      <c r="M3612" s="17" t="str">
        <f>IFERROR(__xludf.DUMMYFUNCTION("""COMPUTED_VALUE"""),"#REF!")</f>
        <v>#REF!</v>
      </c>
      <c r="N3612" s="17"/>
      <c r="O3612" s="17"/>
      <c r="P3612" s="17" t="b">
        <f>IFERROR(__xludf.DUMMYFUNCTION("""COMPUTED_VALUE"""),TRUE)</f>
        <v>1</v>
      </c>
      <c r="Q3612" s="20">
        <f>IFERROR(__xludf.DUMMYFUNCTION("""COMPUTED_VALUE"""),45106.624545416664)</f>
        <v>45106.62455</v>
      </c>
      <c r="R3612" s="22" t="str">
        <f>IFERROR(__xludf.DUMMYFUNCTION("""COMPUTED_VALUE"""),"")</f>
        <v/>
      </c>
    </row>
    <row r="3613">
      <c r="A3613" s="15">
        <f>IFERROR(__xludf.DUMMYFUNCTION("""COMPUTED_VALUE"""),45106.0)</f>
        <v>45106</v>
      </c>
      <c r="B3613" s="16" t="str">
        <f>IFERROR(__xludf.DUMMYFUNCTION("""COMPUTED_VALUE"""),"Julian Calderon Rodriguez ")</f>
        <v>Julian Calderon Rodriguez </v>
      </c>
      <c r="C3613" s="15" t="str">
        <f>IFERROR(__xludf.DUMMYFUNCTION("""COMPUTED_VALUE"""),"POPAYAN")</f>
        <v>POPAYAN</v>
      </c>
      <c r="D3613" s="15" t="str">
        <f>IFERROR(__xludf.DUMMYFUNCTION("""COMPUTED_VALUE"""),"BOGOTÁ")</f>
        <v>BOGOTÁ</v>
      </c>
      <c r="E3613" s="15" t="str">
        <f>IFERROR(__xludf.DUMMYFUNCTION("""COMPUTED_VALUE"""),"Loomifoods")</f>
        <v>Loomifoods</v>
      </c>
      <c r="F3613" s="17" t="str">
        <f>IFERROR(__xludf.DUMMYFUNCTION("""COMPUTED_VALUE"""),"Cra 28a no. 11 - 04 / Mirador / Popayán")</f>
        <v>Cra 28a no. 11 - 04 / Mirador / Popayán</v>
      </c>
      <c r="G3613" s="15" t="str">
        <f>IFERROR(__xludf.DUMMYFUNCTION("""COMPUTED_VALUE"""),"Caterine Garzón")</f>
        <v>Caterine Garzón</v>
      </c>
      <c r="H3613" s="16">
        <f>IFERROR(__xludf.DUMMYFUNCTION("""COMPUTED_VALUE"""),12033.0)</f>
        <v>12033</v>
      </c>
      <c r="I3613" s="18">
        <f>IFERROR(__xludf.DUMMYFUNCTION("""COMPUTED_VALUE"""),20.0)</f>
        <v>20</v>
      </c>
      <c r="J3613" s="18">
        <f>IFERROR(__xludf.DUMMYFUNCTION("""COMPUTED_VALUE"""),5.0)</f>
        <v>5</v>
      </c>
      <c r="K3613" s="18">
        <f>IFERROR(__xludf.DUMMYFUNCTION("""COMPUTED_VALUE"""),16.0)</f>
        <v>16</v>
      </c>
      <c r="L3613" s="17">
        <f>IFERROR(__xludf.DUMMYFUNCTION("""COMPUTED_VALUE"""),3.104086715E9)</f>
        <v>3104086715</v>
      </c>
      <c r="M3613" s="17" t="str">
        <f>IFERROR(__xludf.DUMMYFUNCTION("""COMPUTED_VALUE"""),"#REF!")</f>
        <v>#REF!</v>
      </c>
      <c r="N3613" s="17"/>
      <c r="O3613" s="17"/>
      <c r="P3613" s="17" t="b">
        <f>IFERROR(__xludf.DUMMYFUNCTION("""COMPUTED_VALUE"""),FALSE)</f>
        <v>0</v>
      </c>
      <c r="Q3613" s="20" t="str">
        <f>IFERROR(__xludf.DUMMYFUNCTION("""COMPUTED_VALUE"""),"")</f>
        <v/>
      </c>
      <c r="R3613" s="22" t="str">
        <f>IFERROR(__xludf.DUMMYFUNCTION("""COMPUTED_VALUE"""),"")</f>
        <v/>
      </c>
    </row>
    <row r="3614">
      <c r="A3614" s="15">
        <f>IFERROR(__xludf.DUMMYFUNCTION("""COMPUTED_VALUE"""),45106.0)</f>
        <v>45106</v>
      </c>
      <c r="B3614" s="16" t="str">
        <f>IFERROR(__xludf.DUMMYFUNCTION("""COMPUTED_VALUE"""),"Julian Calderon Rodriguez ")</f>
        <v>Julian Calderon Rodriguez </v>
      </c>
      <c r="C3614" s="15" t="str">
        <f>IFERROR(__xludf.DUMMYFUNCTION("""COMPUTED_VALUE"""),"VILLAVICENCIO")</f>
        <v>VILLAVICENCIO</v>
      </c>
      <c r="D3614" s="15" t="str">
        <f>IFERROR(__xludf.DUMMYFUNCTION("""COMPUTED_VALUE"""),"BOGOTÁ")</f>
        <v>BOGOTÁ</v>
      </c>
      <c r="E3614" s="15" t="str">
        <f>IFERROR(__xludf.DUMMYFUNCTION("""COMPUTED_VALUE"""),"Evamazzita")</f>
        <v>Evamazzita</v>
      </c>
      <c r="F3614" s="17" t="str">
        <f>IFERROR(__xludf.DUMMYFUNCTION("""COMPUTED_VALUE"""),"Cll 12 sur 18 07  / Cll 12 sur 18 07  /  Barrio doña luz")</f>
        <v>Cll 12 sur 18 07  / Cll 12 sur 18 07  /  Barrio doña luz</v>
      </c>
      <c r="G3614" s="15" t="str">
        <f>IFERROR(__xludf.DUMMYFUNCTION("""COMPUTED_VALUE"""),"LAURA MARIA ARGÜELLO PERDOMO")</f>
        <v>LAURA MARIA ARGÜELLO PERDOMO</v>
      </c>
      <c r="H3614" s="16">
        <f>IFERROR(__xludf.DUMMYFUNCTION("""COMPUTED_VALUE"""),12170.0)</f>
        <v>12170</v>
      </c>
      <c r="I3614" s="18">
        <f>IFERROR(__xludf.DUMMYFUNCTION("""COMPUTED_VALUE"""),1.0)</f>
        <v>1</v>
      </c>
      <c r="J3614" s="18">
        <f>IFERROR(__xludf.DUMMYFUNCTION("""COMPUTED_VALUE"""),1.0)</f>
        <v>1</v>
      </c>
      <c r="K3614" s="18">
        <f>IFERROR(__xludf.DUMMYFUNCTION("""COMPUTED_VALUE"""),1.0)</f>
        <v>1</v>
      </c>
      <c r="L3614" s="17">
        <f>IFERROR(__xludf.DUMMYFUNCTION("""COMPUTED_VALUE"""),3.21260194E9)</f>
        <v>3212601940</v>
      </c>
      <c r="M3614" s="17" t="str">
        <f>IFERROR(__xludf.DUMMYFUNCTION("""COMPUTED_VALUE"""),"#REF!")</f>
        <v>#REF!</v>
      </c>
      <c r="N3614" s="17"/>
      <c r="O3614" s="17"/>
      <c r="P3614" s="17" t="b">
        <f>IFERROR(__xludf.DUMMYFUNCTION("""COMPUTED_VALUE"""),FALSE)</f>
        <v>0</v>
      </c>
      <c r="Q3614" s="20" t="str">
        <f>IFERROR(__xludf.DUMMYFUNCTION("""COMPUTED_VALUE"""),"")</f>
        <v/>
      </c>
      <c r="R3614" s="21" t="str">
        <f>IFERROR(__xludf.DUMMYFUNCTION("""COMPUTED_VALUE"""),"https://drive.google.com/file/d/1icmyNXDUbs1LGeU62vvz7NfJZDUeGk-D/view?usp=drivesdk")</f>
        <v>https://drive.google.com/file/d/1icmyNXDUbs1LGeU62vvz7NfJZDUeGk-D/view?usp=drivesdk</v>
      </c>
    </row>
    <row r="3615">
      <c r="A3615" s="17" t="str">
        <f>IFERROR(__xludf.DUMMYFUNCTION("""COMPUTED_VALUE"""),"")</f>
        <v/>
      </c>
      <c r="B3615" s="17" t="str">
        <f>IFERROR(__xludf.DUMMYFUNCTION("""COMPUTED_VALUE"""),"")</f>
        <v/>
      </c>
      <c r="C3615" s="17" t="str">
        <f>IFERROR(__xludf.DUMMYFUNCTION("""COMPUTED_VALUE"""),"")</f>
        <v/>
      </c>
      <c r="D3615" s="17" t="str">
        <f>IFERROR(__xludf.DUMMYFUNCTION("""COMPUTED_VALUE"""),"")</f>
        <v/>
      </c>
      <c r="E3615" s="17" t="str">
        <f>IFERROR(__xludf.DUMMYFUNCTION("""COMPUTED_VALUE"""),"")</f>
        <v/>
      </c>
      <c r="F3615" s="17" t="str">
        <f>IFERROR(__xludf.DUMMYFUNCTION("""COMPUTED_VALUE"""),"")</f>
        <v/>
      </c>
      <c r="G3615" s="17" t="str">
        <f>IFERROR(__xludf.DUMMYFUNCTION("""COMPUTED_VALUE"""),"")</f>
        <v/>
      </c>
      <c r="H3615" s="17" t="str">
        <f>IFERROR(__xludf.DUMMYFUNCTION("""COMPUTED_VALUE"""),"")</f>
        <v/>
      </c>
      <c r="I3615" s="17" t="str">
        <f>IFERROR(__xludf.DUMMYFUNCTION("""COMPUTED_VALUE"""),"")</f>
        <v/>
      </c>
      <c r="J3615" s="17" t="str">
        <f>IFERROR(__xludf.DUMMYFUNCTION("""COMPUTED_VALUE"""),"")</f>
        <v/>
      </c>
      <c r="K3615" s="17" t="str">
        <f>IFERROR(__xludf.DUMMYFUNCTION("""COMPUTED_VALUE"""),"")</f>
        <v/>
      </c>
      <c r="L3615" s="17" t="str">
        <f>IFERROR(__xludf.DUMMYFUNCTION("""COMPUTED_VALUE"""),"")</f>
        <v/>
      </c>
      <c r="M3615" s="17" t="str">
        <f>IFERROR(__xludf.DUMMYFUNCTION("""COMPUTED_VALUE"""),"")</f>
        <v/>
      </c>
      <c r="N3615" s="17" t="str">
        <f>IFERROR(__xludf.DUMMYFUNCTION("""COMPUTED_VALUE"""),"")</f>
        <v/>
      </c>
      <c r="O3615" s="17" t="str">
        <f>IFERROR(__xludf.DUMMYFUNCTION("""COMPUTED_VALUE"""),"")</f>
        <v/>
      </c>
      <c r="P3615" s="17" t="str">
        <f>IFERROR(__xludf.DUMMYFUNCTION("""COMPUTED_VALUE"""),"")</f>
        <v/>
      </c>
      <c r="Q3615" s="17" t="str">
        <f>IFERROR(__xludf.DUMMYFUNCTION("""COMPUTED_VALUE"""),"")</f>
        <v/>
      </c>
      <c r="R3615" s="17" t="str">
        <f>IFERROR(__xludf.DUMMYFUNCTION("""COMPUTED_VALUE"""),"")</f>
        <v/>
      </c>
    </row>
    <row r="3616">
      <c r="A3616" s="15">
        <f>IFERROR(__xludf.DUMMYFUNCTION("""COMPUTED_VALUE"""),45107.0)</f>
        <v>45107</v>
      </c>
      <c r="B3616" s="17"/>
      <c r="C3616" s="15" t="str">
        <f>IFERROR(__xludf.DUMMYFUNCTION("""COMPUTED_VALUE"""),"BOGOTÁ")</f>
        <v>BOGOTÁ</v>
      </c>
      <c r="D3616" s="15" t="str">
        <f>IFERROR(__xludf.DUMMYFUNCTION("""COMPUTED_VALUE"""),"MEDELLÍN")</f>
        <v>MEDELLÍN</v>
      </c>
      <c r="E3616" s="15" t="str">
        <f>IFERROR(__xludf.DUMMYFUNCTION("""COMPUTED_VALUE"""),"AREPAS LA MARY")</f>
        <v>AREPAS LA MARY</v>
      </c>
      <c r="F3616" s="17" t="str">
        <f>IFERROR(__xludf.DUMMYFUNCTION("""COMPUTED_VALUE"""),"CRA 3 D 54 A 50 / CHAPINERO HUB")</f>
        <v>CRA 3 D 54 A 50 / CHAPINERO HUB</v>
      </c>
      <c r="G3616" s="15" t="str">
        <f>IFERROR(__xludf.DUMMYFUNCTION("""COMPUTED_VALUE"""),"ANGELA JOHANA MARTINEZ")</f>
        <v>ANGELA JOHANA MARTINEZ</v>
      </c>
      <c r="H3616" s="16">
        <f>IFERROR(__xludf.DUMMYFUNCTION("""COMPUTED_VALUE"""),12204.0)</f>
        <v>12204</v>
      </c>
      <c r="I3616" s="18">
        <f>IFERROR(__xludf.DUMMYFUNCTION("""COMPUTED_VALUE"""),89.0)</f>
        <v>89</v>
      </c>
      <c r="J3616" s="18">
        <f>IFERROR(__xludf.DUMMYFUNCTION("""COMPUTED_VALUE"""),1.0)</f>
        <v>1</v>
      </c>
      <c r="K3616" s="18">
        <f>IFERROR(__xludf.DUMMYFUNCTION("""COMPUTED_VALUE"""),10.0)</f>
        <v>10</v>
      </c>
      <c r="L3616" s="17">
        <f>IFERROR(__xludf.DUMMYFUNCTION("""COMPUTED_VALUE"""),3.175351101E9)</f>
        <v>3175351101</v>
      </c>
      <c r="M3616" s="17" t="str">
        <f>IFERROR(__xludf.DUMMYFUNCTION("""COMPUTED_VALUE"""),"#REF!")</f>
        <v>#REF!</v>
      </c>
      <c r="N3616" s="17"/>
      <c r="O3616" s="17"/>
      <c r="P3616" s="17" t="b">
        <f>IFERROR(__xludf.DUMMYFUNCTION("""COMPUTED_VALUE"""),TRUE)</f>
        <v>1</v>
      </c>
      <c r="Q3616" s="20">
        <f>IFERROR(__xludf.DUMMYFUNCTION("""COMPUTED_VALUE"""),45110.979692974535)</f>
        <v>45110.97969</v>
      </c>
      <c r="R3616" s="21" t="str">
        <f>IFERROR(__xludf.DUMMYFUNCTION("""COMPUTED_VALUE"""),"https://drive.google.com/file/d/1RHvr179FsG7-pQX2duo1IqLNzpOJgvxs/view?usp=drivesdk")</f>
        <v>https://drive.google.com/file/d/1RHvr179FsG7-pQX2duo1IqLNzpOJgvxs/view?usp=drivesdk</v>
      </c>
    </row>
    <row r="3617">
      <c r="A3617" s="15">
        <f>IFERROR(__xludf.DUMMYFUNCTION("""COMPUTED_VALUE"""),45107.0)</f>
        <v>45107</v>
      </c>
      <c r="B3617" s="17"/>
      <c r="C3617" s="15" t="str">
        <f>IFERROR(__xludf.DUMMYFUNCTION("""COMPUTED_VALUE"""),"BOGOTÁ")</f>
        <v>BOGOTÁ</v>
      </c>
      <c r="D3617" s="15" t="str">
        <f>IFERROR(__xludf.DUMMYFUNCTION("""COMPUTED_VALUE"""),"MEDELLÍN")</f>
        <v>MEDELLÍN</v>
      </c>
      <c r="E3617" s="15" t="str">
        <f>IFERROR(__xludf.DUMMYFUNCTION("""COMPUTED_VALUE"""),"Lácteos El Pino SAS")</f>
        <v>Lácteos El Pino SAS</v>
      </c>
      <c r="F3617" s="17" t="str">
        <f>IFERROR(__xludf.DUMMYFUNCTION("""COMPUTED_VALUE"""),"CALLE 93# 18 -81 / ENTREGAR EN EL LOCAL")</f>
        <v>CALLE 93# 18 -81 / ENTREGAR EN EL LOCAL</v>
      </c>
      <c r="G3617" s="15" t="str">
        <f>IFERROR(__xludf.DUMMYFUNCTION("""COMPUTED_VALUE"""),"KIM")</f>
        <v>KIM</v>
      </c>
      <c r="H3617" s="16">
        <f>IFERROR(__xludf.DUMMYFUNCTION("""COMPUTED_VALUE"""),12206.0)</f>
        <v>12206</v>
      </c>
      <c r="I3617" s="18">
        <f>IFERROR(__xludf.DUMMYFUNCTION("""COMPUTED_VALUE"""),33.0)</f>
        <v>33</v>
      </c>
      <c r="J3617" s="18">
        <f>IFERROR(__xludf.DUMMYFUNCTION("""COMPUTED_VALUE"""),22.0)</f>
        <v>22</v>
      </c>
      <c r="K3617" s="18">
        <f>IFERROR(__xludf.DUMMYFUNCTION("""COMPUTED_VALUE"""),36.0)</f>
        <v>36</v>
      </c>
      <c r="L3617" s="17"/>
      <c r="M3617" s="17" t="str">
        <f>IFERROR(__xludf.DUMMYFUNCTION("""COMPUTED_VALUE"""),"#REF!")</f>
        <v>#REF!</v>
      </c>
      <c r="N3617" s="17"/>
      <c r="O3617" s="17"/>
      <c r="P3617" s="17" t="b">
        <f>IFERROR(__xludf.DUMMYFUNCTION("""COMPUTED_VALUE"""),TRUE)</f>
        <v>1</v>
      </c>
      <c r="Q3617" s="20">
        <f>IFERROR(__xludf.DUMMYFUNCTION("""COMPUTED_VALUE"""),45110.979692974535)</f>
        <v>45110.97969</v>
      </c>
      <c r="R3617" s="21" t="str">
        <f>IFERROR(__xludf.DUMMYFUNCTION("""COMPUTED_VALUE"""),"https://drive.google.com/file/d/1DgvKR1mpIqCJ7O09_bbu_U_k9Ejis-GI/view?usp=drivesdk")</f>
        <v>https://drive.google.com/file/d/1DgvKR1mpIqCJ7O09_bbu_U_k9Ejis-GI/view?usp=drivesdk</v>
      </c>
    </row>
    <row r="3618">
      <c r="A3618" s="15">
        <f>IFERROR(__xludf.DUMMYFUNCTION("""COMPUTED_VALUE"""),45107.0)</f>
        <v>45107</v>
      </c>
      <c r="B3618" s="17"/>
      <c r="C3618" s="15" t="str">
        <f>IFERROR(__xludf.DUMMYFUNCTION("""COMPUTED_VALUE"""),"CALI")</f>
        <v>CALI</v>
      </c>
      <c r="D3618" s="15" t="str">
        <f>IFERROR(__xludf.DUMMYFUNCTION("""COMPUTED_VALUE"""),"BOGOTÁ")</f>
        <v>BOGOTÁ</v>
      </c>
      <c r="E3618" s="15" t="str">
        <f>IFERROR(__xludf.DUMMYFUNCTION("""COMPUTED_VALUE"""),"Renata")</f>
        <v>Renata</v>
      </c>
      <c r="F3618" s="17" t="str">
        <f>IFERROR(__xludf.DUMMYFUNCTION("""COMPUTED_VALUE"""),"Carrera 3#3a-83 / Patio 34 food containers -restaurante  / San Fernando")</f>
        <v>Carrera 3#3a-83 / Patio 34 food containers -restaurante  / San Fernando</v>
      </c>
      <c r="G3618" s="15" t="str">
        <f>IFERROR(__xludf.DUMMYFUNCTION("""COMPUTED_VALUE"""),"Retaco s.a.s")</f>
        <v>Retaco s.a.s</v>
      </c>
      <c r="H3618" s="16">
        <f>IFERROR(__xludf.DUMMYFUNCTION("""COMPUTED_VALUE"""),12201.0)</f>
        <v>12201</v>
      </c>
      <c r="I3618" s="18">
        <f>IFERROR(__xludf.DUMMYFUNCTION("""COMPUTED_VALUE"""),90.0)</f>
        <v>90</v>
      </c>
      <c r="J3618" s="18">
        <f>IFERROR(__xludf.DUMMYFUNCTION("""COMPUTED_VALUE"""),70.0)</f>
        <v>70</v>
      </c>
      <c r="K3618" s="18">
        <f>IFERROR(__xludf.DUMMYFUNCTION("""COMPUTED_VALUE"""),60.0)</f>
        <v>60</v>
      </c>
      <c r="L3618" s="17">
        <f>IFERROR(__xludf.DUMMYFUNCTION("""COMPUTED_VALUE"""),3.134720976E9)</f>
        <v>3134720976</v>
      </c>
      <c r="M3618" s="17" t="str">
        <f>IFERROR(__xludf.DUMMYFUNCTION("""COMPUTED_VALUE"""),"#REF!")</f>
        <v>#REF!</v>
      </c>
      <c r="N3618" s="17"/>
      <c r="O3618" s="17"/>
      <c r="P3618" s="17" t="b">
        <f>IFERROR(__xludf.DUMMYFUNCTION("""COMPUTED_VALUE"""),FALSE)</f>
        <v>0</v>
      </c>
      <c r="Q3618" s="20" t="str">
        <f>IFERROR(__xludf.DUMMYFUNCTION("""COMPUTED_VALUE"""),"")</f>
        <v/>
      </c>
      <c r="R3618" s="21" t="str">
        <f>IFERROR(__xludf.DUMMYFUNCTION("""COMPUTED_VALUE"""),"https://drive.google.com/file/d/1kYNuaBsCG64ELGWlyGN4eETjcA-gnzSR/view?usp=drivesdk")</f>
        <v>https://drive.google.com/file/d/1kYNuaBsCG64ELGWlyGN4eETjcA-gnzSR/view?usp=drivesdk</v>
      </c>
    </row>
    <row r="3619">
      <c r="A3619" s="15">
        <f>IFERROR(__xludf.DUMMYFUNCTION("""COMPUTED_VALUE"""),45107.0)</f>
        <v>45107</v>
      </c>
      <c r="B3619" s="17"/>
      <c r="C3619" s="15" t="str">
        <f>IFERROR(__xludf.DUMMYFUNCTION("""COMPUTED_VALUE"""),"CÚCUTA")</f>
        <v>CÚCUTA</v>
      </c>
      <c r="D3619" s="15" t="str">
        <f>IFERROR(__xludf.DUMMYFUNCTION("""COMPUTED_VALUE"""),"MEDELLÍN")</f>
        <v>MEDELLÍN</v>
      </c>
      <c r="E3619" s="15" t="str">
        <f>IFERROR(__xludf.DUMMYFUNCTION("""COMPUTED_VALUE"""),"Rambla")</f>
        <v>Rambla</v>
      </c>
      <c r="F3619" s="17" t="str">
        <f>IFERROR(__xludf.DUMMYFUNCTION("""COMPUTED_VALUE"""),"AVENIDA 9E #7-12 / LA RIVERA  / NA")</f>
        <v>AVENIDA 9E #7-12 / LA RIVERA  / NA</v>
      </c>
      <c r="G3619" s="15" t="str">
        <f>IFERROR(__xludf.DUMMYFUNCTION("""COMPUTED_VALUE"""),"RESTAURANTE SEXTO SENTIDO")</f>
        <v>RESTAURANTE SEXTO SENTIDO</v>
      </c>
      <c r="H3619" s="16">
        <f>IFERROR(__xludf.DUMMYFUNCTION("""COMPUTED_VALUE"""),12191.0)</f>
        <v>12191</v>
      </c>
      <c r="I3619" s="18">
        <f>IFERROR(__xludf.DUMMYFUNCTION("""COMPUTED_VALUE"""),23.0)</f>
        <v>23</v>
      </c>
      <c r="J3619" s="18">
        <f>IFERROR(__xludf.DUMMYFUNCTION("""COMPUTED_VALUE"""),28.0)</f>
        <v>28</v>
      </c>
      <c r="K3619" s="18">
        <f>IFERROR(__xludf.DUMMYFUNCTION("""COMPUTED_VALUE"""),22.0)</f>
        <v>22</v>
      </c>
      <c r="L3619" s="17">
        <f>IFERROR(__xludf.DUMMYFUNCTION("""COMPUTED_VALUE"""),3.154996494E9)</f>
        <v>3154996494</v>
      </c>
      <c r="M3619" s="17" t="str">
        <f>IFERROR(__xludf.DUMMYFUNCTION("""COMPUTED_VALUE"""),"#REF!")</f>
        <v>#REF!</v>
      </c>
      <c r="N3619" s="17"/>
      <c r="O3619" s="17"/>
      <c r="P3619" s="17" t="b">
        <f>IFERROR(__xludf.DUMMYFUNCTION("""COMPUTED_VALUE"""),FALSE)</f>
        <v>0</v>
      </c>
      <c r="Q3619" s="20" t="str">
        <f>IFERROR(__xludf.DUMMYFUNCTION("""COMPUTED_VALUE"""),"")</f>
        <v/>
      </c>
      <c r="R3619" s="21" t="str">
        <f>IFERROR(__xludf.DUMMYFUNCTION("""COMPUTED_VALUE"""),"https://drive.google.com/file/d/1kP5fxLeivMTPIVy7OlT_v2rKuzpCYS2W/view?usp=drivesdk")</f>
        <v>https://drive.google.com/file/d/1kP5fxLeivMTPIVy7OlT_v2rKuzpCYS2W/view?usp=drivesdk</v>
      </c>
    </row>
    <row r="3620">
      <c r="A3620" s="17" t="str">
        <f>IFERROR(__xludf.DUMMYFUNCTION("""COMPUTED_VALUE"""),"")</f>
        <v/>
      </c>
      <c r="B3620" s="17" t="str">
        <f>IFERROR(__xludf.DUMMYFUNCTION("""COMPUTED_VALUE"""),"")</f>
        <v/>
      </c>
      <c r="C3620" s="17" t="str">
        <f>IFERROR(__xludf.DUMMYFUNCTION("""COMPUTED_VALUE"""),"")</f>
        <v/>
      </c>
      <c r="D3620" s="17" t="str">
        <f>IFERROR(__xludf.DUMMYFUNCTION("""COMPUTED_VALUE"""),"")</f>
        <v/>
      </c>
      <c r="E3620" s="17" t="str">
        <f>IFERROR(__xludf.DUMMYFUNCTION("""COMPUTED_VALUE"""),"")</f>
        <v/>
      </c>
      <c r="F3620" s="17" t="str">
        <f>IFERROR(__xludf.DUMMYFUNCTION("""COMPUTED_VALUE"""),"")</f>
        <v/>
      </c>
      <c r="G3620" s="17" t="str">
        <f>IFERROR(__xludf.DUMMYFUNCTION("""COMPUTED_VALUE"""),"")</f>
        <v/>
      </c>
      <c r="H3620" s="17" t="str">
        <f>IFERROR(__xludf.DUMMYFUNCTION("""COMPUTED_VALUE"""),"")</f>
        <v/>
      </c>
      <c r="I3620" s="17" t="str">
        <f>IFERROR(__xludf.DUMMYFUNCTION("""COMPUTED_VALUE"""),"")</f>
        <v/>
      </c>
      <c r="J3620" s="17" t="str">
        <f>IFERROR(__xludf.DUMMYFUNCTION("""COMPUTED_VALUE"""),"")</f>
        <v/>
      </c>
      <c r="K3620" s="17" t="str">
        <f>IFERROR(__xludf.DUMMYFUNCTION("""COMPUTED_VALUE"""),"")</f>
        <v/>
      </c>
      <c r="L3620" s="17" t="str">
        <f>IFERROR(__xludf.DUMMYFUNCTION("""COMPUTED_VALUE"""),"")</f>
        <v/>
      </c>
      <c r="M3620" s="17" t="str">
        <f>IFERROR(__xludf.DUMMYFUNCTION("""COMPUTED_VALUE"""),"")</f>
        <v/>
      </c>
      <c r="N3620" s="17" t="str">
        <f>IFERROR(__xludf.DUMMYFUNCTION("""COMPUTED_VALUE"""),"")</f>
        <v/>
      </c>
      <c r="O3620" s="17" t="str">
        <f>IFERROR(__xludf.DUMMYFUNCTION("""COMPUTED_VALUE"""),"")</f>
        <v/>
      </c>
      <c r="P3620" s="17" t="str">
        <f>IFERROR(__xludf.DUMMYFUNCTION("""COMPUTED_VALUE"""),"")</f>
        <v/>
      </c>
      <c r="Q3620" s="17" t="str">
        <f>IFERROR(__xludf.DUMMYFUNCTION("""COMPUTED_VALUE"""),"")</f>
        <v/>
      </c>
      <c r="R3620" s="17" t="str">
        <f>IFERROR(__xludf.DUMMYFUNCTION("""COMPUTED_VALUE"""),"")</f>
        <v/>
      </c>
    </row>
    <row r="3621">
      <c r="A3621" s="15">
        <f>IFERROR(__xludf.DUMMYFUNCTION("""COMPUTED_VALUE"""),45107.0)</f>
        <v>45107</v>
      </c>
      <c r="B3621" s="16" t="str">
        <f>IFERROR(__xludf.DUMMYFUNCTION("""COMPUTED_VALUE"""),"Angie Daniela Meneses ")</f>
        <v>Angie Daniela Meneses </v>
      </c>
      <c r="C3621" s="15" t="str">
        <f>IFERROR(__xludf.DUMMYFUNCTION("""COMPUTED_VALUE"""),"BARRANQUILLA")</f>
        <v>BARRANQUILLA</v>
      </c>
      <c r="D3621" s="15" t="str">
        <f>IFERROR(__xludf.DUMMYFUNCTION("""COMPUTED_VALUE"""),"MEDELLÍN")</f>
        <v>MEDELLÍN</v>
      </c>
      <c r="E3621" s="15" t="str">
        <f>IFERROR(__xludf.DUMMYFUNCTION("""COMPUTED_VALUE"""),"Rambla")</f>
        <v>Rambla</v>
      </c>
      <c r="F3621" s="17" t="str">
        <f>IFERROR(__xludf.DUMMYFUNCTION("""COMPUTED_VALUE"""),"carrera 74  #76-74 / na / na")</f>
        <v>carrera 74  #76-74 / na / na</v>
      </c>
      <c r="G3621" s="15" t="str">
        <f>IFERROR(__xludf.DUMMYFUNCTION("""COMPUTED_VALUE"""),"fit hub")</f>
        <v>fit hub</v>
      </c>
      <c r="H3621" s="16">
        <f>IFERROR(__xludf.DUMMYFUNCTION("""COMPUTED_VALUE"""),12194.0)</f>
        <v>12194</v>
      </c>
      <c r="I3621" s="18">
        <f>IFERROR(__xludf.DUMMYFUNCTION("""COMPUTED_VALUE"""),20.0)</f>
        <v>20</v>
      </c>
      <c r="J3621" s="18">
        <f>IFERROR(__xludf.DUMMYFUNCTION("""COMPUTED_VALUE"""),32.0)</f>
        <v>32</v>
      </c>
      <c r="K3621" s="18">
        <f>IFERROR(__xludf.DUMMYFUNCTION("""COMPUTED_VALUE"""),23.0)</f>
        <v>23</v>
      </c>
      <c r="L3621" s="17">
        <f>IFERROR(__xludf.DUMMYFUNCTION("""COMPUTED_VALUE"""),3.157039547E9)</f>
        <v>3157039547</v>
      </c>
      <c r="M3621" s="17" t="str">
        <f>IFERROR(__xludf.DUMMYFUNCTION("""COMPUTED_VALUE"""),"#REF!")</f>
        <v>#REF!</v>
      </c>
      <c r="N3621" s="17"/>
      <c r="O3621" s="17"/>
      <c r="P3621" s="17" t="b">
        <f>IFERROR(__xludf.DUMMYFUNCTION("""COMPUTED_VALUE"""),FALSE)</f>
        <v>0</v>
      </c>
      <c r="Q3621" s="20" t="str">
        <f>IFERROR(__xludf.DUMMYFUNCTION("""COMPUTED_VALUE"""),"")</f>
        <v/>
      </c>
      <c r="R3621" s="21" t="str">
        <f>IFERROR(__xludf.DUMMYFUNCTION("""COMPUTED_VALUE"""),"https://drive.google.com/file/d/1xqdLTvJQfJJZ8GgpYVoUHHarxHV1PVFG/view?usp=drivesdk")</f>
        <v>https://drive.google.com/file/d/1xqdLTvJQfJJZ8GgpYVoUHHarxHV1PVFG/view?usp=drivesdk</v>
      </c>
    </row>
    <row r="3622">
      <c r="A3622" s="15">
        <f>IFERROR(__xludf.DUMMYFUNCTION("""COMPUTED_VALUE"""),45107.0)</f>
        <v>45107</v>
      </c>
      <c r="B3622" s="16" t="str">
        <f>IFERROR(__xludf.DUMMYFUNCTION("""COMPUTED_VALUE"""),"Angie Daniela Meneses ")</f>
        <v>Angie Daniela Meneses </v>
      </c>
      <c r="C3622" s="15" t="str">
        <f>IFERROR(__xludf.DUMMYFUNCTION("""COMPUTED_VALUE"""),"POPAYAN")</f>
        <v>POPAYAN</v>
      </c>
      <c r="D3622" s="15" t="str">
        <f>IFERROR(__xludf.DUMMYFUNCTION("""COMPUTED_VALUE"""),"MEDELLÍN")</f>
        <v>MEDELLÍN</v>
      </c>
      <c r="E3622" s="15" t="str">
        <f>IFERROR(__xludf.DUMMYFUNCTION("""COMPUTED_VALUE"""),"Baby Chef")</f>
        <v>Baby Chef</v>
      </c>
      <c r="F3622" s="17" t="str">
        <f>IFERROR(__xludf.DUMMYFUNCTION("""COMPUTED_VALUE"""),"Carrera 9#31N-76 Casa 124, Poblado de San Esteban (Junto al Restaurante Rancho Grande, por la autopista.) / Carrera 9#31N-76 Casa 124, Poblado de San Esteban (Junto al Restaurante Rancho Grande, por la autopista.) / Carrera 9#31N-76 Casa 124, Poblado de S"&amp;"an Esteban (Junto al Restaurante Rancho Grande, por la autopista.)")</f>
        <v>Carrera 9#31N-76 Casa 124, Poblado de San Esteban (Junto al Restaurante Rancho Grande, por la autopista.) / Carrera 9#31N-76 Casa 124, Poblado de San Esteban (Junto al Restaurante Rancho Grande, por la autopista.) / Carrera 9#31N-76 Casa 124, Poblado de San Esteban (Junto al Restaurante Rancho Grande, por la autopista.)</v>
      </c>
      <c r="G3622" s="15" t="str">
        <f>IFERROR(__xludf.DUMMYFUNCTION("""COMPUTED_VALUE"""),"Yaneth Zuñiga Sandoval")</f>
        <v>Yaneth Zuñiga Sandoval</v>
      </c>
      <c r="H3622" s="16">
        <f>IFERROR(__xludf.DUMMYFUNCTION("""COMPUTED_VALUE"""),12182.0)</f>
        <v>12182</v>
      </c>
      <c r="I3622" s="18">
        <f>IFERROR(__xludf.DUMMYFUNCTION("""COMPUTED_VALUE"""),8.0)</f>
        <v>8</v>
      </c>
      <c r="J3622" s="18">
        <f>IFERROR(__xludf.DUMMYFUNCTION("""COMPUTED_VALUE"""),16.0)</f>
        <v>16</v>
      </c>
      <c r="K3622" s="18">
        <f>IFERROR(__xludf.DUMMYFUNCTION("""COMPUTED_VALUE"""),20.0)</f>
        <v>20</v>
      </c>
      <c r="L3622" s="17">
        <f>IFERROR(__xludf.DUMMYFUNCTION("""COMPUTED_VALUE"""),3.218403604E9)</f>
        <v>3218403604</v>
      </c>
      <c r="M3622" s="17" t="str">
        <f>IFERROR(__xludf.DUMMYFUNCTION("""COMPUTED_VALUE"""),"#REF!")</f>
        <v>#REF!</v>
      </c>
      <c r="N3622" s="17"/>
      <c r="O3622" s="17"/>
      <c r="P3622" s="17" t="b">
        <f>IFERROR(__xludf.DUMMYFUNCTION("""COMPUTED_VALUE"""),FALSE)</f>
        <v>0</v>
      </c>
      <c r="Q3622" s="20" t="str">
        <f>IFERROR(__xludf.DUMMYFUNCTION("""COMPUTED_VALUE"""),"")</f>
        <v/>
      </c>
      <c r="R3622" s="22" t="str">
        <f>IFERROR(__xludf.DUMMYFUNCTION("""COMPUTED_VALUE"""),"")</f>
        <v/>
      </c>
    </row>
    <row r="3623">
      <c r="A3623" s="15">
        <f>IFERROR(__xludf.DUMMYFUNCTION("""COMPUTED_VALUE"""),45107.0)</f>
        <v>45107</v>
      </c>
      <c r="B3623" s="16" t="str">
        <f>IFERROR(__xludf.DUMMYFUNCTION("""COMPUTED_VALUE"""),"Angie Daniela Meneses ")</f>
        <v>Angie Daniela Meneses </v>
      </c>
      <c r="C3623" s="15" t="str">
        <f>IFERROR(__xludf.DUMMYFUNCTION("""COMPUTED_VALUE"""),"YOPAL")</f>
        <v>YOPAL</v>
      </c>
      <c r="D3623" s="15" t="str">
        <f>IFERROR(__xludf.DUMMYFUNCTION("""COMPUTED_VALUE"""),"BOGOTÁ")</f>
        <v>BOGOTÁ</v>
      </c>
      <c r="E3623" s="15" t="str">
        <f>IFERROR(__xludf.DUMMYFUNCTION("""COMPUTED_VALUE"""),"Ins. Alimento Vital")</f>
        <v>Ins. Alimento Vital</v>
      </c>
      <c r="F3623" s="17" t="str">
        <f>IFERROR(__xludf.DUMMYFUNCTION("""COMPUTED_VALUE"""),"CL 31A 14 05 / CASA / YOPAL")</f>
        <v>CL 31A 14 05 / CASA / YOPAL</v>
      </c>
      <c r="G3623" s="15" t="str">
        <f>IFERROR(__xludf.DUMMYFUNCTION("""COMPUTED_VALUE"""),"YESSICA ANDREA HERNANDEZ MORALES")</f>
        <v>YESSICA ANDREA HERNANDEZ MORALES</v>
      </c>
      <c r="H3623" s="16">
        <f>IFERROR(__xludf.DUMMYFUNCTION("""COMPUTED_VALUE"""),12155.0)</f>
        <v>12155</v>
      </c>
      <c r="I3623" s="18">
        <f>IFERROR(__xludf.DUMMYFUNCTION("""COMPUTED_VALUE"""),1.0)</f>
        <v>1</v>
      </c>
      <c r="J3623" s="18">
        <f>IFERROR(__xludf.DUMMYFUNCTION("""COMPUTED_VALUE"""),1.0)</f>
        <v>1</v>
      </c>
      <c r="K3623" s="18">
        <f>IFERROR(__xludf.DUMMYFUNCTION("""COMPUTED_VALUE"""),1.0)</f>
        <v>1</v>
      </c>
      <c r="L3623" s="17">
        <f>IFERROR(__xludf.DUMMYFUNCTION("""COMPUTED_VALUE"""),3.107940644E9)</f>
        <v>3107940644</v>
      </c>
      <c r="M3623" s="17" t="str">
        <f>IFERROR(__xludf.DUMMYFUNCTION("""COMPUTED_VALUE"""),"#REF!")</f>
        <v>#REF!</v>
      </c>
      <c r="N3623" s="17"/>
      <c r="O3623" s="17"/>
      <c r="P3623" s="17" t="b">
        <f>IFERROR(__xludf.DUMMYFUNCTION("""COMPUTED_VALUE"""),FALSE)</f>
        <v>0</v>
      </c>
      <c r="Q3623" s="20" t="str">
        <f>IFERROR(__xludf.DUMMYFUNCTION("""COMPUTED_VALUE"""),"")</f>
        <v/>
      </c>
      <c r="R3623" s="21" t="str">
        <f>IFERROR(__xludf.DUMMYFUNCTION("""COMPUTED_VALUE"""),"https://drive.google.com/file/d/1t6Z7pfjupbXcSANkxLlKUlGx1x3__WyT/view?usp=drivesdk")</f>
        <v>https://drive.google.com/file/d/1t6Z7pfjupbXcSANkxLlKUlGx1x3__WyT/view?usp=drivesdk</v>
      </c>
    </row>
    <row r="3624">
      <c r="A3624" s="17" t="str">
        <f>IFERROR(__xludf.DUMMYFUNCTION("""COMPUTED_VALUE"""),"")</f>
        <v/>
      </c>
      <c r="B3624" s="17" t="str">
        <f>IFERROR(__xludf.DUMMYFUNCTION("""COMPUTED_VALUE"""),"")</f>
        <v/>
      </c>
      <c r="C3624" s="17" t="str">
        <f>IFERROR(__xludf.DUMMYFUNCTION("""COMPUTED_VALUE"""),"")</f>
        <v/>
      </c>
      <c r="D3624" s="17" t="str">
        <f>IFERROR(__xludf.DUMMYFUNCTION("""COMPUTED_VALUE"""),"")</f>
        <v/>
      </c>
      <c r="E3624" s="17" t="str">
        <f>IFERROR(__xludf.DUMMYFUNCTION("""COMPUTED_VALUE"""),"")</f>
        <v/>
      </c>
      <c r="F3624" s="17" t="str">
        <f>IFERROR(__xludf.DUMMYFUNCTION("""COMPUTED_VALUE"""),"")</f>
        <v/>
      </c>
      <c r="G3624" s="17" t="str">
        <f>IFERROR(__xludf.DUMMYFUNCTION("""COMPUTED_VALUE"""),"")</f>
        <v/>
      </c>
      <c r="H3624" s="17" t="str">
        <f>IFERROR(__xludf.DUMMYFUNCTION("""COMPUTED_VALUE"""),"")</f>
        <v/>
      </c>
      <c r="I3624" s="17" t="str">
        <f>IFERROR(__xludf.DUMMYFUNCTION("""COMPUTED_VALUE"""),"")</f>
        <v/>
      </c>
      <c r="J3624" s="17" t="str">
        <f>IFERROR(__xludf.DUMMYFUNCTION("""COMPUTED_VALUE"""),"")</f>
        <v/>
      </c>
      <c r="K3624" s="17" t="str">
        <f>IFERROR(__xludf.DUMMYFUNCTION("""COMPUTED_VALUE"""),"")</f>
        <v/>
      </c>
      <c r="L3624" s="17" t="str">
        <f>IFERROR(__xludf.DUMMYFUNCTION("""COMPUTED_VALUE"""),"")</f>
        <v/>
      </c>
      <c r="M3624" s="17" t="str">
        <f>IFERROR(__xludf.DUMMYFUNCTION("""COMPUTED_VALUE"""),"")</f>
        <v/>
      </c>
      <c r="N3624" s="17" t="str">
        <f>IFERROR(__xludf.DUMMYFUNCTION("""COMPUTED_VALUE"""),"")</f>
        <v/>
      </c>
      <c r="O3624" s="17" t="str">
        <f>IFERROR(__xludf.DUMMYFUNCTION("""COMPUTED_VALUE"""),"")</f>
        <v/>
      </c>
      <c r="P3624" s="17" t="str">
        <f>IFERROR(__xludf.DUMMYFUNCTION("""COMPUTED_VALUE"""),"")</f>
        <v/>
      </c>
      <c r="Q3624" s="17" t="str">
        <f>IFERROR(__xludf.DUMMYFUNCTION("""COMPUTED_VALUE"""),"")</f>
        <v/>
      </c>
      <c r="R3624" s="17" t="str">
        <f>IFERROR(__xludf.DUMMYFUNCTION("""COMPUTED_VALUE"""),"")</f>
        <v/>
      </c>
    </row>
    <row r="3625">
      <c r="A3625" s="15">
        <f>IFERROR(__xludf.DUMMYFUNCTION("""COMPUTED_VALUE"""),45107.0)</f>
        <v>45107</v>
      </c>
      <c r="B3625" s="16" t="str">
        <f>IFERROR(__xludf.DUMMYFUNCTION("""COMPUTED_VALUE"""),"Daniel José sandoval gonzalez")</f>
        <v>Daniel José sandoval gonzalez</v>
      </c>
      <c r="C3625" s="15" t="str">
        <f>IFERROR(__xludf.DUMMYFUNCTION("""COMPUTED_VALUE"""),"BARRANQUILLA")</f>
        <v>BARRANQUILLA</v>
      </c>
      <c r="D3625" s="15" t="str">
        <f>IFERROR(__xludf.DUMMYFUNCTION("""COMPUTED_VALUE"""),"BOGOTÁ")</f>
        <v>BOGOTÁ</v>
      </c>
      <c r="E3625" s="15" t="str">
        <f>IFERROR(__xludf.DUMMYFUNCTION("""COMPUTED_VALUE"""),"Athenas")</f>
        <v>Athenas</v>
      </c>
      <c r="F3625" s="17" t="str">
        <f>IFERROR(__xludf.DUMMYFUNCTION("""COMPUTED_VALUE"""),"Carrera 43 # 60 25  / Bodytech recreo / Recreo")</f>
        <v>Carrera 43 # 60 25  / Bodytech recreo / Recreo</v>
      </c>
      <c r="G3625" s="15" t="str">
        <f>IFERROR(__xludf.DUMMYFUNCTION("""COMPUTED_VALUE"""),"Cafeteria athenas bodytech recreo")</f>
        <v>Cafeteria athenas bodytech recreo</v>
      </c>
      <c r="H3625" s="16">
        <f>IFERROR(__xludf.DUMMYFUNCTION("""COMPUTED_VALUE"""),12165.0)</f>
        <v>12165</v>
      </c>
      <c r="I3625" s="18">
        <f>IFERROR(__xludf.DUMMYFUNCTION("""COMPUTED_VALUE"""),29.0)</f>
        <v>29</v>
      </c>
      <c r="J3625" s="18">
        <f>IFERROR(__xludf.DUMMYFUNCTION("""COMPUTED_VALUE"""),55.0)</f>
        <v>55</v>
      </c>
      <c r="K3625" s="18">
        <f>IFERROR(__xludf.DUMMYFUNCTION("""COMPUTED_VALUE"""),45.0)</f>
        <v>45</v>
      </c>
      <c r="L3625" s="17">
        <f>IFERROR(__xludf.DUMMYFUNCTION("""COMPUTED_VALUE"""),3.106158334E9)</f>
        <v>3106158334</v>
      </c>
      <c r="M3625" s="17" t="str">
        <f>IFERROR(__xludf.DUMMYFUNCTION("""COMPUTED_VALUE"""),"#REF!")</f>
        <v>#REF!</v>
      </c>
      <c r="N3625" s="17"/>
      <c r="O3625" s="17"/>
      <c r="P3625" s="17" t="b">
        <f>IFERROR(__xludf.DUMMYFUNCTION("""COMPUTED_VALUE"""),FALSE)</f>
        <v>0</v>
      </c>
      <c r="Q3625" s="20" t="str">
        <f>IFERROR(__xludf.DUMMYFUNCTION("""COMPUTED_VALUE"""),"")</f>
        <v/>
      </c>
      <c r="R3625" s="21" t="str">
        <f>IFERROR(__xludf.DUMMYFUNCTION("""COMPUTED_VALUE"""),"https://drive.google.com/file/d/1uSovLDRU7zlcHbHUaP1_fpyE7pLM3C9X/view?usp=drivesdk")</f>
        <v>https://drive.google.com/file/d/1uSovLDRU7zlcHbHUaP1_fpyE7pLM3C9X/view?usp=drivesdk</v>
      </c>
    </row>
    <row r="3626">
      <c r="A3626" s="15">
        <f>IFERROR(__xludf.DUMMYFUNCTION("""COMPUTED_VALUE"""),45107.0)</f>
        <v>45107</v>
      </c>
      <c r="B3626" s="16" t="str">
        <f>IFERROR(__xludf.DUMMYFUNCTION("""COMPUTED_VALUE"""),"Daniel José sandoval gonzalez")</f>
        <v>Daniel José sandoval gonzalez</v>
      </c>
      <c r="C3626" s="15" t="str">
        <f>IFERROR(__xludf.DUMMYFUNCTION("""COMPUTED_VALUE"""),"BARRANQUILLA")</f>
        <v>BARRANQUILLA</v>
      </c>
      <c r="D3626" s="15" t="str">
        <f>IFERROR(__xludf.DUMMYFUNCTION("""COMPUTED_VALUE"""),"BOGOTÁ")</f>
        <v>BOGOTÁ</v>
      </c>
      <c r="E3626" s="15" t="str">
        <f>IFERROR(__xludf.DUMMYFUNCTION("""COMPUTED_VALUE"""),"Athenas")</f>
        <v>Athenas</v>
      </c>
      <c r="F3626" s="17" t="str">
        <f>IFERROR(__xludf.DUMMYFUNCTION("""COMPUTED_VALUE"""),"Carrera 43 # 99 50 / Centro comercial miramar 3 piso  / Miramar")</f>
        <v>Carrera 43 # 99 50 / Centro comercial miramar 3 piso  / Miramar</v>
      </c>
      <c r="G3626" s="15" t="str">
        <f>IFERROR(__xludf.DUMMYFUNCTION("""COMPUTED_VALUE"""),"Cafeteria athenas bodytech miramar")</f>
        <v>Cafeteria athenas bodytech miramar</v>
      </c>
      <c r="H3626" s="16">
        <f>IFERROR(__xludf.DUMMYFUNCTION("""COMPUTED_VALUE"""),12166.0)</f>
        <v>12166</v>
      </c>
      <c r="I3626" s="18">
        <f>IFERROR(__xludf.DUMMYFUNCTION("""COMPUTED_VALUE"""),29.0)</f>
        <v>29</v>
      </c>
      <c r="J3626" s="18">
        <f>IFERROR(__xludf.DUMMYFUNCTION("""COMPUTED_VALUE"""),55.0)</f>
        <v>55</v>
      </c>
      <c r="K3626" s="18">
        <f>IFERROR(__xludf.DUMMYFUNCTION("""COMPUTED_VALUE"""),45.0)</f>
        <v>45</v>
      </c>
      <c r="L3626" s="17">
        <f>IFERROR(__xludf.DUMMYFUNCTION("""COMPUTED_VALUE"""),3.106158334E9)</f>
        <v>3106158334</v>
      </c>
      <c r="M3626" s="17" t="str">
        <f>IFERROR(__xludf.DUMMYFUNCTION("""COMPUTED_VALUE"""),"#REF!")</f>
        <v>#REF!</v>
      </c>
      <c r="N3626" s="17"/>
      <c r="O3626" s="17"/>
      <c r="P3626" s="17" t="b">
        <f>IFERROR(__xludf.DUMMYFUNCTION("""COMPUTED_VALUE"""),FALSE)</f>
        <v>0</v>
      </c>
      <c r="Q3626" s="20" t="str">
        <f>IFERROR(__xludf.DUMMYFUNCTION("""COMPUTED_VALUE"""),"")</f>
        <v/>
      </c>
      <c r="R3626" s="22" t="str">
        <f>IFERROR(__xludf.DUMMYFUNCTION("""COMPUTED_VALUE"""),"")</f>
        <v/>
      </c>
    </row>
    <row r="3627">
      <c r="A3627" s="15">
        <f>IFERROR(__xludf.DUMMYFUNCTION("""COMPUTED_VALUE"""),45107.0)</f>
        <v>45107</v>
      </c>
      <c r="B3627" s="16" t="str">
        <f>IFERROR(__xludf.DUMMYFUNCTION("""COMPUTED_VALUE"""),"Daniel José sandoval gonzalez")</f>
        <v>Daniel José sandoval gonzalez</v>
      </c>
      <c r="C3627" s="15" t="str">
        <f>IFERROR(__xludf.DUMMYFUNCTION("""COMPUTED_VALUE"""),"BARRANQUILLA")</f>
        <v>BARRANQUILLA</v>
      </c>
      <c r="D3627" s="15" t="str">
        <f>IFERROR(__xludf.DUMMYFUNCTION("""COMPUTED_VALUE"""),"BOGOTÁ")</f>
        <v>BOGOTÁ</v>
      </c>
      <c r="E3627" s="15" t="str">
        <f>IFERROR(__xludf.DUMMYFUNCTION("""COMPUTED_VALUE"""),"Lunchy Kids")</f>
        <v>Lunchy Kids</v>
      </c>
      <c r="F3627" s="17" t="str">
        <f>IFERROR(__xludf.DUMMYFUNCTION("""COMPUTED_VALUE"""),"Cra 70 #91-35 / Apto 304 Torre 1  / Parques del Tivoly")</f>
        <v>Cra 70 #91-35 / Apto 304 Torre 1  / Parques del Tivoly</v>
      </c>
      <c r="G3627" s="15" t="str">
        <f>IFERROR(__xludf.DUMMYFUNCTION("""COMPUTED_VALUE"""),"Yoleinis Jinete")</f>
        <v>Yoleinis Jinete</v>
      </c>
      <c r="H3627" s="16">
        <f>IFERROR(__xludf.DUMMYFUNCTION("""COMPUTED_VALUE"""),12159.0)</f>
        <v>12159</v>
      </c>
      <c r="I3627" s="18">
        <f>IFERROR(__xludf.DUMMYFUNCTION("""COMPUTED_VALUE"""),17.0)</f>
        <v>17</v>
      </c>
      <c r="J3627" s="18">
        <f>IFERROR(__xludf.DUMMYFUNCTION("""COMPUTED_VALUE"""),33.0)</f>
        <v>33</v>
      </c>
      <c r="K3627" s="18">
        <f>IFERROR(__xludf.DUMMYFUNCTION("""COMPUTED_VALUE"""),28.0)</f>
        <v>28</v>
      </c>
      <c r="L3627" s="17">
        <f>IFERROR(__xludf.DUMMYFUNCTION("""COMPUTED_VALUE"""),3.007943686E9)</f>
        <v>3007943686</v>
      </c>
      <c r="M3627" s="17" t="str">
        <f>IFERROR(__xludf.DUMMYFUNCTION("""COMPUTED_VALUE"""),"#REF!")</f>
        <v>#REF!</v>
      </c>
      <c r="N3627" s="17"/>
      <c r="O3627" s="17"/>
      <c r="P3627" s="17" t="b">
        <f>IFERROR(__xludf.DUMMYFUNCTION("""COMPUTED_VALUE"""),FALSE)</f>
        <v>0</v>
      </c>
      <c r="Q3627" s="20" t="str">
        <f>IFERROR(__xludf.DUMMYFUNCTION("""COMPUTED_VALUE"""),"")</f>
        <v/>
      </c>
      <c r="R3627" s="21" t="str">
        <f>IFERROR(__xludf.DUMMYFUNCTION("""COMPUTED_VALUE"""),"https://drive.google.com/file/d/1Vh7-wyKG21XX-cltQjJpOr3kQPKfP4kG/view?usp=drivesdk")</f>
        <v>https://drive.google.com/file/d/1Vh7-wyKG21XX-cltQjJpOr3kQPKfP4kG/view?usp=drivesdk</v>
      </c>
    </row>
    <row r="3628">
      <c r="A3628" s="15">
        <f>IFERROR(__xludf.DUMMYFUNCTION("""COMPUTED_VALUE"""),45107.0)</f>
        <v>45107</v>
      </c>
      <c r="B3628" s="16" t="str">
        <f>IFERROR(__xludf.DUMMYFUNCTION("""COMPUTED_VALUE"""),"Daniel José sandoval gonzalez")</f>
        <v>Daniel José sandoval gonzalez</v>
      </c>
      <c r="C3628" s="15" t="str">
        <f>IFERROR(__xludf.DUMMYFUNCTION("""COMPUTED_VALUE"""),"BARRANQUILLA")</f>
        <v>BARRANQUILLA</v>
      </c>
      <c r="D3628" s="15" t="str">
        <f>IFERROR(__xludf.DUMMYFUNCTION("""COMPUTED_VALUE"""),"MANIZALES")</f>
        <v>MANIZALES</v>
      </c>
      <c r="E3628" s="15" t="str">
        <f>IFERROR(__xludf.DUMMYFUNCTION("""COMPUTED_VALUE"""),"Congelados Típicos")</f>
        <v>Congelados Típicos</v>
      </c>
      <c r="F3628" s="17" t="str">
        <f>IFERROR(__xludf.DUMMYFUNCTION("""COMPUTED_VALUE"""),"envia colvanes Barranquilla / CENTRO DE ACOPIO DANDO LORA  / ENVIA BARRANQUILLA")</f>
        <v>envia colvanes Barranquilla / CENTRO DE ACOPIO DANDO LORA  / ENVIA BARRANQUILLA</v>
      </c>
      <c r="G3628" s="15" t="str">
        <f>IFERROR(__xludf.DUMMYFUNCTION("""COMPUTED_VALUE"""),"CONGELADOS TIPICOS S.A.S - Mateo D Rabal")</f>
        <v>CONGELADOS TIPICOS S.A.S - Mateo D Rabal</v>
      </c>
      <c r="H3628" s="16">
        <f>IFERROR(__xludf.DUMMYFUNCTION("""COMPUTED_VALUE"""),12195.0)</f>
        <v>12195</v>
      </c>
      <c r="I3628" s="18">
        <f>IFERROR(__xludf.DUMMYFUNCTION("""COMPUTED_VALUE"""),21.0)</f>
        <v>21</v>
      </c>
      <c r="J3628" s="18">
        <f>IFERROR(__xludf.DUMMYFUNCTION("""COMPUTED_VALUE"""),50.0)</f>
        <v>50</v>
      </c>
      <c r="K3628" s="18">
        <f>IFERROR(__xludf.DUMMYFUNCTION("""COMPUTED_VALUE"""),30.0)</f>
        <v>30</v>
      </c>
      <c r="L3628" s="17">
        <f>IFERROR(__xludf.DUMMYFUNCTION("""COMPUTED_VALUE"""),3.1137444276E10)</f>
        <v>31137444276</v>
      </c>
      <c r="M3628" s="17" t="str">
        <f>IFERROR(__xludf.DUMMYFUNCTION("""COMPUTED_VALUE"""),"#REF!")</f>
        <v>#REF!</v>
      </c>
      <c r="N3628" s="17"/>
      <c r="O3628" s="17"/>
      <c r="P3628" s="17" t="b">
        <f>IFERROR(__xludf.DUMMYFUNCTION("""COMPUTED_VALUE"""),FALSE)</f>
        <v>0</v>
      </c>
      <c r="Q3628" s="20" t="str">
        <f>IFERROR(__xludf.DUMMYFUNCTION("""COMPUTED_VALUE"""),"")</f>
        <v/>
      </c>
      <c r="R3628" s="21" t="str">
        <f>IFERROR(__xludf.DUMMYFUNCTION("""COMPUTED_VALUE"""),"https://drive.google.com/file/d/1J7iLBSk0-1jA26PK54JP9JnX7e9in4Pk/view?usp=drivesdk")</f>
        <v>https://drive.google.com/file/d/1J7iLBSk0-1jA26PK54JP9JnX7e9in4Pk/view?usp=drivesdk</v>
      </c>
    </row>
    <row r="3629">
      <c r="A3629" s="15">
        <f>IFERROR(__xludf.DUMMYFUNCTION("""COMPUTED_VALUE"""),45107.0)</f>
        <v>45107</v>
      </c>
      <c r="B3629" s="16" t="str">
        <f>IFERROR(__xludf.DUMMYFUNCTION("""COMPUTED_VALUE"""),"Daniel José sandoval gonzalez")</f>
        <v>Daniel José sandoval gonzalez</v>
      </c>
      <c r="C3629" s="15" t="str">
        <f>IFERROR(__xludf.DUMMYFUNCTION("""COMPUTED_VALUE"""),"BARRANQUILLA")</f>
        <v>BARRANQUILLA</v>
      </c>
      <c r="D3629" s="15" t="str">
        <f>IFERROR(__xludf.DUMMYFUNCTION("""COMPUTED_VALUE"""),"MEDELLÍN")</f>
        <v>MEDELLÍN</v>
      </c>
      <c r="E3629" s="15" t="str">
        <f>IFERROR(__xludf.DUMMYFUNCTION("""COMPUTED_VALUE"""),"Magda")</f>
        <v>Magda</v>
      </c>
      <c r="F3629" s="17" t="str">
        <f>IFERROR(__xludf.DUMMYFUNCTION("""COMPUTED_VALUE"""),"Cra 53 No. 68-55 / cocina oculta / Alto prado")</f>
        <v>Cra 53 No. 68-55 / cocina oculta / Alto prado</v>
      </c>
      <c r="G3629" s="15" t="str">
        <f>IFERROR(__xludf.DUMMYFUNCTION("""COMPUTED_VALUE"""),"María José Cervantes")</f>
        <v>María José Cervantes</v>
      </c>
      <c r="H3629" s="16">
        <f>IFERROR(__xludf.DUMMYFUNCTION("""COMPUTED_VALUE"""),12187.0)</f>
        <v>12187</v>
      </c>
      <c r="I3629" s="18">
        <f>IFERROR(__xludf.DUMMYFUNCTION("""COMPUTED_VALUE"""),5.0)</f>
        <v>5</v>
      </c>
      <c r="J3629" s="18">
        <f>IFERROR(__xludf.DUMMYFUNCTION("""COMPUTED_VALUE"""),5.0)</f>
        <v>5</v>
      </c>
      <c r="K3629" s="18">
        <f>IFERROR(__xludf.DUMMYFUNCTION("""COMPUTED_VALUE"""),5.0)</f>
        <v>5</v>
      </c>
      <c r="L3629" s="17">
        <f>IFERROR(__xludf.DUMMYFUNCTION("""COMPUTED_VALUE"""),3.113152215E9)</f>
        <v>3113152215</v>
      </c>
      <c r="M3629" s="17" t="str">
        <f>IFERROR(__xludf.DUMMYFUNCTION("""COMPUTED_VALUE"""),"#REF!")</f>
        <v>#REF!</v>
      </c>
      <c r="N3629" s="17"/>
      <c r="O3629" s="17"/>
      <c r="P3629" s="17" t="b">
        <f>IFERROR(__xludf.DUMMYFUNCTION("""COMPUTED_VALUE"""),FALSE)</f>
        <v>0</v>
      </c>
      <c r="Q3629" s="20" t="str">
        <f>IFERROR(__xludf.DUMMYFUNCTION("""COMPUTED_VALUE"""),"")</f>
        <v/>
      </c>
      <c r="R3629" s="21" t="str">
        <f>IFERROR(__xludf.DUMMYFUNCTION("""COMPUTED_VALUE"""),"https://drive.google.com/file/d/1X24u7FFWOEOgSo8tsBHru5_4tLNxFEN5/view?usp=drivesdk")</f>
        <v>https://drive.google.com/file/d/1X24u7FFWOEOgSo8tsBHru5_4tLNxFEN5/view?usp=drivesdk</v>
      </c>
    </row>
    <row r="3630">
      <c r="A3630" s="15">
        <f>IFERROR(__xludf.DUMMYFUNCTION("""COMPUTED_VALUE"""),45107.0)</f>
        <v>45107</v>
      </c>
      <c r="B3630" s="16" t="str">
        <f>IFERROR(__xludf.DUMMYFUNCTION("""COMPUTED_VALUE"""),"Daniel José sandoval gonzalez")</f>
        <v>Daniel José sandoval gonzalez</v>
      </c>
      <c r="C3630" s="15" t="str">
        <f>IFERROR(__xludf.DUMMYFUNCTION("""COMPUTED_VALUE"""),"BARRANQUILLA")</f>
        <v>BARRANQUILLA</v>
      </c>
      <c r="D3630" s="15" t="str">
        <f>IFERROR(__xludf.DUMMYFUNCTION("""COMPUTED_VALUE"""),"MEDELLÍN")</f>
        <v>MEDELLÍN</v>
      </c>
      <c r="E3630" s="15" t="str">
        <f>IFERROR(__xludf.DUMMYFUNCTION("""COMPUTED_VALUE"""),"Mayanith Murillo")</f>
        <v>Mayanith Murillo</v>
      </c>
      <c r="F3630" s="17" t="str">
        <f>IFERROR(__xludf.DUMMYFUNCTION("""COMPUTED_VALUE"""),"Calle 98 No 52 B - 10 / HOTEL DANN CARLTON BARRANQUILLA / HOTEL DANN CARLTON BARRANQUILLA")</f>
        <v>Calle 98 No 52 B - 10 / HOTEL DANN CARLTON BARRANQUILLA / HOTEL DANN CARLTON BARRANQUILLA</v>
      </c>
      <c r="G3630" s="15" t="str">
        <f>IFERROR(__xludf.DUMMYFUNCTION("""COMPUTED_VALUE"""),"HOTEL DANN CARLTON BARRANQUILLA")</f>
        <v>HOTEL DANN CARLTON BARRANQUILLA</v>
      </c>
      <c r="H3630" s="16">
        <f>IFERROR(__xludf.DUMMYFUNCTION("""COMPUTED_VALUE"""),12051.0)</f>
        <v>12051</v>
      </c>
      <c r="I3630" s="18">
        <f>IFERROR(__xludf.DUMMYFUNCTION("""COMPUTED_VALUE"""),31.0)</f>
        <v>31</v>
      </c>
      <c r="J3630" s="18">
        <f>IFERROR(__xludf.DUMMYFUNCTION("""COMPUTED_VALUE"""),38.0)</f>
        <v>38</v>
      </c>
      <c r="K3630" s="18">
        <f>IFERROR(__xludf.DUMMYFUNCTION("""COMPUTED_VALUE"""),69.0)</f>
        <v>69</v>
      </c>
      <c r="L3630" s="17">
        <f>IFERROR(__xludf.DUMMYFUNCTION("""COMPUTED_VALUE"""),3.13586081E9)</f>
        <v>3135860810</v>
      </c>
      <c r="M3630" s="17" t="str">
        <f>IFERROR(__xludf.DUMMYFUNCTION("""COMPUTED_VALUE"""),"#REF!")</f>
        <v>#REF!</v>
      </c>
      <c r="N3630" s="17"/>
      <c r="O3630" s="17"/>
      <c r="P3630" s="17" t="b">
        <f>IFERROR(__xludf.DUMMYFUNCTION("""COMPUTED_VALUE"""),FALSE)</f>
        <v>0</v>
      </c>
      <c r="Q3630" s="20" t="str">
        <f>IFERROR(__xludf.DUMMYFUNCTION("""COMPUTED_VALUE"""),"")</f>
        <v/>
      </c>
      <c r="R3630" s="22" t="str">
        <f>IFERROR(__xludf.DUMMYFUNCTION("""COMPUTED_VALUE"""),"")</f>
        <v/>
      </c>
    </row>
    <row r="3631">
      <c r="A3631" s="17" t="str">
        <f>IFERROR(__xludf.DUMMYFUNCTION("""COMPUTED_VALUE"""),"")</f>
        <v/>
      </c>
      <c r="B3631" s="17" t="str">
        <f>IFERROR(__xludf.DUMMYFUNCTION("""COMPUTED_VALUE"""),"")</f>
        <v/>
      </c>
      <c r="C3631" s="17" t="str">
        <f>IFERROR(__xludf.DUMMYFUNCTION("""COMPUTED_VALUE"""),"")</f>
        <v/>
      </c>
      <c r="D3631" s="17" t="str">
        <f>IFERROR(__xludf.DUMMYFUNCTION("""COMPUTED_VALUE"""),"")</f>
        <v/>
      </c>
      <c r="E3631" s="17" t="str">
        <f>IFERROR(__xludf.DUMMYFUNCTION("""COMPUTED_VALUE"""),"")</f>
        <v/>
      </c>
      <c r="F3631" s="17" t="str">
        <f>IFERROR(__xludf.DUMMYFUNCTION("""COMPUTED_VALUE"""),"")</f>
        <v/>
      </c>
      <c r="G3631" s="17" t="str">
        <f>IFERROR(__xludf.DUMMYFUNCTION("""COMPUTED_VALUE"""),"")</f>
        <v/>
      </c>
      <c r="H3631" s="17" t="str">
        <f>IFERROR(__xludf.DUMMYFUNCTION("""COMPUTED_VALUE"""),"")</f>
        <v/>
      </c>
      <c r="I3631" s="17" t="str">
        <f>IFERROR(__xludf.DUMMYFUNCTION("""COMPUTED_VALUE"""),"")</f>
        <v/>
      </c>
      <c r="J3631" s="17" t="str">
        <f>IFERROR(__xludf.DUMMYFUNCTION("""COMPUTED_VALUE"""),"")</f>
        <v/>
      </c>
      <c r="K3631" s="17" t="str">
        <f>IFERROR(__xludf.DUMMYFUNCTION("""COMPUTED_VALUE"""),"")</f>
        <v/>
      </c>
      <c r="L3631" s="17" t="str">
        <f>IFERROR(__xludf.DUMMYFUNCTION("""COMPUTED_VALUE"""),"")</f>
        <v/>
      </c>
      <c r="M3631" s="17" t="str">
        <f>IFERROR(__xludf.DUMMYFUNCTION("""COMPUTED_VALUE"""),"")</f>
        <v/>
      </c>
      <c r="N3631" s="17" t="str">
        <f>IFERROR(__xludf.DUMMYFUNCTION("""COMPUTED_VALUE"""),"")</f>
        <v/>
      </c>
      <c r="O3631" s="17" t="str">
        <f>IFERROR(__xludf.DUMMYFUNCTION("""COMPUTED_VALUE"""),"")</f>
        <v/>
      </c>
      <c r="P3631" s="17" t="str">
        <f>IFERROR(__xludf.DUMMYFUNCTION("""COMPUTED_VALUE"""),"")</f>
        <v/>
      </c>
      <c r="Q3631" s="17" t="str">
        <f>IFERROR(__xludf.DUMMYFUNCTION("""COMPUTED_VALUE"""),"")</f>
        <v/>
      </c>
      <c r="R3631" s="17" t="str">
        <f>IFERROR(__xludf.DUMMYFUNCTION("""COMPUTED_VALUE"""),"")</f>
        <v/>
      </c>
    </row>
    <row r="3632">
      <c r="A3632" s="15">
        <f>IFERROR(__xludf.DUMMYFUNCTION("""COMPUTED_VALUE"""),45107.0)</f>
        <v>45107</v>
      </c>
      <c r="B3632" s="16" t="str">
        <f>IFERROR(__xludf.DUMMYFUNCTION("""COMPUTED_VALUE"""),"Envia")</f>
        <v>Envia</v>
      </c>
      <c r="C3632" s="15" t="str">
        <f>IFERROR(__xludf.DUMMYFUNCTION("""COMPUTED_VALUE"""),"BARRANQUILLA")</f>
        <v>BARRANQUILLA</v>
      </c>
      <c r="D3632" s="15" t="str">
        <f>IFERROR(__xludf.DUMMYFUNCTION("""COMPUTED_VALUE"""),"BOGOTÁ")</f>
        <v>BOGOTÁ</v>
      </c>
      <c r="E3632" s="15" t="str">
        <f>IFERROR(__xludf.DUMMYFUNCTION("""COMPUTED_VALUE"""),"Athenas")</f>
        <v>Athenas</v>
      </c>
      <c r="F3632" s="17" t="str">
        <f>IFERROR(__xludf.DUMMYFUNCTION("""COMPUTED_VALUE"""),"Carrera 52 # 87 50  / Centto comercial viva muelle carga bodytech 4 piso  / Rio mar")</f>
        <v>Carrera 52 # 87 50  / Centto comercial viva muelle carga bodytech 4 piso  / Rio mar</v>
      </c>
      <c r="G3632" s="15" t="str">
        <f>IFERROR(__xludf.DUMMYFUNCTION("""COMPUTED_VALUE"""),"Cafeteria athenas bodytech")</f>
        <v>Cafeteria athenas bodytech</v>
      </c>
      <c r="H3632" s="16">
        <f>IFERROR(__xludf.DUMMYFUNCTION("""COMPUTED_VALUE"""),12167.0)</f>
        <v>12167</v>
      </c>
      <c r="I3632" s="18">
        <f>IFERROR(__xludf.DUMMYFUNCTION("""COMPUTED_VALUE"""),29.0)</f>
        <v>29</v>
      </c>
      <c r="J3632" s="18">
        <f>IFERROR(__xludf.DUMMYFUNCTION("""COMPUTED_VALUE"""),55.0)</f>
        <v>55</v>
      </c>
      <c r="K3632" s="18">
        <f>IFERROR(__xludf.DUMMYFUNCTION("""COMPUTED_VALUE"""),45.0)</f>
        <v>45</v>
      </c>
      <c r="L3632" s="17">
        <f>IFERROR(__xludf.DUMMYFUNCTION("""COMPUTED_VALUE"""),3.106158334E9)</f>
        <v>3106158334</v>
      </c>
      <c r="M3632" s="17" t="str">
        <f>IFERROR(__xludf.DUMMYFUNCTION("""COMPUTED_VALUE"""),"#REF!")</f>
        <v>#REF!</v>
      </c>
      <c r="N3632" s="17"/>
      <c r="O3632" s="17"/>
      <c r="P3632" s="17" t="b">
        <f>IFERROR(__xludf.DUMMYFUNCTION("""COMPUTED_VALUE"""),FALSE)</f>
        <v>0</v>
      </c>
      <c r="Q3632" s="20" t="str">
        <f>IFERROR(__xludf.DUMMYFUNCTION("""COMPUTED_VALUE"""),"")</f>
        <v/>
      </c>
      <c r="R3632" s="21" t="str">
        <f>IFERROR(__xludf.DUMMYFUNCTION("""COMPUTED_VALUE"""),"https://drive.google.com/file/d/1_awx7llm9Ehy3YydkHRiQikueEjIxval/view?usp=drivesdk")</f>
        <v>https://drive.google.com/file/d/1_awx7llm9Ehy3YydkHRiQikueEjIxval/view?usp=drivesdk</v>
      </c>
    </row>
    <row r="3633">
      <c r="A3633" s="15">
        <f>IFERROR(__xludf.DUMMYFUNCTION("""COMPUTED_VALUE"""),45107.0)</f>
        <v>45107</v>
      </c>
      <c r="B3633" s="16" t="str">
        <f>IFERROR(__xludf.DUMMYFUNCTION("""COMPUTED_VALUE"""),"Envia")</f>
        <v>Envia</v>
      </c>
      <c r="C3633" s="15" t="str">
        <f>IFERROR(__xludf.DUMMYFUNCTION("""COMPUTED_VALUE"""),"BARRANQUILLA")</f>
        <v>BARRANQUILLA</v>
      </c>
      <c r="D3633" s="15" t="str">
        <f>IFERROR(__xludf.DUMMYFUNCTION("""COMPUTED_VALUE"""),"BOGOTÁ")</f>
        <v>BOGOTÁ</v>
      </c>
      <c r="E3633" s="15" t="str">
        <f>IFERROR(__xludf.DUMMYFUNCTION("""COMPUTED_VALUE"""),"Athenas")</f>
        <v>Athenas</v>
      </c>
      <c r="F3633" s="17" t="str">
        <f>IFERROR(__xludf.DUMMYFUNCTION("""COMPUTED_VALUE"""),"Carrera 53 # 79 279  / Edificio royal washiton 2 piso bodytech / Country")</f>
        <v>Carrera 53 # 79 279  / Edificio royal washiton 2 piso bodytech / Country</v>
      </c>
      <c r="G3633" s="15" t="str">
        <f>IFERROR(__xludf.DUMMYFUNCTION("""COMPUTED_VALUE"""),"Cafeteria athenas bodytech")</f>
        <v>Cafeteria athenas bodytech</v>
      </c>
      <c r="H3633" s="16">
        <f>IFERROR(__xludf.DUMMYFUNCTION("""COMPUTED_VALUE"""),12164.0)</f>
        <v>12164</v>
      </c>
      <c r="I3633" s="18">
        <f>IFERROR(__xludf.DUMMYFUNCTION("""COMPUTED_VALUE"""),29.0)</f>
        <v>29</v>
      </c>
      <c r="J3633" s="18">
        <f>IFERROR(__xludf.DUMMYFUNCTION("""COMPUTED_VALUE"""),55.0)</f>
        <v>55</v>
      </c>
      <c r="K3633" s="18">
        <f>IFERROR(__xludf.DUMMYFUNCTION("""COMPUTED_VALUE"""),45.0)</f>
        <v>45</v>
      </c>
      <c r="L3633" s="17">
        <f>IFERROR(__xludf.DUMMYFUNCTION("""COMPUTED_VALUE"""),3.106158334E9)</f>
        <v>3106158334</v>
      </c>
      <c r="M3633" s="17" t="str">
        <f>IFERROR(__xludf.DUMMYFUNCTION("""COMPUTED_VALUE"""),"#REF!")</f>
        <v>#REF!</v>
      </c>
      <c r="N3633" s="17"/>
      <c r="O3633" s="17"/>
      <c r="P3633" s="17" t="b">
        <f>IFERROR(__xludf.DUMMYFUNCTION("""COMPUTED_VALUE"""),FALSE)</f>
        <v>0</v>
      </c>
      <c r="Q3633" s="20" t="str">
        <f>IFERROR(__xludf.DUMMYFUNCTION("""COMPUTED_VALUE"""),"")</f>
        <v/>
      </c>
      <c r="R3633" s="21" t="str">
        <f>IFERROR(__xludf.DUMMYFUNCTION("""COMPUTED_VALUE"""),"https://drive.google.com/file/d/1CxJGSV1lLMFA7c_xfbgZAXgYbRW5Mrc4/view?usp=drivesdk")</f>
        <v>https://drive.google.com/file/d/1CxJGSV1lLMFA7c_xfbgZAXgYbRW5Mrc4/view?usp=drivesdk</v>
      </c>
    </row>
    <row r="3634">
      <c r="A3634" s="15">
        <f>IFERROR(__xludf.DUMMYFUNCTION("""COMPUTED_VALUE"""),45107.0)</f>
        <v>45107</v>
      </c>
      <c r="B3634" s="16" t="str">
        <f>IFERROR(__xludf.DUMMYFUNCTION("""COMPUTED_VALUE"""),"Envia")</f>
        <v>Envia</v>
      </c>
      <c r="C3634" s="15" t="str">
        <f>IFERROR(__xludf.DUMMYFUNCTION("""COMPUTED_VALUE"""),"BARRANQUILLA")</f>
        <v>BARRANQUILLA</v>
      </c>
      <c r="D3634" s="15" t="str">
        <f>IFERROR(__xludf.DUMMYFUNCTION("""COMPUTED_VALUE"""),"BOGOTÁ")</f>
        <v>BOGOTÁ</v>
      </c>
      <c r="E3634" s="15" t="str">
        <f>IFERROR(__xludf.DUMMYFUNCTION("""COMPUTED_VALUE"""),"Pan de Waffle")</f>
        <v>Pan de Waffle</v>
      </c>
      <c r="F3634" s="17" t="str">
        <f>IFERROR(__xludf.DUMMYFUNCTION("""COMPUTED_VALUE"""),"Carrera 45 # 85 - 168 / Carrera 45 # 85 - 168 / Carrera 45 # 85 - 168")</f>
        <v>Carrera 45 # 85 - 168 / Carrera 45 # 85 - 168 / Carrera 45 # 85 - 168</v>
      </c>
      <c r="G3634" s="15" t="str">
        <f>IFERROR(__xludf.DUMMYFUNCTION("""COMPUTED_VALUE"""),"FOODOLOGY BARRANQUILLA")</f>
        <v>FOODOLOGY BARRANQUILLA</v>
      </c>
      <c r="H3634" s="16">
        <f>IFERROR(__xludf.DUMMYFUNCTION("""COMPUTED_VALUE"""),12131.0)</f>
        <v>12131</v>
      </c>
      <c r="I3634" s="18">
        <f>IFERROR(__xludf.DUMMYFUNCTION("""COMPUTED_VALUE"""),40.0)</f>
        <v>40</v>
      </c>
      <c r="J3634" s="18">
        <f>IFERROR(__xludf.DUMMYFUNCTION("""COMPUTED_VALUE"""),30.0)</f>
        <v>30</v>
      </c>
      <c r="K3634" s="18">
        <f>IFERROR(__xludf.DUMMYFUNCTION("""COMPUTED_VALUE"""),40.0)</f>
        <v>40</v>
      </c>
      <c r="L3634" s="17">
        <f>IFERROR(__xludf.DUMMYFUNCTION("""COMPUTED_VALUE"""),3.017001909E9)</f>
        <v>3017001909</v>
      </c>
      <c r="M3634" s="17" t="str">
        <f>IFERROR(__xludf.DUMMYFUNCTION("""COMPUTED_VALUE"""),"#REF!")</f>
        <v>#REF!</v>
      </c>
      <c r="N3634" s="17"/>
      <c r="O3634" s="17"/>
      <c r="P3634" s="17" t="b">
        <f>IFERROR(__xludf.DUMMYFUNCTION("""COMPUTED_VALUE"""),FALSE)</f>
        <v>0</v>
      </c>
      <c r="Q3634" s="20" t="str">
        <f>IFERROR(__xludf.DUMMYFUNCTION("""COMPUTED_VALUE"""),"")</f>
        <v/>
      </c>
      <c r="R3634" s="21" t="str">
        <f>IFERROR(__xludf.DUMMYFUNCTION("""COMPUTED_VALUE"""),"https://drive.google.com/file/d/1kdAfh7jBH0ENI-LZmSWrhl93_3Kec0Ls/view?usp=drivesdk")</f>
        <v>https://drive.google.com/file/d/1kdAfh7jBH0ENI-LZmSWrhl93_3Kec0Ls/view?usp=drivesdk</v>
      </c>
    </row>
    <row r="3635">
      <c r="A3635" s="15">
        <f>IFERROR(__xludf.DUMMYFUNCTION("""COMPUTED_VALUE"""),45107.0)</f>
        <v>45107</v>
      </c>
      <c r="B3635" s="16" t="str">
        <f>IFERROR(__xludf.DUMMYFUNCTION("""COMPUTED_VALUE"""),"Envia")</f>
        <v>Envia</v>
      </c>
      <c r="C3635" s="15" t="str">
        <f>IFERROR(__xludf.DUMMYFUNCTION("""COMPUTED_VALUE"""),"BARRANQUILLA")</f>
        <v>BARRANQUILLA</v>
      </c>
      <c r="D3635" s="15" t="str">
        <f>IFERROR(__xludf.DUMMYFUNCTION("""COMPUTED_VALUE"""),"BOGOTÁ")</f>
        <v>BOGOTÁ</v>
      </c>
      <c r="E3635" s="15" t="str">
        <f>IFERROR(__xludf.DUMMYFUNCTION("""COMPUTED_VALUE"""),"Pan de Waffle")</f>
        <v>Pan de Waffle</v>
      </c>
      <c r="F3635" s="17" t="str">
        <f>IFERROR(__xludf.DUMMYFUNCTION("""COMPUTED_VALUE"""),"CR 53 80 284 LC 8 / CR 53 80 284 LC 8 / CR 53 80 284 LC 8")</f>
        <v>CR 53 80 284 LC 8 / CR 53 80 284 LC 8 / CR 53 80 284 LC 8</v>
      </c>
      <c r="G3635" s="15" t="str">
        <f>IFERROR(__xludf.DUMMYFUNCTION("""COMPUTED_VALUE"""),"CORPO FIT BARRANQUILLA")</f>
        <v>CORPO FIT BARRANQUILLA</v>
      </c>
      <c r="H3635" s="16">
        <f>IFERROR(__xludf.DUMMYFUNCTION("""COMPUTED_VALUE"""),12130.0)</f>
        <v>12130</v>
      </c>
      <c r="I3635" s="18">
        <f>IFERROR(__xludf.DUMMYFUNCTION("""COMPUTED_VALUE"""),40.0)</f>
        <v>40</v>
      </c>
      <c r="J3635" s="18">
        <f>IFERROR(__xludf.DUMMYFUNCTION("""COMPUTED_VALUE"""),30.0)</f>
        <v>30</v>
      </c>
      <c r="K3635" s="18">
        <f>IFERROR(__xludf.DUMMYFUNCTION("""COMPUTED_VALUE"""),40.0)</f>
        <v>40</v>
      </c>
      <c r="L3635" s="17">
        <f>IFERROR(__xludf.DUMMYFUNCTION("""COMPUTED_VALUE"""),3.006125263E9)</f>
        <v>3006125263</v>
      </c>
      <c r="M3635" s="17" t="str">
        <f>IFERROR(__xludf.DUMMYFUNCTION("""COMPUTED_VALUE"""),"#REF!")</f>
        <v>#REF!</v>
      </c>
      <c r="N3635" s="17"/>
      <c r="O3635" s="17"/>
      <c r="P3635" s="17" t="b">
        <f>IFERROR(__xludf.DUMMYFUNCTION("""COMPUTED_VALUE"""),FALSE)</f>
        <v>0</v>
      </c>
      <c r="Q3635" s="20" t="str">
        <f>IFERROR(__xludf.DUMMYFUNCTION("""COMPUTED_VALUE"""),"")</f>
        <v/>
      </c>
      <c r="R3635" s="22" t="str">
        <f>IFERROR(__xludf.DUMMYFUNCTION("""COMPUTED_VALUE"""),"")</f>
        <v/>
      </c>
    </row>
    <row r="3636">
      <c r="A3636" s="15">
        <f>IFERROR(__xludf.DUMMYFUNCTION("""COMPUTED_VALUE"""),45107.0)</f>
        <v>45107</v>
      </c>
      <c r="B3636" s="16" t="str">
        <f>IFERROR(__xludf.DUMMYFUNCTION("""COMPUTED_VALUE"""),"Envia")</f>
        <v>Envia</v>
      </c>
      <c r="C3636" s="15" t="str">
        <f>IFERROR(__xludf.DUMMYFUNCTION("""COMPUTED_VALUE"""),"BARRANQUILLA")</f>
        <v>BARRANQUILLA</v>
      </c>
      <c r="D3636" s="15" t="str">
        <f>IFERROR(__xludf.DUMMYFUNCTION("""COMPUTED_VALUE"""),"BOGOTÁ")</f>
        <v>BOGOTÁ</v>
      </c>
      <c r="E3636" s="15" t="str">
        <f>IFERROR(__xludf.DUMMYFUNCTION("""COMPUTED_VALUE"""),"Viral Brands")</f>
        <v>Viral Brands</v>
      </c>
      <c r="F3636" s="17" t="str">
        <f>IFERROR(__xludf.DUMMYFUNCTION("""COMPUTED_VALUE"""),"cra 58 n 96-187 / restaurante maya - gaucho / edif lyd 98")</f>
        <v>cra 58 n 96-187 / restaurante maya - gaucho / edif lyd 98</v>
      </c>
      <c r="G3636" s="15" t="str">
        <f>IFERROR(__xludf.DUMMYFUNCTION("""COMPUTED_VALUE"""),"manuel ortiz")</f>
        <v>manuel ortiz</v>
      </c>
      <c r="H3636" s="16">
        <f>IFERROR(__xludf.DUMMYFUNCTION("""COMPUTED_VALUE"""),12160.0)</f>
        <v>12160</v>
      </c>
      <c r="I3636" s="18">
        <f>IFERROR(__xludf.DUMMYFUNCTION("""COMPUTED_VALUE"""),21.0)</f>
        <v>21</v>
      </c>
      <c r="J3636" s="18">
        <f>IFERROR(__xludf.DUMMYFUNCTION("""COMPUTED_VALUE"""),30.0)</f>
        <v>30</v>
      </c>
      <c r="K3636" s="18">
        <f>IFERROR(__xludf.DUMMYFUNCTION("""COMPUTED_VALUE"""),50.0)</f>
        <v>50</v>
      </c>
      <c r="L3636" s="17">
        <f>IFERROR(__xludf.DUMMYFUNCTION("""COMPUTED_VALUE"""),3.122454394E9)</f>
        <v>3122454394</v>
      </c>
      <c r="M3636" s="17" t="str">
        <f>IFERROR(__xludf.DUMMYFUNCTION("""COMPUTED_VALUE"""),"#REF!")</f>
        <v>#REF!</v>
      </c>
      <c r="N3636" s="17"/>
      <c r="O3636" s="17"/>
      <c r="P3636" s="17" t="b">
        <f>IFERROR(__xludf.DUMMYFUNCTION("""COMPUTED_VALUE"""),FALSE)</f>
        <v>0</v>
      </c>
      <c r="Q3636" s="20" t="str">
        <f>IFERROR(__xludf.DUMMYFUNCTION("""COMPUTED_VALUE"""),"")</f>
        <v/>
      </c>
      <c r="R3636" s="21" t="str">
        <f>IFERROR(__xludf.DUMMYFUNCTION("""COMPUTED_VALUE"""),"https://drive.google.com/file/d/18-Cz2Q0Xg2r4FzaueI29wCAjo83Z-w-1/view?usp=drivesdk")</f>
        <v>https://drive.google.com/file/d/18-Cz2Q0Xg2r4FzaueI29wCAjo83Z-w-1/view?usp=drivesdk</v>
      </c>
    </row>
    <row r="3637">
      <c r="A3637" s="15">
        <f>IFERROR(__xludf.DUMMYFUNCTION("""COMPUTED_VALUE"""),45107.0)</f>
        <v>45107</v>
      </c>
      <c r="B3637" s="16" t="str">
        <f>IFERROR(__xludf.DUMMYFUNCTION("""COMPUTED_VALUE"""),"Envia")</f>
        <v>Envia</v>
      </c>
      <c r="C3637" s="15" t="str">
        <f>IFERROR(__xludf.DUMMYFUNCTION("""COMPUTED_VALUE"""),"BARRANQUILLA")</f>
        <v>BARRANQUILLA</v>
      </c>
      <c r="D3637" s="15" t="str">
        <f>IFERROR(__xludf.DUMMYFUNCTION("""COMPUTED_VALUE"""),"MANIZALES")</f>
        <v>MANIZALES</v>
      </c>
      <c r="E3637" s="15" t="str">
        <f>IFERROR(__xludf.DUMMYFUNCTION("""COMPUTED_VALUE"""),"Congelados Típicos")</f>
        <v>Congelados Típicos</v>
      </c>
      <c r="F3637" s="17" t="str">
        <f>IFERROR(__xludf.DUMMYFUNCTION("""COMPUTED_VALUE"""),"envia colvanes Barranquilla / envia colvanes Barranquilla / envia colvanes Barranquilla")</f>
        <v>envia colvanes Barranquilla / envia colvanes Barranquilla / envia colvanes Barranquilla</v>
      </c>
      <c r="G3637" s="15" t="str">
        <f>IFERROR(__xludf.DUMMYFUNCTION("""COMPUTED_VALUE"""),"CONGELADOS TIPICOS - MATEO")</f>
        <v>CONGELADOS TIPICOS - MATEO</v>
      </c>
      <c r="H3637" s="16">
        <f>IFERROR(__xludf.DUMMYFUNCTION("""COMPUTED_VALUE"""),12196.0)</f>
        <v>12196</v>
      </c>
      <c r="I3637" s="18">
        <f>IFERROR(__xludf.DUMMYFUNCTION("""COMPUTED_VALUE"""),20.0)</f>
        <v>20</v>
      </c>
      <c r="J3637" s="18">
        <f>IFERROR(__xludf.DUMMYFUNCTION("""COMPUTED_VALUE"""),50.0)</f>
        <v>50</v>
      </c>
      <c r="K3637" s="18">
        <f>IFERROR(__xludf.DUMMYFUNCTION("""COMPUTED_VALUE"""),20.0)</f>
        <v>20</v>
      </c>
      <c r="L3637" s="17">
        <f>IFERROR(__xludf.DUMMYFUNCTION("""COMPUTED_VALUE"""),3.113744276E9)</f>
        <v>3113744276</v>
      </c>
      <c r="M3637" s="17" t="str">
        <f>IFERROR(__xludf.DUMMYFUNCTION("""COMPUTED_VALUE"""),"#REF!")</f>
        <v>#REF!</v>
      </c>
      <c r="N3637" s="17"/>
      <c r="O3637" s="17"/>
      <c r="P3637" s="17" t="b">
        <f>IFERROR(__xludf.DUMMYFUNCTION("""COMPUTED_VALUE"""),FALSE)</f>
        <v>0</v>
      </c>
      <c r="Q3637" s="20" t="str">
        <f>IFERROR(__xludf.DUMMYFUNCTION("""COMPUTED_VALUE"""),"")</f>
        <v/>
      </c>
      <c r="R3637" s="21" t="str">
        <f>IFERROR(__xludf.DUMMYFUNCTION("""COMPUTED_VALUE"""),"https://drive.google.com/file/d/1whcuZ8dmQUxELISOQE2LMhKfWVnBXvrX/view?usp=drivesdk")</f>
        <v>https://drive.google.com/file/d/1whcuZ8dmQUxELISOQE2LMhKfWVnBXvrX/view?usp=drivesdk</v>
      </c>
    </row>
    <row r="3638">
      <c r="A3638" s="15">
        <f>IFERROR(__xludf.DUMMYFUNCTION("""COMPUTED_VALUE"""),45107.0)</f>
        <v>45107</v>
      </c>
      <c r="B3638" s="16" t="str">
        <f>IFERROR(__xludf.DUMMYFUNCTION("""COMPUTED_VALUE"""),"Envia")</f>
        <v>Envia</v>
      </c>
      <c r="C3638" s="15" t="str">
        <f>IFERROR(__xludf.DUMMYFUNCTION("""COMPUTED_VALUE"""),"BARRANQUILLA")</f>
        <v>BARRANQUILLA</v>
      </c>
      <c r="D3638" s="15" t="str">
        <f>IFERROR(__xludf.DUMMYFUNCTION("""COMPUTED_VALUE"""),"MEDELLÍN")</f>
        <v>MEDELLÍN</v>
      </c>
      <c r="E3638" s="15" t="str">
        <f>IFERROR(__xludf.DUMMYFUNCTION("""COMPUTED_VALUE"""),"Moloso S.A.S")</f>
        <v>Moloso S.A.S</v>
      </c>
      <c r="F3638" s="17" t="str">
        <f>IFERROR(__xludf.DUMMYFUNCTION("""COMPUTED_VALUE"""),"TRANS 44 102 167 / CONJU. SIERRA. APTO. 939 T5")</f>
        <v>TRANS 44 102 167 / CONJU. SIERRA. APTO. 939 T5</v>
      </c>
      <c r="G3638" s="15" t="str">
        <f>IFERROR(__xludf.DUMMYFUNCTION("""COMPUTED_VALUE"""),"MARIANA ORJUELA CHARCÓN")</f>
        <v>MARIANA ORJUELA CHARCÓN</v>
      </c>
      <c r="H3638" s="16">
        <f>IFERROR(__xludf.DUMMYFUNCTION("""COMPUTED_VALUE"""),12180.0)</f>
        <v>12180</v>
      </c>
      <c r="I3638" s="18">
        <f>IFERROR(__xludf.DUMMYFUNCTION("""COMPUTED_VALUE"""),17.0)</f>
        <v>17</v>
      </c>
      <c r="J3638" s="18">
        <f>IFERROR(__xludf.DUMMYFUNCTION("""COMPUTED_VALUE"""),15.0)</f>
        <v>15</v>
      </c>
      <c r="K3638" s="18">
        <f>IFERROR(__xludf.DUMMYFUNCTION("""COMPUTED_VALUE"""),28.0)</f>
        <v>28</v>
      </c>
      <c r="L3638" s="17" t="str">
        <f>IFERROR(__xludf.DUMMYFUNCTION("""COMPUTED_VALUE"""),"304 5242414")</f>
        <v>304 5242414</v>
      </c>
      <c r="M3638" s="17" t="str">
        <f>IFERROR(__xludf.DUMMYFUNCTION("""COMPUTED_VALUE"""),"#REF!")</f>
        <v>#REF!</v>
      </c>
      <c r="N3638" s="17"/>
      <c r="O3638" s="17"/>
      <c r="P3638" s="17" t="b">
        <f>IFERROR(__xludf.DUMMYFUNCTION("""COMPUTED_VALUE"""),FALSE)</f>
        <v>0</v>
      </c>
      <c r="Q3638" s="20" t="str">
        <f>IFERROR(__xludf.DUMMYFUNCTION("""COMPUTED_VALUE"""),"")</f>
        <v/>
      </c>
      <c r="R3638" s="21" t="str">
        <f>IFERROR(__xludf.DUMMYFUNCTION("""COMPUTED_VALUE"""),"https://drive.google.com/file/d/1E5qhDB9WvCtVXyy5s7gwCmt5-Wy7Mu5y/view?usp=drivesdk")</f>
        <v>https://drive.google.com/file/d/1E5qhDB9WvCtVXyy5s7gwCmt5-Wy7Mu5y/view?usp=drivesdk</v>
      </c>
    </row>
    <row r="3639">
      <c r="A3639" s="15">
        <f>IFERROR(__xludf.DUMMYFUNCTION("""COMPUTED_VALUE"""),45107.0)</f>
        <v>45107</v>
      </c>
      <c r="B3639" s="16" t="str">
        <f>IFERROR(__xludf.DUMMYFUNCTION("""COMPUTED_VALUE"""),"Envia")</f>
        <v>Envia</v>
      </c>
      <c r="C3639" s="15" t="str">
        <f>IFERROR(__xludf.DUMMYFUNCTION("""COMPUTED_VALUE"""),"BOGOTÁ")</f>
        <v>BOGOTÁ</v>
      </c>
      <c r="D3639" s="15" t="str">
        <f>IFERROR(__xludf.DUMMYFUNCTION("""COMPUTED_VALUE"""),"MEDELLÍN")</f>
        <v>MEDELLÍN</v>
      </c>
      <c r="E3639" s="15" t="str">
        <f>IFERROR(__xludf.DUMMYFUNCTION("""COMPUTED_VALUE"""),"Lácteos El Pino SAS")</f>
        <v>Lácteos El Pino SAS</v>
      </c>
      <c r="F3639" s="17" t="str">
        <f>IFERROR(__xludf.DUMMYFUNCTION("""COMPUTED_VALUE"""),"CRA 13 # 118-15 / LOCAL CASA GRIS- PRIMER PISO")</f>
        <v>CRA 13 # 118-15 / LOCAL CASA GRIS- PRIMER PISO</v>
      </c>
      <c r="G3639" s="15" t="str">
        <f>IFERROR(__xludf.DUMMYFUNCTION("""COMPUTED_VALUE"""),"MARCELA POSADA")</f>
        <v>MARCELA POSADA</v>
      </c>
      <c r="H3639" s="16">
        <f>IFERROR(__xludf.DUMMYFUNCTION("""COMPUTED_VALUE"""),12215.0)</f>
        <v>12215</v>
      </c>
      <c r="I3639" s="18">
        <f>IFERROR(__xludf.DUMMYFUNCTION("""COMPUTED_VALUE"""),33.0)</f>
        <v>33</v>
      </c>
      <c r="J3639" s="18">
        <f>IFERROR(__xludf.DUMMYFUNCTION("""COMPUTED_VALUE"""),22.0)</f>
        <v>22</v>
      </c>
      <c r="K3639" s="18">
        <f>IFERROR(__xludf.DUMMYFUNCTION("""COMPUTED_VALUE"""),36.0)</f>
        <v>36</v>
      </c>
      <c r="L3639" s="17"/>
      <c r="M3639" s="17" t="str">
        <f>IFERROR(__xludf.DUMMYFUNCTION("""COMPUTED_VALUE"""),"#REF!")</f>
        <v>#REF!</v>
      </c>
      <c r="N3639" s="17"/>
      <c r="O3639" s="17"/>
      <c r="P3639" s="17" t="b">
        <f>IFERROR(__xludf.DUMMYFUNCTION("""COMPUTED_VALUE"""),TRUE)</f>
        <v>1</v>
      </c>
      <c r="Q3639" s="20">
        <f>IFERROR(__xludf.DUMMYFUNCTION("""COMPUTED_VALUE"""),45110.979692974535)</f>
        <v>45110.97969</v>
      </c>
      <c r="R3639" s="21" t="str">
        <f>IFERROR(__xludf.DUMMYFUNCTION("""COMPUTED_VALUE"""),"https://drive.google.com/file/d/1n6PhwuQG6lm3hhFcBEkTLSeshNwPg27B/view?usp=drivesdk")</f>
        <v>https://drive.google.com/file/d/1n6PhwuQG6lm3hhFcBEkTLSeshNwPg27B/view?usp=drivesdk</v>
      </c>
    </row>
    <row r="3640">
      <c r="A3640" s="15">
        <f>IFERROR(__xludf.DUMMYFUNCTION("""COMPUTED_VALUE"""),45107.0)</f>
        <v>45107</v>
      </c>
      <c r="B3640" s="16" t="str">
        <f>IFERROR(__xludf.DUMMYFUNCTION("""COMPUTED_VALUE"""),"Envia")</f>
        <v>Envia</v>
      </c>
      <c r="C3640" s="15" t="str">
        <f>IFERROR(__xludf.DUMMYFUNCTION("""COMPUTED_VALUE"""),"BOGOTÁ")</f>
        <v>BOGOTÁ</v>
      </c>
      <c r="D3640" s="15" t="str">
        <f>IFERROR(__xludf.DUMMYFUNCTION("""COMPUTED_VALUE"""),"MEDELLÍN")</f>
        <v>MEDELLÍN</v>
      </c>
      <c r="E3640" s="15" t="str">
        <f>IFERROR(__xludf.DUMMYFUNCTION("""COMPUTED_VALUE"""),"Magda")</f>
        <v>Magda</v>
      </c>
      <c r="F3640" s="17" t="str">
        <f>IFERROR(__xludf.DUMMYFUNCTION("""COMPUTED_VALUE"""),"Carrera 16A # 77 - 23 /  centro de acopio Dando Cuerda / centro de acopio Dando Cuerda")</f>
        <v>Carrera 16A # 77 - 23 /  centro de acopio Dando Cuerda / centro de acopio Dando Cuerda</v>
      </c>
      <c r="G3640" s="15" t="str">
        <f>IFERROR(__xludf.DUMMYFUNCTION("""COMPUTED_VALUE"""),"carlos perez")</f>
        <v>carlos perez</v>
      </c>
      <c r="H3640" s="16">
        <f>IFERROR(__xludf.DUMMYFUNCTION("""COMPUTED_VALUE"""),12188.0)</f>
        <v>12188</v>
      </c>
      <c r="I3640" s="18">
        <f>IFERROR(__xludf.DUMMYFUNCTION("""COMPUTED_VALUE"""),5.0)</f>
        <v>5</v>
      </c>
      <c r="J3640" s="18">
        <f>IFERROR(__xludf.DUMMYFUNCTION("""COMPUTED_VALUE"""),5.0)</f>
        <v>5</v>
      </c>
      <c r="K3640" s="18">
        <f>IFERROR(__xludf.DUMMYFUNCTION("""COMPUTED_VALUE"""),5.0)</f>
        <v>5</v>
      </c>
      <c r="L3640" s="17">
        <f>IFERROR(__xludf.DUMMYFUNCTION("""COMPUTED_VALUE"""),3.122581483E9)</f>
        <v>3122581483</v>
      </c>
      <c r="M3640" s="17" t="str">
        <f>IFERROR(__xludf.DUMMYFUNCTION("""COMPUTED_VALUE"""),"#REF!")</f>
        <v>#REF!</v>
      </c>
      <c r="N3640" s="17"/>
      <c r="O3640" s="17"/>
      <c r="P3640" s="17" t="b">
        <f>IFERROR(__xludf.DUMMYFUNCTION("""COMPUTED_VALUE"""),FALSE)</f>
        <v>0</v>
      </c>
      <c r="Q3640" s="20" t="str">
        <f>IFERROR(__xludf.DUMMYFUNCTION("""COMPUTED_VALUE"""),"")</f>
        <v/>
      </c>
      <c r="R3640" s="21" t="str">
        <f>IFERROR(__xludf.DUMMYFUNCTION("""COMPUTED_VALUE"""),"https://drive.google.com/file/d/1YzNw57QRUYccSyGvRwJ4GBGYbgb2hB2T/view?usp=drivesdk")</f>
        <v>https://drive.google.com/file/d/1YzNw57QRUYccSyGvRwJ4GBGYbgb2hB2T/view?usp=drivesdk</v>
      </c>
    </row>
    <row r="3641">
      <c r="A3641" s="15">
        <f>IFERROR(__xludf.DUMMYFUNCTION("""COMPUTED_VALUE"""),45107.0)</f>
        <v>45107</v>
      </c>
      <c r="B3641" s="16" t="str">
        <f>IFERROR(__xludf.DUMMYFUNCTION("""COMPUTED_VALUE"""),"Envia")</f>
        <v>Envia</v>
      </c>
      <c r="C3641" s="15" t="str">
        <f>IFERROR(__xludf.DUMMYFUNCTION("""COMPUTED_VALUE"""),"CALI")</f>
        <v>CALI</v>
      </c>
      <c r="D3641" s="15" t="str">
        <f>IFERROR(__xludf.DUMMYFUNCTION("""COMPUTED_VALUE"""),"BOGOTÁ")</f>
        <v>BOGOTÁ</v>
      </c>
      <c r="E3641" s="15" t="str">
        <f>IFERROR(__xludf.DUMMYFUNCTION("""COMPUTED_VALUE"""),"Athenas")</f>
        <v>Athenas</v>
      </c>
      <c r="F3641" s="17" t="str">
        <f>IFERROR(__xludf.DUMMYFUNCTION("""COMPUTED_VALUE"""),"Calle 7 oeste #1 a 59 / Piso 2 edificio bodytech oeste  / Santa teresita")</f>
        <v>Calle 7 oeste #1 a 59 / Piso 2 edificio bodytech oeste  / Santa teresita</v>
      </c>
      <c r="G3641" s="15" t="str">
        <f>IFERROR(__xludf.DUMMYFUNCTION("""COMPUTED_VALUE"""),"Jorge parra")</f>
        <v>Jorge parra</v>
      </c>
      <c r="H3641" s="16">
        <f>IFERROR(__xludf.DUMMYFUNCTION("""COMPUTED_VALUE"""),12168.0)</f>
        <v>12168</v>
      </c>
      <c r="I3641" s="18">
        <f>IFERROR(__xludf.DUMMYFUNCTION("""COMPUTED_VALUE"""),21.0)</f>
        <v>21</v>
      </c>
      <c r="J3641" s="18">
        <f>IFERROR(__xludf.DUMMYFUNCTION("""COMPUTED_VALUE"""),55.0)</f>
        <v>55</v>
      </c>
      <c r="K3641" s="18">
        <f>IFERROR(__xludf.DUMMYFUNCTION("""COMPUTED_VALUE"""),45.0)</f>
        <v>45</v>
      </c>
      <c r="L3641" s="17">
        <f>IFERROR(__xludf.DUMMYFUNCTION("""COMPUTED_VALUE"""),3.103897576E9)</f>
        <v>3103897576</v>
      </c>
      <c r="M3641" s="17" t="str">
        <f>IFERROR(__xludf.DUMMYFUNCTION("""COMPUTED_VALUE"""),"#REF!")</f>
        <v>#REF!</v>
      </c>
      <c r="N3641" s="17"/>
      <c r="O3641" s="17"/>
      <c r="P3641" s="17" t="b">
        <f>IFERROR(__xludf.DUMMYFUNCTION("""COMPUTED_VALUE"""),FALSE)</f>
        <v>0</v>
      </c>
      <c r="Q3641" s="20" t="str">
        <f>IFERROR(__xludf.DUMMYFUNCTION("""COMPUTED_VALUE"""),"")</f>
        <v/>
      </c>
      <c r="R3641" s="21" t="str">
        <f>IFERROR(__xludf.DUMMYFUNCTION("""COMPUTED_VALUE"""),"https://drive.google.com/file/d/177G2a0sD4CjPO7S9RdHXgQSdXxKtrjPp/view?usp=drivesdk")</f>
        <v>https://drive.google.com/file/d/177G2a0sD4CjPO7S9RdHXgQSdXxKtrjPp/view?usp=drivesdk</v>
      </c>
    </row>
    <row r="3642">
      <c r="A3642" s="15">
        <f>IFERROR(__xludf.DUMMYFUNCTION("""COMPUTED_VALUE"""),45107.0)</f>
        <v>45107</v>
      </c>
      <c r="B3642" s="16" t="str">
        <f>IFERROR(__xludf.DUMMYFUNCTION("""COMPUTED_VALUE"""),"Envia")</f>
        <v>Envia</v>
      </c>
      <c r="C3642" s="15" t="str">
        <f>IFERROR(__xludf.DUMMYFUNCTION("""COMPUTED_VALUE"""),"CALI")</f>
        <v>CALI</v>
      </c>
      <c r="D3642" s="15" t="str">
        <f>IFERROR(__xludf.DUMMYFUNCTION("""COMPUTED_VALUE"""),"BOGOTÁ")</f>
        <v>BOGOTÁ</v>
      </c>
      <c r="E3642" s="15" t="str">
        <f>IFERROR(__xludf.DUMMYFUNCTION("""COMPUTED_VALUE"""),"Athenas")</f>
        <v>Athenas</v>
      </c>
      <c r="F3642" s="17" t="str">
        <f>IFERROR(__xludf.DUMMYFUNCTION("""COMPUTED_VALUE"""),"Calle 7 oeste #1 a 59 edificio Bodytech / 2 piso  / Normandía")</f>
        <v>Calle 7 oeste #1 a 59 edificio Bodytech / 2 piso  / Normandía</v>
      </c>
      <c r="G3642" s="15" t="str">
        <f>IFERROR(__xludf.DUMMYFUNCTION("""COMPUTED_VALUE"""),"Cafeteria athenas")</f>
        <v>Cafeteria athenas</v>
      </c>
      <c r="H3642" s="16">
        <f>IFERROR(__xludf.DUMMYFUNCTION("""COMPUTED_VALUE"""),12026.0)</f>
        <v>12026</v>
      </c>
      <c r="I3642" s="18">
        <f>IFERROR(__xludf.DUMMYFUNCTION("""COMPUTED_VALUE"""),55.0)</f>
        <v>55</v>
      </c>
      <c r="J3642" s="18">
        <f>IFERROR(__xludf.DUMMYFUNCTION("""COMPUTED_VALUE"""),45.0)</f>
        <v>45</v>
      </c>
      <c r="K3642" s="18">
        <f>IFERROR(__xludf.DUMMYFUNCTION("""COMPUTED_VALUE"""),29.0)</f>
        <v>29</v>
      </c>
      <c r="L3642" s="17">
        <f>IFERROR(__xludf.DUMMYFUNCTION("""COMPUTED_VALUE"""),3.103897576E9)</f>
        <v>3103897576</v>
      </c>
      <c r="M3642" s="17" t="str">
        <f>IFERROR(__xludf.DUMMYFUNCTION("""COMPUTED_VALUE"""),"#REF!")</f>
        <v>#REF!</v>
      </c>
      <c r="N3642" s="17"/>
      <c r="O3642" s="17"/>
      <c r="P3642" s="17" t="b">
        <f>IFERROR(__xludf.DUMMYFUNCTION("""COMPUTED_VALUE"""),FALSE)</f>
        <v>0</v>
      </c>
      <c r="Q3642" s="20" t="str">
        <f>IFERROR(__xludf.DUMMYFUNCTION("""COMPUTED_VALUE"""),"")</f>
        <v/>
      </c>
      <c r="R3642" s="22" t="str">
        <f>IFERROR(__xludf.DUMMYFUNCTION("""COMPUTED_VALUE"""),"")</f>
        <v/>
      </c>
    </row>
    <row r="3643">
      <c r="A3643" s="15">
        <f>IFERROR(__xludf.DUMMYFUNCTION("""COMPUTED_VALUE"""),45107.0)</f>
        <v>45107</v>
      </c>
      <c r="B3643" s="16" t="str">
        <f>IFERROR(__xludf.DUMMYFUNCTION("""COMPUTED_VALUE"""),"Envia")</f>
        <v>Envia</v>
      </c>
      <c r="C3643" s="15" t="str">
        <f>IFERROR(__xludf.DUMMYFUNCTION("""COMPUTED_VALUE"""),"CALI")</f>
        <v>CALI</v>
      </c>
      <c r="D3643" s="15" t="str">
        <f>IFERROR(__xludf.DUMMYFUNCTION("""COMPUTED_VALUE"""),"BOGOTÁ")</f>
        <v>BOGOTÁ</v>
      </c>
      <c r="E3643" s="15" t="str">
        <f>IFERROR(__xludf.DUMMYFUNCTION("""COMPUTED_VALUE"""),"Frambascolombia sas")</f>
        <v>Frambascolombia sas</v>
      </c>
      <c r="F3643" s="17" t="str">
        <f>IFERROR(__xludf.DUMMYFUNCTION("""COMPUTED_VALUE"""),"Cra 3 oeste # 3-18 / local 2")</f>
        <v>Cra 3 oeste # 3-18 / local 2</v>
      </c>
      <c r="G3643" s="15" t="str">
        <f>IFERROR(__xludf.DUMMYFUNCTION("""COMPUTED_VALUE"""),"D LILI CALI")</f>
        <v>D LILI CALI</v>
      </c>
      <c r="H3643" s="16">
        <f>IFERROR(__xludf.DUMMYFUNCTION("""COMPUTED_VALUE"""),12162.0)</f>
        <v>12162</v>
      </c>
      <c r="I3643" s="18" t="str">
        <f>IFERROR(__xludf.DUMMYFUNCTION("""COMPUTED_VALUE"""),"52.5")</f>
        <v>52.5</v>
      </c>
      <c r="J3643" s="18">
        <f>IFERROR(__xludf.DUMMYFUNCTION("""COMPUTED_VALUE"""),45.0)</f>
        <v>45</v>
      </c>
      <c r="K3643" s="18">
        <f>IFERROR(__xludf.DUMMYFUNCTION("""COMPUTED_VALUE"""),55.0)</f>
        <v>55</v>
      </c>
      <c r="L3643" s="17">
        <f>IFERROR(__xludf.DUMMYFUNCTION("""COMPUTED_VALUE"""),3.142892668E9)</f>
        <v>3142892668</v>
      </c>
      <c r="M3643" s="17" t="str">
        <f>IFERROR(__xludf.DUMMYFUNCTION("""COMPUTED_VALUE"""),"#REF!")</f>
        <v>#REF!</v>
      </c>
      <c r="N3643" s="17"/>
      <c r="O3643" s="17"/>
      <c r="P3643" s="17" t="b">
        <f>IFERROR(__xludf.DUMMYFUNCTION("""COMPUTED_VALUE"""),FALSE)</f>
        <v>0</v>
      </c>
      <c r="Q3643" s="20" t="str">
        <f>IFERROR(__xludf.DUMMYFUNCTION("""COMPUTED_VALUE"""),"")</f>
        <v/>
      </c>
      <c r="R3643" s="21" t="str">
        <f>IFERROR(__xludf.DUMMYFUNCTION("""COMPUTED_VALUE"""),"https://drive.google.com/file/d/1EV9dQBLvvfnf7Bt3Io8G5-m8ppj1ZwaF/view?usp=drivesdk")</f>
        <v>https://drive.google.com/file/d/1EV9dQBLvvfnf7Bt3Io8G5-m8ppj1ZwaF/view?usp=drivesdk</v>
      </c>
    </row>
    <row r="3644">
      <c r="A3644" s="15">
        <f>IFERROR(__xludf.DUMMYFUNCTION("""COMPUTED_VALUE"""),45107.0)</f>
        <v>45107</v>
      </c>
      <c r="B3644" s="16" t="str">
        <f>IFERROR(__xludf.DUMMYFUNCTION("""COMPUTED_VALUE"""),"Envia")</f>
        <v>Envia</v>
      </c>
      <c r="C3644" s="15" t="str">
        <f>IFERROR(__xludf.DUMMYFUNCTION("""COMPUTED_VALUE"""),"CALI")</f>
        <v>CALI</v>
      </c>
      <c r="D3644" s="15" t="str">
        <f>IFERROR(__xludf.DUMMYFUNCTION("""COMPUTED_VALUE"""),"BOGOTÁ")</f>
        <v>BOGOTÁ</v>
      </c>
      <c r="E3644" s="15" t="str">
        <f>IFERROR(__xludf.DUMMYFUNCTION("""COMPUTED_VALUE"""),"Viral Brands")</f>
        <v>Viral Brands</v>
      </c>
      <c r="F3644" s="17" t="str">
        <f>IFERROR(__xludf.DUMMYFUNCTION("""COMPUTED_VALUE"""),"Avenida 5 a 25 n 39 / Cocina 9 . Cocinas ocultas  / Barrio San Vicente por la misma cuadra de la pasarela después de Bancolombia")</f>
        <v>Avenida 5 a 25 n 39 / Cocina 9 . Cocinas ocultas  / Barrio San Vicente por la misma cuadra de la pasarela después de Bancolombia</v>
      </c>
      <c r="G3644" s="15" t="str">
        <f>IFERROR(__xludf.DUMMYFUNCTION("""COMPUTED_VALUE"""),"Lizbeth gamez")</f>
        <v>Lizbeth gamez</v>
      </c>
      <c r="H3644" s="16">
        <f>IFERROR(__xludf.DUMMYFUNCTION("""COMPUTED_VALUE"""),12158.0)</f>
        <v>12158</v>
      </c>
      <c r="I3644" s="18" t="str">
        <f>IFERROR(__xludf.DUMMYFUNCTION("""COMPUTED_VALUE"""),"52.5")</f>
        <v>52.5</v>
      </c>
      <c r="J3644" s="18">
        <f>IFERROR(__xludf.DUMMYFUNCTION("""COMPUTED_VALUE"""),55.0)</f>
        <v>55</v>
      </c>
      <c r="K3644" s="18">
        <f>IFERROR(__xludf.DUMMYFUNCTION("""COMPUTED_VALUE"""),45.0)</f>
        <v>45</v>
      </c>
      <c r="L3644" s="17">
        <f>IFERROR(__xludf.DUMMYFUNCTION("""COMPUTED_VALUE"""),3.107166596E9)</f>
        <v>3107166596</v>
      </c>
      <c r="M3644" s="17" t="str">
        <f>IFERROR(__xludf.DUMMYFUNCTION("""COMPUTED_VALUE"""),"#REF!")</f>
        <v>#REF!</v>
      </c>
      <c r="N3644" s="17"/>
      <c r="O3644" s="17"/>
      <c r="P3644" s="17" t="b">
        <f>IFERROR(__xludf.DUMMYFUNCTION("""COMPUTED_VALUE"""),FALSE)</f>
        <v>0</v>
      </c>
      <c r="Q3644" s="20" t="str">
        <f>IFERROR(__xludf.DUMMYFUNCTION("""COMPUTED_VALUE"""),"")</f>
        <v/>
      </c>
      <c r="R3644" s="21" t="str">
        <f>IFERROR(__xludf.DUMMYFUNCTION("""COMPUTED_VALUE"""),"https://drive.google.com/file/d/1b0aJBE75KwtLbFq7nufPsj4539FUx3oo/view?usp=drivesdk")</f>
        <v>https://drive.google.com/file/d/1b0aJBE75KwtLbFq7nufPsj4539FUx3oo/view?usp=drivesdk</v>
      </c>
    </row>
    <row r="3645">
      <c r="A3645" s="15">
        <f>IFERROR(__xludf.DUMMYFUNCTION("""COMPUTED_VALUE"""),45107.0)</f>
        <v>45107</v>
      </c>
      <c r="B3645" s="16" t="str">
        <f>IFERROR(__xludf.DUMMYFUNCTION("""COMPUTED_VALUE"""),"Envia")</f>
        <v>Envia</v>
      </c>
      <c r="C3645" s="15" t="str">
        <f>IFERROR(__xludf.DUMMYFUNCTION("""COMPUTED_VALUE"""),"CÚCUTA")</f>
        <v>CÚCUTA</v>
      </c>
      <c r="D3645" s="15" t="str">
        <f>IFERROR(__xludf.DUMMYFUNCTION("""COMPUTED_VALUE"""),"MEDELLÍN")</f>
        <v>MEDELLÍN</v>
      </c>
      <c r="E3645" s="15" t="str">
        <f>IFERROR(__xludf.DUMMYFUNCTION("""COMPUTED_VALUE"""),"Todo Bufala")</f>
        <v>Todo Bufala</v>
      </c>
      <c r="F3645" s="17" t="str">
        <f>IFERROR(__xludf.DUMMYFUNCTION("""COMPUTED_VALUE"""),"Calle 17 av 1E 131")</f>
        <v>Calle 17 av 1E 131</v>
      </c>
      <c r="G3645" s="15" t="str">
        <f>IFERROR(__xludf.DUMMYFUNCTION("""COMPUTED_VALUE"""),"Diana Villan-Canal y chacon SAS")</f>
        <v>Diana Villan-Canal y chacon SAS</v>
      </c>
      <c r="H3645" s="16">
        <f>IFERROR(__xludf.DUMMYFUNCTION("""COMPUTED_VALUE"""),12135.0)</f>
        <v>12135</v>
      </c>
      <c r="I3645" s="18">
        <f>IFERROR(__xludf.DUMMYFUNCTION("""COMPUTED_VALUE"""),20.0)</f>
        <v>20</v>
      </c>
      <c r="J3645" s="18">
        <f>IFERROR(__xludf.DUMMYFUNCTION("""COMPUTED_VALUE"""),15.0)</f>
        <v>15</v>
      </c>
      <c r="K3645" s="18">
        <f>IFERROR(__xludf.DUMMYFUNCTION("""COMPUTED_VALUE"""),20.0)</f>
        <v>20</v>
      </c>
      <c r="L3645" s="17">
        <f>IFERROR(__xludf.DUMMYFUNCTION("""COMPUTED_VALUE"""),3.023489229E9)</f>
        <v>3023489229</v>
      </c>
      <c r="M3645" s="17" t="str">
        <f>IFERROR(__xludf.DUMMYFUNCTION("""COMPUTED_VALUE"""),"#REF!")</f>
        <v>#REF!</v>
      </c>
      <c r="N3645" s="17"/>
      <c r="O3645" s="17"/>
      <c r="P3645" s="17" t="b">
        <f>IFERROR(__xludf.DUMMYFUNCTION("""COMPUTED_VALUE"""),TRUE)</f>
        <v>1</v>
      </c>
      <c r="Q3645" s="20">
        <f>IFERROR(__xludf.DUMMYFUNCTION("""COMPUTED_VALUE"""),45110.979692974535)</f>
        <v>45110.97969</v>
      </c>
      <c r="R3645" s="21" t="str">
        <f>IFERROR(__xludf.DUMMYFUNCTION("""COMPUTED_VALUE"""),"https://drive.google.com/file/d/15TjPYvmvtkksrB2Wq-29bM3kSn6RFn-Y/view?usp=drivesdk")</f>
        <v>https://drive.google.com/file/d/15TjPYvmvtkksrB2Wq-29bM3kSn6RFn-Y/view?usp=drivesdk</v>
      </c>
    </row>
    <row r="3646">
      <c r="A3646" s="15">
        <f>IFERROR(__xludf.DUMMYFUNCTION("""COMPUTED_VALUE"""),45107.0)</f>
        <v>45107</v>
      </c>
      <c r="B3646" s="16" t="str">
        <f>IFERROR(__xludf.DUMMYFUNCTION("""COMPUTED_VALUE"""),"Envia")</f>
        <v>Envia</v>
      </c>
      <c r="C3646" s="15" t="str">
        <f>IFERROR(__xludf.DUMMYFUNCTION("""COMPUTED_VALUE"""),"CÚCUTA")</f>
        <v>CÚCUTA</v>
      </c>
      <c r="D3646" s="15" t="str">
        <f>IFERROR(__xludf.DUMMYFUNCTION("""COMPUTED_VALUE"""),"MEDELLÍN")</f>
        <v>MEDELLÍN</v>
      </c>
      <c r="E3646" s="15" t="str">
        <f>IFERROR(__xludf.DUMMYFUNCTION("""COMPUTED_VALUE"""),"Todo Bufala")</f>
        <v>Todo Bufala</v>
      </c>
      <c r="F3646" s="17" t="str">
        <f>IFERROR(__xludf.DUMMYFUNCTION("""COMPUTED_VALUE"""),"Calle 17 av 1E 131")</f>
        <v>Calle 17 av 1E 131</v>
      </c>
      <c r="G3646" s="15" t="str">
        <f>IFERROR(__xludf.DUMMYFUNCTION("""COMPUTED_VALUE"""),"Diana Villan-Canal y chacon SAS")</f>
        <v>Diana Villan-Canal y chacon SAS</v>
      </c>
      <c r="H3646" s="16">
        <f>IFERROR(__xludf.DUMMYFUNCTION("""COMPUTED_VALUE"""),12136.0)</f>
        <v>12136</v>
      </c>
      <c r="I3646" s="18">
        <f>IFERROR(__xludf.DUMMYFUNCTION("""COMPUTED_VALUE"""),20.0)</f>
        <v>20</v>
      </c>
      <c r="J3646" s="18">
        <f>IFERROR(__xludf.DUMMYFUNCTION("""COMPUTED_VALUE"""),30.0)</f>
        <v>30</v>
      </c>
      <c r="K3646" s="18">
        <f>IFERROR(__xludf.DUMMYFUNCTION("""COMPUTED_VALUE"""),40.0)</f>
        <v>40</v>
      </c>
      <c r="L3646" s="17">
        <f>IFERROR(__xludf.DUMMYFUNCTION("""COMPUTED_VALUE"""),3.023489229E9)</f>
        <v>3023489229</v>
      </c>
      <c r="M3646" s="17" t="str">
        <f>IFERROR(__xludf.DUMMYFUNCTION("""COMPUTED_VALUE"""),"#REF!")</f>
        <v>#REF!</v>
      </c>
      <c r="N3646" s="17"/>
      <c r="O3646" s="17"/>
      <c r="P3646" s="17" t="b">
        <f>IFERROR(__xludf.DUMMYFUNCTION("""COMPUTED_VALUE"""),FALSE)</f>
        <v>0</v>
      </c>
      <c r="Q3646" s="20" t="str">
        <f>IFERROR(__xludf.DUMMYFUNCTION("""COMPUTED_VALUE"""),"")</f>
        <v/>
      </c>
      <c r="R3646" s="22" t="str">
        <f>IFERROR(__xludf.DUMMYFUNCTION("""COMPUTED_VALUE"""),"")</f>
        <v/>
      </c>
    </row>
    <row r="3647">
      <c r="A3647" s="15">
        <f>IFERROR(__xludf.DUMMYFUNCTION("""COMPUTED_VALUE"""),45107.0)</f>
        <v>45107</v>
      </c>
      <c r="B3647" s="16" t="str">
        <f>IFERROR(__xludf.DUMMYFUNCTION("""COMPUTED_VALUE"""),"Envia")</f>
        <v>Envia</v>
      </c>
      <c r="C3647" s="15" t="str">
        <f>IFERROR(__xludf.DUMMYFUNCTION("""COMPUTED_VALUE"""),"MEDELLÍN")</f>
        <v>MEDELLÍN</v>
      </c>
      <c r="D3647" s="15" t="str">
        <f>IFERROR(__xludf.DUMMYFUNCTION("""COMPUTED_VALUE"""),"BOGOTÁ")</f>
        <v>BOGOTÁ</v>
      </c>
      <c r="E3647" s="15" t="str">
        <f>IFERROR(__xludf.DUMMYFUNCTION("""COMPUTED_VALUE"""),"Frambascolombia sas")</f>
        <v>Frambascolombia sas</v>
      </c>
      <c r="F3647" s="17" t="str">
        <f>IFERROR(__xludf.DUMMYFUNCTION("""COMPUTED_VALUE"""),"Cl. 16 #55-129 / local 2")</f>
        <v>Cl. 16 #55-129 / local 2</v>
      </c>
      <c r="G3647" s="15" t="str">
        <f>IFERROR(__xludf.DUMMYFUNCTION("""COMPUTED_VALUE"""),"PikNPak Medellín")</f>
        <v>PikNPak Medellín</v>
      </c>
      <c r="H3647" s="16">
        <f>IFERROR(__xludf.DUMMYFUNCTION("""COMPUTED_VALUE"""),12163.0)</f>
        <v>12163</v>
      </c>
      <c r="I3647" s="18">
        <f>IFERROR(__xludf.DUMMYFUNCTION("""COMPUTED_VALUE"""),11.0)</f>
        <v>11</v>
      </c>
      <c r="J3647" s="18">
        <f>IFERROR(__xludf.DUMMYFUNCTION("""COMPUTED_VALUE"""),9.0)</f>
        <v>9</v>
      </c>
      <c r="K3647" s="18">
        <f>IFERROR(__xludf.DUMMYFUNCTION("""COMPUTED_VALUE"""),9.0)</f>
        <v>9</v>
      </c>
      <c r="L3647" s="17" t="str">
        <f>IFERROR(__xludf.DUMMYFUNCTION("""COMPUTED_VALUE"""),"321 4229567")</f>
        <v>321 4229567</v>
      </c>
      <c r="M3647" s="17" t="str">
        <f>IFERROR(__xludf.DUMMYFUNCTION("""COMPUTED_VALUE"""),"#REF!")</f>
        <v>#REF!</v>
      </c>
      <c r="N3647" s="17"/>
      <c r="O3647" s="17"/>
      <c r="P3647" s="17" t="b">
        <f>IFERROR(__xludf.DUMMYFUNCTION("""COMPUTED_VALUE"""),FALSE)</f>
        <v>0</v>
      </c>
      <c r="Q3647" s="20" t="str">
        <f>IFERROR(__xludf.DUMMYFUNCTION("""COMPUTED_VALUE"""),"")</f>
        <v/>
      </c>
      <c r="R3647" s="21" t="str">
        <f>IFERROR(__xludf.DUMMYFUNCTION("""COMPUTED_VALUE"""),"https://drive.google.com/file/d/1bOIOMxMSOGQvjGvmUbxnLfZHSovfX8_a/view?usp=drivesdk")</f>
        <v>https://drive.google.com/file/d/1bOIOMxMSOGQvjGvmUbxnLfZHSovfX8_a/view?usp=drivesdk</v>
      </c>
    </row>
    <row r="3648">
      <c r="A3648" s="15">
        <f>IFERROR(__xludf.DUMMYFUNCTION("""COMPUTED_VALUE"""),45107.0)</f>
        <v>45107</v>
      </c>
      <c r="B3648" s="16" t="str">
        <f>IFERROR(__xludf.DUMMYFUNCTION("""COMPUTED_VALUE"""),"Envia")</f>
        <v>Envia</v>
      </c>
      <c r="C3648" s="15" t="str">
        <f>IFERROR(__xludf.DUMMYFUNCTION("""COMPUTED_VALUE"""),"MEDELLÍN")</f>
        <v>MEDELLÍN</v>
      </c>
      <c r="D3648" s="15" t="str">
        <f>IFERROR(__xludf.DUMMYFUNCTION("""COMPUTED_VALUE"""),"BOGOTÁ")</f>
        <v>BOGOTÁ</v>
      </c>
      <c r="E3648" s="15" t="str">
        <f>IFERROR(__xludf.DUMMYFUNCTION("""COMPUTED_VALUE"""),"Frambascolombia sas")</f>
        <v>Frambascolombia sas</v>
      </c>
      <c r="F3648" s="17" t="str">
        <f>IFERROR(__xludf.DUMMYFUNCTION("""COMPUTED_VALUE"""),"cra 32 # 2 sur 47 / local 2")</f>
        <v>cra 32 # 2 sur 47 / local 2</v>
      </c>
      <c r="G3648" s="15" t="str">
        <f>IFERROR(__xludf.DUMMYFUNCTION("""COMPUTED_VALUE"""),"D LILI MEDELLIN")</f>
        <v>D LILI MEDELLIN</v>
      </c>
      <c r="H3648" s="16">
        <f>IFERROR(__xludf.DUMMYFUNCTION("""COMPUTED_VALUE"""),12161.0)</f>
        <v>12161</v>
      </c>
      <c r="I3648" s="18" t="str">
        <f>IFERROR(__xludf.DUMMYFUNCTION("""COMPUTED_VALUE"""),"52.5")</f>
        <v>52.5</v>
      </c>
      <c r="J3648" s="18">
        <f>IFERROR(__xludf.DUMMYFUNCTION("""COMPUTED_VALUE"""),45.0)</f>
        <v>45</v>
      </c>
      <c r="K3648" s="18">
        <f>IFERROR(__xludf.DUMMYFUNCTION("""COMPUTED_VALUE"""),55.0)</f>
        <v>55</v>
      </c>
      <c r="L3648" s="17">
        <f>IFERROR(__xludf.DUMMYFUNCTION("""COMPUTED_VALUE"""),3.188377726E9)</f>
        <v>3188377726</v>
      </c>
      <c r="M3648" s="17" t="str">
        <f>IFERROR(__xludf.DUMMYFUNCTION("""COMPUTED_VALUE"""),"#REF!")</f>
        <v>#REF!</v>
      </c>
      <c r="N3648" s="17"/>
      <c r="O3648" s="17"/>
      <c r="P3648" s="17" t="b">
        <f>IFERROR(__xludf.DUMMYFUNCTION("""COMPUTED_VALUE"""),FALSE)</f>
        <v>0</v>
      </c>
      <c r="Q3648" s="20" t="str">
        <f>IFERROR(__xludf.DUMMYFUNCTION("""COMPUTED_VALUE"""),"")</f>
        <v/>
      </c>
      <c r="R3648" s="21" t="str">
        <f>IFERROR(__xludf.DUMMYFUNCTION("""COMPUTED_VALUE"""),"https://drive.google.com/file/d/1bdkxAAJ7n_YDY1ttamJdajzCvzeCovA6/view?usp=drivesdk")</f>
        <v>https://drive.google.com/file/d/1bdkxAAJ7n_YDY1ttamJdajzCvzeCovA6/view?usp=drivesdk</v>
      </c>
    </row>
    <row r="3649">
      <c r="A3649" s="15">
        <f>IFERROR(__xludf.DUMMYFUNCTION("""COMPUTED_VALUE"""),45107.0)</f>
        <v>45107</v>
      </c>
      <c r="B3649" s="16" t="str">
        <f>IFERROR(__xludf.DUMMYFUNCTION("""COMPUTED_VALUE"""),"Envia")</f>
        <v>Envia</v>
      </c>
      <c r="C3649" s="15" t="str">
        <f>IFERROR(__xludf.DUMMYFUNCTION("""COMPUTED_VALUE"""),"MEDELLÍN")</f>
        <v>MEDELLÍN</v>
      </c>
      <c r="D3649" s="15" t="str">
        <f>IFERROR(__xludf.DUMMYFUNCTION("""COMPUTED_VALUE"""),"BOGOTÁ")</f>
        <v>BOGOTÁ</v>
      </c>
      <c r="E3649" s="15" t="str">
        <f>IFERROR(__xludf.DUMMYFUNCTION("""COMPUTED_VALUE"""),"Frubits")</f>
        <v>Frubits</v>
      </c>
      <c r="F3649" s="17" t="str">
        <f>IFERROR(__xludf.DUMMYFUNCTION("""COMPUTED_VALUE"""),"DeModa Poblado Cl. 16 #55-129 Parqueaderos subterraneos cocina ocultas / DeModa Poblado Cl. 16 #55-129 Parqueaderos subterraneos cocina ocultas / DeModa Poblado Cl. 16 #55-129 Parqueaderos subterraneos cocina ocultas")</f>
        <v>DeModa Poblado Cl. 16 #55-129 Parqueaderos subterraneos cocina ocultas / DeModa Poblado Cl. 16 #55-129 Parqueaderos subterraneos cocina ocultas / DeModa Poblado Cl. 16 #55-129 Parqueaderos subterraneos cocina ocultas</v>
      </c>
      <c r="G3649" s="15" t="str">
        <f>IFERROR(__xludf.DUMMYFUNCTION("""COMPUTED_VALUE"""),"Cocinas Ocultas-Frubits")</f>
        <v>Cocinas Ocultas-Frubits</v>
      </c>
      <c r="H3649" s="16">
        <f>IFERROR(__xludf.DUMMYFUNCTION("""COMPUTED_VALUE"""),12185.0)</f>
        <v>12185</v>
      </c>
      <c r="I3649" s="18">
        <f>IFERROR(__xludf.DUMMYFUNCTION("""COMPUTED_VALUE"""),10.0)</f>
        <v>10</v>
      </c>
      <c r="J3649" s="18">
        <f>IFERROR(__xludf.DUMMYFUNCTION("""COMPUTED_VALUE"""),10.0)</f>
        <v>10</v>
      </c>
      <c r="K3649" s="18">
        <f>IFERROR(__xludf.DUMMYFUNCTION("""COMPUTED_VALUE"""),10.0)</f>
        <v>10</v>
      </c>
      <c r="L3649" s="17">
        <f>IFERROR(__xludf.DUMMYFUNCTION("""COMPUTED_VALUE"""),3.123597578E9)</f>
        <v>3123597578</v>
      </c>
      <c r="M3649" s="17" t="str">
        <f>IFERROR(__xludf.DUMMYFUNCTION("""COMPUTED_VALUE"""),"#REF!")</f>
        <v>#REF!</v>
      </c>
      <c r="N3649" s="17"/>
      <c r="O3649" s="17"/>
      <c r="P3649" s="17" t="b">
        <f>IFERROR(__xludf.DUMMYFUNCTION("""COMPUTED_VALUE"""),FALSE)</f>
        <v>0</v>
      </c>
      <c r="Q3649" s="20" t="str">
        <f>IFERROR(__xludf.DUMMYFUNCTION("""COMPUTED_VALUE"""),"")</f>
        <v/>
      </c>
      <c r="R3649" s="21" t="str">
        <f>IFERROR(__xludf.DUMMYFUNCTION("""COMPUTED_VALUE"""),"https://drive.google.com/file/d/1JDmTCTMGPZg1MCQY6E-Fyjd9DSwgLiRa/view?usp=drivesdk")</f>
        <v>https://drive.google.com/file/d/1JDmTCTMGPZg1MCQY6E-Fyjd9DSwgLiRa/view?usp=drivesdk</v>
      </c>
    </row>
    <row r="3650">
      <c r="A3650" s="15">
        <f>IFERROR(__xludf.DUMMYFUNCTION("""COMPUTED_VALUE"""),45107.0)</f>
        <v>45107</v>
      </c>
      <c r="B3650" s="16" t="str">
        <f>IFERROR(__xludf.DUMMYFUNCTION("""COMPUTED_VALUE"""),"Envia")</f>
        <v>Envia</v>
      </c>
      <c r="C3650" s="15" t="str">
        <f>IFERROR(__xludf.DUMMYFUNCTION("""COMPUTED_VALUE"""),"MEDELLÍN")</f>
        <v>MEDELLÍN</v>
      </c>
      <c r="D3650" s="15" t="str">
        <f>IFERROR(__xludf.DUMMYFUNCTION("""COMPUTED_VALUE"""),"BOGOTÁ")</f>
        <v>BOGOTÁ</v>
      </c>
      <c r="E3650" s="15" t="str">
        <f>IFERROR(__xludf.DUMMYFUNCTION("""COMPUTED_VALUE"""),"MAI ALIMENTOS S.A.S")</f>
        <v>MAI ALIMENTOS S.A.S</v>
      </c>
      <c r="F3650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650" s="15" t="str">
        <f>IFERROR(__xludf.DUMMYFUNCTION("""COMPUTED_VALUE"""),"Novaventas")</f>
        <v>Novaventas</v>
      </c>
      <c r="H3650" s="16">
        <f>IFERROR(__xludf.DUMMYFUNCTION("""COMPUTED_VALUE"""),12224.0)</f>
        <v>12224</v>
      </c>
      <c r="I3650" s="18">
        <f>IFERROR(__xludf.DUMMYFUNCTION("""COMPUTED_VALUE"""),35.0)</f>
        <v>35</v>
      </c>
      <c r="J3650" s="18">
        <f>IFERROR(__xludf.DUMMYFUNCTION("""COMPUTED_VALUE"""),17.0)</f>
        <v>17</v>
      </c>
      <c r="K3650" s="18">
        <f>IFERROR(__xludf.DUMMYFUNCTION("""COMPUTED_VALUE"""),13.0)</f>
        <v>13</v>
      </c>
      <c r="L3650" s="17">
        <f>IFERROR(__xludf.DUMMYFUNCTION("""COMPUTED_VALUE"""),3.187351593E9)</f>
        <v>3187351593</v>
      </c>
      <c r="M3650" s="17" t="str">
        <f>IFERROR(__xludf.DUMMYFUNCTION("""COMPUTED_VALUE"""),"#REF!")</f>
        <v>#REF!</v>
      </c>
      <c r="N3650" s="17"/>
      <c r="O3650" s="17"/>
      <c r="P3650" s="17" t="b">
        <f>IFERROR(__xludf.DUMMYFUNCTION("""COMPUTED_VALUE"""),FALSE)</f>
        <v>0</v>
      </c>
      <c r="Q3650" s="20" t="str">
        <f>IFERROR(__xludf.DUMMYFUNCTION("""COMPUTED_VALUE"""),"")</f>
        <v/>
      </c>
      <c r="R3650" s="21" t="str">
        <f>IFERROR(__xludf.DUMMYFUNCTION("""COMPUTED_VALUE"""),"https://drive.google.com/file/d/1nm6t94W8QupSB3K4zlOgmNWxfqmh3O-7/view?usp=drivesdk")</f>
        <v>https://drive.google.com/file/d/1nm6t94W8QupSB3K4zlOgmNWxfqmh3O-7/view?usp=drivesdk</v>
      </c>
    </row>
    <row r="3651">
      <c r="A3651" s="15">
        <f>IFERROR(__xludf.DUMMYFUNCTION("""COMPUTED_VALUE"""),45107.0)</f>
        <v>45107</v>
      </c>
      <c r="B3651" s="16" t="str">
        <f>IFERROR(__xludf.DUMMYFUNCTION("""COMPUTED_VALUE"""),"Envia")</f>
        <v>Envia</v>
      </c>
      <c r="C3651" s="15" t="str">
        <f>IFERROR(__xludf.DUMMYFUNCTION("""COMPUTED_VALUE"""),"MEDELLÍN")</f>
        <v>MEDELLÍN</v>
      </c>
      <c r="D3651" s="15" t="str">
        <f>IFERROR(__xludf.DUMMYFUNCTION("""COMPUTED_VALUE"""),"BOGOTÁ")</f>
        <v>BOGOTÁ</v>
      </c>
      <c r="E3651" s="15" t="str">
        <f>IFERROR(__xludf.DUMMYFUNCTION("""COMPUTED_VALUE"""),"Mochi")</f>
        <v>Mochi</v>
      </c>
      <c r="F3651" s="17" t="str">
        <f>IFERROR(__xludf.DUMMYFUNCTION("""COMPUTED_VALUE"""),"Centro comercial viva envigado  / Centro comercial viva envigado  / Centro comercial viva envigado")</f>
        <v>Centro comercial viva envigado  / Centro comercial viva envigado  / Centro comercial viva envigado</v>
      </c>
      <c r="G3651" s="15" t="str">
        <f>IFERROR(__xludf.DUMMYFUNCTION("""COMPUTED_VALUE"""),"Tania vellojin")</f>
        <v>Tania vellojin</v>
      </c>
      <c r="H3651" s="16">
        <f>IFERROR(__xludf.DUMMYFUNCTION("""COMPUTED_VALUE"""),12226.0)</f>
        <v>12226</v>
      </c>
      <c r="I3651" s="18">
        <f>IFERROR(__xludf.DUMMYFUNCTION("""COMPUTED_VALUE"""),100.0)</f>
        <v>100</v>
      </c>
      <c r="J3651" s="18">
        <f>IFERROR(__xludf.DUMMYFUNCTION("""COMPUTED_VALUE"""),100.0)</f>
        <v>100</v>
      </c>
      <c r="K3651" s="18">
        <f>IFERROR(__xludf.DUMMYFUNCTION("""COMPUTED_VALUE"""),100.0)</f>
        <v>100</v>
      </c>
      <c r="L3651" s="17">
        <f>IFERROR(__xludf.DUMMYFUNCTION("""COMPUTED_VALUE"""),3.142587995E9)</f>
        <v>3142587995</v>
      </c>
      <c r="M3651" s="17" t="str">
        <f>IFERROR(__xludf.DUMMYFUNCTION("""COMPUTED_VALUE"""),"#REF!")</f>
        <v>#REF!</v>
      </c>
      <c r="N3651" s="17"/>
      <c r="O3651" s="17"/>
      <c r="P3651" s="17" t="b">
        <f>IFERROR(__xludf.DUMMYFUNCTION("""COMPUTED_VALUE"""),FALSE)</f>
        <v>0</v>
      </c>
      <c r="Q3651" s="20" t="str">
        <f>IFERROR(__xludf.DUMMYFUNCTION("""COMPUTED_VALUE"""),"")</f>
        <v/>
      </c>
      <c r="R3651" s="21" t="str">
        <f>IFERROR(__xludf.DUMMYFUNCTION("""COMPUTED_VALUE"""),"https://drive.google.com/file/d/1bIM-CLKh7wR2LvcbC1YWWur5IP7szFSL/view?usp=drivesdk")</f>
        <v>https://drive.google.com/file/d/1bIM-CLKh7wR2LvcbC1YWWur5IP7szFSL/view?usp=drivesdk</v>
      </c>
    </row>
    <row r="3652">
      <c r="A3652" s="15">
        <f>IFERROR(__xludf.DUMMYFUNCTION("""COMPUTED_VALUE"""),45107.0)</f>
        <v>45107</v>
      </c>
      <c r="B3652" s="16" t="str">
        <f>IFERROR(__xludf.DUMMYFUNCTION("""COMPUTED_VALUE"""),"Envia")</f>
        <v>Envia</v>
      </c>
      <c r="C3652" s="15" t="str">
        <f>IFERROR(__xludf.DUMMYFUNCTION("""COMPUTED_VALUE"""),"MEDELLÍN")</f>
        <v>MEDELLÍN</v>
      </c>
      <c r="D3652" s="15" t="str">
        <f>IFERROR(__xludf.DUMMYFUNCTION("""COMPUTED_VALUE"""),"BOGOTÁ")</f>
        <v>BOGOTÁ</v>
      </c>
      <c r="E3652" s="15" t="str">
        <f>IFERROR(__xludf.DUMMYFUNCTION("""COMPUTED_VALUE"""),"Renata")</f>
        <v>Renata</v>
      </c>
      <c r="F3652" s="17" t="str">
        <f>IFERROR(__xludf.DUMMYFUNCTION("""COMPUTED_VALUE"""),"Carrera 32d#9-43 / Seline y cowork -restaurante  / Provenza")</f>
        <v>Carrera 32d#9-43 / Seline y cowork -restaurante  / Provenza</v>
      </c>
      <c r="G3652" s="15" t="str">
        <f>IFERROR(__xludf.DUMMYFUNCTION("""COMPUTED_VALUE"""),"Front y back Hospitality group")</f>
        <v>Front y back Hospitality group</v>
      </c>
      <c r="H3652" s="16">
        <f>IFERROR(__xludf.DUMMYFUNCTION("""COMPUTED_VALUE"""),12203.0)</f>
        <v>12203</v>
      </c>
      <c r="I3652" s="18">
        <f>IFERROR(__xludf.DUMMYFUNCTION("""COMPUTED_VALUE"""),90.0)</f>
        <v>90</v>
      </c>
      <c r="J3652" s="18">
        <f>IFERROR(__xludf.DUMMYFUNCTION("""COMPUTED_VALUE"""),70.0)</f>
        <v>70</v>
      </c>
      <c r="K3652" s="18">
        <f>IFERROR(__xludf.DUMMYFUNCTION("""COMPUTED_VALUE"""),60.0)</f>
        <v>60</v>
      </c>
      <c r="L3652" s="17">
        <f>IFERROR(__xludf.DUMMYFUNCTION("""COMPUTED_VALUE"""),3.104047368E9)</f>
        <v>3104047368</v>
      </c>
      <c r="M3652" s="17" t="str">
        <f>IFERROR(__xludf.DUMMYFUNCTION("""COMPUTED_VALUE"""),"#REF!")</f>
        <v>#REF!</v>
      </c>
      <c r="N3652" s="17"/>
      <c r="O3652" s="17"/>
      <c r="P3652" s="17" t="b">
        <f>IFERROR(__xludf.DUMMYFUNCTION("""COMPUTED_VALUE"""),FALSE)</f>
        <v>0</v>
      </c>
      <c r="Q3652" s="20" t="str">
        <f>IFERROR(__xludf.DUMMYFUNCTION("""COMPUTED_VALUE"""),"")</f>
        <v/>
      </c>
      <c r="R3652" s="21" t="str">
        <f>IFERROR(__xludf.DUMMYFUNCTION("""COMPUTED_VALUE"""),"https://drive.google.com/file/d/1ZeJwz13bLFwoxS2dVBHJiUbdZXTU3jTQ/view?usp=drivesdk")</f>
        <v>https://drive.google.com/file/d/1ZeJwz13bLFwoxS2dVBHJiUbdZXTU3jTQ/view?usp=drivesdk</v>
      </c>
    </row>
    <row r="3653">
      <c r="A3653" s="15">
        <f>IFERROR(__xludf.DUMMYFUNCTION("""COMPUTED_VALUE"""),45107.0)</f>
        <v>45107</v>
      </c>
      <c r="B3653" s="16" t="str">
        <f>IFERROR(__xludf.DUMMYFUNCTION("""COMPUTED_VALUE"""),"Envia")</f>
        <v>Envia</v>
      </c>
      <c r="C3653" s="15" t="str">
        <f>IFERROR(__xludf.DUMMYFUNCTION("""COMPUTED_VALUE"""),"MEDELLÍN")</f>
        <v>MEDELLÍN</v>
      </c>
      <c r="D3653" s="15" t="str">
        <f>IFERROR(__xludf.DUMMYFUNCTION("""COMPUTED_VALUE"""),"BOGOTÁ")</f>
        <v>BOGOTÁ</v>
      </c>
      <c r="E3653" s="15" t="str">
        <f>IFERROR(__xludf.DUMMYFUNCTION("""COMPUTED_VALUE"""),"Viiva Fermentados")</f>
        <v>Viiva Fermentados</v>
      </c>
      <c r="F3653" s="17" t="str">
        <f>IFERROR(__xludf.DUMMYFUNCTION("""COMPUTED_VALUE"""),"CR 42 # 08 -39 / Local piso 1 / Poblado")</f>
        <v>CR 42 # 08 -39 / Local piso 1 / Poblado</v>
      </c>
      <c r="G3653" s="15" t="str">
        <f>IFERROR(__xludf.DUMMYFUNCTION("""COMPUTED_VALUE"""),"Julia Correa Ochoa La Real Vegetal")</f>
        <v>Julia Correa Ochoa La Real Vegetal</v>
      </c>
      <c r="H3653" s="16">
        <f>IFERROR(__xludf.DUMMYFUNCTION("""COMPUTED_VALUE"""),12023.0)</f>
        <v>12023</v>
      </c>
      <c r="I3653" s="18">
        <f>IFERROR(__xludf.DUMMYFUNCTION("""COMPUTED_VALUE"""),26.0)</f>
        <v>26</v>
      </c>
      <c r="J3653" s="18">
        <f>IFERROR(__xludf.DUMMYFUNCTION("""COMPUTED_VALUE"""),26.0)</f>
        <v>26</v>
      </c>
      <c r="K3653" s="18">
        <f>IFERROR(__xludf.DUMMYFUNCTION("""COMPUTED_VALUE"""),35.0)</f>
        <v>35</v>
      </c>
      <c r="L3653" s="17">
        <f>IFERROR(__xludf.DUMMYFUNCTION("""COMPUTED_VALUE"""),3.116345472E9)</f>
        <v>3116345472</v>
      </c>
      <c r="M3653" s="17" t="str">
        <f>IFERROR(__xludf.DUMMYFUNCTION("""COMPUTED_VALUE"""),"#REF!")</f>
        <v>#REF!</v>
      </c>
      <c r="N3653" s="17"/>
      <c r="O3653" s="17"/>
      <c r="P3653" s="17" t="b">
        <f>IFERROR(__xludf.DUMMYFUNCTION("""COMPUTED_VALUE"""),TRUE)</f>
        <v>1</v>
      </c>
      <c r="Q3653" s="20">
        <f>IFERROR(__xludf.DUMMYFUNCTION("""COMPUTED_VALUE"""),45106.624545416664)</f>
        <v>45106.62455</v>
      </c>
      <c r="R3653" s="21" t="str">
        <f>IFERROR(__xludf.DUMMYFUNCTION("""COMPUTED_VALUE"""),"https://drive.google.com/file/d/1MNiqMsepF_BDqsj0gatPX7qPtk4ab6I5/view?usp=drivesdk")</f>
        <v>https://drive.google.com/file/d/1MNiqMsepF_BDqsj0gatPX7qPtk4ab6I5/view?usp=drivesdk</v>
      </c>
    </row>
    <row r="3654">
      <c r="A3654" s="15">
        <f>IFERROR(__xludf.DUMMYFUNCTION("""COMPUTED_VALUE"""),45107.0)</f>
        <v>45107</v>
      </c>
      <c r="B3654" s="16" t="str">
        <f>IFERROR(__xludf.DUMMYFUNCTION("""COMPUTED_VALUE"""),"Envia")</f>
        <v>Envia</v>
      </c>
      <c r="C3654" s="15" t="str">
        <f>IFERROR(__xludf.DUMMYFUNCTION("""COMPUTED_VALUE"""),"MEDELLÍN")</f>
        <v>MEDELLÍN</v>
      </c>
      <c r="D3654" s="15" t="str">
        <f>IFERROR(__xludf.DUMMYFUNCTION("""COMPUTED_VALUE"""),"BUCARAMANGA")</f>
        <v>BUCARAMANGA</v>
      </c>
      <c r="E3654" s="15" t="str">
        <f>IFERROR(__xludf.DUMMYFUNCTION("""COMPUTED_VALUE"""),"Yo Como Solito")</f>
        <v>Yo Como Solito</v>
      </c>
      <c r="F3654" s="17" t="str">
        <f>IFERROR(__xludf.DUMMYFUNCTION("""COMPUTED_VALUE"""),"Carrera 15 BA # 34D - 44 INT 201 Barrio Quinta Linda, Medellin Antioquia /  Carrera 15 BA # 34D - 44 INT 201 Barrio Quinta Linda /  Barrio Quinta Linda, Medellin Antioquia")</f>
        <v>Carrera 15 BA # 34D - 44 INT 201 Barrio Quinta Linda, Medellin Antioquia /  Carrera 15 BA # 34D - 44 INT 201 Barrio Quinta Linda /  Barrio Quinta Linda, Medellin Antioquia</v>
      </c>
      <c r="G3654" s="15" t="str">
        <f>IFERROR(__xludf.DUMMYFUNCTION("""COMPUTED_VALUE"""),"Daniela Bedoya Blandón")</f>
        <v>Daniela Bedoya Blandón</v>
      </c>
      <c r="H3654" s="16">
        <f>IFERROR(__xludf.DUMMYFUNCTION("""COMPUTED_VALUE"""),12197.0)</f>
        <v>12197</v>
      </c>
      <c r="I3654" s="18">
        <f>IFERROR(__xludf.DUMMYFUNCTION("""COMPUTED_VALUE"""),10.0)</f>
        <v>10</v>
      </c>
      <c r="J3654" s="18">
        <f>IFERROR(__xludf.DUMMYFUNCTION("""COMPUTED_VALUE"""),10.0)</f>
        <v>10</v>
      </c>
      <c r="K3654" s="18">
        <f>IFERROR(__xludf.DUMMYFUNCTION("""COMPUTED_VALUE"""),10.0)</f>
        <v>10</v>
      </c>
      <c r="L3654" s="17">
        <f>IFERROR(__xludf.DUMMYFUNCTION("""COMPUTED_VALUE"""),3.14672822E9)</f>
        <v>3146728220</v>
      </c>
      <c r="M3654" s="17" t="str">
        <f>IFERROR(__xludf.DUMMYFUNCTION("""COMPUTED_VALUE"""),"#REF!")</f>
        <v>#REF!</v>
      </c>
      <c r="N3654" s="17"/>
      <c r="O3654" s="17"/>
      <c r="P3654" s="17" t="b">
        <f>IFERROR(__xludf.DUMMYFUNCTION("""COMPUTED_VALUE"""),FALSE)</f>
        <v>0</v>
      </c>
      <c r="Q3654" s="20" t="str">
        <f>IFERROR(__xludf.DUMMYFUNCTION("""COMPUTED_VALUE"""),"")</f>
        <v/>
      </c>
      <c r="R3654" s="21" t="str">
        <f>IFERROR(__xludf.DUMMYFUNCTION("""COMPUTED_VALUE"""),"https://drive.google.com/file/d/1OHMn7SzQKA0sUzUaTu-qnw5RU2Yt9gOo/view?usp=drivesdk")</f>
        <v>https://drive.google.com/file/d/1OHMn7SzQKA0sUzUaTu-qnw5RU2Yt9gOo/view?usp=drivesdk</v>
      </c>
    </row>
    <row r="3655">
      <c r="A3655" s="15">
        <f>IFERROR(__xludf.DUMMYFUNCTION("""COMPUTED_VALUE"""),45107.0)</f>
        <v>45107</v>
      </c>
      <c r="B3655" s="16" t="str">
        <f>IFERROR(__xludf.DUMMYFUNCTION("""COMPUTED_VALUE"""),"Envia")</f>
        <v>Envia</v>
      </c>
      <c r="C3655" s="15" t="str">
        <f>IFERROR(__xludf.DUMMYFUNCTION("""COMPUTED_VALUE"""),"SANTA MARTA")</f>
        <v>SANTA MARTA</v>
      </c>
      <c r="D3655" s="15" t="str">
        <f>IFERROR(__xludf.DUMMYFUNCTION("""COMPUTED_VALUE"""),"BOGOTÁ")</f>
        <v>BOGOTÁ</v>
      </c>
      <c r="E3655" s="15" t="str">
        <f>IFERROR(__xludf.DUMMYFUNCTION("""COMPUTED_VALUE"""),"Evamazzita")</f>
        <v>Evamazzita</v>
      </c>
      <c r="F3655" s="17" t="str">
        <f>IFERROR(__xludf.DUMMYFUNCTION("""COMPUTED_VALUE"""),"Calle 45A # 29C-22   / casa 20 / (conjunto cerrado villas de andalucia) Santa Cruz")</f>
        <v>Calle 45A # 29C-22   / casa 20 / (conjunto cerrado villas de andalucia) Santa Cruz</v>
      </c>
      <c r="G3655" s="15" t="str">
        <f>IFERROR(__xludf.DUMMYFUNCTION("""COMPUTED_VALUE"""),"ALEJANDRA JORDI")</f>
        <v>ALEJANDRA JORDI</v>
      </c>
      <c r="H3655" s="16">
        <f>IFERROR(__xludf.DUMMYFUNCTION("""COMPUTED_VALUE"""),12175.0)</f>
        <v>12175</v>
      </c>
      <c r="I3655" s="18">
        <f>IFERROR(__xludf.DUMMYFUNCTION("""COMPUTED_VALUE"""),1.0)</f>
        <v>1</v>
      </c>
      <c r="J3655" s="18">
        <f>IFERROR(__xludf.DUMMYFUNCTION("""COMPUTED_VALUE"""),1.0)</f>
        <v>1</v>
      </c>
      <c r="K3655" s="18">
        <f>IFERROR(__xludf.DUMMYFUNCTION("""COMPUTED_VALUE"""),1.0)</f>
        <v>1</v>
      </c>
      <c r="L3655" s="17">
        <f>IFERROR(__xludf.DUMMYFUNCTION("""COMPUTED_VALUE"""),3.017563592E9)</f>
        <v>3017563592</v>
      </c>
      <c r="M3655" s="17" t="str">
        <f>IFERROR(__xludf.DUMMYFUNCTION("""COMPUTED_VALUE"""),"#REF!")</f>
        <v>#REF!</v>
      </c>
      <c r="N3655" s="17"/>
      <c r="O3655" s="17"/>
      <c r="P3655" s="17" t="b">
        <f>IFERROR(__xludf.DUMMYFUNCTION("""COMPUTED_VALUE"""),FALSE)</f>
        <v>0</v>
      </c>
      <c r="Q3655" s="20" t="str">
        <f>IFERROR(__xludf.DUMMYFUNCTION("""COMPUTED_VALUE"""),"")</f>
        <v/>
      </c>
      <c r="R3655" s="21" t="str">
        <f>IFERROR(__xludf.DUMMYFUNCTION("""COMPUTED_VALUE"""),"https://drive.google.com/file/d/13avOfbQbLfP1nwQsqi_PqzzzDOEeES8F/view?usp=drivesdk")</f>
        <v>https://drive.google.com/file/d/13avOfbQbLfP1nwQsqi_PqzzzDOEeES8F/view?usp=drivesdk</v>
      </c>
    </row>
    <row r="3656">
      <c r="A3656" s="15">
        <f>IFERROR(__xludf.DUMMYFUNCTION("""COMPUTED_VALUE"""),45107.0)</f>
        <v>45107</v>
      </c>
      <c r="B3656" s="16" t="str">
        <f>IFERROR(__xludf.DUMMYFUNCTION("""COMPUTED_VALUE"""),"Envia")</f>
        <v>Envia</v>
      </c>
      <c r="C3656" s="15" t="str">
        <f>IFERROR(__xludf.DUMMYFUNCTION("""COMPUTED_VALUE"""),"SANTA MARTA")</f>
        <v>SANTA MARTA</v>
      </c>
      <c r="D3656" s="15" t="str">
        <f>IFERROR(__xludf.DUMMYFUNCTION("""COMPUTED_VALUE"""),"BOGOTÁ")</f>
        <v>BOGOTÁ</v>
      </c>
      <c r="E3656" s="15" t="str">
        <f>IFERROR(__xludf.DUMMYFUNCTION("""COMPUTED_VALUE"""),"Loomifoods")</f>
        <v>Loomifoods</v>
      </c>
      <c r="F3656" s="17" t="str">
        <f>IFERROR(__xludf.DUMMYFUNCTION("""COMPUTED_VALUE"""),"Cra 1 no. 1 - 03 / Apto 7a / Edificio Cascadas de Rodadero")</f>
        <v>Cra 1 no. 1 - 03 / Apto 7a / Edificio Cascadas de Rodadero</v>
      </c>
      <c r="G3656" s="15" t="str">
        <f>IFERROR(__xludf.DUMMYFUNCTION("""COMPUTED_VALUE"""),"Carolina Murcia")</f>
        <v>Carolina Murcia</v>
      </c>
      <c r="H3656" s="16">
        <f>IFERROR(__xludf.DUMMYFUNCTION("""COMPUTED_VALUE"""),12032.0)</f>
        <v>12032</v>
      </c>
      <c r="I3656" s="18">
        <f>IFERROR(__xludf.DUMMYFUNCTION("""COMPUTED_VALUE"""),20.0)</f>
        <v>20</v>
      </c>
      <c r="J3656" s="18">
        <f>IFERROR(__xludf.DUMMYFUNCTION("""COMPUTED_VALUE"""),5.0)</f>
        <v>5</v>
      </c>
      <c r="K3656" s="18">
        <f>IFERROR(__xludf.DUMMYFUNCTION("""COMPUTED_VALUE"""),16.0)</f>
        <v>16</v>
      </c>
      <c r="L3656" s="17">
        <f>IFERROR(__xludf.DUMMYFUNCTION("""COMPUTED_VALUE"""),3.145790696E9)</f>
        <v>3145790696</v>
      </c>
      <c r="M3656" s="17" t="str">
        <f>IFERROR(__xludf.DUMMYFUNCTION("""COMPUTED_VALUE"""),"#REF!")</f>
        <v>#REF!</v>
      </c>
      <c r="N3656" s="17"/>
      <c r="O3656" s="17"/>
      <c r="P3656" s="17" t="b">
        <f>IFERROR(__xludf.DUMMYFUNCTION("""COMPUTED_VALUE"""),FALSE)</f>
        <v>0</v>
      </c>
      <c r="Q3656" s="20" t="str">
        <f>IFERROR(__xludf.DUMMYFUNCTION("""COMPUTED_VALUE"""),"")</f>
        <v/>
      </c>
      <c r="R3656" s="21" t="str">
        <f>IFERROR(__xludf.DUMMYFUNCTION("""COMPUTED_VALUE"""),"https://drive.google.com/file/d/15lLu-pPs5HkeXVffpkGB1GpuKrEFDYvs/view?usp=drivesdk")</f>
        <v>https://drive.google.com/file/d/15lLu-pPs5HkeXVffpkGB1GpuKrEFDYvs/view?usp=drivesdk</v>
      </c>
    </row>
    <row r="3657">
      <c r="A3657" s="15">
        <f>IFERROR(__xludf.DUMMYFUNCTION("""COMPUTED_VALUE"""),45107.0)</f>
        <v>45107</v>
      </c>
      <c r="B3657" s="16" t="str">
        <f>IFERROR(__xludf.DUMMYFUNCTION("""COMPUTED_VALUE"""),"Envia")</f>
        <v>Envia</v>
      </c>
      <c r="C3657" s="15" t="str">
        <f>IFERROR(__xludf.DUMMYFUNCTION("""COMPUTED_VALUE"""),"SANTA MARTA")</f>
        <v>SANTA MARTA</v>
      </c>
      <c r="D3657" s="15" t="str">
        <f>IFERROR(__xludf.DUMMYFUNCTION("""COMPUTED_VALUE"""),"MEDELLÍN")</f>
        <v>MEDELLÍN</v>
      </c>
      <c r="E3657" s="15" t="str">
        <f>IFERROR(__xludf.DUMMYFUNCTION("""COMPUTED_VALUE"""),"Rambla")</f>
        <v>Rambla</v>
      </c>
      <c r="F3657" s="17" t="str">
        <f>IFERROR(__xludf.DUMMYFUNCTION("""COMPUTED_VALUE"""),"CARRERA 21 #21-53 LOCAL 105 / CENTRO COMERCIAL PLAZA JARDIN / NA")</f>
        <v>CARRERA 21 #21-53 LOCAL 105 / CENTRO COMERCIAL PLAZA JARDIN / NA</v>
      </c>
      <c r="G3657" s="15" t="str">
        <f>IFERROR(__xludf.DUMMYFUNCTION("""COMPUTED_VALUE"""),"punto saludable santa marta")</f>
        <v>punto saludable santa marta</v>
      </c>
      <c r="H3657" s="16">
        <f>IFERROR(__xludf.DUMMYFUNCTION("""COMPUTED_VALUE"""),12190.0)</f>
        <v>12190</v>
      </c>
      <c r="I3657" s="18">
        <f>IFERROR(__xludf.DUMMYFUNCTION("""COMPUTED_VALUE"""),22.0)</f>
        <v>22</v>
      </c>
      <c r="J3657" s="18">
        <f>IFERROR(__xludf.DUMMYFUNCTION("""COMPUTED_VALUE"""),27.0)</f>
        <v>27</v>
      </c>
      <c r="K3657" s="18">
        <f>IFERROR(__xludf.DUMMYFUNCTION("""COMPUTED_VALUE"""),22.0)</f>
        <v>22</v>
      </c>
      <c r="L3657" s="17">
        <f>IFERROR(__xludf.DUMMYFUNCTION("""COMPUTED_VALUE"""),3.013146331E9)</f>
        <v>3013146331</v>
      </c>
      <c r="M3657" s="17" t="str">
        <f>IFERROR(__xludf.DUMMYFUNCTION("""COMPUTED_VALUE"""),"#REF!")</f>
        <v>#REF!</v>
      </c>
      <c r="N3657" s="17"/>
      <c r="O3657" s="17"/>
      <c r="P3657" s="17" t="b">
        <f>IFERROR(__xludf.DUMMYFUNCTION("""COMPUTED_VALUE"""),FALSE)</f>
        <v>0</v>
      </c>
      <c r="Q3657" s="20" t="str">
        <f>IFERROR(__xludf.DUMMYFUNCTION("""COMPUTED_VALUE"""),"")</f>
        <v/>
      </c>
      <c r="R3657" s="21" t="str">
        <f>IFERROR(__xludf.DUMMYFUNCTION("""COMPUTED_VALUE"""),"https://drive.google.com/file/d/1KTCYj3OY2S9ZeZ8NeAx9NpvE0MYLcLOH/view?usp=drivesdk")</f>
        <v>https://drive.google.com/file/d/1KTCYj3OY2S9ZeZ8NeAx9NpvE0MYLcLOH/view?usp=drivesdk</v>
      </c>
    </row>
    <row r="3658">
      <c r="A3658" s="15">
        <f>IFERROR(__xludf.DUMMYFUNCTION("""COMPUTED_VALUE"""),45107.0)</f>
        <v>45107</v>
      </c>
      <c r="B3658" s="16" t="str">
        <f>IFERROR(__xludf.DUMMYFUNCTION("""COMPUTED_VALUE"""),"Envia")</f>
        <v>Envia</v>
      </c>
      <c r="C3658" s="15" t="str">
        <f>IFERROR(__xludf.DUMMYFUNCTION("""COMPUTED_VALUE"""),"SANTA MARTA")</f>
        <v>SANTA MARTA</v>
      </c>
      <c r="D3658" s="15" t="str">
        <f>IFERROR(__xludf.DUMMYFUNCTION("""COMPUTED_VALUE"""),"MEDELLÍN")</f>
        <v>MEDELLÍN</v>
      </c>
      <c r="E3658" s="15" t="str">
        <f>IFERROR(__xludf.DUMMYFUNCTION("""COMPUTED_VALUE"""),"Rambla")</f>
        <v>Rambla</v>
      </c>
      <c r="F3658" s="17" t="str">
        <f>IFERROR(__xludf.DUMMYFUNCTION("""COMPUTED_VALUE"""),"CARRERA 4 26-40 CC PRADO PLAZA LC 117 / NA / NA")</f>
        <v>CARRERA 4 26-40 CC PRADO PLAZA LC 117 / NA / NA</v>
      </c>
      <c r="G3658" s="15" t="str">
        <f>IFERROR(__xludf.DUMMYFUNCTION("""COMPUTED_VALUE"""),"HECHO EN CASA")</f>
        <v>HECHO EN CASA</v>
      </c>
      <c r="H3658" s="16">
        <f>IFERROR(__xludf.DUMMYFUNCTION("""COMPUTED_VALUE"""),12192.0)</f>
        <v>12192</v>
      </c>
      <c r="I3658" s="18">
        <f>IFERROR(__xludf.DUMMYFUNCTION("""COMPUTED_VALUE"""),20.0)</f>
        <v>20</v>
      </c>
      <c r="J3658" s="18">
        <f>IFERROR(__xludf.DUMMYFUNCTION("""COMPUTED_VALUE"""),23.0)</f>
        <v>23</v>
      </c>
      <c r="K3658" s="18">
        <f>IFERROR(__xludf.DUMMYFUNCTION("""COMPUTED_VALUE"""),23.0)</f>
        <v>23</v>
      </c>
      <c r="L3658" s="17">
        <f>IFERROR(__xludf.DUMMYFUNCTION("""COMPUTED_VALUE"""),3.106119626E9)</f>
        <v>3106119626</v>
      </c>
      <c r="M3658" s="17" t="str">
        <f>IFERROR(__xludf.DUMMYFUNCTION("""COMPUTED_VALUE"""),"#REF!")</f>
        <v>#REF!</v>
      </c>
      <c r="N3658" s="17"/>
      <c r="O3658" s="17"/>
      <c r="P3658" s="17" t="b">
        <f>IFERROR(__xludf.DUMMYFUNCTION("""COMPUTED_VALUE"""),FALSE)</f>
        <v>0</v>
      </c>
      <c r="Q3658" s="20" t="str">
        <f>IFERROR(__xludf.DUMMYFUNCTION("""COMPUTED_VALUE"""),"")</f>
        <v/>
      </c>
      <c r="R3658" s="21" t="str">
        <f>IFERROR(__xludf.DUMMYFUNCTION("""COMPUTED_VALUE"""),"https://drive.google.com/file/d/1I4eV7CNwgqVEBCU1saBzDC5VZUT3tGm6/view?usp=drivesdk")</f>
        <v>https://drive.google.com/file/d/1I4eV7CNwgqVEBCU1saBzDC5VZUT3tGm6/view?usp=drivesdk</v>
      </c>
    </row>
    <row r="3659">
      <c r="A3659" s="15">
        <f>IFERROR(__xludf.DUMMYFUNCTION("""COMPUTED_VALUE"""),45107.0)</f>
        <v>45107</v>
      </c>
      <c r="B3659" s="16" t="str">
        <f>IFERROR(__xludf.DUMMYFUNCTION("""COMPUTED_VALUE"""),"Envia")</f>
        <v>Envia</v>
      </c>
      <c r="C3659" s="15" t="str">
        <f>IFERROR(__xludf.DUMMYFUNCTION("""COMPUTED_VALUE"""),"VILLAVICENCIO")</f>
        <v>VILLAVICENCIO</v>
      </c>
      <c r="D3659" s="15" t="str">
        <f>IFERROR(__xludf.DUMMYFUNCTION("""COMPUTED_VALUE"""),"BOGOTÁ")</f>
        <v>BOGOTÁ</v>
      </c>
      <c r="E3659" s="15" t="str">
        <f>IFERROR(__xludf.DUMMYFUNCTION("""COMPUTED_VALUE"""),"Mochi")</f>
        <v>Mochi</v>
      </c>
      <c r="F3659" s="17" t="str">
        <f>IFERROR(__xludf.DUMMYFUNCTION("""COMPUTED_VALUE"""),"Viva villavicencio  / Viva villavicencio  / Viva villavicencio")</f>
        <v>Viva villavicencio  / Viva villavicencio  / Viva villavicencio</v>
      </c>
      <c r="G3659" s="15" t="str">
        <f>IFERROR(__xludf.DUMMYFUNCTION("""COMPUTED_VALUE"""),"Daniela Morano")</f>
        <v>Daniela Morano</v>
      </c>
      <c r="H3659" s="16">
        <f>IFERROR(__xludf.DUMMYFUNCTION("""COMPUTED_VALUE"""),12227.0)</f>
        <v>12227</v>
      </c>
      <c r="I3659" s="18">
        <f>IFERROR(__xludf.DUMMYFUNCTION("""COMPUTED_VALUE"""),100.0)</f>
        <v>100</v>
      </c>
      <c r="J3659" s="18">
        <f>IFERROR(__xludf.DUMMYFUNCTION("""COMPUTED_VALUE"""),100.0)</f>
        <v>100</v>
      </c>
      <c r="K3659" s="18">
        <f>IFERROR(__xludf.DUMMYFUNCTION("""COMPUTED_VALUE"""),100.0)</f>
        <v>100</v>
      </c>
      <c r="L3659" s="17">
        <f>IFERROR(__xludf.DUMMYFUNCTION("""COMPUTED_VALUE"""),3.046482566E9)</f>
        <v>3046482566</v>
      </c>
      <c r="M3659" s="17" t="str">
        <f>IFERROR(__xludf.DUMMYFUNCTION("""COMPUTED_VALUE"""),"#REF!")</f>
        <v>#REF!</v>
      </c>
      <c r="N3659" s="17"/>
      <c r="O3659" s="17"/>
      <c r="P3659" s="17" t="b">
        <f>IFERROR(__xludf.DUMMYFUNCTION("""COMPUTED_VALUE"""),FALSE)</f>
        <v>0</v>
      </c>
      <c r="Q3659" s="20" t="str">
        <f>IFERROR(__xludf.DUMMYFUNCTION("""COMPUTED_VALUE"""),"")</f>
        <v/>
      </c>
      <c r="R3659" s="21" t="str">
        <f>IFERROR(__xludf.DUMMYFUNCTION("""COMPUTED_VALUE"""),"https://drive.google.com/file/d/1BO6BH4NJM2Jr1_gwoKydWs1Qn1mj84oT/view?usp=drivesdk")</f>
        <v>https://drive.google.com/file/d/1BO6BH4NJM2Jr1_gwoKydWs1Qn1mj84oT/view?usp=drivesdk</v>
      </c>
    </row>
    <row r="3660">
      <c r="A3660" s="17" t="str">
        <f>IFERROR(__xludf.DUMMYFUNCTION("""COMPUTED_VALUE"""),"")</f>
        <v/>
      </c>
      <c r="B3660" s="17" t="str">
        <f>IFERROR(__xludf.DUMMYFUNCTION("""COMPUTED_VALUE"""),"")</f>
        <v/>
      </c>
      <c r="C3660" s="17" t="str">
        <f>IFERROR(__xludf.DUMMYFUNCTION("""COMPUTED_VALUE"""),"")</f>
        <v/>
      </c>
      <c r="D3660" s="17" t="str">
        <f>IFERROR(__xludf.DUMMYFUNCTION("""COMPUTED_VALUE"""),"")</f>
        <v/>
      </c>
      <c r="E3660" s="17" t="str">
        <f>IFERROR(__xludf.DUMMYFUNCTION("""COMPUTED_VALUE"""),"")</f>
        <v/>
      </c>
      <c r="F3660" s="17" t="str">
        <f>IFERROR(__xludf.DUMMYFUNCTION("""COMPUTED_VALUE"""),"")</f>
        <v/>
      </c>
      <c r="G3660" s="17" t="str">
        <f>IFERROR(__xludf.DUMMYFUNCTION("""COMPUTED_VALUE"""),"")</f>
        <v/>
      </c>
      <c r="H3660" s="17" t="str">
        <f>IFERROR(__xludf.DUMMYFUNCTION("""COMPUTED_VALUE"""),"")</f>
        <v/>
      </c>
      <c r="I3660" s="17" t="str">
        <f>IFERROR(__xludf.DUMMYFUNCTION("""COMPUTED_VALUE"""),"")</f>
        <v/>
      </c>
      <c r="J3660" s="17" t="str">
        <f>IFERROR(__xludf.DUMMYFUNCTION("""COMPUTED_VALUE"""),"")</f>
        <v/>
      </c>
      <c r="K3660" s="17" t="str">
        <f>IFERROR(__xludf.DUMMYFUNCTION("""COMPUTED_VALUE"""),"")</f>
        <v/>
      </c>
      <c r="L3660" s="17" t="str">
        <f>IFERROR(__xludf.DUMMYFUNCTION("""COMPUTED_VALUE"""),"")</f>
        <v/>
      </c>
      <c r="M3660" s="17" t="str">
        <f>IFERROR(__xludf.DUMMYFUNCTION("""COMPUTED_VALUE"""),"")</f>
        <v/>
      </c>
      <c r="N3660" s="17" t="str">
        <f>IFERROR(__xludf.DUMMYFUNCTION("""COMPUTED_VALUE"""),"")</f>
        <v/>
      </c>
      <c r="O3660" s="17" t="str">
        <f>IFERROR(__xludf.DUMMYFUNCTION("""COMPUTED_VALUE"""),"")</f>
        <v/>
      </c>
      <c r="P3660" s="17" t="str">
        <f>IFERROR(__xludf.DUMMYFUNCTION("""COMPUTED_VALUE"""),"")</f>
        <v/>
      </c>
      <c r="Q3660" s="17" t="str">
        <f>IFERROR(__xludf.DUMMYFUNCTION("""COMPUTED_VALUE"""),"")</f>
        <v/>
      </c>
      <c r="R3660" s="17" t="str">
        <f>IFERROR(__xludf.DUMMYFUNCTION("""COMPUTED_VALUE"""),"")</f>
        <v/>
      </c>
    </row>
    <row r="3661">
      <c r="A3661" s="15">
        <f>IFERROR(__xludf.DUMMYFUNCTION("""COMPUTED_VALUE"""),45107.0)</f>
        <v>45107</v>
      </c>
      <c r="B3661" s="16" t="str">
        <f>IFERROR(__xludf.DUMMYFUNCTION("""COMPUTED_VALUE"""),"Jeison Rubiano")</f>
        <v>Jeison Rubiano</v>
      </c>
      <c r="C3661" s="15" t="str">
        <f>IFERROR(__xludf.DUMMYFUNCTION("""COMPUTED_VALUE"""),"BOGOTÁ")</f>
        <v>BOGOTÁ</v>
      </c>
      <c r="D3661" s="15" t="str">
        <f>IFERROR(__xludf.DUMMYFUNCTION("""COMPUTED_VALUE"""),"MEDELLÍN")</f>
        <v>MEDELLÍN</v>
      </c>
      <c r="E3661" s="15" t="str">
        <f>IFERROR(__xludf.DUMMYFUNCTION("""COMPUTED_VALUE"""),"AREPAS LA MARY")</f>
        <v>AREPAS LA MARY</v>
      </c>
      <c r="F3661" s="17" t="str">
        <f>IFERROR(__xludf.DUMMYFUNCTION("""COMPUTED_VALUE"""),"PLAZA DEL PARQUE Calle 93a n 9 a 54 apto 203 / PLAZA DEL PARQUE")</f>
        <v>PLAZA DEL PARQUE Calle 93a n 9 a 54 apto 203 / PLAZA DEL PARQUE</v>
      </c>
      <c r="G3661" s="15" t="str">
        <f>IFERROR(__xludf.DUMMYFUNCTION("""COMPUTED_VALUE"""),"SANDRA NARVAEZ")</f>
        <v>SANDRA NARVAEZ</v>
      </c>
      <c r="H3661" s="16">
        <f>IFERROR(__xludf.DUMMYFUNCTION("""COMPUTED_VALUE"""),12199.0)</f>
        <v>12199</v>
      </c>
      <c r="I3661" s="18">
        <f>IFERROR(__xludf.DUMMYFUNCTION("""COMPUTED_VALUE"""),89.0)</f>
        <v>89</v>
      </c>
      <c r="J3661" s="18">
        <f>IFERROR(__xludf.DUMMYFUNCTION("""COMPUTED_VALUE"""),1.0)</f>
        <v>1</v>
      </c>
      <c r="K3661" s="18">
        <f>IFERROR(__xludf.DUMMYFUNCTION("""COMPUTED_VALUE"""),10.0)</f>
        <v>10</v>
      </c>
      <c r="L3661" s="17">
        <f>IFERROR(__xludf.DUMMYFUNCTION("""COMPUTED_VALUE"""),3.103055478E9)</f>
        <v>3103055478</v>
      </c>
      <c r="M3661" s="17" t="str">
        <f>IFERROR(__xludf.DUMMYFUNCTION("""COMPUTED_VALUE"""),"#REF!")</f>
        <v>#REF!</v>
      </c>
      <c r="N3661" s="17"/>
      <c r="O3661" s="17"/>
      <c r="P3661" s="17" t="b">
        <f>IFERROR(__xludf.DUMMYFUNCTION("""COMPUTED_VALUE"""),FALSE)</f>
        <v>0</v>
      </c>
      <c r="Q3661" s="20" t="str">
        <f>IFERROR(__xludf.DUMMYFUNCTION("""COMPUTED_VALUE"""),"")</f>
        <v/>
      </c>
      <c r="R3661" s="21" t="str">
        <f>IFERROR(__xludf.DUMMYFUNCTION("""COMPUTED_VALUE"""),"https://drive.google.com/file/d/18beQ_dJUPbesWZKl2u5IWUjK5Y5WBKzP/view?usp=drivesdk")</f>
        <v>https://drive.google.com/file/d/18beQ_dJUPbesWZKl2u5IWUjK5Y5WBKzP/view?usp=drivesdk</v>
      </c>
    </row>
    <row r="3662">
      <c r="A3662" s="15">
        <f>IFERROR(__xludf.DUMMYFUNCTION("""COMPUTED_VALUE"""),45107.0)</f>
        <v>45107</v>
      </c>
      <c r="B3662" s="16" t="str">
        <f>IFERROR(__xludf.DUMMYFUNCTION("""COMPUTED_VALUE"""),"Jeison Rubiano")</f>
        <v>Jeison Rubiano</v>
      </c>
      <c r="C3662" s="15" t="str">
        <f>IFERROR(__xludf.DUMMYFUNCTION("""COMPUTED_VALUE"""),"BOGOTÁ")</f>
        <v>BOGOTÁ</v>
      </c>
      <c r="D3662" s="15" t="str">
        <f>IFERROR(__xludf.DUMMYFUNCTION("""COMPUTED_VALUE"""),"MEDELLÍN")</f>
        <v>MEDELLÍN</v>
      </c>
      <c r="E3662" s="15" t="str">
        <f>IFERROR(__xludf.DUMMYFUNCTION("""COMPUTED_VALUE"""),"AREPAS LA MARY")</f>
        <v>AREPAS LA MARY</v>
      </c>
      <c r="F3662" s="17" t="str">
        <f>IFERROR(__xludf.DUMMYFUNCTION("""COMPUTED_VALUE"""),"PLAZA DEL PARQUE Calle 93a n 9 a 54 apto 203 / PLAZA DEL PARQUE")</f>
        <v>PLAZA DEL PARQUE Calle 93a n 9 a 54 apto 203 / PLAZA DEL PARQUE</v>
      </c>
      <c r="G3662" s="15" t="str">
        <f>IFERROR(__xludf.DUMMYFUNCTION("""COMPUTED_VALUE"""),"SANDRA NARVAEZ")</f>
        <v>SANDRA NARVAEZ</v>
      </c>
      <c r="H3662" s="16">
        <f>IFERROR(__xludf.DUMMYFUNCTION("""COMPUTED_VALUE"""),12218.0)</f>
        <v>12218</v>
      </c>
      <c r="I3662" s="18">
        <f>IFERROR(__xludf.DUMMYFUNCTION("""COMPUTED_VALUE"""),89.0)</f>
        <v>89</v>
      </c>
      <c r="J3662" s="18">
        <f>IFERROR(__xludf.DUMMYFUNCTION("""COMPUTED_VALUE"""),1.0)</f>
        <v>1</v>
      </c>
      <c r="K3662" s="18">
        <f>IFERROR(__xludf.DUMMYFUNCTION("""COMPUTED_VALUE"""),10.0)</f>
        <v>10</v>
      </c>
      <c r="L3662" s="17">
        <f>IFERROR(__xludf.DUMMYFUNCTION("""COMPUTED_VALUE"""),3.103055478E9)</f>
        <v>3103055478</v>
      </c>
      <c r="M3662" s="17" t="str">
        <f>IFERROR(__xludf.DUMMYFUNCTION("""COMPUTED_VALUE"""),"#REF!")</f>
        <v>#REF!</v>
      </c>
      <c r="N3662" s="17"/>
      <c r="O3662" s="17"/>
      <c r="P3662" s="17" t="b">
        <f>IFERROR(__xludf.DUMMYFUNCTION("""COMPUTED_VALUE"""),FALSE)</f>
        <v>0</v>
      </c>
      <c r="Q3662" s="20" t="str">
        <f>IFERROR(__xludf.DUMMYFUNCTION("""COMPUTED_VALUE"""),"")</f>
        <v/>
      </c>
      <c r="R3662" s="22" t="str">
        <f>IFERROR(__xludf.DUMMYFUNCTION("""COMPUTED_VALUE"""),"")</f>
        <v/>
      </c>
    </row>
    <row r="3663">
      <c r="A3663" s="15">
        <f>IFERROR(__xludf.DUMMYFUNCTION("""COMPUTED_VALUE"""),45107.0)</f>
        <v>45107</v>
      </c>
      <c r="B3663" s="16" t="str">
        <f>IFERROR(__xludf.DUMMYFUNCTION("""COMPUTED_VALUE"""),"Jeison Rubiano")</f>
        <v>Jeison Rubiano</v>
      </c>
      <c r="C3663" s="15" t="str">
        <f>IFERROR(__xludf.DUMMYFUNCTION("""COMPUTED_VALUE"""),"BOGOTÁ")</f>
        <v>BOGOTÁ</v>
      </c>
      <c r="D3663" s="15" t="str">
        <f>IFERROR(__xludf.DUMMYFUNCTION("""COMPUTED_VALUE"""),"MEDELLÍN")</f>
        <v>MEDELLÍN</v>
      </c>
      <c r="E3663" s="15" t="str">
        <f>IFERROR(__xludf.DUMMYFUNCTION("""COMPUTED_VALUE"""),"Baby Chef")</f>
        <v>Baby Chef</v>
      </c>
      <c r="F3663" s="17" t="str">
        <f>IFERROR(__xludf.DUMMYFUNCTION("""COMPUTED_VALUE"""),"calle 152#09-80. Apto 102. Torre 4 Conjunto residencial Cedro Verde / calle 152#09-80. Apto 102. Torre 4 Conjunto residencial Cedro Verde / calle 152#09-80. Apto 102. Torre 4 Conjunto residencial Cedro Verde")</f>
        <v>calle 152#09-80. Apto 102. Torre 4 Conjunto residencial Cedro Verde / calle 152#09-80. Apto 102. Torre 4 Conjunto residencial Cedro Verde / calle 152#09-80. Apto 102. Torre 4 Conjunto residencial Cedro Verde</v>
      </c>
      <c r="G3663" s="15" t="str">
        <f>IFERROR(__xludf.DUMMYFUNCTION("""COMPUTED_VALUE"""),"Melisa Martínez García")</f>
        <v>Melisa Martínez García</v>
      </c>
      <c r="H3663" s="16">
        <f>IFERROR(__xludf.DUMMYFUNCTION("""COMPUTED_VALUE"""),12237.0)</f>
        <v>12237</v>
      </c>
      <c r="I3663" s="18">
        <f>IFERROR(__xludf.DUMMYFUNCTION("""COMPUTED_VALUE"""),8.0)</f>
        <v>8</v>
      </c>
      <c r="J3663" s="18">
        <f>IFERROR(__xludf.DUMMYFUNCTION("""COMPUTED_VALUE"""),16.0)</f>
        <v>16</v>
      </c>
      <c r="K3663" s="18">
        <f>IFERROR(__xludf.DUMMYFUNCTION("""COMPUTED_VALUE"""),20.0)</f>
        <v>20</v>
      </c>
      <c r="L3663" s="17">
        <f>IFERROR(__xludf.DUMMYFUNCTION("""COMPUTED_VALUE"""),3.017864726E9)</f>
        <v>3017864726</v>
      </c>
      <c r="M3663" s="17" t="str">
        <f>IFERROR(__xludf.DUMMYFUNCTION("""COMPUTED_VALUE"""),"#REF!")</f>
        <v>#REF!</v>
      </c>
      <c r="N3663" s="17"/>
      <c r="O3663" s="17"/>
      <c r="P3663" s="17" t="b">
        <f>IFERROR(__xludf.DUMMYFUNCTION("""COMPUTED_VALUE"""),FALSE)</f>
        <v>0</v>
      </c>
      <c r="Q3663" s="20" t="str">
        <f>IFERROR(__xludf.DUMMYFUNCTION("""COMPUTED_VALUE"""),"")</f>
        <v/>
      </c>
      <c r="R3663" s="21" t="str">
        <f>IFERROR(__xludf.DUMMYFUNCTION("""COMPUTED_VALUE"""),"https://drive.google.com/file/d/1PvoTzeykl-C4TYFJyqZuacX3e0tnHbwx/view?usp=drivesdk")</f>
        <v>https://drive.google.com/file/d/1PvoTzeykl-C4TYFJyqZuacX3e0tnHbwx/view?usp=drivesdk</v>
      </c>
    </row>
    <row r="3664">
      <c r="A3664" s="15">
        <f>IFERROR(__xludf.DUMMYFUNCTION("""COMPUTED_VALUE"""),45107.0)</f>
        <v>45107</v>
      </c>
      <c r="B3664" s="16" t="str">
        <f>IFERROR(__xludf.DUMMYFUNCTION("""COMPUTED_VALUE"""),"Jeison Rubiano")</f>
        <v>Jeison Rubiano</v>
      </c>
      <c r="C3664" s="15" t="str">
        <f>IFERROR(__xludf.DUMMYFUNCTION("""COMPUTED_VALUE"""),"BOGOTÁ")</f>
        <v>BOGOTÁ</v>
      </c>
      <c r="D3664" s="15" t="str">
        <f>IFERROR(__xludf.DUMMYFUNCTION("""COMPUTED_VALUE"""),"MEDELLÍN")</f>
        <v>MEDELLÍN</v>
      </c>
      <c r="E3664" s="15" t="str">
        <f>IFERROR(__xludf.DUMMYFUNCTION("""COMPUTED_VALUE"""),"Baby Chef")</f>
        <v>Baby Chef</v>
      </c>
      <c r="F3664" s="17" t="str">
        <f>IFERROR(__xludf.DUMMYFUNCTION("""COMPUTED_VALUE"""),"calle 19 No. 96 C -58 Apto 204 Edificio Carolina Barrio Villemar Fontibon / calle 19 No. 96 C -58 Apto 204 Edificio Carolina Barrio Villemar Fontibon / calle 19 No. 96 C -58 Apto 204 Edificio Carolina Barrio Villemar Fontibon")</f>
        <v>calle 19 No. 96 C -58 Apto 204 Edificio Carolina Barrio Villemar Fontibon / calle 19 No. 96 C -58 Apto 204 Edificio Carolina Barrio Villemar Fontibon / calle 19 No. 96 C -58 Apto 204 Edificio Carolina Barrio Villemar Fontibon</v>
      </c>
      <c r="G3664" s="15" t="str">
        <f>IFERROR(__xludf.DUMMYFUNCTION("""COMPUTED_VALUE"""),"Jorge Ivan Diaz Bernal")</f>
        <v>Jorge Ivan Diaz Bernal</v>
      </c>
      <c r="H3664" s="16">
        <f>IFERROR(__xludf.DUMMYFUNCTION("""COMPUTED_VALUE"""),12229.0)</f>
        <v>12229</v>
      </c>
      <c r="I3664" s="18">
        <f>IFERROR(__xludf.DUMMYFUNCTION("""COMPUTED_VALUE"""),8.0)</f>
        <v>8</v>
      </c>
      <c r="J3664" s="18">
        <f>IFERROR(__xludf.DUMMYFUNCTION("""COMPUTED_VALUE"""),16.0)</f>
        <v>16</v>
      </c>
      <c r="K3664" s="18">
        <f>IFERROR(__xludf.DUMMYFUNCTION("""COMPUTED_VALUE"""),20.0)</f>
        <v>20</v>
      </c>
      <c r="L3664" s="17">
        <f>IFERROR(__xludf.DUMMYFUNCTION("""COMPUTED_VALUE"""),3.142269521E9)</f>
        <v>3142269521</v>
      </c>
      <c r="M3664" s="17" t="str">
        <f>IFERROR(__xludf.DUMMYFUNCTION("""COMPUTED_VALUE"""),"#REF!")</f>
        <v>#REF!</v>
      </c>
      <c r="N3664" s="17"/>
      <c r="O3664" s="17"/>
      <c r="P3664" s="17" t="b">
        <f>IFERROR(__xludf.DUMMYFUNCTION("""COMPUTED_VALUE"""),FALSE)</f>
        <v>0</v>
      </c>
      <c r="Q3664" s="20" t="str">
        <f>IFERROR(__xludf.DUMMYFUNCTION("""COMPUTED_VALUE"""),"")</f>
        <v/>
      </c>
      <c r="R3664" s="21" t="str">
        <f>IFERROR(__xludf.DUMMYFUNCTION("""COMPUTED_VALUE"""),"https://drive.google.com/file/d/1L1vMVZnegmwI4DL2wKPRml3MEF7kFS3h/view?usp=drivesdk")</f>
        <v>https://drive.google.com/file/d/1L1vMVZnegmwI4DL2wKPRml3MEF7kFS3h/view?usp=drivesdk</v>
      </c>
    </row>
    <row r="3665">
      <c r="A3665" s="15">
        <f>IFERROR(__xludf.DUMMYFUNCTION("""COMPUTED_VALUE"""),45107.0)</f>
        <v>45107</v>
      </c>
      <c r="B3665" s="16" t="str">
        <f>IFERROR(__xludf.DUMMYFUNCTION("""COMPUTED_VALUE"""),"Jeison Rubiano")</f>
        <v>Jeison Rubiano</v>
      </c>
      <c r="C3665" s="15" t="str">
        <f>IFERROR(__xludf.DUMMYFUNCTION("""COMPUTED_VALUE"""),"BOGOTÁ")</f>
        <v>BOGOTÁ</v>
      </c>
      <c r="D3665" s="15" t="str">
        <f>IFERROR(__xludf.DUMMYFUNCTION("""COMPUTED_VALUE"""),"MEDELLÍN")</f>
        <v>MEDELLÍN</v>
      </c>
      <c r="E3665" s="15" t="str">
        <f>IFERROR(__xludf.DUMMYFUNCTION("""COMPUTED_VALUE"""),"Baby Chef")</f>
        <v>Baby Chef</v>
      </c>
      <c r="F3665" s="17" t="str">
        <f>IFERROR(__xludf.DUMMYFUNCTION("""COMPUTED_VALUE"""),"calle 48a # 6-44 apto 604 toledo 48 chapinero apartamento 604 / ""calle 48a # 6-44 apto 604 toledo 48 chapinero apartamento 604"" / ""calle 48a # 6-44 apto 604 toledo 48 chapinero apartamento 604""")</f>
        <v>calle 48a # 6-44 apto 604 toledo 48 chapinero apartamento 604 / "calle 48a # 6-44 apto 604 toledo 48 chapinero apartamento 604" / "calle 48a # 6-44 apto 604 toledo 48 chapinero apartamento 604"</v>
      </c>
      <c r="G3665" s="15" t="str">
        <f>IFERROR(__xludf.DUMMYFUNCTION("""COMPUTED_VALUE"""),"Natalia Chaves")</f>
        <v>Natalia Chaves</v>
      </c>
      <c r="H3665" s="16">
        <f>IFERROR(__xludf.DUMMYFUNCTION("""COMPUTED_VALUE"""),12235.0)</f>
        <v>12235</v>
      </c>
      <c r="I3665" s="18">
        <f>IFERROR(__xludf.DUMMYFUNCTION("""COMPUTED_VALUE"""),8.0)</f>
        <v>8</v>
      </c>
      <c r="J3665" s="18">
        <f>IFERROR(__xludf.DUMMYFUNCTION("""COMPUTED_VALUE"""),16.0)</f>
        <v>16</v>
      </c>
      <c r="K3665" s="18">
        <f>IFERROR(__xludf.DUMMYFUNCTION("""COMPUTED_VALUE"""),20.0)</f>
        <v>20</v>
      </c>
      <c r="L3665" s="17">
        <f>IFERROR(__xludf.DUMMYFUNCTION("""COMPUTED_VALUE"""),3.017544354E9)</f>
        <v>3017544354</v>
      </c>
      <c r="M3665" s="17" t="str">
        <f>IFERROR(__xludf.DUMMYFUNCTION("""COMPUTED_VALUE"""),"#REF!")</f>
        <v>#REF!</v>
      </c>
      <c r="N3665" s="17"/>
      <c r="O3665" s="17"/>
      <c r="P3665" s="17" t="b">
        <f>IFERROR(__xludf.DUMMYFUNCTION("""COMPUTED_VALUE"""),FALSE)</f>
        <v>0</v>
      </c>
      <c r="Q3665" s="20" t="str">
        <f>IFERROR(__xludf.DUMMYFUNCTION("""COMPUTED_VALUE"""),"")</f>
        <v/>
      </c>
      <c r="R3665" s="21" t="str">
        <f>IFERROR(__xludf.DUMMYFUNCTION("""COMPUTED_VALUE"""),"https://drive.google.com/file/d/1Ib5CSwju2jD5V0cS2StF6SLHzODCu2a2/view?usp=drivesdk")</f>
        <v>https://drive.google.com/file/d/1Ib5CSwju2jD5V0cS2StF6SLHzODCu2a2/view?usp=drivesdk</v>
      </c>
    </row>
    <row r="3666">
      <c r="A3666" s="15">
        <f>IFERROR(__xludf.DUMMYFUNCTION("""COMPUTED_VALUE"""),45107.0)</f>
        <v>45107</v>
      </c>
      <c r="B3666" s="16" t="str">
        <f>IFERROR(__xludf.DUMMYFUNCTION("""COMPUTED_VALUE"""),"Jeison Rubiano")</f>
        <v>Jeison Rubiano</v>
      </c>
      <c r="C3666" s="15" t="str">
        <f>IFERROR(__xludf.DUMMYFUNCTION("""COMPUTED_VALUE"""),"BOGOTÁ")</f>
        <v>BOGOTÁ</v>
      </c>
      <c r="D3666" s="15" t="str">
        <f>IFERROR(__xludf.DUMMYFUNCTION("""COMPUTED_VALUE"""),"MEDELLÍN")</f>
        <v>MEDELLÍN</v>
      </c>
      <c r="E3666" s="15" t="str">
        <f>IFERROR(__xludf.DUMMYFUNCTION("""COMPUTED_VALUE"""),"Baby Chef")</f>
        <v>Baby Chef</v>
      </c>
      <c r="F3666" s="17" t="str">
        <f>IFERROR(__xludf.DUMMYFUNCTION("""COMPUTED_VALUE"""),"Calle 63 a 26 - 27 interior 1 apto 501 edificio quinta mutis barrio quinta mutis / Calle 63 a 26 - 27 interior 1 apto 501 edificio quinta mutis barrio quinta mutis / Calle 63 a 26 - 27 interior 1 apto 501 edificio quinta mutis barrio quinta mutis")</f>
        <v>Calle 63 a 26 - 27 interior 1 apto 501 edificio quinta mutis barrio quinta mutis / Calle 63 a 26 - 27 interior 1 apto 501 edificio quinta mutis barrio quinta mutis / Calle 63 a 26 - 27 interior 1 apto 501 edificio quinta mutis barrio quinta mutis</v>
      </c>
      <c r="G3666" s="15" t="str">
        <f>IFERROR(__xludf.DUMMYFUNCTION("""COMPUTED_VALUE"""),"Diana Marcela Robayo Hernández")</f>
        <v>Diana Marcela Robayo Hernández</v>
      </c>
      <c r="H3666" s="16">
        <f>IFERROR(__xludf.DUMMYFUNCTION("""COMPUTED_VALUE"""),12234.0)</f>
        <v>12234</v>
      </c>
      <c r="I3666" s="18">
        <f>IFERROR(__xludf.DUMMYFUNCTION("""COMPUTED_VALUE"""),8.0)</f>
        <v>8</v>
      </c>
      <c r="J3666" s="18">
        <f>IFERROR(__xludf.DUMMYFUNCTION("""COMPUTED_VALUE"""),16.0)</f>
        <v>16</v>
      </c>
      <c r="K3666" s="18">
        <f>IFERROR(__xludf.DUMMYFUNCTION("""COMPUTED_VALUE"""),20.0)</f>
        <v>20</v>
      </c>
      <c r="L3666" s="17">
        <f>IFERROR(__xludf.DUMMYFUNCTION("""COMPUTED_VALUE"""),3.112235914E9)</f>
        <v>3112235914</v>
      </c>
      <c r="M3666" s="17" t="str">
        <f>IFERROR(__xludf.DUMMYFUNCTION("""COMPUTED_VALUE"""),"#REF!")</f>
        <v>#REF!</v>
      </c>
      <c r="N3666" s="17"/>
      <c r="O3666" s="17"/>
      <c r="P3666" s="17" t="b">
        <f>IFERROR(__xludf.DUMMYFUNCTION("""COMPUTED_VALUE"""),FALSE)</f>
        <v>0</v>
      </c>
      <c r="Q3666" s="20" t="str">
        <f>IFERROR(__xludf.DUMMYFUNCTION("""COMPUTED_VALUE"""),"")</f>
        <v/>
      </c>
      <c r="R3666" s="21" t="str">
        <f>IFERROR(__xludf.DUMMYFUNCTION("""COMPUTED_VALUE"""),"https://drive.google.com/file/d/1w0GpUgZBU4UzEj0aQ5FR8k1j8KCeY2nw/view?usp=drivesdk")</f>
        <v>https://drive.google.com/file/d/1w0GpUgZBU4UzEj0aQ5FR8k1j8KCeY2nw/view?usp=drivesdk</v>
      </c>
    </row>
    <row r="3667">
      <c r="A3667" s="15">
        <f>IFERROR(__xludf.DUMMYFUNCTION("""COMPUTED_VALUE"""),45107.0)</f>
        <v>45107</v>
      </c>
      <c r="B3667" s="16" t="str">
        <f>IFERROR(__xludf.DUMMYFUNCTION("""COMPUTED_VALUE"""),"Jeison Rubiano")</f>
        <v>Jeison Rubiano</v>
      </c>
      <c r="C3667" s="15" t="str">
        <f>IFERROR(__xludf.DUMMYFUNCTION("""COMPUTED_VALUE"""),"BOGOTÁ")</f>
        <v>BOGOTÁ</v>
      </c>
      <c r="D3667" s="15" t="str">
        <f>IFERROR(__xludf.DUMMYFUNCTION("""COMPUTED_VALUE"""),"MEDELLÍN")</f>
        <v>MEDELLÍN</v>
      </c>
      <c r="E3667" s="15" t="str">
        <f>IFERROR(__xludf.DUMMYFUNCTION("""COMPUTED_VALUE"""),"Baby Chef")</f>
        <v>Baby Chef</v>
      </c>
      <c r="F3667" s="17" t="str">
        <f>IFERROR(__xludf.DUMMYFUNCTION("""COMPUTED_VALUE"""),"Carrera 69 no 12 70 Torre 2 apto 1909 / ""Carrera 69 no 12 70 Torre 2 apto 1909"" / ""Carrera 69 no 12 70 Torre 2 apto 1909""")</f>
        <v>Carrera 69 no 12 70 Torre 2 apto 1909 / "Carrera 69 no 12 70 Torre 2 apto 1909" / "Carrera 69 no 12 70 Torre 2 apto 1909"</v>
      </c>
      <c r="G3667" s="15" t="str">
        <f>IFERROR(__xludf.DUMMYFUNCTION("""COMPUTED_VALUE"""),"Sandra Jysel Enciso Suarez")</f>
        <v>Sandra Jysel Enciso Suarez</v>
      </c>
      <c r="H3667" s="16">
        <f>IFERROR(__xludf.DUMMYFUNCTION("""COMPUTED_VALUE"""),12231.0)</f>
        <v>12231</v>
      </c>
      <c r="I3667" s="18">
        <f>IFERROR(__xludf.DUMMYFUNCTION("""COMPUTED_VALUE"""),8.0)</f>
        <v>8</v>
      </c>
      <c r="J3667" s="18">
        <f>IFERROR(__xludf.DUMMYFUNCTION("""COMPUTED_VALUE"""),16.0)</f>
        <v>16</v>
      </c>
      <c r="K3667" s="18">
        <f>IFERROR(__xludf.DUMMYFUNCTION("""COMPUTED_VALUE"""),20.0)</f>
        <v>20</v>
      </c>
      <c r="L3667" s="17">
        <f>IFERROR(__xludf.DUMMYFUNCTION("""COMPUTED_VALUE"""),3.003127802E9)</f>
        <v>3003127802</v>
      </c>
      <c r="M3667" s="17" t="str">
        <f>IFERROR(__xludf.DUMMYFUNCTION("""COMPUTED_VALUE"""),"#REF!")</f>
        <v>#REF!</v>
      </c>
      <c r="N3667" s="17"/>
      <c r="O3667" s="17"/>
      <c r="P3667" s="17" t="b">
        <f>IFERROR(__xludf.DUMMYFUNCTION("""COMPUTED_VALUE"""),FALSE)</f>
        <v>0</v>
      </c>
      <c r="Q3667" s="20" t="str">
        <f>IFERROR(__xludf.DUMMYFUNCTION("""COMPUTED_VALUE"""),"")</f>
        <v/>
      </c>
      <c r="R3667" s="21" t="str">
        <f>IFERROR(__xludf.DUMMYFUNCTION("""COMPUTED_VALUE"""),"https://drive.google.com/file/d/10HXcr0IeZHFm4TeSoFO6chbl12Van88M/view?usp=drivesdk")</f>
        <v>https://drive.google.com/file/d/10HXcr0IeZHFm4TeSoFO6chbl12Van88M/view?usp=drivesdk</v>
      </c>
    </row>
    <row r="3668">
      <c r="A3668" s="15">
        <f>IFERROR(__xludf.DUMMYFUNCTION("""COMPUTED_VALUE"""),45107.0)</f>
        <v>45107</v>
      </c>
      <c r="B3668" s="16" t="str">
        <f>IFERROR(__xludf.DUMMYFUNCTION("""COMPUTED_VALUE"""),"Jeison Rubiano")</f>
        <v>Jeison Rubiano</v>
      </c>
      <c r="C3668" s="15" t="str">
        <f>IFERROR(__xludf.DUMMYFUNCTION("""COMPUTED_VALUE"""),"BOGOTÁ")</f>
        <v>BOGOTÁ</v>
      </c>
      <c r="D3668" s="15" t="str">
        <f>IFERROR(__xludf.DUMMYFUNCTION("""COMPUTED_VALUE"""),"MEDELLÍN")</f>
        <v>MEDELLÍN</v>
      </c>
      <c r="E3668" s="15" t="str">
        <f>IFERROR(__xludf.DUMMYFUNCTION("""COMPUTED_VALUE"""),"Baby Chef")</f>
        <v>Baby Chef</v>
      </c>
      <c r="F3668" s="17" t="str">
        <f>IFERROR(__xludf.DUMMYFUNCTION("""COMPUTED_VALUE"""),"Carrera 72 bis # 147-60 Torre 2 apto 1803 / ""Carrera 72 bis # 147-60 Torre 2 apto 1803"" / ""Carrera 72 bis # 147-60 Torre 2 apto 1803""")</f>
        <v>Carrera 72 bis # 147-60 Torre 2 apto 1803 / "Carrera 72 bis # 147-60 Torre 2 apto 1803" / "Carrera 72 bis # 147-60 Torre 2 apto 1803"</v>
      </c>
      <c r="G3668" s="15" t="str">
        <f>IFERROR(__xludf.DUMMYFUNCTION("""COMPUTED_VALUE"""),"Catalina Chaves")</f>
        <v>Catalina Chaves</v>
      </c>
      <c r="H3668" s="16">
        <f>IFERROR(__xludf.DUMMYFUNCTION("""COMPUTED_VALUE"""),12228.0)</f>
        <v>12228</v>
      </c>
      <c r="I3668" s="18">
        <f>IFERROR(__xludf.DUMMYFUNCTION("""COMPUTED_VALUE"""),8.0)</f>
        <v>8</v>
      </c>
      <c r="J3668" s="18">
        <f>IFERROR(__xludf.DUMMYFUNCTION("""COMPUTED_VALUE"""),16.0)</f>
        <v>16</v>
      </c>
      <c r="K3668" s="18">
        <f>IFERROR(__xludf.DUMMYFUNCTION("""COMPUTED_VALUE"""),20.0)</f>
        <v>20</v>
      </c>
      <c r="L3668" s="17">
        <f>IFERROR(__xludf.DUMMYFUNCTION("""COMPUTED_VALUE"""),3.0038284E9)</f>
        <v>3003828400</v>
      </c>
      <c r="M3668" s="17" t="str">
        <f>IFERROR(__xludf.DUMMYFUNCTION("""COMPUTED_VALUE"""),"#REF!")</f>
        <v>#REF!</v>
      </c>
      <c r="N3668" s="17"/>
      <c r="O3668" s="17"/>
      <c r="P3668" s="17" t="b">
        <f>IFERROR(__xludf.DUMMYFUNCTION("""COMPUTED_VALUE"""),FALSE)</f>
        <v>0</v>
      </c>
      <c r="Q3668" s="20" t="str">
        <f>IFERROR(__xludf.DUMMYFUNCTION("""COMPUTED_VALUE"""),"")</f>
        <v/>
      </c>
      <c r="R3668" s="21" t="str">
        <f>IFERROR(__xludf.DUMMYFUNCTION("""COMPUTED_VALUE"""),"https://drive.google.com/file/d/1f4gjGcwfa2R3pyT9FwQcpyMGpQjjylgr/view?usp=drivesdk")</f>
        <v>https://drive.google.com/file/d/1f4gjGcwfa2R3pyT9FwQcpyMGpQjjylgr/view?usp=drivesdk</v>
      </c>
    </row>
    <row r="3669">
      <c r="A3669" s="15">
        <f>IFERROR(__xludf.DUMMYFUNCTION("""COMPUTED_VALUE"""),45107.0)</f>
        <v>45107</v>
      </c>
      <c r="B3669" s="16" t="str">
        <f>IFERROR(__xludf.DUMMYFUNCTION("""COMPUTED_VALUE"""),"Jeison Rubiano")</f>
        <v>Jeison Rubiano</v>
      </c>
      <c r="C3669" s="15" t="str">
        <f>IFERROR(__xludf.DUMMYFUNCTION("""COMPUTED_VALUE"""),"BOGOTÁ")</f>
        <v>BOGOTÁ</v>
      </c>
      <c r="D3669" s="15" t="str">
        <f>IFERROR(__xludf.DUMMYFUNCTION("""COMPUTED_VALUE"""),"MEDELLÍN")</f>
        <v>MEDELLÍN</v>
      </c>
      <c r="E3669" s="15" t="str">
        <f>IFERROR(__xludf.DUMMYFUNCTION("""COMPUTED_VALUE"""),"Baby Chef")</f>
        <v>Baby Chef</v>
      </c>
      <c r="F3669" s="17" t="str">
        <f>IFERROR(__xludf.DUMMYFUNCTION("""COMPUTED_VALUE"""),"Carrera 74 # 67 a 09 casa 2 es casa de barrio ...  barrio la consolación al frente del parque de la consolación, localidad de Engativa / Carrera 74 # 67 a 09 casa 2 es casa de barrio ...  barrio la consolación al frente del parque de la consolación, local"&amp;"idad de Engativa / Carrera 74 # 67 a 09 casa 2 es casa de barrio ...  barrio la consolación al frente del parque de la consolación, localidad de Engativa")</f>
        <v>Carrera 74 # 67 a 09 casa 2 es casa de barrio ...  barrio la consolación al frente del parque de la consolación, localidad de Engativa / Carrera 74 # 67 a 09 casa 2 es casa de barrio ...  barrio la consolación al frente del parque de la consolación, localidad de Engativa / Carrera 74 # 67 a 09 casa 2 es casa de barrio ...  barrio la consolación al frente del parque de la consolación, localidad de Engativa</v>
      </c>
      <c r="G3669" s="15" t="str">
        <f>IFERROR(__xludf.DUMMYFUNCTION("""COMPUTED_VALUE"""),"Tatiana Echeverri")</f>
        <v>Tatiana Echeverri</v>
      </c>
      <c r="H3669" s="16">
        <f>IFERROR(__xludf.DUMMYFUNCTION("""COMPUTED_VALUE"""),12233.0)</f>
        <v>12233</v>
      </c>
      <c r="I3669" s="18">
        <f>IFERROR(__xludf.DUMMYFUNCTION("""COMPUTED_VALUE"""),8.0)</f>
        <v>8</v>
      </c>
      <c r="J3669" s="18">
        <f>IFERROR(__xludf.DUMMYFUNCTION("""COMPUTED_VALUE"""),16.0)</f>
        <v>16</v>
      </c>
      <c r="K3669" s="18">
        <f>IFERROR(__xludf.DUMMYFUNCTION("""COMPUTED_VALUE"""),20.0)</f>
        <v>20</v>
      </c>
      <c r="L3669" s="17">
        <f>IFERROR(__xludf.DUMMYFUNCTION("""COMPUTED_VALUE"""),3.115746379E9)</f>
        <v>3115746379</v>
      </c>
      <c r="M3669" s="17" t="str">
        <f>IFERROR(__xludf.DUMMYFUNCTION("""COMPUTED_VALUE"""),"#REF!")</f>
        <v>#REF!</v>
      </c>
      <c r="N3669" s="17"/>
      <c r="O3669" s="17"/>
      <c r="P3669" s="17" t="b">
        <f>IFERROR(__xludf.DUMMYFUNCTION("""COMPUTED_VALUE"""),FALSE)</f>
        <v>0</v>
      </c>
      <c r="Q3669" s="20" t="str">
        <f>IFERROR(__xludf.DUMMYFUNCTION("""COMPUTED_VALUE"""),"")</f>
        <v/>
      </c>
      <c r="R3669" s="21" t="str">
        <f>IFERROR(__xludf.DUMMYFUNCTION("""COMPUTED_VALUE"""),"https://drive.google.com/file/d/1bkhZNzhQWtgoEYMdvJ01zCSSVp1VbDBx/view?usp=drivesdk")</f>
        <v>https://drive.google.com/file/d/1bkhZNzhQWtgoEYMdvJ01zCSSVp1VbDBx/view?usp=drivesdk</v>
      </c>
    </row>
    <row r="3670">
      <c r="A3670" s="15">
        <f>IFERROR(__xludf.DUMMYFUNCTION("""COMPUTED_VALUE"""),45107.0)</f>
        <v>45107</v>
      </c>
      <c r="B3670" s="16" t="str">
        <f>IFERROR(__xludf.DUMMYFUNCTION("""COMPUTED_VALUE"""),"Jeison Rubiano")</f>
        <v>Jeison Rubiano</v>
      </c>
      <c r="C3670" s="15" t="str">
        <f>IFERROR(__xludf.DUMMYFUNCTION("""COMPUTED_VALUE"""),"BOGOTÁ")</f>
        <v>BOGOTÁ</v>
      </c>
      <c r="D3670" s="15" t="str">
        <f>IFERROR(__xludf.DUMMYFUNCTION("""COMPUTED_VALUE"""),"MEDELLÍN")</f>
        <v>MEDELLÍN</v>
      </c>
      <c r="E3670" s="15" t="str">
        <f>IFERROR(__xludf.DUMMYFUNCTION("""COMPUTED_VALUE"""),"Baby Chef")</f>
        <v>Baby Chef</v>
      </c>
      <c r="F3670" s="17" t="str">
        <f>IFERROR(__xludf.DUMMYFUNCTION("""COMPUTED_VALUE"""),"Cra 118 86-20 Barrio el Cortijo, COnjunto los almendros Interior 30 apto 103 / Cra 118 86-20 Barrio el Cortijo, COnjunto los almendros Interior 30 apto 103 / Cra 118 86-20 Barrio el Cortijo, COnjunto los almendros Interior 30 apto 103")</f>
        <v>Cra 118 86-20 Barrio el Cortijo, COnjunto los almendros Interior 30 apto 103 / Cra 118 86-20 Barrio el Cortijo, COnjunto los almendros Interior 30 apto 103 / Cra 118 86-20 Barrio el Cortijo, COnjunto los almendros Interior 30 apto 103</v>
      </c>
      <c r="G3670" s="15" t="str">
        <f>IFERROR(__xludf.DUMMYFUNCTION("""COMPUTED_VALUE"""),"Shirley Roldan")</f>
        <v>Shirley Roldan</v>
      </c>
      <c r="H3670" s="16">
        <f>IFERROR(__xludf.DUMMYFUNCTION("""COMPUTED_VALUE"""),12232.0)</f>
        <v>12232</v>
      </c>
      <c r="I3670" s="18">
        <f>IFERROR(__xludf.DUMMYFUNCTION("""COMPUTED_VALUE"""),8.0)</f>
        <v>8</v>
      </c>
      <c r="J3670" s="18">
        <f>IFERROR(__xludf.DUMMYFUNCTION("""COMPUTED_VALUE"""),16.0)</f>
        <v>16</v>
      </c>
      <c r="K3670" s="18">
        <f>IFERROR(__xludf.DUMMYFUNCTION("""COMPUTED_VALUE"""),20.0)</f>
        <v>20</v>
      </c>
      <c r="L3670" s="17">
        <f>IFERROR(__xludf.DUMMYFUNCTION("""COMPUTED_VALUE"""),3.016725674E9)</f>
        <v>3016725674</v>
      </c>
      <c r="M3670" s="17" t="str">
        <f>IFERROR(__xludf.DUMMYFUNCTION("""COMPUTED_VALUE"""),"#REF!")</f>
        <v>#REF!</v>
      </c>
      <c r="N3670" s="17"/>
      <c r="O3670" s="17"/>
      <c r="P3670" s="17" t="b">
        <f>IFERROR(__xludf.DUMMYFUNCTION("""COMPUTED_VALUE"""),FALSE)</f>
        <v>0</v>
      </c>
      <c r="Q3670" s="20" t="str">
        <f>IFERROR(__xludf.DUMMYFUNCTION("""COMPUTED_VALUE"""),"")</f>
        <v/>
      </c>
      <c r="R3670" s="22" t="str">
        <f>IFERROR(__xludf.DUMMYFUNCTION("""COMPUTED_VALUE"""),"")</f>
        <v/>
      </c>
    </row>
    <row r="3671">
      <c r="A3671" s="15">
        <f>IFERROR(__xludf.DUMMYFUNCTION("""COMPUTED_VALUE"""),45107.0)</f>
        <v>45107</v>
      </c>
      <c r="B3671" s="16" t="str">
        <f>IFERROR(__xludf.DUMMYFUNCTION("""COMPUTED_VALUE"""),"Jeison Rubiano")</f>
        <v>Jeison Rubiano</v>
      </c>
      <c r="C3671" s="15" t="str">
        <f>IFERROR(__xludf.DUMMYFUNCTION("""COMPUTED_VALUE"""),"BOGOTÁ")</f>
        <v>BOGOTÁ</v>
      </c>
      <c r="D3671" s="15" t="str">
        <f>IFERROR(__xludf.DUMMYFUNCTION("""COMPUTED_VALUE"""),"MEDELLÍN")</f>
        <v>MEDELLÍN</v>
      </c>
      <c r="E3671" s="15" t="str">
        <f>IFERROR(__xludf.DUMMYFUNCTION("""COMPUTED_VALUE"""),"Baby Chef")</f>
        <v>Baby Chef</v>
      </c>
      <c r="F3671" s="17" t="str">
        <f>IFERROR(__xludf.DUMMYFUNCTION("""COMPUTED_VALUE"""),"Cra 56 # 145-51 interior 5 apartamento 204 Edificio colinas de santa paula Interior 5 Ap 204 / ""Cra 56 # 145-51 interior 5 apartamento 204 Edificio colinas de santa paula Interior 5 Ap 204"" / ""Cra 56 # 145-51 interior 5 apartamento 204 Edificio colinas"&amp;" de santa paula Interior 5 Ap 204""")</f>
        <v>Cra 56 # 145-51 interior 5 apartamento 204 Edificio colinas de santa paula Interior 5 Ap 204 / "Cra 56 # 145-51 interior 5 apartamento 204 Edificio colinas de santa paula Interior 5 Ap 204" / "Cra 56 # 145-51 interior 5 apartamento 204 Edificio colinas de santa paula Interior 5 Ap 204"</v>
      </c>
      <c r="G3671" s="15" t="str">
        <f>IFERROR(__xludf.DUMMYFUNCTION("""COMPUTED_VALUE"""),"Dunya Marcela Ortíz Pino")</f>
        <v>Dunya Marcela Ortíz Pino</v>
      </c>
      <c r="H3671" s="16">
        <f>IFERROR(__xludf.DUMMYFUNCTION("""COMPUTED_VALUE"""),12236.0)</f>
        <v>12236</v>
      </c>
      <c r="I3671" s="18">
        <f>IFERROR(__xludf.DUMMYFUNCTION("""COMPUTED_VALUE"""),8.0)</f>
        <v>8</v>
      </c>
      <c r="J3671" s="18">
        <f>IFERROR(__xludf.DUMMYFUNCTION("""COMPUTED_VALUE"""),16.0)</f>
        <v>16</v>
      </c>
      <c r="K3671" s="18">
        <f>IFERROR(__xludf.DUMMYFUNCTION("""COMPUTED_VALUE"""),20.0)</f>
        <v>20</v>
      </c>
      <c r="L3671" s="17">
        <f>IFERROR(__xludf.DUMMYFUNCTION("""COMPUTED_VALUE"""),3.008428993E9)</f>
        <v>3008428993</v>
      </c>
      <c r="M3671" s="17" t="str">
        <f>IFERROR(__xludf.DUMMYFUNCTION("""COMPUTED_VALUE"""),"#REF!")</f>
        <v>#REF!</v>
      </c>
      <c r="N3671" s="17"/>
      <c r="O3671" s="17"/>
      <c r="P3671" s="17" t="b">
        <f>IFERROR(__xludf.DUMMYFUNCTION("""COMPUTED_VALUE"""),FALSE)</f>
        <v>0</v>
      </c>
      <c r="Q3671" s="20" t="str">
        <f>IFERROR(__xludf.DUMMYFUNCTION("""COMPUTED_VALUE"""),"")</f>
        <v/>
      </c>
      <c r="R3671" s="21" t="str">
        <f>IFERROR(__xludf.DUMMYFUNCTION("""COMPUTED_VALUE"""),"https://drive.google.com/file/d/1jAvXjXEnFaB92Dbr9mKJscnn2ahtoT9M/view?usp=drivesdk")</f>
        <v>https://drive.google.com/file/d/1jAvXjXEnFaB92Dbr9mKJscnn2ahtoT9M/view?usp=drivesdk</v>
      </c>
    </row>
    <row r="3672">
      <c r="A3672" s="15">
        <f>IFERROR(__xludf.DUMMYFUNCTION("""COMPUTED_VALUE"""),45107.0)</f>
        <v>45107</v>
      </c>
      <c r="B3672" s="16" t="str">
        <f>IFERROR(__xludf.DUMMYFUNCTION("""COMPUTED_VALUE"""),"Jeison Rubiano")</f>
        <v>Jeison Rubiano</v>
      </c>
      <c r="C3672" s="15" t="str">
        <f>IFERROR(__xludf.DUMMYFUNCTION("""COMPUTED_VALUE"""),"BOGOTÁ")</f>
        <v>BOGOTÁ</v>
      </c>
      <c r="D3672" s="15" t="str">
        <f>IFERROR(__xludf.DUMMYFUNCTION("""COMPUTED_VALUE"""),"MEDELLÍN")</f>
        <v>MEDELLÍN</v>
      </c>
      <c r="E3672" s="15" t="str">
        <f>IFERROR(__xludf.DUMMYFUNCTION("""COMPUTED_VALUE"""),"Baby Chef")</f>
        <v>Baby Chef</v>
      </c>
      <c r="F3672" s="17" t="str">
        <f>IFERROR(__xludf.DUMMYFUNCTION("""COMPUTED_VALUE"""),"Cra 72 bis #81a-05 int 5 apto 104 Pontevedra / Cra 72 bis #81a-05 int 5 apto 104 Pontevedra / Cra 72 bis #81a-05 int 5 apto 104 Pontevedra")</f>
        <v>Cra 72 bis #81a-05 int 5 apto 104 Pontevedra / Cra 72 bis #81a-05 int 5 apto 104 Pontevedra / Cra 72 bis #81a-05 int 5 apto 104 Pontevedra</v>
      </c>
      <c r="G3672" s="15" t="str">
        <f>IFERROR(__xludf.DUMMYFUNCTION("""COMPUTED_VALUE"""),"Natalia Alejandra Ramirez")</f>
        <v>Natalia Alejandra Ramirez</v>
      </c>
      <c r="H3672" s="16">
        <f>IFERROR(__xludf.DUMMYFUNCTION("""COMPUTED_VALUE"""),12230.0)</f>
        <v>12230</v>
      </c>
      <c r="I3672" s="18">
        <f>IFERROR(__xludf.DUMMYFUNCTION("""COMPUTED_VALUE"""),8.0)</f>
        <v>8</v>
      </c>
      <c r="J3672" s="18">
        <f>IFERROR(__xludf.DUMMYFUNCTION("""COMPUTED_VALUE"""),16.0)</f>
        <v>16</v>
      </c>
      <c r="K3672" s="18">
        <f>IFERROR(__xludf.DUMMYFUNCTION("""COMPUTED_VALUE"""),20.0)</f>
        <v>20</v>
      </c>
      <c r="L3672" s="17">
        <f>IFERROR(__xludf.DUMMYFUNCTION("""COMPUTED_VALUE"""),3.212700831E9)</f>
        <v>3212700831</v>
      </c>
      <c r="M3672" s="17" t="str">
        <f>IFERROR(__xludf.DUMMYFUNCTION("""COMPUTED_VALUE"""),"#REF!")</f>
        <v>#REF!</v>
      </c>
      <c r="N3672" s="17"/>
      <c r="O3672" s="17"/>
      <c r="P3672" s="17" t="b">
        <f>IFERROR(__xludf.DUMMYFUNCTION("""COMPUTED_VALUE"""),FALSE)</f>
        <v>0</v>
      </c>
      <c r="Q3672" s="20" t="str">
        <f>IFERROR(__xludf.DUMMYFUNCTION("""COMPUTED_VALUE"""),"")</f>
        <v/>
      </c>
      <c r="R3672" s="21" t="str">
        <f>IFERROR(__xludf.DUMMYFUNCTION("""COMPUTED_VALUE"""),"https://drive.google.com/file/d/11tCUdzAoz1cYEZvXMYevTLwmhtmNo4dd/view?usp=drivesdk")</f>
        <v>https://drive.google.com/file/d/11tCUdzAoz1cYEZvXMYevTLwmhtmNo4dd/view?usp=drivesdk</v>
      </c>
    </row>
    <row r="3673">
      <c r="A3673" s="15">
        <f>IFERROR(__xludf.DUMMYFUNCTION("""COMPUTED_VALUE"""),45107.0)</f>
        <v>45107</v>
      </c>
      <c r="B3673" s="16" t="str">
        <f>IFERROR(__xludf.DUMMYFUNCTION("""COMPUTED_VALUE"""),"Jeison Rubiano")</f>
        <v>Jeison Rubiano</v>
      </c>
      <c r="C3673" s="15" t="str">
        <f>IFERROR(__xludf.DUMMYFUNCTION("""COMPUTED_VALUE"""),"BOGOTÁ")</f>
        <v>BOGOTÁ</v>
      </c>
      <c r="D3673" s="15" t="str">
        <f>IFERROR(__xludf.DUMMYFUNCTION("""COMPUTED_VALUE"""),"MEDELLÍN")</f>
        <v>MEDELLÍN</v>
      </c>
      <c r="E3673" s="15" t="str">
        <f>IFERROR(__xludf.DUMMYFUNCTION("""COMPUTED_VALUE"""),"Lácteos El Pino SAS")</f>
        <v>Lácteos El Pino SAS</v>
      </c>
      <c r="F3673" s="17" t="str">
        <f>IFERROR(__xludf.DUMMYFUNCTION("""COMPUTED_VALUE"""),"CRA 13 # 118-15 / LOCAL CASA GRIS- PRIMER PISO")</f>
        <v>CRA 13 # 118-15 / LOCAL CASA GRIS- PRIMER PISO</v>
      </c>
      <c r="G3673" s="15" t="str">
        <f>IFERROR(__xludf.DUMMYFUNCTION("""COMPUTED_VALUE"""),"MARCELA POSADA")</f>
        <v>MARCELA POSADA</v>
      </c>
      <c r="H3673" s="16">
        <f>IFERROR(__xludf.DUMMYFUNCTION("""COMPUTED_VALUE"""),12216.0)</f>
        <v>12216</v>
      </c>
      <c r="I3673" s="18">
        <f>IFERROR(__xludf.DUMMYFUNCTION("""COMPUTED_VALUE"""),15.0)</f>
        <v>15</v>
      </c>
      <c r="J3673" s="18">
        <f>IFERROR(__xludf.DUMMYFUNCTION("""COMPUTED_VALUE"""),16.0)</f>
        <v>16</v>
      </c>
      <c r="K3673" s="18">
        <f>IFERROR(__xludf.DUMMYFUNCTION("""COMPUTED_VALUE"""),22.0)</f>
        <v>22</v>
      </c>
      <c r="L3673" s="17"/>
      <c r="M3673" s="17" t="str">
        <f>IFERROR(__xludf.DUMMYFUNCTION("""COMPUTED_VALUE"""),"#REF!")</f>
        <v>#REF!</v>
      </c>
      <c r="N3673" s="17"/>
      <c r="O3673" s="17"/>
      <c r="P3673" s="17" t="b">
        <f>IFERROR(__xludf.DUMMYFUNCTION("""COMPUTED_VALUE"""),FALSE)</f>
        <v>0</v>
      </c>
      <c r="Q3673" s="20" t="str">
        <f>IFERROR(__xludf.DUMMYFUNCTION("""COMPUTED_VALUE"""),"")</f>
        <v/>
      </c>
      <c r="R3673" s="22" t="str">
        <f>IFERROR(__xludf.DUMMYFUNCTION("""COMPUTED_VALUE"""),"")</f>
        <v/>
      </c>
    </row>
    <row r="3674">
      <c r="A3674" s="15">
        <f>IFERROR(__xludf.DUMMYFUNCTION("""COMPUTED_VALUE"""),45107.0)</f>
        <v>45107</v>
      </c>
      <c r="B3674" s="16" t="str">
        <f>IFERROR(__xludf.DUMMYFUNCTION("""COMPUTED_VALUE"""),"Jeison Rubiano")</f>
        <v>Jeison Rubiano</v>
      </c>
      <c r="C3674" s="15" t="str">
        <f>IFERROR(__xludf.DUMMYFUNCTION("""COMPUTED_VALUE"""),"BOGOTÁ")</f>
        <v>BOGOTÁ</v>
      </c>
      <c r="D3674" s="15" t="str">
        <f>IFERROR(__xludf.DUMMYFUNCTION("""COMPUTED_VALUE"""),"MEDELLÍN")</f>
        <v>MEDELLÍN</v>
      </c>
      <c r="E3674" s="15" t="str">
        <f>IFERROR(__xludf.DUMMYFUNCTION("""COMPUTED_VALUE"""),"Moloso S.A.S")</f>
        <v>Moloso S.A.S</v>
      </c>
      <c r="F3674" s="17" t="str">
        <f>IFERROR(__xludf.DUMMYFUNCTION("""COMPUTED_VALUE"""),"	 CRA 9 BIS 97 06 / APTO 604")</f>
        <v>	 CRA 9 BIS 97 06 / APTO 604</v>
      </c>
      <c r="G3674" s="15" t="str">
        <f>IFERROR(__xludf.DUMMYFUNCTION("""COMPUTED_VALUE"""),"MARIA XIMENA GUZMAN DEL CASTILLO")</f>
        <v>MARIA XIMENA GUZMAN DEL CASTILLO</v>
      </c>
      <c r="H3674" s="16">
        <f>IFERROR(__xludf.DUMMYFUNCTION("""COMPUTED_VALUE"""),12225.0)</f>
        <v>12225</v>
      </c>
      <c r="I3674" s="18">
        <f>IFERROR(__xludf.DUMMYFUNCTION("""COMPUTED_VALUE"""),17.0)</f>
        <v>17</v>
      </c>
      <c r="J3674" s="18">
        <f>IFERROR(__xludf.DUMMYFUNCTION("""COMPUTED_VALUE"""),15.0)</f>
        <v>15</v>
      </c>
      <c r="K3674" s="18">
        <f>IFERROR(__xludf.DUMMYFUNCTION("""COMPUTED_VALUE"""),28.0)</f>
        <v>28</v>
      </c>
      <c r="L3674" s="17" t="str">
        <f>IFERROR(__xludf.DUMMYFUNCTION("""COMPUTED_VALUE"""),"311 2848381")</f>
        <v>311 2848381</v>
      </c>
      <c r="M3674" s="17" t="str">
        <f>IFERROR(__xludf.DUMMYFUNCTION("""COMPUTED_VALUE"""),"#REF!")</f>
        <v>#REF!</v>
      </c>
      <c r="N3674" s="17"/>
      <c r="O3674" s="17"/>
      <c r="P3674" s="17" t="b">
        <f>IFERROR(__xludf.DUMMYFUNCTION("""COMPUTED_VALUE"""),FALSE)</f>
        <v>0</v>
      </c>
      <c r="Q3674" s="20" t="str">
        <f>IFERROR(__xludf.DUMMYFUNCTION("""COMPUTED_VALUE"""),"")</f>
        <v/>
      </c>
      <c r="R3674" s="21" t="str">
        <f>IFERROR(__xludf.DUMMYFUNCTION("""COMPUTED_VALUE"""),"https://drive.google.com/file/d/1q1SGJMvuiSZhQ5TI0gEC7F07mNHoczeK/view?usp=drivesdk")</f>
        <v>https://drive.google.com/file/d/1q1SGJMvuiSZhQ5TI0gEC7F07mNHoczeK/view?usp=drivesdk</v>
      </c>
    </row>
    <row r="3675">
      <c r="A3675" s="15">
        <f>IFERROR(__xludf.DUMMYFUNCTION("""COMPUTED_VALUE"""),45107.0)</f>
        <v>45107</v>
      </c>
      <c r="B3675" s="16" t="str">
        <f>IFERROR(__xludf.DUMMYFUNCTION("""COMPUTED_VALUE"""),"Jeison Rubiano")</f>
        <v>Jeison Rubiano</v>
      </c>
      <c r="C3675" s="15" t="str">
        <f>IFERROR(__xludf.DUMMYFUNCTION("""COMPUTED_VALUE"""),"BOGOTÁ")</f>
        <v>BOGOTÁ</v>
      </c>
      <c r="D3675" s="15" t="str">
        <f>IFERROR(__xludf.DUMMYFUNCTION("""COMPUTED_VALUE"""),"MEDELLÍN")</f>
        <v>MEDELLÍN</v>
      </c>
      <c r="E3675" s="15" t="str">
        <f>IFERROR(__xludf.DUMMYFUNCTION("""COMPUTED_VALUE"""),"Puro Verde")</f>
        <v>Puro Verde</v>
      </c>
      <c r="F3675" s="17" t="str">
        <f>IFERROR(__xludf.DUMMYFUNCTION("""COMPUTED_VALUE"""),"CRA 16A # 77-23.  / LOCAL 4 / UNILAGO")</f>
        <v>CRA 16A # 77-23.  / LOCAL 4 / UNILAGO</v>
      </c>
      <c r="G3675" s="15" t="str">
        <f>IFERROR(__xludf.DUMMYFUNCTION("""COMPUTED_VALUE"""),"CENTRO DE ACOPIO DANDO CUERDA")</f>
        <v>CENTRO DE ACOPIO DANDO CUERDA</v>
      </c>
      <c r="H3675" s="16">
        <f>IFERROR(__xludf.DUMMYFUNCTION("""COMPUTED_VALUE"""),12205.0)</f>
        <v>12205</v>
      </c>
      <c r="I3675" s="18">
        <f>IFERROR(__xludf.DUMMYFUNCTION("""COMPUTED_VALUE"""),15.0)</f>
        <v>15</v>
      </c>
      <c r="J3675" s="18">
        <f>IFERROR(__xludf.DUMMYFUNCTION("""COMPUTED_VALUE"""),29.0)</f>
        <v>29</v>
      </c>
      <c r="K3675" s="18">
        <f>IFERROR(__xludf.DUMMYFUNCTION("""COMPUTED_VALUE"""),39.0)</f>
        <v>39</v>
      </c>
      <c r="L3675" s="17">
        <f>IFERROR(__xludf.DUMMYFUNCTION("""COMPUTED_VALUE"""),3.163816691E9)</f>
        <v>3163816691</v>
      </c>
      <c r="M3675" s="17" t="str">
        <f>IFERROR(__xludf.DUMMYFUNCTION("""COMPUTED_VALUE"""),"#REF!")</f>
        <v>#REF!</v>
      </c>
      <c r="N3675" s="17"/>
      <c r="O3675" s="17"/>
      <c r="P3675" s="17" t="b">
        <f>IFERROR(__xludf.DUMMYFUNCTION("""COMPUTED_VALUE"""),FALSE)</f>
        <v>0</v>
      </c>
      <c r="Q3675" s="20" t="str">
        <f>IFERROR(__xludf.DUMMYFUNCTION("""COMPUTED_VALUE"""),"")</f>
        <v/>
      </c>
      <c r="R3675" s="21" t="str">
        <f>IFERROR(__xludf.DUMMYFUNCTION("""COMPUTED_VALUE"""),"https://drive.google.com/file/d/1Oc26WlhgXKF2z8v6jtsycLfAcMEQut7f/view?usp=drivesdk")</f>
        <v>https://drive.google.com/file/d/1Oc26WlhgXKF2z8v6jtsycLfAcMEQut7f/view?usp=drivesdk</v>
      </c>
    </row>
    <row r="3676">
      <c r="A3676" s="15">
        <f>IFERROR(__xludf.DUMMYFUNCTION("""COMPUTED_VALUE"""),45107.0)</f>
        <v>45107</v>
      </c>
      <c r="B3676" s="16" t="str">
        <f>IFERROR(__xludf.DUMMYFUNCTION("""COMPUTED_VALUE"""),"Jeison Rubiano")</f>
        <v>Jeison Rubiano</v>
      </c>
      <c r="C3676" s="15" t="str">
        <f>IFERROR(__xludf.DUMMYFUNCTION("""COMPUTED_VALUE"""),"BOGOTÁ")</f>
        <v>BOGOTÁ</v>
      </c>
      <c r="D3676" s="15" t="str">
        <f>IFERROR(__xludf.DUMMYFUNCTION("""COMPUTED_VALUE"""),"MEDELLÍN")</f>
        <v>MEDELLÍN</v>
      </c>
      <c r="E3676" s="15" t="str">
        <f>IFERROR(__xludf.DUMMYFUNCTION("""COMPUTED_VALUE"""),"Rambla")</f>
        <v>Rambla</v>
      </c>
      <c r="F3676" s="17" t="str">
        <f>IFERROR(__xludf.DUMMYFUNCTION("""COMPUTED_VALUE"""),"Av Cra 9 # 113-52 local 306 / na / na")</f>
        <v>Av Cra 9 # 113-52 local 306 / na / na</v>
      </c>
      <c r="G3676" s="15" t="str">
        <f>IFERROR(__xludf.DUMMYFUNCTION("""COMPUTED_VALUE"""),"FRESHCO")</f>
        <v>FRESHCO</v>
      </c>
      <c r="H3676" s="16">
        <f>IFERROR(__xludf.DUMMYFUNCTION("""COMPUTED_VALUE"""),12211.0)</f>
        <v>12211</v>
      </c>
      <c r="I3676" s="18">
        <f>IFERROR(__xludf.DUMMYFUNCTION("""COMPUTED_VALUE"""),18.0)</f>
        <v>18</v>
      </c>
      <c r="J3676" s="18">
        <f>IFERROR(__xludf.DUMMYFUNCTION("""COMPUTED_VALUE"""),22.0)</f>
        <v>22</v>
      </c>
      <c r="K3676" s="18">
        <f>IFERROR(__xludf.DUMMYFUNCTION("""COMPUTED_VALUE"""),25.0)</f>
        <v>25</v>
      </c>
      <c r="L3676" s="17">
        <f>IFERROR(__xludf.DUMMYFUNCTION("""COMPUTED_VALUE"""),3.229417869E9)</f>
        <v>3229417869</v>
      </c>
      <c r="M3676" s="17" t="str">
        <f>IFERROR(__xludf.DUMMYFUNCTION("""COMPUTED_VALUE"""),"#REF!")</f>
        <v>#REF!</v>
      </c>
      <c r="N3676" s="17"/>
      <c r="O3676" s="17"/>
      <c r="P3676" s="17" t="b">
        <f>IFERROR(__xludf.DUMMYFUNCTION("""COMPUTED_VALUE"""),FALSE)</f>
        <v>0</v>
      </c>
      <c r="Q3676" s="20" t="str">
        <f>IFERROR(__xludf.DUMMYFUNCTION("""COMPUTED_VALUE"""),"")</f>
        <v/>
      </c>
      <c r="R3676" s="21" t="str">
        <f>IFERROR(__xludf.DUMMYFUNCTION("""COMPUTED_VALUE"""),"https://drive.google.com/file/d/1OLPUDi6BVSzjvc7HUrRs9CGoNmUNLB44/view?usp=drivesdk")</f>
        <v>https://drive.google.com/file/d/1OLPUDi6BVSzjvc7HUrRs9CGoNmUNLB44/view?usp=drivesdk</v>
      </c>
    </row>
    <row r="3677">
      <c r="A3677" s="15">
        <f>IFERROR(__xludf.DUMMYFUNCTION("""COMPUTED_VALUE"""),45107.0)</f>
        <v>45107</v>
      </c>
      <c r="B3677" s="16" t="str">
        <f>IFERROR(__xludf.DUMMYFUNCTION("""COMPUTED_VALUE"""),"Jeison Rubiano")</f>
        <v>Jeison Rubiano</v>
      </c>
      <c r="C3677" s="15" t="str">
        <f>IFERROR(__xludf.DUMMYFUNCTION("""COMPUTED_VALUE"""),"BOGOTÁ")</f>
        <v>BOGOTÁ</v>
      </c>
      <c r="D3677" s="15" t="str">
        <f>IFERROR(__xludf.DUMMYFUNCTION("""COMPUTED_VALUE"""),"MEDELLÍN")</f>
        <v>MEDELLÍN</v>
      </c>
      <c r="E3677" s="15" t="str">
        <f>IFERROR(__xludf.DUMMYFUNCTION("""COMPUTED_VALUE"""),"Rambla")</f>
        <v>Rambla</v>
      </c>
      <c r="F3677" s="17" t="str">
        <f>IFERROR(__xludf.DUMMYFUNCTION("""COMPUTED_VALUE"""),"Calle 122 18 50 consultorio 202 / na / na")</f>
        <v>Calle 122 18 50 consultorio 202 / na / na</v>
      </c>
      <c r="G3677" s="15" t="str">
        <f>IFERROR(__xludf.DUMMYFUNCTION("""COMPUTED_VALUE"""),"Natalia rincón")</f>
        <v>Natalia rincón</v>
      </c>
      <c r="H3677" s="16">
        <f>IFERROR(__xludf.DUMMYFUNCTION("""COMPUTED_VALUE"""),12214.0)</f>
        <v>12214</v>
      </c>
      <c r="I3677" s="18">
        <f>IFERROR(__xludf.DUMMYFUNCTION("""COMPUTED_VALUE"""),18.0)</f>
        <v>18</v>
      </c>
      <c r="J3677" s="18">
        <f>IFERROR(__xludf.DUMMYFUNCTION("""COMPUTED_VALUE"""),22.0)</f>
        <v>22</v>
      </c>
      <c r="K3677" s="18">
        <f>IFERROR(__xludf.DUMMYFUNCTION("""COMPUTED_VALUE"""),25.0)</f>
        <v>25</v>
      </c>
      <c r="L3677" s="17">
        <f>IFERROR(__xludf.DUMMYFUNCTION("""COMPUTED_VALUE"""),3.156161317E9)</f>
        <v>3156161317</v>
      </c>
      <c r="M3677" s="17" t="str">
        <f>IFERROR(__xludf.DUMMYFUNCTION("""COMPUTED_VALUE"""),"#REF!")</f>
        <v>#REF!</v>
      </c>
      <c r="N3677" s="17"/>
      <c r="O3677" s="17"/>
      <c r="P3677" s="17" t="b">
        <f>IFERROR(__xludf.DUMMYFUNCTION("""COMPUTED_VALUE"""),FALSE)</f>
        <v>0</v>
      </c>
      <c r="Q3677" s="20" t="str">
        <f>IFERROR(__xludf.DUMMYFUNCTION("""COMPUTED_VALUE"""),"")</f>
        <v/>
      </c>
      <c r="R3677" s="21" t="str">
        <f>IFERROR(__xludf.DUMMYFUNCTION("""COMPUTED_VALUE"""),"https://drive.google.com/file/d/1tQId0CYLCZ0eaMG5-Z6nf1UT-ggxQl26/view?usp=drivesdk")</f>
        <v>https://drive.google.com/file/d/1tQId0CYLCZ0eaMG5-Z6nf1UT-ggxQl26/view?usp=drivesdk</v>
      </c>
    </row>
    <row r="3678">
      <c r="A3678" s="15">
        <f>IFERROR(__xludf.DUMMYFUNCTION("""COMPUTED_VALUE"""),45107.0)</f>
        <v>45107</v>
      </c>
      <c r="B3678" s="16" t="str">
        <f>IFERROR(__xludf.DUMMYFUNCTION("""COMPUTED_VALUE"""),"Jeison Rubiano")</f>
        <v>Jeison Rubiano</v>
      </c>
      <c r="C3678" s="15" t="str">
        <f>IFERROR(__xludf.DUMMYFUNCTION("""COMPUTED_VALUE"""),"BOGOTÁ")</f>
        <v>BOGOTÁ</v>
      </c>
      <c r="D3678" s="15" t="str">
        <f>IFERROR(__xludf.DUMMYFUNCTION("""COMPUTED_VALUE"""),"MEDELLÍN")</f>
        <v>MEDELLÍN</v>
      </c>
      <c r="E3678" s="15" t="str">
        <f>IFERROR(__xludf.DUMMYFUNCTION("""COMPUTED_VALUE"""),"Rambla")</f>
        <v>Rambla</v>
      </c>
      <c r="F3678" s="17" t="str">
        <f>IFERROR(__xludf.DUMMYFUNCTION("""COMPUTED_VALUE"""),"Calle 25B # 70B - 50, Conjunto Gran reserva de Mallorca, Torre 3, Apto 1207, Barrio Salitre / na / na")</f>
        <v>Calle 25B # 70B - 50, Conjunto Gran reserva de Mallorca, Torre 3, Apto 1207, Barrio Salitre / na / na</v>
      </c>
      <c r="G3678" s="15" t="str">
        <f>IFERROR(__xludf.DUMMYFUNCTION("""COMPUTED_VALUE"""),"Andrés Hamón Silva")</f>
        <v>Andrés Hamón Silva</v>
      </c>
      <c r="H3678" s="16">
        <f>IFERROR(__xludf.DUMMYFUNCTION("""COMPUTED_VALUE"""),12210.0)</f>
        <v>12210</v>
      </c>
      <c r="I3678" s="18">
        <f>IFERROR(__xludf.DUMMYFUNCTION("""COMPUTED_VALUE"""),18.0)</f>
        <v>18</v>
      </c>
      <c r="J3678" s="18">
        <f>IFERROR(__xludf.DUMMYFUNCTION("""COMPUTED_VALUE"""),22.0)</f>
        <v>22</v>
      </c>
      <c r="K3678" s="18">
        <f>IFERROR(__xludf.DUMMYFUNCTION("""COMPUTED_VALUE"""),25.0)</f>
        <v>25</v>
      </c>
      <c r="L3678" s="17">
        <f>IFERROR(__xludf.DUMMYFUNCTION("""COMPUTED_VALUE"""),3.014772992E9)</f>
        <v>3014772992</v>
      </c>
      <c r="M3678" s="17" t="str">
        <f>IFERROR(__xludf.DUMMYFUNCTION("""COMPUTED_VALUE"""),"#REF!")</f>
        <v>#REF!</v>
      </c>
      <c r="N3678" s="17"/>
      <c r="O3678" s="17"/>
      <c r="P3678" s="17" t="b">
        <f>IFERROR(__xludf.DUMMYFUNCTION("""COMPUTED_VALUE"""),FALSE)</f>
        <v>0</v>
      </c>
      <c r="Q3678" s="20" t="str">
        <f>IFERROR(__xludf.DUMMYFUNCTION("""COMPUTED_VALUE"""),"")</f>
        <v/>
      </c>
      <c r="R3678" s="21" t="str">
        <f>IFERROR(__xludf.DUMMYFUNCTION("""COMPUTED_VALUE"""),"https://drive.google.com/file/d/1v-1LtA5edetZx8CwrZfYuhuSD7MY0riM/view?usp=drivesdk")</f>
        <v>https://drive.google.com/file/d/1v-1LtA5edetZx8CwrZfYuhuSD7MY0riM/view?usp=drivesdk</v>
      </c>
    </row>
    <row r="3679">
      <c r="A3679" s="15">
        <f>IFERROR(__xludf.DUMMYFUNCTION("""COMPUTED_VALUE"""),45107.0)</f>
        <v>45107</v>
      </c>
      <c r="B3679" s="16" t="str">
        <f>IFERROR(__xludf.DUMMYFUNCTION("""COMPUTED_VALUE"""),"Jeison Rubiano")</f>
        <v>Jeison Rubiano</v>
      </c>
      <c r="C3679" s="15" t="str">
        <f>IFERROR(__xludf.DUMMYFUNCTION("""COMPUTED_VALUE"""),"BOGOTÁ")</f>
        <v>BOGOTÁ</v>
      </c>
      <c r="D3679" s="15" t="str">
        <f>IFERROR(__xludf.DUMMYFUNCTION("""COMPUTED_VALUE"""),"MEDELLÍN")</f>
        <v>MEDELLÍN</v>
      </c>
      <c r="E3679" s="15" t="str">
        <f>IFERROR(__xludf.DUMMYFUNCTION("""COMPUTED_VALUE"""),"Rambla")</f>
        <v>Rambla</v>
      </c>
      <c r="F3679" s="17" t="str">
        <f>IFERROR(__xludf.DUMMYFUNCTION("""COMPUTED_VALUE"""),"Calle 94 no 15 28 local 3 / na / na")</f>
        <v>Calle 94 no 15 28 local 3 / na / na</v>
      </c>
      <c r="G3679" s="15" t="str">
        <f>IFERROR(__xludf.DUMMYFUNCTION("""COMPUTED_VALUE"""),"Brunch market")</f>
        <v>Brunch market</v>
      </c>
      <c r="H3679" s="16">
        <f>IFERROR(__xludf.DUMMYFUNCTION("""COMPUTED_VALUE"""),12209.0)</f>
        <v>12209</v>
      </c>
      <c r="I3679" s="18">
        <f>IFERROR(__xludf.DUMMYFUNCTION("""COMPUTED_VALUE"""),18.0)</f>
        <v>18</v>
      </c>
      <c r="J3679" s="18">
        <f>IFERROR(__xludf.DUMMYFUNCTION("""COMPUTED_VALUE"""),22.0)</f>
        <v>22</v>
      </c>
      <c r="K3679" s="18">
        <f>IFERROR(__xludf.DUMMYFUNCTION("""COMPUTED_VALUE"""),25.0)</f>
        <v>25</v>
      </c>
      <c r="L3679" s="17">
        <f>IFERROR(__xludf.DUMMYFUNCTION("""COMPUTED_VALUE"""),3.002752554E9)</f>
        <v>3002752554</v>
      </c>
      <c r="M3679" s="17" t="str">
        <f>IFERROR(__xludf.DUMMYFUNCTION("""COMPUTED_VALUE"""),"#REF!")</f>
        <v>#REF!</v>
      </c>
      <c r="N3679" s="17"/>
      <c r="O3679" s="17"/>
      <c r="P3679" s="17" t="b">
        <f>IFERROR(__xludf.DUMMYFUNCTION("""COMPUTED_VALUE"""),FALSE)</f>
        <v>0</v>
      </c>
      <c r="Q3679" s="20" t="str">
        <f>IFERROR(__xludf.DUMMYFUNCTION("""COMPUTED_VALUE"""),"")</f>
        <v/>
      </c>
      <c r="R3679" s="21" t="str">
        <f>IFERROR(__xludf.DUMMYFUNCTION("""COMPUTED_VALUE"""),"https://drive.google.com/file/d/1St3uZIj1_WKT5Q3erX9buS_0Hqd1JoGF/view?usp=drivesdk")</f>
        <v>https://drive.google.com/file/d/1St3uZIj1_WKT5Q3erX9buS_0Hqd1JoGF/view?usp=drivesdk</v>
      </c>
    </row>
    <row r="3680">
      <c r="A3680" s="15">
        <f>IFERROR(__xludf.DUMMYFUNCTION("""COMPUTED_VALUE"""),45107.0)</f>
        <v>45107</v>
      </c>
      <c r="B3680" s="16" t="str">
        <f>IFERROR(__xludf.DUMMYFUNCTION("""COMPUTED_VALUE"""),"Jeison Rubiano")</f>
        <v>Jeison Rubiano</v>
      </c>
      <c r="C3680" s="15" t="str">
        <f>IFERROR(__xludf.DUMMYFUNCTION("""COMPUTED_VALUE"""),"BOGOTÁ")</f>
        <v>BOGOTÁ</v>
      </c>
      <c r="D3680" s="15" t="str">
        <f>IFERROR(__xludf.DUMMYFUNCTION("""COMPUTED_VALUE"""),"MEDELLÍN")</f>
        <v>MEDELLÍN</v>
      </c>
      <c r="E3680" s="15" t="str">
        <f>IFERROR(__xludf.DUMMYFUNCTION("""COMPUTED_VALUE"""),"Rambla")</f>
        <v>Rambla</v>
      </c>
      <c r="F3680" s="17" t="str">
        <f>IFERROR(__xludf.DUMMYFUNCTION("""COMPUTED_VALUE"""),"Cl. 93a #11-46, Barrio Chicó / na / na")</f>
        <v>Cl. 93a #11-46, Barrio Chicó / na / na</v>
      </c>
      <c r="G3680" s="15" t="str">
        <f>IFERROR(__xludf.DUMMYFUNCTION("""COMPUTED_VALUE"""),"Fit Hub Bogota")</f>
        <v>Fit Hub Bogota</v>
      </c>
      <c r="H3680" s="16">
        <f>IFERROR(__xludf.DUMMYFUNCTION("""COMPUTED_VALUE"""),12212.0)</f>
        <v>12212</v>
      </c>
      <c r="I3680" s="18">
        <f>IFERROR(__xludf.DUMMYFUNCTION("""COMPUTED_VALUE"""),18.0)</f>
        <v>18</v>
      </c>
      <c r="J3680" s="18">
        <f>IFERROR(__xludf.DUMMYFUNCTION("""COMPUTED_VALUE"""),22.0)</f>
        <v>22</v>
      </c>
      <c r="K3680" s="18">
        <f>IFERROR(__xludf.DUMMYFUNCTION("""COMPUTED_VALUE"""),25.0)</f>
        <v>25</v>
      </c>
      <c r="L3680" s="17">
        <f>IFERROR(__xludf.DUMMYFUNCTION("""COMPUTED_VALUE"""),3.015447307E9)</f>
        <v>3015447307</v>
      </c>
      <c r="M3680" s="17" t="str">
        <f>IFERROR(__xludf.DUMMYFUNCTION("""COMPUTED_VALUE"""),"#REF!")</f>
        <v>#REF!</v>
      </c>
      <c r="N3680" s="17"/>
      <c r="O3680" s="17"/>
      <c r="P3680" s="17" t="b">
        <f>IFERROR(__xludf.DUMMYFUNCTION("""COMPUTED_VALUE"""),FALSE)</f>
        <v>0</v>
      </c>
      <c r="Q3680" s="20" t="str">
        <f>IFERROR(__xludf.DUMMYFUNCTION("""COMPUTED_VALUE"""),"")</f>
        <v/>
      </c>
      <c r="R3680" s="21" t="str">
        <f>IFERROR(__xludf.DUMMYFUNCTION("""COMPUTED_VALUE"""),"https://drive.google.com/file/d/1reNvy8-S26eKfpwCVCxrr0NPC5fCHh6i/view?usp=drivesdk")</f>
        <v>https://drive.google.com/file/d/1reNvy8-S26eKfpwCVCxrr0NPC5fCHh6i/view?usp=drivesdk</v>
      </c>
    </row>
    <row r="3681">
      <c r="A3681" s="15">
        <f>IFERROR(__xludf.DUMMYFUNCTION("""COMPUTED_VALUE"""),45107.0)</f>
        <v>45107</v>
      </c>
      <c r="B3681" s="16" t="str">
        <f>IFERROR(__xludf.DUMMYFUNCTION("""COMPUTED_VALUE"""),"Jeison Rubiano")</f>
        <v>Jeison Rubiano</v>
      </c>
      <c r="C3681" s="15" t="str">
        <f>IFERROR(__xludf.DUMMYFUNCTION("""COMPUTED_VALUE"""),"BOGOTÁ")</f>
        <v>BOGOTÁ</v>
      </c>
      <c r="D3681" s="15" t="str">
        <f>IFERROR(__xludf.DUMMYFUNCTION("""COMPUTED_VALUE"""),"MEDELLÍN")</f>
        <v>MEDELLÍN</v>
      </c>
      <c r="E3681" s="15" t="str">
        <f>IFERROR(__xludf.DUMMYFUNCTION("""COMPUTED_VALUE"""),"Rambla")</f>
        <v>Rambla</v>
      </c>
      <c r="F3681" s="17" t="str">
        <f>IFERROR(__xludf.DUMMYFUNCTION("""COMPUTED_VALUE"""),"Cra 28 47 a 23 apto 701 edificio Barcelona. Barrio Belalcázar.Bogotá / na / na")</f>
        <v>Cra 28 47 a 23 apto 701 edificio Barcelona. Barrio Belalcázar.Bogotá / na / na</v>
      </c>
      <c r="G3681" s="15" t="str">
        <f>IFERROR(__xludf.DUMMYFUNCTION("""COMPUTED_VALUE"""),"Adriana Herrera")</f>
        <v>Adriana Herrera</v>
      </c>
      <c r="H3681" s="16">
        <f>IFERROR(__xludf.DUMMYFUNCTION("""COMPUTED_VALUE"""),12208.0)</f>
        <v>12208</v>
      </c>
      <c r="I3681" s="18">
        <f>IFERROR(__xludf.DUMMYFUNCTION("""COMPUTED_VALUE"""),18.0)</f>
        <v>18</v>
      </c>
      <c r="J3681" s="18">
        <f>IFERROR(__xludf.DUMMYFUNCTION("""COMPUTED_VALUE"""),22.0)</f>
        <v>22</v>
      </c>
      <c r="K3681" s="18">
        <f>IFERROR(__xludf.DUMMYFUNCTION("""COMPUTED_VALUE"""),25.0)</f>
        <v>25</v>
      </c>
      <c r="L3681" s="17">
        <f>IFERROR(__xludf.DUMMYFUNCTION("""COMPUTED_VALUE"""),3.115384111E9)</f>
        <v>3115384111</v>
      </c>
      <c r="M3681" s="17" t="str">
        <f>IFERROR(__xludf.DUMMYFUNCTION("""COMPUTED_VALUE"""),"#REF!")</f>
        <v>#REF!</v>
      </c>
      <c r="N3681" s="17"/>
      <c r="O3681" s="17"/>
      <c r="P3681" s="17" t="b">
        <f>IFERROR(__xludf.DUMMYFUNCTION("""COMPUTED_VALUE"""),FALSE)</f>
        <v>0</v>
      </c>
      <c r="Q3681" s="20" t="str">
        <f>IFERROR(__xludf.DUMMYFUNCTION("""COMPUTED_VALUE"""),"")</f>
        <v/>
      </c>
      <c r="R3681" s="21" t="str">
        <f>IFERROR(__xludf.DUMMYFUNCTION("""COMPUTED_VALUE"""),"https://drive.google.com/file/d/1NN3uHD3KkAnbn9bsdiwZ1jyISWE-z_71/view?usp=drivesdk")</f>
        <v>https://drive.google.com/file/d/1NN3uHD3KkAnbn9bsdiwZ1jyISWE-z_71/view?usp=drivesdk</v>
      </c>
    </row>
    <row r="3682">
      <c r="A3682" s="15">
        <f>IFERROR(__xludf.DUMMYFUNCTION("""COMPUTED_VALUE"""),45107.0)</f>
        <v>45107</v>
      </c>
      <c r="B3682" s="16" t="str">
        <f>IFERROR(__xludf.DUMMYFUNCTION("""COMPUTED_VALUE"""),"Jeison Rubiano")</f>
        <v>Jeison Rubiano</v>
      </c>
      <c r="C3682" s="15" t="str">
        <f>IFERROR(__xludf.DUMMYFUNCTION("""COMPUTED_VALUE"""),"POPAYAN")</f>
        <v>POPAYAN</v>
      </c>
      <c r="D3682" s="15" t="str">
        <f>IFERROR(__xludf.DUMMYFUNCTION("""COMPUTED_VALUE"""),"MEDELLÍN")</f>
        <v>MEDELLÍN</v>
      </c>
      <c r="E3682" s="15" t="str">
        <f>IFERROR(__xludf.DUMMYFUNCTION("""COMPUTED_VALUE"""),"Rambla")</f>
        <v>Rambla</v>
      </c>
      <c r="F3682" s="17" t="str">
        <f>IFERROR(__xludf.DUMMYFUNCTION("""COMPUTED_VALUE"""),"CARRERA 9 #18N-239 LOCAL 4 TERRAZAS DEL NORTE BARRIO CATAY / NA / NA")</f>
        <v>CARRERA 9 #18N-239 LOCAL 4 TERRAZAS DEL NORTE BARRIO CATAY / NA / NA</v>
      </c>
      <c r="G3682" s="15" t="str">
        <f>IFERROR(__xludf.DUMMYFUNCTION("""COMPUTED_VALUE"""),"VITA FIT")</f>
        <v>VITA FIT</v>
      </c>
      <c r="H3682" s="16">
        <f>IFERROR(__xludf.DUMMYFUNCTION("""COMPUTED_VALUE"""),12193.0)</f>
        <v>12193</v>
      </c>
      <c r="I3682" s="18">
        <f>IFERROR(__xludf.DUMMYFUNCTION("""COMPUTED_VALUE"""),23.0)</f>
        <v>23</v>
      </c>
      <c r="J3682" s="18">
        <f>IFERROR(__xludf.DUMMYFUNCTION("""COMPUTED_VALUE"""),30.0)</f>
        <v>30</v>
      </c>
      <c r="K3682" s="18">
        <f>IFERROR(__xludf.DUMMYFUNCTION("""COMPUTED_VALUE"""),26.0)</f>
        <v>26</v>
      </c>
      <c r="L3682" s="17">
        <f>IFERROR(__xludf.DUMMYFUNCTION("""COMPUTED_VALUE"""),3.103420337E9)</f>
        <v>3103420337</v>
      </c>
      <c r="M3682" s="17" t="str">
        <f>IFERROR(__xludf.DUMMYFUNCTION("""COMPUTED_VALUE"""),"#REF!")</f>
        <v>#REF!</v>
      </c>
      <c r="N3682" s="17"/>
      <c r="O3682" s="17"/>
      <c r="P3682" s="17" t="b">
        <f>IFERROR(__xludf.DUMMYFUNCTION("""COMPUTED_VALUE"""),FALSE)</f>
        <v>0</v>
      </c>
      <c r="Q3682" s="20" t="str">
        <f>IFERROR(__xludf.DUMMYFUNCTION("""COMPUTED_VALUE"""),"")</f>
        <v/>
      </c>
      <c r="R3682" s="22" t="str">
        <f>IFERROR(__xludf.DUMMYFUNCTION("""COMPUTED_VALUE"""),"")</f>
        <v/>
      </c>
    </row>
    <row r="3683">
      <c r="A3683" s="15">
        <f>IFERROR(__xludf.DUMMYFUNCTION("""COMPUTED_VALUE"""),45107.0)</f>
        <v>45107</v>
      </c>
      <c r="B3683" s="16" t="str">
        <f>IFERROR(__xludf.DUMMYFUNCTION("""COMPUTED_VALUE"""),"Jeison Rubiano")</f>
        <v>Jeison Rubiano</v>
      </c>
      <c r="C3683" s="15" t="str">
        <f>IFERROR(__xludf.DUMMYFUNCTION("""COMPUTED_VALUE"""),"POPAYAN")</f>
        <v>POPAYAN</v>
      </c>
      <c r="D3683" s="15" t="str">
        <f>IFERROR(__xludf.DUMMYFUNCTION("""COMPUTED_VALUE"""),"MEDELLÍN")</f>
        <v>MEDELLÍN</v>
      </c>
      <c r="E3683" s="15" t="str">
        <f>IFERROR(__xludf.DUMMYFUNCTION("""COMPUTED_VALUE"""),"Rambla")</f>
        <v>Rambla</v>
      </c>
      <c r="F3683" s="17" t="str">
        <f>IFERROR(__xludf.DUMMYFUNCTION("""COMPUTED_VALUE"""),"carrera 9 n 31n-93 barrio campobello / frente a torre molinos / na")</f>
        <v>carrera 9 n 31n-93 barrio campobello / frente a torre molinos / na</v>
      </c>
      <c r="G3683" s="15" t="str">
        <f>IFERROR(__xludf.DUMMYFUNCTION("""COMPUTED_VALUE"""),"grupo walta")</f>
        <v>grupo walta</v>
      </c>
      <c r="H3683" s="16">
        <f>IFERROR(__xludf.DUMMYFUNCTION("""COMPUTED_VALUE"""),12189.0)</f>
        <v>12189</v>
      </c>
      <c r="I3683" s="18">
        <f>IFERROR(__xludf.DUMMYFUNCTION("""COMPUTED_VALUE"""),29.0)</f>
        <v>29</v>
      </c>
      <c r="J3683" s="18">
        <f>IFERROR(__xludf.DUMMYFUNCTION("""COMPUTED_VALUE"""),30.0)</f>
        <v>30</v>
      </c>
      <c r="K3683" s="18">
        <f>IFERROR(__xludf.DUMMYFUNCTION("""COMPUTED_VALUE"""),29.0)</f>
        <v>29</v>
      </c>
      <c r="L3683" s="17">
        <f>IFERROR(__xludf.DUMMYFUNCTION("""COMPUTED_VALUE"""),3.003475099E9)</f>
        <v>3003475099</v>
      </c>
      <c r="M3683" s="17" t="str">
        <f>IFERROR(__xludf.DUMMYFUNCTION("""COMPUTED_VALUE"""),"#REF!")</f>
        <v>#REF!</v>
      </c>
      <c r="N3683" s="17"/>
      <c r="O3683" s="17"/>
      <c r="P3683" s="17" t="b">
        <f>IFERROR(__xludf.DUMMYFUNCTION("""COMPUTED_VALUE"""),FALSE)</f>
        <v>0</v>
      </c>
      <c r="Q3683" s="20" t="str">
        <f>IFERROR(__xludf.DUMMYFUNCTION("""COMPUTED_VALUE"""),"")</f>
        <v/>
      </c>
      <c r="R3683" s="22" t="str">
        <f>IFERROR(__xludf.DUMMYFUNCTION("""COMPUTED_VALUE"""),"")</f>
        <v/>
      </c>
    </row>
    <row r="3684">
      <c r="A3684" s="17" t="str">
        <f>IFERROR(__xludf.DUMMYFUNCTION("""COMPUTED_VALUE"""),"")</f>
        <v/>
      </c>
      <c r="B3684" s="17" t="str">
        <f>IFERROR(__xludf.DUMMYFUNCTION("""COMPUTED_VALUE"""),"")</f>
        <v/>
      </c>
      <c r="C3684" s="17" t="str">
        <f>IFERROR(__xludf.DUMMYFUNCTION("""COMPUTED_VALUE"""),"")</f>
        <v/>
      </c>
      <c r="D3684" s="17" t="str">
        <f>IFERROR(__xludf.DUMMYFUNCTION("""COMPUTED_VALUE"""),"")</f>
        <v/>
      </c>
      <c r="E3684" s="17" t="str">
        <f>IFERROR(__xludf.DUMMYFUNCTION("""COMPUTED_VALUE"""),"")</f>
        <v/>
      </c>
      <c r="F3684" s="17" t="str">
        <f>IFERROR(__xludf.DUMMYFUNCTION("""COMPUTED_VALUE"""),"")</f>
        <v/>
      </c>
      <c r="G3684" s="17" t="str">
        <f>IFERROR(__xludf.DUMMYFUNCTION("""COMPUTED_VALUE"""),"")</f>
        <v/>
      </c>
      <c r="H3684" s="17" t="str">
        <f>IFERROR(__xludf.DUMMYFUNCTION("""COMPUTED_VALUE"""),"")</f>
        <v/>
      </c>
      <c r="I3684" s="17" t="str">
        <f>IFERROR(__xludf.DUMMYFUNCTION("""COMPUTED_VALUE"""),"")</f>
        <v/>
      </c>
      <c r="J3684" s="17" t="str">
        <f>IFERROR(__xludf.DUMMYFUNCTION("""COMPUTED_VALUE"""),"")</f>
        <v/>
      </c>
      <c r="K3684" s="17" t="str">
        <f>IFERROR(__xludf.DUMMYFUNCTION("""COMPUTED_VALUE"""),"")</f>
        <v/>
      </c>
      <c r="L3684" s="17" t="str">
        <f>IFERROR(__xludf.DUMMYFUNCTION("""COMPUTED_VALUE"""),"")</f>
        <v/>
      </c>
      <c r="M3684" s="17" t="str">
        <f>IFERROR(__xludf.DUMMYFUNCTION("""COMPUTED_VALUE"""),"")</f>
        <v/>
      </c>
      <c r="N3684" s="17" t="str">
        <f>IFERROR(__xludf.DUMMYFUNCTION("""COMPUTED_VALUE"""),"")</f>
        <v/>
      </c>
      <c r="O3684" s="17" t="str">
        <f>IFERROR(__xludf.DUMMYFUNCTION("""COMPUTED_VALUE"""),"")</f>
        <v/>
      </c>
      <c r="P3684" s="17" t="str">
        <f>IFERROR(__xludf.DUMMYFUNCTION("""COMPUTED_VALUE"""),"")</f>
        <v/>
      </c>
      <c r="Q3684" s="17" t="str">
        <f>IFERROR(__xludf.DUMMYFUNCTION("""COMPUTED_VALUE"""),"")</f>
        <v/>
      </c>
      <c r="R3684" s="17" t="str">
        <f>IFERROR(__xludf.DUMMYFUNCTION("""COMPUTED_VALUE"""),"")</f>
        <v/>
      </c>
    </row>
    <row r="3685">
      <c r="A3685" s="15">
        <f>IFERROR(__xludf.DUMMYFUNCTION("""COMPUTED_VALUE"""),45107.0)</f>
        <v>45107</v>
      </c>
      <c r="B3685" s="16" t="str">
        <f>IFERROR(__xludf.DUMMYFUNCTION("""COMPUTED_VALUE"""),"Lina Gaona")</f>
        <v>Lina Gaona</v>
      </c>
      <c r="C3685" s="15" t="str">
        <f>IFERROR(__xludf.DUMMYFUNCTION("""COMPUTED_VALUE"""),"CÚCUTA")</f>
        <v>CÚCUTA</v>
      </c>
      <c r="D3685" s="15" t="str">
        <f>IFERROR(__xludf.DUMMYFUNCTION("""COMPUTED_VALUE"""),"BOGOTÁ")</f>
        <v>BOGOTÁ</v>
      </c>
      <c r="E3685" s="15" t="str">
        <f>IFERROR(__xludf.DUMMYFUNCTION("""COMPUTED_VALUE"""),"Asociacion Agropecuaria Juana Maria")</f>
        <v>Asociacion Agropecuaria Juana Maria</v>
      </c>
      <c r="F3685" s="17" t="str">
        <f>IFERROR(__xludf.DUMMYFUNCTION("""COMPUTED_VALUE"""),"AV. 2E # 15 A -17   PISTACHO FIT MARKET BARRIO CAOBOS")</f>
        <v>AV. 2E # 15 A -17   PISTACHO FIT MARKET BARRIO CAOBOS</v>
      </c>
      <c r="G3685" s="15" t="str">
        <f>IFERROR(__xludf.DUMMYFUNCTION("""COMPUTED_VALUE"""),"DACCY KARINA LOPEZ")</f>
        <v>DACCY KARINA LOPEZ</v>
      </c>
      <c r="H3685" s="16">
        <f>IFERROR(__xludf.DUMMYFUNCTION("""COMPUTED_VALUE"""),12018.0)</f>
        <v>12018</v>
      </c>
      <c r="I3685" s="18">
        <f>IFERROR(__xludf.DUMMYFUNCTION("""COMPUTED_VALUE"""),21.0)</f>
        <v>21</v>
      </c>
      <c r="J3685" s="18">
        <f>IFERROR(__xludf.DUMMYFUNCTION("""COMPUTED_VALUE"""),37.0)</f>
        <v>37</v>
      </c>
      <c r="K3685" s="18">
        <f>IFERROR(__xludf.DUMMYFUNCTION("""COMPUTED_VALUE"""),30.0)</f>
        <v>30</v>
      </c>
      <c r="L3685" s="17">
        <f>IFERROR(__xludf.DUMMYFUNCTION("""COMPUTED_VALUE"""),3.208615379E9)</f>
        <v>3208615379</v>
      </c>
      <c r="M3685" s="17" t="str">
        <f>IFERROR(__xludf.DUMMYFUNCTION("""COMPUTED_VALUE"""),"#REF!")</f>
        <v>#REF!</v>
      </c>
      <c r="N3685" s="17"/>
      <c r="O3685" s="17"/>
      <c r="P3685" s="17" t="b">
        <f>IFERROR(__xludf.DUMMYFUNCTION("""COMPUTED_VALUE"""),FALSE)</f>
        <v>0</v>
      </c>
      <c r="Q3685" s="20" t="str">
        <f>IFERROR(__xludf.DUMMYFUNCTION("""COMPUTED_VALUE"""),"")</f>
        <v/>
      </c>
      <c r="R3685" s="21" t="str">
        <f>IFERROR(__xludf.DUMMYFUNCTION("""COMPUTED_VALUE"""),"https://drive.google.com/file/d/1TeCgfnVOKR9QLGHjOwhPjODYnHlxPm-F/view?usp=drivesdk")</f>
        <v>https://drive.google.com/file/d/1TeCgfnVOKR9QLGHjOwhPjODYnHlxPm-F/view?usp=drivesdk</v>
      </c>
    </row>
    <row r="3686">
      <c r="A3686" s="15">
        <f>IFERROR(__xludf.DUMMYFUNCTION("""COMPUTED_VALUE"""),45107.0)</f>
        <v>45107</v>
      </c>
      <c r="B3686" s="16" t="str">
        <f>IFERROR(__xludf.DUMMYFUNCTION("""COMPUTED_VALUE"""),"Lina Gaona")</f>
        <v>Lina Gaona</v>
      </c>
      <c r="C3686" s="15" t="str">
        <f>IFERROR(__xludf.DUMMYFUNCTION("""COMPUTED_VALUE"""),"CÚCUTA")</f>
        <v>CÚCUTA</v>
      </c>
      <c r="D3686" s="15" t="str">
        <f>IFERROR(__xludf.DUMMYFUNCTION("""COMPUTED_VALUE"""),"BOGOTÁ")</f>
        <v>BOGOTÁ</v>
      </c>
      <c r="E3686" s="15" t="str">
        <f>IFERROR(__xludf.DUMMYFUNCTION("""COMPUTED_VALUE"""),"Evamazzita")</f>
        <v>Evamazzita</v>
      </c>
      <c r="F3686" s="17" t="str">
        <f>IFERROR(__xludf.DUMMYFUNCTION("""COMPUTED_VALUE"""),"Av 2E # 15A -17 Caobos / Av 2E # 15A -17 Caobos / Av 2E # 15A -17 Caobos")</f>
        <v>Av 2E # 15A -17 Caobos / Av 2E # 15A -17 Caobos / Av 2E # 15A -17 Caobos</v>
      </c>
      <c r="G3686" s="15" t="str">
        <f>IFERROR(__xludf.DUMMYFUNCTION("""COMPUTED_VALUE"""),"DACCY KARINA LOPEZ MORENO")</f>
        <v>DACCY KARINA LOPEZ MORENO</v>
      </c>
      <c r="H3686" s="16">
        <f>IFERROR(__xludf.DUMMYFUNCTION("""COMPUTED_VALUE"""),12179.0)</f>
        <v>12179</v>
      </c>
      <c r="I3686" s="18">
        <f>IFERROR(__xludf.DUMMYFUNCTION("""COMPUTED_VALUE"""),12.0)</f>
        <v>12</v>
      </c>
      <c r="J3686" s="18">
        <f>IFERROR(__xludf.DUMMYFUNCTION("""COMPUTED_VALUE"""),32.0)</f>
        <v>32</v>
      </c>
      <c r="K3686" s="18">
        <f>IFERROR(__xludf.DUMMYFUNCTION("""COMPUTED_VALUE"""),28.0)</f>
        <v>28</v>
      </c>
      <c r="L3686" s="17">
        <f>IFERROR(__xludf.DUMMYFUNCTION("""COMPUTED_VALUE"""),3.208615379E9)</f>
        <v>3208615379</v>
      </c>
      <c r="M3686" s="17" t="str">
        <f>IFERROR(__xludf.DUMMYFUNCTION("""COMPUTED_VALUE"""),"#REF!")</f>
        <v>#REF!</v>
      </c>
      <c r="N3686" s="17"/>
      <c r="O3686" s="17"/>
      <c r="P3686" s="17" t="b">
        <f>IFERROR(__xludf.DUMMYFUNCTION("""COMPUTED_VALUE"""),FALSE)</f>
        <v>0</v>
      </c>
      <c r="Q3686" s="20" t="str">
        <f>IFERROR(__xludf.DUMMYFUNCTION("""COMPUTED_VALUE"""),"")</f>
        <v/>
      </c>
      <c r="R3686" s="21" t="str">
        <f>IFERROR(__xludf.DUMMYFUNCTION("""COMPUTED_VALUE"""),"https://drive.google.com/file/d/12gx2khtYN0cxGVtz8BCrYmJdHBvxnUYL/view?usp=drivesdk")</f>
        <v>https://drive.google.com/file/d/12gx2khtYN0cxGVtz8BCrYmJdHBvxnUYL/view?usp=drivesdk</v>
      </c>
    </row>
    <row r="3687">
      <c r="A3687" s="15">
        <f>IFERROR(__xludf.DUMMYFUNCTION("""COMPUTED_VALUE"""),45107.0)</f>
        <v>45107</v>
      </c>
      <c r="B3687" s="16" t="str">
        <f>IFERROR(__xludf.DUMMYFUNCTION("""COMPUTED_VALUE"""),"Lina Gaona")</f>
        <v>Lina Gaona</v>
      </c>
      <c r="C3687" s="15" t="str">
        <f>IFERROR(__xludf.DUMMYFUNCTION("""COMPUTED_VALUE"""),"CÚCUTA")</f>
        <v>CÚCUTA</v>
      </c>
      <c r="D3687" s="15" t="str">
        <f>IFERROR(__xludf.DUMMYFUNCTION("""COMPUTED_VALUE"""),"BOGOTÁ")</f>
        <v>BOGOTÁ</v>
      </c>
      <c r="E3687" s="15" t="str">
        <f>IFERROR(__xludf.DUMMYFUNCTION("""COMPUTED_VALUE"""),"Evamazzita")</f>
        <v>Evamazzita</v>
      </c>
      <c r="F3687" s="17" t="str">
        <f>IFERROR(__xludf.DUMMYFUNCTION("""COMPUTED_VALUE"""),"AV 8 No. 9 - 185  / PRADOS DEL ESTE CONJUNTO CERRADO CASA B7  / N/A")</f>
        <v>AV 8 No. 9 - 185  / PRADOS DEL ESTE CONJUNTO CERRADO CASA B7  / N/A</v>
      </c>
      <c r="G3687" s="15" t="str">
        <f>IFERROR(__xludf.DUMMYFUNCTION("""COMPUTED_VALUE"""),"SANDRA PAOLA MONTIEL PEÑA")</f>
        <v>SANDRA PAOLA MONTIEL PEÑA</v>
      </c>
      <c r="H3687" s="16">
        <f>IFERROR(__xludf.DUMMYFUNCTION("""COMPUTED_VALUE"""),12172.0)</f>
        <v>12172</v>
      </c>
      <c r="I3687" s="18">
        <f>IFERROR(__xludf.DUMMYFUNCTION("""COMPUTED_VALUE"""),1.0)</f>
        <v>1</v>
      </c>
      <c r="J3687" s="18">
        <f>IFERROR(__xludf.DUMMYFUNCTION("""COMPUTED_VALUE"""),1.0)</f>
        <v>1</v>
      </c>
      <c r="K3687" s="18">
        <f>IFERROR(__xludf.DUMMYFUNCTION("""COMPUTED_VALUE"""),1.0)</f>
        <v>1</v>
      </c>
      <c r="L3687" s="17">
        <f>IFERROR(__xludf.DUMMYFUNCTION("""COMPUTED_VALUE"""),3.156864936E9)</f>
        <v>3156864936</v>
      </c>
      <c r="M3687" s="17" t="str">
        <f>IFERROR(__xludf.DUMMYFUNCTION("""COMPUTED_VALUE"""),"#REF!")</f>
        <v>#REF!</v>
      </c>
      <c r="N3687" s="17"/>
      <c r="O3687" s="17"/>
      <c r="P3687" s="17" t="b">
        <f>IFERROR(__xludf.DUMMYFUNCTION("""COMPUTED_VALUE"""),FALSE)</f>
        <v>0</v>
      </c>
      <c r="Q3687" s="20" t="str">
        <f>IFERROR(__xludf.DUMMYFUNCTION("""COMPUTED_VALUE"""),"")</f>
        <v/>
      </c>
      <c r="R3687" s="21" t="str">
        <f>IFERROR(__xludf.DUMMYFUNCTION("""COMPUTED_VALUE"""),"https://drive.google.com/file/d/1Vo1esW-qs0y3C2FiZSpGpkbk9YpVvb1R/view?usp=drivesdk")</f>
        <v>https://drive.google.com/file/d/1Vo1esW-qs0y3C2FiZSpGpkbk9YpVvb1R/view?usp=drivesdk</v>
      </c>
    </row>
    <row r="3688">
      <c r="A3688" s="15">
        <f>IFERROR(__xludf.DUMMYFUNCTION("""COMPUTED_VALUE"""),45107.0)</f>
        <v>45107</v>
      </c>
      <c r="B3688" s="16" t="str">
        <f>IFERROR(__xludf.DUMMYFUNCTION("""COMPUTED_VALUE"""),"Lina Gaona")</f>
        <v>Lina Gaona</v>
      </c>
      <c r="C3688" s="15" t="str">
        <f>IFERROR(__xludf.DUMMYFUNCTION("""COMPUTED_VALUE"""),"CÚCUTA")</f>
        <v>CÚCUTA</v>
      </c>
      <c r="D3688" s="15" t="str">
        <f>IFERROR(__xludf.DUMMYFUNCTION("""COMPUTED_VALUE"""),"BOGOTÁ")</f>
        <v>BOGOTÁ</v>
      </c>
      <c r="E3688" s="15" t="str">
        <f>IFERROR(__xludf.DUMMYFUNCTION("""COMPUTED_VALUE"""),"Evamazzita")</f>
        <v>Evamazzita</v>
      </c>
      <c r="F3688" s="17" t="str">
        <f>IFERROR(__xludf.DUMMYFUNCTION("""COMPUTED_VALUE"""),"Avenida 8 # 11-46  / edificio Ventus torre 6 apto 503  / Barrio: Prados del este""")</f>
        <v>Avenida 8 # 11-46  / edificio Ventus torre 6 apto 503  / Barrio: Prados del este"</v>
      </c>
      <c r="G3688" s="15" t="str">
        <f>IFERROR(__xludf.DUMMYFUNCTION("""COMPUTED_VALUE"""),"PAOLA ESTHER OLIVARES PARADA")</f>
        <v>PAOLA ESTHER OLIVARES PARADA</v>
      </c>
      <c r="H3688" s="16">
        <f>IFERROR(__xludf.DUMMYFUNCTION("""COMPUTED_VALUE"""),12171.0)</f>
        <v>12171</v>
      </c>
      <c r="I3688" s="18">
        <f>IFERROR(__xludf.DUMMYFUNCTION("""COMPUTED_VALUE"""),1.0)</f>
        <v>1</v>
      </c>
      <c r="J3688" s="18">
        <f>IFERROR(__xludf.DUMMYFUNCTION("""COMPUTED_VALUE"""),1.0)</f>
        <v>1</v>
      </c>
      <c r="K3688" s="18">
        <f>IFERROR(__xludf.DUMMYFUNCTION("""COMPUTED_VALUE"""),1.0)</f>
        <v>1</v>
      </c>
      <c r="L3688" s="17">
        <f>IFERROR(__xludf.DUMMYFUNCTION("""COMPUTED_VALUE"""),3.214803835E9)</f>
        <v>3214803835</v>
      </c>
      <c r="M3688" s="17" t="str">
        <f>IFERROR(__xludf.DUMMYFUNCTION("""COMPUTED_VALUE"""),"#REF!")</f>
        <v>#REF!</v>
      </c>
      <c r="N3688" s="17"/>
      <c r="O3688" s="17"/>
      <c r="P3688" s="17" t="b">
        <f>IFERROR(__xludf.DUMMYFUNCTION("""COMPUTED_VALUE"""),FALSE)</f>
        <v>0</v>
      </c>
      <c r="Q3688" s="20" t="str">
        <f>IFERROR(__xludf.DUMMYFUNCTION("""COMPUTED_VALUE"""),"")</f>
        <v/>
      </c>
      <c r="R3688" s="21" t="str">
        <f>IFERROR(__xludf.DUMMYFUNCTION("""COMPUTED_VALUE"""),"https://drive.google.com/file/d/1hPLOLeiucrGrv9WW8aKrZafeTFEMNZpj/view?usp=drivesdk")</f>
        <v>https://drive.google.com/file/d/1hPLOLeiucrGrv9WW8aKrZafeTFEMNZpj/view?usp=drivesdk</v>
      </c>
    </row>
    <row r="3689">
      <c r="A3689" s="15">
        <f>IFERROR(__xludf.DUMMYFUNCTION("""COMPUTED_VALUE"""),45107.0)</f>
        <v>45107</v>
      </c>
      <c r="B3689" s="16" t="str">
        <f>IFERROR(__xludf.DUMMYFUNCTION("""COMPUTED_VALUE"""),"Lina Gaona")</f>
        <v>Lina Gaona</v>
      </c>
      <c r="C3689" s="15" t="str">
        <f>IFERROR(__xludf.DUMMYFUNCTION("""COMPUTED_VALUE"""),"CÚCUTA")</f>
        <v>CÚCUTA</v>
      </c>
      <c r="D3689" s="15" t="str">
        <f>IFERROR(__xludf.DUMMYFUNCTION("""COMPUTED_VALUE"""),"BOGOTÁ")</f>
        <v>BOGOTÁ</v>
      </c>
      <c r="E3689" s="15" t="str">
        <f>IFERROR(__xludf.DUMMYFUNCTION("""COMPUTED_VALUE"""),"Pan de Waffle")</f>
        <v>Pan de Waffle</v>
      </c>
      <c r="F3689" s="17" t="str">
        <f>IFERROR(__xludf.DUMMYFUNCTION("""COMPUTED_VALUE"""),"Av. 11e # 1 - 35 Av. Guaimaral Barrio Quinta Oriental Local 3 / Av. 11e # 1 - 35 Av. Guaimaral Barrio Quinta Oriental Local 3 / Av. 11e # 1 - 35 Av. Guaimaral Barrio Quinta Oriental Local 3")</f>
        <v>Av. 11e # 1 - 35 Av. Guaimaral Barrio Quinta Oriental Local 3 / Av. 11e # 1 - 35 Av. Guaimaral Barrio Quinta Oriental Local 3 / Av. 11e # 1 - 35 Av. Guaimaral Barrio Quinta Oriental Local 3</v>
      </c>
      <c r="G3689" s="15" t="str">
        <f>IFERROR(__xludf.DUMMYFUNCTION("""COMPUTED_VALUE"""),"VITALFIT - CUCUTA")</f>
        <v>VITALFIT - CUCUTA</v>
      </c>
      <c r="H3689" s="16">
        <f>IFERROR(__xludf.DUMMYFUNCTION("""COMPUTED_VALUE"""),12133.0)</f>
        <v>12133</v>
      </c>
      <c r="I3689" s="18">
        <f>IFERROR(__xludf.DUMMYFUNCTION("""COMPUTED_VALUE"""),30.0)</f>
        <v>30</v>
      </c>
      <c r="J3689" s="18">
        <f>IFERROR(__xludf.DUMMYFUNCTION("""COMPUTED_VALUE"""),30.0)</f>
        <v>30</v>
      </c>
      <c r="K3689" s="18">
        <f>IFERROR(__xludf.DUMMYFUNCTION("""COMPUTED_VALUE"""),40.0)</f>
        <v>40</v>
      </c>
      <c r="L3689" s="17">
        <f>IFERROR(__xludf.DUMMYFUNCTION("""COMPUTED_VALUE"""),3.01782078E9)</f>
        <v>3017820780</v>
      </c>
      <c r="M3689" s="17" t="str">
        <f>IFERROR(__xludf.DUMMYFUNCTION("""COMPUTED_VALUE"""),"#REF!")</f>
        <v>#REF!</v>
      </c>
      <c r="N3689" s="17"/>
      <c r="O3689" s="17"/>
      <c r="P3689" s="17" t="b">
        <f>IFERROR(__xludf.DUMMYFUNCTION("""COMPUTED_VALUE"""),FALSE)</f>
        <v>0</v>
      </c>
      <c r="Q3689" s="20" t="str">
        <f>IFERROR(__xludf.DUMMYFUNCTION("""COMPUTED_VALUE"""),"")</f>
        <v/>
      </c>
      <c r="R3689" s="21" t="str">
        <f>IFERROR(__xludf.DUMMYFUNCTION("""COMPUTED_VALUE"""),"https://drive.google.com/file/d/1ZGgpfjT5_tRh6CxYMTH3D-rMTmujKJWx/view?usp=drivesdk")</f>
        <v>https://drive.google.com/file/d/1ZGgpfjT5_tRh6CxYMTH3D-rMTmujKJWx/view?usp=drivesdk</v>
      </c>
    </row>
    <row r="3690">
      <c r="A3690" s="15">
        <f>IFERROR(__xludf.DUMMYFUNCTION("""COMPUTED_VALUE"""),45107.0)</f>
        <v>45107</v>
      </c>
      <c r="B3690" s="16" t="str">
        <f>IFERROR(__xludf.DUMMYFUNCTION("""COMPUTED_VALUE"""),"Lina Gaona")</f>
        <v>Lina Gaona</v>
      </c>
      <c r="C3690" s="15" t="str">
        <f>IFERROR(__xludf.DUMMYFUNCTION("""COMPUTED_VALUE"""),"CÚCUTA")</f>
        <v>CÚCUTA</v>
      </c>
      <c r="D3690" s="15" t="str">
        <f>IFERROR(__xludf.DUMMYFUNCTION("""COMPUTED_VALUE"""),"BOGOTÁ")</f>
        <v>BOGOTÁ</v>
      </c>
      <c r="E3690" s="15" t="str">
        <f>IFERROR(__xludf.DUMMYFUNCTION("""COMPUTED_VALUE"""),"Pan de Waffle")</f>
        <v>Pan de Waffle</v>
      </c>
      <c r="F3690" s="17" t="str">
        <f>IFERROR(__xludf.DUMMYFUNCTION("""COMPUTED_VALUE"""),"Avenida 3e # 6cn - 12 Ceiba 2 / Avenida 3e # 6cn - 12 Ceiba 2 / Avenida 3e # 6cn - 12 Ceiba 2")</f>
        <v>Avenida 3e # 6cn - 12 Ceiba 2 / Avenida 3e # 6cn - 12 Ceiba 2 / Avenida 3e # 6cn - 12 Ceiba 2</v>
      </c>
      <c r="G3690" s="15" t="str">
        <f>IFERROR(__xludf.DUMMYFUNCTION("""COMPUTED_VALUE"""),"La Bodeguita Market Fit La Floresta")</f>
        <v>La Bodeguita Market Fit La Floresta</v>
      </c>
      <c r="H3690" s="16">
        <f>IFERROR(__xludf.DUMMYFUNCTION("""COMPUTED_VALUE"""),12132.0)</f>
        <v>12132</v>
      </c>
      <c r="I3690" s="18">
        <f>IFERROR(__xludf.DUMMYFUNCTION("""COMPUTED_VALUE"""),30.0)</f>
        <v>30</v>
      </c>
      <c r="J3690" s="18">
        <f>IFERROR(__xludf.DUMMYFUNCTION("""COMPUTED_VALUE"""),30.0)</f>
        <v>30</v>
      </c>
      <c r="K3690" s="18">
        <f>IFERROR(__xludf.DUMMYFUNCTION("""COMPUTED_VALUE"""),40.0)</f>
        <v>40</v>
      </c>
      <c r="L3690" s="17">
        <f>IFERROR(__xludf.DUMMYFUNCTION("""COMPUTED_VALUE"""),3.00384312E9)</f>
        <v>3003843120</v>
      </c>
      <c r="M3690" s="17" t="str">
        <f>IFERROR(__xludf.DUMMYFUNCTION("""COMPUTED_VALUE"""),"#REF!")</f>
        <v>#REF!</v>
      </c>
      <c r="N3690" s="17"/>
      <c r="O3690" s="17"/>
      <c r="P3690" s="17" t="b">
        <f>IFERROR(__xludf.DUMMYFUNCTION("""COMPUTED_VALUE"""),FALSE)</f>
        <v>0</v>
      </c>
      <c r="Q3690" s="20" t="str">
        <f>IFERROR(__xludf.DUMMYFUNCTION("""COMPUTED_VALUE"""),"")</f>
        <v/>
      </c>
      <c r="R3690" s="21" t="str">
        <f>IFERROR(__xludf.DUMMYFUNCTION("""COMPUTED_VALUE"""),"https://drive.google.com/file/d/1ej9Wbat1l1-N2HmN695NhEFLrXSlbDGB/view?usp=drivesdk")</f>
        <v>https://drive.google.com/file/d/1ej9Wbat1l1-N2HmN695NhEFLrXSlbDGB/view?usp=drivesdk</v>
      </c>
    </row>
    <row r="3691">
      <c r="A3691" s="15">
        <f>IFERROR(__xludf.DUMMYFUNCTION("""COMPUTED_VALUE"""),45107.0)</f>
        <v>45107</v>
      </c>
      <c r="B3691" s="16" t="str">
        <f>IFERROR(__xludf.DUMMYFUNCTION("""COMPUTED_VALUE"""),"Lina Gaona")</f>
        <v>Lina Gaona</v>
      </c>
      <c r="C3691" s="15" t="str">
        <f>IFERROR(__xludf.DUMMYFUNCTION("""COMPUTED_VALUE"""),"CÚCUTA")</f>
        <v>CÚCUTA</v>
      </c>
      <c r="D3691" s="15" t="str">
        <f>IFERROR(__xludf.DUMMYFUNCTION("""COMPUTED_VALUE"""),"BOGOTÁ")</f>
        <v>BOGOTÁ</v>
      </c>
      <c r="E3691" s="15" t="str">
        <f>IFERROR(__xludf.DUMMYFUNCTION("""COMPUTED_VALUE"""),"Pulpa Rocoto")</f>
        <v>Pulpa Rocoto</v>
      </c>
      <c r="F3691" s="17" t="str">
        <f>IFERROR(__xludf.DUMMYFUNCTION("""COMPUTED_VALUE"""),"Centro comercial pinar del rio local 2  / Local 2 / Municipio los patios")</f>
        <v>Centro comercial pinar del rio local 2  / Local 2 / Municipio los patios</v>
      </c>
      <c r="G3691" s="15" t="str">
        <f>IFERROR(__xludf.DUMMYFUNCTION("""COMPUTED_VALUE"""),"Juan Carlos Piñeros")</f>
        <v>Juan Carlos Piñeros</v>
      </c>
      <c r="H3691" s="16">
        <f>IFERROR(__xludf.DUMMYFUNCTION("""COMPUTED_VALUE"""),12150.0)</f>
        <v>12150</v>
      </c>
      <c r="I3691" s="18">
        <f>IFERROR(__xludf.DUMMYFUNCTION("""COMPUTED_VALUE"""),15.0)</f>
        <v>15</v>
      </c>
      <c r="J3691" s="18">
        <f>IFERROR(__xludf.DUMMYFUNCTION("""COMPUTED_VALUE"""),30.0)</f>
        <v>30</v>
      </c>
      <c r="K3691" s="18">
        <f>IFERROR(__xludf.DUMMYFUNCTION("""COMPUTED_VALUE"""),52.0)</f>
        <v>52</v>
      </c>
      <c r="L3691" s="17">
        <f>IFERROR(__xludf.DUMMYFUNCTION("""COMPUTED_VALUE"""),3.106091951E9)</f>
        <v>3106091951</v>
      </c>
      <c r="M3691" s="17" t="str">
        <f>IFERROR(__xludf.DUMMYFUNCTION("""COMPUTED_VALUE"""),"#REF!")</f>
        <v>#REF!</v>
      </c>
      <c r="N3691" s="17"/>
      <c r="O3691" s="17"/>
      <c r="P3691" s="17" t="b">
        <f>IFERROR(__xludf.DUMMYFUNCTION("""COMPUTED_VALUE"""),FALSE)</f>
        <v>0</v>
      </c>
      <c r="Q3691" s="20" t="str">
        <f>IFERROR(__xludf.DUMMYFUNCTION("""COMPUTED_VALUE"""),"")</f>
        <v/>
      </c>
      <c r="R3691" s="21" t="str">
        <f>IFERROR(__xludf.DUMMYFUNCTION("""COMPUTED_VALUE"""),"https://drive.google.com/file/d/1MWjcry6omD-WwsQYVm_rg6MlBHNk-1GE/view?usp=drivesdk")</f>
        <v>https://drive.google.com/file/d/1MWjcry6omD-WwsQYVm_rg6MlBHNk-1GE/view?usp=drivesdk</v>
      </c>
    </row>
    <row r="3692">
      <c r="A3692" s="15">
        <f>IFERROR(__xludf.DUMMYFUNCTION("""COMPUTED_VALUE"""),45107.0)</f>
        <v>45107</v>
      </c>
      <c r="B3692" s="16" t="str">
        <f>IFERROR(__xludf.DUMMYFUNCTION("""COMPUTED_VALUE"""),"Lina Gaona")</f>
        <v>Lina Gaona</v>
      </c>
      <c r="C3692" s="15" t="str">
        <f>IFERROR(__xludf.DUMMYFUNCTION("""COMPUTED_VALUE"""),"CÚCUTA")</f>
        <v>CÚCUTA</v>
      </c>
      <c r="D3692" s="15" t="str">
        <f>IFERROR(__xludf.DUMMYFUNCTION("""COMPUTED_VALUE"""),"MEDELLÍN")</f>
        <v>MEDELLÍN</v>
      </c>
      <c r="E3692" s="15" t="str">
        <f>IFERROR(__xludf.DUMMYFUNCTION("""COMPUTED_VALUE"""),"AREPAS LA MARY")</f>
        <v>AREPAS LA MARY</v>
      </c>
      <c r="F3692" s="17" t="str">
        <f>IFERROR(__xludf.DUMMYFUNCTION("""COMPUTED_VALUE"""),"Av18E 7N-54 apto503 / Edificio balcones de versalles")</f>
        <v>Av18E 7N-54 apto503 / Edificio balcones de versalles</v>
      </c>
      <c r="G3692" s="15" t="str">
        <f>IFERROR(__xludf.DUMMYFUNCTION("""COMPUTED_VALUE"""),"ROCIO MANOSALVA")</f>
        <v>ROCIO MANOSALVA</v>
      </c>
      <c r="H3692" s="16">
        <f>IFERROR(__xludf.DUMMYFUNCTION("""COMPUTED_VALUE"""),12086.0)</f>
        <v>12086</v>
      </c>
      <c r="I3692" s="18">
        <f>IFERROR(__xludf.DUMMYFUNCTION("""COMPUTED_VALUE"""),89.0)</f>
        <v>89</v>
      </c>
      <c r="J3692" s="18">
        <f>IFERROR(__xludf.DUMMYFUNCTION("""COMPUTED_VALUE"""),1.0)</f>
        <v>1</v>
      </c>
      <c r="K3692" s="18">
        <f>IFERROR(__xludf.DUMMYFUNCTION("""COMPUTED_VALUE"""),10.0)</f>
        <v>10</v>
      </c>
      <c r="L3692" s="17">
        <f>IFERROR(__xludf.DUMMYFUNCTION("""COMPUTED_VALUE"""),3.112422889E9)</f>
        <v>3112422889</v>
      </c>
      <c r="M3692" s="17" t="str">
        <f>IFERROR(__xludf.DUMMYFUNCTION("""COMPUTED_VALUE"""),"#REF!")</f>
        <v>#REF!</v>
      </c>
      <c r="N3692" s="17"/>
      <c r="O3692" s="17"/>
      <c r="P3692" s="17" t="b">
        <f>IFERROR(__xludf.DUMMYFUNCTION("""COMPUTED_VALUE"""),FALSE)</f>
        <v>0</v>
      </c>
      <c r="Q3692" s="20" t="str">
        <f>IFERROR(__xludf.DUMMYFUNCTION("""COMPUTED_VALUE"""),"")</f>
        <v/>
      </c>
      <c r="R3692" s="21" t="str">
        <f>IFERROR(__xludf.DUMMYFUNCTION("""COMPUTED_VALUE"""),"https://drive.google.com/file/d/1dPTH9_uNfJ5qaQblALGhbcgZWeZAmh83/view?usp=drivesdk")</f>
        <v>https://drive.google.com/file/d/1dPTH9_uNfJ5qaQblALGhbcgZWeZAmh83/view?usp=drivesdk</v>
      </c>
    </row>
    <row r="3693">
      <c r="A3693" s="15">
        <f>IFERROR(__xludf.DUMMYFUNCTION("""COMPUTED_VALUE"""),45107.0)</f>
        <v>45107</v>
      </c>
      <c r="B3693" s="16" t="str">
        <f>IFERROR(__xludf.DUMMYFUNCTION("""COMPUTED_VALUE"""),"Lina Gaona")</f>
        <v>Lina Gaona</v>
      </c>
      <c r="C3693" s="15" t="str">
        <f>IFERROR(__xludf.DUMMYFUNCTION("""COMPUTED_VALUE"""),"CÚCUTA")</f>
        <v>CÚCUTA</v>
      </c>
      <c r="D3693" s="15" t="str">
        <f>IFERROR(__xludf.DUMMYFUNCTION("""COMPUTED_VALUE"""),"MEDELLÍN")</f>
        <v>MEDELLÍN</v>
      </c>
      <c r="E3693" s="15" t="str">
        <f>IFERROR(__xludf.DUMMYFUNCTION("""COMPUTED_VALUE"""),"Moloso S.A.S")</f>
        <v>Moloso S.A.S</v>
      </c>
      <c r="F3693" s="17" t="str">
        <f>IFERROR(__xludf.DUMMYFUNCTION("""COMPUTED_VALUE"""),"CL 7 18 09 / ASTURIAS TORRES AP 402 TORRE A")</f>
        <v>CL 7 18 09 / ASTURIAS TORRES AP 402 TORRE A</v>
      </c>
      <c r="G3693" s="15" t="str">
        <f>IFERROR(__xludf.DUMMYFUNCTION("""COMPUTED_VALUE"""),"MANUELA LEDESMA")</f>
        <v>MANUELA LEDESMA</v>
      </c>
      <c r="H3693" s="16">
        <f>IFERROR(__xludf.DUMMYFUNCTION("""COMPUTED_VALUE"""),12181.0)</f>
        <v>12181</v>
      </c>
      <c r="I3693" s="18">
        <f>IFERROR(__xludf.DUMMYFUNCTION("""COMPUTED_VALUE"""),17.0)</f>
        <v>17</v>
      </c>
      <c r="J3693" s="18">
        <f>IFERROR(__xludf.DUMMYFUNCTION("""COMPUTED_VALUE"""),15.0)</f>
        <v>15</v>
      </c>
      <c r="K3693" s="18">
        <f>IFERROR(__xludf.DUMMYFUNCTION("""COMPUTED_VALUE"""),28.0)</f>
        <v>28</v>
      </c>
      <c r="L3693" s="17" t="str">
        <f>IFERROR(__xludf.DUMMYFUNCTION("""COMPUTED_VALUE"""),"317 3835451")</f>
        <v>317 3835451</v>
      </c>
      <c r="M3693" s="17" t="str">
        <f>IFERROR(__xludf.DUMMYFUNCTION("""COMPUTED_VALUE"""),"#REF!")</f>
        <v>#REF!</v>
      </c>
      <c r="N3693" s="17"/>
      <c r="O3693" s="17"/>
      <c r="P3693" s="17" t="b">
        <f>IFERROR(__xludf.DUMMYFUNCTION("""COMPUTED_VALUE"""),FALSE)</f>
        <v>0</v>
      </c>
      <c r="Q3693" s="20" t="str">
        <f>IFERROR(__xludf.DUMMYFUNCTION("""COMPUTED_VALUE"""),"")</f>
        <v/>
      </c>
      <c r="R3693" s="21" t="str">
        <f>IFERROR(__xludf.DUMMYFUNCTION("""COMPUTED_VALUE"""),"https://drive.google.com/file/d/1myBoyyuz8pl4a5UlmFP2oqYy5cRMY2Wc/view?usp=drivesdk")</f>
        <v>https://drive.google.com/file/d/1myBoyyuz8pl4a5UlmFP2oqYy5cRMY2Wc/view?usp=drivesdk</v>
      </c>
    </row>
    <row r="3694">
      <c r="A3694" s="17" t="str">
        <f>IFERROR(__xludf.DUMMYFUNCTION("""COMPUTED_VALUE"""),"")</f>
        <v/>
      </c>
      <c r="B3694" s="17" t="str">
        <f>IFERROR(__xludf.DUMMYFUNCTION("""COMPUTED_VALUE"""),"")</f>
        <v/>
      </c>
      <c r="C3694" s="17" t="str">
        <f>IFERROR(__xludf.DUMMYFUNCTION("""COMPUTED_VALUE"""),"")</f>
        <v/>
      </c>
      <c r="D3694" s="17" t="str">
        <f>IFERROR(__xludf.DUMMYFUNCTION("""COMPUTED_VALUE"""),"")</f>
        <v/>
      </c>
      <c r="E3694" s="17" t="str">
        <f>IFERROR(__xludf.DUMMYFUNCTION("""COMPUTED_VALUE"""),"")</f>
        <v/>
      </c>
      <c r="F3694" s="17" t="str">
        <f>IFERROR(__xludf.DUMMYFUNCTION("""COMPUTED_VALUE"""),"")</f>
        <v/>
      </c>
      <c r="G3694" s="17" t="str">
        <f>IFERROR(__xludf.DUMMYFUNCTION("""COMPUTED_VALUE"""),"")</f>
        <v/>
      </c>
      <c r="H3694" s="17" t="str">
        <f>IFERROR(__xludf.DUMMYFUNCTION("""COMPUTED_VALUE"""),"")</f>
        <v/>
      </c>
      <c r="I3694" s="17" t="str">
        <f>IFERROR(__xludf.DUMMYFUNCTION("""COMPUTED_VALUE"""),"")</f>
        <v/>
      </c>
      <c r="J3694" s="17" t="str">
        <f>IFERROR(__xludf.DUMMYFUNCTION("""COMPUTED_VALUE"""),"")</f>
        <v/>
      </c>
      <c r="K3694" s="17" t="str">
        <f>IFERROR(__xludf.DUMMYFUNCTION("""COMPUTED_VALUE"""),"")</f>
        <v/>
      </c>
      <c r="L3694" s="17" t="str">
        <f>IFERROR(__xludf.DUMMYFUNCTION("""COMPUTED_VALUE"""),"")</f>
        <v/>
      </c>
      <c r="M3694" s="17" t="str">
        <f>IFERROR(__xludf.DUMMYFUNCTION("""COMPUTED_VALUE"""),"")</f>
        <v/>
      </c>
      <c r="N3694" s="17" t="str">
        <f>IFERROR(__xludf.DUMMYFUNCTION("""COMPUTED_VALUE"""),"")</f>
        <v/>
      </c>
      <c r="O3694" s="17" t="str">
        <f>IFERROR(__xludf.DUMMYFUNCTION("""COMPUTED_VALUE"""),"")</f>
        <v/>
      </c>
      <c r="P3694" s="17" t="str">
        <f>IFERROR(__xludf.DUMMYFUNCTION("""COMPUTED_VALUE"""),"")</f>
        <v/>
      </c>
      <c r="Q3694" s="17" t="str">
        <f>IFERROR(__xludf.DUMMYFUNCTION("""COMPUTED_VALUE"""),"")</f>
        <v/>
      </c>
      <c r="R3694" s="17" t="str">
        <f>IFERROR(__xludf.DUMMYFUNCTION("""COMPUTED_VALUE"""),"")</f>
        <v/>
      </c>
    </row>
    <row r="3695">
      <c r="A3695" s="15">
        <f>IFERROR(__xludf.DUMMYFUNCTION("""COMPUTED_VALUE"""),45107.0)</f>
        <v>45107</v>
      </c>
      <c r="B3695" s="16" t="str">
        <f>IFERROR(__xludf.DUMMYFUNCTION("""COMPUTED_VALUE"""),"Orlando Urdaneta Rincon ")</f>
        <v>Orlando Urdaneta Rincon </v>
      </c>
      <c r="C3695" s="15" t="str">
        <f>IFERROR(__xludf.DUMMYFUNCTION("""COMPUTED_VALUE"""),"BOGOTÁ")</f>
        <v>BOGOTÁ</v>
      </c>
      <c r="D3695" s="15" t="str">
        <f>IFERROR(__xludf.DUMMYFUNCTION("""COMPUTED_VALUE"""),"MEDELLÍN")</f>
        <v>MEDELLÍN</v>
      </c>
      <c r="E3695" s="15" t="str">
        <f>IFERROR(__xludf.DUMMYFUNCTION("""COMPUTED_VALUE"""),"Rambla")</f>
        <v>Rambla</v>
      </c>
      <c r="F3695" s="17" t="str">
        <f>IFERROR(__xludf.DUMMYFUNCTION("""COMPUTED_VALUE"""),"Cll 8 sur # 39 _34. Ciudad montes / na / na")</f>
        <v>Cll 8 sur # 39 _34. Ciudad montes / na / na</v>
      </c>
      <c r="G3695" s="15" t="str">
        <f>IFERROR(__xludf.DUMMYFUNCTION("""COMPUTED_VALUE"""),"Tierra Fértil")</f>
        <v>Tierra Fértil</v>
      </c>
      <c r="H3695" s="16">
        <f>IFERROR(__xludf.DUMMYFUNCTION("""COMPUTED_VALUE"""),12213.0)</f>
        <v>12213</v>
      </c>
      <c r="I3695" s="18">
        <f>IFERROR(__xludf.DUMMYFUNCTION("""COMPUTED_VALUE"""),18.0)</f>
        <v>18</v>
      </c>
      <c r="J3695" s="18">
        <f>IFERROR(__xludf.DUMMYFUNCTION("""COMPUTED_VALUE"""),22.0)</f>
        <v>22</v>
      </c>
      <c r="K3695" s="18">
        <f>IFERROR(__xludf.DUMMYFUNCTION("""COMPUTED_VALUE"""),25.0)</f>
        <v>25</v>
      </c>
      <c r="L3695" s="17">
        <f>IFERROR(__xludf.DUMMYFUNCTION("""COMPUTED_VALUE"""),3.112876801E9)</f>
        <v>3112876801</v>
      </c>
      <c r="M3695" s="17" t="str">
        <f>IFERROR(__xludf.DUMMYFUNCTION("""COMPUTED_VALUE"""),"#REF!")</f>
        <v>#REF!</v>
      </c>
      <c r="N3695" s="17"/>
      <c r="O3695" s="17"/>
      <c r="P3695" s="17" t="b">
        <f>IFERROR(__xludf.DUMMYFUNCTION("""COMPUTED_VALUE"""),FALSE)</f>
        <v>0</v>
      </c>
      <c r="Q3695" s="20" t="str">
        <f>IFERROR(__xludf.DUMMYFUNCTION("""COMPUTED_VALUE"""),"")</f>
        <v/>
      </c>
      <c r="R3695" s="21" t="str">
        <f>IFERROR(__xludf.DUMMYFUNCTION("""COMPUTED_VALUE"""),"https://drive.google.com/file/d/1R9LbR_c6lvF1bH9naZm7F7udr7nByNMc/view?usp=drivesdk")</f>
        <v>https://drive.google.com/file/d/1R9LbR_c6lvF1bH9naZm7F7udr7nByNMc/view?usp=drivesdk</v>
      </c>
    </row>
    <row r="3696">
      <c r="A3696" s="15">
        <f>IFERROR(__xludf.DUMMYFUNCTION("""COMPUTED_VALUE"""),45107.0)</f>
        <v>45107</v>
      </c>
      <c r="B3696" s="16" t="str">
        <f>IFERROR(__xludf.DUMMYFUNCTION("""COMPUTED_VALUE"""),"Orlando Urdaneta Rincon ")</f>
        <v>Orlando Urdaneta Rincon </v>
      </c>
      <c r="C3696" s="15" t="str">
        <f>IFERROR(__xludf.DUMMYFUNCTION("""COMPUTED_VALUE"""),"BOGOTÁ")</f>
        <v>BOGOTÁ</v>
      </c>
      <c r="D3696" s="15" t="str">
        <f>IFERROR(__xludf.DUMMYFUNCTION("""COMPUTED_VALUE"""),"MEDELLÍN")</f>
        <v>MEDELLÍN</v>
      </c>
      <c r="E3696" s="15" t="str">
        <f>IFERROR(__xludf.DUMMYFUNCTION("""COMPUTED_VALUE"""),"Terravocado")</f>
        <v>Terravocado</v>
      </c>
      <c r="F3696" s="17" t="str">
        <f>IFERROR(__xludf.DUMMYFUNCTION("""COMPUTED_VALUE"""),"Ak 68 #90 - 88 / exito floresta  / barrios unidos")</f>
        <v>Ak 68 #90 - 88 / exito floresta  / barrios unidos</v>
      </c>
      <c r="G3696" s="15" t="str">
        <f>IFERROR(__xludf.DUMMYFUNCTION("""COMPUTED_VALUE"""),"Exito floresta")</f>
        <v>Exito floresta</v>
      </c>
      <c r="H3696" s="16">
        <f>IFERROR(__xludf.DUMMYFUNCTION("""COMPUTED_VALUE"""),12207.0)</f>
        <v>12207</v>
      </c>
      <c r="I3696" s="18">
        <f>IFERROR(__xludf.DUMMYFUNCTION("""COMPUTED_VALUE"""),20.0)</f>
        <v>20</v>
      </c>
      <c r="J3696" s="18">
        <f>IFERROR(__xludf.DUMMYFUNCTION("""COMPUTED_VALUE"""),20.0)</f>
        <v>20</v>
      </c>
      <c r="K3696" s="18">
        <f>IFERROR(__xludf.DUMMYFUNCTION("""COMPUTED_VALUE"""),12.0)</f>
        <v>12</v>
      </c>
      <c r="L3696" s="17">
        <f>IFERROR(__xludf.DUMMYFUNCTION("""COMPUTED_VALUE"""),3.025291463E9)</f>
        <v>3025291463</v>
      </c>
      <c r="M3696" s="17" t="str">
        <f>IFERROR(__xludf.DUMMYFUNCTION("""COMPUTED_VALUE"""),"#REF!")</f>
        <v>#REF!</v>
      </c>
      <c r="N3696" s="17"/>
      <c r="O3696" s="17"/>
      <c r="P3696" s="17" t="b">
        <f>IFERROR(__xludf.DUMMYFUNCTION("""COMPUTED_VALUE"""),FALSE)</f>
        <v>0</v>
      </c>
      <c r="Q3696" s="20" t="str">
        <f>IFERROR(__xludf.DUMMYFUNCTION("""COMPUTED_VALUE"""),"")</f>
        <v/>
      </c>
      <c r="R3696" s="22" t="str">
        <f>IFERROR(__xludf.DUMMYFUNCTION("""COMPUTED_VALUE"""),"")</f>
        <v/>
      </c>
    </row>
    <row r="3697">
      <c r="A3697" s="15">
        <f>IFERROR(__xludf.DUMMYFUNCTION("""COMPUTED_VALUE"""),45107.0)</f>
        <v>45107</v>
      </c>
      <c r="B3697" s="16" t="str">
        <f>IFERROR(__xludf.DUMMYFUNCTION("""COMPUTED_VALUE"""),"Orlando Urdaneta Rincon ")</f>
        <v>Orlando Urdaneta Rincon </v>
      </c>
      <c r="C3697" s="15" t="str">
        <f>IFERROR(__xludf.DUMMYFUNCTION("""COMPUTED_VALUE"""),"SANTA MARTA")</f>
        <v>SANTA MARTA</v>
      </c>
      <c r="D3697" s="15" t="str">
        <f>IFERROR(__xludf.DUMMYFUNCTION("""COMPUTED_VALUE"""),"BOGOTÁ")</f>
        <v>BOGOTÁ</v>
      </c>
      <c r="E3697" s="15" t="str">
        <f>IFERROR(__xludf.DUMMYFUNCTION("""COMPUTED_VALUE"""),"Evamazzita")</f>
        <v>Evamazzita</v>
      </c>
      <c r="F3697" s="17" t="str">
        <f>IFERROR(__xludf.DUMMYFUNCTION("""COMPUTED_VALUE"""),"Transversal 9 No 17a-155  / Torre 2 apto 503  / Conjunto Residencial Palo Alto")</f>
        <v>Transversal 9 No 17a-155  / Torre 2 apto 503  / Conjunto Residencial Palo Alto</v>
      </c>
      <c r="G3697" s="15" t="str">
        <f>IFERROR(__xludf.DUMMYFUNCTION("""COMPUTED_VALUE"""),"RAYZA ISABEL MONTES CANTILLO")</f>
        <v>RAYZA ISABEL MONTES CANTILLO</v>
      </c>
      <c r="H3697" s="16">
        <f>IFERROR(__xludf.DUMMYFUNCTION("""COMPUTED_VALUE"""),12176.0)</f>
        <v>12176</v>
      </c>
      <c r="I3697" s="18">
        <f>IFERROR(__xludf.DUMMYFUNCTION("""COMPUTED_VALUE"""),1.0)</f>
        <v>1</v>
      </c>
      <c r="J3697" s="18">
        <f>IFERROR(__xludf.DUMMYFUNCTION("""COMPUTED_VALUE"""),1.0)</f>
        <v>1</v>
      </c>
      <c r="K3697" s="18">
        <f>IFERROR(__xludf.DUMMYFUNCTION("""COMPUTED_VALUE"""),1.0)</f>
        <v>1</v>
      </c>
      <c r="L3697" s="17">
        <f>IFERROR(__xludf.DUMMYFUNCTION("""COMPUTED_VALUE"""),3.017545606E9)</f>
        <v>3017545606</v>
      </c>
      <c r="M3697" s="17" t="str">
        <f>IFERROR(__xludf.DUMMYFUNCTION("""COMPUTED_VALUE"""),"#REF!")</f>
        <v>#REF!</v>
      </c>
      <c r="N3697" s="17"/>
      <c r="O3697" s="17"/>
      <c r="P3697" s="17" t="b">
        <f>IFERROR(__xludf.DUMMYFUNCTION("""COMPUTED_VALUE"""),FALSE)</f>
        <v>0</v>
      </c>
      <c r="Q3697" s="20" t="str">
        <f>IFERROR(__xludf.DUMMYFUNCTION("""COMPUTED_VALUE"""),"")</f>
        <v/>
      </c>
      <c r="R3697" s="21" t="str">
        <f>IFERROR(__xludf.DUMMYFUNCTION("""COMPUTED_VALUE"""),"https://drive.google.com/file/d/1pIcbtb5zWxgUiso7cUmcHM1FYFSjxiEt/view?usp=drivesdk")</f>
        <v>https://drive.google.com/file/d/1pIcbtb5zWxgUiso7cUmcHM1FYFSjxiEt/view?usp=drivesdk</v>
      </c>
    </row>
    <row r="3698">
      <c r="A3698" s="15">
        <f>IFERROR(__xludf.DUMMYFUNCTION("""COMPUTED_VALUE"""),45107.0)</f>
        <v>45107</v>
      </c>
      <c r="B3698" s="16" t="str">
        <f>IFERROR(__xludf.DUMMYFUNCTION("""COMPUTED_VALUE"""),"Orlando Urdaneta Rincon ")</f>
        <v>Orlando Urdaneta Rincon </v>
      </c>
      <c r="C3698" s="15" t="str">
        <f>IFERROR(__xludf.DUMMYFUNCTION("""COMPUTED_VALUE"""),"SANTA MARTA")</f>
        <v>SANTA MARTA</v>
      </c>
      <c r="D3698" s="15" t="str">
        <f>IFERROR(__xludf.DUMMYFUNCTION("""COMPUTED_VALUE"""),"BOGOTÁ")</f>
        <v>BOGOTÁ</v>
      </c>
      <c r="E3698" s="15" t="str">
        <f>IFERROR(__xludf.DUMMYFUNCTION("""COMPUTED_VALUE"""),"Ins. Alimento Vital")</f>
        <v>Ins. Alimento Vital</v>
      </c>
      <c r="F3698" s="17" t="str">
        <f>IFERROR(__xludf.DUMMYFUNCTION("""COMPUTED_VALUE"""),"CR 1 B 26A 109 / EDIFICIO ALMIRANTE AP 501 / EDIFICIO ALMIRANTE")</f>
        <v>CR 1 B 26A 109 / EDIFICIO ALMIRANTE AP 501 / EDIFICIO ALMIRANTE</v>
      </c>
      <c r="G3698" s="15" t="str">
        <f>IFERROR(__xludf.DUMMYFUNCTION("""COMPUTED_VALUE"""),"VERONICA GOMEZ DE ZUBIRIA")</f>
        <v>VERONICA GOMEZ DE ZUBIRIA</v>
      </c>
      <c r="H3698" s="16">
        <f>IFERROR(__xludf.DUMMYFUNCTION("""COMPUTED_VALUE"""),12154.0)</f>
        <v>12154</v>
      </c>
      <c r="I3698" s="18">
        <f>IFERROR(__xludf.DUMMYFUNCTION("""COMPUTED_VALUE"""),1.0)</f>
        <v>1</v>
      </c>
      <c r="J3698" s="18">
        <f>IFERROR(__xludf.DUMMYFUNCTION("""COMPUTED_VALUE"""),1.0)</f>
        <v>1</v>
      </c>
      <c r="K3698" s="18">
        <f>IFERROR(__xludf.DUMMYFUNCTION("""COMPUTED_VALUE"""),1.0)</f>
        <v>1</v>
      </c>
      <c r="L3698" s="17">
        <f>IFERROR(__xludf.DUMMYFUNCTION("""COMPUTED_VALUE"""),3.107893555E9)</f>
        <v>3107893555</v>
      </c>
      <c r="M3698" s="17" t="str">
        <f>IFERROR(__xludf.DUMMYFUNCTION("""COMPUTED_VALUE"""),"#REF!")</f>
        <v>#REF!</v>
      </c>
      <c r="N3698" s="17"/>
      <c r="O3698" s="17"/>
      <c r="P3698" s="17" t="b">
        <f>IFERROR(__xludf.DUMMYFUNCTION("""COMPUTED_VALUE"""),FALSE)</f>
        <v>0</v>
      </c>
      <c r="Q3698" s="20" t="str">
        <f>IFERROR(__xludf.DUMMYFUNCTION("""COMPUTED_VALUE"""),"")</f>
        <v/>
      </c>
      <c r="R3698" s="21" t="str">
        <f>IFERROR(__xludf.DUMMYFUNCTION("""COMPUTED_VALUE"""),"https://drive.google.com/file/d/1kXCNLCxn3-Ks99ouz36fYuh625RGsR-v/view?usp=drivesdk")</f>
        <v>https://drive.google.com/file/d/1kXCNLCxn3-Ks99ouz36fYuh625RGsR-v/view?usp=drivesdk</v>
      </c>
    </row>
    <row r="3699">
      <c r="A3699" s="15">
        <f>IFERROR(__xludf.DUMMYFUNCTION("""COMPUTED_VALUE"""),45107.0)</f>
        <v>45107</v>
      </c>
      <c r="B3699" s="16" t="str">
        <f>IFERROR(__xludf.DUMMYFUNCTION("""COMPUTED_VALUE"""),"Orlando Urdaneta Rincon ")</f>
        <v>Orlando Urdaneta Rincon </v>
      </c>
      <c r="C3699" s="15" t="str">
        <f>IFERROR(__xludf.DUMMYFUNCTION("""COMPUTED_VALUE"""),"SANTA MARTA")</f>
        <v>SANTA MARTA</v>
      </c>
      <c r="D3699" s="15" t="str">
        <f>IFERROR(__xludf.DUMMYFUNCTION("""COMPUTED_VALUE"""),"BOGOTÁ")</f>
        <v>BOGOTÁ</v>
      </c>
      <c r="E3699" s="15" t="str">
        <f>IFERROR(__xludf.DUMMYFUNCTION("""COMPUTED_VALUE"""),"Mariana Roldan")</f>
        <v>Mariana Roldan</v>
      </c>
      <c r="F3699" s="17" t="str">
        <f>IFERROR(__xludf.DUMMYFUNCTION("""COMPUTED_VALUE"""),"Calle 17#2-31 / Edificio dominique apto 5a / El rodadero")</f>
        <v>Calle 17#2-31 / Edificio dominique apto 5a / El rodadero</v>
      </c>
      <c r="G3699" s="15" t="str">
        <f>IFERROR(__xludf.DUMMYFUNCTION("""COMPUTED_VALUE"""),"Lisette olarte")</f>
        <v>Lisette olarte</v>
      </c>
      <c r="H3699" s="16">
        <f>IFERROR(__xludf.DUMMYFUNCTION("""COMPUTED_VALUE"""),12151.0)</f>
        <v>12151</v>
      </c>
      <c r="I3699" s="18">
        <f>IFERROR(__xludf.DUMMYFUNCTION("""COMPUTED_VALUE"""),29.0)</f>
        <v>29</v>
      </c>
      <c r="J3699" s="18">
        <f>IFERROR(__xludf.DUMMYFUNCTION("""COMPUTED_VALUE"""),28.0)</f>
        <v>28</v>
      </c>
      <c r="K3699" s="18">
        <f>IFERROR(__xludf.DUMMYFUNCTION("""COMPUTED_VALUE"""),28.0)</f>
        <v>28</v>
      </c>
      <c r="L3699" s="17">
        <f>IFERROR(__xludf.DUMMYFUNCTION("""COMPUTED_VALUE"""),3.152667066E9)</f>
        <v>3152667066</v>
      </c>
      <c r="M3699" s="17" t="str">
        <f>IFERROR(__xludf.DUMMYFUNCTION("""COMPUTED_VALUE"""),"#REF!")</f>
        <v>#REF!</v>
      </c>
      <c r="N3699" s="17"/>
      <c r="O3699" s="17"/>
      <c r="P3699" s="17" t="b">
        <f>IFERROR(__xludf.DUMMYFUNCTION("""COMPUTED_VALUE"""),TRUE)</f>
        <v>1</v>
      </c>
      <c r="Q3699" s="20">
        <f>IFERROR(__xludf.DUMMYFUNCTION("""COMPUTED_VALUE"""),45112.56885519676)</f>
        <v>45112.56886</v>
      </c>
      <c r="R3699" s="21" t="str">
        <f>IFERROR(__xludf.DUMMYFUNCTION("""COMPUTED_VALUE"""),"https://drive.google.com/file/d/1H0E70--Vweztt8bM5CIuXYHpNgrdpcMW/view?usp=drivesdk")</f>
        <v>https://drive.google.com/file/d/1H0E70--Vweztt8bM5CIuXYHpNgrdpcMW/view?usp=drivesdk</v>
      </c>
    </row>
    <row r="3700">
      <c r="A3700" s="15">
        <f>IFERROR(__xludf.DUMMYFUNCTION("""COMPUTED_VALUE"""),45107.0)</f>
        <v>45107</v>
      </c>
      <c r="B3700" s="16" t="str">
        <f>IFERROR(__xludf.DUMMYFUNCTION("""COMPUTED_VALUE"""),"Orlando Urdaneta Rincon ")</f>
        <v>Orlando Urdaneta Rincon </v>
      </c>
      <c r="C3700" s="15" t="str">
        <f>IFERROR(__xludf.DUMMYFUNCTION("""COMPUTED_VALUE"""),"SANTA MARTA")</f>
        <v>SANTA MARTA</v>
      </c>
      <c r="D3700" s="15" t="str">
        <f>IFERROR(__xludf.DUMMYFUNCTION("""COMPUTED_VALUE"""),"MEDELLÍN")</f>
        <v>MEDELLÍN</v>
      </c>
      <c r="E3700" s="15" t="str">
        <f>IFERROR(__xludf.DUMMYFUNCTION("""COMPUTED_VALUE"""),"Magda")</f>
        <v>Magda</v>
      </c>
      <c r="F3700" s="17" t="str">
        <f>IFERROR(__xludf.DUMMYFUNCTION("""COMPUTED_VALUE"""),"calle 22#6-82  / ""centro comercial plazuela 22 local 27 "" / centro")</f>
        <v>calle 22#6-82  / "centro comercial plazuela 22 local 27 " / centro</v>
      </c>
      <c r="G3700" s="15" t="str">
        <f>IFERROR(__xludf.DUMMYFUNCTION("""COMPUTED_VALUE"""),"Shirley Monjarres")</f>
        <v>Shirley Monjarres</v>
      </c>
      <c r="H3700" s="16">
        <f>IFERROR(__xludf.DUMMYFUNCTION("""COMPUTED_VALUE"""),12186.0)</f>
        <v>12186</v>
      </c>
      <c r="I3700" s="18">
        <f>IFERROR(__xludf.DUMMYFUNCTION("""COMPUTED_VALUE"""),5.0)</f>
        <v>5</v>
      </c>
      <c r="J3700" s="18">
        <f>IFERROR(__xludf.DUMMYFUNCTION("""COMPUTED_VALUE"""),5.0)</f>
        <v>5</v>
      </c>
      <c r="K3700" s="18">
        <f>IFERROR(__xludf.DUMMYFUNCTION("""COMPUTED_VALUE"""),5.0)</f>
        <v>5</v>
      </c>
      <c r="L3700" s="17">
        <f>IFERROR(__xludf.DUMMYFUNCTION("""COMPUTED_VALUE"""),3.054269156E9)</f>
        <v>3054269156</v>
      </c>
      <c r="M3700" s="17" t="str">
        <f>IFERROR(__xludf.DUMMYFUNCTION("""COMPUTED_VALUE"""),"#REF!")</f>
        <v>#REF!</v>
      </c>
      <c r="N3700" s="17"/>
      <c r="O3700" s="17"/>
      <c r="P3700" s="17" t="b">
        <f>IFERROR(__xludf.DUMMYFUNCTION("""COMPUTED_VALUE"""),TRUE)</f>
        <v>1</v>
      </c>
      <c r="Q3700" s="20">
        <f>IFERROR(__xludf.DUMMYFUNCTION("""COMPUTED_VALUE"""),45112.47384900463)</f>
        <v>45112.47385</v>
      </c>
      <c r="R3700" s="21" t="str">
        <f>IFERROR(__xludf.DUMMYFUNCTION("""COMPUTED_VALUE"""),"https://drive.google.com/file/d/1vBFaJAkZlHudEzg3vCGFl6iyE1sKogGK/view?usp=drivesdk")</f>
        <v>https://drive.google.com/file/d/1vBFaJAkZlHudEzg3vCGFl6iyE1sKogGK/view?usp=drivesdk</v>
      </c>
    </row>
    <row r="3701">
      <c r="A3701" s="17" t="str">
        <f>IFERROR(__xludf.DUMMYFUNCTION("""COMPUTED_VALUE"""),"")</f>
        <v/>
      </c>
      <c r="B3701" s="17" t="str">
        <f>IFERROR(__xludf.DUMMYFUNCTION("""COMPUTED_VALUE"""),"")</f>
        <v/>
      </c>
      <c r="C3701" s="17" t="str">
        <f>IFERROR(__xludf.DUMMYFUNCTION("""COMPUTED_VALUE"""),"")</f>
        <v/>
      </c>
      <c r="D3701" s="17" t="str">
        <f>IFERROR(__xludf.DUMMYFUNCTION("""COMPUTED_VALUE"""),"")</f>
        <v/>
      </c>
      <c r="E3701" s="17" t="str">
        <f>IFERROR(__xludf.DUMMYFUNCTION("""COMPUTED_VALUE"""),"")</f>
        <v/>
      </c>
      <c r="F3701" s="17" t="str">
        <f>IFERROR(__xludf.DUMMYFUNCTION("""COMPUTED_VALUE"""),"")</f>
        <v/>
      </c>
      <c r="G3701" s="17" t="str">
        <f>IFERROR(__xludf.DUMMYFUNCTION("""COMPUTED_VALUE"""),"")</f>
        <v/>
      </c>
      <c r="H3701" s="17" t="str">
        <f>IFERROR(__xludf.DUMMYFUNCTION("""COMPUTED_VALUE"""),"")</f>
        <v/>
      </c>
      <c r="I3701" s="17" t="str">
        <f>IFERROR(__xludf.DUMMYFUNCTION("""COMPUTED_VALUE"""),"")</f>
        <v/>
      </c>
      <c r="J3701" s="17" t="str">
        <f>IFERROR(__xludf.DUMMYFUNCTION("""COMPUTED_VALUE"""),"")</f>
        <v/>
      </c>
      <c r="K3701" s="17" t="str">
        <f>IFERROR(__xludf.DUMMYFUNCTION("""COMPUTED_VALUE"""),"")</f>
        <v/>
      </c>
      <c r="L3701" s="17" t="str">
        <f>IFERROR(__xludf.DUMMYFUNCTION("""COMPUTED_VALUE"""),"")</f>
        <v/>
      </c>
      <c r="M3701" s="17" t="str">
        <f>IFERROR(__xludf.DUMMYFUNCTION("""COMPUTED_VALUE"""),"")</f>
        <v/>
      </c>
      <c r="N3701" s="17" t="str">
        <f>IFERROR(__xludf.DUMMYFUNCTION("""COMPUTED_VALUE"""),"")</f>
        <v/>
      </c>
      <c r="O3701" s="17" t="str">
        <f>IFERROR(__xludf.DUMMYFUNCTION("""COMPUTED_VALUE"""),"")</f>
        <v/>
      </c>
      <c r="P3701" s="17" t="str">
        <f>IFERROR(__xludf.DUMMYFUNCTION("""COMPUTED_VALUE"""),"")</f>
        <v/>
      </c>
      <c r="Q3701" s="17" t="str">
        <f>IFERROR(__xludf.DUMMYFUNCTION("""COMPUTED_VALUE"""),"")</f>
        <v/>
      </c>
      <c r="R3701" s="17" t="str">
        <f>IFERROR(__xludf.DUMMYFUNCTION("""COMPUTED_VALUE"""),"")</f>
        <v/>
      </c>
    </row>
    <row r="3702">
      <c r="A3702" s="15">
        <f>IFERROR(__xludf.DUMMYFUNCTION("""COMPUTED_VALUE"""),45107.0)</f>
        <v>45107</v>
      </c>
      <c r="B3702" s="16" t="str">
        <f>IFERROR(__xludf.DUMMYFUNCTION("""COMPUTED_VALUE"""),"Oscar Augusto Meneses Osias")</f>
        <v>Oscar Augusto Meneses Osias</v>
      </c>
      <c r="C3702" s="15" t="str">
        <f>IFERROR(__xludf.DUMMYFUNCTION("""COMPUTED_VALUE"""),"MEDELLÍN")</f>
        <v>MEDELLÍN</v>
      </c>
      <c r="D3702" s="15" t="str">
        <f>IFERROR(__xludf.DUMMYFUNCTION("""COMPUTED_VALUE"""),"BOGOTÁ")</f>
        <v>BOGOTÁ</v>
      </c>
      <c r="E3702" s="15" t="str">
        <f>IFERROR(__xludf.DUMMYFUNCTION("""COMPUTED_VALUE"""),"Pan de Waffle")</f>
        <v>Pan de Waffle</v>
      </c>
      <c r="F3702" s="17" t="str">
        <f>IFERROR(__xludf.DUMMYFUNCTION("""COMPUTED_VALUE"""),"Carrera 39 # 59 - 32 / Carrera 39 # 59 - 32 / Carrera 39 # 59 - 32")</f>
        <v>Carrera 39 # 59 - 32 / Carrera 39 # 59 - 32 / Carrera 39 # 59 - 32</v>
      </c>
      <c r="G3702" s="15" t="str">
        <f>IFERROR(__xludf.DUMMYFUNCTION("""COMPUTED_VALUE"""),"FOODOLOGY - MEDELLIN")</f>
        <v>FOODOLOGY - MEDELLIN</v>
      </c>
      <c r="H3702" s="16">
        <f>IFERROR(__xludf.DUMMYFUNCTION("""COMPUTED_VALUE"""),12217.0)</f>
        <v>12217</v>
      </c>
      <c r="I3702" s="18">
        <f>IFERROR(__xludf.DUMMYFUNCTION("""COMPUTED_VALUE"""),30.0)</f>
        <v>30</v>
      </c>
      <c r="J3702" s="18">
        <f>IFERROR(__xludf.DUMMYFUNCTION("""COMPUTED_VALUE"""),30.0)</f>
        <v>30</v>
      </c>
      <c r="K3702" s="18">
        <f>IFERROR(__xludf.DUMMYFUNCTION("""COMPUTED_VALUE"""),30.0)</f>
        <v>30</v>
      </c>
      <c r="L3702" s="17">
        <f>IFERROR(__xludf.DUMMYFUNCTION("""COMPUTED_VALUE"""),3.123558292E9)</f>
        <v>3123558292</v>
      </c>
      <c r="M3702" s="17" t="str">
        <f>IFERROR(__xludf.DUMMYFUNCTION("""COMPUTED_VALUE"""),"#REF!")</f>
        <v>#REF!</v>
      </c>
      <c r="N3702" s="17"/>
      <c r="O3702" s="17"/>
      <c r="P3702" s="17" t="b">
        <f>IFERROR(__xludf.DUMMYFUNCTION("""COMPUTED_VALUE"""),FALSE)</f>
        <v>0</v>
      </c>
      <c r="Q3702" s="20" t="str">
        <f>IFERROR(__xludf.DUMMYFUNCTION("""COMPUTED_VALUE"""),"")</f>
        <v/>
      </c>
      <c r="R3702" s="21" t="str">
        <f>IFERROR(__xludf.DUMMYFUNCTION("""COMPUTED_VALUE"""),"https://drive.google.com/file/d/1X7hdsleSJObNuGnpr5obRQsXO_vNENFr/view?usp=drivesdk")</f>
        <v>https://drive.google.com/file/d/1X7hdsleSJObNuGnpr5obRQsXO_vNENFr/view?usp=drivesdk</v>
      </c>
    </row>
    <row r="3703">
      <c r="A3703" s="17" t="str">
        <f>IFERROR(__xludf.DUMMYFUNCTION("""COMPUTED_VALUE"""),"")</f>
        <v/>
      </c>
      <c r="B3703" s="17" t="str">
        <f>IFERROR(__xludf.DUMMYFUNCTION("""COMPUTED_VALUE"""),"")</f>
        <v/>
      </c>
      <c r="C3703" s="17" t="str">
        <f>IFERROR(__xludf.DUMMYFUNCTION("""COMPUTED_VALUE"""),"")</f>
        <v/>
      </c>
      <c r="D3703" s="17" t="str">
        <f>IFERROR(__xludf.DUMMYFUNCTION("""COMPUTED_VALUE"""),"")</f>
        <v/>
      </c>
      <c r="E3703" s="17" t="str">
        <f>IFERROR(__xludf.DUMMYFUNCTION("""COMPUTED_VALUE"""),"")</f>
        <v/>
      </c>
      <c r="F3703" s="17" t="str">
        <f>IFERROR(__xludf.DUMMYFUNCTION("""COMPUTED_VALUE"""),"")</f>
        <v/>
      </c>
      <c r="G3703" s="17" t="str">
        <f>IFERROR(__xludf.DUMMYFUNCTION("""COMPUTED_VALUE"""),"")</f>
        <v/>
      </c>
      <c r="H3703" s="17" t="str">
        <f>IFERROR(__xludf.DUMMYFUNCTION("""COMPUTED_VALUE"""),"")</f>
        <v/>
      </c>
      <c r="I3703" s="17" t="str">
        <f>IFERROR(__xludf.DUMMYFUNCTION("""COMPUTED_VALUE"""),"")</f>
        <v/>
      </c>
      <c r="J3703" s="17" t="str">
        <f>IFERROR(__xludf.DUMMYFUNCTION("""COMPUTED_VALUE"""),"")</f>
        <v/>
      </c>
      <c r="K3703" s="17" t="str">
        <f>IFERROR(__xludf.DUMMYFUNCTION("""COMPUTED_VALUE"""),"")</f>
        <v/>
      </c>
      <c r="L3703" s="17" t="str">
        <f>IFERROR(__xludf.DUMMYFUNCTION("""COMPUTED_VALUE"""),"")</f>
        <v/>
      </c>
      <c r="M3703" s="17" t="str">
        <f>IFERROR(__xludf.DUMMYFUNCTION("""COMPUTED_VALUE"""),"")</f>
        <v/>
      </c>
      <c r="N3703" s="17" t="str">
        <f>IFERROR(__xludf.DUMMYFUNCTION("""COMPUTED_VALUE"""),"")</f>
        <v/>
      </c>
      <c r="O3703" s="17" t="str">
        <f>IFERROR(__xludf.DUMMYFUNCTION("""COMPUTED_VALUE"""),"")</f>
        <v/>
      </c>
      <c r="P3703" s="17" t="str">
        <f>IFERROR(__xludf.DUMMYFUNCTION("""COMPUTED_VALUE"""),"")</f>
        <v/>
      </c>
      <c r="Q3703" s="17" t="str">
        <f>IFERROR(__xludf.DUMMYFUNCTION("""COMPUTED_VALUE"""),"")</f>
        <v/>
      </c>
      <c r="R3703" s="17" t="str">
        <f>IFERROR(__xludf.DUMMYFUNCTION("""COMPUTED_VALUE"""),"")</f>
        <v/>
      </c>
    </row>
    <row r="3704">
      <c r="A3704" s="15">
        <f>IFERROR(__xludf.DUMMYFUNCTION("""COMPUTED_VALUE"""),45108.0)</f>
        <v>45108</v>
      </c>
      <c r="B3704" s="16" t="str">
        <f>IFERROR(__xludf.DUMMYFUNCTION("""COMPUTED_VALUE"""),"Envia")</f>
        <v>Envia</v>
      </c>
      <c r="C3704" s="15" t="str">
        <f>IFERROR(__xludf.DUMMYFUNCTION("""COMPUTED_VALUE"""),"SANTA MARTA")</f>
        <v>SANTA MARTA</v>
      </c>
      <c r="D3704" s="15" t="str">
        <f>IFERROR(__xludf.DUMMYFUNCTION("""COMPUTED_VALUE"""),"MEDELLÍN")</f>
        <v>MEDELLÍN</v>
      </c>
      <c r="E3704" s="15" t="str">
        <f>IFERROR(__xludf.DUMMYFUNCTION("""COMPUTED_VALUE"""),"Terravocado")</f>
        <v>Terravocado</v>
      </c>
      <c r="F3704" s="17" t="str">
        <f>IFERROR(__xludf.DUMMYFUNCTION("""COMPUTED_VALUE"""),"Cl. 18 #4, Comuna 2, Santa Marta, Magdalena / TAQUERIA / SANTA MARTA")</f>
        <v>Cl. 18 #4, Comuna 2, Santa Marta, Magdalena / TAQUERIA / SANTA MARTA</v>
      </c>
      <c r="G3704" s="15" t="str">
        <f>IFERROR(__xludf.DUMMYFUNCTION("""COMPUTED_VALUE"""),"DEALER TAQUERIA")</f>
        <v>DEALER TAQUERIA</v>
      </c>
      <c r="H3704" s="16">
        <f>IFERROR(__xludf.DUMMYFUNCTION("""COMPUTED_VALUE"""),12198.0)</f>
        <v>12198</v>
      </c>
      <c r="I3704" s="18">
        <f>IFERROR(__xludf.DUMMYFUNCTION("""COMPUTED_VALUE"""),24.0)</f>
        <v>24</v>
      </c>
      <c r="J3704" s="18">
        <f>IFERROR(__xludf.DUMMYFUNCTION("""COMPUTED_VALUE"""),20.0)</f>
        <v>20</v>
      </c>
      <c r="K3704" s="18">
        <f>IFERROR(__xludf.DUMMYFUNCTION("""COMPUTED_VALUE"""),34.0)</f>
        <v>34</v>
      </c>
      <c r="L3704" s="17">
        <f>IFERROR(__xludf.DUMMYFUNCTION("""COMPUTED_VALUE"""),3.13672152E9)</f>
        <v>3136721520</v>
      </c>
      <c r="M3704" s="17" t="str">
        <f>IFERROR(__xludf.DUMMYFUNCTION("""COMPUTED_VALUE"""),"#REF!")</f>
        <v>#REF!</v>
      </c>
      <c r="N3704" s="17"/>
      <c r="O3704" s="17"/>
      <c r="P3704" s="17" t="b">
        <f>IFERROR(__xludf.DUMMYFUNCTION("""COMPUTED_VALUE"""),FALSE)</f>
        <v>0</v>
      </c>
      <c r="Q3704" s="20" t="str">
        <f>IFERROR(__xludf.DUMMYFUNCTION("""COMPUTED_VALUE"""),"")</f>
        <v/>
      </c>
      <c r="R3704" s="22" t="str">
        <f>IFERROR(__xludf.DUMMYFUNCTION("""COMPUTED_VALUE"""),"")</f>
        <v/>
      </c>
    </row>
    <row r="3705">
      <c r="A3705" s="17" t="str">
        <f>IFERROR(__xludf.DUMMYFUNCTION("""COMPUTED_VALUE"""),"")</f>
        <v/>
      </c>
      <c r="B3705" s="17" t="str">
        <f>IFERROR(__xludf.DUMMYFUNCTION("""COMPUTED_VALUE"""),"")</f>
        <v/>
      </c>
      <c r="C3705" s="17" t="str">
        <f>IFERROR(__xludf.DUMMYFUNCTION("""COMPUTED_VALUE"""),"")</f>
        <v/>
      </c>
      <c r="D3705" s="17" t="str">
        <f>IFERROR(__xludf.DUMMYFUNCTION("""COMPUTED_VALUE"""),"")</f>
        <v/>
      </c>
      <c r="E3705" s="17" t="str">
        <f>IFERROR(__xludf.DUMMYFUNCTION("""COMPUTED_VALUE"""),"")</f>
        <v/>
      </c>
      <c r="F3705" s="17" t="str">
        <f>IFERROR(__xludf.DUMMYFUNCTION("""COMPUTED_VALUE"""),"")</f>
        <v/>
      </c>
      <c r="G3705" s="17" t="str">
        <f>IFERROR(__xludf.DUMMYFUNCTION("""COMPUTED_VALUE"""),"")</f>
        <v/>
      </c>
      <c r="H3705" s="17" t="str">
        <f>IFERROR(__xludf.DUMMYFUNCTION("""COMPUTED_VALUE"""),"")</f>
        <v/>
      </c>
      <c r="I3705" s="17" t="str">
        <f>IFERROR(__xludf.DUMMYFUNCTION("""COMPUTED_VALUE"""),"")</f>
        <v/>
      </c>
      <c r="J3705" s="17" t="str">
        <f>IFERROR(__xludf.DUMMYFUNCTION("""COMPUTED_VALUE"""),"")</f>
        <v/>
      </c>
      <c r="K3705" s="17" t="str">
        <f>IFERROR(__xludf.DUMMYFUNCTION("""COMPUTED_VALUE"""),"")</f>
        <v/>
      </c>
      <c r="L3705" s="17" t="str">
        <f>IFERROR(__xludf.DUMMYFUNCTION("""COMPUTED_VALUE"""),"")</f>
        <v/>
      </c>
      <c r="M3705" s="17" t="str">
        <f>IFERROR(__xludf.DUMMYFUNCTION("""COMPUTED_VALUE"""),"")</f>
        <v/>
      </c>
      <c r="N3705" s="17" t="str">
        <f>IFERROR(__xludf.DUMMYFUNCTION("""COMPUTED_VALUE"""),"")</f>
        <v/>
      </c>
      <c r="O3705" s="17" t="str">
        <f>IFERROR(__xludf.DUMMYFUNCTION("""COMPUTED_VALUE"""),"")</f>
        <v/>
      </c>
      <c r="P3705" s="17" t="str">
        <f>IFERROR(__xludf.DUMMYFUNCTION("""COMPUTED_VALUE"""),"")</f>
        <v/>
      </c>
      <c r="Q3705" s="17" t="str">
        <f>IFERROR(__xludf.DUMMYFUNCTION("""COMPUTED_VALUE"""),"")</f>
        <v/>
      </c>
      <c r="R3705" s="17" t="str">
        <f>IFERROR(__xludf.DUMMYFUNCTION("""COMPUTED_VALUE"""),"")</f>
        <v/>
      </c>
    </row>
    <row r="3706">
      <c r="A3706" s="15">
        <f>IFERROR(__xludf.DUMMYFUNCTION("""COMPUTED_VALUE"""),45112.0)</f>
        <v>45112</v>
      </c>
      <c r="B3706" s="17"/>
      <c r="C3706" s="15" t="str">
        <f>IFERROR(__xludf.DUMMYFUNCTION("""COMPUTED_VALUE"""),"MANIZALES")</f>
        <v>MANIZALES</v>
      </c>
      <c r="D3706" s="15" t="str">
        <f>IFERROR(__xludf.DUMMYFUNCTION("""COMPUTED_VALUE"""),"BOGOTÁ")</f>
        <v>BOGOTÁ</v>
      </c>
      <c r="E3706" s="15" t="str">
        <f>IFERROR(__xludf.DUMMYFUNCTION("""COMPUTED_VALUE"""),"Evamazzita")</f>
        <v>Evamazzita</v>
      </c>
      <c r="F3706" s="17" t="str">
        <f>IFERROR(__xludf.DUMMYFUNCTION("""COMPUTED_VALUE"""),"Avenida Santander Carrera 23 num 49-30  / 3er piso / Hospital Infantil")</f>
        <v>Avenida Santander Carrera 23 num 49-30  / 3er piso / Hospital Infantil</v>
      </c>
      <c r="G3706" s="15" t="str">
        <f>IFERROR(__xludf.DUMMYFUNCTION("""COMPUTED_VALUE"""),"DANIEL FELIPE DIAZ CARDONA")</f>
        <v>DANIEL FELIPE DIAZ CARDONA</v>
      </c>
      <c r="H3706" s="16">
        <f>IFERROR(__xludf.DUMMYFUNCTION("""COMPUTED_VALUE"""),12284.0)</f>
        <v>12284</v>
      </c>
      <c r="I3706" s="18">
        <f>IFERROR(__xludf.DUMMYFUNCTION("""COMPUTED_VALUE"""),1.0)</f>
        <v>1</v>
      </c>
      <c r="J3706" s="18">
        <f>IFERROR(__xludf.DUMMYFUNCTION("""COMPUTED_VALUE"""),1.0)</f>
        <v>1</v>
      </c>
      <c r="K3706" s="18">
        <f>IFERROR(__xludf.DUMMYFUNCTION("""COMPUTED_VALUE"""),1.0)</f>
        <v>1</v>
      </c>
      <c r="L3706" s="17">
        <f>IFERROR(__xludf.DUMMYFUNCTION("""COMPUTED_VALUE"""),3.184785729E9)</f>
        <v>3184785729</v>
      </c>
      <c r="M3706" s="17" t="str">
        <f>IFERROR(__xludf.DUMMYFUNCTION("""COMPUTED_VALUE"""),"#REF!")</f>
        <v>#REF!</v>
      </c>
      <c r="N3706" s="17"/>
      <c r="O3706" s="17"/>
      <c r="P3706" s="17" t="b">
        <f>IFERROR(__xludf.DUMMYFUNCTION("""COMPUTED_VALUE"""),FALSE)</f>
        <v>0</v>
      </c>
      <c r="Q3706" s="20" t="str">
        <f>IFERROR(__xludf.DUMMYFUNCTION("""COMPUTED_VALUE"""),"")</f>
        <v/>
      </c>
      <c r="R3706" s="21" t="str">
        <f>IFERROR(__xludf.DUMMYFUNCTION("""COMPUTED_VALUE"""),"https://drive.google.com/file/d/1v1I8nc31XrMAzKludF6BoalsIqdKuoa-/view?usp=drivesdk")</f>
        <v>https://drive.google.com/file/d/1v1I8nc31XrMAzKludF6BoalsIqdKuoa-/view?usp=drivesdk</v>
      </c>
    </row>
    <row r="3707">
      <c r="A3707" s="15">
        <f>IFERROR(__xludf.DUMMYFUNCTION("""COMPUTED_VALUE"""),45112.0)</f>
        <v>45112</v>
      </c>
      <c r="B3707" s="17"/>
      <c r="C3707" s="15" t="str">
        <f>IFERROR(__xludf.DUMMYFUNCTION("""COMPUTED_VALUE"""),"PEREIRA")</f>
        <v>PEREIRA</v>
      </c>
      <c r="D3707" s="15" t="str">
        <f>IFERROR(__xludf.DUMMYFUNCTION("""COMPUTED_VALUE"""),"MEDELLÍN")</f>
        <v>MEDELLÍN</v>
      </c>
      <c r="E3707" s="15" t="str">
        <f>IFERROR(__xludf.DUMMYFUNCTION("""COMPUTED_VALUE"""),"Baby Chef")</f>
        <v>Baby Chef</v>
      </c>
      <c r="F3707" s="17" t="str">
        <f>IFERROR(__xludf.DUMMYFUNCTION("""COMPUTED_VALUE"""),"Cra 10 bis # 38-33 Guadalupe Dosquebradas  Casa de rejas gris claro y baldosa oscura  Peatonal / Cra 10 bis # 38-33 Guadalupe Dosquebradas  Casa de rejas gris claro y baldosa oscura  Peatonal / Cra 10 bis # 38-33 Guadalupe Dosquebradas  Casa de rejas gris"&amp;" claro y baldosa oscura  Peatonal")</f>
        <v>Cra 10 bis # 38-33 Guadalupe Dosquebradas  Casa de rejas gris claro y baldosa oscura  Peatonal / Cra 10 bis # 38-33 Guadalupe Dosquebradas  Casa de rejas gris claro y baldosa oscura  Peatonal / Cra 10 bis # 38-33 Guadalupe Dosquebradas  Casa de rejas gris claro y baldosa oscura  Peatonal</v>
      </c>
      <c r="G3707" s="15" t="str">
        <f>IFERROR(__xludf.DUMMYFUNCTION("""COMPUTED_VALUE"""),"Juliana Gaviria Valencia")</f>
        <v>Juliana Gaviria Valencia</v>
      </c>
      <c r="H3707" s="16">
        <f>IFERROR(__xludf.DUMMYFUNCTION("""COMPUTED_VALUE"""),12367.0)</f>
        <v>12367</v>
      </c>
      <c r="I3707" s="18">
        <f>IFERROR(__xludf.DUMMYFUNCTION("""COMPUTED_VALUE"""),88.0)</f>
        <v>88</v>
      </c>
      <c r="J3707" s="18">
        <f>IFERROR(__xludf.DUMMYFUNCTION("""COMPUTED_VALUE"""),16.0)</f>
        <v>16</v>
      </c>
      <c r="K3707" s="18">
        <f>IFERROR(__xludf.DUMMYFUNCTION("""COMPUTED_VALUE"""),20.0)</f>
        <v>20</v>
      </c>
      <c r="L3707" s="17">
        <f>IFERROR(__xludf.DUMMYFUNCTION("""COMPUTED_VALUE"""),3.103826661E9)</f>
        <v>3103826661</v>
      </c>
      <c r="M3707" s="17" t="str">
        <f>IFERROR(__xludf.DUMMYFUNCTION("""COMPUTED_VALUE"""),"#REF!")</f>
        <v>#REF!</v>
      </c>
      <c r="N3707" s="17"/>
      <c r="O3707" s="17"/>
      <c r="P3707" s="17" t="b">
        <f>IFERROR(__xludf.DUMMYFUNCTION("""COMPUTED_VALUE"""),FALSE)</f>
        <v>0</v>
      </c>
      <c r="Q3707" s="20" t="str">
        <f>IFERROR(__xludf.DUMMYFUNCTION("""COMPUTED_VALUE"""),"")</f>
        <v/>
      </c>
      <c r="R3707" s="21" t="str">
        <f>IFERROR(__xludf.DUMMYFUNCTION("""COMPUTED_VALUE"""),"https://drive.google.com/file/d/1J3OdOBSnSDu5nZLg6D_N_4AKw1ojzW5A/view?usp=drivesdk")</f>
        <v>https://drive.google.com/file/d/1J3OdOBSnSDu5nZLg6D_N_4AKw1ojzW5A/view?usp=drivesdk</v>
      </c>
    </row>
    <row r="3708">
      <c r="A3708" s="17" t="str">
        <f>IFERROR(__xludf.DUMMYFUNCTION("""COMPUTED_VALUE"""),"")</f>
        <v/>
      </c>
      <c r="B3708" s="17" t="str">
        <f>IFERROR(__xludf.DUMMYFUNCTION("""COMPUTED_VALUE"""),"")</f>
        <v/>
      </c>
      <c r="C3708" s="17" t="str">
        <f>IFERROR(__xludf.DUMMYFUNCTION("""COMPUTED_VALUE"""),"")</f>
        <v/>
      </c>
      <c r="D3708" s="17" t="str">
        <f>IFERROR(__xludf.DUMMYFUNCTION("""COMPUTED_VALUE"""),"")</f>
        <v/>
      </c>
      <c r="E3708" s="17" t="str">
        <f>IFERROR(__xludf.DUMMYFUNCTION("""COMPUTED_VALUE"""),"")</f>
        <v/>
      </c>
      <c r="F3708" s="17" t="str">
        <f>IFERROR(__xludf.DUMMYFUNCTION("""COMPUTED_VALUE"""),"")</f>
        <v/>
      </c>
      <c r="G3708" s="17" t="str">
        <f>IFERROR(__xludf.DUMMYFUNCTION("""COMPUTED_VALUE"""),"")</f>
        <v/>
      </c>
      <c r="H3708" s="17" t="str">
        <f>IFERROR(__xludf.DUMMYFUNCTION("""COMPUTED_VALUE"""),"")</f>
        <v/>
      </c>
      <c r="I3708" s="17" t="str">
        <f>IFERROR(__xludf.DUMMYFUNCTION("""COMPUTED_VALUE"""),"")</f>
        <v/>
      </c>
      <c r="J3708" s="17" t="str">
        <f>IFERROR(__xludf.DUMMYFUNCTION("""COMPUTED_VALUE"""),"")</f>
        <v/>
      </c>
      <c r="K3708" s="17" t="str">
        <f>IFERROR(__xludf.DUMMYFUNCTION("""COMPUTED_VALUE"""),"")</f>
        <v/>
      </c>
      <c r="L3708" s="17" t="str">
        <f>IFERROR(__xludf.DUMMYFUNCTION("""COMPUTED_VALUE"""),"")</f>
        <v/>
      </c>
      <c r="M3708" s="17" t="str">
        <f>IFERROR(__xludf.DUMMYFUNCTION("""COMPUTED_VALUE"""),"")</f>
        <v/>
      </c>
      <c r="N3708" s="17" t="str">
        <f>IFERROR(__xludf.DUMMYFUNCTION("""COMPUTED_VALUE"""),"")</f>
        <v/>
      </c>
      <c r="O3708" s="17" t="str">
        <f>IFERROR(__xludf.DUMMYFUNCTION("""COMPUTED_VALUE"""),"")</f>
        <v/>
      </c>
      <c r="P3708" s="17" t="str">
        <f>IFERROR(__xludf.DUMMYFUNCTION("""COMPUTED_VALUE"""),"")</f>
        <v/>
      </c>
      <c r="Q3708" s="17" t="str">
        <f>IFERROR(__xludf.DUMMYFUNCTION("""COMPUTED_VALUE"""),"")</f>
        <v/>
      </c>
      <c r="R3708" s="17" t="str">
        <f>IFERROR(__xludf.DUMMYFUNCTION("""COMPUTED_VALUE"""),"")</f>
        <v/>
      </c>
    </row>
    <row r="3709">
      <c r="A3709" s="15">
        <f>IFERROR(__xludf.DUMMYFUNCTION("""COMPUTED_VALUE"""),45112.0)</f>
        <v>45112</v>
      </c>
      <c r="B3709" s="16" t="str">
        <f>IFERROR(__xludf.DUMMYFUNCTION("""COMPUTED_VALUE"""),"Carlos Manuel Sosa")</f>
        <v>Carlos Manuel Sosa</v>
      </c>
      <c r="C3709" s="15" t="str">
        <f>IFERROR(__xludf.DUMMYFUNCTION("""COMPUTED_VALUE"""),"MEDELLÍN")</f>
        <v>MEDELLÍN</v>
      </c>
      <c r="D3709" s="15" t="str">
        <f>IFERROR(__xludf.DUMMYFUNCTION("""COMPUTED_VALUE"""),"BOGOTÁ")</f>
        <v>BOGOTÁ</v>
      </c>
      <c r="E3709" s="15" t="str">
        <f>IFERROR(__xludf.DUMMYFUNCTION("""COMPUTED_VALUE"""),"Ventura Productos Arg")</f>
        <v>Ventura Productos Arg</v>
      </c>
      <c r="F3709" s="17" t="str">
        <f>IFERROR(__xludf.DUMMYFUNCTION("""COMPUTED_VALUE"""),"Calle 40 E 84 56 / Edificio Forest Rionegro. Apto 3-404")</f>
        <v>Calle 40 E 84 56 / Edificio Forest Rionegro. Apto 3-404</v>
      </c>
      <c r="G3709" s="15" t="str">
        <f>IFERROR(__xludf.DUMMYFUNCTION("""COMPUTED_VALUE"""),"Alejandra Henao")</f>
        <v>Alejandra Henao</v>
      </c>
      <c r="H3709" s="16">
        <f>IFERROR(__xludf.DUMMYFUNCTION("""COMPUTED_VALUE"""),12252.0)</f>
        <v>12252</v>
      </c>
      <c r="I3709" s="18">
        <f>IFERROR(__xludf.DUMMYFUNCTION("""COMPUTED_VALUE"""),3.0)</f>
        <v>3</v>
      </c>
      <c r="J3709" s="18">
        <f>IFERROR(__xludf.DUMMYFUNCTION("""COMPUTED_VALUE"""),45060.0)</f>
        <v>45060</v>
      </c>
      <c r="K3709" s="18">
        <f>IFERROR(__xludf.DUMMYFUNCTION("""COMPUTED_VALUE"""),22.0)</f>
        <v>22</v>
      </c>
      <c r="L3709" s="17" t="str">
        <f>IFERROR(__xludf.DUMMYFUNCTION("""COMPUTED_VALUE"""),"313 7756099")</f>
        <v>313 7756099</v>
      </c>
      <c r="M3709" s="17" t="str">
        <f>IFERROR(__xludf.DUMMYFUNCTION("""COMPUTED_VALUE"""),"#REF!")</f>
        <v>#REF!</v>
      </c>
      <c r="N3709" s="17"/>
      <c r="O3709" s="17"/>
      <c r="P3709" s="17" t="b">
        <f>IFERROR(__xludf.DUMMYFUNCTION("""COMPUTED_VALUE"""),FALSE)</f>
        <v>0</v>
      </c>
      <c r="Q3709" s="20" t="str">
        <f>IFERROR(__xludf.DUMMYFUNCTION("""COMPUTED_VALUE"""),"")</f>
        <v/>
      </c>
      <c r="R3709" s="22" t="str">
        <f>IFERROR(__xludf.DUMMYFUNCTION("""COMPUTED_VALUE"""),"")</f>
        <v/>
      </c>
    </row>
    <row r="3710">
      <c r="A3710" s="15">
        <f>IFERROR(__xludf.DUMMYFUNCTION("""COMPUTED_VALUE"""),45112.0)</f>
        <v>45112</v>
      </c>
      <c r="B3710" s="16" t="str">
        <f>IFERROR(__xludf.DUMMYFUNCTION("""COMPUTED_VALUE"""),"Carlos Manuel Sosa")</f>
        <v>Carlos Manuel Sosa</v>
      </c>
      <c r="C3710" s="15" t="str">
        <f>IFERROR(__xludf.DUMMYFUNCTION("""COMPUTED_VALUE"""),"MEDELLÍN")</f>
        <v>MEDELLÍN</v>
      </c>
      <c r="D3710" s="15" t="str">
        <f>IFERROR(__xludf.DUMMYFUNCTION("""COMPUTED_VALUE"""),"BOGOTÁ")</f>
        <v>BOGOTÁ</v>
      </c>
      <c r="E3710" s="15" t="str">
        <f>IFERROR(__xludf.DUMMYFUNCTION("""COMPUTED_VALUE"""),"Viiva Fermentados")</f>
        <v>Viiva Fermentados</v>
      </c>
      <c r="F3710" s="17" t="str">
        <f>IFERROR(__xludf.DUMMYFUNCTION("""COMPUTED_VALUE"""),"Calle 98 #50b-19  / primer piso preguntar por Doña Fabiola / Aranjuez")</f>
        <v>Calle 98 #50b-19  / primer piso preguntar por Doña Fabiola / Aranjuez</v>
      </c>
      <c r="G3710" s="15" t="str">
        <f>IFERROR(__xludf.DUMMYFUNCTION("""COMPUTED_VALUE"""),"Bayron Rodriguez")</f>
        <v>Bayron Rodriguez</v>
      </c>
      <c r="H3710" s="16">
        <f>IFERROR(__xludf.DUMMYFUNCTION("""COMPUTED_VALUE"""),12219.0)</f>
        <v>12219</v>
      </c>
      <c r="I3710" s="18">
        <f>IFERROR(__xludf.DUMMYFUNCTION("""COMPUTED_VALUE"""),17.0)</f>
        <v>17</v>
      </c>
      <c r="J3710" s="18">
        <f>IFERROR(__xludf.DUMMYFUNCTION("""COMPUTED_VALUE"""),36.0)</f>
        <v>36</v>
      </c>
      <c r="K3710" s="18">
        <f>IFERROR(__xludf.DUMMYFUNCTION("""COMPUTED_VALUE"""),24.0)</f>
        <v>24</v>
      </c>
      <c r="L3710" s="17">
        <f>IFERROR(__xludf.DUMMYFUNCTION("""COMPUTED_VALUE"""),3.166261966E9)</f>
        <v>3166261966</v>
      </c>
      <c r="M3710" s="17" t="str">
        <f>IFERROR(__xludf.DUMMYFUNCTION("""COMPUTED_VALUE"""),"#REF!")</f>
        <v>#REF!</v>
      </c>
      <c r="N3710" s="17"/>
      <c r="O3710" s="17"/>
      <c r="P3710" s="17" t="b">
        <f>IFERROR(__xludf.DUMMYFUNCTION("""COMPUTED_VALUE"""),FALSE)</f>
        <v>0</v>
      </c>
      <c r="Q3710" s="20" t="str">
        <f>IFERROR(__xludf.DUMMYFUNCTION("""COMPUTED_VALUE"""),"")</f>
        <v/>
      </c>
      <c r="R3710" s="21" t="str">
        <f>IFERROR(__xludf.DUMMYFUNCTION("""COMPUTED_VALUE"""),"https://drive.google.com/file/d/1tiRuL7H_ABAac2zhdJWcupLYe3d8y_rd/view?usp=drivesdk")</f>
        <v>https://drive.google.com/file/d/1tiRuL7H_ABAac2zhdJWcupLYe3d8y_rd/view?usp=drivesdk</v>
      </c>
    </row>
    <row r="3711">
      <c r="A3711" s="17" t="str">
        <f>IFERROR(__xludf.DUMMYFUNCTION("""COMPUTED_VALUE"""),"")</f>
        <v/>
      </c>
      <c r="B3711" s="17" t="str">
        <f>IFERROR(__xludf.DUMMYFUNCTION("""COMPUTED_VALUE"""),"")</f>
        <v/>
      </c>
      <c r="C3711" s="17" t="str">
        <f>IFERROR(__xludf.DUMMYFUNCTION("""COMPUTED_VALUE"""),"")</f>
        <v/>
      </c>
      <c r="D3711" s="17" t="str">
        <f>IFERROR(__xludf.DUMMYFUNCTION("""COMPUTED_VALUE"""),"")</f>
        <v/>
      </c>
      <c r="E3711" s="17" t="str">
        <f>IFERROR(__xludf.DUMMYFUNCTION("""COMPUTED_VALUE"""),"")</f>
        <v/>
      </c>
      <c r="F3711" s="17" t="str">
        <f>IFERROR(__xludf.DUMMYFUNCTION("""COMPUTED_VALUE"""),"")</f>
        <v/>
      </c>
      <c r="G3711" s="17" t="str">
        <f>IFERROR(__xludf.DUMMYFUNCTION("""COMPUTED_VALUE"""),"")</f>
        <v/>
      </c>
      <c r="H3711" s="17" t="str">
        <f>IFERROR(__xludf.DUMMYFUNCTION("""COMPUTED_VALUE"""),"")</f>
        <v/>
      </c>
      <c r="I3711" s="17" t="str">
        <f>IFERROR(__xludf.DUMMYFUNCTION("""COMPUTED_VALUE"""),"")</f>
        <v/>
      </c>
      <c r="J3711" s="17" t="str">
        <f>IFERROR(__xludf.DUMMYFUNCTION("""COMPUTED_VALUE"""),"")</f>
        <v/>
      </c>
      <c r="K3711" s="17" t="str">
        <f>IFERROR(__xludf.DUMMYFUNCTION("""COMPUTED_VALUE"""),"")</f>
        <v/>
      </c>
      <c r="L3711" s="17" t="str">
        <f>IFERROR(__xludf.DUMMYFUNCTION("""COMPUTED_VALUE"""),"")</f>
        <v/>
      </c>
      <c r="M3711" s="17" t="str">
        <f>IFERROR(__xludf.DUMMYFUNCTION("""COMPUTED_VALUE"""),"")</f>
        <v/>
      </c>
      <c r="N3711" s="17" t="str">
        <f>IFERROR(__xludf.DUMMYFUNCTION("""COMPUTED_VALUE"""),"")</f>
        <v/>
      </c>
      <c r="O3711" s="17" t="str">
        <f>IFERROR(__xludf.DUMMYFUNCTION("""COMPUTED_VALUE"""),"")</f>
        <v/>
      </c>
      <c r="P3711" s="17" t="str">
        <f>IFERROR(__xludf.DUMMYFUNCTION("""COMPUTED_VALUE"""),"")</f>
        <v/>
      </c>
      <c r="Q3711" s="17" t="str">
        <f>IFERROR(__xludf.DUMMYFUNCTION("""COMPUTED_VALUE"""),"")</f>
        <v/>
      </c>
      <c r="R3711" s="17" t="str">
        <f>IFERROR(__xludf.DUMMYFUNCTION("""COMPUTED_VALUE"""),"")</f>
        <v/>
      </c>
    </row>
    <row r="3712">
      <c r="A3712" s="15">
        <f>IFERROR(__xludf.DUMMYFUNCTION("""COMPUTED_VALUE"""),45112.0)</f>
        <v>45112</v>
      </c>
      <c r="B3712" s="16" t="str">
        <f>IFERROR(__xludf.DUMMYFUNCTION("""COMPUTED_VALUE"""),"Deivi Alejandro Quintero Corrales")</f>
        <v>Deivi Alejandro Quintero Corrales</v>
      </c>
      <c r="C3712" s="15" t="str">
        <f>IFERROR(__xludf.DUMMYFUNCTION("""COMPUTED_VALUE"""),"GIRARDOT")</f>
        <v>GIRARDOT</v>
      </c>
      <c r="D3712" s="15" t="str">
        <f>IFERROR(__xludf.DUMMYFUNCTION("""COMPUTED_VALUE"""),"BOGOTÁ")</f>
        <v>BOGOTÁ</v>
      </c>
      <c r="E3712" s="15" t="str">
        <f>IFERROR(__xludf.DUMMYFUNCTION("""COMPUTED_VALUE"""),"Coffit")</f>
        <v>Coffit</v>
      </c>
      <c r="F3712" s="17" t="str">
        <f>IFERROR(__xludf.DUMMYFUNCTION("""COMPUTED_VALUE"""),"carrera 9 n 19-53 local 107 edificio rafael díaz  / diagonal glorieta el leon  / glorieta leon")</f>
        <v>carrera 9 n 19-53 local 107 edificio rafael díaz  / diagonal glorieta el leon  / glorieta leon</v>
      </c>
      <c r="G3712" s="15" t="str">
        <f>IFERROR(__xludf.DUMMYFUNCTION("""COMPUTED_VALUE"""),"coffit market")</f>
        <v>coffit market</v>
      </c>
      <c r="H3712" s="16">
        <f>IFERROR(__xludf.DUMMYFUNCTION("""COMPUTED_VALUE"""),12350.0)</f>
        <v>12350</v>
      </c>
      <c r="I3712" s="18">
        <f>IFERROR(__xludf.DUMMYFUNCTION("""COMPUTED_VALUE"""),1.0)</f>
        <v>1</v>
      </c>
      <c r="J3712" s="18">
        <f>IFERROR(__xludf.DUMMYFUNCTION("""COMPUTED_VALUE"""),1.0)</f>
        <v>1</v>
      </c>
      <c r="K3712" s="18">
        <f>IFERROR(__xludf.DUMMYFUNCTION("""COMPUTED_VALUE"""),1.0)</f>
        <v>1</v>
      </c>
      <c r="L3712" s="17">
        <f>IFERROR(__xludf.DUMMYFUNCTION("""COMPUTED_VALUE"""),3.166279434E9)</f>
        <v>3166279434</v>
      </c>
      <c r="M3712" s="17" t="str">
        <f>IFERROR(__xludf.DUMMYFUNCTION("""COMPUTED_VALUE"""),"#REF!")</f>
        <v>#REF!</v>
      </c>
      <c r="N3712" s="17"/>
      <c r="O3712" s="17"/>
      <c r="P3712" s="17" t="b">
        <f>IFERROR(__xludf.DUMMYFUNCTION("""COMPUTED_VALUE"""),FALSE)</f>
        <v>0</v>
      </c>
      <c r="Q3712" s="20" t="str">
        <f>IFERROR(__xludf.DUMMYFUNCTION("""COMPUTED_VALUE"""),"")</f>
        <v/>
      </c>
      <c r="R3712" s="21" t="str">
        <f>IFERROR(__xludf.DUMMYFUNCTION("""COMPUTED_VALUE"""),"https://drive.google.com/file/d/1O5mtqTEMkF6YXrGAQx70zEdU6_DDlAN3/view?usp=drivesdk")</f>
        <v>https://drive.google.com/file/d/1O5mtqTEMkF6YXrGAQx70zEdU6_DDlAN3/view?usp=drivesdk</v>
      </c>
    </row>
    <row r="3713">
      <c r="A3713" s="15">
        <f>IFERROR(__xludf.DUMMYFUNCTION("""COMPUTED_VALUE"""),45112.0)</f>
        <v>45112</v>
      </c>
      <c r="B3713" s="16" t="str">
        <f>IFERROR(__xludf.DUMMYFUNCTION("""COMPUTED_VALUE"""),"Deivi Alejandro Quintero Corrales")</f>
        <v>Deivi Alejandro Quintero Corrales</v>
      </c>
      <c r="C3713" s="15" t="str">
        <f>IFERROR(__xludf.DUMMYFUNCTION("""COMPUTED_VALUE"""),"PEREIRA")</f>
        <v>PEREIRA</v>
      </c>
      <c r="D3713" s="15" t="str">
        <f>IFERROR(__xludf.DUMMYFUNCTION("""COMPUTED_VALUE"""),"BOGOTÁ")</f>
        <v>BOGOTÁ</v>
      </c>
      <c r="E3713" s="15" t="str">
        <f>IFERROR(__xludf.DUMMYFUNCTION("""COMPUTED_VALUE"""),"Asociacion Agropecuaria Juana Maria")</f>
        <v>Asociacion Agropecuaria Juana Maria</v>
      </c>
      <c r="F3713" s="17" t="str">
        <f>IFERROR(__xludf.DUMMYFUNCTION("""COMPUTED_VALUE"""),"Calle 153 # 23 -41 manzana 1 casa 9 sol de Galicia")</f>
        <v>Calle 153 # 23 -41 manzana 1 casa 9 sol de Galicia</v>
      </c>
      <c r="G3713" s="15" t="str">
        <f>IFERROR(__xludf.DUMMYFUNCTION("""COMPUTED_VALUE"""),"Paula Andrea Forero")</f>
        <v>Paula Andrea Forero</v>
      </c>
      <c r="H3713" s="16">
        <f>IFERROR(__xludf.DUMMYFUNCTION("""COMPUTED_VALUE"""),12262.0)</f>
        <v>12262</v>
      </c>
      <c r="I3713" s="18">
        <f>IFERROR(__xludf.DUMMYFUNCTION("""COMPUTED_VALUE"""),12.0)</f>
        <v>12</v>
      </c>
      <c r="J3713" s="18">
        <f>IFERROR(__xludf.DUMMYFUNCTION("""COMPUTED_VALUE"""),37.0)</f>
        <v>37</v>
      </c>
      <c r="K3713" s="18">
        <f>IFERROR(__xludf.DUMMYFUNCTION("""COMPUTED_VALUE"""),24.0)</f>
        <v>24</v>
      </c>
      <c r="L3713" s="17">
        <f>IFERROR(__xludf.DUMMYFUNCTION("""COMPUTED_VALUE"""),3.115760231E9)</f>
        <v>3115760231</v>
      </c>
      <c r="M3713" s="17" t="str">
        <f>IFERROR(__xludf.DUMMYFUNCTION("""COMPUTED_VALUE"""),"#REF!")</f>
        <v>#REF!</v>
      </c>
      <c r="N3713" s="17"/>
      <c r="O3713" s="17"/>
      <c r="P3713" s="17" t="b">
        <f>IFERROR(__xludf.DUMMYFUNCTION("""COMPUTED_VALUE"""),FALSE)</f>
        <v>0</v>
      </c>
      <c r="Q3713" s="20" t="str">
        <f>IFERROR(__xludf.DUMMYFUNCTION("""COMPUTED_VALUE"""),"")</f>
        <v/>
      </c>
      <c r="R3713" s="21" t="str">
        <f>IFERROR(__xludf.DUMMYFUNCTION("""COMPUTED_VALUE"""),"https://drive.google.com/file/d/1qKNxWkjP8KFi0qGwMlS0FEVqTvvaSiZ9/view?usp=drivesdk")</f>
        <v>https://drive.google.com/file/d/1qKNxWkjP8KFi0qGwMlS0FEVqTvvaSiZ9/view?usp=drivesdk</v>
      </c>
    </row>
    <row r="3714">
      <c r="A3714" s="15">
        <f>IFERROR(__xludf.DUMMYFUNCTION("""COMPUTED_VALUE"""),45112.0)</f>
        <v>45112</v>
      </c>
      <c r="B3714" s="16" t="str">
        <f>IFERROR(__xludf.DUMMYFUNCTION("""COMPUTED_VALUE"""),"Deivi Alejandro Quintero Corrales")</f>
        <v>Deivi Alejandro Quintero Corrales</v>
      </c>
      <c r="C3714" s="15" t="str">
        <f>IFERROR(__xludf.DUMMYFUNCTION("""COMPUTED_VALUE"""),"PEREIRA")</f>
        <v>PEREIRA</v>
      </c>
      <c r="D3714" s="15" t="str">
        <f>IFERROR(__xludf.DUMMYFUNCTION("""COMPUTED_VALUE"""),"BOGOTÁ")</f>
        <v>BOGOTÁ</v>
      </c>
      <c r="E3714" s="15" t="str">
        <f>IFERROR(__xludf.DUMMYFUNCTION("""COMPUTED_VALUE"""),"Evamazzita")</f>
        <v>Evamazzita</v>
      </c>
      <c r="F3714" s="17" t="str">
        <f>IFERROR(__xludf.DUMMYFUNCTION("""COMPUTED_VALUE"""),"CALLE 153 # 23 - 41  / SOL DE GALICIA MZ 1 CASA 9 / SOL DE GALICIA MZ 1 CASA 9")</f>
        <v>CALLE 153 # 23 - 41  / SOL DE GALICIA MZ 1 CASA 9 / SOL DE GALICIA MZ 1 CASA 9</v>
      </c>
      <c r="G3714" s="15" t="str">
        <f>IFERROR(__xludf.DUMMYFUNCTION("""COMPUTED_VALUE"""),"PAULA FORERO")</f>
        <v>PAULA FORERO</v>
      </c>
      <c r="H3714" s="16">
        <f>IFERROR(__xludf.DUMMYFUNCTION("""COMPUTED_VALUE"""),12288.0)</f>
        <v>12288</v>
      </c>
      <c r="I3714" s="18">
        <f>IFERROR(__xludf.DUMMYFUNCTION("""COMPUTED_VALUE"""),16.0)</f>
        <v>16</v>
      </c>
      <c r="J3714" s="18">
        <f>IFERROR(__xludf.DUMMYFUNCTION("""COMPUTED_VALUE"""),27.0)</f>
        <v>27</v>
      </c>
      <c r="K3714" s="18">
        <f>IFERROR(__xludf.DUMMYFUNCTION("""COMPUTED_VALUE"""),30.0)</f>
        <v>30</v>
      </c>
      <c r="L3714" s="17">
        <f>IFERROR(__xludf.DUMMYFUNCTION("""COMPUTED_VALUE"""),3.115760231E9)</f>
        <v>3115760231</v>
      </c>
      <c r="M3714" s="17" t="str">
        <f>IFERROR(__xludf.DUMMYFUNCTION("""COMPUTED_VALUE"""),"#REF!")</f>
        <v>#REF!</v>
      </c>
      <c r="N3714" s="17"/>
      <c r="O3714" s="17"/>
      <c r="P3714" s="17" t="b">
        <f>IFERROR(__xludf.DUMMYFUNCTION("""COMPUTED_VALUE"""),FALSE)</f>
        <v>0</v>
      </c>
      <c r="Q3714" s="20" t="str">
        <f>IFERROR(__xludf.DUMMYFUNCTION("""COMPUTED_VALUE"""),"")</f>
        <v/>
      </c>
      <c r="R3714" s="21" t="str">
        <f>IFERROR(__xludf.DUMMYFUNCTION("""COMPUTED_VALUE"""),"https://drive.google.com/file/d/10jYLUTsr3ng6ePWq1uyKoBRO2L8yWyXY/view?usp=drivesdk")</f>
        <v>https://drive.google.com/file/d/10jYLUTsr3ng6ePWq1uyKoBRO2L8yWyXY/view?usp=drivesdk</v>
      </c>
    </row>
    <row r="3715">
      <c r="A3715" s="15">
        <f>IFERROR(__xludf.DUMMYFUNCTION("""COMPUTED_VALUE"""),45112.0)</f>
        <v>45112</v>
      </c>
      <c r="B3715" s="16" t="str">
        <f>IFERROR(__xludf.DUMMYFUNCTION("""COMPUTED_VALUE"""),"Deivi Alejandro Quintero Corrales")</f>
        <v>Deivi Alejandro Quintero Corrales</v>
      </c>
      <c r="C3715" s="15" t="str">
        <f>IFERROR(__xludf.DUMMYFUNCTION("""COMPUTED_VALUE"""),"PEREIRA")</f>
        <v>PEREIRA</v>
      </c>
      <c r="D3715" s="15" t="str">
        <f>IFERROR(__xludf.DUMMYFUNCTION("""COMPUTED_VALUE"""),"BOGOTÁ")</f>
        <v>BOGOTÁ</v>
      </c>
      <c r="E3715" s="15" t="str">
        <f>IFERROR(__xludf.DUMMYFUNCTION("""COMPUTED_VALUE"""),"Top Spun")</f>
        <v>Top Spun</v>
      </c>
      <c r="F3715" s="17" t="str">
        <f>IFERROR(__xludf.DUMMYFUNCTION("""COMPUTED_VALUE"""),"AV LAS AMéRICAS #85-80 / PARQUE RESIDENCIAL SAN SILVESTRE APTO 3015 / Pereira")</f>
        <v>AV LAS AMéRICAS #85-80 / PARQUE RESIDENCIAL SAN SILVESTRE APTO 3015 / Pereira</v>
      </c>
      <c r="G3715" s="15" t="str">
        <f>IFERROR(__xludf.DUMMYFUNCTION("""COMPUTED_VALUE"""),"STEPHANY COLORADO")</f>
        <v>STEPHANY COLORADO</v>
      </c>
      <c r="H3715" s="16">
        <f>IFERROR(__xludf.DUMMYFUNCTION("""COMPUTED_VALUE"""),12244.0)</f>
        <v>12244</v>
      </c>
      <c r="I3715" s="18">
        <f>IFERROR(__xludf.DUMMYFUNCTION("""COMPUTED_VALUE"""),20.0)</f>
        <v>20</v>
      </c>
      <c r="J3715" s="18">
        <f>IFERROR(__xludf.DUMMYFUNCTION("""COMPUTED_VALUE"""),10.0)</f>
        <v>10</v>
      </c>
      <c r="K3715" s="18">
        <f>IFERROR(__xludf.DUMMYFUNCTION("""COMPUTED_VALUE"""),40.0)</f>
        <v>40</v>
      </c>
      <c r="L3715" s="17">
        <f>IFERROR(__xludf.DUMMYFUNCTION("""COMPUTED_VALUE"""),3.137239429E9)</f>
        <v>3137239429</v>
      </c>
      <c r="M3715" s="17" t="str">
        <f>IFERROR(__xludf.DUMMYFUNCTION("""COMPUTED_VALUE"""),"#REF!")</f>
        <v>#REF!</v>
      </c>
      <c r="N3715" s="17"/>
      <c r="O3715" s="17"/>
      <c r="P3715" s="17" t="b">
        <f>IFERROR(__xludf.DUMMYFUNCTION("""COMPUTED_VALUE"""),FALSE)</f>
        <v>0</v>
      </c>
      <c r="Q3715" s="20" t="str">
        <f>IFERROR(__xludf.DUMMYFUNCTION("""COMPUTED_VALUE"""),"")</f>
        <v/>
      </c>
      <c r="R3715" s="21" t="str">
        <f>IFERROR(__xludf.DUMMYFUNCTION("""COMPUTED_VALUE"""),"https://drive.google.com/file/d/1G0ZBvryq1k2kngO6DM7w2SXBXC9ES3WG/view?usp=drivesdk")</f>
        <v>https://drive.google.com/file/d/1G0ZBvryq1k2kngO6DM7w2SXBXC9ES3WG/view?usp=drivesdk</v>
      </c>
    </row>
    <row r="3716">
      <c r="A3716" s="15">
        <f>IFERROR(__xludf.DUMMYFUNCTION("""COMPUTED_VALUE"""),45112.0)</f>
        <v>45112</v>
      </c>
      <c r="B3716" s="16" t="str">
        <f>IFERROR(__xludf.DUMMYFUNCTION("""COMPUTED_VALUE"""),"Deivi Alejandro Quintero Corrales")</f>
        <v>Deivi Alejandro Quintero Corrales</v>
      </c>
      <c r="C3716" s="15" t="str">
        <f>IFERROR(__xludf.DUMMYFUNCTION("""COMPUTED_VALUE"""),"PEREIRA")</f>
        <v>PEREIRA</v>
      </c>
      <c r="D3716" s="15" t="str">
        <f>IFERROR(__xludf.DUMMYFUNCTION("""COMPUTED_VALUE"""),"BOGOTÁ")</f>
        <v>BOGOTÁ</v>
      </c>
      <c r="E3716" s="15" t="str">
        <f>IFERROR(__xludf.DUMMYFUNCTION("""COMPUTED_VALUE"""),"Viiva Fermentados")</f>
        <v>Viiva Fermentados</v>
      </c>
      <c r="F3716" s="17" t="str">
        <f>IFERROR(__xludf.DUMMYFUNCTION("""COMPUTED_VALUE"""),"CIRCUNVALAR CALLE 14 #14-15  / Tienda Majana / San José sur circunvalar")</f>
        <v>CIRCUNVALAR CALLE 14 #14-15  / Tienda Majana / San José sur circunvalar</v>
      </c>
      <c r="G3716" s="15" t="str">
        <f>IFERROR(__xludf.DUMMYFUNCTION("""COMPUTED_VALUE"""),"Majana Market Diana Marcela Valencia (2 caja grande )")</f>
        <v>Majana Market Diana Marcela Valencia (2 caja grande )</v>
      </c>
      <c r="H3716" s="16">
        <f>IFERROR(__xludf.DUMMYFUNCTION("""COMPUTED_VALUE"""),12220.0)</f>
        <v>12220</v>
      </c>
      <c r="I3716" s="18">
        <f>IFERROR(__xludf.DUMMYFUNCTION("""COMPUTED_VALUE"""),26.0)</f>
        <v>26</v>
      </c>
      <c r="J3716" s="18">
        <f>IFERROR(__xludf.DUMMYFUNCTION("""COMPUTED_VALUE"""),32.0)</f>
        <v>32</v>
      </c>
      <c r="K3716" s="18">
        <f>IFERROR(__xludf.DUMMYFUNCTION("""COMPUTED_VALUE"""),24.0)</f>
        <v>24</v>
      </c>
      <c r="L3716" s="17">
        <f>IFERROR(__xludf.DUMMYFUNCTION("""COMPUTED_VALUE"""),3.148112262E9)</f>
        <v>3148112262</v>
      </c>
      <c r="M3716" s="17" t="str">
        <f>IFERROR(__xludf.DUMMYFUNCTION("""COMPUTED_VALUE"""),"#REF!")</f>
        <v>#REF!</v>
      </c>
      <c r="N3716" s="17"/>
      <c r="O3716" s="17"/>
      <c r="P3716" s="17" t="b">
        <f>IFERROR(__xludf.DUMMYFUNCTION("""COMPUTED_VALUE"""),FALSE)</f>
        <v>0</v>
      </c>
      <c r="Q3716" s="20" t="str">
        <f>IFERROR(__xludf.DUMMYFUNCTION("""COMPUTED_VALUE"""),"")</f>
        <v/>
      </c>
      <c r="R3716" s="22" t="str">
        <f>IFERROR(__xludf.DUMMYFUNCTION("""COMPUTED_VALUE"""),"")</f>
        <v/>
      </c>
    </row>
    <row r="3717">
      <c r="A3717" s="15">
        <f>IFERROR(__xludf.DUMMYFUNCTION("""COMPUTED_VALUE"""),45112.0)</f>
        <v>45112</v>
      </c>
      <c r="B3717" s="16" t="str">
        <f>IFERROR(__xludf.DUMMYFUNCTION("""COMPUTED_VALUE"""),"Deivi Alejandro Quintero Corrales")</f>
        <v>Deivi Alejandro Quintero Corrales</v>
      </c>
      <c r="C3717" s="15" t="str">
        <f>IFERROR(__xludf.DUMMYFUNCTION("""COMPUTED_VALUE"""),"PEREIRA")</f>
        <v>PEREIRA</v>
      </c>
      <c r="D3717" s="15" t="str">
        <f>IFERROR(__xludf.DUMMYFUNCTION("""COMPUTED_VALUE"""),"MEDELLÍN")</f>
        <v>MEDELLÍN</v>
      </c>
      <c r="E3717" s="15" t="str">
        <f>IFERROR(__xludf.DUMMYFUNCTION("""COMPUTED_VALUE"""),"Baby Chef")</f>
        <v>Baby Chef</v>
      </c>
      <c r="F3717" s="17" t="str">
        <f>IFERROR(__xludf.DUMMYFUNCTION("""COMPUTED_VALUE"""),"Carrera 17 # 9-40 edificio badajoz Aprto 503 / ""Carrera 17 # 9-40 edificio badajoz Aprto 503"" / ""Carrera 17 # 9-40 edificio badajoz Aprto 503""")</f>
        <v>Carrera 17 # 9-40 edificio badajoz Aprto 503 / "Carrera 17 # 9-40 edificio badajoz Aprto 503" / "Carrera 17 # 9-40 edificio badajoz Aprto 503"</v>
      </c>
      <c r="G3717" s="15" t="str">
        <f>IFERROR(__xludf.DUMMYFUNCTION("""COMPUTED_VALUE"""),"Geraldine Sierra Restrepo")</f>
        <v>Geraldine Sierra Restrepo</v>
      </c>
      <c r="H3717" s="16">
        <f>IFERROR(__xludf.DUMMYFUNCTION("""COMPUTED_VALUE"""),12366.0)</f>
        <v>12366</v>
      </c>
      <c r="I3717" s="18">
        <f>IFERROR(__xludf.DUMMYFUNCTION("""COMPUTED_VALUE"""),8.0)</f>
        <v>8</v>
      </c>
      <c r="J3717" s="18">
        <f>IFERROR(__xludf.DUMMYFUNCTION("""COMPUTED_VALUE"""),16.0)</f>
        <v>16</v>
      </c>
      <c r="K3717" s="18">
        <f>IFERROR(__xludf.DUMMYFUNCTION("""COMPUTED_VALUE"""),20.0)</f>
        <v>20</v>
      </c>
      <c r="L3717" s="17">
        <f>IFERROR(__xludf.DUMMYFUNCTION("""COMPUTED_VALUE"""),3.217745655E9)</f>
        <v>3217745655</v>
      </c>
      <c r="M3717" s="17" t="str">
        <f>IFERROR(__xludf.DUMMYFUNCTION("""COMPUTED_VALUE"""),"#REF!")</f>
        <v>#REF!</v>
      </c>
      <c r="N3717" s="17"/>
      <c r="O3717" s="17"/>
      <c r="P3717" s="17" t="b">
        <f>IFERROR(__xludf.DUMMYFUNCTION("""COMPUTED_VALUE"""),FALSE)</f>
        <v>0</v>
      </c>
      <c r="Q3717" s="20" t="str">
        <f>IFERROR(__xludf.DUMMYFUNCTION("""COMPUTED_VALUE"""),"")</f>
        <v/>
      </c>
      <c r="R3717" s="22" t="str">
        <f>IFERROR(__xludf.DUMMYFUNCTION("""COMPUTED_VALUE"""),"")</f>
        <v/>
      </c>
    </row>
    <row r="3718">
      <c r="A3718" s="15">
        <f>IFERROR(__xludf.DUMMYFUNCTION("""COMPUTED_VALUE"""),45112.0)</f>
        <v>45112</v>
      </c>
      <c r="B3718" s="16" t="str">
        <f>IFERROR(__xludf.DUMMYFUNCTION("""COMPUTED_VALUE"""),"Deivi Alejandro Quintero Corrales")</f>
        <v>Deivi Alejandro Quintero Corrales</v>
      </c>
      <c r="C3718" s="15" t="str">
        <f>IFERROR(__xludf.DUMMYFUNCTION("""COMPUTED_VALUE"""),"PEREIRA")</f>
        <v>PEREIRA</v>
      </c>
      <c r="D3718" s="15" t="str">
        <f>IFERROR(__xludf.DUMMYFUNCTION("""COMPUTED_VALUE"""),"MEDELLÍN")</f>
        <v>MEDELLÍN</v>
      </c>
      <c r="E3718" s="15" t="str">
        <f>IFERROR(__xludf.DUMMYFUNCTION("""COMPUTED_VALUE"""),"Baby Chef")</f>
        <v>Baby Chef</v>
      </c>
      <c r="F3718" s="17" t="str">
        <f>IFERROR(__xludf.DUMMYFUNCTION("""COMPUTED_VALUE"""),"Carrera 23#14-148 edificio trilogía apartamento 405 barrio alamos / Carrera 23#14-148 edificio trilogía apartamento 405 barrio alamos / Carrera 23#14-148 edificio trilogía apartamento 405 barrio alamos")</f>
        <v>Carrera 23#14-148 edificio trilogía apartamento 405 barrio alamos / Carrera 23#14-148 edificio trilogía apartamento 405 barrio alamos / Carrera 23#14-148 edificio trilogía apartamento 405 barrio alamos</v>
      </c>
      <c r="G3718" s="15" t="str">
        <f>IFERROR(__xludf.DUMMYFUNCTION("""COMPUTED_VALUE"""),"Andrea Piamba")</f>
        <v>Andrea Piamba</v>
      </c>
      <c r="H3718" s="16">
        <f>IFERROR(__xludf.DUMMYFUNCTION("""COMPUTED_VALUE"""),12365.0)</f>
        <v>12365</v>
      </c>
      <c r="I3718" s="18">
        <f>IFERROR(__xludf.DUMMYFUNCTION("""COMPUTED_VALUE"""),8.0)</f>
        <v>8</v>
      </c>
      <c r="J3718" s="18">
        <f>IFERROR(__xludf.DUMMYFUNCTION("""COMPUTED_VALUE"""),16.0)</f>
        <v>16</v>
      </c>
      <c r="K3718" s="18">
        <f>IFERROR(__xludf.DUMMYFUNCTION("""COMPUTED_VALUE"""),20.0)</f>
        <v>20</v>
      </c>
      <c r="L3718" s="17">
        <f>IFERROR(__xludf.DUMMYFUNCTION("""COMPUTED_VALUE"""),3.105445598E9)</f>
        <v>3105445598</v>
      </c>
      <c r="M3718" s="17" t="str">
        <f>IFERROR(__xludf.DUMMYFUNCTION("""COMPUTED_VALUE"""),"#REF!")</f>
        <v>#REF!</v>
      </c>
      <c r="N3718" s="17"/>
      <c r="O3718" s="17"/>
      <c r="P3718" s="17" t="b">
        <f>IFERROR(__xludf.DUMMYFUNCTION("""COMPUTED_VALUE"""),FALSE)</f>
        <v>0</v>
      </c>
      <c r="Q3718" s="20" t="str">
        <f>IFERROR(__xludf.DUMMYFUNCTION("""COMPUTED_VALUE"""),"")</f>
        <v/>
      </c>
      <c r="R3718" s="21" t="str">
        <f>IFERROR(__xludf.DUMMYFUNCTION("""COMPUTED_VALUE"""),"https://drive.google.com/file/d/19w9jyt3uzICeYuqXLrs03LgHfYfRJgXc/view?usp=drivesdk")</f>
        <v>https://drive.google.com/file/d/19w9jyt3uzICeYuqXLrs03LgHfYfRJgXc/view?usp=drivesdk</v>
      </c>
    </row>
    <row r="3719">
      <c r="A3719" s="15">
        <f>IFERROR(__xludf.DUMMYFUNCTION("""COMPUTED_VALUE"""),45112.0)</f>
        <v>45112</v>
      </c>
      <c r="B3719" s="16" t="str">
        <f>IFERROR(__xludf.DUMMYFUNCTION("""COMPUTED_VALUE"""),"Deivi Alejandro Quintero Corrales")</f>
        <v>Deivi Alejandro Quintero Corrales</v>
      </c>
      <c r="C3719" s="15" t="str">
        <f>IFERROR(__xludf.DUMMYFUNCTION("""COMPUTED_VALUE"""),"PEREIRA")</f>
        <v>PEREIRA</v>
      </c>
      <c r="D3719" s="15" t="str">
        <f>IFERROR(__xludf.DUMMYFUNCTION("""COMPUTED_VALUE"""),"MEDELLÍN")</f>
        <v>MEDELLÍN</v>
      </c>
      <c r="E3719" s="15" t="str">
        <f>IFERROR(__xludf.DUMMYFUNCTION("""COMPUTED_VALUE"""),"Goyo Todo por ellos")</f>
        <v>Goyo Todo por ellos</v>
      </c>
      <c r="F3719" s="17" t="str">
        <f>IFERROR(__xludf.DUMMYFUNCTION("""COMPUTED_VALUE"""),"Calle 12 Bis # 16 18 / Casa Hoja Comunidad Consciente  / Barrio Pinares")</f>
        <v>Calle 12 Bis # 16 18 / Casa Hoja Comunidad Consciente  / Barrio Pinares</v>
      </c>
      <c r="G3719" s="15" t="str">
        <f>IFERROR(__xludf.DUMMYFUNCTION("""COMPUTED_VALUE"""),"Hector Hernandez")</f>
        <v>Hector Hernandez</v>
      </c>
      <c r="H3719" s="16">
        <f>IFERROR(__xludf.DUMMYFUNCTION("""COMPUTED_VALUE"""),12348.0)</f>
        <v>12348</v>
      </c>
      <c r="I3719" s="18">
        <f>IFERROR(__xludf.DUMMYFUNCTION("""COMPUTED_VALUE"""),14.0)</f>
        <v>14</v>
      </c>
      <c r="J3719" s="18">
        <f>IFERROR(__xludf.DUMMYFUNCTION("""COMPUTED_VALUE"""),40.0)</f>
        <v>40</v>
      </c>
      <c r="K3719" s="18">
        <f>IFERROR(__xludf.DUMMYFUNCTION("""COMPUTED_VALUE"""),28.0)</f>
        <v>28</v>
      </c>
      <c r="L3719" s="17">
        <f>IFERROR(__xludf.DUMMYFUNCTION("""COMPUTED_VALUE"""),3.18591145E9)</f>
        <v>3185911450</v>
      </c>
      <c r="M3719" s="17" t="str">
        <f>IFERROR(__xludf.DUMMYFUNCTION("""COMPUTED_VALUE"""),"#REF!")</f>
        <v>#REF!</v>
      </c>
      <c r="N3719" s="17"/>
      <c r="O3719" s="17"/>
      <c r="P3719" s="17" t="b">
        <f>IFERROR(__xludf.DUMMYFUNCTION("""COMPUTED_VALUE"""),FALSE)</f>
        <v>0</v>
      </c>
      <c r="Q3719" s="20" t="str">
        <f>IFERROR(__xludf.DUMMYFUNCTION("""COMPUTED_VALUE"""),"")</f>
        <v/>
      </c>
      <c r="R3719" s="21" t="str">
        <f>IFERROR(__xludf.DUMMYFUNCTION("""COMPUTED_VALUE"""),"https://drive.google.com/file/d/1q7UVrQjDbrQuKTDK3PQYakGnNWtS7pzg/view?usp=drivesdk")</f>
        <v>https://drive.google.com/file/d/1q7UVrQjDbrQuKTDK3PQYakGnNWtS7pzg/view?usp=drivesdk</v>
      </c>
    </row>
    <row r="3720">
      <c r="A3720" s="15">
        <f>IFERROR(__xludf.DUMMYFUNCTION("""COMPUTED_VALUE"""),45112.0)</f>
        <v>45112</v>
      </c>
      <c r="B3720" s="16" t="str">
        <f>IFERROR(__xludf.DUMMYFUNCTION("""COMPUTED_VALUE"""),"Deivi Alejandro Quintero Corrales")</f>
        <v>Deivi Alejandro Quintero Corrales</v>
      </c>
      <c r="C3720" s="15" t="str">
        <f>IFERROR(__xludf.DUMMYFUNCTION("""COMPUTED_VALUE"""),"PEREIRA")</f>
        <v>PEREIRA</v>
      </c>
      <c r="D3720" s="15" t="str">
        <f>IFERROR(__xludf.DUMMYFUNCTION("""COMPUTED_VALUE"""),"MEDELLÍN")</f>
        <v>MEDELLÍN</v>
      </c>
      <c r="E3720" s="15" t="str">
        <f>IFERROR(__xludf.DUMMYFUNCTION("""COMPUTED_VALUE"""),"Goyo Todo por ellos")</f>
        <v>Goyo Todo por ellos</v>
      </c>
      <c r="F3720" s="17" t="str">
        <f>IFERROR(__xludf.DUMMYFUNCTION("""COMPUTED_VALUE"""),"Calle 12 Bis #16 18 / Casa Hoja Comunidad Consciente  / Barrio Pinares")</f>
        <v>Calle 12 Bis #16 18 / Casa Hoja Comunidad Consciente  / Barrio Pinares</v>
      </c>
      <c r="G3720" s="15" t="str">
        <f>IFERROR(__xludf.DUMMYFUNCTION("""COMPUTED_VALUE"""),"Hector Hernandez")</f>
        <v>Hector Hernandez</v>
      </c>
      <c r="H3720" s="16">
        <f>IFERROR(__xludf.DUMMYFUNCTION("""COMPUTED_VALUE"""),12351.0)</f>
        <v>12351</v>
      </c>
      <c r="I3720" s="18">
        <f>IFERROR(__xludf.DUMMYFUNCTION("""COMPUTED_VALUE"""),17.0)</f>
        <v>17</v>
      </c>
      <c r="J3720" s="18">
        <f>IFERROR(__xludf.DUMMYFUNCTION("""COMPUTED_VALUE"""),32.0)</f>
        <v>32</v>
      </c>
      <c r="K3720" s="18">
        <f>IFERROR(__xludf.DUMMYFUNCTION("""COMPUTED_VALUE"""),18.0)</f>
        <v>18</v>
      </c>
      <c r="L3720" s="17">
        <f>IFERROR(__xludf.DUMMYFUNCTION("""COMPUTED_VALUE"""),3.18591145E9)</f>
        <v>3185911450</v>
      </c>
      <c r="M3720" s="17" t="str">
        <f>IFERROR(__xludf.DUMMYFUNCTION("""COMPUTED_VALUE"""),"#REF!")</f>
        <v>#REF!</v>
      </c>
      <c r="N3720" s="17"/>
      <c r="O3720" s="17"/>
      <c r="P3720" s="17" t="b">
        <f>IFERROR(__xludf.DUMMYFUNCTION("""COMPUTED_VALUE"""),FALSE)</f>
        <v>0</v>
      </c>
      <c r="Q3720" s="20" t="str">
        <f>IFERROR(__xludf.DUMMYFUNCTION("""COMPUTED_VALUE"""),"")</f>
        <v/>
      </c>
      <c r="R3720" s="22" t="str">
        <f>IFERROR(__xludf.DUMMYFUNCTION("""COMPUTED_VALUE"""),"")</f>
        <v/>
      </c>
    </row>
    <row r="3721">
      <c r="A3721" s="15">
        <f>IFERROR(__xludf.DUMMYFUNCTION("""COMPUTED_VALUE"""),45112.0)</f>
        <v>45112</v>
      </c>
      <c r="B3721" s="16" t="str">
        <f>IFERROR(__xludf.DUMMYFUNCTION("""COMPUTED_VALUE"""),"Deivi Alejandro Quintero Corrales")</f>
        <v>Deivi Alejandro Quintero Corrales</v>
      </c>
      <c r="C3721" s="15" t="str">
        <f>IFERROR(__xludf.DUMMYFUNCTION("""COMPUTED_VALUE"""),"VILLAVICENCIO")</f>
        <v>VILLAVICENCIO</v>
      </c>
      <c r="D3721" s="15" t="str">
        <f>IFERROR(__xludf.DUMMYFUNCTION("""COMPUTED_VALUE"""),"BOGOTÁ")</f>
        <v>BOGOTÁ</v>
      </c>
      <c r="E3721" s="15" t="str">
        <f>IFERROR(__xludf.DUMMYFUNCTION("""COMPUTED_VALUE"""),"Mochi")</f>
        <v>Mochi</v>
      </c>
      <c r="F3721" s="17" t="str">
        <f>IFERROR(__xludf.DUMMYFUNCTION("""COMPUTED_VALUE"""),"centro comercial viva villavicencio / centro comercial viva villavicencio / centro comercial viva villavicencio")</f>
        <v>centro comercial viva villavicencio / centro comercial viva villavicencio / centro comercial viva villavicencio</v>
      </c>
      <c r="G3721" s="15" t="str">
        <f>IFERROR(__xludf.DUMMYFUNCTION("""COMPUTED_VALUE"""),"Yurany")</f>
        <v>Yurany</v>
      </c>
      <c r="H3721" s="16">
        <f>IFERROR(__xludf.DUMMYFUNCTION("""COMPUTED_VALUE"""),12355.0)</f>
        <v>12355</v>
      </c>
      <c r="I3721" s="18">
        <f>IFERROR(__xludf.DUMMYFUNCTION("""COMPUTED_VALUE"""),100.0)</f>
        <v>100</v>
      </c>
      <c r="J3721" s="18">
        <f>IFERROR(__xludf.DUMMYFUNCTION("""COMPUTED_VALUE"""),100.0)</f>
        <v>100</v>
      </c>
      <c r="K3721" s="18">
        <f>IFERROR(__xludf.DUMMYFUNCTION("""COMPUTED_VALUE"""),300.0)</f>
        <v>300</v>
      </c>
      <c r="L3721" s="17">
        <f>IFERROR(__xludf.DUMMYFUNCTION("""COMPUTED_VALUE"""),3.106083708E9)</f>
        <v>3106083708</v>
      </c>
      <c r="M3721" s="17" t="str">
        <f>IFERROR(__xludf.DUMMYFUNCTION("""COMPUTED_VALUE"""),"#REF!")</f>
        <v>#REF!</v>
      </c>
      <c r="N3721" s="17"/>
      <c r="O3721" s="17"/>
      <c r="P3721" s="17" t="b">
        <f>IFERROR(__xludf.DUMMYFUNCTION("""COMPUTED_VALUE"""),FALSE)</f>
        <v>0</v>
      </c>
      <c r="Q3721" s="20" t="str">
        <f>IFERROR(__xludf.DUMMYFUNCTION("""COMPUTED_VALUE"""),"")</f>
        <v/>
      </c>
      <c r="R3721" s="21" t="str">
        <f>IFERROR(__xludf.DUMMYFUNCTION("""COMPUTED_VALUE"""),"https://drive.google.com/file/d/1uEqoPD1OktpojmPz15inUgPTYEQ2TKU7/view?usp=drivesdk")</f>
        <v>https://drive.google.com/file/d/1uEqoPD1OktpojmPz15inUgPTYEQ2TKU7/view?usp=drivesdk</v>
      </c>
    </row>
    <row r="3722">
      <c r="A3722" s="17" t="str">
        <f>IFERROR(__xludf.DUMMYFUNCTION("""COMPUTED_VALUE"""),"")</f>
        <v/>
      </c>
      <c r="B3722" s="17" t="str">
        <f>IFERROR(__xludf.DUMMYFUNCTION("""COMPUTED_VALUE"""),"")</f>
        <v/>
      </c>
      <c r="C3722" s="17" t="str">
        <f>IFERROR(__xludf.DUMMYFUNCTION("""COMPUTED_VALUE"""),"")</f>
        <v/>
      </c>
      <c r="D3722" s="17" t="str">
        <f>IFERROR(__xludf.DUMMYFUNCTION("""COMPUTED_VALUE"""),"")</f>
        <v/>
      </c>
      <c r="E3722" s="17" t="str">
        <f>IFERROR(__xludf.DUMMYFUNCTION("""COMPUTED_VALUE"""),"")</f>
        <v/>
      </c>
      <c r="F3722" s="17" t="str">
        <f>IFERROR(__xludf.DUMMYFUNCTION("""COMPUTED_VALUE"""),"")</f>
        <v/>
      </c>
      <c r="G3722" s="17" t="str">
        <f>IFERROR(__xludf.DUMMYFUNCTION("""COMPUTED_VALUE"""),"")</f>
        <v/>
      </c>
      <c r="H3722" s="17" t="str">
        <f>IFERROR(__xludf.DUMMYFUNCTION("""COMPUTED_VALUE"""),"")</f>
        <v/>
      </c>
      <c r="I3722" s="17" t="str">
        <f>IFERROR(__xludf.DUMMYFUNCTION("""COMPUTED_VALUE"""),"")</f>
        <v/>
      </c>
      <c r="J3722" s="17" t="str">
        <f>IFERROR(__xludf.DUMMYFUNCTION("""COMPUTED_VALUE"""),"")</f>
        <v/>
      </c>
      <c r="K3722" s="17" t="str">
        <f>IFERROR(__xludf.DUMMYFUNCTION("""COMPUTED_VALUE"""),"")</f>
        <v/>
      </c>
      <c r="L3722" s="17" t="str">
        <f>IFERROR(__xludf.DUMMYFUNCTION("""COMPUTED_VALUE"""),"")</f>
        <v/>
      </c>
      <c r="M3722" s="17" t="str">
        <f>IFERROR(__xludf.DUMMYFUNCTION("""COMPUTED_VALUE"""),"")</f>
        <v/>
      </c>
      <c r="N3722" s="17" t="str">
        <f>IFERROR(__xludf.DUMMYFUNCTION("""COMPUTED_VALUE"""),"")</f>
        <v/>
      </c>
      <c r="O3722" s="17" t="str">
        <f>IFERROR(__xludf.DUMMYFUNCTION("""COMPUTED_VALUE"""),"")</f>
        <v/>
      </c>
      <c r="P3722" s="17" t="str">
        <f>IFERROR(__xludf.DUMMYFUNCTION("""COMPUTED_VALUE"""),"")</f>
        <v/>
      </c>
      <c r="Q3722" s="17" t="str">
        <f>IFERROR(__xludf.DUMMYFUNCTION("""COMPUTED_VALUE"""),"")</f>
        <v/>
      </c>
      <c r="R3722" s="17" t="str">
        <f>IFERROR(__xludf.DUMMYFUNCTION("""COMPUTED_VALUE"""),"")</f>
        <v/>
      </c>
    </row>
    <row r="3723">
      <c r="A3723" s="15">
        <f>IFERROR(__xludf.DUMMYFUNCTION("""COMPUTED_VALUE"""),45112.0)</f>
        <v>45112</v>
      </c>
      <c r="B3723" s="16" t="str">
        <f>IFERROR(__xludf.DUMMYFUNCTION("""COMPUTED_VALUE"""),"Duvan Gabriel Alvarez Giron")</f>
        <v>Duvan Gabriel Alvarez Giron</v>
      </c>
      <c r="C3723" s="15" t="str">
        <f>IFERROR(__xludf.DUMMYFUNCTION("""COMPUTED_VALUE"""),"IBAGUÉ")</f>
        <v>IBAGUÉ</v>
      </c>
      <c r="D3723" s="15" t="str">
        <f>IFERROR(__xludf.DUMMYFUNCTION("""COMPUTED_VALUE"""),"BOGOTÁ")</f>
        <v>BOGOTÁ</v>
      </c>
      <c r="E3723" s="15" t="str">
        <f>IFERROR(__xludf.DUMMYFUNCTION("""COMPUTED_VALUE"""),"Asociacion Agropecuaria Juana Maria")</f>
        <v>Asociacion Agropecuaria Juana Maria</v>
      </c>
      <c r="F3723" s="17" t="str">
        <f>IFERROR(__xludf.DUMMYFUNCTION("""COMPUTED_VALUE"""),"Calle 93 # 7 Sur-90 torre 8 apto 102 Conjunto Residencial Altagracia")</f>
        <v>Calle 93 # 7 Sur-90 torre 8 apto 102 Conjunto Residencial Altagracia</v>
      </c>
      <c r="G3723" s="15" t="str">
        <f>IFERROR(__xludf.DUMMYFUNCTION("""COMPUTED_VALUE"""),"Mariam Yasmin Murillo Rubio")</f>
        <v>Mariam Yasmin Murillo Rubio</v>
      </c>
      <c r="H3723" s="16">
        <f>IFERROR(__xludf.DUMMYFUNCTION("""COMPUTED_VALUE"""),12255.0)</f>
        <v>12255</v>
      </c>
      <c r="I3723" s="18">
        <f>IFERROR(__xludf.DUMMYFUNCTION("""COMPUTED_VALUE"""),21.0)</f>
        <v>21</v>
      </c>
      <c r="J3723" s="18">
        <f>IFERROR(__xludf.DUMMYFUNCTION("""COMPUTED_VALUE"""),37.0)</f>
        <v>37</v>
      </c>
      <c r="K3723" s="18">
        <f>IFERROR(__xludf.DUMMYFUNCTION("""COMPUTED_VALUE"""),30.0)</f>
        <v>30</v>
      </c>
      <c r="L3723" s="17">
        <f>IFERROR(__xludf.DUMMYFUNCTION("""COMPUTED_VALUE"""),3.105789664E9)</f>
        <v>3105789664</v>
      </c>
      <c r="M3723" s="17" t="str">
        <f>IFERROR(__xludf.DUMMYFUNCTION("""COMPUTED_VALUE"""),"#REF!")</f>
        <v>#REF!</v>
      </c>
      <c r="N3723" s="17"/>
      <c r="O3723" s="17"/>
      <c r="P3723" s="17" t="b">
        <f>IFERROR(__xludf.DUMMYFUNCTION("""COMPUTED_VALUE"""),FALSE)</f>
        <v>0</v>
      </c>
      <c r="Q3723" s="20" t="str">
        <f>IFERROR(__xludf.DUMMYFUNCTION("""COMPUTED_VALUE"""),"")</f>
        <v/>
      </c>
      <c r="R3723" s="21" t="str">
        <f>IFERROR(__xludf.DUMMYFUNCTION("""COMPUTED_VALUE"""),"https://drive.google.com/file/d/1ruVrjCVIWmDqbMje4rWAvPXec2s_w_eE/view?usp=drivesdk")</f>
        <v>https://drive.google.com/file/d/1ruVrjCVIWmDqbMje4rWAvPXec2s_w_eE/view?usp=drivesdk</v>
      </c>
    </row>
    <row r="3724">
      <c r="A3724" s="15">
        <f>IFERROR(__xludf.DUMMYFUNCTION("""COMPUTED_VALUE"""),45112.0)</f>
        <v>45112</v>
      </c>
      <c r="B3724" s="16" t="str">
        <f>IFERROR(__xludf.DUMMYFUNCTION("""COMPUTED_VALUE"""),"Duvan Gabriel Alvarez Giron")</f>
        <v>Duvan Gabriel Alvarez Giron</v>
      </c>
      <c r="C3724" s="15" t="str">
        <f>IFERROR(__xludf.DUMMYFUNCTION("""COMPUTED_VALUE"""),"IBAGUÉ")</f>
        <v>IBAGUÉ</v>
      </c>
      <c r="D3724" s="15" t="str">
        <f>IFERROR(__xludf.DUMMYFUNCTION("""COMPUTED_VALUE"""),"BOGOTÁ")</f>
        <v>BOGOTÁ</v>
      </c>
      <c r="E3724" s="15" t="str">
        <f>IFERROR(__xludf.DUMMYFUNCTION("""COMPUTED_VALUE"""),"Evamazzita")</f>
        <v>Evamazzita</v>
      </c>
      <c r="F3724" s="17" t="str">
        <f>IFERROR(__xludf.DUMMYFUNCTION("""COMPUTED_VALUE"""),"CRA 11 A #35-62 / CRA 11 A #35-62 / CRA 11 A #35-62")</f>
        <v>CRA 11 A #35-62 / CRA 11 A #35-62 / CRA 11 A #35-62</v>
      </c>
      <c r="G3724" s="15" t="str">
        <f>IFERROR(__xludf.DUMMYFUNCTION("""COMPUTED_VALUE"""),"JORGE BERNARDO TORRES")</f>
        <v>JORGE BERNARDO TORRES</v>
      </c>
      <c r="H3724" s="16">
        <f>IFERROR(__xludf.DUMMYFUNCTION("""COMPUTED_VALUE"""),12289.0)</f>
        <v>12289</v>
      </c>
      <c r="I3724" s="18">
        <f>IFERROR(__xludf.DUMMYFUNCTION("""COMPUTED_VALUE"""),17.0)</f>
        <v>17</v>
      </c>
      <c r="J3724" s="18">
        <f>IFERROR(__xludf.DUMMYFUNCTION("""COMPUTED_VALUE"""),32.0)</f>
        <v>32</v>
      </c>
      <c r="K3724" s="18">
        <f>IFERROR(__xludf.DUMMYFUNCTION("""COMPUTED_VALUE"""),29.0)</f>
        <v>29</v>
      </c>
      <c r="L3724" s="17">
        <f>IFERROR(__xludf.DUMMYFUNCTION("""COMPUTED_VALUE"""),3.144530156E9)</f>
        <v>3144530156</v>
      </c>
      <c r="M3724" s="17" t="str">
        <f>IFERROR(__xludf.DUMMYFUNCTION("""COMPUTED_VALUE"""),"#REF!")</f>
        <v>#REF!</v>
      </c>
      <c r="N3724" s="17"/>
      <c r="O3724" s="17"/>
      <c r="P3724" s="17" t="b">
        <f>IFERROR(__xludf.DUMMYFUNCTION("""COMPUTED_VALUE"""),FALSE)</f>
        <v>0</v>
      </c>
      <c r="Q3724" s="20" t="str">
        <f>IFERROR(__xludf.DUMMYFUNCTION("""COMPUTED_VALUE"""),"")</f>
        <v/>
      </c>
      <c r="R3724" s="21" t="str">
        <f>IFERROR(__xludf.DUMMYFUNCTION("""COMPUTED_VALUE"""),"https://drive.google.com/file/d/1Op8vfkR-pUZP4ujvevxYOheOZ7zuMEPA/view?usp=drivesdk")</f>
        <v>https://drive.google.com/file/d/1Op8vfkR-pUZP4ujvevxYOheOZ7zuMEPA/view?usp=drivesdk</v>
      </c>
    </row>
    <row r="3725">
      <c r="A3725" s="15">
        <f>IFERROR(__xludf.DUMMYFUNCTION("""COMPUTED_VALUE"""),45112.0)</f>
        <v>45112</v>
      </c>
      <c r="B3725" s="16" t="str">
        <f>IFERROR(__xludf.DUMMYFUNCTION("""COMPUTED_VALUE"""),"Duvan Gabriel Alvarez Giron")</f>
        <v>Duvan Gabriel Alvarez Giron</v>
      </c>
      <c r="C3725" s="15" t="str">
        <f>IFERROR(__xludf.DUMMYFUNCTION("""COMPUTED_VALUE"""),"IBAGUÉ")</f>
        <v>IBAGUÉ</v>
      </c>
      <c r="D3725" s="15" t="str">
        <f>IFERROR(__xludf.DUMMYFUNCTION("""COMPUTED_VALUE"""),"BOGOTÁ")</f>
        <v>BOGOTÁ</v>
      </c>
      <c r="E3725" s="15" t="str">
        <f>IFERROR(__xludf.DUMMYFUNCTION("""COMPUTED_VALUE"""),"Frambascolombia sas")</f>
        <v>Frambascolombia sas</v>
      </c>
      <c r="F3725" s="17" t="str">
        <f>IFERROR(__xludf.DUMMYFUNCTION("""COMPUTED_VALUE"""),"Cra 14 # 75A-29 Local 5
 / local 2")</f>
        <v>Cra 14 # 75A-29 Local 5
 / local 2</v>
      </c>
      <c r="G3725" s="15" t="str">
        <f>IFERROR(__xludf.DUMMYFUNCTION("""COMPUTED_VALUE"""),"Daniela Tatiana Lopez Arbelaez")</f>
        <v>Daniela Tatiana Lopez Arbelaez</v>
      </c>
      <c r="H3725" s="16">
        <f>IFERROR(__xludf.DUMMYFUNCTION("""COMPUTED_VALUE"""),12268.0)</f>
        <v>12268</v>
      </c>
      <c r="I3725" s="18">
        <f>IFERROR(__xludf.DUMMYFUNCTION("""COMPUTED_VALUE"""),8.0)</f>
        <v>8</v>
      </c>
      <c r="J3725" s="18">
        <f>IFERROR(__xludf.DUMMYFUNCTION("""COMPUTED_VALUE"""),44992.0)</f>
        <v>44992</v>
      </c>
      <c r="K3725" s="18">
        <f>IFERROR(__xludf.DUMMYFUNCTION("""COMPUTED_VALUE"""),44992.0)</f>
        <v>44992</v>
      </c>
      <c r="L3725" s="17">
        <f>IFERROR(__xludf.DUMMYFUNCTION("""COMPUTED_VALUE"""),3.177002909E9)</f>
        <v>3177002909</v>
      </c>
      <c r="M3725" s="17" t="str">
        <f>IFERROR(__xludf.DUMMYFUNCTION("""COMPUTED_VALUE"""),"#REF!")</f>
        <v>#REF!</v>
      </c>
      <c r="N3725" s="17"/>
      <c r="O3725" s="17"/>
      <c r="P3725" s="17" t="b">
        <f>IFERROR(__xludf.DUMMYFUNCTION("""COMPUTED_VALUE"""),FALSE)</f>
        <v>0</v>
      </c>
      <c r="Q3725" s="20" t="str">
        <f>IFERROR(__xludf.DUMMYFUNCTION("""COMPUTED_VALUE"""),"")</f>
        <v/>
      </c>
      <c r="R3725" s="22" t="str">
        <f>IFERROR(__xludf.DUMMYFUNCTION("""COMPUTED_VALUE"""),"")</f>
        <v/>
      </c>
    </row>
    <row r="3726">
      <c r="A3726" s="15">
        <f>IFERROR(__xludf.DUMMYFUNCTION("""COMPUTED_VALUE"""),45112.0)</f>
        <v>45112</v>
      </c>
      <c r="B3726" s="16" t="str">
        <f>IFERROR(__xludf.DUMMYFUNCTION("""COMPUTED_VALUE"""),"Duvan Gabriel Alvarez Giron")</f>
        <v>Duvan Gabriel Alvarez Giron</v>
      </c>
      <c r="C3726" s="15" t="str">
        <f>IFERROR(__xludf.DUMMYFUNCTION("""COMPUTED_VALUE"""),"IBAGUÉ")</f>
        <v>IBAGUÉ</v>
      </c>
      <c r="D3726" s="15" t="str">
        <f>IFERROR(__xludf.DUMMYFUNCTION("""COMPUTED_VALUE"""),"BOGOTÁ")</f>
        <v>BOGOTÁ</v>
      </c>
      <c r="E3726" s="15" t="str">
        <f>IFERROR(__xludf.DUMMYFUNCTION("""COMPUTED_VALUE"""),"Frutos Silvestres")</f>
        <v>Frutos Silvestres</v>
      </c>
      <c r="F3726" s="17" t="str">
        <f>IFERROR(__xludf.DUMMYFUNCTION("""COMPUTED_VALUE"""),"Manzana 12 casa 11  / Primer piso puerta negra  / Terrazas del tejar")</f>
        <v>Manzana 12 casa 11  / Primer piso puerta negra  / Terrazas del tejar</v>
      </c>
      <c r="G3726" s="15" t="str">
        <f>IFERROR(__xludf.DUMMYFUNCTION("""COMPUTED_VALUE"""),"Johanna Jaramillo")</f>
        <v>Johanna Jaramillo</v>
      </c>
      <c r="H3726" s="16">
        <f>IFERROR(__xludf.DUMMYFUNCTION("""COMPUTED_VALUE"""),12338.0)</f>
        <v>12338</v>
      </c>
      <c r="I3726" s="18">
        <f>IFERROR(__xludf.DUMMYFUNCTION("""COMPUTED_VALUE"""),23.0)</f>
        <v>23</v>
      </c>
      <c r="J3726" s="18">
        <f>IFERROR(__xludf.DUMMYFUNCTION("""COMPUTED_VALUE"""),19.0)</f>
        <v>19</v>
      </c>
      <c r="K3726" s="18">
        <f>IFERROR(__xludf.DUMMYFUNCTION("""COMPUTED_VALUE"""),27.0)</f>
        <v>27</v>
      </c>
      <c r="L3726" s="17">
        <f>IFERROR(__xludf.DUMMYFUNCTION("""COMPUTED_VALUE"""),3.245887861E9)</f>
        <v>3245887861</v>
      </c>
      <c r="M3726" s="17" t="str">
        <f>IFERROR(__xludf.DUMMYFUNCTION("""COMPUTED_VALUE"""),"#REF!")</f>
        <v>#REF!</v>
      </c>
      <c r="N3726" s="17"/>
      <c r="O3726" s="17"/>
      <c r="P3726" s="17" t="b">
        <f>IFERROR(__xludf.DUMMYFUNCTION("""COMPUTED_VALUE"""),FALSE)</f>
        <v>0</v>
      </c>
      <c r="Q3726" s="20" t="str">
        <f>IFERROR(__xludf.DUMMYFUNCTION("""COMPUTED_VALUE"""),"")</f>
        <v/>
      </c>
      <c r="R3726" s="21" t="str">
        <f>IFERROR(__xludf.DUMMYFUNCTION("""COMPUTED_VALUE"""),"https://drive.google.com/file/d/1o17pVE3u6lPNDGRstk6BdZUQqqeRFXQc/view?usp=drivesdk")</f>
        <v>https://drive.google.com/file/d/1o17pVE3u6lPNDGRstk6BdZUQqqeRFXQc/view?usp=drivesdk</v>
      </c>
    </row>
    <row r="3727">
      <c r="A3727" s="15">
        <f>IFERROR(__xludf.DUMMYFUNCTION("""COMPUTED_VALUE"""),45112.0)</f>
        <v>45112</v>
      </c>
      <c r="B3727" s="16" t="str">
        <f>IFERROR(__xludf.DUMMYFUNCTION("""COMPUTED_VALUE"""),"Duvan Gabriel Alvarez Giron")</f>
        <v>Duvan Gabriel Alvarez Giron</v>
      </c>
      <c r="C3727" s="15" t="str">
        <f>IFERROR(__xludf.DUMMYFUNCTION("""COMPUTED_VALUE"""),"IBAGUÉ")</f>
        <v>IBAGUÉ</v>
      </c>
      <c r="D3727" s="15" t="str">
        <f>IFERROR(__xludf.DUMMYFUNCTION("""COMPUTED_VALUE"""),"BOGOTÁ")</f>
        <v>BOGOTÁ</v>
      </c>
      <c r="E3727" s="15" t="str">
        <f>IFERROR(__xludf.DUMMYFUNCTION("""COMPUTED_VALUE"""),"Ins. Alimento Vital")</f>
        <v>Ins. Alimento Vital</v>
      </c>
      <c r="F3727" s="17" t="str">
        <f>IFERROR(__xludf.DUMMYFUNCTION("""COMPUTED_VALUE"""),"CASA 4B MANZANA 4 / ALAMEDA LA CAMPIÑA / SECTOR CALATAYUD")</f>
        <v>CASA 4B MANZANA 4 / ALAMEDA LA CAMPIÑA / SECTOR CALATAYUD</v>
      </c>
      <c r="G3727" s="15" t="str">
        <f>IFERROR(__xludf.DUMMYFUNCTION("""COMPUTED_VALUE"""),"JESUS DAVID DELGADO TASCON")</f>
        <v>JESUS DAVID DELGADO TASCON</v>
      </c>
      <c r="H3727" s="16">
        <f>IFERROR(__xludf.DUMMYFUNCTION("""COMPUTED_VALUE"""),12274.0)</f>
        <v>12274</v>
      </c>
      <c r="I3727" s="18">
        <f>IFERROR(__xludf.DUMMYFUNCTION("""COMPUTED_VALUE"""),1.0)</f>
        <v>1</v>
      </c>
      <c r="J3727" s="18">
        <f>IFERROR(__xludf.DUMMYFUNCTION("""COMPUTED_VALUE"""),1.0)</f>
        <v>1</v>
      </c>
      <c r="K3727" s="18">
        <f>IFERROR(__xludf.DUMMYFUNCTION("""COMPUTED_VALUE"""),1.0)</f>
        <v>1</v>
      </c>
      <c r="L3727" s="17">
        <f>IFERROR(__xludf.DUMMYFUNCTION("""COMPUTED_VALUE"""),3.196515049E9)</f>
        <v>3196515049</v>
      </c>
      <c r="M3727" s="17" t="str">
        <f>IFERROR(__xludf.DUMMYFUNCTION("""COMPUTED_VALUE"""),"#REF!")</f>
        <v>#REF!</v>
      </c>
      <c r="N3727" s="17"/>
      <c r="O3727" s="17"/>
      <c r="P3727" s="17" t="b">
        <f>IFERROR(__xludf.DUMMYFUNCTION("""COMPUTED_VALUE"""),FALSE)</f>
        <v>0</v>
      </c>
      <c r="Q3727" s="20" t="str">
        <f>IFERROR(__xludf.DUMMYFUNCTION("""COMPUTED_VALUE"""),"")</f>
        <v/>
      </c>
      <c r="R3727" s="21" t="str">
        <f>IFERROR(__xludf.DUMMYFUNCTION("""COMPUTED_VALUE"""),"https://drive.google.com/file/d/1uMuB31rNX7FOsdI4M9kX-J7QxofAJD3Z/view?usp=drivesdk")</f>
        <v>https://drive.google.com/file/d/1uMuB31rNX7FOsdI4M9kX-J7QxofAJD3Z/view?usp=drivesdk</v>
      </c>
    </row>
    <row r="3728">
      <c r="A3728" s="15">
        <f>IFERROR(__xludf.DUMMYFUNCTION("""COMPUTED_VALUE"""),45112.0)</f>
        <v>45112</v>
      </c>
      <c r="B3728" s="16" t="str">
        <f>IFERROR(__xludf.DUMMYFUNCTION("""COMPUTED_VALUE"""),"Duvan Gabriel Alvarez Giron")</f>
        <v>Duvan Gabriel Alvarez Giron</v>
      </c>
      <c r="C3728" s="15" t="str">
        <f>IFERROR(__xludf.DUMMYFUNCTION("""COMPUTED_VALUE"""),"PIEDECUESTA")</f>
        <v>PIEDECUESTA</v>
      </c>
      <c r="D3728" s="15" t="str">
        <f>IFERROR(__xludf.DUMMYFUNCTION("""COMPUTED_VALUE"""),"MEDELLÍN")</f>
        <v>MEDELLÍN</v>
      </c>
      <c r="E3728" s="15" t="str">
        <f>IFERROR(__xludf.DUMMYFUNCTION("""COMPUTED_VALUE"""),"Puro Verde")</f>
        <v>Puro Verde</v>
      </c>
      <c r="F3728" s="17" t="str">
        <f>IFERROR(__xludf.DUMMYFUNCTION("""COMPUTED_VALUE"""),"TERRAZAS DE MENSULY.  / CASA 31. KM 3  / VIA PIEDECUESTA A FLORIDABLANCA")</f>
        <v>TERRAZAS DE MENSULY.  / CASA 31. KM 3  / VIA PIEDECUESTA A FLORIDABLANCA</v>
      </c>
      <c r="G3728" s="15" t="str">
        <f>IFERROR(__xludf.DUMMYFUNCTION("""COMPUTED_VALUE"""),"CLAUDIA AMAYA")</f>
        <v>CLAUDIA AMAYA</v>
      </c>
      <c r="H3728" s="16">
        <f>IFERROR(__xludf.DUMMYFUNCTION("""COMPUTED_VALUE"""),12239.0)</f>
        <v>12239</v>
      </c>
      <c r="I3728" s="18">
        <f>IFERROR(__xludf.DUMMYFUNCTION("""COMPUTED_VALUE"""),12.0)</f>
        <v>12</v>
      </c>
      <c r="J3728" s="18">
        <f>IFERROR(__xludf.DUMMYFUNCTION("""COMPUTED_VALUE"""),18.0)</f>
        <v>18</v>
      </c>
      <c r="K3728" s="18">
        <f>IFERROR(__xludf.DUMMYFUNCTION("""COMPUTED_VALUE"""),45.0)</f>
        <v>45</v>
      </c>
      <c r="L3728" s="17">
        <f>IFERROR(__xludf.DUMMYFUNCTION("""COMPUTED_VALUE"""),3.152148983E9)</f>
        <v>3152148983</v>
      </c>
      <c r="M3728" s="17" t="str">
        <f>IFERROR(__xludf.DUMMYFUNCTION("""COMPUTED_VALUE"""),"#REF!")</f>
        <v>#REF!</v>
      </c>
      <c r="N3728" s="17"/>
      <c r="O3728" s="17"/>
      <c r="P3728" s="17" t="b">
        <f>IFERROR(__xludf.DUMMYFUNCTION("""COMPUTED_VALUE"""),FALSE)</f>
        <v>0</v>
      </c>
      <c r="Q3728" s="20" t="str">
        <f>IFERROR(__xludf.DUMMYFUNCTION("""COMPUTED_VALUE"""),"")</f>
        <v/>
      </c>
      <c r="R3728" s="21" t="str">
        <f>IFERROR(__xludf.DUMMYFUNCTION("""COMPUTED_VALUE"""),"https://drive.google.com/file/d/18GBj-SG16OW8ls_RF6oBt6o8sh4GSbMj/view?usp=drivesdk")</f>
        <v>https://drive.google.com/file/d/18GBj-SG16OW8ls_RF6oBt6o8sh4GSbMj/view?usp=drivesdk</v>
      </c>
    </row>
    <row r="3729">
      <c r="A3729" s="15">
        <f>IFERROR(__xludf.DUMMYFUNCTION("""COMPUTED_VALUE"""),45112.0)</f>
        <v>45112</v>
      </c>
      <c r="B3729" s="16" t="str">
        <f>IFERROR(__xludf.DUMMYFUNCTION("""COMPUTED_VALUE"""),"Duvan Gabriel Alvarez Giron")</f>
        <v>Duvan Gabriel Alvarez Giron</v>
      </c>
      <c r="C3729" s="15" t="str">
        <f>IFERROR(__xludf.DUMMYFUNCTION("""COMPUTED_VALUE"""),"SINCELEJO")</f>
        <v>SINCELEJO</v>
      </c>
      <c r="D3729" s="15" t="str">
        <f>IFERROR(__xludf.DUMMYFUNCTION("""COMPUTED_VALUE"""),"MEDELLÍN")</f>
        <v>MEDELLÍN</v>
      </c>
      <c r="E3729" s="15" t="str">
        <f>IFERROR(__xludf.DUMMYFUNCTION("""COMPUTED_VALUE"""),"Rambla")</f>
        <v>Rambla</v>
      </c>
      <c r="F3729" s="17" t="str">
        <f>IFERROR(__xludf.DUMMYFUNCTION("""COMPUTED_VALUE"""),"calle 32 #33 -119 local 101 cc living mall brr vene / NA / NA")</f>
        <v>calle 32 #33 -119 local 101 cc living mall brr vene / NA / NA</v>
      </c>
      <c r="G3729" s="15" t="str">
        <f>IFERROR(__xludf.DUMMYFUNCTION("""COMPUTED_VALUE"""),"Oliva")</f>
        <v>Oliva</v>
      </c>
      <c r="H3729" s="16">
        <f>IFERROR(__xludf.DUMMYFUNCTION("""COMPUTED_VALUE"""),12329.0)</f>
        <v>12329</v>
      </c>
      <c r="I3729" s="18">
        <f>IFERROR(__xludf.DUMMYFUNCTION("""COMPUTED_VALUE"""),25.0)</f>
        <v>25</v>
      </c>
      <c r="J3729" s="18">
        <f>IFERROR(__xludf.DUMMYFUNCTION("""COMPUTED_VALUE"""),26.0)</f>
        <v>26</v>
      </c>
      <c r="K3729" s="18">
        <f>IFERROR(__xludf.DUMMYFUNCTION("""COMPUTED_VALUE"""),28.0)</f>
        <v>28</v>
      </c>
      <c r="L3729" s="17">
        <f>IFERROR(__xludf.DUMMYFUNCTION("""COMPUTED_VALUE"""),3.022293728E9)</f>
        <v>3022293728</v>
      </c>
      <c r="M3729" s="17" t="str">
        <f>IFERROR(__xludf.DUMMYFUNCTION("""COMPUTED_VALUE"""),"#REF!")</f>
        <v>#REF!</v>
      </c>
      <c r="N3729" s="17"/>
      <c r="O3729" s="17"/>
      <c r="P3729" s="17" t="b">
        <f>IFERROR(__xludf.DUMMYFUNCTION("""COMPUTED_VALUE"""),FALSE)</f>
        <v>0</v>
      </c>
      <c r="Q3729" s="20" t="str">
        <f>IFERROR(__xludf.DUMMYFUNCTION("""COMPUTED_VALUE"""),"")</f>
        <v/>
      </c>
      <c r="R3729" s="21" t="str">
        <f>IFERROR(__xludf.DUMMYFUNCTION("""COMPUTED_VALUE"""),"https://drive.google.com/file/d/1THR4Y5FVCVQaILAnTtmSzOyqvOCX0JK1/view?usp=drivesdk")</f>
        <v>https://drive.google.com/file/d/1THR4Y5FVCVQaILAnTtmSzOyqvOCX0JK1/view?usp=drivesdk</v>
      </c>
    </row>
    <row r="3730">
      <c r="A3730" s="17" t="str">
        <f>IFERROR(__xludf.DUMMYFUNCTION("""COMPUTED_VALUE"""),"")</f>
        <v/>
      </c>
      <c r="B3730" s="17" t="str">
        <f>IFERROR(__xludf.DUMMYFUNCTION("""COMPUTED_VALUE"""),"")</f>
        <v/>
      </c>
      <c r="C3730" s="17" t="str">
        <f>IFERROR(__xludf.DUMMYFUNCTION("""COMPUTED_VALUE"""),"")</f>
        <v/>
      </c>
      <c r="D3730" s="17" t="str">
        <f>IFERROR(__xludf.DUMMYFUNCTION("""COMPUTED_VALUE"""),"")</f>
        <v/>
      </c>
      <c r="E3730" s="17" t="str">
        <f>IFERROR(__xludf.DUMMYFUNCTION("""COMPUTED_VALUE"""),"")</f>
        <v/>
      </c>
      <c r="F3730" s="17" t="str">
        <f>IFERROR(__xludf.DUMMYFUNCTION("""COMPUTED_VALUE"""),"")</f>
        <v/>
      </c>
      <c r="G3730" s="17" t="str">
        <f>IFERROR(__xludf.DUMMYFUNCTION("""COMPUTED_VALUE"""),"")</f>
        <v/>
      </c>
      <c r="H3730" s="17" t="str">
        <f>IFERROR(__xludf.DUMMYFUNCTION("""COMPUTED_VALUE"""),"")</f>
        <v/>
      </c>
      <c r="I3730" s="17" t="str">
        <f>IFERROR(__xludf.DUMMYFUNCTION("""COMPUTED_VALUE"""),"")</f>
        <v/>
      </c>
      <c r="J3730" s="17" t="str">
        <f>IFERROR(__xludf.DUMMYFUNCTION("""COMPUTED_VALUE"""),"")</f>
        <v/>
      </c>
      <c r="K3730" s="17" t="str">
        <f>IFERROR(__xludf.DUMMYFUNCTION("""COMPUTED_VALUE"""),"")</f>
        <v/>
      </c>
      <c r="L3730" s="17" t="str">
        <f>IFERROR(__xludf.DUMMYFUNCTION("""COMPUTED_VALUE"""),"")</f>
        <v/>
      </c>
      <c r="M3730" s="17" t="str">
        <f>IFERROR(__xludf.DUMMYFUNCTION("""COMPUTED_VALUE"""),"")</f>
        <v/>
      </c>
      <c r="N3730" s="17" t="str">
        <f>IFERROR(__xludf.DUMMYFUNCTION("""COMPUTED_VALUE"""),"")</f>
        <v/>
      </c>
      <c r="O3730" s="17" t="str">
        <f>IFERROR(__xludf.DUMMYFUNCTION("""COMPUTED_VALUE"""),"")</f>
        <v/>
      </c>
      <c r="P3730" s="17" t="str">
        <f>IFERROR(__xludf.DUMMYFUNCTION("""COMPUTED_VALUE"""),"")</f>
        <v/>
      </c>
      <c r="Q3730" s="17" t="str">
        <f>IFERROR(__xludf.DUMMYFUNCTION("""COMPUTED_VALUE"""),"")</f>
        <v/>
      </c>
      <c r="R3730" s="17" t="str">
        <f>IFERROR(__xludf.DUMMYFUNCTION("""COMPUTED_VALUE"""),"")</f>
        <v/>
      </c>
    </row>
    <row r="3731">
      <c r="A3731" s="15">
        <f>IFERROR(__xludf.DUMMYFUNCTION("""COMPUTED_VALUE"""),45112.0)</f>
        <v>45112</v>
      </c>
      <c r="B3731" s="16" t="str">
        <f>IFERROR(__xludf.DUMMYFUNCTION("""COMPUTED_VALUE"""),"Envia")</f>
        <v>Envia</v>
      </c>
      <c r="C3731" s="15" t="str">
        <f>IFERROR(__xludf.DUMMYFUNCTION("""COMPUTED_VALUE"""),"BOGOTÁ")</f>
        <v>BOGOTÁ</v>
      </c>
      <c r="D3731" s="15" t="str">
        <f>IFERROR(__xludf.DUMMYFUNCTION("""COMPUTED_VALUE"""),"MEDELLÍN")</f>
        <v>MEDELLÍN</v>
      </c>
      <c r="E3731" s="15" t="str">
        <f>IFERROR(__xludf.DUMMYFUNCTION("""COMPUTED_VALUE"""),"Baby Chef")</f>
        <v>Baby Chef</v>
      </c>
      <c r="F3731" s="17" t="str">
        <f>IFERROR(__xludf.DUMMYFUNCTION("""COMPUTED_VALUE"""),"carrera 58c #142-20 interior 2 apto 202 conjunto acrópolis barrio colina campestre / carrera 58c #142-20 interior 2 apto 202 conjunto acrópolis barrio colina campestre / carrera 58c #142-20 interior 2 apto 202 conjunto acrópolis barrio colina campestre")</f>
        <v>carrera 58c #142-20 interior 2 apto 202 conjunto acrópolis barrio colina campestre / carrera 58c #142-20 interior 2 apto 202 conjunto acrópolis barrio colina campestre / carrera 58c #142-20 interior 2 apto 202 conjunto acrópolis barrio colina campestre</v>
      </c>
      <c r="G3731" s="15" t="str">
        <f>IFERROR(__xludf.DUMMYFUNCTION("""COMPUTED_VALUE"""),"Monica Paramo Alvarez")</f>
        <v>Monica Paramo Alvarez</v>
      </c>
      <c r="H3731" s="16">
        <f>IFERROR(__xludf.DUMMYFUNCTION("""COMPUTED_VALUE"""),12364.0)</f>
        <v>12364</v>
      </c>
      <c r="I3731" s="18">
        <f>IFERROR(__xludf.DUMMYFUNCTION("""COMPUTED_VALUE"""),8.0)</f>
        <v>8</v>
      </c>
      <c r="J3731" s="18">
        <f>IFERROR(__xludf.DUMMYFUNCTION("""COMPUTED_VALUE"""),16.0)</f>
        <v>16</v>
      </c>
      <c r="K3731" s="18">
        <f>IFERROR(__xludf.DUMMYFUNCTION("""COMPUTED_VALUE"""),20.0)</f>
        <v>20</v>
      </c>
      <c r="L3731" s="17">
        <f>IFERROR(__xludf.DUMMYFUNCTION("""COMPUTED_VALUE"""),3.124342591E9)</f>
        <v>3124342591</v>
      </c>
      <c r="M3731" s="17" t="str">
        <f>IFERROR(__xludf.DUMMYFUNCTION("""COMPUTED_VALUE"""),"#REF!")</f>
        <v>#REF!</v>
      </c>
      <c r="N3731" s="17"/>
      <c r="O3731" s="17"/>
      <c r="P3731" s="17" t="b">
        <f>IFERROR(__xludf.DUMMYFUNCTION("""COMPUTED_VALUE"""),TRUE)</f>
        <v>1</v>
      </c>
      <c r="Q3731" s="20">
        <f>IFERROR(__xludf.DUMMYFUNCTION("""COMPUTED_VALUE"""),45113.492499618056)</f>
        <v>45113.4925</v>
      </c>
      <c r="R3731" s="21" t="str">
        <f>IFERROR(__xludf.DUMMYFUNCTION("""COMPUTED_VALUE"""),"https://drive.google.com/file/d/1GNwXx06HeNg-a3gi2DTQy1_fjm5SMZkW/view?usp=drivesdk")</f>
        <v>https://drive.google.com/file/d/1GNwXx06HeNg-a3gi2DTQy1_fjm5SMZkW/view?usp=drivesdk</v>
      </c>
    </row>
    <row r="3732">
      <c r="A3732" s="15">
        <f>IFERROR(__xludf.DUMMYFUNCTION("""COMPUTED_VALUE"""),45112.0)</f>
        <v>45112</v>
      </c>
      <c r="B3732" s="16" t="str">
        <f>IFERROR(__xludf.DUMMYFUNCTION("""COMPUTED_VALUE"""),"Envia")</f>
        <v>Envia</v>
      </c>
      <c r="C3732" s="15" t="str">
        <f>IFERROR(__xludf.DUMMYFUNCTION("""COMPUTED_VALUE"""),"BOGOTÁ")</f>
        <v>BOGOTÁ</v>
      </c>
      <c r="D3732" s="15" t="str">
        <f>IFERROR(__xludf.DUMMYFUNCTION("""COMPUTED_VALUE"""),"MEDELLÍN")</f>
        <v>MEDELLÍN</v>
      </c>
      <c r="E3732" s="15" t="str">
        <f>IFERROR(__xludf.DUMMYFUNCTION("""COMPUTED_VALUE"""),"Goyo Todo por ellos")</f>
        <v>Goyo Todo por ellos</v>
      </c>
      <c r="F3732" s="17" t="str">
        <f>IFERROR(__xludf.DUMMYFUNCTION("""COMPUTED_VALUE"""),"Transversal 23 #97 54 / Edificio Área Uno Apartamento 209 / Barrio Chicó Norte")</f>
        <v>Transversal 23 #97 54 / Edificio Área Uno Apartamento 209 / Barrio Chicó Norte</v>
      </c>
      <c r="G3732" s="15" t="str">
        <f>IFERROR(__xludf.DUMMYFUNCTION("""COMPUTED_VALUE"""),"Andrea Moreno")</f>
        <v>Andrea Moreno</v>
      </c>
      <c r="H3732" s="16">
        <f>IFERROR(__xludf.DUMMYFUNCTION("""COMPUTED_VALUE"""),12347.0)</f>
        <v>12347</v>
      </c>
      <c r="I3732" s="18">
        <f>IFERROR(__xludf.DUMMYFUNCTION("""COMPUTED_VALUE"""),13.0)</f>
        <v>13</v>
      </c>
      <c r="J3732" s="18">
        <f>IFERROR(__xludf.DUMMYFUNCTION("""COMPUTED_VALUE"""),32.0)</f>
        <v>32</v>
      </c>
      <c r="K3732" s="18">
        <f>IFERROR(__xludf.DUMMYFUNCTION("""COMPUTED_VALUE"""),23.0)</f>
        <v>23</v>
      </c>
      <c r="L3732" s="17">
        <f>IFERROR(__xludf.DUMMYFUNCTION("""COMPUTED_VALUE"""),3.103593617E9)</f>
        <v>3103593617</v>
      </c>
      <c r="M3732" s="17" t="str">
        <f>IFERROR(__xludf.DUMMYFUNCTION("""COMPUTED_VALUE"""),"#REF!")</f>
        <v>#REF!</v>
      </c>
      <c r="N3732" s="17"/>
      <c r="O3732" s="17"/>
      <c r="P3732" s="17" t="b">
        <f>IFERROR(__xludf.DUMMYFUNCTION("""COMPUTED_VALUE"""),FALSE)</f>
        <v>0</v>
      </c>
      <c r="Q3732" s="20" t="str">
        <f>IFERROR(__xludf.DUMMYFUNCTION("""COMPUTED_VALUE"""),"")</f>
        <v/>
      </c>
      <c r="R3732" s="21" t="str">
        <f>IFERROR(__xludf.DUMMYFUNCTION("""COMPUTED_VALUE"""),"https://drive.google.com/file/d/1KXpOmZQFWMm15VH3pABQc_KiCIXOkXwh/view?usp=drivesdk")</f>
        <v>https://drive.google.com/file/d/1KXpOmZQFWMm15VH3pABQc_KiCIXOkXwh/view?usp=drivesdk</v>
      </c>
    </row>
    <row r="3733">
      <c r="A3733" s="15">
        <f>IFERROR(__xludf.DUMMYFUNCTION("""COMPUTED_VALUE"""),45112.0)</f>
        <v>45112</v>
      </c>
      <c r="B3733" s="16" t="str">
        <f>IFERROR(__xludf.DUMMYFUNCTION("""COMPUTED_VALUE"""),"Envia")</f>
        <v>Envia</v>
      </c>
      <c r="C3733" s="15" t="str">
        <f>IFERROR(__xludf.DUMMYFUNCTION("""COMPUTED_VALUE"""),"BOGOTÁ")</f>
        <v>BOGOTÁ</v>
      </c>
      <c r="D3733" s="15" t="str">
        <f>IFERROR(__xludf.DUMMYFUNCTION("""COMPUTED_VALUE"""),"MEDELLÍN")</f>
        <v>MEDELLÍN</v>
      </c>
      <c r="E3733" s="15" t="str">
        <f>IFERROR(__xludf.DUMMYFUNCTION("""COMPUTED_VALUE"""),"Moloso S.A.S")</f>
        <v>Moloso S.A.S</v>
      </c>
      <c r="F3733" s="17" t="str">
        <f>IFERROR(__xludf.DUMMYFUNCTION("""COMPUTED_VALUE"""),"CRA 18C 112 76 / APTO. 402")</f>
        <v>CRA 18C 112 76 / APTO. 402</v>
      </c>
      <c r="G3733" s="15" t="str">
        <f>IFERROR(__xludf.DUMMYFUNCTION("""COMPUTED_VALUE"""),"MARIA OCHOA MARTELO")</f>
        <v>MARIA OCHOA MARTELO</v>
      </c>
      <c r="H3733" s="16">
        <f>IFERROR(__xludf.DUMMYFUNCTION("""COMPUTED_VALUE"""),12352.0)</f>
        <v>12352</v>
      </c>
      <c r="I3733" s="18">
        <f>IFERROR(__xludf.DUMMYFUNCTION("""COMPUTED_VALUE"""),17.0)</f>
        <v>17</v>
      </c>
      <c r="J3733" s="18">
        <f>IFERROR(__xludf.DUMMYFUNCTION("""COMPUTED_VALUE"""),15.0)</f>
        <v>15</v>
      </c>
      <c r="K3733" s="18">
        <f>IFERROR(__xludf.DUMMYFUNCTION("""COMPUTED_VALUE"""),28.0)</f>
        <v>28</v>
      </c>
      <c r="L3733" s="17" t="str">
        <f>IFERROR(__xludf.DUMMYFUNCTION("""COMPUTED_VALUE"""),"301 7890418")</f>
        <v>301 7890418</v>
      </c>
      <c r="M3733" s="17" t="str">
        <f>IFERROR(__xludf.DUMMYFUNCTION("""COMPUTED_VALUE"""),"#REF!")</f>
        <v>#REF!</v>
      </c>
      <c r="N3733" s="17"/>
      <c r="O3733" s="17"/>
      <c r="P3733" s="17" t="b">
        <f>IFERROR(__xludf.DUMMYFUNCTION("""COMPUTED_VALUE"""),FALSE)</f>
        <v>0</v>
      </c>
      <c r="Q3733" s="20" t="str">
        <f>IFERROR(__xludf.DUMMYFUNCTION("""COMPUTED_VALUE"""),"")</f>
        <v/>
      </c>
      <c r="R3733" s="21" t="str">
        <f>IFERROR(__xludf.DUMMYFUNCTION("""COMPUTED_VALUE"""),"https://drive.google.com/file/d/1pL4urnQmwGEkiZTB7aNeFDPISHczO6EQ/view?usp=drivesdk")</f>
        <v>https://drive.google.com/file/d/1pL4urnQmwGEkiZTB7aNeFDPISHczO6EQ/view?usp=drivesdk</v>
      </c>
    </row>
    <row r="3734">
      <c r="A3734" s="15">
        <f>IFERROR(__xludf.DUMMYFUNCTION("""COMPUTED_VALUE"""),45112.0)</f>
        <v>45112</v>
      </c>
      <c r="B3734" s="16" t="str">
        <f>IFERROR(__xludf.DUMMYFUNCTION("""COMPUTED_VALUE"""),"Envia")</f>
        <v>Envia</v>
      </c>
      <c r="C3734" s="15" t="str">
        <f>IFERROR(__xludf.DUMMYFUNCTION("""COMPUTED_VALUE"""),"BOGOTÁ")</f>
        <v>BOGOTÁ</v>
      </c>
      <c r="D3734" s="15" t="str">
        <f>IFERROR(__xludf.DUMMYFUNCTION("""COMPUTED_VALUE"""),"MEDELLÍN")</f>
        <v>MEDELLÍN</v>
      </c>
      <c r="E3734" s="15" t="str">
        <f>IFERROR(__xludf.DUMMYFUNCTION("""COMPUTED_VALUE"""),"Rambla")</f>
        <v>Rambla</v>
      </c>
      <c r="F3734" s="17" t="str">
        <f>IFERROR(__xludf.DUMMYFUNCTION("""COMPUTED_VALUE"""),"calle 71 # 4 - 55 / NA / NA")</f>
        <v>calle 71 # 4 - 55 / NA / NA</v>
      </c>
      <c r="G3734" s="15" t="str">
        <f>IFERROR(__xludf.DUMMYFUNCTION("""COMPUTED_VALUE"""),"Fit Market")</f>
        <v>Fit Market</v>
      </c>
      <c r="H3734" s="16">
        <f>IFERROR(__xludf.DUMMYFUNCTION("""COMPUTED_VALUE"""),12334.0)</f>
        <v>12334</v>
      </c>
      <c r="I3734" s="18">
        <f>IFERROR(__xludf.DUMMYFUNCTION("""COMPUTED_VALUE"""),33.0)</f>
        <v>33</v>
      </c>
      <c r="J3734" s="18">
        <f>IFERROR(__xludf.DUMMYFUNCTION("""COMPUTED_VALUE"""),38.0)</f>
        <v>38</v>
      </c>
      <c r="K3734" s="18">
        <f>IFERROR(__xludf.DUMMYFUNCTION("""COMPUTED_VALUE"""),40.0)</f>
        <v>40</v>
      </c>
      <c r="L3734" s="17">
        <f>IFERROR(__xludf.DUMMYFUNCTION("""COMPUTED_VALUE"""),3.183545455E9)</f>
        <v>3183545455</v>
      </c>
      <c r="M3734" s="17" t="str">
        <f>IFERROR(__xludf.DUMMYFUNCTION("""COMPUTED_VALUE"""),"#REF!")</f>
        <v>#REF!</v>
      </c>
      <c r="N3734" s="17"/>
      <c r="O3734" s="17"/>
      <c r="P3734" s="17" t="b">
        <f>IFERROR(__xludf.DUMMYFUNCTION("""COMPUTED_VALUE"""),TRUE)</f>
        <v>1</v>
      </c>
      <c r="Q3734" s="20">
        <f>IFERROR(__xludf.DUMMYFUNCTION("""COMPUTED_VALUE"""),45113.49261378472)</f>
        <v>45113.49261</v>
      </c>
      <c r="R3734" s="21" t="str">
        <f>IFERROR(__xludf.DUMMYFUNCTION("""COMPUTED_VALUE"""),"https://drive.google.com/file/d/100BLUYQlG9GXMV482ybe4dAtjjHDxwcc/view?usp=drivesdk")</f>
        <v>https://drive.google.com/file/d/100BLUYQlG9GXMV482ybe4dAtjjHDxwcc/view?usp=drivesdk</v>
      </c>
    </row>
    <row r="3735">
      <c r="A3735" s="15">
        <f>IFERROR(__xludf.DUMMYFUNCTION("""COMPUTED_VALUE"""),45112.0)</f>
        <v>45112</v>
      </c>
      <c r="B3735" s="16" t="str">
        <f>IFERROR(__xludf.DUMMYFUNCTION("""COMPUTED_VALUE"""),"Envia")</f>
        <v>Envia</v>
      </c>
      <c r="C3735" s="15" t="str">
        <f>IFERROR(__xludf.DUMMYFUNCTION("""COMPUTED_VALUE"""),"BOGOTÁ")</f>
        <v>BOGOTÁ</v>
      </c>
      <c r="D3735" s="15" t="str">
        <f>IFERROR(__xludf.DUMMYFUNCTION("""COMPUTED_VALUE"""),"MEDELLÍN")</f>
        <v>MEDELLÍN</v>
      </c>
      <c r="E3735" s="15" t="str">
        <f>IFERROR(__xludf.DUMMYFUNCTION("""COMPUTED_VALUE"""),"The Smoked House")</f>
        <v>The Smoked House</v>
      </c>
      <c r="F3735" s="17" t="str">
        <f>IFERROR(__xludf.DUMMYFUNCTION("""COMPUTED_VALUE"""),"Bog  / Bog  / Bog")</f>
        <v>Bog  / Bog  / Bog</v>
      </c>
      <c r="G3735" s="15" t="str">
        <f>IFERROR(__xludf.DUMMYFUNCTION("""COMPUTED_VALUE"""),"Bogota")</f>
        <v>Bogota</v>
      </c>
      <c r="H3735" s="16">
        <f>IFERROR(__xludf.DUMMYFUNCTION("""COMPUTED_VALUE"""),12241.0)</f>
        <v>12241</v>
      </c>
      <c r="I3735" s="18">
        <f>IFERROR(__xludf.DUMMYFUNCTION("""COMPUTED_VALUE"""),40.0)</f>
        <v>40</v>
      </c>
      <c r="J3735" s="18">
        <f>IFERROR(__xludf.DUMMYFUNCTION("""COMPUTED_VALUE"""),32.0)</f>
        <v>32</v>
      </c>
      <c r="K3735" s="18">
        <f>IFERROR(__xludf.DUMMYFUNCTION("""COMPUTED_VALUE"""),59.0)</f>
        <v>59</v>
      </c>
      <c r="L3735" s="17">
        <f>IFERROR(__xludf.DUMMYFUNCTION("""COMPUTED_VALUE"""),3.158825395E9)</f>
        <v>3158825395</v>
      </c>
      <c r="M3735" s="17" t="str">
        <f>IFERROR(__xludf.DUMMYFUNCTION("""COMPUTED_VALUE"""),"#REF!")</f>
        <v>#REF!</v>
      </c>
      <c r="N3735" s="17"/>
      <c r="O3735" s="17"/>
      <c r="P3735" s="17" t="b">
        <f>IFERROR(__xludf.DUMMYFUNCTION("""COMPUTED_VALUE"""),TRUE)</f>
        <v>1</v>
      </c>
      <c r="Q3735" s="20">
        <f>IFERROR(__xludf.DUMMYFUNCTION("""COMPUTED_VALUE"""),45113.49261378472)</f>
        <v>45113.49261</v>
      </c>
      <c r="R3735" s="21" t="str">
        <f>IFERROR(__xludf.DUMMYFUNCTION("""COMPUTED_VALUE"""),"https://drive.google.com/file/d/1lYOeXUQaFn7Gf7WcWdtXxh7rkYIK_9Lv/view?usp=drivesdk")</f>
        <v>https://drive.google.com/file/d/1lYOeXUQaFn7Gf7WcWdtXxh7rkYIK_9Lv/view?usp=drivesdk</v>
      </c>
    </row>
    <row r="3736">
      <c r="A3736" s="15">
        <f>IFERROR(__xludf.DUMMYFUNCTION("""COMPUTED_VALUE"""),45112.0)</f>
        <v>45112</v>
      </c>
      <c r="B3736" s="16" t="str">
        <f>IFERROR(__xludf.DUMMYFUNCTION("""COMPUTED_VALUE"""),"Envia")</f>
        <v>Envia</v>
      </c>
      <c r="C3736" s="15" t="str">
        <f>IFERROR(__xludf.DUMMYFUNCTION("""COMPUTED_VALUE"""),"BOGOTÁ")</f>
        <v>BOGOTÁ</v>
      </c>
      <c r="D3736" s="15" t="str">
        <f>IFERROR(__xludf.DUMMYFUNCTION("""COMPUTED_VALUE"""),"MEDELLÍN")</f>
        <v>MEDELLÍN</v>
      </c>
      <c r="E3736" s="15" t="str">
        <f>IFERROR(__xludf.DUMMYFUNCTION("""COMPUTED_VALUE"""),"Todo Bufala")</f>
        <v>Todo Bufala</v>
      </c>
      <c r="F3736" s="17" t="str">
        <f>IFERROR(__xludf.DUMMYFUNCTION("""COMPUTED_VALUE"""),"Autopista norte 114-44 sótano 1 / Almacén Seratta")</f>
        <v>Autopista norte 114-44 sótano 1 / Almacén Seratta</v>
      </c>
      <c r="G3736" s="15" t="str">
        <f>IFERROR(__xludf.DUMMYFUNCTION("""COMPUTED_VALUE"""),"GRUPO SERATTA SAS")</f>
        <v>GRUPO SERATTA SAS</v>
      </c>
      <c r="H3736" s="16">
        <f>IFERROR(__xludf.DUMMYFUNCTION("""COMPUTED_VALUE"""),12250.0)</f>
        <v>12250</v>
      </c>
      <c r="I3736" s="18">
        <f>IFERROR(__xludf.DUMMYFUNCTION("""COMPUTED_VALUE"""),20.0)</f>
        <v>20</v>
      </c>
      <c r="J3736" s="18">
        <f>IFERROR(__xludf.DUMMYFUNCTION("""COMPUTED_VALUE"""),30.0)</f>
        <v>30</v>
      </c>
      <c r="K3736" s="18">
        <f>IFERROR(__xludf.DUMMYFUNCTION("""COMPUTED_VALUE"""),40.0)</f>
        <v>40</v>
      </c>
      <c r="L3736" s="17" t="str">
        <f>IFERROR(__xludf.DUMMYFUNCTION("""COMPUTED_VALUE"""),"313 768 7596")</f>
        <v>313 768 7596</v>
      </c>
      <c r="M3736" s="17" t="str">
        <f>IFERROR(__xludf.DUMMYFUNCTION("""COMPUTED_VALUE"""),"#REF!")</f>
        <v>#REF!</v>
      </c>
      <c r="N3736" s="17"/>
      <c r="O3736" s="17"/>
      <c r="P3736" s="17" t="b">
        <f>IFERROR(__xludf.DUMMYFUNCTION("""COMPUTED_VALUE"""),TRUE)</f>
        <v>1</v>
      </c>
      <c r="Q3736" s="20">
        <f>IFERROR(__xludf.DUMMYFUNCTION("""COMPUTED_VALUE"""),45113.49261378472)</f>
        <v>45113.49261</v>
      </c>
      <c r="R3736" s="21" t="str">
        <f>IFERROR(__xludf.DUMMYFUNCTION("""COMPUTED_VALUE"""),"https://drive.google.com/file/d/1yBrBRbKlBMtPuJtgrPAaNIclem8ROtFB/view?usp=drivesdk")</f>
        <v>https://drive.google.com/file/d/1yBrBRbKlBMtPuJtgrPAaNIclem8ROtFB/view?usp=drivesdk</v>
      </c>
    </row>
    <row r="3737">
      <c r="A3737" s="15">
        <f>IFERROR(__xludf.DUMMYFUNCTION("""COMPUTED_VALUE"""),45112.0)</f>
        <v>45112</v>
      </c>
      <c r="B3737" s="16" t="str">
        <f>IFERROR(__xludf.DUMMYFUNCTION("""COMPUTED_VALUE"""),"Envia")</f>
        <v>Envia</v>
      </c>
      <c r="C3737" s="15" t="str">
        <f>IFERROR(__xludf.DUMMYFUNCTION("""COMPUTED_VALUE"""),"BUCARAMANGA")</f>
        <v>BUCARAMANGA</v>
      </c>
      <c r="D3737" s="15" t="str">
        <f>IFERROR(__xludf.DUMMYFUNCTION("""COMPUTED_VALUE"""),"BOGOTÁ")</f>
        <v>BOGOTÁ</v>
      </c>
      <c r="E3737" s="15" t="str">
        <f>IFERROR(__xludf.DUMMYFUNCTION("""COMPUTED_VALUE"""),"Evamazzita")</f>
        <v>Evamazzita</v>
      </c>
      <c r="F3737" s="17" t="str">
        <f>IFERROR(__xludf.DUMMYFUNCTION("""COMPUTED_VALUE"""),"Calle 47 22 -54   / Calle 47 22 -54  /  Barrio Nuevo Soto mayor")</f>
        <v>Calle 47 22 -54   / Calle 47 22 -54  /  Barrio Nuevo Soto mayor</v>
      </c>
      <c r="G3737" s="15" t="str">
        <f>IFERROR(__xludf.DUMMYFUNCTION("""COMPUTED_VALUE"""),"SILVIA STELLA RANGEL TOLOZA")</f>
        <v>SILVIA STELLA RANGEL TOLOZA</v>
      </c>
      <c r="H3737" s="16">
        <f>IFERROR(__xludf.DUMMYFUNCTION("""COMPUTED_VALUE"""),12296.0)</f>
        <v>12296</v>
      </c>
      <c r="I3737" s="18">
        <f>IFERROR(__xludf.DUMMYFUNCTION("""COMPUTED_VALUE"""),1.0)</f>
        <v>1</v>
      </c>
      <c r="J3737" s="18">
        <f>IFERROR(__xludf.DUMMYFUNCTION("""COMPUTED_VALUE"""),1.0)</f>
        <v>1</v>
      </c>
      <c r="K3737" s="18">
        <f>IFERROR(__xludf.DUMMYFUNCTION("""COMPUTED_VALUE"""),1.0)</f>
        <v>1</v>
      </c>
      <c r="L3737" s="17">
        <f>IFERROR(__xludf.DUMMYFUNCTION("""COMPUTED_VALUE"""),3.152063144E9)</f>
        <v>3152063144</v>
      </c>
      <c r="M3737" s="17" t="str">
        <f>IFERROR(__xludf.DUMMYFUNCTION("""COMPUTED_VALUE"""),"#REF!")</f>
        <v>#REF!</v>
      </c>
      <c r="N3737" s="17"/>
      <c r="O3737" s="17"/>
      <c r="P3737" s="17" t="b">
        <f>IFERROR(__xludf.DUMMYFUNCTION("""COMPUTED_VALUE"""),FALSE)</f>
        <v>0</v>
      </c>
      <c r="Q3737" s="20" t="str">
        <f>IFERROR(__xludf.DUMMYFUNCTION("""COMPUTED_VALUE"""),"")</f>
        <v/>
      </c>
      <c r="R3737" s="21" t="str">
        <f>IFERROR(__xludf.DUMMYFUNCTION("""COMPUTED_VALUE"""),"https://drive.google.com/file/d/1x_RY-L0t3LYAYZZPOI7sPzenFGnkM-y6/view?usp=drivesdk")</f>
        <v>https://drive.google.com/file/d/1x_RY-L0t3LYAYZZPOI7sPzenFGnkM-y6/view?usp=drivesdk</v>
      </c>
    </row>
    <row r="3738">
      <c r="A3738" s="15">
        <f>IFERROR(__xludf.DUMMYFUNCTION("""COMPUTED_VALUE"""),45112.0)</f>
        <v>45112</v>
      </c>
      <c r="B3738" s="16" t="str">
        <f>IFERROR(__xludf.DUMMYFUNCTION("""COMPUTED_VALUE"""),"Envia")</f>
        <v>Envia</v>
      </c>
      <c r="C3738" s="15" t="str">
        <f>IFERROR(__xludf.DUMMYFUNCTION("""COMPUTED_VALUE"""),"BUCARAMANGA")</f>
        <v>BUCARAMANGA</v>
      </c>
      <c r="D3738" s="15" t="str">
        <f>IFERROR(__xludf.DUMMYFUNCTION("""COMPUTED_VALUE"""),"MEDELLÍN")</f>
        <v>MEDELLÍN</v>
      </c>
      <c r="E3738" s="15" t="str">
        <f>IFERROR(__xludf.DUMMYFUNCTION("""COMPUTED_VALUE"""),"Baby Chef")</f>
        <v>Baby Chef</v>
      </c>
      <c r="F3738" s="17" t="str">
        <f>IFERROR(__xludf.DUMMYFUNCTION("""COMPUTED_VALUE"""),"Carrera 37 no 100-23 Tajamar Torre 5 apto 602 / Carrera 37 no 100-23 Tajamar Torre 5 apto 602 / Carrera 37 no 100-23 Tajamar Torre 5 apto 602")</f>
        <v>Carrera 37 no 100-23 Tajamar Torre 5 apto 602 / Carrera 37 no 100-23 Tajamar Torre 5 apto 602 / Carrera 37 no 100-23 Tajamar Torre 5 apto 602</v>
      </c>
      <c r="G3738" s="15" t="str">
        <f>IFERROR(__xludf.DUMMYFUNCTION("""COMPUTED_VALUE"""),"Mayra Alejandra Isidro Salazar")</f>
        <v>Mayra Alejandra Isidro Salazar</v>
      </c>
      <c r="H3738" s="16">
        <f>IFERROR(__xludf.DUMMYFUNCTION("""COMPUTED_VALUE"""),12368.0)</f>
        <v>12368</v>
      </c>
      <c r="I3738" s="18">
        <f>IFERROR(__xludf.DUMMYFUNCTION("""COMPUTED_VALUE"""),8.0)</f>
        <v>8</v>
      </c>
      <c r="J3738" s="18">
        <f>IFERROR(__xludf.DUMMYFUNCTION("""COMPUTED_VALUE"""),16.0)</f>
        <v>16</v>
      </c>
      <c r="K3738" s="18">
        <f>IFERROR(__xludf.DUMMYFUNCTION("""COMPUTED_VALUE"""),20.0)</f>
        <v>20</v>
      </c>
      <c r="L3738" s="17">
        <f>IFERROR(__xludf.DUMMYFUNCTION("""COMPUTED_VALUE"""),3.014694142E9)</f>
        <v>3014694142</v>
      </c>
      <c r="M3738" s="17" t="str">
        <f>IFERROR(__xludf.DUMMYFUNCTION("""COMPUTED_VALUE"""),"#REF!")</f>
        <v>#REF!</v>
      </c>
      <c r="N3738" s="17"/>
      <c r="O3738" s="17"/>
      <c r="P3738" s="17" t="b">
        <f>IFERROR(__xludf.DUMMYFUNCTION("""COMPUTED_VALUE"""),FALSE)</f>
        <v>0</v>
      </c>
      <c r="Q3738" s="20" t="str">
        <f>IFERROR(__xludf.DUMMYFUNCTION("""COMPUTED_VALUE"""),"")</f>
        <v/>
      </c>
      <c r="R3738" s="21" t="str">
        <f>IFERROR(__xludf.DUMMYFUNCTION("""COMPUTED_VALUE"""),"https://drive.google.com/file/d/1_p4ixSjMFYkNFSg5DQvXreHuWHTXXkNJ/view?usp=drivesdk")</f>
        <v>https://drive.google.com/file/d/1_p4ixSjMFYkNFSg5DQvXreHuWHTXXkNJ/view?usp=drivesdk</v>
      </c>
    </row>
    <row r="3739">
      <c r="A3739" s="15">
        <f>IFERROR(__xludf.DUMMYFUNCTION("""COMPUTED_VALUE"""),45112.0)</f>
        <v>45112</v>
      </c>
      <c r="B3739" s="16" t="str">
        <f>IFERROR(__xludf.DUMMYFUNCTION("""COMPUTED_VALUE"""),"Envia")</f>
        <v>Envia</v>
      </c>
      <c r="C3739" s="15" t="str">
        <f>IFERROR(__xludf.DUMMYFUNCTION("""COMPUTED_VALUE"""),"CALI")</f>
        <v>CALI</v>
      </c>
      <c r="D3739" s="15" t="str">
        <f>IFERROR(__xludf.DUMMYFUNCTION("""COMPUTED_VALUE"""),"BOGOTÁ")</f>
        <v>BOGOTÁ</v>
      </c>
      <c r="E3739" s="15" t="str">
        <f>IFERROR(__xludf.DUMMYFUNCTION("""COMPUTED_VALUE"""),"Helados Socos")</f>
        <v>Helados Socos</v>
      </c>
      <c r="F3739" s="17" t="str">
        <f>IFERROR(__xludf.DUMMYFUNCTION("""COMPUTED_VALUE"""),"Cll 15 B # 107 - 41  / Casa / Ciudad Jardín")</f>
        <v>Cll 15 B # 107 - 41  / Casa / Ciudad Jardín</v>
      </c>
      <c r="G3739" s="15" t="str">
        <f>IFERROR(__xludf.DUMMYFUNCTION("""COMPUTED_VALUE"""),"Inés Falabella")</f>
        <v>Inés Falabella</v>
      </c>
      <c r="H3739" s="16">
        <f>IFERROR(__xludf.DUMMYFUNCTION("""COMPUTED_VALUE"""),12178.0)</f>
        <v>12178</v>
      </c>
      <c r="I3739" s="18">
        <f>IFERROR(__xludf.DUMMYFUNCTION("""COMPUTED_VALUE"""),10.0)</f>
        <v>10</v>
      </c>
      <c r="J3739" s="18">
        <f>IFERROR(__xludf.DUMMYFUNCTION("""COMPUTED_VALUE"""),10.0)</f>
        <v>10</v>
      </c>
      <c r="K3739" s="18">
        <f>IFERROR(__xludf.DUMMYFUNCTION("""COMPUTED_VALUE"""),15.0)</f>
        <v>15</v>
      </c>
      <c r="L3739" s="17">
        <f>IFERROR(__xludf.DUMMYFUNCTION("""COMPUTED_VALUE"""),3.155050104E9)</f>
        <v>3155050104</v>
      </c>
      <c r="M3739" s="17" t="str">
        <f>IFERROR(__xludf.DUMMYFUNCTION("""COMPUTED_VALUE"""),"#REF!")</f>
        <v>#REF!</v>
      </c>
      <c r="N3739" s="17"/>
      <c r="O3739" s="17"/>
      <c r="P3739" s="17" t="b">
        <f>IFERROR(__xludf.DUMMYFUNCTION("""COMPUTED_VALUE"""),FALSE)</f>
        <v>0</v>
      </c>
      <c r="Q3739" s="20" t="str">
        <f>IFERROR(__xludf.DUMMYFUNCTION("""COMPUTED_VALUE"""),"")</f>
        <v/>
      </c>
      <c r="R3739" s="21" t="str">
        <f>IFERROR(__xludf.DUMMYFUNCTION("""COMPUTED_VALUE"""),"https://drive.google.com/file/d/1VfcS-az1S1jFufdC5CDvr08KdaydIMQ0/view?usp=drivesdk")</f>
        <v>https://drive.google.com/file/d/1VfcS-az1S1jFufdC5CDvr08KdaydIMQ0/view?usp=drivesdk</v>
      </c>
    </row>
    <row r="3740">
      <c r="A3740" s="15">
        <f>IFERROR(__xludf.DUMMYFUNCTION("""COMPUTED_VALUE"""),45112.0)</f>
        <v>45112</v>
      </c>
      <c r="B3740" s="16" t="str">
        <f>IFERROR(__xludf.DUMMYFUNCTION("""COMPUTED_VALUE"""),"Envia")</f>
        <v>Envia</v>
      </c>
      <c r="C3740" s="15" t="str">
        <f>IFERROR(__xludf.DUMMYFUNCTION("""COMPUTED_VALUE"""),"IBAGUÉ")</f>
        <v>IBAGUÉ</v>
      </c>
      <c r="D3740" s="15" t="str">
        <f>IFERROR(__xludf.DUMMYFUNCTION("""COMPUTED_VALUE"""),"BOGOTÁ")</f>
        <v>BOGOTÁ</v>
      </c>
      <c r="E3740" s="15" t="str">
        <f>IFERROR(__xludf.DUMMYFUNCTION("""COMPUTED_VALUE"""),"Frambascolombia sas")</f>
        <v>Frambascolombia sas</v>
      </c>
      <c r="F3740" s="17" t="str">
        <f>IFERROR(__xludf.DUMMYFUNCTION("""COMPUTED_VALUE"""),"Cra 14 # 75A-29 Local 5
 / local 2")</f>
        <v>Cra 14 # 75A-29 Local 5
 / local 2</v>
      </c>
      <c r="G3740" s="15" t="str">
        <f>IFERROR(__xludf.DUMMYFUNCTION("""COMPUTED_VALUE"""),"Daniela Tatiana Lopez Arbelaez")</f>
        <v>Daniela Tatiana Lopez Arbelaez</v>
      </c>
      <c r="H3740" s="16">
        <f>IFERROR(__xludf.DUMMYFUNCTION("""COMPUTED_VALUE"""),12269.0)</f>
        <v>12269</v>
      </c>
      <c r="I3740" s="18">
        <f>IFERROR(__xludf.DUMMYFUNCTION("""COMPUTED_VALUE"""),45057.0)</f>
        <v>45057</v>
      </c>
      <c r="J3740" s="18">
        <f>IFERROR(__xludf.DUMMYFUNCTION("""COMPUTED_VALUE"""),10.0)</f>
        <v>10</v>
      </c>
      <c r="K3740" s="18">
        <f>IFERROR(__xludf.DUMMYFUNCTION("""COMPUTED_VALUE"""),10.0)</f>
        <v>10</v>
      </c>
      <c r="L3740" s="17">
        <f>IFERROR(__xludf.DUMMYFUNCTION("""COMPUTED_VALUE"""),3.177002909E9)</f>
        <v>3177002909</v>
      </c>
      <c r="M3740" s="17" t="str">
        <f>IFERROR(__xludf.DUMMYFUNCTION("""COMPUTED_VALUE"""),"#REF!")</f>
        <v>#REF!</v>
      </c>
      <c r="N3740" s="17"/>
      <c r="O3740" s="17"/>
      <c r="P3740" s="17" t="b">
        <f>IFERROR(__xludf.DUMMYFUNCTION("""COMPUTED_VALUE"""),TRUE)</f>
        <v>1</v>
      </c>
      <c r="Q3740" s="20">
        <f>IFERROR(__xludf.DUMMYFUNCTION("""COMPUTED_VALUE"""),45113.49261378472)</f>
        <v>45113.49261</v>
      </c>
      <c r="R3740" s="21" t="str">
        <f>IFERROR(__xludf.DUMMYFUNCTION("""COMPUTED_VALUE"""),"https://drive.google.com/file/d/1GNvdZAviyVlMdE2npJ18UYwQeRPYlb8s/view?usp=drivesdk")</f>
        <v>https://drive.google.com/file/d/1GNvdZAviyVlMdE2npJ18UYwQeRPYlb8s/view?usp=drivesdk</v>
      </c>
    </row>
    <row r="3741">
      <c r="A3741" s="15">
        <f>IFERROR(__xludf.DUMMYFUNCTION("""COMPUTED_VALUE"""),45112.0)</f>
        <v>45112</v>
      </c>
      <c r="B3741" s="16" t="str">
        <f>IFERROR(__xludf.DUMMYFUNCTION("""COMPUTED_VALUE"""),"Envia")</f>
        <v>Envia</v>
      </c>
      <c r="C3741" s="15" t="str">
        <f>IFERROR(__xludf.DUMMYFUNCTION("""COMPUTED_VALUE"""),"MEDELLÍN")</f>
        <v>MEDELLÍN</v>
      </c>
      <c r="D3741" s="15" t="str">
        <f>IFERROR(__xludf.DUMMYFUNCTION("""COMPUTED_VALUE"""),"BOGOTÁ")</f>
        <v>BOGOTÁ</v>
      </c>
      <c r="E3741" s="15" t="str">
        <f>IFERROR(__xludf.DUMMYFUNCTION("""COMPUTED_VALUE"""),"Asociacion Agropecuaria Juana Maria")</f>
        <v>Asociacion Agropecuaria Juana Maria</v>
      </c>
      <c r="F3741" s="17" t="str">
        <f>IFERROR(__xludf.DUMMYFUNCTION("""COMPUTED_VALUE"""),"Carrera 15 BA # 30D-44 int 201")</f>
        <v>Carrera 15 BA # 30D-44 int 201</v>
      </c>
      <c r="G3741" s="15" t="str">
        <f>IFERROR(__xludf.DUMMYFUNCTION("""COMPUTED_VALUE"""),"Daniela Bedoya Blandon")</f>
        <v>Daniela Bedoya Blandon</v>
      </c>
      <c r="H3741" s="16">
        <f>IFERROR(__xludf.DUMMYFUNCTION("""COMPUTED_VALUE"""),12254.0)</f>
        <v>12254</v>
      </c>
      <c r="I3741" s="18">
        <f>IFERROR(__xludf.DUMMYFUNCTION("""COMPUTED_VALUE"""),12.0)</f>
        <v>12</v>
      </c>
      <c r="J3741" s="18">
        <f>IFERROR(__xludf.DUMMYFUNCTION("""COMPUTED_VALUE"""),37.0)</f>
        <v>37</v>
      </c>
      <c r="K3741" s="18">
        <f>IFERROR(__xludf.DUMMYFUNCTION("""COMPUTED_VALUE"""),24.0)</f>
        <v>24</v>
      </c>
      <c r="L3741" s="17">
        <f>IFERROR(__xludf.DUMMYFUNCTION("""COMPUTED_VALUE"""),3.14672822E9)</f>
        <v>3146728220</v>
      </c>
      <c r="M3741" s="17" t="str">
        <f>IFERROR(__xludf.DUMMYFUNCTION("""COMPUTED_VALUE"""),"#REF!")</f>
        <v>#REF!</v>
      </c>
      <c r="N3741" s="17"/>
      <c r="O3741" s="17"/>
      <c r="P3741" s="17" t="b">
        <f>IFERROR(__xludf.DUMMYFUNCTION("""COMPUTED_VALUE"""),FALSE)</f>
        <v>0</v>
      </c>
      <c r="Q3741" s="20" t="str">
        <f>IFERROR(__xludf.DUMMYFUNCTION("""COMPUTED_VALUE"""),"")</f>
        <v/>
      </c>
      <c r="R3741" s="22" t="str">
        <f>IFERROR(__xludf.DUMMYFUNCTION("""COMPUTED_VALUE"""),"")</f>
        <v/>
      </c>
    </row>
    <row r="3742">
      <c r="A3742" s="15">
        <f>IFERROR(__xludf.DUMMYFUNCTION("""COMPUTED_VALUE"""),45112.0)</f>
        <v>45112</v>
      </c>
      <c r="B3742" s="16" t="str">
        <f>IFERROR(__xludf.DUMMYFUNCTION("""COMPUTED_VALUE"""),"Envia")</f>
        <v>Envia</v>
      </c>
      <c r="C3742" s="15" t="str">
        <f>IFERROR(__xludf.DUMMYFUNCTION("""COMPUTED_VALUE"""),"MEDELLÍN")</f>
        <v>MEDELLÍN</v>
      </c>
      <c r="D3742" s="15" t="str">
        <f>IFERROR(__xludf.DUMMYFUNCTION("""COMPUTED_VALUE"""),"BOGOTÁ")</f>
        <v>BOGOTÁ</v>
      </c>
      <c r="E3742" s="15" t="str">
        <f>IFERROR(__xludf.DUMMYFUNCTION("""COMPUTED_VALUE"""),"Asociacion Agropecuaria Juana Maria")</f>
        <v>Asociacion Agropecuaria Juana Maria</v>
      </c>
      <c r="F3742" s="17" t="str">
        <f>IFERROR(__xludf.DUMMYFUNCTION("""COMPUTED_VALUE"""),"Cra 56C # 83DD Sur -201 Apartamento 803 Conjunto Aldea del Sur LA ESTRELLA ANTIOQUIA")</f>
        <v>Cra 56C # 83DD Sur -201 Apartamento 803 Conjunto Aldea del Sur LA ESTRELLA ANTIOQUIA</v>
      </c>
      <c r="G3742" s="15" t="str">
        <f>IFERROR(__xludf.DUMMYFUNCTION("""COMPUTED_VALUE"""),"ELENA ALVARADO")</f>
        <v>ELENA ALVARADO</v>
      </c>
      <c r="H3742" s="16">
        <f>IFERROR(__xludf.DUMMYFUNCTION("""COMPUTED_VALUE"""),12263.0)</f>
        <v>12263</v>
      </c>
      <c r="I3742" s="18">
        <f>IFERROR(__xludf.DUMMYFUNCTION("""COMPUTED_VALUE"""),25.0)</f>
        <v>25</v>
      </c>
      <c r="J3742" s="18">
        <f>IFERROR(__xludf.DUMMYFUNCTION("""COMPUTED_VALUE"""),18.0)</f>
        <v>18</v>
      </c>
      <c r="K3742" s="18">
        <f>IFERROR(__xludf.DUMMYFUNCTION("""COMPUTED_VALUE"""),3.0)</f>
        <v>3</v>
      </c>
      <c r="L3742" s="17">
        <f>IFERROR(__xludf.DUMMYFUNCTION("""COMPUTED_VALUE"""),3.053129949E9)</f>
        <v>3053129949</v>
      </c>
      <c r="M3742" s="17" t="str">
        <f>IFERROR(__xludf.DUMMYFUNCTION("""COMPUTED_VALUE"""),"#REF!")</f>
        <v>#REF!</v>
      </c>
      <c r="N3742" s="17"/>
      <c r="O3742" s="17"/>
      <c r="P3742" s="17" t="b">
        <f>IFERROR(__xludf.DUMMYFUNCTION("""COMPUTED_VALUE"""),FALSE)</f>
        <v>0</v>
      </c>
      <c r="Q3742" s="20" t="str">
        <f>IFERROR(__xludf.DUMMYFUNCTION("""COMPUTED_VALUE"""),"")</f>
        <v/>
      </c>
      <c r="R3742" s="21" t="str">
        <f>IFERROR(__xludf.DUMMYFUNCTION("""COMPUTED_VALUE"""),"https://drive.google.com/file/d/17mTlZZ2aimkq57GJHpiRLy1yUm95UKz3/view?usp=drivesdk")</f>
        <v>https://drive.google.com/file/d/17mTlZZ2aimkq57GJHpiRLy1yUm95UKz3/view?usp=drivesdk</v>
      </c>
    </row>
    <row r="3743">
      <c r="A3743" s="15">
        <f>IFERROR(__xludf.DUMMYFUNCTION("""COMPUTED_VALUE"""),45112.0)</f>
        <v>45112</v>
      </c>
      <c r="B3743" s="16" t="str">
        <f>IFERROR(__xludf.DUMMYFUNCTION("""COMPUTED_VALUE"""),"Envia")</f>
        <v>Envia</v>
      </c>
      <c r="C3743" s="15" t="str">
        <f>IFERROR(__xludf.DUMMYFUNCTION("""COMPUTED_VALUE"""),"MEDELLÍN")</f>
        <v>MEDELLÍN</v>
      </c>
      <c r="D3743" s="15" t="str">
        <f>IFERROR(__xludf.DUMMYFUNCTION("""COMPUTED_VALUE"""),"BOGOTÁ")</f>
        <v>BOGOTÁ</v>
      </c>
      <c r="E3743" s="15" t="str">
        <f>IFERROR(__xludf.DUMMYFUNCTION("""COMPUTED_VALUE"""),"Evamazzita")</f>
        <v>Evamazzita</v>
      </c>
      <c r="F3743" s="17" t="str">
        <f>IFERROR(__xludf.DUMMYFUNCTION("""COMPUTED_VALUE"""),"Cr 35 # 65 Sur 135  /  EDIFICIO DUBLIN apto 2804  / Las lomitas, SABANETA")</f>
        <v>Cr 35 # 65 Sur 135  /  EDIFICIO DUBLIN apto 2804  / Las lomitas, SABANETA</v>
      </c>
      <c r="G3743" s="15" t="str">
        <f>IFERROR(__xludf.DUMMYFUNCTION("""COMPUTED_VALUE"""),"VANESSA BEDOYA")</f>
        <v>VANESSA BEDOYA</v>
      </c>
      <c r="H3743" s="16">
        <f>IFERROR(__xludf.DUMMYFUNCTION("""COMPUTED_VALUE"""),12315.0)</f>
        <v>12315</v>
      </c>
      <c r="I3743" s="18">
        <f>IFERROR(__xludf.DUMMYFUNCTION("""COMPUTED_VALUE"""),1.0)</f>
        <v>1</v>
      </c>
      <c r="J3743" s="18">
        <f>IFERROR(__xludf.DUMMYFUNCTION("""COMPUTED_VALUE"""),1.0)</f>
        <v>1</v>
      </c>
      <c r="K3743" s="18">
        <f>IFERROR(__xludf.DUMMYFUNCTION("""COMPUTED_VALUE"""),1.0)</f>
        <v>1</v>
      </c>
      <c r="L3743" s="17">
        <f>IFERROR(__xludf.DUMMYFUNCTION("""COMPUTED_VALUE"""),3.1847212E9)</f>
        <v>3184721200</v>
      </c>
      <c r="M3743" s="17" t="str">
        <f>IFERROR(__xludf.DUMMYFUNCTION("""COMPUTED_VALUE"""),"#REF!")</f>
        <v>#REF!</v>
      </c>
      <c r="N3743" s="17"/>
      <c r="O3743" s="17"/>
      <c r="P3743" s="17" t="b">
        <f>IFERROR(__xludf.DUMMYFUNCTION("""COMPUTED_VALUE"""),FALSE)</f>
        <v>0</v>
      </c>
      <c r="Q3743" s="20" t="str">
        <f>IFERROR(__xludf.DUMMYFUNCTION("""COMPUTED_VALUE"""),"")</f>
        <v/>
      </c>
      <c r="R3743" s="21" t="str">
        <f>IFERROR(__xludf.DUMMYFUNCTION("""COMPUTED_VALUE"""),"https://drive.google.com/file/d/1sLKasFyttwomOFKvYpn8PTlmCPEwAixj/view?usp=drivesdk")</f>
        <v>https://drive.google.com/file/d/1sLKasFyttwomOFKvYpn8PTlmCPEwAixj/view?usp=drivesdk</v>
      </c>
    </row>
    <row r="3744">
      <c r="A3744" s="15">
        <f>IFERROR(__xludf.DUMMYFUNCTION("""COMPUTED_VALUE"""),45112.0)</f>
        <v>45112</v>
      </c>
      <c r="B3744" s="16" t="str">
        <f>IFERROR(__xludf.DUMMYFUNCTION("""COMPUTED_VALUE"""),"Envia")</f>
        <v>Envia</v>
      </c>
      <c r="C3744" s="15" t="str">
        <f>IFERROR(__xludf.DUMMYFUNCTION("""COMPUTED_VALUE"""),"MEDELLÍN")</f>
        <v>MEDELLÍN</v>
      </c>
      <c r="D3744" s="15" t="str">
        <f>IFERROR(__xludf.DUMMYFUNCTION("""COMPUTED_VALUE"""),"BOGOTÁ")</f>
        <v>BOGOTÁ</v>
      </c>
      <c r="E3744" s="15" t="str">
        <f>IFERROR(__xludf.DUMMYFUNCTION("""COMPUTED_VALUE"""),"Evamazzita")</f>
        <v>Evamazzita</v>
      </c>
      <c r="F3744" s="17" t="str">
        <f>IFERROR(__xludf.DUMMYFUNCTION("""COMPUTED_VALUE"""),"CRA 71 No. 27 - 106  / CRA 71 No. 27 - 106  / BARRIO BELEN - GRANADA")</f>
        <v>CRA 71 No. 27 - 106  / CRA 71 No. 27 - 106  / BARRIO BELEN - GRANADA</v>
      </c>
      <c r="G3744" s="15" t="str">
        <f>IFERROR(__xludf.DUMMYFUNCTION("""COMPUTED_VALUE"""),"CARLOS MURCIA")</f>
        <v>CARLOS MURCIA</v>
      </c>
      <c r="H3744" s="16">
        <f>IFERROR(__xludf.DUMMYFUNCTION("""COMPUTED_VALUE"""),12290.0)</f>
        <v>12290</v>
      </c>
      <c r="I3744" s="18">
        <f>IFERROR(__xludf.DUMMYFUNCTION("""COMPUTED_VALUE"""),1.0)</f>
        <v>1</v>
      </c>
      <c r="J3744" s="18">
        <f>IFERROR(__xludf.DUMMYFUNCTION("""COMPUTED_VALUE"""),1.0)</f>
        <v>1</v>
      </c>
      <c r="K3744" s="18">
        <f>IFERROR(__xludf.DUMMYFUNCTION("""COMPUTED_VALUE"""),1.0)</f>
        <v>1</v>
      </c>
      <c r="L3744" s="17">
        <f>IFERROR(__xludf.DUMMYFUNCTION("""COMPUTED_VALUE"""),3.142874185E9)</f>
        <v>3142874185</v>
      </c>
      <c r="M3744" s="17" t="str">
        <f>IFERROR(__xludf.DUMMYFUNCTION("""COMPUTED_VALUE"""),"#REF!")</f>
        <v>#REF!</v>
      </c>
      <c r="N3744" s="17"/>
      <c r="O3744" s="17"/>
      <c r="P3744" s="17" t="b">
        <f>IFERROR(__xludf.DUMMYFUNCTION("""COMPUTED_VALUE"""),FALSE)</f>
        <v>0</v>
      </c>
      <c r="Q3744" s="20" t="str">
        <f>IFERROR(__xludf.DUMMYFUNCTION("""COMPUTED_VALUE"""),"")</f>
        <v/>
      </c>
      <c r="R3744" s="21" t="str">
        <f>IFERROR(__xludf.DUMMYFUNCTION("""COMPUTED_VALUE"""),"https://drive.google.com/file/d/1BexopmGBfDYUOA30me-Z6P6P4234Nu0X/view?usp=drivesdk")</f>
        <v>https://drive.google.com/file/d/1BexopmGBfDYUOA30me-Z6P6P4234Nu0X/view?usp=drivesdk</v>
      </c>
    </row>
    <row r="3745">
      <c r="A3745" s="15">
        <f>IFERROR(__xludf.DUMMYFUNCTION("""COMPUTED_VALUE"""),45112.0)</f>
        <v>45112</v>
      </c>
      <c r="B3745" s="16" t="str">
        <f>IFERROR(__xludf.DUMMYFUNCTION("""COMPUTED_VALUE"""),"Envia")</f>
        <v>Envia</v>
      </c>
      <c r="C3745" s="15" t="str">
        <f>IFERROR(__xludf.DUMMYFUNCTION("""COMPUTED_VALUE"""),"MEDELLÍN")</f>
        <v>MEDELLÍN</v>
      </c>
      <c r="D3745" s="15" t="str">
        <f>IFERROR(__xludf.DUMMYFUNCTION("""COMPUTED_VALUE"""),"BOGOTÁ")</f>
        <v>BOGOTÁ</v>
      </c>
      <c r="E3745" s="15" t="str">
        <f>IFERROR(__xludf.DUMMYFUNCTION("""COMPUTED_VALUE"""),"Helados Socos")</f>
        <v>Helados Socos</v>
      </c>
      <c r="F3745" s="17" t="str">
        <f>IFERROR(__xludf.DUMMYFUNCTION("""COMPUTED_VALUE"""),"Cra 20 # 12 SUR - 425  / Edificio Laforet apto 1004 / Loma de los Balsos, poblado")</f>
        <v>Cra 20 # 12 SUR - 425  / Edificio Laforet apto 1004 / Loma de los Balsos, poblado</v>
      </c>
      <c r="G3745" s="15" t="str">
        <f>IFERROR(__xludf.DUMMYFUNCTION("""COMPUTED_VALUE"""),"Gloria Escobar")</f>
        <v>Gloria Escobar</v>
      </c>
      <c r="H3745" s="16">
        <f>IFERROR(__xludf.DUMMYFUNCTION("""COMPUTED_VALUE"""),12243.0)</f>
        <v>12243</v>
      </c>
      <c r="I3745" s="18">
        <f>IFERROR(__xludf.DUMMYFUNCTION("""COMPUTED_VALUE"""),10.0)</f>
        <v>10</v>
      </c>
      <c r="J3745" s="18">
        <f>IFERROR(__xludf.DUMMYFUNCTION("""COMPUTED_VALUE"""),10.0)</f>
        <v>10</v>
      </c>
      <c r="K3745" s="18">
        <f>IFERROR(__xludf.DUMMYFUNCTION("""COMPUTED_VALUE"""),15.0)</f>
        <v>15</v>
      </c>
      <c r="L3745" s="17">
        <f>IFERROR(__xludf.DUMMYFUNCTION("""COMPUTED_VALUE"""),3.104620571E9)</f>
        <v>3104620571</v>
      </c>
      <c r="M3745" s="17" t="str">
        <f>IFERROR(__xludf.DUMMYFUNCTION("""COMPUTED_VALUE"""),"#REF!")</f>
        <v>#REF!</v>
      </c>
      <c r="N3745" s="17"/>
      <c r="O3745" s="17"/>
      <c r="P3745" s="17" t="b">
        <f>IFERROR(__xludf.DUMMYFUNCTION("""COMPUTED_VALUE"""),FALSE)</f>
        <v>0</v>
      </c>
      <c r="Q3745" s="20" t="str">
        <f>IFERROR(__xludf.DUMMYFUNCTION("""COMPUTED_VALUE"""),"")</f>
        <v/>
      </c>
      <c r="R3745" s="21" t="str">
        <f>IFERROR(__xludf.DUMMYFUNCTION("""COMPUTED_VALUE"""),"https://drive.google.com/file/d/1plTr-K7qsfX6_-ed5r8ZQdbxmqoA-K8M/view?usp=drivesdk")</f>
        <v>https://drive.google.com/file/d/1plTr-K7qsfX6_-ed5r8ZQdbxmqoA-K8M/view?usp=drivesdk</v>
      </c>
    </row>
    <row r="3746">
      <c r="A3746" s="15">
        <f>IFERROR(__xludf.DUMMYFUNCTION("""COMPUTED_VALUE"""),45112.0)</f>
        <v>45112</v>
      </c>
      <c r="B3746" s="16" t="str">
        <f>IFERROR(__xludf.DUMMYFUNCTION("""COMPUTED_VALUE"""),"Envia")</f>
        <v>Envia</v>
      </c>
      <c r="C3746" s="15" t="str">
        <f>IFERROR(__xludf.DUMMYFUNCTION("""COMPUTED_VALUE"""),"MEDELLÍN")</f>
        <v>MEDELLÍN</v>
      </c>
      <c r="D3746" s="15" t="str">
        <f>IFERROR(__xludf.DUMMYFUNCTION("""COMPUTED_VALUE"""),"BOGOTÁ")</f>
        <v>BOGOTÁ</v>
      </c>
      <c r="E3746" s="15" t="str">
        <f>IFERROR(__xludf.DUMMYFUNCTION("""COMPUTED_VALUE"""),"Ins. Alimento Vital")</f>
        <v>Ins. Alimento Vital</v>
      </c>
      <c r="F3746" s="17" t="str">
        <f>IFERROR(__xludf.DUMMYFUNCTION("""COMPUTED_VALUE"""),"AV 74B 39B 142 / CASA NEGRA 2 PISO / BARRIO LAURELES")</f>
        <v>AV 74B 39B 142 / CASA NEGRA 2 PISO / BARRIO LAURELES</v>
      </c>
      <c r="G3746" s="15" t="str">
        <f>IFERROR(__xludf.DUMMYFUNCTION("""COMPUTED_VALUE"""),"VELOCITY MEDELLIN")</f>
        <v>VELOCITY MEDELLIN</v>
      </c>
      <c r="H3746" s="16">
        <f>IFERROR(__xludf.DUMMYFUNCTION("""COMPUTED_VALUE"""),12279.0)</f>
        <v>12279</v>
      </c>
      <c r="I3746" s="18">
        <f>IFERROR(__xludf.DUMMYFUNCTION("""COMPUTED_VALUE"""),1.0)</f>
        <v>1</v>
      </c>
      <c r="J3746" s="18">
        <f>IFERROR(__xludf.DUMMYFUNCTION("""COMPUTED_VALUE"""),1.0)</f>
        <v>1</v>
      </c>
      <c r="K3746" s="18">
        <f>IFERROR(__xludf.DUMMYFUNCTION("""COMPUTED_VALUE"""),1.0)</f>
        <v>1</v>
      </c>
      <c r="L3746" s="17">
        <f>IFERROR(__xludf.DUMMYFUNCTION("""COMPUTED_VALUE"""),3.239674555E9)</f>
        <v>3239674555</v>
      </c>
      <c r="M3746" s="17" t="str">
        <f>IFERROR(__xludf.DUMMYFUNCTION("""COMPUTED_VALUE"""),"#REF!")</f>
        <v>#REF!</v>
      </c>
      <c r="N3746" s="17"/>
      <c r="O3746" s="17"/>
      <c r="P3746" s="17" t="b">
        <f>IFERROR(__xludf.DUMMYFUNCTION("""COMPUTED_VALUE"""),FALSE)</f>
        <v>0</v>
      </c>
      <c r="Q3746" s="20" t="str">
        <f>IFERROR(__xludf.DUMMYFUNCTION("""COMPUTED_VALUE"""),"")</f>
        <v/>
      </c>
      <c r="R3746" s="22" t="str">
        <f>IFERROR(__xludf.DUMMYFUNCTION("""COMPUTED_VALUE"""),"")</f>
        <v/>
      </c>
    </row>
    <row r="3747">
      <c r="A3747" s="15">
        <f>IFERROR(__xludf.DUMMYFUNCTION("""COMPUTED_VALUE"""),45112.0)</f>
        <v>45112</v>
      </c>
      <c r="B3747" s="16" t="str">
        <f>IFERROR(__xludf.DUMMYFUNCTION("""COMPUTED_VALUE"""),"Envia")</f>
        <v>Envia</v>
      </c>
      <c r="C3747" s="15" t="str">
        <f>IFERROR(__xludf.DUMMYFUNCTION("""COMPUTED_VALUE"""),"MEDELLÍN")</f>
        <v>MEDELLÍN</v>
      </c>
      <c r="D3747" s="15" t="str">
        <f>IFERROR(__xludf.DUMMYFUNCTION("""COMPUTED_VALUE"""),"BOGOTÁ")</f>
        <v>BOGOTÁ</v>
      </c>
      <c r="E3747" s="15" t="str">
        <f>IFERROR(__xludf.DUMMYFUNCTION("""COMPUTED_VALUE"""),"Loomifoods")</f>
        <v>Loomifoods</v>
      </c>
      <c r="F3747" s="17" t="str">
        <f>IFERROR(__xludf.DUMMYFUNCTION("""COMPUTED_VALUE"""),"Cra 15BA no. 34D - 44 / Interior 201 / MEdellin")</f>
        <v>Cra 15BA no. 34D - 44 / Interior 201 / MEdellin</v>
      </c>
      <c r="G3747" s="15" t="str">
        <f>IFERROR(__xludf.DUMMYFUNCTION("""COMPUTED_VALUE"""),"Daniela Bedoya")</f>
        <v>Daniela Bedoya</v>
      </c>
      <c r="H3747" s="16">
        <f>IFERROR(__xludf.DUMMYFUNCTION("""COMPUTED_VALUE"""),12336.0)</f>
        <v>12336</v>
      </c>
      <c r="I3747" s="18">
        <f>IFERROR(__xludf.DUMMYFUNCTION("""COMPUTED_VALUE"""),19.0)</f>
        <v>19</v>
      </c>
      <c r="J3747" s="18">
        <f>IFERROR(__xludf.DUMMYFUNCTION("""COMPUTED_VALUE"""),10.0)</f>
        <v>10</v>
      </c>
      <c r="K3747" s="18">
        <f>IFERROR(__xludf.DUMMYFUNCTION("""COMPUTED_VALUE"""),16.0)</f>
        <v>16</v>
      </c>
      <c r="L3747" s="17">
        <f>IFERROR(__xludf.DUMMYFUNCTION("""COMPUTED_VALUE"""),3.14672822E9)</f>
        <v>3146728220</v>
      </c>
      <c r="M3747" s="17" t="str">
        <f>IFERROR(__xludf.DUMMYFUNCTION("""COMPUTED_VALUE"""),"#REF!")</f>
        <v>#REF!</v>
      </c>
      <c r="N3747" s="17"/>
      <c r="O3747" s="17"/>
      <c r="P3747" s="17" t="b">
        <f>IFERROR(__xludf.DUMMYFUNCTION("""COMPUTED_VALUE"""),FALSE)</f>
        <v>0</v>
      </c>
      <c r="Q3747" s="20" t="str">
        <f>IFERROR(__xludf.DUMMYFUNCTION("""COMPUTED_VALUE"""),"")</f>
        <v/>
      </c>
      <c r="R3747" s="22" t="str">
        <f>IFERROR(__xludf.DUMMYFUNCTION("""COMPUTED_VALUE"""),"")</f>
        <v/>
      </c>
    </row>
    <row r="3748">
      <c r="A3748" s="15">
        <f>IFERROR(__xludf.DUMMYFUNCTION("""COMPUTED_VALUE"""),45112.0)</f>
        <v>45112</v>
      </c>
      <c r="B3748" s="16" t="str">
        <f>IFERROR(__xludf.DUMMYFUNCTION("""COMPUTED_VALUE"""),"Envia")</f>
        <v>Envia</v>
      </c>
      <c r="C3748" s="15" t="str">
        <f>IFERROR(__xludf.DUMMYFUNCTION("""COMPUTED_VALUE"""),"MEDELLÍN")</f>
        <v>MEDELLÍN</v>
      </c>
      <c r="D3748" s="15" t="str">
        <f>IFERROR(__xludf.DUMMYFUNCTION("""COMPUTED_VALUE"""),"BOGOTÁ")</f>
        <v>BOGOTÁ</v>
      </c>
      <c r="E3748" s="15" t="str">
        <f>IFERROR(__xludf.DUMMYFUNCTION("""COMPUTED_VALUE"""),"Pan de Waffle")</f>
        <v>Pan de Waffle</v>
      </c>
      <c r="F3748" s="17" t="str">
        <f>IFERROR(__xludf.DUMMYFUNCTION("""COMPUTED_VALUE"""),"Carrera 48 # 10 - 45 Local 1211 Centro Comercial Monterrey / Carrera 48 # 10 - 45 Local 1211 Centro Comercial Monterrey / Carrera 48 # 10 - 45 Local 1211 Centro Comercial Monterrey")</f>
        <v>Carrera 48 # 10 - 45 Local 1211 Centro Comercial Monterrey / Carrera 48 # 10 - 45 Local 1211 Centro Comercial Monterrey / Carrera 48 # 10 - 45 Local 1211 Centro Comercial Monterrey</v>
      </c>
      <c r="G3748" s="15" t="str">
        <f>IFERROR(__xludf.DUMMYFUNCTION("""COMPUTED_VALUE"""),"MERCASANO")</f>
        <v>MERCASANO</v>
      </c>
      <c r="H3748" s="16">
        <f>IFERROR(__xludf.DUMMYFUNCTION("""COMPUTED_VALUE"""),12320.0)</f>
        <v>12320</v>
      </c>
      <c r="I3748" s="18">
        <f>IFERROR(__xludf.DUMMYFUNCTION("""COMPUTED_VALUE"""),20.0)</f>
        <v>20</v>
      </c>
      <c r="J3748" s="18">
        <f>IFERROR(__xludf.DUMMYFUNCTION("""COMPUTED_VALUE"""),20.0)</f>
        <v>20</v>
      </c>
      <c r="K3748" s="18">
        <f>IFERROR(__xludf.DUMMYFUNCTION("""COMPUTED_VALUE"""),2.0)</f>
        <v>2</v>
      </c>
      <c r="L3748" s="17">
        <f>IFERROR(__xludf.DUMMYFUNCTION("""COMPUTED_VALUE"""),3.17364849E9)</f>
        <v>3173648490</v>
      </c>
      <c r="M3748" s="17" t="str">
        <f>IFERROR(__xludf.DUMMYFUNCTION("""COMPUTED_VALUE"""),"#REF!")</f>
        <v>#REF!</v>
      </c>
      <c r="N3748" s="17"/>
      <c r="O3748" s="17"/>
      <c r="P3748" s="17" t="b">
        <f>IFERROR(__xludf.DUMMYFUNCTION("""COMPUTED_VALUE"""),FALSE)</f>
        <v>0</v>
      </c>
      <c r="Q3748" s="20" t="str">
        <f>IFERROR(__xludf.DUMMYFUNCTION("""COMPUTED_VALUE"""),"")</f>
        <v/>
      </c>
      <c r="R3748" s="21" t="str">
        <f>IFERROR(__xludf.DUMMYFUNCTION("""COMPUTED_VALUE"""),"https://drive.google.com/file/d/1kyin5RdSWom3W-64RnWfnth3EgtUdL_w/view?usp=drivesdk")</f>
        <v>https://drive.google.com/file/d/1kyin5RdSWom3W-64RnWfnth3EgtUdL_w/view?usp=drivesdk</v>
      </c>
    </row>
    <row r="3749">
      <c r="A3749" s="15">
        <f>IFERROR(__xludf.DUMMYFUNCTION("""COMPUTED_VALUE"""),45112.0)</f>
        <v>45112</v>
      </c>
      <c r="B3749" s="16" t="str">
        <f>IFERROR(__xludf.DUMMYFUNCTION("""COMPUTED_VALUE"""),"Envia")</f>
        <v>Envia</v>
      </c>
      <c r="C3749" s="15" t="str">
        <f>IFERROR(__xludf.DUMMYFUNCTION("""COMPUTED_VALUE"""),"PALMIRA")</f>
        <v>PALMIRA</v>
      </c>
      <c r="D3749" s="15" t="str">
        <f>IFERROR(__xludf.DUMMYFUNCTION("""COMPUTED_VALUE"""),"BOGOTÁ")</f>
        <v>BOGOTÁ</v>
      </c>
      <c r="E3749" s="15" t="str">
        <f>IFERROR(__xludf.DUMMYFUNCTION("""COMPUTED_VALUE"""),"Evamazzita")</f>
        <v>Evamazzita</v>
      </c>
      <c r="F3749" s="17" t="str">
        <f>IFERROR(__xludf.DUMMYFUNCTION("""COMPUTED_VALUE"""),"CALLE 14B No. 24 - 100  / CALLE 14B No. 24 - 100  / BARRIO LAS AMERICAS")</f>
        <v>CALLE 14B No. 24 - 100  / CALLE 14B No. 24 - 100  / BARRIO LAS AMERICAS</v>
      </c>
      <c r="G3749" s="15" t="str">
        <f>IFERROR(__xludf.DUMMYFUNCTION("""COMPUTED_VALUE"""),"SINDY VARGAS")</f>
        <v>SINDY VARGAS</v>
      </c>
      <c r="H3749" s="16">
        <f>IFERROR(__xludf.DUMMYFUNCTION("""COMPUTED_VALUE"""),12317.0)</f>
        <v>12317</v>
      </c>
      <c r="I3749" s="18">
        <f>IFERROR(__xludf.DUMMYFUNCTION("""COMPUTED_VALUE"""),1.0)</f>
        <v>1</v>
      </c>
      <c r="J3749" s="18">
        <f>IFERROR(__xludf.DUMMYFUNCTION("""COMPUTED_VALUE"""),1.0)</f>
        <v>1</v>
      </c>
      <c r="K3749" s="18">
        <f>IFERROR(__xludf.DUMMYFUNCTION("""COMPUTED_VALUE"""),1.0)</f>
        <v>1</v>
      </c>
      <c r="L3749" s="17">
        <f>IFERROR(__xludf.DUMMYFUNCTION("""COMPUTED_VALUE"""),3.2088865E9)</f>
        <v>3208886500</v>
      </c>
      <c r="M3749" s="17" t="str">
        <f>IFERROR(__xludf.DUMMYFUNCTION("""COMPUTED_VALUE"""),"#REF!")</f>
        <v>#REF!</v>
      </c>
      <c r="N3749" s="17"/>
      <c r="O3749" s="17"/>
      <c r="P3749" s="17" t="b">
        <f>IFERROR(__xludf.DUMMYFUNCTION("""COMPUTED_VALUE"""),FALSE)</f>
        <v>0</v>
      </c>
      <c r="Q3749" s="20" t="str">
        <f>IFERROR(__xludf.DUMMYFUNCTION("""COMPUTED_VALUE"""),"")</f>
        <v/>
      </c>
      <c r="R3749" s="21" t="str">
        <f>IFERROR(__xludf.DUMMYFUNCTION("""COMPUTED_VALUE"""),"https://drive.google.com/file/d/1sDaY9eMcns-qRVmljJmRK-BSY9fjLEnk/view?usp=drivesdk")</f>
        <v>https://drive.google.com/file/d/1sDaY9eMcns-qRVmljJmRK-BSY9fjLEnk/view?usp=drivesdk</v>
      </c>
    </row>
    <row r="3750">
      <c r="A3750" s="15">
        <f>IFERROR(__xludf.DUMMYFUNCTION("""COMPUTED_VALUE"""),45112.0)</f>
        <v>45112</v>
      </c>
      <c r="B3750" s="16" t="str">
        <f>IFERROR(__xludf.DUMMYFUNCTION("""COMPUTED_VALUE"""),"Envia")</f>
        <v>Envia</v>
      </c>
      <c r="C3750" s="15" t="str">
        <f>IFERROR(__xludf.DUMMYFUNCTION("""COMPUTED_VALUE"""),"PALMIRA")</f>
        <v>PALMIRA</v>
      </c>
      <c r="D3750" s="15" t="str">
        <f>IFERROR(__xludf.DUMMYFUNCTION("""COMPUTED_VALUE"""),"BOGOTÁ")</f>
        <v>BOGOTÁ</v>
      </c>
      <c r="E3750" s="15" t="str">
        <f>IFERROR(__xludf.DUMMYFUNCTION("""COMPUTED_VALUE"""),"Evamazzita")</f>
        <v>Evamazzita</v>
      </c>
      <c r="F3750" s="17" t="str">
        <f>IFERROR(__xludf.DUMMYFUNCTION("""COMPUTED_VALUE"""),"Cll 25 # 12-97 /  Casa 172   / Rincón de las flores 1")</f>
        <v>Cll 25 # 12-97 /  Casa 172   / Rincón de las flores 1</v>
      </c>
      <c r="G3750" s="15" t="str">
        <f>IFERROR(__xludf.DUMMYFUNCTION("""COMPUTED_VALUE"""),"VIVIANA TENORIO")</f>
        <v>VIVIANA TENORIO</v>
      </c>
      <c r="H3750" s="16">
        <f>IFERROR(__xludf.DUMMYFUNCTION("""COMPUTED_VALUE"""),12325.0)</f>
        <v>12325</v>
      </c>
      <c r="I3750" s="18">
        <f>IFERROR(__xludf.DUMMYFUNCTION("""COMPUTED_VALUE"""),1.0)</f>
        <v>1</v>
      </c>
      <c r="J3750" s="18">
        <f>IFERROR(__xludf.DUMMYFUNCTION("""COMPUTED_VALUE"""),1.0)</f>
        <v>1</v>
      </c>
      <c r="K3750" s="18">
        <f>IFERROR(__xludf.DUMMYFUNCTION("""COMPUTED_VALUE"""),1.0)</f>
        <v>1</v>
      </c>
      <c r="L3750" s="17">
        <f>IFERROR(__xludf.DUMMYFUNCTION("""COMPUTED_VALUE"""),3.163613801E9)</f>
        <v>3163613801</v>
      </c>
      <c r="M3750" s="17" t="str">
        <f>IFERROR(__xludf.DUMMYFUNCTION("""COMPUTED_VALUE"""),"#REF!")</f>
        <v>#REF!</v>
      </c>
      <c r="N3750" s="17"/>
      <c r="O3750" s="17"/>
      <c r="P3750" s="17" t="b">
        <f>IFERROR(__xludf.DUMMYFUNCTION("""COMPUTED_VALUE"""),FALSE)</f>
        <v>0</v>
      </c>
      <c r="Q3750" s="20" t="str">
        <f>IFERROR(__xludf.DUMMYFUNCTION("""COMPUTED_VALUE"""),"")</f>
        <v/>
      </c>
      <c r="R3750" s="21" t="str">
        <f>IFERROR(__xludf.DUMMYFUNCTION("""COMPUTED_VALUE"""),"https://drive.google.com/file/d/1LbUK-vU97AwfIe3QReAqBojIDlYeu88n/view?usp=drivesdk")</f>
        <v>https://drive.google.com/file/d/1LbUK-vU97AwfIe3QReAqBojIDlYeu88n/view?usp=drivesdk</v>
      </c>
    </row>
    <row r="3751">
      <c r="A3751" s="15">
        <f>IFERROR(__xludf.DUMMYFUNCTION("""COMPUTED_VALUE"""),45112.0)</f>
        <v>45112</v>
      </c>
      <c r="B3751" s="16" t="str">
        <f>IFERROR(__xludf.DUMMYFUNCTION("""COMPUTED_VALUE"""),"Envia")</f>
        <v>Envia</v>
      </c>
      <c r="C3751" s="15" t="str">
        <f>IFERROR(__xludf.DUMMYFUNCTION("""COMPUTED_VALUE"""),"PEREIRA")</f>
        <v>PEREIRA</v>
      </c>
      <c r="D3751" s="15" t="str">
        <f>IFERROR(__xludf.DUMMYFUNCTION("""COMPUTED_VALUE"""),"BOGOTÁ")</f>
        <v>BOGOTÁ</v>
      </c>
      <c r="E3751" s="15" t="str">
        <f>IFERROR(__xludf.DUMMYFUNCTION("""COMPUTED_VALUE"""),"Ins. Alimento Vital")</f>
        <v>Ins. Alimento Vital</v>
      </c>
      <c r="F3751" s="17" t="str">
        <f>IFERROR(__xludf.DUMMYFUNCTION("""COMPUTED_VALUE"""),"CR 5 18 43 / EDIFICIO CHALJUB / BARRIO URIBE")</f>
        <v>CR 5 18 43 / EDIFICIO CHALJUB / BARRIO URIBE</v>
      </c>
      <c r="G3751" s="15" t="str">
        <f>IFERROR(__xludf.DUMMYFUNCTION("""COMPUTED_VALUE"""),"CHALJUB")</f>
        <v>CHALJUB</v>
      </c>
      <c r="H3751" s="16">
        <f>IFERROR(__xludf.DUMMYFUNCTION("""COMPUTED_VALUE"""),12280.0)</f>
        <v>12280</v>
      </c>
      <c r="I3751" s="18">
        <f>IFERROR(__xludf.DUMMYFUNCTION("""COMPUTED_VALUE"""),1.0)</f>
        <v>1</v>
      </c>
      <c r="J3751" s="18">
        <f>IFERROR(__xludf.DUMMYFUNCTION("""COMPUTED_VALUE"""),1.0)</f>
        <v>1</v>
      </c>
      <c r="K3751" s="18">
        <f>IFERROR(__xludf.DUMMYFUNCTION("""COMPUTED_VALUE"""),1.0)</f>
        <v>1</v>
      </c>
      <c r="L3751" s="17">
        <f>IFERROR(__xludf.DUMMYFUNCTION("""COMPUTED_VALUE"""),3.008252529E9)</f>
        <v>3008252529</v>
      </c>
      <c r="M3751" s="17" t="str">
        <f>IFERROR(__xludf.DUMMYFUNCTION("""COMPUTED_VALUE"""),"#REF!")</f>
        <v>#REF!</v>
      </c>
      <c r="N3751" s="17"/>
      <c r="O3751" s="17"/>
      <c r="P3751" s="17" t="b">
        <f>IFERROR(__xludf.DUMMYFUNCTION("""COMPUTED_VALUE"""),FALSE)</f>
        <v>0</v>
      </c>
      <c r="Q3751" s="20" t="str">
        <f>IFERROR(__xludf.DUMMYFUNCTION("""COMPUTED_VALUE"""),"")</f>
        <v/>
      </c>
      <c r="R3751" s="22" t="str">
        <f>IFERROR(__xludf.DUMMYFUNCTION("""COMPUTED_VALUE"""),"")</f>
        <v/>
      </c>
    </row>
    <row r="3752">
      <c r="A3752" s="15">
        <f>IFERROR(__xludf.DUMMYFUNCTION("""COMPUTED_VALUE"""),45112.0)</f>
        <v>45112</v>
      </c>
      <c r="B3752" s="16" t="str">
        <f>IFERROR(__xludf.DUMMYFUNCTION("""COMPUTED_VALUE"""),"Envia")</f>
        <v>Envia</v>
      </c>
      <c r="C3752" s="15" t="str">
        <f>IFERROR(__xludf.DUMMYFUNCTION("""COMPUTED_VALUE"""),"PIEDECUESTA")</f>
        <v>PIEDECUESTA</v>
      </c>
      <c r="D3752" s="15" t="str">
        <f>IFERROR(__xludf.DUMMYFUNCTION("""COMPUTED_VALUE"""),"BOGOTÁ")</f>
        <v>BOGOTÁ</v>
      </c>
      <c r="E3752" s="15" t="str">
        <f>IFERROR(__xludf.DUMMYFUNCTION("""COMPUTED_VALUE"""),"Evamazzita")</f>
        <v>Evamazzita</v>
      </c>
      <c r="F3752" s="17" t="str">
        <f>IFERROR(__xludf.DUMMYFUNCTION("""COMPUTED_VALUE"""),"Calle 23 # 4 - 50  / Conjuto Portal de la Loma Torre 7 Apartamento 956   / Barrio: Paseo del Puente 2""")</f>
        <v>Calle 23 # 4 - 50  / Conjuto Portal de la Loma Torre 7 Apartamento 956   / Barrio: Paseo del Puente 2"</v>
      </c>
      <c r="G3752" s="15" t="str">
        <f>IFERROR(__xludf.DUMMYFUNCTION("""COMPUTED_VALUE"""),"MAYRA ALEJANDRA CARREÑO MILLAN")</f>
        <v>MAYRA ALEJANDRA CARREÑO MILLAN</v>
      </c>
      <c r="H3752" s="16">
        <f>IFERROR(__xludf.DUMMYFUNCTION("""COMPUTED_VALUE"""),12306.0)</f>
        <v>12306</v>
      </c>
      <c r="I3752" s="18">
        <f>IFERROR(__xludf.DUMMYFUNCTION("""COMPUTED_VALUE"""),1.0)</f>
        <v>1</v>
      </c>
      <c r="J3752" s="18">
        <f>IFERROR(__xludf.DUMMYFUNCTION("""COMPUTED_VALUE"""),1.0)</f>
        <v>1</v>
      </c>
      <c r="K3752" s="18">
        <f>IFERROR(__xludf.DUMMYFUNCTION("""COMPUTED_VALUE"""),1.0)</f>
        <v>1</v>
      </c>
      <c r="L3752" s="17">
        <f>IFERROR(__xludf.DUMMYFUNCTION("""COMPUTED_VALUE"""),3.165788209E9)</f>
        <v>3165788209</v>
      </c>
      <c r="M3752" s="17" t="str">
        <f>IFERROR(__xludf.DUMMYFUNCTION("""COMPUTED_VALUE"""),"#REF!")</f>
        <v>#REF!</v>
      </c>
      <c r="N3752" s="17"/>
      <c r="O3752" s="17"/>
      <c r="P3752" s="17" t="b">
        <f>IFERROR(__xludf.DUMMYFUNCTION("""COMPUTED_VALUE"""),FALSE)</f>
        <v>0</v>
      </c>
      <c r="Q3752" s="20" t="str">
        <f>IFERROR(__xludf.DUMMYFUNCTION("""COMPUTED_VALUE"""),"")</f>
        <v/>
      </c>
      <c r="R3752" s="21" t="str">
        <f>IFERROR(__xludf.DUMMYFUNCTION("""COMPUTED_VALUE"""),"https://drive.google.com/file/d/1lYMPPf95-oJxizUnaXpPkBK6u2SmD1tz/view?usp=drivesdk")</f>
        <v>https://drive.google.com/file/d/1lYMPPf95-oJxizUnaXpPkBK6u2SmD1tz/view?usp=drivesdk</v>
      </c>
    </row>
    <row r="3753">
      <c r="A3753" s="17" t="str">
        <f>IFERROR(__xludf.DUMMYFUNCTION("""COMPUTED_VALUE"""),"")</f>
        <v/>
      </c>
      <c r="B3753" s="17" t="str">
        <f>IFERROR(__xludf.DUMMYFUNCTION("""COMPUTED_VALUE"""),"")</f>
        <v/>
      </c>
      <c r="C3753" s="17" t="str">
        <f>IFERROR(__xludf.DUMMYFUNCTION("""COMPUTED_VALUE"""),"")</f>
        <v/>
      </c>
      <c r="D3753" s="17" t="str">
        <f>IFERROR(__xludf.DUMMYFUNCTION("""COMPUTED_VALUE"""),"")</f>
        <v/>
      </c>
      <c r="E3753" s="17" t="str">
        <f>IFERROR(__xludf.DUMMYFUNCTION("""COMPUTED_VALUE"""),"")</f>
        <v/>
      </c>
      <c r="F3753" s="17" t="str">
        <f>IFERROR(__xludf.DUMMYFUNCTION("""COMPUTED_VALUE"""),"")</f>
        <v/>
      </c>
      <c r="G3753" s="17" t="str">
        <f>IFERROR(__xludf.DUMMYFUNCTION("""COMPUTED_VALUE"""),"")</f>
        <v/>
      </c>
      <c r="H3753" s="17" t="str">
        <f>IFERROR(__xludf.DUMMYFUNCTION("""COMPUTED_VALUE"""),"")</f>
        <v/>
      </c>
      <c r="I3753" s="17" t="str">
        <f>IFERROR(__xludf.DUMMYFUNCTION("""COMPUTED_VALUE"""),"")</f>
        <v/>
      </c>
      <c r="J3753" s="17" t="str">
        <f>IFERROR(__xludf.DUMMYFUNCTION("""COMPUTED_VALUE"""),"")</f>
        <v/>
      </c>
      <c r="K3753" s="17" t="str">
        <f>IFERROR(__xludf.DUMMYFUNCTION("""COMPUTED_VALUE"""),"")</f>
        <v/>
      </c>
      <c r="L3753" s="17" t="str">
        <f>IFERROR(__xludf.DUMMYFUNCTION("""COMPUTED_VALUE"""),"")</f>
        <v/>
      </c>
      <c r="M3753" s="17" t="str">
        <f>IFERROR(__xludf.DUMMYFUNCTION("""COMPUTED_VALUE"""),"")</f>
        <v/>
      </c>
      <c r="N3753" s="17" t="str">
        <f>IFERROR(__xludf.DUMMYFUNCTION("""COMPUTED_VALUE"""),"")</f>
        <v/>
      </c>
      <c r="O3753" s="17" t="str">
        <f>IFERROR(__xludf.DUMMYFUNCTION("""COMPUTED_VALUE"""),"")</f>
        <v/>
      </c>
      <c r="P3753" s="17" t="str">
        <f>IFERROR(__xludf.DUMMYFUNCTION("""COMPUTED_VALUE"""),"")</f>
        <v/>
      </c>
      <c r="Q3753" s="17" t="str">
        <f>IFERROR(__xludf.DUMMYFUNCTION("""COMPUTED_VALUE"""),"")</f>
        <v/>
      </c>
      <c r="R3753" s="17" t="str">
        <f>IFERROR(__xludf.DUMMYFUNCTION("""COMPUTED_VALUE"""),"")</f>
        <v/>
      </c>
    </row>
    <row r="3754">
      <c r="A3754" s="15">
        <f>IFERROR(__xludf.DUMMYFUNCTION("""COMPUTED_VALUE"""),45112.0)</f>
        <v>45112</v>
      </c>
      <c r="B3754" s="16" t="str">
        <f>IFERROR(__xludf.DUMMYFUNCTION("""COMPUTED_VALUE"""),"Jeison Rubiano")</f>
        <v>Jeison Rubiano</v>
      </c>
      <c r="C3754" s="15" t="str">
        <f>IFERROR(__xludf.DUMMYFUNCTION("""COMPUTED_VALUE"""),"BOGOTÁ")</f>
        <v>BOGOTÁ</v>
      </c>
      <c r="D3754" s="15" t="str">
        <f>IFERROR(__xludf.DUMMYFUNCTION("""COMPUTED_VALUE"""),"MEDELLÍN")</f>
        <v>MEDELLÍN</v>
      </c>
      <c r="E3754" s="15" t="str">
        <f>IFERROR(__xludf.DUMMYFUNCTION("""COMPUTED_VALUE"""),"AREPAS LA MARY")</f>
        <v>AREPAS LA MARY</v>
      </c>
      <c r="F3754" s="17" t="str">
        <f>IFERROR(__xludf.DUMMYFUNCTION("""COMPUTED_VALUE"""),"Calle 109 no 21-57 Apto 504 / Loretto 109")</f>
        <v>Calle 109 no 21-57 Apto 504 / Loretto 109</v>
      </c>
      <c r="G3754" s="15" t="str">
        <f>IFERROR(__xludf.DUMMYFUNCTION("""COMPUTED_VALUE"""),"DAVID IZQUIERDO")</f>
        <v>DAVID IZQUIERDO</v>
      </c>
      <c r="H3754" s="16">
        <f>IFERROR(__xludf.DUMMYFUNCTION("""COMPUTED_VALUE"""),12376.0)</f>
        <v>12376</v>
      </c>
      <c r="I3754" s="18">
        <f>IFERROR(__xludf.DUMMYFUNCTION("""COMPUTED_VALUE"""),89.0)</f>
        <v>89</v>
      </c>
      <c r="J3754" s="18">
        <f>IFERROR(__xludf.DUMMYFUNCTION("""COMPUTED_VALUE"""),1.0)</f>
        <v>1</v>
      </c>
      <c r="K3754" s="18">
        <f>IFERROR(__xludf.DUMMYFUNCTION("""COMPUTED_VALUE"""),10.0)</f>
        <v>10</v>
      </c>
      <c r="L3754" s="17">
        <f>IFERROR(__xludf.DUMMYFUNCTION("""COMPUTED_VALUE"""),3.212025285E9)</f>
        <v>3212025285</v>
      </c>
      <c r="M3754" s="17" t="str">
        <f>IFERROR(__xludf.DUMMYFUNCTION("""COMPUTED_VALUE"""),"#REF!")</f>
        <v>#REF!</v>
      </c>
      <c r="N3754" s="17"/>
      <c r="O3754" s="17"/>
      <c r="P3754" s="17" t="b">
        <f>IFERROR(__xludf.DUMMYFUNCTION("""COMPUTED_VALUE"""),FALSE)</f>
        <v>0</v>
      </c>
      <c r="Q3754" s="20" t="str">
        <f>IFERROR(__xludf.DUMMYFUNCTION("""COMPUTED_VALUE"""),"")</f>
        <v/>
      </c>
      <c r="R3754" s="21" t="str">
        <f>IFERROR(__xludf.DUMMYFUNCTION("""COMPUTED_VALUE"""),"https://drive.google.com/file/d/1Jdz_wqYFRrXNnbHxfeoGAciwESjInWid/view?usp=drivesdk")</f>
        <v>https://drive.google.com/file/d/1Jdz_wqYFRrXNnbHxfeoGAciwESjInWid/view?usp=drivesdk</v>
      </c>
    </row>
    <row r="3755">
      <c r="A3755" s="15">
        <f>IFERROR(__xludf.DUMMYFUNCTION("""COMPUTED_VALUE"""),45112.0)</f>
        <v>45112</v>
      </c>
      <c r="B3755" s="16" t="str">
        <f>IFERROR(__xludf.DUMMYFUNCTION("""COMPUTED_VALUE"""),"Jeison Rubiano")</f>
        <v>Jeison Rubiano</v>
      </c>
      <c r="C3755" s="15" t="str">
        <f>IFERROR(__xludf.DUMMYFUNCTION("""COMPUTED_VALUE"""),"BOGOTÁ")</f>
        <v>BOGOTÁ</v>
      </c>
      <c r="D3755" s="15" t="str">
        <f>IFERROR(__xludf.DUMMYFUNCTION("""COMPUTED_VALUE"""),"MEDELLÍN")</f>
        <v>MEDELLÍN</v>
      </c>
      <c r="E3755" s="15" t="str">
        <f>IFERROR(__xludf.DUMMYFUNCTION("""COMPUTED_VALUE"""),"Baby Chef")</f>
        <v>Baby Chef</v>
      </c>
      <c r="F3755" s="17" t="str">
        <f>IFERROR(__xludf.DUMMYFUNCTION("""COMPUTED_VALUE"""),"Calle 189 # 46 - 10 mirandela 4 Apartamento 301 bloque 3 / ""Calle 189 # 46 - 10 mirandela 4 Apartamento 301 bloque 3"" / ""Calle 189 # 46 - 10 mirandela 4 Apartamento 301 bloque 3""")</f>
        <v>Calle 189 # 46 - 10 mirandela 4 Apartamento 301 bloque 3 / "Calle 189 # 46 - 10 mirandela 4 Apartamento 301 bloque 3" / "Calle 189 # 46 - 10 mirandela 4 Apartamento 301 bloque 3"</v>
      </c>
      <c r="G3755" s="15" t="str">
        <f>IFERROR(__xludf.DUMMYFUNCTION("""COMPUTED_VALUE"""),"Johny Carrillo (LLAMAR ANTES DE ENTREGAR PARA CONFIRMAR)")</f>
        <v>Johny Carrillo (LLAMAR ANTES DE ENTREGAR PARA CONFIRMAR)</v>
      </c>
      <c r="H3755" s="16">
        <f>IFERROR(__xludf.DUMMYFUNCTION("""COMPUTED_VALUE"""),12359.0)</f>
        <v>12359</v>
      </c>
      <c r="I3755" s="18">
        <f>IFERROR(__xludf.DUMMYFUNCTION("""COMPUTED_VALUE"""),8.0)</f>
        <v>8</v>
      </c>
      <c r="J3755" s="18">
        <f>IFERROR(__xludf.DUMMYFUNCTION("""COMPUTED_VALUE"""),16.0)</f>
        <v>16</v>
      </c>
      <c r="K3755" s="18">
        <f>IFERROR(__xludf.DUMMYFUNCTION("""COMPUTED_VALUE"""),20.0)</f>
        <v>20</v>
      </c>
      <c r="L3755" s="17">
        <f>IFERROR(__xludf.DUMMYFUNCTION("""COMPUTED_VALUE"""),3.214623659E9)</f>
        <v>3214623659</v>
      </c>
      <c r="M3755" s="17" t="str">
        <f>IFERROR(__xludf.DUMMYFUNCTION("""COMPUTED_VALUE"""),"#REF!")</f>
        <v>#REF!</v>
      </c>
      <c r="N3755" s="17"/>
      <c r="O3755" s="17"/>
      <c r="P3755" s="17" t="b">
        <f>IFERROR(__xludf.DUMMYFUNCTION("""COMPUTED_VALUE"""),FALSE)</f>
        <v>0</v>
      </c>
      <c r="Q3755" s="20" t="str">
        <f>IFERROR(__xludf.DUMMYFUNCTION("""COMPUTED_VALUE"""),"")</f>
        <v/>
      </c>
      <c r="R3755" s="21" t="str">
        <f>IFERROR(__xludf.DUMMYFUNCTION("""COMPUTED_VALUE"""),"https://drive.google.com/file/d/1fCPN1WKlDpSn5VhgvELGIeAWyGLGLfkd/view?usp=drivesdk")</f>
        <v>https://drive.google.com/file/d/1fCPN1WKlDpSn5VhgvELGIeAWyGLGLfkd/view?usp=drivesdk</v>
      </c>
    </row>
    <row r="3756">
      <c r="A3756" s="15">
        <f>IFERROR(__xludf.DUMMYFUNCTION("""COMPUTED_VALUE"""),45112.0)</f>
        <v>45112</v>
      </c>
      <c r="B3756" s="16" t="str">
        <f>IFERROR(__xludf.DUMMYFUNCTION("""COMPUTED_VALUE"""),"Jeison Rubiano")</f>
        <v>Jeison Rubiano</v>
      </c>
      <c r="C3756" s="15" t="str">
        <f>IFERROR(__xludf.DUMMYFUNCTION("""COMPUTED_VALUE"""),"BOGOTÁ")</f>
        <v>BOGOTÁ</v>
      </c>
      <c r="D3756" s="15" t="str">
        <f>IFERROR(__xludf.DUMMYFUNCTION("""COMPUTED_VALUE"""),"MEDELLÍN")</f>
        <v>MEDELLÍN</v>
      </c>
      <c r="E3756" s="15" t="str">
        <f>IFERROR(__xludf.DUMMYFUNCTION("""COMPUTED_VALUE"""),"Baby Chef")</f>
        <v>Baby Chef</v>
      </c>
      <c r="F3756" s="17" t="str">
        <f>IFERROR(__xludf.DUMMYFUNCTION("""COMPUTED_VALUE"""),"Calle 55 #78-74 Anillo 10/ apt 411 / ""Calle 55 #78-74 Anillo 10/ apt 411"" / ""Calle 55 #78-74 Anillo 10/ apt 411""")</f>
        <v>Calle 55 #78-74 Anillo 10/ apt 411 / "Calle 55 #78-74 Anillo 10/ apt 411" / "Calle 55 #78-74 Anillo 10/ apt 411"</v>
      </c>
      <c r="G3756" s="15" t="str">
        <f>IFERROR(__xludf.DUMMYFUNCTION("""COMPUTED_VALUE"""),"Deysi Vasquez")</f>
        <v>Deysi Vasquez</v>
      </c>
      <c r="H3756" s="16">
        <f>IFERROR(__xludf.DUMMYFUNCTION("""COMPUTED_VALUE"""),12361.0)</f>
        <v>12361</v>
      </c>
      <c r="I3756" s="18">
        <f>IFERROR(__xludf.DUMMYFUNCTION("""COMPUTED_VALUE"""),8.0)</f>
        <v>8</v>
      </c>
      <c r="J3756" s="18">
        <f>IFERROR(__xludf.DUMMYFUNCTION("""COMPUTED_VALUE"""),16.0)</f>
        <v>16</v>
      </c>
      <c r="K3756" s="18">
        <f>IFERROR(__xludf.DUMMYFUNCTION("""COMPUTED_VALUE"""),20.0)</f>
        <v>20</v>
      </c>
      <c r="L3756" s="17">
        <f>IFERROR(__xludf.DUMMYFUNCTION("""COMPUTED_VALUE"""),3.134193552E9)</f>
        <v>3134193552</v>
      </c>
      <c r="M3756" s="17" t="str">
        <f>IFERROR(__xludf.DUMMYFUNCTION("""COMPUTED_VALUE"""),"#REF!")</f>
        <v>#REF!</v>
      </c>
      <c r="N3756" s="17"/>
      <c r="O3756" s="17"/>
      <c r="P3756" s="17" t="b">
        <f>IFERROR(__xludf.DUMMYFUNCTION("""COMPUTED_VALUE"""),FALSE)</f>
        <v>0</v>
      </c>
      <c r="Q3756" s="20" t="str">
        <f>IFERROR(__xludf.DUMMYFUNCTION("""COMPUTED_VALUE"""),"")</f>
        <v/>
      </c>
      <c r="R3756" s="21" t="str">
        <f>IFERROR(__xludf.DUMMYFUNCTION("""COMPUTED_VALUE"""),"https://drive.google.com/file/d/1nAymiKc8JO4UTOqYz8lcSZfbHZJp_-__/view?usp=drivesdk")</f>
        <v>https://drive.google.com/file/d/1nAymiKc8JO4UTOqYz8lcSZfbHZJp_-__/view?usp=drivesdk</v>
      </c>
    </row>
    <row r="3757">
      <c r="A3757" s="15">
        <f>IFERROR(__xludf.DUMMYFUNCTION("""COMPUTED_VALUE"""),45112.0)</f>
        <v>45112</v>
      </c>
      <c r="B3757" s="16" t="str">
        <f>IFERROR(__xludf.DUMMYFUNCTION("""COMPUTED_VALUE"""),"Jeison Rubiano")</f>
        <v>Jeison Rubiano</v>
      </c>
      <c r="C3757" s="15" t="str">
        <f>IFERROR(__xludf.DUMMYFUNCTION("""COMPUTED_VALUE"""),"BOGOTÁ")</f>
        <v>BOGOTÁ</v>
      </c>
      <c r="D3757" s="15" t="str">
        <f>IFERROR(__xludf.DUMMYFUNCTION("""COMPUTED_VALUE"""),"MEDELLÍN")</f>
        <v>MEDELLÍN</v>
      </c>
      <c r="E3757" s="15" t="str">
        <f>IFERROR(__xludf.DUMMYFUNCTION("""COMPUTED_VALUE"""),"Baby Chef")</f>
        <v>Baby Chef</v>
      </c>
      <c r="F3757" s="17" t="str">
        <f>IFERROR(__xludf.DUMMYFUNCTION("""COMPUTED_VALUE"""),"Calle 86 #69h-40g edificio Ankkara de Pontevedra, torre 1, apto 603. Barrio Pontevedra / Calle 86 #69h-40g edificio Ankkara de Pontevedra, torre 1, apto 603. Barrio Pontevedra / Calle 86 #69h-40g edificio Ankkara de Pontevedra, torre 1, apto 603. Barrio P"&amp;"ontevedra")</f>
        <v>Calle 86 #69h-40g edificio Ankkara de Pontevedra, torre 1, apto 603. Barrio Pontevedra / Calle 86 #69h-40g edificio Ankkara de Pontevedra, torre 1, apto 603. Barrio Pontevedra / Calle 86 #69h-40g edificio Ankkara de Pontevedra, torre 1, apto 603. Barrio Pontevedra</v>
      </c>
      <c r="G3757" s="15" t="str">
        <f>IFERROR(__xludf.DUMMYFUNCTION("""COMPUTED_VALUE"""),"Karen Sanchez")</f>
        <v>Karen Sanchez</v>
      </c>
      <c r="H3757" s="16">
        <f>IFERROR(__xludf.DUMMYFUNCTION("""COMPUTED_VALUE"""),12363.0)</f>
        <v>12363</v>
      </c>
      <c r="I3757" s="18">
        <f>IFERROR(__xludf.DUMMYFUNCTION("""COMPUTED_VALUE"""),8.0)</f>
        <v>8</v>
      </c>
      <c r="J3757" s="18">
        <f>IFERROR(__xludf.DUMMYFUNCTION("""COMPUTED_VALUE"""),16.0)</f>
        <v>16</v>
      </c>
      <c r="K3757" s="18">
        <f>IFERROR(__xludf.DUMMYFUNCTION("""COMPUTED_VALUE"""),20.0)</f>
        <v>20</v>
      </c>
      <c r="L3757" s="17">
        <f>IFERROR(__xludf.DUMMYFUNCTION("""COMPUTED_VALUE"""),3.173335419E9)</f>
        <v>3173335419</v>
      </c>
      <c r="M3757" s="17" t="str">
        <f>IFERROR(__xludf.DUMMYFUNCTION("""COMPUTED_VALUE"""),"#REF!")</f>
        <v>#REF!</v>
      </c>
      <c r="N3757" s="17"/>
      <c r="O3757" s="17"/>
      <c r="P3757" s="17" t="b">
        <f>IFERROR(__xludf.DUMMYFUNCTION("""COMPUTED_VALUE"""),FALSE)</f>
        <v>0</v>
      </c>
      <c r="Q3757" s="20" t="str">
        <f>IFERROR(__xludf.DUMMYFUNCTION("""COMPUTED_VALUE"""),"")</f>
        <v/>
      </c>
      <c r="R3757" s="21" t="str">
        <f>IFERROR(__xludf.DUMMYFUNCTION("""COMPUTED_VALUE"""),"https://drive.google.com/file/d/1qCUlY_1tJhJyUxyzfL8rLpYGNra5rvpR/view?usp=drivesdk")</f>
        <v>https://drive.google.com/file/d/1qCUlY_1tJhJyUxyzfL8rLpYGNra5rvpR/view?usp=drivesdk</v>
      </c>
    </row>
    <row r="3758">
      <c r="A3758" s="15">
        <f>IFERROR(__xludf.DUMMYFUNCTION("""COMPUTED_VALUE"""),45112.0)</f>
        <v>45112</v>
      </c>
      <c r="B3758" s="16" t="str">
        <f>IFERROR(__xludf.DUMMYFUNCTION("""COMPUTED_VALUE"""),"Jeison Rubiano")</f>
        <v>Jeison Rubiano</v>
      </c>
      <c r="C3758" s="15" t="str">
        <f>IFERROR(__xludf.DUMMYFUNCTION("""COMPUTED_VALUE"""),"BOGOTÁ")</f>
        <v>BOGOTÁ</v>
      </c>
      <c r="D3758" s="15" t="str">
        <f>IFERROR(__xludf.DUMMYFUNCTION("""COMPUTED_VALUE"""),"MEDELLÍN")</f>
        <v>MEDELLÍN</v>
      </c>
      <c r="E3758" s="15" t="str">
        <f>IFERROR(__xludf.DUMMYFUNCTION("""COMPUTED_VALUE"""),"Baby Chef")</f>
        <v>Baby Chef</v>
      </c>
      <c r="F3758" s="17" t="str">
        <f>IFERROR(__xludf.DUMMYFUNCTION("""COMPUTED_VALUE"""),"Carrera 58 # 119A - 49 Torre 2 Apto 1712 Conjunto Residencial Provenza Prestige   Lagos de Cordoba  - Suba / Carrera 58 # 119A - 49 Torre 2 Apto 1712 Conjunto Residencial Provenza Prestige   Lagos de Cordoba  - Suba / Carrera 58 # 119A - 49 Torre 2 Apto 1"&amp;"712 Conjunto Residencial Provenza Prestige   Lagos de Cordoba  - Suba")</f>
        <v>Carrera 58 # 119A - 49 Torre 2 Apto 1712 Conjunto Residencial Provenza Prestige   Lagos de Cordoba  - Suba / Carrera 58 # 119A - 49 Torre 2 Apto 1712 Conjunto Residencial Provenza Prestige   Lagos de Cordoba  - Suba / Carrera 58 # 119A - 49 Torre 2 Apto 1712 Conjunto Residencial Provenza Prestige   Lagos de Cordoba  - Suba</v>
      </c>
      <c r="G3758" s="15" t="str">
        <f>IFERROR(__xludf.DUMMYFUNCTION("""COMPUTED_VALUE"""),"Laura Ines Oliveros Amaya")</f>
        <v>Laura Ines Oliveros Amaya</v>
      </c>
      <c r="H3758" s="16">
        <f>IFERROR(__xludf.DUMMYFUNCTION("""COMPUTED_VALUE"""),12357.0)</f>
        <v>12357</v>
      </c>
      <c r="I3758" s="18">
        <f>IFERROR(__xludf.DUMMYFUNCTION("""COMPUTED_VALUE"""),8.0)</f>
        <v>8</v>
      </c>
      <c r="J3758" s="18">
        <f>IFERROR(__xludf.DUMMYFUNCTION("""COMPUTED_VALUE"""),16.0)</f>
        <v>16</v>
      </c>
      <c r="K3758" s="18">
        <f>IFERROR(__xludf.DUMMYFUNCTION("""COMPUTED_VALUE"""),20.0)</f>
        <v>20</v>
      </c>
      <c r="L3758" s="17">
        <f>IFERROR(__xludf.DUMMYFUNCTION("""COMPUTED_VALUE"""),3.16397216E9)</f>
        <v>3163972160</v>
      </c>
      <c r="M3758" s="17" t="str">
        <f>IFERROR(__xludf.DUMMYFUNCTION("""COMPUTED_VALUE"""),"#REF!")</f>
        <v>#REF!</v>
      </c>
      <c r="N3758" s="17"/>
      <c r="O3758" s="17"/>
      <c r="P3758" s="17" t="b">
        <f>IFERROR(__xludf.DUMMYFUNCTION("""COMPUTED_VALUE"""),FALSE)</f>
        <v>0</v>
      </c>
      <c r="Q3758" s="20" t="str">
        <f>IFERROR(__xludf.DUMMYFUNCTION("""COMPUTED_VALUE"""),"")</f>
        <v/>
      </c>
      <c r="R3758" s="21" t="str">
        <f>IFERROR(__xludf.DUMMYFUNCTION("""COMPUTED_VALUE"""),"https://drive.google.com/file/d/1AtJARp9IV6IJUYrNeMyD_iN3GsPB_F9x/view?usp=drivesdk")</f>
        <v>https://drive.google.com/file/d/1AtJARp9IV6IJUYrNeMyD_iN3GsPB_F9x/view?usp=drivesdk</v>
      </c>
    </row>
    <row r="3759">
      <c r="A3759" s="15">
        <f>IFERROR(__xludf.DUMMYFUNCTION("""COMPUTED_VALUE"""),45112.0)</f>
        <v>45112</v>
      </c>
      <c r="B3759" s="16" t="str">
        <f>IFERROR(__xludf.DUMMYFUNCTION("""COMPUTED_VALUE"""),"Jeison Rubiano")</f>
        <v>Jeison Rubiano</v>
      </c>
      <c r="C3759" s="15" t="str">
        <f>IFERROR(__xludf.DUMMYFUNCTION("""COMPUTED_VALUE"""),"BOGOTÁ")</f>
        <v>BOGOTÁ</v>
      </c>
      <c r="D3759" s="15" t="str">
        <f>IFERROR(__xludf.DUMMYFUNCTION("""COMPUTED_VALUE"""),"MEDELLÍN")</f>
        <v>MEDELLÍN</v>
      </c>
      <c r="E3759" s="15" t="str">
        <f>IFERROR(__xludf.DUMMYFUNCTION("""COMPUTED_VALUE"""),"Baby Chef")</f>
        <v>Baby Chef</v>
      </c>
      <c r="F3759" s="17" t="str">
        <f>IFERROR(__xludf.DUMMYFUNCTION("""COMPUTED_VALUE"""),"Carrera 69 no 12 70 Torre 2 apto 1909 / ""Carrera 69 no 12 70 Torre 2 apto 1909"" / ""Carrera 69 no 12 70 Torre 2 apto 1909""")</f>
        <v>Carrera 69 no 12 70 Torre 2 apto 1909 / "Carrera 69 no 12 70 Torre 2 apto 1909" / "Carrera 69 no 12 70 Torre 2 apto 1909"</v>
      </c>
      <c r="G3759" s="15" t="str">
        <f>IFERROR(__xludf.DUMMYFUNCTION("""COMPUTED_VALUE"""),"Sandra Jysel Enciso Suarez")</f>
        <v>Sandra Jysel Enciso Suarez</v>
      </c>
      <c r="H3759" s="16">
        <f>IFERROR(__xludf.DUMMYFUNCTION("""COMPUTED_VALUE"""),12362.0)</f>
        <v>12362</v>
      </c>
      <c r="I3759" s="18">
        <f>IFERROR(__xludf.DUMMYFUNCTION("""COMPUTED_VALUE"""),8.0)</f>
        <v>8</v>
      </c>
      <c r="J3759" s="18">
        <f>IFERROR(__xludf.DUMMYFUNCTION("""COMPUTED_VALUE"""),16.0)</f>
        <v>16</v>
      </c>
      <c r="K3759" s="18">
        <f>IFERROR(__xludf.DUMMYFUNCTION("""COMPUTED_VALUE"""),20.0)</f>
        <v>20</v>
      </c>
      <c r="L3759" s="17">
        <f>IFERROR(__xludf.DUMMYFUNCTION("""COMPUTED_VALUE"""),3.003127802E9)</f>
        <v>3003127802</v>
      </c>
      <c r="M3759" s="17" t="str">
        <f>IFERROR(__xludf.DUMMYFUNCTION("""COMPUTED_VALUE"""),"#REF!")</f>
        <v>#REF!</v>
      </c>
      <c r="N3759" s="17"/>
      <c r="O3759" s="17"/>
      <c r="P3759" s="17" t="b">
        <f>IFERROR(__xludf.DUMMYFUNCTION("""COMPUTED_VALUE"""),FALSE)</f>
        <v>0</v>
      </c>
      <c r="Q3759" s="20" t="str">
        <f>IFERROR(__xludf.DUMMYFUNCTION("""COMPUTED_VALUE"""),"")</f>
        <v/>
      </c>
      <c r="R3759" s="21" t="str">
        <f>IFERROR(__xludf.DUMMYFUNCTION("""COMPUTED_VALUE"""),"https://drive.google.com/file/d/16xShvOh5xFBgcuq1u6CHw0Xin76kpRM6/view?usp=drivesdk")</f>
        <v>https://drive.google.com/file/d/16xShvOh5xFBgcuq1u6CHw0Xin76kpRM6/view?usp=drivesdk</v>
      </c>
    </row>
    <row r="3760">
      <c r="A3760" s="15">
        <f>IFERROR(__xludf.DUMMYFUNCTION("""COMPUTED_VALUE"""),45112.0)</f>
        <v>45112</v>
      </c>
      <c r="B3760" s="16" t="str">
        <f>IFERROR(__xludf.DUMMYFUNCTION("""COMPUTED_VALUE"""),"Jeison Rubiano")</f>
        <v>Jeison Rubiano</v>
      </c>
      <c r="C3760" s="15" t="str">
        <f>IFERROR(__xludf.DUMMYFUNCTION("""COMPUTED_VALUE"""),"BOGOTÁ")</f>
        <v>BOGOTÁ</v>
      </c>
      <c r="D3760" s="15" t="str">
        <f>IFERROR(__xludf.DUMMYFUNCTION("""COMPUTED_VALUE"""),"MEDELLÍN")</f>
        <v>MEDELLÍN</v>
      </c>
      <c r="E3760" s="15" t="str">
        <f>IFERROR(__xludf.DUMMYFUNCTION("""COMPUTED_VALUE"""),"Baby Chef")</f>
        <v>Baby Chef</v>
      </c>
      <c r="F3760" s="17" t="str">
        <f>IFERROR(__xludf.DUMMYFUNCTION("""COMPUTED_VALUE"""),"Diagonal 16B #104-23 int 9 apto 303 lote 2 primera etapa Centenario Fontibon / Diagonal 16B #104-23 int 9 apto 303 lote 2 primera etapa Centenario Fontibon / Diagonal 16B #104-23 int 9 apto 303 lote 2 primera etapa Centenario Fontibon")</f>
        <v>Diagonal 16B #104-23 int 9 apto 303 lote 2 primera etapa Centenario Fontibon / Diagonal 16B #104-23 int 9 apto 303 lote 2 primera etapa Centenario Fontibon / Diagonal 16B #104-23 int 9 apto 303 lote 2 primera etapa Centenario Fontibon</v>
      </c>
      <c r="G3760" s="15" t="str">
        <f>IFERROR(__xludf.DUMMYFUNCTION("""COMPUTED_VALUE"""),"Lina Jacquelyn Caicedo Velasco")</f>
        <v>Lina Jacquelyn Caicedo Velasco</v>
      </c>
      <c r="H3760" s="16">
        <f>IFERROR(__xludf.DUMMYFUNCTION("""COMPUTED_VALUE"""),12358.0)</f>
        <v>12358</v>
      </c>
      <c r="I3760" s="18">
        <f>IFERROR(__xludf.DUMMYFUNCTION("""COMPUTED_VALUE"""),8.0)</f>
        <v>8</v>
      </c>
      <c r="J3760" s="18">
        <f>IFERROR(__xludf.DUMMYFUNCTION("""COMPUTED_VALUE"""),16.0)</f>
        <v>16</v>
      </c>
      <c r="K3760" s="18">
        <f>IFERROR(__xludf.DUMMYFUNCTION("""COMPUTED_VALUE"""),20.0)</f>
        <v>20</v>
      </c>
      <c r="L3760" s="17">
        <f>IFERROR(__xludf.DUMMYFUNCTION("""COMPUTED_VALUE"""),3.108888253E9)</f>
        <v>3108888253</v>
      </c>
      <c r="M3760" s="17" t="str">
        <f>IFERROR(__xludf.DUMMYFUNCTION("""COMPUTED_VALUE"""),"#REF!")</f>
        <v>#REF!</v>
      </c>
      <c r="N3760" s="17"/>
      <c r="O3760" s="17"/>
      <c r="P3760" s="17" t="b">
        <f>IFERROR(__xludf.DUMMYFUNCTION("""COMPUTED_VALUE"""),FALSE)</f>
        <v>0</v>
      </c>
      <c r="Q3760" s="20" t="str">
        <f>IFERROR(__xludf.DUMMYFUNCTION("""COMPUTED_VALUE"""),"")</f>
        <v/>
      </c>
      <c r="R3760" s="21" t="str">
        <f>IFERROR(__xludf.DUMMYFUNCTION("""COMPUTED_VALUE"""),"https://drive.google.com/file/d/1moqpYyO_pfGrH-p3cwshSmi7G6weOFv2/view?usp=drivesdk")</f>
        <v>https://drive.google.com/file/d/1moqpYyO_pfGrH-p3cwshSmi7G6weOFv2/view?usp=drivesdk</v>
      </c>
    </row>
    <row r="3761">
      <c r="A3761" s="15">
        <f>IFERROR(__xludf.DUMMYFUNCTION("""COMPUTED_VALUE"""),45112.0)</f>
        <v>45112</v>
      </c>
      <c r="B3761" s="16" t="str">
        <f>IFERROR(__xludf.DUMMYFUNCTION("""COMPUTED_VALUE"""),"Jeison Rubiano")</f>
        <v>Jeison Rubiano</v>
      </c>
      <c r="C3761" s="15" t="str">
        <f>IFERROR(__xludf.DUMMYFUNCTION("""COMPUTED_VALUE"""),"BOGOTÁ")</f>
        <v>BOGOTÁ</v>
      </c>
      <c r="D3761" s="15" t="str">
        <f>IFERROR(__xludf.DUMMYFUNCTION("""COMPUTED_VALUE"""),"MEDELLÍN")</f>
        <v>MEDELLÍN</v>
      </c>
      <c r="E3761" s="15" t="str">
        <f>IFERROR(__xludf.DUMMYFUNCTION("""COMPUTED_VALUE"""),"Dream Cream")</f>
        <v>Dream Cream</v>
      </c>
      <c r="F3761" s="17" t="str">
        <f>IFERROR(__xludf.DUMMYFUNCTION("""COMPUTED_VALUE"""),"Calle 84 # 15 - 39. Local Delicasa / la calle 84 es peatonal. El local se llama DELICASA no tiene número de local. / Barrio Antiguo Country")</f>
        <v>Calle 84 # 15 - 39. Local Delicasa / la calle 84 es peatonal. El local se llama DELICASA no tiene número de local. / Barrio Antiguo Country</v>
      </c>
      <c r="G3761" s="15" t="str">
        <f>IFERROR(__xludf.DUMMYFUNCTION("""COMPUTED_VALUE"""),"Clara Saldarriaga")</f>
        <v>Clara Saldarriaga</v>
      </c>
      <c r="H3761" s="16">
        <f>IFERROR(__xludf.DUMMYFUNCTION("""COMPUTED_VALUE"""),12248.0)</f>
        <v>12248</v>
      </c>
      <c r="I3761" s="18">
        <f>IFERROR(__xludf.DUMMYFUNCTION("""COMPUTED_VALUE"""),50.0)</f>
        <v>50</v>
      </c>
      <c r="J3761" s="18">
        <f>IFERROR(__xludf.DUMMYFUNCTION("""COMPUTED_VALUE"""),30.0)</f>
        <v>30</v>
      </c>
      <c r="K3761" s="18">
        <f>IFERROR(__xludf.DUMMYFUNCTION("""COMPUTED_VALUE"""),21.0)</f>
        <v>21</v>
      </c>
      <c r="L3761" s="17">
        <f>IFERROR(__xludf.DUMMYFUNCTION("""COMPUTED_VALUE"""),3.106878857E9)</f>
        <v>3106878857</v>
      </c>
      <c r="M3761" s="17" t="str">
        <f>IFERROR(__xludf.DUMMYFUNCTION("""COMPUTED_VALUE"""),"#REF!")</f>
        <v>#REF!</v>
      </c>
      <c r="N3761" s="17"/>
      <c r="O3761" s="17"/>
      <c r="P3761" s="17" t="b">
        <f>IFERROR(__xludf.DUMMYFUNCTION("""COMPUTED_VALUE"""),FALSE)</f>
        <v>0</v>
      </c>
      <c r="Q3761" s="20" t="str">
        <f>IFERROR(__xludf.DUMMYFUNCTION("""COMPUTED_VALUE"""),"")</f>
        <v/>
      </c>
      <c r="R3761" s="21" t="str">
        <f>IFERROR(__xludf.DUMMYFUNCTION("""COMPUTED_VALUE"""),"https://drive.google.com/file/d/1QhtfOl2a9V-n70ikyeyDnOFWU3bXOArg/view?usp=drivesdk")</f>
        <v>https://drive.google.com/file/d/1QhtfOl2a9V-n70ikyeyDnOFWU3bXOArg/view?usp=drivesdk</v>
      </c>
    </row>
    <row r="3762">
      <c r="A3762" s="15">
        <f>IFERROR(__xludf.DUMMYFUNCTION("""COMPUTED_VALUE"""),45112.0)</f>
        <v>45112</v>
      </c>
      <c r="B3762" s="16" t="str">
        <f>IFERROR(__xludf.DUMMYFUNCTION("""COMPUTED_VALUE"""),"Jeison Rubiano")</f>
        <v>Jeison Rubiano</v>
      </c>
      <c r="C3762" s="15" t="str">
        <f>IFERROR(__xludf.DUMMYFUNCTION("""COMPUTED_VALUE"""),"BOGOTÁ")</f>
        <v>BOGOTÁ</v>
      </c>
      <c r="D3762" s="15" t="str">
        <f>IFERROR(__xludf.DUMMYFUNCTION("""COMPUTED_VALUE"""),"MEDELLÍN")</f>
        <v>MEDELLÍN</v>
      </c>
      <c r="E3762" s="15" t="str">
        <f>IFERROR(__xludf.DUMMYFUNCTION("""COMPUTED_VALUE"""),"Felicidad Bakery Bogotá")</f>
        <v>Felicidad Bakery Bogotá</v>
      </c>
      <c r="F3762" s="17" t="str">
        <f>IFERROR(__xludf.DUMMYFUNCTION("""COMPUTED_VALUE"""),"Calle 92 #15-62 / Edificio centro chico local 103 / Edificio centro chico")</f>
        <v>Calle 92 #15-62 / Edificio centro chico local 103 / Edificio centro chico</v>
      </c>
      <c r="G3762" s="15" t="str">
        <f>IFERROR(__xludf.DUMMYFUNCTION("""COMPUTED_VALUE"""),"Camilo Hernandez")</f>
        <v>Camilo Hernandez</v>
      </c>
      <c r="H3762" s="16">
        <f>IFERROR(__xludf.DUMMYFUNCTION("""COMPUTED_VALUE"""),12378.0)</f>
        <v>12378</v>
      </c>
      <c r="I3762" s="18">
        <f>IFERROR(__xludf.DUMMYFUNCTION("""COMPUTED_VALUE"""),1.0)</f>
        <v>1</v>
      </c>
      <c r="J3762" s="18">
        <f>IFERROR(__xludf.DUMMYFUNCTION("""COMPUTED_VALUE"""),1.0)</f>
        <v>1</v>
      </c>
      <c r="K3762" s="18">
        <f>IFERROR(__xludf.DUMMYFUNCTION("""COMPUTED_VALUE"""),1.0)</f>
        <v>1</v>
      </c>
      <c r="L3762" s="17">
        <f>IFERROR(__xludf.DUMMYFUNCTION("""COMPUTED_VALUE"""),3.013527163E9)</f>
        <v>3013527163</v>
      </c>
      <c r="M3762" s="17" t="str">
        <f>IFERROR(__xludf.DUMMYFUNCTION("""COMPUTED_VALUE"""),"#REF!")</f>
        <v>#REF!</v>
      </c>
      <c r="N3762" s="17"/>
      <c r="O3762" s="17"/>
      <c r="P3762" s="17" t="b">
        <f>IFERROR(__xludf.DUMMYFUNCTION("""COMPUTED_VALUE"""),FALSE)</f>
        <v>0</v>
      </c>
      <c r="Q3762" s="20" t="str">
        <f>IFERROR(__xludf.DUMMYFUNCTION("""COMPUTED_VALUE"""),"")</f>
        <v/>
      </c>
      <c r="R3762" s="21" t="str">
        <f>IFERROR(__xludf.DUMMYFUNCTION("""COMPUTED_VALUE"""),"https://drive.google.com/file/d/1kTTKEzCSDf8dnSnMKstSLoP_lgAZu_xJ/view?usp=drivesdk")</f>
        <v>https://drive.google.com/file/d/1kTTKEzCSDf8dnSnMKstSLoP_lgAZu_xJ/view?usp=drivesdk</v>
      </c>
    </row>
    <row r="3763">
      <c r="A3763" s="15">
        <f>IFERROR(__xludf.DUMMYFUNCTION("""COMPUTED_VALUE"""),45112.0)</f>
        <v>45112</v>
      </c>
      <c r="B3763" s="16" t="str">
        <f>IFERROR(__xludf.DUMMYFUNCTION("""COMPUTED_VALUE"""),"Jeison Rubiano")</f>
        <v>Jeison Rubiano</v>
      </c>
      <c r="C3763" s="15" t="str">
        <f>IFERROR(__xludf.DUMMYFUNCTION("""COMPUTED_VALUE"""),"BOGOTÁ")</f>
        <v>BOGOTÁ</v>
      </c>
      <c r="D3763" s="15" t="str">
        <f>IFERROR(__xludf.DUMMYFUNCTION("""COMPUTED_VALUE"""),"MEDELLÍN")</f>
        <v>MEDELLÍN</v>
      </c>
      <c r="E3763" s="15" t="str">
        <f>IFERROR(__xludf.DUMMYFUNCTION("""COMPUTED_VALUE"""),"Goyo Todo por ellos")</f>
        <v>Goyo Todo por ellos</v>
      </c>
      <c r="F3763" s="17" t="str">
        <f>IFERROR(__xludf.DUMMYFUNCTION("""COMPUTED_VALUE"""),"CRA 50 #64-72  / Torre 2 Apto 601 / Barrio San Miguel Bogotá")</f>
        <v>CRA 50 #64-72  / Torre 2 Apto 601 / Barrio San Miguel Bogotá</v>
      </c>
      <c r="G3763" s="15" t="str">
        <f>IFERROR(__xludf.DUMMYFUNCTION("""COMPUTED_VALUE"""),"Adriana Zuica Restrepo")</f>
        <v>Adriana Zuica Restrepo</v>
      </c>
      <c r="H3763" s="16">
        <f>IFERROR(__xludf.DUMMYFUNCTION("""COMPUTED_VALUE"""),12346.0)</f>
        <v>12346</v>
      </c>
      <c r="I3763" s="18">
        <f>IFERROR(__xludf.DUMMYFUNCTION("""COMPUTED_VALUE"""),13.0)</f>
        <v>13</v>
      </c>
      <c r="J3763" s="18">
        <f>IFERROR(__xludf.DUMMYFUNCTION("""COMPUTED_VALUE"""),21.0)</f>
        <v>21</v>
      </c>
      <c r="K3763" s="18">
        <f>IFERROR(__xludf.DUMMYFUNCTION("""COMPUTED_VALUE"""),15.0)</f>
        <v>15</v>
      </c>
      <c r="L3763" s="17">
        <f>IFERROR(__xludf.DUMMYFUNCTION("""COMPUTED_VALUE"""),3.225904098E9)</f>
        <v>3225904098</v>
      </c>
      <c r="M3763" s="17" t="str">
        <f>IFERROR(__xludf.DUMMYFUNCTION("""COMPUTED_VALUE"""),"#REF!")</f>
        <v>#REF!</v>
      </c>
      <c r="N3763" s="17"/>
      <c r="O3763" s="17"/>
      <c r="P3763" s="17" t="b">
        <f>IFERROR(__xludf.DUMMYFUNCTION("""COMPUTED_VALUE"""),FALSE)</f>
        <v>0</v>
      </c>
      <c r="Q3763" s="20" t="str">
        <f>IFERROR(__xludf.DUMMYFUNCTION("""COMPUTED_VALUE"""),"")</f>
        <v/>
      </c>
      <c r="R3763" s="21" t="str">
        <f>IFERROR(__xludf.DUMMYFUNCTION("""COMPUTED_VALUE"""),"https://drive.google.com/file/d/1_3tP-yKpVPLXqgbbDlusgU_sjLsIPYUg/view?usp=drivesdk")</f>
        <v>https://drive.google.com/file/d/1_3tP-yKpVPLXqgbbDlusgU_sjLsIPYUg/view?usp=drivesdk</v>
      </c>
    </row>
    <row r="3764">
      <c r="A3764" s="15">
        <f>IFERROR(__xludf.DUMMYFUNCTION("""COMPUTED_VALUE"""),45112.0)</f>
        <v>45112</v>
      </c>
      <c r="B3764" s="16" t="str">
        <f>IFERROR(__xludf.DUMMYFUNCTION("""COMPUTED_VALUE"""),"Jeison Rubiano")</f>
        <v>Jeison Rubiano</v>
      </c>
      <c r="C3764" s="15" t="str">
        <f>IFERROR(__xludf.DUMMYFUNCTION("""COMPUTED_VALUE"""),"BOGOTÁ")</f>
        <v>BOGOTÁ</v>
      </c>
      <c r="D3764" s="15" t="str">
        <f>IFERROR(__xludf.DUMMYFUNCTION("""COMPUTED_VALUE"""),"MEDELLÍN")</f>
        <v>MEDELLÍN</v>
      </c>
      <c r="E3764" s="15" t="str">
        <f>IFERROR(__xludf.DUMMYFUNCTION("""COMPUTED_VALUE"""),"Lácteos El Pino SAS")</f>
        <v>Lácteos El Pino SAS</v>
      </c>
      <c r="F3764" s="17" t="str">
        <f>IFERROR(__xludf.DUMMYFUNCTION("""COMPUTED_VALUE"""),"CALLE 24A #57-60 / RECIBO EN ZONA DE CARGA POR EL DEPRIMIDO- COMPRAS")</f>
        <v>CALLE 24A #57-60 / RECIBO EN ZONA DE CARGA POR EL DEPRIMIDO- COMPRAS</v>
      </c>
      <c r="G3764" s="15" t="str">
        <f>IFERROR(__xludf.DUMMYFUNCTION("""COMPUTED_VALUE"""),"HOTEL GRAND HYATT BOGOTA")</f>
        <v>HOTEL GRAND HYATT BOGOTA</v>
      </c>
      <c r="H3764" s="16">
        <f>IFERROR(__xludf.DUMMYFUNCTION("""COMPUTED_VALUE"""),12303.0)</f>
        <v>12303</v>
      </c>
      <c r="I3764" s="18">
        <f>IFERROR(__xludf.DUMMYFUNCTION("""COMPUTED_VALUE"""),33.0)</f>
        <v>33</v>
      </c>
      <c r="J3764" s="18">
        <f>IFERROR(__xludf.DUMMYFUNCTION("""COMPUTED_VALUE"""),22.0)</f>
        <v>22</v>
      </c>
      <c r="K3764" s="18">
        <f>IFERROR(__xludf.DUMMYFUNCTION("""COMPUTED_VALUE"""),36.0)</f>
        <v>36</v>
      </c>
      <c r="L3764" s="17"/>
      <c r="M3764" s="17" t="str">
        <f>IFERROR(__xludf.DUMMYFUNCTION("""COMPUTED_VALUE"""),"#REF!")</f>
        <v>#REF!</v>
      </c>
      <c r="N3764" s="17"/>
      <c r="O3764" s="17"/>
      <c r="P3764" s="17" t="b">
        <f>IFERROR(__xludf.DUMMYFUNCTION("""COMPUTED_VALUE"""),FALSE)</f>
        <v>0</v>
      </c>
      <c r="Q3764" s="20" t="str">
        <f>IFERROR(__xludf.DUMMYFUNCTION("""COMPUTED_VALUE"""),"")</f>
        <v/>
      </c>
      <c r="R3764" s="21" t="str">
        <f>IFERROR(__xludf.DUMMYFUNCTION("""COMPUTED_VALUE"""),"https://drive.google.com/file/d/1gWwfsmibrltA867V87KN_Lcndu-W18PA/view?usp=drivesdk")</f>
        <v>https://drive.google.com/file/d/1gWwfsmibrltA867V87KN_Lcndu-W18PA/view?usp=drivesdk</v>
      </c>
    </row>
    <row r="3765">
      <c r="A3765" s="15">
        <f>IFERROR(__xludf.DUMMYFUNCTION("""COMPUTED_VALUE"""),45112.0)</f>
        <v>45112</v>
      </c>
      <c r="B3765" s="16" t="str">
        <f>IFERROR(__xludf.DUMMYFUNCTION("""COMPUTED_VALUE"""),"Jeison Rubiano")</f>
        <v>Jeison Rubiano</v>
      </c>
      <c r="C3765" s="15" t="str">
        <f>IFERROR(__xludf.DUMMYFUNCTION("""COMPUTED_VALUE"""),"BOGOTÁ")</f>
        <v>BOGOTÁ</v>
      </c>
      <c r="D3765" s="15" t="str">
        <f>IFERROR(__xludf.DUMMYFUNCTION("""COMPUTED_VALUE"""),"MEDELLÍN")</f>
        <v>MEDELLÍN</v>
      </c>
      <c r="E3765" s="15" t="str">
        <f>IFERROR(__xludf.DUMMYFUNCTION("""COMPUTED_VALUE"""),"Magda")</f>
        <v>Magda</v>
      </c>
      <c r="F3765" s="17" t="str">
        <f>IFERROR(__xludf.DUMMYFUNCTION("""COMPUTED_VALUE"""),"Carrera 16A # 77 - 23 / centro de acopio Dando Cuerda / centro de acopio Dando Cuerda")</f>
        <v>Carrera 16A # 77 - 23 / centro de acopio Dando Cuerda / centro de acopio Dando Cuerda</v>
      </c>
      <c r="G3765" s="15" t="str">
        <f>IFERROR(__xludf.DUMMYFUNCTION("""COMPUTED_VALUE"""),"carlos perez")</f>
        <v>carlos perez</v>
      </c>
      <c r="H3765" s="16">
        <f>IFERROR(__xludf.DUMMYFUNCTION("""COMPUTED_VALUE"""),12375.0)</f>
        <v>12375</v>
      </c>
      <c r="I3765" s="18">
        <f>IFERROR(__xludf.DUMMYFUNCTION("""COMPUTED_VALUE"""),5.0)</f>
        <v>5</v>
      </c>
      <c r="J3765" s="18">
        <f>IFERROR(__xludf.DUMMYFUNCTION("""COMPUTED_VALUE"""),5.0)</f>
        <v>5</v>
      </c>
      <c r="K3765" s="18">
        <f>IFERROR(__xludf.DUMMYFUNCTION("""COMPUTED_VALUE"""),5.0)</f>
        <v>5</v>
      </c>
      <c r="L3765" s="17">
        <f>IFERROR(__xludf.DUMMYFUNCTION("""COMPUTED_VALUE"""),3.122581483E9)</f>
        <v>3122581483</v>
      </c>
      <c r="M3765" s="17" t="str">
        <f>IFERROR(__xludf.DUMMYFUNCTION("""COMPUTED_VALUE"""),"#REF!")</f>
        <v>#REF!</v>
      </c>
      <c r="N3765" s="17"/>
      <c r="O3765" s="17"/>
      <c r="P3765" s="17" t="b">
        <f>IFERROR(__xludf.DUMMYFUNCTION("""COMPUTED_VALUE"""),FALSE)</f>
        <v>0</v>
      </c>
      <c r="Q3765" s="20" t="str">
        <f>IFERROR(__xludf.DUMMYFUNCTION("""COMPUTED_VALUE"""),"")</f>
        <v/>
      </c>
      <c r="R3765" s="22" t="str">
        <f>IFERROR(__xludf.DUMMYFUNCTION("""COMPUTED_VALUE"""),"")</f>
        <v/>
      </c>
    </row>
    <row r="3766">
      <c r="A3766" s="15">
        <f>IFERROR(__xludf.DUMMYFUNCTION("""COMPUTED_VALUE"""),45112.0)</f>
        <v>45112</v>
      </c>
      <c r="B3766" s="16" t="str">
        <f>IFERROR(__xludf.DUMMYFUNCTION("""COMPUTED_VALUE"""),"Jeison Rubiano")</f>
        <v>Jeison Rubiano</v>
      </c>
      <c r="C3766" s="15" t="str">
        <f>IFERROR(__xludf.DUMMYFUNCTION("""COMPUTED_VALUE"""),"BOGOTÁ")</f>
        <v>BOGOTÁ</v>
      </c>
      <c r="D3766" s="15" t="str">
        <f>IFERROR(__xludf.DUMMYFUNCTION("""COMPUTED_VALUE"""),"MEDELLÍN")</f>
        <v>MEDELLÍN</v>
      </c>
      <c r="E3766" s="15" t="str">
        <f>IFERROR(__xludf.DUMMYFUNCTION("""COMPUTED_VALUE"""),"Moloso S.A.S")</f>
        <v>Moloso S.A.S</v>
      </c>
      <c r="F3766" s="17" t="str">
        <f>IFERROR(__xludf.DUMMYFUNCTION("""COMPUTED_VALUE"""),"CR 4 A 4 25 / TORREON ALTOS DE LA POLA AP 1101")</f>
        <v>CR 4 A 4 25 / TORREON ALTOS DE LA POLA AP 1101</v>
      </c>
      <c r="G3766" s="15" t="str">
        <f>IFERROR(__xludf.DUMMYFUNCTION("""COMPUTED_VALUE"""),"ANDREA CAROLINA DIAZ")</f>
        <v>ANDREA CAROLINA DIAZ</v>
      </c>
      <c r="H3766" s="16">
        <f>IFERROR(__xludf.DUMMYFUNCTION("""COMPUTED_VALUE"""),12354.0)</f>
        <v>12354</v>
      </c>
      <c r="I3766" s="18">
        <f>IFERROR(__xludf.DUMMYFUNCTION("""COMPUTED_VALUE"""),17.0)</f>
        <v>17</v>
      </c>
      <c r="J3766" s="18">
        <f>IFERROR(__xludf.DUMMYFUNCTION("""COMPUTED_VALUE"""),15.0)</f>
        <v>15</v>
      </c>
      <c r="K3766" s="18">
        <f>IFERROR(__xludf.DUMMYFUNCTION("""COMPUTED_VALUE"""),28.0)</f>
        <v>28</v>
      </c>
      <c r="L3766" s="17" t="str">
        <f>IFERROR(__xludf.DUMMYFUNCTION("""COMPUTED_VALUE"""),"301 6046988")</f>
        <v>301 6046988</v>
      </c>
      <c r="M3766" s="17" t="str">
        <f>IFERROR(__xludf.DUMMYFUNCTION("""COMPUTED_VALUE"""),"#REF!")</f>
        <v>#REF!</v>
      </c>
      <c r="N3766" s="17"/>
      <c r="O3766" s="17"/>
      <c r="P3766" s="17" t="b">
        <f>IFERROR(__xludf.DUMMYFUNCTION("""COMPUTED_VALUE"""),TRUE)</f>
        <v>1</v>
      </c>
      <c r="Q3766" s="20">
        <f>IFERROR(__xludf.DUMMYFUNCTION("""COMPUTED_VALUE"""),45112.59914362269)</f>
        <v>45112.59914</v>
      </c>
      <c r="R3766" s="21" t="str">
        <f>IFERROR(__xludf.DUMMYFUNCTION("""COMPUTED_VALUE"""),"https://drive.google.com/file/d/1yzKwDbjzEiUr3QLldxwosNZC-QbTcOYU/view?usp=drivesdk")</f>
        <v>https://drive.google.com/file/d/1yzKwDbjzEiUr3QLldxwosNZC-QbTcOYU/view?usp=drivesdk</v>
      </c>
    </row>
    <row r="3767">
      <c r="A3767" s="15">
        <f>IFERROR(__xludf.DUMMYFUNCTION("""COMPUTED_VALUE"""),45112.0)</f>
        <v>45112</v>
      </c>
      <c r="B3767" s="16" t="str">
        <f>IFERROR(__xludf.DUMMYFUNCTION("""COMPUTED_VALUE"""),"Jeison Rubiano")</f>
        <v>Jeison Rubiano</v>
      </c>
      <c r="C3767" s="15" t="str">
        <f>IFERROR(__xludf.DUMMYFUNCTION("""COMPUTED_VALUE"""),"BOGOTÁ")</f>
        <v>BOGOTÁ</v>
      </c>
      <c r="D3767" s="15" t="str">
        <f>IFERROR(__xludf.DUMMYFUNCTION("""COMPUTED_VALUE"""),"MEDELLÍN")</f>
        <v>MEDELLÍN</v>
      </c>
      <c r="E3767" s="15" t="str">
        <f>IFERROR(__xludf.DUMMYFUNCTION("""COMPUTED_VALUE"""),"The Smoked House")</f>
        <v>The Smoked House</v>
      </c>
      <c r="F3767" s="17" t="str">
        <f>IFERROR(__xludf.DUMMYFUNCTION("""COMPUTED_VALUE"""),"Bogv / Bog  / Bog")</f>
        <v>Bogv / Bog  / Bog</v>
      </c>
      <c r="G3767" s="15" t="str">
        <f>IFERROR(__xludf.DUMMYFUNCTION("""COMPUTED_VALUE"""),"Alejandro Mendieta")</f>
        <v>Alejandro Mendieta</v>
      </c>
      <c r="H3767" s="16">
        <f>IFERROR(__xludf.DUMMYFUNCTION("""COMPUTED_VALUE"""),12377.0)</f>
        <v>12377</v>
      </c>
      <c r="I3767" s="18">
        <f>IFERROR(__xludf.DUMMYFUNCTION("""COMPUTED_VALUE"""),25.0)</f>
        <v>25</v>
      </c>
      <c r="J3767" s="18">
        <f>IFERROR(__xludf.DUMMYFUNCTION("""COMPUTED_VALUE"""),30.0)</f>
        <v>30</v>
      </c>
      <c r="K3767" s="18">
        <f>IFERROR(__xludf.DUMMYFUNCTION("""COMPUTED_VALUE"""),58.0)</f>
        <v>58</v>
      </c>
      <c r="L3767" s="17">
        <f>IFERROR(__xludf.DUMMYFUNCTION("""COMPUTED_VALUE"""),3.158825395E9)</f>
        <v>3158825395</v>
      </c>
      <c r="M3767" s="17" t="str">
        <f>IFERROR(__xludf.DUMMYFUNCTION("""COMPUTED_VALUE"""),"#REF!")</f>
        <v>#REF!</v>
      </c>
      <c r="N3767" s="17"/>
      <c r="O3767" s="17"/>
      <c r="P3767" s="17" t="b">
        <f>IFERROR(__xludf.DUMMYFUNCTION("""COMPUTED_VALUE"""),FALSE)</f>
        <v>0</v>
      </c>
      <c r="Q3767" s="20" t="str">
        <f>IFERROR(__xludf.DUMMYFUNCTION("""COMPUTED_VALUE"""),"")</f>
        <v/>
      </c>
      <c r="R3767" s="21" t="str">
        <f>IFERROR(__xludf.DUMMYFUNCTION("""COMPUTED_VALUE"""),"https://drive.google.com/file/d/1k7r0-IjgdaRxOXWS_OWnlPZ_ZVyalIQd/view?usp=drivesdk")</f>
        <v>https://drive.google.com/file/d/1k7r0-IjgdaRxOXWS_OWnlPZ_ZVyalIQd/view?usp=drivesdk</v>
      </c>
    </row>
    <row r="3768">
      <c r="A3768" s="15">
        <f>IFERROR(__xludf.DUMMYFUNCTION("""COMPUTED_VALUE"""),45112.0)</f>
        <v>45112</v>
      </c>
      <c r="B3768" s="16" t="str">
        <f>IFERROR(__xludf.DUMMYFUNCTION("""COMPUTED_VALUE"""),"Jeison Rubiano")</f>
        <v>Jeison Rubiano</v>
      </c>
      <c r="C3768" s="15" t="str">
        <f>IFERROR(__xludf.DUMMYFUNCTION("""COMPUTED_VALUE"""),"MANIZALES")</f>
        <v>MANIZALES</v>
      </c>
      <c r="D3768" s="15" t="str">
        <f>IFERROR(__xludf.DUMMYFUNCTION("""COMPUTED_VALUE"""),"MEDELLÍN")</f>
        <v>MEDELLÍN</v>
      </c>
      <c r="E3768" s="15" t="str">
        <f>IFERROR(__xludf.DUMMYFUNCTION("""COMPUTED_VALUE"""),"Moloso S.A.S")</f>
        <v>Moloso S.A.S</v>
      </c>
      <c r="F3768" s="17" t="str">
        <f>IFERROR(__xludf.DUMMYFUNCTION("""COMPUTED_VALUE"""),"CR 20 61 80 / ED LAURELES DEL RIO AP 305C")</f>
        <v>CR 20 61 80 / ED LAURELES DEL RIO AP 305C</v>
      </c>
      <c r="G3768" s="15" t="str">
        <f>IFERROR(__xludf.DUMMYFUNCTION("""COMPUTED_VALUE"""),"JUAN PABLO QUIÑONEZ")</f>
        <v>JUAN PABLO QUIÑONEZ</v>
      </c>
      <c r="H3768" s="16">
        <f>IFERROR(__xludf.DUMMYFUNCTION("""COMPUTED_VALUE"""),12353.0)</f>
        <v>12353</v>
      </c>
      <c r="I3768" s="18">
        <f>IFERROR(__xludf.DUMMYFUNCTION("""COMPUTED_VALUE"""),17.0)</f>
        <v>17</v>
      </c>
      <c r="J3768" s="18">
        <f>IFERROR(__xludf.DUMMYFUNCTION("""COMPUTED_VALUE"""),15.0)</f>
        <v>15</v>
      </c>
      <c r="K3768" s="18">
        <f>IFERROR(__xludf.DUMMYFUNCTION("""COMPUTED_VALUE"""),28.0)</f>
        <v>28</v>
      </c>
      <c r="L3768" s="17" t="str">
        <f>IFERROR(__xludf.DUMMYFUNCTION("""COMPUTED_VALUE"""),"301 3068507")</f>
        <v>301 3068507</v>
      </c>
      <c r="M3768" s="17" t="str">
        <f>IFERROR(__xludf.DUMMYFUNCTION("""COMPUTED_VALUE"""),"#REF!")</f>
        <v>#REF!</v>
      </c>
      <c r="N3768" s="17"/>
      <c r="O3768" s="17"/>
      <c r="P3768" s="17" t="b">
        <f>IFERROR(__xludf.DUMMYFUNCTION("""COMPUTED_VALUE"""),FALSE)</f>
        <v>0</v>
      </c>
      <c r="Q3768" s="20" t="str">
        <f>IFERROR(__xludf.DUMMYFUNCTION("""COMPUTED_VALUE"""),"")</f>
        <v/>
      </c>
      <c r="R3768" s="21" t="str">
        <f>IFERROR(__xludf.DUMMYFUNCTION("""COMPUTED_VALUE"""),"https://drive.google.com/file/d/1wXZaGsdd1uB2qiUyZsRj4c1vgnHgr9nX/view?usp=drivesdk")</f>
        <v>https://drive.google.com/file/d/1wXZaGsdd1uB2qiUyZsRj4c1vgnHgr9nX/view?usp=drivesdk</v>
      </c>
    </row>
    <row r="3769">
      <c r="A3769" s="15">
        <f>IFERROR(__xludf.DUMMYFUNCTION("""COMPUTED_VALUE"""),45112.0)</f>
        <v>45112</v>
      </c>
      <c r="B3769" s="16" t="str">
        <f>IFERROR(__xludf.DUMMYFUNCTION("""COMPUTED_VALUE"""),"Jeison Rubiano")</f>
        <v>Jeison Rubiano</v>
      </c>
      <c r="C3769" s="15" t="str">
        <f>IFERROR(__xludf.DUMMYFUNCTION("""COMPUTED_VALUE"""),"MANIZALES")</f>
        <v>MANIZALES</v>
      </c>
      <c r="D3769" s="15" t="str">
        <f>IFERROR(__xludf.DUMMYFUNCTION("""COMPUTED_VALUE"""),"MEDELLÍN")</f>
        <v>MEDELLÍN</v>
      </c>
      <c r="E3769" s="15" t="str">
        <f>IFERROR(__xludf.DUMMYFUNCTION("""COMPUTED_VALUE"""),"Todo Bufala")</f>
        <v>Todo Bufala</v>
      </c>
      <c r="F3769" s="17" t="str">
        <f>IFERROR(__xludf.DUMMYFUNCTION("""COMPUTED_VALUE"""),"Call 66 #23B - 211 / Edifico calle larga, local 5c")</f>
        <v>Call 66 #23B - 211 / Edifico calle larga, local 5c</v>
      </c>
      <c r="G3769" s="15" t="str">
        <f>IFERROR(__xludf.DUMMYFUNCTION("""COMPUTED_VALUE"""),"Sebastian Perez Pineda")</f>
        <v>Sebastian Perez Pineda</v>
      </c>
      <c r="H3769" s="16">
        <f>IFERROR(__xludf.DUMMYFUNCTION("""COMPUTED_VALUE"""),12249.0)</f>
        <v>12249</v>
      </c>
      <c r="I3769" s="18">
        <f>IFERROR(__xludf.DUMMYFUNCTION("""COMPUTED_VALUE"""),20.0)</f>
        <v>20</v>
      </c>
      <c r="J3769" s="18">
        <f>IFERROR(__xludf.DUMMYFUNCTION("""COMPUTED_VALUE"""),30.0)</f>
        <v>30</v>
      </c>
      <c r="K3769" s="18">
        <f>IFERROR(__xludf.DUMMYFUNCTION("""COMPUTED_VALUE"""),40.0)</f>
        <v>40</v>
      </c>
      <c r="L3769" s="17">
        <f>IFERROR(__xludf.DUMMYFUNCTION("""COMPUTED_VALUE"""),3.106974621E9)</f>
        <v>3106974621</v>
      </c>
      <c r="M3769" s="17" t="str">
        <f>IFERROR(__xludf.DUMMYFUNCTION("""COMPUTED_VALUE"""),"#REF!")</f>
        <v>#REF!</v>
      </c>
      <c r="N3769" s="17"/>
      <c r="O3769" s="17"/>
      <c r="P3769" s="17" t="b">
        <f>IFERROR(__xludf.DUMMYFUNCTION("""COMPUTED_VALUE"""),FALSE)</f>
        <v>0</v>
      </c>
      <c r="Q3769" s="20" t="str">
        <f>IFERROR(__xludf.DUMMYFUNCTION("""COMPUTED_VALUE"""),"")</f>
        <v/>
      </c>
      <c r="R3769" s="22" t="str">
        <f>IFERROR(__xludf.DUMMYFUNCTION("""COMPUTED_VALUE"""),"")</f>
        <v/>
      </c>
    </row>
    <row r="3770">
      <c r="A3770" s="17" t="str">
        <f>IFERROR(__xludf.DUMMYFUNCTION("""COMPUTED_VALUE"""),"")</f>
        <v/>
      </c>
      <c r="B3770" s="17" t="str">
        <f>IFERROR(__xludf.DUMMYFUNCTION("""COMPUTED_VALUE"""),"")</f>
        <v/>
      </c>
      <c r="C3770" s="17" t="str">
        <f>IFERROR(__xludf.DUMMYFUNCTION("""COMPUTED_VALUE"""),"")</f>
        <v/>
      </c>
      <c r="D3770" s="17" t="str">
        <f>IFERROR(__xludf.DUMMYFUNCTION("""COMPUTED_VALUE"""),"")</f>
        <v/>
      </c>
      <c r="E3770" s="17" t="str">
        <f>IFERROR(__xludf.DUMMYFUNCTION("""COMPUTED_VALUE"""),"")</f>
        <v/>
      </c>
      <c r="F3770" s="17" t="str">
        <f>IFERROR(__xludf.DUMMYFUNCTION("""COMPUTED_VALUE"""),"")</f>
        <v/>
      </c>
      <c r="G3770" s="17" t="str">
        <f>IFERROR(__xludf.DUMMYFUNCTION("""COMPUTED_VALUE"""),"")</f>
        <v/>
      </c>
      <c r="H3770" s="17" t="str">
        <f>IFERROR(__xludf.DUMMYFUNCTION("""COMPUTED_VALUE"""),"")</f>
        <v/>
      </c>
      <c r="I3770" s="17" t="str">
        <f>IFERROR(__xludf.DUMMYFUNCTION("""COMPUTED_VALUE"""),"")</f>
        <v/>
      </c>
      <c r="J3770" s="17" t="str">
        <f>IFERROR(__xludf.DUMMYFUNCTION("""COMPUTED_VALUE"""),"")</f>
        <v/>
      </c>
      <c r="K3770" s="17" t="str">
        <f>IFERROR(__xludf.DUMMYFUNCTION("""COMPUTED_VALUE"""),"")</f>
        <v/>
      </c>
      <c r="L3770" s="17" t="str">
        <f>IFERROR(__xludf.DUMMYFUNCTION("""COMPUTED_VALUE"""),"")</f>
        <v/>
      </c>
      <c r="M3770" s="17" t="str">
        <f>IFERROR(__xludf.DUMMYFUNCTION("""COMPUTED_VALUE"""),"")</f>
        <v/>
      </c>
      <c r="N3770" s="17" t="str">
        <f>IFERROR(__xludf.DUMMYFUNCTION("""COMPUTED_VALUE"""),"")</f>
        <v/>
      </c>
      <c r="O3770" s="17" t="str">
        <f>IFERROR(__xludf.DUMMYFUNCTION("""COMPUTED_VALUE"""),"")</f>
        <v/>
      </c>
      <c r="P3770" s="17" t="str">
        <f>IFERROR(__xludf.DUMMYFUNCTION("""COMPUTED_VALUE"""),"")</f>
        <v/>
      </c>
      <c r="Q3770" s="17" t="str">
        <f>IFERROR(__xludf.DUMMYFUNCTION("""COMPUTED_VALUE"""),"")</f>
        <v/>
      </c>
      <c r="R3770" s="17" t="str">
        <f>IFERROR(__xludf.DUMMYFUNCTION("""COMPUTED_VALUE"""),"")</f>
        <v/>
      </c>
    </row>
    <row r="3771">
      <c r="A3771" s="15">
        <f>IFERROR(__xludf.DUMMYFUNCTION("""COMPUTED_VALUE"""),45112.0)</f>
        <v>45112</v>
      </c>
      <c r="B3771" s="16" t="str">
        <f>IFERROR(__xludf.DUMMYFUNCTION("""COMPUTED_VALUE"""),"Jhon Anderson Ceballos Hernandez")</f>
        <v>Jhon Anderson Ceballos Hernandez</v>
      </c>
      <c r="C3771" s="15" t="str">
        <f>IFERROR(__xludf.DUMMYFUNCTION("""COMPUTED_VALUE"""),"DUITAMA")</f>
        <v>DUITAMA</v>
      </c>
      <c r="D3771" s="15" t="str">
        <f>IFERROR(__xludf.DUMMYFUNCTION("""COMPUTED_VALUE"""),"BOGOTÁ")</f>
        <v>BOGOTÁ</v>
      </c>
      <c r="E3771" s="15" t="str">
        <f>IFERROR(__xludf.DUMMYFUNCTION("""COMPUTED_VALUE"""),"Evamazzita")</f>
        <v>Evamazzita</v>
      </c>
      <c r="F3771" s="17" t="str">
        <f>IFERROR(__xludf.DUMMYFUNCTION("""COMPUTED_VALUE"""),"CALLE 13 No. 17 - 48  / APTO 203  / EL CARMEN")</f>
        <v>CALLE 13 No. 17 - 48  / APTO 203  / EL CARMEN</v>
      </c>
      <c r="G3771" s="15" t="str">
        <f>IFERROR(__xludf.DUMMYFUNCTION("""COMPUTED_VALUE"""),"MARIA ELIZABETH LOZANO HERNANDEZ")</f>
        <v>MARIA ELIZABETH LOZANO HERNANDEZ</v>
      </c>
      <c r="H3771" s="16">
        <f>IFERROR(__xludf.DUMMYFUNCTION("""COMPUTED_VALUE"""),12287.0)</f>
        <v>12287</v>
      </c>
      <c r="I3771" s="18">
        <f>IFERROR(__xludf.DUMMYFUNCTION("""COMPUTED_VALUE"""),3.0)</f>
        <v>3</v>
      </c>
      <c r="J3771" s="18">
        <f>IFERROR(__xludf.DUMMYFUNCTION("""COMPUTED_VALUE"""),23.0)</f>
        <v>23</v>
      </c>
      <c r="K3771" s="18">
        <f>IFERROR(__xludf.DUMMYFUNCTION("""COMPUTED_VALUE"""),17.0)</f>
        <v>17</v>
      </c>
      <c r="L3771" s="17">
        <f>IFERROR(__xludf.DUMMYFUNCTION("""COMPUTED_VALUE"""),3.214637163E9)</f>
        <v>3214637163</v>
      </c>
      <c r="M3771" s="17" t="str">
        <f>IFERROR(__xludf.DUMMYFUNCTION("""COMPUTED_VALUE"""),"#REF!")</f>
        <v>#REF!</v>
      </c>
      <c r="N3771" s="17"/>
      <c r="O3771" s="17"/>
      <c r="P3771" s="17" t="b">
        <f>IFERROR(__xludf.DUMMYFUNCTION("""COMPUTED_VALUE"""),FALSE)</f>
        <v>0</v>
      </c>
      <c r="Q3771" s="20" t="str">
        <f>IFERROR(__xludf.DUMMYFUNCTION("""COMPUTED_VALUE"""),"")</f>
        <v/>
      </c>
      <c r="R3771" s="22" t="str">
        <f>IFERROR(__xludf.DUMMYFUNCTION("""COMPUTED_VALUE"""),"")</f>
        <v/>
      </c>
    </row>
    <row r="3772">
      <c r="A3772" s="15">
        <f>IFERROR(__xludf.DUMMYFUNCTION("""COMPUTED_VALUE"""),45112.0)</f>
        <v>45112</v>
      </c>
      <c r="B3772" s="16" t="str">
        <f>IFERROR(__xludf.DUMMYFUNCTION("""COMPUTED_VALUE"""),"Jhon Anderson Ceballos Hernandez")</f>
        <v>Jhon Anderson Ceballos Hernandez</v>
      </c>
      <c r="C3772" s="15" t="str">
        <f>IFERROR(__xludf.DUMMYFUNCTION("""COMPUTED_VALUE"""),"MANIZALES")</f>
        <v>MANIZALES</v>
      </c>
      <c r="D3772" s="15" t="str">
        <f>IFERROR(__xludf.DUMMYFUNCTION("""COMPUTED_VALUE"""),"BOGOTÁ")</f>
        <v>BOGOTÁ</v>
      </c>
      <c r="E3772" s="15" t="str">
        <f>IFERROR(__xludf.DUMMYFUNCTION("""COMPUTED_VALUE"""),"Asociacion Agropecuaria Juana Maria")</f>
        <v>Asociacion Agropecuaria Juana Maria</v>
      </c>
      <c r="F3772" s="17" t="str">
        <f>IFERROR(__xludf.DUMMYFUNCTION("""COMPUTED_VALUE"""),"CRA 9 # 16-9 MANZANA 28 CASA 2 CONJUNTO MIRADOR DE LAS LOMAS - BARRIO LA FLORIDA VILLAMARIA CALDAS")</f>
        <v>CRA 9 # 16-9 MANZANA 28 CASA 2 CONJUNTO MIRADOR DE LAS LOMAS - BARRIO LA FLORIDA VILLAMARIA CALDAS</v>
      </c>
      <c r="G3772" s="15" t="str">
        <f>IFERROR(__xludf.DUMMYFUNCTION("""COMPUTED_VALUE"""),"ANA MARIA GARZON")</f>
        <v>ANA MARIA GARZON</v>
      </c>
      <c r="H3772" s="16">
        <f>IFERROR(__xludf.DUMMYFUNCTION("""COMPUTED_VALUE"""),12264.0)</f>
        <v>12264</v>
      </c>
      <c r="I3772" s="18">
        <f>IFERROR(__xludf.DUMMYFUNCTION("""COMPUTED_VALUE"""),12.0)</f>
        <v>12</v>
      </c>
      <c r="J3772" s="18">
        <f>IFERROR(__xludf.DUMMYFUNCTION("""COMPUTED_VALUE"""),37.0)</f>
        <v>37</v>
      </c>
      <c r="K3772" s="18">
        <f>IFERROR(__xludf.DUMMYFUNCTION("""COMPUTED_VALUE"""),20.0)</f>
        <v>20</v>
      </c>
      <c r="L3772" s="17">
        <f>IFERROR(__xludf.DUMMYFUNCTION("""COMPUTED_VALUE"""),3.21566191E9)</f>
        <v>3215661910</v>
      </c>
      <c r="M3772" s="17" t="str">
        <f>IFERROR(__xludf.DUMMYFUNCTION("""COMPUTED_VALUE"""),"#REF!")</f>
        <v>#REF!</v>
      </c>
      <c r="N3772" s="17"/>
      <c r="O3772" s="17"/>
      <c r="P3772" s="17" t="b">
        <f>IFERROR(__xludf.DUMMYFUNCTION("""COMPUTED_VALUE"""),FALSE)</f>
        <v>0</v>
      </c>
      <c r="Q3772" s="20" t="str">
        <f>IFERROR(__xludf.DUMMYFUNCTION("""COMPUTED_VALUE"""),"")</f>
        <v/>
      </c>
      <c r="R3772" s="21" t="str">
        <f>IFERROR(__xludf.DUMMYFUNCTION("""COMPUTED_VALUE"""),"https://drive.google.com/file/d/1kVwgGUff1xrVOioJg6ko88t2vzxeo-H9/view?usp=drivesdk")</f>
        <v>https://drive.google.com/file/d/1kVwgGUff1xrVOioJg6ko88t2vzxeo-H9/view?usp=drivesdk</v>
      </c>
    </row>
    <row r="3773">
      <c r="A3773" s="15">
        <f>IFERROR(__xludf.DUMMYFUNCTION("""COMPUTED_VALUE"""),45112.0)</f>
        <v>45112</v>
      </c>
      <c r="B3773" s="16" t="str">
        <f>IFERROR(__xludf.DUMMYFUNCTION("""COMPUTED_VALUE"""),"Jhon Anderson Ceballos Hernandez")</f>
        <v>Jhon Anderson Ceballos Hernandez</v>
      </c>
      <c r="C3773" s="15" t="str">
        <f>IFERROR(__xludf.DUMMYFUNCTION("""COMPUTED_VALUE"""),"MANIZALES")</f>
        <v>MANIZALES</v>
      </c>
      <c r="D3773" s="15" t="str">
        <f>IFERROR(__xludf.DUMMYFUNCTION("""COMPUTED_VALUE"""),"BOGOTÁ")</f>
        <v>BOGOTÁ</v>
      </c>
      <c r="E3773" s="15" t="str">
        <f>IFERROR(__xludf.DUMMYFUNCTION("""COMPUTED_VALUE"""),"Evamazzita")</f>
        <v>Evamazzita</v>
      </c>
      <c r="F3773" s="17" t="str">
        <f>IFERROR(__xludf.DUMMYFUNCTION("""COMPUTED_VALUE"""),"cra 22A # 70-60 San Rafael / cra 22A # 70-60 San Rafael / cra 22A # 70-60 San Rafael")</f>
        <v>cra 22A # 70-60 San Rafael / cra 22A # 70-60 San Rafael / cra 22A # 70-60 San Rafael</v>
      </c>
      <c r="G3773" s="15" t="str">
        <f>IFERROR(__xludf.DUMMYFUNCTION("""COMPUTED_VALUE"""),"CAMILA OLARTE")</f>
        <v>CAMILA OLARTE</v>
      </c>
      <c r="H3773" s="16">
        <f>IFERROR(__xludf.DUMMYFUNCTION("""COMPUTED_VALUE"""),12283.0)</f>
        <v>12283</v>
      </c>
      <c r="I3773" s="18">
        <f>IFERROR(__xludf.DUMMYFUNCTION("""COMPUTED_VALUE"""),1.0)</f>
        <v>1</v>
      </c>
      <c r="J3773" s="18">
        <f>IFERROR(__xludf.DUMMYFUNCTION("""COMPUTED_VALUE"""),1.0)</f>
        <v>1</v>
      </c>
      <c r="K3773" s="18">
        <f>IFERROR(__xludf.DUMMYFUNCTION("""COMPUTED_VALUE"""),1.0)</f>
        <v>1</v>
      </c>
      <c r="L3773" s="17">
        <f>IFERROR(__xludf.DUMMYFUNCTION("""COMPUTED_VALUE"""),3.004445331E9)</f>
        <v>3004445331</v>
      </c>
      <c r="M3773" s="17" t="str">
        <f>IFERROR(__xludf.DUMMYFUNCTION("""COMPUTED_VALUE"""),"#REF!")</f>
        <v>#REF!</v>
      </c>
      <c r="N3773" s="17"/>
      <c r="O3773" s="17"/>
      <c r="P3773" s="17" t="b">
        <f>IFERROR(__xludf.DUMMYFUNCTION("""COMPUTED_VALUE"""),FALSE)</f>
        <v>0</v>
      </c>
      <c r="Q3773" s="20" t="str">
        <f>IFERROR(__xludf.DUMMYFUNCTION("""COMPUTED_VALUE"""),"")</f>
        <v/>
      </c>
      <c r="R3773" s="21" t="str">
        <f>IFERROR(__xludf.DUMMYFUNCTION("""COMPUTED_VALUE"""),"https://drive.google.com/file/d/1XBczpoYkUmnAgPBi2jCcXdyDgJC-NQW3/view?usp=drivesdk")</f>
        <v>https://drive.google.com/file/d/1XBczpoYkUmnAgPBi2jCcXdyDgJC-NQW3/view?usp=drivesdk</v>
      </c>
    </row>
    <row r="3774">
      <c r="A3774" s="15">
        <f>IFERROR(__xludf.DUMMYFUNCTION("""COMPUTED_VALUE"""),45112.0)</f>
        <v>45112</v>
      </c>
      <c r="B3774" s="16" t="str">
        <f>IFERROR(__xludf.DUMMYFUNCTION("""COMPUTED_VALUE"""),"Jhon Anderson Ceballos Hernandez")</f>
        <v>Jhon Anderson Ceballos Hernandez</v>
      </c>
      <c r="C3774" s="15" t="str">
        <f>IFERROR(__xludf.DUMMYFUNCTION("""COMPUTED_VALUE"""),"SOGAMOSO")</f>
        <v>SOGAMOSO</v>
      </c>
      <c r="D3774" s="15" t="str">
        <f>IFERROR(__xludf.DUMMYFUNCTION("""COMPUTED_VALUE"""),"BOGOTÁ")</f>
        <v>BOGOTÁ</v>
      </c>
      <c r="E3774" s="15" t="str">
        <f>IFERROR(__xludf.DUMMYFUNCTION("""COMPUTED_VALUE"""),"Evamazzita")</f>
        <v>Evamazzita</v>
      </c>
      <c r="F3774" s="17" t="str">
        <f>IFERROR(__xludf.DUMMYFUNCTION("""COMPUTED_VALUE"""),"CRA 16 No. 13A - 28 / CRA 16 No. 13A - 28 / CRA 16 No. 13A - 28")</f>
        <v>CRA 16 No. 13A - 28 / CRA 16 No. 13A - 28 / CRA 16 No. 13A - 28</v>
      </c>
      <c r="G3774" s="15" t="str">
        <f>IFERROR(__xludf.DUMMYFUNCTION("""COMPUTED_VALUE"""),"NELLY PINTO")</f>
        <v>NELLY PINTO</v>
      </c>
      <c r="H3774" s="16">
        <f>IFERROR(__xludf.DUMMYFUNCTION("""COMPUTED_VALUE"""),12327.0)</f>
        <v>12327</v>
      </c>
      <c r="I3774" s="18">
        <f>IFERROR(__xludf.DUMMYFUNCTION("""COMPUTED_VALUE"""),1.0)</f>
        <v>1</v>
      </c>
      <c r="J3774" s="18">
        <f>IFERROR(__xludf.DUMMYFUNCTION("""COMPUTED_VALUE"""),1.0)</f>
        <v>1</v>
      </c>
      <c r="K3774" s="18">
        <f>IFERROR(__xludf.DUMMYFUNCTION("""COMPUTED_VALUE"""),1.0)</f>
        <v>1</v>
      </c>
      <c r="L3774" s="17">
        <f>IFERROR(__xludf.DUMMYFUNCTION("""COMPUTED_VALUE"""),3.108079693E9)</f>
        <v>3108079693</v>
      </c>
      <c r="M3774" s="17" t="str">
        <f>IFERROR(__xludf.DUMMYFUNCTION("""COMPUTED_VALUE"""),"#REF!")</f>
        <v>#REF!</v>
      </c>
      <c r="N3774" s="17"/>
      <c r="O3774" s="17"/>
      <c r="P3774" s="17" t="b">
        <f>IFERROR(__xludf.DUMMYFUNCTION("""COMPUTED_VALUE"""),FALSE)</f>
        <v>0</v>
      </c>
      <c r="Q3774" s="20" t="str">
        <f>IFERROR(__xludf.DUMMYFUNCTION("""COMPUTED_VALUE"""),"")</f>
        <v/>
      </c>
      <c r="R3774" s="22" t="str">
        <f>IFERROR(__xludf.DUMMYFUNCTION("""COMPUTED_VALUE"""),"")</f>
        <v/>
      </c>
    </row>
    <row r="3775">
      <c r="A3775" s="17" t="str">
        <f>IFERROR(__xludf.DUMMYFUNCTION("""COMPUTED_VALUE"""),"")</f>
        <v/>
      </c>
      <c r="B3775" s="17" t="str">
        <f>IFERROR(__xludf.DUMMYFUNCTION("""COMPUTED_VALUE"""),"")</f>
        <v/>
      </c>
      <c r="C3775" s="17" t="str">
        <f>IFERROR(__xludf.DUMMYFUNCTION("""COMPUTED_VALUE"""),"")</f>
        <v/>
      </c>
      <c r="D3775" s="17" t="str">
        <f>IFERROR(__xludf.DUMMYFUNCTION("""COMPUTED_VALUE"""),"")</f>
        <v/>
      </c>
      <c r="E3775" s="17" t="str">
        <f>IFERROR(__xludf.DUMMYFUNCTION("""COMPUTED_VALUE"""),"")</f>
        <v/>
      </c>
      <c r="F3775" s="17" t="str">
        <f>IFERROR(__xludf.DUMMYFUNCTION("""COMPUTED_VALUE"""),"")</f>
        <v/>
      </c>
      <c r="G3775" s="17" t="str">
        <f>IFERROR(__xludf.DUMMYFUNCTION("""COMPUTED_VALUE"""),"")</f>
        <v/>
      </c>
      <c r="H3775" s="17" t="str">
        <f>IFERROR(__xludf.DUMMYFUNCTION("""COMPUTED_VALUE"""),"")</f>
        <v/>
      </c>
      <c r="I3775" s="17" t="str">
        <f>IFERROR(__xludf.DUMMYFUNCTION("""COMPUTED_VALUE"""),"")</f>
        <v/>
      </c>
      <c r="J3775" s="17" t="str">
        <f>IFERROR(__xludf.DUMMYFUNCTION("""COMPUTED_VALUE"""),"")</f>
        <v/>
      </c>
      <c r="K3775" s="17" t="str">
        <f>IFERROR(__xludf.DUMMYFUNCTION("""COMPUTED_VALUE"""),"")</f>
        <v/>
      </c>
      <c r="L3775" s="17" t="str">
        <f>IFERROR(__xludf.DUMMYFUNCTION("""COMPUTED_VALUE"""),"")</f>
        <v/>
      </c>
      <c r="M3775" s="17" t="str">
        <f>IFERROR(__xludf.DUMMYFUNCTION("""COMPUTED_VALUE"""),"")</f>
        <v/>
      </c>
      <c r="N3775" s="17" t="str">
        <f>IFERROR(__xludf.DUMMYFUNCTION("""COMPUTED_VALUE"""),"")</f>
        <v/>
      </c>
      <c r="O3775" s="17" t="str">
        <f>IFERROR(__xludf.DUMMYFUNCTION("""COMPUTED_VALUE"""),"")</f>
        <v/>
      </c>
      <c r="P3775" s="17" t="str">
        <f>IFERROR(__xludf.DUMMYFUNCTION("""COMPUTED_VALUE"""),"")</f>
        <v/>
      </c>
      <c r="Q3775" s="17" t="str">
        <f>IFERROR(__xludf.DUMMYFUNCTION("""COMPUTED_VALUE"""),"")</f>
        <v/>
      </c>
      <c r="R3775" s="17" t="str">
        <f>IFERROR(__xludf.DUMMYFUNCTION("""COMPUTED_VALUE"""),"")</f>
        <v/>
      </c>
    </row>
    <row r="3776">
      <c r="A3776" s="15">
        <f>IFERROR(__xludf.DUMMYFUNCTION("""COMPUTED_VALUE"""),45112.0)</f>
        <v>45112</v>
      </c>
      <c r="B3776" s="16" t="str">
        <f>IFERROR(__xludf.DUMMYFUNCTION("""COMPUTED_VALUE"""),"Johan Alexander Escobar Arroyo ")</f>
        <v>Johan Alexander Escobar Arroyo </v>
      </c>
      <c r="C3776" s="15" t="str">
        <f>IFERROR(__xludf.DUMMYFUNCTION("""COMPUTED_VALUE"""),"CALI")</f>
        <v>CALI</v>
      </c>
      <c r="D3776" s="15" t="str">
        <f>IFERROR(__xludf.DUMMYFUNCTION("""COMPUTED_VALUE"""),"BOGOTÁ")</f>
        <v>BOGOTÁ</v>
      </c>
      <c r="E3776" s="15" t="str">
        <f>IFERROR(__xludf.DUMMYFUNCTION("""COMPUTED_VALUE"""),"Asociacion Agropecuaria Juana Maria")</f>
        <v>Asociacion Agropecuaria Juana Maria</v>
      </c>
      <c r="F3776" s="17" t="str">
        <f>IFERROR(__xludf.DUMMYFUNCTION("""COMPUTED_VALUE"""),"Carrera 17B # 33E-33 La Floresta vieja")</f>
        <v>Carrera 17B # 33E-33 La Floresta vieja</v>
      </c>
      <c r="G3776" s="15" t="str">
        <f>IFERROR(__xludf.DUMMYFUNCTION("""COMPUTED_VALUE"""),"Johanna acuña  Molina")</f>
        <v>Johanna acuña  Molina</v>
      </c>
      <c r="H3776" s="16">
        <f>IFERROR(__xludf.DUMMYFUNCTION("""COMPUTED_VALUE"""),12256.0)</f>
        <v>12256</v>
      </c>
      <c r="I3776" s="18">
        <f>IFERROR(__xludf.DUMMYFUNCTION("""COMPUTED_VALUE"""),16.0)</f>
        <v>16</v>
      </c>
      <c r="J3776" s="18">
        <f>IFERROR(__xludf.DUMMYFUNCTION("""COMPUTED_VALUE"""),34.0)</f>
        <v>34</v>
      </c>
      <c r="K3776" s="18">
        <f>IFERROR(__xludf.DUMMYFUNCTION("""COMPUTED_VALUE"""),25.0)</f>
        <v>25</v>
      </c>
      <c r="L3776" s="17">
        <f>IFERROR(__xludf.DUMMYFUNCTION("""COMPUTED_VALUE"""),3.218700343E9)</f>
        <v>3218700343</v>
      </c>
      <c r="M3776" s="17" t="str">
        <f>IFERROR(__xludf.DUMMYFUNCTION("""COMPUTED_VALUE"""),"#REF!")</f>
        <v>#REF!</v>
      </c>
      <c r="N3776" s="17"/>
      <c r="O3776" s="17"/>
      <c r="P3776" s="17" t="b">
        <f>IFERROR(__xludf.DUMMYFUNCTION("""COMPUTED_VALUE"""),FALSE)</f>
        <v>0</v>
      </c>
      <c r="Q3776" s="20" t="str">
        <f>IFERROR(__xludf.DUMMYFUNCTION("""COMPUTED_VALUE"""),"")</f>
        <v/>
      </c>
      <c r="R3776" s="22" t="str">
        <f>IFERROR(__xludf.DUMMYFUNCTION("""COMPUTED_VALUE"""),"")</f>
        <v/>
      </c>
    </row>
    <row r="3777">
      <c r="A3777" s="15">
        <f>IFERROR(__xludf.DUMMYFUNCTION("""COMPUTED_VALUE"""),45112.0)</f>
        <v>45112</v>
      </c>
      <c r="B3777" s="16" t="str">
        <f>IFERROR(__xludf.DUMMYFUNCTION("""COMPUTED_VALUE"""),"Johan Alexander Escobar Arroyo ")</f>
        <v>Johan Alexander Escobar Arroyo </v>
      </c>
      <c r="C3777" s="15" t="str">
        <f>IFERROR(__xludf.DUMMYFUNCTION("""COMPUTED_VALUE"""),"CALI")</f>
        <v>CALI</v>
      </c>
      <c r="D3777" s="15" t="str">
        <f>IFERROR(__xludf.DUMMYFUNCTION("""COMPUTED_VALUE"""),"BOGOTÁ")</f>
        <v>BOGOTÁ</v>
      </c>
      <c r="E3777" s="15" t="str">
        <f>IFERROR(__xludf.DUMMYFUNCTION("""COMPUTED_VALUE"""),"Evamazzita")</f>
        <v>Evamazzita</v>
      </c>
      <c r="F3777" s="17" t="str">
        <f>IFERROR(__xludf.DUMMYFUNCTION("""COMPUTED_VALUE"""),"CALLE 5 OESTE No. 1 - 15   / N/A / BARRIO EL PEÑON  (SI NO CONTESTA POR FAVOR ESCRIBIR POR WHATSAPP)""")</f>
        <v>CALLE 5 OESTE No. 1 - 15   / N/A / BARRIO EL PEÑON  (SI NO CONTESTA POR FAVOR ESCRIBIR POR WHATSAPP)"</v>
      </c>
      <c r="G3777" s="15" t="str">
        <f>IFERROR(__xludf.DUMMYFUNCTION("""COMPUTED_VALUE"""),"LORENA OROZCO")</f>
        <v>LORENA OROZCO</v>
      </c>
      <c r="H3777" s="16">
        <f>IFERROR(__xludf.DUMMYFUNCTION("""COMPUTED_VALUE"""),12301.0)</f>
        <v>12301</v>
      </c>
      <c r="I3777" s="18">
        <f>IFERROR(__xludf.DUMMYFUNCTION("""COMPUTED_VALUE"""),1.0)</f>
        <v>1</v>
      </c>
      <c r="J3777" s="18">
        <f>IFERROR(__xludf.DUMMYFUNCTION("""COMPUTED_VALUE"""),1.0)</f>
        <v>1</v>
      </c>
      <c r="K3777" s="18">
        <f>IFERROR(__xludf.DUMMYFUNCTION("""COMPUTED_VALUE"""),1.0)</f>
        <v>1</v>
      </c>
      <c r="L3777" s="17">
        <f>IFERROR(__xludf.DUMMYFUNCTION("""COMPUTED_VALUE"""),3.168642762E9)</f>
        <v>3168642762</v>
      </c>
      <c r="M3777" s="17" t="str">
        <f>IFERROR(__xludf.DUMMYFUNCTION("""COMPUTED_VALUE"""),"#REF!")</f>
        <v>#REF!</v>
      </c>
      <c r="N3777" s="17"/>
      <c r="O3777" s="17"/>
      <c r="P3777" s="17" t="b">
        <f>IFERROR(__xludf.DUMMYFUNCTION("""COMPUTED_VALUE"""),FALSE)</f>
        <v>0</v>
      </c>
      <c r="Q3777" s="20" t="str">
        <f>IFERROR(__xludf.DUMMYFUNCTION("""COMPUTED_VALUE"""),"")</f>
        <v/>
      </c>
      <c r="R3777" s="21" t="str">
        <f>IFERROR(__xludf.DUMMYFUNCTION("""COMPUTED_VALUE"""),"https://drive.google.com/file/d/1vHAzmoWOx-HW63tyZ0_mU5rFedYqKhfy/view?usp=drivesdk")</f>
        <v>https://drive.google.com/file/d/1vHAzmoWOx-HW63tyZ0_mU5rFedYqKhfy/view?usp=drivesdk</v>
      </c>
    </row>
    <row r="3778">
      <c r="A3778" s="15">
        <f>IFERROR(__xludf.DUMMYFUNCTION("""COMPUTED_VALUE"""),45112.0)</f>
        <v>45112</v>
      </c>
      <c r="B3778" s="16" t="str">
        <f>IFERROR(__xludf.DUMMYFUNCTION("""COMPUTED_VALUE"""),"Johan Alexander Escobar Arroyo ")</f>
        <v>Johan Alexander Escobar Arroyo </v>
      </c>
      <c r="C3778" s="15" t="str">
        <f>IFERROR(__xludf.DUMMYFUNCTION("""COMPUTED_VALUE"""),"CALI")</f>
        <v>CALI</v>
      </c>
      <c r="D3778" s="15" t="str">
        <f>IFERROR(__xludf.DUMMYFUNCTION("""COMPUTED_VALUE"""),"BOGOTÁ")</f>
        <v>BOGOTÁ</v>
      </c>
      <c r="E3778" s="15" t="str">
        <f>IFERROR(__xludf.DUMMYFUNCTION("""COMPUTED_VALUE"""),"Evamazzita")</f>
        <v>Evamazzita</v>
      </c>
      <c r="F3778" s="17" t="str">
        <f>IFERROR(__xludf.DUMMYFUNCTION("""COMPUTED_VALUE"""),"CALLE 60B No. 4D BIS - 41  / CALLE 60B No. 4D BIS - 41  / CALLE 60B No. 4D BIS - 41")</f>
        <v>CALLE 60B No. 4D BIS - 41  / CALLE 60B No. 4D BIS - 41  / CALLE 60B No. 4D BIS - 41</v>
      </c>
      <c r="G3778" s="15" t="str">
        <f>IFERROR(__xludf.DUMMYFUNCTION("""COMPUTED_VALUE"""),"GLORIA PERLAZA")</f>
        <v>GLORIA PERLAZA</v>
      </c>
      <c r="H3778" s="16">
        <f>IFERROR(__xludf.DUMMYFUNCTION("""COMPUTED_VALUE"""),12302.0)</f>
        <v>12302</v>
      </c>
      <c r="I3778" s="18">
        <f>IFERROR(__xludf.DUMMYFUNCTION("""COMPUTED_VALUE"""),1.0)</f>
        <v>1</v>
      </c>
      <c r="J3778" s="18">
        <f>IFERROR(__xludf.DUMMYFUNCTION("""COMPUTED_VALUE"""),1.0)</f>
        <v>1</v>
      </c>
      <c r="K3778" s="18">
        <f>IFERROR(__xludf.DUMMYFUNCTION("""COMPUTED_VALUE"""),1.0)</f>
        <v>1</v>
      </c>
      <c r="L3778" s="17">
        <f>IFERROR(__xludf.DUMMYFUNCTION("""COMPUTED_VALUE"""),3.045777494E9)</f>
        <v>3045777494</v>
      </c>
      <c r="M3778" s="17" t="str">
        <f>IFERROR(__xludf.DUMMYFUNCTION("""COMPUTED_VALUE"""),"#REF!")</f>
        <v>#REF!</v>
      </c>
      <c r="N3778" s="17"/>
      <c r="O3778" s="17"/>
      <c r="P3778" s="17" t="b">
        <f>IFERROR(__xludf.DUMMYFUNCTION("""COMPUTED_VALUE"""),FALSE)</f>
        <v>0</v>
      </c>
      <c r="Q3778" s="20" t="str">
        <f>IFERROR(__xludf.DUMMYFUNCTION("""COMPUTED_VALUE"""),"")</f>
        <v/>
      </c>
      <c r="R3778" s="21" t="str">
        <f>IFERROR(__xludf.DUMMYFUNCTION("""COMPUTED_VALUE"""),"https://drive.google.com/file/d/1_eb4cME496hU_NIgakfkIv5CNtI5hXj4/view?usp=drivesdk")</f>
        <v>https://drive.google.com/file/d/1_eb4cME496hU_NIgakfkIv5CNtI5hXj4/view?usp=drivesdk</v>
      </c>
    </row>
    <row r="3779">
      <c r="A3779" s="15">
        <f>IFERROR(__xludf.DUMMYFUNCTION("""COMPUTED_VALUE"""),45112.0)</f>
        <v>45112</v>
      </c>
      <c r="B3779" s="16" t="str">
        <f>IFERROR(__xludf.DUMMYFUNCTION("""COMPUTED_VALUE"""),"Johan Alexander Escobar Arroyo ")</f>
        <v>Johan Alexander Escobar Arroyo </v>
      </c>
      <c r="C3779" s="15" t="str">
        <f>IFERROR(__xludf.DUMMYFUNCTION("""COMPUTED_VALUE"""),"CALI")</f>
        <v>CALI</v>
      </c>
      <c r="D3779" s="15" t="str">
        <f>IFERROR(__xludf.DUMMYFUNCTION("""COMPUTED_VALUE"""),"BOGOTÁ")</f>
        <v>BOGOTÁ</v>
      </c>
      <c r="E3779" s="15" t="str">
        <f>IFERROR(__xludf.DUMMYFUNCTION("""COMPUTED_VALUE"""),"Evamazzita")</f>
        <v>Evamazzita</v>
      </c>
      <c r="F3779" s="17" t="str">
        <f>IFERROR(__xludf.DUMMYFUNCTION("""COMPUTED_VALUE"""),"Carrera 2 norte #4n-06   / Edificio Centenario  APTO 701 / N/A")</f>
        <v>Carrera 2 norte #4n-06   / Edificio Centenario  APTO 701 / N/A</v>
      </c>
      <c r="G3779" s="15" t="str">
        <f>IFERROR(__xludf.DUMMYFUNCTION("""COMPUTED_VALUE"""),"MARIA JIMENA BEDOYA")</f>
        <v>MARIA JIMENA BEDOYA</v>
      </c>
      <c r="H3779" s="16">
        <f>IFERROR(__xludf.DUMMYFUNCTION("""COMPUTED_VALUE"""),12304.0)</f>
        <v>12304</v>
      </c>
      <c r="I3779" s="18">
        <f>IFERROR(__xludf.DUMMYFUNCTION("""COMPUTED_VALUE"""),1.0)</f>
        <v>1</v>
      </c>
      <c r="J3779" s="18">
        <f>IFERROR(__xludf.DUMMYFUNCTION("""COMPUTED_VALUE"""),1.0)</f>
        <v>1</v>
      </c>
      <c r="K3779" s="18">
        <f>IFERROR(__xludf.DUMMYFUNCTION("""COMPUTED_VALUE"""),1.0)</f>
        <v>1</v>
      </c>
      <c r="L3779" s="17">
        <f>IFERROR(__xludf.DUMMYFUNCTION("""COMPUTED_VALUE"""),3.113677538E9)</f>
        <v>3113677538</v>
      </c>
      <c r="M3779" s="17" t="str">
        <f>IFERROR(__xludf.DUMMYFUNCTION("""COMPUTED_VALUE"""),"#REF!")</f>
        <v>#REF!</v>
      </c>
      <c r="N3779" s="17"/>
      <c r="O3779" s="17"/>
      <c r="P3779" s="17" t="b">
        <f>IFERROR(__xludf.DUMMYFUNCTION("""COMPUTED_VALUE"""),FALSE)</f>
        <v>0</v>
      </c>
      <c r="Q3779" s="20" t="str">
        <f>IFERROR(__xludf.DUMMYFUNCTION("""COMPUTED_VALUE"""),"")</f>
        <v/>
      </c>
      <c r="R3779" s="21" t="str">
        <f>IFERROR(__xludf.DUMMYFUNCTION("""COMPUTED_VALUE"""),"https://drive.google.com/file/d/1bxcIyCgKOq9HdA98HKdHyv-NH0tgYAYm/view?usp=drivesdk")</f>
        <v>https://drive.google.com/file/d/1bxcIyCgKOq9HdA98HKdHyv-NH0tgYAYm/view?usp=drivesdk</v>
      </c>
    </row>
    <row r="3780">
      <c r="A3780" s="15">
        <f>IFERROR(__xludf.DUMMYFUNCTION("""COMPUTED_VALUE"""),45112.0)</f>
        <v>45112</v>
      </c>
      <c r="B3780" s="16" t="str">
        <f>IFERROR(__xludf.DUMMYFUNCTION("""COMPUTED_VALUE"""),"Johan Alexander Escobar Arroyo ")</f>
        <v>Johan Alexander Escobar Arroyo </v>
      </c>
      <c r="C3780" s="15" t="str">
        <f>IFERROR(__xludf.DUMMYFUNCTION("""COMPUTED_VALUE"""),"CALI")</f>
        <v>CALI</v>
      </c>
      <c r="D3780" s="15" t="str">
        <f>IFERROR(__xludf.DUMMYFUNCTION("""COMPUTED_VALUE"""),"BOGOTÁ")</f>
        <v>BOGOTÁ</v>
      </c>
      <c r="E3780" s="15" t="str">
        <f>IFERROR(__xludf.DUMMYFUNCTION("""COMPUTED_VALUE"""),"Evamazzita")</f>
        <v>Evamazzita</v>
      </c>
      <c r="F3780" s="17" t="str">
        <f>IFERROR(__xludf.DUMMYFUNCTION("""COMPUTED_VALUE"""),"cra 89# 18-61  / casa 81 villas de san joaquin 1 / casa 81 villas de san joaquin 1")</f>
        <v>cra 89# 18-61  / casa 81 villas de san joaquin 1 / casa 81 villas de san joaquin 1</v>
      </c>
      <c r="G3780" s="15" t="str">
        <f>IFERROR(__xludf.DUMMYFUNCTION("""COMPUTED_VALUE"""),"TATIANA GONZALEZ")</f>
        <v>TATIANA GONZALEZ</v>
      </c>
      <c r="H3780" s="16">
        <f>IFERROR(__xludf.DUMMYFUNCTION("""COMPUTED_VALUE"""),12300.0)</f>
        <v>12300</v>
      </c>
      <c r="I3780" s="18">
        <f>IFERROR(__xludf.DUMMYFUNCTION("""COMPUTED_VALUE"""),1.0)</f>
        <v>1</v>
      </c>
      <c r="J3780" s="18">
        <f>IFERROR(__xludf.DUMMYFUNCTION("""COMPUTED_VALUE"""),1.0)</f>
        <v>1</v>
      </c>
      <c r="K3780" s="18">
        <f>IFERROR(__xludf.DUMMYFUNCTION("""COMPUTED_VALUE"""),1.0)</f>
        <v>1</v>
      </c>
      <c r="L3780" s="17">
        <f>IFERROR(__xludf.DUMMYFUNCTION("""COMPUTED_VALUE"""),3.104643005E9)</f>
        <v>3104643005</v>
      </c>
      <c r="M3780" s="17" t="str">
        <f>IFERROR(__xludf.DUMMYFUNCTION("""COMPUTED_VALUE"""),"#REF!")</f>
        <v>#REF!</v>
      </c>
      <c r="N3780" s="17"/>
      <c r="O3780" s="17"/>
      <c r="P3780" s="17" t="b">
        <f>IFERROR(__xludf.DUMMYFUNCTION("""COMPUTED_VALUE"""),FALSE)</f>
        <v>0</v>
      </c>
      <c r="Q3780" s="20" t="str">
        <f>IFERROR(__xludf.DUMMYFUNCTION("""COMPUTED_VALUE"""),"")</f>
        <v/>
      </c>
      <c r="R3780" s="21" t="str">
        <f>IFERROR(__xludf.DUMMYFUNCTION("""COMPUTED_VALUE"""),"https://drive.google.com/file/d/1pswXMua8XfSzD4KETLNnRjzngYIG2LOO/view?usp=drivesdk")</f>
        <v>https://drive.google.com/file/d/1pswXMua8XfSzD4KETLNnRjzngYIG2LOO/view?usp=drivesdk</v>
      </c>
    </row>
    <row r="3781">
      <c r="A3781" s="15">
        <f>IFERROR(__xludf.DUMMYFUNCTION("""COMPUTED_VALUE"""),45112.0)</f>
        <v>45112</v>
      </c>
      <c r="B3781" s="16" t="str">
        <f>IFERROR(__xludf.DUMMYFUNCTION("""COMPUTED_VALUE"""),"Johan Alexander Escobar Arroyo ")</f>
        <v>Johan Alexander Escobar Arroyo </v>
      </c>
      <c r="C3781" s="15" t="str">
        <f>IFERROR(__xludf.DUMMYFUNCTION("""COMPUTED_VALUE"""),"CALI")</f>
        <v>CALI</v>
      </c>
      <c r="D3781" s="15" t="str">
        <f>IFERROR(__xludf.DUMMYFUNCTION("""COMPUTED_VALUE"""),"BOGOTÁ")</f>
        <v>BOGOTÁ</v>
      </c>
      <c r="E3781" s="15" t="str">
        <f>IFERROR(__xludf.DUMMYFUNCTION("""COMPUTED_VALUE"""),"Frambascolombia sas")</f>
        <v>Frambascolombia sas</v>
      </c>
      <c r="F3781" s="17" t="str">
        <f>IFERROR(__xludf.DUMMYFUNCTION("""COMPUTED_VALUE"""),"Av 5a Nte. # 25n18 / local 2")</f>
        <v>Av 5a Nte. # 25n18 / local 2</v>
      </c>
      <c r="G3781" s="15" t="str">
        <f>IFERROR(__xludf.DUMMYFUNCTION("""COMPUTED_VALUE"""),"PikNPak Cali")</f>
        <v>PikNPak Cali</v>
      </c>
      <c r="H3781" s="16">
        <f>IFERROR(__xludf.DUMMYFUNCTION("""COMPUTED_VALUE"""),12270.0)</f>
        <v>12270</v>
      </c>
      <c r="I3781" s="18">
        <f>IFERROR(__xludf.DUMMYFUNCTION("""COMPUTED_VALUE"""),45057.0)</f>
        <v>45057</v>
      </c>
      <c r="J3781" s="18">
        <f>IFERROR(__xludf.DUMMYFUNCTION("""COMPUTED_VALUE"""),10.0)</f>
        <v>10</v>
      </c>
      <c r="K3781" s="18">
        <f>IFERROR(__xludf.DUMMYFUNCTION("""COMPUTED_VALUE"""),10.0)</f>
        <v>10</v>
      </c>
      <c r="L3781" s="17" t="str">
        <f>IFERROR(__xludf.DUMMYFUNCTION("""COMPUTED_VALUE"""),"321 4229567")</f>
        <v>321 4229567</v>
      </c>
      <c r="M3781" s="17" t="str">
        <f>IFERROR(__xludf.DUMMYFUNCTION("""COMPUTED_VALUE"""),"#REF!")</f>
        <v>#REF!</v>
      </c>
      <c r="N3781" s="17"/>
      <c r="O3781" s="17"/>
      <c r="P3781" s="17" t="b">
        <f>IFERROR(__xludf.DUMMYFUNCTION("""COMPUTED_VALUE"""),FALSE)</f>
        <v>0</v>
      </c>
      <c r="Q3781" s="20" t="str">
        <f>IFERROR(__xludf.DUMMYFUNCTION("""COMPUTED_VALUE"""),"")</f>
        <v/>
      </c>
      <c r="R3781" s="21" t="str">
        <f>IFERROR(__xludf.DUMMYFUNCTION("""COMPUTED_VALUE"""),"https://drive.google.com/file/d/18b81EmXz4As5OZRoQPNdM8iIuwfIr7bA/view?usp=drivesdk")</f>
        <v>https://drive.google.com/file/d/18b81EmXz4As5OZRoQPNdM8iIuwfIr7bA/view?usp=drivesdk</v>
      </c>
    </row>
    <row r="3782">
      <c r="A3782" s="15">
        <f>IFERROR(__xludf.DUMMYFUNCTION("""COMPUTED_VALUE"""),45112.0)</f>
        <v>45112</v>
      </c>
      <c r="B3782" s="16" t="str">
        <f>IFERROR(__xludf.DUMMYFUNCTION("""COMPUTED_VALUE"""),"Johan Alexander Escobar Arroyo ")</f>
        <v>Johan Alexander Escobar Arroyo </v>
      </c>
      <c r="C3782" s="15" t="str">
        <f>IFERROR(__xludf.DUMMYFUNCTION("""COMPUTED_VALUE"""),"CALI")</f>
        <v>CALI</v>
      </c>
      <c r="D3782" s="15" t="str">
        <f>IFERROR(__xludf.DUMMYFUNCTION("""COMPUTED_VALUE"""),"BOGOTÁ")</f>
        <v>BOGOTÁ</v>
      </c>
      <c r="E3782" s="15" t="str">
        <f>IFERROR(__xludf.DUMMYFUNCTION("""COMPUTED_VALUE"""),"Helados Socos")</f>
        <v>Helados Socos</v>
      </c>
      <c r="F3782" s="17" t="str">
        <f>IFERROR(__xludf.DUMMYFUNCTION("""COMPUTED_VALUE"""),"Cra 98 # 4 C - 246  / apto 301 Edificio Rincon de Campestre 3 / Cali")</f>
        <v>Cra 98 # 4 C - 246  / apto 301 Edificio Rincon de Campestre 3 / Cali</v>
      </c>
      <c r="G3782" s="15" t="str">
        <f>IFERROR(__xludf.DUMMYFUNCTION("""COMPUTED_VALUE"""),"Mario Figueroa")</f>
        <v>Mario Figueroa</v>
      </c>
      <c r="H3782" s="16">
        <f>IFERROR(__xludf.DUMMYFUNCTION("""COMPUTED_VALUE"""),12177.0)</f>
        <v>12177</v>
      </c>
      <c r="I3782" s="18">
        <f>IFERROR(__xludf.DUMMYFUNCTION("""COMPUTED_VALUE"""),10.0)</f>
        <v>10</v>
      </c>
      <c r="J3782" s="18">
        <f>IFERROR(__xludf.DUMMYFUNCTION("""COMPUTED_VALUE"""),10.0)</f>
        <v>10</v>
      </c>
      <c r="K3782" s="18">
        <f>IFERROR(__xludf.DUMMYFUNCTION("""COMPUTED_VALUE"""),15.0)</f>
        <v>15</v>
      </c>
      <c r="L3782" s="17">
        <f>IFERROR(__xludf.DUMMYFUNCTION("""COMPUTED_VALUE"""),3.155410469E9)</f>
        <v>3155410469</v>
      </c>
      <c r="M3782" s="17" t="str">
        <f>IFERROR(__xludf.DUMMYFUNCTION("""COMPUTED_VALUE"""),"#REF!")</f>
        <v>#REF!</v>
      </c>
      <c r="N3782" s="17"/>
      <c r="O3782" s="17"/>
      <c r="P3782" s="17" t="b">
        <f>IFERROR(__xludf.DUMMYFUNCTION("""COMPUTED_VALUE"""),FALSE)</f>
        <v>0</v>
      </c>
      <c r="Q3782" s="20" t="str">
        <f>IFERROR(__xludf.DUMMYFUNCTION("""COMPUTED_VALUE"""),"")</f>
        <v/>
      </c>
      <c r="R3782" s="21" t="str">
        <f>IFERROR(__xludf.DUMMYFUNCTION("""COMPUTED_VALUE"""),"https://drive.google.com/file/d/1Adz5kOBpM64tFLnvLLGFXHR5SLxxEUEc/view?usp=drivesdk")</f>
        <v>https://drive.google.com/file/d/1Adz5kOBpM64tFLnvLLGFXHR5SLxxEUEc/view?usp=drivesdk</v>
      </c>
    </row>
    <row r="3783">
      <c r="A3783" s="15">
        <f>IFERROR(__xludf.DUMMYFUNCTION("""COMPUTED_VALUE"""),45112.0)</f>
        <v>45112</v>
      </c>
      <c r="B3783" s="16" t="str">
        <f>IFERROR(__xludf.DUMMYFUNCTION("""COMPUTED_VALUE"""),"Johan Alexander Escobar Arroyo ")</f>
        <v>Johan Alexander Escobar Arroyo </v>
      </c>
      <c r="C3783" s="15" t="str">
        <f>IFERROR(__xludf.DUMMYFUNCTION("""COMPUTED_VALUE"""),"CALI")</f>
        <v>CALI</v>
      </c>
      <c r="D3783" s="15" t="str">
        <f>IFERROR(__xludf.DUMMYFUNCTION("""COMPUTED_VALUE"""),"BOGOTÁ")</f>
        <v>BOGOTÁ</v>
      </c>
      <c r="E3783" s="15" t="str">
        <f>IFERROR(__xludf.DUMMYFUNCTION("""COMPUTED_VALUE"""),"Ins. Alimento Vital")</f>
        <v>Ins. Alimento Vital</v>
      </c>
      <c r="F3783" s="17" t="str">
        <f>IFERROR(__xludf.DUMMYFUNCTION("""COMPUTED_VALUE"""),"CL 34N 2BN 33 / BODEGA / SAN VICENTE")</f>
        <v>CL 34N 2BN 33 / BODEGA / SAN VICENTE</v>
      </c>
      <c r="G3783" s="15" t="str">
        <f>IFERROR(__xludf.DUMMYFUNCTION("""COMPUTED_VALUE"""),"VELOCITY CALI")</f>
        <v>VELOCITY CALI</v>
      </c>
      <c r="H3783" s="16">
        <f>IFERROR(__xludf.DUMMYFUNCTION("""COMPUTED_VALUE"""),12278.0)</f>
        <v>12278</v>
      </c>
      <c r="I3783" s="18">
        <f>IFERROR(__xludf.DUMMYFUNCTION("""COMPUTED_VALUE"""),1.0)</f>
        <v>1</v>
      </c>
      <c r="J3783" s="18">
        <f>IFERROR(__xludf.DUMMYFUNCTION("""COMPUTED_VALUE"""),1.0)</f>
        <v>1</v>
      </c>
      <c r="K3783" s="18">
        <f>IFERROR(__xludf.DUMMYFUNCTION("""COMPUTED_VALUE"""),1.0)</f>
        <v>1</v>
      </c>
      <c r="L3783" s="17">
        <f>IFERROR(__xludf.DUMMYFUNCTION("""COMPUTED_VALUE"""),3.117591055E9)</f>
        <v>3117591055</v>
      </c>
      <c r="M3783" s="17" t="str">
        <f>IFERROR(__xludf.DUMMYFUNCTION("""COMPUTED_VALUE"""),"#REF!")</f>
        <v>#REF!</v>
      </c>
      <c r="N3783" s="17"/>
      <c r="O3783" s="17"/>
      <c r="P3783" s="17" t="b">
        <f>IFERROR(__xludf.DUMMYFUNCTION("""COMPUTED_VALUE"""),FALSE)</f>
        <v>0</v>
      </c>
      <c r="Q3783" s="20" t="str">
        <f>IFERROR(__xludf.DUMMYFUNCTION("""COMPUTED_VALUE"""),"")</f>
        <v/>
      </c>
      <c r="R3783" s="21" t="str">
        <f>IFERROR(__xludf.DUMMYFUNCTION("""COMPUTED_VALUE"""),"https://drive.google.com/file/d/1oXNsFvf5yZCW9F-a6ceAppikFunxAWkl/view?usp=drivesdk")</f>
        <v>https://drive.google.com/file/d/1oXNsFvf5yZCW9F-a6ceAppikFunxAWkl/view?usp=drivesdk</v>
      </c>
    </row>
    <row r="3784">
      <c r="A3784" s="15">
        <f>IFERROR(__xludf.DUMMYFUNCTION("""COMPUTED_VALUE"""),45112.0)</f>
        <v>45112</v>
      </c>
      <c r="B3784" s="16" t="str">
        <f>IFERROR(__xludf.DUMMYFUNCTION("""COMPUTED_VALUE"""),"Johan Alexander Escobar Arroyo ")</f>
        <v>Johan Alexander Escobar Arroyo </v>
      </c>
      <c r="C3784" s="15" t="str">
        <f>IFERROR(__xludf.DUMMYFUNCTION("""COMPUTED_VALUE"""),"CALI")</f>
        <v>CALI</v>
      </c>
      <c r="D3784" s="15" t="str">
        <f>IFERROR(__xludf.DUMMYFUNCTION("""COMPUTED_VALUE"""),"BOGOTÁ")</f>
        <v>BOGOTÁ</v>
      </c>
      <c r="E3784" s="15" t="str">
        <f>IFERROR(__xludf.DUMMYFUNCTION("""COMPUTED_VALUE"""),"Pan de Waffle")</f>
        <v>Pan de Waffle</v>
      </c>
      <c r="F3784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3784" s="15" t="str">
        <f>IFERROR(__xludf.DUMMYFUNCTION("""COMPUTED_VALUE"""),"FOODOLOGY CALI")</f>
        <v>FOODOLOGY CALI</v>
      </c>
      <c r="H3784" s="16">
        <f>IFERROR(__xludf.DUMMYFUNCTION("""COMPUTED_VALUE"""),12319.0)</f>
        <v>12319</v>
      </c>
      <c r="I3784" s="18">
        <f>IFERROR(__xludf.DUMMYFUNCTION("""COMPUTED_VALUE"""),30.0)</f>
        <v>30</v>
      </c>
      <c r="J3784" s="18">
        <f>IFERROR(__xludf.DUMMYFUNCTION("""COMPUTED_VALUE"""),30.0)</f>
        <v>30</v>
      </c>
      <c r="K3784" s="18">
        <f>IFERROR(__xludf.DUMMYFUNCTION("""COMPUTED_VALUE"""),30.0)</f>
        <v>30</v>
      </c>
      <c r="L3784" s="17">
        <f>IFERROR(__xludf.DUMMYFUNCTION("""COMPUTED_VALUE"""),3.158323233E9)</f>
        <v>3158323233</v>
      </c>
      <c r="M3784" s="17" t="str">
        <f>IFERROR(__xludf.DUMMYFUNCTION("""COMPUTED_VALUE"""),"#REF!")</f>
        <v>#REF!</v>
      </c>
      <c r="N3784" s="17"/>
      <c r="O3784" s="17"/>
      <c r="P3784" s="17" t="b">
        <f>IFERROR(__xludf.DUMMYFUNCTION("""COMPUTED_VALUE"""),FALSE)</f>
        <v>0</v>
      </c>
      <c r="Q3784" s="20" t="str">
        <f>IFERROR(__xludf.DUMMYFUNCTION("""COMPUTED_VALUE"""),"")</f>
        <v/>
      </c>
      <c r="R3784" s="21" t="str">
        <f>IFERROR(__xludf.DUMMYFUNCTION("""COMPUTED_VALUE"""),"https://drive.google.com/file/d/1oOqhN2x4rWogHiyew3toWi_wI9bH1L-S/view?usp=drivesdk")</f>
        <v>https://drive.google.com/file/d/1oOqhN2x4rWogHiyew3toWi_wI9bH1L-S/view?usp=drivesdk</v>
      </c>
    </row>
    <row r="3785">
      <c r="A3785" s="15">
        <f>IFERROR(__xludf.DUMMYFUNCTION("""COMPUTED_VALUE"""),45112.0)</f>
        <v>45112</v>
      </c>
      <c r="B3785" s="16" t="str">
        <f>IFERROR(__xludf.DUMMYFUNCTION("""COMPUTED_VALUE"""),"Johan Alexander Escobar Arroyo ")</f>
        <v>Johan Alexander Escobar Arroyo </v>
      </c>
      <c r="C3785" s="15" t="str">
        <f>IFERROR(__xludf.DUMMYFUNCTION("""COMPUTED_VALUE"""),"CALI")</f>
        <v>CALI</v>
      </c>
      <c r="D3785" s="15" t="str">
        <f>IFERROR(__xludf.DUMMYFUNCTION("""COMPUTED_VALUE"""),"BOGOTÁ")</f>
        <v>BOGOTÁ</v>
      </c>
      <c r="E3785" s="15" t="str">
        <f>IFERROR(__xludf.DUMMYFUNCTION("""COMPUTED_VALUE"""),"Top Spun")</f>
        <v>Top Spun</v>
      </c>
      <c r="F3785" s="17" t="str">
        <f>IFERROR(__xludf.DUMMYFUNCTION("""COMPUTED_VALUE"""),"AVENIDA 7 A NORTE # 56-128. / EDIFICIO TORRES DE MENGA. APTO 202 TORRE 1. BARRIO: MENGA / CALI")</f>
        <v>AVENIDA 7 A NORTE # 56-128. / EDIFICIO TORRES DE MENGA. APTO 202 TORRE 1. BARRIO: MENGA / CALI</v>
      </c>
      <c r="G3785" s="15" t="str">
        <f>IFERROR(__xludf.DUMMYFUNCTION("""COMPUTED_VALUE"""),"ANGELA DUQUE")</f>
        <v>ANGELA DUQUE</v>
      </c>
      <c r="H3785" s="16">
        <f>IFERROR(__xludf.DUMMYFUNCTION("""COMPUTED_VALUE"""),12246.0)</f>
        <v>12246</v>
      </c>
      <c r="I3785" s="18">
        <f>IFERROR(__xludf.DUMMYFUNCTION("""COMPUTED_VALUE"""),20.0)</f>
        <v>20</v>
      </c>
      <c r="J3785" s="18">
        <f>IFERROR(__xludf.DUMMYFUNCTION("""COMPUTED_VALUE"""),40.0)</f>
        <v>40</v>
      </c>
      <c r="K3785" s="18">
        <f>IFERROR(__xludf.DUMMYFUNCTION("""COMPUTED_VALUE"""),10.0)</f>
        <v>10</v>
      </c>
      <c r="L3785" s="17">
        <f>IFERROR(__xludf.DUMMYFUNCTION("""COMPUTED_VALUE"""),3.17367049E9)</f>
        <v>3173670490</v>
      </c>
      <c r="M3785" s="17" t="str">
        <f>IFERROR(__xludf.DUMMYFUNCTION("""COMPUTED_VALUE"""),"#REF!")</f>
        <v>#REF!</v>
      </c>
      <c r="N3785" s="17"/>
      <c r="O3785" s="17"/>
      <c r="P3785" s="17" t="b">
        <f>IFERROR(__xludf.DUMMYFUNCTION("""COMPUTED_VALUE"""),FALSE)</f>
        <v>0</v>
      </c>
      <c r="Q3785" s="20" t="str">
        <f>IFERROR(__xludf.DUMMYFUNCTION("""COMPUTED_VALUE"""),"")</f>
        <v/>
      </c>
      <c r="R3785" s="21" t="str">
        <f>IFERROR(__xludf.DUMMYFUNCTION("""COMPUTED_VALUE"""),"https://drive.google.com/file/d/18duKuG1Q7fPX4vjGT3MJHpFbBNQdHf0J/view?usp=drivesdk")</f>
        <v>https://drive.google.com/file/d/18duKuG1Q7fPX4vjGT3MJHpFbBNQdHf0J/view?usp=drivesdk</v>
      </c>
    </row>
    <row r="3786">
      <c r="A3786" s="15">
        <f>IFERROR(__xludf.DUMMYFUNCTION("""COMPUTED_VALUE"""),45112.0)</f>
        <v>45112</v>
      </c>
      <c r="B3786" s="16" t="str">
        <f>IFERROR(__xludf.DUMMYFUNCTION("""COMPUTED_VALUE"""),"Johan Alexander Escobar Arroyo ")</f>
        <v>Johan Alexander Escobar Arroyo </v>
      </c>
      <c r="C3786" s="15" t="str">
        <f>IFERROR(__xludf.DUMMYFUNCTION("""COMPUTED_VALUE"""),"CALI")</f>
        <v>CALI</v>
      </c>
      <c r="D3786" s="15" t="str">
        <f>IFERROR(__xludf.DUMMYFUNCTION("""COMPUTED_VALUE"""),"BOGOTÁ")</f>
        <v>BOGOTÁ</v>
      </c>
      <c r="E3786" s="15" t="str">
        <f>IFERROR(__xludf.DUMMYFUNCTION("""COMPUTED_VALUE"""),"Viiva Fermentados")</f>
        <v>Viiva Fermentados</v>
      </c>
      <c r="F3786" s="17" t="str">
        <f>IFERROR(__xludf.DUMMYFUNCTION("""COMPUTED_VALUE"""),"Av 5 Nte # 42 - 42 / Tienda Ecohuerta / La Flora")</f>
        <v>Av 5 Nte # 42 - 42 / Tienda Ecohuerta / La Flora</v>
      </c>
      <c r="G3786" s="15" t="str">
        <f>IFERROR(__xludf.DUMMYFUNCTION("""COMPUTED_VALUE"""),"Ecohuerta Cali")</f>
        <v>Ecohuerta Cali</v>
      </c>
      <c r="H3786" s="16">
        <f>IFERROR(__xludf.DUMMYFUNCTION("""COMPUTED_VALUE"""),12223.0)</f>
        <v>12223</v>
      </c>
      <c r="I3786" s="18">
        <f>IFERROR(__xludf.DUMMYFUNCTION("""COMPUTED_VALUE"""),27.0)</f>
        <v>27</v>
      </c>
      <c r="J3786" s="18">
        <f>IFERROR(__xludf.DUMMYFUNCTION("""COMPUTED_VALUE"""),32.0)</f>
        <v>32</v>
      </c>
      <c r="K3786" s="18">
        <f>IFERROR(__xludf.DUMMYFUNCTION("""COMPUTED_VALUE"""),24.0)</f>
        <v>24</v>
      </c>
      <c r="L3786" s="17">
        <f>IFERROR(__xludf.DUMMYFUNCTION("""COMPUTED_VALUE"""),3.113856209E9)</f>
        <v>3113856209</v>
      </c>
      <c r="M3786" s="17" t="str">
        <f>IFERROR(__xludf.DUMMYFUNCTION("""COMPUTED_VALUE"""),"#REF!")</f>
        <v>#REF!</v>
      </c>
      <c r="N3786" s="17"/>
      <c r="O3786" s="17"/>
      <c r="P3786" s="17" t="b">
        <f>IFERROR(__xludf.DUMMYFUNCTION("""COMPUTED_VALUE"""),FALSE)</f>
        <v>0</v>
      </c>
      <c r="Q3786" s="20" t="str">
        <f>IFERROR(__xludf.DUMMYFUNCTION("""COMPUTED_VALUE"""),"")</f>
        <v/>
      </c>
      <c r="R3786" s="21" t="str">
        <f>IFERROR(__xludf.DUMMYFUNCTION("""COMPUTED_VALUE"""),"https://drive.google.com/file/d/1Gf-kFGDP4y6E2WM6exAiBurfClQLo0Mm/view?usp=drivesdk")</f>
        <v>https://drive.google.com/file/d/1Gf-kFGDP4y6E2WM6exAiBurfClQLo0Mm/view?usp=drivesdk</v>
      </c>
    </row>
    <row r="3787">
      <c r="A3787" s="15">
        <f>IFERROR(__xludf.DUMMYFUNCTION("""COMPUTED_VALUE"""),45112.0)</f>
        <v>45112</v>
      </c>
      <c r="B3787" s="16" t="str">
        <f>IFERROR(__xludf.DUMMYFUNCTION("""COMPUTED_VALUE"""),"Johan Alexander Escobar Arroyo ")</f>
        <v>Johan Alexander Escobar Arroyo </v>
      </c>
      <c r="C3787" s="15" t="str">
        <f>IFERROR(__xludf.DUMMYFUNCTION("""COMPUTED_VALUE"""),"IBAGUÉ")</f>
        <v>IBAGUÉ</v>
      </c>
      <c r="D3787" s="15" t="str">
        <f>IFERROR(__xludf.DUMMYFUNCTION("""COMPUTED_VALUE"""),"BOGOTÁ")</f>
        <v>BOGOTÁ</v>
      </c>
      <c r="E3787" s="15" t="str">
        <f>IFERROR(__xludf.DUMMYFUNCTION("""COMPUTED_VALUE"""),"Olü")</f>
        <v>Olü</v>
      </c>
      <c r="F3787" s="17" t="str">
        <f>IFERROR(__xludf.DUMMYFUNCTION("""COMPUTED_VALUE"""),"Calle 64 # 22-94 / Edificio Rosales 64 Apto 305 / Ambala")</f>
        <v>Calle 64 # 22-94 / Edificio Rosales 64 Apto 305 / Ambala</v>
      </c>
      <c r="G3787" s="15" t="str">
        <f>IFERROR(__xludf.DUMMYFUNCTION("""COMPUTED_VALUE"""),"Nathaly Vidales")</f>
        <v>Nathaly Vidales</v>
      </c>
      <c r="H3787" s="16">
        <f>IFERROR(__xludf.DUMMYFUNCTION("""COMPUTED_VALUE"""),12282.0)</f>
        <v>12282</v>
      </c>
      <c r="I3787" s="18">
        <f>IFERROR(__xludf.DUMMYFUNCTION("""COMPUTED_VALUE"""),5.0)</f>
        <v>5</v>
      </c>
      <c r="J3787" s="18">
        <f>IFERROR(__xludf.DUMMYFUNCTION("""COMPUTED_VALUE"""),10.0)</f>
        <v>10</v>
      </c>
      <c r="K3787" s="18">
        <f>IFERROR(__xludf.DUMMYFUNCTION("""COMPUTED_VALUE"""),15.0)</f>
        <v>15</v>
      </c>
      <c r="L3787" s="17">
        <f>IFERROR(__xludf.DUMMYFUNCTION("""COMPUTED_VALUE"""),3.504442633E9)</f>
        <v>3504442633</v>
      </c>
      <c r="M3787" s="17" t="str">
        <f>IFERROR(__xludf.DUMMYFUNCTION("""COMPUTED_VALUE"""),"#REF!")</f>
        <v>#REF!</v>
      </c>
      <c r="N3787" s="17"/>
      <c r="O3787" s="17"/>
      <c r="P3787" s="17" t="b">
        <f>IFERROR(__xludf.DUMMYFUNCTION("""COMPUTED_VALUE"""),FALSE)</f>
        <v>0</v>
      </c>
      <c r="Q3787" s="20" t="str">
        <f>IFERROR(__xludf.DUMMYFUNCTION("""COMPUTED_VALUE"""),"")</f>
        <v/>
      </c>
      <c r="R3787" s="21" t="str">
        <f>IFERROR(__xludf.DUMMYFUNCTION("""COMPUTED_VALUE"""),"https://drive.google.com/file/d/1P2Wm9z5cWwmEPeazKV2p5K-avpRr_Son/view?usp=drivesdk")</f>
        <v>https://drive.google.com/file/d/1P2Wm9z5cWwmEPeazKV2p5K-avpRr_Son/view?usp=drivesdk</v>
      </c>
    </row>
    <row r="3788">
      <c r="A3788" s="15">
        <f>IFERROR(__xludf.DUMMYFUNCTION("""COMPUTED_VALUE"""),45112.0)</f>
        <v>45112</v>
      </c>
      <c r="B3788" s="16" t="str">
        <f>IFERROR(__xludf.DUMMYFUNCTION("""COMPUTED_VALUE"""),"Johan Alexander Escobar Arroyo ")</f>
        <v>Johan Alexander Escobar Arroyo </v>
      </c>
      <c r="C3788" s="15" t="str">
        <f>IFERROR(__xludf.DUMMYFUNCTION("""COMPUTED_VALUE"""),"IBAGUÉ")</f>
        <v>IBAGUÉ</v>
      </c>
      <c r="D3788" s="15" t="str">
        <f>IFERROR(__xludf.DUMMYFUNCTION("""COMPUTED_VALUE"""),"BOGOTÁ")</f>
        <v>BOGOTÁ</v>
      </c>
      <c r="E3788" s="15" t="str">
        <f>IFERROR(__xludf.DUMMYFUNCTION("""COMPUTED_VALUE"""),"Ventura Productos Arg")</f>
        <v>Ventura Productos Arg</v>
      </c>
      <c r="F3788" s="17" t="str">
        <f>IFERROR(__xludf.DUMMYFUNCTION("""COMPUTED_VALUE"""),"Calle 53 #7-33 / Conjunto Los Molinos, Casa 47")</f>
        <v>Calle 53 #7-33 / Conjunto Los Molinos, Casa 47</v>
      </c>
      <c r="G3788" s="15" t="str">
        <f>IFERROR(__xludf.DUMMYFUNCTION("""COMPUTED_VALUE"""),"Cesar Parra")</f>
        <v>Cesar Parra</v>
      </c>
      <c r="H3788" s="16">
        <f>IFERROR(__xludf.DUMMYFUNCTION("""COMPUTED_VALUE"""),12240.0)</f>
        <v>12240</v>
      </c>
      <c r="I3788" s="18">
        <f>IFERROR(__xludf.DUMMYFUNCTION("""COMPUTED_VALUE"""),3.0)</f>
        <v>3</v>
      </c>
      <c r="J3788" s="18">
        <f>IFERROR(__xludf.DUMMYFUNCTION("""COMPUTED_VALUE"""),45053.0)</f>
        <v>45053</v>
      </c>
      <c r="K3788" s="18">
        <f>IFERROR(__xludf.DUMMYFUNCTION("""COMPUTED_VALUE"""),22.0)</f>
        <v>22</v>
      </c>
      <c r="L3788" s="17">
        <f>IFERROR(__xludf.DUMMYFUNCTION("""COMPUTED_VALUE"""),3.155701942E9)</f>
        <v>3155701942</v>
      </c>
      <c r="M3788" s="17" t="str">
        <f>IFERROR(__xludf.DUMMYFUNCTION("""COMPUTED_VALUE"""),"#REF!")</f>
        <v>#REF!</v>
      </c>
      <c r="N3788" s="17"/>
      <c r="O3788" s="17"/>
      <c r="P3788" s="17" t="b">
        <f>IFERROR(__xludf.DUMMYFUNCTION("""COMPUTED_VALUE"""),FALSE)</f>
        <v>0</v>
      </c>
      <c r="Q3788" s="20" t="str">
        <f>IFERROR(__xludf.DUMMYFUNCTION("""COMPUTED_VALUE"""),"")</f>
        <v/>
      </c>
      <c r="R3788" s="21" t="str">
        <f>IFERROR(__xludf.DUMMYFUNCTION("""COMPUTED_VALUE"""),"https://drive.google.com/file/d/1DFqs-2gt7bowg2x35lBTNzM-LlEMYTtg/view?usp=drivesdk")</f>
        <v>https://drive.google.com/file/d/1DFqs-2gt7bowg2x35lBTNzM-LlEMYTtg/view?usp=drivesdk</v>
      </c>
    </row>
    <row r="3789">
      <c r="A3789" s="15">
        <f>IFERROR(__xludf.DUMMYFUNCTION("""COMPUTED_VALUE"""),45112.0)</f>
        <v>45112</v>
      </c>
      <c r="B3789" s="16" t="str">
        <f>IFERROR(__xludf.DUMMYFUNCTION("""COMPUTED_VALUE"""),"Johan Alexander Escobar Arroyo ")</f>
        <v>Johan Alexander Escobar Arroyo </v>
      </c>
      <c r="C3789" s="15" t="str">
        <f>IFERROR(__xludf.DUMMYFUNCTION("""COMPUTED_VALUE"""),"PALMIRA")</f>
        <v>PALMIRA</v>
      </c>
      <c r="D3789" s="15" t="str">
        <f>IFERROR(__xludf.DUMMYFUNCTION("""COMPUTED_VALUE"""),"BOGOTÁ")</f>
        <v>BOGOTÁ</v>
      </c>
      <c r="E3789" s="15" t="str">
        <f>IFERROR(__xludf.DUMMYFUNCTION("""COMPUTED_VALUE"""),"Evamazzita")</f>
        <v>Evamazzita</v>
      </c>
      <c r="F3789" s="17" t="str">
        <f>IFERROR(__xludf.DUMMYFUNCTION("""COMPUTED_VALUE"""),"CALLE 21 No. 26-49  / CALLE 21 No. 26-49  / BARRIO EL RECREO")</f>
        <v>CALLE 21 No. 26-49  / CALLE 21 No. 26-49  / BARRIO EL RECREO</v>
      </c>
      <c r="G3789" s="15" t="str">
        <f>IFERROR(__xludf.DUMMYFUNCTION("""COMPUTED_VALUE"""),"DANIELA BELALCAZAR")</f>
        <v>DANIELA BELALCAZAR</v>
      </c>
      <c r="H3789" s="16">
        <f>IFERROR(__xludf.DUMMYFUNCTION("""COMPUTED_VALUE"""),12318.0)</f>
        <v>12318</v>
      </c>
      <c r="I3789" s="18">
        <f>IFERROR(__xludf.DUMMYFUNCTION("""COMPUTED_VALUE"""),1.0)</f>
        <v>1</v>
      </c>
      <c r="J3789" s="18">
        <f>IFERROR(__xludf.DUMMYFUNCTION("""COMPUTED_VALUE"""),1.0)</f>
        <v>1</v>
      </c>
      <c r="K3789" s="18">
        <f>IFERROR(__xludf.DUMMYFUNCTION("""COMPUTED_VALUE"""),1.0)</f>
        <v>1</v>
      </c>
      <c r="L3789" s="17">
        <f>IFERROR(__xludf.DUMMYFUNCTION("""COMPUTED_VALUE"""),3.152916394E9)</f>
        <v>3152916394</v>
      </c>
      <c r="M3789" s="17" t="str">
        <f>IFERROR(__xludf.DUMMYFUNCTION("""COMPUTED_VALUE"""),"#REF!")</f>
        <v>#REF!</v>
      </c>
      <c r="N3789" s="17"/>
      <c r="O3789" s="17"/>
      <c r="P3789" s="17" t="b">
        <f>IFERROR(__xludf.DUMMYFUNCTION("""COMPUTED_VALUE"""),FALSE)</f>
        <v>0</v>
      </c>
      <c r="Q3789" s="20" t="str">
        <f>IFERROR(__xludf.DUMMYFUNCTION("""COMPUTED_VALUE"""),"")</f>
        <v/>
      </c>
      <c r="R3789" s="21" t="str">
        <f>IFERROR(__xludf.DUMMYFUNCTION("""COMPUTED_VALUE"""),"https://drive.google.com/file/d/1roO-RAe9vc3B7fG8A-Vi5KNfSYikmgSp/view?usp=drivesdk")</f>
        <v>https://drive.google.com/file/d/1roO-RAe9vc3B7fG8A-Vi5KNfSYikmgSp/view?usp=drivesdk</v>
      </c>
    </row>
    <row r="3790">
      <c r="A3790" s="15">
        <f>IFERROR(__xludf.DUMMYFUNCTION("""COMPUTED_VALUE"""),45112.0)</f>
        <v>45112</v>
      </c>
      <c r="B3790" s="16" t="str">
        <f>IFERROR(__xludf.DUMMYFUNCTION("""COMPUTED_VALUE"""),"Johan Alexander Escobar Arroyo ")</f>
        <v>Johan Alexander Escobar Arroyo </v>
      </c>
      <c r="C3790" s="15" t="str">
        <f>IFERROR(__xludf.DUMMYFUNCTION("""COMPUTED_VALUE"""),"PALMIRA")</f>
        <v>PALMIRA</v>
      </c>
      <c r="D3790" s="15" t="str">
        <f>IFERROR(__xludf.DUMMYFUNCTION("""COMPUTED_VALUE"""),"BOGOTÁ")</f>
        <v>BOGOTÁ</v>
      </c>
      <c r="E3790" s="15" t="str">
        <f>IFERROR(__xludf.DUMMYFUNCTION("""COMPUTED_VALUE"""),"Evamazzita")</f>
        <v>Evamazzita</v>
      </c>
      <c r="F3790" s="17" t="str">
        <f>IFERROR(__xludf.DUMMYFUNCTION("""COMPUTED_VALUE"""),"CALLE 57 No. 24 - 08  / CONJUNTO VILLARREAL CASA 5  / BARRIO LAS MERCEDES PALMIRA VALLE")</f>
        <v>CALLE 57 No. 24 - 08  / CONJUNTO VILLARREAL CASA 5  / BARRIO LAS MERCEDES PALMIRA VALLE</v>
      </c>
      <c r="G3790" s="15" t="str">
        <f>IFERROR(__xludf.DUMMYFUNCTION("""COMPUTED_VALUE"""),"DIANA CAROLINA ERAZO")</f>
        <v>DIANA CAROLINA ERAZO</v>
      </c>
      <c r="H3790" s="16">
        <f>IFERROR(__xludf.DUMMYFUNCTION("""COMPUTED_VALUE"""),12324.0)</f>
        <v>12324</v>
      </c>
      <c r="I3790" s="18">
        <f>IFERROR(__xludf.DUMMYFUNCTION("""COMPUTED_VALUE"""),1.0)</f>
        <v>1</v>
      </c>
      <c r="J3790" s="18">
        <f>IFERROR(__xludf.DUMMYFUNCTION("""COMPUTED_VALUE"""),1.0)</f>
        <v>1</v>
      </c>
      <c r="K3790" s="18">
        <f>IFERROR(__xludf.DUMMYFUNCTION("""COMPUTED_VALUE"""),1.0)</f>
        <v>1</v>
      </c>
      <c r="L3790" s="17">
        <f>IFERROR(__xludf.DUMMYFUNCTION("""COMPUTED_VALUE"""),3.235512936E9)</f>
        <v>3235512936</v>
      </c>
      <c r="M3790" s="17" t="str">
        <f>IFERROR(__xludf.DUMMYFUNCTION("""COMPUTED_VALUE"""),"#REF!")</f>
        <v>#REF!</v>
      </c>
      <c r="N3790" s="17"/>
      <c r="O3790" s="17"/>
      <c r="P3790" s="17" t="b">
        <f>IFERROR(__xludf.DUMMYFUNCTION("""COMPUTED_VALUE"""),FALSE)</f>
        <v>0</v>
      </c>
      <c r="Q3790" s="20" t="str">
        <f>IFERROR(__xludf.DUMMYFUNCTION("""COMPUTED_VALUE"""),"")</f>
        <v/>
      </c>
      <c r="R3790" s="21" t="str">
        <f>IFERROR(__xludf.DUMMYFUNCTION("""COMPUTED_VALUE"""),"https://drive.google.com/file/d/1XOLxeyp-yMxXKX0f-YkcWh9inpiowlvy/view?usp=drivesdk")</f>
        <v>https://drive.google.com/file/d/1XOLxeyp-yMxXKX0f-YkcWh9inpiowlvy/view?usp=drivesdk</v>
      </c>
    </row>
    <row r="3791">
      <c r="A3791" s="15">
        <f>IFERROR(__xludf.DUMMYFUNCTION("""COMPUTED_VALUE"""),45112.0)</f>
        <v>45112</v>
      </c>
      <c r="B3791" s="16" t="str">
        <f>IFERROR(__xludf.DUMMYFUNCTION("""COMPUTED_VALUE"""),"Johan Alexander Escobar Arroyo ")</f>
        <v>Johan Alexander Escobar Arroyo </v>
      </c>
      <c r="C3791" s="15" t="str">
        <f>IFERROR(__xludf.DUMMYFUNCTION("""COMPUTED_VALUE"""),"PALMIRA")</f>
        <v>PALMIRA</v>
      </c>
      <c r="D3791" s="15" t="str">
        <f>IFERROR(__xludf.DUMMYFUNCTION("""COMPUTED_VALUE"""),"BOGOTÁ")</f>
        <v>BOGOTÁ</v>
      </c>
      <c r="E3791" s="15" t="str">
        <f>IFERROR(__xludf.DUMMYFUNCTION("""COMPUTED_VALUE"""),"Evamazzita")</f>
        <v>Evamazzita</v>
      </c>
      <c r="F3791" s="17" t="str">
        <f>IFERROR(__xludf.DUMMYFUNCTION("""COMPUTED_VALUE"""),"Calle 65 e 31 b 62   / Calle 65 e 31 b 62   / villa Praga Zamorano")</f>
        <v>Calle 65 e 31 b 62   / Calle 65 e 31 b 62   / villa Praga Zamorano</v>
      </c>
      <c r="G3791" s="15" t="str">
        <f>IFERROR(__xludf.DUMMYFUNCTION("""COMPUTED_VALUE"""),"ISABEL CRISTINA RIVERA MORA")</f>
        <v>ISABEL CRISTINA RIVERA MORA</v>
      </c>
      <c r="H3791" s="16">
        <f>IFERROR(__xludf.DUMMYFUNCTION("""COMPUTED_VALUE"""),12322.0)</f>
        <v>12322</v>
      </c>
      <c r="I3791" s="18">
        <f>IFERROR(__xludf.DUMMYFUNCTION("""COMPUTED_VALUE"""),1.0)</f>
        <v>1</v>
      </c>
      <c r="J3791" s="18">
        <f>IFERROR(__xludf.DUMMYFUNCTION("""COMPUTED_VALUE"""),1.0)</f>
        <v>1</v>
      </c>
      <c r="K3791" s="18">
        <f>IFERROR(__xludf.DUMMYFUNCTION("""COMPUTED_VALUE"""),1.0)</f>
        <v>1</v>
      </c>
      <c r="L3791" s="17">
        <f>IFERROR(__xludf.DUMMYFUNCTION("""COMPUTED_VALUE"""),3.186474996E9)</f>
        <v>3186474996</v>
      </c>
      <c r="M3791" s="17" t="str">
        <f>IFERROR(__xludf.DUMMYFUNCTION("""COMPUTED_VALUE"""),"#REF!")</f>
        <v>#REF!</v>
      </c>
      <c r="N3791" s="17"/>
      <c r="O3791" s="17"/>
      <c r="P3791" s="17" t="b">
        <f>IFERROR(__xludf.DUMMYFUNCTION("""COMPUTED_VALUE"""),FALSE)</f>
        <v>0</v>
      </c>
      <c r="Q3791" s="20" t="str">
        <f>IFERROR(__xludf.DUMMYFUNCTION("""COMPUTED_VALUE"""),"")</f>
        <v/>
      </c>
      <c r="R3791" s="21" t="str">
        <f>IFERROR(__xludf.DUMMYFUNCTION("""COMPUTED_VALUE"""),"https://drive.google.com/file/d/1HZJgvzD-ei9lNXbKt2no898KD7GrC3Z8/view?usp=drivesdk")</f>
        <v>https://drive.google.com/file/d/1HZJgvzD-ei9lNXbKt2no898KD7GrC3Z8/view?usp=drivesdk</v>
      </c>
    </row>
    <row r="3792">
      <c r="A3792" s="15">
        <f>IFERROR(__xludf.DUMMYFUNCTION("""COMPUTED_VALUE"""),45112.0)</f>
        <v>45112</v>
      </c>
      <c r="B3792" s="16" t="str">
        <f>IFERROR(__xludf.DUMMYFUNCTION("""COMPUTED_VALUE"""),"Johan Alexander Escobar Arroyo ")</f>
        <v>Johan Alexander Escobar Arroyo </v>
      </c>
      <c r="C3792" s="15" t="str">
        <f>IFERROR(__xludf.DUMMYFUNCTION("""COMPUTED_VALUE"""),"PALMIRA")</f>
        <v>PALMIRA</v>
      </c>
      <c r="D3792" s="15" t="str">
        <f>IFERROR(__xludf.DUMMYFUNCTION("""COMPUTED_VALUE"""),"BOGOTÁ")</f>
        <v>BOGOTÁ</v>
      </c>
      <c r="E3792" s="15" t="str">
        <f>IFERROR(__xludf.DUMMYFUNCTION("""COMPUTED_VALUE"""),"Evamazzita")</f>
        <v>Evamazzita</v>
      </c>
      <c r="F3792" s="17" t="str">
        <f>IFERROR(__xludf.DUMMYFUNCTION("""COMPUTED_VALUE"""),"CALLE 65C No. 25A - 24  / CALLE 65C No. 25A - 24  / BULEVAR DE LAS MERCEDES")</f>
        <v>CALLE 65C No. 25A - 24  / CALLE 65C No. 25A - 24  / BULEVAR DE LAS MERCEDES</v>
      </c>
      <c r="G3792" s="15" t="str">
        <f>IFERROR(__xludf.DUMMYFUNCTION("""COMPUTED_VALUE"""),"PAULINA BETANCOURT")</f>
        <v>PAULINA BETANCOURT</v>
      </c>
      <c r="H3792" s="16">
        <f>IFERROR(__xludf.DUMMYFUNCTION("""COMPUTED_VALUE"""),12323.0)</f>
        <v>12323</v>
      </c>
      <c r="I3792" s="18">
        <f>IFERROR(__xludf.DUMMYFUNCTION("""COMPUTED_VALUE"""),1.0)</f>
        <v>1</v>
      </c>
      <c r="J3792" s="18">
        <f>IFERROR(__xludf.DUMMYFUNCTION("""COMPUTED_VALUE"""),1.0)</f>
        <v>1</v>
      </c>
      <c r="K3792" s="18">
        <f>IFERROR(__xludf.DUMMYFUNCTION("""COMPUTED_VALUE"""),1.0)</f>
        <v>1</v>
      </c>
      <c r="L3792" s="17">
        <f>IFERROR(__xludf.DUMMYFUNCTION("""COMPUTED_VALUE"""),3.155339627E9)</f>
        <v>3155339627</v>
      </c>
      <c r="M3792" s="17" t="str">
        <f>IFERROR(__xludf.DUMMYFUNCTION("""COMPUTED_VALUE"""),"#REF!")</f>
        <v>#REF!</v>
      </c>
      <c r="N3792" s="17"/>
      <c r="O3792" s="17"/>
      <c r="P3792" s="17" t="b">
        <f>IFERROR(__xludf.DUMMYFUNCTION("""COMPUTED_VALUE"""),FALSE)</f>
        <v>0</v>
      </c>
      <c r="Q3792" s="20" t="str">
        <f>IFERROR(__xludf.DUMMYFUNCTION("""COMPUTED_VALUE"""),"")</f>
        <v/>
      </c>
      <c r="R3792" s="21" t="str">
        <f>IFERROR(__xludf.DUMMYFUNCTION("""COMPUTED_VALUE"""),"https://drive.google.com/file/d/1_becuAyFleTXtbgkLVDzngwcB9HPBHz7/view?usp=drivesdk")</f>
        <v>https://drive.google.com/file/d/1_becuAyFleTXtbgkLVDzngwcB9HPBHz7/view?usp=drivesdk</v>
      </c>
    </row>
    <row r="3793">
      <c r="A3793" s="15">
        <f>IFERROR(__xludf.DUMMYFUNCTION("""COMPUTED_VALUE"""),45112.0)</f>
        <v>45112</v>
      </c>
      <c r="B3793" s="16" t="str">
        <f>IFERROR(__xludf.DUMMYFUNCTION("""COMPUTED_VALUE"""),"Johan Alexander Escobar Arroyo ")</f>
        <v>Johan Alexander Escobar Arroyo </v>
      </c>
      <c r="C3793" s="15" t="str">
        <f>IFERROR(__xludf.DUMMYFUNCTION("""COMPUTED_VALUE"""),"PALMIRA")</f>
        <v>PALMIRA</v>
      </c>
      <c r="D3793" s="15" t="str">
        <f>IFERROR(__xludf.DUMMYFUNCTION("""COMPUTED_VALUE"""),"BOGOTÁ")</f>
        <v>BOGOTÁ</v>
      </c>
      <c r="E3793" s="15" t="str">
        <f>IFERROR(__xludf.DUMMYFUNCTION("""COMPUTED_VALUE"""),"Evamazzita")</f>
        <v>Evamazzita</v>
      </c>
      <c r="F3793" s="17" t="str">
        <f>IFERROR(__xludf.DUMMYFUNCTION("""COMPUTED_VALUE"""),"CRA 44 No. 26 - 31  / TORRE 3 APTO 313  / CONJUNTO FRAYLE, SABANETA")</f>
        <v>CRA 44 No. 26 - 31  / TORRE 3 APTO 313  / CONJUNTO FRAYLE, SABANETA</v>
      </c>
      <c r="G3793" s="15" t="str">
        <f>IFERROR(__xludf.DUMMYFUNCTION("""COMPUTED_VALUE"""),"MARIA ISABEL SAENZ LOZANO")</f>
        <v>MARIA ISABEL SAENZ LOZANO</v>
      </c>
      <c r="H3793" s="16">
        <f>IFERROR(__xludf.DUMMYFUNCTION("""COMPUTED_VALUE"""),12316.0)</f>
        <v>12316</v>
      </c>
      <c r="I3793" s="18">
        <f>IFERROR(__xludf.DUMMYFUNCTION("""COMPUTED_VALUE"""),1.0)</f>
        <v>1</v>
      </c>
      <c r="J3793" s="18">
        <f>IFERROR(__xludf.DUMMYFUNCTION("""COMPUTED_VALUE"""),1.0)</f>
        <v>1</v>
      </c>
      <c r="K3793" s="18">
        <f>IFERROR(__xludf.DUMMYFUNCTION("""COMPUTED_VALUE"""),1.0)</f>
        <v>1</v>
      </c>
      <c r="L3793" s="17">
        <f>IFERROR(__xludf.DUMMYFUNCTION("""COMPUTED_VALUE"""),3.10797409E9)</f>
        <v>3107974090</v>
      </c>
      <c r="M3793" s="17" t="str">
        <f>IFERROR(__xludf.DUMMYFUNCTION("""COMPUTED_VALUE"""),"#REF!")</f>
        <v>#REF!</v>
      </c>
      <c r="N3793" s="17"/>
      <c r="O3793" s="17"/>
      <c r="P3793" s="17" t="b">
        <f>IFERROR(__xludf.DUMMYFUNCTION("""COMPUTED_VALUE"""),FALSE)</f>
        <v>0</v>
      </c>
      <c r="Q3793" s="20" t="str">
        <f>IFERROR(__xludf.DUMMYFUNCTION("""COMPUTED_VALUE"""),"")</f>
        <v/>
      </c>
      <c r="R3793" s="21" t="str">
        <f>IFERROR(__xludf.DUMMYFUNCTION("""COMPUTED_VALUE"""),"https://drive.google.com/file/d/1Y-GPyYO3TBfcZNFNscmt5QG4IGLzAFdX/view?usp=drivesdk")</f>
        <v>https://drive.google.com/file/d/1Y-GPyYO3TBfcZNFNscmt5QG4IGLzAFdX/view?usp=drivesdk</v>
      </c>
    </row>
    <row r="3794">
      <c r="A3794" s="15">
        <f>IFERROR(__xludf.DUMMYFUNCTION("""COMPUTED_VALUE"""),45112.0)</f>
        <v>45112</v>
      </c>
      <c r="B3794" s="16" t="str">
        <f>IFERROR(__xludf.DUMMYFUNCTION("""COMPUTED_VALUE"""),"Johan Alexander Escobar Arroyo ")</f>
        <v>Johan Alexander Escobar Arroyo </v>
      </c>
      <c r="C3794" s="15" t="str">
        <f>IFERROR(__xludf.DUMMYFUNCTION("""COMPUTED_VALUE"""),"PALMIRA")</f>
        <v>PALMIRA</v>
      </c>
      <c r="D3794" s="15" t="str">
        <f>IFERROR(__xludf.DUMMYFUNCTION("""COMPUTED_VALUE"""),"BOGOTÁ")</f>
        <v>BOGOTÁ</v>
      </c>
      <c r="E3794" s="15" t="str">
        <f>IFERROR(__xludf.DUMMYFUNCTION("""COMPUTED_VALUE"""),"Evamazzita")</f>
        <v>Evamazzita</v>
      </c>
      <c r="F3794" s="17" t="str">
        <f>IFERROR(__xludf.DUMMYFUNCTION("""COMPUTED_VALUE"""),"TRANSV 6A DIAGONAL 29 -41  / TRANSV 6A DIAGONAL 29 -41  / VILLA FONTANA")</f>
        <v>TRANSV 6A DIAGONAL 29 -41  / TRANSV 6A DIAGONAL 29 -41  / VILLA FONTANA</v>
      </c>
      <c r="G3794" s="15" t="str">
        <f>IFERROR(__xludf.DUMMYFUNCTION("""COMPUTED_VALUE"""),"ERIKA CARMONA")</f>
        <v>ERIKA CARMONA</v>
      </c>
      <c r="H3794" s="16">
        <f>IFERROR(__xludf.DUMMYFUNCTION("""COMPUTED_VALUE"""),12326.0)</f>
        <v>12326</v>
      </c>
      <c r="I3794" s="18">
        <f>IFERROR(__xludf.DUMMYFUNCTION("""COMPUTED_VALUE"""),1.0)</f>
        <v>1</v>
      </c>
      <c r="J3794" s="18">
        <f>IFERROR(__xludf.DUMMYFUNCTION("""COMPUTED_VALUE"""),1.0)</f>
        <v>1</v>
      </c>
      <c r="K3794" s="18">
        <f>IFERROR(__xludf.DUMMYFUNCTION("""COMPUTED_VALUE"""),1.0)</f>
        <v>1</v>
      </c>
      <c r="L3794" s="17">
        <f>IFERROR(__xludf.DUMMYFUNCTION("""COMPUTED_VALUE"""),3.162388217E9)</f>
        <v>3162388217</v>
      </c>
      <c r="M3794" s="17" t="str">
        <f>IFERROR(__xludf.DUMMYFUNCTION("""COMPUTED_VALUE"""),"#REF!")</f>
        <v>#REF!</v>
      </c>
      <c r="N3794" s="17"/>
      <c r="O3794" s="17"/>
      <c r="P3794" s="17" t="b">
        <f>IFERROR(__xludf.DUMMYFUNCTION("""COMPUTED_VALUE"""),FALSE)</f>
        <v>0</v>
      </c>
      <c r="Q3794" s="20" t="str">
        <f>IFERROR(__xludf.DUMMYFUNCTION("""COMPUTED_VALUE"""),"")</f>
        <v/>
      </c>
      <c r="R3794" s="21" t="str">
        <f>IFERROR(__xludf.DUMMYFUNCTION("""COMPUTED_VALUE"""),"https://drive.google.com/file/d/1uYjv9ZqmYxx3CqPxiQgkSu3G4aCC-2P9/view?usp=drivesdk")</f>
        <v>https://drive.google.com/file/d/1uYjv9ZqmYxx3CqPxiQgkSu3G4aCC-2P9/view?usp=drivesdk</v>
      </c>
    </row>
    <row r="3795">
      <c r="A3795" s="17" t="str">
        <f>IFERROR(__xludf.DUMMYFUNCTION("""COMPUTED_VALUE"""),"")</f>
        <v/>
      </c>
      <c r="B3795" s="17" t="str">
        <f>IFERROR(__xludf.DUMMYFUNCTION("""COMPUTED_VALUE"""),"")</f>
        <v/>
      </c>
      <c r="C3795" s="17" t="str">
        <f>IFERROR(__xludf.DUMMYFUNCTION("""COMPUTED_VALUE"""),"")</f>
        <v/>
      </c>
      <c r="D3795" s="17" t="str">
        <f>IFERROR(__xludf.DUMMYFUNCTION("""COMPUTED_VALUE"""),"")</f>
        <v/>
      </c>
      <c r="E3795" s="17" t="str">
        <f>IFERROR(__xludf.DUMMYFUNCTION("""COMPUTED_VALUE"""),"")</f>
        <v/>
      </c>
      <c r="F3795" s="17" t="str">
        <f>IFERROR(__xludf.DUMMYFUNCTION("""COMPUTED_VALUE"""),"")</f>
        <v/>
      </c>
      <c r="G3795" s="17" t="str">
        <f>IFERROR(__xludf.DUMMYFUNCTION("""COMPUTED_VALUE"""),"")</f>
        <v/>
      </c>
      <c r="H3795" s="17" t="str">
        <f>IFERROR(__xludf.DUMMYFUNCTION("""COMPUTED_VALUE"""),"")</f>
        <v/>
      </c>
      <c r="I3795" s="17" t="str">
        <f>IFERROR(__xludf.DUMMYFUNCTION("""COMPUTED_VALUE"""),"")</f>
        <v/>
      </c>
      <c r="J3795" s="17" t="str">
        <f>IFERROR(__xludf.DUMMYFUNCTION("""COMPUTED_VALUE"""),"")</f>
        <v/>
      </c>
      <c r="K3795" s="17" t="str">
        <f>IFERROR(__xludf.DUMMYFUNCTION("""COMPUTED_VALUE"""),"")</f>
        <v/>
      </c>
      <c r="L3795" s="17" t="str">
        <f>IFERROR(__xludf.DUMMYFUNCTION("""COMPUTED_VALUE"""),"")</f>
        <v/>
      </c>
      <c r="M3795" s="17" t="str">
        <f>IFERROR(__xludf.DUMMYFUNCTION("""COMPUTED_VALUE"""),"")</f>
        <v/>
      </c>
      <c r="N3795" s="17" t="str">
        <f>IFERROR(__xludf.DUMMYFUNCTION("""COMPUTED_VALUE"""),"")</f>
        <v/>
      </c>
      <c r="O3795" s="17" t="str">
        <f>IFERROR(__xludf.DUMMYFUNCTION("""COMPUTED_VALUE"""),"")</f>
        <v/>
      </c>
      <c r="P3795" s="17" t="str">
        <f>IFERROR(__xludf.DUMMYFUNCTION("""COMPUTED_VALUE"""),"")</f>
        <v/>
      </c>
      <c r="Q3795" s="17" t="str">
        <f>IFERROR(__xludf.DUMMYFUNCTION("""COMPUTED_VALUE"""),"")</f>
        <v/>
      </c>
      <c r="R3795" s="17" t="str">
        <f>IFERROR(__xludf.DUMMYFUNCTION("""COMPUTED_VALUE"""),"")</f>
        <v/>
      </c>
    </row>
    <row r="3796">
      <c r="A3796" s="15">
        <f>IFERROR(__xludf.DUMMYFUNCTION("""COMPUTED_VALUE"""),45112.0)</f>
        <v>45112</v>
      </c>
      <c r="B3796" s="16" t="str">
        <f>IFERROR(__xludf.DUMMYFUNCTION("""COMPUTED_VALUE"""),"José Miguel Bonilla")</f>
        <v>José Miguel Bonilla</v>
      </c>
      <c r="C3796" s="15" t="str">
        <f>IFERROR(__xludf.DUMMYFUNCTION("""COMPUTED_VALUE"""),"BUCARAMANGA")</f>
        <v>BUCARAMANGA</v>
      </c>
      <c r="D3796" s="15" t="str">
        <f>IFERROR(__xludf.DUMMYFUNCTION("""COMPUTED_VALUE"""),"BOGOTÁ")</f>
        <v>BOGOTÁ</v>
      </c>
      <c r="E3796" s="15" t="str">
        <f>IFERROR(__xludf.DUMMYFUNCTION("""COMPUTED_VALUE"""),"Evamazzita")</f>
        <v>Evamazzita</v>
      </c>
      <c r="F3796" s="17" t="str">
        <f>IFERROR(__xludf.DUMMYFUNCTION("""COMPUTED_VALUE"""),"CRA 27 No. 54-10  / APTO 2807 EDIFICIO INFINITY NUEVO SOTOMAYOR / N/A")</f>
        <v>CRA 27 No. 54-10  / APTO 2807 EDIFICIO INFINITY NUEVO SOTOMAYOR / N/A</v>
      </c>
      <c r="G3796" s="15" t="str">
        <f>IFERROR(__xludf.DUMMYFUNCTION("""COMPUTED_VALUE"""),"RODRIGO ZAMBRANO")</f>
        <v>RODRIGO ZAMBRANO</v>
      </c>
      <c r="H3796" s="16">
        <f>IFERROR(__xludf.DUMMYFUNCTION("""COMPUTED_VALUE"""),12297.0)</f>
        <v>12297</v>
      </c>
      <c r="I3796" s="18">
        <f>IFERROR(__xludf.DUMMYFUNCTION("""COMPUTED_VALUE"""),1.0)</f>
        <v>1</v>
      </c>
      <c r="J3796" s="18">
        <f>IFERROR(__xludf.DUMMYFUNCTION("""COMPUTED_VALUE"""),1.0)</f>
        <v>1</v>
      </c>
      <c r="K3796" s="18">
        <f>IFERROR(__xludf.DUMMYFUNCTION("""COMPUTED_VALUE"""),1.0)</f>
        <v>1</v>
      </c>
      <c r="L3796" s="17">
        <f>IFERROR(__xludf.DUMMYFUNCTION("""COMPUTED_VALUE"""),3.144932839E9)</f>
        <v>3144932839</v>
      </c>
      <c r="M3796" s="17" t="str">
        <f>IFERROR(__xludf.DUMMYFUNCTION("""COMPUTED_VALUE"""),"#REF!")</f>
        <v>#REF!</v>
      </c>
      <c r="N3796" s="17"/>
      <c r="O3796" s="17"/>
      <c r="P3796" s="17" t="b">
        <f>IFERROR(__xludf.DUMMYFUNCTION("""COMPUTED_VALUE"""),FALSE)</f>
        <v>0</v>
      </c>
      <c r="Q3796" s="20" t="str">
        <f>IFERROR(__xludf.DUMMYFUNCTION("""COMPUTED_VALUE"""),"")</f>
        <v/>
      </c>
      <c r="R3796" s="21" t="str">
        <f>IFERROR(__xludf.DUMMYFUNCTION("""COMPUTED_VALUE"""),"https://drive.google.com/file/d/1H1kNiam05GQNYJIJyML9zdCxKPYAFghs/view?usp=drivesdk")</f>
        <v>https://drive.google.com/file/d/1H1kNiam05GQNYJIJyML9zdCxKPYAFghs/view?usp=drivesdk</v>
      </c>
    </row>
    <row r="3797">
      <c r="A3797" s="15">
        <f>IFERROR(__xludf.DUMMYFUNCTION("""COMPUTED_VALUE"""),45112.0)</f>
        <v>45112</v>
      </c>
      <c r="B3797" s="16" t="str">
        <f>IFERROR(__xludf.DUMMYFUNCTION("""COMPUTED_VALUE"""),"José Miguel Bonilla")</f>
        <v>José Miguel Bonilla</v>
      </c>
      <c r="C3797" s="15" t="str">
        <f>IFERROR(__xludf.DUMMYFUNCTION("""COMPUTED_VALUE"""),"BUCARAMANGA")</f>
        <v>BUCARAMANGA</v>
      </c>
      <c r="D3797" s="15" t="str">
        <f>IFERROR(__xludf.DUMMYFUNCTION("""COMPUTED_VALUE"""),"BOGOTÁ")</f>
        <v>BOGOTÁ</v>
      </c>
      <c r="E3797" s="15" t="str">
        <f>IFERROR(__xludf.DUMMYFUNCTION("""COMPUTED_VALUE"""),"Ins. Alimento Vital")</f>
        <v>Ins. Alimento Vital</v>
      </c>
      <c r="F3797" s="17" t="str">
        <f>IFERROR(__xludf.DUMMYFUNCTION("""COMPUTED_VALUE"""),"CL 31 30 08 / APTO 501 / AURORA ROYAL")</f>
        <v>CL 31 30 08 / APTO 501 / AURORA ROYAL</v>
      </c>
      <c r="G3797" s="15" t="str">
        <f>IFERROR(__xludf.DUMMYFUNCTION("""COMPUTED_VALUE"""),"LARRY ALBERTO LOPEZ")</f>
        <v>LARRY ALBERTO LOPEZ</v>
      </c>
      <c r="H3797" s="16">
        <f>IFERROR(__xludf.DUMMYFUNCTION("""COMPUTED_VALUE"""),12328.0)</f>
        <v>12328</v>
      </c>
      <c r="I3797" s="18">
        <f>IFERROR(__xludf.DUMMYFUNCTION("""COMPUTED_VALUE"""),1.0)</f>
        <v>1</v>
      </c>
      <c r="J3797" s="18">
        <f>IFERROR(__xludf.DUMMYFUNCTION("""COMPUTED_VALUE"""),1.0)</f>
        <v>1</v>
      </c>
      <c r="K3797" s="18">
        <f>IFERROR(__xludf.DUMMYFUNCTION("""COMPUTED_VALUE"""),1.0)</f>
        <v>1</v>
      </c>
      <c r="L3797" s="17">
        <f>IFERROR(__xludf.DUMMYFUNCTION("""COMPUTED_VALUE"""),3.185709801E9)</f>
        <v>3185709801</v>
      </c>
      <c r="M3797" s="17" t="str">
        <f>IFERROR(__xludf.DUMMYFUNCTION("""COMPUTED_VALUE"""),"#REF!")</f>
        <v>#REF!</v>
      </c>
      <c r="N3797" s="17"/>
      <c r="O3797" s="17"/>
      <c r="P3797" s="17" t="b">
        <f>IFERROR(__xludf.DUMMYFUNCTION("""COMPUTED_VALUE"""),FALSE)</f>
        <v>0</v>
      </c>
      <c r="Q3797" s="20" t="str">
        <f>IFERROR(__xludf.DUMMYFUNCTION("""COMPUTED_VALUE"""),"")</f>
        <v/>
      </c>
      <c r="R3797" s="22" t="str">
        <f>IFERROR(__xludf.DUMMYFUNCTION("""COMPUTED_VALUE"""),"")</f>
        <v/>
      </c>
    </row>
    <row r="3798">
      <c r="A3798" s="15">
        <f>IFERROR(__xludf.DUMMYFUNCTION("""COMPUTED_VALUE"""),45112.0)</f>
        <v>45112</v>
      </c>
      <c r="B3798" s="16" t="str">
        <f>IFERROR(__xludf.DUMMYFUNCTION("""COMPUTED_VALUE"""),"José Miguel Bonilla")</f>
        <v>José Miguel Bonilla</v>
      </c>
      <c r="C3798" s="15" t="str">
        <f>IFERROR(__xludf.DUMMYFUNCTION("""COMPUTED_VALUE"""),"BUCARAMANGA")</f>
        <v>BUCARAMANGA</v>
      </c>
      <c r="D3798" s="15" t="str">
        <f>IFERROR(__xludf.DUMMYFUNCTION("""COMPUTED_VALUE"""),"BOGOTÁ")</f>
        <v>BOGOTÁ</v>
      </c>
      <c r="E3798" s="15" t="str">
        <f>IFERROR(__xludf.DUMMYFUNCTION("""COMPUTED_VALUE"""),"Ins. Alimento Vital")</f>
        <v>Ins. Alimento Vital</v>
      </c>
      <c r="F3798" s="17" t="str">
        <f>IFERROR(__xludf.DUMMYFUNCTION("""COMPUTED_VALUE"""),"CR 23 31 63 / EDIFICIO MILANO XXIII / ED MILANO")</f>
        <v>CR 23 31 63 / EDIFICIO MILANO XXIII / ED MILANO</v>
      </c>
      <c r="G3798" s="15" t="str">
        <f>IFERROR(__xludf.DUMMYFUNCTION("""COMPUTED_VALUE"""),"DIEGO MAURICIO RODRIGUEZ BELTRAN")</f>
        <v>DIEGO MAURICIO RODRIGUEZ BELTRAN</v>
      </c>
      <c r="H3798" s="16">
        <f>IFERROR(__xludf.DUMMYFUNCTION("""COMPUTED_VALUE"""),12271.0)</f>
        <v>12271</v>
      </c>
      <c r="I3798" s="18">
        <f>IFERROR(__xludf.DUMMYFUNCTION("""COMPUTED_VALUE"""),1.0)</f>
        <v>1</v>
      </c>
      <c r="J3798" s="18">
        <f>IFERROR(__xludf.DUMMYFUNCTION("""COMPUTED_VALUE"""),1.0)</f>
        <v>1</v>
      </c>
      <c r="K3798" s="18">
        <f>IFERROR(__xludf.DUMMYFUNCTION("""COMPUTED_VALUE"""),1.0)</f>
        <v>1</v>
      </c>
      <c r="L3798" s="17">
        <f>IFERROR(__xludf.DUMMYFUNCTION("""COMPUTED_VALUE"""),3.178064951E9)</f>
        <v>3178064951</v>
      </c>
      <c r="M3798" s="17" t="str">
        <f>IFERROR(__xludf.DUMMYFUNCTION("""COMPUTED_VALUE"""),"#REF!")</f>
        <v>#REF!</v>
      </c>
      <c r="N3798" s="17"/>
      <c r="O3798" s="17"/>
      <c r="P3798" s="17" t="b">
        <f>IFERROR(__xludf.DUMMYFUNCTION("""COMPUTED_VALUE"""),FALSE)</f>
        <v>0</v>
      </c>
      <c r="Q3798" s="20" t="str">
        <f>IFERROR(__xludf.DUMMYFUNCTION("""COMPUTED_VALUE"""),"")</f>
        <v/>
      </c>
      <c r="R3798" s="21" t="str">
        <f>IFERROR(__xludf.DUMMYFUNCTION("""COMPUTED_VALUE"""),"https://drive.google.com/file/d/1hr8foRgq7rWOUvxdHINtkWttZtTFtTl4/view?usp=drivesdk")</f>
        <v>https://drive.google.com/file/d/1hr8foRgq7rWOUvxdHINtkWttZtTFtTl4/view?usp=drivesdk</v>
      </c>
    </row>
    <row r="3799">
      <c r="A3799" s="15">
        <f>IFERROR(__xludf.DUMMYFUNCTION("""COMPUTED_VALUE"""),45112.0)</f>
        <v>45112</v>
      </c>
      <c r="B3799" s="16" t="str">
        <f>IFERROR(__xludf.DUMMYFUNCTION("""COMPUTED_VALUE"""),"José Miguel Bonilla")</f>
        <v>José Miguel Bonilla</v>
      </c>
      <c r="C3799" s="15" t="str">
        <f>IFERROR(__xludf.DUMMYFUNCTION("""COMPUTED_VALUE"""),"BUCARAMANGA")</f>
        <v>BUCARAMANGA</v>
      </c>
      <c r="D3799" s="15" t="str">
        <f>IFERROR(__xludf.DUMMYFUNCTION("""COMPUTED_VALUE"""),"BOGOTÁ")</f>
        <v>BOGOTÁ</v>
      </c>
      <c r="E3799" s="15" t="str">
        <f>IFERROR(__xludf.DUMMYFUNCTION("""COMPUTED_VALUE"""),"Ins. Alimento Vital")</f>
        <v>Ins. Alimento Vital</v>
      </c>
      <c r="F3799" s="17" t="str">
        <f>IFERROR(__xludf.DUMMYFUNCTION("""COMPUTED_VALUE"""),"CR 48 30 21 / TR 1 APTO 204 EDIFICIO BOSQUES DEL VENADO / EDIFICIO BOSQUES DEL VENADO")</f>
        <v>CR 48 30 21 / TR 1 APTO 204 EDIFICIO BOSQUES DEL VENADO / EDIFICIO BOSQUES DEL VENADO</v>
      </c>
      <c r="G3799" s="15" t="str">
        <f>IFERROR(__xludf.DUMMYFUNCTION("""COMPUTED_VALUE"""),"LEIDY CATERINE PATIÑO RODRIGUEZ")</f>
        <v>LEIDY CATERINE PATIÑO RODRIGUEZ</v>
      </c>
      <c r="H3799" s="16">
        <f>IFERROR(__xludf.DUMMYFUNCTION("""COMPUTED_VALUE"""),12273.0)</f>
        <v>12273</v>
      </c>
      <c r="I3799" s="18">
        <f>IFERROR(__xludf.DUMMYFUNCTION("""COMPUTED_VALUE"""),1.0)</f>
        <v>1</v>
      </c>
      <c r="J3799" s="18">
        <f>IFERROR(__xludf.DUMMYFUNCTION("""COMPUTED_VALUE"""),1.0)</f>
        <v>1</v>
      </c>
      <c r="K3799" s="18">
        <f>IFERROR(__xludf.DUMMYFUNCTION("""COMPUTED_VALUE"""),1.0)</f>
        <v>1</v>
      </c>
      <c r="L3799" s="17">
        <f>IFERROR(__xludf.DUMMYFUNCTION("""COMPUTED_VALUE"""),3.132936789E9)</f>
        <v>3132936789</v>
      </c>
      <c r="M3799" s="17" t="str">
        <f>IFERROR(__xludf.DUMMYFUNCTION("""COMPUTED_VALUE"""),"#REF!")</f>
        <v>#REF!</v>
      </c>
      <c r="N3799" s="17"/>
      <c r="O3799" s="17"/>
      <c r="P3799" s="17" t="b">
        <f>IFERROR(__xludf.DUMMYFUNCTION("""COMPUTED_VALUE"""),FALSE)</f>
        <v>0</v>
      </c>
      <c r="Q3799" s="20" t="str">
        <f>IFERROR(__xludf.DUMMYFUNCTION("""COMPUTED_VALUE"""),"")</f>
        <v/>
      </c>
      <c r="R3799" s="21" t="str">
        <f>IFERROR(__xludf.DUMMYFUNCTION("""COMPUTED_VALUE"""),"https://drive.google.com/file/d/1zCi-jvgveY63bHuA14KeWrbJkoPNCWdb/view?usp=drivesdk")</f>
        <v>https://drive.google.com/file/d/1zCi-jvgveY63bHuA14KeWrbJkoPNCWdb/view?usp=drivesdk</v>
      </c>
    </row>
    <row r="3800">
      <c r="A3800" s="15">
        <f>IFERROR(__xludf.DUMMYFUNCTION("""COMPUTED_VALUE"""),45112.0)</f>
        <v>45112</v>
      </c>
      <c r="B3800" s="16" t="str">
        <f>IFERROR(__xludf.DUMMYFUNCTION("""COMPUTED_VALUE"""),"José Miguel Bonilla")</f>
        <v>José Miguel Bonilla</v>
      </c>
      <c r="C3800" s="15" t="str">
        <f>IFERROR(__xludf.DUMMYFUNCTION("""COMPUTED_VALUE"""),"BUCARAMANGA")</f>
        <v>BUCARAMANGA</v>
      </c>
      <c r="D3800" s="15" t="str">
        <f>IFERROR(__xludf.DUMMYFUNCTION("""COMPUTED_VALUE"""),"BOGOTÁ")</f>
        <v>BOGOTÁ</v>
      </c>
      <c r="E3800" s="15" t="str">
        <f>IFERROR(__xludf.DUMMYFUNCTION("""COMPUTED_VALUE"""),"Ventura Productos Arg")</f>
        <v>Ventura Productos Arg</v>
      </c>
      <c r="F3800" s="17" t="str">
        <f>IFERROR(__xludf.DUMMYFUNCTION("""COMPUTED_VALUE"""),"Calle 42 # 27A - 78 Apto 603. Edificio Marqués de Sotomayor. Bucaramanga / Edificio Marqués de Sotomayor. Bucaramanga, apto 603")</f>
        <v>Calle 42 # 27A - 78 Apto 603. Edificio Marqués de Sotomayor. Bucaramanga / Edificio Marqués de Sotomayor. Bucaramanga, apto 603</v>
      </c>
      <c r="G3800" s="15" t="str">
        <f>IFERROR(__xludf.DUMMYFUNCTION("""COMPUTED_VALUE"""),"Laura Gamez")</f>
        <v>Laura Gamez</v>
      </c>
      <c r="H3800" s="16">
        <f>IFERROR(__xludf.DUMMYFUNCTION("""COMPUTED_VALUE"""),12265.0)</f>
        <v>12265</v>
      </c>
      <c r="I3800" s="18">
        <f>IFERROR(__xludf.DUMMYFUNCTION("""COMPUTED_VALUE"""),22.0)</f>
        <v>22</v>
      </c>
      <c r="J3800" s="18">
        <f>IFERROR(__xludf.DUMMYFUNCTION("""COMPUTED_VALUE"""),17.0)</f>
        <v>17</v>
      </c>
      <c r="K3800" s="18">
        <f>IFERROR(__xludf.DUMMYFUNCTION("""COMPUTED_VALUE"""),8.0)</f>
        <v>8</v>
      </c>
      <c r="L3800" s="17" t="str">
        <f>IFERROR(__xludf.DUMMYFUNCTION("""COMPUTED_VALUE"""),"#ERROR!")</f>
        <v>#ERROR!</v>
      </c>
      <c r="M3800" s="17" t="str">
        <f>IFERROR(__xludf.DUMMYFUNCTION("""COMPUTED_VALUE"""),"#REF!")</f>
        <v>#REF!</v>
      </c>
      <c r="N3800" s="17"/>
      <c r="O3800" s="17"/>
      <c r="P3800" s="17" t="b">
        <f>IFERROR(__xludf.DUMMYFUNCTION("""COMPUTED_VALUE"""),FALSE)</f>
        <v>0</v>
      </c>
      <c r="Q3800" s="20" t="str">
        <f>IFERROR(__xludf.DUMMYFUNCTION("""COMPUTED_VALUE"""),"")</f>
        <v/>
      </c>
      <c r="R3800" s="21" t="str">
        <f>IFERROR(__xludf.DUMMYFUNCTION("""COMPUTED_VALUE"""),"https://drive.google.com/file/d/1SevjWNkcrP3nbLf4koE_p4ojEZ5J0mIl/view?usp=drivesdk")</f>
        <v>https://drive.google.com/file/d/1SevjWNkcrP3nbLf4koE_p4ojEZ5J0mIl/view?usp=drivesdk</v>
      </c>
    </row>
    <row r="3801">
      <c r="A3801" s="15">
        <f>IFERROR(__xludf.DUMMYFUNCTION("""COMPUTED_VALUE"""),45112.0)</f>
        <v>45112</v>
      </c>
      <c r="B3801" s="16" t="str">
        <f>IFERROR(__xludf.DUMMYFUNCTION("""COMPUTED_VALUE"""),"José Miguel Bonilla")</f>
        <v>José Miguel Bonilla</v>
      </c>
      <c r="C3801" s="15" t="str">
        <f>IFERROR(__xludf.DUMMYFUNCTION("""COMPUTED_VALUE"""),"BUCARAMANGA")</f>
        <v>BUCARAMANGA</v>
      </c>
      <c r="D3801" s="15" t="str">
        <f>IFERROR(__xludf.DUMMYFUNCTION("""COMPUTED_VALUE"""),"BOGOTÁ")</f>
        <v>BOGOTÁ</v>
      </c>
      <c r="E3801" s="15" t="str">
        <f>IFERROR(__xludf.DUMMYFUNCTION("""COMPUTED_VALUE"""),"Ventura Productos Arg")</f>
        <v>Ventura Productos Arg</v>
      </c>
      <c r="F3801" s="17" t="str">
        <f>IFERROR(__xludf.DUMMYFUNCTION("""COMPUTED_VALUE"""),"Calle 42 # 27A - 78 Apto 603. Edificio Marqués de Sotomayor. Bucaramanga / Edificio Marqués de Sotomayor. Bucaramanga, apto 603")</f>
        <v>Calle 42 # 27A - 78 Apto 603. Edificio Marqués de Sotomayor. Bucaramanga / Edificio Marqués de Sotomayor. Bucaramanga, apto 603</v>
      </c>
      <c r="G3801" s="15" t="str">
        <f>IFERROR(__xludf.DUMMYFUNCTION("""COMPUTED_VALUE"""),"Laura Gamez")</f>
        <v>Laura Gamez</v>
      </c>
      <c r="H3801" s="16">
        <f>IFERROR(__xludf.DUMMYFUNCTION("""COMPUTED_VALUE"""),12266.0)</f>
        <v>12266</v>
      </c>
      <c r="I3801" s="18">
        <f>IFERROR(__xludf.DUMMYFUNCTION("""COMPUTED_VALUE"""),3.0)</f>
        <v>3</v>
      </c>
      <c r="J3801" s="18">
        <f>IFERROR(__xludf.DUMMYFUNCTION("""COMPUTED_VALUE"""),45060.0)</f>
        <v>45060</v>
      </c>
      <c r="K3801" s="18">
        <f>IFERROR(__xludf.DUMMYFUNCTION("""COMPUTED_VALUE"""),22.0)</f>
        <v>22</v>
      </c>
      <c r="L3801" s="17" t="str">
        <f>IFERROR(__xludf.DUMMYFUNCTION("""COMPUTED_VALUE"""),"#ERROR!")</f>
        <v>#ERROR!</v>
      </c>
      <c r="M3801" s="17" t="str">
        <f>IFERROR(__xludf.DUMMYFUNCTION("""COMPUTED_VALUE"""),"#REF!")</f>
        <v>#REF!</v>
      </c>
      <c r="N3801" s="17"/>
      <c r="O3801" s="17"/>
      <c r="P3801" s="17" t="b">
        <f>IFERROR(__xludf.DUMMYFUNCTION("""COMPUTED_VALUE"""),FALSE)</f>
        <v>0</v>
      </c>
      <c r="Q3801" s="20" t="str">
        <f>IFERROR(__xludf.DUMMYFUNCTION("""COMPUTED_VALUE"""),"")</f>
        <v/>
      </c>
      <c r="R3801" s="21" t="str">
        <f>IFERROR(__xludf.DUMMYFUNCTION("""COMPUTED_VALUE"""),"https://drive.google.com/file/d/1Dz-7GurQg9M5vmzN1nQ70GHph6X2a44w/view?usp=drivesdk")</f>
        <v>https://drive.google.com/file/d/1Dz-7GurQg9M5vmzN1nQ70GHph6X2a44w/view?usp=drivesdk</v>
      </c>
    </row>
    <row r="3802">
      <c r="A3802" s="15">
        <f>IFERROR(__xludf.DUMMYFUNCTION("""COMPUTED_VALUE"""),45112.0)</f>
        <v>45112</v>
      </c>
      <c r="B3802" s="16" t="str">
        <f>IFERROR(__xludf.DUMMYFUNCTION("""COMPUTED_VALUE"""),"José Miguel Bonilla")</f>
        <v>José Miguel Bonilla</v>
      </c>
      <c r="C3802" s="15" t="str">
        <f>IFERROR(__xludf.DUMMYFUNCTION("""COMPUTED_VALUE"""),"BUCARAMANGA")</f>
        <v>BUCARAMANGA</v>
      </c>
      <c r="D3802" s="15" t="str">
        <f>IFERROR(__xludf.DUMMYFUNCTION("""COMPUTED_VALUE"""),"MEDELLÍN")</f>
        <v>MEDELLÍN</v>
      </c>
      <c r="E3802" s="15" t="str">
        <f>IFERROR(__xludf.DUMMYFUNCTION("""COMPUTED_VALUE"""),"Baby Chef")</f>
        <v>Baby Chef</v>
      </c>
      <c r="F3802" s="17" t="str">
        <f>IFERROR(__xludf.DUMMYFUNCTION("""COMPUTED_VALUE"""),"crr 27A #48-62, Torre A-40 Barrio: Sotomayor /  crr 27A #48-62, Torre A-40 Barrio: Sotomayor /  crr 27A #48-62, Torre A-40 Barrio: Sotomayor")</f>
        <v>crr 27A #48-62, Torre A-40 Barrio: Sotomayor /  crr 27A #48-62, Torre A-40 Barrio: Sotomayor /  crr 27A #48-62, Torre A-40 Barrio: Sotomayor</v>
      </c>
      <c r="G3802" s="15" t="str">
        <f>IFERROR(__xludf.DUMMYFUNCTION("""COMPUTED_VALUE"""),"Lucyni Marcela Mendoza")</f>
        <v>Lucyni Marcela Mendoza</v>
      </c>
      <c r="H3802" s="16">
        <f>IFERROR(__xludf.DUMMYFUNCTION("""COMPUTED_VALUE"""),12369.0)</f>
        <v>12369</v>
      </c>
      <c r="I3802" s="18">
        <f>IFERROR(__xludf.DUMMYFUNCTION("""COMPUTED_VALUE"""),8.0)</f>
        <v>8</v>
      </c>
      <c r="J3802" s="18">
        <f>IFERROR(__xludf.DUMMYFUNCTION("""COMPUTED_VALUE"""),16.0)</f>
        <v>16</v>
      </c>
      <c r="K3802" s="18">
        <f>IFERROR(__xludf.DUMMYFUNCTION("""COMPUTED_VALUE"""),20.0)</f>
        <v>20</v>
      </c>
      <c r="L3802" s="17">
        <f>IFERROR(__xludf.DUMMYFUNCTION("""COMPUTED_VALUE"""),3.158277288E9)</f>
        <v>3158277288</v>
      </c>
      <c r="M3802" s="17" t="str">
        <f>IFERROR(__xludf.DUMMYFUNCTION("""COMPUTED_VALUE"""),"#REF!")</f>
        <v>#REF!</v>
      </c>
      <c r="N3802" s="17"/>
      <c r="O3802" s="17"/>
      <c r="P3802" s="17" t="b">
        <f>IFERROR(__xludf.DUMMYFUNCTION("""COMPUTED_VALUE"""),FALSE)</f>
        <v>0</v>
      </c>
      <c r="Q3802" s="20" t="str">
        <f>IFERROR(__xludf.DUMMYFUNCTION("""COMPUTED_VALUE"""),"")</f>
        <v/>
      </c>
      <c r="R3802" s="21" t="str">
        <f>IFERROR(__xludf.DUMMYFUNCTION("""COMPUTED_VALUE"""),"https://drive.google.com/file/d/1jON3D2A6z_buBaSEUwQ_NIypiyi36UWW/view?usp=drivesdk")</f>
        <v>https://drive.google.com/file/d/1jON3D2A6z_buBaSEUwQ_NIypiyi36UWW/view?usp=drivesdk</v>
      </c>
    </row>
    <row r="3803">
      <c r="A3803" s="15">
        <f>IFERROR(__xludf.DUMMYFUNCTION("""COMPUTED_VALUE"""),45112.0)</f>
        <v>45112</v>
      </c>
      <c r="B3803" s="16" t="str">
        <f>IFERROR(__xludf.DUMMYFUNCTION("""COMPUTED_VALUE"""),"José Miguel Bonilla")</f>
        <v>José Miguel Bonilla</v>
      </c>
      <c r="C3803" s="15" t="str">
        <f>IFERROR(__xludf.DUMMYFUNCTION("""COMPUTED_VALUE"""),"BUCARAMANGA")</f>
        <v>BUCARAMANGA</v>
      </c>
      <c r="D3803" s="15" t="str">
        <f>IFERROR(__xludf.DUMMYFUNCTION("""COMPUTED_VALUE"""),"MEDELLÍN")</f>
        <v>MEDELLÍN</v>
      </c>
      <c r="E3803" s="15" t="str">
        <f>IFERROR(__xludf.DUMMYFUNCTION("""COMPUTED_VALUE"""),"Terravocado")</f>
        <v>Terravocado</v>
      </c>
      <c r="F3803" s="17" t="str">
        <f>IFERROR(__xludf.DUMMYFUNCTION("""COMPUTED_VALUE"""),"CLL REAL # 6 - 74 / PORTAL DE SAN SEBASTIAN TORRE 4 APT 702 / REAL DE MINAS")</f>
        <v>CLL REAL # 6 - 74 / PORTAL DE SAN SEBASTIAN TORRE 4 APT 702 / REAL DE MINAS</v>
      </c>
      <c r="G3803" s="15" t="str">
        <f>IFERROR(__xludf.DUMMYFUNCTION("""COMPUTED_VALUE"""),"EDGAR CONTRERAS")</f>
        <v>EDGAR CONTRERAS</v>
      </c>
      <c r="H3803" s="16">
        <f>IFERROR(__xludf.DUMMYFUNCTION("""COMPUTED_VALUE"""),12238.0)</f>
        <v>12238</v>
      </c>
      <c r="I3803" s="18">
        <f>IFERROR(__xludf.DUMMYFUNCTION("""COMPUTED_VALUE"""),20.0)</f>
        <v>20</v>
      </c>
      <c r="J3803" s="18">
        <f>IFERROR(__xludf.DUMMYFUNCTION("""COMPUTED_VALUE"""),24.0)</f>
        <v>24</v>
      </c>
      <c r="K3803" s="18">
        <f>IFERROR(__xludf.DUMMYFUNCTION("""COMPUTED_VALUE"""),34.0)</f>
        <v>34</v>
      </c>
      <c r="L3803" s="17">
        <f>IFERROR(__xludf.DUMMYFUNCTION("""COMPUTED_VALUE"""),3.223626148E9)</f>
        <v>3223626148</v>
      </c>
      <c r="M3803" s="17" t="str">
        <f>IFERROR(__xludf.DUMMYFUNCTION("""COMPUTED_VALUE"""),"#REF!")</f>
        <v>#REF!</v>
      </c>
      <c r="N3803" s="17"/>
      <c r="O3803" s="17"/>
      <c r="P3803" s="17" t="b">
        <f>IFERROR(__xludf.DUMMYFUNCTION("""COMPUTED_VALUE"""),FALSE)</f>
        <v>0</v>
      </c>
      <c r="Q3803" s="20" t="str">
        <f>IFERROR(__xludf.DUMMYFUNCTION("""COMPUTED_VALUE"""),"")</f>
        <v/>
      </c>
      <c r="R3803" s="21" t="str">
        <f>IFERROR(__xludf.DUMMYFUNCTION("""COMPUTED_VALUE"""),"https://drive.google.com/file/d/1lFHTQt3QyMctEibcROGbvklsBgDRBmrp/view?usp=drivesdk")</f>
        <v>https://drive.google.com/file/d/1lFHTQt3QyMctEibcROGbvklsBgDRBmrp/view?usp=drivesdk</v>
      </c>
    </row>
    <row r="3804">
      <c r="A3804" s="15">
        <f>IFERROR(__xludf.DUMMYFUNCTION("""COMPUTED_VALUE"""),45112.0)</f>
        <v>45112</v>
      </c>
      <c r="B3804" s="16" t="str">
        <f>IFERROR(__xludf.DUMMYFUNCTION("""COMPUTED_VALUE"""),"José Miguel Bonilla")</f>
        <v>José Miguel Bonilla</v>
      </c>
      <c r="C3804" s="15" t="str">
        <f>IFERROR(__xludf.DUMMYFUNCTION("""COMPUTED_VALUE"""),"FLORIDABLANCA")</f>
        <v>FLORIDABLANCA</v>
      </c>
      <c r="D3804" s="15" t="str">
        <f>IFERROR(__xludf.DUMMYFUNCTION("""COMPUTED_VALUE"""),"BOGOTÁ")</f>
        <v>BOGOTÁ</v>
      </c>
      <c r="E3804" s="15" t="str">
        <f>IFERROR(__xludf.DUMMYFUNCTION("""COMPUTED_VALUE"""),"Asociacion Agropecuaria Juana Maria")</f>
        <v>Asociacion Agropecuaria Juana Maria</v>
      </c>
      <c r="F3804" s="17" t="str">
        <f>IFERROR(__xludf.DUMMYFUNCTION("""COMPUTED_VALUE"""),"Calle 19 #11-37 Guanatá FLORIDABLANCA")</f>
        <v>Calle 19 #11-37 Guanatá FLORIDABLANCA</v>
      </c>
      <c r="G3804" s="15" t="str">
        <f>IFERROR(__xludf.DUMMYFUNCTION("""COMPUTED_VALUE"""),"Claudia Gonzalez")</f>
        <v>Claudia Gonzalez</v>
      </c>
      <c r="H3804" s="16">
        <f>IFERROR(__xludf.DUMMYFUNCTION("""COMPUTED_VALUE"""),12259.0)</f>
        <v>12259</v>
      </c>
      <c r="I3804" s="18">
        <f>IFERROR(__xludf.DUMMYFUNCTION("""COMPUTED_VALUE"""),21.0)</f>
        <v>21</v>
      </c>
      <c r="J3804" s="18">
        <f>IFERROR(__xludf.DUMMYFUNCTION("""COMPUTED_VALUE"""),37.0)</f>
        <v>37</v>
      </c>
      <c r="K3804" s="18">
        <f>IFERROR(__xludf.DUMMYFUNCTION("""COMPUTED_VALUE"""),30.0)</f>
        <v>30</v>
      </c>
      <c r="L3804" s="17">
        <f>IFERROR(__xludf.DUMMYFUNCTION("""COMPUTED_VALUE"""),3.002802001E9)</f>
        <v>3002802001</v>
      </c>
      <c r="M3804" s="17" t="str">
        <f>IFERROR(__xludf.DUMMYFUNCTION("""COMPUTED_VALUE"""),"#REF!")</f>
        <v>#REF!</v>
      </c>
      <c r="N3804" s="17"/>
      <c r="O3804" s="17"/>
      <c r="P3804" s="17" t="b">
        <f>IFERROR(__xludf.DUMMYFUNCTION("""COMPUTED_VALUE"""),FALSE)</f>
        <v>0</v>
      </c>
      <c r="Q3804" s="20" t="str">
        <f>IFERROR(__xludf.DUMMYFUNCTION("""COMPUTED_VALUE"""),"")</f>
        <v/>
      </c>
      <c r="R3804" s="21" t="str">
        <f>IFERROR(__xludf.DUMMYFUNCTION("""COMPUTED_VALUE"""),"https://drive.google.com/file/d/1I92E-stRxgBWpfrVU6D3oai48sYQgLM8/view?usp=drivesdk")</f>
        <v>https://drive.google.com/file/d/1I92E-stRxgBWpfrVU6D3oai48sYQgLM8/view?usp=drivesdk</v>
      </c>
    </row>
    <row r="3805">
      <c r="A3805" s="15">
        <f>IFERROR(__xludf.DUMMYFUNCTION("""COMPUTED_VALUE"""),45112.0)</f>
        <v>45112</v>
      </c>
      <c r="B3805" s="16" t="str">
        <f>IFERROR(__xludf.DUMMYFUNCTION("""COMPUTED_VALUE"""),"José Miguel Bonilla")</f>
        <v>José Miguel Bonilla</v>
      </c>
      <c r="C3805" s="15" t="str">
        <f>IFERROR(__xludf.DUMMYFUNCTION("""COMPUTED_VALUE"""),"FLORIDABLANCA")</f>
        <v>FLORIDABLANCA</v>
      </c>
      <c r="D3805" s="15" t="str">
        <f>IFERROR(__xludf.DUMMYFUNCTION("""COMPUTED_VALUE"""),"BOGOTÁ")</f>
        <v>BOGOTÁ</v>
      </c>
      <c r="E3805" s="15" t="str">
        <f>IFERROR(__xludf.DUMMYFUNCTION("""COMPUTED_VALUE"""),"Ins. Alimento Vital")</f>
        <v>Ins. Alimento Vital</v>
      </c>
      <c r="F3805" s="17" t="str">
        <f>IFERROR(__xludf.DUMMYFUNCTION("""COMPUTED_VALUE"""),"CL 30 22 129 / APTO 2001 EDIFICIO VENTUS / BARRIO CAÑAVERAL")</f>
        <v>CL 30 22 129 / APTO 2001 EDIFICIO VENTUS / BARRIO CAÑAVERAL</v>
      </c>
      <c r="G3805" s="15" t="str">
        <f>IFERROR(__xludf.DUMMYFUNCTION("""COMPUTED_VALUE"""),"LUZ ALEJANDRA URIBE ANGARITA")</f>
        <v>LUZ ALEJANDRA URIBE ANGARITA</v>
      </c>
      <c r="H3805" s="16">
        <f>IFERROR(__xludf.DUMMYFUNCTION("""COMPUTED_VALUE"""),12272.0)</f>
        <v>12272</v>
      </c>
      <c r="I3805" s="18">
        <f>IFERROR(__xludf.DUMMYFUNCTION("""COMPUTED_VALUE"""),1.0)</f>
        <v>1</v>
      </c>
      <c r="J3805" s="18">
        <f>IFERROR(__xludf.DUMMYFUNCTION("""COMPUTED_VALUE"""),1.0)</f>
        <v>1</v>
      </c>
      <c r="K3805" s="18">
        <f>IFERROR(__xludf.DUMMYFUNCTION("""COMPUTED_VALUE"""),1.0)</f>
        <v>1</v>
      </c>
      <c r="L3805" s="17">
        <f>IFERROR(__xludf.DUMMYFUNCTION("""COMPUTED_VALUE"""),3.005691834E9)</f>
        <v>3005691834</v>
      </c>
      <c r="M3805" s="17" t="str">
        <f>IFERROR(__xludf.DUMMYFUNCTION("""COMPUTED_VALUE"""),"#REF!")</f>
        <v>#REF!</v>
      </c>
      <c r="N3805" s="17"/>
      <c r="O3805" s="17"/>
      <c r="P3805" s="17" t="b">
        <f>IFERROR(__xludf.DUMMYFUNCTION("""COMPUTED_VALUE"""),FALSE)</f>
        <v>0</v>
      </c>
      <c r="Q3805" s="20" t="str">
        <f>IFERROR(__xludf.DUMMYFUNCTION("""COMPUTED_VALUE"""),"")</f>
        <v/>
      </c>
      <c r="R3805" s="21" t="str">
        <f>IFERROR(__xludf.DUMMYFUNCTION("""COMPUTED_VALUE"""),"https://drive.google.com/file/d/1AVor9j-OI6xPeDeUwR_mIorN3LE05cVT/view?usp=drivesdk")</f>
        <v>https://drive.google.com/file/d/1AVor9j-OI6xPeDeUwR_mIorN3LE05cVT/view?usp=drivesdk</v>
      </c>
    </row>
    <row r="3806">
      <c r="A3806" s="15">
        <f>IFERROR(__xludf.DUMMYFUNCTION("""COMPUTED_VALUE"""),45112.0)</f>
        <v>45112</v>
      </c>
      <c r="B3806" s="16" t="str">
        <f>IFERROR(__xludf.DUMMYFUNCTION("""COMPUTED_VALUE"""),"José Miguel Bonilla")</f>
        <v>José Miguel Bonilla</v>
      </c>
      <c r="C3806" s="15" t="str">
        <f>IFERROR(__xludf.DUMMYFUNCTION("""COMPUTED_VALUE"""),"FLORIDABLANCA")</f>
        <v>FLORIDABLANCA</v>
      </c>
      <c r="D3806" s="15" t="str">
        <f>IFERROR(__xludf.DUMMYFUNCTION("""COMPUTED_VALUE"""),"BOGOTÁ")</f>
        <v>BOGOTÁ</v>
      </c>
      <c r="E3806" s="15" t="str">
        <f>IFERROR(__xludf.DUMMYFUNCTION("""COMPUTED_VALUE"""),"Ins. Alimento Vital")</f>
        <v>Ins. Alimento Vital</v>
      </c>
      <c r="F3806" s="17" t="str">
        <f>IFERROR(__xludf.DUMMYFUNCTION("""COMPUTED_VALUE"""),"CL 30 22 129 / EDIFICIO VENTUS APTO 2001 / BARRIO CAÑAVERAL")</f>
        <v>CL 30 22 129 / EDIFICIO VENTUS APTO 2001 / BARRIO CAÑAVERAL</v>
      </c>
      <c r="G3806" s="15" t="str">
        <f>IFERROR(__xludf.DUMMYFUNCTION("""COMPUTED_VALUE"""),"LUZ ALEJANDRA URIBE ANGARITA")</f>
        <v>LUZ ALEJANDRA URIBE ANGARITA</v>
      </c>
      <c r="H3806" s="16">
        <f>IFERROR(__xludf.DUMMYFUNCTION("""COMPUTED_VALUE"""),12349.0)</f>
        <v>12349</v>
      </c>
      <c r="I3806" s="18">
        <f>IFERROR(__xludf.DUMMYFUNCTION("""COMPUTED_VALUE"""),1.0)</f>
        <v>1</v>
      </c>
      <c r="J3806" s="18">
        <f>IFERROR(__xludf.DUMMYFUNCTION("""COMPUTED_VALUE"""),1.0)</f>
        <v>1</v>
      </c>
      <c r="K3806" s="18">
        <f>IFERROR(__xludf.DUMMYFUNCTION("""COMPUTED_VALUE"""),1.0)</f>
        <v>1</v>
      </c>
      <c r="L3806" s="17">
        <f>IFERROR(__xludf.DUMMYFUNCTION("""COMPUTED_VALUE"""),3.005691834E9)</f>
        <v>3005691834</v>
      </c>
      <c r="M3806" s="17" t="str">
        <f>IFERROR(__xludf.DUMMYFUNCTION("""COMPUTED_VALUE"""),"#REF!")</f>
        <v>#REF!</v>
      </c>
      <c r="N3806" s="17"/>
      <c r="O3806" s="17"/>
      <c r="P3806" s="17" t="b">
        <f>IFERROR(__xludf.DUMMYFUNCTION("""COMPUTED_VALUE"""),FALSE)</f>
        <v>0</v>
      </c>
      <c r="Q3806" s="20" t="str">
        <f>IFERROR(__xludf.DUMMYFUNCTION("""COMPUTED_VALUE"""),"")</f>
        <v/>
      </c>
      <c r="R3806" s="22" t="str">
        <f>IFERROR(__xludf.DUMMYFUNCTION("""COMPUTED_VALUE"""),"")</f>
        <v/>
      </c>
    </row>
    <row r="3807">
      <c r="A3807" s="15">
        <f>IFERROR(__xludf.DUMMYFUNCTION("""COMPUTED_VALUE"""),45112.0)</f>
        <v>45112</v>
      </c>
      <c r="B3807" s="16" t="str">
        <f>IFERROR(__xludf.DUMMYFUNCTION("""COMPUTED_VALUE"""),"José Miguel Bonilla")</f>
        <v>José Miguel Bonilla</v>
      </c>
      <c r="C3807" s="15" t="str">
        <f>IFERROR(__xludf.DUMMYFUNCTION("""COMPUTED_VALUE"""),"FLORIDABLANCA")</f>
        <v>FLORIDABLANCA</v>
      </c>
      <c r="D3807" s="15" t="str">
        <f>IFERROR(__xludf.DUMMYFUNCTION("""COMPUTED_VALUE"""),"BOGOTÁ")</f>
        <v>BOGOTÁ</v>
      </c>
      <c r="E3807" s="15" t="str">
        <f>IFERROR(__xludf.DUMMYFUNCTION("""COMPUTED_VALUE"""),"Loomifoods")</f>
        <v>Loomifoods</v>
      </c>
      <c r="F3807" s="17" t="str">
        <f>IFERROR(__xludf.DUMMYFUNCTION("""COMPUTED_VALUE"""),"Calle 200 no. 22b - 645  / Apto 1502 / Floridablanca")</f>
        <v>Calle 200 no. 22b - 645  / Apto 1502 / Floridablanca</v>
      </c>
      <c r="G3807" s="15" t="str">
        <f>IFERROR(__xludf.DUMMYFUNCTION("""COMPUTED_VALUE"""),"Genny Mora")</f>
        <v>Genny Mora</v>
      </c>
      <c r="H3807" s="16">
        <f>IFERROR(__xludf.DUMMYFUNCTION("""COMPUTED_VALUE"""),12337.0)</f>
        <v>12337</v>
      </c>
      <c r="I3807" s="18">
        <f>IFERROR(__xludf.DUMMYFUNCTION("""COMPUTED_VALUE"""),19.0)</f>
        <v>19</v>
      </c>
      <c r="J3807" s="18">
        <f>IFERROR(__xludf.DUMMYFUNCTION("""COMPUTED_VALUE"""),10.0)</f>
        <v>10</v>
      </c>
      <c r="K3807" s="18">
        <f>IFERROR(__xludf.DUMMYFUNCTION("""COMPUTED_VALUE"""),16.0)</f>
        <v>16</v>
      </c>
      <c r="L3807" s="17">
        <f>IFERROR(__xludf.DUMMYFUNCTION("""COMPUTED_VALUE"""),3.10265073E9)</f>
        <v>3102650730</v>
      </c>
      <c r="M3807" s="17" t="str">
        <f>IFERROR(__xludf.DUMMYFUNCTION("""COMPUTED_VALUE"""),"#REF!")</f>
        <v>#REF!</v>
      </c>
      <c r="N3807" s="17"/>
      <c r="O3807" s="17"/>
      <c r="P3807" s="17" t="b">
        <f>IFERROR(__xludf.DUMMYFUNCTION("""COMPUTED_VALUE"""),FALSE)</f>
        <v>0</v>
      </c>
      <c r="Q3807" s="20" t="str">
        <f>IFERROR(__xludf.DUMMYFUNCTION("""COMPUTED_VALUE"""),"")</f>
        <v/>
      </c>
      <c r="R3807" s="21" t="str">
        <f>IFERROR(__xludf.DUMMYFUNCTION("""COMPUTED_VALUE"""),"https://drive.google.com/file/d/1oCpgFGnSr1f6H2IcBpqmkDaWo7Ko6CQi/view?usp=drivesdk")</f>
        <v>https://drive.google.com/file/d/1oCpgFGnSr1f6H2IcBpqmkDaWo7Ko6CQi/view?usp=drivesdk</v>
      </c>
    </row>
    <row r="3808">
      <c r="A3808" s="15">
        <f>IFERROR(__xludf.DUMMYFUNCTION("""COMPUTED_VALUE"""),45112.0)</f>
        <v>45112</v>
      </c>
      <c r="B3808" s="16" t="str">
        <f>IFERROR(__xludf.DUMMYFUNCTION("""COMPUTED_VALUE"""),"José Miguel Bonilla")</f>
        <v>José Miguel Bonilla</v>
      </c>
      <c r="C3808" s="15" t="str">
        <f>IFERROR(__xludf.DUMMYFUNCTION("""COMPUTED_VALUE"""),"FLORIDABLANCA")</f>
        <v>FLORIDABLANCA</v>
      </c>
      <c r="D3808" s="15" t="str">
        <f>IFERROR(__xludf.DUMMYFUNCTION("""COMPUTED_VALUE"""),"BOGOTÁ")</f>
        <v>BOGOTÁ</v>
      </c>
      <c r="E3808" s="15" t="str">
        <f>IFERROR(__xludf.DUMMYFUNCTION("""COMPUTED_VALUE"""),"Top Spun")</f>
        <v>Top Spun</v>
      </c>
      <c r="F3808" s="17" t="str">
        <f>IFERROR(__xludf.DUMMYFUNCTION("""COMPUTED_VALUE"""),"Calle 200 no. 13-36 / Edifício montesol apto 1302 / Floridablanca	")</f>
        <v>Calle 200 no. 13-36 / Edifício montesol apto 1302 / Floridablanca	</v>
      </c>
      <c r="G3808" s="15" t="str">
        <f>IFERROR(__xludf.DUMMYFUNCTION("""COMPUTED_VALUE"""),"Yulie andrea Toloza carrillo")</f>
        <v>Yulie andrea Toloza carrillo</v>
      </c>
      <c r="H3808" s="16">
        <f>IFERROR(__xludf.DUMMYFUNCTION("""COMPUTED_VALUE"""),12276.0)</f>
        <v>12276</v>
      </c>
      <c r="I3808" s="18">
        <f>IFERROR(__xludf.DUMMYFUNCTION("""COMPUTED_VALUE"""),20.0)</f>
        <v>20</v>
      </c>
      <c r="J3808" s="18">
        <f>IFERROR(__xludf.DUMMYFUNCTION("""COMPUTED_VALUE"""),10.0)</f>
        <v>10</v>
      </c>
      <c r="K3808" s="18">
        <f>IFERROR(__xludf.DUMMYFUNCTION("""COMPUTED_VALUE"""),40.0)</f>
        <v>40</v>
      </c>
      <c r="L3808" s="17">
        <f>IFERROR(__xludf.DUMMYFUNCTION("""COMPUTED_VALUE"""),3.186264771E9)</f>
        <v>3186264771</v>
      </c>
      <c r="M3808" s="17" t="str">
        <f>IFERROR(__xludf.DUMMYFUNCTION("""COMPUTED_VALUE"""),"#REF!")</f>
        <v>#REF!</v>
      </c>
      <c r="N3808" s="17"/>
      <c r="O3808" s="17"/>
      <c r="P3808" s="17" t="b">
        <f>IFERROR(__xludf.DUMMYFUNCTION("""COMPUTED_VALUE"""),FALSE)</f>
        <v>0</v>
      </c>
      <c r="Q3808" s="20" t="str">
        <f>IFERROR(__xludf.DUMMYFUNCTION("""COMPUTED_VALUE"""),"")</f>
        <v/>
      </c>
      <c r="R3808" s="21" t="str">
        <f>IFERROR(__xludf.DUMMYFUNCTION("""COMPUTED_VALUE"""),"https://drive.google.com/file/d/12Kpn83IjJN6R2-xEhjQ_9dHrch7Mz_bx/view?usp=drivesdk")</f>
        <v>https://drive.google.com/file/d/12Kpn83IjJN6R2-xEhjQ_9dHrch7Mz_bx/view?usp=drivesdk</v>
      </c>
    </row>
    <row r="3809">
      <c r="A3809" s="15">
        <f>IFERROR(__xludf.DUMMYFUNCTION("""COMPUTED_VALUE"""),45112.0)</f>
        <v>45112</v>
      </c>
      <c r="B3809" s="16" t="str">
        <f>IFERROR(__xludf.DUMMYFUNCTION("""COMPUTED_VALUE"""),"José Miguel Bonilla")</f>
        <v>José Miguel Bonilla</v>
      </c>
      <c r="C3809" s="15" t="str">
        <f>IFERROR(__xludf.DUMMYFUNCTION("""COMPUTED_VALUE"""),"FLORIDABLANCA")</f>
        <v>FLORIDABLANCA</v>
      </c>
      <c r="D3809" s="15" t="str">
        <f>IFERROR(__xludf.DUMMYFUNCTION("""COMPUTED_VALUE"""),"BOGOTÁ")</f>
        <v>BOGOTÁ</v>
      </c>
      <c r="E3809" s="15" t="str">
        <f>IFERROR(__xludf.DUMMYFUNCTION("""COMPUTED_VALUE"""),"Top Spun")</f>
        <v>Top Spun</v>
      </c>
      <c r="F3809" s="17" t="str">
        <f>IFERROR(__xludf.DUMMYFUNCTION("""COMPUTED_VALUE"""),"CRR 20 # 158 - 40 / TORRE 2 APTO 802 UNIDAD RESIDENCIAL MAKADAMIA / FLORIDABLANCA SANTANDER")</f>
        <v>CRR 20 # 158 - 40 / TORRE 2 APTO 802 UNIDAD RESIDENCIAL MAKADAMIA / FLORIDABLANCA SANTANDER</v>
      </c>
      <c r="G3809" s="15" t="str">
        <f>IFERROR(__xludf.DUMMYFUNCTION("""COMPUTED_VALUE"""),"MARIA CAMILA GARCES")</f>
        <v>MARIA CAMILA GARCES</v>
      </c>
      <c r="H3809" s="16">
        <f>IFERROR(__xludf.DUMMYFUNCTION("""COMPUTED_VALUE"""),12245.0)</f>
        <v>12245</v>
      </c>
      <c r="I3809" s="18">
        <f>IFERROR(__xludf.DUMMYFUNCTION("""COMPUTED_VALUE"""),20.0)</f>
        <v>20</v>
      </c>
      <c r="J3809" s="18">
        <f>IFERROR(__xludf.DUMMYFUNCTION("""COMPUTED_VALUE"""),10.0)</f>
        <v>10</v>
      </c>
      <c r="K3809" s="18">
        <f>IFERROR(__xludf.DUMMYFUNCTION("""COMPUTED_VALUE"""),40.0)</f>
        <v>40</v>
      </c>
      <c r="L3809" s="17">
        <f>IFERROR(__xludf.DUMMYFUNCTION("""COMPUTED_VALUE"""),3.002331575E9)</f>
        <v>3002331575</v>
      </c>
      <c r="M3809" s="17" t="str">
        <f>IFERROR(__xludf.DUMMYFUNCTION("""COMPUTED_VALUE"""),"#REF!")</f>
        <v>#REF!</v>
      </c>
      <c r="N3809" s="17"/>
      <c r="O3809" s="17"/>
      <c r="P3809" s="17" t="b">
        <f>IFERROR(__xludf.DUMMYFUNCTION("""COMPUTED_VALUE"""),FALSE)</f>
        <v>0</v>
      </c>
      <c r="Q3809" s="20" t="str">
        <f>IFERROR(__xludf.DUMMYFUNCTION("""COMPUTED_VALUE"""),"")</f>
        <v/>
      </c>
      <c r="R3809" s="21" t="str">
        <f>IFERROR(__xludf.DUMMYFUNCTION("""COMPUTED_VALUE"""),"https://drive.google.com/file/d/1df8JVsBG-gfT_nANoiChplmjgCjxepZj/view?usp=drivesdk")</f>
        <v>https://drive.google.com/file/d/1df8JVsBG-gfT_nANoiChplmjgCjxepZj/view?usp=drivesdk</v>
      </c>
    </row>
    <row r="3810">
      <c r="A3810" s="15">
        <f>IFERROR(__xludf.DUMMYFUNCTION("""COMPUTED_VALUE"""),45112.0)</f>
        <v>45112</v>
      </c>
      <c r="B3810" s="16" t="str">
        <f>IFERROR(__xludf.DUMMYFUNCTION("""COMPUTED_VALUE"""),"José Miguel Bonilla")</f>
        <v>José Miguel Bonilla</v>
      </c>
      <c r="C3810" s="15" t="str">
        <f>IFERROR(__xludf.DUMMYFUNCTION("""COMPUTED_VALUE"""),"GIRÓN")</f>
        <v>GIRÓN</v>
      </c>
      <c r="D3810" s="15" t="str">
        <f>IFERROR(__xludf.DUMMYFUNCTION("""COMPUTED_VALUE"""),"BOGOTÁ")</f>
        <v>BOGOTÁ</v>
      </c>
      <c r="E3810" s="15" t="str">
        <f>IFERROR(__xludf.DUMMYFUNCTION("""COMPUTED_VALUE"""),"Evamazzita")</f>
        <v>Evamazzita</v>
      </c>
      <c r="F3810" s="17" t="str">
        <f>IFERROR(__xludf.DUMMYFUNCTION("""COMPUTED_VALUE"""),"Calle 37 #23- 105  / piso 2  / Barrio Poblado")</f>
        <v>Calle 37 #23- 105  / piso 2  / Barrio Poblado</v>
      </c>
      <c r="G3810" s="15" t="str">
        <f>IFERROR(__xludf.DUMMYFUNCTION("""COMPUTED_VALUE"""),"YESENIA RODRIGUEZ")</f>
        <v>YESENIA RODRIGUEZ</v>
      </c>
      <c r="H3810" s="16">
        <f>IFERROR(__xludf.DUMMYFUNCTION("""COMPUTED_VALUE"""),12299.0)</f>
        <v>12299</v>
      </c>
      <c r="I3810" s="18">
        <f>IFERROR(__xludf.DUMMYFUNCTION("""COMPUTED_VALUE"""),1.0)</f>
        <v>1</v>
      </c>
      <c r="J3810" s="18">
        <f>IFERROR(__xludf.DUMMYFUNCTION("""COMPUTED_VALUE"""),1.0)</f>
        <v>1</v>
      </c>
      <c r="K3810" s="18">
        <f>IFERROR(__xludf.DUMMYFUNCTION("""COMPUTED_VALUE"""),1.0)</f>
        <v>1</v>
      </c>
      <c r="L3810" s="17">
        <f>IFERROR(__xludf.DUMMYFUNCTION("""COMPUTED_VALUE"""),3.157756829E9)</f>
        <v>3157756829</v>
      </c>
      <c r="M3810" s="17" t="str">
        <f>IFERROR(__xludf.DUMMYFUNCTION("""COMPUTED_VALUE"""),"#REF!")</f>
        <v>#REF!</v>
      </c>
      <c r="N3810" s="17"/>
      <c r="O3810" s="17"/>
      <c r="P3810" s="17" t="b">
        <f>IFERROR(__xludf.DUMMYFUNCTION("""COMPUTED_VALUE"""),FALSE)</f>
        <v>0</v>
      </c>
      <c r="Q3810" s="20" t="str">
        <f>IFERROR(__xludf.DUMMYFUNCTION("""COMPUTED_VALUE"""),"")</f>
        <v/>
      </c>
      <c r="R3810" s="21" t="str">
        <f>IFERROR(__xludf.DUMMYFUNCTION("""COMPUTED_VALUE"""),"https://drive.google.com/file/d/1X7BWAT2WFMzBHleOCtxoprDQf5cpISsR/view?usp=drivesdk")</f>
        <v>https://drive.google.com/file/d/1X7BWAT2WFMzBHleOCtxoprDQf5cpISsR/view?usp=drivesdk</v>
      </c>
    </row>
    <row r="3811">
      <c r="A3811" s="15">
        <f>IFERROR(__xludf.DUMMYFUNCTION("""COMPUTED_VALUE"""),45112.0)</f>
        <v>45112</v>
      </c>
      <c r="B3811" s="16" t="str">
        <f>IFERROR(__xludf.DUMMYFUNCTION("""COMPUTED_VALUE"""),"José Miguel Bonilla")</f>
        <v>José Miguel Bonilla</v>
      </c>
      <c r="C3811" s="15" t="str">
        <f>IFERROR(__xludf.DUMMYFUNCTION("""COMPUTED_VALUE"""),"GIRÓN")</f>
        <v>GIRÓN</v>
      </c>
      <c r="D3811" s="15" t="str">
        <f>IFERROR(__xludf.DUMMYFUNCTION("""COMPUTED_VALUE"""),"BOGOTÁ")</f>
        <v>BOGOTÁ</v>
      </c>
      <c r="E3811" s="15" t="str">
        <f>IFERROR(__xludf.DUMMYFUNCTION("""COMPUTED_VALUE"""),"Evamazzita")</f>
        <v>Evamazzita</v>
      </c>
      <c r="F3811" s="17" t="str">
        <f>IFERROR(__xludf.DUMMYFUNCTION("""COMPUTED_VALUE"""),"Cra 11 c # 11 03  / puerto viento torre 4 apto 805  / prados de Cataluña")</f>
        <v>Cra 11 c # 11 03  / puerto viento torre 4 apto 805  / prados de Cataluña</v>
      </c>
      <c r="G3811" s="15" t="str">
        <f>IFERROR(__xludf.DUMMYFUNCTION("""COMPUTED_VALUE"""),"BELKIS ROCIO GAMBOA AGUDELO")</f>
        <v>BELKIS ROCIO GAMBOA AGUDELO</v>
      </c>
      <c r="H3811" s="16">
        <f>IFERROR(__xludf.DUMMYFUNCTION("""COMPUTED_VALUE"""),12298.0)</f>
        <v>12298</v>
      </c>
      <c r="I3811" s="18">
        <f>IFERROR(__xludf.DUMMYFUNCTION("""COMPUTED_VALUE"""),1.0)</f>
        <v>1</v>
      </c>
      <c r="J3811" s="18">
        <f>IFERROR(__xludf.DUMMYFUNCTION("""COMPUTED_VALUE"""),1.0)</f>
        <v>1</v>
      </c>
      <c r="K3811" s="18">
        <f>IFERROR(__xludf.DUMMYFUNCTION("""COMPUTED_VALUE"""),1.0)</f>
        <v>1</v>
      </c>
      <c r="L3811" s="17">
        <f>IFERROR(__xludf.DUMMYFUNCTION("""COMPUTED_VALUE"""),3.004212712E9)</f>
        <v>3004212712</v>
      </c>
      <c r="M3811" s="17" t="str">
        <f>IFERROR(__xludf.DUMMYFUNCTION("""COMPUTED_VALUE"""),"#REF!")</f>
        <v>#REF!</v>
      </c>
      <c r="N3811" s="17"/>
      <c r="O3811" s="17"/>
      <c r="P3811" s="17" t="b">
        <f>IFERROR(__xludf.DUMMYFUNCTION("""COMPUTED_VALUE"""),FALSE)</f>
        <v>0</v>
      </c>
      <c r="Q3811" s="20" t="str">
        <f>IFERROR(__xludf.DUMMYFUNCTION("""COMPUTED_VALUE"""),"")</f>
        <v/>
      </c>
      <c r="R3811" s="21" t="str">
        <f>IFERROR(__xludf.DUMMYFUNCTION("""COMPUTED_VALUE"""),"https://drive.google.com/file/d/1IYQCNKmQuGSIMsLGZA3qTmYQWUzwCOye/view?usp=drivesdk")</f>
        <v>https://drive.google.com/file/d/1IYQCNKmQuGSIMsLGZA3qTmYQWUzwCOye/view?usp=drivesdk</v>
      </c>
    </row>
    <row r="3812">
      <c r="A3812" s="15">
        <f>IFERROR(__xludf.DUMMYFUNCTION("""COMPUTED_VALUE"""),45112.0)</f>
        <v>45112</v>
      </c>
      <c r="B3812" s="16" t="str">
        <f>IFERROR(__xludf.DUMMYFUNCTION("""COMPUTED_VALUE"""),"José Miguel Bonilla")</f>
        <v>José Miguel Bonilla</v>
      </c>
      <c r="C3812" s="15" t="str">
        <f>IFERROR(__xludf.DUMMYFUNCTION("""COMPUTED_VALUE"""),"PEREIRA")</f>
        <v>PEREIRA</v>
      </c>
      <c r="D3812" s="15" t="str">
        <f>IFERROR(__xludf.DUMMYFUNCTION("""COMPUTED_VALUE"""),"MEDELLÍN")</f>
        <v>MEDELLÍN</v>
      </c>
      <c r="E3812" s="15" t="str">
        <f>IFERROR(__xludf.DUMMYFUNCTION("""COMPUTED_VALUE"""),"Rambla")</f>
        <v>Rambla</v>
      </c>
      <c r="F3812" s="17" t="str">
        <f>IFERROR(__xludf.DUMMYFUNCTION("""COMPUTED_VALUE"""),"CARRERA 14 -12-55 / NA / NA")</f>
        <v>CARRERA 14 -12-55 / NA / NA</v>
      </c>
      <c r="G3812" s="15" t="str">
        <f>IFERROR(__xludf.DUMMYFUNCTION("""COMPUTED_VALUE"""),"Vita eco")</f>
        <v>Vita eco</v>
      </c>
      <c r="H3812" s="16">
        <f>IFERROR(__xludf.DUMMYFUNCTION("""COMPUTED_VALUE"""),12332.0)</f>
        <v>12332</v>
      </c>
      <c r="I3812" s="18">
        <f>IFERROR(__xludf.DUMMYFUNCTION("""COMPUTED_VALUE"""),28.0)</f>
        <v>28</v>
      </c>
      <c r="J3812" s="18">
        <f>IFERROR(__xludf.DUMMYFUNCTION("""COMPUTED_VALUE"""),30.0)</f>
        <v>30</v>
      </c>
      <c r="K3812" s="18">
        <f>IFERROR(__xludf.DUMMYFUNCTION("""COMPUTED_VALUE"""),35.0)</f>
        <v>35</v>
      </c>
      <c r="L3812" s="17">
        <f>IFERROR(__xludf.DUMMYFUNCTION("""COMPUTED_VALUE"""),3.215501948E9)</f>
        <v>3215501948</v>
      </c>
      <c r="M3812" s="17" t="str">
        <f>IFERROR(__xludf.DUMMYFUNCTION("""COMPUTED_VALUE"""),"#REF!")</f>
        <v>#REF!</v>
      </c>
      <c r="N3812" s="17"/>
      <c r="O3812" s="17"/>
      <c r="P3812" s="17" t="b">
        <f>IFERROR(__xludf.DUMMYFUNCTION("""COMPUTED_VALUE"""),FALSE)</f>
        <v>0</v>
      </c>
      <c r="Q3812" s="20" t="str">
        <f>IFERROR(__xludf.DUMMYFUNCTION("""COMPUTED_VALUE"""),"")</f>
        <v/>
      </c>
      <c r="R3812" s="21" t="str">
        <f>IFERROR(__xludf.DUMMYFUNCTION("""COMPUTED_VALUE"""),"https://drive.google.com/file/d/1TU1Bbqq3w-zBKwmPJhcASXAPBiw5ltIO/view?usp=drivesdk")</f>
        <v>https://drive.google.com/file/d/1TU1Bbqq3w-zBKwmPJhcASXAPBiw5ltIO/view?usp=drivesdk</v>
      </c>
    </row>
    <row r="3813">
      <c r="A3813" s="15">
        <f>IFERROR(__xludf.DUMMYFUNCTION("""COMPUTED_VALUE"""),45112.0)</f>
        <v>45112</v>
      </c>
      <c r="B3813" s="16" t="str">
        <f>IFERROR(__xludf.DUMMYFUNCTION("""COMPUTED_VALUE"""),"José Miguel Bonilla")</f>
        <v>José Miguel Bonilla</v>
      </c>
      <c r="C3813" s="15" t="str">
        <f>IFERROR(__xludf.DUMMYFUNCTION("""COMPUTED_VALUE"""),"PEREIRA")</f>
        <v>PEREIRA</v>
      </c>
      <c r="D3813" s="15" t="str">
        <f>IFERROR(__xludf.DUMMYFUNCTION("""COMPUTED_VALUE"""),"MEDELLÍN")</f>
        <v>MEDELLÍN</v>
      </c>
      <c r="E3813" s="15" t="str">
        <f>IFERROR(__xludf.DUMMYFUNCTION("""COMPUTED_VALUE"""),"Rambla")</f>
        <v>Rambla</v>
      </c>
      <c r="F3813" s="17" t="str">
        <f>IFERROR(__xludf.DUMMYFUNCTION("""COMPUTED_VALUE"""),"Cra 23 14 148 Trilogia apto 1505 torre1 -  Pereira. / NA / NA")</f>
        <v>Cra 23 14 148 Trilogia apto 1505 torre1 -  Pereira. / NA / NA</v>
      </c>
      <c r="G3813" s="15" t="str">
        <f>IFERROR(__xludf.DUMMYFUNCTION("""COMPUTED_VALUE"""),"Nutrishop")</f>
        <v>Nutrishop</v>
      </c>
      <c r="H3813" s="16">
        <f>IFERROR(__xludf.DUMMYFUNCTION("""COMPUTED_VALUE"""),12330.0)</f>
        <v>12330</v>
      </c>
      <c r="I3813" s="18">
        <f>IFERROR(__xludf.DUMMYFUNCTION("""COMPUTED_VALUE"""),22.0)</f>
        <v>22</v>
      </c>
      <c r="J3813" s="18">
        <f>IFERROR(__xludf.DUMMYFUNCTION("""COMPUTED_VALUE"""),24.0)</f>
        <v>24</v>
      </c>
      <c r="K3813" s="18">
        <f>IFERROR(__xludf.DUMMYFUNCTION("""COMPUTED_VALUE"""),26.0)</f>
        <v>26</v>
      </c>
      <c r="L3813" s="17">
        <f>IFERROR(__xludf.DUMMYFUNCTION("""COMPUTED_VALUE"""),3.10379892E9)</f>
        <v>3103798920</v>
      </c>
      <c r="M3813" s="17" t="str">
        <f>IFERROR(__xludf.DUMMYFUNCTION("""COMPUTED_VALUE"""),"#REF!")</f>
        <v>#REF!</v>
      </c>
      <c r="N3813" s="17"/>
      <c r="O3813" s="17"/>
      <c r="P3813" s="17" t="b">
        <f>IFERROR(__xludf.DUMMYFUNCTION("""COMPUTED_VALUE"""),FALSE)</f>
        <v>0</v>
      </c>
      <c r="Q3813" s="20" t="str">
        <f>IFERROR(__xludf.DUMMYFUNCTION("""COMPUTED_VALUE"""),"")</f>
        <v/>
      </c>
      <c r="R3813" s="21" t="str">
        <f>IFERROR(__xludf.DUMMYFUNCTION("""COMPUTED_VALUE"""),"https://drive.google.com/file/d/1kMByDMLe-ZEaZQq2na9akyDJ_c9m8P8F/view?usp=drivesdk")</f>
        <v>https://drive.google.com/file/d/1kMByDMLe-ZEaZQq2na9akyDJ_c9m8P8F/view?usp=drivesdk</v>
      </c>
    </row>
    <row r="3814">
      <c r="A3814" s="15">
        <f>IFERROR(__xludf.DUMMYFUNCTION("""COMPUTED_VALUE"""),45112.0)</f>
        <v>45112</v>
      </c>
      <c r="B3814" s="16" t="str">
        <f>IFERROR(__xludf.DUMMYFUNCTION("""COMPUTED_VALUE"""),"José Miguel Bonilla")</f>
        <v>José Miguel Bonilla</v>
      </c>
      <c r="C3814" s="15" t="str">
        <f>IFERROR(__xludf.DUMMYFUNCTION("""COMPUTED_VALUE"""),"PIEDECUESTA")</f>
        <v>PIEDECUESTA</v>
      </c>
      <c r="D3814" s="15" t="str">
        <f>IFERROR(__xludf.DUMMYFUNCTION("""COMPUTED_VALUE"""),"BOGOTÁ")</f>
        <v>BOGOTÁ</v>
      </c>
      <c r="E3814" s="15" t="str">
        <f>IFERROR(__xludf.DUMMYFUNCTION("""COMPUTED_VALUE"""),"Evamazzita")</f>
        <v>Evamazzita</v>
      </c>
      <c r="F3814" s="17" t="str">
        <f>IFERROR(__xludf.DUMMYFUNCTION("""COMPUTED_VALUE"""),"CARRERA 4 # 1 E - 31  / TORRE 1 APTO. 204  / TORRES DE CAMPO VERDE")</f>
        <v>CARRERA 4 # 1 E - 31  / TORRE 1 APTO. 204  / TORRES DE CAMPO VERDE</v>
      </c>
      <c r="G3814" s="15" t="str">
        <f>IFERROR(__xludf.DUMMYFUNCTION("""COMPUTED_VALUE"""),"LINA MARIA RINCON BARRERA")</f>
        <v>LINA MARIA RINCON BARRERA</v>
      </c>
      <c r="H3814" s="16">
        <f>IFERROR(__xludf.DUMMYFUNCTION("""COMPUTED_VALUE"""),12305.0)</f>
        <v>12305</v>
      </c>
      <c r="I3814" s="18">
        <f>IFERROR(__xludf.DUMMYFUNCTION("""COMPUTED_VALUE"""),1.0)</f>
        <v>1</v>
      </c>
      <c r="J3814" s="18">
        <f>IFERROR(__xludf.DUMMYFUNCTION("""COMPUTED_VALUE"""),1.0)</f>
        <v>1</v>
      </c>
      <c r="K3814" s="18">
        <f>IFERROR(__xludf.DUMMYFUNCTION("""COMPUTED_VALUE"""),1.0)</f>
        <v>1</v>
      </c>
      <c r="L3814" s="17">
        <f>IFERROR(__xludf.DUMMYFUNCTION("""COMPUTED_VALUE"""),3.173720489E9)</f>
        <v>3173720489</v>
      </c>
      <c r="M3814" s="17" t="str">
        <f>IFERROR(__xludf.DUMMYFUNCTION("""COMPUTED_VALUE"""),"#REF!")</f>
        <v>#REF!</v>
      </c>
      <c r="N3814" s="17"/>
      <c r="O3814" s="17"/>
      <c r="P3814" s="17" t="b">
        <f>IFERROR(__xludf.DUMMYFUNCTION("""COMPUTED_VALUE"""),FALSE)</f>
        <v>0</v>
      </c>
      <c r="Q3814" s="20" t="str">
        <f>IFERROR(__xludf.DUMMYFUNCTION("""COMPUTED_VALUE"""),"")</f>
        <v/>
      </c>
      <c r="R3814" s="21" t="str">
        <f>IFERROR(__xludf.DUMMYFUNCTION("""COMPUTED_VALUE"""),"https://drive.google.com/file/d/1RMvMUHTLeAEYEjw9IbaI9-lJzFc6JGHM/view?usp=drivesdk")</f>
        <v>https://drive.google.com/file/d/1RMvMUHTLeAEYEjw9IbaI9-lJzFc6JGHM/view?usp=drivesdk</v>
      </c>
    </row>
    <row r="3815">
      <c r="A3815" s="17" t="str">
        <f>IFERROR(__xludf.DUMMYFUNCTION("""COMPUTED_VALUE"""),"")</f>
        <v/>
      </c>
      <c r="B3815" s="17" t="str">
        <f>IFERROR(__xludf.DUMMYFUNCTION("""COMPUTED_VALUE"""),"")</f>
        <v/>
      </c>
      <c r="C3815" s="17" t="str">
        <f>IFERROR(__xludf.DUMMYFUNCTION("""COMPUTED_VALUE"""),"")</f>
        <v/>
      </c>
      <c r="D3815" s="17" t="str">
        <f>IFERROR(__xludf.DUMMYFUNCTION("""COMPUTED_VALUE"""),"")</f>
        <v/>
      </c>
      <c r="E3815" s="17" t="str">
        <f>IFERROR(__xludf.DUMMYFUNCTION("""COMPUTED_VALUE"""),"")</f>
        <v/>
      </c>
      <c r="F3815" s="17" t="str">
        <f>IFERROR(__xludf.DUMMYFUNCTION("""COMPUTED_VALUE"""),"")</f>
        <v/>
      </c>
      <c r="G3815" s="17" t="str">
        <f>IFERROR(__xludf.DUMMYFUNCTION("""COMPUTED_VALUE"""),"")</f>
        <v/>
      </c>
      <c r="H3815" s="17" t="str">
        <f>IFERROR(__xludf.DUMMYFUNCTION("""COMPUTED_VALUE"""),"")</f>
        <v/>
      </c>
      <c r="I3815" s="17" t="str">
        <f>IFERROR(__xludf.DUMMYFUNCTION("""COMPUTED_VALUE"""),"")</f>
        <v/>
      </c>
      <c r="J3815" s="17" t="str">
        <f>IFERROR(__xludf.DUMMYFUNCTION("""COMPUTED_VALUE"""),"")</f>
        <v/>
      </c>
      <c r="K3815" s="17" t="str">
        <f>IFERROR(__xludf.DUMMYFUNCTION("""COMPUTED_VALUE"""),"")</f>
        <v/>
      </c>
      <c r="L3815" s="17" t="str">
        <f>IFERROR(__xludf.DUMMYFUNCTION("""COMPUTED_VALUE"""),"")</f>
        <v/>
      </c>
      <c r="M3815" s="17" t="str">
        <f>IFERROR(__xludf.DUMMYFUNCTION("""COMPUTED_VALUE"""),"")</f>
        <v/>
      </c>
      <c r="N3815" s="17" t="str">
        <f>IFERROR(__xludf.DUMMYFUNCTION("""COMPUTED_VALUE"""),"")</f>
        <v/>
      </c>
      <c r="O3815" s="17" t="str">
        <f>IFERROR(__xludf.DUMMYFUNCTION("""COMPUTED_VALUE"""),"")</f>
        <v/>
      </c>
      <c r="P3815" s="17" t="str">
        <f>IFERROR(__xludf.DUMMYFUNCTION("""COMPUTED_VALUE"""),"")</f>
        <v/>
      </c>
      <c r="Q3815" s="17" t="str">
        <f>IFERROR(__xludf.DUMMYFUNCTION("""COMPUTED_VALUE"""),"")</f>
        <v/>
      </c>
      <c r="R3815" s="17" t="str">
        <f>IFERROR(__xludf.DUMMYFUNCTION("""COMPUTED_VALUE"""),"")</f>
        <v/>
      </c>
    </row>
    <row r="3816">
      <c r="A3816" s="15">
        <f>IFERROR(__xludf.DUMMYFUNCTION("""COMPUTED_VALUE"""),45112.0)</f>
        <v>45112</v>
      </c>
      <c r="B3816" s="16" t="str">
        <f>IFERROR(__xludf.DUMMYFUNCTION("""COMPUTED_VALUE"""),"Oscar Augusto Meneses Osias")</f>
        <v>Oscar Augusto Meneses Osias</v>
      </c>
      <c r="C3816" s="15" t="str">
        <f>IFERROR(__xludf.DUMMYFUNCTION("""COMPUTED_VALUE"""),"MEDELLÍN")</f>
        <v>MEDELLÍN</v>
      </c>
      <c r="D3816" s="15" t="str">
        <f>IFERROR(__xludf.DUMMYFUNCTION("""COMPUTED_VALUE"""),"BOGOTÁ")</f>
        <v>BOGOTÁ</v>
      </c>
      <c r="E3816" s="15" t="str">
        <f>IFERROR(__xludf.DUMMYFUNCTION("""COMPUTED_VALUE"""),"Asociacion Agropecuaria Juana Maria")</f>
        <v>Asociacion Agropecuaria Juana Maria</v>
      </c>
      <c r="F3816" s="17" t="str">
        <f>IFERROR(__xludf.DUMMYFUNCTION("""COMPUTED_VALUE"""),"Carrera 15 BA # 30D-44 int 201")</f>
        <v>Carrera 15 BA # 30D-44 int 201</v>
      </c>
      <c r="G3816" s="15" t="str">
        <f>IFERROR(__xludf.DUMMYFUNCTION("""COMPUTED_VALUE"""),"Daniela Bedoya Blandon")</f>
        <v>Daniela Bedoya Blandon</v>
      </c>
      <c r="H3816" s="16">
        <f>IFERROR(__xludf.DUMMYFUNCTION("""COMPUTED_VALUE"""),12253.0)</f>
        <v>12253</v>
      </c>
      <c r="I3816" s="18">
        <f>IFERROR(__xludf.DUMMYFUNCTION("""COMPUTED_VALUE"""),21.0)</f>
        <v>21</v>
      </c>
      <c r="J3816" s="18">
        <f>IFERROR(__xludf.DUMMYFUNCTION("""COMPUTED_VALUE"""),37.0)</f>
        <v>37</v>
      </c>
      <c r="K3816" s="18">
        <f>IFERROR(__xludf.DUMMYFUNCTION("""COMPUTED_VALUE"""),30.0)</f>
        <v>30</v>
      </c>
      <c r="L3816" s="17">
        <f>IFERROR(__xludf.DUMMYFUNCTION("""COMPUTED_VALUE"""),3.14672822E9)</f>
        <v>3146728220</v>
      </c>
      <c r="M3816" s="17" t="str">
        <f>IFERROR(__xludf.DUMMYFUNCTION("""COMPUTED_VALUE"""),"#REF!")</f>
        <v>#REF!</v>
      </c>
      <c r="N3816" s="17"/>
      <c r="O3816" s="17"/>
      <c r="P3816" s="17" t="b">
        <f>IFERROR(__xludf.DUMMYFUNCTION("""COMPUTED_VALUE"""),FALSE)</f>
        <v>0</v>
      </c>
      <c r="Q3816" s="20" t="str">
        <f>IFERROR(__xludf.DUMMYFUNCTION("""COMPUTED_VALUE"""),"")</f>
        <v/>
      </c>
      <c r="R3816" s="22" t="str">
        <f>IFERROR(__xludf.DUMMYFUNCTION("""COMPUTED_VALUE"""),"")</f>
        <v/>
      </c>
    </row>
    <row r="3817">
      <c r="A3817" s="15">
        <f>IFERROR(__xludf.DUMMYFUNCTION("""COMPUTED_VALUE"""),45112.0)</f>
        <v>45112</v>
      </c>
      <c r="B3817" s="16" t="str">
        <f>IFERROR(__xludf.DUMMYFUNCTION("""COMPUTED_VALUE"""),"Oscar Augusto Meneses Osias")</f>
        <v>Oscar Augusto Meneses Osias</v>
      </c>
      <c r="C3817" s="15" t="str">
        <f>IFERROR(__xludf.DUMMYFUNCTION("""COMPUTED_VALUE"""),"MEDELLÍN")</f>
        <v>MEDELLÍN</v>
      </c>
      <c r="D3817" s="15" t="str">
        <f>IFERROR(__xludf.DUMMYFUNCTION("""COMPUTED_VALUE"""),"BOGOTÁ")</f>
        <v>BOGOTÁ</v>
      </c>
      <c r="E3817" s="15" t="str">
        <f>IFERROR(__xludf.DUMMYFUNCTION("""COMPUTED_VALUE"""),"Asociacion Agropecuaria Juana Maria")</f>
        <v>Asociacion Agropecuaria Juana Maria</v>
      </c>
      <c r="F381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3817" s="15" t="str">
        <f>IFERROR(__xludf.DUMMYFUNCTION("""COMPUTED_VALUE"""),"Jennifer Sanchez Blandon")</f>
        <v>Jennifer Sanchez Blandon</v>
      </c>
      <c r="H3817" s="16">
        <f>IFERROR(__xludf.DUMMYFUNCTION("""COMPUTED_VALUE"""),12257.0)</f>
        <v>12257</v>
      </c>
      <c r="I3817" s="18">
        <f>IFERROR(__xludf.DUMMYFUNCTION("""COMPUTED_VALUE"""),21.0)</f>
        <v>21</v>
      </c>
      <c r="J3817" s="18">
        <f>IFERROR(__xludf.DUMMYFUNCTION("""COMPUTED_VALUE"""),37.0)</f>
        <v>37</v>
      </c>
      <c r="K3817" s="18">
        <f>IFERROR(__xludf.DUMMYFUNCTION("""COMPUTED_VALUE"""),30.0)</f>
        <v>30</v>
      </c>
      <c r="L3817" s="17">
        <f>IFERROR(__xludf.DUMMYFUNCTION("""COMPUTED_VALUE"""),3.016937674E9)</f>
        <v>3016937674</v>
      </c>
      <c r="M3817" s="17" t="str">
        <f>IFERROR(__xludf.DUMMYFUNCTION("""COMPUTED_VALUE"""),"#REF!")</f>
        <v>#REF!</v>
      </c>
      <c r="N3817" s="17"/>
      <c r="O3817" s="17"/>
      <c r="P3817" s="17" t="b">
        <f>IFERROR(__xludf.DUMMYFUNCTION("""COMPUTED_VALUE"""),FALSE)</f>
        <v>0</v>
      </c>
      <c r="Q3817" s="20" t="str">
        <f>IFERROR(__xludf.DUMMYFUNCTION("""COMPUTED_VALUE"""),"")</f>
        <v/>
      </c>
      <c r="R3817" s="21" t="str">
        <f>IFERROR(__xludf.DUMMYFUNCTION("""COMPUTED_VALUE"""),"https://drive.google.com/file/d/1emkGWF0FTiaDgZwajfqMOvDQVwYUYF1Y/view?usp=drivesdk")</f>
        <v>https://drive.google.com/file/d/1emkGWF0FTiaDgZwajfqMOvDQVwYUYF1Y/view?usp=drivesdk</v>
      </c>
    </row>
    <row r="3818">
      <c r="A3818" s="15">
        <f>IFERROR(__xludf.DUMMYFUNCTION("""COMPUTED_VALUE"""),45112.0)</f>
        <v>45112</v>
      </c>
      <c r="B3818" s="16" t="str">
        <f>IFERROR(__xludf.DUMMYFUNCTION("""COMPUTED_VALUE"""),"Oscar Augusto Meneses Osias")</f>
        <v>Oscar Augusto Meneses Osias</v>
      </c>
      <c r="C3818" s="15" t="str">
        <f>IFERROR(__xludf.DUMMYFUNCTION("""COMPUTED_VALUE"""),"MEDELLÍN")</f>
        <v>MEDELLÍN</v>
      </c>
      <c r="D3818" s="15" t="str">
        <f>IFERROR(__xludf.DUMMYFUNCTION("""COMPUTED_VALUE"""),"BOGOTÁ")</f>
        <v>BOGOTÁ</v>
      </c>
      <c r="E3818" s="15" t="str">
        <f>IFERROR(__xludf.DUMMYFUNCTION("""COMPUTED_VALUE"""),"Asociacion Agropecuaria Juana Maria")</f>
        <v>Asociacion Agropecuaria Juana Maria</v>
      </c>
      <c r="F3818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3818" s="15" t="str">
        <f>IFERROR(__xludf.DUMMYFUNCTION("""COMPUTED_VALUE"""),"Jennifer Sanchez Blandon")</f>
        <v>Jennifer Sanchez Blandon</v>
      </c>
      <c r="H3818" s="16">
        <f>IFERROR(__xludf.DUMMYFUNCTION("""COMPUTED_VALUE"""),12258.0)</f>
        <v>12258</v>
      </c>
      <c r="I3818" s="18">
        <f>IFERROR(__xludf.DUMMYFUNCTION("""COMPUTED_VALUE"""),12.0)</f>
        <v>12</v>
      </c>
      <c r="J3818" s="18">
        <f>IFERROR(__xludf.DUMMYFUNCTION("""COMPUTED_VALUE"""),37.0)</f>
        <v>37</v>
      </c>
      <c r="K3818" s="18">
        <f>IFERROR(__xludf.DUMMYFUNCTION("""COMPUTED_VALUE"""),24.0)</f>
        <v>24</v>
      </c>
      <c r="L3818" s="17">
        <f>IFERROR(__xludf.DUMMYFUNCTION("""COMPUTED_VALUE"""),3.016937674E9)</f>
        <v>3016937674</v>
      </c>
      <c r="M3818" s="17" t="str">
        <f>IFERROR(__xludf.DUMMYFUNCTION("""COMPUTED_VALUE"""),"#REF!")</f>
        <v>#REF!</v>
      </c>
      <c r="N3818" s="17"/>
      <c r="O3818" s="17"/>
      <c r="P3818" s="17" t="b">
        <f>IFERROR(__xludf.DUMMYFUNCTION("""COMPUTED_VALUE"""),FALSE)</f>
        <v>0</v>
      </c>
      <c r="Q3818" s="20" t="str">
        <f>IFERROR(__xludf.DUMMYFUNCTION("""COMPUTED_VALUE"""),"")</f>
        <v/>
      </c>
      <c r="R3818" s="21" t="str">
        <f>IFERROR(__xludf.DUMMYFUNCTION("""COMPUTED_VALUE"""),"https://drive.google.com/file/d/1PWIOco3vbdLN_SKDVOEZJncoXuciWQYA/view?usp=drivesdk")</f>
        <v>https://drive.google.com/file/d/1PWIOco3vbdLN_SKDVOEZJncoXuciWQYA/view?usp=drivesdk</v>
      </c>
    </row>
    <row r="3819">
      <c r="A3819" s="15">
        <f>IFERROR(__xludf.DUMMYFUNCTION("""COMPUTED_VALUE"""),45112.0)</f>
        <v>45112</v>
      </c>
      <c r="B3819" s="16" t="str">
        <f>IFERROR(__xludf.DUMMYFUNCTION("""COMPUTED_VALUE"""),"Oscar Augusto Meneses Osias")</f>
        <v>Oscar Augusto Meneses Osias</v>
      </c>
      <c r="C3819" s="15" t="str">
        <f>IFERROR(__xludf.DUMMYFUNCTION("""COMPUTED_VALUE"""),"MEDELLÍN")</f>
        <v>MEDELLÍN</v>
      </c>
      <c r="D3819" s="15" t="str">
        <f>IFERROR(__xludf.DUMMYFUNCTION("""COMPUTED_VALUE"""),"BOGOTÁ")</f>
        <v>BOGOTÁ</v>
      </c>
      <c r="E3819" s="15" t="str">
        <f>IFERROR(__xludf.DUMMYFUNCTION("""COMPUTED_VALUE"""),"Evamazzita")</f>
        <v>Evamazzita</v>
      </c>
      <c r="F3819" s="17" t="str">
        <f>IFERROR(__xludf.DUMMYFUNCTION("""COMPUTED_VALUE"""),"Calle 100E #78b39 / Calle 100E #78b39 / Barrio 12 de octubre")</f>
        <v>Calle 100E #78b39 / Calle 100E #78b39 / Barrio 12 de octubre</v>
      </c>
      <c r="G3819" s="15" t="str">
        <f>IFERROR(__xludf.DUMMYFUNCTION("""COMPUTED_VALUE"""),"MARIBEL SANCHEZ RESTREPO")</f>
        <v>MARIBEL SANCHEZ RESTREPO</v>
      </c>
      <c r="H3819" s="16">
        <f>IFERROR(__xludf.DUMMYFUNCTION("""COMPUTED_VALUE"""),12313.0)</f>
        <v>12313</v>
      </c>
      <c r="I3819" s="18">
        <f>IFERROR(__xludf.DUMMYFUNCTION("""COMPUTED_VALUE"""),1.0)</f>
        <v>1</v>
      </c>
      <c r="J3819" s="18">
        <f>IFERROR(__xludf.DUMMYFUNCTION("""COMPUTED_VALUE"""),1.0)</f>
        <v>1</v>
      </c>
      <c r="K3819" s="18">
        <f>IFERROR(__xludf.DUMMYFUNCTION("""COMPUTED_VALUE"""),1.0)</f>
        <v>1</v>
      </c>
      <c r="L3819" s="17">
        <f>IFERROR(__xludf.DUMMYFUNCTION("""COMPUTED_VALUE"""),3.207880775E9)</f>
        <v>3207880775</v>
      </c>
      <c r="M3819" s="17" t="str">
        <f>IFERROR(__xludf.DUMMYFUNCTION("""COMPUTED_VALUE"""),"#REF!")</f>
        <v>#REF!</v>
      </c>
      <c r="N3819" s="17"/>
      <c r="O3819" s="17"/>
      <c r="P3819" s="17" t="b">
        <f>IFERROR(__xludf.DUMMYFUNCTION("""COMPUTED_VALUE"""),FALSE)</f>
        <v>0</v>
      </c>
      <c r="Q3819" s="20" t="str">
        <f>IFERROR(__xludf.DUMMYFUNCTION("""COMPUTED_VALUE"""),"")</f>
        <v/>
      </c>
      <c r="R3819" s="21" t="str">
        <f>IFERROR(__xludf.DUMMYFUNCTION("""COMPUTED_VALUE"""),"https://drive.google.com/file/d/1Yk3c07UrRddfDbGx9LEfuT-aiw3HHhHO/view?usp=drivesdk")</f>
        <v>https://drive.google.com/file/d/1Yk3c07UrRddfDbGx9LEfuT-aiw3HHhHO/view?usp=drivesdk</v>
      </c>
    </row>
    <row r="3820">
      <c r="A3820" s="15">
        <f>IFERROR(__xludf.DUMMYFUNCTION("""COMPUTED_VALUE"""),45112.0)</f>
        <v>45112</v>
      </c>
      <c r="B3820" s="16" t="str">
        <f>IFERROR(__xludf.DUMMYFUNCTION("""COMPUTED_VALUE"""),"Oscar Augusto Meneses Osias")</f>
        <v>Oscar Augusto Meneses Osias</v>
      </c>
      <c r="C3820" s="15" t="str">
        <f>IFERROR(__xludf.DUMMYFUNCTION("""COMPUTED_VALUE"""),"MEDELLÍN")</f>
        <v>MEDELLÍN</v>
      </c>
      <c r="D3820" s="15" t="str">
        <f>IFERROR(__xludf.DUMMYFUNCTION("""COMPUTED_VALUE"""),"BOGOTÁ")</f>
        <v>BOGOTÁ</v>
      </c>
      <c r="E3820" s="15" t="str">
        <f>IFERROR(__xludf.DUMMYFUNCTION("""COMPUTED_VALUE"""),"Evamazzita")</f>
        <v>Evamazzita</v>
      </c>
      <c r="F3820" s="17" t="str">
        <f>IFERROR(__xludf.DUMMYFUNCTION("""COMPUTED_VALUE"""),"CALLE 16A No 43B - 126  / APTO 1003 / PARQUES DE VILLA CARLOTA")</f>
        <v>CALLE 16A No 43B - 126  / APTO 1003 / PARQUES DE VILLA CARLOTA</v>
      </c>
      <c r="G3820" s="15" t="str">
        <f>IFERROR(__xludf.DUMMYFUNCTION("""COMPUTED_VALUE"""),"NATASHA SAUNDERS")</f>
        <v>NATASHA SAUNDERS</v>
      </c>
      <c r="H3820" s="16">
        <f>IFERROR(__xludf.DUMMYFUNCTION("""COMPUTED_VALUE"""),12292.0)</f>
        <v>12292</v>
      </c>
      <c r="I3820" s="18">
        <f>IFERROR(__xludf.DUMMYFUNCTION("""COMPUTED_VALUE"""),1.0)</f>
        <v>1</v>
      </c>
      <c r="J3820" s="18">
        <f>IFERROR(__xludf.DUMMYFUNCTION("""COMPUTED_VALUE"""),1.0)</f>
        <v>1</v>
      </c>
      <c r="K3820" s="18">
        <f>IFERROR(__xludf.DUMMYFUNCTION("""COMPUTED_VALUE"""),1.0)</f>
        <v>1</v>
      </c>
      <c r="L3820" s="17">
        <f>IFERROR(__xludf.DUMMYFUNCTION("""COMPUTED_VALUE"""),3.054040457E9)</f>
        <v>3054040457</v>
      </c>
      <c r="M3820" s="17" t="str">
        <f>IFERROR(__xludf.DUMMYFUNCTION("""COMPUTED_VALUE"""),"#REF!")</f>
        <v>#REF!</v>
      </c>
      <c r="N3820" s="17"/>
      <c r="O3820" s="17"/>
      <c r="P3820" s="17" t="b">
        <f>IFERROR(__xludf.DUMMYFUNCTION("""COMPUTED_VALUE"""),FALSE)</f>
        <v>0</v>
      </c>
      <c r="Q3820" s="20" t="str">
        <f>IFERROR(__xludf.DUMMYFUNCTION("""COMPUTED_VALUE"""),"")</f>
        <v/>
      </c>
      <c r="R3820" s="21" t="str">
        <f>IFERROR(__xludf.DUMMYFUNCTION("""COMPUTED_VALUE"""),"https://drive.google.com/file/d/1f7pGtyWj94G4_-UwO53yccQ87akzxx2V/view?usp=drivesdk")</f>
        <v>https://drive.google.com/file/d/1f7pGtyWj94G4_-UwO53yccQ87akzxx2V/view?usp=drivesdk</v>
      </c>
    </row>
    <row r="3821">
      <c r="A3821" s="15">
        <f>IFERROR(__xludf.DUMMYFUNCTION("""COMPUTED_VALUE"""),45112.0)</f>
        <v>45112</v>
      </c>
      <c r="B3821" s="16" t="str">
        <f>IFERROR(__xludf.DUMMYFUNCTION("""COMPUTED_VALUE"""),"Oscar Augusto Meneses Osias")</f>
        <v>Oscar Augusto Meneses Osias</v>
      </c>
      <c r="C3821" s="15" t="str">
        <f>IFERROR(__xludf.DUMMYFUNCTION("""COMPUTED_VALUE"""),"MEDELLÍN")</f>
        <v>MEDELLÍN</v>
      </c>
      <c r="D3821" s="15" t="str">
        <f>IFERROR(__xludf.DUMMYFUNCTION("""COMPUTED_VALUE"""),"BOGOTÁ")</f>
        <v>BOGOTÁ</v>
      </c>
      <c r="E3821" s="15" t="str">
        <f>IFERROR(__xludf.DUMMYFUNCTION("""COMPUTED_VALUE"""),"Evamazzita")</f>
        <v>Evamazzita</v>
      </c>
      <c r="F3821" s="17" t="str">
        <f>IFERROR(__xludf.DUMMYFUNCTION("""COMPUTED_VALUE"""),"calle 28 sur #27-100  / APTO 1303  / PRADO ALTO CONDOMINIOS Lomas los mesa""")</f>
        <v>calle 28 sur #27-100  / APTO 1303  / PRADO ALTO CONDOMINIOS Lomas los mesa"</v>
      </c>
      <c r="G3821" s="15" t="str">
        <f>IFERROR(__xludf.DUMMYFUNCTION("""COMPUTED_VALUE"""),"ANA PAOLA ESPINOZA")</f>
        <v>ANA PAOLA ESPINOZA</v>
      </c>
      <c r="H3821" s="16">
        <f>IFERROR(__xludf.DUMMYFUNCTION("""COMPUTED_VALUE"""),12308.0)</f>
        <v>12308</v>
      </c>
      <c r="I3821" s="18">
        <f>IFERROR(__xludf.DUMMYFUNCTION("""COMPUTED_VALUE"""),1.0)</f>
        <v>1</v>
      </c>
      <c r="J3821" s="18">
        <f>IFERROR(__xludf.DUMMYFUNCTION("""COMPUTED_VALUE"""),1.0)</f>
        <v>1</v>
      </c>
      <c r="K3821" s="18">
        <f>IFERROR(__xludf.DUMMYFUNCTION("""COMPUTED_VALUE"""),1.0)</f>
        <v>1</v>
      </c>
      <c r="L3821" s="17">
        <f>IFERROR(__xludf.DUMMYFUNCTION("""COMPUTED_VALUE"""),3.045441133E9)</f>
        <v>3045441133</v>
      </c>
      <c r="M3821" s="17" t="str">
        <f>IFERROR(__xludf.DUMMYFUNCTION("""COMPUTED_VALUE"""),"#REF!")</f>
        <v>#REF!</v>
      </c>
      <c r="N3821" s="17"/>
      <c r="O3821" s="17"/>
      <c r="P3821" s="17" t="b">
        <f>IFERROR(__xludf.DUMMYFUNCTION("""COMPUTED_VALUE"""),FALSE)</f>
        <v>0</v>
      </c>
      <c r="Q3821" s="20" t="str">
        <f>IFERROR(__xludf.DUMMYFUNCTION("""COMPUTED_VALUE"""),"")</f>
        <v/>
      </c>
      <c r="R3821" s="21" t="str">
        <f>IFERROR(__xludf.DUMMYFUNCTION("""COMPUTED_VALUE"""),"https://drive.google.com/file/d/1U6ymUmsY1rqwXXmVLbwh484xN3QigrjT/view?usp=drivesdk")</f>
        <v>https://drive.google.com/file/d/1U6ymUmsY1rqwXXmVLbwh484xN3QigrjT/view?usp=drivesdk</v>
      </c>
    </row>
    <row r="3822">
      <c r="A3822" s="15">
        <f>IFERROR(__xludf.DUMMYFUNCTION("""COMPUTED_VALUE"""),45112.0)</f>
        <v>45112</v>
      </c>
      <c r="B3822" s="16" t="str">
        <f>IFERROR(__xludf.DUMMYFUNCTION("""COMPUTED_VALUE"""),"Oscar Augusto Meneses Osias")</f>
        <v>Oscar Augusto Meneses Osias</v>
      </c>
      <c r="C3822" s="15" t="str">
        <f>IFERROR(__xludf.DUMMYFUNCTION("""COMPUTED_VALUE"""),"MEDELLÍN")</f>
        <v>MEDELLÍN</v>
      </c>
      <c r="D3822" s="15" t="str">
        <f>IFERROR(__xludf.DUMMYFUNCTION("""COMPUTED_VALUE"""),"BOGOTÁ")</f>
        <v>BOGOTÁ</v>
      </c>
      <c r="E3822" s="15" t="str">
        <f>IFERROR(__xludf.DUMMYFUNCTION("""COMPUTED_VALUE"""),"Evamazzita")</f>
        <v>Evamazzita</v>
      </c>
      <c r="F3822" s="17" t="str">
        <f>IFERROR(__xludf.DUMMYFUNCTION("""COMPUTED_VALUE"""),"CALLE 53A No. 57-24  / CALLE 53A No. 57-24  / BARRIO ROSALPI SEGUNDO PISO, AL LADO DE LA PANADERÍA")</f>
        <v>CALLE 53A No. 57-24  / CALLE 53A No. 57-24  / BARRIO ROSALPI SEGUNDO PISO, AL LADO DE LA PANADERÍA</v>
      </c>
      <c r="G3822" s="15" t="str">
        <f>IFERROR(__xludf.DUMMYFUNCTION("""COMPUTED_VALUE"""),"MANUELA AVENDAÑO CARDONA")</f>
        <v>MANUELA AVENDAÑO CARDONA</v>
      </c>
      <c r="H3822" s="16">
        <f>IFERROR(__xludf.DUMMYFUNCTION("""COMPUTED_VALUE"""),12307.0)</f>
        <v>12307</v>
      </c>
      <c r="I3822" s="18">
        <f>IFERROR(__xludf.DUMMYFUNCTION("""COMPUTED_VALUE"""),1.0)</f>
        <v>1</v>
      </c>
      <c r="J3822" s="18">
        <f>IFERROR(__xludf.DUMMYFUNCTION("""COMPUTED_VALUE"""),1.0)</f>
        <v>1</v>
      </c>
      <c r="K3822" s="18">
        <f>IFERROR(__xludf.DUMMYFUNCTION("""COMPUTED_VALUE"""),1.0)</f>
        <v>1</v>
      </c>
      <c r="L3822" s="17">
        <f>IFERROR(__xludf.DUMMYFUNCTION("""COMPUTED_VALUE"""),3.217086923E9)</f>
        <v>3217086923</v>
      </c>
      <c r="M3822" s="17" t="str">
        <f>IFERROR(__xludf.DUMMYFUNCTION("""COMPUTED_VALUE"""),"#REF!")</f>
        <v>#REF!</v>
      </c>
      <c r="N3822" s="17"/>
      <c r="O3822" s="17"/>
      <c r="P3822" s="17" t="b">
        <f>IFERROR(__xludf.DUMMYFUNCTION("""COMPUTED_VALUE"""),FALSE)</f>
        <v>0</v>
      </c>
      <c r="Q3822" s="20" t="str">
        <f>IFERROR(__xludf.DUMMYFUNCTION("""COMPUTED_VALUE"""),"")</f>
        <v/>
      </c>
      <c r="R3822" s="21" t="str">
        <f>IFERROR(__xludf.DUMMYFUNCTION("""COMPUTED_VALUE"""),"https://drive.google.com/file/d/1k1k4qCNZe3yLSJ0yHDslHBTzhod3xxD4/view?usp=drivesdk")</f>
        <v>https://drive.google.com/file/d/1k1k4qCNZe3yLSJ0yHDslHBTzhod3xxD4/view?usp=drivesdk</v>
      </c>
    </row>
    <row r="3823">
      <c r="A3823" s="15">
        <f>IFERROR(__xludf.DUMMYFUNCTION("""COMPUTED_VALUE"""),45112.0)</f>
        <v>45112</v>
      </c>
      <c r="B3823" s="16" t="str">
        <f>IFERROR(__xludf.DUMMYFUNCTION("""COMPUTED_VALUE"""),"Oscar Augusto Meneses Osias")</f>
        <v>Oscar Augusto Meneses Osias</v>
      </c>
      <c r="C3823" s="15" t="str">
        <f>IFERROR(__xludf.DUMMYFUNCTION("""COMPUTED_VALUE"""),"MEDELLÍN")</f>
        <v>MEDELLÍN</v>
      </c>
      <c r="D3823" s="15" t="str">
        <f>IFERROR(__xludf.DUMMYFUNCTION("""COMPUTED_VALUE"""),"BOGOTÁ")</f>
        <v>BOGOTÁ</v>
      </c>
      <c r="E3823" s="15" t="str">
        <f>IFERROR(__xludf.DUMMYFUNCTION("""COMPUTED_VALUE"""),"Evamazzita")</f>
        <v>Evamazzita</v>
      </c>
      <c r="F3823" s="17" t="str">
        <f>IFERROR(__xludf.DUMMYFUNCTION("""COMPUTED_VALUE"""),"CALLE 83 B # 57 88  / CALLE 83 B # 57 88  / PRIMER PISO VIVIENDAS DEL SUR")</f>
        <v>CALLE 83 B # 57 88  / CALLE 83 B # 57 88  / PRIMER PISO VIVIENDAS DEL SUR</v>
      </c>
      <c r="G3823" s="15" t="str">
        <f>IFERROR(__xludf.DUMMYFUNCTION("""COMPUTED_VALUE"""),"JUSTINE COLORADO GUTIERREZ")</f>
        <v>JUSTINE COLORADO GUTIERREZ</v>
      </c>
      <c r="H3823" s="16">
        <f>IFERROR(__xludf.DUMMYFUNCTION("""COMPUTED_VALUE"""),12310.0)</f>
        <v>12310</v>
      </c>
      <c r="I3823" s="18">
        <f>IFERROR(__xludf.DUMMYFUNCTION("""COMPUTED_VALUE"""),1.0)</f>
        <v>1</v>
      </c>
      <c r="J3823" s="18">
        <f>IFERROR(__xludf.DUMMYFUNCTION("""COMPUTED_VALUE"""),1.0)</f>
        <v>1</v>
      </c>
      <c r="K3823" s="18">
        <f>IFERROR(__xludf.DUMMYFUNCTION("""COMPUTED_VALUE"""),1.0)</f>
        <v>1</v>
      </c>
      <c r="L3823" s="17">
        <f>IFERROR(__xludf.DUMMYFUNCTION("""COMPUTED_VALUE"""),3.146532342E9)</f>
        <v>3146532342</v>
      </c>
      <c r="M3823" s="17" t="str">
        <f>IFERROR(__xludf.DUMMYFUNCTION("""COMPUTED_VALUE"""),"#REF!")</f>
        <v>#REF!</v>
      </c>
      <c r="N3823" s="17"/>
      <c r="O3823" s="17"/>
      <c r="P3823" s="17" t="b">
        <f>IFERROR(__xludf.DUMMYFUNCTION("""COMPUTED_VALUE"""),FALSE)</f>
        <v>0</v>
      </c>
      <c r="Q3823" s="20" t="str">
        <f>IFERROR(__xludf.DUMMYFUNCTION("""COMPUTED_VALUE"""),"")</f>
        <v/>
      </c>
      <c r="R3823" s="21" t="str">
        <f>IFERROR(__xludf.DUMMYFUNCTION("""COMPUTED_VALUE"""),"https://drive.google.com/file/d/1xpgBQcWijfkMGJj-oiFgJEYuwHslnBB4/view?usp=drivesdk")</f>
        <v>https://drive.google.com/file/d/1xpgBQcWijfkMGJj-oiFgJEYuwHslnBB4/view?usp=drivesdk</v>
      </c>
    </row>
    <row r="3824">
      <c r="A3824" s="15">
        <f>IFERROR(__xludf.DUMMYFUNCTION("""COMPUTED_VALUE"""),45112.0)</f>
        <v>45112</v>
      </c>
      <c r="B3824" s="16" t="str">
        <f>IFERROR(__xludf.DUMMYFUNCTION("""COMPUTED_VALUE"""),"Oscar Augusto Meneses Osias")</f>
        <v>Oscar Augusto Meneses Osias</v>
      </c>
      <c r="C3824" s="15" t="str">
        <f>IFERROR(__xludf.DUMMYFUNCTION("""COMPUTED_VALUE"""),"MEDELLÍN")</f>
        <v>MEDELLÍN</v>
      </c>
      <c r="D3824" s="15" t="str">
        <f>IFERROR(__xludf.DUMMYFUNCTION("""COMPUTED_VALUE"""),"BOGOTÁ")</f>
        <v>BOGOTÁ</v>
      </c>
      <c r="E3824" s="15" t="str">
        <f>IFERROR(__xludf.DUMMYFUNCTION("""COMPUTED_VALUE"""),"Evamazzita")</f>
        <v>Evamazzita</v>
      </c>
      <c r="F3824" s="17" t="str">
        <f>IFERROR(__xludf.DUMMYFUNCTION("""COMPUTED_VALUE"""),"Calle 93c #83 a 81  / Calle 93c #83 a 81  / Barrio: Robledo Primaveral """)</f>
        <v>Calle 93c #83 a 81  / Calle 93c #83 a 81  / Barrio: Robledo Primaveral "</v>
      </c>
      <c r="G3824" s="15" t="str">
        <f>IFERROR(__xludf.DUMMYFUNCTION("""COMPUTED_VALUE"""),"MILENA JARAMILLO ACEVEDO")</f>
        <v>MILENA JARAMILLO ACEVEDO</v>
      </c>
      <c r="H3824" s="16">
        <f>IFERROR(__xludf.DUMMYFUNCTION("""COMPUTED_VALUE"""),12294.0)</f>
        <v>12294</v>
      </c>
      <c r="I3824" s="18">
        <f>IFERROR(__xludf.DUMMYFUNCTION("""COMPUTED_VALUE"""),1.0)</f>
        <v>1</v>
      </c>
      <c r="J3824" s="18">
        <f>IFERROR(__xludf.DUMMYFUNCTION("""COMPUTED_VALUE"""),1.0)</f>
        <v>1</v>
      </c>
      <c r="K3824" s="18">
        <f>IFERROR(__xludf.DUMMYFUNCTION("""COMPUTED_VALUE"""),1.0)</f>
        <v>1</v>
      </c>
      <c r="L3824" s="17">
        <f>IFERROR(__xludf.DUMMYFUNCTION("""COMPUTED_VALUE"""),3.005579612E9)</f>
        <v>3005579612</v>
      </c>
      <c r="M3824" s="17" t="str">
        <f>IFERROR(__xludf.DUMMYFUNCTION("""COMPUTED_VALUE"""),"#REF!")</f>
        <v>#REF!</v>
      </c>
      <c r="N3824" s="17"/>
      <c r="O3824" s="17"/>
      <c r="P3824" s="17" t="b">
        <f>IFERROR(__xludf.DUMMYFUNCTION("""COMPUTED_VALUE"""),FALSE)</f>
        <v>0</v>
      </c>
      <c r="Q3824" s="20" t="str">
        <f>IFERROR(__xludf.DUMMYFUNCTION("""COMPUTED_VALUE"""),"")</f>
        <v/>
      </c>
      <c r="R3824" s="21" t="str">
        <f>IFERROR(__xludf.DUMMYFUNCTION("""COMPUTED_VALUE"""),"https://drive.google.com/file/d/1c8Qy6RIQ3KMdA4qlKDeoaUn5TxsN-Hk2/view?usp=drivesdk")</f>
        <v>https://drive.google.com/file/d/1c8Qy6RIQ3KMdA4qlKDeoaUn5TxsN-Hk2/view?usp=drivesdk</v>
      </c>
    </row>
    <row r="3825">
      <c r="A3825" s="15">
        <f>IFERROR(__xludf.DUMMYFUNCTION("""COMPUTED_VALUE"""),45112.0)</f>
        <v>45112</v>
      </c>
      <c r="B3825" s="16" t="str">
        <f>IFERROR(__xludf.DUMMYFUNCTION("""COMPUTED_VALUE"""),"Oscar Augusto Meneses Osias")</f>
        <v>Oscar Augusto Meneses Osias</v>
      </c>
      <c r="C3825" s="15" t="str">
        <f>IFERROR(__xludf.DUMMYFUNCTION("""COMPUTED_VALUE"""),"MEDELLÍN")</f>
        <v>MEDELLÍN</v>
      </c>
      <c r="D3825" s="15" t="str">
        <f>IFERROR(__xludf.DUMMYFUNCTION("""COMPUTED_VALUE"""),"BOGOTÁ")</f>
        <v>BOGOTÁ</v>
      </c>
      <c r="E3825" s="15" t="str">
        <f>IFERROR(__xludf.DUMMYFUNCTION("""COMPUTED_VALUE"""),"Evamazzita")</f>
        <v>Evamazzita</v>
      </c>
      <c r="F3825" s="17" t="str">
        <f>IFERROR(__xludf.DUMMYFUNCTION("""COMPUTED_VALUE"""),"Carrera 24b 17-25   / Casa 119  /  Casa milano  Poblado """)</f>
        <v>Carrera 24b 17-25   / Casa 119  /  Casa milano  Poblado "</v>
      </c>
      <c r="G3825" s="15" t="str">
        <f>IFERROR(__xludf.DUMMYFUNCTION("""COMPUTED_VALUE"""),"FERNANDA REYES")</f>
        <v>FERNANDA REYES</v>
      </c>
      <c r="H3825" s="16">
        <f>IFERROR(__xludf.DUMMYFUNCTION("""COMPUTED_VALUE"""),12293.0)</f>
        <v>12293</v>
      </c>
      <c r="I3825" s="18">
        <f>IFERROR(__xludf.DUMMYFUNCTION("""COMPUTED_VALUE"""),1.0)</f>
        <v>1</v>
      </c>
      <c r="J3825" s="18">
        <f>IFERROR(__xludf.DUMMYFUNCTION("""COMPUTED_VALUE"""),1.0)</f>
        <v>1</v>
      </c>
      <c r="K3825" s="18">
        <f>IFERROR(__xludf.DUMMYFUNCTION("""COMPUTED_VALUE"""),1.0)</f>
        <v>1</v>
      </c>
      <c r="L3825" s="17">
        <f>IFERROR(__xludf.DUMMYFUNCTION("""COMPUTED_VALUE"""),3.135976014E9)</f>
        <v>3135976014</v>
      </c>
      <c r="M3825" s="17" t="str">
        <f>IFERROR(__xludf.DUMMYFUNCTION("""COMPUTED_VALUE"""),"#REF!")</f>
        <v>#REF!</v>
      </c>
      <c r="N3825" s="17"/>
      <c r="O3825" s="17"/>
      <c r="P3825" s="17" t="b">
        <f>IFERROR(__xludf.DUMMYFUNCTION("""COMPUTED_VALUE"""),FALSE)</f>
        <v>0</v>
      </c>
      <c r="Q3825" s="20" t="str">
        <f>IFERROR(__xludf.DUMMYFUNCTION("""COMPUTED_VALUE"""),"")</f>
        <v/>
      </c>
      <c r="R3825" s="21" t="str">
        <f>IFERROR(__xludf.DUMMYFUNCTION("""COMPUTED_VALUE"""),"https://drive.google.com/file/d/1mcTgeyPWBBAw43Q5BBSeKu854LRySmAP/view?usp=drivesdk")</f>
        <v>https://drive.google.com/file/d/1mcTgeyPWBBAw43Q5BBSeKu854LRySmAP/view?usp=drivesdk</v>
      </c>
    </row>
    <row r="3826">
      <c r="A3826" s="15">
        <f>IFERROR(__xludf.DUMMYFUNCTION("""COMPUTED_VALUE"""),45112.0)</f>
        <v>45112</v>
      </c>
      <c r="B3826" s="16" t="str">
        <f>IFERROR(__xludf.DUMMYFUNCTION("""COMPUTED_VALUE"""),"Oscar Augusto Meneses Osias")</f>
        <v>Oscar Augusto Meneses Osias</v>
      </c>
      <c r="C3826" s="15" t="str">
        <f>IFERROR(__xludf.DUMMYFUNCTION("""COMPUTED_VALUE"""),"MEDELLÍN")</f>
        <v>MEDELLÍN</v>
      </c>
      <c r="D3826" s="15" t="str">
        <f>IFERROR(__xludf.DUMMYFUNCTION("""COMPUTED_VALUE"""),"BOGOTÁ")</f>
        <v>BOGOTÁ</v>
      </c>
      <c r="E3826" s="15" t="str">
        <f>IFERROR(__xludf.DUMMYFUNCTION("""COMPUTED_VALUE"""),"Evamazzita")</f>
        <v>Evamazzita</v>
      </c>
      <c r="F3826" s="17" t="str">
        <f>IFERROR(__xludf.DUMMYFUNCTION("""COMPUTED_VALUE"""),"Cr 82 # 9 a sur 79  / apto 916 / Rodeo alto  Unidad florence ")</f>
        <v>Cr 82 # 9 a sur 79  / apto 916 / Rodeo alto  Unidad florence </v>
      </c>
      <c r="G3826" s="15" t="str">
        <f>IFERROR(__xludf.DUMMYFUNCTION("""COMPUTED_VALUE"""),"ANDREA ZAPATA")</f>
        <v>ANDREA ZAPATA</v>
      </c>
      <c r="H3826" s="16">
        <f>IFERROR(__xludf.DUMMYFUNCTION("""COMPUTED_VALUE"""),12291.0)</f>
        <v>12291</v>
      </c>
      <c r="I3826" s="18">
        <f>IFERROR(__xludf.DUMMYFUNCTION("""COMPUTED_VALUE"""),1.0)</f>
        <v>1</v>
      </c>
      <c r="J3826" s="18">
        <f>IFERROR(__xludf.DUMMYFUNCTION("""COMPUTED_VALUE"""),1.0)</f>
        <v>1</v>
      </c>
      <c r="K3826" s="18">
        <f>IFERROR(__xludf.DUMMYFUNCTION("""COMPUTED_VALUE"""),1.0)</f>
        <v>1</v>
      </c>
      <c r="L3826" s="17">
        <f>IFERROR(__xludf.DUMMYFUNCTION("""COMPUTED_VALUE"""),3.003482331E9)</f>
        <v>3003482331</v>
      </c>
      <c r="M3826" s="17" t="str">
        <f>IFERROR(__xludf.DUMMYFUNCTION("""COMPUTED_VALUE"""),"#REF!")</f>
        <v>#REF!</v>
      </c>
      <c r="N3826" s="17"/>
      <c r="O3826" s="17"/>
      <c r="P3826" s="17" t="b">
        <f>IFERROR(__xludf.DUMMYFUNCTION("""COMPUTED_VALUE"""),FALSE)</f>
        <v>0</v>
      </c>
      <c r="Q3826" s="20" t="str">
        <f>IFERROR(__xludf.DUMMYFUNCTION("""COMPUTED_VALUE"""),"")</f>
        <v/>
      </c>
      <c r="R3826" s="21" t="str">
        <f>IFERROR(__xludf.DUMMYFUNCTION("""COMPUTED_VALUE"""),"https://drive.google.com/file/d/15GWjEMkbMGz7FBKW8_KJT0BaBTaVr3FL/view?usp=drivesdk")</f>
        <v>https://drive.google.com/file/d/15GWjEMkbMGz7FBKW8_KJT0BaBTaVr3FL/view?usp=drivesdk</v>
      </c>
    </row>
    <row r="3827">
      <c r="A3827" s="15">
        <f>IFERROR(__xludf.DUMMYFUNCTION("""COMPUTED_VALUE"""),45112.0)</f>
        <v>45112</v>
      </c>
      <c r="B3827" s="16" t="str">
        <f>IFERROR(__xludf.DUMMYFUNCTION("""COMPUTED_VALUE"""),"Oscar Augusto Meneses Osias")</f>
        <v>Oscar Augusto Meneses Osias</v>
      </c>
      <c r="C3827" s="15" t="str">
        <f>IFERROR(__xludf.DUMMYFUNCTION("""COMPUTED_VALUE"""),"MEDELLÍN")</f>
        <v>MEDELLÍN</v>
      </c>
      <c r="D3827" s="15" t="str">
        <f>IFERROR(__xludf.DUMMYFUNCTION("""COMPUTED_VALUE"""),"BOGOTÁ")</f>
        <v>BOGOTÁ</v>
      </c>
      <c r="E3827" s="15" t="str">
        <f>IFERROR(__xludf.DUMMYFUNCTION("""COMPUTED_VALUE"""),"Evamazzita")</f>
        <v>Evamazzita</v>
      </c>
      <c r="F3827" s="17" t="str">
        <f>IFERROR(__xludf.DUMMYFUNCTION("""COMPUTED_VALUE"""),"CRA 15 BA No. 34D- 44  / INT 201  / BUENOS AIRES")</f>
        <v>CRA 15 BA No. 34D- 44  / INT 201  / BUENOS AIRES</v>
      </c>
      <c r="G3827" s="15" t="str">
        <f>IFERROR(__xludf.DUMMYFUNCTION("""COMPUTED_VALUE"""),"DANIELA BEDOYA BLANDON")</f>
        <v>DANIELA BEDOYA BLANDON</v>
      </c>
      <c r="H3827" s="16">
        <f>IFERROR(__xludf.DUMMYFUNCTION("""COMPUTED_VALUE"""),12286.0)</f>
        <v>12286</v>
      </c>
      <c r="I3827" s="18">
        <f>IFERROR(__xludf.DUMMYFUNCTION("""COMPUTED_VALUE"""),28.0)</f>
        <v>28</v>
      </c>
      <c r="J3827" s="18">
        <f>IFERROR(__xludf.DUMMYFUNCTION("""COMPUTED_VALUE"""),35.0)</f>
        <v>35</v>
      </c>
      <c r="K3827" s="18">
        <f>IFERROR(__xludf.DUMMYFUNCTION("""COMPUTED_VALUE"""),43.0)</f>
        <v>43</v>
      </c>
      <c r="L3827" s="17">
        <f>IFERROR(__xludf.DUMMYFUNCTION("""COMPUTED_VALUE"""),3.14672822E9)</f>
        <v>3146728220</v>
      </c>
      <c r="M3827" s="17" t="str">
        <f>IFERROR(__xludf.DUMMYFUNCTION("""COMPUTED_VALUE"""),"#REF!")</f>
        <v>#REF!</v>
      </c>
      <c r="N3827" s="17"/>
      <c r="O3827" s="17"/>
      <c r="P3827" s="17" t="b">
        <f>IFERROR(__xludf.DUMMYFUNCTION("""COMPUTED_VALUE"""),FALSE)</f>
        <v>0</v>
      </c>
      <c r="Q3827" s="20" t="str">
        <f>IFERROR(__xludf.DUMMYFUNCTION("""COMPUTED_VALUE"""),"")</f>
        <v/>
      </c>
      <c r="R3827" s="22" t="str">
        <f>IFERROR(__xludf.DUMMYFUNCTION("""COMPUTED_VALUE"""),"")</f>
        <v/>
      </c>
    </row>
    <row r="3828">
      <c r="A3828" s="15">
        <f>IFERROR(__xludf.DUMMYFUNCTION("""COMPUTED_VALUE"""),45112.0)</f>
        <v>45112</v>
      </c>
      <c r="B3828" s="16" t="str">
        <f>IFERROR(__xludf.DUMMYFUNCTION("""COMPUTED_VALUE"""),"Oscar Augusto Meneses Osias")</f>
        <v>Oscar Augusto Meneses Osias</v>
      </c>
      <c r="C3828" s="15" t="str">
        <f>IFERROR(__xludf.DUMMYFUNCTION("""COMPUTED_VALUE"""),"MEDELLÍN")</f>
        <v>MEDELLÍN</v>
      </c>
      <c r="D3828" s="15" t="str">
        <f>IFERROR(__xludf.DUMMYFUNCTION("""COMPUTED_VALUE"""),"BOGOTÁ")</f>
        <v>BOGOTÁ</v>
      </c>
      <c r="E3828" s="15" t="str">
        <f>IFERROR(__xludf.DUMMYFUNCTION("""COMPUTED_VALUE"""),"Evamazzita")</f>
        <v>Evamazzita</v>
      </c>
      <c r="F3828" s="17" t="str">
        <f>IFERROR(__xludf.DUMMYFUNCTION("""COMPUTED_VALUE"""),"CRA 27A No. 37BSUR - 60  / APTO 1702  / ENTREPINOS LOMA LAS BRUJAS")</f>
        <v>CRA 27A No. 37BSUR - 60  / APTO 1702  / ENTREPINOS LOMA LAS BRUJAS</v>
      </c>
      <c r="G3828" s="15" t="str">
        <f>IFERROR(__xludf.DUMMYFUNCTION("""COMPUTED_VALUE"""),"NATALIA MONTOYA")</f>
        <v>NATALIA MONTOYA</v>
      </c>
      <c r="H3828" s="16">
        <f>IFERROR(__xludf.DUMMYFUNCTION("""COMPUTED_VALUE"""),12309.0)</f>
        <v>12309</v>
      </c>
      <c r="I3828" s="18">
        <f>IFERROR(__xludf.DUMMYFUNCTION("""COMPUTED_VALUE"""),1.0)</f>
        <v>1</v>
      </c>
      <c r="J3828" s="18">
        <f>IFERROR(__xludf.DUMMYFUNCTION("""COMPUTED_VALUE"""),1.0)</f>
        <v>1</v>
      </c>
      <c r="K3828" s="18">
        <f>IFERROR(__xludf.DUMMYFUNCTION("""COMPUTED_VALUE"""),1.0)</f>
        <v>1</v>
      </c>
      <c r="L3828" s="17">
        <f>IFERROR(__xludf.DUMMYFUNCTION("""COMPUTED_VALUE"""),3.203409277E9)</f>
        <v>3203409277</v>
      </c>
      <c r="M3828" s="17" t="str">
        <f>IFERROR(__xludf.DUMMYFUNCTION("""COMPUTED_VALUE"""),"#REF!")</f>
        <v>#REF!</v>
      </c>
      <c r="N3828" s="17"/>
      <c r="O3828" s="17"/>
      <c r="P3828" s="17" t="b">
        <f>IFERROR(__xludf.DUMMYFUNCTION("""COMPUTED_VALUE"""),FALSE)</f>
        <v>0</v>
      </c>
      <c r="Q3828" s="20" t="str">
        <f>IFERROR(__xludf.DUMMYFUNCTION("""COMPUTED_VALUE"""),"")</f>
        <v/>
      </c>
      <c r="R3828" s="21" t="str">
        <f>IFERROR(__xludf.DUMMYFUNCTION("""COMPUTED_VALUE"""),"https://drive.google.com/file/d/1oCh16rNVpDVIGzffiWv3VAbFEw7HJIGG/view?usp=drivesdk")</f>
        <v>https://drive.google.com/file/d/1oCh16rNVpDVIGzffiWv3VAbFEw7HJIGG/view?usp=drivesdk</v>
      </c>
    </row>
    <row r="3829">
      <c r="A3829" s="15">
        <f>IFERROR(__xludf.DUMMYFUNCTION("""COMPUTED_VALUE"""),45112.0)</f>
        <v>45112</v>
      </c>
      <c r="B3829" s="16" t="str">
        <f>IFERROR(__xludf.DUMMYFUNCTION("""COMPUTED_VALUE"""),"Oscar Augusto Meneses Osias")</f>
        <v>Oscar Augusto Meneses Osias</v>
      </c>
      <c r="C3829" s="15" t="str">
        <f>IFERROR(__xludf.DUMMYFUNCTION("""COMPUTED_VALUE"""),"MEDELLÍN")</f>
        <v>MEDELLÍN</v>
      </c>
      <c r="D3829" s="15" t="str">
        <f>IFERROR(__xludf.DUMMYFUNCTION("""COMPUTED_VALUE"""),"BOGOTÁ")</f>
        <v>BOGOTÁ</v>
      </c>
      <c r="E3829" s="15" t="str">
        <f>IFERROR(__xludf.DUMMYFUNCTION("""COMPUTED_VALUE"""),"Evamazzita")</f>
        <v>Evamazzita</v>
      </c>
      <c r="F3829" s="17" t="str">
        <f>IFERROR(__xludf.DUMMYFUNCTION("""COMPUTED_VALUE"""),"CRA 48 No. 76D SUR - 34 2208 / CRA 48 No. 76D SUR - 34 2208 / CRA 48 No. 76D SUR - 34 2208, SABANETA")</f>
        <v>CRA 48 No. 76D SUR - 34 2208 / CRA 48 No. 76D SUR - 34 2208 / CRA 48 No. 76D SUR - 34 2208, SABANETA</v>
      </c>
      <c r="G3829" s="15" t="str">
        <f>IFERROR(__xludf.DUMMYFUNCTION("""COMPUTED_VALUE"""),"DANIELA CESPEDES")</f>
        <v>DANIELA CESPEDES</v>
      </c>
      <c r="H3829" s="16">
        <f>IFERROR(__xludf.DUMMYFUNCTION("""COMPUTED_VALUE"""),12314.0)</f>
        <v>12314</v>
      </c>
      <c r="I3829" s="18">
        <f>IFERROR(__xludf.DUMMYFUNCTION("""COMPUTED_VALUE"""),1.0)</f>
        <v>1</v>
      </c>
      <c r="J3829" s="18">
        <f>IFERROR(__xludf.DUMMYFUNCTION("""COMPUTED_VALUE"""),1.0)</f>
        <v>1</v>
      </c>
      <c r="K3829" s="18">
        <f>IFERROR(__xludf.DUMMYFUNCTION("""COMPUTED_VALUE"""),1.0)</f>
        <v>1</v>
      </c>
      <c r="L3829" s="17">
        <f>IFERROR(__xludf.DUMMYFUNCTION("""COMPUTED_VALUE"""),3.207345876E9)</f>
        <v>3207345876</v>
      </c>
      <c r="M3829" s="17" t="str">
        <f>IFERROR(__xludf.DUMMYFUNCTION("""COMPUTED_VALUE"""),"#REF!")</f>
        <v>#REF!</v>
      </c>
      <c r="N3829" s="17"/>
      <c r="O3829" s="17"/>
      <c r="P3829" s="17" t="b">
        <f>IFERROR(__xludf.DUMMYFUNCTION("""COMPUTED_VALUE"""),FALSE)</f>
        <v>0</v>
      </c>
      <c r="Q3829" s="20" t="str">
        <f>IFERROR(__xludf.DUMMYFUNCTION("""COMPUTED_VALUE"""),"")</f>
        <v/>
      </c>
      <c r="R3829" s="21" t="str">
        <f>IFERROR(__xludf.DUMMYFUNCTION("""COMPUTED_VALUE"""),"https://drive.google.com/file/d/1qaCmVJBop2or-2aGNBMk6VfwNSIF31Rt/view?usp=drivesdk")</f>
        <v>https://drive.google.com/file/d/1qaCmVJBop2or-2aGNBMk6VfwNSIF31Rt/view?usp=drivesdk</v>
      </c>
    </row>
    <row r="3830">
      <c r="A3830" s="15">
        <f>IFERROR(__xludf.DUMMYFUNCTION("""COMPUTED_VALUE"""),45112.0)</f>
        <v>45112</v>
      </c>
      <c r="B3830" s="16" t="str">
        <f>IFERROR(__xludf.DUMMYFUNCTION("""COMPUTED_VALUE"""),"Oscar Augusto Meneses Osias")</f>
        <v>Oscar Augusto Meneses Osias</v>
      </c>
      <c r="C3830" s="15" t="str">
        <f>IFERROR(__xludf.DUMMYFUNCTION("""COMPUTED_VALUE"""),"MEDELLÍN")</f>
        <v>MEDELLÍN</v>
      </c>
      <c r="D3830" s="15" t="str">
        <f>IFERROR(__xludf.DUMMYFUNCTION("""COMPUTED_VALUE"""),"BOGOTÁ")</f>
        <v>BOGOTÁ</v>
      </c>
      <c r="E3830" s="15" t="str">
        <f>IFERROR(__xludf.DUMMYFUNCTION("""COMPUTED_VALUE"""),"Evamazzita")</f>
        <v>Evamazzita</v>
      </c>
      <c r="F3830" s="17" t="str">
        <f>IFERROR(__xludf.DUMMYFUNCTION("""COMPUTED_VALUE"""),"Cra 53 N 73 sur 40  / Unidad entrebosques Apto 1513   / Barrio Santa catalina")</f>
        <v>Cra 53 N 73 sur 40  / Unidad entrebosques Apto 1513   / Barrio Santa catalina</v>
      </c>
      <c r="G3830" s="15" t="str">
        <f>IFERROR(__xludf.DUMMYFUNCTION("""COMPUTED_VALUE"""),"ALEJANDRA PEREZ GIL")</f>
        <v>ALEJANDRA PEREZ GIL</v>
      </c>
      <c r="H3830" s="16">
        <f>IFERROR(__xludf.DUMMYFUNCTION("""COMPUTED_VALUE"""),12311.0)</f>
        <v>12311</v>
      </c>
      <c r="I3830" s="18">
        <f>IFERROR(__xludf.DUMMYFUNCTION("""COMPUTED_VALUE"""),1.0)</f>
        <v>1</v>
      </c>
      <c r="J3830" s="18">
        <f>IFERROR(__xludf.DUMMYFUNCTION("""COMPUTED_VALUE"""),1.0)</f>
        <v>1</v>
      </c>
      <c r="K3830" s="18">
        <f>IFERROR(__xludf.DUMMYFUNCTION("""COMPUTED_VALUE"""),1.0)</f>
        <v>1</v>
      </c>
      <c r="L3830" s="17">
        <f>IFERROR(__xludf.DUMMYFUNCTION("""COMPUTED_VALUE"""),3.137292194E9)</f>
        <v>3137292194</v>
      </c>
      <c r="M3830" s="17" t="str">
        <f>IFERROR(__xludf.DUMMYFUNCTION("""COMPUTED_VALUE"""),"#REF!")</f>
        <v>#REF!</v>
      </c>
      <c r="N3830" s="17"/>
      <c r="O3830" s="17"/>
      <c r="P3830" s="17" t="b">
        <f>IFERROR(__xludf.DUMMYFUNCTION("""COMPUTED_VALUE"""),FALSE)</f>
        <v>0</v>
      </c>
      <c r="Q3830" s="20" t="str">
        <f>IFERROR(__xludf.DUMMYFUNCTION("""COMPUTED_VALUE"""),"")</f>
        <v/>
      </c>
      <c r="R3830" s="21" t="str">
        <f>IFERROR(__xludf.DUMMYFUNCTION("""COMPUTED_VALUE"""),"https://drive.google.com/file/d/19BneFdtSL8UHqVW4u4QUh417EaflnS87/view?usp=drivesdk")</f>
        <v>https://drive.google.com/file/d/19BneFdtSL8UHqVW4u4QUh417EaflnS87/view?usp=drivesdk</v>
      </c>
    </row>
    <row r="3831">
      <c r="A3831" s="15">
        <f>IFERROR(__xludf.DUMMYFUNCTION("""COMPUTED_VALUE"""),45112.0)</f>
        <v>45112</v>
      </c>
      <c r="B3831" s="16" t="str">
        <f>IFERROR(__xludf.DUMMYFUNCTION("""COMPUTED_VALUE"""),"Oscar Augusto Meneses Osias")</f>
        <v>Oscar Augusto Meneses Osias</v>
      </c>
      <c r="C3831" s="15" t="str">
        <f>IFERROR(__xludf.DUMMYFUNCTION("""COMPUTED_VALUE"""),"MEDELLÍN")</f>
        <v>MEDELLÍN</v>
      </c>
      <c r="D3831" s="15" t="str">
        <f>IFERROR(__xludf.DUMMYFUNCTION("""COMPUTED_VALUE"""),"BOGOTÁ")</f>
        <v>BOGOTÁ</v>
      </c>
      <c r="E3831" s="15" t="str">
        <f>IFERROR(__xludf.DUMMYFUNCTION("""COMPUTED_VALUE"""),"Evamazzita")</f>
        <v>Evamazzita</v>
      </c>
      <c r="F3831" s="17" t="str">
        <f>IFERROR(__xludf.DUMMYFUNCTION("""COMPUTED_VALUE"""),"Cra 79 #45-70 / Cra 79 #45-70  / América los olivos """)</f>
        <v>Cra 79 #45-70 / Cra 79 #45-70  / América los olivos "</v>
      </c>
      <c r="G3831" s="15" t="str">
        <f>IFERROR(__xludf.DUMMYFUNCTION("""COMPUTED_VALUE"""),"PAULA ROLDAN")</f>
        <v>PAULA ROLDAN</v>
      </c>
      <c r="H3831" s="16">
        <f>IFERROR(__xludf.DUMMYFUNCTION("""COMPUTED_VALUE"""),12295.0)</f>
        <v>12295</v>
      </c>
      <c r="I3831" s="18">
        <f>IFERROR(__xludf.DUMMYFUNCTION("""COMPUTED_VALUE"""),1.0)</f>
        <v>1</v>
      </c>
      <c r="J3831" s="18">
        <f>IFERROR(__xludf.DUMMYFUNCTION("""COMPUTED_VALUE"""),1.0)</f>
        <v>1</v>
      </c>
      <c r="K3831" s="18">
        <f>IFERROR(__xludf.DUMMYFUNCTION("""COMPUTED_VALUE"""),1.0)</f>
        <v>1</v>
      </c>
      <c r="L3831" s="17">
        <f>IFERROR(__xludf.DUMMYFUNCTION("""COMPUTED_VALUE"""),3.013150069E9)</f>
        <v>3013150069</v>
      </c>
      <c r="M3831" s="17" t="str">
        <f>IFERROR(__xludf.DUMMYFUNCTION("""COMPUTED_VALUE"""),"#REF!")</f>
        <v>#REF!</v>
      </c>
      <c r="N3831" s="17"/>
      <c r="O3831" s="17"/>
      <c r="P3831" s="17" t="b">
        <f>IFERROR(__xludf.DUMMYFUNCTION("""COMPUTED_VALUE"""),FALSE)</f>
        <v>0</v>
      </c>
      <c r="Q3831" s="20" t="str">
        <f>IFERROR(__xludf.DUMMYFUNCTION("""COMPUTED_VALUE"""),"")</f>
        <v/>
      </c>
      <c r="R3831" s="21" t="str">
        <f>IFERROR(__xludf.DUMMYFUNCTION("""COMPUTED_VALUE"""),"https://drive.google.com/file/d/1phLZ3j3Ee6M3nWGhQtVDDWzPR-U-58j8/view?usp=drivesdk")</f>
        <v>https://drive.google.com/file/d/1phLZ3j3Ee6M3nWGhQtVDDWzPR-U-58j8/view?usp=drivesdk</v>
      </c>
    </row>
    <row r="3832">
      <c r="A3832" s="15">
        <f>IFERROR(__xludf.DUMMYFUNCTION("""COMPUTED_VALUE"""),45112.0)</f>
        <v>45112</v>
      </c>
      <c r="B3832" s="16" t="str">
        <f>IFERROR(__xludf.DUMMYFUNCTION("""COMPUTED_VALUE"""),"Oscar Augusto Meneses Osias")</f>
        <v>Oscar Augusto Meneses Osias</v>
      </c>
      <c r="C3832" s="15" t="str">
        <f>IFERROR(__xludf.DUMMYFUNCTION("""COMPUTED_VALUE"""),"MEDELLÍN")</f>
        <v>MEDELLÍN</v>
      </c>
      <c r="D3832" s="15" t="str">
        <f>IFERROR(__xludf.DUMMYFUNCTION("""COMPUTED_VALUE"""),"BOGOTÁ")</f>
        <v>BOGOTÁ</v>
      </c>
      <c r="E3832" s="15" t="str">
        <f>IFERROR(__xludf.DUMMYFUNCTION("""COMPUTED_VALUE"""),"Evamazzita")</f>
        <v>Evamazzita</v>
      </c>
      <c r="F3832" s="17" t="str">
        <f>IFERROR(__xludf.DUMMYFUNCTION("""COMPUTED_VALUE"""),"Dirección de entrega: Cra 44 # 53 sur - 100  / apto 502 edificio arrayanes de mayorca   / Barrio o localidad: Virgen del Carmen""")</f>
        <v>Dirección de entrega: Cra 44 # 53 sur - 100  / apto 502 edificio arrayanes de mayorca   / Barrio o localidad: Virgen del Carmen"</v>
      </c>
      <c r="G3832" s="15" t="str">
        <f>IFERROR(__xludf.DUMMYFUNCTION("""COMPUTED_VALUE"""),"CAROLINA GONZALEZ PATIÑO")</f>
        <v>CAROLINA GONZALEZ PATIÑO</v>
      </c>
      <c r="H3832" s="16">
        <f>IFERROR(__xludf.DUMMYFUNCTION("""COMPUTED_VALUE"""),12312.0)</f>
        <v>12312</v>
      </c>
      <c r="I3832" s="18">
        <f>IFERROR(__xludf.DUMMYFUNCTION("""COMPUTED_VALUE"""),1.0)</f>
        <v>1</v>
      </c>
      <c r="J3832" s="18">
        <f>IFERROR(__xludf.DUMMYFUNCTION("""COMPUTED_VALUE"""),1.0)</f>
        <v>1</v>
      </c>
      <c r="K3832" s="18">
        <f>IFERROR(__xludf.DUMMYFUNCTION("""COMPUTED_VALUE"""),1.0)</f>
        <v>1</v>
      </c>
      <c r="L3832" s="17">
        <f>IFERROR(__xludf.DUMMYFUNCTION("""COMPUTED_VALUE"""),3.1571573E9)</f>
        <v>3157157300</v>
      </c>
      <c r="M3832" s="17" t="str">
        <f>IFERROR(__xludf.DUMMYFUNCTION("""COMPUTED_VALUE"""),"#REF!")</f>
        <v>#REF!</v>
      </c>
      <c r="N3832" s="17"/>
      <c r="O3832" s="17"/>
      <c r="P3832" s="17" t="b">
        <f>IFERROR(__xludf.DUMMYFUNCTION("""COMPUTED_VALUE"""),FALSE)</f>
        <v>0</v>
      </c>
      <c r="Q3832" s="20" t="str">
        <f>IFERROR(__xludf.DUMMYFUNCTION("""COMPUTED_VALUE"""),"")</f>
        <v/>
      </c>
      <c r="R3832" s="21" t="str">
        <f>IFERROR(__xludf.DUMMYFUNCTION("""COMPUTED_VALUE"""),"https://drive.google.com/file/d/1KQNNZ6aX08yBnD7sEHDFXD-gh_SDrWJH/view?usp=drivesdk")</f>
        <v>https://drive.google.com/file/d/1KQNNZ6aX08yBnD7sEHDFXD-gh_SDrWJH/view?usp=drivesdk</v>
      </c>
    </row>
    <row r="3833">
      <c r="A3833" s="15">
        <f>IFERROR(__xludf.DUMMYFUNCTION("""COMPUTED_VALUE"""),45112.0)</f>
        <v>45112</v>
      </c>
      <c r="B3833" s="16" t="str">
        <f>IFERROR(__xludf.DUMMYFUNCTION("""COMPUTED_VALUE"""),"Oscar Augusto Meneses Osias")</f>
        <v>Oscar Augusto Meneses Osias</v>
      </c>
      <c r="C3833" s="15" t="str">
        <f>IFERROR(__xludf.DUMMYFUNCTION("""COMPUTED_VALUE"""),"MEDELLÍN")</f>
        <v>MEDELLÍN</v>
      </c>
      <c r="D3833" s="15" t="str">
        <f>IFERROR(__xludf.DUMMYFUNCTION("""COMPUTED_VALUE"""),"BOGOTÁ")</f>
        <v>BOGOTÁ</v>
      </c>
      <c r="E3833" s="15" t="str">
        <f>IFERROR(__xludf.DUMMYFUNCTION("""COMPUTED_VALUE"""),"MAI ALIMENTOS S.A.S")</f>
        <v>MAI ALIMENTOS S.A.S</v>
      </c>
      <c r="F3833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833" s="15" t="str">
        <f>IFERROR(__xludf.DUMMYFUNCTION("""COMPUTED_VALUE"""),"Novaventas")</f>
        <v>Novaventas</v>
      </c>
      <c r="H3833" s="16">
        <f>IFERROR(__xludf.DUMMYFUNCTION("""COMPUTED_VALUE"""),12372.0)</f>
        <v>12372</v>
      </c>
      <c r="I3833" s="18">
        <f>IFERROR(__xludf.DUMMYFUNCTION("""COMPUTED_VALUE"""),35.0)</f>
        <v>35</v>
      </c>
      <c r="J3833" s="18">
        <f>IFERROR(__xludf.DUMMYFUNCTION("""COMPUTED_VALUE"""),17.0)</f>
        <v>17</v>
      </c>
      <c r="K3833" s="18">
        <f>IFERROR(__xludf.DUMMYFUNCTION("""COMPUTED_VALUE"""),13.0)</f>
        <v>13</v>
      </c>
      <c r="L3833" s="17">
        <f>IFERROR(__xludf.DUMMYFUNCTION("""COMPUTED_VALUE"""),3.187351593E9)</f>
        <v>3187351593</v>
      </c>
      <c r="M3833" s="17" t="str">
        <f>IFERROR(__xludf.DUMMYFUNCTION("""COMPUTED_VALUE"""),"#REF!")</f>
        <v>#REF!</v>
      </c>
      <c r="N3833" s="17"/>
      <c r="O3833" s="17"/>
      <c r="P3833" s="17" t="b">
        <f>IFERROR(__xludf.DUMMYFUNCTION("""COMPUTED_VALUE"""),FALSE)</f>
        <v>0</v>
      </c>
      <c r="Q3833" s="20" t="str">
        <f>IFERROR(__xludf.DUMMYFUNCTION("""COMPUTED_VALUE"""),"")</f>
        <v/>
      </c>
      <c r="R3833" s="21" t="str">
        <f>IFERROR(__xludf.DUMMYFUNCTION("""COMPUTED_VALUE"""),"https://drive.google.com/file/d/1GvSvly5PNjZPtKj6BAp_2TPD8biKK8SQ/view?usp=drivesdk")</f>
        <v>https://drive.google.com/file/d/1GvSvly5PNjZPtKj6BAp_2TPD8biKK8SQ/view?usp=drivesdk</v>
      </c>
    </row>
    <row r="3834">
      <c r="A3834" s="15">
        <f>IFERROR(__xludf.DUMMYFUNCTION("""COMPUTED_VALUE"""),45112.0)</f>
        <v>45112</v>
      </c>
      <c r="B3834" s="16" t="str">
        <f>IFERROR(__xludf.DUMMYFUNCTION("""COMPUTED_VALUE"""),"Oscar Augusto Meneses Osias")</f>
        <v>Oscar Augusto Meneses Osias</v>
      </c>
      <c r="C3834" s="15" t="str">
        <f>IFERROR(__xludf.DUMMYFUNCTION("""COMPUTED_VALUE"""),"MEDELLÍN")</f>
        <v>MEDELLÍN</v>
      </c>
      <c r="D3834" s="15" t="str">
        <f>IFERROR(__xludf.DUMMYFUNCTION("""COMPUTED_VALUE"""),"BOGOTÁ")</f>
        <v>BOGOTÁ</v>
      </c>
      <c r="E3834" s="15" t="str">
        <f>IFERROR(__xludf.DUMMYFUNCTION("""COMPUTED_VALUE"""),"Mochi")</f>
        <v>Mochi</v>
      </c>
      <c r="F3834" s="17" t="str">
        <f>IFERROR(__xludf.DUMMYFUNCTION("""COMPUTED_VALUE"""),"centro comercial viva envigado / centro comercial viva envigado / centro comercial viva envigado")</f>
        <v>centro comercial viva envigado / centro comercial viva envigado / centro comercial viva envigado</v>
      </c>
      <c r="G3834" s="15" t="str">
        <f>IFERROR(__xludf.DUMMYFUNCTION("""COMPUTED_VALUE"""),"Tania")</f>
        <v>Tania</v>
      </c>
      <c r="H3834" s="16">
        <f>IFERROR(__xludf.DUMMYFUNCTION("""COMPUTED_VALUE"""),12356.0)</f>
        <v>12356</v>
      </c>
      <c r="I3834" s="18">
        <f>IFERROR(__xludf.DUMMYFUNCTION("""COMPUTED_VALUE"""),100.0)</f>
        <v>100</v>
      </c>
      <c r="J3834" s="18">
        <f>IFERROR(__xludf.DUMMYFUNCTION("""COMPUTED_VALUE"""),100.0)</f>
        <v>100</v>
      </c>
      <c r="K3834" s="18">
        <f>IFERROR(__xludf.DUMMYFUNCTION("""COMPUTED_VALUE"""),300.0)</f>
        <v>300</v>
      </c>
      <c r="L3834" s="17">
        <f>IFERROR(__xludf.DUMMYFUNCTION("""COMPUTED_VALUE"""),3.142587995E9)</f>
        <v>3142587995</v>
      </c>
      <c r="M3834" s="17" t="str">
        <f>IFERROR(__xludf.DUMMYFUNCTION("""COMPUTED_VALUE"""),"#REF!")</f>
        <v>#REF!</v>
      </c>
      <c r="N3834" s="17"/>
      <c r="O3834" s="17"/>
      <c r="P3834" s="17" t="b">
        <f>IFERROR(__xludf.DUMMYFUNCTION("""COMPUTED_VALUE"""),FALSE)</f>
        <v>0</v>
      </c>
      <c r="Q3834" s="20" t="str">
        <f>IFERROR(__xludf.DUMMYFUNCTION("""COMPUTED_VALUE"""),"")</f>
        <v/>
      </c>
      <c r="R3834" s="21" t="str">
        <f>IFERROR(__xludf.DUMMYFUNCTION("""COMPUTED_VALUE"""),"https://drive.google.com/file/d/1RtvOZPZ_JOicjfzn_I4xDhpYhN3psIxZ/view?usp=drivesdk")</f>
        <v>https://drive.google.com/file/d/1RtvOZPZ_JOicjfzn_I4xDhpYhN3psIxZ/view?usp=drivesdk</v>
      </c>
    </row>
    <row r="3835">
      <c r="A3835" s="15">
        <f>IFERROR(__xludf.DUMMYFUNCTION("""COMPUTED_VALUE"""),45112.0)</f>
        <v>45112</v>
      </c>
      <c r="B3835" s="16" t="str">
        <f>IFERROR(__xludf.DUMMYFUNCTION("""COMPUTED_VALUE"""),"Oscar Augusto Meneses Osias")</f>
        <v>Oscar Augusto Meneses Osias</v>
      </c>
      <c r="C3835" s="15" t="str">
        <f>IFERROR(__xludf.DUMMYFUNCTION("""COMPUTED_VALUE"""),"MEDELLÍN")</f>
        <v>MEDELLÍN</v>
      </c>
      <c r="D3835" s="15" t="str">
        <f>IFERROR(__xludf.DUMMYFUNCTION("""COMPUTED_VALUE"""),"BOGOTÁ")</f>
        <v>BOGOTÁ</v>
      </c>
      <c r="E3835" s="15" t="str">
        <f>IFERROR(__xludf.DUMMYFUNCTION("""COMPUTED_VALUE"""),"Pan de Waffle")</f>
        <v>Pan de Waffle</v>
      </c>
      <c r="F3835" s="17" t="str">
        <f>IFERROR(__xludf.DUMMYFUNCTION("""COMPUTED_VALUE"""),"Carrera 56C # 83ddsur 201. Apto 710 / LA ESTRELLA / ANTIOQUIA")</f>
        <v>Carrera 56C # 83ddsur 201. Apto 710 / LA ESTRELLA / ANTIOQUIA</v>
      </c>
      <c r="G3835" s="15" t="str">
        <f>IFERROR(__xludf.DUMMYFUNCTION("""COMPUTED_VALUE"""),"MARCE CALLE")</f>
        <v>MARCE CALLE</v>
      </c>
      <c r="H3835" s="16">
        <f>IFERROR(__xludf.DUMMYFUNCTION("""COMPUTED_VALUE"""),12321.0)</f>
        <v>12321</v>
      </c>
      <c r="I3835" s="18">
        <f>IFERROR(__xludf.DUMMYFUNCTION("""COMPUTED_VALUE"""),40.0)</f>
        <v>40</v>
      </c>
      <c r="J3835" s="18">
        <f>IFERROR(__xludf.DUMMYFUNCTION("""COMPUTED_VALUE"""),30.0)</f>
        <v>30</v>
      </c>
      <c r="K3835" s="18">
        <f>IFERROR(__xludf.DUMMYFUNCTION("""COMPUTED_VALUE"""),30.0)</f>
        <v>30</v>
      </c>
      <c r="L3835" s="17">
        <f>IFERROR(__xludf.DUMMYFUNCTION("""COMPUTED_VALUE"""),3.193425469E9)</f>
        <v>3193425469</v>
      </c>
      <c r="M3835" s="17" t="str">
        <f>IFERROR(__xludf.DUMMYFUNCTION("""COMPUTED_VALUE"""),"#REF!")</f>
        <v>#REF!</v>
      </c>
      <c r="N3835" s="17"/>
      <c r="O3835" s="17"/>
      <c r="P3835" s="17" t="b">
        <f>IFERROR(__xludf.DUMMYFUNCTION("""COMPUTED_VALUE"""),FALSE)</f>
        <v>0</v>
      </c>
      <c r="Q3835" s="20" t="str">
        <f>IFERROR(__xludf.DUMMYFUNCTION("""COMPUTED_VALUE"""),"")</f>
        <v/>
      </c>
      <c r="R3835" s="21" t="str">
        <f>IFERROR(__xludf.DUMMYFUNCTION("""COMPUTED_VALUE"""),"https://drive.google.com/file/d/1B9xfZ1VH7QEKfL1neDjKvJFDJR5e0vp7/view?usp=drivesdk")</f>
        <v>https://drive.google.com/file/d/1B9xfZ1VH7QEKfL1neDjKvJFDJR5e0vp7/view?usp=drivesdk</v>
      </c>
    </row>
    <row r="3836">
      <c r="A3836" s="15">
        <f>IFERROR(__xludf.DUMMYFUNCTION("""COMPUTED_VALUE"""),45112.0)</f>
        <v>45112</v>
      </c>
      <c r="B3836" s="16" t="str">
        <f>IFERROR(__xludf.DUMMYFUNCTION("""COMPUTED_VALUE"""),"Oscar Augusto Meneses Osias")</f>
        <v>Oscar Augusto Meneses Osias</v>
      </c>
      <c r="C3836" s="15" t="str">
        <f>IFERROR(__xludf.DUMMYFUNCTION("""COMPUTED_VALUE"""),"MEDELLÍN")</f>
        <v>MEDELLÍN</v>
      </c>
      <c r="D3836" s="15" t="str">
        <f>IFERROR(__xludf.DUMMYFUNCTION("""COMPUTED_VALUE"""),"BOGOTÁ")</f>
        <v>BOGOTÁ</v>
      </c>
      <c r="E3836" s="15" t="str">
        <f>IFERROR(__xludf.DUMMYFUNCTION("""COMPUTED_VALUE"""),"Top Spun")</f>
        <v>Top Spun</v>
      </c>
      <c r="F3836" s="17" t="str">
        <f>IFERROR(__xludf.DUMMYFUNCTION("""COMPUTED_VALUE"""),"Carrera 25 # 1 A Sur 45 /  Bodega N°3NP-B-02 Sótano S4 Rojo / Parque Comercial El Tesoro")</f>
        <v>Carrera 25 # 1 A Sur 45 /  Bodega N°3NP-B-02 Sótano S4 Rojo / Parque Comercial El Tesoro</v>
      </c>
      <c r="G3836" s="15" t="str">
        <f>IFERROR(__xludf.DUMMYFUNCTION("""COMPUTED_VALUE"""),"Merkaorganico")</f>
        <v>Merkaorganico</v>
      </c>
      <c r="H3836" s="16">
        <f>IFERROR(__xludf.DUMMYFUNCTION("""COMPUTED_VALUE"""),12247.0)</f>
        <v>12247</v>
      </c>
      <c r="I3836" s="18">
        <f>IFERROR(__xludf.DUMMYFUNCTION("""COMPUTED_VALUE"""),21.0)</f>
        <v>21</v>
      </c>
      <c r="J3836" s="18">
        <f>IFERROR(__xludf.DUMMYFUNCTION("""COMPUTED_VALUE"""),30.0)</f>
        <v>30</v>
      </c>
      <c r="K3836" s="18">
        <f>IFERROR(__xludf.DUMMYFUNCTION("""COMPUTED_VALUE"""),50.0)</f>
        <v>50</v>
      </c>
      <c r="L3836" s="17">
        <f>IFERROR(__xludf.DUMMYFUNCTION("""COMPUTED_VALUE"""),3.053552603E9)</f>
        <v>3053552603</v>
      </c>
      <c r="M3836" s="17" t="str">
        <f>IFERROR(__xludf.DUMMYFUNCTION("""COMPUTED_VALUE"""),"#REF!")</f>
        <v>#REF!</v>
      </c>
      <c r="N3836" s="17"/>
      <c r="O3836" s="17"/>
      <c r="P3836" s="17" t="b">
        <f>IFERROR(__xludf.DUMMYFUNCTION("""COMPUTED_VALUE"""),FALSE)</f>
        <v>0</v>
      </c>
      <c r="Q3836" s="20" t="str">
        <f>IFERROR(__xludf.DUMMYFUNCTION("""COMPUTED_VALUE"""),"")</f>
        <v/>
      </c>
      <c r="R3836" s="21" t="str">
        <f>IFERROR(__xludf.DUMMYFUNCTION("""COMPUTED_VALUE"""),"https://drive.google.com/file/d/1BG-AkKRHrBDIU_0OWaMnztuOjW3_rhXE/view?usp=drivesdk")</f>
        <v>https://drive.google.com/file/d/1BG-AkKRHrBDIU_0OWaMnztuOjW3_rhXE/view?usp=drivesdk</v>
      </c>
    </row>
    <row r="3837">
      <c r="A3837" s="15">
        <f>IFERROR(__xludf.DUMMYFUNCTION("""COMPUTED_VALUE"""),45112.0)</f>
        <v>45112</v>
      </c>
      <c r="B3837" s="16" t="str">
        <f>IFERROR(__xludf.DUMMYFUNCTION("""COMPUTED_VALUE"""),"Oscar Augusto Meneses Osias")</f>
        <v>Oscar Augusto Meneses Osias</v>
      </c>
      <c r="C3837" s="15" t="str">
        <f>IFERROR(__xludf.DUMMYFUNCTION("""COMPUTED_VALUE"""),"MEDELLÍN")</f>
        <v>MEDELLÍN</v>
      </c>
      <c r="D3837" s="15" t="str">
        <f>IFERROR(__xludf.DUMMYFUNCTION("""COMPUTED_VALUE"""),"BOGOTÁ")</f>
        <v>BOGOTÁ</v>
      </c>
      <c r="E3837" s="15" t="str">
        <f>IFERROR(__xludf.DUMMYFUNCTION("""COMPUTED_VALUE"""),"Top Spun")</f>
        <v>Top Spun</v>
      </c>
      <c r="F3837" s="17" t="str">
        <f>IFERROR(__xludf.DUMMYFUNCTION("""COMPUTED_VALUE"""),"CRA 27 D # 34 DD SUR 69 / EDIFICIO QUEBEC APTO 808 / ENVIGADO ANTIOQUIA")</f>
        <v>CRA 27 D # 34 DD SUR 69 / EDIFICIO QUEBEC APTO 808 / ENVIGADO ANTIOQUIA</v>
      </c>
      <c r="G3837" s="15" t="str">
        <f>IFERROR(__xludf.DUMMYFUNCTION("""COMPUTED_VALUE"""),"LAURA ALEJANDRA GUTIéRREZ CAJICA")</f>
        <v>LAURA ALEJANDRA GUTIéRREZ CAJICA</v>
      </c>
      <c r="H3837" s="16">
        <f>IFERROR(__xludf.DUMMYFUNCTION("""COMPUTED_VALUE"""),12275.0)</f>
        <v>12275</v>
      </c>
      <c r="I3837" s="18">
        <f>IFERROR(__xludf.DUMMYFUNCTION("""COMPUTED_VALUE"""),20.0)</f>
        <v>20</v>
      </c>
      <c r="J3837" s="18">
        <f>IFERROR(__xludf.DUMMYFUNCTION("""COMPUTED_VALUE"""),10.0)</f>
        <v>10</v>
      </c>
      <c r="K3837" s="18">
        <f>IFERROR(__xludf.DUMMYFUNCTION("""COMPUTED_VALUE"""),40.0)</f>
        <v>40</v>
      </c>
      <c r="L3837" s="17">
        <f>IFERROR(__xludf.DUMMYFUNCTION("""COMPUTED_VALUE"""),3.022927874E9)</f>
        <v>3022927874</v>
      </c>
      <c r="M3837" s="17" t="str">
        <f>IFERROR(__xludf.DUMMYFUNCTION("""COMPUTED_VALUE"""),"#REF!")</f>
        <v>#REF!</v>
      </c>
      <c r="N3837" s="17"/>
      <c r="O3837" s="17"/>
      <c r="P3837" s="17" t="b">
        <f>IFERROR(__xludf.DUMMYFUNCTION("""COMPUTED_VALUE"""),FALSE)</f>
        <v>0</v>
      </c>
      <c r="Q3837" s="20" t="str">
        <f>IFERROR(__xludf.DUMMYFUNCTION("""COMPUTED_VALUE"""),"")</f>
        <v/>
      </c>
      <c r="R3837" s="21" t="str">
        <f>IFERROR(__xludf.DUMMYFUNCTION("""COMPUTED_VALUE"""),"https://drive.google.com/file/d/1NENIC-saySmsOY2EJA-78dDYhE6glJnM/view?usp=drivesdk")</f>
        <v>https://drive.google.com/file/d/1NENIC-saySmsOY2EJA-78dDYhE6glJnM/view?usp=drivesdk</v>
      </c>
    </row>
    <row r="3838">
      <c r="A3838" s="15">
        <f>IFERROR(__xludf.DUMMYFUNCTION("""COMPUTED_VALUE"""),45112.0)</f>
        <v>45112</v>
      </c>
      <c r="B3838" s="16" t="str">
        <f>IFERROR(__xludf.DUMMYFUNCTION("""COMPUTED_VALUE"""),"Oscar Augusto Meneses Osias")</f>
        <v>Oscar Augusto Meneses Osias</v>
      </c>
      <c r="C3838" s="15" t="str">
        <f>IFERROR(__xludf.DUMMYFUNCTION("""COMPUTED_VALUE"""),"MEDELLÍN")</f>
        <v>MEDELLÍN</v>
      </c>
      <c r="D3838" s="15" t="str">
        <f>IFERROR(__xludf.DUMMYFUNCTION("""COMPUTED_VALUE"""),"BOGOTÁ")</f>
        <v>BOGOTÁ</v>
      </c>
      <c r="E3838" s="15" t="str">
        <f>IFERROR(__xludf.DUMMYFUNCTION("""COMPUTED_VALUE"""),"Ventura Productos Arg")</f>
        <v>Ventura Productos Arg</v>
      </c>
      <c r="F3838" s="17" t="str">
        <f>IFERROR(__xludf.DUMMYFUNCTION("""COMPUTED_VALUE"""),"Calle 40 E 84 56 / Edificio Forest Rionegro. Apto 3-404")</f>
        <v>Calle 40 E 84 56 / Edificio Forest Rionegro. Apto 3-404</v>
      </c>
      <c r="G3838" s="15" t="str">
        <f>IFERROR(__xludf.DUMMYFUNCTION("""COMPUTED_VALUE"""),"Alejandra Henao")</f>
        <v>Alejandra Henao</v>
      </c>
      <c r="H3838" s="16">
        <f>IFERROR(__xludf.DUMMYFUNCTION("""COMPUTED_VALUE"""),12251.0)</f>
        <v>12251</v>
      </c>
      <c r="I3838" s="18">
        <f>IFERROR(__xludf.DUMMYFUNCTION("""COMPUTED_VALUE"""),3.0)</f>
        <v>3</v>
      </c>
      <c r="J3838" s="18">
        <f>IFERROR(__xludf.DUMMYFUNCTION("""COMPUTED_VALUE"""),45053.0)</f>
        <v>45053</v>
      </c>
      <c r="K3838" s="18">
        <f>IFERROR(__xludf.DUMMYFUNCTION("""COMPUTED_VALUE"""),22.0)</f>
        <v>22</v>
      </c>
      <c r="L3838" s="17" t="str">
        <f>IFERROR(__xludf.DUMMYFUNCTION("""COMPUTED_VALUE"""),"313 7756099")</f>
        <v>313 7756099</v>
      </c>
      <c r="M3838" s="17" t="str">
        <f>IFERROR(__xludf.DUMMYFUNCTION("""COMPUTED_VALUE"""),"#REF!")</f>
        <v>#REF!</v>
      </c>
      <c r="N3838" s="17"/>
      <c r="O3838" s="17"/>
      <c r="P3838" s="17" t="b">
        <f>IFERROR(__xludf.DUMMYFUNCTION("""COMPUTED_VALUE"""),FALSE)</f>
        <v>0</v>
      </c>
      <c r="Q3838" s="20" t="str">
        <f>IFERROR(__xludf.DUMMYFUNCTION("""COMPUTED_VALUE"""),"")</f>
        <v/>
      </c>
      <c r="R3838" s="22" t="str">
        <f>IFERROR(__xludf.DUMMYFUNCTION("""COMPUTED_VALUE"""),"")</f>
        <v/>
      </c>
    </row>
    <row r="3839">
      <c r="A3839" s="17" t="str">
        <f>IFERROR(__xludf.DUMMYFUNCTION("""COMPUTED_VALUE"""),"")</f>
        <v/>
      </c>
      <c r="B3839" s="17" t="str">
        <f>IFERROR(__xludf.DUMMYFUNCTION("""COMPUTED_VALUE"""),"")</f>
        <v/>
      </c>
      <c r="C3839" s="17" t="str">
        <f>IFERROR(__xludf.DUMMYFUNCTION("""COMPUTED_VALUE"""),"")</f>
        <v/>
      </c>
      <c r="D3839" s="17" t="str">
        <f>IFERROR(__xludf.DUMMYFUNCTION("""COMPUTED_VALUE"""),"")</f>
        <v/>
      </c>
      <c r="E3839" s="17" t="str">
        <f>IFERROR(__xludf.DUMMYFUNCTION("""COMPUTED_VALUE"""),"")</f>
        <v/>
      </c>
      <c r="F3839" s="17" t="str">
        <f>IFERROR(__xludf.DUMMYFUNCTION("""COMPUTED_VALUE"""),"")</f>
        <v/>
      </c>
      <c r="G3839" s="17" t="str">
        <f>IFERROR(__xludf.DUMMYFUNCTION("""COMPUTED_VALUE"""),"")</f>
        <v/>
      </c>
      <c r="H3839" s="17" t="str">
        <f>IFERROR(__xludf.DUMMYFUNCTION("""COMPUTED_VALUE"""),"")</f>
        <v/>
      </c>
      <c r="I3839" s="17" t="str">
        <f>IFERROR(__xludf.DUMMYFUNCTION("""COMPUTED_VALUE"""),"")</f>
        <v/>
      </c>
      <c r="J3839" s="17" t="str">
        <f>IFERROR(__xludf.DUMMYFUNCTION("""COMPUTED_VALUE"""),"")</f>
        <v/>
      </c>
      <c r="K3839" s="17" t="str">
        <f>IFERROR(__xludf.DUMMYFUNCTION("""COMPUTED_VALUE"""),"")</f>
        <v/>
      </c>
      <c r="L3839" s="17" t="str">
        <f>IFERROR(__xludf.DUMMYFUNCTION("""COMPUTED_VALUE"""),"")</f>
        <v/>
      </c>
      <c r="M3839" s="17" t="str">
        <f>IFERROR(__xludf.DUMMYFUNCTION("""COMPUTED_VALUE"""),"")</f>
        <v/>
      </c>
      <c r="N3839" s="17" t="str">
        <f>IFERROR(__xludf.DUMMYFUNCTION("""COMPUTED_VALUE"""),"")</f>
        <v/>
      </c>
      <c r="O3839" s="17" t="str">
        <f>IFERROR(__xludf.DUMMYFUNCTION("""COMPUTED_VALUE"""),"")</f>
        <v/>
      </c>
      <c r="P3839" s="17" t="str">
        <f>IFERROR(__xludf.DUMMYFUNCTION("""COMPUTED_VALUE"""),"")</f>
        <v/>
      </c>
      <c r="Q3839" s="17" t="str">
        <f>IFERROR(__xludf.DUMMYFUNCTION("""COMPUTED_VALUE"""),"")</f>
        <v/>
      </c>
      <c r="R3839" s="17" t="str">
        <f>IFERROR(__xludf.DUMMYFUNCTION("""COMPUTED_VALUE"""),"")</f>
        <v/>
      </c>
    </row>
    <row r="3840">
      <c r="A3840" s="15">
        <f>IFERROR(__xludf.DUMMYFUNCTION("""COMPUTED_VALUE"""),45113.0)</f>
        <v>45113</v>
      </c>
      <c r="B3840" s="16" t="str">
        <f>IFERROR(__xludf.DUMMYFUNCTION("""COMPUTED_VALUE"""),"Anuar suarez jimenez ")</f>
        <v>Anuar suarez jimenez </v>
      </c>
      <c r="C3840" s="15" t="str">
        <f>IFERROR(__xludf.DUMMYFUNCTION("""COMPUTED_VALUE"""),"MONTERIA")</f>
        <v>MONTERIA</v>
      </c>
      <c r="D3840" s="15" t="str">
        <f>IFERROR(__xludf.DUMMYFUNCTION("""COMPUTED_VALUE"""),"BOGOTÁ")</f>
        <v>BOGOTÁ</v>
      </c>
      <c r="E3840" s="15" t="str">
        <f>IFERROR(__xludf.DUMMYFUNCTION("""COMPUTED_VALUE"""),"Asociacion Agropecuaria Juana Maria")</f>
        <v>Asociacion Agropecuaria Juana Maria</v>
      </c>
      <c r="F3840" s="17" t="str">
        <f>IFERROR(__xludf.DUMMYFUNCTION("""COMPUTED_VALUE"""),"Cra 14A #54-23 Barrio Monte Verde")</f>
        <v>Cra 14A #54-23 Barrio Monte Verde</v>
      </c>
      <c r="G3840" s="15" t="str">
        <f>IFERROR(__xludf.DUMMYFUNCTION("""COMPUTED_VALUE"""),"Emilia Miranda")</f>
        <v>Emilia Miranda</v>
      </c>
      <c r="H3840" s="16">
        <f>IFERROR(__xludf.DUMMYFUNCTION("""COMPUTED_VALUE"""),12260.0)</f>
        <v>12260</v>
      </c>
      <c r="I3840" s="18">
        <f>IFERROR(__xludf.DUMMYFUNCTION("""COMPUTED_VALUE"""),28.0)</f>
        <v>28</v>
      </c>
      <c r="J3840" s="18">
        <f>IFERROR(__xludf.DUMMYFUNCTION("""COMPUTED_VALUE"""),37.0)</f>
        <v>37</v>
      </c>
      <c r="K3840" s="18">
        <f>IFERROR(__xludf.DUMMYFUNCTION("""COMPUTED_VALUE"""),27.0)</f>
        <v>27</v>
      </c>
      <c r="L3840" s="17">
        <f>IFERROR(__xludf.DUMMYFUNCTION("""COMPUTED_VALUE"""),3.113438505E9)</f>
        <v>3113438505</v>
      </c>
      <c r="M3840" s="17" t="str">
        <f>IFERROR(__xludf.DUMMYFUNCTION("""COMPUTED_VALUE"""),"#REF!")</f>
        <v>#REF!</v>
      </c>
      <c r="N3840" s="17"/>
      <c r="O3840" s="17"/>
      <c r="P3840" s="17" t="b">
        <f>IFERROR(__xludf.DUMMYFUNCTION("""COMPUTED_VALUE"""),FALSE)</f>
        <v>0</v>
      </c>
      <c r="Q3840" s="20" t="str">
        <f>IFERROR(__xludf.DUMMYFUNCTION("""COMPUTED_VALUE"""),"")</f>
        <v/>
      </c>
      <c r="R3840" s="21" t="str">
        <f>IFERROR(__xludf.DUMMYFUNCTION("""COMPUTED_VALUE"""),"https://drive.google.com/file/d/139zsFcZXm6twLmHZucxiezxaWhmZs6sL/view?usp=drivesdk")</f>
        <v>https://drive.google.com/file/d/139zsFcZXm6twLmHZucxiezxaWhmZs6sL/view?usp=drivesdk</v>
      </c>
    </row>
    <row r="3841">
      <c r="A3841" s="15">
        <f>IFERROR(__xludf.DUMMYFUNCTION("""COMPUTED_VALUE"""),45113.0)</f>
        <v>45113</v>
      </c>
      <c r="B3841" s="16" t="str">
        <f>IFERROR(__xludf.DUMMYFUNCTION("""COMPUTED_VALUE"""),"Anuar suarez jimenez ")</f>
        <v>Anuar suarez jimenez </v>
      </c>
      <c r="C3841" s="15" t="str">
        <f>IFERROR(__xludf.DUMMYFUNCTION("""COMPUTED_VALUE"""),"MONTERIA")</f>
        <v>MONTERIA</v>
      </c>
      <c r="D3841" s="15" t="str">
        <f>IFERROR(__xludf.DUMMYFUNCTION("""COMPUTED_VALUE"""),"BOGOTÁ")</f>
        <v>BOGOTÁ</v>
      </c>
      <c r="E3841" s="15" t="str">
        <f>IFERROR(__xludf.DUMMYFUNCTION("""COMPUTED_VALUE"""),"Evamazzita")</f>
        <v>Evamazzita</v>
      </c>
      <c r="F3841" s="17" t="str">
        <f>IFERROR(__xludf.DUMMYFUNCTION("""COMPUTED_VALUE"""),"CRA 14A No. 54 . 23  / CRA 14A No. 54 . 23  / BARRIO MONTEVERDE")</f>
        <v>CRA 14A No. 54 . 23  / CRA 14A No. 54 . 23  / BARRIO MONTEVERDE</v>
      </c>
      <c r="G3841" s="15" t="str">
        <f>IFERROR(__xludf.DUMMYFUNCTION("""COMPUTED_VALUE"""),"EMILIA MIRANDA")</f>
        <v>EMILIA MIRANDA</v>
      </c>
      <c r="H3841" s="16">
        <f>IFERROR(__xludf.DUMMYFUNCTION("""COMPUTED_VALUE"""),12285.0)</f>
        <v>12285</v>
      </c>
      <c r="I3841" s="18">
        <f>IFERROR(__xludf.DUMMYFUNCTION("""COMPUTED_VALUE"""),16.0)</f>
        <v>16</v>
      </c>
      <c r="J3841" s="18">
        <f>IFERROR(__xludf.DUMMYFUNCTION("""COMPUTED_VALUE"""),39.0)</f>
        <v>39</v>
      </c>
      <c r="K3841" s="18">
        <f>IFERROR(__xludf.DUMMYFUNCTION("""COMPUTED_VALUE"""),46.0)</f>
        <v>46</v>
      </c>
      <c r="L3841" s="17">
        <f>IFERROR(__xludf.DUMMYFUNCTION("""COMPUTED_VALUE"""),3.113438505E9)</f>
        <v>3113438505</v>
      </c>
      <c r="M3841" s="17" t="str">
        <f>IFERROR(__xludf.DUMMYFUNCTION("""COMPUTED_VALUE"""),"#REF!")</f>
        <v>#REF!</v>
      </c>
      <c r="N3841" s="17"/>
      <c r="O3841" s="17"/>
      <c r="P3841" s="17" t="b">
        <f>IFERROR(__xludf.DUMMYFUNCTION("""COMPUTED_VALUE"""),FALSE)</f>
        <v>0</v>
      </c>
      <c r="Q3841" s="20" t="str">
        <f>IFERROR(__xludf.DUMMYFUNCTION("""COMPUTED_VALUE"""),"")</f>
        <v/>
      </c>
      <c r="R3841" s="21" t="str">
        <f>IFERROR(__xludf.DUMMYFUNCTION("""COMPUTED_VALUE"""),"https://drive.google.com/file/d/1pSnlL5oPxIfL5ItLqMK9SpxktNYHPRCU/view?usp=drivesdk")</f>
        <v>https://drive.google.com/file/d/1pSnlL5oPxIfL5ItLqMK9SpxktNYHPRCU/view?usp=drivesdk</v>
      </c>
    </row>
    <row r="3842">
      <c r="A3842" s="15">
        <f>IFERROR(__xludf.DUMMYFUNCTION("""COMPUTED_VALUE"""),45113.0)</f>
        <v>45113</v>
      </c>
      <c r="B3842" s="16" t="str">
        <f>IFERROR(__xludf.DUMMYFUNCTION("""COMPUTED_VALUE"""),"Anuar suarez jimenez ")</f>
        <v>Anuar suarez jimenez </v>
      </c>
      <c r="C3842" s="15" t="str">
        <f>IFERROR(__xludf.DUMMYFUNCTION("""COMPUTED_VALUE"""),"MONTERIA")</f>
        <v>MONTERIA</v>
      </c>
      <c r="D3842" s="15" t="str">
        <f>IFERROR(__xludf.DUMMYFUNCTION("""COMPUTED_VALUE"""),"MEDELLÍN")</f>
        <v>MEDELLÍN</v>
      </c>
      <c r="E3842" s="15" t="str">
        <f>IFERROR(__xludf.DUMMYFUNCTION("""COMPUTED_VALUE"""),"Baby Chef")</f>
        <v>Baby Chef</v>
      </c>
      <c r="F3842" s="17" t="str">
        <f>IFERROR(__xludf.DUMMYFUNCTION("""COMPUTED_VALUE"""),"Cra 8 AW # 16 a 21. Barrio Vallejo. Primera etapa. Detrás de la cancha Holanda. / Cra 8 AW # 16 a 21. Barrio Vallejo. Primera etapa. Detrás de la cancha Holanda. / Cra 8 AW # 16 a 21. Barrio Vallejo. Primera etapa. Detrás de la cancha Holanda.")</f>
        <v>Cra 8 AW # 16 a 21. Barrio Vallejo. Primera etapa. Detrás de la cancha Holanda. / Cra 8 AW # 16 a 21. Barrio Vallejo. Primera etapa. Detrás de la cancha Holanda. / Cra 8 AW # 16 a 21. Barrio Vallejo. Primera etapa. Detrás de la cancha Holanda.</v>
      </c>
      <c r="G3842" s="15" t="str">
        <f>IFERROR(__xludf.DUMMYFUNCTION("""COMPUTED_VALUE"""),"Marieta Ruíz")</f>
        <v>Marieta Ruíz</v>
      </c>
      <c r="H3842" s="16">
        <f>IFERROR(__xludf.DUMMYFUNCTION("""COMPUTED_VALUE"""),12404.0)</f>
        <v>12404</v>
      </c>
      <c r="I3842" s="18">
        <f>IFERROR(__xludf.DUMMYFUNCTION("""COMPUTED_VALUE"""),8.0)</f>
        <v>8</v>
      </c>
      <c r="J3842" s="18">
        <f>IFERROR(__xludf.DUMMYFUNCTION("""COMPUTED_VALUE"""),16.0)</f>
        <v>16</v>
      </c>
      <c r="K3842" s="18">
        <f>IFERROR(__xludf.DUMMYFUNCTION("""COMPUTED_VALUE"""),20.0)</f>
        <v>20</v>
      </c>
      <c r="L3842" s="17">
        <f>IFERROR(__xludf.DUMMYFUNCTION("""COMPUTED_VALUE"""),3.015744363E9)</f>
        <v>3015744363</v>
      </c>
      <c r="M3842" s="17" t="str">
        <f>IFERROR(__xludf.DUMMYFUNCTION("""COMPUTED_VALUE"""),"#REF!")</f>
        <v>#REF!</v>
      </c>
      <c r="N3842" s="17"/>
      <c r="O3842" s="17"/>
      <c r="P3842" s="17" t="b">
        <f>IFERROR(__xludf.DUMMYFUNCTION("""COMPUTED_VALUE"""),FALSE)</f>
        <v>0</v>
      </c>
      <c r="Q3842" s="20" t="str">
        <f>IFERROR(__xludf.DUMMYFUNCTION("""COMPUTED_VALUE"""),"")</f>
        <v/>
      </c>
      <c r="R3842" s="21" t="str">
        <f>IFERROR(__xludf.DUMMYFUNCTION("""COMPUTED_VALUE"""),"https://drive.google.com/file/d/1o-YavsBg9VLqlxQqYSpSX7vB-QyQtCtX/view?usp=drivesdk")</f>
        <v>https://drive.google.com/file/d/1o-YavsBg9VLqlxQqYSpSX7vB-QyQtCtX/view?usp=drivesdk</v>
      </c>
    </row>
    <row r="3843">
      <c r="A3843" s="15">
        <f>IFERROR(__xludf.DUMMYFUNCTION("""COMPUTED_VALUE"""),45113.0)</f>
        <v>45113</v>
      </c>
      <c r="B3843" s="16" t="str">
        <f>IFERROR(__xludf.DUMMYFUNCTION("""COMPUTED_VALUE"""),"Anuar suarez jimenez ")</f>
        <v>Anuar suarez jimenez </v>
      </c>
      <c r="C3843" s="15" t="str">
        <f>IFERROR(__xludf.DUMMYFUNCTION("""COMPUTED_VALUE"""),"MONTERIA")</f>
        <v>MONTERIA</v>
      </c>
      <c r="D3843" s="15" t="str">
        <f>IFERROR(__xludf.DUMMYFUNCTION("""COMPUTED_VALUE"""),"MEDELLÍN")</f>
        <v>MEDELLÍN</v>
      </c>
      <c r="E3843" s="15" t="str">
        <f>IFERROR(__xludf.DUMMYFUNCTION("""COMPUTED_VALUE"""),"Moloso S.A.S")</f>
        <v>Moloso S.A.S</v>
      </c>
      <c r="F3843" s="17" t="str">
        <f>IFERROR(__xludf.DUMMYFUNCTION("""COMPUTED_VALUE"""),"CALLE 68  5-51 / BO D AP 301")</f>
        <v>CALLE 68  5-51 / BO D AP 301</v>
      </c>
      <c r="G3843" s="15" t="str">
        <f>IFERROR(__xludf.DUMMYFUNCTION("""COMPUTED_VALUE"""),"MARIA BEATRIZ PUCHE")</f>
        <v>MARIA BEATRIZ PUCHE</v>
      </c>
      <c r="H3843" s="16">
        <f>IFERROR(__xludf.DUMMYFUNCTION("""COMPUTED_VALUE"""),12393.0)</f>
        <v>12393</v>
      </c>
      <c r="I3843" s="18">
        <f>IFERROR(__xludf.DUMMYFUNCTION("""COMPUTED_VALUE"""),17.0)</f>
        <v>17</v>
      </c>
      <c r="J3843" s="18">
        <f>IFERROR(__xludf.DUMMYFUNCTION("""COMPUTED_VALUE"""),15.0)</f>
        <v>15</v>
      </c>
      <c r="K3843" s="18">
        <f>IFERROR(__xludf.DUMMYFUNCTION("""COMPUTED_VALUE"""),28.0)</f>
        <v>28</v>
      </c>
      <c r="L3843" s="17">
        <f>IFERROR(__xludf.DUMMYFUNCTION("""COMPUTED_VALUE"""),3.103549972E9)</f>
        <v>3103549972</v>
      </c>
      <c r="M3843" s="17" t="str">
        <f>IFERROR(__xludf.DUMMYFUNCTION("""COMPUTED_VALUE"""),"#REF!")</f>
        <v>#REF!</v>
      </c>
      <c r="N3843" s="17"/>
      <c r="O3843" s="17"/>
      <c r="P3843" s="17" t="b">
        <f>IFERROR(__xludf.DUMMYFUNCTION("""COMPUTED_VALUE"""),FALSE)</f>
        <v>0</v>
      </c>
      <c r="Q3843" s="20" t="str">
        <f>IFERROR(__xludf.DUMMYFUNCTION("""COMPUTED_VALUE"""),"")</f>
        <v/>
      </c>
      <c r="R3843" s="21" t="str">
        <f>IFERROR(__xludf.DUMMYFUNCTION("""COMPUTED_VALUE"""),"https://drive.google.com/file/d/1NK7bOQIVqPDQEByxNIf9JNnLTuFZXENw/view?usp=drivesdk")</f>
        <v>https://drive.google.com/file/d/1NK7bOQIVqPDQEByxNIf9JNnLTuFZXENw/view?usp=drivesdk</v>
      </c>
    </row>
    <row r="3844">
      <c r="A3844" s="17" t="str">
        <f>IFERROR(__xludf.DUMMYFUNCTION("""COMPUTED_VALUE"""),"")</f>
        <v/>
      </c>
      <c r="B3844" s="17" t="str">
        <f>IFERROR(__xludf.DUMMYFUNCTION("""COMPUTED_VALUE"""),"")</f>
        <v/>
      </c>
      <c r="C3844" s="17" t="str">
        <f>IFERROR(__xludf.DUMMYFUNCTION("""COMPUTED_VALUE"""),"")</f>
        <v/>
      </c>
      <c r="D3844" s="17" t="str">
        <f>IFERROR(__xludf.DUMMYFUNCTION("""COMPUTED_VALUE"""),"")</f>
        <v/>
      </c>
      <c r="E3844" s="17" t="str">
        <f>IFERROR(__xludf.DUMMYFUNCTION("""COMPUTED_VALUE"""),"")</f>
        <v/>
      </c>
      <c r="F3844" s="17" t="str">
        <f>IFERROR(__xludf.DUMMYFUNCTION("""COMPUTED_VALUE"""),"")</f>
        <v/>
      </c>
      <c r="G3844" s="17" t="str">
        <f>IFERROR(__xludf.DUMMYFUNCTION("""COMPUTED_VALUE"""),"")</f>
        <v/>
      </c>
      <c r="H3844" s="17" t="str">
        <f>IFERROR(__xludf.DUMMYFUNCTION("""COMPUTED_VALUE"""),"")</f>
        <v/>
      </c>
      <c r="I3844" s="17" t="str">
        <f>IFERROR(__xludf.DUMMYFUNCTION("""COMPUTED_VALUE"""),"")</f>
        <v/>
      </c>
      <c r="J3844" s="17" t="str">
        <f>IFERROR(__xludf.DUMMYFUNCTION("""COMPUTED_VALUE"""),"")</f>
        <v/>
      </c>
      <c r="K3844" s="17" t="str">
        <f>IFERROR(__xludf.DUMMYFUNCTION("""COMPUTED_VALUE"""),"")</f>
        <v/>
      </c>
      <c r="L3844" s="17" t="str">
        <f>IFERROR(__xludf.DUMMYFUNCTION("""COMPUTED_VALUE"""),"")</f>
        <v/>
      </c>
      <c r="M3844" s="17" t="str">
        <f>IFERROR(__xludf.DUMMYFUNCTION("""COMPUTED_VALUE"""),"")</f>
        <v/>
      </c>
      <c r="N3844" s="17" t="str">
        <f>IFERROR(__xludf.DUMMYFUNCTION("""COMPUTED_VALUE"""),"")</f>
        <v/>
      </c>
      <c r="O3844" s="17" t="str">
        <f>IFERROR(__xludf.DUMMYFUNCTION("""COMPUTED_VALUE"""),"")</f>
        <v/>
      </c>
      <c r="P3844" s="17" t="str">
        <f>IFERROR(__xludf.DUMMYFUNCTION("""COMPUTED_VALUE"""),"")</f>
        <v/>
      </c>
      <c r="Q3844" s="17" t="str">
        <f>IFERROR(__xludf.DUMMYFUNCTION("""COMPUTED_VALUE"""),"")</f>
        <v/>
      </c>
      <c r="R3844" s="17" t="str">
        <f>IFERROR(__xludf.DUMMYFUNCTION("""COMPUTED_VALUE"""),"")</f>
        <v/>
      </c>
    </row>
    <row r="3845">
      <c r="A3845" s="15">
        <f>IFERROR(__xludf.DUMMYFUNCTION("""COMPUTED_VALUE"""),45113.0)</f>
        <v>45113</v>
      </c>
      <c r="B3845" s="16" t="str">
        <f>IFERROR(__xludf.DUMMYFUNCTION("""COMPUTED_VALUE"""),"David Sanmartin Bello")</f>
        <v>David Sanmartin Bello</v>
      </c>
      <c r="C3845" s="15" t="str">
        <f>IFERROR(__xludf.DUMMYFUNCTION("""COMPUTED_VALUE"""),"BARRANQUILLA")</f>
        <v>BARRANQUILLA</v>
      </c>
      <c r="D3845" s="15" t="str">
        <f>IFERROR(__xludf.DUMMYFUNCTION("""COMPUTED_VALUE"""),"BOGOTÁ")</f>
        <v>BOGOTÁ</v>
      </c>
      <c r="E3845" s="15" t="str">
        <f>IFERROR(__xludf.DUMMYFUNCTION("""COMPUTED_VALUE"""),"Frambascolombia sas")</f>
        <v>Frambascolombia sas</v>
      </c>
      <c r="F3845" s="17" t="str">
        <f>IFERROR(__xludf.DUMMYFUNCTION("""COMPUTED_VALUE"""),"Cra 51B  # 82- 81 / local 2")</f>
        <v>Cra 51B  # 82- 81 / local 2</v>
      </c>
      <c r="G3845" s="15" t="str">
        <f>IFERROR(__xludf.DUMMYFUNCTION("""COMPUTED_VALUE"""),"D LILI BARRANQUILLA")</f>
        <v>D LILI BARRANQUILLA</v>
      </c>
      <c r="H3845" s="16">
        <f>IFERROR(__xludf.DUMMYFUNCTION("""COMPUTED_VALUE"""),12267.0)</f>
        <v>12267</v>
      </c>
      <c r="I3845" s="18" t="str">
        <f>IFERROR(__xludf.DUMMYFUNCTION("""COMPUTED_VALUE"""),"52.5")</f>
        <v>52.5</v>
      </c>
      <c r="J3845" s="18">
        <f>IFERROR(__xludf.DUMMYFUNCTION("""COMPUTED_VALUE"""),45.0)</f>
        <v>45</v>
      </c>
      <c r="K3845" s="18">
        <f>IFERROR(__xludf.DUMMYFUNCTION("""COMPUTED_VALUE"""),55.0)</f>
        <v>55</v>
      </c>
      <c r="L3845" s="17">
        <f>IFERROR(__xludf.DUMMYFUNCTION("""COMPUTED_VALUE"""),3.004442649E9)</f>
        <v>3004442649</v>
      </c>
      <c r="M3845" s="17" t="str">
        <f>IFERROR(__xludf.DUMMYFUNCTION("""COMPUTED_VALUE"""),"#REF!")</f>
        <v>#REF!</v>
      </c>
      <c r="N3845" s="17"/>
      <c r="O3845" s="17"/>
      <c r="P3845" s="17" t="b">
        <f>IFERROR(__xludf.DUMMYFUNCTION("""COMPUTED_VALUE"""),TRUE)</f>
        <v>1</v>
      </c>
      <c r="Q3845" s="20">
        <f>IFERROR(__xludf.DUMMYFUNCTION("""COMPUTED_VALUE"""),45113.73108179398)</f>
        <v>45113.73108</v>
      </c>
      <c r="R3845" s="21" t="str">
        <f>IFERROR(__xludf.DUMMYFUNCTION("""COMPUTED_VALUE"""),"https://drive.google.com/file/d/1aahsmoq7_wegN-Cr1bSSXrJ_DgQ0a_9o/view?usp=drivesdk")</f>
        <v>https://drive.google.com/file/d/1aahsmoq7_wegN-Cr1bSSXrJ_DgQ0a_9o/view?usp=drivesdk</v>
      </c>
    </row>
    <row r="3846">
      <c r="A3846" s="15">
        <f>IFERROR(__xludf.DUMMYFUNCTION("""COMPUTED_VALUE"""),45113.0)</f>
        <v>45113</v>
      </c>
      <c r="B3846" s="16" t="str">
        <f>IFERROR(__xludf.DUMMYFUNCTION("""COMPUTED_VALUE"""),"David Sanmartin Bello")</f>
        <v>David Sanmartin Bello</v>
      </c>
      <c r="C3846" s="15" t="str">
        <f>IFERROR(__xludf.DUMMYFUNCTION("""COMPUTED_VALUE"""),"CARTAGENA")</f>
        <v>CARTAGENA</v>
      </c>
      <c r="D3846" s="15" t="str">
        <f>IFERROR(__xludf.DUMMYFUNCTION("""COMPUTED_VALUE"""),"BOGOTÁ")</f>
        <v>BOGOTÁ</v>
      </c>
      <c r="E3846" s="15" t="str">
        <f>IFERROR(__xludf.DUMMYFUNCTION("""COMPUTED_VALUE"""),"MAI ALIMENTOS S.A.S")</f>
        <v>MAI ALIMENTOS S.A.S</v>
      </c>
      <c r="F3846" s="17" t="str">
        <f>IFERROR(__xludf.DUMMYFUNCTION("""COMPUTED_VALUE"""),"Carrera 3 A # 31 - 23 / Plaza Santa teresa / Restaurante Harry Sasson")</f>
        <v>Carrera 3 A # 31 - 23 / Plaza Santa teresa / Restaurante Harry Sasson</v>
      </c>
      <c r="G3846" s="15" t="str">
        <f>IFERROR(__xludf.DUMMYFUNCTION("""COMPUTED_VALUE"""),"Hoteles Charleston SAS")</f>
        <v>Hoteles Charleston SAS</v>
      </c>
      <c r="H3846" s="16">
        <f>IFERROR(__xludf.DUMMYFUNCTION("""COMPUTED_VALUE"""),12373.0)</f>
        <v>12373</v>
      </c>
      <c r="I3846" s="18">
        <f>IFERROR(__xludf.DUMMYFUNCTION("""COMPUTED_VALUE"""),35.0)</f>
        <v>35</v>
      </c>
      <c r="J3846" s="18">
        <f>IFERROR(__xludf.DUMMYFUNCTION("""COMPUTED_VALUE"""),17.0)</f>
        <v>17</v>
      </c>
      <c r="K3846" s="18">
        <f>IFERROR(__xludf.DUMMYFUNCTION("""COMPUTED_VALUE"""),13.0)</f>
        <v>13</v>
      </c>
      <c r="L3846" s="17">
        <f>IFERROR(__xludf.DUMMYFUNCTION("""COMPUTED_VALUE"""),3.174374246E9)</f>
        <v>3174374246</v>
      </c>
      <c r="M3846" s="17" t="str">
        <f>IFERROR(__xludf.DUMMYFUNCTION("""COMPUTED_VALUE"""),"#REF!")</f>
        <v>#REF!</v>
      </c>
      <c r="N3846" s="17"/>
      <c r="O3846" s="17"/>
      <c r="P3846" s="17" t="b">
        <f>IFERROR(__xludf.DUMMYFUNCTION("""COMPUTED_VALUE"""),TRUE)</f>
        <v>1</v>
      </c>
      <c r="Q3846" s="20">
        <f>IFERROR(__xludf.DUMMYFUNCTION("""COMPUTED_VALUE"""),45113.731130740736)</f>
        <v>45113.73113</v>
      </c>
      <c r="R3846" s="22" t="str">
        <f>IFERROR(__xludf.DUMMYFUNCTION("""COMPUTED_VALUE"""),"")</f>
        <v/>
      </c>
    </row>
    <row r="3847">
      <c r="A3847" s="15">
        <f>IFERROR(__xludf.DUMMYFUNCTION("""COMPUTED_VALUE"""),45113.0)</f>
        <v>45113</v>
      </c>
      <c r="B3847" s="16" t="str">
        <f>IFERROR(__xludf.DUMMYFUNCTION("""COMPUTED_VALUE"""),"David Sanmartin Bello")</f>
        <v>David Sanmartin Bello</v>
      </c>
      <c r="C3847" s="15" t="str">
        <f>IFERROR(__xludf.DUMMYFUNCTION("""COMPUTED_VALUE"""),"CARTAGENA")</f>
        <v>CARTAGENA</v>
      </c>
      <c r="D3847" s="15" t="str">
        <f>IFERROR(__xludf.DUMMYFUNCTION("""COMPUTED_VALUE"""),"MEDELLÍN")</f>
        <v>MEDELLÍN</v>
      </c>
      <c r="E3847" s="15" t="str">
        <f>IFERROR(__xludf.DUMMYFUNCTION("""COMPUTED_VALUE"""),"AREPAS LA MARY")</f>
        <v>AREPAS LA MARY</v>
      </c>
      <c r="F3847" s="17" t="str">
        <f>IFERROR(__xludf.DUMMYFUNCTION("""COMPUTED_VALUE"""),"CALLE 6 N 4 20 / CENTRO COMERCIAL LA ESTACION LOCAL 110")</f>
        <v>CALLE 6 N 4 20 / CENTRO COMERCIAL LA ESTACION LOCAL 110</v>
      </c>
      <c r="G3847" s="15" t="str">
        <f>IFERROR(__xludf.DUMMYFUNCTION("""COMPUTED_VALUE"""),"COCOFIT MERCADO SALUDABLE")</f>
        <v>COCOFIT MERCADO SALUDABLE</v>
      </c>
      <c r="H3847" s="16">
        <f>IFERROR(__xludf.DUMMYFUNCTION("""COMPUTED_VALUE"""),12277.0)</f>
        <v>12277</v>
      </c>
      <c r="I3847" s="18">
        <f>IFERROR(__xludf.DUMMYFUNCTION("""COMPUTED_VALUE"""),89.0)</f>
        <v>89</v>
      </c>
      <c r="J3847" s="18">
        <f>IFERROR(__xludf.DUMMYFUNCTION("""COMPUTED_VALUE"""),1.0)</f>
        <v>1</v>
      </c>
      <c r="K3847" s="18">
        <f>IFERROR(__xludf.DUMMYFUNCTION("""COMPUTED_VALUE"""),10.0)</f>
        <v>10</v>
      </c>
      <c r="L3847" s="17">
        <f>IFERROR(__xludf.DUMMYFUNCTION("""COMPUTED_VALUE"""),3.135781119E9)</f>
        <v>3135781119</v>
      </c>
      <c r="M3847" s="17" t="str">
        <f>IFERROR(__xludf.DUMMYFUNCTION("""COMPUTED_VALUE"""),"#REF!")</f>
        <v>#REF!</v>
      </c>
      <c r="N3847" s="17"/>
      <c r="O3847" s="17"/>
      <c r="P3847" s="17" t="b">
        <f>IFERROR(__xludf.DUMMYFUNCTION("""COMPUTED_VALUE"""),TRUE)</f>
        <v>1</v>
      </c>
      <c r="Q3847" s="20">
        <f>IFERROR(__xludf.DUMMYFUNCTION("""COMPUTED_VALUE"""),45113.73113075232)</f>
        <v>45113.73113</v>
      </c>
      <c r="R3847" s="22" t="str">
        <f>IFERROR(__xludf.DUMMYFUNCTION("""COMPUTED_VALUE"""),"")</f>
        <v/>
      </c>
    </row>
    <row r="3848">
      <c r="A3848" s="15">
        <f>IFERROR(__xludf.DUMMYFUNCTION("""COMPUTED_VALUE"""),45113.0)</f>
        <v>45113</v>
      </c>
      <c r="B3848" s="16" t="str">
        <f>IFERROR(__xludf.DUMMYFUNCTION("""COMPUTED_VALUE"""),"David Sanmartin Bello")</f>
        <v>David Sanmartin Bello</v>
      </c>
      <c r="C3848" s="15" t="str">
        <f>IFERROR(__xludf.DUMMYFUNCTION("""COMPUTED_VALUE"""),"CARTAGENA")</f>
        <v>CARTAGENA</v>
      </c>
      <c r="D3848" s="15" t="str">
        <f>IFERROR(__xludf.DUMMYFUNCTION("""COMPUTED_VALUE"""),"MEDELLÍN")</f>
        <v>MEDELLÍN</v>
      </c>
      <c r="E3848" s="15" t="str">
        <f>IFERROR(__xludf.DUMMYFUNCTION("""COMPUTED_VALUE"""),"Baby Chef")</f>
        <v>Baby Chef</v>
      </c>
      <c r="F3848" s="17" t="str">
        <f>IFERROR(__xludf.DUMMYFUNCTION("""COMPUTED_VALUE"""),"Barrio El Cabrero, Carrera 2 #43a - 71 Ed. Torino Apto 2402 / ""Barrio El Cabrero, Carrera 2 #43a - 71 Ed. Torino Apto 2402"" / ""Barrio El Cabrero, Carrera 2 #43a - 71 Ed. Torino Apto 2402""")</f>
        <v>Barrio El Cabrero, Carrera 2 #43a - 71 Ed. Torino Apto 2402 / "Barrio El Cabrero, Carrera 2 #43a - 71 Ed. Torino Apto 2402" / "Barrio El Cabrero, Carrera 2 #43a - 71 Ed. Torino Apto 2402"</v>
      </c>
      <c r="G3848" s="15" t="str">
        <f>IFERROR(__xludf.DUMMYFUNCTION("""COMPUTED_VALUE"""),"Andrea Ramírez")</f>
        <v>Andrea Ramírez</v>
      </c>
      <c r="H3848" s="16">
        <f>IFERROR(__xludf.DUMMYFUNCTION("""COMPUTED_VALUE"""),12370.0)</f>
        <v>12370</v>
      </c>
      <c r="I3848" s="18">
        <f>IFERROR(__xludf.DUMMYFUNCTION("""COMPUTED_VALUE"""),8.0)</f>
        <v>8</v>
      </c>
      <c r="J3848" s="18">
        <f>IFERROR(__xludf.DUMMYFUNCTION("""COMPUTED_VALUE"""),16.0)</f>
        <v>16</v>
      </c>
      <c r="K3848" s="18">
        <f>IFERROR(__xludf.DUMMYFUNCTION("""COMPUTED_VALUE"""),20.0)</f>
        <v>20</v>
      </c>
      <c r="L3848" s="17">
        <f>IFERROR(__xludf.DUMMYFUNCTION("""COMPUTED_VALUE"""),3.00195902E9)</f>
        <v>3001959020</v>
      </c>
      <c r="M3848" s="17" t="str">
        <f>IFERROR(__xludf.DUMMYFUNCTION("""COMPUTED_VALUE"""),"#REF!")</f>
        <v>#REF!</v>
      </c>
      <c r="N3848" s="17"/>
      <c r="O3848" s="17"/>
      <c r="P3848" s="17" t="b">
        <f>IFERROR(__xludf.DUMMYFUNCTION("""COMPUTED_VALUE"""),TRUE)</f>
        <v>1</v>
      </c>
      <c r="Q3848" s="20">
        <f>IFERROR(__xludf.DUMMYFUNCTION("""COMPUTED_VALUE"""),45113.73113075232)</f>
        <v>45113.73113</v>
      </c>
      <c r="R3848" s="21" t="str">
        <f>IFERROR(__xludf.DUMMYFUNCTION("""COMPUTED_VALUE"""),"https://drive.google.com/file/d/1GPe_9_y7OpA-KG3d5wDRpy6yvi86cCrO/view?usp=drivesdk")</f>
        <v>https://drive.google.com/file/d/1GPe_9_y7OpA-KG3d5wDRpy6yvi86cCrO/view?usp=drivesdk</v>
      </c>
    </row>
    <row r="3849">
      <c r="A3849" s="17" t="str">
        <f>IFERROR(__xludf.DUMMYFUNCTION("""COMPUTED_VALUE"""),"")</f>
        <v/>
      </c>
      <c r="B3849" s="17" t="str">
        <f>IFERROR(__xludf.DUMMYFUNCTION("""COMPUTED_VALUE"""),"")</f>
        <v/>
      </c>
      <c r="C3849" s="17" t="str">
        <f>IFERROR(__xludf.DUMMYFUNCTION("""COMPUTED_VALUE"""),"")</f>
        <v/>
      </c>
      <c r="D3849" s="17" t="str">
        <f>IFERROR(__xludf.DUMMYFUNCTION("""COMPUTED_VALUE"""),"")</f>
        <v/>
      </c>
      <c r="E3849" s="17" t="str">
        <f>IFERROR(__xludf.DUMMYFUNCTION("""COMPUTED_VALUE"""),"")</f>
        <v/>
      </c>
      <c r="F3849" s="17" t="str">
        <f>IFERROR(__xludf.DUMMYFUNCTION("""COMPUTED_VALUE"""),"")</f>
        <v/>
      </c>
      <c r="G3849" s="17" t="str">
        <f>IFERROR(__xludf.DUMMYFUNCTION("""COMPUTED_VALUE"""),"")</f>
        <v/>
      </c>
      <c r="H3849" s="17" t="str">
        <f>IFERROR(__xludf.DUMMYFUNCTION("""COMPUTED_VALUE"""),"")</f>
        <v/>
      </c>
      <c r="I3849" s="17" t="str">
        <f>IFERROR(__xludf.DUMMYFUNCTION("""COMPUTED_VALUE"""),"")</f>
        <v/>
      </c>
      <c r="J3849" s="17" t="str">
        <f>IFERROR(__xludf.DUMMYFUNCTION("""COMPUTED_VALUE"""),"")</f>
        <v/>
      </c>
      <c r="K3849" s="17" t="str">
        <f>IFERROR(__xludf.DUMMYFUNCTION("""COMPUTED_VALUE"""),"")</f>
        <v/>
      </c>
      <c r="L3849" s="17" t="str">
        <f>IFERROR(__xludf.DUMMYFUNCTION("""COMPUTED_VALUE"""),"")</f>
        <v/>
      </c>
      <c r="M3849" s="17" t="str">
        <f>IFERROR(__xludf.DUMMYFUNCTION("""COMPUTED_VALUE"""),"")</f>
        <v/>
      </c>
      <c r="N3849" s="17" t="str">
        <f>IFERROR(__xludf.DUMMYFUNCTION("""COMPUTED_VALUE"""),"")</f>
        <v/>
      </c>
      <c r="O3849" s="17" t="str">
        <f>IFERROR(__xludf.DUMMYFUNCTION("""COMPUTED_VALUE"""),"")</f>
        <v/>
      </c>
      <c r="P3849" s="17" t="str">
        <f>IFERROR(__xludf.DUMMYFUNCTION("""COMPUTED_VALUE"""),"")</f>
        <v/>
      </c>
      <c r="Q3849" s="17" t="str">
        <f>IFERROR(__xludf.DUMMYFUNCTION("""COMPUTED_VALUE"""),"")</f>
        <v/>
      </c>
      <c r="R3849" s="17" t="str">
        <f>IFERROR(__xludf.DUMMYFUNCTION("""COMPUTED_VALUE"""),"")</f>
        <v/>
      </c>
    </row>
    <row r="3850">
      <c r="A3850" s="15">
        <f>IFERROR(__xludf.DUMMYFUNCTION("""COMPUTED_VALUE"""),45113.0)</f>
        <v>45113</v>
      </c>
      <c r="B3850" s="16" t="str">
        <f>IFERROR(__xludf.DUMMYFUNCTION("""COMPUTED_VALUE"""),"Envia")</f>
        <v>Envia</v>
      </c>
      <c r="C3850" s="15" t="str">
        <f>IFERROR(__xludf.DUMMYFUNCTION("""COMPUTED_VALUE"""),"BOGOTÁ")</f>
        <v>BOGOTÁ</v>
      </c>
      <c r="D3850" s="15" t="str">
        <f>IFERROR(__xludf.DUMMYFUNCTION("""COMPUTED_VALUE"""),"MEDELLÍN")</f>
        <v>MEDELLÍN</v>
      </c>
      <c r="E3850" s="15" t="str">
        <f>IFERROR(__xludf.DUMMYFUNCTION("""COMPUTED_VALUE"""),"Helados Artesanos")</f>
        <v>Helados Artesanos</v>
      </c>
      <c r="F3850" s="17" t="str">
        <f>IFERROR(__xludf.DUMMYFUNCTION("""COMPUTED_VALUE"""),"Carrera 16 A # 77 -23 Bogota / Centro de acopio Dando cuerda / Reclaman en centro de acopio")</f>
        <v>Carrera 16 A # 77 -23 Bogota / Centro de acopio Dando cuerda / Reclaman en centro de acopio</v>
      </c>
      <c r="G3850" s="15" t="str">
        <f>IFERROR(__xludf.DUMMYFUNCTION("""COMPUTED_VALUE"""),"Valentina Blanco")</f>
        <v>Valentina Blanco</v>
      </c>
      <c r="H3850" s="16">
        <f>IFERROR(__xludf.DUMMYFUNCTION("""COMPUTED_VALUE"""),12400.0)</f>
        <v>12400</v>
      </c>
      <c r="I3850" s="18">
        <f>IFERROR(__xludf.DUMMYFUNCTION("""COMPUTED_VALUE"""),27.0)</f>
        <v>27</v>
      </c>
      <c r="J3850" s="18">
        <f>IFERROR(__xludf.DUMMYFUNCTION("""COMPUTED_VALUE"""),24.0)</f>
        <v>24</v>
      </c>
      <c r="K3850" s="18">
        <f>IFERROR(__xludf.DUMMYFUNCTION("""COMPUTED_VALUE"""),32.0)</f>
        <v>32</v>
      </c>
      <c r="L3850" s="17">
        <f>IFERROR(__xludf.DUMMYFUNCTION("""COMPUTED_VALUE"""),3.118877458E9)</f>
        <v>3118877458</v>
      </c>
      <c r="M3850" s="17" t="str">
        <f>IFERROR(__xludf.DUMMYFUNCTION("""COMPUTED_VALUE"""),"#REF!")</f>
        <v>#REF!</v>
      </c>
      <c r="N3850" s="17"/>
      <c r="O3850" s="17"/>
      <c r="P3850" s="17" t="b">
        <f>IFERROR(__xludf.DUMMYFUNCTION("""COMPUTED_VALUE"""),TRUE)</f>
        <v>1</v>
      </c>
      <c r="Q3850" s="20">
        <f>IFERROR(__xludf.DUMMYFUNCTION("""COMPUTED_VALUE"""),45113.73108179398)</f>
        <v>45113.73108</v>
      </c>
      <c r="R3850" s="21" t="str">
        <f>IFERROR(__xludf.DUMMYFUNCTION("""COMPUTED_VALUE"""),"https://drive.google.com/file/d/1p9_YkwzVsrJSKoDxgAUNSQ9E0hP8jPao/view?usp=drivesdk")</f>
        <v>https://drive.google.com/file/d/1p9_YkwzVsrJSKoDxgAUNSQ9E0hP8jPao/view?usp=drivesdk</v>
      </c>
    </row>
    <row r="3851">
      <c r="A3851" s="15">
        <f>IFERROR(__xludf.DUMMYFUNCTION("""COMPUTED_VALUE"""),45113.0)</f>
        <v>45113</v>
      </c>
      <c r="B3851" s="16" t="str">
        <f>IFERROR(__xludf.DUMMYFUNCTION("""COMPUTED_VALUE"""),"Envia")</f>
        <v>Envia</v>
      </c>
      <c r="C3851" s="15" t="str">
        <f>IFERROR(__xludf.DUMMYFUNCTION("""COMPUTED_VALUE"""),"CALI")</f>
        <v>CALI</v>
      </c>
      <c r="D3851" s="15" t="str">
        <f>IFERROR(__xludf.DUMMYFUNCTION("""COMPUTED_VALUE"""),"MEDELLÍN")</f>
        <v>MEDELLÍN</v>
      </c>
      <c r="E3851" s="15" t="str">
        <f>IFERROR(__xludf.DUMMYFUNCTION("""COMPUTED_VALUE"""),"Baby Chef")</f>
        <v>Baby Chef</v>
      </c>
      <c r="F3851" s="17" t="str">
        <f>IFERROR(__xludf.DUMMYFUNCTION("""COMPUTED_VALUE"""),"Calle 10 oeste # 38-286 apto 206 b  La Morelia  / Calle 10 oeste # 38-286 apto 206 b  La Morelia  / Calle 10 oeste # 38-286 apto 206 b  La Morelia")</f>
        <v>Calle 10 oeste # 38-286 apto 206 b  La Morelia  / Calle 10 oeste # 38-286 apto 206 b  La Morelia  / Calle 10 oeste # 38-286 apto 206 b  La Morelia</v>
      </c>
      <c r="G3851" s="15" t="str">
        <f>IFERROR(__xludf.DUMMYFUNCTION("""COMPUTED_VALUE"""),"Paola Meneses")</f>
        <v>Paola Meneses</v>
      </c>
      <c r="H3851" s="16">
        <f>IFERROR(__xludf.DUMMYFUNCTION("""COMPUTED_VALUE"""),12401.0)</f>
        <v>12401</v>
      </c>
      <c r="I3851" s="18">
        <f>IFERROR(__xludf.DUMMYFUNCTION("""COMPUTED_VALUE"""),8.0)</f>
        <v>8</v>
      </c>
      <c r="J3851" s="18">
        <f>IFERROR(__xludf.DUMMYFUNCTION("""COMPUTED_VALUE"""),16.0)</f>
        <v>16</v>
      </c>
      <c r="K3851" s="18">
        <f>IFERROR(__xludf.DUMMYFUNCTION("""COMPUTED_VALUE"""),20.0)</f>
        <v>20</v>
      </c>
      <c r="L3851" s="17">
        <f>IFERROR(__xludf.DUMMYFUNCTION("""COMPUTED_VALUE"""),3.104007499E9)</f>
        <v>3104007499</v>
      </c>
      <c r="M3851" s="17" t="str">
        <f>IFERROR(__xludf.DUMMYFUNCTION("""COMPUTED_VALUE"""),"#REF!")</f>
        <v>#REF!</v>
      </c>
      <c r="N3851" s="17"/>
      <c r="O3851" s="17"/>
      <c r="P3851" s="17" t="b">
        <f>IFERROR(__xludf.DUMMYFUNCTION("""COMPUTED_VALUE"""),FALSE)</f>
        <v>0</v>
      </c>
      <c r="Q3851" s="20" t="str">
        <f>IFERROR(__xludf.DUMMYFUNCTION("""COMPUTED_VALUE"""),"")</f>
        <v/>
      </c>
      <c r="R3851" s="21" t="str">
        <f>IFERROR(__xludf.DUMMYFUNCTION("""COMPUTED_VALUE"""),"https://drive.google.com/file/d/1LQHy_hQ7Y3I4R9daMnBjTkup1hblu5hT/view?usp=drivesdk")</f>
        <v>https://drive.google.com/file/d/1LQHy_hQ7Y3I4R9daMnBjTkup1hblu5hT/view?usp=drivesdk</v>
      </c>
    </row>
    <row r="3852">
      <c r="A3852" s="15">
        <f>IFERROR(__xludf.DUMMYFUNCTION("""COMPUTED_VALUE"""),45113.0)</f>
        <v>45113</v>
      </c>
      <c r="B3852" s="16" t="str">
        <f>IFERROR(__xludf.DUMMYFUNCTION("""COMPUTED_VALUE"""),"Envia")</f>
        <v>Envia</v>
      </c>
      <c r="C3852" s="15" t="str">
        <f>IFERROR(__xludf.DUMMYFUNCTION("""COMPUTED_VALUE"""),"CALI")</f>
        <v>CALI</v>
      </c>
      <c r="D3852" s="15" t="str">
        <f>IFERROR(__xludf.DUMMYFUNCTION("""COMPUTED_VALUE"""),"MEDELLÍN")</f>
        <v>MEDELLÍN</v>
      </c>
      <c r="E3852" s="15" t="str">
        <f>IFERROR(__xludf.DUMMYFUNCTION("""COMPUTED_VALUE"""),"Moloso S.A.S")</f>
        <v>Moloso S.A.S</v>
      </c>
      <c r="F3852" s="17" t="str">
        <f>IFERROR(__xludf.DUMMYFUNCTION("""COMPUTED_VALUE"""),"CL 15 67 51 / TORREON DE ALICANTE AP 203A")</f>
        <v>CL 15 67 51 / TORREON DE ALICANTE AP 203A</v>
      </c>
      <c r="G3852" s="15" t="str">
        <f>IFERROR(__xludf.DUMMYFUNCTION("""COMPUTED_VALUE"""),"JAVIER ALEJANDRO CORREA")</f>
        <v>JAVIER ALEJANDRO CORREA</v>
      </c>
      <c r="H3852" s="16">
        <f>IFERROR(__xludf.DUMMYFUNCTION("""COMPUTED_VALUE"""),12394.0)</f>
        <v>12394</v>
      </c>
      <c r="I3852" s="18">
        <f>IFERROR(__xludf.DUMMYFUNCTION("""COMPUTED_VALUE"""),17.0)</f>
        <v>17</v>
      </c>
      <c r="J3852" s="18">
        <f>IFERROR(__xludf.DUMMYFUNCTION("""COMPUTED_VALUE"""),15.0)</f>
        <v>15</v>
      </c>
      <c r="K3852" s="18">
        <f>IFERROR(__xludf.DUMMYFUNCTION("""COMPUTED_VALUE"""),28.0)</f>
        <v>28</v>
      </c>
      <c r="L3852" s="17" t="str">
        <f>IFERROR(__xludf.DUMMYFUNCTION("""COMPUTED_VALUE"""),"300 2382088")</f>
        <v>300 2382088</v>
      </c>
      <c r="M3852" s="17" t="str">
        <f>IFERROR(__xludf.DUMMYFUNCTION("""COMPUTED_VALUE"""),"#REF!")</f>
        <v>#REF!</v>
      </c>
      <c r="N3852" s="17"/>
      <c r="O3852" s="17"/>
      <c r="P3852" s="17" t="b">
        <f>IFERROR(__xludf.DUMMYFUNCTION("""COMPUTED_VALUE"""),FALSE)</f>
        <v>0</v>
      </c>
      <c r="Q3852" s="20" t="str">
        <f>IFERROR(__xludf.DUMMYFUNCTION("""COMPUTED_VALUE"""),"")</f>
        <v/>
      </c>
      <c r="R3852" s="21" t="str">
        <f>IFERROR(__xludf.DUMMYFUNCTION("""COMPUTED_VALUE"""),"https://drive.google.com/file/d/1GPkEZl8ACtVaurqx2UQp23s3PryjTxJr/view?usp=drivesdk")</f>
        <v>https://drive.google.com/file/d/1GPkEZl8ACtVaurqx2UQp23s3PryjTxJr/view?usp=drivesdk</v>
      </c>
    </row>
    <row r="3853">
      <c r="A3853" s="15">
        <f>IFERROR(__xludf.DUMMYFUNCTION("""COMPUTED_VALUE"""),45113.0)</f>
        <v>45113</v>
      </c>
      <c r="B3853" s="16" t="str">
        <f>IFERROR(__xludf.DUMMYFUNCTION("""COMPUTED_VALUE"""),"Envia")</f>
        <v>Envia</v>
      </c>
      <c r="C3853" s="15" t="str">
        <f>IFERROR(__xludf.DUMMYFUNCTION("""COMPUTED_VALUE"""),"CARTAGENA")</f>
        <v>CARTAGENA</v>
      </c>
      <c r="D3853" s="15" t="str">
        <f>IFERROR(__xludf.DUMMYFUNCTION("""COMPUTED_VALUE"""),"MEDELLÍN")</f>
        <v>MEDELLÍN</v>
      </c>
      <c r="E3853" s="15" t="str">
        <f>IFERROR(__xludf.DUMMYFUNCTION("""COMPUTED_VALUE"""),"Baby Chef")</f>
        <v>Baby Chef</v>
      </c>
      <c r="F3853" s="17" t="str">
        <f>IFERROR(__xludf.DUMMYFUNCTION("""COMPUTED_VALUE"""),"Carrera 4 numero 5-123 ed acuarela Apto 1602  Bocagrande / Carrera 4 numero 5-123 ed acuarela Apto 1602  Bocagrande / Carrera 4 numero 5-123 ed acuarela Apto 1602  Bocagrande")</f>
        <v>Carrera 4 numero 5-123 ed acuarela Apto 1602  Bocagrande / Carrera 4 numero 5-123 ed acuarela Apto 1602  Bocagrande / Carrera 4 numero 5-123 ed acuarela Apto 1602  Bocagrande</v>
      </c>
      <c r="G3853" s="15" t="str">
        <f>IFERROR(__xludf.DUMMYFUNCTION("""COMPUTED_VALUE"""),"Jacqueline farah")</f>
        <v>Jacqueline farah</v>
      </c>
      <c r="H3853" s="16">
        <f>IFERROR(__xludf.DUMMYFUNCTION("""COMPUTED_VALUE"""),12371.0)</f>
        <v>12371</v>
      </c>
      <c r="I3853" s="18">
        <f>IFERROR(__xludf.DUMMYFUNCTION("""COMPUTED_VALUE"""),8.0)</f>
        <v>8</v>
      </c>
      <c r="J3853" s="18">
        <f>IFERROR(__xludf.DUMMYFUNCTION("""COMPUTED_VALUE"""),16.0)</f>
        <v>16</v>
      </c>
      <c r="K3853" s="18">
        <f>IFERROR(__xludf.DUMMYFUNCTION("""COMPUTED_VALUE"""),20.0)</f>
        <v>20</v>
      </c>
      <c r="L3853" s="17">
        <f>IFERROR(__xludf.DUMMYFUNCTION("""COMPUTED_VALUE"""),3.203337464E9)</f>
        <v>3203337464</v>
      </c>
      <c r="M3853" s="17" t="str">
        <f>IFERROR(__xludf.DUMMYFUNCTION("""COMPUTED_VALUE"""),"#REF!")</f>
        <v>#REF!</v>
      </c>
      <c r="N3853" s="17"/>
      <c r="O3853" s="17"/>
      <c r="P3853" s="17" t="b">
        <f>IFERROR(__xludf.DUMMYFUNCTION("""COMPUTED_VALUE"""),FALSE)</f>
        <v>0</v>
      </c>
      <c r="Q3853" s="20" t="str">
        <f>IFERROR(__xludf.DUMMYFUNCTION("""COMPUTED_VALUE"""),"")</f>
        <v/>
      </c>
      <c r="R3853" s="21" t="str">
        <f>IFERROR(__xludf.DUMMYFUNCTION("""COMPUTED_VALUE"""),"https://drive.google.com/file/d/1v0czqAvYs6XfE9OPv1JUwmSGT8-lrgoP/view?usp=drivesdk")</f>
        <v>https://drive.google.com/file/d/1v0czqAvYs6XfE9OPv1JUwmSGT8-lrgoP/view?usp=drivesdk</v>
      </c>
    </row>
    <row r="3854">
      <c r="A3854" s="15">
        <f>IFERROR(__xludf.DUMMYFUNCTION("""COMPUTED_VALUE"""),45113.0)</f>
        <v>45113</v>
      </c>
      <c r="B3854" s="16" t="str">
        <f>IFERROR(__xludf.DUMMYFUNCTION("""COMPUTED_VALUE"""),"Envia")</f>
        <v>Envia</v>
      </c>
      <c r="C3854" s="15" t="str">
        <f>IFERROR(__xludf.DUMMYFUNCTION("""COMPUTED_VALUE"""),"CARTAGENA")</f>
        <v>CARTAGENA</v>
      </c>
      <c r="D3854" s="15" t="str">
        <f>IFERROR(__xludf.DUMMYFUNCTION("""COMPUTED_VALUE"""),"MEDELLÍN")</f>
        <v>MEDELLÍN</v>
      </c>
      <c r="E3854" s="15" t="str">
        <f>IFERROR(__xludf.DUMMYFUNCTION("""COMPUTED_VALUE"""),"Rambla")</f>
        <v>Rambla</v>
      </c>
      <c r="F3854" s="17" t="str">
        <f>IFERROR(__xludf.DUMMYFUNCTION("""COMPUTED_VALUE"""),"CRA 12  5A-09 Apto 2101 Edificio Ponce de León Cartagena  / NA / NA")</f>
        <v>CRA 12  5A-09 Apto 2101 Edificio Ponce de León Cartagena  / NA / NA</v>
      </c>
      <c r="G3854" s="15" t="str">
        <f>IFERROR(__xludf.DUMMYFUNCTION("""COMPUTED_VALUE"""),"Guadalupe Yidios G.")</f>
        <v>Guadalupe Yidios G.</v>
      </c>
      <c r="H3854" s="16">
        <f>IFERROR(__xludf.DUMMYFUNCTION("""COMPUTED_VALUE"""),12331.0)</f>
        <v>12331</v>
      </c>
      <c r="I3854" s="18">
        <f>IFERROR(__xludf.DUMMYFUNCTION("""COMPUTED_VALUE"""),15.0)</f>
        <v>15</v>
      </c>
      <c r="J3854" s="18">
        <f>IFERROR(__xludf.DUMMYFUNCTION("""COMPUTED_VALUE"""),18.0)</f>
        <v>18</v>
      </c>
      <c r="K3854" s="18">
        <f>IFERROR(__xludf.DUMMYFUNCTION("""COMPUTED_VALUE"""),20.0)</f>
        <v>20</v>
      </c>
      <c r="L3854" s="17">
        <f>IFERROR(__xludf.DUMMYFUNCTION("""COMPUTED_VALUE"""),3.157312839E9)</f>
        <v>3157312839</v>
      </c>
      <c r="M3854" s="17" t="str">
        <f>IFERROR(__xludf.DUMMYFUNCTION("""COMPUTED_VALUE"""),"#REF!")</f>
        <v>#REF!</v>
      </c>
      <c r="N3854" s="17"/>
      <c r="O3854" s="17"/>
      <c r="P3854" s="17" t="b">
        <f>IFERROR(__xludf.DUMMYFUNCTION("""COMPUTED_VALUE"""),FALSE)</f>
        <v>0</v>
      </c>
      <c r="Q3854" s="20" t="str">
        <f>IFERROR(__xludf.DUMMYFUNCTION("""COMPUTED_VALUE"""),"")</f>
        <v/>
      </c>
      <c r="R3854" s="22" t="str">
        <f>IFERROR(__xludf.DUMMYFUNCTION("""COMPUTED_VALUE"""),"")</f>
        <v/>
      </c>
    </row>
    <row r="3855">
      <c r="A3855" s="15">
        <f>IFERROR(__xludf.DUMMYFUNCTION("""COMPUTED_VALUE"""),45113.0)</f>
        <v>45113</v>
      </c>
      <c r="B3855" s="16" t="str">
        <f>IFERROR(__xludf.DUMMYFUNCTION("""COMPUTED_VALUE"""),"Envia")</f>
        <v>Envia</v>
      </c>
      <c r="C3855" s="15" t="str">
        <f>IFERROR(__xludf.DUMMYFUNCTION("""COMPUTED_VALUE"""),"CÚCUTA")</f>
        <v>CÚCUTA</v>
      </c>
      <c r="D3855" s="15" t="str">
        <f>IFERROR(__xludf.DUMMYFUNCTION("""COMPUTED_VALUE"""),"MEDELLÍN")</f>
        <v>MEDELLÍN</v>
      </c>
      <c r="E3855" s="15" t="str">
        <f>IFERROR(__xludf.DUMMYFUNCTION("""COMPUTED_VALUE"""),"Momo Tea S.A.S Gabriel Echavarría")</f>
        <v>Momo Tea S.A.S Gabriel Echavarría</v>
      </c>
      <c r="F3855" s="17" t="str">
        <f>IFERROR(__xludf.DUMMYFUNCTION("""COMPUTED_VALUE"""),"CL 11 N 16 E 35 / CA B 1")</f>
        <v>CL 11 N 16 E 35 / CA B 1</v>
      </c>
      <c r="G3855" s="15" t="str">
        <f>IFERROR(__xludf.DUMMYFUNCTION("""COMPUTED_VALUE"""),"Gabriel Echavarría")</f>
        <v>Gabriel Echavarría</v>
      </c>
      <c r="H3855" s="16">
        <f>IFERROR(__xludf.DUMMYFUNCTION("""COMPUTED_VALUE"""),12339.0)</f>
        <v>12339</v>
      </c>
      <c r="I3855" s="18">
        <f>IFERROR(__xludf.DUMMYFUNCTION("""COMPUTED_VALUE"""),21.0)</f>
        <v>21</v>
      </c>
      <c r="J3855" s="18">
        <f>IFERROR(__xludf.DUMMYFUNCTION("""COMPUTED_VALUE"""),29.0)</f>
        <v>29</v>
      </c>
      <c r="K3855" s="18">
        <f>IFERROR(__xludf.DUMMYFUNCTION("""COMPUTED_VALUE"""),29.0)</f>
        <v>29</v>
      </c>
      <c r="L3855" s="17">
        <f>IFERROR(__xludf.DUMMYFUNCTION("""COMPUTED_VALUE"""),3.017909548E9)</f>
        <v>3017909548</v>
      </c>
      <c r="M3855" s="17" t="str">
        <f>IFERROR(__xludf.DUMMYFUNCTION("""COMPUTED_VALUE"""),"#REF!")</f>
        <v>#REF!</v>
      </c>
      <c r="N3855" s="17"/>
      <c r="O3855" s="17"/>
      <c r="P3855" s="17" t="b">
        <f>IFERROR(__xludf.DUMMYFUNCTION("""COMPUTED_VALUE"""),FALSE)</f>
        <v>0</v>
      </c>
      <c r="Q3855" s="20" t="str">
        <f>IFERROR(__xludf.DUMMYFUNCTION("""COMPUTED_VALUE"""),"")</f>
        <v/>
      </c>
      <c r="R3855" s="22" t="str">
        <f>IFERROR(__xludf.DUMMYFUNCTION("""COMPUTED_VALUE"""),"")</f>
        <v/>
      </c>
    </row>
    <row r="3856">
      <c r="A3856" s="15">
        <f>IFERROR(__xludf.DUMMYFUNCTION("""COMPUTED_VALUE"""),45113.0)</f>
        <v>45113</v>
      </c>
      <c r="B3856" s="16" t="str">
        <f>IFERROR(__xludf.DUMMYFUNCTION("""COMPUTED_VALUE"""),"Envia")</f>
        <v>Envia</v>
      </c>
      <c r="C3856" s="15" t="str">
        <f>IFERROR(__xludf.DUMMYFUNCTION("""COMPUTED_VALUE"""),"CÚCUTA")</f>
        <v>CÚCUTA</v>
      </c>
      <c r="D3856" s="15" t="str">
        <f>IFERROR(__xludf.DUMMYFUNCTION("""COMPUTED_VALUE"""),"MEDELLÍN")</f>
        <v>MEDELLÍN</v>
      </c>
      <c r="E3856" s="15" t="str">
        <f>IFERROR(__xludf.DUMMYFUNCTION("""COMPUTED_VALUE"""),"Momo Tea S.A.S Gabriel Echavarría")</f>
        <v>Momo Tea S.A.S Gabriel Echavarría</v>
      </c>
      <c r="F3856" s="17" t="str">
        <f>IFERROR(__xludf.DUMMYFUNCTION("""COMPUTED_VALUE"""),"CL 11 N 16 E 35 / CA B 1")</f>
        <v>CL 11 N 16 E 35 / CA B 1</v>
      </c>
      <c r="G3856" s="15" t="str">
        <f>IFERROR(__xludf.DUMMYFUNCTION("""COMPUTED_VALUE"""),"Gabriel Echavarría")</f>
        <v>Gabriel Echavarría</v>
      </c>
      <c r="H3856" s="16">
        <f>IFERROR(__xludf.DUMMYFUNCTION("""COMPUTED_VALUE"""),12340.0)</f>
        <v>12340</v>
      </c>
      <c r="I3856" s="18">
        <f>IFERROR(__xludf.DUMMYFUNCTION("""COMPUTED_VALUE"""),28.0)</f>
        <v>28</v>
      </c>
      <c r="J3856" s="18">
        <f>IFERROR(__xludf.DUMMYFUNCTION("""COMPUTED_VALUE"""),54.0)</f>
        <v>54</v>
      </c>
      <c r="K3856" s="18">
        <f>IFERROR(__xludf.DUMMYFUNCTION("""COMPUTED_VALUE"""),35.0)</f>
        <v>35</v>
      </c>
      <c r="L3856" s="17">
        <f>IFERROR(__xludf.DUMMYFUNCTION("""COMPUTED_VALUE"""),3.017909548E9)</f>
        <v>3017909548</v>
      </c>
      <c r="M3856" s="17" t="str">
        <f>IFERROR(__xludf.DUMMYFUNCTION("""COMPUTED_VALUE"""),"#REF!")</f>
        <v>#REF!</v>
      </c>
      <c r="N3856" s="17"/>
      <c r="O3856" s="17"/>
      <c r="P3856" s="17" t="b">
        <f>IFERROR(__xludf.DUMMYFUNCTION("""COMPUTED_VALUE"""),FALSE)</f>
        <v>0</v>
      </c>
      <c r="Q3856" s="20" t="str">
        <f>IFERROR(__xludf.DUMMYFUNCTION("""COMPUTED_VALUE"""),"")</f>
        <v/>
      </c>
      <c r="R3856" s="22" t="str">
        <f>IFERROR(__xludf.DUMMYFUNCTION("""COMPUTED_VALUE"""),"")</f>
        <v/>
      </c>
    </row>
    <row r="3857">
      <c r="A3857" s="15">
        <f>IFERROR(__xludf.DUMMYFUNCTION("""COMPUTED_VALUE"""),45113.0)</f>
        <v>45113</v>
      </c>
      <c r="B3857" s="16" t="str">
        <f>IFERROR(__xludf.DUMMYFUNCTION("""COMPUTED_VALUE"""),"Envia")</f>
        <v>Envia</v>
      </c>
      <c r="C3857" s="15" t="str">
        <f>IFERROR(__xludf.DUMMYFUNCTION("""COMPUTED_VALUE"""),"CÚCUTA")</f>
        <v>CÚCUTA</v>
      </c>
      <c r="D3857" s="15" t="str">
        <f>IFERROR(__xludf.DUMMYFUNCTION("""COMPUTED_VALUE"""),"MEDELLÍN")</f>
        <v>MEDELLÍN</v>
      </c>
      <c r="E3857" s="15" t="str">
        <f>IFERROR(__xludf.DUMMYFUNCTION("""COMPUTED_VALUE"""),"Momo Tea S.A.S Gabriel Echavarría")</f>
        <v>Momo Tea S.A.S Gabriel Echavarría</v>
      </c>
      <c r="F3857" s="17" t="str">
        <f>IFERROR(__xludf.DUMMYFUNCTION("""COMPUTED_VALUE"""),"CL 11 N 16 E 35 / CA B 1")</f>
        <v>CL 11 N 16 E 35 / CA B 1</v>
      </c>
      <c r="G3857" s="15" t="str">
        <f>IFERROR(__xludf.DUMMYFUNCTION("""COMPUTED_VALUE"""),"Gabriel Echavarría")</f>
        <v>Gabriel Echavarría</v>
      </c>
      <c r="H3857" s="16">
        <f>IFERROR(__xludf.DUMMYFUNCTION("""COMPUTED_VALUE"""),12341.0)</f>
        <v>12341</v>
      </c>
      <c r="I3857" s="18">
        <f>IFERROR(__xludf.DUMMYFUNCTION("""COMPUTED_VALUE"""),39.0)</f>
        <v>39</v>
      </c>
      <c r="J3857" s="18">
        <f>IFERROR(__xludf.DUMMYFUNCTION("""COMPUTED_VALUE"""),27.0)</f>
        <v>27</v>
      </c>
      <c r="K3857" s="18">
        <f>IFERROR(__xludf.DUMMYFUNCTION("""COMPUTED_VALUE"""),27.0)</f>
        <v>27</v>
      </c>
      <c r="L3857" s="17">
        <f>IFERROR(__xludf.DUMMYFUNCTION("""COMPUTED_VALUE"""),3.017909548E9)</f>
        <v>3017909548</v>
      </c>
      <c r="M3857" s="17" t="str">
        <f>IFERROR(__xludf.DUMMYFUNCTION("""COMPUTED_VALUE"""),"#REF!")</f>
        <v>#REF!</v>
      </c>
      <c r="N3857" s="17"/>
      <c r="O3857" s="17"/>
      <c r="P3857" s="17" t="b">
        <f>IFERROR(__xludf.DUMMYFUNCTION("""COMPUTED_VALUE"""),FALSE)</f>
        <v>0</v>
      </c>
      <c r="Q3857" s="20" t="str">
        <f>IFERROR(__xludf.DUMMYFUNCTION("""COMPUTED_VALUE"""),"")</f>
        <v/>
      </c>
      <c r="R3857" s="22" t="str">
        <f>IFERROR(__xludf.DUMMYFUNCTION("""COMPUTED_VALUE"""),"")</f>
        <v/>
      </c>
    </row>
    <row r="3858">
      <c r="A3858" s="15">
        <f>IFERROR(__xludf.DUMMYFUNCTION("""COMPUTED_VALUE"""),45113.0)</f>
        <v>45113</v>
      </c>
      <c r="B3858" s="16" t="str">
        <f>IFERROR(__xludf.DUMMYFUNCTION("""COMPUTED_VALUE"""),"Envia")</f>
        <v>Envia</v>
      </c>
      <c r="C3858" s="15" t="str">
        <f>IFERROR(__xludf.DUMMYFUNCTION("""COMPUTED_VALUE"""),"CÚCUTA")</f>
        <v>CÚCUTA</v>
      </c>
      <c r="D3858" s="15" t="str">
        <f>IFERROR(__xludf.DUMMYFUNCTION("""COMPUTED_VALUE"""),"MEDELLÍN")</f>
        <v>MEDELLÍN</v>
      </c>
      <c r="E3858" s="15" t="str">
        <f>IFERROR(__xludf.DUMMYFUNCTION("""COMPUTED_VALUE"""),"Momo Tea S.A.S Gabriel Echavarría")</f>
        <v>Momo Tea S.A.S Gabriel Echavarría</v>
      </c>
      <c r="F3858" s="17" t="str">
        <f>IFERROR(__xludf.DUMMYFUNCTION("""COMPUTED_VALUE"""),"CL 11 N 16 E 35 / CA B 1")</f>
        <v>CL 11 N 16 E 35 / CA B 1</v>
      </c>
      <c r="G3858" s="15" t="str">
        <f>IFERROR(__xludf.DUMMYFUNCTION("""COMPUTED_VALUE"""),"Gabriel Echavarría")</f>
        <v>Gabriel Echavarría</v>
      </c>
      <c r="H3858" s="16">
        <f>IFERROR(__xludf.DUMMYFUNCTION("""COMPUTED_VALUE"""),12342.0)</f>
        <v>12342</v>
      </c>
      <c r="I3858" s="18">
        <f>IFERROR(__xludf.DUMMYFUNCTION("""COMPUTED_VALUE"""),30.0)</f>
        <v>30</v>
      </c>
      <c r="J3858" s="18">
        <f>IFERROR(__xludf.DUMMYFUNCTION("""COMPUTED_VALUE"""),8.0)</f>
        <v>8</v>
      </c>
      <c r="K3858" s="18">
        <f>IFERROR(__xludf.DUMMYFUNCTION("""COMPUTED_VALUE"""),18.0)</f>
        <v>18</v>
      </c>
      <c r="L3858" s="17">
        <f>IFERROR(__xludf.DUMMYFUNCTION("""COMPUTED_VALUE"""),3.017909548E9)</f>
        <v>3017909548</v>
      </c>
      <c r="M3858" s="17" t="str">
        <f>IFERROR(__xludf.DUMMYFUNCTION("""COMPUTED_VALUE"""),"#REF!")</f>
        <v>#REF!</v>
      </c>
      <c r="N3858" s="17"/>
      <c r="O3858" s="17"/>
      <c r="P3858" s="17" t="b">
        <f>IFERROR(__xludf.DUMMYFUNCTION("""COMPUTED_VALUE"""),FALSE)</f>
        <v>0</v>
      </c>
      <c r="Q3858" s="20" t="str">
        <f>IFERROR(__xludf.DUMMYFUNCTION("""COMPUTED_VALUE"""),"")</f>
        <v/>
      </c>
      <c r="R3858" s="22" t="str">
        <f>IFERROR(__xludf.DUMMYFUNCTION("""COMPUTED_VALUE"""),"")</f>
        <v/>
      </c>
    </row>
    <row r="3859">
      <c r="A3859" s="15">
        <f>IFERROR(__xludf.DUMMYFUNCTION("""COMPUTED_VALUE"""),45113.0)</f>
        <v>45113</v>
      </c>
      <c r="B3859" s="16" t="str">
        <f>IFERROR(__xludf.DUMMYFUNCTION("""COMPUTED_VALUE"""),"Envia")</f>
        <v>Envia</v>
      </c>
      <c r="C3859" s="15" t="str">
        <f>IFERROR(__xludf.DUMMYFUNCTION("""COMPUTED_VALUE"""),"CÚCUTA")</f>
        <v>CÚCUTA</v>
      </c>
      <c r="D3859" s="15" t="str">
        <f>IFERROR(__xludf.DUMMYFUNCTION("""COMPUTED_VALUE"""),"MEDELLÍN")</f>
        <v>MEDELLÍN</v>
      </c>
      <c r="E3859" s="15" t="str">
        <f>IFERROR(__xludf.DUMMYFUNCTION("""COMPUTED_VALUE"""),"Momo Tea S.A.S Gabriel Echavarría")</f>
        <v>Momo Tea S.A.S Gabriel Echavarría</v>
      </c>
      <c r="F3859" s="17" t="str">
        <f>IFERROR(__xludf.DUMMYFUNCTION("""COMPUTED_VALUE"""),"CL 11 N 16 E 35 / CA B 1")</f>
        <v>CL 11 N 16 E 35 / CA B 1</v>
      </c>
      <c r="G3859" s="15" t="str">
        <f>IFERROR(__xludf.DUMMYFUNCTION("""COMPUTED_VALUE"""),"Gabriel Echavarría")</f>
        <v>Gabriel Echavarría</v>
      </c>
      <c r="H3859" s="16">
        <f>IFERROR(__xludf.DUMMYFUNCTION("""COMPUTED_VALUE"""),12343.0)</f>
        <v>12343</v>
      </c>
      <c r="I3859" s="18">
        <f>IFERROR(__xludf.DUMMYFUNCTION("""COMPUTED_VALUE"""),17.0)</f>
        <v>17</v>
      </c>
      <c r="J3859" s="18">
        <f>IFERROR(__xludf.DUMMYFUNCTION("""COMPUTED_VALUE"""),17.0)</f>
        <v>17</v>
      </c>
      <c r="K3859" s="18">
        <f>IFERROR(__xludf.DUMMYFUNCTION("""COMPUTED_VALUE"""),23.0)</f>
        <v>23</v>
      </c>
      <c r="L3859" s="17">
        <f>IFERROR(__xludf.DUMMYFUNCTION("""COMPUTED_VALUE"""),3.017909548E9)</f>
        <v>3017909548</v>
      </c>
      <c r="M3859" s="17" t="str">
        <f>IFERROR(__xludf.DUMMYFUNCTION("""COMPUTED_VALUE"""),"#REF!")</f>
        <v>#REF!</v>
      </c>
      <c r="N3859" s="17"/>
      <c r="O3859" s="17"/>
      <c r="P3859" s="17" t="b">
        <f>IFERROR(__xludf.DUMMYFUNCTION("""COMPUTED_VALUE"""),FALSE)</f>
        <v>0</v>
      </c>
      <c r="Q3859" s="20" t="str">
        <f>IFERROR(__xludf.DUMMYFUNCTION("""COMPUTED_VALUE"""),"")</f>
        <v/>
      </c>
      <c r="R3859" s="22" t="str">
        <f>IFERROR(__xludf.DUMMYFUNCTION("""COMPUTED_VALUE"""),"")</f>
        <v/>
      </c>
    </row>
    <row r="3860">
      <c r="A3860" s="15">
        <f>IFERROR(__xludf.DUMMYFUNCTION("""COMPUTED_VALUE"""),45113.0)</f>
        <v>45113</v>
      </c>
      <c r="B3860" s="16" t="str">
        <f>IFERROR(__xludf.DUMMYFUNCTION("""COMPUTED_VALUE"""),"Envia")</f>
        <v>Envia</v>
      </c>
      <c r="C3860" s="15" t="str">
        <f>IFERROR(__xludf.DUMMYFUNCTION("""COMPUTED_VALUE"""),"MEDELLÍN")</f>
        <v>MEDELLÍN</v>
      </c>
      <c r="D3860" s="15" t="str">
        <f>IFERROR(__xludf.DUMMYFUNCTION("""COMPUTED_VALUE"""),"BARRANQUILLA")</f>
        <v>BARRANQUILLA</v>
      </c>
      <c r="E3860" s="15" t="str">
        <f>IFERROR(__xludf.DUMMYFUNCTION("""COMPUTED_VALUE"""),"Montes de Maria")</f>
        <v>Montes de Maria</v>
      </c>
      <c r="F3860" s="17" t="str">
        <f>IFERROR(__xludf.DUMMYFUNCTION("""COMPUTED_VALUE"""),"Calle 27A sur # 47 - 50 / Conjunto residencial las vegas  Interior 403 /  Envigado / Antioquia")</f>
        <v>Calle 27A sur # 47 - 50 / Conjunto residencial las vegas  Interior 403 /  Envigado / Antioquia</v>
      </c>
      <c r="G3860" s="15" t="str">
        <f>IFERROR(__xludf.DUMMYFUNCTION("""COMPUTED_VALUE"""),"Eduardo Chadid")</f>
        <v>Eduardo Chadid</v>
      </c>
      <c r="H3860" s="16">
        <f>IFERROR(__xludf.DUMMYFUNCTION("""COMPUTED_VALUE"""),12281.0)</f>
        <v>12281</v>
      </c>
      <c r="I3860" s="18">
        <f>IFERROR(__xludf.DUMMYFUNCTION("""COMPUTED_VALUE"""),29.0)</f>
        <v>29</v>
      </c>
      <c r="J3860" s="18">
        <f>IFERROR(__xludf.DUMMYFUNCTION("""COMPUTED_VALUE"""),53.0)</f>
        <v>53</v>
      </c>
      <c r="K3860" s="18">
        <f>IFERROR(__xludf.DUMMYFUNCTION("""COMPUTED_VALUE"""),45.0)</f>
        <v>45</v>
      </c>
      <c r="L3860" s="17">
        <f>IFERROR(__xludf.DUMMYFUNCTION("""COMPUTED_VALUE"""),3.16279944E9)</f>
        <v>3162799440</v>
      </c>
      <c r="M3860" s="17" t="str">
        <f>IFERROR(__xludf.DUMMYFUNCTION("""COMPUTED_VALUE"""),"#REF!")</f>
        <v>#REF!</v>
      </c>
      <c r="N3860" s="17"/>
      <c r="O3860" s="17"/>
      <c r="P3860" s="17" t="b">
        <f>IFERROR(__xludf.DUMMYFUNCTION("""COMPUTED_VALUE"""),FALSE)</f>
        <v>0</v>
      </c>
      <c r="Q3860" s="20" t="str">
        <f>IFERROR(__xludf.DUMMYFUNCTION("""COMPUTED_VALUE"""),"")</f>
        <v/>
      </c>
      <c r="R3860" s="22" t="str">
        <f>IFERROR(__xludf.DUMMYFUNCTION("""COMPUTED_VALUE"""),"")</f>
        <v/>
      </c>
    </row>
    <row r="3861">
      <c r="A3861" s="15">
        <f>IFERROR(__xludf.DUMMYFUNCTION("""COMPUTED_VALUE"""),45113.0)</f>
        <v>45113</v>
      </c>
      <c r="B3861" s="16" t="str">
        <f>IFERROR(__xludf.DUMMYFUNCTION("""COMPUTED_VALUE"""),"Envia")</f>
        <v>Envia</v>
      </c>
      <c r="C3861" s="15" t="str">
        <f>IFERROR(__xludf.DUMMYFUNCTION("""COMPUTED_VALUE"""),"MEDELLÍN")</f>
        <v>MEDELLÍN</v>
      </c>
      <c r="D3861" s="15" t="str">
        <f>IFERROR(__xludf.DUMMYFUNCTION("""COMPUTED_VALUE"""),"BOGOTÁ")</f>
        <v>BOGOTÁ</v>
      </c>
      <c r="E3861" s="15" t="str">
        <f>IFERROR(__xludf.DUMMYFUNCTION("""COMPUTED_VALUE"""),"Viral Brands")</f>
        <v>Viral Brands</v>
      </c>
      <c r="F3861" s="17" t="str">
        <f>IFERROR(__xludf.DUMMYFUNCTION("""COMPUTED_VALUE"""),"Calle 1 sur # 29-354 / Barrio poblado loma de los parra, cocina de chuzales y min burger al lado de rappi turbo  / Poblado")</f>
        <v>Calle 1 sur # 29-354 / Barrio poblado loma de los parra, cocina de chuzales y min burger al lado de rappi turbo  / Poblado</v>
      </c>
      <c r="G3861" s="15" t="str">
        <f>IFERROR(__xludf.DUMMYFUNCTION("""COMPUTED_VALUE"""),"Carlos olivero")</f>
        <v>Carlos olivero</v>
      </c>
      <c r="H3861" s="16">
        <f>IFERROR(__xludf.DUMMYFUNCTION("""COMPUTED_VALUE"""),12380.0)</f>
        <v>12380</v>
      </c>
      <c r="I3861" s="18">
        <f>IFERROR(__xludf.DUMMYFUNCTION("""COMPUTED_VALUE"""),29.0)</f>
        <v>29</v>
      </c>
      <c r="J3861" s="18">
        <f>IFERROR(__xludf.DUMMYFUNCTION("""COMPUTED_VALUE"""),55.0)</f>
        <v>55</v>
      </c>
      <c r="K3861" s="18">
        <f>IFERROR(__xludf.DUMMYFUNCTION("""COMPUTED_VALUE"""),45.0)</f>
        <v>45</v>
      </c>
      <c r="L3861" s="17">
        <f>IFERROR(__xludf.DUMMYFUNCTION("""COMPUTED_VALUE"""),3.053460624E9)</f>
        <v>3053460624</v>
      </c>
      <c r="M3861" s="17" t="str">
        <f>IFERROR(__xludf.DUMMYFUNCTION("""COMPUTED_VALUE"""),"#REF!")</f>
        <v>#REF!</v>
      </c>
      <c r="N3861" s="17"/>
      <c r="O3861" s="17"/>
      <c r="P3861" s="17" t="b">
        <f>IFERROR(__xludf.DUMMYFUNCTION("""COMPUTED_VALUE"""),FALSE)</f>
        <v>0</v>
      </c>
      <c r="Q3861" s="20" t="str">
        <f>IFERROR(__xludf.DUMMYFUNCTION("""COMPUTED_VALUE"""),"")</f>
        <v/>
      </c>
      <c r="R3861" s="21" t="str">
        <f>IFERROR(__xludf.DUMMYFUNCTION("""COMPUTED_VALUE"""),"https://drive.google.com/file/d/1bRM40PEH44cDXCCjcxage-ulyhRgnsey/view?usp=drivesdk")</f>
        <v>https://drive.google.com/file/d/1bRM40PEH44cDXCCjcxage-ulyhRgnsey/view?usp=drivesdk</v>
      </c>
    </row>
    <row r="3862">
      <c r="A3862" s="15">
        <f>IFERROR(__xludf.DUMMYFUNCTION("""COMPUTED_VALUE"""),45113.0)</f>
        <v>45113</v>
      </c>
      <c r="B3862" s="16" t="str">
        <f>IFERROR(__xludf.DUMMYFUNCTION("""COMPUTED_VALUE"""),"Envia")</f>
        <v>Envia</v>
      </c>
      <c r="C3862" s="15" t="str">
        <f>IFERROR(__xludf.DUMMYFUNCTION("""COMPUTED_VALUE"""),"MONTERIA")</f>
        <v>MONTERIA</v>
      </c>
      <c r="D3862" s="15" t="str">
        <f>IFERROR(__xludf.DUMMYFUNCTION("""COMPUTED_VALUE"""),"MEDELLÍN")</f>
        <v>MEDELLÍN</v>
      </c>
      <c r="E3862" s="15" t="str">
        <f>IFERROR(__xludf.DUMMYFUNCTION("""COMPUTED_VALUE"""),"Rambla")</f>
        <v>Rambla</v>
      </c>
      <c r="F3862" s="17" t="str">
        <f>IFERROR(__xludf.DUMMYFUNCTION("""COMPUTED_VALUE"""),"calle 62 #6 -45  / local 2 / alcazeres")</f>
        <v>calle 62 #6 -45  / local 2 / alcazeres</v>
      </c>
      <c r="G3862" s="15" t="str">
        <f>IFERROR(__xludf.DUMMYFUNCTION("""COMPUTED_VALUE"""),"restaurante felli")</f>
        <v>restaurante felli</v>
      </c>
      <c r="H3862" s="16">
        <f>IFERROR(__xludf.DUMMYFUNCTION("""COMPUTED_VALUE"""),12409.0)</f>
        <v>12409</v>
      </c>
      <c r="I3862" s="18">
        <f>IFERROR(__xludf.DUMMYFUNCTION("""COMPUTED_VALUE"""),27.0)</f>
        <v>27</v>
      </c>
      <c r="J3862" s="18">
        <f>IFERROR(__xludf.DUMMYFUNCTION("""COMPUTED_VALUE"""),22.0)</f>
        <v>22</v>
      </c>
      <c r="K3862" s="18">
        <f>IFERROR(__xludf.DUMMYFUNCTION("""COMPUTED_VALUE"""),22.0)</f>
        <v>22</v>
      </c>
      <c r="L3862" s="17">
        <f>IFERROR(__xludf.DUMMYFUNCTION("""COMPUTED_VALUE"""),6.027894758E9)</f>
        <v>6027894758</v>
      </c>
      <c r="M3862" s="17" t="str">
        <f>IFERROR(__xludf.DUMMYFUNCTION("""COMPUTED_VALUE"""),"#REF!")</f>
        <v>#REF!</v>
      </c>
      <c r="N3862" s="17"/>
      <c r="O3862" s="17"/>
      <c r="P3862" s="17" t="b">
        <f>IFERROR(__xludf.DUMMYFUNCTION("""COMPUTED_VALUE"""),FALSE)</f>
        <v>0</v>
      </c>
      <c r="Q3862" s="20" t="str">
        <f>IFERROR(__xludf.DUMMYFUNCTION("""COMPUTED_VALUE"""),"")</f>
        <v/>
      </c>
      <c r="R3862" s="21" t="str">
        <f>IFERROR(__xludf.DUMMYFUNCTION("""COMPUTED_VALUE"""),"https://drive.google.com/file/d/1Lgrs9kh5VvQ50rOD1ISRnbGkGfGvlt-t/view?usp=drivesdk")</f>
        <v>https://drive.google.com/file/d/1Lgrs9kh5VvQ50rOD1ISRnbGkGfGvlt-t/view?usp=drivesdk</v>
      </c>
    </row>
    <row r="3863">
      <c r="A3863" s="15">
        <f>IFERROR(__xludf.DUMMYFUNCTION("""COMPUTED_VALUE"""),45113.0)</f>
        <v>45113</v>
      </c>
      <c r="B3863" s="16" t="str">
        <f>IFERROR(__xludf.DUMMYFUNCTION("""COMPUTED_VALUE"""),"Envia")</f>
        <v>Envia</v>
      </c>
      <c r="C3863" s="15" t="str">
        <f>IFERROR(__xludf.DUMMYFUNCTION("""COMPUTED_VALUE"""),"MONTERIA")</f>
        <v>MONTERIA</v>
      </c>
      <c r="D3863" s="15" t="str">
        <f>IFERROR(__xludf.DUMMYFUNCTION("""COMPUTED_VALUE"""),"MEDELLÍN")</f>
        <v>MEDELLÍN</v>
      </c>
      <c r="E3863" s="15" t="str">
        <f>IFERROR(__xludf.DUMMYFUNCTION("""COMPUTED_VALUE"""),"Rambla")</f>
        <v>Rambla</v>
      </c>
      <c r="F3863" s="17" t="str">
        <f>IFERROR(__xludf.DUMMYFUNCTION("""COMPUTED_VALUE"""),"carrera 16a #50-20 / apto 1405 / monteverde")</f>
        <v>carrera 16a #50-20 / apto 1405 / monteverde</v>
      </c>
      <c r="G3863" s="15" t="str">
        <f>IFERROR(__xludf.DUMMYFUNCTION("""COMPUTED_VALUE"""),"angelo- pizeria")</f>
        <v>angelo- pizeria</v>
      </c>
      <c r="H3863" s="16">
        <f>IFERROR(__xludf.DUMMYFUNCTION("""COMPUTED_VALUE"""),12410.0)</f>
        <v>12410</v>
      </c>
      <c r="I3863" s="18">
        <f>IFERROR(__xludf.DUMMYFUNCTION("""COMPUTED_VALUE"""),29.0)</f>
        <v>29</v>
      </c>
      <c r="J3863" s="18">
        <f>IFERROR(__xludf.DUMMYFUNCTION("""COMPUTED_VALUE"""),22.0)</f>
        <v>22</v>
      </c>
      <c r="K3863" s="18">
        <f>IFERROR(__xludf.DUMMYFUNCTION("""COMPUTED_VALUE"""),22.0)</f>
        <v>22</v>
      </c>
      <c r="L3863" s="17">
        <f>IFERROR(__xludf.DUMMYFUNCTION("""COMPUTED_VALUE"""),3.102105873E9)</f>
        <v>3102105873</v>
      </c>
      <c r="M3863" s="17" t="str">
        <f>IFERROR(__xludf.DUMMYFUNCTION("""COMPUTED_VALUE"""),"#REF!")</f>
        <v>#REF!</v>
      </c>
      <c r="N3863" s="17"/>
      <c r="O3863" s="17"/>
      <c r="P3863" s="17" t="b">
        <f>IFERROR(__xludf.DUMMYFUNCTION("""COMPUTED_VALUE"""),FALSE)</f>
        <v>0</v>
      </c>
      <c r="Q3863" s="20" t="str">
        <f>IFERROR(__xludf.DUMMYFUNCTION("""COMPUTED_VALUE"""),"")</f>
        <v/>
      </c>
      <c r="R3863" s="21" t="str">
        <f>IFERROR(__xludf.DUMMYFUNCTION("""COMPUTED_VALUE"""),"https://drive.google.com/file/d/1LA3KOkwJNvK35VXtnyqCexlqzib0UsZC/view?usp=drivesdk")</f>
        <v>https://drive.google.com/file/d/1LA3KOkwJNvK35VXtnyqCexlqzib0UsZC/view?usp=drivesdk</v>
      </c>
    </row>
    <row r="3864">
      <c r="A3864" s="15">
        <f>IFERROR(__xludf.DUMMYFUNCTION("""COMPUTED_VALUE"""),45113.0)</f>
        <v>45113</v>
      </c>
      <c r="B3864" s="16" t="str">
        <f>IFERROR(__xludf.DUMMYFUNCTION("""COMPUTED_VALUE"""),"Envia")</f>
        <v>Envia</v>
      </c>
      <c r="C3864" s="15" t="str">
        <f>IFERROR(__xludf.DUMMYFUNCTION("""COMPUTED_VALUE"""),"NEIVA")</f>
        <v>NEIVA</v>
      </c>
      <c r="D3864" s="15" t="str">
        <f>IFERROR(__xludf.DUMMYFUNCTION("""COMPUTED_VALUE"""),"MEDELLÍN")</f>
        <v>MEDELLÍN</v>
      </c>
      <c r="E3864" s="15" t="str">
        <f>IFERROR(__xludf.DUMMYFUNCTION("""COMPUTED_VALUE"""),"Baby Chef")</f>
        <v>Baby Chef</v>
      </c>
      <c r="F3864" s="17" t="str">
        <f>IFERROR(__xludf.DUMMYFUNCTION("""COMPUTED_VALUE"""),"Cra 46 # 6-29 conjunto antawara apto 303 Barrio Ipanema / Cra 46 # 6-29 conjunto antawara apto 303 Barrio Ipanema / Cra 46 # 6-29 conjunto antawara apto 303 Barrio Ipanema")</f>
        <v>Cra 46 # 6-29 conjunto antawara apto 303 Barrio Ipanema / Cra 46 # 6-29 conjunto antawara apto 303 Barrio Ipanema / Cra 46 # 6-29 conjunto antawara apto 303 Barrio Ipanema</v>
      </c>
      <c r="G3864" s="15" t="str">
        <f>IFERROR(__xludf.DUMMYFUNCTION("""COMPUTED_VALUE"""),"Pedro Rojas Cortés")</f>
        <v>Pedro Rojas Cortés</v>
      </c>
      <c r="H3864" s="16">
        <f>IFERROR(__xludf.DUMMYFUNCTION("""COMPUTED_VALUE"""),12360.0)</f>
        <v>12360</v>
      </c>
      <c r="I3864" s="18">
        <f>IFERROR(__xludf.DUMMYFUNCTION("""COMPUTED_VALUE"""),8.0)</f>
        <v>8</v>
      </c>
      <c r="J3864" s="18">
        <f>IFERROR(__xludf.DUMMYFUNCTION("""COMPUTED_VALUE"""),16.0)</f>
        <v>16</v>
      </c>
      <c r="K3864" s="18">
        <f>IFERROR(__xludf.DUMMYFUNCTION("""COMPUTED_VALUE"""),20.0)</f>
        <v>20</v>
      </c>
      <c r="L3864" s="17">
        <f>IFERROR(__xludf.DUMMYFUNCTION("""COMPUTED_VALUE"""),3.10578461E9)</f>
        <v>3105784610</v>
      </c>
      <c r="M3864" s="17" t="str">
        <f>IFERROR(__xludf.DUMMYFUNCTION("""COMPUTED_VALUE"""),"#REF!")</f>
        <v>#REF!</v>
      </c>
      <c r="N3864" s="17"/>
      <c r="O3864" s="17"/>
      <c r="P3864" s="17" t="b">
        <f>IFERROR(__xludf.DUMMYFUNCTION("""COMPUTED_VALUE"""),FALSE)</f>
        <v>0</v>
      </c>
      <c r="Q3864" s="20" t="str">
        <f>IFERROR(__xludf.DUMMYFUNCTION("""COMPUTED_VALUE"""),"")</f>
        <v/>
      </c>
      <c r="R3864" s="21" t="str">
        <f>IFERROR(__xludf.DUMMYFUNCTION("""COMPUTED_VALUE"""),"https://drive.google.com/file/d/1mq-xJp-HED67-b7d8q6GquQA6QSYKBkj/view?usp=drivesdk")</f>
        <v>https://drive.google.com/file/d/1mq-xJp-HED67-b7d8q6GquQA6QSYKBkj/view?usp=drivesdk</v>
      </c>
    </row>
    <row r="3865">
      <c r="A3865" s="15">
        <f>IFERROR(__xludf.DUMMYFUNCTION("""COMPUTED_VALUE"""),45113.0)</f>
        <v>45113</v>
      </c>
      <c r="B3865" s="16" t="str">
        <f>IFERROR(__xludf.DUMMYFUNCTION("""COMPUTED_VALUE"""),"Envia")</f>
        <v>Envia</v>
      </c>
      <c r="C3865" s="15" t="str">
        <f>IFERROR(__xludf.DUMMYFUNCTION("""COMPUTED_VALUE"""),"VILLAVICENCIO")</f>
        <v>VILLAVICENCIO</v>
      </c>
      <c r="D3865" s="15" t="str">
        <f>IFERROR(__xludf.DUMMYFUNCTION("""COMPUTED_VALUE"""),"MEDELLÍN")</f>
        <v>MEDELLÍN</v>
      </c>
      <c r="E3865" s="15" t="str">
        <f>IFERROR(__xludf.DUMMYFUNCTION("""COMPUTED_VALUE"""),"Rambla")</f>
        <v>Rambla</v>
      </c>
      <c r="F3865" s="17" t="str">
        <f>IFERROR(__xludf.DUMMYFUNCTION("""COMPUTED_VALUE"""),"Calle 15 número 44 116 Hotel casa corona Local 5 Barrio el buque Villavicencio meta / NA / NA")</f>
        <v>Calle 15 número 44 116 Hotel casa corona Local 5 Barrio el buque Villavicencio meta / NA / NA</v>
      </c>
      <c r="G3865" s="15" t="str">
        <f>IFERROR(__xludf.DUMMYFUNCTION("""COMPUTED_VALUE"""),"Sana tentación")</f>
        <v>Sana tentación</v>
      </c>
      <c r="H3865" s="16">
        <f>IFERROR(__xludf.DUMMYFUNCTION("""COMPUTED_VALUE"""),12333.0)</f>
        <v>12333</v>
      </c>
      <c r="I3865" s="18">
        <f>IFERROR(__xludf.DUMMYFUNCTION("""COMPUTED_VALUE"""),25.0)</f>
        <v>25</v>
      </c>
      <c r="J3865" s="18">
        <f>IFERROR(__xludf.DUMMYFUNCTION("""COMPUTED_VALUE"""),27.0)</f>
        <v>27</v>
      </c>
      <c r="K3865" s="18">
        <f>IFERROR(__xludf.DUMMYFUNCTION("""COMPUTED_VALUE"""),30.0)</f>
        <v>30</v>
      </c>
      <c r="L3865" s="17">
        <f>IFERROR(__xludf.DUMMYFUNCTION("""COMPUTED_VALUE"""),3.008383044E9)</f>
        <v>3008383044</v>
      </c>
      <c r="M3865" s="17" t="str">
        <f>IFERROR(__xludf.DUMMYFUNCTION("""COMPUTED_VALUE"""),"#REF!")</f>
        <v>#REF!</v>
      </c>
      <c r="N3865" s="17"/>
      <c r="O3865" s="17"/>
      <c r="P3865" s="17" t="b">
        <f>IFERROR(__xludf.DUMMYFUNCTION("""COMPUTED_VALUE"""),FALSE)</f>
        <v>0</v>
      </c>
      <c r="Q3865" s="20" t="str">
        <f>IFERROR(__xludf.DUMMYFUNCTION("""COMPUTED_VALUE"""),"")</f>
        <v/>
      </c>
      <c r="R3865" s="21" t="str">
        <f>IFERROR(__xludf.DUMMYFUNCTION("""COMPUTED_VALUE"""),"https://drive.google.com/file/d/1S_toc-O7mvj0b0fI5VSO7DmR82X5pE6_/view?usp=drivesdk")</f>
        <v>https://drive.google.com/file/d/1S_toc-O7mvj0b0fI5VSO7DmR82X5pE6_/view?usp=drivesdk</v>
      </c>
    </row>
    <row r="3866">
      <c r="A3866" s="17" t="str">
        <f>IFERROR(__xludf.DUMMYFUNCTION("""COMPUTED_VALUE"""),"")</f>
        <v/>
      </c>
      <c r="B3866" s="17" t="str">
        <f>IFERROR(__xludf.DUMMYFUNCTION("""COMPUTED_VALUE"""),"")</f>
        <v/>
      </c>
      <c r="C3866" s="17" t="str">
        <f>IFERROR(__xludf.DUMMYFUNCTION("""COMPUTED_VALUE"""),"")</f>
        <v/>
      </c>
      <c r="D3866" s="17" t="str">
        <f>IFERROR(__xludf.DUMMYFUNCTION("""COMPUTED_VALUE"""),"")</f>
        <v/>
      </c>
      <c r="E3866" s="17" t="str">
        <f>IFERROR(__xludf.DUMMYFUNCTION("""COMPUTED_VALUE"""),"")</f>
        <v/>
      </c>
      <c r="F3866" s="17" t="str">
        <f>IFERROR(__xludf.DUMMYFUNCTION("""COMPUTED_VALUE"""),"")</f>
        <v/>
      </c>
      <c r="G3866" s="17" t="str">
        <f>IFERROR(__xludf.DUMMYFUNCTION("""COMPUTED_VALUE"""),"")</f>
        <v/>
      </c>
      <c r="H3866" s="17" t="str">
        <f>IFERROR(__xludf.DUMMYFUNCTION("""COMPUTED_VALUE"""),"")</f>
        <v/>
      </c>
      <c r="I3866" s="17" t="str">
        <f>IFERROR(__xludf.DUMMYFUNCTION("""COMPUTED_VALUE"""),"")</f>
        <v/>
      </c>
      <c r="J3866" s="17" t="str">
        <f>IFERROR(__xludf.DUMMYFUNCTION("""COMPUTED_VALUE"""),"")</f>
        <v/>
      </c>
      <c r="K3866" s="17" t="str">
        <f>IFERROR(__xludf.DUMMYFUNCTION("""COMPUTED_VALUE"""),"")</f>
        <v/>
      </c>
      <c r="L3866" s="17" t="str">
        <f>IFERROR(__xludf.DUMMYFUNCTION("""COMPUTED_VALUE"""),"")</f>
        <v/>
      </c>
      <c r="M3866" s="17" t="str">
        <f>IFERROR(__xludf.DUMMYFUNCTION("""COMPUTED_VALUE"""),"")</f>
        <v/>
      </c>
      <c r="N3866" s="17" t="str">
        <f>IFERROR(__xludf.DUMMYFUNCTION("""COMPUTED_VALUE"""),"")</f>
        <v/>
      </c>
      <c r="O3866" s="17" t="str">
        <f>IFERROR(__xludf.DUMMYFUNCTION("""COMPUTED_VALUE"""),"")</f>
        <v/>
      </c>
      <c r="P3866" s="17" t="str">
        <f>IFERROR(__xludf.DUMMYFUNCTION("""COMPUTED_VALUE"""),"")</f>
        <v/>
      </c>
      <c r="Q3866" s="17" t="str">
        <f>IFERROR(__xludf.DUMMYFUNCTION("""COMPUTED_VALUE"""),"")</f>
        <v/>
      </c>
      <c r="R3866" s="17" t="str">
        <f>IFERROR(__xludf.DUMMYFUNCTION("""COMPUTED_VALUE"""),"")</f>
        <v/>
      </c>
    </row>
    <row r="3867">
      <c r="A3867" s="15">
        <f>IFERROR(__xludf.DUMMYFUNCTION("""COMPUTED_VALUE"""),45113.0)</f>
        <v>45113</v>
      </c>
      <c r="B3867" s="16" t="str">
        <f>IFERROR(__xludf.DUMMYFUNCTION("""COMPUTED_VALUE"""),"Johan Alexander Escobar Arroyo ")</f>
        <v>Johan Alexander Escobar Arroyo </v>
      </c>
      <c r="C3867" s="15" t="str">
        <f>IFERROR(__xludf.DUMMYFUNCTION("""COMPUTED_VALUE"""),"CALI")</f>
        <v>CALI</v>
      </c>
      <c r="D3867" s="15" t="str">
        <f>IFERROR(__xludf.DUMMYFUNCTION("""COMPUTED_VALUE"""),"MEDELLÍN")</f>
        <v>MEDELLÍN</v>
      </c>
      <c r="E3867" s="15" t="str">
        <f>IFERROR(__xludf.DUMMYFUNCTION("""COMPUTED_VALUE"""),"Baby Chef")</f>
        <v>Baby Chef</v>
      </c>
      <c r="F3867" s="17" t="str">
        <f>IFERROR(__xludf.DUMMYFUNCTION("""COMPUTED_VALUE"""),"AV 9 56N-140 604 torre 2 artiko66 / ""AV 9 56N-140 604 torre 2 artiko66"" / ""AV 9 56N-140 604 torre 2 artiko66""")</f>
        <v>AV 9 56N-140 604 torre 2 artiko66 / "AV 9 56N-140 604 torre 2 artiko66" / "AV 9 56N-140 604 torre 2 artiko66"</v>
      </c>
      <c r="G3867" s="15" t="str">
        <f>IFERROR(__xludf.DUMMYFUNCTION("""COMPUTED_VALUE"""),"Vanessa Mackin")</f>
        <v>Vanessa Mackin</v>
      </c>
      <c r="H3867" s="16">
        <f>IFERROR(__xludf.DUMMYFUNCTION("""COMPUTED_VALUE"""),12402.0)</f>
        <v>12402</v>
      </c>
      <c r="I3867" s="18">
        <f>IFERROR(__xludf.DUMMYFUNCTION("""COMPUTED_VALUE"""),8.0)</f>
        <v>8</v>
      </c>
      <c r="J3867" s="18">
        <f>IFERROR(__xludf.DUMMYFUNCTION("""COMPUTED_VALUE"""),16.0)</f>
        <v>16</v>
      </c>
      <c r="K3867" s="18">
        <f>IFERROR(__xludf.DUMMYFUNCTION("""COMPUTED_VALUE"""),20.0)</f>
        <v>20</v>
      </c>
      <c r="L3867" s="17">
        <f>IFERROR(__xludf.DUMMYFUNCTION("""COMPUTED_VALUE"""),3.102063057E9)</f>
        <v>3102063057</v>
      </c>
      <c r="M3867" s="17" t="str">
        <f>IFERROR(__xludf.DUMMYFUNCTION("""COMPUTED_VALUE"""),"#REF!")</f>
        <v>#REF!</v>
      </c>
      <c r="N3867" s="17"/>
      <c r="O3867" s="17"/>
      <c r="P3867" s="17" t="b">
        <f>IFERROR(__xludf.DUMMYFUNCTION("""COMPUTED_VALUE"""),FALSE)</f>
        <v>0</v>
      </c>
      <c r="Q3867" s="20" t="str">
        <f>IFERROR(__xludf.DUMMYFUNCTION("""COMPUTED_VALUE"""),"")</f>
        <v/>
      </c>
      <c r="R3867" s="21" t="str">
        <f>IFERROR(__xludf.DUMMYFUNCTION("""COMPUTED_VALUE"""),"https://drive.google.com/file/d/10ccS56OGkWf6o6qsCWk7l-dq6EVODBXn/view?usp=drivesdk")</f>
        <v>https://drive.google.com/file/d/10ccS56OGkWf6o6qsCWk7l-dq6EVODBXn/view?usp=drivesdk</v>
      </c>
    </row>
    <row r="3868">
      <c r="A3868" s="15">
        <f>IFERROR(__xludf.DUMMYFUNCTION("""COMPUTED_VALUE"""),45113.0)</f>
        <v>45113</v>
      </c>
      <c r="B3868" s="16" t="str">
        <f>IFERROR(__xludf.DUMMYFUNCTION("""COMPUTED_VALUE"""),"Johan Alexander Escobar Arroyo ")</f>
        <v>Johan Alexander Escobar Arroyo </v>
      </c>
      <c r="C3868" s="15" t="str">
        <f>IFERROR(__xludf.DUMMYFUNCTION("""COMPUTED_VALUE"""),"CALI")</f>
        <v>CALI</v>
      </c>
      <c r="D3868" s="15" t="str">
        <f>IFERROR(__xludf.DUMMYFUNCTION("""COMPUTED_VALUE"""),"MEDELLÍN")</f>
        <v>MEDELLÍN</v>
      </c>
      <c r="E3868" s="15" t="str">
        <f>IFERROR(__xludf.DUMMYFUNCTION("""COMPUTED_VALUE"""),"Baby Chef")</f>
        <v>Baby Chef</v>
      </c>
      <c r="F3868" s="17" t="str">
        <f>IFERROR(__xludf.DUMMYFUNCTION("""COMPUTED_VALUE"""),"Calle 11#57-15  Barrio santa anita  / Calle 11#57-15  Barrio santa anita  / Calle 11#57-15  Barrio santa anita")</f>
        <v>Calle 11#57-15  Barrio santa anita  / Calle 11#57-15  Barrio santa anita  / Calle 11#57-15  Barrio santa anita</v>
      </c>
      <c r="G3868" s="15" t="str">
        <f>IFERROR(__xludf.DUMMYFUNCTION("""COMPUTED_VALUE"""),"Lorena Fernández")</f>
        <v>Lorena Fernández</v>
      </c>
      <c r="H3868" s="16">
        <f>IFERROR(__xludf.DUMMYFUNCTION("""COMPUTED_VALUE"""),12399.0)</f>
        <v>12399</v>
      </c>
      <c r="I3868" s="18">
        <f>IFERROR(__xludf.DUMMYFUNCTION("""COMPUTED_VALUE"""),8.0)</f>
        <v>8</v>
      </c>
      <c r="J3868" s="18">
        <f>IFERROR(__xludf.DUMMYFUNCTION("""COMPUTED_VALUE"""),16.0)</f>
        <v>16</v>
      </c>
      <c r="K3868" s="18">
        <f>IFERROR(__xludf.DUMMYFUNCTION("""COMPUTED_VALUE"""),20.0)</f>
        <v>20</v>
      </c>
      <c r="L3868" s="17">
        <f>IFERROR(__xludf.DUMMYFUNCTION("""COMPUTED_VALUE"""),3.186901415E9)</f>
        <v>3186901415</v>
      </c>
      <c r="M3868" s="17" t="str">
        <f>IFERROR(__xludf.DUMMYFUNCTION("""COMPUTED_VALUE"""),"#REF!")</f>
        <v>#REF!</v>
      </c>
      <c r="N3868" s="17"/>
      <c r="O3868" s="17"/>
      <c r="P3868" s="17" t="b">
        <f>IFERROR(__xludf.DUMMYFUNCTION("""COMPUTED_VALUE"""),FALSE)</f>
        <v>0</v>
      </c>
      <c r="Q3868" s="20" t="str">
        <f>IFERROR(__xludf.DUMMYFUNCTION("""COMPUTED_VALUE"""),"")</f>
        <v/>
      </c>
      <c r="R3868" s="21" t="str">
        <f>IFERROR(__xludf.DUMMYFUNCTION("""COMPUTED_VALUE"""),"https://drive.google.com/file/d/1ZHKjRFKTbpAzV_uzXI7hOrJFTAeJkPRp/view?usp=drivesdk")</f>
        <v>https://drive.google.com/file/d/1ZHKjRFKTbpAzV_uzXI7hOrJFTAeJkPRp/view?usp=drivesdk</v>
      </c>
    </row>
    <row r="3869">
      <c r="A3869" s="15">
        <f>IFERROR(__xludf.DUMMYFUNCTION("""COMPUTED_VALUE"""),45113.0)</f>
        <v>45113</v>
      </c>
      <c r="B3869" s="16" t="str">
        <f>IFERROR(__xludf.DUMMYFUNCTION("""COMPUTED_VALUE"""),"Johan Alexander Escobar Arroyo ")</f>
        <v>Johan Alexander Escobar Arroyo </v>
      </c>
      <c r="C3869" s="15" t="str">
        <f>IFERROR(__xludf.DUMMYFUNCTION("""COMPUTED_VALUE"""),"CALI")</f>
        <v>CALI</v>
      </c>
      <c r="D3869" s="15" t="str">
        <f>IFERROR(__xludf.DUMMYFUNCTION("""COMPUTED_VALUE"""),"MEDELLÍN")</f>
        <v>MEDELLÍN</v>
      </c>
      <c r="E3869" s="15" t="str">
        <f>IFERROR(__xludf.DUMMYFUNCTION("""COMPUTED_VALUE"""),"Baby Chef")</f>
        <v>Baby Chef</v>
      </c>
      <c r="F3869" s="17" t="str">
        <f>IFERROR(__xludf.DUMMYFUNCTION("""COMPUTED_VALUE"""),"Calle 14 #84-66 - barrio ingenio Unidad el cañaveral - casa 23 / ""Calle 14 #84-66 - barrio ingenio Unidad el cañaveral - casa 23"" / ""Calle 14 #84-66 - barrio ingenio Unidad el cañaveral - casa 23""")</f>
        <v>Calle 14 #84-66 - barrio ingenio Unidad el cañaveral - casa 23 / "Calle 14 #84-66 - barrio ingenio Unidad el cañaveral - casa 23" / "Calle 14 #84-66 - barrio ingenio Unidad el cañaveral - casa 23"</v>
      </c>
      <c r="G3869" s="15" t="str">
        <f>IFERROR(__xludf.DUMMYFUNCTION("""COMPUTED_VALUE"""),"Maria Tatiana Herrera Aguilar")</f>
        <v>Maria Tatiana Herrera Aguilar</v>
      </c>
      <c r="H3869" s="16">
        <f>IFERROR(__xludf.DUMMYFUNCTION("""COMPUTED_VALUE"""),12397.0)</f>
        <v>12397</v>
      </c>
      <c r="I3869" s="18">
        <f>IFERROR(__xludf.DUMMYFUNCTION("""COMPUTED_VALUE"""),8.0)</f>
        <v>8</v>
      </c>
      <c r="J3869" s="18">
        <f>IFERROR(__xludf.DUMMYFUNCTION("""COMPUTED_VALUE"""),16.0)</f>
        <v>16</v>
      </c>
      <c r="K3869" s="18">
        <f>IFERROR(__xludf.DUMMYFUNCTION("""COMPUTED_VALUE"""),20.0)</f>
        <v>20</v>
      </c>
      <c r="L3869" s="17">
        <f>IFERROR(__xludf.DUMMYFUNCTION("""COMPUTED_VALUE"""),3.113882141E9)</f>
        <v>3113882141</v>
      </c>
      <c r="M3869" s="17" t="str">
        <f>IFERROR(__xludf.DUMMYFUNCTION("""COMPUTED_VALUE"""),"#REF!")</f>
        <v>#REF!</v>
      </c>
      <c r="N3869" s="17"/>
      <c r="O3869" s="17"/>
      <c r="P3869" s="17" t="b">
        <f>IFERROR(__xludf.DUMMYFUNCTION("""COMPUTED_VALUE"""),FALSE)</f>
        <v>0</v>
      </c>
      <c r="Q3869" s="20" t="str">
        <f>IFERROR(__xludf.DUMMYFUNCTION("""COMPUTED_VALUE"""),"")</f>
        <v/>
      </c>
      <c r="R3869" s="21" t="str">
        <f>IFERROR(__xludf.DUMMYFUNCTION("""COMPUTED_VALUE"""),"https://drive.google.com/file/d/1Non1kFO8q46QKelGXIu6237iAlagnCCT/view?usp=drivesdk")</f>
        <v>https://drive.google.com/file/d/1Non1kFO8q46QKelGXIu6237iAlagnCCT/view?usp=drivesdk</v>
      </c>
    </row>
    <row r="3870">
      <c r="A3870" s="15">
        <f>IFERROR(__xludf.DUMMYFUNCTION("""COMPUTED_VALUE"""),45113.0)</f>
        <v>45113</v>
      </c>
      <c r="B3870" s="16" t="str">
        <f>IFERROR(__xludf.DUMMYFUNCTION("""COMPUTED_VALUE"""),"Johan Alexander Escobar Arroyo ")</f>
        <v>Johan Alexander Escobar Arroyo </v>
      </c>
      <c r="C3870" s="15" t="str">
        <f>IFERROR(__xludf.DUMMYFUNCTION("""COMPUTED_VALUE"""),"CALI")</f>
        <v>CALI</v>
      </c>
      <c r="D3870" s="15" t="str">
        <f>IFERROR(__xludf.DUMMYFUNCTION("""COMPUTED_VALUE"""),"MEDELLÍN")</f>
        <v>MEDELLÍN</v>
      </c>
      <c r="E3870" s="15" t="str">
        <f>IFERROR(__xludf.DUMMYFUNCTION("""COMPUTED_VALUE"""),"Baby Chef")</f>
        <v>Baby Chef</v>
      </c>
      <c r="F3870" s="17" t="str">
        <f>IFERROR(__xludf.DUMMYFUNCTION("""COMPUTED_VALUE"""),"CALLE FARALLONES ENTRE BULEVAR ALFAGUARA Y CALLE DE LA FONTANA     CONJUNTO RESIDENCIAL FARALLONES DE VERDE ALFAGUARA  Casa 79 / CALLE FARALLONES ENTRE BULEVAR ALFAGUARA Y CALLE DE LA FONTANA     CONJUNTO RESIDENCIAL FARALLONES DE VERDE ALFAGUARA  Casa 79"&amp;" / CALLE FARALLONES ENTRE BULEVAR ALFAGUARA Y CALLE DE LA FONTANA     CONJUNTO RESIDENCIAL FARALLONES DE VERDE ALFAGUARA  Casa 79")</f>
        <v>CALLE FARALLONES ENTRE BULEVAR ALFAGUARA Y CALLE DE LA FONTANA     CONJUNTO RESIDENCIAL FARALLONES DE VERDE ALFAGUARA  Casa 79 / CALLE FARALLONES ENTRE BULEVAR ALFAGUARA Y CALLE DE LA FONTANA     CONJUNTO RESIDENCIAL FARALLONES DE VERDE ALFAGUARA  Casa 79 / CALLE FARALLONES ENTRE BULEVAR ALFAGUARA Y CALLE DE LA FONTANA     CONJUNTO RESIDENCIAL FARALLONES DE VERDE ALFAGUARA  Casa 79</v>
      </c>
      <c r="G3870" s="15" t="str">
        <f>IFERROR(__xludf.DUMMYFUNCTION("""COMPUTED_VALUE"""),"Christian García")</f>
        <v>Christian García</v>
      </c>
      <c r="H3870" s="16">
        <f>IFERROR(__xludf.DUMMYFUNCTION("""COMPUTED_VALUE"""),12398.0)</f>
        <v>12398</v>
      </c>
      <c r="I3870" s="18">
        <f>IFERROR(__xludf.DUMMYFUNCTION("""COMPUTED_VALUE"""),8.0)</f>
        <v>8</v>
      </c>
      <c r="J3870" s="18">
        <f>IFERROR(__xludf.DUMMYFUNCTION("""COMPUTED_VALUE"""),16.0)</f>
        <v>16</v>
      </c>
      <c r="K3870" s="18">
        <f>IFERROR(__xludf.DUMMYFUNCTION("""COMPUTED_VALUE"""),20.0)</f>
        <v>20</v>
      </c>
      <c r="L3870" s="17">
        <f>IFERROR(__xludf.DUMMYFUNCTION("""COMPUTED_VALUE"""),3.126251497E9)</f>
        <v>3126251497</v>
      </c>
      <c r="M3870" s="17" t="str">
        <f>IFERROR(__xludf.DUMMYFUNCTION("""COMPUTED_VALUE"""),"#REF!")</f>
        <v>#REF!</v>
      </c>
      <c r="N3870" s="17"/>
      <c r="O3870" s="17"/>
      <c r="P3870" s="17" t="b">
        <f>IFERROR(__xludf.DUMMYFUNCTION("""COMPUTED_VALUE"""),TRUE)</f>
        <v>1</v>
      </c>
      <c r="Q3870" s="20">
        <f>IFERROR(__xludf.DUMMYFUNCTION("""COMPUTED_VALUE"""),45113.51354478009)</f>
        <v>45113.51354</v>
      </c>
      <c r="R3870" s="21" t="str">
        <f>IFERROR(__xludf.DUMMYFUNCTION("""COMPUTED_VALUE"""),"https://drive.google.com/file/d/1NlhgvQC0cFOKdqAfIlS2jjHXF1WizFXJ/view?usp=drivesdk")</f>
        <v>https://drive.google.com/file/d/1NlhgvQC0cFOKdqAfIlS2jjHXF1WizFXJ/view?usp=drivesdk</v>
      </c>
    </row>
    <row r="3871">
      <c r="A3871" s="15">
        <f>IFERROR(__xludf.DUMMYFUNCTION("""COMPUTED_VALUE"""),45113.0)</f>
        <v>45113</v>
      </c>
      <c r="B3871" s="16" t="str">
        <f>IFERROR(__xludf.DUMMYFUNCTION("""COMPUTED_VALUE"""),"Johan Alexander Escobar Arroyo ")</f>
        <v>Johan Alexander Escobar Arroyo </v>
      </c>
      <c r="C3871" s="15" t="str">
        <f>IFERROR(__xludf.DUMMYFUNCTION("""COMPUTED_VALUE"""),"CALI")</f>
        <v>CALI</v>
      </c>
      <c r="D3871" s="15" t="str">
        <f>IFERROR(__xludf.DUMMYFUNCTION("""COMPUTED_VALUE"""),"MEDELLÍN")</f>
        <v>MEDELLÍN</v>
      </c>
      <c r="E3871" s="15" t="str">
        <f>IFERROR(__xludf.DUMMYFUNCTION("""COMPUTED_VALUE"""),"Baby Chef")</f>
        <v>Baby Chef</v>
      </c>
      <c r="F3871" s="17" t="str">
        <f>IFERROR(__xludf.DUMMYFUNCTION("""COMPUTED_VALUE"""),"Calle21AN #9AN-81 edificio Tali, barrio santa Monica / Calle21AN #9AN-81 edificio Tali, barrio santa Monica / Calle21AN #9AN-81 edificio Tali, barrio santa Monica")</f>
        <v>Calle21AN #9AN-81 edificio Tali, barrio santa Monica / Calle21AN #9AN-81 edificio Tali, barrio santa Monica / Calle21AN #9AN-81 edificio Tali, barrio santa Monica</v>
      </c>
      <c r="G3871" s="15" t="str">
        <f>IFERROR(__xludf.DUMMYFUNCTION("""COMPUTED_VALUE"""),"Alejandra Gómez")</f>
        <v>Alejandra Gómez</v>
      </c>
      <c r="H3871" s="16">
        <f>IFERROR(__xludf.DUMMYFUNCTION("""COMPUTED_VALUE"""),12395.0)</f>
        <v>12395</v>
      </c>
      <c r="I3871" s="18">
        <f>IFERROR(__xludf.DUMMYFUNCTION("""COMPUTED_VALUE"""),8.0)</f>
        <v>8</v>
      </c>
      <c r="J3871" s="18">
        <f>IFERROR(__xludf.DUMMYFUNCTION("""COMPUTED_VALUE"""),16.0)</f>
        <v>16</v>
      </c>
      <c r="K3871" s="18">
        <f>IFERROR(__xludf.DUMMYFUNCTION("""COMPUTED_VALUE"""),20.0)</f>
        <v>20</v>
      </c>
      <c r="L3871" s="17">
        <f>IFERROR(__xludf.DUMMYFUNCTION("""COMPUTED_VALUE"""),3.012249591E9)</f>
        <v>3012249591</v>
      </c>
      <c r="M3871" s="17" t="str">
        <f>IFERROR(__xludf.DUMMYFUNCTION("""COMPUTED_VALUE"""),"#REF!")</f>
        <v>#REF!</v>
      </c>
      <c r="N3871" s="17"/>
      <c r="O3871" s="17"/>
      <c r="P3871" s="17" t="b">
        <f>IFERROR(__xludf.DUMMYFUNCTION("""COMPUTED_VALUE"""),FALSE)</f>
        <v>0</v>
      </c>
      <c r="Q3871" s="20" t="str">
        <f>IFERROR(__xludf.DUMMYFUNCTION("""COMPUTED_VALUE"""),"")</f>
        <v/>
      </c>
      <c r="R3871" s="21" t="str">
        <f>IFERROR(__xludf.DUMMYFUNCTION("""COMPUTED_VALUE"""),"https://drive.google.com/file/d/1sv18oyfz9AFEDBUbqcF2MiAq7TouAgyv/view?usp=drivesdk")</f>
        <v>https://drive.google.com/file/d/1sv18oyfz9AFEDBUbqcF2MiAq7TouAgyv/view?usp=drivesdk</v>
      </c>
    </row>
    <row r="3872">
      <c r="A3872" s="15">
        <f>IFERROR(__xludf.DUMMYFUNCTION("""COMPUTED_VALUE"""),45113.0)</f>
        <v>45113</v>
      </c>
      <c r="B3872" s="16" t="str">
        <f>IFERROR(__xludf.DUMMYFUNCTION("""COMPUTED_VALUE"""),"Johan Alexander Escobar Arroyo ")</f>
        <v>Johan Alexander Escobar Arroyo </v>
      </c>
      <c r="C3872" s="15" t="str">
        <f>IFERROR(__xludf.DUMMYFUNCTION("""COMPUTED_VALUE"""),"CALI")</f>
        <v>CALI</v>
      </c>
      <c r="D3872" s="15" t="str">
        <f>IFERROR(__xludf.DUMMYFUNCTION("""COMPUTED_VALUE"""),"MEDELLÍN")</f>
        <v>MEDELLÍN</v>
      </c>
      <c r="E3872" s="15" t="str">
        <f>IFERROR(__xludf.DUMMYFUNCTION("""COMPUTED_VALUE"""),"Baby Chef")</f>
        <v>Baby Chef</v>
      </c>
      <c r="F3872" s="17" t="str">
        <f>IFERROR(__xludf.DUMMYFUNCTION("""COMPUTED_VALUE"""),"carrera 101b #11a-56 barrio ciudad jardin / carrera 101b #11a-56 barrio ciudad jardin / carrera 101b #11a-56 barrio ciudad jardin")</f>
        <v>carrera 101b #11a-56 barrio ciudad jardin / carrera 101b #11a-56 barrio ciudad jardin / carrera 101b #11a-56 barrio ciudad jardin</v>
      </c>
      <c r="G3872" s="15" t="str">
        <f>IFERROR(__xludf.DUMMYFUNCTION("""COMPUTED_VALUE"""),"Angela Calle")</f>
        <v>Angela Calle</v>
      </c>
      <c r="H3872" s="16">
        <f>IFERROR(__xludf.DUMMYFUNCTION("""COMPUTED_VALUE"""),12396.0)</f>
        <v>12396</v>
      </c>
      <c r="I3872" s="18">
        <f>IFERROR(__xludf.DUMMYFUNCTION("""COMPUTED_VALUE"""),8.0)</f>
        <v>8</v>
      </c>
      <c r="J3872" s="18">
        <f>IFERROR(__xludf.DUMMYFUNCTION("""COMPUTED_VALUE"""),16.0)</f>
        <v>16</v>
      </c>
      <c r="K3872" s="18">
        <f>IFERROR(__xludf.DUMMYFUNCTION("""COMPUTED_VALUE"""),20.0)</f>
        <v>20</v>
      </c>
      <c r="L3872" s="17">
        <f>IFERROR(__xludf.DUMMYFUNCTION("""COMPUTED_VALUE"""),3.128638198E9)</f>
        <v>3128638198</v>
      </c>
      <c r="M3872" s="17" t="str">
        <f>IFERROR(__xludf.DUMMYFUNCTION("""COMPUTED_VALUE"""),"#REF!")</f>
        <v>#REF!</v>
      </c>
      <c r="N3872" s="17"/>
      <c r="O3872" s="17"/>
      <c r="P3872" s="17" t="b">
        <f>IFERROR(__xludf.DUMMYFUNCTION("""COMPUTED_VALUE"""),FALSE)</f>
        <v>0</v>
      </c>
      <c r="Q3872" s="20" t="str">
        <f>IFERROR(__xludf.DUMMYFUNCTION("""COMPUTED_VALUE"""),"")</f>
        <v/>
      </c>
      <c r="R3872" s="21" t="str">
        <f>IFERROR(__xludf.DUMMYFUNCTION("""COMPUTED_VALUE"""),"https://drive.google.com/file/d/12GB__Un5cTX2OH5XbIHCp2IUriAWC9G9/view?usp=drivesdk")</f>
        <v>https://drive.google.com/file/d/12GB__Un5cTX2OH5XbIHCp2IUriAWC9G9/view?usp=drivesdk</v>
      </c>
    </row>
    <row r="3873">
      <c r="A3873" s="15">
        <f>IFERROR(__xludf.DUMMYFUNCTION("""COMPUTED_VALUE"""),45113.0)</f>
        <v>45113</v>
      </c>
      <c r="B3873" s="16" t="str">
        <f>IFERROR(__xludf.DUMMYFUNCTION("""COMPUTED_VALUE"""),"Johan Alexander Escobar Arroyo ")</f>
        <v>Johan Alexander Escobar Arroyo </v>
      </c>
      <c r="C3873" s="15" t="str">
        <f>IFERROR(__xludf.DUMMYFUNCTION("""COMPUTED_VALUE"""),"CALI")</f>
        <v>CALI</v>
      </c>
      <c r="D3873" s="15" t="str">
        <f>IFERROR(__xludf.DUMMYFUNCTION("""COMPUTED_VALUE"""),"MEDELLÍN")</f>
        <v>MEDELLÍN</v>
      </c>
      <c r="E3873" s="15" t="str">
        <f>IFERROR(__xludf.DUMMYFUNCTION("""COMPUTED_VALUE"""),"JD Bufala")</f>
        <v>JD Bufala</v>
      </c>
      <c r="F3873" s="17" t="str">
        <f>IFERROR(__xludf.DUMMYFUNCTION("""COMPUTED_VALUE"""),"Calle 51 norte #4bn72 / Delhuertopizzeria  / La flora")</f>
        <v>Calle 51 norte #4bn72 / Delhuertopizzeria  / La flora</v>
      </c>
      <c r="G3873" s="15" t="str">
        <f>IFERROR(__xludf.DUMMYFUNCTION("""COMPUTED_VALUE"""),"Javier Rodríguez")</f>
        <v>Javier Rodríguez</v>
      </c>
      <c r="H3873" s="16">
        <f>IFERROR(__xludf.DUMMYFUNCTION("""COMPUTED_VALUE"""),12386.0)</f>
        <v>12386</v>
      </c>
      <c r="I3873" s="18">
        <f>IFERROR(__xludf.DUMMYFUNCTION("""COMPUTED_VALUE"""),45066.0)</f>
        <v>45066</v>
      </c>
      <c r="J3873" s="18">
        <f>IFERROR(__xludf.DUMMYFUNCTION("""COMPUTED_VALUE"""),28.0)</f>
        <v>28</v>
      </c>
      <c r="K3873" s="18">
        <f>IFERROR(__xludf.DUMMYFUNCTION("""COMPUTED_VALUE"""),40.0)</f>
        <v>40</v>
      </c>
      <c r="L3873" s="17">
        <f>IFERROR(__xludf.DUMMYFUNCTION("""COMPUTED_VALUE"""),3.104919761E9)</f>
        <v>3104919761</v>
      </c>
      <c r="M3873" s="17" t="str">
        <f>IFERROR(__xludf.DUMMYFUNCTION("""COMPUTED_VALUE"""),"#REF!")</f>
        <v>#REF!</v>
      </c>
      <c r="N3873" s="17"/>
      <c r="O3873" s="17"/>
      <c r="P3873" s="17" t="b">
        <f>IFERROR(__xludf.DUMMYFUNCTION("""COMPUTED_VALUE"""),FALSE)</f>
        <v>0</v>
      </c>
      <c r="Q3873" s="20" t="str">
        <f>IFERROR(__xludf.DUMMYFUNCTION("""COMPUTED_VALUE"""),"")</f>
        <v/>
      </c>
      <c r="R3873" s="21" t="str">
        <f>IFERROR(__xludf.DUMMYFUNCTION("""COMPUTED_VALUE"""),"https://drive.google.com/file/d/1d1CH_x2EV_lkeou_i3t4CQmf03vDPjQU/view?usp=drivesdk")</f>
        <v>https://drive.google.com/file/d/1d1CH_x2EV_lkeou_i3t4CQmf03vDPjQU/view?usp=drivesdk</v>
      </c>
    </row>
    <row r="3874">
      <c r="A3874" s="15">
        <f>IFERROR(__xludf.DUMMYFUNCTION("""COMPUTED_VALUE"""),45113.0)</f>
        <v>45113</v>
      </c>
      <c r="B3874" s="16" t="str">
        <f>IFERROR(__xludf.DUMMYFUNCTION("""COMPUTED_VALUE"""),"Johan Alexander Escobar Arroyo ")</f>
        <v>Johan Alexander Escobar Arroyo </v>
      </c>
      <c r="C3874" s="15" t="str">
        <f>IFERROR(__xludf.DUMMYFUNCTION("""COMPUTED_VALUE"""),"CÚCUTA")</f>
        <v>CÚCUTA</v>
      </c>
      <c r="D3874" s="15" t="str">
        <f>IFERROR(__xludf.DUMMYFUNCTION("""COMPUTED_VALUE"""),"MEDELLÍN")</f>
        <v>MEDELLÍN</v>
      </c>
      <c r="E3874" s="15" t="str">
        <f>IFERROR(__xludf.DUMMYFUNCTION("""COMPUTED_VALUE"""),"Momo Tea S.A.S Gabriel Echavarría")</f>
        <v>Momo Tea S.A.S Gabriel Echavarría</v>
      </c>
      <c r="F3874" s="17" t="str">
        <f>IFERROR(__xludf.DUMMYFUNCTION("""COMPUTED_VALUE"""),"CL 11 N 16 E 35 / CA B 1")</f>
        <v>CL 11 N 16 E 35 / CA B 1</v>
      </c>
      <c r="G3874" s="15" t="str">
        <f>IFERROR(__xludf.DUMMYFUNCTION("""COMPUTED_VALUE"""),"Gabriel Echavarría")</f>
        <v>Gabriel Echavarría</v>
      </c>
      <c r="H3874" s="16">
        <f>IFERROR(__xludf.DUMMYFUNCTION("""COMPUTED_VALUE"""),12344.0)</f>
        <v>12344</v>
      </c>
      <c r="I3874" s="18">
        <f>IFERROR(__xludf.DUMMYFUNCTION("""COMPUTED_VALUE"""),17.0)</f>
        <v>17</v>
      </c>
      <c r="J3874" s="18">
        <f>IFERROR(__xludf.DUMMYFUNCTION("""COMPUTED_VALUE"""),13.0)</f>
        <v>13</v>
      </c>
      <c r="K3874" s="18">
        <f>IFERROR(__xludf.DUMMYFUNCTION("""COMPUTED_VALUE"""),20.0)</f>
        <v>20</v>
      </c>
      <c r="L3874" s="17">
        <f>IFERROR(__xludf.DUMMYFUNCTION("""COMPUTED_VALUE"""),3.017909548E9)</f>
        <v>3017909548</v>
      </c>
      <c r="M3874" s="17" t="str">
        <f>IFERROR(__xludf.DUMMYFUNCTION("""COMPUTED_VALUE"""),"#REF!")</f>
        <v>#REF!</v>
      </c>
      <c r="N3874" s="17"/>
      <c r="O3874" s="17"/>
      <c r="P3874" s="17" t="b">
        <f>IFERROR(__xludf.DUMMYFUNCTION("""COMPUTED_VALUE"""),FALSE)</f>
        <v>0</v>
      </c>
      <c r="Q3874" s="20" t="str">
        <f>IFERROR(__xludf.DUMMYFUNCTION("""COMPUTED_VALUE"""),"")</f>
        <v/>
      </c>
      <c r="R3874" s="22" t="str">
        <f>IFERROR(__xludf.DUMMYFUNCTION("""COMPUTED_VALUE"""),"")</f>
        <v/>
      </c>
    </row>
    <row r="3875">
      <c r="A3875" s="15">
        <f>IFERROR(__xludf.DUMMYFUNCTION("""COMPUTED_VALUE"""),45113.0)</f>
        <v>45113</v>
      </c>
      <c r="B3875" s="16" t="str">
        <f>IFERROR(__xludf.DUMMYFUNCTION("""COMPUTED_VALUE"""),"Johan Alexander Escobar Arroyo ")</f>
        <v>Johan Alexander Escobar Arroyo </v>
      </c>
      <c r="C3875" s="15" t="str">
        <f>IFERROR(__xludf.DUMMYFUNCTION("""COMPUTED_VALUE"""),"CÚCUTA")</f>
        <v>CÚCUTA</v>
      </c>
      <c r="D3875" s="15" t="str">
        <f>IFERROR(__xludf.DUMMYFUNCTION("""COMPUTED_VALUE"""),"MEDELLÍN")</f>
        <v>MEDELLÍN</v>
      </c>
      <c r="E3875" s="15" t="str">
        <f>IFERROR(__xludf.DUMMYFUNCTION("""COMPUTED_VALUE"""),"Momo Tea S.A.S Gabriel Echavarría")</f>
        <v>Momo Tea S.A.S Gabriel Echavarría</v>
      </c>
      <c r="F3875" s="17" t="str">
        <f>IFERROR(__xludf.DUMMYFUNCTION("""COMPUTED_VALUE"""),"CL 11 N 16 E 35 / CA B 1")</f>
        <v>CL 11 N 16 E 35 / CA B 1</v>
      </c>
      <c r="G3875" s="15" t="str">
        <f>IFERROR(__xludf.DUMMYFUNCTION("""COMPUTED_VALUE"""),"Gabriel Echavarría")</f>
        <v>Gabriel Echavarría</v>
      </c>
      <c r="H3875" s="16">
        <f>IFERROR(__xludf.DUMMYFUNCTION("""COMPUTED_VALUE"""),12345.0)</f>
        <v>12345</v>
      </c>
      <c r="I3875" s="18">
        <f>IFERROR(__xludf.DUMMYFUNCTION("""COMPUTED_VALUE"""),63.0)</f>
        <v>63</v>
      </c>
      <c r="J3875" s="18">
        <f>IFERROR(__xludf.DUMMYFUNCTION("""COMPUTED_VALUE"""),10.0)</f>
        <v>10</v>
      </c>
      <c r="K3875" s="18">
        <f>IFERROR(__xludf.DUMMYFUNCTION("""COMPUTED_VALUE"""),9.0)</f>
        <v>9</v>
      </c>
      <c r="L3875" s="17">
        <f>IFERROR(__xludf.DUMMYFUNCTION("""COMPUTED_VALUE"""),3.017909548E9)</f>
        <v>3017909548</v>
      </c>
      <c r="M3875" s="17" t="str">
        <f>IFERROR(__xludf.DUMMYFUNCTION("""COMPUTED_VALUE"""),"#REF!")</f>
        <v>#REF!</v>
      </c>
      <c r="N3875" s="17"/>
      <c r="O3875" s="17"/>
      <c r="P3875" s="17" t="b">
        <f>IFERROR(__xludf.DUMMYFUNCTION("""COMPUTED_VALUE"""),FALSE)</f>
        <v>0</v>
      </c>
      <c r="Q3875" s="20" t="str">
        <f>IFERROR(__xludf.DUMMYFUNCTION("""COMPUTED_VALUE"""),"")</f>
        <v/>
      </c>
      <c r="R3875" s="22" t="str">
        <f>IFERROR(__xludf.DUMMYFUNCTION("""COMPUTED_VALUE"""),"")</f>
        <v/>
      </c>
    </row>
    <row r="3876">
      <c r="A3876" s="17" t="str">
        <f>IFERROR(__xludf.DUMMYFUNCTION("""COMPUTED_VALUE"""),"")</f>
        <v/>
      </c>
      <c r="B3876" s="17" t="str">
        <f>IFERROR(__xludf.DUMMYFUNCTION("""COMPUTED_VALUE"""),"")</f>
        <v/>
      </c>
      <c r="C3876" s="17" t="str">
        <f>IFERROR(__xludf.DUMMYFUNCTION("""COMPUTED_VALUE"""),"")</f>
        <v/>
      </c>
      <c r="D3876" s="17" t="str">
        <f>IFERROR(__xludf.DUMMYFUNCTION("""COMPUTED_VALUE"""),"")</f>
        <v/>
      </c>
      <c r="E3876" s="17" t="str">
        <f>IFERROR(__xludf.DUMMYFUNCTION("""COMPUTED_VALUE"""),"")</f>
        <v/>
      </c>
      <c r="F3876" s="17" t="str">
        <f>IFERROR(__xludf.DUMMYFUNCTION("""COMPUTED_VALUE"""),"")</f>
        <v/>
      </c>
      <c r="G3876" s="17" t="str">
        <f>IFERROR(__xludf.DUMMYFUNCTION("""COMPUTED_VALUE"""),"")</f>
        <v/>
      </c>
      <c r="H3876" s="17" t="str">
        <f>IFERROR(__xludf.DUMMYFUNCTION("""COMPUTED_VALUE"""),"")</f>
        <v/>
      </c>
      <c r="I3876" s="17" t="str">
        <f>IFERROR(__xludf.DUMMYFUNCTION("""COMPUTED_VALUE"""),"")</f>
        <v/>
      </c>
      <c r="J3876" s="17" t="str">
        <f>IFERROR(__xludf.DUMMYFUNCTION("""COMPUTED_VALUE"""),"")</f>
        <v/>
      </c>
      <c r="K3876" s="17" t="str">
        <f>IFERROR(__xludf.DUMMYFUNCTION("""COMPUTED_VALUE"""),"")</f>
        <v/>
      </c>
      <c r="L3876" s="17" t="str">
        <f>IFERROR(__xludf.DUMMYFUNCTION("""COMPUTED_VALUE"""),"")</f>
        <v/>
      </c>
      <c r="M3876" s="17" t="str">
        <f>IFERROR(__xludf.DUMMYFUNCTION("""COMPUTED_VALUE"""),"")</f>
        <v/>
      </c>
      <c r="N3876" s="17" t="str">
        <f>IFERROR(__xludf.DUMMYFUNCTION("""COMPUTED_VALUE"""),"")</f>
        <v/>
      </c>
      <c r="O3876" s="17" t="str">
        <f>IFERROR(__xludf.DUMMYFUNCTION("""COMPUTED_VALUE"""),"")</f>
        <v/>
      </c>
      <c r="P3876" s="17" t="str">
        <f>IFERROR(__xludf.DUMMYFUNCTION("""COMPUTED_VALUE"""),"")</f>
        <v/>
      </c>
      <c r="Q3876" s="17" t="str">
        <f>IFERROR(__xludf.DUMMYFUNCTION("""COMPUTED_VALUE"""),"")</f>
        <v/>
      </c>
      <c r="R3876" s="17" t="str">
        <f>IFERROR(__xludf.DUMMYFUNCTION("""COMPUTED_VALUE"""),"")</f>
        <v/>
      </c>
    </row>
    <row r="3877">
      <c r="A3877" s="15">
        <f>IFERROR(__xludf.DUMMYFUNCTION("""COMPUTED_VALUE"""),45113.0)</f>
        <v>45113</v>
      </c>
      <c r="B3877" s="16" t="str">
        <f>IFERROR(__xludf.DUMMYFUNCTION("""COMPUTED_VALUE"""),"Oscar Augusto Meneses Osias")</f>
        <v>Oscar Augusto Meneses Osias</v>
      </c>
      <c r="C3877" s="15" t="str">
        <f>IFERROR(__xludf.DUMMYFUNCTION("""COMPUTED_VALUE"""),"CALI")</f>
        <v>CALI</v>
      </c>
      <c r="D3877" s="15" t="str">
        <f>IFERROR(__xludf.DUMMYFUNCTION("""COMPUTED_VALUE"""),"MEDELLÍN")</f>
        <v>MEDELLÍN</v>
      </c>
      <c r="E3877" s="15" t="str">
        <f>IFERROR(__xludf.DUMMYFUNCTION("""COMPUTED_VALUE"""),"Moloso S.A.S")</f>
        <v>Moloso S.A.S</v>
      </c>
      <c r="F3877" s="17" t="str">
        <f>IFERROR(__xludf.DUMMYFUNCTION("""COMPUTED_VALUE"""),"AVENIDA 3 OESTE 13 94 / EDIF SOL DEL OESTE APT 702")</f>
        <v>AVENIDA 3 OESTE 13 94 / EDIF SOL DEL OESTE APT 702</v>
      </c>
      <c r="G3877" s="15" t="str">
        <f>IFERROR(__xludf.DUMMYFUNCTION("""COMPUTED_VALUE"""),"LAURA HERNÁNDEZ ALVIAR")</f>
        <v>LAURA HERNÁNDEZ ALVIAR</v>
      </c>
      <c r="H3877" s="16">
        <f>IFERROR(__xludf.DUMMYFUNCTION("""COMPUTED_VALUE"""),12392.0)</f>
        <v>12392</v>
      </c>
      <c r="I3877" s="18">
        <f>IFERROR(__xludf.DUMMYFUNCTION("""COMPUTED_VALUE"""),17.0)</f>
        <v>17</v>
      </c>
      <c r="J3877" s="18">
        <f>IFERROR(__xludf.DUMMYFUNCTION("""COMPUTED_VALUE"""),15.0)</f>
        <v>15</v>
      </c>
      <c r="K3877" s="18">
        <f>IFERROR(__xludf.DUMMYFUNCTION("""COMPUTED_VALUE"""),28.0)</f>
        <v>28</v>
      </c>
      <c r="L3877" s="17" t="str">
        <f>IFERROR(__xludf.DUMMYFUNCTION("""COMPUTED_VALUE"""),"315 5762974")</f>
        <v>315 5762974</v>
      </c>
      <c r="M3877" s="17" t="str">
        <f>IFERROR(__xludf.DUMMYFUNCTION("""COMPUTED_VALUE"""),"#REF!")</f>
        <v>#REF!</v>
      </c>
      <c r="N3877" s="17"/>
      <c r="O3877" s="17"/>
      <c r="P3877" s="17" t="b">
        <f>IFERROR(__xludf.DUMMYFUNCTION("""COMPUTED_VALUE"""),FALSE)</f>
        <v>0</v>
      </c>
      <c r="Q3877" s="20" t="str">
        <f>IFERROR(__xludf.DUMMYFUNCTION("""COMPUTED_VALUE"""),"")</f>
        <v/>
      </c>
      <c r="R3877" s="21" t="str">
        <f>IFERROR(__xludf.DUMMYFUNCTION("""COMPUTED_VALUE"""),"https://drive.google.com/file/d/1X4Q6HLjOhqFSYcz50oNTohnJA3aOXtQX/view?usp=drivesdk")</f>
        <v>https://drive.google.com/file/d/1X4Q6HLjOhqFSYcz50oNTohnJA3aOXtQX/view?usp=drivesdk</v>
      </c>
    </row>
    <row r="3878">
      <c r="A3878" s="17" t="str">
        <f>IFERROR(__xludf.DUMMYFUNCTION("""COMPUTED_VALUE"""),"")</f>
        <v/>
      </c>
      <c r="B3878" s="17" t="str">
        <f>IFERROR(__xludf.DUMMYFUNCTION("""COMPUTED_VALUE"""),"")</f>
        <v/>
      </c>
      <c r="C3878" s="17" t="str">
        <f>IFERROR(__xludf.DUMMYFUNCTION("""COMPUTED_VALUE"""),"")</f>
        <v/>
      </c>
      <c r="D3878" s="17" t="str">
        <f>IFERROR(__xludf.DUMMYFUNCTION("""COMPUTED_VALUE"""),"")</f>
        <v/>
      </c>
      <c r="E3878" s="17" t="str">
        <f>IFERROR(__xludf.DUMMYFUNCTION("""COMPUTED_VALUE"""),"")</f>
        <v/>
      </c>
      <c r="F3878" s="17" t="str">
        <f>IFERROR(__xludf.DUMMYFUNCTION("""COMPUTED_VALUE"""),"")</f>
        <v/>
      </c>
      <c r="G3878" s="17" t="str">
        <f>IFERROR(__xludf.DUMMYFUNCTION("""COMPUTED_VALUE"""),"")</f>
        <v/>
      </c>
      <c r="H3878" s="17" t="str">
        <f>IFERROR(__xludf.DUMMYFUNCTION("""COMPUTED_VALUE"""),"")</f>
        <v/>
      </c>
      <c r="I3878" s="17" t="str">
        <f>IFERROR(__xludf.DUMMYFUNCTION("""COMPUTED_VALUE"""),"")</f>
        <v/>
      </c>
      <c r="J3878" s="17" t="str">
        <f>IFERROR(__xludf.DUMMYFUNCTION("""COMPUTED_VALUE"""),"")</f>
        <v/>
      </c>
      <c r="K3878" s="17" t="str">
        <f>IFERROR(__xludf.DUMMYFUNCTION("""COMPUTED_VALUE"""),"")</f>
        <v/>
      </c>
      <c r="L3878" s="17" t="str">
        <f>IFERROR(__xludf.DUMMYFUNCTION("""COMPUTED_VALUE"""),"")</f>
        <v/>
      </c>
      <c r="M3878" s="17" t="str">
        <f>IFERROR(__xludf.DUMMYFUNCTION("""COMPUTED_VALUE"""),"")</f>
        <v/>
      </c>
      <c r="N3878" s="17" t="str">
        <f>IFERROR(__xludf.DUMMYFUNCTION("""COMPUTED_VALUE"""),"")</f>
        <v/>
      </c>
      <c r="O3878" s="17" t="str">
        <f>IFERROR(__xludf.DUMMYFUNCTION("""COMPUTED_VALUE"""),"")</f>
        <v/>
      </c>
      <c r="P3878" s="17" t="str">
        <f>IFERROR(__xludf.DUMMYFUNCTION("""COMPUTED_VALUE"""),"")</f>
        <v/>
      </c>
      <c r="Q3878" s="17" t="str">
        <f>IFERROR(__xludf.DUMMYFUNCTION("""COMPUTED_VALUE"""),"")</f>
        <v/>
      </c>
      <c r="R3878" s="17" t="str">
        <f>IFERROR(__xludf.DUMMYFUNCTION("""COMPUTED_VALUE"""),"")</f>
        <v/>
      </c>
    </row>
    <row r="3879">
      <c r="A3879" s="15">
        <f>IFERROR(__xludf.DUMMYFUNCTION("""COMPUTED_VALUE"""),45114.0)</f>
        <v>45114</v>
      </c>
      <c r="B3879" s="17"/>
      <c r="C3879" s="15" t="str">
        <f>IFERROR(__xludf.DUMMYFUNCTION("""COMPUTED_VALUE"""),"BOGOTÁ")</f>
        <v>BOGOTÁ</v>
      </c>
      <c r="D3879" s="15" t="str">
        <f>IFERROR(__xludf.DUMMYFUNCTION("""COMPUTED_VALUE"""),"MEDELLÍN")</f>
        <v>MEDELLÍN</v>
      </c>
      <c r="E3879" s="15" t="str">
        <f>IFERROR(__xludf.DUMMYFUNCTION("""COMPUTED_VALUE"""),"Baby Chef")</f>
        <v>Baby Chef</v>
      </c>
      <c r="F3879" s="17" t="str">
        <f>IFERROR(__xludf.DUMMYFUNCTION("""COMPUTED_VALUE"""),"Calle 127 b bis # 20-66 apto 306 edificio pórtico 3 barrio la calleja  / Calle 127 b bis # 20-66 apto 306 edificio pórtico 3 barrio la calleja  / Calle 127 b bis # 20-66 apto 306 edificio pórtico 3 barrio la calleja")</f>
        <v>Calle 127 b bis # 20-66 apto 306 edificio pórtico 3 barrio la calleja  / Calle 127 b bis # 20-66 apto 306 edificio pórtico 3 barrio la calleja  / Calle 127 b bis # 20-66 apto 306 edificio pórtico 3 barrio la calleja</v>
      </c>
      <c r="G3879" s="15" t="str">
        <f>IFERROR(__xludf.DUMMYFUNCTION("""COMPUTED_VALUE"""),"Viviana Fandino")</f>
        <v>Viviana Fandino</v>
      </c>
      <c r="H3879" s="16">
        <f>IFERROR(__xludf.DUMMYFUNCTION("""COMPUTED_VALUE"""),12453.0)</f>
        <v>12453</v>
      </c>
      <c r="I3879" s="18">
        <f>IFERROR(__xludf.DUMMYFUNCTION("""COMPUTED_VALUE"""),8.0)</f>
        <v>8</v>
      </c>
      <c r="J3879" s="18">
        <f>IFERROR(__xludf.DUMMYFUNCTION("""COMPUTED_VALUE"""),16.0)</f>
        <v>16</v>
      </c>
      <c r="K3879" s="18">
        <f>IFERROR(__xludf.DUMMYFUNCTION("""COMPUTED_VALUE"""),20.0)</f>
        <v>20</v>
      </c>
      <c r="L3879" s="17">
        <f>IFERROR(__xludf.DUMMYFUNCTION("""COMPUTED_VALUE"""),3.202185275E9)</f>
        <v>3202185275</v>
      </c>
      <c r="M3879" s="17" t="str">
        <f>IFERROR(__xludf.DUMMYFUNCTION("""COMPUTED_VALUE"""),"#REF!")</f>
        <v>#REF!</v>
      </c>
      <c r="N3879" s="17"/>
      <c r="O3879" s="17"/>
      <c r="P3879" s="17" t="b">
        <f>IFERROR(__xludf.DUMMYFUNCTION("""COMPUTED_VALUE"""),TRUE)</f>
        <v>1</v>
      </c>
      <c r="Q3879" s="20">
        <f>IFERROR(__xludf.DUMMYFUNCTION("""COMPUTED_VALUE"""),45113.51434313657)</f>
        <v>45113.51434</v>
      </c>
      <c r="R3879" s="21" t="str">
        <f>IFERROR(__xludf.DUMMYFUNCTION("""COMPUTED_VALUE"""),"https://drive.google.com/file/d/1ktDiLcyuB3Urk4lLAy6a4QO7L51hWFfj/view?usp=drivesdk")</f>
        <v>https://drive.google.com/file/d/1ktDiLcyuB3Urk4lLAy6a4QO7L51hWFfj/view?usp=drivesdk</v>
      </c>
    </row>
    <row r="3880">
      <c r="A3880" s="17" t="str">
        <f>IFERROR(__xludf.DUMMYFUNCTION("""COMPUTED_VALUE"""),"")</f>
        <v/>
      </c>
      <c r="B3880" s="17" t="str">
        <f>IFERROR(__xludf.DUMMYFUNCTION("""COMPUTED_VALUE"""),"")</f>
        <v/>
      </c>
      <c r="C3880" s="17" t="str">
        <f>IFERROR(__xludf.DUMMYFUNCTION("""COMPUTED_VALUE"""),"")</f>
        <v/>
      </c>
      <c r="D3880" s="17" t="str">
        <f>IFERROR(__xludf.DUMMYFUNCTION("""COMPUTED_VALUE"""),"")</f>
        <v/>
      </c>
      <c r="E3880" s="17" t="str">
        <f>IFERROR(__xludf.DUMMYFUNCTION("""COMPUTED_VALUE"""),"")</f>
        <v/>
      </c>
      <c r="F3880" s="17" t="str">
        <f>IFERROR(__xludf.DUMMYFUNCTION("""COMPUTED_VALUE"""),"")</f>
        <v/>
      </c>
      <c r="G3880" s="17" t="str">
        <f>IFERROR(__xludf.DUMMYFUNCTION("""COMPUTED_VALUE"""),"")</f>
        <v/>
      </c>
      <c r="H3880" s="17" t="str">
        <f>IFERROR(__xludf.DUMMYFUNCTION("""COMPUTED_VALUE"""),"")</f>
        <v/>
      </c>
      <c r="I3880" s="17" t="str">
        <f>IFERROR(__xludf.DUMMYFUNCTION("""COMPUTED_VALUE"""),"")</f>
        <v/>
      </c>
      <c r="J3880" s="17" t="str">
        <f>IFERROR(__xludf.DUMMYFUNCTION("""COMPUTED_VALUE"""),"")</f>
        <v/>
      </c>
      <c r="K3880" s="17" t="str">
        <f>IFERROR(__xludf.DUMMYFUNCTION("""COMPUTED_VALUE"""),"")</f>
        <v/>
      </c>
      <c r="L3880" s="17" t="str">
        <f>IFERROR(__xludf.DUMMYFUNCTION("""COMPUTED_VALUE"""),"")</f>
        <v/>
      </c>
      <c r="M3880" s="17" t="str">
        <f>IFERROR(__xludf.DUMMYFUNCTION("""COMPUTED_VALUE"""),"")</f>
        <v/>
      </c>
      <c r="N3880" s="17" t="str">
        <f>IFERROR(__xludf.DUMMYFUNCTION("""COMPUTED_VALUE"""),"")</f>
        <v/>
      </c>
      <c r="O3880" s="17" t="str">
        <f>IFERROR(__xludf.DUMMYFUNCTION("""COMPUTED_VALUE"""),"")</f>
        <v/>
      </c>
      <c r="P3880" s="17" t="str">
        <f>IFERROR(__xludf.DUMMYFUNCTION("""COMPUTED_VALUE"""),"")</f>
        <v/>
      </c>
      <c r="Q3880" s="17" t="str">
        <f>IFERROR(__xludf.DUMMYFUNCTION("""COMPUTED_VALUE"""),"")</f>
        <v/>
      </c>
      <c r="R3880" s="17" t="str">
        <f>IFERROR(__xludf.DUMMYFUNCTION("""COMPUTED_VALUE"""),"")</f>
        <v/>
      </c>
    </row>
    <row r="3881">
      <c r="A3881" s="15">
        <f>IFERROR(__xludf.DUMMYFUNCTION("""COMPUTED_VALUE"""),45114.0)</f>
        <v>45114</v>
      </c>
      <c r="B3881" s="16" t="str">
        <f>IFERROR(__xludf.DUMMYFUNCTION("""COMPUTED_VALUE"""),"Daniel José sandoval gonzalez")</f>
        <v>Daniel José sandoval gonzalez</v>
      </c>
      <c r="C3881" s="15" t="str">
        <f>IFERROR(__xludf.DUMMYFUNCTION("""COMPUTED_VALUE"""),"BARRANQUILLA")</f>
        <v>BARRANQUILLA</v>
      </c>
      <c r="D3881" s="15" t="str">
        <f>IFERROR(__xludf.DUMMYFUNCTION("""COMPUTED_VALUE"""),"BOGOTÁ")</f>
        <v>BOGOTÁ</v>
      </c>
      <c r="E3881" s="15" t="str">
        <f>IFERROR(__xludf.DUMMYFUNCTION("""COMPUTED_VALUE"""),"Evamazzita")</f>
        <v>Evamazzita</v>
      </c>
      <c r="F3881" s="17" t="str">
        <f>IFERROR(__xludf.DUMMYFUNCTION("""COMPUTED_VALUE"""),"CALLE 51B CON CRA 8BSUR # 6  / CALLE 51B CON CRA 8BSUR # 6  / PELUQUERIA MIS CEJAS / BARRIO 7 DE ABRIL")</f>
        <v>CALLE 51B CON CRA 8BSUR # 6  / CALLE 51B CON CRA 8BSUR # 6  / PELUQUERIA MIS CEJAS / BARRIO 7 DE ABRIL</v>
      </c>
      <c r="G3881" s="15" t="str">
        <f>IFERROR(__xludf.DUMMYFUNCTION("""COMPUTED_VALUE"""),"MARIA VIRGINIA BRICEÑO FERNANDEZ")</f>
        <v>MARIA VIRGINIA BRICEÑO FERNANDEZ</v>
      </c>
      <c r="H3881" s="16">
        <f>IFERROR(__xludf.DUMMYFUNCTION("""COMPUTED_VALUE"""),12384.0)</f>
        <v>12384</v>
      </c>
      <c r="I3881" s="18">
        <f>IFERROR(__xludf.DUMMYFUNCTION("""COMPUTED_VALUE"""),1.0)</f>
        <v>1</v>
      </c>
      <c r="J3881" s="18">
        <f>IFERROR(__xludf.DUMMYFUNCTION("""COMPUTED_VALUE"""),1.0)</f>
        <v>1</v>
      </c>
      <c r="K3881" s="18">
        <f>IFERROR(__xludf.DUMMYFUNCTION("""COMPUTED_VALUE"""),1.0)</f>
        <v>1</v>
      </c>
      <c r="L3881" s="17">
        <f>IFERROR(__xludf.DUMMYFUNCTION("""COMPUTED_VALUE"""),3.012627709E9)</f>
        <v>3012627709</v>
      </c>
      <c r="M3881" s="17" t="str">
        <f>IFERROR(__xludf.DUMMYFUNCTION("""COMPUTED_VALUE"""),"#REF!")</f>
        <v>#REF!</v>
      </c>
      <c r="N3881" s="17"/>
      <c r="O3881" s="17"/>
      <c r="P3881" s="17" t="b">
        <f>IFERROR(__xludf.DUMMYFUNCTION("""COMPUTED_VALUE"""),FALSE)</f>
        <v>0</v>
      </c>
      <c r="Q3881" s="20" t="str">
        <f>IFERROR(__xludf.DUMMYFUNCTION("""COMPUTED_VALUE"""),"")</f>
        <v/>
      </c>
      <c r="R3881" s="21" t="str">
        <f>IFERROR(__xludf.DUMMYFUNCTION("""COMPUTED_VALUE"""),"https://drive.google.com/file/d/1KpNWhT4v7B7kMV1f5dW2hOr6vBG4zISk/view?usp=drivesdk")</f>
        <v>https://drive.google.com/file/d/1KpNWhT4v7B7kMV1f5dW2hOr6vBG4zISk/view?usp=drivesdk</v>
      </c>
    </row>
    <row r="3882">
      <c r="A3882" s="15">
        <f>IFERROR(__xludf.DUMMYFUNCTION("""COMPUTED_VALUE"""),45114.0)</f>
        <v>45114</v>
      </c>
      <c r="B3882" s="16" t="str">
        <f>IFERROR(__xludf.DUMMYFUNCTION("""COMPUTED_VALUE"""),"Daniel José sandoval gonzalez")</f>
        <v>Daniel José sandoval gonzalez</v>
      </c>
      <c r="C3882" s="15" t="str">
        <f>IFERROR(__xludf.DUMMYFUNCTION("""COMPUTED_VALUE"""),"BARRANQUILLA")</f>
        <v>BARRANQUILLA</v>
      </c>
      <c r="D3882" s="15" t="str">
        <f>IFERROR(__xludf.DUMMYFUNCTION("""COMPUTED_VALUE"""),"BOGOTÁ")</f>
        <v>BOGOTÁ</v>
      </c>
      <c r="E3882" s="15" t="str">
        <f>IFERROR(__xludf.DUMMYFUNCTION("""COMPUTED_VALUE"""),"MAI ALIMENTOS S.A.S")</f>
        <v>MAI ALIMENTOS S.A.S</v>
      </c>
      <c r="F3882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3882" s="15" t="str">
        <f>IFERROR(__xludf.DUMMYFUNCTION("""COMPUTED_VALUE"""),"Fithub")</f>
        <v>Fithub</v>
      </c>
      <c r="H3882" s="16">
        <f>IFERROR(__xludf.DUMMYFUNCTION("""COMPUTED_VALUE"""),12374.0)</f>
        <v>12374</v>
      </c>
      <c r="I3882" s="18">
        <f>IFERROR(__xludf.DUMMYFUNCTION("""COMPUTED_VALUE"""),28.0)</f>
        <v>28</v>
      </c>
      <c r="J3882" s="18">
        <f>IFERROR(__xludf.DUMMYFUNCTION("""COMPUTED_VALUE"""),17.0)</f>
        <v>17</v>
      </c>
      <c r="K3882" s="18">
        <f>IFERROR(__xludf.DUMMYFUNCTION("""COMPUTED_VALUE"""),13.0)</f>
        <v>13</v>
      </c>
      <c r="L3882" s="17">
        <f>IFERROR(__xludf.DUMMYFUNCTION("""COMPUTED_VALUE"""),0.0)</f>
        <v>0</v>
      </c>
      <c r="M3882" s="17" t="str">
        <f>IFERROR(__xludf.DUMMYFUNCTION("""COMPUTED_VALUE"""),"#REF!")</f>
        <v>#REF!</v>
      </c>
      <c r="N3882" s="17"/>
      <c r="O3882" s="17"/>
      <c r="P3882" s="17" t="b">
        <f>IFERROR(__xludf.DUMMYFUNCTION("""COMPUTED_VALUE"""),FALSE)</f>
        <v>0</v>
      </c>
      <c r="Q3882" s="20" t="str">
        <f>IFERROR(__xludf.DUMMYFUNCTION("""COMPUTED_VALUE"""),"")</f>
        <v/>
      </c>
      <c r="R3882" s="21" t="str">
        <f>IFERROR(__xludf.DUMMYFUNCTION("""COMPUTED_VALUE"""),"https://drive.google.com/file/d/1yiwfvP2ZuyWl-41Pi-t5UGMcf0WMALZp/view?usp=drivesdk")</f>
        <v>https://drive.google.com/file/d/1yiwfvP2ZuyWl-41Pi-t5UGMcf0WMALZp/view?usp=drivesdk</v>
      </c>
    </row>
    <row r="3883">
      <c r="A3883" s="15">
        <f>IFERROR(__xludf.DUMMYFUNCTION("""COMPUTED_VALUE"""),45114.0)</f>
        <v>45114</v>
      </c>
      <c r="B3883" s="16" t="str">
        <f>IFERROR(__xludf.DUMMYFUNCTION("""COMPUTED_VALUE"""),"Daniel José sandoval gonzalez")</f>
        <v>Daniel José sandoval gonzalez</v>
      </c>
      <c r="C3883" s="15" t="str">
        <f>IFERROR(__xludf.DUMMYFUNCTION("""COMPUTED_VALUE"""),"BARRANQUILLA")</f>
        <v>BARRANQUILLA</v>
      </c>
      <c r="D3883" s="15" t="str">
        <f>IFERROR(__xludf.DUMMYFUNCTION("""COMPUTED_VALUE"""),"BOGOTÁ")</f>
        <v>BOGOTÁ</v>
      </c>
      <c r="E3883" s="15" t="str">
        <f>IFERROR(__xludf.DUMMYFUNCTION("""COMPUTED_VALUE"""),"Mochi")</f>
        <v>Mochi</v>
      </c>
      <c r="F3883" s="17" t="str">
        <f>IFERROR(__xludf.DUMMYFUNCTION("""COMPUTED_VALUE"""),"Carrera 51B #87-50 / Viva / Viva")</f>
        <v>Carrera 51B #87-50 / Viva / Viva</v>
      </c>
      <c r="G3883" s="15" t="str">
        <f>IFERROR(__xludf.DUMMYFUNCTION("""COMPUTED_VALUE"""),"Yina")</f>
        <v>Yina</v>
      </c>
      <c r="H3883" s="16">
        <f>IFERROR(__xludf.DUMMYFUNCTION("""COMPUTED_VALUE"""),12455.0)</f>
        <v>12455</v>
      </c>
      <c r="I3883" s="18">
        <f>IFERROR(__xludf.DUMMYFUNCTION("""COMPUTED_VALUE"""),100.0)</f>
        <v>100</v>
      </c>
      <c r="J3883" s="18">
        <f>IFERROR(__xludf.DUMMYFUNCTION("""COMPUTED_VALUE"""),100.0)</f>
        <v>100</v>
      </c>
      <c r="K3883" s="18">
        <f>IFERROR(__xludf.DUMMYFUNCTION("""COMPUTED_VALUE"""),300.0)</f>
        <v>300</v>
      </c>
      <c r="L3883" s="17">
        <f>IFERROR(__xludf.DUMMYFUNCTION("""COMPUTED_VALUE"""),3.216528485E9)</f>
        <v>3216528485</v>
      </c>
      <c r="M3883" s="17" t="str">
        <f>IFERROR(__xludf.DUMMYFUNCTION("""COMPUTED_VALUE"""),"#REF!")</f>
        <v>#REF!</v>
      </c>
      <c r="N3883" s="17"/>
      <c r="O3883" s="17"/>
      <c r="P3883" s="17" t="b">
        <f>IFERROR(__xludf.DUMMYFUNCTION("""COMPUTED_VALUE"""),FALSE)</f>
        <v>0</v>
      </c>
      <c r="Q3883" s="20" t="str">
        <f>IFERROR(__xludf.DUMMYFUNCTION("""COMPUTED_VALUE"""),"")</f>
        <v/>
      </c>
      <c r="R3883" s="22" t="str">
        <f>IFERROR(__xludf.DUMMYFUNCTION("""COMPUTED_VALUE"""),"")</f>
        <v/>
      </c>
    </row>
    <row r="3884">
      <c r="A3884" s="15">
        <f>IFERROR(__xludf.DUMMYFUNCTION("""COMPUTED_VALUE"""),45114.0)</f>
        <v>45114</v>
      </c>
      <c r="B3884" s="16" t="str">
        <f>IFERROR(__xludf.DUMMYFUNCTION("""COMPUTED_VALUE"""),"Daniel José sandoval gonzalez")</f>
        <v>Daniel José sandoval gonzalez</v>
      </c>
      <c r="C3884" s="15" t="str">
        <f>IFERROR(__xludf.DUMMYFUNCTION("""COMPUTED_VALUE"""),"BARRANQUILLA")</f>
        <v>BARRANQUILLA</v>
      </c>
      <c r="D3884" s="15" t="str">
        <f>IFERROR(__xludf.DUMMYFUNCTION("""COMPUTED_VALUE"""),"BOGOTÁ")</f>
        <v>BOGOTÁ</v>
      </c>
      <c r="E3884" s="15" t="str">
        <f>IFERROR(__xludf.DUMMYFUNCTION("""COMPUTED_VALUE"""),"Ser Fit")</f>
        <v>Ser Fit</v>
      </c>
      <c r="F3884" s="17" t="str">
        <f>IFERROR(__xludf.DUMMYFUNCTION("""COMPUTED_VALUE"""),"cr51#82-223  / barranquilla / barranquilla")</f>
        <v>cr51#82-223  / barranquilla / barranquilla</v>
      </c>
      <c r="G3884" s="15" t="str">
        <f>IFERROR(__xludf.DUMMYFUNCTION("""COMPUTED_VALUE"""),"fit hub")</f>
        <v>fit hub</v>
      </c>
      <c r="H3884" s="16">
        <f>IFERROR(__xludf.DUMMYFUNCTION("""COMPUTED_VALUE"""),12391.0)</f>
        <v>12391</v>
      </c>
      <c r="I3884" s="18">
        <f>IFERROR(__xludf.DUMMYFUNCTION("""COMPUTED_VALUE"""),45058.0)</f>
        <v>45058</v>
      </c>
      <c r="J3884" s="18">
        <f>IFERROR(__xludf.DUMMYFUNCTION("""COMPUTED_VALUE"""),21.0)</f>
        <v>21</v>
      </c>
      <c r="K3884" s="18">
        <f>IFERROR(__xludf.DUMMYFUNCTION("""COMPUTED_VALUE"""),32.0)</f>
        <v>32</v>
      </c>
      <c r="L3884" s="17">
        <f>IFERROR(__xludf.DUMMYFUNCTION("""COMPUTED_VALUE"""),3.157237432E9)</f>
        <v>3157237432</v>
      </c>
      <c r="M3884" s="17" t="str">
        <f>IFERROR(__xludf.DUMMYFUNCTION("""COMPUTED_VALUE"""),"#REF!")</f>
        <v>#REF!</v>
      </c>
      <c r="N3884" s="17"/>
      <c r="O3884" s="17"/>
      <c r="P3884" s="17" t="b">
        <f>IFERROR(__xludf.DUMMYFUNCTION("""COMPUTED_VALUE"""),FALSE)</f>
        <v>0</v>
      </c>
      <c r="Q3884" s="20" t="str">
        <f>IFERROR(__xludf.DUMMYFUNCTION("""COMPUTED_VALUE"""),"")</f>
        <v/>
      </c>
      <c r="R3884" s="21" t="str">
        <f>IFERROR(__xludf.DUMMYFUNCTION("""COMPUTED_VALUE"""),"https://drive.google.com/file/d/1QN9h1sw_0xDW0jkNGJfgZfabFXgkjZax/view?usp=drivesdk")</f>
        <v>https://drive.google.com/file/d/1QN9h1sw_0xDW0jkNGJfgZfabFXgkjZax/view?usp=drivesdk</v>
      </c>
    </row>
    <row r="3885">
      <c r="A3885" s="15">
        <f>IFERROR(__xludf.DUMMYFUNCTION("""COMPUTED_VALUE"""),45114.0)</f>
        <v>45114</v>
      </c>
      <c r="B3885" s="16" t="str">
        <f>IFERROR(__xludf.DUMMYFUNCTION("""COMPUTED_VALUE"""),"Daniel José sandoval gonzalez")</f>
        <v>Daniel José sandoval gonzalez</v>
      </c>
      <c r="C3885" s="15" t="str">
        <f>IFERROR(__xludf.DUMMYFUNCTION("""COMPUTED_VALUE"""),"BARRANQUILLA")</f>
        <v>BARRANQUILLA</v>
      </c>
      <c r="D3885" s="15" t="str">
        <f>IFERROR(__xludf.DUMMYFUNCTION("""COMPUTED_VALUE"""),"BOGOTÁ")</f>
        <v>BOGOTÁ</v>
      </c>
      <c r="E3885" s="15" t="str">
        <f>IFERROR(__xludf.DUMMYFUNCTION("""COMPUTED_VALUE"""),"Viral Brands")</f>
        <v>Viral Brands</v>
      </c>
      <c r="F3885" s="17" t="str">
        <f>IFERROR(__xludf.DUMMYFUNCTION("""COMPUTED_VALUE"""),"cra 58 n 96-187 / lyd house restaurante maya / buenavista")</f>
        <v>cra 58 n 96-187 / lyd house restaurante maya / buenavista</v>
      </c>
      <c r="G3885" s="15" t="str">
        <f>IFERROR(__xludf.DUMMYFUNCTION("""COMPUTED_VALUE"""),"manuel ortiz")</f>
        <v>manuel ortiz</v>
      </c>
      <c r="H3885" s="16">
        <f>IFERROR(__xludf.DUMMYFUNCTION("""COMPUTED_VALUE"""),12413.0)</f>
        <v>12413</v>
      </c>
      <c r="I3885" s="18">
        <f>IFERROR(__xludf.DUMMYFUNCTION("""COMPUTED_VALUE"""),21.0)</f>
        <v>21</v>
      </c>
      <c r="J3885" s="18">
        <f>IFERROR(__xludf.DUMMYFUNCTION("""COMPUTED_VALUE"""),50.0)</f>
        <v>50</v>
      </c>
      <c r="K3885" s="18">
        <f>IFERROR(__xludf.DUMMYFUNCTION("""COMPUTED_VALUE"""),30.0)</f>
        <v>30</v>
      </c>
      <c r="L3885" s="17">
        <f>IFERROR(__xludf.DUMMYFUNCTION("""COMPUTED_VALUE"""),3.122454394E9)</f>
        <v>3122454394</v>
      </c>
      <c r="M3885" s="17" t="str">
        <f>IFERROR(__xludf.DUMMYFUNCTION("""COMPUTED_VALUE"""),"#REF!")</f>
        <v>#REF!</v>
      </c>
      <c r="N3885" s="17"/>
      <c r="O3885" s="17"/>
      <c r="P3885" s="17" t="b">
        <f>IFERROR(__xludf.DUMMYFUNCTION("""COMPUTED_VALUE"""),FALSE)</f>
        <v>0</v>
      </c>
      <c r="Q3885" s="20" t="str">
        <f>IFERROR(__xludf.DUMMYFUNCTION("""COMPUTED_VALUE"""),"")</f>
        <v/>
      </c>
      <c r="R3885" s="21" t="str">
        <f>IFERROR(__xludf.DUMMYFUNCTION("""COMPUTED_VALUE"""),"https://drive.google.com/file/d/19XXLp8GYDtIs3wbOUoSW5OrBzAfPnPBS/view?usp=drivesdk")</f>
        <v>https://drive.google.com/file/d/19XXLp8GYDtIs3wbOUoSW5OrBzAfPnPBS/view?usp=drivesdk</v>
      </c>
    </row>
    <row r="3886">
      <c r="A3886" s="15">
        <f>IFERROR(__xludf.DUMMYFUNCTION("""COMPUTED_VALUE"""),45114.0)</f>
        <v>45114</v>
      </c>
      <c r="B3886" s="16" t="str">
        <f>IFERROR(__xludf.DUMMYFUNCTION("""COMPUTED_VALUE"""),"Daniel José sandoval gonzalez")</f>
        <v>Daniel José sandoval gonzalez</v>
      </c>
      <c r="C3886" s="15" t="str">
        <f>IFERROR(__xludf.DUMMYFUNCTION("""COMPUTED_VALUE"""),"BARRANQUILLA")</f>
        <v>BARRANQUILLA</v>
      </c>
      <c r="D3886" s="15" t="str">
        <f>IFERROR(__xludf.DUMMYFUNCTION("""COMPUTED_VALUE"""),"MEDELLÍN")</f>
        <v>MEDELLÍN</v>
      </c>
      <c r="E3886" s="15" t="str">
        <f>IFERROR(__xludf.DUMMYFUNCTION("""COMPUTED_VALUE"""),"Baby Chef")</f>
        <v>Baby Chef</v>
      </c>
      <c r="F3886" s="17" t="str">
        <f>IFERROR(__xludf.DUMMYFUNCTION("""COMPUTED_VALUE"""),"carrera 18 #26-118 Barrio Las Nieves Barrio Las Nieves / ""carrera 18 #26-118 Barrio Las Nieves Barrio Las Nieves"" / ""carrera 18 #26-118 Barrio Las Nieves Barrio Las Nieves""")</f>
        <v>carrera 18 #26-118 Barrio Las Nieves Barrio Las Nieves / "carrera 18 #26-118 Barrio Las Nieves Barrio Las Nieves" / "carrera 18 #26-118 Barrio Las Nieves Barrio Las Nieves"</v>
      </c>
      <c r="G3886" s="15" t="str">
        <f>IFERROR(__xludf.DUMMYFUNCTION("""COMPUTED_VALUE"""),"Karen Madrid Vélez")</f>
        <v>Karen Madrid Vélez</v>
      </c>
      <c r="H3886" s="16">
        <f>IFERROR(__xludf.DUMMYFUNCTION("""COMPUTED_VALUE"""),12403.0)</f>
        <v>12403</v>
      </c>
      <c r="I3886" s="18">
        <f>IFERROR(__xludf.DUMMYFUNCTION("""COMPUTED_VALUE"""),8.0)</f>
        <v>8</v>
      </c>
      <c r="J3886" s="18">
        <f>IFERROR(__xludf.DUMMYFUNCTION("""COMPUTED_VALUE"""),16.0)</f>
        <v>16</v>
      </c>
      <c r="K3886" s="18">
        <f>IFERROR(__xludf.DUMMYFUNCTION("""COMPUTED_VALUE"""),20.0)</f>
        <v>20</v>
      </c>
      <c r="L3886" s="17">
        <f>IFERROR(__xludf.DUMMYFUNCTION("""COMPUTED_VALUE"""),3.00735457E9)</f>
        <v>3007354570</v>
      </c>
      <c r="M3886" s="17" t="str">
        <f>IFERROR(__xludf.DUMMYFUNCTION("""COMPUTED_VALUE"""),"#REF!")</f>
        <v>#REF!</v>
      </c>
      <c r="N3886" s="17"/>
      <c r="O3886" s="17"/>
      <c r="P3886" s="17" t="b">
        <f>IFERROR(__xludf.DUMMYFUNCTION("""COMPUTED_VALUE"""),FALSE)</f>
        <v>0</v>
      </c>
      <c r="Q3886" s="20" t="str">
        <f>IFERROR(__xludf.DUMMYFUNCTION("""COMPUTED_VALUE"""),"")</f>
        <v/>
      </c>
      <c r="R3886" s="21" t="str">
        <f>IFERROR(__xludf.DUMMYFUNCTION("""COMPUTED_VALUE"""),"https://drive.google.com/file/d/13ZZ-2KTUha6gpceVxeq10n3Ysm3v2Vpt/view?usp=drivesdk")</f>
        <v>https://drive.google.com/file/d/13ZZ-2KTUha6gpceVxeq10n3Ysm3v2Vpt/view?usp=drivesdk</v>
      </c>
    </row>
    <row r="3887">
      <c r="A3887" s="15">
        <f>IFERROR(__xludf.DUMMYFUNCTION("""COMPUTED_VALUE"""),45114.0)</f>
        <v>45114</v>
      </c>
      <c r="B3887" s="16" t="str">
        <f>IFERROR(__xludf.DUMMYFUNCTION("""COMPUTED_VALUE"""),"Daniel José sandoval gonzalez")</f>
        <v>Daniel José sandoval gonzalez</v>
      </c>
      <c r="C3887" s="15" t="str">
        <f>IFERROR(__xludf.DUMMYFUNCTION("""COMPUTED_VALUE"""),"BARRANQUILLA")</f>
        <v>BARRANQUILLA</v>
      </c>
      <c r="D3887" s="15" t="str">
        <f>IFERROR(__xludf.DUMMYFUNCTION("""COMPUTED_VALUE"""),"MEDELLÍN")</f>
        <v>MEDELLÍN</v>
      </c>
      <c r="E3887" s="15" t="str">
        <f>IFERROR(__xludf.DUMMYFUNCTION("""COMPUTED_VALUE"""),"Rambla")</f>
        <v>Rambla</v>
      </c>
      <c r="F3887" s="17" t="str">
        <f>IFERROR(__xludf.DUMMYFUNCTION("""COMPUTED_VALUE"""),"carrera 53 #80-284 / local 8 / na")</f>
        <v>carrera 53 #80-284 / local 8 / na</v>
      </c>
      <c r="G3887" s="15" t="str">
        <f>IFERROR(__xludf.DUMMYFUNCTION("""COMPUTED_VALUE"""),"corpofit barranquilla")</f>
        <v>corpofit barranquilla</v>
      </c>
      <c r="H3887" s="16">
        <f>IFERROR(__xludf.DUMMYFUNCTION("""COMPUTED_VALUE"""),12407.0)</f>
        <v>12407</v>
      </c>
      <c r="I3887" s="18">
        <f>IFERROR(__xludf.DUMMYFUNCTION("""COMPUTED_VALUE"""),32.0)</f>
        <v>32</v>
      </c>
      <c r="J3887" s="18">
        <f>IFERROR(__xludf.DUMMYFUNCTION("""COMPUTED_VALUE"""),22.0)</f>
        <v>22</v>
      </c>
      <c r="K3887" s="18">
        <f>IFERROR(__xludf.DUMMYFUNCTION("""COMPUTED_VALUE"""),32.0)</f>
        <v>32</v>
      </c>
      <c r="L3887" s="17">
        <f>IFERROR(__xludf.DUMMYFUNCTION("""COMPUTED_VALUE"""),3.006125263E9)</f>
        <v>3006125263</v>
      </c>
      <c r="M3887" s="17" t="str">
        <f>IFERROR(__xludf.DUMMYFUNCTION("""COMPUTED_VALUE"""),"#REF!")</f>
        <v>#REF!</v>
      </c>
      <c r="N3887" s="17"/>
      <c r="O3887" s="17"/>
      <c r="P3887" s="17" t="b">
        <f>IFERROR(__xludf.DUMMYFUNCTION("""COMPUTED_VALUE"""),FALSE)</f>
        <v>0</v>
      </c>
      <c r="Q3887" s="20" t="str">
        <f>IFERROR(__xludf.DUMMYFUNCTION("""COMPUTED_VALUE"""),"")</f>
        <v/>
      </c>
      <c r="R3887" s="21" t="str">
        <f>IFERROR(__xludf.DUMMYFUNCTION("""COMPUTED_VALUE"""),"https://drive.google.com/file/d/1J-3OokdJLSAoufz8ZHtbE85RwWAfI1RV/view?usp=drivesdk")</f>
        <v>https://drive.google.com/file/d/1J-3OokdJLSAoufz8ZHtbE85RwWAfI1RV/view?usp=drivesdk</v>
      </c>
    </row>
    <row r="3888">
      <c r="A3888" s="15">
        <f>IFERROR(__xludf.DUMMYFUNCTION("""COMPUTED_VALUE"""),45114.0)</f>
        <v>45114</v>
      </c>
      <c r="B3888" s="16" t="str">
        <f>IFERROR(__xludf.DUMMYFUNCTION("""COMPUTED_VALUE"""),"Daniel José sandoval gonzalez")</f>
        <v>Daniel José sandoval gonzalez</v>
      </c>
      <c r="C3888" s="15" t="str">
        <f>IFERROR(__xludf.DUMMYFUNCTION("""COMPUTED_VALUE"""),"BARRANQUILLA")</f>
        <v>BARRANQUILLA</v>
      </c>
      <c r="D3888" s="15" t="str">
        <f>IFERROR(__xludf.DUMMYFUNCTION("""COMPUTED_VALUE"""),"MEDELLÍN")</f>
        <v>MEDELLÍN</v>
      </c>
      <c r="E3888" s="15" t="str">
        <f>IFERROR(__xludf.DUMMYFUNCTION("""COMPUTED_VALUE"""),"Rambla")</f>
        <v>Rambla</v>
      </c>
      <c r="F3888" s="17" t="str">
        <f>IFERROR(__xludf.DUMMYFUNCTION("""COMPUTED_VALUE"""),"carrera 74 #76-74 / na / na")</f>
        <v>carrera 74 #76-74 / na / na</v>
      </c>
      <c r="G3888" s="15" t="str">
        <f>IFERROR(__xludf.DUMMYFUNCTION("""COMPUTED_VALUE"""),"fit hub")</f>
        <v>fit hub</v>
      </c>
      <c r="H3888" s="16">
        <f>IFERROR(__xludf.DUMMYFUNCTION("""COMPUTED_VALUE"""),12408.0)</f>
        <v>12408</v>
      </c>
      <c r="I3888" s="18">
        <f>IFERROR(__xludf.DUMMYFUNCTION("""COMPUTED_VALUE"""),21.0)</f>
        <v>21</v>
      </c>
      <c r="J3888" s="18">
        <f>IFERROR(__xludf.DUMMYFUNCTION("""COMPUTED_VALUE"""),21.0)</f>
        <v>21</v>
      </c>
      <c r="K3888" s="18">
        <f>IFERROR(__xludf.DUMMYFUNCTION("""COMPUTED_VALUE"""),32.0)</f>
        <v>32</v>
      </c>
      <c r="L3888" s="17">
        <f>IFERROR(__xludf.DUMMYFUNCTION("""COMPUTED_VALUE"""),3.157039547E9)</f>
        <v>3157039547</v>
      </c>
      <c r="M3888" s="17" t="str">
        <f>IFERROR(__xludf.DUMMYFUNCTION("""COMPUTED_VALUE"""),"#REF!")</f>
        <v>#REF!</v>
      </c>
      <c r="N3888" s="17"/>
      <c r="O3888" s="17"/>
      <c r="P3888" s="17" t="b">
        <f>IFERROR(__xludf.DUMMYFUNCTION("""COMPUTED_VALUE"""),FALSE)</f>
        <v>0</v>
      </c>
      <c r="Q3888" s="20" t="str">
        <f>IFERROR(__xludf.DUMMYFUNCTION("""COMPUTED_VALUE"""),"")</f>
        <v/>
      </c>
      <c r="R3888" s="21" t="str">
        <f>IFERROR(__xludf.DUMMYFUNCTION("""COMPUTED_VALUE"""),"https://drive.google.com/file/d/15qzx9-g7p86dOBrVIkBXsos1Fmq_Bv37/view?usp=drivesdk")</f>
        <v>https://drive.google.com/file/d/15qzx9-g7p86dOBrVIkBXsos1Fmq_Bv37/view?usp=drivesdk</v>
      </c>
    </row>
    <row r="3889">
      <c r="A3889" s="15">
        <f>IFERROR(__xludf.DUMMYFUNCTION("""COMPUTED_VALUE"""),45114.0)</f>
        <v>45114</v>
      </c>
      <c r="B3889" s="16" t="str">
        <f>IFERROR(__xludf.DUMMYFUNCTION("""COMPUTED_VALUE"""),"Daniel José sandoval gonzalez")</f>
        <v>Daniel José sandoval gonzalez</v>
      </c>
      <c r="C3889" s="15" t="str">
        <f>IFERROR(__xludf.DUMMYFUNCTION("""COMPUTED_VALUE"""),"MEDELLÍN")</f>
        <v>MEDELLÍN</v>
      </c>
      <c r="D3889" s="15" t="str">
        <f>IFERROR(__xludf.DUMMYFUNCTION("""COMPUTED_VALUE"""),"BOGOTÁ")</f>
        <v>BOGOTÁ</v>
      </c>
      <c r="E3889" s="15" t="str">
        <f>IFERROR(__xludf.DUMMYFUNCTION("""COMPUTED_VALUE"""),"Renata")</f>
        <v>Renata</v>
      </c>
      <c r="F3889" s="17" t="str">
        <f>IFERROR(__xludf.DUMMYFUNCTION("""COMPUTED_VALUE"""),"Carrera 32d#9-43 / Seline y cowork -restaurante  / Provenza")</f>
        <v>Carrera 32d#9-43 / Seline y cowork -restaurante  / Provenza</v>
      </c>
      <c r="G3889" s="15" t="str">
        <f>IFERROR(__xludf.DUMMYFUNCTION("""COMPUTED_VALUE"""),"Front y back hospitality group")</f>
        <v>Front y back hospitality group</v>
      </c>
      <c r="H3889" s="16">
        <f>IFERROR(__xludf.DUMMYFUNCTION("""COMPUTED_VALUE"""),12441.0)</f>
        <v>12441</v>
      </c>
      <c r="I3889" s="18">
        <f>IFERROR(__xludf.DUMMYFUNCTION("""COMPUTED_VALUE"""),90.0)</f>
        <v>90</v>
      </c>
      <c r="J3889" s="18">
        <f>IFERROR(__xludf.DUMMYFUNCTION("""COMPUTED_VALUE"""),70.0)</f>
        <v>70</v>
      </c>
      <c r="K3889" s="18">
        <f>IFERROR(__xludf.DUMMYFUNCTION("""COMPUTED_VALUE"""),60.0)</f>
        <v>60</v>
      </c>
      <c r="L3889" s="17">
        <f>IFERROR(__xludf.DUMMYFUNCTION("""COMPUTED_VALUE"""),3.104047368E9)</f>
        <v>3104047368</v>
      </c>
      <c r="M3889" s="17" t="str">
        <f>IFERROR(__xludf.DUMMYFUNCTION("""COMPUTED_VALUE"""),"#REF!")</f>
        <v>#REF!</v>
      </c>
      <c r="N3889" s="17"/>
      <c r="O3889" s="17"/>
      <c r="P3889" s="17" t="b">
        <f>IFERROR(__xludf.DUMMYFUNCTION("""COMPUTED_VALUE"""),FALSE)</f>
        <v>0</v>
      </c>
      <c r="Q3889" s="20" t="str">
        <f>IFERROR(__xludf.DUMMYFUNCTION("""COMPUTED_VALUE"""),"")</f>
        <v/>
      </c>
      <c r="R3889" s="21" t="str">
        <f>IFERROR(__xludf.DUMMYFUNCTION("""COMPUTED_VALUE"""),"https://drive.google.com/file/d/1x0W2A_QE_T87BumoVgDasTbq8_9PuJcZ/view?usp=drivesdk")</f>
        <v>https://drive.google.com/file/d/1x0W2A_QE_T87BumoVgDasTbq8_9PuJcZ/view?usp=drivesdk</v>
      </c>
    </row>
    <row r="3890">
      <c r="A3890" s="15">
        <f>IFERROR(__xludf.DUMMYFUNCTION("""COMPUTED_VALUE"""),45114.0)</f>
        <v>45114</v>
      </c>
      <c r="B3890" s="16" t="str">
        <f>IFERROR(__xludf.DUMMYFUNCTION("""COMPUTED_VALUE"""),"Daniel José sandoval gonzalez")</f>
        <v>Daniel José sandoval gonzalez</v>
      </c>
      <c r="C3890" s="15" t="str">
        <f>IFERROR(__xludf.DUMMYFUNCTION("""COMPUTED_VALUE"""),"MEDELLÍN")</f>
        <v>MEDELLÍN</v>
      </c>
      <c r="D3890" s="15" t="str">
        <f>IFERROR(__xludf.DUMMYFUNCTION("""COMPUTED_VALUE"""),"BOGOTÁ")</f>
        <v>BOGOTÁ</v>
      </c>
      <c r="E3890" s="15" t="str">
        <f>IFERROR(__xludf.DUMMYFUNCTION("""COMPUTED_VALUE"""),"SISU PARTNERS SAS")</f>
        <v>SISU PARTNERS SAS</v>
      </c>
      <c r="F3890" s="17" t="str">
        <f>IFERROR(__xludf.DUMMYFUNCTION("""COMPUTED_VALUE"""),"Carrera 34 no. 7-86 / Local Mary &amp; George")</f>
        <v>Carrera 34 no. 7-86 / Local Mary &amp; George</v>
      </c>
      <c r="G3890" s="15" t="str">
        <f>IFERROR(__xludf.DUMMYFUNCTION("""COMPUTED_VALUE"""),"Maria Paulina Pérez")</f>
        <v>Maria Paulina Pérez</v>
      </c>
      <c r="H3890" s="16">
        <f>IFERROR(__xludf.DUMMYFUNCTION("""COMPUTED_VALUE"""),12416.0)</f>
        <v>12416</v>
      </c>
      <c r="I3890" s="18" t="str">
        <f>IFERROR(__xludf.DUMMYFUNCTION("""COMPUTED_VALUE"""),"52.5")</f>
        <v>52.5</v>
      </c>
      <c r="J3890" s="18">
        <f>IFERROR(__xludf.DUMMYFUNCTION("""COMPUTED_VALUE"""),45.0)</f>
        <v>45</v>
      </c>
      <c r="K3890" s="18">
        <f>IFERROR(__xludf.DUMMYFUNCTION("""COMPUTED_VALUE"""),55.0)</f>
        <v>55</v>
      </c>
      <c r="L3890" s="17">
        <f>IFERROR(__xludf.DUMMYFUNCTION("""COMPUTED_VALUE"""),3.182186058E9)</f>
        <v>3182186058</v>
      </c>
      <c r="M3890" s="17" t="str">
        <f>IFERROR(__xludf.DUMMYFUNCTION("""COMPUTED_VALUE"""),"#REF!")</f>
        <v>#REF!</v>
      </c>
      <c r="N3890" s="17"/>
      <c r="O3890" s="17"/>
      <c r="P3890" s="17" t="b">
        <f>IFERROR(__xludf.DUMMYFUNCTION("""COMPUTED_VALUE"""),FALSE)</f>
        <v>0</v>
      </c>
      <c r="Q3890" s="20" t="str">
        <f>IFERROR(__xludf.DUMMYFUNCTION("""COMPUTED_VALUE"""),"")</f>
        <v/>
      </c>
      <c r="R3890" s="21" t="str">
        <f>IFERROR(__xludf.DUMMYFUNCTION("""COMPUTED_VALUE"""),"https://drive.google.com/file/d/1-I4afFu-0-iVHCVBva5Yc2DHpRLd3P5r/view?usp=drivesdk")</f>
        <v>https://drive.google.com/file/d/1-I4afFu-0-iVHCVBva5Yc2DHpRLd3P5r/view?usp=drivesdk</v>
      </c>
    </row>
    <row r="3891">
      <c r="A3891" s="17" t="str">
        <f>IFERROR(__xludf.DUMMYFUNCTION("""COMPUTED_VALUE"""),"")</f>
        <v/>
      </c>
      <c r="B3891" s="17" t="str">
        <f>IFERROR(__xludf.DUMMYFUNCTION("""COMPUTED_VALUE"""),"")</f>
        <v/>
      </c>
      <c r="C3891" s="17" t="str">
        <f>IFERROR(__xludf.DUMMYFUNCTION("""COMPUTED_VALUE"""),"")</f>
        <v/>
      </c>
      <c r="D3891" s="17" t="str">
        <f>IFERROR(__xludf.DUMMYFUNCTION("""COMPUTED_VALUE"""),"")</f>
        <v/>
      </c>
      <c r="E3891" s="17" t="str">
        <f>IFERROR(__xludf.DUMMYFUNCTION("""COMPUTED_VALUE"""),"")</f>
        <v/>
      </c>
      <c r="F3891" s="17" t="str">
        <f>IFERROR(__xludf.DUMMYFUNCTION("""COMPUTED_VALUE"""),"")</f>
        <v/>
      </c>
      <c r="G3891" s="17" t="str">
        <f>IFERROR(__xludf.DUMMYFUNCTION("""COMPUTED_VALUE"""),"")</f>
        <v/>
      </c>
      <c r="H3891" s="17" t="str">
        <f>IFERROR(__xludf.DUMMYFUNCTION("""COMPUTED_VALUE"""),"")</f>
        <v/>
      </c>
      <c r="I3891" s="17" t="str">
        <f>IFERROR(__xludf.DUMMYFUNCTION("""COMPUTED_VALUE"""),"")</f>
        <v/>
      </c>
      <c r="J3891" s="17" t="str">
        <f>IFERROR(__xludf.DUMMYFUNCTION("""COMPUTED_VALUE"""),"")</f>
        <v/>
      </c>
      <c r="K3891" s="17" t="str">
        <f>IFERROR(__xludf.DUMMYFUNCTION("""COMPUTED_VALUE"""),"")</f>
        <v/>
      </c>
      <c r="L3891" s="17" t="str">
        <f>IFERROR(__xludf.DUMMYFUNCTION("""COMPUTED_VALUE"""),"")</f>
        <v/>
      </c>
      <c r="M3891" s="17" t="str">
        <f>IFERROR(__xludf.DUMMYFUNCTION("""COMPUTED_VALUE"""),"")</f>
        <v/>
      </c>
      <c r="N3891" s="17" t="str">
        <f>IFERROR(__xludf.DUMMYFUNCTION("""COMPUTED_VALUE"""),"")</f>
        <v/>
      </c>
      <c r="O3891" s="17" t="str">
        <f>IFERROR(__xludf.DUMMYFUNCTION("""COMPUTED_VALUE"""),"")</f>
        <v/>
      </c>
      <c r="P3891" s="17" t="str">
        <f>IFERROR(__xludf.DUMMYFUNCTION("""COMPUTED_VALUE"""),"")</f>
        <v/>
      </c>
      <c r="Q3891" s="17" t="str">
        <f>IFERROR(__xludf.DUMMYFUNCTION("""COMPUTED_VALUE"""),"")</f>
        <v/>
      </c>
      <c r="R3891" s="17" t="str">
        <f>IFERROR(__xludf.DUMMYFUNCTION("""COMPUTED_VALUE"""),"")</f>
        <v/>
      </c>
    </row>
    <row r="3892">
      <c r="A3892" s="15">
        <f>IFERROR(__xludf.DUMMYFUNCTION("""COMPUTED_VALUE"""),45114.0)</f>
        <v>45114</v>
      </c>
      <c r="B3892" s="16" t="str">
        <f>IFERROR(__xludf.DUMMYFUNCTION("""COMPUTED_VALUE"""),"Envia")</f>
        <v>Envia</v>
      </c>
      <c r="C3892" s="15" t="str">
        <f>IFERROR(__xludf.DUMMYFUNCTION("""COMPUTED_VALUE"""),"BARRANQUILLA")</f>
        <v>BARRANQUILLA</v>
      </c>
      <c r="D3892" s="15" t="str">
        <f>IFERROR(__xludf.DUMMYFUNCTION("""COMPUTED_VALUE"""),"BOGOTÁ")</f>
        <v>BOGOTÁ</v>
      </c>
      <c r="E3892" s="15" t="str">
        <f>IFERROR(__xludf.DUMMYFUNCTION("""COMPUTED_VALUE"""),"Evamazzita")</f>
        <v>Evamazzita</v>
      </c>
      <c r="F3892" s="17" t="str">
        <f>IFERROR(__xludf.DUMMYFUNCTION("""COMPUTED_VALUE"""),"Cra 51b 76 27 of 202 / Cra 51b 76 27 of 202 / N/A")</f>
        <v>Cra 51b 76 27 of 202 / Cra 51b 76 27 of 202 / N/A</v>
      </c>
      <c r="G3892" s="15" t="str">
        <f>IFERROR(__xludf.DUMMYFUNCTION("""COMPUTED_VALUE"""),"INGRID JOHANA RICO")</f>
        <v>INGRID JOHANA RICO</v>
      </c>
      <c r="H3892" s="16">
        <f>IFERROR(__xludf.DUMMYFUNCTION("""COMPUTED_VALUE"""),12385.0)</f>
        <v>12385</v>
      </c>
      <c r="I3892" s="18">
        <f>IFERROR(__xludf.DUMMYFUNCTION("""COMPUTED_VALUE"""),1.0)</f>
        <v>1</v>
      </c>
      <c r="J3892" s="18">
        <f>IFERROR(__xludf.DUMMYFUNCTION("""COMPUTED_VALUE"""),1.0)</f>
        <v>1</v>
      </c>
      <c r="K3892" s="18">
        <f>IFERROR(__xludf.DUMMYFUNCTION("""COMPUTED_VALUE"""),1.0)</f>
        <v>1</v>
      </c>
      <c r="L3892" s="17">
        <f>IFERROR(__xludf.DUMMYFUNCTION("""COMPUTED_VALUE"""),3.012471115E9)</f>
        <v>3012471115</v>
      </c>
      <c r="M3892" s="17" t="str">
        <f>IFERROR(__xludf.DUMMYFUNCTION("""COMPUTED_VALUE"""),"#REF!")</f>
        <v>#REF!</v>
      </c>
      <c r="N3892" s="17"/>
      <c r="O3892" s="17"/>
      <c r="P3892" s="17" t="b">
        <f>IFERROR(__xludf.DUMMYFUNCTION("""COMPUTED_VALUE"""),FALSE)</f>
        <v>0</v>
      </c>
      <c r="Q3892" s="20" t="str">
        <f>IFERROR(__xludf.DUMMYFUNCTION("""COMPUTED_VALUE"""),"")</f>
        <v/>
      </c>
      <c r="R3892" s="21" t="str">
        <f>IFERROR(__xludf.DUMMYFUNCTION("""COMPUTED_VALUE"""),"https://drive.google.com/file/d/1WF8tsNIg0h_fBcjAkZVc11MhgYutIdw5/view?usp=drivesdk")</f>
        <v>https://drive.google.com/file/d/1WF8tsNIg0h_fBcjAkZVc11MhgYutIdw5/view?usp=drivesdk</v>
      </c>
    </row>
    <row r="3893">
      <c r="A3893" s="15">
        <f>IFERROR(__xludf.DUMMYFUNCTION("""COMPUTED_VALUE"""),45114.0)</f>
        <v>45114</v>
      </c>
      <c r="B3893" s="16" t="str">
        <f>IFERROR(__xludf.DUMMYFUNCTION("""COMPUTED_VALUE"""),"Envia")</f>
        <v>Envia</v>
      </c>
      <c r="C3893" s="15" t="str">
        <f>IFERROR(__xludf.DUMMYFUNCTION("""COMPUTED_VALUE"""),"BARRANQUILLA")</f>
        <v>BARRANQUILLA</v>
      </c>
      <c r="D3893" s="15" t="str">
        <f>IFERROR(__xludf.DUMMYFUNCTION("""COMPUTED_VALUE"""),"BOGOTÁ")</f>
        <v>BOGOTÁ</v>
      </c>
      <c r="E3893" s="15" t="str">
        <f>IFERROR(__xludf.DUMMYFUNCTION("""COMPUTED_VALUE"""),"Frambascolombia sas")</f>
        <v>Frambascolombia sas</v>
      </c>
      <c r="F3893" s="17" t="str">
        <f>IFERROR(__xludf.DUMMYFUNCTION("""COMPUTED_VALUE"""),"Cra. 53 # 68-55 / local 2")</f>
        <v>Cra. 53 # 68-55 / local 2</v>
      </c>
      <c r="G3893" s="15" t="str">
        <f>IFERROR(__xludf.DUMMYFUNCTION("""COMPUTED_VALUE"""),"PikNPak Barranquilla")</f>
        <v>PikNPak Barranquilla</v>
      </c>
      <c r="H3893" s="16">
        <f>IFERROR(__xludf.DUMMYFUNCTION("""COMPUTED_VALUE"""),12412.0)</f>
        <v>12412</v>
      </c>
      <c r="I3893" s="18">
        <f>IFERROR(__xludf.DUMMYFUNCTION("""COMPUTED_VALUE"""),45057.0)</f>
        <v>45057</v>
      </c>
      <c r="J3893" s="18">
        <f>IFERROR(__xludf.DUMMYFUNCTION("""COMPUTED_VALUE"""),10.0)</f>
        <v>10</v>
      </c>
      <c r="K3893" s="18">
        <f>IFERROR(__xludf.DUMMYFUNCTION("""COMPUTED_VALUE"""),10.0)</f>
        <v>10</v>
      </c>
      <c r="L3893" s="17" t="str">
        <f>IFERROR(__xludf.DUMMYFUNCTION("""COMPUTED_VALUE"""),"321 4229567")</f>
        <v>321 4229567</v>
      </c>
      <c r="M3893" s="17" t="str">
        <f>IFERROR(__xludf.DUMMYFUNCTION("""COMPUTED_VALUE"""),"#REF!")</f>
        <v>#REF!</v>
      </c>
      <c r="N3893" s="17"/>
      <c r="O3893" s="17"/>
      <c r="P3893" s="17" t="b">
        <f>IFERROR(__xludf.DUMMYFUNCTION("""COMPUTED_VALUE"""),FALSE)</f>
        <v>0</v>
      </c>
      <c r="Q3893" s="20" t="str">
        <f>IFERROR(__xludf.DUMMYFUNCTION("""COMPUTED_VALUE"""),"")</f>
        <v/>
      </c>
      <c r="R3893" s="22" t="str">
        <f>IFERROR(__xludf.DUMMYFUNCTION("""COMPUTED_VALUE"""),"")</f>
        <v/>
      </c>
    </row>
    <row r="3894">
      <c r="A3894" s="15">
        <f>IFERROR(__xludf.DUMMYFUNCTION("""COMPUTED_VALUE"""),45114.0)</f>
        <v>45114</v>
      </c>
      <c r="B3894" s="16" t="str">
        <f>IFERROR(__xludf.DUMMYFUNCTION("""COMPUTED_VALUE"""),"Envia")</f>
        <v>Envia</v>
      </c>
      <c r="C3894" s="15" t="str">
        <f>IFERROR(__xludf.DUMMYFUNCTION("""COMPUTED_VALUE"""),"BARRANQUILLA")</f>
        <v>BARRANQUILLA</v>
      </c>
      <c r="D3894" s="15" t="str">
        <f>IFERROR(__xludf.DUMMYFUNCTION("""COMPUTED_VALUE"""),"BOGOTÁ")</f>
        <v>BOGOTÁ</v>
      </c>
      <c r="E3894" s="15" t="str">
        <f>IFERROR(__xludf.DUMMYFUNCTION("""COMPUTED_VALUE"""),"Pan de Waffle")</f>
        <v>Pan de Waffle</v>
      </c>
      <c r="F3894" s="17" t="str">
        <f>IFERROR(__xludf.DUMMYFUNCTION("""COMPUTED_VALUE"""),"Carrera 45 # 85 - 168 / Carrera 45 # 85 - 168 / Carrera 45 # 85 - 168")</f>
        <v>Carrera 45 # 85 - 168 / Carrera 45 # 85 - 168 / Carrera 45 # 85 - 168</v>
      </c>
      <c r="G3894" s="15" t="str">
        <f>IFERROR(__xludf.DUMMYFUNCTION("""COMPUTED_VALUE"""),"FOODOLOGY")</f>
        <v>FOODOLOGY</v>
      </c>
      <c r="H3894" s="16">
        <f>IFERROR(__xludf.DUMMYFUNCTION("""COMPUTED_VALUE"""),12389.0)</f>
        <v>12389</v>
      </c>
      <c r="I3894" s="18">
        <f>IFERROR(__xludf.DUMMYFUNCTION("""COMPUTED_VALUE"""),30.0)</f>
        <v>30</v>
      </c>
      <c r="J3894" s="18">
        <f>IFERROR(__xludf.DUMMYFUNCTION("""COMPUTED_VALUE"""),20.0)</f>
        <v>20</v>
      </c>
      <c r="K3894" s="18">
        <f>IFERROR(__xludf.DUMMYFUNCTION("""COMPUTED_VALUE"""),30.0)</f>
        <v>30</v>
      </c>
      <c r="L3894" s="17">
        <f>IFERROR(__xludf.DUMMYFUNCTION("""COMPUTED_VALUE"""),3.017001909E9)</f>
        <v>3017001909</v>
      </c>
      <c r="M3894" s="17" t="str">
        <f>IFERROR(__xludf.DUMMYFUNCTION("""COMPUTED_VALUE"""),"#REF!")</f>
        <v>#REF!</v>
      </c>
      <c r="N3894" s="17"/>
      <c r="O3894" s="17"/>
      <c r="P3894" s="17" t="b">
        <f>IFERROR(__xludf.DUMMYFUNCTION("""COMPUTED_VALUE"""),FALSE)</f>
        <v>0</v>
      </c>
      <c r="Q3894" s="20" t="str">
        <f>IFERROR(__xludf.DUMMYFUNCTION("""COMPUTED_VALUE"""),"")</f>
        <v/>
      </c>
      <c r="R3894" s="21" t="str">
        <f>IFERROR(__xludf.DUMMYFUNCTION("""COMPUTED_VALUE"""),"https://drive.google.com/file/d/1U02OSQbCdvjqFLaQPsMPn60Trton3vKs/view?usp=drivesdk")</f>
        <v>https://drive.google.com/file/d/1U02OSQbCdvjqFLaQPsMPn60Trton3vKs/view?usp=drivesdk</v>
      </c>
    </row>
    <row r="3895">
      <c r="A3895" s="15">
        <f>IFERROR(__xludf.DUMMYFUNCTION("""COMPUTED_VALUE"""),45114.0)</f>
        <v>45114</v>
      </c>
      <c r="B3895" s="16" t="str">
        <f>IFERROR(__xludf.DUMMYFUNCTION("""COMPUTED_VALUE"""),"Envia")</f>
        <v>Envia</v>
      </c>
      <c r="C3895" s="15" t="str">
        <f>IFERROR(__xludf.DUMMYFUNCTION("""COMPUTED_VALUE"""),"BARRANQUILLA")</f>
        <v>BARRANQUILLA</v>
      </c>
      <c r="D3895" s="15" t="str">
        <f>IFERROR(__xludf.DUMMYFUNCTION("""COMPUTED_VALUE"""),"MEDELLÍN")</f>
        <v>MEDELLÍN</v>
      </c>
      <c r="E3895" s="15" t="str">
        <f>IFERROR(__xludf.DUMMYFUNCTION("""COMPUTED_VALUE"""),"Rambla")</f>
        <v>Rambla</v>
      </c>
      <c r="F3895" s="17" t="str">
        <f>IFERROR(__xludf.DUMMYFUNCTION("""COMPUTED_VALUE"""),"carrera 67#81-95 / barrio paraiso / na")</f>
        <v>carrera 67#81-95 / barrio paraiso / na</v>
      </c>
      <c r="G3895" s="15" t="str">
        <f>IFERROR(__xludf.DUMMYFUNCTION("""COMPUTED_VALUE"""),"santiago arbelaez")</f>
        <v>santiago arbelaez</v>
      </c>
      <c r="H3895" s="16">
        <f>IFERROR(__xludf.DUMMYFUNCTION("""COMPUTED_VALUE"""),12411.0)</f>
        <v>12411</v>
      </c>
      <c r="I3895" s="18">
        <f>IFERROR(__xludf.DUMMYFUNCTION("""COMPUTED_VALUE"""),24.0)</f>
        <v>24</v>
      </c>
      <c r="J3895" s="18">
        <f>IFERROR(__xludf.DUMMYFUNCTION("""COMPUTED_VALUE"""),22.0)</f>
        <v>22</v>
      </c>
      <c r="K3895" s="18">
        <f>IFERROR(__xludf.DUMMYFUNCTION("""COMPUTED_VALUE"""),22.0)</f>
        <v>22</v>
      </c>
      <c r="L3895" s="17">
        <f>IFERROR(__xludf.DUMMYFUNCTION("""COMPUTED_VALUE"""),3.204749856E9)</f>
        <v>3204749856</v>
      </c>
      <c r="M3895" s="17" t="str">
        <f>IFERROR(__xludf.DUMMYFUNCTION("""COMPUTED_VALUE"""),"#REF!")</f>
        <v>#REF!</v>
      </c>
      <c r="N3895" s="17"/>
      <c r="O3895" s="17"/>
      <c r="P3895" s="17" t="b">
        <f>IFERROR(__xludf.DUMMYFUNCTION("""COMPUTED_VALUE"""),FALSE)</f>
        <v>0</v>
      </c>
      <c r="Q3895" s="20" t="str">
        <f>IFERROR(__xludf.DUMMYFUNCTION("""COMPUTED_VALUE"""),"")</f>
        <v/>
      </c>
      <c r="R3895" s="21" t="str">
        <f>IFERROR(__xludf.DUMMYFUNCTION("""COMPUTED_VALUE"""),"https://drive.google.com/file/d/1RAllTjRoySi4eAH46EuO6d5a4vzxtbOJ/view?usp=drivesdk")</f>
        <v>https://drive.google.com/file/d/1RAllTjRoySi4eAH46EuO6d5a4vzxtbOJ/view?usp=drivesdk</v>
      </c>
    </row>
    <row r="3896">
      <c r="A3896" s="15">
        <f>IFERROR(__xludf.DUMMYFUNCTION("""COMPUTED_VALUE"""),45114.0)</f>
        <v>45114</v>
      </c>
      <c r="B3896" s="16" t="str">
        <f>IFERROR(__xludf.DUMMYFUNCTION("""COMPUTED_VALUE"""),"Envia")</f>
        <v>Envia</v>
      </c>
      <c r="C3896" s="15" t="str">
        <f>IFERROR(__xludf.DUMMYFUNCTION("""COMPUTED_VALUE"""),"BARRANQUILLA")</f>
        <v>BARRANQUILLA</v>
      </c>
      <c r="D3896" s="15" t="str">
        <f>IFERROR(__xludf.DUMMYFUNCTION("""COMPUTED_VALUE"""),"MEDELLÍN")</f>
        <v>MEDELLÍN</v>
      </c>
      <c r="E3896" s="15" t="str">
        <f>IFERROR(__xludf.DUMMYFUNCTION("""COMPUTED_VALUE"""),"The Smoked House")</f>
        <v>The Smoked House</v>
      </c>
      <c r="F3896" s="17" t="str">
        <f>IFERROR(__xludf.DUMMYFUNCTION("""COMPUTED_VALUE"""),"Carrera 56 #96-156 / Conjunto residencial Alaqua, casa 7 / ###")</f>
        <v>Carrera 56 #96-156 / Conjunto residencial Alaqua, casa 7 / ###</v>
      </c>
      <c r="G3896" s="15" t="str">
        <f>IFERROR(__xludf.DUMMYFUNCTION("""COMPUTED_VALUE"""),"Jose Perez")</f>
        <v>Jose Perez</v>
      </c>
      <c r="H3896" s="16">
        <f>IFERROR(__xludf.DUMMYFUNCTION("""COMPUTED_VALUE"""),12387.0)</f>
        <v>12387</v>
      </c>
      <c r="I3896" s="18">
        <f>IFERROR(__xludf.DUMMYFUNCTION("""COMPUTED_VALUE"""),10.0)</f>
        <v>10</v>
      </c>
      <c r="J3896" s="18">
        <f>IFERROR(__xludf.DUMMYFUNCTION("""COMPUTED_VALUE"""),20.0)</f>
        <v>20</v>
      </c>
      <c r="K3896" s="18">
        <f>IFERROR(__xludf.DUMMYFUNCTION("""COMPUTED_VALUE"""),38.0)</f>
        <v>38</v>
      </c>
      <c r="L3896" s="17">
        <f>IFERROR(__xludf.DUMMYFUNCTION("""COMPUTED_VALUE"""),3.106301444E9)</f>
        <v>3106301444</v>
      </c>
      <c r="M3896" s="17" t="str">
        <f>IFERROR(__xludf.DUMMYFUNCTION("""COMPUTED_VALUE"""),"#REF!")</f>
        <v>#REF!</v>
      </c>
      <c r="N3896" s="17"/>
      <c r="O3896" s="17"/>
      <c r="P3896" s="17" t="b">
        <f>IFERROR(__xludf.DUMMYFUNCTION("""COMPUTED_VALUE"""),FALSE)</f>
        <v>0</v>
      </c>
      <c r="Q3896" s="20" t="str">
        <f>IFERROR(__xludf.DUMMYFUNCTION("""COMPUTED_VALUE"""),"")</f>
        <v/>
      </c>
      <c r="R3896" s="22" t="str">
        <f>IFERROR(__xludf.DUMMYFUNCTION("""COMPUTED_VALUE"""),"")</f>
        <v/>
      </c>
    </row>
    <row r="3897">
      <c r="A3897" s="15">
        <f>IFERROR(__xludf.DUMMYFUNCTION("""COMPUTED_VALUE"""),45114.0)</f>
        <v>45114</v>
      </c>
      <c r="B3897" s="16" t="str">
        <f>IFERROR(__xludf.DUMMYFUNCTION("""COMPUTED_VALUE"""),"Envia")</f>
        <v>Envia</v>
      </c>
      <c r="C3897" s="15" t="str">
        <f>IFERROR(__xludf.DUMMYFUNCTION("""COMPUTED_VALUE"""),"BOGOTÁ")</f>
        <v>BOGOTÁ</v>
      </c>
      <c r="D3897" s="15" t="str">
        <f>IFERROR(__xludf.DUMMYFUNCTION("""COMPUTED_VALUE"""),"MEDELLÍN")</f>
        <v>MEDELLÍN</v>
      </c>
      <c r="E3897" s="15" t="str">
        <f>IFERROR(__xludf.DUMMYFUNCTION("""COMPUTED_VALUE"""),"El Molde")</f>
        <v>El Molde</v>
      </c>
      <c r="F3897" s="17" t="str">
        <f>IFERROR(__xludf.DUMMYFUNCTION("""COMPUTED_VALUE"""),"Carrera 2B #66-55 apto 205 Unique 67 / Unique 67 apto 205")</f>
        <v>Carrera 2B #66-55 apto 205 Unique 67 / Unique 67 apto 205</v>
      </c>
      <c r="G3897" s="15" t="str">
        <f>IFERROR(__xludf.DUMMYFUNCTION("""COMPUTED_VALUE"""),"Valentina Vélez Ochoa")</f>
        <v>Valentina Vélez Ochoa</v>
      </c>
      <c r="H3897" s="16">
        <f>IFERROR(__xludf.DUMMYFUNCTION("""COMPUTED_VALUE"""),12438.0)</f>
        <v>12438</v>
      </c>
      <c r="I3897" s="18">
        <f>IFERROR(__xludf.DUMMYFUNCTION("""COMPUTED_VALUE"""),5.0)</f>
        <v>5</v>
      </c>
      <c r="J3897" s="18">
        <f>IFERROR(__xludf.DUMMYFUNCTION("""COMPUTED_VALUE"""),12.0)</f>
        <v>12</v>
      </c>
      <c r="K3897" s="18">
        <f>IFERROR(__xludf.DUMMYFUNCTION("""COMPUTED_VALUE"""),45060.0)</f>
        <v>45060</v>
      </c>
      <c r="L3897" s="17">
        <f>IFERROR(__xludf.DUMMYFUNCTION("""COMPUTED_VALUE"""),3.212401643E9)</f>
        <v>3212401643</v>
      </c>
      <c r="M3897" s="17" t="str">
        <f>IFERROR(__xludf.DUMMYFUNCTION("""COMPUTED_VALUE"""),"#REF!")</f>
        <v>#REF!</v>
      </c>
      <c r="N3897" s="17"/>
      <c r="O3897" s="17"/>
      <c r="P3897" s="17" t="b">
        <f>IFERROR(__xludf.DUMMYFUNCTION("""COMPUTED_VALUE"""),FALSE)</f>
        <v>0</v>
      </c>
      <c r="Q3897" s="20" t="str">
        <f>IFERROR(__xludf.DUMMYFUNCTION("""COMPUTED_VALUE"""),"")</f>
        <v/>
      </c>
      <c r="R3897" s="21" t="str">
        <f>IFERROR(__xludf.DUMMYFUNCTION("""COMPUTED_VALUE"""),"https://drive.google.com/file/d/17g_jg23ofaQ1ekT9A2WOo6fJ3pCag3N4/view?usp=drivesdk")</f>
        <v>https://drive.google.com/file/d/17g_jg23ofaQ1ekT9A2WOo6fJ3pCag3N4/view?usp=drivesdk</v>
      </c>
    </row>
    <row r="3898">
      <c r="A3898" s="15">
        <f>IFERROR(__xludf.DUMMYFUNCTION("""COMPUTED_VALUE"""),45114.0)</f>
        <v>45114</v>
      </c>
      <c r="B3898" s="16" t="str">
        <f>IFERROR(__xludf.DUMMYFUNCTION("""COMPUTED_VALUE"""),"Envia")</f>
        <v>Envia</v>
      </c>
      <c r="C3898" s="15" t="str">
        <f>IFERROR(__xludf.DUMMYFUNCTION("""COMPUTED_VALUE"""),"BOGOTÁ")</f>
        <v>BOGOTÁ</v>
      </c>
      <c r="D3898" s="15" t="str">
        <f>IFERROR(__xludf.DUMMYFUNCTION("""COMPUTED_VALUE"""),"MEDELLÍN")</f>
        <v>MEDELLÍN</v>
      </c>
      <c r="E3898" s="15" t="str">
        <f>IFERROR(__xludf.DUMMYFUNCTION("""COMPUTED_VALUE"""),"Felicidad Bakery Bogotá")</f>
        <v>Felicidad Bakery Bogotá</v>
      </c>
      <c r="F3898" s="17" t="str">
        <f>IFERROR(__xludf.DUMMYFUNCTION("""COMPUTED_VALUE"""),"Calle 92 #15-62 / Ed centro chico  / Local 103")</f>
        <v>Calle 92 #15-62 / Ed centro chico  / Local 103</v>
      </c>
      <c r="G3898" s="15" t="str">
        <f>IFERROR(__xludf.DUMMYFUNCTION("""COMPUTED_VALUE"""),"Camilo hernandez")</f>
        <v>Camilo hernandez</v>
      </c>
      <c r="H3898" s="16">
        <f>IFERROR(__xludf.DUMMYFUNCTION("""COMPUTED_VALUE"""),12379.0)</f>
        <v>12379</v>
      </c>
      <c r="I3898" s="18">
        <f>IFERROR(__xludf.DUMMYFUNCTION("""COMPUTED_VALUE"""),1.0)</f>
        <v>1</v>
      </c>
      <c r="J3898" s="18">
        <f>IFERROR(__xludf.DUMMYFUNCTION("""COMPUTED_VALUE"""),1.0)</f>
        <v>1</v>
      </c>
      <c r="K3898" s="18">
        <f>IFERROR(__xludf.DUMMYFUNCTION("""COMPUTED_VALUE"""),1.0)</f>
        <v>1</v>
      </c>
      <c r="L3898" s="17">
        <f>IFERROR(__xludf.DUMMYFUNCTION("""COMPUTED_VALUE"""),3.013527163E9)</f>
        <v>3013527163</v>
      </c>
      <c r="M3898" s="17" t="str">
        <f>IFERROR(__xludf.DUMMYFUNCTION("""COMPUTED_VALUE"""),"#REF!")</f>
        <v>#REF!</v>
      </c>
      <c r="N3898" s="17"/>
      <c r="O3898" s="17"/>
      <c r="P3898" s="17" t="b">
        <f>IFERROR(__xludf.DUMMYFUNCTION("""COMPUTED_VALUE"""),FALSE)</f>
        <v>0</v>
      </c>
      <c r="Q3898" s="20" t="str">
        <f>IFERROR(__xludf.DUMMYFUNCTION("""COMPUTED_VALUE"""),"")</f>
        <v/>
      </c>
      <c r="R3898" s="21" t="str">
        <f>IFERROR(__xludf.DUMMYFUNCTION("""COMPUTED_VALUE"""),"https://drive.google.com/file/d/1kh_Cb4teHrWy2LDi8IEkXyafC-x3XDN-/view?usp=drivesdk")</f>
        <v>https://drive.google.com/file/d/1kh_Cb4teHrWy2LDi8IEkXyafC-x3XDN-/view?usp=drivesdk</v>
      </c>
    </row>
    <row r="3899">
      <c r="A3899" s="15">
        <f>IFERROR(__xludf.DUMMYFUNCTION("""COMPUTED_VALUE"""),45114.0)</f>
        <v>45114</v>
      </c>
      <c r="B3899" s="16" t="str">
        <f>IFERROR(__xludf.DUMMYFUNCTION("""COMPUTED_VALUE"""),"Envia")</f>
        <v>Envia</v>
      </c>
      <c r="C3899" s="15" t="str">
        <f>IFERROR(__xludf.DUMMYFUNCTION("""COMPUTED_VALUE"""),"BOGOTÁ")</f>
        <v>BOGOTÁ</v>
      </c>
      <c r="D3899" s="15" t="str">
        <f>IFERROR(__xludf.DUMMYFUNCTION("""COMPUTED_VALUE"""),"MEDELLÍN")</f>
        <v>MEDELLÍN</v>
      </c>
      <c r="E3899" s="15" t="str">
        <f>IFERROR(__xludf.DUMMYFUNCTION("""COMPUTED_VALUE"""),"Helados swip")</f>
        <v>Helados swip</v>
      </c>
      <c r="F3899" s="17" t="str">
        <f>IFERROR(__xludf.DUMMYFUNCTION("""COMPUTED_VALUE"""),"CALLE 140 #13-50 / FIT MARKET 140 / FIT MARKET 140")</f>
        <v>CALLE 140 #13-50 / FIT MARKET 140 / FIT MARKET 140</v>
      </c>
      <c r="G3899" s="15" t="str">
        <f>IFERROR(__xludf.DUMMYFUNCTION("""COMPUTED_VALUE"""),"FIT MARKET 140")</f>
        <v>FIT MARKET 140</v>
      </c>
      <c r="H3899" s="16">
        <f>IFERROR(__xludf.DUMMYFUNCTION("""COMPUTED_VALUE"""),12426.0)</f>
        <v>12426</v>
      </c>
      <c r="I3899" s="18">
        <f>IFERROR(__xludf.DUMMYFUNCTION("""COMPUTED_VALUE"""),29.0)</f>
        <v>29</v>
      </c>
      <c r="J3899" s="18">
        <f>IFERROR(__xludf.DUMMYFUNCTION("""COMPUTED_VALUE"""),55.0)</f>
        <v>55</v>
      </c>
      <c r="K3899" s="18">
        <f>IFERROR(__xludf.DUMMYFUNCTION("""COMPUTED_VALUE"""),45.0)</f>
        <v>45</v>
      </c>
      <c r="L3899" s="17">
        <f>IFERROR(__xludf.DUMMYFUNCTION("""COMPUTED_VALUE"""),3.184646644E9)</f>
        <v>3184646644</v>
      </c>
      <c r="M3899" s="17" t="str">
        <f>IFERROR(__xludf.DUMMYFUNCTION("""COMPUTED_VALUE"""),"#REF!")</f>
        <v>#REF!</v>
      </c>
      <c r="N3899" s="17"/>
      <c r="O3899" s="17"/>
      <c r="P3899" s="17" t="b">
        <f>IFERROR(__xludf.DUMMYFUNCTION("""COMPUTED_VALUE"""),FALSE)</f>
        <v>0</v>
      </c>
      <c r="Q3899" s="20" t="str">
        <f>IFERROR(__xludf.DUMMYFUNCTION("""COMPUTED_VALUE"""),"")</f>
        <v/>
      </c>
      <c r="R3899" s="21" t="str">
        <f>IFERROR(__xludf.DUMMYFUNCTION("""COMPUTED_VALUE"""),"https://drive.google.com/file/d/1TRtsZnmekf3nOv2xCok2l4wKIQQrTIvm/view?usp=drivesdk")</f>
        <v>https://drive.google.com/file/d/1TRtsZnmekf3nOv2xCok2l4wKIQQrTIvm/view?usp=drivesdk</v>
      </c>
    </row>
    <row r="3900">
      <c r="A3900" s="15">
        <f>IFERROR(__xludf.DUMMYFUNCTION("""COMPUTED_VALUE"""),45114.0)</f>
        <v>45114</v>
      </c>
      <c r="B3900" s="16" t="str">
        <f>IFERROR(__xludf.DUMMYFUNCTION("""COMPUTED_VALUE"""),"Envia")</f>
        <v>Envia</v>
      </c>
      <c r="C3900" s="15" t="str">
        <f>IFERROR(__xludf.DUMMYFUNCTION("""COMPUTED_VALUE"""),"BOGOTÁ")</f>
        <v>BOGOTÁ</v>
      </c>
      <c r="D3900" s="15" t="str">
        <f>IFERROR(__xludf.DUMMYFUNCTION("""COMPUTED_VALUE"""),"MEDELLÍN")</f>
        <v>MEDELLÍN</v>
      </c>
      <c r="E3900" s="15" t="str">
        <f>IFERROR(__xludf.DUMMYFUNCTION("""COMPUTED_VALUE"""),"Rambla")</f>
        <v>Rambla</v>
      </c>
      <c r="F3900" s="17" t="str">
        <f>IFERROR(__xludf.DUMMYFUNCTION("""COMPUTED_VALUE"""),"Carrera 8 #167D-62 TORRE 1 APTO 1212 / na / na")</f>
        <v>Carrera 8 #167D-62 TORRE 1 APTO 1212 / na / na</v>
      </c>
      <c r="G3900" s="15" t="str">
        <f>IFERROR(__xludf.DUMMYFUNCTION("""COMPUTED_VALUE"""),"lechuga y lulo")</f>
        <v>lechuga y lulo</v>
      </c>
      <c r="H3900" s="16">
        <f>IFERROR(__xludf.DUMMYFUNCTION("""COMPUTED_VALUE"""),12447.0)</f>
        <v>12447</v>
      </c>
      <c r="I3900" s="18">
        <f>IFERROR(__xludf.DUMMYFUNCTION("""COMPUTED_VALUE"""),18.0)</f>
        <v>18</v>
      </c>
      <c r="J3900" s="18">
        <f>IFERROR(__xludf.DUMMYFUNCTION("""COMPUTED_VALUE"""),22.0)</f>
        <v>22</v>
      </c>
      <c r="K3900" s="18">
        <f>IFERROR(__xludf.DUMMYFUNCTION("""COMPUTED_VALUE"""),25.0)</f>
        <v>25</v>
      </c>
      <c r="L3900" s="17">
        <f>IFERROR(__xludf.DUMMYFUNCTION("""COMPUTED_VALUE"""),3.154145568E9)</f>
        <v>3154145568</v>
      </c>
      <c r="M3900" s="17" t="str">
        <f>IFERROR(__xludf.DUMMYFUNCTION("""COMPUTED_VALUE"""),"#REF!")</f>
        <v>#REF!</v>
      </c>
      <c r="N3900" s="17"/>
      <c r="O3900" s="17"/>
      <c r="P3900" s="17" t="b">
        <f>IFERROR(__xludf.DUMMYFUNCTION("""COMPUTED_VALUE"""),FALSE)</f>
        <v>0</v>
      </c>
      <c r="Q3900" s="20" t="str">
        <f>IFERROR(__xludf.DUMMYFUNCTION("""COMPUTED_VALUE"""),"")</f>
        <v/>
      </c>
      <c r="R3900" s="21" t="str">
        <f>IFERROR(__xludf.DUMMYFUNCTION("""COMPUTED_VALUE"""),"https://drive.google.com/file/d/1ZVSBZUvHKfcjBvSF8zT9Bxnh4JddEgfU/view?usp=drivesdk")</f>
        <v>https://drive.google.com/file/d/1ZVSBZUvHKfcjBvSF8zT9Bxnh4JddEgfU/view?usp=drivesdk</v>
      </c>
    </row>
    <row r="3901">
      <c r="A3901" s="15">
        <f>IFERROR(__xludf.DUMMYFUNCTION("""COMPUTED_VALUE"""),45114.0)</f>
        <v>45114</v>
      </c>
      <c r="B3901" s="16" t="str">
        <f>IFERROR(__xludf.DUMMYFUNCTION("""COMPUTED_VALUE"""),"Envia")</f>
        <v>Envia</v>
      </c>
      <c r="C3901" s="15" t="str">
        <f>IFERROR(__xludf.DUMMYFUNCTION("""COMPUTED_VALUE"""),"CALI")</f>
        <v>CALI</v>
      </c>
      <c r="D3901" s="15" t="str">
        <f>IFERROR(__xludf.DUMMYFUNCTION("""COMPUTED_VALUE"""),"BOGOTÁ")</f>
        <v>BOGOTÁ</v>
      </c>
      <c r="E3901" s="15" t="str">
        <f>IFERROR(__xludf.DUMMYFUNCTION("""COMPUTED_VALUE"""),"Renata")</f>
        <v>Renata</v>
      </c>
      <c r="F3901" s="17" t="str">
        <f>IFERROR(__xludf.DUMMYFUNCTION("""COMPUTED_VALUE"""),"Carrera 3#3a-83 / Patio 34 food containers -restaurante  / San Fernando")</f>
        <v>Carrera 3#3a-83 / Patio 34 food containers -restaurante  / San Fernando</v>
      </c>
      <c r="G3901" s="15" t="str">
        <f>IFERROR(__xludf.DUMMYFUNCTION("""COMPUTED_VALUE"""),"Retaco sas")</f>
        <v>Retaco sas</v>
      </c>
      <c r="H3901" s="16">
        <f>IFERROR(__xludf.DUMMYFUNCTION("""COMPUTED_VALUE"""),12440.0)</f>
        <v>12440</v>
      </c>
      <c r="I3901" s="18">
        <f>IFERROR(__xludf.DUMMYFUNCTION("""COMPUTED_VALUE"""),90.0)</f>
        <v>90</v>
      </c>
      <c r="J3901" s="18">
        <f>IFERROR(__xludf.DUMMYFUNCTION("""COMPUTED_VALUE"""),70.0)</f>
        <v>70</v>
      </c>
      <c r="K3901" s="18">
        <f>IFERROR(__xludf.DUMMYFUNCTION("""COMPUTED_VALUE"""),60.0)</f>
        <v>60</v>
      </c>
      <c r="L3901" s="17">
        <f>IFERROR(__xludf.DUMMYFUNCTION("""COMPUTED_VALUE"""),3.134720976E9)</f>
        <v>3134720976</v>
      </c>
      <c r="M3901" s="17" t="str">
        <f>IFERROR(__xludf.DUMMYFUNCTION("""COMPUTED_VALUE"""),"#REF!")</f>
        <v>#REF!</v>
      </c>
      <c r="N3901" s="17"/>
      <c r="O3901" s="17"/>
      <c r="P3901" s="17" t="b">
        <f>IFERROR(__xludf.DUMMYFUNCTION("""COMPUTED_VALUE"""),FALSE)</f>
        <v>0</v>
      </c>
      <c r="Q3901" s="20" t="str">
        <f>IFERROR(__xludf.DUMMYFUNCTION("""COMPUTED_VALUE"""),"")</f>
        <v/>
      </c>
      <c r="R3901" s="21" t="str">
        <f>IFERROR(__xludf.DUMMYFUNCTION("""COMPUTED_VALUE"""),"https://drive.google.com/file/d/1pZyI6SWzRFFTReJ5UKfAUmrQGeHDCPVY/view?usp=drivesdk")</f>
        <v>https://drive.google.com/file/d/1pZyI6SWzRFFTReJ5UKfAUmrQGeHDCPVY/view?usp=drivesdk</v>
      </c>
    </row>
    <row r="3902">
      <c r="A3902" s="15">
        <f>IFERROR(__xludf.DUMMYFUNCTION("""COMPUTED_VALUE"""),45114.0)</f>
        <v>45114</v>
      </c>
      <c r="B3902" s="16" t="str">
        <f>IFERROR(__xludf.DUMMYFUNCTION("""COMPUTED_VALUE"""),"Envia")</f>
        <v>Envia</v>
      </c>
      <c r="C3902" s="15" t="str">
        <f>IFERROR(__xludf.DUMMYFUNCTION("""COMPUTED_VALUE"""),"CALI")</f>
        <v>CALI</v>
      </c>
      <c r="D3902" s="15" t="str">
        <f>IFERROR(__xludf.DUMMYFUNCTION("""COMPUTED_VALUE"""),"BOGOTÁ")</f>
        <v>BOGOTÁ</v>
      </c>
      <c r="E3902" s="15" t="str">
        <f>IFERROR(__xludf.DUMMYFUNCTION("""COMPUTED_VALUE"""),"Viral Brands")</f>
        <v>Viral Brands</v>
      </c>
      <c r="F3902" s="17" t="str">
        <f>IFERROR(__xludf.DUMMYFUNCTION("""COMPUTED_VALUE"""),"Avenida 5a # 25 n 39 / Cocina 9, cocinas ocultas, por la pasarela antes de Bancolombia  / San vicente")</f>
        <v>Avenida 5a # 25 n 39 / Cocina 9, cocinas ocultas, por la pasarela antes de Bancolombia  / San vicente</v>
      </c>
      <c r="G3902" s="15" t="str">
        <f>IFERROR(__xludf.DUMMYFUNCTION("""COMPUTED_VALUE"""),"Lizbeth gamez")</f>
        <v>Lizbeth gamez</v>
      </c>
      <c r="H3902" s="16">
        <f>IFERROR(__xludf.DUMMYFUNCTION("""COMPUTED_VALUE"""),12419.0)</f>
        <v>12419</v>
      </c>
      <c r="I3902" s="18" t="str">
        <f>IFERROR(__xludf.DUMMYFUNCTION("""COMPUTED_VALUE"""),"52.5")</f>
        <v>52.5</v>
      </c>
      <c r="J3902" s="18">
        <f>IFERROR(__xludf.DUMMYFUNCTION("""COMPUTED_VALUE"""),55.0)</f>
        <v>55</v>
      </c>
      <c r="K3902" s="18">
        <f>IFERROR(__xludf.DUMMYFUNCTION("""COMPUTED_VALUE"""),45.0)</f>
        <v>45</v>
      </c>
      <c r="L3902" s="17">
        <f>IFERROR(__xludf.DUMMYFUNCTION("""COMPUTED_VALUE"""),3.218280504E9)</f>
        <v>3218280504</v>
      </c>
      <c r="M3902" s="17" t="str">
        <f>IFERROR(__xludf.DUMMYFUNCTION("""COMPUTED_VALUE"""),"#REF!")</f>
        <v>#REF!</v>
      </c>
      <c r="N3902" s="17"/>
      <c r="O3902" s="17"/>
      <c r="P3902" s="17" t="b">
        <f>IFERROR(__xludf.DUMMYFUNCTION("""COMPUTED_VALUE"""),FALSE)</f>
        <v>0</v>
      </c>
      <c r="Q3902" s="20" t="str">
        <f>IFERROR(__xludf.DUMMYFUNCTION("""COMPUTED_VALUE"""),"")</f>
        <v/>
      </c>
      <c r="R3902" s="21" t="str">
        <f>IFERROR(__xludf.DUMMYFUNCTION("""COMPUTED_VALUE"""),"https://drive.google.com/file/d/1GS3kCpVl8XCvr2E_7HwsSMneSpYjPecB/view?usp=drivesdk")</f>
        <v>https://drive.google.com/file/d/1GS3kCpVl8XCvr2E_7HwsSMneSpYjPecB/view?usp=drivesdk</v>
      </c>
    </row>
    <row r="3903">
      <c r="A3903" s="15">
        <f>IFERROR(__xludf.DUMMYFUNCTION("""COMPUTED_VALUE"""),45114.0)</f>
        <v>45114</v>
      </c>
      <c r="B3903" s="16" t="str">
        <f>IFERROR(__xludf.DUMMYFUNCTION("""COMPUTED_VALUE"""),"Envia")</f>
        <v>Envia</v>
      </c>
      <c r="C3903" s="15" t="str">
        <f>IFERROR(__xludf.DUMMYFUNCTION("""COMPUTED_VALUE"""),"CÚCUTA")</f>
        <v>CÚCUTA</v>
      </c>
      <c r="D3903" s="15" t="str">
        <f>IFERROR(__xludf.DUMMYFUNCTION("""COMPUTED_VALUE"""),"BOGOTÁ")</f>
        <v>BOGOTÁ</v>
      </c>
      <c r="E3903" s="15" t="str">
        <f>IFERROR(__xludf.DUMMYFUNCTION("""COMPUTED_VALUE"""),"Asociacion Agropecuaria Juana Maria")</f>
        <v>Asociacion Agropecuaria Juana Maria</v>
      </c>
      <c r="F3903" s="17" t="str">
        <f>IFERROR(__xludf.DUMMYFUNCTION("""COMPUTED_VALUE"""),"AV. 2E # 15 A -17   PISTACHO FIT MARKET BARRIO CAOBOS")</f>
        <v>AV. 2E # 15 A -17   PISTACHO FIT MARKET BARRIO CAOBOS</v>
      </c>
      <c r="G3903" s="15" t="str">
        <f>IFERROR(__xludf.DUMMYFUNCTION("""COMPUTED_VALUE"""),"DACCY KARINA LOPEZ")</f>
        <v>DACCY KARINA LOPEZ</v>
      </c>
      <c r="H3903" s="16">
        <f>IFERROR(__xludf.DUMMYFUNCTION("""COMPUTED_VALUE"""),12261.0)</f>
        <v>12261</v>
      </c>
      <c r="I3903" s="18">
        <f>IFERROR(__xludf.DUMMYFUNCTION("""COMPUTED_VALUE"""),21.0)</f>
        <v>21</v>
      </c>
      <c r="J3903" s="18">
        <f>IFERROR(__xludf.DUMMYFUNCTION("""COMPUTED_VALUE"""),37.0)</f>
        <v>37</v>
      </c>
      <c r="K3903" s="18">
        <f>IFERROR(__xludf.DUMMYFUNCTION("""COMPUTED_VALUE"""),30.0)</f>
        <v>30</v>
      </c>
      <c r="L3903" s="17">
        <f>IFERROR(__xludf.DUMMYFUNCTION("""COMPUTED_VALUE"""),3.208615379E9)</f>
        <v>3208615379</v>
      </c>
      <c r="M3903" s="17" t="str">
        <f>IFERROR(__xludf.DUMMYFUNCTION("""COMPUTED_VALUE"""),"#REF!")</f>
        <v>#REF!</v>
      </c>
      <c r="N3903" s="17"/>
      <c r="O3903" s="17"/>
      <c r="P3903" s="17" t="b">
        <f>IFERROR(__xludf.DUMMYFUNCTION("""COMPUTED_VALUE"""),FALSE)</f>
        <v>0</v>
      </c>
      <c r="Q3903" s="20" t="str">
        <f>IFERROR(__xludf.DUMMYFUNCTION("""COMPUTED_VALUE"""),"")</f>
        <v/>
      </c>
      <c r="R3903" s="22" t="str">
        <f>IFERROR(__xludf.DUMMYFUNCTION("""COMPUTED_VALUE"""),"")</f>
        <v/>
      </c>
    </row>
    <row r="3904">
      <c r="A3904" s="15">
        <f>IFERROR(__xludf.DUMMYFUNCTION("""COMPUTED_VALUE"""),45114.0)</f>
        <v>45114</v>
      </c>
      <c r="B3904" s="16" t="str">
        <f>IFERROR(__xludf.DUMMYFUNCTION("""COMPUTED_VALUE"""),"Envia")</f>
        <v>Envia</v>
      </c>
      <c r="C3904" s="15" t="str">
        <f>IFERROR(__xludf.DUMMYFUNCTION("""COMPUTED_VALUE"""),"CÚCUTA")</f>
        <v>CÚCUTA</v>
      </c>
      <c r="D3904" s="15" t="str">
        <f>IFERROR(__xludf.DUMMYFUNCTION("""COMPUTED_VALUE"""),"MEDELLÍN")</f>
        <v>MEDELLÍN</v>
      </c>
      <c r="E3904" s="15" t="str">
        <f>IFERROR(__xludf.DUMMYFUNCTION("""COMPUTED_VALUE"""),"Baby Chef")</f>
        <v>Baby Chef</v>
      </c>
      <c r="F3904" s="17" t="str">
        <f>IFERROR(__xludf.DUMMYFUNCTION("""COMPUTED_VALUE"""),"Av.5 Bis #9-26 prados del este. Conjunto Callejas del este A, casa B3.  / Av.5 Bis #9-26 prados del este. Conjunto Callejas del este A, casa B3.  / Av.5 Bis #9-26 prados del este. Conjunto Callejas del este A, casa B3.")</f>
        <v>Av.5 Bis #9-26 prados del este. Conjunto Callejas del este A, casa B3.  / Av.5 Bis #9-26 prados del este. Conjunto Callejas del este A, casa B3.  / Av.5 Bis #9-26 prados del este. Conjunto Callejas del este A, casa B3.</v>
      </c>
      <c r="G3904" s="15" t="str">
        <f>IFERROR(__xludf.DUMMYFUNCTION("""COMPUTED_VALUE"""),"Stephany Carreño")</f>
        <v>Stephany Carreño</v>
      </c>
      <c r="H3904" s="16">
        <f>IFERROR(__xludf.DUMMYFUNCTION("""COMPUTED_VALUE"""),12405.0)</f>
        <v>12405</v>
      </c>
      <c r="I3904" s="18">
        <f>IFERROR(__xludf.DUMMYFUNCTION("""COMPUTED_VALUE"""),8.0)</f>
        <v>8</v>
      </c>
      <c r="J3904" s="18">
        <f>IFERROR(__xludf.DUMMYFUNCTION("""COMPUTED_VALUE"""),16.0)</f>
        <v>16</v>
      </c>
      <c r="K3904" s="18">
        <f>IFERROR(__xludf.DUMMYFUNCTION("""COMPUTED_VALUE"""),20.0)</f>
        <v>20</v>
      </c>
      <c r="L3904" s="17">
        <f>IFERROR(__xludf.DUMMYFUNCTION("""COMPUTED_VALUE"""),3.246827585E9)</f>
        <v>3246827585</v>
      </c>
      <c r="M3904" s="17" t="str">
        <f>IFERROR(__xludf.DUMMYFUNCTION("""COMPUTED_VALUE"""),"#REF!")</f>
        <v>#REF!</v>
      </c>
      <c r="N3904" s="17"/>
      <c r="O3904" s="17"/>
      <c r="P3904" s="17" t="b">
        <f>IFERROR(__xludf.DUMMYFUNCTION("""COMPUTED_VALUE"""),FALSE)</f>
        <v>0</v>
      </c>
      <c r="Q3904" s="20" t="str">
        <f>IFERROR(__xludf.DUMMYFUNCTION("""COMPUTED_VALUE"""),"")</f>
        <v/>
      </c>
      <c r="R3904" s="21" t="str">
        <f>IFERROR(__xludf.DUMMYFUNCTION("""COMPUTED_VALUE"""),"https://drive.google.com/file/d/1ELnSMhb9_QsQKQFC3S0NEc-DFbtuf687/view?usp=drivesdk")</f>
        <v>https://drive.google.com/file/d/1ELnSMhb9_QsQKQFC3S0NEc-DFbtuf687/view?usp=drivesdk</v>
      </c>
    </row>
    <row r="3905">
      <c r="A3905" s="15">
        <f>IFERROR(__xludf.DUMMYFUNCTION("""COMPUTED_VALUE"""),45114.0)</f>
        <v>45114</v>
      </c>
      <c r="B3905" s="16" t="str">
        <f>IFERROR(__xludf.DUMMYFUNCTION("""COMPUTED_VALUE"""),"Envia")</f>
        <v>Envia</v>
      </c>
      <c r="C3905" s="15" t="str">
        <f>IFERROR(__xludf.DUMMYFUNCTION("""COMPUTED_VALUE"""),"FLORIDABLANCA")</f>
        <v>FLORIDABLANCA</v>
      </c>
      <c r="D3905" s="15" t="str">
        <f>IFERROR(__xludf.DUMMYFUNCTION("""COMPUTED_VALUE"""),"BOGOTÁ")</f>
        <v>BOGOTÁ</v>
      </c>
      <c r="E3905" s="15" t="str">
        <f>IFERROR(__xludf.DUMMYFUNCTION("""COMPUTED_VALUE"""),"Evamazzita")</f>
        <v>Evamazzita</v>
      </c>
      <c r="F3905" s="17" t="str">
        <f>IFERROR(__xludf.DUMMYFUNCTION("""COMPUTED_VALUE"""),"Calle 200 #13-63 / Edificio montesol apto 1302 / Barrio Nuevo Cañaveral")</f>
        <v>Calle 200 #13-63 / Edificio montesol apto 1302 / Barrio Nuevo Cañaveral</v>
      </c>
      <c r="G3905" s="15" t="str">
        <f>IFERROR(__xludf.DUMMYFUNCTION("""COMPUTED_VALUE"""),"YULIE ANDREA TOLOZA CARRILLO")</f>
        <v>YULIE ANDREA TOLOZA CARRILLO</v>
      </c>
      <c r="H3905" s="16">
        <f>IFERROR(__xludf.DUMMYFUNCTION("""COMPUTED_VALUE"""),12422.0)</f>
        <v>12422</v>
      </c>
      <c r="I3905" s="18">
        <f>IFERROR(__xludf.DUMMYFUNCTION("""COMPUTED_VALUE"""),1.0)</f>
        <v>1</v>
      </c>
      <c r="J3905" s="18">
        <f>IFERROR(__xludf.DUMMYFUNCTION("""COMPUTED_VALUE"""),1.0)</f>
        <v>1</v>
      </c>
      <c r="K3905" s="18">
        <f>IFERROR(__xludf.DUMMYFUNCTION("""COMPUTED_VALUE"""),1.0)</f>
        <v>1</v>
      </c>
      <c r="L3905" s="17">
        <f>IFERROR(__xludf.DUMMYFUNCTION("""COMPUTED_VALUE"""),3.186264771E9)</f>
        <v>3186264771</v>
      </c>
      <c r="M3905" s="17" t="str">
        <f>IFERROR(__xludf.DUMMYFUNCTION("""COMPUTED_VALUE"""),"#REF!")</f>
        <v>#REF!</v>
      </c>
      <c r="N3905" s="17"/>
      <c r="O3905" s="17"/>
      <c r="P3905" s="17" t="b">
        <f>IFERROR(__xludf.DUMMYFUNCTION("""COMPUTED_VALUE"""),FALSE)</f>
        <v>0</v>
      </c>
      <c r="Q3905" s="20" t="str">
        <f>IFERROR(__xludf.DUMMYFUNCTION("""COMPUTED_VALUE"""),"")</f>
        <v/>
      </c>
      <c r="R3905" s="21" t="str">
        <f>IFERROR(__xludf.DUMMYFUNCTION("""COMPUTED_VALUE"""),"https://drive.google.com/file/d/1CJDOTAophi54vXw9MoNlvn9PWYcZCMTK/view?usp=drivesdk")</f>
        <v>https://drive.google.com/file/d/1CJDOTAophi54vXw9MoNlvn9PWYcZCMTK/view?usp=drivesdk</v>
      </c>
    </row>
    <row r="3906">
      <c r="A3906" s="15">
        <f>IFERROR(__xludf.DUMMYFUNCTION("""COMPUTED_VALUE"""),45114.0)</f>
        <v>45114</v>
      </c>
      <c r="B3906" s="16" t="str">
        <f>IFERROR(__xludf.DUMMYFUNCTION("""COMPUTED_VALUE"""),"Envia")</f>
        <v>Envia</v>
      </c>
      <c r="C3906" s="15" t="str">
        <f>IFERROR(__xludf.DUMMYFUNCTION("""COMPUTED_VALUE"""),"FLORIDABLANCA")</f>
        <v>FLORIDABLANCA</v>
      </c>
      <c r="D3906" s="15" t="str">
        <f>IFERROR(__xludf.DUMMYFUNCTION("""COMPUTED_VALUE"""),"BOGOTÁ")</f>
        <v>BOGOTÁ</v>
      </c>
      <c r="E3906" s="15" t="str">
        <f>IFERROR(__xludf.DUMMYFUNCTION("""COMPUTED_VALUE"""),"Evamazzita")</f>
        <v>Evamazzita</v>
      </c>
      <c r="F3906" s="17" t="str">
        <f>IFERROR(__xludf.DUMMYFUNCTION("""COMPUTED_VALUE"""),"Carrera 20 #158-40 / Torre 2 Apto 80 Makadamia  / Barrio Cañaveral")</f>
        <v>Carrera 20 #158-40 / Torre 2 Apto 80 Makadamia  / Barrio Cañaveral</v>
      </c>
      <c r="G3906" s="15" t="str">
        <f>IFERROR(__xludf.DUMMYFUNCTION("""COMPUTED_VALUE"""),"MARIA CAMILA GARCES MEDINA")</f>
        <v>MARIA CAMILA GARCES MEDINA</v>
      </c>
      <c r="H3906" s="16">
        <f>IFERROR(__xludf.DUMMYFUNCTION("""COMPUTED_VALUE"""),12421.0)</f>
        <v>12421</v>
      </c>
      <c r="I3906" s="18">
        <f>IFERROR(__xludf.DUMMYFUNCTION("""COMPUTED_VALUE"""),1.0)</f>
        <v>1</v>
      </c>
      <c r="J3906" s="18">
        <f>IFERROR(__xludf.DUMMYFUNCTION("""COMPUTED_VALUE"""),1.0)</f>
        <v>1</v>
      </c>
      <c r="K3906" s="18">
        <f>IFERROR(__xludf.DUMMYFUNCTION("""COMPUTED_VALUE"""),1.0)</f>
        <v>1</v>
      </c>
      <c r="L3906" s="17">
        <f>IFERROR(__xludf.DUMMYFUNCTION("""COMPUTED_VALUE"""),3.002331575E9)</f>
        <v>3002331575</v>
      </c>
      <c r="M3906" s="17" t="str">
        <f>IFERROR(__xludf.DUMMYFUNCTION("""COMPUTED_VALUE"""),"#REF!")</f>
        <v>#REF!</v>
      </c>
      <c r="N3906" s="17"/>
      <c r="O3906" s="17"/>
      <c r="P3906" s="17" t="b">
        <f>IFERROR(__xludf.DUMMYFUNCTION("""COMPUTED_VALUE"""),FALSE)</f>
        <v>0</v>
      </c>
      <c r="Q3906" s="20" t="str">
        <f>IFERROR(__xludf.DUMMYFUNCTION("""COMPUTED_VALUE"""),"")</f>
        <v/>
      </c>
      <c r="R3906" s="21" t="str">
        <f>IFERROR(__xludf.DUMMYFUNCTION("""COMPUTED_VALUE"""),"https://drive.google.com/file/d/1ZSPi6k9Tdv4oTcswGppnZq3LNHqI0FB_/view?usp=drivesdk")</f>
        <v>https://drive.google.com/file/d/1ZSPi6k9Tdv4oTcswGppnZq3LNHqI0FB_/view?usp=drivesdk</v>
      </c>
    </row>
    <row r="3907">
      <c r="A3907" s="15">
        <f>IFERROR(__xludf.DUMMYFUNCTION("""COMPUTED_VALUE"""),45114.0)</f>
        <v>45114</v>
      </c>
      <c r="B3907" s="16" t="str">
        <f>IFERROR(__xludf.DUMMYFUNCTION("""COMPUTED_VALUE"""),"Envia")</f>
        <v>Envia</v>
      </c>
      <c r="C3907" s="15" t="str">
        <f>IFERROR(__xludf.DUMMYFUNCTION("""COMPUTED_VALUE"""),"MEDELLÍN")</f>
        <v>MEDELLÍN</v>
      </c>
      <c r="D3907" s="15" t="str">
        <f>IFERROR(__xludf.DUMMYFUNCTION("""COMPUTED_VALUE"""),"BOGOTÁ")</f>
        <v>BOGOTÁ</v>
      </c>
      <c r="E3907" s="15" t="str">
        <f>IFERROR(__xludf.DUMMYFUNCTION("""COMPUTED_VALUE"""),"Lunchy Kids")</f>
        <v>Lunchy Kids</v>
      </c>
      <c r="F3907" s="17" t="str">
        <f>IFERROR(__xludf.DUMMYFUNCTION("""COMPUTED_VALUE"""),"Calle 75 ab sur #52 d 332 Apto 3008   / Ceiba verde vivo / Itagui")</f>
        <v>Calle 75 ab sur #52 d 332 Apto 3008   / Ceiba verde vivo / Itagui</v>
      </c>
      <c r="G3907" s="15" t="str">
        <f>IFERROR(__xludf.DUMMYFUNCTION("""COMPUTED_VALUE"""),"Jerutsa")</f>
        <v>Jerutsa</v>
      </c>
      <c r="H3907" s="16">
        <f>IFERROR(__xludf.DUMMYFUNCTION("""COMPUTED_VALUE"""),12414.0)</f>
        <v>12414</v>
      </c>
      <c r="I3907" s="18">
        <f>IFERROR(__xludf.DUMMYFUNCTION("""COMPUTED_VALUE"""),14.0)</f>
        <v>14</v>
      </c>
      <c r="J3907" s="18">
        <f>IFERROR(__xludf.DUMMYFUNCTION("""COMPUTED_VALUE"""),16.0)</f>
        <v>16</v>
      </c>
      <c r="K3907" s="18">
        <f>IFERROR(__xludf.DUMMYFUNCTION("""COMPUTED_VALUE"""),9.0)</f>
        <v>9</v>
      </c>
      <c r="L3907" s="17">
        <f>IFERROR(__xludf.DUMMYFUNCTION("""COMPUTED_VALUE"""),3.017274432E9)</f>
        <v>3017274432</v>
      </c>
      <c r="M3907" s="17" t="str">
        <f>IFERROR(__xludf.DUMMYFUNCTION("""COMPUTED_VALUE"""),"#REF!")</f>
        <v>#REF!</v>
      </c>
      <c r="N3907" s="17"/>
      <c r="O3907" s="17"/>
      <c r="P3907" s="17" t="b">
        <f>IFERROR(__xludf.DUMMYFUNCTION("""COMPUTED_VALUE"""),TRUE)</f>
        <v>1</v>
      </c>
      <c r="Q3907" s="20">
        <f>IFERROR(__xludf.DUMMYFUNCTION("""COMPUTED_VALUE"""),45117.43200207176)</f>
        <v>45117.432</v>
      </c>
      <c r="R3907" s="21" t="str">
        <f>IFERROR(__xludf.DUMMYFUNCTION("""COMPUTED_VALUE"""),"https://drive.google.com/file/d/1T3F1QzC0sQWU39o6coHV4q4DPc7S1bJl/view?usp=drivesdk")</f>
        <v>https://drive.google.com/file/d/1T3F1QzC0sQWU39o6coHV4q4DPc7S1bJl/view?usp=drivesdk</v>
      </c>
    </row>
    <row r="3908">
      <c r="A3908" s="15">
        <f>IFERROR(__xludf.DUMMYFUNCTION("""COMPUTED_VALUE"""),45114.0)</f>
        <v>45114</v>
      </c>
      <c r="B3908" s="16" t="str">
        <f>IFERROR(__xludf.DUMMYFUNCTION("""COMPUTED_VALUE"""),"Envia")</f>
        <v>Envia</v>
      </c>
      <c r="C3908" s="15" t="str">
        <f>IFERROR(__xludf.DUMMYFUNCTION("""COMPUTED_VALUE"""),"MEDELLÍN")</f>
        <v>MEDELLÍN</v>
      </c>
      <c r="D3908" s="15" t="str">
        <f>IFERROR(__xludf.DUMMYFUNCTION("""COMPUTED_VALUE"""),"BOGOTÁ")</f>
        <v>BOGOTÁ</v>
      </c>
      <c r="E3908" s="15" t="str">
        <f>IFERROR(__xludf.DUMMYFUNCTION("""COMPUTED_VALUE"""),"MAI ALIMENTOS S.A.S")</f>
        <v>MAI ALIMENTOS S.A.S</v>
      </c>
      <c r="F3908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908" s="15" t="str">
        <f>IFERROR(__xludf.DUMMYFUNCTION("""COMPUTED_VALUE"""),"Novaventas")</f>
        <v>Novaventas</v>
      </c>
      <c r="H3908" s="16">
        <f>IFERROR(__xludf.DUMMYFUNCTION("""COMPUTED_VALUE"""),12457.0)</f>
        <v>12457</v>
      </c>
      <c r="I3908" s="18">
        <f>IFERROR(__xludf.DUMMYFUNCTION("""COMPUTED_VALUE"""),35.0)</f>
        <v>35</v>
      </c>
      <c r="J3908" s="18">
        <f>IFERROR(__xludf.DUMMYFUNCTION("""COMPUTED_VALUE"""),17.0)</f>
        <v>17</v>
      </c>
      <c r="K3908" s="18">
        <f>IFERROR(__xludf.DUMMYFUNCTION("""COMPUTED_VALUE"""),13.0)</f>
        <v>13</v>
      </c>
      <c r="L3908" s="17">
        <f>IFERROR(__xludf.DUMMYFUNCTION("""COMPUTED_VALUE"""),3.187351593E9)</f>
        <v>3187351593</v>
      </c>
      <c r="M3908" s="17" t="str">
        <f>IFERROR(__xludf.DUMMYFUNCTION("""COMPUTED_VALUE"""),"#REF!")</f>
        <v>#REF!</v>
      </c>
      <c r="N3908" s="17"/>
      <c r="O3908" s="17"/>
      <c r="P3908" s="17" t="b">
        <f>IFERROR(__xludf.DUMMYFUNCTION("""COMPUTED_VALUE"""),FALSE)</f>
        <v>0</v>
      </c>
      <c r="Q3908" s="20" t="str">
        <f>IFERROR(__xludf.DUMMYFUNCTION("""COMPUTED_VALUE"""),"")</f>
        <v/>
      </c>
      <c r="R3908" s="21" t="str">
        <f>IFERROR(__xludf.DUMMYFUNCTION("""COMPUTED_VALUE"""),"https://drive.google.com/file/d/1QymVyAuk0l6KhFseHErcCsGwpie0zbtm/view?usp=drivesdk")</f>
        <v>https://drive.google.com/file/d/1QymVyAuk0l6KhFseHErcCsGwpie0zbtm/view?usp=drivesdk</v>
      </c>
    </row>
    <row r="3909">
      <c r="A3909" s="15">
        <f>IFERROR(__xludf.DUMMYFUNCTION("""COMPUTED_VALUE"""),45114.0)</f>
        <v>45114</v>
      </c>
      <c r="B3909" s="16" t="str">
        <f>IFERROR(__xludf.DUMMYFUNCTION("""COMPUTED_VALUE"""),"Envia")</f>
        <v>Envia</v>
      </c>
      <c r="C3909" s="15" t="str">
        <f>IFERROR(__xludf.DUMMYFUNCTION("""COMPUTED_VALUE"""),"MEDELLÍN")</f>
        <v>MEDELLÍN</v>
      </c>
      <c r="D3909" s="15" t="str">
        <f>IFERROR(__xludf.DUMMYFUNCTION("""COMPUTED_VALUE"""),"BOGOTÁ")</f>
        <v>BOGOTÁ</v>
      </c>
      <c r="E3909" s="15" t="str">
        <f>IFERROR(__xludf.DUMMYFUNCTION("""COMPUTED_VALUE"""),"Pan de Waffle")</f>
        <v>Pan de Waffle</v>
      </c>
      <c r="F3909" s="17" t="str">
        <f>IFERROR(__xludf.DUMMYFUNCTION("""COMPUTED_VALUE"""),"Carrera 39 # 59 - 32 / Carrera 39 # 59 - 32 / Carrera 39 # 59 - 32")</f>
        <v>Carrera 39 # 59 - 32 / Carrera 39 # 59 - 32 / Carrera 39 # 59 - 32</v>
      </c>
      <c r="G3909" s="15" t="str">
        <f>IFERROR(__xludf.DUMMYFUNCTION("""COMPUTED_VALUE"""),"FOODOLOGY")</f>
        <v>FOODOLOGY</v>
      </c>
      <c r="H3909" s="16">
        <f>IFERROR(__xludf.DUMMYFUNCTION("""COMPUTED_VALUE"""),12442.0)</f>
        <v>12442</v>
      </c>
      <c r="I3909" s="18">
        <f>IFERROR(__xludf.DUMMYFUNCTION("""COMPUTED_VALUE"""),30.0)</f>
        <v>30</v>
      </c>
      <c r="J3909" s="18">
        <f>IFERROR(__xludf.DUMMYFUNCTION("""COMPUTED_VALUE"""),30.0)</f>
        <v>30</v>
      </c>
      <c r="K3909" s="18">
        <f>IFERROR(__xludf.DUMMYFUNCTION("""COMPUTED_VALUE"""),30.0)</f>
        <v>30</v>
      </c>
      <c r="L3909" s="17">
        <f>IFERROR(__xludf.DUMMYFUNCTION("""COMPUTED_VALUE"""),3.123558292E9)</f>
        <v>3123558292</v>
      </c>
      <c r="M3909" s="17" t="str">
        <f>IFERROR(__xludf.DUMMYFUNCTION("""COMPUTED_VALUE"""),"#REF!")</f>
        <v>#REF!</v>
      </c>
      <c r="N3909" s="17"/>
      <c r="O3909" s="17"/>
      <c r="P3909" s="17" t="b">
        <f>IFERROR(__xludf.DUMMYFUNCTION("""COMPUTED_VALUE"""),FALSE)</f>
        <v>0</v>
      </c>
      <c r="Q3909" s="20" t="str">
        <f>IFERROR(__xludf.DUMMYFUNCTION("""COMPUTED_VALUE"""),"")</f>
        <v/>
      </c>
      <c r="R3909" s="21" t="str">
        <f>IFERROR(__xludf.DUMMYFUNCTION("""COMPUTED_VALUE"""),"https://drive.google.com/file/d/1DCwbX5Kg7ADdcVWqGxwdnLWRoeHe21nW/view?usp=drivesdk")</f>
        <v>https://drive.google.com/file/d/1DCwbX5Kg7ADdcVWqGxwdnLWRoeHe21nW/view?usp=drivesdk</v>
      </c>
    </row>
    <row r="3910">
      <c r="A3910" s="15">
        <f>IFERROR(__xludf.DUMMYFUNCTION("""COMPUTED_VALUE"""),45114.0)</f>
        <v>45114</v>
      </c>
      <c r="B3910" s="16" t="str">
        <f>IFERROR(__xludf.DUMMYFUNCTION("""COMPUTED_VALUE"""),"Envia")</f>
        <v>Envia</v>
      </c>
      <c r="C3910" s="15" t="str">
        <f>IFERROR(__xludf.DUMMYFUNCTION("""COMPUTED_VALUE"""),"MEDELLÍN")</f>
        <v>MEDELLÍN</v>
      </c>
      <c r="D3910" s="15" t="str">
        <f>IFERROR(__xludf.DUMMYFUNCTION("""COMPUTED_VALUE"""),"BOGOTÁ")</f>
        <v>BOGOTÁ</v>
      </c>
      <c r="E3910" s="15" t="str">
        <f>IFERROR(__xludf.DUMMYFUNCTION("""COMPUTED_VALUE"""),"Pan de Waffle")</f>
        <v>Pan de Waffle</v>
      </c>
      <c r="F3910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3910" s="15" t="str">
        <f>IFERROR(__xludf.DUMMYFUNCTION("""COMPUTED_VALUE"""),"VITA INTEGRAL")</f>
        <v>VITA INTEGRAL</v>
      </c>
      <c r="H3910" s="16">
        <f>IFERROR(__xludf.DUMMYFUNCTION("""COMPUTED_VALUE"""),12443.0)</f>
        <v>12443</v>
      </c>
      <c r="I3910" s="18">
        <f>IFERROR(__xludf.DUMMYFUNCTION("""COMPUTED_VALUE"""),30.0)</f>
        <v>30</v>
      </c>
      <c r="J3910" s="18">
        <f>IFERROR(__xludf.DUMMYFUNCTION("""COMPUTED_VALUE"""),40.0)</f>
        <v>40</v>
      </c>
      <c r="K3910" s="18">
        <f>IFERROR(__xludf.DUMMYFUNCTION("""COMPUTED_VALUE"""),30.0)</f>
        <v>30</v>
      </c>
      <c r="L3910" s="17">
        <f>IFERROR(__xludf.DUMMYFUNCTION("""COMPUTED_VALUE"""),3.20865425E9)</f>
        <v>3208654250</v>
      </c>
      <c r="M3910" s="17" t="str">
        <f>IFERROR(__xludf.DUMMYFUNCTION("""COMPUTED_VALUE"""),"#REF!")</f>
        <v>#REF!</v>
      </c>
      <c r="N3910" s="17"/>
      <c r="O3910" s="17"/>
      <c r="P3910" s="17" t="b">
        <f>IFERROR(__xludf.DUMMYFUNCTION("""COMPUTED_VALUE"""),FALSE)</f>
        <v>0</v>
      </c>
      <c r="Q3910" s="20" t="str">
        <f>IFERROR(__xludf.DUMMYFUNCTION("""COMPUTED_VALUE"""),"")</f>
        <v/>
      </c>
      <c r="R3910" s="22" t="str">
        <f>IFERROR(__xludf.DUMMYFUNCTION("""COMPUTED_VALUE"""),"")</f>
        <v/>
      </c>
    </row>
    <row r="3911">
      <c r="A3911" s="17" t="str">
        <f>IFERROR(__xludf.DUMMYFUNCTION("""COMPUTED_VALUE"""),"")</f>
        <v/>
      </c>
      <c r="B3911" s="17" t="str">
        <f>IFERROR(__xludf.DUMMYFUNCTION("""COMPUTED_VALUE"""),"")</f>
        <v/>
      </c>
      <c r="C3911" s="17" t="str">
        <f>IFERROR(__xludf.DUMMYFUNCTION("""COMPUTED_VALUE"""),"")</f>
        <v/>
      </c>
      <c r="D3911" s="17" t="str">
        <f>IFERROR(__xludf.DUMMYFUNCTION("""COMPUTED_VALUE"""),"")</f>
        <v/>
      </c>
      <c r="E3911" s="17" t="str">
        <f>IFERROR(__xludf.DUMMYFUNCTION("""COMPUTED_VALUE"""),"")</f>
        <v/>
      </c>
      <c r="F3911" s="17" t="str">
        <f>IFERROR(__xludf.DUMMYFUNCTION("""COMPUTED_VALUE"""),"")</f>
        <v/>
      </c>
      <c r="G3911" s="17" t="str">
        <f>IFERROR(__xludf.DUMMYFUNCTION("""COMPUTED_VALUE"""),"")</f>
        <v/>
      </c>
      <c r="H3911" s="17" t="str">
        <f>IFERROR(__xludf.DUMMYFUNCTION("""COMPUTED_VALUE"""),"")</f>
        <v/>
      </c>
      <c r="I3911" s="17" t="str">
        <f>IFERROR(__xludf.DUMMYFUNCTION("""COMPUTED_VALUE"""),"")</f>
        <v/>
      </c>
      <c r="J3911" s="17" t="str">
        <f>IFERROR(__xludf.DUMMYFUNCTION("""COMPUTED_VALUE"""),"")</f>
        <v/>
      </c>
      <c r="K3911" s="17" t="str">
        <f>IFERROR(__xludf.DUMMYFUNCTION("""COMPUTED_VALUE"""),"")</f>
        <v/>
      </c>
      <c r="L3911" s="17" t="str">
        <f>IFERROR(__xludf.DUMMYFUNCTION("""COMPUTED_VALUE"""),"")</f>
        <v/>
      </c>
      <c r="M3911" s="17" t="str">
        <f>IFERROR(__xludf.DUMMYFUNCTION("""COMPUTED_VALUE"""),"")</f>
        <v/>
      </c>
      <c r="N3911" s="17" t="str">
        <f>IFERROR(__xludf.DUMMYFUNCTION("""COMPUTED_VALUE"""),"")</f>
        <v/>
      </c>
      <c r="O3911" s="17" t="str">
        <f>IFERROR(__xludf.DUMMYFUNCTION("""COMPUTED_VALUE"""),"")</f>
        <v/>
      </c>
      <c r="P3911" s="17" t="str">
        <f>IFERROR(__xludf.DUMMYFUNCTION("""COMPUTED_VALUE"""),"")</f>
        <v/>
      </c>
      <c r="Q3911" s="17" t="str">
        <f>IFERROR(__xludf.DUMMYFUNCTION("""COMPUTED_VALUE"""),"")</f>
        <v/>
      </c>
      <c r="R3911" s="17" t="str">
        <f>IFERROR(__xludf.DUMMYFUNCTION("""COMPUTED_VALUE"""),"")</f>
        <v/>
      </c>
    </row>
    <row r="3912">
      <c r="A3912" s="15">
        <f>IFERROR(__xludf.DUMMYFUNCTION("""COMPUTED_VALUE"""),45114.0)</f>
        <v>45114</v>
      </c>
      <c r="B3912" s="16" t="str">
        <f>IFERROR(__xludf.DUMMYFUNCTION("""COMPUTED_VALUE"""),"Jeison Rubiano")</f>
        <v>Jeison Rubiano</v>
      </c>
      <c r="C3912" s="15" t="str">
        <f>IFERROR(__xludf.DUMMYFUNCTION("""COMPUTED_VALUE"""),"BOGOTÁ")</f>
        <v>BOGOTÁ</v>
      </c>
      <c r="D3912" s="15" t="str">
        <f>IFERROR(__xludf.DUMMYFUNCTION("""COMPUTED_VALUE"""),"MEDELLÍN")</f>
        <v>MEDELLÍN</v>
      </c>
      <c r="E3912" s="15" t="str">
        <f>IFERROR(__xludf.DUMMYFUNCTION("""COMPUTED_VALUE"""),"AREPAS LA MARY")</f>
        <v>AREPAS LA MARY</v>
      </c>
      <c r="F3912" s="17" t="str">
        <f>IFERROR(__xludf.DUMMYFUNCTION("""COMPUTED_VALUE"""),"Cra 5 #26b-57 Apt 2401 / Torres del Parque")</f>
        <v>Cra 5 #26b-57 Apt 2401 / Torres del Parque</v>
      </c>
      <c r="G3912" s="15" t="str">
        <f>IFERROR(__xludf.DUMMYFUNCTION("""COMPUTED_VALUE"""),"JOHANNA RAMOS")</f>
        <v>JOHANNA RAMOS</v>
      </c>
      <c r="H3912" s="16">
        <f>IFERROR(__xludf.DUMMYFUNCTION("""COMPUTED_VALUE"""),12461.0)</f>
        <v>12461</v>
      </c>
      <c r="I3912" s="18">
        <f>IFERROR(__xludf.DUMMYFUNCTION("""COMPUTED_VALUE"""),89.0)</f>
        <v>89</v>
      </c>
      <c r="J3912" s="18">
        <f>IFERROR(__xludf.DUMMYFUNCTION("""COMPUTED_VALUE"""),1.0)</f>
        <v>1</v>
      </c>
      <c r="K3912" s="18">
        <f>IFERROR(__xludf.DUMMYFUNCTION("""COMPUTED_VALUE"""),10.0)</f>
        <v>10</v>
      </c>
      <c r="L3912" s="17">
        <f>IFERROR(__xludf.DUMMYFUNCTION("""COMPUTED_VALUE"""),3.128995545E9)</f>
        <v>3128995545</v>
      </c>
      <c r="M3912" s="17" t="str">
        <f>IFERROR(__xludf.DUMMYFUNCTION("""COMPUTED_VALUE"""),"#REF!")</f>
        <v>#REF!</v>
      </c>
      <c r="N3912" s="17"/>
      <c r="O3912" s="17"/>
      <c r="P3912" s="17" t="b">
        <f>IFERROR(__xludf.DUMMYFUNCTION("""COMPUTED_VALUE"""),FALSE)</f>
        <v>0</v>
      </c>
      <c r="Q3912" s="20" t="str">
        <f>IFERROR(__xludf.DUMMYFUNCTION("""COMPUTED_VALUE"""),"")</f>
        <v/>
      </c>
      <c r="R3912" s="21" t="str">
        <f>IFERROR(__xludf.DUMMYFUNCTION("""COMPUTED_VALUE"""),"https://drive.google.com/file/d/1dpJlmP0laKVj5mRBDk-iRjEgZNObmzph/view?usp=drivesdk")</f>
        <v>https://drive.google.com/file/d/1dpJlmP0laKVj5mRBDk-iRjEgZNObmzph/view?usp=drivesdk</v>
      </c>
    </row>
    <row r="3913">
      <c r="A3913" s="15">
        <f>IFERROR(__xludf.DUMMYFUNCTION("""COMPUTED_VALUE"""),45114.0)</f>
        <v>45114</v>
      </c>
      <c r="B3913" s="16" t="str">
        <f>IFERROR(__xludf.DUMMYFUNCTION("""COMPUTED_VALUE"""),"Jeison Rubiano")</f>
        <v>Jeison Rubiano</v>
      </c>
      <c r="C3913" s="15" t="str">
        <f>IFERROR(__xludf.DUMMYFUNCTION("""COMPUTED_VALUE"""),"BOGOTÁ")</f>
        <v>BOGOTÁ</v>
      </c>
      <c r="D3913" s="15" t="str">
        <f>IFERROR(__xludf.DUMMYFUNCTION("""COMPUTED_VALUE"""),"MEDELLÍN")</f>
        <v>MEDELLÍN</v>
      </c>
      <c r="E3913" s="15" t="str">
        <f>IFERROR(__xludf.DUMMYFUNCTION("""COMPUTED_VALUE"""),"Baby Chef")</f>
        <v>Baby Chef</v>
      </c>
      <c r="F3913" s="17" t="str">
        <f>IFERROR(__xludf.DUMMYFUNCTION("""COMPUTED_VALUE"""),"Calle 168 # 14b - 45 Torre 4 apto 501 / ""Calle 168 # 14b - 45 Torre 4 apto 501"" / ""Calle 168 # 14b - 45 Torre 4 apto 501""")</f>
        <v>Calle 168 # 14b - 45 Torre 4 apto 501 / "Calle 168 # 14b - 45 Torre 4 apto 501" / "Calle 168 # 14b - 45 Torre 4 apto 501"</v>
      </c>
      <c r="G3913" s="15" t="str">
        <f>IFERROR(__xludf.DUMMYFUNCTION("""COMPUTED_VALUE"""),"Grecia del Mar Rendón Manrique")</f>
        <v>Grecia del Mar Rendón Manrique</v>
      </c>
      <c r="H3913" s="16">
        <f>IFERROR(__xludf.DUMMYFUNCTION("""COMPUTED_VALUE"""),12451.0)</f>
        <v>12451</v>
      </c>
      <c r="I3913" s="18">
        <f>IFERROR(__xludf.DUMMYFUNCTION("""COMPUTED_VALUE"""),8.0)</f>
        <v>8</v>
      </c>
      <c r="J3913" s="18">
        <f>IFERROR(__xludf.DUMMYFUNCTION("""COMPUTED_VALUE"""),16.0)</f>
        <v>16</v>
      </c>
      <c r="K3913" s="18">
        <f>IFERROR(__xludf.DUMMYFUNCTION("""COMPUTED_VALUE"""),20.0)</f>
        <v>20</v>
      </c>
      <c r="L3913" s="17">
        <f>IFERROR(__xludf.DUMMYFUNCTION("""COMPUTED_VALUE"""),3.127907201E9)</f>
        <v>3127907201</v>
      </c>
      <c r="M3913" s="17" t="str">
        <f>IFERROR(__xludf.DUMMYFUNCTION("""COMPUTED_VALUE"""),"#REF!")</f>
        <v>#REF!</v>
      </c>
      <c r="N3913" s="17"/>
      <c r="O3913" s="17"/>
      <c r="P3913" s="17" t="b">
        <f>IFERROR(__xludf.DUMMYFUNCTION("""COMPUTED_VALUE"""),FALSE)</f>
        <v>0</v>
      </c>
      <c r="Q3913" s="20" t="str">
        <f>IFERROR(__xludf.DUMMYFUNCTION("""COMPUTED_VALUE"""),"")</f>
        <v/>
      </c>
      <c r="R3913" s="21" t="str">
        <f>IFERROR(__xludf.DUMMYFUNCTION("""COMPUTED_VALUE"""),"https://drive.google.com/file/d/14ZFeAsL5iFu2jBF98XcQuUgKrZudgn4g/view?usp=drivesdk")</f>
        <v>https://drive.google.com/file/d/14ZFeAsL5iFu2jBF98XcQuUgKrZudgn4g/view?usp=drivesdk</v>
      </c>
    </row>
    <row r="3914">
      <c r="A3914" s="15">
        <f>IFERROR(__xludf.DUMMYFUNCTION("""COMPUTED_VALUE"""),45114.0)</f>
        <v>45114</v>
      </c>
      <c r="B3914" s="16" t="str">
        <f>IFERROR(__xludf.DUMMYFUNCTION("""COMPUTED_VALUE"""),"Jeison Rubiano")</f>
        <v>Jeison Rubiano</v>
      </c>
      <c r="C3914" s="15" t="str">
        <f>IFERROR(__xludf.DUMMYFUNCTION("""COMPUTED_VALUE"""),"BOGOTÁ")</f>
        <v>BOGOTÁ</v>
      </c>
      <c r="D3914" s="15" t="str">
        <f>IFERROR(__xludf.DUMMYFUNCTION("""COMPUTED_VALUE"""),"MEDELLÍN")</f>
        <v>MEDELLÍN</v>
      </c>
      <c r="E3914" s="15" t="str">
        <f>IFERROR(__xludf.DUMMYFUNCTION("""COMPUTED_VALUE"""),"Baby Chef")</f>
        <v>Baby Chef</v>
      </c>
      <c r="F3914" s="17" t="str">
        <f>IFERROR(__xludf.DUMMYFUNCTION("""COMPUTED_VALUE"""),"Calle 77b # 129-11 Torre 7 apto 1104, parque central de occidente 2 / ""Calle 77b # 129-11 Torre 7 apto 1104, parque central de occidente 2"" / ""Calle 77b # 129-11 Torre 7 apto 1104, parque central de occidente 2""")</f>
        <v>Calle 77b # 129-11 Torre 7 apto 1104, parque central de occidente 2 / "Calle 77b # 129-11 Torre 7 apto 1104, parque central de occidente 2" / "Calle 77b # 129-11 Torre 7 apto 1104, parque central de occidente 2"</v>
      </c>
      <c r="G3914" s="15" t="str">
        <f>IFERROR(__xludf.DUMMYFUNCTION("""COMPUTED_VALUE"""),"Lizzette Sanchez")</f>
        <v>Lizzette Sanchez</v>
      </c>
      <c r="H3914" s="16">
        <f>IFERROR(__xludf.DUMMYFUNCTION("""COMPUTED_VALUE"""),12452.0)</f>
        <v>12452</v>
      </c>
      <c r="I3914" s="18">
        <f>IFERROR(__xludf.DUMMYFUNCTION("""COMPUTED_VALUE"""),8.0)</f>
        <v>8</v>
      </c>
      <c r="J3914" s="18">
        <f>IFERROR(__xludf.DUMMYFUNCTION("""COMPUTED_VALUE"""),16.0)</f>
        <v>16</v>
      </c>
      <c r="K3914" s="18">
        <f>IFERROR(__xludf.DUMMYFUNCTION("""COMPUTED_VALUE"""),20.0)</f>
        <v>20</v>
      </c>
      <c r="L3914" s="17">
        <f>IFERROR(__xludf.DUMMYFUNCTION("""COMPUTED_VALUE"""),3.213610633E9)</f>
        <v>3213610633</v>
      </c>
      <c r="M3914" s="17" t="str">
        <f>IFERROR(__xludf.DUMMYFUNCTION("""COMPUTED_VALUE"""),"#REF!")</f>
        <v>#REF!</v>
      </c>
      <c r="N3914" s="17"/>
      <c r="O3914" s="17"/>
      <c r="P3914" s="17" t="b">
        <f>IFERROR(__xludf.DUMMYFUNCTION("""COMPUTED_VALUE"""),FALSE)</f>
        <v>0</v>
      </c>
      <c r="Q3914" s="20" t="str">
        <f>IFERROR(__xludf.DUMMYFUNCTION("""COMPUTED_VALUE"""),"")</f>
        <v/>
      </c>
      <c r="R3914" s="21" t="str">
        <f>IFERROR(__xludf.DUMMYFUNCTION("""COMPUTED_VALUE"""),"https://drive.google.com/file/d/1ow5SdF8QiRasvtxs7VajZdFDZ5hhIqOK/view?usp=drivesdk")</f>
        <v>https://drive.google.com/file/d/1ow5SdF8QiRasvtxs7VajZdFDZ5hhIqOK/view?usp=drivesdk</v>
      </c>
    </row>
    <row r="3915">
      <c r="A3915" s="15">
        <f>IFERROR(__xludf.DUMMYFUNCTION("""COMPUTED_VALUE"""),45114.0)</f>
        <v>45114</v>
      </c>
      <c r="B3915" s="16" t="str">
        <f>IFERROR(__xludf.DUMMYFUNCTION("""COMPUTED_VALUE"""),"Jeison Rubiano")</f>
        <v>Jeison Rubiano</v>
      </c>
      <c r="C3915" s="15" t="str">
        <f>IFERROR(__xludf.DUMMYFUNCTION("""COMPUTED_VALUE"""),"BOGOTÁ")</f>
        <v>BOGOTÁ</v>
      </c>
      <c r="D3915" s="15" t="str">
        <f>IFERROR(__xludf.DUMMYFUNCTION("""COMPUTED_VALUE"""),"MEDELLÍN")</f>
        <v>MEDELLÍN</v>
      </c>
      <c r="E3915" s="15" t="str">
        <f>IFERROR(__xludf.DUMMYFUNCTION("""COMPUTED_VALUE"""),"Baby Chef")</f>
        <v>Baby Chef</v>
      </c>
      <c r="F3915" s="17" t="str">
        <f>IFERROR(__xludf.DUMMYFUNCTION("""COMPUTED_VALUE"""),"Calle 87a # 11a -64 / Calle 87a # 11a -64 / Calle 87a # 11a -64")</f>
        <v>Calle 87a # 11a -64 / Calle 87a # 11a -64 / Calle 87a # 11a -64</v>
      </c>
      <c r="G3915" s="15" t="str">
        <f>IFERROR(__xludf.DUMMYFUNCTION("""COMPUTED_VALUE"""),"Patricia Medina")</f>
        <v>Patricia Medina</v>
      </c>
      <c r="H3915" s="16">
        <f>IFERROR(__xludf.DUMMYFUNCTION("""COMPUTED_VALUE"""),12449.0)</f>
        <v>12449</v>
      </c>
      <c r="I3915" s="18">
        <f>IFERROR(__xludf.DUMMYFUNCTION("""COMPUTED_VALUE"""),8.0)</f>
        <v>8</v>
      </c>
      <c r="J3915" s="18">
        <f>IFERROR(__xludf.DUMMYFUNCTION("""COMPUTED_VALUE"""),16.0)</f>
        <v>16</v>
      </c>
      <c r="K3915" s="18">
        <f>IFERROR(__xludf.DUMMYFUNCTION("""COMPUTED_VALUE"""),20.0)</f>
        <v>20</v>
      </c>
      <c r="L3915" s="17">
        <f>IFERROR(__xludf.DUMMYFUNCTION("""COMPUTED_VALUE"""),3.118318557E9)</f>
        <v>3118318557</v>
      </c>
      <c r="M3915" s="17" t="str">
        <f>IFERROR(__xludf.DUMMYFUNCTION("""COMPUTED_VALUE"""),"#REF!")</f>
        <v>#REF!</v>
      </c>
      <c r="N3915" s="17"/>
      <c r="O3915" s="17"/>
      <c r="P3915" s="17" t="b">
        <f>IFERROR(__xludf.DUMMYFUNCTION("""COMPUTED_VALUE"""),TRUE)</f>
        <v>1</v>
      </c>
      <c r="Q3915" s="20">
        <f>IFERROR(__xludf.DUMMYFUNCTION("""COMPUTED_VALUE"""),45117.43200207176)</f>
        <v>45117.432</v>
      </c>
      <c r="R3915" s="21" t="str">
        <f>IFERROR(__xludf.DUMMYFUNCTION("""COMPUTED_VALUE"""),"https://drive.google.com/file/d/1zER2RNMZrXKWWFc0iAu981TsP2ajjMPi/view?usp=drivesdk")</f>
        <v>https://drive.google.com/file/d/1zER2RNMZrXKWWFc0iAu981TsP2ajjMPi/view?usp=drivesdk</v>
      </c>
    </row>
    <row r="3916">
      <c r="A3916" s="15">
        <f>IFERROR(__xludf.DUMMYFUNCTION("""COMPUTED_VALUE"""),45114.0)</f>
        <v>45114</v>
      </c>
      <c r="B3916" s="16" t="str">
        <f>IFERROR(__xludf.DUMMYFUNCTION("""COMPUTED_VALUE"""),"Jeison Rubiano")</f>
        <v>Jeison Rubiano</v>
      </c>
      <c r="C3916" s="15" t="str">
        <f>IFERROR(__xludf.DUMMYFUNCTION("""COMPUTED_VALUE"""),"BOGOTÁ")</f>
        <v>BOGOTÁ</v>
      </c>
      <c r="D3916" s="15" t="str">
        <f>IFERROR(__xludf.DUMMYFUNCTION("""COMPUTED_VALUE"""),"MEDELLÍN")</f>
        <v>MEDELLÍN</v>
      </c>
      <c r="E3916" s="15" t="str">
        <f>IFERROR(__xludf.DUMMYFUNCTION("""COMPUTED_VALUE"""),"Baby Chef")</f>
        <v>Baby Chef</v>
      </c>
      <c r="F3916" s="17" t="str">
        <f>IFERROR(__xludf.DUMMYFUNCTION("""COMPUTED_VALUE"""),"KR 26#39-93 barrio la soledad apt 201 / KR 26#39-93 barrio la soledad apt 201 / KR 26#39-93 barrio la soledad apt 201")</f>
        <v>KR 26#39-93 barrio la soledad apt 201 / KR 26#39-93 barrio la soledad apt 201 / KR 26#39-93 barrio la soledad apt 201</v>
      </c>
      <c r="G3916" s="15" t="str">
        <f>IFERROR(__xludf.DUMMYFUNCTION("""COMPUTED_VALUE"""),"Slendy Ardila")</f>
        <v>Slendy Ardila</v>
      </c>
      <c r="H3916" s="16">
        <f>IFERROR(__xludf.DUMMYFUNCTION("""COMPUTED_VALUE"""),12450.0)</f>
        <v>12450</v>
      </c>
      <c r="I3916" s="18">
        <f>IFERROR(__xludf.DUMMYFUNCTION("""COMPUTED_VALUE"""),8.0)</f>
        <v>8</v>
      </c>
      <c r="J3916" s="18">
        <f>IFERROR(__xludf.DUMMYFUNCTION("""COMPUTED_VALUE"""),16.0)</f>
        <v>16</v>
      </c>
      <c r="K3916" s="18">
        <f>IFERROR(__xludf.DUMMYFUNCTION("""COMPUTED_VALUE"""),20.0)</f>
        <v>20</v>
      </c>
      <c r="L3916" s="17">
        <f>IFERROR(__xludf.DUMMYFUNCTION("""COMPUTED_VALUE"""),3.222193799E9)</f>
        <v>3222193799</v>
      </c>
      <c r="M3916" s="17" t="str">
        <f>IFERROR(__xludf.DUMMYFUNCTION("""COMPUTED_VALUE"""),"#REF!")</f>
        <v>#REF!</v>
      </c>
      <c r="N3916" s="17"/>
      <c r="O3916" s="17"/>
      <c r="P3916" s="17" t="b">
        <f>IFERROR(__xludf.DUMMYFUNCTION("""COMPUTED_VALUE"""),FALSE)</f>
        <v>0</v>
      </c>
      <c r="Q3916" s="20" t="str">
        <f>IFERROR(__xludf.DUMMYFUNCTION("""COMPUTED_VALUE"""),"")</f>
        <v/>
      </c>
      <c r="R3916" s="21" t="str">
        <f>IFERROR(__xludf.DUMMYFUNCTION("""COMPUTED_VALUE"""),"https://drive.google.com/file/d/19MszsR4IN0ma_OF7yk9KAAFEAWOHhzv7/view?usp=drivesdk")</f>
        <v>https://drive.google.com/file/d/19MszsR4IN0ma_OF7yk9KAAFEAWOHhzv7/view?usp=drivesdk</v>
      </c>
    </row>
    <row r="3917">
      <c r="A3917" s="15">
        <f>IFERROR(__xludf.DUMMYFUNCTION("""COMPUTED_VALUE"""),45114.0)</f>
        <v>45114</v>
      </c>
      <c r="B3917" s="16" t="str">
        <f>IFERROR(__xludf.DUMMYFUNCTION("""COMPUTED_VALUE"""),"Jeison Rubiano")</f>
        <v>Jeison Rubiano</v>
      </c>
      <c r="C3917" s="15" t="str">
        <f>IFERROR(__xludf.DUMMYFUNCTION("""COMPUTED_VALUE"""),"BOGOTÁ")</f>
        <v>BOGOTÁ</v>
      </c>
      <c r="D3917" s="15" t="str">
        <f>IFERROR(__xludf.DUMMYFUNCTION("""COMPUTED_VALUE"""),"MEDELLÍN")</f>
        <v>MEDELLÍN</v>
      </c>
      <c r="E3917" s="15" t="str">
        <f>IFERROR(__xludf.DUMMYFUNCTION("""COMPUTED_VALUE"""),"Baby Chef")</f>
        <v>Baby Chef</v>
      </c>
      <c r="F3917" s="17" t="str">
        <f>IFERROR(__xludf.DUMMYFUNCTION("""COMPUTED_VALUE"""),"transversal 56 #104b-05 apto 503 Edificio el marques CLub House Puente largo / transversal 56 #104b-05 apto 503 Edificio el marques CLub House Puente largo / transversal 56 #104b-05 apto 503 Edificio el marques CLub House Puente largo")</f>
        <v>transversal 56 #104b-05 apto 503 Edificio el marques CLub House Puente largo / transversal 56 #104b-05 apto 503 Edificio el marques CLub House Puente largo / transversal 56 #104b-05 apto 503 Edificio el marques CLub House Puente largo</v>
      </c>
      <c r="G3917" s="15" t="str">
        <f>IFERROR(__xludf.DUMMYFUNCTION("""COMPUTED_VALUE"""),"Julian Sanchez")</f>
        <v>Julian Sanchez</v>
      </c>
      <c r="H3917" s="16">
        <f>IFERROR(__xludf.DUMMYFUNCTION("""COMPUTED_VALUE"""),12454.0)</f>
        <v>12454</v>
      </c>
      <c r="I3917" s="18">
        <f>IFERROR(__xludf.DUMMYFUNCTION("""COMPUTED_VALUE"""),8.0)</f>
        <v>8</v>
      </c>
      <c r="J3917" s="18">
        <f>IFERROR(__xludf.DUMMYFUNCTION("""COMPUTED_VALUE"""),16.0)</f>
        <v>16</v>
      </c>
      <c r="K3917" s="18">
        <f>IFERROR(__xludf.DUMMYFUNCTION("""COMPUTED_VALUE"""),20.0)</f>
        <v>20</v>
      </c>
      <c r="L3917" s="17">
        <f>IFERROR(__xludf.DUMMYFUNCTION("""COMPUTED_VALUE"""),3.153094127E9)</f>
        <v>3153094127</v>
      </c>
      <c r="M3917" s="17" t="str">
        <f>IFERROR(__xludf.DUMMYFUNCTION("""COMPUTED_VALUE"""),"#REF!")</f>
        <v>#REF!</v>
      </c>
      <c r="N3917" s="17"/>
      <c r="O3917" s="17"/>
      <c r="P3917" s="17" t="b">
        <f>IFERROR(__xludf.DUMMYFUNCTION("""COMPUTED_VALUE"""),FALSE)</f>
        <v>0</v>
      </c>
      <c r="Q3917" s="20" t="str">
        <f>IFERROR(__xludf.DUMMYFUNCTION("""COMPUTED_VALUE"""),"")</f>
        <v/>
      </c>
      <c r="R3917" s="21" t="str">
        <f>IFERROR(__xludf.DUMMYFUNCTION("""COMPUTED_VALUE"""),"https://drive.google.com/file/d/1xKFmyuFzDv6NwIWdo88L1l8i-YMX_KD9/view?usp=drivesdk")</f>
        <v>https://drive.google.com/file/d/1xKFmyuFzDv6NwIWdo88L1l8i-YMX_KD9/view?usp=drivesdk</v>
      </c>
    </row>
    <row r="3918">
      <c r="A3918" s="15">
        <f>IFERROR(__xludf.DUMMYFUNCTION("""COMPUTED_VALUE"""),45114.0)</f>
        <v>45114</v>
      </c>
      <c r="B3918" s="16" t="str">
        <f>IFERROR(__xludf.DUMMYFUNCTION("""COMPUTED_VALUE"""),"Jeison Rubiano")</f>
        <v>Jeison Rubiano</v>
      </c>
      <c r="C3918" s="15" t="str">
        <f>IFERROR(__xludf.DUMMYFUNCTION("""COMPUTED_VALUE"""),"BOGOTÁ")</f>
        <v>BOGOTÁ</v>
      </c>
      <c r="D3918" s="15" t="str">
        <f>IFERROR(__xludf.DUMMYFUNCTION("""COMPUTED_VALUE"""),"MEDELLÍN")</f>
        <v>MEDELLÍN</v>
      </c>
      <c r="E3918" s="15" t="str">
        <f>IFERROR(__xludf.DUMMYFUNCTION("""COMPUTED_VALUE"""),"Biota")</f>
        <v>Biota</v>
      </c>
      <c r="F3918" s="17" t="str">
        <f>IFERROR(__xludf.DUMMYFUNCTION("""COMPUTED_VALUE"""),"Carrera 15 #116-47 / Tienda saludable  / Mercado saludable Frutsec")</f>
        <v>Carrera 15 #116-47 / Tienda saludable  / Mercado saludable Frutsec</v>
      </c>
      <c r="G3918" s="15" t="str">
        <f>IFERROR(__xludf.DUMMYFUNCTION("""COMPUTED_VALUE"""),"Frutsec")</f>
        <v>Frutsec</v>
      </c>
      <c r="H3918" s="16">
        <f>IFERROR(__xludf.DUMMYFUNCTION("""COMPUTED_VALUE"""),12458.0)</f>
        <v>12458</v>
      </c>
      <c r="I3918" s="18">
        <f>IFERROR(__xludf.DUMMYFUNCTION("""COMPUTED_VALUE"""),30.0)</f>
        <v>30</v>
      </c>
      <c r="J3918" s="18">
        <f>IFERROR(__xludf.DUMMYFUNCTION("""COMPUTED_VALUE"""),25.0)</f>
        <v>25</v>
      </c>
      <c r="K3918" s="18">
        <f>IFERROR(__xludf.DUMMYFUNCTION("""COMPUTED_VALUE"""),30.0)</f>
        <v>30</v>
      </c>
      <c r="L3918" s="17">
        <f>IFERROR(__xludf.DUMMYFUNCTION("""COMPUTED_VALUE"""),3.00396388E9)</f>
        <v>3003963880</v>
      </c>
      <c r="M3918" s="17" t="str">
        <f>IFERROR(__xludf.DUMMYFUNCTION("""COMPUTED_VALUE"""),"#REF!")</f>
        <v>#REF!</v>
      </c>
      <c r="N3918" s="17"/>
      <c r="O3918" s="17"/>
      <c r="P3918" s="17" t="b">
        <f>IFERROR(__xludf.DUMMYFUNCTION("""COMPUTED_VALUE"""),FALSE)</f>
        <v>0</v>
      </c>
      <c r="Q3918" s="20" t="str">
        <f>IFERROR(__xludf.DUMMYFUNCTION("""COMPUTED_VALUE"""),"")</f>
        <v/>
      </c>
      <c r="R3918" s="22" t="str">
        <f>IFERROR(__xludf.DUMMYFUNCTION("""COMPUTED_VALUE"""),"")</f>
        <v/>
      </c>
    </row>
    <row r="3919">
      <c r="A3919" s="15">
        <f>IFERROR(__xludf.DUMMYFUNCTION("""COMPUTED_VALUE"""),45114.0)</f>
        <v>45114</v>
      </c>
      <c r="B3919" s="16" t="str">
        <f>IFERROR(__xludf.DUMMYFUNCTION("""COMPUTED_VALUE"""),"Jeison Rubiano")</f>
        <v>Jeison Rubiano</v>
      </c>
      <c r="C3919" s="15" t="str">
        <f>IFERROR(__xludf.DUMMYFUNCTION("""COMPUTED_VALUE"""),"BOGOTÁ")</f>
        <v>BOGOTÁ</v>
      </c>
      <c r="D3919" s="15" t="str">
        <f>IFERROR(__xludf.DUMMYFUNCTION("""COMPUTED_VALUE"""),"MEDELLÍN")</f>
        <v>MEDELLÍN</v>
      </c>
      <c r="E3919" s="15" t="str">
        <f>IFERROR(__xludf.DUMMYFUNCTION("""COMPUTED_VALUE"""),"Biota")</f>
        <v>Biota</v>
      </c>
      <c r="F3919" s="17" t="str">
        <f>IFERROR(__xludf.DUMMYFUNCTION("""COMPUTED_VALUE"""),"Catre 15 # 116-47 / Tienda natural  / Mercado saludable")</f>
        <v>Catre 15 # 116-47 / Tienda natural  / Mercado saludable</v>
      </c>
      <c r="G3919" s="15" t="str">
        <f>IFERROR(__xludf.DUMMYFUNCTION("""COMPUTED_VALUE"""),"Frut sec")</f>
        <v>Frut sec</v>
      </c>
      <c r="H3919" s="16">
        <f>IFERROR(__xludf.DUMMYFUNCTION("""COMPUTED_VALUE"""),12459.0)</f>
        <v>12459</v>
      </c>
      <c r="I3919" s="18">
        <f>IFERROR(__xludf.DUMMYFUNCTION("""COMPUTED_VALUE"""),30.0)</f>
        <v>30</v>
      </c>
      <c r="J3919" s="18">
        <f>IFERROR(__xludf.DUMMYFUNCTION("""COMPUTED_VALUE"""),27.0)</f>
        <v>27</v>
      </c>
      <c r="K3919" s="18">
        <f>IFERROR(__xludf.DUMMYFUNCTION("""COMPUTED_VALUE"""),32.0)</f>
        <v>32</v>
      </c>
      <c r="L3919" s="17">
        <f>IFERROR(__xludf.DUMMYFUNCTION("""COMPUTED_VALUE"""),3.00396388E9)</f>
        <v>3003963880</v>
      </c>
      <c r="M3919" s="17" t="str">
        <f>IFERROR(__xludf.DUMMYFUNCTION("""COMPUTED_VALUE"""),"#REF!")</f>
        <v>#REF!</v>
      </c>
      <c r="N3919" s="17"/>
      <c r="O3919" s="17"/>
      <c r="P3919" s="17" t="b">
        <f>IFERROR(__xludf.DUMMYFUNCTION("""COMPUTED_VALUE"""),FALSE)</f>
        <v>0</v>
      </c>
      <c r="Q3919" s="20" t="str">
        <f>IFERROR(__xludf.DUMMYFUNCTION("""COMPUTED_VALUE"""),"")</f>
        <v/>
      </c>
      <c r="R3919" s="22" t="str">
        <f>IFERROR(__xludf.DUMMYFUNCTION("""COMPUTED_VALUE"""),"")</f>
        <v/>
      </c>
    </row>
    <row r="3920">
      <c r="A3920" s="15">
        <f>IFERROR(__xludf.DUMMYFUNCTION("""COMPUTED_VALUE"""),45114.0)</f>
        <v>45114</v>
      </c>
      <c r="B3920" s="16" t="str">
        <f>IFERROR(__xludf.DUMMYFUNCTION("""COMPUTED_VALUE"""),"Jeison Rubiano")</f>
        <v>Jeison Rubiano</v>
      </c>
      <c r="C3920" s="15" t="str">
        <f>IFERROR(__xludf.DUMMYFUNCTION("""COMPUTED_VALUE"""),"BOGOTÁ")</f>
        <v>BOGOTÁ</v>
      </c>
      <c r="D3920" s="15" t="str">
        <f>IFERROR(__xludf.DUMMYFUNCTION("""COMPUTED_VALUE"""),"MEDELLÍN")</f>
        <v>MEDELLÍN</v>
      </c>
      <c r="E3920" s="15" t="str">
        <f>IFERROR(__xludf.DUMMYFUNCTION("""COMPUTED_VALUE"""),"Helados swip")</f>
        <v>Helados swip</v>
      </c>
      <c r="F3920" s="17" t="str">
        <f>IFERROR(__xludf.DUMMYFUNCTION("""COMPUTED_VALUE"""),"CALLE 90 # 13-23 / LOCAL 2  / FIT MARKET TIENDA 90")</f>
        <v>CALLE 90 # 13-23 / LOCAL 2  / FIT MARKET TIENDA 90</v>
      </c>
      <c r="G3920" s="15" t="str">
        <f>IFERROR(__xludf.DUMMYFUNCTION("""COMPUTED_VALUE"""),"FIT MARKET 90")</f>
        <v>FIT MARKET 90</v>
      </c>
      <c r="H3920" s="16">
        <f>IFERROR(__xludf.DUMMYFUNCTION("""COMPUTED_VALUE"""),12425.0)</f>
        <v>12425</v>
      </c>
      <c r="I3920" s="18">
        <f>IFERROR(__xludf.DUMMYFUNCTION("""COMPUTED_VALUE"""),29.0)</f>
        <v>29</v>
      </c>
      <c r="J3920" s="18">
        <f>IFERROR(__xludf.DUMMYFUNCTION("""COMPUTED_VALUE"""),55.0)</f>
        <v>55</v>
      </c>
      <c r="K3920" s="18">
        <f>IFERROR(__xludf.DUMMYFUNCTION("""COMPUTED_VALUE"""),45.0)</f>
        <v>45</v>
      </c>
      <c r="L3920" s="17">
        <f>IFERROR(__xludf.DUMMYFUNCTION("""COMPUTED_VALUE"""),3.154237527E9)</f>
        <v>3154237527</v>
      </c>
      <c r="M3920" s="17" t="str">
        <f>IFERROR(__xludf.DUMMYFUNCTION("""COMPUTED_VALUE"""),"#REF!")</f>
        <v>#REF!</v>
      </c>
      <c r="N3920" s="17"/>
      <c r="O3920" s="17"/>
      <c r="P3920" s="17" t="b">
        <f>IFERROR(__xludf.DUMMYFUNCTION("""COMPUTED_VALUE"""),FALSE)</f>
        <v>0</v>
      </c>
      <c r="Q3920" s="20" t="str">
        <f>IFERROR(__xludf.DUMMYFUNCTION("""COMPUTED_VALUE"""),"")</f>
        <v/>
      </c>
      <c r="R3920" s="21" t="str">
        <f>IFERROR(__xludf.DUMMYFUNCTION("""COMPUTED_VALUE"""),"https://drive.google.com/file/d/1jW0aT9cpwljfMVpoMYfOiGSr9Dr7ugwz/view?usp=drivesdk")</f>
        <v>https://drive.google.com/file/d/1jW0aT9cpwljfMVpoMYfOiGSr9Dr7ugwz/view?usp=drivesdk</v>
      </c>
    </row>
    <row r="3921">
      <c r="A3921" s="15">
        <f>IFERROR(__xludf.DUMMYFUNCTION("""COMPUTED_VALUE"""),45114.0)</f>
        <v>45114</v>
      </c>
      <c r="B3921" s="16" t="str">
        <f>IFERROR(__xludf.DUMMYFUNCTION("""COMPUTED_VALUE"""),"Jeison Rubiano")</f>
        <v>Jeison Rubiano</v>
      </c>
      <c r="C3921" s="15" t="str">
        <f>IFERROR(__xludf.DUMMYFUNCTION("""COMPUTED_VALUE"""),"BOGOTÁ")</f>
        <v>BOGOTÁ</v>
      </c>
      <c r="D3921" s="15" t="str">
        <f>IFERROR(__xludf.DUMMYFUNCTION("""COMPUTED_VALUE"""),"MEDELLÍN")</f>
        <v>MEDELLÍN</v>
      </c>
      <c r="E3921" s="15" t="str">
        <f>IFERROR(__xludf.DUMMYFUNCTION("""COMPUTED_VALUE"""),"Puro Verde")</f>
        <v>Puro Verde</v>
      </c>
      <c r="F3921" s="17" t="str">
        <f>IFERROR(__xludf.DUMMYFUNCTION("""COMPUTED_VALUE"""),"CRA 16A #77-23 / LOCAL 4 / CHICO")</f>
        <v>CRA 16A #77-23 / LOCAL 4 / CHICO</v>
      </c>
      <c r="G3921" s="15" t="str">
        <f>IFERROR(__xludf.DUMMYFUNCTION("""COMPUTED_VALUE"""),"CENTRO DE ACOPIO DANDO CUERDA")</f>
        <v>CENTRO DE ACOPIO DANDO CUERDA</v>
      </c>
      <c r="H3921" s="16">
        <f>IFERROR(__xludf.DUMMYFUNCTION("""COMPUTED_VALUE"""),12242.0)</f>
        <v>12242</v>
      </c>
      <c r="I3921" s="18">
        <f>IFERROR(__xludf.DUMMYFUNCTION("""COMPUTED_VALUE"""),67.0)</f>
        <v>67</v>
      </c>
      <c r="J3921" s="18">
        <f>IFERROR(__xludf.DUMMYFUNCTION("""COMPUTED_VALUE"""),65.0)</f>
        <v>65</v>
      </c>
      <c r="K3921" s="18">
        <f>IFERROR(__xludf.DUMMYFUNCTION("""COMPUTED_VALUE"""),55.0)</f>
        <v>55</v>
      </c>
      <c r="L3921" s="17">
        <f>IFERROR(__xludf.DUMMYFUNCTION("""COMPUTED_VALUE"""),3.163816691E9)</f>
        <v>3163816691</v>
      </c>
      <c r="M3921" s="17" t="str">
        <f>IFERROR(__xludf.DUMMYFUNCTION("""COMPUTED_VALUE"""),"#REF!")</f>
        <v>#REF!</v>
      </c>
      <c r="N3921" s="17"/>
      <c r="O3921" s="17"/>
      <c r="P3921" s="17" t="b">
        <f>IFERROR(__xludf.DUMMYFUNCTION("""COMPUTED_VALUE"""),FALSE)</f>
        <v>0</v>
      </c>
      <c r="Q3921" s="20" t="str">
        <f>IFERROR(__xludf.DUMMYFUNCTION("""COMPUTED_VALUE"""),"")</f>
        <v/>
      </c>
      <c r="R3921" s="21" t="str">
        <f>IFERROR(__xludf.DUMMYFUNCTION("""COMPUTED_VALUE"""),"https://drive.google.com/file/d/1zQ8S_AtMdQPhxl_3E-wHyHhR6xueIdS5/view?usp=drivesdk")</f>
        <v>https://drive.google.com/file/d/1zQ8S_AtMdQPhxl_3E-wHyHhR6xueIdS5/view?usp=drivesdk</v>
      </c>
    </row>
    <row r="3922">
      <c r="A3922" s="15">
        <f>IFERROR(__xludf.DUMMYFUNCTION("""COMPUTED_VALUE"""),45114.0)</f>
        <v>45114</v>
      </c>
      <c r="B3922" s="16" t="str">
        <f>IFERROR(__xludf.DUMMYFUNCTION("""COMPUTED_VALUE"""),"Jeison Rubiano")</f>
        <v>Jeison Rubiano</v>
      </c>
      <c r="C3922" s="15" t="str">
        <f>IFERROR(__xludf.DUMMYFUNCTION("""COMPUTED_VALUE"""),"BOGOTÁ")</f>
        <v>BOGOTÁ</v>
      </c>
      <c r="D3922" s="15" t="str">
        <f>IFERROR(__xludf.DUMMYFUNCTION("""COMPUTED_VALUE"""),"MEDELLÍN")</f>
        <v>MEDELLÍN</v>
      </c>
      <c r="E3922" s="15" t="str">
        <f>IFERROR(__xludf.DUMMYFUNCTION("""COMPUTED_VALUE"""),"Rambla")</f>
        <v>Rambla</v>
      </c>
      <c r="F3922" s="17" t="str">
        <f>IFERROR(__xludf.DUMMYFUNCTION("""COMPUTED_VALUE"""),"calle 134c # 53b 52 apto 301 casa gris tercer piso. Barrio spring / na / na")</f>
        <v>calle 134c # 53b 52 apto 301 casa gris tercer piso. Barrio spring / na / na</v>
      </c>
      <c r="G3922" s="15" t="str">
        <f>IFERROR(__xludf.DUMMYFUNCTION("""COMPUTED_VALUE"""),"Ana María Ríos Moreno")</f>
        <v>Ana María Ríos Moreno</v>
      </c>
      <c r="H3922" s="16">
        <f>IFERROR(__xludf.DUMMYFUNCTION("""COMPUTED_VALUE"""),12444.0)</f>
        <v>12444</v>
      </c>
      <c r="I3922" s="18">
        <f>IFERROR(__xludf.DUMMYFUNCTION("""COMPUTED_VALUE"""),18.0)</f>
        <v>18</v>
      </c>
      <c r="J3922" s="18">
        <f>IFERROR(__xludf.DUMMYFUNCTION("""COMPUTED_VALUE"""),22.0)</f>
        <v>22</v>
      </c>
      <c r="K3922" s="18">
        <f>IFERROR(__xludf.DUMMYFUNCTION("""COMPUTED_VALUE"""),25.0)</f>
        <v>25</v>
      </c>
      <c r="L3922" s="17">
        <f>IFERROR(__xludf.DUMMYFUNCTION("""COMPUTED_VALUE"""),3.00661678E9)</f>
        <v>3006616780</v>
      </c>
      <c r="M3922" s="17" t="str">
        <f>IFERROR(__xludf.DUMMYFUNCTION("""COMPUTED_VALUE"""),"#REF!")</f>
        <v>#REF!</v>
      </c>
      <c r="N3922" s="17"/>
      <c r="O3922" s="17"/>
      <c r="P3922" s="17" t="b">
        <f>IFERROR(__xludf.DUMMYFUNCTION("""COMPUTED_VALUE"""),FALSE)</f>
        <v>0</v>
      </c>
      <c r="Q3922" s="20" t="str">
        <f>IFERROR(__xludf.DUMMYFUNCTION("""COMPUTED_VALUE"""),"")</f>
        <v/>
      </c>
      <c r="R3922" s="21" t="str">
        <f>IFERROR(__xludf.DUMMYFUNCTION("""COMPUTED_VALUE"""),"https://drive.google.com/file/d/1Yy3LYy6YPah-erfrZHZcZ-wNO70JXuOi/view?usp=drivesdk")</f>
        <v>https://drive.google.com/file/d/1Yy3LYy6YPah-erfrZHZcZ-wNO70JXuOi/view?usp=drivesdk</v>
      </c>
    </row>
    <row r="3923">
      <c r="A3923" s="15">
        <f>IFERROR(__xludf.DUMMYFUNCTION("""COMPUTED_VALUE"""),45114.0)</f>
        <v>45114</v>
      </c>
      <c r="B3923" s="16" t="str">
        <f>IFERROR(__xludf.DUMMYFUNCTION("""COMPUTED_VALUE"""),"Jeison Rubiano")</f>
        <v>Jeison Rubiano</v>
      </c>
      <c r="C3923" s="15" t="str">
        <f>IFERROR(__xludf.DUMMYFUNCTION("""COMPUTED_VALUE"""),"BOGOTÁ")</f>
        <v>BOGOTÁ</v>
      </c>
      <c r="D3923" s="15" t="str">
        <f>IFERROR(__xludf.DUMMYFUNCTION("""COMPUTED_VALUE"""),"MEDELLÍN")</f>
        <v>MEDELLÍN</v>
      </c>
      <c r="E3923" s="15" t="str">
        <f>IFERROR(__xludf.DUMMYFUNCTION("""COMPUTED_VALUE"""),"Rambla")</f>
        <v>Rambla</v>
      </c>
      <c r="F3923" s="17" t="str">
        <f>IFERROR(__xludf.DUMMYFUNCTION("""COMPUTED_VALUE"""),"calle 71 # 4 - 55 / na / na")</f>
        <v>calle 71 # 4 - 55 / na / na</v>
      </c>
      <c r="G3923" s="15" t="str">
        <f>IFERROR(__xludf.DUMMYFUNCTION("""COMPUTED_VALUE"""),"fit market")</f>
        <v>fit market</v>
      </c>
      <c r="H3923" s="16">
        <f>IFERROR(__xludf.DUMMYFUNCTION("""COMPUTED_VALUE"""),12448.0)</f>
        <v>12448</v>
      </c>
      <c r="I3923" s="18">
        <f>IFERROR(__xludf.DUMMYFUNCTION("""COMPUTED_VALUE"""),18.0)</f>
        <v>18</v>
      </c>
      <c r="J3923" s="18">
        <f>IFERROR(__xludf.DUMMYFUNCTION("""COMPUTED_VALUE"""),22.0)</f>
        <v>22</v>
      </c>
      <c r="K3923" s="18">
        <f>IFERROR(__xludf.DUMMYFUNCTION("""COMPUTED_VALUE"""),25.0)</f>
        <v>25</v>
      </c>
      <c r="L3923" s="17">
        <f>IFERROR(__xludf.DUMMYFUNCTION("""COMPUTED_VALUE"""),3.183545455E9)</f>
        <v>3183545455</v>
      </c>
      <c r="M3923" s="17" t="str">
        <f>IFERROR(__xludf.DUMMYFUNCTION("""COMPUTED_VALUE"""),"#REF!")</f>
        <v>#REF!</v>
      </c>
      <c r="N3923" s="17"/>
      <c r="O3923" s="17"/>
      <c r="P3923" s="17" t="b">
        <f>IFERROR(__xludf.DUMMYFUNCTION("""COMPUTED_VALUE"""),FALSE)</f>
        <v>0</v>
      </c>
      <c r="Q3923" s="20" t="str">
        <f>IFERROR(__xludf.DUMMYFUNCTION("""COMPUTED_VALUE"""),"")</f>
        <v/>
      </c>
      <c r="R3923" s="21" t="str">
        <f>IFERROR(__xludf.DUMMYFUNCTION("""COMPUTED_VALUE"""),"https://drive.google.com/file/d/1b97slzlJCnHPus0-QT8E6lYx3_245Qri/view?usp=drivesdk")</f>
        <v>https://drive.google.com/file/d/1b97slzlJCnHPus0-QT8E6lYx3_245Qri/view?usp=drivesdk</v>
      </c>
    </row>
    <row r="3924">
      <c r="A3924" s="15">
        <f>IFERROR(__xludf.DUMMYFUNCTION("""COMPUTED_VALUE"""),45114.0)</f>
        <v>45114</v>
      </c>
      <c r="B3924" s="16" t="str">
        <f>IFERROR(__xludf.DUMMYFUNCTION("""COMPUTED_VALUE"""),"Jeison Rubiano")</f>
        <v>Jeison Rubiano</v>
      </c>
      <c r="C3924" s="15" t="str">
        <f>IFERROR(__xludf.DUMMYFUNCTION("""COMPUTED_VALUE"""),"BOGOTÁ")</f>
        <v>BOGOTÁ</v>
      </c>
      <c r="D3924" s="15" t="str">
        <f>IFERROR(__xludf.DUMMYFUNCTION("""COMPUTED_VALUE"""),"MEDELLÍN")</f>
        <v>MEDELLÍN</v>
      </c>
      <c r="E3924" s="15" t="str">
        <f>IFERROR(__xludf.DUMMYFUNCTION("""COMPUTED_VALUE"""),"Rambla")</f>
        <v>Rambla</v>
      </c>
      <c r="F3924" s="17" t="str">
        <f>IFERROR(__xludf.DUMMYFUNCTION("""COMPUTED_VALUE"""),"Carrera 7B # 146-90 Local Bonsante / na / na")</f>
        <v>Carrera 7B # 146-90 Local Bonsante / na / na</v>
      </c>
      <c r="G3924" s="15" t="str">
        <f>IFERROR(__xludf.DUMMYFUNCTION("""COMPUTED_VALUE"""),"Bonsante")</f>
        <v>Bonsante</v>
      </c>
      <c r="H3924" s="16">
        <f>IFERROR(__xludf.DUMMYFUNCTION("""COMPUTED_VALUE"""),12446.0)</f>
        <v>12446</v>
      </c>
      <c r="I3924" s="18">
        <f>IFERROR(__xludf.DUMMYFUNCTION("""COMPUTED_VALUE"""),18.0)</f>
        <v>18</v>
      </c>
      <c r="J3924" s="18">
        <f>IFERROR(__xludf.DUMMYFUNCTION("""COMPUTED_VALUE"""),22.0)</f>
        <v>22</v>
      </c>
      <c r="K3924" s="18">
        <f>IFERROR(__xludf.DUMMYFUNCTION("""COMPUTED_VALUE"""),25.0)</f>
        <v>25</v>
      </c>
      <c r="L3924" s="17">
        <f>IFERROR(__xludf.DUMMYFUNCTION("""COMPUTED_VALUE"""),3.167449618E9)</f>
        <v>3167449618</v>
      </c>
      <c r="M3924" s="17" t="str">
        <f>IFERROR(__xludf.DUMMYFUNCTION("""COMPUTED_VALUE"""),"#REF!")</f>
        <v>#REF!</v>
      </c>
      <c r="N3924" s="17"/>
      <c r="O3924" s="17"/>
      <c r="P3924" s="17" t="b">
        <f>IFERROR(__xludf.DUMMYFUNCTION("""COMPUTED_VALUE"""),FALSE)</f>
        <v>0</v>
      </c>
      <c r="Q3924" s="20" t="str">
        <f>IFERROR(__xludf.DUMMYFUNCTION("""COMPUTED_VALUE"""),"")</f>
        <v/>
      </c>
      <c r="R3924" s="21" t="str">
        <f>IFERROR(__xludf.DUMMYFUNCTION("""COMPUTED_VALUE"""),"https://drive.google.com/file/d/1fE2MDaM3Z_7gEK5OIYPnOzObyInf1oH-/view?usp=drivesdk")</f>
        <v>https://drive.google.com/file/d/1fE2MDaM3Z_7gEK5OIYPnOzObyInf1oH-/view?usp=drivesdk</v>
      </c>
    </row>
    <row r="3925">
      <c r="A3925" s="15">
        <f>IFERROR(__xludf.DUMMYFUNCTION("""COMPUTED_VALUE"""),45114.0)</f>
        <v>45114</v>
      </c>
      <c r="B3925" s="16" t="str">
        <f>IFERROR(__xludf.DUMMYFUNCTION("""COMPUTED_VALUE"""),"Jeison Rubiano")</f>
        <v>Jeison Rubiano</v>
      </c>
      <c r="C3925" s="15" t="str">
        <f>IFERROR(__xludf.DUMMYFUNCTION("""COMPUTED_VALUE"""),"BOGOTÁ")</f>
        <v>BOGOTÁ</v>
      </c>
      <c r="D3925" s="15" t="str">
        <f>IFERROR(__xludf.DUMMYFUNCTION("""COMPUTED_VALUE"""),"MEDELLÍN")</f>
        <v>MEDELLÍN</v>
      </c>
      <c r="E3925" s="15" t="str">
        <f>IFERROR(__xludf.DUMMYFUNCTION("""COMPUTED_VALUE"""),"Rambla")</f>
        <v>Rambla</v>
      </c>
      <c r="F3925" s="17" t="str">
        <f>IFERROR(__xludf.DUMMYFUNCTION("""COMPUTED_VALUE"""),"Cl. 93a #11-46, Barrio Chicó / na / na")</f>
        <v>Cl. 93a #11-46, Barrio Chicó / na / na</v>
      </c>
      <c r="G3925" s="15" t="str">
        <f>IFERROR(__xludf.DUMMYFUNCTION("""COMPUTED_VALUE"""),"fit hub")</f>
        <v>fit hub</v>
      </c>
      <c r="H3925" s="16">
        <f>IFERROR(__xludf.DUMMYFUNCTION("""COMPUTED_VALUE"""),12445.0)</f>
        <v>12445</v>
      </c>
      <c r="I3925" s="18">
        <f>IFERROR(__xludf.DUMMYFUNCTION("""COMPUTED_VALUE"""),18.0)</f>
        <v>18</v>
      </c>
      <c r="J3925" s="18">
        <f>IFERROR(__xludf.DUMMYFUNCTION("""COMPUTED_VALUE"""),22.0)</f>
        <v>22</v>
      </c>
      <c r="K3925" s="18">
        <f>IFERROR(__xludf.DUMMYFUNCTION("""COMPUTED_VALUE"""),25.0)</f>
        <v>25</v>
      </c>
      <c r="L3925" s="17">
        <f>IFERROR(__xludf.DUMMYFUNCTION("""COMPUTED_VALUE"""),3.015447307E9)</f>
        <v>3015447307</v>
      </c>
      <c r="M3925" s="17" t="str">
        <f>IFERROR(__xludf.DUMMYFUNCTION("""COMPUTED_VALUE"""),"#REF!")</f>
        <v>#REF!</v>
      </c>
      <c r="N3925" s="17"/>
      <c r="O3925" s="17"/>
      <c r="P3925" s="17" t="b">
        <f>IFERROR(__xludf.DUMMYFUNCTION("""COMPUTED_VALUE"""),FALSE)</f>
        <v>0</v>
      </c>
      <c r="Q3925" s="20" t="str">
        <f>IFERROR(__xludf.DUMMYFUNCTION("""COMPUTED_VALUE"""),"")</f>
        <v/>
      </c>
      <c r="R3925" s="21" t="str">
        <f>IFERROR(__xludf.DUMMYFUNCTION("""COMPUTED_VALUE"""),"https://drive.google.com/file/d/1qDhO9KtRShVtvV-YWZc-7bPb1IYdM33R/view?usp=drivesdk")</f>
        <v>https://drive.google.com/file/d/1qDhO9KtRShVtvV-YWZc-7bPb1IYdM33R/view?usp=drivesdk</v>
      </c>
    </row>
    <row r="3926">
      <c r="A3926" s="15">
        <f>IFERROR(__xludf.DUMMYFUNCTION("""COMPUTED_VALUE"""),45114.0)</f>
        <v>45114</v>
      </c>
      <c r="B3926" s="16" t="str">
        <f>IFERROR(__xludf.DUMMYFUNCTION("""COMPUTED_VALUE"""),"Jeison Rubiano")</f>
        <v>Jeison Rubiano</v>
      </c>
      <c r="C3926" s="15" t="str">
        <f>IFERROR(__xludf.DUMMYFUNCTION("""COMPUTED_VALUE"""),"CARTAGENA")</f>
        <v>CARTAGENA</v>
      </c>
      <c r="D3926" s="15" t="str">
        <f>IFERROR(__xludf.DUMMYFUNCTION("""COMPUTED_VALUE"""),"BOGOTÁ")</f>
        <v>BOGOTÁ</v>
      </c>
      <c r="E3926" s="15" t="str">
        <f>IFERROR(__xludf.DUMMYFUNCTION("""COMPUTED_VALUE"""),"Mochi")</f>
        <v>Mochi</v>
      </c>
      <c r="F3926" s="17" t="str">
        <f>IFERROR(__xludf.DUMMYFUNCTION("""COMPUTED_VALUE"""),"CRA 11 39 21 / Serrezuela  / Serrezuela")</f>
        <v>CRA 11 39 21 / Serrezuela  / Serrezuela</v>
      </c>
      <c r="G3926" s="15" t="str">
        <f>IFERROR(__xludf.DUMMYFUNCTION("""COMPUTED_VALUE"""),"Julieth")</f>
        <v>Julieth</v>
      </c>
      <c r="H3926" s="16">
        <f>IFERROR(__xludf.DUMMYFUNCTION("""COMPUTED_VALUE"""),12456.0)</f>
        <v>12456</v>
      </c>
      <c r="I3926" s="18">
        <f>IFERROR(__xludf.DUMMYFUNCTION("""COMPUTED_VALUE"""),100.0)</f>
        <v>100</v>
      </c>
      <c r="J3926" s="18">
        <f>IFERROR(__xludf.DUMMYFUNCTION("""COMPUTED_VALUE"""),100.0)</f>
        <v>100</v>
      </c>
      <c r="K3926" s="18">
        <f>IFERROR(__xludf.DUMMYFUNCTION("""COMPUTED_VALUE"""),300.0)</f>
        <v>300</v>
      </c>
      <c r="L3926" s="17">
        <f>IFERROR(__xludf.DUMMYFUNCTION("""COMPUTED_VALUE"""),3.23251582E9)</f>
        <v>3232515820</v>
      </c>
      <c r="M3926" s="17" t="str">
        <f>IFERROR(__xludf.DUMMYFUNCTION("""COMPUTED_VALUE"""),"#REF!")</f>
        <v>#REF!</v>
      </c>
      <c r="N3926" s="17"/>
      <c r="O3926" s="17"/>
      <c r="P3926" s="17" t="b">
        <f>IFERROR(__xludf.DUMMYFUNCTION("""COMPUTED_VALUE"""),FALSE)</f>
        <v>0</v>
      </c>
      <c r="Q3926" s="20" t="str">
        <f>IFERROR(__xludf.DUMMYFUNCTION("""COMPUTED_VALUE"""),"")</f>
        <v/>
      </c>
      <c r="R3926" s="21" t="str">
        <f>IFERROR(__xludf.DUMMYFUNCTION("""COMPUTED_VALUE"""),"https://drive.google.com/file/d/1ATIdRwsm1DtY_H3xmGL80ncJD4nsQU7P/view?usp=drivesdk")</f>
        <v>https://drive.google.com/file/d/1ATIdRwsm1DtY_H3xmGL80ncJD4nsQU7P/view?usp=drivesdk</v>
      </c>
    </row>
    <row r="3927">
      <c r="A3927" s="15">
        <f>IFERROR(__xludf.DUMMYFUNCTION("""COMPUTED_VALUE"""),45114.0)</f>
        <v>45114</v>
      </c>
      <c r="B3927" s="16" t="str">
        <f>IFERROR(__xludf.DUMMYFUNCTION("""COMPUTED_VALUE"""),"Jeison Rubiano")</f>
        <v>Jeison Rubiano</v>
      </c>
      <c r="C3927" s="15" t="str">
        <f>IFERROR(__xludf.DUMMYFUNCTION("""COMPUTED_VALUE"""),"CARTAGENA")</f>
        <v>CARTAGENA</v>
      </c>
      <c r="D3927" s="15" t="str">
        <f>IFERROR(__xludf.DUMMYFUNCTION("""COMPUTED_VALUE"""),"BOGOTÁ")</f>
        <v>BOGOTÁ</v>
      </c>
      <c r="E3927" s="15" t="str">
        <f>IFERROR(__xludf.DUMMYFUNCTION("""COMPUTED_VALUE"""),"SISU PARTNERS SAS")</f>
        <v>SISU PARTNERS SAS</v>
      </c>
      <c r="F3927" s="17" t="str">
        <f>IFERROR(__xludf.DUMMYFUNCTION("""COMPUTED_VALUE"""),"Carrera 7 no. 38-48 local 3 / Local Mary &amp; George")</f>
        <v>Carrera 7 no. 38-48 local 3 / Local Mary &amp; George</v>
      </c>
      <c r="G3927" s="15" t="str">
        <f>IFERROR(__xludf.DUMMYFUNCTION("""COMPUTED_VALUE"""),"Carolyne Bailey")</f>
        <v>Carolyne Bailey</v>
      </c>
      <c r="H3927" s="16">
        <f>IFERROR(__xludf.DUMMYFUNCTION("""COMPUTED_VALUE"""),12417.0)</f>
        <v>12417</v>
      </c>
      <c r="I3927" s="18" t="str">
        <f>IFERROR(__xludf.DUMMYFUNCTION("""COMPUTED_VALUE"""),"52.5")</f>
        <v>52.5</v>
      </c>
      <c r="J3927" s="18">
        <f>IFERROR(__xludf.DUMMYFUNCTION("""COMPUTED_VALUE"""),45.0)</f>
        <v>45</v>
      </c>
      <c r="K3927" s="18">
        <f>IFERROR(__xludf.DUMMYFUNCTION("""COMPUTED_VALUE"""),55.0)</f>
        <v>55</v>
      </c>
      <c r="L3927" s="17">
        <f>IFERROR(__xludf.DUMMYFUNCTION("""COMPUTED_VALUE"""),3.105510381E9)</f>
        <v>3105510381</v>
      </c>
      <c r="M3927" s="17" t="str">
        <f>IFERROR(__xludf.DUMMYFUNCTION("""COMPUTED_VALUE"""),"#REF!")</f>
        <v>#REF!</v>
      </c>
      <c r="N3927" s="17"/>
      <c r="O3927" s="17"/>
      <c r="P3927" s="17" t="b">
        <f>IFERROR(__xludf.DUMMYFUNCTION("""COMPUTED_VALUE"""),FALSE)</f>
        <v>0</v>
      </c>
      <c r="Q3927" s="20" t="str">
        <f>IFERROR(__xludf.DUMMYFUNCTION("""COMPUTED_VALUE"""),"")</f>
        <v/>
      </c>
      <c r="R3927" s="22" t="str">
        <f>IFERROR(__xludf.DUMMYFUNCTION("""COMPUTED_VALUE"""),"")</f>
        <v/>
      </c>
    </row>
    <row r="3928">
      <c r="A3928" s="17" t="str">
        <f>IFERROR(__xludf.DUMMYFUNCTION("""COMPUTED_VALUE"""),"")</f>
        <v/>
      </c>
      <c r="B3928" s="17" t="str">
        <f>IFERROR(__xludf.DUMMYFUNCTION("""COMPUTED_VALUE"""),"")</f>
        <v/>
      </c>
      <c r="C3928" s="17" t="str">
        <f>IFERROR(__xludf.DUMMYFUNCTION("""COMPUTED_VALUE"""),"")</f>
        <v/>
      </c>
      <c r="D3928" s="17" t="str">
        <f>IFERROR(__xludf.DUMMYFUNCTION("""COMPUTED_VALUE"""),"")</f>
        <v/>
      </c>
      <c r="E3928" s="17" t="str">
        <f>IFERROR(__xludf.DUMMYFUNCTION("""COMPUTED_VALUE"""),"")</f>
        <v/>
      </c>
      <c r="F3928" s="17" t="str">
        <f>IFERROR(__xludf.DUMMYFUNCTION("""COMPUTED_VALUE"""),"")</f>
        <v/>
      </c>
      <c r="G3928" s="17" t="str">
        <f>IFERROR(__xludf.DUMMYFUNCTION("""COMPUTED_VALUE"""),"")</f>
        <v/>
      </c>
      <c r="H3928" s="17" t="str">
        <f>IFERROR(__xludf.DUMMYFUNCTION("""COMPUTED_VALUE"""),"")</f>
        <v/>
      </c>
      <c r="I3928" s="17" t="str">
        <f>IFERROR(__xludf.DUMMYFUNCTION("""COMPUTED_VALUE"""),"")</f>
        <v/>
      </c>
      <c r="J3928" s="17" t="str">
        <f>IFERROR(__xludf.DUMMYFUNCTION("""COMPUTED_VALUE"""),"")</f>
        <v/>
      </c>
      <c r="K3928" s="17" t="str">
        <f>IFERROR(__xludf.DUMMYFUNCTION("""COMPUTED_VALUE"""),"")</f>
        <v/>
      </c>
      <c r="L3928" s="17" t="str">
        <f>IFERROR(__xludf.DUMMYFUNCTION("""COMPUTED_VALUE"""),"")</f>
        <v/>
      </c>
      <c r="M3928" s="17" t="str">
        <f>IFERROR(__xludf.DUMMYFUNCTION("""COMPUTED_VALUE"""),"")</f>
        <v/>
      </c>
      <c r="N3928" s="17" t="str">
        <f>IFERROR(__xludf.DUMMYFUNCTION("""COMPUTED_VALUE"""),"")</f>
        <v/>
      </c>
      <c r="O3928" s="17" t="str">
        <f>IFERROR(__xludf.DUMMYFUNCTION("""COMPUTED_VALUE"""),"")</f>
        <v/>
      </c>
      <c r="P3928" s="17" t="str">
        <f>IFERROR(__xludf.DUMMYFUNCTION("""COMPUTED_VALUE"""),"")</f>
        <v/>
      </c>
      <c r="Q3928" s="17" t="str">
        <f>IFERROR(__xludf.DUMMYFUNCTION("""COMPUTED_VALUE"""),"")</f>
        <v/>
      </c>
      <c r="R3928" s="17" t="str">
        <f>IFERROR(__xludf.DUMMYFUNCTION("""COMPUTED_VALUE"""),"")</f>
        <v/>
      </c>
    </row>
    <row r="3929">
      <c r="A3929" s="15">
        <f>IFERROR(__xludf.DUMMYFUNCTION("""COMPUTED_VALUE"""),45114.0)</f>
        <v>45114</v>
      </c>
      <c r="B3929" s="16" t="str">
        <f>IFERROR(__xludf.DUMMYFUNCTION("""COMPUTED_VALUE"""),"José Miguel Bonilla")</f>
        <v>José Miguel Bonilla</v>
      </c>
      <c r="C3929" s="15" t="str">
        <f>IFERROR(__xludf.DUMMYFUNCTION("""COMPUTED_VALUE"""),"BUCARAMANGA")</f>
        <v>BUCARAMANGA</v>
      </c>
      <c r="D3929" s="15" t="str">
        <f>IFERROR(__xludf.DUMMYFUNCTION("""COMPUTED_VALUE"""),"BOGOTÁ")</f>
        <v>BOGOTÁ</v>
      </c>
      <c r="E3929" s="15" t="str">
        <f>IFERROR(__xludf.DUMMYFUNCTION("""COMPUTED_VALUE"""),"Evamazzita")</f>
        <v>Evamazzita</v>
      </c>
      <c r="F3929" s="17" t="str">
        <f>IFERROR(__xludf.DUMMYFUNCTION("""COMPUTED_VALUE"""),"Calle 105a #21-40  / N/A / Barrio Provenza")</f>
        <v>Calle 105a #21-40  / N/A / Barrio Provenza</v>
      </c>
      <c r="G3929" s="15" t="str">
        <f>IFERROR(__xludf.DUMMYFUNCTION("""COMPUTED_VALUE"""),"SILVIA JULIANA CONTRERAS")</f>
        <v>SILVIA JULIANA CONTRERAS</v>
      </c>
      <c r="H3929" s="16">
        <f>IFERROR(__xludf.DUMMYFUNCTION("""COMPUTED_VALUE"""),12428.0)</f>
        <v>12428</v>
      </c>
      <c r="I3929" s="18">
        <f>IFERROR(__xludf.DUMMYFUNCTION("""COMPUTED_VALUE"""),1.0)</f>
        <v>1</v>
      </c>
      <c r="J3929" s="18">
        <f>IFERROR(__xludf.DUMMYFUNCTION("""COMPUTED_VALUE"""),1.0)</f>
        <v>1</v>
      </c>
      <c r="K3929" s="18">
        <f>IFERROR(__xludf.DUMMYFUNCTION("""COMPUTED_VALUE"""),1.0)</f>
        <v>1</v>
      </c>
      <c r="L3929" s="17">
        <f>IFERROR(__xludf.DUMMYFUNCTION("""COMPUTED_VALUE"""),3.182156151E9)</f>
        <v>3182156151</v>
      </c>
      <c r="M3929" s="17" t="str">
        <f>IFERROR(__xludf.DUMMYFUNCTION("""COMPUTED_VALUE"""),"#REF!")</f>
        <v>#REF!</v>
      </c>
      <c r="N3929" s="17"/>
      <c r="O3929" s="17"/>
      <c r="P3929" s="17" t="b">
        <f>IFERROR(__xludf.DUMMYFUNCTION("""COMPUTED_VALUE"""),FALSE)</f>
        <v>0</v>
      </c>
      <c r="Q3929" s="20" t="str">
        <f>IFERROR(__xludf.DUMMYFUNCTION("""COMPUTED_VALUE"""),"")</f>
        <v/>
      </c>
      <c r="R3929" s="21" t="str">
        <f>IFERROR(__xludf.DUMMYFUNCTION("""COMPUTED_VALUE"""),"https://drive.google.com/file/d/1VYycqCSAXWrPT9Ei7VnCZIyNLRDjf4Me/view?usp=drivesdk")</f>
        <v>https://drive.google.com/file/d/1VYycqCSAXWrPT9Ei7VnCZIyNLRDjf4Me/view?usp=drivesdk</v>
      </c>
    </row>
    <row r="3930">
      <c r="A3930" s="15">
        <f>IFERROR(__xludf.DUMMYFUNCTION("""COMPUTED_VALUE"""),45114.0)</f>
        <v>45114</v>
      </c>
      <c r="B3930" s="16" t="str">
        <f>IFERROR(__xludf.DUMMYFUNCTION("""COMPUTED_VALUE"""),"José Miguel Bonilla")</f>
        <v>José Miguel Bonilla</v>
      </c>
      <c r="C3930" s="15" t="str">
        <f>IFERROR(__xludf.DUMMYFUNCTION("""COMPUTED_VALUE"""),"BUCARAMANGA")</f>
        <v>BUCARAMANGA</v>
      </c>
      <c r="D3930" s="15" t="str">
        <f>IFERROR(__xludf.DUMMYFUNCTION("""COMPUTED_VALUE"""),"BOGOTÁ")</f>
        <v>BOGOTÁ</v>
      </c>
      <c r="E3930" s="15" t="str">
        <f>IFERROR(__xludf.DUMMYFUNCTION("""COMPUTED_VALUE"""),"Evamazzita")</f>
        <v>Evamazzita</v>
      </c>
      <c r="F3930" s="17" t="str">
        <f>IFERROR(__xludf.DUMMYFUNCTION("""COMPUTED_VALUE"""),"Calle 108#22a-17 / N/A / Provenza")</f>
        <v>Calle 108#22a-17 / N/A / Provenza</v>
      </c>
      <c r="G3930" s="15" t="str">
        <f>IFERROR(__xludf.DUMMYFUNCTION("""COMPUTED_VALUE"""),"KAREN ANDREA DONNEYS GAMBOA")</f>
        <v>KAREN ANDREA DONNEYS GAMBOA</v>
      </c>
      <c r="H3930" s="16">
        <f>IFERROR(__xludf.DUMMYFUNCTION("""COMPUTED_VALUE"""),12427.0)</f>
        <v>12427</v>
      </c>
      <c r="I3930" s="18">
        <f>IFERROR(__xludf.DUMMYFUNCTION("""COMPUTED_VALUE"""),1.0)</f>
        <v>1</v>
      </c>
      <c r="J3930" s="18">
        <f>IFERROR(__xludf.DUMMYFUNCTION("""COMPUTED_VALUE"""),1.0)</f>
        <v>1</v>
      </c>
      <c r="K3930" s="18">
        <f>IFERROR(__xludf.DUMMYFUNCTION("""COMPUTED_VALUE"""),1.0)</f>
        <v>1</v>
      </c>
      <c r="L3930" s="17">
        <f>IFERROR(__xludf.DUMMYFUNCTION("""COMPUTED_VALUE"""),3.142386061E9)</f>
        <v>3142386061</v>
      </c>
      <c r="M3930" s="17" t="str">
        <f>IFERROR(__xludf.DUMMYFUNCTION("""COMPUTED_VALUE"""),"#REF!")</f>
        <v>#REF!</v>
      </c>
      <c r="N3930" s="17"/>
      <c r="O3930" s="17"/>
      <c r="P3930" s="17" t="b">
        <f>IFERROR(__xludf.DUMMYFUNCTION("""COMPUTED_VALUE"""),FALSE)</f>
        <v>0</v>
      </c>
      <c r="Q3930" s="20" t="str">
        <f>IFERROR(__xludf.DUMMYFUNCTION("""COMPUTED_VALUE"""),"")</f>
        <v/>
      </c>
      <c r="R3930" s="21" t="str">
        <f>IFERROR(__xludf.DUMMYFUNCTION("""COMPUTED_VALUE"""),"https://drive.google.com/file/d/1AMMOYsu2kEzHnHWQHDwQOdEztczEQ71I/view?usp=drivesdk")</f>
        <v>https://drive.google.com/file/d/1AMMOYsu2kEzHnHWQHDwQOdEztczEQ71I/view?usp=drivesdk</v>
      </c>
    </row>
    <row r="3931">
      <c r="A3931" s="15">
        <f>IFERROR(__xludf.DUMMYFUNCTION("""COMPUTED_VALUE"""),45114.0)</f>
        <v>45114</v>
      </c>
      <c r="B3931" s="16" t="str">
        <f>IFERROR(__xludf.DUMMYFUNCTION("""COMPUTED_VALUE"""),"José Miguel Bonilla")</f>
        <v>José Miguel Bonilla</v>
      </c>
      <c r="C3931" s="15" t="str">
        <f>IFERROR(__xludf.DUMMYFUNCTION("""COMPUTED_VALUE"""),"BUCARAMANGA")</f>
        <v>BUCARAMANGA</v>
      </c>
      <c r="D3931" s="15" t="str">
        <f>IFERROR(__xludf.DUMMYFUNCTION("""COMPUTED_VALUE"""),"BOGOTÁ")</f>
        <v>BOGOTÁ</v>
      </c>
      <c r="E3931" s="15" t="str">
        <f>IFERROR(__xludf.DUMMYFUNCTION("""COMPUTED_VALUE"""),"Evamazzita")</f>
        <v>Evamazzita</v>
      </c>
      <c r="F3931" s="17" t="str">
        <f>IFERROR(__xludf.DUMMYFUNCTION("""COMPUTED_VALUE"""),"Calle 14 nro 62b-28 / N/A / Morrorico")</f>
        <v>Calle 14 nro 62b-28 / N/A / Morrorico</v>
      </c>
      <c r="G3931" s="15" t="str">
        <f>IFERROR(__xludf.DUMMYFUNCTION("""COMPUTED_VALUE"""),"CLAUDIA PATRICIA VEGA DELGADO")</f>
        <v>CLAUDIA PATRICIA VEGA DELGADO</v>
      </c>
      <c r="H3931" s="16">
        <f>IFERROR(__xludf.DUMMYFUNCTION("""COMPUTED_VALUE"""),12431.0)</f>
        <v>12431</v>
      </c>
      <c r="I3931" s="18">
        <f>IFERROR(__xludf.DUMMYFUNCTION("""COMPUTED_VALUE"""),1.0)</f>
        <v>1</v>
      </c>
      <c r="J3931" s="18">
        <f>IFERROR(__xludf.DUMMYFUNCTION("""COMPUTED_VALUE"""),1.0)</f>
        <v>1</v>
      </c>
      <c r="K3931" s="18">
        <f>IFERROR(__xludf.DUMMYFUNCTION("""COMPUTED_VALUE"""),1.0)</f>
        <v>1</v>
      </c>
      <c r="L3931" s="17">
        <f>IFERROR(__xludf.DUMMYFUNCTION("""COMPUTED_VALUE"""),3.188769629E9)</f>
        <v>3188769629</v>
      </c>
      <c r="M3931" s="17" t="str">
        <f>IFERROR(__xludf.DUMMYFUNCTION("""COMPUTED_VALUE"""),"#REF!")</f>
        <v>#REF!</v>
      </c>
      <c r="N3931" s="17"/>
      <c r="O3931" s="17"/>
      <c r="P3931" s="17" t="b">
        <f>IFERROR(__xludf.DUMMYFUNCTION("""COMPUTED_VALUE"""),FALSE)</f>
        <v>0</v>
      </c>
      <c r="Q3931" s="20" t="str">
        <f>IFERROR(__xludf.DUMMYFUNCTION("""COMPUTED_VALUE"""),"")</f>
        <v/>
      </c>
      <c r="R3931" s="21" t="str">
        <f>IFERROR(__xludf.DUMMYFUNCTION("""COMPUTED_VALUE"""),"https://drive.google.com/file/d/13PGK85wiZfO2Xirglcp-d-5Gw6DyScNT/view?usp=drivesdk")</f>
        <v>https://drive.google.com/file/d/13PGK85wiZfO2Xirglcp-d-5Gw6DyScNT/view?usp=drivesdk</v>
      </c>
    </row>
    <row r="3932">
      <c r="A3932" s="15">
        <f>IFERROR(__xludf.DUMMYFUNCTION("""COMPUTED_VALUE"""),45114.0)</f>
        <v>45114</v>
      </c>
      <c r="B3932" s="16" t="str">
        <f>IFERROR(__xludf.DUMMYFUNCTION("""COMPUTED_VALUE"""),"José Miguel Bonilla")</f>
        <v>José Miguel Bonilla</v>
      </c>
      <c r="C3932" s="15" t="str">
        <f>IFERROR(__xludf.DUMMYFUNCTION("""COMPUTED_VALUE"""),"BUCARAMANGA")</f>
        <v>BUCARAMANGA</v>
      </c>
      <c r="D3932" s="15" t="str">
        <f>IFERROR(__xludf.DUMMYFUNCTION("""COMPUTED_VALUE"""),"BOGOTÁ")</f>
        <v>BOGOTÁ</v>
      </c>
      <c r="E3932" s="15" t="str">
        <f>IFERROR(__xludf.DUMMYFUNCTION("""COMPUTED_VALUE"""),"Evamazzita")</f>
        <v>Evamazzita</v>
      </c>
      <c r="F3932" s="17" t="str">
        <f>IFERROR(__xludf.DUMMYFUNCTION("""COMPUTED_VALUE"""),"Calle 37 #26-15 / Torre D apto 1003 / Unidad residencial parque central/ Barrio Bolivar Centro")</f>
        <v>Calle 37 #26-15 / Torre D apto 1003 / Unidad residencial parque central/ Barrio Bolivar Centro</v>
      </c>
      <c r="G3932" s="15" t="str">
        <f>IFERROR(__xludf.DUMMYFUNCTION("""COMPUTED_VALUE"""),"MARIA JAIMES")</f>
        <v>MARIA JAIMES</v>
      </c>
      <c r="H3932" s="16">
        <f>IFERROR(__xludf.DUMMYFUNCTION("""COMPUTED_VALUE"""),12424.0)</f>
        <v>12424</v>
      </c>
      <c r="I3932" s="18">
        <f>IFERROR(__xludf.DUMMYFUNCTION("""COMPUTED_VALUE"""),1.0)</f>
        <v>1</v>
      </c>
      <c r="J3932" s="18">
        <f>IFERROR(__xludf.DUMMYFUNCTION("""COMPUTED_VALUE"""),1.0)</f>
        <v>1</v>
      </c>
      <c r="K3932" s="18">
        <f>IFERROR(__xludf.DUMMYFUNCTION("""COMPUTED_VALUE"""),1.0)</f>
        <v>1</v>
      </c>
      <c r="L3932" s="17">
        <f>IFERROR(__xludf.DUMMYFUNCTION("""COMPUTED_VALUE"""),3.178022148E9)</f>
        <v>3178022148</v>
      </c>
      <c r="M3932" s="17" t="str">
        <f>IFERROR(__xludf.DUMMYFUNCTION("""COMPUTED_VALUE"""),"#REF!")</f>
        <v>#REF!</v>
      </c>
      <c r="N3932" s="17"/>
      <c r="O3932" s="17"/>
      <c r="P3932" s="17" t="b">
        <f>IFERROR(__xludf.DUMMYFUNCTION("""COMPUTED_VALUE"""),FALSE)</f>
        <v>0</v>
      </c>
      <c r="Q3932" s="20" t="str">
        <f>IFERROR(__xludf.DUMMYFUNCTION("""COMPUTED_VALUE"""),"")</f>
        <v/>
      </c>
      <c r="R3932" s="21" t="str">
        <f>IFERROR(__xludf.DUMMYFUNCTION("""COMPUTED_VALUE"""),"https://drive.google.com/file/d/17VqM6a6o4qmlz-w30L9NVhMuOO_QiVKI/view?usp=drivesdk")</f>
        <v>https://drive.google.com/file/d/17VqM6a6o4qmlz-w30L9NVhMuOO_QiVKI/view?usp=drivesdk</v>
      </c>
    </row>
    <row r="3933">
      <c r="A3933" s="15">
        <f>IFERROR(__xludf.DUMMYFUNCTION("""COMPUTED_VALUE"""),45114.0)</f>
        <v>45114</v>
      </c>
      <c r="B3933" s="16" t="str">
        <f>IFERROR(__xludf.DUMMYFUNCTION("""COMPUTED_VALUE"""),"José Miguel Bonilla")</f>
        <v>José Miguel Bonilla</v>
      </c>
      <c r="C3933" s="15" t="str">
        <f>IFERROR(__xludf.DUMMYFUNCTION("""COMPUTED_VALUE"""),"BUCARAMANGA")</f>
        <v>BUCARAMANGA</v>
      </c>
      <c r="D3933" s="15" t="str">
        <f>IFERROR(__xludf.DUMMYFUNCTION("""COMPUTED_VALUE"""),"BOGOTÁ")</f>
        <v>BOGOTÁ</v>
      </c>
      <c r="E3933" s="15" t="str">
        <f>IFERROR(__xludf.DUMMYFUNCTION("""COMPUTED_VALUE"""),"Evamazzita")</f>
        <v>Evamazzita</v>
      </c>
      <c r="F3933" s="17" t="str">
        <f>IFERROR(__xludf.DUMMYFUNCTION("""COMPUTED_VALUE"""),"Calle 37#22-33 / Torre A Apto 501/Edificio Monterry / Barrio Bolivar")</f>
        <v>Calle 37#22-33 / Torre A Apto 501/Edificio Monterry / Barrio Bolivar</v>
      </c>
      <c r="G3933" s="15" t="str">
        <f>IFERROR(__xludf.DUMMYFUNCTION("""COMPUTED_VALUE"""),"LEIDY RUGELES")</f>
        <v>LEIDY RUGELES</v>
      </c>
      <c r="H3933" s="16">
        <f>IFERROR(__xludf.DUMMYFUNCTION("""COMPUTED_VALUE"""),12433.0)</f>
        <v>12433</v>
      </c>
      <c r="I3933" s="18">
        <f>IFERROR(__xludf.DUMMYFUNCTION("""COMPUTED_VALUE"""),1.0)</f>
        <v>1</v>
      </c>
      <c r="J3933" s="18">
        <f>IFERROR(__xludf.DUMMYFUNCTION("""COMPUTED_VALUE"""),1.0)</f>
        <v>1</v>
      </c>
      <c r="K3933" s="18">
        <f>IFERROR(__xludf.DUMMYFUNCTION("""COMPUTED_VALUE"""),1.0)</f>
        <v>1</v>
      </c>
      <c r="L3933" s="17">
        <f>IFERROR(__xludf.DUMMYFUNCTION("""COMPUTED_VALUE"""),3.192986719E9)</f>
        <v>3192986719</v>
      </c>
      <c r="M3933" s="17" t="str">
        <f>IFERROR(__xludf.DUMMYFUNCTION("""COMPUTED_VALUE"""),"#REF!")</f>
        <v>#REF!</v>
      </c>
      <c r="N3933" s="17"/>
      <c r="O3933" s="17"/>
      <c r="P3933" s="17" t="b">
        <f>IFERROR(__xludf.DUMMYFUNCTION("""COMPUTED_VALUE"""),FALSE)</f>
        <v>0</v>
      </c>
      <c r="Q3933" s="20" t="str">
        <f>IFERROR(__xludf.DUMMYFUNCTION("""COMPUTED_VALUE"""),"")</f>
        <v/>
      </c>
      <c r="R3933" s="21" t="str">
        <f>IFERROR(__xludf.DUMMYFUNCTION("""COMPUTED_VALUE"""),"https://drive.google.com/file/d/1dcz0IXXPnjC8dOH_sI93DSdOKPOsFfV8/view?usp=drivesdk")</f>
        <v>https://drive.google.com/file/d/1dcz0IXXPnjC8dOH_sI93DSdOKPOsFfV8/view?usp=drivesdk</v>
      </c>
    </row>
    <row r="3934">
      <c r="A3934" s="15">
        <f>IFERROR(__xludf.DUMMYFUNCTION("""COMPUTED_VALUE"""),45114.0)</f>
        <v>45114</v>
      </c>
      <c r="B3934" s="16" t="str">
        <f>IFERROR(__xludf.DUMMYFUNCTION("""COMPUTED_VALUE"""),"José Miguel Bonilla")</f>
        <v>José Miguel Bonilla</v>
      </c>
      <c r="C3934" s="15" t="str">
        <f>IFERROR(__xludf.DUMMYFUNCTION("""COMPUTED_VALUE"""),"BUCARAMANGA")</f>
        <v>BUCARAMANGA</v>
      </c>
      <c r="D3934" s="15" t="str">
        <f>IFERROR(__xludf.DUMMYFUNCTION("""COMPUTED_VALUE"""),"BOGOTÁ")</f>
        <v>BOGOTÁ</v>
      </c>
      <c r="E3934" s="15" t="str">
        <f>IFERROR(__xludf.DUMMYFUNCTION("""COMPUTED_VALUE"""),"Evamazzita")</f>
        <v>Evamazzita</v>
      </c>
      <c r="F3934" s="17" t="str">
        <f>IFERROR(__xludf.DUMMYFUNCTION("""COMPUTED_VALUE"""),"Carrera 19#39-02 / N/A / Integral de refrigeracion sas/ segundo piso/ preguntar por ana maria/ barrio Centro")</f>
        <v>Carrera 19#39-02 / N/A / Integral de refrigeracion sas/ segundo piso/ preguntar por ana maria/ barrio Centro</v>
      </c>
      <c r="G3934" s="15" t="str">
        <f>IFERROR(__xludf.DUMMYFUNCTION("""COMPUTED_VALUE"""),"ANA MARIA BAEZ")</f>
        <v>ANA MARIA BAEZ</v>
      </c>
      <c r="H3934" s="16">
        <f>IFERROR(__xludf.DUMMYFUNCTION("""COMPUTED_VALUE"""),12437.0)</f>
        <v>12437</v>
      </c>
      <c r="I3934" s="18">
        <f>IFERROR(__xludf.DUMMYFUNCTION("""COMPUTED_VALUE"""),1.0)</f>
        <v>1</v>
      </c>
      <c r="J3934" s="18">
        <f>IFERROR(__xludf.DUMMYFUNCTION("""COMPUTED_VALUE"""),1.0)</f>
        <v>1</v>
      </c>
      <c r="K3934" s="18">
        <f>IFERROR(__xludf.DUMMYFUNCTION("""COMPUTED_VALUE"""),1.0)</f>
        <v>1</v>
      </c>
      <c r="L3934" s="17">
        <f>IFERROR(__xludf.DUMMYFUNCTION("""COMPUTED_VALUE"""),3.176769662E9)</f>
        <v>3176769662</v>
      </c>
      <c r="M3934" s="17" t="str">
        <f>IFERROR(__xludf.DUMMYFUNCTION("""COMPUTED_VALUE"""),"#REF!")</f>
        <v>#REF!</v>
      </c>
      <c r="N3934" s="17"/>
      <c r="O3934" s="17"/>
      <c r="P3934" s="17" t="b">
        <f>IFERROR(__xludf.DUMMYFUNCTION("""COMPUTED_VALUE"""),FALSE)</f>
        <v>0</v>
      </c>
      <c r="Q3934" s="20" t="str">
        <f>IFERROR(__xludf.DUMMYFUNCTION("""COMPUTED_VALUE"""),"")</f>
        <v/>
      </c>
      <c r="R3934" s="21" t="str">
        <f>IFERROR(__xludf.DUMMYFUNCTION("""COMPUTED_VALUE"""),"https://drive.google.com/file/d/1IkJMLXZdQ8z5CsA0a45-6XkAgmsdJ508/view?usp=drivesdk")</f>
        <v>https://drive.google.com/file/d/1IkJMLXZdQ8z5CsA0a45-6XkAgmsdJ508/view?usp=drivesdk</v>
      </c>
    </row>
    <row r="3935">
      <c r="A3935" s="15">
        <f>IFERROR(__xludf.DUMMYFUNCTION("""COMPUTED_VALUE"""),45114.0)</f>
        <v>45114</v>
      </c>
      <c r="B3935" s="16" t="str">
        <f>IFERROR(__xludf.DUMMYFUNCTION("""COMPUTED_VALUE"""),"José Miguel Bonilla")</f>
        <v>José Miguel Bonilla</v>
      </c>
      <c r="C3935" s="15" t="str">
        <f>IFERROR(__xludf.DUMMYFUNCTION("""COMPUTED_VALUE"""),"BUCARAMANGA")</f>
        <v>BUCARAMANGA</v>
      </c>
      <c r="D3935" s="15" t="str">
        <f>IFERROR(__xludf.DUMMYFUNCTION("""COMPUTED_VALUE"""),"BOGOTÁ")</f>
        <v>BOGOTÁ</v>
      </c>
      <c r="E3935" s="15" t="str">
        <f>IFERROR(__xludf.DUMMYFUNCTION("""COMPUTED_VALUE"""),"Evamazzita")</f>
        <v>Evamazzita</v>
      </c>
      <c r="F3935" s="17" t="str">
        <f>IFERROR(__xludf.DUMMYFUNCTION("""COMPUTED_VALUE"""),"Carrera 20 nro 112-51 / Apto 705 / San Lorenzo de Provenza 1")</f>
        <v>Carrera 20 nro 112-51 / Apto 705 / San Lorenzo de Provenza 1</v>
      </c>
      <c r="G3935" s="15" t="str">
        <f>IFERROR(__xludf.DUMMYFUNCTION("""COMPUTED_VALUE"""),"YESENIA NEIRA")</f>
        <v>YESENIA NEIRA</v>
      </c>
      <c r="H3935" s="16">
        <f>IFERROR(__xludf.DUMMYFUNCTION("""COMPUTED_VALUE"""),12435.0)</f>
        <v>12435</v>
      </c>
      <c r="I3935" s="18">
        <f>IFERROR(__xludf.DUMMYFUNCTION("""COMPUTED_VALUE"""),1.0)</f>
        <v>1</v>
      </c>
      <c r="J3935" s="18">
        <f>IFERROR(__xludf.DUMMYFUNCTION("""COMPUTED_VALUE"""),1.0)</f>
        <v>1</v>
      </c>
      <c r="K3935" s="18">
        <f>IFERROR(__xludf.DUMMYFUNCTION("""COMPUTED_VALUE"""),1.0)</f>
        <v>1</v>
      </c>
      <c r="L3935" s="17">
        <f>IFERROR(__xludf.DUMMYFUNCTION("""COMPUTED_VALUE"""),3.107979618E9)</f>
        <v>3107979618</v>
      </c>
      <c r="M3935" s="17" t="str">
        <f>IFERROR(__xludf.DUMMYFUNCTION("""COMPUTED_VALUE"""),"#REF!")</f>
        <v>#REF!</v>
      </c>
      <c r="N3935" s="17"/>
      <c r="O3935" s="17"/>
      <c r="P3935" s="17" t="b">
        <f>IFERROR(__xludf.DUMMYFUNCTION("""COMPUTED_VALUE"""),FALSE)</f>
        <v>0</v>
      </c>
      <c r="Q3935" s="20" t="str">
        <f>IFERROR(__xludf.DUMMYFUNCTION("""COMPUTED_VALUE"""),"")</f>
        <v/>
      </c>
      <c r="R3935" s="21" t="str">
        <f>IFERROR(__xludf.DUMMYFUNCTION("""COMPUTED_VALUE"""),"https://drive.google.com/file/d/1BracD4J4Prcdz4fiNTfXaIyP2TBiC51N/view?usp=drivesdk")</f>
        <v>https://drive.google.com/file/d/1BracD4J4Prcdz4fiNTfXaIyP2TBiC51N/view?usp=drivesdk</v>
      </c>
    </row>
    <row r="3936">
      <c r="A3936" s="15">
        <f>IFERROR(__xludf.DUMMYFUNCTION("""COMPUTED_VALUE"""),45114.0)</f>
        <v>45114</v>
      </c>
      <c r="B3936" s="16" t="str">
        <f>IFERROR(__xludf.DUMMYFUNCTION("""COMPUTED_VALUE"""),"José Miguel Bonilla")</f>
        <v>José Miguel Bonilla</v>
      </c>
      <c r="C3936" s="15" t="str">
        <f>IFERROR(__xludf.DUMMYFUNCTION("""COMPUTED_VALUE"""),"BUCARAMANGA")</f>
        <v>BUCARAMANGA</v>
      </c>
      <c r="D3936" s="15" t="str">
        <f>IFERROR(__xludf.DUMMYFUNCTION("""COMPUTED_VALUE"""),"BOGOTÁ")</f>
        <v>BOGOTÁ</v>
      </c>
      <c r="E3936" s="15" t="str">
        <f>IFERROR(__xludf.DUMMYFUNCTION("""COMPUTED_VALUE"""),"Evamazzita")</f>
        <v>Evamazzita</v>
      </c>
      <c r="F3936" s="17" t="str">
        <f>IFERROR(__xludf.DUMMYFUNCTION("""COMPUTED_VALUE"""),"Carrera 21 #158-80  / Alamos parque Casa 12  / Bareio Cañaveral")</f>
        <v>Carrera 21 #158-80  / Alamos parque Casa 12  / Bareio Cañaveral</v>
      </c>
      <c r="G3936" s="15" t="str">
        <f>IFERROR(__xludf.DUMMYFUNCTION("""COMPUTED_VALUE"""),"MAYRA ALEJANDRA PEREZ")</f>
        <v>MAYRA ALEJANDRA PEREZ</v>
      </c>
      <c r="H3936" s="16">
        <f>IFERROR(__xludf.DUMMYFUNCTION("""COMPUTED_VALUE"""),12436.0)</f>
        <v>12436</v>
      </c>
      <c r="I3936" s="18">
        <f>IFERROR(__xludf.DUMMYFUNCTION("""COMPUTED_VALUE"""),1.0)</f>
        <v>1</v>
      </c>
      <c r="J3936" s="18">
        <f>IFERROR(__xludf.DUMMYFUNCTION("""COMPUTED_VALUE"""),1.0)</f>
        <v>1</v>
      </c>
      <c r="K3936" s="18">
        <f>IFERROR(__xludf.DUMMYFUNCTION("""COMPUTED_VALUE"""),1.0)</f>
        <v>1</v>
      </c>
      <c r="L3936" s="17">
        <f>IFERROR(__xludf.DUMMYFUNCTION("""COMPUTED_VALUE"""),3.163367291E9)</f>
        <v>3163367291</v>
      </c>
      <c r="M3936" s="17" t="str">
        <f>IFERROR(__xludf.DUMMYFUNCTION("""COMPUTED_VALUE"""),"#REF!")</f>
        <v>#REF!</v>
      </c>
      <c r="N3936" s="17"/>
      <c r="O3936" s="17"/>
      <c r="P3936" s="17" t="b">
        <f>IFERROR(__xludf.DUMMYFUNCTION("""COMPUTED_VALUE"""),FALSE)</f>
        <v>0</v>
      </c>
      <c r="Q3936" s="20" t="str">
        <f>IFERROR(__xludf.DUMMYFUNCTION("""COMPUTED_VALUE"""),"")</f>
        <v/>
      </c>
      <c r="R3936" s="21" t="str">
        <f>IFERROR(__xludf.DUMMYFUNCTION("""COMPUTED_VALUE"""),"https://drive.google.com/file/d/1Ej27lAkS7a2sY6CxaUEw1SKI_VPdoWDR/view?usp=drivesdk")</f>
        <v>https://drive.google.com/file/d/1Ej27lAkS7a2sY6CxaUEw1SKI_VPdoWDR/view?usp=drivesdk</v>
      </c>
    </row>
    <row r="3937">
      <c r="A3937" s="15">
        <f>IFERROR(__xludf.DUMMYFUNCTION("""COMPUTED_VALUE"""),45114.0)</f>
        <v>45114</v>
      </c>
      <c r="B3937" s="16" t="str">
        <f>IFERROR(__xludf.DUMMYFUNCTION("""COMPUTED_VALUE"""),"José Miguel Bonilla")</f>
        <v>José Miguel Bonilla</v>
      </c>
      <c r="C3937" s="15" t="str">
        <f>IFERROR(__xludf.DUMMYFUNCTION("""COMPUTED_VALUE"""),"BUCARAMANGA")</f>
        <v>BUCARAMANGA</v>
      </c>
      <c r="D3937" s="15" t="str">
        <f>IFERROR(__xludf.DUMMYFUNCTION("""COMPUTED_VALUE"""),"BOGOTÁ")</f>
        <v>BOGOTÁ</v>
      </c>
      <c r="E3937" s="15" t="str">
        <f>IFERROR(__xludf.DUMMYFUNCTION("""COMPUTED_VALUE"""),"Evamazzita")</f>
        <v>Evamazzita</v>
      </c>
      <c r="F3937" s="17" t="str">
        <f>IFERROR(__xludf.DUMMYFUNCTION("""COMPUTED_VALUE"""),"Carrera 23#51-46 / Apto 901 Edificio Arkanto  / Barrio Nuevo Sotomayor")</f>
        <v>Carrera 23#51-46 / Apto 901 Edificio Arkanto  / Barrio Nuevo Sotomayor</v>
      </c>
      <c r="G3937" s="15" t="str">
        <f>IFERROR(__xludf.DUMMYFUNCTION("""COMPUTED_VALUE"""),"JULIANA ECHEVERRI GOMEZ")</f>
        <v>JULIANA ECHEVERRI GOMEZ</v>
      </c>
      <c r="H3937" s="16">
        <f>IFERROR(__xludf.DUMMYFUNCTION("""COMPUTED_VALUE"""),12434.0)</f>
        <v>12434</v>
      </c>
      <c r="I3937" s="18">
        <f>IFERROR(__xludf.DUMMYFUNCTION("""COMPUTED_VALUE"""),1.0)</f>
        <v>1</v>
      </c>
      <c r="J3937" s="18">
        <f>IFERROR(__xludf.DUMMYFUNCTION("""COMPUTED_VALUE"""),1.0)</f>
        <v>1</v>
      </c>
      <c r="K3937" s="18">
        <f>IFERROR(__xludf.DUMMYFUNCTION("""COMPUTED_VALUE"""),1.0)</f>
        <v>1</v>
      </c>
      <c r="L3937" s="17">
        <f>IFERROR(__xludf.DUMMYFUNCTION("""COMPUTED_VALUE"""),3.012306587E9)</f>
        <v>3012306587</v>
      </c>
      <c r="M3937" s="17" t="str">
        <f>IFERROR(__xludf.DUMMYFUNCTION("""COMPUTED_VALUE"""),"#REF!")</f>
        <v>#REF!</v>
      </c>
      <c r="N3937" s="17"/>
      <c r="O3937" s="17"/>
      <c r="P3937" s="17" t="b">
        <f>IFERROR(__xludf.DUMMYFUNCTION("""COMPUTED_VALUE"""),FALSE)</f>
        <v>0</v>
      </c>
      <c r="Q3937" s="20" t="str">
        <f>IFERROR(__xludf.DUMMYFUNCTION("""COMPUTED_VALUE"""),"")</f>
        <v/>
      </c>
      <c r="R3937" s="21" t="str">
        <f>IFERROR(__xludf.DUMMYFUNCTION("""COMPUTED_VALUE"""),"https://drive.google.com/file/d/1H5mEA-jqVb_yykdN0EQPJlW9ddenqeli/view?usp=drivesdk")</f>
        <v>https://drive.google.com/file/d/1H5mEA-jqVb_yykdN0EQPJlW9ddenqeli/view?usp=drivesdk</v>
      </c>
    </row>
    <row r="3938">
      <c r="A3938" s="15">
        <f>IFERROR(__xludf.DUMMYFUNCTION("""COMPUTED_VALUE"""),45114.0)</f>
        <v>45114</v>
      </c>
      <c r="B3938" s="16" t="str">
        <f>IFERROR(__xludf.DUMMYFUNCTION("""COMPUTED_VALUE"""),"José Miguel Bonilla")</f>
        <v>José Miguel Bonilla</v>
      </c>
      <c r="C3938" s="15" t="str">
        <f>IFERROR(__xludf.DUMMYFUNCTION("""COMPUTED_VALUE"""),"BUCARAMANGA")</f>
        <v>BUCARAMANGA</v>
      </c>
      <c r="D3938" s="15" t="str">
        <f>IFERROR(__xludf.DUMMYFUNCTION("""COMPUTED_VALUE"""),"BOGOTÁ")</f>
        <v>BOGOTÁ</v>
      </c>
      <c r="E3938" s="15" t="str">
        <f>IFERROR(__xludf.DUMMYFUNCTION("""COMPUTED_VALUE"""),"Evamazzita")</f>
        <v>Evamazzita</v>
      </c>
      <c r="F3938" s="17" t="str">
        <f>IFERROR(__xludf.DUMMYFUNCTION("""COMPUTED_VALUE"""),"Carrera 26 #31-66 / Edificio Verdetto Apto 904 / Barrio Antonia Santos")</f>
        <v>Carrera 26 #31-66 / Edificio Verdetto Apto 904 / Barrio Antonia Santos</v>
      </c>
      <c r="G3938" s="15" t="str">
        <f>IFERROR(__xludf.DUMMYFUNCTION("""COMPUTED_VALUE"""),"SILVIA JULIANA AMAYA")</f>
        <v>SILVIA JULIANA AMAYA</v>
      </c>
      <c r="H3938" s="16">
        <f>IFERROR(__xludf.DUMMYFUNCTION("""COMPUTED_VALUE"""),12429.0)</f>
        <v>12429</v>
      </c>
      <c r="I3938" s="18">
        <f>IFERROR(__xludf.DUMMYFUNCTION("""COMPUTED_VALUE"""),1.0)</f>
        <v>1</v>
      </c>
      <c r="J3938" s="18">
        <f>IFERROR(__xludf.DUMMYFUNCTION("""COMPUTED_VALUE"""),1.0)</f>
        <v>1</v>
      </c>
      <c r="K3938" s="18">
        <f>IFERROR(__xludf.DUMMYFUNCTION("""COMPUTED_VALUE"""),1.0)</f>
        <v>1</v>
      </c>
      <c r="L3938" s="17">
        <f>IFERROR(__xludf.DUMMYFUNCTION("""COMPUTED_VALUE"""),3.158212527E9)</f>
        <v>3158212527</v>
      </c>
      <c r="M3938" s="17" t="str">
        <f>IFERROR(__xludf.DUMMYFUNCTION("""COMPUTED_VALUE"""),"#REF!")</f>
        <v>#REF!</v>
      </c>
      <c r="N3938" s="17"/>
      <c r="O3938" s="17"/>
      <c r="P3938" s="17" t="b">
        <f>IFERROR(__xludf.DUMMYFUNCTION("""COMPUTED_VALUE"""),FALSE)</f>
        <v>0</v>
      </c>
      <c r="Q3938" s="20" t="str">
        <f>IFERROR(__xludf.DUMMYFUNCTION("""COMPUTED_VALUE"""),"")</f>
        <v/>
      </c>
      <c r="R3938" s="21" t="str">
        <f>IFERROR(__xludf.DUMMYFUNCTION("""COMPUTED_VALUE"""),"https://drive.google.com/file/d/1b1w0B9EVhRI0UBfq5zb8ngXrJpH6rDMj/view?usp=drivesdk")</f>
        <v>https://drive.google.com/file/d/1b1w0B9EVhRI0UBfq5zb8ngXrJpH6rDMj/view?usp=drivesdk</v>
      </c>
    </row>
    <row r="3939">
      <c r="A3939" s="15">
        <f>IFERROR(__xludf.DUMMYFUNCTION("""COMPUTED_VALUE"""),45114.0)</f>
        <v>45114</v>
      </c>
      <c r="B3939" s="16" t="str">
        <f>IFERROR(__xludf.DUMMYFUNCTION("""COMPUTED_VALUE"""),"José Miguel Bonilla")</f>
        <v>José Miguel Bonilla</v>
      </c>
      <c r="C3939" s="15" t="str">
        <f>IFERROR(__xludf.DUMMYFUNCTION("""COMPUTED_VALUE"""),"BUCARAMANGA")</f>
        <v>BUCARAMANGA</v>
      </c>
      <c r="D3939" s="15" t="str">
        <f>IFERROR(__xludf.DUMMYFUNCTION("""COMPUTED_VALUE"""),"BOGOTÁ")</f>
        <v>BOGOTÁ</v>
      </c>
      <c r="E3939" s="15" t="str">
        <f>IFERROR(__xludf.DUMMYFUNCTION("""COMPUTED_VALUE"""),"Evamazzita")</f>
        <v>Evamazzita</v>
      </c>
      <c r="F3939" s="17" t="str">
        <f>IFERROR(__xludf.DUMMYFUNCTION("""COMPUTED_VALUE"""),"Carrera 29#33-18 / Apto 1503/Edificio Torre Bambu / N/A")</f>
        <v>Carrera 29#33-18 / Apto 1503/Edificio Torre Bambu / N/A</v>
      </c>
      <c r="G3939" s="15" t="str">
        <f>IFERROR(__xludf.DUMMYFUNCTION("""COMPUTED_VALUE"""),"SOFIA LORENA PAEZ CABRALES")</f>
        <v>SOFIA LORENA PAEZ CABRALES</v>
      </c>
      <c r="H3939" s="16">
        <f>IFERROR(__xludf.DUMMYFUNCTION("""COMPUTED_VALUE"""),12430.0)</f>
        <v>12430</v>
      </c>
      <c r="I3939" s="18">
        <f>IFERROR(__xludf.DUMMYFUNCTION("""COMPUTED_VALUE"""),1.0)</f>
        <v>1</v>
      </c>
      <c r="J3939" s="18">
        <f>IFERROR(__xludf.DUMMYFUNCTION("""COMPUTED_VALUE"""),1.0)</f>
        <v>1</v>
      </c>
      <c r="K3939" s="18">
        <f>IFERROR(__xludf.DUMMYFUNCTION("""COMPUTED_VALUE"""),1.0)</f>
        <v>1</v>
      </c>
      <c r="L3939" s="17">
        <f>IFERROR(__xludf.DUMMYFUNCTION("""COMPUTED_VALUE"""),3.17512894E9)</f>
        <v>3175128940</v>
      </c>
      <c r="M3939" s="17" t="str">
        <f>IFERROR(__xludf.DUMMYFUNCTION("""COMPUTED_VALUE"""),"#REF!")</f>
        <v>#REF!</v>
      </c>
      <c r="N3939" s="17"/>
      <c r="O3939" s="17"/>
      <c r="P3939" s="17" t="b">
        <f>IFERROR(__xludf.DUMMYFUNCTION("""COMPUTED_VALUE"""),FALSE)</f>
        <v>0</v>
      </c>
      <c r="Q3939" s="20" t="str">
        <f>IFERROR(__xludf.DUMMYFUNCTION("""COMPUTED_VALUE"""),"")</f>
        <v/>
      </c>
      <c r="R3939" s="21" t="str">
        <f>IFERROR(__xludf.DUMMYFUNCTION("""COMPUTED_VALUE"""),"https://drive.google.com/file/d/1ATCj6OdwRwcmPQBOr8c0lq7iESddqyFA/view?usp=drivesdk")</f>
        <v>https://drive.google.com/file/d/1ATCj6OdwRwcmPQBOr8c0lq7iESddqyFA/view?usp=drivesdk</v>
      </c>
    </row>
    <row r="3940">
      <c r="A3940" s="15">
        <f>IFERROR(__xludf.DUMMYFUNCTION("""COMPUTED_VALUE"""),45114.0)</f>
        <v>45114</v>
      </c>
      <c r="B3940" s="16" t="str">
        <f>IFERROR(__xludf.DUMMYFUNCTION("""COMPUTED_VALUE"""),"José Miguel Bonilla")</f>
        <v>José Miguel Bonilla</v>
      </c>
      <c r="C3940" s="15" t="str">
        <f>IFERROR(__xludf.DUMMYFUNCTION("""COMPUTED_VALUE"""),"BUCARAMANGA")</f>
        <v>BUCARAMANGA</v>
      </c>
      <c r="D3940" s="15" t="str">
        <f>IFERROR(__xludf.DUMMYFUNCTION("""COMPUTED_VALUE"""),"BOGOTÁ")</f>
        <v>BOGOTÁ</v>
      </c>
      <c r="E3940" s="15" t="str">
        <f>IFERROR(__xludf.DUMMYFUNCTION("""COMPUTED_VALUE"""),"Evamazzita")</f>
        <v>Evamazzita</v>
      </c>
      <c r="F3940" s="17" t="str">
        <f>IFERROR(__xludf.DUMMYFUNCTION("""COMPUTED_VALUE"""),"Carrera 2A #55A-15 / Apto 301 / Centauros")</f>
        <v>Carrera 2A #55A-15 / Apto 301 / Centauros</v>
      </c>
      <c r="G3940" s="15" t="str">
        <f>IFERROR(__xludf.DUMMYFUNCTION("""COMPUTED_VALUE"""),"ELIANA BELLO")</f>
        <v>ELIANA BELLO</v>
      </c>
      <c r="H3940" s="16">
        <f>IFERROR(__xludf.DUMMYFUNCTION("""COMPUTED_VALUE"""),12423.0)</f>
        <v>12423</v>
      </c>
      <c r="I3940" s="18">
        <f>IFERROR(__xludf.DUMMYFUNCTION("""COMPUTED_VALUE"""),1.0)</f>
        <v>1</v>
      </c>
      <c r="J3940" s="18">
        <f>IFERROR(__xludf.DUMMYFUNCTION("""COMPUTED_VALUE"""),1.0)</f>
        <v>1</v>
      </c>
      <c r="K3940" s="18">
        <f>IFERROR(__xludf.DUMMYFUNCTION("""COMPUTED_VALUE"""),1.0)</f>
        <v>1</v>
      </c>
      <c r="L3940" s="17">
        <f>IFERROR(__xludf.DUMMYFUNCTION("""COMPUTED_VALUE"""),3.228462326E9)</f>
        <v>3228462326</v>
      </c>
      <c r="M3940" s="17" t="str">
        <f>IFERROR(__xludf.DUMMYFUNCTION("""COMPUTED_VALUE"""),"#REF!")</f>
        <v>#REF!</v>
      </c>
      <c r="N3940" s="17"/>
      <c r="O3940" s="17"/>
      <c r="P3940" s="17" t="b">
        <f>IFERROR(__xludf.DUMMYFUNCTION("""COMPUTED_VALUE"""),FALSE)</f>
        <v>0</v>
      </c>
      <c r="Q3940" s="20" t="str">
        <f>IFERROR(__xludf.DUMMYFUNCTION("""COMPUTED_VALUE"""),"")</f>
        <v/>
      </c>
      <c r="R3940" s="21" t="str">
        <f>IFERROR(__xludf.DUMMYFUNCTION("""COMPUTED_VALUE"""),"https://drive.google.com/file/d/1yxbUBmQLLVY8ZkZC4n1AbDNkHQSNF1L3/view?usp=drivesdk")</f>
        <v>https://drive.google.com/file/d/1yxbUBmQLLVY8ZkZC4n1AbDNkHQSNF1L3/view?usp=drivesdk</v>
      </c>
    </row>
    <row r="3941">
      <c r="A3941" s="15">
        <f>IFERROR(__xludf.DUMMYFUNCTION("""COMPUTED_VALUE"""),45114.0)</f>
        <v>45114</v>
      </c>
      <c r="B3941" s="16" t="str">
        <f>IFERROR(__xludf.DUMMYFUNCTION("""COMPUTED_VALUE"""),"José Miguel Bonilla")</f>
        <v>José Miguel Bonilla</v>
      </c>
      <c r="C3941" s="15" t="str">
        <f>IFERROR(__xludf.DUMMYFUNCTION("""COMPUTED_VALUE"""),"BUCARAMANGA")</f>
        <v>BUCARAMANGA</v>
      </c>
      <c r="D3941" s="15" t="str">
        <f>IFERROR(__xludf.DUMMYFUNCTION("""COMPUTED_VALUE"""),"BOGOTÁ")</f>
        <v>BOGOTÁ</v>
      </c>
      <c r="E3941" s="15" t="str">
        <f>IFERROR(__xludf.DUMMYFUNCTION("""COMPUTED_VALUE"""),"Evamazzita")</f>
        <v>Evamazzita</v>
      </c>
      <c r="F3941" s="17" t="str">
        <f>IFERROR(__xludf.DUMMYFUNCTION("""COMPUTED_VALUE"""),"Circunvalar 35#92-156 / Conjunto britania Torre 2 apto 1708 / Barrio el tejar")</f>
        <v>Circunvalar 35#92-156 / Conjunto britania Torre 2 apto 1708 / Barrio el tejar</v>
      </c>
      <c r="G3941" s="15" t="str">
        <f>IFERROR(__xludf.DUMMYFUNCTION("""COMPUTED_VALUE"""),"MARCELA JAIMES")</f>
        <v>MARCELA JAIMES</v>
      </c>
      <c r="H3941" s="16">
        <f>IFERROR(__xludf.DUMMYFUNCTION("""COMPUTED_VALUE"""),12432.0)</f>
        <v>12432</v>
      </c>
      <c r="I3941" s="18">
        <f>IFERROR(__xludf.DUMMYFUNCTION("""COMPUTED_VALUE"""),1.0)</f>
        <v>1</v>
      </c>
      <c r="J3941" s="18">
        <f>IFERROR(__xludf.DUMMYFUNCTION("""COMPUTED_VALUE"""),1.0)</f>
        <v>1</v>
      </c>
      <c r="K3941" s="18">
        <f>IFERROR(__xludf.DUMMYFUNCTION("""COMPUTED_VALUE"""),1.0)</f>
        <v>1</v>
      </c>
      <c r="L3941" s="17">
        <f>IFERROR(__xludf.DUMMYFUNCTION("""COMPUTED_VALUE"""),3.164222887E9)</f>
        <v>3164222887</v>
      </c>
      <c r="M3941" s="17" t="str">
        <f>IFERROR(__xludf.DUMMYFUNCTION("""COMPUTED_VALUE"""),"#REF!")</f>
        <v>#REF!</v>
      </c>
      <c r="N3941" s="17"/>
      <c r="O3941" s="17"/>
      <c r="P3941" s="17" t="b">
        <f>IFERROR(__xludf.DUMMYFUNCTION("""COMPUTED_VALUE"""),FALSE)</f>
        <v>0</v>
      </c>
      <c r="Q3941" s="20" t="str">
        <f>IFERROR(__xludf.DUMMYFUNCTION("""COMPUTED_VALUE"""),"")</f>
        <v/>
      </c>
      <c r="R3941" s="21" t="str">
        <f>IFERROR(__xludf.DUMMYFUNCTION("""COMPUTED_VALUE"""),"https://drive.google.com/file/d/1XgBEWeQYVZgLpBA6xgFCmsX3qbU2cq2a/view?usp=drivesdk")</f>
        <v>https://drive.google.com/file/d/1XgBEWeQYVZgLpBA6xgFCmsX3qbU2cq2a/view?usp=drivesdk</v>
      </c>
    </row>
    <row r="3942">
      <c r="A3942" s="15">
        <f>IFERROR(__xludf.DUMMYFUNCTION("""COMPUTED_VALUE"""),45114.0)</f>
        <v>45114</v>
      </c>
      <c r="B3942" s="16" t="str">
        <f>IFERROR(__xludf.DUMMYFUNCTION("""COMPUTED_VALUE"""),"José Miguel Bonilla")</f>
        <v>José Miguel Bonilla</v>
      </c>
      <c r="C3942" s="15" t="str">
        <f>IFERROR(__xludf.DUMMYFUNCTION("""COMPUTED_VALUE"""),"CIRCASIA")</f>
        <v>CIRCASIA</v>
      </c>
      <c r="D3942" s="15" t="str">
        <f>IFERROR(__xludf.DUMMYFUNCTION("""COMPUTED_VALUE"""),"BOGOTÁ")</f>
        <v>BOGOTÁ</v>
      </c>
      <c r="E3942" s="15" t="str">
        <f>IFERROR(__xludf.DUMMYFUNCTION("""COMPUTED_VALUE"""),"Loomifoods")</f>
        <v>Loomifoods</v>
      </c>
      <c r="F3942" s="17" t="str">
        <f>IFERROR(__xludf.DUMMYFUNCTION("""COMPUTED_VALUE"""),"Calle 6 no. 18 -22 / Casa 2 / Urbanización Cantabria")</f>
        <v>Calle 6 no. 18 -22 / Casa 2 / Urbanización Cantabria</v>
      </c>
      <c r="G3942" s="15" t="str">
        <f>IFERROR(__xludf.DUMMYFUNCTION("""COMPUTED_VALUE"""),"Hilary Morales")</f>
        <v>Hilary Morales</v>
      </c>
      <c r="H3942" s="16">
        <f>IFERROR(__xludf.DUMMYFUNCTION("""COMPUTED_VALUE"""),12335.0)</f>
        <v>12335</v>
      </c>
      <c r="I3942" s="18">
        <f>IFERROR(__xludf.DUMMYFUNCTION("""COMPUTED_VALUE"""),10.0)</f>
        <v>10</v>
      </c>
      <c r="J3942" s="18">
        <f>IFERROR(__xludf.DUMMYFUNCTION("""COMPUTED_VALUE"""),19.0)</f>
        <v>19</v>
      </c>
      <c r="K3942" s="18">
        <f>IFERROR(__xludf.DUMMYFUNCTION("""COMPUTED_VALUE"""),16.0)</f>
        <v>16</v>
      </c>
      <c r="L3942" s="17">
        <f>IFERROR(__xludf.DUMMYFUNCTION("""COMPUTED_VALUE"""),3.167864881E9)</f>
        <v>3167864881</v>
      </c>
      <c r="M3942" s="17" t="str">
        <f>IFERROR(__xludf.DUMMYFUNCTION("""COMPUTED_VALUE"""),"#REF!")</f>
        <v>#REF!</v>
      </c>
      <c r="N3942" s="17"/>
      <c r="O3942" s="17"/>
      <c r="P3942" s="17" t="b">
        <f>IFERROR(__xludf.DUMMYFUNCTION("""COMPUTED_VALUE"""),FALSE)</f>
        <v>0</v>
      </c>
      <c r="Q3942" s="20" t="str">
        <f>IFERROR(__xludf.DUMMYFUNCTION("""COMPUTED_VALUE"""),"")</f>
        <v/>
      </c>
      <c r="R3942" s="22" t="str">
        <f>IFERROR(__xludf.DUMMYFUNCTION("""COMPUTED_VALUE"""),"")</f>
        <v/>
      </c>
    </row>
    <row r="3943">
      <c r="A3943" s="15">
        <f>IFERROR(__xludf.DUMMYFUNCTION("""COMPUTED_VALUE"""),45114.0)</f>
        <v>45114</v>
      </c>
      <c r="B3943" s="16" t="str">
        <f>IFERROR(__xludf.DUMMYFUNCTION("""COMPUTED_VALUE"""),"José Miguel Bonilla")</f>
        <v>José Miguel Bonilla</v>
      </c>
      <c r="C3943" s="15" t="str">
        <f>IFERROR(__xludf.DUMMYFUNCTION("""COMPUTED_VALUE"""),"CÚCUTA")</f>
        <v>CÚCUTA</v>
      </c>
      <c r="D3943" s="15" t="str">
        <f>IFERROR(__xludf.DUMMYFUNCTION("""COMPUTED_VALUE"""),"MEDELLÍN")</f>
        <v>MEDELLÍN</v>
      </c>
      <c r="E3943" s="15" t="str">
        <f>IFERROR(__xludf.DUMMYFUNCTION("""COMPUTED_VALUE"""),"La Bodeguita")</f>
        <v>La Bodeguita</v>
      </c>
      <c r="F3943" s="17" t="str">
        <f>IFERROR(__xludf.DUMMYFUNCTION("""COMPUTED_VALUE"""),"Av 3e no 6cn-12 ceiba dos  / Ceiba dos local comercial / 1-02 local")</f>
        <v>Av 3e no 6cn-12 ceiba dos  / Ceiba dos local comercial / 1-02 local</v>
      </c>
      <c r="G3943" s="15" t="str">
        <f>IFERROR(__xludf.DUMMYFUNCTION("""COMPUTED_VALUE"""),"La bodeguita marjet fit")</f>
        <v>La bodeguita marjet fit</v>
      </c>
      <c r="H3943" s="16">
        <f>IFERROR(__xludf.DUMMYFUNCTION("""COMPUTED_VALUE"""),12406.0)</f>
        <v>12406</v>
      </c>
      <c r="I3943" s="18">
        <f>IFERROR(__xludf.DUMMYFUNCTION("""COMPUTED_VALUE"""),20.0)</f>
        <v>20</v>
      </c>
      <c r="J3943" s="18">
        <f>IFERROR(__xludf.DUMMYFUNCTION("""COMPUTED_VALUE"""),37.0)</f>
        <v>37</v>
      </c>
      <c r="K3943" s="18">
        <f>IFERROR(__xludf.DUMMYFUNCTION("""COMPUTED_VALUE"""),50.0)</f>
        <v>50</v>
      </c>
      <c r="L3943" s="17">
        <f>IFERROR(__xludf.DUMMYFUNCTION("""COMPUTED_VALUE"""),3.00384312E9)</f>
        <v>3003843120</v>
      </c>
      <c r="M3943" s="17" t="str">
        <f>IFERROR(__xludf.DUMMYFUNCTION("""COMPUTED_VALUE"""),"#REF!")</f>
        <v>#REF!</v>
      </c>
      <c r="N3943" s="17"/>
      <c r="O3943" s="17"/>
      <c r="P3943" s="17" t="b">
        <f>IFERROR(__xludf.DUMMYFUNCTION("""COMPUTED_VALUE"""),FALSE)</f>
        <v>0</v>
      </c>
      <c r="Q3943" s="20" t="str">
        <f>IFERROR(__xludf.DUMMYFUNCTION("""COMPUTED_VALUE"""),"")</f>
        <v/>
      </c>
      <c r="R3943" s="21" t="str">
        <f>IFERROR(__xludf.DUMMYFUNCTION("""COMPUTED_VALUE"""),"https://drive.google.com/file/d/1QkEq-ZqgUoEaEPylqBXGOxDp9x9gIt9i/view?usp=drivesdk")</f>
        <v>https://drive.google.com/file/d/1QkEq-ZqgUoEaEPylqBXGOxDp9x9gIt9i/view?usp=drivesdk</v>
      </c>
    </row>
    <row r="3944">
      <c r="A3944" s="15">
        <f>IFERROR(__xludf.DUMMYFUNCTION("""COMPUTED_VALUE"""),45114.0)</f>
        <v>45114</v>
      </c>
      <c r="B3944" s="16" t="str">
        <f>IFERROR(__xludf.DUMMYFUNCTION("""COMPUTED_VALUE"""),"José Miguel Bonilla")</f>
        <v>José Miguel Bonilla</v>
      </c>
      <c r="C3944" s="15" t="str">
        <f>IFERROR(__xludf.DUMMYFUNCTION("""COMPUTED_VALUE"""),"FLORIDABLANCA")</f>
        <v>FLORIDABLANCA</v>
      </c>
      <c r="D3944" s="15" t="str">
        <f>IFERROR(__xludf.DUMMYFUNCTION("""COMPUTED_VALUE"""),"BOGOTÁ")</f>
        <v>BOGOTÁ</v>
      </c>
      <c r="E3944" s="15" t="str">
        <f>IFERROR(__xludf.DUMMYFUNCTION("""COMPUTED_VALUE"""),"Evamazzita")</f>
        <v>Evamazzita</v>
      </c>
      <c r="F3944" s="17" t="str">
        <f>IFERROR(__xludf.DUMMYFUNCTION("""COMPUTED_VALUE"""),"Transversal 198 #16-200 / Casa 54 / Pinar de Versalles/ Versalles")</f>
        <v>Transversal 198 #16-200 / Casa 54 / Pinar de Versalles/ Versalles</v>
      </c>
      <c r="G3944" s="15" t="str">
        <f>IFERROR(__xludf.DUMMYFUNCTION("""COMPUTED_VALUE"""),"IVETTE LORAINE CHAPARRO JAIMES")</f>
        <v>IVETTE LORAINE CHAPARRO JAIMES</v>
      </c>
      <c r="H3944" s="16">
        <f>IFERROR(__xludf.DUMMYFUNCTION("""COMPUTED_VALUE"""),12420.0)</f>
        <v>12420</v>
      </c>
      <c r="I3944" s="18">
        <f>IFERROR(__xludf.DUMMYFUNCTION("""COMPUTED_VALUE"""),1.0)</f>
        <v>1</v>
      </c>
      <c r="J3944" s="18">
        <f>IFERROR(__xludf.DUMMYFUNCTION("""COMPUTED_VALUE"""),1.0)</f>
        <v>1</v>
      </c>
      <c r="K3944" s="18">
        <f>IFERROR(__xludf.DUMMYFUNCTION("""COMPUTED_VALUE"""),1.0)</f>
        <v>1</v>
      </c>
      <c r="L3944" s="17">
        <f>IFERROR(__xludf.DUMMYFUNCTION("""COMPUTED_VALUE"""),3.214657169E9)</f>
        <v>3214657169</v>
      </c>
      <c r="M3944" s="17" t="str">
        <f>IFERROR(__xludf.DUMMYFUNCTION("""COMPUTED_VALUE"""),"#REF!")</f>
        <v>#REF!</v>
      </c>
      <c r="N3944" s="17"/>
      <c r="O3944" s="17"/>
      <c r="P3944" s="17" t="b">
        <f>IFERROR(__xludf.DUMMYFUNCTION("""COMPUTED_VALUE"""),FALSE)</f>
        <v>0</v>
      </c>
      <c r="Q3944" s="20" t="str">
        <f>IFERROR(__xludf.DUMMYFUNCTION("""COMPUTED_VALUE"""),"")</f>
        <v/>
      </c>
      <c r="R3944" s="21" t="str">
        <f>IFERROR(__xludf.DUMMYFUNCTION("""COMPUTED_VALUE"""),"https://drive.google.com/file/d/1I3v529MMiT_KQYMpsWMakZSMKSZI0_Vh/view?usp=drivesdk")</f>
        <v>https://drive.google.com/file/d/1I3v529MMiT_KQYMpsWMakZSMKSZI0_Vh/view?usp=drivesdk</v>
      </c>
    </row>
    <row r="3945">
      <c r="A3945" s="17" t="str">
        <f>IFERROR(__xludf.DUMMYFUNCTION("""COMPUTED_VALUE"""),"")</f>
        <v/>
      </c>
      <c r="B3945" s="17" t="str">
        <f>IFERROR(__xludf.DUMMYFUNCTION("""COMPUTED_VALUE"""),"")</f>
        <v/>
      </c>
      <c r="C3945" s="17" t="str">
        <f>IFERROR(__xludf.DUMMYFUNCTION("""COMPUTED_VALUE"""),"")</f>
        <v/>
      </c>
      <c r="D3945" s="17" t="str">
        <f>IFERROR(__xludf.DUMMYFUNCTION("""COMPUTED_VALUE"""),"")</f>
        <v/>
      </c>
      <c r="E3945" s="17" t="str">
        <f>IFERROR(__xludf.DUMMYFUNCTION("""COMPUTED_VALUE"""),"")</f>
        <v/>
      </c>
      <c r="F3945" s="17" t="str">
        <f>IFERROR(__xludf.DUMMYFUNCTION("""COMPUTED_VALUE"""),"")</f>
        <v/>
      </c>
      <c r="G3945" s="17" t="str">
        <f>IFERROR(__xludf.DUMMYFUNCTION("""COMPUTED_VALUE"""),"")</f>
        <v/>
      </c>
      <c r="H3945" s="17" t="str">
        <f>IFERROR(__xludf.DUMMYFUNCTION("""COMPUTED_VALUE"""),"")</f>
        <v/>
      </c>
      <c r="I3945" s="17" t="str">
        <f>IFERROR(__xludf.DUMMYFUNCTION("""COMPUTED_VALUE"""),"")</f>
        <v/>
      </c>
      <c r="J3945" s="17" t="str">
        <f>IFERROR(__xludf.DUMMYFUNCTION("""COMPUTED_VALUE"""),"")</f>
        <v/>
      </c>
      <c r="K3945" s="17" t="str">
        <f>IFERROR(__xludf.DUMMYFUNCTION("""COMPUTED_VALUE"""),"")</f>
        <v/>
      </c>
      <c r="L3945" s="17" t="str">
        <f>IFERROR(__xludf.DUMMYFUNCTION("""COMPUTED_VALUE"""),"")</f>
        <v/>
      </c>
      <c r="M3945" s="17" t="str">
        <f>IFERROR(__xludf.DUMMYFUNCTION("""COMPUTED_VALUE"""),"")</f>
        <v/>
      </c>
      <c r="N3945" s="17" t="str">
        <f>IFERROR(__xludf.DUMMYFUNCTION("""COMPUTED_VALUE"""),"")</f>
        <v/>
      </c>
      <c r="O3945" s="17" t="str">
        <f>IFERROR(__xludf.DUMMYFUNCTION("""COMPUTED_VALUE"""),"")</f>
        <v/>
      </c>
      <c r="P3945" s="17" t="str">
        <f>IFERROR(__xludf.DUMMYFUNCTION("""COMPUTED_VALUE"""),"")</f>
        <v/>
      </c>
      <c r="Q3945" s="17" t="str">
        <f>IFERROR(__xludf.DUMMYFUNCTION("""COMPUTED_VALUE"""),"")</f>
        <v/>
      </c>
      <c r="R3945" s="17" t="str">
        <f>IFERROR(__xludf.DUMMYFUNCTION("""COMPUTED_VALUE"""),"")</f>
        <v/>
      </c>
    </row>
    <row r="3946">
      <c r="A3946" s="15">
        <f>IFERROR(__xludf.DUMMYFUNCTION("""COMPUTED_VALUE"""),45114.0)</f>
        <v>45114</v>
      </c>
      <c r="B3946" s="16" t="str">
        <f>IFERROR(__xludf.DUMMYFUNCTION("""COMPUTED_VALUE"""),"Lina Gaona")</f>
        <v>Lina Gaona</v>
      </c>
      <c r="C3946" s="15" t="str">
        <f>IFERROR(__xludf.DUMMYFUNCTION("""COMPUTED_VALUE"""),"CÚCUTA")</f>
        <v>CÚCUTA</v>
      </c>
      <c r="D3946" s="15" t="str">
        <f>IFERROR(__xludf.DUMMYFUNCTION("""COMPUTED_VALUE"""),"BOGOTÁ")</f>
        <v>BOGOTÁ</v>
      </c>
      <c r="E3946" s="15" t="str">
        <f>IFERROR(__xludf.DUMMYFUNCTION("""COMPUTED_VALUE"""),"Evamazzita")</f>
        <v>Evamazzita</v>
      </c>
      <c r="F3946" s="17" t="str">
        <f>IFERROR(__xludf.DUMMYFUNCTION("""COMPUTED_VALUE"""),"Av 2E # 15A -17 Caobos / Av 2E # 15A -17 Caobos / Av 2E # 15A -17 Caobos")</f>
        <v>Av 2E # 15A -17 Caobos / Av 2E # 15A -17 Caobos / Av 2E # 15A -17 Caobos</v>
      </c>
      <c r="G3946" s="15" t="str">
        <f>IFERROR(__xludf.DUMMYFUNCTION("""COMPUTED_VALUE"""),"DACCY KARINA LOPEZ MORENO")</f>
        <v>DACCY KARINA LOPEZ MORENO</v>
      </c>
      <c r="H3946" s="16">
        <f>IFERROR(__xludf.DUMMYFUNCTION("""COMPUTED_VALUE"""),12381.0)</f>
        <v>12381</v>
      </c>
      <c r="I3946" s="18">
        <f>IFERROR(__xludf.DUMMYFUNCTION("""COMPUTED_VALUE"""),10.0)</f>
        <v>10</v>
      </c>
      <c r="J3946" s="18">
        <f>IFERROR(__xludf.DUMMYFUNCTION("""COMPUTED_VALUE"""),34.0)</f>
        <v>34</v>
      </c>
      <c r="K3946" s="18">
        <f>IFERROR(__xludf.DUMMYFUNCTION("""COMPUTED_VALUE"""),19.0)</f>
        <v>19</v>
      </c>
      <c r="L3946" s="17">
        <f>IFERROR(__xludf.DUMMYFUNCTION("""COMPUTED_VALUE"""),3.208615379E9)</f>
        <v>3208615379</v>
      </c>
      <c r="M3946" s="17" t="str">
        <f>IFERROR(__xludf.DUMMYFUNCTION("""COMPUTED_VALUE"""),"#REF!")</f>
        <v>#REF!</v>
      </c>
      <c r="N3946" s="17"/>
      <c r="O3946" s="17"/>
      <c r="P3946" s="17" t="b">
        <f>IFERROR(__xludf.DUMMYFUNCTION("""COMPUTED_VALUE"""),FALSE)</f>
        <v>0</v>
      </c>
      <c r="Q3946" s="20" t="str">
        <f>IFERROR(__xludf.DUMMYFUNCTION("""COMPUTED_VALUE"""),"")</f>
        <v/>
      </c>
      <c r="R3946" s="22" t="str">
        <f>IFERROR(__xludf.DUMMYFUNCTION("""COMPUTED_VALUE"""),"")</f>
        <v/>
      </c>
    </row>
    <row r="3947">
      <c r="A3947" s="15">
        <f>IFERROR(__xludf.DUMMYFUNCTION("""COMPUTED_VALUE"""),45114.0)</f>
        <v>45114</v>
      </c>
      <c r="B3947" s="16" t="str">
        <f>IFERROR(__xludf.DUMMYFUNCTION("""COMPUTED_VALUE"""),"Lina Gaona")</f>
        <v>Lina Gaona</v>
      </c>
      <c r="C3947" s="15" t="str">
        <f>IFERROR(__xludf.DUMMYFUNCTION("""COMPUTED_VALUE"""),"CÚCUTA")</f>
        <v>CÚCUTA</v>
      </c>
      <c r="D3947" s="15" t="str">
        <f>IFERROR(__xludf.DUMMYFUNCTION("""COMPUTED_VALUE"""),"BOGOTÁ")</f>
        <v>BOGOTÁ</v>
      </c>
      <c r="E3947" s="15" t="str">
        <f>IFERROR(__xludf.DUMMYFUNCTION("""COMPUTED_VALUE"""),"Evamazzita")</f>
        <v>Evamazzita</v>
      </c>
      <c r="F3947" s="17" t="str">
        <f>IFERROR(__xludf.DUMMYFUNCTION("""COMPUTED_VALUE"""),"CALLE 14 No. 13AN - 85  / APTO 202 / BARRIO OCHO DE DICIEMBRE - AV LAS AMERICAS")</f>
        <v>CALLE 14 No. 13AN - 85  / APTO 202 / BARRIO OCHO DE DICIEMBRE - AV LAS AMERICAS</v>
      </c>
      <c r="G3947" s="15" t="str">
        <f>IFERROR(__xludf.DUMMYFUNCTION("""COMPUTED_VALUE"""),"LEIDY JOHANNA RODRIGUEZ CARREÑO")</f>
        <v>LEIDY JOHANNA RODRIGUEZ CARREÑO</v>
      </c>
      <c r="H3947" s="16">
        <f>IFERROR(__xludf.DUMMYFUNCTION("""COMPUTED_VALUE"""),12382.0)</f>
        <v>12382</v>
      </c>
      <c r="I3947" s="18">
        <f>IFERROR(__xludf.DUMMYFUNCTION("""COMPUTED_VALUE"""),1.0)</f>
        <v>1</v>
      </c>
      <c r="J3947" s="18">
        <f>IFERROR(__xludf.DUMMYFUNCTION("""COMPUTED_VALUE"""),1.0)</f>
        <v>1</v>
      </c>
      <c r="K3947" s="18">
        <f>IFERROR(__xludf.DUMMYFUNCTION("""COMPUTED_VALUE"""),1.0)</f>
        <v>1</v>
      </c>
      <c r="L3947" s="17">
        <f>IFERROR(__xludf.DUMMYFUNCTION("""COMPUTED_VALUE"""),3.125904031E9)</f>
        <v>3125904031</v>
      </c>
      <c r="M3947" s="17" t="str">
        <f>IFERROR(__xludf.DUMMYFUNCTION("""COMPUTED_VALUE"""),"#REF!")</f>
        <v>#REF!</v>
      </c>
      <c r="N3947" s="17"/>
      <c r="O3947" s="17"/>
      <c r="P3947" s="17" t="b">
        <f>IFERROR(__xludf.DUMMYFUNCTION("""COMPUTED_VALUE"""),FALSE)</f>
        <v>0</v>
      </c>
      <c r="Q3947" s="20" t="str">
        <f>IFERROR(__xludf.DUMMYFUNCTION("""COMPUTED_VALUE"""),"")</f>
        <v/>
      </c>
      <c r="R3947" s="21" t="str">
        <f>IFERROR(__xludf.DUMMYFUNCTION("""COMPUTED_VALUE"""),"https://drive.google.com/file/d/1D3jMN4nV7xXSP-ykDY_PirbwWykHPClt/view?usp=drivesdk")</f>
        <v>https://drive.google.com/file/d/1D3jMN4nV7xXSP-ykDY_PirbwWykHPClt/view?usp=drivesdk</v>
      </c>
    </row>
    <row r="3948">
      <c r="A3948" s="15">
        <f>IFERROR(__xludf.DUMMYFUNCTION("""COMPUTED_VALUE"""),45114.0)</f>
        <v>45114</v>
      </c>
      <c r="B3948" s="16" t="str">
        <f>IFERROR(__xludf.DUMMYFUNCTION("""COMPUTED_VALUE"""),"Lina Gaona")</f>
        <v>Lina Gaona</v>
      </c>
      <c r="C3948" s="15" t="str">
        <f>IFERROR(__xludf.DUMMYFUNCTION("""COMPUTED_VALUE"""),"CÚCUTA")</f>
        <v>CÚCUTA</v>
      </c>
      <c r="D3948" s="15" t="str">
        <f>IFERROR(__xludf.DUMMYFUNCTION("""COMPUTED_VALUE"""),"BOGOTÁ")</f>
        <v>BOGOTÁ</v>
      </c>
      <c r="E3948" s="15" t="str">
        <f>IFERROR(__xludf.DUMMYFUNCTION("""COMPUTED_VALUE"""),"Evamazzita")</f>
        <v>Evamazzita</v>
      </c>
      <c r="F3948" s="17" t="str">
        <f>IFERROR(__xludf.DUMMYFUNCTION("""COMPUTED_VALUE"""),"Manzana 19 casa 4 videlso los patios / Manzana 19 casa 4 videlso los patios / Manzana 19 casa 4 videlso los patios")</f>
        <v>Manzana 19 casa 4 videlso los patios / Manzana 19 casa 4 videlso los patios / Manzana 19 casa 4 videlso los patios</v>
      </c>
      <c r="G3948" s="15" t="str">
        <f>IFERROR(__xludf.DUMMYFUNCTION("""COMPUTED_VALUE"""),"ANA YURLEY DIAZ AMAYA")</f>
        <v>ANA YURLEY DIAZ AMAYA</v>
      </c>
      <c r="H3948" s="16">
        <f>IFERROR(__xludf.DUMMYFUNCTION("""COMPUTED_VALUE"""),12383.0)</f>
        <v>12383</v>
      </c>
      <c r="I3948" s="18">
        <f>IFERROR(__xludf.DUMMYFUNCTION("""COMPUTED_VALUE"""),1.0)</f>
        <v>1</v>
      </c>
      <c r="J3948" s="18">
        <f>IFERROR(__xludf.DUMMYFUNCTION("""COMPUTED_VALUE"""),1.0)</f>
        <v>1</v>
      </c>
      <c r="K3948" s="18">
        <f>IFERROR(__xludf.DUMMYFUNCTION("""COMPUTED_VALUE"""),1.0)</f>
        <v>1</v>
      </c>
      <c r="L3948" s="17">
        <f>IFERROR(__xludf.DUMMYFUNCTION("""COMPUTED_VALUE"""),3.114817637E9)</f>
        <v>3114817637</v>
      </c>
      <c r="M3948" s="17" t="str">
        <f>IFERROR(__xludf.DUMMYFUNCTION("""COMPUTED_VALUE"""),"#REF!")</f>
        <v>#REF!</v>
      </c>
      <c r="N3948" s="17"/>
      <c r="O3948" s="17"/>
      <c r="P3948" s="17" t="b">
        <f>IFERROR(__xludf.DUMMYFUNCTION("""COMPUTED_VALUE"""),FALSE)</f>
        <v>0</v>
      </c>
      <c r="Q3948" s="20" t="str">
        <f>IFERROR(__xludf.DUMMYFUNCTION("""COMPUTED_VALUE"""),"")</f>
        <v/>
      </c>
      <c r="R3948" s="21" t="str">
        <f>IFERROR(__xludf.DUMMYFUNCTION("""COMPUTED_VALUE"""),"https://drive.google.com/file/d/1mNrzn26ZRdeWV-6GqTCwWqSdhGN_btxF/view?usp=drivesdk")</f>
        <v>https://drive.google.com/file/d/1mNrzn26ZRdeWV-6GqTCwWqSdhGN_btxF/view?usp=drivesdk</v>
      </c>
    </row>
    <row r="3949">
      <c r="A3949" s="15">
        <f>IFERROR(__xludf.DUMMYFUNCTION("""COMPUTED_VALUE"""),45114.0)</f>
        <v>45114</v>
      </c>
      <c r="B3949" s="16" t="str">
        <f>IFERROR(__xludf.DUMMYFUNCTION("""COMPUTED_VALUE"""),"Lina Gaona")</f>
        <v>Lina Gaona</v>
      </c>
      <c r="C3949" s="15" t="str">
        <f>IFERROR(__xludf.DUMMYFUNCTION("""COMPUTED_VALUE"""),"CÚCUTA")</f>
        <v>CÚCUTA</v>
      </c>
      <c r="D3949" s="15" t="str">
        <f>IFERROR(__xludf.DUMMYFUNCTION("""COMPUTED_VALUE"""),"BOGOTÁ")</f>
        <v>BOGOTÁ</v>
      </c>
      <c r="E3949" s="15" t="str">
        <f>IFERROR(__xludf.DUMMYFUNCTION("""COMPUTED_VALUE"""),"Pan de Waffle")</f>
        <v>Pan de Waffle</v>
      </c>
      <c r="F3949" s="17" t="str">
        <f>IFERROR(__xludf.DUMMYFUNCTION("""COMPUTED_VALUE"""),"Antigua Via Bocono, Conjunto El Cuji Calle 3 Casa J/7 / Antigua Via Bocono, Conjunto El Cuji Calle 3 Casa J/7 / Antigua Via Bocono, Conjunto El Cuji Calle 3 Casa J/7")</f>
        <v>Antigua Via Bocono, Conjunto El Cuji Calle 3 Casa J/7 / Antigua Via Bocono, Conjunto El Cuji Calle 3 Casa J/7 / Antigua Via Bocono, Conjunto El Cuji Calle 3 Casa J/7</v>
      </c>
      <c r="G3949" s="15" t="str">
        <f>IFERROR(__xludf.DUMMYFUNCTION("""COMPUTED_VALUE"""),"DULCE Y SANO")</f>
        <v>DULCE Y SANO</v>
      </c>
      <c r="H3949" s="16">
        <f>IFERROR(__xludf.DUMMYFUNCTION("""COMPUTED_VALUE"""),12390.0)</f>
        <v>12390</v>
      </c>
      <c r="I3949" s="18">
        <f>IFERROR(__xludf.DUMMYFUNCTION("""COMPUTED_VALUE"""),40.0)</f>
        <v>40</v>
      </c>
      <c r="J3949" s="18">
        <f>IFERROR(__xludf.DUMMYFUNCTION("""COMPUTED_VALUE"""),40.0)</f>
        <v>40</v>
      </c>
      <c r="K3949" s="18">
        <f>IFERROR(__xludf.DUMMYFUNCTION("""COMPUTED_VALUE"""),30.0)</f>
        <v>30</v>
      </c>
      <c r="L3949" s="17">
        <f>IFERROR(__xludf.DUMMYFUNCTION("""COMPUTED_VALUE"""),3.102060918E9)</f>
        <v>3102060918</v>
      </c>
      <c r="M3949" s="17" t="str">
        <f>IFERROR(__xludf.DUMMYFUNCTION("""COMPUTED_VALUE"""),"#REF!")</f>
        <v>#REF!</v>
      </c>
      <c r="N3949" s="17"/>
      <c r="O3949" s="17"/>
      <c r="P3949" s="17" t="b">
        <f>IFERROR(__xludf.DUMMYFUNCTION("""COMPUTED_VALUE"""),FALSE)</f>
        <v>0</v>
      </c>
      <c r="Q3949" s="20" t="str">
        <f>IFERROR(__xludf.DUMMYFUNCTION("""COMPUTED_VALUE"""),"")</f>
        <v/>
      </c>
      <c r="R3949" s="21" t="str">
        <f>IFERROR(__xludf.DUMMYFUNCTION("""COMPUTED_VALUE"""),"https://drive.google.com/file/d/1wEBFQ5jib6EpH9BHKXBh6IbiYVJJy3QP/view?usp=drivesdk")</f>
        <v>https://drive.google.com/file/d/1wEBFQ5jib6EpH9BHKXBh6IbiYVJJy3QP/view?usp=drivesdk</v>
      </c>
    </row>
    <row r="3950">
      <c r="A3950" s="15">
        <f>IFERROR(__xludf.DUMMYFUNCTION("""COMPUTED_VALUE"""),45114.0)</f>
        <v>45114</v>
      </c>
      <c r="B3950" s="16" t="str">
        <f>IFERROR(__xludf.DUMMYFUNCTION("""COMPUTED_VALUE"""),"Lina Gaona")</f>
        <v>Lina Gaona</v>
      </c>
      <c r="C3950" s="15" t="str">
        <f>IFERROR(__xludf.DUMMYFUNCTION("""COMPUTED_VALUE"""),"CÚCUTA")</f>
        <v>CÚCUTA</v>
      </c>
      <c r="D3950" s="15" t="str">
        <f>IFERROR(__xludf.DUMMYFUNCTION("""COMPUTED_VALUE"""),"BOGOTÁ")</f>
        <v>BOGOTÁ</v>
      </c>
      <c r="E3950" s="15" t="str">
        <f>IFERROR(__xludf.DUMMYFUNCTION("""COMPUTED_VALUE"""),"Viiva Fermentados")</f>
        <v>Viiva Fermentados</v>
      </c>
      <c r="F3950" s="17" t="str">
        <f>IFERROR(__xludf.DUMMYFUNCTION("""COMPUTED_VALUE"""),"Av gran colombia 5e-39 /  local 2  / Balanzi Market")</f>
        <v>Av gran colombia 5e-39 /  local 2  / Balanzi Market</v>
      </c>
      <c r="G3950" s="15" t="str">
        <f>IFERROR(__xludf.DUMMYFUNCTION("""COMPUTED_VALUE"""),"Balanzi Market - Angie Fernanda Portilla")</f>
        <v>Balanzi Market - Angie Fernanda Portilla</v>
      </c>
      <c r="H3950" s="16">
        <f>IFERROR(__xludf.DUMMYFUNCTION("""COMPUTED_VALUE"""),12222.0)</f>
        <v>12222</v>
      </c>
      <c r="I3950" s="18">
        <f>IFERROR(__xludf.DUMMYFUNCTION("""COMPUTED_VALUE"""),17.0)</f>
        <v>17</v>
      </c>
      <c r="J3950" s="18">
        <f>IFERROR(__xludf.DUMMYFUNCTION("""COMPUTED_VALUE"""),36.0)</f>
        <v>36</v>
      </c>
      <c r="K3950" s="18">
        <f>IFERROR(__xludf.DUMMYFUNCTION("""COMPUTED_VALUE"""),24.0)</f>
        <v>24</v>
      </c>
      <c r="L3950" s="17">
        <f>IFERROR(__xludf.DUMMYFUNCTION("""COMPUTED_VALUE"""),3.008540473E9)</f>
        <v>3008540473</v>
      </c>
      <c r="M3950" s="17" t="str">
        <f>IFERROR(__xludf.DUMMYFUNCTION("""COMPUTED_VALUE"""),"#REF!")</f>
        <v>#REF!</v>
      </c>
      <c r="N3950" s="17"/>
      <c r="O3950" s="17"/>
      <c r="P3950" s="17" t="b">
        <f>IFERROR(__xludf.DUMMYFUNCTION("""COMPUTED_VALUE"""),TRUE)</f>
        <v>1</v>
      </c>
      <c r="Q3950" s="20">
        <f>IFERROR(__xludf.DUMMYFUNCTION("""COMPUTED_VALUE"""),45118.5505240625)</f>
        <v>45118.55052</v>
      </c>
      <c r="R3950" s="21" t="str">
        <f>IFERROR(__xludf.DUMMYFUNCTION("""COMPUTED_VALUE"""),"https://drive.google.com/file/d/1LkeKE01KrIp919TVAd_6BmlAmQwVt-Wl/view?usp=drivesdk")</f>
        <v>https://drive.google.com/file/d/1LkeKE01KrIp919TVAd_6BmlAmQwVt-Wl/view?usp=drivesdk</v>
      </c>
    </row>
    <row r="3951">
      <c r="A3951" s="15">
        <f>IFERROR(__xludf.DUMMYFUNCTION("""COMPUTED_VALUE"""),45114.0)</f>
        <v>45114</v>
      </c>
      <c r="B3951" s="16" t="str">
        <f>IFERROR(__xludf.DUMMYFUNCTION("""COMPUTED_VALUE"""),"Lina Gaona")</f>
        <v>Lina Gaona</v>
      </c>
      <c r="C3951" s="15" t="str">
        <f>IFERROR(__xludf.DUMMYFUNCTION("""COMPUTED_VALUE"""),"SANTA MARTA")</f>
        <v>SANTA MARTA</v>
      </c>
      <c r="D3951" s="15" t="str">
        <f>IFERROR(__xludf.DUMMYFUNCTION("""COMPUTED_VALUE"""),"MEDELLÍN")</f>
        <v>MEDELLÍN</v>
      </c>
      <c r="E3951" s="15" t="str">
        <f>IFERROR(__xludf.DUMMYFUNCTION("""COMPUTED_VALUE"""),"Magda")</f>
        <v>Magda</v>
      </c>
      <c r="F3951" s="17" t="str">
        <f>IFERROR(__xludf.DUMMYFUNCTION("""COMPUTED_VALUE"""),"calle 22#6-82  / ""centro comercial plazuela 22 local 27 "" / centro")</f>
        <v>calle 22#6-82  / "centro comercial plazuela 22 local 27 " / centro</v>
      </c>
      <c r="G3951" s="15" t="str">
        <f>IFERROR(__xludf.DUMMYFUNCTION("""COMPUTED_VALUE"""),"Shirley Monjarres")</f>
        <v>Shirley Monjarres</v>
      </c>
      <c r="H3951" s="16">
        <f>IFERROR(__xludf.DUMMYFUNCTION("""COMPUTED_VALUE"""),12388.0)</f>
        <v>12388</v>
      </c>
      <c r="I3951" s="18">
        <f>IFERROR(__xludf.DUMMYFUNCTION("""COMPUTED_VALUE"""),25.0)</f>
        <v>25</v>
      </c>
      <c r="J3951" s="18">
        <f>IFERROR(__xludf.DUMMYFUNCTION("""COMPUTED_VALUE"""),33.0)</f>
        <v>33</v>
      </c>
      <c r="K3951" s="18">
        <f>IFERROR(__xludf.DUMMYFUNCTION("""COMPUTED_VALUE"""),48.0)</f>
        <v>48</v>
      </c>
      <c r="L3951" s="17">
        <f>IFERROR(__xludf.DUMMYFUNCTION("""COMPUTED_VALUE"""),3.054269156E9)</f>
        <v>3054269156</v>
      </c>
      <c r="M3951" s="17" t="str">
        <f>IFERROR(__xludf.DUMMYFUNCTION("""COMPUTED_VALUE"""),"#REF!")</f>
        <v>#REF!</v>
      </c>
      <c r="N3951" s="17"/>
      <c r="O3951" s="17"/>
      <c r="P3951" s="17" t="b">
        <f>IFERROR(__xludf.DUMMYFUNCTION("""COMPUTED_VALUE"""),TRUE)</f>
        <v>1</v>
      </c>
      <c r="Q3951" s="20">
        <f>IFERROR(__xludf.DUMMYFUNCTION("""COMPUTED_VALUE"""),45118.55057475694)</f>
        <v>45118.55057</v>
      </c>
      <c r="R3951" s="22" t="str">
        <f>IFERROR(__xludf.DUMMYFUNCTION("""COMPUTED_VALUE"""),"")</f>
        <v/>
      </c>
    </row>
    <row r="3952">
      <c r="A3952" s="17" t="str">
        <f>IFERROR(__xludf.DUMMYFUNCTION("""COMPUTED_VALUE"""),"")</f>
        <v/>
      </c>
      <c r="B3952" s="17" t="str">
        <f>IFERROR(__xludf.DUMMYFUNCTION("""COMPUTED_VALUE"""),"")</f>
        <v/>
      </c>
      <c r="C3952" s="17" t="str">
        <f>IFERROR(__xludf.DUMMYFUNCTION("""COMPUTED_VALUE"""),"")</f>
        <v/>
      </c>
      <c r="D3952" s="17" t="str">
        <f>IFERROR(__xludf.DUMMYFUNCTION("""COMPUTED_VALUE"""),"")</f>
        <v/>
      </c>
      <c r="E3952" s="17" t="str">
        <f>IFERROR(__xludf.DUMMYFUNCTION("""COMPUTED_VALUE"""),"")</f>
        <v/>
      </c>
      <c r="F3952" s="17" t="str">
        <f>IFERROR(__xludf.DUMMYFUNCTION("""COMPUTED_VALUE"""),"")</f>
        <v/>
      </c>
      <c r="G3952" s="17" t="str">
        <f>IFERROR(__xludf.DUMMYFUNCTION("""COMPUTED_VALUE"""),"")</f>
        <v/>
      </c>
      <c r="H3952" s="17" t="str">
        <f>IFERROR(__xludf.DUMMYFUNCTION("""COMPUTED_VALUE"""),"")</f>
        <v/>
      </c>
      <c r="I3952" s="17" t="str">
        <f>IFERROR(__xludf.DUMMYFUNCTION("""COMPUTED_VALUE"""),"")</f>
        <v/>
      </c>
      <c r="J3952" s="17" t="str">
        <f>IFERROR(__xludf.DUMMYFUNCTION("""COMPUTED_VALUE"""),"")</f>
        <v/>
      </c>
      <c r="K3952" s="17" t="str">
        <f>IFERROR(__xludf.DUMMYFUNCTION("""COMPUTED_VALUE"""),"")</f>
        <v/>
      </c>
      <c r="L3952" s="17" t="str">
        <f>IFERROR(__xludf.DUMMYFUNCTION("""COMPUTED_VALUE"""),"")</f>
        <v/>
      </c>
      <c r="M3952" s="17" t="str">
        <f>IFERROR(__xludf.DUMMYFUNCTION("""COMPUTED_VALUE"""),"")</f>
        <v/>
      </c>
      <c r="N3952" s="17" t="str">
        <f>IFERROR(__xludf.DUMMYFUNCTION("""COMPUTED_VALUE"""),"")</f>
        <v/>
      </c>
      <c r="O3952" s="17" t="str">
        <f>IFERROR(__xludf.DUMMYFUNCTION("""COMPUTED_VALUE"""),"")</f>
        <v/>
      </c>
      <c r="P3952" s="17" t="str">
        <f>IFERROR(__xludf.DUMMYFUNCTION("""COMPUTED_VALUE"""),"")</f>
        <v/>
      </c>
      <c r="Q3952" s="17" t="str">
        <f>IFERROR(__xludf.DUMMYFUNCTION("""COMPUTED_VALUE"""),"")</f>
        <v/>
      </c>
      <c r="R3952" s="17" t="str">
        <f>IFERROR(__xludf.DUMMYFUNCTION("""COMPUTED_VALUE"""),"")</f>
        <v/>
      </c>
    </row>
    <row r="3953">
      <c r="A3953" s="15">
        <f>IFERROR(__xludf.DUMMYFUNCTION("""COMPUTED_VALUE"""),45114.0)</f>
        <v>45114</v>
      </c>
      <c r="B3953" s="16" t="str">
        <f>IFERROR(__xludf.DUMMYFUNCTION("""COMPUTED_VALUE"""),"Oscar Augusto Meneses Osias")</f>
        <v>Oscar Augusto Meneses Osias</v>
      </c>
      <c r="C3953" s="15" t="str">
        <f>IFERROR(__xludf.DUMMYFUNCTION("""COMPUTED_VALUE"""),"MEDELLÍN")</f>
        <v>MEDELLÍN</v>
      </c>
      <c r="D3953" s="15" t="str">
        <f>IFERROR(__xludf.DUMMYFUNCTION("""COMPUTED_VALUE"""),"BOGOTÁ")</f>
        <v>BOGOTÁ</v>
      </c>
      <c r="E3953" s="15" t="str">
        <f>IFERROR(__xludf.DUMMYFUNCTION("""COMPUTED_VALUE"""),"Forever Dog")</f>
        <v>Forever Dog</v>
      </c>
      <c r="F3953" s="17" t="str">
        <f>IFERROR(__xludf.DUMMYFUNCTION("""COMPUTED_VALUE"""),"Cra 28# 37b sur - Edf. Torre san miguel apto 501 Envigado, / Apto 501 / Barrio Loma de las Brujas")</f>
        <v>Cra 28# 37b sur - Edf. Torre san miguel apto 501 Envigado, / Apto 501 / Barrio Loma de las Brujas</v>
      </c>
      <c r="G3953" s="15" t="str">
        <f>IFERROR(__xludf.DUMMYFUNCTION("""COMPUTED_VALUE"""),"Dustin Torre")</f>
        <v>Dustin Torre</v>
      </c>
      <c r="H3953" s="16">
        <f>IFERROR(__xludf.DUMMYFUNCTION("""COMPUTED_VALUE"""),12439.0)</f>
        <v>12439</v>
      </c>
      <c r="I3953" s="18">
        <f>IFERROR(__xludf.DUMMYFUNCTION("""COMPUTED_VALUE"""),21.0)</f>
        <v>21</v>
      </c>
      <c r="J3953" s="18">
        <f>IFERROR(__xludf.DUMMYFUNCTION("""COMPUTED_VALUE"""),50.0)</f>
        <v>50</v>
      </c>
      <c r="K3953" s="18">
        <f>IFERROR(__xludf.DUMMYFUNCTION("""COMPUTED_VALUE"""),30.0)</f>
        <v>30</v>
      </c>
      <c r="L3953" s="17">
        <f>IFERROR(__xludf.DUMMYFUNCTION("""COMPUTED_VALUE"""),3.013390836E9)</f>
        <v>3013390836</v>
      </c>
      <c r="M3953" s="17" t="str">
        <f>IFERROR(__xludf.DUMMYFUNCTION("""COMPUTED_VALUE"""),"#REF!")</f>
        <v>#REF!</v>
      </c>
      <c r="N3953" s="17"/>
      <c r="O3953" s="17"/>
      <c r="P3953" s="17" t="b">
        <f>IFERROR(__xludf.DUMMYFUNCTION("""COMPUTED_VALUE"""),FALSE)</f>
        <v>0</v>
      </c>
      <c r="Q3953" s="20" t="str">
        <f>IFERROR(__xludf.DUMMYFUNCTION("""COMPUTED_VALUE"""),"")</f>
        <v/>
      </c>
      <c r="R3953" s="21" t="str">
        <f>IFERROR(__xludf.DUMMYFUNCTION("""COMPUTED_VALUE"""),"https://drive.google.com/file/d/1W5glFtfmoXlnh-8zLxI9XDtHcm1LTMOi/view?usp=drivesdk")</f>
        <v>https://drive.google.com/file/d/1W5glFtfmoXlnh-8zLxI9XDtHcm1LTMOi/view?usp=drivesdk</v>
      </c>
    </row>
    <row r="3954">
      <c r="A3954" s="15">
        <f>IFERROR(__xludf.DUMMYFUNCTION("""COMPUTED_VALUE"""),45114.0)</f>
        <v>45114</v>
      </c>
      <c r="B3954" s="16" t="str">
        <f>IFERROR(__xludf.DUMMYFUNCTION("""COMPUTED_VALUE"""),"Oscar Augusto Meneses Osias")</f>
        <v>Oscar Augusto Meneses Osias</v>
      </c>
      <c r="C3954" s="15" t="str">
        <f>IFERROR(__xludf.DUMMYFUNCTION("""COMPUTED_VALUE"""),"MEDELLÍN")</f>
        <v>MEDELLÍN</v>
      </c>
      <c r="D3954" s="15" t="str">
        <f>IFERROR(__xludf.DUMMYFUNCTION("""COMPUTED_VALUE"""),"BOGOTÁ")</f>
        <v>BOGOTÁ</v>
      </c>
      <c r="E3954" s="15" t="str">
        <f>IFERROR(__xludf.DUMMYFUNCTION("""COMPUTED_VALUE"""),"Lunchy Kids")</f>
        <v>Lunchy Kids</v>
      </c>
      <c r="F3954" s="17" t="str">
        <f>IFERROR(__xludf.DUMMYFUNCTION("""COMPUTED_VALUE"""),"Calle 5 # 25-115   / Apto 1201 - Apartamentos Ámsterdam / Poblado")</f>
        <v>Calle 5 # 25-115   / Apto 1201 - Apartamentos Ámsterdam / Poblado</v>
      </c>
      <c r="G3954" s="15" t="str">
        <f>IFERROR(__xludf.DUMMYFUNCTION("""COMPUTED_VALUE"""),"Paula Morales")</f>
        <v>Paula Morales</v>
      </c>
      <c r="H3954" s="16">
        <f>IFERROR(__xludf.DUMMYFUNCTION("""COMPUTED_VALUE"""),12415.0)</f>
        <v>12415</v>
      </c>
      <c r="I3954" s="18">
        <f>IFERROR(__xludf.DUMMYFUNCTION("""COMPUTED_VALUE"""),19.0)</f>
        <v>19</v>
      </c>
      <c r="J3954" s="18">
        <f>IFERROR(__xludf.DUMMYFUNCTION("""COMPUTED_VALUE"""),28.0)</f>
        <v>28</v>
      </c>
      <c r="K3954" s="18">
        <f>IFERROR(__xludf.DUMMYFUNCTION("""COMPUTED_VALUE"""),8.0)</f>
        <v>8</v>
      </c>
      <c r="L3954" s="17">
        <f>IFERROR(__xludf.DUMMYFUNCTION("""COMPUTED_VALUE"""),3.007864836E9)</f>
        <v>3007864836</v>
      </c>
      <c r="M3954" s="17" t="str">
        <f>IFERROR(__xludf.DUMMYFUNCTION("""COMPUTED_VALUE"""),"#REF!")</f>
        <v>#REF!</v>
      </c>
      <c r="N3954" s="17"/>
      <c r="O3954" s="17"/>
      <c r="P3954" s="17" t="b">
        <f>IFERROR(__xludf.DUMMYFUNCTION("""COMPUTED_VALUE"""),FALSE)</f>
        <v>0</v>
      </c>
      <c r="Q3954" s="20" t="str">
        <f>IFERROR(__xludf.DUMMYFUNCTION("""COMPUTED_VALUE"""),"")</f>
        <v/>
      </c>
      <c r="R3954" s="21" t="str">
        <f>IFERROR(__xludf.DUMMYFUNCTION("""COMPUTED_VALUE"""),"https://drive.google.com/file/d/1Q9g_RTyEwFaoADeDgXoZ19_kK9r8RHIW/view?usp=drivesdk")</f>
        <v>https://drive.google.com/file/d/1Q9g_RTyEwFaoADeDgXoZ19_kK9r8RHIW/view?usp=drivesdk</v>
      </c>
    </row>
    <row r="3955">
      <c r="A3955" s="15">
        <f>IFERROR(__xludf.DUMMYFUNCTION("""COMPUTED_VALUE"""),45114.0)</f>
        <v>45114</v>
      </c>
      <c r="B3955" s="16" t="str">
        <f>IFERROR(__xludf.DUMMYFUNCTION("""COMPUTED_VALUE"""),"Oscar Augusto Meneses Osias")</f>
        <v>Oscar Augusto Meneses Osias</v>
      </c>
      <c r="C3955" s="15" t="str">
        <f>IFERROR(__xludf.DUMMYFUNCTION("""COMPUTED_VALUE"""),"MEDELLÍN")</f>
        <v>MEDELLÍN</v>
      </c>
      <c r="D3955" s="15" t="str">
        <f>IFERROR(__xludf.DUMMYFUNCTION("""COMPUTED_VALUE"""),"BOGOTÁ")</f>
        <v>BOGOTÁ</v>
      </c>
      <c r="E3955" s="15" t="str">
        <f>IFERROR(__xludf.DUMMYFUNCTION("""COMPUTED_VALUE"""),"Lunchy Kids")</f>
        <v>Lunchy Kids</v>
      </c>
      <c r="F3955" s="17" t="str">
        <f>IFERROR(__xludf.DUMMYFUNCTION("""COMPUTED_VALUE"""),"Carrera 57 # 38 290   / Urbanización puerto nuevo torre 4 apto 9624 / Bello")</f>
        <v>Carrera 57 # 38 290   / Urbanización puerto nuevo torre 4 apto 9624 / Bello</v>
      </c>
      <c r="G3955" s="15" t="str">
        <f>IFERROR(__xludf.DUMMYFUNCTION("""COMPUTED_VALUE"""),"Daniela Giraldo")</f>
        <v>Daniela Giraldo</v>
      </c>
      <c r="H3955" s="16">
        <f>IFERROR(__xludf.DUMMYFUNCTION("""COMPUTED_VALUE"""),12418.0)</f>
        <v>12418</v>
      </c>
      <c r="I3955" s="18">
        <f>IFERROR(__xludf.DUMMYFUNCTION("""COMPUTED_VALUE"""),19.0)</f>
        <v>19</v>
      </c>
      <c r="J3955" s="18">
        <f>IFERROR(__xludf.DUMMYFUNCTION("""COMPUTED_VALUE"""),32.0)</f>
        <v>32</v>
      </c>
      <c r="K3955" s="18">
        <f>IFERROR(__xludf.DUMMYFUNCTION("""COMPUTED_VALUE"""),13.0)</f>
        <v>13</v>
      </c>
      <c r="L3955" s="17">
        <f>IFERROR(__xludf.DUMMYFUNCTION("""COMPUTED_VALUE"""),3.002772544E9)</f>
        <v>3002772544</v>
      </c>
      <c r="M3955" s="17" t="str">
        <f>IFERROR(__xludf.DUMMYFUNCTION("""COMPUTED_VALUE"""),"#REF!")</f>
        <v>#REF!</v>
      </c>
      <c r="N3955" s="17"/>
      <c r="O3955" s="17"/>
      <c r="P3955" s="17" t="b">
        <f>IFERROR(__xludf.DUMMYFUNCTION("""COMPUTED_VALUE"""),FALSE)</f>
        <v>0</v>
      </c>
      <c r="Q3955" s="20" t="str">
        <f>IFERROR(__xludf.DUMMYFUNCTION("""COMPUTED_VALUE"""),"")</f>
        <v/>
      </c>
      <c r="R3955" s="21" t="str">
        <f>IFERROR(__xludf.DUMMYFUNCTION("""COMPUTED_VALUE"""),"https://drive.google.com/file/d/1Kpfjj3MwlHCK7SsyWULWcBaGy6VFIhej/view?usp=drivesdk")</f>
        <v>https://drive.google.com/file/d/1Kpfjj3MwlHCK7SsyWULWcBaGy6VFIhej/view?usp=drivesdk</v>
      </c>
    </row>
    <row r="3956">
      <c r="A3956" s="17" t="str">
        <f>IFERROR(__xludf.DUMMYFUNCTION("""COMPUTED_VALUE"""),"")</f>
        <v/>
      </c>
      <c r="B3956" s="17" t="str">
        <f>IFERROR(__xludf.DUMMYFUNCTION("""COMPUTED_VALUE"""),"")</f>
        <v/>
      </c>
      <c r="C3956" s="17" t="str">
        <f>IFERROR(__xludf.DUMMYFUNCTION("""COMPUTED_VALUE"""),"")</f>
        <v/>
      </c>
      <c r="D3956" s="17" t="str">
        <f>IFERROR(__xludf.DUMMYFUNCTION("""COMPUTED_VALUE"""),"")</f>
        <v/>
      </c>
      <c r="E3956" s="17" t="str">
        <f>IFERROR(__xludf.DUMMYFUNCTION("""COMPUTED_VALUE"""),"")</f>
        <v/>
      </c>
      <c r="F3956" s="17" t="str">
        <f>IFERROR(__xludf.DUMMYFUNCTION("""COMPUTED_VALUE"""),"")</f>
        <v/>
      </c>
      <c r="G3956" s="17" t="str">
        <f>IFERROR(__xludf.DUMMYFUNCTION("""COMPUTED_VALUE"""),"")</f>
        <v/>
      </c>
      <c r="H3956" s="17" t="str">
        <f>IFERROR(__xludf.DUMMYFUNCTION("""COMPUTED_VALUE"""),"")</f>
        <v/>
      </c>
      <c r="I3956" s="17" t="str">
        <f>IFERROR(__xludf.DUMMYFUNCTION("""COMPUTED_VALUE"""),"")</f>
        <v/>
      </c>
      <c r="J3956" s="17" t="str">
        <f>IFERROR(__xludf.DUMMYFUNCTION("""COMPUTED_VALUE"""),"")</f>
        <v/>
      </c>
      <c r="K3956" s="17" t="str">
        <f>IFERROR(__xludf.DUMMYFUNCTION("""COMPUTED_VALUE"""),"")</f>
        <v/>
      </c>
      <c r="L3956" s="17" t="str">
        <f>IFERROR(__xludf.DUMMYFUNCTION("""COMPUTED_VALUE"""),"")</f>
        <v/>
      </c>
      <c r="M3956" s="17" t="str">
        <f>IFERROR(__xludf.DUMMYFUNCTION("""COMPUTED_VALUE"""),"")</f>
        <v/>
      </c>
      <c r="N3956" s="17" t="str">
        <f>IFERROR(__xludf.DUMMYFUNCTION("""COMPUTED_VALUE"""),"")</f>
        <v/>
      </c>
      <c r="O3956" s="17" t="str">
        <f>IFERROR(__xludf.DUMMYFUNCTION("""COMPUTED_VALUE"""),"")</f>
        <v/>
      </c>
      <c r="P3956" s="17" t="str">
        <f>IFERROR(__xludf.DUMMYFUNCTION("""COMPUTED_VALUE"""),"")</f>
        <v/>
      </c>
      <c r="Q3956" s="17" t="str">
        <f>IFERROR(__xludf.DUMMYFUNCTION("""COMPUTED_VALUE"""),"")</f>
        <v/>
      </c>
      <c r="R3956" s="17" t="str">
        <f>IFERROR(__xludf.DUMMYFUNCTION("""COMPUTED_VALUE"""),"")</f>
        <v/>
      </c>
    </row>
    <row r="3957">
      <c r="A3957" s="15">
        <f>IFERROR(__xludf.DUMMYFUNCTION("""COMPUTED_VALUE"""),45115.0)</f>
        <v>45115</v>
      </c>
      <c r="B3957" s="16" t="str">
        <f>IFERROR(__xludf.DUMMYFUNCTION("""COMPUTED_VALUE"""),"Envia")</f>
        <v>Envia</v>
      </c>
      <c r="C3957" s="15" t="str">
        <f>IFERROR(__xludf.DUMMYFUNCTION("""COMPUTED_VALUE"""),"MEDELLÍN")</f>
        <v>MEDELLÍN</v>
      </c>
      <c r="D3957" s="15" t="str">
        <f>IFERROR(__xludf.DUMMYFUNCTION("""COMPUTED_VALUE"""),"BOGOTÁ")</f>
        <v>BOGOTÁ</v>
      </c>
      <c r="E3957" s="15" t="str">
        <f>IFERROR(__xludf.DUMMYFUNCTION("""COMPUTED_VALUE"""),"Mochi")</f>
        <v>Mochi</v>
      </c>
      <c r="F3957" s="17" t="str">
        <f>IFERROR(__xludf.DUMMYFUNCTION("""COMPUTED_VALUE"""),"Cra. 48 #32B Sur-139, Zona 1, Envigado, / Cra. 48 #32B Sur-139, Zona 1, Envigado, / Cra. 48 #32B Sur-139, Zona 1, Envigado,")</f>
        <v>Cra. 48 #32B Sur-139, Zona 1, Envigado, / Cra. 48 #32B Sur-139, Zona 1, Envigado, / Cra. 48 #32B Sur-139, Zona 1, Envigado,</v>
      </c>
      <c r="G3957" s="15" t="str">
        <f>IFERROR(__xludf.DUMMYFUNCTION("""COMPUTED_VALUE"""),"tania")</f>
        <v>tania</v>
      </c>
      <c r="H3957" s="16">
        <f>IFERROR(__xludf.DUMMYFUNCTION("""COMPUTED_VALUE"""),12467.0)</f>
        <v>12467</v>
      </c>
      <c r="I3957" s="18">
        <f>IFERROR(__xludf.DUMMYFUNCTION("""COMPUTED_VALUE"""),100.0)</f>
        <v>100</v>
      </c>
      <c r="J3957" s="18">
        <f>IFERROR(__xludf.DUMMYFUNCTION("""COMPUTED_VALUE"""),100.0)</f>
        <v>100</v>
      </c>
      <c r="K3957" s="18">
        <f>IFERROR(__xludf.DUMMYFUNCTION("""COMPUTED_VALUE"""),200.0)</f>
        <v>200</v>
      </c>
      <c r="L3957" s="17">
        <f>IFERROR(__xludf.DUMMYFUNCTION("""COMPUTED_VALUE"""),3.142587995E9)</f>
        <v>3142587995</v>
      </c>
      <c r="M3957" s="17" t="str">
        <f>IFERROR(__xludf.DUMMYFUNCTION("""COMPUTED_VALUE"""),"#REF!")</f>
        <v>#REF!</v>
      </c>
      <c r="N3957" s="17"/>
      <c r="O3957" s="17"/>
      <c r="P3957" s="17" t="b">
        <f>IFERROR(__xludf.DUMMYFUNCTION("""COMPUTED_VALUE"""),FALSE)</f>
        <v>0</v>
      </c>
      <c r="Q3957" s="20" t="str">
        <f>IFERROR(__xludf.DUMMYFUNCTION("""COMPUTED_VALUE"""),"")</f>
        <v/>
      </c>
      <c r="R3957" s="22" t="str">
        <f>IFERROR(__xludf.DUMMYFUNCTION("""COMPUTED_VALUE"""),"")</f>
        <v/>
      </c>
    </row>
    <row r="3958">
      <c r="A3958" s="17" t="str">
        <f>IFERROR(__xludf.DUMMYFUNCTION("""COMPUTED_VALUE"""),"")</f>
        <v/>
      </c>
      <c r="B3958" s="17" t="str">
        <f>IFERROR(__xludf.DUMMYFUNCTION("""COMPUTED_VALUE"""),"")</f>
        <v/>
      </c>
      <c r="C3958" s="17" t="str">
        <f>IFERROR(__xludf.DUMMYFUNCTION("""COMPUTED_VALUE"""),"")</f>
        <v/>
      </c>
      <c r="D3958" s="17" t="str">
        <f>IFERROR(__xludf.DUMMYFUNCTION("""COMPUTED_VALUE"""),"")</f>
        <v/>
      </c>
      <c r="E3958" s="17" t="str">
        <f>IFERROR(__xludf.DUMMYFUNCTION("""COMPUTED_VALUE"""),"")</f>
        <v/>
      </c>
      <c r="F3958" s="17" t="str">
        <f>IFERROR(__xludf.DUMMYFUNCTION("""COMPUTED_VALUE"""),"")</f>
        <v/>
      </c>
      <c r="G3958" s="17" t="str">
        <f>IFERROR(__xludf.DUMMYFUNCTION("""COMPUTED_VALUE"""),"")</f>
        <v/>
      </c>
      <c r="H3958" s="17" t="str">
        <f>IFERROR(__xludf.DUMMYFUNCTION("""COMPUTED_VALUE"""),"")</f>
        <v/>
      </c>
      <c r="I3958" s="17" t="str">
        <f>IFERROR(__xludf.DUMMYFUNCTION("""COMPUTED_VALUE"""),"")</f>
        <v/>
      </c>
      <c r="J3958" s="17" t="str">
        <f>IFERROR(__xludf.DUMMYFUNCTION("""COMPUTED_VALUE"""),"")</f>
        <v/>
      </c>
      <c r="K3958" s="17" t="str">
        <f>IFERROR(__xludf.DUMMYFUNCTION("""COMPUTED_VALUE"""),"")</f>
        <v/>
      </c>
      <c r="L3958" s="17" t="str">
        <f>IFERROR(__xludf.DUMMYFUNCTION("""COMPUTED_VALUE"""),"")</f>
        <v/>
      </c>
      <c r="M3958" s="17" t="str">
        <f>IFERROR(__xludf.DUMMYFUNCTION("""COMPUTED_VALUE"""),"")</f>
        <v/>
      </c>
      <c r="N3958" s="17" t="str">
        <f>IFERROR(__xludf.DUMMYFUNCTION("""COMPUTED_VALUE"""),"")</f>
        <v/>
      </c>
      <c r="O3958" s="17" t="str">
        <f>IFERROR(__xludf.DUMMYFUNCTION("""COMPUTED_VALUE"""),"")</f>
        <v/>
      </c>
      <c r="P3958" s="17" t="str">
        <f>IFERROR(__xludf.DUMMYFUNCTION("""COMPUTED_VALUE"""),"")</f>
        <v/>
      </c>
      <c r="Q3958" s="17" t="str">
        <f>IFERROR(__xludf.DUMMYFUNCTION("""COMPUTED_VALUE"""),"")</f>
        <v/>
      </c>
      <c r="R3958" s="17" t="str">
        <f>IFERROR(__xludf.DUMMYFUNCTION("""COMPUTED_VALUE"""),"")</f>
        <v/>
      </c>
    </row>
    <row r="3959">
      <c r="A3959" s="15">
        <f>IFERROR(__xludf.DUMMYFUNCTION("""COMPUTED_VALUE"""),45118.0)</f>
        <v>45118</v>
      </c>
      <c r="B3959" s="17"/>
      <c r="C3959" s="15" t="str">
        <f>IFERROR(__xludf.DUMMYFUNCTION("""COMPUTED_VALUE"""),"ARMENIA")</f>
        <v>ARMENIA</v>
      </c>
      <c r="D3959" s="15" t="str">
        <f>IFERROR(__xludf.DUMMYFUNCTION("""COMPUTED_VALUE"""),"MEDELLÍN")</f>
        <v>MEDELLÍN</v>
      </c>
      <c r="E3959" s="15" t="str">
        <f>IFERROR(__xludf.DUMMYFUNCTION("""COMPUTED_VALUE"""),"Puro Verde")</f>
        <v>Puro Verde</v>
      </c>
      <c r="F3959" s="17" t="str">
        <f>IFERROR(__xludf.DUMMYFUNCTION("""COMPUTED_VALUE"""),"CALLE 10 # 11N - 05.  / APTO 405. TORRE 1. CONJUNTO RESIDENCIAL TERRA / BARRIO LA CASTELLANA")</f>
        <v>CALLE 10 # 11N - 05.  / APTO 405. TORRE 1. CONJUNTO RESIDENCIAL TERRA / BARRIO LA CASTELLANA</v>
      </c>
      <c r="G3959" s="15" t="str">
        <f>IFERROR(__xludf.DUMMYFUNCTION("""COMPUTED_VALUE"""),"CLAUDIA VILLAMIZAR")</f>
        <v>CLAUDIA VILLAMIZAR</v>
      </c>
      <c r="H3959" s="16">
        <f>IFERROR(__xludf.DUMMYFUNCTION("""COMPUTED_VALUE"""),12464.0)</f>
        <v>12464</v>
      </c>
      <c r="I3959" s="18">
        <f>IFERROR(__xludf.DUMMYFUNCTION("""COMPUTED_VALUE"""),21.0)</f>
        <v>21</v>
      </c>
      <c r="J3959" s="18">
        <f>IFERROR(__xludf.DUMMYFUNCTION("""COMPUTED_VALUE"""),29.0)</f>
        <v>29</v>
      </c>
      <c r="K3959" s="18" t="str">
        <f>IFERROR(__xludf.DUMMYFUNCTION("""COMPUTED_VALUE"""),"39.5")</f>
        <v>39.5</v>
      </c>
      <c r="L3959" s="17">
        <f>IFERROR(__xludf.DUMMYFUNCTION("""COMPUTED_VALUE"""),3.225175611E9)</f>
        <v>3225175611</v>
      </c>
      <c r="M3959" s="17" t="str">
        <f>IFERROR(__xludf.DUMMYFUNCTION("""COMPUTED_VALUE"""),"#REF!")</f>
        <v>#REF!</v>
      </c>
      <c r="N3959" s="17"/>
      <c r="O3959" s="17"/>
      <c r="P3959" s="17" t="b">
        <f>IFERROR(__xludf.DUMMYFUNCTION("""COMPUTED_VALUE"""),FALSE)</f>
        <v>0</v>
      </c>
      <c r="Q3959" s="20" t="str">
        <f>IFERROR(__xludf.DUMMYFUNCTION("""COMPUTED_VALUE"""),"")</f>
        <v/>
      </c>
      <c r="R3959" s="22" t="str">
        <f>IFERROR(__xludf.DUMMYFUNCTION("""COMPUTED_VALUE"""),"")</f>
        <v/>
      </c>
    </row>
    <row r="3960">
      <c r="A3960" s="15">
        <f>IFERROR(__xludf.DUMMYFUNCTION("""COMPUTED_VALUE"""),45118.0)</f>
        <v>45118</v>
      </c>
      <c r="B3960" s="17"/>
      <c r="C3960" s="15" t="str">
        <f>IFERROR(__xludf.DUMMYFUNCTION("""COMPUTED_VALUE"""),"CALI")</f>
        <v>CALI</v>
      </c>
      <c r="D3960" s="15" t="str">
        <f>IFERROR(__xludf.DUMMYFUNCTION("""COMPUTED_VALUE"""),"BOGOTÁ")</f>
        <v>BOGOTÁ</v>
      </c>
      <c r="E3960" s="15" t="str">
        <f>IFERROR(__xludf.DUMMYFUNCTION("""COMPUTED_VALUE"""),"Loomifoods")</f>
        <v>Loomifoods</v>
      </c>
      <c r="F3960" s="17" t="str">
        <f>IFERROR(__xludf.DUMMYFUNCTION("""COMPUTED_VALUE"""),"Av 5C no.48N - 49 / Apto 503 / Edificio Juan Pablo")</f>
        <v>Av 5C no.48N - 49 / Apto 503 / Edificio Juan Pablo</v>
      </c>
      <c r="G3960" s="15" t="str">
        <f>IFERROR(__xludf.DUMMYFUNCTION("""COMPUTED_VALUE"""),"Natalia Sandoval")</f>
        <v>Natalia Sandoval</v>
      </c>
      <c r="H3960" s="16">
        <f>IFERROR(__xludf.DUMMYFUNCTION("""COMPUTED_VALUE"""),12503.0)</f>
        <v>12503</v>
      </c>
      <c r="I3960" s="18">
        <f>IFERROR(__xludf.DUMMYFUNCTION("""COMPUTED_VALUE"""),19.0)</f>
        <v>19</v>
      </c>
      <c r="J3960" s="18">
        <f>IFERROR(__xludf.DUMMYFUNCTION("""COMPUTED_VALUE"""),5.0)</f>
        <v>5</v>
      </c>
      <c r="K3960" s="18">
        <f>IFERROR(__xludf.DUMMYFUNCTION("""COMPUTED_VALUE"""),16.0)</f>
        <v>16</v>
      </c>
      <c r="L3960" s="17">
        <f>IFERROR(__xludf.DUMMYFUNCTION("""COMPUTED_VALUE"""),3.045455504E9)</f>
        <v>3045455504</v>
      </c>
      <c r="M3960" s="17" t="str">
        <f>IFERROR(__xludf.DUMMYFUNCTION("""COMPUTED_VALUE"""),"#REF!")</f>
        <v>#REF!</v>
      </c>
      <c r="N3960" s="17"/>
      <c r="O3960" s="17"/>
      <c r="P3960" s="17" t="b">
        <f>IFERROR(__xludf.DUMMYFUNCTION("""COMPUTED_VALUE"""),FALSE)</f>
        <v>0</v>
      </c>
      <c r="Q3960" s="20" t="str">
        <f>IFERROR(__xludf.DUMMYFUNCTION("""COMPUTED_VALUE"""),"")</f>
        <v/>
      </c>
      <c r="R3960" s="21" t="str">
        <f>IFERROR(__xludf.DUMMYFUNCTION("""COMPUTED_VALUE"""),"https://drive.google.com/file/d/10f8E_vjYFC6g8dSrgei5W9veeWBZSJE7/view?usp=drivesdk")</f>
        <v>https://drive.google.com/file/d/10f8E_vjYFC6g8dSrgei5W9veeWBZSJE7/view?usp=drivesdk</v>
      </c>
    </row>
    <row r="3961">
      <c r="A3961" s="15">
        <f>IFERROR(__xludf.DUMMYFUNCTION("""COMPUTED_VALUE"""),45118.0)</f>
        <v>45118</v>
      </c>
      <c r="B3961" s="17"/>
      <c r="C3961" s="15" t="str">
        <f>IFERROR(__xludf.DUMMYFUNCTION("""COMPUTED_VALUE"""),"CALI")</f>
        <v>CALI</v>
      </c>
      <c r="D3961" s="15" t="str">
        <f>IFERROR(__xludf.DUMMYFUNCTION("""COMPUTED_VALUE"""),"BOGOTÁ")</f>
        <v>BOGOTÁ</v>
      </c>
      <c r="E3961" s="15" t="str">
        <f>IFERROR(__xludf.DUMMYFUNCTION("""COMPUTED_VALUE"""),"Olü")</f>
        <v>Olü</v>
      </c>
      <c r="F3961" s="17" t="str">
        <f>IFERROR(__xludf.DUMMYFUNCTION("""COMPUTED_VALUE"""),"Calle 16 # 85-10  / Local 102 / Barrio ingenio")</f>
        <v>Calle 16 # 85-10  / Local 102 / Barrio ingenio</v>
      </c>
      <c r="G3961" s="15" t="str">
        <f>IFERROR(__xludf.DUMMYFUNCTION("""COMPUTED_VALUE"""),"Jessica Guerrero")</f>
        <v>Jessica Guerrero</v>
      </c>
      <c r="H3961" s="16">
        <f>IFERROR(__xludf.DUMMYFUNCTION("""COMPUTED_VALUE"""),12473.0)</f>
        <v>12473</v>
      </c>
      <c r="I3961" s="18">
        <f>IFERROR(__xludf.DUMMYFUNCTION("""COMPUTED_VALUE"""),30.0)</f>
        <v>30</v>
      </c>
      <c r="J3961" s="18">
        <f>IFERROR(__xludf.DUMMYFUNCTION("""COMPUTED_VALUE"""),21.0)</f>
        <v>21</v>
      </c>
      <c r="K3961" s="18">
        <f>IFERROR(__xludf.DUMMYFUNCTION("""COMPUTED_VALUE"""),50.0)</f>
        <v>50</v>
      </c>
      <c r="L3961" s="17">
        <f>IFERROR(__xludf.DUMMYFUNCTION("""COMPUTED_VALUE"""),3.112664694E9)</f>
        <v>3112664694</v>
      </c>
      <c r="M3961" s="17" t="str">
        <f>IFERROR(__xludf.DUMMYFUNCTION("""COMPUTED_VALUE"""),"#REF!")</f>
        <v>#REF!</v>
      </c>
      <c r="N3961" s="17"/>
      <c r="O3961" s="17"/>
      <c r="P3961" s="17" t="b">
        <f>IFERROR(__xludf.DUMMYFUNCTION("""COMPUTED_VALUE"""),FALSE)</f>
        <v>0</v>
      </c>
      <c r="Q3961" s="20" t="str">
        <f>IFERROR(__xludf.DUMMYFUNCTION("""COMPUTED_VALUE"""),"")</f>
        <v/>
      </c>
      <c r="R3961" s="21" t="str">
        <f>IFERROR(__xludf.DUMMYFUNCTION("""COMPUTED_VALUE"""),"https://drive.google.com/file/d/1YX08HHGAwhv3VOC6ZEEQG53RyeKNDNmw/view?usp=drivesdk")</f>
        <v>https://drive.google.com/file/d/1YX08HHGAwhv3VOC6ZEEQG53RyeKNDNmw/view?usp=drivesdk</v>
      </c>
    </row>
    <row r="3962">
      <c r="A3962" s="17" t="str">
        <f>IFERROR(__xludf.DUMMYFUNCTION("""COMPUTED_VALUE"""),"")</f>
        <v/>
      </c>
      <c r="B3962" s="17" t="str">
        <f>IFERROR(__xludf.DUMMYFUNCTION("""COMPUTED_VALUE"""),"")</f>
        <v/>
      </c>
      <c r="C3962" s="17" t="str">
        <f>IFERROR(__xludf.DUMMYFUNCTION("""COMPUTED_VALUE"""),"")</f>
        <v/>
      </c>
      <c r="D3962" s="17" t="str">
        <f>IFERROR(__xludf.DUMMYFUNCTION("""COMPUTED_VALUE"""),"")</f>
        <v/>
      </c>
      <c r="E3962" s="17" t="str">
        <f>IFERROR(__xludf.DUMMYFUNCTION("""COMPUTED_VALUE"""),"")</f>
        <v/>
      </c>
      <c r="F3962" s="17" t="str">
        <f>IFERROR(__xludf.DUMMYFUNCTION("""COMPUTED_VALUE"""),"")</f>
        <v/>
      </c>
      <c r="G3962" s="17" t="str">
        <f>IFERROR(__xludf.DUMMYFUNCTION("""COMPUTED_VALUE"""),"")</f>
        <v/>
      </c>
      <c r="H3962" s="17" t="str">
        <f>IFERROR(__xludf.DUMMYFUNCTION("""COMPUTED_VALUE"""),"")</f>
        <v/>
      </c>
      <c r="I3962" s="17" t="str">
        <f>IFERROR(__xludf.DUMMYFUNCTION("""COMPUTED_VALUE"""),"")</f>
        <v/>
      </c>
      <c r="J3962" s="17" t="str">
        <f>IFERROR(__xludf.DUMMYFUNCTION("""COMPUTED_VALUE"""),"")</f>
        <v/>
      </c>
      <c r="K3962" s="17" t="str">
        <f>IFERROR(__xludf.DUMMYFUNCTION("""COMPUTED_VALUE"""),"")</f>
        <v/>
      </c>
      <c r="L3962" s="17" t="str">
        <f>IFERROR(__xludf.DUMMYFUNCTION("""COMPUTED_VALUE"""),"")</f>
        <v/>
      </c>
      <c r="M3962" s="17" t="str">
        <f>IFERROR(__xludf.DUMMYFUNCTION("""COMPUTED_VALUE"""),"")</f>
        <v/>
      </c>
      <c r="N3962" s="17" t="str">
        <f>IFERROR(__xludf.DUMMYFUNCTION("""COMPUTED_VALUE"""),"")</f>
        <v/>
      </c>
      <c r="O3962" s="17" t="str">
        <f>IFERROR(__xludf.DUMMYFUNCTION("""COMPUTED_VALUE"""),"")</f>
        <v/>
      </c>
      <c r="P3962" s="17" t="str">
        <f>IFERROR(__xludf.DUMMYFUNCTION("""COMPUTED_VALUE"""),"")</f>
        <v/>
      </c>
      <c r="Q3962" s="17" t="str">
        <f>IFERROR(__xludf.DUMMYFUNCTION("""COMPUTED_VALUE"""),"")</f>
        <v/>
      </c>
      <c r="R3962" s="17" t="str">
        <f>IFERROR(__xludf.DUMMYFUNCTION("""COMPUTED_VALUE"""),"")</f>
        <v/>
      </c>
    </row>
    <row r="3963">
      <c r="A3963" s="15">
        <f>IFERROR(__xludf.DUMMYFUNCTION("""COMPUTED_VALUE"""),45118.0)</f>
        <v>45118</v>
      </c>
      <c r="B3963" s="16" t="str">
        <f>IFERROR(__xludf.DUMMYFUNCTION("""COMPUTED_VALUE"""),"Carlos Andres Pirachican Numpaque (Mayerli)")</f>
        <v>Carlos Andres Pirachican Numpaque (Mayerli)</v>
      </c>
      <c r="C3963" s="15" t="str">
        <f>IFERROR(__xludf.DUMMYFUNCTION("""COMPUTED_VALUE"""),"MEDELLÍN")</f>
        <v>MEDELLÍN</v>
      </c>
      <c r="D3963" s="15" t="str">
        <f>IFERROR(__xludf.DUMMYFUNCTION("""COMPUTED_VALUE"""),"BOGOTÁ")</f>
        <v>BOGOTÁ</v>
      </c>
      <c r="E3963" s="15" t="str">
        <f>IFERROR(__xludf.DUMMYFUNCTION("""COMPUTED_VALUE"""),"Viiva Fermentados")</f>
        <v>Viiva Fermentados</v>
      </c>
      <c r="F3963" s="17" t="str">
        <f>IFERROR(__xludf.DUMMYFUNCTION("""COMPUTED_VALUE"""),"Transversal 39b#77-48 / int 302 / Laureles")</f>
        <v>Transversal 39b#77-48 / int 302 / Laureles</v>
      </c>
      <c r="G3963" s="15" t="str">
        <f>IFERROR(__xludf.DUMMYFUNCTION("""COMPUTED_VALUE"""),"VITA INTEGRAL SAS")</f>
        <v>VITA INTEGRAL SAS</v>
      </c>
      <c r="H3963" s="16">
        <f>IFERROR(__xludf.DUMMYFUNCTION("""COMPUTED_VALUE"""),12474.0)</f>
        <v>12474</v>
      </c>
      <c r="I3963" s="18">
        <f>IFERROR(__xludf.DUMMYFUNCTION("""COMPUTED_VALUE"""),15.0)</f>
        <v>15</v>
      </c>
      <c r="J3963" s="18">
        <f>IFERROR(__xludf.DUMMYFUNCTION("""COMPUTED_VALUE"""),24.0)</f>
        <v>24</v>
      </c>
      <c r="K3963" s="18">
        <f>IFERROR(__xludf.DUMMYFUNCTION("""COMPUTED_VALUE"""),36.0)</f>
        <v>36</v>
      </c>
      <c r="L3963" s="17">
        <f>IFERROR(__xludf.DUMMYFUNCTION("""COMPUTED_VALUE"""),3.188473468E9)</f>
        <v>3188473468</v>
      </c>
      <c r="M3963" s="17" t="str">
        <f>IFERROR(__xludf.DUMMYFUNCTION("""COMPUTED_VALUE"""),"#REF!")</f>
        <v>#REF!</v>
      </c>
      <c r="N3963" s="17"/>
      <c r="O3963" s="17"/>
      <c r="P3963" s="17" t="b">
        <f>IFERROR(__xludf.DUMMYFUNCTION("""COMPUTED_VALUE"""),FALSE)</f>
        <v>0</v>
      </c>
      <c r="Q3963" s="20" t="str">
        <f>IFERROR(__xludf.DUMMYFUNCTION("""COMPUTED_VALUE"""),"")</f>
        <v/>
      </c>
      <c r="R3963" s="21" t="str">
        <f>IFERROR(__xludf.DUMMYFUNCTION("""COMPUTED_VALUE"""),"https://drive.google.com/file/d/1lZ5nDGn4tgKGDeKSYemHcbup-KBp0CzW/view?usp=drivesdk")</f>
        <v>https://drive.google.com/file/d/1lZ5nDGn4tgKGDeKSYemHcbup-KBp0CzW/view?usp=drivesdk</v>
      </c>
    </row>
    <row r="3964">
      <c r="A3964" s="15">
        <f>IFERROR(__xludf.DUMMYFUNCTION("""COMPUTED_VALUE"""),45118.0)</f>
        <v>45118</v>
      </c>
      <c r="B3964" s="16" t="str">
        <f>IFERROR(__xludf.DUMMYFUNCTION("""COMPUTED_VALUE"""),"Carlos Andres Pirachican Numpaque (Mayerli)")</f>
        <v>Carlos Andres Pirachican Numpaque (Mayerli)</v>
      </c>
      <c r="C3964" s="15" t="str">
        <f>IFERROR(__xludf.DUMMYFUNCTION("""COMPUTED_VALUE"""),"MEDELLÍN")</f>
        <v>MEDELLÍN</v>
      </c>
      <c r="D3964" s="15" t="str">
        <f>IFERROR(__xludf.DUMMYFUNCTION("""COMPUTED_VALUE"""),"BUCARAMANGA")</f>
        <v>BUCARAMANGA</v>
      </c>
      <c r="E3964" s="15" t="str">
        <f>IFERROR(__xludf.DUMMYFUNCTION("""COMPUTED_VALUE"""),"Yo Como Solito")</f>
        <v>Yo Como Solito</v>
      </c>
      <c r="F3964" s="17" t="str">
        <f>IFERROR(__xludf.DUMMYFUNCTION("""COMPUTED_VALUE"""),"Carrera 15BA # 34D 44 INT 201  / Buenos Aires quinta linda  / Carrera 15BA # 34D 44 INT 201 Buenos Aires quinta linda")</f>
        <v>Carrera 15BA # 34D 44 INT 201  / Buenos Aires quinta linda  / Carrera 15BA # 34D 44 INT 201 Buenos Aires quinta linda</v>
      </c>
      <c r="G3964" s="15" t="str">
        <f>IFERROR(__xludf.DUMMYFUNCTION("""COMPUTED_VALUE"""),"Daniela Bedoya blandón")</f>
        <v>Daniela Bedoya blandón</v>
      </c>
      <c r="H3964" s="16">
        <f>IFERROR(__xludf.DUMMYFUNCTION("""COMPUTED_VALUE"""),12559.0)</f>
        <v>12559</v>
      </c>
      <c r="I3964" s="18">
        <f>IFERROR(__xludf.DUMMYFUNCTION("""COMPUTED_VALUE"""),12.0)</f>
        <v>12</v>
      </c>
      <c r="J3964" s="18">
        <f>IFERROR(__xludf.DUMMYFUNCTION("""COMPUTED_VALUE"""),22.0)</f>
        <v>22</v>
      </c>
      <c r="K3964" s="18">
        <f>IFERROR(__xludf.DUMMYFUNCTION("""COMPUTED_VALUE"""),28.0)</f>
        <v>28</v>
      </c>
      <c r="L3964" s="17">
        <f>IFERROR(__xludf.DUMMYFUNCTION("""COMPUTED_VALUE"""),3.14672822E9)</f>
        <v>3146728220</v>
      </c>
      <c r="M3964" s="17" t="str">
        <f>IFERROR(__xludf.DUMMYFUNCTION("""COMPUTED_VALUE"""),"#REF!")</f>
        <v>#REF!</v>
      </c>
      <c r="N3964" s="17"/>
      <c r="O3964" s="17"/>
      <c r="P3964" s="17" t="b">
        <f>IFERROR(__xludf.DUMMYFUNCTION("""COMPUTED_VALUE"""),FALSE)</f>
        <v>0</v>
      </c>
      <c r="Q3964" s="20" t="str">
        <f>IFERROR(__xludf.DUMMYFUNCTION("""COMPUTED_VALUE"""),"")</f>
        <v/>
      </c>
      <c r="R3964" s="22" t="str">
        <f>IFERROR(__xludf.DUMMYFUNCTION("""COMPUTED_VALUE"""),"")</f>
        <v/>
      </c>
    </row>
    <row r="3965">
      <c r="A3965" s="17" t="str">
        <f>IFERROR(__xludf.DUMMYFUNCTION("""COMPUTED_VALUE"""),"")</f>
        <v/>
      </c>
      <c r="B3965" s="17" t="str">
        <f>IFERROR(__xludf.DUMMYFUNCTION("""COMPUTED_VALUE"""),"")</f>
        <v/>
      </c>
      <c r="C3965" s="17" t="str">
        <f>IFERROR(__xludf.DUMMYFUNCTION("""COMPUTED_VALUE"""),"")</f>
        <v/>
      </c>
      <c r="D3965" s="17" t="str">
        <f>IFERROR(__xludf.DUMMYFUNCTION("""COMPUTED_VALUE"""),"")</f>
        <v/>
      </c>
      <c r="E3965" s="17" t="str">
        <f>IFERROR(__xludf.DUMMYFUNCTION("""COMPUTED_VALUE"""),"")</f>
        <v/>
      </c>
      <c r="F3965" s="17" t="str">
        <f>IFERROR(__xludf.DUMMYFUNCTION("""COMPUTED_VALUE"""),"")</f>
        <v/>
      </c>
      <c r="G3965" s="17" t="str">
        <f>IFERROR(__xludf.DUMMYFUNCTION("""COMPUTED_VALUE"""),"")</f>
        <v/>
      </c>
      <c r="H3965" s="17" t="str">
        <f>IFERROR(__xludf.DUMMYFUNCTION("""COMPUTED_VALUE"""),"")</f>
        <v/>
      </c>
      <c r="I3965" s="17" t="str">
        <f>IFERROR(__xludf.DUMMYFUNCTION("""COMPUTED_VALUE"""),"")</f>
        <v/>
      </c>
      <c r="J3965" s="17" t="str">
        <f>IFERROR(__xludf.DUMMYFUNCTION("""COMPUTED_VALUE"""),"")</f>
        <v/>
      </c>
      <c r="K3965" s="17" t="str">
        <f>IFERROR(__xludf.DUMMYFUNCTION("""COMPUTED_VALUE"""),"")</f>
        <v/>
      </c>
      <c r="L3965" s="17" t="str">
        <f>IFERROR(__xludf.DUMMYFUNCTION("""COMPUTED_VALUE"""),"")</f>
        <v/>
      </c>
      <c r="M3965" s="17" t="str">
        <f>IFERROR(__xludf.DUMMYFUNCTION("""COMPUTED_VALUE"""),"")</f>
        <v/>
      </c>
      <c r="N3965" s="17" t="str">
        <f>IFERROR(__xludf.DUMMYFUNCTION("""COMPUTED_VALUE"""),"")</f>
        <v/>
      </c>
      <c r="O3965" s="17" t="str">
        <f>IFERROR(__xludf.DUMMYFUNCTION("""COMPUTED_VALUE"""),"")</f>
        <v/>
      </c>
      <c r="P3965" s="17" t="str">
        <f>IFERROR(__xludf.DUMMYFUNCTION("""COMPUTED_VALUE"""),"")</f>
        <v/>
      </c>
      <c r="Q3965" s="17" t="str">
        <f>IFERROR(__xludf.DUMMYFUNCTION("""COMPUTED_VALUE"""),"")</f>
        <v/>
      </c>
      <c r="R3965" s="17" t="str">
        <f>IFERROR(__xludf.DUMMYFUNCTION("""COMPUTED_VALUE"""),"")</f>
        <v/>
      </c>
    </row>
    <row r="3966">
      <c r="A3966" s="15">
        <f>IFERROR(__xludf.DUMMYFUNCTION("""COMPUTED_VALUE"""),45118.0)</f>
        <v>45118</v>
      </c>
      <c r="B3966" s="16" t="str">
        <f>IFERROR(__xludf.DUMMYFUNCTION("""COMPUTED_VALUE"""),"Deivi Alejandro Quintero Corrales")</f>
        <v>Deivi Alejandro Quintero Corrales</v>
      </c>
      <c r="C3966" s="15" t="str">
        <f>IFERROR(__xludf.DUMMYFUNCTION("""COMPUTED_VALUE"""),"ARMENIA")</f>
        <v>ARMENIA</v>
      </c>
      <c r="D3966" s="15" t="str">
        <f>IFERROR(__xludf.DUMMYFUNCTION("""COMPUTED_VALUE"""),"MEDELLÍN")</f>
        <v>MEDELLÍN</v>
      </c>
      <c r="E3966" s="15" t="str">
        <f>IFERROR(__xludf.DUMMYFUNCTION("""COMPUTED_VALUE"""),"TOLEDALES S.A.S")</f>
        <v>TOLEDALES S.A.S</v>
      </c>
      <c r="F3966" s="17" t="str">
        <f>IFERROR(__xludf.DUMMYFUNCTION("""COMPUTED_VALUE"""),"Cra 14 # 46 norte -41 mall zona de oro")</f>
        <v>Cra 14 # 46 norte -41 mall zona de oro</v>
      </c>
      <c r="G3966" s="15" t="str">
        <f>IFERROR(__xludf.DUMMYFUNCTION("""COMPUTED_VALUE"""),"paola andrea gomez")</f>
        <v>paola andrea gomez</v>
      </c>
      <c r="H3966" s="16">
        <f>IFERROR(__xludf.DUMMYFUNCTION("""COMPUTED_VALUE"""),12460.0)</f>
        <v>12460</v>
      </c>
      <c r="I3966" s="18">
        <f>IFERROR(__xludf.DUMMYFUNCTION("""COMPUTED_VALUE"""),11.0)</f>
        <v>11</v>
      </c>
      <c r="J3966" s="18">
        <f>IFERROR(__xludf.DUMMYFUNCTION("""COMPUTED_VALUE"""),17.0)</f>
        <v>17</v>
      </c>
      <c r="K3966" s="18">
        <f>IFERROR(__xludf.DUMMYFUNCTION("""COMPUTED_VALUE"""),30.0)</f>
        <v>30</v>
      </c>
      <c r="L3966" s="17">
        <f>IFERROR(__xludf.DUMMYFUNCTION("""COMPUTED_VALUE"""),3.003222972E9)</f>
        <v>3003222972</v>
      </c>
      <c r="M3966" s="17" t="str">
        <f>IFERROR(__xludf.DUMMYFUNCTION("""COMPUTED_VALUE"""),"#REF!")</f>
        <v>#REF!</v>
      </c>
      <c r="N3966" s="17"/>
      <c r="O3966" s="17"/>
      <c r="P3966" s="17" t="b">
        <f>IFERROR(__xludf.DUMMYFUNCTION("""COMPUTED_VALUE"""),FALSE)</f>
        <v>0</v>
      </c>
      <c r="Q3966" s="20" t="str">
        <f>IFERROR(__xludf.DUMMYFUNCTION("""COMPUTED_VALUE"""),"")</f>
        <v/>
      </c>
      <c r="R3966" s="22" t="str">
        <f>IFERROR(__xludf.DUMMYFUNCTION("""COMPUTED_VALUE"""),"")</f>
        <v/>
      </c>
    </row>
    <row r="3967">
      <c r="A3967" s="15">
        <f>IFERROR(__xludf.DUMMYFUNCTION("""COMPUTED_VALUE"""),45118.0)</f>
        <v>45118</v>
      </c>
      <c r="B3967" s="16" t="str">
        <f>IFERROR(__xludf.DUMMYFUNCTION("""COMPUTED_VALUE"""),"Deivi Alejandro Quintero Corrales")</f>
        <v>Deivi Alejandro Quintero Corrales</v>
      </c>
      <c r="C3967" s="15" t="str">
        <f>IFERROR(__xludf.DUMMYFUNCTION("""COMPUTED_VALUE"""),"PEREIRA")</f>
        <v>PEREIRA</v>
      </c>
      <c r="D3967" s="15" t="str">
        <f>IFERROR(__xludf.DUMMYFUNCTION("""COMPUTED_VALUE"""),"BOGOTÁ")</f>
        <v>BOGOTÁ</v>
      </c>
      <c r="E3967" s="15" t="str">
        <f>IFERROR(__xludf.DUMMYFUNCTION("""COMPUTED_VALUE"""),"Lunchy Kids")</f>
        <v>Lunchy Kids</v>
      </c>
      <c r="F3967" s="17" t="str">
        <f>IFERROR(__xludf.DUMMYFUNCTION("""COMPUTED_VALUE"""),"Calle 12 # 33-10  / guaduales de canaan Casa 80   / barrio alamos")</f>
        <v>Calle 12 # 33-10  / guaduales de canaan Casa 80   / barrio alamos</v>
      </c>
      <c r="G3967" s="15" t="str">
        <f>IFERROR(__xludf.DUMMYFUNCTION("""COMPUTED_VALUE"""),"Vivian Vanegas")</f>
        <v>Vivian Vanegas</v>
      </c>
      <c r="H3967" s="16">
        <f>IFERROR(__xludf.DUMMYFUNCTION("""COMPUTED_VALUE"""),12468.0)</f>
        <v>12468</v>
      </c>
      <c r="I3967" s="18">
        <f>IFERROR(__xludf.DUMMYFUNCTION("""COMPUTED_VALUE"""),12.0)</f>
        <v>12</v>
      </c>
      <c r="J3967" s="18">
        <f>IFERROR(__xludf.DUMMYFUNCTION("""COMPUTED_VALUE"""),29.0)</f>
        <v>29</v>
      </c>
      <c r="K3967" s="18">
        <f>IFERROR(__xludf.DUMMYFUNCTION("""COMPUTED_VALUE"""),11.0)</f>
        <v>11</v>
      </c>
      <c r="L3967" s="17">
        <f>IFERROR(__xludf.DUMMYFUNCTION("""COMPUTED_VALUE"""),3.145116813E9)</f>
        <v>3145116813</v>
      </c>
      <c r="M3967" s="17" t="str">
        <f>IFERROR(__xludf.DUMMYFUNCTION("""COMPUTED_VALUE"""),"#REF!")</f>
        <v>#REF!</v>
      </c>
      <c r="N3967" s="17"/>
      <c r="O3967" s="17"/>
      <c r="P3967" s="17" t="b">
        <f>IFERROR(__xludf.DUMMYFUNCTION("""COMPUTED_VALUE"""),FALSE)</f>
        <v>0</v>
      </c>
      <c r="Q3967" s="20" t="str">
        <f>IFERROR(__xludf.DUMMYFUNCTION("""COMPUTED_VALUE"""),"")</f>
        <v/>
      </c>
      <c r="R3967" s="21" t="str">
        <f>IFERROR(__xludf.DUMMYFUNCTION("""COMPUTED_VALUE"""),"https://drive.google.com/file/d/1my3X1ogVZ1Ii8Ri_uNIm1icwHdst0I7z/view?usp=drivesdk")</f>
        <v>https://drive.google.com/file/d/1my3X1ogVZ1Ii8Ri_uNIm1icwHdst0I7z/view?usp=drivesdk</v>
      </c>
    </row>
    <row r="3968">
      <c r="A3968" s="15">
        <f>IFERROR(__xludf.DUMMYFUNCTION("""COMPUTED_VALUE"""),45118.0)</f>
        <v>45118</v>
      </c>
      <c r="B3968" s="16" t="str">
        <f>IFERROR(__xludf.DUMMYFUNCTION("""COMPUTED_VALUE"""),"Deivi Alejandro Quintero Corrales")</f>
        <v>Deivi Alejandro Quintero Corrales</v>
      </c>
      <c r="C3968" s="15" t="str">
        <f>IFERROR(__xludf.DUMMYFUNCTION("""COMPUTED_VALUE"""),"PEREIRA")</f>
        <v>PEREIRA</v>
      </c>
      <c r="D3968" s="15" t="str">
        <f>IFERROR(__xludf.DUMMYFUNCTION("""COMPUTED_VALUE"""),"BOGOTÁ")</f>
        <v>BOGOTÁ</v>
      </c>
      <c r="E3968" s="15" t="str">
        <f>IFERROR(__xludf.DUMMYFUNCTION("""COMPUTED_VALUE"""),"Pan de Waffle")</f>
        <v>Pan de Waffle</v>
      </c>
      <c r="F3968" s="17" t="str">
        <f>IFERROR(__xludf.DUMMYFUNCTION("""COMPUTED_VALUE"""),"Carrera 14 # 12 - 55 / Carrera 14 # 12 - 55 / Carrera 14 # 12 - 55")</f>
        <v>Carrera 14 # 12 - 55 / Carrera 14 # 12 - 55 / Carrera 14 # 12 - 55</v>
      </c>
      <c r="G3968" s="15" t="str">
        <f>IFERROR(__xludf.DUMMYFUNCTION("""COMPUTED_VALUE"""),"VITA ECO PEREIRA")</f>
        <v>VITA ECO PEREIRA</v>
      </c>
      <c r="H3968" s="16">
        <f>IFERROR(__xludf.DUMMYFUNCTION("""COMPUTED_VALUE"""),12546.0)</f>
        <v>12546</v>
      </c>
      <c r="I3968" s="18">
        <f>IFERROR(__xludf.DUMMYFUNCTION("""COMPUTED_VALUE"""),30.0)</f>
        <v>30</v>
      </c>
      <c r="J3968" s="18">
        <f>IFERROR(__xludf.DUMMYFUNCTION("""COMPUTED_VALUE"""),30.0)</f>
        <v>30</v>
      </c>
      <c r="K3968" s="18">
        <f>IFERROR(__xludf.DUMMYFUNCTION("""COMPUTED_VALUE"""),30.0)</f>
        <v>30</v>
      </c>
      <c r="L3968" s="17">
        <f>IFERROR(__xludf.DUMMYFUNCTION("""COMPUTED_VALUE"""),3.215501948E9)</f>
        <v>3215501948</v>
      </c>
      <c r="M3968" s="17" t="str">
        <f>IFERROR(__xludf.DUMMYFUNCTION("""COMPUTED_VALUE"""),"#REF!")</f>
        <v>#REF!</v>
      </c>
      <c r="N3968" s="17"/>
      <c r="O3968" s="17"/>
      <c r="P3968" s="17" t="b">
        <f>IFERROR(__xludf.DUMMYFUNCTION("""COMPUTED_VALUE"""),FALSE)</f>
        <v>0</v>
      </c>
      <c r="Q3968" s="20" t="str">
        <f>IFERROR(__xludf.DUMMYFUNCTION("""COMPUTED_VALUE"""),"")</f>
        <v/>
      </c>
      <c r="R3968" s="22" t="str">
        <f>IFERROR(__xludf.DUMMYFUNCTION("""COMPUTED_VALUE"""),"")</f>
        <v/>
      </c>
    </row>
    <row r="3969">
      <c r="A3969" s="15">
        <f>IFERROR(__xludf.DUMMYFUNCTION("""COMPUTED_VALUE"""),45118.0)</f>
        <v>45118</v>
      </c>
      <c r="B3969" s="16" t="str">
        <f>IFERROR(__xludf.DUMMYFUNCTION("""COMPUTED_VALUE"""),"Deivi Alejandro Quintero Corrales")</f>
        <v>Deivi Alejandro Quintero Corrales</v>
      </c>
      <c r="C3969" s="15" t="str">
        <f>IFERROR(__xludf.DUMMYFUNCTION("""COMPUTED_VALUE"""),"PEREIRA")</f>
        <v>PEREIRA</v>
      </c>
      <c r="D3969" s="15" t="str">
        <f>IFERROR(__xludf.DUMMYFUNCTION("""COMPUTED_VALUE"""),"BUCARAMANGA")</f>
        <v>BUCARAMANGA</v>
      </c>
      <c r="E3969" s="15" t="str">
        <f>IFERROR(__xludf.DUMMYFUNCTION("""COMPUTED_VALUE"""),"Yo Como Solito")</f>
        <v>Yo Como Solito</v>
      </c>
      <c r="F3969" s="17" t="str">
        <f>IFERROR(__xludf.DUMMYFUNCTION("""COMPUTED_VALUE"""),"Avenida condina # 89-02  / Torre 2 apto 1101  / Conjunto palmacera")</f>
        <v>Avenida condina # 89-02  / Torre 2 apto 1101  / Conjunto palmacera</v>
      </c>
      <c r="G3969" s="15" t="str">
        <f>IFERROR(__xludf.DUMMYFUNCTION("""COMPUTED_VALUE"""),"Cristina Urueña")</f>
        <v>Cristina Urueña</v>
      </c>
      <c r="H3969" s="16">
        <f>IFERROR(__xludf.DUMMYFUNCTION("""COMPUTED_VALUE"""),12560.0)</f>
        <v>12560</v>
      </c>
      <c r="I3969" s="18">
        <f>IFERROR(__xludf.DUMMYFUNCTION("""COMPUTED_VALUE"""),12.0)</f>
        <v>12</v>
      </c>
      <c r="J3969" s="18">
        <f>IFERROR(__xludf.DUMMYFUNCTION("""COMPUTED_VALUE"""),25.0)</f>
        <v>25</v>
      </c>
      <c r="K3969" s="18">
        <f>IFERROR(__xludf.DUMMYFUNCTION("""COMPUTED_VALUE"""),35.0)</f>
        <v>35</v>
      </c>
      <c r="L3969" s="17">
        <f>IFERROR(__xludf.DUMMYFUNCTION("""COMPUTED_VALUE"""),3.164052922E9)</f>
        <v>3164052922</v>
      </c>
      <c r="M3969" s="17" t="str">
        <f>IFERROR(__xludf.DUMMYFUNCTION("""COMPUTED_VALUE"""),"#REF!")</f>
        <v>#REF!</v>
      </c>
      <c r="N3969" s="17"/>
      <c r="O3969" s="17"/>
      <c r="P3969" s="17" t="b">
        <f>IFERROR(__xludf.DUMMYFUNCTION("""COMPUTED_VALUE"""),FALSE)</f>
        <v>0</v>
      </c>
      <c r="Q3969" s="20" t="str">
        <f>IFERROR(__xludf.DUMMYFUNCTION("""COMPUTED_VALUE"""),"")</f>
        <v/>
      </c>
      <c r="R3969" s="21" t="str">
        <f>IFERROR(__xludf.DUMMYFUNCTION("""COMPUTED_VALUE"""),"https://drive.google.com/file/d/1zxDlJakRJ4N594zzc5onGOKS5KtULHQg/view?usp=drivesdk")</f>
        <v>https://drive.google.com/file/d/1zxDlJakRJ4N594zzc5onGOKS5KtULHQg/view?usp=drivesdk</v>
      </c>
    </row>
    <row r="3970">
      <c r="A3970" s="15">
        <f>IFERROR(__xludf.DUMMYFUNCTION("""COMPUTED_VALUE"""),45118.0)</f>
        <v>45118</v>
      </c>
      <c r="B3970" s="16" t="str">
        <f>IFERROR(__xludf.DUMMYFUNCTION("""COMPUTED_VALUE"""),"Deivi Alejandro Quintero Corrales")</f>
        <v>Deivi Alejandro Quintero Corrales</v>
      </c>
      <c r="C3970" s="15" t="str">
        <f>IFERROR(__xludf.DUMMYFUNCTION("""COMPUTED_VALUE"""),"PEREIRA")</f>
        <v>PEREIRA</v>
      </c>
      <c r="D3970" s="15" t="str">
        <f>IFERROR(__xludf.DUMMYFUNCTION("""COMPUTED_VALUE"""),"MEDELLÍN")</f>
        <v>MEDELLÍN</v>
      </c>
      <c r="E3970" s="15" t="str">
        <f>IFERROR(__xludf.DUMMYFUNCTION("""COMPUTED_VALUE"""),"AREPAS LA MARY")</f>
        <v>AREPAS LA MARY</v>
      </c>
      <c r="F3970" s="17" t="str">
        <f>IFERROR(__xludf.DUMMYFUNCTION("""COMPUTED_VALUE"""),"CRA 14 N.12 55 CIRCUNVALAR / LOCAL")</f>
        <v>CRA 14 N.12 55 CIRCUNVALAR / LOCAL</v>
      </c>
      <c r="G3970" s="15" t="str">
        <f>IFERROR(__xludf.DUMMYFUNCTION("""COMPUTED_VALUE"""),"VITAECO MARKET")</f>
        <v>VITAECO MARKET</v>
      </c>
      <c r="H3970" s="16">
        <f>IFERROR(__xludf.DUMMYFUNCTION("""COMPUTED_VALUE"""),12523.0)</f>
        <v>12523</v>
      </c>
      <c r="I3970" s="18">
        <f>IFERROR(__xludf.DUMMYFUNCTION("""COMPUTED_VALUE"""),89.0)</f>
        <v>89</v>
      </c>
      <c r="J3970" s="18">
        <f>IFERROR(__xludf.DUMMYFUNCTION("""COMPUTED_VALUE"""),1.0)</f>
        <v>1</v>
      </c>
      <c r="K3970" s="18">
        <f>IFERROR(__xludf.DUMMYFUNCTION("""COMPUTED_VALUE"""),10.0)</f>
        <v>10</v>
      </c>
      <c r="L3970" s="17" t="str">
        <f>IFERROR(__xludf.DUMMYFUNCTION("""COMPUTED_VALUE"""),"314 6455280")</f>
        <v>314 6455280</v>
      </c>
      <c r="M3970" s="17" t="str">
        <f>IFERROR(__xludf.DUMMYFUNCTION("""COMPUTED_VALUE"""),"#REF!")</f>
        <v>#REF!</v>
      </c>
      <c r="N3970" s="17"/>
      <c r="O3970" s="17"/>
      <c r="P3970" s="17" t="b">
        <f>IFERROR(__xludf.DUMMYFUNCTION("""COMPUTED_VALUE"""),FALSE)</f>
        <v>0</v>
      </c>
      <c r="Q3970" s="20" t="str">
        <f>IFERROR(__xludf.DUMMYFUNCTION("""COMPUTED_VALUE"""),"")</f>
        <v/>
      </c>
      <c r="R3970" s="21" t="str">
        <f>IFERROR(__xludf.DUMMYFUNCTION("""COMPUTED_VALUE"""),"https://drive.google.com/file/d/1k1pAvRG6xCTHg2q2H_LlDe8arGUmUuhf/view?usp=drivesdk")</f>
        <v>https://drive.google.com/file/d/1k1pAvRG6xCTHg2q2H_LlDe8arGUmUuhf/view?usp=drivesdk</v>
      </c>
    </row>
    <row r="3971">
      <c r="A3971" s="15">
        <f>IFERROR(__xludf.DUMMYFUNCTION("""COMPUTED_VALUE"""),45118.0)</f>
        <v>45118</v>
      </c>
      <c r="B3971" s="16" t="str">
        <f>IFERROR(__xludf.DUMMYFUNCTION("""COMPUTED_VALUE"""),"Deivi Alejandro Quintero Corrales")</f>
        <v>Deivi Alejandro Quintero Corrales</v>
      </c>
      <c r="C3971" s="15" t="str">
        <f>IFERROR(__xludf.DUMMYFUNCTION("""COMPUTED_VALUE"""),"PEREIRA")</f>
        <v>PEREIRA</v>
      </c>
      <c r="D3971" s="15" t="str">
        <f>IFERROR(__xludf.DUMMYFUNCTION("""COMPUTED_VALUE"""),"MEDELLÍN")</f>
        <v>MEDELLÍN</v>
      </c>
      <c r="E3971" s="15" t="str">
        <f>IFERROR(__xludf.DUMMYFUNCTION("""COMPUTED_VALUE"""),"Baby Chef")</f>
        <v>Baby Chef</v>
      </c>
      <c r="F3971" s="17" t="str">
        <f>IFERROR(__xludf.DUMMYFUNCTION("""COMPUTED_VALUE"""),"carrera 18 # 9-45 casa 17 conjunto residencial bahia palma / carrera 18 # 9-45 casa 17 conjunto residencial bahia palma / carrera 18 # 9-45 casa 17 conjunto residencial bahia palma")</f>
        <v>carrera 18 # 9-45 casa 17 conjunto residencial bahia palma / carrera 18 # 9-45 casa 17 conjunto residencial bahia palma / carrera 18 # 9-45 casa 17 conjunto residencial bahia palma</v>
      </c>
      <c r="G3971" s="15" t="str">
        <f>IFERROR(__xludf.DUMMYFUNCTION("""COMPUTED_VALUE"""),"Mariana Ripoll Sanz")</f>
        <v>Mariana Ripoll Sanz</v>
      </c>
      <c r="H3971" s="16">
        <f>IFERROR(__xludf.DUMMYFUNCTION("""COMPUTED_VALUE"""),12540.0)</f>
        <v>12540</v>
      </c>
      <c r="I3971" s="18">
        <f>IFERROR(__xludf.DUMMYFUNCTION("""COMPUTED_VALUE"""),8.0)</f>
        <v>8</v>
      </c>
      <c r="J3971" s="18">
        <f>IFERROR(__xludf.DUMMYFUNCTION("""COMPUTED_VALUE"""),16.0)</f>
        <v>16</v>
      </c>
      <c r="K3971" s="18">
        <f>IFERROR(__xludf.DUMMYFUNCTION("""COMPUTED_VALUE"""),20.0)</f>
        <v>20</v>
      </c>
      <c r="L3971" s="17">
        <f>IFERROR(__xludf.DUMMYFUNCTION("""COMPUTED_VALUE"""),3.136858427E9)</f>
        <v>3136858427</v>
      </c>
      <c r="M3971" s="17" t="str">
        <f>IFERROR(__xludf.DUMMYFUNCTION("""COMPUTED_VALUE"""),"#REF!")</f>
        <v>#REF!</v>
      </c>
      <c r="N3971" s="17"/>
      <c r="O3971" s="17"/>
      <c r="P3971" s="17" t="b">
        <f>IFERROR(__xludf.DUMMYFUNCTION("""COMPUTED_VALUE"""),FALSE)</f>
        <v>0</v>
      </c>
      <c r="Q3971" s="20" t="str">
        <f>IFERROR(__xludf.DUMMYFUNCTION("""COMPUTED_VALUE"""),"")</f>
        <v/>
      </c>
      <c r="R3971" s="21" t="str">
        <f>IFERROR(__xludf.DUMMYFUNCTION("""COMPUTED_VALUE"""),"https://drive.google.com/file/d/1Bj3XLZHqIEHCipkE9utlYHWOUMVLZpfJ/view?usp=drivesdk")</f>
        <v>https://drive.google.com/file/d/1Bj3XLZHqIEHCipkE9utlYHWOUMVLZpfJ/view?usp=drivesdk</v>
      </c>
    </row>
    <row r="3972">
      <c r="A3972" s="15">
        <f>IFERROR(__xludf.DUMMYFUNCTION("""COMPUTED_VALUE"""),45118.0)</f>
        <v>45118</v>
      </c>
      <c r="B3972" s="16" t="str">
        <f>IFERROR(__xludf.DUMMYFUNCTION("""COMPUTED_VALUE"""),"Deivi Alejandro Quintero Corrales")</f>
        <v>Deivi Alejandro Quintero Corrales</v>
      </c>
      <c r="C3972" s="15" t="str">
        <f>IFERROR(__xludf.DUMMYFUNCTION("""COMPUTED_VALUE"""),"PEREIRA")</f>
        <v>PEREIRA</v>
      </c>
      <c r="D3972" s="15" t="str">
        <f>IFERROR(__xludf.DUMMYFUNCTION("""COMPUTED_VALUE"""),"MEDELLÍN")</f>
        <v>MEDELLÍN</v>
      </c>
      <c r="E3972" s="15" t="str">
        <f>IFERROR(__xludf.DUMMYFUNCTION("""COMPUTED_VALUE"""),"Rambla")</f>
        <v>Rambla</v>
      </c>
      <c r="F3972" s="17" t="str">
        <f>IFERROR(__xludf.DUMMYFUNCTION("""COMPUTED_VALUE"""),"unicentro nibel b local b04  / nivel b / unicentro")</f>
        <v>unicentro nibel b local b04  / nivel b / unicentro</v>
      </c>
      <c r="G3972" s="15" t="str">
        <f>IFERROR(__xludf.DUMMYFUNCTION("""COMPUTED_VALUE"""),"terrasano-diana marcela sanabria")</f>
        <v>terrasano-diana marcela sanabria</v>
      </c>
      <c r="H3972" s="16">
        <f>IFERROR(__xludf.DUMMYFUNCTION("""COMPUTED_VALUE"""),12545.0)</f>
        <v>12545</v>
      </c>
      <c r="I3972" s="18">
        <f>IFERROR(__xludf.DUMMYFUNCTION("""COMPUTED_VALUE"""),32.0)</f>
        <v>32</v>
      </c>
      <c r="J3972" s="18">
        <f>IFERROR(__xludf.DUMMYFUNCTION("""COMPUTED_VALUE"""),23.0)</f>
        <v>23</v>
      </c>
      <c r="K3972" s="18">
        <f>IFERROR(__xludf.DUMMYFUNCTION("""COMPUTED_VALUE"""),22.0)</f>
        <v>22</v>
      </c>
      <c r="L3972" s="17">
        <f>IFERROR(__xludf.DUMMYFUNCTION("""COMPUTED_VALUE"""),3.234572533E9)</f>
        <v>3234572533</v>
      </c>
      <c r="M3972" s="17" t="str">
        <f>IFERROR(__xludf.DUMMYFUNCTION("""COMPUTED_VALUE"""),"#REF!")</f>
        <v>#REF!</v>
      </c>
      <c r="N3972" s="17"/>
      <c r="O3972" s="17"/>
      <c r="P3972" s="17" t="b">
        <f>IFERROR(__xludf.DUMMYFUNCTION("""COMPUTED_VALUE"""),TRUE)</f>
        <v>1</v>
      </c>
      <c r="Q3972" s="20">
        <f>IFERROR(__xludf.DUMMYFUNCTION("""COMPUTED_VALUE"""),45118.72182366898)</f>
        <v>45118.72182</v>
      </c>
      <c r="R3972" s="21" t="str">
        <f>IFERROR(__xludf.DUMMYFUNCTION("""COMPUTED_VALUE"""),"https://drive.google.com/file/d/1cmWlPZbF_HNT6gcdBISFHRrczq4FDbR2/view?usp=drivesdk")</f>
        <v>https://drive.google.com/file/d/1cmWlPZbF_HNT6gcdBISFHRrczq4FDbR2/view?usp=drivesdk</v>
      </c>
    </row>
    <row r="3973">
      <c r="A3973" s="17" t="str">
        <f>IFERROR(__xludf.DUMMYFUNCTION("""COMPUTED_VALUE"""),"")</f>
        <v/>
      </c>
      <c r="B3973" s="17" t="str">
        <f>IFERROR(__xludf.DUMMYFUNCTION("""COMPUTED_VALUE"""),"")</f>
        <v/>
      </c>
      <c r="C3973" s="17" t="str">
        <f>IFERROR(__xludf.DUMMYFUNCTION("""COMPUTED_VALUE"""),"")</f>
        <v/>
      </c>
      <c r="D3973" s="17" t="str">
        <f>IFERROR(__xludf.DUMMYFUNCTION("""COMPUTED_VALUE"""),"")</f>
        <v/>
      </c>
      <c r="E3973" s="17" t="str">
        <f>IFERROR(__xludf.DUMMYFUNCTION("""COMPUTED_VALUE"""),"")</f>
        <v/>
      </c>
      <c r="F3973" s="17" t="str">
        <f>IFERROR(__xludf.DUMMYFUNCTION("""COMPUTED_VALUE"""),"")</f>
        <v/>
      </c>
      <c r="G3973" s="17" t="str">
        <f>IFERROR(__xludf.DUMMYFUNCTION("""COMPUTED_VALUE"""),"")</f>
        <v/>
      </c>
      <c r="H3973" s="17" t="str">
        <f>IFERROR(__xludf.DUMMYFUNCTION("""COMPUTED_VALUE"""),"")</f>
        <v/>
      </c>
      <c r="I3973" s="17" t="str">
        <f>IFERROR(__xludf.DUMMYFUNCTION("""COMPUTED_VALUE"""),"")</f>
        <v/>
      </c>
      <c r="J3973" s="17" t="str">
        <f>IFERROR(__xludf.DUMMYFUNCTION("""COMPUTED_VALUE"""),"")</f>
        <v/>
      </c>
      <c r="K3973" s="17" t="str">
        <f>IFERROR(__xludf.DUMMYFUNCTION("""COMPUTED_VALUE"""),"")</f>
        <v/>
      </c>
      <c r="L3973" s="17" t="str">
        <f>IFERROR(__xludf.DUMMYFUNCTION("""COMPUTED_VALUE"""),"")</f>
        <v/>
      </c>
      <c r="M3973" s="17" t="str">
        <f>IFERROR(__xludf.DUMMYFUNCTION("""COMPUTED_VALUE"""),"")</f>
        <v/>
      </c>
      <c r="N3973" s="17" t="str">
        <f>IFERROR(__xludf.DUMMYFUNCTION("""COMPUTED_VALUE"""),"")</f>
        <v/>
      </c>
      <c r="O3973" s="17" t="str">
        <f>IFERROR(__xludf.DUMMYFUNCTION("""COMPUTED_VALUE"""),"")</f>
        <v/>
      </c>
      <c r="P3973" s="17" t="str">
        <f>IFERROR(__xludf.DUMMYFUNCTION("""COMPUTED_VALUE"""),"")</f>
        <v/>
      </c>
      <c r="Q3973" s="17" t="str">
        <f>IFERROR(__xludf.DUMMYFUNCTION("""COMPUTED_VALUE"""),"")</f>
        <v/>
      </c>
      <c r="R3973" s="17" t="str">
        <f>IFERROR(__xludf.DUMMYFUNCTION("""COMPUTED_VALUE"""),"")</f>
        <v/>
      </c>
    </row>
    <row r="3974">
      <c r="A3974" s="15">
        <f>IFERROR(__xludf.DUMMYFUNCTION("""COMPUTED_VALUE"""),45118.0)</f>
        <v>45118</v>
      </c>
      <c r="B3974" s="16" t="str">
        <f>IFERROR(__xludf.DUMMYFUNCTION("""COMPUTED_VALUE"""),"Duvan Gabriel Alvarez Giron")</f>
        <v>Duvan Gabriel Alvarez Giron</v>
      </c>
      <c r="C3974" s="15" t="str">
        <f>IFERROR(__xludf.DUMMYFUNCTION("""COMPUTED_VALUE"""),"FLORIDABLANCA")</f>
        <v>FLORIDABLANCA</v>
      </c>
      <c r="D3974" s="15" t="str">
        <f>IFERROR(__xludf.DUMMYFUNCTION("""COMPUTED_VALUE"""),"BOGOTÁ")</f>
        <v>BOGOTÁ</v>
      </c>
      <c r="E3974" s="15" t="str">
        <f>IFERROR(__xludf.DUMMYFUNCTION("""COMPUTED_VALUE"""),"Asociacion Agropecuaria Juana Maria")</f>
        <v>Asociacion Agropecuaria Juana Maria</v>
      </c>
      <c r="F3974" s="17" t="str">
        <f>IFERROR(__xludf.DUMMYFUNCTION("""COMPUTED_VALUE"""),"Calle 19 #11-37 Guanatá FLORIDABLANCA")</f>
        <v>Calle 19 #11-37 Guanatá FLORIDABLANCA</v>
      </c>
      <c r="G3974" s="15" t="str">
        <f>IFERROR(__xludf.DUMMYFUNCTION("""COMPUTED_VALUE"""),"Claudia Gonzalez")</f>
        <v>Claudia Gonzalez</v>
      </c>
      <c r="H3974" s="16">
        <f>IFERROR(__xludf.DUMMYFUNCTION("""COMPUTED_VALUE"""),12486.0)</f>
        <v>12486</v>
      </c>
      <c r="I3974" s="18">
        <f>IFERROR(__xludf.DUMMYFUNCTION("""COMPUTED_VALUE"""),16.0)</f>
        <v>16</v>
      </c>
      <c r="J3974" s="18">
        <f>IFERROR(__xludf.DUMMYFUNCTION("""COMPUTED_VALUE"""),34.0)</f>
        <v>34</v>
      </c>
      <c r="K3974" s="18">
        <f>IFERROR(__xludf.DUMMYFUNCTION("""COMPUTED_VALUE"""),25.0)</f>
        <v>25</v>
      </c>
      <c r="L3974" s="17">
        <f>IFERROR(__xludf.DUMMYFUNCTION("""COMPUTED_VALUE"""),3.002802001E9)</f>
        <v>3002802001</v>
      </c>
      <c r="M3974" s="17" t="str">
        <f>IFERROR(__xludf.DUMMYFUNCTION("""COMPUTED_VALUE"""),"#REF!")</f>
        <v>#REF!</v>
      </c>
      <c r="N3974" s="17"/>
      <c r="O3974" s="17"/>
      <c r="P3974" s="17" t="b">
        <f>IFERROR(__xludf.DUMMYFUNCTION("""COMPUTED_VALUE"""),FALSE)</f>
        <v>0</v>
      </c>
      <c r="Q3974" s="20" t="str">
        <f>IFERROR(__xludf.DUMMYFUNCTION("""COMPUTED_VALUE"""),"")</f>
        <v/>
      </c>
      <c r="R3974" s="22" t="str">
        <f>IFERROR(__xludf.DUMMYFUNCTION("""COMPUTED_VALUE"""),"")</f>
        <v/>
      </c>
    </row>
    <row r="3975">
      <c r="A3975" s="15">
        <f>IFERROR(__xludf.DUMMYFUNCTION("""COMPUTED_VALUE"""),45118.0)</f>
        <v>45118</v>
      </c>
      <c r="B3975" s="16" t="str">
        <f>IFERROR(__xludf.DUMMYFUNCTION("""COMPUTED_VALUE"""),"Duvan Gabriel Alvarez Giron")</f>
        <v>Duvan Gabriel Alvarez Giron</v>
      </c>
      <c r="C3975" s="15" t="str">
        <f>IFERROR(__xludf.DUMMYFUNCTION("""COMPUTED_VALUE"""),"IBAGUÉ")</f>
        <v>IBAGUÉ</v>
      </c>
      <c r="D3975" s="15" t="str">
        <f>IFERROR(__xludf.DUMMYFUNCTION("""COMPUTED_VALUE"""),"BOGOTÁ")</f>
        <v>BOGOTÁ</v>
      </c>
      <c r="E3975" s="15" t="str">
        <f>IFERROR(__xludf.DUMMYFUNCTION("""COMPUTED_VALUE"""),"Asociacion Agropecuaria Juana Maria")</f>
        <v>Asociacion Agropecuaria Juana Maria</v>
      </c>
      <c r="F3975" s="17" t="str">
        <f>IFERROR(__xludf.DUMMYFUNCTION("""COMPUTED_VALUE"""),"Calle 93 # 7 Sur-90 torre 7 apto 701 Conjunto Residencial Altagracia")</f>
        <v>Calle 93 # 7 Sur-90 torre 7 apto 701 Conjunto Residencial Altagracia</v>
      </c>
      <c r="G3975" s="15" t="str">
        <f>IFERROR(__xludf.DUMMYFUNCTION("""COMPUTED_VALUE"""),"Mariam Yasmin Murillo Rubio")</f>
        <v>Mariam Yasmin Murillo Rubio</v>
      </c>
      <c r="H3975" s="16">
        <f>IFERROR(__xludf.DUMMYFUNCTION("""COMPUTED_VALUE"""),12488.0)</f>
        <v>12488</v>
      </c>
      <c r="I3975" s="18">
        <f>IFERROR(__xludf.DUMMYFUNCTION("""COMPUTED_VALUE"""),17.0)</f>
        <v>17</v>
      </c>
      <c r="J3975" s="18">
        <f>IFERROR(__xludf.DUMMYFUNCTION("""COMPUTED_VALUE"""),37.0)</f>
        <v>37</v>
      </c>
      <c r="K3975" s="18">
        <f>IFERROR(__xludf.DUMMYFUNCTION("""COMPUTED_VALUE"""),28.0)</f>
        <v>28</v>
      </c>
      <c r="L3975" s="17">
        <f>IFERROR(__xludf.DUMMYFUNCTION("""COMPUTED_VALUE"""),3.105789664E9)</f>
        <v>3105789664</v>
      </c>
      <c r="M3975" s="17" t="str">
        <f>IFERROR(__xludf.DUMMYFUNCTION("""COMPUTED_VALUE"""),"#REF!")</f>
        <v>#REF!</v>
      </c>
      <c r="N3975" s="17"/>
      <c r="O3975" s="17"/>
      <c r="P3975" s="17" t="b">
        <f>IFERROR(__xludf.DUMMYFUNCTION("""COMPUTED_VALUE"""),FALSE)</f>
        <v>0</v>
      </c>
      <c r="Q3975" s="20" t="str">
        <f>IFERROR(__xludf.DUMMYFUNCTION("""COMPUTED_VALUE"""),"")</f>
        <v/>
      </c>
      <c r="R3975" s="21" t="str">
        <f>IFERROR(__xludf.DUMMYFUNCTION("""COMPUTED_VALUE"""),"https://drive.google.com/file/d/1YIg8IPTFi9C4u7OlWowTFhPge8jx5T8v/view?usp=drivesdk")</f>
        <v>https://drive.google.com/file/d/1YIg8IPTFi9C4u7OlWowTFhPge8jx5T8v/view?usp=drivesdk</v>
      </c>
    </row>
    <row r="3976">
      <c r="A3976" s="15">
        <f>IFERROR(__xludf.DUMMYFUNCTION("""COMPUTED_VALUE"""),45118.0)</f>
        <v>45118</v>
      </c>
      <c r="B3976" s="16" t="str">
        <f>IFERROR(__xludf.DUMMYFUNCTION("""COMPUTED_VALUE"""),"Duvan Gabriel Alvarez Giron")</f>
        <v>Duvan Gabriel Alvarez Giron</v>
      </c>
      <c r="C3976" s="15" t="str">
        <f>IFERROR(__xludf.DUMMYFUNCTION("""COMPUTED_VALUE"""),"IBAGUÉ")</f>
        <v>IBAGUÉ</v>
      </c>
      <c r="D3976" s="15" t="str">
        <f>IFERROR(__xludf.DUMMYFUNCTION("""COMPUTED_VALUE"""),"BOGOTÁ")</f>
        <v>BOGOTÁ</v>
      </c>
      <c r="E3976" s="15" t="str">
        <f>IFERROR(__xludf.DUMMYFUNCTION("""COMPUTED_VALUE"""),"Evamazzita")</f>
        <v>Evamazzita</v>
      </c>
      <c r="F3976" s="17" t="str">
        <f>IFERROR(__xludf.DUMMYFUNCTION("""COMPUTED_VALUE"""),"Carrera 11 A #35-62 / N/A / Barrio Gaitan Parte Alta")</f>
        <v>Carrera 11 A #35-62 / N/A / Barrio Gaitan Parte Alta</v>
      </c>
      <c r="G3976" s="15" t="str">
        <f>IFERROR(__xludf.DUMMYFUNCTION("""COMPUTED_VALUE"""),"JORGE BERNARDO TORRES")</f>
        <v>JORGE BERNARDO TORRES</v>
      </c>
      <c r="H3976" s="16">
        <f>IFERROR(__xludf.DUMMYFUNCTION("""COMPUTED_VALUE"""),12520.0)</f>
        <v>12520</v>
      </c>
      <c r="I3976" s="18">
        <f>IFERROR(__xludf.DUMMYFUNCTION("""COMPUTED_VALUE"""),14.0)</f>
        <v>14</v>
      </c>
      <c r="J3976" s="18">
        <f>IFERROR(__xludf.DUMMYFUNCTION("""COMPUTED_VALUE"""),33.0)</f>
        <v>33</v>
      </c>
      <c r="K3976" s="18">
        <f>IFERROR(__xludf.DUMMYFUNCTION("""COMPUTED_VALUE"""),27.0)</f>
        <v>27</v>
      </c>
      <c r="L3976" s="17">
        <f>IFERROR(__xludf.DUMMYFUNCTION("""COMPUTED_VALUE"""),3.144530156E9)</f>
        <v>3144530156</v>
      </c>
      <c r="M3976" s="17" t="str">
        <f>IFERROR(__xludf.DUMMYFUNCTION("""COMPUTED_VALUE"""),"#REF!")</f>
        <v>#REF!</v>
      </c>
      <c r="N3976" s="17"/>
      <c r="O3976" s="17"/>
      <c r="P3976" s="17" t="b">
        <f>IFERROR(__xludf.DUMMYFUNCTION("""COMPUTED_VALUE"""),TRUE)</f>
        <v>1</v>
      </c>
      <c r="Q3976" s="20">
        <f>IFERROR(__xludf.DUMMYFUNCTION("""COMPUTED_VALUE"""),45118.72192596065)</f>
        <v>45118.72193</v>
      </c>
      <c r="R3976" s="21" t="str">
        <f>IFERROR(__xludf.DUMMYFUNCTION("""COMPUTED_VALUE"""),"https://drive.google.com/file/d/1hx6z1P_LuP4QsuZ4zSV8VsmmEKg1Trrs/view?usp=drivesdk")</f>
        <v>https://drive.google.com/file/d/1hx6z1P_LuP4QsuZ4zSV8VsmmEKg1Trrs/view?usp=drivesdk</v>
      </c>
    </row>
    <row r="3977">
      <c r="A3977" s="15">
        <f>IFERROR(__xludf.DUMMYFUNCTION("""COMPUTED_VALUE"""),45118.0)</f>
        <v>45118</v>
      </c>
      <c r="B3977" s="16" t="str">
        <f>IFERROR(__xludf.DUMMYFUNCTION("""COMPUTED_VALUE"""),"Duvan Gabriel Alvarez Giron")</f>
        <v>Duvan Gabriel Alvarez Giron</v>
      </c>
      <c r="C3977" s="15" t="str">
        <f>IFERROR(__xludf.DUMMYFUNCTION("""COMPUTED_VALUE"""),"IBAGUÉ")</f>
        <v>IBAGUÉ</v>
      </c>
      <c r="D3977" s="15" t="str">
        <f>IFERROR(__xludf.DUMMYFUNCTION("""COMPUTED_VALUE"""),"BOGOTÁ")</f>
        <v>BOGOTÁ</v>
      </c>
      <c r="E3977" s="15" t="str">
        <f>IFERROR(__xludf.DUMMYFUNCTION("""COMPUTED_VALUE"""),"Ins. Alimento Vital")</f>
        <v>Ins. Alimento Vital</v>
      </c>
      <c r="F3977" s="17" t="str">
        <f>IFERROR(__xludf.DUMMYFUNCTION("""COMPUTED_VALUE"""),"CL 57 4A 53 / TR A AP 703 / TORREON DE PIEDRA PINTADA 1")</f>
        <v>CL 57 4A 53 / TR A AP 703 / TORREON DE PIEDRA PINTADA 1</v>
      </c>
      <c r="G3977" s="15" t="str">
        <f>IFERROR(__xludf.DUMMYFUNCTION("""COMPUTED_VALUE"""),"ANGELICA CECILIA BARRETO JIMENEZ")</f>
        <v>ANGELICA CECILIA BARRETO JIMENEZ</v>
      </c>
      <c r="H3977" s="16">
        <f>IFERROR(__xludf.DUMMYFUNCTION("""COMPUTED_VALUE"""),12499.0)</f>
        <v>12499</v>
      </c>
      <c r="I3977" s="18">
        <f>IFERROR(__xludf.DUMMYFUNCTION("""COMPUTED_VALUE"""),1.0)</f>
        <v>1</v>
      </c>
      <c r="J3977" s="18">
        <f>IFERROR(__xludf.DUMMYFUNCTION("""COMPUTED_VALUE"""),1.0)</f>
        <v>1</v>
      </c>
      <c r="K3977" s="18">
        <f>IFERROR(__xludf.DUMMYFUNCTION("""COMPUTED_VALUE"""),1.0)</f>
        <v>1</v>
      </c>
      <c r="L3977" s="17">
        <f>IFERROR(__xludf.DUMMYFUNCTION("""COMPUTED_VALUE"""),3.212060068E9)</f>
        <v>3212060068</v>
      </c>
      <c r="M3977" s="17" t="str">
        <f>IFERROR(__xludf.DUMMYFUNCTION("""COMPUTED_VALUE"""),"#REF!")</f>
        <v>#REF!</v>
      </c>
      <c r="N3977" s="17"/>
      <c r="O3977" s="17"/>
      <c r="P3977" s="17" t="b">
        <f>IFERROR(__xludf.DUMMYFUNCTION("""COMPUTED_VALUE"""),TRUE)</f>
        <v>1</v>
      </c>
      <c r="Q3977" s="20">
        <f>IFERROR(__xludf.DUMMYFUNCTION("""COMPUTED_VALUE"""),45118.72197962963)</f>
        <v>45118.72198</v>
      </c>
      <c r="R3977" s="21" t="str">
        <f>IFERROR(__xludf.DUMMYFUNCTION("""COMPUTED_VALUE"""),"https://drive.google.com/file/d/1YL1hBPon2j_ugkHXI-jbsMOiDeyeNNL6/view?usp=drivesdk")</f>
        <v>https://drive.google.com/file/d/1YL1hBPon2j_ugkHXI-jbsMOiDeyeNNL6/view?usp=drivesdk</v>
      </c>
    </row>
    <row r="3978">
      <c r="A3978" s="15">
        <f>IFERROR(__xludf.DUMMYFUNCTION("""COMPUTED_VALUE"""),45118.0)</f>
        <v>45118</v>
      </c>
      <c r="B3978" s="16" t="str">
        <f>IFERROR(__xludf.DUMMYFUNCTION("""COMPUTED_VALUE"""),"Duvan Gabriel Alvarez Giron")</f>
        <v>Duvan Gabriel Alvarez Giron</v>
      </c>
      <c r="C3978" s="15" t="str">
        <f>IFERROR(__xludf.DUMMYFUNCTION("""COMPUTED_VALUE"""),"IBAGUÉ")</f>
        <v>IBAGUÉ</v>
      </c>
      <c r="D3978" s="15" t="str">
        <f>IFERROR(__xludf.DUMMYFUNCTION("""COMPUTED_VALUE"""),"BOGOTÁ")</f>
        <v>BOGOTÁ</v>
      </c>
      <c r="E3978" s="15" t="str">
        <f>IFERROR(__xludf.DUMMYFUNCTION("""COMPUTED_VALUE"""),"Ins. Alimento Vital")</f>
        <v>Ins. Alimento Vital</v>
      </c>
      <c r="F3978" s="17" t="str">
        <f>IFERROR(__xludf.DUMMYFUNCTION("""COMPUTED_VALUE"""),"MANZANA M CASA 2B  / CASA 2B / BARRIO ARKALA")</f>
        <v>MANZANA M CASA 2B  / CASA 2B / BARRIO ARKALA</v>
      </c>
      <c r="G3978" s="15" t="str">
        <f>IFERROR(__xludf.DUMMYFUNCTION("""COMPUTED_VALUE"""),"YINA LIZETH DIAZ TORRES")</f>
        <v>YINA LIZETH DIAZ TORRES</v>
      </c>
      <c r="H3978" s="16">
        <f>IFERROR(__xludf.DUMMYFUNCTION("""COMPUTED_VALUE"""),12495.0)</f>
        <v>12495</v>
      </c>
      <c r="I3978" s="18">
        <f>IFERROR(__xludf.DUMMYFUNCTION("""COMPUTED_VALUE"""),1.0)</f>
        <v>1</v>
      </c>
      <c r="J3978" s="18">
        <f>IFERROR(__xludf.DUMMYFUNCTION("""COMPUTED_VALUE"""),1.0)</f>
        <v>1</v>
      </c>
      <c r="K3978" s="18">
        <f>IFERROR(__xludf.DUMMYFUNCTION("""COMPUTED_VALUE"""),1.0)</f>
        <v>1</v>
      </c>
      <c r="L3978" s="17">
        <f>IFERROR(__xludf.DUMMYFUNCTION("""COMPUTED_VALUE"""),3.134502277E9)</f>
        <v>3134502277</v>
      </c>
      <c r="M3978" s="17" t="str">
        <f>IFERROR(__xludf.DUMMYFUNCTION("""COMPUTED_VALUE"""),"#REF!")</f>
        <v>#REF!</v>
      </c>
      <c r="N3978" s="17"/>
      <c r="O3978" s="17"/>
      <c r="P3978" s="17" t="b">
        <f>IFERROR(__xludf.DUMMYFUNCTION("""COMPUTED_VALUE"""),FALSE)</f>
        <v>0</v>
      </c>
      <c r="Q3978" s="20" t="str">
        <f>IFERROR(__xludf.DUMMYFUNCTION("""COMPUTED_VALUE"""),"")</f>
        <v/>
      </c>
      <c r="R3978" s="21" t="str">
        <f>IFERROR(__xludf.DUMMYFUNCTION("""COMPUTED_VALUE"""),"https://drive.google.com/file/d/1VeW5ThMcex9OoRL485NQlt-iJgQBnhTr/view?usp=drivesdk")</f>
        <v>https://drive.google.com/file/d/1VeW5ThMcex9OoRL485NQlt-iJgQBnhTr/view?usp=drivesdk</v>
      </c>
    </row>
    <row r="3979">
      <c r="A3979" s="15">
        <f>IFERROR(__xludf.DUMMYFUNCTION("""COMPUTED_VALUE"""),45118.0)</f>
        <v>45118</v>
      </c>
      <c r="B3979" s="16" t="str">
        <f>IFERROR(__xludf.DUMMYFUNCTION("""COMPUTED_VALUE"""),"Duvan Gabriel Alvarez Giron")</f>
        <v>Duvan Gabriel Alvarez Giron</v>
      </c>
      <c r="C3979" s="15" t="str">
        <f>IFERROR(__xludf.DUMMYFUNCTION("""COMPUTED_VALUE"""),"IBAGUÉ")</f>
        <v>IBAGUÉ</v>
      </c>
      <c r="D3979" s="15" t="str">
        <f>IFERROR(__xludf.DUMMYFUNCTION("""COMPUTED_VALUE"""),"BOGOTÁ")</f>
        <v>BOGOTÁ</v>
      </c>
      <c r="E3979" s="15" t="str">
        <f>IFERROR(__xludf.DUMMYFUNCTION("""COMPUTED_VALUE"""),"Karem foods")</f>
        <v>Karem foods</v>
      </c>
      <c r="F3979" s="17" t="str">
        <f>IFERROR(__xludf.DUMMYFUNCTION("""COMPUTED_VALUE"""),"Carrera 14 # 75a - 20 / Local 5  / Estancia del Vergel")</f>
        <v>Carrera 14 # 75a - 20 / Local 5  / Estancia del Vergel</v>
      </c>
      <c r="G3979" s="15" t="str">
        <f>IFERROR(__xludf.DUMMYFUNCTION("""COMPUTED_VALUE"""),"Daniela arbelaez")</f>
        <v>Daniela arbelaez</v>
      </c>
      <c r="H3979" s="16">
        <f>IFERROR(__xludf.DUMMYFUNCTION("""COMPUTED_VALUE"""),12539.0)</f>
        <v>12539</v>
      </c>
      <c r="I3979" s="18">
        <f>IFERROR(__xludf.DUMMYFUNCTION("""COMPUTED_VALUE"""),25.0)</f>
        <v>25</v>
      </c>
      <c r="J3979" s="18">
        <f>IFERROR(__xludf.DUMMYFUNCTION("""COMPUTED_VALUE"""),22.0)</f>
        <v>22</v>
      </c>
      <c r="K3979" s="18">
        <f>IFERROR(__xludf.DUMMYFUNCTION("""COMPUTED_VALUE"""),35.0)</f>
        <v>35</v>
      </c>
      <c r="L3979" s="17">
        <f>IFERROR(__xludf.DUMMYFUNCTION("""COMPUTED_VALUE"""),3.177002909E9)</f>
        <v>3177002909</v>
      </c>
      <c r="M3979" s="17" t="str">
        <f>IFERROR(__xludf.DUMMYFUNCTION("""COMPUTED_VALUE"""),"#REF!")</f>
        <v>#REF!</v>
      </c>
      <c r="N3979" s="17"/>
      <c r="O3979" s="17"/>
      <c r="P3979" s="17" t="b">
        <f>IFERROR(__xludf.DUMMYFUNCTION("""COMPUTED_VALUE"""),FALSE)</f>
        <v>0</v>
      </c>
      <c r="Q3979" s="20" t="str">
        <f>IFERROR(__xludf.DUMMYFUNCTION("""COMPUTED_VALUE"""),"")</f>
        <v/>
      </c>
      <c r="R3979" s="21" t="str">
        <f>IFERROR(__xludf.DUMMYFUNCTION("""COMPUTED_VALUE"""),"https://drive.google.com/file/d/1DL3Fnr8375hClksuMtnnuwW1JttE2fQJ/view?usp=drivesdk")</f>
        <v>https://drive.google.com/file/d/1DL3Fnr8375hClksuMtnnuwW1JttE2fQJ/view?usp=drivesdk</v>
      </c>
    </row>
    <row r="3980">
      <c r="A3980" s="15">
        <f>IFERROR(__xludf.DUMMYFUNCTION("""COMPUTED_VALUE"""),45118.0)</f>
        <v>45118</v>
      </c>
      <c r="B3980" s="16" t="str">
        <f>IFERROR(__xludf.DUMMYFUNCTION("""COMPUTED_VALUE"""),"Duvan Gabriel Alvarez Giron")</f>
        <v>Duvan Gabriel Alvarez Giron</v>
      </c>
      <c r="C3980" s="15" t="str">
        <f>IFERROR(__xludf.DUMMYFUNCTION("""COMPUTED_VALUE"""),"IBAGUÉ")</f>
        <v>IBAGUÉ</v>
      </c>
      <c r="D3980" s="15" t="str">
        <f>IFERROR(__xludf.DUMMYFUNCTION("""COMPUTED_VALUE"""),"BOGOTÁ")</f>
        <v>BOGOTÁ</v>
      </c>
      <c r="E3980" s="15" t="str">
        <f>IFERROR(__xludf.DUMMYFUNCTION("""COMPUTED_VALUE"""),"Lunchy Kids")</f>
        <v>Lunchy Kids</v>
      </c>
      <c r="F3980" s="17" t="str">
        <f>IFERROR(__xludf.DUMMYFUNCTION("""COMPUTED_VALUE"""),"Calle 93 No 7 sur 90  / Conjunto altagracia torre 6 apto 307 / Ibagué")</f>
        <v>Calle 93 No 7 sur 90  / Conjunto altagracia torre 6 apto 307 / Ibagué</v>
      </c>
      <c r="G3980" s="15" t="str">
        <f>IFERROR(__xludf.DUMMYFUNCTION("""COMPUTED_VALUE"""),"Diana Milena Ruiz Vargas")</f>
        <v>Diana Milena Ruiz Vargas</v>
      </c>
      <c r="H3980" s="16">
        <f>IFERROR(__xludf.DUMMYFUNCTION("""COMPUTED_VALUE"""),12469.0)</f>
        <v>12469</v>
      </c>
      <c r="I3980" s="18">
        <f>IFERROR(__xludf.DUMMYFUNCTION("""COMPUTED_VALUE"""),18.0)</f>
        <v>18</v>
      </c>
      <c r="J3980" s="18">
        <f>IFERROR(__xludf.DUMMYFUNCTION("""COMPUTED_VALUE"""),26.0)</f>
        <v>26</v>
      </c>
      <c r="K3980" s="18">
        <f>IFERROR(__xludf.DUMMYFUNCTION("""COMPUTED_VALUE"""),9.0)</f>
        <v>9</v>
      </c>
      <c r="L3980" s="17">
        <f>IFERROR(__xludf.DUMMYFUNCTION("""COMPUTED_VALUE"""),3.178860628E9)</f>
        <v>3178860628</v>
      </c>
      <c r="M3980" s="17" t="str">
        <f>IFERROR(__xludf.DUMMYFUNCTION("""COMPUTED_VALUE"""),"#REF!")</f>
        <v>#REF!</v>
      </c>
      <c r="N3980" s="17"/>
      <c r="O3980" s="17"/>
      <c r="P3980" s="17" t="b">
        <f>IFERROR(__xludf.DUMMYFUNCTION("""COMPUTED_VALUE"""),TRUE)</f>
        <v>1</v>
      </c>
      <c r="Q3980" s="20">
        <f>IFERROR(__xludf.DUMMYFUNCTION("""COMPUTED_VALUE"""),45118.72197962963)</f>
        <v>45118.72198</v>
      </c>
      <c r="R3980" s="21" t="str">
        <f>IFERROR(__xludf.DUMMYFUNCTION("""COMPUTED_VALUE"""),"https://drive.google.com/file/d/1mvn4v0ZaL3jeRiy_idd2xqB9uYKwK2rF/view?usp=drivesdk")</f>
        <v>https://drive.google.com/file/d/1mvn4v0ZaL3jeRiy_idd2xqB9uYKwK2rF/view?usp=drivesdk</v>
      </c>
    </row>
    <row r="3981">
      <c r="A3981" s="15">
        <f>IFERROR(__xludf.DUMMYFUNCTION("""COMPUTED_VALUE"""),45118.0)</f>
        <v>45118</v>
      </c>
      <c r="B3981" s="16" t="str">
        <f>IFERROR(__xludf.DUMMYFUNCTION("""COMPUTED_VALUE"""),"Duvan Gabriel Alvarez Giron")</f>
        <v>Duvan Gabriel Alvarez Giron</v>
      </c>
      <c r="C3981" s="15" t="str">
        <f>IFERROR(__xludf.DUMMYFUNCTION("""COMPUTED_VALUE"""),"IBAGUÉ")</f>
        <v>IBAGUÉ</v>
      </c>
      <c r="D3981" s="15" t="str">
        <f>IFERROR(__xludf.DUMMYFUNCTION("""COMPUTED_VALUE"""),"BOGOTÁ")</f>
        <v>BOGOTÁ</v>
      </c>
      <c r="E3981" s="15" t="str">
        <f>IFERROR(__xludf.DUMMYFUNCTION("""COMPUTED_VALUE"""),"Pan de Waffle")</f>
        <v>Pan de Waffle</v>
      </c>
      <c r="F3981" s="17" t="str">
        <f>IFERROR(__xludf.DUMMYFUNCTION("""COMPUTED_VALUE"""),"Carrera 6a # 61 - 71 Prados del Norte / Carrera 6a # 61 - 71 Prados del Norte / Carrera 6a # 61 - 71 Prados del Norte")</f>
        <v>Carrera 6a # 61 - 71 Prados del Norte / Carrera 6a # 61 - 71 Prados del Norte / Carrera 6a # 61 - 71 Prados del Norte</v>
      </c>
      <c r="G3981" s="15" t="str">
        <f>IFERROR(__xludf.DUMMYFUNCTION("""COMPUTED_VALUE"""),"SOY NATURAL SEDE 60")</f>
        <v>SOY NATURAL SEDE 60</v>
      </c>
      <c r="H3981" s="16">
        <f>IFERROR(__xludf.DUMMYFUNCTION("""COMPUTED_VALUE"""),12549.0)</f>
        <v>12549</v>
      </c>
      <c r="I3981" s="18">
        <f>IFERROR(__xludf.DUMMYFUNCTION("""COMPUTED_VALUE"""),30.0)</f>
        <v>30</v>
      </c>
      <c r="J3981" s="18">
        <f>IFERROR(__xludf.DUMMYFUNCTION("""COMPUTED_VALUE"""),30.0)</f>
        <v>30</v>
      </c>
      <c r="K3981" s="18">
        <f>IFERROR(__xludf.DUMMYFUNCTION("""COMPUTED_VALUE"""),40.0)</f>
        <v>40</v>
      </c>
      <c r="L3981" s="17">
        <f>IFERROR(__xludf.DUMMYFUNCTION("""COMPUTED_VALUE"""),3.183851902E9)</f>
        <v>3183851902</v>
      </c>
      <c r="M3981" s="17" t="str">
        <f>IFERROR(__xludf.DUMMYFUNCTION("""COMPUTED_VALUE"""),"#REF!")</f>
        <v>#REF!</v>
      </c>
      <c r="N3981" s="17"/>
      <c r="O3981" s="17"/>
      <c r="P3981" s="17" t="b">
        <f>IFERROR(__xludf.DUMMYFUNCTION("""COMPUTED_VALUE"""),FALSE)</f>
        <v>0</v>
      </c>
      <c r="Q3981" s="20" t="str">
        <f>IFERROR(__xludf.DUMMYFUNCTION("""COMPUTED_VALUE"""),"")</f>
        <v/>
      </c>
      <c r="R3981" s="21" t="str">
        <f>IFERROR(__xludf.DUMMYFUNCTION("""COMPUTED_VALUE"""),"https://drive.google.com/file/d/11-PIBpmE4pxsKHsVo5aUQl3aI7SuKQKW/view?usp=drivesdk")</f>
        <v>https://drive.google.com/file/d/11-PIBpmE4pxsKHsVo5aUQl3aI7SuKQKW/view?usp=drivesdk</v>
      </c>
    </row>
    <row r="3982">
      <c r="A3982" s="15">
        <f>IFERROR(__xludf.DUMMYFUNCTION("""COMPUTED_VALUE"""),45118.0)</f>
        <v>45118</v>
      </c>
      <c r="B3982" s="16" t="str">
        <f>IFERROR(__xludf.DUMMYFUNCTION("""COMPUTED_VALUE"""),"Duvan Gabriel Alvarez Giron")</f>
        <v>Duvan Gabriel Alvarez Giron</v>
      </c>
      <c r="C3982" s="15" t="str">
        <f>IFERROR(__xludf.DUMMYFUNCTION("""COMPUTED_VALUE"""),"PIEDECUESTA")</f>
        <v>PIEDECUESTA</v>
      </c>
      <c r="D3982" s="15" t="str">
        <f>IFERROR(__xludf.DUMMYFUNCTION("""COMPUTED_VALUE"""),"BOGOTÁ")</f>
        <v>BOGOTÁ</v>
      </c>
      <c r="E3982" s="15" t="str">
        <f>IFERROR(__xludf.DUMMYFUNCTION("""COMPUTED_VALUE"""),"Ins. Alimento Vital")</f>
        <v>Ins. Alimento Vital</v>
      </c>
      <c r="F3982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3982" s="15" t="str">
        <f>IFERROR(__xludf.DUMMYFUNCTION("""COMPUTED_VALUE"""),"LORENA GRANADOS BARCO")</f>
        <v>LORENA GRANADOS BARCO</v>
      </c>
      <c r="H3982" s="16">
        <f>IFERROR(__xludf.DUMMYFUNCTION("""COMPUTED_VALUE"""),12498.0)</f>
        <v>12498</v>
      </c>
      <c r="I3982" s="18">
        <f>IFERROR(__xludf.DUMMYFUNCTION("""COMPUTED_VALUE"""),1.0)</f>
        <v>1</v>
      </c>
      <c r="J3982" s="18">
        <f>IFERROR(__xludf.DUMMYFUNCTION("""COMPUTED_VALUE"""),1.0)</f>
        <v>1</v>
      </c>
      <c r="K3982" s="18">
        <f>IFERROR(__xludf.DUMMYFUNCTION("""COMPUTED_VALUE"""),1.0)</f>
        <v>1</v>
      </c>
      <c r="L3982" s="17">
        <f>IFERROR(__xludf.DUMMYFUNCTION("""COMPUTED_VALUE"""),3.003286319E9)</f>
        <v>3003286319</v>
      </c>
      <c r="M3982" s="17" t="str">
        <f>IFERROR(__xludf.DUMMYFUNCTION("""COMPUTED_VALUE"""),"#REF!")</f>
        <v>#REF!</v>
      </c>
      <c r="N3982" s="17"/>
      <c r="O3982" s="17"/>
      <c r="P3982" s="17" t="b">
        <f>IFERROR(__xludf.DUMMYFUNCTION("""COMPUTED_VALUE"""),FALSE)</f>
        <v>0</v>
      </c>
      <c r="Q3982" s="20" t="str">
        <f>IFERROR(__xludf.DUMMYFUNCTION("""COMPUTED_VALUE"""),"")</f>
        <v/>
      </c>
      <c r="R3982" s="21" t="str">
        <f>IFERROR(__xludf.DUMMYFUNCTION("""COMPUTED_VALUE"""),"https://drive.google.com/file/d/1JbRNKitw0tCNVAXmIf7UCu7Ydf4GD7iW/view?usp=drivesdk")</f>
        <v>https://drive.google.com/file/d/1JbRNKitw0tCNVAXmIf7UCu7Ydf4GD7iW/view?usp=drivesdk</v>
      </c>
    </row>
    <row r="3983">
      <c r="A3983" s="17" t="str">
        <f>IFERROR(__xludf.DUMMYFUNCTION("""COMPUTED_VALUE"""),"")</f>
        <v/>
      </c>
      <c r="B3983" s="17" t="str">
        <f>IFERROR(__xludf.DUMMYFUNCTION("""COMPUTED_VALUE"""),"")</f>
        <v/>
      </c>
      <c r="C3983" s="17" t="str">
        <f>IFERROR(__xludf.DUMMYFUNCTION("""COMPUTED_VALUE"""),"")</f>
        <v/>
      </c>
      <c r="D3983" s="17" t="str">
        <f>IFERROR(__xludf.DUMMYFUNCTION("""COMPUTED_VALUE"""),"")</f>
        <v/>
      </c>
      <c r="E3983" s="17" t="str">
        <f>IFERROR(__xludf.DUMMYFUNCTION("""COMPUTED_VALUE"""),"")</f>
        <v/>
      </c>
      <c r="F3983" s="17" t="str">
        <f>IFERROR(__xludf.DUMMYFUNCTION("""COMPUTED_VALUE"""),"")</f>
        <v/>
      </c>
      <c r="G3983" s="17" t="str">
        <f>IFERROR(__xludf.DUMMYFUNCTION("""COMPUTED_VALUE"""),"")</f>
        <v/>
      </c>
      <c r="H3983" s="17" t="str">
        <f>IFERROR(__xludf.DUMMYFUNCTION("""COMPUTED_VALUE"""),"")</f>
        <v/>
      </c>
      <c r="I3983" s="17" t="str">
        <f>IFERROR(__xludf.DUMMYFUNCTION("""COMPUTED_VALUE"""),"")</f>
        <v/>
      </c>
      <c r="J3983" s="17" t="str">
        <f>IFERROR(__xludf.DUMMYFUNCTION("""COMPUTED_VALUE"""),"")</f>
        <v/>
      </c>
      <c r="K3983" s="17" t="str">
        <f>IFERROR(__xludf.DUMMYFUNCTION("""COMPUTED_VALUE"""),"")</f>
        <v/>
      </c>
      <c r="L3983" s="17" t="str">
        <f>IFERROR(__xludf.DUMMYFUNCTION("""COMPUTED_VALUE"""),"")</f>
        <v/>
      </c>
      <c r="M3983" s="17" t="str">
        <f>IFERROR(__xludf.DUMMYFUNCTION("""COMPUTED_VALUE"""),"")</f>
        <v/>
      </c>
      <c r="N3983" s="17" t="str">
        <f>IFERROR(__xludf.DUMMYFUNCTION("""COMPUTED_VALUE"""),"")</f>
        <v/>
      </c>
      <c r="O3983" s="17" t="str">
        <f>IFERROR(__xludf.DUMMYFUNCTION("""COMPUTED_VALUE"""),"")</f>
        <v/>
      </c>
      <c r="P3983" s="17" t="str">
        <f>IFERROR(__xludf.DUMMYFUNCTION("""COMPUTED_VALUE"""),"")</f>
        <v/>
      </c>
      <c r="Q3983" s="17" t="str">
        <f>IFERROR(__xludf.DUMMYFUNCTION("""COMPUTED_VALUE"""),"")</f>
        <v/>
      </c>
      <c r="R3983" s="17" t="str">
        <f>IFERROR(__xludf.DUMMYFUNCTION("""COMPUTED_VALUE"""),"")</f>
        <v/>
      </c>
    </row>
    <row r="3984">
      <c r="A3984" s="15">
        <f>IFERROR(__xludf.DUMMYFUNCTION("""COMPUTED_VALUE"""),45118.0)</f>
        <v>45118</v>
      </c>
      <c r="B3984" s="16" t="str">
        <f>IFERROR(__xludf.DUMMYFUNCTION("""COMPUTED_VALUE"""),"Envia")</f>
        <v>Envia</v>
      </c>
      <c r="C3984" s="15" t="str">
        <f>IFERROR(__xludf.DUMMYFUNCTION("""COMPUTED_VALUE"""),"ARMENIA")</f>
        <v>ARMENIA</v>
      </c>
      <c r="D3984" s="15" t="str">
        <f>IFERROR(__xludf.DUMMYFUNCTION("""COMPUTED_VALUE"""),"BOGOTÁ")</f>
        <v>BOGOTÁ</v>
      </c>
      <c r="E3984" s="15" t="str">
        <f>IFERROR(__xludf.DUMMYFUNCTION("""COMPUTED_VALUE"""),"Top Spun")</f>
        <v>Top Spun</v>
      </c>
      <c r="F3984" s="17" t="str">
        <f>IFERROR(__xludf.DUMMYFUNCTION("""COMPUTED_VALUE"""),"Kilometro 9 via el eden / El cabrero casas de campo casa #8 Armenia / Armenia")</f>
        <v>Kilometro 9 via el eden / El cabrero casas de campo casa #8 Armenia / Armenia</v>
      </c>
      <c r="G3984" s="15" t="str">
        <f>IFERROR(__xludf.DUMMYFUNCTION("""COMPUTED_VALUE"""),"Veronica arango")</f>
        <v>Veronica arango</v>
      </c>
      <c r="H3984" s="16">
        <f>IFERROR(__xludf.DUMMYFUNCTION("""COMPUTED_VALUE"""),12476.0)</f>
        <v>12476</v>
      </c>
      <c r="I3984" s="18">
        <f>IFERROR(__xludf.DUMMYFUNCTION("""COMPUTED_VALUE"""),20.0)</f>
        <v>20</v>
      </c>
      <c r="J3984" s="18">
        <f>IFERROR(__xludf.DUMMYFUNCTION("""COMPUTED_VALUE"""),10.0)</f>
        <v>10</v>
      </c>
      <c r="K3984" s="18">
        <f>IFERROR(__xludf.DUMMYFUNCTION("""COMPUTED_VALUE"""),40.0)</f>
        <v>40</v>
      </c>
      <c r="L3984" s="17">
        <f>IFERROR(__xludf.DUMMYFUNCTION("""COMPUTED_VALUE"""),3.117155114E9)</f>
        <v>3117155114</v>
      </c>
      <c r="M3984" s="17" t="str">
        <f>IFERROR(__xludf.DUMMYFUNCTION("""COMPUTED_VALUE"""),"#REF!")</f>
        <v>#REF!</v>
      </c>
      <c r="N3984" s="17"/>
      <c r="O3984" s="17"/>
      <c r="P3984" s="17" t="b">
        <f>IFERROR(__xludf.DUMMYFUNCTION("""COMPUTED_VALUE"""),FALSE)</f>
        <v>0</v>
      </c>
      <c r="Q3984" s="20" t="str">
        <f>IFERROR(__xludf.DUMMYFUNCTION("""COMPUTED_VALUE"""),"")</f>
        <v/>
      </c>
      <c r="R3984" s="22" t="str">
        <f>IFERROR(__xludf.DUMMYFUNCTION("""COMPUTED_VALUE"""),"")</f>
        <v/>
      </c>
    </row>
    <row r="3985">
      <c r="A3985" s="15">
        <f>IFERROR(__xludf.DUMMYFUNCTION("""COMPUTED_VALUE"""),45118.0)</f>
        <v>45118</v>
      </c>
      <c r="B3985" s="16" t="str">
        <f>IFERROR(__xludf.DUMMYFUNCTION("""COMPUTED_VALUE"""),"Envia")</f>
        <v>Envia</v>
      </c>
      <c r="C3985" s="15" t="str">
        <f>IFERROR(__xludf.DUMMYFUNCTION("""COMPUTED_VALUE"""),"BUCARAMANGA")</f>
        <v>BUCARAMANGA</v>
      </c>
      <c r="D3985" s="15" t="str">
        <f>IFERROR(__xludf.DUMMYFUNCTION("""COMPUTED_VALUE"""),"MEDELLÍN")</f>
        <v>MEDELLÍN</v>
      </c>
      <c r="E3985" s="15" t="str">
        <f>IFERROR(__xludf.DUMMYFUNCTION("""COMPUTED_VALUE"""),"AREPAS LA MARY")</f>
        <v>AREPAS LA MARY</v>
      </c>
      <c r="F3985" s="17" t="str">
        <f>IFERROR(__xludf.DUMMYFUNCTION("""COMPUTED_VALUE"""),"CALLE 55 # 13 -56 PISO 3")</f>
        <v>CALLE 55 # 13 -56 PISO 3</v>
      </c>
      <c r="G3985" s="15" t="str">
        <f>IFERROR(__xludf.DUMMYFUNCTION("""COMPUTED_VALUE"""),"ARANDANO")</f>
        <v>ARANDANO</v>
      </c>
      <c r="H3985" s="16">
        <f>IFERROR(__xludf.DUMMYFUNCTION("""COMPUTED_VALUE"""),12522.0)</f>
        <v>12522</v>
      </c>
      <c r="I3985" s="18">
        <f>IFERROR(__xludf.DUMMYFUNCTION("""COMPUTED_VALUE"""),89.0)</f>
        <v>89</v>
      </c>
      <c r="J3985" s="18">
        <f>IFERROR(__xludf.DUMMYFUNCTION("""COMPUTED_VALUE"""),1.0)</f>
        <v>1</v>
      </c>
      <c r="K3985" s="18">
        <f>IFERROR(__xludf.DUMMYFUNCTION("""COMPUTED_VALUE"""),10.0)</f>
        <v>10</v>
      </c>
      <c r="L3985" s="17">
        <f>IFERROR(__xludf.DUMMYFUNCTION("""COMPUTED_VALUE"""),3.158600162E9)</f>
        <v>3158600162</v>
      </c>
      <c r="M3985" s="17" t="str">
        <f>IFERROR(__xludf.DUMMYFUNCTION("""COMPUTED_VALUE"""),"#REF!")</f>
        <v>#REF!</v>
      </c>
      <c r="N3985" s="17"/>
      <c r="O3985" s="17"/>
      <c r="P3985" s="17" t="b">
        <f>IFERROR(__xludf.DUMMYFUNCTION("""COMPUTED_VALUE"""),FALSE)</f>
        <v>0</v>
      </c>
      <c r="Q3985" s="20" t="str">
        <f>IFERROR(__xludf.DUMMYFUNCTION("""COMPUTED_VALUE"""),"")</f>
        <v/>
      </c>
      <c r="R3985" s="21" t="str">
        <f>IFERROR(__xludf.DUMMYFUNCTION("""COMPUTED_VALUE"""),"https://drive.google.com/file/d/1MROfnkDQ9SNYYxLOeCqhI7CDTTGJwW4Q/view?usp=drivesdk")</f>
        <v>https://drive.google.com/file/d/1MROfnkDQ9SNYYxLOeCqhI7CDTTGJwW4Q/view?usp=drivesdk</v>
      </c>
    </row>
    <row r="3986">
      <c r="A3986" s="15">
        <f>IFERROR(__xludf.DUMMYFUNCTION("""COMPUTED_VALUE"""),45118.0)</f>
        <v>45118</v>
      </c>
      <c r="B3986" s="16" t="str">
        <f>IFERROR(__xludf.DUMMYFUNCTION("""COMPUTED_VALUE"""),"Envia")</f>
        <v>Envia</v>
      </c>
      <c r="C3986" s="15" t="str">
        <f>IFERROR(__xludf.DUMMYFUNCTION("""COMPUTED_VALUE"""),"BUCARAMANGA")</f>
        <v>BUCARAMANGA</v>
      </c>
      <c r="D3986" s="15" t="str">
        <f>IFERROR(__xludf.DUMMYFUNCTION("""COMPUTED_VALUE"""),"MEDELLÍN")</f>
        <v>MEDELLÍN</v>
      </c>
      <c r="E3986" s="15" t="str">
        <f>IFERROR(__xludf.DUMMYFUNCTION("""COMPUTED_VALUE"""),"Baby Chef")</f>
        <v>Baby Chef</v>
      </c>
      <c r="F3986" s="17" t="str">
        <f>IFERROR(__xludf.DUMMYFUNCTION("""COMPUTED_VALUE"""),"Cra 27a #48-16 edificio Onix san Pedro apto **1404 barrio Soto mayor bucaramanga / Cra 27a #48-16 edificio Onix san Pedro apto **1404 barrio Soto mayor bucaramanga / Cra 27a #48-16 edificio Onix san Pedro apto **1404 barrio Soto mayor bucaramanga")</f>
        <v>Cra 27a #48-16 edificio Onix san Pedro apto **1404 barrio Soto mayor bucaramanga / Cra 27a #48-16 edificio Onix san Pedro apto **1404 barrio Soto mayor bucaramanga / Cra 27a #48-16 edificio Onix san Pedro apto **1404 barrio Soto mayor bucaramanga</v>
      </c>
      <c r="G3986" s="15" t="str">
        <f>IFERROR(__xludf.DUMMYFUNCTION("""COMPUTED_VALUE"""),"Malka Irina Wadnipar Gutiérrez")</f>
        <v>Malka Irina Wadnipar Gutiérrez</v>
      </c>
      <c r="H3986" s="16">
        <f>IFERROR(__xludf.DUMMYFUNCTION("""COMPUTED_VALUE"""),12542.0)</f>
        <v>12542</v>
      </c>
      <c r="I3986" s="18">
        <f>IFERROR(__xludf.DUMMYFUNCTION("""COMPUTED_VALUE"""),8.0)</f>
        <v>8</v>
      </c>
      <c r="J3986" s="18">
        <f>IFERROR(__xludf.DUMMYFUNCTION("""COMPUTED_VALUE"""),16.0)</f>
        <v>16</v>
      </c>
      <c r="K3986" s="18">
        <f>IFERROR(__xludf.DUMMYFUNCTION("""COMPUTED_VALUE"""),20.0)</f>
        <v>20</v>
      </c>
      <c r="L3986" s="17">
        <f>IFERROR(__xludf.DUMMYFUNCTION("""COMPUTED_VALUE"""),3.007651588E9)</f>
        <v>3007651588</v>
      </c>
      <c r="M3986" s="17" t="str">
        <f>IFERROR(__xludf.DUMMYFUNCTION("""COMPUTED_VALUE"""),"#REF!")</f>
        <v>#REF!</v>
      </c>
      <c r="N3986" s="17"/>
      <c r="O3986" s="17"/>
      <c r="P3986" s="17" t="b">
        <f>IFERROR(__xludf.DUMMYFUNCTION("""COMPUTED_VALUE"""),FALSE)</f>
        <v>0</v>
      </c>
      <c r="Q3986" s="20" t="str">
        <f>IFERROR(__xludf.DUMMYFUNCTION("""COMPUTED_VALUE"""),"")</f>
        <v/>
      </c>
      <c r="R3986" s="21" t="str">
        <f>IFERROR(__xludf.DUMMYFUNCTION("""COMPUTED_VALUE"""),"https://drive.google.com/file/d/1-WAp3QGhj_rwoKWaC_IXQYJ1N-KS9lRU/view?usp=drivesdk")</f>
        <v>https://drive.google.com/file/d/1-WAp3QGhj_rwoKWaC_IXQYJ1N-KS9lRU/view?usp=drivesdk</v>
      </c>
    </row>
    <row r="3987">
      <c r="A3987" s="15">
        <f>IFERROR(__xludf.DUMMYFUNCTION("""COMPUTED_VALUE"""),45118.0)</f>
        <v>45118</v>
      </c>
      <c r="B3987" s="16" t="str">
        <f>IFERROR(__xludf.DUMMYFUNCTION("""COMPUTED_VALUE"""),"Envia")</f>
        <v>Envia</v>
      </c>
      <c r="C3987" s="15" t="str">
        <f>IFERROR(__xludf.DUMMYFUNCTION("""COMPUTED_VALUE"""),"CALI")</f>
        <v>CALI</v>
      </c>
      <c r="D3987" s="15" t="str">
        <f>IFERROR(__xludf.DUMMYFUNCTION("""COMPUTED_VALUE"""),"BOGOTÁ")</f>
        <v>BOGOTÁ</v>
      </c>
      <c r="E3987" s="15" t="str">
        <f>IFERROR(__xludf.DUMMYFUNCTION("""COMPUTED_VALUE"""),"Evamazzita")</f>
        <v>Evamazzita</v>
      </c>
      <c r="F3987" s="17" t="str">
        <f>IFERROR(__xludf.DUMMYFUNCTION("""COMPUTED_VALUE"""),"Calle 55c#44-12 / Calle 55c#44-12 / Morichal de Camfandi")</f>
        <v>Calle 55c#44-12 / Calle 55c#44-12 / Morichal de Camfandi</v>
      </c>
      <c r="G3987" s="15" t="str">
        <f>IFERROR(__xludf.DUMMYFUNCTION("""COMPUTED_VALUE"""),"SARA VANESSA ROMERO DORADO")</f>
        <v>SARA VANESSA ROMERO DORADO</v>
      </c>
      <c r="H3987" s="16">
        <f>IFERROR(__xludf.DUMMYFUNCTION("""COMPUTED_VALUE"""),12505.0)</f>
        <v>12505</v>
      </c>
      <c r="I3987" s="18">
        <f>IFERROR(__xludf.DUMMYFUNCTION("""COMPUTED_VALUE"""),1.0)</f>
        <v>1</v>
      </c>
      <c r="J3987" s="18">
        <f>IFERROR(__xludf.DUMMYFUNCTION("""COMPUTED_VALUE"""),1.0)</f>
        <v>1</v>
      </c>
      <c r="K3987" s="18">
        <f>IFERROR(__xludf.DUMMYFUNCTION("""COMPUTED_VALUE"""),1.0)</f>
        <v>1</v>
      </c>
      <c r="L3987" s="17">
        <f>IFERROR(__xludf.DUMMYFUNCTION("""COMPUTED_VALUE"""),3.227916229E9)</f>
        <v>3227916229</v>
      </c>
      <c r="M3987" s="17" t="str">
        <f>IFERROR(__xludf.DUMMYFUNCTION("""COMPUTED_VALUE"""),"#REF!")</f>
        <v>#REF!</v>
      </c>
      <c r="N3987" s="17"/>
      <c r="O3987" s="17"/>
      <c r="P3987" s="17" t="b">
        <f>IFERROR(__xludf.DUMMYFUNCTION("""COMPUTED_VALUE"""),TRUE)</f>
        <v>1</v>
      </c>
      <c r="Q3987" s="20">
        <f>IFERROR(__xludf.DUMMYFUNCTION("""COMPUTED_VALUE"""),45118.72197962963)</f>
        <v>45118.72198</v>
      </c>
      <c r="R3987" s="21" t="str">
        <f>IFERROR(__xludf.DUMMYFUNCTION("""COMPUTED_VALUE"""),"https://drive.google.com/file/d/14ZSDMAMn_x-zO0wqdQRMlgI0Nd_7UQht/view?usp=drivesdk")</f>
        <v>https://drive.google.com/file/d/14ZSDMAMn_x-zO0wqdQRMlgI0Nd_7UQht/view?usp=drivesdk</v>
      </c>
    </row>
    <row r="3988">
      <c r="A3988" s="15">
        <f>IFERROR(__xludf.DUMMYFUNCTION("""COMPUTED_VALUE"""),45118.0)</f>
        <v>45118</v>
      </c>
      <c r="B3988" s="16" t="str">
        <f>IFERROR(__xludf.DUMMYFUNCTION("""COMPUTED_VALUE"""),"Envia")</f>
        <v>Envia</v>
      </c>
      <c r="C3988" s="15" t="str">
        <f>IFERROR(__xludf.DUMMYFUNCTION("""COMPUTED_VALUE"""),"CALI")</f>
        <v>CALI</v>
      </c>
      <c r="D3988" s="15" t="str">
        <f>IFERROR(__xludf.DUMMYFUNCTION("""COMPUTED_VALUE"""),"BOGOTÁ")</f>
        <v>BOGOTÁ</v>
      </c>
      <c r="E3988" s="15" t="str">
        <f>IFERROR(__xludf.DUMMYFUNCTION("""COMPUTED_VALUE"""),"Ins. Alimento Vital")</f>
        <v>Ins. Alimento Vital</v>
      </c>
      <c r="F3988" s="17" t="str">
        <f>IFERROR(__xludf.DUMMYFUNCTION("""COMPUTED_VALUE"""),"CL 34N 2BN 33 / BODEGA / BARRIO SAN VICENTE")</f>
        <v>CL 34N 2BN 33 / BODEGA / BARRIO SAN VICENTE</v>
      </c>
      <c r="G3988" s="15" t="str">
        <f>IFERROR(__xludf.DUMMYFUNCTION("""COMPUTED_VALUE"""),"VELOCITY CALI")</f>
        <v>VELOCITY CALI</v>
      </c>
      <c r="H3988" s="16">
        <f>IFERROR(__xludf.DUMMYFUNCTION("""COMPUTED_VALUE"""),12501.0)</f>
        <v>12501</v>
      </c>
      <c r="I3988" s="18">
        <f>IFERROR(__xludf.DUMMYFUNCTION("""COMPUTED_VALUE"""),1.0)</f>
        <v>1</v>
      </c>
      <c r="J3988" s="18">
        <f>IFERROR(__xludf.DUMMYFUNCTION("""COMPUTED_VALUE"""),1.0)</f>
        <v>1</v>
      </c>
      <c r="K3988" s="18">
        <f>IFERROR(__xludf.DUMMYFUNCTION("""COMPUTED_VALUE"""),1.0)</f>
        <v>1</v>
      </c>
      <c r="L3988" s="17">
        <f>IFERROR(__xludf.DUMMYFUNCTION("""COMPUTED_VALUE"""),3.117591055E9)</f>
        <v>3117591055</v>
      </c>
      <c r="M3988" s="17" t="str">
        <f>IFERROR(__xludf.DUMMYFUNCTION("""COMPUTED_VALUE"""),"#REF!")</f>
        <v>#REF!</v>
      </c>
      <c r="N3988" s="17"/>
      <c r="O3988" s="17"/>
      <c r="P3988" s="17" t="b">
        <f>IFERROR(__xludf.DUMMYFUNCTION("""COMPUTED_VALUE"""),FALSE)</f>
        <v>0</v>
      </c>
      <c r="Q3988" s="20" t="str">
        <f>IFERROR(__xludf.DUMMYFUNCTION("""COMPUTED_VALUE"""),"")</f>
        <v/>
      </c>
      <c r="R3988" s="21" t="str">
        <f>IFERROR(__xludf.DUMMYFUNCTION("""COMPUTED_VALUE"""),"https://drive.google.com/file/d/1j84Ocwlf7EejmXAzA2kutP42AKbAHrNk/view?usp=drivesdk")</f>
        <v>https://drive.google.com/file/d/1j84Ocwlf7EejmXAzA2kutP42AKbAHrNk/view?usp=drivesdk</v>
      </c>
    </row>
    <row r="3989">
      <c r="A3989" s="15">
        <f>IFERROR(__xludf.DUMMYFUNCTION("""COMPUTED_VALUE"""),45118.0)</f>
        <v>45118</v>
      </c>
      <c r="B3989" s="16" t="str">
        <f>IFERROR(__xludf.DUMMYFUNCTION("""COMPUTED_VALUE"""),"Envia")</f>
        <v>Envia</v>
      </c>
      <c r="C3989" s="15" t="str">
        <f>IFERROR(__xludf.DUMMYFUNCTION("""COMPUTED_VALUE"""),"CIRCASÍA")</f>
        <v>CIRCASÍA</v>
      </c>
      <c r="D3989" s="15" t="str">
        <f>IFERROR(__xludf.DUMMYFUNCTION("""COMPUTED_VALUE"""),"BOGOTÁ")</f>
        <v>BOGOTÁ</v>
      </c>
      <c r="E3989" s="15" t="str">
        <f>IFERROR(__xludf.DUMMYFUNCTION("""COMPUTED_VALUE"""),"Pan de Waffle")</f>
        <v>Pan de Waffle</v>
      </c>
      <c r="F3989" s="17" t="str">
        <f>IFERROR(__xludf.DUMMYFUNCTION("""COMPUTED_VALUE"""),"Conjunto Residencial Cantabria MZ-C CASA 9 Circasia - Quindio / Conjunto Residencial Cantabria MZ-C CASA 9 Circasia - Quindio / Conjunto Residencial Cantabria MZ-C CASA 9 Circasia - Quindio")</f>
        <v>Conjunto Residencial Cantabria MZ-C CASA 9 Circasia - Quindio / Conjunto Residencial Cantabria MZ-C CASA 9 Circasia - Quindio / Conjunto Residencial Cantabria MZ-C CASA 9 Circasia - Quindio</v>
      </c>
      <c r="G3989" s="15" t="str">
        <f>IFERROR(__xludf.DUMMYFUNCTION("""COMPUTED_VALUE"""),"TIENDA ANTOJITOS FITNESS")</f>
        <v>TIENDA ANTOJITOS FITNESS</v>
      </c>
      <c r="H3989" s="16">
        <f>IFERROR(__xludf.DUMMYFUNCTION("""COMPUTED_VALUE"""),12548.0)</f>
        <v>12548</v>
      </c>
      <c r="I3989" s="18">
        <f>IFERROR(__xludf.DUMMYFUNCTION("""COMPUTED_VALUE"""),30.0)</f>
        <v>30</v>
      </c>
      <c r="J3989" s="18">
        <f>IFERROR(__xludf.DUMMYFUNCTION("""COMPUTED_VALUE"""),30.0)</f>
        <v>30</v>
      </c>
      <c r="K3989" s="18">
        <f>IFERROR(__xludf.DUMMYFUNCTION("""COMPUTED_VALUE"""),40.0)</f>
        <v>40</v>
      </c>
      <c r="L3989" s="17">
        <f>IFERROR(__xludf.DUMMYFUNCTION("""COMPUTED_VALUE"""),3.204937012E9)</f>
        <v>3204937012</v>
      </c>
      <c r="M3989" s="17" t="str">
        <f>IFERROR(__xludf.DUMMYFUNCTION("""COMPUTED_VALUE"""),"#REF!")</f>
        <v>#REF!</v>
      </c>
      <c r="N3989" s="17"/>
      <c r="O3989" s="17"/>
      <c r="P3989" s="17" t="b">
        <f>IFERROR(__xludf.DUMMYFUNCTION("""COMPUTED_VALUE"""),FALSE)</f>
        <v>0</v>
      </c>
      <c r="Q3989" s="20" t="str">
        <f>IFERROR(__xludf.DUMMYFUNCTION("""COMPUTED_VALUE"""),"")</f>
        <v/>
      </c>
      <c r="R3989" s="22" t="str">
        <f>IFERROR(__xludf.DUMMYFUNCTION("""COMPUTED_VALUE"""),"")</f>
        <v/>
      </c>
    </row>
    <row r="3990">
      <c r="A3990" s="15">
        <f>IFERROR(__xludf.DUMMYFUNCTION("""COMPUTED_VALUE"""),45118.0)</f>
        <v>45118</v>
      </c>
      <c r="B3990" s="16" t="str">
        <f>IFERROR(__xludf.DUMMYFUNCTION("""COMPUTED_VALUE"""),"Envia")</f>
        <v>Envia</v>
      </c>
      <c r="C3990" s="15" t="str">
        <f>IFERROR(__xludf.DUMMYFUNCTION("""COMPUTED_VALUE"""),"MANIZALES")</f>
        <v>MANIZALES</v>
      </c>
      <c r="D3990" s="15" t="str">
        <f>IFERROR(__xludf.DUMMYFUNCTION("""COMPUTED_VALUE"""),"BOGOTÁ")</f>
        <v>BOGOTÁ</v>
      </c>
      <c r="E3990" s="15" t="str">
        <f>IFERROR(__xludf.DUMMYFUNCTION("""COMPUTED_VALUE"""),"Blond &amp; This")</f>
        <v>Blond &amp; This</v>
      </c>
      <c r="F3990" s="17" t="str">
        <f>IFERROR(__xludf.DUMMYFUNCTION("""COMPUTED_VALUE"""),"cra 23#73-86 / rest. farfalla / milan")</f>
        <v>cra 23#73-86 / rest. farfalla / milan</v>
      </c>
      <c r="G3990" s="15" t="str">
        <f>IFERROR(__xludf.DUMMYFUNCTION("""COMPUTED_VALUE"""),"omaira lopez")</f>
        <v>omaira lopez</v>
      </c>
      <c r="H3990" s="16">
        <f>IFERROR(__xludf.DUMMYFUNCTION("""COMPUTED_VALUE"""),12543.0)</f>
        <v>12543</v>
      </c>
      <c r="I3990" s="18">
        <f>IFERROR(__xludf.DUMMYFUNCTION("""COMPUTED_VALUE"""),21.0)</f>
        <v>21</v>
      </c>
      <c r="J3990" s="18">
        <f>IFERROR(__xludf.DUMMYFUNCTION("""COMPUTED_VALUE"""),26.0)</f>
        <v>26</v>
      </c>
      <c r="K3990" s="18">
        <f>IFERROR(__xludf.DUMMYFUNCTION("""COMPUTED_VALUE"""),31.0)</f>
        <v>31</v>
      </c>
      <c r="L3990" s="17">
        <f>IFERROR(__xludf.DUMMYFUNCTION("""COMPUTED_VALUE"""),3.10421678E9)</f>
        <v>3104216780</v>
      </c>
      <c r="M3990" s="17" t="str">
        <f>IFERROR(__xludf.DUMMYFUNCTION("""COMPUTED_VALUE"""),"#REF!")</f>
        <v>#REF!</v>
      </c>
      <c r="N3990" s="17"/>
      <c r="O3990" s="17"/>
      <c r="P3990" s="17" t="b">
        <f>IFERROR(__xludf.DUMMYFUNCTION("""COMPUTED_VALUE"""),FALSE)</f>
        <v>0</v>
      </c>
      <c r="Q3990" s="20" t="str">
        <f>IFERROR(__xludf.DUMMYFUNCTION("""COMPUTED_VALUE"""),"")</f>
        <v/>
      </c>
      <c r="R3990" s="21" t="str">
        <f>IFERROR(__xludf.DUMMYFUNCTION("""COMPUTED_VALUE"""),"https://drive.google.com/file/d/13YRwoFMfHZTQFgnjwV7_4YVee38KWMW-/view?usp=drivesdk")</f>
        <v>https://drive.google.com/file/d/13YRwoFMfHZTQFgnjwV7_4YVee38KWMW-/view?usp=drivesdk</v>
      </c>
    </row>
    <row r="3991">
      <c r="A3991" s="15">
        <f>IFERROR(__xludf.DUMMYFUNCTION("""COMPUTED_VALUE"""),45118.0)</f>
        <v>45118</v>
      </c>
      <c r="B3991" s="16" t="str">
        <f>IFERROR(__xludf.DUMMYFUNCTION("""COMPUTED_VALUE"""),"Envia")</f>
        <v>Envia</v>
      </c>
      <c r="C3991" s="15" t="str">
        <f>IFERROR(__xludf.DUMMYFUNCTION("""COMPUTED_VALUE"""),"MANIZALES")</f>
        <v>MANIZALES</v>
      </c>
      <c r="D3991" s="15" t="str">
        <f>IFERROR(__xludf.DUMMYFUNCTION("""COMPUTED_VALUE"""),"MEDELLÍN")</f>
        <v>MEDELLÍN</v>
      </c>
      <c r="E3991" s="15" t="str">
        <f>IFERROR(__xludf.DUMMYFUNCTION("""COMPUTED_VALUE"""),"Todo Bufala")</f>
        <v>Todo Bufala</v>
      </c>
      <c r="F3991" s="17" t="str">
        <f>IFERROR(__xludf.DUMMYFUNCTION("""COMPUTED_VALUE"""),"Call 66 #23B - 211 / Edifico calle larga, local 5c")</f>
        <v>Call 66 #23B - 211 / Edifico calle larga, local 5c</v>
      </c>
      <c r="G3991" s="15" t="str">
        <f>IFERROR(__xludf.DUMMYFUNCTION("""COMPUTED_VALUE"""),"Sebastian Perez Pineda")</f>
        <v>Sebastian Perez Pineda</v>
      </c>
      <c r="H3991" s="16">
        <f>IFERROR(__xludf.DUMMYFUNCTION("""COMPUTED_VALUE"""),12480.0)</f>
        <v>12480</v>
      </c>
      <c r="I3991" s="18">
        <f>IFERROR(__xludf.DUMMYFUNCTION("""COMPUTED_VALUE"""),20.0)</f>
        <v>20</v>
      </c>
      <c r="J3991" s="18">
        <f>IFERROR(__xludf.DUMMYFUNCTION("""COMPUTED_VALUE"""),30.0)</f>
        <v>30</v>
      </c>
      <c r="K3991" s="18">
        <f>IFERROR(__xludf.DUMMYFUNCTION("""COMPUTED_VALUE"""),40.0)</f>
        <v>40</v>
      </c>
      <c r="L3991" s="17">
        <f>IFERROR(__xludf.DUMMYFUNCTION("""COMPUTED_VALUE"""),3.106974621E9)</f>
        <v>3106974621</v>
      </c>
      <c r="M3991" s="17" t="str">
        <f>IFERROR(__xludf.DUMMYFUNCTION("""COMPUTED_VALUE"""),"#REF!")</f>
        <v>#REF!</v>
      </c>
      <c r="N3991" s="17"/>
      <c r="O3991" s="17"/>
      <c r="P3991" s="17" t="b">
        <f>IFERROR(__xludf.DUMMYFUNCTION("""COMPUTED_VALUE"""),FALSE)</f>
        <v>0</v>
      </c>
      <c r="Q3991" s="20" t="str">
        <f>IFERROR(__xludf.DUMMYFUNCTION("""COMPUTED_VALUE"""),"")</f>
        <v/>
      </c>
      <c r="R3991" s="21" t="str">
        <f>IFERROR(__xludf.DUMMYFUNCTION("""COMPUTED_VALUE"""),"https://drive.google.com/file/d/15ZQumNhOfqLrYdQT-EatVVO9yueTrjcJ/view?usp=drivesdk")</f>
        <v>https://drive.google.com/file/d/15ZQumNhOfqLrYdQT-EatVVO9yueTrjcJ/view?usp=drivesdk</v>
      </c>
    </row>
    <row r="3992">
      <c r="A3992" s="15">
        <f>IFERROR(__xludf.DUMMYFUNCTION("""COMPUTED_VALUE"""),45118.0)</f>
        <v>45118</v>
      </c>
      <c r="B3992" s="16" t="str">
        <f>IFERROR(__xludf.DUMMYFUNCTION("""COMPUTED_VALUE"""),"Envia")</f>
        <v>Envia</v>
      </c>
      <c r="C3992" s="15" t="str">
        <f>IFERROR(__xludf.DUMMYFUNCTION("""COMPUTED_VALUE"""),"MEDELLÍN")</f>
        <v>MEDELLÍN</v>
      </c>
      <c r="D3992" s="15" t="str">
        <f>IFERROR(__xludf.DUMMYFUNCTION("""COMPUTED_VALUE"""),"BOGOTÁ")</f>
        <v>BOGOTÁ</v>
      </c>
      <c r="E3992" s="15" t="str">
        <f>IFERROR(__xludf.DUMMYFUNCTION("""COMPUTED_VALUE"""),"Evamazzita")</f>
        <v>Evamazzita</v>
      </c>
      <c r="F3992" s="17" t="str">
        <f>IFERROR(__xludf.DUMMYFUNCTION("""COMPUTED_VALUE"""),"Carrera 89#66-97 / Unidad condado de avila casa 112 / Robledo/ entregar en la puerta ya que la cliente no puede salir")</f>
        <v>Carrera 89#66-97 / Unidad condado de avila casa 112 / Robledo/ entregar en la puerta ya que la cliente no puede salir</v>
      </c>
      <c r="G3992" s="15" t="str">
        <f>IFERROR(__xludf.DUMMYFUNCTION("""COMPUTED_VALUE"""),"YOANA ANDREA LOPEZ AGUDELO")</f>
        <v>YOANA ANDREA LOPEZ AGUDELO</v>
      </c>
      <c r="H3992" s="16">
        <f>IFERROR(__xludf.DUMMYFUNCTION("""COMPUTED_VALUE"""),12514.0)</f>
        <v>12514</v>
      </c>
      <c r="I3992" s="18">
        <f>IFERROR(__xludf.DUMMYFUNCTION("""COMPUTED_VALUE"""),1.0)</f>
        <v>1</v>
      </c>
      <c r="J3992" s="18">
        <f>IFERROR(__xludf.DUMMYFUNCTION("""COMPUTED_VALUE"""),1.0)</f>
        <v>1</v>
      </c>
      <c r="K3992" s="18">
        <f>IFERROR(__xludf.DUMMYFUNCTION("""COMPUTED_VALUE"""),1.0)</f>
        <v>1</v>
      </c>
      <c r="L3992" s="17">
        <f>IFERROR(__xludf.DUMMYFUNCTION("""COMPUTED_VALUE"""),3.136249009E9)</f>
        <v>3136249009</v>
      </c>
      <c r="M3992" s="17" t="str">
        <f>IFERROR(__xludf.DUMMYFUNCTION("""COMPUTED_VALUE"""),"#REF!")</f>
        <v>#REF!</v>
      </c>
      <c r="N3992" s="17"/>
      <c r="O3992" s="17"/>
      <c r="P3992" s="17" t="b">
        <f>IFERROR(__xludf.DUMMYFUNCTION("""COMPUTED_VALUE"""),FALSE)</f>
        <v>0</v>
      </c>
      <c r="Q3992" s="20" t="str">
        <f>IFERROR(__xludf.DUMMYFUNCTION("""COMPUTED_VALUE"""),"")</f>
        <v/>
      </c>
      <c r="R3992" s="21" t="str">
        <f>IFERROR(__xludf.DUMMYFUNCTION("""COMPUTED_VALUE"""),"https://drive.google.com/file/d/1XRBcybHiE8E1SKbWjoh9XU6LQnTZMb8D/view?usp=drivesdk")</f>
        <v>https://drive.google.com/file/d/1XRBcybHiE8E1SKbWjoh9XU6LQnTZMb8D/view?usp=drivesdk</v>
      </c>
    </row>
    <row r="3993">
      <c r="A3993" s="15">
        <f>IFERROR(__xludf.DUMMYFUNCTION("""COMPUTED_VALUE"""),45118.0)</f>
        <v>45118</v>
      </c>
      <c r="B3993" s="16" t="str">
        <f>IFERROR(__xludf.DUMMYFUNCTION("""COMPUTED_VALUE"""),"Envia")</f>
        <v>Envia</v>
      </c>
      <c r="C3993" s="15" t="str">
        <f>IFERROR(__xludf.DUMMYFUNCTION("""COMPUTED_VALUE"""),"MEDELLÍN")</f>
        <v>MEDELLÍN</v>
      </c>
      <c r="D3993" s="15" t="str">
        <f>IFERROR(__xludf.DUMMYFUNCTION("""COMPUTED_VALUE"""),"BOGOTÁ")</f>
        <v>BOGOTÁ</v>
      </c>
      <c r="E3993" s="15" t="str">
        <f>IFERROR(__xludf.DUMMYFUNCTION("""COMPUTED_VALUE"""),"Helados Socos")</f>
        <v>Helados Socos</v>
      </c>
      <c r="F3993" s="17" t="str">
        <f>IFERROR(__xludf.DUMMYFUNCTION("""COMPUTED_VALUE"""),"Cll  16 A sur # 45 - 25  / Edificio Angelus apto 1408 / Sector Santa María de los Angeles el poblado")</f>
        <v>Cll  16 A sur # 45 - 25  / Edificio Angelus apto 1408 / Sector Santa María de los Angeles el poblado</v>
      </c>
      <c r="G3993" s="15" t="str">
        <f>IFERROR(__xludf.DUMMYFUNCTION("""COMPUTED_VALUE"""),"Eugenia Duque")</f>
        <v>Eugenia Duque</v>
      </c>
      <c r="H3993" s="16">
        <f>IFERROR(__xludf.DUMMYFUNCTION("""COMPUTED_VALUE"""),12502.0)</f>
        <v>12502</v>
      </c>
      <c r="I3993" s="18">
        <f>IFERROR(__xludf.DUMMYFUNCTION("""COMPUTED_VALUE"""),20.0)</f>
        <v>20</v>
      </c>
      <c r="J3993" s="18">
        <f>IFERROR(__xludf.DUMMYFUNCTION("""COMPUTED_VALUE"""),10.0)</f>
        <v>10</v>
      </c>
      <c r="K3993" s="18">
        <f>IFERROR(__xludf.DUMMYFUNCTION("""COMPUTED_VALUE"""),15.0)</f>
        <v>15</v>
      </c>
      <c r="L3993" s="17">
        <f>IFERROR(__xludf.DUMMYFUNCTION("""COMPUTED_VALUE"""),3.155070811E9)</f>
        <v>3155070811</v>
      </c>
      <c r="M3993" s="17" t="str">
        <f>IFERROR(__xludf.DUMMYFUNCTION("""COMPUTED_VALUE"""),"#REF!")</f>
        <v>#REF!</v>
      </c>
      <c r="N3993" s="17"/>
      <c r="O3993" s="17"/>
      <c r="P3993" s="17" t="b">
        <f>IFERROR(__xludf.DUMMYFUNCTION("""COMPUTED_VALUE"""),FALSE)</f>
        <v>0</v>
      </c>
      <c r="Q3993" s="20" t="str">
        <f>IFERROR(__xludf.DUMMYFUNCTION("""COMPUTED_VALUE"""),"")</f>
        <v/>
      </c>
      <c r="R3993" s="21" t="str">
        <f>IFERROR(__xludf.DUMMYFUNCTION("""COMPUTED_VALUE"""),"https://drive.google.com/file/d/1RkPkNJ1SlLgOOLnxF6NQ88lw0MNY_2Ev/view?usp=drivesdk")</f>
        <v>https://drive.google.com/file/d/1RkPkNJ1SlLgOOLnxF6NQ88lw0MNY_2Ev/view?usp=drivesdk</v>
      </c>
    </row>
    <row r="3994">
      <c r="A3994" s="15">
        <f>IFERROR(__xludf.DUMMYFUNCTION("""COMPUTED_VALUE"""),45118.0)</f>
        <v>45118</v>
      </c>
      <c r="B3994" s="16" t="str">
        <f>IFERROR(__xludf.DUMMYFUNCTION("""COMPUTED_VALUE"""),"Envia")</f>
        <v>Envia</v>
      </c>
      <c r="C3994" s="15" t="str">
        <f>IFERROR(__xludf.DUMMYFUNCTION("""COMPUTED_VALUE"""),"MEDELLÍN")</f>
        <v>MEDELLÍN</v>
      </c>
      <c r="D3994" s="15" t="str">
        <f>IFERROR(__xludf.DUMMYFUNCTION("""COMPUTED_VALUE"""),"BOGOTÁ")</f>
        <v>BOGOTÁ</v>
      </c>
      <c r="E3994" s="15" t="str">
        <f>IFERROR(__xludf.DUMMYFUNCTION("""COMPUTED_VALUE"""),"Ins. Alimento Vital")</f>
        <v>Ins. Alimento Vital</v>
      </c>
      <c r="F3994" s="17" t="str">
        <f>IFERROR(__xludf.DUMMYFUNCTION("""COMPUTED_VALUE"""),"AV 74B 39B 142 / CASA NEGRA 2 PISO / BARRIO LAURELES")</f>
        <v>AV 74B 39B 142 / CASA NEGRA 2 PISO / BARRIO LAURELES</v>
      </c>
      <c r="G3994" s="15" t="str">
        <f>IFERROR(__xludf.DUMMYFUNCTION("""COMPUTED_VALUE"""),"VELOCITY MEDELLIN")</f>
        <v>VELOCITY MEDELLIN</v>
      </c>
      <c r="H3994" s="16">
        <f>IFERROR(__xludf.DUMMYFUNCTION("""COMPUTED_VALUE"""),12500.0)</f>
        <v>12500</v>
      </c>
      <c r="I3994" s="18">
        <f>IFERROR(__xludf.DUMMYFUNCTION("""COMPUTED_VALUE"""),1.0)</f>
        <v>1</v>
      </c>
      <c r="J3994" s="18">
        <f>IFERROR(__xludf.DUMMYFUNCTION("""COMPUTED_VALUE"""),1.0)</f>
        <v>1</v>
      </c>
      <c r="K3994" s="18">
        <f>IFERROR(__xludf.DUMMYFUNCTION("""COMPUTED_VALUE"""),1.0)</f>
        <v>1</v>
      </c>
      <c r="L3994" s="17">
        <f>IFERROR(__xludf.DUMMYFUNCTION("""COMPUTED_VALUE"""),3.239674555E9)</f>
        <v>3239674555</v>
      </c>
      <c r="M3994" s="17" t="str">
        <f>IFERROR(__xludf.DUMMYFUNCTION("""COMPUTED_VALUE"""),"#REF!")</f>
        <v>#REF!</v>
      </c>
      <c r="N3994" s="17"/>
      <c r="O3994" s="17"/>
      <c r="P3994" s="17" t="b">
        <f>IFERROR(__xludf.DUMMYFUNCTION("""COMPUTED_VALUE"""),FALSE)</f>
        <v>0</v>
      </c>
      <c r="Q3994" s="20" t="str">
        <f>IFERROR(__xludf.DUMMYFUNCTION("""COMPUTED_VALUE"""),"")</f>
        <v/>
      </c>
      <c r="R3994" s="21" t="str">
        <f>IFERROR(__xludf.DUMMYFUNCTION("""COMPUTED_VALUE"""),"https://drive.google.com/file/d/1Rz-ZOv19xs2InS6v-htJwb1oMexgn0OU/view?usp=drivesdk")</f>
        <v>https://drive.google.com/file/d/1Rz-ZOv19xs2InS6v-htJwb1oMexgn0OU/view?usp=drivesdk</v>
      </c>
    </row>
    <row r="3995">
      <c r="A3995" s="15">
        <f>IFERROR(__xludf.DUMMYFUNCTION("""COMPUTED_VALUE"""),45118.0)</f>
        <v>45118</v>
      </c>
      <c r="B3995" s="16" t="str">
        <f>IFERROR(__xludf.DUMMYFUNCTION("""COMPUTED_VALUE"""),"Envia")</f>
        <v>Envia</v>
      </c>
      <c r="C3995" s="15" t="str">
        <f>IFERROR(__xludf.DUMMYFUNCTION("""COMPUTED_VALUE"""),"MEDELLÍN")</f>
        <v>MEDELLÍN</v>
      </c>
      <c r="D3995" s="15" t="str">
        <f>IFERROR(__xludf.DUMMYFUNCTION("""COMPUTED_VALUE"""),"BOGOTÁ")</f>
        <v>BOGOTÁ</v>
      </c>
      <c r="E3995" s="15" t="str">
        <f>IFERROR(__xludf.DUMMYFUNCTION("""COMPUTED_VALUE"""),"Loomifoods")</f>
        <v>Loomifoods</v>
      </c>
      <c r="F3995" s="17" t="str">
        <f>IFERROR(__xludf.DUMMYFUNCTION("""COMPUTED_VALUE"""),"Cra 15 BA no. 34D - 44 / Interior 201 / Medellin")</f>
        <v>Cra 15 BA no. 34D - 44 / Interior 201 / Medellin</v>
      </c>
      <c r="G3995" s="15" t="str">
        <f>IFERROR(__xludf.DUMMYFUNCTION("""COMPUTED_VALUE"""),"Daniela Bedoya")</f>
        <v>Daniela Bedoya</v>
      </c>
      <c r="H3995" s="16">
        <f>IFERROR(__xludf.DUMMYFUNCTION("""COMPUTED_VALUE"""),12504.0)</f>
        <v>12504</v>
      </c>
      <c r="I3995" s="18">
        <f>IFERROR(__xludf.DUMMYFUNCTION("""COMPUTED_VALUE"""),19.0)</f>
        <v>19</v>
      </c>
      <c r="J3995" s="18">
        <f>IFERROR(__xludf.DUMMYFUNCTION("""COMPUTED_VALUE"""),5.0)</f>
        <v>5</v>
      </c>
      <c r="K3995" s="18">
        <f>IFERROR(__xludf.DUMMYFUNCTION("""COMPUTED_VALUE"""),16.0)</f>
        <v>16</v>
      </c>
      <c r="L3995" s="17">
        <f>IFERROR(__xludf.DUMMYFUNCTION("""COMPUTED_VALUE"""),3.14672822E9)</f>
        <v>3146728220</v>
      </c>
      <c r="M3995" s="17" t="str">
        <f>IFERROR(__xludf.DUMMYFUNCTION("""COMPUTED_VALUE"""),"#REF!")</f>
        <v>#REF!</v>
      </c>
      <c r="N3995" s="17"/>
      <c r="O3995" s="17"/>
      <c r="P3995" s="17" t="b">
        <f>IFERROR(__xludf.DUMMYFUNCTION("""COMPUTED_VALUE"""),FALSE)</f>
        <v>0</v>
      </c>
      <c r="Q3995" s="20" t="str">
        <f>IFERROR(__xludf.DUMMYFUNCTION("""COMPUTED_VALUE"""),"")</f>
        <v/>
      </c>
      <c r="R3995" s="22" t="str">
        <f>IFERROR(__xludf.DUMMYFUNCTION("""COMPUTED_VALUE"""),"")</f>
        <v/>
      </c>
    </row>
    <row r="3996">
      <c r="A3996" s="15">
        <f>IFERROR(__xludf.DUMMYFUNCTION("""COMPUTED_VALUE"""),45118.0)</f>
        <v>45118</v>
      </c>
      <c r="B3996" s="16" t="str">
        <f>IFERROR(__xludf.DUMMYFUNCTION("""COMPUTED_VALUE"""),"Envia")</f>
        <v>Envia</v>
      </c>
      <c r="C3996" s="15" t="str">
        <f>IFERROR(__xludf.DUMMYFUNCTION("""COMPUTED_VALUE"""),"MEDELLÍN")</f>
        <v>MEDELLÍN</v>
      </c>
      <c r="D3996" s="15" t="str">
        <f>IFERROR(__xludf.DUMMYFUNCTION("""COMPUTED_VALUE"""),"BOGOTÁ")</f>
        <v>BOGOTÁ</v>
      </c>
      <c r="E3996" s="15" t="str">
        <f>IFERROR(__xludf.DUMMYFUNCTION("""COMPUTED_VALUE"""),"MAI ALIMENTOS S.A.S")</f>
        <v>MAI ALIMENTOS S.A.S</v>
      </c>
      <c r="F3996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3996" s="15" t="str">
        <f>IFERROR(__xludf.DUMMYFUNCTION("""COMPUTED_VALUE"""),"Novaventas")</f>
        <v>Novaventas</v>
      </c>
      <c r="H3996" s="16">
        <f>IFERROR(__xludf.DUMMYFUNCTION("""COMPUTED_VALUE"""),12551.0)</f>
        <v>12551</v>
      </c>
      <c r="I3996" s="18">
        <f>IFERROR(__xludf.DUMMYFUNCTION("""COMPUTED_VALUE"""),35.0)</f>
        <v>35</v>
      </c>
      <c r="J3996" s="18">
        <f>IFERROR(__xludf.DUMMYFUNCTION("""COMPUTED_VALUE"""),17.0)</f>
        <v>17</v>
      </c>
      <c r="K3996" s="18">
        <f>IFERROR(__xludf.DUMMYFUNCTION("""COMPUTED_VALUE"""),13.0)</f>
        <v>13</v>
      </c>
      <c r="L3996" s="17">
        <f>IFERROR(__xludf.DUMMYFUNCTION("""COMPUTED_VALUE"""),3.187351593E9)</f>
        <v>3187351593</v>
      </c>
      <c r="M3996" s="17" t="str">
        <f>IFERROR(__xludf.DUMMYFUNCTION("""COMPUTED_VALUE"""),"#REF!")</f>
        <v>#REF!</v>
      </c>
      <c r="N3996" s="17"/>
      <c r="O3996" s="17"/>
      <c r="P3996" s="17" t="b">
        <f>IFERROR(__xludf.DUMMYFUNCTION("""COMPUTED_VALUE"""),FALSE)</f>
        <v>0</v>
      </c>
      <c r="Q3996" s="20" t="str">
        <f>IFERROR(__xludf.DUMMYFUNCTION("""COMPUTED_VALUE"""),"")</f>
        <v/>
      </c>
      <c r="R3996" s="21" t="str">
        <f>IFERROR(__xludf.DUMMYFUNCTION("""COMPUTED_VALUE"""),"https://drive.google.com/file/d/1fQOLiyRoCr_Lc7EG6h8s1JU9v0ZtLCrK/view?usp=drivesdk")</f>
        <v>https://drive.google.com/file/d/1fQOLiyRoCr_Lc7EG6h8s1JU9v0ZtLCrK/view?usp=drivesdk</v>
      </c>
    </row>
    <row r="3997">
      <c r="A3997" s="15">
        <f>IFERROR(__xludf.DUMMYFUNCTION("""COMPUTED_VALUE"""),45118.0)</f>
        <v>45118</v>
      </c>
      <c r="B3997" s="16" t="str">
        <f>IFERROR(__xludf.DUMMYFUNCTION("""COMPUTED_VALUE"""),"Envia")</f>
        <v>Envia</v>
      </c>
      <c r="C3997" s="15" t="str">
        <f>IFERROR(__xludf.DUMMYFUNCTION("""COMPUTED_VALUE"""),"TUNJA")</f>
        <v>TUNJA</v>
      </c>
      <c r="D3997" s="15" t="str">
        <f>IFERROR(__xludf.DUMMYFUNCTION("""COMPUTED_VALUE"""),"BOGOTÁ")</f>
        <v>BOGOTÁ</v>
      </c>
      <c r="E3997" s="15" t="str">
        <f>IFERROR(__xludf.DUMMYFUNCTION("""COMPUTED_VALUE"""),"Evamazzita")</f>
        <v>Evamazzita</v>
      </c>
      <c r="F3997" s="17" t="str">
        <f>IFERROR(__xludf.DUMMYFUNCTION("""COMPUTED_VALUE"""),"Cra 7 # 15-63 / Hotel el consuelo / Barrio el consuelo")</f>
        <v>Cra 7 # 15-63 / Hotel el consuelo / Barrio el consuelo</v>
      </c>
      <c r="G3997" s="15" t="str">
        <f>IFERROR(__xludf.DUMMYFUNCTION("""COMPUTED_VALUE"""),"Liliana Paolacios")</f>
        <v>Liliana Paolacios</v>
      </c>
      <c r="H3997" s="16">
        <f>IFERROR(__xludf.DUMMYFUNCTION("""COMPUTED_VALUE"""),12555.0)</f>
        <v>12555</v>
      </c>
      <c r="I3997" s="18">
        <f>IFERROR(__xludf.DUMMYFUNCTION("""COMPUTED_VALUE"""),6.0)</f>
        <v>6</v>
      </c>
      <c r="J3997" s="18">
        <f>IFERROR(__xludf.DUMMYFUNCTION("""COMPUTED_VALUE"""),22.0)</f>
        <v>22</v>
      </c>
      <c r="K3997" s="18">
        <f>IFERROR(__xludf.DUMMYFUNCTION("""COMPUTED_VALUE"""),18.0)</f>
        <v>18</v>
      </c>
      <c r="L3997" s="17">
        <f>IFERROR(__xludf.DUMMYFUNCTION("""COMPUTED_VALUE"""),3.102487016E9)</f>
        <v>3102487016</v>
      </c>
      <c r="M3997" s="17" t="str">
        <f>IFERROR(__xludf.DUMMYFUNCTION("""COMPUTED_VALUE"""),"#REF!")</f>
        <v>#REF!</v>
      </c>
      <c r="N3997" s="17"/>
      <c r="O3997" s="17"/>
      <c r="P3997" s="17" t="b">
        <f>IFERROR(__xludf.DUMMYFUNCTION("""COMPUTED_VALUE"""),FALSE)</f>
        <v>0</v>
      </c>
      <c r="Q3997" s="20" t="str">
        <f>IFERROR(__xludf.DUMMYFUNCTION("""COMPUTED_VALUE"""),"")</f>
        <v/>
      </c>
      <c r="R3997" s="22" t="str">
        <f>IFERROR(__xludf.DUMMYFUNCTION("""COMPUTED_VALUE"""),"")</f>
        <v/>
      </c>
    </row>
    <row r="3998">
      <c r="A3998" s="15">
        <f>IFERROR(__xludf.DUMMYFUNCTION("""COMPUTED_VALUE"""),45118.0)</f>
        <v>45118</v>
      </c>
      <c r="B3998" s="16" t="str">
        <f>IFERROR(__xludf.DUMMYFUNCTION("""COMPUTED_VALUE"""),"Envia")</f>
        <v>Envia</v>
      </c>
      <c r="C3998" s="15" t="str">
        <f>IFERROR(__xludf.DUMMYFUNCTION("""COMPUTED_VALUE"""),"TUNJA")</f>
        <v>TUNJA</v>
      </c>
      <c r="D3998" s="15" t="str">
        <f>IFERROR(__xludf.DUMMYFUNCTION("""COMPUTED_VALUE"""),"BOGOTÁ")</f>
        <v>BOGOTÁ</v>
      </c>
      <c r="E3998" s="15" t="str">
        <f>IFERROR(__xludf.DUMMYFUNCTION("""COMPUTED_VALUE"""),"Viiva Fermentados")</f>
        <v>Viiva Fermentados</v>
      </c>
      <c r="F3998" s="17" t="str">
        <f>IFERROR(__xludf.DUMMYFUNCTION("""COMPUTED_VALUE"""),"Diagonal 67 No 1A - 74 / TORRE A APARTAMENTO 909  Edificio Ventus, / Los Muiscas")</f>
        <v>Diagonal 67 No 1A - 74 / TORRE A APARTAMENTO 909  Edificio Ventus, / Los Muiscas</v>
      </c>
      <c r="G3998" s="15" t="str">
        <f>IFERROR(__xludf.DUMMYFUNCTION("""COMPUTED_VALUE"""),"Claudia Bohorquez Olaya")</f>
        <v>Claudia Bohorquez Olaya</v>
      </c>
      <c r="H3998" s="16">
        <f>IFERROR(__xludf.DUMMYFUNCTION("""COMPUTED_VALUE"""),12475.0)</f>
        <v>12475</v>
      </c>
      <c r="I3998" s="18">
        <f>IFERROR(__xludf.DUMMYFUNCTION("""COMPUTED_VALUE"""),26.0)</f>
        <v>26</v>
      </c>
      <c r="J3998" s="18">
        <f>IFERROR(__xludf.DUMMYFUNCTION("""COMPUTED_VALUE"""),18.0)</f>
        <v>18</v>
      </c>
      <c r="K3998" s="18">
        <f>IFERROR(__xludf.DUMMYFUNCTION("""COMPUTED_VALUE"""),18.0)</f>
        <v>18</v>
      </c>
      <c r="L3998" s="17">
        <f>IFERROR(__xludf.DUMMYFUNCTION("""COMPUTED_VALUE"""),3.002755738E9)</f>
        <v>3002755738</v>
      </c>
      <c r="M3998" s="17" t="str">
        <f>IFERROR(__xludf.DUMMYFUNCTION("""COMPUTED_VALUE"""),"#REF!")</f>
        <v>#REF!</v>
      </c>
      <c r="N3998" s="17"/>
      <c r="O3998" s="17"/>
      <c r="P3998" s="17" t="b">
        <f>IFERROR(__xludf.DUMMYFUNCTION("""COMPUTED_VALUE"""),FALSE)</f>
        <v>0</v>
      </c>
      <c r="Q3998" s="20" t="str">
        <f>IFERROR(__xludf.DUMMYFUNCTION("""COMPUTED_VALUE"""),"")</f>
        <v/>
      </c>
      <c r="R3998" s="22" t="str">
        <f>IFERROR(__xludf.DUMMYFUNCTION("""COMPUTED_VALUE"""),"")</f>
        <v/>
      </c>
    </row>
    <row r="3999">
      <c r="A3999" s="15">
        <f>IFERROR(__xludf.DUMMYFUNCTION("""COMPUTED_VALUE"""),45118.0)</f>
        <v>45118</v>
      </c>
      <c r="B3999" s="16" t="str">
        <f>IFERROR(__xludf.DUMMYFUNCTION("""COMPUTED_VALUE"""),"Envia")</f>
        <v>Envia</v>
      </c>
      <c r="C3999" s="15" t="str">
        <f>IFERROR(__xludf.DUMMYFUNCTION("""COMPUTED_VALUE"""),"VILLAVICENCIO")</f>
        <v>VILLAVICENCIO</v>
      </c>
      <c r="D3999" s="15" t="str">
        <f>IFERROR(__xludf.DUMMYFUNCTION("""COMPUTED_VALUE"""),"BOGOTÁ")</f>
        <v>BOGOTÁ</v>
      </c>
      <c r="E3999" s="15" t="str">
        <f>IFERROR(__xludf.DUMMYFUNCTION("""COMPUTED_VALUE"""),"Mochi")</f>
        <v>Mochi</v>
      </c>
      <c r="F3999" s="17" t="str">
        <f>IFERROR(__xludf.DUMMYFUNCTION("""COMPUTED_VALUE"""),"	Centro Comercial Viva, Calle 7 # 45-185, Villavicencio / Viva villavicencio / Centro comercial viva villavicencio")</f>
        <v>	Centro Comercial Viva, Calle 7 # 45-185, Villavicencio / Viva villavicencio / Centro comercial viva villavicencio</v>
      </c>
      <c r="G3999" s="15" t="str">
        <f>IFERROR(__xludf.DUMMYFUNCTION("""COMPUTED_VALUE"""),"Natalia")</f>
        <v>Natalia</v>
      </c>
      <c r="H3999" s="16">
        <f>IFERROR(__xludf.DUMMYFUNCTION("""COMPUTED_VALUE"""),12557.0)</f>
        <v>12557</v>
      </c>
      <c r="I3999" s="18">
        <f>IFERROR(__xludf.DUMMYFUNCTION("""COMPUTED_VALUE"""),100.0)</f>
        <v>100</v>
      </c>
      <c r="J3999" s="18">
        <f>IFERROR(__xludf.DUMMYFUNCTION("""COMPUTED_VALUE"""),100.0)</f>
        <v>100</v>
      </c>
      <c r="K3999" s="18">
        <f>IFERROR(__xludf.DUMMYFUNCTION("""COMPUTED_VALUE"""),200.0)</f>
        <v>200</v>
      </c>
      <c r="L3999" s="17">
        <f>IFERROR(__xludf.DUMMYFUNCTION("""COMPUTED_VALUE"""),3.115177646E9)</f>
        <v>3115177646</v>
      </c>
      <c r="M3999" s="17" t="str">
        <f>IFERROR(__xludf.DUMMYFUNCTION("""COMPUTED_VALUE"""),"#REF!")</f>
        <v>#REF!</v>
      </c>
      <c r="N3999" s="17"/>
      <c r="O3999" s="17"/>
      <c r="P3999" s="17" t="b">
        <f>IFERROR(__xludf.DUMMYFUNCTION("""COMPUTED_VALUE"""),TRUE)</f>
        <v>1</v>
      </c>
      <c r="Q3999" s="20">
        <f>IFERROR(__xludf.DUMMYFUNCTION("""COMPUTED_VALUE"""),45118.693359537036)</f>
        <v>45118.69336</v>
      </c>
      <c r="R3999" s="21" t="str">
        <f>IFERROR(__xludf.DUMMYFUNCTION("""COMPUTED_VALUE"""),"https://drive.google.com/file/d/1EWzmZ3c3sMSLhoN324TmcPtZFVzQhhb2/view?usp=drivesdk")</f>
        <v>https://drive.google.com/file/d/1EWzmZ3c3sMSLhoN324TmcPtZFVzQhhb2/view?usp=drivesdk</v>
      </c>
    </row>
    <row r="4000">
      <c r="A4000" s="17" t="str">
        <f>IFERROR(__xludf.DUMMYFUNCTION("""COMPUTED_VALUE"""),"")</f>
        <v/>
      </c>
      <c r="B4000" s="17" t="str">
        <f>IFERROR(__xludf.DUMMYFUNCTION("""COMPUTED_VALUE"""),"")</f>
        <v/>
      </c>
      <c r="C4000" s="17" t="str">
        <f>IFERROR(__xludf.DUMMYFUNCTION("""COMPUTED_VALUE"""),"")</f>
        <v/>
      </c>
      <c r="D4000" s="17" t="str">
        <f>IFERROR(__xludf.DUMMYFUNCTION("""COMPUTED_VALUE"""),"")</f>
        <v/>
      </c>
      <c r="E4000" s="17" t="str">
        <f>IFERROR(__xludf.DUMMYFUNCTION("""COMPUTED_VALUE"""),"")</f>
        <v/>
      </c>
      <c r="F4000" s="17" t="str">
        <f>IFERROR(__xludf.DUMMYFUNCTION("""COMPUTED_VALUE"""),"")</f>
        <v/>
      </c>
      <c r="G4000" s="17" t="str">
        <f>IFERROR(__xludf.DUMMYFUNCTION("""COMPUTED_VALUE"""),"")</f>
        <v/>
      </c>
      <c r="H4000" s="17" t="str">
        <f>IFERROR(__xludf.DUMMYFUNCTION("""COMPUTED_VALUE"""),"")</f>
        <v/>
      </c>
      <c r="I4000" s="17" t="str">
        <f>IFERROR(__xludf.DUMMYFUNCTION("""COMPUTED_VALUE"""),"")</f>
        <v/>
      </c>
      <c r="J4000" s="17" t="str">
        <f>IFERROR(__xludf.DUMMYFUNCTION("""COMPUTED_VALUE"""),"")</f>
        <v/>
      </c>
      <c r="K4000" s="17" t="str">
        <f>IFERROR(__xludf.DUMMYFUNCTION("""COMPUTED_VALUE"""),"")</f>
        <v/>
      </c>
      <c r="L4000" s="17" t="str">
        <f>IFERROR(__xludf.DUMMYFUNCTION("""COMPUTED_VALUE"""),"")</f>
        <v/>
      </c>
      <c r="M4000" s="17" t="str">
        <f>IFERROR(__xludf.DUMMYFUNCTION("""COMPUTED_VALUE"""),"")</f>
        <v/>
      </c>
      <c r="N4000" s="17" t="str">
        <f>IFERROR(__xludf.DUMMYFUNCTION("""COMPUTED_VALUE"""),"")</f>
        <v/>
      </c>
      <c r="O4000" s="17" t="str">
        <f>IFERROR(__xludf.DUMMYFUNCTION("""COMPUTED_VALUE"""),"")</f>
        <v/>
      </c>
      <c r="P4000" s="17" t="str">
        <f>IFERROR(__xludf.DUMMYFUNCTION("""COMPUTED_VALUE"""),"")</f>
        <v/>
      </c>
      <c r="Q4000" s="17" t="str">
        <f>IFERROR(__xludf.DUMMYFUNCTION("""COMPUTED_VALUE"""),"")</f>
        <v/>
      </c>
      <c r="R4000" s="17" t="str">
        <f>IFERROR(__xludf.DUMMYFUNCTION("""COMPUTED_VALUE"""),"")</f>
        <v/>
      </c>
    </row>
    <row r="4001">
      <c r="A4001" s="15">
        <f>IFERROR(__xludf.DUMMYFUNCTION("""COMPUTED_VALUE"""),45118.0)</f>
        <v>45118</v>
      </c>
      <c r="B4001" s="16" t="str">
        <f>IFERROR(__xludf.DUMMYFUNCTION("""COMPUTED_VALUE"""),"Johan Alexander Escobar Arroyo ")</f>
        <v>Johan Alexander Escobar Arroyo </v>
      </c>
      <c r="C4001" s="15" t="str">
        <f>IFERROR(__xludf.DUMMYFUNCTION("""COMPUTED_VALUE"""),"CALI")</f>
        <v>CALI</v>
      </c>
      <c r="D4001" s="15" t="str">
        <f>IFERROR(__xludf.DUMMYFUNCTION("""COMPUTED_VALUE"""),"BOGOTÁ")</f>
        <v>BOGOTÁ</v>
      </c>
      <c r="E4001" s="15" t="str">
        <f>IFERROR(__xludf.DUMMYFUNCTION("""COMPUTED_VALUE"""),"Asociacion Agropecuaria Juana Maria")</f>
        <v>Asociacion Agropecuaria Juana Maria</v>
      </c>
      <c r="F4001" s="17" t="str">
        <f>IFERROR(__xludf.DUMMYFUNCTION("""COMPUTED_VALUE"""),"Carrera 17B # 33E-33 La Floresta vieja")</f>
        <v>Carrera 17B # 33E-33 La Floresta vieja</v>
      </c>
      <c r="G4001" s="15" t="str">
        <f>IFERROR(__xludf.DUMMYFUNCTION("""COMPUTED_VALUE"""),"Johanna acuña  Molina")</f>
        <v>Johanna acuña  Molina</v>
      </c>
      <c r="H4001" s="16">
        <f>IFERROR(__xludf.DUMMYFUNCTION("""COMPUTED_VALUE"""),12490.0)</f>
        <v>12490</v>
      </c>
      <c r="I4001" s="18">
        <f>IFERROR(__xludf.DUMMYFUNCTION("""COMPUTED_VALUE"""),12.0)</f>
        <v>12</v>
      </c>
      <c r="J4001" s="18">
        <f>IFERROR(__xludf.DUMMYFUNCTION("""COMPUTED_VALUE"""),37.0)</f>
        <v>37</v>
      </c>
      <c r="K4001" s="18">
        <f>IFERROR(__xludf.DUMMYFUNCTION("""COMPUTED_VALUE"""),24.0)</f>
        <v>24</v>
      </c>
      <c r="L4001" s="17">
        <f>IFERROR(__xludf.DUMMYFUNCTION("""COMPUTED_VALUE"""),3.218700343E9)</f>
        <v>3218700343</v>
      </c>
      <c r="M4001" s="17" t="str">
        <f>IFERROR(__xludf.DUMMYFUNCTION("""COMPUTED_VALUE"""),"#REF!")</f>
        <v>#REF!</v>
      </c>
      <c r="N4001" s="17"/>
      <c r="O4001" s="17"/>
      <c r="P4001" s="17" t="b">
        <f>IFERROR(__xludf.DUMMYFUNCTION("""COMPUTED_VALUE"""),TRUE)</f>
        <v>1</v>
      </c>
      <c r="Q4001" s="20">
        <f>IFERROR(__xludf.DUMMYFUNCTION("""COMPUTED_VALUE"""),45118.693359537036)</f>
        <v>45118.69336</v>
      </c>
      <c r="R4001" s="21" t="str">
        <f>IFERROR(__xludf.DUMMYFUNCTION("""COMPUTED_VALUE"""),"https://drive.google.com/file/d/1p6FpDySGv2OoOp2ojmjhlO43FKwQ29QI/view?usp=drivesdk")</f>
        <v>https://drive.google.com/file/d/1p6FpDySGv2OoOp2ojmjhlO43FKwQ29QI/view?usp=drivesdk</v>
      </c>
    </row>
    <row r="4002">
      <c r="A4002" s="15">
        <f>IFERROR(__xludf.DUMMYFUNCTION("""COMPUTED_VALUE"""),45118.0)</f>
        <v>45118</v>
      </c>
      <c r="B4002" s="16" t="str">
        <f>IFERROR(__xludf.DUMMYFUNCTION("""COMPUTED_VALUE"""),"Johan Alexander Escobar Arroyo ")</f>
        <v>Johan Alexander Escobar Arroyo </v>
      </c>
      <c r="C4002" s="15" t="str">
        <f>IFERROR(__xludf.DUMMYFUNCTION("""COMPUTED_VALUE"""),"CALI")</f>
        <v>CALI</v>
      </c>
      <c r="D4002" s="15" t="str">
        <f>IFERROR(__xludf.DUMMYFUNCTION("""COMPUTED_VALUE"""),"BOGOTÁ")</f>
        <v>BOGOTÁ</v>
      </c>
      <c r="E4002" s="15" t="str">
        <f>IFERROR(__xludf.DUMMYFUNCTION("""COMPUTED_VALUE"""),"Evamazzita")</f>
        <v>Evamazzita</v>
      </c>
      <c r="F4002" s="17" t="str">
        <f>IFERROR(__xludf.DUMMYFUNCTION("""COMPUTED_VALUE"""),"Avenida 2F Norte 32 A 30 / CR Balcones de la Flora apto 103B / Barrio Prados del norte")</f>
        <v>Avenida 2F Norte 32 A 30 / CR Balcones de la Flora apto 103B / Barrio Prados del norte</v>
      </c>
      <c r="G4002" s="15" t="str">
        <f>IFERROR(__xludf.DUMMYFUNCTION("""COMPUTED_VALUE"""),"DIANA ARANGO")</f>
        <v>DIANA ARANGO</v>
      </c>
      <c r="H4002" s="16">
        <f>IFERROR(__xludf.DUMMYFUNCTION("""COMPUTED_VALUE"""),12508.0)</f>
        <v>12508</v>
      </c>
      <c r="I4002" s="18">
        <f>IFERROR(__xludf.DUMMYFUNCTION("""COMPUTED_VALUE"""),1.0)</f>
        <v>1</v>
      </c>
      <c r="J4002" s="18">
        <f>IFERROR(__xludf.DUMMYFUNCTION("""COMPUTED_VALUE"""),1.0)</f>
        <v>1</v>
      </c>
      <c r="K4002" s="18">
        <f>IFERROR(__xludf.DUMMYFUNCTION("""COMPUTED_VALUE"""),1.0)</f>
        <v>1</v>
      </c>
      <c r="L4002" s="17">
        <f>IFERROR(__xludf.DUMMYFUNCTION("""COMPUTED_VALUE"""),3.105367083E9)</f>
        <v>3105367083</v>
      </c>
      <c r="M4002" s="17" t="str">
        <f>IFERROR(__xludf.DUMMYFUNCTION("""COMPUTED_VALUE"""),"#REF!")</f>
        <v>#REF!</v>
      </c>
      <c r="N4002" s="17"/>
      <c r="O4002" s="17"/>
      <c r="P4002" s="17" t="b">
        <f>IFERROR(__xludf.DUMMYFUNCTION("""COMPUTED_VALUE"""),TRUE)</f>
        <v>1</v>
      </c>
      <c r="Q4002" s="20">
        <f>IFERROR(__xludf.DUMMYFUNCTION("""COMPUTED_VALUE"""),45118.693359537036)</f>
        <v>45118.69336</v>
      </c>
      <c r="R4002" s="21" t="str">
        <f>IFERROR(__xludf.DUMMYFUNCTION("""COMPUTED_VALUE"""),"https://drive.google.com/file/d/1oQqAOoFaD-FaPAHM8rQSsBDbOXYT2wyS/view?usp=drivesdk")</f>
        <v>https://drive.google.com/file/d/1oQqAOoFaD-FaPAHM8rQSsBDbOXYT2wyS/view?usp=drivesdk</v>
      </c>
    </row>
    <row r="4003">
      <c r="A4003" s="15">
        <f>IFERROR(__xludf.DUMMYFUNCTION("""COMPUTED_VALUE"""),45118.0)</f>
        <v>45118</v>
      </c>
      <c r="B4003" s="16" t="str">
        <f>IFERROR(__xludf.DUMMYFUNCTION("""COMPUTED_VALUE"""),"Johan Alexander Escobar Arroyo ")</f>
        <v>Johan Alexander Escobar Arroyo </v>
      </c>
      <c r="C4003" s="15" t="str">
        <f>IFERROR(__xludf.DUMMYFUNCTION("""COMPUTED_VALUE"""),"CALI")</f>
        <v>CALI</v>
      </c>
      <c r="D4003" s="15" t="str">
        <f>IFERROR(__xludf.DUMMYFUNCTION("""COMPUTED_VALUE"""),"BOGOTÁ")</f>
        <v>BOGOTÁ</v>
      </c>
      <c r="E4003" s="15" t="str">
        <f>IFERROR(__xludf.DUMMYFUNCTION("""COMPUTED_VALUE"""),"Evamazzita")</f>
        <v>Evamazzita</v>
      </c>
      <c r="F4003" s="17" t="str">
        <f>IFERROR(__xludf.DUMMYFUNCTION("""COMPUTED_VALUE"""),"Calle 28 No. 113-57  / Apto. 501B - Unidad: Allegro Bochalema  / Barrio Bochalema")</f>
        <v>Calle 28 No. 113-57  / Apto. 501B - Unidad: Allegro Bochalema  / Barrio Bochalema</v>
      </c>
      <c r="G4003" s="15" t="str">
        <f>IFERROR(__xludf.DUMMYFUNCTION("""COMPUTED_VALUE"""),"INGRID ESPINOSA")</f>
        <v>INGRID ESPINOSA</v>
      </c>
      <c r="H4003" s="16">
        <f>IFERROR(__xludf.DUMMYFUNCTION("""COMPUTED_VALUE"""),12510.0)</f>
        <v>12510</v>
      </c>
      <c r="I4003" s="18">
        <f>IFERROR(__xludf.DUMMYFUNCTION("""COMPUTED_VALUE"""),1.0)</f>
        <v>1</v>
      </c>
      <c r="J4003" s="18">
        <f>IFERROR(__xludf.DUMMYFUNCTION("""COMPUTED_VALUE"""),1.0)</f>
        <v>1</v>
      </c>
      <c r="K4003" s="18">
        <f>IFERROR(__xludf.DUMMYFUNCTION("""COMPUTED_VALUE"""),1.0)</f>
        <v>1</v>
      </c>
      <c r="L4003" s="17">
        <f>IFERROR(__xludf.DUMMYFUNCTION("""COMPUTED_VALUE"""),3.176676892E9)</f>
        <v>3176676892</v>
      </c>
      <c r="M4003" s="17" t="str">
        <f>IFERROR(__xludf.DUMMYFUNCTION("""COMPUTED_VALUE"""),"#REF!")</f>
        <v>#REF!</v>
      </c>
      <c r="N4003" s="17"/>
      <c r="O4003" s="17"/>
      <c r="P4003" s="17" t="b">
        <f>IFERROR(__xludf.DUMMYFUNCTION("""COMPUTED_VALUE"""),FALSE)</f>
        <v>0</v>
      </c>
      <c r="Q4003" s="20" t="str">
        <f>IFERROR(__xludf.DUMMYFUNCTION("""COMPUTED_VALUE"""),"")</f>
        <v/>
      </c>
      <c r="R4003" s="21" t="str">
        <f>IFERROR(__xludf.DUMMYFUNCTION("""COMPUTED_VALUE"""),"https://drive.google.com/file/d/1zuQTrI4syWSc0MOa7UkUS6YyTBVnetuY/view?usp=drivesdk")</f>
        <v>https://drive.google.com/file/d/1zuQTrI4syWSc0MOa7UkUS6YyTBVnetuY/view?usp=drivesdk</v>
      </c>
    </row>
    <row r="4004">
      <c r="A4004" s="15">
        <f>IFERROR(__xludf.DUMMYFUNCTION("""COMPUTED_VALUE"""),45118.0)</f>
        <v>45118</v>
      </c>
      <c r="B4004" s="16" t="str">
        <f>IFERROR(__xludf.DUMMYFUNCTION("""COMPUTED_VALUE"""),"Johan Alexander Escobar Arroyo ")</f>
        <v>Johan Alexander Escobar Arroyo </v>
      </c>
      <c r="C4004" s="15" t="str">
        <f>IFERROR(__xludf.DUMMYFUNCTION("""COMPUTED_VALUE"""),"CALI")</f>
        <v>CALI</v>
      </c>
      <c r="D4004" s="15" t="str">
        <f>IFERROR(__xludf.DUMMYFUNCTION("""COMPUTED_VALUE"""),"BOGOTÁ")</f>
        <v>BOGOTÁ</v>
      </c>
      <c r="E4004" s="15" t="str">
        <f>IFERROR(__xludf.DUMMYFUNCTION("""COMPUTED_VALUE"""),"Evamazzita")</f>
        <v>Evamazzita</v>
      </c>
      <c r="F4004" s="17" t="str">
        <f>IFERROR(__xludf.DUMMYFUNCTION("""COMPUTED_VALUE"""),"Calle 42 #87-39 / Unidad Multicentro 5 y 6 Apto 305 Torre 3 / Barrio Multicentro")</f>
        <v>Calle 42 #87-39 / Unidad Multicentro 5 y 6 Apto 305 Torre 3 / Barrio Multicentro</v>
      </c>
      <c r="G4004" s="15" t="str">
        <f>IFERROR(__xludf.DUMMYFUNCTION("""COMPUTED_VALUE"""),"ALEJANDRA CASTIBLANCO")</f>
        <v>ALEJANDRA CASTIBLANCO</v>
      </c>
      <c r="H4004" s="16">
        <f>IFERROR(__xludf.DUMMYFUNCTION("""COMPUTED_VALUE"""),12506.0)</f>
        <v>12506</v>
      </c>
      <c r="I4004" s="18">
        <f>IFERROR(__xludf.DUMMYFUNCTION("""COMPUTED_VALUE"""),1.0)</f>
        <v>1</v>
      </c>
      <c r="J4004" s="18">
        <f>IFERROR(__xludf.DUMMYFUNCTION("""COMPUTED_VALUE"""),1.0)</f>
        <v>1</v>
      </c>
      <c r="K4004" s="18">
        <f>IFERROR(__xludf.DUMMYFUNCTION("""COMPUTED_VALUE"""),1.0)</f>
        <v>1</v>
      </c>
      <c r="L4004" s="17">
        <f>IFERROR(__xludf.DUMMYFUNCTION("""COMPUTED_VALUE"""),3.214256986E9)</f>
        <v>3214256986</v>
      </c>
      <c r="M4004" s="17" t="str">
        <f>IFERROR(__xludf.DUMMYFUNCTION("""COMPUTED_VALUE"""),"#REF!")</f>
        <v>#REF!</v>
      </c>
      <c r="N4004" s="17"/>
      <c r="O4004" s="17"/>
      <c r="P4004" s="17" t="b">
        <f>IFERROR(__xludf.DUMMYFUNCTION("""COMPUTED_VALUE"""),FALSE)</f>
        <v>0</v>
      </c>
      <c r="Q4004" s="20" t="str">
        <f>IFERROR(__xludf.DUMMYFUNCTION("""COMPUTED_VALUE"""),"")</f>
        <v/>
      </c>
      <c r="R4004" s="21" t="str">
        <f>IFERROR(__xludf.DUMMYFUNCTION("""COMPUTED_VALUE"""),"https://drive.google.com/file/d/1hDjT8jMTzcJDP3o_Rr2ThODRxN4YIssQ/view?usp=drivesdk")</f>
        <v>https://drive.google.com/file/d/1hDjT8jMTzcJDP3o_Rr2ThODRxN4YIssQ/view?usp=drivesdk</v>
      </c>
    </row>
    <row r="4005">
      <c r="A4005" s="15">
        <f>IFERROR(__xludf.DUMMYFUNCTION("""COMPUTED_VALUE"""),45118.0)</f>
        <v>45118</v>
      </c>
      <c r="B4005" s="16" t="str">
        <f>IFERROR(__xludf.DUMMYFUNCTION("""COMPUTED_VALUE"""),"Johan Alexander Escobar Arroyo ")</f>
        <v>Johan Alexander Escobar Arroyo </v>
      </c>
      <c r="C4005" s="15" t="str">
        <f>IFERROR(__xludf.DUMMYFUNCTION("""COMPUTED_VALUE"""),"CALI")</f>
        <v>CALI</v>
      </c>
      <c r="D4005" s="15" t="str">
        <f>IFERROR(__xludf.DUMMYFUNCTION("""COMPUTED_VALUE"""),"BOGOTÁ")</f>
        <v>BOGOTÁ</v>
      </c>
      <c r="E4005" s="15" t="str">
        <f>IFERROR(__xludf.DUMMYFUNCTION("""COMPUTED_VALUE"""),"Evamazzita")</f>
        <v>Evamazzita</v>
      </c>
      <c r="F4005" s="17" t="str">
        <f>IFERROR(__xludf.DUMMYFUNCTION("""COMPUTED_VALUE"""),"Calle 56 N #2HN-33  / Apto 301 Bloque B / Barrio Alamos")</f>
        <v>Calle 56 N #2HN-33  / Apto 301 Bloque B / Barrio Alamos</v>
      </c>
      <c r="G4005" s="15" t="str">
        <f>IFERROR(__xludf.DUMMYFUNCTION("""COMPUTED_VALUE"""),"SANDRA PATRICIA ARIAS GUTTIERREZ")</f>
        <v>SANDRA PATRICIA ARIAS GUTTIERREZ</v>
      </c>
      <c r="H4005" s="16">
        <f>IFERROR(__xludf.DUMMYFUNCTION("""COMPUTED_VALUE"""),12509.0)</f>
        <v>12509</v>
      </c>
      <c r="I4005" s="18">
        <f>IFERROR(__xludf.DUMMYFUNCTION("""COMPUTED_VALUE"""),1.0)</f>
        <v>1</v>
      </c>
      <c r="J4005" s="18">
        <f>IFERROR(__xludf.DUMMYFUNCTION("""COMPUTED_VALUE"""),1.0)</f>
        <v>1</v>
      </c>
      <c r="K4005" s="18">
        <f>IFERROR(__xludf.DUMMYFUNCTION("""COMPUTED_VALUE"""),1.0)</f>
        <v>1</v>
      </c>
      <c r="L4005" s="17">
        <f>IFERROR(__xludf.DUMMYFUNCTION("""COMPUTED_VALUE"""),3.213735837E9)</f>
        <v>3213735837</v>
      </c>
      <c r="M4005" s="17" t="str">
        <f>IFERROR(__xludf.DUMMYFUNCTION("""COMPUTED_VALUE"""),"#REF!")</f>
        <v>#REF!</v>
      </c>
      <c r="N4005" s="17"/>
      <c r="O4005" s="17"/>
      <c r="P4005" s="17" t="b">
        <f>IFERROR(__xludf.DUMMYFUNCTION("""COMPUTED_VALUE"""),FALSE)</f>
        <v>0</v>
      </c>
      <c r="Q4005" s="20" t="str">
        <f>IFERROR(__xludf.DUMMYFUNCTION("""COMPUTED_VALUE"""),"")</f>
        <v/>
      </c>
      <c r="R4005" s="21" t="str">
        <f>IFERROR(__xludf.DUMMYFUNCTION("""COMPUTED_VALUE"""),"https://drive.google.com/file/d/1UC2qEoVCXMRobOW8Vn6_52WRYaVMxPJX/view?usp=drivesdk")</f>
        <v>https://drive.google.com/file/d/1UC2qEoVCXMRobOW8Vn6_52WRYaVMxPJX/view?usp=drivesdk</v>
      </c>
    </row>
    <row r="4006">
      <c r="A4006" s="15">
        <f>IFERROR(__xludf.DUMMYFUNCTION("""COMPUTED_VALUE"""),45118.0)</f>
        <v>45118</v>
      </c>
      <c r="B4006" s="16" t="str">
        <f>IFERROR(__xludf.DUMMYFUNCTION("""COMPUTED_VALUE"""),"Johan Alexander Escobar Arroyo ")</f>
        <v>Johan Alexander Escobar Arroyo </v>
      </c>
      <c r="C4006" s="15" t="str">
        <f>IFERROR(__xludf.DUMMYFUNCTION("""COMPUTED_VALUE"""),"CALI")</f>
        <v>CALI</v>
      </c>
      <c r="D4006" s="15" t="str">
        <f>IFERROR(__xludf.DUMMYFUNCTION("""COMPUTED_VALUE"""),"BOGOTÁ")</f>
        <v>BOGOTÁ</v>
      </c>
      <c r="E4006" s="15" t="str">
        <f>IFERROR(__xludf.DUMMYFUNCTION("""COMPUTED_VALUE"""),"Evamazzita")</f>
        <v>Evamazzita</v>
      </c>
      <c r="F4006" s="17" t="str">
        <f>IFERROR(__xludf.DUMMYFUNCTION("""COMPUTED_VALUE"""),"Carrera 12#64-41 / Piso 3 / Nueva base")</f>
        <v>Carrera 12#64-41 / Piso 3 / Nueva base</v>
      </c>
      <c r="G4006" s="15" t="str">
        <f>IFERROR(__xludf.DUMMYFUNCTION("""COMPUTED_VALUE"""),"YULIETH AYALA MURRILLO")</f>
        <v>YULIETH AYALA MURRILLO</v>
      </c>
      <c r="H4006" s="16">
        <f>IFERROR(__xludf.DUMMYFUNCTION("""COMPUTED_VALUE"""),12507.0)</f>
        <v>12507</v>
      </c>
      <c r="I4006" s="18">
        <f>IFERROR(__xludf.DUMMYFUNCTION("""COMPUTED_VALUE"""),1.0)</f>
        <v>1</v>
      </c>
      <c r="J4006" s="18">
        <f>IFERROR(__xludf.DUMMYFUNCTION("""COMPUTED_VALUE"""),1.0)</f>
        <v>1</v>
      </c>
      <c r="K4006" s="18">
        <f>IFERROR(__xludf.DUMMYFUNCTION("""COMPUTED_VALUE"""),1.0)</f>
        <v>1</v>
      </c>
      <c r="L4006" s="17">
        <f>IFERROR(__xludf.DUMMYFUNCTION("""COMPUTED_VALUE"""),3.183919715E9)</f>
        <v>3183919715</v>
      </c>
      <c r="M4006" s="17" t="str">
        <f>IFERROR(__xludf.DUMMYFUNCTION("""COMPUTED_VALUE"""),"#REF!")</f>
        <v>#REF!</v>
      </c>
      <c r="N4006" s="17"/>
      <c r="O4006" s="17"/>
      <c r="P4006" s="17" t="b">
        <f>IFERROR(__xludf.DUMMYFUNCTION("""COMPUTED_VALUE"""),FALSE)</f>
        <v>0</v>
      </c>
      <c r="Q4006" s="20" t="str">
        <f>IFERROR(__xludf.DUMMYFUNCTION("""COMPUTED_VALUE"""),"")</f>
        <v/>
      </c>
      <c r="R4006" s="21" t="str">
        <f>IFERROR(__xludf.DUMMYFUNCTION("""COMPUTED_VALUE"""),"https://drive.google.com/file/d/1ry68v2DlYNy0iH0Xid0wRJK7BvZstTGL/view?usp=drivesdk")</f>
        <v>https://drive.google.com/file/d/1ry68v2DlYNy0iH0Xid0wRJK7BvZstTGL/view?usp=drivesdk</v>
      </c>
    </row>
    <row r="4007">
      <c r="A4007" s="15">
        <f>IFERROR(__xludf.DUMMYFUNCTION("""COMPUTED_VALUE"""),45118.0)</f>
        <v>45118</v>
      </c>
      <c r="B4007" s="16" t="str">
        <f>IFERROR(__xludf.DUMMYFUNCTION("""COMPUTED_VALUE"""),"Johan Alexander Escobar Arroyo ")</f>
        <v>Johan Alexander Escobar Arroyo </v>
      </c>
      <c r="C4007" s="15" t="str">
        <f>IFERROR(__xludf.DUMMYFUNCTION("""COMPUTED_VALUE"""),"IBAGUÉ")</f>
        <v>IBAGUÉ</v>
      </c>
      <c r="D4007" s="15" t="str">
        <f>IFERROR(__xludf.DUMMYFUNCTION("""COMPUTED_VALUE"""),"MEDELLÍN")</f>
        <v>MEDELLÍN</v>
      </c>
      <c r="E4007" s="15" t="str">
        <f>IFERROR(__xludf.DUMMYFUNCTION("""COMPUTED_VALUE"""),"Baby Chef")</f>
        <v>Baby Chef</v>
      </c>
      <c r="F4007" s="17" t="str">
        <f>IFERROR(__xludf.DUMMYFUNCTION("""COMPUTED_VALUE"""),"Calle 97 #20 sur 73 Apto 714 conjunto montes gran reserva Ibague / ""Calle 97 #20 sur 73 Apto 714 conjunto montes gran reserva Ibague"" / ""Calle 97 #20 sur 73 Apto 714 conjunto montes gran reserva Ibague""")</f>
        <v>Calle 97 #20 sur 73 Apto 714 conjunto montes gran reserva Ibague / "Calle 97 #20 sur 73 Apto 714 conjunto montes gran reserva Ibague" / "Calle 97 #20 sur 73 Apto 714 conjunto montes gran reserva Ibague"</v>
      </c>
      <c r="G4007" s="15" t="str">
        <f>IFERROR(__xludf.DUMMYFUNCTION("""COMPUTED_VALUE"""),"Andrea Peña")</f>
        <v>Andrea Peña</v>
      </c>
      <c r="H4007" s="16">
        <f>IFERROR(__xludf.DUMMYFUNCTION("""COMPUTED_VALUE"""),12541.0)</f>
        <v>12541</v>
      </c>
      <c r="I4007" s="18">
        <f>IFERROR(__xludf.DUMMYFUNCTION("""COMPUTED_VALUE"""),8.0)</f>
        <v>8</v>
      </c>
      <c r="J4007" s="18">
        <f>IFERROR(__xludf.DUMMYFUNCTION("""COMPUTED_VALUE"""),16.0)</f>
        <v>16</v>
      </c>
      <c r="K4007" s="18">
        <f>IFERROR(__xludf.DUMMYFUNCTION("""COMPUTED_VALUE"""),20.0)</f>
        <v>20</v>
      </c>
      <c r="L4007" s="17">
        <f>IFERROR(__xludf.DUMMYFUNCTION("""COMPUTED_VALUE"""),3.22216972E9)</f>
        <v>3222169720</v>
      </c>
      <c r="M4007" s="17" t="str">
        <f>IFERROR(__xludf.DUMMYFUNCTION("""COMPUTED_VALUE"""),"#REF!")</f>
        <v>#REF!</v>
      </c>
      <c r="N4007" s="17"/>
      <c r="O4007" s="17"/>
      <c r="P4007" s="17" t="b">
        <f>IFERROR(__xludf.DUMMYFUNCTION("""COMPUTED_VALUE"""),FALSE)</f>
        <v>0</v>
      </c>
      <c r="Q4007" s="20" t="str">
        <f>IFERROR(__xludf.DUMMYFUNCTION("""COMPUTED_VALUE"""),"")</f>
        <v/>
      </c>
      <c r="R4007" s="21" t="str">
        <f>IFERROR(__xludf.DUMMYFUNCTION("""COMPUTED_VALUE"""),"https://drive.google.com/file/d/1spRCDyTB6MgrMe5pLaiLNy8l_OdlrEXE/view?usp=drivesdk")</f>
        <v>https://drive.google.com/file/d/1spRCDyTB6MgrMe5pLaiLNy8l_OdlrEXE/view?usp=drivesdk</v>
      </c>
    </row>
    <row r="4008">
      <c r="A4008" s="15">
        <f>IFERROR(__xludf.DUMMYFUNCTION("""COMPUTED_VALUE"""),45118.0)</f>
        <v>45118</v>
      </c>
      <c r="B4008" s="16" t="str">
        <f>IFERROR(__xludf.DUMMYFUNCTION("""COMPUTED_VALUE"""),"Johan Alexander Escobar Arroyo ")</f>
        <v>Johan Alexander Escobar Arroyo </v>
      </c>
      <c r="C4008" s="15" t="str">
        <f>IFERROR(__xludf.DUMMYFUNCTION("""COMPUTED_VALUE"""),"IBAGUÉ")</f>
        <v>IBAGUÉ</v>
      </c>
      <c r="D4008" s="15" t="str">
        <f>IFERROR(__xludf.DUMMYFUNCTION("""COMPUTED_VALUE"""),"MEDELLÍN")</f>
        <v>MEDELLÍN</v>
      </c>
      <c r="E4008" s="15" t="str">
        <f>IFERROR(__xludf.DUMMYFUNCTION("""COMPUTED_VALUE"""),"Rambla")</f>
        <v>Rambla</v>
      </c>
      <c r="F4008" s="17" t="str">
        <f>IFERROR(__xludf.DUMMYFUNCTION("""COMPUTED_VALUE"""),"carrera 14 #75a-29 local 5  / estancia del vergel / na")</f>
        <v>carrera 14 #75a-29 local 5  / estancia del vergel / na</v>
      </c>
      <c r="G4008" s="15" t="str">
        <f>IFERROR(__xludf.DUMMYFUNCTION("""COMPUTED_VALUE"""),"Soy natural market ibague")</f>
        <v>Soy natural market ibague</v>
      </c>
      <c r="H4008" s="16">
        <f>IFERROR(__xludf.DUMMYFUNCTION("""COMPUTED_VALUE"""),12544.0)</f>
        <v>12544</v>
      </c>
      <c r="I4008" s="18">
        <f>IFERROR(__xludf.DUMMYFUNCTION("""COMPUTED_VALUE"""),32.0)</f>
        <v>32</v>
      </c>
      <c r="J4008" s="18">
        <f>IFERROR(__xludf.DUMMYFUNCTION("""COMPUTED_VALUE"""),32.0)</f>
        <v>32</v>
      </c>
      <c r="K4008" s="18">
        <f>IFERROR(__xludf.DUMMYFUNCTION("""COMPUTED_VALUE"""),23.0)</f>
        <v>23</v>
      </c>
      <c r="L4008" s="17">
        <f>IFERROR(__xludf.DUMMYFUNCTION("""COMPUTED_VALUE"""),3.177002909E9)</f>
        <v>3177002909</v>
      </c>
      <c r="M4008" s="17" t="str">
        <f>IFERROR(__xludf.DUMMYFUNCTION("""COMPUTED_VALUE"""),"#REF!")</f>
        <v>#REF!</v>
      </c>
      <c r="N4008" s="17"/>
      <c r="O4008" s="17"/>
      <c r="P4008" s="17" t="b">
        <f>IFERROR(__xludf.DUMMYFUNCTION("""COMPUTED_VALUE"""),FALSE)</f>
        <v>0</v>
      </c>
      <c r="Q4008" s="20" t="str">
        <f>IFERROR(__xludf.DUMMYFUNCTION("""COMPUTED_VALUE"""),"")</f>
        <v/>
      </c>
      <c r="R4008" s="21" t="str">
        <f>IFERROR(__xludf.DUMMYFUNCTION("""COMPUTED_VALUE"""),"https://drive.google.com/file/d/1ihU_oJW7z64M-9jzwuo2sMVt_qa1MhfM/view?usp=drivesdk")</f>
        <v>https://drive.google.com/file/d/1ihU_oJW7z64M-9jzwuo2sMVt_qa1MhfM/view?usp=drivesdk</v>
      </c>
    </row>
    <row r="4009">
      <c r="A4009" s="17" t="str">
        <f>IFERROR(__xludf.DUMMYFUNCTION("""COMPUTED_VALUE"""),"")</f>
        <v/>
      </c>
      <c r="B4009" s="17" t="str">
        <f>IFERROR(__xludf.DUMMYFUNCTION("""COMPUTED_VALUE"""),"")</f>
        <v/>
      </c>
      <c r="C4009" s="17" t="str">
        <f>IFERROR(__xludf.DUMMYFUNCTION("""COMPUTED_VALUE"""),"")</f>
        <v/>
      </c>
      <c r="D4009" s="17" t="str">
        <f>IFERROR(__xludf.DUMMYFUNCTION("""COMPUTED_VALUE"""),"")</f>
        <v/>
      </c>
      <c r="E4009" s="17" t="str">
        <f>IFERROR(__xludf.DUMMYFUNCTION("""COMPUTED_VALUE"""),"")</f>
        <v/>
      </c>
      <c r="F4009" s="17" t="str">
        <f>IFERROR(__xludf.DUMMYFUNCTION("""COMPUTED_VALUE"""),"")</f>
        <v/>
      </c>
      <c r="G4009" s="17" t="str">
        <f>IFERROR(__xludf.DUMMYFUNCTION("""COMPUTED_VALUE"""),"")</f>
        <v/>
      </c>
      <c r="H4009" s="17" t="str">
        <f>IFERROR(__xludf.DUMMYFUNCTION("""COMPUTED_VALUE"""),"")</f>
        <v/>
      </c>
      <c r="I4009" s="17" t="str">
        <f>IFERROR(__xludf.DUMMYFUNCTION("""COMPUTED_VALUE"""),"")</f>
        <v/>
      </c>
      <c r="J4009" s="17" t="str">
        <f>IFERROR(__xludf.DUMMYFUNCTION("""COMPUTED_VALUE"""),"")</f>
        <v/>
      </c>
      <c r="K4009" s="17" t="str">
        <f>IFERROR(__xludf.DUMMYFUNCTION("""COMPUTED_VALUE"""),"")</f>
        <v/>
      </c>
      <c r="L4009" s="17" t="str">
        <f>IFERROR(__xludf.DUMMYFUNCTION("""COMPUTED_VALUE"""),"")</f>
        <v/>
      </c>
      <c r="M4009" s="17" t="str">
        <f>IFERROR(__xludf.DUMMYFUNCTION("""COMPUTED_VALUE"""),"")</f>
        <v/>
      </c>
      <c r="N4009" s="17" t="str">
        <f>IFERROR(__xludf.DUMMYFUNCTION("""COMPUTED_VALUE"""),"")</f>
        <v/>
      </c>
      <c r="O4009" s="17" t="str">
        <f>IFERROR(__xludf.DUMMYFUNCTION("""COMPUTED_VALUE"""),"")</f>
        <v/>
      </c>
      <c r="P4009" s="17" t="str">
        <f>IFERROR(__xludf.DUMMYFUNCTION("""COMPUTED_VALUE"""),"")</f>
        <v/>
      </c>
      <c r="Q4009" s="17" t="str">
        <f>IFERROR(__xludf.DUMMYFUNCTION("""COMPUTED_VALUE"""),"")</f>
        <v/>
      </c>
      <c r="R4009" s="17" t="str">
        <f>IFERROR(__xludf.DUMMYFUNCTION("""COMPUTED_VALUE"""),"")</f>
        <v/>
      </c>
    </row>
    <row r="4010">
      <c r="A4010" s="15">
        <f>IFERROR(__xludf.DUMMYFUNCTION("""COMPUTED_VALUE"""),45118.0)</f>
        <v>45118</v>
      </c>
      <c r="B4010" s="16" t="str">
        <f>IFERROR(__xludf.DUMMYFUNCTION("""COMPUTED_VALUE"""),"Jonathan Steven Taborda")</f>
        <v>Jonathan Steven Taborda</v>
      </c>
      <c r="C4010" s="15" t="str">
        <f>IFERROR(__xludf.DUMMYFUNCTION("""COMPUTED_VALUE"""),"ARMENIA")</f>
        <v>ARMENIA</v>
      </c>
      <c r="D4010" s="15" t="str">
        <f>IFERROR(__xludf.DUMMYFUNCTION("""COMPUTED_VALUE"""),"BOGOTÁ")</f>
        <v>BOGOTÁ</v>
      </c>
      <c r="E4010" s="15" t="str">
        <f>IFERROR(__xludf.DUMMYFUNCTION("""COMPUTED_VALUE"""),"Asociacion Agropecuaria Juana Maria")</f>
        <v>Asociacion Agropecuaria Juana Maria</v>
      </c>
      <c r="F4010" s="17" t="str">
        <f>IFERROR(__xludf.DUMMYFUNCTION("""COMPUTED_VALUE"""),"Carrera 24# 30-115 popular")</f>
        <v>Carrera 24# 30-115 popular</v>
      </c>
      <c r="G4010" s="15" t="str">
        <f>IFERROR(__xludf.DUMMYFUNCTION("""COMPUTED_VALUE"""),"Leidy rivera giraldo")</f>
        <v>Leidy rivera giraldo</v>
      </c>
      <c r="H4010" s="16">
        <f>IFERROR(__xludf.DUMMYFUNCTION("""COMPUTED_VALUE"""),12491.0)</f>
        <v>12491</v>
      </c>
      <c r="I4010" s="18">
        <f>IFERROR(__xludf.DUMMYFUNCTION("""COMPUTED_VALUE"""),10.0)</f>
        <v>10</v>
      </c>
      <c r="J4010" s="18">
        <f>IFERROR(__xludf.DUMMYFUNCTION("""COMPUTED_VALUE"""),34.0)</f>
        <v>34</v>
      </c>
      <c r="K4010" s="18">
        <f>IFERROR(__xludf.DUMMYFUNCTION("""COMPUTED_VALUE"""),18.0)</f>
        <v>18</v>
      </c>
      <c r="L4010" s="17">
        <f>IFERROR(__xludf.DUMMYFUNCTION("""COMPUTED_VALUE"""),3.215525787E9)</f>
        <v>3215525787</v>
      </c>
      <c r="M4010" s="17" t="str">
        <f>IFERROR(__xludf.DUMMYFUNCTION("""COMPUTED_VALUE"""),"#REF!")</f>
        <v>#REF!</v>
      </c>
      <c r="N4010" s="17"/>
      <c r="O4010" s="17"/>
      <c r="P4010" s="17" t="b">
        <f>IFERROR(__xludf.DUMMYFUNCTION("""COMPUTED_VALUE"""),FALSE)</f>
        <v>0</v>
      </c>
      <c r="Q4010" s="20" t="str">
        <f>IFERROR(__xludf.DUMMYFUNCTION("""COMPUTED_VALUE"""),"")</f>
        <v/>
      </c>
      <c r="R4010" s="22" t="str">
        <f>IFERROR(__xludf.DUMMYFUNCTION("""COMPUTED_VALUE"""),"")</f>
        <v/>
      </c>
    </row>
    <row r="4011">
      <c r="A4011" s="15">
        <f>IFERROR(__xludf.DUMMYFUNCTION("""COMPUTED_VALUE"""),45118.0)</f>
        <v>45118</v>
      </c>
      <c r="B4011" s="16" t="str">
        <f>IFERROR(__xludf.DUMMYFUNCTION("""COMPUTED_VALUE"""),"Jonathan Steven Taborda")</f>
        <v>Jonathan Steven Taborda</v>
      </c>
      <c r="C4011" s="15" t="str">
        <f>IFERROR(__xludf.DUMMYFUNCTION("""COMPUTED_VALUE"""),"ARMENIA")</f>
        <v>ARMENIA</v>
      </c>
      <c r="D4011" s="15" t="str">
        <f>IFERROR(__xludf.DUMMYFUNCTION("""COMPUTED_VALUE"""),"BOGOTÁ")</f>
        <v>BOGOTÁ</v>
      </c>
      <c r="E4011" s="15" t="str">
        <f>IFERROR(__xludf.DUMMYFUNCTION("""COMPUTED_VALUE"""),"Asociacion Agropecuaria Juana Maria")</f>
        <v>Asociacion Agropecuaria Juana Maria</v>
      </c>
      <c r="F4011" s="17" t="str">
        <f>IFERROR(__xludf.DUMMYFUNCTION("""COMPUTED_VALUE"""),"URBANIZACION ENTREVERDES MANZANA 8 CASA 7")</f>
        <v>URBANIZACION ENTREVERDES MANZANA 8 CASA 7</v>
      </c>
      <c r="G4011" s="15" t="str">
        <f>IFERROR(__xludf.DUMMYFUNCTION("""COMPUTED_VALUE"""),"Claudia Castillo")</f>
        <v>Claudia Castillo</v>
      </c>
      <c r="H4011" s="16">
        <f>IFERROR(__xludf.DUMMYFUNCTION("""COMPUTED_VALUE"""),12484.0)</f>
        <v>12484</v>
      </c>
      <c r="I4011" s="18">
        <f>IFERROR(__xludf.DUMMYFUNCTION("""COMPUTED_VALUE"""),21.0)</f>
        <v>21</v>
      </c>
      <c r="J4011" s="18">
        <f>IFERROR(__xludf.DUMMYFUNCTION("""COMPUTED_VALUE"""),37.0)</f>
        <v>37</v>
      </c>
      <c r="K4011" s="18">
        <f>IFERROR(__xludf.DUMMYFUNCTION("""COMPUTED_VALUE"""),30.0)</f>
        <v>30</v>
      </c>
      <c r="L4011" s="17">
        <f>IFERROR(__xludf.DUMMYFUNCTION("""COMPUTED_VALUE"""),3.20804821E9)</f>
        <v>3208048210</v>
      </c>
      <c r="M4011" s="17" t="str">
        <f>IFERROR(__xludf.DUMMYFUNCTION("""COMPUTED_VALUE"""),"#REF!")</f>
        <v>#REF!</v>
      </c>
      <c r="N4011" s="17"/>
      <c r="O4011" s="17"/>
      <c r="P4011" s="17" t="b">
        <f>IFERROR(__xludf.DUMMYFUNCTION("""COMPUTED_VALUE"""),FALSE)</f>
        <v>0</v>
      </c>
      <c r="Q4011" s="20" t="str">
        <f>IFERROR(__xludf.DUMMYFUNCTION("""COMPUTED_VALUE"""),"")</f>
        <v/>
      </c>
      <c r="R4011" s="21" t="str">
        <f>IFERROR(__xludf.DUMMYFUNCTION("""COMPUTED_VALUE"""),"https://drive.google.com/file/d/1Lilmljj3hcnLbamV_4fsS_VhgChQs9pt/view?usp=drivesdk")</f>
        <v>https://drive.google.com/file/d/1Lilmljj3hcnLbamV_4fsS_VhgChQs9pt/view?usp=drivesdk</v>
      </c>
    </row>
    <row r="4012">
      <c r="A4012" s="15">
        <f>IFERROR(__xludf.DUMMYFUNCTION("""COMPUTED_VALUE"""),45118.0)</f>
        <v>45118</v>
      </c>
      <c r="B4012" s="16" t="str">
        <f>IFERROR(__xludf.DUMMYFUNCTION("""COMPUTED_VALUE"""),"Jonathan Steven Taborda")</f>
        <v>Jonathan Steven Taborda</v>
      </c>
      <c r="C4012" s="15" t="str">
        <f>IFERROR(__xludf.DUMMYFUNCTION("""COMPUTED_VALUE"""),"ARMENIA")</f>
        <v>ARMENIA</v>
      </c>
      <c r="D4012" s="15" t="str">
        <f>IFERROR(__xludf.DUMMYFUNCTION("""COMPUTED_VALUE"""),"BOGOTÁ")</f>
        <v>BOGOTÁ</v>
      </c>
      <c r="E4012" s="15" t="str">
        <f>IFERROR(__xludf.DUMMYFUNCTION("""COMPUTED_VALUE"""),"Evamazzita")</f>
        <v>Evamazzita</v>
      </c>
      <c r="F4012" s="17" t="str">
        <f>IFERROR(__xludf.DUMMYFUNCTION("""COMPUTED_VALUE"""),"Calle 26#22-08 / Senderos del bosque apto 203 / N/A")</f>
        <v>Calle 26#22-08 / Senderos del bosque apto 203 / N/A</v>
      </c>
      <c r="G4012" s="15" t="str">
        <f>IFERROR(__xludf.DUMMYFUNCTION("""COMPUTED_VALUE"""),"DAYAN ALVAREZ GALEANO")</f>
        <v>DAYAN ALVAREZ GALEANO</v>
      </c>
      <c r="H4012" s="16">
        <f>IFERROR(__xludf.DUMMYFUNCTION("""COMPUTED_VALUE"""),12521.0)</f>
        <v>12521</v>
      </c>
      <c r="I4012" s="18">
        <f>IFERROR(__xludf.DUMMYFUNCTION("""COMPUTED_VALUE"""),5.0)</f>
        <v>5</v>
      </c>
      <c r="J4012" s="18">
        <f>IFERROR(__xludf.DUMMYFUNCTION("""COMPUTED_VALUE"""),21.0)</f>
        <v>21</v>
      </c>
      <c r="K4012" s="18">
        <f>IFERROR(__xludf.DUMMYFUNCTION("""COMPUTED_VALUE"""),15.0)</f>
        <v>15</v>
      </c>
      <c r="L4012" s="17">
        <f>IFERROR(__xludf.DUMMYFUNCTION("""COMPUTED_VALUE"""),3.177864747E9)</f>
        <v>3177864747</v>
      </c>
      <c r="M4012" s="17" t="str">
        <f>IFERROR(__xludf.DUMMYFUNCTION("""COMPUTED_VALUE"""),"#REF!")</f>
        <v>#REF!</v>
      </c>
      <c r="N4012" s="17"/>
      <c r="O4012" s="17"/>
      <c r="P4012" s="17" t="b">
        <f>IFERROR(__xludf.DUMMYFUNCTION("""COMPUTED_VALUE"""),FALSE)</f>
        <v>0</v>
      </c>
      <c r="Q4012" s="20" t="str">
        <f>IFERROR(__xludf.DUMMYFUNCTION("""COMPUTED_VALUE"""),"")</f>
        <v/>
      </c>
      <c r="R4012" s="22" t="str">
        <f>IFERROR(__xludf.DUMMYFUNCTION("""COMPUTED_VALUE"""),"")</f>
        <v/>
      </c>
    </row>
    <row r="4013">
      <c r="A4013" s="15">
        <f>IFERROR(__xludf.DUMMYFUNCTION("""COMPUTED_VALUE"""),45118.0)</f>
        <v>45118</v>
      </c>
      <c r="B4013" s="16" t="str">
        <f>IFERROR(__xludf.DUMMYFUNCTION("""COMPUTED_VALUE"""),"Jonathan Steven Taborda")</f>
        <v>Jonathan Steven Taborda</v>
      </c>
      <c r="C4013" s="15" t="str">
        <f>IFERROR(__xludf.DUMMYFUNCTION("""COMPUTED_VALUE"""),"BOGOTÁ")</f>
        <v>BOGOTÁ</v>
      </c>
      <c r="D4013" s="15" t="str">
        <f>IFERROR(__xludf.DUMMYFUNCTION("""COMPUTED_VALUE"""),"MEDELLÍN")</f>
        <v>MEDELLÍN</v>
      </c>
      <c r="E4013" s="15" t="str">
        <f>IFERROR(__xludf.DUMMYFUNCTION("""COMPUTED_VALUE"""),"Puro Verde")</f>
        <v>Puro Verde</v>
      </c>
      <c r="F4013" s="17" t="str">
        <f>IFERROR(__xludf.DUMMYFUNCTION("""COMPUTED_VALUE"""),"CRA 16A # 77-23.  / LOCAL 4.  / CHICO")</f>
        <v>CRA 16A # 77-23.  / LOCAL 4.  / CHICO</v>
      </c>
      <c r="G4013" s="15" t="str">
        <f>IFERROR(__xludf.DUMMYFUNCTION("""COMPUTED_VALUE"""),"CENTRO DE ACOPIO DANDO CUERDA")</f>
        <v>CENTRO DE ACOPIO DANDO CUERDA</v>
      </c>
      <c r="H4013" s="16">
        <f>IFERROR(__xludf.DUMMYFUNCTION("""COMPUTED_VALUE"""),12466.0)</f>
        <v>12466</v>
      </c>
      <c r="I4013" s="18">
        <f>IFERROR(__xludf.DUMMYFUNCTION("""COMPUTED_VALUE"""),67.0)</f>
        <v>67</v>
      </c>
      <c r="J4013" s="18">
        <f>IFERROR(__xludf.DUMMYFUNCTION("""COMPUTED_VALUE"""),65.0)</f>
        <v>65</v>
      </c>
      <c r="K4013" s="18">
        <f>IFERROR(__xludf.DUMMYFUNCTION("""COMPUTED_VALUE"""),55.0)</f>
        <v>55</v>
      </c>
      <c r="L4013" s="17">
        <f>IFERROR(__xludf.DUMMYFUNCTION("""COMPUTED_VALUE"""),3.163816691E9)</f>
        <v>3163816691</v>
      </c>
      <c r="M4013" s="17" t="str">
        <f>IFERROR(__xludf.DUMMYFUNCTION("""COMPUTED_VALUE"""),"#REF!")</f>
        <v>#REF!</v>
      </c>
      <c r="N4013" s="17"/>
      <c r="O4013" s="17"/>
      <c r="P4013" s="17" t="b">
        <f>IFERROR(__xludf.DUMMYFUNCTION("""COMPUTED_VALUE"""),FALSE)</f>
        <v>0</v>
      </c>
      <c r="Q4013" s="20" t="str">
        <f>IFERROR(__xludf.DUMMYFUNCTION("""COMPUTED_VALUE"""),"")</f>
        <v/>
      </c>
      <c r="R4013" s="21" t="str">
        <f>IFERROR(__xludf.DUMMYFUNCTION("""COMPUTED_VALUE"""),"https://drive.google.com/file/d/1M9jzdlGT16HCP3lqh-K1hMua7XGXIuMm/view?usp=drivesdk")</f>
        <v>https://drive.google.com/file/d/1M9jzdlGT16HCP3lqh-K1hMua7XGXIuMm/view?usp=drivesdk</v>
      </c>
    </row>
    <row r="4014">
      <c r="A4014" s="17" t="str">
        <f>IFERROR(__xludf.DUMMYFUNCTION("""COMPUTED_VALUE"""),"")</f>
        <v/>
      </c>
      <c r="B4014" s="17" t="str">
        <f>IFERROR(__xludf.DUMMYFUNCTION("""COMPUTED_VALUE"""),"")</f>
        <v/>
      </c>
      <c r="C4014" s="17" t="str">
        <f>IFERROR(__xludf.DUMMYFUNCTION("""COMPUTED_VALUE"""),"")</f>
        <v/>
      </c>
      <c r="D4014" s="17" t="str">
        <f>IFERROR(__xludf.DUMMYFUNCTION("""COMPUTED_VALUE"""),"")</f>
        <v/>
      </c>
      <c r="E4014" s="17" t="str">
        <f>IFERROR(__xludf.DUMMYFUNCTION("""COMPUTED_VALUE"""),"")</f>
        <v/>
      </c>
      <c r="F4014" s="17" t="str">
        <f>IFERROR(__xludf.DUMMYFUNCTION("""COMPUTED_VALUE"""),"")</f>
        <v/>
      </c>
      <c r="G4014" s="17" t="str">
        <f>IFERROR(__xludf.DUMMYFUNCTION("""COMPUTED_VALUE"""),"")</f>
        <v/>
      </c>
      <c r="H4014" s="17" t="str">
        <f>IFERROR(__xludf.DUMMYFUNCTION("""COMPUTED_VALUE"""),"")</f>
        <v/>
      </c>
      <c r="I4014" s="17" t="str">
        <f>IFERROR(__xludf.DUMMYFUNCTION("""COMPUTED_VALUE"""),"")</f>
        <v/>
      </c>
      <c r="J4014" s="17" t="str">
        <f>IFERROR(__xludf.DUMMYFUNCTION("""COMPUTED_VALUE"""),"")</f>
        <v/>
      </c>
      <c r="K4014" s="17" t="str">
        <f>IFERROR(__xludf.DUMMYFUNCTION("""COMPUTED_VALUE"""),"")</f>
        <v/>
      </c>
      <c r="L4014" s="17" t="str">
        <f>IFERROR(__xludf.DUMMYFUNCTION("""COMPUTED_VALUE"""),"")</f>
        <v/>
      </c>
      <c r="M4014" s="17" t="str">
        <f>IFERROR(__xludf.DUMMYFUNCTION("""COMPUTED_VALUE"""),"")</f>
        <v/>
      </c>
      <c r="N4014" s="17" t="str">
        <f>IFERROR(__xludf.DUMMYFUNCTION("""COMPUTED_VALUE"""),"")</f>
        <v/>
      </c>
      <c r="O4014" s="17" t="str">
        <f>IFERROR(__xludf.DUMMYFUNCTION("""COMPUTED_VALUE"""),"")</f>
        <v/>
      </c>
      <c r="P4014" s="17" t="str">
        <f>IFERROR(__xludf.DUMMYFUNCTION("""COMPUTED_VALUE"""),"")</f>
        <v/>
      </c>
      <c r="Q4014" s="17" t="str">
        <f>IFERROR(__xludf.DUMMYFUNCTION("""COMPUTED_VALUE"""),"")</f>
        <v/>
      </c>
      <c r="R4014" s="17" t="str">
        <f>IFERROR(__xludf.DUMMYFUNCTION("""COMPUTED_VALUE"""),"")</f>
        <v/>
      </c>
    </row>
    <row r="4015">
      <c r="A4015" s="15">
        <f>IFERROR(__xludf.DUMMYFUNCTION("""COMPUTED_VALUE"""),45118.0)</f>
        <v>45118</v>
      </c>
      <c r="B4015" s="16" t="str">
        <f>IFERROR(__xludf.DUMMYFUNCTION("""COMPUTED_VALUE"""),"José Miguel Bonilla")</f>
        <v>José Miguel Bonilla</v>
      </c>
      <c r="C4015" s="15" t="str">
        <f>IFERROR(__xludf.DUMMYFUNCTION("""COMPUTED_VALUE"""),"BUCARAMANGA")</f>
        <v>BUCARAMANGA</v>
      </c>
      <c r="D4015" s="15" t="str">
        <f>IFERROR(__xludf.DUMMYFUNCTION("""COMPUTED_VALUE"""),"BOGOTÁ")</f>
        <v>BOGOTÁ</v>
      </c>
      <c r="E4015" s="15" t="str">
        <f>IFERROR(__xludf.DUMMYFUNCTION("""COMPUTED_VALUE"""),"Evamazzita")</f>
        <v>Evamazzita</v>
      </c>
      <c r="F4015" s="17" t="str">
        <f>IFERROR(__xludf.DUMMYFUNCTION("""COMPUTED_VALUE"""),"Circunvalar 36a #104-25 / Conjunto residencial Puerto varas/ torre 3 apto 904 / Fatima")</f>
        <v>Circunvalar 36a #104-25 / Conjunto residencial Puerto varas/ torre 3 apto 904 / Fatima</v>
      </c>
      <c r="G4015" s="15" t="str">
        <f>IFERROR(__xludf.DUMMYFUNCTION("""COMPUTED_VALUE"""),"LAURA YANETH RUIZ PORRAs")</f>
        <v>LAURA YANETH RUIZ PORRAs</v>
      </c>
      <c r="H4015" s="16">
        <f>IFERROR(__xludf.DUMMYFUNCTION("""COMPUTED_VALUE"""),12518.0)</f>
        <v>12518</v>
      </c>
      <c r="I4015" s="18">
        <f>IFERROR(__xludf.DUMMYFUNCTION("""COMPUTED_VALUE"""),1.0)</f>
        <v>1</v>
      </c>
      <c r="J4015" s="18">
        <f>IFERROR(__xludf.DUMMYFUNCTION("""COMPUTED_VALUE"""),1.0)</f>
        <v>1</v>
      </c>
      <c r="K4015" s="18">
        <f>IFERROR(__xludf.DUMMYFUNCTION("""COMPUTED_VALUE"""),1.0)</f>
        <v>1</v>
      </c>
      <c r="L4015" s="17">
        <f>IFERROR(__xludf.DUMMYFUNCTION("""COMPUTED_VALUE"""),3.012006773E9)</f>
        <v>3012006773</v>
      </c>
      <c r="M4015" s="17" t="str">
        <f>IFERROR(__xludf.DUMMYFUNCTION("""COMPUTED_VALUE"""),"#REF!")</f>
        <v>#REF!</v>
      </c>
      <c r="N4015" s="17"/>
      <c r="O4015" s="17"/>
      <c r="P4015" s="17" t="b">
        <f>IFERROR(__xludf.DUMMYFUNCTION("""COMPUTED_VALUE"""),FALSE)</f>
        <v>0</v>
      </c>
      <c r="Q4015" s="20" t="str">
        <f>IFERROR(__xludf.DUMMYFUNCTION("""COMPUTED_VALUE"""),"")</f>
        <v/>
      </c>
      <c r="R4015" s="21" t="str">
        <f>IFERROR(__xludf.DUMMYFUNCTION("""COMPUTED_VALUE"""),"https://drive.google.com/file/d/1NkD9EmE7VXGn0GCtOedANTxXm305LUst/view?usp=drivesdk")</f>
        <v>https://drive.google.com/file/d/1NkD9EmE7VXGn0GCtOedANTxXm305LUst/view?usp=drivesdk</v>
      </c>
    </row>
    <row r="4016">
      <c r="A4016" s="15">
        <f>IFERROR(__xludf.DUMMYFUNCTION("""COMPUTED_VALUE"""),45118.0)</f>
        <v>45118</v>
      </c>
      <c r="B4016" s="16" t="str">
        <f>IFERROR(__xludf.DUMMYFUNCTION("""COMPUTED_VALUE"""),"José Miguel Bonilla")</f>
        <v>José Miguel Bonilla</v>
      </c>
      <c r="C4016" s="15" t="str">
        <f>IFERROR(__xludf.DUMMYFUNCTION("""COMPUTED_VALUE"""),"BUCARAMANGA")</f>
        <v>BUCARAMANGA</v>
      </c>
      <c r="D4016" s="15" t="str">
        <f>IFERROR(__xludf.DUMMYFUNCTION("""COMPUTED_VALUE"""),"BOGOTÁ")</f>
        <v>BOGOTÁ</v>
      </c>
      <c r="E4016" s="15" t="str">
        <f>IFERROR(__xludf.DUMMYFUNCTION("""COMPUTED_VALUE"""),"Ins. Alimento Vital")</f>
        <v>Ins. Alimento Vital</v>
      </c>
      <c r="F4016" s="17" t="str">
        <f>IFERROR(__xludf.DUMMYFUNCTION("""COMPUTED_VALUE"""),"CL 71 53 97 / CA 12 CON ALTOS DE CANTARELA / LAGOS DEL CACIQUE")</f>
        <v>CL 71 53 97 / CA 12 CON ALTOS DE CANTARELA / LAGOS DEL CACIQUE</v>
      </c>
      <c r="G4016" s="15" t="str">
        <f>IFERROR(__xludf.DUMMYFUNCTION("""COMPUTED_VALUE"""),"YAMILE EDILMA FRANCO RUEDA")</f>
        <v>YAMILE EDILMA FRANCO RUEDA</v>
      </c>
      <c r="H4016" s="16">
        <f>IFERROR(__xludf.DUMMYFUNCTION("""COMPUTED_VALUE"""),12496.0)</f>
        <v>12496</v>
      </c>
      <c r="I4016" s="18">
        <f>IFERROR(__xludf.DUMMYFUNCTION("""COMPUTED_VALUE"""),1.0)</f>
        <v>1</v>
      </c>
      <c r="J4016" s="18">
        <f>IFERROR(__xludf.DUMMYFUNCTION("""COMPUTED_VALUE"""),1.0)</f>
        <v>1</v>
      </c>
      <c r="K4016" s="18">
        <f>IFERROR(__xludf.DUMMYFUNCTION("""COMPUTED_VALUE"""),1.0)</f>
        <v>1</v>
      </c>
      <c r="L4016" s="17">
        <f>IFERROR(__xludf.DUMMYFUNCTION("""COMPUTED_VALUE"""),3.144711356E9)</f>
        <v>3144711356</v>
      </c>
      <c r="M4016" s="17" t="str">
        <f>IFERROR(__xludf.DUMMYFUNCTION("""COMPUTED_VALUE"""),"#REF!")</f>
        <v>#REF!</v>
      </c>
      <c r="N4016" s="17"/>
      <c r="O4016" s="17"/>
      <c r="P4016" s="17" t="b">
        <f>IFERROR(__xludf.DUMMYFUNCTION("""COMPUTED_VALUE"""),FALSE)</f>
        <v>0</v>
      </c>
      <c r="Q4016" s="20" t="str">
        <f>IFERROR(__xludf.DUMMYFUNCTION("""COMPUTED_VALUE"""),"")</f>
        <v/>
      </c>
      <c r="R4016" s="21" t="str">
        <f>IFERROR(__xludf.DUMMYFUNCTION("""COMPUTED_VALUE"""),"https://drive.google.com/file/d/1Qpd1fdXYlj11vxX13U48iaA84DcMhSRH/view?usp=drivesdk")</f>
        <v>https://drive.google.com/file/d/1Qpd1fdXYlj11vxX13U48iaA84DcMhSRH/view?usp=drivesdk</v>
      </c>
    </row>
    <row r="4017">
      <c r="A4017" s="15">
        <f>IFERROR(__xludf.DUMMYFUNCTION("""COMPUTED_VALUE"""),45118.0)</f>
        <v>45118</v>
      </c>
      <c r="B4017" s="16" t="str">
        <f>IFERROR(__xludf.DUMMYFUNCTION("""COMPUTED_VALUE"""),"José Miguel Bonilla")</f>
        <v>José Miguel Bonilla</v>
      </c>
      <c r="C4017" s="15" t="str">
        <f>IFERROR(__xludf.DUMMYFUNCTION("""COMPUTED_VALUE"""),"BUCARAMANGA")</f>
        <v>BUCARAMANGA</v>
      </c>
      <c r="D4017" s="15" t="str">
        <f>IFERROR(__xludf.DUMMYFUNCTION("""COMPUTED_VALUE"""),"BOGOTÁ")</f>
        <v>BOGOTÁ</v>
      </c>
      <c r="E4017" s="15" t="str">
        <f>IFERROR(__xludf.DUMMYFUNCTION("""COMPUTED_VALUE"""),"Ins. Alimento Vital")</f>
        <v>Ins. Alimento Vital</v>
      </c>
      <c r="F4017" s="17" t="str">
        <f>IFERROR(__xludf.DUMMYFUNCTION("""COMPUTED_VALUE"""),"CR 44 64 A 73  / TR 2 AP 801 EDIFICIO MONSERRAT / BARRIO LA FLORESTA")</f>
        <v>CR 44 64 A 73  / TR 2 AP 801 EDIFICIO MONSERRAT / BARRIO LA FLORESTA</v>
      </c>
      <c r="G4017" s="15" t="str">
        <f>IFERROR(__xludf.DUMMYFUNCTION("""COMPUTED_VALUE"""),"LUISA FERNANDA CASTELLANOS RAMIREZ")</f>
        <v>LUISA FERNANDA CASTELLANOS RAMIREZ</v>
      </c>
      <c r="H4017" s="16">
        <f>IFERROR(__xludf.DUMMYFUNCTION("""COMPUTED_VALUE"""),12497.0)</f>
        <v>12497</v>
      </c>
      <c r="I4017" s="18">
        <f>IFERROR(__xludf.DUMMYFUNCTION("""COMPUTED_VALUE"""),1.0)</f>
        <v>1</v>
      </c>
      <c r="J4017" s="18">
        <f>IFERROR(__xludf.DUMMYFUNCTION("""COMPUTED_VALUE"""),1.0)</f>
        <v>1</v>
      </c>
      <c r="K4017" s="18">
        <f>IFERROR(__xludf.DUMMYFUNCTION("""COMPUTED_VALUE"""),1.0)</f>
        <v>1</v>
      </c>
      <c r="L4017" s="17">
        <f>IFERROR(__xludf.DUMMYFUNCTION("""COMPUTED_VALUE"""),3.153976486E9)</f>
        <v>3153976486</v>
      </c>
      <c r="M4017" s="17" t="str">
        <f>IFERROR(__xludf.DUMMYFUNCTION("""COMPUTED_VALUE"""),"#REF!")</f>
        <v>#REF!</v>
      </c>
      <c r="N4017" s="17"/>
      <c r="O4017" s="17"/>
      <c r="P4017" s="17" t="b">
        <f>IFERROR(__xludf.DUMMYFUNCTION("""COMPUTED_VALUE"""),FALSE)</f>
        <v>0</v>
      </c>
      <c r="Q4017" s="20" t="str">
        <f>IFERROR(__xludf.DUMMYFUNCTION("""COMPUTED_VALUE"""),"")</f>
        <v/>
      </c>
      <c r="R4017" s="21" t="str">
        <f>IFERROR(__xludf.DUMMYFUNCTION("""COMPUTED_VALUE"""),"https://drive.google.com/file/d/1XHj4sipm9AzO9QFgP1cDsbo_tZqNGi51/view?usp=drivesdk")</f>
        <v>https://drive.google.com/file/d/1XHj4sipm9AzO9QFgP1cDsbo_tZqNGi51/view?usp=drivesdk</v>
      </c>
    </row>
    <row r="4018">
      <c r="A4018" s="15">
        <f>IFERROR(__xludf.DUMMYFUNCTION("""COMPUTED_VALUE"""),45118.0)</f>
        <v>45118</v>
      </c>
      <c r="B4018" s="16" t="str">
        <f>IFERROR(__xludf.DUMMYFUNCTION("""COMPUTED_VALUE"""),"José Miguel Bonilla")</f>
        <v>José Miguel Bonilla</v>
      </c>
      <c r="C4018" s="15" t="str">
        <f>IFERROR(__xludf.DUMMYFUNCTION("""COMPUTED_VALUE"""),"BUCARAMANGA")</f>
        <v>BUCARAMANGA</v>
      </c>
      <c r="D4018" s="15" t="str">
        <f>IFERROR(__xludf.DUMMYFUNCTION("""COMPUTED_VALUE"""),"BOGOTÁ")</f>
        <v>BOGOTÁ</v>
      </c>
      <c r="E4018" s="15" t="str">
        <f>IFERROR(__xludf.DUMMYFUNCTION("""COMPUTED_VALUE"""),"Lunchy Kids")</f>
        <v>Lunchy Kids</v>
      </c>
      <c r="F4018" s="17" t="str">
        <f>IFERROR(__xludf.DUMMYFUNCTION("""COMPUTED_VALUE"""),"Calle 46 No. 39a -33   / Edificio Shantik Casa Boutique apto 402  / Bucaramanga")</f>
        <v>Calle 46 No. 39a -33   / Edificio Shantik Casa Boutique apto 402  / Bucaramanga</v>
      </c>
      <c r="G4018" s="15" t="str">
        <f>IFERROR(__xludf.DUMMYFUNCTION("""COMPUTED_VALUE"""),"Yelin Juliana Vélez Cañas")</f>
        <v>Yelin Juliana Vélez Cañas</v>
      </c>
      <c r="H4018" s="16">
        <f>IFERROR(__xludf.DUMMYFUNCTION("""COMPUTED_VALUE"""),12472.0)</f>
        <v>12472</v>
      </c>
      <c r="I4018" s="18">
        <f>IFERROR(__xludf.DUMMYFUNCTION("""COMPUTED_VALUE"""),17.0)</f>
        <v>17</v>
      </c>
      <c r="J4018" s="18">
        <f>IFERROR(__xludf.DUMMYFUNCTION("""COMPUTED_VALUE"""),27.0)</f>
        <v>27</v>
      </c>
      <c r="K4018" s="18">
        <f>IFERROR(__xludf.DUMMYFUNCTION("""COMPUTED_VALUE"""),10.0)</f>
        <v>10</v>
      </c>
      <c r="L4018" s="17">
        <f>IFERROR(__xludf.DUMMYFUNCTION("""COMPUTED_VALUE"""),3.015705002E9)</f>
        <v>3015705002</v>
      </c>
      <c r="M4018" s="17" t="str">
        <f>IFERROR(__xludf.DUMMYFUNCTION("""COMPUTED_VALUE"""),"#REF!")</f>
        <v>#REF!</v>
      </c>
      <c r="N4018" s="17"/>
      <c r="O4018" s="17"/>
      <c r="P4018" s="17" t="b">
        <f>IFERROR(__xludf.DUMMYFUNCTION("""COMPUTED_VALUE"""),FALSE)</f>
        <v>0</v>
      </c>
      <c r="Q4018" s="20" t="str">
        <f>IFERROR(__xludf.DUMMYFUNCTION("""COMPUTED_VALUE"""),"")</f>
        <v/>
      </c>
      <c r="R4018" s="22" t="str">
        <f>IFERROR(__xludf.DUMMYFUNCTION("""COMPUTED_VALUE"""),"")</f>
        <v/>
      </c>
    </row>
    <row r="4019">
      <c r="A4019" s="15">
        <f>IFERROR(__xludf.DUMMYFUNCTION("""COMPUTED_VALUE"""),45118.0)</f>
        <v>45118</v>
      </c>
      <c r="B4019" s="16" t="str">
        <f>IFERROR(__xludf.DUMMYFUNCTION("""COMPUTED_VALUE"""),"José Miguel Bonilla")</f>
        <v>José Miguel Bonilla</v>
      </c>
      <c r="C4019" s="15" t="str">
        <f>IFERROR(__xludf.DUMMYFUNCTION("""COMPUTED_VALUE"""),"BUCARAMANGA")</f>
        <v>BUCARAMANGA</v>
      </c>
      <c r="D4019" s="15" t="str">
        <f>IFERROR(__xludf.DUMMYFUNCTION("""COMPUTED_VALUE"""),"BOGOTÁ")</f>
        <v>BOGOTÁ</v>
      </c>
      <c r="E4019" s="15" t="str">
        <f>IFERROR(__xludf.DUMMYFUNCTION("""COMPUTED_VALUE"""),"Lunchy Kids")</f>
        <v>Lunchy Kids</v>
      </c>
      <c r="F4019" s="17" t="str">
        <f>IFERROR(__xludf.DUMMYFUNCTION("""COMPUTED_VALUE"""),"Calle12 n 35 60    / edificio quinta ana Apto 204 / barrio los pinos")</f>
        <v>Calle12 n 35 60    / edificio quinta ana Apto 204 / barrio los pinos</v>
      </c>
      <c r="G4019" s="15" t="str">
        <f>IFERROR(__xludf.DUMMYFUNCTION("""COMPUTED_VALUE"""),"Juliana Serrano")</f>
        <v>Juliana Serrano</v>
      </c>
      <c r="H4019" s="16">
        <f>IFERROR(__xludf.DUMMYFUNCTION("""COMPUTED_VALUE"""),12470.0)</f>
        <v>12470</v>
      </c>
      <c r="I4019" s="18">
        <f>IFERROR(__xludf.DUMMYFUNCTION("""COMPUTED_VALUE"""),15.0)</f>
        <v>15</v>
      </c>
      <c r="J4019" s="18">
        <f>IFERROR(__xludf.DUMMYFUNCTION("""COMPUTED_VALUE"""),10.0)</f>
        <v>10</v>
      </c>
      <c r="K4019" s="18">
        <f>IFERROR(__xludf.DUMMYFUNCTION("""COMPUTED_VALUE"""),22.0)</f>
        <v>22</v>
      </c>
      <c r="L4019" s="17">
        <f>IFERROR(__xludf.DUMMYFUNCTION("""COMPUTED_VALUE"""),3.015074057E9)</f>
        <v>3015074057</v>
      </c>
      <c r="M4019" s="17" t="str">
        <f>IFERROR(__xludf.DUMMYFUNCTION("""COMPUTED_VALUE"""),"#REF!")</f>
        <v>#REF!</v>
      </c>
      <c r="N4019" s="17"/>
      <c r="O4019" s="17"/>
      <c r="P4019" s="17" t="b">
        <f>IFERROR(__xludf.DUMMYFUNCTION("""COMPUTED_VALUE"""),FALSE)</f>
        <v>0</v>
      </c>
      <c r="Q4019" s="20" t="str">
        <f>IFERROR(__xludf.DUMMYFUNCTION("""COMPUTED_VALUE"""),"")</f>
        <v/>
      </c>
      <c r="R4019" s="21" t="str">
        <f>IFERROR(__xludf.DUMMYFUNCTION("""COMPUTED_VALUE"""),"https://drive.google.com/file/d/13wXD3hU48aNM7pYE5bIfDYCE_NdGF_Zs/view?usp=drivesdk")</f>
        <v>https://drive.google.com/file/d/13wXD3hU48aNM7pYE5bIfDYCE_NdGF_Zs/view?usp=drivesdk</v>
      </c>
    </row>
    <row r="4020">
      <c r="A4020" s="15">
        <f>IFERROR(__xludf.DUMMYFUNCTION("""COMPUTED_VALUE"""),45118.0)</f>
        <v>45118</v>
      </c>
      <c r="B4020" s="16" t="str">
        <f>IFERROR(__xludf.DUMMYFUNCTION("""COMPUTED_VALUE"""),"José Miguel Bonilla")</f>
        <v>José Miguel Bonilla</v>
      </c>
      <c r="C4020" s="15" t="str">
        <f>IFERROR(__xludf.DUMMYFUNCTION("""COMPUTED_VALUE"""),"BUCARAMANGA")</f>
        <v>BUCARAMANGA</v>
      </c>
      <c r="D4020" s="15" t="str">
        <f>IFERROR(__xludf.DUMMYFUNCTION("""COMPUTED_VALUE"""),"BOGOTÁ")</f>
        <v>BOGOTÁ</v>
      </c>
      <c r="E4020" s="15" t="str">
        <f>IFERROR(__xludf.DUMMYFUNCTION("""COMPUTED_VALUE"""),"Lunchy Kids")</f>
        <v>Lunchy Kids</v>
      </c>
      <c r="F4020" s="17" t="str">
        <f>IFERROR(__xludf.DUMMYFUNCTION("""COMPUTED_VALUE"""),"Kilómetro 23 via piedecuesta  / Condominio Arcadia - Casa 5  / Bucaramanga")</f>
        <v>Kilómetro 23 via piedecuesta  / Condominio Arcadia - Casa 5  / Bucaramanga</v>
      </c>
      <c r="G4020" s="15" t="str">
        <f>IFERROR(__xludf.DUMMYFUNCTION("""COMPUTED_VALUE"""),"Astrid Julieth Serrano Plata")</f>
        <v>Astrid Julieth Serrano Plata</v>
      </c>
      <c r="H4020" s="16">
        <f>IFERROR(__xludf.DUMMYFUNCTION("""COMPUTED_VALUE"""),12478.0)</f>
        <v>12478</v>
      </c>
      <c r="I4020" s="18">
        <f>IFERROR(__xludf.DUMMYFUNCTION("""COMPUTED_VALUE"""),15.0)</f>
        <v>15</v>
      </c>
      <c r="J4020" s="18">
        <f>IFERROR(__xludf.DUMMYFUNCTION("""COMPUTED_VALUE"""),28.0)</f>
        <v>28</v>
      </c>
      <c r="K4020" s="18">
        <f>IFERROR(__xludf.DUMMYFUNCTION("""COMPUTED_VALUE"""),6.0)</f>
        <v>6</v>
      </c>
      <c r="L4020" s="17">
        <f>IFERROR(__xludf.DUMMYFUNCTION("""COMPUTED_VALUE"""),3.004420245E9)</f>
        <v>3004420245</v>
      </c>
      <c r="M4020" s="17" t="str">
        <f>IFERROR(__xludf.DUMMYFUNCTION("""COMPUTED_VALUE"""),"#REF!")</f>
        <v>#REF!</v>
      </c>
      <c r="N4020" s="17"/>
      <c r="O4020" s="17"/>
      <c r="P4020" s="17" t="b">
        <f>IFERROR(__xludf.DUMMYFUNCTION("""COMPUTED_VALUE"""),FALSE)</f>
        <v>0</v>
      </c>
      <c r="Q4020" s="20" t="str">
        <f>IFERROR(__xludf.DUMMYFUNCTION("""COMPUTED_VALUE"""),"")</f>
        <v/>
      </c>
      <c r="R4020" s="21" t="str">
        <f>IFERROR(__xludf.DUMMYFUNCTION("""COMPUTED_VALUE"""),"https://drive.google.com/file/d/1_ASq4yETmLC9BsnWjieeEBwortRkS88b/view?usp=drivesdk")</f>
        <v>https://drive.google.com/file/d/1_ASq4yETmLC9BsnWjieeEBwortRkS88b/view?usp=drivesdk</v>
      </c>
    </row>
    <row r="4021">
      <c r="A4021" s="15">
        <f>IFERROR(__xludf.DUMMYFUNCTION("""COMPUTED_VALUE"""),45118.0)</f>
        <v>45118</v>
      </c>
      <c r="B4021" s="16" t="str">
        <f>IFERROR(__xludf.DUMMYFUNCTION("""COMPUTED_VALUE"""),"José Miguel Bonilla")</f>
        <v>José Miguel Bonilla</v>
      </c>
      <c r="C4021" s="15" t="str">
        <f>IFERROR(__xludf.DUMMYFUNCTION("""COMPUTED_VALUE"""),"BUCARAMANGA")</f>
        <v>BUCARAMANGA</v>
      </c>
      <c r="D4021" s="15" t="str">
        <f>IFERROR(__xludf.DUMMYFUNCTION("""COMPUTED_VALUE"""),"BOGOTÁ")</f>
        <v>BOGOTÁ</v>
      </c>
      <c r="E4021" s="15" t="str">
        <f>IFERROR(__xludf.DUMMYFUNCTION("""COMPUTED_VALUE"""),"Pan de Waffle")</f>
        <v>Pan de Waffle</v>
      </c>
      <c r="F4021" s="17" t="str">
        <f>IFERROR(__xludf.DUMMYFUNCTION("""COMPUTED_VALUE"""),"Av. Samanes # 9 - 140 Ciudadela Real De Minas C.C. Acropolis Local 210A Piso 2 / Av. Samanes # 9 - 140 Ciudadela Real De Minas C.C. Acropolis Local 210A Piso 2 / Av. Samanes # 9 - 140 Ciudadela Real De Minas C.C. Acropolis Local 210A Piso 2")</f>
        <v>Av. Samanes # 9 - 140 Ciudadela Real De Minas C.C. Acropolis Local 210A Piso 2 / Av. Samanes # 9 - 140 Ciudadela Real De Minas C.C. Acropolis Local 210A Piso 2 / Av. Samanes # 9 - 140 Ciudadela Real De Minas C.C. Acropolis Local 210A Piso 2</v>
      </c>
      <c r="G4021" s="15" t="str">
        <f>IFERROR(__xludf.DUMMYFUNCTION("""COMPUTED_VALUE"""),"FITANICA SALUDABLE")</f>
        <v>FITANICA SALUDABLE</v>
      </c>
      <c r="H4021" s="16">
        <f>IFERROR(__xludf.DUMMYFUNCTION("""COMPUTED_VALUE"""),12547.0)</f>
        <v>12547</v>
      </c>
      <c r="I4021" s="18">
        <f>IFERROR(__xludf.DUMMYFUNCTION("""COMPUTED_VALUE"""),30.0)</f>
        <v>30</v>
      </c>
      <c r="J4021" s="18">
        <f>IFERROR(__xludf.DUMMYFUNCTION("""COMPUTED_VALUE"""),30.0)</f>
        <v>30</v>
      </c>
      <c r="K4021" s="18">
        <f>IFERROR(__xludf.DUMMYFUNCTION("""COMPUTED_VALUE"""),40.0)</f>
        <v>40</v>
      </c>
      <c r="L4021" s="17">
        <f>IFERROR(__xludf.DUMMYFUNCTION("""COMPUTED_VALUE"""),3.102563586E9)</f>
        <v>3102563586</v>
      </c>
      <c r="M4021" s="17" t="str">
        <f>IFERROR(__xludf.DUMMYFUNCTION("""COMPUTED_VALUE"""),"#REF!")</f>
        <v>#REF!</v>
      </c>
      <c r="N4021" s="17"/>
      <c r="O4021" s="17"/>
      <c r="P4021" s="17" t="b">
        <f>IFERROR(__xludf.DUMMYFUNCTION("""COMPUTED_VALUE"""),FALSE)</f>
        <v>0</v>
      </c>
      <c r="Q4021" s="20" t="str">
        <f>IFERROR(__xludf.DUMMYFUNCTION("""COMPUTED_VALUE"""),"")</f>
        <v/>
      </c>
      <c r="R4021" s="21" t="str">
        <f>IFERROR(__xludf.DUMMYFUNCTION("""COMPUTED_VALUE"""),"https://drive.google.com/file/d/11IoJs2lLlmugM3jpga6tr_AjFV0p4sT1/view?usp=drivesdk")</f>
        <v>https://drive.google.com/file/d/11IoJs2lLlmugM3jpga6tr_AjFV0p4sT1/view?usp=drivesdk</v>
      </c>
    </row>
    <row r="4022">
      <c r="A4022" s="15">
        <f>IFERROR(__xludf.DUMMYFUNCTION("""COMPUTED_VALUE"""),45118.0)</f>
        <v>45118</v>
      </c>
      <c r="B4022" s="16" t="str">
        <f>IFERROR(__xludf.DUMMYFUNCTION("""COMPUTED_VALUE"""),"José Miguel Bonilla")</f>
        <v>José Miguel Bonilla</v>
      </c>
      <c r="C4022" s="15" t="str">
        <f>IFERROR(__xludf.DUMMYFUNCTION("""COMPUTED_VALUE"""),"BUCARAMANGA")</f>
        <v>BUCARAMANGA</v>
      </c>
      <c r="D4022" s="15" t="str">
        <f>IFERROR(__xludf.DUMMYFUNCTION("""COMPUTED_VALUE"""),"MEDELLÍN")</f>
        <v>MEDELLÍN</v>
      </c>
      <c r="E4022" s="15" t="str">
        <f>IFERROR(__xludf.DUMMYFUNCTION("""COMPUTED_VALUE"""),"AREPAS LA MARY")</f>
        <v>AREPAS LA MARY</v>
      </c>
      <c r="F4022" s="17" t="str">
        <f>IFERROR(__xludf.DUMMYFUNCTION("""COMPUTED_VALUE"""),"calle 59 n 9 a -96 / oficina de envia")</f>
        <v>calle 59 n 9 a -96 / oficina de envia</v>
      </c>
      <c r="G4022" s="15" t="str">
        <f>IFERROR(__xludf.DUMMYFUNCTION("""COMPUTED_VALUE"""),"andrea luna")</f>
        <v>andrea luna</v>
      </c>
      <c r="H4022" s="16">
        <f>IFERROR(__xludf.DUMMYFUNCTION("""COMPUTED_VALUE"""),12525.0)</f>
        <v>12525</v>
      </c>
      <c r="I4022" s="18">
        <f>IFERROR(__xludf.DUMMYFUNCTION("""COMPUTED_VALUE"""),89.0)</f>
        <v>89</v>
      </c>
      <c r="J4022" s="18">
        <f>IFERROR(__xludf.DUMMYFUNCTION("""COMPUTED_VALUE"""),1.0)</f>
        <v>1</v>
      </c>
      <c r="K4022" s="18">
        <f>IFERROR(__xludf.DUMMYFUNCTION("""COMPUTED_VALUE"""),10.0)</f>
        <v>10</v>
      </c>
      <c r="L4022" s="17"/>
      <c r="M4022" s="17" t="str">
        <f>IFERROR(__xludf.DUMMYFUNCTION("""COMPUTED_VALUE"""),"#REF!")</f>
        <v>#REF!</v>
      </c>
      <c r="N4022" s="17"/>
      <c r="O4022" s="17"/>
      <c r="P4022" s="17" t="b">
        <f>IFERROR(__xludf.DUMMYFUNCTION("""COMPUTED_VALUE"""),FALSE)</f>
        <v>0</v>
      </c>
      <c r="Q4022" s="20" t="str">
        <f>IFERROR(__xludf.DUMMYFUNCTION("""COMPUTED_VALUE"""),"")</f>
        <v/>
      </c>
      <c r="R4022" s="21" t="str">
        <f>IFERROR(__xludf.DUMMYFUNCTION("""COMPUTED_VALUE"""),"https://drive.google.com/file/d/10nEhZxp_fNSsQGrE1Ya8T8AzF5Gh3qhg/view?usp=drivesdk")</f>
        <v>https://drive.google.com/file/d/10nEhZxp_fNSsQGrE1Ya8T8AzF5Gh3qhg/view?usp=drivesdk</v>
      </c>
    </row>
    <row r="4023">
      <c r="A4023" s="15">
        <f>IFERROR(__xludf.DUMMYFUNCTION("""COMPUTED_VALUE"""),45118.0)</f>
        <v>45118</v>
      </c>
      <c r="B4023" s="16" t="str">
        <f>IFERROR(__xludf.DUMMYFUNCTION("""COMPUTED_VALUE"""),"José Miguel Bonilla")</f>
        <v>José Miguel Bonilla</v>
      </c>
      <c r="C4023" s="15" t="str">
        <f>IFERROR(__xludf.DUMMYFUNCTION("""COMPUTED_VALUE"""),"FLORIDABLANCA")</f>
        <v>FLORIDABLANCA</v>
      </c>
      <c r="D4023" s="15" t="str">
        <f>IFERROR(__xludf.DUMMYFUNCTION("""COMPUTED_VALUE"""),"BOGOTÁ")</f>
        <v>BOGOTÁ</v>
      </c>
      <c r="E4023" s="15" t="str">
        <f>IFERROR(__xludf.DUMMYFUNCTION("""COMPUTED_VALUE"""),"Asociacion Agropecuaria Juana Maria")</f>
        <v>Asociacion Agropecuaria Juana Maria</v>
      </c>
      <c r="F4023" s="17" t="str">
        <f>IFERROR(__xludf.DUMMYFUNCTION("""COMPUTED_VALUE"""),"Calle 19 #11-37 Guanatá FLORIDABLANCA")</f>
        <v>Calle 19 #11-37 Guanatá FLORIDABLANCA</v>
      </c>
      <c r="G4023" s="15" t="str">
        <f>IFERROR(__xludf.DUMMYFUNCTION("""COMPUTED_VALUE"""),"Claudia Gonzalez")</f>
        <v>Claudia Gonzalez</v>
      </c>
      <c r="H4023" s="16">
        <f>IFERROR(__xludf.DUMMYFUNCTION("""COMPUTED_VALUE"""),12485.0)</f>
        <v>12485</v>
      </c>
      <c r="I4023" s="18">
        <f>IFERROR(__xludf.DUMMYFUNCTION("""COMPUTED_VALUE"""),21.0)</f>
        <v>21</v>
      </c>
      <c r="J4023" s="18">
        <f>IFERROR(__xludf.DUMMYFUNCTION("""COMPUTED_VALUE"""),37.0)</f>
        <v>37</v>
      </c>
      <c r="K4023" s="18">
        <f>IFERROR(__xludf.DUMMYFUNCTION("""COMPUTED_VALUE"""),30.0)</f>
        <v>30</v>
      </c>
      <c r="L4023" s="17">
        <f>IFERROR(__xludf.DUMMYFUNCTION("""COMPUTED_VALUE"""),3.002802001E9)</f>
        <v>3002802001</v>
      </c>
      <c r="M4023" s="17" t="str">
        <f>IFERROR(__xludf.DUMMYFUNCTION("""COMPUTED_VALUE"""),"#REF!")</f>
        <v>#REF!</v>
      </c>
      <c r="N4023" s="17"/>
      <c r="O4023" s="17"/>
      <c r="P4023" s="17" t="b">
        <f>IFERROR(__xludf.DUMMYFUNCTION("""COMPUTED_VALUE"""),FALSE)</f>
        <v>0</v>
      </c>
      <c r="Q4023" s="20" t="str">
        <f>IFERROR(__xludf.DUMMYFUNCTION("""COMPUTED_VALUE"""),"")</f>
        <v/>
      </c>
      <c r="R4023" s="22" t="str">
        <f>IFERROR(__xludf.DUMMYFUNCTION("""COMPUTED_VALUE"""),"")</f>
        <v/>
      </c>
    </row>
    <row r="4024">
      <c r="A4024" s="15">
        <f>IFERROR(__xludf.DUMMYFUNCTION("""COMPUTED_VALUE"""),45118.0)</f>
        <v>45118</v>
      </c>
      <c r="B4024" s="16" t="str">
        <f>IFERROR(__xludf.DUMMYFUNCTION("""COMPUTED_VALUE"""),"José Miguel Bonilla")</f>
        <v>José Miguel Bonilla</v>
      </c>
      <c r="C4024" s="15" t="str">
        <f>IFERROR(__xludf.DUMMYFUNCTION("""COMPUTED_VALUE"""),"PEREIRA")</f>
        <v>PEREIRA</v>
      </c>
      <c r="D4024" s="15" t="str">
        <f>IFERROR(__xludf.DUMMYFUNCTION("""COMPUTED_VALUE"""),"MEDELLÍN")</f>
        <v>MEDELLÍN</v>
      </c>
      <c r="E4024" s="15" t="str">
        <f>IFERROR(__xludf.DUMMYFUNCTION("""COMPUTED_VALUE"""),"Todo Bufala")</f>
        <v>Todo Bufala</v>
      </c>
      <c r="F4024" s="17" t="str">
        <f>IFERROR(__xludf.DUMMYFUNCTION("""COMPUTED_VALUE"""),"Cra 14 N 12-55 Circunvalar")</f>
        <v>Cra 14 N 12-55 Circunvalar</v>
      </c>
      <c r="G4024" s="15" t="str">
        <f>IFERROR(__xludf.DUMMYFUNCTION("""COMPUTED_VALUE"""),"Jeimy Jaramillo-Inversiones saludables vita SAS")</f>
        <v>Jeimy Jaramillo-Inversiones saludables vita SAS</v>
      </c>
      <c r="H4024" s="16">
        <f>IFERROR(__xludf.DUMMYFUNCTION("""COMPUTED_VALUE"""),12481.0)</f>
        <v>12481</v>
      </c>
      <c r="I4024" s="18">
        <f>IFERROR(__xludf.DUMMYFUNCTION("""COMPUTED_VALUE"""),20.0)</f>
        <v>20</v>
      </c>
      <c r="J4024" s="18">
        <f>IFERROR(__xludf.DUMMYFUNCTION("""COMPUTED_VALUE"""),30.0)</f>
        <v>30</v>
      </c>
      <c r="K4024" s="18">
        <f>IFERROR(__xludf.DUMMYFUNCTION("""COMPUTED_VALUE"""),40.0)</f>
        <v>40</v>
      </c>
      <c r="L4024" s="17">
        <f>IFERROR(__xludf.DUMMYFUNCTION("""COMPUTED_VALUE"""),3.14645528E9)</f>
        <v>3146455280</v>
      </c>
      <c r="M4024" s="17" t="str">
        <f>IFERROR(__xludf.DUMMYFUNCTION("""COMPUTED_VALUE"""),"#REF!")</f>
        <v>#REF!</v>
      </c>
      <c r="N4024" s="17"/>
      <c r="O4024" s="17"/>
      <c r="P4024" s="17" t="b">
        <f>IFERROR(__xludf.DUMMYFUNCTION("""COMPUTED_VALUE"""),FALSE)</f>
        <v>0</v>
      </c>
      <c r="Q4024" s="20" t="str">
        <f>IFERROR(__xludf.DUMMYFUNCTION("""COMPUTED_VALUE"""),"")</f>
        <v/>
      </c>
      <c r="R4024" s="21" t="str">
        <f>IFERROR(__xludf.DUMMYFUNCTION("""COMPUTED_VALUE"""),"https://drive.google.com/file/d/1mHC2JyhnvyiG9Uyg2Vj9b6eYiLnSNTXf/view?usp=drivesdk")</f>
        <v>https://drive.google.com/file/d/1mHC2JyhnvyiG9Uyg2Vj9b6eYiLnSNTXf/view?usp=drivesdk</v>
      </c>
    </row>
    <row r="4025">
      <c r="A4025" s="15">
        <f>IFERROR(__xludf.DUMMYFUNCTION("""COMPUTED_VALUE"""),45118.0)</f>
        <v>45118</v>
      </c>
      <c r="B4025" s="16" t="str">
        <f>IFERROR(__xludf.DUMMYFUNCTION("""COMPUTED_VALUE"""),"José Miguel Bonilla")</f>
        <v>José Miguel Bonilla</v>
      </c>
      <c r="C4025" s="15" t="str">
        <f>IFERROR(__xludf.DUMMYFUNCTION("""COMPUTED_VALUE"""),"PEREIRA")</f>
        <v>PEREIRA</v>
      </c>
      <c r="D4025" s="15" t="str">
        <f>IFERROR(__xludf.DUMMYFUNCTION("""COMPUTED_VALUE"""),"MEDELLÍN")</f>
        <v>MEDELLÍN</v>
      </c>
      <c r="E4025" s="15" t="str">
        <f>IFERROR(__xludf.DUMMYFUNCTION("""COMPUTED_VALUE"""),"TOLEDALES S.A.S")</f>
        <v>TOLEDALES S.A.S</v>
      </c>
      <c r="F4025" s="17" t="str">
        <f>IFERROR(__xludf.DUMMYFUNCTION("""COMPUTED_VALUE"""),"Manzana 42")</f>
        <v>Manzana 42</v>
      </c>
      <c r="G4025" s="15" t="str">
        <f>IFERROR(__xludf.DUMMYFUNCTION("""COMPUTED_VALUE"""),"luz omaida jimenez")</f>
        <v>luz omaida jimenez</v>
      </c>
      <c r="H4025" s="16">
        <f>IFERROR(__xludf.DUMMYFUNCTION("""COMPUTED_VALUE"""),12530.0)</f>
        <v>12530</v>
      </c>
      <c r="I4025" s="18">
        <f>IFERROR(__xludf.DUMMYFUNCTION("""COMPUTED_VALUE"""),40.0)</f>
        <v>40</v>
      </c>
      <c r="J4025" s="18">
        <f>IFERROR(__xludf.DUMMYFUNCTION("""COMPUTED_VALUE"""),45.0)</f>
        <v>45</v>
      </c>
      <c r="K4025" s="18">
        <f>IFERROR(__xludf.DUMMYFUNCTION("""COMPUTED_VALUE"""),27.0)</f>
        <v>27</v>
      </c>
      <c r="L4025" s="17">
        <f>IFERROR(__xludf.DUMMYFUNCTION("""COMPUTED_VALUE"""),3.14562573E9)</f>
        <v>3145625730</v>
      </c>
      <c r="M4025" s="17" t="str">
        <f>IFERROR(__xludf.DUMMYFUNCTION("""COMPUTED_VALUE"""),"#REF!")</f>
        <v>#REF!</v>
      </c>
      <c r="N4025" s="17"/>
      <c r="O4025" s="17"/>
      <c r="P4025" s="17" t="b">
        <f>IFERROR(__xludf.DUMMYFUNCTION("""COMPUTED_VALUE"""),FALSE)</f>
        <v>0</v>
      </c>
      <c r="Q4025" s="20" t="str">
        <f>IFERROR(__xludf.DUMMYFUNCTION("""COMPUTED_VALUE"""),"")</f>
        <v/>
      </c>
      <c r="R4025" s="22" t="str">
        <f>IFERROR(__xludf.DUMMYFUNCTION("""COMPUTED_VALUE"""),"")</f>
        <v/>
      </c>
    </row>
    <row r="4026">
      <c r="A4026" s="17" t="str">
        <f>IFERROR(__xludf.DUMMYFUNCTION("""COMPUTED_VALUE"""),"")</f>
        <v/>
      </c>
      <c r="B4026" s="17" t="str">
        <f>IFERROR(__xludf.DUMMYFUNCTION("""COMPUTED_VALUE"""),"")</f>
        <v/>
      </c>
      <c r="C4026" s="17" t="str">
        <f>IFERROR(__xludf.DUMMYFUNCTION("""COMPUTED_VALUE"""),"")</f>
        <v/>
      </c>
      <c r="D4026" s="17" t="str">
        <f>IFERROR(__xludf.DUMMYFUNCTION("""COMPUTED_VALUE"""),"")</f>
        <v/>
      </c>
      <c r="E4026" s="17" t="str">
        <f>IFERROR(__xludf.DUMMYFUNCTION("""COMPUTED_VALUE"""),"")</f>
        <v/>
      </c>
      <c r="F4026" s="17" t="str">
        <f>IFERROR(__xludf.DUMMYFUNCTION("""COMPUTED_VALUE"""),"")</f>
        <v/>
      </c>
      <c r="G4026" s="17" t="str">
        <f>IFERROR(__xludf.DUMMYFUNCTION("""COMPUTED_VALUE"""),"")</f>
        <v/>
      </c>
      <c r="H4026" s="17" t="str">
        <f>IFERROR(__xludf.DUMMYFUNCTION("""COMPUTED_VALUE"""),"")</f>
        <v/>
      </c>
      <c r="I4026" s="17" t="str">
        <f>IFERROR(__xludf.DUMMYFUNCTION("""COMPUTED_VALUE"""),"")</f>
        <v/>
      </c>
      <c r="J4026" s="17" t="str">
        <f>IFERROR(__xludf.DUMMYFUNCTION("""COMPUTED_VALUE"""),"")</f>
        <v/>
      </c>
      <c r="K4026" s="17" t="str">
        <f>IFERROR(__xludf.DUMMYFUNCTION("""COMPUTED_VALUE"""),"")</f>
        <v/>
      </c>
      <c r="L4026" s="17" t="str">
        <f>IFERROR(__xludf.DUMMYFUNCTION("""COMPUTED_VALUE"""),"")</f>
        <v/>
      </c>
      <c r="M4026" s="17" t="str">
        <f>IFERROR(__xludf.DUMMYFUNCTION("""COMPUTED_VALUE"""),"")</f>
        <v/>
      </c>
      <c r="N4026" s="17" t="str">
        <f>IFERROR(__xludf.DUMMYFUNCTION("""COMPUTED_VALUE"""),"")</f>
        <v/>
      </c>
      <c r="O4026" s="17" t="str">
        <f>IFERROR(__xludf.DUMMYFUNCTION("""COMPUTED_VALUE"""),"")</f>
        <v/>
      </c>
      <c r="P4026" s="17" t="str">
        <f>IFERROR(__xludf.DUMMYFUNCTION("""COMPUTED_VALUE"""),"")</f>
        <v/>
      </c>
      <c r="Q4026" s="17" t="str">
        <f>IFERROR(__xludf.DUMMYFUNCTION("""COMPUTED_VALUE"""),"")</f>
        <v/>
      </c>
      <c r="R4026" s="17" t="str">
        <f>IFERROR(__xludf.DUMMYFUNCTION("""COMPUTED_VALUE"""),"")</f>
        <v/>
      </c>
    </row>
    <row r="4027">
      <c r="A4027" s="15">
        <f>IFERROR(__xludf.DUMMYFUNCTION("""COMPUTED_VALUE"""),45118.0)</f>
        <v>45118</v>
      </c>
      <c r="B4027" s="16" t="str">
        <f>IFERROR(__xludf.DUMMYFUNCTION("""COMPUTED_VALUE"""),"Oscar Augusto Meneses Osias")</f>
        <v>Oscar Augusto Meneses Osias</v>
      </c>
      <c r="C4027" s="15" t="str">
        <f>IFERROR(__xludf.DUMMYFUNCTION("""COMPUTED_VALUE"""),"MEDELLÍN")</f>
        <v>MEDELLÍN</v>
      </c>
      <c r="D4027" s="15" t="str">
        <f>IFERROR(__xludf.DUMMYFUNCTION("""COMPUTED_VALUE"""),"BOGOTÁ")</f>
        <v>BOGOTÁ</v>
      </c>
      <c r="E4027" s="15" t="str">
        <f>IFERROR(__xludf.DUMMYFUNCTION("""COMPUTED_VALUE"""),"Asociacion Agropecuaria Juana Maria")</f>
        <v>Asociacion Agropecuaria Juana Maria</v>
      </c>
      <c r="F4027" s="17" t="str">
        <f>IFERROR(__xludf.DUMMYFUNCTION("""COMPUTED_VALUE"""),"Carrera 15 BA # 30D-44 int 201")</f>
        <v>Carrera 15 BA # 30D-44 int 201</v>
      </c>
      <c r="G4027" s="15" t="str">
        <f>IFERROR(__xludf.DUMMYFUNCTION("""COMPUTED_VALUE"""),"Daniela Bedoya Blandon")</f>
        <v>Daniela Bedoya Blandon</v>
      </c>
      <c r="H4027" s="16">
        <f>IFERROR(__xludf.DUMMYFUNCTION("""COMPUTED_VALUE"""),12482.0)</f>
        <v>12482</v>
      </c>
      <c r="I4027" s="18">
        <f>IFERROR(__xludf.DUMMYFUNCTION("""COMPUTED_VALUE"""),21.0)</f>
        <v>21</v>
      </c>
      <c r="J4027" s="18">
        <f>IFERROR(__xludf.DUMMYFUNCTION("""COMPUTED_VALUE"""),37.0)</f>
        <v>37</v>
      </c>
      <c r="K4027" s="18">
        <f>IFERROR(__xludf.DUMMYFUNCTION("""COMPUTED_VALUE"""),30.0)</f>
        <v>30</v>
      </c>
      <c r="L4027" s="17">
        <f>IFERROR(__xludf.DUMMYFUNCTION("""COMPUTED_VALUE"""),3.14672822E9)</f>
        <v>3146728220</v>
      </c>
      <c r="M4027" s="17" t="str">
        <f>IFERROR(__xludf.DUMMYFUNCTION("""COMPUTED_VALUE"""),"#REF!")</f>
        <v>#REF!</v>
      </c>
      <c r="N4027" s="17"/>
      <c r="O4027" s="17"/>
      <c r="P4027" s="17" t="b">
        <f>IFERROR(__xludf.DUMMYFUNCTION("""COMPUTED_VALUE"""),FALSE)</f>
        <v>0</v>
      </c>
      <c r="Q4027" s="20" t="str">
        <f>IFERROR(__xludf.DUMMYFUNCTION("""COMPUTED_VALUE"""),"")</f>
        <v/>
      </c>
      <c r="R4027" s="22" t="str">
        <f>IFERROR(__xludf.DUMMYFUNCTION("""COMPUTED_VALUE"""),"")</f>
        <v/>
      </c>
    </row>
    <row r="4028">
      <c r="A4028" s="15">
        <f>IFERROR(__xludf.DUMMYFUNCTION("""COMPUTED_VALUE"""),45118.0)</f>
        <v>45118</v>
      </c>
      <c r="B4028" s="16" t="str">
        <f>IFERROR(__xludf.DUMMYFUNCTION("""COMPUTED_VALUE"""),"Oscar Augusto Meneses Osias")</f>
        <v>Oscar Augusto Meneses Osias</v>
      </c>
      <c r="C4028" s="15" t="str">
        <f>IFERROR(__xludf.DUMMYFUNCTION("""COMPUTED_VALUE"""),"MEDELLÍN")</f>
        <v>MEDELLÍN</v>
      </c>
      <c r="D4028" s="15" t="str">
        <f>IFERROR(__xludf.DUMMYFUNCTION("""COMPUTED_VALUE"""),"BOGOTÁ")</f>
        <v>BOGOTÁ</v>
      </c>
      <c r="E4028" s="15" t="str">
        <f>IFERROR(__xludf.DUMMYFUNCTION("""COMPUTED_VALUE"""),"Asociacion Agropecuaria Juana Maria")</f>
        <v>Asociacion Agropecuaria Juana Maria</v>
      </c>
      <c r="F4028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028" s="15" t="str">
        <f>IFERROR(__xludf.DUMMYFUNCTION("""COMPUTED_VALUE"""),"Jennifer Sanchez Blandon")</f>
        <v>Jennifer Sanchez Blandon</v>
      </c>
      <c r="H4028" s="16">
        <f>IFERROR(__xludf.DUMMYFUNCTION("""COMPUTED_VALUE"""),12483.0)</f>
        <v>12483</v>
      </c>
      <c r="I4028" s="18">
        <f>IFERROR(__xludf.DUMMYFUNCTION("""COMPUTED_VALUE"""),21.0)</f>
        <v>21</v>
      </c>
      <c r="J4028" s="18">
        <f>IFERROR(__xludf.DUMMYFUNCTION("""COMPUTED_VALUE"""),37.0)</f>
        <v>37</v>
      </c>
      <c r="K4028" s="18">
        <f>IFERROR(__xludf.DUMMYFUNCTION("""COMPUTED_VALUE"""),30.0)</f>
        <v>30</v>
      </c>
      <c r="L4028" s="17">
        <f>IFERROR(__xludf.DUMMYFUNCTION("""COMPUTED_VALUE"""),3.016937674E9)</f>
        <v>3016937674</v>
      </c>
      <c r="M4028" s="17" t="str">
        <f>IFERROR(__xludf.DUMMYFUNCTION("""COMPUTED_VALUE"""),"#REF!")</f>
        <v>#REF!</v>
      </c>
      <c r="N4028" s="17"/>
      <c r="O4028" s="17"/>
      <c r="P4028" s="17" t="b">
        <f>IFERROR(__xludf.DUMMYFUNCTION("""COMPUTED_VALUE"""),TRUE)</f>
        <v>1</v>
      </c>
      <c r="Q4028" s="20">
        <f>IFERROR(__xludf.DUMMYFUNCTION("""COMPUTED_VALUE"""),45119.61686783565)</f>
        <v>45119.61687</v>
      </c>
      <c r="R4028" s="21" t="str">
        <f>IFERROR(__xludf.DUMMYFUNCTION("""COMPUTED_VALUE"""),"https://drive.google.com/file/d/1v3rtXyNSKgyRDUUBbTzFWhq9I20btwnc/view?usp=drivesdk")</f>
        <v>https://drive.google.com/file/d/1v3rtXyNSKgyRDUUBbTzFWhq9I20btwnc/view?usp=drivesdk</v>
      </c>
    </row>
    <row r="4029">
      <c r="A4029" s="15">
        <f>IFERROR(__xludf.DUMMYFUNCTION("""COMPUTED_VALUE"""),45118.0)</f>
        <v>45118</v>
      </c>
      <c r="B4029" s="16" t="str">
        <f>IFERROR(__xludf.DUMMYFUNCTION("""COMPUTED_VALUE"""),"Oscar Augusto Meneses Osias")</f>
        <v>Oscar Augusto Meneses Osias</v>
      </c>
      <c r="C4029" s="15" t="str">
        <f>IFERROR(__xludf.DUMMYFUNCTION("""COMPUTED_VALUE"""),"MEDELLÍN")</f>
        <v>MEDELLÍN</v>
      </c>
      <c r="D4029" s="15" t="str">
        <f>IFERROR(__xludf.DUMMYFUNCTION("""COMPUTED_VALUE"""),"BOGOTÁ")</f>
        <v>BOGOTÁ</v>
      </c>
      <c r="E4029" s="15" t="str">
        <f>IFERROR(__xludf.DUMMYFUNCTION("""COMPUTED_VALUE"""),"Evamazzita")</f>
        <v>Evamazzita</v>
      </c>
      <c r="F4029" s="17" t="str">
        <f>IFERROR(__xludf.DUMMYFUNCTION("""COMPUTED_VALUE"""),"Calle 21 #81-70 / Apto 416  / Unidad tierralta/Belen de palma")</f>
        <v>Calle 21 #81-70 / Apto 416  / Unidad tierralta/Belen de palma</v>
      </c>
      <c r="G4029" s="15" t="str">
        <f>IFERROR(__xludf.DUMMYFUNCTION("""COMPUTED_VALUE"""),"MARIA FERNANDA SUAREZ")</f>
        <v>MARIA FERNANDA SUAREZ</v>
      </c>
      <c r="H4029" s="16">
        <f>IFERROR(__xludf.DUMMYFUNCTION("""COMPUTED_VALUE"""),12513.0)</f>
        <v>12513</v>
      </c>
      <c r="I4029" s="18">
        <f>IFERROR(__xludf.DUMMYFUNCTION("""COMPUTED_VALUE"""),1.0)</f>
        <v>1</v>
      </c>
      <c r="J4029" s="18">
        <f>IFERROR(__xludf.DUMMYFUNCTION("""COMPUTED_VALUE"""),1.0)</f>
        <v>1</v>
      </c>
      <c r="K4029" s="18">
        <f>IFERROR(__xludf.DUMMYFUNCTION("""COMPUTED_VALUE"""),1.0)</f>
        <v>1</v>
      </c>
      <c r="L4029" s="17">
        <f>IFERROR(__xludf.DUMMYFUNCTION("""COMPUTED_VALUE"""),3.137508347E9)</f>
        <v>3137508347</v>
      </c>
      <c r="M4029" s="17" t="str">
        <f>IFERROR(__xludf.DUMMYFUNCTION("""COMPUTED_VALUE"""),"#REF!")</f>
        <v>#REF!</v>
      </c>
      <c r="N4029" s="17"/>
      <c r="O4029" s="17"/>
      <c r="P4029" s="17" t="b">
        <f>IFERROR(__xludf.DUMMYFUNCTION("""COMPUTED_VALUE"""),TRUE)</f>
        <v>1</v>
      </c>
      <c r="Q4029" s="20">
        <f>IFERROR(__xludf.DUMMYFUNCTION("""COMPUTED_VALUE"""),45119.616708263886)</f>
        <v>45119.61671</v>
      </c>
      <c r="R4029" s="21" t="str">
        <f>IFERROR(__xludf.DUMMYFUNCTION("""COMPUTED_VALUE"""),"https://drive.google.com/file/d/1ItZjwWoDFFPBT8dFofoIVDtOiPDNmOSq/view?usp=drivesdk")</f>
        <v>https://drive.google.com/file/d/1ItZjwWoDFFPBT8dFofoIVDtOiPDNmOSq/view?usp=drivesdk</v>
      </c>
    </row>
    <row r="4030">
      <c r="A4030" s="15">
        <f>IFERROR(__xludf.DUMMYFUNCTION("""COMPUTED_VALUE"""),45118.0)</f>
        <v>45118</v>
      </c>
      <c r="B4030" s="16" t="str">
        <f>IFERROR(__xludf.DUMMYFUNCTION("""COMPUTED_VALUE"""),"Oscar Augusto Meneses Osias")</f>
        <v>Oscar Augusto Meneses Osias</v>
      </c>
      <c r="C4030" s="15" t="str">
        <f>IFERROR(__xludf.DUMMYFUNCTION("""COMPUTED_VALUE"""),"MEDELLÍN")</f>
        <v>MEDELLÍN</v>
      </c>
      <c r="D4030" s="15" t="str">
        <f>IFERROR(__xludf.DUMMYFUNCTION("""COMPUTED_VALUE"""),"BOGOTÁ")</f>
        <v>BOGOTÁ</v>
      </c>
      <c r="E4030" s="15" t="str">
        <f>IFERROR(__xludf.DUMMYFUNCTION("""COMPUTED_VALUE"""),"Evamazzita")</f>
        <v>Evamazzita</v>
      </c>
      <c r="F4030" s="17" t="str">
        <f>IFERROR(__xludf.DUMMYFUNCTION("""COMPUTED_VALUE"""),"Calle 29 #52-27 / N/A / Av Guayabal sector industriales")</f>
        <v>Calle 29 #52-27 / N/A / Av Guayabal sector industriales</v>
      </c>
      <c r="G4030" s="15" t="str">
        <f>IFERROR(__xludf.DUMMYFUNCTION("""COMPUTED_VALUE"""),"SUSAN RUA/ SARA CAROLINA RUA")</f>
        <v>SUSAN RUA/ SARA CAROLINA RUA</v>
      </c>
      <c r="H4030" s="16">
        <f>IFERROR(__xludf.DUMMYFUNCTION("""COMPUTED_VALUE"""),12517.0)</f>
        <v>12517</v>
      </c>
      <c r="I4030" s="18">
        <f>IFERROR(__xludf.DUMMYFUNCTION("""COMPUTED_VALUE"""),1.0)</f>
        <v>1</v>
      </c>
      <c r="J4030" s="18">
        <f>IFERROR(__xludf.DUMMYFUNCTION("""COMPUTED_VALUE"""),1.0)</f>
        <v>1</v>
      </c>
      <c r="K4030" s="18">
        <f>IFERROR(__xludf.DUMMYFUNCTION("""COMPUTED_VALUE"""),1.0)</f>
        <v>1</v>
      </c>
      <c r="L4030" s="17">
        <f>IFERROR(__xludf.DUMMYFUNCTION("""COMPUTED_VALUE"""),3.002004473E9)</f>
        <v>3002004473</v>
      </c>
      <c r="M4030" s="17" t="str">
        <f>IFERROR(__xludf.DUMMYFUNCTION("""COMPUTED_VALUE"""),"#REF!")</f>
        <v>#REF!</v>
      </c>
      <c r="N4030" s="17"/>
      <c r="O4030" s="17"/>
      <c r="P4030" s="17" t="b">
        <f>IFERROR(__xludf.DUMMYFUNCTION("""COMPUTED_VALUE"""),TRUE)</f>
        <v>1</v>
      </c>
      <c r="Q4030" s="20">
        <f>IFERROR(__xludf.DUMMYFUNCTION("""COMPUTED_VALUE"""),45120.599991863426)</f>
        <v>45120.59999</v>
      </c>
      <c r="R4030" s="21" t="str">
        <f>IFERROR(__xludf.DUMMYFUNCTION("""COMPUTED_VALUE"""),"https://drive.google.com/file/d/1Bb1pc-CyqvgDG9BwvDRJwE9HWNUl2dPa/view?usp=drivesdk")</f>
        <v>https://drive.google.com/file/d/1Bb1pc-CyqvgDG9BwvDRJwE9HWNUl2dPa/view?usp=drivesdk</v>
      </c>
    </row>
    <row r="4031">
      <c r="A4031" s="15">
        <f>IFERROR(__xludf.DUMMYFUNCTION("""COMPUTED_VALUE"""),45118.0)</f>
        <v>45118</v>
      </c>
      <c r="B4031" s="16" t="str">
        <f>IFERROR(__xludf.DUMMYFUNCTION("""COMPUTED_VALUE"""),"Oscar Augusto Meneses Osias")</f>
        <v>Oscar Augusto Meneses Osias</v>
      </c>
      <c r="C4031" s="15" t="str">
        <f>IFERROR(__xludf.DUMMYFUNCTION("""COMPUTED_VALUE"""),"MEDELLÍN")</f>
        <v>MEDELLÍN</v>
      </c>
      <c r="D4031" s="15" t="str">
        <f>IFERROR(__xludf.DUMMYFUNCTION("""COMPUTED_VALUE"""),"BOGOTÁ")</f>
        <v>BOGOTÁ</v>
      </c>
      <c r="E4031" s="15" t="str">
        <f>IFERROR(__xludf.DUMMYFUNCTION("""COMPUTED_VALUE"""),"Evamazzita")</f>
        <v>Evamazzita</v>
      </c>
      <c r="F4031" s="17" t="str">
        <f>IFERROR(__xludf.DUMMYFUNCTION("""COMPUTED_VALUE"""),"Calle 79b #65-351 / Calle 79b #65-351 / Barrio Cordoba")</f>
        <v>Calle 79b #65-351 / Calle 79b #65-351 / Barrio Cordoba</v>
      </c>
      <c r="G4031" s="15" t="str">
        <f>IFERROR(__xludf.DUMMYFUNCTION("""COMPUTED_VALUE"""),"ALEJANDRA MIRA GAVIRIA")</f>
        <v>ALEJANDRA MIRA GAVIRIA</v>
      </c>
      <c r="H4031" s="16">
        <f>IFERROR(__xludf.DUMMYFUNCTION("""COMPUTED_VALUE"""),12512.0)</f>
        <v>12512</v>
      </c>
      <c r="I4031" s="18">
        <f>IFERROR(__xludf.DUMMYFUNCTION("""COMPUTED_VALUE"""),1.0)</f>
        <v>1</v>
      </c>
      <c r="J4031" s="18">
        <f>IFERROR(__xludf.DUMMYFUNCTION("""COMPUTED_VALUE"""),1.0)</f>
        <v>1</v>
      </c>
      <c r="K4031" s="18">
        <f>IFERROR(__xludf.DUMMYFUNCTION("""COMPUTED_VALUE"""),1.0)</f>
        <v>1</v>
      </c>
      <c r="L4031" s="17">
        <f>IFERROR(__xludf.DUMMYFUNCTION("""COMPUTED_VALUE"""),3.206348995E9)</f>
        <v>3206348995</v>
      </c>
      <c r="M4031" s="17" t="str">
        <f>IFERROR(__xludf.DUMMYFUNCTION("""COMPUTED_VALUE"""),"#REF!")</f>
        <v>#REF!</v>
      </c>
      <c r="N4031" s="17"/>
      <c r="O4031" s="17"/>
      <c r="P4031" s="17" t="b">
        <f>IFERROR(__xludf.DUMMYFUNCTION("""COMPUTED_VALUE"""),TRUE)</f>
        <v>1</v>
      </c>
      <c r="Q4031" s="20">
        <f>IFERROR(__xludf.DUMMYFUNCTION("""COMPUTED_VALUE"""),45120.599991863426)</f>
        <v>45120.59999</v>
      </c>
      <c r="R4031" s="21" t="str">
        <f>IFERROR(__xludf.DUMMYFUNCTION("""COMPUTED_VALUE"""),"https://drive.google.com/file/d/1m7xV_xM7c96o33mLCW1inMRcP60j4v3d/view?usp=drivesdk")</f>
        <v>https://drive.google.com/file/d/1m7xV_xM7c96o33mLCW1inMRcP60j4v3d/view?usp=drivesdk</v>
      </c>
    </row>
    <row r="4032">
      <c r="A4032" s="15">
        <f>IFERROR(__xludf.DUMMYFUNCTION("""COMPUTED_VALUE"""),45118.0)</f>
        <v>45118</v>
      </c>
      <c r="B4032" s="16" t="str">
        <f>IFERROR(__xludf.DUMMYFUNCTION("""COMPUTED_VALUE"""),"Oscar Augusto Meneses Osias")</f>
        <v>Oscar Augusto Meneses Osias</v>
      </c>
      <c r="C4032" s="15" t="str">
        <f>IFERROR(__xludf.DUMMYFUNCTION("""COMPUTED_VALUE"""),"MEDELLÍN")</f>
        <v>MEDELLÍN</v>
      </c>
      <c r="D4032" s="15" t="str">
        <f>IFERROR(__xludf.DUMMYFUNCTION("""COMPUTED_VALUE"""),"BOGOTÁ")</f>
        <v>BOGOTÁ</v>
      </c>
      <c r="E4032" s="15" t="str">
        <f>IFERROR(__xludf.DUMMYFUNCTION("""COMPUTED_VALUE"""),"Evamazzita")</f>
        <v>Evamazzita</v>
      </c>
      <c r="F4032" s="17" t="str">
        <f>IFERROR(__xludf.DUMMYFUNCTION("""COMPUTED_VALUE"""),"Carrera 100 B # 45-5 / N/A / Una cuadra al frente del metro de san javier- se llama casa Kolacho")</f>
        <v>Carrera 100 B # 45-5 / N/A / Una cuadra al frente del metro de san javier- se llama casa Kolacho</v>
      </c>
      <c r="G4032" s="15" t="str">
        <f>IFERROR(__xludf.DUMMYFUNCTION("""COMPUTED_VALUE"""),"SINDY ROLDAN")</f>
        <v>SINDY ROLDAN</v>
      </c>
      <c r="H4032" s="16">
        <f>IFERROR(__xludf.DUMMYFUNCTION("""COMPUTED_VALUE"""),12515.0)</f>
        <v>12515</v>
      </c>
      <c r="I4032" s="18">
        <f>IFERROR(__xludf.DUMMYFUNCTION("""COMPUTED_VALUE"""),1.0)</f>
        <v>1</v>
      </c>
      <c r="J4032" s="18">
        <f>IFERROR(__xludf.DUMMYFUNCTION("""COMPUTED_VALUE"""),1.0)</f>
        <v>1</v>
      </c>
      <c r="K4032" s="18">
        <f>IFERROR(__xludf.DUMMYFUNCTION("""COMPUTED_VALUE"""),1.0)</f>
        <v>1</v>
      </c>
      <c r="L4032" s="17">
        <f>IFERROR(__xludf.DUMMYFUNCTION("""COMPUTED_VALUE"""),3.008159585E9)</f>
        <v>3008159585</v>
      </c>
      <c r="M4032" s="17" t="str">
        <f>IFERROR(__xludf.DUMMYFUNCTION("""COMPUTED_VALUE"""),"#REF!")</f>
        <v>#REF!</v>
      </c>
      <c r="N4032" s="17"/>
      <c r="O4032" s="17"/>
      <c r="P4032" s="17" t="b">
        <f>IFERROR(__xludf.DUMMYFUNCTION("""COMPUTED_VALUE"""),FALSE)</f>
        <v>0</v>
      </c>
      <c r="Q4032" s="20" t="str">
        <f>IFERROR(__xludf.DUMMYFUNCTION("""COMPUTED_VALUE"""),"")</f>
        <v/>
      </c>
      <c r="R4032" s="21" t="str">
        <f>IFERROR(__xludf.DUMMYFUNCTION("""COMPUTED_VALUE"""),"https://drive.google.com/file/d/1iwUPG73yD4T-NcrSmtVu5T3GuH7JbWN-/view?usp=drivesdk")</f>
        <v>https://drive.google.com/file/d/1iwUPG73yD4T-NcrSmtVu5T3GuH7JbWN-/view?usp=drivesdk</v>
      </c>
    </row>
    <row r="4033">
      <c r="A4033" s="15">
        <f>IFERROR(__xludf.DUMMYFUNCTION("""COMPUTED_VALUE"""),45118.0)</f>
        <v>45118</v>
      </c>
      <c r="B4033" s="16" t="str">
        <f>IFERROR(__xludf.DUMMYFUNCTION("""COMPUTED_VALUE"""),"Oscar Augusto Meneses Osias")</f>
        <v>Oscar Augusto Meneses Osias</v>
      </c>
      <c r="C4033" s="15" t="str">
        <f>IFERROR(__xludf.DUMMYFUNCTION("""COMPUTED_VALUE"""),"MEDELLÍN")</f>
        <v>MEDELLÍN</v>
      </c>
      <c r="D4033" s="15" t="str">
        <f>IFERROR(__xludf.DUMMYFUNCTION("""COMPUTED_VALUE"""),"BOGOTÁ")</f>
        <v>BOGOTÁ</v>
      </c>
      <c r="E4033" s="15" t="str">
        <f>IFERROR(__xludf.DUMMYFUNCTION("""COMPUTED_VALUE"""),"Evamazzita")</f>
        <v>Evamazzita</v>
      </c>
      <c r="F4033" s="17" t="str">
        <f>IFERROR(__xludf.DUMMYFUNCTION("""COMPUTED_VALUE"""),"Carrera 15BA #34D-44V / Int 201 / Buenos Aires")</f>
        <v>Carrera 15BA #34D-44V / Int 201 / Buenos Aires</v>
      </c>
      <c r="G4033" s="15" t="str">
        <f>IFERROR(__xludf.DUMMYFUNCTION("""COMPUTED_VALUE"""),"DANIELA BEDOYA BLANDON")</f>
        <v>DANIELA BEDOYA BLANDON</v>
      </c>
      <c r="H4033" s="16">
        <f>IFERROR(__xludf.DUMMYFUNCTION("""COMPUTED_VALUE"""),12519.0)</f>
        <v>12519</v>
      </c>
      <c r="I4033" s="18">
        <f>IFERROR(__xludf.DUMMYFUNCTION("""COMPUTED_VALUE"""),1.0)</f>
        <v>1</v>
      </c>
      <c r="J4033" s="18">
        <f>IFERROR(__xludf.DUMMYFUNCTION("""COMPUTED_VALUE"""),1.0)</f>
        <v>1</v>
      </c>
      <c r="K4033" s="18">
        <f>IFERROR(__xludf.DUMMYFUNCTION("""COMPUTED_VALUE"""),1.0)</f>
        <v>1</v>
      </c>
      <c r="L4033" s="17">
        <f>IFERROR(__xludf.DUMMYFUNCTION("""COMPUTED_VALUE"""),3.14672822E9)</f>
        <v>3146728220</v>
      </c>
      <c r="M4033" s="17" t="str">
        <f>IFERROR(__xludf.DUMMYFUNCTION("""COMPUTED_VALUE"""),"#REF!")</f>
        <v>#REF!</v>
      </c>
      <c r="N4033" s="17"/>
      <c r="O4033" s="17"/>
      <c r="P4033" s="17" t="b">
        <f>IFERROR(__xludf.DUMMYFUNCTION("""COMPUTED_VALUE"""),FALSE)</f>
        <v>0</v>
      </c>
      <c r="Q4033" s="20" t="str">
        <f>IFERROR(__xludf.DUMMYFUNCTION("""COMPUTED_VALUE"""),"")</f>
        <v/>
      </c>
      <c r="R4033" s="22" t="str">
        <f>IFERROR(__xludf.DUMMYFUNCTION("""COMPUTED_VALUE"""),"")</f>
        <v/>
      </c>
    </row>
    <row r="4034">
      <c r="A4034" s="15">
        <f>IFERROR(__xludf.DUMMYFUNCTION("""COMPUTED_VALUE"""),45118.0)</f>
        <v>45118</v>
      </c>
      <c r="B4034" s="16" t="str">
        <f>IFERROR(__xludf.DUMMYFUNCTION("""COMPUTED_VALUE"""),"Oscar Augusto Meneses Osias")</f>
        <v>Oscar Augusto Meneses Osias</v>
      </c>
      <c r="C4034" s="15" t="str">
        <f>IFERROR(__xludf.DUMMYFUNCTION("""COMPUTED_VALUE"""),"MEDELLÍN")</f>
        <v>MEDELLÍN</v>
      </c>
      <c r="D4034" s="15" t="str">
        <f>IFERROR(__xludf.DUMMYFUNCTION("""COMPUTED_VALUE"""),"BOGOTÁ")</f>
        <v>BOGOTÁ</v>
      </c>
      <c r="E4034" s="15" t="str">
        <f>IFERROR(__xludf.DUMMYFUNCTION("""COMPUTED_VALUE"""),"Evamazzita")</f>
        <v>Evamazzita</v>
      </c>
      <c r="F4034" s="17" t="str">
        <f>IFERROR(__xludf.DUMMYFUNCTION("""COMPUTED_VALUE"""),"Carrera 27#23 sur-69 / Edificio Zarzamora apto 1806 / N/A")</f>
        <v>Carrera 27#23 sur-69 / Edificio Zarzamora apto 1806 / N/A</v>
      </c>
      <c r="G4034" s="15" t="str">
        <f>IFERROR(__xludf.DUMMYFUNCTION("""COMPUTED_VALUE"""),"CAMILA RESTREPO SOTO")</f>
        <v>CAMILA RESTREPO SOTO</v>
      </c>
      <c r="H4034" s="16">
        <f>IFERROR(__xludf.DUMMYFUNCTION("""COMPUTED_VALUE"""),12516.0)</f>
        <v>12516</v>
      </c>
      <c r="I4034" s="18">
        <f>IFERROR(__xludf.DUMMYFUNCTION("""COMPUTED_VALUE"""),1.0)</f>
        <v>1</v>
      </c>
      <c r="J4034" s="18">
        <f>IFERROR(__xludf.DUMMYFUNCTION("""COMPUTED_VALUE"""),1.0)</f>
        <v>1</v>
      </c>
      <c r="K4034" s="18">
        <f>IFERROR(__xludf.DUMMYFUNCTION("""COMPUTED_VALUE"""),1.0)</f>
        <v>1</v>
      </c>
      <c r="L4034" s="17">
        <f>IFERROR(__xludf.DUMMYFUNCTION("""COMPUTED_VALUE"""),3.015332145E9)</f>
        <v>3015332145</v>
      </c>
      <c r="M4034" s="17" t="str">
        <f>IFERROR(__xludf.DUMMYFUNCTION("""COMPUTED_VALUE"""),"#REF!")</f>
        <v>#REF!</v>
      </c>
      <c r="N4034" s="17"/>
      <c r="O4034" s="17"/>
      <c r="P4034" s="17" t="b">
        <f>IFERROR(__xludf.DUMMYFUNCTION("""COMPUTED_VALUE"""),FALSE)</f>
        <v>0</v>
      </c>
      <c r="Q4034" s="20" t="str">
        <f>IFERROR(__xludf.DUMMYFUNCTION("""COMPUTED_VALUE"""),"")</f>
        <v/>
      </c>
      <c r="R4034" s="21" t="str">
        <f>IFERROR(__xludf.DUMMYFUNCTION("""COMPUTED_VALUE"""),"https://drive.google.com/file/d/1nOQ_7Lw6IbwgJkDrce-7UErkudS0xGTl/view?usp=drivesdk")</f>
        <v>https://drive.google.com/file/d/1nOQ_7Lw6IbwgJkDrce-7UErkudS0xGTl/view?usp=drivesdk</v>
      </c>
    </row>
    <row r="4035">
      <c r="A4035" s="15">
        <f>IFERROR(__xludf.DUMMYFUNCTION("""COMPUTED_VALUE"""),45118.0)</f>
        <v>45118</v>
      </c>
      <c r="B4035" s="16" t="str">
        <f>IFERROR(__xludf.DUMMYFUNCTION("""COMPUTED_VALUE"""),"Oscar Augusto Meneses Osias")</f>
        <v>Oscar Augusto Meneses Osias</v>
      </c>
      <c r="C4035" s="15" t="str">
        <f>IFERROR(__xludf.DUMMYFUNCTION("""COMPUTED_VALUE"""),"MEDELLÍN")</f>
        <v>MEDELLÍN</v>
      </c>
      <c r="D4035" s="15" t="str">
        <f>IFERROR(__xludf.DUMMYFUNCTION("""COMPUTED_VALUE"""),"BOGOTÁ")</f>
        <v>BOGOTÁ</v>
      </c>
      <c r="E4035" s="15" t="str">
        <f>IFERROR(__xludf.DUMMYFUNCTION("""COMPUTED_VALUE"""),"Evamazzita")</f>
        <v>Evamazzita</v>
      </c>
      <c r="F4035" s="17" t="str">
        <f>IFERROR(__xludf.DUMMYFUNCTION("""COMPUTED_VALUE"""),"Carrera 58 #77-50 / Torre 3 Apto 807 / Urb Laureles del sur")</f>
        <v>Carrera 58 #77-50 / Torre 3 Apto 807 / Urb Laureles del sur</v>
      </c>
      <c r="G4035" s="15" t="str">
        <f>IFERROR(__xludf.DUMMYFUNCTION("""COMPUTED_VALUE"""),"EVERLYN RIVERA")</f>
        <v>EVERLYN RIVERA</v>
      </c>
      <c r="H4035" s="16">
        <f>IFERROR(__xludf.DUMMYFUNCTION("""COMPUTED_VALUE"""),12511.0)</f>
        <v>12511</v>
      </c>
      <c r="I4035" s="18">
        <f>IFERROR(__xludf.DUMMYFUNCTION("""COMPUTED_VALUE"""),1.0)</f>
        <v>1</v>
      </c>
      <c r="J4035" s="18">
        <f>IFERROR(__xludf.DUMMYFUNCTION("""COMPUTED_VALUE"""),1.0)</f>
        <v>1</v>
      </c>
      <c r="K4035" s="18">
        <f>IFERROR(__xludf.DUMMYFUNCTION("""COMPUTED_VALUE"""),1.0)</f>
        <v>1</v>
      </c>
      <c r="L4035" s="17">
        <f>IFERROR(__xludf.DUMMYFUNCTION("""COMPUTED_VALUE"""),3.208249871E9)</f>
        <v>3208249871</v>
      </c>
      <c r="M4035" s="17" t="str">
        <f>IFERROR(__xludf.DUMMYFUNCTION("""COMPUTED_VALUE"""),"#REF!")</f>
        <v>#REF!</v>
      </c>
      <c r="N4035" s="17"/>
      <c r="O4035" s="17"/>
      <c r="P4035" s="17" t="b">
        <f>IFERROR(__xludf.DUMMYFUNCTION("""COMPUTED_VALUE"""),FALSE)</f>
        <v>0</v>
      </c>
      <c r="Q4035" s="20" t="str">
        <f>IFERROR(__xludf.DUMMYFUNCTION("""COMPUTED_VALUE"""),"")</f>
        <v/>
      </c>
      <c r="R4035" s="21" t="str">
        <f>IFERROR(__xludf.DUMMYFUNCTION("""COMPUTED_VALUE"""),"https://drive.google.com/file/d/1OCwKVUNtxspkPOXSI4qLSlCFbhJnS0pk/view?usp=drivesdk")</f>
        <v>https://drive.google.com/file/d/1OCwKVUNtxspkPOXSI4qLSlCFbhJnS0pk/view?usp=drivesdk</v>
      </c>
    </row>
    <row r="4036">
      <c r="A4036" s="15">
        <f>IFERROR(__xludf.DUMMYFUNCTION("""COMPUTED_VALUE"""),45118.0)</f>
        <v>45118</v>
      </c>
      <c r="B4036" s="16" t="str">
        <f>IFERROR(__xludf.DUMMYFUNCTION("""COMPUTED_VALUE"""),"Oscar Augusto Meneses Osias")</f>
        <v>Oscar Augusto Meneses Osias</v>
      </c>
      <c r="C4036" s="15" t="str">
        <f>IFERROR(__xludf.DUMMYFUNCTION("""COMPUTED_VALUE"""),"MEDELLÍN")</f>
        <v>MEDELLÍN</v>
      </c>
      <c r="D4036" s="15" t="str">
        <f>IFERROR(__xludf.DUMMYFUNCTION("""COMPUTED_VALUE"""),"BOGOTÁ")</f>
        <v>BOGOTÁ</v>
      </c>
      <c r="E4036" s="15" t="str">
        <f>IFERROR(__xludf.DUMMYFUNCTION("""COMPUTED_VALUE"""),"Mochi")</f>
        <v>Mochi</v>
      </c>
      <c r="F4036" s="17" t="str">
        <f>IFERROR(__xludf.DUMMYFUNCTION("""COMPUTED_VALUE"""),"	Cra. 48 #32B Sur-139, Zona 1, Envigado, Antioquia / Centro comercial viva envigado / Viva envigado")</f>
        <v>	Cra. 48 #32B Sur-139, Zona 1, Envigado, Antioquia / Centro comercial viva envigado / Viva envigado</v>
      </c>
      <c r="G4036" s="15" t="str">
        <f>IFERROR(__xludf.DUMMYFUNCTION("""COMPUTED_VALUE"""),"Tania")</f>
        <v>Tania</v>
      </c>
      <c r="H4036" s="16">
        <f>IFERROR(__xludf.DUMMYFUNCTION("""COMPUTED_VALUE"""),12556.0)</f>
        <v>12556</v>
      </c>
      <c r="I4036" s="18">
        <f>IFERROR(__xludf.DUMMYFUNCTION("""COMPUTED_VALUE"""),55.0)</f>
        <v>55</v>
      </c>
      <c r="J4036" s="18">
        <f>IFERROR(__xludf.DUMMYFUNCTION("""COMPUTED_VALUE"""),45.0)</f>
        <v>45</v>
      </c>
      <c r="K4036" s="18" t="str">
        <f>IFERROR(__xludf.DUMMYFUNCTION("""COMPUTED_VALUE"""),"52.5")</f>
        <v>52.5</v>
      </c>
      <c r="L4036" s="17">
        <f>IFERROR(__xludf.DUMMYFUNCTION("""COMPUTED_VALUE"""),3.115167645E9)</f>
        <v>3115167645</v>
      </c>
      <c r="M4036" s="17" t="str">
        <f>IFERROR(__xludf.DUMMYFUNCTION("""COMPUTED_VALUE"""),"#REF!")</f>
        <v>#REF!</v>
      </c>
      <c r="N4036" s="17"/>
      <c r="O4036" s="17"/>
      <c r="P4036" s="17" t="b">
        <f>IFERROR(__xludf.DUMMYFUNCTION("""COMPUTED_VALUE"""),FALSE)</f>
        <v>0</v>
      </c>
      <c r="Q4036" s="20" t="str">
        <f>IFERROR(__xludf.DUMMYFUNCTION("""COMPUTED_VALUE"""),"")</f>
        <v/>
      </c>
      <c r="R4036" s="21" t="str">
        <f>IFERROR(__xludf.DUMMYFUNCTION("""COMPUTED_VALUE"""),"https://drive.google.com/file/d/1d7HwfsZ2dbXOryWE-Q-nN-qtDjbjKuaz/view?usp=drivesdk")</f>
        <v>https://drive.google.com/file/d/1d7HwfsZ2dbXOryWE-Q-nN-qtDjbjKuaz/view?usp=drivesdk</v>
      </c>
    </row>
    <row r="4037">
      <c r="A4037" s="15">
        <f>IFERROR(__xludf.DUMMYFUNCTION("""COMPUTED_VALUE"""),45118.0)</f>
        <v>45118</v>
      </c>
      <c r="B4037" s="16" t="str">
        <f>IFERROR(__xludf.DUMMYFUNCTION("""COMPUTED_VALUE"""),"Oscar Augusto Meneses Osias")</f>
        <v>Oscar Augusto Meneses Osias</v>
      </c>
      <c r="C4037" s="15" t="str">
        <f>IFERROR(__xludf.DUMMYFUNCTION("""COMPUTED_VALUE"""),"MEDELLÍN")</f>
        <v>MEDELLÍN</v>
      </c>
      <c r="D4037" s="15" t="str">
        <f>IFERROR(__xludf.DUMMYFUNCTION("""COMPUTED_VALUE"""),"BOGOTÁ")</f>
        <v>BOGOTÁ</v>
      </c>
      <c r="E4037" s="15" t="str">
        <f>IFERROR(__xludf.DUMMYFUNCTION("""COMPUTED_VALUE"""),"Top Spun")</f>
        <v>Top Spun</v>
      </c>
      <c r="F4037" s="17" t="str">
        <f>IFERROR(__xludf.DUMMYFUNCTION("""COMPUTED_VALUE"""),"KILOMETRON 1.5 VíA SANTA ELENA VíA RíO NEGRO LLANO GRANDE /  PARCELACIóN PRADO VERDE CASA 37  / AL LADO DE LA ESTACIóN DE POLICíA")</f>
        <v>KILOMETRON 1.5 VíA SANTA ELENA VíA RíO NEGRO LLANO GRANDE /  PARCELACIóN PRADO VERDE CASA 37  / AL LADO DE LA ESTACIóN DE POLICíA</v>
      </c>
      <c r="G4037" s="15" t="str">
        <f>IFERROR(__xludf.DUMMYFUNCTION("""COMPUTED_VALUE"""),"VANESA ALEJANDRA RENDON ATEHORTUA")</f>
        <v>VANESA ALEJANDRA RENDON ATEHORTUA</v>
      </c>
      <c r="H4037" s="16">
        <f>IFERROR(__xludf.DUMMYFUNCTION("""COMPUTED_VALUE"""),12477.0)</f>
        <v>12477</v>
      </c>
      <c r="I4037" s="18">
        <f>IFERROR(__xludf.DUMMYFUNCTION("""COMPUTED_VALUE"""),21.0)</f>
        <v>21</v>
      </c>
      <c r="J4037" s="18">
        <f>IFERROR(__xludf.DUMMYFUNCTION("""COMPUTED_VALUE"""),30.0)</f>
        <v>30</v>
      </c>
      <c r="K4037" s="18">
        <f>IFERROR(__xludf.DUMMYFUNCTION("""COMPUTED_VALUE"""),50.0)</f>
        <v>50</v>
      </c>
      <c r="L4037" s="17">
        <f>IFERROR(__xludf.DUMMYFUNCTION("""COMPUTED_VALUE"""),3.207091609E9)</f>
        <v>3207091609</v>
      </c>
      <c r="M4037" s="17" t="str">
        <f>IFERROR(__xludf.DUMMYFUNCTION("""COMPUTED_VALUE"""),"#REF!")</f>
        <v>#REF!</v>
      </c>
      <c r="N4037" s="17"/>
      <c r="O4037" s="17"/>
      <c r="P4037" s="17" t="b">
        <f>IFERROR(__xludf.DUMMYFUNCTION("""COMPUTED_VALUE"""),FALSE)</f>
        <v>0</v>
      </c>
      <c r="Q4037" s="20" t="str">
        <f>IFERROR(__xludf.DUMMYFUNCTION("""COMPUTED_VALUE"""),"")</f>
        <v/>
      </c>
      <c r="R4037" s="21" t="str">
        <f>IFERROR(__xludf.DUMMYFUNCTION("""COMPUTED_VALUE"""),"https://drive.google.com/file/d/1RiqXx0rNOQiZOgz1wvHUUbFreP-aAdgr/view?usp=drivesdk")</f>
        <v>https://drive.google.com/file/d/1RiqXx0rNOQiZOgz1wvHUUbFreP-aAdgr/view?usp=drivesdk</v>
      </c>
    </row>
    <row r="4038">
      <c r="A4038" s="17" t="str">
        <f>IFERROR(__xludf.DUMMYFUNCTION("""COMPUTED_VALUE"""),"")</f>
        <v/>
      </c>
      <c r="B4038" s="17" t="str">
        <f>IFERROR(__xludf.DUMMYFUNCTION("""COMPUTED_VALUE"""),"")</f>
        <v/>
      </c>
      <c r="C4038" s="17" t="str">
        <f>IFERROR(__xludf.DUMMYFUNCTION("""COMPUTED_VALUE"""),"")</f>
        <v/>
      </c>
      <c r="D4038" s="17" t="str">
        <f>IFERROR(__xludf.DUMMYFUNCTION("""COMPUTED_VALUE"""),"")</f>
        <v/>
      </c>
      <c r="E4038" s="17" t="str">
        <f>IFERROR(__xludf.DUMMYFUNCTION("""COMPUTED_VALUE"""),"")</f>
        <v/>
      </c>
      <c r="F4038" s="17" t="str">
        <f>IFERROR(__xludf.DUMMYFUNCTION("""COMPUTED_VALUE"""),"")</f>
        <v/>
      </c>
      <c r="G4038" s="17" t="str">
        <f>IFERROR(__xludf.DUMMYFUNCTION("""COMPUTED_VALUE"""),"")</f>
        <v/>
      </c>
      <c r="H4038" s="17" t="str">
        <f>IFERROR(__xludf.DUMMYFUNCTION("""COMPUTED_VALUE"""),"")</f>
        <v/>
      </c>
      <c r="I4038" s="17" t="str">
        <f>IFERROR(__xludf.DUMMYFUNCTION("""COMPUTED_VALUE"""),"")</f>
        <v/>
      </c>
      <c r="J4038" s="17" t="str">
        <f>IFERROR(__xludf.DUMMYFUNCTION("""COMPUTED_VALUE"""),"")</f>
        <v/>
      </c>
      <c r="K4038" s="17" t="str">
        <f>IFERROR(__xludf.DUMMYFUNCTION("""COMPUTED_VALUE"""),"")</f>
        <v/>
      </c>
      <c r="L4038" s="17" t="str">
        <f>IFERROR(__xludf.DUMMYFUNCTION("""COMPUTED_VALUE"""),"")</f>
        <v/>
      </c>
      <c r="M4038" s="17" t="str">
        <f>IFERROR(__xludf.DUMMYFUNCTION("""COMPUTED_VALUE"""),"")</f>
        <v/>
      </c>
      <c r="N4038" s="17" t="str">
        <f>IFERROR(__xludf.DUMMYFUNCTION("""COMPUTED_VALUE"""),"")</f>
        <v/>
      </c>
      <c r="O4038" s="17" t="str">
        <f>IFERROR(__xludf.DUMMYFUNCTION("""COMPUTED_VALUE"""),"")</f>
        <v/>
      </c>
      <c r="P4038" s="17" t="str">
        <f>IFERROR(__xludf.DUMMYFUNCTION("""COMPUTED_VALUE"""),"")</f>
        <v/>
      </c>
      <c r="Q4038" s="17" t="str">
        <f>IFERROR(__xludf.DUMMYFUNCTION("""COMPUTED_VALUE"""),"")</f>
        <v/>
      </c>
      <c r="R4038" s="17" t="str">
        <f>IFERROR(__xludf.DUMMYFUNCTION("""COMPUTED_VALUE"""),"")</f>
        <v/>
      </c>
    </row>
    <row r="4039">
      <c r="A4039" s="15">
        <f>IFERROR(__xludf.DUMMYFUNCTION("""COMPUTED_VALUE"""),45119.0)</f>
        <v>45119</v>
      </c>
      <c r="B4039" s="17"/>
      <c r="C4039" s="15" t="str">
        <f>IFERROR(__xludf.DUMMYFUNCTION("""COMPUTED_VALUE"""),"BOGOTÁ")</f>
        <v>BOGOTÁ</v>
      </c>
      <c r="D4039" s="15" t="str">
        <f>IFERROR(__xludf.DUMMYFUNCTION("""COMPUTED_VALUE"""),"MEDELLÍN")</f>
        <v>MEDELLÍN</v>
      </c>
      <c r="E4039" s="15" t="str">
        <f>IFERROR(__xludf.DUMMYFUNCTION("""COMPUTED_VALUE"""),"Moloso S.A.S")</f>
        <v>Moloso S.A.S</v>
      </c>
      <c r="F4039" s="17" t="str">
        <f>IFERROR(__xludf.DUMMYFUNCTION("""COMPUTED_VALUE"""),"CR 78AN 53M 88 SUR / CJ PARQUES DE VILLA ANITA")</f>
        <v>CR 78AN 53M 88 SUR / CJ PARQUES DE VILLA ANITA</v>
      </c>
      <c r="G4039" s="15" t="str">
        <f>IFERROR(__xludf.DUMMYFUNCTION("""COMPUTED_VALUE"""),"VANESSA BELTRAN BUITRAGO")</f>
        <v>VANESSA BELTRAN BUITRAGO</v>
      </c>
      <c r="H4039" s="16">
        <f>IFERROR(__xludf.DUMMYFUNCTION("""COMPUTED_VALUE"""),12652.0)</f>
        <v>12652</v>
      </c>
      <c r="I4039" s="18">
        <f>IFERROR(__xludf.DUMMYFUNCTION("""COMPUTED_VALUE"""),17.0)</f>
        <v>17</v>
      </c>
      <c r="J4039" s="18">
        <f>IFERROR(__xludf.DUMMYFUNCTION("""COMPUTED_VALUE"""),15.0)</f>
        <v>15</v>
      </c>
      <c r="K4039" s="18">
        <f>IFERROR(__xludf.DUMMYFUNCTION("""COMPUTED_VALUE"""),28.0)</f>
        <v>28</v>
      </c>
      <c r="L4039" s="17" t="str">
        <f>IFERROR(__xludf.DUMMYFUNCTION("""COMPUTED_VALUE"""),"319 5025532")</f>
        <v>319 5025532</v>
      </c>
      <c r="M4039" s="17" t="str">
        <f>IFERROR(__xludf.DUMMYFUNCTION("""COMPUTED_VALUE"""),"#REF!")</f>
        <v>#REF!</v>
      </c>
      <c r="N4039" s="17"/>
      <c r="O4039" s="17"/>
      <c r="P4039" s="17" t="b">
        <f>IFERROR(__xludf.DUMMYFUNCTION("""COMPUTED_VALUE"""),FALSE)</f>
        <v>0</v>
      </c>
      <c r="Q4039" s="20" t="str">
        <f>IFERROR(__xludf.DUMMYFUNCTION("""COMPUTED_VALUE"""),"")</f>
        <v/>
      </c>
      <c r="R4039" s="21" t="str">
        <f>IFERROR(__xludf.DUMMYFUNCTION("""COMPUTED_VALUE"""),"https://drive.google.com/file/d/15bHj8RQnB7TruwQq8Adt4OGdY9k9heKg/view?usp=drivesdk")</f>
        <v>https://drive.google.com/file/d/15bHj8RQnB7TruwQq8Adt4OGdY9k9heKg/view?usp=drivesdk</v>
      </c>
    </row>
    <row r="4040">
      <c r="A4040" s="15">
        <f>IFERROR(__xludf.DUMMYFUNCTION("""COMPUTED_VALUE"""),45119.0)</f>
        <v>45119</v>
      </c>
      <c r="B4040" s="17"/>
      <c r="C4040" s="15" t="str">
        <f>IFERROR(__xludf.DUMMYFUNCTION("""COMPUTED_VALUE"""),"BOGOTÁ")</f>
        <v>BOGOTÁ</v>
      </c>
      <c r="D4040" s="15" t="str">
        <f>IFERROR(__xludf.DUMMYFUNCTION("""COMPUTED_VALUE"""),"MEDELLÍN")</f>
        <v>MEDELLÍN</v>
      </c>
      <c r="E4040" s="15" t="str">
        <f>IFERROR(__xludf.DUMMYFUNCTION("""COMPUTED_VALUE"""),"TOLEDALES S.A.S")</f>
        <v>TOLEDALES S.A.S</v>
      </c>
      <c r="F4040" s="17" t="str">
        <f>IFERROR(__xludf.DUMMYFUNCTION("""COMPUTED_VALUE"""),"Carrera 55A #169A - 10 Int 5 / Apto 203")</f>
        <v>Carrera 55A #169A - 10 Int 5 / Apto 203</v>
      </c>
      <c r="G4040" s="15" t="str">
        <f>IFERROR(__xludf.DUMMYFUNCTION("""COMPUTED_VALUE"""),"zaira rojas")</f>
        <v>zaira rojas</v>
      </c>
      <c r="H4040" s="16">
        <f>IFERROR(__xludf.DUMMYFUNCTION("""COMPUTED_VALUE"""),12529.0)</f>
        <v>12529</v>
      </c>
      <c r="I4040" s="18">
        <f>IFERROR(__xludf.DUMMYFUNCTION("""COMPUTED_VALUE"""),5.0)</f>
        <v>5</v>
      </c>
      <c r="J4040" s="18">
        <f>IFERROR(__xludf.DUMMYFUNCTION("""COMPUTED_VALUE"""),30.0)</f>
        <v>30</v>
      </c>
      <c r="K4040" s="18">
        <f>IFERROR(__xludf.DUMMYFUNCTION("""COMPUTED_VALUE"""),12.0)</f>
        <v>12</v>
      </c>
      <c r="L4040" s="17"/>
      <c r="M4040" s="17" t="str">
        <f>IFERROR(__xludf.DUMMYFUNCTION("""COMPUTED_VALUE"""),"#REF!")</f>
        <v>#REF!</v>
      </c>
      <c r="N4040" s="17"/>
      <c r="O4040" s="17"/>
      <c r="P4040" s="17" t="b">
        <f>IFERROR(__xludf.DUMMYFUNCTION("""COMPUTED_VALUE"""),FALSE)</f>
        <v>0</v>
      </c>
      <c r="Q4040" s="20" t="str">
        <f>IFERROR(__xludf.DUMMYFUNCTION("""COMPUTED_VALUE"""),"")</f>
        <v/>
      </c>
      <c r="R4040" s="21" t="str">
        <f>IFERROR(__xludf.DUMMYFUNCTION("""COMPUTED_VALUE"""),"https://drive.google.com/file/d/1fKj0Mg-2oxLTvBgwHD12ixwTQZ3Fgdke/view?usp=drivesdk")</f>
        <v>https://drive.google.com/file/d/1fKj0Mg-2oxLTvBgwHD12ixwTQZ3Fgdke/view?usp=drivesdk</v>
      </c>
    </row>
    <row r="4041">
      <c r="A4041" s="17" t="str">
        <f>IFERROR(__xludf.DUMMYFUNCTION("""COMPUTED_VALUE"""),"")</f>
        <v/>
      </c>
      <c r="B4041" s="17" t="str">
        <f>IFERROR(__xludf.DUMMYFUNCTION("""COMPUTED_VALUE"""),"")</f>
        <v/>
      </c>
      <c r="C4041" s="17" t="str">
        <f>IFERROR(__xludf.DUMMYFUNCTION("""COMPUTED_VALUE"""),"")</f>
        <v/>
      </c>
      <c r="D4041" s="17" t="str">
        <f>IFERROR(__xludf.DUMMYFUNCTION("""COMPUTED_VALUE"""),"")</f>
        <v/>
      </c>
      <c r="E4041" s="17" t="str">
        <f>IFERROR(__xludf.DUMMYFUNCTION("""COMPUTED_VALUE"""),"")</f>
        <v/>
      </c>
      <c r="F4041" s="17" t="str">
        <f>IFERROR(__xludf.DUMMYFUNCTION("""COMPUTED_VALUE"""),"")</f>
        <v/>
      </c>
      <c r="G4041" s="17" t="str">
        <f>IFERROR(__xludf.DUMMYFUNCTION("""COMPUTED_VALUE"""),"")</f>
        <v/>
      </c>
      <c r="H4041" s="17" t="str">
        <f>IFERROR(__xludf.DUMMYFUNCTION("""COMPUTED_VALUE"""),"")</f>
        <v/>
      </c>
      <c r="I4041" s="17" t="str">
        <f>IFERROR(__xludf.DUMMYFUNCTION("""COMPUTED_VALUE"""),"")</f>
        <v/>
      </c>
      <c r="J4041" s="17" t="str">
        <f>IFERROR(__xludf.DUMMYFUNCTION("""COMPUTED_VALUE"""),"")</f>
        <v/>
      </c>
      <c r="K4041" s="17" t="str">
        <f>IFERROR(__xludf.DUMMYFUNCTION("""COMPUTED_VALUE"""),"")</f>
        <v/>
      </c>
      <c r="L4041" s="17" t="str">
        <f>IFERROR(__xludf.DUMMYFUNCTION("""COMPUTED_VALUE"""),"")</f>
        <v/>
      </c>
      <c r="M4041" s="17" t="str">
        <f>IFERROR(__xludf.DUMMYFUNCTION("""COMPUTED_VALUE"""),"")</f>
        <v/>
      </c>
      <c r="N4041" s="17" t="str">
        <f>IFERROR(__xludf.DUMMYFUNCTION("""COMPUTED_VALUE"""),"")</f>
        <v/>
      </c>
      <c r="O4041" s="17" t="str">
        <f>IFERROR(__xludf.DUMMYFUNCTION("""COMPUTED_VALUE"""),"")</f>
        <v/>
      </c>
      <c r="P4041" s="17" t="str">
        <f>IFERROR(__xludf.DUMMYFUNCTION("""COMPUTED_VALUE"""),"")</f>
        <v/>
      </c>
      <c r="Q4041" s="17" t="str">
        <f>IFERROR(__xludf.DUMMYFUNCTION("""COMPUTED_VALUE"""),"")</f>
        <v/>
      </c>
      <c r="R4041" s="17" t="str">
        <f>IFERROR(__xludf.DUMMYFUNCTION("""COMPUTED_VALUE"""),"")</f>
        <v/>
      </c>
    </row>
    <row r="4042">
      <c r="A4042" s="15">
        <f>IFERROR(__xludf.DUMMYFUNCTION("""COMPUTED_VALUE"""),45119.0)</f>
        <v>45119</v>
      </c>
      <c r="B4042" s="16" t="str">
        <f>IFERROR(__xludf.DUMMYFUNCTION("""COMPUTED_VALUE"""),"David Sanmartin Bello")</f>
        <v>David Sanmartin Bello</v>
      </c>
      <c r="C4042" s="15" t="str">
        <f>IFERROR(__xludf.DUMMYFUNCTION("""COMPUTED_VALUE"""),"CARTAGENA")</f>
        <v>CARTAGENA</v>
      </c>
      <c r="D4042" s="15" t="str">
        <f>IFERROR(__xludf.DUMMYFUNCTION("""COMPUTED_VALUE"""),"BOGOTÁ")</f>
        <v>BOGOTÁ</v>
      </c>
      <c r="E4042" s="15" t="str">
        <f>IFERROR(__xludf.DUMMYFUNCTION("""COMPUTED_VALUE"""),"Asociacion Agropecuaria Juana Maria")</f>
        <v>Asociacion Agropecuaria Juana Maria</v>
      </c>
      <c r="F4042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4042" s="15" t="str">
        <f>IFERROR(__xludf.DUMMYFUNCTION("""COMPUTED_VALUE"""),"LUZ ELENA GIL BENAVIDES")</f>
        <v>LUZ ELENA GIL BENAVIDES</v>
      </c>
      <c r="H4042" s="16">
        <f>IFERROR(__xludf.DUMMYFUNCTION("""COMPUTED_VALUE"""),12489.0)</f>
        <v>12489</v>
      </c>
      <c r="I4042" s="18">
        <f>IFERROR(__xludf.DUMMYFUNCTION("""COMPUTED_VALUE"""),21.0)</f>
        <v>21</v>
      </c>
      <c r="J4042" s="18">
        <f>IFERROR(__xludf.DUMMYFUNCTION("""COMPUTED_VALUE"""),37.0)</f>
        <v>37</v>
      </c>
      <c r="K4042" s="18">
        <f>IFERROR(__xludf.DUMMYFUNCTION("""COMPUTED_VALUE"""),30.0)</f>
        <v>30</v>
      </c>
      <c r="L4042" s="17">
        <f>IFERROR(__xludf.DUMMYFUNCTION("""COMPUTED_VALUE"""),3.054312334E9)</f>
        <v>3054312334</v>
      </c>
      <c r="M4042" s="17" t="str">
        <f>IFERROR(__xludf.DUMMYFUNCTION("""COMPUTED_VALUE"""),"#REF!")</f>
        <v>#REF!</v>
      </c>
      <c r="N4042" s="17"/>
      <c r="O4042" s="17"/>
      <c r="P4042" s="17" t="b">
        <f>IFERROR(__xludf.DUMMYFUNCTION("""COMPUTED_VALUE"""),FALSE)</f>
        <v>0</v>
      </c>
      <c r="Q4042" s="20" t="str">
        <f>IFERROR(__xludf.DUMMYFUNCTION("""COMPUTED_VALUE"""),"")</f>
        <v/>
      </c>
      <c r="R4042" s="22" t="str">
        <f>IFERROR(__xludf.DUMMYFUNCTION("""COMPUTED_VALUE"""),"")</f>
        <v/>
      </c>
    </row>
    <row r="4043">
      <c r="A4043" s="15">
        <f>IFERROR(__xludf.DUMMYFUNCTION("""COMPUTED_VALUE"""),45119.0)</f>
        <v>45119</v>
      </c>
      <c r="B4043" s="16" t="str">
        <f>IFERROR(__xludf.DUMMYFUNCTION("""COMPUTED_VALUE"""),"David Sanmartin Bello")</f>
        <v>David Sanmartin Bello</v>
      </c>
      <c r="C4043" s="15" t="str">
        <f>IFERROR(__xludf.DUMMYFUNCTION("""COMPUTED_VALUE"""),"CARTAGENA")</f>
        <v>CARTAGENA</v>
      </c>
      <c r="D4043" s="15" t="str">
        <f>IFERROR(__xludf.DUMMYFUNCTION("""COMPUTED_VALUE"""),"BOGOTÁ")</f>
        <v>BOGOTÁ</v>
      </c>
      <c r="E4043" s="15" t="str">
        <f>IFERROR(__xludf.DUMMYFUNCTION("""COMPUTED_VALUE"""),"Evamazzita")</f>
        <v>Evamazzita</v>
      </c>
      <c r="F4043" s="17" t="str">
        <f>IFERROR(__xludf.DUMMYFUNCTION("""COMPUTED_VALUE"""),"Calle 32 B #80-589 / Condominio Capacabana T4 Apto 706 / Villa Estrella")</f>
        <v>Calle 32 B #80-589 / Condominio Capacabana T4 Apto 706 / Villa Estrella</v>
      </c>
      <c r="G4043" s="15" t="str">
        <f>IFERROR(__xludf.DUMMYFUNCTION("""COMPUTED_VALUE"""),"LUZ ELENA GIL BENAVIDES")</f>
        <v>LUZ ELENA GIL BENAVIDES</v>
      </c>
      <c r="H4043" s="16">
        <f>IFERROR(__xludf.DUMMYFUNCTION("""COMPUTED_VALUE"""),12629.0)</f>
        <v>12629</v>
      </c>
      <c r="I4043" s="18">
        <f>IFERROR(__xludf.DUMMYFUNCTION("""COMPUTED_VALUE"""),20.0)</f>
        <v>20</v>
      </c>
      <c r="J4043" s="18">
        <f>IFERROR(__xludf.DUMMYFUNCTION("""COMPUTED_VALUE"""),22.0)</f>
        <v>22</v>
      </c>
      <c r="K4043" s="18">
        <f>IFERROR(__xludf.DUMMYFUNCTION("""COMPUTED_VALUE"""),23.0)</f>
        <v>23</v>
      </c>
      <c r="L4043" s="17">
        <f>IFERROR(__xludf.DUMMYFUNCTION("""COMPUTED_VALUE"""),3.054312334E9)</f>
        <v>3054312334</v>
      </c>
      <c r="M4043" s="17" t="str">
        <f>IFERROR(__xludf.DUMMYFUNCTION("""COMPUTED_VALUE"""),"#REF!")</f>
        <v>#REF!</v>
      </c>
      <c r="N4043" s="17"/>
      <c r="O4043" s="17"/>
      <c r="P4043" s="17" t="b">
        <f>IFERROR(__xludf.DUMMYFUNCTION("""COMPUTED_VALUE"""),FALSE)</f>
        <v>0</v>
      </c>
      <c r="Q4043" s="20" t="str">
        <f>IFERROR(__xludf.DUMMYFUNCTION("""COMPUTED_VALUE"""),"")</f>
        <v/>
      </c>
      <c r="R4043" s="21" t="str">
        <f>IFERROR(__xludf.DUMMYFUNCTION("""COMPUTED_VALUE"""),"https://drive.google.com/file/d/1EBLHSyFTYtwKqPuIMGio5pg93i7CbS93/view?usp=drivesdk")</f>
        <v>https://drive.google.com/file/d/1EBLHSyFTYtwKqPuIMGio5pg93i7CbS93/view?usp=drivesdk</v>
      </c>
    </row>
    <row r="4044">
      <c r="A4044" s="15">
        <f>IFERROR(__xludf.DUMMYFUNCTION("""COMPUTED_VALUE"""),45119.0)</f>
        <v>45119</v>
      </c>
      <c r="B4044" s="16" t="str">
        <f>IFERROR(__xludf.DUMMYFUNCTION("""COMPUTED_VALUE"""),"David Sanmartin Bello")</f>
        <v>David Sanmartin Bello</v>
      </c>
      <c r="C4044" s="15" t="str">
        <f>IFERROR(__xludf.DUMMYFUNCTION("""COMPUTED_VALUE"""),"CARTAGENA")</f>
        <v>CARTAGENA</v>
      </c>
      <c r="D4044" s="15" t="str">
        <f>IFERROR(__xludf.DUMMYFUNCTION("""COMPUTED_VALUE"""),"BOGOTÁ")</f>
        <v>BOGOTÁ</v>
      </c>
      <c r="E4044" s="15" t="str">
        <f>IFERROR(__xludf.DUMMYFUNCTION("""COMPUTED_VALUE"""),"Evamazzita")</f>
        <v>Evamazzita</v>
      </c>
      <c r="F4044" s="17" t="str">
        <f>IFERROR(__xludf.DUMMYFUNCTION("""COMPUTED_VALUE"""),"Calle 35 #102-10 / Condominio Torres de san jose / apto 407 b / Barrio San Jose de los campos")</f>
        <v>Calle 35 #102-10 / Condominio Torres de san jose / apto 407 b / Barrio San Jose de los campos</v>
      </c>
      <c r="G4044" s="15" t="str">
        <f>IFERROR(__xludf.DUMMYFUNCTION("""COMPUTED_VALUE"""),"FANNY CABARCAS ARTEAGA")</f>
        <v>FANNY CABARCAS ARTEAGA</v>
      </c>
      <c r="H4044" s="16">
        <f>IFERROR(__xludf.DUMMYFUNCTION("""COMPUTED_VALUE"""),12627.0)</f>
        <v>12627</v>
      </c>
      <c r="I4044" s="18">
        <f>IFERROR(__xludf.DUMMYFUNCTION("""COMPUTED_VALUE"""),1.0)</f>
        <v>1</v>
      </c>
      <c r="J4044" s="18">
        <f>IFERROR(__xludf.DUMMYFUNCTION("""COMPUTED_VALUE"""),1.0)</f>
        <v>1</v>
      </c>
      <c r="K4044" s="18">
        <f>IFERROR(__xludf.DUMMYFUNCTION("""COMPUTED_VALUE"""),1.0)</f>
        <v>1</v>
      </c>
      <c r="L4044" s="17">
        <f>IFERROR(__xludf.DUMMYFUNCTION("""COMPUTED_VALUE"""),3.014081162E9)</f>
        <v>3014081162</v>
      </c>
      <c r="M4044" s="17" t="str">
        <f>IFERROR(__xludf.DUMMYFUNCTION("""COMPUTED_VALUE"""),"#REF!")</f>
        <v>#REF!</v>
      </c>
      <c r="N4044" s="17"/>
      <c r="O4044" s="17"/>
      <c r="P4044" s="17" t="b">
        <f>IFERROR(__xludf.DUMMYFUNCTION("""COMPUTED_VALUE"""),TRUE)</f>
        <v>1</v>
      </c>
      <c r="Q4044" s="20">
        <f>IFERROR(__xludf.DUMMYFUNCTION("""COMPUTED_VALUE"""),45119.62424311343)</f>
        <v>45119.62424</v>
      </c>
      <c r="R4044" s="21" t="str">
        <f>IFERROR(__xludf.DUMMYFUNCTION("""COMPUTED_VALUE"""),"https://drive.google.com/file/d/1OhY8lI3YAujoUohvFG6I8CbWVOeplJWw/view?usp=drivesdk")</f>
        <v>https://drive.google.com/file/d/1OhY8lI3YAujoUohvFG6I8CbWVOeplJWw/view?usp=drivesdk</v>
      </c>
    </row>
    <row r="4045">
      <c r="A4045" s="15">
        <f>IFERROR(__xludf.DUMMYFUNCTION("""COMPUTED_VALUE"""),45119.0)</f>
        <v>45119</v>
      </c>
      <c r="B4045" s="16" t="str">
        <f>IFERROR(__xludf.DUMMYFUNCTION("""COMPUTED_VALUE"""),"David Sanmartin Bello")</f>
        <v>David Sanmartin Bello</v>
      </c>
      <c r="C4045" s="15" t="str">
        <f>IFERROR(__xludf.DUMMYFUNCTION("""COMPUTED_VALUE"""),"CARTAGENA")</f>
        <v>CARTAGENA</v>
      </c>
      <c r="D4045" s="15" t="str">
        <f>IFERROR(__xludf.DUMMYFUNCTION("""COMPUTED_VALUE"""),"BOGOTÁ")</f>
        <v>BOGOTÁ</v>
      </c>
      <c r="E4045" s="15" t="str">
        <f>IFERROR(__xludf.DUMMYFUNCTION("""COMPUTED_VALUE"""),"Evamazzita")</f>
        <v>Evamazzita</v>
      </c>
      <c r="F4045" s="17" t="str">
        <f>IFERROR(__xludf.DUMMYFUNCTION("""COMPUTED_VALUE"""),"Carrera 20 #29b-24 / Edificio terra club house apto 701  / Pie de la popa")</f>
        <v>Carrera 20 #29b-24 / Edificio terra club house apto 701  / Pie de la popa</v>
      </c>
      <c r="G4045" s="15" t="str">
        <f>IFERROR(__xludf.DUMMYFUNCTION("""COMPUTED_VALUE"""),"ANDREA BERDUGO OSORIO")</f>
        <v>ANDREA BERDUGO OSORIO</v>
      </c>
      <c r="H4045" s="16">
        <f>IFERROR(__xludf.DUMMYFUNCTION("""COMPUTED_VALUE"""),12626.0)</f>
        <v>12626</v>
      </c>
      <c r="I4045" s="18">
        <f>IFERROR(__xludf.DUMMYFUNCTION("""COMPUTED_VALUE"""),1.0)</f>
        <v>1</v>
      </c>
      <c r="J4045" s="18">
        <f>IFERROR(__xludf.DUMMYFUNCTION("""COMPUTED_VALUE"""),1.0)</f>
        <v>1</v>
      </c>
      <c r="K4045" s="18">
        <f>IFERROR(__xludf.DUMMYFUNCTION("""COMPUTED_VALUE"""),1.0)</f>
        <v>1</v>
      </c>
      <c r="L4045" s="17">
        <f>IFERROR(__xludf.DUMMYFUNCTION("""COMPUTED_VALUE"""),3.102979161E9)</f>
        <v>3102979161</v>
      </c>
      <c r="M4045" s="17" t="str">
        <f>IFERROR(__xludf.DUMMYFUNCTION("""COMPUTED_VALUE"""),"#REF!")</f>
        <v>#REF!</v>
      </c>
      <c r="N4045" s="17"/>
      <c r="O4045" s="17"/>
      <c r="P4045" s="17" t="b">
        <f>IFERROR(__xludf.DUMMYFUNCTION("""COMPUTED_VALUE"""),FALSE)</f>
        <v>0</v>
      </c>
      <c r="Q4045" s="20" t="str">
        <f>IFERROR(__xludf.DUMMYFUNCTION("""COMPUTED_VALUE"""),"")</f>
        <v/>
      </c>
      <c r="R4045" s="21" t="str">
        <f>IFERROR(__xludf.DUMMYFUNCTION("""COMPUTED_VALUE"""),"https://drive.google.com/file/d/158_AjS96t-tHJc15eScQyzTfutV61qTz/view?usp=drivesdk")</f>
        <v>https://drive.google.com/file/d/158_AjS96t-tHJc15eScQyzTfutV61qTz/view?usp=drivesdk</v>
      </c>
    </row>
    <row r="4046">
      <c r="A4046" s="15">
        <f>IFERROR(__xludf.DUMMYFUNCTION("""COMPUTED_VALUE"""),45119.0)</f>
        <v>45119</v>
      </c>
      <c r="B4046" s="16" t="str">
        <f>IFERROR(__xludf.DUMMYFUNCTION("""COMPUTED_VALUE"""),"David Sanmartin Bello")</f>
        <v>David Sanmartin Bello</v>
      </c>
      <c r="C4046" s="15" t="str">
        <f>IFERROR(__xludf.DUMMYFUNCTION("""COMPUTED_VALUE"""),"CARTAGENA")</f>
        <v>CARTAGENA</v>
      </c>
      <c r="D4046" s="15" t="str">
        <f>IFERROR(__xludf.DUMMYFUNCTION("""COMPUTED_VALUE"""),"BOGOTÁ")</f>
        <v>BOGOTÁ</v>
      </c>
      <c r="E4046" s="15" t="str">
        <f>IFERROR(__xludf.DUMMYFUNCTION("""COMPUTED_VALUE"""),"Evamazzita")</f>
        <v>Evamazzita</v>
      </c>
      <c r="F4046" s="17" t="str">
        <f>IFERROR(__xludf.DUMMYFUNCTION("""COMPUTED_VALUE"""),"mz 15 lote 16 Tercera Etapa  / N/A / Barrio las gaviotas")</f>
        <v>mz 15 lote 16 Tercera Etapa  / N/A / Barrio las gaviotas</v>
      </c>
      <c r="G4046" s="15" t="str">
        <f>IFERROR(__xludf.DUMMYFUNCTION("""COMPUTED_VALUE"""),"SOL MARINA RODRIGUEZ JULIO")</f>
        <v>SOL MARINA RODRIGUEZ JULIO</v>
      </c>
      <c r="H4046" s="16">
        <f>IFERROR(__xludf.DUMMYFUNCTION("""COMPUTED_VALUE"""),12628.0)</f>
        <v>12628</v>
      </c>
      <c r="I4046" s="18">
        <f>IFERROR(__xludf.DUMMYFUNCTION("""COMPUTED_VALUE"""),1.0)</f>
        <v>1</v>
      </c>
      <c r="J4046" s="18">
        <f>IFERROR(__xludf.DUMMYFUNCTION("""COMPUTED_VALUE"""),1.0)</f>
        <v>1</v>
      </c>
      <c r="K4046" s="18">
        <f>IFERROR(__xludf.DUMMYFUNCTION("""COMPUTED_VALUE"""),1.0)</f>
        <v>1</v>
      </c>
      <c r="L4046" s="17">
        <f>IFERROR(__xludf.DUMMYFUNCTION("""COMPUTED_VALUE"""),3.148409236E9)</f>
        <v>3148409236</v>
      </c>
      <c r="M4046" s="17" t="str">
        <f>IFERROR(__xludf.DUMMYFUNCTION("""COMPUTED_VALUE"""),"#REF!")</f>
        <v>#REF!</v>
      </c>
      <c r="N4046" s="17"/>
      <c r="O4046" s="17"/>
      <c r="P4046" s="17" t="b">
        <f>IFERROR(__xludf.DUMMYFUNCTION("""COMPUTED_VALUE"""),FALSE)</f>
        <v>0</v>
      </c>
      <c r="Q4046" s="20" t="str">
        <f>IFERROR(__xludf.DUMMYFUNCTION("""COMPUTED_VALUE"""),"")</f>
        <v/>
      </c>
      <c r="R4046" s="21" t="str">
        <f>IFERROR(__xludf.DUMMYFUNCTION("""COMPUTED_VALUE"""),"https://drive.google.com/file/d/1nycYfP_E5c_HTUAIDFvhy8aQsfck3pi3/view?usp=drivesdk")</f>
        <v>https://drive.google.com/file/d/1nycYfP_E5c_HTUAIDFvhy8aQsfck3pi3/view?usp=drivesdk</v>
      </c>
    </row>
    <row r="4047">
      <c r="A4047" s="15">
        <f>IFERROR(__xludf.DUMMYFUNCTION("""COMPUTED_VALUE"""),45119.0)</f>
        <v>45119</v>
      </c>
      <c r="B4047" s="16" t="str">
        <f>IFERROR(__xludf.DUMMYFUNCTION("""COMPUTED_VALUE"""),"David Sanmartin Bello")</f>
        <v>David Sanmartin Bello</v>
      </c>
      <c r="C4047" s="15" t="str">
        <f>IFERROR(__xludf.DUMMYFUNCTION("""COMPUTED_VALUE"""),"CARTAGENA")</f>
        <v>CARTAGENA</v>
      </c>
      <c r="D4047" s="15" t="str">
        <f>IFERROR(__xludf.DUMMYFUNCTION("""COMPUTED_VALUE"""),"BOGOTÁ")</f>
        <v>BOGOTÁ</v>
      </c>
      <c r="E4047" s="15" t="str">
        <f>IFERROR(__xludf.DUMMYFUNCTION("""COMPUTED_VALUE"""),"FamiliaReal S.A.S")</f>
        <v>FamiliaReal S.A.S</v>
      </c>
      <c r="F4047" s="17" t="str">
        <f>IFERROR(__xludf.DUMMYFUNCTION("""COMPUTED_VALUE"""),"Karibana Beach &amp; Golf Condominium Sec. / Anillo Vial Carr Manzanillo km 3 115 Apartamento 605 Torre 2")</f>
        <v>Karibana Beach &amp; Golf Condominium Sec. / Anillo Vial Carr Manzanillo km 3 115 Apartamento 605 Torre 2</v>
      </c>
      <c r="G4047" s="15" t="str">
        <f>IFERROR(__xludf.DUMMYFUNCTION("""COMPUTED_VALUE"""),"Juan Pablo Godoy")</f>
        <v>Juan Pablo Godoy</v>
      </c>
      <c r="H4047" s="16">
        <f>IFERROR(__xludf.DUMMYFUNCTION("""COMPUTED_VALUE"""),12656.0)</f>
        <v>12656</v>
      </c>
      <c r="I4047" s="18">
        <f>IFERROR(__xludf.DUMMYFUNCTION("""COMPUTED_VALUE"""),26.0)</f>
        <v>26</v>
      </c>
      <c r="J4047" s="18">
        <f>IFERROR(__xludf.DUMMYFUNCTION("""COMPUTED_VALUE"""),45115.0)</f>
        <v>45115</v>
      </c>
      <c r="K4047" s="18">
        <f>IFERROR(__xludf.DUMMYFUNCTION("""COMPUTED_VALUE"""),45115.0)</f>
        <v>45115</v>
      </c>
      <c r="L4047" s="17">
        <f>IFERROR(__xludf.DUMMYFUNCTION("""COMPUTED_VALUE"""),3.153652575E9)</f>
        <v>3153652575</v>
      </c>
      <c r="M4047" s="17" t="str">
        <f>IFERROR(__xludf.DUMMYFUNCTION("""COMPUTED_VALUE"""),"#REF!")</f>
        <v>#REF!</v>
      </c>
      <c r="N4047" s="17"/>
      <c r="O4047" s="17"/>
      <c r="P4047" s="17" t="b">
        <f>IFERROR(__xludf.DUMMYFUNCTION("""COMPUTED_VALUE"""),FALSE)</f>
        <v>0</v>
      </c>
      <c r="Q4047" s="20" t="str">
        <f>IFERROR(__xludf.DUMMYFUNCTION("""COMPUTED_VALUE"""),"")</f>
        <v/>
      </c>
      <c r="R4047" s="21" t="str">
        <f>IFERROR(__xludf.DUMMYFUNCTION("""COMPUTED_VALUE"""),"https://drive.google.com/file/d/1xN6lanennSiga_ec5zOq_SQqi4M5KngN/view?usp=drivesdk")</f>
        <v>https://drive.google.com/file/d/1xN6lanennSiga_ec5zOq_SQqi4M5KngN/view?usp=drivesdk</v>
      </c>
    </row>
    <row r="4048">
      <c r="A4048" s="15">
        <f>IFERROR(__xludf.DUMMYFUNCTION("""COMPUTED_VALUE"""),45119.0)</f>
        <v>45119</v>
      </c>
      <c r="B4048" s="16" t="str">
        <f>IFERROR(__xludf.DUMMYFUNCTION("""COMPUTED_VALUE"""),"David Sanmartin Bello")</f>
        <v>David Sanmartin Bello</v>
      </c>
      <c r="C4048" s="15" t="str">
        <f>IFERROR(__xludf.DUMMYFUNCTION("""COMPUTED_VALUE"""),"MEDELLÍN")</f>
        <v>MEDELLÍN</v>
      </c>
      <c r="D4048" s="15" t="str">
        <f>IFERROR(__xludf.DUMMYFUNCTION("""COMPUTED_VALUE"""),"BUCARAMANGA")</f>
        <v>BUCARAMANGA</v>
      </c>
      <c r="E4048" s="15" t="str">
        <f>IFERROR(__xludf.DUMMYFUNCTION("""COMPUTED_VALUE"""),"Yo Como Solito")</f>
        <v>Yo Como Solito</v>
      </c>
      <c r="F4048" s="17" t="str">
        <f>IFERROR(__xludf.DUMMYFUNCTION("""COMPUTED_VALUE"""),"Transversal 37 #71-140  / apto 31 edificio san pedro de alcantara  / barrio los laureles")</f>
        <v>Transversal 37 #71-140  / apto 31 edificio san pedro de alcantara  / barrio los laureles</v>
      </c>
      <c r="G4048" s="15" t="str">
        <f>IFERROR(__xludf.DUMMYFUNCTION("""COMPUTED_VALUE"""),"LINA FERNANDA GIRALDO")</f>
        <v>LINA FERNANDA GIRALDO</v>
      </c>
      <c r="H4048" s="16">
        <f>IFERROR(__xludf.DUMMYFUNCTION("""COMPUTED_VALUE"""),12620.0)</f>
        <v>12620</v>
      </c>
      <c r="I4048" s="18">
        <f>IFERROR(__xludf.DUMMYFUNCTION("""COMPUTED_VALUE"""),31.0)</f>
        <v>31</v>
      </c>
      <c r="J4048" s="18">
        <f>IFERROR(__xludf.DUMMYFUNCTION("""COMPUTED_VALUE"""),13.0)</f>
        <v>13</v>
      </c>
      <c r="K4048" s="18">
        <f>IFERROR(__xludf.DUMMYFUNCTION("""COMPUTED_VALUE"""),24.0)</f>
        <v>24</v>
      </c>
      <c r="L4048" s="17">
        <f>IFERROR(__xludf.DUMMYFUNCTION("""COMPUTED_VALUE"""),3.11847959E9)</f>
        <v>3118479590</v>
      </c>
      <c r="M4048" s="17" t="str">
        <f>IFERROR(__xludf.DUMMYFUNCTION("""COMPUTED_VALUE"""),"#REF!")</f>
        <v>#REF!</v>
      </c>
      <c r="N4048" s="17"/>
      <c r="O4048" s="17"/>
      <c r="P4048" s="17" t="b">
        <f>IFERROR(__xludf.DUMMYFUNCTION("""COMPUTED_VALUE"""),FALSE)</f>
        <v>0</v>
      </c>
      <c r="Q4048" s="20" t="str">
        <f>IFERROR(__xludf.DUMMYFUNCTION("""COMPUTED_VALUE"""),"")</f>
        <v/>
      </c>
      <c r="R4048" s="22" t="str">
        <f>IFERROR(__xludf.DUMMYFUNCTION("""COMPUTED_VALUE"""),"")</f>
        <v/>
      </c>
    </row>
    <row r="4049">
      <c r="A4049" s="17" t="str">
        <f>IFERROR(__xludf.DUMMYFUNCTION("""COMPUTED_VALUE"""),"")</f>
        <v/>
      </c>
      <c r="B4049" s="17" t="str">
        <f>IFERROR(__xludf.DUMMYFUNCTION("""COMPUTED_VALUE"""),"")</f>
        <v/>
      </c>
      <c r="C4049" s="17" t="str">
        <f>IFERROR(__xludf.DUMMYFUNCTION("""COMPUTED_VALUE"""),"")</f>
        <v/>
      </c>
      <c r="D4049" s="17" t="str">
        <f>IFERROR(__xludf.DUMMYFUNCTION("""COMPUTED_VALUE"""),"")</f>
        <v/>
      </c>
      <c r="E4049" s="17" t="str">
        <f>IFERROR(__xludf.DUMMYFUNCTION("""COMPUTED_VALUE"""),"")</f>
        <v/>
      </c>
      <c r="F4049" s="17" t="str">
        <f>IFERROR(__xludf.DUMMYFUNCTION("""COMPUTED_VALUE"""),"")</f>
        <v/>
      </c>
      <c r="G4049" s="17" t="str">
        <f>IFERROR(__xludf.DUMMYFUNCTION("""COMPUTED_VALUE"""),"")</f>
        <v/>
      </c>
      <c r="H4049" s="17" t="str">
        <f>IFERROR(__xludf.DUMMYFUNCTION("""COMPUTED_VALUE"""),"")</f>
        <v/>
      </c>
      <c r="I4049" s="17" t="str">
        <f>IFERROR(__xludf.DUMMYFUNCTION("""COMPUTED_VALUE"""),"")</f>
        <v/>
      </c>
      <c r="J4049" s="17" t="str">
        <f>IFERROR(__xludf.DUMMYFUNCTION("""COMPUTED_VALUE"""),"")</f>
        <v/>
      </c>
      <c r="K4049" s="17" t="str">
        <f>IFERROR(__xludf.DUMMYFUNCTION("""COMPUTED_VALUE"""),"")</f>
        <v/>
      </c>
      <c r="L4049" s="17" t="str">
        <f>IFERROR(__xludf.DUMMYFUNCTION("""COMPUTED_VALUE"""),"")</f>
        <v/>
      </c>
      <c r="M4049" s="17" t="str">
        <f>IFERROR(__xludf.DUMMYFUNCTION("""COMPUTED_VALUE"""),"")</f>
        <v/>
      </c>
      <c r="N4049" s="17" t="str">
        <f>IFERROR(__xludf.DUMMYFUNCTION("""COMPUTED_VALUE"""),"")</f>
        <v/>
      </c>
      <c r="O4049" s="17" t="str">
        <f>IFERROR(__xludf.DUMMYFUNCTION("""COMPUTED_VALUE"""),"")</f>
        <v/>
      </c>
      <c r="P4049" s="17" t="str">
        <f>IFERROR(__xludf.DUMMYFUNCTION("""COMPUTED_VALUE"""),"")</f>
        <v/>
      </c>
      <c r="Q4049" s="17" t="str">
        <f>IFERROR(__xludf.DUMMYFUNCTION("""COMPUTED_VALUE"""),"")</f>
        <v/>
      </c>
      <c r="R4049" s="17" t="str">
        <f>IFERROR(__xludf.DUMMYFUNCTION("""COMPUTED_VALUE"""),"")</f>
        <v/>
      </c>
    </row>
    <row r="4050">
      <c r="A4050" s="15">
        <f>IFERROR(__xludf.DUMMYFUNCTION("""COMPUTED_VALUE"""),45119.0)</f>
        <v>45119</v>
      </c>
      <c r="B4050" s="16" t="str">
        <f>IFERROR(__xludf.DUMMYFUNCTION("""COMPUTED_VALUE"""),"Envia")</f>
        <v>Envia</v>
      </c>
      <c r="C4050" s="15" t="str">
        <f>IFERROR(__xludf.DUMMYFUNCTION("""COMPUTED_VALUE"""),"BOGOTÁ")</f>
        <v>BOGOTÁ</v>
      </c>
      <c r="D4050" s="15" t="str">
        <f>IFERROR(__xludf.DUMMYFUNCTION("""COMPUTED_VALUE"""),"MEDELLÍN")</f>
        <v>MEDELLÍN</v>
      </c>
      <c r="E4050" s="15" t="str">
        <f>IFERROR(__xludf.DUMMYFUNCTION("""COMPUTED_VALUE"""),"Felicidad Bakery Bogotá")</f>
        <v>Felicidad Bakery Bogotá</v>
      </c>
      <c r="F4050" s="17" t="str">
        <f>IFERROR(__xludf.DUMMYFUNCTION("""COMPUTED_VALUE"""),"Calle 92 #15-62 / Ed centro chico / Lical 103")</f>
        <v>Calle 92 #15-62 / Ed centro chico / Lical 103</v>
      </c>
      <c r="G4050" s="15" t="str">
        <f>IFERROR(__xludf.DUMMYFUNCTION("""COMPUTED_VALUE"""),"Camilo hernandez")</f>
        <v>Camilo hernandez</v>
      </c>
      <c r="H4050" s="16">
        <f>IFERROR(__xludf.DUMMYFUNCTION("""COMPUTED_VALUE"""),12636.0)</f>
        <v>12636</v>
      </c>
      <c r="I4050" s="18">
        <f>IFERROR(__xludf.DUMMYFUNCTION("""COMPUTED_VALUE"""),1.0)</f>
        <v>1</v>
      </c>
      <c r="J4050" s="18">
        <f>IFERROR(__xludf.DUMMYFUNCTION("""COMPUTED_VALUE"""),1.0)</f>
        <v>1</v>
      </c>
      <c r="K4050" s="18">
        <f>IFERROR(__xludf.DUMMYFUNCTION("""COMPUTED_VALUE"""),1.0)</f>
        <v>1</v>
      </c>
      <c r="L4050" s="17">
        <f>IFERROR(__xludf.DUMMYFUNCTION("""COMPUTED_VALUE"""),3.013527163E9)</f>
        <v>3013527163</v>
      </c>
      <c r="M4050" s="17" t="str">
        <f>IFERROR(__xludf.DUMMYFUNCTION("""COMPUTED_VALUE"""),"#REF!")</f>
        <v>#REF!</v>
      </c>
      <c r="N4050" s="17"/>
      <c r="O4050" s="17"/>
      <c r="P4050" s="17" t="b">
        <f>IFERROR(__xludf.DUMMYFUNCTION("""COMPUTED_VALUE"""),FALSE)</f>
        <v>0</v>
      </c>
      <c r="Q4050" s="20" t="str">
        <f>IFERROR(__xludf.DUMMYFUNCTION("""COMPUTED_VALUE"""),"")</f>
        <v/>
      </c>
      <c r="R4050" s="21" t="str">
        <f>IFERROR(__xludf.DUMMYFUNCTION("""COMPUTED_VALUE"""),"https://drive.google.com/file/d/1MQRkpOxRL0rnbEl3YGA_T7WeAarkwo0t/view?usp=drivesdk")</f>
        <v>https://drive.google.com/file/d/1MQRkpOxRL0rnbEl3YGA_T7WeAarkwo0t/view?usp=drivesdk</v>
      </c>
    </row>
    <row r="4051">
      <c r="A4051" s="15">
        <f>IFERROR(__xludf.DUMMYFUNCTION("""COMPUTED_VALUE"""),45119.0)</f>
        <v>45119</v>
      </c>
      <c r="B4051" s="16" t="str">
        <f>IFERROR(__xludf.DUMMYFUNCTION("""COMPUTED_VALUE"""),"Envia")</f>
        <v>Envia</v>
      </c>
      <c r="C4051" s="15" t="str">
        <f>IFERROR(__xludf.DUMMYFUNCTION("""COMPUTED_VALUE"""),"CALI")</f>
        <v>CALI</v>
      </c>
      <c r="D4051" s="15" t="str">
        <f>IFERROR(__xludf.DUMMYFUNCTION("""COMPUTED_VALUE"""),"MEDELLÍN")</f>
        <v>MEDELLÍN</v>
      </c>
      <c r="E4051" s="15" t="str">
        <f>IFERROR(__xludf.DUMMYFUNCTION("""COMPUTED_VALUE"""),"Baby Chef")</f>
        <v>Baby Chef</v>
      </c>
      <c r="F4051" s="17" t="str">
        <f>IFERROR(__xludf.DUMMYFUNCTION("""COMPUTED_VALUE"""),"Carrera 69#13E-15 Manzana 4 casa 27 / ""Carrera 69#13E-15 Manzana 4 casa 27"" / ""Carrera 69#13E-15 Manzana 4 casa 27""")</f>
        <v>Carrera 69#13E-15 Manzana 4 casa 27 / "Carrera 69#13E-15 Manzana 4 casa 27" / "Carrera 69#13E-15 Manzana 4 casa 27"</v>
      </c>
      <c r="G4051" s="15" t="str">
        <f>IFERROR(__xludf.DUMMYFUNCTION("""COMPUTED_VALUE"""),"Monica Diaz")</f>
        <v>Monica Diaz</v>
      </c>
      <c r="H4051" s="16">
        <f>IFERROR(__xludf.DUMMYFUNCTION("""COMPUTED_VALUE"""),12642.0)</f>
        <v>12642</v>
      </c>
      <c r="I4051" s="18">
        <f>IFERROR(__xludf.DUMMYFUNCTION("""COMPUTED_VALUE"""),8.0)</f>
        <v>8</v>
      </c>
      <c r="J4051" s="18">
        <f>IFERROR(__xludf.DUMMYFUNCTION("""COMPUTED_VALUE"""),16.0)</f>
        <v>16</v>
      </c>
      <c r="K4051" s="18">
        <f>IFERROR(__xludf.DUMMYFUNCTION("""COMPUTED_VALUE"""),20.0)</f>
        <v>20</v>
      </c>
      <c r="L4051" s="17">
        <f>IFERROR(__xludf.DUMMYFUNCTION("""COMPUTED_VALUE"""),3.102113698E9)</f>
        <v>3102113698</v>
      </c>
      <c r="M4051" s="17" t="str">
        <f>IFERROR(__xludf.DUMMYFUNCTION("""COMPUTED_VALUE"""),"#REF!")</f>
        <v>#REF!</v>
      </c>
      <c r="N4051" s="17"/>
      <c r="O4051" s="17"/>
      <c r="P4051" s="17" t="b">
        <f>IFERROR(__xludf.DUMMYFUNCTION("""COMPUTED_VALUE"""),FALSE)</f>
        <v>0</v>
      </c>
      <c r="Q4051" s="20" t="str">
        <f>IFERROR(__xludf.DUMMYFUNCTION("""COMPUTED_VALUE"""),"")</f>
        <v/>
      </c>
      <c r="R4051" s="21" t="str">
        <f>IFERROR(__xludf.DUMMYFUNCTION("""COMPUTED_VALUE"""),"https://drive.google.com/file/d/1g2hRwI8Qq4r_M_9JHoYwbd8BiMQISJEH/view?usp=drivesdk")</f>
        <v>https://drive.google.com/file/d/1g2hRwI8Qq4r_M_9JHoYwbd8BiMQISJEH/view?usp=drivesdk</v>
      </c>
    </row>
    <row r="4052">
      <c r="A4052" s="15">
        <f>IFERROR(__xludf.DUMMYFUNCTION("""COMPUTED_VALUE"""),45119.0)</f>
        <v>45119</v>
      </c>
      <c r="B4052" s="16" t="str">
        <f>IFERROR(__xludf.DUMMYFUNCTION("""COMPUTED_VALUE"""),"Envia")</f>
        <v>Envia</v>
      </c>
      <c r="C4052" s="15" t="str">
        <f>IFERROR(__xludf.DUMMYFUNCTION("""COMPUTED_VALUE"""),"CALI")</f>
        <v>CALI</v>
      </c>
      <c r="D4052" s="15" t="str">
        <f>IFERROR(__xludf.DUMMYFUNCTION("""COMPUTED_VALUE"""),"MEDELLÍN")</f>
        <v>MEDELLÍN</v>
      </c>
      <c r="E4052" s="15" t="str">
        <f>IFERROR(__xludf.DUMMYFUNCTION("""COMPUTED_VALUE"""),"Rambla")</f>
        <v>Rambla</v>
      </c>
      <c r="F4052" s="17" t="str">
        <f>IFERROR(__xludf.DUMMYFUNCTION("""COMPUTED_VALUE"""),"avenida 4 norte#7n-46 lc 129 centro comercial centenario / na / na")</f>
        <v>avenida 4 norte#7n-46 lc 129 centro comercial centenario / na / na</v>
      </c>
      <c r="G4052" s="15" t="str">
        <f>IFERROR(__xludf.DUMMYFUNCTION("""COMPUTED_VALUE"""),"vitafitnes")</f>
        <v>vitafitnes</v>
      </c>
      <c r="H4052" s="16">
        <f>IFERROR(__xludf.DUMMYFUNCTION("""COMPUTED_VALUE"""),12654.0)</f>
        <v>12654</v>
      </c>
      <c r="I4052" s="18">
        <f>IFERROR(__xludf.DUMMYFUNCTION("""COMPUTED_VALUE"""),45.0)</f>
        <v>45</v>
      </c>
      <c r="J4052" s="18">
        <f>IFERROR(__xludf.DUMMYFUNCTION("""COMPUTED_VALUE"""),36.0)</f>
        <v>36</v>
      </c>
      <c r="K4052" s="18">
        <f>IFERROR(__xludf.DUMMYFUNCTION("""COMPUTED_VALUE"""),32.0)</f>
        <v>32</v>
      </c>
      <c r="L4052" s="17">
        <f>IFERROR(__xludf.DUMMYFUNCTION("""COMPUTED_VALUE"""),3.226925759E9)</f>
        <v>3226925759</v>
      </c>
      <c r="M4052" s="17" t="str">
        <f>IFERROR(__xludf.DUMMYFUNCTION("""COMPUTED_VALUE"""),"#REF!")</f>
        <v>#REF!</v>
      </c>
      <c r="N4052" s="17"/>
      <c r="O4052" s="17"/>
      <c r="P4052" s="17" t="b">
        <f>IFERROR(__xludf.DUMMYFUNCTION("""COMPUTED_VALUE"""),FALSE)</f>
        <v>0</v>
      </c>
      <c r="Q4052" s="20" t="str">
        <f>IFERROR(__xludf.DUMMYFUNCTION("""COMPUTED_VALUE"""),"")</f>
        <v/>
      </c>
      <c r="R4052" s="22" t="str">
        <f>IFERROR(__xludf.DUMMYFUNCTION("""COMPUTED_VALUE"""),"")</f>
        <v/>
      </c>
    </row>
    <row r="4053">
      <c r="A4053" s="15">
        <f>IFERROR(__xludf.DUMMYFUNCTION("""COMPUTED_VALUE"""),45119.0)</f>
        <v>45119</v>
      </c>
      <c r="B4053" s="16" t="str">
        <f>IFERROR(__xludf.DUMMYFUNCTION("""COMPUTED_VALUE"""),"Envia")</f>
        <v>Envia</v>
      </c>
      <c r="C4053" s="15" t="str">
        <f>IFERROR(__xludf.DUMMYFUNCTION("""COMPUTED_VALUE"""),"CALI")</f>
        <v>CALI</v>
      </c>
      <c r="D4053" s="15" t="str">
        <f>IFERROR(__xludf.DUMMYFUNCTION("""COMPUTED_VALUE"""),"MEDELLÍN")</f>
        <v>MEDELLÍN</v>
      </c>
      <c r="E4053" s="15" t="str">
        <f>IFERROR(__xludf.DUMMYFUNCTION("""COMPUTED_VALUE"""),"Terravocado")</f>
        <v>Terravocado</v>
      </c>
      <c r="F4053" s="17" t="str">
        <f>IFERROR(__xludf.DUMMYFUNCTION("""COMPUTED_VALUE"""),"CLL 34 NORT # 2BN 33 COCINA1 / BARRIO SAN VICENTE ENTRE LA 14 DE LA SEXTA Y EL DEPORTIVO CALI  / SAN VICENTE")</f>
        <v>CLL 34 NORT # 2BN 33 COCINA1 / BARRIO SAN VICENTE ENTRE LA 14 DE LA SEXTA Y EL DEPORTIVO CALI  / SAN VICENTE</v>
      </c>
      <c r="G4053" s="15" t="str">
        <f>IFERROR(__xludf.DUMMYFUNCTION("""COMPUTED_VALUE"""),"ALEJANDRO CHUMACERO (CONTINENTAL KICHEN)")</f>
        <v>ALEJANDRO CHUMACERO (CONTINENTAL KICHEN)</v>
      </c>
      <c r="H4053" s="16">
        <f>IFERROR(__xludf.DUMMYFUNCTION("""COMPUTED_VALUE"""),12463.0)</f>
        <v>12463</v>
      </c>
      <c r="I4053" s="18">
        <f>IFERROR(__xludf.DUMMYFUNCTION("""COMPUTED_VALUE"""),20.0)</f>
        <v>20</v>
      </c>
      <c r="J4053" s="18">
        <f>IFERROR(__xludf.DUMMYFUNCTION("""COMPUTED_VALUE"""),24.0)</f>
        <v>24</v>
      </c>
      <c r="K4053" s="18">
        <f>IFERROR(__xludf.DUMMYFUNCTION("""COMPUTED_VALUE"""),34.0)</f>
        <v>34</v>
      </c>
      <c r="L4053" s="17">
        <f>IFERROR(__xludf.DUMMYFUNCTION("""COMPUTED_VALUE"""),3.112634547E9)</f>
        <v>3112634547</v>
      </c>
      <c r="M4053" s="17" t="str">
        <f>IFERROR(__xludf.DUMMYFUNCTION("""COMPUTED_VALUE"""),"#REF!")</f>
        <v>#REF!</v>
      </c>
      <c r="N4053" s="17"/>
      <c r="O4053" s="17"/>
      <c r="P4053" s="17" t="b">
        <f>IFERROR(__xludf.DUMMYFUNCTION("""COMPUTED_VALUE"""),FALSE)</f>
        <v>0</v>
      </c>
      <c r="Q4053" s="20" t="str">
        <f>IFERROR(__xludf.DUMMYFUNCTION("""COMPUTED_VALUE"""),"")</f>
        <v/>
      </c>
      <c r="R4053" s="21" t="str">
        <f>IFERROR(__xludf.DUMMYFUNCTION("""COMPUTED_VALUE"""),"https://drive.google.com/file/d/1d5jqMCPMRdxn7E8HqLHzVcqOsx_KMAJH/view?usp=drivesdk")</f>
        <v>https://drive.google.com/file/d/1d5jqMCPMRdxn7E8HqLHzVcqOsx_KMAJH/view?usp=drivesdk</v>
      </c>
    </row>
    <row r="4054">
      <c r="A4054" s="15">
        <f>IFERROR(__xludf.DUMMYFUNCTION("""COMPUTED_VALUE"""),45119.0)</f>
        <v>45119</v>
      </c>
      <c r="B4054" s="16" t="str">
        <f>IFERROR(__xludf.DUMMYFUNCTION("""COMPUTED_VALUE"""),"Envia")</f>
        <v>Envia</v>
      </c>
      <c r="C4054" s="15" t="str">
        <f>IFERROR(__xludf.DUMMYFUNCTION("""COMPUTED_VALUE"""),"CARTAGENA")</f>
        <v>CARTAGENA</v>
      </c>
      <c r="D4054" s="15" t="str">
        <f>IFERROR(__xludf.DUMMYFUNCTION("""COMPUTED_VALUE"""),"BOGOTÁ")</f>
        <v>BOGOTÁ</v>
      </c>
      <c r="E4054" s="15" t="str">
        <f>IFERROR(__xludf.DUMMYFUNCTION("""COMPUTED_VALUE"""),"Evamazzita")</f>
        <v>Evamazzita</v>
      </c>
      <c r="F4054" s="17" t="str">
        <f>IFERROR(__xludf.DUMMYFUNCTION("""COMPUTED_VALUE"""),"mz 31 lote 14 / N/A / Barrio: urbanizacion ciudadela india Catalina")</f>
        <v>mz 31 lote 14 / N/A / Barrio: urbanizacion ciudadela india Catalina</v>
      </c>
      <c r="G4054" s="15" t="str">
        <f>IFERROR(__xludf.DUMMYFUNCTION("""COMPUTED_VALUE"""),"CATERINE DEL CARMEN RUIZ NARVAEZ")</f>
        <v>CATERINE DEL CARMEN RUIZ NARVAEZ</v>
      </c>
      <c r="H4054" s="16">
        <f>IFERROR(__xludf.DUMMYFUNCTION("""COMPUTED_VALUE"""),12625.0)</f>
        <v>12625</v>
      </c>
      <c r="I4054" s="18">
        <f>IFERROR(__xludf.DUMMYFUNCTION("""COMPUTED_VALUE"""),1.0)</f>
        <v>1</v>
      </c>
      <c r="J4054" s="18">
        <f>IFERROR(__xludf.DUMMYFUNCTION("""COMPUTED_VALUE"""),1.0)</f>
        <v>1</v>
      </c>
      <c r="K4054" s="18">
        <f>IFERROR(__xludf.DUMMYFUNCTION("""COMPUTED_VALUE"""),1.0)</f>
        <v>1</v>
      </c>
      <c r="L4054" s="17">
        <f>IFERROR(__xludf.DUMMYFUNCTION("""COMPUTED_VALUE"""),3.128020508E9)</f>
        <v>3128020508</v>
      </c>
      <c r="M4054" s="17" t="str">
        <f>IFERROR(__xludf.DUMMYFUNCTION("""COMPUTED_VALUE"""),"#REF!")</f>
        <v>#REF!</v>
      </c>
      <c r="N4054" s="17"/>
      <c r="O4054" s="17"/>
      <c r="P4054" s="17" t="b">
        <f>IFERROR(__xludf.DUMMYFUNCTION("""COMPUTED_VALUE"""),FALSE)</f>
        <v>0</v>
      </c>
      <c r="Q4054" s="20" t="str">
        <f>IFERROR(__xludf.DUMMYFUNCTION("""COMPUTED_VALUE"""),"")</f>
        <v/>
      </c>
      <c r="R4054" s="21" t="str">
        <f>IFERROR(__xludf.DUMMYFUNCTION("""COMPUTED_VALUE"""),"https://drive.google.com/file/d/1PX7WpQSpWFoZ02AVpTF3fAn0-0xEXuMQ/view?usp=drivesdk")</f>
        <v>https://drive.google.com/file/d/1PX7WpQSpWFoZ02AVpTF3fAn0-0xEXuMQ/view?usp=drivesdk</v>
      </c>
    </row>
    <row r="4055">
      <c r="A4055" s="15">
        <f>IFERROR(__xludf.DUMMYFUNCTION("""COMPUTED_VALUE"""),45119.0)</f>
        <v>45119</v>
      </c>
      <c r="B4055" s="16" t="str">
        <f>IFERROR(__xludf.DUMMYFUNCTION("""COMPUTED_VALUE"""),"Envia")</f>
        <v>Envia</v>
      </c>
      <c r="C4055" s="15" t="str">
        <f>IFERROR(__xludf.DUMMYFUNCTION("""COMPUTED_VALUE"""),"CARTAGENA")</f>
        <v>CARTAGENA</v>
      </c>
      <c r="D4055" s="15" t="str">
        <f>IFERROR(__xludf.DUMMYFUNCTION("""COMPUTED_VALUE"""),"BOGOTÁ")</f>
        <v>BOGOTÁ</v>
      </c>
      <c r="E4055" s="15" t="str">
        <f>IFERROR(__xludf.DUMMYFUNCTION("""COMPUTED_VALUE"""),"MAI ALIMENTOS S.A.S")</f>
        <v>MAI ALIMENTOS S.A.S</v>
      </c>
      <c r="F4055" s="17" t="str">
        <f>IFERROR(__xludf.DUMMYFUNCTION("""COMPUTED_VALUE"""),"Carrera 3 A # 31 - 23 / Plaza Santa teresa / Restaurante Harry Sasson")</f>
        <v>Carrera 3 A # 31 - 23 / Plaza Santa teresa / Restaurante Harry Sasson</v>
      </c>
      <c r="G4055" s="15" t="str">
        <f>IFERROR(__xludf.DUMMYFUNCTION("""COMPUTED_VALUE"""),"Hoteles Charleston SAS")</f>
        <v>Hoteles Charleston SAS</v>
      </c>
      <c r="H4055" s="16">
        <f>IFERROR(__xludf.DUMMYFUNCTION("""COMPUTED_VALUE"""),12552.0)</f>
        <v>12552</v>
      </c>
      <c r="I4055" s="18">
        <f>IFERROR(__xludf.DUMMYFUNCTION("""COMPUTED_VALUE"""),35.0)</f>
        <v>35</v>
      </c>
      <c r="J4055" s="18">
        <f>IFERROR(__xludf.DUMMYFUNCTION("""COMPUTED_VALUE"""),17.0)</f>
        <v>17</v>
      </c>
      <c r="K4055" s="18">
        <f>IFERROR(__xludf.DUMMYFUNCTION("""COMPUTED_VALUE"""),13.0)</f>
        <v>13</v>
      </c>
      <c r="L4055" s="17">
        <f>IFERROR(__xludf.DUMMYFUNCTION("""COMPUTED_VALUE"""),3.174374246E9)</f>
        <v>3174374246</v>
      </c>
      <c r="M4055" s="17" t="str">
        <f>IFERROR(__xludf.DUMMYFUNCTION("""COMPUTED_VALUE"""),"#REF!")</f>
        <v>#REF!</v>
      </c>
      <c r="N4055" s="17"/>
      <c r="O4055" s="17"/>
      <c r="P4055" s="17" t="b">
        <f>IFERROR(__xludf.DUMMYFUNCTION("""COMPUTED_VALUE"""),FALSE)</f>
        <v>0</v>
      </c>
      <c r="Q4055" s="20" t="str">
        <f>IFERROR(__xludf.DUMMYFUNCTION("""COMPUTED_VALUE"""),"")</f>
        <v/>
      </c>
      <c r="R4055" s="21" t="str">
        <f>IFERROR(__xludf.DUMMYFUNCTION("""COMPUTED_VALUE"""),"https://drive.google.com/file/d/14fWO9YqZX8Urc9V2u_NjfKJGKvqj1h5o/view?usp=drivesdk")</f>
        <v>https://drive.google.com/file/d/14fWO9YqZX8Urc9V2u_NjfKJGKvqj1h5o/view?usp=drivesdk</v>
      </c>
    </row>
    <row r="4056">
      <c r="A4056" s="15">
        <f>IFERROR(__xludf.DUMMYFUNCTION("""COMPUTED_VALUE"""),45119.0)</f>
        <v>45119</v>
      </c>
      <c r="B4056" s="16" t="str">
        <f>IFERROR(__xludf.DUMMYFUNCTION("""COMPUTED_VALUE"""),"Envia")</f>
        <v>Envia</v>
      </c>
      <c r="C4056" s="15" t="str">
        <f>IFERROR(__xludf.DUMMYFUNCTION("""COMPUTED_VALUE"""),"CÚCUTA")</f>
        <v>CÚCUTA</v>
      </c>
      <c r="D4056" s="15" t="str">
        <f>IFERROR(__xludf.DUMMYFUNCTION("""COMPUTED_VALUE"""),"MEDELLÍN")</f>
        <v>MEDELLÍN</v>
      </c>
      <c r="E4056" s="15" t="str">
        <f>IFERROR(__xludf.DUMMYFUNCTION("""COMPUTED_VALUE"""),"Momo Tea S.A.S Gabriel Echavarría")</f>
        <v>Momo Tea S.A.S Gabriel Echavarría</v>
      </c>
      <c r="F4056" s="17" t="str">
        <f>IFERROR(__xludf.DUMMYFUNCTION("""COMPUTED_VALUE"""),"CL 11 N 16 E 35 / CA B 1")</f>
        <v>CL 11 N 16 E 35 / CA B 1</v>
      </c>
      <c r="G4056" s="15" t="str">
        <f>IFERROR(__xludf.DUMMYFUNCTION("""COMPUTED_VALUE"""),"Gabriel Echavarría")</f>
        <v>Gabriel Echavarría</v>
      </c>
      <c r="H4056" s="16">
        <f>IFERROR(__xludf.DUMMYFUNCTION("""COMPUTED_VALUE"""),12532.0)</f>
        <v>12532</v>
      </c>
      <c r="I4056" s="18">
        <f>IFERROR(__xludf.DUMMYFUNCTION("""COMPUTED_VALUE"""),21.0)</f>
        <v>21</v>
      </c>
      <c r="J4056" s="18">
        <f>IFERROR(__xludf.DUMMYFUNCTION("""COMPUTED_VALUE"""),29.0)</f>
        <v>29</v>
      </c>
      <c r="K4056" s="18">
        <f>IFERROR(__xludf.DUMMYFUNCTION("""COMPUTED_VALUE"""),29.0)</f>
        <v>29</v>
      </c>
      <c r="L4056" s="17">
        <f>IFERROR(__xludf.DUMMYFUNCTION("""COMPUTED_VALUE"""),3.017909548E9)</f>
        <v>3017909548</v>
      </c>
      <c r="M4056" s="17" t="str">
        <f>IFERROR(__xludf.DUMMYFUNCTION("""COMPUTED_VALUE"""),"#REF!")</f>
        <v>#REF!</v>
      </c>
      <c r="N4056" s="17"/>
      <c r="O4056" s="17"/>
      <c r="P4056" s="17" t="b">
        <f>IFERROR(__xludf.DUMMYFUNCTION("""COMPUTED_VALUE"""),FALSE)</f>
        <v>0</v>
      </c>
      <c r="Q4056" s="20" t="str">
        <f>IFERROR(__xludf.DUMMYFUNCTION("""COMPUTED_VALUE"""),"")</f>
        <v/>
      </c>
      <c r="R4056" s="22" t="str">
        <f>IFERROR(__xludf.DUMMYFUNCTION("""COMPUTED_VALUE"""),"")</f>
        <v/>
      </c>
    </row>
    <row r="4057">
      <c r="A4057" s="15">
        <f>IFERROR(__xludf.DUMMYFUNCTION("""COMPUTED_VALUE"""),45119.0)</f>
        <v>45119</v>
      </c>
      <c r="B4057" s="16" t="str">
        <f>IFERROR(__xludf.DUMMYFUNCTION("""COMPUTED_VALUE"""),"Envia")</f>
        <v>Envia</v>
      </c>
      <c r="C4057" s="15" t="str">
        <f>IFERROR(__xludf.DUMMYFUNCTION("""COMPUTED_VALUE"""),"MEDELLÍN")</f>
        <v>MEDELLÍN</v>
      </c>
      <c r="D4057" s="15" t="str">
        <f>IFERROR(__xludf.DUMMYFUNCTION("""COMPUTED_VALUE"""),"BUCARAMANGA")</f>
        <v>BUCARAMANGA</v>
      </c>
      <c r="E4057" s="15" t="str">
        <f>IFERROR(__xludf.DUMMYFUNCTION("""COMPUTED_VALUE"""),"Yo Como Solito")</f>
        <v>Yo Como Solito</v>
      </c>
      <c r="F4057" s="17" t="str">
        <f>IFERROR(__xludf.DUMMYFUNCTION("""COMPUTED_VALUE"""),"CRA 56 NO. 62-100 / CASA / BARRIO CHAGUALO")</f>
        <v>CRA 56 NO. 62-100 / CASA / BARRIO CHAGUALO</v>
      </c>
      <c r="G4057" s="15" t="str">
        <f>IFERROR(__xludf.DUMMYFUNCTION("""COMPUTED_VALUE"""),"CATALINA MARIN GUISAO")</f>
        <v>CATALINA MARIN GUISAO</v>
      </c>
      <c r="H4057" s="16">
        <f>IFERROR(__xludf.DUMMYFUNCTION("""COMPUTED_VALUE"""),12621.0)</f>
        <v>12621</v>
      </c>
      <c r="I4057" s="18">
        <f>IFERROR(__xludf.DUMMYFUNCTION("""COMPUTED_VALUE"""),13.0)</f>
        <v>13</v>
      </c>
      <c r="J4057" s="18">
        <f>IFERROR(__xludf.DUMMYFUNCTION("""COMPUTED_VALUE"""),30.0)</f>
        <v>30</v>
      </c>
      <c r="K4057" s="18">
        <f>IFERROR(__xludf.DUMMYFUNCTION("""COMPUTED_VALUE"""),24.0)</f>
        <v>24</v>
      </c>
      <c r="L4057" s="17">
        <f>IFERROR(__xludf.DUMMYFUNCTION("""COMPUTED_VALUE"""),3.11420377E9)</f>
        <v>3114203770</v>
      </c>
      <c r="M4057" s="17" t="str">
        <f>IFERROR(__xludf.DUMMYFUNCTION("""COMPUTED_VALUE"""),"#REF!")</f>
        <v>#REF!</v>
      </c>
      <c r="N4057" s="17"/>
      <c r="O4057" s="17"/>
      <c r="P4057" s="17" t="b">
        <f>IFERROR(__xludf.DUMMYFUNCTION("""COMPUTED_VALUE"""),FALSE)</f>
        <v>0</v>
      </c>
      <c r="Q4057" s="20" t="str">
        <f>IFERROR(__xludf.DUMMYFUNCTION("""COMPUTED_VALUE"""),"")</f>
        <v/>
      </c>
      <c r="R4057" s="22" t="str">
        <f>IFERROR(__xludf.DUMMYFUNCTION("""COMPUTED_VALUE"""),"")</f>
        <v/>
      </c>
    </row>
    <row r="4058">
      <c r="A4058" s="17" t="str">
        <f>IFERROR(__xludf.DUMMYFUNCTION("""COMPUTED_VALUE"""),"")</f>
        <v/>
      </c>
      <c r="B4058" s="17" t="str">
        <f>IFERROR(__xludf.DUMMYFUNCTION("""COMPUTED_VALUE"""),"")</f>
        <v/>
      </c>
      <c r="C4058" s="17" t="str">
        <f>IFERROR(__xludf.DUMMYFUNCTION("""COMPUTED_VALUE"""),"")</f>
        <v/>
      </c>
      <c r="D4058" s="17" t="str">
        <f>IFERROR(__xludf.DUMMYFUNCTION("""COMPUTED_VALUE"""),"")</f>
        <v/>
      </c>
      <c r="E4058" s="17" t="str">
        <f>IFERROR(__xludf.DUMMYFUNCTION("""COMPUTED_VALUE"""),"")</f>
        <v/>
      </c>
      <c r="F4058" s="17" t="str">
        <f>IFERROR(__xludf.DUMMYFUNCTION("""COMPUTED_VALUE"""),"")</f>
        <v/>
      </c>
      <c r="G4058" s="17" t="str">
        <f>IFERROR(__xludf.DUMMYFUNCTION("""COMPUTED_VALUE"""),"")</f>
        <v/>
      </c>
      <c r="H4058" s="17" t="str">
        <f>IFERROR(__xludf.DUMMYFUNCTION("""COMPUTED_VALUE"""),"")</f>
        <v/>
      </c>
      <c r="I4058" s="17" t="str">
        <f>IFERROR(__xludf.DUMMYFUNCTION("""COMPUTED_VALUE"""),"")</f>
        <v/>
      </c>
      <c r="J4058" s="17" t="str">
        <f>IFERROR(__xludf.DUMMYFUNCTION("""COMPUTED_VALUE"""),"")</f>
        <v/>
      </c>
      <c r="K4058" s="17" t="str">
        <f>IFERROR(__xludf.DUMMYFUNCTION("""COMPUTED_VALUE"""),"")</f>
        <v/>
      </c>
      <c r="L4058" s="17" t="str">
        <f>IFERROR(__xludf.DUMMYFUNCTION("""COMPUTED_VALUE"""),"")</f>
        <v/>
      </c>
      <c r="M4058" s="17" t="str">
        <f>IFERROR(__xludf.DUMMYFUNCTION("""COMPUTED_VALUE"""),"")</f>
        <v/>
      </c>
      <c r="N4058" s="17" t="str">
        <f>IFERROR(__xludf.DUMMYFUNCTION("""COMPUTED_VALUE"""),"")</f>
        <v/>
      </c>
      <c r="O4058" s="17" t="str">
        <f>IFERROR(__xludf.DUMMYFUNCTION("""COMPUTED_VALUE"""),"")</f>
        <v/>
      </c>
      <c r="P4058" s="17" t="str">
        <f>IFERROR(__xludf.DUMMYFUNCTION("""COMPUTED_VALUE"""),"")</f>
        <v/>
      </c>
      <c r="Q4058" s="17" t="str">
        <f>IFERROR(__xludf.DUMMYFUNCTION("""COMPUTED_VALUE"""),"")</f>
        <v/>
      </c>
      <c r="R4058" s="17" t="str">
        <f>IFERROR(__xludf.DUMMYFUNCTION("""COMPUTED_VALUE"""),"")</f>
        <v/>
      </c>
    </row>
    <row r="4059">
      <c r="A4059" s="15">
        <f>IFERROR(__xludf.DUMMYFUNCTION("""COMPUTED_VALUE"""),45119.0)</f>
        <v>45119</v>
      </c>
      <c r="B4059" s="16" t="str">
        <f>IFERROR(__xludf.DUMMYFUNCTION("""COMPUTED_VALUE"""),"Jeison Rubiano")</f>
        <v>Jeison Rubiano</v>
      </c>
      <c r="C4059" s="15" t="str">
        <f>IFERROR(__xludf.DUMMYFUNCTION("""COMPUTED_VALUE"""),"BOGOTÁ")</f>
        <v>BOGOTÁ</v>
      </c>
      <c r="D4059" s="15" t="str">
        <f>IFERROR(__xludf.DUMMYFUNCTION("""COMPUTED_VALUE"""),"BUCARAMANGA")</f>
        <v>BUCARAMANGA</v>
      </c>
      <c r="E4059" s="15" t="str">
        <f>IFERROR(__xludf.DUMMYFUNCTION("""COMPUTED_VALUE"""),"Yo Como Solito")</f>
        <v>Yo Como Solito</v>
      </c>
      <c r="F4059" s="17" t="str">
        <f>IFERROR(__xludf.DUMMYFUNCTION("""COMPUTED_VALUE"""),"CALLE 19 NO. 21-38 / SAN FASON 1 APTO 404 / BARRIO EL LISTON")</f>
        <v>CALLE 19 NO. 21-38 / SAN FASON 1 APTO 404 / BARRIO EL LISTON</v>
      </c>
      <c r="G4059" s="15" t="str">
        <f>IFERROR(__xludf.DUMMYFUNCTION("""COMPUTED_VALUE"""),"LEIDY LORENA ROJAS FIERRO")</f>
        <v>LEIDY LORENA ROJAS FIERRO</v>
      </c>
      <c r="H4059" s="16">
        <f>IFERROR(__xludf.DUMMYFUNCTION("""COMPUTED_VALUE"""),12624.0)</f>
        <v>12624</v>
      </c>
      <c r="I4059" s="18">
        <f>IFERROR(__xludf.DUMMYFUNCTION("""COMPUTED_VALUE"""),14.0)</f>
        <v>14</v>
      </c>
      <c r="J4059" s="18">
        <f>IFERROR(__xludf.DUMMYFUNCTION("""COMPUTED_VALUE"""),23.0)</f>
        <v>23</v>
      </c>
      <c r="K4059" s="18">
        <f>IFERROR(__xludf.DUMMYFUNCTION("""COMPUTED_VALUE"""),37.0)</f>
        <v>37</v>
      </c>
      <c r="L4059" s="17">
        <f>IFERROR(__xludf.DUMMYFUNCTION("""COMPUTED_VALUE"""),3.107878229E9)</f>
        <v>3107878229</v>
      </c>
      <c r="M4059" s="17" t="str">
        <f>IFERROR(__xludf.DUMMYFUNCTION("""COMPUTED_VALUE"""),"#REF!")</f>
        <v>#REF!</v>
      </c>
      <c r="N4059" s="17"/>
      <c r="O4059" s="17"/>
      <c r="P4059" s="17" t="b">
        <f>IFERROR(__xludf.DUMMYFUNCTION("""COMPUTED_VALUE"""),FALSE)</f>
        <v>0</v>
      </c>
      <c r="Q4059" s="20" t="str">
        <f>IFERROR(__xludf.DUMMYFUNCTION("""COMPUTED_VALUE"""),"")</f>
        <v/>
      </c>
      <c r="R4059" s="22" t="str">
        <f>IFERROR(__xludf.DUMMYFUNCTION("""COMPUTED_VALUE"""),"")</f>
        <v/>
      </c>
    </row>
    <row r="4060">
      <c r="A4060" s="15">
        <f>IFERROR(__xludf.DUMMYFUNCTION("""COMPUTED_VALUE"""),45119.0)</f>
        <v>45119</v>
      </c>
      <c r="B4060" s="16" t="str">
        <f>IFERROR(__xludf.DUMMYFUNCTION("""COMPUTED_VALUE"""),"Jeison Rubiano")</f>
        <v>Jeison Rubiano</v>
      </c>
      <c r="C4060" s="15" t="str">
        <f>IFERROR(__xludf.DUMMYFUNCTION("""COMPUTED_VALUE"""),"BOGOTÁ")</f>
        <v>BOGOTÁ</v>
      </c>
      <c r="D4060" s="15" t="str">
        <f>IFERROR(__xludf.DUMMYFUNCTION("""COMPUTED_VALUE"""),"BUCARAMANGA")</f>
        <v>BUCARAMANGA</v>
      </c>
      <c r="E4060" s="15" t="str">
        <f>IFERROR(__xludf.DUMMYFUNCTION("""COMPUTED_VALUE"""),"Yo Como Solito")</f>
        <v>Yo Como Solito</v>
      </c>
      <c r="F4060" s="17" t="str">
        <f>IFERROR(__xludf.DUMMYFUNCTION("""COMPUTED_VALUE"""),"CALLE 67B SUR NO. 13-60  / APTO 402 TORRE 4 / CONJUNTO ALTAVISTA DEL PORTAL")</f>
        <v>CALLE 67B SUR NO. 13-60  / APTO 402 TORRE 4 / CONJUNTO ALTAVISTA DEL PORTAL</v>
      </c>
      <c r="G4060" s="15" t="str">
        <f>IFERROR(__xludf.DUMMYFUNCTION("""COMPUTED_VALUE"""),"JOHANNA SERRANO")</f>
        <v>JOHANNA SERRANO</v>
      </c>
      <c r="H4060" s="16">
        <f>IFERROR(__xludf.DUMMYFUNCTION("""COMPUTED_VALUE"""),12623.0)</f>
        <v>12623</v>
      </c>
      <c r="I4060" s="18">
        <f>IFERROR(__xludf.DUMMYFUNCTION("""COMPUTED_VALUE"""),16.0)</f>
        <v>16</v>
      </c>
      <c r="J4060" s="18">
        <f>IFERROR(__xludf.DUMMYFUNCTION("""COMPUTED_VALUE"""),18.0)</f>
        <v>18</v>
      </c>
      <c r="K4060" s="18">
        <f>IFERROR(__xludf.DUMMYFUNCTION("""COMPUTED_VALUE"""),23.0)</f>
        <v>23</v>
      </c>
      <c r="L4060" s="17">
        <f>IFERROR(__xludf.DUMMYFUNCTION("""COMPUTED_VALUE"""),3.214195306E9)</f>
        <v>3214195306</v>
      </c>
      <c r="M4060" s="17" t="str">
        <f>IFERROR(__xludf.DUMMYFUNCTION("""COMPUTED_VALUE"""),"#REF!")</f>
        <v>#REF!</v>
      </c>
      <c r="N4060" s="17"/>
      <c r="O4060" s="17"/>
      <c r="P4060" s="17" t="b">
        <f>IFERROR(__xludf.DUMMYFUNCTION("""COMPUTED_VALUE"""),FALSE)</f>
        <v>0</v>
      </c>
      <c r="Q4060" s="20" t="str">
        <f>IFERROR(__xludf.DUMMYFUNCTION("""COMPUTED_VALUE"""),"")</f>
        <v/>
      </c>
      <c r="R4060" s="21" t="str">
        <f>IFERROR(__xludf.DUMMYFUNCTION("""COMPUTED_VALUE"""),"https://drive.google.com/file/d/1ZrvgqV_vN6D5_ahdW8uWCQJAe6OoYlFO/view?usp=drivesdk")</f>
        <v>https://drive.google.com/file/d/1ZrvgqV_vN6D5_ahdW8uWCQJAe6OoYlFO/view?usp=drivesdk</v>
      </c>
    </row>
    <row r="4061">
      <c r="A4061" s="15">
        <f>IFERROR(__xludf.DUMMYFUNCTION("""COMPUTED_VALUE"""),45119.0)</f>
        <v>45119</v>
      </c>
      <c r="B4061" s="16" t="str">
        <f>IFERROR(__xludf.DUMMYFUNCTION("""COMPUTED_VALUE"""),"Jeison Rubiano")</f>
        <v>Jeison Rubiano</v>
      </c>
      <c r="C4061" s="15" t="str">
        <f>IFERROR(__xludf.DUMMYFUNCTION("""COMPUTED_VALUE"""),"BOGOTÁ")</f>
        <v>BOGOTÁ</v>
      </c>
      <c r="D4061" s="15" t="str">
        <f>IFERROR(__xludf.DUMMYFUNCTION("""COMPUTED_VALUE"""),"BUCARAMANGA")</f>
        <v>BUCARAMANGA</v>
      </c>
      <c r="E4061" s="15" t="str">
        <f>IFERROR(__xludf.DUMMYFUNCTION("""COMPUTED_VALUE"""),"Yo Como Solito")</f>
        <v>Yo Como Solito</v>
      </c>
      <c r="F4061" s="17" t="str">
        <f>IFERROR(__xludf.DUMMYFUNCTION("""COMPUTED_VALUE"""),"DIAGONAL 77B NO. 116B-42  / INTERIOR 1 TORRE 3 APTO 501 / BARRIO GRAN GRANADA CONJUNTO GRANADA CLUB RESIDENCIAL")</f>
        <v>DIAGONAL 77B NO. 116B-42  / INTERIOR 1 TORRE 3 APTO 501 / BARRIO GRAN GRANADA CONJUNTO GRANADA CLUB RESIDENCIAL</v>
      </c>
      <c r="G4061" s="15" t="str">
        <f>IFERROR(__xludf.DUMMYFUNCTION("""COMPUTED_VALUE"""),"PILAR ANDREA LOPEZ")</f>
        <v>PILAR ANDREA LOPEZ</v>
      </c>
      <c r="H4061" s="16">
        <f>IFERROR(__xludf.DUMMYFUNCTION("""COMPUTED_VALUE"""),12622.0)</f>
        <v>12622</v>
      </c>
      <c r="I4061" s="18">
        <f>IFERROR(__xludf.DUMMYFUNCTION("""COMPUTED_VALUE"""),17.0)</f>
        <v>17</v>
      </c>
      <c r="J4061" s="18">
        <f>IFERROR(__xludf.DUMMYFUNCTION("""COMPUTED_VALUE"""),39.0)</f>
        <v>39</v>
      </c>
      <c r="K4061" s="18">
        <f>IFERROR(__xludf.DUMMYFUNCTION("""COMPUTED_VALUE"""),40.0)</f>
        <v>40</v>
      </c>
      <c r="L4061" s="17">
        <f>IFERROR(__xludf.DUMMYFUNCTION("""COMPUTED_VALUE"""),3.104881486E9)</f>
        <v>3104881486</v>
      </c>
      <c r="M4061" s="17" t="str">
        <f>IFERROR(__xludf.DUMMYFUNCTION("""COMPUTED_VALUE"""),"#REF!")</f>
        <v>#REF!</v>
      </c>
      <c r="N4061" s="17"/>
      <c r="O4061" s="17"/>
      <c r="P4061" s="17" t="b">
        <f>IFERROR(__xludf.DUMMYFUNCTION("""COMPUTED_VALUE"""),FALSE)</f>
        <v>0</v>
      </c>
      <c r="Q4061" s="20" t="str">
        <f>IFERROR(__xludf.DUMMYFUNCTION("""COMPUTED_VALUE"""),"")</f>
        <v/>
      </c>
      <c r="R4061" s="21" t="str">
        <f>IFERROR(__xludf.DUMMYFUNCTION("""COMPUTED_VALUE"""),"https://drive.google.com/file/d/1z1sgHVqJ0-88tuyU-aTdciIx-7JTGhGe/view?usp=drivesdk")</f>
        <v>https://drive.google.com/file/d/1z1sgHVqJ0-88tuyU-aTdciIx-7JTGhGe/view?usp=drivesdk</v>
      </c>
    </row>
    <row r="4062">
      <c r="A4062" s="15">
        <f>IFERROR(__xludf.DUMMYFUNCTION("""COMPUTED_VALUE"""),45119.0)</f>
        <v>45119</v>
      </c>
      <c r="B4062" s="16" t="str">
        <f>IFERROR(__xludf.DUMMYFUNCTION("""COMPUTED_VALUE"""),"Jeison Rubiano")</f>
        <v>Jeison Rubiano</v>
      </c>
      <c r="C4062" s="15" t="str">
        <f>IFERROR(__xludf.DUMMYFUNCTION("""COMPUTED_VALUE"""),"BOGOTÁ")</f>
        <v>BOGOTÁ</v>
      </c>
      <c r="D4062" s="15" t="str">
        <f>IFERROR(__xludf.DUMMYFUNCTION("""COMPUTED_VALUE"""),"MEDELLÍN")</f>
        <v>MEDELLÍN</v>
      </c>
      <c r="E4062" s="15" t="str">
        <f>IFERROR(__xludf.DUMMYFUNCTION("""COMPUTED_VALUE"""),"AREPAS LA MARY")</f>
        <v>AREPAS LA MARY</v>
      </c>
      <c r="F4062" s="17" t="str">
        <f>IFERROR(__xludf.DUMMYFUNCTION("""COMPUTED_VALUE"""),"Calle 109 no 21-57 Apto 504 / Loretto 109")</f>
        <v>Calle 109 no 21-57 Apto 504 / Loretto 109</v>
      </c>
      <c r="G4062" s="15" t="str">
        <f>IFERROR(__xludf.DUMMYFUNCTION("""COMPUTED_VALUE"""),"DAVID IZQUIERDO")</f>
        <v>DAVID IZQUIERDO</v>
      </c>
      <c r="H4062" s="16">
        <f>IFERROR(__xludf.DUMMYFUNCTION("""COMPUTED_VALUE"""),12527.0)</f>
        <v>12527</v>
      </c>
      <c r="I4062" s="18">
        <f>IFERROR(__xludf.DUMMYFUNCTION("""COMPUTED_VALUE"""),89.0)</f>
        <v>89</v>
      </c>
      <c r="J4062" s="18">
        <f>IFERROR(__xludf.DUMMYFUNCTION("""COMPUTED_VALUE"""),1.0)</f>
        <v>1</v>
      </c>
      <c r="K4062" s="18">
        <f>IFERROR(__xludf.DUMMYFUNCTION("""COMPUTED_VALUE"""),10.0)</f>
        <v>10</v>
      </c>
      <c r="L4062" s="17">
        <f>IFERROR(__xludf.DUMMYFUNCTION("""COMPUTED_VALUE"""),3.212025285E9)</f>
        <v>3212025285</v>
      </c>
      <c r="M4062" s="17" t="str">
        <f>IFERROR(__xludf.DUMMYFUNCTION("""COMPUTED_VALUE"""),"#REF!")</f>
        <v>#REF!</v>
      </c>
      <c r="N4062" s="17"/>
      <c r="O4062" s="17"/>
      <c r="P4062" s="17" t="b">
        <f>IFERROR(__xludf.DUMMYFUNCTION("""COMPUTED_VALUE"""),TRUE)</f>
        <v>1</v>
      </c>
      <c r="Q4062" s="20">
        <f>IFERROR(__xludf.DUMMYFUNCTION("""COMPUTED_VALUE"""),45120.599991863426)</f>
        <v>45120.59999</v>
      </c>
      <c r="R4062" s="21" t="str">
        <f>IFERROR(__xludf.DUMMYFUNCTION("""COMPUTED_VALUE"""),"https://drive.google.com/file/d/1tqENyxTDEU5wOFV1zMoR2BRk2LrhICyr/view?usp=drivesdk")</f>
        <v>https://drive.google.com/file/d/1tqENyxTDEU5wOFV1zMoR2BRk2LrhICyr/view?usp=drivesdk</v>
      </c>
    </row>
    <row r="4063">
      <c r="A4063" s="15">
        <f>IFERROR(__xludf.DUMMYFUNCTION("""COMPUTED_VALUE"""),45119.0)</f>
        <v>45119</v>
      </c>
      <c r="B4063" s="16" t="str">
        <f>IFERROR(__xludf.DUMMYFUNCTION("""COMPUTED_VALUE"""),"Jeison Rubiano")</f>
        <v>Jeison Rubiano</v>
      </c>
      <c r="C4063" s="15" t="str">
        <f>IFERROR(__xludf.DUMMYFUNCTION("""COMPUTED_VALUE"""),"BOGOTÁ")</f>
        <v>BOGOTÁ</v>
      </c>
      <c r="D4063" s="15" t="str">
        <f>IFERROR(__xludf.DUMMYFUNCTION("""COMPUTED_VALUE"""),"MEDELLÍN")</f>
        <v>MEDELLÍN</v>
      </c>
      <c r="E4063" s="15" t="str">
        <f>IFERROR(__xludf.DUMMYFUNCTION("""COMPUTED_VALUE"""),"AREPAS LA MARY")</f>
        <v>AREPAS LA MARY</v>
      </c>
      <c r="F4063" s="17" t="str">
        <f>IFERROR(__xludf.DUMMYFUNCTION("""COMPUTED_VALUE"""),"Calle 137 # 55 - 32 Torre 1 Apto 1706 / EDIFICIO SAN RAFAEL")</f>
        <v>Calle 137 # 55 - 32 Torre 1 Apto 1706 / EDIFICIO SAN RAFAEL</v>
      </c>
      <c r="G4063" s="15" t="str">
        <f>IFERROR(__xludf.DUMMYFUNCTION("""COMPUTED_VALUE"""),"SANDRA BERNAL")</f>
        <v>SANDRA BERNAL</v>
      </c>
      <c r="H4063" s="16">
        <f>IFERROR(__xludf.DUMMYFUNCTION("""COMPUTED_VALUE"""),12634.0)</f>
        <v>12634</v>
      </c>
      <c r="I4063" s="18">
        <f>IFERROR(__xludf.DUMMYFUNCTION("""COMPUTED_VALUE"""),89.0)</f>
        <v>89</v>
      </c>
      <c r="J4063" s="18">
        <f>IFERROR(__xludf.DUMMYFUNCTION("""COMPUTED_VALUE"""),1.0)</f>
        <v>1</v>
      </c>
      <c r="K4063" s="18">
        <f>IFERROR(__xludf.DUMMYFUNCTION("""COMPUTED_VALUE"""),10.0)</f>
        <v>10</v>
      </c>
      <c r="L4063" s="17">
        <f>IFERROR(__xludf.DUMMYFUNCTION("""COMPUTED_VALUE"""),3.112361092E9)</f>
        <v>3112361092</v>
      </c>
      <c r="M4063" s="17" t="str">
        <f>IFERROR(__xludf.DUMMYFUNCTION("""COMPUTED_VALUE"""),"#REF!")</f>
        <v>#REF!</v>
      </c>
      <c r="N4063" s="17"/>
      <c r="O4063" s="17"/>
      <c r="P4063" s="17" t="b">
        <f>IFERROR(__xludf.DUMMYFUNCTION("""COMPUTED_VALUE"""),TRUE)</f>
        <v>1</v>
      </c>
      <c r="Q4063" s="20">
        <f>IFERROR(__xludf.DUMMYFUNCTION("""COMPUTED_VALUE"""),45120.599991863426)</f>
        <v>45120.59999</v>
      </c>
      <c r="R4063" s="21" t="str">
        <f>IFERROR(__xludf.DUMMYFUNCTION("""COMPUTED_VALUE"""),"https://drive.google.com/file/d/1xYwG71uV4XOijZblUXDRABqkk57aSXOz/view?usp=drivesdk")</f>
        <v>https://drive.google.com/file/d/1xYwG71uV4XOijZblUXDRABqkk57aSXOz/view?usp=drivesdk</v>
      </c>
    </row>
    <row r="4064">
      <c r="A4064" s="15">
        <f>IFERROR(__xludf.DUMMYFUNCTION("""COMPUTED_VALUE"""),45119.0)</f>
        <v>45119</v>
      </c>
      <c r="B4064" s="16" t="str">
        <f>IFERROR(__xludf.DUMMYFUNCTION("""COMPUTED_VALUE"""),"Jeison Rubiano")</f>
        <v>Jeison Rubiano</v>
      </c>
      <c r="C4064" s="15" t="str">
        <f>IFERROR(__xludf.DUMMYFUNCTION("""COMPUTED_VALUE"""),"BOGOTÁ")</f>
        <v>BOGOTÁ</v>
      </c>
      <c r="D4064" s="15" t="str">
        <f>IFERROR(__xludf.DUMMYFUNCTION("""COMPUTED_VALUE"""),"MEDELLÍN")</f>
        <v>MEDELLÍN</v>
      </c>
      <c r="E4064" s="15" t="str">
        <f>IFERROR(__xludf.DUMMYFUNCTION("""COMPUTED_VALUE"""),"AREPAS LA MARY")</f>
        <v>AREPAS LA MARY</v>
      </c>
      <c r="F4064" s="17" t="str">
        <f>IFERROR(__xludf.DUMMYFUNCTION("""COMPUTED_VALUE"""),"CALLE 15#2- 50 CASA 25 / PUENTE DE LA CRUZ")</f>
        <v>CALLE 15#2- 50 CASA 25 / PUENTE DE LA CRUZ</v>
      </c>
      <c r="G4064" s="15" t="str">
        <f>IFERROR(__xludf.DUMMYFUNCTION("""COMPUTED_VALUE"""),"MARCELA PUERTO")</f>
        <v>MARCELA PUERTO</v>
      </c>
      <c r="H4064" s="16">
        <f>IFERROR(__xludf.DUMMYFUNCTION("""COMPUTED_VALUE"""),12528.0)</f>
        <v>12528</v>
      </c>
      <c r="I4064" s="18">
        <f>IFERROR(__xludf.DUMMYFUNCTION("""COMPUTED_VALUE"""),89.0)</f>
        <v>89</v>
      </c>
      <c r="J4064" s="18">
        <f>IFERROR(__xludf.DUMMYFUNCTION("""COMPUTED_VALUE"""),1.0)</f>
        <v>1</v>
      </c>
      <c r="K4064" s="18">
        <f>IFERROR(__xludf.DUMMYFUNCTION("""COMPUTED_VALUE"""),10.0)</f>
        <v>10</v>
      </c>
      <c r="L4064" s="17">
        <f>IFERROR(__xludf.DUMMYFUNCTION("""COMPUTED_VALUE"""),3.202969338E9)</f>
        <v>3202969338</v>
      </c>
      <c r="M4064" s="17" t="str">
        <f>IFERROR(__xludf.DUMMYFUNCTION("""COMPUTED_VALUE"""),"#REF!")</f>
        <v>#REF!</v>
      </c>
      <c r="N4064" s="17"/>
      <c r="O4064" s="17"/>
      <c r="P4064" s="17" t="b">
        <f>IFERROR(__xludf.DUMMYFUNCTION("""COMPUTED_VALUE"""),FALSE)</f>
        <v>0</v>
      </c>
      <c r="Q4064" s="20" t="str">
        <f>IFERROR(__xludf.DUMMYFUNCTION("""COMPUTED_VALUE"""),"")</f>
        <v/>
      </c>
      <c r="R4064" s="21" t="str">
        <f>IFERROR(__xludf.DUMMYFUNCTION("""COMPUTED_VALUE"""),"https://drive.google.com/file/d/1ibLHwu691XOm0ebUNSWBjhajO0YUI75c/view?usp=drivesdk")</f>
        <v>https://drive.google.com/file/d/1ibLHwu691XOm0ebUNSWBjhajO0YUI75c/view?usp=drivesdk</v>
      </c>
    </row>
    <row r="4065">
      <c r="A4065" s="15">
        <f>IFERROR(__xludf.DUMMYFUNCTION("""COMPUTED_VALUE"""),45119.0)</f>
        <v>45119</v>
      </c>
      <c r="B4065" s="16" t="str">
        <f>IFERROR(__xludf.DUMMYFUNCTION("""COMPUTED_VALUE"""),"Jeison Rubiano")</f>
        <v>Jeison Rubiano</v>
      </c>
      <c r="C4065" s="15" t="str">
        <f>IFERROR(__xludf.DUMMYFUNCTION("""COMPUTED_VALUE"""),"BOGOTÁ")</f>
        <v>BOGOTÁ</v>
      </c>
      <c r="D4065" s="15" t="str">
        <f>IFERROR(__xludf.DUMMYFUNCTION("""COMPUTED_VALUE"""),"MEDELLÍN")</f>
        <v>MEDELLÍN</v>
      </c>
      <c r="E4065" s="15" t="str">
        <f>IFERROR(__xludf.DUMMYFUNCTION("""COMPUTED_VALUE"""),"Baby Chef")</f>
        <v>Baby Chef</v>
      </c>
      <c r="F4065" s="17" t="str">
        <f>IFERROR(__xludf.DUMMYFUNCTION("""COMPUTED_VALUE"""),"Calle 129#54-75interior 11 apto 303 / Calle 129#54-75interior 11 apto 303 / Calle 129#54-75interior 11 apto 303")</f>
        <v>Calle 129#54-75interior 11 apto 303 / Calle 129#54-75interior 11 apto 303 / Calle 129#54-75interior 11 apto 303</v>
      </c>
      <c r="G4065" s="15" t="str">
        <f>IFERROR(__xludf.DUMMYFUNCTION("""COMPUTED_VALUE"""),"Leydi Yate")</f>
        <v>Leydi Yate</v>
      </c>
      <c r="H4065" s="16">
        <f>IFERROR(__xludf.DUMMYFUNCTION("""COMPUTED_VALUE"""),12640.0)</f>
        <v>12640</v>
      </c>
      <c r="I4065" s="18">
        <f>IFERROR(__xludf.DUMMYFUNCTION("""COMPUTED_VALUE"""),8.0)</f>
        <v>8</v>
      </c>
      <c r="J4065" s="18">
        <f>IFERROR(__xludf.DUMMYFUNCTION("""COMPUTED_VALUE"""),16.0)</f>
        <v>16</v>
      </c>
      <c r="K4065" s="18">
        <f>IFERROR(__xludf.DUMMYFUNCTION("""COMPUTED_VALUE"""),20.0)</f>
        <v>20</v>
      </c>
      <c r="L4065" s="17">
        <f>IFERROR(__xludf.DUMMYFUNCTION("""COMPUTED_VALUE"""),3.058113207E9)</f>
        <v>3058113207</v>
      </c>
      <c r="M4065" s="17" t="str">
        <f>IFERROR(__xludf.DUMMYFUNCTION("""COMPUTED_VALUE"""),"#REF!")</f>
        <v>#REF!</v>
      </c>
      <c r="N4065" s="17"/>
      <c r="O4065" s="17"/>
      <c r="P4065" s="17" t="b">
        <f>IFERROR(__xludf.DUMMYFUNCTION("""COMPUTED_VALUE"""),TRUE)</f>
        <v>1</v>
      </c>
      <c r="Q4065" s="20">
        <f>IFERROR(__xludf.DUMMYFUNCTION("""COMPUTED_VALUE"""),45120.599991863426)</f>
        <v>45120.59999</v>
      </c>
      <c r="R4065" s="21" t="str">
        <f>IFERROR(__xludf.DUMMYFUNCTION("""COMPUTED_VALUE"""),"https://drive.google.com/file/d/1sUDuQDoGtP9iegCsMSt1LjMtmZyJS16t/view?usp=drivesdk")</f>
        <v>https://drive.google.com/file/d/1sUDuQDoGtP9iegCsMSt1LjMtmZyJS16t/view?usp=drivesdk</v>
      </c>
    </row>
    <row r="4066">
      <c r="A4066" s="15">
        <f>IFERROR(__xludf.DUMMYFUNCTION("""COMPUTED_VALUE"""),45119.0)</f>
        <v>45119</v>
      </c>
      <c r="B4066" s="16" t="str">
        <f>IFERROR(__xludf.DUMMYFUNCTION("""COMPUTED_VALUE"""),"Jeison Rubiano")</f>
        <v>Jeison Rubiano</v>
      </c>
      <c r="C4066" s="15" t="str">
        <f>IFERROR(__xludf.DUMMYFUNCTION("""COMPUTED_VALUE"""),"BOGOTÁ")</f>
        <v>BOGOTÁ</v>
      </c>
      <c r="D4066" s="15" t="str">
        <f>IFERROR(__xludf.DUMMYFUNCTION("""COMPUTED_VALUE"""),"MEDELLÍN")</f>
        <v>MEDELLÍN</v>
      </c>
      <c r="E4066" s="15" t="str">
        <f>IFERROR(__xludf.DUMMYFUNCTION("""COMPUTED_VALUE"""),"Baby Chef")</f>
        <v>Baby Chef</v>
      </c>
      <c r="F4066" s="17" t="str">
        <f>IFERROR(__xludf.DUMMYFUNCTION("""COMPUTED_VALUE"""),"Calle 18 sur # 41-15 segundo piso  Ciudad montes / Calle 18 sur # 41-15 segundo piso  Ciudad montes / Calle 18 sur # 41-15 segundo piso  Ciudad montes")</f>
        <v>Calle 18 sur # 41-15 segundo piso  Ciudad montes / Calle 18 sur # 41-15 segundo piso  Ciudad montes / Calle 18 sur # 41-15 segundo piso  Ciudad montes</v>
      </c>
      <c r="G4066" s="15" t="str">
        <f>IFERROR(__xludf.DUMMYFUNCTION("""COMPUTED_VALUE"""),"Ximena Herrera")</f>
        <v>Ximena Herrera</v>
      </c>
      <c r="H4066" s="16">
        <f>IFERROR(__xludf.DUMMYFUNCTION("""COMPUTED_VALUE"""),12639.0)</f>
        <v>12639</v>
      </c>
      <c r="I4066" s="18">
        <f>IFERROR(__xludf.DUMMYFUNCTION("""COMPUTED_VALUE"""),8.0)</f>
        <v>8</v>
      </c>
      <c r="J4066" s="18">
        <f>IFERROR(__xludf.DUMMYFUNCTION("""COMPUTED_VALUE"""),16.0)</f>
        <v>16</v>
      </c>
      <c r="K4066" s="18">
        <f>IFERROR(__xludf.DUMMYFUNCTION("""COMPUTED_VALUE"""),20.0)</f>
        <v>20</v>
      </c>
      <c r="L4066" s="17">
        <f>IFERROR(__xludf.DUMMYFUNCTION("""COMPUTED_VALUE"""),3.012325757E9)</f>
        <v>3012325757</v>
      </c>
      <c r="M4066" s="17" t="str">
        <f>IFERROR(__xludf.DUMMYFUNCTION("""COMPUTED_VALUE"""),"#REF!")</f>
        <v>#REF!</v>
      </c>
      <c r="N4066" s="17"/>
      <c r="O4066" s="17"/>
      <c r="P4066" s="17" t="b">
        <f>IFERROR(__xludf.DUMMYFUNCTION("""COMPUTED_VALUE"""),FALSE)</f>
        <v>0</v>
      </c>
      <c r="Q4066" s="20" t="str">
        <f>IFERROR(__xludf.DUMMYFUNCTION("""COMPUTED_VALUE"""),"")</f>
        <v/>
      </c>
      <c r="R4066" s="21" t="str">
        <f>IFERROR(__xludf.DUMMYFUNCTION("""COMPUTED_VALUE"""),"https://drive.google.com/file/d/1g2vV9HCHjY8jrAXaDrFyWrUYb2pYUlA4/view?usp=drivesdk")</f>
        <v>https://drive.google.com/file/d/1g2vV9HCHjY8jrAXaDrFyWrUYb2pYUlA4/view?usp=drivesdk</v>
      </c>
    </row>
    <row r="4067">
      <c r="A4067" s="15">
        <f>IFERROR(__xludf.DUMMYFUNCTION("""COMPUTED_VALUE"""),45119.0)</f>
        <v>45119</v>
      </c>
      <c r="B4067" s="16" t="str">
        <f>IFERROR(__xludf.DUMMYFUNCTION("""COMPUTED_VALUE"""),"Jeison Rubiano")</f>
        <v>Jeison Rubiano</v>
      </c>
      <c r="C4067" s="15" t="str">
        <f>IFERROR(__xludf.DUMMYFUNCTION("""COMPUTED_VALUE"""),"BOGOTÁ")</f>
        <v>BOGOTÁ</v>
      </c>
      <c r="D4067" s="15" t="str">
        <f>IFERROR(__xludf.DUMMYFUNCTION("""COMPUTED_VALUE"""),"MEDELLÍN")</f>
        <v>MEDELLÍN</v>
      </c>
      <c r="E4067" s="15" t="str">
        <f>IFERROR(__xludf.DUMMYFUNCTION("""COMPUTED_VALUE"""),"Felicidad Bakery Bogotá")</f>
        <v>Felicidad Bakery Bogotá</v>
      </c>
      <c r="F4067" s="17" t="str">
        <f>IFERROR(__xludf.DUMMYFUNCTION("""COMPUTED_VALUE"""),"Calle 92 15 62 / Es centro chico / Local 103")</f>
        <v>Calle 92 15 62 / Es centro chico / Local 103</v>
      </c>
      <c r="G4067" s="15" t="str">
        <f>IFERROR(__xludf.DUMMYFUNCTION("""COMPUTED_VALUE"""),"Camilo hernandez")</f>
        <v>Camilo hernandez</v>
      </c>
      <c r="H4067" s="16">
        <f>IFERROR(__xludf.DUMMYFUNCTION("""COMPUTED_VALUE"""),12635.0)</f>
        <v>12635</v>
      </c>
      <c r="I4067" s="18">
        <f>IFERROR(__xludf.DUMMYFUNCTION("""COMPUTED_VALUE"""),1.0)</f>
        <v>1</v>
      </c>
      <c r="J4067" s="18">
        <f>IFERROR(__xludf.DUMMYFUNCTION("""COMPUTED_VALUE"""),1.0)</f>
        <v>1</v>
      </c>
      <c r="K4067" s="18">
        <f>IFERROR(__xludf.DUMMYFUNCTION("""COMPUTED_VALUE"""),1.0)</f>
        <v>1</v>
      </c>
      <c r="L4067" s="17">
        <f>IFERROR(__xludf.DUMMYFUNCTION("""COMPUTED_VALUE"""),3.013527163E9)</f>
        <v>3013527163</v>
      </c>
      <c r="M4067" s="17" t="str">
        <f>IFERROR(__xludf.DUMMYFUNCTION("""COMPUTED_VALUE"""),"#REF!")</f>
        <v>#REF!</v>
      </c>
      <c r="N4067" s="17"/>
      <c r="O4067" s="17"/>
      <c r="P4067" s="17" t="b">
        <f>IFERROR(__xludf.DUMMYFUNCTION("""COMPUTED_VALUE"""),FALSE)</f>
        <v>0</v>
      </c>
      <c r="Q4067" s="20" t="str">
        <f>IFERROR(__xludf.DUMMYFUNCTION("""COMPUTED_VALUE"""),"")</f>
        <v/>
      </c>
      <c r="R4067" s="21" t="str">
        <f>IFERROR(__xludf.DUMMYFUNCTION("""COMPUTED_VALUE"""),"https://drive.google.com/file/d/1fZqMK-N8Dsb76jdojWgX0kDlGH0Q6N79/view?usp=drivesdk")</f>
        <v>https://drive.google.com/file/d/1fZqMK-N8Dsb76jdojWgX0kDlGH0Q6N79/view?usp=drivesdk</v>
      </c>
    </row>
    <row r="4068">
      <c r="A4068" s="15">
        <f>IFERROR(__xludf.DUMMYFUNCTION("""COMPUTED_VALUE"""),45119.0)</f>
        <v>45119</v>
      </c>
      <c r="B4068" s="16" t="str">
        <f>IFERROR(__xludf.DUMMYFUNCTION("""COMPUTED_VALUE"""),"Jeison Rubiano")</f>
        <v>Jeison Rubiano</v>
      </c>
      <c r="C4068" s="15" t="str">
        <f>IFERROR(__xludf.DUMMYFUNCTION("""COMPUTED_VALUE"""),"BOGOTÁ")</f>
        <v>BOGOTÁ</v>
      </c>
      <c r="D4068" s="15" t="str">
        <f>IFERROR(__xludf.DUMMYFUNCTION("""COMPUTED_VALUE"""),"MEDELLÍN")</f>
        <v>MEDELLÍN</v>
      </c>
      <c r="E4068" s="15" t="str">
        <f>IFERROR(__xludf.DUMMYFUNCTION("""COMPUTED_VALUE"""),"Mochi")</f>
        <v>Mochi</v>
      </c>
      <c r="F4068" s="17" t="str">
        <f>IFERROR(__xludf.DUMMYFUNCTION("""COMPUTED_VALUE"""),"CARRERA 23 69 35  / 7 DE AGOSTO / COLOMBIA")</f>
        <v>CARRERA 23 69 35  / 7 DE AGOSTO / COLOMBIA</v>
      </c>
      <c r="G4068" s="15" t="str">
        <f>IFERROR(__xludf.DUMMYFUNCTION("""COMPUTED_VALUE"""),"Mauricio Mora")</f>
        <v>Mauricio Mora</v>
      </c>
      <c r="H4068" s="16">
        <f>IFERROR(__xludf.DUMMYFUNCTION("""COMPUTED_VALUE"""),12647.0)</f>
        <v>12647</v>
      </c>
      <c r="I4068" s="18">
        <f>IFERROR(__xludf.DUMMYFUNCTION("""COMPUTED_VALUE"""),100.0)</f>
        <v>100</v>
      </c>
      <c r="J4068" s="18">
        <f>IFERROR(__xludf.DUMMYFUNCTION("""COMPUTED_VALUE"""),200.0)</f>
        <v>200</v>
      </c>
      <c r="K4068" s="18">
        <f>IFERROR(__xludf.DUMMYFUNCTION("""COMPUTED_VALUE"""),200.0)</f>
        <v>200</v>
      </c>
      <c r="L4068" s="17">
        <f>IFERROR(__xludf.DUMMYFUNCTION("""COMPUTED_VALUE"""),3.115177645E9)</f>
        <v>3115177645</v>
      </c>
      <c r="M4068" s="17" t="str">
        <f>IFERROR(__xludf.DUMMYFUNCTION("""COMPUTED_VALUE"""),"#REF!")</f>
        <v>#REF!</v>
      </c>
      <c r="N4068" s="17"/>
      <c r="O4068" s="17"/>
      <c r="P4068" s="17" t="b">
        <f>IFERROR(__xludf.DUMMYFUNCTION("""COMPUTED_VALUE"""),FALSE)</f>
        <v>0</v>
      </c>
      <c r="Q4068" s="20" t="str">
        <f>IFERROR(__xludf.DUMMYFUNCTION("""COMPUTED_VALUE"""),"")</f>
        <v/>
      </c>
      <c r="R4068" s="22" t="str">
        <f>IFERROR(__xludf.DUMMYFUNCTION("""COMPUTED_VALUE"""),"")</f>
        <v/>
      </c>
    </row>
    <row r="4069">
      <c r="A4069" s="15">
        <f>IFERROR(__xludf.DUMMYFUNCTION("""COMPUTED_VALUE"""),45119.0)</f>
        <v>45119</v>
      </c>
      <c r="B4069" s="16" t="str">
        <f>IFERROR(__xludf.DUMMYFUNCTION("""COMPUTED_VALUE"""),"Jeison Rubiano")</f>
        <v>Jeison Rubiano</v>
      </c>
      <c r="C4069" s="15" t="str">
        <f>IFERROR(__xludf.DUMMYFUNCTION("""COMPUTED_VALUE"""),"BOGOTÁ")</f>
        <v>BOGOTÁ</v>
      </c>
      <c r="D4069" s="15" t="str">
        <f>IFERROR(__xludf.DUMMYFUNCTION("""COMPUTED_VALUE"""),"MEDELLÍN")</f>
        <v>MEDELLÍN</v>
      </c>
      <c r="E4069" s="15" t="str">
        <f>IFERROR(__xludf.DUMMYFUNCTION("""COMPUTED_VALUE"""),"Moloso S.A.S")</f>
        <v>Moloso S.A.S</v>
      </c>
      <c r="F4069" s="17" t="str">
        <f>IFERROR(__xludf.DUMMYFUNCTION("""COMPUTED_VALUE"""),"	 CRA 9 BIS 97 06 / APTO 604")</f>
        <v>	 CRA 9 BIS 97 06 / APTO 604</v>
      </c>
      <c r="G4069" s="15" t="str">
        <f>IFERROR(__xludf.DUMMYFUNCTION("""COMPUTED_VALUE"""),"MARIA XIMENA GUZMAN DEL CASTILLO")</f>
        <v>MARIA XIMENA GUZMAN DEL CASTILLO</v>
      </c>
      <c r="H4069" s="16">
        <f>IFERROR(__xludf.DUMMYFUNCTION("""COMPUTED_VALUE"""),12651.0)</f>
        <v>12651</v>
      </c>
      <c r="I4069" s="18">
        <f>IFERROR(__xludf.DUMMYFUNCTION("""COMPUTED_VALUE"""),17.0)</f>
        <v>17</v>
      </c>
      <c r="J4069" s="18">
        <f>IFERROR(__xludf.DUMMYFUNCTION("""COMPUTED_VALUE"""),15.0)</f>
        <v>15</v>
      </c>
      <c r="K4069" s="18">
        <f>IFERROR(__xludf.DUMMYFUNCTION("""COMPUTED_VALUE"""),28.0)</f>
        <v>28</v>
      </c>
      <c r="L4069" s="17" t="str">
        <f>IFERROR(__xludf.DUMMYFUNCTION("""COMPUTED_VALUE"""),"311 2848381")</f>
        <v>311 2848381</v>
      </c>
      <c r="M4069" s="17" t="str">
        <f>IFERROR(__xludf.DUMMYFUNCTION("""COMPUTED_VALUE"""),"#REF!")</f>
        <v>#REF!</v>
      </c>
      <c r="N4069" s="17"/>
      <c r="O4069" s="17"/>
      <c r="P4069" s="17" t="b">
        <f>IFERROR(__xludf.DUMMYFUNCTION("""COMPUTED_VALUE"""),TRUE)</f>
        <v>1</v>
      </c>
      <c r="Q4069" s="20">
        <f>IFERROR(__xludf.DUMMYFUNCTION("""COMPUTED_VALUE"""),45120.599991875)</f>
        <v>45120.59999</v>
      </c>
      <c r="R4069" s="21" t="str">
        <f>IFERROR(__xludf.DUMMYFUNCTION("""COMPUTED_VALUE"""),"https://drive.google.com/file/d/1g3FGbvu19fu43tVBav9oAUg890vjmKHj/view?usp=drivesdk")</f>
        <v>https://drive.google.com/file/d/1g3FGbvu19fu43tVBav9oAUg890vjmKHj/view?usp=drivesdk</v>
      </c>
    </row>
    <row r="4070">
      <c r="A4070" s="15">
        <f>IFERROR(__xludf.DUMMYFUNCTION("""COMPUTED_VALUE"""),45119.0)</f>
        <v>45119</v>
      </c>
      <c r="B4070" s="16" t="str">
        <f>IFERROR(__xludf.DUMMYFUNCTION("""COMPUTED_VALUE"""),"Jeison Rubiano")</f>
        <v>Jeison Rubiano</v>
      </c>
      <c r="C4070" s="15" t="str">
        <f>IFERROR(__xludf.DUMMYFUNCTION("""COMPUTED_VALUE"""),"BOGOTÁ")</f>
        <v>BOGOTÁ</v>
      </c>
      <c r="D4070" s="15" t="str">
        <f>IFERROR(__xludf.DUMMYFUNCTION("""COMPUTED_VALUE"""),"MEDELLÍN")</f>
        <v>MEDELLÍN</v>
      </c>
      <c r="E4070" s="15" t="str">
        <f>IFERROR(__xludf.DUMMYFUNCTION("""COMPUTED_VALUE"""),"Moloso S.A.S")</f>
        <v>Moloso S.A.S</v>
      </c>
      <c r="F4070" s="17" t="str">
        <f>IFERROR(__xludf.DUMMYFUNCTION("""COMPUTED_VALUE"""),"CL 45 45 47 / INT 8 AP 401")</f>
        <v>CL 45 45 47 / INT 8 AP 401</v>
      </c>
      <c r="G4070" s="15" t="str">
        <f>IFERROR(__xludf.DUMMYFUNCTION("""COMPUTED_VALUE"""),"MARIANA ESCOBAR VILLARRAGA")</f>
        <v>MARIANA ESCOBAR VILLARRAGA</v>
      </c>
      <c r="H4070" s="16">
        <f>IFERROR(__xludf.DUMMYFUNCTION("""COMPUTED_VALUE"""),12653.0)</f>
        <v>12653</v>
      </c>
      <c r="I4070" s="18">
        <f>IFERROR(__xludf.DUMMYFUNCTION("""COMPUTED_VALUE"""),17.0)</f>
        <v>17</v>
      </c>
      <c r="J4070" s="18">
        <f>IFERROR(__xludf.DUMMYFUNCTION("""COMPUTED_VALUE"""),15.0)</f>
        <v>15</v>
      </c>
      <c r="K4070" s="18">
        <f>IFERROR(__xludf.DUMMYFUNCTION("""COMPUTED_VALUE"""),28.0)</f>
        <v>28</v>
      </c>
      <c r="L4070" s="17" t="str">
        <f>IFERROR(__xludf.DUMMYFUNCTION("""COMPUTED_VALUE"""),"311 2644656")</f>
        <v>311 2644656</v>
      </c>
      <c r="M4070" s="17" t="str">
        <f>IFERROR(__xludf.DUMMYFUNCTION("""COMPUTED_VALUE"""),"#REF!")</f>
        <v>#REF!</v>
      </c>
      <c r="N4070" s="17"/>
      <c r="O4070" s="17"/>
      <c r="P4070" s="17" t="b">
        <f>IFERROR(__xludf.DUMMYFUNCTION("""COMPUTED_VALUE"""),FALSE)</f>
        <v>0</v>
      </c>
      <c r="Q4070" s="20" t="str">
        <f>IFERROR(__xludf.DUMMYFUNCTION("""COMPUTED_VALUE"""),"")</f>
        <v/>
      </c>
      <c r="R4070" s="21" t="str">
        <f>IFERROR(__xludf.DUMMYFUNCTION("""COMPUTED_VALUE"""),"https://drive.google.com/file/d/1nuUO-f0eV9iqaKm9hF7eFpnhZ5yHPcNz/view?usp=drivesdk")</f>
        <v>https://drive.google.com/file/d/1nuUO-f0eV9iqaKm9hF7eFpnhZ5yHPcNz/view?usp=drivesdk</v>
      </c>
    </row>
    <row r="4071">
      <c r="A4071" s="15">
        <f>IFERROR(__xludf.DUMMYFUNCTION("""COMPUTED_VALUE"""),45119.0)</f>
        <v>45119</v>
      </c>
      <c r="B4071" s="16" t="str">
        <f>IFERROR(__xludf.DUMMYFUNCTION("""COMPUTED_VALUE"""),"Jeison Rubiano")</f>
        <v>Jeison Rubiano</v>
      </c>
      <c r="C4071" s="15" t="str">
        <f>IFERROR(__xludf.DUMMYFUNCTION("""COMPUTED_VALUE"""),"CARTAGENA")</f>
        <v>CARTAGENA</v>
      </c>
      <c r="D4071" s="15" t="str">
        <f>IFERROR(__xludf.DUMMYFUNCTION("""COMPUTED_VALUE"""),"BOGOTÁ")</f>
        <v>BOGOTÁ</v>
      </c>
      <c r="E4071" s="15" t="str">
        <f>IFERROR(__xludf.DUMMYFUNCTION("""COMPUTED_VALUE"""),"Top Spun")</f>
        <v>Top Spun</v>
      </c>
      <c r="F4071" s="17" t="str">
        <f>IFERROR(__xludf.DUMMYFUNCTION("""COMPUTED_VALUE"""),"Cra. 8 #5-34 / Edificio Casa Blanca / Castillogrande 1A1 Cartagena")</f>
        <v>Cra. 8 #5-34 / Edificio Casa Blanca / Castillogrande 1A1 Cartagena</v>
      </c>
      <c r="G4071" s="15" t="str">
        <f>IFERROR(__xludf.DUMMYFUNCTION("""COMPUTED_VALUE"""),"evlyn gomez")</f>
        <v>evlyn gomez</v>
      </c>
      <c r="H4071" s="16">
        <f>IFERROR(__xludf.DUMMYFUNCTION("""COMPUTED_VALUE"""),12554.0)</f>
        <v>12554</v>
      </c>
      <c r="I4071" s="18">
        <f>IFERROR(__xludf.DUMMYFUNCTION("""COMPUTED_VALUE"""),20.0)</f>
        <v>20</v>
      </c>
      <c r="J4071" s="18">
        <f>IFERROR(__xludf.DUMMYFUNCTION("""COMPUTED_VALUE"""),10.0)</f>
        <v>10</v>
      </c>
      <c r="K4071" s="18">
        <f>IFERROR(__xludf.DUMMYFUNCTION("""COMPUTED_VALUE"""),40.0)</f>
        <v>40</v>
      </c>
      <c r="L4071" s="17">
        <f>IFERROR(__xludf.DUMMYFUNCTION("""COMPUTED_VALUE"""),3.208751843E9)</f>
        <v>3208751843</v>
      </c>
      <c r="M4071" s="17" t="str">
        <f>IFERROR(__xludf.DUMMYFUNCTION("""COMPUTED_VALUE"""),"#REF!")</f>
        <v>#REF!</v>
      </c>
      <c r="N4071" s="17"/>
      <c r="O4071" s="17"/>
      <c r="P4071" s="17" t="b">
        <f>IFERROR(__xludf.DUMMYFUNCTION("""COMPUTED_VALUE"""),FALSE)</f>
        <v>0</v>
      </c>
      <c r="Q4071" s="20" t="str">
        <f>IFERROR(__xludf.DUMMYFUNCTION("""COMPUTED_VALUE"""),"")</f>
        <v/>
      </c>
      <c r="R4071" s="21" t="str">
        <f>IFERROR(__xludf.DUMMYFUNCTION("""COMPUTED_VALUE"""),"https://drive.google.com/file/d/1ft9fyEdkMfzR1w1IVVL_jv9yaaUciOaA/view?usp=drivesdk")</f>
        <v>https://drive.google.com/file/d/1ft9fyEdkMfzR1w1IVVL_jv9yaaUciOaA/view?usp=drivesdk</v>
      </c>
    </row>
    <row r="4072">
      <c r="A4072" s="15">
        <f>IFERROR(__xludf.DUMMYFUNCTION("""COMPUTED_VALUE"""),45119.0)</f>
        <v>45119</v>
      </c>
      <c r="B4072" s="16" t="str">
        <f>IFERROR(__xludf.DUMMYFUNCTION("""COMPUTED_VALUE"""),"Jeison Rubiano")</f>
        <v>Jeison Rubiano</v>
      </c>
      <c r="C4072" s="15" t="str">
        <f>IFERROR(__xludf.DUMMYFUNCTION("""COMPUTED_VALUE"""),"manizales")</f>
        <v>manizales</v>
      </c>
      <c r="D4072" s="15" t="str">
        <f>IFERROR(__xludf.DUMMYFUNCTION("""COMPUTED_VALUE"""),"PEREIRA")</f>
        <v>PEREIRA</v>
      </c>
      <c r="E4072" s="15" t="str">
        <f>IFERROR(__xludf.DUMMYFUNCTION("""COMPUTED_VALUE"""),"BAK&amp;VEG")</f>
        <v>BAK&amp;VEG</v>
      </c>
      <c r="F4072" s="17" t="str">
        <f>IFERROR(__xludf.DUMMYFUNCTION("""COMPUTED_VALUE"""),"av.santander #63 local 3")</f>
        <v>av.santander #63 local 3</v>
      </c>
      <c r="G4072" s="15" t="str">
        <f>IFERROR(__xludf.DUMMYFUNCTION("""COMPUTED_VALUE"""),"arisca la oveja")</f>
        <v>arisca la oveja</v>
      </c>
      <c r="H4072" s="16">
        <f>IFERROR(__xludf.DUMMYFUNCTION("""COMPUTED_VALUE"""),12494.0)</f>
        <v>12494</v>
      </c>
      <c r="I4072" s="18">
        <f>IFERROR(__xludf.DUMMYFUNCTION("""COMPUTED_VALUE"""),10.0)</f>
        <v>10</v>
      </c>
      <c r="J4072" s="18">
        <f>IFERROR(__xludf.DUMMYFUNCTION("""COMPUTED_VALUE"""),10.0)</f>
        <v>10</v>
      </c>
      <c r="K4072" s="18">
        <f>IFERROR(__xludf.DUMMYFUNCTION("""COMPUTED_VALUE"""),13.0)</f>
        <v>13</v>
      </c>
      <c r="L4072" s="17">
        <f>IFERROR(__xludf.DUMMYFUNCTION("""COMPUTED_VALUE"""),3.168238656E9)</f>
        <v>3168238656</v>
      </c>
      <c r="M4072" s="17" t="str">
        <f>IFERROR(__xludf.DUMMYFUNCTION("""COMPUTED_VALUE"""),"#REF!")</f>
        <v>#REF!</v>
      </c>
      <c r="N4072" s="17"/>
      <c r="O4072" s="17"/>
      <c r="P4072" s="17" t="b">
        <f>IFERROR(__xludf.DUMMYFUNCTION("""COMPUTED_VALUE"""),FALSE)</f>
        <v>0</v>
      </c>
      <c r="Q4072" s="20" t="str">
        <f>IFERROR(__xludf.DUMMYFUNCTION("""COMPUTED_VALUE"""),"")</f>
        <v/>
      </c>
      <c r="R4072" s="22" t="str">
        <f>IFERROR(__xludf.DUMMYFUNCTION("""COMPUTED_VALUE"""),"")</f>
        <v/>
      </c>
    </row>
    <row r="4073">
      <c r="A4073" s="15">
        <f>IFERROR(__xludf.DUMMYFUNCTION("""COMPUTED_VALUE"""),45119.0)</f>
        <v>45119</v>
      </c>
      <c r="B4073" s="16" t="str">
        <f>IFERROR(__xludf.DUMMYFUNCTION("""COMPUTED_VALUE"""),"Jeison Rubiano")</f>
        <v>Jeison Rubiano</v>
      </c>
      <c r="C4073" s="15" t="str">
        <f>IFERROR(__xludf.DUMMYFUNCTION("""COMPUTED_VALUE"""),"MONTERIA")</f>
        <v>MONTERIA</v>
      </c>
      <c r="D4073" s="15" t="str">
        <f>IFERROR(__xludf.DUMMYFUNCTION("""COMPUTED_VALUE"""),"MEDELLÍN")</f>
        <v>MEDELLÍN</v>
      </c>
      <c r="E4073" s="15" t="str">
        <f>IFERROR(__xludf.DUMMYFUNCTION("""COMPUTED_VALUE"""),"The Smoked House")</f>
        <v>The Smoked House</v>
      </c>
      <c r="F4073" s="17" t="str">
        <f>IFERROR(__xludf.DUMMYFUNCTION("""COMPUTED_VALUE"""),"Calle 62b #7-07 / Casa en una esquina, restaurante el correo,  / Barrio la castellana")</f>
        <v>Calle 62b #7-07 / Casa en una esquina, restaurante el correo,  / Barrio la castellana</v>
      </c>
      <c r="G4073" s="15" t="str">
        <f>IFERROR(__xludf.DUMMYFUNCTION("""COMPUTED_VALUE"""),"David Botero")</f>
        <v>David Botero</v>
      </c>
      <c r="H4073" s="16">
        <f>IFERROR(__xludf.DUMMYFUNCTION("""COMPUTED_VALUE"""),12648.0)</f>
        <v>12648</v>
      </c>
      <c r="I4073" s="18">
        <f>IFERROR(__xludf.DUMMYFUNCTION("""COMPUTED_VALUE"""),17.0)</f>
        <v>17</v>
      </c>
      <c r="J4073" s="18">
        <f>IFERROR(__xludf.DUMMYFUNCTION("""COMPUTED_VALUE"""),28.0)</f>
        <v>28</v>
      </c>
      <c r="K4073" s="18">
        <f>IFERROR(__xludf.DUMMYFUNCTION("""COMPUTED_VALUE"""),40.0)</f>
        <v>40</v>
      </c>
      <c r="L4073" s="17">
        <f>IFERROR(__xludf.DUMMYFUNCTION("""COMPUTED_VALUE"""),3.207105366E9)</f>
        <v>3207105366</v>
      </c>
      <c r="M4073" s="17" t="str">
        <f>IFERROR(__xludf.DUMMYFUNCTION("""COMPUTED_VALUE"""),"#REF!")</f>
        <v>#REF!</v>
      </c>
      <c r="N4073" s="17"/>
      <c r="O4073" s="17"/>
      <c r="P4073" s="17" t="b">
        <f>IFERROR(__xludf.DUMMYFUNCTION("""COMPUTED_VALUE"""),FALSE)</f>
        <v>0</v>
      </c>
      <c r="Q4073" s="20" t="str">
        <f>IFERROR(__xludf.DUMMYFUNCTION("""COMPUTED_VALUE"""),"")</f>
        <v/>
      </c>
      <c r="R4073" s="22" t="str">
        <f>IFERROR(__xludf.DUMMYFUNCTION("""COMPUTED_VALUE"""),"")</f>
        <v/>
      </c>
    </row>
    <row r="4074">
      <c r="A4074" s="15">
        <f>IFERROR(__xludf.DUMMYFUNCTION("""COMPUTED_VALUE"""),45119.0)</f>
        <v>45119</v>
      </c>
      <c r="B4074" s="16" t="str">
        <f>IFERROR(__xludf.DUMMYFUNCTION("""COMPUTED_VALUE"""),"Jeison Rubiano")</f>
        <v>Jeison Rubiano</v>
      </c>
      <c r="C4074" s="15" t="str">
        <f>IFERROR(__xludf.DUMMYFUNCTION("""COMPUTED_VALUE"""),"MONTERIA")</f>
        <v>MONTERIA</v>
      </c>
      <c r="D4074" s="15" t="str">
        <f>IFERROR(__xludf.DUMMYFUNCTION("""COMPUTED_VALUE"""),"MEDELLÍN")</f>
        <v>MEDELLÍN</v>
      </c>
      <c r="E4074" s="15" t="str">
        <f>IFERROR(__xludf.DUMMYFUNCTION("""COMPUTED_VALUE"""),"TOLEDALES S.A.S")</f>
        <v>TOLEDALES S.A.S</v>
      </c>
      <c r="F4074" s="17" t="str">
        <f>IFERROR(__xludf.DUMMYFUNCTION("""COMPUTED_VALUE"""),"calle 68 # 2 - 125")</f>
        <v>calle 68 # 2 - 125</v>
      </c>
      <c r="G4074" s="15" t="str">
        <f>IFERROR(__xludf.DUMMYFUNCTION("""COMPUTED_VALUE"""),"Carlos Andres Ramos")</f>
        <v>Carlos Andres Ramos</v>
      </c>
      <c r="H4074" s="16">
        <f>IFERROR(__xludf.DUMMYFUNCTION("""COMPUTED_VALUE"""),12631.0)</f>
        <v>12631</v>
      </c>
      <c r="I4074" s="18">
        <f>IFERROR(__xludf.DUMMYFUNCTION("""COMPUTED_VALUE"""),18.0)</f>
        <v>18</v>
      </c>
      <c r="J4074" s="18">
        <f>IFERROR(__xludf.DUMMYFUNCTION("""COMPUTED_VALUE"""),28.0)</f>
        <v>28</v>
      </c>
      <c r="K4074" s="18">
        <f>IFERROR(__xludf.DUMMYFUNCTION("""COMPUTED_VALUE"""),25.0)</f>
        <v>25</v>
      </c>
      <c r="L4074" s="17">
        <f>IFERROR(__xludf.DUMMYFUNCTION("""COMPUTED_VALUE"""),3.155285938E9)</f>
        <v>3155285938</v>
      </c>
      <c r="M4074" s="17" t="str">
        <f>IFERROR(__xludf.DUMMYFUNCTION("""COMPUTED_VALUE"""),"#REF!")</f>
        <v>#REF!</v>
      </c>
      <c r="N4074" s="17"/>
      <c r="O4074" s="17"/>
      <c r="P4074" s="17" t="b">
        <f>IFERROR(__xludf.DUMMYFUNCTION("""COMPUTED_VALUE"""),TRUE)</f>
        <v>1</v>
      </c>
      <c r="Q4074" s="20">
        <f>IFERROR(__xludf.DUMMYFUNCTION("""COMPUTED_VALUE"""),45120.68962988426)</f>
        <v>45120.68963</v>
      </c>
      <c r="R4074" s="22" t="str">
        <f>IFERROR(__xludf.DUMMYFUNCTION("""COMPUTED_VALUE"""),"")</f>
        <v/>
      </c>
    </row>
    <row r="4075">
      <c r="A4075" s="17" t="str">
        <f>IFERROR(__xludf.DUMMYFUNCTION("""COMPUTED_VALUE"""),"")</f>
        <v/>
      </c>
      <c r="B4075" s="17" t="str">
        <f>IFERROR(__xludf.DUMMYFUNCTION("""COMPUTED_VALUE"""),"")</f>
        <v/>
      </c>
      <c r="C4075" s="17" t="str">
        <f>IFERROR(__xludf.DUMMYFUNCTION("""COMPUTED_VALUE"""),"")</f>
        <v/>
      </c>
      <c r="D4075" s="17" t="str">
        <f>IFERROR(__xludf.DUMMYFUNCTION("""COMPUTED_VALUE"""),"")</f>
        <v/>
      </c>
      <c r="E4075" s="17" t="str">
        <f>IFERROR(__xludf.DUMMYFUNCTION("""COMPUTED_VALUE"""),"")</f>
        <v/>
      </c>
      <c r="F4075" s="17" t="str">
        <f>IFERROR(__xludf.DUMMYFUNCTION("""COMPUTED_VALUE"""),"")</f>
        <v/>
      </c>
      <c r="G4075" s="17" t="str">
        <f>IFERROR(__xludf.DUMMYFUNCTION("""COMPUTED_VALUE"""),"")</f>
        <v/>
      </c>
      <c r="H4075" s="17" t="str">
        <f>IFERROR(__xludf.DUMMYFUNCTION("""COMPUTED_VALUE"""),"")</f>
        <v/>
      </c>
      <c r="I4075" s="17" t="str">
        <f>IFERROR(__xludf.DUMMYFUNCTION("""COMPUTED_VALUE"""),"")</f>
        <v/>
      </c>
      <c r="J4075" s="17" t="str">
        <f>IFERROR(__xludf.DUMMYFUNCTION("""COMPUTED_VALUE"""),"")</f>
        <v/>
      </c>
      <c r="K4075" s="17" t="str">
        <f>IFERROR(__xludf.DUMMYFUNCTION("""COMPUTED_VALUE"""),"")</f>
        <v/>
      </c>
      <c r="L4075" s="17" t="str">
        <f>IFERROR(__xludf.DUMMYFUNCTION("""COMPUTED_VALUE"""),"")</f>
        <v/>
      </c>
      <c r="M4075" s="17" t="str">
        <f>IFERROR(__xludf.DUMMYFUNCTION("""COMPUTED_VALUE"""),"")</f>
        <v/>
      </c>
      <c r="N4075" s="17" t="str">
        <f>IFERROR(__xludf.DUMMYFUNCTION("""COMPUTED_VALUE"""),"")</f>
        <v/>
      </c>
      <c r="O4075" s="17" t="str">
        <f>IFERROR(__xludf.DUMMYFUNCTION("""COMPUTED_VALUE"""),"")</f>
        <v/>
      </c>
      <c r="P4075" s="17" t="str">
        <f>IFERROR(__xludf.DUMMYFUNCTION("""COMPUTED_VALUE"""),"")</f>
        <v/>
      </c>
      <c r="Q4075" s="17" t="str">
        <f>IFERROR(__xludf.DUMMYFUNCTION("""COMPUTED_VALUE"""),"")</f>
        <v/>
      </c>
      <c r="R4075" s="17" t="str">
        <f>IFERROR(__xludf.DUMMYFUNCTION("""COMPUTED_VALUE"""),"")</f>
        <v/>
      </c>
    </row>
    <row r="4076">
      <c r="A4076" s="15">
        <f>IFERROR(__xludf.DUMMYFUNCTION("""COMPUTED_VALUE"""),45119.0)</f>
        <v>45119</v>
      </c>
      <c r="B4076" s="16" t="str">
        <f>IFERROR(__xludf.DUMMYFUNCTION("""COMPUTED_VALUE"""),"Johan Alexander Escobar Arroyo ")</f>
        <v>Johan Alexander Escobar Arroyo </v>
      </c>
      <c r="C4076" s="15" t="str">
        <f>IFERROR(__xludf.DUMMYFUNCTION("""COMPUTED_VALUE"""),"BUCARAMANGA")</f>
        <v>BUCARAMANGA</v>
      </c>
      <c r="D4076" s="15" t="str">
        <f>IFERROR(__xludf.DUMMYFUNCTION("""COMPUTED_VALUE"""),"MANIZALES")</f>
        <v>MANIZALES</v>
      </c>
      <c r="E4076" s="15" t="str">
        <f>IFERROR(__xludf.DUMMYFUNCTION("""COMPUTED_VALUE"""),"Congelados Típicos")</f>
        <v>Congelados Típicos</v>
      </c>
      <c r="F4076" s="17" t="str">
        <f>IFERROR(__xludf.DUMMYFUNCTION("""COMPUTED_VALUE"""),"CENTRO DE ACOPIO - ENVIA  / CENTRO DE ACOPIO ENVIA  / CENTRO DE ACOPIO ENVIA")</f>
        <v>CENTRO DE ACOPIO - ENVIA  / CENTRO DE ACOPIO ENVIA  / CENTRO DE ACOPIO ENVIA</v>
      </c>
      <c r="G4076" s="15" t="str">
        <f>IFERROR(__xludf.DUMMYFUNCTION("""COMPUTED_VALUE"""),"DANIEL ROBLEDO")</f>
        <v>DANIEL ROBLEDO</v>
      </c>
      <c r="H4076" s="16">
        <f>IFERROR(__xludf.DUMMYFUNCTION("""COMPUTED_VALUE"""),12638.0)</f>
        <v>12638</v>
      </c>
      <c r="I4076" s="18">
        <f>IFERROR(__xludf.DUMMYFUNCTION("""COMPUTED_VALUE"""),50.0)</f>
        <v>50</v>
      </c>
      <c r="J4076" s="18">
        <f>IFERROR(__xludf.DUMMYFUNCTION("""COMPUTED_VALUE"""),30.0)</f>
        <v>30</v>
      </c>
      <c r="K4076" s="18">
        <f>IFERROR(__xludf.DUMMYFUNCTION("""COMPUTED_VALUE"""),21.0)</f>
        <v>21</v>
      </c>
      <c r="L4076" s="17">
        <f>IFERROR(__xludf.DUMMYFUNCTION("""COMPUTED_VALUE"""),3.113744276E9)</f>
        <v>3113744276</v>
      </c>
      <c r="M4076" s="17" t="str">
        <f>IFERROR(__xludf.DUMMYFUNCTION("""COMPUTED_VALUE"""),"#REF!")</f>
        <v>#REF!</v>
      </c>
      <c r="N4076" s="17"/>
      <c r="O4076" s="17"/>
      <c r="P4076" s="17" t="b">
        <f>IFERROR(__xludf.DUMMYFUNCTION("""COMPUTED_VALUE"""),FALSE)</f>
        <v>0</v>
      </c>
      <c r="Q4076" s="20" t="str">
        <f>IFERROR(__xludf.DUMMYFUNCTION("""COMPUTED_VALUE"""),"")</f>
        <v/>
      </c>
      <c r="R4076" s="22" t="str">
        <f>IFERROR(__xludf.DUMMYFUNCTION("""COMPUTED_VALUE"""),"")</f>
        <v/>
      </c>
    </row>
    <row r="4077">
      <c r="A4077" s="15">
        <f>IFERROR(__xludf.DUMMYFUNCTION("""COMPUTED_VALUE"""),45119.0)</f>
        <v>45119</v>
      </c>
      <c r="B4077" s="16" t="str">
        <f>IFERROR(__xludf.DUMMYFUNCTION("""COMPUTED_VALUE"""),"Johan Alexander Escobar Arroyo ")</f>
        <v>Johan Alexander Escobar Arroyo </v>
      </c>
      <c r="C4077" s="15" t="str">
        <f>IFERROR(__xludf.DUMMYFUNCTION("""COMPUTED_VALUE"""),"CALI")</f>
        <v>CALI</v>
      </c>
      <c r="D4077" s="15" t="str">
        <f>IFERROR(__xludf.DUMMYFUNCTION("""COMPUTED_VALUE"""),"BOGOTÁ")</f>
        <v>BOGOTÁ</v>
      </c>
      <c r="E4077" s="15" t="str">
        <f>IFERROR(__xludf.DUMMYFUNCTION("""COMPUTED_VALUE"""),"Mochi")</f>
        <v>Mochi</v>
      </c>
      <c r="F4077" s="17" t="str">
        <f>IFERROR(__xludf.DUMMYFUNCTION("""COMPUTED_VALUE"""),"Cl. 15 Nte. #9n-16, Granada, Cali, Valle del CaucaCl. 15 Nte. #9n-16, Granada, Cali, Valle del Cauca / Cl. 15 Nte. #9n-16, Granada, Cali, Valle del Cauca / Cl. 15 Nte. #9n-16, Granada, Cali, Valle del Cauca")</f>
        <v>Cl. 15 Nte. #9n-16, Granada, Cali, Valle del CaucaCl. 15 Nte. #9n-16, Granada, Cali, Valle del Cauca / Cl. 15 Nte. #9n-16, Granada, Cali, Valle del Cauca / Cl. 15 Nte. #9n-16, Granada, Cali, Valle del Cauca</v>
      </c>
      <c r="G4077" s="15" t="str">
        <f>IFERROR(__xludf.DUMMYFUNCTION("""COMPUTED_VALUE"""),"estefania")</f>
        <v>estefania</v>
      </c>
      <c r="H4077" s="16">
        <f>IFERROR(__xludf.DUMMYFUNCTION("""COMPUTED_VALUE"""),12646.0)</f>
        <v>12646</v>
      </c>
      <c r="I4077" s="18">
        <f>IFERROR(__xludf.DUMMYFUNCTION("""COMPUTED_VALUE"""),100.0)</f>
        <v>100</v>
      </c>
      <c r="J4077" s="18">
        <f>IFERROR(__xludf.DUMMYFUNCTION("""COMPUTED_VALUE"""),100.0)</f>
        <v>100</v>
      </c>
      <c r="K4077" s="18">
        <f>IFERROR(__xludf.DUMMYFUNCTION("""COMPUTED_VALUE"""),100.0)</f>
        <v>100</v>
      </c>
      <c r="L4077" s="17">
        <f>IFERROR(__xludf.DUMMYFUNCTION("""COMPUTED_VALUE"""),3.183028598E9)</f>
        <v>3183028598</v>
      </c>
      <c r="M4077" s="17" t="str">
        <f>IFERROR(__xludf.DUMMYFUNCTION("""COMPUTED_VALUE"""),"#REF!")</f>
        <v>#REF!</v>
      </c>
      <c r="N4077" s="17"/>
      <c r="O4077" s="17"/>
      <c r="P4077" s="17" t="b">
        <f>IFERROR(__xludf.DUMMYFUNCTION("""COMPUTED_VALUE"""),TRUE)</f>
        <v>1</v>
      </c>
      <c r="Q4077" s="20">
        <f>IFERROR(__xludf.DUMMYFUNCTION("""COMPUTED_VALUE"""),45120.72223489583)</f>
        <v>45120.72223</v>
      </c>
      <c r="R4077" s="22" t="str">
        <f>IFERROR(__xludf.DUMMYFUNCTION("""COMPUTED_VALUE"""),"")</f>
        <v/>
      </c>
    </row>
    <row r="4078">
      <c r="A4078" s="15">
        <f>IFERROR(__xludf.DUMMYFUNCTION("""COMPUTED_VALUE"""),45119.0)</f>
        <v>45119</v>
      </c>
      <c r="B4078" s="16" t="str">
        <f>IFERROR(__xludf.DUMMYFUNCTION("""COMPUTED_VALUE"""),"Johan Alexander Escobar Arroyo ")</f>
        <v>Johan Alexander Escobar Arroyo </v>
      </c>
      <c r="C4078" s="15" t="str">
        <f>IFERROR(__xludf.DUMMYFUNCTION("""COMPUTED_VALUE"""),"CALI")</f>
        <v>CALI</v>
      </c>
      <c r="D4078" s="15" t="str">
        <f>IFERROR(__xludf.DUMMYFUNCTION("""COMPUTED_VALUE"""),"MEDELLÍN")</f>
        <v>MEDELLÍN</v>
      </c>
      <c r="E4078" s="15" t="str">
        <f>IFERROR(__xludf.DUMMYFUNCTION("""COMPUTED_VALUE"""),"AREPAS LA MARY")</f>
        <v>AREPAS LA MARY</v>
      </c>
      <c r="F4078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4078" s="15" t="str">
        <f>IFERROR(__xludf.DUMMYFUNCTION("""COMPUTED_VALUE"""),"VITALFINESS CALI")</f>
        <v>VITALFINESS CALI</v>
      </c>
      <c r="H4078" s="16">
        <f>IFERROR(__xludf.DUMMYFUNCTION("""COMPUTED_VALUE"""),12524.0)</f>
        <v>12524</v>
      </c>
      <c r="I4078" s="18">
        <f>IFERROR(__xludf.DUMMYFUNCTION("""COMPUTED_VALUE"""),89.0)</f>
        <v>89</v>
      </c>
      <c r="J4078" s="18">
        <f>IFERROR(__xludf.DUMMYFUNCTION("""COMPUTED_VALUE"""),1.0)</f>
        <v>1</v>
      </c>
      <c r="K4078" s="18">
        <f>IFERROR(__xludf.DUMMYFUNCTION("""COMPUTED_VALUE"""),10.0)</f>
        <v>10</v>
      </c>
      <c r="L4078" s="17">
        <f>IFERROR(__xludf.DUMMYFUNCTION("""COMPUTED_VALUE"""),3.226925759E9)</f>
        <v>3226925759</v>
      </c>
      <c r="M4078" s="17" t="str">
        <f>IFERROR(__xludf.DUMMYFUNCTION("""COMPUTED_VALUE"""),"#REF!")</f>
        <v>#REF!</v>
      </c>
      <c r="N4078" s="17"/>
      <c r="O4078" s="17"/>
      <c r="P4078" s="17" t="b">
        <f>IFERROR(__xludf.DUMMYFUNCTION("""COMPUTED_VALUE"""),TRUE)</f>
        <v>1</v>
      </c>
      <c r="Q4078" s="20">
        <f>IFERROR(__xludf.DUMMYFUNCTION("""COMPUTED_VALUE"""),45120.599991875)</f>
        <v>45120.59999</v>
      </c>
      <c r="R4078" s="22" t="str">
        <f>IFERROR(__xludf.DUMMYFUNCTION("""COMPUTED_VALUE"""),"")</f>
        <v/>
      </c>
    </row>
    <row r="4079">
      <c r="A4079" s="15">
        <f>IFERROR(__xludf.DUMMYFUNCTION("""COMPUTED_VALUE"""),45119.0)</f>
        <v>45119</v>
      </c>
      <c r="B4079" s="16" t="str">
        <f>IFERROR(__xludf.DUMMYFUNCTION("""COMPUTED_VALUE"""),"Johan Alexander Escobar Arroyo ")</f>
        <v>Johan Alexander Escobar Arroyo </v>
      </c>
      <c r="C4079" s="15" t="str">
        <f>IFERROR(__xludf.DUMMYFUNCTION("""COMPUTED_VALUE"""),"CALI")</f>
        <v>CALI</v>
      </c>
      <c r="D4079" s="15" t="str">
        <f>IFERROR(__xludf.DUMMYFUNCTION("""COMPUTED_VALUE"""),"MEDELLÍN")</f>
        <v>MEDELLÍN</v>
      </c>
      <c r="E4079" s="15" t="str">
        <f>IFERROR(__xludf.DUMMYFUNCTION("""COMPUTED_VALUE"""),"Baby Chef")</f>
        <v>Baby Chef</v>
      </c>
      <c r="F4079" s="17" t="str">
        <f>IFERROR(__xludf.DUMMYFUNCTION("""COMPUTED_VALUE"""),"Carrera 103 # 11-40  Sendero del Polo club casa P1 Barrio Ciudad Jardín / Carrera 103 # 11-40  Sendero del Polo club casa P1 Barrio Ciudad Jardín / Carrera 103 # 11-40  Sendero del Polo club casa P1 Barrio Ciudad Jardín")</f>
        <v>Carrera 103 # 11-40  Sendero del Polo club casa P1 Barrio Ciudad Jardín / Carrera 103 # 11-40  Sendero del Polo club casa P1 Barrio Ciudad Jardín / Carrera 103 # 11-40  Sendero del Polo club casa P1 Barrio Ciudad Jardín</v>
      </c>
      <c r="G4079" s="15" t="str">
        <f>IFERROR(__xludf.DUMMYFUNCTION("""COMPUTED_VALUE"""),"Johanna Rojas")</f>
        <v>Johanna Rojas</v>
      </c>
      <c r="H4079" s="16">
        <f>IFERROR(__xludf.DUMMYFUNCTION("""COMPUTED_VALUE"""),12644.0)</f>
        <v>12644</v>
      </c>
      <c r="I4079" s="18">
        <f>IFERROR(__xludf.DUMMYFUNCTION("""COMPUTED_VALUE"""),8.0)</f>
        <v>8</v>
      </c>
      <c r="J4079" s="18">
        <f>IFERROR(__xludf.DUMMYFUNCTION("""COMPUTED_VALUE"""),16.0)</f>
        <v>16</v>
      </c>
      <c r="K4079" s="18">
        <f>IFERROR(__xludf.DUMMYFUNCTION("""COMPUTED_VALUE"""),20.0)</f>
        <v>20</v>
      </c>
      <c r="L4079" s="17">
        <f>IFERROR(__xludf.DUMMYFUNCTION("""COMPUTED_VALUE"""),3.183307191E9)</f>
        <v>3183307191</v>
      </c>
      <c r="M4079" s="17" t="str">
        <f>IFERROR(__xludf.DUMMYFUNCTION("""COMPUTED_VALUE"""),"#REF!")</f>
        <v>#REF!</v>
      </c>
      <c r="N4079" s="17"/>
      <c r="O4079" s="17"/>
      <c r="P4079" s="17" t="b">
        <f>IFERROR(__xludf.DUMMYFUNCTION("""COMPUTED_VALUE"""),TRUE)</f>
        <v>1</v>
      </c>
      <c r="Q4079" s="20">
        <f>IFERROR(__xludf.DUMMYFUNCTION("""COMPUTED_VALUE"""),45120.599991875)</f>
        <v>45120.59999</v>
      </c>
      <c r="R4079" s="21" t="str">
        <f>IFERROR(__xludf.DUMMYFUNCTION("""COMPUTED_VALUE"""),"https://drive.google.com/file/d/1PADGNEKczfxd5rN5BAsfHU_RY979E8fq/view?usp=drivesdk")</f>
        <v>https://drive.google.com/file/d/1PADGNEKczfxd5rN5BAsfHU_RY979E8fq/view?usp=drivesdk</v>
      </c>
    </row>
    <row r="4080">
      <c r="A4080" s="15">
        <f>IFERROR(__xludf.DUMMYFUNCTION("""COMPUTED_VALUE"""),45119.0)</f>
        <v>45119</v>
      </c>
      <c r="B4080" s="16" t="str">
        <f>IFERROR(__xludf.DUMMYFUNCTION("""COMPUTED_VALUE"""),"Johan Alexander Escobar Arroyo ")</f>
        <v>Johan Alexander Escobar Arroyo </v>
      </c>
      <c r="C4080" s="15" t="str">
        <f>IFERROR(__xludf.DUMMYFUNCTION("""COMPUTED_VALUE"""),"CALI")</f>
        <v>CALI</v>
      </c>
      <c r="D4080" s="15" t="str">
        <f>IFERROR(__xludf.DUMMYFUNCTION("""COMPUTED_VALUE"""),"MEDELLÍN")</f>
        <v>MEDELLÍN</v>
      </c>
      <c r="E4080" s="15" t="str">
        <f>IFERROR(__xludf.DUMMYFUNCTION("""COMPUTED_VALUE"""),"Baby Chef")</f>
        <v>Baby Chef</v>
      </c>
      <c r="F4080" s="17" t="str">
        <f>IFERROR(__xludf.DUMMYFUNCTION("""COMPUTED_VALUE"""),"Cra 68 # 16-07 Apto. 204E Portón de Asturias  B/ La Hacienda / Cra 68 # 16-07 Apto. 204E Portón de Asturias  B/ La Hacienda / Cra 68 # 16-07 Apto. 204E Portón de Asturias  B/ La Hacienda")</f>
        <v>Cra 68 # 16-07 Apto. 204E Portón de Asturias  B/ La Hacienda / Cra 68 # 16-07 Apto. 204E Portón de Asturias  B/ La Hacienda / Cra 68 # 16-07 Apto. 204E Portón de Asturias  B/ La Hacienda</v>
      </c>
      <c r="G4080" s="15" t="str">
        <f>IFERROR(__xludf.DUMMYFUNCTION("""COMPUTED_VALUE"""),"Silvia Narvaez")</f>
        <v>Silvia Narvaez</v>
      </c>
      <c r="H4080" s="16">
        <f>IFERROR(__xludf.DUMMYFUNCTION("""COMPUTED_VALUE"""),12643.0)</f>
        <v>12643</v>
      </c>
      <c r="I4080" s="18">
        <f>IFERROR(__xludf.DUMMYFUNCTION("""COMPUTED_VALUE"""),8.0)</f>
        <v>8</v>
      </c>
      <c r="J4080" s="18">
        <f>IFERROR(__xludf.DUMMYFUNCTION("""COMPUTED_VALUE"""),16.0)</f>
        <v>16</v>
      </c>
      <c r="K4080" s="18">
        <f>IFERROR(__xludf.DUMMYFUNCTION("""COMPUTED_VALUE"""),20.0)</f>
        <v>20</v>
      </c>
      <c r="L4080" s="17">
        <f>IFERROR(__xludf.DUMMYFUNCTION("""COMPUTED_VALUE"""),3.173703258E9)</f>
        <v>3173703258</v>
      </c>
      <c r="M4080" s="17" t="str">
        <f>IFERROR(__xludf.DUMMYFUNCTION("""COMPUTED_VALUE"""),"#REF!")</f>
        <v>#REF!</v>
      </c>
      <c r="N4080" s="17"/>
      <c r="O4080" s="17"/>
      <c r="P4080" s="17" t="b">
        <f>IFERROR(__xludf.DUMMYFUNCTION("""COMPUTED_VALUE"""),TRUE)</f>
        <v>1</v>
      </c>
      <c r="Q4080" s="20">
        <f>IFERROR(__xludf.DUMMYFUNCTION("""COMPUTED_VALUE"""),45120.72292296296)</f>
        <v>45120.72292</v>
      </c>
      <c r="R4080" s="21" t="str">
        <f>IFERROR(__xludf.DUMMYFUNCTION("""COMPUTED_VALUE"""),"https://drive.google.com/file/d/1OrWXJ5aE0_c7CFp-F6_3oxcMCMr3mYAT/view?usp=drivesdk")</f>
        <v>https://drive.google.com/file/d/1OrWXJ5aE0_c7CFp-F6_3oxcMCMr3mYAT/view?usp=drivesdk</v>
      </c>
    </row>
    <row r="4081">
      <c r="A4081" s="15">
        <f>IFERROR(__xludf.DUMMYFUNCTION("""COMPUTED_VALUE"""),45119.0)</f>
        <v>45119</v>
      </c>
      <c r="B4081" s="16" t="str">
        <f>IFERROR(__xludf.DUMMYFUNCTION("""COMPUTED_VALUE"""),"Johan Alexander Escobar Arroyo ")</f>
        <v>Johan Alexander Escobar Arroyo </v>
      </c>
      <c r="C4081" s="15" t="str">
        <f>IFERROR(__xludf.DUMMYFUNCTION("""COMPUTED_VALUE"""),"CALI")</f>
        <v>CALI</v>
      </c>
      <c r="D4081" s="15" t="str">
        <f>IFERROR(__xludf.DUMMYFUNCTION("""COMPUTED_VALUE"""),"MEDELLÍN")</f>
        <v>MEDELLÍN</v>
      </c>
      <c r="E4081" s="15" t="str">
        <f>IFERROR(__xludf.DUMMYFUNCTION("""COMPUTED_VALUE"""),"JD Bufala")</f>
        <v>JD Bufala</v>
      </c>
      <c r="F4081" s="17" t="str">
        <f>IFERROR(__xludf.DUMMYFUNCTION("""COMPUTED_VALUE"""),"Calle 51norte # 4 BN 72 / Delhuertopizzeria  / La flora")</f>
        <v>Calle 51norte # 4 BN 72 / Delhuertopizzeria  / La flora</v>
      </c>
      <c r="G4081" s="15" t="str">
        <f>IFERROR(__xludf.DUMMYFUNCTION("""COMPUTED_VALUE"""),"Javier Rodríguez")</f>
        <v>Javier Rodríguez</v>
      </c>
      <c r="H4081" s="16">
        <f>IFERROR(__xludf.DUMMYFUNCTION("""COMPUTED_VALUE"""),12633.0)</f>
        <v>12633</v>
      </c>
      <c r="I4081" s="18">
        <f>IFERROR(__xludf.DUMMYFUNCTION("""COMPUTED_VALUE"""),45066.0)</f>
        <v>45066</v>
      </c>
      <c r="J4081" s="18">
        <f>IFERROR(__xludf.DUMMYFUNCTION("""COMPUTED_VALUE"""),28.0)</f>
        <v>28</v>
      </c>
      <c r="K4081" s="18">
        <f>IFERROR(__xludf.DUMMYFUNCTION("""COMPUTED_VALUE"""),40.0)</f>
        <v>40</v>
      </c>
      <c r="L4081" s="17">
        <f>IFERROR(__xludf.DUMMYFUNCTION("""COMPUTED_VALUE"""),3.104919761E9)</f>
        <v>3104919761</v>
      </c>
      <c r="M4081" s="17" t="str">
        <f>IFERROR(__xludf.DUMMYFUNCTION("""COMPUTED_VALUE"""),"#REF!")</f>
        <v>#REF!</v>
      </c>
      <c r="N4081" s="17"/>
      <c r="O4081" s="17"/>
      <c r="P4081" s="17" t="b">
        <f>IFERROR(__xludf.DUMMYFUNCTION("""COMPUTED_VALUE"""),TRUE)</f>
        <v>1</v>
      </c>
      <c r="Q4081" s="20">
        <f>IFERROR(__xludf.DUMMYFUNCTION("""COMPUTED_VALUE"""),45120.72110642361)</f>
        <v>45120.72111</v>
      </c>
      <c r="R4081" s="22" t="str">
        <f>IFERROR(__xludf.DUMMYFUNCTION("""COMPUTED_VALUE"""),"")</f>
        <v/>
      </c>
    </row>
    <row r="4082">
      <c r="A4082" s="17" t="str">
        <f>IFERROR(__xludf.DUMMYFUNCTION("""COMPUTED_VALUE"""),"")</f>
        <v/>
      </c>
      <c r="B4082" s="17" t="str">
        <f>IFERROR(__xludf.DUMMYFUNCTION("""COMPUTED_VALUE"""),"")</f>
        <v/>
      </c>
      <c r="C4082" s="17" t="str">
        <f>IFERROR(__xludf.DUMMYFUNCTION("""COMPUTED_VALUE"""),"")</f>
        <v/>
      </c>
      <c r="D4082" s="17" t="str">
        <f>IFERROR(__xludf.DUMMYFUNCTION("""COMPUTED_VALUE"""),"")</f>
        <v/>
      </c>
      <c r="E4082" s="17" t="str">
        <f>IFERROR(__xludf.DUMMYFUNCTION("""COMPUTED_VALUE"""),"")</f>
        <v/>
      </c>
      <c r="F4082" s="17" t="str">
        <f>IFERROR(__xludf.DUMMYFUNCTION("""COMPUTED_VALUE"""),"")</f>
        <v/>
      </c>
      <c r="G4082" s="17" t="str">
        <f>IFERROR(__xludf.DUMMYFUNCTION("""COMPUTED_VALUE"""),"")</f>
        <v/>
      </c>
      <c r="H4082" s="17" t="str">
        <f>IFERROR(__xludf.DUMMYFUNCTION("""COMPUTED_VALUE"""),"")</f>
        <v/>
      </c>
      <c r="I4082" s="17" t="str">
        <f>IFERROR(__xludf.DUMMYFUNCTION("""COMPUTED_VALUE"""),"")</f>
        <v/>
      </c>
      <c r="J4082" s="17" t="str">
        <f>IFERROR(__xludf.DUMMYFUNCTION("""COMPUTED_VALUE"""),"")</f>
        <v/>
      </c>
      <c r="K4082" s="17" t="str">
        <f>IFERROR(__xludf.DUMMYFUNCTION("""COMPUTED_VALUE"""),"")</f>
        <v/>
      </c>
      <c r="L4082" s="17" t="str">
        <f>IFERROR(__xludf.DUMMYFUNCTION("""COMPUTED_VALUE"""),"")</f>
        <v/>
      </c>
      <c r="M4082" s="17" t="str">
        <f>IFERROR(__xludf.DUMMYFUNCTION("""COMPUTED_VALUE"""),"")</f>
        <v/>
      </c>
      <c r="N4082" s="17" t="str">
        <f>IFERROR(__xludf.DUMMYFUNCTION("""COMPUTED_VALUE"""),"")</f>
        <v/>
      </c>
      <c r="O4082" s="17" t="str">
        <f>IFERROR(__xludf.DUMMYFUNCTION("""COMPUTED_VALUE"""),"")</f>
        <v/>
      </c>
      <c r="P4082" s="17" t="str">
        <f>IFERROR(__xludf.DUMMYFUNCTION("""COMPUTED_VALUE"""),"")</f>
        <v/>
      </c>
      <c r="Q4082" s="17" t="str">
        <f>IFERROR(__xludf.DUMMYFUNCTION("""COMPUTED_VALUE"""),"")</f>
        <v/>
      </c>
      <c r="R4082" s="17" t="str">
        <f>IFERROR(__xludf.DUMMYFUNCTION("""COMPUTED_VALUE"""),"")</f>
        <v/>
      </c>
    </row>
    <row r="4083">
      <c r="A4083" s="15">
        <f>IFERROR(__xludf.DUMMYFUNCTION("""COMPUTED_VALUE"""),45120.0)</f>
        <v>45120</v>
      </c>
      <c r="B4083" s="17"/>
      <c r="C4083" s="15" t="str">
        <f>IFERROR(__xludf.DUMMYFUNCTION("""COMPUTED_VALUE"""),"MEDELLÍN")</f>
        <v>MEDELLÍN</v>
      </c>
      <c r="D4083" s="15" t="str">
        <f>IFERROR(__xludf.DUMMYFUNCTION("""COMPUTED_VALUE"""),"BOGOTÁ")</f>
        <v>BOGOTÁ</v>
      </c>
      <c r="E4083" s="15" t="str">
        <f>IFERROR(__xludf.DUMMYFUNCTION("""COMPUTED_VALUE"""),"Viral Brands")</f>
        <v>Viral Brands</v>
      </c>
      <c r="F4083" s="17" t="str">
        <f>IFERROR(__xludf.DUMMYFUNCTION("""COMPUTED_VALUE"""),"Calle 1 sur # 29-354 / Cocina de chuzales y min burger  / Poblado, loma de los parra, al lado de rappi turbo")</f>
        <v>Calle 1 sur # 29-354 / Cocina de chuzales y min burger  / Poblado, loma de los parra, al lado de rappi turbo</v>
      </c>
      <c r="G4083" s="15" t="str">
        <f>IFERROR(__xludf.DUMMYFUNCTION("""COMPUTED_VALUE"""),"Carlos Olivero")</f>
        <v>Carlos Olivero</v>
      </c>
      <c r="H4083" s="16">
        <f>IFERROR(__xludf.DUMMYFUNCTION("""COMPUTED_VALUE"""),12675.0)</f>
        <v>12675</v>
      </c>
      <c r="I4083" s="18">
        <f>IFERROR(__xludf.DUMMYFUNCTION("""COMPUTED_VALUE"""),29.0)</f>
        <v>29</v>
      </c>
      <c r="J4083" s="18">
        <f>IFERROR(__xludf.DUMMYFUNCTION("""COMPUTED_VALUE"""),55.0)</f>
        <v>55</v>
      </c>
      <c r="K4083" s="18">
        <f>IFERROR(__xludf.DUMMYFUNCTION("""COMPUTED_VALUE"""),45.0)</f>
        <v>45</v>
      </c>
      <c r="L4083" s="17">
        <f>IFERROR(__xludf.DUMMYFUNCTION("""COMPUTED_VALUE"""),3.053460624E9)</f>
        <v>3053460624</v>
      </c>
      <c r="M4083" s="17" t="str">
        <f>IFERROR(__xludf.DUMMYFUNCTION("""COMPUTED_VALUE"""),"#REF!")</f>
        <v>#REF!</v>
      </c>
      <c r="N4083" s="17"/>
      <c r="O4083" s="17"/>
      <c r="P4083" s="17" t="b">
        <f>IFERROR(__xludf.DUMMYFUNCTION("""COMPUTED_VALUE"""),TRUE)</f>
        <v>1</v>
      </c>
      <c r="Q4083" s="20">
        <f>IFERROR(__xludf.DUMMYFUNCTION("""COMPUTED_VALUE"""),45120.599991875)</f>
        <v>45120.59999</v>
      </c>
      <c r="R4083" s="21" t="str">
        <f>IFERROR(__xludf.DUMMYFUNCTION("""COMPUTED_VALUE"""),"https://drive.google.com/file/d/1z937nCQvkPg7NBZAqpghGSWH77s-Fb3N/view?usp=drivesdk")</f>
        <v>https://drive.google.com/file/d/1z937nCQvkPg7NBZAqpghGSWH77s-Fb3N/view?usp=drivesdk</v>
      </c>
    </row>
    <row r="4084">
      <c r="A4084" s="17" t="str">
        <f>IFERROR(__xludf.DUMMYFUNCTION("""COMPUTED_VALUE"""),"")</f>
        <v/>
      </c>
      <c r="B4084" s="17" t="str">
        <f>IFERROR(__xludf.DUMMYFUNCTION("""COMPUTED_VALUE"""),"")</f>
        <v/>
      </c>
      <c r="C4084" s="17" t="str">
        <f>IFERROR(__xludf.DUMMYFUNCTION("""COMPUTED_VALUE"""),"")</f>
        <v/>
      </c>
      <c r="D4084" s="17" t="str">
        <f>IFERROR(__xludf.DUMMYFUNCTION("""COMPUTED_VALUE"""),"")</f>
        <v/>
      </c>
      <c r="E4084" s="17" t="str">
        <f>IFERROR(__xludf.DUMMYFUNCTION("""COMPUTED_VALUE"""),"")</f>
        <v/>
      </c>
      <c r="F4084" s="17" t="str">
        <f>IFERROR(__xludf.DUMMYFUNCTION("""COMPUTED_VALUE"""),"")</f>
        <v/>
      </c>
      <c r="G4084" s="17" t="str">
        <f>IFERROR(__xludf.DUMMYFUNCTION("""COMPUTED_VALUE"""),"")</f>
        <v/>
      </c>
      <c r="H4084" s="17" t="str">
        <f>IFERROR(__xludf.DUMMYFUNCTION("""COMPUTED_VALUE"""),"")</f>
        <v/>
      </c>
      <c r="I4084" s="17" t="str">
        <f>IFERROR(__xludf.DUMMYFUNCTION("""COMPUTED_VALUE"""),"")</f>
        <v/>
      </c>
      <c r="J4084" s="17" t="str">
        <f>IFERROR(__xludf.DUMMYFUNCTION("""COMPUTED_VALUE"""),"")</f>
        <v/>
      </c>
      <c r="K4084" s="17" t="str">
        <f>IFERROR(__xludf.DUMMYFUNCTION("""COMPUTED_VALUE"""),"")</f>
        <v/>
      </c>
      <c r="L4084" s="17" t="str">
        <f>IFERROR(__xludf.DUMMYFUNCTION("""COMPUTED_VALUE"""),"")</f>
        <v/>
      </c>
      <c r="M4084" s="17" t="str">
        <f>IFERROR(__xludf.DUMMYFUNCTION("""COMPUTED_VALUE"""),"")</f>
        <v/>
      </c>
      <c r="N4084" s="17" t="str">
        <f>IFERROR(__xludf.DUMMYFUNCTION("""COMPUTED_VALUE"""),"")</f>
        <v/>
      </c>
      <c r="O4084" s="17" t="str">
        <f>IFERROR(__xludf.DUMMYFUNCTION("""COMPUTED_VALUE"""),"")</f>
        <v/>
      </c>
      <c r="P4084" s="17" t="str">
        <f>IFERROR(__xludf.DUMMYFUNCTION("""COMPUTED_VALUE"""),"")</f>
        <v/>
      </c>
      <c r="Q4084" s="17" t="str">
        <f>IFERROR(__xludf.DUMMYFUNCTION("""COMPUTED_VALUE"""),"")</f>
        <v/>
      </c>
      <c r="R4084" s="17" t="str">
        <f>IFERROR(__xludf.DUMMYFUNCTION("""COMPUTED_VALUE"""),"")</f>
        <v/>
      </c>
    </row>
    <row r="4085">
      <c r="A4085" s="15">
        <f>IFERROR(__xludf.DUMMYFUNCTION("""COMPUTED_VALUE"""),45120.0)</f>
        <v>45120</v>
      </c>
      <c r="B4085" s="16" t="str">
        <f>IFERROR(__xludf.DUMMYFUNCTION("""COMPUTED_VALUE"""),"Cesar Barrios")</f>
        <v>Cesar Barrios</v>
      </c>
      <c r="C4085" s="15" t="str">
        <f>IFERROR(__xludf.DUMMYFUNCTION("""COMPUTED_VALUE"""),"BOGOTÁ")</f>
        <v>BOGOTÁ</v>
      </c>
      <c r="D4085" s="15" t="str">
        <f>IFERROR(__xludf.DUMMYFUNCTION("""COMPUTED_VALUE"""),"CALI")</f>
        <v>CALI</v>
      </c>
      <c r="E4085" s="15" t="str">
        <f>IFERROR(__xludf.DUMMYFUNCTION("""COMPUTED_VALUE"""),"Natalia Carreño")</f>
        <v>Natalia Carreño</v>
      </c>
      <c r="F4085" s="17" t="str">
        <f>IFERROR(__xludf.DUMMYFUNCTION("""COMPUTED_VALUE"""),"Cra 27 no 70 -83 / Casa cueuba demente aguardienteria / Barrio alcazares")</f>
        <v>Cra 27 no 70 -83 / Casa cueuba demente aguardienteria / Barrio alcazares</v>
      </c>
      <c r="G4085" s="15" t="str">
        <f>IFERROR(__xludf.DUMMYFUNCTION("""COMPUTED_VALUE"""),"Natalia carreno")</f>
        <v>Natalia carreno</v>
      </c>
      <c r="H4085" s="16">
        <f>IFERROR(__xludf.DUMMYFUNCTION("""COMPUTED_VALUE"""),12550.0)</f>
        <v>12550</v>
      </c>
      <c r="I4085" s="18">
        <f>IFERROR(__xludf.DUMMYFUNCTION("""COMPUTED_VALUE"""),40.0)</f>
        <v>40</v>
      </c>
      <c r="J4085" s="18">
        <f>IFERROR(__xludf.DUMMYFUNCTION("""COMPUTED_VALUE"""),40.0)</f>
        <v>40</v>
      </c>
      <c r="K4085" s="18">
        <f>IFERROR(__xludf.DUMMYFUNCTION("""COMPUTED_VALUE"""),60.0)</f>
        <v>60</v>
      </c>
      <c r="L4085" s="17">
        <f>IFERROR(__xludf.DUMMYFUNCTION("""COMPUTED_VALUE"""),3.11561131E9)</f>
        <v>3115611310</v>
      </c>
      <c r="M4085" s="17" t="str">
        <f>IFERROR(__xludf.DUMMYFUNCTION("""COMPUTED_VALUE"""),"#REF!")</f>
        <v>#REF!</v>
      </c>
      <c r="N4085" s="17"/>
      <c r="O4085" s="17"/>
      <c r="P4085" s="17" t="b">
        <f>IFERROR(__xludf.DUMMYFUNCTION("""COMPUTED_VALUE"""),FALSE)</f>
        <v>0</v>
      </c>
      <c r="Q4085" s="20" t="str">
        <f>IFERROR(__xludf.DUMMYFUNCTION("""COMPUTED_VALUE"""),"")</f>
        <v/>
      </c>
      <c r="R4085" s="21" t="str">
        <f>IFERROR(__xludf.DUMMYFUNCTION("""COMPUTED_VALUE"""),"https://drive.google.com/file/d/1i6UnZdf2HsKxOjMZkzIX-vo_iCBZkNua/view?usp=drivesdk")</f>
        <v>https://drive.google.com/file/d/1i6UnZdf2HsKxOjMZkzIX-vo_iCBZkNua/view?usp=drivesdk</v>
      </c>
    </row>
    <row r="4086">
      <c r="A4086" s="15">
        <f>IFERROR(__xludf.DUMMYFUNCTION("""COMPUTED_VALUE"""),45120.0)</f>
        <v>45120</v>
      </c>
      <c r="B4086" s="16" t="str">
        <f>IFERROR(__xludf.DUMMYFUNCTION("""COMPUTED_VALUE"""),"Cesar Barrios")</f>
        <v>Cesar Barrios</v>
      </c>
      <c r="C4086" s="15" t="str">
        <f>IFERROR(__xludf.DUMMYFUNCTION("""COMPUTED_VALUE"""),"BOGOTÁ")</f>
        <v>BOGOTÁ</v>
      </c>
      <c r="D4086" s="15" t="str">
        <f>IFERROR(__xludf.DUMMYFUNCTION("""COMPUTED_VALUE"""),"MEDELLÍN")</f>
        <v>MEDELLÍN</v>
      </c>
      <c r="E4086" s="15" t="str">
        <f>IFERROR(__xludf.DUMMYFUNCTION("""COMPUTED_VALUE"""),"Puro Verde")</f>
        <v>Puro Verde</v>
      </c>
      <c r="F4086" s="17" t="str">
        <f>IFERROR(__xludf.DUMMYFUNCTION("""COMPUTED_VALUE"""),"CRA 16A # 77-23.  / LOCAL 4 / BARRIO CHICO")</f>
        <v>CRA 16A # 77-23.  / LOCAL 4 / BARRIO CHICO</v>
      </c>
      <c r="G4086" s="15" t="str">
        <f>IFERROR(__xludf.DUMMYFUNCTION("""COMPUTED_VALUE"""),"DANDO CUERDA")</f>
        <v>DANDO CUERDA</v>
      </c>
      <c r="H4086" s="16">
        <f>IFERROR(__xludf.DUMMYFUNCTION("""COMPUTED_VALUE"""),12676.0)</f>
        <v>12676</v>
      </c>
      <c r="I4086" s="18">
        <f>IFERROR(__xludf.DUMMYFUNCTION("""COMPUTED_VALUE"""),67.0)</f>
        <v>67</v>
      </c>
      <c r="J4086" s="18">
        <f>IFERROR(__xludf.DUMMYFUNCTION("""COMPUTED_VALUE"""),65.0)</f>
        <v>65</v>
      </c>
      <c r="K4086" s="18">
        <f>IFERROR(__xludf.DUMMYFUNCTION("""COMPUTED_VALUE"""),55.0)</f>
        <v>55</v>
      </c>
      <c r="L4086" s="17">
        <f>IFERROR(__xludf.DUMMYFUNCTION("""COMPUTED_VALUE"""),3.163816691E9)</f>
        <v>3163816691</v>
      </c>
      <c r="M4086" s="17" t="str">
        <f>IFERROR(__xludf.DUMMYFUNCTION("""COMPUTED_VALUE"""),"#REF!")</f>
        <v>#REF!</v>
      </c>
      <c r="N4086" s="17"/>
      <c r="O4086" s="17"/>
      <c r="P4086" s="17" t="b">
        <f>IFERROR(__xludf.DUMMYFUNCTION("""COMPUTED_VALUE"""),TRUE)</f>
        <v>1</v>
      </c>
      <c r="Q4086" s="20">
        <f>IFERROR(__xludf.DUMMYFUNCTION("""COMPUTED_VALUE"""),45120.60091784722)</f>
        <v>45120.60092</v>
      </c>
      <c r="R4086" s="22" t="str">
        <f>IFERROR(__xludf.DUMMYFUNCTION("""COMPUTED_VALUE"""),"")</f>
        <v/>
      </c>
    </row>
    <row r="4087">
      <c r="A4087" s="17" t="str">
        <f>IFERROR(__xludf.DUMMYFUNCTION("""COMPUTED_VALUE"""),"")</f>
        <v/>
      </c>
      <c r="B4087" s="17" t="str">
        <f>IFERROR(__xludf.DUMMYFUNCTION("""COMPUTED_VALUE"""),"")</f>
        <v/>
      </c>
      <c r="C4087" s="17" t="str">
        <f>IFERROR(__xludf.DUMMYFUNCTION("""COMPUTED_VALUE"""),"")</f>
        <v/>
      </c>
      <c r="D4087" s="17" t="str">
        <f>IFERROR(__xludf.DUMMYFUNCTION("""COMPUTED_VALUE"""),"")</f>
        <v/>
      </c>
      <c r="E4087" s="17" t="str">
        <f>IFERROR(__xludf.DUMMYFUNCTION("""COMPUTED_VALUE"""),"")</f>
        <v/>
      </c>
      <c r="F4087" s="17" t="str">
        <f>IFERROR(__xludf.DUMMYFUNCTION("""COMPUTED_VALUE"""),"")</f>
        <v/>
      </c>
      <c r="G4087" s="17" t="str">
        <f>IFERROR(__xludf.DUMMYFUNCTION("""COMPUTED_VALUE"""),"")</f>
        <v/>
      </c>
      <c r="H4087" s="17" t="str">
        <f>IFERROR(__xludf.DUMMYFUNCTION("""COMPUTED_VALUE"""),"")</f>
        <v/>
      </c>
      <c r="I4087" s="17" t="str">
        <f>IFERROR(__xludf.DUMMYFUNCTION("""COMPUTED_VALUE"""),"")</f>
        <v/>
      </c>
      <c r="J4087" s="17" t="str">
        <f>IFERROR(__xludf.DUMMYFUNCTION("""COMPUTED_VALUE"""),"")</f>
        <v/>
      </c>
      <c r="K4087" s="17" t="str">
        <f>IFERROR(__xludf.DUMMYFUNCTION("""COMPUTED_VALUE"""),"")</f>
        <v/>
      </c>
      <c r="L4087" s="17" t="str">
        <f>IFERROR(__xludf.DUMMYFUNCTION("""COMPUTED_VALUE"""),"")</f>
        <v/>
      </c>
      <c r="M4087" s="17" t="str">
        <f>IFERROR(__xludf.DUMMYFUNCTION("""COMPUTED_VALUE"""),"")</f>
        <v/>
      </c>
      <c r="N4087" s="17" t="str">
        <f>IFERROR(__xludf.DUMMYFUNCTION("""COMPUTED_VALUE"""),"")</f>
        <v/>
      </c>
      <c r="O4087" s="17" t="str">
        <f>IFERROR(__xludf.DUMMYFUNCTION("""COMPUTED_VALUE"""),"")</f>
        <v/>
      </c>
      <c r="P4087" s="17" t="str">
        <f>IFERROR(__xludf.DUMMYFUNCTION("""COMPUTED_VALUE"""),"")</f>
        <v/>
      </c>
      <c r="Q4087" s="17" t="str">
        <f>IFERROR(__xludf.DUMMYFUNCTION("""COMPUTED_VALUE"""),"")</f>
        <v/>
      </c>
      <c r="R4087" s="17" t="str">
        <f>IFERROR(__xludf.DUMMYFUNCTION("""COMPUTED_VALUE"""),"")</f>
        <v/>
      </c>
    </row>
    <row r="4088">
      <c r="A4088" s="15">
        <f>IFERROR(__xludf.DUMMYFUNCTION("""COMPUTED_VALUE"""),45120.0)</f>
        <v>45120</v>
      </c>
      <c r="B4088" s="16" t="str">
        <f>IFERROR(__xludf.DUMMYFUNCTION("""COMPUTED_VALUE"""),"Envia")</f>
        <v>Envia</v>
      </c>
      <c r="C4088" s="15" t="str">
        <f>IFERROR(__xludf.DUMMYFUNCTION("""COMPUTED_VALUE"""),"BARRANQUILLA")</f>
        <v>BARRANQUILLA</v>
      </c>
      <c r="D4088" s="15" t="str">
        <f>IFERROR(__xludf.DUMMYFUNCTION("""COMPUTED_VALUE"""),"BOGOTÁ")</f>
        <v>BOGOTÁ</v>
      </c>
      <c r="E4088" s="15" t="str">
        <f>IFERROR(__xludf.DUMMYFUNCTION("""COMPUTED_VALUE"""),"Mochi")</f>
        <v>Mochi</v>
      </c>
      <c r="F4088" s="17" t="str">
        <f>IFERROR(__xludf.DUMMYFUNCTION("""COMPUTED_VALUE"""),"Cra. 51B #87-50, Riomar, Barra / Cra. 51B #87-50, Riomar, Barra / Cra. 51B #87-50, Riomar, Barra")</f>
        <v>Cra. 51B #87-50, Riomar, Barra / Cra. 51B #87-50, Riomar, Barra / Cra. 51B #87-50, Riomar, Barra</v>
      </c>
      <c r="G4088" s="15" t="str">
        <f>IFERROR(__xludf.DUMMYFUNCTION("""COMPUTED_VALUE"""),"YINNA")</f>
        <v>YINNA</v>
      </c>
      <c r="H4088" s="16">
        <f>IFERROR(__xludf.DUMMYFUNCTION("""COMPUTED_VALUE"""),12709.0)</f>
        <v>12709</v>
      </c>
      <c r="I4088" s="18">
        <f>IFERROR(__xludf.DUMMYFUNCTION("""COMPUTED_VALUE"""),100.0)</f>
        <v>100</v>
      </c>
      <c r="J4088" s="18">
        <f>IFERROR(__xludf.DUMMYFUNCTION("""COMPUTED_VALUE"""),100.0)</f>
        <v>100</v>
      </c>
      <c r="K4088" s="18">
        <f>IFERROR(__xludf.DUMMYFUNCTION("""COMPUTED_VALUE"""),200.0)</f>
        <v>200</v>
      </c>
      <c r="L4088" s="17">
        <f>IFERROR(__xludf.DUMMYFUNCTION("""COMPUTED_VALUE"""),3.216528485E9)</f>
        <v>3216528485</v>
      </c>
      <c r="M4088" s="17" t="str">
        <f>IFERROR(__xludf.DUMMYFUNCTION("""COMPUTED_VALUE"""),"#REF!")</f>
        <v>#REF!</v>
      </c>
      <c r="N4088" s="17"/>
      <c r="O4088" s="17"/>
      <c r="P4088" s="17" t="b">
        <f>IFERROR(__xludf.DUMMYFUNCTION("""COMPUTED_VALUE"""),TRUE)</f>
        <v>1</v>
      </c>
      <c r="Q4088" s="20">
        <f>IFERROR(__xludf.DUMMYFUNCTION("""COMPUTED_VALUE"""),45120.599991875)</f>
        <v>45120.59999</v>
      </c>
      <c r="R4088" s="22" t="str">
        <f>IFERROR(__xludf.DUMMYFUNCTION("""COMPUTED_VALUE"""),"")</f>
        <v/>
      </c>
    </row>
    <row r="4089">
      <c r="A4089" s="15">
        <f>IFERROR(__xludf.DUMMYFUNCTION("""COMPUTED_VALUE"""),45120.0)</f>
        <v>45120</v>
      </c>
      <c r="B4089" s="16" t="str">
        <f>IFERROR(__xludf.DUMMYFUNCTION("""COMPUTED_VALUE"""),"Envia")</f>
        <v>Envia</v>
      </c>
      <c r="C4089" s="15" t="str">
        <f>IFERROR(__xludf.DUMMYFUNCTION("""COMPUTED_VALUE"""),"BARRANQUILLA")</f>
        <v>BARRANQUILLA</v>
      </c>
      <c r="D4089" s="15" t="str">
        <f>IFERROR(__xludf.DUMMYFUNCTION("""COMPUTED_VALUE"""),"BOGOTÁ")</f>
        <v>BOGOTÁ</v>
      </c>
      <c r="E4089" s="15" t="str">
        <f>IFERROR(__xludf.DUMMYFUNCTION("""COMPUTED_VALUE"""),"Ventura Productos Arg")</f>
        <v>Ventura Productos Arg</v>
      </c>
      <c r="F4089" s="17" t="str">
        <f>IFERROR(__xludf.DUMMYFUNCTION("""COMPUTED_VALUE"""),"Cra 51b #79-296, local 4-5, Cafe el Diario / Cafe El Diario")</f>
        <v>Cra 51b #79-296, local 4-5, Cafe el Diario / Cafe El Diario</v>
      </c>
      <c r="G4089" s="15" t="str">
        <f>IFERROR(__xludf.DUMMYFUNCTION("""COMPUTED_VALUE"""),"Felipe Martinez")</f>
        <v>Felipe Martinez</v>
      </c>
      <c r="H4089" s="16">
        <f>IFERROR(__xludf.DUMMYFUNCTION("""COMPUTED_VALUE"""),12619.0)</f>
        <v>12619</v>
      </c>
      <c r="I4089" s="18">
        <f>IFERROR(__xludf.DUMMYFUNCTION("""COMPUTED_VALUE"""),12.0)</f>
        <v>12</v>
      </c>
      <c r="J4089" s="18">
        <f>IFERROR(__xludf.DUMMYFUNCTION("""COMPUTED_VALUE"""),30.0)</f>
        <v>30</v>
      </c>
      <c r="K4089" s="18">
        <f>IFERROR(__xludf.DUMMYFUNCTION("""COMPUTED_VALUE"""),37.0)</f>
        <v>37</v>
      </c>
      <c r="L4089" s="17" t="str">
        <f>IFERROR(__xludf.DUMMYFUNCTION("""COMPUTED_VALUE"""),"301 336 6074")</f>
        <v>301 336 6074</v>
      </c>
      <c r="M4089" s="17" t="str">
        <f>IFERROR(__xludf.DUMMYFUNCTION("""COMPUTED_VALUE"""),"#REF!")</f>
        <v>#REF!</v>
      </c>
      <c r="N4089" s="17"/>
      <c r="O4089" s="17"/>
      <c r="P4089" s="17" t="b">
        <f>IFERROR(__xludf.DUMMYFUNCTION("""COMPUTED_VALUE"""),TRUE)</f>
        <v>1</v>
      </c>
      <c r="Q4089" s="20">
        <f>IFERROR(__xludf.DUMMYFUNCTION("""COMPUTED_VALUE"""),45120.599991875)</f>
        <v>45120.59999</v>
      </c>
      <c r="R4089" s="22" t="str">
        <f>IFERROR(__xludf.DUMMYFUNCTION("""COMPUTED_VALUE"""),"")</f>
        <v/>
      </c>
    </row>
    <row r="4090">
      <c r="A4090" s="15">
        <f>IFERROR(__xludf.DUMMYFUNCTION("""COMPUTED_VALUE"""),45120.0)</f>
        <v>45120</v>
      </c>
      <c r="B4090" s="16" t="str">
        <f>IFERROR(__xludf.DUMMYFUNCTION("""COMPUTED_VALUE"""),"Envia")</f>
        <v>Envia</v>
      </c>
      <c r="C4090" s="15" t="str">
        <f>IFERROR(__xludf.DUMMYFUNCTION("""COMPUTED_VALUE"""),"CARTAGENA")</f>
        <v>CARTAGENA</v>
      </c>
      <c r="D4090" s="15" t="str">
        <f>IFERROR(__xludf.DUMMYFUNCTION("""COMPUTED_VALUE"""),"BOGOTÁ")</f>
        <v>BOGOTÁ</v>
      </c>
      <c r="E4090" s="15" t="str">
        <f>IFERROR(__xludf.DUMMYFUNCTION("""COMPUTED_VALUE"""),"Mochi")</f>
        <v>Mochi</v>
      </c>
      <c r="F4090" s="17" t="str">
        <f>IFERROR(__xludf.DUMMYFUNCTION("""COMPUTED_VALUE"""),"Cra. 11 # 39-21, San Diego, Cartagena de Indias, Provincia de Cartagena, Bolívar / Cra. 11 # 39-21, San Diego, Cartagena de Indias, Provincia de Cartagena, Bolívar / Cra. 11 # 39-21, San Diego, Cartagena de Indias, Provincia de Cartagena, Bolívar")</f>
        <v>Cra. 11 # 39-21, San Diego, Cartagena de Indias, Provincia de Cartagena, Bolívar / Cra. 11 # 39-21, San Diego, Cartagena de Indias, Provincia de Cartagena, Bolívar / Cra. 11 # 39-21, San Diego, Cartagena de Indias, Provincia de Cartagena, Bolívar</v>
      </c>
      <c r="G4090" s="15" t="str">
        <f>IFERROR(__xludf.DUMMYFUNCTION("""COMPUTED_VALUE"""),"JULIEH")</f>
        <v>JULIEH</v>
      </c>
      <c r="H4090" s="16">
        <f>IFERROR(__xludf.DUMMYFUNCTION("""COMPUTED_VALUE"""),12710.0)</f>
        <v>12710</v>
      </c>
      <c r="I4090" s="18">
        <f>IFERROR(__xludf.DUMMYFUNCTION("""COMPUTED_VALUE"""),100.0)</f>
        <v>100</v>
      </c>
      <c r="J4090" s="18">
        <f>IFERROR(__xludf.DUMMYFUNCTION("""COMPUTED_VALUE"""),100.0)</f>
        <v>100</v>
      </c>
      <c r="K4090" s="18">
        <f>IFERROR(__xludf.DUMMYFUNCTION("""COMPUTED_VALUE"""),300.0)</f>
        <v>300</v>
      </c>
      <c r="L4090" s="17">
        <f>IFERROR(__xludf.DUMMYFUNCTION("""COMPUTED_VALUE"""),3.23251582E9)</f>
        <v>3232515820</v>
      </c>
      <c r="M4090" s="17" t="str">
        <f>IFERROR(__xludf.DUMMYFUNCTION("""COMPUTED_VALUE"""),"#REF!")</f>
        <v>#REF!</v>
      </c>
      <c r="N4090" s="17"/>
      <c r="O4090" s="17"/>
      <c r="P4090" s="17" t="b">
        <f>IFERROR(__xludf.DUMMYFUNCTION("""COMPUTED_VALUE"""),TRUE)</f>
        <v>1</v>
      </c>
      <c r="Q4090" s="20">
        <f>IFERROR(__xludf.DUMMYFUNCTION("""COMPUTED_VALUE"""),45120.599991875)</f>
        <v>45120.59999</v>
      </c>
      <c r="R4090" s="22" t="str">
        <f>IFERROR(__xludf.DUMMYFUNCTION("""COMPUTED_VALUE"""),"")</f>
        <v/>
      </c>
    </row>
    <row r="4091">
      <c r="A4091" s="15">
        <f>IFERROR(__xludf.DUMMYFUNCTION("""COMPUTED_VALUE"""),45120.0)</f>
        <v>45120</v>
      </c>
      <c r="B4091" s="16" t="str">
        <f>IFERROR(__xludf.DUMMYFUNCTION("""COMPUTED_VALUE"""),"Envia")</f>
        <v>Envia</v>
      </c>
      <c r="C4091" s="15" t="str">
        <f>IFERROR(__xludf.DUMMYFUNCTION("""COMPUTED_VALUE"""),"CARTAGENA")</f>
        <v>CARTAGENA</v>
      </c>
      <c r="D4091" s="15" t="str">
        <f>IFERROR(__xludf.DUMMYFUNCTION("""COMPUTED_VALUE"""),"BOGOTÁ")</f>
        <v>BOGOTÁ</v>
      </c>
      <c r="E4091" s="15" t="str">
        <f>IFERROR(__xludf.DUMMYFUNCTION("""COMPUTED_VALUE"""),"SISU PARTNERS SAS")</f>
        <v>SISU PARTNERS SAS</v>
      </c>
      <c r="F4091" s="17" t="str">
        <f>IFERROR(__xludf.DUMMYFUNCTION("""COMPUTED_VALUE"""),"Carrera 7 no. 38-48 local 3 / Local Mary &amp; George")</f>
        <v>Carrera 7 no. 38-48 local 3 / Local Mary &amp; George</v>
      </c>
      <c r="G4091" s="15" t="str">
        <f>IFERROR(__xludf.DUMMYFUNCTION("""COMPUTED_VALUE"""),"Carolyne Bailey")</f>
        <v>Carolyne Bailey</v>
      </c>
      <c r="H4091" s="16">
        <f>IFERROR(__xludf.DUMMYFUNCTION("""COMPUTED_VALUE"""),12659.0)</f>
        <v>12659</v>
      </c>
      <c r="I4091" s="18">
        <f>IFERROR(__xludf.DUMMYFUNCTION("""COMPUTED_VALUE"""),29.0)</f>
        <v>29</v>
      </c>
      <c r="J4091" s="18">
        <f>IFERROR(__xludf.DUMMYFUNCTION("""COMPUTED_VALUE"""),45.0)</f>
        <v>45</v>
      </c>
      <c r="K4091" s="18">
        <f>IFERROR(__xludf.DUMMYFUNCTION("""COMPUTED_VALUE"""),55.0)</f>
        <v>55</v>
      </c>
      <c r="L4091" s="17">
        <f>IFERROR(__xludf.DUMMYFUNCTION("""COMPUTED_VALUE"""),3.105510381E9)</f>
        <v>3105510381</v>
      </c>
      <c r="M4091" s="17" t="str">
        <f>IFERROR(__xludf.DUMMYFUNCTION("""COMPUTED_VALUE"""),"#REF!")</f>
        <v>#REF!</v>
      </c>
      <c r="N4091" s="17"/>
      <c r="O4091" s="17"/>
      <c r="P4091" s="17" t="b">
        <f>IFERROR(__xludf.DUMMYFUNCTION("""COMPUTED_VALUE"""),TRUE)</f>
        <v>1</v>
      </c>
      <c r="Q4091" s="20">
        <f>IFERROR(__xludf.DUMMYFUNCTION("""COMPUTED_VALUE"""),45120.599991875)</f>
        <v>45120.59999</v>
      </c>
      <c r="R4091" s="22" t="str">
        <f>IFERROR(__xludf.DUMMYFUNCTION("""COMPUTED_VALUE"""),"")</f>
        <v/>
      </c>
    </row>
    <row r="4092">
      <c r="A4092" s="15">
        <f>IFERROR(__xludf.DUMMYFUNCTION("""COMPUTED_VALUE"""),45120.0)</f>
        <v>45120</v>
      </c>
      <c r="B4092" s="16" t="str">
        <f>IFERROR(__xludf.DUMMYFUNCTION("""COMPUTED_VALUE"""),"Envia")</f>
        <v>Envia</v>
      </c>
      <c r="C4092" s="15" t="str">
        <f>IFERROR(__xludf.DUMMYFUNCTION("""COMPUTED_VALUE"""),"CARTAGENA")</f>
        <v>CARTAGENA</v>
      </c>
      <c r="D4092" s="15" t="str">
        <f>IFERROR(__xludf.DUMMYFUNCTION("""COMPUTED_VALUE"""),"MEDELLÍN")</f>
        <v>MEDELLÍN</v>
      </c>
      <c r="E4092" s="15" t="str">
        <f>IFERROR(__xludf.DUMMYFUNCTION("""COMPUTED_VALUE"""),"La Panarte")</f>
        <v>La Panarte</v>
      </c>
      <c r="F4092" s="17" t="str">
        <f>IFERROR(__xludf.DUMMYFUNCTION("""COMPUTED_VALUE"""),"Calle 27b #24 - 92 / Local primer piso, frente a la DIAN  / Manga")</f>
        <v>Calle 27b #24 - 92 / Local primer piso, frente a la DIAN  / Manga</v>
      </c>
      <c r="G4092" s="15" t="str">
        <f>IFERROR(__xludf.DUMMYFUNCTION("""COMPUTED_VALUE"""),"Catalina Osorio Gil")</f>
        <v>Catalina Osorio Gil</v>
      </c>
      <c r="H4092" s="16">
        <f>IFERROR(__xludf.DUMMYFUNCTION("""COMPUTED_VALUE"""),12637.0)</f>
        <v>12637</v>
      </c>
      <c r="I4092" s="18">
        <f>IFERROR(__xludf.DUMMYFUNCTION("""COMPUTED_VALUE"""),33.0)</f>
        <v>33</v>
      </c>
      <c r="J4092" s="18">
        <f>IFERROR(__xludf.DUMMYFUNCTION("""COMPUTED_VALUE"""),22.0)</f>
        <v>22</v>
      </c>
      <c r="K4092" s="18">
        <f>IFERROR(__xludf.DUMMYFUNCTION("""COMPUTED_VALUE"""),36.0)</f>
        <v>36</v>
      </c>
      <c r="L4092" s="17">
        <f>IFERROR(__xludf.DUMMYFUNCTION("""COMPUTED_VALUE"""),3.145536994E9)</f>
        <v>3145536994</v>
      </c>
      <c r="M4092" s="17" t="str">
        <f>IFERROR(__xludf.DUMMYFUNCTION("""COMPUTED_VALUE"""),"#REF!")</f>
        <v>#REF!</v>
      </c>
      <c r="N4092" s="17"/>
      <c r="O4092" s="17"/>
      <c r="P4092" s="17" t="b">
        <f>IFERROR(__xludf.DUMMYFUNCTION("""COMPUTED_VALUE"""),TRUE)</f>
        <v>1</v>
      </c>
      <c r="Q4092" s="20">
        <f>IFERROR(__xludf.DUMMYFUNCTION("""COMPUTED_VALUE"""),45120.60004287037)</f>
        <v>45120.60004</v>
      </c>
      <c r="R4092" s="22" t="str">
        <f>IFERROR(__xludf.DUMMYFUNCTION("""COMPUTED_VALUE"""),"")</f>
        <v/>
      </c>
    </row>
    <row r="4093">
      <c r="A4093" s="15">
        <f>IFERROR(__xludf.DUMMYFUNCTION("""COMPUTED_VALUE"""),45120.0)</f>
        <v>45120</v>
      </c>
      <c r="B4093" s="16" t="str">
        <f>IFERROR(__xludf.DUMMYFUNCTION("""COMPUTED_VALUE"""),"Envia")</f>
        <v>Envia</v>
      </c>
      <c r="C4093" s="15" t="str">
        <f>IFERROR(__xludf.DUMMYFUNCTION("""COMPUTED_VALUE"""),"FLORIDABLANCA")</f>
        <v>FLORIDABLANCA</v>
      </c>
      <c r="D4093" s="15" t="str">
        <f>IFERROR(__xludf.DUMMYFUNCTION("""COMPUTED_VALUE"""),"BOGOTÁ")</f>
        <v>BOGOTÁ</v>
      </c>
      <c r="E4093" s="15" t="str">
        <f>IFERROR(__xludf.DUMMYFUNCTION("""COMPUTED_VALUE"""),"Evamazzita")</f>
        <v>Evamazzita</v>
      </c>
      <c r="F4093" s="17" t="str">
        <f>IFERROR(__xludf.DUMMYFUNCTION("""COMPUTED_VALUE"""),"Carrera 21#152-30 / Torre 22 Apto 101 C.R. / Parque San Agustin/ Barrio Palomitas")</f>
        <v>Carrera 21#152-30 / Torre 22 Apto 101 C.R. / Parque San Agustin/ Barrio Palomitas</v>
      </c>
      <c r="G4093" s="15" t="str">
        <f>IFERROR(__xludf.DUMMYFUNCTION("""COMPUTED_VALUE"""),"RUTH HERNANDEZ JAIMES")</f>
        <v>RUTH HERNANDEZ JAIMES</v>
      </c>
      <c r="H4093" s="16">
        <f>IFERROR(__xludf.DUMMYFUNCTION("""COMPUTED_VALUE"""),12691.0)</f>
        <v>12691</v>
      </c>
      <c r="I4093" s="18">
        <f>IFERROR(__xludf.DUMMYFUNCTION("""COMPUTED_VALUE"""),1.0)</f>
        <v>1</v>
      </c>
      <c r="J4093" s="18">
        <f>IFERROR(__xludf.DUMMYFUNCTION("""COMPUTED_VALUE"""),1.0)</f>
        <v>1</v>
      </c>
      <c r="K4093" s="18">
        <f>IFERROR(__xludf.DUMMYFUNCTION("""COMPUTED_VALUE"""),1.0)</f>
        <v>1</v>
      </c>
      <c r="L4093" s="17">
        <f>IFERROR(__xludf.DUMMYFUNCTION("""COMPUTED_VALUE"""),3.204995602E9)</f>
        <v>3204995602</v>
      </c>
      <c r="M4093" s="17" t="str">
        <f>IFERROR(__xludf.DUMMYFUNCTION("""COMPUTED_VALUE"""),"#REF!")</f>
        <v>#REF!</v>
      </c>
      <c r="N4093" s="17"/>
      <c r="O4093" s="17"/>
      <c r="P4093" s="17" t="b">
        <f>IFERROR(__xludf.DUMMYFUNCTION("""COMPUTED_VALUE"""),TRUE)</f>
        <v>1</v>
      </c>
      <c r="Q4093" s="20">
        <f>IFERROR(__xludf.DUMMYFUNCTION("""COMPUTED_VALUE"""),45120.606763206015)</f>
        <v>45120.60676</v>
      </c>
      <c r="R4093" s="21" t="str">
        <f>IFERROR(__xludf.DUMMYFUNCTION("""COMPUTED_VALUE"""),"https://drive.google.com/file/d/1N4Y3LId-7WIt9mRKzl9bZHuRTAlL3fdr/view?usp=drivesdk")</f>
        <v>https://drive.google.com/file/d/1N4Y3LId-7WIt9mRKzl9bZHuRTAlL3fdr/view?usp=drivesdk</v>
      </c>
    </row>
    <row r="4094">
      <c r="A4094" s="15">
        <f>IFERROR(__xludf.DUMMYFUNCTION("""COMPUTED_VALUE"""),45120.0)</f>
        <v>45120</v>
      </c>
      <c r="B4094" s="16" t="str">
        <f>IFERROR(__xludf.DUMMYFUNCTION("""COMPUTED_VALUE"""),"Envia")</f>
        <v>Envia</v>
      </c>
      <c r="C4094" s="15" t="str">
        <f>IFERROR(__xludf.DUMMYFUNCTION("""COMPUTED_VALUE"""),"GIRARDOT")</f>
        <v>GIRARDOT</v>
      </c>
      <c r="D4094" s="15" t="str">
        <f>IFERROR(__xludf.DUMMYFUNCTION("""COMPUTED_VALUE"""),"BOGOTÁ")</f>
        <v>BOGOTÁ</v>
      </c>
      <c r="E4094" s="15" t="str">
        <f>IFERROR(__xludf.DUMMYFUNCTION("""COMPUTED_VALUE"""),"Evamazzita")</f>
        <v>Evamazzita</v>
      </c>
      <c r="F4094" s="17" t="str">
        <f>IFERROR(__xludf.DUMMYFUNCTION("""COMPUTED_VALUE"""),"Calle 22 #18-22 / Piso 2 / Barrio Gaitan")</f>
        <v>Calle 22 #18-22 / Piso 2 / Barrio Gaitan</v>
      </c>
      <c r="G4094" s="15" t="str">
        <f>IFERROR(__xludf.DUMMYFUNCTION("""COMPUTED_VALUE"""),"GIORLADY GARCIQ MORALES")</f>
        <v>GIORLADY GARCIQ MORALES</v>
      </c>
      <c r="H4094" s="16">
        <f>IFERROR(__xludf.DUMMYFUNCTION("""COMPUTED_VALUE"""),12704.0)</f>
        <v>12704</v>
      </c>
      <c r="I4094" s="18">
        <f>IFERROR(__xludf.DUMMYFUNCTION("""COMPUTED_VALUE"""),5.0)</f>
        <v>5</v>
      </c>
      <c r="J4094" s="18">
        <f>IFERROR(__xludf.DUMMYFUNCTION("""COMPUTED_VALUE"""),24.0)</f>
        <v>24</v>
      </c>
      <c r="K4094" s="18">
        <f>IFERROR(__xludf.DUMMYFUNCTION("""COMPUTED_VALUE"""),15.0)</f>
        <v>15</v>
      </c>
      <c r="L4094" s="17">
        <f>IFERROR(__xludf.DUMMYFUNCTION("""COMPUTED_VALUE"""),3.012744748E9)</f>
        <v>3012744748</v>
      </c>
      <c r="M4094" s="17" t="str">
        <f>IFERROR(__xludf.DUMMYFUNCTION("""COMPUTED_VALUE"""),"#REF!")</f>
        <v>#REF!</v>
      </c>
      <c r="N4094" s="17"/>
      <c r="O4094" s="17"/>
      <c r="P4094" s="17" t="b">
        <f>IFERROR(__xludf.DUMMYFUNCTION("""COMPUTED_VALUE"""),TRUE)</f>
        <v>1</v>
      </c>
      <c r="Q4094" s="20">
        <f>IFERROR(__xludf.DUMMYFUNCTION("""COMPUTED_VALUE"""),45120.72273996528)</f>
        <v>45120.72274</v>
      </c>
      <c r="R4094" s="22" t="str">
        <f>IFERROR(__xludf.DUMMYFUNCTION("""COMPUTED_VALUE"""),"")</f>
        <v/>
      </c>
    </row>
    <row r="4095">
      <c r="A4095" s="15">
        <f>IFERROR(__xludf.DUMMYFUNCTION("""COMPUTED_VALUE"""),45120.0)</f>
        <v>45120</v>
      </c>
      <c r="B4095" s="16" t="str">
        <f>IFERROR(__xludf.DUMMYFUNCTION("""COMPUTED_VALUE"""),"Envia")</f>
        <v>Envia</v>
      </c>
      <c r="C4095" s="15" t="str">
        <f>IFERROR(__xludf.DUMMYFUNCTION("""COMPUTED_VALUE"""),"GIRARDOT")</f>
        <v>GIRARDOT</v>
      </c>
      <c r="D4095" s="15" t="str">
        <f>IFERROR(__xludf.DUMMYFUNCTION("""COMPUTED_VALUE"""),"BOGOTÁ")</f>
        <v>BOGOTÁ</v>
      </c>
      <c r="E4095" s="15" t="str">
        <f>IFERROR(__xludf.DUMMYFUNCTION("""COMPUTED_VALUE"""),"Evamazzita")</f>
        <v>Evamazzita</v>
      </c>
      <c r="F4095" s="17" t="str">
        <f>IFERROR(__xludf.DUMMYFUNCTION("""COMPUTED_VALUE"""),"Calle 32a#4-24 / Santafe  / Santafe")</f>
        <v>Calle 32a#4-24 / Santafe  / Santafe</v>
      </c>
      <c r="G4095" s="15" t="str">
        <f>IFERROR(__xludf.DUMMYFUNCTION("""COMPUTED_VALUE"""),"LIZETH CAROLINA BARRETO TRUJILLO")</f>
        <v>LIZETH CAROLINA BARRETO TRUJILLO</v>
      </c>
      <c r="H4095" s="16">
        <f>IFERROR(__xludf.DUMMYFUNCTION("""COMPUTED_VALUE"""),12699.0)</f>
        <v>12699</v>
      </c>
      <c r="I4095" s="18">
        <f>IFERROR(__xludf.DUMMYFUNCTION("""COMPUTED_VALUE"""),7.0)</f>
        <v>7</v>
      </c>
      <c r="J4095" s="18">
        <f>IFERROR(__xludf.DUMMYFUNCTION("""COMPUTED_VALUE"""),16.0)</f>
        <v>16</v>
      </c>
      <c r="K4095" s="18">
        <f>IFERROR(__xludf.DUMMYFUNCTION("""COMPUTED_VALUE"""),20.0)</f>
        <v>20</v>
      </c>
      <c r="L4095" s="17">
        <f>IFERROR(__xludf.DUMMYFUNCTION("""COMPUTED_VALUE"""),3.134566703E9)</f>
        <v>3134566703</v>
      </c>
      <c r="M4095" s="17" t="str">
        <f>IFERROR(__xludf.DUMMYFUNCTION("""COMPUTED_VALUE"""),"#REF!")</f>
        <v>#REF!</v>
      </c>
      <c r="N4095" s="17"/>
      <c r="O4095" s="17"/>
      <c r="P4095" s="17" t="b">
        <f>IFERROR(__xludf.DUMMYFUNCTION("""COMPUTED_VALUE"""),TRUE)</f>
        <v>1</v>
      </c>
      <c r="Q4095" s="20">
        <f>IFERROR(__xludf.DUMMYFUNCTION("""COMPUTED_VALUE"""),45120.60656585648)</f>
        <v>45120.60657</v>
      </c>
      <c r="R4095" s="22" t="str">
        <f>IFERROR(__xludf.DUMMYFUNCTION("""COMPUTED_VALUE"""),"")</f>
        <v/>
      </c>
    </row>
    <row r="4096">
      <c r="A4096" s="15">
        <f>IFERROR(__xludf.DUMMYFUNCTION("""COMPUTED_VALUE"""),45120.0)</f>
        <v>45120</v>
      </c>
      <c r="B4096" s="16" t="str">
        <f>IFERROR(__xludf.DUMMYFUNCTION("""COMPUTED_VALUE"""),"Envia")</f>
        <v>Envia</v>
      </c>
      <c r="C4096" s="15" t="str">
        <f>IFERROR(__xludf.DUMMYFUNCTION("""COMPUTED_VALUE"""),"GIRÓN")</f>
        <v>GIRÓN</v>
      </c>
      <c r="D4096" s="15" t="str">
        <f>IFERROR(__xludf.DUMMYFUNCTION("""COMPUTED_VALUE"""),"BOGOTÁ")</f>
        <v>BOGOTÁ</v>
      </c>
      <c r="E4096" s="15" t="str">
        <f>IFERROR(__xludf.DUMMYFUNCTION("""COMPUTED_VALUE"""),"Evamazzita")</f>
        <v>Evamazzita</v>
      </c>
      <c r="F4096" s="17" t="str">
        <f>IFERROR(__xludf.DUMMYFUNCTION("""COMPUTED_VALUE"""),"Calle 22#15-38 / Torre 3 Apto 924 / Conjunto  los robles")</f>
        <v>Calle 22#15-38 / Torre 3 Apto 924 / Conjunto  los robles</v>
      </c>
      <c r="G4096" s="15" t="str">
        <f>IFERROR(__xludf.DUMMYFUNCTION("""COMPUTED_VALUE"""),"KAROLL MARCELA VARGAS ZAMBRANO")</f>
        <v>KAROLL MARCELA VARGAS ZAMBRANO</v>
      </c>
      <c r="H4096" s="16">
        <f>IFERROR(__xludf.DUMMYFUNCTION("""COMPUTED_VALUE"""),12695.0)</f>
        <v>12695</v>
      </c>
      <c r="I4096" s="18">
        <f>IFERROR(__xludf.DUMMYFUNCTION("""COMPUTED_VALUE"""),1.0)</f>
        <v>1</v>
      </c>
      <c r="J4096" s="18">
        <f>IFERROR(__xludf.DUMMYFUNCTION("""COMPUTED_VALUE"""),1.0)</f>
        <v>1</v>
      </c>
      <c r="K4096" s="18">
        <f>IFERROR(__xludf.DUMMYFUNCTION("""COMPUTED_VALUE"""),1.0)</f>
        <v>1</v>
      </c>
      <c r="L4096" s="17">
        <f>IFERROR(__xludf.DUMMYFUNCTION("""COMPUTED_VALUE"""),3.043370015E9)</f>
        <v>3043370015</v>
      </c>
      <c r="M4096" s="17" t="str">
        <f>IFERROR(__xludf.DUMMYFUNCTION("""COMPUTED_VALUE"""),"#REF!")</f>
        <v>#REF!</v>
      </c>
      <c r="N4096" s="17"/>
      <c r="O4096" s="17"/>
      <c r="P4096" s="17" t="b">
        <f>IFERROR(__xludf.DUMMYFUNCTION("""COMPUTED_VALUE"""),TRUE)</f>
        <v>1</v>
      </c>
      <c r="Q4096" s="20">
        <f>IFERROR(__xludf.DUMMYFUNCTION("""COMPUTED_VALUE"""),45120.72230274306)</f>
        <v>45120.7223</v>
      </c>
      <c r="R4096" s="21" t="str">
        <f>IFERROR(__xludf.DUMMYFUNCTION("""COMPUTED_VALUE"""),"https://drive.google.com/file/d/15zi2lPUOptJx0ftpg0V-K8KF5GWeDDVY/view?usp=drivesdk")</f>
        <v>https://drive.google.com/file/d/15zi2lPUOptJx0ftpg0V-K8KF5GWeDDVY/view?usp=drivesdk</v>
      </c>
    </row>
    <row r="4097">
      <c r="A4097" s="15">
        <f>IFERROR(__xludf.DUMMYFUNCTION("""COMPUTED_VALUE"""),45120.0)</f>
        <v>45120</v>
      </c>
      <c r="B4097" s="16" t="str">
        <f>IFERROR(__xludf.DUMMYFUNCTION("""COMPUTED_VALUE"""),"Envia")</f>
        <v>Envia</v>
      </c>
      <c r="C4097" s="15" t="str">
        <f>IFERROR(__xludf.DUMMYFUNCTION("""COMPUTED_VALUE"""),"MEDELLÍN")</f>
        <v>MEDELLÍN</v>
      </c>
      <c r="D4097" s="15" t="str">
        <f>IFERROR(__xludf.DUMMYFUNCTION("""COMPUTED_VALUE"""),"BOGOTÁ")</f>
        <v>BOGOTÁ</v>
      </c>
      <c r="E4097" s="15" t="str">
        <f>IFERROR(__xludf.DUMMYFUNCTION("""COMPUTED_VALUE"""),"Forever Dog")</f>
        <v>Forever Dog</v>
      </c>
      <c r="F4097" s="17" t="str">
        <f>IFERROR(__xludf.DUMMYFUNCTION("""COMPUTED_VALUE"""),"Calle 36 sur # 27 - 10  / apto 9615 torre 3 unidad residencial entreparques / apto 9615 torre 3 unidad residencial entreparques")</f>
        <v>Calle 36 sur # 27 - 10  / apto 9615 torre 3 unidad residencial entreparques / apto 9615 torre 3 unidad residencial entreparques</v>
      </c>
      <c r="G4097" s="15" t="str">
        <f>IFERROR(__xludf.DUMMYFUNCTION("""COMPUTED_VALUE"""),"Alejandra Maya")</f>
        <v>Alejandra Maya</v>
      </c>
      <c r="H4097" s="16">
        <f>IFERROR(__xludf.DUMMYFUNCTION("""COMPUTED_VALUE"""),12664.0)</f>
        <v>12664</v>
      </c>
      <c r="I4097" s="18">
        <f>IFERROR(__xludf.DUMMYFUNCTION("""COMPUTED_VALUE"""),21.0)</f>
        <v>21</v>
      </c>
      <c r="J4097" s="18">
        <f>IFERROR(__xludf.DUMMYFUNCTION("""COMPUTED_VALUE"""),30.0)</f>
        <v>30</v>
      </c>
      <c r="K4097" s="18">
        <f>IFERROR(__xludf.DUMMYFUNCTION("""COMPUTED_VALUE"""),50.0)</f>
        <v>50</v>
      </c>
      <c r="L4097" s="17">
        <f>IFERROR(__xludf.DUMMYFUNCTION("""COMPUTED_VALUE"""),3.016427229E9)</f>
        <v>3016427229</v>
      </c>
      <c r="M4097" s="17" t="str">
        <f>IFERROR(__xludf.DUMMYFUNCTION("""COMPUTED_VALUE"""),"#REF!")</f>
        <v>#REF!</v>
      </c>
      <c r="N4097" s="17"/>
      <c r="O4097" s="17"/>
      <c r="P4097" s="17" t="b">
        <f>IFERROR(__xludf.DUMMYFUNCTION("""COMPUTED_VALUE"""),FALSE)</f>
        <v>0</v>
      </c>
      <c r="Q4097" s="20" t="str">
        <f>IFERROR(__xludf.DUMMYFUNCTION("""COMPUTED_VALUE"""),"")</f>
        <v/>
      </c>
      <c r="R4097" s="22" t="str">
        <f>IFERROR(__xludf.DUMMYFUNCTION("""COMPUTED_VALUE"""),"")</f>
        <v/>
      </c>
    </row>
    <row r="4098">
      <c r="A4098" s="15">
        <f>IFERROR(__xludf.DUMMYFUNCTION("""COMPUTED_VALUE"""),45120.0)</f>
        <v>45120</v>
      </c>
      <c r="B4098" s="16" t="str">
        <f>IFERROR(__xludf.DUMMYFUNCTION("""COMPUTED_VALUE"""),"Envia")</f>
        <v>Envia</v>
      </c>
      <c r="C4098" s="15" t="str">
        <f>IFERROR(__xludf.DUMMYFUNCTION("""COMPUTED_VALUE"""),"MEDELLÍN")</f>
        <v>MEDELLÍN</v>
      </c>
      <c r="D4098" s="15" t="str">
        <f>IFERROR(__xludf.DUMMYFUNCTION("""COMPUTED_VALUE"""),"BOGOTÁ")</f>
        <v>BOGOTÁ</v>
      </c>
      <c r="E4098" s="15" t="str">
        <f>IFERROR(__xludf.DUMMYFUNCTION("""COMPUTED_VALUE"""),"SISU PARTNERS SAS")</f>
        <v>SISU PARTNERS SAS</v>
      </c>
      <c r="F4098" s="17" t="str">
        <f>IFERROR(__xludf.DUMMYFUNCTION("""COMPUTED_VALUE"""),"Carrera 34 no. 7-86 / Local Mary &amp; George")</f>
        <v>Carrera 34 no. 7-86 / Local Mary &amp; George</v>
      </c>
      <c r="G4098" s="15" t="str">
        <f>IFERROR(__xludf.DUMMYFUNCTION("""COMPUTED_VALUE"""),"Maria Paulina Pérez")</f>
        <v>Maria Paulina Pérez</v>
      </c>
      <c r="H4098" s="16">
        <f>IFERROR(__xludf.DUMMYFUNCTION("""COMPUTED_VALUE"""),12658.0)</f>
        <v>12658</v>
      </c>
      <c r="I4098" s="18" t="str">
        <f>IFERROR(__xludf.DUMMYFUNCTION("""COMPUTED_VALUE"""),"52.5")</f>
        <v>52.5</v>
      </c>
      <c r="J4098" s="18">
        <f>IFERROR(__xludf.DUMMYFUNCTION("""COMPUTED_VALUE"""),45.0)</f>
        <v>45</v>
      </c>
      <c r="K4098" s="18">
        <f>IFERROR(__xludf.DUMMYFUNCTION("""COMPUTED_VALUE"""),55.0)</f>
        <v>55</v>
      </c>
      <c r="L4098" s="17">
        <f>IFERROR(__xludf.DUMMYFUNCTION("""COMPUTED_VALUE"""),3.182186058E9)</f>
        <v>3182186058</v>
      </c>
      <c r="M4098" s="17" t="str">
        <f>IFERROR(__xludf.DUMMYFUNCTION("""COMPUTED_VALUE"""),"#REF!")</f>
        <v>#REF!</v>
      </c>
      <c r="N4098" s="17"/>
      <c r="O4098" s="17"/>
      <c r="P4098" s="17" t="b">
        <f>IFERROR(__xludf.DUMMYFUNCTION("""COMPUTED_VALUE"""),FALSE)</f>
        <v>0</v>
      </c>
      <c r="Q4098" s="20" t="str">
        <f>IFERROR(__xludf.DUMMYFUNCTION("""COMPUTED_VALUE"""),"")</f>
        <v/>
      </c>
      <c r="R4098" s="22" t="str">
        <f>IFERROR(__xludf.DUMMYFUNCTION("""COMPUTED_VALUE"""),"")</f>
        <v/>
      </c>
    </row>
    <row r="4099">
      <c r="A4099" s="15">
        <f>IFERROR(__xludf.DUMMYFUNCTION("""COMPUTED_VALUE"""),45120.0)</f>
        <v>45120</v>
      </c>
      <c r="B4099" s="16" t="str">
        <f>IFERROR(__xludf.DUMMYFUNCTION("""COMPUTED_VALUE"""),"Envia")</f>
        <v>Envia</v>
      </c>
      <c r="C4099" s="15" t="str">
        <f>IFERROR(__xludf.DUMMYFUNCTION("""COMPUTED_VALUE"""),"MONTERIA")</f>
        <v>MONTERIA</v>
      </c>
      <c r="D4099" s="15" t="str">
        <f>IFERROR(__xludf.DUMMYFUNCTION("""COMPUTED_VALUE"""),"MEDELLÍN")</f>
        <v>MEDELLÍN</v>
      </c>
      <c r="E4099" s="15" t="str">
        <f>IFERROR(__xludf.DUMMYFUNCTION("""COMPUTED_VALUE"""),"Helados swip")</f>
        <v>Helados swip</v>
      </c>
      <c r="F4099" s="17" t="str">
        <f>IFERROR(__xludf.DUMMYFUNCTION("""COMPUTED_VALUE"""),"CALLE 62 #645 X LA CARRERA 7 / LOCAL 2  / LOS ALCAZARES")</f>
        <v>CALLE 62 #645 X LA CARRERA 7 / LOCAL 2  / LOS ALCAZARES</v>
      </c>
      <c r="G4099" s="15" t="str">
        <f>IFERROR(__xludf.DUMMYFUNCTION("""COMPUTED_VALUE"""),"TIENDA FEELI  - BEATRIZ")</f>
        <v>TIENDA FEELI  - BEATRIZ</v>
      </c>
      <c r="H4099" s="16">
        <f>IFERROR(__xludf.DUMMYFUNCTION("""COMPUTED_VALUE"""),12722.0)</f>
        <v>12722</v>
      </c>
      <c r="I4099" s="18">
        <f>IFERROR(__xludf.DUMMYFUNCTION("""COMPUTED_VALUE"""),29.0)</f>
        <v>29</v>
      </c>
      <c r="J4099" s="18">
        <f>IFERROR(__xludf.DUMMYFUNCTION("""COMPUTED_VALUE"""),55.0)</f>
        <v>55</v>
      </c>
      <c r="K4099" s="18">
        <f>IFERROR(__xludf.DUMMYFUNCTION("""COMPUTED_VALUE"""),45.0)</f>
        <v>45</v>
      </c>
      <c r="L4099" s="17">
        <f>IFERROR(__xludf.DUMMYFUNCTION("""COMPUTED_VALUE"""),3.052261719E9)</f>
        <v>3052261719</v>
      </c>
      <c r="M4099" s="17" t="str">
        <f>IFERROR(__xludf.DUMMYFUNCTION("""COMPUTED_VALUE"""),"#REF!")</f>
        <v>#REF!</v>
      </c>
      <c r="N4099" s="17"/>
      <c r="O4099" s="17"/>
      <c r="P4099" s="17" t="b">
        <f>IFERROR(__xludf.DUMMYFUNCTION("""COMPUTED_VALUE"""),FALSE)</f>
        <v>0</v>
      </c>
      <c r="Q4099" s="20" t="str">
        <f>IFERROR(__xludf.DUMMYFUNCTION("""COMPUTED_VALUE"""),"")</f>
        <v/>
      </c>
      <c r="R4099" s="22" t="str">
        <f>IFERROR(__xludf.DUMMYFUNCTION("""COMPUTED_VALUE"""),"")</f>
        <v/>
      </c>
    </row>
    <row r="4100">
      <c r="A4100" s="15">
        <f>IFERROR(__xludf.DUMMYFUNCTION("""COMPUTED_VALUE"""),45120.0)</f>
        <v>45120</v>
      </c>
      <c r="B4100" s="16" t="str">
        <f>IFERROR(__xludf.DUMMYFUNCTION("""COMPUTED_VALUE"""),"Envia")</f>
        <v>Envia</v>
      </c>
      <c r="C4100" s="15" t="str">
        <f>IFERROR(__xludf.DUMMYFUNCTION("""COMPUTED_VALUE"""),"NEIVA")</f>
        <v>NEIVA</v>
      </c>
      <c r="D4100" s="15" t="str">
        <f>IFERROR(__xludf.DUMMYFUNCTION("""COMPUTED_VALUE"""),"BOGOTÁ")</f>
        <v>BOGOTÁ</v>
      </c>
      <c r="E4100" s="15" t="str">
        <f>IFERROR(__xludf.DUMMYFUNCTION("""COMPUTED_VALUE"""),"Asociacion Agropecuaria Juana Maria")</f>
        <v>Asociacion Agropecuaria Juana Maria</v>
      </c>
      <c r="F4100" s="17" t="str">
        <f>IFERROR(__xludf.DUMMYFUNCTION("""COMPUTED_VALUE"""),"CARRERA 46 #17-13 CONDOMINIO ALTAVISTA CASA 31")</f>
        <v>CARRERA 46 #17-13 CONDOMINIO ALTAVISTA CASA 31</v>
      </c>
      <c r="G4100" s="15" t="str">
        <f>IFERROR(__xludf.DUMMYFUNCTION("""COMPUTED_VALUE"""),"JENNIFFER FERNANDEZ")</f>
        <v>JENNIFFER FERNANDEZ</v>
      </c>
      <c r="H4100" s="16">
        <f>IFERROR(__xludf.DUMMYFUNCTION("""COMPUTED_VALUE"""),12487.0)</f>
        <v>12487</v>
      </c>
      <c r="I4100" s="18">
        <f>IFERROR(__xludf.DUMMYFUNCTION("""COMPUTED_VALUE"""),17.0)</f>
        <v>17</v>
      </c>
      <c r="J4100" s="18">
        <f>IFERROR(__xludf.DUMMYFUNCTION("""COMPUTED_VALUE"""),37.0)</f>
        <v>37</v>
      </c>
      <c r="K4100" s="18">
        <f>IFERROR(__xludf.DUMMYFUNCTION("""COMPUTED_VALUE"""),28.0)</f>
        <v>28</v>
      </c>
      <c r="L4100" s="17">
        <f>IFERROR(__xludf.DUMMYFUNCTION("""COMPUTED_VALUE"""),3.167942612E9)</f>
        <v>3167942612</v>
      </c>
      <c r="M4100" s="17" t="str">
        <f>IFERROR(__xludf.DUMMYFUNCTION("""COMPUTED_VALUE"""),"#REF!")</f>
        <v>#REF!</v>
      </c>
      <c r="N4100" s="17"/>
      <c r="O4100" s="17"/>
      <c r="P4100" s="17" t="b">
        <f>IFERROR(__xludf.DUMMYFUNCTION("""COMPUTED_VALUE"""),FALSE)</f>
        <v>0</v>
      </c>
      <c r="Q4100" s="20" t="str">
        <f>IFERROR(__xludf.DUMMYFUNCTION("""COMPUTED_VALUE"""),"")</f>
        <v/>
      </c>
      <c r="R4100" s="22" t="str">
        <f>IFERROR(__xludf.DUMMYFUNCTION("""COMPUTED_VALUE"""),"")</f>
        <v/>
      </c>
    </row>
    <row r="4101">
      <c r="A4101" s="15">
        <f>IFERROR(__xludf.DUMMYFUNCTION("""COMPUTED_VALUE"""),45120.0)</f>
        <v>45120</v>
      </c>
      <c r="B4101" s="16" t="str">
        <f>IFERROR(__xludf.DUMMYFUNCTION("""COMPUTED_VALUE"""),"Envia")</f>
        <v>Envia</v>
      </c>
      <c r="C4101" s="15" t="str">
        <f>IFERROR(__xludf.DUMMYFUNCTION("""COMPUTED_VALUE"""),"NEIVA")</f>
        <v>NEIVA</v>
      </c>
      <c r="D4101" s="15" t="str">
        <f>IFERROR(__xludf.DUMMYFUNCTION("""COMPUTED_VALUE"""),"BOGOTÁ")</f>
        <v>BOGOTÁ</v>
      </c>
      <c r="E4101" s="15" t="str">
        <f>IFERROR(__xludf.DUMMYFUNCTION("""COMPUTED_VALUE"""),"Evamazzita")</f>
        <v>Evamazzita</v>
      </c>
      <c r="F4101" s="17" t="str">
        <f>IFERROR(__xludf.DUMMYFUNCTION("""COMPUTED_VALUE"""),"Calle 10#7-52 / N/A / N/A")</f>
        <v>Calle 10#7-52 / N/A / N/A</v>
      </c>
      <c r="G4101" s="15" t="str">
        <f>IFERROR(__xludf.DUMMYFUNCTION("""COMPUTED_VALUE"""),"VANESSA ANDRADE ROJAS")</f>
        <v>VANESSA ANDRADE ROJAS</v>
      </c>
      <c r="H4101" s="16">
        <f>IFERROR(__xludf.DUMMYFUNCTION("""COMPUTED_VALUE"""),12701.0)</f>
        <v>12701</v>
      </c>
      <c r="I4101" s="18">
        <f>IFERROR(__xludf.DUMMYFUNCTION("""COMPUTED_VALUE"""),1.0)</f>
        <v>1</v>
      </c>
      <c r="J4101" s="18">
        <f>IFERROR(__xludf.DUMMYFUNCTION("""COMPUTED_VALUE"""),1.0)</f>
        <v>1</v>
      </c>
      <c r="K4101" s="18">
        <f>IFERROR(__xludf.DUMMYFUNCTION("""COMPUTED_VALUE"""),1.0)</f>
        <v>1</v>
      </c>
      <c r="L4101" s="17">
        <f>IFERROR(__xludf.DUMMYFUNCTION("""COMPUTED_VALUE"""),3.014969541E9)</f>
        <v>3014969541</v>
      </c>
      <c r="M4101" s="17" t="str">
        <f>IFERROR(__xludf.DUMMYFUNCTION("""COMPUTED_VALUE"""),"#REF!")</f>
        <v>#REF!</v>
      </c>
      <c r="N4101" s="17"/>
      <c r="O4101" s="17"/>
      <c r="P4101" s="17" t="b">
        <f>IFERROR(__xludf.DUMMYFUNCTION("""COMPUTED_VALUE"""),FALSE)</f>
        <v>0</v>
      </c>
      <c r="Q4101" s="20" t="str">
        <f>IFERROR(__xludf.DUMMYFUNCTION("""COMPUTED_VALUE"""),"")</f>
        <v/>
      </c>
      <c r="R4101" s="22" t="str">
        <f>IFERROR(__xludf.DUMMYFUNCTION("""COMPUTED_VALUE"""),"")</f>
        <v/>
      </c>
    </row>
    <row r="4102">
      <c r="A4102" s="15">
        <f>IFERROR(__xludf.DUMMYFUNCTION("""COMPUTED_VALUE"""),45120.0)</f>
        <v>45120</v>
      </c>
      <c r="B4102" s="16" t="str">
        <f>IFERROR(__xludf.DUMMYFUNCTION("""COMPUTED_VALUE"""),"Envia")</f>
        <v>Envia</v>
      </c>
      <c r="C4102" s="15" t="str">
        <f>IFERROR(__xludf.DUMMYFUNCTION("""COMPUTED_VALUE"""),"NEIVA")</f>
        <v>NEIVA</v>
      </c>
      <c r="D4102" s="15" t="str">
        <f>IFERROR(__xludf.DUMMYFUNCTION("""COMPUTED_VALUE"""),"BOGOTÁ")</f>
        <v>BOGOTÁ</v>
      </c>
      <c r="E4102" s="15" t="str">
        <f>IFERROR(__xludf.DUMMYFUNCTION("""COMPUTED_VALUE"""),"Evamazzita")</f>
        <v>Evamazzita</v>
      </c>
      <c r="F4102" s="17" t="str">
        <f>IFERROR(__xludf.DUMMYFUNCTION("""COMPUTED_VALUE"""),"Calle 63#20B-42  / N/A / Brisas del Sena")</f>
        <v>Calle 63#20B-42  / N/A / Brisas del Sena</v>
      </c>
      <c r="G4102" s="15" t="str">
        <f>IFERROR(__xludf.DUMMYFUNCTION("""COMPUTED_VALUE"""),"LORENA RAMIREZ TOVAR")</f>
        <v>LORENA RAMIREZ TOVAR</v>
      </c>
      <c r="H4102" s="16">
        <f>IFERROR(__xludf.DUMMYFUNCTION("""COMPUTED_VALUE"""),12703.0)</f>
        <v>12703</v>
      </c>
      <c r="I4102" s="18">
        <f>IFERROR(__xludf.DUMMYFUNCTION("""COMPUTED_VALUE"""),1.0)</f>
        <v>1</v>
      </c>
      <c r="J4102" s="18">
        <f>IFERROR(__xludf.DUMMYFUNCTION("""COMPUTED_VALUE"""),1.0)</f>
        <v>1</v>
      </c>
      <c r="K4102" s="18">
        <f>IFERROR(__xludf.DUMMYFUNCTION("""COMPUTED_VALUE"""),1.0)</f>
        <v>1</v>
      </c>
      <c r="L4102" s="17">
        <f>IFERROR(__xludf.DUMMYFUNCTION("""COMPUTED_VALUE"""),3.186181942E9)</f>
        <v>3186181942</v>
      </c>
      <c r="M4102" s="17" t="str">
        <f>IFERROR(__xludf.DUMMYFUNCTION("""COMPUTED_VALUE"""),"#REF!")</f>
        <v>#REF!</v>
      </c>
      <c r="N4102" s="17"/>
      <c r="O4102" s="17"/>
      <c r="P4102" s="17" t="b">
        <f>IFERROR(__xludf.DUMMYFUNCTION("""COMPUTED_VALUE"""),FALSE)</f>
        <v>0</v>
      </c>
      <c r="Q4102" s="20" t="str">
        <f>IFERROR(__xludf.DUMMYFUNCTION("""COMPUTED_VALUE"""),"")</f>
        <v/>
      </c>
      <c r="R4102" s="22" t="str">
        <f>IFERROR(__xludf.DUMMYFUNCTION("""COMPUTED_VALUE"""),"")</f>
        <v/>
      </c>
    </row>
    <row r="4103">
      <c r="A4103" s="15">
        <f>IFERROR(__xludf.DUMMYFUNCTION("""COMPUTED_VALUE"""),45120.0)</f>
        <v>45120</v>
      </c>
      <c r="B4103" s="16" t="str">
        <f>IFERROR(__xludf.DUMMYFUNCTION("""COMPUTED_VALUE"""),"Envia")</f>
        <v>Envia</v>
      </c>
      <c r="C4103" s="15" t="str">
        <f>IFERROR(__xludf.DUMMYFUNCTION("""COMPUTED_VALUE"""),"NEIVA")</f>
        <v>NEIVA</v>
      </c>
      <c r="D4103" s="15" t="str">
        <f>IFERROR(__xludf.DUMMYFUNCTION("""COMPUTED_VALUE"""),"BOGOTÁ")</f>
        <v>BOGOTÁ</v>
      </c>
      <c r="E4103" s="15" t="str">
        <f>IFERROR(__xludf.DUMMYFUNCTION("""COMPUTED_VALUE"""),"Evamazzita")</f>
        <v>Evamazzita</v>
      </c>
      <c r="F4103" s="17" t="str">
        <f>IFERROR(__xludf.DUMMYFUNCTION("""COMPUTED_VALUE"""),"Carre 1D#74-22 / Conjunto Haciendo Santa Marta, Apto 202 Torre B / Barrio Madrigal")</f>
        <v>Carre 1D#74-22 / Conjunto Haciendo Santa Marta, Apto 202 Torre B / Barrio Madrigal</v>
      </c>
      <c r="G4103" s="15" t="str">
        <f>IFERROR(__xludf.DUMMYFUNCTION("""COMPUTED_VALUE"""),"JENNIFER AYALA")</f>
        <v>JENNIFER AYALA</v>
      </c>
      <c r="H4103" s="16">
        <f>IFERROR(__xludf.DUMMYFUNCTION("""COMPUTED_VALUE"""),12700.0)</f>
        <v>12700</v>
      </c>
      <c r="I4103" s="18">
        <f>IFERROR(__xludf.DUMMYFUNCTION("""COMPUTED_VALUE"""),1.0)</f>
        <v>1</v>
      </c>
      <c r="J4103" s="18">
        <f>IFERROR(__xludf.DUMMYFUNCTION("""COMPUTED_VALUE"""),1.0)</f>
        <v>1</v>
      </c>
      <c r="K4103" s="18">
        <f>IFERROR(__xludf.DUMMYFUNCTION("""COMPUTED_VALUE"""),1.0)</f>
        <v>1</v>
      </c>
      <c r="L4103" s="17">
        <f>IFERROR(__xludf.DUMMYFUNCTION("""COMPUTED_VALUE"""),3.172905444E9)</f>
        <v>3172905444</v>
      </c>
      <c r="M4103" s="17" t="str">
        <f>IFERROR(__xludf.DUMMYFUNCTION("""COMPUTED_VALUE"""),"#REF!")</f>
        <v>#REF!</v>
      </c>
      <c r="N4103" s="17"/>
      <c r="O4103" s="17"/>
      <c r="P4103" s="17" t="b">
        <f>IFERROR(__xludf.DUMMYFUNCTION("""COMPUTED_VALUE"""),FALSE)</f>
        <v>0</v>
      </c>
      <c r="Q4103" s="20" t="str">
        <f>IFERROR(__xludf.DUMMYFUNCTION("""COMPUTED_VALUE"""),"")</f>
        <v/>
      </c>
      <c r="R4103" s="22" t="str">
        <f>IFERROR(__xludf.DUMMYFUNCTION("""COMPUTED_VALUE"""),"")</f>
        <v/>
      </c>
    </row>
    <row r="4104">
      <c r="A4104" s="15">
        <f>IFERROR(__xludf.DUMMYFUNCTION("""COMPUTED_VALUE"""),45120.0)</f>
        <v>45120</v>
      </c>
      <c r="B4104" s="16" t="str">
        <f>IFERROR(__xludf.DUMMYFUNCTION("""COMPUTED_VALUE"""),"Envia")</f>
        <v>Envia</v>
      </c>
      <c r="C4104" s="15" t="str">
        <f>IFERROR(__xludf.DUMMYFUNCTION("""COMPUTED_VALUE"""),"NEIVA")</f>
        <v>NEIVA</v>
      </c>
      <c r="D4104" s="15" t="str">
        <f>IFERROR(__xludf.DUMMYFUNCTION("""COMPUTED_VALUE"""),"BOGOTÁ")</f>
        <v>BOGOTÁ</v>
      </c>
      <c r="E4104" s="15" t="str">
        <f>IFERROR(__xludf.DUMMYFUNCTION("""COMPUTED_VALUE"""),"Evamazzita")</f>
        <v>Evamazzita</v>
      </c>
      <c r="F4104" s="17" t="str">
        <f>IFERROR(__xludf.DUMMYFUNCTION("""COMPUTED_VALUE"""),"Carrera 3#29-137 sur / Casa 82  / Conjunto sendero del rio")</f>
        <v>Carrera 3#29-137 sur / Casa 82  / Conjunto sendero del rio</v>
      </c>
      <c r="G4104" s="15" t="str">
        <f>IFERROR(__xludf.DUMMYFUNCTION("""COMPUTED_VALUE"""),"ANA CAROLINA VARGAS POLANIA")</f>
        <v>ANA CAROLINA VARGAS POLANIA</v>
      </c>
      <c r="H4104" s="16">
        <f>IFERROR(__xludf.DUMMYFUNCTION("""COMPUTED_VALUE"""),12702.0)</f>
        <v>12702</v>
      </c>
      <c r="I4104" s="18">
        <f>IFERROR(__xludf.DUMMYFUNCTION("""COMPUTED_VALUE"""),1.0)</f>
        <v>1</v>
      </c>
      <c r="J4104" s="18">
        <f>IFERROR(__xludf.DUMMYFUNCTION("""COMPUTED_VALUE"""),1.0)</f>
        <v>1</v>
      </c>
      <c r="K4104" s="18">
        <f>IFERROR(__xludf.DUMMYFUNCTION("""COMPUTED_VALUE"""),1.0)</f>
        <v>1</v>
      </c>
      <c r="L4104" s="17">
        <f>IFERROR(__xludf.DUMMYFUNCTION("""COMPUTED_VALUE"""),3.112064994E9)</f>
        <v>3112064994</v>
      </c>
      <c r="M4104" s="17" t="str">
        <f>IFERROR(__xludf.DUMMYFUNCTION("""COMPUTED_VALUE"""),"#REF!")</f>
        <v>#REF!</v>
      </c>
      <c r="N4104" s="17"/>
      <c r="O4104" s="17"/>
      <c r="P4104" s="17" t="b">
        <f>IFERROR(__xludf.DUMMYFUNCTION("""COMPUTED_VALUE"""),FALSE)</f>
        <v>0</v>
      </c>
      <c r="Q4104" s="20" t="str">
        <f>IFERROR(__xludf.DUMMYFUNCTION("""COMPUTED_VALUE"""),"")</f>
        <v/>
      </c>
      <c r="R4104" s="22" t="str">
        <f>IFERROR(__xludf.DUMMYFUNCTION("""COMPUTED_VALUE"""),"")</f>
        <v/>
      </c>
    </row>
    <row r="4105">
      <c r="A4105" s="15">
        <f>IFERROR(__xludf.DUMMYFUNCTION("""COMPUTED_VALUE"""),45120.0)</f>
        <v>45120</v>
      </c>
      <c r="B4105" s="16" t="str">
        <f>IFERROR(__xludf.DUMMYFUNCTION("""COMPUTED_VALUE"""),"Envia")</f>
        <v>Envia</v>
      </c>
      <c r="C4105" s="15" t="str">
        <f>IFERROR(__xludf.DUMMYFUNCTION("""COMPUTED_VALUE"""),"POPAYAN")</f>
        <v>POPAYAN</v>
      </c>
      <c r="D4105" s="15" t="str">
        <f>IFERROR(__xludf.DUMMYFUNCTION("""COMPUTED_VALUE"""),"BOGOTÁ")</f>
        <v>BOGOTÁ</v>
      </c>
      <c r="E4105" s="15" t="str">
        <f>IFERROR(__xludf.DUMMYFUNCTION("""COMPUTED_VALUE"""),"Ins. Alimento Vital")</f>
        <v>Ins. Alimento Vital</v>
      </c>
      <c r="F4105" s="17" t="str">
        <f>IFERROR(__xludf.DUMMYFUNCTION("""COMPUTED_VALUE"""),"CR 17 15 40 / POR EL ESTADERO PANORAM AL FONDO, AL LADO DEL TALLER DE CARROS PORTON AZUL / BARRIO LA LADERA")</f>
        <v>CR 17 15 40 / POR EL ESTADERO PANORAM AL FONDO, AL LADO DEL TALLER DE CARROS PORTON AZUL / BARRIO LA LADERA</v>
      </c>
      <c r="G4105" s="15" t="str">
        <f>IFERROR(__xludf.DUMMYFUNCTION("""COMPUTED_VALUE"""),"MARCELA GAVIRIA PAZ")</f>
        <v>MARCELA GAVIRIA PAZ</v>
      </c>
      <c r="H4105" s="16">
        <f>IFERROR(__xludf.DUMMYFUNCTION("""COMPUTED_VALUE"""),12660.0)</f>
        <v>12660</v>
      </c>
      <c r="I4105" s="18">
        <f>IFERROR(__xludf.DUMMYFUNCTION("""COMPUTED_VALUE"""),1.0)</f>
        <v>1</v>
      </c>
      <c r="J4105" s="18">
        <f>IFERROR(__xludf.DUMMYFUNCTION("""COMPUTED_VALUE"""),1.0)</f>
        <v>1</v>
      </c>
      <c r="K4105" s="18">
        <f>IFERROR(__xludf.DUMMYFUNCTION("""COMPUTED_VALUE"""),1.0)</f>
        <v>1</v>
      </c>
      <c r="L4105" s="17">
        <f>IFERROR(__xludf.DUMMYFUNCTION("""COMPUTED_VALUE"""),3.117038837E9)</f>
        <v>3117038837</v>
      </c>
      <c r="M4105" s="17" t="str">
        <f>IFERROR(__xludf.DUMMYFUNCTION("""COMPUTED_VALUE"""),"#REF!")</f>
        <v>#REF!</v>
      </c>
      <c r="N4105" s="17"/>
      <c r="O4105" s="17"/>
      <c r="P4105" s="17" t="b">
        <f>IFERROR(__xludf.DUMMYFUNCTION("""COMPUTED_VALUE"""),FALSE)</f>
        <v>0</v>
      </c>
      <c r="Q4105" s="20" t="str">
        <f>IFERROR(__xludf.DUMMYFUNCTION("""COMPUTED_VALUE"""),"")</f>
        <v/>
      </c>
      <c r="R4105" s="22" t="str">
        <f>IFERROR(__xludf.DUMMYFUNCTION("""COMPUTED_VALUE"""),"")</f>
        <v/>
      </c>
    </row>
    <row r="4106">
      <c r="A4106" s="15">
        <f>IFERROR(__xludf.DUMMYFUNCTION("""COMPUTED_VALUE"""),45120.0)</f>
        <v>45120</v>
      </c>
      <c r="B4106" s="16" t="str">
        <f>IFERROR(__xludf.DUMMYFUNCTION("""COMPUTED_VALUE"""),"Envia")</f>
        <v>Envia</v>
      </c>
      <c r="C4106" s="15" t="str">
        <f>IFERROR(__xludf.DUMMYFUNCTION("""COMPUTED_VALUE"""),"SINCELEJO")</f>
        <v>SINCELEJO</v>
      </c>
      <c r="D4106" s="15" t="str">
        <f>IFERROR(__xludf.DUMMYFUNCTION("""COMPUTED_VALUE"""),"MEDELLÍN")</f>
        <v>MEDELLÍN</v>
      </c>
      <c r="E4106" s="15" t="str">
        <f>IFERROR(__xludf.DUMMYFUNCTION("""COMPUTED_VALUE"""),"Rambla")</f>
        <v>Rambla</v>
      </c>
      <c r="F4106" s="17" t="str">
        <f>IFERROR(__xludf.DUMMYFUNCTION("""COMPUTED_VALUE"""),"calle 25#28b-94  / Barrio socorro  / edificio  juan pablo 2")</f>
        <v>calle 25#28b-94  / Barrio socorro  / edificio  juan pablo 2</v>
      </c>
      <c r="G4106" s="15" t="str">
        <f>IFERROR(__xludf.DUMMYFUNCTION("""COMPUTED_VALUE"""),"nutrifit")</f>
        <v>nutrifit</v>
      </c>
      <c r="H4106" s="16">
        <f>IFERROR(__xludf.DUMMYFUNCTION("""COMPUTED_VALUE"""),12655.0)</f>
        <v>12655</v>
      </c>
      <c r="I4106" s="18">
        <f>IFERROR(__xludf.DUMMYFUNCTION("""COMPUTED_VALUE"""),34.0)</f>
        <v>34</v>
      </c>
      <c r="J4106" s="18">
        <f>IFERROR(__xludf.DUMMYFUNCTION("""COMPUTED_VALUE"""),26.0)</f>
        <v>26</v>
      </c>
      <c r="K4106" s="18">
        <f>IFERROR(__xludf.DUMMYFUNCTION("""COMPUTED_VALUE"""),12.0)</f>
        <v>12</v>
      </c>
      <c r="L4106" s="17">
        <f>IFERROR(__xludf.DUMMYFUNCTION("""COMPUTED_VALUE"""),3.025077345E9)</f>
        <v>3025077345</v>
      </c>
      <c r="M4106" s="17" t="str">
        <f>IFERROR(__xludf.DUMMYFUNCTION("""COMPUTED_VALUE"""),"#REF!")</f>
        <v>#REF!</v>
      </c>
      <c r="N4106" s="17"/>
      <c r="O4106" s="17"/>
      <c r="P4106" s="17" t="b">
        <f>IFERROR(__xludf.DUMMYFUNCTION("""COMPUTED_VALUE"""),FALSE)</f>
        <v>0</v>
      </c>
      <c r="Q4106" s="20" t="str">
        <f>IFERROR(__xludf.DUMMYFUNCTION("""COMPUTED_VALUE"""),"")</f>
        <v/>
      </c>
      <c r="R4106" s="22" t="str">
        <f>IFERROR(__xludf.DUMMYFUNCTION("""COMPUTED_VALUE"""),"")</f>
        <v/>
      </c>
    </row>
    <row r="4107">
      <c r="A4107" s="17" t="str">
        <f>IFERROR(__xludf.DUMMYFUNCTION("""COMPUTED_VALUE"""),"")</f>
        <v/>
      </c>
      <c r="B4107" s="17" t="str">
        <f>IFERROR(__xludf.DUMMYFUNCTION("""COMPUTED_VALUE"""),"")</f>
        <v/>
      </c>
      <c r="C4107" s="17" t="str">
        <f>IFERROR(__xludf.DUMMYFUNCTION("""COMPUTED_VALUE"""),"")</f>
        <v/>
      </c>
      <c r="D4107" s="17" t="str">
        <f>IFERROR(__xludf.DUMMYFUNCTION("""COMPUTED_VALUE"""),"")</f>
        <v/>
      </c>
      <c r="E4107" s="17" t="str">
        <f>IFERROR(__xludf.DUMMYFUNCTION("""COMPUTED_VALUE"""),"")</f>
        <v/>
      </c>
      <c r="F4107" s="17" t="str">
        <f>IFERROR(__xludf.DUMMYFUNCTION("""COMPUTED_VALUE"""),"")</f>
        <v/>
      </c>
      <c r="G4107" s="17" t="str">
        <f>IFERROR(__xludf.DUMMYFUNCTION("""COMPUTED_VALUE"""),"")</f>
        <v/>
      </c>
      <c r="H4107" s="17" t="str">
        <f>IFERROR(__xludf.DUMMYFUNCTION("""COMPUTED_VALUE"""),"")</f>
        <v/>
      </c>
      <c r="I4107" s="17" t="str">
        <f>IFERROR(__xludf.DUMMYFUNCTION("""COMPUTED_VALUE"""),"")</f>
        <v/>
      </c>
      <c r="J4107" s="17" t="str">
        <f>IFERROR(__xludf.DUMMYFUNCTION("""COMPUTED_VALUE"""),"")</f>
        <v/>
      </c>
      <c r="K4107" s="17" t="str">
        <f>IFERROR(__xludf.DUMMYFUNCTION("""COMPUTED_VALUE"""),"")</f>
        <v/>
      </c>
      <c r="L4107" s="17" t="str">
        <f>IFERROR(__xludf.DUMMYFUNCTION("""COMPUTED_VALUE"""),"")</f>
        <v/>
      </c>
      <c r="M4107" s="17" t="str">
        <f>IFERROR(__xludf.DUMMYFUNCTION("""COMPUTED_VALUE"""),"")</f>
        <v/>
      </c>
      <c r="N4107" s="17" t="str">
        <f>IFERROR(__xludf.DUMMYFUNCTION("""COMPUTED_VALUE"""),"")</f>
        <v/>
      </c>
      <c r="O4107" s="17" t="str">
        <f>IFERROR(__xludf.DUMMYFUNCTION("""COMPUTED_VALUE"""),"")</f>
        <v/>
      </c>
      <c r="P4107" s="17" t="str">
        <f>IFERROR(__xludf.DUMMYFUNCTION("""COMPUTED_VALUE"""),"")</f>
        <v/>
      </c>
      <c r="Q4107" s="17" t="str">
        <f>IFERROR(__xludf.DUMMYFUNCTION("""COMPUTED_VALUE"""),"")</f>
        <v/>
      </c>
      <c r="R4107" s="17" t="str">
        <f>IFERROR(__xludf.DUMMYFUNCTION("""COMPUTED_VALUE"""),"")</f>
        <v/>
      </c>
    </row>
    <row r="4108">
      <c r="A4108" s="15">
        <f>IFERROR(__xludf.DUMMYFUNCTION("""COMPUTED_VALUE"""),45120.0)</f>
        <v>45120</v>
      </c>
      <c r="B4108" s="16" t="str">
        <f>IFERROR(__xludf.DUMMYFUNCTION("""COMPUTED_VALUE"""),"José Miguel Bonilla")</f>
        <v>José Miguel Bonilla</v>
      </c>
      <c r="C4108" s="15" t="str">
        <f>IFERROR(__xludf.DUMMYFUNCTION("""COMPUTED_VALUE"""),"BUCARAMANGA")</f>
        <v>BUCARAMANGA</v>
      </c>
      <c r="D4108" s="15" t="str">
        <f>IFERROR(__xludf.DUMMYFUNCTION("""COMPUTED_VALUE"""),"BOGOTÁ")</f>
        <v>BOGOTÁ</v>
      </c>
      <c r="E4108" s="15" t="str">
        <f>IFERROR(__xludf.DUMMYFUNCTION("""COMPUTED_VALUE"""),"Evamazzita")</f>
        <v>Evamazzita</v>
      </c>
      <c r="F4108" s="17" t="str">
        <f>IFERROR(__xludf.DUMMYFUNCTION("""COMPUTED_VALUE"""),"Calle 54#23-12 / Nuevo Sotomayor Apto 301 / Diagonal a Drogas Pague Menos")</f>
        <v>Calle 54#23-12 / Nuevo Sotomayor Apto 301 / Diagonal a Drogas Pague Menos</v>
      </c>
      <c r="G4108" s="15" t="str">
        <f>IFERROR(__xludf.DUMMYFUNCTION("""COMPUTED_VALUE"""),"LEYDI JOHANA GALVIS AMAYA")</f>
        <v>LEYDI JOHANA GALVIS AMAYA</v>
      </c>
      <c r="H4108" s="16">
        <f>IFERROR(__xludf.DUMMYFUNCTION("""COMPUTED_VALUE"""),12689.0)</f>
        <v>12689</v>
      </c>
      <c r="I4108" s="18">
        <f>IFERROR(__xludf.DUMMYFUNCTION("""COMPUTED_VALUE"""),1.0)</f>
        <v>1</v>
      </c>
      <c r="J4108" s="18">
        <f>IFERROR(__xludf.DUMMYFUNCTION("""COMPUTED_VALUE"""),1.0)</f>
        <v>1</v>
      </c>
      <c r="K4108" s="18">
        <f>IFERROR(__xludf.DUMMYFUNCTION("""COMPUTED_VALUE"""),1.0)</f>
        <v>1</v>
      </c>
      <c r="L4108" s="17">
        <f>IFERROR(__xludf.DUMMYFUNCTION("""COMPUTED_VALUE"""),3.174719982E9)</f>
        <v>3174719982</v>
      </c>
      <c r="M4108" s="17" t="str">
        <f>IFERROR(__xludf.DUMMYFUNCTION("""COMPUTED_VALUE"""),"#REF!")</f>
        <v>#REF!</v>
      </c>
      <c r="N4108" s="17"/>
      <c r="O4108" s="17"/>
      <c r="P4108" s="17" t="b">
        <f>IFERROR(__xludf.DUMMYFUNCTION("""COMPUTED_VALUE"""),FALSE)</f>
        <v>0</v>
      </c>
      <c r="Q4108" s="20" t="str">
        <f>IFERROR(__xludf.DUMMYFUNCTION("""COMPUTED_VALUE"""),"")</f>
        <v/>
      </c>
      <c r="R4108" s="21" t="str">
        <f>IFERROR(__xludf.DUMMYFUNCTION("""COMPUTED_VALUE"""),"https://drive.google.com/file/d/1tQvTk99kqXKN2IZTEMdOd6li9HwHszCm/view?usp=drivesdk")</f>
        <v>https://drive.google.com/file/d/1tQvTk99kqXKN2IZTEMdOd6li9HwHszCm/view?usp=drivesdk</v>
      </c>
    </row>
    <row r="4109">
      <c r="A4109" s="15">
        <f>IFERROR(__xludf.DUMMYFUNCTION("""COMPUTED_VALUE"""),45120.0)</f>
        <v>45120</v>
      </c>
      <c r="B4109" s="16" t="str">
        <f>IFERROR(__xludf.DUMMYFUNCTION("""COMPUTED_VALUE"""),"José Miguel Bonilla")</f>
        <v>José Miguel Bonilla</v>
      </c>
      <c r="C4109" s="15" t="str">
        <f>IFERROR(__xludf.DUMMYFUNCTION("""COMPUTED_VALUE"""),"BUCARAMANGA")</f>
        <v>BUCARAMANGA</v>
      </c>
      <c r="D4109" s="15" t="str">
        <f>IFERROR(__xludf.DUMMYFUNCTION("""COMPUTED_VALUE"""),"BOGOTÁ")</f>
        <v>BOGOTÁ</v>
      </c>
      <c r="E4109" s="15" t="str">
        <f>IFERROR(__xludf.DUMMYFUNCTION("""COMPUTED_VALUE"""),"Evamazzita")</f>
        <v>Evamazzita</v>
      </c>
      <c r="F4109" s="17" t="str">
        <f>IFERROR(__xludf.DUMMYFUNCTION("""COMPUTED_VALUE"""),"Calle 64A #17A-86 / N/A / La Ceiba")</f>
        <v>Calle 64A #17A-86 / N/A / La Ceiba</v>
      </c>
      <c r="G4109" s="15" t="str">
        <f>IFERROR(__xludf.DUMMYFUNCTION("""COMPUTED_VALUE"""),"MELISA AMAYA")</f>
        <v>MELISA AMAYA</v>
      </c>
      <c r="H4109" s="16">
        <f>IFERROR(__xludf.DUMMYFUNCTION("""COMPUTED_VALUE"""),12685.0)</f>
        <v>12685</v>
      </c>
      <c r="I4109" s="18">
        <f>IFERROR(__xludf.DUMMYFUNCTION("""COMPUTED_VALUE"""),1.0)</f>
        <v>1</v>
      </c>
      <c r="J4109" s="18">
        <f>IFERROR(__xludf.DUMMYFUNCTION("""COMPUTED_VALUE"""),1.0)</f>
        <v>1</v>
      </c>
      <c r="K4109" s="18">
        <f>IFERROR(__xludf.DUMMYFUNCTION("""COMPUTED_VALUE"""),1.0)</f>
        <v>1</v>
      </c>
      <c r="L4109" s="17">
        <f>IFERROR(__xludf.DUMMYFUNCTION("""COMPUTED_VALUE"""),3.045481271E9)</f>
        <v>3045481271</v>
      </c>
      <c r="M4109" s="17" t="str">
        <f>IFERROR(__xludf.DUMMYFUNCTION("""COMPUTED_VALUE"""),"#REF!")</f>
        <v>#REF!</v>
      </c>
      <c r="N4109" s="17"/>
      <c r="O4109" s="17"/>
      <c r="P4109" s="17" t="b">
        <f>IFERROR(__xludf.DUMMYFUNCTION("""COMPUTED_VALUE"""),FALSE)</f>
        <v>0</v>
      </c>
      <c r="Q4109" s="20" t="str">
        <f>IFERROR(__xludf.DUMMYFUNCTION("""COMPUTED_VALUE"""),"")</f>
        <v/>
      </c>
      <c r="R4109" s="21" t="str">
        <f>IFERROR(__xludf.DUMMYFUNCTION("""COMPUTED_VALUE"""),"https://drive.google.com/file/d/15MBiiWCQWgrenGFNnIQln43nqOSVp2H4/view?usp=drivesdk")</f>
        <v>https://drive.google.com/file/d/15MBiiWCQWgrenGFNnIQln43nqOSVp2H4/view?usp=drivesdk</v>
      </c>
    </row>
    <row r="4110">
      <c r="A4110" s="15">
        <f>IFERROR(__xludf.DUMMYFUNCTION("""COMPUTED_VALUE"""),45120.0)</f>
        <v>45120</v>
      </c>
      <c r="B4110" s="16" t="str">
        <f>IFERROR(__xludf.DUMMYFUNCTION("""COMPUTED_VALUE"""),"José Miguel Bonilla")</f>
        <v>José Miguel Bonilla</v>
      </c>
      <c r="C4110" s="15" t="str">
        <f>IFERROR(__xludf.DUMMYFUNCTION("""COMPUTED_VALUE"""),"BUCARAMANGA")</f>
        <v>BUCARAMANGA</v>
      </c>
      <c r="D4110" s="15" t="str">
        <f>IFERROR(__xludf.DUMMYFUNCTION("""COMPUTED_VALUE"""),"BOGOTÁ")</f>
        <v>BOGOTÁ</v>
      </c>
      <c r="E4110" s="15" t="str">
        <f>IFERROR(__xludf.DUMMYFUNCTION("""COMPUTED_VALUE"""),"Evamazzita")</f>
        <v>Evamazzita</v>
      </c>
      <c r="F4110" s="17" t="str">
        <f>IFERROR(__xludf.DUMMYFUNCTION("""COMPUTED_VALUE"""),"Carrera 18 #5-71 / Casa  / N/A")</f>
        <v>Carrera 18 #5-71 / Casa  / N/A</v>
      </c>
      <c r="G4110" s="15" t="str">
        <f>IFERROR(__xludf.DUMMYFUNCTION("""COMPUTED_VALUE"""),"ELIANA FLOREZ")</f>
        <v>ELIANA FLOREZ</v>
      </c>
      <c r="H4110" s="16">
        <f>IFERROR(__xludf.DUMMYFUNCTION("""COMPUTED_VALUE"""),12690.0)</f>
        <v>12690</v>
      </c>
      <c r="I4110" s="18">
        <f>IFERROR(__xludf.DUMMYFUNCTION("""COMPUTED_VALUE"""),1.0)</f>
        <v>1</v>
      </c>
      <c r="J4110" s="18">
        <f>IFERROR(__xludf.DUMMYFUNCTION("""COMPUTED_VALUE"""),1.0)</f>
        <v>1</v>
      </c>
      <c r="K4110" s="18">
        <f>IFERROR(__xludf.DUMMYFUNCTION("""COMPUTED_VALUE"""),1.0)</f>
        <v>1</v>
      </c>
      <c r="L4110" s="17">
        <f>IFERROR(__xludf.DUMMYFUNCTION("""COMPUTED_VALUE"""),3.209462786E9)</f>
        <v>3209462786</v>
      </c>
      <c r="M4110" s="17" t="str">
        <f>IFERROR(__xludf.DUMMYFUNCTION("""COMPUTED_VALUE"""),"#REF!")</f>
        <v>#REF!</v>
      </c>
      <c r="N4110" s="17"/>
      <c r="O4110" s="17"/>
      <c r="P4110" s="17" t="b">
        <f>IFERROR(__xludf.DUMMYFUNCTION("""COMPUTED_VALUE"""),TRUE)</f>
        <v>1</v>
      </c>
      <c r="Q4110" s="20">
        <f>IFERROR(__xludf.DUMMYFUNCTION("""COMPUTED_VALUE"""),45120.68962989583)</f>
        <v>45120.68963</v>
      </c>
      <c r="R4110" s="21" t="str">
        <f>IFERROR(__xludf.DUMMYFUNCTION("""COMPUTED_VALUE"""),"https://drive.google.com/file/d/1r9oVlLbhtd2MTWAErSON81A3l_jSx-e1/view?usp=drivesdk")</f>
        <v>https://drive.google.com/file/d/1r9oVlLbhtd2MTWAErSON81A3l_jSx-e1/view?usp=drivesdk</v>
      </c>
    </row>
    <row r="4111">
      <c r="A4111" s="15">
        <f>IFERROR(__xludf.DUMMYFUNCTION("""COMPUTED_VALUE"""),45120.0)</f>
        <v>45120</v>
      </c>
      <c r="B4111" s="16" t="str">
        <f>IFERROR(__xludf.DUMMYFUNCTION("""COMPUTED_VALUE"""),"José Miguel Bonilla")</f>
        <v>José Miguel Bonilla</v>
      </c>
      <c r="C4111" s="15" t="str">
        <f>IFERROR(__xludf.DUMMYFUNCTION("""COMPUTED_VALUE"""),"BUCARAMANGA")</f>
        <v>BUCARAMANGA</v>
      </c>
      <c r="D4111" s="15" t="str">
        <f>IFERROR(__xludf.DUMMYFUNCTION("""COMPUTED_VALUE"""),"BOGOTÁ")</f>
        <v>BOGOTÁ</v>
      </c>
      <c r="E4111" s="15" t="str">
        <f>IFERROR(__xludf.DUMMYFUNCTION("""COMPUTED_VALUE"""),"Evamazzita")</f>
        <v>Evamazzita</v>
      </c>
      <c r="F4111" s="17" t="str">
        <f>IFERROR(__xludf.DUMMYFUNCTION("""COMPUTED_VALUE"""),"Carrera 20#110-69 / Conjunto San Lorenzo 2 Apto 1505 / 3045236772")</f>
        <v>Carrera 20#110-69 / Conjunto San Lorenzo 2 Apto 1505 / 3045236772</v>
      </c>
      <c r="G4111" s="15" t="str">
        <f>IFERROR(__xludf.DUMMYFUNCTION("""COMPUTED_VALUE"""),"LAURA VANESSA PADILLA")</f>
        <v>LAURA VANESSA PADILLA</v>
      </c>
      <c r="H4111" s="16">
        <f>IFERROR(__xludf.DUMMYFUNCTION("""COMPUTED_VALUE"""),12686.0)</f>
        <v>12686</v>
      </c>
      <c r="I4111" s="18">
        <f>IFERROR(__xludf.DUMMYFUNCTION("""COMPUTED_VALUE"""),1.0)</f>
        <v>1</v>
      </c>
      <c r="J4111" s="18">
        <f>IFERROR(__xludf.DUMMYFUNCTION("""COMPUTED_VALUE"""),1.0)</f>
        <v>1</v>
      </c>
      <c r="K4111" s="18">
        <f>IFERROR(__xludf.DUMMYFUNCTION("""COMPUTED_VALUE"""),1.0)</f>
        <v>1</v>
      </c>
      <c r="L4111" s="17">
        <f>IFERROR(__xludf.DUMMYFUNCTION("""COMPUTED_VALUE"""),3.045236772E9)</f>
        <v>3045236772</v>
      </c>
      <c r="M4111" s="17" t="str">
        <f>IFERROR(__xludf.DUMMYFUNCTION("""COMPUTED_VALUE"""),"#REF!")</f>
        <v>#REF!</v>
      </c>
      <c r="N4111" s="17"/>
      <c r="O4111" s="17"/>
      <c r="P4111" s="17" t="b">
        <f>IFERROR(__xludf.DUMMYFUNCTION("""COMPUTED_VALUE"""),FALSE)</f>
        <v>0</v>
      </c>
      <c r="Q4111" s="20" t="str">
        <f>IFERROR(__xludf.DUMMYFUNCTION("""COMPUTED_VALUE"""),"")</f>
        <v/>
      </c>
      <c r="R4111" s="21" t="str">
        <f>IFERROR(__xludf.DUMMYFUNCTION("""COMPUTED_VALUE"""),"https://drive.google.com/file/d/1Cu3bxqJL2FuO7j9lvAYkh0Qxb94y7fwP/view?usp=drivesdk")</f>
        <v>https://drive.google.com/file/d/1Cu3bxqJL2FuO7j9lvAYkh0Qxb94y7fwP/view?usp=drivesdk</v>
      </c>
    </row>
    <row r="4112">
      <c r="A4112" s="15">
        <f>IFERROR(__xludf.DUMMYFUNCTION("""COMPUTED_VALUE"""),45120.0)</f>
        <v>45120</v>
      </c>
      <c r="B4112" s="16" t="str">
        <f>IFERROR(__xludf.DUMMYFUNCTION("""COMPUTED_VALUE"""),"José Miguel Bonilla")</f>
        <v>José Miguel Bonilla</v>
      </c>
      <c r="C4112" s="15" t="str">
        <f>IFERROR(__xludf.DUMMYFUNCTION("""COMPUTED_VALUE"""),"BUCARAMANGA")</f>
        <v>BUCARAMANGA</v>
      </c>
      <c r="D4112" s="15" t="str">
        <f>IFERROR(__xludf.DUMMYFUNCTION("""COMPUTED_VALUE"""),"BOGOTÁ")</f>
        <v>BOGOTÁ</v>
      </c>
      <c r="E4112" s="15" t="str">
        <f>IFERROR(__xludf.DUMMYFUNCTION("""COMPUTED_VALUE"""),"Evamazzita")</f>
        <v>Evamazzita</v>
      </c>
      <c r="F4112" s="17" t="str">
        <f>IFERROR(__xludf.DUMMYFUNCTION("""COMPUTED_VALUE"""),"Carrera 29 #45-45 / Edificio Metropolitan, Piso 20 / Barrio Soto Mayor")</f>
        <v>Carrera 29 #45-45 / Edificio Metropolitan, Piso 20 / Barrio Soto Mayor</v>
      </c>
      <c r="G4112" s="15" t="str">
        <f>IFERROR(__xludf.DUMMYFUNCTION("""COMPUTED_VALUE"""),"LEYDI MONOSALVA CHIVATA")</f>
        <v>LEYDI MONOSALVA CHIVATA</v>
      </c>
      <c r="H4112" s="16">
        <f>IFERROR(__xludf.DUMMYFUNCTION("""COMPUTED_VALUE"""),12687.0)</f>
        <v>12687</v>
      </c>
      <c r="I4112" s="18">
        <f>IFERROR(__xludf.DUMMYFUNCTION("""COMPUTED_VALUE"""),1.0)</f>
        <v>1</v>
      </c>
      <c r="J4112" s="18">
        <f>IFERROR(__xludf.DUMMYFUNCTION("""COMPUTED_VALUE"""),1.0)</f>
        <v>1</v>
      </c>
      <c r="K4112" s="18">
        <f>IFERROR(__xludf.DUMMYFUNCTION("""COMPUTED_VALUE"""),1.0)</f>
        <v>1</v>
      </c>
      <c r="L4112" s="17">
        <f>IFERROR(__xludf.DUMMYFUNCTION("""COMPUTED_VALUE"""),3.104763914E9)</f>
        <v>3104763914</v>
      </c>
      <c r="M4112" s="17" t="str">
        <f>IFERROR(__xludf.DUMMYFUNCTION("""COMPUTED_VALUE"""),"#REF!")</f>
        <v>#REF!</v>
      </c>
      <c r="N4112" s="17"/>
      <c r="O4112" s="17"/>
      <c r="P4112" s="17" t="b">
        <f>IFERROR(__xludf.DUMMYFUNCTION("""COMPUTED_VALUE"""),FALSE)</f>
        <v>0</v>
      </c>
      <c r="Q4112" s="20" t="str">
        <f>IFERROR(__xludf.DUMMYFUNCTION("""COMPUTED_VALUE"""),"")</f>
        <v/>
      </c>
      <c r="R4112" s="21" t="str">
        <f>IFERROR(__xludf.DUMMYFUNCTION("""COMPUTED_VALUE"""),"https://drive.google.com/file/d/15LUySxPHDSjNLDFyg0UW-MxngLvhIrTb/view?usp=drivesdk")</f>
        <v>https://drive.google.com/file/d/15LUySxPHDSjNLDFyg0UW-MxngLvhIrTb/view?usp=drivesdk</v>
      </c>
    </row>
    <row r="4113">
      <c r="A4113" s="15">
        <f>IFERROR(__xludf.DUMMYFUNCTION("""COMPUTED_VALUE"""),45120.0)</f>
        <v>45120</v>
      </c>
      <c r="B4113" s="16" t="str">
        <f>IFERROR(__xludf.DUMMYFUNCTION("""COMPUTED_VALUE"""),"José Miguel Bonilla")</f>
        <v>José Miguel Bonilla</v>
      </c>
      <c r="C4113" s="15" t="str">
        <f>IFERROR(__xludf.DUMMYFUNCTION("""COMPUTED_VALUE"""),"BUCARAMANGA")</f>
        <v>BUCARAMANGA</v>
      </c>
      <c r="D4113" s="15" t="str">
        <f>IFERROR(__xludf.DUMMYFUNCTION("""COMPUTED_VALUE"""),"BOGOTÁ")</f>
        <v>BOGOTÁ</v>
      </c>
      <c r="E4113" s="15" t="str">
        <f>IFERROR(__xludf.DUMMYFUNCTION("""COMPUTED_VALUE"""),"Evamazzita")</f>
        <v>Evamazzita</v>
      </c>
      <c r="F4113" s="17" t="str">
        <f>IFERROR(__xludf.DUMMYFUNCTION("""COMPUTED_VALUE"""),"Carrera 39#42-54 / Apto 401 / N/A")</f>
        <v>Carrera 39#42-54 / Apto 401 / N/A</v>
      </c>
      <c r="G4113" s="15" t="str">
        <f>IFERROR(__xludf.DUMMYFUNCTION("""COMPUTED_VALUE"""),"ANGELA MARIA JARAMILLO JIMENEZ")</f>
        <v>ANGELA MARIA JARAMILLO JIMENEZ</v>
      </c>
      <c r="H4113" s="16">
        <f>IFERROR(__xludf.DUMMYFUNCTION("""COMPUTED_VALUE"""),12688.0)</f>
        <v>12688</v>
      </c>
      <c r="I4113" s="18">
        <f>IFERROR(__xludf.DUMMYFUNCTION("""COMPUTED_VALUE"""),1.0)</f>
        <v>1</v>
      </c>
      <c r="J4113" s="18">
        <f>IFERROR(__xludf.DUMMYFUNCTION("""COMPUTED_VALUE"""),1.0)</f>
        <v>1</v>
      </c>
      <c r="K4113" s="18">
        <f>IFERROR(__xludf.DUMMYFUNCTION("""COMPUTED_VALUE"""),1.0)</f>
        <v>1</v>
      </c>
      <c r="L4113" s="17">
        <f>IFERROR(__xludf.DUMMYFUNCTION("""COMPUTED_VALUE"""),3.108400216E9)</f>
        <v>3108400216</v>
      </c>
      <c r="M4113" s="17" t="str">
        <f>IFERROR(__xludf.DUMMYFUNCTION("""COMPUTED_VALUE"""),"#REF!")</f>
        <v>#REF!</v>
      </c>
      <c r="N4113" s="17"/>
      <c r="O4113" s="17"/>
      <c r="P4113" s="17" t="b">
        <f>IFERROR(__xludf.DUMMYFUNCTION("""COMPUTED_VALUE"""),FALSE)</f>
        <v>0</v>
      </c>
      <c r="Q4113" s="20" t="str">
        <f>IFERROR(__xludf.DUMMYFUNCTION("""COMPUTED_VALUE"""),"")</f>
        <v/>
      </c>
      <c r="R4113" s="21" t="str">
        <f>IFERROR(__xludf.DUMMYFUNCTION("""COMPUTED_VALUE"""),"https://drive.google.com/file/d/1u1uDfc1xIYwYhGj-_F4l658shOuGEaki/view?usp=drivesdk")</f>
        <v>https://drive.google.com/file/d/1u1uDfc1xIYwYhGj-_F4l658shOuGEaki/view?usp=drivesdk</v>
      </c>
    </row>
    <row r="4114">
      <c r="A4114" s="15">
        <f>IFERROR(__xludf.DUMMYFUNCTION("""COMPUTED_VALUE"""),45120.0)</f>
        <v>45120</v>
      </c>
      <c r="B4114" s="16" t="str">
        <f>IFERROR(__xludf.DUMMYFUNCTION("""COMPUTED_VALUE"""),"José Miguel Bonilla")</f>
        <v>José Miguel Bonilla</v>
      </c>
      <c r="C4114" s="15" t="str">
        <f>IFERROR(__xludf.DUMMYFUNCTION("""COMPUTED_VALUE"""),"BUCARAMANGA")</f>
        <v>BUCARAMANGA</v>
      </c>
      <c r="D4114" s="15" t="str">
        <f>IFERROR(__xludf.DUMMYFUNCTION("""COMPUTED_VALUE"""),"BOGOTÁ")</f>
        <v>BOGOTÁ</v>
      </c>
      <c r="E4114" s="15" t="str">
        <f>IFERROR(__xludf.DUMMYFUNCTION("""COMPUTED_VALUE"""),"Pan de Waffle")</f>
        <v>Pan de Waffle</v>
      </c>
      <c r="F4114" s="17" t="str">
        <f>IFERROR(__xludf.DUMMYFUNCTION("""COMPUTED_VALUE"""),"Carrera 35a # 54 - 113 / Carrera 35a # 54 - 113 / Carrera 35a # 54 - 113")</f>
        <v>Carrera 35a # 54 - 113 / Carrera 35a # 54 - 113 / Carrera 35a # 54 - 113</v>
      </c>
      <c r="G4114" s="15" t="str">
        <f>IFERROR(__xludf.DUMMYFUNCTION("""COMPUTED_VALUE"""),"FOODOLOGY")</f>
        <v>FOODOLOGY</v>
      </c>
      <c r="H4114" s="16">
        <f>IFERROR(__xludf.DUMMYFUNCTION("""COMPUTED_VALUE"""),12708.0)</f>
        <v>12708</v>
      </c>
      <c r="I4114" s="18">
        <f>IFERROR(__xludf.DUMMYFUNCTION("""COMPUTED_VALUE"""),30.0)</f>
        <v>30</v>
      </c>
      <c r="J4114" s="18">
        <f>IFERROR(__xludf.DUMMYFUNCTION("""COMPUTED_VALUE"""),40.0)</f>
        <v>40</v>
      </c>
      <c r="K4114" s="18">
        <f>IFERROR(__xludf.DUMMYFUNCTION("""COMPUTED_VALUE"""),30.0)</f>
        <v>30</v>
      </c>
      <c r="L4114" s="17">
        <f>IFERROR(__xludf.DUMMYFUNCTION("""COMPUTED_VALUE"""),3.017001909E9)</f>
        <v>3017001909</v>
      </c>
      <c r="M4114" s="17" t="str">
        <f>IFERROR(__xludf.DUMMYFUNCTION("""COMPUTED_VALUE"""),"#REF!")</f>
        <v>#REF!</v>
      </c>
      <c r="N4114" s="17"/>
      <c r="O4114" s="17"/>
      <c r="P4114" s="17" t="b">
        <f>IFERROR(__xludf.DUMMYFUNCTION("""COMPUTED_VALUE"""),FALSE)</f>
        <v>0</v>
      </c>
      <c r="Q4114" s="20" t="str">
        <f>IFERROR(__xludf.DUMMYFUNCTION("""COMPUTED_VALUE"""),"")</f>
        <v/>
      </c>
      <c r="R4114" s="21" t="str">
        <f>IFERROR(__xludf.DUMMYFUNCTION("""COMPUTED_VALUE"""),"https://drive.google.com/file/d/15iyNuGerGtDK4rv_bnT7FgjOekONTZmN/view?usp=drivesdk")</f>
        <v>https://drive.google.com/file/d/15iyNuGerGtDK4rv_bnT7FgjOekONTZmN/view?usp=drivesdk</v>
      </c>
    </row>
    <row r="4115">
      <c r="A4115" s="15">
        <f>IFERROR(__xludf.DUMMYFUNCTION("""COMPUTED_VALUE"""),45120.0)</f>
        <v>45120</v>
      </c>
      <c r="B4115" s="16" t="str">
        <f>IFERROR(__xludf.DUMMYFUNCTION("""COMPUTED_VALUE"""),"José Miguel Bonilla")</f>
        <v>José Miguel Bonilla</v>
      </c>
      <c r="C4115" s="15" t="str">
        <f>IFERROR(__xludf.DUMMYFUNCTION("""COMPUTED_VALUE"""),"FLORIDABLANCA")</f>
        <v>FLORIDABLANCA</v>
      </c>
      <c r="D4115" s="15" t="str">
        <f>IFERROR(__xludf.DUMMYFUNCTION("""COMPUTED_VALUE"""),"BOGOTÁ")</f>
        <v>BOGOTÁ</v>
      </c>
      <c r="E4115" s="15" t="str">
        <f>IFERROR(__xludf.DUMMYFUNCTION("""COMPUTED_VALUE"""),"Evamazzita")</f>
        <v>Evamazzita</v>
      </c>
      <c r="F4115" s="17" t="str">
        <f>IFERROR(__xludf.DUMMYFUNCTION("""COMPUTED_VALUE"""),"Calle 200#22b-645 / Tarre 5 Apto 420 / Conjunto Mirador de Versalles")</f>
        <v>Calle 200#22b-645 / Tarre 5 Apto 420 / Conjunto Mirador de Versalles</v>
      </c>
      <c r="G4115" s="15" t="str">
        <f>IFERROR(__xludf.DUMMYFUNCTION("""COMPUTED_VALUE"""),"GENNY RIZO")</f>
        <v>GENNY RIZO</v>
      </c>
      <c r="H4115" s="16">
        <f>IFERROR(__xludf.DUMMYFUNCTION("""COMPUTED_VALUE"""),12696.0)</f>
        <v>12696</v>
      </c>
      <c r="I4115" s="18">
        <f>IFERROR(__xludf.DUMMYFUNCTION("""COMPUTED_VALUE"""),1.0)</f>
        <v>1</v>
      </c>
      <c r="J4115" s="18">
        <f>IFERROR(__xludf.DUMMYFUNCTION("""COMPUTED_VALUE"""),1.0)</f>
        <v>1</v>
      </c>
      <c r="K4115" s="18">
        <f>IFERROR(__xludf.DUMMYFUNCTION("""COMPUTED_VALUE"""),1.0)</f>
        <v>1</v>
      </c>
      <c r="L4115" s="17">
        <f>IFERROR(__xludf.DUMMYFUNCTION("""COMPUTED_VALUE"""),3.123290941E9)</f>
        <v>3123290941</v>
      </c>
      <c r="M4115" s="17" t="str">
        <f>IFERROR(__xludf.DUMMYFUNCTION("""COMPUTED_VALUE"""),"#REF!")</f>
        <v>#REF!</v>
      </c>
      <c r="N4115" s="17"/>
      <c r="O4115" s="17"/>
      <c r="P4115" s="17" t="b">
        <f>IFERROR(__xludf.DUMMYFUNCTION("""COMPUTED_VALUE"""),FALSE)</f>
        <v>0</v>
      </c>
      <c r="Q4115" s="20" t="str">
        <f>IFERROR(__xludf.DUMMYFUNCTION("""COMPUTED_VALUE"""),"")</f>
        <v/>
      </c>
      <c r="R4115" s="21" t="str">
        <f>IFERROR(__xludf.DUMMYFUNCTION("""COMPUTED_VALUE"""),"https://drive.google.com/file/d/1Z-ESw0t51lL7emurTVxJdYloUqoc2LWe/view?usp=drivesdk")</f>
        <v>https://drive.google.com/file/d/1Z-ESw0t51lL7emurTVxJdYloUqoc2LWe/view?usp=drivesdk</v>
      </c>
    </row>
    <row r="4116">
      <c r="A4116" s="15">
        <f>IFERROR(__xludf.DUMMYFUNCTION("""COMPUTED_VALUE"""),45120.0)</f>
        <v>45120</v>
      </c>
      <c r="B4116" s="16" t="str">
        <f>IFERROR(__xludf.DUMMYFUNCTION("""COMPUTED_VALUE"""),"José Miguel Bonilla")</f>
        <v>José Miguel Bonilla</v>
      </c>
      <c r="C4116" s="15" t="str">
        <f>IFERROR(__xludf.DUMMYFUNCTION("""COMPUTED_VALUE"""),"FLORIDABLANCA")</f>
        <v>FLORIDABLANCA</v>
      </c>
      <c r="D4116" s="15" t="str">
        <f>IFERROR(__xludf.DUMMYFUNCTION("""COMPUTED_VALUE"""),"BOGOTÁ")</f>
        <v>BOGOTÁ</v>
      </c>
      <c r="E4116" s="15" t="str">
        <f>IFERROR(__xludf.DUMMYFUNCTION("""COMPUTED_VALUE"""),"Evamazzita")</f>
        <v>Evamazzita</v>
      </c>
      <c r="F4116" s="17" t="str">
        <f>IFERROR(__xludf.DUMMYFUNCTION("""COMPUTED_VALUE"""),"Carrera 28#19-53 / Urbanizacion Colon, Bloque 9, Apto 101 / Paralela lechesan Molinos altos")</f>
        <v>Carrera 28#19-53 / Urbanizacion Colon, Bloque 9, Apto 101 / Paralela lechesan Molinos altos</v>
      </c>
      <c r="G4116" s="15" t="str">
        <f>IFERROR(__xludf.DUMMYFUNCTION("""COMPUTED_VALUE"""),"RAFAEL RINCON")</f>
        <v>RAFAEL RINCON</v>
      </c>
      <c r="H4116" s="16">
        <f>IFERROR(__xludf.DUMMYFUNCTION("""COMPUTED_VALUE"""),12694.0)</f>
        <v>12694</v>
      </c>
      <c r="I4116" s="18">
        <f>IFERROR(__xludf.DUMMYFUNCTION("""COMPUTED_VALUE"""),1.0)</f>
        <v>1</v>
      </c>
      <c r="J4116" s="18">
        <f>IFERROR(__xludf.DUMMYFUNCTION("""COMPUTED_VALUE"""),1.0)</f>
        <v>1</v>
      </c>
      <c r="K4116" s="18">
        <f>IFERROR(__xludf.DUMMYFUNCTION("""COMPUTED_VALUE"""),1.0)</f>
        <v>1</v>
      </c>
      <c r="L4116" s="17">
        <f>IFERROR(__xludf.DUMMYFUNCTION("""COMPUTED_VALUE"""),3.0129633E9)</f>
        <v>3012963300</v>
      </c>
      <c r="M4116" s="17" t="str">
        <f>IFERROR(__xludf.DUMMYFUNCTION("""COMPUTED_VALUE"""),"#REF!")</f>
        <v>#REF!</v>
      </c>
      <c r="N4116" s="17"/>
      <c r="O4116" s="17"/>
      <c r="P4116" s="17" t="b">
        <f>IFERROR(__xludf.DUMMYFUNCTION("""COMPUTED_VALUE"""),FALSE)</f>
        <v>0</v>
      </c>
      <c r="Q4116" s="20" t="str">
        <f>IFERROR(__xludf.DUMMYFUNCTION("""COMPUTED_VALUE"""),"")</f>
        <v/>
      </c>
      <c r="R4116" s="21" t="str">
        <f>IFERROR(__xludf.DUMMYFUNCTION("""COMPUTED_VALUE"""),"https://drive.google.com/file/d/12KMsggNqISEFrfxobibA4DiDoFGdDNaP/view?usp=drivesdk")</f>
        <v>https://drive.google.com/file/d/12KMsggNqISEFrfxobibA4DiDoFGdDNaP/view?usp=drivesdk</v>
      </c>
    </row>
    <row r="4117">
      <c r="A4117" s="15">
        <f>IFERROR(__xludf.DUMMYFUNCTION("""COMPUTED_VALUE"""),45120.0)</f>
        <v>45120</v>
      </c>
      <c r="B4117" s="16" t="str">
        <f>IFERROR(__xludf.DUMMYFUNCTION("""COMPUTED_VALUE"""),"José Miguel Bonilla")</f>
        <v>José Miguel Bonilla</v>
      </c>
      <c r="C4117" s="15" t="str">
        <f>IFERROR(__xludf.DUMMYFUNCTION("""COMPUTED_VALUE"""),"FLORIDABLANCA")</f>
        <v>FLORIDABLANCA</v>
      </c>
      <c r="D4117" s="15" t="str">
        <f>IFERROR(__xludf.DUMMYFUNCTION("""COMPUTED_VALUE"""),"BOGOTÁ")</f>
        <v>BOGOTÁ</v>
      </c>
      <c r="E4117" s="15" t="str">
        <f>IFERROR(__xludf.DUMMYFUNCTION("""COMPUTED_VALUE"""),"Evamazzita")</f>
        <v>Evamazzita</v>
      </c>
      <c r="F4117" s="17" t="str">
        <f>IFERROR(__xludf.DUMMYFUNCTION("""COMPUTED_VALUE"""),"Cra 4#3a-06 / Casa 2 conjunto residencial el verde casco antiguo / N/A")</f>
        <v>Cra 4#3a-06 / Casa 2 conjunto residencial el verde casco antiguo / N/A</v>
      </c>
      <c r="G4117" s="15" t="str">
        <f>IFERROR(__xludf.DUMMYFUNCTION("""COMPUTED_VALUE"""),"CLAUDIA JULIANA TARAZONA VARGAS")</f>
        <v>CLAUDIA JULIANA TARAZONA VARGAS</v>
      </c>
      <c r="H4117" s="16">
        <f>IFERROR(__xludf.DUMMYFUNCTION("""COMPUTED_VALUE"""),12692.0)</f>
        <v>12692</v>
      </c>
      <c r="I4117" s="18">
        <f>IFERROR(__xludf.DUMMYFUNCTION("""COMPUTED_VALUE"""),1.0)</f>
        <v>1</v>
      </c>
      <c r="J4117" s="18">
        <f>IFERROR(__xludf.DUMMYFUNCTION("""COMPUTED_VALUE"""),1.0)</f>
        <v>1</v>
      </c>
      <c r="K4117" s="18">
        <f>IFERROR(__xludf.DUMMYFUNCTION("""COMPUTED_VALUE"""),1.0)</f>
        <v>1</v>
      </c>
      <c r="L4117" s="17">
        <f>IFERROR(__xludf.DUMMYFUNCTION("""COMPUTED_VALUE"""),3.208409435E9)</f>
        <v>3208409435</v>
      </c>
      <c r="M4117" s="17" t="str">
        <f>IFERROR(__xludf.DUMMYFUNCTION("""COMPUTED_VALUE"""),"#REF!")</f>
        <v>#REF!</v>
      </c>
      <c r="N4117" s="17"/>
      <c r="O4117" s="17"/>
      <c r="P4117" s="17" t="b">
        <f>IFERROR(__xludf.DUMMYFUNCTION("""COMPUTED_VALUE"""),FALSE)</f>
        <v>0</v>
      </c>
      <c r="Q4117" s="20" t="str">
        <f>IFERROR(__xludf.DUMMYFUNCTION("""COMPUTED_VALUE"""),"")</f>
        <v/>
      </c>
      <c r="R4117" s="21" t="str">
        <f>IFERROR(__xludf.DUMMYFUNCTION("""COMPUTED_VALUE"""),"https://drive.google.com/file/d/1SHAVcW3z0lecDKaWWq0v6ZN6RA6dZH71/view?usp=drivesdk")</f>
        <v>https://drive.google.com/file/d/1SHAVcW3z0lecDKaWWq0v6ZN6RA6dZH71/view?usp=drivesdk</v>
      </c>
    </row>
    <row r="4118">
      <c r="A4118" s="15">
        <f>IFERROR(__xludf.DUMMYFUNCTION("""COMPUTED_VALUE"""),45120.0)</f>
        <v>45120</v>
      </c>
      <c r="B4118" s="16" t="str">
        <f>IFERROR(__xludf.DUMMYFUNCTION("""COMPUTED_VALUE"""),"José Miguel Bonilla")</f>
        <v>José Miguel Bonilla</v>
      </c>
      <c r="C4118" s="15" t="str">
        <f>IFERROR(__xludf.DUMMYFUNCTION("""COMPUTED_VALUE"""),"FLORIDABLANCA")</f>
        <v>FLORIDABLANCA</v>
      </c>
      <c r="D4118" s="15" t="str">
        <f>IFERROR(__xludf.DUMMYFUNCTION("""COMPUTED_VALUE"""),"BOGOTÁ")</f>
        <v>BOGOTÁ</v>
      </c>
      <c r="E4118" s="15" t="str">
        <f>IFERROR(__xludf.DUMMYFUNCTION("""COMPUTED_VALUE"""),"Evamazzita")</f>
        <v>Evamazzita</v>
      </c>
      <c r="F4118" s="17" t="str">
        <f>IFERROR(__xludf.DUMMYFUNCTION("""COMPUTED_VALUE"""),"KM 13 VIA AUTOPISTA VIA PIEDECUESTA / Condominio Arcadia Casa 5 / N/A")</f>
        <v>KM 13 VIA AUTOPISTA VIA PIEDECUESTA / Condominio Arcadia Casa 5 / N/A</v>
      </c>
      <c r="G4118" s="15" t="str">
        <f>IFERROR(__xludf.DUMMYFUNCTION("""COMPUTED_VALUE"""),"ASTRID SERRANO")</f>
        <v>ASTRID SERRANO</v>
      </c>
      <c r="H4118" s="16">
        <f>IFERROR(__xludf.DUMMYFUNCTION("""COMPUTED_VALUE"""),12693.0)</f>
        <v>12693</v>
      </c>
      <c r="I4118" s="18">
        <f>IFERROR(__xludf.DUMMYFUNCTION("""COMPUTED_VALUE"""),1.0)</f>
        <v>1</v>
      </c>
      <c r="J4118" s="18">
        <f>IFERROR(__xludf.DUMMYFUNCTION("""COMPUTED_VALUE"""),1.0)</f>
        <v>1</v>
      </c>
      <c r="K4118" s="18">
        <f>IFERROR(__xludf.DUMMYFUNCTION("""COMPUTED_VALUE"""),1.0)</f>
        <v>1</v>
      </c>
      <c r="L4118" s="17">
        <f>IFERROR(__xludf.DUMMYFUNCTION("""COMPUTED_VALUE"""),3.004420245E9)</f>
        <v>3004420245</v>
      </c>
      <c r="M4118" s="17" t="str">
        <f>IFERROR(__xludf.DUMMYFUNCTION("""COMPUTED_VALUE"""),"#REF!")</f>
        <v>#REF!</v>
      </c>
      <c r="N4118" s="17"/>
      <c r="O4118" s="17"/>
      <c r="P4118" s="17" t="b">
        <f>IFERROR(__xludf.DUMMYFUNCTION("""COMPUTED_VALUE"""),TRUE)</f>
        <v>1</v>
      </c>
      <c r="Q4118" s="20">
        <f>IFERROR(__xludf.DUMMYFUNCTION("""COMPUTED_VALUE"""),45120.599991875)</f>
        <v>45120.59999</v>
      </c>
      <c r="R4118" s="21" t="str">
        <f>IFERROR(__xludf.DUMMYFUNCTION("""COMPUTED_VALUE"""),"https://drive.google.com/file/d/1Kqs5BIYAtmPgfk_dRDK-MZfwtwg5FPbD/view?usp=drivesdk")</f>
        <v>https://drive.google.com/file/d/1Kqs5BIYAtmPgfk_dRDK-MZfwtwg5FPbD/view?usp=drivesdk</v>
      </c>
    </row>
    <row r="4119">
      <c r="A4119" s="15">
        <f>IFERROR(__xludf.DUMMYFUNCTION("""COMPUTED_VALUE"""),45120.0)</f>
        <v>45120</v>
      </c>
      <c r="B4119" s="16" t="str">
        <f>IFERROR(__xludf.DUMMYFUNCTION("""COMPUTED_VALUE"""),"José Miguel Bonilla")</f>
        <v>José Miguel Bonilla</v>
      </c>
      <c r="C4119" s="15" t="str">
        <f>IFERROR(__xludf.DUMMYFUNCTION("""COMPUTED_VALUE"""),"VILLAVICENCIO")</f>
        <v>VILLAVICENCIO</v>
      </c>
      <c r="D4119" s="15" t="str">
        <f>IFERROR(__xludf.DUMMYFUNCTION("""COMPUTED_VALUE"""),"MEDELLÍN")</f>
        <v>MEDELLÍN</v>
      </c>
      <c r="E4119" s="15" t="str">
        <f>IFERROR(__xludf.DUMMYFUNCTION("""COMPUTED_VALUE"""),"AREPAS LA MARY")</f>
        <v>AREPAS LA MARY</v>
      </c>
      <c r="F4119" s="17" t="str">
        <f>IFERROR(__xludf.DUMMYFUNCTION("""COMPUTED_VALUE"""),"CRA 32 # 45-27")</f>
        <v>CRA 32 # 45-27</v>
      </c>
      <c r="G4119" s="15" t="str">
        <f>IFERROR(__xludf.DUMMYFUNCTION("""COMPUTED_VALUE"""),"ORGANICAMENTE SANO")</f>
        <v>ORGANICAMENTE SANO</v>
      </c>
      <c r="H4119" s="16">
        <f>IFERROR(__xludf.DUMMYFUNCTION("""COMPUTED_VALUE"""),12526.0)</f>
        <v>12526</v>
      </c>
      <c r="I4119" s="18">
        <f>IFERROR(__xludf.DUMMYFUNCTION("""COMPUTED_VALUE"""),89.0)</f>
        <v>89</v>
      </c>
      <c r="J4119" s="18">
        <f>IFERROR(__xludf.DUMMYFUNCTION("""COMPUTED_VALUE"""),1.0)</f>
        <v>1</v>
      </c>
      <c r="K4119" s="18">
        <f>IFERROR(__xludf.DUMMYFUNCTION("""COMPUTED_VALUE"""),10.0)</f>
        <v>10</v>
      </c>
      <c r="L4119" s="17">
        <f>IFERROR(__xludf.DUMMYFUNCTION("""COMPUTED_VALUE"""),3.214638987E9)</f>
        <v>3214638987</v>
      </c>
      <c r="M4119" s="17" t="str">
        <f>IFERROR(__xludf.DUMMYFUNCTION("""COMPUTED_VALUE"""),"#REF!")</f>
        <v>#REF!</v>
      </c>
      <c r="N4119" s="17"/>
      <c r="O4119" s="17"/>
      <c r="P4119" s="17" t="b">
        <f>IFERROR(__xludf.DUMMYFUNCTION("""COMPUTED_VALUE"""),TRUE)</f>
        <v>1</v>
      </c>
      <c r="Q4119" s="20">
        <f>IFERROR(__xludf.DUMMYFUNCTION("""COMPUTED_VALUE"""),45121.72730962963)</f>
        <v>45121.72731</v>
      </c>
      <c r="R4119" s="21" t="str">
        <f>IFERROR(__xludf.DUMMYFUNCTION("""COMPUTED_VALUE"""),"https://drive.google.com/file/d/1g8qp8CfzX1KNlNF4qN1yz60XGu3yET0X/view?usp=drivesdk")</f>
        <v>https://drive.google.com/file/d/1g8qp8CfzX1KNlNF4qN1yz60XGu3yET0X/view?usp=drivesdk</v>
      </c>
    </row>
    <row r="4120">
      <c r="A4120" s="15">
        <f>IFERROR(__xludf.DUMMYFUNCTION("""COMPUTED_VALUE"""),45120.0)</f>
        <v>45120</v>
      </c>
      <c r="B4120" s="16" t="str">
        <f>IFERROR(__xludf.DUMMYFUNCTION("""COMPUTED_VALUE"""),"José Miguel Bonilla")</f>
        <v>José Miguel Bonilla</v>
      </c>
      <c r="C4120" s="15" t="str">
        <f>IFERROR(__xludf.DUMMYFUNCTION("""COMPUTED_VALUE"""),"VILLAVICENCIO")</f>
        <v>VILLAVICENCIO</v>
      </c>
      <c r="D4120" s="15" t="str">
        <f>IFERROR(__xludf.DUMMYFUNCTION("""COMPUTED_VALUE"""),"MEDELLÍN")</f>
        <v>MEDELLÍN</v>
      </c>
      <c r="E4120" s="15" t="str">
        <f>IFERROR(__xludf.DUMMYFUNCTION("""COMPUTED_VALUE"""),"Baby Chef")</f>
        <v>Baby Chef</v>
      </c>
      <c r="F4120" s="17" t="str">
        <f>IFERROR(__xludf.DUMMYFUNCTION("""COMPUTED_VALUE"""),"calle 35 c 20-51 Jordan Paraiso / calle 35 c 20-51 Jordan Paraiso / calle 35 c 20-51 Jordan Paraiso")</f>
        <v>calle 35 c 20-51 Jordan Paraiso / calle 35 c 20-51 Jordan Paraiso / calle 35 c 20-51 Jordan Paraiso</v>
      </c>
      <c r="G4120" s="15" t="str">
        <f>IFERROR(__xludf.DUMMYFUNCTION("""COMPUTED_VALUE"""),"Lizeth Gómez Guevara")</f>
        <v>Lizeth Gómez Guevara</v>
      </c>
      <c r="H4120" s="16">
        <f>IFERROR(__xludf.DUMMYFUNCTION("""COMPUTED_VALUE"""),12645.0)</f>
        <v>12645</v>
      </c>
      <c r="I4120" s="18">
        <f>IFERROR(__xludf.DUMMYFUNCTION("""COMPUTED_VALUE"""),8.0)</f>
        <v>8</v>
      </c>
      <c r="J4120" s="18">
        <f>IFERROR(__xludf.DUMMYFUNCTION("""COMPUTED_VALUE"""),16.0)</f>
        <v>16</v>
      </c>
      <c r="K4120" s="18">
        <f>IFERROR(__xludf.DUMMYFUNCTION("""COMPUTED_VALUE"""),20.0)</f>
        <v>20</v>
      </c>
      <c r="L4120" s="17">
        <f>IFERROR(__xludf.DUMMYFUNCTION("""COMPUTED_VALUE"""),3.155536551E9)</f>
        <v>3155536551</v>
      </c>
      <c r="M4120" s="17" t="str">
        <f>IFERROR(__xludf.DUMMYFUNCTION("""COMPUTED_VALUE"""),"#REF!")</f>
        <v>#REF!</v>
      </c>
      <c r="N4120" s="17"/>
      <c r="O4120" s="17"/>
      <c r="P4120" s="17" t="b">
        <f>IFERROR(__xludf.DUMMYFUNCTION("""COMPUTED_VALUE"""),TRUE)</f>
        <v>1</v>
      </c>
      <c r="Q4120" s="20">
        <f>IFERROR(__xludf.DUMMYFUNCTION("""COMPUTED_VALUE"""),45120.59999188657)</f>
        <v>45120.59999</v>
      </c>
      <c r="R4120" s="21" t="str">
        <f>IFERROR(__xludf.DUMMYFUNCTION("""COMPUTED_VALUE"""),"https://drive.google.com/file/d/1kjtvshRoiameFptV6HGKFf5uaCl45_2H/view?usp=drivesdk")</f>
        <v>https://drive.google.com/file/d/1kjtvshRoiameFptV6HGKFf5uaCl45_2H/view?usp=drivesdk</v>
      </c>
    </row>
    <row r="4121">
      <c r="A4121" s="17" t="str">
        <f>IFERROR(__xludf.DUMMYFUNCTION("""COMPUTED_VALUE"""),"")</f>
        <v/>
      </c>
      <c r="B4121" s="17" t="str">
        <f>IFERROR(__xludf.DUMMYFUNCTION("""COMPUTED_VALUE"""),"")</f>
        <v/>
      </c>
      <c r="C4121" s="17" t="str">
        <f>IFERROR(__xludf.DUMMYFUNCTION("""COMPUTED_VALUE"""),"")</f>
        <v/>
      </c>
      <c r="D4121" s="17" t="str">
        <f>IFERROR(__xludf.DUMMYFUNCTION("""COMPUTED_VALUE"""),"")</f>
        <v/>
      </c>
      <c r="E4121" s="17" t="str">
        <f>IFERROR(__xludf.DUMMYFUNCTION("""COMPUTED_VALUE"""),"")</f>
        <v/>
      </c>
      <c r="F4121" s="17" t="str">
        <f>IFERROR(__xludf.DUMMYFUNCTION("""COMPUTED_VALUE"""),"")</f>
        <v/>
      </c>
      <c r="G4121" s="17" t="str">
        <f>IFERROR(__xludf.DUMMYFUNCTION("""COMPUTED_VALUE"""),"")</f>
        <v/>
      </c>
      <c r="H4121" s="17" t="str">
        <f>IFERROR(__xludf.DUMMYFUNCTION("""COMPUTED_VALUE"""),"")</f>
        <v/>
      </c>
      <c r="I4121" s="17" t="str">
        <f>IFERROR(__xludf.DUMMYFUNCTION("""COMPUTED_VALUE"""),"")</f>
        <v/>
      </c>
      <c r="J4121" s="17" t="str">
        <f>IFERROR(__xludf.DUMMYFUNCTION("""COMPUTED_VALUE"""),"")</f>
        <v/>
      </c>
      <c r="K4121" s="17" t="str">
        <f>IFERROR(__xludf.DUMMYFUNCTION("""COMPUTED_VALUE"""),"")</f>
        <v/>
      </c>
      <c r="L4121" s="17" t="str">
        <f>IFERROR(__xludf.DUMMYFUNCTION("""COMPUTED_VALUE"""),"")</f>
        <v/>
      </c>
      <c r="M4121" s="17" t="str">
        <f>IFERROR(__xludf.DUMMYFUNCTION("""COMPUTED_VALUE"""),"")</f>
        <v/>
      </c>
      <c r="N4121" s="17" t="str">
        <f>IFERROR(__xludf.DUMMYFUNCTION("""COMPUTED_VALUE"""),"")</f>
        <v/>
      </c>
      <c r="O4121" s="17" t="str">
        <f>IFERROR(__xludf.DUMMYFUNCTION("""COMPUTED_VALUE"""),"")</f>
        <v/>
      </c>
      <c r="P4121" s="17" t="str">
        <f>IFERROR(__xludf.DUMMYFUNCTION("""COMPUTED_VALUE"""),"")</f>
        <v/>
      </c>
      <c r="Q4121" s="17" t="str">
        <f>IFERROR(__xludf.DUMMYFUNCTION("""COMPUTED_VALUE"""),"")</f>
        <v/>
      </c>
      <c r="R4121" s="17" t="str">
        <f>IFERROR(__xludf.DUMMYFUNCTION("""COMPUTED_VALUE"""),"")</f>
        <v/>
      </c>
    </row>
    <row r="4122">
      <c r="A4122" s="15">
        <f>IFERROR(__xludf.DUMMYFUNCTION("""COMPUTED_VALUE"""),45120.0)</f>
        <v>45120</v>
      </c>
      <c r="B4122" s="16" t="str">
        <f>IFERROR(__xludf.DUMMYFUNCTION("""COMPUTED_VALUE"""),"Julian Calderon Rodriguez ")</f>
        <v>Julian Calderon Rodriguez </v>
      </c>
      <c r="C4122" s="15" t="str">
        <f>IFERROR(__xludf.DUMMYFUNCTION("""COMPUTED_VALUE"""),"NEIVA")</f>
        <v>NEIVA</v>
      </c>
      <c r="D4122" s="15" t="str">
        <f>IFERROR(__xludf.DUMMYFUNCTION("""COMPUTED_VALUE"""),"BOGOTÁ")</f>
        <v>BOGOTÁ</v>
      </c>
      <c r="E4122" s="15" t="str">
        <f>IFERROR(__xludf.DUMMYFUNCTION("""COMPUTED_VALUE"""),"Lunchy Kids")</f>
        <v>Lunchy Kids</v>
      </c>
      <c r="F4122" s="17" t="str">
        <f>IFERROR(__xludf.DUMMYFUNCTION("""COMPUTED_VALUE"""),"Calle 44 #18 - 59  / Casa  / Barrio Yahaira")</f>
        <v>Calle 44 #18 - 59  / Casa  / Barrio Yahaira</v>
      </c>
      <c r="G4122" s="15" t="str">
        <f>IFERROR(__xludf.DUMMYFUNCTION("""COMPUTED_VALUE"""),"Tatiana Miranda")</f>
        <v>Tatiana Miranda</v>
      </c>
      <c r="H4122" s="16">
        <f>IFERROR(__xludf.DUMMYFUNCTION("""COMPUTED_VALUE"""),12471.0)</f>
        <v>12471</v>
      </c>
      <c r="I4122" s="18">
        <f>IFERROR(__xludf.DUMMYFUNCTION("""COMPUTED_VALUE"""),16.0)</f>
        <v>16</v>
      </c>
      <c r="J4122" s="18">
        <f>IFERROR(__xludf.DUMMYFUNCTION("""COMPUTED_VALUE"""),26.0)</f>
        <v>26</v>
      </c>
      <c r="K4122" s="18">
        <f>IFERROR(__xludf.DUMMYFUNCTION("""COMPUTED_VALUE"""),15.0)</f>
        <v>15</v>
      </c>
      <c r="L4122" s="17">
        <f>IFERROR(__xludf.DUMMYFUNCTION("""COMPUTED_VALUE"""),3.146504621E9)</f>
        <v>3146504621</v>
      </c>
      <c r="M4122" s="17" t="str">
        <f>IFERROR(__xludf.DUMMYFUNCTION("""COMPUTED_VALUE"""),"#REF!")</f>
        <v>#REF!</v>
      </c>
      <c r="N4122" s="17"/>
      <c r="O4122" s="17"/>
      <c r="P4122" s="17" t="b">
        <f>IFERROR(__xludf.DUMMYFUNCTION("""COMPUTED_VALUE"""),FALSE)</f>
        <v>0</v>
      </c>
      <c r="Q4122" s="20" t="str">
        <f>IFERROR(__xludf.DUMMYFUNCTION("""COMPUTED_VALUE"""),"")</f>
        <v/>
      </c>
      <c r="R4122" s="22" t="str">
        <f>IFERROR(__xludf.DUMMYFUNCTION("""COMPUTED_VALUE"""),"")</f>
        <v/>
      </c>
    </row>
    <row r="4123">
      <c r="A4123" s="15">
        <f>IFERROR(__xludf.DUMMYFUNCTION("""COMPUTED_VALUE"""),45120.0)</f>
        <v>45120</v>
      </c>
      <c r="B4123" s="16" t="str">
        <f>IFERROR(__xludf.DUMMYFUNCTION("""COMPUTED_VALUE"""),"Julian Calderon Rodriguez ")</f>
        <v>Julian Calderon Rodriguez </v>
      </c>
      <c r="C4123" s="15" t="str">
        <f>IFERROR(__xludf.DUMMYFUNCTION("""COMPUTED_VALUE"""),"NEIVA")</f>
        <v>NEIVA</v>
      </c>
      <c r="D4123" s="15" t="str">
        <f>IFERROR(__xludf.DUMMYFUNCTION("""COMPUTED_VALUE"""),"MEDELLÍN")</f>
        <v>MEDELLÍN</v>
      </c>
      <c r="E4123" s="15" t="str">
        <f>IFERROR(__xludf.DUMMYFUNCTION("""COMPUTED_VALUE"""),"Baby Chef")</f>
        <v>Baby Chef</v>
      </c>
      <c r="F4123" s="17" t="str">
        <f>IFERROR(__xludf.DUMMYFUNCTION("""COMPUTED_VALUE"""),"Calle 2E # 15-94 barrio Diego de Ospina / Calle 2E # 15-94 barrio Diego de Ospina / Calle 2E # 15-94 barrio Diego de Ospina")</f>
        <v>Calle 2E # 15-94 barrio Diego de Ospina / Calle 2E # 15-94 barrio Diego de Ospina / Calle 2E # 15-94 barrio Diego de Ospina</v>
      </c>
      <c r="G4123" s="15" t="str">
        <f>IFERROR(__xludf.DUMMYFUNCTION("""COMPUTED_VALUE"""),"Andrea Cachaya")</f>
        <v>Andrea Cachaya</v>
      </c>
      <c r="H4123" s="16">
        <f>IFERROR(__xludf.DUMMYFUNCTION("""COMPUTED_VALUE"""),12641.0)</f>
        <v>12641</v>
      </c>
      <c r="I4123" s="18">
        <f>IFERROR(__xludf.DUMMYFUNCTION("""COMPUTED_VALUE"""),8.0)</f>
        <v>8</v>
      </c>
      <c r="J4123" s="18">
        <f>IFERROR(__xludf.DUMMYFUNCTION("""COMPUTED_VALUE"""),16.0)</f>
        <v>16</v>
      </c>
      <c r="K4123" s="18">
        <f>IFERROR(__xludf.DUMMYFUNCTION("""COMPUTED_VALUE"""),20.0)</f>
        <v>20</v>
      </c>
      <c r="L4123" s="17">
        <f>IFERROR(__xludf.DUMMYFUNCTION("""COMPUTED_VALUE"""),3.008978689E9)</f>
        <v>3008978689</v>
      </c>
      <c r="M4123" s="17" t="str">
        <f>IFERROR(__xludf.DUMMYFUNCTION("""COMPUTED_VALUE"""),"#REF!")</f>
        <v>#REF!</v>
      </c>
      <c r="N4123" s="17"/>
      <c r="O4123" s="17"/>
      <c r="P4123" s="17" t="b">
        <f>IFERROR(__xludf.DUMMYFUNCTION("""COMPUTED_VALUE"""),FALSE)</f>
        <v>0</v>
      </c>
      <c r="Q4123" s="20" t="str">
        <f>IFERROR(__xludf.DUMMYFUNCTION("""COMPUTED_VALUE"""),"")</f>
        <v/>
      </c>
      <c r="R4123" s="22" t="str">
        <f>IFERROR(__xludf.DUMMYFUNCTION("""COMPUTED_VALUE"""),"")</f>
        <v/>
      </c>
    </row>
    <row r="4124">
      <c r="A4124" s="15">
        <f>IFERROR(__xludf.DUMMYFUNCTION("""COMPUTED_VALUE"""),45120.0)</f>
        <v>45120</v>
      </c>
      <c r="B4124" s="16" t="str">
        <f>IFERROR(__xludf.DUMMYFUNCTION("""COMPUTED_VALUE"""),"Julian Calderon Rodriguez ")</f>
        <v>Julian Calderon Rodriguez </v>
      </c>
      <c r="C4124" s="15" t="str">
        <f>IFERROR(__xludf.DUMMYFUNCTION("""COMPUTED_VALUE"""),"VILLAVICENCIO")</f>
        <v>VILLAVICENCIO</v>
      </c>
      <c r="D4124" s="15" t="str">
        <f>IFERROR(__xludf.DUMMYFUNCTION("""COMPUTED_VALUE"""),"BOGOTÁ")</f>
        <v>BOGOTÁ</v>
      </c>
      <c r="E4124" s="15" t="str">
        <f>IFERROR(__xludf.DUMMYFUNCTION("""COMPUTED_VALUE"""),"Evamazzita")</f>
        <v>Evamazzita</v>
      </c>
      <c r="F4124" s="17" t="str">
        <f>IFERROR(__xludf.DUMMYFUNCTION("""COMPUTED_VALUE"""),"Calle 27#44C-118  / mz C casa 20 / Conjunto residencial Villacodem")</f>
        <v>Calle 27#44C-118  / mz C casa 20 / Conjunto residencial Villacodem</v>
      </c>
      <c r="G4124" s="15" t="str">
        <f>IFERROR(__xludf.DUMMYFUNCTION("""COMPUTED_VALUE"""),"LAURA DAYAN GUEVARA BOCANEGRA")</f>
        <v>LAURA DAYAN GUEVARA BOCANEGRA</v>
      </c>
      <c r="H4124" s="16">
        <f>IFERROR(__xludf.DUMMYFUNCTION("""COMPUTED_VALUE"""),12666.0)</f>
        <v>12666</v>
      </c>
      <c r="I4124" s="18">
        <f>IFERROR(__xludf.DUMMYFUNCTION("""COMPUTED_VALUE"""),1.0)</f>
        <v>1</v>
      </c>
      <c r="J4124" s="18">
        <f>IFERROR(__xludf.DUMMYFUNCTION("""COMPUTED_VALUE"""),1.0)</f>
        <v>1</v>
      </c>
      <c r="K4124" s="18">
        <f>IFERROR(__xludf.DUMMYFUNCTION("""COMPUTED_VALUE"""),1.0)</f>
        <v>1</v>
      </c>
      <c r="L4124" s="17">
        <f>IFERROR(__xludf.DUMMYFUNCTION("""COMPUTED_VALUE"""),3.212708862E9)</f>
        <v>3212708862</v>
      </c>
      <c r="M4124" s="17" t="str">
        <f>IFERROR(__xludf.DUMMYFUNCTION("""COMPUTED_VALUE"""),"#REF!")</f>
        <v>#REF!</v>
      </c>
      <c r="N4124" s="17"/>
      <c r="O4124" s="17"/>
      <c r="P4124" s="17" t="b">
        <f>IFERROR(__xludf.DUMMYFUNCTION("""COMPUTED_VALUE"""),FALSE)</f>
        <v>0</v>
      </c>
      <c r="Q4124" s="20" t="str">
        <f>IFERROR(__xludf.DUMMYFUNCTION("""COMPUTED_VALUE"""),"")</f>
        <v/>
      </c>
      <c r="R4124" s="21" t="str">
        <f>IFERROR(__xludf.DUMMYFUNCTION("""COMPUTED_VALUE"""),"https://drive.google.com/file/d/1fR8Cwl6FUoRqq1WBu2BxJEhpOY06J93X/view?usp=drivesdk")</f>
        <v>https://drive.google.com/file/d/1fR8Cwl6FUoRqq1WBu2BxJEhpOY06J93X/view?usp=drivesdk</v>
      </c>
    </row>
    <row r="4125">
      <c r="A4125" s="15">
        <f>IFERROR(__xludf.DUMMYFUNCTION("""COMPUTED_VALUE"""),45120.0)</f>
        <v>45120</v>
      </c>
      <c r="B4125" s="16" t="str">
        <f>IFERROR(__xludf.DUMMYFUNCTION("""COMPUTED_VALUE"""),"Julian Calderon Rodriguez ")</f>
        <v>Julian Calderon Rodriguez </v>
      </c>
      <c r="C4125" s="15" t="str">
        <f>IFERROR(__xludf.DUMMYFUNCTION("""COMPUTED_VALUE"""),"VILLAVICENCIO")</f>
        <v>VILLAVICENCIO</v>
      </c>
      <c r="D4125" s="15" t="str">
        <f>IFERROR(__xludf.DUMMYFUNCTION("""COMPUTED_VALUE"""),"BOGOTÁ")</f>
        <v>BOGOTÁ</v>
      </c>
      <c r="E4125" s="15" t="str">
        <f>IFERROR(__xludf.DUMMYFUNCTION("""COMPUTED_VALUE"""),"Evamazzita")</f>
        <v>Evamazzita</v>
      </c>
      <c r="F4125" s="17" t="str">
        <f>IFERROR(__xludf.DUMMYFUNCTION("""COMPUTED_VALUE"""),"Carrera 18 A #36A-03 / N/A / Paraiso Jordán")</f>
        <v>Carrera 18 A #36A-03 / N/A / Paraiso Jordán</v>
      </c>
      <c r="G4125" s="15" t="str">
        <f>IFERROR(__xludf.DUMMYFUNCTION("""COMPUTED_VALUE"""),"LILIANA MARCELA LARA NIÑO")</f>
        <v>LILIANA MARCELA LARA NIÑO</v>
      </c>
      <c r="H4125" s="16">
        <f>IFERROR(__xludf.DUMMYFUNCTION("""COMPUTED_VALUE"""),12667.0)</f>
        <v>12667</v>
      </c>
      <c r="I4125" s="18">
        <f>IFERROR(__xludf.DUMMYFUNCTION("""COMPUTED_VALUE"""),1.0)</f>
        <v>1</v>
      </c>
      <c r="J4125" s="18">
        <f>IFERROR(__xludf.DUMMYFUNCTION("""COMPUTED_VALUE"""),1.0)</f>
        <v>1</v>
      </c>
      <c r="K4125" s="18">
        <f>IFERROR(__xludf.DUMMYFUNCTION("""COMPUTED_VALUE"""),1.0)</f>
        <v>1</v>
      </c>
      <c r="L4125" s="17">
        <f>IFERROR(__xludf.DUMMYFUNCTION("""COMPUTED_VALUE"""),3.224685604E9)</f>
        <v>3224685604</v>
      </c>
      <c r="M4125" s="17" t="str">
        <f>IFERROR(__xludf.DUMMYFUNCTION("""COMPUTED_VALUE"""),"#REF!")</f>
        <v>#REF!</v>
      </c>
      <c r="N4125" s="17"/>
      <c r="O4125" s="17"/>
      <c r="P4125" s="17" t="b">
        <f>IFERROR(__xludf.DUMMYFUNCTION("""COMPUTED_VALUE"""),FALSE)</f>
        <v>0</v>
      </c>
      <c r="Q4125" s="20" t="str">
        <f>IFERROR(__xludf.DUMMYFUNCTION("""COMPUTED_VALUE"""),"")</f>
        <v/>
      </c>
      <c r="R4125" s="21" t="str">
        <f>IFERROR(__xludf.DUMMYFUNCTION("""COMPUTED_VALUE"""),"https://drive.google.com/file/d/1w3yqQtr35Wn1iDVheASxaK4ff0GeRSuH/view?usp=drivesdk")</f>
        <v>https://drive.google.com/file/d/1w3yqQtr35Wn1iDVheASxaK4ff0GeRSuH/view?usp=drivesdk</v>
      </c>
    </row>
    <row r="4126">
      <c r="A4126" s="15">
        <f>IFERROR(__xludf.DUMMYFUNCTION("""COMPUTED_VALUE"""),45120.0)</f>
        <v>45120</v>
      </c>
      <c r="B4126" s="16" t="str">
        <f>IFERROR(__xludf.DUMMYFUNCTION("""COMPUTED_VALUE"""),"Julian Calderon Rodriguez ")</f>
        <v>Julian Calderon Rodriguez </v>
      </c>
      <c r="C4126" s="15" t="str">
        <f>IFERROR(__xludf.DUMMYFUNCTION("""COMPUTED_VALUE"""),"VILLAVICENCIO")</f>
        <v>VILLAVICENCIO</v>
      </c>
      <c r="D4126" s="15" t="str">
        <f>IFERROR(__xludf.DUMMYFUNCTION("""COMPUTED_VALUE"""),"BOGOTÁ")</f>
        <v>BOGOTÁ</v>
      </c>
      <c r="E4126" s="15" t="str">
        <f>IFERROR(__xludf.DUMMYFUNCTION("""COMPUTED_VALUE"""),"Evamazzita")</f>
        <v>Evamazzita</v>
      </c>
      <c r="F4126" s="17" t="str">
        <f>IFERROR(__xludf.DUMMYFUNCTION("""COMPUTED_VALUE"""),"Centro comercial villajulia local 155/156 modulo rojo / Centro comercial villajulia local 155/156 modulo rojo / Centro comercial villajulia local 155/156 modulo rojo")</f>
        <v>Centro comercial villajulia local 155/156 modulo rojo / Centro comercial villajulia local 155/156 modulo rojo / Centro comercial villajulia local 155/156 modulo rojo</v>
      </c>
      <c r="G4126" s="15" t="str">
        <f>IFERROR(__xludf.DUMMYFUNCTION("""COMPUTED_VALUE"""),"ANGELA PARRADO")</f>
        <v>ANGELA PARRADO</v>
      </c>
      <c r="H4126" s="16">
        <f>IFERROR(__xludf.DUMMYFUNCTION("""COMPUTED_VALUE"""),12665.0)</f>
        <v>12665</v>
      </c>
      <c r="I4126" s="18">
        <f>IFERROR(__xludf.DUMMYFUNCTION("""COMPUTED_VALUE"""),1.0)</f>
        <v>1</v>
      </c>
      <c r="J4126" s="18">
        <f>IFERROR(__xludf.DUMMYFUNCTION("""COMPUTED_VALUE"""),1.0)</f>
        <v>1</v>
      </c>
      <c r="K4126" s="18">
        <f>IFERROR(__xludf.DUMMYFUNCTION("""COMPUTED_VALUE"""),1.0)</f>
        <v>1</v>
      </c>
      <c r="L4126" s="17">
        <f>IFERROR(__xludf.DUMMYFUNCTION("""COMPUTED_VALUE"""),3.113162281E9)</f>
        <v>3113162281</v>
      </c>
      <c r="M4126" s="17" t="str">
        <f>IFERROR(__xludf.DUMMYFUNCTION("""COMPUTED_VALUE"""),"#REF!")</f>
        <v>#REF!</v>
      </c>
      <c r="N4126" s="17"/>
      <c r="O4126" s="17"/>
      <c r="P4126" s="17" t="b">
        <f>IFERROR(__xludf.DUMMYFUNCTION("""COMPUTED_VALUE"""),FALSE)</f>
        <v>0</v>
      </c>
      <c r="Q4126" s="20" t="str">
        <f>IFERROR(__xludf.DUMMYFUNCTION("""COMPUTED_VALUE"""),"")</f>
        <v/>
      </c>
      <c r="R4126" s="21" t="str">
        <f>IFERROR(__xludf.DUMMYFUNCTION("""COMPUTED_VALUE"""),"https://drive.google.com/file/d/1xmEeVt7ok5PE1fkvAWsRUaLznS3MHhFE/view?usp=drivesdk")</f>
        <v>https://drive.google.com/file/d/1xmEeVt7ok5PE1fkvAWsRUaLznS3MHhFE/view?usp=drivesdk</v>
      </c>
    </row>
    <row r="4127">
      <c r="A4127" s="15">
        <f>IFERROR(__xludf.DUMMYFUNCTION("""COMPUTED_VALUE"""),45120.0)</f>
        <v>45120</v>
      </c>
      <c r="B4127" s="16" t="str">
        <f>IFERROR(__xludf.DUMMYFUNCTION("""COMPUTED_VALUE"""),"Julian Calderon Rodriguez ")</f>
        <v>Julian Calderon Rodriguez </v>
      </c>
      <c r="C4127" s="15" t="str">
        <f>IFERROR(__xludf.DUMMYFUNCTION("""COMPUTED_VALUE"""),"VILLAVICENCIO")</f>
        <v>VILLAVICENCIO</v>
      </c>
      <c r="D4127" s="15" t="str">
        <f>IFERROR(__xludf.DUMMYFUNCTION("""COMPUTED_VALUE"""),"BOGOTÁ")</f>
        <v>BOGOTÁ</v>
      </c>
      <c r="E4127" s="15" t="str">
        <f>IFERROR(__xludf.DUMMYFUNCTION("""COMPUTED_VALUE"""),"Lunchy Kids")</f>
        <v>Lunchy Kids</v>
      </c>
      <c r="F4127" s="17" t="str">
        <f>IFERROR(__xludf.DUMMYFUNCTION("""COMPUTED_VALUE"""),"Carrera 26A # 4D - 68 / Casa  / Barrio Alborada")</f>
        <v>Carrera 26A # 4D - 68 / Casa  / Barrio Alborada</v>
      </c>
      <c r="G4127" s="15" t="str">
        <f>IFERROR(__xludf.DUMMYFUNCTION("""COMPUTED_VALUE"""),"Diana Franco Mora")</f>
        <v>Diana Franco Mora</v>
      </c>
      <c r="H4127" s="16">
        <f>IFERROR(__xludf.DUMMYFUNCTION("""COMPUTED_VALUE"""),12479.0)</f>
        <v>12479</v>
      </c>
      <c r="I4127" s="18">
        <f>IFERROR(__xludf.DUMMYFUNCTION("""COMPUTED_VALUE"""),20.0)</f>
        <v>20</v>
      </c>
      <c r="J4127" s="18">
        <f>IFERROR(__xludf.DUMMYFUNCTION("""COMPUTED_VALUE"""),29.0)</f>
        <v>29</v>
      </c>
      <c r="K4127" s="18">
        <f>IFERROR(__xludf.DUMMYFUNCTION("""COMPUTED_VALUE"""),6.0)</f>
        <v>6</v>
      </c>
      <c r="L4127" s="17">
        <f>IFERROR(__xludf.DUMMYFUNCTION("""COMPUTED_VALUE"""),3.156028131E9)</f>
        <v>3156028131</v>
      </c>
      <c r="M4127" s="17" t="str">
        <f>IFERROR(__xludf.DUMMYFUNCTION("""COMPUTED_VALUE"""),"#REF!")</f>
        <v>#REF!</v>
      </c>
      <c r="N4127" s="17"/>
      <c r="O4127" s="17"/>
      <c r="P4127" s="17" t="b">
        <f>IFERROR(__xludf.DUMMYFUNCTION("""COMPUTED_VALUE"""),TRUE)</f>
        <v>1</v>
      </c>
      <c r="Q4127" s="20">
        <f>IFERROR(__xludf.DUMMYFUNCTION("""COMPUTED_VALUE"""),45121.6394344213)</f>
        <v>45121.63943</v>
      </c>
      <c r="R4127" s="21" t="str">
        <f>IFERROR(__xludf.DUMMYFUNCTION("""COMPUTED_VALUE"""),"https://drive.google.com/file/d/1cCRcFFvddHrHJZx_lz2EBJn2fq6xwXA8/view?usp=drivesdk")</f>
        <v>https://drive.google.com/file/d/1cCRcFFvddHrHJZx_lz2EBJn2fq6xwXA8/view?usp=drivesdk</v>
      </c>
    </row>
    <row r="4128">
      <c r="A4128" s="17" t="str">
        <f>IFERROR(__xludf.DUMMYFUNCTION("""COMPUTED_VALUE"""),"")</f>
        <v/>
      </c>
      <c r="B4128" s="17" t="str">
        <f>IFERROR(__xludf.DUMMYFUNCTION("""COMPUTED_VALUE"""),"")</f>
        <v/>
      </c>
      <c r="C4128" s="17" t="str">
        <f>IFERROR(__xludf.DUMMYFUNCTION("""COMPUTED_VALUE"""),"")</f>
        <v/>
      </c>
      <c r="D4128" s="17" t="str">
        <f>IFERROR(__xludf.DUMMYFUNCTION("""COMPUTED_VALUE"""),"")</f>
        <v/>
      </c>
      <c r="E4128" s="17" t="str">
        <f>IFERROR(__xludf.DUMMYFUNCTION("""COMPUTED_VALUE"""),"")</f>
        <v/>
      </c>
      <c r="F4128" s="17" t="str">
        <f>IFERROR(__xludf.DUMMYFUNCTION("""COMPUTED_VALUE"""),"")</f>
        <v/>
      </c>
      <c r="G4128" s="17" t="str">
        <f>IFERROR(__xludf.DUMMYFUNCTION("""COMPUTED_VALUE"""),"")</f>
        <v/>
      </c>
      <c r="H4128" s="17" t="str">
        <f>IFERROR(__xludf.DUMMYFUNCTION("""COMPUTED_VALUE"""),"")</f>
        <v/>
      </c>
      <c r="I4128" s="17" t="str">
        <f>IFERROR(__xludf.DUMMYFUNCTION("""COMPUTED_VALUE"""),"")</f>
        <v/>
      </c>
      <c r="J4128" s="17" t="str">
        <f>IFERROR(__xludf.DUMMYFUNCTION("""COMPUTED_VALUE"""),"")</f>
        <v/>
      </c>
      <c r="K4128" s="17" t="str">
        <f>IFERROR(__xludf.DUMMYFUNCTION("""COMPUTED_VALUE"""),"")</f>
        <v/>
      </c>
      <c r="L4128" s="17" t="str">
        <f>IFERROR(__xludf.DUMMYFUNCTION("""COMPUTED_VALUE"""),"")</f>
        <v/>
      </c>
      <c r="M4128" s="17" t="str">
        <f>IFERROR(__xludf.DUMMYFUNCTION("""COMPUTED_VALUE"""),"")</f>
        <v/>
      </c>
      <c r="N4128" s="17" t="str">
        <f>IFERROR(__xludf.DUMMYFUNCTION("""COMPUTED_VALUE"""),"")</f>
        <v/>
      </c>
      <c r="O4128" s="17" t="str">
        <f>IFERROR(__xludf.DUMMYFUNCTION("""COMPUTED_VALUE"""),"")</f>
        <v/>
      </c>
      <c r="P4128" s="17" t="str">
        <f>IFERROR(__xludf.DUMMYFUNCTION("""COMPUTED_VALUE"""),"")</f>
        <v/>
      </c>
      <c r="Q4128" s="17" t="str">
        <f>IFERROR(__xludf.DUMMYFUNCTION("""COMPUTED_VALUE"""),"")</f>
        <v/>
      </c>
      <c r="R4128" s="17" t="str">
        <f>IFERROR(__xludf.DUMMYFUNCTION("""COMPUTED_VALUE"""),"")</f>
        <v/>
      </c>
    </row>
    <row r="4129">
      <c r="A4129" s="15">
        <f>IFERROR(__xludf.DUMMYFUNCTION("""COMPUTED_VALUE"""),45120.0)</f>
        <v>45120</v>
      </c>
      <c r="B4129" s="16" t="str">
        <f>IFERROR(__xludf.DUMMYFUNCTION("""COMPUTED_VALUE"""),"Sebastian Restrepo Martinez ")</f>
        <v>Sebastian Restrepo Martinez </v>
      </c>
      <c r="C4129" s="15" t="str">
        <f>IFERROR(__xludf.DUMMYFUNCTION("""COMPUTED_VALUE"""),"PALMIRA")</f>
        <v>PALMIRA</v>
      </c>
      <c r="D4129" s="15" t="str">
        <f>IFERROR(__xludf.DUMMYFUNCTION("""COMPUTED_VALUE"""),"MEDELLÍN")</f>
        <v>MEDELLÍN</v>
      </c>
      <c r="E4129" s="15" t="str">
        <f>IFERROR(__xludf.DUMMYFUNCTION("""COMPUTED_VALUE"""),"Rambla")</f>
        <v>Rambla</v>
      </c>
      <c r="F4129" s="17" t="str">
        <f>IFERROR(__xludf.DUMMYFUNCTION("""COMPUTED_VALUE"""),"carrera 28n 35-13 / na / na")</f>
        <v>carrera 28n 35-13 / na / na</v>
      </c>
      <c r="G4129" s="15" t="str">
        <f>IFERROR(__xludf.DUMMYFUNCTION("""COMPUTED_VALUE"""),"ñomy")</f>
        <v>ñomy</v>
      </c>
      <c r="H4129" s="16">
        <f>IFERROR(__xludf.DUMMYFUNCTION("""COMPUTED_VALUE"""),12716.0)</f>
        <v>12716</v>
      </c>
      <c r="I4129" s="18">
        <f>IFERROR(__xludf.DUMMYFUNCTION("""COMPUTED_VALUE"""),34.0)</f>
        <v>34</v>
      </c>
      <c r="J4129" s="18">
        <f>IFERROR(__xludf.DUMMYFUNCTION("""COMPUTED_VALUE"""),23.0)</f>
        <v>23</v>
      </c>
      <c r="K4129" s="18">
        <f>IFERROR(__xludf.DUMMYFUNCTION("""COMPUTED_VALUE"""),23.0)</f>
        <v>23</v>
      </c>
      <c r="L4129" s="17">
        <f>IFERROR(__xludf.DUMMYFUNCTION("""COMPUTED_VALUE"""),3.18401991E9)</f>
        <v>3184019910</v>
      </c>
      <c r="M4129" s="17" t="str">
        <f>IFERROR(__xludf.DUMMYFUNCTION("""COMPUTED_VALUE"""),"#REF!")</f>
        <v>#REF!</v>
      </c>
      <c r="N4129" s="17"/>
      <c r="O4129" s="17"/>
      <c r="P4129" s="17" t="b">
        <f>IFERROR(__xludf.DUMMYFUNCTION("""COMPUTED_VALUE"""),FALSE)</f>
        <v>0</v>
      </c>
      <c r="Q4129" s="20" t="str">
        <f>IFERROR(__xludf.DUMMYFUNCTION("""COMPUTED_VALUE"""),"")</f>
        <v/>
      </c>
      <c r="R4129" s="22" t="str">
        <f>IFERROR(__xludf.DUMMYFUNCTION("""COMPUTED_VALUE"""),"")</f>
        <v/>
      </c>
    </row>
    <row r="4130">
      <c r="A4130" s="17" t="str">
        <f>IFERROR(__xludf.DUMMYFUNCTION("""COMPUTED_VALUE"""),"")</f>
        <v/>
      </c>
      <c r="B4130" s="17" t="str">
        <f>IFERROR(__xludf.DUMMYFUNCTION("""COMPUTED_VALUE"""),"")</f>
        <v/>
      </c>
      <c r="C4130" s="17" t="str">
        <f>IFERROR(__xludf.DUMMYFUNCTION("""COMPUTED_VALUE"""),"")</f>
        <v/>
      </c>
      <c r="D4130" s="17" t="str">
        <f>IFERROR(__xludf.DUMMYFUNCTION("""COMPUTED_VALUE"""),"")</f>
        <v/>
      </c>
      <c r="E4130" s="17" t="str">
        <f>IFERROR(__xludf.DUMMYFUNCTION("""COMPUTED_VALUE"""),"")</f>
        <v/>
      </c>
      <c r="F4130" s="17" t="str">
        <f>IFERROR(__xludf.DUMMYFUNCTION("""COMPUTED_VALUE"""),"")</f>
        <v/>
      </c>
      <c r="G4130" s="17" t="str">
        <f>IFERROR(__xludf.DUMMYFUNCTION("""COMPUTED_VALUE"""),"")</f>
        <v/>
      </c>
      <c r="H4130" s="17" t="str">
        <f>IFERROR(__xludf.DUMMYFUNCTION("""COMPUTED_VALUE"""),"")</f>
        <v/>
      </c>
      <c r="I4130" s="17" t="str">
        <f>IFERROR(__xludf.DUMMYFUNCTION("""COMPUTED_VALUE"""),"")</f>
        <v/>
      </c>
      <c r="J4130" s="17" t="str">
        <f>IFERROR(__xludf.DUMMYFUNCTION("""COMPUTED_VALUE"""),"")</f>
        <v/>
      </c>
      <c r="K4130" s="17" t="str">
        <f>IFERROR(__xludf.DUMMYFUNCTION("""COMPUTED_VALUE"""),"")</f>
        <v/>
      </c>
      <c r="L4130" s="17" t="str">
        <f>IFERROR(__xludf.DUMMYFUNCTION("""COMPUTED_VALUE"""),"")</f>
        <v/>
      </c>
      <c r="M4130" s="17" t="str">
        <f>IFERROR(__xludf.DUMMYFUNCTION("""COMPUTED_VALUE"""),"")</f>
        <v/>
      </c>
      <c r="N4130" s="17" t="str">
        <f>IFERROR(__xludf.DUMMYFUNCTION("""COMPUTED_VALUE"""),"")</f>
        <v/>
      </c>
      <c r="O4130" s="17" t="str">
        <f>IFERROR(__xludf.DUMMYFUNCTION("""COMPUTED_VALUE"""),"")</f>
        <v/>
      </c>
      <c r="P4130" s="17" t="str">
        <f>IFERROR(__xludf.DUMMYFUNCTION("""COMPUTED_VALUE"""),"")</f>
        <v/>
      </c>
      <c r="Q4130" s="17" t="str">
        <f>IFERROR(__xludf.DUMMYFUNCTION("""COMPUTED_VALUE"""),"")</f>
        <v/>
      </c>
      <c r="R4130" s="17" t="str">
        <f>IFERROR(__xludf.DUMMYFUNCTION("""COMPUTED_VALUE"""),"")</f>
        <v/>
      </c>
    </row>
    <row r="4131">
      <c r="A4131" s="15">
        <f>IFERROR(__xludf.DUMMYFUNCTION("""COMPUTED_VALUE"""),45121.0)</f>
        <v>45121</v>
      </c>
      <c r="B4131" s="17"/>
      <c r="C4131" s="15" t="str">
        <f>IFERROR(__xludf.DUMMYFUNCTION("""COMPUTED_VALUE"""),"BARRANQUILLA")</f>
        <v>BARRANQUILLA</v>
      </c>
      <c r="D4131" s="15" t="str">
        <f>IFERROR(__xludf.DUMMYFUNCTION("""COMPUTED_VALUE"""),"MEDELLÍN")</f>
        <v>MEDELLÍN</v>
      </c>
      <c r="E4131" s="15" t="str">
        <f>IFERROR(__xludf.DUMMYFUNCTION("""COMPUTED_VALUE"""),"Rambla")</f>
        <v>Rambla</v>
      </c>
      <c r="F4131" s="17" t="str">
        <f>IFERROR(__xludf.DUMMYFUNCTION("""COMPUTED_VALUE"""),"carrera 51 87 -50  / exito viva barranquilla / na")</f>
        <v>carrera 51 87 -50  / exito viva barranquilla / na</v>
      </c>
      <c r="G4131" s="15" t="str">
        <f>IFERROR(__xludf.DUMMYFUNCTION("""COMPUTED_VALUE"""),"zona azul barranquilla")</f>
        <v>zona azul barranquilla</v>
      </c>
      <c r="H4131" s="16">
        <f>IFERROR(__xludf.DUMMYFUNCTION("""COMPUTED_VALUE"""),12720.0)</f>
        <v>12720</v>
      </c>
      <c r="I4131" s="18">
        <f>IFERROR(__xludf.DUMMYFUNCTION("""COMPUTED_VALUE"""),34.0)</f>
        <v>34</v>
      </c>
      <c r="J4131" s="18">
        <f>IFERROR(__xludf.DUMMYFUNCTION("""COMPUTED_VALUE"""),23.0)</f>
        <v>23</v>
      </c>
      <c r="K4131" s="18">
        <f>IFERROR(__xludf.DUMMYFUNCTION("""COMPUTED_VALUE"""),23.0)</f>
        <v>23</v>
      </c>
      <c r="L4131" s="17">
        <f>IFERROR(__xludf.DUMMYFUNCTION("""COMPUTED_VALUE"""),3.105626817E9)</f>
        <v>3105626817</v>
      </c>
      <c r="M4131" s="17" t="str">
        <f>IFERROR(__xludf.DUMMYFUNCTION("""COMPUTED_VALUE"""),"#REF!")</f>
        <v>#REF!</v>
      </c>
      <c r="N4131" s="17"/>
      <c r="O4131" s="17"/>
      <c r="P4131" s="17" t="b">
        <f>IFERROR(__xludf.DUMMYFUNCTION("""COMPUTED_VALUE"""),FALSE)</f>
        <v>0</v>
      </c>
      <c r="Q4131" s="20" t="str">
        <f>IFERROR(__xludf.DUMMYFUNCTION("""COMPUTED_VALUE"""),"")</f>
        <v/>
      </c>
      <c r="R4131" s="21" t="str">
        <f>IFERROR(__xludf.DUMMYFUNCTION("""COMPUTED_VALUE"""),"https://drive.google.com/file/d/1vOUzEXa42CK45IqkVl0P4yRuu_qQP9Hs/view?usp=drivesdk")</f>
        <v>https://drive.google.com/file/d/1vOUzEXa42CK45IqkVl0P4yRuu_qQP9Hs/view?usp=drivesdk</v>
      </c>
    </row>
    <row r="4132">
      <c r="A4132" s="15">
        <f>IFERROR(__xludf.DUMMYFUNCTION("""COMPUTED_VALUE"""),45121.0)</f>
        <v>45121</v>
      </c>
      <c r="B4132" s="17"/>
      <c r="C4132" s="15" t="str">
        <f>IFERROR(__xludf.DUMMYFUNCTION("""COMPUTED_VALUE"""),"BUCARAMANGA")</f>
        <v>BUCARAMANGA</v>
      </c>
      <c r="D4132" s="15" t="str">
        <f>IFERROR(__xludf.DUMMYFUNCTION("""COMPUTED_VALUE"""),"BOGOTÁ")</f>
        <v>BOGOTÁ</v>
      </c>
      <c r="E4132" s="15" t="str">
        <f>IFERROR(__xludf.DUMMYFUNCTION("""COMPUTED_VALUE"""),"Athenas")</f>
        <v>Athenas</v>
      </c>
      <c r="F4132" s="17" t="str">
        <f>IFERROR(__xludf.DUMMYFUNCTION("""COMPUTED_VALUE"""),"Transversal el bosque #29-145 / Bodytech caracoli cafetería athenas / Florida blanca")</f>
        <v>Transversal el bosque #29-145 / Bodytech caracoli cafetería athenas / Florida blanca</v>
      </c>
      <c r="G4132" s="15" t="str">
        <f>IFERROR(__xludf.DUMMYFUNCTION("""COMPUTED_VALUE"""),"Mónica Núñez")</f>
        <v>Mónica Núñez</v>
      </c>
      <c r="H4132" s="16">
        <f>IFERROR(__xludf.DUMMYFUNCTION("""COMPUTED_VALUE"""),12733.0)</f>
        <v>12733</v>
      </c>
      <c r="I4132" s="18">
        <f>IFERROR(__xludf.DUMMYFUNCTION("""COMPUTED_VALUE"""),52.0)</f>
        <v>52</v>
      </c>
      <c r="J4132" s="18">
        <f>IFERROR(__xludf.DUMMYFUNCTION("""COMPUTED_VALUE"""),45.0)</f>
        <v>45</v>
      </c>
      <c r="K4132" s="18">
        <f>IFERROR(__xludf.DUMMYFUNCTION("""COMPUTED_VALUE"""),55.0)</f>
        <v>55</v>
      </c>
      <c r="L4132" s="17">
        <f>IFERROR(__xludf.DUMMYFUNCTION("""COMPUTED_VALUE"""),3.223812644E9)</f>
        <v>3223812644</v>
      </c>
      <c r="M4132" s="17" t="str">
        <f>IFERROR(__xludf.DUMMYFUNCTION("""COMPUTED_VALUE"""),"#REF!")</f>
        <v>#REF!</v>
      </c>
      <c r="N4132" s="17"/>
      <c r="O4132" s="17"/>
      <c r="P4132" s="17" t="b">
        <f>IFERROR(__xludf.DUMMYFUNCTION("""COMPUTED_VALUE"""),FALSE)</f>
        <v>0</v>
      </c>
      <c r="Q4132" s="20" t="str">
        <f>IFERROR(__xludf.DUMMYFUNCTION("""COMPUTED_VALUE"""),"")</f>
        <v/>
      </c>
      <c r="R4132" s="22" t="str">
        <f>IFERROR(__xludf.DUMMYFUNCTION("""COMPUTED_VALUE"""),"")</f>
        <v/>
      </c>
    </row>
    <row r="4133">
      <c r="A4133" s="17" t="str">
        <f>IFERROR(__xludf.DUMMYFUNCTION("""COMPUTED_VALUE"""),"")</f>
        <v/>
      </c>
      <c r="B4133" s="17" t="str">
        <f>IFERROR(__xludf.DUMMYFUNCTION("""COMPUTED_VALUE"""),"")</f>
        <v/>
      </c>
      <c r="C4133" s="17" t="str">
        <f>IFERROR(__xludf.DUMMYFUNCTION("""COMPUTED_VALUE"""),"")</f>
        <v/>
      </c>
      <c r="D4133" s="17" t="str">
        <f>IFERROR(__xludf.DUMMYFUNCTION("""COMPUTED_VALUE"""),"")</f>
        <v/>
      </c>
      <c r="E4133" s="17" t="str">
        <f>IFERROR(__xludf.DUMMYFUNCTION("""COMPUTED_VALUE"""),"")</f>
        <v/>
      </c>
      <c r="F4133" s="17" t="str">
        <f>IFERROR(__xludf.DUMMYFUNCTION("""COMPUTED_VALUE"""),"")</f>
        <v/>
      </c>
      <c r="G4133" s="17" t="str">
        <f>IFERROR(__xludf.DUMMYFUNCTION("""COMPUTED_VALUE"""),"")</f>
        <v/>
      </c>
      <c r="H4133" s="17" t="str">
        <f>IFERROR(__xludf.DUMMYFUNCTION("""COMPUTED_VALUE"""),"")</f>
        <v/>
      </c>
      <c r="I4133" s="17" t="str">
        <f>IFERROR(__xludf.DUMMYFUNCTION("""COMPUTED_VALUE"""),"")</f>
        <v/>
      </c>
      <c r="J4133" s="17" t="str">
        <f>IFERROR(__xludf.DUMMYFUNCTION("""COMPUTED_VALUE"""),"")</f>
        <v/>
      </c>
      <c r="K4133" s="17" t="str">
        <f>IFERROR(__xludf.DUMMYFUNCTION("""COMPUTED_VALUE"""),"")</f>
        <v/>
      </c>
      <c r="L4133" s="17" t="str">
        <f>IFERROR(__xludf.DUMMYFUNCTION("""COMPUTED_VALUE"""),"")</f>
        <v/>
      </c>
      <c r="M4133" s="17" t="str">
        <f>IFERROR(__xludf.DUMMYFUNCTION("""COMPUTED_VALUE"""),"")</f>
        <v/>
      </c>
      <c r="N4133" s="17" t="str">
        <f>IFERROR(__xludf.DUMMYFUNCTION("""COMPUTED_VALUE"""),"")</f>
        <v/>
      </c>
      <c r="O4133" s="17" t="str">
        <f>IFERROR(__xludf.DUMMYFUNCTION("""COMPUTED_VALUE"""),"")</f>
        <v/>
      </c>
      <c r="P4133" s="17" t="str">
        <f>IFERROR(__xludf.DUMMYFUNCTION("""COMPUTED_VALUE"""),"")</f>
        <v/>
      </c>
      <c r="Q4133" s="17" t="str">
        <f>IFERROR(__xludf.DUMMYFUNCTION("""COMPUTED_VALUE"""),"")</f>
        <v/>
      </c>
      <c r="R4133" s="17" t="str">
        <f>IFERROR(__xludf.DUMMYFUNCTION("""COMPUTED_VALUE"""),"")</f>
        <v/>
      </c>
    </row>
    <row r="4134">
      <c r="A4134" s="15">
        <f>IFERROR(__xludf.DUMMYFUNCTION("""COMPUTED_VALUE"""),45121.0)</f>
        <v>45121</v>
      </c>
      <c r="B4134" s="16" t="str">
        <f>IFERROR(__xludf.DUMMYFUNCTION("""COMPUTED_VALUE"""),"Daniel José sandoval gonzalez")</f>
        <v>Daniel José sandoval gonzalez</v>
      </c>
      <c r="C4134" s="15" t="str">
        <f>IFERROR(__xludf.DUMMYFUNCTION("""COMPUTED_VALUE"""),"BARRANQUILLA")</f>
        <v>BARRANQUILLA</v>
      </c>
      <c r="D4134" s="15" t="str">
        <f>IFERROR(__xludf.DUMMYFUNCTION("""COMPUTED_VALUE"""),"BOGOTÁ")</f>
        <v>BOGOTÁ</v>
      </c>
      <c r="E4134" s="15" t="str">
        <f>IFERROR(__xludf.DUMMYFUNCTION("""COMPUTED_VALUE"""),"Athenas")</f>
        <v>Athenas</v>
      </c>
      <c r="F4134" s="17" t="str">
        <f>IFERROR(__xludf.DUMMYFUNCTION("""COMPUTED_VALUE"""),"Carrera 43#60 25 / Centro comercial recreo Bodytech / Recreo")</f>
        <v>Carrera 43#60 25 / Centro comercial recreo Bodytech / Recreo</v>
      </c>
      <c r="G4134" s="15" t="str">
        <f>IFERROR(__xludf.DUMMYFUNCTION("""COMPUTED_VALUE"""),"Astrid martinez")</f>
        <v>Astrid martinez</v>
      </c>
      <c r="H4134" s="16">
        <f>IFERROR(__xludf.DUMMYFUNCTION("""COMPUTED_VALUE"""),12682.0)</f>
        <v>12682</v>
      </c>
      <c r="I4134" s="18">
        <f>IFERROR(__xludf.DUMMYFUNCTION("""COMPUTED_VALUE"""),29.0)</f>
        <v>29</v>
      </c>
      <c r="J4134" s="18">
        <f>IFERROR(__xludf.DUMMYFUNCTION("""COMPUTED_VALUE"""),45.0)</f>
        <v>45</v>
      </c>
      <c r="K4134" s="18">
        <f>IFERROR(__xludf.DUMMYFUNCTION("""COMPUTED_VALUE"""),55.0)</f>
        <v>55</v>
      </c>
      <c r="L4134" s="17">
        <f>IFERROR(__xludf.DUMMYFUNCTION("""COMPUTED_VALUE"""),3.106158334E9)</f>
        <v>3106158334</v>
      </c>
      <c r="M4134" s="17" t="str">
        <f>IFERROR(__xludf.DUMMYFUNCTION("""COMPUTED_VALUE"""),"#REF!")</f>
        <v>#REF!</v>
      </c>
      <c r="N4134" s="17"/>
      <c r="O4134" s="17"/>
      <c r="P4134" s="17" t="b">
        <f>IFERROR(__xludf.DUMMYFUNCTION("""COMPUTED_VALUE"""),TRUE)</f>
        <v>1</v>
      </c>
      <c r="Q4134" s="20">
        <f>IFERROR(__xludf.DUMMYFUNCTION("""COMPUTED_VALUE"""),45121.71209851852)</f>
        <v>45121.7121</v>
      </c>
      <c r="R4134" s="22" t="str">
        <f>IFERROR(__xludf.DUMMYFUNCTION("""COMPUTED_VALUE"""),"")</f>
        <v/>
      </c>
    </row>
    <row r="4135">
      <c r="A4135" s="15">
        <f>IFERROR(__xludf.DUMMYFUNCTION("""COMPUTED_VALUE"""),45121.0)</f>
        <v>45121</v>
      </c>
      <c r="B4135" s="16" t="str">
        <f>IFERROR(__xludf.DUMMYFUNCTION("""COMPUTED_VALUE"""),"Daniel José sandoval gonzalez")</f>
        <v>Daniel José sandoval gonzalez</v>
      </c>
      <c r="C4135" s="15" t="str">
        <f>IFERROR(__xludf.DUMMYFUNCTION("""COMPUTED_VALUE"""),"BARRANQUILLA")</f>
        <v>BARRANQUILLA</v>
      </c>
      <c r="D4135" s="15" t="str">
        <f>IFERROR(__xludf.DUMMYFUNCTION("""COMPUTED_VALUE"""),"BOGOTÁ")</f>
        <v>BOGOTÁ</v>
      </c>
      <c r="E4135" s="15" t="str">
        <f>IFERROR(__xludf.DUMMYFUNCTION("""COMPUTED_VALUE"""),"Athenas")</f>
        <v>Athenas</v>
      </c>
      <c r="F4135" s="17" t="str">
        <f>IFERROR(__xludf.DUMMYFUNCTION("""COMPUTED_VALUE"""),"Carrera 53 # 79 279  / Edificio royal 2 piso / El country")</f>
        <v>Carrera 53 # 79 279  / Edificio royal 2 piso / El country</v>
      </c>
      <c r="G4135" s="15" t="str">
        <f>IFERROR(__xludf.DUMMYFUNCTION("""COMPUTED_VALUE"""),"Rosalba cifuentes")</f>
        <v>Rosalba cifuentes</v>
      </c>
      <c r="H4135" s="16">
        <f>IFERROR(__xludf.DUMMYFUNCTION("""COMPUTED_VALUE"""),12683.0)</f>
        <v>12683</v>
      </c>
      <c r="I4135" s="18">
        <f>IFERROR(__xludf.DUMMYFUNCTION("""COMPUTED_VALUE"""),55.0)</f>
        <v>55</v>
      </c>
      <c r="J4135" s="18">
        <f>IFERROR(__xludf.DUMMYFUNCTION("""COMPUTED_VALUE"""),45.0)</f>
        <v>45</v>
      </c>
      <c r="K4135" s="18">
        <f>IFERROR(__xludf.DUMMYFUNCTION("""COMPUTED_VALUE"""),29.0)</f>
        <v>29</v>
      </c>
      <c r="L4135" s="17">
        <f>IFERROR(__xludf.DUMMYFUNCTION("""COMPUTED_VALUE"""),3.106158334E9)</f>
        <v>3106158334</v>
      </c>
      <c r="M4135" s="17" t="str">
        <f>IFERROR(__xludf.DUMMYFUNCTION("""COMPUTED_VALUE"""),"#REF!")</f>
        <v>#REF!</v>
      </c>
      <c r="N4135" s="17"/>
      <c r="O4135" s="17"/>
      <c r="P4135" s="17" t="b">
        <f>IFERROR(__xludf.DUMMYFUNCTION("""COMPUTED_VALUE"""),TRUE)</f>
        <v>1</v>
      </c>
      <c r="Q4135" s="20">
        <f>IFERROR(__xludf.DUMMYFUNCTION("""COMPUTED_VALUE"""),45121.712118634256)</f>
        <v>45121.71212</v>
      </c>
      <c r="R4135" s="22" t="str">
        <f>IFERROR(__xludf.DUMMYFUNCTION("""COMPUTED_VALUE"""),"")</f>
        <v/>
      </c>
    </row>
    <row r="4136">
      <c r="A4136" s="15">
        <f>IFERROR(__xludf.DUMMYFUNCTION("""COMPUTED_VALUE"""),45121.0)</f>
        <v>45121</v>
      </c>
      <c r="B4136" s="16" t="str">
        <f>IFERROR(__xludf.DUMMYFUNCTION("""COMPUTED_VALUE"""),"Daniel José sandoval gonzalez")</f>
        <v>Daniel José sandoval gonzalez</v>
      </c>
      <c r="C4136" s="15" t="str">
        <f>IFERROR(__xludf.DUMMYFUNCTION("""COMPUTED_VALUE"""),"BARRANQUILLA")</f>
        <v>BARRANQUILLA</v>
      </c>
      <c r="D4136" s="15" t="str">
        <f>IFERROR(__xludf.DUMMYFUNCTION("""COMPUTED_VALUE"""),"BOGOTÁ")</f>
        <v>BOGOTÁ</v>
      </c>
      <c r="E4136" s="15" t="str">
        <f>IFERROR(__xludf.DUMMYFUNCTION("""COMPUTED_VALUE"""),"Evamazzita")</f>
        <v>Evamazzita</v>
      </c>
      <c r="F4136" s="17" t="str">
        <f>IFERROR(__xludf.DUMMYFUNCTION("""COMPUTED_VALUE"""),"Calle 114#43-204 / Apto 403 Torre 1 / N/A")</f>
        <v>Calle 114#43-204 / Apto 403 Torre 1 / N/A</v>
      </c>
      <c r="G4136" s="15" t="str">
        <f>IFERROR(__xludf.DUMMYFUNCTION("""COMPUTED_VALUE"""),"SHIRLIS NAYITH PACHECO BOCANEGRA")</f>
        <v>SHIRLIS NAYITH PACHECO BOCANEGRA</v>
      </c>
      <c r="H4136" s="16">
        <f>IFERROR(__xludf.DUMMYFUNCTION("""COMPUTED_VALUE"""),12669.0)</f>
        <v>12669</v>
      </c>
      <c r="I4136" s="18">
        <f>IFERROR(__xludf.DUMMYFUNCTION("""COMPUTED_VALUE"""),1.0)</f>
        <v>1</v>
      </c>
      <c r="J4136" s="18">
        <f>IFERROR(__xludf.DUMMYFUNCTION("""COMPUTED_VALUE"""),1.0)</f>
        <v>1</v>
      </c>
      <c r="K4136" s="18">
        <f>IFERROR(__xludf.DUMMYFUNCTION("""COMPUTED_VALUE"""),1.0)</f>
        <v>1</v>
      </c>
      <c r="L4136" s="17">
        <f>IFERROR(__xludf.DUMMYFUNCTION("""COMPUTED_VALUE"""),3.218338059E9)</f>
        <v>3218338059</v>
      </c>
      <c r="M4136" s="17" t="str">
        <f>IFERROR(__xludf.DUMMYFUNCTION("""COMPUTED_VALUE"""),"#REF!")</f>
        <v>#REF!</v>
      </c>
      <c r="N4136" s="17"/>
      <c r="O4136" s="17"/>
      <c r="P4136" s="17" t="b">
        <f>IFERROR(__xludf.DUMMYFUNCTION("""COMPUTED_VALUE"""),TRUE)</f>
        <v>1</v>
      </c>
      <c r="Q4136" s="20">
        <f>IFERROR(__xludf.DUMMYFUNCTION("""COMPUTED_VALUE"""),45121.712118634256)</f>
        <v>45121.71212</v>
      </c>
      <c r="R4136" s="21" t="str">
        <f>IFERROR(__xludf.DUMMYFUNCTION("""COMPUTED_VALUE"""),"https://drive.google.com/file/d/1qPfY66DzwPEZOEwPSXTHRphkYCmiBR7O/view?usp=drivesdk")</f>
        <v>https://drive.google.com/file/d/1qPfY66DzwPEZOEwPSXTHRphkYCmiBR7O/view?usp=drivesdk</v>
      </c>
    </row>
    <row r="4137">
      <c r="A4137" s="15">
        <f>IFERROR(__xludf.DUMMYFUNCTION("""COMPUTED_VALUE"""),45121.0)</f>
        <v>45121</v>
      </c>
      <c r="B4137" s="16" t="str">
        <f>IFERROR(__xludf.DUMMYFUNCTION("""COMPUTED_VALUE"""),"Daniel José sandoval gonzalez")</f>
        <v>Daniel José sandoval gonzalez</v>
      </c>
      <c r="C4137" s="15" t="str">
        <f>IFERROR(__xludf.DUMMYFUNCTION("""COMPUTED_VALUE"""),"BARRANQUILLA")</f>
        <v>BARRANQUILLA</v>
      </c>
      <c r="D4137" s="15" t="str">
        <f>IFERROR(__xludf.DUMMYFUNCTION("""COMPUTED_VALUE"""),"BOGOTÁ")</f>
        <v>BOGOTÁ</v>
      </c>
      <c r="E4137" s="15" t="str">
        <f>IFERROR(__xludf.DUMMYFUNCTION("""COMPUTED_VALUE"""),"Evamazzita")</f>
        <v>Evamazzita</v>
      </c>
      <c r="F4137" s="17" t="str">
        <f>IFERROR(__xludf.DUMMYFUNCTION("""COMPUTED_VALUE"""),"Carrera 42 #79-27 / Edificio pabla Apto 1A / Barrio Cuidad Jardin")</f>
        <v>Carrera 42 #79-27 / Edificio pabla Apto 1A / Barrio Cuidad Jardin</v>
      </c>
      <c r="G4137" s="15" t="str">
        <f>IFERROR(__xludf.DUMMYFUNCTION("""COMPUTED_VALUE"""),"KEYLA ORTIZ VIZCAINO")</f>
        <v>KEYLA ORTIZ VIZCAINO</v>
      </c>
      <c r="H4137" s="16">
        <f>IFERROR(__xludf.DUMMYFUNCTION("""COMPUTED_VALUE"""),12671.0)</f>
        <v>12671</v>
      </c>
      <c r="I4137" s="18">
        <f>IFERROR(__xludf.DUMMYFUNCTION("""COMPUTED_VALUE"""),1.0)</f>
        <v>1</v>
      </c>
      <c r="J4137" s="18">
        <f>IFERROR(__xludf.DUMMYFUNCTION("""COMPUTED_VALUE"""),1.0)</f>
        <v>1</v>
      </c>
      <c r="K4137" s="18">
        <f>IFERROR(__xludf.DUMMYFUNCTION("""COMPUTED_VALUE"""),1.0)</f>
        <v>1</v>
      </c>
      <c r="L4137" s="17">
        <f>IFERROR(__xludf.DUMMYFUNCTION("""COMPUTED_VALUE"""),3.122766378E9)</f>
        <v>3122766378</v>
      </c>
      <c r="M4137" s="17" t="str">
        <f>IFERROR(__xludf.DUMMYFUNCTION("""COMPUTED_VALUE"""),"#REF!")</f>
        <v>#REF!</v>
      </c>
      <c r="N4137" s="17"/>
      <c r="O4137" s="17"/>
      <c r="P4137" s="17" t="b">
        <f>IFERROR(__xludf.DUMMYFUNCTION("""COMPUTED_VALUE"""),TRUE)</f>
        <v>1</v>
      </c>
      <c r="Q4137" s="20">
        <f>IFERROR(__xludf.DUMMYFUNCTION("""COMPUTED_VALUE"""),45121.712139490744)</f>
        <v>45121.71214</v>
      </c>
      <c r="R4137" s="21" t="str">
        <f>IFERROR(__xludf.DUMMYFUNCTION("""COMPUTED_VALUE"""),"https://drive.google.com/file/d/1uABdcLUq-zMUqj94nkk4O5wnVykbPAUQ/view?usp=drivesdk")</f>
        <v>https://drive.google.com/file/d/1uABdcLUq-zMUqj94nkk4O5wnVykbPAUQ/view?usp=drivesdk</v>
      </c>
    </row>
    <row r="4138">
      <c r="A4138" s="15">
        <f>IFERROR(__xludf.DUMMYFUNCTION("""COMPUTED_VALUE"""),45121.0)</f>
        <v>45121</v>
      </c>
      <c r="B4138" s="16" t="str">
        <f>IFERROR(__xludf.DUMMYFUNCTION("""COMPUTED_VALUE"""),"Daniel José sandoval gonzalez")</f>
        <v>Daniel José sandoval gonzalez</v>
      </c>
      <c r="C4138" s="15" t="str">
        <f>IFERROR(__xludf.DUMMYFUNCTION("""COMPUTED_VALUE"""),"BARRANQUILLA")</f>
        <v>BARRANQUILLA</v>
      </c>
      <c r="D4138" s="15" t="str">
        <f>IFERROR(__xludf.DUMMYFUNCTION("""COMPUTED_VALUE"""),"BOGOTÁ")</f>
        <v>BOGOTÁ</v>
      </c>
      <c r="E4138" s="15" t="str">
        <f>IFERROR(__xludf.DUMMYFUNCTION("""COMPUTED_VALUE"""),"Evamazzita")</f>
        <v>Evamazzita</v>
      </c>
      <c r="F4138" s="17" t="str">
        <f>IFERROR(__xludf.DUMMYFUNCTION("""COMPUTED_VALUE"""),"Carrera 50#46-93 / Piso 2 apto 1 / Entrada principal para la calle 47 (edificio de color blanco de esquina) Barrio abajo")</f>
        <v>Carrera 50#46-93 / Piso 2 apto 1 / Entrada principal para la calle 47 (edificio de color blanco de esquina) Barrio abajo</v>
      </c>
      <c r="G4138" s="15" t="str">
        <f>IFERROR(__xludf.DUMMYFUNCTION("""COMPUTED_VALUE"""),"IVETH BARRERA REINA")</f>
        <v>IVETH BARRERA REINA</v>
      </c>
      <c r="H4138" s="16">
        <f>IFERROR(__xludf.DUMMYFUNCTION("""COMPUTED_VALUE"""),12670.0)</f>
        <v>12670</v>
      </c>
      <c r="I4138" s="18">
        <f>IFERROR(__xludf.DUMMYFUNCTION("""COMPUTED_VALUE"""),1.0)</f>
        <v>1</v>
      </c>
      <c r="J4138" s="18">
        <f>IFERROR(__xludf.DUMMYFUNCTION("""COMPUTED_VALUE"""),1.0)</f>
        <v>1</v>
      </c>
      <c r="K4138" s="18">
        <f>IFERROR(__xludf.DUMMYFUNCTION("""COMPUTED_VALUE"""),1.0)</f>
        <v>1</v>
      </c>
      <c r="L4138" s="17">
        <f>IFERROR(__xludf.DUMMYFUNCTION("""COMPUTED_VALUE"""),3.013669213E9)</f>
        <v>3013669213</v>
      </c>
      <c r="M4138" s="17" t="str">
        <f>IFERROR(__xludf.DUMMYFUNCTION("""COMPUTED_VALUE"""),"#REF!")</f>
        <v>#REF!</v>
      </c>
      <c r="N4138" s="17"/>
      <c r="O4138" s="17"/>
      <c r="P4138" s="17" t="b">
        <f>IFERROR(__xludf.DUMMYFUNCTION("""COMPUTED_VALUE"""),TRUE)</f>
        <v>1</v>
      </c>
      <c r="Q4138" s="20">
        <f>IFERROR(__xludf.DUMMYFUNCTION("""COMPUTED_VALUE"""),45121.712139490744)</f>
        <v>45121.71214</v>
      </c>
      <c r="R4138" s="21" t="str">
        <f>IFERROR(__xludf.DUMMYFUNCTION("""COMPUTED_VALUE"""),"https://drive.google.com/file/d/1tREvYbIO4RG_ZpMh4jXx-4qdh7lZ4TkY/view?usp=drivesdk")</f>
        <v>https://drive.google.com/file/d/1tREvYbIO4RG_ZpMh4jXx-4qdh7lZ4TkY/view?usp=drivesdk</v>
      </c>
    </row>
    <row r="4139">
      <c r="A4139" s="15">
        <f>IFERROR(__xludf.DUMMYFUNCTION("""COMPUTED_VALUE"""),45121.0)</f>
        <v>45121</v>
      </c>
      <c r="B4139" s="16" t="str">
        <f>IFERROR(__xludf.DUMMYFUNCTION("""COMPUTED_VALUE"""),"Daniel José sandoval gonzalez")</f>
        <v>Daniel José sandoval gonzalez</v>
      </c>
      <c r="C4139" s="15" t="str">
        <f>IFERROR(__xludf.DUMMYFUNCTION("""COMPUTED_VALUE"""),"BARRANQUILLA")</f>
        <v>BARRANQUILLA</v>
      </c>
      <c r="D4139" s="15" t="str">
        <f>IFERROR(__xludf.DUMMYFUNCTION("""COMPUTED_VALUE"""),"BOGOTÁ")</f>
        <v>BOGOTÁ</v>
      </c>
      <c r="E4139" s="15" t="str">
        <f>IFERROR(__xludf.DUMMYFUNCTION("""COMPUTED_VALUE"""),"Evamazzita")</f>
        <v>Evamazzita</v>
      </c>
      <c r="F4139" s="17" t="str">
        <f>IFERROR(__xludf.DUMMYFUNCTION("""COMPUTED_VALUE"""),"Cra 74#82-82 / Torre 2 Apto 605 / Paraiso")</f>
        <v>Cra 74#82-82 / Torre 2 Apto 605 / Paraiso</v>
      </c>
      <c r="G4139" s="15" t="str">
        <f>IFERROR(__xludf.DUMMYFUNCTION("""COMPUTED_VALUE"""),"DIANA CONSUEGRA CABALLY")</f>
        <v>DIANA CONSUEGRA CABALLY</v>
      </c>
      <c r="H4139" s="16">
        <f>IFERROR(__xludf.DUMMYFUNCTION("""COMPUTED_VALUE"""),12668.0)</f>
        <v>12668</v>
      </c>
      <c r="I4139" s="18">
        <f>IFERROR(__xludf.DUMMYFUNCTION("""COMPUTED_VALUE"""),1.0)</f>
        <v>1</v>
      </c>
      <c r="J4139" s="18">
        <f>IFERROR(__xludf.DUMMYFUNCTION("""COMPUTED_VALUE"""),1.0)</f>
        <v>1</v>
      </c>
      <c r="K4139" s="18">
        <f>IFERROR(__xludf.DUMMYFUNCTION("""COMPUTED_VALUE"""),1.0)</f>
        <v>1</v>
      </c>
      <c r="L4139" s="17">
        <f>IFERROR(__xludf.DUMMYFUNCTION("""COMPUTED_VALUE"""),3.016220856E9)</f>
        <v>3016220856</v>
      </c>
      <c r="M4139" s="17" t="str">
        <f>IFERROR(__xludf.DUMMYFUNCTION("""COMPUTED_VALUE"""),"#REF!")</f>
        <v>#REF!</v>
      </c>
      <c r="N4139" s="17"/>
      <c r="O4139" s="17"/>
      <c r="P4139" s="17" t="b">
        <f>IFERROR(__xludf.DUMMYFUNCTION("""COMPUTED_VALUE"""),TRUE)</f>
        <v>1</v>
      </c>
      <c r="Q4139" s="20">
        <f>IFERROR(__xludf.DUMMYFUNCTION("""COMPUTED_VALUE"""),45121.712139490744)</f>
        <v>45121.71214</v>
      </c>
      <c r="R4139" s="21" t="str">
        <f>IFERROR(__xludf.DUMMYFUNCTION("""COMPUTED_VALUE"""),"https://drive.google.com/file/d/12NmZHAz7HWLN27dSb0hEvtH_fWAJHJTP/view?usp=drivesdk")</f>
        <v>https://drive.google.com/file/d/12NmZHAz7HWLN27dSb0hEvtH_fWAJHJTP/view?usp=drivesdk</v>
      </c>
    </row>
    <row r="4140">
      <c r="A4140" s="15">
        <f>IFERROR(__xludf.DUMMYFUNCTION("""COMPUTED_VALUE"""),45121.0)</f>
        <v>45121</v>
      </c>
      <c r="B4140" s="16" t="str">
        <f>IFERROR(__xludf.DUMMYFUNCTION("""COMPUTED_VALUE"""),"Daniel José sandoval gonzalez")</f>
        <v>Daniel José sandoval gonzalez</v>
      </c>
      <c r="C4140" s="15" t="str">
        <f>IFERROR(__xludf.DUMMYFUNCTION("""COMPUTED_VALUE"""),"BARRANQUILLA")</f>
        <v>BARRANQUILLA</v>
      </c>
      <c r="D4140" s="15" t="str">
        <f>IFERROR(__xludf.DUMMYFUNCTION("""COMPUTED_VALUE"""),"BOGOTÁ")</f>
        <v>BOGOTÁ</v>
      </c>
      <c r="E4140" s="15" t="str">
        <f>IFERROR(__xludf.DUMMYFUNCTION("""COMPUTED_VALUE"""),"MAI ALIMENTOS S.A.S")</f>
        <v>MAI ALIMENTOS S.A.S</v>
      </c>
      <c r="F4140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4140" s="15" t="str">
        <f>IFERROR(__xludf.DUMMYFUNCTION("""COMPUTED_VALUE"""),"Fithub")</f>
        <v>Fithub</v>
      </c>
      <c r="H4140" s="16">
        <f>IFERROR(__xludf.DUMMYFUNCTION("""COMPUTED_VALUE"""),12553.0)</f>
        <v>12553</v>
      </c>
      <c r="I4140" s="18">
        <f>IFERROR(__xludf.DUMMYFUNCTION("""COMPUTED_VALUE"""),28.0)</f>
        <v>28</v>
      </c>
      <c r="J4140" s="18">
        <f>IFERROR(__xludf.DUMMYFUNCTION("""COMPUTED_VALUE"""),17.0)</f>
        <v>17</v>
      </c>
      <c r="K4140" s="18">
        <f>IFERROR(__xludf.DUMMYFUNCTION("""COMPUTED_VALUE"""),13.0)</f>
        <v>13</v>
      </c>
      <c r="L4140" s="17">
        <f>IFERROR(__xludf.DUMMYFUNCTION("""COMPUTED_VALUE"""),0.0)</f>
        <v>0</v>
      </c>
      <c r="M4140" s="17" t="str">
        <f>IFERROR(__xludf.DUMMYFUNCTION("""COMPUTED_VALUE"""),"#REF!")</f>
        <v>#REF!</v>
      </c>
      <c r="N4140" s="17"/>
      <c r="O4140" s="17"/>
      <c r="P4140" s="17" t="b">
        <f>IFERROR(__xludf.DUMMYFUNCTION("""COMPUTED_VALUE"""),TRUE)</f>
        <v>1</v>
      </c>
      <c r="Q4140" s="20">
        <f>IFERROR(__xludf.DUMMYFUNCTION("""COMPUTED_VALUE"""),45121.71213950231)</f>
        <v>45121.71214</v>
      </c>
      <c r="R4140" s="21" t="str">
        <f>IFERROR(__xludf.DUMMYFUNCTION("""COMPUTED_VALUE"""),"https://drive.google.com/file/d/1zUwDY9QRcV7ZE92guqhyhaAPjZy0lrpP/view?usp=drivesdk")</f>
        <v>https://drive.google.com/file/d/1zUwDY9QRcV7ZE92guqhyhaAPjZy0lrpP/view?usp=drivesdk</v>
      </c>
    </row>
    <row r="4141">
      <c r="A4141" s="15">
        <f>IFERROR(__xludf.DUMMYFUNCTION("""COMPUTED_VALUE"""),45121.0)</f>
        <v>45121</v>
      </c>
      <c r="B4141" s="16" t="str">
        <f>IFERROR(__xludf.DUMMYFUNCTION("""COMPUTED_VALUE"""),"Daniel José sandoval gonzalez")</f>
        <v>Daniel José sandoval gonzalez</v>
      </c>
      <c r="C4141" s="15" t="str">
        <f>IFERROR(__xludf.DUMMYFUNCTION("""COMPUTED_VALUE"""),"BARRANQUILLA")</f>
        <v>BARRANQUILLA</v>
      </c>
      <c r="D4141" s="15" t="str">
        <f>IFERROR(__xludf.DUMMYFUNCTION("""COMPUTED_VALUE"""),"BOGOTÁ")</f>
        <v>BOGOTÁ</v>
      </c>
      <c r="E4141" s="15" t="str">
        <f>IFERROR(__xludf.DUMMYFUNCTION("""COMPUTED_VALUE"""),"Pan de Waffle")</f>
        <v>Pan de Waffle</v>
      </c>
      <c r="F4141" s="17" t="str">
        <f>IFERROR(__xludf.DUMMYFUNCTION("""COMPUTED_VALUE"""),"Carrera 45 # 85 - 168 / Carrera 45 # 85 - 168 / Carrera 45 # 85 - 168")</f>
        <v>Carrera 45 # 85 - 168 / Carrera 45 # 85 - 168 / Carrera 45 # 85 - 168</v>
      </c>
      <c r="G4141" s="15" t="str">
        <f>IFERROR(__xludf.DUMMYFUNCTION("""COMPUTED_VALUE"""),"FOODOLOGY")</f>
        <v>FOODOLOGY</v>
      </c>
      <c r="H4141" s="16">
        <f>IFERROR(__xludf.DUMMYFUNCTION("""COMPUTED_VALUE"""),12706.0)</f>
        <v>12706</v>
      </c>
      <c r="I4141" s="18">
        <f>IFERROR(__xludf.DUMMYFUNCTION("""COMPUTED_VALUE"""),40.0)</f>
        <v>40</v>
      </c>
      <c r="J4141" s="18">
        <f>IFERROR(__xludf.DUMMYFUNCTION("""COMPUTED_VALUE"""),40.0)</f>
        <v>40</v>
      </c>
      <c r="K4141" s="18">
        <f>IFERROR(__xludf.DUMMYFUNCTION("""COMPUTED_VALUE"""),30.0)</f>
        <v>30</v>
      </c>
      <c r="L4141" s="17">
        <f>IFERROR(__xludf.DUMMYFUNCTION("""COMPUTED_VALUE"""),3.017001909E9)</f>
        <v>3017001909</v>
      </c>
      <c r="M4141" s="17" t="str">
        <f>IFERROR(__xludf.DUMMYFUNCTION("""COMPUTED_VALUE"""),"#REF!")</f>
        <v>#REF!</v>
      </c>
      <c r="N4141" s="17"/>
      <c r="O4141" s="17"/>
      <c r="P4141" s="17" t="b">
        <f>IFERROR(__xludf.DUMMYFUNCTION("""COMPUTED_VALUE"""),TRUE)</f>
        <v>1</v>
      </c>
      <c r="Q4141" s="20">
        <f>IFERROR(__xludf.DUMMYFUNCTION("""COMPUTED_VALUE"""),45121.71213950231)</f>
        <v>45121.71214</v>
      </c>
      <c r="R4141" s="21" t="str">
        <f>IFERROR(__xludf.DUMMYFUNCTION("""COMPUTED_VALUE"""),"https://drive.google.com/file/d/1H4o-bxBH5NF_XEGEJuBpmxnGzPYFLRVc/view?usp=drivesdk")</f>
        <v>https://drive.google.com/file/d/1H4o-bxBH5NF_XEGEJuBpmxnGzPYFLRVc/view?usp=drivesdk</v>
      </c>
    </row>
    <row r="4142">
      <c r="A4142" s="15">
        <f>IFERROR(__xludf.DUMMYFUNCTION("""COMPUTED_VALUE"""),45121.0)</f>
        <v>45121</v>
      </c>
      <c r="B4142" s="16" t="str">
        <f>IFERROR(__xludf.DUMMYFUNCTION("""COMPUTED_VALUE"""),"Daniel José sandoval gonzalez")</f>
        <v>Daniel José sandoval gonzalez</v>
      </c>
      <c r="C4142" s="15" t="str">
        <f>IFERROR(__xludf.DUMMYFUNCTION("""COMPUTED_VALUE"""),"BARRANQUILLA")</f>
        <v>BARRANQUILLA</v>
      </c>
      <c r="D4142" s="15" t="str">
        <f>IFERROR(__xludf.DUMMYFUNCTION("""COMPUTED_VALUE"""),"BOGOTÁ")</f>
        <v>BOGOTÁ</v>
      </c>
      <c r="E4142" s="15" t="str">
        <f>IFERROR(__xludf.DUMMYFUNCTION("""COMPUTED_VALUE"""),"Pan de Waffle")</f>
        <v>Pan de Waffle</v>
      </c>
      <c r="F4142" s="17" t="str">
        <f>IFERROR(__xludf.DUMMYFUNCTION("""COMPUTED_VALUE"""),"CR 53 80 284 LC 8 / CR 53 80 284 LC 8 / CR 53 80 284 LC 8")</f>
        <v>CR 53 80 284 LC 8 / CR 53 80 284 LC 8 / CR 53 80 284 LC 8</v>
      </c>
      <c r="G4142" s="15" t="str">
        <f>IFERROR(__xludf.DUMMYFUNCTION("""COMPUTED_VALUE"""),"CORPO FIT BARRANQUILLA")</f>
        <v>CORPO FIT BARRANQUILLA</v>
      </c>
      <c r="H4142" s="16">
        <f>IFERROR(__xludf.DUMMYFUNCTION("""COMPUTED_VALUE"""),12705.0)</f>
        <v>12705</v>
      </c>
      <c r="I4142" s="18">
        <f>IFERROR(__xludf.DUMMYFUNCTION("""COMPUTED_VALUE"""),30.0)</f>
        <v>30</v>
      </c>
      <c r="J4142" s="18">
        <f>IFERROR(__xludf.DUMMYFUNCTION("""COMPUTED_VALUE"""),30.0)</f>
        <v>30</v>
      </c>
      <c r="K4142" s="18">
        <f>IFERROR(__xludf.DUMMYFUNCTION("""COMPUTED_VALUE"""),40.0)</f>
        <v>40</v>
      </c>
      <c r="L4142" s="17">
        <f>IFERROR(__xludf.DUMMYFUNCTION("""COMPUTED_VALUE"""),3.006125263E9)</f>
        <v>3006125263</v>
      </c>
      <c r="M4142" s="17" t="str">
        <f>IFERROR(__xludf.DUMMYFUNCTION("""COMPUTED_VALUE"""),"#REF!")</f>
        <v>#REF!</v>
      </c>
      <c r="N4142" s="17"/>
      <c r="O4142" s="17"/>
      <c r="P4142" s="17" t="b">
        <f>IFERROR(__xludf.DUMMYFUNCTION("""COMPUTED_VALUE"""),TRUE)</f>
        <v>1</v>
      </c>
      <c r="Q4142" s="20">
        <f>IFERROR(__xludf.DUMMYFUNCTION("""COMPUTED_VALUE"""),45121.71213950231)</f>
        <v>45121.71214</v>
      </c>
      <c r="R4142" s="22" t="str">
        <f>IFERROR(__xludf.DUMMYFUNCTION("""COMPUTED_VALUE"""),"")</f>
        <v/>
      </c>
    </row>
    <row r="4143">
      <c r="A4143" s="15">
        <f>IFERROR(__xludf.DUMMYFUNCTION("""COMPUTED_VALUE"""),45121.0)</f>
        <v>45121</v>
      </c>
      <c r="B4143" s="16" t="str">
        <f>IFERROR(__xludf.DUMMYFUNCTION("""COMPUTED_VALUE"""),"Daniel José sandoval gonzalez")</f>
        <v>Daniel José sandoval gonzalez</v>
      </c>
      <c r="C4143" s="15" t="str">
        <f>IFERROR(__xludf.DUMMYFUNCTION("""COMPUTED_VALUE"""),"BARRANQUILLA")</f>
        <v>BARRANQUILLA</v>
      </c>
      <c r="D4143" s="15" t="str">
        <f>IFERROR(__xludf.DUMMYFUNCTION("""COMPUTED_VALUE"""),"MEDELLÍN")</f>
        <v>MEDELLÍN</v>
      </c>
      <c r="E4143" s="15" t="str">
        <f>IFERROR(__xludf.DUMMYFUNCTION("""COMPUTED_VALUE"""),"Baby Chef")</f>
        <v>Baby Chef</v>
      </c>
      <c r="F4143" s="17" t="str">
        <f>IFERROR(__xludf.DUMMYFUNCTION("""COMPUTED_VALUE"""),"Cra 65 No 99-109  Altos de limonar  Conjunto central garden  Apto 213 / Cra 65 No 99-109  Altos de limonar  Conjunto central garden  Apto 213 / Cra 65 No 99-109  Altos de limonar  Conjunto central garden  Apto 213")</f>
        <v>Cra 65 No 99-109  Altos de limonar  Conjunto central garden  Apto 213 / Cra 65 No 99-109  Altos de limonar  Conjunto central garden  Apto 213 / Cra 65 No 99-109  Altos de limonar  Conjunto central garden  Apto 213</v>
      </c>
      <c r="G4143" s="15" t="str">
        <f>IFERROR(__xludf.DUMMYFUNCTION("""COMPUTED_VALUE"""),"Natali Niebles")</f>
        <v>Natali Niebles</v>
      </c>
      <c r="H4143" s="16">
        <f>IFERROR(__xludf.DUMMYFUNCTION("""COMPUTED_VALUE"""),12711.0)</f>
        <v>12711</v>
      </c>
      <c r="I4143" s="18">
        <f>IFERROR(__xludf.DUMMYFUNCTION("""COMPUTED_VALUE"""),8.0)</f>
        <v>8</v>
      </c>
      <c r="J4143" s="18">
        <f>IFERROR(__xludf.DUMMYFUNCTION("""COMPUTED_VALUE"""),16.0)</f>
        <v>16</v>
      </c>
      <c r="K4143" s="18">
        <f>IFERROR(__xludf.DUMMYFUNCTION("""COMPUTED_VALUE"""),20.0)</f>
        <v>20</v>
      </c>
      <c r="L4143" s="17">
        <f>IFERROR(__xludf.DUMMYFUNCTION("""COMPUTED_VALUE"""),3.013442593E9)</f>
        <v>3013442593</v>
      </c>
      <c r="M4143" s="17" t="str">
        <f>IFERROR(__xludf.DUMMYFUNCTION("""COMPUTED_VALUE"""),"#REF!")</f>
        <v>#REF!</v>
      </c>
      <c r="N4143" s="17"/>
      <c r="O4143" s="17"/>
      <c r="P4143" s="17" t="b">
        <f>IFERROR(__xludf.DUMMYFUNCTION("""COMPUTED_VALUE"""),TRUE)</f>
        <v>1</v>
      </c>
      <c r="Q4143" s="20">
        <f>IFERROR(__xludf.DUMMYFUNCTION("""COMPUTED_VALUE"""),45121.712160173614)</f>
        <v>45121.71216</v>
      </c>
      <c r="R4143" s="21" t="str">
        <f>IFERROR(__xludf.DUMMYFUNCTION("""COMPUTED_VALUE"""),"https://drive.google.com/file/d/1smb2aCzES758XwanV9RIXUBCxfL59crc/view?usp=drivesdk")</f>
        <v>https://drive.google.com/file/d/1smb2aCzES758XwanV9RIXUBCxfL59crc/view?usp=drivesdk</v>
      </c>
    </row>
    <row r="4144">
      <c r="A4144" s="15">
        <f>IFERROR(__xludf.DUMMYFUNCTION("""COMPUTED_VALUE"""),45121.0)</f>
        <v>45121</v>
      </c>
      <c r="B4144" s="16" t="str">
        <f>IFERROR(__xludf.DUMMYFUNCTION("""COMPUTED_VALUE"""),"Daniel José sandoval gonzalez")</f>
        <v>Daniel José sandoval gonzalez</v>
      </c>
      <c r="C4144" s="15" t="str">
        <f>IFERROR(__xludf.DUMMYFUNCTION("""COMPUTED_VALUE"""),"BARRANQUILLA")</f>
        <v>BARRANQUILLA</v>
      </c>
      <c r="D4144" s="15" t="str">
        <f>IFERROR(__xludf.DUMMYFUNCTION("""COMPUTED_VALUE"""),"MEDELLÍN")</f>
        <v>MEDELLÍN</v>
      </c>
      <c r="E4144" s="15" t="str">
        <f>IFERROR(__xludf.DUMMYFUNCTION("""COMPUTED_VALUE"""),"Magda")</f>
        <v>Magda</v>
      </c>
      <c r="F4144" s="17" t="str">
        <f>IFERROR(__xludf.DUMMYFUNCTION("""COMPUTED_VALUE"""),"Cra 53 No. 68-55 / cocina oculta / Alto prado")</f>
        <v>Cra 53 No. 68-55 / cocina oculta / Alto prado</v>
      </c>
      <c r="G4144" s="15" t="str">
        <f>IFERROR(__xludf.DUMMYFUNCTION("""COMPUTED_VALUE"""),"María José Cervantes")</f>
        <v>María José Cervantes</v>
      </c>
      <c r="H4144" s="16">
        <f>IFERROR(__xludf.DUMMYFUNCTION("""COMPUTED_VALUE"""),12714.0)</f>
        <v>12714</v>
      </c>
      <c r="I4144" s="18">
        <f>IFERROR(__xludf.DUMMYFUNCTION("""COMPUTED_VALUE"""),5.0)</f>
        <v>5</v>
      </c>
      <c r="J4144" s="18">
        <f>IFERROR(__xludf.DUMMYFUNCTION("""COMPUTED_VALUE"""),5.0)</f>
        <v>5</v>
      </c>
      <c r="K4144" s="18">
        <f>IFERROR(__xludf.DUMMYFUNCTION("""COMPUTED_VALUE"""),5.0)</f>
        <v>5</v>
      </c>
      <c r="L4144" s="17">
        <f>IFERROR(__xludf.DUMMYFUNCTION("""COMPUTED_VALUE"""),3.113152215E9)</f>
        <v>3113152215</v>
      </c>
      <c r="M4144" s="17" t="str">
        <f>IFERROR(__xludf.DUMMYFUNCTION("""COMPUTED_VALUE"""),"#REF!")</f>
        <v>#REF!</v>
      </c>
      <c r="N4144" s="17"/>
      <c r="O4144" s="17"/>
      <c r="P4144" s="17" t="b">
        <f>IFERROR(__xludf.DUMMYFUNCTION("""COMPUTED_VALUE"""),TRUE)</f>
        <v>1</v>
      </c>
      <c r="Q4144" s="20">
        <f>IFERROR(__xludf.DUMMYFUNCTION("""COMPUTED_VALUE"""),45121.712160173614)</f>
        <v>45121.71216</v>
      </c>
      <c r="R4144" s="22" t="str">
        <f>IFERROR(__xludf.DUMMYFUNCTION("""COMPUTED_VALUE"""),"")</f>
        <v/>
      </c>
    </row>
    <row r="4145">
      <c r="A4145" s="15">
        <f>IFERROR(__xludf.DUMMYFUNCTION("""COMPUTED_VALUE"""),45121.0)</f>
        <v>45121</v>
      </c>
      <c r="B4145" s="16" t="str">
        <f>IFERROR(__xludf.DUMMYFUNCTION("""COMPUTED_VALUE"""),"Daniel José sandoval gonzalez")</f>
        <v>Daniel José sandoval gonzalez</v>
      </c>
      <c r="C4145" s="15" t="str">
        <f>IFERROR(__xludf.DUMMYFUNCTION("""COMPUTED_VALUE"""),"BARRANQUILLA")</f>
        <v>BARRANQUILLA</v>
      </c>
      <c r="D4145" s="15" t="str">
        <f>IFERROR(__xludf.DUMMYFUNCTION("""COMPUTED_VALUE"""),"MEDELLÍN")</f>
        <v>MEDELLÍN</v>
      </c>
      <c r="E4145" s="15" t="str">
        <f>IFERROR(__xludf.DUMMYFUNCTION("""COMPUTED_VALUE"""),"Rambla")</f>
        <v>Rambla</v>
      </c>
      <c r="F4145" s="17" t="str">
        <f>IFERROR(__xludf.DUMMYFUNCTION("""COMPUTED_VALUE"""),"carrera 74 #76-74 / na / na")</f>
        <v>carrera 74 #76-74 / na / na</v>
      </c>
      <c r="G4145" s="15" t="str">
        <f>IFERROR(__xludf.DUMMYFUNCTION("""COMPUTED_VALUE"""),"fit hub")</f>
        <v>fit hub</v>
      </c>
      <c r="H4145" s="16">
        <f>IFERROR(__xludf.DUMMYFUNCTION("""COMPUTED_VALUE"""),12721.0)</f>
        <v>12721</v>
      </c>
      <c r="I4145" s="18">
        <f>IFERROR(__xludf.DUMMYFUNCTION("""COMPUTED_VALUE"""),32.0)</f>
        <v>32</v>
      </c>
      <c r="J4145" s="18">
        <f>IFERROR(__xludf.DUMMYFUNCTION("""COMPUTED_VALUE"""),23.0)</f>
        <v>23</v>
      </c>
      <c r="K4145" s="18">
        <f>IFERROR(__xludf.DUMMYFUNCTION("""COMPUTED_VALUE"""),23.0)</f>
        <v>23</v>
      </c>
      <c r="L4145" s="17">
        <f>IFERROR(__xludf.DUMMYFUNCTION("""COMPUTED_VALUE"""),3.157039547E9)</f>
        <v>3157039547</v>
      </c>
      <c r="M4145" s="17" t="str">
        <f>IFERROR(__xludf.DUMMYFUNCTION("""COMPUTED_VALUE"""),"#REF!")</f>
        <v>#REF!</v>
      </c>
      <c r="N4145" s="17"/>
      <c r="O4145" s="17"/>
      <c r="P4145" s="17" t="b">
        <f>IFERROR(__xludf.DUMMYFUNCTION("""COMPUTED_VALUE"""),TRUE)</f>
        <v>1</v>
      </c>
      <c r="Q4145" s="20">
        <f>IFERROR(__xludf.DUMMYFUNCTION("""COMPUTED_VALUE"""),45121.712160173614)</f>
        <v>45121.71216</v>
      </c>
      <c r="R4145" s="21" t="str">
        <f>IFERROR(__xludf.DUMMYFUNCTION("""COMPUTED_VALUE"""),"https://drive.google.com/file/d/1DX6ellFB1n6lYl4K9ShKgHruazyiHs3T/view?usp=drivesdk")</f>
        <v>https://drive.google.com/file/d/1DX6ellFB1n6lYl4K9ShKgHruazyiHs3T/view?usp=drivesdk</v>
      </c>
    </row>
    <row r="4146">
      <c r="A4146" s="17" t="str">
        <f>IFERROR(__xludf.DUMMYFUNCTION("""COMPUTED_VALUE"""),"")</f>
        <v/>
      </c>
      <c r="B4146" s="17" t="str">
        <f>IFERROR(__xludf.DUMMYFUNCTION("""COMPUTED_VALUE"""),"")</f>
        <v/>
      </c>
      <c r="C4146" s="17" t="str">
        <f>IFERROR(__xludf.DUMMYFUNCTION("""COMPUTED_VALUE"""),"")</f>
        <v/>
      </c>
      <c r="D4146" s="17" t="str">
        <f>IFERROR(__xludf.DUMMYFUNCTION("""COMPUTED_VALUE"""),"")</f>
        <v/>
      </c>
      <c r="E4146" s="17" t="str">
        <f>IFERROR(__xludf.DUMMYFUNCTION("""COMPUTED_VALUE"""),"")</f>
        <v/>
      </c>
      <c r="F4146" s="17" t="str">
        <f>IFERROR(__xludf.DUMMYFUNCTION("""COMPUTED_VALUE"""),"")</f>
        <v/>
      </c>
      <c r="G4146" s="17" t="str">
        <f>IFERROR(__xludf.DUMMYFUNCTION("""COMPUTED_VALUE"""),"")</f>
        <v/>
      </c>
      <c r="H4146" s="17" t="str">
        <f>IFERROR(__xludf.DUMMYFUNCTION("""COMPUTED_VALUE"""),"")</f>
        <v/>
      </c>
      <c r="I4146" s="17" t="str">
        <f>IFERROR(__xludf.DUMMYFUNCTION("""COMPUTED_VALUE"""),"")</f>
        <v/>
      </c>
      <c r="J4146" s="17" t="str">
        <f>IFERROR(__xludf.DUMMYFUNCTION("""COMPUTED_VALUE"""),"")</f>
        <v/>
      </c>
      <c r="K4146" s="17" t="str">
        <f>IFERROR(__xludf.DUMMYFUNCTION("""COMPUTED_VALUE"""),"")</f>
        <v/>
      </c>
      <c r="L4146" s="17" t="str">
        <f>IFERROR(__xludf.DUMMYFUNCTION("""COMPUTED_VALUE"""),"")</f>
        <v/>
      </c>
      <c r="M4146" s="17" t="str">
        <f>IFERROR(__xludf.DUMMYFUNCTION("""COMPUTED_VALUE"""),"")</f>
        <v/>
      </c>
      <c r="N4146" s="17" t="str">
        <f>IFERROR(__xludf.DUMMYFUNCTION("""COMPUTED_VALUE"""),"")</f>
        <v/>
      </c>
      <c r="O4146" s="17" t="str">
        <f>IFERROR(__xludf.DUMMYFUNCTION("""COMPUTED_VALUE"""),"")</f>
        <v/>
      </c>
      <c r="P4146" s="17" t="str">
        <f>IFERROR(__xludf.DUMMYFUNCTION("""COMPUTED_VALUE"""),"")</f>
        <v/>
      </c>
      <c r="Q4146" s="17" t="str">
        <f>IFERROR(__xludf.DUMMYFUNCTION("""COMPUTED_VALUE"""),"")</f>
        <v/>
      </c>
      <c r="R4146" s="17" t="str">
        <f>IFERROR(__xludf.DUMMYFUNCTION("""COMPUTED_VALUE"""),"")</f>
        <v/>
      </c>
    </row>
    <row r="4147">
      <c r="A4147" s="15">
        <f>IFERROR(__xludf.DUMMYFUNCTION("""COMPUTED_VALUE"""),45121.0)</f>
        <v>45121</v>
      </c>
      <c r="B4147" s="16" t="str">
        <f>IFERROR(__xludf.DUMMYFUNCTION("""COMPUTED_VALUE"""),"Envia")</f>
        <v>Envia</v>
      </c>
      <c r="C4147" s="15" t="str">
        <f>IFERROR(__xludf.DUMMYFUNCTION("""COMPUTED_VALUE"""),"BARRANQUILLA")</f>
        <v>BARRANQUILLA</v>
      </c>
      <c r="D4147" s="15" t="str">
        <f>IFERROR(__xludf.DUMMYFUNCTION("""COMPUTED_VALUE"""),"BARRANQUILLA")</f>
        <v>BARRANQUILLA</v>
      </c>
      <c r="E4147" s="15" t="str">
        <f>IFERROR(__xludf.DUMMYFUNCTION("""COMPUTED_VALUE"""),"Viral Brands")</f>
        <v>Viral Brands</v>
      </c>
      <c r="F4147" s="17" t="str">
        <f>IFERROR(__xludf.DUMMYFUNCTION("""COMPUTED_VALUE"""),"cra 58 n 96-187 / lyd houese 98 restaurante maya gaucho / norte")</f>
        <v>cra 58 n 96-187 / lyd houese 98 restaurante maya gaucho / norte</v>
      </c>
      <c r="G4147" s="15" t="str">
        <f>IFERROR(__xludf.DUMMYFUNCTION("""COMPUTED_VALUE"""),"manuel ortiz")</f>
        <v>manuel ortiz</v>
      </c>
      <c r="H4147" s="16">
        <f>IFERROR(__xludf.DUMMYFUNCTION("""COMPUTED_VALUE"""),12663.0)</f>
        <v>12663</v>
      </c>
      <c r="I4147" s="18">
        <f>IFERROR(__xludf.DUMMYFUNCTION("""COMPUTED_VALUE"""),21.0)</f>
        <v>21</v>
      </c>
      <c r="J4147" s="18">
        <f>IFERROR(__xludf.DUMMYFUNCTION("""COMPUTED_VALUE"""),30.0)</f>
        <v>30</v>
      </c>
      <c r="K4147" s="18">
        <f>IFERROR(__xludf.DUMMYFUNCTION("""COMPUTED_VALUE"""),50.0)</f>
        <v>50</v>
      </c>
      <c r="L4147" s="17">
        <f>IFERROR(__xludf.DUMMYFUNCTION("""COMPUTED_VALUE"""),3.122454394E9)</f>
        <v>3122454394</v>
      </c>
      <c r="M4147" s="17" t="str">
        <f>IFERROR(__xludf.DUMMYFUNCTION("""COMPUTED_VALUE"""),"#REF!")</f>
        <v>#REF!</v>
      </c>
      <c r="N4147" s="17"/>
      <c r="O4147" s="17"/>
      <c r="P4147" s="17" t="b">
        <f>IFERROR(__xludf.DUMMYFUNCTION("""COMPUTED_VALUE"""),TRUE)</f>
        <v>1</v>
      </c>
      <c r="Q4147" s="20">
        <f>IFERROR(__xludf.DUMMYFUNCTION("""COMPUTED_VALUE"""),45121.71218079861)</f>
        <v>45121.71218</v>
      </c>
      <c r="R4147" s="22" t="str">
        <f>IFERROR(__xludf.DUMMYFUNCTION("""COMPUTED_VALUE"""),"")</f>
        <v/>
      </c>
    </row>
    <row r="4148">
      <c r="A4148" s="15">
        <f>IFERROR(__xludf.DUMMYFUNCTION("""COMPUTED_VALUE"""),45121.0)</f>
        <v>45121</v>
      </c>
      <c r="B4148" s="16" t="str">
        <f>IFERROR(__xludf.DUMMYFUNCTION("""COMPUTED_VALUE"""),"Envia")</f>
        <v>Envia</v>
      </c>
      <c r="C4148" s="15" t="str">
        <f>IFERROR(__xludf.DUMMYFUNCTION("""COMPUTED_VALUE"""),"BARRANQUILLA")</f>
        <v>BARRANQUILLA</v>
      </c>
      <c r="D4148" s="15" t="str">
        <f>IFERROR(__xludf.DUMMYFUNCTION("""COMPUTED_VALUE"""),"BOGOTÁ")</f>
        <v>BOGOTÁ</v>
      </c>
      <c r="E4148" s="15" t="str">
        <f>IFERROR(__xludf.DUMMYFUNCTION("""COMPUTED_VALUE"""),"Top Spun")</f>
        <v>Top Spun</v>
      </c>
      <c r="F4148" s="17" t="str">
        <f>IFERROR(__xludf.DUMMYFUNCTION("""COMPUTED_VALUE"""),"Cra 59B # 84-100 / apto 1606 torre 3 Duville / Barranquilla")</f>
        <v>Cra 59B # 84-100 / apto 1606 torre 3 Duville / Barranquilla</v>
      </c>
      <c r="G4148" s="15" t="str">
        <f>IFERROR(__xludf.DUMMYFUNCTION("""COMPUTED_VALUE"""),"Daniella Tejada")</f>
        <v>Daniella Tejada</v>
      </c>
      <c r="H4148" s="16">
        <f>IFERROR(__xludf.DUMMYFUNCTION("""COMPUTED_VALUE"""),12649.0)</f>
        <v>12649</v>
      </c>
      <c r="I4148" s="18">
        <f>IFERROR(__xludf.DUMMYFUNCTION("""COMPUTED_VALUE"""),20.0)</f>
        <v>20</v>
      </c>
      <c r="J4148" s="18">
        <f>IFERROR(__xludf.DUMMYFUNCTION("""COMPUTED_VALUE"""),10.0)</f>
        <v>10</v>
      </c>
      <c r="K4148" s="18">
        <f>IFERROR(__xludf.DUMMYFUNCTION("""COMPUTED_VALUE"""),40.0)</f>
        <v>40</v>
      </c>
      <c r="L4148" s="17">
        <f>IFERROR(__xludf.DUMMYFUNCTION("""COMPUTED_VALUE"""),3.135830967E9)</f>
        <v>3135830967</v>
      </c>
      <c r="M4148" s="17" t="str">
        <f>IFERROR(__xludf.DUMMYFUNCTION("""COMPUTED_VALUE"""),"#REF!")</f>
        <v>#REF!</v>
      </c>
      <c r="N4148" s="17"/>
      <c r="O4148" s="17"/>
      <c r="P4148" s="17" t="b">
        <f>IFERROR(__xludf.DUMMYFUNCTION("""COMPUTED_VALUE"""),FALSE)</f>
        <v>0</v>
      </c>
      <c r="Q4148" s="20" t="str">
        <f>IFERROR(__xludf.DUMMYFUNCTION("""COMPUTED_VALUE"""),"")</f>
        <v/>
      </c>
      <c r="R4148" s="21" t="str">
        <f>IFERROR(__xludf.DUMMYFUNCTION("""COMPUTED_VALUE"""),"https://drive.google.com/file/d/14MOSn-QKgDGPD2SDla3hHxWtkQ3F8Jsk/view?usp=drivesdk")</f>
        <v>https://drive.google.com/file/d/14MOSn-QKgDGPD2SDla3hHxWtkQ3F8Jsk/view?usp=drivesdk</v>
      </c>
    </row>
    <row r="4149">
      <c r="A4149" s="15">
        <f>IFERROR(__xludf.DUMMYFUNCTION("""COMPUTED_VALUE"""),45121.0)</f>
        <v>45121</v>
      </c>
      <c r="B4149" s="16" t="str">
        <f>IFERROR(__xludf.DUMMYFUNCTION("""COMPUTED_VALUE"""),"Envia")</f>
        <v>Envia</v>
      </c>
      <c r="C4149" s="15" t="str">
        <f>IFERROR(__xludf.DUMMYFUNCTION("""COMPUTED_VALUE"""),"CALI")</f>
        <v>CALI</v>
      </c>
      <c r="D4149" s="15" t="str">
        <f>IFERROR(__xludf.DUMMYFUNCTION("""COMPUTED_VALUE"""),"BOGOTÁ")</f>
        <v>BOGOTÁ</v>
      </c>
      <c r="E4149" s="15" t="str">
        <f>IFERROR(__xludf.DUMMYFUNCTION("""COMPUTED_VALUE"""),"Renata")</f>
        <v>Renata</v>
      </c>
      <c r="F4149" s="17" t="str">
        <f>IFERROR(__xludf.DUMMYFUNCTION("""COMPUTED_VALUE"""),"Carrera 3#3a-83 / Patio 34 food containers -restaurante  / San Fernando")</f>
        <v>Carrera 3#3a-83 / Patio 34 food containers -restaurante  / San Fernando</v>
      </c>
      <c r="G4149" s="15" t="str">
        <f>IFERROR(__xludf.DUMMYFUNCTION("""COMPUTED_VALUE"""),"Retaco sas")</f>
        <v>Retaco sas</v>
      </c>
      <c r="H4149" s="16">
        <f>IFERROR(__xludf.DUMMYFUNCTION("""COMPUTED_VALUE"""),12730.0)</f>
        <v>12730</v>
      </c>
      <c r="I4149" s="18">
        <f>IFERROR(__xludf.DUMMYFUNCTION("""COMPUTED_VALUE"""),90.0)</f>
        <v>90</v>
      </c>
      <c r="J4149" s="18">
        <f>IFERROR(__xludf.DUMMYFUNCTION("""COMPUTED_VALUE"""),70.0)</f>
        <v>70</v>
      </c>
      <c r="K4149" s="18">
        <f>IFERROR(__xludf.DUMMYFUNCTION("""COMPUTED_VALUE"""),60.0)</f>
        <v>60</v>
      </c>
      <c r="L4149" s="17">
        <f>IFERROR(__xludf.DUMMYFUNCTION("""COMPUTED_VALUE"""),3.134720976E9)</f>
        <v>3134720976</v>
      </c>
      <c r="M4149" s="17" t="str">
        <f>IFERROR(__xludf.DUMMYFUNCTION("""COMPUTED_VALUE"""),"#REF!")</f>
        <v>#REF!</v>
      </c>
      <c r="N4149" s="17"/>
      <c r="O4149" s="17"/>
      <c r="P4149" s="17" t="b">
        <f>IFERROR(__xludf.DUMMYFUNCTION("""COMPUTED_VALUE"""),FALSE)</f>
        <v>0</v>
      </c>
      <c r="Q4149" s="20" t="str">
        <f>IFERROR(__xludf.DUMMYFUNCTION("""COMPUTED_VALUE"""),"")</f>
        <v/>
      </c>
      <c r="R4149" s="22" t="str">
        <f>IFERROR(__xludf.DUMMYFUNCTION("""COMPUTED_VALUE"""),"")</f>
        <v/>
      </c>
    </row>
    <row r="4150">
      <c r="A4150" s="15">
        <f>IFERROR(__xludf.DUMMYFUNCTION("""COMPUTED_VALUE"""),45121.0)</f>
        <v>45121</v>
      </c>
      <c r="B4150" s="16" t="str">
        <f>IFERROR(__xludf.DUMMYFUNCTION("""COMPUTED_VALUE"""),"Envia")</f>
        <v>Envia</v>
      </c>
      <c r="C4150" s="15" t="str">
        <f>IFERROR(__xludf.DUMMYFUNCTION("""COMPUTED_VALUE"""),"CÚCUTA")</f>
        <v>CÚCUTA</v>
      </c>
      <c r="D4150" s="15" t="str">
        <f>IFERROR(__xludf.DUMMYFUNCTION("""COMPUTED_VALUE"""),"MEDELLÍN")</f>
        <v>MEDELLÍN</v>
      </c>
      <c r="E4150" s="15" t="str">
        <f>IFERROR(__xludf.DUMMYFUNCTION("""COMPUTED_VALUE"""),"AREPAS LA MARY")</f>
        <v>AREPAS LA MARY</v>
      </c>
      <c r="F4150" s="17" t="str">
        <f>IFERROR(__xludf.DUMMYFUNCTION("""COMPUTED_VALUE"""),"AV. 11E N.1 35 AV. GUAIMARAL LC 3")</f>
        <v>AV. 11E N.1 35 AV. GUAIMARAL LC 3</v>
      </c>
      <c r="G4150" s="15" t="str">
        <f>IFERROR(__xludf.DUMMYFUNCTION("""COMPUTED_VALUE"""),"VITALFIT CUCUTA")</f>
        <v>VITALFIT CUCUTA</v>
      </c>
      <c r="H4150" s="16">
        <f>IFERROR(__xludf.DUMMYFUNCTION("""COMPUTED_VALUE"""),12630.0)</f>
        <v>12630</v>
      </c>
      <c r="I4150" s="18">
        <f>IFERROR(__xludf.DUMMYFUNCTION("""COMPUTED_VALUE"""),89.0)</f>
        <v>89</v>
      </c>
      <c r="J4150" s="18">
        <f>IFERROR(__xludf.DUMMYFUNCTION("""COMPUTED_VALUE"""),1.0)</f>
        <v>1</v>
      </c>
      <c r="K4150" s="18">
        <f>IFERROR(__xludf.DUMMYFUNCTION("""COMPUTED_VALUE"""),10.0)</f>
        <v>10</v>
      </c>
      <c r="L4150" s="17">
        <f>IFERROR(__xludf.DUMMYFUNCTION("""COMPUTED_VALUE"""),3.01782078E9)</f>
        <v>3017820780</v>
      </c>
      <c r="M4150" s="17" t="str">
        <f>IFERROR(__xludf.DUMMYFUNCTION("""COMPUTED_VALUE"""),"#REF!")</f>
        <v>#REF!</v>
      </c>
      <c r="N4150" s="17"/>
      <c r="O4150" s="17"/>
      <c r="P4150" s="17" t="b">
        <f>IFERROR(__xludf.DUMMYFUNCTION("""COMPUTED_VALUE"""),TRUE)</f>
        <v>1</v>
      </c>
      <c r="Q4150" s="20">
        <f>IFERROR(__xludf.DUMMYFUNCTION("""COMPUTED_VALUE"""),45121.69497359954)</f>
        <v>45121.69497</v>
      </c>
      <c r="R4150" s="21" t="str">
        <f>IFERROR(__xludf.DUMMYFUNCTION("""COMPUTED_VALUE"""),"https://drive.google.com/file/d/1Ix3MvTHBNinVaV-MVQUX-w_YgtMg2aeF/view?usp=drivesdk")</f>
        <v>https://drive.google.com/file/d/1Ix3MvTHBNinVaV-MVQUX-w_YgtMg2aeF/view?usp=drivesdk</v>
      </c>
    </row>
    <row r="4151">
      <c r="A4151" s="15">
        <f>IFERROR(__xludf.DUMMYFUNCTION("""COMPUTED_VALUE"""),45121.0)</f>
        <v>45121</v>
      </c>
      <c r="B4151" s="16" t="str">
        <f>IFERROR(__xludf.DUMMYFUNCTION("""COMPUTED_VALUE"""),"Envia")</f>
        <v>Envia</v>
      </c>
      <c r="C4151" s="15" t="str">
        <f>IFERROR(__xludf.DUMMYFUNCTION("""COMPUTED_VALUE"""),"CÚCUTA")</f>
        <v>CÚCUTA</v>
      </c>
      <c r="D4151" s="15" t="str">
        <f>IFERROR(__xludf.DUMMYFUNCTION("""COMPUTED_VALUE"""),"MEDELLÍN")</f>
        <v>MEDELLÍN</v>
      </c>
      <c r="E4151" s="15" t="str">
        <f>IFERROR(__xludf.DUMMYFUNCTION("""COMPUTED_VALUE"""),"Rambla")</f>
        <v>Rambla</v>
      </c>
      <c r="F4151" s="17" t="str">
        <f>IFERROR(__xludf.DUMMYFUNCTION("""COMPUTED_VALUE"""),"ave 11e #1-35 av guaimaral  / barrio quinta oriental local 3 / na")</f>
        <v>ave 11e #1-35 av guaimaral  / barrio quinta oriental local 3 / na</v>
      </c>
      <c r="G4151" s="15" t="str">
        <f>IFERROR(__xludf.DUMMYFUNCTION("""COMPUTED_VALUE"""),"vitafit cucuta")</f>
        <v>vitafit cucuta</v>
      </c>
      <c r="H4151" s="16">
        <f>IFERROR(__xludf.DUMMYFUNCTION("""COMPUTED_VALUE"""),12719.0)</f>
        <v>12719</v>
      </c>
      <c r="I4151" s="18">
        <f>IFERROR(__xludf.DUMMYFUNCTION("""COMPUTED_VALUE"""),23.0)</f>
        <v>23</v>
      </c>
      <c r="J4151" s="18">
        <f>IFERROR(__xludf.DUMMYFUNCTION("""COMPUTED_VALUE"""),23.0)</f>
        <v>23</v>
      </c>
      <c r="K4151" s="18">
        <f>IFERROR(__xludf.DUMMYFUNCTION("""COMPUTED_VALUE"""),32.0)</f>
        <v>32</v>
      </c>
      <c r="L4151" s="17">
        <f>IFERROR(__xludf.DUMMYFUNCTION("""COMPUTED_VALUE"""),3.01782078E9)</f>
        <v>3017820780</v>
      </c>
      <c r="M4151" s="17" t="str">
        <f>IFERROR(__xludf.DUMMYFUNCTION("""COMPUTED_VALUE"""),"#REF!")</f>
        <v>#REF!</v>
      </c>
      <c r="N4151" s="17"/>
      <c r="O4151" s="17"/>
      <c r="P4151" s="17" t="b">
        <f>IFERROR(__xludf.DUMMYFUNCTION("""COMPUTED_VALUE"""),FALSE)</f>
        <v>0</v>
      </c>
      <c r="Q4151" s="20" t="str">
        <f>IFERROR(__xludf.DUMMYFUNCTION("""COMPUTED_VALUE"""),"")</f>
        <v/>
      </c>
      <c r="R4151" s="21" t="str">
        <f>IFERROR(__xludf.DUMMYFUNCTION("""COMPUTED_VALUE"""),"https://drive.google.com/file/d/1vbIIolx8GF4DH718MKU5f_tCLFDBdtTQ/view?usp=drivesdk")</f>
        <v>https://drive.google.com/file/d/1vbIIolx8GF4DH718MKU5f_tCLFDBdtTQ/view?usp=drivesdk</v>
      </c>
    </row>
    <row r="4152">
      <c r="A4152" s="15">
        <f>IFERROR(__xludf.DUMMYFUNCTION("""COMPUTED_VALUE"""),45121.0)</f>
        <v>45121</v>
      </c>
      <c r="B4152" s="16" t="str">
        <f>IFERROR(__xludf.DUMMYFUNCTION("""COMPUTED_VALUE"""),"Envia")</f>
        <v>Envia</v>
      </c>
      <c r="C4152" s="15" t="str">
        <f>IFERROR(__xludf.DUMMYFUNCTION("""COMPUTED_VALUE"""),"MEDELLÍN")</f>
        <v>MEDELLÍN</v>
      </c>
      <c r="D4152" s="15" t="str">
        <f>IFERROR(__xludf.DUMMYFUNCTION("""COMPUTED_VALUE"""),"BOGOTÁ")</f>
        <v>BOGOTÁ</v>
      </c>
      <c r="E4152" s="15" t="str">
        <f>IFERROR(__xludf.DUMMYFUNCTION("""COMPUTED_VALUE"""),"Forever Dog")</f>
        <v>Forever Dog</v>
      </c>
      <c r="F4152" s="17" t="str">
        <f>IFERROR(__xludf.DUMMYFUNCTION("""COMPUTED_VALUE"""),"Carrera 37# 10a-29.  / Hotel click clack, habitación 422 / Hotel click clack, habitación 422")</f>
        <v>Carrera 37# 10a-29.  / Hotel click clack, habitación 422 / Hotel click clack, habitación 422</v>
      </c>
      <c r="G4152" s="15" t="str">
        <f>IFERROR(__xludf.DUMMYFUNCTION("""COMPUTED_VALUE"""),"Jenn Sua")</f>
        <v>Jenn Sua</v>
      </c>
      <c r="H4152" s="16">
        <f>IFERROR(__xludf.DUMMYFUNCTION("""COMPUTED_VALUE"""),12727.0)</f>
        <v>12727</v>
      </c>
      <c r="I4152" s="18">
        <f>IFERROR(__xludf.DUMMYFUNCTION("""COMPUTED_VALUE"""),20.0)</f>
        <v>20</v>
      </c>
      <c r="J4152" s="18">
        <f>IFERROR(__xludf.DUMMYFUNCTION("""COMPUTED_VALUE"""),51.0)</f>
        <v>51</v>
      </c>
      <c r="K4152" s="18">
        <f>IFERROR(__xludf.DUMMYFUNCTION("""COMPUTED_VALUE"""),30.0)</f>
        <v>30</v>
      </c>
      <c r="L4152" s="17">
        <f>IFERROR(__xludf.DUMMYFUNCTION("""COMPUTED_VALUE"""),3.14202892E9)</f>
        <v>3142028920</v>
      </c>
      <c r="M4152" s="17" t="str">
        <f>IFERROR(__xludf.DUMMYFUNCTION("""COMPUTED_VALUE"""),"#REF!")</f>
        <v>#REF!</v>
      </c>
      <c r="N4152" s="17"/>
      <c r="O4152" s="17"/>
      <c r="P4152" s="17" t="b">
        <f>IFERROR(__xludf.DUMMYFUNCTION("""COMPUTED_VALUE"""),FALSE)</f>
        <v>0</v>
      </c>
      <c r="Q4152" s="20" t="str">
        <f>IFERROR(__xludf.DUMMYFUNCTION("""COMPUTED_VALUE"""),"")</f>
        <v/>
      </c>
      <c r="R4152" s="22" t="str">
        <f>IFERROR(__xludf.DUMMYFUNCTION("""COMPUTED_VALUE"""),"")</f>
        <v/>
      </c>
    </row>
    <row r="4153">
      <c r="A4153" s="15">
        <f>IFERROR(__xludf.DUMMYFUNCTION("""COMPUTED_VALUE"""),45121.0)</f>
        <v>45121</v>
      </c>
      <c r="B4153" s="16" t="str">
        <f>IFERROR(__xludf.DUMMYFUNCTION("""COMPUTED_VALUE"""),"Envia")</f>
        <v>Envia</v>
      </c>
      <c r="C4153" s="15" t="str">
        <f>IFERROR(__xludf.DUMMYFUNCTION("""COMPUTED_VALUE"""),"MEDELLÍN")</f>
        <v>MEDELLÍN</v>
      </c>
      <c r="D4153" s="15" t="str">
        <f>IFERROR(__xludf.DUMMYFUNCTION("""COMPUTED_VALUE"""),"BOGOTÁ")</f>
        <v>BOGOTÁ</v>
      </c>
      <c r="E4153" s="15" t="str">
        <f>IFERROR(__xludf.DUMMYFUNCTION("""COMPUTED_VALUE"""),"Karem foods")</f>
        <v>Karem foods</v>
      </c>
      <c r="F4153" s="17" t="str">
        <f>IFERROR(__xludf.DUMMYFUNCTION("""COMPUTED_VALUE"""),"Carrera 42 b # 23a Sur - 84  / Edf Opera - apto 904 / Envigado")</f>
        <v>Carrera 42 b # 23a Sur - 84  / Edf Opera - apto 904 / Envigado</v>
      </c>
      <c r="G4153" s="15" t="str">
        <f>IFERROR(__xludf.DUMMYFUNCTION("""COMPUTED_VALUE"""),"Laura Perez")</f>
        <v>Laura Perez</v>
      </c>
      <c r="H4153" s="16">
        <f>IFERROR(__xludf.DUMMYFUNCTION("""COMPUTED_VALUE"""),12740.0)</f>
        <v>12740</v>
      </c>
      <c r="I4153" s="18">
        <f>IFERROR(__xludf.DUMMYFUNCTION("""COMPUTED_VALUE"""),8.0)</f>
        <v>8</v>
      </c>
      <c r="J4153" s="18">
        <f>IFERROR(__xludf.DUMMYFUNCTION("""COMPUTED_VALUE"""),22.0)</f>
        <v>22</v>
      </c>
      <c r="K4153" s="18">
        <f>IFERROR(__xludf.DUMMYFUNCTION("""COMPUTED_VALUE"""),30.0)</f>
        <v>30</v>
      </c>
      <c r="L4153" s="17">
        <f>IFERROR(__xludf.DUMMYFUNCTION("""COMPUTED_VALUE"""),3.105964719E9)</f>
        <v>3105964719</v>
      </c>
      <c r="M4153" s="17" t="str">
        <f>IFERROR(__xludf.DUMMYFUNCTION("""COMPUTED_VALUE"""),"#REF!")</f>
        <v>#REF!</v>
      </c>
      <c r="N4153" s="17"/>
      <c r="O4153" s="17"/>
      <c r="P4153" s="17" t="b">
        <f>IFERROR(__xludf.DUMMYFUNCTION("""COMPUTED_VALUE"""),FALSE)</f>
        <v>0</v>
      </c>
      <c r="Q4153" s="20" t="str">
        <f>IFERROR(__xludf.DUMMYFUNCTION("""COMPUTED_VALUE"""),"")</f>
        <v/>
      </c>
      <c r="R4153" s="22" t="str">
        <f>IFERROR(__xludf.DUMMYFUNCTION("""COMPUTED_VALUE"""),"")</f>
        <v/>
      </c>
    </row>
    <row r="4154">
      <c r="A4154" s="15">
        <f>IFERROR(__xludf.DUMMYFUNCTION("""COMPUTED_VALUE"""),45121.0)</f>
        <v>45121</v>
      </c>
      <c r="B4154" s="16" t="str">
        <f>IFERROR(__xludf.DUMMYFUNCTION("""COMPUTED_VALUE"""),"Envia")</f>
        <v>Envia</v>
      </c>
      <c r="C4154" s="15" t="str">
        <f>IFERROR(__xludf.DUMMYFUNCTION("""COMPUTED_VALUE"""),"MEDELLÍN")</f>
        <v>MEDELLÍN</v>
      </c>
      <c r="D4154" s="15" t="str">
        <f>IFERROR(__xludf.DUMMYFUNCTION("""COMPUTED_VALUE"""),"BOGOTÁ")</f>
        <v>BOGOTÁ</v>
      </c>
      <c r="E4154" s="15" t="str">
        <f>IFERROR(__xludf.DUMMYFUNCTION("""COMPUTED_VALUE"""),"MAI ALIMENTOS S.A.S")</f>
        <v>MAI ALIMENTOS S.A.S</v>
      </c>
      <c r="F4154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4154" s="15" t="str">
        <f>IFERROR(__xludf.DUMMYFUNCTION("""COMPUTED_VALUE"""),"Novaventas")</f>
        <v>Novaventas</v>
      </c>
      <c r="H4154" s="16">
        <f>IFERROR(__xludf.DUMMYFUNCTION("""COMPUTED_VALUE"""),12726.0)</f>
        <v>12726</v>
      </c>
      <c r="I4154" s="18">
        <f>IFERROR(__xludf.DUMMYFUNCTION("""COMPUTED_VALUE"""),35.0)</f>
        <v>35</v>
      </c>
      <c r="J4154" s="18">
        <f>IFERROR(__xludf.DUMMYFUNCTION("""COMPUTED_VALUE"""),17.0)</f>
        <v>17</v>
      </c>
      <c r="K4154" s="18">
        <f>IFERROR(__xludf.DUMMYFUNCTION("""COMPUTED_VALUE"""),13.0)</f>
        <v>13</v>
      </c>
      <c r="L4154" s="17">
        <f>IFERROR(__xludf.DUMMYFUNCTION("""COMPUTED_VALUE"""),3.187351593E9)</f>
        <v>3187351593</v>
      </c>
      <c r="M4154" s="17" t="str">
        <f>IFERROR(__xludf.DUMMYFUNCTION("""COMPUTED_VALUE"""),"#REF!")</f>
        <v>#REF!</v>
      </c>
      <c r="N4154" s="17"/>
      <c r="O4154" s="17"/>
      <c r="P4154" s="17" t="b">
        <f>IFERROR(__xludf.DUMMYFUNCTION("""COMPUTED_VALUE"""),FALSE)</f>
        <v>0</v>
      </c>
      <c r="Q4154" s="20" t="str">
        <f>IFERROR(__xludf.DUMMYFUNCTION("""COMPUTED_VALUE"""),"")</f>
        <v/>
      </c>
      <c r="R4154" s="22" t="str">
        <f>IFERROR(__xludf.DUMMYFUNCTION("""COMPUTED_VALUE"""),"")</f>
        <v/>
      </c>
    </row>
    <row r="4155">
      <c r="A4155" s="15">
        <f>IFERROR(__xludf.DUMMYFUNCTION("""COMPUTED_VALUE"""),45121.0)</f>
        <v>45121</v>
      </c>
      <c r="B4155" s="16" t="str">
        <f>IFERROR(__xludf.DUMMYFUNCTION("""COMPUTED_VALUE"""),"Envia")</f>
        <v>Envia</v>
      </c>
      <c r="C4155" s="15" t="str">
        <f>IFERROR(__xludf.DUMMYFUNCTION("""COMPUTED_VALUE"""),"MEDELLÍN")</f>
        <v>MEDELLÍN</v>
      </c>
      <c r="D4155" s="15" t="str">
        <f>IFERROR(__xludf.DUMMYFUNCTION("""COMPUTED_VALUE"""),"BOGOTÁ")</f>
        <v>BOGOTÁ</v>
      </c>
      <c r="E4155" s="15" t="str">
        <f>IFERROR(__xludf.DUMMYFUNCTION("""COMPUTED_VALUE"""),"Top Spun")</f>
        <v>Top Spun</v>
      </c>
      <c r="F4155" s="17" t="str">
        <f>IFERROR(__xludf.DUMMYFUNCTION("""COMPUTED_VALUE"""),"Calle 4 No 18 -55 /  - edificio Balcones de la Calera - apto 802  / La Calera, el.Poblado")</f>
        <v>Calle 4 No 18 -55 /  - edificio Balcones de la Calera - apto 802  / La Calera, el.Poblado</v>
      </c>
      <c r="G4155" s="15" t="str">
        <f>IFERROR(__xludf.DUMMYFUNCTION("""COMPUTED_VALUE"""),"VIVíAN ALARCóN")</f>
        <v>VIVíAN ALARCóN</v>
      </c>
      <c r="H4155" s="16">
        <f>IFERROR(__xludf.DUMMYFUNCTION("""COMPUTED_VALUE"""),12728.0)</f>
        <v>12728</v>
      </c>
      <c r="I4155" s="18">
        <f>IFERROR(__xludf.DUMMYFUNCTION("""COMPUTED_VALUE"""),20.0)</f>
        <v>20</v>
      </c>
      <c r="J4155" s="18">
        <f>IFERROR(__xludf.DUMMYFUNCTION("""COMPUTED_VALUE"""),10.0)</f>
        <v>10</v>
      </c>
      <c r="K4155" s="18">
        <f>IFERROR(__xludf.DUMMYFUNCTION("""COMPUTED_VALUE"""),40.0)</f>
        <v>40</v>
      </c>
      <c r="L4155" s="17">
        <f>IFERROR(__xludf.DUMMYFUNCTION("""COMPUTED_VALUE"""),3.0125845E9)</f>
        <v>3012584500</v>
      </c>
      <c r="M4155" s="17" t="str">
        <f>IFERROR(__xludf.DUMMYFUNCTION("""COMPUTED_VALUE"""),"#REF!")</f>
        <v>#REF!</v>
      </c>
      <c r="N4155" s="17"/>
      <c r="O4155" s="17"/>
      <c r="P4155" s="17" t="b">
        <f>IFERROR(__xludf.DUMMYFUNCTION("""COMPUTED_VALUE"""),FALSE)</f>
        <v>0</v>
      </c>
      <c r="Q4155" s="20" t="str">
        <f>IFERROR(__xludf.DUMMYFUNCTION("""COMPUTED_VALUE"""),"")</f>
        <v/>
      </c>
      <c r="R4155" s="22" t="str">
        <f>IFERROR(__xludf.DUMMYFUNCTION("""COMPUTED_VALUE"""),"")</f>
        <v/>
      </c>
    </row>
    <row r="4156">
      <c r="A4156" s="15">
        <f>IFERROR(__xludf.DUMMYFUNCTION("""COMPUTED_VALUE"""),45121.0)</f>
        <v>45121</v>
      </c>
      <c r="B4156" s="16" t="str">
        <f>IFERROR(__xludf.DUMMYFUNCTION("""COMPUTED_VALUE"""),"Envia")</f>
        <v>Envia</v>
      </c>
      <c r="C4156" s="15" t="str">
        <f>IFERROR(__xludf.DUMMYFUNCTION("""COMPUTED_VALUE"""),"MEDELLÍN")</f>
        <v>MEDELLÍN</v>
      </c>
      <c r="D4156" s="15" t="str">
        <f>IFERROR(__xludf.DUMMYFUNCTION("""COMPUTED_VALUE"""),"BOGOTÁ")</f>
        <v>BOGOTÁ</v>
      </c>
      <c r="E4156" s="15" t="str">
        <f>IFERROR(__xludf.DUMMYFUNCTION("""COMPUTED_VALUE"""),"Top Spun")</f>
        <v>Top Spun</v>
      </c>
      <c r="F4156" s="17" t="str">
        <f>IFERROR(__xludf.DUMMYFUNCTION("""COMPUTED_VALUE"""),"Cra 79 # 40 - 85 / barrio los llanos, el porvenir / Rionegro - Antioquia")</f>
        <v>Cra 79 # 40 - 85 / barrio los llanos, el porvenir / Rionegro - Antioquia</v>
      </c>
      <c r="G4156" s="15" t="str">
        <f>IFERROR(__xludf.DUMMYFUNCTION("""COMPUTED_VALUE"""),"Sandra Badillo")</f>
        <v>Sandra Badillo</v>
      </c>
      <c r="H4156" s="16">
        <f>IFERROR(__xludf.DUMMYFUNCTION("""COMPUTED_VALUE"""),12729.0)</f>
        <v>12729</v>
      </c>
      <c r="I4156" s="18">
        <f>IFERROR(__xludf.DUMMYFUNCTION("""COMPUTED_VALUE"""),21.0)</f>
        <v>21</v>
      </c>
      <c r="J4156" s="18">
        <f>IFERROR(__xludf.DUMMYFUNCTION("""COMPUTED_VALUE"""),30.0)</f>
        <v>30</v>
      </c>
      <c r="K4156" s="18">
        <f>IFERROR(__xludf.DUMMYFUNCTION("""COMPUTED_VALUE"""),50.0)</f>
        <v>50</v>
      </c>
      <c r="L4156" s="17">
        <f>IFERROR(__xludf.DUMMYFUNCTION("""COMPUTED_VALUE"""),3.176965645E9)</f>
        <v>3176965645</v>
      </c>
      <c r="M4156" s="17" t="str">
        <f>IFERROR(__xludf.DUMMYFUNCTION("""COMPUTED_VALUE"""),"#REF!")</f>
        <v>#REF!</v>
      </c>
      <c r="N4156" s="17"/>
      <c r="O4156" s="17"/>
      <c r="P4156" s="17" t="b">
        <f>IFERROR(__xludf.DUMMYFUNCTION("""COMPUTED_VALUE"""),FALSE)</f>
        <v>0</v>
      </c>
      <c r="Q4156" s="20" t="str">
        <f>IFERROR(__xludf.DUMMYFUNCTION("""COMPUTED_VALUE"""),"")</f>
        <v/>
      </c>
      <c r="R4156" s="22" t="str">
        <f>IFERROR(__xludf.DUMMYFUNCTION("""COMPUTED_VALUE"""),"")</f>
        <v/>
      </c>
    </row>
    <row r="4157">
      <c r="A4157" s="15">
        <f>IFERROR(__xludf.DUMMYFUNCTION("""COMPUTED_VALUE"""),45121.0)</f>
        <v>45121</v>
      </c>
      <c r="B4157" s="16" t="str">
        <f>IFERROR(__xludf.DUMMYFUNCTION("""COMPUTED_VALUE"""),"Envia")</f>
        <v>Envia</v>
      </c>
      <c r="C4157" s="15" t="str">
        <f>IFERROR(__xludf.DUMMYFUNCTION("""COMPUTED_VALUE"""),"MEDELLÍN")</f>
        <v>MEDELLÍN</v>
      </c>
      <c r="D4157" s="15" t="str">
        <f>IFERROR(__xludf.DUMMYFUNCTION("""COMPUTED_VALUE"""),"BOGOTÁ")</f>
        <v>BOGOTÁ</v>
      </c>
      <c r="E4157" s="15" t="str">
        <f>IFERROR(__xludf.DUMMYFUNCTION("""COMPUTED_VALUE"""),"Viiva Fermentados")</f>
        <v>Viiva Fermentados</v>
      </c>
      <c r="F4157" s="17" t="str">
        <f>IFERROR(__xludf.DUMMYFUNCTION("""COMPUTED_VALUE"""),"CR 42 # 08 -39  / LC PISO 1 / El Poblado")</f>
        <v>CR 42 # 08 -39  / LC PISO 1 / El Poblado</v>
      </c>
      <c r="G4157" s="15" t="str">
        <f>IFERROR(__xludf.DUMMYFUNCTION("""COMPUTED_VALUE"""),"Restaurante Real Vegetal")</f>
        <v>Restaurante Real Vegetal</v>
      </c>
      <c r="H4157" s="16">
        <f>IFERROR(__xludf.DUMMYFUNCTION("""COMPUTED_VALUE"""),12221.0)</f>
        <v>12221</v>
      </c>
      <c r="I4157" s="18">
        <f>IFERROR(__xludf.DUMMYFUNCTION("""COMPUTED_VALUE"""),26.0)</f>
        <v>26</v>
      </c>
      <c r="J4157" s="18">
        <f>IFERROR(__xludf.DUMMYFUNCTION("""COMPUTED_VALUE"""),32.0)</f>
        <v>32</v>
      </c>
      <c r="K4157" s="18">
        <f>IFERROR(__xludf.DUMMYFUNCTION("""COMPUTED_VALUE"""),24.0)</f>
        <v>24</v>
      </c>
      <c r="L4157" s="17">
        <f>IFERROR(__xludf.DUMMYFUNCTION("""COMPUTED_VALUE"""),3.116345472E9)</f>
        <v>3116345472</v>
      </c>
      <c r="M4157" s="17" t="str">
        <f>IFERROR(__xludf.DUMMYFUNCTION("""COMPUTED_VALUE"""),"#REF!")</f>
        <v>#REF!</v>
      </c>
      <c r="N4157" s="17"/>
      <c r="O4157" s="17"/>
      <c r="P4157" s="17" t="b">
        <f>IFERROR(__xludf.DUMMYFUNCTION("""COMPUTED_VALUE"""),FALSE)</f>
        <v>0</v>
      </c>
      <c r="Q4157" s="20" t="str">
        <f>IFERROR(__xludf.DUMMYFUNCTION("""COMPUTED_VALUE"""),"")</f>
        <v/>
      </c>
      <c r="R4157" s="22" t="str">
        <f>IFERROR(__xludf.DUMMYFUNCTION("""COMPUTED_VALUE"""),"")</f>
        <v/>
      </c>
    </row>
    <row r="4158">
      <c r="A4158" s="15">
        <f>IFERROR(__xludf.DUMMYFUNCTION("""COMPUTED_VALUE"""),45121.0)</f>
        <v>45121</v>
      </c>
      <c r="B4158" s="16" t="str">
        <f>IFERROR(__xludf.DUMMYFUNCTION("""COMPUTED_VALUE"""),"Envia")</f>
        <v>Envia</v>
      </c>
      <c r="C4158" s="15" t="str">
        <f>IFERROR(__xludf.DUMMYFUNCTION("""COMPUTED_VALUE"""),"SANTA MARTA")</f>
        <v>SANTA MARTA</v>
      </c>
      <c r="D4158" s="15" t="str">
        <f>IFERROR(__xludf.DUMMYFUNCTION("""COMPUTED_VALUE"""),"BOGOTÁ")</f>
        <v>BOGOTÁ</v>
      </c>
      <c r="E4158" s="15" t="str">
        <f>IFERROR(__xludf.DUMMYFUNCTION("""COMPUTED_VALUE"""),"Ins. Alimento Vital")</f>
        <v>Ins. Alimento Vital</v>
      </c>
      <c r="F4158" s="17" t="str">
        <f>IFERROR(__xludf.DUMMYFUNCTION("""COMPUTED_VALUE"""),"CR 1 B 26 A 109  / EDIFICIO ALMIRANTE APT 501 / EDIFICIO ALMIRANTE")</f>
        <v>CR 1 B 26 A 109  / EDIFICIO ALMIRANTE APT 501 / EDIFICIO ALMIRANTE</v>
      </c>
      <c r="G4158" s="15" t="str">
        <f>IFERROR(__xludf.DUMMYFUNCTION("""COMPUTED_VALUE"""),"VERONICA GOMEZ DE ZUBIRIA")</f>
        <v>VERONICA GOMEZ DE ZUBIRIA</v>
      </c>
      <c r="H4158" s="16">
        <f>IFERROR(__xludf.DUMMYFUNCTION("""COMPUTED_VALUE"""),12661.0)</f>
        <v>12661</v>
      </c>
      <c r="I4158" s="18">
        <f>IFERROR(__xludf.DUMMYFUNCTION("""COMPUTED_VALUE"""),1.0)</f>
        <v>1</v>
      </c>
      <c r="J4158" s="18">
        <f>IFERROR(__xludf.DUMMYFUNCTION("""COMPUTED_VALUE"""),1.0)</f>
        <v>1</v>
      </c>
      <c r="K4158" s="18">
        <f>IFERROR(__xludf.DUMMYFUNCTION("""COMPUTED_VALUE"""),1.0)</f>
        <v>1</v>
      </c>
      <c r="L4158" s="17">
        <f>IFERROR(__xludf.DUMMYFUNCTION("""COMPUTED_VALUE"""),3.107893555E9)</f>
        <v>3107893555</v>
      </c>
      <c r="M4158" s="17" t="str">
        <f>IFERROR(__xludf.DUMMYFUNCTION("""COMPUTED_VALUE"""),"#REF!")</f>
        <v>#REF!</v>
      </c>
      <c r="N4158" s="17"/>
      <c r="O4158" s="17"/>
      <c r="P4158" s="17" t="b">
        <f>IFERROR(__xludf.DUMMYFUNCTION("""COMPUTED_VALUE"""),FALSE)</f>
        <v>0</v>
      </c>
      <c r="Q4158" s="20" t="str">
        <f>IFERROR(__xludf.DUMMYFUNCTION("""COMPUTED_VALUE"""),"")</f>
        <v/>
      </c>
      <c r="R4158" s="21" t="str">
        <f>IFERROR(__xludf.DUMMYFUNCTION("""COMPUTED_VALUE"""),"https://drive.google.com/file/d/1Qdiym749nLhG1rcznla2fCUxBHjW7GXT/view?usp=drivesdk")</f>
        <v>https://drive.google.com/file/d/1Qdiym749nLhG1rcznla2fCUxBHjW7GXT/view?usp=drivesdk</v>
      </c>
    </row>
    <row r="4159">
      <c r="A4159" s="15">
        <f>IFERROR(__xludf.DUMMYFUNCTION("""COMPUTED_VALUE"""),45121.0)</f>
        <v>45121</v>
      </c>
      <c r="B4159" s="16" t="str">
        <f>IFERROR(__xludf.DUMMYFUNCTION("""COMPUTED_VALUE"""),"Envia")</f>
        <v>Envia</v>
      </c>
      <c r="C4159" s="15" t="str">
        <f>IFERROR(__xludf.DUMMYFUNCTION("""COMPUTED_VALUE"""),"SANTA MARTA")</f>
        <v>SANTA MARTA</v>
      </c>
      <c r="D4159" s="15" t="str">
        <f>IFERROR(__xludf.DUMMYFUNCTION("""COMPUTED_VALUE"""),"MEDELLÍN")</f>
        <v>MEDELLÍN</v>
      </c>
      <c r="E4159" s="15" t="str">
        <f>IFERROR(__xludf.DUMMYFUNCTION("""COMPUTED_VALUE"""),"Rambla")</f>
        <v>Rambla</v>
      </c>
      <c r="F4159" s="17" t="str">
        <f>IFERROR(__xludf.DUMMYFUNCTION("""COMPUTED_VALUE"""),"carrera 1c #23-56 barrio bellavista / na / na")</f>
        <v>carrera 1c #23-56 barrio bellavista / na / na</v>
      </c>
      <c r="G4159" s="15" t="str">
        <f>IFERROR(__xludf.DUMMYFUNCTION("""COMPUTED_VALUE"""),"fresco sm")</f>
        <v>fresco sm</v>
      </c>
      <c r="H4159" s="16">
        <f>IFERROR(__xludf.DUMMYFUNCTION("""COMPUTED_VALUE"""),12717.0)</f>
        <v>12717</v>
      </c>
      <c r="I4159" s="18">
        <f>IFERROR(__xludf.DUMMYFUNCTION("""COMPUTED_VALUE"""),34.0)</f>
        <v>34</v>
      </c>
      <c r="J4159" s="18">
        <f>IFERROR(__xludf.DUMMYFUNCTION("""COMPUTED_VALUE"""),25.0)</f>
        <v>25</v>
      </c>
      <c r="K4159" s="18">
        <f>IFERROR(__xludf.DUMMYFUNCTION("""COMPUTED_VALUE"""),23.0)</f>
        <v>23</v>
      </c>
      <c r="L4159" s="17">
        <f>IFERROR(__xludf.DUMMYFUNCTION("""COMPUTED_VALUE"""),3.104615133E9)</f>
        <v>3104615133</v>
      </c>
      <c r="M4159" s="17" t="str">
        <f>IFERROR(__xludf.DUMMYFUNCTION("""COMPUTED_VALUE"""),"#REF!")</f>
        <v>#REF!</v>
      </c>
      <c r="N4159" s="17"/>
      <c r="O4159" s="17"/>
      <c r="P4159" s="17" t="b">
        <f>IFERROR(__xludf.DUMMYFUNCTION("""COMPUTED_VALUE"""),FALSE)</f>
        <v>0</v>
      </c>
      <c r="Q4159" s="20" t="str">
        <f>IFERROR(__xludf.DUMMYFUNCTION("""COMPUTED_VALUE"""),"")</f>
        <v/>
      </c>
      <c r="R4159" s="21" t="str">
        <f>IFERROR(__xludf.DUMMYFUNCTION("""COMPUTED_VALUE"""),"https://drive.google.com/file/d/1IqTgxHQd4XE9kpJzB1nuJp9GJut4m7go/view?usp=drivesdk")</f>
        <v>https://drive.google.com/file/d/1IqTgxHQd4XE9kpJzB1nuJp9GJut4m7go/view?usp=drivesdk</v>
      </c>
    </row>
    <row r="4160">
      <c r="A4160" s="15">
        <f>IFERROR(__xludf.DUMMYFUNCTION("""COMPUTED_VALUE"""),45121.0)</f>
        <v>45121</v>
      </c>
      <c r="B4160" s="16" t="str">
        <f>IFERROR(__xludf.DUMMYFUNCTION("""COMPUTED_VALUE"""),"Envia")</f>
        <v>Envia</v>
      </c>
      <c r="C4160" s="15" t="str">
        <f>IFERROR(__xludf.DUMMYFUNCTION("""COMPUTED_VALUE"""),"SANTA MARTA")</f>
        <v>SANTA MARTA</v>
      </c>
      <c r="D4160" s="15" t="str">
        <f>IFERROR(__xludf.DUMMYFUNCTION("""COMPUTED_VALUE"""),"MEDELLÍN")</f>
        <v>MEDELLÍN</v>
      </c>
      <c r="E4160" s="15" t="str">
        <f>IFERROR(__xludf.DUMMYFUNCTION("""COMPUTED_VALUE"""),"Rambla")</f>
        <v>Rambla</v>
      </c>
      <c r="F4160" s="17" t="str">
        <f>IFERROR(__xludf.DUMMYFUNCTION("""COMPUTED_VALUE"""),"carrera 4 #26-40 / cc plaza local 117 / na")</f>
        <v>carrera 4 #26-40 / cc plaza local 117 / na</v>
      </c>
      <c r="G4160" s="15" t="str">
        <f>IFERROR(__xludf.DUMMYFUNCTION("""COMPUTED_VALUE"""),"hecho en casa")</f>
        <v>hecho en casa</v>
      </c>
      <c r="H4160" s="16">
        <f>IFERROR(__xludf.DUMMYFUNCTION("""COMPUTED_VALUE"""),12718.0)</f>
        <v>12718</v>
      </c>
      <c r="I4160" s="18">
        <f>IFERROR(__xludf.DUMMYFUNCTION("""COMPUTED_VALUE"""),32.0)</f>
        <v>32</v>
      </c>
      <c r="J4160" s="18">
        <f>IFERROR(__xludf.DUMMYFUNCTION("""COMPUTED_VALUE"""),23.0)</f>
        <v>23</v>
      </c>
      <c r="K4160" s="18">
        <f>IFERROR(__xludf.DUMMYFUNCTION("""COMPUTED_VALUE"""),23.0)</f>
        <v>23</v>
      </c>
      <c r="L4160" s="17">
        <f>IFERROR(__xludf.DUMMYFUNCTION("""COMPUTED_VALUE"""),3.176455877E9)</f>
        <v>3176455877</v>
      </c>
      <c r="M4160" s="17" t="str">
        <f>IFERROR(__xludf.DUMMYFUNCTION("""COMPUTED_VALUE"""),"#REF!")</f>
        <v>#REF!</v>
      </c>
      <c r="N4160" s="17"/>
      <c r="O4160" s="17"/>
      <c r="P4160" s="17" t="b">
        <f>IFERROR(__xludf.DUMMYFUNCTION("""COMPUTED_VALUE"""),FALSE)</f>
        <v>0</v>
      </c>
      <c r="Q4160" s="20" t="str">
        <f>IFERROR(__xludf.DUMMYFUNCTION("""COMPUTED_VALUE"""),"")</f>
        <v/>
      </c>
      <c r="R4160" s="21" t="str">
        <f>IFERROR(__xludf.DUMMYFUNCTION("""COMPUTED_VALUE"""),"https://drive.google.com/file/d/1ye3ByGUcZCsGux1wW0xOqar2ky0-30rV/view?usp=drivesdk")</f>
        <v>https://drive.google.com/file/d/1ye3ByGUcZCsGux1wW0xOqar2ky0-30rV/view?usp=drivesdk</v>
      </c>
    </row>
    <row r="4161">
      <c r="A4161" s="17" t="str">
        <f>IFERROR(__xludf.DUMMYFUNCTION("""COMPUTED_VALUE"""),"")</f>
        <v/>
      </c>
      <c r="B4161" s="17" t="str">
        <f>IFERROR(__xludf.DUMMYFUNCTION("""COMPUTED_VALUE"""),"")</f>
        <v/>
      </c>
      <c r="C4161" s="17" t="str">
        <f>IFERROR(__xludf.DUMMYFUNCTION("""COMPUTED_VALUE"""),"")</f>
        <v/>
      </c>
      <c r="D4161" s="17" t="str">
        <f>IFERROR(__xludf.DUMMYFUNCTION("""COMPUTED_VALUE"""),"")</f>
        <v/>
      </c>
      <c r="E4161" s="17" t="str">
        <f>IFERROR(__xludf.DUMMYFUNCTION("""COMPUTED_VALUE"""),"")</f>
        <v/>
      </c>
      <c r="F4161" s="17" t="str">
        <f>IFERROR(__xludf.DUMMYFUNCTION("""COMPUTED_VALUE"""),"")</f>
        <v/>
      </c>
      <c r="G4161" s="17" t="str">
        <f>IFERROR(__xludf.DUMMYFUNCTION("""COMPUTED_VALUE"""),"")</f>
        <v/>
      </c>
      <c r="H4161" s="17" t="str">
        <f>IFERROR(__xludf.DUMMYFUNCTION("""COMPUTED_VALUE"""),"")</f>
        <v/>
      </c>
      <c r="I4161" s="17" t="str">
        <f>IFERROR(__xludf.DUMMYFUNCTION("""COMPUTED_VALUE"""),"")</f>
        <v/>
      </c>
      <c r="J4161" s="17" t="str">
        <f>IFERROR(__xludf.DUMMYFUNCTION("""COMPUTED_VALUE"""),"")</f>
        <v/>
      </c>
      <c r="K4161" s="17" t="str">
        <f>IFERROR(__xludf.DUMMYFUNCTION("""COMPUTED_VALUE"""),"")</f>
        <v/>
      </c>
      <c r="L4161" s="17" t="str">
        <f>IFERROR(__xludf.DUMMYFUNCTION("""COMPUTED_VALUE"""),"")</f>
        <v/>
      </c>
      <c r="M4161" s="17" t="str">
        <f>IFERROR(__xludf.DUMMYFUNCTION("""COMPUTED_VALUE"""),"")</f>
        <v/>
      </c>
      <c r="N4161" s="17" t="str">
        <f>IFERROR(__xludf.DUMMYFUNCTION("""COMPUTED_VALUE"""),"")</f>
        <v/>
      </c>
      <c r="O4161" s="17" t="str">
        <f>IFERROR(__xludf.DUMMYFUNCTION("""COMPUTED_VALUE"""),"")</f>
        <v/>
      </c>
      <c r="P4161" s="17" t="str">
        <f>IFERROR(__xludf.DUMMYFUNCTION("""COMPUTED_VALUE"""),"")</f>
        <v/>
      </c>
      <c r="Q4161" s="17" t="str">
        <f>IFERROR(__xludf.DUMMYFUNCTION("""COMPUTED_VALUE"""),"")</f>
        <v/>
      </c>
      <c r="R4161" s="17" t="str">
        <f>IFERROR(__xludf.DUMMYFUNCTION("""COMPUTED_VALUE"""),"")</f>
        <v/>
      </c>
    </row>
    <row r="4162">
      <c r="A4162" s="15">
        <f>IFERROR(__xludf.DUMMYFUNCTION("""COMPUTED_VALUE"""),45121.0)</f>
        <v>45121</v>
      </c>
      <c r="B4162" s="16" t="str">
        <f>IFERROR(__xludf.DUMMYFUNCTION("""COMPUTED_VALUE"""),"Jeison Rubiano")</f>
        <v>Jeison Rubiano</v>
      </c>
      <c r="C4162" s="15" t="str">
        <f>IFERROR(__xludf.DUMMYFUNCTION("""COMPUTED_VALUE"""),"BOGOTÁ")</f>
        <v>BOGOTÁ</v>
      </c>
      <c r="D4162" s="15" t="str">
        <f>IFERROR(__xludf.DUMMYFUNCTION("""COMPUTED_VALUE"""),"BUCARAMANGA")</f>
        <v>BUCARAMANGA</v>
      </c>
      <c r="E4162" s="15" t="str">
        <f>IFERROR(__xludf.DUMMYFUNCTION("""COMPUTED_VALUE"""),"Yo Como Solito")</f>
        <v>Yo Como Solito</v>
      </c>
      <c r="F4162" s="17" t="str">
        <f>IFERROR(__xludf.DUMMYFUNCTION("""COMPUTED_VALUE"""),"Calle 145 # 57-36 Int 12 apto 102 Conjunto Alameda de Santa Clara 3 (porteria sur) Colina Campestre  /  Calle 145 # 57-36 Int 12 apto 102 Conjunto Alameda de Santa Clara 3 (porteria sur) Colina Campestre  /  Calle 145 # 57-36 Int 12 apto 102 Conjunto Alam"&amp;"eda de Santa Clara 3 (porteria sur) Colina Campestre")</f>
        <v>Calle 145 # 57-36 Int 12 apto 102 Conjunto Alameda de Santa Clara 3 (porteria sur) Colina Campestre  /  Calle 145 # 57-36 Int 12 apto 102 Conjunto Alameda de Santa Clara 3 (porteria sur) Colina Campestre  /  Calle 145 # 57-36 Int 12 apto 102 Conjunto Alameda de Santa Clara 3 (porteria sur) Colina Campestre</v>
      </c>
      <c r="G4162" s="15" t="str">
        <f>IFERROR(__xludf.DUMMYFUNCTION("""COMPUTED_VALUE"""),"LINA PAOLA RAMIREZ")</f>
        <v>LINA PAOLA RAMIREZ</v>
      </c>
      <c r="H4162" s="16">
        <f>IFERROR(__xludf.DUMMYFUNCTION("""COMPUTED_VALUE"""),12762.0)</f>
        <v>12762</v>
      </c>
      <c r="I4162" s="18">
        <f>IFERROR(__xludf.DUMMYFUNCTION("""COMPUTED_VALUE"""),20.0)</f>
        <v>20</v>
      </c>
      <c r="J4162" s="18">
        <f>IFERROR(__xludf.DUMMYFUNCTION("""COMPUTED_VALUE"""),40.0)</f>
        <v>40</v>
      </c>
      <c r="K4162" s="18">
        <f>IFERROR(__xludf.DUMMYFUNCTION("""COMPUTED_VALUE"""),40.0)</f>
        <v>40</v>
      </c>
      <c r="L4162" s="17">
        <f>IFERROR(__xludf.DUMMYFUNCTION("""COMPUTED_VALUE"""),3.12327346E9)</f>
        <v>3123273460</v>
      </c>
      <c r="M4162" s="17" t="str">
        <f>IFERROR(__xludf.DUMMYFUNCTION("""COMPUTED_VALUE"""),"#REF!")</f>
        <v>#REF!</v>
      </c>
      <c r="N4162" s="17"/>
      <c r="O4162" s="17"/>
      <c r="P4162" s="17" t="b">
        <f>IFERROR(__xludf.DUMMYFUNCTION("""COMPUTED_VALUE"""),FALSE)</f>
        <v>0</v>
      </c>
      <c r="Q4162" s="20" t="str">
        <f>IFERROR(__xludf.DUMMYFUNCTION("""COMPUTED_VALUE"""),"")</f>
        <v/>
      </c>
      <c r="R4162" s="21" t="str">
        <f>IFERROR(__xludf.DUMMYFUNCTION("""COMPUTED_VALUE"""),"https://drive.google.com/file/d/1NWgZ--QSpJN6rJy4BI-ZZf8coMGo_71-/view?usp=drivesdk")</f>
        <v>https://drive.google.com/file/d/1NWgZ--QSpJN6rJy4BI-ZZf8coMGo_71-/view?usp=drivesdk</v>
      </c>
    </row>
    <row r="4163">
      <c r="A4163" s="15">
        <f>IFERROR(__xludf.DUMMYFUNCTION("""COMPUTED_VALUE"""),45121.0)</f>
        <v>45121</v>
      </c>
      <c r="B4163" s="16" t="str">
        <f>IFERROR(__xludf.DUMMYFUNCTION("""COMPUTED_VALUE"""),"Jeison Rubiano")</f>
        <v>Jeison Rubiano</v>
      </c>
      <c r="C4163" s="15" t="str">
        <f>IFERROR(__xludf.DUMMYFUNCTION("""COMPUTED_VALUE"""),"BOGOTÁ")</f>
        <v>BOGOTÁ</v>
      </c>
      <c r="D4163" s="15" t="str">
        <f>IFERROR(__xludf.DUMMYFUNCTION("""COMPUTED_VALUE"""),"BUCARAMANGA")</f>
        <v>BUCARAMANGA</v>
      </c>
      <c r="E4163" s="15" t="str">
        <f>IFERROR(__xludf.DUMMYFUNCTION("""COMPUTED_VALUE"""),"Yo Como Solito")</f>
        <v>Yo Como Solito</v>
      </c>
      <c r="F4163" s="17" t="str">
        <f>IFERROR(__xludf.DUMMYFUNCTION("""COMPUTED_VALUE"""),"Cra 116 a #15c-70 Apto 507 To 9 Reservas de Fontibon Bogotá - Cundinamarca / Cra 116 a #15c-70 Apto 507 To 9 Reservas de Fontibon Bogotá - Cundinamarca / Cra 116 a #15c-70 Apto 507 To 9 Reservas de Fontibon Bogotá - Cundinamarca")</f>
        <v>Cra 116 a #15c-70 Apto 507 To 9 Reservas de Fontibon Bogotá - Cundinamarca / Cra 116 a #15c-70 Apto 507 To 9 Reservas de Fontibon Bogotá - Cundinamarca / Cra 116 a #15c-70 Apto 507 To 9 Reservas de Fontibon Bogotá - Cundinamarca</v>
      </c>
      <c r="G4163" s="15" t="str">
        <f>IFERROR(__xludf.DUMMYFUNCTION("""COMPUTED_VALUE"""),"Leidy Stefania Garzón.")</f>
        <v>Leidy Stefania Garzón.</v>
      </c>
      <c r="H4163" s="16">
        <f>IFERROR(__xludf.DUMMYFUNCTION("""COMPUTED_VALUE"""),12764.0)</f>
        <v>12764</v>
      </c>
      <c r="I4163" s="18">
        <f>IFERROR(__xludf.DUMMYFUNCTION("""COMPUTED_VALUE"""),14.0)</f>
        <v>14</v>
      </c>
      <c r="J4163" s="18">
        <f>IFERROR(__xludf.DUMMYFUNCTION("""COMPUTED_VALUE"""),24.0)</f>
        <v>24</v>
      </c>
      <c r="K4163" s="18">
        <f>IFERROR(__xludf.DUMMYFUNCTION("""COMPUTED_VALUE"""),26.0)</f>
        <v>26</v>
      </c>
      <c r="L4163" s="17">
        <f>IFERROR(__xludf.DUMMYFUNCTION("""COMPUTED_VALUE"""),3.208188945E9)</f>
        <v>3208188945</v>
      </c>
      <c r="M4163" s="17" t="str">
        <f>IFERROR(__xludf.DUMMYFUNCTION("""COMPUTED_VALUE"""),"#REF!")</f>
        <v>#REF!</v>
      </c>
      <c r="N4163" s="17"/>
      <c r="O4163" s="17"/>
      <c r="P4163" s="17" t="b">
        <f>IFERROR(__xludf.DUMMYFUNCTION("""COMPUTED_VALUE"""),FALSE)</f>
        <v>0</v>
      </c>
      <c r="Q4163" s="20" t="str">
        <f>IFERROR(__xludf.DUMMYFUNCTION("""COMPUTED_VALUE"""),"")</f>
        <v/>
      </c>
      <c r="R4163" s="21" t="str">
        <f>IFERROR(__xludf.DUMMYFUNCTION("""COMPUTED_VALUE"""),"https://drive.google.com/file/d/10ClYDoF9MgSqzVYoDZoTr7srV8BPySyL/view?usp=drivesdk")</f>
        <v>https://drive.google.com/file/d/10ClYDoF9MgSqzVYoDZoTr7srV8BPySyL/view?usp=drivesdk</v>
      </c>
    </row>
    <row r="4164">
      <c r="A4164" s="15">
        <f>IFERROR(__xludf.DUMMYFUNCTION("""COMPUTED_VALUE"""),45121.0)</f>
        <v>45121</v>
      </c>
      <c r="B4164" s="16" t="str">
        <f>IFERROR(__xludf.DUMMYFUNCTION("""COMPUTED_VALUE"""),"Jeison Rubiano")</f>
        <v>Jeison Rubiano</v>
      </c>
      <c r="C4164" s="15" t="str">
        <f>IFERROR(__xludf.DUMMYFUNCTION("""COMPUTED_VALUE"""),"BOGOTÁ")</f>
        <v>BOGOTÁ</v>
      </c>
      <c r="D4164" s="15" t="str">
        <f>IFERROR(__xludf.DUMMYFUNCTION("""COMPUTED_VALUE"""),"MEDELLÍN")</f>
        <v>MEDELLÍN</v>
      </c>
      <c r="E4164" s="15" t="str">
        <f>IFERROR(__xludf.DUMMYFUNCTION("""COMPUTED_VALUE"""),"AREPAS LA MARY")</f>
        <v>AREPAS LA MARY</v>
      </c>
      <c r="F4164" s="17" t="str">
        <f>IFERROR(__xludf.DUMMYFUNCTION("""COMPUTED_VALUE"""),"CR 45 A  # 95-08 oficina 302")</f>
        <v>CR 45 A  # 95-08 oficina 302</v>
      </c>
      <c r="G4164" s="15" t="str">
        <f>IFERROR(__xludf.DUMMYFUNCTION("""COMPUTED_VALUE"""),"OMAR PINILLA")</f>
        <v>OMAR PINILLA</v>
      </c>
      <c r="H4164" s="16">
        <f>IFERROR(__xludf.DUMMYFUNCTION("""COMPUTED_VALUE"""),12732.0)</f>
        <v>12732</v>
      </c>
      <c r="I4164" s="18">
        <f>IFERROR(__xludf.DUMMYFUNCTION("""COMPUTED_VALUE"""),89.0)</f>
        <v>89</v>
      </c>
      <c r="J4164" s="18">
        <f>IFERROR(__xludf.DUMMYFUNCTION("""COMPUTED_VALUE"""),1.0)</f>
        <v>1</v>
      </c>
      <c r="K4164" s="18">
        <f>IFERROR(__xludf.DUMMYFUNCTION("""COMPUTED_VALUE"""),10.0)</f>
        <v>10</v>
      </c>
      <c r="L4164" s="17" t="str">
        <f>IFERROR(__xludf.DUMMYFUNCTION("""COMPUTED_VALUE"""),"312 4052320")</f>
        <v>312 4052320</v>
      </c>
      <c r="M4164" s="17" t="str">
        <f>IFERROR(__xludf.DUMMYFUNCTION("""COMPUTED_VALUE"""),"#REF!")</f>
        <v>#REF!</v>
      </c>
      <c r="N4164" s="17"/>
      <c r="O4164" s="17"/>
      <c r="P4164" s="17" t="b">
        <f>IFERROR(__xludf.DUMMYFUNCTION("""COMPUTED_VALUE"""),FALSE)</f>
        <v>0</v>
      </c>
      <c r="Q4164" s="20" t="str">
        <f>IFERROR(__xludf.DUMMYFUNCTION("""COMPUTED_VALUE"""),"")</f>
        <v/>
      </c>
      <c r="R4164" s="21" t="str">
        <f>IFERROR(__xludf.DUMMYFUNCTION("""COMPUTED_VALUE"""),"https://drive.google.com/file/d/1yow6_GpDKQTh5sEu-H1bp3eq4xizco59/view?usp=drivesdk")</f>
        <v>https://drive.google.com/file/d/1yow6_GpDKQTh5sEu-H1bp3eq4xizco59/view?usp=drivesdk</v>
      </c>
    </row>
    <row r="4165">
      <c r="A4165" s="15">
        <f>IFERROR(__xludf.DUMMYFUNCTION("""COMPUTED_VALUE"""),45121.0)</f>
        <v>45121</v>
      </c>
      <c r="B4165" s="16" t="str">
        <f>IFERROR(__xludf.DUMMYFUNCTION("""COMPUTED_VALUE"""),"Jeison Rubiano")</f>
        <v>Jeison Rubiano</v>
      </c>
      <c r="C4165" s="15" t="str">
        <f>IFERROR(__xludf.DUMMYFUNCTION("""COMPUTED_VALUE"""),"BOGOTÁ")</f>
        <v>BOGOTÁ</v>
      </c>
      <c r="D4165" s="15" t="str">
        <f>IFERROR(__xludf.DUMMYFUNCTION("""COMPUTED_VALUE"""),"MEDELLÍN")</f>
        <v>MEDELLÍN</v>
      </c>
      <c r="E4165" s="15" t="str">
        <f>IFERROR(__xludf.DUMMYFUNCTION("""COMPUTED_VALUE"""),"Baby Chef")</f>
        <v>Baby Chef</v>
      </c>
      <c r="F4165" s="17" t="str">
        <f>IFERROR(__xludf.DUMMYFUNCTION("""COMPUTED_VALUE"""),"Calle 131# 19-31 edf macahuba del country Apto 409 / ""Calle 131# 19-31 edf macahuba del country Apto 409"" / ""Calle 131# 19-31 edf macahuba del country Apto 409""")</f>
        <v>Calle 131# 19-31 edf macahuba del country Apto 409 / "Calle 131# 19-31 edf macahuba del country Apto 409" / "Calle 131# 19-31 edf macahuba del country Apto 409"</v>
      </c>
      <c r="G4165" s="15" t="str">
        <f>IFERROR(__xludf.DUMMYFUNCTION("""COMPUTED_VALUE"""),"Geraldinne Silva Ramírez")</f>
        <v>Geraldinne Silva Ramírez</v>
      </c>
      <c r="H4165" s="16">
        <f>IFERROR(__xludf.DUMMYFUNCTION("""COMPUTED_VALUE"""),12737.0)</f>
        <v>12737</v>
      </c>
      <c r="I4165" s="18">
        <f>IFERROR(__xludf.DUMMYFUNCTION("""COMPUTED_VALUE"""),8.0)</f>
        <v>8</v>
      </c>
      <c r="J4165" s="18">
        <f>IFERROR(__xludf.DUMMYFUNCTION("""COMPUTED_VALUE"""),16.0)</f>
        <v>16</v>
      </c>
      <c r="K4165" s="18">
        <f>IFERROR(__xludf.DUMMYFUNCTION("""COMPUTED_VALUE"""),20.0)</f>
        <v>20</v>
      </c>
      <c r="L4165" s="17">
        <f>IFERROR(__xludf.DUMMYFUNCTION("""COMPUTED_VALUE"""),3.134028431E9)</f>
        <v>3134028431</v>
      </c>
      <c r="M4165" s="17" t="str">
        <f>IFERROR(__xludf.DUMMYFUNCTION("""COMPUTED_VALUE"""),"#REF!")</f>
        <v>#REF!</v>
      </c>
      <c r="N4165" s="17"/>
      <c r="O4165" s="17"/>
      <c r="P4165" s="17" t="b">
        <f>IFERROR(__xludf.DUMMYFUNCTION("""COMPUTED_VALUE"""),FALSE)</f>
        <v>0</v>
      </c>
      <c r="Q4165" s="20" t="str">
        <f>IFERROR(__xludf.DUMMYFUNCTION("""COMPUTED_VALUE"""),"")</f>
        <v/>
      </c>
      <c r="R4165" s="21" t="str">
        <f>IFERROR(__xludf.DUMMYFUNCTION("""COMPUTED_VALUE"""),"https://drive.google.com/file/d/1nb7vk5kpPnwY_HQccecCWF5MlO4-pqOV/view?usp=drivesdk")</f>
        <v>https://drive.google.com/file/d/1nb7vk5kpPnwY_HQccecCWF5MlO4-pqOV/view?usp=drivesdk</v>
      </c>
    </row>
    <row r="4166">
      <c r="A4166" s="15">
        <f>IFERROR(__xludf.DUMMYFUNCTION("""COMPUTED_VALUE"""),45121.0)</f>
        <v>45121</v>
      </c>
      <c r="B4166" s="16" t="str">
        <f>IFERROR(__xludf.DUMMYFUNCTION("""COMPUTED_VALUE"""),"Jeison Rubiano")</f>
        <v>Jeison Rubiano</v>
      </c>
      <c r="C4166" s="15" t="str">
        <f>IFERROR(__xludf.DUMMYFUNCTION("""COMPUTED_VALUE"""),"BOGOTÁ")</f>
        <v>BOGOTÁ</v>
      </c>
      <c r="D4166" s="15" t="str">
        <f>IFERROR(__xludf.DUMMYFUNCTION("""COMPUTED_VALUE"""),"MEDELLÍN")</f>
        <v>MEDELLÍN</v>
      </c>
      <c r="E4166" s="15" t="str">
        <f>IFERROR(__xludf.DUMMYFUNCTION("""COMPUTED_VALUE"""),"Baby Chef")</f>
        <v>Baby Chef</v>
      </c>
      <c r="F4166" s="17" t="str">
        <f>IFERROR(__xludf.DUMMYFUNCTION("""COMPUTED_VALUE"""),"Calle 21 sur # 53a-70 Casa puertas blancas y balcon blanco en segundo piso. / ""Calle 21 sur # 53a-70 Casa puertas blancas y balcon blanco en segundo piso."" / ""Calle 21 sur # 53a-70 Casa puertas blancas y balcon blanco en segundo piso.""")</f>
        <v>Calle 21 sur # 53a-70 Casa puertas blancas y balcon blanco en segundo piso. / "Calle 21 sur # 53a-70 Casa puertas blancas y balcon blanco en segundo piso." / "Calle 21 sur # 53a-70 Casa puertas blancas y balcon blanco en segundo piso."</v>
      </c>
      <c r="G4166" s="15" t="str">
        <f>IFERROR(__xludf.DUMMYFUNCTION("""COMPUTED_VALUE"""),"Paula León")</f>
        <v>Paula León</v>
      </c>
      <c r="H4166" s="16">
        <f>IFERROR(__xludf.DUMMYFUNCTION("""COMPUTED_VALUE"""),12738.0)</f>
        <v>12738</v>
      </c>
      <c r="I4166" s="18">
        <f>IFERROR(__xludf.DUMMYFUNCTION("""COMPUTED_VALUE"""),8.0)</f>
        <v>8</v>
      </c>
      <c r="J4166" s="18">
        <f>IFERROR(__xludf.DUMMYFUNCTION("""COMPUTED_VALUE"""),16.0)</f>
        <v>16</v>
      </c>
      <c r="K4166" s="18">
        <f>IFERROR(__xludf.DUMMYFUNCTION("""COMPUTED_VALUE"""),20.0)</f>
        <v>20</v>
      </c>
      <c r="L4166" s="17">
        <f>IFERROR(__xludf.DUMMYFUNCTION("""COMPUTED_VALUE"""),3.108888961E9)</f>
        <v>3108888961</v>
      </c>
      <c r="M4166" s="17" t="str">
        <f>IFERROR(__xludf.DUMMYFUNCTION("""COMPUTED_VALUE"""),"#REF!")</f>
        <v>#REF!</v>
      </c>
      <c r="N4166" s="17"/>
      <c r="O4166" s="17"/>
      <c r="P4166" s="17" t="b">
        <f>IFERROR(__xludf.DUMMYFUNCTION("""COMPUTED_VALUE"""),FALSE)</f>
        <v>0</v>
      </c>
      <c r="Q4166" s="20" t="str">
        <f>IFERROR(__xludf.DUMMYFUNCTION("""COMPUTED_VALUE"""),"")</f>
        <v/>
      </c>
      <c r="R4166" s="21" t="str">
        <f>IFERROR(__xludf.DUMMYFUNCTION("""COMPUTED_VALUE"""),"https://drive.google.com/file/d/1LSh0XqZgkzxuaOlDN8V3I53wEc208mam/view?usp=drivesdk")</f>
        <v>https://drive.google.com/file/d/1LSh0XqZgkzxuaOlDN8V3I53wEc208mam/view?usp=drivesdk</v>
      </c>
    </row>
    <row r="4167">
      <c r="A4167" s="15">
        <f>IFERROR(__xludf.DUMMYFUNCTION("""COMPUTED_VALUE"""),45121.0)</f>
        <v>45121</v>
      </c>
      <c r="B4167" s="16" t="str">
        <f>IFERROR(__xludf.DUMMYFUNCTION("""COMPUTED_VALUE"""),"Jeison Rubiano")</f>
        <v>Jeison Rubiano</v>
      </c>
      <c r="C4167" s="15" t="str">
        <f>IFERROR(__xludf.DUMMYFUNCTION("""COMPUTED_VALUE"""),"BOGOTÁ")</f>
        <v>BOGOTÁ</v>
      </c>
      <c r="D4167" s="15" t="str">
        <f>IFERROR(__xludf.DUMMYFUNCTION("""COMPUTED_VALUE"""),"MEDELLÍN")</f>
        <v>MEDELLÍN</v>
      </c>
      <c r="E4167" s="15" t="str">
        <f>IFERROR(__xludf.DUMMYFUNCTION("""COMPUTED_VALUE"""),"Baby Chef")</f>
        <v>Baby Chef</v>
      </c>
      <c r="F4167" s="17" t="str">
        <f>IFERROR(__xludf.DUMMYFUNCTION("""COMPUTED_VALUE"""),"Calle 77b # 119 61 901 torre 1 Barrio Gran Granada / Calle 77b # 119 61 901 torre 1 Barrio Gran Granada / ""Calle 77b # 119 61 901 torre 1 Barrio Gran Granada")</f>
        <v>Calle 77b # 119 61 901 torre 1 Barrio Gran Granada / Calle 77b # 119 61 901 torre 1 Barrio Gran Granada / "Calle 77b # 119 61 901 torre 1 Barrio Gran Granada</v>
      </c>
      <c r="G4167" s="15" t="str">
        <f>IFERROR(__xludf.DUMMYFUNCTION("""COMPUTED_VALUE"""),"Maricel Turriago")</f>
        <v>Maricel Turriago</v>
      </c>
      <c r="H4167" s="16">
        <f>IFERROR(__xludf.DUMMYFUNCTION("""COMPUTED_VALUE"""),12735.0)</f>
        <v>12735</v>
      </c>
      <c r="I4167" s="18">
        <f>IFERROR(__xludf.DUMMYFUNCTION("""COMPUTED_VALUE"""),8.0)</f>
        <v>8</v>
      </c>
      <c r="J4167" s="18">
        <f>IFERROR(__xludf.DUMMYFUNCTION("""COMPUTED_VALUE"""),16.0)</f>
        <v>16</v>
      </c>
      <c r="K4167" s="18">
        <f>IFERROR(__xludf.DUMMYFUNCTION("""COMPUTED_VALUE"""),20.0)</f>
        <v>20</v>
      </c>
      <c r="L4167" s="17">
        <f>IFERROR(__xludf.DUMMYFUNCTION("""COMPUTED_VALUE"""),3.143360996E9)</f>
        <v>3143360996</v>
      </c>
      <c r="M4167" s="17" t="str">
        <f>IFERROR(__xludf.DUMMYFUNCTION("""COMPUTED_VALUE"""),"#REF!")</f>
        <v>#REF!</v>
      </c>
      <c r="N4167" s="17"/>
      <c r="O4167" s="17"/>
      <c r="P4167" s="17" t="b">
        <f>IFERROR(__xludf.DUMMYFUNCTION("""COMPUTED_VALUE"""),FALSE)</f>
        <v>0</v>
      </c>
      <c r="Q4167" s="20" t="str">
        <f>IFERROR(__xludf.DUMMYFUNCTION("""COMPUTED_VALUE"""),"")</f>
        <v/>
      </c>
      <c r="R4167" s="21" t="str">
        <f>IFERROR(__xludf.DUMMYFUNCTION("""COMPUTED_VALUE"""),"https://drive.google.com/file/d/1MNyMN_AufhCfF1LdtgW12TJTGfFqTdmF/view?usp=drivesdk")</f>
        <v>https://drive.google.com/file/d/1MNyMN_AufhCfF1LdtgW12TJTGfFqTdmF/view?usp=drivesdk</v>
      </c>
    </row>
    <row r="4168">
      <c r="A4168" s="15">
        <f>IFERROR(__xludf.DUMMYFUNCTION("""COMPUTED_VALUE"""),45121.0)</f>
        <v>45121</v>
      </c>
      <c r="B4168" s="16" t="str">
        <f>IFERROR(__xludf.DUMMYFUNCTION("""COMPUTED_VALUE"""),"Jeison Rubiano")</f>
        <v>Jeison Rubiano</v>
      </c>
      <c r="C4168" s="15" t="str">
        <f>IFERROR(__xludf.DUMMYFUNCTION("""COMPUTED_VALUE"""),"BOGOTÁ")</f>
        <v>BOGOTÁ</v>
      </c>
      <c r="D4168" s="15" t="str">
        <f>IFERROR(__xludf.DUMMYFUNCTION("""COMPUTED_VALUE"""),"MEDELLÍN")</f>
        <v>MEDELLÍN</v>
      </c>
      <c r="E4168" s="15" t="str">
        <f>IFERROR(__xludf.DUMMYFUNCTION("""COMPUTED_VALUE"""),"Baby Chef")</f>
        <v>Baby Chef</v>
      </c>
      <c r="F4168" s="17" t="str">
        <f>IFERROR(__xludf.DUMMYFUNCTION("""COMPUTED_VALUE"""),"Carrera 104b bis 23b 56 Casa / ""Carrera 104b bis 23b 56 Casa"" / ""Carrera 104b bis 23b 56 Casa""")</f>
        <v>Carrera 104b bis 23b 56 Casa / "Carrera 104b bis 23b 56 Casa" / "Carrera 104b bis 23b 56 Casa"</v>
      </c>
      <c r="G4168" s="15" t="str">
        <f>IFERROR(__xludf.DUMMYFUNCTION("""COMPUTED_VALUE"""),"Paola Elles")</f>
        <v>Paola Elles</v>
      </c>
      <c r="H4168" s="16">
        <f>IFERROR(__xludf.DUMMYFUNCTION("""COMPUTED_VALUE"""),12739.0)</f>
        <v>12739</v>
      </c>
      <c r="I4168" s="18">
        <f>IFERROR(__xludf.DUMMYFUNCTION("""COMPUTED_VALUE"""),8.0)</f>
        <v>8</v>
      </c>
      <c r="J4168" s="18">
        <f>IFERROR(__xludf.DUMMYFUNCTION("""COMPUTED_VALUE"""),16.0)</f>
        <v>16</v>
      </c>
      <c r="K4168" s="18">
        <f>IFERROR(__xludf.DUMMYFUNCTION("""COMPUTED_VALUE"""),20.0)</f>
        <v>20</v>
      </c>
      <c r="L4168" s="17">
        <f>IFERROR(__xludf.DUMMYFUNCTION("""COMPUTED_VALUE"""),3.115531515E9)</f>
        <v>3115531515</v>
      </c>
      <c r="M4168" s="17" t="str">
        <f>IFERROR(__xludf.DUMMYFUNCTION("""COMPUTED_VALUE"""),"#REF!")</f>
        <v>#REF!</v>
      </c>
      <c r="N4168" s="17"/>
      <c r="O4168" s="17"/>
      <c r="P4168" s="17" t="b">
        <f>IFERROR(__xludf.DUMMYFUNCTION("""COMPUTED_VALUE"""),FALSE)</f>
        <v>0</v>
      </c>
      <c r="Q4168" s="20" t="str">
        <f>IFERROR(__xludf.DUMMYFUNCTION("""COMPUTED_VALUE"""),"")</f>
        <v/>
      </c>
      <c r="R4168" s="21" t="str">
        <f>IFERROR(__xludf.DUMMYFUNCTION("""COMPUTED_VALUE"""),"https://drive.google.com/file/d/1hUwgHLkUVg2luT-VpLCOJ0hwPgvPEmlZ/view?usp=drivesdk")</f>
        <v>https://drive.google.com/file/d/1hUwgHLkUVg2luT-VpLCOJ0hwPgvPEmlZ/view?usp=drivesdk</v>
      </c>
    </row>
    <row r="4169">
      <c r="A4169" s="15">
        <f>IFERROR(__xludf.DUMMYFUNCTION("""COMPUTED_VALUE"""),45121.0)</f>
        <v>45121</v>
      </c>
      <c r="B4169" s="16" t="str">
        <f>IFERROR(__xludf.DUMMYFUNCTION("""COMPUTED_VALUE"""),"Jeison Rubiano")</f>
        <v>Jeison Rubiano</v>
      </c>
      <c r="C4169" s="15" t="str">
        <f>IFERROR(__xludf.DUMMYFUNCTION("""COMPUTED_VALUE"""),"BOGOTÁ")</f>
        <v>BOGOTÁ</v>
      </c>
      <c r="D4169" s="15" t="str">
        <f>IFERROR(__xludf.DUMMYFUNCTION("""COMPUTED_VALUE"""),"MEDELLÍN")</f>
        <v>MEDELLÍN</v>
      </c>
      <c r="E4169" s="15" t="str">
        <f>IFERROR(__xludf.DUMMYFUNCTION("""COMPUTED_VALUE"""),"Baby Chef")</f>
        <v>Baby Chef</v>
      </c>
      <c r="F4169" s="17" t="str">
        <f>IFERROR(__xludf.DUMMYFUNCTION("""COMPUTED_VALUE"""),"Carrera 43#24A-05 Apto 401 edif. Portal de quinta paredes / Carrera 43#24A-05 Apto 401 edif. Portal de quinta paredes / Carrera 43#24A-05 Apto 401 edif. Portal de quinta paredes")</f>
        <v>Carrera 43#24A-05 Apto 401 edif. Portal de quinta paredes / Carrera 43#24A-05 Apto 401 edif. Portal de quinta paredes / Carrera 43#24A-05 Apto 401 edif. Portal de quinta paredes</v>
      </c>
      <c r="G4169" s="15" t="str">
        <f>IFERROR(__xludf.DUMMYFUNCTION("""COMPUTED_VALUE"""),"Sandra Caliman")</f>
        <v>Sandra Caliman</v>
      </c>
      <c r="H4169" s="16">
        <f>IFERROR(__xludf.DUMMYFUNCTION("""COMPUTED_VALUE"""),12736.0)</f>
        <v>12736</v>
      </c>
      <c r="I4169" s="18">
        <f>IFERROR(__xludf.DUMMYFUNCTION("""COMPUTED_VALUE"""),8.0)</f>
        <v>8</v>
      </c>
      <c r="J4169" s="18">
        <f>IFERROR(__xludf.DUMMYFUNCTION("""COMPUTED_VALUE"""),16.0)</f>
        <v>16</v>
      </c>
      <c r="K4169" s="18">
        <f>IFERROR(__xludf.DUMMYFUNCTION("""COMPUTED_VALUE"""),20.0)</f>
        <v>20</v>
      </c>
      <c r="L4169" s="17">
        <f>IFERROR(__xludf.DUMMYFUNCTION("""COMPUTED_VALUE"""),3.132833408E9)</f>
        <v>3132833408</v>
      </c>
      <c r="M4169" s="17" t="str">
        <f>IFERROR(__xludf.DUMMYFUNCTION("""COMPUTED_VALUE"""),"#REF!")</f>
        <v>#REF!</v>
      </c>
      <c r="N4169" s="17"/>
      <c r="O4169" s="17"/>
      <c r="P4169" s="17" t="b">
        <f>IFERROR(__xludf.DUMMYFUNCTION("""COMPUTED_VALUE"""),FALSE)</f>
        <v>0</v>
      </c>
      <c r="Q4169" s="20" t="str">
        <f>IFERROR(__xludf.DUMMYFUNCTION("""COMPUTED_VALUE"""),"")</f>
        <v/>
      </c>
      <c r="R4169" s="21" t="str">
        <f>IFERROR(__xludf.DUMMYFUNCTION("""COMPUTED_VALUE"""),"https://drive.google.com/file/d/1unmy6198Qcsc35T_Z6Y7Y_FNz4p5YRSh/view?usp=drivesdk")</f>
        <v>https://drive.google.com/file/d/1unmy6198Qcsc35T_Z6Y7Y_FNz4p5YRSh/view?usp=drivesdk</v>
      </c>
    </row>
    <row r="4170">
      <c r="A4170" s="15">
        <f>IFERROR(__xludf.DUMMYFUNCTION("""COMPUTED_VALUE"""),45121.0)</f>
        <v>45121</v>
      </c>
      <c r="B4170" s="16" t="str">
        <f>IFERROR(__xludf.DUMMYFUNCTION("""COMPUTED_VALUE"""),"Jeison Rubiano")</f>
        <v>Jeison Rubiano</v>
      </c>
      <c r="C4170" s="15" t="str">
        <f>IFERROR(__xludf.DUMMYFUNCTION("""COMPUTED_VALUE"""),"BOGOTÁ")</f>
        <v>BOGOTÁ</v>
      </c>
      <c r="D4170" s="15" t="str">
        <f>IFERROR(__xludf.DUMMYFUNCTION("""COMPUTED_VALUE"""),"MEDELLÍN")</f>
        <v>MEDELLÍN</v>
      </c>
      <c r="E4170" s="15" t="str">
        <f>IFERROR(__xludf.DUMMYFUNCTION("""COMPUTED_VALUE"""),"Baby Chef")</f>
        <v>Baby Chef</v>
      </c>
      <c r="F4170" s="17" t="str">
        <f>IFERROR(__xludf.DUMMYFUNCTION("""COMPUTED_VALUE"""),"Carrera 7D #151-24 apto 301 Barrio Cedro Golf localidad Usaquen / Carrera 7D #151-24 apto 301 Barrio Cedro Golf localidad Usaquen / Carrera 7D #151-24 apto 301 Barrio Cedro Golf localidad Usaquen")</f>
        <v>Carrera 7D #151-24 apto 301 Barrio Cedro Golf localidad Usaquen / Carrera 7D #151-24 apto 301 Barrio Cedro Golf localidad Usaquen / Carrera 7D #151-24 apto 301 Barrio Cedro Golf localidad Usaquen</v>
      </c>
      <c r="G4170" s="15" t="str">
        <f>IFERROR(__xludf.DUMMYFUNCTION("""COMPUTED_VALUE"""),"Yuliana Diaz")</f>
        <v>Yuliana Diaz</v>
      </c>
      <c r="H4170" s="16">
        <f>IFERROR(__xludf.DUMMYFUNCTION("""COMPUTED_VALUE"""),12734.0)</f>
        <v>12734</v>
      </c>
      <c r="I4170" s="18">
        <f>IFERROR(__xludf.DUMMYFUNCTION("""COMPUTED_VALUE"""),8.0)</f>
        <v>8</v>
      </c>
      <c r="J4170" s="18">
        <f>IFERROR(__xludf.DUMMYFUNCTION("""COMPUTED_VALUE"""),16.0)</f>
        <v>16</v>
      </c>
      <c r="K4170" s="18">
        <f>IFERROR(__xludf.DUMMYFUNCTION("""COMPUTED_VALUE"""),20.0)</f>
        <v>20</v>
      </c>
      <c r="L4170" s="17">
        <f>IFERROR(__xludf.DUMMYFUNCTION("""COMPUTED_VALUE"""),3.202313743E9)</f>
        <v>3202313743</v>
      </c>
      <c r="M4170" s="17" t="str">
        <f>IFERROR(__xludf.DUMMYFUNCTION("""COMPUTED_VALUE"""),"#REF!")</f>
        <v>#REF!</v>
      </c>
      <c r="N4170" s="17"/>
      <c r="O4170" s="17"/>
      <c r="P4170" s="17" t="b">
        <f>IFERROR(__xludf.DUMMYFUNCTION("""COMPUTED_VALUE"""),FALSE)</f>
        <v>0</v>
      </c>
      <c r="Q4170" s="20" t="str">
        <f>IFERROR(__xludf.DUMMYFUNCTION("""COMPUTED_VALUE"""),"")</f>
        <v/>
      </c>
      <c r="R4170" s="21" t="str">
        <f>IFERROR(__xludf.DUMMYFUNCTION("""COMPUTED_VALUE"""),"https://drive.google.com/file/d/1IApZswhFrbZQCSbd_eh2WaAgiERXMC-D/view?usp=drivesdk")</f>
        <v>https://drive.google.com/file/d/1IApZswhFrbZQCSbd_eh2WaAgiERXMC-D/view?usp=drivesdk</v>
      </c>
    </row>
    <row r="4171">
      <c r="A4171" s="15">
        <f>IFERROR(__xludf.DUMMYFUNCTION("""COMPUTED_VALUE"""),45121.0)</f>
        <v>45121</v>
      </c>
      <c r="B4171" s="16" t="str">
        <f>IFERROR(__xludf.DUMMYFUNCTION("""COMPUTED_VALUE"""),"Jeison Rubiano")</f>
        <v>Jeison Rubiano</v>
      </c>
      <c r="C4171" s="15" t="str">
        <f>IFERROR(__xludf.DUMMYFUNCTION("""COMPUTED_VALUE"""),"BOGOTÁ")</f>
        <v>BOGOTÁ</v>
      </c>
      <c r="D4171" s="15" t="str">
        <f>IFERROR(__xludf.DUMMYFUNCTION("""COMPUTED_VALUE"""),"MEDELLÍN")</f>
        <v>MEDELLÍN</v>
      </c>
      <c r="E4171" s="15" t="str">
        <f>IFERROR(__xludf.DUMMYFUNCTION("""COMPUTED_VALUE"""),"Moloso S.A.S")</f>
        <v>Moloso S.A.S</v>
      </c>
      <c r="F4171" s="17" t="str">
        <f>IFERROR(__xludf.DUMMYFUNCTION("""COMPUTED_VALUE"""),"CLL 118 16 32 / APT 502")</f>
        <v>CLL 118 16 32 / APT 502</v>
      </c>
      <c r="G4171" s="15" t="str">
        <f>IFERROR(__xludf.DUMMYFUNCTION("""COMPUTED_VALUE"""),"ANGELICA MANCILLA")</f>
        <v>ANGELICA MANCILLA</v>
      </c>
      <c r="H4171" s="16">
        <f>IFERROR(__xludf.DUMMYFUNCTION("""COMPUTED_VALUE"""),12743.0)</f>
        <v>12743</v>
      </c>
      <c r="I4171" s="18">
        <f>IFERROR(__xludf.DUMMYFUNCTION("""COMPUTED_VALUE"""),17.0)</f>
        <v>17</v>
      </c>
      <c r="J4171" s="18">
        <f>IFERROR(__xludf.DUMMYFUNCTION("""COMPUTED_VALUE"""),15.0)</f>
        <v>15</v>
      </c>
      <c r="K4171" s="18">
        <f>IFERROR(__xludf.DUMMYFUNCTION("""COMPUTED_VALUE"""),28.0)</f>
        <v>28</v>
      </c>
      <c r="L4171" s="17">
        <f>IFERROR(__xludf.DUMMYFUNCTION("""COMPUTED_VALUE"""),3.174401028E9)</f>
        <v>3174401028</v>
      </c>
      <c r="M4171" s="17" t="str">
        <f>IFERROR(__xludf.DUMMYFUNCTION("""COMPUTED_VALUE"""),"#REF!")</f>
        <v>#REF!</v>
      </c>
      <c r="N4171" s="17"/>
      <c r="O4171" s="17"/>
      <c r="P4171" s="17" t="b">
        <f>IFERROR(__xludf.DUMMYFUNCTION("""COMPUTED_VALUE"""),FALSE)</f>
        <v>0</v>
      </c>
      <c r="Q4171" s="20" t="str">
        <f>IFERROR(__xludf.DUMMYFUNCTION("""COMPUTED_VALUE"""),"")</f>
        <v/>
      </c>
      <c r="R4171" s="21" t="str">
        <f>IFERROR(__xludf.DUMMYFUNCTION("""COMPUTED_VALUE"""),"https://drive.google.com/file/d/1-r_IzAEJ8eqDVPiJgTJ33_naaYJBCfRU/view?usp=drivesdk")</f>
        <v>https://drive.google.com/file/d/1-r_IzAEJ8eqDVPiJgTJ33_naaYJBCfRU/view?usp=drivesdk</v>
      </c>
    </row>
    <row r="4172">
      <c r="A4172" s="15">
        <f>IFERROR(__xludf.DUMMYFUNCTION("""COMPUTED_VALUE"""),45121.0)</f>
        <v>45121</v>
      </c>
      <c r="B4172" s="16" t="str">
        <f>IFERROR(__xludf.DUMMYFUNCTION("""COMPUTED_VALUE"""),"Jeison Rubiano")</f>
        <v>Jeison Rubiano</v>
      </c>
      <c r="C4172" s="15" t="str">
        <f>IFERROR(__xludf.DUMMYFUNCTION("""COMPUTED_VALUE"""),"BOGOTÁ")</f>
        <v>BOGOTÁ</v>
      </c>
      <c r="D4172" s="15" t="str">
        <f>IFERROR(__xludf.DUMMYFUNCTION("""COMPUTED_VALUE"""),"MEDELLÍN")</f>
        <v>MEDELLÍN</v>
      </c>
      <c r="E4172" s="15" t="str">
        <f>IFERROR(__xludf.DUMMYFUNCTION("""COMPUTED_VALUE"""),"Moloso S.A.S")</f>
        <v>Moloso S.A.S</v>
      </c>
      <c r="F4172" s="17" t="str">
        <f>IFERROR(__xludf.DUMMYFUNCTION("""COMPUTED_VALUE"""),"CR 11 BIS 124 66 / ED BUGANVILLA TO 5 AP 702")</f>
        <v>CR 11 BIS 124 66 / ED BUGANVILLA TO 5 AP 702</v>
      </c>
      <c r="G4172" s="15" t="str">
        <f>IFERROR(__xludf.DUMMYFUNCTION("""COMPUTED_VALUE"""),"LINA MARIA BARRERA PRIETO")</f>
        <v>LINA MARIA BARRERA PRIETO</v>
      </c>
      <c r="H4172" s="16">
        <f>IFERROR(__xludf.DUMMYFUNCTION("""COMPUTED_VALUE"""),12744.0)</f>
        <v>12744</v>
      </c>
      <c r="I4172" s="18">
        <f>IFERROR(__xludf.DUMMYFUNCTION("""COMPUTED_VALUE"""),17.0)</f>
        <v>17</v>
      </c>
      <c r="J4172" s="18">
        <f>IFERROR(__xludf.DUMMYFUNCTION("""COMPUTED_VALUE"""),15.0)</f>
        <v>15</v>
      </c>
      <c r="K4172" s="18">
        <f>IFERROR(__xludf.DUMMYFUNCTION("""COMPUTED_VALUE"""),28.0)</f>
        <v>28</v>
      </c>
      <c r="L4172" s="17" t="str">
        <f>IFERROR(__xludf.DUMMYFUNCTION("""COMPUTED_VALUE"""),"312 3733706")</f>
        <v>312 3733706</v>
      </c>
      <c r="M4172" s="17" t="str">
        <f>IFERROR(__xludf.DUMMYFUNCTION("""COMPUTED_VALUE"""),"#REF!")</f>
        <v>#REF!</v>
      </c>
      <c r="N4172" s="17"/>
      <c r="O4172" s="17"/>
      <c r="P4172" s="17" t="b">
        <f>IFERROR(__xludf.DUMMYFUNCTION("""COMPUTED_VALUE"""),FALSE)</f>
        <v>0</v>
      </c>
      <c r="Q4172" s="20" t="str">
        <f>IFERROR(__xludf.DUMMYFUNCTION("""COMPUTED_VALUE"""),"")</f>
        <v/>
      </c>
      <c r="R4172" s="21" t="str">
        <f>IFERROR(__xludf.DUMMYFUNCTION("""COMPUTED_VALUE"""),"https://drive.google.com/file/d/1HdQjKNdIlBgDKrSz_jSFav1ZLvwTZcyQ/view?usp=drivesdk")</f>
        <v>https://drive.google.com/file/d/1HdQjKNdIlBgDKrSz_jSFav1ZLvwTZcyQ/view?usp=drivesdk</v>
      </c>
    </row>
    <row r="4173">
      <c r="A4173" s="15">
        <f>IFERROR(__xludf.DUMMYFUNCTION("""COMPUTED_VALUE"""),45121.0)</f>
        <v>45121</v>
      </c>
      <c r="B4173" s="16" t="str">
        <f>IFERROR(__xludf.DUMMYFUNCTION("""COMPUTED_VALUE"""),"Jeison Rubiano")</f>
        <v>Jeison Rubiano</v>
      </c>
      <c r="C4173" s="15" t="str">
        <f>IFERROR(__xludf.DUMMYFUNCTION("""COMPUTED_VALUE"""),"BOGOTÁ")</f>
        <v>BOGOTÁ</v>
      </c>
      <c r="D4173" s="15" t="str">
        <f>IFERROR(__xludf.DUMMYFUNCTION("""COMPUTED_VALUE"""),"MEDELLÍN")</f>
        <v>MEDELLÍN</v>
      </c>
      <c r="E4173" s="15" t="str">
        <f>IFERROR(__xludf.DUMMYFUNCTION("""COMPUTED_VALUE"""),"Moloso S.A.S")</f>
        <v>Moloso S.A.S</v>
      </c>
      <c r="F4173" s="17" t="str">
        <f>IFERROR(__xludf.DUMMYFUNCTION("""COMPUTED_VALUE"""),"CR 23 106 B 64 / EDF MYSTIQUE 106")</f>
        <v>CR 23 106 B 64 / EDF MYSTIQUE 106</v>
      </c>
      <c r="G4173" s="15" t="str">
        <f>IFERROR(__xludf.DUMMYFUNCTION("""COMPUTED_VALUE"""),"MARIANA OSPINA")</f>
        <v>MARIANA OSPINA</v>
      </c>
      <c r="H4173" s="16">
        <f>IFERROR(__xludf.DUMMYFUNCTION("""COMPUTED_VALUE"""),12742.0)</f>
        <v>12742</v>
      </c>
      <c r="I4173" s="18">
        <f>IFERROR(__xludf.DUMMYFUNCTION("""COMPUTED_VALUE"""),17.0)</f>
        <v>17</v>
      </c>
      <c r="J4173" s="18">
        <f>IFERROR(__xludf.DUMMYFUNCTION("""COMPUTED_VALUE"""),15.0)</f>
        <v>15</v>
      </c>
      <c r="K4173" s="18">
        <f>IFERROR(__xludf.DUMMYFUNCTION("""COMPUTED_VALUE"""),28.0)</f>
        <v>28</v>
      </c>
      <c r="L4173" s="17">
        <f>IFERROR(__xludf.DUMMYFUNCTION("""COMPUTED_VALUE"""),3.017656611E9)</f>
        <v>3017656611</v>
      </c>
      <c r="M4173" s="17" t="str">
        <f>IFERROR(__xludf.DUMMYFUNCTION("""COMPUTED_VALUE"""),"#REF!")</f>
        <v>#REF!</v>
      </c>
      <c r="N4173" s="17"/>
      <c r="O4173" s="17"/>
      <c r="P4173" s="17" t="b">
        <f>IFERROR(__xludf.DUMMYFUNCTION("""COMPUTED_VALUE"""),FALSE)</f>
        <v>0</v>
      </c>
      <c r="Q4173" s="20" t="str">
        <f>IFERROR(__xludf.DUMMYFUNCTION("""COMPUTED_VALUE"""),"")</f>
        <v/>
      </c>
      <c r="R4173" s="21" t="str">
        <f>IFERROR(__xludf.DUMMYFUNCTION("""COMPUTED_VALUE"""),"https://drive.google.com/file/d/1VB_ko5beLjftxKj9oh7QBr0FO4JYByaH/view?usp=drivesdk")</f>
        <v>https://drive.google.com/file/d/1VB_ko5beLjftxKj9oh7QBr0FO4JYByaH/view?usp=drivesdk</v>
      </c>
    </row>
    <row r="4174">
      <c r="A4174" s="15">
        <f>IFERROR(__xludf.DUMMYFUNCTION("""COMPUTED_VALUE"""),45121.0)</f>
        <v>45121</v>
      </c>
      <c r="B4174" s="16" t="str">
        <f>IFERROR(__xludf.DUMMYFUNCTION("""COMPUTED_VALUE"""),"Jeison Rubiano")</f>
        <v>Jeison Rubiano</v>
      </c>
      <c r="C4174" s="15" t="str">
        <f>IFERROR(__xludf.DUMMYFUNCTION("""COMPUTED_VALUE"""),"BOGOTÁ")</f>
        <v>BOGOTÁ</v>
      </c>
      <c r="D4174" s="15" t="str">
        <f>IFERROR(__xludf.DUMMYFUNCTION("""COMPUTED_VALUE"""),"MEDELLÍN")</f>
        <v>MEDELLÍN</v>
      </c>
      <c r="E4174" s="15" t="str">
        <f>IFERROR(__xludf.DUMMYFUNCTION("""COMPUTED_VALUE"""),"Moloso S.A.S")</f>
        <v>Moloso S.A.S</v>
      </c>
      <c r="F4174" s="17" t="str">
        <f>IFERROR(__xludf.DUMMYFUNCTION("""COMPUTED_VALUE"""),"CRA 55 149 09 / CONJUNTO MONTECARLO 3 CASA 16")</f>
        <v>CRA 55 149 09 / CONJUNTO MONTECARLO 3 CASA 16</v>
      </c>
      <c r="G4174" s="15" t="str">
        <f>IFERROR(__xludf.DUMMYFUNCTION("""COMPUTED_VALUE"""),"CLAUDIA ADRIANA GARCIA FINO")</f>
        <v>CLAUDIA ADRIANA GARCIA FINO</v>
      </c>
      <c r="H4174" s="16">
        <f>IFERROR(__xludf.DUMMYFUNCTION("""COMPUTED_VALUE"""),12741.0)</f>
        <v>12741</v>
      </c>
      <c r="I4174" s="18">
        <f>IFERROR(__xludf.DUMMYFUNCTION("""COMPUTED_VALUE"""),17.0)</f>
        <v>17</v>
      </c>
      <c r="J4174" s="18">
        <f>IFERROR(__xludf.DUMMYFUNCTION("""COMPUTED_VALUE"""),15.0)</f>
        <v>15</v>
      </c>
      <c r="K4174" s="18">
        <f>IFERROR(__xludf.DUMMYFUNCTION("""COMPUTED_VALUE"""),28.0)</f>
        <v>28</v>
      </c>
      <c r="L4174" s="17" t="str">
        <f>IFERROR(__xludf.DUMMYFUNCTION("""COMPUTED_VALUE"""),"313 2628813")</f>
        <v>313 2628813</v>
      </c>
      <c r="M4174" s="17" t="str">
        <f>IFERROR(__xludf.DUMMYFUNCTION("""COMPUTED_VALUE"""),"#REF!")</f>
        <v>#REF!</v>
      </c>
      <c r="N4174" s="17"/>
      <c r="O4174" s="17"/>
      <c r="P4174" s="17" t="b">
        <f>IFERROR(__xludf.DUMMYFUNCTION("""COMPUTED_VALUE"""),FALSE)</f>
        <v>0</v>
      </c>
      <c r="Q4174" s="20" t="str">
        <f>IFERROR(__xludf.DUMMYFUNCTION("""COMPUTED_VALUE"""),"")</f>
        <v/>
      </c>
      <c r="R4174" s="21" t="str">
        <f>IFERROR(__xludf.DUMMYFUNCTION("""COMPUTED_VALUE"""),"https://drive.google.com/file/d/1Qbuc-_uqONDCFbiWHWh9ycLm938ypsbs/view?usp=drivesdk")</f>
        <v>https://drive.google.com/file/d/1Qbuc-_uqONDCFbiWHWh9ycLm938ypsbs/view?usp=drivesdk</v>
      </c>
    </row>
    <row r="4175">
      <c r="A4175" s="15">
        <f>IFERROR(__xludf.DUMMYFUNCTION("""COMPUTED_VALUE"""),45121.0)</f>
        <v>45121</v>
      </c>
      <c r="B4175" s="16" t="str">
        <f>IFERROR(__xludf.DUMMYFUNCTION("""COMPUTED_VALUE"""),"Jeison Rubiano")</f>
        <v>Jeison Rubiano</v>
      </c>
      <c r="C4175" s="15" t="str">
        <f>IFERROR(__xludf.DUMMYFUNCTION("""COMPUTED_VALUE"""),"BOGOTÁ")</f>
        <v>BOGOTÁ</v>
      </c>
      <c r="D4175" s="15" t="str">
        <f>IFERROR(__xludf.DUMMYFUNCTION("""COMPUTED_VALUE"""),"MEDELLÍN")</f>
        <v>MEDELLÍN</v>
      </c>
      <c r="E4175" s="15" t="str">
        <f>IFERROR(__xludf.DUMMYFUNCTION("""COMPUTED_VALUE"""),"Rambla")</f>
        <v>Rambla</v>
      </c>
      <c r="F4175" s="17" t="str">
        <f>IFERROR(__xludf.DUMMYFUNCTION("""COMPUTED_VALUE"""),"AVENIDA CARRERA 9  #113-52 LOCAL 306 / NA / NA")</f>
        <v>AVENIDA CARRERA 9  #113-52 LOCAL 306 / NA / NA</v>
      </c>
      <c r="G4175" s="15" t="str">
        <f>IFERROR(__xludf.DUMMYFUNCTION("""COMPUTED_VALUE"""),"FRESCHO")</f>
        <v>FRESCHO</v>
      </c>
      <c r="H4175" s="16">
        <f>IFERROR(__xludf.DUMMYFUNCTION("""COMPUTED_VALUE"""),12746.0)</f>
        <v>12746</v>
      </c>
      <c r="I4175" s="18">
        <f>IFERROR(__xludf.DUMMYFUNCTION("""COMPUTED_VALUE"""),45.0)</f>
        <v>45</v>
      </c>
      <c r="J4175" s="18">
        <f>IFERROR(__xludf.DUMMYFUNCTION("""COMPUTED_VALUE"""),45.0)</f>
        <v>45</v>
      </c>
      <c r="K4175" s="18">
        <f>IFERROR(__xludf.DUMMYFUNCTION("""COMPUTED_VALUE"""),45.0)</f>
        <v>45</v>
      </c>
      <c r="L4175" s="17">
        <f>IFERROR(__xludf.DUMMYFUNCTION("""COMPUTED_VALUE"""),3.136299043E9)</f>
        <v>3136299043</v>
      </c>
      <c r="M4175" s="17" t="str">
        <f>IFERROR(__xludf.DUMMYFUNCTION("""COMPUTED_VALUE"""),"#REF!")</f>
        <v>#REF!</v>
      </c>
      <c r="N4175" s="17"/>
      <c r="O4175" s="17"/>
      <c r="P4175" s="17" t="b">
        <f>IFERROR(__xludf.DUMMYFUNCTION("""COMPUTED_VALUE"""),FALSE)</f>
        <v>0</v>
      </c>
      <c r="Q4175" s="20" t="str">
        <f>IFERROR(__xludf.DUMMYFUNCTION("""COMPUTED_VALUE"""),"")</f>
        <v/>
      </c>
      <c r="R4175" s="21" t="str">
        <f>IFERROR(__xludf.DUMMYFUNCTION("""COMPUTED_VALUE"""),"https://drive.google.com/file/d/1_hR9Rs9qAqwaxFrgsIblBgiHos3QnoFi/view?usp=drivesdk")</f>
        <v>https://drive.google.com/file/d/1_hR9Rs9qAqwaxFrgsIblBgiHos3QnoFi/view?usp=drivesdk</v>
      </c>
    </row>
    <row r="4176">
      <c r="A4176" s="15">
        <f>IFERROR(__xludf.DUMMYFUNCTION("""COMPUTED_VALUE"""),45121.0)</f>
        <v>45121</v>
      </c>
      <c r="B4176" s="16" t="str">
        <f>IFERROR(__xludf.DUMMYFUNCTION("""COMPUTED_VALUE"""),"Jeison Rubiano")</f>
        <v>Jeison Rubiano</v>
      </c>
      <c r="C4176" s="15" t="str">
        <f>IFERROR(__xludf.DUMMYFUNCTION("""COMPUTED_VALUE"""),"BOGOTÁ")</f>
        <v>BOGOTÁ</v>
      </c>
      <c r="D4176" s="15" t="str">
        <f>IFERROR(__xludf.DUMMYFUNCTION("""COMPUTED_VALUE"""),"MEDELLÍN")</f>
        <v>MEDELLÍN</v>
      </c>
      <c r="E4176" s="15" t="str">
        <f>IFERROR(__xludf.DUMMYFUNCTION("""COMPUTED_VALUE"""),"Rambla")</f>
        <v>Rambla</v>
      </c>
      <c r="F4176" s="17" t="str">
        <f>IFERROR(__xludf.DUMMYFUNCTION("""COMPUTED_VALUE"""),"CALLE 20 SUR N 12B -26  / APTO 402 / NA")</f>
        <v>CALLE 20 SUR N 12B -26  / APTO 402 / NA</v>
      </c>
      <c r="G4176" s="15" t="str">
        <f>IFERROR(__xludf.DUMMYFUNCTION("""COMPUTED_VALUE"""),"ELISA JOYA")</f>
        <v>ELISA JOYA</v>
      </c>
      <c r="H4176" s="16">
        <f>IFERROR(__xludf.DUMMYFUNCTION("""COMPUTED_VALUE"""),12752.0)</f>
        <v>12752</v>
      </c>
      <c r="I4176" s="18">
        <f>IFERROR(__xludf.DUMMYFUNCTION("""COMPUTED_VALUE"""),20.0)</f>
        <v>20</v>
      </c>
      <c r="J4176" s="18">
        <f>IFERROR(__xludf.DUMMYFUNCTION("""COMPUTED_VALUE"""),20.0)</f>
        <v>20</v>
      </c>
      <c r="K4176" s="18">
        <f>IFERROR(__xludf.DUMMYFUNCTION("""COMPUTED_VALUE"""),20.0)</f>
        <v>20</v>
      </c>
      <c r="L4176" s="17">
        <f>IFERROR(__xludf.DUMMYFUNCTION("""COMPUTED_VALUE"""),3.115842241E9)</f>
        <v>3115842241</v>
      </c>
      <c r="M4176" s="17" t="str">
        <f>IFERROR(__xludf.DUMMYFUNCTION("""COMPUTED_VALUE"""),"#REF!")</f>
        <v>#REF!</v>
      </c>
      <c r="N4176" s="17"/>
      <c r="O4176" s="17"/>
      <c r="P4176" s="17" t="b">
        <f>IFERROR(__xludf.DUMMYFUNCTION("""COMPUTED_VALUE"""),FALSE)</f>
        <v>0</v>
      </c>
      <c r="Q4176" s="20" t="str">
        <f>IFERROR(__xludf.DUMMYFUNCTION("""COMPUTED_VALUE"""),"")</f>
        <v/>
      </c>
      <c r="R4176" s="21" t="str">
        <f>IFERROR(__xludf.DUMMYFUNCTION("""COMPUTED_VALUE"""),"https://drive.google.com/file/d/1UN48YD50ZA6EgxJQK2PpL9eiMFS58gKG/view?usp=drivesdk")</f>
        <v>https://drive.google.com/file/d/1UN48YD50ZA6EgxJQK2PpL9eiMFS58gKG/view?usp=drivesdk</v>
      </c>
    </row>
    <row r="4177">
      <c r="A4177" s="15">
        <f>IFERROR(__xludf.DUMMYFUNCTION("""COMPUTED_VALUE"""),45121.0)</f>
        <v>45121</v>
      </c>
      <c r="B4177" s="16" t="str">
        <f>IFERROR(__xludf.DUMMYFUNCTION("""COMPUTED_VALUE"""),"Jeison Rubiano")</f>
        <v>Jeison Rubiano</v>
      </c>
      <c r="C4177" s="15" t="str">
        <f>IFERROR(__xludf.DUMMYFUNCTION("""COMPUTED_VALUE"""),"BOGOTÁ")</f>
        <v>BOGOTÁ</v>
      </c>
      <c r="D4177" s="15" t="str">
        <f>IFERROR(__xludf.DUMMYFUNCTION("""COMPUTED_VALUE"""),"MEDELLÍN")</f>
        <v>MEDELLÍN</v>
      </c>
      <c r="E4177" s="15" t="str">
        <f>IFERROR(__xludf.DUMMYFUNCTION("""COMPUTED_VALUE"""),"Rambla")</f>
        <v>Rambla</v>
      </c>
      <c r="F4177" s="17" t="str">
        <f>IFERROR(__xludf.DUMMYFUNCTION("""COMPUTED_VALUE"""),"CALLE 24 #80B -82 MODELIA / NA / NA")</f>
        <v>CALLE 24 #80B -82 MODELIA / NA / NA</v>
      </c>
      <c r="G4177" s="15" t="str">
        <f>IFERROR(__xludf.DUMMYFUNCTION("""COMPUTED_VALUE"""),"ORIEGENES")</f>
        <v>ORIEGENES</v>
      </c>
      <c r="H4177" s="16">
        <f>IFERROR(__xludf.DUMMYFUNCTION("""COMPUTED_VALUE"""),12747.0)</f>
        <v>12747</v>
      </c>
      <c r="I4177" s="18">
        <f>IFERROR(__xludf.DUMMYFUNCTION("""COMPUTED_VALUE"""),45.0)</f>
        <v>45</v>
      </c>
      <c r="J4177" s="18">
        <f>IFERROR(__xludf.DUMMYFUNCTION("""COMPUTED_VALUE"""),45.0)</f>
        <v>45</v>
      </c>
      <c r="K4177" s="18">
        <f>IFERROR(__xludf.DUMMYFUNCTION("""COMPUTED_VALUE"""),45.0)</f>
        <v>45</v>
      </c>
      <c r="L4177" s="17">
        <f>IFERROR(__xludf.DUMMYFUNCTION("""COMPUTED_VALUE"""),3.136299043E9)</f>
        <v>3136299043</v>
      </c>
      <c r="M4177" s="17" t="str">
        <f>IFERROR(__xludf.DUMMYFUNCTION("""COMPUTED_VALUE"""),"#REF!")</f>
        <v>#REF!</v>
      </c>
      <c r="N4177" s="17"/>
      <c r="O4177" s="17"/>
      <c r="P4177" s="17" t="b">
        <f>IFERROR(__xludf.DUMMYFUNCTION("""COMPUTED_VALUE"""),FALSE)</f>
        <v>0</v>
      </c>
      <c r="Q4177" s="20" t="str">
        <f>IFERROR(__xludf.DUMMYFUNCTION("""COMPUTED_VALUE"""),"")</f>
        <v/>
      </c>
      <c r="R4177" s="21" t="str">
        <f>IFERROR(__xludf.DUMMYFUNCTION("""COMPUTED_VALUE"""),"https://drive.google.com/file/d/1I1G6YiBKvdR4V9v1YFQaFSLNaubD_rD_/view?usp=drivesdk")</f>
        <v>https://drive.google.com/file/d/1I1G6YiBKvdR4V9v1YFQaFSLNaubD_rD_/view?usp=drivesdk</v>
      </c>
    </row>
    <row r="4178">
      <c r="A4178" s="15">
        <f>IFERROR(__xludf.DUMMYFUNCTION("""COMPUTED_VALUE"""),45121.0)</f>
        <v>45121</v>
      </c>
      <c r="B4178" s="16" t="str">
        <f>IFERROR(__xludf.DUMMYFUNCTION("""COMPUTED_VALUE"""),"Jeison Rubiano")</f>
        <v>Jeison Rubiano</v>
      </c>
      <c r="C4178" s="15" t="str">
        <f>IFERROR(__xludf.DUMMYFUNCTION("""COMPUTED_VALUE"""),"BOGOTÁ")</f>
        <v>BOGOTÁ</v>
      </c>
      <c r="D4178" s="15" t="str">
        <f>IFERROR(__xludf.DUMMYFUNCTION("""COMPUTED_VALUE"""),"MEDELLÍN")</f>
        <v>MEDELLÍN</v>
      </c>
      <c r="E4178" s="15" t="str">
        <f>IFERROR(__xludf.DUMMYFUNCTION("""COMPUTED_VALUE"""),"Rambla")</f>
        <v>Rambla</v>
      </c>
      <c r="F4178" s="17" t="str">
        <f>IFERROR(__xludf.DUMMYFUNCTION("""COMPUTED_VALUE"""),"CALLE 41A N 8-25 BULEVAR 42APTO 707B / NA / NA")</f>
        <v>CALLE 41A N 8-25 BULEVAR 42APTO 707B / NA / NA</v>
      </c>
      <c r="G4178" s="15" t="str">
        <f>IFERROR(__xludf.DUMMYFUNCTION("""COMPUTED_VALUE"""),"NUTRI CLIC")</f>
        <v>NUTRI CLIC</v>
      </c>
      <c r="H4178" s="16">
        <f>IFERROR(__xludf.DUMMYFUNCTION("""COMPUTED_VALUE"""),12757.0)</f>
        <v>12757</v>
      </c>
      <c r="I4178" s="18">
        <f>IFERROR(__xludf.DUMMYFUNCTION("""COMPUTED_VALUE"""),20.0)</f>
        <v>20</v>
      </c>
      <c r="J4178" s="18">
        <f>IFERROR(__xludf.DUMMYFUNCTION("""COMPUTED_VALUE"""),20.0)</f>
        <v>20</v>
      </c>
      <c r="K4178" s="18">
        <f>IFERROR(__xludf.DUMMYFUNCTION("""COMPUTED_VALUE"""),20.0)</f>
        <v>20</v>
      </c>
      <c r="L4178" s="17">
        <f>IFERROR(__xludf.DUMMYFUNCTION("""COMPUTED_VALUE"""),3.102661625E9)</f>
        <v>3102661625</v>
      </c>
      <c r="M4178" s="17" t="str">
        <f>IFERROR(__xludf.DUMMYFUNCTION("""COMPUTED_VALUE"""),"#REF!")</f>
        <v>#REF!</v>
      </c>
      <c r="N4178" s="17"/>
      <c r="O4178" s="17"/>
      <c r="P4178" s="17" t="b">
        <f>IFERROR(__xludf.DUMMYFUNCTION("""COMPUTED_VALUE"""),FALSE)</f>
        <v>0</v>
      </c>
      <c r="Q4178" s="20" t="str">
        <f>IFERROR(__xludf.DUMMYFUNCTION("""COMPUTED_VALUE"""),"")</f>
        <v/>
      </c>
      <c r="R4178" s="21" t="str">
        <f>IFERROR(__xludf.DUMMYFUNCTION("""COMPUTED_VALUE"""),"https://drive.google.com/file/d/1fSJe8FsfLmVnzjDl0DQO7gfWd8hxJfSR/view?usp=drivesdk")</f>
        <v>https://drive.google.com/file/d/1fSJe8FsfLmVnzjDl0DQO7gfWd8hxJfSR/view?usp=drivesdk</v>
      </c>
    </row>
    <row r="4179">
      <c r="A4179" s="15">
        <f>IFERROR(__xludf.DUMMYFUNCTION("""COMPUTED_VALUE"""),45121.0)</f>
        <v>45121</v>
      </c>
      <c r="B4179" s="16" t="str">
        <f>IFERROR(__xludf.DUMMYFUNCTION("""COMPUTED_VALUE"""),"Jeison Rubiano")</f>
        <v>Jeison Rubiano</v>
      </c>
      <c r="C4179" s="15" t="str">
        <f>IFERROR(__xludf.DUMMYFUNCTION("""COMPUTED_VALUE"""),"BOGOTÁ")</f>
        <v>BOGOTÁ</v>
      </c>
      <c r="D4179" s="15" t="str">
        <f>IFERROR(__xludf.DUMMYFUNCTION("""COMPUTED_VALUE"""),"MEDELLÍN")</f>
        <v>MEDELLÍN</v>
      </c>
      <c r="E4179" s="15" t="str">
        <f>IFERROR(__xludf.DUMMYFUNCTION("""COMPUTED_VALUE"""),"Rambla")</f>
        <v>Rambla</v>
      </c>
      <c r="F4179" s="17" t="str">
        <f>IFERROR(__xludf.DUMMYFUNCTION("""COMPUTED_VALUE"""),"CALLE 77 N 9-20 / APTO 204 / NA")</f>
        <v>CALLE 77 N 9-20 / APTO 204 / NA</v>
      </c>
      <c r="G4179" s="15" t="str">
        <f>IFERROR(__xludf.DUMMYFUNCTION("""COMPUTED_VALUE"""),"CAROLINA LEON")</f>
        <v>CAROLINA LEON</v>
      </c>
      <c r="H4179" s="16">
        <f>IFERROR(__xludf.DUMMYFUNCTION("""COMPUTED_VALUE"""),12750.0)</f>
        <v>12750</v>
      </c>
      <c r="I4179" s="18">
        <f>IFERROR(__xludf.DUMMYFUNCTION("""COMPUTED_VALUE"""),20.0)</f>
        <v>20</v>
      </c>
      <c r="J4179" s="18">
        <f>IFERROR(__xludf.DUMMYFUNCTION("""COMPUTED_VALUE"""),20.0)</f>
        <v>20</v>
      </c>
      <c r="K4179" s="18">
        <f>IFERROR(__xludf.DUMMYFUNCTION("""COMPUTED_VALUE"""),20.0)</f>
        <v>20</v>
      </c>
      <c r="L4179" s="17">
        <f>IFERROR(__xludf.DUMMYFUNCTION("""COMPUTED_VALUE"""),3.164698482E9)</f>
        <v>3164698482</v>
      </c>
      <c r="M4179" s="17" t="str">
        <f>IFERROR(__xludf.DUMMYFUNCTION("""COMPUTED_VALUE"""),"#REF!")</f>
        <v>#REF!</v>
      </c>
      <c r="N4179" s="17"/>
      <c r="O4179" s="17"/>
      <c r="P4179" s="17" t="b">
        <f>IFERROR(__xludf.DUMMYFUNCTION("""COMPUTED_VALUE"""),FALSE)</f>
        <v>0</v>
      </c>
      <c r="Q4179" s="20" t="str">
        <f>IFERROR(__xludf.DUMMYFUNCTION("""COMPUTED_VALUE"""),"")</f>
        <v/>
      </c>
      <c r="R4179" s="21" t="str">
        <f>IFERROR(__xludf.DUMMYFUNCTION("""COMPUTED_VALUE"""),"https://drive.google.com/file/d/16YJOURV5sBaVwOQiwln0rbMMzcYBB6TL/view?usp=drivesdk")</f>
        <v>https://drive.google.com/file/d/16YJOURV5sBaVwOQiwln0rbMMzcYBB6TL/view?usp=drivesdk</v>
      </c>
    </row>
    <row r="4180">
      <c r="A4180" s="15">
        <f>IFERROR(__xludf.DUMMYFUNCTION("""COMPUTED_VALUE"""),45121.0)</f>
        <v>45121</v>
      </c>
      <c r="B4180" s="16" t="str">
        <f>IFERROR(__xludf.DUMMYFUNCTION("""COMPUTED_VALUE"""),"Jeison Rubiano")</f>
        <v>Jeison Rubiano</v>
      </c>
      <c r="C4180" s="15" t="str">
        <f>IFERROR(__xludf.DUMMYFUNCTION("""COMPUTED_VALUE"""),"BOGOTÁ")</f>
        <v>BOGOTÁ</v>
      </c>
      <c r="D4180" s="15" t="str">
        <f>IFERROR(__xludf.DUMMYFUNCTION("""COMPUTED_VALUE"""),"MEDELLÍN")</f>
        <v>MEDELLÍN</v>
      </c>
      <c r="E4180" s="15" t="str">
        <f>IFERROR(__xludf.DUMMYFUNCTION("""COMPUTED_VALUE"""),"Rambla")</f>
        <v>Rambla</v>
      </c>
      <c r="F4180" s="17" t="str">
        <f>IFERROR(__xludf.DUMMYFUNCTION("""COMPUTED_VALUE"""),"CALLE 93A #11-46 / BARRIO CHICO / NA")</f>
        <v>CALLE 93A #11-46 / BARRIO CHICO / NA</v>
      </c>
      <c r="G4180" s="15" t="str">
        <f>IFERROR(__xludf.DUMMYFUNCTION("""COMPUTED_VALUE"""),"FIT HUB")</f>
        <v>FIT HUB</v>
      </c>
      <c r="H4180" s="16">
        <f>IFERROR(__xludf.DUMMYFUNCTION("""COMPUTED_VALUE"""),12748.0)</f>
        <v>12748</v>
      </c>
      <c r="I4180" s="18">
        <f>IFERROR(__xludf.DUMMYFUNCTION("""COMPUTED_VALUE"""),45.0)</f>
        <v>45</v>
      </c>
      <c r="J4180" s="18">
        <f>IFERROR(__xludf.DUMMYFUNCTION("""COMPUTED_VALUE"""),45.0)</f>
        <v>45</v>
      </c>
      <c r="K4180" s="18">
        <f>IFERROR(__xludf.DUMMYFUNCTION("""COMPUTED_VALUE"""),45.0)</f>
        <v>45</v>
      </c>
      <c r="L4180" s="17">
        <f>IFERROR(__xludf.DUMMYFUNCTION("""COMPUTED_VALUE"""),3.015447307E9)</f>
        <v>3015447307</v>
      </c>
      <c r="M4180" s="17" t="str">
        <f>IFERROR(__xludf.DUMMYFUNCTION("""COMPUTED_VALUE"""),"#REF!")</f>
        <v>#REF!</v>
      </c>
      <c r="N4180" s="17"/>
      <c r="O4180" s="17"/>
      <c r="P4180" s="17" t="b">
        <f>IFERROR(__xludf.DUMMYFUNCTION("""COMPUTED_VALUE"""),FALSE)</f>
        <v>0</v>
      </c>
      <c r="Q4180" s="20" t="str">
        <f>IFERROR(__xludf.DUMMYFUNCTION("""COMPUTED_VALUE"""),"")</f>
        <v/>
      </c>
      <c r="R4180" s="21" t="str">
        <f>IFERROR(__xludf.DUMMYFUNCTION("""COMPUTED_VALUE"""),"https://drive.google.com/file/d/1ud7wMrqpkNTtZkNGa16Pqar3Txx7iBvw/view?usp=drivesdk")</f>
        <v>https://drive.google.com/file/d/1ud7wMrqpkNTtZkNGa16Pqar3Txx7iBvw/view?usp=drivesdk</v>
      </c>
    </row>
    <row r="4181">
      <c r="A4181" s="15">
        <f>IFERROR(__xludf.DUMMYFUNCTION("""COMPUTED_VALUE"""),45121.0)</f>
        <v>45121</v>
      </c>
      <c r="B4181" s="16" t="str">
        <f>IFERROR(__xludf.DUMMYFUNCTION("""COMPUTED_VALUE"""),"Jeison Rubiano")</f>
        <v>Jeison Rubiano</v>
      </c>
      <c r="C4181" s="15" t="str">
        <f>IFERROR(__xludf.DUMMYFUNCTION("""COMPUTED_VALUE"""),"BOGOTÁ")</f>
        <v>BOGOTÁ</v>
      </c>
      <c r="D4181" s="15" t="str">
        <f>IFERROR(__xludf.DUMMYFUNCTION("""COMPUTED_VALUE"""),"MEDELLÍN")</f>
        <v>MEDELLÍN</v>
      </c>
      <c r="E4181" s="15" t="str">
        <f>IFERROR(__xludf.DUMMYFUNCTION("""COMPUTED_VALUE"""),"Rambla")</f>
        <v>Rambla</v>
      </c>
      <c r="F4181" s="17" t="str">
        <f>IFERROR(__xludf.DUMMYFUNCTION("""COMPUTED_VALUE"""),"CALLE 94 N 15-28 / LOCAL 3 / NA")</f>
        <v>CALLE 94 N 15-28 / LOCAL 3 / NA</v>
      </c>
      <c r="G4181" s="15" t="str">
        <f>IFERROR(__xludf.DUMMYFUNCTION("""COMPUTED_VALUE"""),"BRUNCH MARKET")</f>
        <v>BRUNCH MARKET</v>
      </c>
      <c r="H4181" s="16">
        <f>IFERROR(__xludf.DUMMYFUNCTION("""COMPUTED_VALUE"""),12755.0)</f>
        <v>12755</v>
      </c>
      <c r="I4181" s="18">
        <f>IFERROR(__xludf.DUMMYFUNCTION("""COMPUTED_VALUE"""),20.0)</f>
        <v>20</v>
      </c>
      <c r="J4181" s="18">
        <f>IFERROR(__xludf.DUMMYFUNCTION("""COMPUTED_VALUE"""),20.0)</f>
        <v>20</v>
      </c>
      <c r="K4181" s="18">
        <f>IFERROR(__xludf.DUMMYFUNCTION("""COMPUTED_VALUE"""),20.0)</f>
        <v>20</v>
      </c>
      <c r="L4181" s="17">
        <f>IFERROR(__xludf.DUMMYFUNCTION("""COMPUTED_VALUE"""),3.005006258E9)</f>
        <v>3005006258</v>
      </c>
      <c r="M4181" s="17" t="str">
        <f>IFERROR(__xludf.DUMMYFUNCTION("""COMPUTED_VALUE"""),"#REF!")</f>
        <v>#REF!</v>
      </c>
      <c r="N4181" s="17"/>
      <c r="O4181" s="17"/>
      <c r="P4181" s="17" t="b">
        <f>IFERROR(__xludf.DUMMYFUNCTION("""COMPUTED_VALUE"""),FALSE)</f>
        <v>0</v>
      </c>
      <c r="Q4181" s="20" t="str">
        <f>IFERROR(__xludf.DUMMYFUNCTION("""COMPUTED_VALUE"""),"")</f>
        <v/>
      </c>
      <c r="R4181" s="21" t="str">
        <f>IFERROR(__xludf.DUMMYFUNCTION("""COMPUTED_VALUE"""),"https://drive.google.com/file/d/16PqwfsiPj8Ef4ds52Qb4FOy-GtWu36MA/view?usp=drivesdk")</f>
        <v>https://drive.google.com/file/d/16PqwfsiPj8Ef4ds52Qb4FOy-GtWu36MA/view?usp=drivesdk</v>
      </c>
    </row>
    <row r="4182">
      <c r="A4182" s="15">
        <f>IFERROR(__xludf.DUMMYFUNCTION("""COMPUTED_VALUE"""),45121.0)</f>
        <v>45121</v>
      </c>
      <c r="B4182" s="16" t="str">
        <f>IFERROR(__xludf.DUMMYFUNCTION("""COMPUTED_VALUE"""),"Jeison Rubiano")</f>
        <v>Jeison Rubiano</v>
      </c>
      <c r="C4182" s="15" t="str">
        <f>IFERROR(__xludf.DUMMYFUNCTION("""COMPUTED_VALUE"""),"BOGOTÁ")</f>
        <v>BOGOTÁ</v>
      </c>
      <c r="D4182" s="15" t="str">
        <f>IFERROR(__xludf.DUMMYFUNCTION("""COMPUTED_VALUE"""),"MEDELLÍN")</f>
        <v>MEDELLÍN</v>
      </c>
      <c r="E4182" s="15" t="str">
        <f>IFERROR(__xludf.DUMMYFUNCTION("""COMPUTED_VALUE"""),"Rambla")</f>
        <v>Rambla</v>
      </c>
      <c r="F4182" s="17" t="str">
        <f>IFERROR(__xludf.DUMMYFUNCTION("""COMPUTED_VALUE"""),"CALLE 95 N 71-11 BLOQUE 1 APTO 801 / PARQUE CENTRAL MONTEVEDRA 3 / N A")</f>
        <v>CALLE 95 N 71-11 BLOQUE 1 APTO 801 / PARQUE CENTRAL MONTEVEDRA 3 / N A</v>
      </c>
      <c r="G4182" s="15" t="str">
        <f>IFERROR(__xludf.DUMMYFUNCTION("""COMPUTED_VALUE"""),"MARCELA DELGADO")</f>
        <v>MARCELA DELGADO</v>
      </c>
      <c r="H4182" s="16">
        <f>IFERROR(__xludf.DUMMYFUNCTION("""COMPUTED_VALUE"""),12754.0)</f>
        <v>12754</v>
      </c>
      <c r="I4182" s="18">
        <f>IFERROR(__xludf.DUMMYFUNCTION("""COMPUTED_VALUE"""),20.0)</f>
        <v>20</v>
      </c>
      <c r="J4182" s="18">
        <f>IFERROR(__xludf.DUMMYFUNCTION("""COMPUTED_VALUE"""),20.0)</f>
        <v>20</v>
      </c>
      <c r="K4182" s="18">
        <f>IFERROR(__xludf.DUMMYFUNCTION("""COMPUTED_VALUE"""),20.0)</f>
        <v>20</v>
      </c>
      <c r="L4182" s="17">
        <f>IFERROR(__xludf.DUMMYFUNCTION("""COMPUTED_VALUE"""),3.16691461E9)</f>
        <v>3166914610</v>
      </c>
      <c r="M4182" s="17" t="str">
        <f>IFERROR(__xludf.DUMMYFUNCTION("""COMPUTED_VALUE"""),"#REF!")</f>
        <v>#REF!</v>
      </c>
      <c r="N4182" s="17"/>
      <c r="O4182" s="17"/>
      <c r="P4182" s="17" t="b">
        <f>IFERROR(__xludf.DUMMYFUNCTION("""COMPUTED_VALUE"""),FALSE)</f>
        <v>0</v>
      </c>
      <c r="Q4182" s="20" t="str">
        <f>IFERROR(__xludf.DUMMYFUNCTION("""COMPUTED_VALUE"""),"")</f>
        <v/>
      </c>
      <c r="R4182" s="21" t="str">
        <f>IFERROR(__xludf.DUMMYFUNCTION("""COMPUTED_VALUE"""),"https://drive.google.com/file/d/10ypFsPIxSzDb3_GHl-LsWc-wDzHppODe/view?usp=drivesdk")</f>
        <v>https://drive.google.com/file/d/10ypFsPIxSzDb3_GHl-LsWc-wDzHppODe/view?usp=drivesdk</v>
      </c>
    </row>
    <row r="4183">
      <c r="A4183" s="15">
        <f>IFERROR(__xludf.DUMMYFUNCTION("""COMPUTED_VALUE"""),45121.0)</f>
        <v>45121</v>
      </c>
      <c r="B4183" s="16" t="str">
        <f>IFERROR(__xludf.DUMMYFUNCTION("""COMPUTED_VALUE"""),"Jeison Rubiano")</f>
        <v>Jeison Rubiano</v>
      </c>
      <c r="C4183" s="15" t="str">
        <f>IFERROR(__xludf.DUMMYFUNCTION("""COMPUTED_VALUE"""),"BOGOTÁ")</f>
        <v>BOGOTÁ</v>
      </c>
      <c r="D4183" s="15" t="str">
        <f>IFERROR(__xludf.DUMMYFUNCTION("""COMPUTED_VALUE"""),"MEDELLÍN")</f>
        <v>MEDELLÍN</v>
      </c>
      <c r="E4183" s="15" t="str">
        <f>IFERROR(__xludf.DUMMYFUNCTION("""COMPUTED_VALUE"""),"Rambla")</f>
        <v>Rambla</v>
      </c>
      <c r="F4183" s="17" t="str">
        <f>IFERROR(__xludf.DUMMYFUNCTION("""COMPUTED_VALUE"""),"CARREA 5 N 86-58 / NA / NA")</f>
        <v>CARREA 5 N 86-58 / NA / NA</v>
      </c>
      <c r="G4183" s="15" t="str">
        <f>IFERROR(__xludf.DUMMYFUNCTION("""COMPUTED_VALUE"""),"ALICIA MALDONADO")</f>
        <v>ALICIA MALDONADO</v>
      </c>
      <c r="H4183" s="16">
        <f>IFERROR(__xludf.DUMMYFUNCTION("""COMPUTED_VALUE"""),12751.0)</f>
        <v>12751</v>
      </c>
      <c r="I4183" s="18">
        <f>IFERROR(__xludf.DUMMYFUNCTION("""COMPUTED_VALUE"""),20.0)</f>
        <v>20</v>
      </c>
      <c r="J4183" s="18">
        <f>IFERROR(__xludf.DUMMYFUNCTION("""COMPUTED_VALUE"""),20.0)</f>
        <v>20</v>
      </c>
      <c r="K4183" s="18">
        <f>IFERROR(__xludf.DUMMYFUNCTION("""COMPUTED_VALUE"""),20.0)</f>
        <v>20</v>
      </c>
      <c r="L4183" s="17">
        <f>IFERROR(__xludf.DUMMYFUNCTION("""COMPUTED_VALUE"""),3.208309047E9)</f>
        <v>3208309047</v>
      </c>
      <c r="M4183" s="17" t="str">
        <f>IFERROR(__xludf.DUMMYFUNCTION("""COMPUTED_VALUE"""),"#REF!")</f>
        <v>#REF!</v>
      </c>
      <c r="N4183" s="17"/>
      <c r="O4183" s="17"/>
      <c r="P4183" s="17" t="b">
        <f>IFERROR(__xludf.DUMMYFUNCTION("""COMPUTED_VALUE"""),FALSE)</f>
        <v>0</v>
      </c>
      <c r="Q4183" s="20" t="str">
        <f>IFERROR(__xludf.DUMMYFUNCTION("""COMPUTED_VALUE"""),"")</f>
        <v/>
      </c>
      <c r="R4183" s="21" t="str">
        <f>IFERROR(__xludf.DUMMYFUNCTION("""COMPUTED_VALUE"""),"https://drive.google.com/file/d/1SddjfOVWNgZS34ckHPkT9_MYIAvigibT/view?usp=drivesdk")</f>
        <v>https://drive.google.com/file/d/1SddjfOVWNgZS34ckHPkT9_MYIAvigibT/view?usp=drivesdk</v>
      </c>
    </row>
    <row r="4184">
      <c r="A4184" s="15">
        <f>IFERROR(__xludf.DUMMYFUNCTION("""COMPUTED_VALUE"""),45121.0)</f>
        <v>45121</v>
      </c>
      <c r="B4184" s="16" t="str">
        <f>IFERROR(__xludf.DUMMYFUNCTION("""COMPUTED_VALUE"""),"Jeison Rubiano")</f>
        <v>Jeison Rubiano</v>
      </c>
      <c r="C4184" s="15" t="str">
        <f>IFERROR(__xludf.DUMMYFUNCTION("""COMPUTED_VALUE"""),"BOGOTÁ")</f>
        <v>BOGOTÁ</v>
      </c>
      <c r="D4184" s="15" t="str">
        <f>IFERROR(__xludf.DUMMYFUNCTION("""COMPUTED_VALUE"""),"MEDELLÍN")</f>
        <v>MEDELLÍN</v>
      </c>
      <c r="E4184" s="15" t="str">
        <f>IFERROR(__xludf.DUMMYFUNCTION("""COMPUTED_VALUE"""),"Rambla")</f>
        <v>Rambla</v>
      </c>
      <c r="F4184" s="17" t="str">
        <f>IFERROR(__xludf.DUMMYFUNCTION("""COMPUTED_VALUE"""),"CARRERA 11  #118 -96 APTO 301 / NA / AN")</f>
        <v>CARRERA 11  #118 -96 APTO 301 / NA / AN</v>
      </c>
      <c r="G4184" s="15" t="str">
        <f>IFERROR(__xludf.DUMMYFUNCTION("""COMPUTED_VALUE"""),"Mana market")</f>
        <v>Mana market</v>
      </c>
      <c r="H4184" s="16">
        <f>IFERROR(__xludf.DUMMYFUNCTION("""COMPUTED_VALUE"""),12745.0)</f>
        <v>12745</v>
      </c>
      <c r="I4184" s="18">
        <f>IFERROR(__xludf.DUMMYFUNCTION("""COMPUTED_VALUE"""),45.0)</f>
        <v>45</v>
      </c>
      <c r="J4184" s="18">
        <f>IFERROR(__xludf.DUMMYFUNCTION("""COMPUTED_VALUE"""),45.0)</f>
        <v>45</v>
      </c>
      <c r="K4184" s="18">
        <f>IFERROR(__xludf.DUMMYFUNCTION("""COMPUTED_VALUE"""),45.0)</f>
        <v>45</v>
      </c>
      <c r="L4184" s="17">
        <f>IFERROR(__xludf.DUMMYFUNCTION("""COMPUTED_VALUE"""),3.053685387E9)</f>
        <v>3053685387</v>
      </c>
      <c r="M4184" s="17" t="str">
        <f>IFERROR(__xludf.DUMMYFUNCTION("""COMPUTED_VALUE"""),"#REF!")</f>
        <v>#REF!</v>
      </c>
      <c r="N4184" s="17"/>
      <c r="O4184" s="17"/>
      <c r="P4184" s="17" t="b">
        <f>IFERROR(__xludf.DUMMYFUNCTION("""COMPUTED_VALUE"""),FALSE)</f>
        <v>0</v>
      </c>
      <c r="Q4184" s="20" t="str">
        <f>IFERROR(__xludf.DUMMYFUNCTION("""COMPUTED_VALUE"""),"")</f>
        <v/>
      </c>
      <c r="R4184" s="21" t="str">
        <f>IFERROR(__xludf.DUMMYFUNCTION("""COMPUTED_VALUE"""),"https://drive.google.com/file/d/10gRPw-sSDydqpqC7fAjzKHSM2s3XH8yb/view?usp=drivesdk")</f>
        <v>https://drive.google.com/file/d/10gRPw-sSDydqpqC7fAjzKHSM2s3XH8yb/view?usp=drivesdk</v>
      </c>
    </row>
    <row r="4185">
      <c r="A4185" s="15">
        <f>IFERROR(__xludf.DUMMYFUNCTION("""COMPUTED_VALUE"""),45121.0)</f>
        <v>45121</v>
      </c>
      <c r="B4185" s="16" t="str">
        <f>IFERROR(__xludf.DUMMYFUNCTION("""COMPUTED_VALUE"""),"Jeison Rubiano")</f>
        <v>Jeison Rubiano</v>
      </c>
      <c r="C4185" s="15" t="str">
        <f>IFERROR(__xludf.DUMMYFUNCTION("""COMPUTED_VALUE"""),"BOGOTÁ")</f>
        <v>BOGOTÁ</v>
      </c>
      <c r="D4185" s="15" t="str">
        <f>IFERROR(__xludf.DUMMYFUNCTION("""COMPUTED_VALUE"""),"MEDELLÍN")</f>
        <v>MEDELLÍN</v>
      </c>
      <c r="E4185" s="15" t="str">
        <f>IFERROR(__xludf.DUMMYFUNCTION("""COMPUTED_VALUE"""),"Rambla")</f>
        <v>Rambla</v>
      </c>
      <c r="F4185" s="17" t="str">
        <f>IFERROR(__xludf.DUMMYFUNCTION("""COMPUTED_VALUE"""),"CARRERA 67 N 180 -24 / CASA 3 / CONJUNTO IPANEMA")</f>
        <v>CARRERA 67 N 180 -24 / CASA 3 / CONJUNTO IPANEMA</v>
      </c>
      <c r="G4185" s="15" t="str">
        <f>IFERROR(__xludf.DUMMYFUNCTION("""COMPUTED_VALUE"""),"FRANCIS NIÑO")</f>
        <v>FRANCIS NIÑO</v>
      </c>
      <c r="H4185" s="16">
        <f>IFERROR(__xludf.DUMMYFUNCTION("""COMPUTED_VALUE"""),12753.0)</f>
        <v>12753</v>
      </c>
      <c r="I4185" s="18">
        <f>IFERROR(__xludf.DUMMYFUNCTION("""COMPUTED_VALUE"""),20.0)</f>
        <v>20</v>
      </c>
      <c r="J4185" s="18">
        <f>IFERROR(__xludf.DUMMYFUNCTION("""COMPUTED_VALUE"""),20.0)</f>
        <v>20</v>
      </c>
      <c r="K4185" s="18">
        <f>IFERROR(__xludf.DUMMYFUNCTION("""COMPUTED_VALUE"""),20.0)</f>
        <v>20</v>
      </c>
      <c r="L4185" s="17">
        <f>IFERROR(__xludf.DUMMYFUNCTION("""COMPUTED_VALUE"""),3.204888319E9)</f>
        <v>3204888319</v>
      </c>
      <c r="M4185" s="17" t="str">
        <f>IFERROR(__xludf.DUMMYFUNCTION("""COMPUTED_VALUE"""),"#REF!")</f>
        <v>#REF!</v>
      </c>
      <c r="N4185" s="17"/>
      <c r="O4185" s="17"/>
      <c r="P4185" s="17" t="b">
        <f>IFERROR(__xludf.DUMMYFUNCTION("""COMPUTED_VALUE"""),FALSE)</f>
        <v>0</v>
      </c>
      <c r="Q4185" s="20" t="str">
        <f>IFERROR(__xludf.DUMMYFUNCTION("""COMPUTED_VALUE"""),"")</f>
        <v/>
      </c>
      <c r="R4185" s="21" t="str">
        <f>IFERROR(__xludf.DUMMYFUNCTION("""COMPUTED_VALUE"""),"https://drive.google.com/file/d/19Rp-Y2VeusqkQToi8yztpiQ_-mn5lmCo/view?usp=drivesdk")</f>
        <v>https://drive.google.com/file/d/19Rp-Y2VeusqkQToi8yztpiQ_-mn5lmCo/view?usp=drivesdk</v>
      </c>
    </row>
    <row r="4186">
      <c r="A4186" s="15">
        <f>IFERROR(__xludf.DUMMYFUNCTION("""COMPUTED_VALUE"""),45121.0)</f>
        <v>45121</v>
      </c>
      <c r="B4186" s="16" t="str">
        <f>IFERROR(__xludf.DUMMYFUNCTION("""COMPUTED_VALUE"""),"Jeison Rubiano")</f>
        <v>Jeison Rubiano</v>
      </c>
      <c r="C4186" s="15" t="str">
        <f>IFERROR(__xludf.DUMMYFUNCTION("""COMPUTED_VALUE"""),"BOGOTÁ")</f>
        <v>BOGOTÁ</v>
      </c>
      <c r="D4186" s="15" t="str">
        <f>IFERROR(__xludf.DUMMYFUNCTION("""COMPUTED_VALUE"""),"MEDELLÍN")</f>
        <v>MEDELLÍN</v>
      </c>
      <c r="E4186" s="15" t="str">
        <f>IFERROR(__xludf.DUMMYFUNCTION("""COMPUTED_VALUE"""),"Rambla")</f>
        <v>Rambla</v>
      </c>
      <c r="F4186" s="17" t="str">
        <f>IFERROR(__xludf.DUMMYFUNCTION("""COMPUTED_VALUE"""),"KILOMETRO 15 1.5 VIA CHIA CAJICA / 100 MTS ANTES DE FONTANAR / NA")</f>
        <v>KILOMETRO 15 1.5 VIA CHIA CAJICA / 100 MTS ANTES DE FONTANAR / NA</v>
      </c>
      <c r="G4186" s="15" t="str">
        <f>IFERROR(__xludf.DUMMYFUNCTION("""COMPUTED_VALUE"""),"THE CHOICE")</f>
        <v>THE CHOICE</v>
      </c>
      <c r="H4186" s="16">
        <f>IFERROR(__xludf.DUMMYFUNCTION("""COMPUTED_VALUE"""),12756.0)</f>
        <v>12756</v>
      </c>
      <c r="I4186" s="18">
        <f>IFERROR(__xludf.DUMMYFUNCTION("""COMPUTED_VALUE"""),20.0)</f>
        <v>20</v>
      </c>
      <c r="J4186" s="18">
        <f>IFERROR(__xludf.DUMMYFUNCTION("""COMPUTED_VALUE"""),20.0)</f>
        <v>20</v>
      </c>
      <c r="K4186" s="18">
        <f>IFERROR(__xludf.DUMMYFUNCTION("""COMPUTED_VALUE"""),20.0)</f>
        <v>20</v>
      </c>
      <c r="L4186" s="17">
        <f>IFERROR(__xludf.DUMMYFUNCTION("""COMPUTED_VALUE"""),3.212415592E9)</f>
        <v>3212415592</v>
      </c>
      <c r="M4186" s="17" t="str">
        <f>IFERROR(__xludf.DUMMYFUNCTION("""COMPUTED_VALUE"""),"#REF!")</f>
        <v>#REF!</v>
      </c>
      <c r="N4186" s="17"/>
      <c r="O4186" s="17"/>
      <c r="P4186" s="17" t="b">
        <f>IFERROR(__xludf.DUMMYFUNCTION("""COMPUTED_VALUE"""),FALSE)</f>
        <v>0</v>
      </c>
      <c r="Q4186" s="20" t="str">
        <f>IFERROR(__xludf.DUMMYFUNCTION("""COMPUTED_VALUE"""),"")</f>
        <v/>
      </c>
      <c r="R4186" s="21" t="str">
        <f>IFERROR(__xludf.DUMMYFUNCTION("""COMPUTED_VALUE"""),"https://drive.google.com/file/d/1K5Dy1C1RBOqhAwKxHYeR-8fUOL75r2fz/view?usp=drivesdk")</f>
        <v>https://drive.google.com/file/d/1K5Dy1C1RBOqhAwKxHYeR-8fUOL75r2fz/view?usp=drivesdk</v>
      </c>
    </row>
    <row r="4187">
      <c r="A4187" s="15">
        <f>IFERROR(__xludf.DUMMYFUNCTION("""COMPUTED_VALUE"""),45121.0)</f>
        <v>45121</v>
      </c>
      <c r="B4187" s="16" t="str">
        <f>IFERROR(__xludf.DUMMYFUNCTION("""COMPUTED_VALUE"""),"Jeison Rubiano")</f>
        <v>Jeison Rubiano</v>
      </c>
      <c r="C4187" s="15" t="str">
        <f>IFERROR(__xludf.DUMMYFUNCTION("""COMPUTED_VALUE"""),"VALLEDUPAR")</f>
        <v>VALLEDUPAR</v>
      </c>
      <c r="D4187" s="15" t="str">
        <f>IFERROR(__xludf.DUMMYFUNCTION("""COMPUTED_VALUE"""),"BOGOTÁ")</f>
        <v>BOGOTÁ</v>
      </c>
      <c r="E4187" s="15" t="str">
        <f>IFERROR(__xludf.DUMMYFUNCTION("""COMPUTED_VALUE"""),"Evamazzita")</f>
        <v>Evamazzita</v>
      </c>
      <c r="F4187" s="17" t="str">
        <f>IFERROR(__xludf.DUMMYFUNCTION("""COMPUTED_VALUE"""),"Carrera 49 #5H-06 / Nevada Ferreteria Alexandra  / N/A")</f>
        <v>Carrera 49 #5H-06 / Nevada Ferreteria Alexandra  / N/A</v>
      </c>
      <c r="G4187" s="15" t="str">
        <f>IFERROR(__xludf.DUMMYFUNCTION("""COMPUTED_VALUE"""),"YURY ALEXANDRA GARCIA RAMOS")</f>
        <v>YURY ALEXANDRA GARCIA RAMOS</v>
      </c>
      <c r="H4187" s="16">
        <f>IFERROR(__xludf.DUMMYFUNCTION("""COMPUTED_VALUE"""),12679.0)</f>
        <v>12679</v>
      </c>
      <c r="I4187" s="18">
        <f>IFERROR(__xludf.DUMMYFUNCTION("""COMPUTED_VALUE"""),1.0)</f>
        <v>1</v>
      </c>
      <c r="J4187" s="18">
        <f>IFERROR(__xludf.DUMMYFUNCTION("""COMPUTED_VALUE"""),1.0)</f>
        <v>1</v>
      </c>
      <c r="K4187" s="18">
        <f>IFERROR(__xludf.DUMMYFUNCTION("""COMPUTED_VALUE"""),1.0)</f>
        <v>1</v>
      </c>
      <c r="L4187" s="17">
        <f>IFERROR(__xludf.DUMMYFUNCTION("""COMPUTED_VALUE"""),3.0043957E9)</f>
        <v>3004395700</v>
      </c>
      <c r="M4187" s="17" t="str">
        <f>IFERROR(__xludf.DUMMYFUNCTION("""COMPUTED_VALUE"""),"#REF!")</f>
        <v>#REF!</v>
      </c>
      <c r="N4187" s="17"/>
      <c r="O4187" s="17"/>
      <c r="P4187" s="17" t="b">
        <f>IFERROR(__xludf.DUMMYFUNCTION("""COMPUTED_VALUE"""),FALSE)</f>
        <v>0</v>
      </c>
      <c r="Q4187" s="20" t="str">
        <f>IFERROR(__xludf.DUMMYFUNCTION("""COMPUTED_VALUE"""),"")</f>
        <v/>
      </c>
      <c r="R4187" s="22" t="str">
        <f>IFERROR(__xludf.DUMMYFUNCTION("""COMPUTED_VALUE"""),"")</f>
        <v/>
      </c>
    </row>
    <row r="4188">
      <c r="A4188" s="15">
        <f>IFERROR(__xludf.DUMMYFUNCTION("""COMPUTED_VALUE"""),45121.0)</f>
        <v>45121</v>
      </c>
      <c r="B4188" s="16" t="str">
        <f>IFERROR(__xludf.DUMMYFUNCTION("""COMPUTED_VALUE"""),"Jeison Rubiano")</f>
        <v>Jeison Rubiano</v>
      </c>
      <c r="C4188" s="15" t="str">
        <f>IFERROR(__xludf.DUMMYFUNCTION("""COMPUTED_VALUE"""),"VALLEDUPAR")</f>
        <v>VALLEDUPAR</v>
      </c>
      <c r="D4188" s="15" t="str">
        <f>IFERROR(__xludf.DUMMYFUNCTION("""COMPUTED_VALUE"""),"BOGOTÁ")</f>
        <v>BOGOTÁ</v>
      </c>
      <c r="E4188" s="15" t="str">
        <f>IFERROR(__xludf.DUMMYFUNCTION("""COMPUTED_VALUE"""),"Top Spun")</f>
        <v>Top Spun</v>
      </c>
      <c r="F4188" s="17" t="str">
        <f>IFERROR(__xludf.DUMMYFUNCTION("""COMPUTED_VALUE"""),"DG 10 # 22 BIS - 163  / CONJUNTO HIRACA CASA 88 / VALLEDUPAR")</f>
        <v>DG 10 # 22 BIS - 163  / CONJUNTO HIRACA CASA 88 / VALLEDUPAR</v>
      </c>
      <c r="G4188" s="15" t="str">
        <f>IFERROR(__xludf.DUMMYFUNCTION("""COMPUTED_VALUE"""),"Lucia Salem")</f>
        <v>Lucia Salem</v>
      </c>
      <c r="H4188" s="16">
        <f>IFERROR(__xludf.DUMMYFUNCTION("""COMPUTED_VALUE"""),12650.0)</f>
        <v>12650</v>
      </c>
      <c r="I4188" s="18">
        <f>IFERROR(__xludf.DUMMYFUNCTION("""COMPUTED_VALUE"""),20.0)</f>
        <v>20</v>
      </c>
      <c r="J4188" s="18">
        <f>IFERROR(__xludf.DUMMYFUNCTION("""COMPUTED_VALUE"""),10.0)</f>
        <v>10</v>
      </c>
      <c r="K4188" s="18">
        <f>IFERROR(__xludf.DUMMYFUNCTION("""COMPUTED_VALUE"""),40.0)</f>
        <v>40</v>
      </c>
      <c r="L4188" s="17">
        <f>IFERROR(__xludf.DUMMYFUNCTION("""COMPUTED_VALUE"""),3.102815891E9)</f>
        <v>3102815891</v>
      </c>
      <c r="M4188" s="17" t="str">
        <f>IFERROR(__xludf.DUMMYFUNCTION("""COMPUTED_VALUE"""),"#REF!")</f>
        <v>#REF!</v>
      </c>
      <c r="N4188" s="17"/>
      <c r="O4188" s="17"/>
      <c r="P4188" s="17" t="b">
        <f>IFERROR(__xludf.DUMMYFUNCTION("""COMPUTED_VALUE"""),FALSE)</f>
        <v>0</v>
      </c>
      <c r="Q4188" s="20" t="str">
        <f>IFERROR(__xludf.DUMMYFUNCTION("""COMPUTED_VALUE"""),"")</f>
        <v/>
      </c>
      <c r="R4188" s="22" t="str">
        <f>IFERROR(__xludf.DUMMYFUNCTION("""COMPUTED_VALUE"""),"")</f>
        <v/>
      </c>
    </row>
    <row r="4189">
      <c r="A4189" s="17" t="str">
        <f>IFERROR(__xludf.DUMMYFUNCTION("""COMPUTED_VALUE"""),"")</f>
        <v/>
      </c>
      <c r="B4189" s="17" t="str">
        <f>IFERROR(__xludf.DUMMYFUNCTION("""COMPUTED_VALUE"""),"")</f>
        <v/>
      </c>
      <c r="C4189" s="17" t="str">
        <f>IFERROR(__xludf.DUMMYFUNCTION("""COMPUTED_VALUE"""),"")</f>
        <v/>
      </c>
      <c r="D4189" s="17" t="str">
        <f>IFERROR(__xludf.DUMMYFUNCTION("""COMPUTED_VALUE"""),"")</f>
        <v/>
      </c>
      <c r="E4189" s="17" t="str">
        <f>IFERROR(__xludf.DUMMYFUNCTION("""COMPUTED_VALUE"""),"")</f>
        <v/>
      </c>
      <c r="F4189" s="17" t="str">
        <f>IFERROR(__xludf.DUMMYFUNCTION("""COMPUTED_VALUE"""),"")</f>
        <v/>
      </c>
      <c r="G4189" s="17" t="str">
        <f>IFERROR(__xludf.DUMMYFUNCTION("""COMPUTED_VALUE"""),"")</f>
        <v/>
      </c>
      <c r="H4189" s="17" t="str">
        <f>IFERROR(__xludf.DUMMYFUNCTION("""COMPUTED_VALUE"""),"")</f>
        <v/>
      </c>
      <c r="I4189" s="17" t="str">
        <f>IFERROR(__xludf.DUMMYFUNCTION("""COMPUTED_VALUE"""),"")</f>
        <v/>
      </c>
      <c r="J4189" s="17" t="str">
        <f>IFERROR(__xludf.DUMMYFUNCTION("""COMPUTED_VALUE"""),"")</f>
        <v/>
      </c>
      <c r="K4189" s="17" t="str">
        <f>IFERROR(__xludf.DUMMYFUNCTION("""COMPUTED_VALUE"""),"")</f>
        <v/>
      </c>
      <c r="L4189" s="17" t="str">
        <f>IFERROR(__xludf.DUMMYFUNCTION("""COMPUTED_VALUE"""),"")</f>
        <v/>
      </c>
      <c r="M4189" s="17" t="str">
        <f>IFERROR(__xludf.DUMMYFUNCTION("""COMPUTED_VALUE"""),"")</f>
        <v/>
      </c>
      <c r="N4189" s="17" t="str">
        <f>IFERROR(__xludf.DUMMYFUNCTION("""COMPUTED_VALUE"""),"")</f>
        <v/>
      </c>
      <c r="O4189" s="17" t="str">
        <f>IFERROR(__xludf.DUMMYFUNCTION("""COMPUTED_VALUE"""),"")</f>
        <v/>
      </c>
      <c r="P4189" s="17" t="str">
        <f>IFERROR(__xludf.DUMMYFUNCTION("""COMPUTED_VALUE"""),"")</f>
        <v/>
      </c>
      <c r="Q4189" s="17" t="str">
        <f>IFERROR(__xludf.DUMMYFUNCTION("""COMPUTED_VALUE"""),"")</f>
        <v/>
      </c>
      <c r="R4189" s="17" t="str">
        <f>IFERROR(__xludf.DUMMYFUNCTION("""COMPUTED_VALUE"""),"")</f>
        <v/>
      </c>
    </row>
    <row r="4190">
      <c r="A4190" s="15">
        <f>IFERROR(__xludf.DUMMYFUNCTION("""COMPUTED_VALUE"""),45121.0)</f>
        <v>45121</v>
      </c>
      <c r="B4190" s="16" t="str">
        <f>IFERROR(__xludf.DUMMYFUNCTION("""COMPUTED_VALUE"""),"Lina Gaona")</f>
        <v>Lina Gaona</v>
      </c>
      <c r="C4190" s="15" t="str">
        <f>IFERROR(__xludf.DUMMYFUNCTION("""COMPUTED_VALUE"""),"CÚCUTA")</f>
        <v>CÚCUTA</v>
      </c>
      <c r="D4190" s="15" t="str">
        <f>IFERROR(__xludf.DUMMYFUNCTION("""COMPUTED_VALUE"""),"BOGOTÁ")</f>
        <v>BOGOTÁ</v>
      </c>
      <c r="E4190" s="15" t="str">
        <f>IFERROR(__xludf.DUMMYFUNCTION("""COMPUTED_VALUE"""),"Athenas")</f>
        <v>Athenas</v>
      </c>
      <c r="F4190" s="17" t="str">
        <f>IFERROR(__xludf.DUMMYFUNCTION("""COMPUTED_VALUE"""),"Calle 11 #2E 10  / Cafetería athenas bodytech  / Caobos")</f>
        <v>Calle 11 #2E 10  / Cafetería athenas bodytech  / Caobos</v>
      </c>
      <c r="G4190" s="15" t="str">
        <f>IFERROR(__xludf.DUMMYFUNCTION("""COMPUTED_VALUE"""),"Yennifer Rodríguez")</f>
        <v>Yennifer Rodríguez</v>
      </c>
      <c r="H4190" s="16">
        <f>IFERROR(__xludf.DUMMYFUNCTION("""COMPUTED_VALUE"""),12684.0)</f>
        <v>12684</v>
      </c>
      <c r="I4190" s="18">
        <f>IFERROR(__xludf.DUMMYFUNCTION("""COMPUTED_VALUE"""),42.0)</f>
        <v>42</v>
      </c>
      <c r="J4190" s="18">
        <f>IFERROR(__xludf.DUMMYFUNCTION("""COMPUTED_VALUE"""),55.0)</f>
        <v>55</v>
      </c>
      <c r="K4190" s="18">
        <f>IFERROR(__xludf.DUMMYFUNCTION("""COMPUTED_VALUE"""),50.0)</f>
        <v>50</v>
      </c>
      <c r="L4190" s="17">
        <f>IFERROR(__xludf.DUMMYFUNCTION("""COMPUTED_VALUE"""),3.166748316E9)</f>
        <v>3166748316</v>
      </c>
      <c r="M4190" s="17" t="str">
        <f>IFERROR(__xludf.DUMMYFUNCTION("""COMPUTED_VALUE"""),"#REF!")</f>
        <v>#REF!</v>
      </c>
      <c r="N4190" s="17"/>
      <c r="O4190" s="17"/>
      <c r="P4190" s="17" t="b">
        <f>IFERROR(__xludf.DUMMYFUNCTION("""COMPUTED_VALUE"""),FALSE)</f>
        <v>0</v>
      </c>
      <c r="Q4190" s="20" t="str">
        <f>IFERROR(__xludf.DUMMYFUNCTION("""COMPUTED_VALUE"""),"")</f>
        <v/>
      </c>
      <c r="R4190" s="22" t="str">
        <f>IFERROR(__xludf.DUMMYFUNCTION("""COMPUTED_VALUE"""),"")</f>
        <v/>
      </c>
    </row>
    <row r="4191">
      <c r="A4191" s="15">
        <f>IFERROR(__xludf.DUMMYFUNCTION("""COMPUTED_VALUE"""),45121.0)</f>
        <v>45121</v>
      </c>
      <c r="B4191" s="16" t="str">
        <f>IFERROR(__xludf.DUMMYFUNCTION("""COMPUTED_VALUE"""),"Lina Gaona")</f>
        <v>Lina Gaona</v>
      </c>
      <c r="C4191" s="15" t="str">
        <f>IFERROR(__xludf.DUMMYFUNCTION("""COMPUTED_VALUE"""),"CÚCUTA")</f>
        <v>CÚCUTA</v>
      </c>
      <c r="D4191" s="15" t="str">
        <f>IFERROR(__xludf.DUMMYFUNCTION("""COMPUTED_VALUE"""),"BOGOTÁ")</f>
        <v>BOGOTÁ</v>
      </c>
      <c r="E4191" s="15" t="str">
        <f>IFERROR(__xludf.DUMMYFUNCTION("""COMPUTED_VALUE"""),"Evamazzita")</f>
        <v>Evamazzita</v>
      </c>
      <c r="F4191" s="17" t="str">
        <f>IFERROR(__xludf.DUMMYFUNCTION("""COMPUTED_VALUE"""),"Av 2E#15A-17 / Caobos / Caobos")</f>
        <v>Av 2E#15A-17 / Caobos / Caobos</v>
      </c>
      <c r="G4191" s="15" t="str">
        <f>IFERROR(__xludf.DUMMYFUNCTION("""COMPUTED_VALUE"""),"DACCY KARINA LOPEZ MORENO")</f>
        <v>DACCY KARINA LOPEZ MORENO</v>
      </c>
      <c r="H4191" s="16">
        <f>IFERROR(__xludf.DUMMYFUNCTION("""COMPUTED_VALUE"""),12698.0)</f>
        <v>12698</v>
      </c>
      <c r="I4191" s="18">
        <f>IFERROR(__xludf.DUMMYFUNCTION("""COMPUTED_VALUE"""),17.0)</f>
        <v>17</v>
      </c>
      <c r="J4191" s="18">
        <f>IFERROR(__xludf.DUMMYFUNCTION("""COMPUTED_VALUE"""),29.0)</f>
        <v>29</v>
      </c>
      <c r="K4191" s="18">
        <f>IFERROR(__xludf.DUMMYFUNCTION("""COMPUTED_VALUE"""),29.0)</f>
        <v>29</v>
      </c>
      <c r="L4191" s="17">
        <f>IFERROR(__xludf.DUMMYFUNCTION("""COMPUTED_VALUE"""),3.208615379E9)</f>
        <v>3208615379</v>
      </c>
      <c r="M4191" s="17" t="str">
        <f>IFERROR(__xludf.DUMMYFUNCTION("""COMPUTED_VALUE"""),"#REF!")</f>
        <v>#REF!</v>
      </c>
      <c r="N4191" s="17"/>
      <c r="O4191" s="17"/>
      <c r="P4191" s="17" t="b">
        <f>IFERROR(__xludf.DUMMYFUNCTION("""COMPUTED_VALUE"""),TRUE)</f>
        <v>1</v>
      </c>
      <c r="Q4191" s="20">
        <f>IFERROR(__xludf.DUMMYFUNCTION("""COMPUTED_VALUE"""),45121.533977858795)</f>
        <v>45121.53398</v>
      </c>
      <c r="R4191" s="21" t="str">
        <f>IFERROR(__xludf.DUMMYFUNCTION("""COMPUTED_VALUE"""),"https://drive.google.com/file/d/17kQ3Mx-83SJHWXWvWpTCAuwps5GXJ8xf/view?usp=drivesdk")</f>
        <v>https://drive.google.com/file/d/17kQ3Mx-83SJHWXWvWpTCAuwps5GXJ8xf/view?usp=drivesdk</v>
      </c>
    </row>
    <row r="4192">
      <c r="A4192" s="15">
        <f>IFERROR(__xludf.DUMMYFUNCTION("""COMPUTED_VALUE"""),45121.0)</f>
        <v>45121</v>
      </c>
      <c r="B4192" s="16" t="str">
        <f>IFERROR(__xludf.DUMMYFUNCTION("""COMPUTED_VALUE"""),"Lina Gaona")</f>
        <v>Lina Gaona</v>
      </c>
      <c r="C4192" s="15" t="str">
        <f>IFERROR(__xludf.DUMMYFUNCTION("""COMPUTED_VALUE"""),"CÚCUTA")</f>
        <v>CÚCUTA</v>
      </c>
      <c r="D4192" s="15" t="str">
        <f>IFERROR(__xludf.DUMMYFUNCTION("""COMPUTED_VALUE"""),"BOGOTÁ")</f>
        <v>BOGOTÁ</v>
      </c>
      <c r="E4192" s="15" t="str">
        <f>IFERROR(__xludf.DUMMYFUNCTION("""COMPUTED_VALUE"""),"Evamazzita")</f>
        <v>Evamazzita</v>
      </c>
      <c r="F4192" s="17" t="str">
        <f>IFERROR(__xludf.DUMMYFUNCTION("""COMPUTED_VALUE"""),"Calle 44#0A-26 / Urba Sierra del este, Edificio Milano Apto 401 / Vatiante La Floresta")</f>
        <v>Calle 44#0A-26 / Urba Sierra del este, Edificio Milano Apto 401 / Vatiante La Floresta</v>
      </c>
      <c r="G4192" s="15" t="str">
        <f>IFERROR(__xludf.DUMMYFUNCTION("""COMPUTED_VALUE"""),"LAURA CATALKNA SOSA")</f>
        <v>LAURA CATALKNA SOSA</v>
      </c>
      <c r="H4192" s="16">
        <f>IFERROR(__xludf.DUMMYFUNCTION("""COMPUTED_VALUE"""),12697.0)</f>
        <v>12697</v>
      </c>
      <c r="I4192" s="18">
        <f>IFERROR(__xludf.DUMMYFUNCTION("""COMPUTED_VALUE"""),5.0)</f>
        <v>5</v>
      </c>
      <c r="J4192" s="18">
        <f>IFERROR(__xludf.DUMMYFUNCTION("""COMPUTED_VALUE"""),21.0)</f>
        <v>21</v>
      </c>
      <c r="K4192" s="18">
        <f>IFERROR(__xludf.DUMMYFUNCTION("""COMPUTED_VALUE"""),20.0)</f>
        <v>20</v>
      </c>
      <c r="L4192" s="17">
        <f>IFERROR(__xludf.DUMMYFUNCTION("""COMPUTED_VALUE"""),3.106374733E9)</f>
        <v>3106374733</v>
      </c>
      <c r="M4192" s="17" t="str">
        <f>IFERROR(__xludf.DUMMYFUNCTION("""COMPUTED_VALUE"""),"#REF!")</f>
        <v>#REF!</v>
      </c>
      <c r="N4192" s="17"/>
      <c r="O4192" s="17"/>
      <c r="P4192" s="17" t="b">
        <f>IFERROR(__xludf.DUMMYFUNCTION("""COMPUTED_VALUE"""),TRUE)</f>
        <v>1</v>
      </c>
      <c r="Q4192" s="20">
        <f>IFERROR(__xludf.DUMMYFUNCTION("""COMPUTED_VALUE"""),45121.53388325231)</f>
        <v>45121.53388</v>
      </c>
      <c r="R4192" s="21" t="str">
        <f>IFERROR(__xludf.DUMMYFUNCTION("""COMPUTED_VALUE"""),"https://drive.google.com/file/d/1XZRavxniW0gGgZLxkfjqsulkNXqZZi-T/view?usp=drivesdk")</f>
        <v>https://drive.google.com/file/d/1XZRavxniW0gGgZLxkfjqsulkNXqZZi-T/view?usp=drivesdk</v>
      </c>
    </row>
    <row r="4193">
      <c r="A4193" s="15">
        <f>IFERROR(__xludf.DUMMYFUNCTION("""COMPUTED_VALUE"""),45121.0)</f>
        <v>45121</v>
      </c>
      <c r="B4193" s="16" t="str">
        <f>IFERROR(__xludf.DUMMYFUNCTION("""COMPUTED_VALUE"""),"Lina Gaona")</f>
        <v>Lina Gaona</v>
      </c>
      <c r="C4193" s="15" t="str">
        <f>IFERROR(__xludf.DUMMYFUNCTION("""COMPUTED_VALUE"""),"CÚCUTA")</f>
        <v>CÚCUTA</v>
      </c>
      <c r="D4193" s="15" t="str">
        <f>IFERROR(__xludf.DUMMYFUNCTION("""COMPUTED_VALUE"""),"BOGOTÁ")</f>
        <v>BOGOTÁ</v>
      </c>
      <c r="E4193" s="15" t="str">
        <f>IFERROR(__xludf.DUMMYFUNCTION("""COMPUTED_VALUE"""),"Frubits")</f>
        <v>Frubits</v>
      </c>
      <c r="F4193" s="17" t="str">
        <f>IFERROR(__xludf.DUMMYFUNCTION("""COMPUTED_VALUE"""),"Av 11e # 1-35 Av guaimaral barrio quinta oriental local 3  / Av 11e # 1-35 Av guaimaral barrio quinta oriental local 3  / Av 11e # 1-35 Av guaimaral barrio quinta oriental local 3")</f>
        <v>Av 11e # 1-35 Av guaimaral barrio quinta oriental local 3  / Av 11e # 1-35 Av guaimaral barrio quinta oriental local 3  / Av 11e # 1-35 Av guaimaral barrio quinta oriental local 3</v>
      </c>
      <c r="G4193" s="15" t="str">
        <f>IFERROR(__xludf.DUMMYFUNCTION("""COMPUTED_VALUE"""),"VANESA munoz")</f>
        <v>VANESA munoz</v>
      </c>
      <c r="H4193" s="16">
        <f>IFERROR(__xludf.DUMMYFUNCTION("""COMPUTED_VALUE"""),12531.0)</f>
        <v>12531</v>
      </c>
      <c r="I4193" s="18">
        <f>IFERROR(__xludf.DUMMYFUNCTION("""COMPUTED_VALUE"""),10.0)</f>
        <v>10</v>
      </c>
      <c r="J4193" s="18">
        <f>IFERROR(__xludf.DUMMYFUNCTION("""COMPUTED_VALUE"""),10.0)</f>
        <v>10</v>
      </c>
      <c r="K4193" s="18">
        <f>IFERROR(__xludf.DUMMYFUNCTION("""COMPUTED_VALUE"""),10.0)</f>
        <v>10</v>
      </c>
      <c r="L4193" s="17">
        <f>IFERROR(__xludf.DUMMYFUNCTION("""COMPUTED_VALUE"""),3.01782078E9)</f>
        <v>3017820780</v>
      </c>
      <c r="M4193" s="17" t="str">
        <f>IFERROR(__xludf.DUMMYFUNCTION("""COMPUTED_VALUE"""),"#REF!")</f>
        <v>#REF!</v>
      </c>
      <c r="N4193" s="17"/>
      <c r="O4193" s="17"/>
      <c r="P4193" s="17" t="b">
        <f>IFERROR(__xludf.DUMMYFUNCTION("""COMPUTED_VALUE"""),TRUE)</f>
        <v>1</v>
      </c>
      <c r="Q4193" s="20">
        <f>IFERROR(__xludf.DUMMYFUNCTION("""COMPUTED_VALUE"""),45124.645547824075)</f>
        <v>45124.64555</v>
      </c>
      <c r="R4193" s="21" t="str">
        <f>IFERROR(__xludf.DUMMYFUNCTION("""COMPUTED_VALUE"""),"https://drive.google.com/file/d/1dbdmY1hA2XcKCsx74sZW3V_lb0hKqdB7/view?usp=drivesdk")</f>
        <v>https://drive.google.com/file/d/1dbdmY1hA2XcKCsx74sZW3V_lb0hKqdB7/view?usp=drivesdk</v>
      </c>
    </row>
    <row r="4194">
      <c r="A4194" s="15">
        <f>IFERROR(__xludf.DUMMYFUNCTION("""COMPUTED_VALUE"""),45121.0)</f>
        <v>45121</v>
      </c>
      <c r="B4194" s="16" t="str">
        <f>IFERROR(__xludf.DUMMYFUNCTION("""COMPUTED_VALUE"""),"Lina Gaona")</f>
        <v>Lina Gaona</v>
      </c>
      <c r="C4194" s="15" t="str">
        <f>IFERROR(__xludf.DUMMYFUNCTION("""COMPUTED_VALUE"""),"CÚCUTA")</f>
        <v>CÚCUTA</v>
      </c>
      <c r="D4194" s="15" t="str">
        <f>IFERROR(__xludf.DUMMYFUNCTION("""COMPUTED_VALUE"""),"BOGOTÁ")</f>
        <v>BOGOTÁ</v>
      </c>
      <c r="E4194" s="15" t="str">
        <f>IFERROR(__xludf.DUMMYFUNCTION("""COMPUTED_VALUE"""),"Pan de Waffle")</f>
        <v>Pan de Waffle</v>
      </c>
      <c r="F4194" s="17" t="str">
        <f>IFERROR(__xludf.DUMMYFUNCTION("""COMPUTED_VALUE"""),"Av. 9e # 12 - 50 Local 12 - 56 Barrio La Riviera - San Jose de Cucuta / Av. 9e # 12 - 50 Local 12 - 56 Barrio La Riviera - San Jose de Cucuta / Av. 9e # 12 - 50 Local 12 - 56 Barrio La Riviera - San Jose de Cucuta")</f>
        <v>Av. 9e # 12 - 50 Local 12 - 56 Barrio La Riviera - San Jose de Cucuta / Av. 9e # 12 - 50 Local 12 - 56 Barrio La Riviera - San Jose de Cucuta / Av. 9e # 12 - 50 Local 12 - 56 Barrio La Riviera - San Jose de Cucuta</v>
      </c>
      <c r="G4194" s="15" t="str">
        <f>IFERROR(__xludf.DUMMYFUNCTION("""COMPUTED_VALUE"""),"BALANZI MARKET")</f>
        <v>BALANZI MARKET</v>
      </c>
      <c r="H4194" s="16">
        <f>IFERROR(__xludf.DUMMYFUNCTION("""COMPUTED_VALUE"""),12707.0)</f>
        <v>12707</v>
      </c>
      <c r="I4194" s="18">
        <f>IFERROR(__xludf.DUMMYFUNCTION("""COMPUTED_VALUE"""),30.0)</f>
        <v>30</v>
      </c>
      <c r="J4194" s="18">
        <f>IFERROR(__xludf.DUMMYFUNCTION("""COMPUTED_VALUE"""),40.0)</f>
        <v>40</v>
      </c>
      <c r="K4194" s="18">
        <f>IFERROR(__xludf.DUMMYFUNCTION("""COMPUTED_VALUE"""),30.0)</f>
        <v>30</v>
      </c>
      <c r="L4194" s="17">
        <f>IFERROR(__xludf.DUMMYFUNCTION("""COMPUTED_VALUE"""),3.234882569E9)</f>
        <v>3234882569</v>
      </c>
      <c r="M4194" s="17" t="str">
        <f>IFERROR(__xludf.DUMMYFUNCTION("""COMPUTED_VALUE"""),"#REF!")</f>
        <v>#REF!</v>
      </c>
      <c r="N4194" s="17"/>
      <c r="O4194" s="17"/>
      <c r="P4194" s="17" t="b">
        <f>IFERROR(__xludf.DUMMYFUNCTION("""COMPUTED_VALUE"""),FALSE)</f>
        <v>0</v>
      </c>
      <c r="Q4194" s="20" t="str">
        <f>IFERROR(__xludf.DUMMYFUNCTION("""COMPUTED_VALUE"""),"")</f>
        <v/>
      </c>
      <c r="R4194" s="21" t="str">
        <f>IFERROR(__xludf.DUMMYFUNCTION("""COMPUTED_VALUE"""),"https://drive.google.com/file/d/1rECoM_cHktSXYJ_WIPcB_Qsf1BptwJpS/view?usp=drivesdk")</f>
        <v>https://drive.google.com/file/d/1rECoM_cHktSXYJ_WIPcB_Qsf1BptwJpS/view?usp=drivesdk</v>
      </c>
    </row>
    <row r="4195">
      <c r="A4195" s="15">
        <f>IFERROR(__xludf.DUMMYFUNCTION("""COMPUTED_VALUE"""),45121.0)</f>
        <v>45121</v>
      </c>
      <c r="B4195" s="16" t="str">
        <f>IFERROR(__xludf.DUMMYFUNCTION("""COMPUTED_VALUE"""),"Lina Gaona")</f>
        <v>Lina Gaona</v>
      </c>
      <c r="C4195" s="15" t="str">
        <f>IFERROR(__xludf.DUMMYFUNCTION("""COMPUTED_VALUE"""),"VILLAVICENCIO")</f>
        <v>VILLAVICENCIO</v>
      </c>
      <c r="D4195" s="15" t="str">
        <f>IFERROR(__xludf.DUMMYFUNCTION("""COMPUTED_VALUE"""),"BOGOTÁ")</f>
        <v>BOGOTÁ</v>
      </c>
      <c r="E4195" s="15" t="str">
        <f>IFERROR(__xludf.DUMMYFUNCTION("""COMPUTED_VALUE"""),"Mochi")</f>
        <v>Mochi</v>
      </c>
      <c r="F4195" s="17" t="str">
        <f>IFERROR(__xludf.DUMMYFUNCTION("""COMPUTED_VALUE"""),"Centro Comercial Viva, Calle 7 # 45-185, Villavicencio / Centro Comercial Viva, Calle 7 # 45-185, Villavicencio / Centro Comercial Viva, Calle 7 # 45-185, Villavicencio")</f>
        <v>Centro Comercial Viva, Calle 7 # 45-185, Villavicencio / Centro Comercial Viva, Calle 7 # 45-185, Villavicencio / Centro Comercial Viva, Calle 7 # 45-185, Villavicencio</v>
      </c>
      <c r="G4195" s="15" t="str">
        <f>IFERROR(__xludf.DUMMYFUNCTION("""COMPUTED_VALUE"""),"Natalia Numpaque")</f>
        <v>Natalia Numpaque</v>
      </c>
      <c r="H4195" s="16">
        <f>IFERROR(__xludf.DUMMYFUNCTION("""COMPUTED_VALUE"""),12758.0)</f>
        <v>12758</v>
      </c>
      <c r="I4195" s="18">
        <f>IFERROR(__xludf.DUMMYFUNCTION("""COMPUTED_VALUE"""),100.0)</f>
        <v>100</v>
      </c>
      <c r="J4195" s="18">
        <f>IFERROR(__xludf.DUMMYFUNCTION("""COMPUTED_VALUE"""),200.0)</f>
        <v>200</v>
      </c>
      <c r="K4195" s="18">
        <f>IFERROR(__xludf.DUMMYFUNCTION("""COMPUTED_VALUE"""),200.0)</f>
        <v>200</v>
      </c>
      <c r="L4195" s="17">
        <f>IFERROR(__xludf.DUMMYFUNCTION("""COMPUTED_VALUE"""),3.134100428E9)</f>
        <v>3134100428</v>
      </c>
      <c r="M4195" s="17" t="str">
        <f>IFERROR(__xludf.DUMMYFUNCTION("""COMPUTED_VALUE"""),"#REF!")</f>
        <v>#REF!</v>
      </c>
      <c r="N4195" s="17"/>
      <c r="O4195" s="17"/>
      <c r="P4195" s="17" t="b">
        <f>IFERROR(__xludf.DUMMYFUNCTION("""COMPUTED_VALUE"""),TRUE)</f>
        <v>1</v>
      </c>
      <c r="Q4195" s="20">
        <f>IFERROR(__xludf.DUMMYFUNCTION("""COMPUTED_VALUE"""),45124.645547824075)</f>
        <v>45124.64555</v>
      </c>
      <c r="R4195" s="22" t="str">
        <f>IFERROR(__xludf.DUMMYFUNCTION("""COMPUTED_VALUE"""),"")</f>
        <v/>
      </c>
    </row>
    <row r="4196">
      <c r="A4196" s="17" t="str">
        <f>IFERROR(__xludf.DUMMYFUNCTION("""COMPUTED_VALUE"""),"")</f>
        <v/>
      </c>
      <c r="B4196" s="17" t="str">
        <f>IFERROR(__xludf.DUMMYFUNCTION("""COMPUTED_VALUE"""),"")</f>
        <v/>
      </c>
      <c r="C4196" s="17" t="str">
        <f>IFERROR(__xludf.DUMMYFUNCTION("""COMPUTED_VALUE"""),"")</f>
        <v/>
      </c>
      <c r="D4196" s="17" t="str">
        <f>IFERROR(__xludf.DUMMYFUNCTION("""COMPUTED_VALUE"""),"")</f>
        <v/>
      </c>
      <c r="E4196" s="17" t="str">
        <f>IFERROR(__xludf.DUMMYFUNCTION("""COMPUTED_VALUE"""),"")</f>
        <v/>
      </c>
      <c r="F4196" s="17" t="str">
        <f>IFERROR(__xludf.DUMMYFUNCTION("""COMPUTED_VALUE"""),"")</f>
        <v/>
      </c>
      <c r="G4196" s="17" t="str">
        <f>IFERROR(__xludf.DUMMYFUNCTION("""COMPUTED_VALUE"""),"")</f>
        <v/>
      </c>
      <c r="H4196" s="17" t="str">
        <f>IFERROR(__xludf.DUMMYFUNCTION("""COMPUTED_VALUE"""),"")</f>
        <v/>
      </c>
      <c r="I4196" s="17" t="str">
        <f>IFERROR(__xludf.DUMMYFUNCTION("""COMPUTED_VALUE"""),"")</f>
        <v/>
      </c>
      <c r="J4196" s="17" t="str">
        <f>IFERROR(__xludf.DUMMYFUNCTION("""COMPUTED_VALUE"""),"")</f>
        <v/>
      </c>
      <c r="K4196" s="17" t="str">
        <f>IFERROR(__xludf.DUMMYFUNCTION("""COMPUTED_VALUE"""),"")</f>
        <v/>
      </c>
      <c r="L4196" s="17" t="str">
        <f>IFERROR(__xludf.DUMMYFUNCTION("""COMPUTED_VALUE"""),"")</f>
        <v/>
      </c>
      <c r="M4196" s="17" t="str">
        <f>IFERROR(__xludf.DUMMYFUNCTION("""COMPUTED_VALUE"""),"")</f>
        <v/>
      </c>
      <c r="N4196" s="17" t="str">
        <f>IFERROR(__xludf.DUMMYFUNCTION("""COMPUTED_VALUE"""),"")</f>
        <v/>
      </c>
      <c r="O4196" s="17" t="str">
        <f>IFERROR(__xludf.DUMMYFUNCTION("""COMPUTED_VALUE"""),"")</f>
        <v/>
      </c>
      <c r="P4196" s="17" t="str">
        <f>IFERROR(__xludf.DUMMYFUNCTION("""COMPUTED_VALUE"""),"")</f>
        <v/>
      </c>
      <c r="Q4196" s="17" t="str">
        <f>IFERROR(__xludf.DUMMYFUNCTION("""COMPUTED_VALUE"""),"")</f>
        <v/>
      </c>
      <c r="R4196" s="17" t="str">
        <f>IFERROR(__xludf.DUMMYFUNCTION("""COMPUTED_VALUE"""),"")</f>
        <v/>
      </c>
    </row>
    <row r="4197">
      <c r="A4197" s="15">
        <f>IFERROR(__xludf.DUMMYFUNCTION("""COMPUTED_VALUE"""),45121.0)</f>
        <v>45121</v>
      </c>
      <c r="B4197" s="16" t="str">
        <f>IFERROR(__xludf.DUMMYFUNCTION("""COMPUTED_VALUE"""),"Orlando Urdaneta Rincon ")</f>
        <v>Orlando Urdaneta Rincon </v>
      </c>
      <c r="C4197" s="15" t="str">
        <f>IFERROR(__xludf.DUMMYFUNCTION("""COMPUTED_VALUE"""),"CAJICÁ")</f>
        <v>CAJICÁ</v>
      </c>
      <c r="D4197" s="15" t="str">
        <f>IFERROR(__xludf.DUMMYFUNCTION("""COMPUTED_VALUE"""),"BUCARAMANGA")</f>
        <v>BUCARAMANGA</v>
      </c>
      <c r="E4197" s="15" t="str">
        <f>IFERROR(__xludf.DUMMYFUNCTION("""COMPUTED_VALUE"""),"Yo Como Solito")</f>
        <v>Yo Como Solito</v>
      </c>
      <c r="F4197" s="17" t="str">
        <f>IFERROR(__xludf.DUMMYFUNCTION("""COMPUTED_VALUE"""),"KR 11 A ESTE 8 A 36 TORRE 1 APARTAMENTO 505, Conjunto Viantt. Barrio Granjitas. Cajicá, Cundinamarca. / KR 11 A ESTE 8 A 36 TORRE 1 APARTAMENTO 505, Conjunto Viantt. Barrio Granjitas. Cajicá, Cundinamarca. / KR 11 A ESTE 8 A 36 TORRE 1 APARTAMENTO 505, Co"&amp;"njunto Viantt. Barrio Granjitas. Cajicá, Cundinamarca.")</f>
        <v>KR 11 A ESTE 8 A 36 TORRE 1 APARTAMENTO 505, Conjunto Viantt. Barrio Granjitas. Cajicá, Cundinamarca. / KR 11 A ESTE 8 A 36 TORRE 1 APARTAMENTO 505, Conjunto Viantt. Barrio Granjitas. Cajicá, Cundinamarca. / KR 11 A ESTE 8 A 36 TORRE 1 APARTAMENTO 505, Conjunto Viantt. Barrio Granjitas. Cajicá, Cundinamarca.</v>
      </c>
      <c r="G4197" s="15" t="str">
        <f>IFERROR(__xludf.DUMMYFUNCTION("""COMPUTED_VALUE"""),"MARITZA PRADA")</f>
        <v>MARITZA PRADA</v>
      </c>
      <c r="H4197" s="16">
        <f>IFERROR(__xludf.DUMMYFUNCTION("""COMPUTED_VALUE"""),12761.0)</f>
        <v>12761</v>
      </c>
      <c r="I4197" s="18">
        <f>IFERROR(__xludf.DUMMYFUNCTION("""COMPUTED_VALUE"""),13.0)</f>
        <v>13</v>
      </c>
      <c r="J4197" s="18">
        <f>IFERROR(__xludf.DUMMYFUNCTION("""COMPUTED_VALUE"""),22.0)</f>
        <v>22</v>
      </c>
      <c r="K4197" s="18">
        <f>IFERROR(__xludf.DUMMYFUNCTION("""COMPUTED_VALUE"""),28.0)</f>
        <v>28</v>
      </c>
      <c r="L4197" s="17">
        <f>IFERROR(__xludf.DUMMYFUNCTION("""COMPUTED_VALUE"""),3.016777657E9)</f>
        <v>3016777657</v>
      </c>
      <c r="M4197" s="17" t="str">
        <f>IFERROR(__xludf.DUMMYFUNCTION("""COMPUTED_VALUE"""),"#REF!")</f>
        <v>#REF!</v>
      </c>
      <c r="N4197" s="17"/>
      <c r="O4197" s="17"/>
      <c r="P4197" s="17" t="b">
        <f>IFERROR(__xludf.DUMMYFUNCTION("""COMPUTED_VALUE"""),TRUE)</f>
        <v>1</v>
      </c>
      <c r="Q4197" s="20">
        <f>IFERROR(__xludf.DUMMYFUNCTION("""COMPUTED_VALUE"""),45124.645547824075)</f>
        <v>45124.64555</v>
      </c>
      <c r="R4197" s="21" t="str">
        <f>IFERROR(__xludf.DUMMYFUNCTION("""COMPUTED_VALUE"""),"https://drive.google.com/file/d/1Fz6C_dytYIYxR20tgjM8m5SqsttbDWa5/view?usp=drivesdk")</f>
        <v>https://drive.google.com/file/d/1Fz6C_dytYIYxR20tgjM8m5SqsttbDWa5/view?usp=drivesdk</v>
      </c>
    </row>
    <row r="4198">
      <c r="A4198" s="15">
        <f>IFERROR(__xludf.DUMMYFUNCTION("""COMPUTED_VALUE"""),45121.0)</f>
        <v>45121</v>
      </c>
      <c r="B4198" s="16" t="str">
        <f>IFERROR(__xludf.DUMMYFUNCTION("""COMPUTED_VALUE"""),"Orlando Urdaneta Rincon ")</f>
        <v>Orlando Urdaneta Rincon </v>
      </c>
      <c r="C4198" s="15" t="str">
        <f>IFERROR(__xludf.DUMMYFUNCTION("""COMPUTED_VALUE"""),"CAJICÁ")</f>
        <v>CAJICÁ</v>
      </c>
      <c r="D4198" s="15" t="str">
        <f>IFERROR(__xludf.DUMMYFUNCTION("""COMPUTED_VALUE"""),"MEDELLÍN")</f>
        <v>MEDELLÍN</v>
      </c>
      <c r="E4198" s="15" t="str">
        <f>IFERROR(__xludf.DUMMYFUNCTION("""COMPUTED_VALUE"""),"Rambla")</f>
        <v>Rambla</v>
      </c>
      <c r="F4198" s="17" t="str">
        <f>IFERROR(__xludf.DUMMYFUNCTION("""COMPUTED_VALUE"""),"CALLE 3 #19-307  / TORRE 3 APTO 404 / CAJICA")</f>
        <v>CALLE 3 #19-307  / TORRE 3 APTO 404 / CAJICA</v>
      </c>
      <c r="G4198" s="15" t="str">
        <f>IFERROR(__xludf.DUMMYFUNCTION("""COMPUTED_VALUE"""),"MONICA MORA")</f>
        <v>MONICA MORA</v>
      </c>
      <c r="H4198" s="16">
        <f>IFERROR(__xludf.DUMMYFUNCTION("""COMPUTED_VALUE"""),12749.0)</f>
        <v>12749</v>
      </c>
      <c r="I4198" s="18">
        <f>IFERROR(__xludf.DUMMYFUNCTION("""COMPUTED_VALUE"""),45.0)</f>
        <v>45</v>
      </c>
      <c r="J4198" s="18">
        <f>IFERROR(__xludf.DUMMYFUNCTION("""COMPUTED_VALUE"""),45.0)</f>
        <v>45</v>
      </c>
      <c r="K4198" s="18">
        <f>IFERROR(__xludf.DUMMYFUNCTION("""COMPUTED_VALUE"""),45.0)</f>
        <v>45</v>
      </c>
      <c r="L4198" s="17">
        <f>IFERROR(__xludf.DUMMYFUNCTION("""COMPUTED_VALUE"""),3.118572752E9)</f>
        <v>3118572752</v>
      </c>
      <c r="M4198" s="17" t="str">
        <f>IFERROR(__xludf.DUMMYFUNCTION("""COMPUTED_VALUE"""),"#REF!")</f>
        <v>#REF!</v>
      </c>
      <c r="N4198" s="17"/>
      <c r="O4198" s="17"/>
      <c r="P4198" s="17" t="b">
        <f>IFERROR(__xludf.DUMMYFUNCTION("""COMPUTED_VALUE"""),TRUE)</f>
        <v>1</v>
      </c>
      <c r="Q4198" s="20">
        <f>IFERROR(__xludf.DUMMYFUNCTION("""COMPUTED_VALUE"""),45124.645547824075)</f>
        <v>45124.64555</v>
      </c>
      <c r="R4198" s="21" t="str">
        <f>IFERROR(__xludf.DUMMYFUNCTION("""COMPUTED_VALUE"""),"https://drive.google.com/file/d/1OAXCiBeq7e9GC7FDYmCC2lMI_odrZdaK/view?usp=drivesdk")</f>
        <v>https://drive.google.com/file/d/1OAXCiBeq7e9GC7FDYmCC2lMI_odrZdaK/view?usp=drivesdk</v>
      </c>
    </row>
    <row r="4199">
      <c r="A4199" s="15">
        <f>IFERROR(__xludf.DUMMYFUNCTION("""COMPUTED_VALUE"""),45121.0)</f>
        <v>45121</v>
      </c>
      <c r="B4199" s="16" t="str">
        <f>IFERROR(__xludf.DUMMYFUNCTION("""COMPUTED_VALUE"""),"Orlando Urdaneta Rincon ")</f>
        <v>Orlando Urdaneta Rincon </v>
      </c>
      <c r="C4199" s="15" t="str">
        <f>IFERROR(__xludf.DUMMYFUNCTION("""COMPUTED_VALUE"""),"SANTA MARTA")</f>
        <v>SANTA MARTA</v>
      </c>
      <c r="D4199" s="15" t="str">
        <f>IFERROR(__xludf.DUMMYFUNCTION("""COMPUTED_VALUE"""),"BOGOTÁ")</f>
        <v>BOGOTÁ</v>
      </c>
      <c r="E4199" s="15" t="str">
        <f>IFERROR(__xludf.DUMMYFUNCTION("""COMPUTED_VALUE"""),"Asociacion Agropecuaria Juana Maria")</f>
        <v>Asociacion Agropecuaria Juana Maria</v>
      </c>
      <c r="F4199" s="17" t="str">
        <f>IFERROR(__xludf.DUMMYFUNCTION("""COMPUTED_VALUE"""),"carrera 24 # 22-02 Barrio: 7 de agosto (La Tienda)")</f>
        <v>carrera 24 # 22-02 Barrio: 7 de agosto (La Tienda)</v>
      </c>
      <c r="G4199" s="15" t="str">
        <f>IFERROR(__xludf.DUMMYFUNCTION("""COMPUTED_VALUE"""),"Jean Piero Epalza")</f>
        <v>Jean Piero Epalza</v>
      </c>
      <c r="H4199" s="16">
        <f>IFERROR(__xludf.DUMMYFUNCTION("""COMPUTED_VALUE"""),12492.0)</f>
        <v>12492</v>
      </c>
      <c r="I4199" s="18">
        <f>IFERROR(__xludf.DUMMYFUNCTION("""COMPUTED_VALUE"""),25.0)</f>
        <v>25</v>
      </c>
      <c r="J4199" s="18">
        <f>IFERROR(__xludf.DUMMYFUNCTION("""COMPUTED_VALUE"""),18.0)</f>
        <v>18</v>
      </c>
      <c r="K4199" s="18">
        <f>IFERROR(__xludf.DUMMYFUNCTION("""COMPUTED_VALUE"""),3.0)</f>
        <v>3</v>
      </c>
      <c r="L4199" s="17">
        <f>IFERROR(__xludf.DUMMYFUNCTION("""COMPUTED_VALUE"""),3.043456661E9)</f>
        <v>3043456661</v>
      </c>
      <c r="M4199" s="17" t="str">
        <f>IFERROR(__xludf.DUMMYFUNCTION("""COMPUTED_VALUE"""),"#REF!")</f>
        <v>#REF!</v>
      </c>
      <c r="N4199" s="17"/>
      <c r="O4199" s="17"/>
      <c r="P4199" s="17" t="b">
        <f>IFERROR(__xludf.DUMMYFUNCTION("""COMPUTED_VALUE"""),TRUE)</f>
        <v>1</v>
      </c>
      <c r="Q4199" s="20">
        <f>IFERROR(__xludf.DUMMYFUNCTION("""COMPUTED_VALUE"""),45121.727843298606)</f>
        <v>45121.72784</v>
      </c>
      <c r="R4199" s="21" t="str">
        <f>IFERROR(__xludf.DUMMYFUNCTION("""COMPUTED_VALUE"""),"https://drive.google.com/file/d/1i5PzdFCeW2l0E2ERiaIt_eX3VlHqgpx4/view?usp=drivesdk")</f>
        <v>https://drive.google.com/file/d/1i5PzdFCeW2l0E2ERiaIt_eX3VlHqgpx4/view?usp=drivesdk</v>
      </c>
    </row>
    <row r="4200">
      <c r="A4200" s="15">
        <f>IFERROR(__xludf.DUMMYFUNCTION("""COMPUTED_VALUE"""),45121.0)</f>
        <v>45121</v>
      </c>
      <c r="B4200" s="16" t="str">
        <f>IFERROR(__xludf.DUMMYFUNCTION("""COMPUTED_VALUE"""),"Orlando Urdaneta Rincon ")</f>
        <v>Orlando Urdaneta Rincon </v>
      </c>
      <c r="C4200" s="15" t="str">
        <f>IFERROR(__xludf.DUMMYFUNCTION("""COMPUTED_VALUE"""),"SANTA MARTA")</f>
        <v>SANTA MARTA</v>
      </c>
      <c r="D4200" s="15" t="str">
        <f>IFERROR(__xludf.DUMMYFUNCTION("""COMPUTED_VALUE"""),"BOGOTÁ")</f>
        <v>BOGOTÁ</v>
      </c>
      <c r="E4200" s="15" t="str">
        <f>IFERROR(__xludf.DUMMYFUNCTION("""COMPUTED_VALUE"""),"Ins. Alimento Vital")</f>
        <v>Ins. Alimento Vital</v>
      </c>
      <c r="F4200" s="17" t="str">
        <f>IFERROR(__xludf.DUMMYFUNCTION("""COMPUTED_VALUE"""),"CR 2 16 28 / VILLA BELLA CASA 10 / RODADERO")</f>
        <v>CR 2 16 28 / VILLA BELLA CASA 10 / RODADERO</v>
      </c>
      <c r="G4200" s="15" t="str">
        <f>IFERROR(__xludf.DUMMYFUNCTION("""COMPUTED_VALUE"""),"LILIANA DEL CARMEN RODRIGUEZ ACEVEDO")</f>
        <v>LILIANA DEL CARMEN RODRIGUEZ ACEVEDO</v>
      </c>
      <c r="H4200" s="16">
        <f>IFERROR(__xludf.DUMMYFUNCTION("""COMPUTED_VALUE"""),12662.0)</f>
        <v>12662</v>
      </c>
      <c r="I4200" s="18">
        <f>IFERROR(__xludf.DUMMYFUNCTION("""COMPUTED_VALUE"""),1.0)</f>
        <v>1</v>
      </c>
      <c r="J4200" s="18">
        <f>IFERROR(__xludf.DUMMYFUNCTION("""COMPUTED_VALUE"""),1.0)</f>
        <v>1</v>
      </c>
      <c r="K4200" s="18">
        <f>IFERROR(__xludf.DUMMYFUNCTION("""COMPUTED_VALUE"""),1.0)</f>
        <v>1</v>
      </c>
      <c r="L4200" s="17">
        <f>IFERROR(__xludf.DUMMYFUNCTION("""COMPUTED_VALUE"""),3.008165296E9)</f>
        <v>3008165296</v>
      </c>
      <c r="M4200" s="17" t="str">
        <f>IFERROR(__xludf.DUMMYFUNCTION("""COMPUTED_VALUE"""),"#REF!")</f>
        <v>#REF!</v>
      </c>
      <c r="N4200" s="17"/>
      <c r="O4200" s="17"/>
      <c r="P4200" s="17" t="b">
        <f>IFERROR(__xludf.DUMMYFUNCTION("""COMPUTED_VALUE"""),TRUE)</f>
        <v>1</v>
      </c>
      <c r="Q4200" s="20">
        <f>IFERROR(__xludf.DUMMYFUNCTION("""COMPUTED_VALUE"""),45124.645547824075)</f>
        <v>45124.64555</v>
      </c>
      <c r="R4200" s="21" t="str">
        <f>IFERROR(__xludf.DUMMYFUNCTION("""COMPUTED_VALUE"""),"https://drive.google.com/file/d/1Qh-LhpDY2mrzKEHH_qVqC6Of7op9iWWl/view?usp=drivesdk")</f>
        <v>https://drive.google.com/file/d/1Qh-LhpDY2mrzKEHH_qVqC6Of7op9iWWl/view?usp=drivesdk</v>
      </c>
    </row>
    <row r="4201">
      <c r="A4201" s="15">
        <f>IFERROR(__xludf.DUMMYFUNCTION("""COMPUTED_VALUE"""),45121.0)</f>
        <v>45121</v>
      </c>
      <c r="B4201" s="16" t="str">
        <f>IFERROR(__xludf.DUMMYFUNCTION("""COMPUTED_VALUE"""),"Orlando Urdaneta Rincon ")</f>
        <v>Orlando Urdaneta Rincon </v>
      </c>
      <c r="C4201" s="15" t="str">
        <f>IFERROR(__xludf.DUMMYFUNCTION("""COMPUTED_VALUE"""),"SANTA MARTA")</f>
        <v>SANTA MARTA</v>
      </c>
      <c r="D4201" s="15" t="str">
        <f>IFERROR(__xludf.DUMMYFUNCTION("""COMPUTED_VALUE"""),"MEDELLÍN")</f>
        <v>MEDELLÍN</v>
      </c>
      <c r="E4201" s="15" t="str">
        <f>IFERROR(__xludf.DUMMYFUNCTION("""COMPUTED_VALUE"""),"Baby Chef")</f>
        <v>Baby Chef</v>
      </c>
      <c r="F4201" s="17" t="str">
        <f>IFERROR(__xludf.DUMMYFUNCTION("""COMPUTED_VALUE"""),"Calle 11A #5-40 Rodadero / Calle 11A #5-40 Rodadero / Calle 11A #5-40 Rodadero")</f>
        <v>Calle 11A #5-40 Rodadero / Calle 11A #5-40 Rodadero / Calle 11A #5-40 Rodadero</v>
      </c>
      <c r="G4201" s="15" t="str">
        <f>IFERROR(__xludf.DUMMYFUNCTION("""COMPUTED_VALUE"""),"Melissa Cabaellero")</f>
        <v>Melissa Cabaellero</v>
      </c>
      <c r="H4201" s="16">
        <f>IFERROR(__xludf.DUMMYFUNCTION("""COMPUTED_VALUE"""),12712.0)</f>
        <v>12712</v>
      </c>
      <c r="I4201" s="18">
        <f>IFERROR(__xludf.DUMMYFUNCTION("""COMPUTED_VALUE"""),8.0)</f>
        <v>8</v>
      </c>
      <c r="J4201" s="18">
        <f>IFERROR(__xludf.DUMMYFUNCTION("""COMPUTED_VALUE"""),16.0)</f>
        <v>16</v>
      </c>
      <c r="K4201" s="18">
        <f>IFERROR(__xludf.DUMMYFUNCTION("""COMPUTED_VALUE"""),20.0)</f>
        <v>20</v>
      </c>
      <c r="L4201" s="17">
        <f>IFERROR(__xludf.DUMMYFUNCTION("""COMPUTED_VALUE"""),3.044614918E9)</f>
        <v>3044614918</v>
      </c>
      <c r="M4201" s="17" t="str">
        <f>IFERROR(__xludf.DUMMYFUNCTION("""COMPUTED_VALUE"""),"#REF!")</f>
        <v>#REF!</v>
      </c>
      <c r="N4201" s="17"/>
      <c r="O4201" s="17"/>
      <c r="P4201" s="17" t="b">
        <f>IFERROR(__xludf.DUMMYFUNCTION("""COMPUTED_VALUE"""),TRUE)</f>
        <v>1</v>
      </c>
      <c r="Q4201" s="20">
        <f>IFERROR(__xludf.DUMMYFUNCTION("""COMPUTED_VALUE"""),45124.645547824075)</f>
        <v>45124.64555</v>
      </c>
      <c r="R4201" s="21" t="str">
        <f>IFERROR(__xludf.DUMMYFUNCTION("""COMPUTED_VALUE"""),"https://drive.google.com/file/d/1EJyi8ebbN6skxQyUIkYGy1lIFglwCtay/view?usp=drivesdk")</f>
        <v>https://drive.google.com/file/d/1EJyi8ebbN6skxQyUIkYGy1lIFglwCtay/view?usp=drivesdk</v>
      </c>
    </row>
    <row r="4202">
      <c r="A4202" s="15">
        <f>IFERROR(__xludf.DUMMYFUNCTION("""COMPUTED_VALUE"""),45121.0)</f>
        <v>45121</v>
      </c>
      <c r="B4202" s="16" t="str">
        <f>IFERROR(__xludf.DUMMYFUNCTION("""COMPUTED_VALUE"""),"Orlando Urdaneta Rincon ")</f>
        <v>Orlando Urdaneta Rincon </v>
      </c>
      <c r="C4202" s="15" t="str">
        <f>IFERROR(__xludf.DUMMYFUNCTION("""COMPUTED_VALUE"""),"SANTA MARTA")</f>
        <v>SANTA MARTA</v>
      </c>
      <c r="D4202" s="15" t="str">
        <f>IFERROR(__xludf.DUMMYFUNCTION("""COMPUTED_VALUE"""),"MEDELLÍN")</f>
        <v>MEDELLÍN</v>
      </c>
      <c r="E4202" s="15" t="str">
        <f>IFERROR(__xludf.DUMMYFUNCTION("""COMPUTED_VALUE"""),"Magda")</f>
        <v>Magda</v>
      </c>
      <c r="F4202" s="17" t="str">
        <f>IFERROR(__xludf.DUMMYFUNCTION("""COMPUTED_VALUE"""),"calle 22#6-82  / ""centro comercial plazuela 22 local 27 "" / Centro")</f>
        <v>calle 22#6-82  / "centro comercial plazuela 22 local 27 " / Centro</v>
      </c>
      <c r="G4202" s="15" t="str">
        <f>IFERROR(__xludf.DUMMYFUNCTION("""COMPUTED_VALUE"""),"Shirley Monjarres")</f>
        <v>Shirley Monjarres</v>
      </c>
      <c r="H4202" s="16">
        <f>IFERROR(__xludf.DUMMYFUNCTION("""COMPUTED_VALUE"""),12715.0)</f>
        <v>12715</v>
      </c>
      <c r="I4202" s="18">
        <f>IFERROR(__xludf.DUMMYFUNCTION("""COMPUTED_VALUE"""),5.0)</f>
        <v>5</v>
      </c>
      <c r="J4202" s="18">
        <f>IFERROR(__xludf.DUMMYFUNCTION("""COMPUTED_VALUE"""),5.0)</f>
        <v>5</v>
      </c>
      <c r="K4202" s="18">
        <f>IFERROR(__xludf.DUMMYFUNCTION("""COMPUTED_VALUE"""),5.0)</f>
        <v>5</v>
      </c>
      <c r="L4202" s="17">
        <f>IFERROR(__xludf.DUMMYFUNCTION("""COMPUTED_VALUE"""),3.054269156E9)</f>
        <v>3054269156</v>
      </c>
      <c r="M4202" s="17" t="str">
        <f>IFERROR(__xludf.DUMMYFUNCTION("""COMPUTED_VALUE"""),"#REF!")</f>
        <v>#REF!</v>
      </c>
      <c r="N4202" s="17"/>
      <c r="O4202" s="17"/>
      <c r="P4202" s="17" t="b">
        <f>IFERROR(__xludf.DUMMYFUNCTION("""COMPUTED_VALUE"""),TRUE)</f>
        <v>1</v>
      </c>
      <c r="Q4202" s="20">
        <f>IFERROR(__xludf.DUMMYFUNCTION("""COMPUTED_VALUE"""),45124.645547824075)</f>
        <v>45124.64555</v>
      </c>
      <c r="R4202" s="22" t="str">
        <f>IFERROR(__xludf.DUMMYFUNCTION("""COMPUTED_VALUE"""),"")</f>
        <v/>
      </c>
    </row>
    <row r="4203">
      <c r="A4203" s="15">
        <f>IFERROR(__xludf.DUMMYFUNCTION("""COMPUTED_VALUE"""),45121.0)</f>
        <v>45121</v>
      </c>
      <c r="B4203" s="16" t="str">
        <f>IFERROR(__xludf.DUMMYFUNCTION("""COMPUTED_VALUE"""),"Orlando Urdaneta Rincon ")</f>
        <v>Orlando Urdaneta Rincon </v>
      </c>
      <c r="C4203" s="15" t="str">
        <f>IFERROR(__xludf.DUMMYFUNCTION("""COMPUTED_VALUE"""),"SANTA MARTA")</f>
        <v>SANTA MARTA</v>
      </c>
      <c r="D4203" s="15" t="str">
        <f>IFERROR(__xludf.DUMMYFUNCTION("""COMPUTED_VALUE"""),"MEDELLÍN")</f>
        <v>MEDELLÍN</v>
      </c>
      <c r="E4203" s="15" t="str">
        <f>IFERROR(__xludf.DUMMYFUNCTION("""COMPUTED_VALUE"""),"Panki Waffle")</f>
        <v>Panki Waffle</v>
      </c>
      <c r="F4203" s="17" t="str">
        <f>IFERROR(__xludf.DUMMYFUNCTION("""COMPUTED_VALUE"""),"Crr 4 cll 135 / Esquina sector bello aol / Bello aol")</f>
        <v>Crr 4 cll 135 / Esquina sector bello aol / Bello aol</v>
      </c>
      <c r="G4203" s="15" t="str">
        <f>IFERROR(__xludf.DUMMYFUNCTION("""COMPUTED_VALUE"""),"Esther cortes")</f>
        <v>Esther cortes</v>
      </c>
      <c r="H4203" s="16">
        <f>IFERROR(__xludf.DUMMYFUNCTION("""COMPUTED_VALUE"""),12558.0)</f>
        <v>12558</v>
      </c>
      <c r="I4203" s="18">
        <f>IFERROR(__xludf.DUMMYFUNCTION("""COMPUTED_VALUE"""),45053.0)</f>
        <v>45053</v>
      </c>
      <c r="J4203" s="18">
        <f>IFERROR(__xludf.DUMMYFUNCTION("""COMPUTED_VALUE"""),24.0)</f>
        <v>24</v>
      </c>
      <c r="K4203" s="18">
        <f>IFERROR(__xludf.DUMMYFUNCTION("""COMPUTED_VALUE"""),21.0)</f>
        <v>21</v>
      </c>
      <c r="L4203" s="17">
        <f>IFERROR(__xludf.DUMMYFUNCTION("""COMPUTED_VALUE"""),3.125779752E9)</f>
        <v>3125779752</v>
      </c>
      <c r="M4203" s="17" t="str">
        <f>IFERROR(__xludf.DUMMYFUNCTION("""COMPUTED_VALUE"""),"#REF!")</f>
        <v>#REF!</v>
      </c>
      <c r="N4203" s="17"/>
      <c r="O4203" s="17"/>
      <c r="P4203" s="17" t="b">
        <f>IFERROR(__xludf.DUMMYFUNCTION("""COMPUTED_VALUE"""),TRUE)</f>
        <v>1</v>
      </c>
      <c r="Q4203" s="20">
        <f>IFERROR(__xludf.DUMMYFUNCTION("""COMPUTED_VALUE"""),45124.645547824075)</f>
        <v>45124.64555</v>
      </c>
      <c r="R4203" s="21" t="str">
        <f>IFERROR(__xludf.DUMMYFUNCTION("""COMPUTED_VALUE"""),"https://drive.google.com/file/d/1iUp1uU8odcr69vSvqVrDl8efiMmyg7yZ/view?usp=drivesdk")</f>
        <v>https://drive.google.com/file/d/1iUp1uU8odcr69vSvqVrDl8efiMmyg7yZ/view?usp=drivesdk</v>
      </c>
    </row>
    <row r="4204">
      <c r="A4204" s="17" t="str">
        <f>IFERROR(__xludf.DUMMYFUNCTION("""COMPUTED_VALUE"""),"")</f>
        <v/>
      </c>
      <c r="B4204" s="17" t="str">
        <f>IFERROR(__xludf.DUMMYFUNCTION("""COMPUTED_VALUE"""),"")</f>
        <v/>
      </c>
      <c r="C4204" s="17" t="str">
        <f>IFERROR(__xludf.DUMMYFUNCTION("""COMPUTED_VALUE"""),"")</f>
        <v/>
      </c>
      <c r="D4204" s="17" t="str">
        <f>IFERROR(__xludf.DUMMYFUNCTION("""COMPUTED_VALUE"""),"")</f>
        <v/>
      </c>
      <c r="E4204" s="17" t="str">
        <f>IFERROR(__xludf.DUMMYFUNCTION("""COMPUTED_VALUE"""),"")</f>
        <v/>
      </c>
      <c r="F4204" s="17" t="str">
        <f>IFERROR(__xludf.DUMMYFUNCTION("""COMPUTED_VALUE"""),"")</f>
        <v/>
      </c>
      <c r="G4204" s="17" t="str">
        <f>IFERROR(__xludf.DUMMYFUNCTION("""COMPUTED_VALUE"""),"")</f>
        <v/>
      </c>
      <c r="H4204" s="17" t="str">
        <f>IFERROR(__xludf.DUMMYFUNCTION("""COMPUTED_VALUE"""),"")</f>
        <v/>
      </c>
      <c r="I4204" s="17" t="str">
        <f>IFERROR(__xludf.DUMMYFUNCTION("""COMPUTED_VALUE"""),"")</f>
        <v/>
      </c>
      <c r="J4204" s="17" t="str">
        <f>IFERROR(__xludf.DUMMYFUNCTION("""COMPUTED_VALUE"""),"")</f>
        <v/>
      </c>
      <c r="K4204" s="17" t="str">
        <f>IFERROR(__xludf.DUMMYFUNCTION("""COMPUTED_VALUE"""),"")</f>
        <v/>
      </c>
      <c r="L4204" s="17" t="str">
        <f>IFERROR(__xludf.DUMMYFUNCTION("""COMPUTED_VALUE"""),"")</f>
        <v/>
      </c>
      <c r="M4204" s="17" t="str">
        <f>IFERROR(__xludf.DUMMYFUNCTION("""COMPUTED_VALUE"""),"")</f>
        <v/>
      </c>
      <c r="N4204" s="17" t="str">
        <f>IFERROR(__xludf.DUMMYFUNCTION("""COMPUTED_VALUE"""),"")</f>
        <v/>
      </c>
      <c r="O4204" s="17" t="str">
        <f>IFERROR(__xludf.DUMMYFUNCTION("""COMPUTED_VALUE"""),"")</f>
        <v/>
      </c>
      <c r="P4204" s="17" t="str">
        <f>IFERROR(__xludf.DUMMYFUNCTION("""COMPUTED_VALUE"""),"")</f>
        <v/>
      </c>
      <c r="Q4204" s="17" t="str">
        <f>IFERROR(__xludf.DUMMYFUNCTION("""COMPUTED_VALUE"""),"")</f>
        <v/>
      </c>
      <c r="R4204" s="17" t="str">
        <f>IFERROR(__xludf.DUMMYFUNCTION("""COMPUTED_VALUE"""),"")</f>
        <v/>
      </c>
    </row>
    <row r="4205">
      <c r="A4205" s="15">
        <f>IFERROR(__xludf.DUMMYFUNCTION("""COMPUTED_VALUE"""),45121.0)</f>
        <v>45121</v>
      </c>
      <c r="B4205" s="16" t="str">
        <f>IFERROR(__xludf.DUMMYFUNCTION("""COMPUTED_VALUE"""),"Sebastian Restrepo Martinez ")</f>
        <v>Sebastian Restrepo Martinez </v>
      </c>
      <c r="C4205" s="15" t="str">
        <f>IFERROR(__xludf.DUMMYFUNCTION("""COMPUTED_VALUE"""),"MEDELLÍN")</f>
        <v>MEDELLÍN</v>
      </c>
      <c r="D4205" s="15" t="str">
        <f>IFERROR(__xludf.DUMMYFUNCTION("""COMPUTED_VALUE"""),"BOGOTÁ")</f>
        <v>BOGOTÁ</v>
      </c>
      <c r="E4205" s="15" t="str">
        <f>IFERROR(__xludf.DUMMYFUNCTION("""COMPUTED_VALUE"""),"Renata")</f>
        <v>Renata</v>
      </c>
      <c r="F4205" s="17" t="str">
        <f>IFERROR(__xludf.DUMMYFUNCTION("""COMPUTED_VALUE"""),"Carrera 32d#9-43 / Seline y cowork -restaurante  / Provenza")</f>
        <v>Carrera 32d#9-43 / Seline y cowork -restaurante  / Provenza</v>
      </c>
      <c r="G4205" s="15" t="str">
        <f>IFERROR(__xludf.DUMMYFUNCTION("""COMPUTED_VALUE"""),"Front y back hospitality group")</f>
        <v>Front y back hospitality group</v>
      </c>
      <c r="H4205" s="16">
        <f>IFERROR(__xludf.DUMMYFUNCTION("""COMPUTED_VALUE"""),12731.0)</f>
        <v>12731</v>
      </c>
      <c r="I4205" s="18">
        <f>IFERROR(__xludf.DUMMYFUNCTION("""COMPUTED_VALUE"""),90.0)</f>
        <v>90</v>
      </c>
      <c r="J4205" s="18">
        <f>IFERROR(__xludf.DUMMYFUNCTION("""COMPUTED_VALUE"""),70.0)</f>
        <v>70</v>
      </c>
      <c r="K4205" s="18">
        <f>IFERROR(__xludf.DUMMYFUNCTION("""COMPUTED_VALUE"""),60.0)</f>
        <v>60</v>
      </c>
      <c r="L4205" s="17">
        <f>IFERROR(__xludf.DUMMYFUNCTION("""COMPUTED_VALUE"""),3.104047368E9)</f>
        <v>3104047368</v>
      </c>
      <c r="M4205" s="17" t="str">
        <f>IFERROR(__xludf.DUMMYFUNCTION("""COMPUTED_VALUE"""),"#REF!")</f>
        <v>#REF!</v>
      </c>
      <c r="N4205" s="17"/>
      <c r="O4205" s="17"/>
      <c r="P4205" s="17" t="b">
        <f>IFERROR(__xludf.DUMMYFUNCTION("""COMPUTED_VALUE"""),FALSE)</f>
        <v>0</v>
      </c>
      <c r="Q4205" s="20" t="str">
        <f>IFERROR(__xludf.DUMMYFUNCTION("""COMPUTED_VALUE"""),"")</f>
        <v/>
      </c>
      <c r="R4205" s="22" t="str">
        <f>IFERROR(__xludf.DUMMYFUNCTION("""COMPUTED_VALUE"""),"")</f>
        <v/>
      </c>
    </row>
    <row r="4206">
      <c r="A4206" s="17" t="str">
        <f>IFERROR(__xludf.DUMMYFUNCTION("""COMPUTED_VALUE"""),"")</f>
        <v/>
      </c>
      <c r="B4206" s="17" t="str">
        <f>IFERROR(__xludf.DUMMYFUNCTION("""COMPUTED_VALUE"""),"")</f>
        <v/>
      </c>
      <c r="C4206" s="17" t="str">
        <f>IFERROR(__xludf.DUMMYFUNCTION("""COMPUTED_VALUE"""),"")</f>
        <v/>
      </c>
      <c r="D4206" s="17" t="str">
        <f>IFERROR(__xludf.DUMMYFUNCTION("""COMPUTED_VALUE"""),"")</f>
        <v/>
      </c>
      <c r="E4206" s="17" t="str">
        <f>IFERROR(__xludf.DUMMYFUNCTION("""COMPUTED_VALUE"""),"")</f>
        <v/>
      </c>
      <c r="F4206" s="17" t="str">
        <f>IFERROR(__xludf.DUMMYFUNCTION("""COMPUTED_VALUE"""),"")</f>
        <v/>
      </c>
      <c r="G4206" s="17" t="str">
        <f>IFERROR(__xludf.DUMMYFUNCTION("""COMPUTED_VALUE"""),"")</f>
        <v/>
      </c>
      <c r="H4206" s="17" t="str">
        <f>IFERROR(__xludf.DUMMYFUNCTION("""COMPUTED_VALUE"""),"")</f>
        <v/>
      </c>
      <c r="I4206" s="17" t="str">
        <f>IFERROR(__xludf.DUMMYFUNCTION("""COMPUTED_VALUE"""),"")</f>
        <v/>
      </c>
      <c r="J4206" s="17" t="str">
        <f>IFERROR(__xludf.DUMMYFUNCTION("""COMPUTED_VALUE"""),"")</f>
        <v/>
      </c>
      <c r="K4206" s="17" t="str">
        <f>IFERROR(__xludf.DUMMYFUNCTION("""COMPUTED_VALUE"""),"")</f>
        <v/>
      </c>
      <c r="L4206" s="17" t="str">
        <f>IFERROR(__xludf.DUMMYFUNCTION("""COMPUTED_VALUE"""),"")</f>
        <v/>
      </c>
      <c r="M4206" s="17" t="str">
        <f>IFERROR(__xludf.DUMMYFUNCTION("""COMPUTED_VALUE"""),"")</f>
        <v/>
      </c>
      <c r="N4206" s="17" t="str">
        <f>IFERROR(__xludf.DUMMYFUNCTION("""COMPUTED_VALUE"""),"")</f>
        <v/>
      </c>
      <c r="O4206" s="17" t="str">
        <f>IFERROR(__xludf.DUMMYFUNCTION("""COMPUTED_VALUE"""),"")</f>
        <v/>
      </c>
      <c r="P4206" s="17" t="str">
        <f>IFERROR(__xludf.DUMMYFUNCTION("""COMPUTED_VALUE"""),"")</f>
        <v/>
      </c>
      <c r="Q4206" s="17" t="str">
        <f>IFERROR(__xludf.DUMMYFUNCTION("""COMPUTED_VALUE"""),"")</f>
        <v/>
      </c>
      <c r="R4206" s="17" t="str">
        <f>IFERROR(__xludf.DUMMYFUNCTION("""COMPUTED_VALUE"""),"")</f>
        <v/>
      </c>
    </row>
    <row r="4207">
      <c r="A4207" s="15">
        <f>IFERROR(__xludf.DUMMYFUNCTION("""COMPUTED_VALUE"""),45121.0)</f>
        <v>45121</v>
      </c>
      <c r="B4207" s="16" t="str">
        <f>IFERROR(__xludf.DUMMYFUNCTION("""COMPUTED_VALUE"""),"Yenis Carolina sicuamia montaño")</f>
        <v>Yenis Carolina sicuamia montaño</v>
      </c>
      <c r="C4207" s="15" t="str">
        <f>IFERROR(__xludf.DUMMYFUNCTION("""COMPUTED_VALUE"""),"BARRANQUILLA")</f>
        <v>BARRANQUILLA</v>
      </c>
      <c r="D4207" s="15" t="str">
        <f>IFERROR(__xludf.DUMMYFUNCTION("""COMPUTED_VALUE"""),"MEDELLÍN")</f>
        <v>MEDELLÍN</v>
      </c>
      <c r="E4207" s="15" t="str">
        <f>IFERROR(__xludf.DUMMYFUNCTION("""COMPUTED_VALUE"""),"Todo Bufala")</f>
        <v>Todo Bufala</v>
      </c>
      <c r="F4207" s="17" t="str">
        <f>IFERROR(__xludf.DUMMYFUNCTION("""COMPUTED_VALUE"""),"cra 43 N 84 - 74 / Centro nutricional local 3")</f>
        <v>cra 43 N 84 - 74 / Centro nutricional local 3</v>
      </c>
      <c r="G4207" s="15" t="str">
        <f>IFERROR(__xludf.DUMMYFUNCTION("""COMPUTED_VALUE"""),"Eliana Sarmiento")</f>
        <v>Eliana Sarmiento</v>
      </c>
      <c r="H4207" s="16">
        <f>IFERROR(__xludf.DUMMYFUNCTION("""COMPUTED_VALUE"""),12462.0)</f>
        <v>12462</v>
      </c>
      <c r="I4207" s="18">
        <f>IFERROR(__xludf.DUMMYFUNCTION("""COMPUTED_VALUE"""),20.0)</f>
        <v>20</v>
      </c>
      <c r="J4207" s="18">
        <f>IFERROR(__xludf.DUMMYFUNCTION("""COMPUTED_VALUE"""),30.0)</f>
        <v>30</v>
      </c>
      <c r="K4207" s="18">
        <f>IFERROR(__xludf.DUMMYFUNCTION("""COMPUTED_VALUE"""),40.0)</f>
        <v>40</v>
      </c>
      <c r="L4207" s="17">
        <f>IFERROR(__xludf.DUMMYFUNCTION("""COMPUTED_VALUE"""),3.226082052E9)</f>
        <v>3226082052</v>
      </c>
      <c r="M4207" s="17" t="str">
        <f>IFERROR(__xludf.DUMMYFUNCTION("""COMPUTED_VALUE"""),"#REF!")</f>
        <v>#REF!</v>
      </c>
      <c r="N4207" s="17"/>
      <c r="O4207" s="17"/>
      <c r="P4207" s="17" t="b">
        <f>IFERROR(__xludf.DUMMYFUNCTION("""COMPUTED_VALUE"""),TRUE)</f>
        <v>1</v>
      </c>
      <c r="Q4207" s="20">
        <f>IFERROR(__xludf.DUMMYFUNCTION("""COMPUTED_VALUE"""),45125.57347596065)</f>
        <v>45125.57348</v>
      </c>
      <c r="R4207" s="21" t="str">
        <f>IFERROR(__xludf.DUMMYFUNCTION("""COMPUTED_VALUE"""),"https://drive.google.com/file/d/1torbvB2Nc0FIhsuIhQjq57s2e6a-ngfO/view?usp=drivesdk")</f>
        <v>https://drive.google.com/file/d/1torbvB2Nc0FIhsuIhQjq57s2e6a-ngfO/view?usp=drivesdk</v>
      </c>
    </row>
    <row r="4208">
      <c r="A4208" s="15">
        <f>IFERROR(__xludf.DUMMYFUNCTION("""COMPUTED_VALUE"""),45121.0)</f>
        <v>45121</v>
      </c>
      <c r="B4208" s="16" t="str">
        <f>IFERROR(__xludf.DUMMYFUNCTION("""COMPUTED_VALUE"""),"Yenis Carolina sicuamia montaño")</f>
        <v>Yenis Carolina sicuamia montaño</v>
      </c>
      <c r="C4208" s="15" t="str">
        <f>IFERROR(__xludf.DUMMYFUNCTION("""COMPUTED_VALUE"""),"BARRANQUILLA")</f>
        <v>BARRANQUILLA</v>
      </c>
      <c r="D4208" s="15" t="str">
        <f>IFERROR(__xludf.DUMMYFUNCTION("""COMPUTED_VALUE"""),"MEDELLÍN")</f>
        <v>MEDELLÍN</v>
      </c>
      <c r="E4208" s="15" t="str">
        <f>IFERROR(__xludf.DUMMYFUNCTION("""COMPUTED_VALUE"""),"Todo Bufala")</f>
        <v>Todo Bufala</v>
      </c>
      <c r="F4208" s="17" t="str">
        <f>IFERROR(__xludf.DUMMYFUNCTION("""COMPUTED_VALUE"""),"cra 43 N 84 - 74 / Centro nutricional local 3")</f>
        <v>cra 43 N 84 - 74 / Centro nutricional local 3</v>
      </c>
      <c r="G4208" s="15" t="str">
        <f>IFERROR(__xludf.DUMMYFUNCTION("""COMPUTED_VALUE"""),"Eliana Sarmiento")</f>
        <v>Eliana Sarmiento</v>
      </c>
      <c r="H4208" s="16">
        <f>IFERROR(__xludf.DUMMYFUNCTION("""COMPUTED_VALUE"""),12657.0)</f>
        <v>12657</v>
      </c>
      <c r="I4208" s="18">
        <f>IFERROR(__xludf.DUMMYFUNCTION("""COMPUTED_VALUE"""),20.0)</f>
        <v>20</v>
      </c>
      <c r="J4208" s="18">
        <f>IFERROR(__xludf.DUMMYFUNCTION("""COMPUTED_VALUE"""),30.0)</f>
        <v>30</v>
      </c>
      <c r="K4208" s="18">
        <f>IFERROR(__xludf.DUMMYFUNCTION("""COMPUTED_VALUE"""),40.0)</f>
        <v>40</v>
      </c>
      <c r="L4208" s="17">
        <f>IFERROR(__xludf.DUMMYFUNCTION("""COMPUTED_VALUE"""),3.226082052E9)</f>
        <v>3226082052</v>
      </c>
      <c r="M4208" s="17" t="str">
        <f>IFERROR(__xludf.DUMMYFUNCTION("""COMPUTED_VALUE"""),"#REF!")</f>
        <v>#REF!</v>
      </c>
      <c r="N4208" s="17"/>
      <c r="O4208" s="17"/>
      <c r="P4208" s="17" t="b">
        <f>IFERROR(__xludf.DUMMYFUNCTION("""COMPUTED_VALUE"""),TRUE)</f>
        <v>1</v>
      </c>
      <c r="Q4208" s="20">
        <f>IFERROR(__xludf.DUMMYFUNCTION("""COMPUTED_VALUE"""),45125.69935225694)</f>
        <v>45125.69935</v>
      </c>
      <c r="R4208" s="22" t="str">
        <f>IFERROR(__xludf.DUMMYFUNCTION("""COMPUTED_VALUE"""),"")</f>
        <v/>
      </c>
    </row>
    <row r="4209">
      <c r="A4209" s="15">
        <f>IFERROR(__xludf.DUMMYFUNCTION("""COMPUTED_VALUE"""),45121.0)</f>
        <v>45121</v>
      </c>
      <c r="B4209" s="16" t="str">
        <f>IFERROR(__xludf.DUMMYFUNCTION("""COMPUTED_VALUE"""),"Yenis Carolina sicuamia montaño")</f>
        <v>Yenis Carolina sicuamia montaño</v>
      </c>
      <c r="C4209" s="15" t="str">
        <f>IFERROR(__xludf.DUMMYFUNCTION("""COMPUTED_VALUE"""),"VALLEDUPAR")</f>
        <v>VALLEDUPAR</v>
      </c>
      <c r="D4209" s="15" t="str">
        <f>IFERROR(__xludf.DUMMYFUNCTION("""COMPUTED_VALUE"""),"BOGOTÁ")</f>
        <v>BOGOTÁ</v>
      </c>
      <c r="E4209" s="15" t="str">
        <f>IFERROR(__xludf.DUMMYFUNCTION("""COMPUTED_VALUE"""),"Evamazzita")</f>
        <v>Evamazzita</v>
      </c>
      <c r="F4209" s="17" t="str">
        <f>IFERROR(__xludf.DUMMYFUNCTION("""COMPUTED_VALUE"""),"Bambo terra  / Torre 4 Apto 804 / N/A")</f>
        <v>Bambo terra  / Torre 4 Apto 804 / N/A</v>
      </c>
      <c r="G4209" s="15" t="str">
        <f>IFERROR(__xludf.DUMMYFUNCTION("""COMPUTED_VALUE"""),"MARIA TERESA AARON ANDRADE")</f>
        <v>MARIA TERESA AARON ANDRADE</v>
      </c>
      <c r="H4209" s="16">
        <f>IFERROR(__xludf.DUMMYFUNCTION("""COMPUTED_VALUE"""),12674.0)</f>
        <v>12674</v>
      </c>
      <c r="I4209" s="18">
        <f>IFERROR(__xludf.DUMMYFUNCTION("""COMPUTED_VALUE"""),1.0)</f>
        <v>1</v>
      </c>
      <c r="J4209" s="18">
        <f>IFERROR(__xludf.DUMMYFUNCTION("""COMPUTED_VALUE"""),1.0)</f>
        <v>1</v>
      </c>
      <c r="K4209" s="18">
        <f>IFERROR(__xludf.DUMMYFUNCTION("""COMPUTED_VALUE"""),1.0)</f>
        <v>1</v>
      </c>
      <c r="L4209" s="17">
        <f>IFERROR(__xludf.DUMMYFUNCTION("""COMPUTED_VALUE"""),3.014968753E9)</f>
        <v>3014968753</v>
      </c>
      <c r="M4209" s="17" t="str">
        <f>IFERROR(__xludf.DUMMYFUNCTION("""COMPUTED_VALUE"""),"#REF!")</f>
        <v>#REF!</v>
      </c>
      <c r="N4209" s="17"/>
      <c r="O4209" s="17"/>
      <c r="P4209" s="17" t="b">
        <f>IFERROR(__xludf.DUMMYFUNCTION("""COMPUTED_VALUE"""),TRUE)</f>
        <v>1</v>
      </c>
      <c r="Q4209" s="20">
        <f>IFERROR(__xludf.DUMMYFUNCTION("""COMPUTED_VALUE"""),45125.64667771991)</f>
        <v>45125.64668</v>
      </c>
      <c r="R4209" s="22" t="str">
        <f>IFERROR(__xludf.DUMMYFUNCTION("""COMPUTED_VALUE"""),"")</f>
        <v/>
      </c>
    </row>
    <row r="4210">
      <c r="A4210" s="15">
        <f>IFERROR(__xludf.DUMMYFUNCTION("""COMPUTED_VALUE"""),45121.0)</f>
        <v>45121</v>
      </c>
      <c r="B4210" s="16" t="str">
        <f>IFERROR(__xludf.DUMMYFUNCTION("""COMPUTED_VALUE"""),"Yenis Carolina sicuamia montaño")</f>
        <v>Yenis Carolina sicuamia montaño</v>
      </c>
      <c r="C4210" s="15" t="str">
        <f>IFERROR(__xludf.DUMMYFUNCTION("""COMPUTED_VALUE"""),"VALLEDUPAR")</f>
        <v>VALLEDUPAR</v>
      </c>
      <c r="D4210" s="15" t="str">
        <f>IFERROR(__xludf.DUMMYFUNCTION("""COMPUTED_VALUE"""),"BOGOTÁ")</f>
        <v>BOGOTÁ</v>
      </c>
      <c r="E4210" s="15" t="str">
        <f>IFERROR(__xludf.DUMMYFUNCTION("""COMPUTED_VALUE"""),"Evamazzita")</f>
        <v>Evamazzita</v>
      </c>
      <c r="F4210" s="17" t="str">
        <f>IFERROR(__xludf.DUMMYFUNCTION("""COMPUTED_VALUE"""),"Calle 16#45Bis-95 / Manzana A casa 22A / Conjunto Cerrado Flores De Maria")</f>
        <v>Calle 16#45Bis-95 / Manzana A casa 22A / Conjunto Cerrado Flores De Maria</v>
      </c>
      <c r="G4210" s="15" t="str">
        <f>IFERROR(__xludf.DUMMYFUNCTION("""COMPUTED_VALUE"""),"STEFANY REALES")</f>
        <v>STEFANY REALES</v>
      </c>
      <c r="H4210" s="16">
        <f>IFERROR(__xludf.DUMMYFUNCTION("""COMPUTED_VALUE"""),12678.0)</f>
        <v>12678</v>
      </c>
      <c r="I4210" s="18">
        <f>IFERROR(__xludf.DUMMYFUNCTION("""COMPUTED_VALUE"""),1.0)</f>
        <v>1</v>
      </c>
      <c r="J4210" s="18">
        <f>IFERROR(__xludf.DUMMYFUNCTION("""COMPUTED_VALUE"""),1.0)</f>
        <v>1</v>
      </c>
      <c r="K4210" s="18">
        <f>IFERROR(__xludf.DUMMYFUNCTION("""COMPUTED_VALUE"""),1.0)</f>
        <v>1</v>
      </c>
      <c r="L4210" s="17">
        <f>IFERROR(__xludf.DUMMYFUNCTION("""COMPUTED_VALUE"""),3.003325186E9)</f>
        <v>3003325186</v>
      </c>
      <c r="M4210" s="17" t="str">
        <f>IFERROR(__xludf.DUMMYFUNCTION("""COMPUTED_VALUE"""),"#REF!")</f>
        <v>#REF!</v>
      </c>
      <c r="N4210" s="17"/>
      <c r="O4210" s="17"/>
      <c r="P4210" s="17" t="b">
        <f>IFERROR(__xludf.DUMMYFUNCTION("""COMPUTED_VALUE"""),TRUE)</f>
        <v>1</v>
      </c>
      <c r="Q4210" s="20">
        <f>IFERROR(__xludf.DUMMYFUNCTION("""COMPUTED_VALUE"""),45125.53793141204)</f>
        <v>45125.53793</v>
      </c>
      <c r="R4210" s="22" t="str">
        <f>IFERROR(__xludf.DUMMYFUNCTION("""COMPUTED_VALUE"""),"")</f>
        <v/>
      </c>
    </row>
    <row r="4211">
      <c r="A4211" s="15">
        <f>IFERROR(__xludf.DUMMYFUNCTION("""COMPUTED_VALUE"""),45121.0)</f>
        <v>45121</v>
      </c>
      <c r="B4211" s="16" t="str">
        <f>IFERROR(__xludf.DUMMYFUNCTION("""COMPUTED_VALUE"""),"Yenis Carolina sicuamia montaño")</f>
        <v>Yenis Carolina sicuamia montaño</v>
      </c>
      <c r="C4211" s="15" t="str">
        <f>IFERROR(__xludf.DUMMYFUNCTION("""COMPUTED_VALUE"""),"VALLEDUPAR")</f>
        <v>VALLEDUPAR</v>
      </c>
      <c r="D4211" s="15" t="str">
        <f>IFERROR(__xludf.DUMMYFUNCTION("""COMPUTED_VALUE"""),"BOGOTÁ")</f>
        <v>BOGOTÁ</v>
      </c>
      <c r="E4211" s="15" t="str">
        <f>IFERROR(__xludf.DUMMYFUNCTION("""COMPUTED_VALUE"""),"Evamazzita")</f>
        <v>Evamazzita</v>
      </c>
      <c r="F4211" s="17" t="str">
        <f>IFERROR(__xludf.DUMMYFUNCTION("""COMPUTED_VALUE"""),"Calle 6 #13-24 / Edificio Multicentro Apto 103 / Barrio los Ángeles")</f>
        <v>Calle 6 #13-24 / Edificio Multicentro Apto 103 / Barrio los Ángeles</v>
      </c>
      <c r="G4211" s="15" t="str">
        <f>IFERROR(__xludf.DUMMYFUNCTION("""COMPUTED_VALUE"""),"GINA PAOLA MENDIOLA PEÑA")</f>
        <v>GINA PAOLA MENDIOLA PEÑA</v>
      </c>
      <c r="H4211" s="16">
        <f>IFERROR(__xludf.DUMMYFUNCTION("""COMPUTED_VALUE"""),12677.0)</f>
        <v>12677</v>
      </c>
      <c r="I4211" s="18">
        <f>IFERROR(__xludf.DUMMYFUNCTION("""COMPUTED_VALUE"""),1.0)</f>
        <v>1</v>
      </c>
      <c r="J4211" s="18">
        <f>IFERROR(__xludf.DUMMYFUNCTION("""COMPUTED_VALUE"""),1.0)</f>
        <v>1</v>
      </c>
      <c r="K4211" s="18">
        <f>IFERROR(__xludf.DUMMYFUNCTION("""COMPUTED_VALUE"""),1.0)</f>
        <v>1</v>
      </c>
      <c r="L4211" s="17">
        <f>IFERROR(__xludf.DUMMYFUNCTION("""COMPUTED_VALUE"""),3.114085752E9)</f>
        <v>3114085752</v>
      </c>
      <c r="M4211" s="17" t="str">
        <f>IFERROR(__xludf.DUMMYFUNCTION("""COMPUTED_VALUE"""),"#REF!")</f>
        <v>#REF!</v>
      </c>
      <c r="N4211" s="17"/>
      <c r="O4211" s="17"/>
      <c r="P4211" s="17" t="b">
        <f>IFERROR(__xludf.DUMMYFUNCTION("""COMPUTED_VALUE"""),TRUE)</f>
        <v>1</v>
      </c>
      <c r="Q4211" s="20">
        <f>IFERROR(__xludf.DUMMYFUNCTION("""COMPUTED_VALUE"""),45126.71395684028)</f>
        <v>45126.71396</v>
      </c>
      <c r="R4211" s="22" t="str">
        <f>IFERROR(__xludf.DUMMYFUNCTION("""COMPUTED_VALUE"""),"")</f>
        <v/>
      </c>
    </row>
    <row r="4212">
      <c r="A4212" s="15">
        <f>IFERROR(__xludf.DUMMYFUNCTION("""COMPUTED_VALUE"""),45121.0)</f>
        <v>45121</v>
      </c>
      <c r="B4212" s="16" t="str">
        <f>IFERROR(__xludf.DUMMYFUNCTION("""COMPUTED_VALUE"""),"Yenis Carolina sicuamia montaño")</f>
        <v>Yenis Carolina sicuamia montaño</v>
      </c>
      <c r="C4212" s="15" t="str">
        <f>IFERROR(__xludf.DUMMYFUNCTION("""COMPUTED_VALUE"""),"VALLEDUPAR")</f>
        <v>VALLEDUPAR</v>
      </c>
      <c r="D4212" s="15" t="str">
        <f>IFERROR(__xludf.DUMMYFUNCTION("""COMPUTED_VALUE"""),"BOGOTÁ")</f>
        <v>BOGOTÁ</v>
      </c>
      <c r="E4212" s="15" t="str">
        <f>IFERROR(__xludf.DUMMYFUNCTION("""COMPUTED_VALUE"""),"Evamazzita")</f>
        <v>Evamazzita</v>
      </c>
      <c r="F4212" s="17" t="str">
        <f>IFERROR(__xludf.DUMMYFUNCTION("""COMPUTED_VALUE"""),"Carrera 30#3-94 / Conjunto Maria Isabella Casa B5 / N/A")</f>
        <v>Carrera 30#3-94 / Conjunto Maria Isabella Casa B5 / N/A</v>
      </c>
      <c r="G4212" s="15" t="str">
        <f>IFERROR(__xludf.DUMMYFUNCTION("""COMPUTED_VALUE"""),"MARIA FERNANDA AREVALO PICON")</f>
        <v>MARIA FERNANDA AREVALO PICON</v>
      </c>
      <c r="H4212" s="16">
        <f>IFERROR(__xludf.DUMMYFUNCTION("""COMPUTED_VALUE"""),12680.0)</f>
        <v>12680</v>
      </c>
      <c r="I4212" s="18">
        <f>IFERROR(__xludf.DUMMYFUNCTION("""COMPUTED_VALUE"""),1.0)</f>
        <v>1</v>
      </c>
      <c r="J4212" s="18">
        <f>IFERROR(__xludf.DUMMYFUNCTION("""COMPUTED_VALUE"""),1.0)</f>
        <v>1</v>
      </c>
      <c r="K4212" s="18">
        <f>IFERROR(__xludf.DUMMYFUNCTION("""COMPUTED_VALUE"""),1.0)</f>
        <v>1</v>
      </c>
      <c r="L4212" s="17">
        <f>IFERROR(__xludf.DUMMYFUNCTION("""COMPUTED_VALUE"""),3.00759785E9)</f>
        <v>3007597850</v>
      </c>
      <c r="M4212" s="17" t="str">
        <f>IFERROR(__xludf.DUMMYFUNCTION("""COMPUTED_VALUE"""),"#REF!")</f>
        <v>#REF!</v>
      </c>
      <c r="N4212" s="17"/>
      <c r="O4212" s="17"/>
      <c r="P4212" s="17" t="b">
        <f>IFERROR(__xludf.DUMMYFUNCTION("""COMPUTED_VALUE"""),TRUE)</f>
        <v>1</v>
      </c>
      <c r="Q4212" s="20">
        <f>IFERROR(__xludf.DUMMYFUNCTION("""COMPUTED_VALUE"""),45126.71395684028)</f>
        <v>45126.71396</v>
      </c>
      <c r="R4212" s="22" t="str">
        <f>IFERROR(__xludf.DUMMYFUNCTION("""COMPUTED_VALUE"""),"")</f>
        <v/>
      </c>
    </row>
    <row r="4213">
      <c r="A4213" s="15">
        <f>IFERROR(__xludf.DUMMYFUNCTION("""COMPUTED_VALUE"""),45121.0)</f>
        <v>45121</v>
      </c>
      <c r="B4213" s="16" t="str">
        <f>IFERROR(__xludf.DUMMYFUNCTION("""COMPUTED_VALUE"""),"Yenis Carolina sicuamia montaño")</f>
        <v>Yenis Carolina sicuamia montaño</v>
      </c>
      <c r="C4213" s="15" t="str">
        <f>IFERROR(__xludf.DUMMYFUNCTION("""COMPUTED_VALUE"""),"VALLEDUPAR")</f>
        <v>VALLEDUPAR</v>
      </c>
      <c r="D4213" s="15" t="str">
        <f>IFERROR(__xludf.DUMMYFUNCTION("""COMPUTED_VALUE"""),"BOGOTÁ")</f>
        <v>BOGOTÁ</v>
      </c>
      <c r="E4213" s="15" t="str">
        <f>IFERROR(__xludf.DUMMYFUNCTION("""COMPUTED_VALUE"""),"Evamazzita")</f>
        <v>Evamazzita</v>
      </c>
      <c r="F4213" s="17" t="str">
        <f>IFERROR(__xludf.DUMMYFUNCTION("""COMPUTED_VALUE"""),"Condominio Palmetto  / Torre 8 Apto 601 / N/A")</f>
        <v>Condominio Palmetto  / Torre 8 Apto 601 / N/A</v>
      </c>
      <c r="G4213" s="15" t="str">
        <f>IFERROR(__xludf.DUMMYFUNCTION("""COMPUTED_VALUE"""),"KAREN LORENA ESCALANTE JACOME")</f>
        <v>KAREN LORENA ESCALANTE JACOME</v>
      </c>
      <c r="H4213" s="16">
        <f>IFERROR(__xludf.DUMMYFUNCTION("""COMPUTED_VALUE"""),12672.0)</f>
        <v>12672</v>
      </c>
      <c r="I4213" s="18">
        <f>IFERROR(__xludf.DUMMYFUNCTION("""COMPUTED_VALUE"""),1.0)</f>
        <v>1</v>
      </c>
      <c r="J4213" s="18">
        <f>IFERROR(__xludf.DUMMYFUNCTION("""COMPUTED_VALUE"""),1.0)</f>
        <v>1</v>
      </c>
      <c r="K4213" s="18">
        <f>IFERROR(__xludf.DUMMYFUNCTION("""COMPUTED_VALUE"""),1.0)</f>
        <v>1</v>
      </c>
      <c r="L4213" s="17">
        <f>IFERROR(__xludf.DUMMYFUNCTION("""COMPUTED_VALUE"""),3.114684116E9)</f>
        <v>3114684116</v>
      </c>
      <c r="M4213" s="17" t="str">
        <f>IFERROR(__xludf.DUMMYFUNCTION("""COMPUTED_VALUE"""),"#REF!")</f>
        <v>#REF!</v>
      </c>
      <c r="N4213" s="17"/>
      <c r="O4213" s="17"/>
      <c r="P4213" s="17" t="b">
        <f>IFERROR(__xludf.DUMMYFUNCTION("""COMPUTED_VALUE"""),TRUE)</f>
        <v>1</v>
      </c>
      <c r="Q4213" s="20">
        <f>IFERROR(__xludf.DUMMYFUNCTION("""COMPUTED_VALUE"""),45125.65149128472)</f>
        <v>45125.65149</v>
      </c>
      <c r="R4213" s="22" t="str">
        <f>IFERROR(__xludf.DUMMYFUNCTION("""COMPUTED_VALUE"""),"")</f>
        <v/>
      </c>
    </row>
    <row r="4214">
      <c r="A4214" s="15">
        <f>IFERROR(__xludf.DUMMYFUNCTION("""COMPUTED_VALUE"""),45121.0)</f>
        <v>45121</v>
      </c>
      <c r="B4214" s="16" t="str">
        <f>IFERROR(__xludf.DUMMYFUNCTION("""COMPUTED_VALUE"""),"Yenis Carolina sicuamia montaño")</f>
        <v>Yenis Carolina sicuamia montaño</v>
      </c>
      <c r="C4214" s="15" t="str">
        <f>IFERROR(__xludf.DUMMYFUNCTION("""COMPUTED_VALUE"""),"VALLEDUPAR")</f>
        <v>VALLEDUPAR</v>
      </c>
      <c r="D4214" s="15" t="str">
        <f>IFERROR(__xludf.DUMMYFUNCTION("""COMPUTED_VALUE"""),"BOGOTÁ")</f>
        <v>BOGOTÁ</v>
      </c>
      <c r="E4214" s="15" t="str">
        <f>IFERROR(__xludf.DUMMYFUNCTION("""COMPUTED_VALUE"""),"Evamazzita")</f>
        <v>Evamazzita</v>
      </c>
      <c r="F4214" s="17" t="str">
        <f>IFERROR(__xludf.DUMMYFUNCTION("""COMPUTED_VALUE"""),"Diagonal 16 bis a#24-38 / N/A / El cerrito")</f>
        <v>Diagonal 16 bis a#24-38 / N/A / El cerrito</v>
      </c>
      <c r="G4214" s="15" t="str">
        <f>IFERROR(__xludf.DUMMYFUNCTION("""COMPUTED_VALUE"""),"YASMIN JIMENEZ")</f>
        <v>YASMIN JIMENEZ</v>
      </c>
      <c r="H4214" s="16">
        <f>IFERROR(__xludf.DUMMYFUNCTION("""COMPUTED_VALUE"""),12673.0)</f>
        <v>12673</v>
      </c>
      <c r="I4214" s="18">
        <f>IFERROR(__xludf.DUMMYFUNCTION("""COMPUTED_VALUE"""),1.0)</f>
        <v>1</v>
      </c>
      <c r="J4214" s="18">
        <f>IFERROR(__xludf.DUMMYFUNCTION("""COMPUTED_VALUE"""),1.0)</f>
        <v>1</v>
      </c>
      <c r="K4214" s="18">
        <f>IFERROR(__xludf.DUMMYFUNCTION("""COMPUTED_VALUE"""),1.0)</f>
        <v>1</v>
      </c>
      <c r="L4214" s="17">
        <f>IFERROR(__xludf.DUMMYFUNCTION("""COMPUTED_VALUE"""),3.00537979E9)</f>
        <v>3005379790</v>
      </c>
      <c r="M4214" s="17" t="str">
        <f>IFERROR(__xludf.DUMMYFUNCTION("""COMPUTED_VALUE"""),"#REF!")</f>
        <v>#REF!</v>
      </c>
      <c r="N4214" s="17"/>
      <c r="O4214" s="17"/>
      <c r="P4214" s="17" t="b">
        <f>IFERROR(__xludf.DUMMYFUNCTION("""COMPUTED_VALUE"""),TRUE)</f>
        <v>1</v>
      </c>
      <c r="Q4214" s="20">
        <f>IFERROR(__xludf.DUMMYFUNCTION("""COMPUTED_VALUE"""),45125.65149128472)</f>
        <v>45125.65149</v>
      </c>
      <c r="R4214" s="22" t="str">
        <f>IFERROR(__xludf.DUMMYFUNCTION("""COMPUTED_VALUE"""),"")</f>
        <v/>
      </c>
    </row>
    <row r="4215">
      <c r="A4215" s="15">
        <f>IFERROR(__xludf.DUMMYFUNCTION("""COMPUTED_VALUE"""),45121.0)</f>
        <v>45121</v>
      </c>
      <c r="B4215" s="16" t="str">
        <f>IFERROR(__xludf.DUMMYFUNCTION("""COMPUTED_VALUE"""),"Yenis Carolina sicuamia montaño")</f>
        <v>Yenis Carolina sicuamia montaño</v>
      </c>
      <c r="C4215" s="15" t="str">
        <f>IFERROR(__xludf.DUMMYFUNCTION("""COMPUTED_VALUE"""),"VALLEDUPAR")</f>
        <v>VALLEDUPAR</v>
      </c>
      <c r="D4215" s="15" t="str">
        <f>IFERROR(__xludf.DUMMYFUNCTION("""COMPUTED_VALUE"""),"BOGOTÁ")</f>
        <v>BOGOTÁ</v>
      </c>
      <c r="E4215" s="15" t="str">
        <f>IFERROR(__xludf.DUMMYFUNCTION("""COMPUTED_VALUE"""),"Evamazzita")</f>
        <v>Evamazzita</v>
      </c>
      <c r="F4215" s="17" t="str">
        <f>IFERROR(__xludf.DUMMYFUNCTION("""COMPUTED_VALUE"""),"Manzan E18 casa 6B / Manzan E18 casa 6B / Urbanizacion colombia")</f>
        <v>Manzan E18 casa 6B / Manzan E18 casa 6B / Urbanizacion colombia</v>
      </c>
      <c r="G4215" s="15" t="str">
        <f>IFERROR(__xludf.DUMMYFUNCTION("""COMPUTED_VALUE"""),"SULLYTH PAOLA ROYERO LIÑAN")</f>
        <v>SULLYTH PAOLA ROYERO LIÑAN</v>
      </c>
      <c r="H4215" s="16">
        <f>IFERROR(__xludf.DUMMYFUNCTION("""COMPUTED_VALUE"""),12681.0)</f>
        <v>12681</v>
      </c>
      <c r="I4215" s="18">
        <f>IFERROR(__xludf.DUMMYFUNCTION("""COMPUTED_VALUE"""),1.0)</f>
        <v>1</v>
      </c>
      <c r="J4215" s="18">
        <f>IFERROR(__xludf.DUMMYFUNCTION("""COMPUTED_VALUE"""),1.0)</f>
        <v>1</v>
      </c>
      <c r="K4215" s="18">
        <f>IFERROR(__xludf.DUMMYFUNCTION("""COMPUTED_VALUE"""),1.0)</f>
        <v>1</v>
      </c>
      <c r="L4215" s="17">
        <f>IFERROR(__xludf.DUMMYFUNCTION("""COMPUTED_VALUE"""),3.173720214E9)</f>
        <v>3173720214</v>
      </c>
      <c r="M4215" s="17" t="str">
        <f>IFERROR(__xludf.DUMMYFUNCTION("""COMPUTED_VALUE"""),"#REF!")</f>
        <v>#REF!</v>
      </c>
      <c r="N4215" s="17"/>
      <c r="O4215" s="17"/>
      <c r="P4215" s="17" t="b">
        <f>IFERROR(__xludf.DUMMYFUNCTION("""COMPUTED_VALUE"""),TRUE)</f>
        <v>1</v>
      </c>
      <c r="Q4215" s="20">
        <f>IFERROR(__xludf.DUMMYFUNCTION("""COMPUTED_VALUE"""),45125.65149128472)</f>
        <v>45125.65149</v>
      </c>
      <c r="R4215" s="22" t="str">
        <f>IFERROR(__xludf.DUMMYFUNCTION("""COMPUTED_VALUE"""),"")</f>
        <v/>
      </c>
    </row>
    <row r="4216">
      <c r="A4216" s="17" t="str">
        <f>IFERROR(__xludf.DUMMYFUNCTION("""COMPUTED_VALUE"""),"")</f>
        <v/>
      </c>
      <c r="B4216" s="17" t="str">
        <f>IFERROR(__xludf.DUMMYFUNCTION("""COMPUTED_VALUE"""),"")</f>
        <v/>
      </c>
      <c r="C4216" s="17" t="str">
        <f>IFERROR(__xludf.DUMMYFUNCTION("""COMPUTED_VALUE"""),"")</f>
        <v/>
      </c>
      <c r="D4216" s="17" t="str">
        <f>IFERROR(__xludf.DUMMYFUNCTION("""COMPUTED_VALUE"""),"")</f>
        <v/>
      </c>
      <c r="E4216" s="17" t="str">
        <f>IFERROR(__xludf.DUMMYFUNCTION("""COMPUTED_VALUE"""),"")</f>
        <v/>
      </c>
      <c r="F4216" s="17" t="str">
        <f>IFERROR(__xludf.DUMMYFUNCTION("""COMPUTED_VALUE"""),"")</f>
        <v/>
      </c>
      <c r="G4216" s="17" t="str">
        <f>IFERROR(__xludf.DUMMYFUNCTION("""COMPUTED_VALUE"""),"")</f>
        <v/>
      </c>
      <c r="H4216" s="17" t="str">
        <f>IFERROR(__xludf.DUMMYFUNCTION("""COMPUTED_VALUE"""),"")</f>
        <v/>
      </c>
      <c r="I4216" s="17" t="str">
        <f>IFERROR(__xludf.DUMMYFUNCTION("""COMPUTED_VALUE"""),"")</f>
        <v/>
      </c>
      <c r="J4216" s="17" t="str">
        <f>IFERROR(__xludf.DUMMYFUNCTION("""COMPUTED_VALUE"""),"")</f>
        <v/>
      </c>
      <c r="K4216" s="17" t="str">
        <f>IFERROR(__xludf.DUMMYFUNCTION("""COMPUTED_VALUE"""),"")</f>
        <v/>
      </c>
      <c r="L4216" s="17" t="str">
        <f>IFERROR(__xludf.DUMMYFUNCTION("""COMPUTED_VALUE"""),"")</f>
        <v/>
      </c>
      <c r="M4216" s="17" t="str">
        <f>IFERROR(__xludf.DUMMYFUNCTION("""COMPUTED_VALUE"""),"")</f>
        <v/>
      </c>
      <c r="N4216" s="17" t="str">
        <f>IFERROR(__xludf.DUMMYFUNCTION("""COMPUTED_VALUE"""),"")</f>
        <v/>
      </c>
      <c r="O4216" s="17" t="str">
        <f>IFERROR(__xludf.DUMMYFUNCTION("""COMPUTED_VALUE"""),"")</f>
        <v/>
      </c>
      <c r="P4216" s="17" t="str">
        <f>IFERROR(__xludf.DUMMYFUNCTION("""COMPUTED_VALUE"""),"")</f>
        <v/>
      </c>
      <c r="Q4216" s="17" t="str">
        <f>IFERROR(__xludf.DUMMYFUNCTION("""COMPUTED_VALUE"""),"")</f>
        <v/>
      </c>
      <c r="R4216" s="17" t="str">
        <f>IFERROR(__xludf.DUMMYFUNCTION("""COMPUTED_VALUE"""),"")</f>
        <v/>
      </c>
    </row>
    <row r="4217">
      <c r="A4217" s="15">
        <f>IFERROR(__xludf.DUMMYFUNCTION("""COMPUTED_VALUE"""),45122.0)</f>
        <v>45122</v>
      </c>
      <c r="B4217" s="16" t="str">
        <f>IFERROR(__xludf.DUMMYFUNCTION("""COMPUTED_VALUE"""),"Envia")</f>
        <v>Envia</v>
      </c>
      <c r="C4217" s="15" t="str">
        <f>IFERROR(__xludf.DUMMYFUNCTION("""COMPUTED_VALUE"""),"MEDELLÍN")</f>
        <v>MEDELLÍN</v>
      </c>
      <c r="D4217" s="15" t="str">
        <f>IFERROR(__xludf.DUMMYFUNCTION("""COMPUTED_VALUE"""),"BOGOTÁ")</f>
        <v>BOGOTÁ</v>
      </c>
      <c r="E4217" s="15" t="str">
        <f>IFERROR(__xludf.DUMMYFUNCTION("""COMPUTED_VALUE"""),"Mochi")</f>
        <v>Mochi</v>
      </c>
      <c r="F4217" s="17" t="str">
        <f>IFERROR(__xludf.DUMMYFUNCTION("""COMPUTED_VALUE"""),"Cra. 48 #32B Sur-139, Zona 1, Envigado, / Viva Envigado / Viva Envigado")</f>
        <v>Cra. 48 #32B Sur-139, Zona 1, Envigado, / Viva Envigado / Viva Envigado</v>
      </c>
      <c r="G4217" s="15" t="str">
        <f>IFERROR(__xludf.DUMMYFUNCTION("""COMPUTED_VALUE"""),"Tania")</f>
        <v>Tania</v>
      </c>
      <c r="H4217" s="16">
        <f>IFERROR(__xludf.DUMMYFUNCTION("""COMPUTED_VALUE"""),12912.0)</f>
        <v>12912</v>
      </c>
      <c r="I4217" s="18">
        <f>IFERROR(__xludf.DUMMYFUNCTION("""COMPUTED_VALUE"""),100.0)</f>
        <v>100</v>
      </c>
      <c r="J4217" s="18">
        <f>IFERROR(__xludf.DUMMYFUNCTION("""COMPUTED_VALUE"""),100.0)</f>
        <v>100</v>
      </c>
      <c r="K4217" s="18">
        <f>IFERROR(__xludf.DUMMYFUNCTION("""COMPUTED_VALUE"""),200.0)</f>
        <v>200</v>
      </c>
      <c r="L4217" s="17">
        <f>IFERROR(__xludf.DUMMYFUNCTION("""COMPUTED_VALUE"""),3.115177645E9)</f>
        <v>3115177645</v>
      </c>
      <c r="M4217" s="17" t="str">
        <f>IFERROR(__xludf.DUMMYFUNCTION("""COMPUTED_VALUE"""),"#REF!")</f>
        <v>#REF!</v>
      </c>
      <c r="N4217" s="17"/>
      <c r="O4217" s="17"/>
      <c r="P4217" s="17" t="b">
        <f>IFERROR(__xludf.DUMMYFUNCTION("""COMPUTED_VALUE"""),TRUE)</f>
        <v>1</v>
      </c>
      <c r="Q4217" s="20">
        <f>IFERROR(__xludf.DUMMYFUNCTION("""COMPUTED_VALUE"""),45125.50317898148)</f>
        <v>45125.50318</v>
      </c>
      <c r="R4217" s="22" t="str">
        <f>IFERROR(__xludf.DUMMYFUNCTION("""COMPUTED_VALUE"""),"")</f>
        <v/>
      </c>
    </row>
    <row r="4218">
      <c r="A4218" s="17" t="str">
        <f>IFERROR(__xludf.DUMMYFUNCTION("""COMPUTED_VALUE"""),"")</f>
        <v/>
      </c>
      <c r="B4218" s="17" t="str">
        <f>IFERROR(__xludf.DUMMYFUNCTION("""COMPUTED_VALUE"""),"")</f>
        <v/>
      </c>
      <c r="C4218" s="17" t="str">
        <f>IFERROR(__xludf.DUMMYFUNCTION("""COMPUTED_VALUE"""),"")</f>
        <v/>
      </c>
      <c r="D4218" s="17" t="str">
        <f>IFERROR(__xludf.DUMMYFUNCTION("""COMPUTED_VALUE"""),"")</f>
        <v/>
      </c>
      <c r="E4218" s="17" t="str">
        <f>IFERROR(__xludf.DUMMYFUNCTION("""COMPUTED_VALUE"""),"")</f>
        <v/>
      </c>
      <c r="F4218" s="17" t="str">
        <f>IFERROR(__xludf.DUMMYFUNCTION("""COMPUTED_VALUE"""),"")</f>
        <v/>
      </c>
      <c r="G4218" s="17" t="str">
        <f>IFERROR(__xludf.DUMMYFUNCTION("""COMPUTED_VALUE"""),"")</f>
        <v/>
      </c>
      <c r="H4218" s="17" t="str">
        <f>IFERROR(__xludf.DUMMYFUNCTION("""COMPUTED_VALUE"""),"")</f>
        <v/>
      </c>
      <c r="I4218" s="17" t="str">
        <f>IFERROR(__xludf.DUMMYFUNCTION("""COMPUTED_VALUE"""),"")</f>
        <v/>
      </c>
      <c r="J4218" s="17" t="str">
        <f>IFERROR(__xludf.DUMMYFUNCTION("""COMPUTED_VALUE"""),"")</f>
        <v/>
      </c>
      <c r="K4218" s="17" t="str">
        <f>IFERROR(__xludf.DUMMYFUNCTION("""COMPUTED_VALUE"""),"")</f>
        <v/>
      </c>
      <c r="L4218" s="17" t="str">
        <f>IFERROR(__xludf.DUMMYFUNCTION("""COMPUTED_VALUE"""),"")</f>
        <v/>
      </c>
      <c r="M4218" s="17" t="str">
        <f>IFERROR(__xludf.DUMMYFUNCTION("""COMPUTED_VALUE"""),"")</f>
        <v/>
      </c>
      <c r="N4218" s="17" t="str">
        <f>IFERROR(__xludf.DUMMYFUNCTION("""COMPUTED_VALUE"""),"")</f>
        <v/>
      </c>
      <c r="O4218" s="17" t="str">
        <f>IFERROR(__xludf.DUMMYFUNCTION("""COMPUTED_VALUE"""),"")</f>
        <v/>
      </c>
      <c r="P4218" s="17" t="str">
        <f>IFERROR(__xludf.DUMMYFUNCTION("""COMPUTED_VALUE"""),"")</f>
        <v/>
      </c>
      <c r="Q4218" s="17" t="str">
        <f>IFERROR(__xludf.DUMMYFUNCTION("""COMPUTED_VALUE"""),"")</f>
        <v/>
      </c>
      <c r="R4218" s="17" t="str">
        <f>IFERROR(__xludf.DUMMYFUNCTION("""COMPUTED_VALUE"""),"")</f>
        <v/>
      </c>
    </row>
    <row r="4219">
      <c r="A4219" s="15">
        <f>IFERROR(__xludf.DUMMYFUNCTION("""COMPUTED_VALUE"""),45125.0)</f>
        <v>45125</v>
      </c>
      <c r="B4219" s="17"/>
      <c r="C4219" s="15" t="str">
        <f>IFERROR(__xludf.DUMMYFUNCTION("""COMPUTED_VALUE"""),"CALI")</f>
        <v>CALI</v>
      </c>
      <c r="D4219" s="15" t="str">
        <f>IFERROR(__xludf.DUMMYFUNCTION("""COMPUTED_VALUE"""),"BUCARAMANGA")</f>
        <v>BUCARAMANGA</v>
      </c>
      <c r="E4219" s="15" t="str">
        <f>IFERROR(__xludf.DUMMYFUNCTION("""COMPUTED_VALUE"""),"Yo Como Solito")</f>
        <v>Yo Como Solito</v>
      </c>
      <c r="F4219" s="17" t="str">
        <f>IFERROR(__xludf.DUMMYFUNCTION("""COMPUTED_VALUE"""),"Cra 26 i #50-11 B/ Nueva Floresta piso 2                       /  Cra 26 i #50-11 B/ Nueva Floresta piso 2                       /  Cra 26 i #50-11 B/ Nueva Floresta piso 2")</f>
        <v>Cra 26 i #50-11 B/ Nueva Floresta piso 2                       /  Cra 26 i #50-11 B/ Nueva Floresta piso 2                       /  Cra 26 i #50-11 B/ Nueva Floresta piso 2</v>
      </c>
      <c r="G4219" s="15" t="str">
        <f>IFERROR(__xludf.DUMMYFUNCTION("""COMPUTED_VALUE"""),"Eliana Alvarez")</f>
        <v>Eliana Alvarez</v>
      </c>
      <c r="H4219" s="16">
        <f>IFERROR(__xludf.DUMMYFUNCTION("""COMPUTED_VALUE"""),12759.0)</f>
        <v>12759</v>
      </c>
      <c r="I4219" s="18">
        <f>IFERROR(__xludf.DUMMYFUNCTION("""COMPUTED_VALUE"""),13.0)</f>
        <v>13</v>
      </c>
      <c r="J4219" s="18">
        <f>IFERROR(__xludf.DUMMYFUNCTION("""COMPUTED_VALUE"""),25.0)</f>
        <v>25</v>
      </c>
      <c r="K4219" s="18">
        <f>IFERROR(__xludf.DUMMYFUNCTION("""COMPUTED_VALUE"""),36.0)</f>
        <v>36</v>
      </c>
      <c r="L4219" s="17">
        <f>IFERROR(__xludf.DUMMYFUNCTION("""COMPUTED_VALUE"""),3.164048865E9)</f>
        <v>3164048865</v>
      </c>
      <c r="M4219" s="17" t="str">
        <f>IFERROR(__xludf.DUMMYFUNCTION("""COMPUTED_VALUE"""),"#REF!")</f>
        <v>#REF!</v>
      </c>
      <c r="N4219" s="17"/>
      <c r="O4219" s="17"/>
      <c r="P4219" s="17" t="b">
        <f>IFERROR(__xludf.DUMMYFUNCTION("""COMPUTED_VALUE"""),FALSE)</f>
        <v>0</v>
      </c>
      <c r="Q4219" s="20" t="str">
        <f>IFERROR(__xludf.DUMMYFUNCTION("""COMPUTED_VALUE"""),"")</f>
        <v/>
      </c>
      <c r="R4219" s="21" t="str">
        <f>IFERROR(__xludf.DUMMYFUNCTION("""COMPUTED_VALUE"""),"https://drive.google.com/file/d/1liyjQchwH-0ZBJuAbPa0x5CQss0XuJTe/view?usp=drivesdk")</f>
        <v>https://drive.google.com/file/d/1liyjQchwH-0ZBJuAbPa0x5CQss0XuJTe/view?usp=drivesdk</v>
      </c>
    </row>
    <row r="4220">
      <c r="A4220" s="15">
        <f>IFERROR(__xludf.DUMMYFUNCTION("""COMPUTED_VALUE"""),45125.0)</f>
        <v>45125</v>
      </c>
      <c r="B4220" s="17"/>
      <c r="C4220" s="15" t="str">
        <f>IFERROR(__xludf.DUMMYFUNCTION("""COMPUTED_VALUE"""),"CALI")</f>
        <v>CALI</v>
      </c>
      <c r="D4220" s="15" t="str">
        <f>IFERROR(__xludf.DUMMYFUNCTION("""COMPUTED_VALUE"""),"MEDELLÍN")</f>
        <v>MEDELLÍN</v>
      </c>
      <c r="E4220" s="15" t="str">
        <f>IFERROR(__xludf.DUMMYFUNCTION("""COMPUTED_VALUE"""),"Helados swip")</f>
        <v>Helados swip</v>
      </c>
      <c r="F4220" s="17" t="str">
        <f>IFERROR(__xludf.DUMMYFUNCTION("""COMPUTED_VALUE"""),"CARRERA 1 OESTE # 1 B -30 / LOCAL HOM / HOM STORE")</f>
        <v>CARRERA 1 OESTE # 1 B -30 / LOCAL HOM / HOM STORE</v>
      </c>
      <c r="G4220" s="15" t="str">
        <f>IFERROR(__xludf.DUMMYFUNCTION("""COMPUTED_VALUE"""),"HOM STORE CALI")</f>
        <v>HOM STORE CALI</v>
      </c>
      <c r="H4220" s="16">
        <f>IFERROR(__xludf.DUMMYFUNCTION("""COMPUTED_VALUE"""),13015.0)</f>
        <v>13015</v>
      </c>
      <c r="I4220" s="18">
        <f>IFERROR(__xludf.DUMMYFUNCTION("""COMPUTED_VALUE"""),50.0)</f>
        <v>50</v>
      </c>
      <c r="J4220" s="18">
        <f>IFERROR(__xludf.DUMMYFUNCTION("""COMPUTED_VALUE"""),30.0)</f>
        <v>30</v>
      </c>
      <c r="K4220" s="18">
        <f>IFERROR(__xludf.DUMMYFUNCTION("""COMPUTED_VALUE"""),21.0)</f>
        <v>21</v>
      </c>
      <c r="L4220" s="17">
        <f>IFERROR(__xludf.DUMMYFUNCTION("""COMPUTED_VALUE"""),3.103835032E9)</f>
        <v>3103835032</v>
      </c>
      <c r="M4220" s="17" t="str">
        <f>IFERROR(__xludf.DUMMYFUNCTION("""COMPUTED_VALUE"""),"#REF!")</f>
        <v>#REF!</v>
      </c>
      <c r="N4220" s="17"/>
      <c r="O4220" s="17"/>
      <c r="P4220" s="17" t="b">
        <f>IFERROR(__xludf.DUMMYFUNCTION("""COMPUTED_VALUE"""),TRUE)</f>
        <v>1</v>
      </c>
      <c r="Q4220" s="20">
        <f>IFERROR(__xludf.DUMMYFUNCTION("""COMPUTED_VALUE"""),45125.80158209491)</f>
        <v>45125.80158</v>
      </c>
      <c r="R4220" s="22" t="str">
        <f>IFERROR(__xludf.DUMMYFUNCTION("""COMPUTED_VALUE"""),"")</f>
        <v/>
      </c>
    </row>
    <row r="4221">
      <c r="A4221" s="15">
        <f>IFERROR(__xludf.DUMMYFUNCTION("""COMPUTED_VALUE"""),45125.0)</f>
        <v>45125</v>
      </c>
      <c r="B4221" s="17"/>
      <c r="C4221" s="15" t="str">
        <f>IFERROR(__xludf.DUMMYFUNCTION("""COMPUTED_VALUE"""),"TULUA")</f>
        <v>TULUA</v>
      </c>
      <c r="D4221" s="15" t="str">
        <f>IFERROR(__xludf.DUMMYFUNCTION("""COMPUTED_VALUE"""),"BOGOTÁ")</f>
        <v>BOGOTÁ</v>
      </c>
      <c r="E4221" s="15" t="str">
        <f>IFERROR(__xludf.DUMMYFUNCTION("""COMPUTED_VALUE"""),"Evamazzita")</f>
        <v>Evamazzita</v>
      </c>
      <c r="F4221" s="17" t="str">
        <f>IFERROR(__xludf.DUMMYFUNCTION("""COMPUTED_VALUE"""),"Calle 37D#48-52 / N/A / Villa campestre")</f>
        <v>Calle 37D#48-52 / N/A / Villa campestre</v>
      </c>
      <c r="G4221" s="15" t="str">
        <f>IFERROR(__xludf.DUMMYFUNCTION("""COMPUTED_VALUE"""),"CAROLINA ROBLEDO")</f>
        <v>CAROLINA ROBLEDO</v>
      </c>
      <c r="H4221" s="16">
        <f>IFERROR(__xludf.DUMMYFUNCTION("""COMPUTED_VALUE"""),12977.0)</f>
        <v>12977</v>
      </c>
      <c r="I4221" s="18">
        <f>IFERROR(__xludf.DUMMYFUNCTION("""COMPUTED_VALUE"""),1.0)</f>
        <v>1</v>
      </c>
      <c r="J4221" s="18">
        <f>IFERROR(__xludf.DUMMYFUNCTION("""COMPUTED_VALUE"""),1.0)</f>
        <v>1</v>
      </c>
      <c r="K4221" s="18">
        <f>IFERROR(__xludf.DUMMYFUNCTION("""COMPUTED_VALUE"""),1.0)</f>
        <v>1</v>
      </c>
      <c r="L4221" s="17">
        <f>IFERROR(__xludf.DUMMYFUNCTION("""COMPUTED_VALUE"""),3.167598266E9)</f>
        <v>3167598266</v>
      </c>
      <c r="M4221" s="17" t="str">
        <f>IFERROR(__xludf.DUMMYFUNCTION("""COMPUTED_VALUE"""),"#REF!")</f>
        <v>#REF!</v>
      </c>
      <c r="N4221" s="17"/>
      <c r="O4221" s="17"/>
      <c r="P4221" s="17" t="b">
        <f>IFERROR(__xludf.DUMMYFUNCTION("""COMPUTED_VALUE"""),TRUE)</f>
        <v>1</v>
      </c>
      <c r="Q4221" s="20">
        <f>IFERROR(__xludf.DUMMYFUNCTION("""COMPUTED_VALUE"""),45125.80158209491)</f>
        <v>45125.80158</v>
      </c>
      <c r="R4221" s="22" t="str">
        <f>IFERROR(__xludf.DUMMYFUNCTION("""COMPUTED_VALUE"""),"")</f>
        <v/>
      </c>
    </row>
    <row r="4222">
      <c r="A4222" s="17" t="str">
        <f>IFERROR(__xludf.DUMMYFUNCTION("""COMPUTED_VALUE"""),"")</f>
        <v/>
      </c>
      <c r="B4222" s="17" t="str">
        <f>IFERROR(__xludf.DUMMYFUNCTION("""COMPUTED_VALUE"""),"")</f>
        <v/>
      </c>
      <c r="C4222" s="17" t="str">
        <f>IFERROR(__xludf.DUMMYFUNCTION("""COMPUTED_VALUE"""),"")</f>
        <v/>
      </c>
      <c r="D4222" s="17" t="str">
        <f>IFERROR(__xludf.DUMMYFUNCTION("""COMPUTED_VALUE"""),"")</f>
        <v/>
      </c>
      <c r="E4222" s="17" t="str">
        <f>IFERROR(__xludf.DUMMYFUNCTION("""COMPUTED_VALUE"""),"")</f>
        <v/>
      </c>
      <c r="F4222" s="17" t="str">
        <f>IFERROR(__xludf.DUMMYFUNCTION("""COMPUTED_VALUE"""),"")</f>
        <v/>
      </c>
      <c r="G4222" s="17" t="str">
        <f>IFERROR(__xludf.DUMMYFUNCTION("""COMPUTED_VALUE"""),"")</f>
        <v/>
      </c>
      <c r="H4222" s="17" t="str">
        <f>IFERROR(__xludf.DUMMYFUNCTION("""COMPUTED_VALUE"""),"")</f>
        <v/>
      </c>
      <c r="I4222" s="17" t="str">
        <f>IFERROR(__xludf.DUMMYFUNCTION("""COMPUTED_VALUE"""),"")</f>
        <v/>
      </c>
      <c r="J4222" s="17" t="str">
        <f>IFERROR(__xludf.DUMMYFUNCTION("""COMPUTED_VALUE"""),"")</f>
        <v/>
      </c>
      <c r="K4222" s="17" t="str">
        <f>IFERROR(__xludf.DUMMYFUNCTION("""COMPUTED_VALUE"""),"")</f>
        <v/>
      </c>
      <c r="L4222" s="17" t="str">
        <f>IFERROR(__xludf.DUMMYFUNCTION("""COMPUTED_VALUE"""),"")</f>
        <v/>
      </c>
      <c r="M4222" s="17" t="str">
        <f>IFERROR(__xludf.DUMMYFUNCTION("""COMPUTED_VALUE"""),"")</f>
        <v/>
      </c>
      <c r="N4222" s="17" t="str">
        <f>IFERROR(__xludf.DUMMYFUNCTION("""COMPUTED_VALUE"""),"")</f>
        <v/>
      </c>
      <c r="O4222" s="17" t="str">
        <f>IFERROR(__xludf.DUMMYFUNCTION("""COMPUTED_VALUE"""),"")</f>
        <v/>
      </c>
      <c r="P4222" s="17" t="str">
        <f>IFERROR(__xludf.DUMMYFUNCTION("""COMPUTED_VALUE"""),"")</f>
        <v/>
      </c>
      <c r="Q4222" s="17" t="str">
        <f>IFERROR(__xludf.DUMMYFUNCTION("""COMPUTED_VALUE"""),"")</f>
        <v/>
      </c>
      <c r="R4222" s="17" t="str">
        <f>IFERROR(__xludf.DUMMYFUNCTION("""COMPUTED_VALUE"""),"")</f>
        <v/>
      </c>
    </row>
    <row r="4223">
      <c r="A4223" s="15">
        <f>IFERROR(__xludf.DUMMYFUNCTION("""COMPUTED_VALUE"""),45125.0)</f>
        <v>45125</v>
      </c>
      <c r="B4223" s="16" t="str">
        <f>IFERROR(__xludf.DUMMYFUNCTION("""COMPUTED_VALUE"""),"Angie Daniela Meneses ")</f>
        <v>Angie Daniela Meneses </v>
      </c>
      <c r="C4223" s="15" t="str">
        <f>IFERROR(__xludf.DUMMYFUNCTION("""COMPUTED_VALUE"""),"MANIZALES")</f>
        <v>MANIZALES</v>
      </c>
      <c r="D4223" s="15" t="str">
        <f>IFERROR(__xludf.DUMMYFUNCTION("""COMPUTED_VALUE"""),"MEDELLÍN")</f>
        <v>MEDELLÍN</v>
      </c>
      <c r="E4223" s="15" t="str">
        <f>IFERROR(__xludf.DUMMYFUNCTION("""COMPUTED_VALUE"""),"Todo Bufala")</f>
        <v>Todo Bufala</v>
      </c>
      <c r="F4223" s="17" t="str">
        <f>IFERROR(__xludf.DUMMYFUNCTION("""COMPUTED_VALUE"""),"Call 66 #23B - 211 / Edifico calle larga, local 5c")</f>
        <v>Call 66 #23B - 211 / Edifico calle larga, local 5c</v>
      </c>
      <c r="G4223" s="15" t="str">
        <f>IFERROR(__xludf.DUMMYFUNCTION("""COMPUTED_VALUE"""),"Sebastian Perez Pineda")</f>
        <v>Sebastian Perez Pineda</v>
      </c>
      <c r="H4223" s="16">
        <f>IFERROR(__xludf.DUMMYFUNCTION("""COMPUTED_VALUE"""),12942.0)</f>
        <v>12942</v>
      </c>
      <c r="I4223" s="18">
        <f>IFERROR(__xludf.DUMMYFUNCTION("""COMPUTED_VALUE"""),20.0)</f>
        <v>20</v>
      </c>
      <c r="J4223" s="18">
        <f>IFERROR(__xludf.DUMMYFUNCTION("""COMPUTED_VALUE"""),30.0)</f>
        <v>30</v>
      </c>
      <c r="K4223" s="18">
        <f>IFERROR(__xludf.DUMMYFUNCTION("""COMPUTED_VALUE"""),40.0)</f>
        <v>40</v>
      </c>
      <c r="L4223" s="17">
        <f>IFERROR(__xludf.DUMMYFUNCTION("""COMPUTED_VALUE"""),3.106974621E9)</f>
        <v>3106974621</v>
      </c>
      <c r="M4223" s="17" t="str">
        <f>IFERROR(__xludf.DUMMYFUNCTION("""COMPUTED_VALUE"""),"#REF!")</f>
        <v>#REF!</v>
      </c>
      <c r="N4223" s="17"/>
      <c r="O4223" s="17"/>
      <c r="P4223" s="17" t="b">
        <f>IFERROR(__xludf.DUMMYFUNCTION("""COMPUTED_VALUE"""),TRUE)</f>
        <v>1</v>
      </c>
      <c r="Q4223" s="20">
        <f>IFERROR(__xludf.DUMMYFUNCTION("""COMPUTED_VALUE"""),45125.80158209491)</f>
        <v>45125.80158</v>
      </c>
      <c r="R4223" s="22" t="str">
        <f>IFERROR(__xludf.DUMMYFUNCTION("""COMPUTED_VALUE"""),"")</f>
        <v/>
      </c>
    </row>
    <row r="4224">
      <c r="A4224" s="15">
        <f>IFERROR(__xludf.DUMMYFUNCTION("""COMPUTED_VALUE"""),45125.0)</f>
        <v>45125</v>
      </c>
      <c r="B4224" s="16" t="str">
        <f>IFERROR(__xludf.DUMMYFUNCTION("""COMPUTED_VALUE"""),"Angie Daniela Meneses ")</f>
        <v>Angie Daniela Meneses </v>
      </c>
      <c r="C4224" s="15" t="str">
        <f>IFERROR(__xludf.DUMMYFUNCTION("""COMPUTED_VALUE"""),"MANIZALES")</f>
        <v>MANIZALES</v>
      </c>
      <c r="D4224" s="15" t="str">
        <f>IFERROR(__xludf.DUMMYFUNCTION("""COMPUTED_VALUE"""),"MEDELLÍN")</f>
        <v>MEDELLÍN</v>
      </c>
      <c r="E4224" s="15" t="str">
        <f>IFERROR(__xludf.DUMMYFUNCTION("""COMPUTED_VALUE"""),"Todo Bufala")</f>
        <v>Todo Bufala</v>
      </c>
      <c r="F4224" s="17" t="str">
        <f>IFERROR(__xludf.DUMMYFUNCTION("""COMPUTED_VALUE"""),"Call 66 #23B - 211 / Edifico calle larga, local 5c")</f>
        <v>Call 66 #23B - 211 / Edifico calle larga, local 5c</v>
      </c>
      <c r="G4224" s="15" t="str">
        <f>IFERROR(__xludf.DUMMYFUNCTION("""COMPUTED_VALUE"""),"Sebastian Perez Pineda")</f>
        <v>Sebastian Perez Pineda</v>
      </c>
      <c r="H4224" s="16">
        <f>IFERROR(__xludf.DUMMYFUNCTION("""COMPUTED_VALUE"""),12943.0)</f>
        <v>12943</v>
      </c>
      <c r="I4224" s="18">
        <f>IFERROR(__xludf.DUMMYFUNCTION("""COMPUTED_VALUE"""),20.0)</f>
        <v>20</v>
      </c>
      <c r="J4224" s="18">
        <f>IFERROR(__xludf.DUMMYFUNCTION("""COMPUTED_VALUE"""),30.0)</f>
        <v>30</v>
      </c>
      <c r="K4224" s="18">
        <f>IFERROR(__xludf.DUMMYFUNCTION("""COMPUTED_VALUE"""),40.0)</f>
        <v>40</v>
      </c>
      <c r="L4224" s="17">
        <f>IFERROR(__xludf.DUMMYFUNCTION("""COMPUTED_VALUE"""),3.106974621E9)</f>
        <v>3106974621</v>
      </c>
      <c r="M4224" s="17" t="str">
        <f>IFERROR(__xludf.DUMMYFUNCTION("""COMPUTED_VALUE"""),"#REF!")</f>
        <v>#REF!</v>
      </c>
      <c r="N4224" s="17"/>
      <c r="O4224" s="17"/>
      <c r="P4224" s="17" t="b">
        <f>IFERROR(__xludf.DUMMYFUNCTION("""COMPUTED_VALUE"""),FALSE)</f>
        <v>0</v>
      </c>
      <c r="Q4224" s="20" t="str">
        <f>IFERROR(__xludf.DUMMYFUNCTION("""COMPUTED_VALUE"""),"")</f>
        <v/>
      </c>
      <c r="R4224" s="22" t="str">
        <f>IFERROR(__xludf.DUMMYFUNCTION("""COMPUTED_VALUE"""),"")</f>
        <v/>
      </c>
    </row>
    <row r="4225">
      <c r="A4225" s="17" t="str">
        <f>IFERROR(__xludf.DUMMYFUNCTION("""COMPUTED_VALUE"""),"")</f>
        <v/>
      </c>
      <c r="B4225" s="17" t="str">
        <f>IFERROR(__xludf.DUMMYFUNCTION("""COMPUTED_VALUE"""),"")</f>
        <v/>
      </c>
      <c r="C4225" s="17" t="str">
        <f>IFERROR(__xludf.DUMMYFUNCTION("""COMPUTED_VALUE"""),"")</f>
        <v/>
      </c>
      <c r="D4225" s="17" t="str">
        <f>IFERROR(__xludf.DUMMYFUNCTION("""COMPUTED_VALUE"""),"")</f>
        <v/>
      </c>
      <c r="E4225" s="17" t="str">
        <f>IFERROR(__xludf.DUMMYFUNCTION("""COMPUTED_VALUE"""),"")</f>
        <v/>
      </c>
      <c r="F4225" s="17" t="str">
        <f>IFERROR(__xludf.DUMMYFUNCTION("""COMPUTED_VALUE"""),"")</f>
        <v/>
      </c>
      <c r="G4225" s="17" t="str">
        <f>IFERROR(__xludf.DUMMYFUNCTION("""COMPUTED_VALUE"""),"")</f>
        <v/>
      </c>
      <c r="H4225" s="17" t="str">
        <f>IFERROR(__xludf.DUMMYFUNCTION("""COMPUTED_VALUE"""),"")</f>
        <v/>
      </c>
      <c r="I4225" s="17" t="str">
        <f>IFERROR(__xludf.DUMMYFUNCTION("""COMPUTED_VALUE"""),"")</f>
        <v/>
      </c>
      <c r="J4225" s="17" t="str">
        <f>IFERROR(__xludf.DUMMYFUNCTION("""COMPUTED_VALUE"""),"")</f>
        <v/>
      </c>
      <c r="K4225" s="17" t="str">
        <f>IFERROR(__xludf.DUMMYFUNCTION("""COMPUTED_VALUE"""),"")</f>
        <v/>
      </c>
      <c r="L4225" s="17" t="str">
        <f>IFERROR(__xludf.DUMMYFUNCTION("""COMPUTED_VALUE"""),"")</f>
        <v/>
      </c>
      <c r="M4225" s="17" t="str">
        <f>IFERROR(__xludf.DUMMYFUNCTION("""COMPUTED_VALUE"""),"")</f>
        <v/>
      </c>
      <c r="N4225" s="17" t="str">
        <f>IFERROR(__xludf.DUMMYFUNCTION("""COMPUTED_VALUE"""),"")</f>
        <v/>
      </c>
      <c r="O4225" s="17" t="str">
        <f>IFERROR(__xludf.DUMMYFUNCTION("""COMPUTED_VALUE"""),"")</f>
        <v/>
      </c>
      <c r="P4225" s="17" t="str">
        <f>IFERROR(__xludf.DUMMYFUNCTION("""COMPUTED_VALUE"""),"")</f>
        <v/>
      </c>
      <c r="Q4225" s="17" t="str">
        <f>IFERROR(__xludf.DUMMYFUNCTION("""COMPUTED_VALUE"""),"")</f>
        <v/>
      </c>
      <c r="R4225" s="17" t="str">
        <f>IFERROR(__xludf.DUMMYFUNCTION("""COMPUTED_VALUE"""),"")</f>
        <v/>
      </c>
    </row>
    <row r="4226">
      <c r="A4226" s="15">
        <f>IFERROR(__xludf.DUMMYFUNCTION("""COMPUTED_VALUE"""),45125.0)</f>
        <v>45125</v>
      </c>
      <c r="B4226" s="16" t="str">
        <f>IFERROR(__xludf.DUMMYFUNCTION("""COMPUTED_VALUE"""),"Carlos Andres Pirachican Numpaque (Mayerli)")</f>
        <v>Carlos Andres Pirachican Numpaque (Mayerli)</v>
      </c>
      <c r="C4226" s="15" t="str">
        <f>IFERROR(__xludf.DUMMYFUNCTION("""COMPUTED_VALUE"""),"BARRANQUILLA")</f>
        <v>BARRANQUILLA</v>
      </c>
      <c r="D4226" s="15" t="str">
        <f>IFERROR(__xludf.DUMMYFUNCTION("""COMPUTED_VALUE"""),"BOGOTÁ")</f>
        <v>BOGOTÁ</v>
      </c>
      <c r="E4226" s="15" t="str">
        <f>IFERROR(__xludf.DUMMYFUNCTION("""COMPUTED_VALUE"""),"Mochi")</f>
        <v>Mochi</v>
      </c>
      <c r="F4226" s="17" t="str">
        <f>IFERROR(__xludf.DUMMYFUNCTION("""COMPUTED_VALUE"""),"	Cra. 51B #87-50, Riomar, Barranquilla, Atlántico / 	Cra. 51B #87-50, Riomar, Barranquilla, Atlántico / 	Cra. 51B #87-50, Riomar, Barranquilla, Atlántico")</f>
        <v>	Cra. 51B #87-50, Riomar, Barranquilla, Atlántico / 	Cra. 51B #87-50, Riomar, Barranquilla, Atlántico / 	Cra. 51B #87-50, Riomar, Barranquilla, Atlántico</v>
      </c>
      <c r="G4226" s="15" t="str">
        <f>IFERROR(__xludf.DUMMYFUNCTION("""COMPUTED_VALUE"""),"Yinna")</f>
        <v>Yinna</v>
      </c>
      <c r="H4226" s="16">
        <f>IFERROR(__xludf.DUMMYFUNCTION("""COMPUTED_VALUE"""),13019.0)</f>
        <v>13019</v>
      </c>
      <c r="I4226" s="18">
        <f>IFERROR(__xludf.DUMMYFUNCTION("""COMPUTED_VALUE"""),100.0)</f>
        <v>100</v>
      </c>
      <c r="J4226" s="18">
        <f>IFERROR(__xludf.DUMMYFUNCTION("""COMPUTED_VALUE"""),100.0)</f>
        <v>100</v>
      </c>
      <c r="K4226" s="18">
        <f>IFERROR(__xludf.DUMMYFUNCTION("""COMPUTED_VALUE"""),200.0)</f>
        <v>200</v>
      </c>
      <c r="L4226" s="17">
        <f>IFERROR(__xludf.DUMMYFUNCTION("""COMPUTED_VALUE"""),3.216528485E9)</f>
        <v>3216528485</v>
      </c>
      <c r="M4226" s="17" t="str">
        <f>IFERROR(__xludf.DUMMYFUNCTION("""COMPUTED_VALUE"""),"#REF!")</f>
        <v>#REF!</v>
      </c>
      <c r="N4226" s="17"/>
      <c r="O4226" s="17"/>
      <c r="P4226" s="17" t="b">
        <f>IFERROR(__xludf.DUMMYFUNCTION("""COMPUTED_VALUE"""),FALSE)</f>
        <v>0</v>
      </c>
      <c r="Q4226" s="20" t="str">
        <f>IFERROR(__xludf.DUMMYFUNCTION("""COMPUTED_VALUE"""),"")</f>
        <v/>
      </c>
      <c r="R4226" s="22" t="str">
        <f>IFERROR(__xludf.DUMMYFUNCTION("""COMPUTED_VALUE"""),"")</f>
        <v/>
      </c>
    </row>
    <row r="4227">
      <c r="A4227" s="15">
        <f>IFERROR(__xludf.DUMMYFUNCTION("""COMPUTED_VALUE"""),45125.0)</f>
        <v>45125</v>
      </c>
      <c r="B4227" s="16" t="str">
        <f>IFERROR(__xludf.DUMMYFUNCTION("""COMPUTED_VALUE"""),"Carlos Andres Pirachican Numpaque (Mayerli)")</f>
        <v>Carlos Andres Pirachican Numpaque (Mayerli)</v>
      </c>
      <c r="C4227" s="15" t="str">
        <f>IFERROR(__xludf.DUMMYFUNCTION("""COMPUTED_VALUE"""),"CARTAGENA")</f>
        <v>CARTAGENA</v>
      </c>
      <c r="D4227" s="15" t="str">
        <f>IFERROR(__xludf.DUMMYFUNCTION("""COMPUTED_VALUE"""),"BOGOTÁ")</f>
        <v>BOGOTÁ</v>
      </c>
      <c r="E4227" s="15" t="str">
        <f>IFERROR(__xludf.DUMMYFUNCTION("""COMPUTED_VALUE"""),"Mochi")</f>
        <v>Mochi</v>
      </c>
      <c r="F4227" s="17" t="str">
        <f>IFERROR(__xludf.DUMMYFUNCTION("""COMPUTED_VALUE"""),"Cra. 11 # 39-21, San Diego, Cartagena de Indias, Provincia de Cartagena, Bolívar / 	Cra. 11 # 39-21, San Diego, Cartagena de Indias, Provincia de Cartagena, Bolívar / 	Cra. 11 # 39-21, San Diego, Cartagena de Indias, Provincia de Cartagena, Bolívar")</f>
        <v>Cra. 11 # 39-21, San Diego, Cartagena de Indias, Provincia de Cartagena, Bolívar / 	Cra. 11 # 39-21, San Diego, Cartagena de Indias, Provincia de Cartagena, Bolívar / 	Cra. 11 # 39-21, San Diego, Cartagena de Indias, Provincia de Cartagena, Bolívar</v>
      </c>
      <c r="G4227" s="15" t="str">
        <f>IFERROR(__xludf.DUMMYFUNCTION("""COMPUTED_VALUE"""),"Julieth")</f>
        <v>Julieth</v>
      </c>
      <c r="H4227" s="16">
        <f>IFERROR(__xludf.DUMMYFUNCTION("""COMPUTED_VALUE"""),13020.0)</f>
        <v>13020</v>
      </c>
      <c r="I4227" s="18">
        <f>IFERROR(__xludf.DUMMYFUNCTION("""COMPUTED_VALUE"""),100.0)</f>
        <v>100</v>
      </c>
      <c r="J4227" s="18">
        <f>IFERROR(__xludf.DUMMYFUNCTION("""COMPUTED_VALUE"""),100.0)</f>
        <v>100</v>
      </c>
      <c r="K4227" s="18">
        <f>IFERROR(__xludf.DUMMYFUNCTION("""COMPUTED_VALUE"""),100.0)</f>
        <v>100</v>
      </c>
      <c r="L4227" s="17">
        <f>IFERROR(__xludf.DUMMYFUNCTION("""COMPUTED_VALUE"""),3.23251582E9)</f>
        <v>3232515820</v>
      </c>
      <c r="M4227" s="17" t="str">
        <f>IFERROR(__xludf.DUMMYFUNCTION("""COMPUTED_VALUE"""),"#REF!")</f>
        <v>#REF!</v>
      </c>
      <c r="N4227" s="17"/>
      <c r="O4227" s="17"/>
      <c r="P4227" s="17" t="b">
        <f>IFERROR(__xludf.DUMMYFUNCTION("""COMPUTED_VALUE"""),TRUE)</f>
        <v>1</v>
      </c>
      <c r="Q4227" s="20">
        <f>IFERROR(__xludf.DUMMYFUNCTION("""COMPUTED_VALUE"""),45125.80158209491)</f>
        <v>45125.80158</v>
      </c>
      <c r="R4227" s="22" t="str">
        <f>IFERROR(__xludf.DUMMYFUNCTION("""COMPUTED_VALUE"""),"")</f>
        <v/>
      </c>
    </row>
    <row r="4228">
      <c r="A4228" s="17" t="str">
        <f>IFERROR(__xludf.DUMMYFUNCTION("""COMPUTED_VALUE"""),"")</f>
        <v/>
      </c>
      <c r="B4228" s="17" t="str">
        <f>IFERROR(__xludf.DUMMYFUNCTION("""COMPUTED_VALUE"""),"")</f>
        <v/>
      </c>
      <c r="C4228" s="17" t="str">
        <f>IFERROR(__xludf.DUMMYFUNCTION("""COMPUTED_VALUE"""),"")</f>
        <v/>
      </c>
      <c r="D4228" s="17" t="str">
        <f>IFERROR(__xludf.DUMMYFUNCTION("""COMPUTED_VALUE"""),"")</f>
        <v/>
      </c>
      <c r="E4228" s="17" t="str">
        <f>IFERROR(__xludf.DUMMYFUNCTION("""COMPUTED_VALUE"""),"")</f>
        <v/>
      </c>
      <c r="F4228" s="17" t="str">
        <f>IFERROR(__xludf.DUMMYFUNCTION("""COMPUTED_VALUE"""),"")</f>
        <v/>
      </c>
      <c r="G4228" s="17" t="str">
        <f>IFERROR(__xludf.DUMMYFUNCTION("""COMPUTED_VALUE"""),"")</f>
        <v/>
      </c>
      <c r="H4228" s="17" t="str">
        <f>IFERROR(__xludf.DUMMYFUNCTION("""COMPUTED_VALUE"""),"")</f>
        <v/>
      </c>
      <c r="I4228" s="17" t="str">
        <f>IFERROR(__xludf.DUMMYFUNCTION("""COMPUTED_VALUE"""),"")</f>
        <v/>
      </c>
      <c r="J4228" s="17" t="str">
        <f>IFERROR(__xludf.DUMMYFUNCTION("""COMPUTED_VALUE"""),"")</f>
        <v/>
      </c>
      <c r="K4228" s="17" t="str">
        <f>IFERROR(__xludf.DUMMYFUNCTION("""COMPUTED_VALUE"""),"")</f>
        <v/>
      </c>
      <c r="L4228" s="17" t="str">
        <f>IFERROR(__xludf.DUMMYFUNCTION("""COMPUTED_VALUE"""),"")</f>
        <v/>
      </c>
      <c r="M4228" s="17" t="str">
        <f>IFERROR(__xludf.DUMMYFUNCTION("""COMPUTED_VALUE"""),"")</f>
        <v/>
      </c>
      <c r="N4228" s="17" t="str">
        <f>IFERROR(__xludf.DUMMYFUNCTION("""COMPUTED_VALUE"""),"")</f>
        <v/>
      </c>
      <c r="O4228" s="17" t="str">
        <f>IFERROR(__xludf.DUMMYFUNCTION("""COMPUTED_VALUE"""),"")</f>
        <v/>
      </c>
      <c r="P4228" s="17" t="str">
        <f>IFERROR(__xludf.DUMMYFUNCTION("""COMPUTED_VALUE"""),"")</f>
        <v/>
      </c>
      <c r="Q4228" s="17" t="str">
        <f>IFERROR(__xludf.DUMMYFUNCTION("""COMPUTED_VALUE"""),"")</f>
        <v/>
      </c>
      <c r="R4228" s="17" t="str">
        <f>IFERROR(__xludf.DUMMYFUNCTION("""COMPUTED_VALUE"""),"")</f>
        <v/>
      </c>
    </row>
    <row r="4229">
      <c r="A4229" s="15">
        <f>IFERROR(__xludf.DUMMYFUNCTION("""COMPUTED_VALUE"""),45125.0)</f>
        <v>45125</v>
      </c>
      <c r="B4229" s="16" t="str">
        <f>IFERROR(__xludf.DUMMYFUNCTION("""COMPUTED_VALUE"""),"Deivi Alejandro Quintero Corrales")</f>
        <v>Deivi Alejandro Quintero Corrales</v>
      </c>
      <c r="C4229" s="15" t="str">
        <f>IFERROR(__xludf.DUMMYFUNCTION("""COMPUTED_VALUE"""),"ARMENIA")</f>
        <v>ARMENIA</v>
      </c>
      <c r="D4229" s="15" t="str">
        <f>IFERROR(__xludf.DUMMYFUNCTION("""COMPUTED_VALUE"""),"MEDELLÍN")</f>
        <v>MEDELLÍN</v>
      </c>
      <c r="E4229" s="15" t="str">
        <f>IFERROR(__xludf.DUMMYFUNCTION("""COMPUTED_VALUE"""),"TOLEDALES S.A.S")</f>
        <v>TOLEDALES S.A.S</v>
      </c>
      <c r="F4229" s="17" t="str">
        <f>IFERROR(__xludf.DUMMYFUNCTION("""COMPUTED_VALUE"""),"Cll23A norte 19 47 / casa 2")</f>
        <v>Cll23A norte 19 47 / casa 2</v>
      </c>
      <c r="G4229" s="15" t="str">
        <f>IFERROR(__xludf.DUMMYFUNCTION("""COMPUTED_VALUE"""),"sandra salas")</f>
        <v>sandra salas</v>
      </c>
      <c r="H4229" s="16">
        <f>IFERROR(__xludf.DUMMYFUNCTION("""COMPUTED_VALUE"""),12916.0)</f>
        <v>12916</v>
      </c>
      <c r="I4229" s="18">
        <f>IFERROR(__xludf.DUMMYFUNCTION("""COMPUTED_VALUE"""),25.0)</f>
        <v>25</v>
      </c>
      <c r="J4229" s="18">
        <f>IFERROR(__xludf.DUMMYFUNCTION("""COMPUTED_VALUE"""),5.0)</f>
        <v>5</v>
      </c>
      <c r="K4229" s="18">
        <f>IFERROR(__xludf.DUMMYFUNCTION("""COMPUTED_VALUE"""),31.0)</f>
        <v>31</v>
      </c>
      <c r="L4229" s="17">
        <f>IFERROR(__xludf.DUMMYFUNCTION("""COMPUTED_VALUE"""),3.176643506E9)</f>
        <v>3176643506</v>
      </c>
      <c r="M4229" s="17" t="str">
        <f>IFERROR(__xludf.DUMMYFUNCTION("""COMPUTED_VALUE"""),"#REF!")</f>
        <v>#REF!</v>
      </c>
      <c r="N4229" s="17"/>
      <c r="O4229" s="17"/>
      <c r="P4229" s="17" t="b">
        <f>IFERROR(__xludf.DUMMYFUNCTION("""COMPUTED_VALUE"""),TRUE)</f>
        <v>1</v>
      </c>
      <c r="Q4229" s="20">
        <f>IFERROR(__xludf.DUMMYFUNCTION("""COMPUTED_VALUE"""),45125.80158209491)</f>
        <v>45125.80158</v>
      </c>
      <c r="R4229" s="22" t="str">
        <f>IFERROR(__xludf.DUMMYFUNCTION("""COMPUTED_VALUE"""),"")</f>
        <v/>
      </c>
    </row>
    <row r="4230">
      <c r="A4230" s="15">
        <f>IFERROR(__xludf.DUMMYFUNCTION("""COMPUTED_VALUE"""),45125.0)</f>
        <v>45125</v>
      </c>
      <c r="B4230" s="16" t="str">
        <f>IFERROR(__xludf.DUMMYFUNCTION("""COMPUTED_VALUE"""),"Deivi Alejandro Quintero Corrales")</f>
        <v>Deivi Alejandro Quintero Corrales</v>
      </c>
      <c r="C4230" s="15" t="str">
        <f>IFERROR(__xludf.DUMMYFUNCTION("""COMPUTED_VALUE"""),"ARMENIA")</f>
        <v>ARMENIA</v>
      </c>
      <c r="D4230" s="15" t="str">
        <f>IFERROR(__xludf.DUMMYFUNCTION("""COMPUTED_VALUE"""),"MEDELLÍN")</f>
        <v>MEDELLÍN</v>
      </c>
      <c r="E4230" s="15" t="str">
        <f>IFERROR(__xludf.DUMMYFUNCTION("""COMPUTED_VALUE"""),"TOLEDALES S.A.S")</f>
        <v>TOLEDALES S.A.S</v>
      </c>
      <c r="F4230" s="17" t="str">
        <f>IFERROR(__xludf.DUMMYFUNCTION("""COMPUTED_VALUE"""),"Cra 14 # 46 norte -41 mall zona de oro")</f>
        <v>Cra 14 # 46 norte -41 mall zona de oro</v>
      </c>
      <c r="G4230" s="15" t="str">
        <f>IFERROR(__xludf.DUMMYFUNCTION("""COMPUTED_VALUE"""),"paola andrea gomez")</f>
        <v>paola andrea gomez</v>
      </c>
      <c r="H4230" s="16">
        <f>IFERROR(__xludf.DUMMYFUNCTION("""COMPUTED_VALUE"""),12917.0)</f>
        <v>12917</v>
      </c>
      <c r="I4230" s="18">
        <f>IFERROR(__xludf.DUMMYFUNCTION("""COMPUTED_VALUE"""),11.0)</f>
        <v>11</v>
      </c>
      <c r="J4230" s="18">
        <f>IFERROR(__xludf.DUMMYFUNCTION("""COMPUTED_VALUE"""),23.0)</f>
        <v>23</v>
      </c>
      <c r="K4230" s="18">
        <f>IFERROR(__xludf.DUMMYFUNCTION("""COMPUTED_VALUE"""),31.0)</f>
        <v>31</v>
      </c>
      <c r="L4230" s="17">
        <f>IFERROR(__xludf.DUMMYFUNCTION("""COMPUTED_VALUE"""),3.003222972E9)</f>
        <v>3003222972</v>
      </c>
      <c r="M4230" s="17" t="str">
        <f>IFERROR(__xludf.DUMMYFUNCTION("""COMPUTED_VALUE"""),"#REF!")</f>
        <v>#REF!</v>
      </c>
      <c r="N4230" s="17"/>
      <c r="O4230" s="17"/>
      <c r="P4230" s="17" t="b">
        <f>IFERROR(__xludf.DUMMYFUNCTION("""COMPUTED_VALUE"""),FALSE)</f>
        <v>0</v>
      </c>
      <c r="Q4230" s="20" t="str">
        <f>IFERROR(__xludf.DUMMYFUNCTION("""COMPUTED_VALUE"""),"")</f>
        <v/>
      </c>
      <c r="R4230" s="22" t="str">
        <f>IFERROR(__xludf.DUMMYFUNCTION("""COMPUTED_VALUE"""),"")</f>
        <v/>
      </c>
    </row>
    <row r="4231">
      <c r="A4231" s="15">
        <f>IFERROR(__xludf.DUMMYFUNCTION("""COMPUTED_VALUE"""),45125.0)</f>
        <v>45125</v>
      </c>
      <c r="B4231" s="16" t="str">
        <f>IFERROR(__xludf.DUMMYFUNCTION("""COMPUTED_VALUE"""),"Deivi Alejandro Quintero Corrales")</f>
        <v>Deivi Alejandro Quintero Corrales</v>
      </c>
      <c r="C4231" s="15" t="str">
        <f>IFERROR(__xludf.DUMMYFUNCTION("""COMPUTED_VALUE"""),"PEREIRA")</f>
        <v>PEREIRA</v>
      </c>
      <c r="D4231" s="15" t="str">
        <f>IFERROR(__xludf.DUMMYFUNCTION("""COMPUTED_VALUE"""),"BOGOTÁ")</f>
        <v>BOGOTÁ</v>
      </c>
      <c r="E4231" s="15" t="str">
        <f>IFERROR(__xludf.DUMMYFUNCTION("""COMPUTED_VALUE"""),"Evamazzita")</f>
        <v>Evamazzita</v>
      </c>
      <c r="F4231" s="17" t="str">
        <f>IFERROR(__xludf.DUMMYFUNCTION("""COMPUTED_VALUE"""),"Calle 153 # 23 41 /  Manazana 1 Casa 9 / Sol de Galicia")</f>
        <v>Calle 153 # 23 41 /  Manazana 1 Casa 9 / Sol de Galicia</v>
      </c>
      <c r="G4231" s="15" t="str">
        <f>IFERROR(__xludf.DUMMYFUNCTION("""COMPUTED_VALUE"""),"Paula Forero")</f>
        <v>Paula Forero</v>
      </c>
      <c r="H4231" s="16">
        <f>IFERROR(__xludf.DUMMYFUNCTION("""COMPUTED_VALUE"""),12968.0)</f>
        <v>12968</v>
      </c>
      <c r="I4231" s="18">
        <f>IFERROR(__xludf.DUMMYFUNCTION("""COMPUTED_VALUE"""),14.0)</f>
        <v>14</v>
      </c>
      <c r="J4231" s="18">
        <f>IFERROR(__xludf.DUMMYFUNCTION("""COMPUTED_VALUE"""),33.0)</f>
        <v>33</v>
      </c>
      <c r="K4231" s="18">
        <f>IFERROR(__xludf.DUMMYFUNCTION("""COMPUTED_VALUE"""),27.0)</f>
        <v>27</v>
      </c>
      <c r="L4231" s="17">
        <f>IFERROR(__xludf.DUMMYFUNCTION("""COMPUTED_VALUE"""),3.115760231E9)</f>
        <v>3115760231</v>
      </c>
      <c r="M4231" s="17" t="str">
        <f>IFERROR(__xludf.DUMMYFUNCTION("""COMPUTED_VALUE"""),"#REF!")</f>
        <v>#REF!</v>
      </c>
      <c r="N4231" s="17"/>
      <c r="O4231" s="17"/>
      <c r="P4231" s="17" t="b">
        <f>IFERROR(__xludf.DUMMYFUNCTION("""COMPUTED_VALUE"""),FALSE)</f>
        <v>0</v>
      </c>
      <c r="Q4231" s="20" t="str">
        <f>IFERROR(__xludf.DUMMYFUNCTION("""COMPUTED_VALUE"""),"")</f>
        <v/>
      </c>
      <c r="R4231" s="22" t="str">
        <f>IFERROR(__xludf.DUMMYFUNCTION("""COMPUTED_VALUE"""),"")</f>
        <v/>
      </c>
    </row>
    <row r="4232">
      <c r="A4232" s="15">
        <f>IFERROR(__xludf.DUMMYFUNCTION("""COMPUTED_VALUE"""),45125.0)</f>
        <v>45125</v>
      </c>
      <c r="B4232" s="16" t="str">
        <f>IFERROR(__xludf.DUMMYFUNCTION("""COMPUTED_VALUE"""),"Deivi Alejandro Quintero Corrales")</f>
        <v>Deivi Alejandro Quintero Corrales</v>
      </c>
      <c r="C4232" s="15" t="str">
        <f>IFERROR(__xludf.DUMMYFUNCTION("""COMPUTED_VALUE"""),"PEREIRA")</f>
        <v>PEREIRA</v>
      </c>
      <c r="D4232" s="15" t="str">
        <f>IFERROR(__xludf.DUMMYFUNCTION("""COMPUTED_VALUE"""),"BOGOTÁ")</f>
        <v>BOGOTÁ</v>
      </c>
      <c r="E4232" s="15" t="str">
        <f>IFERROR(__xludf.DUMMYFUNCTION("""COMPUTED_VALUE"""),"La Caja de Pan")</f>
        <v>La Caja de Pan</v>
      </c>
      <c r="F4232" s="17" t="str">
        <f>IFERROR(__xludf.DUMMYFUNCTION("""COMPUTED_VALUE"""),"Cll 12 bis #16-18 / Casa Hoja / Pinares, Pereira")</f>
        <v>Cll 12 bis #16-18 / Casa Hoja / Pinares, Pereira</v>
      </c>
      <c r="G4232" s="15" t="str">
        <f>IFERROR(__xludf.DUMMYFUNCTION("""COMPUTED_VALUE"""),"Hector Hernandez")</f>
        <v>Hector Hernandez</v>
      </c>
      <c r="H4232" s="16">
        <f>IFERROR(__xludf.DUMMYFUNCTION("""COMPUTED_VALUE"""),12961.0)</f>
        <v>12961</v>
      </c>
      <c r="I4232" s="18">
        <f>IFERROR(__xludf.DUMMYFUNCTION("""COMPUTED_VALUE"""),10.0)</f>
        <v>10</v>
      </c>
      <c r="J4232" s="18">
        <f>IFERROR(__xludf.DUMMYFUNCTION("""COMPUTED_VALUE"""),20.0)</f>
        <v>20</v>
      </c>
      <c r="K4232" s="18">
        <f>IFERROR(__xludf.DUMMYFUNCTION("""COMPUTED_VALUE"""),20.0)</f>
        <v>20</v>
      </c>
      <c r="L4232" s="17">
        <f>IFERROR(__xludf.DUMMYFUNCTION("""COMPUTED_VALUE"""),3.18591145E9)</f>
        <v>3185911450</v>
      </c>
      <c r="M4232" s="17" t="str">
        <f>IFERROR(__xludf.DUMMYFUNCTION("""COMPUTED_VALUE"""),"#REF!")</f>
        <v>#REF!</v>
      </c>
      <c r="N4232" s="17"/>
      <c r="O4232" s="17"/>
      <c r="P4232" s="17" t="b">
        <f>IFERROR(__xludf.DUMMYFUNCTION("""COMPUTED_VALUE"""),TRUE)</f>
        <v>1</v>
      </c>
      <c r="Q4232" s="20">
        <f>IFERROR(__xludf.DUMMYFUNCTION("""COMPUTED_VALUE"""),45125.605280104166)</f>
        <v>45125.60528</v>
      </c>
      <c r="R4232" s="21" t="str">
        <f>IFERROR(__xludf.DUMMYFUNCTION("""COMPUTED_VALUE"""),"https://drive.google.com/file/d/1ihMzDv3VHLK6XGciSpn3ghhbnOtMkD-m/view?usp=drivesdk")</f>
        <v>https://drive.google.com/file/d/1ihMzDv3VHLK6XGciSpn3ghhbnOtMkD-m/view?usp=drivesdk</v>
      </c>
    </row>
    <row r="4233">
      <c r="A4233" s="15">
        <f>IFERROR(__xludf.DUMMYFUNCTION("""COMPUTED_VALUE"""),45125.0)</f>
        <v>45125</v>
      </c>
      <c r="B4233" s="16" t="str">
        <f>IFERROR(__xludf.DUMMYFUNCTION("""COMPUTED_VALUE"""),"Deivi Alejandro Quintero Corrales")</f>
        <v>Deivi Alejandro Quintero Corrales</v>
      </c>
      <c r="C4233" s="15" t="str">
        <f>IFERROR(__xludf.DUMMYFUNCTION("""COMPUTED_VALUE"""),"PEREIRA")</f>
        <v>PEREIRA</v>
      </c>
      <c r="D4233" s="15" t="str">
        <f>IFERROR(__xludf.DUMMYFUNCTION("""COMPUTED_VALUE"""),"BOGOTÁ")</f>
        <v>BOGOTÁ</v>
      </c>
      <c r="E4233" s="15" t="str">
        <f>IFERROR(__xludf.DUMMYFUNCTION("""COMPUTED_VALUE"""),"Pan de Waffle")</f>
        <v>Pan de Waffle</v>
      </c>
      <c r="F4233" s="17" t="str">
        <f>IFERROR(__xludf.DUMMYFUNCTION("""COMPUTED_VALUE"""),"Calle 14 # 14 - 15 San José sur circunvalar / Calle 14 # 14 - 15 San José sur circunvalar / Calle 14 # 14 - 15 San José sur circunvalar")</f>
        <v>Calle 14 # 14 - 15 San José sur circunvalar / Calle 14 # 14 - 15 San José sur circunvalar / Calle 14 # 14 - 15 San José sur circunvalar</v>
      </c>
      <c r="G4233" s="15" t="str">
        <f>IFERROR(__xludf.DUMMYFUNCTION("""COMPUTED_VALUE"""),"Majana Fit")</f>
        <v>Majana Fit</v>
      </c>
      <c r="H4233" s="16">
        <f>IFERROR(__xludf.DUMMYFUNCTION("""COMPUTED_VALUE"""),12996.0)</f>
        <v>12996</v>
      </c>
      <c r="I4233" s="18">
        <f>IFERROR(__xludf.DUMMYFUNCTION("""COMPUTED_VALUE"""),40.0)</f>
        <v>40</v>
      </c>
      <c r="J4233" s="18">
        <f>IFERROR(__xludf.DUMMYFUNCTION("""COMPUTED_VALUE"""),30.0)</f>
        <v>30</v>
      </c>
      <c r="K4233" s="18">
        <f>IFERROR(__xludf.DUMMYFUNCTION("""COMPUTED_VALUE"""),40.0)</f>
        <v>40</v>
      </c>
      <c r="L4233" s="17">
        <f>IFERROR(__xludf.DUMMYFUNCTION("""COMPUTED_VALUE"""),3.148112262E9)</f>
        <v>3148112262</v>
      </c>
      <c r="M4233" s="17" t="str">
        <f>IFERROR(__xludf.DUMMYFUNCTION("""COMPUTED_VALUE"""),"#REF!")</f>
        <v>#REF!</v>
      </c>
      <c r="N4233" s="17"/>
      <c r="O4233" s="17"/>
      <c r="P4233" s="17" t="b">
        <f>IFERROR(__xludf.DUMMYFUNCTION("""COMPUTED_VALUE"""),FALSE)</f>
        <v>0</v>
      </c>
      <c r="Q4233" s="20" t="str">
        <f>IFERROR(__xludf.DUMMYFUNCTION("""COMPUTED_VALUE"""),"")</f>
        <v/>
      </c>
      <c r="R4233" s="22" t="str">
        <f>IFERROR(__xludf.DUMMYFUNCTION("""COMPUTED_VALUE"""),"")</f>
        <v/>
      </c>
    </row>
    <row r="4234">
      <c r="A4234" s="15">
        <f>IFERROR(__xludf.DUMMYFUNCTION("""COMPUTED_VALUE"""),45125.0)</f>
        <v>45125</v>
      </c>
      <c r="B4234" s="16" t="str">
        <f>IFERROR(__xludf.DUMMYFUNCTION("""COMPUTED_VALUE"""),"Deivi Alejandro Quintero Corrales")</f>
        <v>Deivi Alejandro Quintero Corrales</v>
      </c>
      <c r="C4234" s="15" t="str">
        <f>IFERROR(__xludf.DUMMYFUNCTION("""COMPUTED_VALUE"""),"PEREIRA")</f>
        <v>PEREIRA</v>
      </c>
      <c r="D4234" s="15" t="str">
        <f>IFERROR(__xludf.DUMMYFUNCTION("""COMPUTED_VALUE"""),"BOGOTÁ")</f>
        <v>BOGOTÁ</v>
      </c>
      <c r="E4234" s="15" t="str">
        <f>IFERROR(__xludf.DUMMYFUNCTION("""COMPUTED_VALUE"""),"Top Spun")</f>
        <v>Top Spun</v>
      </c>
      <c r="F4234" s="17" t="str">
        <f>IFERROR(__xludf.DUMMYFUNCTION("""COMPUTED_VALUE"""),"AV LAS AMéRICAS #85-80 / PARQUE RESIDENCIAL SAN SILVESTRE APTO 3015 / PEREIRA")</f>
        <v>AV LAS AMéRICAS #85-80 / PARQUE RESIDENCIAL SAN SILVESTRE APTO 3015 / PEREIRA</v>
      </c>
      <c r="G4234" s="15" t="str">
        <f>IFERROR(__xludf.DUMMYFUNCTION("""COMPUTED_VALUE"""),"STEPHANY COLORADO")</f>
        <v>STEPHANY COLORADO</v>
      </c>
      <c r="H4234" s="16">
        <f>IFERROR(__xludf.DUMMYFUNCTION("""COMPUTED_VALUE"""),12922.0)</f>
        <v>12922</v>
      </c>
      <c r="I4234" s="18">
        <f>IFERROR(__xludf.DUMMYFUNCTION("""COMPUTED_VALUE"""),20.0)</f>
        <v>20</v>
      </c>
      <c r="J4234" s="18">
        <f>IFERROR(__xludf.DUMMYFUNCTION("""COMPUTED_VALUE"""),10.0)</f>
        <v>10</v>
      </c>
      <c r="K4234" s="18">
        <f>IFERROR(__xludf.DUMMYFUNCTION("""COMPUTED_VALUE"""),40.0)</f>
        <v>40</v>
      </c>
      <c r="L4234" s="17">
        <f>IFERROR(__xludf.DUMMYFUNCTION("""COMPUTED_VALUE"""),3.137239429E9)</f>
        <v>3137239429</v>
      </c>
      <c r="M4234" s="17" t="str">
        <f>IFERROR(__xludf.DUMMYFUNCTION("""COMPUTED_VALUE"""),"#REF!")</f>
        <v>#REF!</v>
      </c>
      <c r="N4234" s="17"/>
      <c r="O4234" s="17"/>
      <c r="P4234" s="17" t="b">
        <f>IFERROR(__xludf.DUMMYFUNCTION("""COMPUTED_VALUE"""),FALSE)</f>
        <v>0</v>
      </c>
      <c r="Q4234" s="20" t="str">
        <f>IFERROR(__xludf.DUMMYFUNCTION("""COMPUTED_VALUE"""),"")</f>
        <v/>
      </c>
      <c r="R4234" s="22" t="str">
        <f>IFERROR(__xludf.DUMMYFUNCTION("""COMPUTED_VALUE"""),"")</f>
        <v/>
      </c>
    </row>
    <row r="4235">
      <c r="A4235" s="15">
        <f>IFERROR(__xludf.DUMMYFUNCTION("""COMPUTED_VALUE"""),45125.0)</f>
        <v>45125</v>
      </c>
      <c r="B4235" s="16" t="str">
        <f>IFERROR(__xludf.DUMMYFUNCTION("""COMPUTED_VALUE"""),"Deivi Alejandro Quintero Corrales")</f>
        <v>Deivi Alejandro Quintero Corrales</v>
      </c>
      <c r="C4235" s="15" t="str">
        <f>IFERROR(__xludf.DUMMYFUNCTION("""COMPUTED_VALUE"""),"PEREIRA")</f>
        <v>PEREIRA</v>
      </c>
      <c r="D4235" s="15" t="str">
        <f>IFERROR(__xludf.DUMMYFUNCTION("""COMPUTED_VALUE"""),"BUCARAMANGA")</f>
        <v>BUCARAMANGA</v>
      </c>
      <c r="E4235" s="15" t="str">
        <f>IFERROR(__xludf.DUMMYFUNCTION("""COMPUTED_VALUE"""),"Yo Como Solito")</f>
        <v>Yo Como Solito</v>
      </c>
      <c r="F4235" s="17" t="str">
        <f>IFERROR(__xludf.DUMMYFUNCTION("""COMPUTED_VALUE"""),"Cra23#57a 76 balcones de Alejandría apto 802a san Diego Dosquebradas / san Diego / Dosquebradas")</f>
        <v>Cra23#57a 76 balcones de Alejandría apto 802a san Diego Dosquebradas / san Diego / Dosquebradas</v>
      </c>
      <c r="G4235" s="15" t="str">
        <f>IFERROR(__xludf.DUMMYFUNCTION("""COMPUTED_VALUE"""),"MARIBEL FERNANDEZ")</f>
        <v>MARIBEL FERNANDEZ</v>
      </c>
      <c r="H4235" s="16">
        <f>IFERROR(__xludf.DUMMYFUNCTION("""COMPUTED_VALUE"""),12760.0)</f>
        <v>12760</v>
      </c>
      <c r="I4235" s="18">
        <f>IFERROR(__xludf.DUMMYFUNCTION("""COMPUTED_VALUE"""),17.0)</f>
        <v>17</v>
      </c>
      <c r="J4235" s="18">
        <f>IFERROR(__xludf.DUMMYFUNCTION("""COMPUTED_VALUE"""),21.0)</f>
        <v>21</v>
      </c>
      <c r="K4235" s="18">
        <f>IFERROR(__xludf.DUMMYFUNCTION("""COMPUTED_VALUE"""),29.0)</f>
        <v>29</v>
      </c>
      <c r="L4235" s="17">
        <f>IFERROR(__xludf.DUMMYFUNCTION("""COMPUTED_VALUE"""),3.156673574E9)</f>
        <v>3156673574</v>
      </c>
      <c r="M4235" s="17" t="str">
        <f>IFERROR(__xludf.DUMMYFUNCTION("""COMPUTED_VALUE"""),"#REF!")</f>
        <v>#REF!</v>
      </c>
      <c r="N4235" s="17"/>
      <c r="O4235" s="17"/>
      <c r="P4235" s="17" t="b">
        <f>IFERROR(__xludf.DUMMYFUNCTION("""COMPUTED_VALUE"""),FALSE)</f>
        <v>0</v>
      </c>
      <c r="Q4235" s="20" t="str">
        <f>IFERROR(__xludf.DUMMYFUNCTION("""COMPUTED_VALUE"""),"")</f>
        <v/>
      </c>
      <c r="R4235" s="21" t="str">
        <f>IFERROR(__xludf.DUMMYFUNCTION("""COMPUTED_VALUE"""),"https://drive.google.com/file/d/1hobRu3v5USXlm_iSosGx20Md8XaOdPxD/view?usp=drivesdk")</f>
        <v>https://drive.google.com/file/d/1hobRu3v5USXlm_iSosGx20Md8XaOdPxD/view?usp=drivesdk</v>
      </c>
    </row>
    <row r="4236">
      <c r="A4236" s="15">
        <f>IFERROR(__xludf.DUMMYFUNCTION("""COMPUTED_VALUE"""),45125.0)</f>
        <v>45125</v>
      </c>
      <c r="B4236" s="16" t="str">
        <f>IFERROR(__xludf.DUMMYFUNCTION("""COMPUTED_VALUE"""),"Deivi Alejandro Quintero Corrales")</f>
        <v>Deivi Alejandro Quintero Corrales</v>
      </c>
      <c r="C4236" s="15" t="str">
        <f>IFERROR(__xludf.DUMMYFUNCTION("""COMPUTED_VALUE"""),"PEREIRA")</f>
        <v>PEREIRA</v>
      </c>
      <c r="D4236" s="15" t="str">
        <f>IFERROR(__xludf.DUMMYFUNCTION("""COMPUTED_VALUE"""),"MEDELLÍN")</f>
        <v>MEDELLÍN</v>
      </c>
      <c r="E4236" s="15" t="str">
        <f>IFERROR(__xludf.DUMMYFUNCTION("""COMPUTED_VALUE"""),"Baby Chef")</f>
        <v>Baby Chef</v>
      </c>
      <c r="F4236" s="17" t="str">
        <f>IFERROR(__xludf.DUMMYFUNCTION("""COMPUTED_VALUE"""),"carrera 5 15-20 apto 301 El edificio no tiene nombre es una reja negra y los timbres están ahí en la reja / carrera 5 15-20 apto 301 El edificio no tiene nombre es una reja negra y los timbres están ahí en la reja / carrera 5 15-20 apto 301 El edificio no"&amp;" tiene nombre es una reja negra y los timbres están ahí en la reja")</f>
        <v>carrera 5 15-20 apto 301 El edificio no tiene nombre es una reja negra y los timbres están ahí en la reja / carrera 5 15-20 apto 301 El edificio no tiene nombre es una reja negra y los timbres están ahí en la reja / carrera 5 15-20 apto 301 El edificio no tiene nombre es una reja negra y los timbres están ahí en la reja</v>
      </c>
      <c r="G4236" s="15" t="str">
        <f>IFERROR(__xludf.DUMMYFUNCTION("""COMPUTED_VALUE"""),"Andrea Mesa Quiceno")</f>
        <v>Andrea Mesa Quiceno</v>
      </c>
      <c r="H4236" s="16">
        <f>IFERROR(__xludf.DUMMYFUNCTION("""COMPUTED_VALUE"""),13001.0)</f>
        <v>13001</v>
      </c>
      <c r="I4236" s="18">
        <f>IFERROR(__xludf.DUMMYFUNCTION("""COMPUTED_VALUE"""),8.0)</f>
        <v>8</v>
      </c>
      <c r="J4236" s="18">
        <f>IFERROR(__xludf.DUMMYFUNCTION("""COMPUTED_VALUE"""),25.0)</f>
        <v>25</v>
      </c>
      <c r="K4236" s="18">
        <f>IFERROR(__xludf.DUMMYFUNCTION("""COMPUTED_VALUE"""),35.0)</f>
        <v>35</v>
      </c>
      <c r="L4236" s="17">
        <f>IFERROR(__xludf.DUMMYFUNCTION("""COMPUTED_VALUE"""),3.128677028E9)</f>
        <v>3128677028</v>
      </c>
      <c r="M4236" s="17" t="str">
        <f>IFERROR(__xludf.DUMMYFUNCTION("""COMPUTED_VALUE"""),"#REF!")</f>
        <v>#REF!</v>
      </c>
      <c r="N4236" s="17"/>
      <c r="O4236" s="17"/>
      <c r="P4236" s="17" t="b">
        <f>IFERROR(__xludf.DUMMYFUNCTION("""COMPUTED_VALUE"""),FALSE)</f>
        <v>0</v>
      </c>
      <c r="Q4236" s="20" t="str">
        <f>IFERROR(__xludf.DUMMYFUNCTION("""COMPUTED_VALUE"""),"")</f>
        <v/>
      </c>
      <c r="R4236" s="21" t="str">
        <f>IFERROR(__xludf.DUMMYFUNCTION("""COMPUTED_VALUE"""),"https://drive.google.com/file/d/1MTWPxMdFqI1jHL-u_bmd-q0U5bKEPpXZ/view?usp=drivesdk")</f>
        <v>https://drive.google.com/file/d/1MTWPxMdFqI1jHL-u_bmd-q0U5bKEPpXZ/view?usp=drivesdk</v>
      </c>
    </row>
    <row r="4237">
      <c r="A4237" s="15">
        <f>IFERROR(__xludf.DUMMYFUNCTION("""COMPUTED_VALUE"""),45125.0)</f>
        <v>45125</v>
      </c>
      <c r="B4237" s="16" t="str">
        <f>IFERROR(__xludf.DUMMYFUNCTION("""COMPUTED_VALUE"""),"Deivi Alejandro Quintero Corrales")</f>
        <v>Deivi Alejandro Quintero Corrales</v>
      </c>
      <c r="C4237" s="15" t="str">
        <f>IFERROR(__xludf.DUMMYFUNCTION("""COMPUTED_VALUE"""),"PEREIRA")</f>
        <v>PEREIRA</v>
      </c>
      <c r="D4237" s="15" t="str">
        <f>IFERROR(__xludf.DUMMYFUNCTION("""COMPUTED_VALUE"""),"MEDELLÍN")</f>
        <v>MEDELLÍN</v>
      </c>
      <c r="E4237" s="15" t="str">
        <f>IFERROR(__xludf.DUMMYFUNCTION("""COMPUTED_VALUE"""),"Baby Chef")</f>
        <v>Baby Chef</v>
      </c>
      <c r="F4237" s="17" t="str">
        <f>IFERROR(__xludf.DUMMYFUNCTION("""COMPUTED_VALUE"""),"Cra 6 # 15-64 centro solo retazos se llama el local  / Cra 6 # 15-64 centro solo retazos se llama el local  / Cra 6 # 15-64 centro solo retazos se llama el local")</f>
        <v>Cra 6 # 15-64 centro solo retazos se llama el local  / Cra 6 # 15-64 centro solo retazos se llama el local  / Cra 6 # 15-64 centro solo retazos se llama el local</v>
      </c>
      <c r="G4237" s="15" t="str">
        <f>IFERROR(__xludf.DUMMYFUNCTION("""COMPUTED_VALUE"""),"Lina marictza marin")</f>
        <v>Lina marictza marin</v>
      </c>
      <c r="H4237" s="16">
        <f>IFERROR(__xludf.DUMMYFUNCTION("""COMPUTED_VALUE"""),13000.0)</f>
        <v>13000</v>
      </c>
      <c r="I4237" s="18">
        <f>IFERROR(__xludf.DUMMYFUNCTION("""COMPUTED_VALUE"""),3.0)</f>
        <v>3</v>
      </c>
      <c r="J4237" s="18">
        <f>IFERROR(__xludf.DUMMYFUNCTION("""COMPUTED_VALUE"""),23.0)</f>
        <v>23</v>
      </c>
      <c r="K4237" s="18">
        <f>IFERROR(__xludf.DUMMYFUNCTION("""COMPUTED_VALUE"""),31.0)</f>
        <v>31</v>
      </c>
      <c r="L4237" s="17">
        <f>IFERROR(__xludf.DUMMYFUNCTION("""COMPUTED_VALUE"""),3.235843148E9)</f>
        <v>3235843148</v>
      </c>
      <c r="M4237" s="17" t="str">
        <f>IFERROR(__xludf.DUMMYFUNCTION("""COMPUTED_VALUE"""),"#REF!")</f>
        <v>#REF!</v>
      </c>
      <c r="N4237" s="17"/>
      <c r="O4237" s="17"/>
      <c r="P4237" s="17" t="b">
        <f>IFERROR(__xludf.DUMMYFUNCTION("""COMPUTED_VALUE"""),TRUE)</f>
        <v>1</v>
      </c>
      <c r="Q4237" s="20">
        <f>IFERROR(__xludf.DUMMYFUNCTION("""COMPUTED_VALUE"""),45125.604830868055)</f>
        <v>45125.60483</v>
      </c>
      <c r="R4237" s="21" t="str">
        <f>IFERROR(__xludf.DUMMYFUNCTION("""COMPUTED_VALUE"""),"https://drive.google.com/file/d/1PweXA3m3t75WxuEmE5x7alH18mPg_Xn_/view?usp=drivesdk")</f>
        <v>https://drive.google.com/file/d/1PweXA3m3t75WxuEmE5x7alH18mPg_Xn_/view?usp=drivesdk</v>
      </c>
    </row>
    <row r="4238">
      <c r="A4238" s="15">
        <f>IFERROR(__xludf.DUMMYFUNCTION("""COMPUTED_VALUE"""),45125.0)</f>
        <v>45125</v>
      </c>
      <c r="B4238" s="16" t="str">
        <f>IFERROR(__xludf.DUMMYFUNCTION("""COMPUTED_VALUE"""),"Deivi Alejandro Quintero Corrales")</f>
        <v>Deivi Alejandro Quintero Corrales</v>
      </c>
      <c r="C4238" s="15" t="str">
        <f>IFERROR(__xludf.DUMMYFUNCTION("""COMPUTED_VALUE"""),"PEREIRA")</f>
        <v>PEREIRA</v>
      </c>
      <c r="D4238" s="15" t="str">
        <f>IFERROR(__xludf.DUMMYFUNCTION("""COMPUTED_VALUE"""),"MEDELLÍN")</f>
        <v>MEDELLÍN</v>
      </c>
      <c r="E4238" s="15" t="str">
        <f>IFERROR(__xludf.DUMMYFUNCTION("""COMPUTED_VALUE"""),"Orobroy")</f>
        <v>Orobroy</v>
      </c>
      <c r="F4238" s="17" t="str">
        <f>IFERROR(__xludf.DUMMYFUNCTION("""COMPUTED_VALUE"""),"Km 2 via cerritos la virginia - condominio punta palma - casa # 2 PEREIRA / Casa 2 / Casa # 2 condominio punta palma km 2 via cerritos la virginia")</f>
        <v>Km 2 via cerritos la virginia - condominio punta palma - casa # 2 PEREIRA / Casa 2 / Casa # 2 condominio punta palma km 2 via cerritos la virginia</v>
      </c>
      <c r="G4238" s="15" t="str">
        <f>IFERROR(__xludf.DUMMYFUNCTION("""COMPUTED_VALUE"""),"Andrea buitrago")</f>
        <v>Andrea buitrago</v>
      </c>
      <c r="H4238" s="16">
        <f>IFERROR(__xludf.DUMMYFUNCTION("""COMPUTED_VALUE"""),12993.0)</f>
        <v>12993</v>
      </c>
      <c r="I4238" s="18">
        <f>IFERROR(__xludf.DUMMYFUNCTION("""COMPUTED_VALUE"""),8.0)</f>
        <v>8</v>
      </c>
      <c r="J4238" s="18">
        <f>IFERROR(__xludf.DUMMYFUNCTION("""COMPUTED_VALUE"""),16.0)</f>
        <v>16</v>
      </c>
      <c r="K4238" s="18">
        <f>IFERROR(__xludf.DUMMYFUNCTION("""COMPUTED_VALUE"""),20.0)</f>
        <v>20</v>
      </c>
      <c r="L4238" s="17">
        <f>IFERROR(__xludf.DUMMYFUNCTION("""COMPUTED_VALUE"""),3.20695381E9)</f>
        <v>3206953810</v>
      </c>
      <c r="M4238" s="17" t="str">
        <f>IFERROR(__xludf.DUMMYFUNCTION("""COMPUTED_VALUE"""),"#REF!")</f>
        <v>#REF!</v>
      </c>
      <c r="N4238" s="17"/>
      <c r="O4238" s="17"/>
      <c r="P4238" s="17" t="b">
        <f>IFERROR(__xludf.DUMMYFUNCTION("""COMPUTED_VALUE"""),FALSE)</f>
        <v>0</v>
      </c>
      <c r="Q4238" s="20" t="str">
        <f>IFERROR(__xludf.DUMMYFUNCTION("""COMPUTED_VALUE"""),"")</f>
        <v/>
      </c>
      <c r="R4238" s="22" t="str">
        <f>IFERROR(__xludf.DUMMYFUNCTION("""COMPUTED_VALUE"""),"")</f>
        <v/>
      </c>
    </row>
    <row r="4239">
      <c r="A4239" s="15">
        <f>IFERROR(__xludf.DUMMYFUNCTION("""COMPUTED_VALUE"""),45125.0)</f>
        <v>45125</v>
      </c>
      <c r="B4239" s="16" t="str">
        <f>IFERROR(__xludf.DUMMYFUNCTION("""COMPUTED_VALUE"""),"Deivi Alejandro Quintero Corrales")</f>
        <v>Deivi Alejandro Quintero Corrales</v>
      </c>
      <c r="C4239" s="15" t="str">
        <f>IFERROR(__xludf.DUMMYFUNCTION("""COMPUTED_VALUE"""),"PEREIRA")</f>
        <v>PEREIRA</v>
      </c>
      <c r="D4239" s="15" t="str">
        <f>IFERROR(__xludf.DUMMYFUNCTION("""COMPUTED_VALUE"""),"MEDELLÍN")</f>
        <v>MEDELLÍN</v>
      </c>
      <c r="E4239" s="15" t="str">
        <f>IFERROR(__xludf.DUMMYFUNCTION("""COMPUTED_VALUE"""),"Orobroy")</f>
        <v>Orobroy</v>
      </c>
      <c r="F4239" s="17" t="str">
        <f>IFERROR(__xludf.DUMMYFUNCTION("""COMPUTED_VALUE"""),"San jose de las villas, etapa 4 - casa 21, sector pueblito cafetero / San jose de las villas etapa 4, casa # 21 / Sector pueblito cafetero, san jose de las villas etapa 4")</f>
        <v>San jose de las villas, etapa 4 - casa 21, sector pueblito cafetero / San jose de las villas etapa 4, casa # 21 / Sector pueblito cafetero, san jose de las villas etapa 4</v>
      </c>
      <c r="G4239" s="15" t="str">
        <f>IFERROR(__xludf.DUMMYFUNCTION("""COMPUTED_VALUE"""),"Luis fernando escobar")</f>
        <v>Luis fernando escobar</v>
      </c>
      <c r="H4239" s="16">
        <f>IFERROR(__xludf.DUMMYFUNCTION("""COMPUTED_VALUE"""),12994.0)</f>
        <v>12994</v>
      </c>
      <c r="I4239" s="18">
        <f>IFERROR(__xludf.DUMMYFUNCTION("""COMPUTED_VALUE"""),10.0)</f>
        <v>10</v>
      </c>
      <c r="J4239" s="18">
        <f>IFERROR(__xludf.DUMMYFUNCTION("""COMPUTED_VALUE"""),20.0)</f>
        <v>20</v>
      </c>
      <c r="K4239" s="18">
        <f>IFERROR(__xludf.DUMMYFUNCTION("""COMPUTED_VALUE"""),20.0)</f>
        <v>20</v>
      </c>
      <c r="L4239" s="17">
        <f>IFERROR(__xludf.DUMMYFUNCTION("""COMPUTED_VALUE"""),3.206765733E9)</f>
        <v>3206765733</v>
      </c>
      <c r="M4239" s="17" t="str">
        <f>IFERROR(__xludf.DUMMYFUNCTION("""COMPUTED_VALUE"""),"#REF!")</f>
        <v>#REF!</v>
      </c>
      <c r="N4239" s="17"/>
      <c r="O4239" s="17"/>
      <c r="P4239" s="17" t="b">
        <f>IFERROR(__xludf.DUMMYFUNCTION("""COMPUTED_VALUE"""),TRUE)</f>
        <v>1</v>
      </c>
      <c r="Q4239" s="20">
        <f>IFERROR(__xludf.DUMMYFUNCTION("""COMPUTED_VALUE"""),45125.73785482639)</f>
        <v>45125.73785</v>
      </c>
      <c r="R4239" s="22" t="str">
        <f>IFERROR(__xludf.DUMMYFUNCTION("""COMPUTED_VALUE"""),"")</f>
        <v/>
      </c>
    </row>
    <row r="4240">
      <c r="A4240" s="15">
        <f>IFERROR(__xludf.DUMMYFUNCTION("""COMPUTED_VALUE"""),45125.0)</f>
        <v>45125</v>
      </c>
      <c r="B4240" s="16" t="str">
        <f>IFERROR(__xludf.DUMMYFUNCTION("""COMPUTED_VALUE"""),"Deivi Alejandro Quintero Corrales")</f>
        <v>Deivi Alejandro Quintero Corrales</v>
      </c>
      <c r="C4240" s="15" t="str">
        <f>IFERROR(__xludf.DUMMYFUNCTION("""COMPUTED_VALUE"""),"PEREIRA")</f>
        <v>PEREIRA</v>
      </c>
      <c r="D4240" s="15" t="str">
        <f>IFERROR(__xludf.DUMMYFUNCTION("""COMPUTED_VALUE"""),"MEDELLÍN")</f>
        <v>MEDELLÍN</v>
      </c>
      <c r="E4240" s="15" t="str">
        <f>IFERROR(__xludf.DUMMYFUNCTION("""COMPUTED_VALUE"""),"Puro Verde")</f>
        <v>Puro Verde</v>
      </c>
      <c r="F4240" s="17" t="str">
        <f>IFERROR(__xludf.DUMMYFUNCTION("""COMPUTED_VALUE"""),"CRA 38 # 86-105  / CASA 28. ETAPA 4.  / SAN JOSE DE LAS VILLAS")</f>
        <v>CRA 38 # 86-105  / CASA 28. ETAPA 4.  / SAN JOSE DE LAS VILLAS</v>
      </c>
      <c r="G4240" s="15" t="str">
        <f>IFERROR(__xludf.DUMMYFUNCTION("""COMPUTED_VALUE"""),"ALEJANDRA BUITRAGO")</f>
        <v>ALEJANDRA BUITRAGO</v>
      </c>
      <c r="H4240" s="16">
        <f>IFERROR(__xludf.DUMMYFUNCTION("""COMPUTED_VALUE"""),12911.0)</f>
        <v>12911</v>
      </c>
      <c r="I4240" s="18">
        <f>IFERROR(__xludf.DUMMYFUNCTION("""COMPUTED_VALUE"""),12.0)</f>
        <v>12</v>
      </c>
      <c r="J4240" s="18">
        <f>IFERROR(__xludf.DUMMYFUNCTION("""COMPUTED_VALUE"""),18.0)</f>
        <v>18</v>
      </c>
      <c r="K4240" s="18">
        <f>IFERROR(__xludf.DUMMYFUNCTION("""COMPUTED_VALUE"""),45.0)</f>
        <v>45</v>
      </c>
      <c r="L4240" s="17">
        <f>IFERROR(__xludf.DUMMYFUNCTION("""COMPUTED_VALUE"""),3.142386773E9)</f>
        <v>3142386773</v>
      </c>
      <c r="M4240" s="17" t="str">
        <f>IFERROR(__xludf.DUMMYFUNCTION("""COMPUTED_VALUE"""),"#REF!")</f>
        <v>#REF!</v>
      </c>
      <c r="N4240" s="17"/>
      <c r="O4240" s="17"/>
      <c r="P4240" s="17" t="b">
        <f>IFERROR(__xludf.DUMMYFUNCTION("""COMPUTED_VALUE"""),TRUE)</f>
        <v>1</v>
      </c>
      <c r="Q4240" s="20">
        <f>IFERROR(__xludf.DUMMYFUNCTION("""COMPUTED_VALUE"""),45125.60576636574)</f>
        <v>45125.60577</v>
      </c>
      <c r="R4240" s="22" t="str">
        <f>IFERROR(__xludf.DUMMYFUNCTION("""COMPUTED_VALUE"""),"")</f>
        <v/>
      </c>
    </row>
    <row r="4241">
      <c r="A4241" s="15">
        <f>IFERROR(__xludf.DUMMYFUNCTION("""COMPUTED_VALUE"""),45125.0)</f>
        <v>45125</v>
      </c>
      <c r="B4241" s="16" t="str">
        <f>IFERROR(__xludf.DUMMYFUNCTION("""COMPUTED_VALUE"""),"Deivi Alejandro Quintero Corrales")</f>
        <v>Deivi Alejandro Quintero Corrales</v>
      </c>
      <c r="C4241" s="15" t="str">
        <f>IFERROR(__xludf.DUMMYFUNCTION("""COMPUTED_VALUE"""),"PEREIRA")</f>
        <v>PEREIRA</v>
      </c>
      <c r="D4241" s="15" t="str">
        <f>IFERROR(__xludf.DUMMYFUNCTION("""COMPUTED_VALUE"""),"MEDELLÍN")</f>
        <v>MEDELLÍN</v>
      </c>
      <c r="E4241" s="15" t="str">
        <f>IFERROR(__xludf.DUMMYFUNCTION("""COMPUTED_VALUE"""),"Puro Verde")</f>
        <v>Puro Verde</v>
      </c>
      <c r="F4241" s="17" t="str">
        <f>IFERROR(__xludf.DUMMYFUNCTION("""COMPUTED_VALUE"""),"DIAGONAL 26 #21T - 58.  / PISO 2.  / BARRIO MILAN. DOSQUEBRADAS")</f>
        <v>DIAGONAL 26 #21T - 58.  / PISO 2.  / BARRIO MILAN. DOSQUEBRADAS</v>
      </c>
      <c r="G4241" s="15" t="str">
        <f>IFERROR(__xludf.DUMMYFUNCTION("""COMPUTED_VALUE"""),"DAVINSON VARGAS")</f>
        <v>DAVINSON VARGAS</v>
      </c>
      <c r="H4241" s="16">
        <f>IFERROR(__xludf.DUMMYFUNCTION("""COMPUTED_VALUE"""),12465.0)</f>
        <v>12465</v>
      </c>
      <c r="I4241" s="18">
        <f>IFERROR(__xludf.DUMMYFUNCTION("""COMPUTED_VALUE"""),45034.0)</f>
        <v>45034</v>
      </c>
      <c r="J4241" s="18" t="str">
        <f>IFERROR(__xludf.DUMMYFUNCTION("""COMPUTED_VALUE"""),"32.2")</f>
        <v>32.2</v>
      </c>
      <c r="K4241" s="18" t="str">
        <f>IFERROR(__xludf.DUMMYFUNCTION("""COMPUTED_VALUE"""),"39.5")</f>
        <v>39.5</v>
      </c>
      <c r="L4241" s="17">
        <f>IFERROR(__xludf.DUMMYFUNCTION("""COMPUTED_VALUE"""),3.146288826E9)</f>
        <v>3146288826</v>
      </c>
      <c r="M4241" s="17" t="str">
        <f>IFERROR(__xludf.DUMMYFUNCTION("""COMPUTED_VALUE"""),"#REF!")</f>
        <v>#REF!</v>
      </c>
      <c r="N4241" s="17"/>
      <c r="O4241" s="17"/>
      <c r="P4241" s="17" t="b">
        <f>IFERROR(__xludf.DUMMYFUNCTION("""COMPUTED_VALUE"""),TRUE)</f>
        <v>1</v>
      </c>
      <c r="Q4241" s="20">
        <f>IFERROR(__xludf.DUMMYFUNCTION("""COMPUTED_VALUE"""),45125.60440877315)</f>
        <v>45125.60441</v>
      </c>
      <c r="R4241" s="21" t="str">
        <f>IFERROR(__xludf.DUMMYFUNCTION("""COMPUTED_VALUE"""),"https://drive.google.com/file/d/1hlYBo-QjmTY14tEWJ4NGJyF1OvzGAetG/view?usp=drivesdk")</f>
        <v>https://drive.google.com/file/d/1hlYBo-QjmTY14tEWJ4NGJyF1OvzGAetG/view?usp=drivesdk</v>
      </c>
    </row>
    <row r="4242">
      <c r="A4242" s="17" t="str">
        <f>IFERROR(__xludf.DUMMYFUNCTION("""COMPUTED_VALUE"""),"")</f>
        <v/>
      </c>
      <c r="B4242" s="17" t="str">
        <f>IFERROR(__xludf.DUMMYFUNCTION("""COMPUTED_VALUE"""),"")</f>
        <v/>
      </c>
      <c r="C4242" s="17" t="str">
        <f>IFERROR(__xludf.DUMMYFUNCTION("""COMPUTED_VALUE"""),"")</f>
        <v/>
      </c>
      <c r="D4242" s="17" t="str">
        <f>IFERROR(__xludf.DUMMYFUNCTION("""COMPUTED_VALUE"""),"")</f>
        <v/>
      </c>
      <c r="E4242" s="17" t="str">
        <f>IFERROR(__xludf.DUMMYFUNCTION("""COMPUTED_VALUE"""),"")</f>
        <v/>
      </c>
      <c r="F4242" s="17" t="str">
        <f>IFERROR(__xludf.DUMMYFUNCTION("""COMPUTED_VALUE"""),"")</f>
        <v/>
      </c>
      <c r="G4242" s="17" t="str">
        <f>IFERROR(__xludf.DUMMYFUNCTION("""COMPUTED_VALUE"""),"")</f>
        <v/>
      </c>
      <c r="H4242" s="17" t="str">
        <f>IFERROR(__xludf.DUMMYFUNCTION("""COMPUTED_VALUE"""),"")</f>
        <v/>
      </c>
      <c r="I4242" s="17" t="str">
        <f>IFERROR(__xludf.DUMMYFUNCTION("""COMPUTED_VALUE"""),"")</f>
        <v/>
      </c>
      <c r="J4242" s="17" t="str">
        <f>IFERROR(__xludf.DUMMYFUNCTION("""COMPUTED_VALUE"""),"")</f>
        <v/>
      </c>
      <c r="K4242" s="17" t="str">
        <f>IFERROR(__xludf.DUMMYFUNCTION("""COMPUTED_VALUE"""),"")</f>
        <v/>
      </c>
      <c r="L4242" s="17" t="str">
        <f>IFERROR(__xludf.DUMMYFUNCTION("""COMPUTED_VALUE"""),"")</f>
        <v/>
      </c>
      <c r="M4242" s="17" t="str">
        <f>IFERROR(__xludf.DUMMYFUNCTION("""COMPUTED_VALUE"""),"")</f>
        <v/>
      </c>
      <c r="N4242" s="17" t="str">
        <f>IFERROR(__xludf.DUMMYFUNCTION("""COMPUTED_VALUE"""),"")</f>
        <v/>
      </c>
      <c r="O4242" s="17" t="str">
        <f>IFERROR(__xludf.DUMMYFUNCTION("""COMPUTED_VALUE"""),"")</f>
        <v/>
      </c>
      <c r="P4242" s="17" t="str">
        <f>IFERROR(__xludf.DUMMYFUNCTION("""COMPUTED_VALUE"""),"")</f>
        <v/>
      </c>
      <c r="Q4242" s="17" t="str">
        <f>IFERROR(__xludf.DUMMYFUNCTION("""COMPUTED_VALUE"""),"")</f>
        <v/>
      </c>
      <c r="R4242" s="17" t="str">
        <f>IFERROR(__xludf.DUMMYFUNCTION("""COMPUTED_VALUE"""),"")</f>
        <v/>
      </c>
    </row>
    <row r="4243">
      <c r="A4243" s="15">
        <f>IFERROR(__xludf.DUMMYFUNCTION("""COMPUTED_VALUE"""),45125.0)</f>
        <v>45125</v>
      </c>
      <c r="B4243" s="16" t="str">
        <f>IFERROR(__xludf.DUMMYFUNCTION("""COMPUTED_VALUE"""),"Duvan Gabriel Alvarez Giron")</f>
        <v>Duvan Gabriel Alvarez Giron</v>
      </c>
      <c r="C4243" s="15" t="str">
        <f>IFERROR(__xludf.DUMMYFUNCTION("""COMPUTED_VALUE"""),"FLORIDABLANCA")</f>
        <v>FLORIDABLANCA</v>
      </c>
      <c r="D4243" s="15" t="str">
        <f>IFERROR(__xludf.DUMMYFUNCTION("""COMPUTED_VALUE"""),"MEDELLÍN")</f>
        <v>MEDELLÍN</v>
      </c>
      <c r="E4243" s="15" t="str">
        <f>IFERROR(__xludf.DUMMYFUNCTION("""COMPUTED_VALUE"""),"Baby Chef")</f>
        <v>Baby Chef</v>
      </c>
      <c r="F4243" s="17" t="str">
        <f>IFERROR(__xludf.DUMMYFUNCTION("""COMPUTED_VALUE"""),"Circunvalar 25# 147-295 conjunto monticelo apto 1302 torre 1 / Circunvalar 25# 147-295 conjunto monticelo apto 1302 torre 1 / Circunvalar 25# 147-295 conjunto monticelo apto 1302 torre 1")</f>
        <v>Circunvalar 25# 147-295 conjunto monticelo apto 1302 torre 1 / Circunvalar 25# 147-295 conjunto monticelo apto 1302 torre 1 / Circunvalar 25# 147-295 conjunto monticelo apto 1302 torre 1</v>
      </c>
      <c r="G4243" s="15" t="str">
        <f>IFERROR(__xludf.DUMMYFUNCTION("""COMPUTED_VALUE"""),"Katherine Ochoa")</f>
        <v>Katherine Ochoa</v>
      </c>
      <c r="H4243" s="16">
        <f>IFERROR(__xludf.DUMMYFUNCTION("""COMPUTED_VALUE"""),13003.0)</f>
        <v>13003</v>
      </c>
      <c r="I4243" s="18">
        <f>IFERROR(__xludf.DUMMYFUNCTION("""COMPUTED_VALUE"""),4.0)</f>
        <v>4</v>
      </c>
      <c r="J4243" s="18">
        <f>IFERROR(__xludf.DUMMYFUNCTION("""COMPUTED_VALUE"""),31.0)</f>
        <v>31</v>
      </c>
      <c r="K4243" s="18">
        <f>IFERROR(__xludf.DUMMYFUNCTION("""COMPUTED_VALUE"""),22.0)</f>
        <v>22</v>
      </c>
      <c r="L4243" s="17">
        <f>IFERROR(__xludf.DUMMYFUNCTION("""COMPUTED_VALUE"""),3.008025032E9)</f>
        <v>3008025032</v>
      </c>
      <c r="M4243" s="17" t="str">
        <f>IFERROR(__xludf.DUMMYFUNCTION("""COMPUTED_VALUE"""),"#REF!")</f>
        <v>#REF!</v>
      </c>
      <c r="N4243" s="17"/>
      <c r="O4243" s="17"/>
      <c r="P4243" s="17" t="b">
        <f>IFERROR(__xludf.DUMMYFUNCTION("""COMPUTED_VALUE"""),TRUE)</f>
        <v>1</v>
      </c>
      <c r="Q4243" s="20">
        <f>IFERROR(__xludf.DUMMYFUNCTION("""COMPUTED_VALUE"""),45125.60428817129)</f>
        <v>45125.60429</v>
      </c>
      <c r="R4243" s="21" t="str">
        <f>IFERROR(__xludf.DUMMYFUNCTION("""COMPUTED_VALUE"""),"https://drive.google.com/file/d/1-xW1H5pFUxZnIdvzdK1APOfnpFvU2eBd/view?usp=drivesdk")</f>
        <v>https://drive.google.com/file/d/1-xW1H5pFUxZnIdvzdK1APOfnpFvU2eBd/view?usp=drivesdk</v>
      </c>
    </row>
    <row r="4244">
      <c r="A4244" s="15">
        <f>IFERROR(__xludf.DUMMYFUNCTION("""COMPUTED_VALUE"""),45125.0)</f>
        <v>45125</v>
      </c>
      <c r="B4244" s="16" t="str">
        <f>IFERROR(__xludf.DUMMYFUNCTION("""COMPUTED_VALUE"""),"Duvan Gabriel Alvarez Giron")</f>
        <v>Duvan Gabriel Alvarez Giron</v>
      </c>
      <c r="C4244" s="15" t="str">
        <f>IFERROR(__xludf.DUMMYFUNCTION("""COMPUTED_VALUE"""),"IBAGUÉ")</f>
        <v>IBAGUÉ</v>
      </c>
      <c r="D4244" s="15" t="str">
        <f>IFERROR(__xludf.DUMMYFUNCTION("""COMPUTED_VALUE"""),"BOGOTÁ")</f>
        <v>BOGOTÁ</v>
      </c>
      <c r="E4244" s="15" t="str">
        <f>IFERROR(__xludf.DUMMYFUNCTION("""COMPUTED_VALUE"""),"Asociacion Agropecuaria Juana Maria")</f>
        <v>Asociacion Agropecuaria Juana Maria</v>
      </c>
      <c r="F4244" s="17" t="str">
        <f>IFERROR(__xludf.DUMMYFUNCTION("""COMPUTED_VALUE"""),"Calle 93 # 7 Sur-90 torre 7 apto 701 Conjunto Residencial Altagracia")</f>
        <v>Calle 93 # 7 Sur-90 torre 7 apto 701 Conjunto Residencial Altagracia</v>
      </c>
      <c r="G4244" s="15" t="str">
        <f>IFERROR(__xludf.DUMMYFUNCTION("""COMPUTED_VALUE"""),"Mariam Yasmin Murillo Rubio")</f>
        <v>Mariam Yasmin Murillo Rubio</v>
      </c>
      <c r="H4244" s="16">
        <f>IFERROR(__xludf.DUMMYFUNCTION("""COMPUTED_VALUE"""),12934.0)</f>
        <v>12934</v>
      </c>
      <c r="I4244" s="18">
        <f>IFERROR(__xludf.DUMMYFUNCTION("""COMPUTED_VALUE"""),17.0)</f>
        <v>17</v>
      </c>
      <c r="J4244" s="18">
        <f>IFERROR(__xludf.DUMMYFUNCTION("""COMPUTED_VALUE"""),37.0)</f>
        <v>37</v>
      </c>
      <c r="K4244" s="18">
        <f>IFERROR(__xludf.DUMMYFUNCTION("""COMPUTED_VALUE"""),30.0)</f>
        <v>30</v>
      </c>
      <c r="L4244" s="17">
        <f>IFERROR(__xludf.DUMMYFUNCTION("""COMPUTED_VALUE"""),3.105789664E9)</f>
        <v>3105789664</v>
      </c>
      <c r="M4244" s="17" t="str">
        <f>IFERROR(__xludf.DUMMYFUNCTION("""COMPUTED_VALUE"""),"#REF!")</f>
        <v>#REF!</v>
      </c>
      <c r="N4244" s="17"/>
      <c r="O4244" s="17"/>
      <c r="P4244" s="17" t="b">
        <f>IFERROR(__xludf.DUMMYFUNCTION("""COMPUTED_VALUE"""),TRUE)</f>
        <v>1</v>
      </c>
      <c r="Q4244" s="20">
        <f>IFERROR(__xludf.DUMMYFUNCTION("""COMPUTED_VALUE"""),45125.60379166667)</f>
        <v>45125.60379</v>
      </c>
      <c r="R4244" s="22" t="str">
        <f>IFERROR(__xludf.DUMMYFUNCTION("""COMPUTED_VALUE"""),"")</f>
        <v/>
      </c>
    </row>
    <row r="4245">
      <c r="A4245" s="15">
        <f>IFERROR(__xludf.DUMMYFUNCTION("""COMPUTED_VALUE"""),45125.0)</f>
        <v>45125</v>
      </c>
      <c r="B4245" s="16" t="str">
        <f>IFERROR(__xludf.DUMMYFUNCTION("""COMPUTED_VALUE"""),"Duvan Gabriel Alvarez Giron")</f>
        <v>Duvan Gabriel Alvarez Giron</v>
      </c>
      <c r="C4245" s="15" t="str">
        <f>IFERROR(__xludf.DUMMYFUNCTION("""COMPUTED_VALUE"""),"IBAGUÉ")</f>
        <v>IBAGUÉ</v>
      </c>
      <c r="D4245" s="15" t="str">
        <f>IFERROR(__xludf.DUMMYFUNCTION("""COMPUTED_VALUE"""),"BOGOTÁ")</f>
        <v>BOGOTÁ</v>
      </c>
      <c r="E4245" s="15" t="str">
        <f>IFERROR(__xludf.DUMMYFUNCTION("""COMPUTED_VALUE"""),"Evamazzita")</f>
        <v>Evamazzita</v>
      </c>
      <c r="F4245" s="17" t="str">
        <f>IFERROR(__xludf.DUMMYFUNCTION("""COMPUTED_VALUE"""),"Carrera 11 A #35-62 / N/A / Barrio Gaitan parte Alta")</f>
        <v>Carrera 11 A #35-62 / N/A / Barrio Gaitan parte Alta</v>
      </c>
      <c r="G4245" s="15" t="str">
        <f>IFERROR(__xludf.DUMMYFUNCTION("""COMPUTED_VALUE"""),"JORGE BERNARDO TORRES")</f>
        <v>JORGE BERNARDO TORRES</v>
      </c>
      <c r="H4245" s="16">
        <f>IFERROR(__xludf.DUMMYFUNCTION("""COMPUTED_VALUE"""),12975.0)</f>
        <v>12975</v>
      </c>
      <c r="I4245" s="18">
        <f>IFERROR(__xludf.DUMMYFUNCTION("""COMPUTED_VALUE"""),20.0)</f>
        <v>20</v>
      </c>
      <c r="J4245" s="18">
        <f>IFERROR(__xludf.DUMMYFUNCTION("""COMPUTED_VALUE"""),33.0)</f>
        <v>33</v>
      </c>
      <c r="K4245" s="18">
        <f>IFERROR(__xludf.DUMMYFUNCTION("""COMPUTED_VALUE"""),27.0)</f>
        <v>27</v>
      </c>
      <c r="L4245" s="17">
        <f>IFERROR(__xludf.DUMMYFUNCTION("""COMPUTED_VALUE"""),3.144530156E9)</f>
        <v>3144530156</v>
      </c>
      <c r="M4245" s="17" t="str">
        <f>IFERROR(__xludf.DUMMYFUNCTION("""COMPUTED_VALUE"""),"#REF!")</f>
        <v>#REF!</v>
      </c>
      <c r="N4245" s="17"/>
      <c r="O4245" s="17"/>
      <c r="P4245" s="17" t="b">
        <f>IFERROR(__xludf.DUMMYFUNCTION("""COMPUTED_VALUE"""),TRUE)</f>
        <v>1</v>
      </c>
      <c r="Q4245" s="20">
        <f>IFERROR(__xludf.DUMMYFUNCTION("""COMPUTED_VALUE"""),45125.73871721065)</f>
        <v>45125.73872</v>
      </c>
      <c r="R4245" s="21" t="str">
        <f>IFERROR(__xludf.DUMMYFUNCTION("""COMPUTED_VALUE"""),"https://drive.google.com/file/d/19xPgTvLY6kAwlW0iHYW5oqcUXCnpuYqB/view?usp=drivesdk")</f>
        <v>https://drive.google.com/file/d/19xPgTvLY6kAwlW0iHYW5oqcUXCnpuYqB/view?usp=drivesdk</v>
      </c>
    </row>
    <row r="4246">
      <c r="A4246" s="15">
        <f>IFERROR(__xludf.DUMMYFUNCTION("""COMPUTED_VALUE"""),45125.0)</f>
        <v>45125</v>
      </c>
      <c r="B4246" s="16" t="str">
        <f>IFERROR(__xludf.DUMMYFUNCTION("""COMPUTED_VALUE"""),"Duvan Gabriel Alvarez Giron")</f>
        <v>Duvan Gabriel Alvarez Giron</v>
      </c>
      <c r="C4246" s="15" t="str">
        <f>IFERROR(__xludf.DUMMYFUNCTION("""COMPUTED_VALUE"""),"IBAGUÉ")</f>
        <v>IBAGUÉ</v>
      </c>
      <c r="D4246" s="15" t="str">
        <f>IFERROR(__xludf.DUMMYFUNCTION("""COMPUTED_VALUE"""),"BOGOTÁ")</f>
        <v>BOGOTÁ</v>
      </c>
      <c r="E4246" s="15" t="str">
        <f>IFERROR(__xludf.DUMMYFUNCTION("""COMPUTED_VALUE"""),"Frutos Silvestres")</f>
        <v>Frutos Silvestres</v>
      </c>
      <c r="F4246" s="17" t="str">
        <f>IFERROR(__xludf.DUMMYFUNCTION("""COMPUTED_VALUE"""),"Manzana 12 casa 11  / Primer piso puerta negra  / Terrazas del tejar")</f>
        <v>Manzana 12 casa 11  / Primer piso puerta negra  / Terrazas del tejar</v>
      </c>
      <c r="G4246" s="15" t="str">
        <f>IFERROR(__xludf.DUMMYFUNCTION("""COMPUTED_VALUE"""),"Johanna Jaramillo")</f>
        <v>Johanna Jaramillo</v>
      </c>
      <c r="H4246" s="16">
        <f>IFERROR(__xludf.DUMMYFUNCTION("""COMPUTED_VALUE"""),12954.0)</f>
        <v>12954</v>
      </c>
      <c r="I4246" s="18">
        <f>IFERROR(__xludf.DUMMYFUNCTION("""COMPUTED_VALUE"""),11.0)</f>
        <v>11</v>
      </c>
      <c r="J4246" s="18">
        <f>IFERROR(__xludf.DUMMYFUNCTION("""COMPUTED_VALUE"""),35.0)</f>
        <v>35</v>
      </c>
      <c r="K4246" s="18">
        <f>IFERROR(__xludf.DUMMYFUNCTION("""COMPUTED_VALUE"""),54.0)</f>
        <v>54</v>
      </c>
      <c r="L4246" s="17">
        <f>IFERROR(__xludf.DUMMYFUNCTION("""COMPUTED_VALUE"""),3.245887861E9)</f>
        <v>3245887861</v>
      </c>
      <c r="M4246" s="17" t="str">
        <f>IFERROR(__xludf.DUMMYFUNCTION("""COMPUTED_VALUE"""),"#REF!")</f>
        <v>#REF!</v>
      </c>
      <c r="N4246" s="17"/>
      <c r="O4246" s="17"/>
      <c r="P4246" s="17" t="b">
        <f>IFERROR(__xludf.DUMMYFUNCTION("""COMPUTED_VALUE"""),TRUE)</f>
        <v>1</v>
      </c>
      <c r="Q4246" s="20">
        <f>IFERROR(__xludf.DUMMYFUNCTION("""COMPUTED_VALUE"""),45125.73769362269)</f>
        <v>45125.73769</v>
      </c>
      <c r="R4246" s="21" t="str">
        <f>IFERROR(__xludf.DUMMYFUNCTION("""COMPUTED_VALUE"""),"https://drive.google.com/file/d/1c9ghdvbVaADc0oaneCf3lWkr1vVdtzPZ/view?usp=drivesdk")</f>
        <v>https://drive.google.com/file/d/1c9ghdvbVaADc0oaneCf3lWkr1vVdtzPZ/view?usp=drivesdk</v>
      </c>
    </row>
    <row r="4247">
      <c r="A4247" s="17" t="str">
        <f>IFERROR(__xludf.DUMMYFUNCTION("""COMPUTED_VALUE"""),"")</f>
        <v/>
      </c>
      <c r="B4247" s="17" t="str">
        <f>IFERROR(__xludf.DUMMYFUNCTION("""COMPUTED_VALUE"""),"")</f>
        <v/>
      </c>
      <c r="C4247" s="17" t="str">
        <f>IFERROR(__xludf.DUMMYFUNCTION("""COMPUTED_VALUE"""),"")</f>
        <v/>
      </c>
      <c r="D4247" s="17" t="str">
        <f>IFERROR(__xludf.DUMMYFUNCTION("""COMPUTED_VALUE"""),"")</f>
        <v/>
      </c>
      <c r="E4247" s="17" t="str">
        <f>IFERROR(__xludf.DUMMYFUNCTION("""COMPUTED_VALUE"""),"")</f>
        <v/>
      </c>
      <c r="F4247" s="17" t="str">
        <f>IFERROR(__xludf.DUMMYFUNCTION("""COMPUTED_VALUE"""),"")</f>
        <v/>
      </c>
      <c r="G4247" s="17" t="str">
        <f>IFERROR(__xludf.DUMMYFUNCTION("""COMPUTED_VALUE"""),"")</f>
        <v/>
      </c>
      <c r="H4247" s="17" t="str">
        <f>IFERROR(__xludf.DUMMYFUNCTION("""COMPUTED_VALUE"""),"")</f>
        <v/>
      </c>
      <c r="I4247" s="17" t="str">
        <f>IFERROR(__xludf.DUMMYFUNCTION("""COMPUTED_VALUE"""),"")</f>
        <v/>
      </c>
      <c r="J4247" s="17" t="str">
        <f>IFERROR(__xludf.DUMMYFUNCTION("""COMPUTED_VALUE"""),"")</f>
        <v/>
      </c>
      <c r="K4247" s="17" t="str">
        <f>IFERROR(__xludf.DUMMYFUNCTION("""COMPUTED_VALUE"""),"")</f>
        <v/>
      </c>
      <c r="L4247" s="17" t="str">
        <f>IFERROR(__xludf.DUMMYFUNCTION("""COMPUTED_VALUE"""),"")</f>
        <v/>
      </c>
      <c r="M4247" s="17" t="str">
        <f>IFERROR(__xludf.DUMMYFUNCTION("""COMPUTED_VALUE"""),"")</f>
        <v/>
      </c>
      <c r="N4247" s="17" t="str">
        <f>IFERROR(__xludf.DUMMYFUNCTION("""COMPUTED_VALUE"""),"")</f>
        <v/>
      </c>
      <c r="O4247" s="17" t="str">
        <f>IFERROR(__xludf.DUMMYFUNCTION("""COMPUTED_VALUE"""),"")</f>
        <v/>
      </c>
      <c r="P4247" s="17" t="str">
        <f>IFERROR(__xludf.DUMMYFUNCTION("""COMPUTED_VALUE"""),"")</f>
        <v/>
      </c>
      <c r="Q4247" s="17" t="str">
        <f>IFERROR(__xludf.DUMMYFUNCTION("""COMPUTED_VALUE"""),"")</f>
        <v/>
      </c>
      <c r="R4247" s="17" t="str">
        <f>IFERROR(__xludf.DUMMYFUNCTION("""COMPUTED_VALUE"""),"")</f>
        <v/>
      </c>
    </row>
    <row r="4248">
      <c r="A4248" s="15">
        <f>IFERROR(__xludf.DUMMYFUNCTION("""COMPUTED_VALUE"""),45125.0)</f>
        <v>45125</v>
      </c>
      <c r="B4248" s="16" t="str">
        <f>IFERROR(__xludf.DUMMYFUNCTION("""COMPUTED_VALUE"""),"Envia")</f>
        <v>Envia</v>
      </c>
      <c r="C4248" s="15" t="str">
        <f>IFERROR(__xludf.DUMMYFUNCTION("""COMPUTED_VALUE"""),"BOGOTÁ")</f>
        <v>BOGOTÁ</v>
      </c>
      <c r="D4248" s="15" t="str">
        <f>IFERROR(__xludf.DUMMYFUNCTION("""COMPUTED_VALUE"""),"MEDELLÍN")</f>
        <v>MEDELLÍN</v>
      </c>
      <c r="E4248" s="15" t="str">
        <f>IFERROR(__xludf.DUMMYFUNCTION("""COMPUTED_VALUE"""),"Baby Chef")</f>
        <v>Baby Chef</v>
      </c>
      <c r="F4248" s="17" t="str">
        <f>IFERROR(__xludf.DUMMYFUNCTION("""COMPUTED_VALUE"""),"Cra 82 A #82-55 Casa de un piso puerta Blanca  Barrio la Española Engativá / Cra 82 A #82-55 Casa de un piso puerta Blanca  Barrio la Española Engativá / Cra 82 A #82-55 Casa de un piso puerta Blanca  Barrio la Española Engativá")</f>
        <v>Cra 82 A #82-55 Casa de un piso puerta Blanca  Barrio la Española Engativá / Cra 82 A #82-55 Casa de un piso puerta Blanca  Barrio la Española Engativá / Cra 82 A #82-55 Casa de un piso puerta Blanca  Barrio la Española Engativá</v>
      </c>
      <c r="G4248" s="15" t="str">
        <f>IFERROR(__xludf.DUMMYFUNCTION("""COMPUTED_VALUE"""),"Tatiana Criales")</f>
        <v>Tatiana Criales</v>
      </c>
      <c r="H4248" s="16">
        <f>IFERROR(__xludf.DUMMYFUNCTION("""COMPUTED_VALUE"""),12997.0)</f>
        <v>12997</v>
      </c>
      <c r="I4248" s="18">
        <f>IFERROR(__xludf.DUMMYFUNCTION("""COMPUTED_VALUE"""),3.0)</f>
        <v>3</v>
      </c>
      <c r="J4248" s="18">
        <f>IFERROR(__xludf.DUMMYFUNCTION("""COMPUTED_VALUE"""),23.0)</f>
        <v>23</v>
      </c>
      <c r="K4248" s="18">
        <f>IFERROR(__xludf.DUMMYFUNCTION("""COMPUTED_VALUE"""),31.0)</f>
        <v>31</v>
      </c>
      <c r="L4248" s="17">
        <f>IFERROR(__xludf.DUMMYFUNCTION("""COMPUTED_VALUE"""),3.004770029E9)</f>
        <v>3004770029</v>
      </c>
      <c r="M4248" s="17" t="str">
        <f>IFERROR(__xludf.DUMMYFUNCTION("""COMPUTED_VALUE"""),"#REF!")</f>
        <v>#REF!</v>
      </c>
      <c r="N4248" s="17"/>
      <c r="O4248" s="17"/>
      <c r="P4248" s="17" t="b">
        <f>IFERROR(__xludf.DUMMYFUNCTION("""COMPUTED_VALUE"""),TRUE)</f>
        <v>1</v>
      </c>
      <c r="Q4248" s="20">
        <f>IFERROR(__xludf.DUMMYFUNCTION("""COMPUTED_VALUE"""),45125.60516724537)</f>
        <v>45125.60517</v>
      </c>
      <c r="R4248" s="21" t="str">
        <f>IFERROR(__xludf.DUMMYFUNCTION("""COMPUTED_VALUE"""),"https://drive.google.com/file/d/1pAq_f-JGnYr8XhKTwIJ_jsvzb-MZiVtn/view?usp=drivesdk")</f>
        <v>https://drive.google.com/file/d/1pAq_f-JGnYr8XhKTwIJ_jsvzb-MZiVtn/view?usp=drivesdk</v>
      </c>
    </row>
    <row r="4249">
      <c r="A4249" s="15">
        <f>IFERROR(__xludf.DUMMYFUNCTION("""COMPUTED_VALUE"""),45125.0)</f>
        <v>45125</v>
      </c>
      <c r="B4249" s="16" t="str">
        <f>IFERROR(__xludf.DUMMYFUNCTION("""COMPUTED_VALUE"""),"Envia")</f>
        <v>Envia</v>
      </c>
      <c r="C4249" s="15" t="str">
        <f>IFERROR(__xludf.DUMMYFUNCTION("""COMPUTED_VALUE"""),"CALI")</f>
        <v>CALI</v>
      </c>
      <c r="D4249" s="15" t="str">
        <f>IFERROR(__xludf.DUMMYFUNCTION("""COMPUTED_VALUE"""),"BOGOTÁ")</f>
        <v>BOGOTÁ</v>
      </c>
      <c r="E4249" s="15" t="str">
        <f>IFERROR(__xludf.DUMMYFUNCTION("""COMPUTED_VALUE"""),"Evamazzita")</f>
        <v>Evamazzita</v>
      </c>
      <c r="F4249" s="17" t="str">
        <f>IFERROR(__xludf.DUMMYFUNCTION("""COMPUTED_VALUE"""),"Calle 5 #83-00 / Casa A25 / Canton Militar Pichincha /Barrio Napoles")</f>
        <v>Calle 5 #83-00 / Casa A25 / Canton Militar Pichincha /Barrio Napoles</v>
      </c>
      <c r="G4249" s="15" t="str">
        <f>IFERROR(__xludf.DUMMYFUNCTION("""COMPUTED_VALUE"""),"MARIA ISAMAR BAYONA CONTRERAS")</f>
        <v>MARIA ISAMAR BAYONA CONTRERAS</v>
      </c>
      <c r="H4249" s="16">
        <f>IFERROR(__xludf.DUMMYFUNCTION("""COMPUTED_VALUE"""),12966.0)</f>
        <v>12966</v>
      </c>
      <c r="I4249" s="18">
        <f>IFERROR(__xludf.DUMMYFUNCTION("""COMPUTED_VALUE"""),1.0)</f>
        <v>1</v>
      </c>
      <c r="J4249" s="18">
        <f>IFERROR(__xludf.DUMMYFUNCTION("""COMPUTED_VALUE"""),1.0)</f>
        <v>1</v>
      </c>
      <c r="K4249" s="18">
        <f>IFERROR(__xludf.DUMMYFUNCTION("""COMPUTED_VALUE"""),1.0)</f>
        <v>1</v>
      </c>
      <c r="L4249" s="17">
        <f>IFERROR(__xludf.DUMMYFUNCTION("""COMPUTED_VALUE"""),3.118309261E9)</f>
        <v>3118309261</v>
      </c>
      <c r="M4249" s="17" t="str">
        <f>IFERROR(__xludf.DUMMYFUNCTION("""COMPUTED_VALUE"""),"#REF!")</f>
        <v>#REF!</v>
      </c>
      <c r="N4249" s="17"/>
      <c r="O4249" s="17"/>
      <c r="P4249" s="17" t="b">
        <f>IFERROR(__xludf.DUMMYFUNCTION("""COMPUTED_VALUE"""),TRUE)</f>
        <v>1</v>
      </c>
      <c r="Q4249" s="20">
        <f>IFERROR(__xludf.DUMMYFUNCTION("""COMPUTED_VALUE"""),45125.64489560185)</f>
        <v>45125.6449</v>
      </c>
      <c r="R4249" s="21" t="str">
        <f>IFERROR(__xludf.DUMMYFUNCTION("""COMPUTED_VALUE"""),"https://drive.google.com/file/d/1YO2V0uFTlr-Jkk-6aJscKbKrQtKD5YQc/view?usp=drivesdk")</f>
        <v>https://drive.google.com/file/d/1YO2V0uFTlr-Jkk-6aJscKbKrQtKD5YQc/view?usp=drivesdk</v>
      </c>
    </row>
    <row r="4250">
      <c r="A4250" s="15">
        <f>IFERROR(__xludf.DUMMYFUNCTION("""COMPUTED_VALUE"""),45125.0)</f>
        <v>45125</v>
      </c>
      <c r="B4250" s="16" t="str">
        <f>IFERROR(__xludf.DUMMYFUNCTION("""COMPUTED_VALUE"""),"Envia")</f>
        <v>Envia</v>
      </c>
      <c r="C4250" s="15" t="str">
        <f>IFERROR(__xludf.DUMMYFUNCTION("""COMPUTED_VALUE"""),"CALI")</f>
        <v>CALI</v>
      </c>
      <c r="D4250" s="15" t="str">
        <f>IFERROR(__xludf.DUMMYFUNCTION("""COMPUTED_VALUE"""),"BOGOTÁ")</f>
        <v>BOGOTÁ</v>
      </c>
      <c r="E4250" s="15" t="str">
        <f>IFERROR(__xludf.DUMMYFUNCTION("""COMPUTED_VALUE"""),"Viiva Fermentados")</f>
        <v>Viiva Fermentados</v>
      </c>
      <c r="F4250" s="17" t="str">
        <f>IFERROR(__xludf.DUMMYFUNCTION("""COMPUTED_VALUE"""),"Av 5 Nte # 42 - 42 (1 caja grande y 1 pqeueña) / Tienda Ecohuerta Cali / La Flora")</f>
        <v>Av 5 Nte # 42 - 42 (1 caja grande y 1 pqeueña) / Tienda Ecohuerta Cali / La Flora</v>
      </c>
      <c r="G4250" s="15" t="str">
        <f>IFERROR(__xludf.DUMMYFUNCTION("""COMPUTED_VALUE"""),"Isabel Cristina Ecohuerta Cali")</f>
        <v>Isabel Cristina Ecohuerta Cali</v>
      </c>
      <c r="H4250" s="16">
        <f>IFERROR(__xludf.DUMMYFUNCTION("""COMPUTED_VALUE"""),12915.0)</f>
        <v>12915</v>
      </c>
      <c r="I4250" s="18">
        <f>IFERROR(__xludf.DUMMYFUNCTION("""COMPUTED_VALUE"""),15.0)</f>
        <v>15</v>
      </c>
      <c r="J4250" s="18">
        <f>IFERROR(__xludf.DUMMYFUNCTION("""COMPUTED_VALUE"""),36.0)</f>
        <v>36</v>
      </c>
      <c r="K4250" s="18">
        <f>IFERROR(__xludf.DUMMYFUNCTION("""COMPUTED_VALUE"""),24.0)</f>
        <v>24</v>
      </c>
      <c r="L4250" s="17">
        <f>IFERROR(__xludf.DUMMYFUNCTION("""COMPUTED_VALUE"""),3.113856209E9)</f>
        <v>3113856209</v>
      </c>
      <c r="M4250" s="17" t="str">
        <f>IFERROR(__xludf.DUMMYFUNCTION("""COMPUTED_VALUE"""),"#REF!")</f>
        <v>#REF!</v>
      </c>
      <c r="N4250" s="17"/>
      <c r="O4250" s="17"/>
      <c r="P4250" s="17" t="b">
        <f>IFERROR(__xludf.DUMMYFUNCTION("""COMPUTED_VALUE"""),TRUE)</f>
        <v>1</v>
      </c>
      <c r="Q4250" s="20">
        <f>IFERROR(__xludf.DUMMYFUNCTION("""COMPUTED_VALUE"""),45125.64489560185)</f>
        <v>45125.6449</v>
      </c>
      <c r="R4250" s="22" t="str">
        <f>IFERROR(__xludf.DUMMYFUNCTION("""COMPUTED_VALUE"""),"")</f>
        <v/>
      </c>
    </row>
    <row r="4251">
      <c r="A4251" s="15">
        <f>IFERROR(__xludf.DUMMYFUNCTION("""COMPUTED_VALUE"""),45125.0)</f>
        <v>45125</v>
      </c>
      <c r="B4251" s="16" t="str">
        <f>IFERROR(__xludf.DUMMYFUNCTION("""COMPUTED_VALUE"""),"Envia")</f>
        <v>Envia</v>
      </c>
      <c r="C4251" s="15" t="str">
        <f>IFERROR(__xludf.DUMMYFUNCTION("""COMPUTED_VALUE"""),"FLORIDABLANCA")</f>
        <v>FLORIDABLANCA</v>
      </c>
      <c r="D4251" s="15" t="str">
        <f>IFERROR(__xludf.DUMMYFUNCTION("""COMPUTED_VALUE"""),"MEDELLÍN")</f>
        <v>MEDELLÍN</v>
      </c>
      <c r="E4251" s="15" t="str">
        <f>IFERROR(__xludf.DUMMYFUNCTION("""COMPUTED_VALUE"""),"Baby Chef")</f>
        <v>Baby Chef</v>
      </c>
      <c r="F4251" s="17" t="str">
        <f>IFERROR(__xludf.DUMMYFUNCTION("""COMPUTED_VALUE"""),"Cra 12# 200- 14, Mediterrrane royal torre 1 apto 1107 / Cra 12# 200- 14, Mediterrrane royal torre 1 apto 1107 / Cra 12# 200- 14, Mediterrrane royal torre 1 apto 1107")</f>
        <v>Cra 12# 200- 14, Mediterrrane royal torre 1 apto 1107 / Cra 12# 200- 14, Mediterrrane royal torre 1 apto 1107 / Cra 12# 200- 14, Mediterrrane royal torre 1 apto 1107</v>
      </c>
      <c r="G4251" s="15" t="str">
        <f>IFERROR(__xludf.DUMMYFUNCTION("""COMPUTED_VALUE"""),"Diana Ayala")</f>
        <v>Diana Ayala</v>
      </c>
      <c r="H4251" s="16">
        <f>IFERROR(__xludf.DUMMYFUNCTION("""COMPUTED_VALUE"""),13004.0)</f>
        <v>13004</v>
      </c>
      <c r="I4251" s="18">
        <f>IFERROR(__xludf.DUMMYFUNCTION("""COMPUTED_VALUE"""),6.0)</f>
        <v>6</v>
      </c>
      <c r="J4251" s="18">
        <f>IFERROR(__xludf.DUMMYFUNCTION("""COMPUTED_VALUE"""),22.0)</f>
        <v>22</v>
      </c>
      <c r="K4251" s="18">
        <f>IFERROR(__xludf.DUMMYFUNCTION("""COMPUTED_VALUE"""),30.0)</f>
        <v>30</v>
      </c>
      <c r="L4251" s="17">
        <f>IFERROR(__xludf.DUMMYFUNCTION("""COMPUTED_VALUE"""),3.504830538E9)</f>
        <v>3504830538</v>
      </c>
      <c r="M4251" s="17" t="str">
        <f>IFERROR(__xludf.DUMMYFUNCTION("""COMPUTED_VALUE"""),"#REF!")</f>
        <v>#REF!</v>
      </c>
      <c r="N4251" s="17"/>
      <c r="O4251" s="17"/>
      <c r="P4251" s="17" t="b">
        <f>IFERROR(__xludf.DUMMYFUNCTION("""COMPUTED_VALUE"""),TRUE)</f>
        <v>1</v>
      </c>
      <c r="Q4251" s="20">
        <f>IFERROR(__xludf.DUMMYFUNCTION("""COMPUTED_VALUE"""),45125.60392716435)</f>
        <v>45125.60393</v>
      </c>
      <c r="R4251" s="21" t="str">
        <f>IFERROR(__xludf.DUMMYFUNCTION("""COMPUTED_VALUE"""),"https://drive.google.com/file/d/13yuThHdfPudYhlJ_qe0R-HrG64M7Sc1e/view?usp=drivesdk")</f>
        <v>https://drive.google.com/file/d/13yuThHdfPudYhlJ_qe0R-HrG64M7Sc1e/view?usp=drivesdk</v>
      </c>
    </row>
    <row r="4252">
      <c r="A4252" s="15">
        <f>IFERROR(__xludf.DUMMYFUNCTION("""COMPUTED_VALUE"""),45125.0)</f>
        <v>45125</v>
      </c>
      <c r="B4252" s="16" t="str">
        <f>IFERROR(__xludf.DUMMYFUNCTION("""COMPUTED_VALUE"""),"Envia")</f>
        <v>Envia</v>
      </c>
      <c r="C4252" s="15" t="str">
        <f>IFERROR(__xludf.DUMMYFUNCTION("""COMPUTED_VALUE"""),"LA DORADA")</f>
        <v>LA DORADA</v>
      </c>
      <c r="D4252" s="15" t="str">
        <f>IFERROR(__xludf.DUMMYFUNCTION("""COMPUTED_VALUE"""),"BOGOTÁ")</f>
        <v>BOGOTÁ</v>
      </c>
      <c r="E4252" s="15" t="str">
        <f>IFERROR(__xludf.DUMMYFUNCTION("""COMPUTED_VALUE"""),"Evamazzita")</f>
        <v>Evamazzita</v>
      </c>
      <c r="F4252" s="17" t="str">
        <f>IFERROR(__xludf.DUMMYFUNCTION("""COMPUTED_VALUE"""),"Calle 10 # 4 56 / N/A / N/A")</f>
        <v>Calle 10 # 4 56 / N/A / N/A</v>
      </c>
      <c r="G4252" s="15" t="str">
        <f>IFERROR(__xludf.DUMMYFUNCTION("""COMPUTED_VALUE"""),"Luz Vianey Montoya Gomez")</f>
        <v>Luz Vianey Montoya Gomez</v>
      </c>
      <c r="H4252" s="16">
        <f>IFERROR(__xludf.DUMMYFUNCTION("""COMPUTED_VALUE"""),12972.0)</f>
        <v>12972</v>
      </c>
      <c r="I4252" s="18">
        <f>IFERROR(__xludf.DUMMYFUNCTION("""COMPUTED_VALUE"""),20.0)</f>
        <v>20</v>
      </c>
      <c r="J4252" s="18">
        <f>IFERROR(__xludf.DUMMYFUNCTION("""COMPUTED_VALUE"""),33.0)</f>
        <v>33</v>
      </c>
      <c r="K4252" s="18">
        <f>IFERROR(__xludf.DUMMYFUNCTION("""COMPUTED_VALUE"""),27.0)</f>
        <v>27</v>
      </c>
      <c r="L4252" s="17">
        <f>IFERROR(__xludf.DUMMYFUNCTION("""COMPUTED_VALUE"""),3.127756092E9)</f>
        <v>3127756092</v>
      </c>
      <c r="M4252" s="17" t="str">
        <f>IFERROR(__xludf.DUMMYFUNCTION("""COMPUTED_VALUE"""),"#REF!")</f>
        <v>#REF!</v>
      </c>
      <c r="N4252" s="17"/>
      <c r="O4252" s="17"/>
      <c r="P4252" s="17" t="b">
        <f>IFERROR(__xludf.DUMMYFUNCTION("""COMPUTED_VALUE"""),TRUE)</f>
        <v>1</v>
      </c>
      <c r="Q4252" s="20">
        <f>IFERROR(__xludf.DUMMYFUNCTION("""COMPUTED_VALUE"""),45125.60403453704)</f>
        <v>45125.60403</v>
      </c>
      <c r="R4252" s="22" t="str">
        <f>IFERROR(__xludf.DUMMYFUNCTION("""COMPUTED_VALUE"""),"")</f>
        <v/>
      </c>
    </row>
    <row r="4253">
      <c r="A4253" s="15">
        <f>IFERROR(__xludf.DUMMYFUNCTION("""COMPUTED_VALUE"""),45125.0)</f>
        <v>45125</v>
      </c>
      <c r="B4253" s="16" t="str">
        <f>IFERROR(__xludf.DUMMYFUNCTION("""COMPUTED_VALUE"""),"Envia")</f>
        <v>Envia</v>
      </c>
      <c r="C4253" s="15" t="str">
        <f>IFERROR(__xludf.DUMMYFUNCTION("""COMPUTED_VALUE"""),"MANIZALES")</f>
        <v>MANIZALES</v>
      </c>
      <c r="D4253" s="15" t="str">
        <f>IFERROR(__xludf.DUMMYFUNCTION("""COMPUTED_VALUE"""),"BOGOTÁ")</f>
        <v>BOGOTÁ</v>
      </c>
      <c r="E4253" s="15" t="str">
        <f>IFERROR(__xludf.DUMMYFUNCTION("""COMPUTED_VALUE"""),"Viiva Fermentados")</f>
        <v>Viiva Fermentados</v>
      </c>
      <c r="F4253" s="17" t="str">
        <f>IFERROR(__xludf.DUMMYFUNCTION("""COMPUTED_VALUE"""),"Carrera 23#75A 95 (1 caja grande y 1 pequeña) / Opla Colombia / Barrio Milan")</f>
        <v>Carrera 23#75A 95 (1 caja grande y 1 pequeña) / Opla Colombia / Barrio Milan</v>
      </c>
      <c r="G4253" s="15" t="str">
        <f>IFERROR(__xludf.DUMMYFUNCTION("""COMPUTED_VALUE"""),"Opla Market Laura Prieto Orozco")</f>
        <v>Opla Market Laura Prieto Orozco</v>
      </c>
      <c r="H4253" s="16">
        <f>IFERROR(__xludf.DUMMYFUNCTION("""COMPUTED_VALUE"""),12724.0)</f>
        <v>12724</v>
      </c>
      <c r="I4253" s="18">
        <f>IFERROR(__xludf.DUMMYFUNCTION("""COMPUTED_VALUE"""),15.0)</f>
        <v>15</v>
      </c>
      <c r="J4253" s="18">
        <f>IFERROR(__xludf.DUMMYFUNCTION("""COMPUTED_VALUE"""),36.0)</f>
        <v>36</v>
      </c>
      <c r="K4253" s="18">
        <f>IFERROR(__xludf.DUMMYFUNCTION("""COMPUTED_VALUE"""),24.0)</f>
        <v>24</v>
      </c>
      <c r="L4253" s="17">
        <f>IFERROR(__xludf.DUMMYFUNCTION("""COMPUTED_VALUE"""),3.24428274E9)</f>
        <v>3244282740</v>
      </c>
      <c r="M4253" s="17" t="str">
        <f>IFERROR(__xludf.DUMMYFUNCTION("""COMPUTED_VALUE"""),"#REF!")</f>
        <v>#REF!</v>
      </c>
      <c r="N4253" s="17"/>
      <c r="O4253" s="17"/>
      <c r="P4253" s="17" t="b">
        <f>IFERROR(__xludf.DUMMYFUNCTION("""COMPUTED_VALUE"""),TRUE)</f>
        <v>1</v>
      </c>
      <c r="Q4253" s="20">
        <f>IFERROR(__xludf.DUMMYFUNCTION("""COMPUTED_VALUE"""),45125.64500105324)</f>
        <v>45125.645</v>
      </c>
      <c r="R4253" s="22" t="str">
        <f>IFERROR(__xludf.DUMMYFUNCTION("""COMPUTED_VALUE"""),"")</f>
        <v/>
      </c>
    </row>
    <row r="4254">
      <c r="A4254" s="15">
        <f>IFERROR(__xludf.DUMMYFUNCTION("""COMPUTED_VALUE"""),45125.0)</f>
        <v>45125</v>
      </c>
      <c r="B4254" s="16" t="str">
        <f>IFERROR(__xludf.DUMMYFUNCTION("""COMPUTED_VALUE"""),"Envia")</f>
        <v>Envia</v>
      </c>
      <c r="C4254" s="15" t="str">
        <f>IFERROR(__xludf.DUMMYFUNCTION("""COMPUTED_VALUE"""),"MANIZALES")</f>
        <v>MANIZALES</v>
      </c>
      <c r="D4254" s="15" t="str">
        <f>IFERROR(__xludf.DUMMYFUNCTION("""COMPUTED_VALUE"""),"BOGOTÁ")</f>
        <v>BOGOTÁ</v>
      </c>
      <c r="E4254" s="15" t="str">
        <f>IFERROR(__xludf.DUMMYFUNCTION("""COMPUTED_VALUE"""),"Viiva Fermentados")</f>
        <v>Viiva Fermentados</v>
      </c>
      <c r="F4254" s="17" t="str">
        <f>IFERROR(__xludf.DUMMYFUNCTION("""COMPUTED_VALUE"""),"Cra 23 65a 41 (1 caja grande, 1 caja pequeña) / Edificio parque medico  local P212 / Edificio Parque Médico")</f>
        <v>Cra 23 65a 41 (1 caja grande, 1 caja pequeña) / Edificio parque medico  local P212 / Edificio Parque Médico</v>
      </c>
      <c r="G4254" s="15" t="str">
        <f>IFERROR(__xludf.DUMMYFUNCTION("""COMPUTED_VALUE"""),"Bien Estar Droguería Funcional")</f>
        <v>Bien Estar Droguería Funcional</v>
      </c>
      <c r="H4254" s="16">
        <f>IFERROR(__xludf.DUMMYFUNCTION("""COMPUTED_VALUE"""),12725.0)</f>
        <v>12725</v>
      </c>
      <c r="I4254" s="18">
        <f>IFERROR(__xludf.DUMMYFUNCTION("""COMPUTED_VALUE"""),18.0)</f>
        <v>18</v>
      </c>
      <c r="J4254" s="18">
        <f>IFERROR(__xludf.DUMMYFUNCTION("""COMPUTED_VALUE"""),36.0)</f>
        <v>36</v>
      </c>
      <c r="K4254" s="18">
        <f>IFERROR(__xludf.DUMMYFUNCTION("""COMPUTED_VALUE"""),24.0)</f>
        <v>24</v>
      </c>
      <c r="L4254" s="17">
        <f>IFERROR(__xludf.DUMMYFUNCTION("""COMPUTED_VALUE"""),3.217183658E9)</f>
        <v>3217183658</v>
      </c>
      <c r="M4254" s="17" t="str">
        <f>IFERROR(__xludf.DUMMYFUNCTION("""COMPUTED_VALUE"""),"#REF!")</f>
        <v>#REF!</v>
      </c>
      <c r="N4254" s="17"/>
      <c r="O4254" s="17"/>
      <c r="P4254" s="17" t="b">
        <f>IFERROR(__xludf.DUMMYFUNCTION("""COMPUTED_VALUE"""),TRUE)</f>
        <v>1</v>
      </c>
      <c r="Q4254" s="20">
        <f>IFERROR(__xludf.DUMMYFUNCTION("""COMPUTED_VALUE"""),45125.737615624996)</f>
        <v>45125.73762</v>
      </c>
      <c r="R4254" s="21" t="str">
        <f>IFERROR(__xludf.DUMMYFUNCTION("""COMPUTED_VALUE"""),"https://drive.google.com/file/d/1tu9G6Q3V6L9Q4z7ktl9C12_DgeFaw9c9/view?usp=drivesdk")</f>
        <v>https://drive.google.com/file/d/1tu9G6Q3V6L9Q4z7ktl9C12_DgeFaw9c9/view?usp=drivesdk</v>
      </c>
    </row>
    <row r="4255">
      <c r="A4255" s="15">
        <f>IFERROR(__xludf.DUMMYFUNCTION("""COMPUTED_VALUE"""),45125.0)</f>
        <v>45125</v>
      </c>
      <c r="B4255" s="16" t="str">
        <f>IFERROR(__xludf.DUMMYFUNCTION("""COMPUTED_VALUE"""),"Envia")</f>
        <v>Envia</v>
      </c>
      <c r="C4255" s="15" t="str">
        <f>IFERROR(__xludf.DUMMYFUNCTION("""COMPUTED_VALUE"""),"MEDELLÍN")</f>
        <v>MEDELLÍN</v>
      </c>
      <c r="D4255" s="15" t="str">
        <f>IFERROR(__xludf.DUMMYFUNCTION("""COMPUTED_VALUE"""),"BOGOTÁ")</f>
        <v>BOGOTÁ</v>
      </c>
      <c r="E4255" s="15" t="str">
        <f>IFERROR(__xludf.DUMMYFUNCTION("""COMPUTED_VALUE"""),"Asociacion Agropecuaria Juana Maria")</f>
        <v>Asociacion Agropecuaria Juana Maria</v>
      </c>
      <c r="F4255" s="17" t="str">
        <f>IFERROR(__xludf.DUMMYFUNCTION("""COMPUTED_VALUE"""),"Carrera 15 BA # 30D-44 int 201")</f>
        <v>Carrera 15 BA # 30D-44 int 201</v>
      </c>
      <c r="G4255" s="15" t="str">
        <f>IFERROR(__xludf.DUMMYFUNCTION("""COMPUTED_VALUE"""),"Daniela Bedoya Blandon")</f>
        <v>Daniela Bedoya Blandon</v>
      </c>
      <c r="H4255" s="16">
        <f>IFERROR(__xludf.DUMMYFUNCTION("""COMPUTED_VALUE"""),12926.0)</f>
        <v>12926</v>
      </c>
      <c r="I4255" s="18">
        <f>IFERROR(__xludf.DUMMYFUNCTION("""COMPUTED_VALUE"""),21.0)</f>
        <v>21</v>
      </c>
      <c r="J4255" s="18">
        <f>IFERROR(__xludf.DUMMYFUNCTION("""COMPUTED_VALUE"""),37.0)</f>
        <v>37</v>
      </c>
      <c r="K4255" s="18">
        <f>IFERROR(__xludf.DUMMYFUNCTION("""COMPUTED_VALUE"""),30.0)</f>
        <v>30</v>
      </c>
      <c r="L4255" s="17">
        <f>IFERROR(__xludf.DUMMYFUNCTION("""COMPUTED_VALUE"""),3.14672822E9)</f>
        <v>3146728220</v>
      </c>
      <c r="M4255" s="17" t="str">
        <f>IFERROR(__xludf.DUMMYFUNCTION("""COMPUTED_VALUE"""),"#REF!")</f>
        <v>#REF!</v>
      </c>
      <c r="N4255" s="17"/>
      <c r="O4255" s="17"/>
      <c r="P4255" s="17" t="b">
        <f>IFERROR(__xludf.DUMMYFUNCTION("""COMPUTED_VALUE"""),TRUE)</f>
        <v>1</v>
      </c>
      <c r="Q4255" s="20">
        <f>IFERROR(__xludf.DUMMYFUNCTION("""COMPUTED_VALUE"""),45125.737615624996)</f>
        <v>45125.73762</v>
      </c>
      <c r="R4255" s="22" t="str">
        <f>IFERROR(__xludf.DUMMYFUNCTION("""COMPUTED_VALUE"""),"")</f>
        <v/>
      </c>
    </row>
    <row r="4256">
      <c r="A4256" s="15">
        <f>IFERROR(__xludf.DUMMYFUNCTION("""COMPUTED_VALUE"""),45125.0)</f>
        <v>45125</v>
      </c>
      <c r="B4256" s="16" t="str">
        <f>IFERROR(__xludf.DUMMYFUNCTION("""COMPUTED_VALUE"""),"Envia")</f>
        <v>Envia</v>
      </c>
      <c r="C4256" s="15" t="str">
        <f>IFERROR(__xludf.DUMMYFUNCTION("""COMPUTED_VALUE"""),"MEDELLÍN")</f>
        <v>MEDELLÍN</v>
      </c>
      <c r="D4256" s="15" t="str">
        <f>IFERROR(__xludf.DUMMYFUNCTION("""COMPUTED_VALUE"""),"BOGOTÁ")</f>
        <v>BOGOTÁ</v>
      </c>
      <c r="E4256" s="15" t="str">
        <f>IFERROR(__xludf.DUMMYFUNCTION("""COMPUTED_VALUE"""),"Asociacion Agropecuaria Juana Maria")</f>
        <v>Asociacion Agropecuaria Juana Maria</v>
      </c>
      <c r="F4256" s="17" t="str">
        <f>IFERROR(__xludf.DUMMYFUNCTION("""COMPUTED_VALUE"""),"Carrera 15 BA # 30D-44 int 201")</f>
        <v>Carrera 15 BA # 30D-44 int 201</v>
      </c>
      <c r="G4256" s="15" t="str">
        <f>IFERROR(__xludf.DUMMYFUNCTION("""COMPUTED_VALUE"""),"Daniela Bedoya Blandon")</f>
        <v>Daniela Bedoya Blandon</v>
      </c>
      <c r="H4256" s="16">
        <f>IFERROR(__xludf.DUMMYFUNCTION("""COMPUTED_VALUE"""),12937.0)</f>
        <v>12937</v>
      </c>
      <c r="I4256" s="18">
        <f>IFERROR(__xludf.DUMMYFUNCTION("""COMPUTED_VALUE"""),21.0)</f>
        <v>21</v>
      </c>
      <c r="J4256" s="18">
        <f>IFERROR(__xludf.DUMMYFUNCTION("""COMPUTED_VALUE"""),37.0)</f>
        <v>37</v>
      </c>
      <c r="K4256" s="18">
        <f>IFERROR(__xludf.DUMMYFUNCTION("""COMPUTED_VALUE"""),30.0)</f>
        <v>30</v>
      </c>
      <c r="L4256" s="17">
        <f>IFERROR(__xludf.DUMMYFUNCTION("""COMPUTED_VALUE"""),3.14672822E9)</f>
        <v>3146728220</v>
      </c>
      <c r="M4256" s="17" t="str">
        <f>IFERROR(__xludf.DUMMYFUNCTION("""COMPUTED_VALUE"""),"#REF!")</f>
        <v>#REF!</v>
      </c>
      <c r="N4256" s="17"/>
      <c r="O4256" s="17"/>
      <c r="P4256" s="17" t="b">
        <f>IFERROR(__xludf.DUMMYFUNCTION("""COMPUTED_VALUE"""),TRUE)</f>
        <v>1</v>
      </c>
      <c r="Q4256" s="20">
        <f>IFERROR(__xludf.DUMMYFUNCTION("""COMPUTED_VALUE"""),45125.60456790509)</f>
        <v>45125.60457</v>
      </c>
      <c r="R4256" s="22" t="str">
        <f>IFERROR(__xludf.DUMMYFUNCTION("""COMPUTED_VALUE"""),"")</f>
        <v/>
      </c>
    </row>
    <row r="4257">
      <c r="A4257" s="15">
        <f>IFERROR(__xludf.DUMMYFUNCTION("""COMPUTED_VALUE"""),45125.0)</f>
        <v>45125</v>
      </c>
      <c r="B4257" s="16" t="str">
        <f>IFERROR(__xludf.DUMMYFUNCTION("""COMPUTED_VALUE"""),"Envia")</f>
        <v>Envia</v>
      </c>
      <c r="C4257" s="15" t="str">
        <f>IFERROR(__xludf.DUMMYFUNCTION("""COMPUTED_VALUE"""),"MEDELLÍN")</f>
        <v>MEDELLÍN</v>
      </c>
      <c r="D4257" s="15" t="str">
        <f>IFERROR(__xludf.DUMMYFUNCTION("""COMPUTED_VALUE"""),"BOGOTÁ")</f>
        <v>BOGOTÁ</v>
      </c>
      <c r="E4257" s="15" t="str">
        <f>IFERROR(__xludf.DUMMYFUNCTION("""COMPUTED_VALUE"""),"Asociacion Agropecuaria Juana Maria")</f>
        <v>Asociacion Agropecuaria Juana Maria</v>
      </c>
      <c r="F425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257" s="15" t="str">
        <f>IFERROR(__xludf.DUMMYFUNCTION("""COMPUTED_VALUE"""),"Jennifer Sanchez Blandon")</f>
        <v>Jennifer Sanchez Blandon</v>
      </c>
      <c r="H4257" s="16">
        <f>IFERROR(__xludf.DUMMYFUNCTION("""COMPUTED_VALUE"""),12927.0)</f>
        <v>12927</v>
      </c>
      <c r="I4257" s="18">
        <f>IFERROR(__xludf.DUMMYFUNCTION("""COMPUTED_VALUE"""),21.0)</f>
        <v>21</v>
      </c>
      <c r="J4257" s="18">
        <f>IFERROR(__xludf.DUMMYFUNCTION("""COMPUTED_VALUE"""),37.0)</f>
        <v>37</v>
      </c>
      <c r="K4257" s="18">
        <f>IFERROR(__xludf.DUMMYFUNCTION("""COMPUTED_VALUE"""),30.0)</f>
        <v>30</v>
      </c>
      <c r="L4257" s="17">
        <f>IFERROR(__xludf.DUMMYFUNCTION("""COMPUTED_VALUE"""),3.016937674E9)</f>
        <v>3016937674</v>
      </c>
      <c r="M4257" s="17" t="str">
        <f>IFERROR(__xludf.DUMMYFUNCTION("""COMPUTED_VALUE"""),"#REF!")</f>
        <v>#REF!</v>
      </c>
      <c r="N4257" s="17"/>
      <c r="O4257" s="17"/>
      <c r="P4257" s="17" t="b">
        <f>IFERROR(__xludf.DUMMYFUNCTION("""COMPUTED_VALUE"""),TRUE)</f>
        <v>1</v>
      </c>
      <c r="Q4257" s="20">
        <f>IFERROR(__xludf.DUMMYFUNCTION("""COMPUTED_VALUE"""),45125.604147210644)</f>
        <v>45125.60415</v>
      </c>
      <c r="R4257" s="22" t="str">
        <f>IFERROR(__xludf.DUMMYFUNCTION("""COMPUTED_VALUE"""),"")</f>
        <v/>
      </c>
    </row>
    <row r="4258">
      <c r="A4258" s="15">
        <f>IFERROR(__xludf.DUMMYFUNCTION("""COMPUTED_VALUE"""),45125.0)</f>
        <v>45125</v>
      </c>
      <c r="B4258" s="16" t="str">
        <f>IFERROR(__xludf.DUMMYFUNCTION("""COMPUTED_VALUE"""),"Envia")</f>
        <v>Envia</v>
      </c>
      <c r="C4258" s="15" t="str">
        <f>IFERROR(__xludf.DUMMYFUNCTION("""COMPUTED_VALUE"""),"MEDELLÍN")</f>
        <v>MEDELLÍN</v>
      </c>
      <c r="D4258" s="15" t="str">
        <f>IFERROR(__xludf.DUMMYFUNCTION("""COMPUTED_VALUE"""),"BOGOTÁ")</f>
        <v>BOGOTÁ</v>
      </c>
      <c r="E4258" s="15" t="str">
        <f>IFERROR(__xludf.DUMMYFUNCTION("""COMPUTED_VALUE"""),"Evamazzita")</f>
        <v>Evamazzita</v>
      </c>
      <c r="F4258" s="17" t="str">
        <f>IFERROR(__xludf.DUMMYFUNCTION("""COMPUTED_VALUE"""),"Carrera 100B#45-5 / N/A / San Javier/ una cuadra al frente del metro san javier/ casa kolacho")</f>
        <v>Carrera 100B#45-5 / N/A / San Javier/ una cuadra al frente del metro san javier/ casa kolacho</v>
      </c>
      <c r="G4258" s="15" t="str">
        <f>IFERROR(__xludf.DUMMYFUNCTION("""COMPUTED_VALUE"""),"SINDY ROLDAN")</f>
        <v>SINDY ROLDAN</v>
      </c>
      <c r="H4258" s="16">
        <f>IFERROR(__xludf.DUMMYFUNCTION("""COMPUTED_VALUE"""),12981.0)</f>
        <v>12981</v>
      </c>
      <c r="I4258" s="18">
        <f>IFERROR(__xludf.DUMMYFUNCTION("""COMPUTED_VALUE"""),1.0)</f>
        <v>1</v>
      </c>
      <c r="J4258" s="18">
        <f>IFERROR(__xludf.DUMMYFUNCTION("""COMPUTED_VALUE"""),1.0)</f>
        <v>1</v>
      </c>
      <c r="K4258" s="18">
        <f>IFERROR(__xludf.DUMMYFUNCTION("""COMPUTED_VALUE"""),1.0)</f>
        <v>1</v>
      </c>
      <c r="L4258" s="17">
        <f>IFERROR(__xludf.DUMMYFUNCTION("""COMPUTED_VALUE"""),3.008159585E9)</f>
        <v>3008159585</v>
      </c>
      <c r="M4258" s="17" t="str">
        <f>IFERROR(__xludf.DUMMYFUNCTION("""COMPUTED_VALUE"""),"#REF!")</f>
        <v>#REF!</v>
      </c>
      <c r="N4258" s="17"/>
      <c r="O4258" s="17"/>
      <c r="P4258" s="17" t="b">
        <f>IFERROR(__xludf.DUMMYFUNCTION("""COMPUTED_VALUE"""),TRUE)</f>
        <v>1</v>
      </c>
      <c r="Q4258" s="20">
        <f>IFERROR(__xludf.DUMMYFUNCTION("""COMPUTED_VALUE"""),45125.737615624996)</f>
        <v>45125.73762</v>
      </c>
      <c r="R4258" s="21" t="str">
        <f>IFERROR(__xludf.DUMMYFUNCTION("""COMPUTED_VALUE"""),"https://drive.google.com/file/d/1wiVrn9gXgapCjpb7smmE5hY1f7VWZo7K/view?usp=drivesdk")</f>
        <v>https://drive.google.com/file/d/1wiVrn9gXgapCjpb7smmE5hY1f7VWZo7K/view?usp=drivesdk</v>
      </c>
    </row>
    <row r="4259">
      <c r="A4259" s="15">
        <f>IFERROR(__xludf.DUMMYFUNCTION("""COMPUTED_VALUE"""),45125.0)</f>
        <v>45125</v>
      </c>
      <c r="B4259" s="16" t="str">
        <f>IFERROR(__xludf.DUMMYFUNCTION("""COMPUTED_VALUE"""),"Envia")</f>
        <v>Envia</v>
      </c>
      <c r="C4259" s="15" t="str">
        <f>IFERROR(__xludf.DUMMYFUNCTION("""COMPUTED_VALUE"""),"MEDELLÍN")</f>
        <v>MEDELLÍN</v>
      </c>
      <c r="D4259" s="15" t="str">
        <f>IFERROR(__xludf.DUMMYFUNCTION("""COMPUTED_VALUE"""),"BOGOTÁ")</f>
        <v>BOGOTÁ</v>
      </c>
      <c r="E4259" s="15" t="str">
        <f>IFERROR(__xludf.DUMMYFUNCTION("""COMPUTED_VALUE"""),"Ind. Karpos")</f>
        <v>Ind. Karpos</v>
      </c>
      <c r="F4259" s="17" t="str">
        <f>IFERROR(__xludf.DUMMYFUNCTION("""COMPUTED_VALUE"""),"CALLE 36 SUR # 43 - 40, ENVIGADO / HELADERIA YASAWA / ENVIGADO CENTRO")</f>
        <v>CALLE 36 SUR # 43 - 40, ENVIGADO / HELADERIA YASAWA / ENVIGADO CENTRO</v>
      </c>
      <c r="G4259" s="15" t="str">
        <f>IFERROR(__xludf.DUMMYFUNCTION("""COMPUTED_VALUE"""),"DANIEL TIRADO")</f>
        <v>DANIEL TIRADO</v>
      </c>
      <c r="H4259" s="16">
        <f>IFERROR(__xludf.DUMMYFUNCTION("""COMPUTED_VALUE"""),12950.0)</f>
        <v>12950</v>
      </c>
      <c r="I4259" s="18">
        <f>IFERROR(__xludf.DUMMYFUNCTION("""COMPUTED_VALUE"""),26.0)</f>
        <v>26</v>
      </c>
      <c r="J4259" s="18">
        <f>IFERROR(__xludf.DUMMYFUNCTION("""COMPUTED_VALUE"""),20.0)</f>
        <v>20</v>
      </c>
      <c r="K4259" s="18">
        <f>IFERROR(__xludf.DUMMYFUNCTION("""COMPUTED_VALUE"""),40.0)</f>
        <v>40</v>
      </c>
      <c r="L4259" s="17">
        <f>IFERROR(__xludf.DUMMYFUNCTION("""COMPUTED_VALUE"""),3.105986088E9)</f>
        <v>3105986088</v>
      </c>
      <c r="M4259" s="17" t="str">
        <f>IFERROR(__xludf.DUMMYFUNCTION("""COMPUTED_VALUE"""),"#REF!")</f>
        <v>#REF!</v>
      </c>
      <c r="N4259" s="17"/>
      <c r="O4259" s="17"/>
      <c r="P4259" s="17" t="b">
        <f>IFERROR(__xludf.DUMMYFUNCTION("""COMPUTED_VALUE"""),TRUE)</f>
        <v>1</v>
      </c>
      <c r="Q4259" s="20">
        <f>IFERROR(__xludf.DUMMYFUNCTION("""COMPUTED_VALUE"""),45125.64444045139)</f>
        <v>45125.64444</v>
      </c>
      <c r="R4259" s="22" t="str">
        <f>IFERROR(__xludf.DUMMYFUNCTION("""COMPUTED_VALUE"""),"")</f>
        <v/>
      </c>
    </row>
    <row r="4260">
      <c r="A4260" s="15">
        <f>IFERROR(__xludf.DUMMYFUNCTION("""COMPUTED_VALUE"""),45125.0)</f>
        <v>45125</v>
      </c>
      <c r="B4260" s="16" t="str">
        <f>IFERROR(__xludf.DUMMYFUNCTION("""COMPUTED_VALUE"""),"Envia")</f>
        <v>Envia</v>
      </c>
      <c r="C4260" s="15" t="str">
        <f>IFERROR(__xludf.DUMMYFUNCTION("""COMPUTED_VALUE"""),"MEDELLÍN")</f>
        <v>MEDELLÍN</v>
      </c>
      <c r="D4260" s="15" t="str">
        <f>IFERROR(__xludf.DUMMYFUNCTION("""COMPUTED_VALUE"""),"BOGOTÁ")</f>
        <v>BOGOTÁ</v>
      </c>
      <c r="E4260" s="15" t="str">
        <f>IFERROR(__xludf.DUMMYFUNCTION("""COMPUTED_VALUE"""),"Lunchy Kids")</f>
        <v>Lunchy Kids</v>
      </c>
      <c r="F4260" s="17" t="str">
        <f>IFERROR(__xludf.DUMMYFUNCTION("""COMPUTED_VALUE"""),"CALLE 33C #88a - 93   /  laureles campestre, torre 2 de parque apt 807 / Medellin")</f>
        <v>CALLE 33C #88a - 93   /  laureles campestre, torre 2 de parque apt 807 / Medellin</v>
      </c>
      <c r="G4260" s="15" t="str">
        <f>IFERROR(__xludf.DUMMYFUNCTION("""COMPUTED_VALUE"""),"Catalina Muñoz")</f>
        <v>Catalina Muñoz</v>
      </c>
      <c r="H4260" s="16">
        <f>IFERROR(__xludf.DUMMYFUNCTION("""COMPUTED_VALUE"""),12921.0)</f>
        <v>12921</v>
      </c>
      <c r="I4260" s="18">
        <f>IFERROR(__xludf.DUMMYFUNCTION("""COMPUTED_VALUE"""),17.0)</f>
        <v>17</v>
      </c>
      <c r="J4260" s="18">
        <f>IFERROR(__xludf.DUMMYFUNCTION("""COMPUTED_VALUE"""),21.0)</f>
        <v>21</v>
      </c>
      <c r="K4260" s="18">
        <f>IFERROR(__xludf.DUMMYFUNCTION("""COMPUTED_VALUE"""),15.0)</f>
        <v>15</v>
      </c>
      <c r="L4260" s="17">
        <f>IFERROR(__xludf.DUMMYFUNCTION("""COMPUTED_VALUE"""),3.108721972E9)</f>
        <v>3108721972</v>
      </c>
      <c r="M4260" s="17" t="str">
        <f>IFERROR(__xludf.DUMMYFUNCTION("""COMPUTED_VALUE"""),"#REF!")</f>
        <v>#REF!</v>
      </c>
      <c r="N4260" s="17"/>
      <c r="O4260" s="17"/>
      <c r="P4260" s="17" t="b">
        <f>IFERROR(__xludf.DUMMYFUNCTION("""COMPUTED_VALUE"""),TRUE)</f>
        <v>1</v>
      </c>
      <c r="Q4260" s="20">
        <f>IFERROR(__xludf.DUMMYFUNCTION("""COMPUTED_VALUE"""),45125.73756150463)</f>
        <v>45125.73756</v>
      </c>
      <c r="R4260" s="21" t="str">
        <f>IFERROR(__xludf.DUMMYFUNCTION("""COMPUTED_VALUE"""),"https://drive.google.com/file/d/1tA098RFP45mU5B9rJ1aX7JTkFpl6eGqD/view?usp=drivesdk")</f>
        <v>https://drive.google.com/file/d/1tA098RFP45mU5B9rJ1aX7JTkFpl6eGqD/view?usp=drivesdk</v>
      </c>
    </row>
    <row r="4261">
      <c r="A4261" s="15">
        <f>IFERROR(__xludf.DUMMYFUNCTION("""COMPUTED_VALUE"""),45125.0)</f>
        <v>45125</v>
      </c>
      <c r="B4261" s="16" t="str">
        <f>IFERROR(__xludf.DUMMYFUNCTION("""COMPUTED_VALUE"""),"Envia")</f>
        <v>Envia</v>
      </c>
      <c r="C4261" s="15" t="str">
        <f>IFERROR(__xludf.DUMMYFUNCTION("""COMPUTED_VALUE"""),"MEDELLÍN")</f>
        <v>MEDELLÍN</v>
      </c>
      <c r="D4261" s="15" t="str">
        <f>IFERROR(__xludf.DUMMYFUNCTION("""COMPUTED_VALUE"""),"BOGOTÁ")</f>
        <v>BOGOTÁ</v>
      </c>
      <c r="E4261" s="15" t="str">
        <f>IFERROR(__xludf.DUMMYFUNCTION("""COMPUTED_VALUE"""),"Lunchy Kids")</f>
        <v>Lunchy Kids</v>
      </c>
      <c r="F4261" s="17" t="str">
        <f>IFERROR(__xludf.DUMMYFUNCTION("""COMPUTED_VALUE"""),"Carrera 33 # 27 A 91   / Apartamento 305. Edificio Citté / Medellin")</f>
        <v>Carrera 33 # 27 A 91   / Apartamento 305. Edificio Citté / Medellin</v>
      </c>
      <c r="G4261" s="15" t="str">
        <f>IFERROR(__xludf.DUMMYFUNCTION("""COMPUTED_VALUE"""),"Sarita Granada")</f>
        <v>Sarita Granada</v>
      </c>
      <c r="H4261" s="16">
        <f>IFERROR(__xludf.DUMMYFUNCTION("""COMPUTED_VALUE"""),12920.0)</f>
        <v>12920</v>
      </c>
      <c r="I4261" s="18">
        <f>IFERROR(__xludf.DUMMYFUNCTION("""COMPUTED_VALUE"""),15.0)</f>
        <v>15</v>
      </c>
      <c r="J4261" s="18">
        <f>IFERROR(__xludf.DUMMYFUNCTION("""COMPUTED_VALUE"""),28.0)</f>
        <v>28</v>
      </c>
      <c r="K4261" s="18">
        <f>IFERROR(__xludf.DUMMYFUNCTION("""COMPUTED_VALUE"""),6.0)</f>
        <v>6</v>
      </c>
      <c r="L4261" s="17">
        <f>IFERROR(__xludf.DUMMYFUNCTION("""COMPUTED_VALUE"""),3.216478342E9)</f>
        <v>3216478342</v>
      </c>
      <c r="M4261" s="17" t="str">
        <f>IFERROR(__xludf.DUMMYFUNCTION("""COMPUTED_VALUE"""),"#REF!")</f>
        <v>#REF!</v>
      </c>
      <c r="N4261" s="17"/>
      <c r="O4261" s="17"/>
      <c r="P4261" s="17" t="b">
        <f>IFERROR(__xludf.DUMMYFUNCTION("""COMPUTED_VALUE"""),FALSE)</f>
        <v>0</v>
      </c>
      <c r="Q4261" s="20" t="str">
        <f>IFERROR(__xludf.DUMMYFUNCTION("""COMPUTED_VALUE"""),"")</f>
        <v/>
      </c>
      <c r="R4261" s="21" t="str">
        <f>IFERROR(__xludf.DUMMYFUNCTION("""COMPUTED_VALUE"""),"https://drive.google.com/file/d/1MDuFz_8H1rbtyN6ZHWnYpxVzTHrFgVVT/view?usp=drivesdk")</f>
        <v>https://drive.google.com/file/d/1MDuFz_8H1rbtyN6ZHWnYpxVzTHrFgVVT/view?usp=drivesdk</v>
      </c>
    </row>
    <row r="4262">
      <c r="A4262" s="15">
        <f>IFERROR(__xludf.DUMMYFUNCTION("""COMPUTED_VALUE"""),45125.0)</f>
        <v>45125</v>
      </c>
      <c r="B4262" s="16" t="str">
        <f>IFERROR(__xludf.DUMMYFUNCTION("""COMPUTED_VALUE"""),"Envia")</f>
        <v>Envia</v>
      </c>
      <c r="C4262" s="15" t="str">
        <f>IFERROR(__xludf.DUMMYFUNCTION("""COMPUTED_VALUE"""),"MEDELLÍN")</f>
        <v>MEDELLÍN</v>
      </c>
      <c r="D4262" s="15" t="str">
        <f>IFERROR(__xludf.DUMMYFUNCTION("""COMPUTED_VALUE"""),"BOGOTÁ")</f>
        <v>BOGOTÁ</v>
      </c>
      <c r="E4262" s="15" t="str">
        <f>IFERROR(__xludf.DUMMYFUNCTION("""COMPUTED_VALUE"""),"MAI ALIMENTOS S.A.S")</f>
        <v>MAI ALIMENTOS S.A.S</v>
      </c>
      <c r="F4262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4262" s="15" t="str">
        <f>IFERROR(__xludf.DUMMYFUNCTION("""COMPUTED_VALUE"""),"Novaventas")</f>
        <v>Novaventas</v>
      </c>
      <c r="H4262" s="16">
        <f>IFERROR(__xludf.DUMMYFUNCTION("""COMPUTED_VALUE"""),12938.0)</f>
        <v>12938</v>
      </c>
      <c r="I4262" s="18">
        <f>IFERROR(__xludf.DUMMYFUNCTION("""COMPUTED_VALUE"""),35.0)</f>
        <v>35</v>
      </c>
      <c r="J4262" s="18">
        <f>IFERROR(__xludf.DUMMYFUNCTION("""COMPUTED_VALUE"""),17.0)</f>
        <v>17</v>
      </c>
      <c r="K4262" s="18">
        <f>IFERROR(__xludf.DUMMYFUNCTION("""COMPUTED_VALUE"""),13.0)</f>
        <v>13</v>
      </c>
      <c r="L4262" s="17">
        <f>IFERROR(__xludf.DUMMYFUNCTION("""COMPUTED_VALUE"""),3.187351593E9)</f>
        <v>3187351593</v>
      </c>
      <c r="M4262" s="17" t="str">
        <f>IFERROR(__xludf.DUMMYFUNCTION("""COMPUTED_VALUE"""),"#REF!")</f>
        <v>#REF!</v>
      </c>
      <c r="N4262" s="17"/>
      <c r="O4262" s="17"/>
      <c r="P4262" s="17" t="b">
        <f>IFERROR(__xludf.DUMMYFUNCTION("""COMPUTED_VALUE"""),FALSE)</f>
        <v>0</v>
      </c>
      <c r="Q4262" s="20" t="str">
        <f>IFERROR(__xludf.DUMMYFUNCTION("""COMPUTED_VALUE"""),"")</f>
        <v/>
      </c>
      <c r="R4262" s="22" t="str">
        <f>IFERROR(__xludf.DUMMYFUNCTION("""COMPUTED_VALUE"""),"")</f>
        <v/>
      </c>
    </row>
    <row r="4263">
      <c r="A4263" s="15">
        <f>IFERROR(__xludf.DUMMYFUNCTION("""COMPUTED_VALUE"""),45125.0)</f>
        <v>45125</v>
      </c>
      <c r="B4263" s="16" t="str">
        <f>IFERROR(__xludf.DUMMYFUNCTION("""COMPUTED_VALUE"""),"Envia")</f>
        <v>Envia</v>
      </c>
      <c r="C4263" s="15" t="str">
        <f>IFERROR(__xludf.DUMMYFUNCTION("""COMPUTED_VALUE"""),"MEDELLÍN")</f>
        <v>MEDELLÍN</v>
      </c>
      <c r="D4263" s="15" t="str">
        <f>IFERROR(__xludf.DUMMYFUNCTION("""COMPUTED_VALUE"""),"BOGOTÁ")</f>
        <v>BOGOTÁ</v>
      </c>
      <c r="E4263" s="15" t="str">
        <f>IFERROR(__xludf.DUMMYFUNCTION("""COMPUTED_VALUE"""),"Top Spun")</f>
        <v>Top Spun</v>
      </c>
      <c r="F4263" s="17" t="str">
        <f>IFERROR(__xludf.DUMMYFUNCTION("""COMPUTED_VALUE"""),"PARCELACIóN LA RESERVA CASA 30, /  VEREDA CABECERAS  / -LLANOGRANDE RIONEGRO ANTIOQUIA")</f>
        <v>PARCELACIóN LA RESERVA CASA 30, /  VEREDA CABECERAS  / -LLANOGRANDE RIONEGRO ANTIOQUIA</v>
      </c>
      <c r="G4263" s="15" t="str">
        <f>IFERROR(__xludf.DUMMYFUNCTION("""COMPUTED_VALUE"""),"CECILIA BAENA")</f>
        <v>CECILIA BAENA</v>
      </c>
      <c r="H4263" s="16">
        <f>IFERROR(__xludf.DUMMYFUNCTION("""COMPUTED_VALUE"""),12923.0)</f>
        <v>12923</v>
      </c>
      <c r="I4263" s="18">
        <f>IFERROR(__xludf.DUMMYFUNCTION("""COMPUTED_VALUE"""),21.0)</f>
        <v>21</v>
      </c>
      <c r="J4263" s="18">
        <f>IFERROR(__xludf.DUMMYFUNCTION("""COMPUTED_VALUE"""),30.0)</f>
        <v>30</v>
      </c>
      <c r="K4263" s="18">
        <f>IFERROR(__xludf.DUMMYFUNCTION("""COMPUTED_VALUE"""),50.0)</f>
        <v>50</v>
      </c>
      <c r="L4263" s="17">
        <f>IFERROR(__xludf.DUMMYFUNCTION("""COMPUTED_VALUE"""),3.003477817E9)</f>
        <v>3003477817</v>
      </c>
      <c r="M4263" s="17" t="str">
        <f>IFERROR(__xludf.DUMMYFUNCTION("""COMPUTED_VALUE"""),"#REF!")</f>
        <v>#REF!</v>
      </c>
      <c r="N4263" s="17"/>
      <c r="O4263" s="17"/>
      <c r="P4263" s="17" t="b">
        <f>IFERROR(__xludf.DUMMYFUNCTION("""COMPUTED_VALUE"""),FALSE)</f>
        <v>0</v>
      </c>
      <c r="Q4263" s="20" t="str">
        <f>IFERROR(__xludf.DUMMYFUNCTION("""COMPUTED_VALUE"""),"")</f>
        <v/>
      </c>
      <c r="R4263" s="22" t="str">
        <f>IFERROR(__xludf.DUMMYFUNCTION("""COMPUTED_VALUE"""),"")</f>
        <v/>
      </c>
    </row>
    <row r="4264">
      <c r="A4264" s="15">
        <f>IFERROR(__xludf.DUMMYFUNCTION("""COMPUTED_VALUE"""),45125.0)</f>
        <v>45125</v>
      </c>
      <c r="B4264" s="16" t="str">
        <f>IFERROR(__xludf.DUMMYFUNCTION("""COMPUTED_VALUE"""),"Envia")</f>
        <v>Envia</v>
      </c>
      <c r="C4264" s="15" t="str">
        <f>IFERROR(__xludf.DUMMYFUNCTION("""COMPUTED_VALUE"""),"MEDELLÍN")</f>
        <v>MEDELLÍN</v>
      </c>
      <c r="D4264" s="15" t="str">
        <f>IFERROR(__xludf.DUMMYFUNCTION("""COMPUTED_VALUE"""),"BOGOTÁ")</f>
        <v>BOGOTÁ</v>
      </c>
      <c r="E4264" s="15" t="str">
        <f>IFERROR(__xludf.DUMMYFUNCTION("""COMPUTED_VALUE"""),"Viiva Fermentados")</f>
        <v>Viiva Fermentados</v>
      </c>
      <c r="F4264" s="17" t="str">
        <f>IFERROR(__xludf.DUMMYFUNCTION("""COMPUTED_VALUE"""),"Calle 98 #50b-19 (1 caja grande y 1 caja pequeña) / primer piso  / Aranjuez")</f>
        <v>Calle 98 #50b-19 (1 caja grande y 1 caja pequeña) / primer piso  / Aranjuez</v>
      </c>
      <c r="G4264" s="15" t="str">
        <f>IFERROR(__xludf.DUMMYFUNCTION("""COMPUTED_VALUE"""),"Bayron Rodriguez")</f>
        <v>Bayron Rodriguez</v>
      </c>
      <c r="H4264" s="16">
        <f>IFERROR(__xludf.DUMMYFUNCTION("""COMPUTED_VALUE"""),12723.0)</f>
        <v>12723</v>
      </c>
      <c r="I4264" s="18">
        <f>IFERROR(__xludf.DUMMYFUNCTION("""COMPUTED_VALUE"""),28.0)</f>
        <v>28</v>
      </c>
      <c r="J4264" s="18">
        <f>IFERROR(__xludf.DUMMYFUNCTION("""COMPUTED_VALUE"""),36.0)</f>
        <v>36</v>
      </c>
      <c r="K4264" s="18">
        <f>IFERROR(__xludf.DUMMYFUNCTION("""COMPUTED_VALUE"""),24.0)</f>
        <v>24</v>
      </c>
      <c r="L4264" s="17">
        <f>IFERROR(__xludf.DUMMYFUNCTION("""COMPUTED_VALUE"""),3.166261966E9)</f>
        <v>3166261966</v>
      </c>
      <c r="M4264" s="17" t="str">
        <f>IFERROR(__xludf.DUMMYFUNCTION("""COMPUTED_VALUE"""),"#REF!")</f>
        <v>#REF!</v>
      </c>
      <c r="N4264" s="17"/>
      <c r="O4264" s="17"/>
      <c r="P4264" s="17" t="b">
        <f>IFERROR(__xludf.DUMMYFUNCTION("""COMPUTED_VALUE"""),TRUE)</f>
        <v>1</v>
      </c>
      <c r="Q4264" s="20">
        <f>IFERROR(__xludf.DUMMYFUNCTION("""COMPUTED_VALUE"""),45125.80158210648)</f>
        <v>45125.80158</v>
      </c>
      <c r="R4264" s="22" t="str">
        <f>IFERROR(__xludf.DUMMYFUNCTION("""COMPUTED_VALUE"""),"")</f>
        <v/>
      </c>
    </row>
    <row r="4265">
      <c r="A4265" s="15">
        <f>IFERROR(__xludf.DUMMYFUNCTION("""COMPUTED_VALUE"""),45125.0)</f>
        <v>45125</v>
      </c>
      <c r="B4265" s="16" t="str">
        <f>IFERROR(__xludf.DUMMYFUNCTION("""COMPUTED_VALUE"""),"Envia")</f>
        <v>Envia</v>
      </c>
      <c r="C4265" s="15" t="str">
        <f>IFERROR(__xludf.DUMMYFUNCTION("""COMPUTED_VALUE"""),"PEREIRA")</f>
        <v>PEREIRA</v>
      </c>
      <c r="D4265" s="15" t="str">
        <f>IFERROR(__xludf.DUMMYFUNCTION("""COMPUTED_VALUE"""),"BOGOTÁ")</f>
        <v>BOGOTÁ</v>
      </c>
      <c r="E4265" s="15" t="str">
        <f>IFERROR(__xludf.DUMMYFUNCTION("""COMPUTED_VALUE"""),"Asociacion Agropecuaria Juana Maria")</f>
        <v>Asociacion Agropecuaria Juana Maria</v>
      </c>
      <c r="F4265" s="17" t="str">
        <f>IFERROR(__xludf.DUMMYFUNCTION("""COMPUTED_VALUE"""),"Calle 153 # 23 -41 manzana 1 casa 9 sol de Galicia")</f>
        <v>Calle 153 # 23 -41 manzana 1 casa 9 sol de Galicia</v>
      </c>
      <c r="G4265" s="15" t="str">
        <f>IFERROR(__xludf.DUMMYFUNCTION("""COMPUTED_VALUE"""),"Paula Andrea Forero")</f>
        <v>Paula Andrea Forero</v>
      </c>
      <c r="H4265" s="16">
        <f>IFERROR(__xludf.DUMMYFUNCTION("""COMPUTED_VALUE"""),12933.0)</f>
        <v>12933</v>
      </c>
      <c r="I4265" s="18">
        <f>IFERROR(__xludf.DUMMYFUNCTION("""COMPUTED_VALUE"""),17.0)</f>
        <v>17</v>
      </c>
      <c r="J4265" s="18">
        <f>IFERROR(__xludf.DUMMYFUNCTION("""COMPUTED_VALUE"""),37.0)</f>
        <v>37</v>
      </c>
      <c r="K4265" s="18">
        <f>IFERROR(__xludf.DUMMYFUNCTION("""COMPUTED_VALUE"""),30.0)</f>
        <v>30</v>
      </c>
      <c r="L4265" s="17">
        <f>IFERROR(__xludf.DUMMYFUNCTION("""COMPUTED_VALUE"""),3.115760231E9)</f>
        <v>3115760231</v>
      </c>
      <c r="M4265" s="17" t="str">
        <f>IFERROR(__xludf.DUMMYFUNCTION("""COMPUTED_VALUE"""),"#REF!")</f>
        <v>#REF!</v>
      </c>
      <c r="N4265" s="17"/>
      <c r="O4265" s="17"/>
      <c r="P4265" s="17" t="b">
        <f>IFERROR(__xludf.DUMMYFUNCTION("""COMPUTED_VALUE"""),TRUE)</f>
        <v>1</v>
      </c>
      <c r="Q4265" s="20">
        <f>IFERROR(__xludf.DUMMYFUNCTION("""COMPUTED_VALUE"""),45125.80158210648)</f>
        <v>45125.80158</v>
      </c>
      <c r="R4265" s="22" t="str">
        <f>IFERROR(__xludf.DUMMYFUNCTION("""COMPUTED_VALUE"""),"")</f>
        <v/>
      </c>
    </row>
    <row r="4266">
      <c r="A4266" s="15">
        <f>IFERROR(__xludf.DUMMYFUNCTION("""COMPUTED_VALUE"""),45125.0)</f>
        <v>45125</v>
      </c>
      <c r="B4266" s="16" t="str">
        <f>IFERROR(__xludf.DUMMYFUNCTION("""COMPUTED_VALUE"""),"Envia")</f>
        <v>Envia</v>
      </c>
      <c r="C4266" s="15" t="str">
        <f>IFERROR(__xludf.DUMMYFUNCTION("""COMPUTED_VALUE"""),"PEREIRA")</f>
        <v>PEREIRA</v>
      </c>
      <c r="D4266" s="15" t="str">
        <f>IFERROR(__xludf.DUMMYFUNCTION("""COMPUTED_VALUE"""),"BOGOTÁ")</f>
        <v>BOGOTÁ</v>
      </c>
      <c r="E4266" s="15" t="str">
        <f>IFERROR(__xludf.DUMMYFUNCTION("""COMPUTED_VALUE"""),"Ins. Alimento Vital")</f>
        <v>Ins. Alimento Vital</v>
      </c>
      <c r="F4266" s="17" t="str">
        <f>IFERROR(__xludf.DUMMYFUNCTION("""COMPUTED_VALUE"""),"CR 5 18 43 / EDIFICIO CHALJUB / BARRIO URIBE")</f>
        <v>CR 5 18 43 / EDIFICIO CHALJUB / BARRIO URIBE</v>
      </c>
      <c r="G4266" s="15" t="str">
        <f>IFERROR(__xludf.DUMMYFUNCTION("""COMPUTED_VALUE"""),"CHALJUB")</f>
        <v>CHALJUB</v>
      </c>
      <c r="H4266" s="16">
        <f>IFERROR(__xludf.DUMMYFUNCTION("""COMPUTED_VALUE"""),12949.0)</f>
        <v>12949</v>
      </c>
      <c r="I4266" s="18">
        <f>IFERROR(__xludf.DUMMYFUNCTION("""COMPUTED_VALUE"""),1.0)</f>
        <v>1</v>
      </c>
      <c r="J4266" s="18">
        <f>IFERROR(__xludf.DUMMYFUNCTION("""COMPUTED_VALUE"""),1.0)</f>
        <v>1</v>
      </c>
      <c r="K4266" s="18">
        <f>IFERROR(__xludf.DUMMYFUNCTION("""COMPUTED_VALUE"""),1.0)</f>
        <v>1</v>
      </c>
      <c r="L4266" s="17">
        <f>IFERROR(__xludf.DUMMYFUNCTION("""COMPUTED_VALUE"""),3.008252529E9)</f>
        <v>3008252529</v>
      </c>
      <c r="M4266" s="17" t="str">
        <f>IFERROR(__xludf.DUMMYFUNCTION("""COMPUTED_VALUE"""),"#REF!")</f>
        <v>#REF!</v>
      </c>
      <c r="N4266" s="17"/>
      <c r="O4266" s="17"/>
      <c r="P4266" s="17" t="b">
        <f>IFERROR(__xludf.DUMMYFUNCTION("""COMPUTED_VALUE"""),TRUE)</f>
        <v>1</v>
      </c>
      <c r="Q4266" s="20">
        <f>IFERROR(__xludf.DUMMYFUNCTION("""COMPUTED_VALUE"""),45125.80158210648)</f>
        <v>45125.80158</v>
      </c>
      <c r="R4266" s="22" t="str">
        <f>IFERROR(__xludf.DUMMYFUNCTION("""COMPUTED_VALUE"""),"")</f>
        <v/>
      </c>
    </row>
    <row r="4267">
      <c r="A4267" s="15">
        <f>IFERROR(__xludf.DUMMYFUNCTION("""COMPUTED_VALUE"""),45125.0)</f>
        <v>45125</v>
      </c>
      <c r="B4267" s="16" t="str">
        <f>IFERROR(__xludf.DUMMYFUNCTION("""COMPUTED_VALUE"""),"Envia")</f>
        <v>Envia</v>
      </c>
      <c r="C4267" s="15" t="str">
        <f>IFERROR(__xludf.DUMMYFUNCTION("""COMPUTED_VALUE"""),"TULUA")</f>
        <v>TULUA</v>
      </c>
      <c r="D4267" s="15" t="str">
        <f>IFERROR(__xludf.DUMMYFUNCTION("""COMPUTED_VALUE"""),"BOGOTÁ")</f>
        <v>BOGOTÁ</v>
      </c>
      <c r="E4267" s="15" t="str">
        <f>IFERROR(__xludf.DUMMYFUNCTION("""COMPUTED_VALUE"""),"Evamazzita")</f>
        <v>Evamazzita</v>
      </c>
      <c r="F4267" s="17" t="str">
        <f>IFERROR(__xludf.DUMMYFUNCTION("""COMPUTED_VALUE"""),"Calle 30 #34-37 / N/A / Barrio Victoria")</f>
        <v>Calle 30 #34-37 / N/A / Barrio Victoria</v>
      </c>
      <c r="G4267" s="15" t="str">
        <f>IFERROR(__xludf.DUMMYFUNCTION("""COMPUTED_VALUE"""),"MARIA ANGELICA HERNANDEZ")</f>
        <v>MARIA ANGELICA HERNANDEZ</v>
      </c>
      <c r="H4267" s="16">
        <f>IFERROR(__xludf.DUMMYFUNCTION("""COMPUTED_VALUE"""),12979.0)</f>
        <v>12979</v>
      </c>
      <c r="I4267" s="18">
        <f>IFERROR(__xludf.DUMMYFUNCTION("""COMPUTED_VALUE"""),1.0)</f>
        <v>1</v>
      </c>
      <c r="J4267" s="18">
        <f>IFERROR(__xludf.DUMMYFUNCTION("""COMPUTED_VALUE"""),1.0)</f>
        <v>1</v>
      </c>
      <c r="K4267" s="18">
        <f>IFERROR(__xludf.DUMMYFUNCTION("""COMPUTED_VALUE"""),1.0)</f>
        <v>1</v>
      </c>
      <c r="L4267" s="17">
        <f>IFERROR(__xludf.DUMMYFUNCTION("""COMPUTED_VALUE"""),3.057079152E9)</f>
        <v>3057079152</v>
      </c>
      <c r="M4267" s="17" t="str">
        <f>IFERROR(__xludf.DUMMYFUNCTION("""COMPUTED_VALUE"""),"#REF!")</f>
        <v>#REF!</v>
      </c>
      <c r="N4267" s="17"/>
      <c r="O4267" s="17"/>
      <c r="P4267" s="17" t="b">
        <f>IFERROR(__xludf.DUMMYFUNCTION("""COMPUTED_VALUE"""),TRUE)</f>
        <v>1</v>
      </c>
      <c r="Q4267" s="20">
        <f>IFERROR(__xludf.DUMMYFUNCTION("""COMPUTED_VALUE"""),45125.80158210648)</f>
        <v>45125.80158</v>
      </c>
      <c r="R4267" s="22" t="str">
        <f>IFERROR(__xludf.DUMMYFUNCTION("""COMPUTED_VALUE"""),"")</f>
        <v/>
      </c>
    </row>
    <row r="4268">
      <c r="A4268" s="15">
        <f>IFERROR(__xludf.DUMMYFUNCTION("""COMPUTED_VALUE"""),45125.0)</f>
        <v>45125</v>
      </c>
      <c r="B4268" s="16" t="str">
        <f>IFERROR(__xludf.DUMMYFUNCTION("""COMPUTED_VALUE"""),"Envia")</f>
        <v>Envia</v>
      </c>
      <c r="C4268" s="15" t="str">
        <f>IFERROR(__xludf.DUMMYFUNCTION("""COMPUTED_VALUE"""),"TULUA")</f>
        <v>TULUA</v>
      </c>
      <c r="D4268" s="15" t="str">
        <f>IFERROR(__xludf.DUMMYFUNCTION("""COMPUTED_VALUE"""),"BOGOTÁ")</f>
        <v>BOGOTÁ</v>
      </c>
      <c r="E4268" s="15" t="str">
        <f>IFERROR(__xludf.DUMMYFUNCTION("""COMPUTED_VALUE"""),"Evamazzita")</f>
        <v>Evamazzita</v>
      </c>
      <c r="F4268" s="17" t="str">
        <f>IFERROR(__xludf.DUMMYFUNCTION("""COMPUTED_VALUE"""),"Manzana 17 Casa 5 / Bosques de maracaibo / N/A")</f>
        <v>Manzana 17 Casa 5 / Bosques de maracaibo / N/A</v>
      </c>
      <c r="G4268" s="15" t="str">
        <f>IFERROR(__xludf.DUMMYFUNCTION("""COMPUTED_VALUE"""),"DIANA CAROLINA MOLINA VALENCIA")</f>
        <v>DIANA CAROLINA MOLINA VALENCIA</v>
      </c>
      <c r="H4268" s="16">
        <f>IFERROR(__xludf.DUMMYFUNCTION("""COMPUTED_VALUE"""),12978.0)</f>
        <v>12978</v>
      </c>
      <c r="I4268" s="18">
        <f>IFERROR(__xludf.DUMMYFUNCTION("""COMPUTED_VALUE"""),1.0)</f>
        <v>1</v>
      </c>
      <c r="J4268" s="18">
        <f>IFERROR(__xludf.DUMMYFUNCTION("""COMPUTED_VALUE"""),1.0)</f>
        <v>1</v>
      </c>
      <c r="K4268" s="18">
        <f>IFERROR(__xludf.DUMMYFUNCTION("""COMPUTED_VALUE"""),1.0)</f>
        <v>1</v>
      </c>
      <c r="L4268" s="17">
        <f>IFERROR(__xludf.DUMMYFUNCTION("""COMPUTED_VALUE"""),3.104417918E9)</f>
        <v>3104417918</v>
      </c>
      <c r="M4268" s="17" t="str">
        <f>IFERROR(__xludf.DUMMYFUNCTION("""COMPUTED_VALUE"""),"#REF!")</f>
        <v>#REF!</v>
      </c>
      <c r="N4268" s="17"/>
      <c r="O4268" s="17"/>
      <c r="P4268" s="17" t="b">
        <f>IFERROR(__xludf.DUMMYFUNCTION("""COMPUTED_VALUE"""),TRUE)</f>
        <v>1</v>
      </c>
      <c r="Q4268" s="20">
        <f>IFERROR(__xludf.DUMMYFUNCTION("""COMPUTED_VALUE"""),45125.80158210648)</f>
        <v>45125.80158</v>
      </c>
      <c r="R4268" s="22" t="str">
        <f>IFERROR(__xludf.DUMMYFUNCTION("""COMPUTED_VALUE"""),"")</f>
        <v/>
      </c>
    </row>
    <row r="4269">
      <c r="A4269" s="15">
        <f>IFERROR(__xludf.DUMMYFUNCTION("""COMPUTED_VALUE"""),45125.0)</f>
        <v>45125</v>
      </c>
      <c r="B4269" s="16" t="str">
        <f>IFERROR(__xludf.DUMMYFUNCTION("""COMPUTED_VALUE"""),"Envia")</f>
        <v>Envia</v>
      </c>
      <c r="C4269" s="15" t="str">
        <f>IFERROR(__xludf.DUMMYFUNCTION("""COMPUTED_VALUE"""),"TUNJA")</f>
        <v>TUNJA</v>
      </c>
      <c r="D4269" s="15" t="str">
        <f>IFERROR(__xludf.DUMMYFUNCTION("""COMPUTED_VALUE"""),"BOGOTÁ")</f>
        <v>BOGOTÁ</v>
      </c>
      <c r="E4269" s="15" t="str">
        <f>IFERROR(__xludf.DUMMYFUNCTION("""COMPUTED_VALUE"""),"Asociacion Agropecuaria Juana Maria")</f>
        <v>Asociacion Agropecuaria Juana Maria</v>
      </c>
      <c r="F4269" s="17" t="str">
        <f>IFERROR(__xludf.DUMMYFUNCTION("""COMPUTED_VALUE"""),"Carrera 2 A # 45b-03 barrio ""las quintas""")</f>
        <v>Carrera 2 A # 45b-03 barrio "las quintas"</v>
      </c>
      <c r="G4269" s="15" t="str">
        <f>IFERROR(__xludf.DUMMYFUNCTION("""COMPUTED_VALUE"""),"Adriana Paola Hernandez")</f>
        <v>Adriana Paola Hernandez</v>
      </c>
      <c r="H4269" s="16">
        <f>IFERROR(__xludf.DUMMYFUNCTION("""COMPUTED_VALUE"""),12935.0)</f>
        <v>12935</v>
      </c>
      <c r="I4269" s="18">
        <f>IFERROR(__xludf.DUMMYFUNCTION("""COMPUTED_VALUE"""),25.0)</f>
        <v>25</v>
      </c>
      <c r="J4269" s="18">
        <f>IFERROR(__xludf.DUMMYFUNCTION("""COMPUTED_VALUE"""),18.0)</f>
        <v>18</v>
      </c>
      <c r="K4269" s="18">
        <f>IFERROR(__xludf.DUMMYFUNCTION("""COMPUTED_VALUE"""),3.0)</f>
        <v>3</v>
      </c>
      <c r="L4269" s="17">
        <f>IFERROR(__xludf.DUMMYFUNCTION("""COMPUTED_VALUE"""),3.223853604E9)</f>
        <v>3223853604</v>
      </c>
      <c r="M4269" s="17" t="str">
        <f>IFERROR(__xludf.DUMMYFUNCTION("""COMPUTED_VALUE"""),"#REF!")</f>
        <v>#REF!</v>
      </c>
      <c r="N4269" s="17"/>
      <c r="O4269" s="17"/>
      <c r="P4269" s="17" t="b">
        <f>IFERROR(__xludf.DUMMYFUNCTION("""COMPUTED_VALUE"""),TRUE)</f>
        <v>1</v>
      </c>
      <c r="Q4269" s="20">
        <f>IFERROR(__xludf.DUMMYFUNCTION("""COMPUTED_VALUE"""),45125.80158210648)</f>
        <v>45125.80158</v>
      </c>
      <c r="R4269" s="22" t="str">
        <f>IFERROR(__xludf.DUMMYFUNCTION("""COMPUTED_VALUE"""),"")</f>
        <v/>
      </c>
    </row>
    <row r="4270">
      <c r="A4270" s="17" t="str">
        <f>IFERROR(__xludf.DUMMYFUNCTION("""COMPUTED_VALUE"""),"")</f>
        <v/>
      </c>
      <c r="B4270" s="17" t="str">
        <f>IFERROR(__xludf.DUMMYFUNCTION("""COMPUTED_VALUE"""),"")</f>
        <v/>
      </c>
      <c r="C4270" s="17" t="str">
        <f>IFERROR(__xludf.DUMMYFUNCTION("""COMPUTED_VALUE"""),"")</f>
        <v/>
      </c>
      <c r="D4270" s="17" t="str">
        <f>IFERROR(__xludf.DUMMYFUNCTION("""COMPUTED_VALUE"""),"")</f>
        <v/>
      </c>
      <c r="E4270" s="17" t="str">
        <f>IFERROR(__xludf.DUMMYFUNCTION("""COMPUTED_VALUE"""),"")</f>
        <v/>
      </c>
      <c r="F4270" s="17" t="str">
        <f>IFERROR(__xludf.DUMMYFUNCTION("""COMPUTED_VALUE"""),"")</f>
        <v/>
      </c>
      <c r="G4270" s="17" t="str">
        <f>IFERROR(__xludf.DUMMYFUNCTION("""COMPUTED_VALUE"""),"")</f>
        <v/>
      </c>
      <c r="H4270" s="17" t="str">
        <f>IFERROR(__xludf.DUMMYFUNCTION("""COMPUTED_VALUE"""),"")</f>
        <v/>
      </c>
      <c r="I4270" s="17" t="str">
        <f>IFERROR(__xludf.DUMMYFUNCTION("""COMPUTED_VALUE"""),"")</f>
        <v/>
      </c>
      <c r="J4270" s="17" t="str">
        <f>IFERROR(__xludf.DUMMYFUNCTION("""COMPUTED_VALUE"""),"")</f>
        <v/>
      </c>
      <c r="K4270" s="17" t="str">
        <f>IFERROR(__xludf.DUMMYFUNCTION("""COMPUTED_VALUE"""),"")</f>
        <v/>
      </c>
      <c r="L4270" s="17" t="str">
        <f>IFERROR(__xludf.DUMMYFUNCTION("""COMPUTED_VALUE"""),"")</f>
        <v/>
      </c>
      <c r="M4270" s="17" t="str">
        <f>IFERROR(__xludf.DUMMYFUNCTION("""COMPUTED_VALUE"""),"")</f>
        <v/>
      </c>
      <c r="N4270" s="17" t="str">
        <f>IFERROR(__xludf.DUMMYFUNCTION("""COMPUTED_VALUE"""),"")</f>
        <v/>
      </c>
      <c r="O4270" s="17" t="str">
        <f>IFERROR(__xludf.DUMMYFUNCTION("""COMPUTED_VALUE"""),"")</f>
        <v/>
      </c>
      <c r="P4270" s="17" t="str">
        <f>IFERROR(__xludf.DUMMYFUNCTION("""COMPUTED_VALUE"""),"")</f>
        <v/>
      </c>
      <c r="Q4270" s="17" t="str">
        <f>IFERROR(__xludf.DUMMYFUNCTION("""COMPUTED_VALUE"""),"")</f>
        <v/>
      </c>
      <c r="R4270" s="17" t="str">
        <f>IFERROR(__xludf.DUMMYFUNCTION("""COMPUTED_VALUE"""),"")</f>
        <v/>
      </c>
    </row>
    <row r="4271">
      <c r="A4271" s="15">
        <f>IFERROR(__xludf.DUMMYFUNCTION("""COMPUTED_VALUE"""),45125.0)</f>
        <v>45125</v>
      </c>
      <c r="B4271" s="16" t="str">
        <f>IFERROR(__xludf.DUMMYFUNCTION("""COMPUTED_VALUE"""),"Jeison Rubiano")</f>
        <v>Jeison Rubiano</v>
      </c>
      <c r="C4271" s="15" t="str">
        <f>IFERROR(__xludf.DUMMYFUNCTION("""COMPUTED_VALUE"""),"BOGOTÁ")</f>
        <v>BOGOTÁ</v>
      </c>
      <c r="D4271" s="15" t="str">
        <f>IFERROR(__xludf.DUMMYFUNCTION("""COMPUTED_VALUE"""),"MEDELLÍN")</f>
        <v>MEDELLÍN</v>
      </c>
      <c r="E4271" s="15" t="str">
        <f>IFERROR(__xludf.DUMMYFUNCTION("""COMPUTED_VALUE"""),"AREPAS LA MARY")</f>
        <v>AREPAS LA MARY</v>
      </c>
      <c r="F4271" s="17" t="str">
        <f>IFERROR(__xludf.DUMMYFUNCTION("""COMPUTED_VALUE"""),"Tv 1B # 55-66 apto 603 / Chapinero alto BOGOTA")</f>
        <v>Tv 1B # 55-66 apto 603 / Chapinero alto BOGOTA</v>
      </c>
      <c r="G4271" s="15" t="str">
        <f>IFERROR(__xludf.DUMMYFUNCTION("""COMPUTED_VALUE"""),"GLORIA BEATRIZ ZULUAGA")</f>
        <v>GLORIA BEATRIZ ZULUAGA</v>
      </c>
      <c r="H4271" s="16">
        <f>IFERROR(__xludf.DUMMYFUNCTION("""COMPUTED_VALUE"""),12973.0)</f>
        <v>12973</v>
      </c>
      <c r="I4271" s="18">
        <f>IFERROR(__xludf.DUMMYFUNCTION("""COMPUTED_VALUE"""),89.0)</f>
        <v>89</v>
      </c>
      <c r="J4271" s="18">
        <f>IFERROR(__xludf.DUMMYFUNCTION("""COMPUTED_VALUE"""),1.0)</f>
        <v>1</v>
      </c>
      <c r="K4271" s="18">
        <f>IFERROR(__xludf.DUMMYFUNCTION("""COMPUTED_VALUE"""),10.0)</f>
        <v>10</v>
      </c>
      <c r="L4271" s="17" t="str">
        <f>IFERROR(__xludf.DUMMYFUNCTION("""COMPUTED_VALUE"""),"311 8769796")</f>
        <v>311 8769796</v>
      </c>
      <c r="M4271" s="17" t="str">
        <f>IFERROR(__xludf.DUMMYFUNCTION("""COMPUTED_VALUE"""),"#REF!")</f>
        <v>#REF!</v>
      </c>
      <c r="N4271" s="17"/>
      <c r="O4271" s="17"/>
      <c r="P4271" s="17" t="b">
        <f>IFERROR(__xludf.DUMMYFUNCTION("""COMPUTED_VALUE"""),TRUE)</f>
        <v>1</v>
      </c>
      <c r="Q4271" s="20">
        <f>IFERROR(__xludf.DUMMYFUNCTION("""COMPUTED_VALUE"""),45125.80158210648)</f>
        <v>45125.80158</v>
      </c>
      <c r="R4271" s="21" t="str">
        <f>IFERROR(__xludf.DUMMYFUNCTION("""COMPUTED_VALUE"""),"https://drive.google.com/file/d/1QG7Y5Fmv7otyHYLQLM15bggpB0H8dpos/view?usp=drivesdk")</f>
        <v>https://drive.google.com/file/d/1QG7Y5Fmv7otyHYLQLM15bggpB0H8dpos/view?usp=drivesdk</v>
      </c>
    </row>
    <row r="4272">
      <c r="A4272" s="15">
        <f>IFERROR(__xludf.DUMMYFUNCTION("""COMPUTED_VALUE"""),45125.0)</f>
        <v>45125</v>
      </c>
      <c r="B4272" s="16" t="str">
        <f>IFERROR(__xludf.DUMMYFUNCTION("""COMPUTED_VALUE"""),"Jeison Rubiano")</f>
        <v>Jeison Rubiano</v>
      </c>
      <c r="C4272" s="15" t="str">
        <f>IFERROR(__xludf.DUMMYFUNCTION("""COMPUTED_VALUE"""),"BOGOTÁ")</f>
        <v>BOGOTÁ</v>
      </c>
      <c r="D4272" s="15" t="str">
        <f>IFERROR(__xludf.DUMMYFUNCTION("""COMPUTED_VALUE"""),"MEDELLÍN")</f>
        <v>MEDELLÍN</v>
      </c>
      <c r="E4272" s="15" t="str">
        <f>IFERROR(__xludf.DUMMYFUNCTION("""COMPUTED_VALUE"""),"Baby Chef")</f>
        <v>Baby Chef</v>
      </c>
      <c r="F4272" s="17" t="str">
        <f>IFERROR(__xludf.DUMMYFUNCTION("""COMPUTED_VALUE"""),"Cra 118 86-20 Barrio el Cortijo, COnjunto los almendros Interior 30 apto 103 / Cra 118 86-20 Barrio el Cortijo, COnjunto los almendros Interior 30 apto 103 / Cra 118 86-20 Barrio el Cortijo, COnjunto los almendros Interior 30 apto 103")</f>
        <v>Cra 118 86-20 Barrio el Cortijo, COnjunto los almendros Interior 30 apto 103 / Cra 118 86-20 Barrio el Cortijo, COnjunto los almendros Interior 30 apto 103 / Cra 118 86-20 Barrio el Cortijo, COnjunto los almendros Interior 30 apto 103</v>
      </c>
      <c r="G4272" s="15" t="str">
        <f>IFERROR(__xludf.DUMMYFUNCTION("""COMPUTED_VALUE"""),"Shirley Roldan")</f>
        <v>Shirley Roldan</v>
      </c>
      <c r="H4272" s="16">
        <f>IFERROR(__xludf.DUMMYFUNCTION("""COMPUTED_VALUE"""),12998.0)</f>
        <v>12998</v>
      </c>
      <c r="I4272" s="18">
        <f>IFERROR(__xludf.DUMMYFUNCTION("""COMPUTED_VALUE"""),4.0)</f>
        <v>4</v>
      </c>
      <c r="J4272" s="18">
        <f>IFERROR(__xludf.DUMMYFUNCTION("""COMPUTED_VALUE"""),23.0)</f>
        <v>23</v>
      </c>
      <c r="K4272" s="18">
        <f>IFERROR(__xludf.DUMMYFUNCTION("""COMPUTED_VALUE"""),36.0)</f>
        <v>36</v>
      </c>
      <c r="L4272" s="17">
        <f>IFERROR(__xludf.DUMMYFUNCTION("""COMPUTED_VALUE"""),3.016725674E9)</f>
        <v>3016725674</v>
      </c>
      <c r="M4272" s="17" t="str">
        <f>IFERROR(__xludf.DUMMYFUNCTION("""COMPUTED_VALUE"""),"#REF!")</f>
        <v>#REF!</v>
      </c>
      <c r="N4272" s="17"/>
      <c r="O4272" s="17"/>
      <c r="P4272" s="17" t="b">
        <f>IFERROR(__xludf.DUMMYFUNCTION("""COMPUTED_VALUE"""),TRUE)</f>
        <v>1</v>
      </c>
      <c r="Q4272" s="20">
        <f>IFERROR(__xludf.DUMMYFUNCTION("""COMPUTED_VALUE"""),45125.80158210648)</f>
        <v>45125.80158</v>
      </c>
      <c r="R4272" s="21" t="str">
        <f>IFERROR(__xludf.DUMMYFUNCTION("""COMPUTED_VALUE"""),"https://drive.google.com/file/d/1UWKthwWSBAazxkTfi9LDk9o2AhCkhi_S/view?usp=drivesdk")</f>
        <v>https://drive.google.com/file/d/1UWKthwWSBAazxkTfi9LDk9o2AhCkhi_S/view?usp=drivesdk</v>
      </c>
    </row>
    <row r="4273">
      <c r="A4273" s="15">
        <f>IFERROR(__xludf.DUMMYFUNCTION("""COMPUTED_VALUE"""),45125.0)</f>
        <v>45125</v>
      </c>
      <c r="B4273" s="16" t="str">
        <f>IFERROR(__xludf.DUMMYFUNCTION("""COMPUTED_VALUE"""),"Jeison Rubiano")</f>
        <v>Jeison Rubiano</v>
      </c>
      <c r="C4273" s="15" t="str">
        <f>IFERROR(__xludf.DUMMYFUNCTION("""COMPUTED_VALUE"""),"POPAYAN")</f>
        <v>POPAYAN</v>
      </c>
      <c r="D4273" s="15" t="str">
        <f>IFERROR(__xludf.DUMMYFUNCTION("""COMPUTED_VALUE"""),"BOGOTÁ")</f>
        <v>BOGOTÁ</v>
      </c>
      <c r="E4273" s="15" t="str">
        <f>IFERROR(__xludf.DUMMYFUNCTION("""COMPUTED_VALUE"""),"Evamazzita")</f>
        <v>Evamazzita</v>
      </c>
      <c r="F4273" s="17" t="str">
        <f>IFERROR(__xludf.DUMMYFUNCTION("""COMPUTED_VALUE"""),"Cr 6 #27 n 58 / Local 1 vivea mercado saludable /  Vivea Mercado Salidable - Barrio los Hoyos")</f>
        <v>Cr 6 #27 n 58 / Local 1 vivea mercado saludable /  Vivea Mercado Salidable - Barrio los Hoyos</v>
      </c>
      <c r="G4273" s="15" t="str">
        <f>IFERROR(__xludf.DUMMYFUNCTION("""COMPUTED_VALUE"""),"Viviana Andrea Chamorro")</f>
        <v>Viviana Andrea Chamorro</v>
      </c>
      <c r="H4273" s="16">
        <f>IFERROR(__xludf.DUMMYFUNCTION("""COMPUTED_VALUE"""),12969.0)</f>
        <v>12969</v>
      </c>
      <c r="I4273" s="18">
        <f>IFERROR(__xludf.DUMMYFUNCTION("""COMPUTED_VALUE"""),15.0)</f>
        <v>15</v>
      </c>
      <c r="J4273" s="18">
        <f>IFERROR(__xludf.DUMMYFUNCTION("""COMPUTED_VALUE"""),33.0)</f>
        <v>33</v>
      </c>
      <c r="K4273" s="18">
        <f>IFERROR(__xludf.DUMMYFUNCTION("""COMPUTED_VALUE"""),27.0)</f>
        <v>27</v>
      </c>
      <c r="L4273" s="17">
        <f>IFERROR(__xludf.DUMMYFUNCTION("""COMPUTED_VALUE"""),3.122971002E9)</f>
        <v>3122971002</v>
      </c>
      <c r="M4273" s="17" t="str">
        <f>IFERROR(__xludf.DUMMYFUNCTION("""COMPUTED_VALUE"""),"#REF!")</f>
        <v>#REF!</v>
      </c>
      <c r="N4273" s="17"/>
      <c r="O4273" s="17"/>
      <c r="P4273" s="17" t="b">
        <f>IFERROR(__xludf.DUMMYFUNCTION("""COMPUTED_VALUE"""),TRUE)</f>
        <v>1</v>
      </c>
      <c r="Q4273" s="20">
        <f>IFERROR(__xludf.DUMMYFUNCTION("""COMPUTED_VALUE"""),45125.80158210648)</f>
        <v>45125.80158</v>
      </c>
      <c r="R4273" s="22" t="str">
        <f>IFERROR(__xludf.DUMMYFUNCTION("""COMPUTED_VALUE"""),"")</f>
        <v/>
      </c>
    </row>
    <row r="4274">
      <c r="A4274" s="15">
        <f>IFERROR(__xludf.DUMMYFUNCTION("""COMPUTED_VALUE"""),45125.0)</f>
        <v>45125</v>
      </c>
      <c r="B4274" s="16" t="str">
        <f>IFERROR(__xludf.DUMMYFUNCTION("""COMPUTED_VALUE"""),"Jeison Rubiano")</f>
        <v>Jeison Rubiano</v>
      </c>
      <c r="C4274" s="15" t="str">
        <f>IFERROR(__xludf.DUMMYFUNCTION("""COMPUTED_VALUE"""),"POPAYAN")</f>
        <v>POPAYAN</v>
      </c>
      <c r="D4274" s="15" t="str">
        <f>IFERROR(__xludf.DUMMYFUNCTION("""COMPUTED_VALUE"""),"BUCARAMANGA")</f>
        <v>BUCARAMANGA</v>
      </c>
      <c r="E4274" s="15" t="str">
        <f>IFERROR(__xludf.DUMMYFUNCTION("""COMPUTED_VALUE"""),"Yo Como Solito")</f>
        <v>Yo Como Solito</v>
      </c>
      <c r="F4274" s="17" t="str">
        <f>IFERROR(__xludf.DUMMYFUNCTION("""COMPUTED_VALUE"""),"TRASVERSAL 8 NO. 57N-16 CASA A21 / TRASVERSAL 8 NO. 57N-16 CASA A21 / TRASVERSAL 8 NO. 57N-16 CASA A21")</f>
        <v>TRASVERSAL 8 NO. 57N-16 CASA A21 / TRASVERSAL 8 NO. 57N-16 CASA A21 / TRASVERSAL 8 NO. 57N-16 CASA A21</v>
      </c>
      <c r="G4274" s="15" t="str">
        <f>IFERROR(__xludf.DUMMYFUNCTION("""COMPUTED_VALUE"""),"ANA MILENA CASTILLO")</f>
        <v>ANA MILENA CASTILLO</v>
      </c>
      <c r="H4274" s="16">
        <f>IFERROR(__xludf.DUMMYFUNCTION("""COMPUTED_VALUE"""),12914.0)</f>
        <v>12914</v>
      </c>
      <c r="I4274" s="18">
        <f>IFERROR(__xludf.DUMMYFUNCTION("""COMPUTED_VALUE"""),24.0)</f>
        <v>24</v>
      </c>
      <c r="J4274" s="18">
        <f>IFERROR(__xludf.DUMMYFUNCTION("""COMPUTED_VALUE"""),27.0)</f>
        <v>27</v>
      </c>
      <c r="K4274" s="18">
        <f>IFERROR(__xludf.DUMMYFUNCTION("""COMPUTED_VALUE"""),32.0)</f>
        <v>32</v>
      </c>
      <c r="L4274" s="17">
        <f>IFERROR(__xludf.DUMMYFUNCTION("""COMPUTED_VALUE"""),3.002153739E9)</f>
        <v>3002153739</v>
      </c>
      <c r="M4274" s="17" t="str">
        <f>IFERROR(__xludf.DUMMYFUNCTION("""COMPUTED_VALUE"""),"#REF!")</f>
        <v>#REF!</v>
      </c>
      <c r="N4274" s="17"/>
      <c r="O4274" s="17"/>
      <c r="P4274" s="17" t="b">
        <f>IFERROR(__xludf.DUMMYFUNCTION("""COMPUTED_VALUE"""),TRUE)</f>
        <v>1</v>
      </c>
      <c r="Q4274" s="20">
        <f>IFERROR(__xludf.DUMMYFUNCTION("""COMPUTED_VALUE"""),45125.80158210648)</f>
        <v>45125.80158</v>
      </c>
      <c r="R4274" s="22" t="str">
        <f>IFERROR(__xludf.DUMMYFUNCTION("""COMPUTED_VALUE"""),"")</f>
        <v/>
      </c>
    </row>
    <row r="4275">
      <c r="A4275" s="17" t="str">
        <f>IFERROR(__xludf.DUMMYFUNCTION("""COMPUTED_VALUE"""),"")</f>
        <v/>
      </c>
      <c r="B4275" s="17" t="str">
        <f>IFERROR(__xludf.DUMMYFUNCTION("""COMPUTED_VALUE"""),"")</f>
        <v/>
      </c>
      <c r="C4275" s="17" t="str">
        <f>IFERROR(__xludf.DUMMYFUNCTION("""COMPUTED_VALUE"""),"")</f>
        <v/>
      </c>
      <c r="D4275" s="17" t="str">
        <f>IFERROR(__xludf.DUMMYFUNCTION("""COMPUTED_VALUE"""),"")</f>
        <v/>
      </c>
      <c r="E4275" s="17" t="str">
        <f>IFERROR(__xludf.DUMMYFUNCTION("""COMPUTED_VALUE"""),"")</f>
        <v/>
      </c>
      <c r="F4275" s="17" t="str">
        <f>IFERROR(__xludf.DUMMYFUNCTION("""COMPUTED_VALUE"""),"")</f>
        <v/>
      </c>
      <c r="G4275" s="17" t="str">
        <f>IFERROR(__xludf.DUMMYFUNCTION("""COMPUTED_VALUE"""),"")</f>
        <v/>
      </c>
      <c r="H4275" s="17" t="str">
        <f>IFERROR(__xludf.DUMMYFUNCTION("""COMPUTED_VALUE"""),"")</f>
        <v/>
      </c>
      <c r="I4275" s="17" t="str">
        <f>IFERROR(__xludf.DUMMYFUNCTION("""COMPUTED_VALUE"""),"")</f>
        <v/>
      </c>
      <c r="J4275" s="17" t="str">
        <f>IFERROR(__xludf.DUMMYFUNCTION("""COMPUTED_VALUE"""),"")</f>
        <v/>
      </c>
      <c r="K4275" s="17" t="str">
        <f>IFERROR(__xludf.DUMMYFUNCTION("""COMPUTED_VALUE"""),"")</f>
        <v/>
      </c>
      <c r="L4275" s="17" t="str">
        <f>IFERROR(__xludf.DUMMYFUNCTION("""COMPUTED_VALUE"""),"")</f>
        <v/>
      </c>
      <c r="M4275" s="17" t="str">
        <f>IFERROR(__xludf.DUMMYFUNCTION("""COMPUTED_VALUE"""),"")</f>
        <v/>
      </c>
      <c r="N4275" s="17" t="str">
        <f>IFERROR(__xludf.DUMMYFUNCTION("""COMPUTED_VALUE"""),"")</f>
        <v/>
      </c>
      <c r="O4275" s="17" t="str">
        <f>IFERROR(__xludf.DUMMYFUNCTION("""COMPUTED_VALUE"""),"")</f>
        <v/>
      </c>
      <c r="P4275" s="17" t="str">
        <f>IFERROR(__xludf.DUMMYFUNCTION("""COMPUTED_VALUE"""),"")</f>
        <v/>
      </c>
      <c r="Q4275" s="17" t="str">
        <f>IFERROR(__xludf.DUMMYFUNCTION("""COMPUTED_VALUE"""),"")</f>
        <v/>
      </c>
      <c r="R4275" s="17" t="str">
        <f>IFERROR(__xludf.DUMMYFUNCTION("""COMPUTED_VALUE"""),"")</f>
        <v/>
      </c>
    </row>
    <row r="4276">
      <c r="A4276" s="15">
        <f>IFERROR(__xludf.DUMMYFUNCTION("""COMPUTED_VALUE"""),45125.0)</f>
        <v>45125</v>
      </c>
      <c r="B4276" s="16" t="str">
        <f>IFERROR(__xludf.DUMMYFUNCTION("""COMPUTED_VALUE"""),"Jhon Anderson Ceballos Hernandez")</f>
        <v>Jhon Anderson Ceballos Hernandez</v>
      </c>
      <c r="C4276" s="15" t="str">
        <f>IFERROR(__xludf.DUMMYFUNCTION("""COMPUTED_VALUE"""),"TUNJA")</f>
        <v>TUNJA</v>
      </c>
      <c r="D4276" s="15" t="str">
        <f>IFERROR(__xludf.DUMMYFUNCTION("""COMPUTED_VALUE"""),"BOGOTÁ")</f>
        <v>BOGOTÁ</v>
      </c>
      <c r="E4276" s="15" t="str">
        <f>IFERROR(__xludf.DUMMYFUNCTION("""COMPUTED_VALUE"""),"Evamazzita")</f>
        <v>Evamazzita</v>
      </c>
      <c r="F4276" s="17" t="str">
        <f>IFERROR(__xludf.DUMMYFUNCTION("""COMPUTED_VALUE"""),"Diagonal 66A#4-20 / N/A / Barrio los Muiscas")</f>
        <v>Diagonal 66A#4-20 / N/A / Barrio los Muiscas</v>
      </c>
      <c r="G4276" s="15" t="str">
        <f>IFERROR(__xludf.DUMMYFUNCTION("""COMPUTED_VALUE"""),"MERY YOLIMA URIBE RIOS")</f>
        <v>MERY YOLIMA URIBE RIOS</v>
      </c>
      <c r="H4276" s="16">
        <f>IFERROR(__xludf.DUMMYFUNCTION("""COMPUTED_VALUE"""),12976.0)</f>
        <v>12976</v>
      </c>
      <c r="I4276" s="18">
        <f>IFERROR(__xludf.DUMMYFUNCTION("""COMPUTED_VALUE"""),8.0)</f>
        <v>8</v>
      </c>
      <c r="J4276" s="18">
        <f>IFERROR(__xludf.DUMMYFUNCTION("""COMPUTED_VALUE"""),19.0)</f>
        <v>19</v>
      </c>
      <c r="K4276" s="18">
        <f>IFERROR(__xludf.DUMMYFUNCTION("""COMPUTED_VALUE"""),16.0)</f>
        <v>16</v>
      </c>
      <c r="L4276" s="17">
        <f>IFERROR(__xludf.DUMMYFUNCTION("""COMPUTED_VALUE"""),3.102399874E9)</f>
        <v>3102399874</v>
      </c>
      <c r="M4276" s="17" t="str">
        <f>IFERROR(__xludf.DUMMYFUNCTION("""COMPUTED_VALUE"""),"#REF!")</f>
        <v>#REF!</v>
      </c>
      <c r="N4276" s="17"/>
      <c r="O4276" s="17"/>
      <c r="P4276" s="17" t="b">
        <f>IFERROR(__xludf.DUMMYFUNCTION("""COMPUTED_VALUE"""),TRUE)</f>
        <v>1</v>
      </c>
      <c r="Q4276" s="20">
        <f>IFERROR(__xludf.DUMMYFUNCTION("""COMPUTED_VALUE"""),45125.644562835645)</f>
        <v>45125.64456</v>
      </c>
      <c r="R4276" s="22" t="str">
        <f>IFERROR(__xludf.DUMMYFUNCTION("""COMPUTED_VALUE"""),"")</f>
        <v/>
      </c>
    </row>
    <row r="4277">
      <c r="A4277" s="17" t="str">
        <f>IFERROR(__xludf.DUMMYFUNCTION("""COMPUTED_VALUE"""),"")</f>
        <v/>
      </c>
      <c r="B4277" s="17" t="str">
        <f>IFERROR(__xludf.DUMMYFUNCTION("""COMPUTED_VALUE"""),"")</f>
        <v/>
      </c>
      <c r="C4277" s="17" t="str">
        <f>IFERROR(__xludf.DUMMYFUNCTION("""COMPUTED_VALUE"""),"")</f>
        <v/>
      </c>
      <c r="D4277" s="17" t="str">
        <f>IFERROR(__xludf.DUMMYFUNCTION("""COMPUTED_VALUE"""),"")</f>
        <v/>
      </c>
      <c r="E4277" s="17" t="str">
        <f>IFERROR(__xludf.DUMMYFUNCTION("""COMPUTED_VALUE"""),"")</f>
        <v/>
      </c>
      <c r="F4277" s="17" t="str">
        <f>IFERROR(__xludf.DUMMYFUNCTION("""COMPUTED_VALUE"""),"")</f>
        <v/>
      </c>
      <c r="G4277" s="17" t="str">
        <f>IFERROR(__xludf.DUMMYFUNCTION("""COMPUTED_VALUE"""),"")</f>
        <v/>
      </c>
      <c r="H4277" s="17" t="str">
        <f>IFERROR(__xludf.DUMMYFUNCTION("""COMPUTED_VALUE"""),"")</f>
        <v/>
      </c>
      <c r="I4277" s="17" t="str">
        <f>IFERROR(__xludf.DUMMYFUNCTION("""COMPUTED_VALUE"""),"")</f>
        <v/>
      </c>
      <c r="J4277" s="17" t="str">
        <f>IFERROR(__xludf.DUMMYFUNCTION("""COMPUTED_VALUE"""),"")</f>
        <v/>
      </c>
      <c r="K4277" s="17" t="str">
        <f>IFERROR(__xludf.DUMMYFUNCTION("""COMPUTED_VALUE"""),"")</f>
        <v/>
      </c>
      <c r="L4277" s="17" t="str">
        <f>IFERROR(__xludf.DUMMYFUNCTION("""COMPUTED_VALUE"""),"")</f>
        <v/>
      </c>
      <c r="M4277" s="17" t="str">
        <f>IFERROR(__xludf.DUMMYFUNCTION("""COMPUTED_VALUE"""),"")</f>
        <v/>
      </c>
      <c r="N4277" s="17" t="str">
        <f>IFERROR(__xludf.DUMMYFUNCTION("""COMPUTED_VALUE"""),"")</f>
        <v/>
      </c>
      <c r="O4277" s="17" t="str">
        <f>IFERROR(__xludf.DUMMYFUNCTION("""COMPUTED_VALUE"""),"")</f>
        <v/>
      </c>
      <c r="P4277" s="17" t="str">
        <f>IFERROR(__xludf.DUMMYFUNCTION("""COMPUTED_VALUE"""),"")</f>
        <v/>
      </c>
      <c r="Q4277" s="17" t="str">
        <f>IFERROR(__xludf.DUMMYFUNCTION("""COMPUTED_VALUE"""),"")</f>
        <v/>
      </c>
      <c r="R4277" s="17" t="str">
        <f>IFERROR(__xludf.DUMMYFUNCTION("""COMPUTED_VALUE"""),"")</f>
        <v/>
      </c>
    </row>
    <row r="4278">
      <c r="A4278" s="15">
        <f>IFERROR(__xludf.DUMMYFUNCTION("""COMPUTED_VALUE"""),45125.0)</f>
        <v>45125</v>
      </c>
      <c r="B4278" s="16" t="str">
        <f>IFERROR(__xludf.DUMMYFUNCTION("""COMPUTED_VALUE"""),"Johan Alexander Escobar Arroyo ")</f>
        <v>Johan Alexander Escobar Arroyo </v>
      </c>
      <c r="C4278" s="15" t="str">
        <f>IFERROR(__xludf.DUMMYFUNCTION("""COMPUTED_VALUE"""),"CALI")</f>
        <v>CALI</v>
      </c>
      <c r="D4278" s="15" t="str">
        <f>IFERROR(__xludf.DUMMYFUNCTION("""COMPUTED_VALUE"""),"BOGOTÁ")</f>
        <v>BOGOTÁ</v>
      </c>
      <c r="E4278" s="15" t="str">
        <f>IFERROR(__xludf.DUMMYFUNCTION("""COMPUTED_VALUE"""),"Asociacion Agropecuaria Juana Maria")</f>
        <v>Asociacion Agropecuaria Juana Maria</v>
      </c>
      <c r="F4278" s="17" t="str">
        <f>IFERROR(__xludf.DUMMYFUNCTION("""COMPUTED_VALUE"""),"Carrera 17B # 33E-33 La Floresta vieja")</f>
        <v>Carrera 17B # 33E-33 La Floresta vieja</v>
      </c>
      <c r="G4278" s="15" t="str">
        <f>IFERROR(__xludf.DUMMYFUNCTION("""COMPUTED_VALUE"""),"Johanna acuña  Molina")</f>
        <v>Johanna acuña  Molina</v>
      </c>
      <c r="H4278" s="16">
        <f>IFERROR(__xludf.DUMMYFUNCTION("""COMPUTED_VALUE"""),12931.0)</f>
        <v>12931</v>
      </c>
      <c r="I4278" s="18">
        <f>IFERROR(__xludf.DUMMYFUNCTION("""COMPUTED_VALUE"""),16.0)</f>
        <v>16</v>
      </c>
      <c r="J4278" s="18">
        <f>IFERROR(__xludf.DUMMYFUNCTION("""COMPUTED_VALUE"""),34.0)</f>
        <v>34</v>
      </c>
      <c r="K4278" s="18">
        <f>IFERROR(__xludf.DUMMYFUNCTION("""COMPUTED_VALUE"""),25.0)</f>
        <v>25</v>
      </c>
      <c r="L4278" s="17">
        <f>IFERROR(__xludf.DUMMYFUNCTION("""COMPUTED_VALUE"""),3.218700343E9)</f>
        <v>3218700343</v>
      </c>
      <c r="M4278" s="17" t="str">
        <f>IFERROR(__xludf.DUMMYFUNCTION("""COMPUTED_VALUE"""),"#REF!")</f>
        <v>#REF!</v>
      </c>
      <c r="N4278" s="17"/>
      <c r="O4278" s="17"/>
      <c r="P4278" s="17" t="b">
        <f>IFERROR(__xludf.DUMMYFUNCTION("""COMPUTED_VALUE"""),TRUE)</f>
        <v>1</v>
      </c>
      <c r="Q4278" s="20">
        <f>IFERROR(__xludf.DUMMYFUNCTION("""COMPUTED_VALUE"""),45125.644696284726)</f>
        <v>45125.6447</v>
      </c>
      <c r="R4278" s="21" t="str">
        <f>IFERROR(__xludf.DUMMYFUNCTION("""COMPUTED_VALUE"""),"https://drive.google.com/file/d/17GlGe7_RGXyFaArL9TiBU9MEsevDG111/view?usp=drivesdk")</f>
        <v>https://drive.google.com/file/d/17GlGe7_RGXyFaArL9TiBU9MEsevDG111/view?usp=drivesdk</v>
      </c>
    </row>
    <row r="4279">
      <c r="A4279" s="15">
        <f>IFERROR(__xludf.DUMMYFUNCTION("""COMPUTED_VALUE"""),45125.0)</f>
        <v>45125</v>
      </c>
      <c r="B4279" s="16" t="str">
        <f>IFERROR(__xludf.DUMMYFUNCTION("""COMPUTED_VALUE"""),"Johan Alexander Escobar Arroyo ")</f>
        <v>Johan Alexander Escobar Arroyo </v>
      </c>
      <c r="C4279" s="15" t="str">
        <f>IFERROR(__xludf.DUMMYFUNCTION("""COMPUTED_VALUE"""),"CALI")</f>
        <v>CALI</v>
      </c>
      <c r="D4279" s="15" t="str">
        <f>IFERROR(__xludf.DUMMYFUNCTION("""COMPUTED_VALUE"""),"BOGOTÁ")</f>
        <v>BOGOTÁ</v>
      </c>
      <c r="E4279" s="15" t="str">
        <f>IFERROR(__xludf.DUMMYFUNCTION("""COMPUTED_VALUE"""),"Evamazzita")</f>
        <v>Evamazzita</v>
      </c>
      <c r="F4279" s="17" t="str">
        <f>IFERROR(__xludf.DUMMYFUNCTION("""COMPUTED_VALUE"""),"Calle 73 1 J 49 / N/A / N/A")</f>
        <v>Calle 73 1 J 49 / N/A / N/A</v>
      </c>
      <c r="G4279" s="15" t="str">
        <f>IFERROR(__xludf.DUMMYFUNCTION("""COMPUTED_VALUE"""),"LINA OTALVARO")</f>
        <v>LINA OTALVARO</v>
      </c>
      <c r="H4279" s="16">
        <f>IFERROR(__xludf.DUMMYFUNCTION("""COMPUTED_VALUE"""),12965.0)</f>
        <v>12965</v>
      </c>
      <c r="I4279" s="18">
        <f>IFERROR(__xludf.DUMMYFUNCTION("""COMPUTED_VALUE"""),1.0)</f>
        <v>1</v>
      </c>
      <c r="J4279" s="18">
        <f>IFERROR(__xludf.DUMMYFUNCTION("""COMPUTED_VALUE"""),1.0)</f>
        <v>1</v>
      </c>
      <c r="K4279" s="18">
        <f>IFERROR(__xludf.DUMMYFUNCTION("""COMPUTED_VALUE"""),1.0)</f>
        <v>1</v>
      </c>
      <c r="L4279" s="17">
        <f>IFERROR(__xludf.DUMMYFUNCTION("""COMPUTED_VALUE"""),3.148781509E9)</f>
        <v>3148781509</v>
      </c>
      <c r="M4279" s="17" t="str">
        <f>IFERROR(__xludf.DUMMYFUNCTION("""COMPUTED_VALUE"""),"#REF!")</f>
        <v>#REF!</v>
      </c>
      <c r="N4279" s="17"/>
      <c r="O4279" s="17"/>
      <c r="P4279" s="17" t="b">
        <f>IFERROR(__xludf.DUMMYFUNCTION("""COMPUTED_VALUE"""),TRUE)</f>
        <v>1</v>
      </c>
      <c r="Q4279" s="20">
        <f>IFERROR(__xludf.DUMMYFUNCTION("""COMPUTED_VALUE"""),45125.644696284726)</f>
        <v>45125.6447</v>
      </c>
      <c r="R4279" s="21" t="str">
        <f>IFERROR(__xludf.DUMMYFUNCTION("""COMPUTED_VALUE"""),"https://drive.google.com/file/d/14axjq1iTta8_4AR6xwVamICmBCsBoX4O/view?usp=drivesdk")</f>
        <v>https://drive.google.com/file/d/14axjq1iTta8_4AR6xwVamICmBCsBoX4O/view?usp=drivesdk</v>
      </c>
    </row>
    <row r="4280">
      <c r="A4280" s="15">
        <f>IFERROR(__xludf.DUMMYFUNCTION("""COMPUTED_VALUE"""),45125.0)</f>
        <v>45125</v>
      </c>
      <c r="B4280" s="16" t="str">
        <f>IFERROR(__xludf.DUMMYFUNCTION("""COMPUTED_VALUE"""),"Johan Alexander Escobar Arroyo ")</f>
        <v>Johan Alexander Escobar Arroyo </v>
      </c>
      <c r="C4280" s="15" t="str">
        <f>IFERROR(__xludf.DUMMYFUNCTION("""COMPUTED_VALUE"""),"CALI")</f>
        <v>CALI</v>
      </c>
      <c r="D4280" s="15" t="str">
        <f>IFERROR(__xludf.DUMMYFUNCTION("""COMPUTED_VALUE"""),"BOGOTÁ")</f>
        <v>BOGOTÁ</v>
      </c>
      <c r="E4280" s="15" t="str">
        <f>IFERROR(__xludf.DUMMYFUNCTION("""COMPUTED_VALUE"""),"Evamazzita")</f>
        <v>Evamazzita</v>
      </c>
      <c r="F4280" s="17" t="str">
        <f>IFERROR(__xludf.DUMMYFUNCTION("""COMPUTED_VALUE"""),"Carerra 79#13b-110 / Apto 203C/ Torre de santorino / Barrio Quintas de don Simon")</f>
        <v>Carerra 79#13b-110 / Apto 203C/ Torre de santorino / Barrio Quintas de don Simon</v>
      </c>
      <c r="G4280" s="15" t="str">
        <f>IFERROR(__xludf.DUMMYFUNCTION("""COMPUTED_VALUE"""),"CAROLINA RUBIANO ARANGO")</f>
        <v>CAROLINA RUBIANO ARANGO</v>
      </c>
      <c r="H4280" s="16">
        <f>IFERROR(__xludf.DUMMYFUNCTION("""COMPUTED_VALUE"""),12962.0)</f>
        <v>12962</v>
      </c>
      <c r="I4280" s="18">
        <f>IFERROR(__xludf.DUMMYFUNCTION("""COMPUTED_VALUE"""),1.0)</f>
        <v>1</v>
      </c>
      <c r="J4280" s="18">
        <f>IFERROR(__xludf.DUMMYFUNCTION("""COMPUTED_VALUE"""),1.0)</f>
        <v>1</v>
      </c>
      <c r="K4280" s="18">
        <f>IFERROR(__xludf.DUMMYFUNCTION("""COMPUTED_VALUE"""),1.0)</f>
        <v>1</v>
      </c>
      <c r="L4280" s="17">
        <f>IFERROR(__xludf.DUMMYFUNCTION("""COMPUTED_VALUE"""),3.113311218E9)</f>
        <v>3113311218</v>
      </c>
      <c r="M4280" s="17" t="str">
        <f>IFERROR(__xludf.DUMMYFUNCTION("""COMPUTED_VALUE"""),"#REF!")</f>
        <v>#REF!</v>
      </c>
      <c r="N4280" s="17"/>
      <c r="O4280" s="17"/>
      <c r="P4280" s="17" t="b">
        <f>IFERROR(__xludf.DUMMYFUNCTION("""COMPUTED_VALUE"""),TRUE)</f>
        <v>1</v>
      </c>
      <c r="Q4280" s="20">
        <f>IFERROR(__xludf.DUMMYFUNCTION("""COMPUTED_VALUE"""),45125.644696296295)</f>
        <v>45125.6447</v>
      </c>
      <c r="R4280" s="21" t="str">
        <f>IFERROR(__xludf.DUMMYFUNCTION("""COMPUTED_VALUE"""),"https://drive.google.com/file/d/1cqiY9f42zH5ACt8CbonDe8_1ljXV8uM0/view?usp=drivesdk")</f>
        <v>https://drive.google.com/file/d/1cqiY9f42zH5ACt8CbonDe8_1ljXV8uM0/view?usp=drivesdk</v>
      </c>
    </row>
    <row r="4281">
      <c r="A4281" s="15">
        <f>IFERROR(__xludf.DUMMYFUNCTION("""COMPUTED_VALUE"""),45125.0)</f>
        <v>45125</v>
      </c>
      <c r="B4281" s="16" t="str">
        <f>IFERROR(__xludf.DUMMYFUNCTION("""COMPUTED_VALUE"""),"Johan Alexander Escobar Arroyo ")</f>
        <v>Johan Alexander Escobar Arroyo </v>
      </c>
      <c r="C4281" s="15" t="str">
        <f>IFERROR(__xludf.DUMMYFUNCTION("""COMPUTED_VALUE"""),"CALI")</f>
        <v>CALI</v>
      </c>
      <c r="D4281" s="15" t="str">
        <f>IFERROR(__xludf.DUMMYFUNCTION("""COMPUTED_VALUE"""),"BOGOTÁ")</f>
        <v>BOGOTÁ</v>
      </c>
      <c r="E4281" s="15" t="str">
        <f>IFERROR(__xludf.DUMMYFUNCTION("""COMPUTED_VALUE"""),"Evamazzita")</f>
        <v>Evamazzita</v>
      </c>
      <c r="F4281" s="17" t="str">
        <f>IFERROR(__xludf.DUMMYFUNCTION("""COMPUTED_VALUE"""),"Carrera 1h #60-40 / Tercer Piso  / Barrio los almendros")</f>
        <v>Carrera 1h #60-40 / Tercer Piso  / Barrio los almendros</v>
      </c>
      <c r="G4281" s="15" t="str">
        <f>IFERROR(__xludf.DUMMYFUNCTION("""COMPUTED_VALUE"""),"ALEJANDRA MUÑOZ")</f>
        <v>ALEJANDRA MUÑOZ</v>
      </c>
      <c r="H4281" s="16">
        <f>IFERROR(__xludf.DUMMYFUNCTION("""COMPUTED_VALUE"""),12958.0)</f>
        <v>12958</v>
      </c>
      <c r="I4281" s="18">
        <f>IFERROR(__xludf.DUMMYFUNCTION("""COMPUTED_VALUE"""),1.0)</f>
        <v>1</v>
      </c>
      <c r="J4281" s="18">
        <f>IFERROR(__xludf.DUMMYFUNCTION("""COMPUTED_VALUE"""),1.0)</f>
        <v>1</v>
      </c>
      <c r="K4281" s="18">
        <f>IFERROR(__xludf.DUMMYFUNCTION("""COMPUTED_VALUE"""),1.0)</f>
        <v>1</v>
      </c>
      <c r="L4281" s="17">
        <f>IFERROR(__xludf.DUMMYFUNCTION("""COMPUTED_VALUE"""),3.128408361E9)</f>
        <v>3128408361</v>
      </c>
      <c r="M4281" s="17" t="str">
        <f>IFERROR(__xludf.DUMMYFUNCTION("""COMPUTED_VALUE"""),"#REF!")</f>
        <v>#REF!</v>
      </c>
      <c r="N4281" s="17"/>
      <c r="O4281" s="17"/>
      <c r="P4281" s="17" t="b">
        <f>IFERROR(__xludf.DUMMYFUNCTION("""COMPUTED_VALUE"""),FALSE)</f>
        <v>0</v>
      </c>
      <c r="Q4281" s="20" t="str">
        <f>IFERROR(__xludf.DUMMYFUNCTION("""COMPUTED_VALUE"""),"")</f>
        <v/>
      </c>
      <c r="R4281" s="21" t="str">
        <f>IFERROR(__xludf.DUMMYFUNCTION("""COMPUTED_VALUE"""),"https://drive.google.com/file/d/1_mRYGEcEpXjP-s3iFU6n4kJQ6hgtRXAf/view?usp=drivesdk")</f>
        <v>https://drive.google.com/file/d/1_mRYGEcEpXjP-s3iFU6n4kJQ6hgtRXAf/view?usp=drivesdk</v>
      </c>
    </row>
    <row r="4282">
      <c r="A4282" s="15">
        <f>IFERROR(__xludf.DUMMYFUNCTION("""COMPUTED_VALUE"""),45125.0)</f>
        <v>45125</v>
      </c>
      <c r="B4282" s="16" t="str">
        <f>IFERROR(__xludf.DUMMYFUNCTION("""COMPUTED_VALUE"""),"Johan Alexander Escobar Arroyo ")</f>
        <v>Johan Alexander Escobar Arroyo </v>
      </c>
      <c r="C4282" s="15" t="str">
        <f>IFERROR(__xludf.DUMMYFUNCTION("""COMPUTED_VALUE"""),"CALI")</f>
        <v>CALI</v>
      </c>
      <c r="D4282" s="15" t="str">
        <f>IFERROR(__xludf.DUMMYFUNCTION("""COMPUTED_VALUE"""),"BOGOTÁ")</f>
        <v>BOGOTÁ</v>
      </c>
      <c r="E4282" s="15" t="str">
        <f>IFERROR(__xludf.DUMMYFUNCTION("""COMPUTED_VALUE"""),"Evamazzita")</f>
        <v>Evamazzita</v>
      </c>
      <c r="F4282" s="17" t="str">
        <f>IFERROR(__xludf.DUMMYFUNCTION("""COMPUTED_VALUE"""),"Carrera 40 A #13c-12 / N/A / Barrio Guabal")</f>
        <v>Carrera 40 A #13c-12 / N/A / Barrio Guabal</v>
      </c>
      <c r="G4282" s="15" t="str">
        <f>IFERROR(__xludf.DUMMYFUNCTION("""COMPUTED_VALUE"""),"DANIELA MOLINA")</f>
        <v>DANIELA MOLINA</v>
      </c>
      <c r="H4282" s="16">
        <f>IFERROR(__xludf.DUMMYFUNCTION("""COMPUTED_VALUE"""),12960.0)</f>
        <v>12960</v>
      </c>
      <c r="I4282" s="18">
        <f>IFERROR(__xludf.DUMMYFUNCTION("""COMPUTED_VALUE"""),1.0)</f>
        <v>1</v>
      </c>
      <c r="J4282" s="18">
        <f>IFERROR(__xludf.DUMMYFUNCTION("""COMPUTED_VALUE"""),1.0)</f>
        <v>1</v>
      </c>
      <c r="K4282" s="18">
        <f>IFERROR(__xludf.DUMMYFUNCTION("""COMPUTED_VALUE"""),1.0)</f>
        <v>1</v>
      </c>
      <c r="L4282" s="17">
        <f>IFERROR(__xludf.DUMMYFUNCTION("""COMPUTED_VALUE"""),3.052255059E9)</f>
        <v>3052255059</v>
      </c>
      <c r="M4282" s="17" t="str">
        <f>IFERROR(__xludf.DUMMYFUNCTION("""COMPUTED_VALUE"""),"#REF!")</f>
        <v>#REF!</v>
      </c>
      <c r="N4282" s="17"/>
      <c r="O4282" s="17"/>
      <c r="P4282" s="17" t="b">
        <f>IFERROR(__xludf.DUMMYFUNCTION("""COMPUTED_VALUE"""),FALSE)</f>
        <v>0</v>
      </c>
      <c r="Q4282" s="20" t="str">
        <f>IFERROR(__xludf.DUMMYFUNCTION("""COMPUTED_VALUE"""),"")</f>
        <v/>
      </c>
      <c r="R4282" s="21" t="str">
        <f>IFERROR(__xludf.DUMMYFUNCTION("""COMPUTED_VALUE"""),"https://drive.google.com/file/d/1Ut1Ay40foCfDtCfsdVu7iw8MzlKaHbUr/view?usp=drivesdk")</f>
        <v>https://drive.google.com/file/d/1Ut1Ay40foCfDtCfsdVu7iw8MzlKaHbUr/view?usp=drivesdk</v>
      </c>
    </row>
    <row r="4283">
      <c r="A4283" s="15">
        <f>IFERROR(__xludf.DUMMYFUNCTION("""COMPUTED_VALUE"""),45125.0)</f>
        <v>45125</v>
      </c>
      <c r="B4283" s="16" t="str">
        <f>IFERROR(__xludf.DUMMYFUNCTION("""COMPUTED_VALUE"""),"Johan Alexander Escobar Arroyo ")</f>
        <v>Johan Alexander Escobar Arroyo </v>
      </c>
      <c r="C4283" s="15" t="str">
        <f>IFERROR(__xludf.DUMMYFUNCTION("""COMPUTED_VALUE"""),"CALI")</f>
        <v>CALI</v>
      </c>
      <c r="D4283" s="15" t="str">
        <f>IFERROR(__xludf.DUMMYFUNCTION("""COMPUTED_VALUE"""),"BOGOTÁ")</f>
        <v>BOGOTÁ</v>
      </c>
      <c r="E4283" s="15" t="str">
        <f>IFERROR(__xludf.DUMMYFUNCTION("""COMPUTED_VALUE"""),"Evamazzita")</f>
        <v>Evamazzita</v>
      </c>
      <c r="F4283" s="17" t="str">
        <f>IFERROR(__xludf.DUMMYFUNCTION("""COMPUTED_VALUE"""),"Carrera 46C #55A-15 / N/A / Barrio Cuidad Cordoba")</f>
        <v>Carrera 46C #55A-15 / N/A / Barrio Cuidad Cordoba</v>
      </c>
      <c r="G4283" s="15" t="str">
        <f>IFERROR(__xludf.DUMMYFUNCTION("""COMPUTED_VALUE"""),"CLAUDIA CANTERO")</f>
        <v>CLAUDIA CANTERO</v>
      </c>
      <c r="H4283" s="16">
        <f>IFERROR(__xludf.DUMMYFUNCTION("""COMPUTED_VALUE"""),12963.0)</f>
        <v>12963</v>
      </c>
      <c r="I4283" s="18">
        <f>IFERROR(__xludf.DUMMYFUNCTION("""COMPUTED_VALUE"""),1.0)</f>
        <v>1</v>
      </c>
      <c r="J4283" s="18">
        <f>IFERROR(__xludf.DUMMYFUNCTION("""COMPUTED_VALUE"""),1.0)</f>
        <v>1</v>
      </c>
      <c r="K4283" s="18">
        <f>IFERROR(__xludf.DUMMYFUNCTION("""COMPUTED_VALUE"""),1.0)</f>
        <v>1</v>
      </c>
      <c r="L4283" s="17">
        <f>IFERROR(__xludf.DUMMYFUNCTION("""COMPUTED_VALUE"""),3.176248548E9)</f>
        <v>3176248548</v>
      </c>
      <c r="M4283" s="17" t="str">
        <f>IFERROR(__xludf.DUMMYFUNCTION("""COMPUTED_VALUE"""),"#REF!")</f>
        <v>#REF!</v>
      </c>
      <c r="N4283" s="17"/>
      <c r="O4283" s="17"/>
      <c r="P4283" s="17" t="b">
        <f>IFERROR(__xludf.DUMMYFUNCTION("""COMPUTED_VALUE"""),FALSE)</f>
        <v>0</v>
      </c>
      <c r="Q4283" s="20" t="str">
        <f>IFERROR(__xludf.DUMMYFUNCTION("""COMPUTED_VALUE"""),"")</f>
        <v/>
      </c>
      <c r="R4283" s="21" t="str">
        <f>IFERROR(__xludf.DUMMYFUNCTION("""COMPUTED_VALUE"""),"https://drive.google.com/file/d/1HyLJ4OgOcHuSMtRRzoyE0hgL_iY6hs4i/view?usp=drivesdk")</f>
        <v>https://drive.google.com/file/d/1HyLJ4OgOcHuSMtRRzoyE0hgL_iY6hs4i/view?usp=drivesdk</v>
      </c>
    </row>
    <row r="4284">
      <c r="A4284" s="15">
        <f>IFERROR(__xludf.DUMMYFUNCTION("""COMPUTED_VALUE"""),45125.0)</f>
        <v>45125</v>
      </c>
      <c r="B4284" s="16" t="str">
        <f>IFERROR(__xludf.DUMMYFUNCTION("""COMPUTED_VALUE"""),"Johan Alexander Escobar Arroyo ")</f>
        <v>Johan Alexander Escobar Arroyo </v>
      </c>
      <c r="C4284" s="15" t="str">
        <f>IFERROR(__xludf.DUMMYFUNCTION("""COMPUTED_VALUE"""),"CALI")</f>
        <v>CALI</v>
      </c>
      <c r="D4284" s="15" t="str">
        <f>IFERROR(__xludf.DUMMYFUNCTION("""COMPUTED_VALUE"""),"BOGOTÁ")</f>
        <v>BOGOTÁ</v>
      </c>
      <c r="E4284" s="15" t="str">
        <f>IFERROR(__xludf.DUMMYFUNCTION("""COMPUTED_VALUE"""),"Evamazzita")</f>
        <v>Evamazzita</v>
      </c>
      <c r="F4284" s="17" t="str">
        <f>IFERROR(__xludf.DUMMYFUNCTION("""COMPUTED_VALUE"""),"Carrera 76 #16-41 / Torre 2 / Apto 301 / Portales de Castilla/ Barrio Prados de Limonar")</f>
        <v>Carrera 76 #16-41 / Torre 2 / Apto 301 / Portales de Castilla/ Barrio Prados de Limonar</v>
      </c>
      <c r="G4284" s="15" t="str">
        <f>IFERROR(__xludf.DUMMYFUNCTION("""COMPUTED_VALUE"""),"DIANA MARCELA TAPIAS ESTRADA")</f>
        <v>DIANA MARCELA TAPIAS ESTRADA</v>
      </c>
      <c r="H4284" s="16">
        <f>IFERROR(__xludf.DUMMYFUNCTION("""COMPUTED_VALUE"""),12964.0)</f>
        <v>12964</v>
      </c>
      <c r="I4284" s="18">
        <f>IFERROR(__xludf.DUMMYFUNCTION("""COMPUTED_VALUE"""),1.0)</f>
        <v>1</v>
      </c>
      <c r="J4284" s="18">
        <f>IFERROR(__xludf.DUMMYFUNCTION("""COMPUTED_VALUE"""),1.0)</f>
        <v>1</v>
      </c>
      <c r="K4284" s="18">
        <f>IFERROR(__xludf.DUMMYFUNCTION("""COMPUTED_VALUE"""),1.0)</f>
        <v>1</v>
      </c>
      <c r="L4284" s="17">
        <f>IFERROR(__xludf.DUMMYFUNCTION("""COMPUTED_VALUE"""),3.046833597E9)</f>
        <v>3046833597</v>
      </c>
      <c r="M4284" s="17" t="str">
        <f>IFERROR(__xludf.DUMMYFUNCTION("""COMPUTED_VALUE"""),"#REF!")</f>
        <v>#REF!</v>
      </c>
      <c r="N4284" s="17"/>
      <c r="O4284" s="17"/>
      <c r="P4284" s="17" t="b">
        <f>IFERROR(__xludf.DUMMYFUNCTION("""COMPUTED_VALUE"""),FALSE)</f>
        <v>0</v>
      </c>
      <c r="Q4284" s="20" t="str">
        <f>IFERROR(__xludf.DUMMYFUNCTION("""COMPUTED_VALUE"""),"")</f>
        <v/>
      </c>
      <c r="R4284" s="21" t="str">
        <f>IFERROR(__xludf.DUMMYFUNCTION("""COMPUTED_VALUE"""),"https://drive.google.com/file/d/1nKP5C6nr6PWQN0mVn_O79wLoQs-ww_xk/view?usp=drivesdk")</f>
        <v>https://drive.google.com/file/d/1nKP5C6nr6PWQN0mVn_O79wLoQs-ww_xk/view?usp=drivesdk</v>
      </c>
    </row>
    <row r="4285">
      <c r="A4285" s="15">
        <f>IFERROR(__xludf.DUMMYFUNCTION("""COMPUTED_VALUE"""),45125.0)</f>
        <v>45125</v>
      </c>
      <c r="B4285" s="16" t="str">
        <f>IFERROR(__xludf.DUMMYFUNCTION("""COMPUTED_VALUE"""),"Johan Alexander Escobar Arroyo ")</f>
        <v>Johan Alexander Escobar Arroyo </v>
      </c>
      <c r="C4285" s="15" t="str">
        <f>IFERROR(__xludf.DUMMYFUNCTION("""COMPUTED_VALUE"""),"CALI")</f>
        <v>CALI</v>
      </c>
      <c r="D4285" s="15" t="str">
        <f>IFERROR(__xludf.DUMMYFUNCTION("""COMPUTED_VALUE"""),"BOGOTÁ")</f>
        <v>BOGOTÁ</v>
      </c>
      <c r="E4285" s="15" t="str">
        <f>IFERROR(__xludf.DUMMYFUNCTION("""COMPUTED_VALUE"""),"Evamazzita")</f>
        <v>Evamazzita</v>
      </c>
      <c r="F4285" s="17" t="str">
        <f>IFERROR(__xludf.DUMMYFUNCTION("""COMPUTED_VALUE"""),"Carrera 89#18-61 / Casa 81 / Villas de san joaquin 1")</f>
        <v>Carrera 89#18-61 / Casa 81 / Villas de san joaquin 1</v>
      </c>
      <c r="G4285" s="15" t="str">
        <f>IFERROR(__xludf.DUMMYFUNCTION("""COMPUTED_VALUE"""),"TATIANA GONZALEZ")</f>
        <v>TATIANA GONZALEZ</v>
      </c>
      <c r="H4285" s="16">
        <f>IFERROR(__xludf.DUMMYFUNCTION("""COMPUTED_VALUE"""),12974.0)</f>
        <v>12974</v>
      </c>
      <c r="I4285" s="18">
        <f>IFERROR(__xludf.DUMMYFUNCTION("""COMPUTED_VALUE"""),1.0)</f>
        <v>1</v>
      </c>
      <c r="J4285" s="18">
        <f>IFERROR(__xludf.DUMMYFUNCTION("""COMPUTED_VALUE"""),1.0)</f>
        <v>1</v>
      </c>
      <c r="K4285" s="18">
        <f>IFERROR(__xludf.DUMMYFUNCTION("""COMPUTED_VALUE"""),1.0)</f>
        <v>1</v>
      </c>
      <c r="L4285" s="17">
        <f>IFERROR(__xludf.DUMMYFUNCTION("""COMPUTED_VALUE"""),3.104643005E9)</f>
        <v>3104643005</v>
      </c>
      <c r="M4285" s="17" t="str">
        <f>IFERROR(__xludf.DUMMYFUNCTION("""COMPUTED_VALUE"""),"#REF!")</f>
        <v>#REF!</v>
      </c>
      <c r="N4285" s="17"/>
      <c r="O4285" s="17"/>
      <c r="P4285" s="17" t="b">
        <f>IFERROR(__xludf.DUMMYFUNCTION("""COMPUTED_VALUE"""),FALSE)</f>
        <v>0</v>
      </c>
      <c r="Q4285" s="20" t="str">
        <f>IFERROR(__xludf.DUMMYFUNCTION("""COMPUTED_VALUE"""),"")</f>
        <v/>
      </c>
      <c r="R4285" s="21" t="str">
        <f>IFERROR(__xludf.DUMMYFUNCTION("""COMPUTED_VALUE"""),"https://drive.google.com/file/d/1OJPnzMBZEm5T9-Zs-7NYBUbZB7mRchuB/view?usp=drivesdk")</f>
        <v>https://drive.google.com/file/d/1OJPnzMBZEm5T9-Zs-7NYBUbZB7mRchuB/view?usp=drivesdk</v>
      </c>
    </row>
    <row r="4286">
      <c r="A4286" s="15">
        <f>IFERROR(__xludf.DUMMYFUNCTION("""COMPUTED_VALUE"""),45125.0)</f>
        <v>45125</v>
      </c>
      <c r="B4286" s="16" t="str">
        <f>IFERROR(__xludf.DUMMYFUNCTION("""COMPUTED_VALUE"""),"Johan Alexander Escobar Arroyo ")</f>
        <v>Johan Alexander Escobar Arroyo </v>
      </c>
      <c r="C4286" s="15" t="str">
        <f>IFERROR(__xludf.DUMMYFUNCTION("""COMPUTED_VALUE"""),"CALI")</f>
        <v>CALI</v>
      </c>
      <c r="D4286" s="15" t="str">
        <f>IFERROR(__xludf.DUMMYFUNCTION("""COMPUTED_VALUE"""),"BOGOTÁ")</f>
        <v>BOGOTÁ</v>
      </c>
      <c r="E4286" s="15" t="str">
        <f>IFERROR(__xludf.DUMMYFUNCTION("""COMPUTED_VALUE"""),"Evamazzita")</f>
        <v>Evamazzita</v>
      </c>
      <c r="F4286" s="17" t="str">
        <f>IFERROR(__xludf.DUMMYFUNCTION("""COMPUTED_VALUE"""),"Cr 64 a # 14 75 / Casa 47 conjunto Cañamiel / Conjunto Cañamiel - Barrio Limonar")</f>
        <v>Cr 64 a # 14 75 / Casa 47 conjunto Cañamiel / Conjunto Cañamiel - Barrio Limonar</v>
      </c>
      <c r="G4286" s="15" t="str">
        <f>IFERROR(__xludf.DUMMYFUNCTION("""COMPUTED_VALUE"""),"Angelica Maria Lopez")</f>
        <v>Angelica Maria Lopez</v>
      </c>
      <c r="H4286" s="16">
        <f>IFERROR(__xludf.DUMMYFUNCTION("""COMPUTED_VALUE"""),12959.0)</f>
        <v>12959</v>
      </c>
      <c r="I4286" s="18">
        <f>IFERROR(__xludf.DUMMYFUNCTION("""COMPUTED_VALUE"""),1.0)</f>
        <v>1</v>
      </c>
      <c r="J4286" s="18">
        <f>IFERROR(__xludf.DUMMYFUNCTION("""COMPUTED_VALUE"""),1.0)</f>
        <v>1</v>
      </c>
      <c r="K4286" s="18">
        <f>IFERROR(__xludf.DUMMYFUNCTION("""COMPUTED_VALUE"""),1.0)</f>
        <v>1</v>
      </c>
      <c r="L4286" s="17">
        <f>IFERROR(__xludf.DUMMYFUNCTION("""COMPUTED_VALUE"""),3.164688197E9)</f>
        <v>3164688197</v>
      </c>
      <c r="M4286" s="17" t="str">
        <f>IFERROR(__xludf.DUMMYFUNCTION("""COMPUTED_VALUE"""),"#REF!")</f>
        <v>#REF!</v>
      </c>
      <c r="N4286" s="17"/>
      <c r="O4286" s="17"/>
      <c r="P4286" s="17" t="b">
        <f>IFERROR(__xludf.DUMMYFUNCTION("""COMPUTED_VALUE"""),FALSE)</f>
        <v>0</v>
      </c>
      <c r="Q4286" s="20" t="str">
        <f>IFERROR(__xludf.DUMMYFUNCTION("""COMPUTED_VALUE"""),"")</f>
        <v/>
      </c>
      <c r="R4286" s="21" t="str">
        <f>IFERROR(__xludf.DUMMYFUNCTION("""COMPUTED_VALUE"""),"https://drive.google.com/file/d/1P4rqm6oxeI6WGBM5IsBA8g7ZMexUbnx6/view?usp=drivesdk")</f>
        <v>https://drive.google.com/file/d/1P4rqm6oxeI6WGBM5IsBA8g7ZMexUbnx6/view?usp=drivesdk</v>
      </c>
    </row>
    <row r="4287">
      <c r="A4287" s="15">
        <f>IFERROR(__xludf.DUMMYFUNCTION("""COMPUTED_VALUE"""),45125.0)</f>
        <v>45125</v>
      </c>
      <c r="B4287" s="16" t="str">
        <f>IFERROR(__xludf.DUMMYFUNCTION("""COMPUTED_VALUE"""),"Johan Alexander Escobar Arroyo ")</f>
        <v>Johan Alexander Escobar Arroyo </v>
      </c>
      <c r="C4287" s="15" t="str">
        <f>IFERROR(__xludf.DUMMYFUNCTION("""COMPUTED_VALUE"""),"IBAGUÉ")</f>
        <v>IBAGUÉ</v>
      </c>
      <c r="D4287" s="15" t="str">
        <f>IFERROR(__xludf.DUMMYFUNCTION("""COMPUTED_VALUE"""),"BOGOTÁ")</f>
        <v>BOGOTÁ</v>
      </c>
      <c r="E4287" s="15" t="str">
        <f>IFERROR(__xludf.DUMMYFUNCTION("""COMPUTED_VALUE"""),"Ins. Alimento Vital")</f>
        <v>Ins. Alimento Vital</v>
      </c>
      <c r="F4287" s="17" t="str">
        <f>IFERROR(__xludf.DUMMYFUNCTION("""COMPUTED_VALUE"""),"CL 26 5 45  / BELALCAZAR / BARRIO BELALCAZAR")</f>
        <v>CL 26 5 45  / BELALCAZAR / BARRIO BELALCAZAR</v>
      </c>
      <c r="G4287" s="15" t="str">
        <f>IFERROR(__xludf.DUMMYFUNCTION("""COMPUTED_VALUE"""),"LEIDY PAOLA GOMEZ BARRERA")</f>
        <v>LEIDY PAOLA GOMEZ BARRERA</v>
      </c>
      <c r="H4287" s="16">
        <f>IFERROR(__xludf.DUMMYFUNCTION("""COMPUTED_VALUE"""),12947.0)</f>
        <v>12947</v>
      </c>
      <c r="I4287" s="18">
        <f>IFERROR(__xludf.DUMMYFUNCTION("""COMPUTED_VALUE"""),1.0)</f>
        <v>1</v>
      </c>
      <c r="J4287" s="18">
        <f>IFERROR(__xludf.DUMMYFUNCTION("""COMPUTED_VALUE"""),1.0)</f>
        <v>1</v>
      </c>
      <c r="K4287" s="18">
        <f>IFERROR(__xludf.DUMMYFUNCTION("""COMPUTED_VALUE"""),1.0)</f>
        <v>1</v>
      </c>
      <c r="L4287" s="17">
        <f>IFERROR(__xludf.DUMMYFUNCTION("""COMPUTED_VALUE"""),3.043758112E9)</f>
        <v>3043758112</v>
      </c>
      <c r="M4287" s="17" t="str">
        <f>IFERROR(__xludf.DUMMYFUNCTION("""COMPUTED_VALUE"""),"#REF!")</f>
        <v>#REF!</v>
      </c>
      <c r="N4287" s="17"/>
      <c r="O4287" s="17"/>
      <c r="P4287" s="17" t="b">
        <f>IFERROR(__xludf.DUMMYFUNCTION("""COMPUTED_VALUE"""),FALSE)</f>
        <v>0</v>
      </c>
      <c r="Q4287" s="20" t="str">
        <f>IFERROR(__xludf.DUMMYFUNCTION("""COMPUTED_VALUE"""),"")</f>
        <v/>
      </c>
      <c r="R4287" s="21" t="str">
        <f>IFERROR(__xludf.DUMMYFUNCTION("""COMPUTED_VALUE"""),"https://drive.google.com/file/d/1uEAMlRy1G8HZoKo4RXaAibAMz4MiGxH9/view?usp=drivesdk")</f>
        <v>https://drive.google.com/file/d/1uEAMlRy1G8HZoKo4RXaAibAMz4MiGxH9/view?usp=drivesdk</v>
      </c>
    </row>
    <row r="4288">
      <c r="A4288" s="15">
        <f>IFERROR(__xludf.DUMMYFUNCTION("""COMPUTED_VALUE"""),45125.0)</f>
        <v>45125</v>
      </c>
      <c r="B4288" s="16" t="str">
        <f>IFERROR(__xludf.DUMMYFUNCTION("""COMPUTED_VALUE"""),"Johan Alexander Escobar Arroyo ")</f>
        <v>Johan Alexander Escobar Arroyo </v>
      </c>
      <c r="C4288" s="15" t="str">
        <f>IFERROR(__xludf.DUMMYFUNCTION("""COMPUTED_VALUE"""),"IBAGUÉ")</f>
        <v>IBAGUÉ</v>
      </c>
      <c r="D4288" s="15" t="str">
        <f>IFERROR(__xludf.DUMMYFUNCTION("""COMPUTED_VALUE"""),"MEDELLÍN")</f>
        <v>MEDELLÍN</v>
      </c>
      <c r="E4288" s="15" t="str">
        <f>IFERROR(__xludf.DUMMYFUNCTION("""COMPUTED_VALUE"""),"Baby Chef")</f>
        <v>Baby Chef</v>
      </c>
      <c r="F4288" s="17" t="str">
        <f>IFERROR(__xludf.DUMMYFUNCTION("""COMPUTED_VALUE"""),"cr 7B # 30-73 barrio carmenza Rocha cerca del edificio M30 / cr 7B # 30-73 barrio carmenza Rocha cerca del edificio M30 / cr 7B # 30-73 barrio carmenza Rocha cerca del edificio M30")</f>
        <v>cr 7B # 30-73 barrio carmenza Rocha cerca del edificio M30 / cr 7B # 30-73 barrio carmenza Rocha cerca del edificio M30 / cr 7B # 30-73 barrio carmenza Rocha cerca del edificio M30</v>
      </c>
      <c r="G4288" s="15" t="str">
        <f>IFERROR(__xludf.DUMMYFUNCTION("""COMPUTED_VALUE"""),"Andrea Riaño")</f>
        <v>Andrea Riaño</v>
      </c>
      <c r="H4288" s="16">
        <f>IFERROR(__xludf.DUMMYFUNCTION("""COMPUTED_VALUE"""),12999.0)</f>
        <v>12999</v>
      </c>
      <c r="I4288" s="18">
        <f>IFERROR(__xludf.DUMMYFUNCTION("""COMPUTED_VALUE"""),8.0)</f>
        <v>8</v>
      </c>
      <c r="J4288" s="18">
        <f>IFERROR(__xludf.DUMMYFUNCTION("""COMPUTED_VALUE"""),23.0)</f>
        <v>23</v>
      </c>
      <c r="K4288" s="18">
        <f>IFERROR(__xludf.DUMMYFUNCTION("""COMPUTED_VALUE"""),34.0)</f>
        <v>34</v>
      </c>
      <c r="L4288" s="17">
        <f>IFERROR(__xludf.DUMMYFUNCTION("""COMPUTED_VALUE"""),3.242531863E9)</f>
        <v>3242531863</v>
      </c>
      <c r="M4288" s="17" t="str">
        <f>IFERROR(__xludf.DUMMYFUNCTION("""COMPUTED_VALUE"""),"#REF!")</f>
        <v>#REF!</v>
      </c>
      <c r="N4288" s="17"/>
      <c r="O4288" s="17"/>
      <c r="P4288" s="17" t="b">
        <f>IFERROR(__xludf.DUMMYFUNCTION("""COMPUTED_VALUE"""),FALSE)</f>
        <v>0</v>
      </c>
      <c r="Q4288" s="20" t="str">
        <f>IFERROR(__xludf.DUMMYFUNCTION("""COMPUTED_VALUE"""),"")</f>
        <v/>
      </c>
      <c r="R4288" s="22" t="str">
        <f>IFERROR(__xludf.DUMMYFUNCTION("""COMPUTED_VALUE"""),"")</f>
        <v/>
      </c>
    </row>
    <row r="4289">
      <c r="A4289" s="17" t="str">
        <f>IFERROR(__xludf.DUMMYFUNCTION("""COMPUTED_VALUE"""),"")</f>
        <v/>
      </c>
      <c r="B4289" s="17" t="str">
        <f>IFERROR(__xludf.DUMMYFUNCTION("""COMPUTED_VALUE"""),"")</f>
        <v/>
      </c>
      <c r="C4289" s="17" t="str">
        <f>IFERROR(__xludf.DUMMYFUNCTION("""COMPUTED_VALUE"""),"")</f>
        <v/>
      </c>
      <c r="D4289" s="17" t="str">
        <f>IFERROR(__xludf.DUMMYFUNCTION("""COMPUTED_VALUE"""),"")</f>
        <v/>
      </c>
      <c r="E4289" s="17" t="str">
        <f>IFERROR(__xludf.DUMMYFUNCTION("""COMPUTED_VALUE"""),"")</f>
        <v/>
      </c>
      <c r="F4289" s="17" t="str">
        <f>IFERROR(__xludf.DUMMYFUNCTION("""COMPUTED_VALUE"""),"")</f>
        <v/>
      </c>
      <c r="G4289" s="17" t="str">
        <f>IFERROR(__xludf.DUMMYFUNCTION("""COMPUTED_VALUE"""),"")</f>
        <v/>
      </c>
      <c r="H4289" s="17" t="str">
        <f>IFERROR(__xludf.DUMMYFUNCTION("""COMPUTED_VALUE"""),"")</f>
        <v/>
      </c>
      <c r="I4289" s="17" t="str">
        <f>IFERROR(__xludf.DUMMYFUNCTION("""COMPUTED_VALUE"""),"")</f>
        <v/>
      </c>
      <c r="J4289" s="17" t="str">
        <f>IFERROR(__xludf.DUMMYFUNCTION("""COMPUTED_VALUE"""),"")</f>
        <v/>
      </c>
      <c r="K4289" s="17" t="str">
        <f>IFERROR(__xludf.DUMMYFUNCTION("""COMPUTED_VALUE"""),"")</f>
        <v/>
      </c>
      <c r="L4289" s="17" t="str">
        <f>IFERROR(__xludf.DUMMYFUNCTION("""COMPUTED_VALUE"""),"")</f>
        <v/>
      </c>
      <c r="M4289" s="17" t="str">
        <f>IFERROR(__xludf.DUMMYFUNCTION("""COMPUTED_VALUE"""),"")</f>
        <v/>
      </c>
      <c r="N4289" s="17" t="str">
        <f>IFERROR(__xludf.DUMMYFUNCTION("""COMPUTED_VALUE"""),"")</f>
        <v/>
      </c>
      <c r="O4289" s="17" t="str">
        <f>IFERROR(__xludf.DUMMYFUNCTION("""COMPUTED_VALUE"""),"")</f>
        <v/>
      </c>
      <c r="P4289" s="17" t="str">
        <f>IFERROR(__xludf.DUMMYFUNCTION("""COMPUTED_VALUE"""),"")</f>
        <v/>
      </c>
      <c r="Q4289" s="17" t="str">
        <f>IFERROR(__xludf.DUMMYFUNCTION("""COMPUTED_VALUE"""),"")</f>
        <v/>
      </c>
      <c r="R4289" s="17" t="str">
        <f>IFERROR(__xludf.DUMMYFUNCTION("""COMPUTED_VALUE"""),"")</f>
        <v/>
      </c>
    </row>
    <row r="4290">
      <c r="A4290" s="15">
        <f>IFERROR(__xludf.DUMMYFUNCTION("""COMPUTED_VALUE"""),45125.0)</f>
        <v>45125</v>
      </c>
      <c r="B4290" s="16" t="str">
        <f>IFERROR(__xludf.DUMMYFUNCTION("""COMPUTED_VALUE"""),"Jonathan Steven Taborda")</f>
        <v>Jonathan Steven Taborda</v>
      </c>
      <c r="C4290" s="15" t="str">
        <f>IFERROR(__xludf.DUMMYFUNCTION("""COMPUTED_VALUE"""),"ARMENIA")</f>
        <v>ARMENIA</v>
      </c>
      <c r="D4290" s="15" t="str">
        <f>IFERROR(__xludf.DUMMYFUNCTION("""COMPUTED_VALUE"""),"BOGOTÁ")</f>
        <v>BOGOTÁ</v>
      </c>
      <c r="E4290" s="15" t="str">
        <f>IFERROR(__xludf.DUMMYFUNCTION("""COMPUTED_VALUE"""),"Lunchy Kids")</f>
        <v>Lunchy Kids</v>
      </c>
      <c r="F4290" s="17" t="str">
        <f>IFERROR(__xludf.DUMMYFUNCTION("""COMPUTED_VALUE"""),"Carrera 14 No. 25 Norte-20  / Edificio Calarcá, Apartamento 201,   / Barrio: Octava Brigada")</f>
        <v>Carrera 14 No. 25 Norte-20  / Edificio Calarcá, Apartamento 201,   / Barrio: Octava Brigada</v>
      </c>
      <c r="G4290" s="15" t="str">
        <f>IFERROR(__xludf.DUMMYFUNCTION("""COMPUTED_VALUE"""),"Gloria Trujillo")</f>
        <v>Gloria Trujillo</v>
      </c>
      <c r="H4290" s="16">
        <f>IFERROR(__xludf.DUMMYFUNCTION("""COMPUTED_VALUE"""),12955.0)</f>
        <v>12955</v>
      </c>
      <c r="I4290" s="18">
        <f>IFERROR(__xludf.DUMMYFUNCTION("""COMPUTED_VALUE"""),15.0)</f>
        <v>15</v>
      </c>
      <c r="J4290" s="18">
        <f>IFERROR(__xludf.DUMMYFUNCTION("""COMPUTED_VALUE"""),29.0)</f>
        <v>29</v>
      </c>
      <c r="K4290" s="18">
        <f>IFERROR(__xludf.DUMMYFUNCTION("""COMPUTED_VALUE"""),5.0)</f>
        <v>5</v>
      </c>
      <c r="L4290" s="17">
        <f>IFERROR(__xludf.DUMMYFUNCTION("""COMPUTED_VALUE"""),3.125261598E9)</f>
        <v>3125261598</v>
      </c>
      <c r="M4290" s="17" t="str">
        <f>IFERROR(__xludf.DUMMYFUNCTION("""COMPUTED_VALUE"""),"#REF!")</f>
        <v>#REF!</v>
      </c>
      <c r="N4290" s="17"/>
      <c r="O4290" s="17"/>
      <c r="P4290" s="17" t="b">
        <f>IFERROR(__xludf.DUMMYFUNCTION("""COMPUTED_VALUE"""),FALSE)</f>
        <v>0</v>
      </c>
      <c r="Q4290" s="20" t="str">
        <f>IFERROR(__xludf.DUMMYFUNCTION("""COMPUTED_VALUE"""),"")</f>
        <v/>
      </c>
      <c r="R4290" s="22" t="str">
        <f>IFERROR(__xludf.DUMMYFUNCTION("""COMPUTED_VALUE"""),"")</f>
        <v/>
      </c>
    </row>
    <row r="4291">
      <c r="A4291" s="15">
        <f>IFERROR(__xludf.DUMMYFUNCTION("""COMPUTED_VALUE"""),45125.0)</f>
        <v>45125</v>
      </c>
      <c r="B4291" s="16" t="str">
        <f>IFERROR(__xludf.DUMMYFUNCTION("""COMPUTED_VALUE"""),"Jonathan Steven Taborda")</f>
        <v>Jonathan Steven Taborda</v>
      </c>
      <c r="C4291" s="15" t="str">
        <f>IFERROR(__xludf.DUMMYFUNCTION("""COMPUTED_VALUE"""),"ARMENIA")</f>
        <v>ARMENIA</v>
      </c>
      <c r="D4291" s="15" t="str">
        <f>IFERROR(__xludf.DUMMYFUNCTION("""COMPUTED_VALUE"""),"BOGOTÁ")</f>
        <v>BOGOTÁ</v>
      </c>
      <c r="E4291" s="15" t="str">
        <f>IFERROR(__xludf.DUMMYFUNCTION("""COMPUTED_VALUE"""),"Top Spun")</f>
        <v>Top Spun</v>
      </c>
      <c r="F4291" s="17" t="str">
        <f>IFERROR(__xludf.DUMMYFUNCTION("""COMPUTED_VALUE"""),"PRIVILEGIO MALL / LOCAL 7 FRENTE A LA OCTAVA BRIGADA / ARMENIA")</f>
        <v>PRIVILEGIO MALL / LOCAL 7 FRENTE A LA OCTAVA BRIGADA / ARMENIA</v>
      </c>
      <c r="G4291" s="15" t="str">
        <f>IFERROR(__xludf.DUMMYFUNCTION("""COMPUTED_VALUE"""),"ESTEFANíA CAñON ARENAS")</f>
        <v>ESTEFANíA CAñON ARENAS</v>
      </c>
      <c r="H4291" s="16">
        <f>IFERROR(__xludf.DUMMYFUNCTION("""COMPUTED_VALUE"""),12925.0)</f>
        <v>12925</v>
      </c>
      <c r="I4291" s="18">
        <f>IFERROR(__xludf.DUMMYFUNCTION("""COMPUTED_VALUE"""),20.0)</f>
        <v>20</v>
      </c>
      <c r="J4291" s="18">
        <f>IFERROR(__xludf.DUMMYFUNCTION("""COMPUTED_VALUE"""),10.0)</f>
        <v>10</v>
      </c>
      <c r="K4291" s="18">
        <f>IFERROR(__xludf.DUMMYFUNCTION("""COMPUTED_VALUE"""),40.0)</f>
        <v>40</v>
      </c>
      <c r="L4291" s="17">
        <f>IFERROR(__xludf.DUMMYFUNCTION("""COMPUTED_VALUE"""),3.113745588E9)</f>
        <v>3113745588</v>
      </c>
      <c r="M4291" s="17" t="str">
        <f>IFERROR(__xludf.DUMMYFUNCTION("""COMPUTED_VALUE"""),"#REF!")</f>
        <v>#REF!</v>
      </c>
      <c r="N4291" s="17"/>
      <c r="O4291" s="17"/>
      <c r="P4291" s="17" t="b">
        <f>IFERROR(__xludf.DUMMYFUNCTION("""COMPUTED_VALUE"""),FALSE)</f>
        <v>0</v>
      </c>
      <c r="Q4291" s="20" t="str">
        <f>IFERROR(__xludf.DUMMYFUNCTION("""COMPUTED_VALUE"""),"")</f>
        <v/>
      </c>
      <c r="R4291" s="22" t="str">
        <f>IFERROR(__xludf.DUMMYFUNCTION("""COMPUTED_VALUE"""),"")</f>
        <v/>
      </c>
    </row>
    <row r="4292">
      <c r="A4292" s="15">
        <f>IFERROR(__xludf.DUMMYFUNCTION("""COMPUTED_VALUE"""),45125.0)</f>
        <v>45125</v>
      </c>
      <c r="B4292" s="16" t="str">
        <f>IFERROR(__xludf.DUMMYFUNCTION("""COMPUTED_VALUE"""),"Jonathan Steven Taborda")</f>
        <v>Jonathan Steven Taborda</v>
      </c>
      <c r="C4292" s="15" t="str">
        <f>IFERROR(__xludf.DUMMYFUNCTION("""COMPUTED_VALUE"""),"ARMENIA")</f>
        <v>ARMENIA</v>
      </c>
      <c r="D4292" s="15" t="str">
        <f>IFERROR(__xludf.DUMMYFUNCTION("""COMPUTED_VALUE"""),"MEDELLÍN")</f>
        <v>MEDELLÍN</v>
      </c>
      <c r="E4292" s="15" t="str">
        <f>IFERROR(__xludf.DUMMYFUNCTION("""COMPUTED_VALUE"""),"Todo Bufala")</f>
        <v>Todo Bufala</v>
      </c>
      <c r="F4292" s="17" t="str">
        <f>IFERROR(__xludf.DUMMYFUNCTION("""COMPUTED_VALUE"""),"Cra 19 #32N - 11 / Bosques de Viena 1 casa 50")</f>
        <v>Cra 19 #32N - 11 / Bosques de Viena 1 casa 50</v>
      </c>
      <c r="G4292" s="15" t="str">
        <f>IFERROR(__xludf.DUMMYFUNCTION("""COMPUTED_VALUE"""),"Jaime Andres Yara Chaves")</f>
        <v>Jaime Andres Yara Chaves</v>
      </c>
      <c r="H4292" s="16">
        <f>IFERROR(__xludf.DUMMYFUNCTION("""COMPUTED_VALUE"""),12944.0)</f>
        <v>12944</v>
      </c>
      <c r="I4292" s="18">
        <f>IFERROR(__xludf.DUMMYFUNCTION("""COMPUTED_VALUE"""),20.0)</f>
        <v>20</v>
      </c>
      <c r="J4292" s="18">
        <f>IFERROR(__xludf.DUMMYFUNCTION("""COMPUTED_VALUE"""),15.0)</f>
        <v>15</v>
      </c>
      <c r="K4292" s="18">
        <f>IFERROR(__xludf.DUMMYFUNCTION("""COMPUTED_VALUE"""),20.0)</f>
        <v>20</v>
      </c>
      <c r="L4292" s="17">
        <f>IFERROR(__xludf.DUMMYFUNCTION("""COMPUTED_VALUE"""),3.102807868E9)</f>
        <v>3102807868</v>
      </c>
      <c r="M4292" s="17" t="str">
        <f>IFERROR(__xludf.DUMMYFUNCTION("""COMPUTED_VALUE"""),"#REF!")</f>
        <v>#REF!</v>
      </c>
      <c r="N4292" s="17"/>
      <c r="O4292" s="17"/>
      <c r="P4292" s="17" t="b">
        <f>IFERROR(__xludf.DUMMYFUNCTION("""COMPUTED_VALUE"""),FALSE)</f>
        <v>0</v>
      </c>
      <c r="Q4292" s="20" t="str">
        <f>IFERROR(__xludf.DUMMYFUNCTION("""COMPUTED_VALUE"""),"")</f>
        <v/>
      </c>
      <c r="R4292" s="22" t="str">
        <f>IFERROR(__xludf.DUMMYFUNCTION("""COMPUTED_VALUE"""),"")</f>
        <v/>
      </c>
    </row>
    <row r="4293">
      <c r="A4293" s="15">
        <f>IFERROR(__xludf.DUMMYFUNCTION("""COMPUTED_VALUE"""),45125.0)</f>
        <v>45125</v>
      </c>
      <c r="B4293" s="16" t="str">
        <f>IFERROR(__xludf.DUMMYFUNCTION("""COMPUTED_VALUE"""),"Jonathan Steven Taborda")</f>
        <v>Jonathan Steven Taborda</v>
      </c>
      <c r="C4293" s="15" t="str">
        <f>IFERROR(__xludf.DUMMYFUNCTION("""COMPUTED_VALUE"""),"BOGOTÁ")</f>
        <v>BOGOTÁ</v>
      </c>
      <c r="D4293" s="15" t="str">
        <f>IFERROR(__xludf.DUMMYFUNCTION("""COMPUTED_VALUE"""),"MEDELLÍN")</f>
        <v>MEDELLÍN</v>
      </c>
      <c r="E4293" s="15" t="str">
        <f>IFERROR(__xludf.DUMMYFUNCTION("""COMPUTED_VALUE"""),"Panki Waffle")</f>
        <v>Panki Waffle</v>
      </c>
      <c r="F4293" s="17" t="str">
        <f>IFERROR(__xludf.DUMMYFUNCTION("""COMPUTED_VALUE"""),"Cll 106 # 7 A 19 / Brigada XIII casa 696 / Santa Anta")</f>
        <v>Cll 106 # 7 A 19 / Brigada XIII casa 696 / Santa Anta</v>
      </c>
      <c r="G4293" s="15" t="str">
        <f>IFERROR(__xludf.DUMMYFUNCTION("""COMPUTED_VALUE"""),"Natalia Chaves Cantor")</f>
        <v>Natalia Chaves Cantor</v>
      </c>
      <c r="H4293" s="16">
        <f>IFERROR(__xludf.DUMMYFUNCTION("""COMPUTED_VALUE"""),13022.0)</f>
        <v>13022</v>
      </c>
      <c r="I4293" s="18">
        <f>IFERROR(__xludf.DUMMYFUNCTION("""COMPUTED_VALUE"""),45062.0)</f>
        <v>45062</v>
      </c>
      <c r="J4293" s="18">
        <f>IFERROR(__xludf.DUMMYFUNCTION("""COMPUTED_VALUE"""),14.0)</f>
        <v>14</v>
      </c>
      <c r="K4293" s="18">
        <f>IFERROR(__xludf.DUMMYFUNCTION("""COMPUTED_VALUE"""),22.0)</f>
        <v>22</v>
      </c>
      <c r="L4293" s="17">
        <f>IFERROR(__xludf.DUMMYFUNCTION("""COMPUTED_VALUE"""),3.125403446E9)</f>
        <v>3125403446</v>
      </c>
      <c r="M4293" s="17" t="str">
        <f>IFERROR(__xludf.DUMMYFUNCTION("""COMPUTED_VALUE"""),"#REF!")</f>
        <v>#REF!</v>
      </c>
      <c r="N4293" s="17"/>
      <c r="O4293" s="17"/>
      <c r="P4293" s="17" t="b">
        <f>IFERROR(__xludf.DUMMYFUNCTION("""COMPUTED_VALUE"""),FALSE)</f>
        <v>0</v>
      </c>
      <c r="Q4293" s="20" t="str">
        <f>IFERROR(__xludf.DUMMYFUNCTION("""COMPUTED_VALUE"""),"")</f>
        <v/>
      </c>
      <c r="R4293" s="21" t="str">
        <f>IFERROR(__xludf.DUMMYFUNCTION("""COMPUTED_VALUE"""),"https://drive.google.com/file/d/1qPpd458KjeLOV-qQrDmWXlQJGkk8u0hY/view?usp=drivesdk")</f>
        <v>https://drive.google.com/file/d/1qPpd458KjeLOV-qQrDmWXlQJGkk8u0hY/view?usp=drivesdk</v>
      </c>
    </row>
    <row r="4294">
      <c r="A4294" s="15">
        <f>IFERROR(__xludf.DUMMYFUNCTION("""COMPUTED_VALUE"""),45125.0)</f>
        <v>45125</v>
      </c>
      <c r="B4294" s="16" t="str">
        <f>IFERROR(__xludf.DUMMYFUNCTION("""COMPUTED_VALUE"""),"Jonathan Steven Taborda")</f>
        <v>Jonathan Steven Taborda</v>
      </c>
      <c r="C4294" s="15" t="str">
        <f>IFERROR(__xludf.DUMMYFUNCTION("""COMPUTED_VALUE"""),"BOGOTÁ")</f>
        <v>BOGOTÁ</v>
      </c>
      <c r="D4294" s="15" t="str">
        <f>IFERROR(__xludf.DUMMYFUNCTION("""COMPUTED_VALUE"""),"MEDELLÍN")</f>
        <v>MEDELLÍN</v>
      </c>
      <c r="E4294" s="15" t="str">
        <f>IFERROR(__xludf.DUMMYFUNCTION("""COMPUTED_VALUE"""),"Puro Verde")</f>
        <v>Puro Verde</v>
      </c>
      <c r="F4294" s="17" t="str">
        <f>IFERROR(__xludf.DUMMYFUNCTION("""COMPUTED_VALUE"""),"CRA 16A # 77-23 / LOCAL 4 / BARRIO EL LAGO")</f>
        <v>CRA 16A # 77-23 / LOCAL 4 / BARRIO EL LAGO</v>
      </c>
      <c r="G4294" s="15" t="str">
        <f>IFERROR(__xludf.DUMMYFUNCTION("""COMPUTED_VALUE"""),"DANDO CUERDA")</f>
        <v>DANDO CUERDA</v>
      </c>
      <c r="H4294" s="16">
        <f>IFERROR(__xludf.DUMMYFUNCTION("""COMPUTED_VALUE"""),12918.0)</f>
        <v>12918</v>
      </c>
      <c r="I4294" s="18">
        <f>IFERROR(__xludf.DUMMYFUNCTION("""COMPUTED_VALUE"""),67.0)</f>
        <v>67</v>
      </c>
      <c r="J4294" s="18">
        <f>IFERROR(__xludf.DUMMYFUNCTION("""COMPUTED_VALUE"""),65.0)</f>
        <v>65</v>
      </c>
      <c r="K4294" s="18">
        <f>IFERROR(__xludf.DUMMYFUNCTION("""COMPUTED_VALUE"""),55.0)</f>
        <v>55</v>
      </c>
      <c r="L4294" s="17">
        <f>IFERROR(__xludf.DUMMYFUNCTION("""COMPUTED_VALUE"""),3.163816691E9)</f>
        <v>3163816691</v>
      </c>
      <c r="M4294" s="17" t="str">
        <f>IFERROR(__xludf.DUMMYFUNCTION("""COMPUTED_VALUE"""),"#REF!")</f>
        <v>#REF!</v>
      </c>
      <c r="N4294" s="17"/>
      <c r="O4294" s="17"/>
      <c r="P4294" s="17" t="b">
        <f>IFERROR(__xludf.DUMMYFUNCTION("""COMPUTED_VALUE"""),FALSE)</f>
        <v>0</v>
      </c>
      <c r="Q4294" s="20" t="str">
        <f>IFERROR(__xludf.DUMMYFUNCTION("""COMPUTED_VALUE"""),"")</f>
        <v/>
      </c>
      <c r="R4294" s="22" t="str">
        <f>IFERROR(__xludf.DUMMYFUNCTION("""COMPUTED_VALUE"""),"")</f>
        <v/>
      </c>
    </row>
    <row r="4295">
      <c r="A4295" s="17" t="str">
        <f>IFERROR(__xludf.DUMMYFUNCTION("""COMPUTED_VALUE"""),"")</f>
        <v/>
      </c>
      <c r="B4295" s="17" t="str">
        <f>IFERROR(__xludf.DUMMYFUNCTION("""COMPUTED_VALUE"""),"")</f>
        <v/>
      </c>
      <c r="C4295" s="17" t="str">
        <f>IFERROR(__xludf.DUMMYFUNCTION("""COMPUTED_VALUE"""),"")</f>
        <v/>
      </c>
      <c r="D4295" s="17" t="str">
        <f>IFERROR(__xludf.DUMMYFUNCTION("""COMPUTED_VALUE"""),"")</f>
        <v/>
      </c>
      <c r="E4295" s="17" t="str">
        <f>IFERROR(__xludf.DUMMYFUNCTION("""COMPUTED_VALUE"""),"")</f>
        <v/>
      </c>
      <c r="F4295" s="17" t="str">
        <f>IFERROR(__xludf.DUMMYFUNCTION("""COMPUTED_VALUE"""),"")</f>
        <v/>
      </c>
      <c r="G4295" s="17" t="str">
        <f>IFERROR(__xludf.DUMMYFUNCTION("""COMPUTED_VALUE"""),"")</f>
        <v/>
      </c>
      <c r="H4295" s="17" t="str">
        <f>IFERROR(__xludf.DUMMYFUNCTION("""COMPUTED_VALUE"""),"")</f>
        <v/>
      </c>
      <c r="I4295" s="17" t="str">
        <f>IFERROR(__xludf.DUMMYFUNCTION("""COMPUTED_VALUE"""),"")</f>
        <v/>
      </c>
      <c r="J4295" s="17" t="str">
        <f>IFERROR(__xludf.DUMMYFUNCTION("""COMPUTED_VALUE"""),"")</f>
        <v/>
      </c>
      <c r="K4295" s="17" t="str">
        <f>IFERROR(__xludf.DUMMYFUNCTION("""COMPUTED_VALUE"""),"")</f>
        <v/>
      </c>
      <c r="L4295" s="17" t="str">
        <f>IFERROR(__xludf.DUMMYFUNCTION("""COMPUTED_VALUE"""),"")</f>
        <v/>
      </c>
      <c r="M4295" s="17" t="str">
        <f>IFERROR(__xludf.DUMMYFUNCTION("""COMPUTED_VALUE"""),"")</f>
        <v/>
      </c>
      <c r="N4295" s="17" t="str">
        <f>IFERROR(__xludf.DUMMYFUNCTION("""COMPUTED_VALUE"""),"")</f>
        <v/>
      </c>
      <c r="O4295" s="17" t="str">
        <f>IFERROR(__xludf.DUMMYFUNCTION("""COMPUTED_VALUE"""),"")</f>
        <v/>
      </c>
      <c r="P4295" s="17" t="str">
        <f>IFERROR(__xludf.DUMMYFUNCTION("""COMPUTED_VALUE"""),"")</f>
        <v/>
      </c>
      <c r="Q4295" s="17" t="str">
        <f>IFERROR(__xludf.DUMMYFUNCTION("""COMPUTED_VALUE"""),"")</f>
        <v/>
      </c>
      <c r="R4295" s="17" t="str">
        <f>IFERROR(__xludf.DUMMYFUNCTION("""COMPUTED_VALUE"""),"")</f>
        <v/>
      </c>
    </row>
    <row r="4296">
      <c r="A4296" s="15">
        <f>IFERROR(__xludf.DUMMYFUNCTION("""COMPUTED_VALUE"""),45125.0)</f>
        <v>45125</v>
      </c>
      <c r="B4296" s="16" t="str">
        <f>IFERROR(__xludf.DUMMYFUNCTION("""COMPUTED_VALUE"""),"José Miguel Bonilla")</f>
        <v>José Miguel Bonilla</v>
      </c>
      <c r="C4296" s="15" t="str">
        <f>IFERROR(__xludf.DUMMYFUNCTION("""COMPUTED_VALUE"""),"BUCARAMANGA")</f>
        <v>BUCARAMANGA</v>
      </c>
      <c r="D4296" s="15" t="str">
        <f>IFERROR(__xludf.DUMMYFUNCTION("""COMPUTED_VALUE"""),"BOGOTÁ")</f>
        <v>BOGOTÁ</v>
      </c>
      <c r="E4296" s="15" t="str">
        <f>IFERROR(__xludf.DUMMYFUNCTION("""COMPUTED_VALUE"""),"Ins. Alimento Vital")</f>
        <v>Ins. Alimento Vital</v>
      </c>
      <c r="F4296" s="17" t="str">
        <f>IFERROR(__xludf.DUMMYFUNCTION("""COMPUTED_VALUE"""),"CR 23 31 63 / EDIFICIO MILANO XXIII, APTO 1206 / EDIFICIO MILANO")</f>
        <v>CR 23 31 63 / EDIFICIO MILANO XXIII, APTO 1206 / EDIFICIO MILANO</v>
      </c>
      <c r="G4296" s="15" t="str">
        <f>IFERROR(__xludf.DUMMYFUNCTION("""COMPUTED_VALUE"""),"DIEGO MAURICIO RODRIGUEZ BELTRAN")</f>
        <v>DIEGO MAURICIO RODRIGUEZ BELTRAN</v>
      </c>
      <c r="H4296" s="16">
        <f>IFERROR(__xludf.DUMMYFUNCTION("""COMPUTED_VALUE"""),12952.0)</f>
        <v>12952</v>
      </c>
      <c r="I4296" s="18">
        <f>IFERROR(__xludf.DUMMYFUNCTION("""COMPUTED_VALUE"""),1.0)</f>
        <v>1</v>
      </c>
      <c r="J4296" s="18">
        <f>IFERROR(__xludf.DUMMYFUNCTION("""COMPUTED_VALUE"""),1.0)</f>
        <v>1</v>
      </c>
      <c r="K4296" s="18">
        <f>IFERROR(__xludf.DUMMYFUNCTION("""COMPUTED_VALUE"""),1.0)</f>
        <v>1</v>
      </c>
      <c r="L4296" s="17">
        <f>IFERROR(__xludf.DUMMYFUNCTION("""COMPUTED_VALUE"""),3.178064951E9)</f>
        <v>3178064951</v>
      </c>
      <c r="M4296" s="17" t="str">
        <f>IFERROR(__xludf.DUMMYFUNCTION("""COMPUTED_VALUE"""),"#REF!")</f>
        <v>#REF!</v>
      </c>
      <c r="N4296" s="17"/>
      <c r="O4296" s="17"/>
      <c r="P4296" s="17" t="b">
        <f>IFERROR(__xludf.DUMMYFUNCTION("""COMPUTED_VALUE"""),FALSE)</f>
        <v>0</v>
      </c>
      <c r="Q4296" s="20" t="str">
        <f>IFERROR(__xludf.DUMMYFUNCTION("""COMPUTED_VALUE"""),"")</f>
        <v/>
      </c>
      <c r="R4296" s="21" t="str">
        <f>IFERROR(__xludf.DUMMYFUNCTION("""COMPUTED_VALUE"""),"https://drive.google.com/file/d/1M9OllWf1BwGjX7GTXLc8ta2F-wVHr_NX/view?usp=drivesdk")</f>
        <v>https://drive.google.com/file/d/1M9OllWf1BwGjX7GTXLc8ta2F-wVHr_NX/view?usp=drivesdk</v>
      </c>
    </row>
    <row r="4297">
      <c r="A4297" s="15">
        <f>IFERROR(__xludf.DUMMYFUNCTION("""COMPUTED_VALUE"""),45125.0)</f>
        <v>45125</v>
      </c>
      <c r="B4297" s="16" t="str">
        <f>IFERROR(__xludf.DUMMYFUNCTION("""COMPUTED_VALUE"""),"José Miguel Bonilla")</f>
        <v>José Miguel Bonilla</v>
      </c>
      <c r="C4297" s="15" t="str">
        <f>IFERROR(__xludf.DUMMYFUNCTION("""COMPUTED_VALUE"""),"BUCARAMANGA")</f>
        <v>BUCARAMANGA</v>
      </c>
      <c r="D4297" s="15" t="str">
        <f>IFERROR(__xludf.DUMMYFUNCTION("""COMPUTED_VALUE"""),"BOGOTÁ")</f>
        <v>BOGOTÁ</v>
      </c>
      <c r="E4297" s="15" t="str">
        <f>IFERROR(__xludf.DUMMYFUNCTION("""COMPUTED_VALUE"""),"Lunchy Kids")</f>
        <v>Lunchy Kids</v>
      </c>
      <c r="F4297" s="17" t="str">
        <f>IFERROR(__xludf.DUMMYFUNCTION("""COMPUTED_VALUE"""),"Transversal 29 # 104 - 100 / Asturias 2. Piso 2. / Bucaramanga")</f>
        <v>Transversal 29 # 104 - 100 / Asturias 2. Piso 2. / Bucaramanga</v>
      </c>
      <c r="G4297" s="15" t="str">
        <f>IFERROR(__xludf.DUMMYFUNCTION("""COMPUTED_VALUE"""),"Andres Felipe Mantilla")</f>
        <v>Andres Felipe Mantilla</v>
      </c>
      <c r="H4297" s="16">
        <f>IFERROR(__xludf.DUMMYFUNCTION("""COMPUTED_VALUE"""),12940.0)</f>
        <v>12940</v>
      </c>
      <c r="I4297" s="18">
        <f>IFERROR(__xludf.DUMMYFUNCTION("""COMPUTED_VALUE"""),15.0)</f>
        <v>15</v>
      </c>
      <c r="J4297" s="18">
        <f>IFERROR(__xludf.DUMMYFUNCTION("""COMPUTED_VALUE"""),20.0)</f>
        <v>20</v>
      </c>
      <c r="K4297" s="18">
        <f>IFERROR(__xludf.DUMMYFUNCTION("""COMPUTED_VALUE"""),5.0)</f>
        <v>5</v>
      </c>
      <c r="L4297" s="17">
        <f>IFERROR(__xludf.DUMMYFUNCTION("""COMPUTED_VALUE"""),3.112812774E9)</f>
        <v>3112812774</v>
      </c>
      <c r="M4297" s="17" t="str">
        <f>IFERROR(__xludf.DUMMYFUNCTION("""COMPUTED_VALUE"""),"#REF!")</f>
        <v>#REF!</v>
      </c>
      <c r="N4297" s="17"/>
      <c r="O4297" s="17"/>
      <c r="P4297" s="17" t="b">
        <f>IFERROR(__xludf.DUMMYFUNCTION("""COMPUTED_VALUE"""),FALSE)</f>
        <v>0</v>
      </c>
      <c r="Q4297" s="20" t="str">
        <f>IFERROR(__xludf.DUMMYFUNCTION("""COMPUTED_VALUE"""),"")</f>
        <v/>
      </c>
      <c r="R4297" s="21" t="str">
        <f>IFERROR(__xludf.DUMMYFUNCTION("""COMPUTED_VALUE"""),"https://drive.google.com/file/d/16Qr5e-YVmv4jaymXoPpv5bQ7qlA-zl8Y/view?usp=drivesdk")</f>
        <v>https://drive.google.com/file/d/16Qr5e-YVmv4jaymXoPpv5bQ7qlA-zl8Y/view?usp=drivesdk</v>
      </c>
    </row>
    <row r="4298">
      <c r="A4298" s="15">
        <f>IFERROR(__xludf.DUMMYFUNCTION("""COMPUTED_VALUE"""),45125.0)</f>
        <v>45125</v>
      </c>
      <c r="B4298" s="16" t="str">
        <f>IFERROR(__xludf.DUMMYFUNCTION("""COMPUTED_VALUE"""),"José Miguel Bonilla")</f>
        <v>José Miguel Bonilla</v>
      </c>
      <c r="C4298" s="15" t="str">
        <f>IFERROR(__xludf.DUMMYFUNCTION("""COMPUTED_VALUE"""),"BUCARAMANGA")</f>
        <v>BUCARAMANGA</v>
      </c>
      <c r="D4298" s="15" t="str">
        <f>IFERROR(__xludf.DUMMYFUNCTION("""COMPUTED_VALUE"""),"MEDELLÍN")</f>
        <v>MEDELLÍN</v>
      </c>
      <c r="E4298" s="15" t="str">
        <f>IFERROR(__xludf.DUMMYFUNCTION("""COMPUTED_VALUE"""),"Baby Chef")</f>
        <v>Baby Chef</v>
      </c>
      <c r="F4298" s="17" t="str">
        <f>IFERROR(__xludf.DUMMYFUNCTION("""COMPUTED_VALUE"""),"Calle 100 # 18-117 Barrio Fontana / Calle 100 # 18-117 Barrio Fontana / Calle 100 # 18-117 Barrio Fontana")</f>
        <v>Calle 100 # 18-117 Barrio Fontana / Calle 100 # 18-117 Barrio Fontana / Calle 100 # 18-117 Barrio Fontana</v>
      </c>
      <c r="G4298" s="15" t="str">
        <f>IFERROR(__xludf.DUMMYFUNCTION("""COMPUTED_VALUE"""),"Laura Patricia Guerrero Ramirez")</f>
        <v>Laura Patricia Guerrero Ramirez</v>
      </c>
      <c r="H4298" s="16">
        <f>IFERROR(__xludf.DUMMYFUNCTION("""COMPUTED_VALUE"""),13005.0)</f>
        <v>13005</v>
      </c>
      <c r="I4298" s="18">
        <f>IFERROR(__xludf.DUMMYFUNCTION("""COMPUTED_VALUE"""),7.0)</f>
        <v>7</v>
      </c>
      <c r="J4298" s="18">
        <f>IFERROR(__xludf.DUMMYFUNCTION("""COMPUTED_VALUE"""),22.0)</f>
        <v>22</v>
      </c>
      <c r="K4298" s="18">
        <f>IFERROR(__xludf.DUMMYFUNCTION("""COMPUTED_VALUE"""),35.0)</f>
        <v>35</v>
      </c>
      <c r="L4298" s="17">
        <f>IFERROR(__xludf.DUMMYFUNCTION("""COMPUTED_VALUE"""),3.134324746E9)</f>
        <v>3134324746</v>
      </c>
      <c r="M4298" s="17" t="str">
        <f>IFERROR(__xludf.DUMMYFUNCTION("""COMPUTED_VALUE"""),"#REF!")</f>
        <v>#REF!</v>
      </c>
      <c r="N4298" s="17"/>
      <c r="O4298" s="17"/>
      <c r="P4298" s="17" t="b">
        <f>IFERROR(__xludf.DUMMYFUNCTION("""COMPUTED_VALUE"""),FALSE)</f>
        <v>0</v>
      </c>
      <c r="Q4298" s="20" t="str">
        <f>IFERROR(__xludf.DUMMYFUNCTION("""COMPUTED_VALUE"""),"")</f>
        <v/>
      </c>
      <c r="R4298" s="21" t="str">
        <f>IFERROR(__xludf.DUMMYFUNCTION("""COMPUTED_VALUE"""),"https://drive.google.com/file/d/1Fuxibz1mzTI9NDOzPKlzRn4qTth9f0H9/view?usp=drivesdk")</f>
        <v>https://drive.google.com/file/d/1Fuxibz1mzTI9NDOzPKlzRn4qTth9f0H9/view?usp=drivesdk</v>
      </c>
    </row>
    <row r="4299">
      <c r="A4299" s="15">
        <f>IFERROR(__xludf.DUMMYFUNCTION("""COMPUTED_VALUE"""),45125.0)</f>
        <v>45125</v>
      </c>
      <c r="B4299" s="16" t="str">
        <f>IFERROR(__xludf.DUMMYFUNCTION("""COMPUTED_VALUE"""),"José Miguel Bonilla")</f>
        <v>José Miguel Bonilla</v>
      </c>
      <c r="C4299" s="15" t="str">
        <f>IFERROR(__xludf.DUMMYFUNCTION("""COMPUTED_VALUE"""),"BUCARAMANGA")</f>
        <v>BUCARAMANGA</v>
      </c>
      <c r="D4299" s="15" t="str">
        <f>IFERROR(__xludf.DUMMYFUNCTION("""COMPUTED_VALUE"""),"MEDELLÍN")</f>
        <v>MEDELLÍN</v>
      </c>
      <c r="E4299" s="15" t="str">
        <f>IFERROR(__xludf.DUMMYFUNCTION("""COMPUTED_VALUE"""),"Puro Verde")</f>
        <v>Puro Verde</v>
      </c>
      <c r="F4299" s="17" t="str">
        <f>IFERROR(__xludf.DUMMYFUNCTION("""COMPUTED_VALUE"""),"CALLE 51 # 23-95.  / APTO 405. EDIFICIO BONARDI.  / BARRIO NUEVOSOTOMAYOR")</f>
        <v>CALLE 51 # 23-95.  / APTO 405. EDIFICIO BONARDI.  / BARRIO NUEVOSOTOMAYOR</v>
      </c>
      <c r="G4299" s="15" t="str">
        <f>IFERROR(__xludf.DUMMYFUNCTION("""COMPUTED_VALUE"""),"SANDRA MILENA RESTREPO ACEVEDO")</f>
        <v>SANDRA MILENA RESTREPO ACEVEDO</v>
      </c>
      <c r="H4299" s="16">
        <f>IFERROR(__xludf.DUMMYFUNCTION("""COMPUTED_VALUE"""),13018.0)</f>
        <v>13018</v>
      </c>
      <c r="I4299" s="18">
        <f>IFERROR(__xludf.DUMMYFUNCTION("""COMPUTED_VALUE"""),45149.0)</f>
        <v>45149</v>
      </c>
      <c r="J4299" s="18">
        <f>IFERROR(__xludf.DUMMYFUNCTION("""COMPUTED_VALUE"""),45185.0)</f>
        <v>45185</v>
      </c>
      <c r="K4299" s="18" t="str">
        <f>IFERROR(__xludf.DUMMYFUNCTION("""COMPUTED_VALUE"""),"44.1")</f>
        <v>44.1</v>
      </c>
      <c r="L4299" s="17">
        <f>IFERROR(__xludf.DUMMYFUNCTION("""COMPUTED_VALUE"""),3.204491255E9)</f>
        <v>3204491255</v>
      </c>
      <c r="M4299" s="17" t="str">
        <f>IFERROR(__xludf.DUMMYFUNCTION("""COMPUTED_VALUE"""),"#REF!")</f>
        <v>#REF!</v>
      </c>
      <c r="N4299" s="17"/>
      <c r="O4299" s="17"/>
      <c r="P4299" s="17" t="b">
        <f>IFERROR(__xludf.DUMMYFUNCTION("""COMPUTED_VALUE"""),FALSE)</f>
        <v>0</v>
      </c>
      <c r="Q4299" s="20" t="str">
        <f>IFERROR(__xludf.DUMMYFUNCTION("""COMPUTED_VALUE"""),"")</f>
        <v/>
      </c>
      <c r="R4299" s="21" t="str">
        <f>IFERROR(__xludf.DUMMYFUNCTION("""COMPUTED_VALUE"""),"https://drive.google.com/file/d/1r5j9pxV9NU5x7WM_A4-xqDt6deosTNWU/view?usp=drivesdk")</f>
        <v>https://drive.google.com/file/d/1r5j9pxV9NU5x7WM_A4-xqDt6deosTNWU/view?usp=drivesdk</v>
      </c>
    </row>
    <row r="4300">
      <c r="A4300" s="15">
        <f>IFERROR(__xludf.DUMMYFUNCTION("""COMPUTED_VALUE"""),45125.0)</f>
        <v>45125</v>
      </c>
      <c r="B4300" s="16" t="str">
        <f>IFERROR(__xludf.DUMMYFUNCTION("""COMPUTED_VALUE"""),"José Miguel Bonilla")</f>
        <v>José Miguel Bonilla</v>
      </c>
      <c r="C4300" s="15" t="str">
        <f>IFERROR(__xludf.DUMMYFUNCTION("""COMPUTED_VALUE"""),"FLORIDABLANCA")</f>
        <v>FLORIDABLANCA</v>
      </c>
      <c r="D4300" s="15" t="str">
        <f>IFERROR(__xludf.DUMMYFUNCTION("""COMPUTED_VALUE"""),"BOGOTÁ")</f>
        <v>BOGOTÁ</v>
      </c>
      <c r="E4300" s="15" t="str">
        <f>IFERROR(__xludf.DUMMYFUNCTION("""COMPUTED_VALUE"""),"Asociacion Agropecuaria Juana Maria")</f>
        <v>Asociacion Agropecuaria Juana Maria</v>
      </c>
      <c r="F4300" s="17" t="str">
        <f>IFERROR(__xludf.DUMMYFUNCTION("""COMPUTED_VALUE"""),"Calle 19 #11-37 Guanatá FLORIDABLANCA")</f>
        <v>Calle 19 #11-37 Guanatá FLORIDABLANCA</v>
      </c>
      <c r="G4300" s="15" t="str">
        <f>IFERROR(__xludf.DUMMYFUNCTION("""COMPUTED_VALUE"""),"Claudia Gonzalez")</f>
        <v>Claudia Gonzalez</v>
      </c>
      <c r="H4300" s="16">
        <f>IFERROR(__xludf.DUMMYFUNCTION("""COMPUTED_VALUE"""),12932.0)</f>
        <v>12932</v>
      </c>
      <c r="I4300" s="18">
        <f>IFERROR(__xludf.DUMMYFUNCTION("""COMPUTED_VALUE"""),21.0)</f>
        <v>21</v>
      </c>
      <c r="J4300" s="18">
        <f>IFERROR(__xludf.DUMMYFUNCTION("""COMPUTED_VALUE"""),37.0)</f>
        <v>37</v>
      </c>
      <c r="K4300" s="18">
        <f>IFERROR(__xludf.DUMMYFUNCTION("""COMPUTED_VALUE"""),30.0)</f>
        <v>30</v>
      </c>
      <c r="L4300" s="17">
        <f>IFERROR(__xludf.DUMMYFUNCTION("""COMPUTED_VALUE"""),3.002802001E9)</f>
        <v>3002802001</v>
      </c>
      <c r="M4300" s="17" t="str">
        <f>IFERROR(__xludf.DUMMYFUNCTION("""COMPUTED_VALUE"""),"#REF!")</f>
        <v>#REF!</v>
      </c>
      <c r="N4300" s="17"/>
      <c r="O4300" s="17"/>
      <c r="P4300" s="17" t="b">
        <f>IFERROR(__xludf.DUMMYFUNCTION("""COMPUTED_VALUE"""),TRUE)</f>
        <v>1</v>
      </c>
      <c r="Q4300" s="20">
        <f>IFERROR(__xludf.DUMMYFUNCTION("""COMPUTED_VALUE"""),45125.542841331015)</f>
        <v>45125.54284</v>
      </c>
      <c r="R4300" s="21" t="str">
        <f>IFERROR(__xludf.DUMMYFUNCTION("""COMPUTED_VALUE"""),"https://drive.google.com/file/d/1NIooW3SArh59-Y3eFNrd8W0KPSI7_-RN/view?usp=drivesdk")</f>
        <v>https://drive.google.com/file/d/1NIooW3SArh59-Y3eFNrd8W0KPSI7_-RN/view?usp=drivesdk</v>
      </c>
    </row>
    <row r="4301">
      <c r="A4301" s="15">
        <f>IFERROR(__xludf.DUMMYFUNCTION("""COMPUTED_VALUE"""),45125.0)</f>
        <v>45125</v>
      </c>
      <c r="B4301" s="16" t="str">
        <f>IFERROR(__xludf.DUMMYFUNCTION("""COMPUTED_VALUE"""),"José Miguel Bonilla")</f>
        <v>José Miguel Bonilla</v>
      </c>
      <c r="C4301" s="15" t="str">
        <f>IFERROR(__xludf.DUMMYFUNCTION("""COMPUTED_VALUE"""),"FLORIDABLANCA")</f>
        <v>FLORIDABLANCA</v>
      </c>
      <c r="D4301" s="15" t="str">
        <f>IFERROR(__xludf.DUMMYFUNCTION("""COMPUTED_VALUE"""),"BOGOTÁ")</f>
        <v>BOGOTÁ</v>
      </c>
      <c r="E4301" s="15" t="str">
        <f>IFERROR(__xludf.DUMMYFUNCTION("""COMPUTED_VALUE"""),"Ins. Alimento Vital")</f>
        <v>Ins. Alimento Vital</v>
      </c>
      <c r="F4301" s="17" t="str">
        <f>IFERROR(__xludf.DUMMYFUNCTION("""COMPUTED_VALUE"""),"CL 200 13 200 / TR 2 AP 1504 ED PARK 200 / ED PARK 200")</f>
        <v>CL 200 13 200 / TR 2 AP 1504 ED PARK 200 / ED PARK 200</v>
      </c>
      <c r="G4301" s="15" t="str">
        <f>IFERROR(__xludf.DUMMYFUNCTION("""COMPUTED_VALUE"""),"VIVIANA CECILIA GUZMAN")</f>
        <v>VIVIANA CECILIA GUZMAN</v>
      </c>
      <c r="H4301" s="16">
        <f>IFERROR(__xludf.DUMMYFUNCTION("""COMPUTED_VALUE"""),12951.0)</f>
        <v>12951</v>
      </c>
      <c r="I4301" s="18">
        <f>IFERROR(__xludf.DUMMYFUNCTION("""COMPUTED_VALUE"""),1.0)</f>
        <v>1</v>
      </c>
      <c r="J4301" s="18">
        <f>IFERROR(__xludf.DUMMYFUNCTION("""COMPUTED_VALUE"""),1.0)</f>
        <v>1</v>
      </c>
      <c r="K4301" s="18">
        <f>IFERROR(__xludf.DUMMYFUNCTION("""COMPUTED_VALUE"""),1.0)</f>
        <v>1</v>
      </c>
      <c r="L4301" s="17">
        <f>IFERROR(__xludf.DUMMYFUNCTION("""COMPUTED_VALUE"""),3.183879871E9)</f>
        <v>3183879871</v>
      </c>
      <c r="M4301" s="17" t="str">
        <f>IFERROR(__xludf.DUMMYFUNCTION("""COMPUTED_VALUE"""),"#REF!")</f>
        <v>#REF!</v>
      </c>
      <c r="N4301" s="17"/>
      <c r="O4301" s="17"/>
      <c r="P4301" s="17" t="b">
        <f>IFERROR(__xludf.DUMMYFUNCTION("""COMPUTED_VALUE"""),FALSE)</f>
        <v>0</v>
      </c>
      <c r="Q4301" s="20" t="str">
        <f>IFERROR(__xludf.DUMMYFUNCTION("""COMPUTED_VALUE"""),"")</f>
        <v/>
      </c>
      <c r="R4301" s="21" t="str">
        <f>IFERROR(__xludf.DUMMYFUNCTION("""COMPUTED_VALUE"""),"https://drive.google.com/file/d/1MFGFnHMf-VvlcdjmZ0eMErwdh8B6pf4k/view?usp=drivesdk")</f>
        <v>https://drive.google.com/file/d/1MFGFnHMf-VvlcdjmZ0eMErwdh8B6pf4k/view?usp=drivesdk</v>
      </c>
    </row>
    <row r="4302">
      <c r="A4302" s="15">
        <f>IFERROR(__xludf.DUMMYFUNCTION("""COMPUTED_VALUE"""),45125.0)</f>
        <v>45125</v>
      </c>
      <c r="B4302" s="16" t="str">
        <f>IFERROR(__xludf.DUMMYFUNCTION("""COMPUTED_VALUE"""),"José Miguel Bonilla")</f>
        <v>José Miguel Bonilla</v>
      </c>
      <c r="C4302" s="15" t="str">
        <f>IFERROR(__xludf.DUMMYFUNCTION("""COMPUTED_VALUE"""),"PEREIRA")</f>
        <v>PEREIRA</v>
      </c>
      <c r="D4302" s="15" t="str">
        <f>IFERROR(__xludf.DUMMYFUNCTION("""COMPUTED_VALUE"""),"MEDELLÍN")</f>
        <v>MEDELLÍN</v>
      </c>
      <c r="E4302" s="15" t="str">
        <f>IFERROR(__xludf.DUMMYFUNCTION("""COMPUTED_VALUE"""),"Rambla")</f>
        <v>Rambla</v>
      </c>
      <c r="F4302" s="17" t="str">
        <f>IFERROR(__xludf.DUMMYFUNCTION("""COMPUTED_VALUE"""),"calle 14 #14-15  / san jose sur circunvalar / na")</f>
        <v>calle 14 #14-15  / san jose sur circunvalar / na</v>
      </c>
      <c r="G4302" s="15" t="str">
        <f>IFERROR(__xludf.DUMMYFUNCTION("""COMPUTED_VALUE"""),"majana pereira")</f>
        <v>majana pereira</v>
      </c>
      <c r="H4302" s="16">
        <f>IFERROR(__xludf.DUMMYFUNCTION("""COMPUTED_VALUE"""),13017.0)</f>
        <v>13017</v>
      </c>
      <c r="I4302" s="18">
        <f>IFERROR(__xludf.DUMMYFUNCTION("""COMPUTED_VALUE"""),32.0)</f>
        <v>32</v>
      </c>
      <c r="J4302" s="18">
        <f>IFERROR(__xludf.DUMMYFUNCTION("""COMPUTED_VALUE"""),23.0)</f>
        <v>23</v>
      </c>
      <c r="K4302" s="18">
        <f>IFERROR(__xludf.DUMMYFUNCTION("""COMPUTED_VALUE"""),32.0)</f>
        <v>32</v>
      </c>
      <c r="L4302" s="17">
        <f>IFERROR(__xludf.DUMMYFUNCTION("""COMPUTED_VALUE"""),3.148112262E9)</f>
        <v>3148112262</v>
      </c>
      <c r="M4302" s="17" t="str">
        <f>IFERROR(__xludf.DUMMYFUNCTION("""COMPUTED_VALUE"""),"#REF!")</f>
        <v>#REF!</v>
      </c>
      <c r="N4302" s="17"/>
      <c r="O4302" s="17"/>
      <c r="P4302" s="17" t="b">
        <f>IFERROR(__xludf.DUMMYFUNCTION("""COMPUTED_VALUE"""),FALSE)</f>
        <v>0</v>
      </c>
      <c r="Q4302" s="20" t="str">
        <f>IFERROR(__xludf.DUMMYFUNCTION("""COMPUTED_VALUE"""),"")</f>
        <v/>
      </c>
      <c r="R4302" s="21" t="str">
        <f>IFERROR(__xludf.DUMMYFUNCTION("""COMPUTED_VALUE"""),"https://drive.google.com/file/d/1bZSDV4G49Zwz8ps_8fiEX5Prb19xHaPF/view?usp=drivesdk")</f>
        <v>https://drive.google.com/file/d/1bZSDV4G49Zwz8ps_8fiEX5Prb19xHaPF/view?usp=drivesdk</v>
      </c>
    </row>
    <row r="4303">
      <c r="A4303" s="15">
        <f>IFERROR(__xludf.DUMMYFUNCTION("""COMPUTED_VALUE"""),45125.0)</f>
        <v>45125</v>
      </c>
      <c r="B4303" s="16" t="str">
        <f>IFERROR(__xludf.DUMMYFUNCTION("""COMPUTED_VALUE"""),"José Miguel Bonilla")</f>
        <v>José Miguel Bonilla</v>
      </c>
      <c r="C4303" s="15" t="str">
        <f>IFERROR(__xludf.DUMMYFUNCTION("""COMPUTED_VALUE"""),"PEREIRA")</f>
        <v>PEREIRA</v>
      </c>
      <c r="D4303" s="15" t="str">
        <f>IFERROR(__xludf.DUMMYFUNCTION("""COMPUTED_VALUE"""),"MEDELLÍN")</f>
        <v>MEDELLÍN</v>
      </c>
      <c r="E4303" s="15" t="str">
        <f>IFERROR(__xludf.DUMMYFUNCTION("""COMPUTED_VALUE"""),"The Smoked House")</f>
        <v>The Smoked House</v>
      </c>
      <c r="F4303" s="17" t="str">
        <f>IFERROR(__xludf.DUMMYFUNCTION("""COMPUTED_VALUE"""),"Mall cerritos del Mar / Local 27, Restaurante el Correo Pereira / Pereira, cerritos")</f>
        <v>Mall cerritos del Mar / Local 27, Restaurante el Correo Pereira / Pereira, cerritos</v>
      </c>
      <c r="G4303" s="15" t="str">
        <f>IFERROR(__xludf.DUMMYFUNCTION("""COMPUTED_VALUE"""),"Natalia Becerra")</f>
        <v>Natalia Becerra</v>
      </c>
      <c r="H4303" s="16">
        <f>IFERROR(__xludf.DUMMYFUNCTION("""COMPUTED_VALUE"""),12939.0)</f>
        <v>12939</v>
      </c>
      <c r="I4303" s="18">
        <f>IFERROR(__xludf.DUMMYFUNCTION("""COMPUTED_VALUE"""),34.0)</f>
        <v>34</v>
      </c>
      <c r="J4303" s="18">
        <f>IFERROR(__xludf.DUMMYFUNCTION("""COMPUTED_VALUE"""),33.0)</f>
        <v>33</v>
      </c>
      <c r="K4303" s="18">
        <f>IFERROR(__xludf.DUMMYFUNCTION("""COMPUTED_VALUE"""),48.0)</f>
        <v>48</v>
      </c>
      <c r="L4303" s="17">
        <f>IFERROR(__xludf.DUMMYFUNCTION("""COMPUTED_VALUE"""),3.105520466E9)</f>
        <v>3105520466</v>
      </c>
      <c r="M4303" s="17" t="str">
        <f>IFERROR(__xludf.DUMMYFUNCTION("""COMPUTED_VALUE"""),"#REF!")</f>
        <v>#REF!</v>
      </c>
      <c r="N4303" s="17"/>
      <c r="O4303" s="17"/>
      <c r="P4303" s="17" t="b">
        <f>IFERROR(__xludf.DUMMYFUNCTION("""COMPUTED_VALUE"""),FALSE)</f>
        <v>0</v>
      </c>
      <c r="Q4303" s="20" t="str">
        <f>IFERROR(__xludf.DUMMYFUNCTION("""COMPUTED_VALUE"""),"")</f>
        <v/>
      </c>
      <c r="R4303" s="22" t="str">
        <f>IFERROR(__xludf.DUMMYFUNCTION("""COMPUTED_VALUE"""),"")</f>
        <v/>
      </c>
    </row>
    <row r="4304">
      <c r="A4304" s="17" t="str">
        <f>IFERROR(__xludf.DUMMYFUNCTION("""COMPUTED_VALUE"""),"")</f>
        <v/>
      </c>
      <c r="B4304" s="17" t="str">
        <f>IFERROR(__xludf.DUMMYFUNCTION("""COMPUTED_VALUE"""),"")</f>
        <v/>
      </c>
      <c r="C4304" s="17" t="str">
        <f>IFERROR(__xludf.DUMMYFUNCTION("""COMPUTED_VALUE"""),"")</f>
        <v/>
      </c>
      <c r="D4304" s="17" t="str">
        <f>IFERROR(__xludf.DUMMYFUNCTION("""COMPUTED_VALUE"""),"")</f>
        <v/>
      </c>
      <c r="E4304" s="17" t="str">
        <f>IFERROR(__xludf.DUMMYFUNCTION("""COMPUTED_VALUE"""),"")</f>
        <v/>
      </c>
      <c r="F4304" s="17" t="str">
        <f>IFERROR(__xludf.DUMMYFUNCTION("""COMPUTED_VALUE"""),"")</f>
        <v/>
      </c>
      <c r="G4304" s="17" t="str">
        <f>IFERROR(__xludf.DUMMYFUNCTION("""COMPUTED_VALUE"""),"")</f>
        <v/>
      </c>
      <c r="H4304" s="17" t="str">
        <f>IFERROR(__xludf.DUMMYFUNCTION("""COMPUTED_VALUE"""),"")</f>
        <v/>
      </c>
      <c r="I4304" s="17" t="str">
        <f>IFERROR(__xludf.DUMMYFUNCTION("""COMPUTED_VALUE"""),"")</f>
        <v/>
      </c>
      <c r="J4304" s="17" t="str">
        <f>IFERROR(__xludf.DUMMYFUNCTION("""COMPUTED_VALUE"""),"")</f>
        <v/>
      </c>
      <c r="K4304" s="17" t="str">
        <f>IFERROR(__xludf.DUMMYFUNCTION("""COMPUTED_VALUE"""),"")</f>
        <v/>
      </c>
      <c r="L4304" s="17" t="str">
        <f>IFERROR(__xludf.DUMMYFUNCTION("""COMPUTED_VALUE"""),"")</f>
        <v/>
      </c>
      <c r="M4304" s="17" t="str">
        <f>IFERROR(__xludf.DUMMYFUNCTION("""COMPUTED_VALUE"""),"")</f>
        <v/>
      </c>
      <c r="N4304" s="17" t="str">
        <f>IFERROR(__xludf.DUMMYFUNCTION("""COMPUTED_VALUE"""),"")</f>
        <v/>
      </c>
      <c r="O4304" s="17" t="str">
        <f>IFERROR(__xludf.DUMMYFUNCTION("""COMPUTED_VALUE"""),"")</f>
        <v/>
      </c>
      <c r="P4304" s="17" t="str">
        <f>IFERROR(__xludf.DUMMYFUNCTION("""COMPUTED_VALUE"""),"")</f>
        <v/>
      </c>
      <c r="Q4304" s="17" t="str">
        <f>IFERROR(__xludf.DUMMYFUNCTION("""COMPUTED_VALUE"""),"")</f>
        <v/>
      </c>
      <c r="R4304" s="17" t="str">
        <f>IFERROR(__xludf.DUMMYFUNCTION("""COMPUTED_VALUE"""),"")</f>
        <v/>
      </c>
    </row>
    <row r="4305">
      <c r="A4305" s="15">
        <f>IFERROR(__xludf.DUMMYFUNCTION("""COMPUTED_VALUE"""),45125.0)</f>
        <v>45125</v>
      </c>
      <c r="B4305" s="16" t="str">
        <f>IFERROR(__xludf.DUMMYFUNCTION("""COMPUTED_VALUE"""),"Oscar Augusto Meneses Osias")</f>
        <v>Oscar Augusto Meneses Osias</v>
      </c>
      <c r="C4305" s="15" t="str">
        <f>IFERROR(__xludf.DUMMYFUNCTION("""COMPUTED_VALUE"""),"MEDELLÍN")</f>
        <v>MEDELLÍN</v>
      </c>
      <c r="D4305" s="15" t="str">
        <f>IFERROR(__xludf.DUMMYFUNCTION("""COMPUTED_VALUE"""),"BOGOTÁ")</f>
        <v>BOGOTÁ</v>
      </c>
      <c r="E4305" s="15" t="str">
        <f>IFERROR(__xludf.DUMMYFUNCTION("""COMPUTED_VALUE"""),"Asociacion Agropecuaria Juana Maria")</f>
        <v>Asociacion Agropecuaria Juana Maria</v>
      </c>
      <c r="F4305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305" s="15" t="str">
        <f>IFERROR(__xludf.DUMMYFUNCTION("""COMPUTED_VALUE"""),"Jennifer Sanchez Blandon")</f>
        <v>Jennifer Sanchez Blandon</v>
      </c>
      <c r="H4305" s="16">
        <f>IFERROR(__xludf.DUMMYFUNCTION("""COMPUTED_VALUE"""),12936.0)</f>
        <v>12936</v>
      </c>
      <c r="I4305" s="18">
        <f>IFERROR(__xludf.DUMMYFUNCTION("""COMPUTED_VALUE"""),21.0)</f>
        <v>21</v>
      </c>
      <c r="J4305" s="18">
        <f>IFERROR(__xludf.DUMMYFUNCTION("""COMPUTED_VALUE"""),37.0)</f>
        <v>37</v>
      </c>
      <c r="K4305" s="18">
        <f>IFERROR(__xludf.DUMMYFUNCTION("""COMPUTED_VALUE"""),30.0)</f>
        <v>30</v>
      </c>
      <c r="L4305" s="17">
        <f>IFERROR(__xludf.DUMMYFUNCTION("""COMPUTED_VALUE"""),3.016937674E9)</f>
        <v>3016937674</v>
      </c>
      <c r="M4305" s="17" t="str">
        <f>IFERROR(__xludf.DUMMYFUNCTION("""COMPUTED_VALUE"""),"#REF!")</f>
        <v>#REF!</v>
      </c>
      <c r="N4305" s="17"/>
      <c r="O4305" s="17"/>
      <c r="P4305" s="17" t="b">
        <f>IFERROR(__xludf.DUMMYFUNCTION("""COMPUTED_VALUE"""),TRUE)</f>
        <v>1</v>
      </c>
      <c r="Q4305" s="20">
        <f>IFERROR(__xludf.DUMMYFUNCTION("""COMPUTED_VALUE"""),45125.57513030093)</f>
        <v>45125.57513</v>
      </c>
      <c r="R4305" s="22" t="str">
        <f>IFERROR(__xludf.DUMMYFUNCTION("""COMPUTED_VALUE"""),"")</f>
        <v/>
      </c>
    </row>
    <row r="4306">
      <c r="A4306" s="15">
        <f>IFERROR(__xludf.DUMMYFUNCTION("""COMPUTED_VALUE"""),45125.0)</f>
        <v>45125</v>
      </c>
      <c r="B4306" s="16" t="str">
        <f>IFERROR(__xludf.DUMMYFUNCTION("""COMPUTED_VALUE"""),"Oscar Augusto Meneses Osias")</f>
        <v>Oscar Augusto Meneses Osias</v>
      </c>
      <c r="C4306" s="15" t="str">
        <f>IFERROR(__xludf.DUMMYFUNCTION("""COMPUTED_VALUE"""),"MEDELLÍN")</f>
        <v>MEDELLÍN</v>
      </c>
      <c r="D4306" s="15" t="str">
        <f>IFERROR(__xludf.DUMMYFUNCTION("""COMPUTED_VALUE"""),"BOGOTÁ")</f>
        <v>BOGOTÁ</v>
      </c>
      <c r="E4306" s="15" t="str">
        <f>IFERROR(__xludf.DUMMYFUNCTION("""COMPUTED_VALUE"""),"Evamazzita")</f>
        <v>Evamazzita</v>
      </c>
      <c r="F4306" s="17" t="str">
        <f>IFERROR(__xludf.DUMMYFUNCTION("""COMPUTED_VALUE"""),"Avenida 14#53-30 / Conjutno Recidencial arboleda del campo/ apto 1420/ torre 2  / Barrio Guasimalito")</f>
        <v>Avenida 14#53-30 / Conjutno Recidencial arboleda del campo/ apto 1420/ torre 2  / Barrio Guasimalito</v>
      </c>
      <c r="G4306" s="15" t="str">
        <f>IFERROR(__xludf.DUMMYFUNCTION("""COMPUTED_VALUE"""),"LEIDY YOANA BARRERA DIAZ")</f>
        <v>LEIDY YOANA BARRERA DIAZ</v>
      </c>
      <c r="H4306" s="16">
        <f>IFERROR(__xludf.DUMMYFUNCTION("""COMPUTED_VALUE"""),12987.0)</f>
        <v>12987</v>
      </c>
      <c r="I4306" s="18">
        <f>IFERROR(__xludf.DUMMYFUNCTION("""COMPUTED_VALUE"""),1.0)</f>
        <v>1</v>
      </c>
      <c r="J4306" s="18">
        <f>IFERROR(__xludf.DUMMYFUNCTION("""COMPUTED_VALUE"""),1.0)</f>
        <v>1</v>
      </c>
      <c r="K4306" s="18">
        <f>IFERROR(__xludf.DUMMYFUNCTION("""COMPUTED_VALUE"""),1.0)</f>
        <v>1</v>
      </c>
      <c r="L4306" s="17">
        <f>IFERROR(__xludf.DUMMYFUNCTION("""COMPUTED_VALUE"""),3.145536837E9)</f>
        <v>3145536837</v>
      </c>
      <c r="M4306" s="17" t="str">
        <f>IFERROR(__xludf.DUMMYFUNCTION("""COMPUTED_VALUE"""),"#REF!")</f>
        <v>#REF!</v>
      </c>
      <c r="N4306" s="17"/>
      <c r="O4306" s="17"/>
      <c r="P4306" s="17" t="b">
        <f>IFERROR(__xludf.DUMMYFUNCTION("""COMPUTED_VALUE"""),FALSE)</f>
        <v>0</v>
      </c>
      <c r="Q4306" s="20" t="str">
        <f>IFERROR(__xludf.DUMMYFUNCTION("""COMPUTED_VALUE"""),"")</f>
        <v/>
      </c>
      <c r="R4306" s="21" t="str">
        <f>IFERROR(__xludf.DUMMYFUNCTION("""COMPUTED_VALUE"""),"https://drive.google.com/file/d/1_wIUSXymT9u_Knc42VGDakM03N26wwvK/view?usp=drivesdk")</f>
        <v>https://drive.google.com/file/d/1_wIUSXymT9u_Knc42VGDakM03N26wwvK/view?usp=drivesdk</v>
      </c>
    </row>
    <row r="4307">
      <c r="A4307" s="15">
        <f>IFERROR(__xludf.DUMMYFUNCTION("""COMPUTED_VALUE"""),45125.0)</f>
        <v>45125</v>
      </c>
      <c r="B4307" s="16" t="str">
        <f>IFERROR(__xludf.DUMMYFUNCTION("""COMPUTED_VALUE"""),"Oscar Augusto Meneses Osias")</f>
        <v>Oscar Augusto Meneses Osias</v>
      </c>
      <c r="C4307" s="15" t="str">
        <f>IFERROR(__xludf.DUMMYFUNCTION("""COMPUTED_VALUE"""),"MEDELLÍN")</f>
        <v>MEDELLÍN</v>
      </c>
      <c r="D4307" s="15" t="str">
        <f>IFERROR(__xludf.DUMMYFUNCTION("""COMPUTED_VALUE"""),"BOGOTÁ")</f>
        <v>BOGOTÁ</v>
      </c>
      <c r="E4307" s="15" t="str">
        <f>IFERROR(__xludf.DUMMYFUNCTION("""COMPUTED_VALUE"""),"Evamazzita")</f>
        <v>Evamazzita</v>
      </c>
      <c r="F4307" s="17" t="str">
        <f>IFERROR(__xludf.DUMMYFUNCTION("""COMPUTED_VALUE"""),"Calle 101D#63d-45 / Int 201 / Barrio Belalcazar sector caribia")</f>
        <v>Calle 101D#63d-45 / Int 201 / Barrio Belalcazar sector caribia</v>
      </c>
      <c r="G4307" s="15" t="str">
        <f>IFERROR(__xludf.DUMMYFUNCTION("""COMPUTED_VALUE"""),"LEIDY JULIANA CORREA TORRES")</f>
        <v>LEIDY JULIANA CORREA TORRES</v>
      </c>
      <c r="H4307" s="16">
        <f>IFERROR(__xludf.DUMMYFUNCTION("""COMPUTED_VALUE"""),12982.0)</f>
        <v>12982</v>
      </c>
      <c r="I4307" s="18">
        <f>IFERROR(__xludf.DUMMYFUNCTION("""COMPUTED_VALUE"""),1.0)</f>
        <v>1</v>
      </c>
      <c r="J4307" s="18">
        <f>IFERROR(__xludf.DUMMYFUNCTION("""COMPUTED_VALUE"""),1.0)</f>
        <v>1</v>
      </c>
      <c r="K4307" s="18">
        <f>IFERROR(__xludf.DUMMYFUNCTION("""COMPUTED_VALUE"""),1.0)</f>
        <v>1</v>
      </c>
      <c r="L4307" s="17">
        <f>IFERROR(__xludf.DUMMYFUNCTION("""COMPUTED_VALUE"""),3.023089427E9)</f>
        <v>3023089427</v>
      </c>
      <c r="M4307" s="17" t="str">
        <f>IFERROR(__xludf.DUMMYFUNCTION("""COMPUTED_VALUE"""),"#REF!")</f>
        <v>#REF!</v>
      </c>
      <c r="N4307" s="17"/>
      <c r="O4307" s="17"/>
      <c r="P4307" s="17" t="b">
        <f>IFERROR(__xludf.DUMMYFUNCTION("""COMPUTED_VALUE"""),FALSE)</f>
        <v>0</v>
      </c>
      <c r="Q4307" s="20" t="str">
        <f>IFERROR(__xludf.DUMMYFUNCTION("""COMPUTED_VALUE"""),"")</f>
        <v/>
      </c>
      <c r="R4307" s="21" t="str">
        <f>IFERROR(__xludf.DUMMYFUNCTION("""COMPUTED_VALUE"""),"https://drive.google.com/file/d/1XQd9X9K6_eBm8s3spoENDLD4fAkNptpc/view?usp=drivesdk")</f>
        <v>https://drive.google.com/file/d/1XQd9X9K6_eBm8s3spoENDLD4fAkNptpc/view?usp=drivesdk</v>
      </c>
    </row>
    <row r="4308">
      <c r="A4308" s="15">
        <f>IFERROR(__xludf.DUMMYFUNCTION("""COMPUTED_VALUE"""),45125.0)</f>
        <v>45125</v>
      </c>
      <c r="B4308" s="16" t="str">
        <f>IFERROR(__xludf.DUMMYFUNCTION("""COMPUTED_VALUE"""),"Oscar Augusto Meneses Osias")</f>
        <v>Oscar Augusto Meneses Osias</v>
      </c>
      <c r="C4308" s="15" t="str">
        <f>IFERROR(__xludf.DUMMYFUNCTION("""COMPUTED_VALUE"""),"MEDELLÍN")</f>
        <v>MEDELLÍN</v>
      </c>
      <c r="D4308" s="15" t="str">
        <f>IFERROR(__xludf.DUMMYFUNCTION("""COMPUTED_VALUE"""),"BOGOTÁ")</f>
        <v>BOGOTÁ</v>
      </c>
      <c r="E4308" s="15" t="str">
        <f>IFERROR(__xludf.DUMMYFUNCTION("""COMPUTED_VALUE"""),"Evamazzita")</f>
        <v>Evamazzita</v>
      </c>
      <c r="F4308" s="17" t="str">
        <f>IFERROR(__xludf.DUMMYFUNCTION("""COMPUTED_VALUE"""),"Calle 39#49-49 / Torre Humanitas/ Apto 1402 / La independencia")</f>
        <v>Calle 39#49-49 / Torre Humanitas/ Apto 1402 / La independencia</v>
      </c>
      <c r="G4308" s="15" t="str">
        <f>IFERROR(__xludf.DUMMYFUNCTION("""COMPUTED_VALUE"""),"SANDRA ALVAREZ")</f>
        <v>SANDRA ALVAREZ</v>
      </c>
      <c r="H4308" s="16">
        <f>IFERROR(__xludf.DUMMYFUNCTION("""COMPUTED_VALUE"""),12990.0)</f>
        <v>12990</v>
      </c>
      <c r="I4308" s="18">
        <f>IFERROR(__xludf.DUMMYFUNCTION("""COMPUTED_VALUE"""),1.0)</f>
        <v>1</v>
      </c>
      <c r="J4308" s="18">
        <f>IFERROR(__xludf.DUMMYFUNCTION("""COMPUTED_VALUE"""),1.0)</f>
        <v>1</v>
      </c>
      <c r="K4308" s="18">
        <f>IFERROR(__xludf.DUMMYFUNCTION("""COMPUTED_VALUE"""),1.0)</f>
        <v>1</v>
      </c>
      <c r="L4308" s="17">
        <f>IFERROR(__xludf.DUMMYFUNCTION("""COMPUTED_VALUE"""),3.113608587E9)</f>
        <v>3113608587</v>
      </c>
      <c r="M4308" s="17" t="str">
        <f>IFERROR(__xludf.DUMMYFUNCTION("""COMPUTED_VALUE"""),"#REF!")</f>
        <v>#REF!</v>
      </c>
      <c r="N4308" s="17"/>
      <c r="O4308" s="17"/>
      <c r="P4308" s="17" t="b">
        <f>IFERROR(__xludf.DUMMYFUNCTION("""COMPUTED_VALUE"""),FALSE)</f>
        <v>0</v>
      </c>
      <c r="Q4308" s="20" t="str">
        <f>IFERROR(__xludf.DUMMYFUNCTION("""COMPUTED_VALUE"""),"")</f>
        <v/>
      </c>
      <c r="R4308" s="21" t="str">
        <f>IFERROR(__xludf.DUMMYFUNCTION("""COMPUTED_VALUE"""),"https://drive.google.com/file/d/1LKRVjuV2BiM7UUYlW6YnEiW_DizZO_BZ/view?usp=drivesdk")</f>
        <v>https://drive.google.com/file/d/1LKRVjuV2BiM7UUYlW6YnEiW_DizZO_BZ/view?usp=drivesdk</v>
      </c>
    </row>
    <row r="4309">
      <c r="A4309" s="15">
        <f>IFERROR(__xludf.DUMMYFUNCTION("""COMPUTED_VALUE"""),45125.0)</f>
        <v>45125</v>
      </c>
      <c r="B4309" s="16" t="str">
        <f>IFERROR(__xludf.DUMMYFUNCTION("""COMPUTED_VALUE"""),"Oscar Augusto Meneses Osias")</f>
        <v>Oscar Augusto Meneses Osias</v>
      </c>
      <c r="C4309" s="15" t="str">
        <f>IFERROR(__xludf.DUMMYFUNCTION("""COMPUTED_VALUE"""),"MEDELLÍN")</f>
        <v>MEDELLÍN</v>
      </c>
      <c r="D4309" s="15" t="str">
        <f>IFERROR(__xludf.DUMMYFUNCTION("""COMPUTED_VALUE"""),"BOGOTÁ")</f>
        <v>BOGOTÁ</v>
      </c>
      <c r="E4309" s="15" t="str">
        <f>IFERROR(__xludf.DUMMYFUNCTION("""COMPUTED_VALUE"""),"Evamazzita")</f>
        <v>Evamazzita</v>
      </c>
      <c r="F4309" s="17" t="str">
        <f>IFERROR(__xludf.DUMMYFUNCTION("""COMPUTED_VALUE"""),"Calle 9 #72-50 / Apto 405 / Urbanizacion Bizet 1")</f>
        <v>Calle 9 #72-50 / Apto 405 / Urbanizacion Bizet 1</v>
      </c>
      <c r="G4309" s="15" t="str">
        <f>IFERROR(__xludf.DUMMYFUNCTION("""COMPUTED_VALUE"""),"JENNY GOMEZ")</f>
        <v>JENNY GOMEZ</v>
      </c>
      <c r="H4309" s="16">
        <f>IFERROR(__xludf.DUMMYFUNCTION("""COMPUTED_VALUE"""),12991.0)</f>
        <v>12991</v>
      </c>
      <c r="I4309" s="18">
        <f>IFERROR(__xludf.DUMMYFUNCTION("""COMPUTED_VALUE"""),1.0)</f>
        <v>1</v>
      </c>
      <c r="J4309" s="18">
        <f>IFERROR(__xludf.DUMMYFUNCTION("""COMPUTED_VALUE"""),1.0)</f>
        <v>1</v>
      </c>
      <c r="K4309" s="18">
        <f>IFERROR(__xludf.DUMMYFUNCTION("""COMPUTED_VALUE"""),1.0)</f>
        <v>1</v>
      </c>
      <c r="L4309" s="17">
        <f>IFERROR(__xludf.DUMMYFUNCTION("""COMPUTED_VALUE"""),3.216466679E9)</f>
        <v>3216466679</v>
      </c>
      <c r="M4309" s="17" t="str">
        <f>IFERROR(__xludf.DUMMYFUNCTION("""COMPUTED_VALUE"""),"#REF!")</f>
        <v>#REF!</v>
      </c>
      <c r="N4309" s="17"/>
      <c r="O4309" s="17"/>
      <c r="P4309" s="17" t="b">
        <f>IFERROR(__xludf.DUMMYFUNCTION("""COMPUTED_VALUE"""),FALSE)</f>
        <v>0</v>
      </c>
      <c r="Q4309" s="20" t="str">
        <f>IFERROR(__xludf.DUMMYFUNCTION("""COMPUTED_VALUE"""),"")</f>
        <v/>
      </c>
      <c r="R4309" s="21" t="str">
        <f>IFERROR(__xludf.DUMMYFUNCTION("""COMPUTED_VALUE"""),"https://drive.google.com/file/d/1UY3aTzCp9nwIm4dLHinnkfj5utbVbo1T/view?usp=drivesdk")</f>
        <v>https://drive.google.com/file/d/1UY3aTzCp9nwIm4dLHinnkfj5utbVbo1T/view?usp=drivesdk</v>
      </c>
    </row>
    <row r="4310">
      <c r="A4310" s="15">
        <f>IFERROR(__xludf.DUMMYFUNCTION("""COMPUTED_VALUE"""),45125.0)</f>
        <v>45125</v>
      </c>
      <c r="B4310" s="16" t="str">
        <f>IFERROR(__xludf.DUMMYFUNCTION("""COMPUTED_VALUE"""),"Oscar Augusto Meneses Osias")</f>
        <v>Oscar Augusto Meneses Osias</v>
      </c>
      <c r="C4310" s="15" t="str">
        <f>IFERROR(__xludf.DUMMYFUNCTION("""COMPUTED_VALUE"""),"MEDELLÍN")</f>
        <v>MEDELLÍN</v>
      </c>
      <c r="D4310" s="15" t="str">
        <f>IFERROR(__xludf.DUMMYFUNCTION("""COMPUTED_VALUE"""),"BOGOTÁ")</f>
        <v>BOGOTÁ</v>
      </c>
      <c r="E4310" s="15" t="str">
        <f>IFERROR(__xludf.DUMMYFUNCTION("""COMPUTED_VALUE"""),"Evamazzita")</f>
        <v>Evamazzita</v>
      </c>
      <c r="F4310" s="17" t="str">
        <f>IFERROR(__xludf.DUMMYFUNCTION("""COMPUTED_VALUE"""),"Carrera 15 BA #34D-44 / Int 201 / Buenos Aires")</f>
        <v>Carrera 15 BA #34D-44 / Int 201 / Buenos Aires</v>
      </c>
      <c r="G4310" s="15" t="str">
        <f>IFERROR(__xludf.DUMMYFUNCTION("""COMPUTED_VALUE"""),"DANIELA BEDOYA BLANDON")</f>
        <v>DANIELA BEDOYA BLANDON</v>
      </c>
      <c r="H4310" s="16">
        <f>IFERROR(__xludf.DUMMYFUNCTION("""COMPUTED_VALUE"""),12956.0)</f>
        <v>12956</v>
      </c>
      <c r="I4310" s="18">
        <f>IFERROR(__xludf.DUMMYFUNCTION("""COMPUTED_VALUE"""),21.0)</f>
        <v>21</v>
      </c>
      <c r="J4310" s="18">
        <f>IFERROR(__xludf.DUMMYFUNCTION("""COMPUTED_VALUE"""),34.0)</f>
        <v>34</v>
      </c>
      <c r="K4310" s="18">
        <f>IFERROR(__xludf.DUMMYFUNCTION("""COMPUTED_VALUE"""),27.0)</f>
        <v>27</v>
      </c>
      <c r="L4310" s="17">
        <f>IFERROR(__xludf.DUMMYFUNCTION("""COMPUTED_VALUE"""),3.14672822E9)</f>
        <v>3146728220</v>
      </c>
      <c r="M4310" s="17" t="str">
        <f>IFERROR(__xludf.DUMMYFUNCTION("""COMPUTED_VALUE"""),"#REF!")</f>
        <v>#REF!</v>
      </c>
      <c r="N4310" s="17"/>
      <c r="O4310" s="17"/>
      <c r="P4310" s="17" t="b">
        <f>IFERROR(__xludf.DUMMYFUNCTION("""COMPUTED_VALUE"""),FALSE)</f>
        <v>0</v>
      </c>
      <c r="Q4310" s="20" t="str">
        <f>IFERROR(__xludf.DUMMYFUNCTION("""COMPUTED_VALUE"""),"")</f>
        <v/>
      </c>
      <c r="R4310" s="22" t="str">
        <f>IFERROR(__xludf.DUMMYFUNCTION("""COMPUTED_VALUE"""),"")</f>
        <v/>
      </c>
    </row>
    <row r="4311">
      <c r="A4311" s="15">
        <f>IFERROR(__xludf.DUMMYFUNCTION("""COMPUTED_VALUE"""),45125.0)</f>
        <v>45125</v>
      </c>
      <c r="B4311" s="16" t="str">
        <f>IFERROR(__xludf.DUMMYFUNCTION("""COMPUTED_VALUE"""),"Oscar Augusto Meneses Osias")</f>
        <v>Oscar Augusto Meneses Osias</v>
      </c>
      <c r="C4311" s="15" t="str">
        <f>IFERROR(__xludf.DUMMYFUNCTION("""COMPUTED_VALUE"""),"MEDELLÍN")</f>
        <v>MEDELLÍN</v>
      </c>
      <c r="D4311" s="15" t="str">
        <f>IFERROR(__xludf.DUMMYFUNCTION("""COMPUTED_VALUE"""),"BOGOTÁ")</f>
        <v>BOGOTÁ</v>
      </c>
      <c r="E4311" s="15" t="str">
        <f>IFERROR(__xludf.DUMMYFUNCTION("""COMPUTED_VALUE"""),"Evamazzita")</f>
        <v>Evamazzita</v>
      </c>
      <c r="F4311" s="17" t="str">
        <f>IFERROR(__xludf.DUMMYFUNCTION("""COMPUTED_VALUE"""),"Carrera 27G #35sur-175 / Apto 728 / Urbanizacion Saltamonte/ Barrio la inmaculada")</f>
        <v>Carrera 27G #35sur-175 / Apto 728 / Urbanizacion Saltamonte/ Barrio la inmaculada</v>
      </c>
      <c r="G4311" s="15" t="str">
        <f>IFERROR(__xludf.DUMMYFUNCTION("""COMPUTED_VALUE"""),"GISELL GARCIA GIRALDO")</f>
        <v>GISELL GARCIA GIRALDO</v>
      </c>
      <c r="H4311" s="16">
        <f>IFERROR(__xludf.DUMMYFUNCTION("""COMPUTED_VALUE"""),12988.0)</f>
        <v>12988</v>
      </c>
      <c r="I4311" s="18">
        <f>IFERROR(__xludf.DUMMYFUNCTION("""COMPUTED_VALUE"""),1.0)</f>
        <v>1</v>
      </c>
      <c r="J4311" s="18">
        <f>IFERROR(__xludf.DUMMYFUNCTION("""COMPUTED_VALUE"""),1.0)</f>
        <v>1</v>
      </c>
      <c r="K4311" s="18">
        <f>IFERROR(__xludf.DUMMYFUNCTION("""COMPUTED_VALUE"""),1.0)</f>
        <v>1</v>
      </c>
      <c r="L4311" s="17">
        <f>IFERROR(__xludf.DUMMYFUNCTION("""COMPUTED_VALUE"""),3.168576931E9)</f>
        <v>3168576931</v>
      </c>
      <c r="M4311" s="17" t="str">
        <f>IFERROR(__xludf.DUMMYFUNCTION("""COMPUTED_VALUE"""),"#REF!")</f>
        <v>#REF!</v>
      </c>
      <c r="N4311" s="17"/>
      <c r="O4311" s="17"/>
      <c r="P4311" s="17" t="b">
        <f>IFERROR(__xludf.DUMMYFUNCTION("""COMPUTED_VALUE"""),FALSE)</f>
        <v>0</v>
      </c>
      <c r="Q4311" s="20" t="str">
        <f>IFERROR(__xludf.DUMMYFUNCTION("""COMPUTED_VALUE"""),"")</f>
        <v/>
      </c>
      <c r="R4311" s="21" t="str">
        <f>IFERROR(__xludf.DUMMYFUNCTION("""COMPUTED_VALUE"""),"https://drive.google.com/file/d/17WKrvmKUCMYD0Ze8QGIvT9QwoiYBNXei/view?usp=drivesdk")</f>
        <v>https://drive.google.com/file/d/17WKrvmKUCMYD0Ze8QGIvT9QwoiYBNXei/view?usp=drivesdk</v>
      </c>
    </row>
    <row r="4312">
      <c r="A4312" s="15">
        <f>IFERROR(__xludf.DUMMYFUNCTION("""COMPUTED_VALUE"""),45125.0)</f>
        <v>45125</v>
      </c>
      <c r="B4312" s="16" t="str">
        <f>IFERROR(__xludf.DUMMYFUNCTION("""COMPUTED_VALUE"""),"Oscar Augusto Meneses Osias")</f>
        <v>Oscar Augusto Meneses Osias</v>
      </c>
      <c r="C4312" s="15" t="str">
        <f>IFERROR(__xludf.DUMMYFUNCTION("""COMPUTED_VALUE"""),"MEDELLÍN")</f>
        <v>MEDELLÍN</v>
      </c>
      <c r="D4312" s="15" t="str">
        <f>IFERROR(__xludf.DUMMYFUNCTION("""COMPUTED_VALUE"""),"BOGOTÁ")</f>
        <v>BOGOTÁ</v>
      </c>
      <c r="E4312" s="15" t="str">
        <f>IFERROR(__xludf.DUMMYFUNCTION("""COMPUTED_VALUE"""),"Evamazzita")</f>
        <v>Evamazzita</v>
      </c>
      <c r="F4312" s="17" t="str">
        <f>IFERROR(__xludf.DUMMYFUNCTION("""COMPUTED_VALUE"""),"Carrera 44#60sur-35 / Apto 1809 / Urbanizacion Puerta de Mayorca")</f>
        <v>Carrera 44#60sur-35 / Apto 1809 / Urbanizacion Puerta de Mayorca</v>
      </c>
      <c r="G4312" s="15" t="str">
        <f>IFERROR(__xludf.DUMMYFUNCTION("""COMPUTED_VALUE"""),"LINA ISABEL GONZALES")</f>
        <v>LINA ISABEL GONZALES</v>
      </c>
      <c r="H4312" s="16">
        <f>IFERROR(__xludf.DUMMYFUNCTION("""COMPUTED_VALUE"""),12980.0)</f>
        <v>12980</v>
      </c>
      <c r="I4312" s="18">
        <f>IFERROR(__xludf.DUMMYFUNCTION("""COMPUTED_VALUE"""),1.0)</f>
        <v>1</v>
      </c>
      <c r="J4312" s="18">
        <f>IFERROR(__xludf.DUMMYFUNCTION("""COMPUTED_VALUE"""),1.0)</f>
        <v>1</v>
      </c>
      <c r="K4312" s="18">
        <f>IFERROR(__xludf.DUMMYFUNCTION("""COMPUTED_VALUE"""),1.0)</f>
        <v>1</v>
      </c>
      <c r="L4312" s="17">
        <f>IFERROR(__xludf.DUMMYFUNCTION("""COMPUTED_VALUE"""),3.012163028E9)</f>
        <v>3012163028</v>
      </c>
      <c r="M4312" s="17" t="str">
        <f>IFERROR(__xludf.DUMMYFUNCTION("""COMPUTED_VALUE"""),"#REF!")</f>
        <v>#REF!</v>
      </c>
      <c r="N4312" s="17"/>
      <c r="O4312" s="17"/>
      <c r="P4312" s="17" t="b">
        <f>IFERROR(__xludf.DUMMYFUNCTION("""COMPUTED_VALUE"""),FALSE)</f>
        <v>0</v>
      </c>
      <c r="Q4312" s="20" t="str">
        <f>IFERROR(__xludf.DUMMYFUNCTION("""COMPUTED_VALUE"""),"")</f>
        <v/>
      </c>
      <c r="R4312" s="21" t="str">
        <f>IFERROR(__xludf.DUMMYFUNCTION("""COMPUTED_VALUE"""),"https://drive.google.com/file/d/1yxxQCuw-qM8n2T6TcWxA9ZS49_OcZqns/view?usp=drivesdk")</f>
        <v>https://drive.google.com/file/d/1yxxQCuw-qM8n2T6TcWxA9ZS49_OcZqns/view?usp=drivesdk</v>
      </c>
    </row>
    <row r="4313">
      <c r="A4313" s="15">
        <f>IFERROR(__xludf.DUMMYFUNCTION("""COMPUTED_VALUE"""),45125.0)</f>
        <v>45125</v>
      </c>
      <c r="B4313" s="16" t="str">
        <f>IFERROR(__xludf.DUMMYFUNCTION("""COMPUTED_VALUE"""),"Oscar Augusto Meneses Osias")</f>
        <v>Oscar Augusto Meneses Osias</v>
      </c>
      <c r="C4313" s="15" t="str">
        <f>IFERROR(__xludf.DUMMYFUNCTION("""COMPUTED_VALUE"""),"MEDELLÍN")</f>
        <v>MEDELLÍN</v>
      </c>
      <c r="D4313" s="15" t="str">
        <f>IFERROR(__xludf.DUMMYFUNCTION("""COMPUTED_VALUE"""),"BOGOTÁ")</f>
        <v>BOGOTÁ</v>
      </c>
      <c r="E4313" s="15" t="str">
        <f>IFERROR(__xludf.DUMMYFUNCTION("""COMPUTED_VALUE"""),"Evamazzita")</f>
        <v>Evamazzita</v>
      </c>
      <c r="F4313" s="17" t="str">
        <f>IFERROR(__xludf.DUMMYFUNCTION("""COMPUTED_VALUE"""),"Carrera 47 B#17 A sur -35 / Edificio portones de santa maria/ Apto 409 / N/A")</f>
        <v>Carrera 47 B#17 A sur -35 / Edificio portones de santa maria/ Apto 409 / N/A</v>
      </c>
      <c r="G4313" s="15" t="str">
        <f>IFERROR(__xludf.DUMMYFUNCTION("""COMPUTED_VALUE"""),"JULIANA GARCIA")</f>
        <v>JULIANA GARCIA</v>
      </c>
      <c r="H4313" s="16">
        <f>IFERROR(__xludf.DUMMYFUNCTION("""COMPUTED_VALUE"""),12983.0)</f>
        <v>12983</v>
      </c>
      <c r="I4313" s="18">
        <f>IFERROR(__xludf.DUMMYFUNCTION("""COMPUTED_VALUE"""),1.0)</f>
        <v>1</v>
      </c>
      <c r="J4313" s="18">
        <f>IFERROR(__xludf.DUMMYFUNCTION("""COMPUTED_VALUE"""),1.0)</f>
        <v>1</v>
      </c>
      <c r="K4313" s="18">
        <f>IFERROR(__xludf.DUMMYFUNCTION("""COMPUTED_VALUE"""),1.0)</f>
        <v>1</v>
      </c>
      <c r="L4313" s="17">
        <f>IFERROR(__xludf.DUMMYFUNCTION("""COMPUTED_VALUE"""),3.104017541E9)</f>
        <v>3104017541</v>
      </c>
      <c r="M4313" s="17" t="str">
        <f>IFERROR(__xludf.DUMMYFUNCTION("""COMPUTED_VALUE"""),"#REF!")</f>
        <v>#REF!</v>
      </c>
      <c r="N4313" s="17"/>
      <c r="O4313" s="17"/>
      <c r="P4313" s="17" t="b">
        <f>IFERROR(__xludf.DUMMYFUNCTION("""COMPUTED_VALUE"""),FALSE)</f>
        <v>0</v>
      </c>
      <c r="Q4313" s="20" t="str">
        <f>IFERROR(__xludf.DUMMYFUNCTION("""COMPUTED_VALUE"""),"")</f>
        <v/>
      </c>
      <c r="R4313" s="21" t="str">
        <f>IFERROR(__xludf.DUMMYFUNCTION("""COMPUTED_VALUE"""),"https://drive.google.com/file/d/15xk1U44cSxGV7v5GYhjxclNLhOxb9i9r/view?usp=drivesdk")</f>
        <v>https://drive.google.com/file/d/15xk1U44cSxGV7v5GYhjxclNLhOxb9i9r/view?usp=drivesdk</v>
      </c>
    </row>
    <row r="4314">
      <c r="A4314" s="15">
        <f>IFERROR(__xludf.DUMMYFUNCTION("""COMPUTED_VALUE"""),45125.0)</f>
        <v>45125</v>
      </c>
      <c r="B4314" s="16" t="str">
        <f>IFERROR(__xludf.DUMMYFUNCTION("""COMPUTED_VALUE"""),"Oscar Augusto Meneses Osias")</f>
        <v>Oscar Augusto Meneses Osias</v>
      </c>
      <c r="C4314" s="15" t="str">
        <f>IFERROR(__xludf.DUMMYFUNCTION("""COMPUTED_VALUE"""),"MEDELLÍN")</f>
        <v>MEDELLÍN</v>
      </c>
      <c r="D4314" s="15" t="str">
        <f>IFERROR(__xludf.DUMMYFUNCTION("""COMPUTED_VALUE"""),"BOGOTÁ")</f>
        <v>BOGOTÁ</v>
      </c>
      <c r="E4314" s="15" t="str">
        <f>IFERROR(__xludf.DUMMYFUNCTION("""COMPUTED_VALUE"""),"Evamazzita")</f>
        <v>Evamazzita</v>
      </c>
      <c r="F4314" s="17" t="str">
        <f>IFERROR(__xludf.DUMMYFUNCTION("""COMPUTED_VALUE"""),"Carrera 52#34B-67 / Apto 502 / Las Margaritas/itagui/ edificio los girasoles")</f>
        <v>Carrera 52#34B-67 / Apto 502 / Las Margaritas/itagui/ edificio los girasoles</v>
      </c>
      <c r="G4314" s="15" t="str">
        <f>IFERROR(__xludf.DUMMYFUNCTION("""COMPUTED_VALUE"""),"LINA MARIA MONTOYA  OCHOA")</f>
        <v>LINA MARIA MONTOYA  OCHOA</v>
      </c>
      <c r="H4314" s="16">
        <f>IFERROR(__xludf.DUMMYFUNCTION("""COMPUTED_VALUE"""),12989.0)</f>
        <v>12989</v>
      </c>
      <c r="I4314" s="18">
        <f>IFERROR(__xludf.DUMMYFUNCTION("""COMPUTED_VALUE"""),1.0)</f>
        <v>1</v>
      </c>
      <c r="J4314" s="18">
        <f>IFERROR(__xludf.DUMMYFUNCTION("""COMPUTED_VALUE"""),1.0)</f>
        <v>1</v>
      </c>
      <c r="K4314" s="18">
        <f>IFERROR(__xludf.DUMMYFUNCTION("""COMPUTED_VALUE"""),1.0)</f>
        <v>1</v>
      </c>
      <c r="L4314" s="17">
        <f>IFERROR(__xludf.DUMMYFUNCTION("""COMPUTED_VALUE"""),3.218546023E9)</f>
        <v>3218546023</v>
      </c>
      <c r="M4314" s="17" t="str">
        <f>IFERROR(__xludf.DUMMYFUNCTION("""COMPUTED_VALUE"""),"#REF!")</f>
        <v>#REF!</v>
      </c>
      <c r="N4314" s="17"/>
      <c r="O4314" s="17"/>
      <c r="P4314" s="17" t="b">
        <f>IFERROR(__xludf.DUMMYFUNCTION("""COMPUTED_VALUE"""),FALSE)</f>
        <v>0</v>
      </c>
      <c r="Q4314" s="20" t="str">
        <f>IFERROR(__xludf.DUMMYFUNCTION("""COMPUTED_VALUE"""),"")</f>
        <v/>
      </c>
      <c r="R4314" s="21" t="str">
        <f>IFERROR(__xludf.DUMMYFUNCTION("""COMPUTED_VALUE"""),"https://drive.google.com/file/d/1IIpK6IJxYlJlfcDFjEYBqwO8o9KATvPY/view?usp=drivesdk")</f>
        <v>https://drive.google.com/file/d/1IIpK6IJxYlJlfcDFjEYBqwO8o9KATvPY/view?usp=drivesdk</v>
      </c>
    </row>
    <row r="4315">
      <c r="A4315" s="15">
        <f>IFERROR(__xludf.DUMMYFUNCTION("""COMPUTED_VALUE"""),45125.0)</f>
        <v>45125</v>
      </c>
      <c r="B4315" s="16" t="str">
        <f>IFERROR(__xludf.DUMMYFUNCTION("""COMPUTED_VALUE"""),"Oscar Augusto Meneses Osias")</f>
        <v>Oscar Augusto Meneses Osias</v>
      </c>
      <c r="C4315" s="15" t="str">
        <f>IFERROR(__xludf.DUMMYFUNCTION("""COMPUTED_VALUE"""),"MEDELLÍN")</f>
        <v>MEDELLÍN</v>
      </c>
      <c r="D4315" s="15" t="str">
        <f>IFERROR(__xludf.DUMMYFUNCTION("""COMPUTED_VALUE"""),"BOGOTÁ")</f>
        <v>BOGOTÁ</v>
      </c>
      <c r="E4315" s="15" t="str">
        <f>IFERROR(__xludf.DUMMYFUNCTION("""COMPUTED_VALUE"""),"Ins. Alimento Vital")</f>
        <v>Ins. Alimento Vital</v>
      </c>
      <c r="F4315" s="17" t="str">
        <f>IFERROR(__xludf.DUMMYFUNCTION("""COMPUTED_VALUE"""),"AV 74B 39B 142 / CASA NEGRA 2 PISO / BARRIO LAURELES")</f>
        <v>AV 74B 39B 142 / CASA NEGRA 2 PISO / BARRIO LAURELES</v>
      </c>
      <c r="G4315" s="15" t="str">
        <f>IFERROR(__xludf.DUMMYFUNCTION("""COMPUTED_VALUE"""),"VELOCITY MEDELLIN")</f>
        <v>VELOCITY MEDELLIN</v>
      </c>
      <c r="H4315" s="16">
        <f>IFERROR(__xludf.DUMMYFUNCTION("""COMPUTED_VALUE"""),12948.0)</f>
        <v>12948</v>
      </c>
      <c r="I4315" s="18">
        <f>IFERROR(__xludf.DUMMYFUNCTION("""COMPUTED_VALUE"""),1.0)</f>
        <v>1</v>
      </c>
      <c r="J4315" s="18">
        <f>IFERROR(__xludf.DUMMYFUNCTION("""COMPUTED_VALUE"""),1.0)</f>
        <v>1</v>
      </c>
      <c r="K4315" s="18">
        <f>IFERROR(__xludf.DUMMYFUNCTION("""COMPUTED_VALUE"""),1.0)</f>
        <v>1</v>
      </c>
      <c r="L4315" s="17">
        <f>IFERROR(__xludf.DUMMYFUNCTION("""COMPUTED_VALUE"""),3.239674555E9)</f>
        <v>3239674555</v>
      </c>
      <c r="M4315" s="17" t="str">
        <f>IFERROR(__xludf.DUMMYFUNCTION("""COMPUTED_VALUE"""),"#REF!")</f>
        <v>#REF!</v>
      </c>
      <c r="N4315" s="17"/>
      <c r="O4315" s="17"/>
      <c r="P4315" s="17" t="b">
        <f>IFERROR(__xludf.DUMMYFUNCTION("""COMPUTED_VALUE"""),FALSE)</f>
        <v>0</v>
      </c>
      <c r="Q4315" s="20" t="str">
        <f>IFERROR(__xludf.DUMMYFUNCTION("""COMPUTED_VALUE"""),"")</f>
        <v/>
      </c>
      <c r="R4315" s="22" t="str">
        <f>IFERROR(__xludf.DUMMYFUNCTION("""COMPUTED_VALUE"""),"")</f>
        <v/>
      </c>
    </row>
    <row r="4316">
      <c r="A4316" s="15">
        <f>IFERROR(__xludf.DUMMYFUNCTION("""COMPUTED_VALUE"""),45125.0)</f>
        <v>45125</v>
      </c>
      <c r="B4316" s="16" t="str">
        <f>IFERROR(__xludf.DUMMYFUNCTION("""COMPUTED_VALUE"""),"Oscar Augusto Meneses Osias")</f>
        <v>Oscar Augusto Meneses Osias</v>
      </c>
      <c r="C4316" s="15" t="str">
        <f>IFERROR(__xludf.DUMMYFUNCTION("""COMPUTED_VALUE"""),"MEDELLÍN")</f>
        <v>MEDELLÍN</v>
      </c>
      <c r="D4316" s="15" t="str">
        <f>IFERROR(__xludf.DUMMYFUNCTION("""COMPUTED_VALUE"""),"BOGOTÁ")</f>
        <v>BOGOTÁ</v>
      </c>
      <c r="E4316" s="15" t="str">
        <f>IFERROR(__xludf.DUMMYFUNCTION("""COMPUTED_VALUE"""),"Loomifoods")</f>
        <v>Loomifoods</v>
      </c>
      <c r="F4316" s="17" t="str">
        <f>IFERROR(__xludf.DUMMYFUNCTION("""COMPUTED_VALUE"""),"Cra 15 BA no. 34D - 44 / Interior 201 / madellin")</f>
        <v>Cra 15 BA no. 34D - 44 / Interior 201 / madellin</v>
      </c>
      <c r="G4316" s="15" t="str">
        <f>IFERROR(__xludf.DUMMYFUNCTION("""COMPUTED_VALUE"""),"Daniela Bedoya")</f>
        <v>Daniela Bedoya</v>
      </c>
      <c r="H4316" s="16">
        <f>IFERROR(__xludf.DUMMYFUNCTION("""COMPUTED_VALUE"""),12986.0)</f>
        <v>12986</v>
      </c>
      <c r="I4316" s="18">
        <f>IFERROR(__xludf.DUMMYFUNCTION("""COMPUTED_VALUE"""),19.0)</f>
        <v>19</v>
      </c>
      <c r="J4316" s="18">
        <f>IFERROR(__xludf.DUMMYFUNCTION("""COMPUTED_VALUE"""),5.0)</f>
        <v>5</v>
      </c>
      <c r="K4316" s="18">
        <f>IFERROR(__xludf.DUMMYFUNCTION("""COMPUTED_VALUE"""),16.0)</f>
        <v>16</v>
      </c>
      <c r="L4316" s="17">
        <f>IFERROR(__xludf.DUMMYFUNCTION("""COMPUTED_VALUE"""),3.14672822E9)</f>
        <v>3146728220</v>
      </c>
      <c r="M4316" s="17" t="str">
        <f>IFERROR(__xludf.DUMMYFUNCTION("""COMPUTED_VALUE"""),"#REF!")</f>
        <v>#REF!</v>
      </c>
      <c r="N4316" s="17"/>
      <c r="O4316" s="17"/>
      <c r="P4316" s="17" t="b">
        <f>IFERROR(__xludf.DUMMYFUNCTION("""COMPUTED_VALUE"""),FALSE)</f>
        <v>0</v>
      </c>
      <c r="Q4316" s="20" t="str">
        <f>IFERROR(__xludf.DUMMYFUNCTION("""COMPUTED_VALUE"""),"")</f>
        <v/>
      </c>
      <c r="R4316" s="22" t="str">
        <f>IFERROR(__xludf.DUMMYFUNCTION("""COMPUTED_VALUE"""),"")</f>
        <v/>
      </c>
    </row>
    <row r="4317">
      <c r="A4317" s="15">
        <f>IFERROR(__xludf.DUMMYFUNCTION("""COMPUTED_VALUE"""),45125.0)</f>
        <v>45125</v>
      </c>
      <c r="B4317" s="16" t="str">
        <f>IFERROR(__xludf.DUMMYFUNCTION("""COMPUTED_VALUE"""),"Oscar Augusto Meneses Osias")</f>
        <v>Oscar Augusto Meneses Osias</v>
      </c>
      <c r="C4317" s="15" t="str">
        <f>IFERROR(__xludf.DUMMYFUNCTION("""COMPUTED_VALUE"""),"MEDELLÍN")</f>
        <v>MEDELLÍN</v>
      </c>
      <c r="D4317" s="15" t="str">
        <f>IFERROR(__xludf.DUMMYFUNCTION("""COMPUTED_VALUE"""),"BOGOTÁ")</f>
        <v>BOGOTÁ</v>
      </c>
      <c r="E4317" s="15" t="str">
        <f>IFERROR(__xludf.DUMMYFUNCTION("""COMPUTED_VALUE"""),"Loomifoods")</f>
        <v>Loomifoods</v>
      </c>
      <c r="F4317" s="17" t="str">
        <f>IFERROR(__xludf.DUMMYFUNCTION("""COMPUTED_VALUE"""),"Cra 25A # 38D Sur - 111,  / Castelli Apto 410, /  barrio el chingui, Envigado")</f>
        <v>Cra 25A # 38D Sur - 111,  / Castelli Apto 410, /  barrio el chingui, Envigado</v>
      </c>
      <c r="G4317" s="15" t="str">
        <f>IFERROR(__xludf.DUMMYFUNCTION("""COMPUTED_VALUE"""),"Eileen Izaguirre Salazar")</f>
        <v>Eileen Izaguirre Salazar</v>
      </c>
      <c r="H4317" s="16">
        <f>IFERROR(__xludf.DUMMYFUNCTION("""COMPUTED_VALUE"""),12985.0)</f>
        <v>12985</v>
      </c>
      <c r="I4317" s="18">
        <f>IFERROR(__xludf.DUMMYFUNCTION("""COMPUTED_VALUE"""),19.0)</f>
        <v>19</v>
      </c>
      <c r="J4317" s="18">
        <f>IFERROR(__xludf.DUMMYFUNCTION("""COMPUTED_VALUE"""),5.0)</f>
        <v>5</v>
      </c>
      <c r="K4317" s="18">
        <f>IFERROR(__xludf.DUMMYFUNCTION("""COMPUTED_VALUE"""),16.0)</f>
        <v>16</v>
      </c>
      <c r="L4317" s="17">
        <f>IFERROR(__xludf.DUMMYFUNCTION("""COMPUTED_VALUE"""),3.1737513E9)</f>
        <v>3173751300</v>
      </c>
      <c r="M4317" s="17" t="str">
        <f>IFERROR(__xludf.DUMMYFUNCTION("""COMPUTED_VALUE"""),"#REF!")</f>
        <v>#REF!</v>
      </c>
      <c r="N4317" s="17"/>
      <c r="O4317" s="17"/>
      <c r="P4317" s="17" t="b">
        <f>IFERROR(__xludf.DUMMYFUNCTION("""COMPUTED_VALUE"""),FALSE)</f>
        <v>0</v>
      </c>
      <c r="Q4317" s="20" t="str">
        <f>IFERROR(__xludf.DUMMYFUNCTION("""COMPUTED_VALUE"""),"")</f>
        <v/>
      </c>
      <c r="R4317" s="21" t="str">
        <f>IFERROR(__xludf.DUMMYFUNCTION("""COMPUTED_VALUE"""),"https://drive.google.com/file/d/1FpdZnz3VGi1Xqk7Urbu2FuuFDGK1GI68/view?usp=drivesdk")</f>
        <v>https://drive.google.com/file/d/1FpdZnz3VGi1Xqk7Urbu2FuuFDGK1GI68/view?usp=drivesdk</v>
      </c>
    </row>
    <row r="4318">
      <c r="A4318" s="15">
        <f>IFERROR(__xludf.DUMMYFUNCTION("""COMPUTED_VALUE"""),45125.0)</f>
        <v>45125</v>
      </c>
      <c r="B4318" s="16" t="str">
        <f>IFERROR(__xludf.DUMMYFUNCTION("""COMPUTED_VALUE"""),"Oscar Augusto Meneses Osias")</f>
        <v>Oscar Augusto Meneses Osias</v>
      </c>
      <c r="C4318" s="15" t="str">
        <f>IFERROR(__xludf.DUMMYFUNCTION("""COMPUTED_VALUE"""),"MEDELLÍN")</f>
        <v>MEDELLÍN</v>
      </c>
      <c r="D4318" s="15" t="str">
        <f>IFERROR(__xludf.DUMMYFUNCTION("""COMPUTED_VALUE"""),"BOGOTÁ")</f>
        <v>BOGOTÁ</v>
      </c>
      <c r="E4318" s="15" t="str">
        <f>IFERROR(__xludf.DUMMYFUNCTION("""COMPUTED_VALUE"""),"Mochi")</f>
        <v>Mochi</v>
      </c>
      <c r="F4318" s="17" t="str">
        <f>IFERROR(__xludf.DUMMYFUNCTION("""COMPUTED_VALUE"""),"Carrera 48 #32B Sur – 139, Envigado, Antioquia / 	C Carrera 48 #32B Sur – 139, Envigado, Antioquia / 	Carrera 48 #32B Sur – 139, Envigado, Antioquia")</f>
        <v>Carrera 48 #32B Sur – 139, Envigado, Antioquia / 	C Carrera 48 #32B Sur – 139, Envigado, Antioquia / 	Carrera 48 #32B Sur – 139, Envigado, Antioquia</v>
      </c>
      <c r="G4318" s="15" t="str">
        <f>IFERROR(__xludf.DUMMYFUNCTION("""COMPUTED_VALUE"""),"Tania")</f>
        <v>Tania</v>
      </c>
      <c r="H4318" s="16">
        <f>IFERROR(__xludf.DUMMYFUNCTION("""COMPUTED_VALUE"""),13021.0)</f>
        <v>13021</v>
      </c>
      <c r="I4318" s="18">
        <f>IFERROR(__xludf.DUMMYFUNCTION("""COMPUTED_VALUE"""),100.0)</f>
        <v>100</v>
      </c>
      <c r="J4318" s="18">
        <f>IFERROR(__xludf.DUMMYFUNCTION("""COMPUTED_VALUE"""),200.0)</f>
        <v>200</v>
      </c>
      <c r="K4318" s="18">
        <f>IFERROR(__xludf.DUMMYFUNCTION("""COMPUTED_VALUE"""),100.0)</f>
        <v>100</v>
      </c>
      <c r="L4318" s="17">
        <f>IFERROR(__xludf.DUMMYFUNCTION("""COMPUTED_VALUE"""),3.142587995E9)</f>
        <v>3142587995</v>
      </c>
      <c r="M4318" s="17" t="str">
        <f>IFERROR(__xludf.DUMMYFUNCTION("""COMPUTED_VALUE"""),"#REF!")</f>
        <v>#REF!</v>
      </c>
      <c r="N4318" s="17"/>
      <c r="O4318" s="17"/>
      <c r="P4318" s="17" t="b">
        <f>IFERROR(__xludf.DUMMYFUNCTION("""COMPUTED_VALUE"""),FALSE)</f>
        <v>0</v>
      </c>
      <c r="Q4318" s="20" t="str">
        <f>IFERROR(__xludf.DUMMYFUNCTION("""COMPUTED_VALUE"""),"")</f>
        <v/>
      </c>
      <c r="R4318" s="22" t="str">
        <f>IFERROR(__xludf.DUMMYFUNCTION("""COMPUTED_VALUE"""),"")</f>
        <v/>
      </c>
    </row>
    <row r="4319">
      <c r="A4319" s="17" t="str">
        <f>IFERROR(__xludf.DUMMYFUNCTION("""COMPUTED_VALUE"""),"")</f>
        <v/>
      </c>
      <c r="B4319" s="17" t="str">
        <f>IFERROR(__xludf.DUMMYFUNCTION("""COMPUTED_VALUE"""),"")</f>
        <v/>
      </c>
      <c r="C4319" s="17" t="str">
        <f>IFERROR(__xludf.DUMMYFUNCTION("""COMPUTED_VALUE"""),"")</f>
        <v/>
      </c>
      <c r="D4319" s="17" t="str">
        <f>IFERROR(__xludf.DUMMYFUNCTION("""COMPUTED_VALUE"""),"")</f>
        <v/>
      </c>
      <c r="E4319" s="17" t="str">
        <f>IFERROR(__xludf.DUMMYFUNCTION("""COMPUTED_VALUE"""),"")</f>
        <v/>
      </c>
      <c r="F4319" s="17" t="str">
        <f>IFERROR(__xludf.DUMMYFUNCTION("""COMPUTED_VALUE"""),"")</f>
        <v/>
      </c>
      <c r="G4319" s="17" t="str">
        <f>IFERROR(__xludf.DUMMYFUNCTION("""COMPUTED_VALUE"""),"")</f>
        <v/>
      </c>
      <c r="H4319" s="17" t="str">
        <f>IFERROR(__xludf.DUMMYFUNCTION("""COMPUTED_VALUE"""),"")</f>
        <v/>
      </c>
      <c r="I4319" s="17" t="str">
        <f>IFERROR(__xludf.DUMMYFUNCTION("""COMPUTED_VALUE"""),"")</f>
        <v/>
      </c>
      <c r="J4319" s="17" t="str">
        <f>IFERROR(__xludf.DUMMYFUNCTION("""COMPUTED_VALUE"""),"")</f>
        <v/>
      </c>
      <c r="K4319" s="17" t="str">
        <f>IFERROR(__xludf.DUMMYFUNCTION("""COMPUTED_VALUE"""),"")</f>
        <v/>
      </c>
      <c r="L4319" s="17" t="str">
        <f>IFERROR(__xludf.DUMMYFUNCTION("""COMPUTED_VALUE"""),"")</f>
        <v/>
      </c>
      <c r="M4319" s="17" t="str">
        <f>IFERROR(__xludf.DUMMYFUNCTION("""COMPUTED_VALUE"""),"")</f>
        <v/>
      </c>
      <c r="N4319" s="17" t="str">
        <f>IFERROR(__xludf.DUMMYFUNCTION("""COMPUTED_VALUE"""),"")</f>
        <v/>
      </c>
      <c r="O4319" s="17" t="str">
        <f>IFERROR(__xludf.DUMMYFUNCTION("""COMPUTED_VALUE"""),"")</f>
        <v/>
      </c>
      <c r="P4319" s="17" t="str">
        <f>IFERROR(__xludf.DUMMYFUNCTION("""COMPUTED_VALUE"""),"")</f>
        <v/>
      </c>
      <c r="Q4319" s="17" t="str">
        <f>IFERROR(__xludf.DUMMYFUNCTION("""COMPUTED_VALUE"""),"")</f>
        <v/>
      </c>
      <c r="R4319" s="17" t="str">
        <f>IFERROR(__xludf.DUMMYFUNCTION("""COMPUTED_VALUE"""),"")</f>
        <v/>
      </c>
    </row>
    <row r="4320">
      <c r="A4320" s="15">
        <f>IFERROR(__xludf.DUMMYFUNCTION("""COMPUTED_VALUE"""),45126.0)</f>
        <v>45126</v>
      </c>
      <c r="B4320" s="16" t="str">
        <f>IFERROR(__xludf.DUMMYFUNCTION("""COMPUTED_VALUE"""),"Anuar suarez jimenez ")</f>
        <v>Anuar suarez jimenez </v>
      </c>
      <c r="C4320" s="15" t="str">
        <f>IFERROR(__xludf.DUMMYFUNCTION("""COMPUTED_VALUE"""),"CARTAGENA")</f>
        <v>CARTAGENA</v>
      </c>
      <c r="D4320" s="15" t="str">
        <f>IFERROR(__xludf.DUMMYFUNCTION("""COMPUTED_VALUE"""),"MEDELLÍN")</f>
        <v>MEDELLÍN</v>
      </c>
      <c r="E4320" s="15" t="str">
        <f>IFERROR(__xludf.DUMMYFUNCTION("""COMPUTED_VALUE"""),"Rambla")</f>
        <v>Rambla</v>
      </c>
      <c r="F4320" s="17" t="str">
        <f>IFERROR(__xludf.DUMMYFUNCTION("""COMPUTED_VALUE"""),"calle 6 #20cc la estancia lc 1 10 brr castillo grande / na / na")</f>
        <v>calle 6 #20cc la estancia lc 1 10 brr castillo grande / na / na</v>
      </c>
      <c r="G4320" s="15" t="str">
        <f>IFERROR(__xludf.DUMMYFUNCTION("""COMPUTED_VALUE"""),"cocofit")</f>
        <v>cocofit</v>
      </c>
      <c r="H4320" s="16">
        <f>IFERROR(__xludf.DUMMYFUNCTION("""COMPUTED_VALUE"""),13016.0)</f>
        <v>13016</v>
      </c>
      <c r="I4320" s="18">
        <f>IFERROR(__xludf.DUMMYFUNCTION("""COMPUTED_VALUE"""),32.0)</f>
        <v>32</v>
      </c>
      <c r="J4320" s="18">
        <f>IFERROR(__xludf.DUMMYFUNCTION("""COMPUTED_VALUE"""),27.0)</f>
        <v>27</v>
      </c>
      <c r="K4320" s="18">
        <f>IFERROR(__xludf.DUMMYFUNCTION("""COMPUTED_VALUE"""),29.0)</f>
        <v>29</v>
      </c>
      <c r="L4320" s="17">
        <f>IFERROR(__xludf.DUMMYFUNCTION("""COMPUTED_VALUE"""),3.135781119E9)</f>
        <v>3135781119</v>
      </c>
      <c r="M4320" s="17" t="str">
        <f>IFERROR(__xludf.DUMMYFUNCTION("""COMPUTED_VALUE"""),"#REF!")</f>
        <v>#REF!</v>
      </c>
      <c r="N4320" s="17"/>
      <c r="O4320" s="17"/>
      <c r="P4320" s="17" t="b">
        <f>IFERROR(__xludf.DUMMYFUNCTION("""COMPUTED_VALUE"""),FALSE)</f>
        <v>0</v>
      </c>
      <c r="Q4320" s="20" t="str">
        <f>IFERROR(__xludf.DUMMYFUNCTION("""COMPUTED_VALUE"""),"")</f>
        <v/>
      </c>
      <c r="R4320" s="21" t="str">
        <f>IFERROR(__xludf.DUMMYFUNCTION("""COMPUTED_VALUE"""),"https://drive.google.com/file/d/1-ZdeMTLp1LDIBwrgJoTEX2skVZ6w4hQt/view?usp=drivesdk")</f>
        <v>https://drive.google.com/file/d/1-ZdeMTLp1LDIBwrgJoTEX2skVZ6w4hQt/view?usp=drivesdk</v>
      </c>
    </row>
    <row r="4321">
      <c r="A4321" s="15">
        <f>IFERROR(__xludf.DUMMYFUNCTION("""COMPUTED_VALUE"""),45126.0)</f>
        <v>45126</v>
      </c>
      <c r="B4321" s="16" t="str">
        <f>IFERROR(__xludf.DUMMYFUNCTION("""COMPUTED_VALUE"""),"Anuar suarez jimenez ")</f>
        <v>Anuar suarez jimenez </v>
      </c>
      <c r="C4321" s="15" t="str">
        <f>IFERROR(__xludf.DUMMYFUNCTION("""COMPUTED_VALUE"""),"manizales")</f>
        <v>manizales</v>
      </c>
      <c r="D4321" s="15" t="str">
        <f>IFERROR(__xludf.DUMMYFUNCTION("""COMPUTED_VALUE"""),"PEREIRA")</f>
        <v>PEREIRA</v>
      </c>
      <c r="E4321" s="15" t="str">
        <f>IFERROR(__xludf.DUMMYFUNCTION("""COMPUTED_VALUE"""),"BAK&amp;VEG")</f>
        <v>BAK&amp;VEG</v>
      </c>
      <c r="F4321" s="17" t="str">
        <f>IFERROR(__xludf.DUMMYFUNCTION("""COMPUTED_VALUE"""),"av.santander #63 local 3")</f>
        <v>av.santander #63 local 3</v>
      </c>
      <c r="G4321" s="15" t="str">
        <f>IFERROR(__xludf.DUMMYFUNCTION("""COMPUTED_VALUE"""),"arisca la oveja")</f>
        <v>arisca la oveja</v>
      </c>
      <c r="H4321" s="16">
        <f>IFERROR(__xludf.DUMMYFUNCTION("""COMPUTED_VALUE"""),13058.0)</f>
        <v>13058</v>
      </c>
      <c r="I4321" s="18">
        <f>IFERROR(__xludf.DUMMYFUNCTION("""COMPUTED_VALUE"""),32.0)</f>
        <v>32</v>
      </c>
      <c r="J4321" s="18">
        <f>IFERROR(__xludf.DUMMYFUNCTION("""COMPUTED_VALUE"""),20.0)</f>
        <v>20</v>
      </c>
      <c r="K4321" s="18">
        <f>IFERROR(__xludf.DUMMYFUNCTION("""COMPUTED_VALUE"""),26.0)</f>
        <v>26</v>
      </c>
      <c r="L4321" s="17">
        <f>IFERROR(__xludf.DUMMYFUNCTION("""COMPUTED_VALUE"""),3.168238656E9)</f>
        <v>3168238656</v>
      </c>
      <c r="M4321" s="17" t="str">
        <f>IFERROR(__xludf.DUMMYFUNCTION("""COMPUTED_VALUE"""),"#REF!")</f>
        <v>#REF!</v>
      </c>
      <c r="N4321" s="17"/>
      <c r="O4321" s="17"/>
      <c r="P4321" s="17" t="b">
        <f>IFERROR(__xludf.DUMMYFUNCTION("""COMPUTED_VALUE"""),FALSE)</f>
        <v>0</v>
      </c>
      <c r="Q4321" s="20" t="str">
        <f>IFERROR(__xludf.DUMMYFUNCTION("""COMPUTED_VALUE"""),"")</f>
        <v/>
      </c>
      <c r="R4321" s="22" t="str">
        <f>IFERROR(__xludf.DUMMYFUNCTION("""COMPUTED_VALUE"""),"")</f>
        <v/>
      </c>
    </row>
    <row r="4322">
      <c r="A4322" s="15">
        <f>IFERROR(__xludf.DUMMYFUNCTION("""COMPUTED_VALUE"""),45126.0)</f>
        <v>45126</v>
      </c>
      <c r="B4322" s="16" t="str">
        <f>IFERROR(__xludf.DUMMYFUNCTION("""COMPUTED_VALUE"""),"Anuar suarez jimenez ")</f>
        <v>Anuar suarez jimenez </v>
      </c>
      <c r="C4322" s="15" t="str">
        <f>IFERROR(__xludf.DUMMYFUNCTION("""COMPUTED_VALUE"""),"MONTERIA")</f>
        <v>MONTERIA</v>
      </c>
      <c r="D4322" s="15" t="str">
        <f>IFERROR(__xludf.DUMMYFUNCTION("""COMPUTED_VALUE"""),"BOGOTÁ")</f>
        <v>BOGOTÁ</v>
      </c>
      <c r="E4322" s="15" t="str">
        <f>IFERROR(__xludf.DUMMYFUNCTION("""COMPUTED_VALUE"""),"Asociacion Agropecuaria Juana Maria")</f>
        <v>Asociacion Agropecuaria Juana Maria</v>
      </c>
      <c r="F4322" s="17" t="str">
        <f>IFERROR(__xludf.DUMMYFUNCTION("""COMPUTED_VALUE"""),"Cra 14A #54-23 Barrio Monte Verde")</f>
        <v>Cra 14A #54-23 Barrio Monte Verde</v>
      </c>
      <c r="G4322" s="15" t="str">
        <f>IFERROR(__xludf.DUMMYFUNCTION("""COMPUTED_VALUE"""),"Emilia Miranda")</f>
        <v>Emilia Miranda</v>
      </c>
      <c r="H4322" s="16">
        <f>IFERROR(__xludf.DUMMYFUNCTION("""COMPUTED_VALUE"""),12929.0)</f>
        <v>12929</v>
      </c>
      <c r="I4322" s="18">
        <f>IFERROR(__xludf.DUMMYFUNCTION("""COMPUTED_VALUE"""),16.0)</f>
        <v>16</v>
      </c>
      <c r="J4322" s="18">
        <f>IFERROR(__xludf.DUMMYFUNCTION("""COMPUTED_VALUE"""),34.0)</f>
        <v>34</v>
      </c>
      <c r="K4322" s="18">
        <f>IFERROR(__xludf.DUMMYFUNCTION("""COMPUTED_VALUE"""),25.0)</f>
        <v>25</v>
      </c>
      <c r="L4322" s="17">
        <f>IFERROR(__xludf.DUMMYFUNCTION("""COMPUTED_VALUE"""),3.113438505E9)</f>
        <v>3113438505</v>
      </c>
      <c r="M4322" s="17" t="str">
        <f>IFERROR(__xludf.DUMMYFUNCTION("""COMPUTED_VALUE"""),"#REF!")</f>
        <v>#REF!</v>
      </c>
      <c r="N4322" s="17"/>
      <c r="O4322" s="17"/>
      <c r="P4322" s="17" t="b">
        <f>IFERROR(__xludf.DUMMYFUNCTION("""COMPUTED_VALUE"""),FALSE)</f>
        <v>0</v>
      </c>
      <c r="Q4322" s="20" t="str">
        <f>IFERROR(__xludf.DUMMYFUNCTION("""COMPUTED_VALUE"""),"")</f>
        <v/>
      </c>
      <c r="R4322" s="21" t="str">
        <f>IFERROR(__xludf.DUMMYFUNCTION("""COMPUTED_VALUE"""),"https://drive.google.com/file/d/1_55ZtO8OUOMbmAzU1MeY3d1yI33z4j9r/view?usp=drivesdk")</f>
        <v>https://drive.google.com/file/d/1_55ZtO8OUOMbmAzU1MeY3d1yI33z4j9r/view?usp=drivesdk</v>
      </c>
    </row>
    <row r="4323">
      <c r="A4323" s="15">
        <f>IFERROR(__xludf.DUMMYFUNCTION("""COMPUTED_VALUE"""),45126.0)</f>
        <v>45126</v>
      </c>
      <c r="B4323" s="16" t="str">
        <f>IFERROR(__xludf.DUMMYFUNCTION("""COMPUTED_VALUE"""),"Anuar suarez jimenez ")</f>
        <v>Anuar suarez jimenez </v>
      </c>
      <c r="C4323" s="15" t="str">
        <f>IFERROR(__xludf.DUMMYFUNCTION("""COMPUTED_VALUE"""),"MONTERIA")</f>
        <v>MONTERIA</v>
      </c>
      <c r="D4323" s="15" t="str">
        <f>IFERROR(__xludf.DUMMYFUNCTION("""COMPUTED_VALUE"""),"BOGOTÁ")</f>
        <v>BOGOTÁ</v>
      </c>
      <c r="E4323" s="15" t="str">
        <f>IFERROR(__xludf.DUMMYFUNCTION("""COMPUTED_VALUE"""),"Evamazzita")</f>
        <v>Evamazzita</v>
      </c>
      <c r="F4323" s="17" t="str">
        <f>IFERROR(__xludf.DUMMYFUNCTION("""COMPUTED_VALUE"""),"Cr 14 A # 54 23 / N/A / Barrio Monteverde")</f>
        <v>Cr 14 A # 54 23 / N/A / Barrio Monteverde</v>
      </c>
      <c r="G4323" s="15" t="str">
        <f>IFERROR(__xludf.DUMMYFUNCTION("""COMPUTED_VALUE"""),"Emilia Miranda")</f>
        <v>Emilia Miranda</v>
      </c>
      <c r="H4323" s="16">
        <f>IFERROR(__xludf.DUMMYFUNCTION("""COMPUTED_VALUE"""),12957.0)</f>
        <v>12957</v>
      </c>
      <c r="I4323" s="18">
        <f>IFERROR(__xludf.DUMMYFUNCTION("""COMPUTED_VALUE"""),20.0)</f>
        <v>20</v>
      </c>
      <c r="J4323" s="18">
        <f>IFERROR(__xludf.DUMMYFUNCTION("""COMPUTED_VALUE"""),27.0)</f>
        <v>27</v>
      </c>
      <c r="K4323" s="18">
        <f>IFERROR(__xludf.DUMMYFUNCTION("""COMPUTED_VALUE"""),33.0)</f>
        <v>33</v>
      </c>
      <c r="L4323" s="17">
        <f>IFERROR(__xludf.DUMMYFUNCTION("""COMPUTED_VALUE"""),3.113438505E9)</f>
        <v>3113438505</v>
      </c>
      <c r="M4323" s="17" t="str">
        <f>IFERROR(__xludf.DUMMYFUNCTION("""COMPUTED_VALUE"""),"#REF!")</f>
        <v>#REF!</v>
      </c>
      <c r="N4323" s="17"/>
      <c r="O4323" s="17"/>
      <c r="P4323" s="17" t="b">
        <f>IFERROR(__xludf.DUMMYFUNCTION("""COMPUTED_VALUE"""),FALSE)</f>
        <v>0</v>
      </c>
      <c r="Q4323" s="20" t="str">
        <f>IFERROR(__xludf.DUMMYFUNCTION("""COMPUTED_VALUE"""),"")</f>
        <v/>
      </c>
      <c r="R4323" s="21" t="str">
        <f>IFERROR(__xludf.DUMMYFUNCTION("""COMPUTED_VALUE"""),"https://drive.google.com/file/d/1mLBGmQ7EuZcG2Wn_bksMsR72tgjRtyfv/view?usp=drivesdk")</f>
        <v>https://drive.google.com/file/d/1mLBGmQ7EuZcG2Wn_bksMsR72tgjRtyfv/view?usp=drivesdk</v>
      </c>
    </row>
    <row r="4324">
      <c r="A4324" s="15">
        <f>IFERROR(__xludf.DUMMYFUNCTION("""COMPUTED_VALUE"""),45126.0)</f>
        <v>45126</v>
      </c>
      <c r="B4324" s="16" t="str">
        <f>IFERROR(__xludf.DUMMYFUNCTION("""COMPUTED_VALUE"""),"Anuar suarez jimenez ")</f>
        <v>Anuar suarez jimenez </v>
      </c>
      <c r="C4324" s="15" t="str">
        <f>IFERROR(__xludf.DUMMYFUNCTION("""COMPUTED_VALUE"""),"MONTERIA")</f>
        <v>MONTERIA</v>
      </c>
      <c r="D4324" s="15" t="str">
        <f>IFERROR(__xludf.DUMMYFUNCTION("""COMPUTED_VALUE"""),"BOGOTÁ")</f>
        <v>BOGOTÁ</v>
      </c>
      <c r="E4324" s="15" t="str">
        <f>IFERROR(__xludf.DUMMYFUNCTION("""COMPUTED_VALUE"""),"Loomifoods")</f>
        <v>Loomifoods</v>
      </c>
      <c r="F4324" s="17" t="str">
        <f>IFERROR(__xludf.DUMMYFUNCTION("""COMPUTED_VALUE"""),"calle 73 no. 3 - 106 / edifico marquez de sevilla / apto 701, barrio recreo")</f>
        <v>calle 73 no. 3 - 106 / edifico marquez de sevilla / apto 701, barrio recreo</v>
      </c>
      <c r="G4324" s="15" t="str">
        <f>IFERROR(__xludf.DUMMYFUNCTION("""COMPUTED_VALUE"""),"Yuliett Nova")</f>
        <v>Yuliett Nova</v>
      </c>
      <c r="H4324" s="16">
        <f>IFERROR(__xludf.DUMMYFUNCTION("""COMPUTED_VALUE"""),12984.0)</f>
        <v>12984</v>
      </c>
      <c r="I4324" s="18">
        <f>IFERROR(__xludf.DUMMYFUNCTION("""COMPUTED_VALUE"""),19.0)</f>
        <v>19</v>
      </c>
      <c r="J4324" s="18">
        <f>IFERROR(__xludf.DUMMYFUNCTION("""COMPUTED_VALUE"""),10.0)</f>
        <v>10</v>
      </c>
      <c r="K4324" s="18">
        <f>IFERROR(__xludf.DUMMYFUNCTION("""COMPUTED_VALUE"""),16.0)</f>
        <v>16</v>
      </c>
      <c r="L4324" s="17">
        <f>IFERROR(__xludf.DUMMYFUNCTION("""COMPUTED_VALUE"""),3.008469907E9)</f>
        <v>3008469907</v>
      </c>
      <c r="M4324" s="17" t="str">
        <f>IFERROR(__xludf.DUMMYFUNCTION("""COMPUTED_VALUE"""),"#REF!")</f>
        <v>#REF!</v>
      </c>
      <c r="N4324" s="17"/>
      <c r="O4324" s="17"/>
      <c r="P4324" s="17" t="b">
        <f>IFERROR(__xludf.DUMMYFUNCTION("""COMPUTED_VALUE"""),TRUE)</f>
        <v>1</v>
      </c>
      <c r="Q4324" s="20">
        <f>IFERROR(__xludf.DUMMYFUNCTION("""COMPUTED_VALUE"""),45126.713956875)</f>
        <v>45126.71396</v>
      </c>
      <c r="R4324" s="21" t="str">
        <f>IFERROR(__xludf.DUMMYFUNCTION("""COMPUTED_VALUE"""),"https://drive.google.com/file/d/1NBGasoY644hiBPNiRElJTCfsqramv6z9/view?usp=drivesdk")</f>
        <v>https://drive.google.com/file/d/1NBGasoY644hiBPNiRElJTCfsqramv6z9/view?usp=drivesdk</v>
      </c>
    </row>
    <row r="4325">
      <c r="A4325" s="17" t="str">
        <f>IFERROR(__xludf.DUMMYFUNCTION("""COMPUTED_VALUE"""),"")</f>
        <v/>
      </c>
      <c r="B4325" s="17" t="str">
        <f>IFERROR(__xludf.DUMMYFUNCTION("""COMPUTED_VALUE"""),"")</f>
        <v/>
      </c>
      <c r="C4325" s="17" t="str">
        <f>IFERROR(__xludf.DUMMYFUNCTION("""COMPUTED_VALUE"""),"")</f>
        <v/>
      </c>
      <c r="D4325" s="17" t="str">
        <f>IFERROR(__xludf.DUMMYFUNCTION("""COMPUTED_VALUE"""),"")</f>
        <v/>
      </c>
      <c r="E4325" s="17" t="str">
        <f>IFERROR(__xludf.DUMMYFUNCTION("""COMPUTED_VALUE"""),"")</f>
        <v/>
      </c>
      <c r="F4325" s="17" t="str">
        <f>IFERROR(__xludf.DUMMYFUNCTION("""COMPUTED_VALUE"""),"")</f>
        <v/>
      </c>
      <c r="G4325" s="17" t="str">
        <f>IFERROR(__xludf.DUMMYFUNCTION("""COMPUTED_VALUE"""),"")</f>
        <v/>
      </c>
      <c r="H4325" s="17" t="str">
        <f>IFERROR(__xludf.DUMMYFUNCTION("""COMPUTED_VALUE"""),"")</f>
        <v/>
      </c>
      <c r="I4325" s="17" t="str">
        <f>IFERROR(__xludf.DUMMYFUNCTION("""COMPUTED_VALUE"""),"")</f>
        <v/>
      </c>
      <c r="J4325" s="17" t="str">
        <f>IFERROR(__xludf.DUMMYFUNCTION("""COMPUTED_VALUE"""),"")</f>
        <v/>
      </c>
      <c r="K4325" s="17" t="str">
        <f>IFERROR(__xludf.DUMMYFUNCTION("""COMPUTED_VALUE"""),"")</f>
        <v/>
      </c>
      <c r="L4325" s="17" t="str">
        <f>IFERROR(__xludf.DUMMYFUNCTION("""COMPUTED_VALUE"""),"")</f>
        <v/>
      </c>
      <c r="M4325" s="17" t="str">
        <f>IFERROR(__xludf.DUMMYFUNCTION("""COMPUTED_VALUE"""),"")</f>
        <v/>
      </c>
      <c r="N4325" s="17" t="str">
        <f>IFERROR(__xludf.DUMMYFUNCTION("""COMPUTED_VALUE"""),"")</f>
        <v/>
      </c>
      <c r="O4325" s="17" t="str">
        <f>IFERROR(__xludf.DUMMYFUNCTION("""COMPUTED_VALUE"""),"")</f>
        <v/>
      </c>
      <c r="P4325" s="17" t="str">
        <f>IFERROR(__xludf.DUMMYFUNCTION("""COMPUTED_VALUE"""),"")</f>
        <v/>
      </c>
      <c r="Q4325" s="17" t="str">
        <f>IFERROR(__xludf.DUMMYFUNCTION("""COMPUTED_VALUE"""),"")</f>
        <v/>
      </c>
      <c r="R4325" s="17" t="str">
        <f>IFERROR(__xludf.DUMMYFUNCTION("""COMPUTED_VALUE"""),"")</f>
        <v/>
      </c>
    </row>
    <row r="4326">
      <c r="A4326" s="15">
        <f>IFERROR(__xludf.DUMMYFUNCTION("""COMPUTED_VALUE"""),45126.0)</f>
        <v>45126</v>
      </c>
      <c r="B4326" s="16" t="str">
        <f>IFERROR(__xludf.DUMMYFUNCTION("""COMPUTED_VALUE"""),"David Sanmartin Bello")</f>
        <v>David Sanmartin Bello</v>
      </c>
      <c r="C4326" s="15" t="str">
        <f>IFERROR(__xludf.DUMMYFUNCTION("""COMPUTED_VALUE"""),"BARRANQUILLA")</f>
        <v>BARRANQUILLA</v>
      </c>
      <c r="D4326" s="15" t="str">
        <f>IFERROR(__xludf.DUMMYFUNCTION("""COMPUTED_VALUE"""),"BOGOTÁ")</f>
        <v>BOGOTÁ</v>
      </c>
      <c r="E4326" s="15" t="str">
        <f>IFERROR(__xludf.DUMMYFUNCTION("""COMPUTED_VALUE"""),"Mochi")</f>
        <v>Mochi</v>
      </c>
      <c r="F4326" s="17" t="str">
        <f>IFERROR(__xludf.DUMMYFUNCTION("""COMPUTED_VALUE"""),"Cra. 51B #87-50 · 53868717 / VIVA BARRANQUILLA / VIVA BARRANQUILLA")</f>
        <v>Cra. 51B #87-50 · 53868717 / VIVA BARRANQUILLA / VIVA BARRANQUILLA</v>
      </c>
      <c r="G4326" s="15" t="str">
        <f>IFERROR(__xludf.DUMMYFUNCTION("""COMPUTED_VALUE"""),"Yina")</f>
        <v>Yina</v>
      </c>
      <c r="H4326" s="16">
        <f>IFERROR(__xludf.DUMMYFUNCTION("""COMPUTED_VALUE"""),13051.0)</f>
        <v>13051</v>
      </c>
      <c r="I4326" s="18">
        <f>IFERROR(__xludf.DUMMYFUNCTION("""COMPUTED_VALUE"""),55.0)</f>
        <v>55</v>
      </c>
      <c r="J4326" s="18">
        <f>IFERROR(__xludf.DUMMYFUNCTION("""COMPUTED_VALUE"""),45.0)</f>
        <v>45</v>
      </c>
      <c r="K4326" s="18" t="str">
        <f>IFERROR(__xludf.DUMMYFUNCTION("""COMPUTED_VALUE"""),"52.5")</f>
        <v>52.5</v>
      </c>
      <c r="L4326" s="17">
        <f>IFERROR(__xludf.DUMMYFUNCTION("""COMPUTED_VALUE"""),3.216528485E9)</f>
        <v>3216528485</v>
      </c>
      <c r="M4326" s="17" t="str">
        <f>IFERROR(__xludf.DUMMYFUNCTION("""COMPUTED_VALUE"""),"#REF!")</f>
        <v>#REF!</v>
      </c>
      <c r="N4326" s="17"/>
      <c r="O4326" s="17"/>
      <c r="P4326" s="17" t="b">
        <f>IFERROR(__xludf.DUMMYFUNCTION("""COMPUTED_VALUE"""),TRUE)</f>
        <v>1</v>
      </c>
      <c r="Q4326" s="20">
        <f>IFERROR(__xludf.DUMMYFUNCTION("""COMPUTED_VALUE"""),45126.713956875)</f>
        <v>45126.71396</v>
      </c>
      <c r="R4326" s="22" t="str">
        <f>IFERROR(__xludf.DUMMYFUNCTION("""COMPUTED_VALUE"""),"")</f>
        <v/>
      </c>
    </row>
    <row r="4327">
      <c r="A4327" s="15">
        <f>IFERROR(__xludf.DUMMYFUNCTION("""COMPUTED_VALUE"""),45126.0)</f>
        <v>45126</v>
      </c>
      <c r="B4327" s="16" t="str">
        <f>IFERROR(__xludf.DUMMYFUNCTION("""COMPUTED_VALUE"""),"David Sanmartin Bello")</f>
        <v>David Sanmartin Bello</v>
      </c>
      <c r="C4327" s="15" t="str">
        <f>IFERROR(__xludf.DUMMYFUNCTION("""COMPUTED_VALUE"""),"CARTAGENA")</f>
        <v>CARTAGENA</v>
      </c>
      <c r="D4327" s="15" t="str">
        <f>IFERROR(__xludf.DUMMYFUNCTION("""COMPUTED_VALUE"""),"BOGOTÁ")</f>
        <v>BOGOTÁ</v>
      </c>
      <c r="E4327" s="15" t="str">
        <f>IFERROR(__xludf.DUMMYFUNCTION("""COMPUTED_VALUE"""),"Asociacion Agropecuaria Juana Maria")</f>
        <v>Asociacion Agropecuaria Juana Maria</v>
      </c>
      <c r="F4327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4327" s="15" t="str">
        <f>IFERROR(__xludf.DUMMYFUNCTION("""COMPUTED_VALUE"""),"LUZ ELENA GIL BENAVIDES")</f>
        <v>LUZ ELENA GIL BENAVIDES</v>
      </c>
      <c r="H4327" s="16">
        <f>IFERROR(__xludf.DUMMYFUNCTION("""COMPUTED_VALUE"""),12930.0)</f>
        <v>12930</v>
      </c>
      <c r="I4327" s="18">
        <f>IFERROR(__xludf.DUMMYFUNCTION("""COMPUTED_VALUE"""),16.0)</f>
        <v>16</v>
      </c>
      <c r="J4327" s="18">
        <f>IFERROR(__xludf.DUMMYFUNCTION("""COMPUTED_VALUE"""),34.0)</f>
        <v>34</v>
      </c>
      <c r="K4327" s="18">
        <f>IFERROR(__xludf.DUMMYFUNCTION("""COMPUTED_VALUE"""),25.0)</f>
        <v>25</v>
      </c>
      <c r="L4327" s="17">
        <f>IFERROR(__xludf.DUMMYFUNCTION("""COMPUTED_VALUE"""),3.054312334E9)</f>
        <v>3054312334</v>
      </c>
      <c r="M4327" s="17" t="str">
        <f>IFERROR(__xludf.DUMMYFUNCTION("""COMPUTED_VALUE"""),"#REF!")</f>
        <v>#REF!</v>
      </c>
      <c r="N4327" s="17"/>
      <c r="O4327" s="17"/>
      <c r="P4327" s="17" t="b">
        <f>IFERROR(__xludf.DUMMYFUNCTION("""COMPUTED_VALUE"""),TRUE)</f>
        <v>1</v>
      </c>
      <c r="Q4327" s="20">
        <f>IFERROR(__xludf.DUMMYFUNCTION("""COMPUTED_VALUE"""),45126.713956886575)</f>
        <v>45126.71396</v>
      </c>
      <c r="R4327" s="21" t="str">
        <f>IFERROR(__xludf.DUMMYFUNCTION("""COMPUTED_VALUE"""),"https://drive.google.com/file/d/1WIXpsUh2-WC0RlUeSPLllkmw9jIJahW9/view?usp=drivesdk")</f>
        <v>https://drive.google.com/file/d/1WIXpsUh2-WC0RlUeSPLllkmw9jIJahW9/view?usp=drivesdk</v>
      </c>
    </row>
    <row r="4328">
      <c r="A4328" s="15">
        <f>IFERROR(__xludf.DUMMYFUNCTION("""COMPUTED_VALUE"""),45126.0)</f>
        <v>45126</v>
      </c>
      <c r="B4328" s="16" t="str">
        <f>IFERROR(__xludf.DUMMYFUNCTION("""COMPUTED_VALUE"""),"David Sanmartin Bello")</f>
        <v>David Sanmartin Bello</v>
      </c>
      <c r="C4328" s="15" t="str">
        <f>IFERROR(__xludf.DUMMYFUNCTION("""COMPUTED_VALUE"""),"CARTAGENA")</f>
        <v>CARTAGENA</v>
      </c>
      <c r="D4328" s="15" t="str">
        <f>IFERROR(__xludf.DUMMYFUNCTION("""COMPUTED_VALUE"""),"BOGOTÁ")</f>
        <v>BOGOTÁ</v>
      </c>
      <c r="E4328" s="15" t="str">
        <f>IFERROR(__xludf.DUMMYFUNCTION("""COMPUTED_VALUE"""),"Evamazzita")</f>
        <v>Evamazzita</v>
      </c>
      <c r="F4328" s="17" t="str">
        <f>IFERROR(__xludf.DUMMYFUNCTION("""COMPUTED_VALUE"""),"Cr 71 # 26 96 / Torre 1 Apto 1802 / Torres de la Plazuela - barrio Santa Monica")</f>
        <v>Cr 71 # 26 96 / Torre 1 Apto 1802 / Torres de la Plazuela - barrio Santa Monica</v>
      </c>
      <c r="G4328" s="15" t="str">
        <f>IFERROR(__xludf.DUMMYFUNCTION("""COMPUTED_VALUE"""),"Kirly Mora")</f>
        <v>Kirly Mora</v>
      </c>
      <c r="H4328" s="16">
        <f>IFERROR(__xludf.DUMMYFUNCTION("""COMPUTED_VALUE"""),12970.0)</f>
        <v>12970</v>
      </c>
      <c r="I4328" s="18">
        <f>IFERROR(__xludf.DUMMYFUNCTION("""COMPUTED_VALUE"""),5.0)</f>
        <v>5</v>
      </c>
      <c r="J4328" s="18">
        <f>IFERROR(__xludf.DUMMYFUNCTION("""COMPUTED_VALUE"""),19.0)</f>
        <v>19</v>
      </c>
      <c r="K4328" s="18">
        <f>IFERROR(__xludf.DUMMYFUNCTION("""COMPUTED_VALUE"""),16.0)</f>
        <v>16</v>
      </c>
      <c r="L4328" s="17">
        <f>IFERROR(__xludf.DUMMYFUNCTION("""COMPUTED_VALUE"""),3.175759947E9)</f>
        <v>3175759947</v>
      </c>
      <c r="M4328" s="17" t="str">
        <f>IFERROR(__xludf.DUMMYFUNCTION("""COMPUTED_VALUE"""),"#REF!")</f>
        <v>#REF!</v>
      </c>
      <c r="N4328" s="17"/>
      <c r="O4328" s="17"/>
      <c r="P4328" s="17" t="b">
        <f>IFERROR(__xludf.DUMMYFUNCTION("""COMPUTED_VALUE"""),FALSE)</f>
        <v>0</v>
      </c>
      <c r="Q4328" s="20" t="str">
        <f>IFERROR(__xludf.DUMMYFUNCTION("""COMPUTED_VALUE"""),"")</f>
        <v/>
      </c>
      <c r="R4328" s="21" t="str">
        <f>IFERROR(__xludf.DUMMYFUNCTION("""COMPUTED_VALUE"""),"https://drive.google.com/file/d/12vuDStdqP7k5fQELAvB2EFWAl5O0sJJr/view?usp=drivesdk")</f>
        <v>https://drive.google.com/file/d/12vuDStdqP7k5fQELAvB2EFWAl5O0sJJr/view?usp=drivesdk</v>
      </c>
    </row>
    <row r="4329">
      <c r="A4329" s="15">
        <f>IFERROR(__xludf.DUMMYFUNCTION("""COMPUTED_VALUE"""),45126.0)</f>
        <v>45126</v>
      </c>
      <c r="B4329" s="16" t="str">
        <f>IFERROR(__xludf.DUMMYFUNCTION("""COMPUTED_VALUE"""),"David Sanmartin Bello")</f>
        <v>David Sanmartin Bello</v>
      </c>
      <c r="C4329" s="15" t="str">
        <f>IFERROR(__xludf.DUMMYFUNCTION("""COMPUTED_VALUE"""),"CARTAGENA")</f>
        <v>CARTAGENA</v>
      </c>
      <c r="D4329" s="15" t="str">
        <f>IFERROR(__xludf.DUMMYFUNCTION("""COMPUTED_VALUE"""),"BOGOTÁ")</f>
        <v>BOGOTÁ</v>
      </c>
      <c r="E4329" s="15" t="str">
        <f>IFERROR(__xludf.DUMMYFUNCTION("""COMPUTED_VALUE"""),"Karem foods")</f>
        <v>Karem foods</v>
      </c>
      <c r="F4329" s="17" t="str">
        <f>IFERROR(__xludf.DUMMYFUNCTION("""COMPUTED_VALUE"""),"Calle 6 # 4 -20  / Centro comercial La estación - Local 1  / Barril Castillo grande, Cartagena")</f>
        <v>Calle 6 # 4 -20  / Centro comercial La estación - Local 1  / Barril Castillo grande, Cartagena</v>
      </c>
      <c r="G4329" s="15" t="str">
        <f>IFERROR(__xludf.DUMMYFUNCTION("""COMPUTED_VALUE"""),"Coco Fit Mercado Saludable")</f>
        <v>Coco Fit Mercado Saludable</v>
      </c>
      <c r="H4329" s="16">
        <f>IFERROR(__xludf.DUMMYFUNCTION("""COMPUTED_VALUE"""),12992.0)</f>
        <v>12992</v>
      </c>
      <c r="I4329" s="18">
        <f>IFERROR(__xludf.DUMMYFUNCTION("""COMPUTED_VALUE"""),25.0)</f>
        <v>25</v>
      </c>
      <c r="J4329" s="18">
        <f>IFERROR(__xludf.DUMMYFUNCTION("""COMPUTED_VALUE"""),35.0)</f>
        <v>35</v>
      </c>
      <c r="K4329" s="18">
        <f>IFERROR(__xludf.DUMMYFUNCTION("""COMPUTED_VALUE"""),35.0)</f>
        <v>35</v>
      </c>
      <c r="L4329" s="17">
        <f>IFERROR(__xludf.DUMMYFUNCTION("""COMPUTED_VALUE"""),3.045768274E9)</f>
        <v>3045768274</v>
      </c>
      <c r="M4329" s="17" t="str">
        <f>IFERROR(__xludf.DUMMYFUNCTION("""COMPUTED_VALUE"""),"#REF!")</f>
        <v>#REF!</v>
      </c>
      <c r="N4329" s="17"/>
      <c r="O4329" s="17"/>
      <c r="P4329" s="17" t="b">
        <f>IFERROR(__xludf.DUMMYFUNCTION("""COMPUTED_VALUE"""),FALSE)</f>
        <v>0</v>
      </c>
      <c r="Q4329" s="20" t="str">
        <f>IFERROR(__xludf.DUMMYFUNCTION("""COMPUTED_VALUE"""),"")</f>
        <v/>
      </c>
      <c r="R4329" s="21" t="str">
        <f>IFERROR(__xludf.DUMMYFUNCTION("""COMPUTED_VALUE"""),"https://drive.google.com/file/d/1bllZ9WqF0YXzlnlu8LoYluJtEJ_LdCUU/view?usp=drivesdk")</f>
        <v>https://drive.google.com/file/d/1bllZ9WqF0YXzlnlu8LoYluJtEJ_LdCUU/view?usp=drivesdk</v>
      </c>
    </row>
    <row r="4330">
      <c r="A4330" s="15">
        <f>IFERROR(__xludf.DUMMYFUNCTION("""COMPUTED_VALUE"""),45126.0)</f>
        <v>45126</v>
      </c>
      <c r="B4330" s="16" t="str">
        <f>IFERROR(__xludf.DUMMYFUNCTION("""COMPUTED_VALUE"""),"David Sanmartin Bello")</f>
        <v>David Sanmartin Bello</v>
      </c>
      <c r="C4330" s="15" t="str">
        <f>IFERROR(__xludf.DUMMYFUNCTION("""COMPUTED_VALUE"""),"CARTAGENA")</f>
        <v>CARTAGENA</v>
      </c>
      <c r="D4330" s="15" t="str">
        <f>IFERROR(__xludf.DUMMYFUNCTION("""COMPUTED_VALUE"""),"BOGOTÁ")</f>
        <v>BOGOTÁ</v>
      </c>
      <c r="E4330" s="15" t="str">
        <f>IFERROR(__xludf.DUMMYFUNCTION("""COMPUTED_VALUE"""),"Pan de Waffle")</f>
        <v>Pan de Waffle</v>
      </c>
      <c r="F4330" s="17" t="str">
        <f>IFERROR(__xludf.DUMMYFUNCTION("""COMPUTED_VALUE"""),"Carrera 3 # 5a- 34 piso 2 spinning center gym / Carrera 3 # 5a- 34 piso 2 spinning center gym / Carrera 3 # 5a- 34 piso 2 spinning center gym")</f>
        <v>Carrera 3 # 5a- 34 piso 2 spinning center gym / Carrera 3 # 5a- 34 piso 2 spinning center gym / Carrera 3 # 5a- 34 piso 2 spinning center gym</v>
      </c>
      <c r="G4330" s="15" t="str">
        <f>IFERROR(__xludf.DUMMYFUNCTION("""COMPUTED_VALUE"""),"FITNESS BY LA MONI")</f>
        <v>FITNESS BY LA MONI</v>
      </c>
      <c r="H4330" s="16">
        <f>IFERROR(__xludf.DUMMYFUNCTION("""COMPUTED_VALUE"""),12995.0)</f>
        <v>12995</v>
      </c>
      <c r="I4330" s="18">
        <f>IFERROR(__xludf.DUMMYFUNCTION("""COMPUTED_VALUE"""),40.0)</f>
        <v>40</v>
      </c>
      <c r="J4330" s="18">
        <f>IFERROR(__xludf.DUMMYFUNCTION("""COMPUTED_VALUE"""),30.0)</f>
        <v>30</v>
      </c>
      <c r="K4330" s="18">
        <f>IFERROR(__xludf.DUMMYFUNCTION("""COMPUTED_VALUE"""),40.0)</f>
        <v>40</v>
      </c>
      <c r="L4330" s="17">
        <f>IFERROR(__xludf.DUMMYFUNCTION("""COMPUTED_VALUE"""),3.146189338E9)</f>
        <v>3146189338</v>
      </c>
      <c r="M4330" s="17" t="str">
        <f>IFERROR(__xludf.DUMMYFUNCTION("""COMPUTED_VALUE"""),"#REF!")</f>
        <v>#REF!</v>
      </c>
      <c r="N4330" s="17"/>
      <c r="O4330" s="17"/>
      <c r="P4330" s="17" t="b">
        <f>IFERROR(__xludf.DUMMYFUNCTION("""COMPUTED_VALUE"""),TRUE)</f>
        <v>1</v>
      </c>
      <c r="Q4330" s="20">
        <f>IFERROR(__xludf.DUMMYFUNCTION("""COMPUTED_VALUE"""),45126.713956886575)</f>
        <v>45126.71396</v>
      </c>
      <c r="R4330" s="21" t="str">
        <f>IFERROR(__xludf.DUMMYFUNCTION("""COMPUTED_VALUE"""),"https://drive.google.com/file/d/1QVhqbiVRuJKS8r6IU_IaEf5QQfuDmSkl/view?usp=drivesdk")</f>
        <v>https://drive.google.com/file/d/1QVhqbiVRuJKS8r6IU_IaEf5QQfuDmSkl/view?usp=drivesdk</v>
      </c>
    </row>
    <row r="4331">
      <c r="A4331" s="15">
        <f>IFERROR(__xludf.DUMMYFUNCTION("""COMPUTED_VALUE"""),45126.0)</f>
        <v>45126</v>
      </c>
      <c r="B4331" s="16" t="str">
        <f>IFERROR(__xludf.DUMMYFUNCTION("""COMPUTED_VALUE"""),"David Sanmartin Bello")</f>
        <v>David Sanmartin Bello</v>
      </c>
      <c r="C4331" s="15" t="str">
        <f>IFERROR(__xludf.DUMMYFUNCTION("""COMPUTED_VALUE"""),"CARTAGENA")</f>
        <v>CARTAGENA</v>
      </c>
      <c r="D4331" s="15" t="str">
        <f>IFERROR(__xludf.DUMMYFUNCTION("""COMPUTED_VALUE"""),"BOGOTÁ")</f>
        <v>BOGOTÁ</v>
      </c>
      <c r="E4331" s="15" t="str">
        <f>IFERROR(__xludf.DUMMYFUNCTION("""COMPUTED_VALUE"""),"SISU PARTNERS SAS")</f>
        <v>SISU PARTNERS SAS</v>
      </c>
      <c r="F4331" s="17" t="str">
        <f>IFERROR(__xludf.DUMMYFUNCTION("""COMPUTED_VALUE"""),"Carrera 7 no. 38-48 local 3 / Local Mary &amp; George")</f>
        <v>Carrera 7 no. 38-48 local 3 / Local Mary &amp; George</v>
      </c>
      <c r="G4331" s="15" t="str">
        <f>IFERROR(__xludf.DUMMYFUNCTION("""COMPUTED_VALUE"""),"Carolyne Bailey")</f>
        <v>Carolyne Bailey</v>
      </c>
      <c r="H4331" s="16">
        <f>IFERROR(__xludf.DUMMYFUNCTION("""COMPUTED_VALUE"""),12946.0)</f>
        <v>12946</v>
      </c>
      <c r="I4331" s="18">
        <f>IFERROR(__xludf.DUMMYFUNCTION("""COMPUTED_VALUE"""),29.0)</f>
        <v>29</v>
      </c>
      <c r="J4331" s="18">
        <f>IFERROR(__xludf.DUMMYFUNCTION("""COMPUTED_VALUE"""),45.0)</f>
        <v>45</v>
      </c>
      <c r="K4331" s="18">
        <f>IFERROR(__xludf.DUMMYFUNCTION("""COMPUTED_VALUE"""),55.0)</f>
        <v>55</v>
      </c>
      <c r="L4331" s="17">
        <f>IFERROR(__xludf.DUMMYFUNCTION("""COMPUTED_VALUE"""),3.105510381E9)</f>
        <v>3105510381</v>
      </c>
      <c r="M4331" s="17" t="str">
        <f>IFERROR(__xludf.DUMMYFUNCTION("""COMPUTED_VALUE"""),"#REF!")</f>
        <v>#REF!</v>
      </c>
      <c r="N4331" s="17"/>
      <c r="O4331" s="17"/>
      <c r="P4331" s="17" t="b">
        <f>IFERROR(__xludf.DUMMYFUNCTION("""COMPUTED_VALUE"""),TRUE)</f>
        <v>1</v>
      </c>
      <c r="Q4331" s="20">
        <f>IFERROR(__xludf.DUMMYFUNCTION("""COMPUTED_VALUE"""),45126.713956886575)</f>
        <v>45126.71396</v>
      </c>
      <c r="R4331" s="22" t="str">
        <f>IFERROR(__xludf.DUMMYFUNCTION("""COMPUTED_VALUE"""),"")</f>
        <v/>
      </c>
    </row>
    <row r="4332">
      <c r="A4332" s="15">
        <f>IFERROR(__xludf.DUMMYFUNCTION("""COMPUTED_VALUE"""),45126.0)</f>
        <v>45126</v>
      </c>
      <c r="B4332" s="16" t="str">
        <f>IFERROR(__xludf.DUMMYFUNCTION("""COMPUTED_VALUE"""),"David Sanmartin Bello")</f>
        <v>David Sanmartin Bello</v>
      </c>
      <c r="C4332" s="15" t="str">
        <f>IFERROR(__xludf.DUMMYFUNCTION("""COMPUTED_VALUE"""),"CARTAGENA")</f>
        <v>CARTAGENA</v>
      </c>
      <c r="D4332" s="15" t="str">
        <f>IFERROR(__xludf.DUMMYFUNCTION("""COMPUTED_VALUE"""),"BUCARAMANGA")</f>
        <v>BUCARAMANGA</v>
      </c>
      <c r="E4332" s="15" t="str">
        <f>IFERROR(__xludf.DUMMYFUNCTION("""COMPUTED_VALUE"""),"Yo Como Solito")</f>
        <v>Yo Como Solito</v>
      </c>
      <c r="F4332" s="17" t="str">
        <f>IFERROR(__xludf.DUMMYFUNCTION("""COMPUTED_VALUE"""),"Cartagena de indias. Barrio Gaviotas Primer Etapa Mz 38 Lote 17 segundo piso.. / Cartagena de indias. Barrio Gaviotas Primer Etapa Mz 38 Lote 17 segundo piso.. / Cartagena de indias. Barrio Gaviotas Primer Etapa Mz 38 Lote 17 segundo piso..")</f>
        <v>Cartagena de indias. Barrio Gaviotas Primer Etapa Mz 38 Lote 17 segundo piso.. / Cartagena de indias. Barrio Gaviotas Primer Etapa Mz 38 Lote 17 segundo piso.. / Cartagena de indias. Barrio Gaviotas Primer Etapa Mz 38 Lote 17 segundo piso..</v>
      </c>
      <c r="G4332" s="15" t="str">
        <f>IFERROR(__xludf.DUMMYFUNCTION("""COMPUTED_VALUE"""),"VANESSA CARABALLO")</f>
        <v>VANESSA CARABALLO</v>
      </c>
      <c r="H4332" s="16">
        <f>IFERROR(__xludf.DUMMYFUNCTION("""COMPUTED_VALUE"""),12763.0)</f>
        <v>12763</v>
      </c>
      <c r="I4332" s="18">
        <f>IFERROR(__xludf.DUMMYFUNCTION("""COMPUTED_VALUE"""),28.0)</f>
        <v>28</v>
      </c>
      <c r="J4332" s="18">
        <f>IFERROR(__xludf.DUMMYFUNCTION("""COMPUTED_VALUE"""),40.0)</f>
        <v>40</v>
      </c>
      <c r="K4332" s="18">
        <f>IFERROR(__xludf.DUMMYFUNCTION("""COMPUTED_VALUE"""),13.0)</f>
        <v>13</v>
      </c>
      <c r="L4332" s="17">
        <f>IFERROR(__xludf.DUMMYFUNCTION("""COMPUTED_VALUE"""),3.163391533E9)</f>
        <v>3163391533</v>
      </c>
      <c r="M4332" s="17" t="str">
        <f>IFERROR(__xludf.DUMMYFUNCTION("""COMPUTED_VALUE"""),"#REF!")</f>
        <v>#REF!</v>
      </c>
      <c r="N4332" s="17"/>
      <c r="O4332" s="17"/>
      <c r="P4332" s="17" t="b">
        <f>IFERROR(__xludf.DUMMYFUNCTION("""COMPUTED_VALUE"""),TRUE)</f>
        <v>1</v>
      </c>
      <c r="Q4332" s="20">
        <f>IFERROR(__xludf.DUMMYFUNCTION("""COMPUTED_VALUE"""),45126.713956886575)</f>
        <v>45126.71396</v>
      </c>
      <c r="R4332" s="21" t="str">
        <f>IFERROR(__xludf.DUMMYFUNCTION("""COMPUTED_VALUE"""),"https://drive.google.com/file/d/1c9aNe2Lgv9zbgltTKGHRbOsrHjkP7rPV/view?usp=drivesdk")</f>
        <v>https://drive.google.com/file/d/1c9aNe2Lgv9zbgltTKGHRbOsrHjkP7rPV/view?usp=drivesdk</v>
      </c>
    </row>
    <row r="4333">
      <c r="A4333" s="15">
        <f>IFERROR(__xludf.DUMMYFUNCTION("""COMPUTED_VALUE"""),45126.0)</f>
        <v>45126</v>
      </c>
      <c r="B4333" s="16" t="str">
        <f>IFERROR(__xludf.DUMMYFUNCTION("""COMPUTED_VALUE"""),"David Sanmartin Bello")</f>
        <v>David Sanmartin Bello</v>
      </c>
      <c r="C4333" s="15" t="str">
        <f>IFERROR(__xludf.DUMMYFUNCTION("""COMPUTED_VALUE"""),"MEDELLÍN")</f>
        <v>MEDELLÍN</v>
      </c>
      <c r="D4333" s="15" t="str">
        <f>IFERROR(__xludf.DUMMYFUNCTION("""COMPUTED_VALUE"""),"BOGOTÁ")</f>
        <v>BOGOTÁ</v>
      </c>
      <c r="E4333" s="15" t="str">
        <f>IFERROR(__xludf.DUMMYFUNCTION("""COMPUTED_VALUE"""),"SISU PARTNERS SAS")</f>
        <v>SISU PARTNERS SAS</v>
      </c>
      <c r="F4333" s="17" t="str">
        <f>IFERROR(__xludf.DUMMYFUNCTION("""COMPUTED_VALUE"""),"Carrera 34 no. 7-86 / Local Mary &amp; George")</f>
        <v>Carrera 34 no. 7-86 / Local Mary &amp; George</v>
      </c>
      <c r="G4333" s="15" t="str">
        <f>IFERROR(__xludf.DUMMYFUNCTION("""COMPUTED_VALUE"""),"Maria Paulina Pérez")</f>
        <v>Maria Paulina Pérez</v>
      </c>
      <c r="H4333" s="16">
        <f>IFERROR(__xludf.DUMMYFUNCTION("""COMPUTED_VALUE"""),12945.0)</f>
        <v>12945</v>
      </c>
      <c r="I4333" s="18" t="str">
        <f>IFERROR(__xludf.DUMMYFUNCTION("""COMPUTED_VALUE"""),"52.5")</f>
        <v>52.5</v>
      </c>
      <c r="J4333" s="18">
        <f>IFERROR(__xludf.DUMMYFUNCTION("""COMPUTED_VALUE"""),45.0)</f>
        <v>45</v>
      </c>
      <c r="K4333" s="18">
        <f>IFERROR(__xludf.DUMMYFUNCTION("""COMPUTED_VALUE"""),55.0)</f>
        <v>55</v>
      </c>
      <c r="L4333" s="17">
        <f>IFERROR(__xludf.DUMMYFUNCTION("""COMPUTED_VALUE"""),3.182186058E9)</f>
        <v>3182186058</v>
      </c>
      <c r="M4333" s="17" t="str">
        <f>IFERROR(__xludf.DUMMYFUNCTION("""COMPUTED_VALUE"""),"#REF!")</f>
        <v>#REF!</v>
      </c>
      <c r="N4333" s="17"/>
      <c r="O4333" s="17"/>
      <c r="P4333" s="17" t="b">
        <f>IFERROR(__xludf.DUMMYFUNCTION("""COMPUTED_VALUE"""),TRUE)</f>
        <v>1</v>
      </c>
      <c r="Q4333" s="20">
        <f>IFERROR(__xludf.DUMMYFUNCTION("""COMPUTED_VALUE"""),45126.713956886575)</f>
        <v>45126.71396</v>
      </c>
      <c r="R4333" s="22" t="str">
        <f>IFERROR(__xludf.DUMMYFUNCTION("""COMPUTED_VALUE"""),"")</f>
        <v/>
      </c>
    </row>
    <row r="4334">
      <c r="A4334" s="17" t="str">
        <f>IFERROR(__xludf.DUMMYFUNCTION("""COMPUTED_VALUE"""),"")</f>
        <v/>
      </c>
      <c r="B4334" s="17" t="str">
        <f>IFERROR(__xludf.DUMMYFUNCTION("""COMPUTED_VALUE"""),"")</f>
        <v/>
      </c>
      <c r="C4334" s="17" t="str">
        <f>IFERROR(__xludf.DUMMYFUNCTION("""COMPUTED_VALUE"""),"")</f>
        <v/>
      </c>
      <c r="D4334" s="17" t="str">
        <f>IFERROR(__xludf.DUMMYFUNCTION("""COMPUTED_VALUE"""),"")</f>
        <v/>
      </c>
      <c r="E4334" s="17" t="str">
        <f>IFERROR(__xludf.DUMMYFUNCTION("""COMPUTED_VALUE"""),"")</f>
        <v/>
      </c>
      <c r="F4334" s="17" t="str">
        <f>IFERROR(__xludf.DUMMYFUNCTION("""COMPUTED_VALUE"""),"")</f>
        <v/>
      </c>
      <c r="G4334" s="17" t="str">
        <f>IFERROR(__xludf.DUMMYFUNCTION("""COMPUTED_VALUE"""),"")</f>
        <v/>
      </c>
      <c r="H4334" s="17" t="str">
        <f>IFERROR(__xludf.DUMMYFUNCTION("""COMPUTED_VALUE"""),"")</f>
        <v/>
      </c>
      <c r="I4334" s="17" t="str">
        <f>IFERROR(__xludf.DUMMYFUNCTION("""COMPUTED_VALUE"""),"")</f>
        <v/>
      </c>
      <c r="J4334" s="17" t="str">
        <f>IFERROR(__xludf.DUMMYFUNCTION("""COMPUTED_VALUE"""),"")</f>
        <v/>
      </c>
      <c r="K4334" s="17" t="str">
        <f>IFERROR(__xludf.DUMMYFUNCTION("""COMPUTED_VALUE"""),"")</f>
        <v/>
      </c>
      <c r="L4334" s="17" t="str">
        <f>IFERROR(__xludf.DUMMYFUNCTION("""COMPUTED_VALUE"""),"")</f>
        <v/>
      </c>
      <c r="M4334" s="17" t="str">
        <f>IFERROR(__xludf.DUMMYFUNCTION("""COMPUTED_VALUE"""),"")</f>
        <v/>
      </c>
      <c r="N4334" s="17" t="str">
        <f>IFERROR(__xludf.DUMMYFUNCTION("""COMPUTED_VALUE"""),"")</f>
        <v/>
      </c>
      <c r="O4334" s="17" t="str">
        <f>IFERROR(__xludf.DUMMYFUNCTION("""COMPUTED_VALUE"""),"")</f>
        <v/>
      </c>
      <c r="P4334" s="17" t="str">
        <f>IFERROR(__xludf.DUMMYFUNCTION("""COMPUTED_VALUE"""),"")</f>
        <v/>
      </c>
      <c r="Q4334" s="17" t="str">
        <f>IFERROR(__xludf.DUMMYFUNCTION("""COMPUTED_VALUE"""),"")</f>
        <v/>
      </c>
      <c r="R4334" s="17" t="str">
        <f>IFERROR(__xludf.DUMMYFUNCTION("""COMPUTED_VALUE"""),"")</f>
        <v/>
      </c>
    </row>
    <row r="4335">
      <c r="A4335" s="15">
        <f>IFERROR(__xludf.DUMMYFUNCTION("""COMPUTED_VALUE"""),45126.0)</f>
        <v>45126</v>
      </c>
      <c r="B4335" s="16" t="str">
        <f>IFERROR(__xludf.DUMMYFUNCTION("""COMPUTED_VALUE"""),"Envia")</f>
        <v>Envia</v>
      </c>
      <c r="C4335" s="15" t="str">
        <f>IFERROR(__xludf.DUMMYFUNCTION("""COMPUTED_VALUE"""),"BOGOTÁ")</f>
        <v>BOGOTÁ</v>
      </c>
      <c r="D4335" s="15" t="str">
        <f>IFERROR(__xludf.DUMMYFUNCTION("""COMPUTED_VALUE"""),"MEDELLÍN")</f>
        <v>MEDELLÍN</v>
      </c>
      <c r="E4335" s="15" t="str">
        <f>IFERROR(__xludf.DUMMYFUNCTION("""COMPUTED_VALUE"""),"Magda")</f>
        <v>Magda</v>
      </c>
      <c r="F4335" s="17" t="str">
        <f>IFERROR(__xludf.DUMMYFUNCTION("""COMPUTED_VALUE"""),"Calle 71a # 14a22/26 / Cocinas ocultas / San felipe")</f>
        <v>Calle 71a # 14a22/26 / Cocinas ocultas / San felipe</v>
      </c>
      <c r="G4335" s="15" t="str">
        <f>IFERROR(__xludf.DUMMYFUNCTION("""COMPUTED_VALUE"""),"Andrés Hernández")</f>
        <v>Andrés Hernández</v>
      </c>
      <c r="H4335" s="16">
        <f>IFERROR(__xludf.DUMMYFUNCTION("""COMPUTED_VALUE"""),13049.0)</f>
        <v>13049</v>
      </c>
      <c r="I4335" s="18">
        <f>IFERROR(__xludf.DUMMYFUNCTION("""COMPUTED_VALUE"""),5.0)</f>
        <v>5</v>
      </c>
      <c r="J4335" s="18">
        <f>IFERROR(__xludf.DUMMYFUNCTION("""COMPUTED_VALUE"""),5.0)</f>
        <v>5</v>
      </c>
      <c r="K4335" s="18">
        <f>IFERROR(__xludf.DUMMYFUNCTION("""COMPUTED_VALUE"""),5.0)</f>
        <v>5</v>
      </c>
      <c r="L4335" s="17">
        <f>IFERROR(__xludf.DUMMYFUNCTION("""COMPUTED_VALUE"""),3.214229567E9)</f>
        <v>3214229567</v>
      </c>
      <c r="M4335" s="17" t="str">
        <f>IFERROR(__xludf.DUMMYFUNCTION("""COMPUTED_VALUE"""),"#REF!")</f>
        <v>#REF!</v>
      </c>
      <c r="N4335" s="17"/>
      <c r="O4335" s="17"/>
      <c r="P4335" s="17" t="b">
        <f>IFERROR(__xludf.DUMMYFUNCTION("""COMPUTED_VALUE"""),TRUE)</f>
        <v>1</v>
      </c>
      <c r="Q4335" s="20">
        <f>IFERROR(__xludf.DUMMYFUNCTION("""COMPUTED_VALUE"""),45128.15651793982)</f>
        <v>45128.15652</v>
      </c>
      <c r="R4335" s="22" t="str">
        <f>IFERROR(__xludf.DUMMYFUNCTION("""COMPUTED_VALUE"""),"")</f>
        <v/>
      </c>
    </row>
    <row r="4336">
      <c r="A4336" s="15">
        <f>IFERROR(__xludf.DUMMYFUNCTION("""COMPUTED_VALUE"""),45126.0)</f>
        <v>45126</v>
      </c>
      <c r="B4336" s="16" t="str">
        <f>IFERROR(__xludf.DUMMYFUNCTION("""COMPUTED_VALUE"""),"Envia")</f>
        <v>Envia</v>
      </c>
      <c r="C4336" s="15" t="str">
        <f>IFERROR(__xludf.DUMMYFUNCTION("""COMPUTED_VALUE"""),"BOGOTÁ")</f>
        <v>BOGOTÁ</v>
      </c>
      <c r="D4336" s="15" t="str">
        <f>IFERROR(__xludf.DUMMYFUNCTION("""COMPUTED_VALUE"""),"MEDELLÍN")</f>
        <v>MEDELLÍN</v>
      </c>
      <c r="E4336" s="15" t="str">
        <f>IFERROR(__xludf.DUMMYFUNCTION("""COMPUTED_VALUE"""),"Puro Verde")</f>
        <v>Puro Verde</v>
      </c>
      <c r="F4336" s="17" t="str">
        <f>IFERROR(__xludf.DUMMYFUNCTION("""COMPUTED_VALUE"""),"CRA 16A # 77-23.  / LOCL 4 / BARRIO EL LAGO")</f>
        <v>CRA 16A # 77-23.  / LOCL 4 / BARRIO EL LAGO</v>
      </c>
      <c r="G4336" s="15" t="str">
        <f>IFERROR(__xludf.DUMMYFUNCTION("""COMPUTED_VALUE"""),"DANDO CUERDA")</f>
        <v>DANDO CUERDA</v>
      </c>
      <c r="H4336" s="16">
        <f>IFERROR(__xludf.DUMMYFUNCTION("""COMPUTED_VALUE"""),12919.0)</f>
        <v>12919</v>
      </c>
      <c r="I4336" s="18">
        <f>IFERROR(__xludf.DUMMYFUNCTION("""COMPUTED_VALUE"""),67.0)</f>
        <v>67</v>
      </c>
      <c r="J4336" s="18">
        <f>IFERROR(__xludf.DUMMYFUNCTION("""COMPUTED_VALUE"""),65.0)</f>
        <v>65</v>
      </c>
      <c r="K4336" s="18">
        <f>IFERROR(__xludf.DUMMYFUNCTION("""COMPUTED_VALUE"""),55.0)</f>
        <v>55</v>
      </c>
      <c r="L4336" s="17">
        <f>IFERROR(__xludf.DUMMYFUNCTION("""COMPUTED_VALUE"""),3.163816691E9)</f>
        <v>3163816691</v>
      </c>
      <c r="M4336" s="17" t="str">
        <f>IFERROR(__xludf.DUMMYFUNCTION("""COMPUTED_VALUE"""),"#REF!")</f>
        <v>#REF!</v>
      </c>
      <c r="N4336" s="17"/>
      <c r="O4336" s="17"/>
      <c r="P4336" s="17" t="b">
        <f>IFERROR(__xludf.DUMMYFUNCTION("""COMPUTED_VALUE"""),FALSE)</f>
        <v>0</v>
      </c>
      <c r="Q4336" s="20" t="str">
        <f>IFERROR(__xludf.DUMMYFUNCTION("""COMPUTED_VALUE"""),"")</f>
        <v/>
      </c>
      <c r="R4336" s="22" t="str">
        <f>IFERROR(__xludf.DUMMYFUNCTION("""COMPUTED_VALUE"""),"")</f>
        <v/>
      </c>
    </row>
    <row r="4337">
      <c r="A4337" s="15">
        <f>IFERROR(__xludf.DUMMYFUNCTION("""COMPUTED_VALUE"""),45126.0)</f>
        <v>45126</v>
      </c>
      <c r="B4337" s="16" t="str">
        <f>IFERROR(__xludf.DUMMYFUNCTION("""COMPUTED_VALUE"""),"Envia")</f>
        <v>Envia</v>
      </c>
      <c r="C4337" s="15" t="str">
        <f>IFERROR(__xludf.DUMMYFUNCTION("""COMPUTED_VALUE"""),"CALI")</f>
        <v>CALI</v>
      </c>
      <c r="D4337" s="15" t="str">
        <f>IFERROR(__xludf.DUMMYFUNCTION("""COMPUTED_VALUE"""),"MEDELLÍN")</f>
        <v>MEDELLÍN</v>
      </c>
      <c r="E4337" s="15" t="str">
        <f>IFERROR(__xludf.DUMMYFUNCTION("""COMPUTED_VALUE"""),"Baby Chef")</f>
        <v>Baby Chef</v>
      </c>
      <c r="F4337" s="17" t="str">
        <f>IFERROR(__xludf.DUMMYFUNCTION("""COMPUTED_VALUE"""),"Carrera 59 # 1-44 Edificio Guadalupe, apto 402 Barrio Seminario  / Carrera 59 # 1-44 Edificio Guadalupe, apto 402 Barrio Seminario  / Carrera 59 # 1-44 Edificio Guadalupe, apto 402 Barrio Seminario")</f>
        <v>Carrera 59 # 1-44 Edificio Guadalupe, apto 402 Barrio Seminario  / Carrera 59 # 1-44 Edificio Guadalupe, apto 402 Barrio Seminario  / Carrera 59 # 1-44 Edificio Guadalupe, apto 402 Barrio Seminario</v>
      </c>
      <c r="G4337" s="15" t="str">
        <f>IFERROR(__xludf.DUMMYFUNCTION("""COMPUTED_VALUE"""),"Daniela Baraya")</f>
        <v>Daniela Baraya</v>
      </c>
      <c r="H4337" s="16">
        <f>IFERROR(__xludf.DUMMYFUNCTION("""COMPUTED_VALUE"""),13047.0)</f>
        <v>13047</v>
      </c>
      <c r="I4337" s="18">
        <f>IFERROR(__xludf.DUMMYFUNCTION("""COMPUTED_VALUE"""),7.0)</f>
        <v>7</v>
      </c>
      <c r="J4337" s="18">
        <f>IFERROR(__xludf.DUMMYFUNCTION("""COMPUTED_VALUE"""),38.0)</f>
        <v>38</v>
      </c>
      <c r="K4337" s="18">
        <f>IFERROR(__xludf.DUMMYFUNCTION("""COMPUTED_VALUE"""),24.0)</f>
        <v>24</v>
      </c>
      <c r="L4337" s="17">
        <f>IFERROR(__xludf.DUMMYFUNCTION("""COMPUTED_VALUE"""),3.218536044E9)</f>
        <v>3218536044</v>
      </c>
      <c r="M4337" s="17" t="str">
        <f>IFERROR(__xludf.DUMMYFUNCTION("""COMPUTED_VALUE"""),"#REF!")</f>
        <v>#REF!</v>
      </c>
      <c r="N4337" s="17"/>
      <c r="O4337" s="17"/>
      <c r="P4337" s="17" t="b">
        <f>IFERROR(__xludf.DUMMYFUNCTION("""COMPUTED_VALUE"""),FALSE)</f>
        <v>0</v>
      </c>
      <c r="Q4337" s="20" t="str">
        <f>IFERROR(__xludf.DUMMYFUNCTION("""COMPUTED_VALUE"""),"")</f>
        <v/>
      </c>
      <c r="R4337" s="22" t="str">
        <f>IFERROR(__xludf.DUMMYFUNCTION("""COMPUTED_VALUE"""),"")</f>
        <v/>
      </c>
    </row>
    <row r="4338">
      <c r="A4338" s="15">
        <f>IFERROR(__xludf.DUMMYFUNCTION("""COMPUTED_VALUE"""),45126.0)</f>
        <v>45126</v>
      </c>
      <c r="B4338" s="16" t="str">
        <f>IFERROR(__xludf.DUMMYFUNCTION("""COMPUTED_VALUE"""),"Envia")</f>
        <v>Envia</v>
      </c>
      <c r="C4338" s="15" t="str">
        <f>IFERROR(__xludf.DUMMYFUNCTION("""COMPUTED_VALUE"""),"CALI")</f>
        <v>CALI</v>
      </c>
      <c r="D4338" s="15" t="str">
        <f>IFERROR(__xludf.DUMMYFUNCTION("""COMPUTED_VALUE"""),"MEDELLÍN")</f>
        <v>MEDELLÍN</v>
      </c>
      <c r="E4338" s="15" t="str">
        <f>IFERROR(__xludf.DUMMYFUNCTION("""COMPUTED_VALUE"""),"Moloso S.A.S")</f>
        <v>Moloso S.A.S</v>
      </c>
      <c r="F4338" s="17" t="str">
        <f>IFERROR(__xludf.DUMMYFUNCTION("""COMPUTED_VALUE"""),"AVENIDA 3 OESTE 13 94 / EDIF SOL DEL OESTE APT 702")</f>
        <v>AVENIDA 3 OESTE 13 94 / EDIF SOL DEL OESTE APT 702</v>
      </c>
      <c r="G4338" s="15" t="str">
        <f>IFERROR(__xludf.DUMMYFUNCTION("""COMPUTED_VALUE"""),"LAURA HERNÁNDEZ ALVIAR")</f>
        <v>LAURA HERNÁNDEZ ALVIAR</v>
      </c>
      <c r="H4338" s="16">
        <f>IFERROR(__xludf.DUMMYFUNCTION("""COMPUTED_VALUE"""),13036.0)</f>
        <v>13036</v>
      </c>
      <c r="I4338" s="18">
        <f>IFERROR(__xludf.DUMMYFUNCTION("""COMPUTED_VALUE"""),17.0)</f>
        <v>17</v>
      </c>
      <c r="J4338" s="18">
        <f>IFERROR(__xludf.DUMMYFUNCTION("""COMPUTED_VALUE"""),15.0)</f>
        <v>15</v>
      </c>
      <c r="K4338" s="18">
        <f>IFERROR(__xludf.DUMMYFUNCTION("""COMPUTED_VALUE"""),28.0)</f>
        <v>28</v>
      </c>
      <c r="L4338" s="17" t="str">
        <f>IFERROR(__xludf.DUMMYFUNCTION("""COMPUTED_VALUE"""),"315 5762974")</f>
        <v>315 5762974</v>
      </c>
      <c r="M4338" s="17" t="str">
        <f>IFERROR(__xludf.DUMMYFUNCTION("""COMPUTED_VALUE"""),"#REF!")</f>
        <v>#REF!</v>
      </c>
      <c r="N4338" s="17"/>
      <c r="O4338" s="17"/>
      <c r="P4338" s="17" t="b">
        <f>IFERROR(__xludf.DUMMYFUNCTION("""COMPUTED_VALUE"""),FALSE)</f>
        <v>0</v>
      </c>
      <c r="Q4338" s="20" t="str">
        <f>IFERROR(__xludf.DUMMYFUNCTION("""COMPUTED_VALUE"""),"")</f>
        <v/>
      </c>
      <c r="R4338" s="22" t="str">
        <f>IFERROR(__xludf.DUMMYFUNCTION("""COMPUTED_VALUE"""),"")</f>
        <v/>
      </c>
    </row>
    <row r="4339">
      <c r="A4339" s="15">
        <f>IFERROR(__xludf.DUMMYFUNCTION("""COMPUTED_VALUE"""),45126.0)</f>
        <v>45126</v>
      </c>
      <c r="B4339" s="16" t="str">
        <f>IFERROR(__xludf.DUMMYFUNCTION("""COMPUTED_VALUE"""),"Envia")</f>
        <v>Envia</v>
      </c>
      <c r="C4339" s="15" t="str">
        <f>IFERROR(__xludf.DUMMYFUNCTION("""COMPUTED_VALUE"""),"CALI")</f>
        <v>CALI</v>
      </c>
      <c r="D4339" s="15" t="str">
        <f>IFERROR(__xludf.DUMMYFUNCTION("""COMPUTED_VALUE"""),"MEDELLÍN")</f>
        <v>MEDELLÍN</v>
      </c>
      <c r="E4339" s="15" t="str">
        <f>IFERROR(__xludf.DUMMYFUNCTION("""COMPUTED_VALUE"""),"Rambla")</f>
        <v>Rambla</v>
      </c>
      <c r="F4339" s="17" t="str">
        <f>IFERROR(__xludf.DUMMYFUNCTION("""COMPUTED_VALUE"""),"carrera 105 #15b -45  / local 15 centro comercial las velas / na")</f>
        <v>carrera 105 #15b -45  / local 15 centro comercial las velas / na</v>
      </c>
      <c r="G4339" s="15" t="str">
        <f>IFERROR(__xludf.DUMMYFUNCTION("""COMPUTED_VALUE"""),"wellthy market")</f>
        <v>wellthy market</v>
      </c>
      <c r="H4339" s="16">
        <f>IFERROR(__xludf.DUMMYFUNCTION("""COMPUTED_VALUE"""),13039.0)</f>
        <v>13039</v>
      </c>
      <c r="I4339" s="18">
        <f>IFERROR(__xludf.DUMMYFUNCTION("""COMPUTED_VALUE"""),34.0)</f>
        <v>34</v>
      </c>
      <c r="J4339" s="18">
        <f>IFERROR(__xludf.DUMMYFUNCTION("""COMPUTED_VALUE"""),23.0)</f>
        <v>23</v>
      </c>
      <c r="K4339" s="18">
        <f>IFERROR(__xludf.DUMMYFUNCTION("""COMPUTED_VALUE"""),23.0)</f>
        <v>23</v>
      </c>
      <c r="L4339" s="17">
        <f>IFERROR(__xludf.DUMMYFUNCTION("""COMPUTED_VALUE"""),3.152542618E9)</f>
        <v>3152542618</v>
      </c>
      <c r="M4339" s="17" t="str">
        <f>IFERROR(__xludf.DUMMYFUNCTION("""COMPUTED_VALUE"""),"#REF!")</f>
        <v>#REF!</v>
      </c>
      <c r="N4339" s="17"/>
      <c r="O4339" s="17"/>
      <c r="P4339" s="17" t="b">
        <f>IFERROR(__xludf.DUMMYFUNCTION("""COMPUTED_VALUE"""),FALSE)</f>
        <v>0</v>
      </c>
      <c r="Q4339" s="20" t="str">
        <f>IFERROR(__xludf.DUMMYFUNCTION("""COMPUTED_VALUE"""),"")</f>
        <v/>
      </c>
      <c r="R4339" s="21" t="str">
        <f>IFERROR(__xludf.DUMMYFUNCTION("""COMPUTED_VALUE"""),"https://drive.google.com/file/d/11gnTugRomX3GvF7lm1MgVmXJ1jZh1gN8/view?usp=drivesdk")</f>
        <v>https://drive.google.com/file/d/11gnTugRomX3GvF7lm1MgVmXJ1jZh1gN8/view?usp=drivesdk</v>
      </c>
    </row>
    <row r="4340">
      <c r="A4340" s="15">
        <f>IFERROR(__xludf.DUMMYFUNCTION("""COMPUTED_VALUE"""),45126.0)</f>
        <v>45126</v>
      </c>
      <c r="B4340" s="16" t="str">
        <f>IFERROR(__xludf.DUMMYFUNCTION("""COMPUTED_VALUE"""),"Envia")</f>
        <v>Envia</v>
      </c>
      <c r="C4340" s="15" t="str">
        <f>IFERROR(__xludf.DUMMYFUNCTION("""COMPUTED_VALUE"""),"CARTAGENA")</f>
        <v>CARTAGENA</v>
      </c>
      <c r="D4340" s="15" t="str">
        <f>IFERROR(__xludf.DUMMYFUNCTION("""COMPUTED_VALUE"""),"BOGOTÁ")</f>
        <v>BOGOTÁ</v>
      </c>
      <c r="E4340" s="15" t="str">
        <f>IFERROR(__xludf.DUMMYFUNCTION("""COMPUTED_VALUE"""),"Evamazzita")</f>
        <v>Evamazzita</v>
      </c>
      <c r="F4340" s="17" t="str">
        <f>IFERROR(__xludf.DUMMYFUNCTION("""COMPUTED_VALUE"""),"Cll 32 b # 80 589 / Torre 4 apto 706 / Condominio Copacabana - villa estrella")</f>
        <v>Cll 32 b # 80 589 / Torre 4 apto 706 / Condominio Copacabana - villa estrella</v>
      </c>
      <c r="G4340" s="15" t="str">
        <f>IFERROR(__xludf.DUMMYFUNCTION("""COMPUTED_VALUE"""),"Luz Elena Gil Benavidez")</f>
        <v>Luz Elena Gil Benavidez</v>
      </c>
      <c r="H4340" s="16">
        <f>IFERROR(__xludf.DUMMYFUNCTION("""COMPUTED_VALUE"""),12971.0)</f>
        <v>12971</v>
      </c>
      <c r="I4340" s="18">
        <f>IFERROR(__xludf.DUMMYFUNCTION("""COMPUTED_VALUE"""),11.0)</f>
        <v>11</v>
      </c>
      <c r="J4340" s="18">
        <f>IFERROR(__xludf.DUMMYFUNCTION("""COMPUTED_VALUE"""),24.0)</f>
        <v>24</v>
      </c>
      <c r="K4340" s="18">
        <f>IFERROR(__xludf.DUMMYFUNCTION("""COMPUTED_VALUE"""),19.0)</f>
        <v>19</v>
      </c>
      <c r="L4340" s="17">
        <f>IFERROR(__xludf.DUMMYFUNCTION("""COMPUTED_VALUE"""),3.054312334E9)</f>
        <v>3054312334</v>
      </c>
      <c r="M4340" s="17" t="str">
        <f>IFERROR(__xludf.DUMMYFUNCTION("""COMPUTED_VALUE"""),"#REF!")</f>
        <v>#REF!</v>
      </c>
      <c r="N4340" s="17"/>
      <c r="O4340" s="17"/>
      <c r="P4340" s="17" t="b">
        <f>IFERROR(__xludf.DUMMYFUNCTION("""COMPUTED_VALUE"""),FALSE)</f>
        <v>0</v>
      </c>
      <c r="Q4340" s="20" t="str">
        <f>IFERROR(__xludf.DUMMYFUNCTION("""COMPUTED_VALUE"""),"")</f>
        <v/>
      </c>
      <c r="R4340" s="21" t="str">
        <f>IFERROR(__xludf.DUMMYFUNCTION("""COMPUTED_VALUE"""),"https://drive.google.com/file/d/14PxSNeeump1e32jLVW0w_ilin-VqpwEH/view?usp=drivesdk")</f>
        <v>https://drive.google.com/file/d/14PxSNeeump1e32jLVW0w_ilin-VqpwEH/view?usp=drivesdk</v>
      </c>
    </row>
    <row r="4341">
      <c r="A4341" s="15">
        <f>IFERROR(__xludf.DUMMYFUNCTION("""COMPUTED_VALUE"""),45126.0)</f>
        <v>45126</v>
      </c>
      <c r="B4341" s="16" t="str">
        <f>IFERROR(__xludf.DUMMYFUNCTION("""COMPUTED_VALUE"""),"Envia")</f>
        <v>Envia</v>
      </c>
      <c r="C4341" s="15" t="str">
        <f>IFERROR(__xludf.DUMMYFUNCTION("""COMPUTED_VALUE"""),"CARTAGENA")</f>
        <v>CARTAGENA</v>
      </c>
      <c r="D4341" s="15" t="str">
        <f>IFERROR(__xludf.DUMMYFUNCTION("""COMPUTED_VALUE"""),"BOGOTÁ")</f>
        <v>BOGOTÁ</v>
      </c>
      <c r="E4341" s="15" t="str">
        <f>IFERROR(__xludf.DUMMYFUNCTION("""COMPUTED_VALUE"""),"Mochi")</f>
        <v>Mochi</v>
      </c>
      <c r="F4341" s="17" t="str">
        <f>IFERROR(__xludf.DUMMYFUNCTION("""COMPUTED_VALUE"""),"Cra. 11 # 39-21, San Diego, Cartagena de Indias, Provincia de Cartagena, Bolívar / Cra. 11 # 39-21, San Diego, Cartagena de Indias, Provincia de Cartagena, Bolívar / Cra. 11 # 39-21, San Diego, Cartagena de Indias, Provincia de Cartagena, Bolívar")</f>
        <v>Cra. 11 # 39-21, San Diego, Cartagena de Indias, Provincia de Cartagena, Bolívar / Cra. 11 # 39-21, San Diego, Cartagena de Indias, Provincia de Cartagena, Bolívar / Cra. 11 # 39-21, San Diego, Cartagena de Indias, Provincia de Cartagena, Bolívar</v>
      </c>
      <c r="G4341" s="15" t="str">
        <f>IFERROR(__xludf.DUMMYFUNCTION("""COMPUTED_VALUE"""),"YUÑLIETH")</f>
        <v>YUÑLIETH</v>
      </c>
      <c r="H4341" s="16">
        <f>IFERROR(__xludf.DUMMYFUNCTION("""COMPUTED_VALUE"""),13052.0)</f>
        <v>13052</v>
      </c>
      <c r="I4341" s="18">
        <f>IFERROR(__xludf.DUMMYFUNCTION("""COMPUTED_VALUE"""),55.0)</f>
        <v>55</v>
      </c>
      <c r="J4341" s="18">
        <f>IFERROR(__xludf.DUMMYFUNCTION("""COMPUTED_VALUE"""),45.0)</f>
        <v>45</v>
      </c>
      <c r="K4341" s="18" t="str">
        <f>IFERROR(__xludf.DUMMYFUNCTION("""COMPUTED_VALUE"""),"52.5")</f>
        <v>52.5</v>
      </c>
      <c r="L4341" s="17">
        <f>IFERROR(__xludf.DUMMYFUNCTION("""COMPUTED_VALUE"""),3.23251582E9)</f>
        <v>3232515820</v>
      </c>
      <c r="M4341" s="17" t="str">
        <f>IFERROR(__xludf.DUMMYFUNCTION("""COMPUTED_VALUE"""),"#REF!")</f>
        <v>#REF!</v>
      </c>
      <c r="N4341" s="17"/>
      <c r="O4341" s="17"/>
      <c r="P4341" s="17" t="b">
        <f>IFERROR(__xludf.DUMMYFUNCTION("""COMPUTED_VALUE"""),FALSE)</f>
        <v>0</v>
      </c>
      <c r="Q4341" s="20" t="str">
        <f>IFERROR(__xludf.DUMMYFUNCTION("""COMPUTED_VALUE"""),"")</f>
        <v/>
      </c>
      <c r="R4341" s="22" t="str">
        <f>IFERROR(__xludf.DUMMYFUNCTION("""COMPUTED_VALUE"""),"")</f>
        <v/>
      </c>
    </row>
    <row r="4342">
      <c r="A4342" s="15">
        <f>IFERROR(__xludf.DUMMYFUNCTION("""COMPUTED_VALUE"""),45126.0)</f>
        <v>45126</v>
      </c>
      <c r="B4342" s="16" t="str">
        <f>IFERROR(__xludf.DUMMYFUNCTION("""COMPUTED_VALUE"""),"Envia")</f>
        <v>Envia</v>
      </c>
      <c r="C4342" s="15" t="str">
        <f>IFERROR(__xludf.DUMMYFUNCTION("""COMPUTED_VALUE"""),"CARTAGENA")</f>
        <v>CARTAGENA</v>
      </c>
      <c r="D4342" s="15" t="str">
        <f>IFERROR(__xludf.DUMMYFUNCTION("""COMPUTED_VALUE"""),"MEDELLÍN")</f>
        <v>MEDELLÍN</v>
      </c>
      <c r="E4342" s="15" t="str">
        <f>IFERROR(__xludf.DUMMYFUNCTION("""COMPUTED_VALUE"""),"Baby Chef")</f>
        <v>Baby Chef</v>
      </c>
      <c r="F4342" s="17" t="str">
        <f>IFERROR(__xludf.DUMMYFUNCTION("""COMPUTED_VALUE"""),"la Concepción calle 3A #1-45 Barrio: La Concepción  Referencia: a dos casas del parque de La Concepción / la Concepción calle 3A #1-45 Barrio: La Concepción  Referencia: a dos casas del parque de La Concepción / la Concepción calle 3A #1-45 Barrio: La Con"&amp;"cepción  Referencia: a dos casas del parque de La Concepción")</f>
        <v>la Concepción calle 3A #1-45 Barrio: La Concepción  Referencia: a dos casas del parque de La Concepción / la Concepción calle 3A #1-45 Barrio: La Concepción  Referencia: a dos casas del parque de La Concepción / la Concepción calle 3A #1-45 Barrio: La Concepción  Referencia: a dos casas del parque de La Concepción</v>
      </c>
      <c r="G4342" s="15" t="str">
        <f>IFERROR(__xludf.DUMMYFUNCTION("""COMPUTED_VALUE"""),"Enith Rodriguez")</f>
        <v>Enith Rodriguez</v>
      </c>
      <c r="H4342" s="16">
        <f>IFERROR(__xludf.DUMMYFUNCTION("""COMPUTED_VALUE"""),13002.0)</f>
        <v>13002</v>
      </c>
      <c r="I4342" s="18">
        <f>IFERROR(__xludf.DUMMYFUNCTION("""COMPUTED_VALUE"""),4.0)</f>
        <v>4</v>
      </c>
      <c r="J4342" s="18">
        <f>IFERROR(__xludf.DUMMYFUNCTION("""COMPUTED_VALUE"""),20.0)</f>
        <v>20</v>
      </c>
      <c r="K4342" s="18">
        <f>IFERROR(__xludf.DUMMYFUNCTION("""COMPUTED_VALUE"""),27.0)</f>
        <v>27</v>
      </c>
      <c r="L4342" s="17">
        <f>IFERROR(__xludf.DUMMYFUNCTION("""COMPUTED_VALUE"""),3.155388271E9)</f>
        <v>3155388271</v>
      </c>
      <c r="M4342" s="17" t="str">
        <f>IFERROR(__xludf.DUMMYFUNCTION("""COMPUTED_VALUE"""),"#REF!")</f>
        <v>#REF!</v>
      </c>
      <c r="N4342" s="17"/>
      <c r="O4342" s="17"/>
      <c r="P4342" s="17" t="b">
        <f>IFERROR(__xludf.DUMMYFUNCTION("""COMPUTED_VALUE"""),FALSE)</f>
        <v>0</v>
      </c>
      <c r="Q4342" s="20" t="str">
        <f>IFERROR(__xludf.DUMMYFUNCTION("""COMPUTED_VALUE"""),"")</f>
        <v/>
      </c>
      <c r="R4342" s="21" t="str">
        <f>IFERROR(__xludf.DUMMYFUNCTION("""COMPUTED_VALUE"""),"https://drive.google.com/file/d/1T7134VlBlVARRDCJh9qhXasvEnMxyTUx/view?usp=drivesdk")</f>
        <v>https://drive.google.com/file/d/1T7134VlBlVARRDCJh9qhXasvEnMxyTUx/view?usp=drivesdk</v>
      </c>
    </row>
    <row r="4343">
      <c r="A4343" s="15">
        <f>IFERROR(__xludf.DUMMYFUNCTION("""COMPUTED_VALUE"""),45126.0)</f>
        <v>45126</v>
      </c>
      <c r="B4343" s="16" t="str">
        <f>IFERROR(__xludf.DUMMYFUNCTION("""COMPUTED_VALUE"""),"Envia")</f>
        <v>Envia</v>
      </c>
      <c r="C4343" s="15" t="str">
        <f>IFERROR(__xludf.DUMMYFUNCTION("""COMPUTED_VALUE"""),"MEDELLÍN")</f>
        <v>MEDELLÍN</v>
      </c>
      <c r="D4343" s="15" t="str">
        <f>IFERROR(__xludf.DUMMYFUNCTION("""COMPUTED_VALUE"""),"BOGOTÁ")</f>
        <v>BOGOTÁ</v>
      </c>
      <c r="E4343" s="15" t="str">
        <f>IFERROR(__xludf.DUMMYFUNCTION("""COMPUTED_VALUE"""),"Mochi")</f>
        <v>Mochi</v>
      </c>
      <c r="F4343" s="17" t="str">
        <f>IFERROR(__xludf.DUMMYFUNCTION("""COMPUTED_VALUE"""),"Cra. 48 #32B Sur-139, Zona 1, Envigado, Antioquia / Cra. 48 #32B Sur-139, Zona 1, Envigado, Antioquia / Cra. 48 #32B Sur-139, Zona 1, Envigado, Antioquia")</f>
        <v>Cra. 48 #32B Sur-139, Zona 1, Envigado, Antioquia / Cra. 48 #32B Sur-139, Zona 1, Envigado, Antioquia / Cra. 48 #32B Sur-139, Zona 1, Envigado, Antioquia</v>
      </c>
      <c r="G4343" s="15" t="str">
        <f>IFERROR(__xludf.DUMMYFUNCTION("""COMPUTED_VALUE"""),"TYANIA")</f>
        <v>TYANIA</v>
      </c>
      <c r="H4343" s="16">
        <f>IFERROR(__xludf.DUMMYFUNCTION("""COMPUTED_VALUE"""),13053.0)</f>
        <v>13053</v>
      </c>
      <c r="I4343" s="18">
        <f>IFERROR(__xludf.DUMMYFUNCTION("""COMPUTED_VALUE"""),55.0)</f>
        <v>55</v>
      </c>
      <c r="J4343" s="18">
        <f>IFERROR(__xludf.DUMMYFUNCTION("""COMPUTED_VALUE"""),45.0)</f>
        <v>45</v>
      </c>
      <c r="K4343" s="18" t="str">
        <f>IFERROR(__xludf.DUMMYFUNCTION("""COMPUTED_VALUE"""),"52.5")</f>
        <v>52.5</v>
      </c>
      <c r="L4343" s="17">
        <f>IFERROR(__xludf.DUMMYFUNCTION("""COMPUTED_VALUE"""),3.142587995E9)</f>
        <v>3142587995</v>
      </c>
      <c r="M4343" s="17" t="str">
        <f>IFERROR(__xludf.DUMMYFUNCTION("""COMPUTED_VALUE"""),"#REF!")</f>
        <v>#REF!</v>
      </c>
      <c r="N4343" s="17"/>
      <c r="O4343" s="17"/>
      <c r="P4343" s="17" t="b">
        <f>IFERROR(__xludf.DUMMYFUNCTION("""COMPUTED_VALUE"""),FALSE)</f>
        <v>0</v>
      </c>
      <c r="Q4343" s="20" t="str">
        <f>IFERROR(__xludf.DUMMYFUNCTION("""COMPUTED_VALUE"""),"")</f>
        <v/>
      </c>
      <c r="R4343" s="22" t="str">
        <f>IFERROR(__xludf.DUMMYFUNCTION("""COMPUTED_VALUE"""),"")</f>
        <v/>
      </c>
    </row>
    <row r="4344">
      <c r="A4344" s="15">
        <f>IFERROR(__xludf.DUMMYFUNCTION("""COMPUTED_VALUE"""),45126.0)</f>
        <v>45126</v>
      </c>
      <c r="B4344" s="16" t="str">
        <f>IFERROR(__xludf.DUMMYFUNCTION("""COMPUTED_VALUE"""),"Envia")</f>
        <v>Envia</v>
      </c>
      <c r="C4344" s="15" t="str">
        <f>IFERROR(__xludf.DUMMYFUNCTION("""COMPUTED_VALUE"""),"MONTERIA")</f>
        <v>MONTERIA</v>
      </c>
      <c r="D4344" s="15" t="str">
        <f>IFERROR(__xludf.DUMMYFUNCTION("""COMPUTED_VALUE"""),"BOGOTÁ")</f>
        <v>BOGOTÁ</v>
      </c>
      <c r="E4344" s="15" t="str">
        <f>IFERROR(__xludf.DUMMYFUNCTION("""COMPUTED_VALUE"""),"Top Spun")</f>
        <v>Top Spun</v>
      </c>
      <c r="F4344" s="17" t="str">
        <f>IFERROR(__xludf.DUMMYFUNCTION("""COMPUTED_VALUE"""),"Calle 78 no. 6 225 casa 27 / Portal de picacho /  Monteria")</f>
        <v>Calle 78 no. 6 225 casa 27 / Portal de picacho /  Monteria</v>
      </c>
      <c r="G4344" s="15" t="str">
        <f>IFERROR(__xludf.DUMMYFUNCTION("""COMPUTED_VALUE"""),"Laura Olmos")</f>
        <v>Laura Olmos</v>
      </c>
      <c r="H4344" s="16">
        <f>IFERROR(__xludf.DUMMYFUNCTION("""COMPUTED_VALUE"""),12924.0)</f>
        <v>12924</v>
      </c>
      <c r="I4344" s="18">
        <f>IFERROR(__xludf.DUMMYFUNCTION("""COMPUTED_VALUE"""),20.0)</f>
        <v>20</v>
      </c>
      <c r="J4344" s="18">
        <f>IFERROR(__xludf.DUMMYFUNCTION("""COMPUTED_VALUE"""),40.0)</f>
        <v>40</v>
      </c>
      <c r="K4344" s="18">
        <f>IFERROR(__xludf.DUMMYFUNCTION("""COMPUTED_VALUE"""),10.0)</f>
        <v>10</v>
      </c>
      <c r="L4344" s="17">
        <f>IFERROR(__xludf.DUMMYFUNCTION("""COMPUTED_VALUE"""),3.176403298E9)</f>
        <v>3176403298</v>
      </c>
      <c r="M4344" s="17" t="str">
        <f>IFERROR(__xludf.DUMMYFUNCTION("""COMPUTED_VALUE"""),"#REF!")</f>
        <v>#REF!</v>
      </c>
      <c r="N4344" s="17"/>
      <c r="O4344" s="17"/>
      <c r="P4344" s="17" t="b">
        <f>IFERROR(__xludf.DUMMYFUNCTION("""COMPUTED_VALUE"""),FALSE)</f>
        <v>0</v>
      </c>
      <c r="Q4344" s="20" t="str">
        <f>IFERROR(__xludf.DUMMYFUNCTION("""COMPUTED_VALUE"""),"")</f>
        <v/>
      </c>
      <c r="R4344" s="21" t="str">
        <f>IFERROR(__xludf.DUMMYFUNCTION("""COMPUTED_VALUE"""),"https://drive.google.com/file/d/1QfI9PS1csjXoVrnpOVdZNaqveTceJw9s/view?usp=drivesdk")</f>
        <v>https://drive.google.com/file/d/1QfI9PS1csjXoVrnpOVdZNaqveTceJw9s/view?usp=drivesdk</v>
      </c>
    </row>
    <row r="4345">
      <c r="A4345" s="15">
        <f>IFERROR(__xludf.DUMMYFUNCTION("""COMPUTED_VALUE"""),45126.0)</f>
        <v>45126</v>
      </c>
      <c r="B4345" s="16" t="str">
        <f>IFERROR(__xludf.DUMMYFUNCTION("""COMPUTED_VALUE"""),"Envia")</f>
        <v>Envia</v>
      </c>
      <c r="C4345" s="15" t="str">
        <f>IFERROR(__xludf.DUMMYFUNCTION("""COMPUTED_VALUE"""),"MONTERIA")</f>
        <v>MONTERIA</v>
      </c>
      <c r="D4345" s="15" t="str">
        <f>IFERROR(__xludf.DUMMYFUNCTION("""COMPUTED_VALUE"""),"MEDELLÍN")</f>
        <v>MEDELLÍN</v>
      </c>
      <c r="E4345" s="15" t="str">
        <f>IFERROR(__xludf.DUMMYFUNCTION("""COMPUTED_VALUE"""),"Rambla")</f>
        <v>Rambla</v>
      </c>
      <c r="F4345" s="17" t="str">
        <f>IFERROR(__xludf.DUMMYFUNCTION("""COMPUTED_VALUE"""),"centro comercial place mall cra 6 #65-24 / local 18  / barrio castellana")</f>
        <v>centro comercial place mall cra 6 #65-24 / local 18  / barrio castellana</v>
      </c>
      <c r="G4345" s="15" t="str">
        <f>IFERROR(__xludf.DUMMYFUNCTION("""COMPUTED_VALUE"""),"Amate mercado saludable")</f>
        <v>Amate mercado saludable</v>
      </c>
      <c r="H4345" s="16">
        <f>IFERROR(__xludf.DUMMYFUNCTION("""COMPUTED_VALUE"""),13040.0)</f>
        <v>13040</v>
      </c>
      <c r="I4345" s="18">
        <f>IFERROR(__xludf.DUMMYFUNCTION("""COMPUTED_VALUE"""),32.0)</f>
        <v>32</v>
      </c>
      <c r="J4345" s="18">
        <f>IFERROR(__xludf.DUMMYFUNCTION("""COMPUTED_VALUE"""),23.0)</f>
        <v>23</v>
      </c>
      <c r="K4345" s="18">
        <f>IFERROR(__xludf.DUMMYFUNCTION("""COMPUTED_VALUE"""),23.0)</f>
        <v>23</v>
      </c>
      <c r="L4345" s="17">
        <f>IFERROR(__xludf.DUMMYFUNCTION("""COMPUTED_VALUE"""),3.005102494E9)</f>
        <v>3005102494</v>
      </c>
      <c r="M4345" s="17" t="str">
        <f>IFERROR(__xludf.DUMMYFUNCTION("""COMPUTED_VALUE"""),"#REF!")</f>
        <v>#REF!</v>
      </c>
      <c r="N4345" s="17"/>
      <c r="O4345" s="17"/>
      <c r="P4345" s="17" t="b">
        <f>IFERROR(__xludf.DUMMYFUNCTION("""COMPUTED_VALUE"""),FALSE)</f>
        <v>0</v>
      </c>
      <c r="Q4345" s="20" t="str">
        <f>IFERROR(__xludf.DUMMYFUNCTION("""COMPUTED_VALUE"""),"")</f>
        <v/>
      </c>
      <c r="R4345" s="21" t="str">
        <f>IFERROR(__xludf.DUMMYFUNCTION("""COMPUTED_VALUE"""),"https://drive.google.com/file/d/10HOUaq4PlSEBdFbh6oR35bjULIgPiZhy/view?usp=drivesdk")</f>
        <v>https://drive.google.com/file/d/10HOUaq4PlSEBdFbh6oR35bjULIgPiZhy/view?usp=drivesdk</v>
      </c>
    </row>
    <row r="4346">
      <c r="A4346" s="17" t="str">
        <f>IFERROR(__xludf.DUMMYFUNCTION("""COMPUTED_VALUE"""),"")</f>
        <v/>
      </c>
      <c r="B4346" s="17" t="str">
        <f>IFERROR(__xludf.DUMMYFUNCTION("""COMPUTED_VALUE"""),"")</f>
        <v/>
      </c>
      <c r="C4346" s="17" t="str">
        <f>IFERROR(__xludf.DUMMYFUNCTION("""COMPUTED_VALUE"""),"")</f>
        <v/>
      </c>
      <c r="D4346" s="17" t="str">
        <f>IFERROR(__xludf.DUMMYFUNCTION("""COMPUTED_VALUE"""),"")</f>
        <v/>
      </c>
      <c r="E4346" s="17" t="str">
        <f>IFERROR(__xludf.DUMMYFUNCTION("""COMPUTED_VALUE"""),"")</f>
        <v/>
      </c>
      <c r="F4346" s="17" t="str">
        <f>IFERROR(__xludf.DUMMYFUNCTION("""COMPUTED_VALUE"""),"")</f>
        <v/>
      </c>
      <c r="G4346" s="17" t="str">
        <f>IFERROR(__xludf.DUMMYFUNCTION("""COMPUTED_VALUE"""),"")</f>
        <v/>
      </c>
      <c r="H4346" s="17" t="str">
        <f>IFERROR(__xludf.DUMMYFUNCTION("""COMPUTED_VALUE"""),"")</f>
        <v/>
      </c>
      <c r="I4346" s="17" t="str">
        <f>IFERROR(__xludf.DUMMYFUNCTION("""COMPUTED_VALUE"""),"")</f>
        <v/>
      </c>
      <c r="J4346" s="17" t="str">
        <f>IFERROR(__xludf.DUMMYFUNCTION("""COMPUTED_VALUE"""),"")</f>
        <v/>
      </c>
      <c r="K4346" s="17" t="str">
        <f>IFERROR(__xludf.DUMMYFUNCTION("""COMPUTED_VALUE"""),"")</f>
        <v/>
      </c>
      <c r="L4346" s="17" t="str">
        <f>IFERROR(__xludf.DUMMYFUNCTION("""COMPUTED_VALUE"""),"")</f>
        <v/>
      </c>
      <c r="M4346" s="17" t="str">
        <f>IFERROR(__xludf.DUMMYFUNCTION("""COMPUTED_VALUE"""),"")</f>
        <v/>
      </c>
      <c r="N4346" s="17" t="str">
        <f>IFERROR(__xludf.DUMMYFUNCTION("""COMPUTED_VALUE"""),"")</f>
        <v/>
      </c>
      <c r="O4346" s="17" t="str">
        <f>IFERROR(__xludf.DUMMYFUNCTION("""COMPUTED_VALUE"""),"")</f>
        <v/>
      </c>
      <c r="P4346" s="17" t="str">
        <f>IFERROR(__xludf.DUMMYFUNCTION("""COMPUTED_VALUE"""),"")</f>
        <v/>
      </c>
      <c r="Q4346" s="17" t="str">
        <f>IFERROR(__xludf.DUMMYFUNCTION("""COMPUTED_VALUE"""),"")</f>
        <v/>
      </c>
      <c r="R4346" s="17" t="str">
        <f>IFERROR(__xludf.DUMMYFUNCTION("""COMPUTED_VALUE"""),"")</f>
        <v/>
      </c>
    </row>
    <row r="4347">
      <c r="A4347" s="15">
        <f>IFERROR(__xludf.DUMMYFUNCTION("""COMPUTED_VALUE"""),45126.0)</f>
        <v>45126</v>
      </c>
      <c r="B4347" s="16" t="str">
        <f>IFERROR(__xludf.DUMMYFUNCTION("""COMPUTED_VALUE"""),"Jeison Rubiano")</f>
        <v>Jeison Rubiano</v>
      </c>
      <c r="C4347" s="15" t="str">
        <f>IFERROR(__xludf.DUMMYFUNCTION("""COMPUTED_VALUE"""),"BOGOTÁ")</f>
        <v>BOGOTÁ</v>
      </c>
      <c r="D4347" s="15" t="str">
        <f>IFERROR(__xludf.DUMMYFUNCTION("""COMPUTED_VALUE"""),"CALI")</f>
        <v>CALI</v>
      </c>
      <c r="E4347" s="15" t="str">
        <f>IFERROR(__xludf.DUMMYFUNCTION("""COMPUTED_VALUE"""),"Natalia Carreño")</f>
        <v>Natalia Carreño</v>
      </c>
      <c r="F4347" s="17" t="str">
        <f>IFERROR(__xludf.DUMMYFUNCTION("""COMPUTED_VALUE"""),"Cra 27 no 70-83 / Demwnte acuardienteria casa curuba / Alcazares")</f>
        <v>Cra 27 no 70-83 / Demwnte acuardienteria casa curuba / Alcazares</v>
      </c>
      <c r="G4347" s="15" t="str">
        <f>IFERROR(__xludf.DUMMYFUNCTION("""COMPUTED_VALUE"""),"Natalia carreno")</f>
        <v>Natalia carreno</v>
      </c>
      <c r="H4347" s="16">
        <f>IFERROR(__xludf.DUMMYFUNCTION("""COMPUTED_VALUE"""),13035.0)</f>
        <v>13035</v>
      </c>
      <c r="I4347" s="18">
        <f>IFERROR(__xludf.DUMMYFUNCTION("""COMPUTED_VALUE"""),40.0)</f>
        <v>40</v>
      </c>
      <c r="J4347" s="18">
        <f>IFERROR(__xludf.DUMMYFUNCTION("""COMPUTED_VALUE"""),40.0)</f>
        <v>40</v>
      </c>
      <c r="K4347" s="18">
        <f>IFERROR(__xludf.DUMMYFUNCTION("""COMPUTED_VALUE"""),60.0)</f>
        <v>60</v>
      </c>
      <c r="L4347" s="17">
        <f>IFERROR(__xludf.DUMMYFUNCTION("""COMPUTED_VALUE"""),3.11461131E9)</f>
        <v>3114611310</v>
      </c>
      <c r="M4347" s="17" t="str">
        <f>IFERROR(__xludf.DUMMYFUNCTION("""COMPUTED_VALUE"""),"#REF!")</f>
        <v>#REF!</v>
      </c>
      <c r="N4347" s="17"/>
      <c r="O4347" s="17"/>
      <c r="P4347" s="17" t="b">
        <f>IFERROR(__xludf.DUMMYFUNCTION("""COMPUTED_VALUE"""),FALSE)</f>
        <v>0</v>
      </c>
      <c r="Q4347" s="20" t="str">
        <f>IFERROR(__xludf.DUMMYFUNCTION("""COMPUTED_VALUE"""),"")</f>
        <v/>
      </c>
      <c r="R4347" s="22" t="str">
        <f>IFERROR(__xludf.DUMMYFUNCTION("""COMPUTED_VALUE"""),"")</f>
        <v/>
      </c>
    </row>
    <row r="4348">
      <c r="A4348" s="15">
        <f>IFERROR(__xludf.DUMMYFUNCTION("""COMPUTED_VALUE"""),45126.0)</f>
        <v>45126</v>
      </c>
      <c r="B4348" s="16" t="str">
        <f>IFERROR(__xludf.DUMMYFUNCTION("""COMPUTED_VALUE"""),"Jeison Rubiano")</f>
        <v>Jeison Rubiano</v>
      </c>
      <c r="C4348" s="15" t="str">
        <f>IFERROR(__xludf.DUMMYFUNCTION("""COMPUTED_VALUE"""),"BOGOTÁ")</f>
        <v>BOGOTÁ</v>
      </c>
      <c r="D4348" s="15" t="str">
        <f>IFERROR(__xludf.DUMMYFUNCTION("""COMPUTED_VALUE"""),"MEDELLÍN")</f>
        <v>MEDELLÍN</v>
      </c>
      <c r="E4348" s="15" t="str">
        <f>IFERROR(__xludf.DUMMYFUNCTION("""COMPUTED_VALUE"""),"Moloso S.A.S")</f>
        <v>Moloso S.A.S</v>
      </c>
      <c r="F4348" s="17" t="str">
        <f>IFERROR(__xludf.DUMMYFUNCTION("""COMPUTED_VALUE"""),"CR 78AN 58M 88 SUR / CJ PARQUES DE VILLA ANITA")</f>
        <v>CR 78AN 58M 88 SUR / CJ PARQUES DE VILLA ANITA</v>
      </c>
      <c r="G4348" s="15" t="str">
        <f>IFERROR(__xludf.DUMMYFUNCTION("""COMPUTED_VALUE"""),"VANESSA BELTRAN BUITRAGO")</f>
        <v>VANESSA BELTRAN BUITRAGO</v>
      </c>
      <c r="H4348" s="16">
        <f>IFERROR(__xludf.DUMMYFUNCTION("""COMPUTED_VALUE"""),13037.0)</f>
        <v>13037</v>
      </c>
      <c r="I4348" s="18">
        <f>IFERROR(__xludf.DUMMYFUNCTION("""COMPUTED_VALUE"""),17.0)</f>
        <v>17</v>
      </c>
      <c r="J4348" s="18">
        <f>IFERROR(__xludf.DUMMYFUNCTION("""COMPUTED_VALUE"""),15.0)</f>
        <v>15</v>
      </c>
      <c r="K4348" s="18">
        <f>IFERROR(__xludf.DUMMYFUNCTION("""COMPUTED_VALUE"""),28.0)</f>
        <v>28</v>
      </c>
      <c r="L4348" s="17" t="str">
        <f>IFERROR(__xludf.DUMMYFUNCTION("""COMPUTED_VALUE"""),"319 5025532")</f>
        <v>319 5025532</v>
      </c>
      <c r="M4348" s="17" t="str">
        <f>IFERROR(__xludf.DUMMYFUNCTION("""COMPUTED_VALUE"""),"#REF!")</f>
        <v>#REF!</v>
      </c>
      <c r="N4348" s="17"/>
      <c r="O4348" s="17"/>
      <c r="P4348" s="17" t="b">
        <f>IFERROR(__xludf.DUMMYFUNCTION("""COMPUTED_VALUE"""),FALSE)</f>
        <v>0</v>
      </c>
      <c r="Q4348" s="20" t="str">
        <f>IFERROR(__xludf.DUMMYFUNCTION("""COMPUTED_VALUE"""),"")</f>
        <v/>
      </c>
      <c r="R4348" s="21" t="str">
        <f>IFERROR(__xludf.DUMMYFUNCTION("""COMPUTED_VALUE"""),"https://drive.google.com/file/d/1spVTGBHwaxSyd5a_hUBvP582noP4zuc5/view?usp=drivesdk")</f>
        <v>https://drive.google.com/file/d/1spVTGBHwaxSyd5a_hUBvP582noP4zuc5/view?usp=drivesdk</v>
      </c>
    </row>
    <row r="4349">
      <c r="A4349" s="17" t="str">
        <f>IFERROR(__xludf.DUMMYFUNCTION("""COMPUTED_VALUE"""),"")</f>
        <v/>
      </c>
      <c r="B4349" s="17" t="str">
        <f>IFERROR(__xludf.DUMMYFUNCTION("""COMPUTED_VALUE"""),"")</f>
        <v/>
      </c>
      <c r="C4349" s="17" t="str">
        <f>IFERROR(__xludf.DUMMYFUNCTION("""COMPUTED_VALUE"""),"")</f>
        <v/>
      </c>
      <c r="D4349" s="17" t="str">
        <f>IFERROR(__xludf.DUMMYFUNCTION("""COMPUTED_VALUE"""),"")</f>
        <v/>
      </c>
      <c r="E4349" s="17" t="str">
        <f>IFERROR(__xludf.DUMMYFUNCTION("""COMPUTED_VALUE"""),"")</f>
        <v/>
      </c>
      <c r="F4349" s="17" t="str">
        <f>IFERROR(__xludf.DUMMYFUNCTION("""COMPUTED_VALUE"""),"")</f>
        <v/>
      </c>
      <c r="G4349" s="17" t="str">
        <f>IFERROR(__xludf.DUMMYFUNCTION("""COMPUTED_VALUE"""),"")</f>
        <v/>
      </c>
      <c r="H4349" s="17" t="str">
        <f>IFERROR(__xludf.DUMMYFUNCTION("""COMPUTED_VALUE"""),"")</f>
        <v/>
      </c>
      <c r="I4349" s="17" t="str">
        <f>IFERROR(__xludf.DUMMYFUNCTION("""COMPUTED_VALUE"""),"")</f>
        <v/>
      </c>
      <c r="J4349" s="17" t="str">
        <f>IFERROR(__xludf.DUMMYFUNCTION("""COMPUTED_VALUE"""),"")</f>
        <v/>
      </c>
      <c r="K4349" s="17" t="str">
        <f>IFERROR(__xludf.DUMMYFUNCTION("""COMPUTED_VALUE"""),"")</f>
        <v/>
      </c>
      <c r="L4349" s="17" t="str">
        <f>IFERROR(__xludf.DUMMYFUNCTION("""COMPUTED_VALUE"""),"")</f>
        <v/>
      </c>
      <c r="M4349" s="17" t="str">
        <f>IFERROR(__xludf.DUMMYFUNCTION("""COMPUTED_VALUE"""),"")</f>
        <v/>
      </c>
      <c r="N4349" s="17" t="str">
        <f>IFERROR(__xludf.DUMMYFUNCTION("""COMPUTED_VALUE"""),"")</f>
        <v/>
      </c>
      <c r="O4349" s="17" t="str">
        <f>IFERROR(__xludf.DUMMYFUNCTION("""COMPUTED_VALUE"""),"")</f>
        <v/>
      </c>
      <c r="P4349" s="17" t="str">
        <f>IFERROR(__xludf.DUMMYFUNCTION("""COMPUTED_VALUE"""),"")</f>
        <v/>
      </c>
      <c r="Q4349" s="17" t="str">
        <f>IFERROR(__xludf.DUMMYFUNCTION("""COMPUTED_VALUE"""),"")</f>
        <v/>
      </c>
      <c r="R4349" s="17" t="str">
        <f>IFERROR(__xludf.DUMMYFUNCTION("""COMPUTED_VALUE"""),"")</f>
        <v/>
      </c>
    </row>
    <row r="4350">
      <c r="A4350" s="15">
        <f>IFERROR(__xludf.DUMMYFUNCTION("""COMPUTED_VALUE"""),45126.0)</f>
        <v>45126</v>
      </c>
      <c r="B4350" s="16" t="str">
        <f>IFERROR(__xludf.DUMMYFUNCTION("""COMPUTED_VALUE"""),"Johan Alexander Escobar Arroyo ")</f>
        <v>Johan Alexander Escobar Arroyo </v>
      </c>
      <c r="C4350" s="15" t="str">
        <f>IFERROR(__xludf.DUMMYFUNCTION("""COMPUTED_VALUE"""),"CALI")</f>
        <v>CALI</v>
      </c>
      <c r="D4350" s="15" t="str">
        <f>IFERROR(__xludf.DUMMYFUNCTION("""COMPUTED_VALUE"""),"MEDELLÍN")</f>
        <v>MEDELLÍN</v>
      </c>
      <c r="E4350" s="15" t="str">
        <f>IFERROR(__xludf.DUMMYFUNCTION("""COMPUTED_VALUE"""),"AREPAS LA MARY")</f>
        <v>AREPAS LA MARY</v>
      </c>
      <c r="F4350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4350" s="15" t="str">
        <f>IFERROR(__xludf.DUMMYFUNCTION("""COMPUTED_VALUE"""),"VITALFINESS CALI")</f>
        <v>VITALFINESS CALI</v>
      </c>
      <c r="H4350" s="16">
        <f>IFERROR(__xludf.DUMMYFUNCTION("""COMPUTED_VALUE"""),12967.0)</f>
        <v>12967</v>
      </c>
      <c r="I4350" s="18">
        <f>IFERROR(__xludf.DUMMYFUNCTION("""COMPUTED_VALUE"""),89.0)</f>
        <v>89</v>
      </c>
      <c r="J4350" s="18">
        <f>IFERROR(__xludf.DUMMYFUNCTION("""COMPUTED_VALUE"""),1.0)</f>
        <v>1</v>
      </c>
      <c r="K4350" s="18">
        <f>IFERROR(__xludf.DUMMYFUNCTION("""COMPUTED_VALUE"""),10.0)</f>
        <v>10</v>
      </c>
      <c r="L4350" s="17">
        <f>IFERROR(__xludf.DUMMYFUNCTION("""COMPUTED_VALUE"""),3.226925759E9)</f>
        <v>3226925759</v>
      </c>
      <c r="M4350" s="17" t="str">
        <f>IFERROR(__xludf.DUMMYFUNCTION("""COMPUTED_VALUE"""),"#REF!")</f>
        <v>#REF!</v>
      </c>
      <c r="N4350" s="17"/>
      <c r="O4350" s="17"/>
      <c r="P4350" s="17" t="b">
        <f>IFERROR(__xludf.DUMMYFUNCTION("""COMPUTED_VALUE"""),FALSE)</f>
        <v>0</v>
      </c>
      <c r="Q4350" s="20" t="str">
        <f>IFERROR(__xludf.DUMMYFUNCTION("""COMPUTED_VALUE"""),"")</f>
        <v/>
      </c>
      <c r="R4350" s="21" t="str">
        <f>IFERROR(__xludf.DUMMYFUNCTION("""COMPUTED_VALUE"""),"https://drive.google.com/file/d/11-bWPs3h5cz4ffaZtSv4mKEk0Hl3uM4D/view?usp=drivesdk")</f>
        <v>https://drive.google.com/file/d/11-bWPs3h5cz4ffaZtSv4mKEk0Hl3uM4D/view?usp=drivesdk</v>
      </c>
    </row>
    <row r="4351">
      <c r="A4351" s="15">
        <f>IFERROR(__xludf.DUMMYFUNCTION("""COMPUTED_VALUE"""),45126.0)</f>
        <v>45126</v>
      </c>
      <c r="B4351" s="16" t="str">
        <f>IFERROR(__xludf.DUMMYFUNCTION("""COMPUTED_VALUE"""),"Johan Alexander Escobar Arroyo ")</f>
        <v>Johan Alexander Escobar Arroyo </v>
      </c>
      <c r="C4351" s="15" t="str">
        <f>IFERROR(__xludf.DUMMYFUNCTION("""COMPUTED_VALUE"""),"CALI")</f>
        <v>CALI</v>
      </c>
      <c r="D4351" s="15" t="str">
        <f>IFERROR(__xludf.DUMMYFUNCTION("""COMPUTED_VALUE"""),"MEDELLÍN")</f>
        <v>MEDELLÍN</v>
      </c>
      <c r="E4351" s="15" t="str">
        <f>IFERROR(__xludf.DUMMYFUNCTION("""COMPUTED_VALUE"""),"Baby Chef")</f>
        <v>Baby Chef</v>
      </c>
      <c r="F4351" s="17" t="str">
        <f>IFERROR(__xludf.DUMMYFUNCTION("""COMPUTED_VALUE"""),"Calle 20 # 116-105 casa 28, Barrio Pance, Casas del Alférez / Calle 20 # 116-105 casa 28, Barrio Pance, Casas del Alférez / Calle 20 # 116-105 casa 28, Barrio Pance, Casas del Alférez")</f>
        <v>Calle 20 # 116-105 casa 28, Barrio Pance, Casas del Alférez / Calle 20 # 116-105 casa 28, Barrio Pance, Casas del Alférez / Calle 20 # 116-105 casa 28, Barrio Pance, Casas del Alférez</v>
      </c>
      <c r="G4351" s="15" t="str">
        <f>IFERROR(__xludf.DUMMYFUNCTION("""COMPUTED_VALUE"""),"Marie Andrea  Ortiz Lobo")</f>
        <v>Marie Andrea  Ortiz Lobo</v>
      </c>
      <c r="H4351" s="16">
        <f>IFERROR(__xludf.DUMMYFUNCTION("""COMPUTED_VALUE"""),13046.0)</f>
        <v>13046</v>
      </c>
      <c r="I4351" s="18">
        <f>IFERROR(__xludf.DUMMYFUNCTION("""COMPUTED_VALUE"""),7.0)</f>
        <v>7</v>
      </c>
      <c r="J4351" s="18">
        <f>IFERROR(__xludf.DUMMYFUNCTION("""COMPUTED_VALUE"""),35.0)</f>
        <v>35</v>
      </c>
      <c r="K4351" s="18">
        <f>IFERROR(__xludf.DUMMYFUNCTION("""COMPUTED_VALUE"""),25.0)</f>
        <v>25</v>
      </c>
      <c r="L4351" s="17">
        <f>IFERROR(__xludf.DUMMYFUNCTION("""COMPUTED_VALUE"""),3.188133896E9)</f>
        <v>3188133896</v>
      </c>
      <c r="M4351" s="17" t="str">
        <f>IFERROR(__xludf.DUMMYFUNCTION("""COMPUTED_VALUE"""),"#REF!")</f>
        <v>#REF!</v>
      </c>
      <c r="N4351" s="17"/>
      <c r="O4351" s="17"/>
      <c r="P4351" s="17" t="b">
        <f>IFERROR(__xludf.DUMMYFUNCTION("""COMPUTED_VALUE"""),FALSE)</f>
        <v>0</v>
      </c>
      <c r="Q4351" s="20" t="str">
        <f>IFERROR(__xludf.DUMMYFUNCTION("""COMPUTED_VALUE"""),"")</f>
        <v/>
      </c>
      <c r="R4351" s="22" t="str">
        <f>IFERROR(__xludf.DUMMYFUNCTION("""COMPUTED_VALUE"""),"")</f>
        <v/>
      </c>
    </row>
    <row r="4352">
      <c r="A4352" s="15">
        <f>IFERROR(__xludf.DUMMYFUNCTION("""COMPUTED_VALUE"""),45126.0)</f>
        <v>45126</v>
      </c>
      <c r="B4352" s="16" t="str">
        <f>IFERROR(__xludf.DUMMYFUNCTION("""COMPUTED_VALUE"""),"Johan Alexander Escobar Arroyo ")</f>
        <v>Johan Alexander Escobar Arroyo </v>
      </c>
      <c r="C4352" s="15" t="str">
        <f>IFERROR(__xludf.DUMMYFUNCTION("""COMPUTED_VALUE"""),"CALI")</f>
        <v>CALI</v>
      </c>
      <c r="D4352" s="15" t="str">
        <f>IFERROR(__xludf.DUMMYFUNCTION("""COMPUTED_VALUE"""),"MEDELLÍN")</f>
        <v>MEDELLÍN</v>
      </c>
      <c r="E4352" s="15" t="str">
        <f>IFERROR(__xludf.DUMMYFUNCTION("""COMPUTED_VALUE"""),"JD Bufala")</f>
        <v>JD Bufala</v>
      </c>
      <c r="F4352" s="17" t="str">
        <f>IFERROR(__xludf.DUMMYFUNCTION("""COMPUTED_VALUE"""),"Calle51norte#04BN02 / Delhuerto pizzería  / La flora")</f>
        <v>Calle51norte#04BN02 / Delhuerto pizzería  / La flora</v>
      </c>
      <c r="G4352" s="15" t="str">
        <f>IFERROR(__xludf.DUMMYFUNCTION("""COMPUTED_VALUE"""),"Javier Rodríguez")</f>
        <v>Javier Rodríguez</v>
      </c>
      <c r="H4352" s="16">
        <f>IFERROR(__xludf.DUMMYFUNCTION("""COMPUTED_VALUE"""),13050.0)</f>
        <v>13050</v>
      </c>
      <c r="I4352" s="18">
        <f>IFERROR(__xludf.DUMMYFUNCTION("""COMPUTED_VALUE"""),45066.0)</f>
        <v>45066</v>
      </c>
      <c r="J4352" s="18">
        <f>IFERROR(__xludf.DUMMYFUNCTION("""COMPUTED_VALUE"""),28.0)</f>
        <v>28</v>
      </c>
      <c r="K4352" s="18">
        <f>IFERROR(__xludf.DUMMYFUNCTION("""COMPUTED_VALUE"""),40.0)</f>
        <v>40</v>
      </c>
      <c r="L4352" s="17">
        <f>IFERROR(__xludf.DUMMYFUNCTION("""COMPUTED_VALUE"""),3.104919761E9)</f>
        <v>3104919761</v>
      </c>
      <c r="M4352" s="17" t="str">
        <f>IFERROR(__xludf.DUMMYFUNCTION("""COMPUTED_VALUE"""),"#REF!")</f>
        <v>#REF!</v>
      </c>
      <c r="N4352" s="17"/>
      <c r="O4352" s="17"/>
      <c r="P4352" s="17" t="b">
        <f>IFERROR(__xludf.DUMMYFUNCTION("""COMPUTED_VALUE"""),FALSE)</f>
        <v>0</v>
      </c>
      <c r="Q4352" s="20" t="str">
        <f>IFERROR(__xludf.DUMMYFUNCTION("""COMPUTED_VALUE"""),"")</f>
        <v/>
      </c>
      <c r="R4352" s="22" t="str">
        <f>IFERROR(__xludf.DUMMYFUNCTION("""COMPUTED_VALUE"""),"")</f>
        <v/>
      </c>
    </row>
    <row r="4353">
      <c r="A4353" s="15">
        <f>IFERROR(__xludf.DUMMYFUNCTION("""COMPUTED_VALUE"""),45126.0)</f>
        <v>45126</v>
      </c>
      <c r="B4353" s="16" t="str">
        <f>IFERROR(__xludf.DUMMYFUNCTION("""COMPUTED_VALUE"""),"Johan Alexander Escobar Arroyo ")</f>
        <v>Johan Alexander Escobar Arroyo </v>
      </c>
      <c r="C4353" s="15" t="str">
        <f>IFERROR(__xludf.DUMMYFUNCTION("""COMPUTED_VALUE"""),"FLORIDABLANCA")</f>
        <v>FLORIDABLANCA</v>
      </c>
      <c r="D4353" s="15" t="str">
        <f>IFERROR(__xludf.DUMMYFUNCTION("""COMPUTED_VALUE"""),"BOGOTÁ")</f>
        <v>BOGOTÁ</v>
      </c>
      <c r="E4353" s="15" t="str">
        <f>IFERROR(__xludf.DUMMYFUNCTION("""COMPUTED_VALUE"""),"Evamazzita")</f>
        <v>Evamazzita</v>
      </c>
      <c r="F4353" s="17" t="str">
        <f>IFERROR(__xludf.DUMMYFUNCTION("""COMPUTED_VALUE"""),"Carrera 21#152-30 / Torre 22/ Apto 101 / C.R./ Parque san agustin/ Barrio palomitas")</f>
        <v>Carrera 21#152-30 / Torre 22/ Apto 101 / C.R./ Parque san agustin/ Barrio palomitas</v>
      </c>
      <c r="G4353" s="15" t="str">
        <f>IFERROR(__xludf.DUMMYFUNCTION("""COMPUTED_VALUE"""),"RUTH HERNANDEZ JAIMES")</f>
        <v>RUTH HERNANDEZ JAIMES</v>
      </c>
      <c r="H4353" s="16">
        <f>IFERROR(__xludf.DUMMYFUNCTION("""COMPUTED_VALUE"""),13033.0)</f>
        <v>13033</v>
      </c>
      <c r="I4353" s="18">
        <f>IFERROR(__xludf.DUMMYFUNCTION("""COMPUTED_VALUE"""),1.0)</f>
        <v>1</v>
      </c>
      <c r="J4353" s="18">
        <f>IFERROR(__xludf.DUMMYFUNCTION("""COMPUTED_VALUE"""),1.0)</f>
        <v>1</v>
      </c>
      <c r="K4353" s="18">
        <f>IFERROR(__xludf.DUMMYFUNCTION("""COMPUTED_VALUE"""),1.0)</f>
        <v>1</v>
      </c>
      <c r="L4353" s="17">
        <f>IFERROR(__xludf.DUMMYFUNCTION("""COMPUTED_VALUE"""),3.204995602E9)</f>
        <v>3204995602</v>
      </c>
      <c r="M4353" s="17" t="str">
        <f>IFERROR(__xludf.DUMMYFUNCTION("""COMPUTED_VALUE"""),"#REF!")</f>
        <v>#REF!</v>
      </c>
      <c r="N4353" s="17"/>
      <c r="O4353" s="17"/>
      <c r="P4353" s="17" t="b">
        <f>IFERROR(__xludf.DUMMYFUNCTION("""COMPUTED_VALUE"""),FALSE)</f>
        <v>0</v>
      </c>
      <c r="Q4353" s="20" t="str">
        <f>IFERROR(__xludf.DUMMYFUNCTION("""COMPUTED_VALUE"""),"")</f>
        <v/>
      </c>
      <c r="R4353" s="21" t="str">
        <f>IFERROR(__xludf.DUMMYFUNCTION("""COMPUTED_VALUE"""),"https://drive.google.com/file/d/1-tlVitb8ENIE7wAVp4P6s7fRb9ECieIG/view?usp=drivesdk")</f>
        <v>https://drive.google.com/file/d/1-tlVitb8ENIE7wAVp4P6s7fRb9ECieIG/view?usp=drivesdk</v>
      </c>
    </row>
    <row r="4354">
      <c r="A4354" s="15">
        <f>IFERROR(__xludf.DUMMYFUNCTION("""COMPUTED_VALUE"""),45126.0)</f>
        <v>45126</v>
      </c>
      <c r="B4354" s="16" t="str">
        <f>IFERROR(__xludf.DUMMYFUNCTION("""COMPUTED_VALUE"""),"Johan Alexander Escobar Arroyo ")</f>
        <v>Johan Alexander Escobar Arroyo </v>
      </c>
      <c r="C4354" s="15" t="str">
        <f>IFERROR(__xludf.DUMMYFUNCTION("""COMPUTED_VALUE"""),"GIRÓN")</f>
        <v>GIRÓN</v>
      </c>
      <c r="D4354" s="15" t="str">
        <f>IFERROR(__xludf.DUMMYFUNCTION("""COMPUTED_VALUE"""),"BOGOTÁ")</f>
        <v>BOGOTÁ</v>
      </c>
      <c r="E4354" s="15" t="str">
        <f>IFERROR(__xludf.DUMMYFUNCTION("""COMPUTED_VALUE"""),"Evamazzita")</f>
        <v>Evamazzita</v>
      </c>
      <c r="F4354" s="17" t="str">
        <f>IFERROR(__xludf.DUMMYFUNCTION("""COMPUTED_VALUE"""),"Calle 9 #27A-09 / N/A / Arenales 4")</f>
        <v>Calle 9 #27A-09 / N/A / Arenales 4</v>
      </c>
      <c r="G4354" s="15" t="str">
        <f>IFERROR(__xludf.DUMMYFUNCTION("""COMPUTED_VALUE"""),"MARIA CAMILA OLAYA SILVIA")</f>
        <v>MARIA CAMILA OLAYA SILVIA</v>
      </c>
      <c r="H4354" s="16">
        <f>IFERROR(__xludf.DUMMYFUNCTION("""COMPUTED_VALUE"""),13034.0)</f>
        <v>13034</v>
      </c>
      <c r="I4354" s="18">
        <f>IFERROR(__xludf.DUMMYFUNCTION("""COMPUTED_VALUE"""),1.0)</f>
        <v>1</v>
      </c>
      <c r="J4354" s="18">
        <f>IFERROR(__xludf.DUMMYFUNCTION("""COMPUTED_VALUE"""),1.0)</f>
        <v>1</v>
      </c>
      <c r="K4354" s="18">
        <f>IFERROR(__xludf.DUMMYFUNCTION("""COMPUTED_VALUE"""),1.0)</f>
        <v>1</v>
      </c>
      <c r="L4354" s="17">
        <f>IFERROR(__xludf.DUMMYFUNCTION("""COMPUTED_VALUE"""),3.00217289E9)</f>
        <v>3002172890</v>
      </c>
      <c r="M4354" s="17" t="str">
        <f>IFERROR(__xludf.DUMMYFUNCTION("""COMPUTED_VALUE"""),"#REF!")</f>
        <v>#REF!</v>
      </c>
      <c r="N4354" s="17"/>
      <c r="O4354" s="17"/>
      <c r="P4354" s="17" t="b">
        <f>IFERROR(__xludf.DUMMYFUNCTION("""COMPUTED_VALUE"""),FALSE)</f>
        <v>0</v>
      </c>
      <c r="Q4354" s="20" t="str">
        <f>IFERROR(__xludf.DUMMYFUNCTION("""COMPUTED_VALUE"""),"")</f>
        <v/>
      </c>
      <c r="R4354" s="21" t="str">
        <f>IFERROR(__xludf.DUMMYFUNCTION("""COMPUTED_VALUE"""),"https://drive.google.com/file/d/1YVSwv6YupxeX-8OGw9I4AaIvUdeGYxiE/view?usp=drivesdk")</f>
        <v>https://drive.google.com/file/d/1YVSwv6YupxeX-8OGw9I4AaIvUdeGYxiE/view?usp=drivesdk</v>
      </c>
    </row>
    <row r="4355">
      <c r="A4355" s="17" t="str">
        <f>IFERROR(__xludf.DUMMYFUNCTION("""COMPUTED_VALUE"""),"")</f>
        <v/>
      </c>
      <c r="B4355" s="17" t="str">
        <f>IFERROR(__xludf.DUMMYFUNCTION("""COMPUTED_VALUE"""),"")</f>
        <v/>
      </c>
      <c r="C4355" s="17" t="str">
        <f>IFERROR(__xludf.DUMMYFUNCTION("""COMPUTED_VALUE"""),"")</f>
        <v/>
      </c>
      <c r="D4355" s="17" t="str">
        <f>IFERROR(__xludf.DUMMYFUNCTION("""COMPUTED_VALUE"""),"")</f>
        <v/>
      </c>
      <c r="E4355" s="17" t="str">
        <f>IFERROR(__xludf.DUMMYFUNCTION("""COMPUTED_VALUE"""),"")</f>
        <v/>
      </c>
      <c r="F4355" s="17" t="str">
        <f>IFERROR(__xludf.DUMMYFUNCTION("""COMPUTED_VALUE"""),"")</f>
        <v/>
      </c>
      <c r="G4355" s="17" t="str">
        <f>IFERROR(__xludf.DUMMYFUNCTION("""COMPUTED_VALUE"""),"")</f>
        <v/>
      </c>
      <c r="H4355" s="17" t="str">
        <f>IFERROR(__xludf.DUMMYFUNCTION("""COMPUTED_VALUE"""),"")</f>
        <v/>
      </c>
      <c r="I4355" s="17" t="str">
        <f>IFERROR(__xludf.DUMMYFUNCTION("""COMPUTED_VALUE"""),"")</f>
        <v/>
      </c>
      <c r="J4355" s="17" t="str">
        <f>IFERROR(__xludf.DUMMYFUNCTION("""COMPUTED_VALUE"""),"")</f>
        <v/>
      </c>
      <c r="K4355" s="17" t="str">
        <f>IFERROR(__xludf.DUMMYFUNCTION("""COMPUTED_VALUE"""),"")</f>
        <v/>
      </c>
      <c r="L4355" s="17" t="str">
        <f>IFERROR(__xludf.DUMMYFUNCTION("""COMPUTED_VALUE"""),"")</f>
        <v/>
      </c>
      <c r="M4355" s="17" t="str">
        <f>IFERROR(__xludf.DUMMYFUNCTION("""COMPUTED_VALUE"""),"")</f>
        <v/>
      </c>
      <c r="N4355" s="17" t="str">
        <f>IFERROR(__xludf.DUMMYFUNCTION("""COMPUTED_VALUE"""),"")</f>
        <v/>
      </c>
      <c r="O4355" s="17" t="str">
        <f>IFERROR(__xludf.DUMMYFUNCTION("""COMPUTED_VALUE"""),"")</f>
        <v/>
      </c>
      <c r="P4355" s="17" t="str">
        <f>IFERROR(__xludf.DUMMYFUNCTION("""COMPUTED_VALUE"""),"")</f>
        <v/>
      </c>
      <c r="Q4355" s="17" t="str">
        <f>IFERROR(__xludf.DUMMYFUNCTION("""COMPUTED_VALUE"""),"")</f>
        <v/>
      </c>
      <c r="R4355" s="17" t="str">
        <f>IFERROR(__xludf.DUMMYFUNCTION("""COMPUTED_VALUE"""),"")</f>
        <v/>
      </c>
    </row>
    <row r="4356">
      <c r="A4356" s="15">
        <f>IFERROR(__xludf.DUMMYFUNCTION("""COMPUTED_VALUE"""),45126.0)</f>
        <v>45126</v>
      </c>
      <c r="B4356" s="16" t="str">
        <f>IFERROR(__xludf.DUMMYFUNCTION("""COMPUTED_VALUE"""),"José Miguel Bonilla")</f>
        <v>José Miguel Bonilla</v>
      </c>
      <c r="C4356" s="15" t="str">
        <f>IFERROR(__xludf.DUMMYFUNCTION("""COMPUTED_VALUE"""),"BOGOTÁ")</f>
        <v>BOGOTÁ</v>
      </c>
      <c r="D4356" s="15" t="str">
        <f>IFERROR(__xludf.DUMMYFUNCTION("""COMPUTED_VALUE"""),"MEDELLÍN")</f>
        <v>MEDELLÍN</v>
      </c>
      <c r="E4356" s="15" t="str">
        <f>IFERROR(__xludf.DUMMYFUNCTION("""COMPUTED_VALUE"""),"TOLEDALES S.A.S")</f>
        <v>TOLEDALES S.A.S</v>
      </c>
      <c r="F4356" s="17" t="str">
        <f>IFERROR(__xludf.DUMMYFUNCTION("""COMPUTED_VALUE"""),"Av el dorado 69b 53")</f>
        <v>Av el dorado 69b 53</v>
      </c>
      <c r="G4356" s="15" t="str">
        <f>IFERROR(__xludf.DUMMYFUNCTION("""COMPUTED_VALUE"""),"Hoteleria Internacional SA")</f>
        <v>Hoteleria Internacional SA</v>
      </c>
      <c r="H4356" s="16">
        <f>IFERROR(__xludf.DUMMYFUNCTION("""COMPUTED_VALUE"""),13054.0)</f>
        <v>13054</v>
      </c>
      <c r="I4356" s="18">
        <f>IFERROR(__xludf.DUMMYFUNCTION("""COMPUTED_VALUE"""),9.0)</f>
        <v>9</v>
      </c>
      <c r="J4356" s="18">
        <f>IFERROR(__xludf.DUMMYFUNCTION("""COMPUTED_VALUE"""),14.0)</f>
        <v>14</v>
      </c>
      <c r="K4356" s="18">
        <f>IFERROR(__xludf.DUMMYFUNCTION("""COMPUTED_VALUE"""),27.0)</f>
        <v>27</v>
      </c>
      <c r="L4356" s="17">
        <f>IFERROR(__xludf.DUMMYFUNCTION("""COMPUTED_VALUE"""),3.193679565E9)</f>
        <v>3193679565</v>
      </c>
      <c r="M4356" s="17" t="str">
        <f>IFERROR(__xludf.DUMMYFUNCTION("""COMPUTED_VALUE"""),"#REF!")</f>
        <v>#REF!</v>
      </c>
      <c r="N4356" s="17"/>
      <c r="O4356" s="17"/>
      <c r="P4356" s="17" t="b">
        <f>IFERROR(__xludf.DUMMYFUNCTION("""COMPUTED_VALUE"""),FALSE)</f>
        <v>0</v>
      </c>
      <c r="Q4356" s="20" t="str">
        <f>IFERROR(__xludf.DUMMYFUNCTION("""COMPUTED_VALUE"""),"")</f>
        <v/>
      </c>
      <c r="R4356" s="21" t="str">
        <f>IFERROR(__xludf.DUMMYFUNCTION("""COMPUTED_VALUE"""),"https://drive.google.com/file/d/1qZ7IzFSFkk9p3EYUoYLlm4CVxCNK3Hco/view?usp=drivesdk")</f>
        <v>https://drive.google.com/file/d/1qZ7IzFSFkk9p3EYUoYLlm4CVxCNK3Hco/view?usp=drivesdk</v>
      </c>
    </row>
    <row r="4357">
      <c r="A4357" s="15">
        <f>IFERROR(__xludf.DUMMYFUNCTION("""COMPUTED_VALUE"""),45126.0)</f>
        <v>45126</v>
      </c>
      <c r="B4357" s="16" t="str">
        <f>IFERROR(__xludf.DUMMYFUNCTION("""COMPUTED_VALUE"""),"José Miguel Bonilla")</f>
        <v>José Miguel Bonilla</v>
      </c>
      <c r="C4357" s="15" t="str">
        <f>IFERROR(__xludf.DUMMYFUNCTION("""COMPUTED_VALUE"""),"BUCARAMANGA")</f>
        <v>BUCARAMANGA</v>
      </c>
      <c r="D4357" s="15" t="str">
        <f>IFERROR(__xludf.DUMMYFUNCTION("""COMPUTED_VALUE"""),"BOGOTÁ")</f>
        <v>BOGOTÁ</v>
      </c>
      <c r="E4357" s="15" t="str">
        <f>IFERROR(__xludf.DUMMYFUNCTION("""COMPUTED_VALUE"""),"Evamazzita")</f>
        <v>Evamazzita</v>
      </c>
      <c r="F4357" s="17" t="str">
        <f>IFERROR(__xludf.DUMMYFUNCTION("""COMPUTED_VALUE"""),"Bloque 14  / Apto 101 / Campo Hermoso Quinta Estrella")</f>
        <v>Bloque 14  / Apto 101 / Campo Hermoso Quinta Estrella</v>
      </c>
      <c r="G4357" s="15" t="str">
        <f>IFERROR(__xludf.DUMMYFUNCTION("""COMPUTED_VALUE"""),"JIMENA MARCELA OCHOA")</f>
        <v>JIMENA MARCELA OCHOA</v>
      </c>
      <c r="H4357" s="16">
        <f>IFERROR(__xludf.DUMMYFUNCTION("""COMPUTED_VALUE"""),13031.0)</f>
        <v>13031</v>
      </c>
      <c r="I4357" s="18">
        <f>IFERROR(__xludf.DUMMYFUNCTION("""COMPUTED_VALUE"""),1.0)</f>
        <v>1</v>
      </c>
      <c r="J4357" s="18">
        <f>IFERROR(__xludf.DUMMYFUNCTION("""COMPUTED_VALUE"""),1.0)</f>
        <v>1</v>
      </c>
      <c r="K4357" s="18">
        <f>IFERROR(__xludf.DUMMYFUNCTION("""COMPUTED_VALUE"""),1.0)</f>
        <v>1</v>
      </c>
      <c r="L4357" s="17">
        <f>IFERROR(__xludf.DUMMYFUNCTION("""COMPUTED_VALUE"""),3.00358854E9)</f>
        <v>3003588540</v>
      </c>
      <c r="M4357" s="17" t="str">
        <f>IFERROR(__xludf.DUMMYFUNCTION("""COMPUTED_VALUE"""),"#REF!")</f>
        <v>#REF!</v>
      </c>
      <c r="N4357" s="17"/>
      <c r="O4357" s="17"/>
      <c r="P4357" s="17" t="b">
        <f>IFERROR(__xludf.DUMMYFUNCTION("""COMPUTED_VALUE"""),FALSE)</f>
        <v>0</v>
      </c>
      <c r="Q4357" s="20" t="str">
        <f>IFERROR(__xludf.DUMMYFUNCTION("""COMPUTED_VALUE"""),"")</f>
        <v/>
      </c>
      <c r="R4357" s="21" t="str">
        <f>IFERROR(__xludf.DUMMYFUNCTION("""COMPUTED_VALUE"""),"https://drive.google.com/file/d/1be6B5ljbp46Wxb60lSqVxghNlKS0EIOk/view?usp=drivesdk")</f>
        <v>https://drive.google.com/file/d/1be6B5ljbp46Wxb60lSqVxghNlKS0EIOk/view?usp=drivesdk</v>
      </c>
    </row>
    <row r="4358">
      <c r="A4358" s="15">
        <f>IFERROR(__xludf.DUMMYFUNCTION("""COMPUTED_VALUE"""),45126.0)</f>
        <v>45126</v>
      </c>
      <c r="B4358" s="16" t="str">
        <f>IFERROR(__xludf.DUMMYFUNCTION("""COMPUTED_VALUE"""),"José Miguel Bonilla")</f>
        <v>José Miguel Bonilla</v>
      </c>
      <c r="C4358" s="15" t="str">
        <f>IFERROR(__xludf.DUMMYFUNCTION("""COMPUTED_VALUE"""),"BUCARAMANGA")</f>
        <v>BUCARAMANGA</v>
      </c>
      <c r="D4358" s="15" t="str">
        <f>IFERROR(__xludf.DUMMYFUNCTION("""COMPUTED_VALUE"""),"BOGOTÁ")</f>
        <v>BOGOTÁ</v>
      </c>
      <c r="E4358" s="15" t="str">
        <f>IFERROR(__xludf.DUMMYFUNCTION("""COMPUTED_VALUE"""),"Evamazzita")</f>
        <v>Evamazzita</v>
      </c>
      <c r="F4358" s="17" t="str">
        <f>IFERROR(__xludf.DUMMYFUNCTION("""COMPUTED_VALUE"""),"Calle 104 #22-85 / Apto 101 / Provenza")</f>
        <v>Calle 104 #22-85 / Apto 101 / Provenza</v>
      </c>
      <c r="G4358" s="15" t="str">
        <f>IFERROR(__xludf.DUMMYFUNCTION("""COMPUTED_VALUE"""),"ANGIE BOHORQUEZ")</f>
        <v>ANGIE BOHORQUEZ</v>
      </c>
      <c r="H4358" s="16">
        <f>IFERROR(__xludf.DUMMYFUNCTION("""COMPUTED_VALUE"""),13025.0)</f>
        <v>13025</v>
      </c>
      <c r="I4358" s="18">
        <f>IFERROR(__xludf.DUMMYFUNCTION("""COMPUTED_VALUE"""),1.0)</f>
        <v>1</v>
      </c>
      <c r="J4358" s="18">
        <f>IFERROR(__xludf.DUMMYFUNCTION("""COMPUTED_VALUE"""),1.0)</f>
        <v>1</v>
      </c>
      <c r="K4358" s="18">
        <f>IFERROR(__xludf.DUMMYFUNCTION("""COMPUTED_VALUE"""),1.0)</f>
        <v>1</v>
      </c>
      <c r="L4358" s="17">
        <f>IFERROR(__xludf.DUMMYFUNCTION("""COMPUTED_VALUE"""),3.012297412E9)</f>
        <v>3012297412</v>
      </c>
      <c r="M4358" s="17" t="str">
        <f>IFERROR(__xludf.DUMMYFUNCTION("""COMPUTED_VALUE"""),"#REF!")</f>
        <v>#REF!</v>
      </c>
      <c r="N4358" s="17"/>
      <c r="O4358" s="17"/>
      <c r="P4358" s="17" t="b">
        <f>IFERROR(__xludf.DUMMYFUNCTION("""COMPUTED_VALUE"""),FALSE)</f>
        <v>0</v>
      </c>
      <c r="Q4358" s="20" t="str">
        <f>IFERROR(__xludf.DUMMYFUNCTION("""COMPUTED_VALUE"""),"")</f>
        <v/>
      </c>
      <c r="R4358" s="21" t="str">
        <f>IFERROR(__xludf.DUMMYFUNCTION("""COMPUTED_VALUE"""),"https://drive.google.com/file/d/1XQD_OpF8lMpS0dmZiOdYMw7agHeEnLBG/view?usp=drivesdk")</f>
        <v>https://drive.google.com/file/d/1XQD_OpF8lMpS0dmZiOdYMw7agHeEnLBG/view?usp=drivesdk</v>
      </c>
    </row>
    <row r="4359">
      <c r="A4359" s="15">
        <f>IFERROR(__xludf.DUMMYFUNCTION("""COMPUTED_VALUE"""),45126.0)</f>
        <v>45126</v>
      </c>
      <c r="B4359" s="16" t="str">
        <f>IFERROR(__xludf.DUMMYFUNCTION("""COMPUTED_VALUE"""),"José Miguel Bonilla")</f>
        <v>José Miguel Bonilla</v>
      </c>
      <c r="C4359" s="15" t="str">
        <f>IFERROR(__xludf.DUMMYFUNCTION("""COMPUTED_VALUE"""),"BUCARAMANGA")</f>
        <v>BUCARAMANGA</v>
      </c>
      <c r="D4359" s="15" t="str">
        <f>IFERROR(__xludf.DUMMYFUNCTION("""COMPUTED_VALUE"""),"BOGOTÁ")</f>
        <v>BOGOTÁ</v>
      </c>
      <c r="E4359" s="15" t="str">
        <f>IFERROR(__xludf.DUMMYFUNCTION("""COMPUTED_VALUE"""),"Evamazzita")</f>
        <v>Evamazzita</v>
      </c>
      <c r="F4359" s="17" t="str">
        <f>IFERROR(__xludf.DUMMYFUNCTION("""COMPUTED_VALUE"""),"Calle 89 #17C-62 / N/A / San Luis")</f>
        <v>Calle 89 #17C-62 / N/A / San Luis</v>
      </c>
      <c r="G4359" s="15" t="str">
        <f>IFERROR(__xludf.DUMMYFUNCTION("""COMPUTED_VALUE"""),"JENNYFER FORERO")</f>
        <v>JENNYFER FORERO</v>
      </c>
      <c r="H4359" s="16">
        <f>IFERROR(__xludf.DUMMYFUNCTION("""COMPUTED_VALUE"""),13029.0)</f>
        <v>13029</v>
      </c>
      <c r="I4359" s="18">
        <f>IFERROR(__xludf.DUMMYFUNCTION("""COMPUTED_VALUE"""),1.0)</f>
        <v>1</v>
      </c>
      <c r="J4359" s="18">
        <f>IFERROR(__xludf.DUMMYFUNCTION("""COMPUTED_VALUE"""),1.0)</f>
        <v>1</v>
      </c>
      <c r="K4359" s="18">
        <f>IFERROR(__xludf.DUMMYFUNCTION("""COMPUTED_VALUE"""),1.0)</f>
        <v>1</v>
      </c>
      <c r="L4359" s="17">
        <f>IFERROR(__xludf.DUMMYFUNCTION("""COMPUTED_VALUE"""),3.202528002E9)</f>
        <v>3202528002</v>
      </c>
      <c r="M4359" s="17" t="str">
        <f>IFERROR(__xludf.DUMMYFUNCTION("""COMPUTED_VALUE"""),"#REF!")</f>
        <v>#REF!</v>
      </c>
      <c r="N4359" s="17"/>
      <c r="O4359" s="17"/>
      <c r="P4359" s="17" t="b">
        <f>IFERROR(__xludf.DUMMYFUNCTION("""COMPUTED_VALUE"""),FALSE)</f>
        <v>0</v>
      </c>
      <c r="Q4359" s="20" t="str">
        <f>IFERROR(__xludf.DUMMYFUNCTION("""COMPUTED_VALUE"""),"")</f>
        <v/>
      </c>
      <c r="R4359" s="21" t="str">
        <f>IFERROR(__xludf.DUMMYFUNCTION("""COMPUTED_VALUE"""),"https://drive.google.com/file/d/1HZN3y14HFjB4X3IfJdnO3Kb1fraSTjZK/view?usp=drivesdk")</f>
        <v>https://drive.google.com/file/d/1HZN3y14HFjB4X3IfJdnO3Kb1fraSTjZK/view?usp=drivesdk</v>
      </c>
    </row>
    <row r="4360">
      <c r="A4360" s="15">
        <f>IFERROR(__xludf.DUMMYFUNCTION("""COMPUTED_VALUE"""),45126.0)</f>
        <v>45126</v>
      </c>
      <c r="B4360" s="16" t="str">
        <f>IFERROR(__xludf.DUMMYFUNCTION("""COMPUTED_VALUE"""),"José Miguel Bonilla")</f>
        <v>José Miguel Bonilla</v>
      </c>
      <c r="C4360" s="15" t="str">
        <f>IFERROR(__xludf.DUMMYFUNCTION("""COMPUTED_VALUE"""),"BUCARAMANGA")</f>
        <v>BUCARAMANGA</v>
      </c>
      <c r="D4360" s="15" t="str">
        <f>IFERROR(__xludf.DUMMYFUNCTION("""COMPUTED_VALUE"""),"BOGOTÁ")</f>
        <v>BOGOTÁ</v>
      </c>
      <c r="E4360" s="15" t="str">
        <f>IFERROR(__xludf.DUMMYFUNCTION("""COMPUTED_VALUE"""),"Evamazzita")</f>
        <v>Evamazzita</v>
      </c>
      <c r="F4360" s="17" t="str">
        <f>IFERROR(__xludf.DUMMYFUNCTION("""COMPUTED_VALUE"""),"Calle 90#20-133 / N/A / Barrio diamantes 2")</f>
        <v>Calle 90#20-133 / N/A / Barrio diamantes 2</v>
      </c>
      <c r="G4360" s="15" t="str">
        <f>IFERROR(__xludf.DUMMYFUNCTION("""COMPUTED_VALUE"""),"SILVIA JULIANA RIOS")</f>
        <v>SILVIA JULIANA RIOS</v>
      </c>
      <c r="H4360" s="16">
        <f>IFERROR(__xludf.DUMMYFUNCTION("""COMPUTED_VALUE"""),13026.0)</f>
        <v>13026</v>
      </c>
      <c r="I4360" s="18">
        <f>IFERROR(__xludf.DUMMYFUNCTION("""COMPUTED_VALUE"""),1.0)</f>
        <v>1</v>
      </c>
      <c r="J4360" s="18">
        <f>IFERROR(__xludf.DUMMYFUNCTION("""COMPUTED_VALUE"""),1.0)</f>
        <v>1</v>
      </c>
      <c r="K4360" s="18">
        <f>IFERROR(__xludf.DUMMYFUNCTION("""COMPUTED_VALUE"""),1.0)</f>
        <v>1</v>
      </c>
      <c r="L4360" s="17">
        <f>IFERROR(__xludf.DUMMYFUNCTION("""COMPUTED_VALUE"""),3.18576826E9)</f>
        <v>3185768260</v>
      </c>
      <c r="M4360" s="17" t="str">
        <f>IFERROR(__xludf.DUMMYFUNCTION("""COMPUTED_VALUE"""),"#REF!")</f>
        <v>#REF!</v>
      </c>
      <c r="N4360" s="17"/>
      <c r="O4360" s="17"/>
      <c r="P4360" s="17" t="b">
        <f>IFERROR(__xludf.DUMMYFUNCTION("""COMPUTED_VALUE"""),FALSE)</f>
        <v>0</v>
      </c>
      <c r="Q4360" s="20" t="str">
        <f>IFERROR(__xludf.DUMMYFUNCTION("""COMPUTED_VALUE"""),"")</f>
        <v/>
      </c>
      <c r="R4360" s="21" t="str">
        <f>IFERROR(__xludf.DUMMYFUNCTION("""COMPUTED_VALUE"""),"https://drive.google.com/file/d/1zcH7hMeMcny9pN9PJ0HP27QH-1Nio7cQ/view?usp=drivesdk")</f>
        <v>https://drive.google.com/file/d/1zcH7hMeMcny9pN9PJ0HP27QH-1Nio7cQ/view?usp=drivesdk</v>
      </c>
    </row>
    <row r="4361">
      <c r="A4361" s="15">
        <f>IFERROR(__xludf.DUMMYFUNCTION("""COMPUTED_VALUE"""),45126.0)</f>
        <v>45126</v>
      </c>
      <c r="B4361" s="16" t="str">
        <f>IFERROR(__xludf.DUMMYFUNCTION("""COMPUTED_VALUE"""),"José Miguel Bonilla")</f>
        <v>José Miguel Bonilla</v>
      </c>
      <c r="C4361" s="15" t="str">
        <f>IFERROR(__xludf.DUMMYFUNCTION("""COMPUTED_VALUE"""),"BUCARAMANGA")</f>
        <v>BUCARAMANGA</v>
      </c>
      <c r="D4361" s="15" t="str">
        <f>IFERROR(__xludf.DUMMYFUNCTION("""COMPUTED_VALUE"""),"BOGOTÁ")</f>
        <v>BOGOTÁ</v>
      </c>
      <c r="E4361" s="15" t="str">
        <f>IFERROR(__xludf.DUMMYFUNCTION("""COMPUTED_VALUE"""),"Evamazzita")</f>
        <v>Evamazzita</v>
      </c>
      <c r="F4361" s="17" t="str">
        <f>IFERROR(__xludf.DUMMYFUNCTION("""COMPUTED_VALUE"""),"Carrera 17a#58-95 / Apto 2205 / Conjunto Nuevo Ricaurte")</f>
        <v>Carrera 17a#58-95 / Apto 2205 / Conjunto Nuevo Ricaurte</v>
      </c>
      <c r="G4361" s="15" t="str">
        <f>IFERROR(__xludf.DUMMYFUNCTION("""COMPUTED_VALUE"""),"NAYED JULIANA ARENAS NAVARRO")</f>
        <v>NAYED JULIANA ARENAS NAVARRO</v>
      </c>
      <c r="H4361" s="16">
        <f>IFERROR(__xludf.DUMMYFUNCTION("""COMPUTED_VALUE"""),13032.0)</f>
        <v>13032</v>
      </c>
      <c r="I4361" s="18">
        <f>IFERROR(__xludf.DUMMYFUNCTION("""COMPUTED_VALUE"""),1.0)</f>
        <v>1</v>
      </c>
      <c r="J4361" s="18">
        <f>IFERROR(__xludf.DUMMYFUNCTION("""COMPUTED_VALUE"""),1.0)</f>
        <v>1</v>
      </c>
      <c r="K4361" s="18">
        <f>IFERROR(__xludf.DUMMYFUNCTION("""COMPUTED_VALUE"""),1.0)</f>
        <v>1</v>
      </c>
      <c r="L4361" s="17">
        <f>IFERROR(__xludf.DUMMYFUNCTION("""COMPUTED_VALUE"""),3.165770456E9)</f>
        <v>3165770456</v>
      </c>
      <c r="M4361" s="17" t="str">
        <f>IFERROR(__xludf.DUMMYFUNCTION("""COMPUTED_VALUE"""),"#REF!")</f>
        <v>#REF!</v>
      </c>
      <c r="N4361" s="17"/>
      <c r="O4361" s="17"/>
      <c r="P4361" s="17" t="b">
        <f>IFERROR(__xludf.DUMMYFUNCTION("""COMPUTED_VALUE"""),TRUE)</f>
        <v>1</v>
      </c>
      <c r="Q4361" s="20">
        <f>IFERROR(__xludf.DUMMYFUNCTION("""COMPUTED_VALUE"""),45128.59890327546)</f>
        <v>45128.5989</v>
      </c>
      <c r="R4361" s="22" t="str">
        <f>IFERROR(__xludf.DUMMYFUNCTION("""COMPUTED_VALUE"""),"")</f>
        <v/>
      </c>
    </row>
    <row r="4362">
      <c r="A4362" s="15">
        <f>IFERROR(__xludf.DUMMYFUNCTION("""COMPUTED_VALUE"""),45126.0)</f>
        <v>45126</v>
      </c>
      <c r="B4362" s="16" t="str">
        <f>IFERROR(__xludf.DUMMYFUNCTION("""COMPUTED_VALUE"""),"José Miguel Bonilla")</f>
        <v>José Miguel Bonilla</v>
      </c>
      <c r="C4362" s="15" t="str">
        <f>IFERROR(__xludf.DUMMYFUNCTION("""COMPUTED_VALUE"""),"BUCARAMANGA")</f>
        <v>BUCARAMANGA</v>
      </c>
      <c r="D4362" s="15" t="str">
        <f>IFERROR(__xludf.DUMMYFUNCTION("""COMPUTED_VALUE"""),"BOGOTÁ")</f>
        <v>BOGOTÁ</v>
      </c>
      <c r="E4362" s="15" t="str">
        <f>IFERROR(__xludf.DUMMYFUNCTION("""COMPUTED_VALUE"""),"Evamazzita")</f>
        <v>Evamazzita</v>
      </c>
      <c r="F4362" s="17" t="str">
        <f>IFERROR(__xludf.DUMMYFUNCTION("""COMPUTED_VALUE"""),"Carrera 27A#48-62 / Torre a -402 / Palmas de Mardel/Barrio Sotomayor")</f>
        <v>Carrera 27A#48-62 / Torre a -402 / Palmas de Mardel/Barrio Sotomayor</v>
      </c>
      <c r="G4362" s="15" t="str">
        <f>IFERROR(__xludf.DUMMYFUNCTION("""COMPUTED_VALUE"""),"LUCYNI MARCELA MENDOZA RIVERA")</f>
        <v>LUCYNI MARCELA MENDOZA RIVERA</v>
      </c>
      <c r="H4362" s="16">
        <f>IFERROR(__xludf.DUMMYFUNCTION("""COMPUTED_VALUE"""),13030.0)</f>
        <v>13030</v>
      </c>
      <c r="I4362" s="18">
        <f>IFERROR(__xludf.DUMMYFUNCTION("""COMPUTED_VALUE"""),1.0)</f>
        <v>1</v>
      </c>
      <c r="J4362" s="18">
        <f>IFERROR(__xludf.DUMMYFUNCTION("""COMPUTED_VALUE"""),1.0)</f>
        <v>1</v>
      </c>
      <c r="K4362" s="18">
        <f>IFERROR(__xludf.DUMMYFUNCTION("""COMPUTED_VALUE"""),1.0)</f>
        <v>1</v>
      </c>
      <c r="L4362" s="17">
        <f>IFERROR(__xludf.DUMMYFUNCTION("""COMPUTED_VALUE"""),3.158277288E9)</f>
        <v>3158277288</v>
      </c>
      <c r="M4362" s="17" t="str">
        <f>IFERROR(__xludf.DUMMYFUNCTION("""COMPUTED_VALUE"""),"#REF!")</f>
        <v>#REF!</v>
      </c>
      <c r="N4362" s="17"/>
      <c r="O4362" s="17"/>
      <c r="P4362" s="17" t="b">
        <f>IFERROR(__xludf.DUMMYFUNCTION("""COMPUTED_VALUE"""),TRUE)</f>
        <v>1</v>
      </c>
      <c r="Q4362" s="20">
        <f>IFERROR(__xludf.DUMMYFUNCTION("""COMPUTED_VALUE"""),45128.597178842596)</f>
        <v>45128.59718</v>
      </c>
      <c r="R4362" s="21" t="str">
        <f>IFERROR(__xludf.DUMMYFUNCTION("""COMPUTED_VALUE"""),"https://drive.google.com/file/d/1MRbdmq1jY7gp6sD_dKz7BOaPtX5bxLmV/view?usp=drivesdk")</f>
        <v>https://drive.google.com/file/d/1MRbdmq1jY7gp6sD_dKz7BOaPtX5bxLmV/view?usp=drivesdk</v>
      </c>
    </row>
    <row r="4363">
      <c r="A4363" s="15">
        <f>IFERROR(__xludf.DUMMYFUNCTION("""COMPUTED_VALUE"""),45126.0)</f>
        <v>45126</v>
      </c>
      <c r="B4363" s="16" t="str">
        <f>IFERROR(__xludf.DUMMYFUNCTION("""COMPUTED_VALUE"""),"José Miguel Bonilla")</f>
        <v>José Miguel Bonilla</v>
      </c>
      <c r="C4363" s="15" t="str">
        <f>IFERROR(__xludf.DUMMYFUNCTION("""COMPUTED_VALUE"""),"BUCARAMANGA")</f>
        <v>BUCARAMANGA</v>
      </c>
      <c r="D4363" s="15" t="str">
        <f>IFERROR(__xludf.DUMMYFUNCTION("""COMPUTED_VALUE"""),"BOGOTÁ")</f>
        <v>BOGOTÁ</v>
      </c>
      <c r="E4363" s="15" t="str">
        <f>IFERROR(__xludf.DUMMYFUNCTION("""COMPUTED_VALUE"""),"Evamazzita")</f>
        <v>Evamazzita</v>
      </c>
      <c r="F4363" s="17" t="str">
        <f>IFERROR(__xludf.DUMMYFUNCTION("""COMPUTED_VALUE"""),"Carrera 29#32-47 / Apto 901 / Barrio la Aurora")</f>
        <v>Carrera 29#32-47 / Apto 901 / Barrio la Aurora</v>
      </c>
      <c r="G4363" s="15" t="str">
        <f>IFERROR(__xludf.DUMMYFUNCTION("""COMPUTED_VALUE"""),"JESSIKA CATHERINE TRIANA CASTELLANOS")</f>
        <v>JESSIKA CATHERINE TRIANA CASTELLANOS</v>
      </c>
      <c r="H4363" s="16">
        <f>IFERROR(__xludf.DUMMYFUNCTION("""COMPUTED_VALUE"""),13027.0)</f>
        <v>13027</v>
      </c>
      <c r="I4363" s="18">
        <f>IFERROR(__xludf.DUMMYFUNCTION("""COMPUTED_VALUE"""),1.0)</f>
        <v>1</v>
      </c>
      <c r="J4363" s="18">
        <f>IFERROR(__xludf.DUMMYFUNCTION("""COMPUTED_VALUE"""),1.0)</f>
        <v>1</v>
      </c>
      <c r="K4363" s="18">
        <f>IFERROR(__xludf.DUMMYFUNCTION("""COMPUTED_VALUE"""),1.0)</f>
        <v>1</v>
      </c>
      <c r="L4363" s="17">
        <f>IFERROR(__xludf.DUMMYFUNCTION("""COMPUTED_VALUE"""),3.142832696E9)</f>
        <v>3142832696</v>
      </c>
      <c r="M4363" s="17" t="str">
        <f>IFERROR(__xludf.DUMMYFUNCTION("""COMPUTED_VALUE"""),"#REF!")</f>
        <v>#REF!</v>
      </c>
      <c r="N4363" s="17"/>
      <c r="O4363" s="17"/>
      <c r="P4363" s="17" t="b">
        <f>IFERROR(__xludf.DUMMYFUNCTION("""COMPUTED_VALUE"""),TRUE)</f>
        <v>1</v>
      </c>
      <c r="Q4363" s="20">
        <f>IFERROR(__xludf.DUMMYFUNCTION("""COMPUTED_VALUE"""),45128.60046165509)</f>
        <v>45128.60046</v>
      </c>
      <c r="R4363" s="21" t="str">
        <f>IFERROR(__xludf.DUMMYFUNCTION("""COMPUTED_VALUE"""),"https://drive.google.com/file/d/1J7UDM6YSZRgKx2-U3nQl9-1cGs2NvPXK/view?usp=drivesdk")</f>
        <v>https://drive.google.com/file/d/1J7UDM6YSZRgKx2-U3nQl9-1cGs2NvPXK/view?usp=drivesdk</v>
      </c>
    </row>
    <row r="4364">
      <c r="A4364" s="15">
        <f>IFERROR(__xludf.DUMMYFUNCTION("""COMPUTED_VALUE"""),45126.0)</f>
        <v>45126</v>
      </c>
      <c r="B4364" s="16" t="str">
        <f>IFERROR(__xludf.DUMMYFUNCTION("""COMPUTED_VALUE"""),"José Miguel Bonilla")</f>
        <v>José Miguel Bonilla</v>
      </c>
      <c r="C4364" s="15" t="str">
        <f>IFERROR(__xludf.DUMMYFUNCTION("""COMPUTED_VALUE"""),"BUCARAMANGA")</f>
        <v>BUCARAMANGA</v>
      </c>
      <c r="D4364" s="15" t="str">
        <f>IFERROR(__xludf.DUMMYFUNCTION("""COMPUTED_VALUE"""),"BOGOTÁ")</f>
        <v>BOGOTÁ</v>
      </c>
      <c r="E4364" s="15" t="str">
        <f>IFERROR(__xludf.DUMMYFUNCTION("""COMPUTED_VALUE"""),"Evamazzita")</f>
        <v>Evamazzita</v>
      </c>
      <c r="F4364" s="17" t="str">
        <f>IFERROR(__xludf.DUMMYFUNCTION("""COMPUTED_VALUE"""),"Carrera 8#61-160 / Conjunto Parque San Remo 2/ Casa 25 / Barrio real de minas")</f>
        <v>Carrera 8#61-160 / Conjunto Parque San Remo 2/ Casa 25 / Barrio real de minas</v>
      </c>
      <c r="G4364" s="15" t="str">
        <f>IFERROR(__xludf.DUMMYFUNCTION("""COMPUTED_VALUE"""),"YENNI MARCELA NIÑO FERREIRA")</f>
        <v>YENNI MARCELA NIÑO FERREIRA</v>
      </c>
      <c r="H4364" s="16">
        <f>IFERROR(__xludf.DUMMYFUNCTION("""COMPUTED_VALUE"""),13028.0)</f>
        <v>13028</v>
      </c>
      <c r="I4364" s="18">
        <f>IFERROR(__xludf.DUMMYFUNCTION("""COMPUTED_VALUE"""),1.0)</f>
        <v>1</v>
      </c>
      <c r="J4364" s="18">
        <f>IFERROR(__xludf.DUMMYFUNCTION("""COMPUTED_VALUE"""),1.0)</f>
        <v>1</v>
      </c>
      <c r="K4364" s="18">
        <f>IFERROR(__xludf.DUMMYFUNCTION("""COMPUTED_VALUE"""),1.0)</f>
        <v>1</v>
      </c>
      <c r="L4364" s="17">
        <f>IFERROR(__xludf.DUMMYFUNCTION("""COMPUTED_VALUE"""),3.012516953E9)</f>
        <v>3012516953</v>
      </c>
      <c r="M4364" s="17" t="str">
        <f>IFERROR(__xludf.DUMMYFUNCTION("""COMPUTED_VALUE"""),"#REF!")</f>
        <v>#REF!</v>
      </c>
      <c r="N4364" s="17"/>
      <c r="O4364" s="17"/>
      <c r="P4364" s="17" t="b">
        <f>IFERROR(__xludf.DUMMYFUNCTION("""COMPUTED_VALUE"""),TRUE)</f>
        <v>1</v>
      </c>
      <c r="Q4364" s="20">
        <f>IFERROR(__xludf.DUMMYFUNCTION("""COMPUTED_VALUE"""),45128.59751011574)</f>
        <v>45128.59751</v>
      </c>
      <c r="R4364" s="21" t="str">
        <f>IFERROR(__xludf.DUMMYFUNCTION("""COMPUTED_VALUE"""),"https://drive.google.com/file/d/1xba7UvwtW4Oeve6FjvFj03sLX1ul1EYl/view?usp=drivesdk")</f>
        <v>https://drive.google.com/file/d/1xba7UvwtW4Oeve6FjvFj03sLX1ul1EYl/view?usp=drivesdk</v>
      </c>
    </row>
    <row r="4365">
      <c r="A4365" s="15">
        <f>IFERROR(__xludf.DUMMYFUNCTION("""COMPUTED_VALUE"""),45126.0)</f>
        <v>45126</v>
      </c>
      <c r="B4365" s="16" t="str">
        <f>IFERROR(__xludf.DUMMYFUNCTION("""COMPUTED_VALUE"""),"José Miguel Bonilla")</f>
        <v>José Miguel Bonilla</v>
      </c>
      <c r="C4365" s="15" t="str">
        <f>IFERROR(__xludf.DUMMYFUNCTION("""COMPUTED_VALUE"""),"CÚCUTA")</f>
        <v>CÚCUTA</v>
      </c>
      <c r="D4365" s="15" t="str">
        <f>IFERROR(__xludf.DUMMYFUNCTION("""COMPUTED_VALUE"""),"MEDELLÍN")</f>
        <v>MEDELLÍN</v>
      </c>
      <c r="E4365" s="15" t="str">
        <f>IFERROR(__xludf.DUMMYFUNCTION("""COMPUTED_VALUE"""),"Momo Tea S.A.S Gabriel Echavarría")</f>
        <v>Momo Tea S.A.S Gabriel Echavarría</v>
      </c>
      <c r="F4365" s="17" t="str">
        <f>IFERROR(__xludf.DUMMYFUNCTION("""COMPUTED_VALUE"""),"CL 11 N 16 E 35 / CA B 1")</f>
        <v>CL 11 N 16 E 35 / CA B 1</v>
      </c>
      <c r="G4365" s="15" t="str">
        <f>IFERROR(__xludf.DUMMYFUNCTION("""COMPUTED_VALUE"""),"Gabriel Echavarría")</f>
        <v>Gabriel Echavarría</v>
      </c>
      <c r="H4365" s="16">
        <f>IFERROR(__xludf.DUMMYFUNCTION("""COMPUTED_VALUE"""),13006.0)</f>
        <v>13006</v>
      </c>
      <c r="I4365" s="18">
        <f>IFERROR(__xludf.DUMMYFUNCTION("""COMPUTED_VALUE"""),21.0)</f>
        <v>21</v>
      </c>
      <c r="J4365" s="18">
        <f>IFERROR(__xludf.DUMMYFUNCTION("""COMPUTED_VALUE"""),29.0)</f>
        <v>29</v>
      </c>
      <c r="K4365" s="18">
        <f>IFERROR(__xludf.DUMMYFUNCTION("""COMPUTED_VALUE"""),29.0)</f>
        <v>29</v>
      </c>
      <c r="L4365" s="17">
        <f>IFERROR(__xludf.DUMMYFUNCTION("""COMPUTED_VALUE"""),3.017909548E9)</f>
        <v>3017909548</v>
      </c>
      <c r="M4365" s="17" t="str">
        <f>IFERROR(__xludf.DUMMYFUNCTION("""COMPUTED_VALUE"""),"#REF!")</f>
        <v>#REF!</v>
      </c>
      <c r="N4365" s="17"/>
      <c r="O4365" s="17"/>
      <c r="P4365" s="17" t="b">
        <f>IFERROR(__xludf.DUMMYFUNCTION("""COMPUTED_VALUE"""),TRUE)</f>
        <v>1</v>
      </c>
      <c r="Q4365" s="20">
        <f>IFERROR(__xludf.DUMMYFUNCTION("""COMPUTED_VALUE"""),45128.597268020836)</f>
        <v>45128.59727</v>
      </c>
      <c r="R4365" s="22" t="str">
        <f>IFERROR(__xludf.DUMMYFUNCTION("""COMPUTED_VALUE"""),"")</f>
        <v/>
      </c>
    </row>
    <row r="4366">
      <c r="A4366" s="17" t="str">
        <f>IFERROR(__xludf.DUMMYFUNCTION("""COMPUTED_VALUE"""),"")</f>
        <v/>
      </c>
      <c r="B4366" s="17" t="str">
        <f>IFERROR(__xludf.DUMMYFUNCTION("""COMPUTED_VALUE"""),"")</f>
        <v/>
      </c>
      <c r="C4366" s="17" t="str">
        <f>IFERROR(__xludf.DUMMYFUNCTION("""COMPUTED_VALUE"""),"")</f>
        <v/>
      </c>
      <c r="D4366" s="17" t="str">
        <f>IFERROR(__xludf.DUMMYFUNCTION("""COMPUTED_VALUE"""),"")</f>
        <v/>
      </c>
      <c r="E4366" s="17" t="str">
        <f>IFERROR(__xludf.DUMMYFUNCTION("""COMPUTED_VALUE"""),"")</f>
        <v/>
      </c>
      <c r="F4366" s="17" t="str">
        <f>IFERROR(__xludf.DUMMYFUNCTION("""COMPUTED_VALUE"""),"")</f>
        <v/>
      </c>
      <c r="G4366" s="17" t="str">
        <f>IFERROR(__xludf.DUMMYFUNCTION("""COMPUTED_VALUE"""),"")</f>
        <v/>
      </c>
      <c r="H4366" s="17" t="str">
        <f>IFERROR(__xludf.DUMMYFUNCTION("""COMPUTED_VALUE"""),"")</f>
        <v/>
      </c>
      <c r="I4366" s="17" t="str">
        <f>IFERROR(__xludf.DUMMYFUNCTION("""COMPUTED_VALUE"""),"")</f>
        <v/>
      </c>
      <c r="J4366" s="17" t="str">
        <f>IFERROR(__xludf.DUMMYFUNCTION("""COMPUTED_VALUE"""),"")</f>
        <v/>
      </c>
      <c r="K4366" s="17" t="str">
        <f>IFERROR(__xludf.DUMMYFUNCTION("""COMPUTED_VALUE"""),"")</f>
        <v/>
      </c>
      <c r="L4366" s="17" t="str">
        <f>IFERROR(__xludf.DUMMYFUNCTION("""COMPUTED_VALUE"""),"")</f>
        <v/>
      </c>
      <c r="M4366" s="17" t="str">
        <f>IFERROR(__xludf.DUMMYFUNCTION("""COMPUTED_VALUE"""),"")</f>
        <v/>
      </c>
      <c r="N4366" s="17" t="str">
        <f>IFERROR(__xludf.DUMMYFUNCTION("""COMPUTED_VALUE"""),"")</f>
        <v/>
      </c>
      <c r="O4366" s="17" t="str">
        <f>IFERROR(__xludf.DUMMYFUNCTION("""COMPUTED_VALUE"""),"")</f>
        <v/>
      </c>
      <c r="P4366" s="17" t="str">
        <f>IFERROR(__xludf.DUMMYFUNCTION("""COMPUTED_VALUE"""),"")</f>
        <v/>
      </c>
      <c r="Q4366" s="17" t="str">
        <f>IFERROR(__xludf.DUMMYFUNCTION("""COMPUTED_VALUE"""),"")</f>
        <v/>
      </c>
      <c r="R4366" s="17" t="str">
        <f>IFERROR(__xludf.DUMMYFUNCTION("""COMPUTED_VALUE"""),"")</f>
        <v/>
      </c>
    </row>
    <row r="4367">
      <c r="A4367" s="15">
        <f>IFERROR(__xludf.DUMMYFUNCTION("""COMPUTED_VALUE"""),45128.0)</f>
        <v>45128</v>
      </c>
      <c r="B4367" s="16" t="str">
        <f>IFERROR(__xludf.DUMMYFUNCTION("""COMPUTED_VALUE"""),"Daniel José sandoval gonzalez")</f>
        <v>Daniel José sandoval gonzalez</v>
      </c>
      <c r="C4367" s="15" t="str">
        <f>IFERROR(__xludf.DUMMYFUNCTION("""COMPUTED_VALUE"""),"BARRANQUILLA")</f>
        <v>BARRANQUILLA</v>
      </c>
      <c r="D4367" s="15" t="str">
        <f>IFERROR(__xludf.DUMMYFUNCTION("""COMPUTED_VALUE"""),"BOGOTÁ")</f>
        <v>BOGOTÁ</v>
      </c>
      <c r="E4367" s="15" t="str">
        <f>IFERROR(__xludf.DUMMYFUNCTION("""COMPUTED_VALUE"""),"Asociacion Agropecuaria Juana Maria")</f>
        <v>Asociacion Agropecuaria Juana Maria</v>
      </c>
      <c r="F4367" s="17" t="str">
        <f>IFERROR(__xludf.DUMMYFUNCTION("""COMPUTED_VALUE"""),"Calle 82 # 49C-50 Local 3")</f>
        <v>Calle 82 # 49C-50 Local 3</v>
      </c>
      <c r="G4367" s="15" t="str">
        <f>IFERROR(__xludf.DUMMYFUNCTION("""COMPUTED_VALUE"""),"STALIN ALBERTO NAVARRO POLO")</f>
        <v>STALIN ALBERTO NAVARRO POLO</v>
      </c>
      <c r="H4367" s="16">
        <f>IFERROR(__xludf.DUMMYFUNCTION("""COMPUTED_VALUE"""),13084.0)</f>
        <v>13084</v>
      </c>
      <c r="I4367" s="18">
        <f>IFERROR(__xludf.DUMMYFUNCTION("""COMPUTED_VALUE"""),28.0)</f>
        <v>28</v>
      </c>
      <c r="J4367" s="18">
        <f>IFERROR(__xludf.DUMMYFUNCTION("""COMPUTED_VALUE"""),37.0)</f>
        <v>37</v>
      </c>
      <c r="K4367" s="18">
        <f>IFERROR(__xludf.DUMMYFUNCTION("""COMPUTED_VALUE"""),30.0)</f>
        <v>30</v>
      </c>
      <c r="L4367" s="17">
        <f>IFERROR(__xludf.DUMMYFUNCTION("""COMPUTED_VALUE"""),3.135021201E9)</f>
        <v>3135021201</v>
      </c>
      <c r="M4367" s="17" t="str">
        <f>IFERROR(__xludf.DUMMYFUNCTION("""COMPUTED_VALUE"""),"#REF!")</f>
        <v>#REF!</v>
      </c>
      <c r="N4367" s="17"/>
      <c r="O4367" s="17"/>
      <c r="P4367" s="17" t="b">
        <f>IFERROR(__xludf.DUMMYFUNCTION("""COMPUTED_VALUE"""),TRUE)</f>
        <v>1</v>
      </c>
      <c r="Q4367" s="20">
        <f>IFERROR(__xludf.DUMMYFUNCTION("""COMPUTED_VALUE"""),45128.597054375)</f>
        <v>45128.59705</v>
      </c>
      <c r="R4367" s="22" t="str">
        <f>IFERROR(__xludf.DUMMYFUNCTION("""COMPUTED_VALUE"""),"")</f>
        <v/>
      </c>
    </row>
    <row r="4368">
      <c r="A4368" s="15">
        <f>IFERROR(__xludf.DUMMYFUNCTION("""COMPUTED_VALUE"""),45128.0)</f>
        <v>45128</v>
      </c>
      <c r="B4368" s="16" t="str">
        <f>IFERROR(__xludf.DUMMYFUNCTION("""COMPUTED_VALUE"""),"Daniel José sandoval gonzalez")</f>
        <v>Daniel José sandoval gonzalez</v>
      </c>
      <c r="C4368" s="15" t="str">
        <f>IFERROR(__xludf.DUMMYFUNCTION("""COMPUTED_VALUE"""),"BARRANQUILLA")</f>
        <v>BARRANQUILLA</v>
      </c>
      <c r="D4368" s="15" t="str">
        <f>IFERROR(__xludf.DUMMYFUNCTION("""COMPUTED_VALUE"""),"BOGOTÁ")</f>
        <v>BOGOTÁ</v>
      </c>
      <c r="E4368" s="15" t="str">
        <f>IFERROR(__xludf.DUMMYFUNCTION("""COMPUTED_VALUE"""),"Evamazzita")</f>
        <v>Evamazzita</v>
      </c>
      <c r="F4368" s="17" t="str">
        <f>IFERROR(__xludf.DUMMYFUNCTION("""COMPUTED_VALUE"""),"Calle 117#42-189 / Torre 23/ Apto 303 / Canario/Alameda del Rio")</f>
        <v>Calle 117#42-189 / Torre 23/ Apto 303 / Canario/Alameda del Rio</v>
      </c>
      <c r="G4368" s="15" t="str">
        <f>IFERROR(__xludf.DUMMYFUNCTION("""COMPUTED_VALUE"""),"LAURA DE LA VEGA")</f>
        <v>LAURA DE LA VEGA</v>
      </c>
      <c r="H4368" s="16">
        <f>IFERROR(__xludf.DUMMYFUNCTION("""COMPUTED_VALUE"""),13064.0)</f>
        <v>13064</v>
      </c>
      <c r="I4368" s="18">
        <f>IFERROR(__xludf.DUMMYFUNCTION("""COMPUTED_VALUE"""),1.0)</f>
        <v>1</v>
      </c>
      <c r="J4368" s="18">
        <f>IFERROR(__xludf.DUMMYFUNCTION("""COMPUTED_VALUE"""),1.0)</f>
        <v>1</v>
      </c>
      <c r="K4368" s="18">
        <f>IFERROR(__xludf.DUMMYFUNCTION("""COMPUTED_VALUE"""),1.0)</f>
        <v>1</v>
      </c>
      <c r="L4368" s="17">
        <f>IFERROR(__xludf.DUMMYFUNCTION("""COMPUTED_VALUE"""),3.007234558E9)</f>
        <v>3007234558</v>
      </c>
      <c r="M4368" s="17" t="str">
        <f>IFERROR(__xludf.DUMMYFUNCTION("""COMPUTED_VALUE"""),"#REF!")</f>
        <v>#REF!</v>
      </c>
      <c r="N4368" s="17"/>
      <c r="O4368" s="17"/>
      <c r="P4368" s="17" t="b">
        <f>IFERROR(__xludf.DUMMYFUNCTION("""COMPUTED_VALUE"""),TRUE)</f>
        <v>1</v>
      </c>
      <c r="Q4368" s="20">
        <f>IFERROR(__xludf.DUMMYFUNCTION("""COMPUTED_VALUE"""),45128.60166637732)</f>
        <v>45128.60167</v>
      </c>
      <c r="R4368" s="21" t="str">
        <f>IFERROR(__xludf.DUMMYFUNCTION("""COMPUTED_VALUE"""),"https://drive.google.com/file/d/1Py_3EXPeJgwX8SpZUv94qcfKA2n8yt7W/view?usp=drivesdk")</f>
        <v>https://drive.google.com/file/d/1Py_3EXPeJgwX8SpZUv94qcfKA2n8yt7W/view?usp=drivesdk</v>
      </c>
    </row>
    <row r="4369">
      <c r="A4369" s="15">
        <f>IFERROR(__xludf.DUMMYFUNCTION("""COMPUTED_VALUE"""),45128.0)</f>
        <v>45128</v>
      </c>
      <c r="B4369" s="16" t="str">
        <f>IFERROR(__xludf.DUMMYFUNCTION("""COMPUTED_VALUE"""),"Daniel José sandoval gonzalez")</f>
        <v>Daniel José sandoval gonzalez</v>
      </c>
      <c r="C4369" s="15" t="str">
        <f>IFERROR(__xludf.DUMMYFUNCTION("""COMPUTED_VALUE"""),"BARRANQUILLA")</f>
        <v>BARRANQUILLA</v>
      </c>
      <c r="D4369" s="15" t="str">
        <f>IFERROR(__xludf.DUMMYFUNCTION("""COMPUTED_VALUE"""),"BOGOTÁ")</f>
        <v>BOGOTÁ</v>
      </c>
      <c r="E4369" s="15" t="str">
        <f>IFERROR(__xludf.DUMMYFUNCTION("""COMPUTED_VALUE"""),"Evamazzita")</f>
        <v>Evamazzita</v>
      </c>
      <c r="F4369" s="17" t="str">
        <f>IFERROR(__xludf.DUMMYFUNCTION("""COMPUTED_VALUE"""),"Calle 117#42B-189 / Torre 1/Apto604 / Conjunto Azulejo/Barrio Alameda Del Rio")</f>
        <v>Calle 117#42B-189 / Torre 1/Apto604 / Conjunto Azulejo/Barrio Alameda Del Rio</v>
      </c>
      <c r="G4369" s="15" t="str">
        <f>IFERROR(__xludf.DUMMYFUNCTION("""COMPUTED_VALUE"""),"CAROLAY CALVO GONZALEZ")</f>
        <v>CAROLAY CALVO GONZALEZ</v>
      </c>
      <c r="H4369" s="16">
        <f>IFERROR(__xludf.DUMMYFUNCTION("""COMPUTED_VALUE"""),13063.0)</f>
        <v>13063</v>
      </c>
      <c r="I4369" s="18">
        <f>IFERROR(__xludf.DUMMYFUNCTION("""COMPUTED_VALUE"""),1.0)</f>
        <v>1</v>
      </c>
      <c r="J4369" s="18">
        <f>IFERROR(__xludf.DUMMYFUNCTION("""COMPUTED_VALUE"""),1.0)</f>
        <v>1</v>
      </c>
      <c r="K4369" s="18">
        <f>IFERROR(__xludf.DUMMYFUNCTION("""COMPUTED_VALUE"""),1.0)</f>
        <v>1</v>
      </c>
      <c r="L4369" s="17">
        <f>IFERROR(__xludf.DUMMYFUNCTION("""COMPUTED_VALUE"""),3.108445201E9)</f>
        <v>3108445201</v>
      </c>
      <c r="M4369" s="17" t="str">
        <f>IFERROR(__xludf.DUMMYFUNCTION("""COMPUTED_VALUE"""),"#REF!")</f>
        <v>#REF!</v>
      </c>
      <c r="N4369" s="17"/>
      <c r="O4369" s="17"/>
      <c r="P4369" s="17" t="b">
        <f>IFERROR(__xludf.DUMMYFUNCTION("""COMPUTED_VALUE"""),TRUE)</f>
        <v>1</v>
      </c>
      <c r="Q4369" s="20">
        <f>IFERROR(__xludf.DUMMYFUNCTION("""COMPUTED_VALUE"""),45128.620069236116)</f>
        <v>45128.62007</v>
      </c>
      <c r="R4369" s="21" t="str">
        <f>IFERROR(__xludf.DUMMYFUNCTION("""COMPUTED_VALUE"""),"https://drive.google.com/file/d/1teVpSpjArJK-bMFq46MAwS9MNCluQkVP/view?usp=drivesdk")</f>
        <v>https://drive.google.com/file/d/1teVpSpjArJK-bMFq46MAwS9MNCluQkVP/view?usp=drivesdk</v>
      </c>
    </row>
    <row r="4370">
      <c r="A4370" s="15">
        <f>IFERROR(__xludf.DUMMYFUNCTION("""COMPUTED_VALUE"""),45128.0)</f>
        <v>45128</v>
      </c>
      <c r="B4370" s="16" t="str">
        <f>IFERROR(__xludf.DUMMYFUNCTION("""COMPUTED_VALUE"""),"Daniel José sandoval gonzalez")</f>
        <v>Daniel José sandoval gonzalez</v>
      </c>
      <c r="C4370" s="15" t="str">
        <f>IFERROR(__xludf.DUMMYFUNCTION("""COMPUTED_VALUE"""),"BARRANQUILLA")</f>
        <v>BARRANQUILLA</v>
      </c>
      <c r="D4370" s="15" t="str">
        <f>IFERROR(__xludf.DUMMYFUNCTION("""COMPUTED_VALUE"""),"BOGOTÁ")</f>
        <v>BOGOTÁ</v>
      </c>
      <c r="E4370" s="15" t="str">
        <f>IFERROR(__xludf.DUMMYFUNCTION("""COMPUTED_VALUE"""),"MAI ALIMENTOS S.A.S")</f>
        <v>MAI ALIMENTOS S.A.S</v>
      </c>
      <c r="F4370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4370" s="15" t="str">
        <f>IFERROR(__xludf.DUMMYFUNCTION("""COMPUTED_VALUE"""),"Fithub")</f>
        <v>Fithub</v>
      </c>
      <c r="H4370" s="16">
        <f>IFERROR(__xludf.DUMMYFUNCTION("""COMPUTED_VALUE"""),12953.0)</f>
        <v>12953</v>
      </c>
      <c r="I4370" s="18">
        <f>IFERROR(__xludf.DUMMYFUNCTION("""COMPUTED_VALUE"""),28.0)</f>
        <v>28</v>
      </c>
      <c r="J4370" s="18">
        <f>IFERROR(__xludf.DUMMYFUNCTION("""COMPUTED_VALUE"""),17.0)</f>
        <v>17</v>
      </c>
      <c r="K4370" s="18">
        <f>IFERROR(__xludf.DUMMYFUNCTION("""COMPUTED_VALUE"""),13.0)</f>
        <v>13</v>
      </c>
      <c r="L4370" s="17">
        <f>IFERROR(__xludf.DUMMYFUNCTION("""COMPUTED_VALUE"""),0.0)</f>
        <v>0</v>
      </c>
      <c r="M4370" s="17" t="str">
        <f>IFERROR(__xludf.DUMMYFUNCTION("""COMPUTED_VALUE"""),"#REF!")</f>
        <v>#REF!</v>
      </c>
      <c r="N4370" s="17"/>
      <c r="O4370" s="17"/>
      <c r="P4370" s="17" t="b">
        <f>IFERROR(__xludf.DUMMYFUNCTION("""COMPUTED_VALUE"""),TRUE)</f>
        <v>1</v>
      </c>
      <c r="Q4370" s="20">
        <f>IFERROR(__xludf.DUMMYFUNCTION("""COMPUTED_VALUE"""),45128.599029062505)</f>
        <v>45128.59903</v>
      </c>
      <c r="R4370" s="21" t="str">
        <f>IFERROR(__xludf.DUMMYFUNCTION("""COMPUTED_VALUE"""),"https://drive.google.com/file/d/1AsUKtF6ZnMRdhtiB8LQJpshn1fspOJTg/view?usp=drivesdk")</f>
        <v>https://drive.google.com/file/d/1AsUKtF6ZnMRdhtiB8LQJpshn1fspOJTg/view?usp=drivesdk</v>
      </c>
    </row>
    <row r="4371">
      <c r="A4371" s="15">
        <f>IFERROR(__xludf.DUMMYFUNCTION("""COMPUTED_VALUE"""),45128.0)</f>
        <v>45128</v>
      </c>
      <c r="B4371" s="16" t="str">
        <f>IFERROR(__xludf.DUMMYFUNCTION("""COMPUTED_VALUE"""),"Daniel José sandoval gonzalez")</f>
        <v>Daniel José sandoval gonzalez</v>
      </c>
      <c r="C4371" s="15" t="str">
        <f>IFERROR(__xludf.DUMMYFUNCTION("""COMPUTED_VALUE"""),"RIONEGRO")</f>
        <v>RIONEGRO</v>
      </c>
      <c r="D4371" s="15" t="str">
        <f>IFERROR(__xludf.DUMMYFUNCTION("""COMPUTED_VALUE"""),"BOGOTÁ")</f>
        <v>BOGOTÁ</v>
      </c>
      <c r="E4371" s="15" t="str">
        <f>IFERROR(__xludf.DUMMYFUNCTION("""COMPUTED_VALUE"""),"Top Spun")</f>
        <v>Top Spun</v>
      </c>
      <c r="F4371" s="17" t="str">
        <f>IFERROR(__xludf.DUMMYFUNCTION("""COMPUTED_VALUE"""),"Parcelación la reserva casa 30 /vereda cabeceras  / Casa 30  / Llano grande/Rionegro")</f>
        <v>Parcelación la reserva casa 30 /vereda cabeceras  / Casa 30  / Llano grande/Rionegro</v>
      </c>
      <c r="G4371" s="15" t="str">
        <f>IFERROR(__xludf.DUMMYFUNCTION("""COMPUTED_VALUE"""),"Cecilia Baena")</f>
        <v>Cecilia Baena</v>
      </c>
      <c r="H4371" s="16">
        <f>IFERROR(__xludf.DUMMYFUNCTION("""COMPUTED_VALUE"""),13101.0)</f>
        <v>13101</v>
      </c>
      <c r="I4371" s="18">
        <f>IFERROR(__xludf.DUMMYFUNCTION("""COMPUTED_VALUE"""),21.0)</f>
        <v>21</v>
      </c>
      <c r="J4371" s="18">
        <f>IFERROR(__xludf.DUMMYFUNCTION("""COMPUTED_VALUE"""),50.0)</f>
        <v>50</v>
      </c>
      <c r="K4371" s="18">
        <f>IFERROR(__xludf.DUMMYFUNCTION("""COMPUTED_VALUE"""),30.0)</f>
        <v>30</v>
      </c>
      <c r="L4371" s="17">
        <f>IFERROR(__xludf.DUMMYFUNCTION("""COMPUTED_VALUE"""),3.003477817E9)</f>
        <v>3003477817</v>
      </c>
      <c r="M4371" s="17" t="str">
        <f>IFERROR(__xludf.DUMMYFUNCTION("""COMPUTED_VALUE"""),"#REF!")</f>
        <v>#REF!</v>
      </c>
      <c r="N4371" s="17"/>
      <c r="O4371" s="17"/>
      <c r="P4371" s="17" t="b">
        <f>IFERROR(__xludf.DUMMYFUNCTION("""COMPUTED_VALUE"""),TRUE)</f>
        <v>1</v>
      </c>
      <c r="Q4371" s="20">
        <f>IFERROR(__xludf.DUMMYFUNCTION("""COMPUTED_VALUE"""),45128.619962881945)</f>
        <v>45128.61996</v>
      </c>
      <c r="R4371" s="22" t="str">
        <f>IFERROR(__xludf.DUMMYFUNCTION("""COMPUTED_VALUE"""),"")</f>
        <v/>
      </c>
    </row>
    <row r="4372">
      <c r="A4372" s="17" t="str">
        <f>IFERROR(__xludf.DUMMYFUNCTION("""COMPUTED_VALUE"""),"")</f>
        <v/>
      </c>
      <c r="B4372" s="17" t="str">
        <f>IFERROR(__xludf.DUMMYFUNCTION("""COMPUTED_VALUE"""),"")</f>
        <v/>
      </c>
      <c r="C4372" s="17" t="str">
        <f>IFERROR(__xludf.DUMMYFUNCTION("""COMPUTED_VALUE"""),"")</f>
        <v/>
      </c>
      <c r="D4372" s="17" t="str">
        <f>IFERROR(__xludf.DUMMYFUNCTION("""COMPUTED_VALUE"""),"")</f>
        <v/>
      </c>
      <c r="E4372" s="17" t="str">
        <f>IFERROR(__xludf.DUMMYFUNCTION("""COMPUTED_VALUE"""),"")</f>
        <v/>
      </c>
      <c r="F4372" s="17" t="str">
        <f>IFERROR(__xludf.DUMMYFUNCTION("""COMPUTED_VALUE"""),"")</f>
        <v/>
      </c>
      <c r="G4372" s="17" t="str">
        <f>IFERROR(__xludf.DUMMYFUNCTION("""COMPUTED_VALUE"""),"")</f>
        <v/>
      </c>
      <c r="H4372" s="17" t="str">
        <f>IFERROR(__xludf.DUMMYFUNCTION("""COMPUTED_VALUE"""),"")</f>
        <v/>
      </c>
      <c r="I4372" s="17" t="str">
        <f>IFERROR(__xludf.DUMMYFUNCTION("""COMPUTED_VALUE"""),"")</f>
        <v/>
      </c>
      <c r="J4372" s="17" t="str">
        <f>IFERROR(__xludf.DUMMYFUNCTION("""COMPUTED_VALUE"""),"")</f>
        <v/>
      </c>
      <c r="K4372" s="17" t="str">
        <f>IFERROR(__xludf.DUMMYFUNCTION("""COMPUTED_VALUE"""),"")</f>
        <v/>
      </c>
      <c r="L4372" s="17" t="str">
        <f>IFERROR(__xludf.DUMMYFUNCTION("""COMPUTED_VALUE"""),"")</f>
        <v/>
      </c>
      <c r="M4372" s="17" t="str">
        <f>IFERROR(__xludf.DUMMYFUNCTION("""COMPUTED_VALUE"""),"")</f>
        <v/>
      </c>
      <c r="N4372" s="17" t="str">
        <f>IFERROR(__xludf.DUMMYFUNCTION("""COMPUTED_VALUE"""),"")</f>
        <v/>
      </c>
      <c r="O4372" s="17" t="str">
        <f>IFERROR(__xludf.DUMMYFUNCTION("""COMPUTED_VALUE"""),"")</f>
        <v/>
      </c>
      <c r="P4372" s="17" t="str">
        <f>IFERROR(__xludf.DUMMYFUNCTION("""COMPUTED_VALUE"""),"")</f>
        <v/>
      </c>
      <c r="Q4372" s="17" t="str">
        <f>IFERROR(__xludf.DUMMYFUNCTION("""COMPUTED_VALUE"""),"")</f>
        <v/>
      </c>
      <c r="R4372" s="17" t="str">
        <f>IFERROR(__xludf.DUMMYFUNCTION("""COMPUTED_VALUE"""),"")</f>
        <v/>
      </c>
    </row>
    <row r="4373">
      <c r="A4373" s="15">
        <f>IFERROR(__xludf.DUMMYFUNCTION("""COMPUTED_VALUE"""),45128.0)</f>
        <v>45128</v>
      </c>
      <c r="B4373" s="16" t="str">
        <f>IFERROR(__xludf.DUMMYFUNCTION("""COMPUTED_VALUE"""),"Envia")</f>
        <v>Envia</v>
      </c>
      <c r="C4373" s="15" t="str">
        <f>IFERROR(__xludf.DUMMYFUNCTION("""COMPUTED_VALUE"""),"BARRANQUILLA")</f>
        <v>BARRANQUILLA</v>
      </c>
      <c r="D4373" s="15" t="str">
        <f>IFERROR(__xludf.DUMMYFUNCTION("""COMPUTED_VALUE"""),"BOGOTÁ")</f>
        <v>BOGOTÁ</v>
      </c>
      <c r="E4373" s="15" t="str">
        <f>IFERROR(__xludf.DUMMYFUNCTION("""COMPUTED_VALUE"""),"Evamazzita")</f>
        <v>Evamazzita</v>
      </c>
      <c r="F4373" s="17" t="str">
        <f>IFERROR(__xludf.DUMMYFUNCTION("""COMPUTED_VALUE"""),"CR 8 A sur # 48 B -34  / BLOQUE D 10 APTO 101 / URBANIZACION LAS CALLENAS")</f>
        <v>CR 8 A sur # 48 B -34  / BLOQUE D 10 APTO 101 / URBANIZACION LAS CALLENAS</v>
      </c>
      <c r="G4373" s="15" t="str">
        <f>IFERROR(__xludf.DUMMYFUNCTION("""COMPUTED_VALUE"""),"YULIE LOPEZ")</f>
        <v>YULIE LOPEZ</v>
      </c>
      <c r="H4373" s="16">
        <f>IFERROR(__xludf.DUMMYFUNCTION("""COMPUTED_VALUE"""),13066.0)</f>
        <v>13066</v>
      </c>
      <c r="I4373" s="18">
        <f>IFERROR(__xludf.DUMMYFUNCTION("""COMPUTED_VALUE"""),1.0)</f>
        <v>1</v>
      </c>
      <c r="J4373" s="18">
        <f>IFERROR(__xludf.DUMMYFUNCTION("""COMPUTED_VALUE"""),1.0)</f>
        <v>1</v>
      </c>
      <c r="K4373" s="18">
        <f>IFERROR(__xludf.DUMMYFUNCTION("""COMPUTED_VALUE"""),1.0)</f>
        <v>1</v>
      </c>
      <c r="L4373" s="17">
        <f>IFERROR(__xludf.DUMMYFUNCTION("""COMPUTED_VALUE"""),3.137843226E9)</f>
        <v>3137843226</v>
      </c>
      <c r="M4373" s="17" t="str">
        <f>IFERROR(__xludf.DUMMYFUNCTION("""COMPUTED_VALUE"""),"#REF!")</f>
        <v>#REF!</v>
      </c>
      <c r="N4373" s="17"/>
      <c r="O4373" s="17"/>
      <c r="P4373" s="17" t="b">
        <f>IFERROR(__xludf.DUMMYFUNCTION("""COMPUTED_VALUE"""),TRUE)</f>
        <v>1</v>
      </c>
      <c r="Q4373" s="20">
        <f>IFERROR(__xludf.DUMMYFUNCTION("""COMPUTED_VALUE"""),45128.62001724537)</f>
        <v>45128.62002</v>
      </c>
      <c r="R4373" s="21" t="str">
        <f>IFERROR(__xludf.DUMMYFUNCTION("""COMPUTED_VALUE"""),"https://drive.google.com/file/d/1wUe1Bp66r8Rc3ueSSynonN0ZL7rwz7eb/view?usp=drivesdk")</f>
        <v>https://drive.google.com/file/d/1wUe1Bp66r8Rc3ueSSynonN0ZL7rwz7eb/view?usp=drivesdk</v>
      </c>
    </row>
    <row r="4374">
      <c r="A4374" s="15">
        <f>IFERROR(__xludf.DUMMYFUNCTION("""COMPUTED_VALUE"""),45128.0)</f>
        <v>45128</v>
      </c>
      <c r="B4374" s="16" t="str">
        <f>IFERROR(__xludf.DUMMYFUNCTION("""COMPUTED_VALUE"""),"Envia")</f>
        <v>Envia</v>
      </c>
      <c r="C4374" s="15" t="str">
        <f>IFERROR(__xludf.DUMMYFUNCTION("""COMPUTED_VALUE"""),"BARRANQUILLA")</f>
        <v>BARRANQUILLA</v>
      </c>
      <c r="D4374" s="15" t="str">
        <f>IFERROR(__xludf.DUMMYFUNCTION("""COMPUTED_VALUE"""),"BOGOTÁ")</f>
        <v>BOGOTÁ</v>
      </c>
      <c r="E4374" s="15" t="str">
        <f>IFERROR(__xludf.DUMMYFUNCTION("""COMPUTED_VALUE"""),"Viral Brands")</f>
        <v>Viral Brands</v>
      </c>
      <c r="F4374" s="17" t="str">
        <f>IFERROR(__xludf.DUMMYFUNCTION("""COMPUTED_VALUE"""),"Cra 58 96 187 / Lyd house 98 restaurante maya gaucho / Buenavista")</f>
        <v>Cra 58 96 187 / Lyd house 98 restaurante maya gaucho / Buenavista</v>
      </c>
      <c r="G4374" s="15" t="str">
        <f>IFERROR(__xludf.DUMMYFUNCTION("""COMPUTED_VALUE"""),"Manuel Ortiz")</f>
        <v>Manuel Ortiz</v>
      </c>
      <c r="H4374" s="16">
        <f>IFERROR(__xludf.DUMMYFUNCTION("""COMPUTED_VALUE"""),13085.0)</f>
        <v>13085</v>
      </c>
      <c r="I4374" s="18">
        <f>IFERROR(__xludf.DUMMYFUNCTION("""COMPUTED_VALUE"""),21.0)</f>
        <v>21</v>
      </c>
      <c r="J4374" s="18">
        <f>IFERROR(__xludf.DUMMYFUNCTION("""COMPUTED_VALUE"""),50.0)</f>
        <v>50</v>
      </c>
      <c r="K4374" s="18">
        <f>IFERROR(__xludf.DUMMYFUNCTION("""COMPUTED_VALUE"""),30.0)</f>
        <v>30</v>
      </c>
      <c r="L4374" s="17">
        <f>IFERROR(__xludf.DUMMYFUNCTION("""COMPUTED_VALUE"""),3.122454394E9)</f>
        <v>3122454394</v>
      </c>
      <c r="M4374" s="17" t="str">
        <f>IFERROR(__xludf.DUMMYFUNCTION("""COMPUTED_VALUE"""),"#REF!")</f>
        <v>#REF!</v>
      </c>
      <c r="N4374" s="17"/>
      <c r="O4374" s="17"/>
      <c r="P4374" s="17" t="b">
        <f>IFERROR(__xludf.DUMMYFUNCTION("""COMPUTED_VALUE"""),TRUE)</f>
        <v>1</v>
      </c>
      <c r="Q4374" s="20">
        <f>IFERROR(__xludf.DUMMYFUNCTION("""COMPUTED_VALUE"""),45128.619817824074)</f>
        <v>45128.61982</v>
      </c>
      <c r="R4374" s="22" t="str">
        <f>IFERROR(__xludf.DUMMYFUNCTION("""COMPUTED_VALUE"""),"")</f>
        <v/>
      </c>
    </row>
    <row r="4375">
      <c r="A4375" s="15">
        <f>IFERROR(__xludf.DUMMYFUNCTION("""COMPUTED_VALUE"""),45128.0)</f>
        <v>45128</v>
      </c>
      <c r="B4375" s="16" t="str">
        <f>IFERROR(__xludf.DUMMYFUNCTION("""COMPUTED_VALUE"""),"Envia")</f>
        <v>Envia</v>
      </c>
      <c r="C4375" s="15" t="str">
        <f>IFERROR(__xludf.DUMMYFUNCTION("""COMPUTED_VALUE"""),"BOGOTÁ")</f>
        <v>BOGOTÁ</v>
      </c>
      <c r="D4375" s="15" t="str">
        <f>IFERROR(__xludf.DUMMYFUNCTION("""COMPUTED_VALUE"""),"MEDELLÍN")</f>
        <v>MEDELLÍN</v>
      </c>
      <c r="E4375" s="15" t="str">
        <f>IFERROR(__xludf.DUMMYFUNCTION("""COMPUTED_VALUE"""),"Rambla")</f>
        <v>Rambla</v>
      </c>
      <c r="F4375" s="17" t="str">
        <f>IFERROR(__xludf.DUMMYFUNCTION("""COMPUTED_VALUE"""),"calle 8 sur n 39-34 / ciudad montes / na")</f>
        <v>calle 8 sur n 39-34 / ciudad montes / na</v>
      </c>
      <c r="G4375" s="15" t="str">
        <f>IFERROR(__xludf.DUMMYFUNCTION("""COMPUTED_VALUE"""),"tierra fertil")</f>
        <v>tierra fertil</v>
      </c>
      <c r="H4375" s="16">
        <f>IFERROR(__xludf.DUMMYFUNCTION("""COMPUTED_VALUE"""),13090.0)</f>
        <v>13090</v>
      </c>
      <c r="I4375" s="18">
        <f>IFERROR(__xludf.DUMMYFUNCTION("""COMPUTED_VALUE"""),32.0)</f>
        <v>32</v>
      </c>
      <c r="J4375" s="18">
        <f>IFERROR(__xludf.DUMMYFUNCTION("""COMPUTED_VALUE"""),23.0)</f>
        <v>23</v>
      </c>
      <c r="K4375" s="18">
        <f>IFERROR(__xludf.DUMMYFUNCTION("""COMPUTED_VALUE"""),23.0)</f>
        <v>23</v>
      </c>
      <c r="L4375" s="17">
        <f>IFERROR(__xludf.DUMMYFUNCTION("""COMPUTED_VALUE"""),3.112876801E9)</f>
        <v>3112876801</v>
      </c>
      <c r="M4375" s="17" t="str">
        <f>IFERROR(__xludf.DUMMYFUNCTION("""COMPUTED_VALUE"""),"#REF!")</f>
        <v>#REF!</v>
      </c>
      <c r="N4375" s="17"/>
      <c r="O4375" s="17"/>
      <c r="P4375" s="17" t="b">
        <f>IFERROR(__xludf.DUMMYFUNCTION("""COMPUTED_VALUE"""),TRUE)</f>
        <v>1</v>
      </c>
      <c r="Q4375" s="20">
        <f>IFERROR(__xludf.DUMMYFUNCTION("""COMPUTED_VALUE"""),45128.61991009259)</f>
        <v>45128.61991</v>
      </c>
      <c r="R4375" s="21" t="str">
        <f>IFERROR(__xludf.DUMMYFUNCTION("""COMPUTED_VALUE"""),"https://drive.google.com/file/d/1FCNzcqFcNV3Ui2eIVrPOUEeLix49FBBW/view?usp=drivesdk")</f>
        <v>https://drive.google.com/file/d/1FCNzcqFcNV3Ui2eIVrPOUEeLix49FBBW/view?usp=drivesdk</v>
      </c>
    </row>
    <row r="4376">
      <c r="A4376" s="15">
        <f>IFERROR(__xludf.DUMMYFUNCTION("""COMPUTED_VALUE"""),45128.0)</f>
        <v>45128</v>
      </c>
      <c r="B4376" s="16" t="str">
        <f>IFERROR(__xludf.DUMMYFUNCTION("""COMPUTED_VALUE"""),"Envia")</f>
        <v>Envia</v>
      </c>
      <c r="C4376" s="15" t="str">
        <f>IFERROR(__xludf.DUMMYFUNCTION("""COMPUTED_VALUE"""),"CALI")</f>
        <v>CALI</v>
      </c>
      <c r="D4376" s="15" t="str">
        <f>IFERROR(__xludf.DUMMYFUNCTION("""COMPUTED_VALUE"""),"BOGOTÁ")</f>
        <v>BOGOTÁ</v>
      </c>
      <c r="E4376" s="15" t="str">
        <f>IFERROR(__xludf.DUMMYFUNCTION("""COMPUTED_VALUE"""),"Athenas")</f>
        <v>Athenas</v>
      </c>
      <c r="F4376" s="17" t="str">
        <f>IFERROR(__xludf.DUMMYFUNCTION("""COMPUTED_VALUE"""),"Carrera 98 # 16 200 / Centro comercial jardín plaza   / Jardín plaza")</f>
        <v>Carrera 98 # 16 200 / Centro comercial jardín plaza   / Jardín plaza</v>
      </c>
      <c r="G4376" s="15" t="str">
        <f>IFERROR(__xludf.DUMMYFUNCTION("""COMPUTED_VALUE"""),"Ginna panesso")</f>
        <v>Ginna panesso</v>
      </c>
      <c r="H4376" s="16">
        <f>IFERROR(__xludf.DUMMYFUNCTION("""COMPUTED_VALUE"""),13056.0)</f>
        <v>13056</v>
      </c>
      <c r="I4376" s="18" t="str">
        <f>IFERROR(__xludf.DUMMYFUNCTION("""COMPUTED_VALUE"""),"52.5")</f>
        <v>52.5</v>
      </c>
      <c r="J4376" s="18">
        <f>IFERROR(__xludf.DUMMYFUNCTION("""COMPUTED_VALUE"""),55.0)</f>
        <v>55</v>
      </c>
      <c r="K4376" s="18">
        <f>IFERROR(__xludf.DUMMYFUNCTION("""COMPUTED_VALUE"""),45.0)</f>
        <v>45</v>
      </c>
      <c r="L4376" s="17">
        <f>IFERROR(__xludf.DUMMYFUNCTION("""COMPUTED_VALUE"""),3.103897576E9)</f>
        <v>3103897576</v>
      </c>
      <c r="M4376" s="17" t="str">
        <f>IFERROR(__xludf.DUMMYFUNCTION("""COMPUTED_VALUE"""),"#REF!")</f>
        <v>#REF!</v>
      </c>
      <c r="N4376" s="17"/>
      <c r="O4376" s="17"/>
      <c r="P4376" s="17" t="b">
        <f>IFERROR(__xludf.DUMMYFUNCTION("""COMPUTED_VALUE"""),FALSE)</f>
        <v>0</v>
      </c>
      <c r="Q4376" s="20" t="str">
        <f>IFERROR(__xludf.DUMMYFUNCTION("""COMPUTED_VALUE"""),"")</f>
        <v/>
      </c>
      <c r="R4376" s="22" t="str">
        <f>IFERROR(__xludf.DUMMYFUNCTION("""COMPUTED_VALUE"""),"")</f>
        <v/>
      </c>
    </row>
    <row r="4377">
      <c r="A4377" s="15">
        <f>IFERROR(__xludf.DUMMYFUNCTION("""COMPUTED_VALUE"""),45128.0)</f>
        <v>45128</v>
      </c>
      <c r="B4377" s="16" t="str">
        <f>IFERROR(__xludf.DUMMYFUNCTION("""COMPUTED_VALUE"""),"Envia")</f>
        <v>Envia</v>
      </c>
      <c r="C4377" s="15" t="str">
        <f>IFERROR(__xludf.DUMMYFUNCTION("""COMPUTED_VALUE"""),"CALI")</f>
        <v>CALI</v>
      </c>
      <c r="D4377" s="15" t="str">
        <f>IFERROR(__xludf.DUMMYFUNCTION("""COMPUTED_VALUE"""),"BOGOTÁ")</f>
        <v>BOGOTÁ</v>
      </c>
      <c r="E4377" s="15" t="str">
        <f>IFERROR(__xludf.DUMMYFUNCTION("""COMPUTED_VALUE"""),"Athenas")</f>
        <v>Athenas</v>
      </c>
      <c r="F4377" s="17" t="str">
        <f>IFERROR(__xludf.DUMMYFUNCTION("""COMPUTED_VALUE"""),"Carrera 98 # 16 200 / Centro comercial jardín plaza 3 piso Cafetería athenas bodytech  / Jardín plaza")</f>
        <v>Carrera 98 # 16 200 / Centro comercial jardín plaza 3 piso Cafetería athenas bodytech  / Jardín plaza</v>
      </c>
      <c r="G4377" s="15" t="str">
        <f>IFERROR(__xludf.DUMMYFUNCTION("""COMPUTED_VALUE"""),"Jorge parra")</f>
        <v>Jorge parra</v>
      </c>
      <c r="H4377" s="16">
        <f>IFERROR(__xludf.DUMMYFUNCTION("""COMPUTED_VALUE"""),13055.0)</f>
        <v>13055</v>
      </c>
      <c r="I4377" s="18" t="str">
        <f>IFERROR(__xludf.DUMMYFUNCTION("""COMPUTED_VALUE"""),"52.5")</f>
        <v>52.5</v>
      </c>
      <c r="J4377" s="18">
        <f>IFERROR(__xludf.DUMMYFUNCTION("""COMPUTED_VALUE"""),55.0)</f>
        <v>55</v>
      </c>
      <c r="K4377" s="18">
        <f>IFERROR(__xludf.DUMMYFUNCTION("""COMPUTED_VALUE"""),45.0)</f>
        <v>45</v>
      </c>
      <c r="L4377" s="17">
        <f>IFERROR(__xludf.DUMMYFUNCTION("""COMPUTED_VALUE"""),3.103897576E9)</f>
        <v>3103897576</v>
      </c>
      <c r="M4377" s="17" t="str">
        <f>IFERROR(__xludf.DUMMYFUNCTION("""COMPUTED_VALUE"""),"#REF!")</f>
        <v>#REF!</v>
      </c>
      <c r="N4377" s="17"/>
      <c r="O4377" s="17"/>
      <c r="P4377" s="17" t="b">
        <f>IFERROR(__xludf.DUMMYFUNCTION("""COMPUTED_VALUE"""),FALSE)</f>
        <v>0</v>
      </c>
      <c r="Q4377" s="20" t="str">
        <f>IFERROR(__xludf.DUMMYFUNCTION("""COMPUTED_VALUE"""),"")</f>
        <v/>
      </c>
      <c r="R4377" s="22" t="str">
        <f>IFERROR(__xludf.DUMMYFUNCTION("""COMPUTED_VALUE"""),"")</f>
        <v/>
      </c>
    </row>
    <row r="4378">
      <c r="A4378" s="15">
        <f>IFERROR(__xludf.DUMMYFUNCTION("""COMPUTED_VALUE"""),45128.0)</f>
        <v>45128</v>
      </c>
      <c r="B4378" s="16" t="str">
        <f>IFERROR(__xludf.DUMMYFUNCTION("""COMPUTED_VALUE"""),"Envia")</f>
        <v>Envia</v>
      </c>
      <c r="C4378" s="15" t="str">
        <f>IFERROR(__xludf.DUMMYFUNCTION("""COMPUTED_VALUE"""),"CALI")</f>
        <v>CALI</v>
      </c>
      <c r="D4378" s="15" t="str">
        <f>IFERROR(__xludf.DUMMYFUNCTION("""COMPUTED_VALUE"""),"BOGOTÁ")</f>
        <v>BOGOTÁ</v>
      </c>
      <c r="E4378" s="15" t="str">
        <f>IFERROR(__xludf.DUMMYFUNCTION("""COMPUTED_VALUE"""),"Frambascolombia sas")</f>
        <v>Frambascolombia sas</v>
      </c>
      <c r="F4378" s="17" t="str">
        <f>IFERROR(__xludf.DUMMYFUNCTION("""COMPUTED_VALUE"""),"Av 5a Nte. # 25n18 / local 2")</f>
        <v>Av 5a Nte. # 25n18 / local 2</v>
      </c>
      <c r="G4378" s="15" t="str">
        <f>IFERROR(__xludf.DUMMYFUNCTION("""COMPUTED_VALUE"""),"PikNPak Cali")</f>
        <v>PikNPak Cali</v>
      </c>
      <c r="H4378" s="16">
        <f>IFERROR(__xludf.DUMMYFUNCTION("""COMPUTED_VALUE"""),13059.0)</f>
        <v>13059</v>
      </c>
      <c r="I4378" s="18">
        <f>IFERROR(__xludf.DUMMYFUNCTION("""COMPUTED_VALUE"""),29.0)</f>
        <v>29</v>
      </c>
      <c r="J4378" s="18">
        <f>IFERROR(__xludf.DUMMYFUNCTION("""COMPUTED_VALUE"""),45.0)</f>
        <v>45</v>
      </c>
      <c r="K4378" s="18">
        <f>IFERROR(__xludf.DUMMYFUNCTION("""COMPUTED_VALUE"""),53.0)</f>
        <v>53</v>
      </c>
      <c r="L4378" s="17" t="str">
        <f>IFERROR(__xludf.DUMMYFUNCTION("""COMPUTED_VALUE"""),"321 4229567")</f>
        <v>321 4229567</v>
      </c>
      <c r="M4378" s="17" t="str">
        <f>IFERROR(__xludf.DUMMYFUNCTION("""COMPUTED_VALUE"""),"#REF!")</f>
        <v>#REF!</v>
      </c>
      <c r="N4378" s="17"/>
      <c r="O4378" s="17"/>
      <c r="P4378" s="17" t="b">
        <f>IFERROR(__xludf.DUMMYFUNCTION("""COMPUTED_VALUE"""),FALSE)</f>
        <v>0</v>
      </c>
      <c r="Q4378" s="20" t="str">
        <f>IFERROR(__xludf.DUMMYFUNCTION("""COMPUTED_VALUE"""),"")</f>
        <v/>
      </c>
      <c r="R4378" s="22" t="str">
        <f>IFERROR(__xludf.DUMMYFUNCTION("""COMPUTED_VALUE"""),"")</f>
        <v/>
      </c>
    </row>
    <row r="4379">
      <c r="A4379" s="15">
        <f>IFERROR(__xludf.DUMMYFUNCTION("""COMPUTED_VALUE"""),45128.0)</f>
        <v>45128</v>
      </c>
      <c r="B4379" s="16" t="str">
        <f>IFERROR(__xludf.DUMMYFUNCTION("""COMPUTED_VALUE"""),"Envia")</f>
        <v>Envia</v>
      </c>
      <c r="C4379" s="15" t="str">
        <f>IFERROR(__xludf.DUMMYFUNCTION("""COMPUTED_VALUE"""),"CHÍA")</f>
        <v>CHÍA</v>
      </c>
      <c r="D4379" s="15" t="str">
        <f>IFERROR(__xludf.DUMMYFUNCTION("""COMPUTED_VALUE"""),"MEDELLÍN")</f>
        <v>MEDELLÍN</v>
      </c>
      <c r="E4379" s="15" t="str">
        <f>IFERROR(__xludf.DUMMYFUNCTION("""COMPUTED_VALUE"""),"Rambla")</f>
        <v>Rambla</v>
      </c>
      <c r="F4379" s="17" t="str">
        <f>IFERROR(__xludf.DUMMYFUNCTION("""COMPUTED_VALUE"""),"calle 29 n 6-54 / apto 201 / torre 2 chia")</f>
        <v>calle 29 n 6-54 / apto 201 / torre 2 chia</v>
      </c>
      <c r="G4379" s="15" t="str">
        <f>IFERROR(__xludf.DUMMYFUNCTION("""COMPUTED_VALUE"""),"salama")</f>
        <v>salama</v>
      </c>
      <c r="H4379" s="16">
        <f>IFERROR(__xludf.DUMMYFUNCTION("""COMPUTED_VALUE"""),13088.0)</f>
        <v>13088</v>
      </c>
      <c r="I4379" s="18">
        <f>IFERROR(__xludf.DUMMYFUNCTION("""COMPUTED_VALUE"""),32.0)</f>
        <v>32</v>
      </c>
      <c r="J4379" s="18">
        <f>IFERROR(__xludf.DUMMYFUNCTION("""COMPUTED_VALUE"""),23.0)</f>
        <v>23</v>
      </c>
      <c r="K4379" s="18">
        <f>IFERROR(__xludf.DUMMYFUNCTION("""COMPUTED_VALUE"""),23.0)</f>
        <v>23</v>
      </c>
      <c r="L4379" s="17">
        <f>IFERROR(__xludf.DUMMYFUNCTION("""COMPUTED_VALUE"""),3.183745233E9)</f>
        <v>3183745233</v>
      </c>
      <c r="M4379" s="17" t="str">
        <f>IFERROR(__xludf.DUMMYFUNCTION("""COMPUTED_VALUE"""),"#REF!")</f>
        <v>#REF!</v>
      </c>
      <c r="N4379" s="17"/>
      <c r="O4379" s="17"/>
      <c r="P4379" s="17" t="b">
        <f>IFERROR(__xludf.DUMMYFUNCTION("""COMPUTED_VALUE"""),FALSE)</f>
        <v>0</v>
      </c>
      <c r="Q4379" s="20" t="str">
        <f>IFERROR(__xludf.DUMMYFUNCTION("""COMPUTED_VALUE"""),"")</f>
        <v/>
      </c>
      <c r="R4379" s="21" t="str">
        <f>IFERROR(__xludf.DUMMYFUNCTION("""COMPUTED_VALUE"""),"https://drive.google.com/file/d/1j6T5Y0SYrzWnuJ3HBDgvgLeIfWNG7Hz2/view?usp=drivesdk")</f>
        <v>https://drive.google.com/file/d/1j6T5Y0SYrzWnuJ3HBDgvgLeIfWNG7Hz2/view?usp=drivesdk</v>
      </c>
    </row>
    <row r="4380">
      <c r="A4380" s="15">
        <f>IFERROR(__xludf.DUMMYFUNCTION("""COMPUTED_VALUE"""),45128.0)</f>
        <v>45128</v>
      </c>
      <c r="B4380" s="16" t="str">
        <f>IFERROR(__xludf.DUMMYFUNCTION("""COMPUTED_VALUE"""),"Envia")</f>
        <v>Envia</v>
      </c>
      <c r="C4380" s="15" t="str">
        <f>IFERROR(__xludf.DUMMYFUNCTION("""COMPUTED_VALUE"""),"CÚCUTA")</f>
        <v>CÚCUTA</v>
      </c>
      <c r="D4380" s="15" t="str">
        <f>IFERROR(__xludf.DUMMYFUNCTION("""COMPUTED_VALUE"""),"MEDELLÍN")</f>
        <v>MEDELLÍN</v>
      </c>
      <c r="E4380" s="15" t="str">
        <f>IFERROR(__xludf.DUMMYFUNCTION("""COMPUTED_VALUE"""),"Rambla")</f>
        <v>Rambla</v>
      </c>
      <c r="F4380" s="17" t="str">
        <f>IFERROR(__xludf.DUMMYFUNCTION("""COMPUTED_VALUE"""),"avenida 3 e n 6 cn 12 / ceiba 2 / na")</f>
        <v>avenida 3 e n 6 cn 12 / ceiba 2 / na</v>
      </c>
      <c r="G4380" s="15" t="str">
        <f>IFERROR(__xludf.DUMMYFUNCTION("""COMPUTED_VALUE"""),"bodeguita")</f>
        <v>bodeguita</v>
      </c>
      <c r="H4380" s="16">
        <f>IFERROR(__xludf.DUMMYFUNCTION("""COMPUTED_VALUE"""),13095.0)</f>
        <v>13095</v>
      </c>
      <c r="I4380" s="18">
        <f>IFERROR(__xludf.DUMMYFUNCTION("""COMPUTED_VALUE"""),39.0)</f>
        <v>39</v>
      </c>
      <c r="J4380" s="18">
        <f>IFERROR(__xludf.DUMMYFUNCTION("""COMPUTED_VALUE"""),29.0)</f>
        <v>29</v>
      </c>
      <c r="K4380" s="18">
        <f>IFERROR(__xludf.DUMMYFUNCTION("""COMPUTED_VALUE"""),23.0)</f>
        <v>23</v>
      </c>
      <c r="L4380" s="17">
        <f>IFERROR(__xludf.DUMMYFUNCTION("""COMPUTED_VALUE"""),3.209091389E9)</f>
        <v>3209091389</v>
      </c>
      <c r="M4380" s="17" t="str">
        <f>IFERROR(__xludf.DUMMYFUNCTION("""COMPUTED_VALUE"""),"#REF!")</f>
        <v>#REF!</v>
      </c>
      <c r="N4380" s="17"/>
      <c r="O4380" s="17"/>
      <c r="P4380" s="17" t="b">
        <f>IFERROR(__xludf.DUMMYFUNCTION("""COMPUTED_VALUE"""),FALSE)</f>
        <v>0</v>
      </c>
      <c r="Q4380" s="20" t="str">
        <f>IFERROR(__xludf.DUMMYFUNCTION("""COMPUTED_VALUE"""),"")</f>
        <v/>
      </c>
      <c r="R4380" s="21" t="str">
        <f>IFERROR(__xludf.DUMMYFUNCTION("""COMPUTED_VALUE"""),"https://drive.google.com/file/d/1tKiP_V_ChabszA4iq7o0LghjBWuLCYXI/view?usp=drivesdk")</f>
        <v>https://drive.google.com/file/d/1tKiP_V_ChabszA4iq7o0LghjBWuLCYXI/view?usp=drivesdk</v>
      </c>
    </row>
    <row r="4381">
      <c r="A4381" s="15">
        <f>IFERROR(__xludf.DUMMYFUNCTION("""COMPUTED_VALUE"""),45128.0)</f>
        <v>45128</v>
      </c>
      <c r="B4381" s="16" t="str">
        <f>IFERROR(__xludf.DUMMYFUNCTION("""COMPUTED_VALUE"""),"Envia")</f>
        <v>Envia</v>
      </c>
      <c r="C4381" s="15" t="str">
        <f>IFERROR(__xludf.DUMMYFUNCTION("""COMPUTED_VALUE"""),"CÚCUTA")</f>
        <v>CÚCUTA</v>
      </c>
      <c r="D4381" s="15" t="str">
        <f>IFERROR(__xludf.DUMMYFUNCTION("""COMPUTED_VALUE"""),"MEDELLÍN")</f>
        <v>MEDELLÍN</v>
      </c>
      <c r="E4381" s="15" t="str">
        <f>IFERROR(__xludf.DUMMYFUNCTION("""COMPUTED_VALUE"""),"Rambla")</f>
        <v>Rambla</v>
      </c>
      <c r="F4381" s="17" t="str">
        <f>IFERROR(__xludf.DUMMYFUNCTION("""COMPUTED_VALUE"""),"avenida 9 e n 7 12 / la rivera / na")</f>
        <v>avenida 9 e n 7 12 / la rivera / na</v>
      </c>
      <c r="G4381" s="15" t="str">
        <f>IFERROR(__xludf.DUMMYFUNCTION("""COMPUTED_VALUE"""),"sexto sentido")</f>
        <v>sexto sentido</v>
      </c>
      <c r="H4381" s="16">
        <f>IFERROR(__xludf.DUMMYFUNCTION("""COMPUTED_VALUE"""),13094.0)</f>
        <v>13094</v>
      </c>
      <c r="I4381" s="18">
        <f>IFERROR(__xludf.DUMMYFUNCTION("""COMPUTED_VALUE"""),25.0)</f>
        <v>25</v>
      </c>
      <c r="J4381" s="18">
        <f>IFERROR(__xludf.DUMMYFUNCTION("""COMPUTED_VALUE"""),23.0)</f>
        <v>23</v>
      </c>
      <c r="K4381" s="18">
        <f>IFERROR(__xludf.DUMMYFUNCTION("""COMPUTED_VALUE"""),32.0)</f>
        <v>32</v>
      </c>
      <c r="L4381" s="17">
        <f>IFERROR(__xludf.DUMMYFUNCTION("""COMPUTED_VALUE"""),3.154996494E9)</f>
        <v>3154996494</v>
      </c>
      <c r="M4381" s="17" t="str">
        <f>IFERROR(__xludf.DUMMYFUNCTION("""COMPUTED_VALUE"""),"#REF!")</f>
        <v>#REF!</v>
      </c>
      <c r="N4381" s="17"/>
      <c r="O4381" s="17"/>
      <c r="P4381" s="17" t="b">
        <f>IFERROR(__xludf.DUMMYFUNCTION("""COMPUTED_VALUE"""),FALSE)</f>
        <v>0</v>
      </c>
      <c r="Q4381" s="20" t="str">
        <f>IFERROR(__xludf.DUMMYFUNCTION("""COMPUTED_VALUE"""),"")</f>
        <v/>
      </c>
      <c r="R4381" s="21" t="str">
        <f>IFERROR(__xludf.DUMMYFUNCTION("""COMPUTED_VALUE"""),"https://drive.google.com/file/d/105BztPFTl-CEzJxwVLV82uuEzPRHXcB9/view?usp=drivesdk")</f>
        <v>https://drive.google.com/file/d/105BztPFTl-CEzJxwVLV82uuEzPRHXcB9/view?usp=drivesdk</v>
      </c>
    </row>
    <row r="4382">
      <c r="A4382" s="15">
        <f>IFERROR(__xludf.DUMMYFUNCTION("""COMPUTED_VALUE"""),45128.0)</f>
        <v>45128</v>
      </c>
      <c r="B4382" s="16" t="str">
        <f>IFERROR(__xludf.DUMMYFUNCTION("""COMPUTED_VALUE"""),"Envia")</f>
        <v>Envia</v>
      </c>
      <c r="C4382" s="15" t="str">
        <f>IFERROR(__xludf.DUMMYFUNCTION("""COMPUTED_VALUE"""),"MEDELLÍN")</f>
        <v>MEDELLÍN</v>
      </c>
      <c r="D4382" s="15" t="str">
        <f>IFERROR(__xludf.DUMMYFUNCTION("""COMPUTED_VALUE"""),"BARRANQUILLA")</f>
        <v>BARRANQUILLA</v>
      </c>
      <c r="E4382" s="15" t="str">
        <f>IFERROR(__xludf.DUMMYFUNCTION("""COMPUTED_VALUE"""),"Lorenna Chaid")</f>
        <v>Lorenna Chaid</v>
      </c>
      <c r="F4382" s="17" t="str">
        <f>IFERROR(__xludf.DUMMYFUNCTION("""COMPUTED_VALUE"""),"Calle 27A SUR # 47 - 50  / Interior 403-404 Conjunto Residencial Las Vegas / Envigado")</f>
        <v>Calle 27A SUR # 47 - 50  / Interior 403-404 Conjunto Residencial Las Vegas / Envigado</v>
      </c>
      <c r="G4382" s="15" t="str">
        <f>IFERROR(__xludf.DUMMYFUNCTION("""COMPUTED_VALUE"""),"Eduardo Chadid Garrido")</f>
        <v>Eduardo Chadid Garrido</v>
      </c>
      <c r="H4382" s="16">
        <f>IFERROR(__xludf.DUMMYFUNCTION("""COMPUTED_VALUE"""),13070.0)</f>
        <v>13070</v>
      </c>
      <c r="I4382" s="18">
        <f>IFERROR(__xludf.DUMMYFUNCTION("""COMPUTED_VALUE"""),29.0)</f>
        <v>29</v>
      </c>
      <c r="J4382" s="18">
        <f>IFERROR(__xludf.DUMMYFUNCTION("""COMPUTED_VALUE"""),53.0)</f>
        <v>53</v>
      </c>
      <c r="K4382" s="18">
        <f>IFERROR(__xludf.DUMMYFUNCTION("""COMPUTED_VALUE"""),45.0)</f>
        <v>45</v>
      </c>
      <c r="L4382" s="17">
        <f>IFERROR(__xludf.DUMMYFUNCTION("""COMPUTED_VALUE"""),3.16279944E9)</f>
        <v>3162799440</v>
      </c>
      <c r="M4382" s="17" t="str">
        <f>IFERROR(__xludf.DUMMYFUNCTION("""COMPUTED_VALUE"""),"#REF!")</f>
        <v>#REF!</v>
      </c>
      <c r="N4382" s="17"/>
      <c r="O4382" s="17"/>
      <c r="P4382" s="17" t="b">
        <f>IFERROR(__xludf.DUMMYFUNCTION("""COMPUTED_VALUE"""),FALSE)</f>
        <v>0</v>
      </c>
      <c r="Q4382" s="20" t="str">
        <f>IFERROR(__xludf.DUMMYFUNCTION("""COMPUTED_VALUE"""),"")</f>
        <v/>
      </c>
      <c r="R4382" s="22" t="str">
        <f>IFERROR(__xludf.DUMMYFUNCTION("""COMPUTED_VALUE"""),"")</f>
        <v/>
      </c>
    </row>
    <row r="4383">
      <c r="A4383" s="15">
        <f>IFERROR(__xludf.DUMMYFUNCTION("""COMPUTED_VALUE"""),45128.0)</f>
        <v>45128</v>
      </c>
      <c r="B4383" s="16" t="str">
        <f>IFERROR(__xludf.DUMMYFUNCTION("""COMPUTED_VALUE"""),"Envia")</f>
        <v>Envia</v>
      </c>
      <c r="C4383" s="15" t="str">
        <f>IFERROR(__xludf.DUMMYFUNCTION("""COMPUTED_VALUE"""),"MEDELLÍN")</f>
        <v>MEDELLÍN</v>
      </c>
      <c r="D4383" s="15" t="str">
        <f>IFERROR(__xludf.DUMMYFUNCTION("""COMPUTED_VALUE"""),"BOGOTÁ")</f>
        <v>BOGOTÁ</v>
      </c>
      <c r="E4383" s="15" t="str">
        <f>IFERROR(__xludf.DUMMYFUNCTION("""COMPUTED_VALUE"""),"Frambascolombia sas")</f>
        <v>Frambascolombia sas</v>
      </c>
      <c r="F4383" s="17" t="str">
        <f>IFERROR(__xludf.DUMMYFUNCTION("""COMPUTED_VALUE"""),"Cl. 16 #55-129 / local 2")</f>
        <v>Cl. 16 #55-129 / local 2</v>
      </c>
      <c r="G4383" s="15" t="str">
        <f>IFERROR(__xludf.DUMMYFUNCTION("""COMPUTED_VALUE"""),"PikNPak Medellín")</f>
        <v>PikNPak Medellín</v>
      </c>
      <c r="H4383" s="16">
        <f>IFERROR(__xludf.DUMMYFUNCTION("""COMPUTED_VALUE"""),13060.0)</f>
        <v>13060</v>
      </c>
      <c r="I4383" s="18">
        <f>IFERROR(__xludf.DUMMYFUNCTION("""COMPUTED_VALUE"""),45057.0)</f>
        <v>45057</v>
      </c>
      <c r="J4383" s="18">
        <f>IFERROR(__xludf.DUMMYFUNCTION("""COMPUTED_VALUE"""),10.0)</f>
        <v>10</v>
      </c>
      <c r="K4383" s="18">
        <f>IFERROR(__xludf.DUMMYFUNCTION("""COMPUTED_VALUE"""),10.0)</f>
        <v>10</v>
      </c>
      <c r="L4383" s="17" t="str">
        <f>IFERROR(__xludf.DUMMYFUNCTION("""COMPUTED_VALUE"""),"321 4229567")</f>
        <v>321 4229567</v>
      </c>
      <c r="M4383" s="17" t="str">
        <f>IFERROR(__xludf.DUMMYFUNCTION("""COMPUTED_VALUE"""),"#REF!")</f>
        <v>#REF!</v>
      </c>
      <c r="N4383" s="17"/>
      <c r="O4383" s="17"/>
      <c r="P4383" s="17" t="b">
        <f>IFERROR(__xludf.DUMMYFUNCTION("""COMPUTED_VALUE"""),FALSE)</f>
        <v>0</v>
      </c>
      <c r="Q4383" s="20" t="str">
        <f>IFERROR(__xludf.DUMMYFUNCTION("""COMPUTED_VALUE"""),"")</f>
        <v/>
      </c>
      <c r="R4383" s="22" t="str">
        <f>IFERROR(__xludf.DUMMYFUNCTION("""COMPUTED_VALUE"""),"")</f>
        <v/>
      </c>
    </row>
    <row r="4384">
      <c r="A4384" s="15">
        <f>IFERROR(__xludf.DUMMYFUNCTION("""COMPUTED_VALUE"""),45128.0)</f>
        <v>45128</v>
      </c>
      <c r="B4384" s="16" t="str">
        <f>IFERROR(__xludf.DUMMYFUNCTION("""COMPUTED_VALUE"""),"Envia")</f>
        <v>Envia</v>
      </c>
      <c r="C4384" s="15" t="str">
        <f>IFERROR(__xludf.DUMMYFUNCTION("""COMPUTED_VALUE"""),"MEDELLÍN")</f>
        <v>MEDELLÍN</v>
      </c>
      <c r="D4384" s="15" t="str">
        <f>IFERROR(__xludf.DUMMYFUNCTION("""COMPUTED_VALUE"""),"BOGOTÁ")</f>
        <v>BOGOTÁ</v>
      </c>
      <c r="E4384" s="15" t="str">
        <f>IFERROR(__xludf.DUMMYFUNCTION("""COMPUTED_VALUE"""),"MAI ALIMENTOS S.A.S")</f>
        <v>MAI ALIMENTOS S.A.S</v>
      </c>
      <c r="F4384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4384" s="15" t="str">
        <f>IFERROR(__xludf.DUMMYFUNCTION("""COMPUTED_VALUE"""),"Novaventas")</f>
        <v>Novaventas</v>
      </c>
      <c r="H4384" s="16">
        <f>IFERROR(__xludf.DUMMYFUNCTION("""COMPUTED_VALUE"""),13083.0)</f>
        <v>13083</v>
      </c>
      <c r="I4384" s="18">
        <f>IFERROR(__xludf.DUMMYFUNCTION("""COMPUTED_VALUE"""),35.0)</f>
        <v>35</v>
      </c>
      <c r="J4384" s="18">
        <f>IFERROR(__xludf.DUMMYFUNCTION("""COMPUTED_VALUE"""),17.0)</f>
        <v>17</v>
      </c>
      <c r="K4384" s="18">
        <f>IFERROR(__xludf.DUMMYFUNCTION("""COMPUTED_VALUE"""),13.0)</f>
        <v>13</v>
      </c>
      <c r="L4384" s="17">
        <f>IFERROR(__xludf.DUMMYFUNCTION("""COMPUTED_VALUE"""),3.187351593E9)</f>
        <v>3187351593</v>
      </c>
      <c r="M4384" s="17" t="str">
        <f>IFERROR(__xludf.DUMMYFUNCTION("""COMPUTED_VALUE"""),"#REF!")</f>
        <v>#REF!</v>
      </c>
      <c r="N4384" s="17"/>
      <c r="O4384" s="17"/>
      <c r="P4384" s="17" t="b">
        <f>IFERROR(__xludf.DUMMYFUNCTION("""COMPUTED_VALUE"""),FALSE)</f>
        <v>0</v>
      </c>
      <c r="Q4384" s="20" t="str">
        <f>IFERROR(__xludf.DUMMYFUNCTION("""COMPUTED_VALUE"""),"")</f>
        <v/>
      </c>
      <c r="R4384" s="22" t="str">
        <f>IFERROR(__xludf.DUMMYFUNCTION("""COMPUTED_VALUE"""),"")</f>
        <v/>
      </c>
    </row>
    <row r="4385">
      <c r="A4385" s="15">
        <f>IFERROR(__xludf.DUMMYFUNCTION("""COMPUTED_VALUE"""),45128.0)</f>
        <v>45128</v>
      </c>
      <c r="B4385" s="16" t="str">
        <f>IFERROR(__xludf.DUMMYFUNCTION("""COMPUTED_VALUE"""),"Envia")</f>
        <v>Envia</v>
      </c>
      <c r="C4385" s="15" t="str">
        <f>IFERROR(__xludf.DUMMYFUNCTION("""COMPUTED_VALUE"""),"MEDELLÍN")</f>
        <v>MEDELLÍN</v>
      </c>
      <c r="D4385" s="15" t="str">
        <f>IFERROR(__xludf.DUMMYFUNCTION("""COMPUTED_VALUE"""),"BOGOTÁ")</f>
        <v>BOGOTÁ</v>
      </c>
      <c r="E4385" s="15" t="str">
        <f>IFERROR(__xludf.DUMMYFUNCTION("""COMPUTED_VALUE"""),"Renata")</f>
        <v>Renata</v>
      </c>
      <c r="F4385" s="17" t="str">
        <f>IFERROR(__xludf.DUMMYFUNCTION("""COMPUTED_VALUE"""),"Carrera 32d#9-43 / Seline y cowork -restaurante  / Provenza")</f>
        <v>Carrera 32d#9-43 / Seline y cowork -restaurante  / Provenza</v>
      </c>
      <c r="G4385" s="15" t="str">
        <f>IFERROR(__xludf.DUMMYFUNCTION("""COMPUTED_VALUE"""),"Front y back hospitality group")</f>
        <v>Front y back hospitality group</v>
      </c>
      <c r="H4385" s="16">
        <f>IFERROR(__xludf.DUMMYFUNCTION("""COMPUTED_VALUE"""),13069.0)</f>
        <v>13069</v>
      </c>
      <c r="I4385" s="18">
        <f>IFERROR(__xludf.DUMMYFUNCTION("""COMPUTED_VALUE"""),90.0)</f>
        <v>90</v>
      </c>
      <c r="J4385" s="18">
        <f>IFERROR(__xludf.DUMMYFUNCTION("""COMPUTED_VALUE"""),70.0)</f>
        <v>70</v>
      </c>
      <c r="K4385" s="18">
        <f>IFERROR(__xludf.DUMMYFUNCTION("""COMPUTED_VALUE"""),60.0)</f>
        <v>60</v>
      </c>
      <c r="L4385" s="17">
        <f>IFERROR(__xludf.DUMMYFUNCTION("""COMPUTED_VALUE"""),3.104047368E9)</f>
        <v>3104047368</v>
      </c>
      <c r="M4385" s="17" t="str">
        <f>IFERROR(__xludf.DUMMYFUNCTION("""COMPUTED_VALUE"""),"#REF!")</f>
        <v>#REF!</v>
      </c>
      <c r="N4385" s="17"/>
      <c r="O4385" s="17"/>
      <c r="P4385" s="17" t="b">
        <f>IFERROR(__xludf.DUMMYFUNCTION("""COMPUTED_VALUE"""),TRUE)</f>
        <v>1</v>
      </c>
      <c r="Q4385" s="20">
        <f>IFERROR(__xludf.DUMMYFUNCTION("""COMPUTED_VALUE"""),45131.54680715278)</f>
        <v>45131.54681</v>
      </c>
      <c r="R4385" s="22" t="str">
        <f>IFERROR(__xludf.DUMMYFUNCTION("""COMPUTED_VALUE"""),"")</f>
        <v/>
      </c>
    </row>
    <row r="4386">
      <c r="A4386" s="15">
        <f>IFERROR(__xludf.DUMMYFUNCTION("""COMPUTED_VALUE"""),45128.0)</f>
        <v>45128</v>
      </c>
      <c r="B4386" s="16" t="str">
        <f>IFERROR(__xludf.DUMMYFUNCTION("""COMPUTED_VALUE"""),"Envia")</f>
        <v>Envia</v>
      </c>
      <c r="C4386" s="15" t="str">
        <f>IFERROR(__xludf.DUMMYFUNCTION("""COMPUTED_VALUE"""),"MEDELLÍN")</f>
        <v>MEDELLÍN</v>
      </c>
      <c r="D4386" s="15" t="str">
        <f>IFERROR(__xludf.DUMMYFUNCTION("""COMPUTED_VALUE"""),"BOGOTÁ")</f>
        <v>BOGOTÁ</v>
      </c>
      <c r="E4386" s="15" t="str">
        <f>IFERROR(__xludf.DUMMYFUNCTION("""COMPUTED_VALUE"""),"Viiva Fermentados")</f>
        <v>Viiva Fermentados</v>
      </c>
      <c r="F4386" s="17" t="str">
        <f>IFERROR(__xludf.DUMMYFUNCTION("""COMPUTED_VALUE"""),"Transversal 39b#77-48 / Int 302 / Avenida Nutibara - Laureles")</f>
        <v>Transversal 39b#77-48 / Int 302 / Avenida Nutibara - Laureles</v>
      </c>
      <c r="G4386" s="15" t="str">
        <f>IFERROR(__xludf.DUMMYFUNCTION("""COMPUTED_VALUE"""),"VITA INTEGRAL SAS")</f>
        <v>VITA INTEGRAL SAS</v>
      </c>
      <c r="H4386" s="16">
        <f>IFERROR(__xludf.DUMMYFUNCTION("""COMPUTED_VALUE"""),13023.0)</f>
        <v>13023</v>
      </c>
      <c r="I4386" s="18">
        <f>IFERROR(__xludf.DUMMYFUNCTION("""COMPUTED_VALUE"""),15.0)</f>
        <v>15</v>
      </c>
      <c r="J4386" s="18">
        <f>IFERROR(__xludf.DUMMYFUNCTION("""COMPUTED_VALUE"""),24.0)</f>
        <v>24</v>
      </c>
      <c r="K4386" s="18">
        <f>IFERROR(__xludf.DUMMYFUNCTION("""COMPUTED_VALUE"""),36.0)</f>
        <v>36</v>
      </c>
      <c r="L4386" s="17">
        <f>IFERROR(__xludf.DUMMYFUNCTION("""COMPUTED_VALUE"""),3.188473468E9)</f>
        <v>3188473468</v>
      </c>
      <c r="M4386" s="17" t="str">
        <f>IFERROR(__xludf.DUMMYFUNCTION("""COMPUTED_VALUE"""),"#REF!")</f>
        <v>#REF!</v>
      </c>
      <c r="N4386" s="17"/>
      <c r="O4386" s="17"/>
      <c r="P4386" s="17" t="b">
        <f>IFERROR(__xludf.DUMMYFUNCTION("""COMPUTED_VALUE"""),FALSE)</f>
        <v>0</v>
      </c>
      <c r="Q4386" s="20" t="str">
        <f>IFERROR(__xludf.DUMMYFUNCTION("""COMPUTED_VALUE"""),"")</f>
        <v/>
      </c>
      <c r="R4386" s="22" t="str">
        <f>IFERROR(__xludf.DUMMYFUNCTION("""COMPUTED_VALUE"""),"")</f>
        <v/>
      </c>
    </row>
    <row r="4387">
      <c r="A4387" s="15">
        <f>IFERROR(__xludf.DUMMYFUNCTION("""COMPUTED_VALUE"""),45128.0)</f>
        <v>45128</v>
      </c>
      <c r="B4387" s="16" t="str">
        <f>IFERROR(__xludf.DUMMYFUNCTION("""COMPUTED_VALUE"""),"Envia")</f>
        <v>Envia</v>
      </c>
      <c r="C4387" s="15" t="str">
        <f>IFERROR(__xludf.DUMMYFUNCTION("""COMPUTED_VALUE"""),"MEDELLÍN")</f>
        <v>MEDELLÍN</v>
      </c>
      <c r="D4387" s="15" t="str">
        <f>IFERROR(__xludf.DUMMYFUNCTION("""COMPUTED_VALUE"""),"CALI")</f>
        <v>CALI</v>
      </c>
      <c r="E4387" s="15" t="str">
        <f>IFERROR(__xludf.DUMMYFUNCTION("""COMPUTED_VALUE"""),"Juan Campo panadería")</f>
        <v>Juan Campo panadería</v>
      </c>
      <c r="F4387" s="17" t="str">
        <f>IFERROR(__xludf.DUMMYFUNCTION("""COMPUTED_VALUE"""),"Cra 51c 12b sur 146 / 0 / 0")</f>
        <v>Cra 51c 12b sur 146 / 0 / 0</v>
      </c>
      <c r="G4387" s="15" t="str">
        <f>IFERROR(__xludf.DUMMYFUNCTION("""COMPUTED_VALUE"""),"Catering SAS")</f>
        <v>Catering SAS</v>
      </c>
      <c r="H4387" s="16">
        <f>IFERROR(__xludf.DUMMYFUNCTION("""COMPUTED_VALUE"""),13024.0)</f>
        <v>13024</v>
      </c>
      <c r="I4387" s="18">
        <f>IFERROR(__xludf.DUMMYFUNCTION("""COMPUTED_VALUE"""),7.0)</f>
        <v>7</v>
      </c>
      <c r="J4387" s="18">
        <f>IFERROR(__xludf.DUMMYFUNCTION("""COMPUTED_VALUE"""),45066.0)</f>
        <v>45066</v>
      </c>
      <c r="K4387" s="18">
        <f>IFERROR(__xludf.DUMMYFUNCTION("""COMPUTED_VALUE"""),45066.0)</f>
        <v>45066</v>
      </c>
      <c r="L4387" s="17">
        <f>IFERROR(__xludf.DUMMYFUNCTION("""COMPUTED_VALUE"""),6.023664429E9)</f>
        <v>6023664429</v>
      </c>
      <c r="M4387" s="17" t="str">
        <f>IFERROR(__xludf.DUMMYFUNCTION("""COMPUTED_VALUE"""),"#REF!")</f>
        <v>#REF!</v>
      </c>
      <c r="N4387" s="17"/>
      <c r="O4387" s="17"/>
      <c r="P4387" s="17" t="b">
        <f>IFERROR(__xludf.DUMMYFUNCTION("""COMPUTED_VALUE"""),FALSE)</f>
        <v>0</v>
      </c>
      <c r="Q4387" s="20" t="str">
        <f>IFERROR(__xludf.DUMMYFUNCTION("""COMPUTED_VALUE"""),"")</f>
        <v/>
      </c>
      <c r="R4387" s="22" t="str">
        <f>IFERROR(__xludf.DUMMYFUNCTION("""COMPUTED_VALUE"""),"")</f>
        <v/>
      </c>
    </row>
    <row r="4388">
      <c r="A4388" s="15">
        <f>IFERROR(__xludf.DUMMYFUNCTION("""COMPUTED_VALUE"""),45128.0)</f>
        <v>45128</v>
      </c>
      <c r="B4388" s="16" t="str">
        <f>IFERROR(__xludf.DUMMYFUNCTION("""COMPUTED_VALUE"""),"Envia")</f>
        <v>Envia</v>
      </c>
      <c r="C4388" s="15" t="str">
        <f>IFERROR(__xludf.DUMMYFUNCTION("""COMPUTED_VALUE"""),"NEIVA")</f>
        <v>NEIVA</v>
      </c>
      <c r="D4388" s="15" t="str">
        <f>IFERROR(__xludf.DUMMYFUNCTION("""COMPUTED_VALUE"""),"BUCARAMANGA")</f>
        <v>BUCARAMANGA</v>
      </c>
      <c r="E4388" s="15" t="str">
        <f>IFERROR(__xludf.DUMMYFUNCTION("""COMPUTED_VALUE"""),"Yo Como Solito")</f>
        <v>Yo Como Solito</v>
      </c>
      <c r="F4388" s="17" t="str">
        <f>IFERROR(__xludf.DUMMYFUNCTION("""COMPUTED_VALUE"""),"carrera 20sur no. 16A-10 TIMANCO  / carrera 20sur no. 16A-10 TIMANCO  / carrera 20sur no. 16A-10 TIMANCO")</f>
        <v>carrera 20sur no. 16A-10 TIMANCO  / carrera 20sur no. 16A-10 TIMANCO  / carrera 20sur no. 16A-10 TIMANCO</v>
      </c>
      <c r="G4388" s="15" t="str">
        <f>IFERROR(__xludf.DUMMYFUNCTION("""COMPUTED_VALUE"""),"Leydi Paola Sandoval")</f>
        <v>Leydi Paola Sandoval</v>
      </c>
      <c r="H4388" s="16">
        <f>IFERROR(__xludf.DUMMYFUNCTION("""COMPUTED_VALUE"""),13041.0)</f>
        <v>13041</v>
      </c>
      <c r="I4388" s="18">
        <f>IFERROR(__xludf.DUMMYFUNCTION("""COMPUTED_VALUE"""),1.0)</f>
        <v>1</v>
      </c>
      <c r="J4388" s="18">
        <f>IFERROR(__xludf.DUMMYFUNCTION("""COMPUTED_VALUE"""),1.0)</f>
        <v>1</v>
      </c>
      <c r="K4388" s="18">
        <f>IFERROR(__xludf.DUMMYFUNCTION("""COMPUTED_VALUE"""),1.0)</f>
        <v>1</v>
      </c>
      <c r="L4388" s="17">
        <f>IFERROR(__xludf.DUMMYFUNCTION("""COMPUTED_VALUE"""),3.154698874E9)</f>
        <v>3154698874</v>
      </c>
      <c r="M4388" s="17" t="str">
        <f>IFERROR(__xludf.DUMMYFUNCTION("""COMPUTED_VALUE"""),"#REF!")</f>
        <v>#REF!</v>
      </c>
      <c r="N4388" s="17"/>
      <c r="O4388" s="17"/>
      <c r="P4388" s="17" t="b">
        <f>IFERROR(__xludf.DUMMYFUNCTION("""COMPUTED_VALUE"""),FALSE)</f>
        <v>0</v>
      </c>
      <c r="Q4388" s="20" t="str">
        <f>IFERROR(__xludf.DUMMYFUNCTION("""COMPUTED_VALUE"""),"")</f>
        <v/>
      </c>
      <c r="R4388" s="22" t="str">
        <f>IFERROR(__xludf.DUMMYFUNCTION("""COMPUTED_VALUE"""),"")</f>
        <v/>
      </c>
    </row>
    <row r="4389">
      <c r="A4389" s="15">
        <f>IFERROR(__xludf.DUMMYFUNCTION("""COMPUTED_VALUE"""),45128.0)</f>
        <v>45128</v>
      </c>
      <c r="B4389" s="16" t="str">
        <f>IFERROR(__xludf.DUMMYFUNCTION("""COMPUTED_VALUE"""),"Envia")</f>
        <v>Envia</v>
      </c>
      <c r="C4389" s="15" t="str">
        <f>IFERROR(__xludf.DUMMYFUNCTION("""COMPUTED_VALUE"""),"PEREIRA")</f>
        <v>PEREIRA</v>
      </c>
      <c r="D4389" s="15" t="str">
        <f>IFERROR(__xludf.DUMMYFUNCTION("""COMPUTED_VALUE"""),"BOGOTÁ")</f>
        <v>BOGOTÁ</v>
      </c>
      <c r="E4389" s="15" t="str">
        <f>IFERROR(__xludf.DUMMYFUNCTION("""COMPUTED_VALUE"""),"Athenas")</f>
        <v>Athenas</v>
      </c>
      <c r="F4389" s="17" t="str">
        <f>IFERROR(__xludf.DUMMYFUNCTION("""COMPUTED_VALUE"""),"Carrera 13#12b-25 / Edificio uniplex bodytech Pereira  / Pereira")</f>
        <v>Carrera 13#12b-25 / Edificio uniplex bodytech Pereira  / Pereira</v>
      </c>
      <c r="G4389" s="15" t="str">
        <f>IFERROR(__xludf.DUMMYFUNCTION("""COMPUTED_VALUE"""),"Adriana castro")</f>
        <v>Adriana castro</v>
      </c>
      <c r="H4389" s="16">
        <f>IFERROR(__xludf.DUMMYFUNCTION("""COMPUTED_VALUE"""),13057.0)</f>
        <v>13057</v>
      </c>
      <c r="I4389" s="18" t="str">
        <f>IFERROR(__xludf.DUMMYFUNCTION("""COMPUTED_VALUE"""),"52.5")</f>
        <v>52.5</v>
      </c>
      <c r="J4389" s="18">
        <f>IFERROR(__xludf.DUMMYFUNCTION("""COMPUTED_VALUE"""),55.0)</f>
        <v>55</v>
      </c>
      <c r="K4389" s="18">
        <f>IFERROR(__xludf.DUMMYFUNCTION("""COMPUTED_VALUE"""),45.0)</f>
        <v>45</v>
      </c>
      <c r="L4389" s="17">
        <f>IFERROR(__xludf.DUMMYFUNCTION("""COMPUTED_VALUE"""),3.104011367E9)</f>
        <v>3104011367</v>
      </c>
      <c r="M4389" s="17" t="str">
        <f>IFERROR(__xludf.DUMMYFUNCTION("""COMPUTED_VALUE"""),"#REF!")</f>
        <v>#REF!</v>
      </c>
      <c r="N4389" s="17"/>
      <c r="O4389" s="17"/>
      <c r="P4389" s="17" t="b">
        <f>IFERROR(__xludf.DUMMYFUNCTION("""COMPUTED_VALUE"""),FALSE)</f>
        <v>0</v>
      </c>
      <c r="Q4389" s="20" t="str">
        <f>IFERROR(__xludf.DUMMYFUNCTION("""COMPUTED_VALUE"""),"")</f>
        <v/>
      </c>
      <c r="R4389" s="22" t="str">
        <f>IFERROR(__xludf.DUMMYFUNCTION("""COMPUTED_VALUE"""),"")</f>
        <v/>
      </c>
    </row>
    <row r="4390">
      <c r="A4390" s="15">
        <f>IFERROR(__xludf.DUMMYFUNCTION("""COMPUTED_VALUE"""),45128.0)</f>
        <v>45128</v>
      </c>
      <c r="B4390" s="16" t="str">
        <f>IFERROR(__xludf.DUMMYFUNCTION("""COMPUTED_VALUE"""),"Envia")</f>
        <v>Envia</v>
      </c>
      <c r="C4390" s="15" t="str">
        <f>IFERROR(__xludf.DUMMYFUNCTION("""COMPUTED_VALUE"""),"SINCELEJO")</f>
        <v>SINCELEJO</v>
      </c>
      <c r="D4390" s="15" t="str">
        <f>IFERROR(__xludf.DUMMYFUNCTION("""COMPUTED_VALUE"""),"MEDELLÍN")</f>
        <v>MEDELLÍN</v>
      </c>
      <c r="E4390" s="15" t="str">
        <f>IFERROR(__xludf.DUMMYFUNCTION("""COMPUTED_VALUE"""),"Rambla")</f>
        <v>Rambla</v>
      </c>
      <c r="F4390" s="17" t="str">
        <f>IFERROR(__xludf.DUMMYFUNCTION("""COMPUTED_VALUE"""),"calle 32n 33-119 / local 101 / cc livong mall")</f>
        <v>calle 32n 33-119 / local 101 / cc livong mall</v>
      </c>
      <c r="G4390" s="15" t="str">
        <f>IFERROR(__xludf.DUMMYFUNCTION("""COMPUTED_VALUE"""),"oliva sincelejo")</f>
        <v>oliva sincelejo</v>
      </c>
      <c r="H4390" s="16">
        <f>IFERROR(__xludf.DUMMYFUNCTION("""COMPUTED_VALUE"""),13092.0)</f>
        <v>13092</v>
      </c>
      <c r="I4390" s="18">
        <f>IFERROR(__xludf.DUMMYFUNCTION("""COMPUTED_VALUE"""),34.0)</f>
        <v>34</v>
      </c>
      <c r="J4390" s="18">
        <f>IFERROR(__xludf.DUMMYFUNCTION("""COMPUTED_VALUE"""),25.0)</f>
        <v>25</v>
      </c>
      <c r="K4390" s="18">
        <f>IFERROR(__xludf.DUMMYFUNCTION("""COMPUTED_VALUE"""),25.0)</f>
        <v>25</v>
      </c>
      <c r="L4390" s="17">
        <f>IFERROR(__xludf.DUMMYFUNCTION("""COMPUTED_VALUE"""),3.022293728E9)</f>
        <v>3022293728</v>
      </c>
      <c r="M4390" s="17" t="str">
        <f>IFERROR(__xludf.DUMMYFUNCTION("""COMPUTED_VALUE"""),"#REF!")</f>
        <v>#REF!</v>
      </c>
      <c r="N4390" s="17"/>
      <c r="O4390" s="17"/>
      <c r="P4390" s="17" t="b">
        <f>IFERROR(__xludf.DUMMYFUNCTION("""COMPUTED_VALUE"""),FALSE)</f>
        <v>0</v>
      </c>
      <c r="Q4390" s="20" t="str">
        <f>IFERROR(__xludf.DUMMYFUNCTION("""COMPUTED_VALUE"""),"")</f>
        <v/>
      </c>
      <c r="R4390" s="22" t="str">
        <f>IFERROR(__xludf.DUMMYFUNCTION("""COMPUTED_VALUE"""),"")</f>
        <v/>
      </c>
    </row>
    <row r="4391">
      <c r="A4391" s="17" t="str">
        <f>IFERROR(__xludf.DUMMYFUNCTION("""COMPUTED_VALUE"""),"")</f>
        <v/>
      </c>
      <c r="B4391" s="17" t="str">
        <f>IFERROR(__xludf.DUMMYFUNCTION("""COMPUTED_VALUE"""),"")</f>
        <v/>
      </c>
      <c r="C4391" s="17" t="str">
        <f>IFERROR(__xludf.DUMMYFUNCTION("""COMPUTED_VALUE"""),"")</f>
        <v/>
      </c>
      <c r="D4391" s="17" t="str">
        <f>IFERROR(__xludf.DUMMYFUNCTION("""COMPUTED_VALUE"""),"")</f>
        <v/>
      </c>
      <c r="E4391" s="17" t="str">
        <f>IFERROR(__xludf.DUMMYFUNCTION("""COMPUTED_VALUE"""),"")</f>
        <v/>
      </c>
      <c r="F4391" s="17" t="str">
        <f>IFERROR(__xludf.DUMMYFUNCTION("""COMPUTED_VALUE"""),"")</f>
        <v/>
      </c>
      <c r="G4391" s="17" t="str">
        <f>IFERROR(__xludf.DUMMYFUNCTION("""COMPUTED_VALUE"""),"")</f>
        <v/>
      </c>
      <c r="H4391" s="17" t="str">
        <f>IFERROR(__xludf.DUMMYFUNCTION("""COMPUTED_VALUE"""),"")</f>
        <v/>
      </c>
      <c r="I4391" s="17" t="str">
        <f>IFERROR(__xludf.DUMMYFUNCTION("""COMPUTED_VALUE"""),"")</f>
        <v/>
      </c>
      <c r="J4391" s="17" t="str">
        <f>IFERROR(__xludf.DUMMYFUNCTION("""COMPUTED_VALUE"""),"")</f>
        <v/>
      </c>
      <c r="K4391" s="17" t="str">
        <f>IFERROR(__xludf.DUMMYFUNCTION("""COMPUTED_VALUE"""),"")</f>
        <v/>
      </c>
      <c r="L4391" s="17" t="str">
        <f>IFERROR(__xludf.DUMMYFUNCTION("""COMPUTED_VALUE"""),"")</f>
        <v/>
      </c>
      <c r="M4391" s="17" t="str">
        <f>IFERROR(__xludf.DUMMYFUNCTION("""COMPUTED_VALUE"""),"")</f>
        <v/>
      </c>
      <c r="N4391" s="17" t="str">
        <f>IFERROR(__xludf.DUMMYFUNCTION("""COMPUTED_VALUE"""),"")</f>
        <v/>
      </c>
      <c r="O4391" s="17" t="str">
        <f>IFERROR(__xludf.DUMMYFUNCTION("""COMPUTED_VALUE"""),"")</f>
        <v/>
      </c>
      <c r="P4391" s="17" t="str">
        <f>IFERROR(__xludf.DUMMYFUNCTION("""COMPUTED_VALUE"""),"")</f>
        <v/>
      </c>
      <c r="Q4391" s="17" t="str">
        <f>IFERROR(__xludf.DUMMYFUNCTION("""COMPUTED_VALUE"""),"")</f>
        <v/>
      </c>
      <c r="R4391" s="17" t="str">
        <f>IFERROR(__xludf.DUMMYFUNCTION("""COMPUTED_VALUE"""),"")</f>
        <v/>
      </c>
    </row>
    <row r="4392">
      <c r="A4392" s="15">
        <f>IFERROR(__xludf.DUMMYFUNCTION("""COMPUTED_VALUE"""),45128.0)</f>
        <v>45128</v>
      </c>
      <c r="B4392" s="16" t="str">
        <f>IFERROR(__xludf.DUMMYFUNCTION("""COMPUTED_VALUE"""),"Jeison Rubiano")</f>
        <v>Jeison Rubiano</v>
      </c>
      <c r="C4392" s="15" t="str">
        <f>IFERROR(__xludf.DUMMYFUNCTION("""COMPUTED_VALUE"""),"BOGOTÁ")</f>
        <v>BOGOTÁ</v>
      </c>
      <c r="D4392" s="15" t="str">
        <f>IFERROR(__xludf.DUMMYFUNCTION("""COMPUTED_VALUE"""),"MEDELLÍN")</f>
        <v>MEDELLÍN</v>
      </c>
      <c r="E4392" s="15" t="str">
        <f>IFERROR(__xludf.DUMMYFUNCTION("""COMPUTED_VALUE"""),"AREPAS LA MARY")</f>
        <v>AREPAS LA MARY</v>
      </c>
      <c r="F4392" s="17" t="str">
        <f>IFERROR(__xludf.DUMMYFUNCTION("""COMPUTED_VALUE"""),"CRA 13 # 93-13 LOCAL 103 / LOCAL 103")</f>
        <v>CRA 13 # 93-13 LOCAL 103 / LOCAL 103</v>
      </c>
      <c r="G4392" s="15" t="str">
        <f>IFERROR(__xludf.DUMMYFUNCTION("""COMPUTED_VALUE"""),"HEALING FOODS")</f>
        <v>HEALING FOODS</v>
      </c>
      <c r="H4392" s="16">
        <f>IFERROR(__xludf.DUMMYFUNCTION("""COMPUTED_VALUE"""),13038.0)</f>
        <v>13038</v>
      </c>
      <c r="I4392" s="18">
        <f>IFERROR(__xludf.DUMMYFUNCTION("""COMPUTED_VALUE"""),89.0)</f>
        <v>89</v>
      </c>
      <c r="J4392" s="18">
        <f>IFERROR(__xludf.DUMMYFUNCTION("""COMPUTED_VALUE"""),1.0)</f>
        <v>1</v>
      </c>
      <c r="K4392" s="18">
        <f>IFERROR(__xludf.DUMMYFUNCTION("""COMPUTED_VALUE"""),10.0)</f>
        <v>10</v>
      </c>
      <c r="L4392" s="17">
        <f>IFERROR(__xludf.DUMMYFUNCTION("""COMPUTED_VALUE"""),3.142647408E9)</f>
        <v>3142647408</v>
      </c>
      <c r="M4392" s="17" t="str">
        <f>IFERROR(__xludf.DUMMYFUNCTION("""COMPUTED_VALUE"""),"#REF!")</f>
        <v>#REF!</v>
      </c>
      <c r="N4392" s="17"/>
      <c r="O4392" s="17"/>
      <c r="P4392" s="17" t="b">
        <f>IFERROR(__xludf.DUMMYFUNCTION("""COMPUTED_VALUE"""),FALSE)</f>
        <v>0</v>
      </c>
      <c r="Q4392" s="20" t="str">
        <f>IFERROR(__xludf.DUMMYFUNCTION("""COMPUTED_VALUE"""),"")</f>
        <v/>
      </c>
      <c r="R4392" s="22" t="str">
        <f>IFERROR(__xludf.DUMMYFUNCTION("""COMPUTED_VALUE"""),"")</f>
        <v/>
      </c>
    </row>
    <row r="4393">
      <c r="A4393" s="15">
        <f>IFERROR(__xludf.DUMMYFUNCTION("""COMPUTED_VALUE"""),45128.0)</f>
        <v>45128</v>
      </c>
      <c r="B4393" s="16" t="str">
        <f>IFERROR(__xludf.DUMMYFUNCTION("""COMPUTED_VALUE"""),"Jeison Rubiano")</f>
        <v>Jeison Rubiano</v>
      </c>
      <c r="C4393" s="15" t="str">
        <f>IFERROR(__xludf.DUMMYFUNCTION("""COMPUTED_VALUE"""),"BOGOTÁ")</f>
        <v>BOGOTÁ</v>
      </c>
      <c r="D4393" s="15" t="str">
        <f>IFERROR(__xludf.DUMMYFUNCTION("""COMPUTED_VALUE"""),"MEDELLÍN")</f>
        <v>MEDELLÍN</v>
      </c>
      <c r="E4393" s="15" t="str">
        <f>IFERROR(__xludf.DUMMYFUNCTION("""COMPUTED_VALUE"""),"Baby Chef")</f>
        <v>Baby Chef</v>
      </c>
      <c r="F4393" s="17" t="str">
        <f>IFERROR(__xludf.DUMMYFUNCTION("""COMPUTED_VALUE"""),"Calle 12c No 71c-30 torres de villa Alsacia t9-702 Villa Alsaxia Kennedy / Calle 12c No 71c-30 torres de villa Alsacia t9-702 Villa Alsaxia Kennedy / Calle 12c No 71c-30 torres de villa Alsacia t9-702 Villa Alsaxia Kennedy")</f>
        <v>Calle 12c No 71c-30 torres de villa Alsacia t9-702 Villa Alsaxia Kennedy / Calle 12c No 71c-30 torres de villa Alsacia t9-702 Villa Alsaxia Kennedy / Calle 12c No 71c-30 torres de villa Alsacia t9-702 Villa Alsaxia Kennedy</v>
      </c>
      <c r="G4393" s="15" t="str">
        <f>IFERROR(__xludf.DUMMYFUNCTION("""COMPUTED_VALUE"""),"Michelle Andrea Parra Avendaño")</f>
        <v>Michelle Andrea Parra Avendaño</v>
      </c>
      <c r="H4393" s="16">
        <f>IFERROR(__xludf.DUMMYFUNCTION("""COMPUTED_VALUE"""),13075.0)</f>
        <v>13075</v>
      </c>
      <c r="I4393" s="18">
        <f>IFERROR(__xludf.DUMMYFUNCTION("""COMPUTED_VALUE"""),5.0)</f>
        <v>5</v>
      </c>
      <c r="J4393" s="18">
        <f>IFERROR(__xludf.DUMMYFUNCTION("""COMPUTED_VALUE"""),36.0)</f>
        <v>36</v>
      </c>
      <c r="K4393" s="18">
        <f>IFERROR(__xludf.DUMMYFUNCTION("""COMPUTED_VALUE"""),25.0)</f>
        <v>25</v>
      </c>
      <c r="L4393" s="17">
        <f>IFERROR(__xludf.DUMMYFUNCTION("""COMPUTED_VALUE"""),3.172487305E9)</f>
        <v>3172487305</v>
      </c>
      <c r="M4393" s="17" t="str">
        <f>IFERROR(__xludf.DUMMYFUNCTION("""COMPUTED_VALUE"""),"#REF!")</f>
        <v>#REF!</v>
      </c>
      <c r="N4393" s="17"/>
      <c r="O4393" s="17"/>
      <c r="P4393" s="17" t="b">
        <f>IFERROR(__xludf.DUMMYFUNCTION("""COMPUTED_VALUE"""),FALSE)</f>
        <v>0</v>
      </c>
      <c r="Q4393" s="20" t="str">
        <f>IFERROR(__xludf.DUMMYFUNCTION("""COMPUTED_VALUE"""),"")</f>
        <v/>
      </c>
      <c r="R4393" s="21" t="str">
        <f>IFERROR(__xludf.DUMMYFUNCTION("""COMPUTED_VALUE"""),"https://drive.google.com/file/d/1xRW0lTGwgr1LEELjI-bTYopCZwviWiCd/view?usp=drivesdk")</f>
        <v>https://drive.google.com/file/d/1xRW0lTGwgr1LEELjI-bTYopCZwviWiCd/view?usp=drivesdk</v>
      </c>
    </row>
    <row r="4394">
      <c r="A4394" s="15">
        <f>IFERROR(__xludf.DUMMYFUNCTION("""COMPUTED_VALUE"""),45128.0)</f>
        <v>45128</v>
      </c>
      <c r="B4394" s="16" t="str">
        <f>IFERROR(__xludf.DUMMYFUNCTION("""COMPUTED_VALUE"""),"Jeison Rubiano")</f>
        <v>Jeison Rubiano</v>
      </c>
      <c r="C4394" s="15" t="str">
        <f>IFERROR(__xludf.DUMMYFUNCTION("""COMPUTED_VALUE"""),"BOGOTÁ")</f>
        <v>BOGOTÁ</v>
      </c>
      <c r="D4394" s="15" t="str">
        <f>IFERROR(__xludf.DUMMYFUNCTION("""COMPUTED_VALUE"""),"MEDELLÍN")</f>
        <v>MEDELLÍN</v>
      </c>
      <c r="E4394" s="15" t="str">
        <f>IFERROR(__xludf.DUMMYFUNCTION("""COMPUTED_VALUE"""),"Baby Chef")</f>
        <v>Baby Chef</v>
      </c>
      <c r="F4394" s="17" t="str">
        <f>IFERROR(__xludf.DUMMYFUNCTION("""COMPUTED_VALUE"""),"Calle 90 # 9-32 603 chapinero / Calle 90 # 9-32 603 chapinero / Calle 90 # 9-32 603 chapinero")</f>
        <v>Calle 90 # 9-32 603 chapinero / Calle 90 # 9-32 603 chapinero / Calle 90 # 9-32 603 chapinero</v>
      </c>
      <c r="G4394" s="15" t="str">
        <f>IFERROR(__xludf.DUMMYFUNCTION("""COMPUTED_VALUE"""),"Camila de Ureña")</f>
        <v>Camila de Ureña</v>
      </c>
      <c r="H4394" s="16">
        <f>IFERROR(__xludf.DUMMYFUNCTION("""COMPUTED_VALUE"""),13073.0)</f>
        <v>13073</v>
      </c>
      <c r="I4394" s="18">
        <f>IFERROR(__xludf.DUMMYFUNCTION("""COMPUTED_VALUE"""),5.0)</f>
        <v>5</v>
      </c>
      <c r="J4394" s="18">
        <f>IFERROR(__xludf.DUMMYFUNCTION("""COMPUTED_VALUE"""),26.0)</f>
        <v>26</v>
      </c>
      <c r="K4394" s="18">
        <f>IFERROR(__xludf.DUMMYFUNCTION("""COMPUTED_VALUE"""),37.0)</f>
        <v>37</v>
      </c>
      <c r="L4394" s="17">
        <f>IFERROR(__xludf.DUMMYFUNCTION("""COMPUTED_VALUE"""),3.114550715E9)</f>
        <v>3114550715</v>
      </c>
      <c r="M4394" s="17" t="str">
        <f>IFERROR(__xludf.DUMMYFUNCTION("""COMPUTED_VALUE"""),"#REF!")</f>
        <v>#REF!</v>
      </c>
      <c r="N4394" s="17"/>
      <c r="O4394" s="17"/>
      <c r="P4394" s="17" t="b">
        <f>IFERROR(__xludf.DUMMYFUNCTION("""COMPUTED_VALUE"""),FALSE)</f>
        <v>0</v>
      </c>
      <c r="Q4394" s="20" t="str">
        <f>IFERROR(__xludf.DUMMYFUNCTION("""COMPUTED_VALUE"""),"")</f>
        <v/>
      </c>
      <c r="R4394" s="21" t="str">
        <f>IFERROR(__xludf.DUMMYFUNCTION("""COMPUTED_VALUE"""),"https://drive.google.com/file/d/1VeANorTa6NH58XN7nB4TyF29wMPxXex9/view?usp=drivesdk")</f>
        <v>https://drive.google.com/file/d/1VeANorTa6NH58XN7nB4TyF29wMPxXex9/view?usp=drivesdk</v>
      </c>
    </row>
    <row r="4395">
      <c r="A4395" s="15">
        <f>IFERROR(__xludf.DUMMYFUNCTION("""COMPUTED_VALUE"""),45128.0)</f>
        <v>45128</v>
      </c>
      <c r="B4395" s="16" t="str">
        <f>IFERROR(__xludf.DUMMYFUNCTION("""COMPUTED_VALUE"""),"Jeison Rubiano")</f>
        <v>Jeison Rubiano</v>
      </c>
      <c r="C4395" s="15" t="str">
        <f>IFERROR(__xludf.DUMMYFUNCTION("""COMPUTED_VALUE"""),"BOGOTÁ")</f>
        <v>BOGOTÁ</v>
      </c>
      <c r="D4395" s="15" t="str">
        <f>IFERROR(__xludf.DUMMYFUNCTION("""COMPUTED_VALUE"""),"MEDELLÍN")</f>
        <v>MEDELLÍN</v>
      </c>
      <c r="E4395" s="15" t="str">
        <f>IFERROR(__xludf.DUMMYFUNCTION("""COMPUTED_VALUE"""),"Baby Chef")</f>
        <v>Baby Chef</v>
      </c>
      <c r="F4395" s="17" t="str">
        <f>IFERROR(__xludf.DUMMYFUNCTION("""COMPUTED_VALUE"""),"Carrera 21 114-20 apto 101 edificio Cerezo / Carrera 21 114-20 apto 101 edificio Cerezo / Carrera 21 114-20 apto 101 edificio Cerezo")</f>
        <v>Carrera 21 114-20 apto 101 edificio Cerezo / Carrera 21 114-20 apto 101 edificio Cerezo / Carrera 21 114-20 apto 101 edificio Cerezo</v>
      </c>
      <c r="G4395" s="15" t="str">
        <f>IFERROR(__xludf.DUMMYFUNCTION("""COMPUTED_VALUE"""),"Laura Martínez")</f>
        <v>Laura Martínez</v>
      </c>
      <c r="H4395" s="16">
        <f>IFERROR(__xludf.DUMMYFUNCTION("""COMPUTED_VALUE"""),13072.0)</f>
        <v>13072</v>
      </c>
      <c r="I4395" s="18">
        <f>IFERROR(__xludf.DUMMYFUNCTION("""COMPUTED_VALUE"""),8.0)</f>
        <v>8</v>
      </c>
      <c r="J4395" s="18">
        <f>IFERROR(__xludf.DUMMYFUNCTION("""COMPUTED_VALUE"""),35.0)</f>
        <v>35</v>
      </c>
      <c r="K4395" s="18">
        <f>IFERROR(__xludf.DUMMYFUNCTION("""COMPUTED_VALUE"""),23.0)</f>
        <v>23</v>
      </c>
      <c r="L4395" s="17">
        <f>IFERROR(__xludf.DUMMYFUNCTION("""COMPUTED_VALUE"""),3.152629963E9)</f>
        <v>3152629963</v>
      </c>
      <c r="M4395" s="17" t="str">
        <f>IFERROR(__xludf.DUMMYFUNCTION("""COMPUTED_VALUE"""),"#REF!")</f>
        <v>#REF!</v>
      </c>
      <c r="N4395" s="17"/>
      <c r="O4395" s="17"/>
      <c r="P4395" s="17" t="b">
        <f>IFERROR(__xludf.DUMMYFUNCTION("""COMPUTED_VALUE"""),FALSE)</f>
        <v>0</v>
      </c>
      <c r="Q4395" s="20" t="str">
        <f>IFERROR(__xludf.DUMMYFUNCTION("""COMPUTED_VALUE"""),"")</f>
        <v/>
      </c>
      <c r="R4395" s="21" t="str">
        <f>IFERROR(__xludf.DUMMYFUNCTION("""COMPUTED_VALUE"""),"https://drive.google.com/file/d/1PmTYpGmCXtt5s9VyCUWzeeP_Up4zTNWR/view?usp=drivesdk")</f>
        <v>https://drive.google.com/file/d/1PmTYpGmCXtt5s9VyCUWzeeP_Up4zTNWR/view?usp=drivesdk</v>
      </c>
    </row>
    <row r="4396">
      <c r="A4396" s="15">
        <f>IFERROR(__xludf.DUMMYFUNCTION("""COMPUTED_VALUE"""),45128.0)</f>
        <v>45128</v>
      </c>
      <c r="B4396" s="16" t="str">
        <f>IFERROR(__xludf.DUMMYFUNCTION("""COMPUTED_VALUE"""),"Jeison Rubiano")</f>
        <v>Jeison Rubiano</v>
      </c>
      <c r="C4396" s="15" t="str">
        <f>IFERROR(__xludf.DUMMYFUNCTION("""COMPUTED_VALUE"""),"BOGOTÁ")</f>
        <v>BOGOTÁ</v>
      </c>
      <c r="D4396" s="15" t="str">
        <f>IFERROR(__xludf.DUMMYFUNCTION("""COMPUTED_VALUE"""),"MEDELLÍN")</f>
        <v>MEDELLÍN</v>
      </c>
      <c r="E4396" s="15" t="str">
        <f>IFERROR(__xludf.DUMMYFUNCTION("""COMPUTED_VALUE"""),"Baby Chef")</f>
        <v>Baby Chef</v>
      </c>
      <c r="F4396" s="17" t="str">
        <f>IFERROR(__xludf.DUMMYFUNCTION("""COMPUTED_VALUE"""),"Carrera 8 #75-19. Apto 301. Barrio El nogal - Localidad Chapinero en BOGOTÁ. Edificio AYRAM / Carrera 8 #75-19. Apto 301. Barrio El nogal - Localidad Chapinero en BOGOTÁ. Edificio AYRAM / Carrera 8 #75-19. Apto 301. Barrio El nogal - Localidad Chapinero e"&amp;"n BOGOTÁ. Edificio AYRAM")</f>
        <v>Carrera 8 #75-19. Apto 301. Barrio El nogal - Localidad Chapinero en BOGOTÁ. Edificio AYRAM / Carrera 8 #75-19. Apto 301. Barrio El nogal - Localidad Chapinero en BOGOTÁ. Edificio AYRAM / Carrera 8 #75-19. Apto 301. Barrio El nogal - Localidad Chapinero en BOGOTÁ. Edificio AYRAM</v>
      </c>
      <c r="G4396" s="15" t="str">
        <f>IFERROR(__xludf.DUMMYFUNCTION("""COMPUTED_VALUE"""),"Juliana Raigosa")</f>
        <v>Juliana Raigosa</v>
      </c>
      <c r="H4396" s="16">
        <f>IFERROR(__xludf.DUMMYFUNCTION("""COMPUTED_VALUE"""),13074.0)</f>
        <v>13074</v>
      </c>
      <c r="I4396" s="18">
        <f>IFERROR(__xludf.DUMMYFUNCTION("""COMPUTED_VALUE"""),7.0)</f>
        <v>7</v>
      </c>
      <c r="J4396" s="18">
        <f>IFERROR(__xludf.DUMMYFUNCTION("""COMPUTED_VALUE"""),22.0)</f>
        <v>22</v>
      </c>
      <c r="K4396" s="18">
        <f>IFERROR(__xludf.DUMMYFUNCTION("""COMPUTED_VALUE"""),36.0)</f>
        <v>36</v>
      </c>
      <c r="L4396" s="17">
        <f>IFERROR(__xludf.DUMMYFUNCTION("""COMPUTED_VALUE"""),3.003485924E9)</f>
        <v>3003485924</v>
      </c>
      <c r="M4396" s="17" t="str">
        <f>IFERROR(__xludf.DUMMYFUNCTION("""COMPUTED_VALUE"""),"#REF!")</f>
        <v>#REF!</v>
      </c>
      <c r="N4396" s="17"/>
      <c r="O4396" s="17"/>
      <c r="P4396" s="17" t="b">
        <f>IFERROR(__xludf.DUMMYFUNCTION("""COMPUTED_VALUE"""),FALSE)</f>
        <v>0</v>
      </c>
      <c r="Q4396" s="20" t="str">
        <f>IFERROR(__xludf.DUMMYFUNCTION("""COMPUTED_VALUE"""),"")</f>
        <v/>
      </c>
      <c r="R4396" s="22" t="str">
        <f>IFERROR(__xludf.DUMMYFUNCTION("""COMPUTED_VALUE"""),"")</f>
        <v/>
      </c>
    </row>
    <row r="4397">
      <c r="A4397" s="15">
        <f>IFERROR(__xludf.DUMMYFUNCTION("""COMPUTED_VALUE"""),45128.0)</f>
        <v>45128</v>
      </c>
      <c r="B4397" s="16" t="str">
        <f>IFERROR(__xludf.DUMMYFUNCTION("""COMPUTED_VALUE"""),"Jeison Rubiano")</f>
        <v>Jeison Rubiano</v>
      </c>
      <c r="C4397" s="15" t="str">
        <f>IFERROR(__xludf.DUMMYFUNCTION("""COMPUTED_VALUE"""),"BOGOTÁ")</f>
        <v>BOGOTÁ</v>
      </c>
      <c r="D4397" s="15" t="str">
        <f>IFERROR(__xludf.DUMMYFUNCTION("""COMPUTED_VALUE"""),"MEDELLÍN")</f>
        <v>MEDELLÍN</v>
      </c>
      <c r="E4397" s="15" t="str">
        <f>IFERROR(__xludf.DUMMYFUNCTION("""COMPUTED_VALUE"""),"Felicidad Bakery Bogotá")</f>
        <v>Felicidad Bakery Bogotá</v>
      </c>
      <c r="F4397" s="17" t="str">
        <f>IFERROR(__xludf.DUMMYFUNCTION("""COMPUTED_VALUE"""),"Calle 92 #15-62 / Ed centro chicó / Local 103")</f>
        <v>Calle 92 #15-62 / Ed centro chicó / Local 103</v>
      </c>
      <c r="G4397" s="15" t="str">
        <f>IFERROR(__xludf.DUMMYFUNCTION("""COMPUTED_VALUE"""),"Camilo Hernandez")</f>
        <v>Camilo Hernandez</v>
      </c>
      <c r="H4397" s="16">
        <f>IFERROR(__xludf.DUMMYFUNCTION("""COMPUTED_VALUE"""),13062.0)</f>
        <v>13062</v>
      </c>
      <c r="I4397" s="18">
        <f>IFERROR(__xludf.DUMMYFUNCTION("""COMPUTED_VALUE"""),1.0)</f>
        <v>1</v>
      </c>
      <c r="J4397" s="18">
        <f>IFERROR(__xludf.DUMMYFUNCTION("""COMPUTED_VALUE"""),1.0)</f>
        <v>1</v>
      </c>
      <c r="K4397" s="18">
        <f>IFERROR(__xludf.DUMMYFUNCTION("""COMPUTED_VALUE"""),1.0)</f>
        <v>1</v>
      </c>
      <c r="L4397" s="17">
        <f>IFERROR(__xludf.DUMMYFUNCTION("""COMPUTED_VALUE"""),3.152417794E9)</f>
        <v>3152417794</v>
      </c>
      <c r="M4397" s="17" t="str">
        <f>IFERROR(__xludf.DUMMYFUNCTION("""COMPUTED_VALUE"""),"#REF!")</f>
        <v>#REF!</v>
      </c>
      <c r="N4397" s="17"/>
      <c r="O4397" s="17"/>
      <c r="P4397" s="17" t="b">
        <f>IFERROR(__xludf.DUMMYFUNCTION("""COMPUTED_VALUE"""),FALSE)</f>
        <v>0</v>
      </c>
      <c r="Q4397" s="20" t="str">
        <f>IFERROR(__xludf.DUMMYFUNCTION("""COMPUTED_VALUE"""),"")</f>
        <v/>
      </c>
      <c r="R4397" s="21" t="str">
        <f>IFERROR(__xludf.DUMMYFUNCTION("""COMPUTED_VALUE"""),"https://drive.google.com/file/d/1Zh4WURKTq8AXs_Fllha49Q4HgB0AUi1E/view?usp=drivesdk")</f>
        <v>https://drive.google.com/file/d/1Zh4WURKTq8AXs_Fllha49Q4HgB0AUi1E/view?usp=drivesdk</v>
      </c>
    </row>
    <row r="4398">
      <c r="A4398" s="15">
        <f>IFERROR(__xludf.DUMMYFUNCTION("""COMPUTED_VALUE"""),45128.0)</f>
        <v>45128</v>
      </c>
      <c r="B4398" s="16" t="str">
        <f>IFERROR(__xludf.DUMMYFUNCTION("""COMPUTED_VALUE"""),"Jeison Rubiano")</f>
        <v>Jeison Rubiano</v>
      </c>
      <c r="C4398" s="15" t="str">
        <f>IFERROR(__xludf.DUMMYFUNCTION("""COMPUTED_VALUE"""),"BOGOTÁ")</f>
        <v>BOGOTÁ</v>
      </c>
      <c r="D4398" s="15" t="str">
        <f>IFERROR(__xludf.DUMMYFUNCTION("""COMPUTED_VALUE"""),"MEDELLÍN")</f>
        <v>MEDELLÍN</v>
      </c>
      <c r="E4398" s="15" t="str">
        <f>IFERROR(__xludf.DUMMYFUNCTION("""COMPUTED_VALUE"""),"Lácteos El Pino SAS")</f>
        <v>Lácteos El Pino SAS</v>
      </c>
      <c r="F4398" s="17"/>
      <c r="G4398" s="15" t="str">
        <f>IFERROR(__xludf.DUMMYFUNCTION("""COMPUTED_VALUE"""),"KIM")</f>
        <v>KIM</v>
      </c>
      <c r="H4398" s="16">
        <f>IFERROR(__xludf.DUMMYFUNCTION("""COMPUTED_VALUE"""),13079.0)</f>
        <v>13079</v>
      </c>
      <c r="I4398" s="18">
        <f>IFERROR(__xludf.DUMMYFUNCTION("""COMPUTED_VALUE"""),33.0)</f>
        <v>33</v>
      </c>
      <c r="J4398" s="18">
        <f>IFERROR(__xludf.DUMMYFUNCTION("""COMPUTED_VALUE"""),22.0)</f>
        <v>22</v>
      </c>
      <c r="K4398" s="18">
        <f>IFERROR(__xludf.DUMMYFUNCTION("""COMPUTED_VALUE"""),36.0)</f>
        <v>36</v>
      </c>
      <c r="L4398" s="17">
        <f>IFERROR(__xludf.DUMMYFUNCTION("""COMPUTED_VALUE"""),3.24566062E9)</f>
        <v>3245660620</v>
      </c>
      <c r="M4398" s="17" t="str">
        <f>IFERROR(__xludf.DUMMYFUNCTION("""COMPUTED_VALUE"""),"#REF!")</f>
        <v>#REF!</v>
      </c>
      <c r="N4398" s="17"/>
      <c r="O4398" s="17"/>
      <c r="P4398" s="17" t="b">
        <f>IFERROR(__xludf.DUMMYFUNCTION("""COMPUTED_VALUE"""),FALSE)</f>
        <v>0</v>
      </c>
      <c r="Q4398" s="20" t="str">
        <f>IFERROR(__xludf.DUMMYFUNCTION("""COMPUTED_VALUE"""),"")</f>
        <v/>
      </c>
      <c r="R4398" s="21" t="str">
        <f>IFERROR(__xludf.DUMMYFUNCTION("""COMPUTED_VALUE"""),"https://drive.google.com/file/d/1D03SafYs_X4gxNPBg_XA7T8BIBdnLwl_/view?usp=drivesdk")</f>
        <v>https://drive.google.com/file/d/1D03SafYs_X4gxNPBg_XA7T8BIBdnLwl_/view?usp=drivesdk</v>
      </c>
    </row>
    <row r="4399">
      <c r="A4399" s="15">
        <f>IFERROR(__xludf.DUMMYFUNCTION("""COMPUTED_VALUE"""),45128.0)</f>
        <v>45128</v>
      </c>
      <c r="B4399" s="16" t="str">
        <f>IFERROR(__xludf.DUMMYFUNCTION("""COMPUTED_VALUE"""),"Jeison Rubiano")</f>
        <v>Jeison Rubiano</v>
      </c>
      <c r="C4399" s="15" t="str">
        <f>IFERROR(__xludf.DUMMYFUNCTION("""COMPUTED_VALUE"""),"BOGOTÁ")</f>
        <v>BOGOTÁ</v>
      </c>
      <c r="D4399" s="15" t="str">
        <f>IFERROR(__xludf.DUMMYFUNCTION("""COMPUTED_VALUE"""),"MEDELLÍN")</f>
        <v>MEDELLÍN</v>
      </c>
      <c r="E4399" s="15" t="str">
        <f>IFERROR(__xludf.DUMMYFUNCTION("""COMPUTED_VALUE"""),"Moloso S.A.S")</f>
        <v>Moloso S.A.S</v>
      </c>
      <c r="F4399" s="17" t="str">
        <f>IFERROR(__xludf.DUMMYFUNCTION("""COMPUTED_VALUE"""),"CL 45 45 47 / INT 8 AP 401")</f>
        <v>CL 45 45 47 / INT 8 AP 401</v>
      </c>
      <c r="G4399" s="15" t="str">
        <f>IFERROR(__xludf.DUMMYFUNCTION("""COMPUTED_VALUE"""),"MARIANA ESCOBAR VILLARRAGA")</f>
        <v>MARIANA ESCOBAR VILLARRAGA</v>
      </c>
      <c r="H4399" s="16">
        <f>IFERROR(__xludf.DUMMYFUNCTION("""COMPUTED_VALUE"""),13081.0)</f>
        <v>13081</v>
      </c>
      <c r="I4399" s="18">
        <f>IFERROR(__xludf.DUMMYFUNCTION("""COMPUTED_VALUE"""),17.0)</f>
        <v>17</v>
      </c>
      <c r="J4399" s="18">
        <f>IFERROR(__xludf.DUMMYFUNCTION("""COMPUTED_VALUE"""),15.0)</f>
        <v>15</v>
      </c>
      <c r="K4399" s="18">
        <f>IFERROR(__xludf.DUMMYFUNCTION("""COMPUTED_VALUE"""),28.0)</f>
        <v>28</v>
      </c>
      <c r="L4399" s="17" t="str">
        <f>IFERROR(__xludf.DUMMYFUNCTION("""COMPUTED_VALUE"""),"311 2644656")</f>
        <v>311 2644656</v>
      </c>
      <c r="M4399" s="17" t="str">
        <f>IFERROR(__xludf.DUMMYFUNCTION("""COMPUTED_VALUE"""),"#REF!")</f>
        <v>#REF!</v>
      </c>
      <c r="N4399" s="17"/>
      <c r="O4399" s="17"/>
      <c r="P4399" s="17" t="b">
        <f>IFERROR(__xludf.DUMMYFUNCTION("""COMPUTED_VALUE"""),FALSE)</f>
        <v>0</v>
      </c>
      <c r="Q4399" s="20" t="str">
        <f>IFERROR(__xludf.DUMMYFUNCTION("""COMPUTED_VALUE"""),"")</f>
        <v/>
      </c>
      <c r="R4399" s="21" t="str">
        <f>IFERROR(__xludf.DUMMYFUNCTION("""COMPUTED_VALUE"""),"https://drive.google.com/file/d/1xvLyhJsu-Of1kQUwwHM4TllwfIj6KbuV/view?usp=drivesdk")</f>
        <v>https://drive.google.com/file/d/1xvLyhJsu-Of1kQUwwHM4TllwfIj6KbuV/view?usp=drivesdk</v>
      </c>
    </row>
    <row r="4400">
      <c r="A4400" s="15">
        <f>IFERROR(__xludf.DUMMYFUNCTION("""COMPUTED_VALUE"""),45128.0)</f>
        <v>45128</v>
      </c>
      <c r="B4400" s="16" t="str">
        <f>IFERROR(__xludf.DUMMYFUNCTION("""COMPUTED_VALUE"""),"Jeison Rubiano")</f>
        <v>Jeison Rubiano</v>
      </c>
      <c r="C4400" s="15" t="str">
        <f>IFERROR(__xludf.DUMMYFUNCTION("""COMPUTED_VALUE"""),"BOGOTÁ")</f>
        <v>BOGOTÁ</v>
      </c>
      <c r="D4400" s="15" t="str">
        <f>IFERROR(__xludf.DUMMYFUNCTION("""COMPUTED_VALUE"""),"MEDELLÍN")</f>
        <v>MEDELLÍN</v>
      </c>
      <c r="E4400" s="15" t="str">
        <f>IFERROR(__xludf.DUMMYFUNCTION("""COMPUTED_VALUE"""),"Moloso S.A.S")</f>
        <v>Moloso S.A.S</v>
      </c>
      <c r="F4400" s="17" t="str">
        <f>IFERROR(__xludf.DUMMYFUNCTION("""COMPUTED_VALUE"""),"CR 75 24 D 70 / CIGARRERIA")</f>
        <v>CR 75 24 D 70 / CIGARRERIA</v>
      </c>
      <c r="G4400" s="15" t="str">
        <f>IFERROR(__xludf.DUMMYFUNCTION("""COMPUTED_VALUE"""),"MARIA JOSE MELO BONILLA")</f>
        <v>MARIA JOSE MELO BONILLA</v>
      </c>
      <c r="H4400" s="16">
        <f>IFERROR(__xludf.DUMMYFUNCTION("""COMPUTED_VALUE"""),13080.0)</f>
        <v>13080</v>
      </c>
      <c r="I4400" s="18">
        <f>IFERROR(__xludf.DUMMYFUNCTION("""COMPUTED_VALUE"""),17.0)</f>
        <v>17</v>
      </c>
      <c r="J4400" s="18">
        <f>IFERROR(__xludf.DUMMYFUNCTION("""COMPUTED_VALUE"""),15.0)</f>
        <v>15</v>
      </c>
      <c r="K4400" s="18">
        <f>IFERROR(__xludf.DUMMYFUNCTION("""COMPUTED_VALUE"""),28.0)</f>
        <v>28</v>
      </c>
      <c r="L4400" s="17">
        <f>IFERROR(__xludf.DUMMYFUNCTION("""COMPUTED_VALUE"""),3.143504351E9)</f>
        <v>3143504351</v>
      </c>
      <c r="M4400" s="17" t="str">
        <f>IFERROR(__xludf.DUMMYFUNCTION("""COMPUTED_VALUE"""),"#REF!")</f>
        <v>#REF!</v>
      </c>
      <c r="N4400" s="17"/>
      <c r="O4400" s="17"/>
      <c r="P4400" s="17" t="b">
        <f>IFERROR(__xludf.DUMMYFUNCTION("""COMPUTED_VALUE"""),FALSE)</f>
        <v>0</v>
      </c>
      <c r="Q4400" s="20" t="str">
        <f>IFERROR(__xludf.DUMMYFUNCTION("""COMPUTED_VALUE"""),"")</f>
        <v/>
      </c>
      <c r="R4400" s="21" t="str">
        <f>IFERROR(__xludf.DUMMYFUNCTION("""COMPUTED_VALUE"""),"https://drive.google.com/file/d/1MudrbbQyTEu2FfSbhxadNM8207L8HfBB/view?usp=drivesdk")</f>
        <v>https://drive.google.com/file/d/1MudrbbQyTEu2FfSbhxadNM8207L8HfBB/view?usp=drivesdk</v>
      </c>
    </row>
    <row r="4401">
      <c r="A4401" s="15">
        <f>IFERROR(__xludf.DUMMYFUNCTION("""COMPUTED_VALUE"""),45128.0)</f>
        <v>45128</v>
      </c>
      <c r="B4401" s="16" t="str">
        <f>IFERROR(__xludf.DUMMYFUNCTION("""COMPUTED_VALUE"""),"Jeison Rubiano")</f>
        <v>Jeison Rubiano</v>
      </c>
      <c r="C4401" s="15" t="str">
        <f>IFERROR(__xludf.DUMMYFUNCTION("""COMPUTED_VALUE"""),"BOGOTÁ")</f>
        <v>BOGOTÁ</v>
      </c>
      <c r="D4401" s="15" t="str">
        <f>IFERROR(__xludf.DUMMYFUNCTION("""COMPUTED_VALUE"""),"MEDELLÍN")</f>
        <v>MEDELLÍN</v>
      </c>
      <c r="E4401" s="15" t="str">
        <f>IFERROR(__xludf.DUMMYFUNCTION("""COMPUTED_VALUE"""),"Rambla")</f>
        <v>Rambla</v>
      </c>
      <c r="F4401" s="17" t="str">
        <f>IFERROR(__xludf.DUMMYFUNCTION("""COMPUTED_VALUE"""),"calle 24 80b 82 / modelia / na")</f>
        <v>calle 24 80b 82 / modelia / na</v>
      </c>
      <c r="G4401" s="15" t="str">
        <f>IFERROR(__xludf.DUMMYFUNCTION("""COMPUTED_VALUE"""),"origenes")</f>
        <v>origenes</v>
      </c>
      <c r="H4401" s="16">
        <f>IFERROR(__xludf.DUMMYFUNCTION("""COMPUTED_VALUE"""),13089.0)</f>
        <v>13089</v>
      </c>
      <c r="I4401" s="18">
        <f>IFERROR(__xludf.DUMMYFUNCTION("""COMPUTED_VALUE"""),32.0)</f>
        <v>32</v>
      </c>
      <c r="J4401" s="18">
        <f>IFERROR(__xludf.DUMMYFUNCTION("""COMPUTED_VALUE"""),23.0)</f>
        <v>23</v>
      </c>
      <c r="K4401" s="18">
        <f>IFERROR(__xludf.DUMMYFUNCTION("""COMPUTED_VALUE"""),23.0)</f>
        <v>23</v>
      </c>
      <c r="L4401" s="17">
        <f>IFERROR(__xludf.DUMMYFUNCTION("""COMPUTED_VALUE"""),3.136299043E9)</f>
        <v>3136299043</v>
      </c>
      <c r="M4401" s="17" t="str">
        <f>IFERROR(__xludf.DUMMYFUNCTION("""COMPUTED_VALUE"""),"#REF!")</f>
        <v>#REF!</v>
      </c>
      <c r="N4401" s="17"/>
      <c r="O4401" s="17"/>
      <c r="P4401" s="17" t="b">
        <f>IFERROR(__xludf.DUMMYFUNCTION("""COMPUTED_VALUE"""),FALSE)</f>
        <v>0</v>
      </c>
      <c r="Q4401" s="20" t="str">
        <f>IFERROR(__xludf.DUMMYFUNCTION("""COMPUTED_VALUE"""),"")</f>
        <v/>
      </c>
      <c r="R4401" s="21" t="str">
        <f>IFERROR(__xludf.DUMMYFUNCTION("""COMPUTED_VALUE"""),"https://drive.google.com/file/d/1PwlbPyqGjZQtP_ROc166LHdC50gStyq7/view?usp=drivesdk")</f>
        <v>https://drive.google.com/file/d/1PwlbPyqGjZQtP_ROc166LHdC50gStyq7/view?usp=drivesdk</v>
      </c>
    </row>
    <row r="4402">
      <c r="A4402" s="15">
        <f>IFERROR(__xludf.DUMMYFUNCTION("""COMPUTED_VALUE"""),45128.0)</f>
        <v>45128</v>
      </c>
      <c r="B4402" s="16" t="str">
        <f>IFERROR(__xludf.DUMMYFUNCTION("""COMPUTED_VALUE"""),"Jeison Rubiano")</f>
        <v>Jeison Rubiano</v>
      </c>
      <c r="C4402" s="15" t="str">
        <f>IFERROR(__xludf.DUMMYFUNCTION("""COMPUTED_VALUE"""),"BOGOTÁ")</f>
        <v>BOGOTÁ</v>
      </c>
      <c r="D4402" s="15" t="str">
        <f>IFERROR(__xludf.DUMMYFUNCTION("""COMPUTED_VALUE"""),"MEDELLÍN")</f>
        <v>MEDELLÍN</v>
      </c>
      <c r="E4402" s="15" t="str">
        <f>IFERROR(__xludf.DUMMYFUNCTION("""COMPUTED_VALUE"""),"Rambla")</f>
        <v>Rambla</v>
      </c>
      <c r="F4402" s="17" t="str">
        <f>IFERROR(__xludf.DUMMYFUNCTION("""COMPUTED_VALUE"""),"calle 43 sur n 80 i 29 / na / na")</f>
        <v>calle 43 sur n 80 i 29 / na / na</v>
      </c>
      <c r="G4402" s="15" t="str">
        <f>IFERROR(__xludf.DUMMYFUNCTION("""COMPUTED_VALUE"""),"diana martinez")</f>
        <v>diana martinez</v>
      </c>
      <c r="H4402" s="16">
        <f>IFERROR(__xludf.DUMMYFUNCTION("""COMPUTED_VALUE"""),13086.0)</f>
        <v>13086</v>
      </c>
      <c r="I4402" s="18">
        <f>IFERROR(__xludf.DUMMYFUNCTION("""COMPUTED_VALUE"""),32.0)</f>
        <v>32</v>
      </c>
      <c r="J4402" s="18">
        <f>IFERROR(__xludf.DUMMYFUNCTION("""COMPUTED_VALUE"""),23.0)</f>
        <v>23</v>
      </c>
      <c r="K4402" s="18">
        <f>IFERROR(__xludf.DUMMYFUNCTION("""COMPUTED_VALUE"""),23.0)</f>
        <v>23</v>
      </c>
      <c r="L4402" s="17">
        <f>IFERROR(__xludf.DUMMYFUNCTION("""COMPUTED_VALUE"""),3.215092337E9)</f>
        <v>3215092337</v>
      </c>
      <c r="M4402" s="17" t="str">
        <f>IFERROR(__xludf.DUMMYFUNCTION("""COMPUTED_VALUE"""),"#REF!")</f>
        <v>#REF!</v>
      </c>
      <c r="N4402" s="17"/>
      <c r="O4402" s="17"/>
      <c r="P4402" s="17" t="b">
        <f>IFERROR(__xludf.DUMMYFUNCTION("""COMPUTED_VALUE"""),FALSE)</f>
        <v>0</v>
      </c>
      <c r="Q4402" s="20" t="str">
        <f>IFERROR(__xludf.DUMMYFUNCTION("""COMPUTED_VALUE"""),"")</f>
        <v/>
      </c>
      <c r="R4402" s="21" t="str">
        <f>IFERROR(__xludf.DUMMYFUNCTION("""COMPUTED_VALUE"""),"https://drive.google.com/file/d/1mFYCNkpwG0MXTbkL5i0OPi9R-yk5gQZ_/view?usp=drivesdk")</f>
        <v>https://drive.google.com/file/d/1mFYCNkpwG0MXTbkL5i0OPi9R-yk5gQZ_/view?usp=drivesdk</v>
      </c>
    </row>
    <row r="4403">
      <c r="A4403" s="15">
        <f>IFERROR(__xludf.DUMMYFUNCTION("""COMPUTED_VALUE"""),45128.0)</f>
        <v>45128</v>
      </c>
      <c r="B4403" s="16" t="str">
        <f>IFERROR(__xludf.DUMMYFUNCTION("""COMPUTED_VALUE"""),"Jeison Rubiano")</f>
        <v>Jeison Rubiano</v>
      </c>
      <c r="C4403" s="15" t="str">
        <f>IFERROR(__xludf.DUMMYFUNCTION("""COMPUTED_VALUE"""),"BOGOTÁ")</f>
        <v>BOGOTÁ</v>
      </c>
      <c r="D4403" s="15" t="str">
        <f>IFERROR(__xludf.DUMMYFUNCTION("""COMPUTED_VALUE"""),"MEDELLÍN")</f>
        <v>MEDELLÍN</v>
      </c>
      <c r="E4403" s="15" t="str">
        <f>IFERROR(__xludf.DUMMYFUNCTION("""COMPUTED_VALUE"""),"Rambla")</f>
        <v>Rambla</v>
      </c>
      <c r="F4403" s="17" t="str">
        <f>IFERROR(__xludf.DUMMYFUNCTION("""COMPUTED_VALUE"""),"calle 71 n 4-55 / na / na")</f>
        <v>calle 71 n 4-55 / na / na</v>
      </c>
      <c r="G4403" s="15" t="str">
        <f>IFERROR(__xludf.DUMMYFUNCTION("""COMPUTED_VALUE"""),"fit market")</f>
        <v>fit market</v>
      </c>
      <c r="H4403" s="16">
        <f>IFERROR(__xludf.DUMMYFUNCTION("""COMPUTED_VALUE"""),13087.0)</f>
        <v>13087</v>
      </c>
      <c r="I4403" s="18">
        <f>IFERROR(__xludf.DUMMYFUNCTION("""COMPUTED_VALUE"""),32.0)</f>
        <v>32</v>
      </c>
      <c r="J4403" s="18">
        <f>IFERROR(__xludf.DUMMYFUNCTION("""COMPUTED_VALUE"""),23.0)</f>
        <v>23</v>
      </c>
      <c r="K4403" s="18">
        <f>IFERROR(__xludf.DUMMYFUNCTION("""COMPUTED_VALUE"""),23.0)</f>
        <v>23</v>
      </c>
      <c r="L4403" s="17">
        <f>IFERROR(__xludf.DUMMYFUNCTION("""COMPUTED_VALUE"""),3.183545455E9)</f>
        <v>3183545455</v>
      </c>
      <c r="M4403" s="17" t="str">
        <f>IFERROR(__xludf.DUMMYFUNCTION("""COMPUTED_VALUE"""),"#REF!")</f>
        <v>#REF!</v>
      </c>
      <c r="N4403" s="17"/>
      <c r="O4403" s="17"/>
      <c r="P4403" s="17" t="b">
        <f>IFERROR(__xludf.DUMMYFUNCTION("""COMPUTED_VALUE"""),FALSE)</f>
        <v>0</v>
      </c>
      <c r="Q4403" s="20" t="str">
        <f>IFERROR(__xludf.DUMMYFUNCTION("""COMPUTED_VALUE"""),"")</f>
        <v/>
      </c>
      <c r="R4403" s="21" t="str">
        <f>IFERROR(__xludf.DUMMYFUNCTION("""COMPUTED_VALUE"""),"https://drive.google.com/file/d/184mvR4MW1-xlHsttI0qkKYOF0QbiNvmU/view?usp=drivesdk")</f>
        <v>https://drive.google.com/file/d/184mvR4MW1-xlHsttI0qkKYOF0QbiNvmU/view?usp=drivesdk</v>
      </c>
    </row>
    <row r="4404">
      <c r="A4404" s="15">
        <f>IFERROR(__xludf.DUMMYFUNCTION("""COMPUTED_VALUE"""),45128.0)</f>
        <v>45128</v>
      </c>
      <c r="B4404" s="16" t="str">
        <f>IFERROR(__xludf.DUMMYFUNCTION("""COMPUTED_VALUE"""),"Jeison Rubiano")</f>
        <v>Jeison Rubiano</v>
      </c>
      <c r="C4404" s="15" t="str">
        <f>IFERROR(__xludf.DUMMYFUNCTION("""COMPUTED_VALUE"""),"BOGOTÁ")</f>
        <v>BOGOTÁ</v>
      </c>
      <c r="D4404" s="15" t="str">
        <f>IFERROR(__xludf.DUMMYFUNCTION("""COMPUTED_VALUE"""),"MEDELLÍN")</f>
        <v>MEDELLÍN</v>
      </c>
      <c r="E4404" s="15" t="str">
        <f>IFERROR(__xludf.DUMMYFUNCTION("""COMPUTED_VALUE"""),"Rambla")</f>
        <v>Rambla</v>
      </c>
      <c r="F4404" s="17" t="str">
        <f>IFERROR(__xludf.DUMMYFUNCTION("""COMPUTED_VALUE"""),"carrera 7 n 88-96 apto 1401 / na / na")</f>
        <v>carrera 7 n 88-96 apto 1401 / na / na</v>
      </c>
      <c r="G4404" s="15" t="str">
        <f>IFERROR(__xludf.DUMMYFUNCTION("""COMPUTED_VALUE"""),"betty vargas")</f>
        <v>betty vargas</v>
      </c>
      <c r="H4404" s="16">
        <f>IFERROR(__xludf.DUMMYFUNCTION("""COMPUTED_VALUE"""),13091.0)</f>
        <v>13091</v>
      </c>
      <c r="I4404" s="18">
        <f>IFERROR(__xludf.DUMMYFUNCTION("""COMPUTED_VALUE"""),32.0)</f>
        <v>32</v>
      </c>
      <c r="J4404" s="18">
        <f>IFERROR(__xludf.DUMMYFUNCTION("""COMPUTED_VALUE"""),23.0)</f>
        <v>23</v>
      </c>
      <c r="K4404" s="18">
        <f>IFERROR(__xludf.DUMMYFUNCTION("""COMPUTED_VALUE"""),23.0)</f>
        <v>23</v>
      </c>
      <c r="L4404" s="17">
        <f>IFERROR(__xludf.DUMMYFUNCTION("""COMPUTED_VALUE"""),3.167936595E9)</f>
        <v>3167936595</v>
      </c>
      <c r="M4404" s="17" t="str">
        <f>IFERROR(__xludf.DUMMYFUNCTION("""COMPUTED_VALUE"""),"#REF!")</f>
        <v>#REF!</v>
      </c>
      <c r="N4404" s="17"/>
      <c r="O4404" s="17"/>
      <c r="P4404" s="17" t="b">
        <f>IFERROR(__xludf.DUMMYFUNCTION("""COMPUTED_VALUE"""),FALSE)</f>
        <v>0</v>
      </c>
      <c r="Q4404" s="20" t="str">
        <f>IFERROR(__xludf.DUMMYFUNCTION("""COMPUTED_VALUE"""),"")</f>
        <v/>
      </c>
      <c r="R4404" s="21" t="str">
        <f>IFERROR(__xludf.DUMMYFUNCTION("""COMPUTED_VALUE"""),"https://drive.google.com/file/d/15BNx6RMVfb6VcoGEIKHN1dPC9OJf2Wtq/view?usp=drivesdk")</f>
        <v>https://drive.google.com/file/d/15BNx6RMVfb6VcoGEIKHN1dPC9OJf2Wtq/view?usp=drivesdk</v>
      </c>
    </row>
    <row r="4405">
      <c r="A4405" s="15">
        <f>IFERROR(__xludf.DUMMYFUNCTION("""COMPUTED_VALUE"""),45128.0)</f>
        <v>45128</v>
      </c>
      <c r="B4405" s="16" t="str">
        <f>IFERROR(__xludf.DUMMYFUNCTION("""COMPUTED_VALUE"""),"Jeison Rubiano")</f>
        <v>Jeison Rubiano</v>
      </c>
      <c r="C4405" s="15" t="str">
        <f>IFERROR(__xludf.DUMMYFUNCTION("""COMPUTED_VALUE"""),"CALI")</f>
        <v>CALI</v>
      </c>
      <c r="D4405" s="15" t="str">
        <f>IFERROR(__xludf.DUMMYFUNCTION("""COMPUTED_VALUE"""),"BOGOTÁ")</f>
        <v>BOGOTÁ</v>
      </c>
      <c r="E4405" s="15" t="str">
        <f>IFERROR(__xludf.DUMMYFUNCTION("""COMPUTED_VALUE"""),"Renata")</f>
        <v>Renata</v>
      </c>
      <c r="F4405" s="17" t="str">
        <f>IFERROR(__xludf.DUMMYFUNCTION("""COMPUTED_VALUE"""),"Carrera 3#3a-83 / Patio 34 food containers -restaurante  / San Fernando")</f>
        <v>Carrera 3#3a-83 / Patio 34 food containers -restaurante  / San Fernando</v>
      </c>
      <c r="G4405" s="15" t="str">
        <f>IFERROR(__xludf.DUMMYFUNCTION("""COMPUTED_VALUE"""),"Retaco sas")</f>
        <v>Retaco sas</v>
      </c>
      <c r="H4405" s="16">
        <f>IFERROR(__xludf.DUMMYFUNCTION("""COMPUTED_VALUE"""),13068.0)</f>
        <v>13068</v>
      </c>
      <c r="I4405" s="18">
        <f>IFERROR(__xludf.DUMMYFUNCTION("""COMPUTED_VALUE"""),90.0)</f>
        <v>90</v>
      </c>
      <c r="J4405" s="18">
        <f>IFERROR(__xludf.DUMMYFUNCTION("""COMPUTED_VALUE"""),70.0)</f>
        <v>70</v>
      </c>
      <c r="K4405" s="18">
        <f>IFERROR(__xludf.DUMMYFUNCTION("""COMPUTED_VALUE"""),60.0)</f>
        <v>60</v>
      </c>
      <c r="L4405" s="17">
        <f>IFERROR(__xludf.DUMMYFUNCTION("""COMPUTED_VALUE"""),3.134720976E9)</f>
        <v>3134720976</v>
      </c>
      <c r="M4405" s="17" t="str">
        <f>IFERROR(__xludf.DUMMYFUNCTION("""COMPUTED_VALUE"""),"#REF!")</f>
        <v>#REF!</v>
      </c>
      <c r="N4405" s="17"/>
      <c r="O4405" s="17"/>
      <c r="P4405" s="17" t="b">
        <f>IFERROR(__xludf.DUMMYFUNCTION("""COMPUTED_VALUE"""),FALSE)</f>
        <v>0</v>
      </c>
      <c r="Q4405" s="20" t="str">
        <f>IFERROR(__xludf.DUMMYFUNCTION("""COMPUTED_VALUE"""),"")</f>
        <v/>
      </c>
      <c r="R4405" s="22" t="str">
        <f>IFERROR(__xludf.DUMMYFUNCTION("""COMPUTED_VALUE"""),"")</f>
        <v/>
      </c>
    </row>
    <row r="4406">
      <c r="A4406" s="15">
        <f>IFERROR(__xludf.DUMMYFUNCTION("""COMPUTED_VALUE"""),45128.0)</f>
        <v>45128</v>
      </c>
      <c r="B4406" s="16" t="str">
        <f>IFERROR(__xludf.DUMMYFUNCTION("""COMPUTED_VALUE"""),"Jeison Rubiano")</f>
        <v>Jeison Rubiano</v>
      </c>
      <c r="C4406" s="15" t="str">
        <f>IFERROR(__xludf.DUMMYFUNCTION("""COMPUTED_VALUE"""),"MANIZALES")</f>
        <v>MANIZALES</v>
      </c>
      <c r="D4406" s="15" t="str">
        <f>IFERROR(__xludf.DUMMYFUNCTION("""COMPUTED_VALUE"""),"MEDELLÍN")</f>
        <v>MEDELLÍN</v>
      </c>
      <c r="E4406" s="15" t="str">
        <f>IFERROR(__xludf.DUMMYFUNCTION("""COMPUTED_VALUE"""),"Limona")</f>
        <v>Limona</v>
      </c>
      <c r="F4406" s="17" t="str">
        <f>IFERROR(__xludf.DUMMYFUNCTION("""COMPUTED_VALUE"""),"Calle 66 # 26 - 45 / Edificio Guayacan de la 66, local mercafit / Palermo")</f>
        <v>Calle 66 # 26 - 45 / Edificio Guayacan de la 66, local mercafit / Palermo</v>
      </c>
      <c r="G4406" s="15" t="str">
        <f>IFERROR(__xludf.DUMMYFUNCTION("""COMPUTED_VALUE"""),"Diana osorio")</f>
        <v>Diana osorio</v>
      </c>
      <c r="H4406" s="16">
        <f>IFERROR(__xludf.DUMMYFUNCTION("""COMPUTED_VALUE"""),13076.0)</f>
        <v>13076</v>
      </c>
      <c r="I4406" s="18">
        <f>IFERROR(__xludf.DUMMYFUNCTION("""COMPUTED_VALUE"""),20.0)</f>
        <v>20</v>
      </c>
      <c r="J4406" s="18">
        <f>IFERROR(__xludf.DUMMYFUNCTION("""COMPUTED_VALUE"""),20.0)</f>
        <v>20</v>
      </c>
      <c r="K4406" s="18">
        <f>IFERROR(__xludf.DUMMYFUNCTION("""COMPUTED_VALUE"""),30.0)</f>
        <v>30</v>
      </c>
      <c r="L4406" s="17">
        <f>IFERROR(__xludf.DUMMYFUNCTION("""COMPUTED_VALUE"""),3.233813531E9)</f>
        <v>3233813531</v>
      </c>
      <c r="M4406" s="17" t="str">
        <f>IFERROR(__xludf.DUMMYFUNCTION("""COMPUTED_VALUE"""),"#REF!")</f>
        <v>#REF!</v>
      </c>
      <c r="N4406" s="17"/>
      <c r="O4406" s="17"/>
      <c r="P4406" s="17" t="b">
        <f>IFERROR(__xludf.DUMMYFUNCTION("""COMPUTED_VALUE"""),FALSE)</f>
        <v>0</v>
      </c>
      <c r="Q4406" s="20" t="str">
        <f>IFERROR(__xludf.DUMMYFUNCTION("""COMPUTED_VALUE"""),"")</f>
        <v/>
      </c>
      <c r="R4406" s="21" t="str">
        <f>IFERROR(__xludf.DUMMYFUNCTION("""COMPUTED_VALUE"""),"https://drive.google.com/file/d/1OFKsvNJf2TWMhGOSFQ3h8GJmHMBe1kj8/view?usp=drivesdk")</f>
        <v>https://drive.google.com/file/d/1OFKsvNJf2TWMhGOSFQ3h8GJmHMBe1kj8/view?usp=drivesdk</v>
      </c>
    </row>
    <row r="4407">
      <c r="A4407" s="15">
        <f>IFERROR(__xludf.DUMMYFUNCTION("""COMPUTED_VALUE"""),45128.0)</f>
        <v>45128</v>
      </c>
      <c r="B4407" s="16" t="str">
        <f>IFERROR(__xludf.DUMMYFUNCTION("""COMPUTED_VALUE"""),"Jeison Rubiano")</f>
        <v>Jeison Rubiano</v>
      </c>
      <c r="C4407" s="15" t="str">
        <f>IFERROR(__xludf.DUMMYFUNCTION("""COMPUTED_VALUE"""),"MANIZALES")</f>
        <v>MANIZALES</v>
      </c>
      <c r="D4407" s="15" t="str">
        <f>IFERROR(__xludf.DUMMYFUNCTION("""COMPUTED_VALUE"""),"MEDELLÍN")</f>
        <v>MEDELLÍN</v>
      </c>
      <c r="E4407" s="15" t="str">
        <f>IFERROR(__xludf.DUMMYFUNCTION("""COMPUTED_VALUE"""),"Limona")</f>
        <v>Limona</v>
      </c>
      <c r="F4407" s="17" t="str">
        <f>IFERROR(__xludf.DUMMYFUNCTION("""COMPUTED_VALUE"""),"Carrera 23 # 51 - 62 / Edificio cerros del cafetero apt 504 / Manizales")</f>
        <v>Carrera 23 # 51 - 62 / Edificio cerros del cafetero apt 504 / Manizales</v>
      </c>
      <c r="G4407" s="15" t="str">
        <f>IFERROR(__xludf.DUMMYFUNCTION("""COMPUTED_VALUE"""),"Gloria Stella Gomez")</f>
        <v>Gloria Stella Gomez</v>
      </c>
      <c r="H4407" s="16">
        <f>IFERROR(__xludf.DUMMYFUNCTION("""COMPUTED_VALUE"""),13077.0)</f>
        <v>13077</v>
      </c>
      <c r="I4407" s="18">
        <f>IFERROR(__xludf.DUMMYFUNCTION("""COMPUTED_VALUE"""),15.0)</f>
        <v>15</v>
      </c>
      <c r="J4407" s="18">
        <f>IFERROR(__xludf.DUMMYFUNCTION("""COMPUTED_VALUE"""),15.0)</f>
        <v>15</v>
      </c>
      <c r="K4407" s="18">
        <f>IFERROR(__xludf.DUMMYFUNCTION("""COMPUTED_VALUE"""),10.0)</f>
        <v>10</v>
      </c>
      <c r="L4407" s="17">
        <f>IFERROR(__xludf.DUMMYFUNCTION("""COMPUTED_VALUE"""),3.136526149E9)</f>
        <v>3136526149</v>
      </c>
      <c r="M4407" s="17" t="str">
        <f>IFERROR(__xludf.DUMMYFUNCTION("""COMPUTED_VALUE"""),"#REF!")</f>
        <v>#REF!</v>
      </c>
      <c r="N4407" s="17"/>
      <c r="O4407" s="17"/>
      <c r="P4407" s="17" t="b">
        <f>IFERROR(__xludf.DUMMYFUNCTION("""COMPUTED_VALUE"""),FALSE)</f>
        <v>0</v>
      </c>
      <c r="Q4407" s="20" t="str">
        <f>IFERROR(__xludf.DUMMYFUNCTION("""COMPUTED_VALUE"""),"")</f>
        <v/>
      </c>
      <c r="R4407" s="21" t="str">
        <f>IFERROR(__xludf.DUMMYFUNCTION("""COMPUTED_VALUE"""),"https://drive.google.com/file/d/1-IyiWGv6kVPzH4VmympCLuuQgzUbPY59/view?usp=drivesdk")</f>
        <v>https://drive.google.com/file/d/1-IyiWGv6kVPzH4VmympCLuuQgzUbPY59/view?usp=drivesdk</v>
      </c>
    </row>
    <row r="4408">
      <c r="A4408" s="17" t="str">
        <f>IFERROR(__xludf.DUMMYFUNCTION("""COMPUTED_VALUE"""),"")</f>
        <v/>
      </c>
      <c r="B4408" s="17" t="str">
        <f>IFERROR(__xludf.DUMMYFUNCTION("""COMPUTED_VALUE"""),"")</f>
        <v/>
      </c>
      <c r="C4408" s="17" t="str">
        <f>IFERROR(__xludf.DUMMYFUNCTION("""COMPUTED_VALUE"""),"")</f>
        <v/>
      </c>
      <c r="D4408" s="17" t="str">
        <f>IFERROR(__xludf.DUMMYFUNCTION("""COMPUTED_VALUE"""),"")</f>
        <v/>
      </c>
      <c r="E4408" s="17" t="str">
        <f>IFERROR(__xludf.DUMMYFUNCTION("""COMPUTED_VALUE"""),"")</f>
        <v/>
      </c>
      <c r="F4408" s="17" t="str">
        <f>IFERROR(__xludf.DUMMYFUNCTION("""COMPUTED_VALUE"""),"")</f>
        <v/>
      </c>
      <c r="G4408" s="17" t="str">
        <f>IFERROR(__xludf.DUMMYFUNCTION("""COMPUTED_VALUE"""),"")</f>
        <v/>
      </c>
      <c r="H4408" s="17" t="str">
        <f>IFERROR(__xludf.DUMMYFUNCTION("""COMPUTED_VALUE"""),"")</f>
        <v/>
      </c>
      <c r="I4408" s="17" t="str">
        <f>IFERROR(__xludf.DUMMYFUNCTION("""COMPUTED_VALUE"""),"")</f>
        <v/>
      </c>
      <c r="J4408" s="17" t="str">
        <f>IFERROR(__xludf.DUMMYFUNCTION("""COMPUTED_VALUE"""),"")</f>
        <v/>
      </c>
      <c r="K4408" s="17" t="str">
        <f>IFERROR(__xludf.DUMMYFUNCTION("""COMPUTED_VALUE"""),"")</f>
        <v/>
      </c>
      <c r="L4408" s="17" t="str">
        <f>IFERROR(__xludf.DUMMYFUNCTION("""COMPUTED_VALUE"""),"")</f>
        <v/>
      </c>
      <c r="M4408" s="17" t="str">
        <f>IFERROR(__xludf.DUMMYFUNCTION("""COMPUTED_VALUE"""),"")</f>
        <v/>
      </c>
      <c r="N4408" s="17" t="str">
        <f>IFERROR(__xludf.DUMMYFUNCTION("""COMPUTED_VALUE"""),"")</f>
        <v/>
      </c>
      <c r="O4408" s="17" t="str">
        <f>IFERROR(__xludf.DUMMYFUNCTION("""COMPUTED_VALUE"""),"")</f>
        <v/>
      </c>
      <c r="P4408" s="17" t="str">
        <f>IFERROR(__xludf.DUMMYFUNCTION("""COMPUTED_VALUE"""),"")</f>
        <v/>
      </c>
      <c r="Q4408" s="17" t="str">
        <f>IFERROR(__xludf.DUMMYFUNCTION("""COMPUTED_VALUE"""),"")</f>
        <v/>
      </c>
      <c r="R4408" s="17" t="str">
        <f>IFERROR(__xludf.DUMMYFUNCTION("""COMPUTED_VALUE"""),"")</f>
        <v/>
      </c>
    </row>
    <row r="4409">
      <c r="A4409" s="15">
        <f>IFERROR(__xludf.DUMMYFUNCTION("""COMPUTED_VALUE"""),45128.0)</f>
        <v>45128</v>
      </c>
      <c r="B4409" s="16" t="str">
        <f>IFERROR(__xludf.DUMMYFUNCTION("""COMPUTED_VALUE"""),"Jhon Anderson Ceballos Hernandez")</f>
        <v>Jhon Anderson Ceballos Hernandez</v>
      </c>
      <c r="C4409" s="15" t="str">
        <f>IFERROR(__xludf.DUMMYFUNCTION("""COMPUTED_VALUE"""),"BARRANQUILLA")</f>
        <v>BARRANQUILLA</v>
      </c>
      <c r="D4409" s="15" t="str">
        <f>IFERROR(__xludf.DUMMYFUNCTION("""COMPUTED_VALUE"""),"BUCARAMANGA")</f>
        <v>BUCARAMANGA</v>
      </c>
      <c r="E4409" s="15" t="str">
        <f>IFERROR(__xludf.DUMMYFUNCTION("""COMPUTED_VALUE"""),"Yo Como Solito")</f>
        <v>Yo Como Solito</v>
      </c>
      <c r="F4409" s="17" t="str">
        <f>IFERROR(__xludf.DUMMYFUNCTION("""COMPUTED_VALUE"""),"carrera 37 no. 43-24 Barrio la arboleda soledad atlantico  / Barrio la arboleda soledad atlantico  /  soledad atlantico")</f>
        <v>carrera 37 no. 43-24 Barrio la arboleda soledad atlantico  / Barrio la arboleda soledad atlantico  /  soledad atlantico</v>
      </c>
      <c r="G4409" s="15" t="str">
        <f>IFERROR(__xludf.DUMMYFUNCTION("""COMPUTED_VALUE"""),"Leydi Martinez Prada")</f>
        <v>Leydi Martinez Prada</v>
      </c>
      <c r="H4409" s="16">
        <f>IFERROR(__xludf.DUMMYFUNCTION("""COMPUTED_VALUE"""),13044.0)</f>
        <v>13044</v>
      </c>
      <c r="I4409" s="18">
        <f>IFERROR(__xludf.DUMMYFUNCTION("""COMPUTED_VALUE"""),1.0)</f>
        <v>1</v>
      </c>
      <c r="J4409" s="18">
        <f>IFERROR(__xludf.DUMMYFUNCTION("""COMPUTED_VALUE"""),1.0)</f>
        <v>1</v>
      </c>
      <c r="K4409" s="18">
        <f>IFERROR(__xludf.DUMMYFUNCTION("""COMPUTED_VALUE"""),1.0)</f>
        <v>1</v>
      </c>
      <c r="L4409" s="17">
        <f>IFERROR(__xludf.DUMMYFUNCTION("""COMPUTED_VALUE"""),3.104398133E9)</f>
        <v>3104398133</v>
      </c>
      <c r="M4409" s="17" t="str">
        <f>IFERROR(__xludf.DUMMYFUNCTION("""COMPUTED_VALUE"""),"#REF!")</f>
        <v>#REF!</v>
      </c>
      <c r="N4409" s="17"/>
      <c r="O4409" s="17"/>
      <c r="P4409" s="17" t="b">
        <f>IFERROR(__xludf.DUMMYFUNCTION("""COMPUTED_VALUE"""),FALSE)</f>
        <v>0</v>
      </c>
      <c r="Q4409" s="20" t="str">
        <f>IFERROR(__xludf.DUMMYFUNCTION("""COMPUTED_VALUE"""),"")</f>
        <v/>
      </c>
      <c r="R4409" s="21" t="str">
        <f>IFERROR(__xludf.DUMMYFUNCTION("""COMPUTED_VALUE"""),"https://drive.google.com/file/d/1yUy5skvYmLzHr6uecjH4FoXBMIa509i-/view?usp=drivesdk")</f>
        <v>https://drive.google.com/file/d/1yUy5skvYmLzHr6uecjH4FoXBMIa509i-/view?usp=drivesdk</v>
      </c>
    </row>
    <row r="4410">
      <c r="A4410" s="15">
        <f>IFERROR(__xludf.DUMMYFUNCTION("""COMPUTED_VALUE"""),45128.0)</f>
        <v>45128</v>
      </c>
      <c r="B4410" s="16" t="str">
        <f>IFERROR(__xludf.DUMMYFUNCTION("""COMPUTED_VALUE"""),"Jhon Anderson Ceballos Hernandez")</f>
        <v>Jhon Anderson Ceballos Hernandez</v>
      </c>
      <c r="C4410" s="15" t="str">
        <f>IFERROR(__xludf.DUMMYFUNCTION("""COMPUTED_VALUE"""),"BARRANQUILLA")</f>
        <v>BARRANQUILLA</v>
      </c>
      <c r="D4410" s="15" t="str">
        <f>IFERROR(__xludf.DUMMYFUNCTION("""COMPUTED_VALUE"""),"MEDELLÍN")</f>
        <v>MEDELLÍN</v>
      </c>
      <c r="E4410" s="15" t="str">
        <f>IFERROR(__xludf.DUMMYFUNCTION("""COMPUTED_VALUE"""),"Helados swip")</f>
        <v>Helados swip</v>
      </c>
      <c r="F4410" s="17" t="str">
        <f>IFERROR(__xludf.DUMMYFUNCTION("""COMPUTED_VALUE"""),"CARRERA 64 B CLALLE 86-18 / WOOLGROVE &amp; NAVARRO / WOOLGROVE &amp; NAVARRO")</f>
        <v>CARRERA 64 B CLALLE 86-18 / WOOLGROVE &amp; NAVARRO / WOOLGROVE &amp; NAVARRO</v>
      </c>
      <c r="G4410" s="15" t="str">
        <f>IFERROR(__xludf.DUMMYFUNCTION("""COMPUTED_VALUE"""),"WOOLGROVE &amp; NAVARRO - CRISTINA NAVARRO")</f>
        <v>WOOLGROVE &amp; NAVARRO - CRISTINA NAVARRO</v>
      </c>
      <c r="H4410" s="16">
        <f>IFERROR(__xludf.DUMMYFUNCTION("""COMPUTED_VALUE"""),13078.0)</f>
        <v>13078</v>
      </c>
      <c r="I4410" s="18">
        <f>IFERROR(__xludf.DUMMYFUNCTION("""COMPUTED_VALUE"""),29.0)</f>
        <v>29</v>
      </c>
      <c r="J4410" s="18">
        <f>IFERROR(__xludf.DUMMYFUNCTION("""COMPUTED_VALUE"""),55.0)</f>
        <v>55</v>
      </c>
      <c r="K4410" s="18">
        <f>IFERROR(__xludf.DUMMYFUNCTION("""COMPUTED_VALUE"""),45.0)</f>
        <v>45</v>
      </c>
      <c r="L4410" s="17">
        <f>IFERROR(__xludf.DUMMYFUNCTION("""COMPUTED_VALUE"""),3.234768218E9)</f>
        <v>3234768218</v>
      </c>
      <c r="M4410" s="17" t="str">
        <f>IFERROR(__xludf.DUMMYFUNCTION("""COMPUTED_VALUE"""),"#REF!")</f>
        <v>#REF!</v>
      </c>
      <c r="N4410" s="17"/>
      <c r="O4410" s="17"/>
      <c r="P4410" s="17" t="b">
        <f>IFERROR(__xludf.DUMMYFUNCTION("""COMPUTED_VALUE"""),FALSE)</f>
        <v>0</v>
      </c>
      <c r="Q4410" s="20" t="str">
        <f>IFERROR(__xludf.DUMMYFUNCTION("""COMPUTED_VALUE"""),"")</f>
        <v/>
      </c>
      <c r="R4410" s="22" t="str">
        <f>IFERROR(__xludf.DUMMYFUNCTION("""COMPUTED_VALUE"""),"")</f>
        <v/>
      </c>
    </row>
    <row r="4411">
      <c r="A4411" s="17" t="str">
        <f>IFERROR(__xludf.DUMMYFUNCTION("""COMPUTED_VALUE"""),"")</f>
        <v/>
      </c>
      <c r="B4411" s="17" t="str">
        <f>IFERROR(__xludf.DUMMYFUNCTION("""COMPUTED_VALUE"""),"")</f>
        <v/>
      </c>
      <c r="C4411" s="17" t="str">
        <f>IFERROR(__xludf.DUMMYFUNCTION("""COMPUTED_VALUE"""),"")</f>
        <v/>
      </c>
      <c r="D4411" s="17" t="str">
        <f>IFERROR(__xludf.DUMMYFUNCTION("""COMPUTED_VALUE"""),"")</f>
        <v/>
      </c>
      <c r="E4411" s="17" t="str">
        <f>IFERROR(__xludf.DUMMYFUNCTION("""COMPUTED_VALUE"""),"")</f>
        <v/>
      </c>
      <c r="F4411" s="17" t="str">
        <f>IFERROR(__xludf.DUMMYFUNCTION("""COMPUTED_VALUE"""),"")</f>
        <v/>
      </c>
      <c r="G4411" s="17" t="str">
        <f>IFERROR(__xludf.DUMMYFUNCTION("""COMPUTED_VALUE"""),"")</f>
        <v/>
      </c>
      <c r="H4411" s="17" t="str">
        <f>IFERROR(__xludf.DUMMYFUNCTION("""COMPUTED_VALUE"""),"")</f>
        <v/>
      </c>
      <c r="I4411" s="17" t="str">
        <f>IFERROR(__xludf.DUMMYFUNCTION("""COMPUTED_VALUE"""),"")</f>
        <v/>
      </c>
      <c r="J4411" s="17" t="str">
        <f>IFERROR(__xludf.DUMMYFUNCTION("""COMPUTED_VALUE"""),"")</f>
        <v/>
      </c>
      <c r="K4411" s="17" t="str">
        <f>IFERROR(__xludf.DUMMYFUNCTION("""COMPUTED_VALUE"""),"")</f>
        <v/>
      </c>
      <c r="L4411" s="17" t="str">
        <f>IFERROR(__xludf.DUMMYFUNCTION("""COMPUTED_VALUE"""),"")</f>
        <v/>
      </c>
      <c r="M4411" s="17" t="str">
        <f>IFERROR(__xludf.DUMMYFUNCTION("""COMPUTED_VALUE"""),"")</f>
        <v/>
      </c>
      <c r="N4411" s="17" t="str">
        <f>IFERROR(__xludf.DUMMYFUNCTION("""COMPUTED_VALUE"""),"")</f>
        <v/>
      </c>
      <c r="O4411" s="17" t="str">
        <f>IFERROR(__xludf.DUMMYFUNCTION("""COMPUTED_VALUE"""),"")</f>
        <v/>
      </c>
      <c r="P4411" s="17" t="str">
        <f>IFERROR(__xludf.DUMMYFUNCTION("""COMPUTED_VALUE"""),"")</f>
        <v/>
      </c>
      <c r="Q4411" s="17" t="str">
        <f>IFERROR(__xludf.DUMMYFUNCTION("""COMPUTED_VALUE"""),"")</f>
        <v/>
      </c>
      <c r="R4411" s="17" t="str">
        <f>IFERROR(__xludf.DUMMYFUNCTION("""COMPUTED_VALUE"""),"")</f>
        <v/>
      </c>
    </row>
    <row r="4412">
      <c r="A4412" s="15">
        <f>IFERROR(__xludf.DUMMYFUNCTION("""COMPUTED_VALUE"""),45128.0)</f>
        <v>45128</v>
      </c>
      <c r="B4412" s="16" t="str">
        <f>IFERROR(__xludf.DUMMYFUNCTION("""COMPUTED_VALUE"""),"Lina Gaona")</f>
        <v>Lina Gaona</v>
      </c>
      <c r="C4412" s="15" t="str">
        <f>IFERROR(__xludf.DUMMYFUNCTION("""COMPUTED_VALUE"""),"CÚCUTA")</f>
        <v>CÚCUTA</v>
      </c>
      <c r="D4412" s="15" t="str">
        <f>IFERROR(__xludf.DUMMYFUNCTION("""COMPUTED_VALUE"""),"BOGOTÁ")</f>
        <v>BOGOTÁ</v>
      </c>
      <c r="E4412" s="15" t="str">
        <f>IFERROR(__xludf.DUMMYFUNCTION("""COMPUTED_VALUE"""),"Asociacion Agropecuaria Juana Maria")</f>
        <v>Asociacion Agropecuaria Juana Maria</v>
      </c>
      <c r="F4412" s="17" t="str">
        <f>IFERROR(__xludf.DUMMYFUNCTION("""COMPUTED_VALUE"""),"AV. 2E # 15 A -17   PISTACHO FIT MARKET BARRIO CAOBOS")</f>
        <v>AV. 2E # 15 A -17   PISTACHO FIT MARKET BARRIO CAOBOS</v>
      </c>
      <c r="G4412" s="15" t="str">
        <f>IFERROR(__xludf.DUMMYFUNCTION("""COMPUTED_VALUE"""),"DACCY KARINA LOPEZ")</f>
        <v>DACCY KARINA LOPEZ</v>
      </c>
      <c r="H4412" s="16">
        <f>IFERROR(__xludf.DUMMYFUNCTION("""COMPUTED_VALUE"""),12928.0)</f>
        <v>12928</v>
      </c>
      <c r="I4412" s="18">
        <f>IFERROR(__xludf.DUMMYFUNCTION("""COMPUTED_VALUE"""),30.0)</f>
        <v>30</v>
      </c>
      <c r="J4412" s="18">
        <f>IFERROR(__xludf.DUMMYFUNCTION("""COMPUTED_VALUE"""),50.0)</f>
        <v>50</v>
      </c>
      <c r="K4412" s="18">
        <f>IFERROR(__xludf.DUMMYFUNCTION("""COMPUTED_VALUE"""),21.0)</f>
        <v>21</v>
      </c>
      <c r="L4412" s="17">
        <f>IFERROR(__xludf.DUMMYFUNCTION("""COMPUTED_VALUE"""),3.208615379E9)</f>
        <v>3208615379</v>
      </c>
      <c r="M4412" s="17" t="str">
        <f>IFERROR(__xludf.DUMMYFUNCTION("""COMPUTED_VALUE"""),"#REF!")</f>
        <v>#REF!</v>
      </c>
      <c r="N4412" s="17"/>
      <c r="O4412" s="17"/>
      <c r="P4412" s="17" t="b">
        <f>IFERROR(__xludf.DUMMYFUNCTION("""COMPUTED_VALUE"""),TRUE)</f>
        <v>1</v>
      </c>
      <c r="Q4412" s="20">
        <f>IFERROR(__xludf.DUMMYFUNCTION("""COMPUTED_VALUE"""),45131.546807164355)</f>
        <v>45131.54681</v>
      </c>
      <c r="R4412" s="22" t="str">
        <f>IFERROR(__xludf.DUMMYFUNCTION("""COMPUTED_VALUE"""),"")</f>
        <v/>
      </c>
    </row>
    <row r="4413">
      <c r="A4413" s="15">
        <f>IFERROR(__xludf.DUMMYFUNCTION("""COMPUTED_VALUE"""),45128.0)</f>
        <v>45128</v>
      </c>
      <c r="B4413" s="16" t="str">
        <f>IFERROR(__xludf.DUMMYFUNCTION("""COMPUTED_VALUE"""),"Lina Gaona")</f>
        <v>Lina Gaona</v>
      </c>
      <c r="C4413" s="15" t="str">
        <f>IFERROR(__xludf.DUMMYFUNCTION("""COMPUTED_VALUE"""),"CÚCUTA")</f>
        <v>CÚCUTA</v>
      </c>
      <c r="D4413" s="15" t="str">
        <f>IFERROR(__xludf.DUMMYFUNCTION("""COMPUTED_VALUE"""),"BOGOTÁ")</f>
        <v>BOGOTÁ</v>
      </c>
      <c r="E4413" s="15" t="str">
        <f>IFERROR(__xludf.DUMMYFUNCTION("""COMPUTED_VALUE"""),"Evamazzita")</f>
        <v>Evamazzita</v>
      </c>
      <c r="F4413" s="17" t="str">
        <f>IFERROR(__xludf.DUMMYFUNCTION("""COMPUTED_VALUE"""),"AV 2 E # 15 A 17 / N/A / CAOBOS")</f>
        <v>AV 2 E # 15 A 17 / N/A / CAOBOS</v>
      </c>
      <c r="G4413" s="15" t="str">
        <f>IFERROR(__xludf.DUMMYFUNCTION("""COMPUTED_VALUE"""),"DACCY KARINA LOPEZ")</f>
        <v>DACCY KARINA LOPEZ</v>
      </c>
      <c r="H4413" s="16">
        <f>IFERROR(__xludf.DUMMYFUNCTION("""COMPUTED_VALUE"""),13067.0)</f>
        <v>13067</v>
      </c>
      <c r="I4413" s="18">
        <f>IFERROR(__xludf.DUMMYFUNCTION("""COMPUTED_VALUE"""),17.0)</f>
        <v>17</v>
      </c>
      <c r="J4413" s="18">
        <f>IFERROR(__xludf.DUMMYFUNCTION("""COMPUTED_VALUE"""),35.0)</f>
        <v>35</v>
      </c>
      <c r="K4413" s="18">
        <f>IFERROR(__xludf.DUMMYFUNCTION("""COMPUTED_VALUE"""),25.0)</f>
        <v>25</v>
      </c>
      <c r="L4413" s="17">
        <f>IFERROR(__xludf.DUMMYFUNCTION("""COMPUTED_VALUE"""),3.208615379E9)</f>
        <v>3208615379</v>
      </c>
      <c r="M4413" s="17" t="str">
        <f>IFERROR(__xludf.DUMMYFUNCTION("""COMPUTED_VALUE"""),"#REF!")</f>
        <v>#REF!</v>
      </c>
      <c r="N4413" s="17"/>
      <c r="O4413" s="17"/>
      <c r="P4413" s="17" t="b">
        <f>IFERROR(__xludf.DUMMYFUNCTION("""COMPUTED_VALUE"""),TRUE)</f>
        <v>1</v>
      </c>
      <c r="Q4413" s="20">
        <f>IFERROR(__xludf.DUMMYFUNCTION("""COMPUTED_VALUE"""),45131.546807164355)</f>
        <v>45131.54681</v>
      </c>
      <c r="R4413" s="22" t="str">
        <f>IFERROR(__xludf.DUMMYFUNCTION("""COMPUTED_VALUE"""),"")</f>
        <v/>
      </c>
    </row>
    <row r="4414">
      <c r="A4414" s="15">
        <f>IFERROR(__xludf.DUMMYFUNCTION("""COMPUTED_VALUE"""),45128.0)</f>
        <v>45128</v>
      </c>
      <c r="B4414" s="16" t="str">
        <f>IFERROR(__xludf.DUMMYFUNCTION("""COMPUTED_VALUE"""),"Lina Gaona")</f>
        <v>Lina Gaona</v>
      </c>
      <c r="C4414" s="15" t="str">
        <f>IFERROR(__xludf.DUMMYFUNCTION("""COMPUTED_VALUE"""),"CÚCUTA")</f>
        <v>CÚCUTA</v>
      </c>
      <c r="D4414" s="15" t="str">
        <f>IFERROR(__xludf.DUMMYFUNCTION("""COMPUTED_VALUE"""),"BOGOTÁ")</f>
        <v>BOGOTÁ</v>
      </c>
      <c r="E4414" s="15" t="str">
        <f>IFERROR(__xludf.DUMMYFUNCTION("""COMPUTED_VALUE"""),"Evamazzita")</f>
        <v>Evamazzita</v>
      </c>
      <c r="F4414" s="17" t="str">
        <f>IFERROR(__xludf.DUMMYFUNCTION("""COMPUTED_VALUE"""),"Calle 21#6-07 / N/A / Barrio once de noviembre / Los Patios")</f>
        <v>Calle 21#6-07 / N/A / Barrio once de noviembre / Los Patios</v>
      </c>
      <c r="G4414" s="15" t="str">
        <f>IFERROR(__xludf.DUMMYFUNCTION("""COMPUTED_VALUE"""),"LAURA TATIANAN CERVELON VILLAMIZAR")</f>
        <v>LAURA TATIANAN CERVELON VILLAMIZAR</v>
      </c>
      <c r="H4414" s="16">
        <f>IFERROR(__xludf.DUMMYFUNCTION("""COMPUTED_VALUE"""),13065.0)</f>
        <v>13065</v>
      </c>
      <c r="I4414" s="18">
        <f>IFERROR(__xludf.DUMMYFUNCTION("""COMPUTED_VALUE"""),4.0)</f>
        <v>4</v>
      </c>
      <c r="J4414" s="18">
        <f>IFERROR(__xludf.DUMMYFUNCTION("""COMPUTED_VALUE"""),17.0)</f>
        <v>17</v>
      </c>
      <c r="K4414" s="18">
        <f>IFERROR(__xludf.DUMMYFUNCTION("""COMPUTED_VALUE"""),10.0)</f>
        <v>10</v>
      </c>
      <c r="L4414" s="17">
        <f>IFERROR(__xludf.DUMMYFUNCTION("""COMPUTED_VALUE"""),3.194980381E9)</f>
        <v>3194980381</v>
      </c>
      <c r="M4414" s="17" t="str">
        <f>IFERROR(__xludf.DUMMYFUNCTION("""COMPUTED_VALUE"""),"#REF!")</f>
        <v>#REF!</v>
      </c>
      <c r="N4414" s="17"/>
      <c r="O4414" s="17"/>
      <c r="P4414" s="17" t="b">
        <f>IFERROR(__xludf.DUMMYFUNCTION("""COMPUTED_VALUE"""),FALSE)</f>
        <v>0</v>
      </c>
      <c r="Q4414" s="20" t="str">
        <f>IFERROR(__xludf.DUMMYFUNCTION("""COMPUTED_VALUE"""),"")</f>
        <v/>
      </c>
      <c r="R4414" s="22" t="str">
        <f>IFERROR(__xludf.DUMMYFUNCTION("""COMPUTED_VALUE"""),"")</f>
        <v/>
      </c>
    </row>
    <row r="4415">
      <c r="A4415" s="15">
        <f>IFERROR(__xludf.DUMMYFUNCTION("""COMPUTED_VALUE"""),45128.0)</f>
        <v>45128</v>
      </c>
      <c r="B4415" s="16" t="str">
        <f>IFERROR(__xludf.DUMMYFUNCTION("""COMPUTED_VALUE"""),"Lina Gaona")</f>
        <v>Lina Gaona</v>
      </c>
      <c r="C4415" s="15" t="str">
        <f>IFERROR(__xludf.DUMMYFUNCTION("""COMPUTED_VALUE"""),"CÚCUTA")</f>
        <v>CÚCUTA</v>
      </c>
      <c r="D4415" s="15" t="str">
        <f>IFERROR(__xludf.DUMMYFUNCTION("""COMPUTED_VALUE"""),"BOGOTÁ")</f>
        <v>BOGOTÁ</v>
      </c>
      <c r="E4415" s="15" t="str">
        <f>IFERROR(__xludf.DUMMYFUNCTION("""COMPUTED_VALUE"""),"Lunchy Kids")</f>
        <v>Lunchy Kids</v>
      </c>
      <c r="F4415" s="17" t="str">
        <f>IFERROR(__xludf.DUMMYFUNCTION("""COMPUTED_VALUE"""),"Prados Club - avenida libertadores / Prados Club - Interior 1 Casa 1-39  / Cúcuta")</f>
        <v>Prados Club - avenida libertadores / Prados Club - Interior 1 Casa 1-39  / Cúcuta</v>
      </c>
      <c r="G4415" s="15" t="str">
        <f>IFERROR(__xludf.DUMMYFUNCTION("""COMPUTED_VALUE"""),"Jennifer García Carrascal")</f>
        <v>Jennifer García Carrascal</v>
      </c>
      <c r="H4415" s="16">
        <f>IFERROR(__xludf.DUMMYFUNCTION("""COMPUTED_VALUE"""),12941.0)</f>
        <v>12941</v>
      </c>
      <c r="I4415" s="18">
        <f>IFERROR(__xludf.DUMMYFUNCTION("""COMPUTED_VALUE"""),10.0)</f>
        <v>10</v>
      </c>
      <c r="J4415" s="18">
        <f>IFERROR(__xludf.DUMMYFUNCTION("""COMPUTED_VALUE"""),15.0)</f>
        <v>15</v>
      </c>
      <c r="K4415" s="18">
        <f>IFERROR(__xludf.DUMMYFUNCTION("""COMPUTED_VALUE"""),5.0)</f>
        <v>5</v>
      </c>
      <c r="L4415" s="17">
        <f>IFERROR(__xludf.DUMMYFUNCTION("""COMPUTED_VALUE"""),3.164782851E9)</f>
        <v>3164782851</v>
      </c>
      <c r="M4415" s="17" t="str">
        <f>IFERROR(__xludf.DUMMYFUNCTION("""COMPUTED_VALUE"""),"#REF!")</f>
        <v>#REF!</v>
      </c>
      <c r="N4415" s="17"/>
      <c r="O4415" s="17"/>
      <c r="P4415" s="17" t="b">
        <f>IFERROR(__xludf.DUMMYFUNCTION("""COMPUTED_VALUE"""),FALSE)</f>
        <v>0</v>
      </c>
      <c r="Q4415" s="20" t="str">
        <f>IFERROR(__xludf.DUMMYFUNCTION("""COMPUTED_VALUE"""),"")</f>
        <v/>
      </c>
      <c r="R4415" s="21" t="str">
        <f>IFERROR(__xludf.DUMMYFUNCTION("""COMPUTED_VALUE"""),"https://drive.google.com/file/d/1bbp-v1y5Q6BXcIdNigpS86GzqJrDQyJv/view?usp=drivesdk")</f>
        <v>https://drive.google.com/file/d/1bbp-v1y5Q6BXcIdNigpS86GzqJrDQyJv/view?usp=drivesdk</v>
      </c>
    </row>
    <row r="4416">
      <c r="A4416" s="15">
        <f>IFERROR(__xludf.DUMMYFUNCTION("""COMPUTED_VALUE"""),45128.0)</f>
        <v>45128</v>
      </c>
      <c r="B4416" s="16" t="str">
        <f>IFERROR(__xludf.DUMMYFUNCTION("""COMPUTED_VALUE"""),"Lina Gaona")</f>
        <v>Lina Gaona</v>
      </c>
      <c r="C4416" s="15" t="str">
        <f>IFERROR(__xludf.DUMMYFUNCTION("""COMPUTED_VALUE"""),"CÚCUTA")</f>
        <v>CÚCUTA</v>
      </c>
      <c r="D4416" s="15" t="str">
        <f>IFERROR(__xludf.DUMMYFUNCTION("""COMPUTED_VALUE"""),"BOGOTÁ")</f>
        <v>BOGOTÁ</v>
      </c>
      <c r="E4416" s="15" t="str">
        <f>IFERROR(__xludf.DUMMYFUNCTION("""COMPUTED_VALUE"""),"Spirulina Fresca")</f>
        <v>Spirulina Fresca</v>
      </c>
      <c r="F4416" s="17" t="str">
        <f>IFERROR(__xludf.DUMMYFUNCTION("""COMPUTED_VALUE"""),"Calle 30 # 1-40     Plenitud A apto.305 / Plenitud apto 305 / Plenitud")</f>
        <v>Calle 30 # 1-40     Plenitud A apto.305 / Plenitud apto 305 / Plenitud</v>
      </c>
      <c r="G4416" s="15" t="str">
        <f>IFERROR(__xludf.DUMMYFUNCTION("""COMPUTED_VALUE"""),"Juliana Gaitan")</f>
        <v>Juliana Gaitan</v>
      </c>
      <c r="H4416" s="16">
        <f>IFERROR(__xludf.DUMMYFUNCTION("""COMPUTED_VALUE"""),13098.0)</f>
        <v>13098</v>
      </c>
      <c r="I4416" s="18">
        <f>IFERROR(__xludf.DUMMYFUNCTION("""COMPUTED_VALUE"""),12.0)</f>
        <v>12</v>
      </c>
      <c r="J4416" s="18">
        <f>IFERROR(__xludf.DUMMYFUNCTION("""COMPUTED_VALUE"""),12.0)</f>
        <v>12</v>
      </c>
      <c r="K4416" s="18">
        <f>IFERROR(__xludf.DUMMYFUNCTION("""COMPUTED_VALUE"""),22.0)</f>
        <v>22</v>
      </c>
      <c r="L4416" s="17">
        <f>IFERROR(__xludf.DUMMYFUNCTION("""COMPUTED_VALUE"""),5.73203159228E11)</f>
        <v>573203159228</v>
      </c>
      <c r="M4416" s="17" t="str">
        <f>IFERROR(__xludf.DUMMYFUNCTION("""COMPUTED_VALUE"""),"#REF!")</f>
        <v>#REF!</v>
      </c>
      <c r="N4416" s="17"/>
      <c r="O4416" s="17"/>
      <c r="P4416" s="17" t="b">
        <f>IFERROR(__xludf.DUMMYFUNCTION("""COMPUTED_VALUE"""),FALSE)</f>
        <v>0</v>
      </c>
      <c r="Q4416" s="20" t="str">
        <f>IFERROR(__xludf.DUMMYFUNCTION("""COMPUTED_VALUE"""),"")</f>
        <v/>
      </c>
      <c r="R4416" s="21" t="str">
        <f>IFERROR(__xludf.DUMMYFUNCTION("""COMPUTED_VALUE"""),"https://drive.google.com/file/d/1w8tmC_vJiKp8HC5inzTLWTL4cH9EkqyU/view?usp=drivesdk")</f>
        <v>https://drive.google.com/file/d/1w8tmC_vJiKp8HC5inzTLWTL4cH9EkqyU/view?usp=drivesdk</v>
      </c>
    </row>
    <row r="4417">
      <c r="A4417" s="15">
        <f>IFERROR(__xludf.DUMMYFUNCTION("""COMPUTED_VALUE"""),45128.0)</f>
        <v>45128</v>
      </c>
      <c r="B4417" s="16" t="str">
        <f>IFERROR(__xludf.DUMMYFUNCTION("""COMPUTED_VALUE"""),"Lina Gaona")</f>
        <v>Lina Gaona</v>
      </c>
      <c r="C4417" s="15" t="str">
        <f>IFERROR(__xludf.DUMMYFUNCTION("""COMPUTED_VALUE"""),"CÚCUTA")</f>
        <v>CÚCUTA</v>
      </c>
      <c r="D4417" s="15" t="str">
        <f>IFERROR(__xludf.DUMMYFUNCTION("""COMPUTED_VALUE"""),"MEDELLÍN")</f>
        <v>MEDELLÍN</v>
      </c>
      <c r="E4417" s="15" t="str">
        <f>IFERROR(__xludf.DUMMYFUNCTION("""COMPUTED_VALUE"""),"La Bodeguita")</f>
        <v>La Bodeguita</v>
      </c>
      <c r="F4417" s="17" t="str">
        <f>IFERROR(__xludf.DUMMYFUNCTION("""COMPUTED_VALUE"""),"Av 3e No 6cn-12 ceiba dos  / Local comercial / Ceiba dos")</f>
        <v>Av 3e No 6cn-12 ceiba dos  / Local comercial / Ceiba dos</v>
      </c>
      <c r="G4417" s="15" t="str">
        <f>IFERROR(__xludf.DUMMYFUNCTION("""COMPUTED_VALUE"""),"La bodeguita market fit")</f>
        <v>La bodeguita market fit</v>
      </c>
      <c r="H4417" s="16">
        <f>IFERROR(__xludf.DUMMYFUNCTION("""COMPUTED_VALUE"""),13096.0)</f>
        <v>13096</v>
      </c>
      <c r="I4417" s="18">
        <f>IFERROR(__xludf.DUMMYFUNCTION("""COMPUTED_VALUE"""),18.0)</f>
        <v>18</v>
      </c>
      <c r="J4417" s="18">
        <f>IFERROR(__xludf.DUMMYFUNCTION("""COMPUTED_VALUE"""),37.0)</f>
        <v>37</v>
      </c>
      <c r="K4417" s="18">
        <f>IFERROR(__xludf.DUMMYFUNCTION("""COMPUTED_VALUE"""),50.0)</f>
        <v>50</v>
      </c>
      <c r="L4417" s="17">
        <f>IFERROR(__xludf.DUMMYFUNCTION("""COMPUTED_VALUE"""),3.00384312E9)</f>
        <v>3003843120</v>
      </c>
      <c r="M4417" s="17" t="str">
        <f>IFERROR(__xludf.DUMMYFUNCTION("""COMPUTED_VALUE"""),"#REF!")</f>
        <v>#REF!</v>
      </c>
      <c r="N4417" s="17"/>
      <c r="O4417" s="17"/>
      <c r="P4417" s="17" t="b">
        <f>IFERROR(__xludf.DUMMYFUNCTION("""COMPUTED_VALUE"""),FALSE)</f>
        <v>0</v>
      </c>
      <c r="Q4417" s="20" t="str">
        <f>IFERROR(__xludf.DUMMYFUNCTION("""COMPUTED_VALUE"""),"")</f>
        <v/>
      </c>
      <c r="R4417" s="21" t="str">
        <f>IFERROR(__xludf.DUMMYFUNCTION("""COMPUTED_VALUE"""),"https://drive.google.com/file/d/1I7ftVsq5E5l51aAW794E1mCJdafy5_rH/view?usp=drivesdk")</f>
        <v>https://drive.google.com/file/d/1I7ftVsq5E5l51aAW794E1mCJdafy5_rH/view?usp=drivesdk</v>
      </c>
    </row>
    <row r="4418">
      <c r="A4418" s="15">
        <f>IFERROR(__xludf.DUMMYFUNCTION("""COMPUTED_VALUE"""),45128.0)</f>
        <v>45128</v>
      </c>
      <c r="B4418" s="16" t="str">
        <f>IFERROR(__xludf.DUMMYFUNCTION("""COMPUTED_VALUE"""),"Lina Gaona")</f>
        <v>Lina Gaona</v>
      </c>
      <c r="C4418" s="15" t="str">
        <f>IFERROR(__xludf.DUMMYFUNCTION("""COMPUTED_VALUE"""),"CÚCUTA")</f>
        <v>CÚCUTA</v>
      </c>
      <c r="D4418" s="15" t="str">
        <f>IFERROR(__xludf.DUMMYFUNCTION("""COMPUTED_VALUE"""),"MEDELLÍN")</f>
        <v>MEDELLÍN</v>
      </c>
      <c r="E4418" s="15" t="str">
        <f>IFERROR(__xludf.DUMMYFUNCTION("""COMPUTED_VALUE"""),"Moloso S.A.S")</f>
        <v>Moloso S.A.S</v>
      </c>
      <c r="F4418" s="17" t="str">
        <f>IFERROR(__xludf.DUMMYFUNCTION("""COMPUTED_VALUE"""),"CL 7 18 09 / ASTURIAS TORRES AP 402 TORRE A")</f>
        <v>CL 7 18 09 / ASTURIAS TORRES AP 402 TORRE A</v>
      </c>
      <c r="G4418" s="15" t="str">
        <f>IFERROR(__xludf.DUMMYFUNCTION("""COMPUTED_VALUE"""),"GENESIS VICTORIA MELENDEZ")</f>
        <v>GENESIS VICTORIA MELENDEZ</v>
      </c>
      <c r="H4418" s="16">
        <f>IFERROR(__xludf.DUMMYFUNCTION("""COMPUTED_VALUE"""),13082.0)</f>
        <v>13082</v>
      </c>
      <c r="I4418" s="18">
        <f>IFERROR(__xludf.DUMMYFUNCTION("""COMPUTED_VALUE"""),17.0)</f>
        <v>17</v>
      </c>
      <c r="J4418" s="18">
        <f>IFERROR(__xludf.DUMMYFUNCTION("""COMPUTED_VALUE"""),15.0)</f>
        <v>15</v>
      </c>
      <c r="K4418" s="18">
        <f>IFERROR(__xludf.DUMMYFUNCTION("""COMPUTED_VALUE"""),28.0)</f>
        <v>28</v>
      </c>
      <c r="L4418" s="17" t="str">
        <f>IFERROR(__xludf.DUMMYFUNCTION("""COMPUTED_VALUE"""),"317 3835451")</f>
        <v>317 3835451</v>
      </c>
      <c r="M4418" s="17" t="str">
        <f>IFERROR(__xludf.DUMMYFUNCTION("""COMPUTED_VALUE"""),"#REF!")</f>
        <v>#REF!</v>
      </c>
      <c r="N4418" s="17"/>
      <c r="O4418" s="17"/>
      <c r="P4418" s="17" t="b">
        <f>IFERROR(__xludf.DUMMYFUNCTION("""COMPUTED_VALUE"""),FALSE)</f>
        <v>0</v>
      </c>
      <c r="Q4418" s="20" t="str">
        <f>IFERROR(__xludf.DUMMYFUNCTION("""COMPUTED_VALUE"""),"")</f>
        <v/>
      </c>
      <c r="R4418" s="21" t="str">
        <f>IFERROR(__xludf.DUMMYFUNCTION("""COMPUTED_VALUE"""),"https://drive.google.com/file/d/1nb10bhYBypzXcK8mZ-emNhx9XCuj-VZ4/view?usp=drivesdk")</f>
        <v>https://drive.google.com/file/d/1nb10bhYBypzXcK8mZ-emNhx9XCuj-VZ4/view?usp=drivesdk</v>
      </c>
    </row>
    <row r="4419">
      <c r="A4419" s="15">
        <f>IFERROR(__xludf.DUMMYFUNCTION("""COMPUTED_VALUE"""),45128.0)</f>
        <v>45128</v>
      </c>
      <c r="B4419" s="16" t="str">
        <f>IFERROR(__xludf.DUMMYFUNCTION("""COMPUTED_VALUE"""),"Lina Gaona")</f>
        <v>Lina Gaona</v>
      </c>
      <c r="C4419" s="15" t="str">
        <f>IFERROR(__xludf.DUMMYFUNCTION("""COMPUTED_VALUE"""),"SANTA MARTA")</f>
        <v>SANTA MARTA</v>
      </c>
      <c r="D4419" s="15" t="str">
        <f>IFERROR(__xludf.DUMMYFUNCTION("""COMPUTED_VALUE"""),"MEDELLÍN")</f>
        <v>MEDELLÍN</v>
      </c>
      <c r="E4419" s="15" t="str">
        <f>IFERROR(__xludf.DUMMYFUNCTION("""COMPUTED_VALUE"""),"Rambla")</f>
        <v>Rambla</v>
      </c>
      <c r="F4419" s="17" t="str">
        <f>IFERROR(__xludf.DUMMYFUNCTION("""COMPUTED_VALUE"""),"calle 24a n 2 39 / bellavista edificio san marino / local 1")</f>
        <v>calle 24a n 2 39 / bellavista edificio san marino / local 1</v>
      </c>
      <c r="G4419" s="15" t="str">
        <f>IFERROR(__xludf.DUMMYFUNCTION("""COMPUTED_VALUE"""),"corozo")</f>
        <v>corozo</v>
      </c>
      <c r="H4419" s="16">
        <f>IFERROR(__xludf.DUMMYFUNCTION("""COMPUTED_VALUE"""),13093.0)</f>
        <v>13093</v>
      </c>
      <c r="I4419" s="18">
        <f>IFERROR(__xludf.DUMMYFUNCTION("""COMPUTED_VALUE"""),24.0)</f>
        <v>24</v>
      </c>
      <c r="J4419" s="18">
        <f>IFERROR(__xludf.DUMMYFUNCTION("""COMPUTED_VALUE"""),23.0)</f>
        <v>23</v>
      </c>
      <c r="K4419" s="18">
        <f>IFERROR(__xludf.DUMMYFUNCTION("""COMPUTED_VALUE"""),32.0)</f>
        <v>32</v>
      </c>
      <c r="L4419" s="17">
        <f>IFERROR(__xludf.DUMMYFUNCTION("""COMPUTED_VALUE"""),3.206763524E9)</f>
        <v>3206763524</v>
      </c>
      <c r="M4419" s="17" t="str">
        <f>IFERROR(__xludf.DUMMYFUNCTION("""COMPUTED_VALUE"""),"#REF!")</f>
        <v>#REF!</v>
      </c>
      <c r="N4419" s="17"/>
      <c r="O4419" s="17"/>
      <c r="P4419" s="17" t="b">
        <f>IFERROR(__xludf.DUMMYFUNCTION("""COMPUTED_VALUE"""),FALSE)</f>
        <v>0</v>
      </c>
      <c r="Q4419" s="20" t="str">
        <f>IFERROR(__xludf.DUMMYFUNCTION("""COMPUTED_VALUE"""),"")</f>
        <v/>
      </c>
      <c r="R4419" s="21" t="str">
        <f>IFERROR(__xludf.DUMMYFUNCTION("""COMPUTED_VALUE"""),"https://drive.google.com/file/d/1mnVxGxCIHsdnnl66s8gBpTxQrgRG9QBd/view?usp=drivesdk")</f>
        <v>https://drive.google.com/file/d/1mnVxGxCIHsdnnl66s8gBpTxQrgRG9QBd/view?usp=drivesdk</v>
      </c>
    </row>
    <row r="4420">
      <c r="A4420" s="15">
        <f>IFERROR(__xludf.DUMMYFUNCTION("""COMPUTED_VALUE"""),45128.0)</f>
        <v>45128</v>
      </c>
      <c r="B4420" s="16" t="str">
        <f>IFERROR(__xludf.DUMMYFUNCTION("""COMPUTED_VALUE"""),"Lina Gaona")</f>
        <v>Lina Gaona</v>
      </c>
      <c r="C4420" s="15" t="str">
        <f>IFERROR(__xludf.DUMMYFUNCTION("""COMPUTED_VALUE"""),"SANTA MARTA")</f>
        <v>SANTA MARTA</v>
      </c>
      <c r="D4420" s="15" t="str">
        <f>IFERROR(__xludf.DUMMYFUNCTION("""COMPUTED_VALUE"""),"MEDELLÍN")</f>
        <v>MEDELLÍN</v>
      </c>
      <c r="E4420" s="15" t="str">
        <f>IFERROR(__xludf.DUMMYFUNCTION("""COMPUTED_VALUE"""),"Terravocado")</f>
        <v>Terravocado</v>
      </c>
      <c r="F4420" s="17" t="str">
        <f>IFERROR(__xludf.DUMMYFUNCTION("""COMPUTED_VALUE"""),"calle 18 #4 - 5 / Barrio centro / centro")</f>
        <v>calle 18 #4 - 5 / Barrio centro / centro</v>
      </c>
      <c r="G4420" s="15" t="str">
        <f>IFERROR(__xludf.DUMMYFUNCTION("""COMPUTED_VALUE"""),"Dealer taqueria")</f>
        <v>Dealer taqueria</v>
      </c>
      <c r="H4420" s="16">
        <f>IFERROR(__xludf.DUMMYFUNCTION("""COMPUTED_VALUE"""),13061.0)</f>
        <v>13061</v>
      </c>
      <c r="I4420" s="18">
        <f>IFERROR(__xludf.DUMMYFUNCTION("""COMPUTED_VALUE"""),20.0)</f>
        <v>20</v>
      </c>
      <c r="J4420" s="18">
        <f>IFERROR(__xludf.DUMMYFUNCTION("""COMPUTED_VALUE"""),25.0)</f>
        <v>25</v>
      </c>
      <c r="K4420" s="18">
        <f>IFERROR(__xludf.DUMMYFUNCTION("""COMPUTED_VALUE"""),30.0)</f>
        <v>30</v>
      </c>
      <c r="L4420" s="17">
        <f>IFERROR(__xludf.DUMMYFUNCTION("""COMPUTED_VALUE"""),3.13672152E9)</f>
        <v>3136721520</v>
      </c>
      <c r="M4420" s="17" t="str">
        <f>IFERROR(__xludf.DUMMYFUNCTION("""COMPUTED_VALUE"""),"#REF!")</f>
        <v>#REF!</v>
      </c>
      <c r="N4420" s="17"/>
      <c r="O4420" s="17"/>
      <c r="P4420" s="17" t="b">
        <f>IFERROR(__xludf.DUMMYFUNCTION("""COMPUTED_VALUE"""),FALSE)</f>
        <v>0</v>
      </c>
      <c r="Q4420" s="20" t="str">
        <f>IFERROR(__xludf.DUMMYFUNCTION("""COMPUTED_VALUE"""),"")</f>
        <v/>
      </c>
      <c r="R4420" s="22" t="str">
        <f>IFERROR(__xludf.DUMMYFUNCTION("""COMPUTED_VALUE"""),"")</f>
        <v/>
      </c>
    </row>
    <row r="4421">
      <c r="A4421" s="17" t="str">
        <f>IFERROR(__xludf.DUMMYFUNCTION("""COMPUTED_VALUE"""),"")</f>
        <v/>
      </c>
      <c r="B4421" s="17" t="str">
        <f>IFERROR(__xludf.DUMMYFUNCTION("""COMPUTED_VALUE"""),"")</f>
        <v/>
      </c>
      <c r="C4421" s="17" t="str">
        <f>IFERROR(__xludf.DUMMYFUNCTION("""COMPUTED_VALUE"""),"")</f>
        <v/>
      </c>
      <c r="D4421" s="17" t="str">
        <f>IFERROR(__xludf.DUMMYFUNCTION("""COMPUTED_VALUE"""),"")</f>
        <v/>
      </c>
      <c r="E4421" s="17" t="str">
        <f>IFERROR(__xludf.DUMMYFUNCTION("""COMPUTED_VALUE"""),"")</f>
        <v/>
      </c>
      <c r="F4421" s="17" t="str">
        <f>IFERROR(__xludf.DUMMYFUNCTION("""COMPUTED_VALUE"""),"")</f>
        <v/>
      </c>
      <c r="G4421" s="17" t="str">
        <f>IFERROR(__xludf.DUMMYFUNCTION("""COMPUTED_VALUE"""),"")</f>
        <v/>
      </c>
      <c r="H4421" s="17" t="str">
        <f>IFERROR(__xludf.DUMMYFUNCTION("""COMPUTED_VALUE"""),"")</f>
        <v/>
      </c>
      <c r="I4421" s="17" t="str">
        <f>IFERROR(__xludf.DUMMYFUNCTION("""COMPUTED_VALUE"""),"")</f>
        <v/>
      </c>
      <c r="J4421" s="17" t="str">
        <f>IFERROR(__xludf.DUMMYFUNCTION("""COMPUTED_VALUE"""),"")</f>
        <v/>
      </c>
      <c r="K4421" s="17" t="str">
        <f>IFERROR(__xludf.DUMMYFUNCTION("""COMPUTED_VALUE"""),"")</f>
        <v/>
      </c>
      <c r="L4421" s="17" t="str">
        <f>IFERROR(__xludf.DUMMYFUNCTION("""COMPUTED_VALUE"""),"")</f>
        <v/>
      </c>
      <c r="M4421" s="17" t="str">
        <f>IFERROR(__xludf.DUMMYFUNCTION("""COMPUTED_VALUE"""),"")</f>
        <v/>
      </c>
      <c r="N4421" s="17" t="str">
        <f>IFERROR(__xludf.DUMMYFUNCTION("""COMPUTED_VALUE"""),"")</f>
        <v/>
      </c>
      <c r="O4421" s="17" t="str">
        <f>IFERROR(__xludf.DUMMYFUNCTION("""COMPUTED_VALUE"""),"")</f>
        <v/>
      </c>
      <c r="P4421" s="17" t="str">
        <f>IFERROR(__xludf.DUMMYFUNCTION("""COMPUTED_VALUE"""),"")</f>
        <v/>
      </c>
      <c r="Q4421" s="17" t="str">
        <f>IFERROR(__xludf.DUMMYFUNCTION("""COMPUTED_VALUE"""),"")</f>
        <v/>
      </c>
      <c r="R4421" s="17" t="str">
        <f>IFERROR(__xludf.DUMMYFUNCTION("""COMPUTED_VALUE"""),"")</f>
        <v/>
      </c>
    </row>
    <row r="4422">
      <c r="A4422" s="15">
        <f>IFERROR(__xludf.DUMMYFUNCTION("""COMPUTED_VALUE"""),45128.0)</f>
        <v>45128</v>
      </c>
      <c r="B4422" s="16" t="str">
        <f>IFERROR(__xludf.DUMMYFUNCTION("""COMPUTED_VALUE"""),"Orlando Urdaneta Rincon ")</f>
        <v>Orlando Urdaneta Rincon </v>
      </c>
      <c r="C4422" s="15" t="str">
        <f>IFERROR(__xludf.DUMMYFUNCTION("""COMPUTED_VALUE"""),"NEIVA")</f>
        <v>NEIVA</v>
      </c>
      <c r="D4422" s="15" t="str">
        <f>IFERROR(__xludf.DUMMYFUNCTION("""COMPUTED_VALUE"""),"BUCARAMANGA")</f>
        <v>BUCARAMANGA</v>
      </c>
      <c r="E4422" s="15" t="str">
        <f>IFERROR(__xludf.DUMMYFUNCTION("""COMPUTED_VALUE"""),"Yo Como Solito")</f>
        <v>Yo Como Solito</v>
      </c>
      <c r="F4422" s="17" t="str">
        <f>IFERROR(__xludf.DUMMYFUNCTION("""COMPUTED_VALUE"""),"calle 56 no. 1W-99 TORRE 7 APTO 503 CONJUNTO RESIDENCIAL IPACARI UNO  / calle 56 no. 1W-99 TORRE 7 APTO 503 CONJUNTO RESIDENCIAL IPACARI UNO  / calle 56 no. 1W-99 TORRE 7 APTO 503 CONJUNTO RESIDENCIAL IPACARI UNO")</f>
        <v>calle 56 no. 1W-99 TORRE 7 APTO 503 CONJUNTO RESIDENCIAL IPACARI UNO  / calle 56 no. 1W-99 TORRE 7 APTO 503 CONJUNTO RESIDENCIAL IPACARI UNO  / calle 56 no. 1W-99 TORRE 7 APTO 503 CONJUNTO RESIDENCIAL IPACARI UNO</v>
      </c>
      <c r="G4422" s="15" t="str">
        <f>IFERROR(__xludf.DUMMYFUNCTION("""COMPUTED_VALUE"""),"belisario quiroz olaya")</f>
        <v>belisario quiroz olaya</v>
      </c>
      <c r="H4422" s="16">
        <f>IFERROR(__xludf.DUMMYFUNCTION("""COMPUTED_VALUE"""),13042.0)</f>
        <v>13042</v>
      </c>
      <c r="I4422" s="18">
        <f>IFERROR(__xludf.DUMMYFUNCTION("""COMPUTED_VALUE"""),1.0)</f>
        <v>1</v>
      </c>
      <c r="J4422" s="18">
        <f>IFERROR(__xludf.DUMMYFUNCTION("""COMPUTED_VALUE"""),1.0)</f>
        <v>1</v>
      </c>
      <c r="K4422" s="18">
        <f>IFERROR(__xludf.DUMMYFUNCTION("""COMPUTED_VALUE"""),1.0)</f>
        <v>1</v>
      </c>
      <c r="L4422" s="17">
        <f>IFERROR(__xludf.DUMMYFUNCTION("""COMPUTED_VALUE"""),3.204143077E9)</f>
        <v>3204143077</v>
      </c>
      <c r="M4422" s="17" t="str">
        <f>IFERROR(__xludf.DUMMYFUNCTION("""COMPUTED_VALUE"""),"#REF!")</f>
        <v>#REF!</v>
      </c>
      <c r="N4422" s="17"/>
      <c r="O4422" s="17"/>
      <c r="P4422" s="17" t="b">
        <f>IFERROR(__xludf.DUMMYFUNCTION("""COMPUTED_VALUE"""),TRUE)</f>
        <v>1</v>
      </c>
      <c r="Q4422" s="20">
        <f>IFERROR(__xludf.DUMMYFUNCTION("""COMPUTED_VALUE"""),45132.72218690973)</f>
        <v>45132.72219</v>
      </c>
      <c r="R4422" s="22" t="str">
        <f>IFERROR(__xludf.DUMMYFUNCTION("""COMPUTED_VALUE"""),"")</f>
        <v/>
      </c>
    </row>
    <row r="4423">
      <c r="A4423" s="15">
        <f>IFERROR(__xludf.DUMMYFUNCTION("""COMPUTED_VALUE"""),45128.0)</f>
        <v>45128</v>
      </c>
      <c r="B4423" s="16" t="str">
        <f>IFERROR(__xludf.DUMMYFUNCTION("""COMPUTED_VALUE"""),"Orlando Urdaneta Rincon ")</f>
        <v>Orlando Urdaneta Rincon </v>
      </c>
      <c r="C4423" s="15" t="str">
        <f>IFERROR(__xludf.DUMMYFUNCTION("""COMPUTED_VALUE"""),"SANTA MARTA")</f>
        <v>SANTA MARTA</v>
      </c>
      <c r="D4423" s="15" t="str">
        <f>IFERROR(__xludf.DUMMYFUNCTION("""COMPUTED_VALUE"""),"BOGOTÁ")</f>
        <v>BOGOTÁ</v>
      </c>
      <c r="E4423" s="15" t="str">
        <f>IFERROR(__xludf.DUMMYFUNCTION("""COMPUTED_VALUE"""),"Loomifoods")</f>
        <v>Loomifoods</v>
      </c>
      <c r="F4423" s="17" t="str">
        <f>IFERROR(__xludf.DUMMYFUNCTION("""COMPUTED_VALUE"""),"Irotama Resort Km 14 vía ciénaga  / Edificio irotama XXI  / a nombre de Juan Pablo Laverde")</f>
        <v>Irotama Resort Km 14 vía ciénaga  / Edificio irotama XXI  / a nombre de Juan Pablo Laverde</v>
      </c>
      <c r="G4423" s="15" t="str">
        <f>IFERROR(__xludf.DUMMYFUNCTION("""COMPUTED_VALUE"""),"Juan Pablo Laverde")</f>
        <v>Juan Pablo Laverde</v>
      </c>
      <c r="H4423" s="16">
        <f>IFERROR(__xludf.DUMMYFUNCTION("""COMPUTED_VALUE"""),13071.0)</f>
        <v>13071</v>
      </c>
      <c r="I4423" s="18">
        <f>IFERROR(__xludf.DUMMYFUNCTION("""COMPUTED_VALUE"""),19.0)</f>
        <v>19</v>
      </c>
      <c r="J4423" s="18">
        <f>IFERROR(__xludf.DUMMYFUNCTION("""COMPUTED_VALUE"""),10.0)</f>
        <v>10</v>
      </c>
      <c r="K4423" s="18">
        <f>IFERROR(__xludf.DUMMYFUNCTION("""COMPUTED_VALUE"""),16.0)</f>
        <v>16</v>
      </c>
      <c r="L4423" s="17">
        <f>IFERROR(__xludf.DUMMYFUNCTION("""COMPUTED_VALUE"""),3.105617662E9)</f>
        <v>3105617662</v>
      </c>
      <c r="M4423" s="17" t="str">
        <f>IFERROR(__xludf.DUMMYFUNCTION("""COMPUTED_VALUE"""),"#REF!")</f>
        <v>#REF!</v>
      </c>
      <c r="N4423" s="17"/>
      <c r="O4423" s="17"/>
      <c r="P4423" s="17" t="b">
        <f>IFERROR(__xludf.DUMMYFUNCTION("""COMPUTED_VALUE"""),TRUE)</f>
        <v>1</v>
      </c>
      <c r="Q4423" s="20">
        <f>IFERROR(__xludf.DUMMYFUNCTION("""COMPUTED_VALUE"""),45132.72218690973)</f>
        <v>45132.72219</v>
      </c>
      <c r="R4423" s="21" t="str">
        <f>IFERROR(__xludf.DUMMYFUNCTION("""COMPUTED_VALUE"""),"https://drive.google.com/file/d/1L2YxHfTTt4cQF6iyyevsZTAUEExndFU8/view?usp=drivesdk")</f>
        <v>https://drive.google.com/file/d/1L2YxHfTTt4cQF6iyyevsZTAUEExndFU8/view?usp=drivesdk</v>
      </c>
    </row>
    <row r="4424">
      <c r="A4424" s="15">
        <f>IFERROR(__xludf.DUMMYFUNCTION("""COMPUTED_VALUE"""),45128.0)</f>
        <v>45128</v>
      </c>
      <c r="B4424" s="16" t="str">
        <f>IFERROR(__xludf.DUMMYFUNCTION("""COMPUTED_VALUE"""),"Orlando Urdaneta Rincon ")</f>
        <v>Orlando Urdaneta Rincon </v>
      </c>
      <c r="C4424" s="15" t="str">
        <f>IFERROR(__xludf.DUMMYFUNCTION("""COMPUTED_VALUE"""),"SANTA MARTA")</f>
        <v>SANTA MARTA</v>
      </c>
      <c r="D4424" s="15" t="str">
        <f>IFERROR(__xludf.DUMMYFUNCTION("""COMPUTED_VALUE"""),"BOGOTÁ")</f>
        <v>BOGOTÁ</v>
      </c>
      <c r="E4424" s="15" t="str">
        <f>IFERROR(__xludf.DUMMYFUNCTION("""COMPUTED_VALUE"""),"Magda")</f>
        <v>Magda</v>
      </c>
      <c r="F4424" s="17" t="str">
        <f>IFERROR(__xludf.DUMMYFUNCTION("""COMPUTED_VALUE"""),"Calle 22 # 6 - 82 / Local 27 Centro Comercial La 22 / centro")</f>
        <v>Calle 22 # 6 - 82 / Local 27 Centro Comercial La 22 / centro</v>
      </c>
      <c r="G4424" s="15" t="str">
        <f>IFERROR(__xludf.DUMMYFUNCTION("""COMPUTED_VALUE"""),"Shirley Manjarres")</f>
        <v>Shirley Manjarres</v>
      </c>
      <c r="H4424" s="16">
        <f>IFERROR(__xludf.DUMMYFUNCTION("""COMPUTED_VALUE"""),13100.0)</f>
        <v>13100</v>
      </c>
      <c r="I4424" s="18">
        <f>IFERROR(__xludf.DUMMYFUNCTION("""COMPUTED_VALUE"""),5.0)</f>
        <v>5</v>
      </c>
      <c r="J4424" s="18">
        <f>IFERROR(__xludf.DUMMYFUNCTION("""COMPUTED_VALUE"""),5.0)</f>
        <v>5</v>
      </c>
      <c r="K4424" s="18">
        <f>IFERROR(__xludf.DUMMYFUNCTION("""COMPUTED_VALUE"""),5.0)</f>
        <v>5</v>
      </c>
      <c r="L4424" s="17">
        <f>IFERROR(__xludf.DUMMYFUNCTION("""COMPUTED_VALUE"""),3.054269156E9)</f>
        <v>3054269156</v>
      </c>
      <c r="M4424" s="17" t="str">
        <f>IFERROR(__xludf.DUMMYFUNCTION("""COMPUTED_VALUE"""),"#REF!")</f>
        <v>#REF!</v>
      </c>
      <c r="N4424" s="17"/>
      <c r="O4424" s="17"/>
      <c r="P4424" s="17" t="b">
        <f>IFERROR(__xludf.DUMMYFUNCTION("""COMPUTED_VALUE"""),FALSE)</f>
        <v>0</v>
      </c>
      <c r="Q4424" s="20" t="str">
        <f>IFERROR(__xludf.DUMMYFUNCTION("""COMPUTED_VALUE"""),"")</f>
        <v/>
      </c>
      <c r="R4424" s="22" t="str">
        <f>IFERROR(__xludf.DUMMYFUNCTION("""COMPUTED_VALUE"""),"")</f>
        <v/>
      </c>
    </row>
    <row r="4425">
      <c r="A4425" s="15">
        <f>IFERROR(__xludf.DUMMYFUNCTION("""COMPUTED_VALUE"""),45128.0)</f>
        <v>45128</v>
      </c>
      <c r="B4425" s="16" t="str">
        <f>IFERROR(__xludf.DUMMYFUNCTION("""COMPUTED_VALUE"""),"Orlando Urdaneta Rincon ")</f>
        <v>Orlando Urdaneta Rincon </v>
      </c>
      <c r="C4425" s="15" t="str">
        <f>IFERROR(__xludf.DUMMYFUNCTION("""COMPUTED_VALUE"""),"SANTA MARTA")</f>
        <v>SANTA MARTA</v>
      </c>
      <c r="D4425" s="15" t="str">
        <f>IFERROR(__xludf.DUMMYFUNCTION("""COMPUTED_VALUE"""),"BOGOTÁ")</f>
        <v>BOGOTÁ</v>
      </c>
      <c r="E4425" s="15" t="str">
        <f>IFERROR(__xludf.DUMMYFUNCTION("""COMPUTED_VALUE"""),"Spirulina Fresca")</f>
        <v>Spirulina Fresca</v>
      </c>
      <c r="F4425" s="17" t="str">
        <f>IFERROR(__xludf.DUMMYFUNCTION("""COMPUTED_VALUE"""),"Cr 2 # 29-144  / Casa del mar, apto 302 / Playa Salguero")</f>
        <v>Cr 2 # 29-144  / Casa del mar, apto 302 / Playa Salguero</v>
      </c>
      <c r="G4425" s="15" t="str">
        <f>IFERROR(__xludf.DUMMYFUNCTION("""COMPUTED_VALUE"""),"Olga Severino")</f>
        <v>Olga Severino</v>
      </c>
      <c r="H4425" s="16">
        <f>IFERROR(__xludf.DUMMYFUNCTION("""COMPUTED_VALUE"""),13099.0)</f>
        <v>13099</v>
      </c>
      <c r="I4425" s="18">
        <f>IFERROR(__xludf.DUMMYFUNCTION("""COMPUTED_VALUE"""),12.0)</f>
        <v>12</v>
      </c>
      <c r="J4425" s="18">
        <f>IFERROR(__xludf.DUMMYFUNCTION("""COMPUTED_VALUE"""),12.0)</f>
        <v>12</v>
      </c>
      <c r="K4425" s="18">
        <f>IFERROR(__xludf.DUMMYFUNCTION("""COMPUTED_VALUE"""),22.0)</f>
        <v>22</v>
      </c>
      <c r="L4425" s="17">
        <f>IFERROR(__xludf.DUMMYFUNCTION("""COMPUTED_VALUE"""),3.12491148E9)</f>
        <v>3124911480</v>
      </c>
      <c r="M4425" s="17" t="str">
        <f>IFERROR(__xludf.DUMMYFUNCTION("""COMPUTED_VALUE"""),"#REF!")</f>
        <v>#REF!</v>
      </c>
      <c r="N4425" s="17"/>
      <c r="O4425" s="17"/>
      <c r="P4425" s="17" t="b">
        <f>IFERROR(__xludf.DUMMYFUNCTION("""COMPUTED_VALUE"""),FALSE)</f>
        <v>0</v>
      </c>
      <c r="Q4425" s="20" t="str">
        <f>IFERROR(__xludf.DUMMYFUNCTION("""COMPUTED_VALUE"""),"")</f>
        <v/>
      </c>
      <c r="R4425" s="21" t="str">
        <f>IFERROR(__xludf.DUMMYFUNCTION("""COMPUTED_VALUE"""),"https://drive.google.com/file/d/1-7GkdrEGgUmYa1Y9jJ_xy7ilHsywW55Z/view?usp=drivesdk")</f>
        <v>https://drive.google.com/file/d/1-7GkdrEGgUmYa1Y9jJ_xy7ilHsywW55Z/view?usp=drivesdk</v>
      </c>
    </row>
    <row r="4426">
      <c r="A4426" s="17" t="str">
        <f>IFERROR(__xludf.DUMMYFUNCTION("""COMPUTED_VALUE"""),"")</f>
        <v/>
      </c>
      <c r="B4426" s="17" t="str">
        <f>IFERROR(__xludf.DUMMYFUNCTION("""COMPUTED_VALUE"""),"")</f>
        <v/>
      </c>
      <c r="C4426" s="17" t="str">
        <f>IFERROR(__xludf.DUMMYFUNCTION("""COMPUTED_VALUE"""),"")</f>
        <v/>
      </c>
      <c r="D4426" s="17" t="str">
        <f>IFERROR(__xludf.DUMMYFUNCTION("""COMPUTED_VALUE"""),"")</f>
        <v/>
      </c>
      <c r="E4426" s="17" t="str">
        <f>IFERROR(__xludf.DUMMYFUNCTION("""COMPUTED_VALUE"""),"")</f>
        <v/>
      </c>
      <c r="F4426" s="17" t="str">
        <f>IFERROR(__xludf.DUMMYFUNCTION("""COMPUTED_VALUE"""),"")</f>
        <v/>
      </c>
      <c r="G4426" s="17" t="str">
        <f>IFERROR(__xludf.DUMMYFUNCTION("""COMPUTED_VALUE"""),"")</f>
        <v/>
      </c>
      <c r="H4426" s="17" t="str">
        <f>IFERROR(__xludf.DUMMYFUNCTION("""COMPUTED_VALUE"""),"")</f>
        <v/>
      </c>
      <c r="I4426" s="17" t="str">
        <f>IFERROR(__xludf.DUMMYFUNCTION("""COMPUTED_VALUE"""),"")</f>
        <v/>
      </c>
      <c r="J4426" s="17" t="str">
        <f>IFERROR(__xludf.DUMMYFUNCTION("""COMPUTED_VALUE"""),"")</f>
        <v/>
      </c>
      <c r="K4426" s="17" t="str">
        <f>IFERROR(__xludf.DUMMYFUNCTION("""COMPUTED_VALUE"""),"")</f>
        <v/>
      </c>
      <c r="L4426" s="17" t="str">
        <f>IFERROR(__xludf.DUMMYFUNCTION("""COMPUTED_VALUE"""),"")</f>
        <v/>
      </c>
      <c r="M4426" s="17" t="str">
        <f>IFERROR(__xludf.DUMMYFUNCTION("""COMPUTED_VALUE"""),"")</f>
        <v/>
      </c>
      <c r="N4426" s="17" t="str">
        <f>IFERROR(__xludf.DUMMYFUNCTION("""COMPUTED_VALUE"""),"")</f>
        <v/>
      </c>
      <c r="O4426" s="17" t="str">
        <f>IFERROR(__xludf.DUMMYFUNCTION("""COMPUTED_VALUE"""),"")</f>
        <v/>
      </c>
      <c r="P4426" s="17" t="str">
        <f>IFERROR(__xludf.DUMMYFUNCTION("""COMPUTED_VALUE"""),"")</f>
        <v/>
      </c>
      <c r="Q4426" s="17" t="str">
        <f>IFERROR(__xludf.DUMMYFUNCTION("""COMPUTED_VALUE"""),"")</f>
        <v/>
      </c>
      <c r="R4426" s="17" t="str">
        <f>IFERROR(__xludf.DUMMYFUNCTION("""COMPUTED_VALUE"""),"")</f>
        <v/>
      </c>
    </row>
    <row r="4427">
      <c r="A4427" s="15">
        <f>IFERROR(__xludf.DUMMYFUNCTION("""COMPUTED_VALUE"""),45129.0)</f>
        <v>45129</v>
      </c>
      <c r="B4427" s="17"/>
      <c r="C4427" s="15" t="str">
        <f>IFERROR(__xludf.DUMMYFUNCTION("""COMPUTED_VALUE"""),"MEDELLÍN")</f>
        <v>MEDELLÍN</v>
      </c>
      <c r="D4427" s="15" t="str">
        <f>IFERROR(__xludf.DUMMYFUNCTION("""COMPUTED_VALUE"""),"BOGOTÁ")</f>
        <v>BOGOTÁ</v>
      </c>
      <c r="E4427" s="15" t="str">
        <f>IFERROR(__xludf.DUMMYFUNCTION("""COMPUTED_VALUE"""),"Mochi")</f>
        <v>Mochi</v>
      </c>
      <c r="F4427" s="17" t="str">
        <f>IFERROR(__xludf.DUMMYFUNCTION("""COMPUTED_VALUE"""),"Cra. 48 #32B Sur-139, Zona 1, Envigado, Antioquia / viva envigado / viva envigado")</f>
        <v>Cra. 48 #32B Sur-139, Zona 1, Envigado, Antioquia / viva envigado / viva envigado</v>
      </c>
      <c r="G4427" s="15" t="str">
        <f>IFERROR(__xludf.DUMMYFUNCTION("""COMPUTED_VALUE"""),"Tania")</f>
        <v>Tania</v>
      </c>
      <c r="H4427" s="16">
        <f>IFERROR(__xludf.DUMMYFUNCTION("""COMPUTED_VALUE"""),13146.0)</f>
        <v>13146</v>
      </c>
      <c r="I4427" s="18">
        <f>IFERROR(__xludf.DUMMYFUNCTION("""COMPUTED_VALUE"""),100.0)</f>
        <v>100</v>
      </c>
      <c r="J4427" s="18">
        <f>IFERROR(__xludf.DUMMYFUNCTION("""COMPUTED_VALUE"""),100.0)</f>
        <v>100</v>
      </c>
      <c r="K4427" s="18">
        <f>IFERROR(__xludf.DUMMYFUNCTION("""COMPUTED_VALUE"""),300.0)</f>
        <v>300</v>
      </c>
      <c r="L4427" s="17">
        <f>IFERROR(__xludf.DUMMYFUNCTION("""COMPUTED_VALUE"""),3.142587995E9)</f>
        <v>3142587995</v>
      </c>
      <c r="M4427" s="17" t="str">
        <f>IFERROR(__xludf.DUMMYFUNCTION("""COMPUTED_VALUE"""),"#REF!")</f>
        <v>#REF!</v>
      </c>
      <c r="N4427" s="17"/>
      <c r="O4427" s="17"/>
      <c r="P4427" s="17" t="b">
        <f>IFERROR(__xludf.DUMMYFUNCTION("""COMPUTED_VALUE"""),FALSE)</f>
        <v>0</v>
      </c>
      <c r="Q4427" s="20" t="str">
        <f>IFERROR(__xludf.DUMMYFUNCTION("""COMPUTED_VALUE"""),"")</f>
        <v/>
      </c>
      <c r="R4427" s="22" t="str">
        <f>IFERROR(__xludf.DUMMYFUNCTION("""COMPUTED_VALUE"""),"")</f>
        <v/>
      </c>
    </row>
    <row r="4428">
      <c r="A4428" s="17" t="str">
        <f>IFERROR(__xludf.DUMMYFUNCTION("""COMPUTED_VALUE"""),"")</f>
        <v/>
      </c>
      <c r="B4428" s="17" t="str">
        <f>IFERROR(__xludf.DUMMYFUNCTION("""COMPUTED_VALUE"""),"")</f>
        <v/>
      </c>
      <c r="C4428" s="17" t="str">
        <f>IFERROR(__xludf.DUMMYFUNCTION("""COMPUTED_VALUE"""),"")</f>
        <v/>
      </c>
      <c r="D4428" s="17" t="str">
        <f>IFERROR(__xludf.DUMMYFUNCTION("""COMPUTED_VALUE"""),"")</f>
        <v/>
      </c>
      <c r="E4428" s="17" t="str">
        <f>IFERROR(__xludf.DUMMYFUNCTION("""COMPUTED_VALUE"""),"")</f>
        <v/>
      </c>
      <c r="F4428" s="17" t="str">
        <f>IFERROR(__xludf.DUMMYFUNCTION("""COMPUTED_VALUE"""),"")</f>
        <v/>
      </c>
      <c r="G4428" s="17" t="str">
        <f>IFERROR(__xludf.DUMMYFUNCTION("""COMPUTED_VALUE"""),"")</f>
        <v/>
      </c>
      <c r="H4428" s="17" t="str">
        <f>IFERROR(__xludf.DUMMYFUNCTION("""COMPUTED_VALUE"""),"")</f>
        <v/>
      </c>
      <c r="I4428" s="17" t="str">
        <f>IFERROR(__xludf.DUMMYFUNCTION("""COMPUTED_VALUE"""),"")</f>
        <v/>
      </c>
      <c r="J4428" s="17" t="str">
        <f>IFERROR(__xludf.DUMMYFUNCTION("""COMPUTED_VALUE"""),"")</f>
        <v/>
      </c>
      <c r="K4428" s="17" t="str">
        <f>IFERROR(__xludf.DUMMYFUNCTION("""COMPUTED_VALUE"""),"")</f>
        <v/>
      </c>
      <c r="L4428" s="17" t="str">
        <f>IFERROR(__xludf.DUMMYFUNCTION("""COMPUTED_VALUE"""),"")</f>
        <v/>
      </c>
      <c r="M4428" s="17" t="str">
        <f>IFERROR(__xludf.DUMMYFUNCTION("""COMPUTED_VALUE"""),"")</f>
        <v/>
      </c>
      <c r="N4428" s="17" t="str">
        <f>IFERROR(__xludf.DUMMYFUNCTION("""COMPUTED_VALUE"""),"")</f>
        <v/>
      </c>
      <c r="O4428" s="17" t="str">
        <f>IFERROR(__xludf.DUMMYFUNCTION("""COMPUTED_VALUE"""),"")</f>
        <v/>
      </c>
      <c r="P4428" s="17" t="str">
        <f>IFERROR(__xludf.DUMMYFUNCTION("""COMPUTED_VALUE"""),"")</f>
        <v/>
      </c>
      <c r="Q4428" s="17" t="str">
        <f>IFERROR(__xludf.DUMMYFUNCTION("""COMPUTED_VALUE"""),"")</f>
        <v/>
      </c>
      <c r="R4428" s="17" t="str">
        <f>IFERROR(__xludf.DUMMYFUNCTION("""COMPUTED_VALUE"""),"")</f>
        <v/>
      </c>
    </row>
    <row r="4429">
      <c r="A4429" s="15">
        <f>IFERROR(__xludf.DUMMYFUNCTION("""COMPUTED_VALUE"""),45131.0)</f>
        <v>45131</v>
      </c>
      <c r="B4429" s="16" t="str">
        <f>IFERROR(__xludf.DUMMYFUNCTION("""COMPUTED_VALUE"""),"Envia")</f>
        <v>Envia</v>
      </c>
      <c r="C4429" s="15" t="str">
        <f>IFERROR(__xludf.DUMMYFUNCTION("""COMPUTED_VALUE"""),"BOGOTÁ")</f>
        <v>BOGOTÁ</v>
      </c>
      <c r="D4429" s="15" t="str">
        <f>IFERROR(__xludf.DUMMYFUNCTION("""COMPUTED_VALUE"""),"BUCARAMANGA")</f>
        <v>BUCARAMANGA</v>
      </c>
      <c r="E4429" s="15" t="str">
        <f>IFERROR(__xludf.DUMMYFUNCTION("""COMPUTED_VALUE"""),"Yo Como Solito")</f>
        <v>Yo Como Solito</v>
      </c>
      <c r="F4429" s="17" t="str">
        <f>IFERROR(__xludf.DUMMYFUNCTION("""COMPUTED_VALUE"""),"Calle 145 # 57-36 Int 12 apto 102 Conjunto Alameda de Santa Clara 3 (porteria sur) Colina Campestre  / Calle 145 # 57-36 Int 12 apto 102 Conjunto Alameda de Santa Clara 3 (porteria sur) Colina Campestre  / Calle 145 # 57-36 Int 12 apto 102 Conjunto Alamed"&amp;"a de Santa Clara 3 (porteria sur) Colina Campestre")</f>
        <v>Calle 145 # 57-36 Int 12 apto 102 Conjunto Alameda de Santa Clara 3 (porteria sur) Colina Campestre  / Calle 145 # 57-36 Int 12 apto 102 Conjunto Alameda de Santa Clara 3 (porteria sur) Colina Campestre  / Calle 145 # 57-36 Int 12 apto 102 Conjunto Alameda de Santa Clara 3 (porteria sur) Colina Campestre</v>
      </c>
      <c r="G4429" s="15" t="str">
        <f>IFERROR(__xludf.DUMMYFUNCTION("""COMPUTED_VALUE"""),"LINA PAOLA RAMIREZ")</f>
        <v>LINA PAOLA RAMIREZ</v>
      </c>
      <c r="H4429" s="16">
        <f>IFERROR(__xludf.DUMMYFUNCTION("""COMPUTED_VALUE"""),13149.0)</f>
        <v>13149</v>
      </c>
      <c r="I4429" s="18">
        <f>IFERROR(__xludf.DUMMYFUNCTION("""COMPUTED_VALUE"""),20.0)</f>
        <v>20</v>
      </c>
      <c r="J4429" s="18">
        <f>IFERROR(__xludf.DUMMYFUNCTION("""COMPUTED_VALUE"""),32.0)</f>
        <v>32</v>
      </c>
      <c r="K4429" s="18">
        <f>IFERROR(__xludf.DUMMYFUNCTION("""COMPUTED_VALUE"""),62.0)</f>
        <v>62</v>
      </c>
      <c r="L4429" s="17">
        <f>IFERROR(__xludf.DUMMYFUNCTION("""COMPUTED_VALUE"""),3.12327346E9)</f>
        <v>3123273460</v>
      </c>
      <c r="M4429" s="17" t="str">
        <f>IFERROR(__xludf.DUMMYFUNCTION("""COMPUTED_VALUE"""),"#REF!")</f>
        <v>#REF!</v>
      </c>
      <c r="N4429" s="17"/>
      <c r="O4429" s="17"/>
      <c r="P4429" s="17" t="b">
        <f>IFERROR(__xludf.DUMMYFUNCTION("""COMPUTED_VALUE"""),FALSE)</f>
        <v>0</v>
      </c>
      <c r="Q4429" s="20" t="str">
        <f>IFERROR(__xludf.DUMMYFUNCTION("""COMPUTED_VALUE"""),"")</f>
        <v/>
      </c>
      <c r="R4429" s="22" t="str">
        <f>IFERROR(__xludf.DUMMYFUNCTION("""COMPUTED_VALUE"""),"")</f>
        <v/>
      </c>
    </row>
    <row r="4430">
      <c r="A4430" s="15">
        <f>IFERROR(__xludf.DUMMYFUNCTION("""COMPUTED_VALUE"""),45131.0)</f>
        <v>45131</v>
      </c>
      <c r="B4430" s="16" t="str">
        <f>IFERROR(__xludf.DUMMYFUNCTION("""COMPUTED_VALUE"""),"Envia")</f>
        <v>Envia</v>
      </c>
      <c r="C4430" s="15" t="str">
        <f>IFERROR(__xludf.DUMMYFUNCTION("""COMPUTED_VALUE"""),"BOGOTÁ")</f>
        <v>BOGOTÁ</v>
      </c>
      <c r="D4430" s="15" t="str">
        <f>IFERROR(__xludf.DUMMYFUNCTION("""COMPUTED_VALUE"""),"BUCARAMANGA")</f>
        <v>BUCARAMANGA</v>
      </c>
      <c r="E4430" s="15" t="str">
        <f>IFERROR(__xludf.DUMMYFUNCTION("""COMPUTED_VALUE"""),"Yo Como Solito")</f>
        <v>Yo Como Solito</v>
      </c>
      <c r="F4430" s="17" t="str">
        <f>IFERROR(__xludf.DUMMYFUNCTION("""COMPUTED_VALUE"""),"Calle 146#12A-20 apto 903 Edificio Almería ll,  barrio cedritos / Calle 146#12A-20 apto 903 Edificio Almería ll,  barrio cedritos / Calle 146#12A-20 apto 903 Edificio Almería ll,  barrio cedritos")</f>
        <v>Calle 146#12A-20 apto 903 Edificio Almería ll,  barrio cedritos / Calle 146#12A-20 apto 903 Edificio Almería ll,  barrio cedritos / Calle 146#12A-20 apto 903 Edificio Almería ll,  barrio cedritos</v>
      </c>
      <c r="G4430" s="15" t="str">
        <f>IFERROR(__xludf.DUMMYFUNCTION("""COMPUTED_VALUE"""),"ADRIANA GARCIA")</f>
        <v>ADRIANA GARCIA</v>
      </c>
      <c r="H4430" s="16">
        <f>IFERROR(__xludf.DUMMYFUNCTION("""COMPUTED_VALUE"""),13152.0)</f>
        <v>13152</v>
      </c>
      <c r="I4430" s="18">
        <f>IFERROR(__xludf.DUMMYFUNCTION("""COMPUTED_VALUE"""),17.0)</f>
        <v>17</v>
      </c>
      <c r="J4430" s="18">
        <f>IFERROR(__xludf.DUMMYFUNCTION("""COMPUTED_VALUE"""),22.0)</f>
        <v>22</v>
      </c>
      <c r="K4430" s="18">
        <f>IFERROR(__xludf.DUMMYFUNCTION("""COMPUTED_VALUE"""),26.0)</f>
        <v>26</v>
      </c>
      <c r="L4430" s="17">
        <f>IFERROR(__xludf.DUMMYFUNCTION("""COMPUTED_VALUE"""),3.125952101E9)</f>
        <v>3125952101</v>
      </c>
      <c r="M4430" s="17" t="str">
        <f>IFERROR(__xludf.DUMMYFUNCTION("""COMPUTED_VALUE"""),"#REF!")</f>
        <v>#REF!</v>
      </c>
      <c r="N4430" s="17"/>
      <c r="O4430" s="17"/>
      <c r="P4430" s="17" t="b">
        <f>IFERROR(__xludf.DUMMYFUNCTION("""COMPUTED_VALUE"""),FALSE)</f>
        <v>0</v>
      </c>
      <c r="Q4430" s="20" t="str">
        <f>IFERROR(__xludf.DUMMYFUNCTION("""COMPUTED_VALUE"""),"")</f>
        <v/>
      </c>
      <c r="R4430" s="22" t="str">
        <f>IFERROR(__xludf.DUMMYFUNCTION("""COMPUTED_VALUE"""),"")</f>
        <v/>
      </c>
    </row>
    <row r="4431">
      <c r="A4431" s="17" t="str">
        <f>IFERROR(__xludf.DUMMYFUNCTION("""COMPUTED_VALUE"""),"")</f>
        <v/>
      </c>
      <c r="B4431" s="17" t="str">
        <f>IFERROR(__xludf.DUMMYFUNCTION("""COMPUTED_VALUE"""),"")</f>
        <v/>
      </c>
      <c r="C4431" s="17" t="str">
        <f>IFERROR(__xludf.DUMMYFUNCTION("""COMPUTED_VALUE"""),"")</f>
        <v/>
      </c>
      <c r="D4431" s="17" t="str">
        <f>IFERROR(__xludf.DUMMYFUNCTION("""COMPUTED_VALUE"""),"")</f>
        <v/>
      </c>
      <c r="E4431" s="17" t="str">
        <f>IFERROR(__xludf.DUMMYFUNCTION("""COMPUTED_VALUE"""),"")</f>
        <v/>
      </c>
      <c r="F4431" s="17" t="str">
        <f>IFERROR(__xludf.DUMMYFUNCTION("""COMPUTED_VALUE"""),"")</f>
        <v/>
      </c>
      <c r="G4431" s="17" t="str">
        <f>IFERROR(__xludf.DUMMYFUNCTION("""COMPUTED_VALUE"""),"")</f>
        <v/>
      </c>
      <c r="H4431" s="17" t="str">
        <f>IFERROR(__xludf.DUMMYFUNCTION("""COMPUTED_VALUE"""),"")</f>
        <v/>
      </c>
      <c r="I4431" s="17" t="str">
        <f>IFERROR(__xludf.DUMMYFUNCTION("""COMPUTED_VALUE"""),"")</f>
        <v/>
      </c>
      <c r="J4431" s="17" t="str">
        <f>IFERROR(__xludf.DUMMYFUNCTION("""COMPUTED_VALUE"""),"")</f>
        <v/>
      </c>
      <c r="K4431" s="17" t="str">
        <f>IFERROR(__xludf.DUMMYFUNCTION("""COMPUTED_VALUE"""),"")</f>
        <v/>
      </c>
      <c r="L4431" s="17" t="str">
        <f>IFERROR(__xludf.DUMMYFUNCTION("""COMPUTED_VALUE"""),"")</f>
        <v/>
      </c>
      <c r="M4431" s="17" t="str">
        <f>IFERROR(__xludf.DUMMYFUNCTION("""COMPUTED_VALUE"""),"")</f>
        <v/>
      </c>
      <c r="N4431" s="17" t="str">
        <f>IFERROR(__xludf.DUMMYFUNCTION("""COMPUTED_VALUE"""),"")</f>
        <v/>
      </c>
      <c r="O4431" s="17" t="str">
        <f>IFERROR(__xludf.DUMMYFUNCTION("""COMPUTED_VALUE"""),"")</f>
        <v/>
      </c>
      <c r="P4431" s="17" t="str">
        <f>IFERROR(__xludf.DUMMYFUNCTION("""COMPUTED_VALUE"""),"")</f>
        <v/>
      </c>
      <c r="Q4431" s="17" t="str">
        <f>IFERROR(__xludf.DUMMYFUNCTION("""COMPUTED_VALUE"""),"")</f>
        <v/>
      </c>
      <c r="R4431" s="17" t="str">
        <f>IFERROR(__xludf.DUMMYFUNCTION("""COMPUTED_VALUE"""),"")</f>
        <v/>
      </c>
    </row>
    <row r="4432">
      <c r="A4432" s="15">
        <f>IFERROR(__xludf.DUMMYFUNCTION("""COMPUTED_VALUE"""),45132.0)</f>
        <v>45132</v>
      </c>
      <c r="B4432" s="16" t="str">
        <f>IFERROR(__xludf.DUMMYFUNCTION("""COMPUTED_VALUE"""),"Carlos Andres Pirachican Numpaque (Mayerli)")</f>
        <v>Carlos Andres Pirachican Numpaque (Mayerli)</v>
      </c>
      <c r="C4432" s="15" t="str">
        <f>IFERROR(__xludf.DUMMYFUNCTION("""COMPUTED_VALUE"""),"BARRANQUILLA")</f>
        <v>BARRANQUILLA</v>
      </c>
      <c r="D4432" s="15" t="str">
        <f>IFERROR(__xludf.DUMMYFUNCTION("""COMPUTED_VALUE"""),"BOGOTÁ")</f>
        <v>BOGOTÁ</v>
      </c>
      <c r="E4432" s="15" t="str">
        <f>IFERROR(__xludf.DUMMYFUNCTION("""COMPUTED_VALUE"""),"Mochi")</f>
        <v>Mochi</v>
      </c>
      <c r="F4432" s="17" t="str">
        <f>IFERROR(__xludf.DUMMYFUNCTION("""COMPUTED_VALUE"""),"Cra. 51B #87-50, Riomar, Barranquilla, Atlántico / VIVA BARRANQUILLA / VIVA BARRANQUILLA")</f>
        <v>Cra. 51B #87-50, Riomar, Barranquilla, Atlántico / VIVA BARRANQUILLA / VIVA BARRANQUILLA</v>
      </c>
      <c r="G4432" s="15" t="str">
        <f>IFERROR(__xludf.DUMMYFUNCTION("""COMPUTED_VALUE"""),"YINA")</f>
        <v>YINA</v>
      </c>
      <c r="H4432" s="16">
        <f>IFERROR(__xludf.DUMMYFUNCTION("""COMPUTED_VALUE"""),13218.0)</f>
        <v>13218</v>
      </c>
      <c r="I4432" s="18">
        <f>IFERROR(__xludf.DUMMYFUNCTION("""COMPUTED_VALUE"""),100.0)</f>
        <v>100</v>
      </c>
      <c r="J4432" s="18">
        <f>IFERROR(__xludf.DUMMYFUNCTION("""COMPUTED_VALUE"""),100.0)</f>
        <v>100</v>
      </c>
      <c r="K4432" s="18">
        <f>IFERROR(__xludf.DUMMYFUNCTION("""COMPUTED_VALUE"""),200.0)</f>
        <v>200</v>
      </c>
      <c r="L4432" s="17">
        <f>IFERROR(__xludf.DUMMYFUNCTION("""COMPUTED_VALUE"""),3.216528485E9)</f>
        <v>3216528485</v>
      </c>
      <c r="M4432" s="17" t="str">
        <f>IFERROR(__xludf.DUMMYFUNCTION("""COMPUTED_VALUE"""),"#REF!")</f>
        <v>#REF!</v>
      </c>
      <c r="N4432" s="17"/>
      <c r="O4432" s="17"/>
      <c r="P4432" s="17" t="b">
        <f>IFERROR(__xludf.DUMMYFUNCTION("""COMPUTED_VALUE"""),FALSE)</f>
        <v>0</v>
      </c>
      <c r="Q4432" s="20" t="str">
        <f>IFERROR(__xludf.DUMMYFUNCTION("""COMPUTED_VALUE"""),"")</f>
        <v/>
      </c>
      <c r="R4432" s="22" t="str">
        <f>IFERROR(__xludf.DUMMYFUNCTION("""COMPUTED_VALUE"""),"")</f>
        <v/>
      </c>
    </row>
    <row r="4433">
      <c r="A4433" s="15">
        <f>IFERROR(__xludf.DUMMYFUNCTION("""COMPUTED_VALUE"""),45132.0)</f>
        <v>45132</v>
      </c>
      <c r="B4433" s="16" t="str">
        <f>IFERROR(__xludf.DUMMYFUNCTION("""COMPUTED_VALUE"""),"Carlos Andres Pirachican Numpaque (Mayerli)")</f>
        <v>Carlos Andres Pirachican Numpaque (Mayerli)</v>
      </c>
      <c r="C4433" s="15" t="str">
        <f>IFERROR(__xludf.DUMMYFUNCTION("""COMPUTED_VALUE"""),"CARTAGENA")</f>
        <v>CARTAGENA</v>
      </c>
      <c r="D4433" s="15" t="str">
        <f>IFERROR(__xludf.DUMMYFUNCTION("""COMPUTED_VALUE"""),"BOGOTÁ")</f>
        <v>BOGOTÁ</v>
      </c>
      <c r="E4433" s="15" t="str">
        <f>IFERROR(__xludf.DUMMYFUNCTION("""COMPUTED_VALUE"""),"Mochi")</f>
        <v>Mochi</v>
      </c>
      <c r="F4433" s="17" t="str">
        <f>IFERROR(__xludf.DUMMYFUNCTION("""COMPUTED_VALUE"""),"Cra. 11 # 39-21, San Diego, Cartagena de Indias, Provincia de Cartagena, Bolívar /  Cra. 11 # 39-21, San Diego, Cartagena de Indias, Provincia de Cartagena, Bolívar /  Cra. 11 # 39-21, San Diego, Cartagena de Indias, Provincia de Cartagena, Bolívar")</f>
        <v>Cra. 11 # 39-21, San Diego, Cartagena de Indias, Provincia de Cartagena, Bolívar /  Cra. 11 # 39-21, San Diego, Cartagena de Indias, Provincia de Cartagena, Bolívar /  Cra. 11 # 39-21, San Diego, Cartagena de Indias, Provincia de Cartagena, Bolívar</v>
      </c>
      <c r="G4433" s="15" t="str">
        <f>IFERROR(__xludf.DUMMYFUNCTION("""COMPUTED_VALUE"""),"MARIA CAMILA")</f>
        <v>MARIA CAMILA</v>
      </c>
      <c r="H4433" s="16">
        <f>IFERROR(__xludf.DUMMYFUNCTION("""COMPUTED_VALUE"""),13217.0)</f>
        <v>13217</v>
      </c>
      <c r="I4433" s="18">
        <f>IFERROR(__xludf.DUMMYFUNCTION("""COMPUTED_VALUE"""),100.0)</f>
        <v>100</v>
      </c>
      <c r="J4433" s="18">
        <f>IFERROR(__xludf.DUMMYFUNCTION("""COMPUTED_VALUE"""),100.0)</f>
        <v>100</v>
      </c>
      <c r="K4433" s="18">
        <f>IFERROR(__xludf.DUMMYFUNCTION("""COMPUTED_VALUE"""),300.0)</f>
        <v>300</v>
      </c>
      <c r="L4433" s="17">
        <f>IFERROR(__xludf.DUMMYFUNCTION("""COMPUTED_VALUE"""),3.116026252E9)</f>
        <v>3116026252</v>
      </c>
      <c r="M4433" s="17" t="str">
        <f>IFERROR(__xludf.DUMMYFUNCTION("""COMPUTED_VALUE"""),"#REF!")</f>
        <v>#REF!</v>
      </c>
      <c r="N4433" s="17"/>
      <c r="O4433" s="17"/>
      <c r="P4433" s="17" t="b">
        <f>IFERROR(__xludf.DUMMYFUNCTION("""COMPUTED_VALUE"""),FALSE)</f>
        <v>0</v>
      </c>
      <c r="Q4433" s="20" t="str">
        <f>IFERROR(__xludf.DUMMYFUNCTION("""COMPUTED_VALUE"""),"")</f>
        <v/>
      </c>
      <c r="R4433" s="22" t="str">
        <f>IFERROR(__xludf.DUMMYFUNCTION("""COMPUTED_VALUE"""),"")</f>
        <v/>
      </c>
    </row>
    <row r="4434">
      <c r="A4434" s="15">
        <f>IFERROR(__xludf.DUMMYFUNCTION("""COMPUTED_VALUE"""),45132.0)</f>
        <v>45132</v>
      </c>
      <c r="B4434" s="16" t="str">
        <f>IFERROR(__xludf.DUMMYFUNCTION("""COMPUTED_VALUE"""),"Carlos Andres Pirachican Numpaque (Mayerli)")</f>
        <v>Carlos Andres Pirachican Numpaque (Mayerli)</v>
      </c>
      <c r="C4434" s="15" t="str">
        <f>IFERROR(__xludf.DUMMYFUNCTION("""COMPUTED_VALUE"""),"TUNJA")</f>
        <v>TUNJA</v>
      </c>
      <c r="D4434" s="15" t="str">
        <f>IFERROR(__xludf.DUMMYFUNCTION("""COMPUTED_VALUE"""),"BOGOTÁ")</f>
        <v>BOGOTÁ</v>
      </c>
      <c r="E4434" s="15" t="str">
        <f>IFERROR(__xludf.DUMMYFUNCTION("""COMPUTED_VALUE"""),"Evamazzita")</f>
        <v>Evamazzita</v>
      </c>
      <c r="F4434" s="17" t="str">
        <f>IFERROR(__xludf.DUMMYFUNCTION("""COMPUTED_VALUE"""),"Carrera 2 #32-49 / Torre 1 /Apto 206/Edificio Quibta Santana  / Barrio mesopotamia")</f>
        <v>Carrera 2 #32-49 / Torre 1 /Apto 206/Edificio Quibta Santana  / Barrio mesopotamia</v>
      </c>
      <c r="G4434" s="15" t="str">
        <f>IFERROR(__xludf.DUMMYFUNCTION("""COMPUTED_VALUE"""),"DIANA KATHERINE FUENTES MONROY")</f>
        <v>DIANA KATHERINE FUENTES MONROY</v>
      </c>
      <c r="H4434" s="16">
        <f>IFERROR(__xludf.DUMMYFUNCTION("""COMPUTED_VALUE"""),13197.0)</f>
        <v>13197</v>
      </c>
      <c r="I4434" s="18">
        <f>IFERROR(__xludf.DUMMYFUNCTION("""COMPUTED_VALUE"""),1.0)</f>
        <v>1</v>
      </c>
      <c r="J4434" s="18">
        <f>IFERROR(__xludf.DUMMYFUNCTION("""COMPUTED_VALUE"""),1.0)</f>
        <v>1</v>
      </c>
      <c r="K4434" s="18">
        <f>IFERROR(__xludf.DUMMYFUNCTION("""COMPUTED_VALUE"""),1.0)</f>
        <v>1</v>
      </c>
      <c r="L4434" s="17">
        <f>IFERROR(__xludf.DUMMYFUNCTION("""COMPUTED_VALUE"""),3.123795329E9)</f>
        <v>3123795329</v>
      </c>
      <c r="M4434" s="17" t="str">
        <f>IFERROR(__xludf.DUMMYFUNCTION("""COMPUTED_VALUE"""),"#REF!")</f>
        <v>#REF!</v>
      </c>
      <c r="N4434" s="17"/>
      <c r="O4434" s="17"/>
      <c r="P4434" s="17" t="b">
        <f>IFERROR(__xludf.DUMMYFUNCTION("""COMPUTED_VALUE"""),FALSE)</f>
        <v>0</v>
      </c>
      <c r="Q4434" s="20" t="str">
        <f>IFERROR(__xludf.DUMMYFUNCTION("""COMPUTED_VALUE"""),"")</f>
        <v/>
      </c>
      <c r="R4434" s="22" t="str">
        <f>IFERROR(__xludf.DUMMYFUNCTION("""COMPUTED_VALUE"""),"")</f>
        <v/>
      </c>
    </row>
    <row r="4435">
      <c r="A4435" s="17" t="str">
        <f>IFERROR(__xludf.DUMMYFUNCTION("""COMPUTED_VALUE"""),"")</f>
        <v/>
      </c>
      <c r="B4435" s="17" t="str">
        <f>IFERROR(__xludf.DUMMYFUNCTION("""COMPUTED_VALUE"""),"")</f>
        <v/>
      </c>
      <c r="C4435" s="17" t="str">
        <f>IFERROR(__xludf.DUMMYFUNCTION("""COMPUTED_VALUE"""),"")</f>
        <v/>
      </c>
      <c r="D4435" s="17" t="str">
        <f>IFERROR(__xludf.DUMMYFUNCTION("""COMPUTED_VALUE"""),"")</f>
        <v/>
      </c>
      <c r="E4435" s="17" t="str">
        <f>IFERROR(__xludf.DUMMYFUNCTION("""COMPUTED_VALUE"""),"")</f>
        <v/>
      </c>
      <c r="F4435" s="17" t="str">
        <f>IFERROR(__xludf.DUMMYFUNCTION("""COMPUTED_VALUE"""),"")</f>
        <v/>
      </c>
      <c r="G4435" s="17" t="str">
        <f>IFERROR(__xludf.DUMMYFUNCTION("""COMPUTED_VALUE"""),"")</f>
        <v/>
      </c>
      <c r="H4435" s="17" t="str">
        <f>IFERROR(__xludf.DUMMYFUNCTION("""COMPUTED_VALUE"""),"")</f>
        <v/>
      </c>
      <c r="I4435" s="17" t="str">
        <f>IFERROR(__xludf.DUMMYFUNCTION("""COMPUTED_VALUE"""),"")</f>
        <v/>
      </c>
      <c r="J4435" s="17" t="str">
        <f>IFERROR(__xludf.DUMMYFUNCTION("""COMPUTED_VALUE"""),"")</f>
        <v/>
      </c>
      <c r="K4435" s="17" t="str">
        <f>IFERROR(__xludf.DUMMYFUNCTION("""COMPUTED_VALUE"""),"")</f>
        <v/>
      </c>
      <c r="L4435" s="17" t="str">
        <f>IFERROR(__xludf.DUMMYFUNCTION("""COMPUTED_VALUE"""),"")</f>
        <v/>
      </c>
      <c r="M4435" s="17" t="str">
        <f>IFERROR(__xludf.DUMMYFUNCTION("""COMPUTED_VALUE"""),"")</f>
        <v/>
      </c>
      <c r="N4435" s="17" t="str">
        <f>IFERROR(__xludf.DUMMYFUNCTION("""COMPUTED_VALUE"""),"")</f>
        <v/>
      </c>
      <c r="O4435" s="17" t="str">
        <f>IFERROR(__xludf.DUMMYFUNCTION("""COMPUTED_VALUE"""),"")</f>
        <v/>
      </c>
      <c r="P4435" s="17" t="str">
        <f>IFERROR(__xludf.DUMMYFUNCTION("""COMPUTED_VALUE"""),"")</f>
        <v/>
      </c>
      <c r="Q4435" s="17" t="str">
        <f>IFERROR(__xludf.DUMMYFUNCTION("""COMPUTED_VALUE"""),"")</f>
        <v/>
      </c>
      <c r="R4435" s="17" t="str">
        <f>IFERROR(__xludf.DUMMYFUNCTION("""COMPUTED_VALUE"""),"")</f>
        <v/>
      </c>
    </row>
    <row r="4436">
      <c r="A4436" s="15">
        <f>IFERROR(__xludf.DUMMYFUNCTION("""COMPUTED_VALUE"""),45132.0)</f>
        <v>45132</v>
      </c>
      <c r="B4436" s="16" t="str">
        <f>IFERROR(__xludf.DUMMYFUNCTION("""COMPUTED_VALUE"""),"Deivi Alejandro Quintero Corrales")</f>
        <v>Deivi Alejandro Quintero Corrales</v>
      </c>
      <c r="C4436" s="15" t="str">
        <f>IFERROR(__xludf.DUMMYFUNCTION("""COMPUTED_VALUE"""),"ARMENIA")</f>
        <v>ARMENIA</v>
      </c>
      <c r="D4436" s="15" t="str">
        <f>IFERROR(__xludf.DUMMYFUNCTION("""COMPUTED_VALUE"""),"MEDELLÍN")</f>
        <v>MEDELLÍN</v>
      </c>
      <c r="E4436" s="15" t="str">
        <f>IFERROR(__xludf.DUMMYFUNCTION("""COMPUTED_VALUE"""),"Todo Bufala")</f>
        <v>Todo Bufala</v>
      </c>
      <c r="F4436" s="17" t="str">
        <f>IFERROR(__xludf.DUMMYFUNCTION("""COMPUTED_VALUE"""),"Cra 19 #32N - 11 / Bosques de Viena 1 casa 50")</f>
        <v>Cra 19 #32N - 11 / Bosques de Viena 1 casa 50</v>
      </c>
      <c r="G4436" s="15" t="str">
        <f>IFERROR(__xludf.DUMMYFUNCTION("""COMPUTED_VALUE"""),"Jaime Andres Yara Chaves")</f>
        <v>Jaime Andres Yara Chaves</v>
      </c>
      <c r="H4436" s="16">
        <f>IFERROR(__xludf.DUMMYFUNCTION("""COMPUTED_VALUE"""),13174.0)</f>
        <v>13174</v>
      </c>
      <c r="I4436" s="18">
        <f>IFERROR(__xludf.DUMMYFUNCTION("""COMPUTED_VALUE"""),10.0)</f>
        <v>10</v>
      </c>
      <c r="J4436" s="18">
        <f>IFERROR(__xludf.DUMMYFUNCTION("""COMPUTED_VALUE"""),15.0)</f>
        <v>15</v>
      </c>
      <c r="K4436" s="18">
        <f>IFERROR(__xludf.DUMMYFUNCTION("""COMPUTED_VALUE"""),20.0)</f>
        <v>20</v>
      </c>
      <c r="L4436" s="17">
        <f>IFERROR(__xludf.DUMMYFUNCTION("""COMPUTED_VALUE"""),3.102807868E9)</f>
        <v>3102807868</v>
      </c>
      <c r="M4436" s="17" t="str">
        <f>IFERROR(__xludf.DUMMYFUNCTION("""COMPUTED_VALUE"""),"#REF!")</f>
        <v>#REF!</v>
      </c>
      <c r="N4436" s="17"/>
      <c r="O4436" s="17"/>
      <c r="P4436" s="17" t="b">
        <f>IFERROR(__xludf.DUMMYFUNCTION("""COMPUTED_VALUE"""),TRUE)</f>
        <v>1</v>
      </c>
      <c r="Q4436" s="20">
        <f>IFERROR(__xludf.DUMMYFUNCTION("""COMPUTED_VALUE"""),45132.72218690973)</f>
        <v>45132.72219</v>
      </c>
      <c r="R4436" s="22" t="str">
        <f>IFERROR(__xludf.DUMMYFUNCTION("""COMPUTED_VALUE"""),"")</f>
        <v/>
      </c>
    </row>
    <row r="4437">
      <c r="A4437" s="15">
        <f>IFERROR(__xludf.DUMMYFUNCTION("""COMPUTED_VALUE"""),45132.0)</f>
        <v>45132</v>
      </c>
      <c r="B4437" s="16" t="str">
        <f>IFERROR(__xludf.DUMMYFUNCTION("""COMPUTED_VALUE"""),"Deivi Alejandro Quintero Corrales")</f>
        <v>Deivi Alejandro Quintero Corrales</v>
      </c>
      <c r="C4437" s="15" t="str">
        <f>IFERROR(__xludf.DUMMYFUNCTION("""COMPUTED_VALUE"""),"PEREIRA")</f>
        <v>PEREIRA</v>
      </c>
      <c r="D4437" s="15" t="str">
        <f>IFERROR(__xludf.DUMMYFUNCTION("""COMPUTED_VALUE"""),"BOGOTÁ")</f>
        <v>BOGOTÁ</v>
      </c>
      <c r="E4437" s="15" t="str">
        <f>IFERROR(__xludf.DUMMYFUNCTION("""COMPUTED_VALUE"""),"Lunchy Kids")</f>
        <v>Lunchy Kids</v>
      </c>
      <c r="F4437" s="17" t="str">
        <f>IFERROR(__xludf.DUMMYFUNCTION("""COMPUTED_VALUE"""),"Manzana L - Casa 27  / Casa 27  / El cardal")</f>
        <v>Manzana L - Casa 27  / Casa 27  / El cardal</v>
      </c>
      <c r="G4437" s="15" t="str">
        <f>IFERROR(__xludf.DUMMYFUNCTION("""COMPUTED_VALUE"""),"Sandra Ariza")</f>
        <v>Sandra Ariza</v>
      </c>
      <c r="H4437" s="16">
        <f>IFERROR(__xludf.DUMMYFUNCTION("""COMPUTED_VALUE"""),13170.0)</f>
        <v>13170</v>
      </c>
      <c r="I4437" s="18">
        <f>IFERROR(__xludf.DUMMYFUNCTION("""COMPUTED_VALUE"""),20.0)</f>
        <v>20</v>
      </c>
      <c r="J4437" s="18">
        <f>IFERROR(__xludf.DUMMYFUNCTION("""COMPUTED_VALUE"""),6.0)</f>
        <v>6</v>
      </c>
      <c r="K4437" s="18">
        <f>IFERROR(__xludf.DUMMYFUNCTION("""COMPUTED_VALUE"""),29.0)</f>
        <v>29</v>
      </c>
      <c r="L4437" s="17">
        <f>IFERROR(__xludf.DUMMYFUNCTION("""COMPUTED_VALUE"""),3.142160047E9)</f>
        <v>3142160047</v>
      </c>
      <c r="M4437" s="17" t="str">
        <f>IFERROR(__xludf.DUMMYFUNCTION("""COMPUTED_VALUE"""),"#REF!")</f>
        <v>#REF!</v>
      </c>
      <c r="N4437" s="17"/>
      <c r="O4437" s="17"/>
      <c r="P4437" s="17" t="b">
        <f>IFERROR(__xludf.DUMMYFUNCTION("""COMPUTED_VALUE"""),FALSE)</f>
        <v>0</v>
      </c>
      <c r="Q4437" s="20" t="str">
        <f>IFERROR(__xludf.DUMMYFUNCTION("""COMPUTED_VALUE"""),"")</f>
        <v/>
      </c>
      <c r="R4437" s="21" t="str">
        <f>IFERROR(__xludf.DUMMYFUNCTION("""COMPUTED_VALUE"""),"https://drive.google.com/file/d/15fb8hYp2wwtTSCPT93xIA5gSpq560rpL/view?usp=drivesdk")</f>
        <v>https://drive.google.com/file/d/15fb8hYp2wwtTSCPT93xIA5gSpq560rpL/view?usp=drivesdk</v>
      </c>
    </row>
    <row r="4438">
      <c r="A4438" s="15">
        <f>IFERROR(__xludf.DUMMYFUNCTION("""COMPUTED_VALUE"""),45132.0)</f>
        <v>45132</v>
      </c>
      <c r="B4438" s="16" t="str">
        <f>IFERROR(__xludf.DUMMYFUNCTION("""COMPUTED_VALUE"""),"Deivi Alejandro Quintero Corrales")</f>
        <v>Deivi Alejandro Quintero Corrales</v>
      </c>
      <c r="C4438" s="15" t="str">
        <f>IFERROR(__xludf.DUMMYFUNCTION("""COMPUTED_VALUE"""),"PEREIRA")</f>
        <v>PEREIRA</v>
      </c>
      <c r="D4438" s="15" t="str">
        <f>IFERROR(__xludf.DUMMYFUNCTION("""COMPUTED_VALUE"""),"BOGOTÁ")</f>
        <v>BOGOTÁ</v>
      </c>
      <c r="E4438" s="15" t="str">
        <f>IFERROR(__xludf.DUMMYFUNCTION("""COMPUTED_VALUE"""),"Pan de Waffle")</f>
        <v>Pan de Waffle</v>
      </c>
      <c r="F4438" s="17" t="str">
        <f>IFERROR(__xludf.DUMMYFUNCTION("""COMPUTED_VALUE"""),"Av. De las Americas Mercasa, zp 17 Bodega 2 - Pereira / Av. De las Americas Mercasa, zp 17 Bodega 2 - Pereira / Av. De las Americas Mercasa, zp 17 Bodega 2 - Pereira")</f>
        <v>Av. De las Americas Mercasa, zp 17 Bodega 2 - Pereira / Av. De las Americas Mercasa, zp 17 Bodega 2 - Pereira / Av. De las Americas Mercasa, zp 17 Bodega 2 - Pereira</v>
      </c>
      <c r="G4438" s="15" t="str">
        <f>IFERROR(__xludf.DUMMYFUNCTION("""COMPUTED_VALUE"""),"EL ORIGEN")</f>
        <v>EL ORIGEN</v>
      </c>
      <c r="H4438" s="16">
        <f>IFERROR(__xludf.DUMMYFUNCTION("""COMPUTED_VALUE"""),13227.0)</f>
        <v>13227</v>
      </c>
      <c r="I4438" s="18">
        <f>IFERROR(__xludf.DUMMYFUNCTION("""COMPUTED_VALUE"""),30.0)</f>
        <v>30</v>
      </c>
      <c r="J4438" s="18">
        <f>IFERROR(__xludf.DUMMYFUNCTION("""COMPUTED_VALUE"""),40.0)</f>
        <v>40</v>
      </c>
      <c r="K4438" s="18">
        <f>IFERROR(__xludf.DUMMYFUNCTION("""COMPUTED_VALUE"""),30.0)</f>
        <v>30</v>
      </c>
      <c r="L4438" s="17">
        <f>IFERROR(__xludf.DUMMYFUNCTION("""COMPUTED_VALUE"""),3.184341572E9)</f>
        <v>3184341572</v>
      </c>
      <c r="M4438" s="17" t="str">
        <f>IFERROR(__xludf.DUMMYFUNCTION("""COMPUTED_VALUE"""),"#REF!")</f>
        <v>#REF!</v>
      </c>
      <c r="N4438" s="17"/>
      <c r="O4438" s="17"/>
      <c r="P4438" s="17" t="b">
        <f>IFERROR(__xludf.DUMMYFUNCTION("""COMPUTED_VALUE"""),FALSE)</f>
        <v>0</v>
      </c>
      <c r="Q4438" s="20" t="str">
        <f>IFERROR(__xludf.DUMMYFUNCTION("""COMPUTED_VALUE"""),"")</f>
        <v/>
      </c>
      <c r="R4438" s="22" t="str">
        <f>IFERROR(__xludf.DUMMYFUNCTION("""COMPUTED_VALUE"""),"")</f>
        <v/>
      </c>
    </row>
    <row r="4439">
      <c r="A4439" s="15">
        <f>IFERROR(__xludf.DUMMYFUNCTION("""COMPUTED_VALUE"""),45132.0)</f>
        <v>45132</v>
      </c>
      <c r="B4439" s="16" t="str">
        <f>IFERROR(__xludf.DUMMYFUNCTION("""COMPUTED_VALUE"""),"Deivi Alejandro Quintero Corrales")</f>
        <v>Deivi Alejandro Quintero Corrales</v>
      </c>
      <c r="C4439" s="15" t="str">
        <f>IFERROR(__xludf.DUMMYFUNCTION("""COMPUTED_VALUE"""),"PEREIRA")</f>
        <v>PEREIRA</v>
      </c>
      <c r="D4439" s="15" t="str">
        <f>IFERROR(__xludf.DUMMYFUNCTION("""COMPUTED_VALUE"""),"MEDELLÍN")</f>
        <v>MEDELLÍN</v>
      </c>
      <c r="E4439" s="15" t="str">
        <f>IFERROR(__xludf.DUMMYFUNCTION("""COMPUTED_VALUE"""),"AREPAS LA MARY")</f>
        <v>AREPAS LA MARY</v>
      </c>
      <c r="F4439" s="17" t="str">
        <f>IFERROR(__xludf.DUMMYFUNCTION("""COMPUTED_VALUE"""),"CALLE 14 # 14-15")</f>
        <v>CALLE 14 # 14-15</v>
      </c>
      <c r="G4439" s="15" t="str">
        <f>IFERROR(__xludf.DUMMYFUNCTION("""COMPUTED_VALUE"""),"MAJANA FIT TIENDA 1")</f>
        <v>MAJANA FIT TIENDA 1</v>
      </c>
      <c r="H4439" s="16">
        <f>IFERROR(__xludf.DUMMYFUNCTION("""COMPUTED_VALUE"""),13185.0)</f>
        <v>13185</v>
      </c>
      <c r="I4439" s="18">
        <f>IFERROR(__xludf.DUMMYFUNCTION("""COMPUTED_VALUE"""),89.0)</f>
        <v>89</v>
      </c>
      <c r="J4439" s="18">
        <f>IFERROR(__xludf.DUMMYFUNCTION("""COMPUTED_VALUE"""),1.0)</f>
        <v>1</v>
      </c>
      <c r="K4439" s="18">
        <f>IFERROR(__xludf.DUMMYFUNCTION("""COMPUTED_VALUE"""),10.0)</f>
        <v>10</v>
      </c>
      <c r="L4439" s="17" t="str">
        <f>IFERROR(__xludf.DUMMYFUNCTION("""COMPUTED_VALUE"""),"311 6123447")</f>
        <v>311 6123447</v>
      </c>
      <c r="M4439" s="17" t="str">
        <f>IFERROR(__xludf.DUMMYFUNCTION("""COMPUTED_VALUE"""),"#REF!")</f>
        <v>#REF!</v>
      </c>
      <c r="N4439" s="17"/>
      <c r="O4439" s="17"/>
      <c r="P4439" s="17" t="b">
        <f>IFERROR(__xludf.DUMMYFUNCTION("""COMPUTED_VALUE"""),FALSE)</f>
        <v>0</v>
      </c>
      <c r="Q4439" s="20" t="str">
        <f>IFERROR(__xludf.DUMMYFUNCTION("""COMPUTED_VALUE"""),"")</f>
        <v/>
      </c>
      <c r="R4439" s="21" t="str">
        <f>IFERROR(__xludf.DUMMYFUNCTION("""COMPUTED_VALUE"""),"https://drive.google.com/file/d/1JIocOMANGKYFWyF-kCE35PV91BBZfF2x/view?usp=drivesdk")</f>
        <v>https://drive.google.com/file/d/1JIocOMANGKYFWyF-kCE35PV91BBZfF2x/view?usp=drivesdk</v>
      </c>
    </row>
    <row r="4440">
      <c r="A4440" s="15">
        <f>IFERROR(__xludf.DUMMYFUNCTION("""COMPUTED_VALUE"""),45132.0)</f>
        <v>45132</v>
      </c>
      <c r="B4440" s="16" t="str">
        <f>IFERROR(__xludf.DUMMYFUNCTION("""COMPUTED_VALUE"""),"Deivi Alejandro Quintero Corrales")</f>
        <v>Deivi Alejandro Quintero Corrales</v>
      </c>
      <c r="C4440" s="15" t="str">
        <f>IFERROR(__xludf.DUMMYFUNCTION("""COMPUTED_VALUE"""),"PEREIRA")</f>
        <v>PEREIRA</v>
      </c>
      <c r="D4440" s="15" t="str">
        <f>IFERROR(__xludf.DUMMYFUNCTION("""COMPUTED_VALUE"""),"MEDELLÍN")</f>
        <v>MEDELLÍN</v>
      </c>
      <c r="E4440" s="15" t="str">
        <f>IFERROR(__xludf.DUMMYFUNCTION("""COMPUTED_VALUE"""),"Goyo Todo por ellos")</f>
        <v>Goyo Todo por ellos</v>
      </c>
      <c r="F4440" s="17" t="str">
        <f>IFERROR(__xludf.DUMMYFUNCTION("""COMPUTED_VALUE"""),"Calle 12 bis #16 18  / Casa Hoja Comunidad Consciente  / Barrio Pinares")</f>
        <v>Calle 12 bis #16 18  / Casa Hoja Comunidad Consciente  / Barrio Pinares</v>
      </c>
      <c r="G4440" s="15" t="str">
        <f>IFERROR(__xludf.DUMMYFUNCTION("""COMPUTED_VALUE"""),"Hector Hernandez")</f>
        <v>Hector Hernandez</v>
      </c>
      <c r="H4440" s="16">
        <f>IFERROR(__xludf.DUMMYFUNCTION("""COMPUTED_VALUE"""),13208.0)</f>
        <v>13208</v>
      </c>
      <c r="I4440" s="18">
        <f>IFERROR(__xludf.DUMMYFUNCTION("""COMPUTED_VALUE"""),20.0)</f>
        <v>20</v>
      </c>
      <c r="J4440" s="18">
        <f>IFERROR(__xludf.DUMMYFUNCTION("""COMPUTED_VALUE"""),36.0)</f>
        <v>36</v>
      </c>
      <c r="K4440" s="18">
        <f>IFERROR(__xludf.DUMMYFUNCTION("""COMPUTED_VALUE"""),30.0)</f>
        <v>30</v>
      </c>
      <c r="L4440" s="17">
        <f>IFERROR(__xludf.DUMMYFUNCTION("""COMPUTED_VALUE"""),3.18591145E9)</f>
        <v>3185911450</v>
      </c>
      <c r="M4440" s="17" t="str">
        <f>IFERROR(__xludf.DUMMYFUNCTION("""COMPUTED_VALUE"""),"#REF!")</f>
        <v>#REF!</v>
      </c>
      <c r="N4440" s="17"/>
      <c r="O4440" s="17"/>
      <c r="P4440" s="17" t="b">
        <f>IFERROR(__xludf.DUMMYFUNCTION("""COMPUTED_VALUE"""),TRUE)</f>
        <v>1</v>
      </c>
      <c r="Q4440" s="20">
        <f>IFERROR(__xludf.DUMMYFUNCTION("""COMPUTED_VALUE"""),45132.72218690973)</f>
        <v>45132.72219</v>
      </c>
      <c r="R4440" s="21" t="str">
        <f>IFERROR(__xludf.DUMMYFUNCTION("""COMPUTED_VALUE"""),"https://drive.google.com/file/d/1hX2pXbIlQhNh94vzNDyZp53eeFAaMPtr/view?usp=drivesdk")</f>
        <v>https://drive.google.com/file/d/1hX2pXbIlQhNh94vzNDyZp53eeFAaMPtr/view?usp=drivesdk</v>
      </c>
    </row>
    <row r="4441">
      <c r="A4441" s="15">
        <f>IFERROR(__xludf.DUMMYFUNCTION("""COMPUTED_VALUE"""),45132.0)</f>
        <v>45132</v>
      </c>
      <c r="B4441" s="16" t="str">
        <f>IFERROR(__xludf.DUMMYFUNCTION("""COMPUTED_VALUE"""),"Deivi Alejandro Quintero Corrales")</f>
        <v>Deivi Alejandro Quintero Corrales</v>
      </c>
      <c r="C4441" s="15" t="str">
        <f>IFERROR(__xludf.DUMMYFUNCTION("""COMPUTED_VALUE"""),"PEREIRA")</f>
        <v>PEREIRA</v>
      </c>
      <c r="D4441" s="15" t="str">
        <f>IFERROR(__xludf.DUMMYFUNCTION("""COMPUTED_VALUE"""),"MEDELLÍN")</f>
        <v>MEDELLÍN</v>
      </c>
      <c r="E4441" s="15" t="str">
        <f>IFERROR(__xludf.DUMMYFUNCTION("""COMPUTED_VALUE"""),"Puro Verde")</f>
        <v>Puro Verde</v>
      </c>
      <c r="F4441" s="17" t="str">
        <f>IFERROR(__xludf.DUMMYFUNCTION("""COMPUTED_VALUE"""),"AV DE LAS AMERICAS # 49-95. / OFICINA DE PROYECCIÓN SOCIAL / UNIVERSIDAD CATOLICA DE PEREIRA.")</f>
        <v>AV DE LAS AMERICAS # 49-95. / OFICINA DE PROYECCIÓN SOCIAL / UNIVERSIDAD CATOLICA DE PEREIRA.</v>
      </c>
      <c r="G4441" s="15" t="str">
        <f>IFERROR(__xludf.DUMMYFUNCTION("""COMPUTED_VALUE"""),"CLAUDIA MERCEDES GIL GONZALEZ")</f>
        <v>CLAUDIA MERCEDES GIL GONZALEZ</v>
      </c>
      <c r="H4441" s="16">
        <f>IFERROR(__xludf.DUMMYFUNCTION("""COMPUTED_VALUE"""),13097.0)</f>
        <v>13097</v>
      </c>
      <c r="I4441" s="18">
        <f>IFERROR(__xludf.DUMMYFUNCTION("""COMPUTED_VALUE"""),45149.0)</f>
        <v>45149</v>
      </c>
      <c r="J4441" s="18">
        <f>IFERROR(__xludf.DUMMYFUNCTION("""COMPUTED_VALUE"""),45185.0)</f>
        <v>45185</v>
      </c>
      <c r="K4441" s="18" t="str">
        <f>IFERROR(__xludf.DUMMYFUNCTION("""COMPUTED_VALUE"""),"44.1")</f>
        <v>44.1</v>
      </c>
      <c r="L4441" s="17">
        <f>IFERROR(__xludf.DUMMYFUNCTION("""COMPUTED_VALUE"""),3.146676419E9)</f>
        <v>3146676419</v>
      </c>
      <c r="M4441" s="17" t="str">
        <f>IFERROR(__xludf.DUMMYFUNCTION("""COMPUTED_VALUE"""),"#REF!")</f>
        <v>#REF!</v>
      </c>
      <c r="N4441" s="17"/>
      <c r="O4441" s="17"/>
      <c r="P4441" s="17" t="b">
        <f>IFERROR(__xludf.DUMMYFUNCTION("""COMPUTED_VALUE"""),TRUE)</f>
        <v>1</v>
      </c>
      <c r="Q4441" s="20">
        <f>IFERROR(__xludf.DUMMYFUNCTION("""COMPUTED_VALUE"""),45132.72218690973)</f>
        <v>45132.72219</v>
      </c>
      <c r="R4441" s="21" t="str">
        <f>IFERROR(__xludf.DUMMYFUNCTION("""COMPUTED_VALUE"""),"https://drive.google.com/file/d/1sl0ap5QrWJNMNg3th7lbERDa4HfjD2Fa/view?usp=drivesdk")</f>
        <v>https://drive.google.com/file/d/1sl0ap5QrWJNMNg3th7lbERDa4HfjD2Fa/view?usp=drivesdk</v>
      </c>
    </row>
    <row r="4442">
      <c r="A4442" s="15">
        <f>IFERROR(__xludf.DUMMYFUNCTION("""COMPUTED_VALUE"""),45132.0)</f>
        <v>45132</v>
      </c>
      <c r="B4442" s="16" t="str">
        <f>IFERROR(__xludf.DUMMYFUNCTION("""COMPUTED_VALUE"""),"Deivi Alejandro Quintero Corrales")</f>
        <v>Deivi Alejandro Quintero Corrales</v>
      </c>
      <c r="C4442" s="15" t="str">
        <f>IFERROR(__xludf.DUMMYFUNCTION("""COMPUTED_VALUE"""),"PEREIRA")</f>
        <v>PEREIRA</v>
      </c>
      <c r="D4442" s="15" t="str">
        <f>IFERROR(__xludf.DUMMYFUNCTION("""COMPUTED_VALUE"""),"MEDELLÍN")</f>
        <v>MEDELLÍN</v>
      </c>
      <c r="E4442" s="15" t="str">
        <f>IFERROR(__xludf.DUMMYFUNCTION("""COMPUTED_VALUE"""),"Rambla")</f>
        <v>Rambla</v>
      </c>
      <c r="F4442" s="17" t="str">
        <f>IFERROR(__xludf.DUMMYFUNCTION("""COMPUTED_VALUE"""),"cra 23  14  148 trilogia apto 1505 / na / na")</f>
        <v>cra 23  14  148 trilogia apto 1505 / na / na</v>
      </c>
      <c r="G4442" s="15" t="str">
        <f>IFERROR(__xludf.DUMMYFUNCTION("""COMPUTED_VALUE"""),"nutrishop")</f>
        <v>nutrishop</v>
      </c>
      <c r="H4442" s="16">
        <f>IFERROR(__xludf.DUMMYFUNCTION("""COMPUTED_VALUE"""),13247.0)</f>
        <v>13247</v>
      </c>
      <c r="I4442" s="18">
        <f>IFERROR(__xludf.DUMMYFUNCTION("""COMPUTED_VALUE"""),29.0)</f>
        <v>29</v>
      </c>
      <c r="J4442" s="18">
        <f>IFERROR(__xludf.DUMMYFUNCTION("""COMPUTED_VALUE"""),23.0)</f>
        <v>23</v>
      </c>
      <c r="K4442" s="18">
        <f>IFERROR(__xludf.DUMMYFUNCTION("""COMPUTED_VALUE"""),23.0)</f>
        <v>23</v>
      </c>
      <c r="L4442" s="17">
        <f>IFERROR(__xludf.DUMMYFUNCTION("""COMPUTED_VALUE"""),3.10379892E9)</f>
        <v>3103798920</v>
      </c>
      <c r="M4442" s="17" t="str">
        <f>IFERROR(__xludf.DUMMYFUNCTION("""COMPUTED_VALUE"""),"#REF!")</f>
        <v>#REF!</v>
      </c>
      <c r="N4442" s="17"/>
      <c r="O4442" s="17"/>
      <c r="P4442" s="17" t="b">
        <f>IFERROR(__xludf.DUMMYFUNCTION("""COMPUTED_VALUE"""),TRUE)</f>
        <v>1</v>
      </c>
      <c r="Q4442" s="20">
        <f>IFERROR(__xludf.DUMMYFUNCTION("""COMPUTED_VALUE"""),45132.72218690973)</f>
        <v>45132.72219</v>
      </c>
      <c r="R4442" s="21" t="str">
        <f>IFERROR(__xludf.DUMMYFUNCTION("""COMPUTED_VALUE"""),"https://drive.google.com/file/d/12Jqa2oHxQ8dFveb8O8J92zzcAgTRvPPX/view?usp=drivesdk")</f>
        <v>https://drive.google.com/file/d/12Jqa2oHxQ8dFveb8O8J92zzcAgTRvPPX/view?usp=drivesdk</v>
      </c>
    </row>
    <row r="4443">
      <c r="A4443" s="15">
        <f>IFERROR(__xludf.DUMMYFUNCTION("""COMPUTED_VALUE"""),45132.0)</f>
        <v>45132</v>
      </c>
      <c r="B4443" s="16" t="str">
        <f>IFERROR(__xludf.DUMMYFUNCTION("""COMPUTED_VALUE"""),"Deivi Alejandro Quintero Corrales")</f>
        <v>Deivi Alejandro Quintero Corrales</v>
      </c>
      <c r="C4443" s="15" t="str">
        <f>IFERROR(__xludf.DUMMYFUNCTION("""COMPUTED_VALUE"""),"PEREIRA")</f>
        <v>PEREIRA</v>
      </c>
      <c r="D4443" s="15" t="str">
        <f>IFERROR(__xludf.DUMMYFUNCTION("""COMPUTED_VALUE"""),"MEDELLÍN")</f>
        <v>MEDELLÍN</v>
      </c>
      <c r="E4443" s="15" t="str">
        <f>IFERROR(__xludf.DUMMYFUNCTION("""COMPUTED_VALUE"""),"Rambla")</f>
        <v>Rambla</v>
      </c>
      <c r="F4443" s="17" t="str">
        <f>IFERROR(__xludf.DUMMYFUNCTION("""COMPUTED_VALUE"""),"unicentro nivel b local b  04  / na / na")</f>
        <v>unicentro nivel b local b  04  / na / na</v>
      </c>
      <c r="G4443" s="15" t="str">
        <f>IFERROR(__xludf.DUMMYFUNCTION("""COMPUTED_VALUE"""),"terrasano")</f>
        <v>terrasano</v>
      </c>
      <c r="H4443" s="16">
        <f>IFERROR(__xludf.DUMMYFUNCTION("""COMPUTED_VALUE"""),13246.0)</f>
        <v>13246</v>
      </c>
      <c r="I4443" s="18">
        <f>IFERROR(__xludf.DUMMYFUNCTION("""COMPUTED_VALUE"""),12.0)</f>
        <v>12</v>
      </c>
      <c r="J4443" s="18">
        <f>IFERROR(__xludf.DUMMYFUNCTION("""COMPUTED_VALUE"""),11.0)</f>
        <v>11</v>
      </c>
      <c r="K4443" s="18">
        <f>IFERROR(__xludf.DUMMYFUNCTION("""COMPUTED_VALUE"""),12.0)</f>
        <v>12</v>
      </c>
      <c r="L4443" s="17">
        <f>IFERROR(__xludf.DUMMYFUNCTION("""COMPUTED_VALUE"""),3.234572533E9)</f>
        <v>3234572533</v>
      </c>
      <c r="M4443" s="17" t="str">
        <f>IFERROR(__xludf.DUMMYFUNCTION("""COMPUTED_VALUE"""),"#REF!")</f>
        <v>#REF!</v>
      </c>
      <c r="N4443" s="17"/>
      <c r="O4443" s="17"/>
      <c r="P4443" s="17" t="b">
        <f>IFERROR(__xludf.DUMMYFUNCTION("""COMPUTED_VALUE"""),TRUE)</f>
        <v>1</v>
      </c>
      <c r="Q4443" s="20">
        <f>IFERROR(__xludf.DUMMYFUNCTION("""COMPUTED_VALUE"""),45132.72218690973)</f>
        <v>45132.72219</v>
      </c>
      <c r="R4443" s="21" t="str">
        <f>IFERROR(__xludf.DUMMYFUNCTION("""COMPUTED_VALUE"""),"https://drive.google.com/file/d/1nyj2zNXelbG4iD9sgPib2tRUiCoqWfm_/view?usp=drivesdk")</f>
        <v>https://drive.google.com/file/d/1nyj2zNXelbG4iD9sgPib2tRUiCoqWfm_/view?usp=drivesdk</v>
      </c>
    </row>
    <row r="4444">
      <c r="A4444" s="17" t="str">
        <f>IFERROR(__xludf.DUMMYFUNCTION("""COMPUTED_VALUE"""),"")</f>
        <v/>
      </c>
      <c r="B4444" s="17" t="str">
        <f>IFERROR(__xludf.DUMMYFUNCTION("""COMPUTED_VALUE"""),"")</f>
        <v/>
      </c>
      <c r="C4444" s="17" t="str">
        <f>IFERROR(__xludf.DUMMYFUNCTION("""COMPUTED_VALUE"""),"")</f>
        <v/>
      </c>
      <c r="D4444" s="17" t="str">
        <f>IFERROR(__xludf.DUMMYFUNCTION("""COMPUTED_VALUE"""),"")</f>
        <v/>
      </c>
      <c r="E4444" s="17" t="str">
        <f>IFERROR(__xludf.DUMMYFUNCTION("""COMPUTED_VALUE"""),"")</f>
        <v/>
      </c>
      <c r="F4444" s="17" t="str">
        <f>IFERROR(__xludf.DUMMYFUNCTION("""COMPUTED_VALUE"""),"")</f>
        <v/>
      </c>
      <c r="G4444" s="17" t="str">
        <f>IFERROR(__xludf.DUMMYFUNCTION("""COMPUTED_VALUE"""),"")</f>
        <v/>
      </c>
      <c r="H4444" s="17" t="str">
        <f>IFERROR(__xludf.DUMMYFUNCTION("""COMPUTED_VALUE"""),"")</f>
        <v/>
      </c>
      <c r="I4444" s="17" t="str">
        <f>IFERROR(__xludf.DUMMYFUNCTION("""COMPUTED_VALUE"""),"")</f>
        <v/>
      </c>
      <c r="J4444" s="17" t="str">
        <f>IFERROR(__xludf.DUMMYFUNCTION("""COMPUTED_VALUE"""),"")</f>
        <v/>
      </c>
      <c r="K4444" s="17" t="str">
        <f>IFERROR(__xludf.DUMMYFUNCTION("""COMPUTED_VALUE"""),"")</f>
        <v/>
      </c>
      <c r="L4444" s="17" t="str">
        <f>IFERROR(__xludf.DUMMYFUNCTION("""COMPUTED_VALUE"""),"")</f>
        <v/>
      </c>
      <c r="M4444" s="17" t="str">
        <f>IFERROR(__xludf.DUMMYFUNCTION("""COMPUTED_VALUE"""),"")</f>
        <v/>
      </c>
      <c r="N4444" s="17" t="str">
        <f>IFERROR(__xludf.DUMMYFUNCTION("""COMPUTED_VALUE"""),"")</f>
        <v/>
      </c>
      <c r="O4444" s="17" t="str">
        <f>IFERROR(__xludf.DUMMYFUNCTION("""COMPUTED_VALUE"""),"")</f>
        <v/>
      </c>
      <c r="P4444" s="17" t="str">
        <f>IFERROR(__xludf.DUMMYFUNCTION("""COMPUTED_VALUE"""),"")</f>
        <v/>
      </c>
      <c r="Q4444" s="17" t="str">
        <f>IFERROR(__xludf.DUMMYFUNCTION("""COMPUTED_VALUE"""),"")</f>
        <v/>
      </c>
      <c r="R4444" s="17" t="str">
        <f>IFERROR(__xludf.DUMMYFUNCTION("""COMPUTED_VALUE"""),"")</f>
        <v/>
      </c>
    </row>
    <row r="4445">
      <c r="A4445" s="15">
        <f>IFERROR(__xludf.DUMMYFUNCTION("""COMPUTED_VALUE"""),45132.0)</f>
        <v>45132</v>
      </c>
      <c r="B4445" s="16" t="str">
        <f>IFERROR(__xludf.DUMMYFUNCTION("""COMPUTED_VALUE"""),"Duvan Gabriel Alvarez Giron")</f>
        <v>Duvan Gabriel Alvarez Giron</v>
      </c>
      <c r="C4445" s="15" t="str">
        <f>IFERROR(__xludf.DUMMYFUNCTION("""COMPUTED_VALUE"""),"FLORIDABLANCA")</f>
        <v>FLORIDABLANCA</v>
      </c>
      <c r="D4445" s="15" t="str">
        <f>IFERROR(__xludf.DUMMYFUNCTION("""COMPUTED_VALUE"""),"BOGOTÁ")</f>
        <v>BOGOTÁ</v>
      </c>
      <c r="E4445" s="15" t="str">
        <f>IFERROR(__xludf.DUMMYFUNCTION("""COMPUTED_VALUE"""),"Asociacion Agropecuaria Juana Maria")</f>
        <v>Asociacion Agropecuaria Juana Maria</v>
      </c>
      <c r="F4445" s="17" t="str">
        <f>IFERROR(__xludf.DUMMYFUNCTION("""COMPUTED_VALUE"""),"Calle 19 #11-37 Guanatá FLORIDABLANCA")</f>
        <v>Calle 19 #11-37 Guanatá FLORIDABLANCA</v>
      </c>
      <c r="G4445" s="15" t="str">
        <f>IFERROR(__xludf.DUMMYFUNCTION("""COMPUTED_VALUE"""),"Claudia Gonzalez")</f>
        <v>Claudia Gonzalez</v>
      </c>
      <c r="H4445" s="16">
        <f>IFERROR(__xludf.DUMMYFUNCTION("""COMPUTED_VALUE"""),13163.0)</f>
        <v>13163</v>
      </c>
      <c r="I4445" s="18">
        <f>IFERROR(__xludf.DUMMYFUNCTION("""COMPUTED_VALUE"""),21.0)</f>
        <v>21</v>
      </c>
      <c r="J4445" s="18">
        <f>IFERROR(__xludf.DUMMYFUNCTION("""COMPUTED_VALUE"""),37.0)</f>
        <v>37</v>
      </c>
      <c r="K4445" s="18">
        <f>IFERROR(__xludf.DUMMYFUNCTION("""COMPUTED_VALUE"""),30.0)</f>
        <v>30</v>
      </c>
      <c r="L4445" s="17">
        <f>IFERROR(__xludf.DUMMYFUNCTION("""COMPUTED_VALUE"""),3.002802001E9)</f>
        <v>3002802001</v>
      </c>
      <c r="M4445" s="17" t="str">
        <f>IFERROR(__xludf.DUMMYFUNCTION("""COMPUTED_VALUE"""),"#REF!")</f>
        <v>#REF!</v>
      </c>
      <c r="N4445" s="17"/>
      <c r="O4445" s="17"/>
      <c r="P4445" s="17" t="b">
        <f>IFERROR(__xludf.DUMMYFUNCTION("""COMPUTED_VALUE"""),TRUE)</f>
        <v>1</v>
      </c>
      <c r="Q4445" s="20">
        <f>IFERROR(__xludf.DUMMYFUNCTION("""COMPUTED_VALUE"""),45132.72218690973)</f>
        <v>45132.72219</v>
      </c>
      <c r="R4445" s="21" t="str">
        <f>IFERROR(__xludf.DUMMYFUNCTION("""COMPUTED_VALUE"""),"https://drive.google.com/file/d/1M4MYYnuy9lJ492IldEGs4zN8BGk5aBHJ/view?usp=drivesdk")</f>
        <v>https://drive.google.com/file/d/1M4MYYnuy9lJ492IldEGs4zN8BGk5aBHJ/view?usp=drivesdk</v>
      </c>
    </row>
    <row r="4446">
      <c r="A4446" s="15">
        <f>IFERROR(__xludf.DUMMYFUNCTION("""COMPUTED_VALUE"""),45132.0)</f>
        <v>45132</v>
      </c>
      <c r="B4446" s="16" t="str">
        <f>IFERROR(__xludf.DUMMYFUNCTION("""COMPUTED_VALUE"""),"Duvan Gabriel Alvarez Giron")</f>
        <v>Duvan Gabriel Alvarez Giron</v>
      </c>
      <c r="C4446" s="15" t="str">
        <f>IFERROR(__xludf.DUMMYFUNCTION("""COMPUTED_VALUE"""),"FLORIDABLANCA")</f>
        <v>FLORIDABLANCA</v>
      </c>
      <c r="D4446" s="15" t="str">
        <f>IFERROR(__xludf.DUMMYFUNCTION("""COMPUTED_VALUE"""),"BOGOTÁ")</f>
        <v>BOGOTÁ</v>
      </c>
      <c r="E4446" s="15" t="str">
        <f>IFERROR(__xludf.DUMMYFUNCTION("""COMPUTED_VALUE"""),"Lunchy Kids")</f>
        <v>Lunchy Kids</v>
      </c>
      <c r="F4446" s="17" t="str">
        <f>IFERROR(__xludf.DUMMYFUNCTION("""COMPUTED_VALUE"""),"Cra 27 #41-14  /  conjunto Torres de Aragón T-1 apto 404  / Floridablanca")</f>
        <v>Cra 27 #41-14  /  conjunto Torres de Aragón T-1 apto 404  / Floridablanca</v>
      </c>
      <c r="G4446" s="15" t="str">
        <f>IFERROR(__xludf.DUMMYFUNCTION("""COMPUTED_VALUE"""),"Diana Patiño Guzman")</f>
        <v>Diana Patiño Guzman</v>
      </c>
      <c r="H4446" s="16">
        <f>IFERROR(__xludf.DUMMYFUNCTION("""COMPUTED_VALUE"""),13154.0)</f>
        <v>13154</v>
      </c>
      <c r="I4446" s="18">
        <f>IFERROR(__xludf.DUMMYFUNCTION("""COMPUTED_VALUE"""),7.0)</f>
        <v>7</v>
      </c>
      <c r="J4446" s="18">
        <f>IFERROR(__xludf.DUMMYFUNCTION("""COMPUTED_VALUE"""),17.0)</f>
        <v>17</v>
      </c>
      <c r="K4446" s="18">
        <f>IFERROR(__xludf.DUMMYFUNCTION("""COMPUTED_VALUE"""),6.0)</f>
        <v>6</v>
      </c>
      <c r="L4446" s="17">
        <f>IFERROR(__xludf.DUMMYFUNCTION("""COMPUTED_VALUE"""),3.145839201E9)</f>
        <v>3145839201</v>
      </c>
      <c r="M4446" s="17" t="str">
        <f>IFERROR(__xludf.DUMMYFUNCTION("""COMPUTED_VALUE"""),"#REF!")</f>
        <v>#REF!</v>
      </c>
      <c r="N4446" s="17"/>
      <c r="O4446" s="17"/>
      <c r="P4446" s="17" t="b">
        <f>IFERROR(__xludf.DUMMYFUNCTION("""COMPUTED_VALUE"""),TRUE)</f>
        <v>1</v>
      </c>
      <c r="Q4446" s="20">
        <f>IFERROR(__xludf.DUMMYFUNCTION("""COMPUTED_VALUE"""),45132.72218690973)</f>
        <v>45132.72219</v>
      </c>
      <c r="R4446" s="21" t="str">
        <f>IFERROR(__xludf.DUMMYFUNCTION("""COMPUTED_VALUE"""),"https://drive.google.com/file/d/1zqp2e6PJG91DJAi5QAxDM3kN-Nr8TwB4/view?usp=drivesdk")</f>
        <v>https://drive.google.com/file/d/1zqp2e6PJG91DJAi5QAxDM3kN-Nr8TwB4/view?usp=drivesdk</v>
      </c>
    </row>
    <row r="4447">
      <c r="A4447" s="15">
        <f>IFERROR(__xludf.DUMMYFUNCTION("""COMPUTED_VALUE"""),45132.0)</f>
        <v>45132</v>
      </c>
      <c r="B4447" s="16" t="str">
        <f>IFERROR(__xludf.DUMMYFUNCTION("""COMPUTED_VALUE"""),"Duvan Gabriel Alvarez Giron")</f>
        <v>Duvan Gabriel Alvarez Giron</v>
      </c>
      <c r="C4447" s="15" t="str">
        <f>IFERROR(__xludf.DUMMYFUNCTION("""COMPUTED_VALUE"""),"IBAGUÉ")</f>
        <v>IBAGUÉ</v>
      </c>
      <c r="D4447" s="15" t="str">
        <f>IFERROR(__xludf.DUMMYFUNCTION("""COMPUTED_VALUE"""),"BOGOTÁ")</f>
        <v>BOGOTÁ</v>
      </c>
      <c r="E4447" s="15" t="str">
        <f>IFERROR(__xludf.DUMMYFUNCTION("""COMPUTED_VALUE"""),"Asociacion Agropecuaria Juana Maria")</f>
        <v>Asociacion Agropecuaria Juana Maria</v>
      </c>
      <c r="F4447" s="17" t="str">
        <f>IFERROR(__xludf.DUMMYFUNCTION("""COMPUTED_VALUE"""),"Calle 93 # 7 Sur-90 torre 7 apto 701 Conjunto Residencial Altagracia")</f>
        <v>Calle 93 # 7 Sur-90 torre 7 apto 701 Conjunto Residencial Altagracia</v>
      </c>
      <c r="G4447" s="15" t="str">
        <f>IFERROR(__xludf.DUMMYFUNCTION("""COMPUTED_VALUE"""),"Mariam Yasmin Murillo Rubio")</f>
        <v>Mariam Yasmin Murillo Rubio</v>
      </c>
      <c r="H4447" s="16">
        <f>IFERROR(__xludf.DUMMYFUNCTION("""COMPUTED_VALUE"""),13167.0)</f>
        <v>13167</v>
      </c>
      <c r="I4447" s="18">
        <f>IFERROR(__xludf.DUMMYFUNCTION("""COMPUTED_VALUE"""),25.0)</f>
        <v>25</v>
      </c>
      <c r="J4447" s="18">
        <f>IFERROR(__xludf.DUMMYFUNCTION("""COMPUTED_VALUE"""),18.0)</f>
        <v>18</v>
      </c>
      <c r="K4447" s="18">
        <f>IFERROR(__xludf.DUMMYFUNCTION("""COMPUTED_VALUE"""),3.0)</f>
        <v>3</v>
      </c>
      <c r="L4447" s="17">
        <f>IFERROR(__xludf.DUMMYFUNCTION("""COMPUTED_VALUE"""),3.105789664E9)</f>
        <v>3105789664</v>
      </c>
      <c r="M4447" s="17" t="str">
        <f>IFERROR(__xludf.DUMMYFUNCTION("""COMPUTED_VALUE"""),"#REF!")</f>
        <v>#REF!</v>
      </c>
      <c r="N4447" s="17"/>
      <c r="O4447" s="17"/>
      <c r="P4447" s="17" t="b">
        <f>IFERROR(__xludf.DUMMYFUNCTION("""COMPUTED_VALUE"""),TRUE)</f>
        <v>1</v>
      </c>
      <c r="Q4447" s="20">
        <f>IFERROR(__xludf.DUMMYFUNCTION("""COMPUTED_VALUE"""),45132.72218690973)</f>
        <v>45132.72219</v>
      </c>
      <c r="R4447" s="21" t="str">
        <f>IFERROR(__xludf.DUMMYFUNCTION("""COMPUTED_VALUE"""),"https://drive.google.com/file/d/18Jqb6M4FqzWhtsuA_sMP3ugUtsrGe0xM/view?usp=drivesdk")</f>
        <v>https://drive.google.com/file/d/18Jqb6M4FqzWhtsuA_sMP3ugUtsrGe0xM/view?usp=drivesdk</v>
      </c>
    </row>
    <row r="4448">
      <c r="A4448" s="15">
        <f>IFERROR(__xludf.DUMMYFUNCTION("""COMPUTED_VALUE"""),45132.0)</f>
        <v>45132</v>
      </c>
      <c r="B4448" s="16" t="str">
        <f>IFERROR(__xludf.DUMMYFUNCTION("""COMPUTED_VALUE"""),"Duvan Gabriel Alvarez Giron")</f>
        <v>Duvan Gabriel Alvarez Giron</v>
      </c>
      <c r="C4448" s="15" t="str">
        <f>IFERROR(__xludf.DUMMYFUNCTION("""COMPUTED_VALUE"""),"IBAGUÉ")</f>
        <v>IBAGUÉ</v>
      </c>
      <c r="D4448" s="15" t="str">
        <f>IFERROR(__xludf.DUMMYFUNCTION("""COMPUTED_VALUE"""),"BOGOTÁ")</f>
        <v>BOGOTÁ</v>
      </c>
      <c r="E4448" s="15" t="str">
        <f>IFERROR(__xludf.DUMMYFUNCTION("""COMPUTED_VALUE"""),"Ins. Alimento Vital")</f>
        <v>Ins. Alimento Vital</v>
      </c>
      <c r="F4448" s="17" t="str">
        <f>IFERROR(__xludf.DUMMYFUNCTION("""COMPUTED_VALUE"""),"MANZANA 13 CASA 26, CONJUNTO RESIDENCIAL LA ARBOLEDA VIA PICALEÑA / MANZANA 13 CASA 26 / CONJUNTO DE SOLO CASAS ENTRADA A LA CASA DE LA MONEDA")</f>
        <v>MANZANA 13 CASA 26, CONJUNTO RESIDENCIAL LA ARBOLEDA VIA PICALEÑA / MANZANA 13 CASA 26 / CONJUNTO DE SOLO CASAS ENTRADA A LA CASA DE LA MONEDA</v>
      </c>
      <c r="G4448" s="15" t="str">
        <f>IFERROR(__xludf.DUMMYFUNCTION("""COMPUTED_VALUE"""),"IVONNE MARITZA ESPINOSA")</f>
        <v>IVONNE MARITZA ESPINOSA</v>
      </c>
      <c r="H4448" s="16">
        <f>IFERROR(__xludf.DUMMYFUNCTION("""COMPUTED_VALUE"""),13181.0)</f>
        <v>13181</v>
      </c>
      <c r="I4448" s="18">
        <f>IFERROR(__xludf.DUMMYFUNCTION("""COMPUTED_VALUE"""),1.0)</f>
        <v>1</v>
      </c>
      <c r="J4448" s="18">
        <f>IFERROR(__xludf.DUMMYFUNCTION("""COMPUTED_VALUE"""),1.0)</f>
        <v>1</v>
      </c>
      <c r="K4448" s="18">
        <f>IFERROR(__xludf.DUMMYFUNCTION("""COMPUTED_VALUE"""),1.0)</f>
        <v>1</v>
      </c>
      <c r="L4448" s="17">
        <f>IFERROR(__xludf.DUMMYFUNCTION("""COMPUTED_VALUE"""),3.017288399E9)</f>
        <v>3017288399</v>
      </c>
      <c r="M4448" s="17" t="str">
        <f>IFERROR(__xludf.DUMMYFUNCTION("""COMPUTED_VALUE"""),"#REF!")</f>
        <v>#REF!</v>
      </c>
      <c r="N4448" s="17"/>
      <c r="O4448" s="17"/>
      <c r="P4448" s="17" t="b">
        <f>IFERROR(__xludf.DUMMYFUNCTION("""COMPUTED_VALUE"""),TRUE)</f>
        <v>1</v>
      </c>
      <c r="Q4448" s="20">
        <f>IFERROR(__xludf.DUMMYFUNCTION("""COMPUTED_VALUE"""),45132.72218690973)</f>
        <v>45132.72219</v>
      </c>
      <c r="R4448" s="22" t="str">
        <f>IFERROR(__xludf.DUMMYFUNCTION("""COMPUTED_VALUE"""),"")</f>
        <v/>
      </c>
    </row>
    <row r="4449">
      <c r="A4449" s="15">
        <f>IFERROR(__xludf.DUMMYFUNCTION("""COMPUTED_VALUE"""),45132.0)</f>
        <v>45132</v>
      </c>
      <c r="B4449" s="16" t="str">
        <f>IFERROR(__xludf.DUMMYFUNCTION("""COMPUTED_VALUE"""),"Duvan Gabriel Alvarez Giron")</f>
        <v>Duvan Gabriel Alvarez Giron</v>
      </c>
      <c r="C4449" s="15" t="str">
        <f>IFERROR(__xludf.DUMMYFUNCTION("""COMPUTED_VALUE"""),"IBAGUÉ")</f>
        <v>IBAGUÉ</v>
      </c>
      <c r="D4449" s="15" t="str">
        <f>IFERROR(__xludf.DUMMYFUNCTION("""COMPUTED_VALUE"""),"BOGOTÁ")</f>
        <v>BOGOTÁ</v>
      </c>
      <c r="E4449" s="15" t="str">
        <f>IFERROR(__xludf.DUMMYFUNCTION("""COMPUTED_VALUE"""),"Mochi")</f>
        <v>Mochi</v>
      </c>
      <c r="F4449" s="17" t="str">
        <f>IFERROR(__xludf.DUMMYFUNCTION("""COMPUTED_VALUE"""),"CL 14 2 39 calle bonita  IBAGUE / CL 14 2 39 calle bonita  IBAGUE / CL 14 2 39 calle bonita  IBAGUE")</f>
        <v>CL 14 2 39 calle bonita  IBAGUE / CL 14 2 39 calle bonita  IBAGUE / CL 14 2 39 calle bonita  IBAGUE</v>
      </c>
      <c r="G4449" s="15" t="str">
        <f>IFERROR(__xludf.DUMMYFUNCTION("""COMPUTED_VALUE"""),"dIEGO GARCIA")</f>
        <v>dIEGO GARCIA</v>
      </c>
      <c r="H4449" s="16">
        <f>IFERROR(__xludf.DUMMYFUNCTION("""COMPUTED_VALUE"""),13220.0)</f>
        <v>13220</v>
      </c>
      <c r="I4449" s="18">
        <f>IFERROR(__xludf.DUMMYFUNCTION("""COMPUTED_VALUE"""),100.0)</f>
        <v>100</v>
      </c>
      <c r="J4449" s="18">
        <f>IFERROR(__xludf.DUMMYFUNCTION("""COMPUTED_VALUE"""),100.0)</f>
        <v>100</v>
      </c>
      <c r="K4449" s="18">
        <f>IFERROR(__xludf.DUMMYFUNCTION("""COMPUTED_VALUE"""),100.0)</f>
        <v>100</v>
      </c>
      <c r="L4449" s="17">
        <f>IFERROR(__xludf.DUMMYFUNCTION("""COMPUTED_VALUE"""),3.152686881E9)</f>
        <v>3152686881</v>
      </c>
      <c r="M4449" s="17" t="str">
        <f>IFERROR(__xludf.DUMMYFUNCTION("""COMPUTED_VALUE"""),"#REF!")</f>
        <v>#REF!</v>
      </c>
      <c r="N4449" s="17"/>
      <c r="O4449" s="17"/>
      <c r="P4449" s="17" t="b">
        <f>IFERROR(__xludf.DUMMYFUNCTION("""COMPUTED_VALUE"""),TRUE)</f>
        <v>1</v>
      </c>
      <c r="Q4449" s="20">
        <f>IFERROR(__xludf.DUMMYFUNCTION("""COMPUTED_VALUE"""),45133.61751486111)</f>
        <v>45133.61751</v>
      </c>
      <c r="R4449" s="22" t="str">
        <f>IFERROR(__xludf.DUMMYFUNCTION("""COMPUTED_VALUE"""),"")</f>
        <v/>
      </c>
    </row>
    <row r="4450">
      <c r="A4450" s="17" t="str">
        <f>IFERROR(__xludf.DUMMYFUNCTION("""COMPUTED_VALUE"""),"")</f>
        <v/>
      </c>
      <c r="B4450" s="17" t="str">
        <f>IFERROR(__xludf.DUMMYFUNCTION("""COMPUTED_VALUE"""),"")</f>
        <v/>
      </c>
      <c r="C4450" s="17" t="str">
        <f>IFERROR(__xludf.DUMMYFUNCTION("""COMPUTED_VALUE"""),"")</f>
        <v/>
      </c>
      <c r="D4450" s="17" t="str">
        <f>IFERROR(__xludf.DUMMYFUNCTION("""COMPUTED_VALUE"""),"")</f>
        <v/>
      </c>
      <c r="E4450" s="17" t="str">
        <f>IFERROR(__xludf.DUMMYFUNCTION("""COMPUTED_VALUE"""),"")</f>
        <v/>
      </c>
      <c r="F4450" s="17" t="str">
        <f>IFERROR(__xludf.DUMMYFUNCTION("""COMPUTED_VALUE"""),"")</f>
        <v/>
      </c>
      <c r="G4450" s="17" t="str">
        <f>IFERROR(__xludf.DUMMYFUNCTION("""COMPUTED_VALUE"""),"")</f>
        <v/>
      </c>
      <c r="H4450" s="17" t="str">
        <f>IFERROR(__xludf.DUMMYFUNCTION("""COMPUTED_VALUE"""),"")</f>
        <v/>
      </c>
      <c r="I4450" s="17" t="str">
        <f>IFERROR(__xludf.DUMMYFUNCTION("""COMPUTED_VALUE"""),"")</f>
        <v/>
      </c>
      <c r="J4450" s="17" t="str">
        <f>IFERROR(__xludf.DUMMYFUNCTION("""COMPUTED_VALUE"""),"")</f>
        <v/>
      </c>
      <c r="K4450" s="17" t="str">
        <f>IFERROR(__xludf.DUMMYFUNCTION("""COMPUTED_VALUE"""),"")</f>
        <v/>
      </c>
      <c r="L4450" s="17" t="str">
        <f>IFERROR(__xludf.DUMMYFUNCTION("""COMPUTED_VALUE"""),"")</f>
        <v/>
      </c>
      <c r="M4450" s="17" t="str">
        <f>IFERROR(__xludf.DUMMYFUNCTION("""COMPUTED_VALUE"""),"")</f>
        <v/>
      </c>
      <c r="N4450" s="17" t="str">
        <f>IFERROR(__xludf.DUMMYFUNCTION("""COMPUTED_VALUE"""),"")</f>
        <v/>
      </c>
      <c r="O4450" s="17" t="str">
        <f>IFERROR(__xludf.DUMMYFUNCTION("""COMPUTED_VALUE"""),"")</f>
        <v/>
      </c>
      <c r="P4450" s="17" t="str">
        <f>IFERROR(__xludf.DUMMYFUNCTION("""COMPUTED_VALUE"""),"")</f>
        <v/>
      </c>
      <c r="Q4450" s="17" t="str">
        <f>IFERROR(__xludf.DUMMYFUNCTION("""COMPUTED_VALUE"""),"")</f>
        <v/>
      </c>
      <c r="R4450" s="17" t="str">
        <f>IFERROR(__xludf.DUMMYFUNCTION("""COMPUTED_VALUE"""),"")</f>
        <v/>
      </c>
    </row>
    <row r="4451">
      <c r="A4451" s="15">
        <f>IFERROR(__xludf.DUMMYFUNCTION("""COMPUTED_VALUE"""),45132.0)</f>
        <v>45132</v>
      </c>
      <c r="B4451" s="16" t="str">
        <f>IFERROR(__xludf.DUMMYFUNCTION("""COMPUTED_VALUE"""),"Envia")</f>
        <v>Envia</v>
      </c>
      <c r="C4451" s="15" t="str">
        <f>IFERROR(__xludf.DUMMYFUNCTION("""COMPUTED_VALUE"""),"ARMENIA")</f>
        <v>ARMENIA</v>
      </c>
      <c r="D4451" s="15" t="str">
        <f>IFERROR(__xludf.DUMMYFUNCTION("""COMPUTED_VALUE"""),"BOGOTÁ")</f>
        <v>BOGOTÁ</v>
      </c>
      <c r="E4451" s="15" t="str">
        <f>IFERROR(__xludf.DUMMYFUNCTION("""COMPUTED_VALUE"""),"Evamazzita")</f>
        <v>Evamazzita</v>
      </c>
      <c r="F4451" s="17" t="str">
        <f>IFERROR(__xludf.DUMMYFUNCTION("""COMPUTED_VALUE"""),"Calle 30#30-11 / N/A / Barrio Quindio")</f>
        <v>Calle 30#30-11 / N/A / Barrio Quindio</v>
      </c>
      <c r="G4451" s="15" t="str">
        <f>IFERROR(__xludf.DUMMYFUNCTION("""COMPUTED_VALUE"""),"YORMARY JIMENEZ")</f>
        <v>YORMARY JIMENEZ</v>
      </c>
      <c r="H4451" s="16">
        <f>IFERROR(__xludf.DUMMYFUNCTION("""COMPUTED_VALUE"""),13192.0)</f>
        <v>13192</v>
      </c>
      <c r="I4451" s="18">
        <f>IFERROR(__xludf.DUMMYFUNCTION("""COMPUTED_VALUE"""),15.0)</f>
        <v>15</v>
      </c>
      <c r="J4451" s="18">
        <f>IFERROR(__xludf.DUMMYFUNCTION("""COMPUTED_VALUE"""),33.0)</f>
        <v>33</v>
      </c>
      <c r="K4451" s="18">
        <f>IFERROR(__xludf.DUMMYFUNCTION("""COMPUTED_VALUE"""),27.0)</f>
        <v>27</v>
      </c>
      <c r="L4451" s="17">
        <f>IFERROR(__xludf.DUMMYFUNCTION("""COMPUTED_VALUE"""),3.113196178E9)</f>
        <v>3113196178</v>
      </c>
      <c r="M4451" s="17" t="str">
        <f>IFERROR(__xludf.DUMMYFUNCTION("""COMPUTED_VALUE"""),"#REF!")</f>
        <v>#REF!</v>
      </c>
      <c r="N4451" s="17"/>
      <c r="O4451" s="17"/>
      <c r="P4451" s="17" t="b">
        <f>IFERROR(__xludf.DUMMYFUNCTION("""COMPUTED_VALUE"""),TRUE)</f>
        <v>1</v>
      </c>
      <c r="Q4451" s="20">
        <f>IFERROR(__xludf.DUMMYFUNCTION("""COMPUTED_VALUE"""),45133.61751486111)</f>
        <v>45133.61751</v>
      </c>
      <c r="R4451" s="22" t="str">
        <f>IFERROR(__xludf.DUMMYFUNCTION("""COMPUTED_VALUE"""),"")</f>
        <v/>
      </c>
    </row>
    <row r="4452">
      <c r="A4452" s="15">
        <f>IFERROR(__xludf.DUMMYFUNCTION("""COMPUTED_VALUE"""),45132.0)</f>
        <v>45132</v>
      </c>
      <c r="B4452" s="16" t="str">
        <f>IFERROR(__xludf.DUMMYFUNCTION("""COMPUTED_VALUE"""),"Envia")</f>
        <v>Envia</v>
      </c>
      <c r="C4452" s="15" t="str">
        <f>IFERROR(__xludf.DUMMYFUNCTION("""COMPUTED_VALUE"""),"ARMENIA")</f>
        <v>ARMENIA</v>
      </c>
      <c r="D4452" s="15" t="str">
        <f>IFERROR(__xludf.DUMMYFUNCTION("""COMPUTED_VALUE"""),"MEDELLÍN")</f>
        <v>MEDELLÍN</v>
      </c>
      <c r="E4452" s="15" t="str">
        <f>IFERROR(__xludf.DUMMYFUNCTION("""COMPUTED_VALUE"""),"Baby Chef")</f>
        <v>Baby Chef</v>
      </c>
      <c r="F4452" s="17" t="str">
        <f>IFERROR(__xludf.DUMMYFUNCTION("""COMPUTED_VALUE"""),"Calle 6 Norte #16A 44 Edificio Valparaiso Apto 1102 Barrio los profesionales / Calle 6 Norte #16A 44 Edificio Valparaiso Apto 1102 Barrio los profesionales / Calle 6 Norte #16A 44 Edificio Valparaiso Apto 1102 Barrio los profesionales")</f>
        <v>Calle 6 Norte #16A 44 Edificio Valparaiso Apto 1102 Barrio los profesionales / Calle 6 Norte #16A 44 Edificio Valparaiso Apto 1102 Barrio los profesionales / Calle 6 Norte #16A 44 Edificio Valparaiso Apto 1102 Barrio los profesionales</v>
      </c>
      <c r="G4452" s="15" t="str">
        <f>IFERROR(__xludf.DUMMYFUNCTION("""COMPUTED_VALUE"""),"Leidy Echeverry")</f>
        <v>Leidy Echeverry</v>
      </c>
      <c r="H4452" s="16">
        <f>IFERROR(__xludf.DUMMYFUNCTION("""COMPUTED_VALUE"""),13245.0)</f>
        <v>13245</v>
      </c>
      <c r="I4452" s="18">
        <f>IFERROR(__xludf.DUMMYFUNCTION("""COMPUTED_VALUE"""),8.0)</f>
        <v>8</v>
      </c>
      <c r="J4452" s="18">
        <f>IFERROR(__xludf.DUMMYFUNCTION("""COMPUTED_VALUE"""),44.0)</f>
        <v>44</v>
      </c>
      <c r="K4452" s="18">
        <f>IFERROR(__xludf.DUMMYFUNCTION("""COMPUTED_VALUE"""),21.0)</f>
        <v>21</v>
      </c>
      <c r="L4452" s="17">
        <f>IFERROR(__xludf.DUMMYFUNCTION("""COMPUTED_VALUE"""),3.16575559E9)</f>
        <v>3165755590</v>
      </c>
      <c r="M4452" s="17" t="str">
        <f>IFERROR(__xludf.DUMMYFUNCTION("""COMPUTED_VALUE"""),"#REF!")</f>
        <v>#REF!</v>
      </c>
      <c r="N4452" s="17"/>
      <c r="O4452" s="17"/>
      <c r="P4452" s="17" t="b">
        <f>IFERROR(__xludf.DUMMYFUNCTION("""COMPUTED_VALUE"""),TRUE)</f>
        <v>1</v>
      </c>
      <c r="Q4452" s="20">
        <f>IFERROR(__xludf.DUMMYFUNCTION("""COMPUTED_VALUE"""),45132.72218690973)</f>
        <v>45132.72219</v>
      </c>
      <c r="R4452" s="22" t="str">
        <f>IFERROR(__xludf.DUMMYFUNCTION("""COMPUTED_VALUE"""),"")</f>
        <v/>
      </c>
    </row>
    <row r="4453">
      <c r="A4453" s="15">
        <f>IFERROR(__xludf.DUMMYFUNCTION("""COMPUTED_VALUE"""),45132.0)</f>
        <v>45132</v>
      </c>
      <c r="B4453" s="16" t="str">
        <f>IFERROR(__xludf.DUMMYFUNCTION("""COMPUTED_VALUE"""),"Envia")</f>
        <v>Envia</v>
      </c>
      <c r="C4453" s="15" t="str">
        <f>IFERROR(__xludf.DUMMYFUNCTION("""COMPUTED_VALUE"""),"CALI")</f>
        <v>CALI</v>
      </c>
      <c r="D4453" s="15" t="str">
        <f>IFERROR(__xludf.DUMMYFUNCTION("""COMPUTED_VALUE"""),"BOGOTÁ")</f>
        <v>BOGOTÁ</v>
      </c>
      <c r="E4453" s="15" t="str">
        <f>IFERROR(__xludf.DUMMYFUNCTION("""COMPUTED_VALUE"""),"Evamazzita")</f>
        <v>Evamazzita</v>
      </c>
      <c r="F4453" s="17" t="str">
        <f>IFERROR(__xludf.DUMMYFUNCTION("""COMPUTED_VALUE"""),"Calle 34 #94-143 / Casa 08m / Jardin de lili")</f>
        <v>Calle 34 #94-143 / Casa 08m / Jardin de lili</v>
      </c>
      <c r="G4453" s="15" t="str">
        <f>IFERROR(__xludf.DUMMYFUNCTION("""COMPUTED_VALUE"""),"MAYLIN CAROLINA MUÑOZ RAMOS")</f>
        <v>MAYLIN CAROLINA MUÑOZ RAMOS</v>
      </c>
      <c r="H4453" s="16">
        <f>IFERROR(__xludf.DUMMYFUNCTION("""COMPUTED_VALUE"""),13206.0)</f>
        <v>13206</v>
      </c>
      <c r="I4453" s="18">
        <f>IFERROR(__xludf.DUMMYFUNCTION("""COMPUTED_VALUE"""),1.0)</f>
        <v>1</v>
      </c>
      <c r="J4453" s="18">
        <f>IFERROR(__xludf.DUMMYFUNCTION("""COMPUTED_VALUE"""),1.0)</f>
        <v>1</v>
      </c>
      <c r="K4453" s="18">
        <f>IFERROR(__xludf.DUMMYFUNCTION("""COMPUTED_VALUE"""),1.0)</f>
        <v>1</v>
      </c>
      <c r="L4453" s="17">
        <f>IFERROR(__xludf.DUMMYFUNCTION("""COMPUTED_VALUE"""),3.118375725E9)</f>
        <v>3118375725</v>
      </c>
      <c r="M4453" s="17" t="str">
        <f>IFERROR(__xludf.DUMMYFUNCTION("""COMPUTED_VALUE"""),"#REF!")</f>
        <v>#REF!</v>
      </c>
      <c r="N4453" s="17"/>
      <c r="O4453" s="17"/>
      <c r="P4453" s="17" t="b">
        <f>IFERROR(__xludf.DUMMYFUNCTION("""COMPUTED_VALUE"""),TRUE)</f>
        <v>1</v>
      </c>
      <c r="Q4453" s="20">
        <f>IFERROR(__xludf.DUMMYFUNCTION("""COMPUTED_VALUE"""),45132.72218690973)</f>
        <v>45132.72219</v>
      </c>
      <c r="R4453" s="21" t="str">
        <f>IFERROR(__xludf.DUMMYFUNCTION("""COMPUTED_VALUE"""),"https://drive.google.com/file/d/1HzAoKhqpqA63fBzvZFRRwmyf6crg2zfJ/view?usp=drivesdk")</f>
        <v>https://drive.google.com/file/d/1HzAoKhqpqA63fBzvZFRRwmyf6crg2zfJ/view?usp=drivesdk</v>
      </c>
    </row>
    <row r="4454">
      <c r="A4454" s="15">
        <f>IFERROR(__xludf.DUMMYFUNCTION("""COMPUTED_VALUE"""),45132.0)</f>
        <v>45132</v>
      </c>
      <c r="B4454" s="16" t="str">
        <f>IFERROR(__xludf.DUMMYFUNCTION("""COMPUTED_VALUE"""),"Envia")</f>
        <v>Envia</v>
      </c>
      <c r="C4454" s="15" t="str">
        <f>IFERROR(__xludf.DUMMYFUNCTION("""COMPUTED_VALUE"""),"CALI")</f>
        <v>CALI</v>
      </c>
      <c r="D4454" s="15" t="str">
        <f>IFERROR(__xludf.DUMMYFUNCTION("""COMPUTED_VALUE"""),"BOGOTÁ")</f>
        <v>BOGOTÁ</v>
      </c>
      <c r="E4454" s="15" t="str">
        <f>IFERROR(__xludf.DUMMYFUNCTION("""COMPUTED_VALUE"""),"Ins. Alimento Vital")</f>
        <v>Ins. Alimento Vital</v>
      </c>
      <c r="F4454" s="17" t="str">
        <f>IFERROR(__xludf.DUMMYFUNCTION("""COMPUTED_VALUE"""),"CL 34N 2BN 33 / BODEGA / SAN VICENTEC")</f>
        <v>CL 34N 2BN 33 / BODEGA / SAN VICENTEC</v>
      </c>
      <c r="G4454" s="15" t="str">
        <f>IFERROR(__xludf.DUMMYFUNCTION("""COMPUTED_VALUE"""),"VELOCITY CALI")</f>
        <v>VELOCITY CALI</v>
      </c>
      <c r="H4454" s="16">
        <f>IFERROR(__xludf.DUMMYFUNCTION("""COMPUTED_VALUE"""),13177.0)</f>
        <v>13177</v>
      </c>
      <c r="I4454" s="18">
        <f>IFERROR(__xludf.DUMMYFUNCTION("""COMPUTED_VALUE"""),1.0)</f>
        <v>1</v>
      </c>
      <c r="J4454" s="18">
        <f>IFERROR(__xludf.DUMMYFUNCTION("""COMPUTED_VALUE"""),1.0)</f>
        <v>1</v>
      </c>
      <c r="K4454" s="18">
        <f>IFERROR(__xludf.DUMMYFUNCTION("""COMPUTED_VALUE"""),1.0)</f>
        <v>1</v>
      </c>
      <c r="L4454" s="17">
        <f>IFERROR(__xludf.DUMMYFUNCTION("""COMPUTED_VALUE"""),3.117591055E9)</f>
        <v>3117591055</v>
      </c>
      <c r="M4454" s="17" t="str">
        <f>IFERROR(__xludf.DUMMYFUNCTION("""COMPUTED_VALUE"""),"#REF!")</f>
        <v>#REF!</v>
      </c>
      <c r="N4454" s="17"/>
      <c r="O4454" s="17"/>
      <c r="P4454" s="17" t="b">
        <f>IFERROR(__xludf.DUMMYFUNCTION("""COMPUTED_VALUE"""),TRUE)</f>
        <v>1</v>
      </c>
      <c r="Q4454" s="20">
        <f>IFERROR(__xludf.DUMMYFUNCTION("""COMPUTED_VALUE"""),45132.72218690973)</f>
        <v>45132.72219</v>
      </c>
      <c r="R4454" s="22" t="str">
        <f>IFERROR(__xludf.DUMMYFUNCTION("""COMPUTED_VALUE"""),"")</f>
        <v/>
      </c>
    </row>
    <row r="4455">
      <c r="A4455" s="15">
        <f>IFERROR(__xludf.DUMMYFUNCTION("""COMPUTED_VALUE"""),45132.0)</f>
        <v>45132</v>
      </c>
      <c r="B4455" s="16" t="str">
        <f>IFERROR(__xludf.DUMMYFUNCTION("""COMPUTED_VALUE"""),"Envia")</f>
        <v>Envia</v>
      </c>
      <c r="C4455" s="15" t="str">
        <f>IFERROR(__xludf.DUMMYFUNCTION("""COMPUTED_VALUE"""),"CALI")</f>
        <v>CALI</v>
      </c>
      <c r="D4455" s="15" t="str">
        <f>IFERROR(__xludf.DUMMYFUNCTION("""COMPUTED_VALUE"""),"BOGOTÁ")</f>
        <v>BOGOTÁ</v>
      </c>
      <c r="E4455" s="15" t="str">
        <f>IFERROR(__xludf.DUMMYFUNCTION("""COMPUTED_VALUE"""),"Mochi")</f>
        <v>Mochi</v>
      </c>
      <c r="F4455" s="17" t="str">
        <f>IFERROR(__xludf.DUMMYFUNCTION("""COMPUTED_VALUE"""),"Cl. 15 Nte. #9n-16, Granada, Cali, Valle /  Cl. 15 Nte. #9n-16, Granada, Cali, Valle /  Cl. 15 Nte. #9n-16, Granada, Cali, Valle")</f>
        <v>Cl. 15 Nte. #9n-16, Granada, Cali, Valle /  Cl. 15 Nte. #9n-16, Granada, Cali, Valle /  Cl. 15 Nte. #9n-16, Granada, Cali, Valle</v>
      </c>
      <c r="G4455" s="15" t="str">
        <f>IFERROR(__xludf.DUMMYFUNCTION("""COMPUTED_VALUE"""),"ESTEFANIA")</f>
        <v>ESTEFANIA</v>
      </c>
      <c r="H4455" s="16">
        <f>IFERROR(__xludf.DUMMYFUNCTION("""COMPUTED_VALUE"""),13219.0)</f>
        <v>13219</v>
      </c>
      <c r="I4455" s="18">
        <f>IFERROR(__xludf.DUMMYFUNCTION("""COMPUTED_VALUE"""),100.0)</f>
        <v>100</v>
      </c>
      <c r="J4455" s="18">
        <f>IFERROR(__xludf.DUMMYFUNCTION("""COMPUTED_VALUE"""),100.0)</f>
        <v>100</v>
      </c>
      <c r="K4455" s="18">
        <f>IFERROR(__xludf.DUMMYFUNCTION("""COMPUTED_VALUE"""),100.0)</f>
        <v>100</v>
      </c>
      <c r="L4455" s="17">
        <f>IFERROR(__xludf.DUMMYFUNCTION("""COMPUTED_VALUE"""),3.183028598E9)</f>
        <v>3183028598</v>
      </c>
      <c r="M4455" s="17" t="str">
        <f>IFERROR(__xludf.DUMMYFUNCTION("""COMPUTED_VALUE"""),"#REF!")</f>
        <v>#REF!</v>
      </c>
      <c r="N4455" s="17"/>
      <c r="O4455" s="17"/>
      <c r="P4455" s="17" t="b">
        <f>IFERROR(__xludf.DUMMYFUNCTION("""COMPUTED_VALUE"""),TRUE)</f>
        <v>1</v>
      </c>
      <c r="Q4455" s="20">
        <f>IFERROR(__xludf.DUMMYFUNCTION("""COMPUTED_VALUE"""),45132.72218690973)</f>
        <v>45132.72219</v>
      </c>
      <c r="R4455" s="22" t="str">
        <f>IFERROR(__xludf.DUMMYFUNCTION("""COMPUTED_VALUE"""),"")</f>
        <v/>
      </c>
    </row>
    <row r="4456">
      <c r="A4456" s="15">
        <f>IFERROR(__xludf.DUMMYFUNCTION("""COMPUTED_VALUE"""),45132.0)</f>
        <v>45132</v>
      </c>
      <c r="B4456" s="16" t="str">
        <f>IFERROR(__xludf.DUMMYFUNCTION("""COMPUTED_VALUE"""),"Envia")</f>
        <v>Envia</v>
      </c>
      <c r="C4456" s="15" t="str">
        <f>IFERROR(__xludf.DUMMYFUNCTION("""COMPUTED_VALUE"""),"CALI")</f>
        <v>CALI</v>
      </c>
      <c r="D4456" s="15" t="str">
        <f>IFERROR(__xludf.DUMMYFUNCTION("""COMPUTED_VALUE"""),"BOGOTÁ")</f>
        <v>BOGOTÁ</v>
      </c>
      <c r="E4456" s="15" t="str">
        <f>IFERROR(__xludf.DUMMYFUNCTION("""COMPUTED_VALUE"""),"Viiva Fermentados")</f>
        <v>Viiva Fermentados</v>
      </c>
      <c r="F4456" s="17" t="str">
        <f>IFERROR(__xludf.DUMMYFUNCTION("""COMPUTED_VALUE"""),"Av 5 Nte # 42 - 42 / Tienda Ecohuerta / La Flora")</f>
        <v>Av 5 Nte # 42 - 42 / Tienda Ecohuerta / La Flora</v>
      </c>
      <c r="G4456" s="15" t="str">
        <f>IFERROR(__xludf.DUMMYFUNCTION("""COMPUTED_VALUE"""),"Isabel Cristina Ecohuerta Cali")</f>
        <v>Isabel Cristina Ecohuerta Cali</v>
      </c>
      <c r="H4456" s="16">
        <f>IFERROR(__xludf.DUMMYFUNCTION("""COMPUTED_VALUE"""),13233.0)</f>
        <v>13233</v>
      </c>
      <c r="I4456" s="18">
        <f>IFERROR(__xludf.DUMMYFUNCTION("""COMPUTED_VALUE"""),28.0)</f>
        <v>28</v>
      </c>
      <c r="J4456" s="18">
        <f>IFERROR(__xludf.DUMMYFUNCTION("""COMPUTED_VALUE"""),36.0)</f>
        <v>36</v>
      </c>
      <c r="K4456" s="18">
        <f>IFERROR(__xludf.DUMMYFUNCTION("""COMPUTED_VALUE"""),24.0)</f>
        <v>24</v>
      </c>
      <c r="L4456" s="17">
        <f>IFERROR(__xludf.DUMMYFUNCTION("""COMPUTED_VALUE"""),3.113856209E9)</f>
        <v>3113856209</v>
      </c>
      <c r="M4456" s="17" t="str">
        <f>IFERROR(__xludf.DUMMYFUNCTION("""COMPUTED_VALUE"""),"#REF!")</f>
        <v>#REF!</v>
      </c>
      <c r="N4456" s="17"/>
      <c r="O4456" s="17"/>
      <c r="P4456" s="17" t="b">
        <f>IFERROR(__xludf.DUMMYFUNCTION("""COMPUTED_VALUE"""),TRUE)</f>
        <v>1</v>
      </c>
      <c r="Q4456" s="20">
        <f>IFERROR(__xludf.DUMMYFUNCTION("""COMPUTED_VALUE"""),45132.722186921295)</f>
        <v>45132.72219</v>
      </c>
      <c r="R4456" s="22" t="str">
        <f>IFERROR(__xludf.DUMMYFUNCTION("""COMPUTED_VALUE"""),"")</f>
        <v/>
      </c>
    </row>
    <row r="4457">
      <c r="A4457" s="15">
        <f>IFERROR(__xludf.DUMMYFUNCTION("""COMPUTED_VALUE"""),45132.0)</f>
        <v>45132</v>
      </c>
      <c r="B4457" s="16" t="str">
        <f>IFERROR(__xludf.DUMMYFUNCTION("""COMPUTED_VALUE"""),"Envia")</f>
        <v>Envia</v>
      </c>
      <c r="C4457" s="15" t="str">
        <f>IFERROR(__xludf.DUMMYFUNCTION("""COMPUTED_VALUE"""),"CALI")</f>
        <v>CALI</v>
      </c>
      <c r="D4457" s="15" t="str">
        <f>IFERROR(__xludf.DUMMYFUNCTION("""COMPUTED_VALUE"""),"BUCARAMANGA")</f>
        <v>BUCARAMANGA</v>
      </c>
      <c r="E4457" s="15" t="str">
        <f>IFERROR(__xludf.DUMMYFUNCTION("""COMPUTED_VALUE"""),"Yo Como Solito")</f>
        <v>Yo Como Solito</v>
      </c>
      <c r="F4457" s="17" t="str">
        <f>IFERROR(__xludf.DUMMYFUNCTION("""COMPUTED_VALUE"""),"carrera 27 no. 33e-26 / carrera 27 no. 33e-26 / carrera 27 no. 33e-26")</f>
        <v>carrera 27 no. 33e-26 / carrera 27 no. 33e-26 / carrera 27 no. 33e-26</v>
      </c>
      <c r="G4457" s="15" t="str">
        <f>IFERROR(__xludf.DUMMYFUNCTION("""COMPUTED_VALUE"""),"Leydi Johanna Cardona")</f>
        <v>Leydi Johanna Cardona</v>
      </c>
      <c r="H4457" s="16">
        <f>IFERROR(__xludf.DUMMYFUNCTION("""COMPUTED_VALUE"""),13045.0)</f>
        <v>13045</v>
      </c>
      <c r="I4457" s="18">
        <f>IFERROR(__xludf.DUMMYFUNCTION("""COMPUTED_VALUE"""),1.0)</f>
        <v>1</v>
      </c>
      <c r="J4457" s="18">
        <f>IFERROR(__xludf.DUMMYFUNCTION("""COMPUTED_VALUE"""),1.0)</f>
        <v>1</v>
      </c>
      <c r="K4457" s="18">
        <f>IFERROR(__xludf.DUMMYFUNCTION("""COMPUTED_VALUE"""),1.0)</f>
        <v>1</v>
      </c>
      <c r="L4457" s="17">
        <f>IFERROR(__xludf.DUMMYFUNCTION("""COMPUTED_VALUE"""),3.113086884E9)</f>
        <v>3113086884</v>
      </c>
      <c r="M4457" s="17" t="str">
        <f>IFERROR(__xludf.DUMMYFUNCTION("""COMPUTED_VALUE"""),"#REF!")</f>
        <v>#REF!</v>
      </c>
      <c r="N4457" s="17"/>
      <c r="O4457" s="17"/>
      <c r="P4457" s="17" t="b">
        <f>IFERROR(__xludf.DUMMYFUNCTION("""COMPUTED_VALUE"""),TRUE)</f>
        <v>1</v>
      </c>
      <c r="Q4457" s="20">
        <f>IFERROR(__xludf.DUMMYFUNCTION("""COMPUTED_VALUE"""),45132.722186921295)</f>
        <v>45132.72219</v>
      </c>
      <c r="R4457" s="21" t="str">
        <f>IFERROR(__xludf.DUMMYFUNCTION("""COMPUTED_VALUE"""),"https://drive.google.com/file/d/1M9Rjpzf0B6twFtPkyUdgrosTv2xoKRiR/view?usp=drivesdk")</f>
        <v>https://drive.google.com/file/d/1M9Rjpzf0B6twFtPkyUdgrosTv2xoKRiR/view?usp=drivesdk</v>
      </c>
    </row>
    <row r="4458">
      <c r="A4458" s="15">
        <f>IFERROR(__xludf.DUMMYFUNCTION("""COMPUTED_VALUE"""),45132.0)</f>
        <v>45132</v>
      </c>
      <c r="B4458" s="16" t="str">
        <f>IFERROR(__xludf.DUMMYFUNCTION("""COMPUTED_VALUE"""),"Envia")</f>
        <v>Envia</v>
      </c>
      <c r="C4458" s="15" t="str">
        <f>IFERROR(__xludf.DUMMYFUNCTION("""COMPUTED_VALUE"""),"CALI")</f>
        <v>CALI</v>
      </c>
      <c r="D4458" s="15" t="str">
        <f>IFERROR(__xludf.DUMMYFUNCTION("""COMPUTED_VALUE"""),"MEDELLÍN")</f>
        <v>MEDELLÍN</v>
      </c>
      <c r="E4458" s="15" t="str">
        <f>IFERROR(__xludf.DUMMYFUNCTION("""COMPUTED_VALUE"""),"Helados swip")</f>
        <v>Helados swip</v>
      </c>
      <c r="F4458" s="17" t="str">
        <f>IFERROR(__xludf.DUMMYFUNCTION("""COMPUTED_VALUE"""),"CARRERA 100 # 15 A90 / LOCAL 104  / AVENTURA PLAZA")</f>
        <v>CARRERA 100 # 15 A90 / LOCAL 104  / AVENTURA PLAZA</v>
      </c>
      <c r="G4458" s="15" t="str">
        <f>IFERROR(__xludf.DUMMYFUNCTION("""COMPUTED_VALUE"""),"NUTRILIGHT AVENTURA CALI")</f>
        <v>NUTRILIGHT AVENTURA CALI</v>
      </c>
      <c r="H4458" s="16">
        <f>IFERROR(__xludf.DUMMYFUNCTION("""COMPUTED_VALUE"""),13183.0)</f>
        <v>13183</v>
      </c>
      <c r="I4458" s="18">
        <f>IFERROR(__xludf.DUMMYFUNCTION("""COMPUTED_VALUE"""),50.0)</f>
        <v>50</v>
      </c>
      <c r="J4458" s="18">
        <f>IFERROR(__xludf.DUMMYFUNCTION("""COMPUTED_VALUE"""),30.0)</f>
        <v>30</v>
      </c>
      <c r="K4458" s="18">
        <f>IFERROR(__xludf.DUMMYFUNCTION("""COMPUTED_VALUE"""),21.0)</f>
        <v>21</v>
      </c>
      <c r="L4458" s="17">
        <f>IFERROR(__xludf.DUMMYFUNCTION("""COMPUTED_VALUE"""),3.127472631E9)</f>
        <v>3127472631</v>
      </c>
      <c r="M4458" s="17" t="str">
        <f>IFERROR(__xludf.DUMMYFUNCTION("""COMPUTED_VALUE"""),"#REF!")</f>
        <v>#REF!</v>
      </c>
      <c r="N4458" s="17"/>
      <c r="O4458" s="17"/>
      <c r="P4458" s="17" t="b">
        <f>IFERROR(__xludf.DUMMYFUNCTION("""COMPUTED_VALUE"""),TRUE)</f>
        <v>1</v>
      </c>
      <c r="Q4458" s="20">
        <f>IFERROR(__xludf.DUMMYFUNCTION("""COMPUTED_VALUE"""),45132.722186921295)</f>
        <v>45132.72219</v>
      </c>
      <c r="R4458" s="22" t="str">
        <f>IFERROR(__xludf.DUMMYFUNCTION("""COMPUTED_VALUE"""),"")</f>
        <v/>
      </c>
    </row>
    <row r="4459">
      <c r="A4459" s="15">
        <f>IFERROR(__xludf.DUMMYFUNCTION("""COMPUTED_VALUE"""),45132.0)</f>
        <v>45132</v>
      </c>
      <c r="B4459" s="16" t="str">
        <f>IFERROR(__xludf.DUMMYFUNCTION("""COMPUTED_VALUE"""),"Envia")</f>
        <v>Envia</v>
      </c>
      <c r="C4459" s="15" t="str">
        <f>IFERROR(__xludf.DUMMYFUNCTION("""COMPUTED_VALUE"""),"IBAGUÉ")</f>
        <v>IBAGUÉ</v>
      </c>
      <c r="D4459" s="15" t="str">
        <f>IFERROR(__xludf.DUMMYFUNCTION("""COMPUTED_VALUE"""),"BOGOTÁ")</f>
        <v>BOGOTÁ</v>
      </c>
      <c r="E4459" s="15" t="str">
        <f>IFERROR(__xludf.DUMMYFUNCTION("""COMPUTED_VALUE"""),"Evamazzita")</f>
        <v>Evamazzita</v>
      </c>
      <c r="F4459" s="17" t="str">
        <f>IFERROR(__xludf.DUMMYFUNCTION("""COMPUTED_VALUE"""),"Calle 93#7 Sur-90 / Torre 7/Apto 701 / Conjunto parque residencial altagracia")</f>
        <v>Calle 93#7 Sur-90 / Torre 7/Apto 701 / Conjunto parque residencial altagracia</v>
      </c>
      <c r="G4459" s="15" t="str">
        <f>IFERROR(__xludf.DUMMYFUNCTION("""COMPUTED_VALUE"""),"MARIAM MURRILLO")</f>
        <v>MARIAM MURRILLO</v>
      </c>
      <c r="H4459" s="16">
        <f>IFERROR(__xludf.DUMMYFUNCTION("""COMPUTED_VALUE"""),13193.0)</f>
        <v>13193</v>
      </c>
      <c r="I4459" s="18">
        <f>IFERROR(__xludf.DUMMYFUNCTION("""COMPUTED_VALUE"""),18.0)</f>
        <v>18</v>
      </c>
      <c r="J4459" s="18">
        <f>IFERROR(__xludf.DUMMYFUNCTION("""COMPUTED_VALUE"""),33.0)</f>
        <v>33</v>
      </c>
      <c r="K4459" s="18">
        <f>IFERROR(__xludf.DUMMYFUNCTION("""COMPUTED_VALUE"""),27.0)</f>
        <v>27</v>
      </c>
      <c r="L4459" s="17">
        <f>IFERROR(__xludf.DUMMYFUNCTION("""COMPUTED_VALUE"""),3.105789664E9)</f>
        <v>3105789664</v>
      </c>
      <c r="M4459" s="17" t="str">
        <f>IFERROR(__xludf.DUMMYFUNCTION("""COMPUTED_VALUE"""),"#REF!")</f>
        <v>#REF!</v>
      </c>
      <c r="N4459" s="17"/>
      <c r="O4459" s="17"/>
      <c r="P4459" s="17" t="b">
        <f>IFERROR(__xludf.DUMMYFUNCTION("""COMPUTED_VALUE"""),TRUE)</f>
        <v>1</v>
      </c>
      <c r="Q4459" s="20">
        <f>IFERROR(__xludf.DUMMYFUNCTION("""COMPUTED_VALUE"""),45132.722186921295)</f>
        <v>45132.72219</v>
      </c>
      <c r="R4459" s="21" t="str">
        <f>IFERROR(__xludf.DUMMYFUNCTION("""COMPUTED_VALUE"""),"https://drive.google.com/file/d/1q1lJEAbKA59yP3AGYTC763zJka9mkyzO/view?usp=drivesdk")</f>
        <v>https://drive.google.com/file/d/1q1lJEAbKA59yP3AGYTC763zJka9mkyzO/view?usp=drivesdk</v>
      </c>
    </row>
    <row r="4460">
      <c r="A4460" s="15">
        <f>IFERROR(__xludf.DUMMYFUNCTION("""COMPUTED_VALUE"""),45132.0)</f>
        <v>45132</v>
      </c>
      <c r="B4460" s="16" t="str">
        <f>IFERROR(__xludf.DUMMYFUNCTION("""COMPUTED_VALUE"""),"Envia")</f>
        <v>Envia</v>
      </c>
      <c r="C4460" s="15" t="str">
        <f>IFERROR(__xludf.DUMMYFUNCTION("""COMPUTED_VALUE"""),"IBAGUÉ")</f>
        <v>IBAGUÉ</v>
      </c>
      <c r="D4460" s="15" t="str">
        <f>IFERROR(__xludf.DUMMYFUNCTION("""COMPUTED_VALUE"""),"BOGOTÁ")</f>
        <v>BOGOTÁ</v>
      </c>
      <c r="E4460" s="15" t="str">
        <f>IFERROR(__xludf.DUMMYFUNCTION("""COMPUTED_VALUE"""),"Evamazzita")</f>
        <v>Evamazzita</v>
      </c>
      <c r="F4460" s="17" t="str">
        <f>IFERROR(__xludf.DUMMYFUNCTION("""COMPUTED_VALUE"""),"Carrera 11 A #35-62 / N/A / Barrio Gaitan Parte Alta")</f>
        <v>Carrera 11 A #35-62 / N/A / Barrio Gaitan Parte Alta</v>
      </c>
      <c r="G4460" s="15" t="str">
        <f>IFERROR(__xludf.DUMMYFUNCTION("""COMPUTED_VALUE"""),"JORGE BERNARDO TORRES")</f>
        <v>JORGE BERNARDO TORRES</v>
      </c>
      <c r="H4460" s="16">
        <f>IFERROR(__xludf.DUMMYFUNCTION("""COMPUTED_VALUE"""),13195.0)</f>
        <v>13195</v>
      </c>
      <c r="I4460" s="18">
        <f>IFERROR(__xludf.DUMMYFUNCTION("""COMPUTED_VALUE"""),12.0)</f>
        <v>12</v>
      </c>
      <c r="J4460" s="18">
        <f>IFERROR(__xludf.DUMMYFUNCTION("""COMPUTED_VALUE"""),40.0)</f>
        <v>40</v>
      </c>
      <c r="K4460" s="18">
        <f>IFERROR(__xludf.DUMMYFUNCTION("""COMPUTED_VALUE"""),24.0)</f>
        <v>24</v>
      </c>
      <c r="L4460" s="17">
        <f>IFERROR(__xludf.DUMMYFUNCTION("""COMPUTED_VALUE"""),3.144530156E9)</f>
        <v>3144530156</v>
      </c>
      <c r="M4460" s="17" t="str">
        <f>IFERROR(__xludf.DUMMYFUNCTION("""COMPUTED_VALUE"""),"#REF!")</f>
        <v>#REF!</v>
      </c>
      <c r="N4460" s="17"/>
      <c r="O4460" s="17"/>
      <c r="P4460" s="17" t="b">
        <f>IFERROR(__xludf.DUMMYFUNCTION("""COMPUTED_VALUE"""),TRUE)</f>
        <v>1</v>
      </c>
      <c r="Q4460" s="20">
        <f>IFERROR(__xludf.DUMMYFUNCTION("""COMPUTED_VALUE"""),45132.722186921295)</f>
        <v>45132.72219</v>
      </c>
      <c r="R4460" s="21" t="str">
        <f>IFERROR(__xludf.DUMMYFUNCTION("""COMPUTED_VALUE"""),"https://drive.google.com/file/d/1VnC8itjVZMay78UYTrPR0xdF6vwC1beK/view?usp=drivesdk")</f>
        <v>https://drive.google.com/file/d/1VnC8itjVZMay78UYTrPR0xdF6vwC1beK/view?usp=drivesdk</v>
      </c>
    </row>
    <row r="4461">
      <c r="A4461" s="15">
        <f>IFERROR(__xludf.DUMMYFUNCTION("""COMPUTED_VALUE"""),45132.0)</f>
        <v>45132</v>
      </c>
      <c r="B4461" s="16" t="str">
        <f>IFERROR(__xludf.DUMMYFUNCTION("""COMPUTED_VALUE"""),"Envia")</f>
        <v>Envia</v>
      </c>
      <c r="C4461" s="15" t="str">
        <f>IFERROR(__xludf.DUMMYFUNCTION("""COMPUTED_VALUE"""),"MANIZALES")</f>
        <v>MANIZALES</v>
      </c>
      <c r="D4461" s="15" t="str">
        <f>IFERROR(__xludf.DUMMYFUNCTION("""COMPUTED_VALUE"""),"BOGOTÁ")</f>
        <v>BOGOTÁ</v>
      </c>
      <c r="E4461" s="15" t="str">
        <f>IFERROR(__xludf.DUMMYFUNCTION("""COMPUTED_VALUE"""),"Evamazzita")</f>
        <v>Evamazzita</v>
      </c>
      <c r="F4461" s="17" t="str">
        <f>IFERROR(__xludf.DUMMYFUNCTION("""COMPUTED_VALUE"""),"Cll 56 # 10 B 52  / N/A / Barrio la Carola")</f>
        <v>Cll 56 # 10 B 52  / N/A / Barrio la Carola</v>
      </c>
      <c r="G4461" s="15" t="str">
        <f>IFERROR(__xludf.DUMMYFUNCTION("""COMPUTED_VALUE"""),"STEFANIA AGUIRRE GAVIRIA")</f>
        <v>STEFANIA AGUIRRE GAVIRIA</v>
      </c>
      <c r="H4461" s="16">
        <f>IFERROR(__xludf.DUMMYFUNCTION("""COMPUTED_VALUE"""),13201.0)</f>
        <v>13201</v>
      </c>
      <c r="I4461" s="18">
        <f>IFERROR(__xludf.DUMMYFUNCTION("""COMPUTED_VALUE"""),1.0)</f>
        <v>1</v>
      </c>
      <c r="J4461" s="18">
        <f>IFERROR(__xludf.DUMMYFUNCTION("""COMPUTED_VALUE"""),1.0)</f>
        <v>1</v>
      </c>
      <c r="K4461" s="18">
        <f>IFERROR(__xludf.DUMMYFUNCTION("""COMPUTED_VALUE"""),1.0)</f>
        <v>1</v>
      </c>
      <c r="L4461" s="17">
        <f>IFERROR(__xludf.DUMMYFUNCTION("""COMPUTED_VALUE"""),3.005213746E9)</f>
        <v>3005213746</v>
      </c>
      <c r="M4461" s="17" t="str">
        <f>IFERROR(__xludf.DUMMYFUNCTION("""COMPUTED_VALUE"""),"#REF!")</f>
        <v>#REF!</v>
      </c>
      <c r="N4461" s="17"/>
      <c r="O4461" s="17"/>
      <c r="P4461" s="17" t="b">
        <f>IFERROR(__xludf.DUMMYFUNCTION("""COMPUTED_VALUE"""),TRUE)</f>
        <v>1</v>
      </c>
      <c r="Q4461" s="20">
        <f>IFERROR(__xludf.DUMMYFUNCTION("""COMPUTED_VALUE"""),45132.722186921295)</f>
        <v>45132.72219</v>
      </c>
      <c r="R4461" s="22" t="str">
        <f>IFERROR(__xludf.DUMMYFUNCTION("""COMPUTED_VALUE"""),"")</f>
        <v/>
      </c>
    </row>
    <row r="4462">
      <c r="A4462" s="15">
        <f>IFERROR(__xludf.DUMMYFUNCTION("""COMPUTED_VALUE"""),45132.0)</f>
        <v>45132</v>
      </c>
      <c r="B4462" s="16" t="str">
        <f>IFERROR(__xludf.DUMMYFUNCTION("""COMPUTED_VALUE"""),"Envia")</f>
        <v>Envia</v>
      </c>
      <c r="C4462" s="15" t="str">
        <f>IFERROR(__xludf.DUMMYFUNCTION("""COMPUTED_VALUE"""),"MANIZALES")</f>
        <v>MANIZALES</v>
      </c>
      <c r="D4462" s="15" t="str">
        <f>IFERROR(__xludf.DUMMYFUNCTION("""COMPUTED_VALUE"""),"BOGOTÁ")</f>
        <v>BOGOTÁ</v>
      </c>
      <c r="E4462" s="15" t="str">
        <f>IFERROR(__xludf.DUMMYFUNCTION("""COMPUTED_VALUE"""),"Top Spun")</f>
        <v>Top Spun</v>
      </c>
      <c r="F4462" s="17" t="str">
        <f>IFERROR(__xludf.DUMMYFUNCTION("""COMPUTED_VALUE"""),"CALLE 23 # 23 - 16 / EDIFICIO CAJA SOCIAL OFICINA 1001  / EDIFICIO CAJA SOCIAL")</f>
        <v>CALLE 23 # 23 - 16 / EDIFICIO CAJA SOCIAL OFICINA 1001  / EDIFICIO CAJA SOCIAL</v>
      </c>
      <c r="G4462" s="15" t="str">
        <f>IFERROR(__xludf.DUMMYFUNCTION("""COMPUTED_VALUE"""),"MANUELA LOPEZ VALENCIA")</f>
        <v>MANUELA LOPEZ VALENCIA</v>
      </c>
      <c r="H4462" s="16">
        <f>IFERROR(__xludf.DUMMYFUNCTION("""COMPUTED_VALUE"""),13159.0)</f>
        <v>13159</v>
      </c>
      <c r="I4462" s="18">
        <f>IFERROR(__xludf.DUMMYFUNCTION("""COMPUTED_VALUE"""),20.0)</f>
        <v>20</v>
      </c>
      <c r="J4462" s="18">
        <f>IFERROR(__xludf.DUMMYFUNCTION("""COMPUTED_VALUE"""),10.0)</f>
        <v>10</v>
      </c>
      <c r="K4462" s="18">
        <f>IFERROR(__xludf.DUMMYFUNCTION("""COMPUTED_VALUE"""),40.0)</f>
        <v>40</v>
      </c>
      <c r="L4462" s="17">
        <f>IFERROR(__xludf.DUMMYFUNCTION("""COMPUTED_VALUE"""),3.173755897E9)</f>
        <v>3173755897</v>
      </c>
      <c r="M4462" s="17" t="str">
        <f>IFERROR(__xludf.DUMMYFUNCTION("""COMPUTED_VALUE"""),"#REF!")</f>
        <v>#REF!</v>
      </c>
      <c r="N4462" s="17"/>
      <c r="O4462" s="17"/>
      <c r="P4462" s="17" t="b">
        <f>IFERROR(__xludf.DUMMYFUNCTION("""COMPUTED_VALUE"""),TRUE)</f>
        <v>1</v>
      </c>
      <c r="Q4462" s="20">
        <f>IFERROR(__xludf.DUMMYFUNCTION("""COMPUTED_VALUE"""),45133.61751487268)</f>
        <v>45133.61751</v>
      </c>
      <c r="R4462" s="21" t="str">
        <f>IFERROR(__xludf.DUMMYFUNCTION("""COMPUTED_VALUE"""),"https://drive.google.com/file/d/10GX67Wpu5PsSqYFG0v0wFoW7awR0LnrB/view?usp=drivesdk")</f>
        <v>https://drive.google.com/file/d/10GX67Wpu5PsSqYFG0v0wFoW7awR0LnrB/view?usp=drivesdk</v>
      </c>
    </row>
    <row r="4463">
      <c r="A4463" s="15">
        <f>IFERROR(__xludf.DUMMYFUNCTION("""COMPUTED_VALUE"""),45132.0)</f>
        <v>45132</v>
      </c>
      <c r="B4463" s="16" t="str">
        <f>IFERROR(__xludf.DUMMYFUNCTION("""COMPUTED_VALUE"""),"Envia")</f>
        <v>Envia</v>
      </c>
      <c r="C4463" s="15" t="str">
        <f>IFERROR(__xludf.DUMMYFUNCTION("""COMPUTED_VALUE"""),"MANIZALES")</f>
        <v>MANIZALES</v>
      </c>
      <c r="D4463" s="15" t="str">
        <f>IFERROR(__xludf.DUMMYFUNCTION("""COMPUTED_VALUE"""),"MEDELLÍN")</f>
        <v>MEDELLÍN</v>
      </c>
      <c r="E4463" s="15" t="str">
        <f>IFERROR(__xludf.DUMMYFUNCTION("""COMPUTED_VALUE"""),"Helados swip")</f>
        <v>Helados swip</v>
      </c>
      <c r="F4463" s="17" t="str">
        <f>IFERROR(__xludf.DUMMYFUNCTION("""COMPUTED_VALUE"""),"CALLE 69 # 28 C 55  / EDIFICIO ALAMEDA APTO 402  TORRE B / EDIFICIO ALAMEDA")</f>
        <v>CALLE 69 # 28 C 55  / EDIFICIO ALAMEDA APTO 402  TORRE B / EDIFICIO ALAMEDA</v>
      </c>
      <c r="G4463" s="15" t="str">
        <f>IFERROR(__xludf.DUMMYFUNCTION("""COMPUTED_VALUE"""),"MERCA FIT EXPRESS")</f>
        <v>MERCA FIT EXPRESS</v>
      </c>
      <c r="H4463" s="16">
        <f>IFERROR(__xludf.DUMMYFUNCTION("""COMPUTED_VALUE"""),13184.0)</f>
        <v>13184</v>
      </c>
      <c r="I4463" s="18">
        <f>IFERROR(__xludf.DUMMYFUNCTION("""COMPUTED_VALUE"""),29.0)</f>
        <v>29</v>
      </c>
      <c r="J4463" s="18">
        <f>IFERROR(__xludf.DUMMYFUNCTION("""COMPUTED_VALUE"""),55.0)</f>
        <v>55</v>
      </c>
      <c r="K4463" s="18">
        <f>IFERROR(__xludf.DUMMYFUNCTION("""COMPUTED_VALUE"""),45.0)</f>
        <v>45</v>
      </c>
      <c r="L4463" s="17">
        <f>IFERROR(__xludf.DUMMYFUNCTION("""COMPUTED_VALUE"""),3.015128629E9)</f>
        <v>3015128629</v>
      </c>
      <c r="M4463" s="17" t="str">
        <f>IFERROR(__xludf.DUMMYFUNCTION("""COMPUTED_VALUE"""),"#REF!")</f>
        <v>#REF!</v>
      </c>
      <c r="N4463" s="17"/>
      <c r="O4463" s="17"/>
      <c r="P4463" s="17" t="b">
        <f>IFERROR(__xludf.DUMMYFUNCTION("""COMPUTED_VALUE"""),TRUE)</f>
        <v>1</v>
      </c>
      <c r="Q4463" s="20">
        <f>IFERROR(__xludf.DUMMYFUNCTION("""COMPUTED_VALUE"""),45132.722186921295)</f>
        <v>45132.72219</v>
      </c>
      <c r="R4463" s="22" t="str">
        <f>IFERROR(__xludf.DUMMYFUNCTION("""COMPUTED_VALUE"""),"")</f>
        <v/>
      </c>
    </row>
    <row r="4464">
      <c r="A4464" s="15">
        <f>IFERROR(__xludf.DUMMYFUNCTION("""COMPUTED_VALUE"""),45132.0)</f>
        <v>45132</v>
      </c>
      <c r="B4464" s="16" t="str">
        <f>IFERROR(__xludf.DUMMYFUNCTION("""COMPUTED_VALUE"""),"Envia")</f>
        <v>Envia</v>
      </c>
      <c r="C4464" s="15" t="str">
        <f>IFERROR(__xludf.DUMMYFUNCTION("""COMPUTED_VALUE"""),"MANIZALES")</f>
        <v>MANIZALES</v>
      </c>
      <c r="D4464" s="15" t="str">
        <f>IFERROR(__xludf.DUMMYFUNCTION("""COMPUTED_VALUE"""),"MEDELLÍN")</f>
        <v>MEDELLÍN</v>
      </c>
      <c r="E4464" s="15" t="str">
        <f>IFERROR(__xludf.DUMMYFUNCTION("""COMPUTED_VALUE"""),"Todo Bufala")</f>
        <v>Todo Bufala</v>
      </c>
      <c r="F4464" s="17" t="str">
        <f>IFERROR(__xludf.DUMMYFUNCTION("""COMPUTED_VALUE"""),"Call 66 #23B - 211 / Edifico calle larga, local 5c")</f>
        <v>Call 66 #23B - 211 / Edifico calle larga, local 5c</v>
      </c>
      <c r="G4464" s="15" t="str">
        <f>IFERROR(__xludf.DUMMYFUNCTION("""COMPUTED_VALUE"""),"Sebastian Perez Pineda")</f>
        <v>Sebastian Perez Pineda</v>
      </c>
      <c r="H4464" s="16">
        <f>IFERROR(__xludf.DUMMYFUNCTION("""COMPUTED_VALUE"""),13173.0)</f>
        <v>13173</v>
      </c>
      <c r="I4464" s="18">
        <f>IFERROR(__xludf.DUMMYFUNCTION("""COMPUTED_VALUE"""),20.0)</f>
        <v>20</v>
      </c>
      <c r="J4464" s="18">
        <f>IFERROR(__xludf.DUMMYFUNCTION("""COMPUTED_VALUE"""),30.0)</f>
        <v>30</v>
      </c>
      <c r="K4464" s="18">
        <f>IFERROR(__xludf.DUMMYFUNCTION("""COMPUTED_VALUE"""),40.0)</f>
        <v>40</v>
      </c>
      <c r="L4464" s="17">
        <f>IFERROR(__xludf.DUMMYFUNCTION("""COMPUTED_VALUE"""),3.106974621E9)</f>
        <v>3106974621</v>
      </c>
      <c r="M4464" s="17" t="str">
        <f>IFERROR(__xludf.DUMMYFUNCTION("""COMPUTED_VALUE"""),"#REF!")</f>
        <v>#REF!</v>
      </c>
      <c r="N4464" s="17"/>
      <c r="O4464" s="17"/>
      <c r="P4464" s="17" t="b">
        <f>IFERROR(__xludf.DUMMYFUNCTION("""COMPUTED_VALUE"""),FALSE)</f>
        <v>0</v>
      </c>
      <c r="Q4464" s="20" t="str">
        <f>IFERROR(__xludf.DUMMYFUNCTION("""COMPUTED_VALUE"""),"")</f>
        <v/>
      </c>
      <c r="R4464" s="22" t="str">
        <f>IFERROR(__xludf.DUMMYFUNCTION("""COMPUTED_VALUE"""),"")</f>
        <v/>
      </c>
    </row>
    <row r="4465">
      <c r="A4465" s="15">
        <f>IFERROR(__xludf.DUMMYFUNCTION("""COMPUTED_VALUE"""),45132.0)</f>
        <v>45132</v>
      </c>
      <c r="B4465" s="16" t="str">
        <f>IFERROR(__xludf.DUMMYFUNCTION("""COMPUTED_VALUE"""),"Envia")</f>
        <v>Envia</v>
      </c>
      <c r="C4465" s="15" t="str">
        <f>IFERROR(__xludf.DUMMYFUNCTION("""COMPUTED_VALUE"""),"MEDELLÍN")</f>
        <v>MEDELLÍN</v>
      </c>
      <c r="D4465" s="15" t="str">
        <f>IFERROR(__xludf.DUMMYFUNCTION("""COMPUTED_VALUE"""),"BOGOTÁ")</f>
        <v>BOGOTÁ</v>
      </c>
      <c r="E4465" s="15" t="str">
        <f>IFERROR(__xludf.DUMMYFUNCTION("""COMPUTED_VALUE"""),"Asociacion Agropecuaria Juana Maria")</f>
        <v>Asociacion Agropecuaria Juana Maria</v>
      </c>
      <c r="F4465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465" s="15" t="str">
        <f>IFERROR(__xludf.DUMMYFUNCTION("""COMPUTED_VALUE"""),"Jennifer Sanchez Blandon")</f>
        <v>Jennifer Sanchez Blandon</v>
      </c>
      <c r="H4465" s="16">
        <f>IFERROR(__xludf.DUMMYFUNCTION("""COMPUTED_VALUE"""),13166.0)</f>
        <v>13166</v>
      </c>
      <c r="I4465" s="18">
        <f>IFERROR(__xludf.DUMMYFUNCTION("""COMPUTED_VALUE"""),21.0)</f>
        <v>21</v>
      </c>
      <c r="J4465" s="18">
        <f>IFERROR(__xludf.DUMMYFUNCTION("""COMPUTED_VALUE"""),37.0)</f>
        <v>37</v>
      </c>
      <c r="K4465" s="18">
        <f>IFERROR(__xludf.DUMMYFUNCTION("""COMPUTED_VALUE"""),30.0)</f>
        <v>30</v>
      </c>
      <c r="L4465" s="17">
        <f>IFERROR(__xludf.DUMMYFUNCTION("""COMPUTED_VALUE"""),3.016937674E9)</f>
        <v>3016937674</v>
      </c>
      <c r="M4465" s="17" t="str">
        <f>IFERROR(__xludf.DUMMYFUNCTION("""COMPUTED_VALUE"""),"#REF!")</f>
        <v>#REF!</v>
      </c>
      <c r="N4465" s="17"/>
      <c r="O4465" s="17"/>
      <c r="P4465" s="17" t="b">
        <f>IFERROR(__xludf.DUMMYFUNCTION("""COMPUTED_VALUE"""),TRUE)</f>
        <v>1</v>
      </c>
      <c r="Q4465" s="20">
        <f>IFERROR(__xludf.DUMMYFUNCTION("""COMPUTED_VALUE"""),45132.722186921295)</f>
        <v>45132.72219</v>
      </c>
      <c r="R4465" s="22" t="str">
        <f>IFERROR(__xludf.DUMMYFUNCTION("""COMPUTED_VALUE"""),"")</f>
        <v/>
      </c>
    </row>
    <row r="4466">
      <c r="A4466" s="15">
        <f>IFERROR(__xludf.DUMMYFUNCTION("""COMPUTED_VALUE"""),45132.0)</f>
        <v>45132</v>
      </c>
      <c r="B4466" s="16" t="str">
        <f>IFERROR(__xludf.DUMMYFUNCTION("""COMPUTED_VALUE"""),"Envia")</f>
        <v>Envia</v>
      </c>
      <c r="C4466" s="15" t="str">
        <f>IFERROR(__xludf.DUMMYFUNCTION("""COMPUTED_VALUE"""),"MEDELLÍN")</f>
        <v>MEDELLÍN</v>
      </c>
      <c r="D4466" s="15" t="str">
        <f>IFERROR(__xludf.DUMMYFUNCTION("""COMPUTED_VALUE"""),"BOGOTÁ")</f>
        <v>BOGOTÁ</v>
      </c>
      <c r="E4466" s="15" t="str">
        <f>IFERROR(__xludf.DUMMYFUNCTION("""COMPUTED_VALUE"""),"Evamazzita")</f>
        <v>Evamazzita</v>
      </c>
      <c r="F4466" s="17" t="str">
        <f>IFERROR(__xludf.DUMMYFUNCTION("""COMPUTED_VALUE"""),"CALLE 39BF #113 B 41 / SAN JAVIER  / 20 JULIO NUEVOS CONQUISTADORES")</f>
        <v>CALLE 39BF #113 B 41 / SAN JAVIER  / 20 JULIO NUEVOS CONQUISTADORES</v>
      </c>
      <c r="G4466" s="15" t="str">
        <f>IFERROR(__xludf.DUMMYFUNCTION("""COMPUTED_VALUE"""),"VALENTINA ARROYAVE")</f>
        <v>VALENTINA ARROYAVE</v>
      </c>
      <c r="H4466" s="16">
        <f>IFERROR(__xludf.DUMMYFUNCTION("""COMPUTED_VALUE"""),13212.0)</f>
        <v>13212</v>
      </c>
      <c r="I4466" s="18">
        <f>IFERROR(__xludf.DUMMYFUNCTION("""COMPUTED_VALUE"""),1.0)</f>
        <v>1</v>
      </c>
      <c r="J4466" s="18">
        <f>IFERROR(__xludf.DUMMYFUNCTION("""COMPUTED_VALUE"""),1.0)</f>
        <v>1</v>
      </c>
      <c r="K4466" s="18">
        <f>IFERROR(__xludf.DUMMYFUNCTION("""COMPUTED_VALUE"""),1.0)</f>
        <v>1</v>
      </c>
      <c r="L4466" s="17">
        <f>IFERROR(__xludf.DUMMYFUNCTION("""COMPUTED_VALUE"""),3.194341556E9)</f>
        <v>3194341556</v>
      </c>
      <c r="M4466" s="17" t="str">
        <f>IFERROR(__xludf.DUMMYFUNCTION("""COMPUTED_VALUE"""),"#REF!")</f>
        <v>#REF!</v>
      </c>
      <c r="N4466" s="17"/>
      <c r="O4466" s="17"/>
      <c r="P4466" s="17" t="b">
        <f>IFERROR(__xludf.DUMMYFUNCTION("""COMPUTED_VALUE"""),FALSE)</f>
        <v>0</v>
      </c>
      <c r="Q4466" s="20" t="str">
        <f>IFERROR(__xludf.DUMMYFUNCTION("""COMPUTED_VALUE"""),"")</f>
        <v/>
      </c>
      <c r="R4466" s="21" t="str">
        <f>IFERROR(__xludf.DUMMYFUNCTION("""COMPUTED_VALUE"""),"https://drive.google.com/file/d/1K57V8PbJi9PPhJJthAQpaAdrtbGLMStm/view?usp=drivesdk")</f>
        <v>https://drive.google.com/file/d/1K57V8PbJi9PPhJJthAQpaAdrtbGLMStm/view?usp=drivesdk</v>
      </c>
    </row>
    <row r="4467">
      <c r="A4467" s="15">
        <f>IFERROR(__xludf.DUMMYFUNCTION("""COMPUTED_VALUE"""),45132.0)</f>
        <v>45132</v>
      </c>
      <c r="B4467" s="16" t="str">
        <f>IFERROR(__xludf.DUMMYFUNCTION("""COMPUTED_VALUE"""),"Envia")</f>
        <v>Envia</v>
      </c>
      <c r="C4467" s="15" t="str">
        <f>IFERROR(__xludf.DUMMYFUNCTION("""COMPUTED_VALUE"""),"MEDELLÍN")</f>
        <v>MEDELLÍN</v>
      </c>
      <c r="D4467" s="15" t="str">
        <f>IFERROR(__xludf.DUMMYFUNCTION("""COMPUTED_VALUE"""),"BOGOTÁ")</f>
        <v>BOGOTÁ</v>
      </c>
      <c r="E4467" s="15" t="str">
        <f>IFERROR(__xludf.DUMMYFUNCTION("""COMPUTED_VALUE"""),"Lunchy Kids")</f>
        <v>Lunchy Kids</v>
      </c>
      <c r="F4467" s="17" t="str">
        <f>IFERROR(__xludf.DUMMYFUNCTION("""COMPUTED_VALUE"""),"Calle 29 37a 38   / Unidad Mirador San Diego Bloque 13 - Apto 117 / Medellin")</f>
        <v>Calle 29 37a 38   / Unidad Mirador San Diego Bloque 13 - Apto 117 / Medellin</v>
      </c>
      <c r="G4467" s="15" t="str">
        <f>IFERROR(__xludf.DUMMYFUNCTION("""COMPUTED_VALUE"""),"Daniela Correa")</f>
        <v>Daniela Correa</v>
      </c>
      <c r="H4467" s="16">
        <f>IFERROR(__xludf.DUMMYFUNCTION("""COMPUTED_VALUE"""),13153.0)</f>
        <v>13153</v>
      </c>
      <c r="I4467" s="18">
        <f>IFERROR(__xludf.DUMMYFUNCTION("""COMPUTED_VALUE"""),21.0)</f>
        <v>21</v>
      </c>
      <c r="J4467" s="18">
        <f>IFERROR(__xludf.DUMMYFUNCTION("""COMPUTED_VALUE"""),23.0)</f>
        <v>23</v>
      </c>
      <c r="K4467" s="18">
        <f>IFERROR(__xludf.DUMMYFUNCTION("""COMPUTED_VALUE"""),7.0)</f>
        <v>7</v>
      </c>
      <c r="L4467" s="17">
        <f>IFERROR(__xludf.DUMMYFUNCTION("""COMPUTED_VALUE"""),3.147956814E9)</f>
        <v>3147956814</v>
      </c>
      <c r="M4467" s="17" t="str">
        <f>IFERROR(__xludf.DUMMYFUNCTION("""COMPUTED_VALUE"""),"#REF!")</f>
        <v>#REF!</v>
      </c>
      <c r="N4467" s="17"/>
      <c r="O4467" s="17"/>
      <c r="P4467" s="17" t="b">
        <f>IFERROR(__xludf.DUMMYFUNCTION("""COMPUTED_VALUE"""),FALSE)</f>
        <v>0</v>
      </c>
      <c r="Q4467" s="20" t="str">
        <f>IFERROR(__xludf.DUMMYFUNCTION("""COMPUTED_VALUE"""),"")</f>
        <v/>
      </c>
      <c r="R4467" s="21" t="str">
        <f>IFERROR(__xludf.DUMMYFUNCTION("""COMPUTED_VALUE"""),"https://drive.google.com/file/d/1_l-Z409fe_zfVEd8cDpXDbmb9LHVJ-Og/view?usp=drivesdk")</f>
        <v>https://drive.google.com/file/d/1_l-Z409fe_zfVEd8cDpXDbmb9LHVJ-Og/view?usp=drivesdk</v>
      </c>
    </row>
    <row r="4468">
      <c r="A4468" s="15">
        <f>IFERROR(__xludf.DUMMYFUNCTION("""COMPUTED_VALUE"""),45132.0)</f>
        <v>45132</v>
      </c>
      <c r="B4468" s="16" t="str">
        <f>IFERROR(__xludf.DUMMYFUNCTION("""COMPUTED_VALUE"""),"Envia")</f>
        <v>Envia</v>
      </c>
      <c r="C4468" s="15" t="str">
        <f>IFERROR(__xludf.DUMMYFUNCTION("""COMPUTED_VALUE"""),"MEDELLÍN")</f>
        <v>MEDELLÍN</v>
      </c>
      <c r="D4468" s="15" t="str">
        <f>IFERROR(__xludf.DUMMYFUNCTION("""COMPUTED_VALUE"""),"BOGOTÁ")</f>
        <v>BOGOTÁ</v>
      </c>
      <c r="E4468" s="15" t="str">
        <f>IFERROR(__xludf.DUMMYFUNCTION("""COMPUTED_VALUE"""),"Lunchy Kids")</f>
        <v>Lunchy Kids</v>
      </c>
      <c r="F4468" s="17" t="str">
        <f>IFERROR(__xludf.DUMMYFUNCTION("""COMPUTED_VALUE"""),"Calle 32A #65CC - 55   / Unidad Nuevo Conquistadores Austral - Apto 206 / Belén de Fátima")</f>
        <v>Calle 32A #65CC - 55   / Unidad Nuevo Conquistadores Austral - Apto 206 / Belén de Fátima</v>
      </c>
      <c r="G4468" s="15" t="str">
        <f>IFERROR(__xludf.DUMMYFUNCTION("""COMPUTED_VALUE"""),"Sandra Restrepo")</f>
        <v>Sandra Restrepo</v>
      </c>
      <c r="H4468" s="16">
        <f>IFERROR(__xludf.DUMMYFUNCTION("""COMPUTED_VALUE"""),13169.0)</f>
        <v>13169</v>
      </c>
      <c r="I4468" s="18">
        <f>IFERROR(__xludf.DUMMYFUNCTION("""COMPUTED_VALUE"""),15.0)</f>
        <v>15</v>
      </c>
      <c r="J4468" s="18">
        <f>IFERROR(__xludf.DUMMYFUNCTION("""COMPUTED_VALUE"""),15.0)</f>
        <v>15</v>
      </c>
      <c r="K4468" s="18">
        <f>IFERROR(__xludf.DUMMYFUNCTION("""COMPUTED_VALUE"""),6.0)</f>
        <v>6</v>
      </c>
      <c r="L4468" s="17">
        <f>IFERROR(__xludf.DUMMYFUNCTION("""COMPUTED_VALUE"""),3.00819783E9)</f>
        <v>3008197830</v>
      </c>
      <c r="M4468" s="17" t="str">
        <f>IFERROR(__xludf.DUMMYFUNCTION("""COMPUTED_VALUE"""),"#REF!")</f>
        <v>#REF!</v>
      </c>
      <c r="N4468" s="17"/>
      <c r="O4468" s="17"/>
      <c r="P4468" s="17" t="b">
        <f>IFERROR(__xludf.DUMMYFUNCTION("""COMPUTED_VALUE"""),FALSE)</f>
        <v>0</v>
      </c>
      <c r="Q4468" s="20" t="str">
        <f>IFERROR(__xludf.DUMMYFUNCTION("""COMPUTED_VALUE"""),"")</f>
        <v/>
      </c>
      <c r="R4468" s="21" t="str">
        <f>IFERROR(__xludf.DUMMYFUNCTION("""COMPUTED_VALUE"""),"https://drive.google.com/file/d/1enHkhga-8OHBhIh92TmIKz8h5w2R8lYS/view?usp=drivesdk")</f>
        <v>https://drive.google.com/file/d/1enHkhga-8OHBhIh92TmIKz8h5w2R8lYS/view?usp=drivesdk</v>
      </c>
    </row>
    <row r="4469">
      <c r="A4469" s="15">
        <f>IFERROR(__xludf.DUMMYFUNCTION("""COMPUTED_VALUE"""),45132.0)</f>
        <v>45132</v>
      </c>
      <c r="B4469" s="16" t="str">
        <f>IFERROR(__xludf.DUMMYFUNCTION("""COMPUTED_VALUE"""),"Envia")</f>
        <v>Envia</v>
      </c>
      <c r="C4469" s="15" t="str">
        <f>IFERROR(__xludf.DUMMYFUNCTION("""COMPUTED_VALUE"""),"MEDELLÍN")</f>
        <v>MEDELLÍN</v>
      </c>
      <c r="D4469" s="15" t="str">
        <f>IFERROR(__xludf.DUMMYFUNCTION("""COMPUTED_VALUE"""),"BOGOTÁ")</f>
        <v>BOGOTÁ</v>
      </c>
      <c r="E4469" s="15" t="str">
        <f>IFERROR(__xludf.DUMMYFUNCTION("""COMPUTED_VALUE"""),"Masar Cocina")</f>
        <v>Masar Cocina</v>
      </c>
      <c r="F4469" s="17" t="str">
        <f>IFERROR(__xludf.DUMMYFUNCTION("""COMPUTED_VALUE"""),"Calle 36d sur n 24-120 loma del escober / Envigado entrada antes de llegar a la unidad fiore  / Loma del escobero Entrada de rieles")</f>
        <v>Calle 36d sur n 24-120 loma del escober / Envigado entrada antes de llegar a la unidad fiore  / Loma del escobero Entrada de rieles</v>
      </c>
      <c r="G4469" s="15" t="str">
        <f>IFERROR(__xludf.DUMMYFUNCTION("""COMPUTED_VALUE"""),"Manuela saldarriaga")</f>
        <v>Manuela saldarriaga</v>
      </c>
      <c r="H4469" s="16">
        <f>IFERROR(__xludf.DUMMYFUNCTION("""COMPUTED_VALUE"""),13251.0)</f>
        <v>13251</v>
      </c>
      <c r="I4469" s="18">
        <f>IFERROR(__xludf.DUMMYFUNCTION("""COMPUTED_VALUE"""),1.0)</f>
        <v>1</v>
      </c>
      <c r="J4469" s="18">
        <f>IFERROR(__xludf.DUMMYFUNCTION("""COMPUTED_VALUE"""),1.0)</f>
        <v>1</v>
      </c>
      <c r="K4469" s="18">
        <f>IFERROR(__xludf.DUMMYFUNCTION("""COMPUTED_VALUE"""),1.0)</f>
        <v>1</v>
      </c>
      <c r="L4469" s="17">
        <f>IFERROR(__xludf.DUMMYFUNCTION("""COMPUTED_VALUE"""),3.014365397E9)</f>
        <v>3014365397</v>
      </c>
      <c r="M4469" s="17" t="str">
        <f>IFERROR(__xludf.DUMMYFUNCTION("""COMPUTED_VALUE"""),"#REF!")</f>
        <v>#REF!</v>
      </c>
      <c r="N4469" s="17"/>
      <c r="O4469" s="17"/>
      <c r="P4469" s="17" t="b">
        <f>IFERROR(__xludf.DUMMYFUNCTION("""COMPUTED_VALUE"""),FALSE)</f>
        <v>0</v>
      </c>
      <c r="Q4469" s="20" t="str">
        <f>IFERROR(__xludf.DUMMYFUNCTION("""COMPUTED_VALUE"""),"")</f>
        <v/>
      </c>
      <c r="R4469" s="22" t="str">
        <f>IFERROR(__xludf.DUMMYFUNCTION("""COMPUTED_VALUE"""),"")</f>
        <v/>
      </c>
    </row>
    <row r="4470">
      <c r="A4470" s="15">
        <f>IFERROR(__xludf.DUMMYFUNCTION("""COMPUTED_VALUE"""),45132.0)</f>
        <v>45132</v>
      </c>
      <c r="B4470" s="16" t="str">
        <f>IFERROR(__xludf.DUMMYFUNCTION("""COMPUTED_VALUE"""),"Envia")</f>
        <v>Envia</v>
      </c>
      <c r="C4470" s="15" t="str">
        <f>IFERROR(__xludf.DUMMYFUNCTION("""COMPUTED_VALUE"""),"MEDELLÍN")</f>
        <v>MEDELLÍN</v>
      </c>
      <c r="D4470" s="15" t="str">
        <f>IFERROR(__xludf.DUMMYFUNCTION("""COMPUTED_VALUE"""),"BOGOTÁ")</f>
        <v>BOGOTÁ</v>
      </c>
      <c r="E4470" s="15" t="str">
        <f>IFERROR(__xludf.DUMMYFUNCTION("""COMPUTED_VALUE"""),"Ventura Productos Arg")</f>
        <v>Ventura Productos Arg</v>
      </c>
      <c r="F4470" s="17" t="str">
        <f>IFERROR(__xludf.DUMMYFUNCTION("""COMPUTED_VALUE"""),"Transversal 38AA #57-110 apto 1904")</f>
        <v>Transversal 38AA #57-110 apto 1904</v>
      </c>
      <c r="G4470" s="15" t="str">
        <f>IFERROR(__xludf.DUMMYFUNCTION("""COMPUTED_VALUE"""),"Sebastian Roldan Jimenez")</f>
        <v>Sebastian Roldan Jimenez</v>
      </c>
      <c r="H4470" s="16">
        <f>IFERROR(__xludf.DUMMYFUNCTION("""COMPUTED_VALUE"""),13243.0)</f>
        <v>13243</v>
      </c>
      <c r="I4470" s="18">
        <f>IFERROR(__xludf.DUMMYFUNCTION("""COMPUTED_VALUE"""),3.0)</f>
        <v>3</v>
      </c>
      <c r="J4470" s="18">
        <f>IFERROR(__xludf.DUMMYFUNCTION("""COMPUTED_VALUE"""),45060.0)</f>
        <v>45060</v>
      </c>
      <c r="K4470" s="18">
        <f>IFERROR(__xludf.DUMMYFUNCTION("""COMPUTED_VALUE"""),22.0)</f>
        <v>22</v>
      </c>
      <c r="L4470" s="17">
        <f>IFERROR(__xludf.DUMMYFUNCTION("""COMPUTED_VALUE"""),3.016640779E9)</f>
        <v>3016640779</v>
      </c>
      <c r="M4470" s="17" t="str">
        <f>IFERROR(__xludf.DUMMYFUNCTION("""COMPUTED_VALUE"""),"#REF!")</f>
        <v>#REF!</v>
      </c>
      <c r="N4470" s="17"/>
      <c r="O4470" s="17"/>
      <c r="P4470" s="17" t="b">
        <f>IFERROR(__xludf.DUMMYFUNCTION("""COMPUTED_VALUE"""),FALSE)</f>
        <v>0</v>
      </c>
      <c r="Q4470" s="20" t="str">
        <f>IFERROR(__xludf.DUMMYFUNCTION("""COMPUTED_VALUE"""),"")</f>
        <v/>
      </c>
      <c r="R4470" s="21" t="str">
        <f>IFERROR(__xludf.DUMMYFUNCTION("""COMPUTED_VALUE"""),"https://drive.google.com/file/d/1dDa2HBaBf8o4R9fAfTxGqQmCN6Zk1xCm/view?usp=drivesdk")</f>
        <v>https://drive.google.com/file/d/1dDa2HBaBf8o4R9fAfTxGqQmCN6Zk1xCm/view?usp=drivesdk</v>
      </c>
    </row>
    <row r="4471">
      <c r="A4471" s="15">
        <f>IFERROR(__xludf.DUMMYFUNCTION("""COMPUTED_VALUE"""),45132.0)</f>
        <v>45132</v>
      </c>
      <c r="B4471" s="16" t="str">
        <f>IFERROR(__xludf.DUMMYFUNCTION("""COMPUTED_VALUE"""),"Envia")</f>
        <v>Envia</v>
      </c>
      <c r="C4471" s="15" t="str">
        <f>IFERROR(__xludf.DUMMYFUNCTION("""COMPUTED_VALUE"""),"MEDELLÍN")</f>
        <v>MEDELLÍN</v>
      </c>
      <c r="D4471" s="15" t="str">
        <f>IFERROR(__xludf.DUMMYFUNCTION("""COMPUTED_VALUE"""),"BOGOTÁ")</f>
        <v>BOGOTÁ</v>
      </c>
      <c r="E4471" s="15" t="str">
        <f>IFERROR(__xludf.DUMMYFUNCTION("""COMPUTED_VALUE"""),"Viiva Fermentados")</f>
        <v>Viiva Fermentados</v>
      </c>
      <c r="F4471" s="17" t="str">
        <f>IFERROR(__xludf.DUMMYFUNCTION("""COMPUTED_VALUE"""),"CR 42 # 08 -39 / Local piso 1 / Poblado")</f>
        <v>CR 42 # 08 -39 / Local piso 1 / Poblado</v>
      </c>
      <c r="G4471" s="15" t="str">
        <f>IFERROR(__xludf.DUMMYFUNCTION("""COMPUTED_VALUE"""),"restaurante La Real Vegetal")</f>
        <v>restaurante La Real Vegetal</v>
      </c>
      <c r="H4471" s="16">
        <f>IFERROR(__xludf.DUMMYFUNCTION("""COMPUTED_VALUE"""),13232.0)</f>
        <v>13232</v>
      </c>
      <c r="I4471" s="18">
        <f>IFERROR(__xludf.DUMMYFUNCTION("""COMPUTED_VALUE"""),28.0)</f>
        <v>28</v>
      </c>
      <c r="J4471" s="18">
        <f>IFERROR(__xludf.DUMMYFUNCTION("""COMPUTED_VALUE"""),32.0)</f>
        <v>32</v>
      </c>
      <c r="K4471" s="18">
        <f>IFERROR(__xludf.DUMMYFUNCTION("""COMPUTED_VALUE"""),24.0)</f>
        <v>24</v>
      </c>
      <c r="L4471" s="17">
        <f>IFERROR(__xludf.DUMMYFUNCTION("""COMPUTED_VALUE"""),3.116345472E9)</f>
        <v>3116345472</v>
      </c>
      <c r="M4471" s="17" t="str">
        <f>IFERROR(__xludf.DUMMYFUNCTION("""COMPUTED_VALUE"""),"#REF!")</f>
        <v>#REF!</v>
      </c>
      <c r="N4471" s="17"/>
      <c r="O4471" s="17"/>
      <c r="P4471" s="17" t="b">
        <f>IFERROR(__xludf.DUMMYFUNCTION("""COMPUTED_VALUE"""),FALSE)</f>
        <v>0</v>
      </c>
      <c r="Q4471" s="20" t="str">
        <f>IFERROR(__xludf.DUMMYFUNCTION("""COMPUTED_VALUE"""),"")</f>
        <v/>
      </c>
      <c r="R4471" s="22" t="str">
        <f>IFERROR(__xludf.DUMMYFUNCTION("""COMPUTED_VALUE"""),"")</f>
        <v/>
      </c>
    </row>
    <row r="4472">
      <c r="A4472" s="15">
        <f>IFERROR(__xludf.DUMMYFUNCTION("""COMPUTED_VALUE"""),45132.0)</f>
        <v>45132</v>
      </c>
      <c r="B4472" s="16" t="str">
        <f>IFERROR(__xludf.DUMMYFUNCTION("""COMPUTED_VALUE"""),"Envia")</f>
        <v>Envia</v>
      </c>
      <c r="C4472" s="15" t="str">
        <f>IFERROR(__xludf.DUMMYFUNCTION("""COMPUTED_VALUE"""),"MEDELLÍN")</f>
        <v>MEDELLÍN</v>
      </c>
      <c r="D4472" s="15" t="str">
        <f>IFERROR(__xludf.DUMMYFUNCTION("""COMPUTED_VALUE"""),"BUCARAMANGA")</f>
        <v>BUCARAMANGA</v>
      </c>
      <c r="E4472" s="15" t="str">
        <f>IFERROR(__xludf.DUMMYFUNCTION("""COMPUTED_VALUE"""),"Yo Como Solito")</f>
        <v>Yo Como Solito</v>
      </c>
      <c r="F4472" s="17" t="str">
        <f>IFERROR(__xludf.DUMMYFUNCTION("""COMPUTED_VALUE"""),"calle 9B SUR NO. 53A-44 GUAYABAL, SAN RAFAEL MEDELLIN / calle 9B SUR NO. 53A-44 GUAYABAL, SAN RAFAEL MEDELLIN / calle 9B SUR NO. 53A-44 GUAYABAL, SAN RAFAEL MEDELLIN")</f>
        <v>calle 9B SUR NO. 53A-44 GUAYABAL, SAN RAFAEL MEDELLIN / calle 9B SUR NO. 53A-44 GUAYABAL, SAN RAFAEL MEDELLIN / calle 9B SUR NO. 53A-44 GUAYABAL, SAN RAFAEL MEDELLIN</v>
      </c>
      <c r="G4472" s="15" t="str">
        <f>IFERROR(__xludf.DUMMYFUNCTION("""COMPUTED_VALUE"""),"DIANA MARCELA MAZO RESTREPO")</f>
        <v>DIANA MARCELA MAZO RESTREPO</v>
      </c>
      <c r="H4472" s="16">
        <f>IFERROR(__xludf.DUMMYFUNCTION("""COMPUTED_VALUE"""),13151.0)</f>
        <v>13151</v>
      </c>
      <c r="I4472" s="18">
        <f>IFERROR(__xludf.DUMMYFUNCTION("""COMPUTED_VALUE"""),18.0)</f>
        <v>18</v>
      </c>
      <c r="J4472" s="18">
        <f>IFERROR(__xludf.DUMMYFUNCTION("""COMPUTED_VALUE"""),26.0)</f>
        <v>26</v>
      </c>
      <c r="K4472" s="18">
        <f>IFERROR(__xludf.DUMMYFUNCTION("""COMPUTED_VALUE"""),21.0)</f>
        <v>21</v>
      </c>
      <c r="L4472" s="17">
        <f>IFERROR(__xludf.DUMMYFUNCTION("""COMPUTED_VALUE"""),3.152624601E9)</f>
        <v>3152624601</v>
      </c>
      <c r="M4472" s="17" t="str">
        <f>IFERROR(__xludf.DUMMYFUNCTION("""COMPUTED_VALUE"""),"#REF!")</f>
        <v>#REF!</v>
      </c>
      <c r="N4472" s="17"/>
      <c r="O4472" s="17"/>
      <c r="P4472" s="17" t="b">
        <f>IFERROR(__xludf.DUMMYFUNCTION("""COMPUTED_VALUE"""),FALSE)</f>
        <v>0</v>
      </c>
      <c r="Q4472" s="20" t="str">
        <f>IFERROR(__xludf.DUMMYFUNCTION("""COMPUTED_VALUE"""),"")</f>
        <v/>
      </c>
      <c r="R4472" s="21" t="str">
        <f>IFERROR(__xludf.DUMMYFUNCTION("""COMPUTED_VALUE"""),"https://drive.google.com/file/d/1uXFz_k_MF7VBR39nxd_WC_-3HYGXpgX4/view?usp=drivesdk")</f>
        <v>https://drive.google.com/file/d/1uXFz_k_MF7VBR39nxd_WC_-3HYGXpgX4/view?usp=drivesdk</v>
      </c>
    </row>
    <row r="4473">
      <c r="A4473" s="15">
        <f>IFERROR(__xludf.DUMMYFUNCTION("""COMPUTED_VALUE"""),45132.0)</f>
        <v>45132</v>
      </c>
      <c r="B4473" s="16" t="str">
        <f>IFERROR(__xludf.DUMMYFUNCTION("""COMPUTED_VALUE"""),"Envia")</f>
        <v>Envia</v>
      </c>
      <c r="C4473" s="15" t="str">
        <f>IFERROR(__xludf.DUMMYFUNCTION("""COMPUTED_VALUE"""),"PEREIRA")</f>
        <v>PEREIRA</v>
      </c>
      <c r="D4473" s="15" t="str">
        <f>IFERROR(__xludf.DUMMYFUNCTION("""COMPUTED_VALUE"""),"BOGOTÁ")</f>
        <v>BOGOTÁ</v>
      </c>
      <c r="E4473" s="15" t="str">
        <f>IFERROR(__xludf.DUMMYFUNCTION("""COMPUTED_VALUE"""),"Ins. Alimento Vital")</f>
        <v>Ins. Alimento Vital</v>
      </c>
      <c r="F4473" s="17" t="str">
        <f>IFERROR(__xludf.DUMMYFUNCTION("""COMPUTED_VALUE"""),"CR 5 18 43  / EDIFICIO CHALJUB / BARRIO URIBE")</f>
        <v>CR 5 18 43  / EDIFICIO CHALJUB / BARRIO URIBE</v>
      </c>
      <c r="G4473" s="15" t="str">
        <f>IFERROR(__xludf.DUMMYFUNCTION("""COMPUTED_VALUE"""),"CHALJUB")</f>
        <v>CHALJUB</v>
      </c>
      <c r="H4473" s="16">
        <f>IFERROR(__xludf.DUMMYFUNCTION("""COMPUTED_VALUE"""),13179.0)</f>
        <v>13179</v>
      </c>
      <c r="I4473" s="18">
        <f>IFERROR(__xludf.DUMMYFUNCTION("""COMPUTED_VALUE"""),1.0)</f>
        <v>1</v>
      </c>
      <c r="J4473" s="18">
        <f>IFERROR(__xludf.DUMMYFUNCTION("""COMPUTED_VALUE"""),1.0)</f>
        <v>1</v>
      </c>
      <c r="K4473" s="18">
        <f>IFERROR(__xludf.DUMMYFUNCTION("""COMPUTED_VALUE"""),1.0)</f>
        <v>1</v>
      </c>
      <c r="L4473" s="17">
        <f>IFERROR(__xludf.DUMMYFUNCTION("""COMPUTED_VALUE"""),3.008252529E9)</f>
        <v>3008252529</v>
      </c>
      <c r="M4473" s="17" t="str">
        <f>IFERROR(__xludf.DUMMYFUNCTION("""COMPUTED_VALUE"""),"#REF!")</f>
        <v>#REF!</v>
      </c>
      <c r="N4473" s="17"/>
      <c r="O4473" s="17"/>
      <c r="P4473" s="17" t="b">
        <f>IFERROR(__xludf.DUMMYFUNCTION("""COMPUTED_VALUE"""),FALSE)</f>
        <v>0</v>
      </c>
      <c r="Q4473" s="20" t="str">
        <f>IFERROR(__xludf.DUMMYFUNCTION("""COMPUTED_VALUE"""),"")</f>
        <v/>
      </c>
      <c r="R4473" s="22" t="str">
        <f>IFERROR(__xludf.DUMMYFUNCTION("""COMPUTED_VALUE"""),"")</f>
        <v/>
      </c>
    </row>
    <row r="4474">
      <c r="A4474" s="15">
        <f>IFERROR(__xludf.DUMMYFUNCTION("""COMPUTED_VALUE"""),45132.0)</f>
        <v>45132</v>
      </c>
      <c r="B4474" s="16" t="str">
        <f>IFERROR(__xludf.DUMMYFUNCTION("""COMPUTED_VALUE"""),"Envia")</f>
        <v>Envia</v>
      </c>
      <c r="C4474" s="15" t="str">
        <f>IFERROR(__xludf.DUMMYFUNCTION("""COMPUTED_VALUE"""),"TUNJA")</f>
        <v>TUNJA</v>
      </c>
      <c r="D4474" s="15" t="str">
        <f>IFERROR(__xludf.DUMMYFUNCTION("""COMPUTED_VALUE"""),"BOGOTÁ")</f>
        <v>BOGOTÁ</v>
      </c>
      <c r="E4474" s="15" t="str">
        <f>IFERROR(__xludf.DUMMYFUNCTION("""COMPUTED_VALUE"""),"Evamazzita")</f>
        <v>Evamazzita</v>
      </c>
      <c r="F4474" s="17" t="str">
        <f>IFERROR(__xludf.DUMMYFUNCTION("""COMPUTED_VALUE"""),"Carrera 6#4A Bis-46 / Segundo Piso/ Llamar al telefono  / Barrio Diña Eva")</f>
        <v>Carrera 6#4A Bis-46 / Segundo Piso/ Llamar al telefono  / Barrio Diña Eva</v>
      </c>
      <c r="G4474" s="15" t="str">
        <f>IFERROR(__xludf.DUMMYFUNCTION("""COMPUTED_VALUE"""),"INGRI CATERINE BUITRAGO OLARTE")</f>
        <v>INGRI CATERINE BUITRAGO OLARTE</v>
      </c>
      <c r="H4474" s="16">
        <f>IFERROR(__xludf.DUMMYFUNCTION("""COMPUTED_VALUE"""),13198.0)</f>
        <v>13198</v>
      </c>
      <c r="I4474" s="18">
        <f>IFERROR(__xludf.DUMMYFUNCTION("""COMPUTED_VALUE"""),1.0)</f>
        <v>1</v>
      </c>
      <c r="J4474" s="18">
        <f>IFERROR(__xludf.DUMMYFUNCTION("""COMPUTED_VALUE"""),1.0)</f>
        <v>1</v>
      </c>
      <c r="K4474" s="18">
        <f>IFERROR(__xludf.DUMMYFUNCTION("""COMPUTED_VALUE"""),1.0)</f>
        <v>1</v>
      </c>
      <c r="L4474" s="17">
        <f>IFERROR(__xludf.DUMMYFUNCTION("""COMPUTED_VALUE"""),3.206432608E9)</f>
        <v>3206432608</v>
      </c>
      <c r="M4474" s="17" t="str">
        <f>IFERROR(__xludf.DUMMYFUNCTION("""COMPUTED_VALUE"""),"#REF!")</f>
        <v>#REF!</v>
      </c>
      <c r="N4474" s="17"/>
      <c r="O4474" s="17"/>
      <c r="P4474" s="17" t="b">
        <f>IFERROR(__xludf.DUMMYFUNCTION("""COMPUTED_VALUE"""),FALSE)</f>
        <v>0</v>
      </c>
      <c r="Q4474" s="20" t="str">
        <f>IFERROR(__xludf.DUMMYFUNCTION("""COMPUTED_VALUE"""),"")</f>
        <v/>
      </c>
      <c r="R4474" s="22" t="str">
        <f>IFERROR(__xludf.DUMMYFUNCTION("""COMPUTED_VALUE"""),"")</f>
        <v/>
      </c>
    </row>
    <row r="4475">
      <c r="A4475" s="17" t="str">
        <f>IFERROR(__xludf.DUMMYFUNCTION("""COMPUTED_VALUE"""),"")</f>
        <v/>
      </c>
      <c r="B4475" s="17" t="str">
        <f>IFERROR(__xludf.DUMMYFUNCTION("""COMPUTED_VALUE"""),"")</f>
        <v/>
      </c>
      <c r="C4475" s="17" t="str">
        <f>IFERROR(__xludf.DUMMYFUNCTION("""COMPUTED_VALUE"""),"")</f>
        <v/>
      </c>
      <c r="D4475" s="17" t="str">
        <f>IFERROR(__xludf.DUMMYFUNCTION("""COMPUTED_VALUE"""),"")</f>
        <v/>
      </c>
      <c r="E4475" s="17" t="str">
        <f>IFERROR(__xludf.DUMMYFUNCTION("""COMPUTED_VALUE"""),"")</f>
        <v/>
      </c>
      <c r="F4475" s="17" t="str">
        <f>IFERROR(__xludf.DUMMYFUNCTION("""COMPUTED_VALUE"""),"")</f>
        <v/>
      </c>
      <c r="G4475" s="17" t="str">
        <f>IFERROR(__xludf.DUMMYFUNCTION("""COMPUTED_VALUE"""),"")</f>
        <v/>
      </c>
      <c r="H4475" s="17" t="str">
        <f>IFERROR(__xludf.DUMMYFUNCTION("""COMPUTED_VALUE"""),"")</f>
        <v/>
      </c>
      <c r="I4475" s="17" t="str">
        <f>IFERROR(__xludf.DUMMYFUNCTION("""COMPUTED_VALUE"""),"")</f>
        <v/>
      </c>
      <c r="J4475" s="17" t="str">
        <f>IFERROR(__xludf.DUMMYFUNCTION("""COMPUTED_VALUE"""),"")</f>
        <v/>
      </c>
      <c r="K4475" s="17" t="str">
        <f>IFERROR(__xludf.DUMMYFUNCTION("""COMPUTED_VALUE"""),"")</f>
        <v/>
      </c>
      <c r="L4475" s="17" t="str">
        <f>IFERROR(__xludf.DUMMYFUNCTION("""COMPUTED_VALUE"""),"")</f>
        <v/>
      </c>
      <c r="M4475" s="17" t="str">
        <f>IFERROR(__xludf.DUMMYFUNCTION("""COMPUTED_VALUE"""),"")</f>
        <v/>
      </c>
      <c r="N4475" s="17" t="str">
        <f>IFERROR(__xludf.DUMMYFUNCTION("""COMPUTED_VALUE"""),"")</f>
        <v/>
      </c>
      <c r="O4475" s="17" t="str">
        <f>IFERROR(__xludf.DUMMYFUNCTION("""COMPUTED_VALUE"""),"")</f>
        <v/>
      </c>
      <c r="P4475" s="17" t="str">
        <f>IFERROR(__xludf.DUMMYFUNCTION("""COMPUTED_VALUE"""),"")</f>
        <v/>
      </c>
      <c r="Q4475" s="17" t="str">
        <f>IFERROR(__xludf.DUMMYFUNCTION("""COMPUTED_VALUE"""),"")</f>
        <v/>
      </c>
      <c r="R4475" s="17" t="str">
        <f>IFERROR(__xludf.DUMMYFUNCTION("""COMPUTED_VALUE"""),"")</f>
        <v/>
      </c>
    </row>
    <row r="4476">
      <c r="A4476" s="15">
        <f>IFERROR(__xludf.DUMMYFUNCTION("""COMPUTED_VALUE"""),45132.0)</f>
        <v>45132</v>
      </c>
      <c r="B4476" s="16" t="str">
        <f>IFERROR(__xludf.DUMMYFUNCTION("""COMPUTED_VALUE"""),"Jhon Anderson Ceballos Hernandez")</f>
        <v>Jhon Anderson Ceballos Hernandez</v>
      </c>
      <c r="C4476" s="15" t="str">
        <f>IFERROR(__xludf.DUMMYFUNCTION("""COMPUTED_VALUE"""),"LA DORADA")</f>
        <v>LA DORADA</v>
      </c>
      <c r="D4476" s="15" t="str">
        <f>IFERROR(__xludf.DUMMYFUNCTION("""COMPUTED_VALUE"""),"BOGOTÁ")</f>
        <v>BOGOTÁ</v>
      </c>
      <c r="E4476" s="15" t="str">
        <f>IFERROR(__xludf.DUMMYFUNCTION("""COMPUTED_VALUE"""),"Ins. Alimento Vital")</f>
        <v>Ins. Alimento Vital</v>
      </c>
      <c r="F4476" s="17" t="str">
        <f>IFERROR(__xludf.DUMMYFUNCTION("""COMPUTED_VALUE"""),"CL 35 5 30  / PRIMER PISO / BARRIO EL PARAISO")</f>
        <v>CL 35 5 30  / PRIMER PISO / BARRIO EL PARAISO</v>
      </c>
      <c r="G4476" s="15" t="str">
        <f>IFERROR(__xludf.DUMMYFUNCTION("""COMPUTED_VALUE"""),"SANTIAGO VERA ACOSTA")</f>
        <v>SANTIAGO VERA ACOSTA</v>
      </c>
      <c r="H4476" s="16">
        <f>IFERROR(__xludf.DUMMYFUNCTION("""COMPUTED_VALUE"""),13182.0)</f>
        <v>13182</v>
      </c>
      <c r="I4476" s="18">
        <f>IFERROR(__xludf.DUMMYFUNCTION("""COMPUTED_VALUE"""),1.0)</f>
        <v>1</v>
      </c>
      <c r="J4476" s="18">
        <f>IFERROR(__xludf.DUMMYFUNCTION("""COMPUTED_VALUE"""),1.0)</f>
        <v>1</v>
      </c>
      <c r="K4476" s="18">
        <f>IFERROR(__xludf.DUMMYFUNCTION("""COMPUTED_VALUE"""),1.0)</f>
        <v>1</v>
      </c>
      <c r="L4476" s="17">
        <f>IFERROR(__xludf.DUMMYFUNCTION("""COMPUTED_VALUE"""),3.214887531E9)</f>
        <v>3214887531</v>
      </c>
      <c r="M4476" s="17" t="str">
        <f>IFERROR(__xludf.DUMMYFUNCTION("""COMPUTED_VALUE"""),"#REF!")</f>
        <v>#REF!</v>
      </c>
      <c r="N4476" s="17"/>
      <c r="O4476" s="17"/>
      <c r="P4476" s="17" t="b">
        <f>IFERROR(__xludf.DUMMYFUNCTION("""COMPUTED_VALUE"""),FALSE)</f>
        <v>0</v>
      </c>
      <c r="Q4476" s="20" t="str">
        <f>IFERROR(__xludf.DUMMYFUNCTION("""COMPUTED_VALUE"""),"")</f>
        <v/>
      </c>
      <c r="R4476" s="22" t="str">
        <f>IFERROR(__xludf.DUMMYFUNCTION("""COMPUTED_VALUE"""),"")</f>
        <v/>
      </c>
    </row>
    <row r="4477">
      <c r="A4477" s="15">
        <f>IFERROR(__xludf.DUMMYFUNCTION("""COMPUTED_VALUE"""),45132.0)</f>
        <v>45132</v>
      </c>
      <c r="B4477" s="16" t="str">
        <f>IFERROR(__xludf.DUMMYFUNCTION("""COMPUTED_VALUE"""),"Jhon Anderson Ceballos Hernandez")</f>
        <v>Jhon Anderson Ceballos Hernandez</v>
      </c>
      <c r="C4477" s="15" t="str">
        <f>IFERROR(__xludf.DUMMYFUNCTION("""COMPUTED_VALUE"""),"MANIZALES")</f>
        <v>MANIZALES</v>
      </c>
      <c r="D4477" s="15" t="str">
        <f>IFERROR(__xludf.DUMMYFUNCTION("""COMPUTED_VALUE"""),"BOGOTÁ")</f>
        <v>BOGOTÁ</v>
      </c>
      <c r="E4477" s="15" t="str">
        <f>IFERROR(__xludf.DUMMYFUNCTION("""COMPUTED_VALUE"""),"Evamazzita")</f>
        <v>Evamazzita</v>
      </c>
      <c r="F4477" s="17" t="str">
        <f>IFERROR(__xludf.DUMMYFUNCTION("""COMPUTED_VALUE"""),"Cr 11 #13 05 / Apto 1103C / Torres de campo hermoso - Campo Hermoso")</f>
        <v>Cr 11 #13 05 / Apto 1103C / Torres de campo hermoso - Campo Hermoso</v>
      </c>
      <c r="G4477" s="15" t="str">
        <f>IFERROR(__xludf.DUMMYFUNCTION("""COMPUTED_VALUE"""),"KATHERINE PINTO VALENCIA")</f>
        <v>KATHERINE PINTO VALENCIA</v>
      </c>
      <c r="H4477" s="16">
        <f>IFERROR(__xludf.DUMMYFUNCTION("""COMPUTED_VALUE"""),13200.0)</f>
        <v>13200</v>
      </c>
      <c r="I4477" s="18">
        <f>IFERROR(__xludf.DUMMYFUNCTION("""COMPUTED_VALUE"""),1.0)</f>
        <v>1</v>
      </c>
      <c r="J4477" s="18">
        <f>IFERROR(__xludf.DUMMYFUNCTION("""COMPUTED_VALUE"""),1.0)</f>
        <v>1</v>
      </c>
      <c r="K4477" s="18">
        <f>IFERROR(__xludf.DUMMYFUNCTION("""COMPUTED_VALUE"""),1.0)</f>
        <v>1</v>
      </c>
      <c r="L4477" s="17">
        <f>IFERROR(__xludf.DUMMYFUNCTION("""COMPUTED_VALUE"""),3.113104881E9)</f>
        <v>3113104881</v>
      </c>
      <c r="M4477" s="17" t="str">
        <f>IFERROR(__xludf.DUMMYFUNCTION("""COMPUTED_VALUE"""),"#REF!")</f>
        <v>#REF!</v>
      </c>
      <c r="N4477" s="17"/>
      <c r="O4477" s="17"/>
      <c r="P4477" s="17" t="b">
        <f>IFERROR(__xludf.DUMMYFUNCTION("""COMPUTED_VALUE"""),TRUE)</f>
        <v>1</v>
      </c>
      <c r="Q4477" s="20">
        <f>IFERROR(__xludf.DUMMYFUNCTION("""COMPUTED_VALUE"""),45132.722186921295)</f>
        <v>45132.72219</v>
      </c>
      <c r="R4477" s="21" t="str">
        <f>IFERROR(__xludf.DUMMYFUNCTION("""COMPUTED_VALUE"""),"https://drive.google.com/file/d/1-OJp4OHlJVQQni3FSIv8nvcrmPr_jvI3/view?usp=drivesdk")</f>
        <v>https://drive.google.com/file/d/1-OJp4OHlJVQQni3FSIv8nvcrmPr_jvI3/view?usp=drivesdk</v>
      </c>
    </row>
    <row r="4478">
      <c r="A4478" s="15">
        <f>IFERROR(__xludf.DUMMYFUNCTION("""COMPUTED_VALUE"""),45132.0)</f>
        <v>45132</v>
      </c>
      <c r="B4478" s="16" t="str">
        <f>IFERROR(__xludf.DUMMYFUNCTION("""COMPUTED_VALUE"""),"Jhon Anderson Ceballos Hernandez")</f>
        <v>Jhon Anderson Ceballos Hernandez</v>
      </c>
      <c r="C4478" s="15" t="str">
        <f>IFERROR(__xludf.DUMMYFUNCTION("""COMPUTED_VALUE"""),"TUNJA")</f>
        <v>TUNJA</v>
      </c>
      <c r="D4478" s="15" t="str">
        <f>IFERROR(__xludf.DUMMYFUNCTION("""COMPUTED_VALUE"""),"BOGOTÁ")</f>
        <v>BOGOTÁ</v>
      </c>
      <c r="E4478" s="15" t="str">
        <f>IFERROR(__xludf.DUMMYFUNCTION("""COMPUTED_VALUE"""),"Evamazzita")</f>
        <v>Evamazzita</v>
      </c>
      <c r="F4478" s="17" t="str">
        <f>IFERROR(__xludf.DUMMYFUNCTION("""COMPUTED_VALUE"""),"Calle 59 #2 este-58 / Casa 5/ Manzana D / Condominio campestre Santa helena P.H")</f>
        <v>Calle 59 #2 este-58 / Casa 5/ Manzana D / Condominio campestre Santa helena P.H</v>
      </c>
      <c r="G4478" s="15" t="str">
        <f>IFERROR(__xludf.DUMMYFUNCTION("""COMPUTED_VALUE"""),"MARIA ALEJANDRA FUENTES ROJAS")</f>
        <v>MARIA ALEJANDRA FUENTES ROJAS</v>
      </c>
      <c r="H4478" s="16">
        <f>IFERROR(__xludf.DUMMYFUNCTION("""COMPUTED_VALUE"""),13196.0)</f>
        <v>13196</v>
      </c>
      <c r="I4478" s="18">
        <f>IFERROR(__xludf.DUMMYFUNCTION("""COMPUTED_VALUE"""),1.0)</f>
        <v>1</v>
      </c>
      <c r="J4478" s="18">
        <f>IFERROR(__xludf.DUMMYFUNCTION("""COMPUTED_VALUE"""),1.0)</f>
        <v>1</v>
      </c>
      <c r="K4478" s="18">
        <f>IFERROR(__xludf.DUMMYFUNCTION("""COMPUTED_VALUE"""),1.0)</f>
        <v>1</v>
      </c>
      <c r="L4478" s="17">
        <f>IFERROR(__xludf.DUMMYFUNCTION("""COMPUTED_VALUE"""),3.202859097E9)</f>
        <v>3202859097</v>
      </c>
      <c r="M4478" s="17" t="str">
        <f>IFERROR(__xludf.DUMMYFUNCTION("""COMPUTED_VALUE"""),"#REF!")</f>
        <v>#REF!</v>
      </c>
      <c r="N4478" s="17"/>
      <c r="O4478" s="17"/>
      <c r="P4478" s="17" t="b">
        <f>IFERROR(__xludf.DUMMYFUNCTION("""COMPUTED_VALUE"""),TRUE)</f>
        <v>1</v>
      </c>
      <c r="Q4478" s="20">
        <f>IFERROR(__xludf.DUMMYFUNCTION("""COMPUTED_VALUE"""),45132.722186921295)</f>
        <v>45132.72219</v>
      </c>
      <c r="R4478" s="22" t="str">
        <f>IFERROR(__xludf.DUMMYFUNCTION("""COMPUTED_VALUE"""),"")</f>
        <v/>
      </c>
    </row>
    <row r="4479">
      <c r="A4479" s="17" t="str">
        <f>IFERROR(__xludf.DUMMYFUNCTION("""COMPUTED_VALUE"""),"")</f>
        <v/>
      </c>
      <c r="B4479" s="17" t="str">
        <f>IFERROR(__xludf.DUMMYFUNCTION("""COMPUTED_VALUE"""),"")</f>
        <v/>
      </c>
      <c r="C4479" s="17" t="str">
        <f>IFERROR(__xludf.DUMMYFUNCTION("""COMPUTED_VALUE"""),"")</f>
        <v/>
      </c>
      <c r="D4479" s="17" t="str">
        <f>IFERROR(__xludf.DUMMYFUNCTION("""COMPUTED_VALUE"""),"")</f>
        <v/>
      </c>
      <c r="E4479" s="17" t="str">
        <f>IFERROR(__xludf.DUMMYFUNCTION("""COMPUTED_VALUE"""),"")</f>
        <v/>
      </c>
      <c r="F4479" s="17" t="str">
        <f>IFERROR(__xludf.DUMMYFUNCTION("""COMPUTED_VALUE"""),"")</f>
        <v/>
      </c>
      <c r="G4479" s="17" t="str">
        <f>IFERROR(__xludf.DUMMYFUNCTION("""COMPUTED_VALUE"""),"")</f>
        <v/>
      </c>
      <c r="H4479" s="17" t="str">
        <f>IFERROR(__xludf.DUMMYFUNCTION("""COMPUTED_VALUE"""),"")</f>
        <v/>
      </c>
      <c r="I4479" s="17" t="str">
        <f>IFERROR(__xludf.DUMMYFUNCTION("""COMPUTED_VALUE"""),"")</f>
        <v/>
      </c>
      <c r="J4479" s="17" t="str">
        <f>IFERROR(__xludf.DUMMYFUNCTION("""COMPUTED_VALUE"""),"")</f>
        <v/>
      </c>
      <c r="K4479" s="17" t="str">
        <f>IFERROR(__xludf.DUMMYFUNCTION("""COMPUTED_VALUE"""),"")</f>
        <v/>
      </c>
      <c r="L4479" s="17" t="str">
        <f>IFERROR(__xludf.DUMMYFUNCTION("""COMPUTED_VALUE"""),"")</f>
        <v/>
      </c>
      <c r="M4479" s="17" t="str">
        <f>IFERROR(__xludf.DUMMYFUNCTION("""COMPUTED_VALUE"""),"")</f>
        <v/>
      </c>
      <c r="N4479" s="17" t="str">
        <f>IFERROR(__xludf.DUMMYFUNCTION("""COMPUTED_VALUE"""),"")</f>
        <v/>
      </c>
      <c r="O4479" s="17" t="str">
        <f>IFERROR(__xludf.DUMMYFUNCTION("""COMPUTED_VALUE"""),"")</f>
        <v/>
      </c>
      <c r="P4479" s="17" t="str">
        <f>IFERROR(__xludf.DUMMYFUNCTION("""COMPUTED_VALUE"""),"")</f>
        <v/>
      </c>
      <c r="Q4479" s="17" t="str">
        <f>IFERROR(__xludf.DUMMYFUNCTION("""COMPUTED_VALUE"""),"")</f>
        <v/>
      </c>
      <c r="R4479" s="17" t="str">
        <f>IFERROR(__xludf.DUMMYFUNCTION("""COMPUTED_VALUE"""),"")</f>
        <v/>
      </c>
    </row>
    <row r="4480">
      <c r="A4480" s="15">
        <f>IFERROR(__xludf.DUMMYFUNCTION("""COMPUTED_VALUE"""),45132.0)</f>
        <v>45132</v>
      </c>
      <c r="B4480" s="16" t="str">
        <f>IFERROR(__xludf.DUMMYFUNCTION("""COMPUTED_VALUE"""),"Johan Alexander Escobar Arroyo ")</f>
        <v>Johan Alexander Escobar Arroyo </v>
      </c>
      <c r="C4480" s="15" t="str">
        <f>IFERROR(__xludf.DUMMYFUNCTION("""COMPUTED_VALUE"""),"CALI")</f>
        <v>CALI</v>
      </c>
      <c r="D4480" s="15" t="str">
        <f>IFERROR(__xludf.DUMMYFUNCTION("""COMPUTED_VALUE"""),"BOGOTÁ")</f>
        <v>BOGOTÁ</v>
      </c>
      <c r="E4480" s="15" t="str">
        <f>IFERROR(__xludf.DUMMYFUNCTION("""COMPUTED_VALUE"""),"Asociacion Agropecuaria Juana Maria")</f>
        <v>Asociacion Agropecuaria Juana Maria</v>
      </c>
      <c r="F4480" s="17" t="str">
        <f>IFERROR(__xludf.DUMMYFUNCTION("""COMPUTED_VALUE"""),"Carrera 17B # 33E-33 La Floresta vieja")</f>
        <v>Carrera 17B # 33E-33 La Floresta vieja</v>
      </c>
      <c r="G4480" s="15" t="str">
        <f>IFERROR(__xludf.DUMMYFUNCTION("""COMPUTED_VALUE"""),"Johanna acuña  Molina")</f>
        <v>Johanna acuña  Molina</v>
      </c>
      <c r="H4480" s="16">
        <f>IFERROR(__xludf.DUMMYFUNCTION("""COMPUTED_VALUE"""),13164.0)</f>
        <v>13164</v>
      </c>
      <c r="I4480" s="18">
        <f>IFERROR(__xludf.DUMMYFUNCTION("""COMPUTED_VALUE"""),12.0)</f>
        <v>12</v>
      </c>
      <c r="J4480" s="18">
        <f>IFERROR(__xludf.DUMMYFUNCTION("""COMPUTED_VALUE"""),37.0)</f>
        <v>37</v>
      </c>
      <c r="K4480" s="18">
        <f>IFERROR(__xludf.DUMMYFUNCTION("""COMPUTED_VALUE"""),30.0)</f>
        <v>30</v>
      </c>
      <c r="L4480" s="17">
        <f>IFERROR(__xludf.DUMMYFUNCTION("""COMPUTED_VALUE"""),3.218700343E9)</f>
        <v>3218700343</v>
      </c>
      <c r="M4480" s="17" t="str">
        <f>IFERROR(__xludf.DUMMYFUNCTION("""COMPUTED_VALUE"""),"#REF!")</f>
        <v>#REF!</v>
      </c>
      <c r="N4480" s="17"/>
      <c r="O4480" s="17"/>
      <c r="P4480" s="17" t="b">
        <f>IFERROR(__xludf.DUMMYFUNCTION("""COMPUTED_VALUE"""),TRUE)</f>
        <v>1</v>
      </c>
      <c r="Q4480" s="20">
        <f>IFERROR(__xludf.DUMMYFUNCTION("""COMPUTED_VALUE"""),45132.722186921295)</f>
        <v>45132.72219</v>
      </c>
      <c r="R4480" s="21" t="str">
        <f>IFERROR(__xludf.DUMMYFUNCTION("""COMPUTED_VALUE"""),"https://drive.google.com/file/d/11kJ5l8nA9OeW0gFhO02obk4n95kricCh/view?usp=drivesdk")</f>
        <v>https://drive.google.com/file/d/11kJ5l8nA9OeW0gFhO02obk4n95kricCh/view?usp=drivesdk</v>
      </c>
    </row>
    <row r="4481">
      <c r="A4481" s="15">
        <f>IFERROR(__xludf.DUMMYFUNCTION("""COMPUTED_VALUE"""),45132.0)</f>
        <v>45132</v>
      </c>
      <c r="B4481" s="16" t="str">
        <f>IFERROR(__xludf.DUMMYFUNCTION("""COMPUTED_VALUE"""),"Johan Alexander Escobar Arroyo ")</f>
        <v>Johan Alexander Escobar Arroyo </v>
      </c>
      <c r="C4481" s="15" t="str">
        <f>IFERROR(__xludf.DUMMYFUNCTION("""COMPUTED_VALUE"""),"CALI")</f>
        <v>CALI</v>
      </c>
      <c r="D4481" s="15" t="str">
        <f>IFERROR(__xludf.DUMMYFUNCTION("""COMPUTED_VALUE"""),"BOGOTÁ")</f>
        <v>BOGOTÁ</v>
      </c>
      <c r="E4481" s="15" t="str">
        <f>IFERROR(__xludf.DUMMYFUNCTION("""COMPUTED_VALUE"""),"Evamazzita")</f>
        <v>Evamazzita</v>
      </c>
      <c r="F4481" s="17" t="str">
        <f>IFERROR(__xludf.DUMMYFUNCTION("""COMPUTED_VALUE"""),"Carrera Septima #13-79 / N/A / Centro Comercial el Tesoro")</f>
        <v>Carrera Septima #13-79 / N/A / Centro Comercial el Tesoro</v>
      </c>
      <c r="G4481" s="15" t="str">
        <f>IFERROR(__xludf.DUMMYFUNCTION("""COMPUTED_VALUE"""),"CLAUDIA GIRALDO CALI")</f>
        <v>CLAUDIA GIRALDO CALI</v>
      </c>
      <c r="H4481" s="16">
        <f>IFERROR(__xludf.DUMMYFUNCTION("""COMPUTED_VALUE"""),13205.0)</f>
        <v>13205</v>
      </c>
      <c r="I4481" s="18">
        <f>IFERROR(__xludf.DUMMYFUNCTION("""COMPUTED_VALUE"""),1.0)</f>
        <v>1</v>
      </c>
      <c r="J4481" s="18">
        <f>IFERROR(__xludf.DUMMYFUNCTION("""COMPUTED_VALUE"""),1.0)</f>
        <v>1</v>
      </c>
      <c r="K4481" s="18">
        <f>IFERROR(__xludf.DUMMYFUNCTION("""COMPUTED_VALUE"""),1.0)</f>
        <v>1</v>
      </c>
      <c r="L4481" s="17">
        <f>IFERROR(__xludf.DUMMYFUNCTION("""COMPUTED_VALUE"""),3.162429713E9)</f>
        <v>3162429713</v>
      </c>
      <c r="M4481" s="17" t="str">
        <f>IFERROR(__xludf.DUMMYFUNCTION("""COMPUTED_VALUE"""),"#REF!")</f>
        <v>#REF!</v>
      </c>
      <c r="N4481" s="17"/>
      <c r="O4481" s="17"/>
      <c r="P4481" s="17" t="b">
        <f>IFERROR(__xludf.DUMMYFUNCTION("""COMPUTED_VALUE"""),TRUE)</f>
        <v>1</v>
      </c>
      <c r="Q4481" s="20">
        <f>IFERROR(__xludf.DUMMYFUNCTION("""COMPUTED_VALUE"""),45132.722186921295)</f>
        <v>45132.72219</v>
      </c>
      <c r="R4481" s="21" t="str">
        <f>IFERROR(__xludf.DUMMYFUNCTION("""COMPUTED_VALUE"""),"https://drive.google.com/file/d/1V3AXS2kcKLLoXVEEjenZ0G_ea525kDjv/view?usp=drivesdk")</f>
        <v>https://drive.google.com/file/d/1V3AXS2kcKLLoXVEEjenZ0G_ea525kDjv/view?usp=drivesdk</v>
      </c>
    </row>
    <row r="4482">
      <c r="A4482" s="15">
        <f>IFERROR(__xludf.DUMMYFUNCTION("""COMPUTED_VALUE"""),45132.0)</f>
        <v>45132</v>
      </c>
      <c r="B4482" s="16" t="str">
        <f>IFERROR(__xludf.DUMMYFUNCTION("""COMPUTED_VALUE"""),"Johan Alexander Escobar Arroyo ")</f>
        <v>Johan Alexander Escobar Arroyo </v>
      </c>
      <c r="C4482" s="15" t="str">
        <f>IFERROR(__xludf.DUMMYFUNCTION("""COMPUTED_VALUE"""),"CALI")</f>
        <v>CALI</v>
      </c>
      <c r="D4482" s="15" t="str">
        <f>IFERROR(__xludf.DUMMYFUNCTION("""COMPUTED_VALUE"""),"BOGOTÁ")</f>
        <v>BOGOTÁ</v>
      </c>
      <c r="E4482" s="15" t="str">
        <f>IFERROR(__xludf.DUMMYFUNCTION("""COMPUTED_VALUE"""),"Evamazzita")</f>
        <v>Evamazzita</v>
      </c>
      <c r="F4482" s="17" t="str">
        <f>IFERROR(__xludf.DUMMYFUNCTION("""COMPUTED_VALUE"""),"Cra 1a 4c #70c1-49 / Bloque 88 Apto 501 / Los Alcazares")</f>
        <v>Cra 1a 4c #70c1-49 / Bloque 88 Apto 501 / Los Alcazares</v>
      </c>
      <c r="G4482" s="15" t="str">
        <f>IFERROR(__xludf.DUMMYFUNCTION("""COMPUTED_VALUE"""),"YENNY PATRICIA MONTAÑO")</f>
        <v>YENNY PATRICIA MONTAÑO</v>
      </c>
      <c r="H4482" s="16">
        <f>IFERROR(__xludf.DUMMYFUNCTION("""COMPUTED_VALUE"""),13207.0)</f>
        <v>13207</v>
      </c>
      <c r="I4482" s="18">
        <f>IFERROR(__xludf.DUMMYFUNCTION("""COMPUTED_VALUE"""),1.0)</f>
        <v>1</v>
      </c>
      <c r="J4482" s="18">
        <f>IFERROR(__xludf.DUMMYFUNCTION("""COMPUTED_VALUE"""),1.0)</f>
        <v>1</v>
      </c>
      <c r="K4482" s="18">
        <f>IFERROR(__xludf.DUMMYFUNCTION("""COMPUTED_VALUE"""),1.0)</f>
        <v>1</v>
      </c>
      <c r="L4482" s="17">
        <f>IFERROR(__xludf.DUMMYFUNCTION("""COMPUTED_VALUE"""),3.206663943E9)</f>
        <v>3206663943</v>
      </c>
      <c r="M4482" s="17" t="str">
        <f>IFERROR(__xludf.DUMMYFUNCTION("""COMPUTED_VALUE"""),"#REF!")</f>
        <v>#REF!</v>
      </c>
      <c r="N4482" s="17"/>
      <c r="O4482" s="17"/>
      <c r="P4482" s="17" t="b">
        <f>IFERROR(__xludf.DUMMYFUNCTION("""COMPUTED_VALUE"""),FALSE)</f>
        <v>0</v>
      </c>
      <c r="Q4482" s="20" t="str">
        <f>IFERROR(__xludf.DUMMYFUNCTION("""COMPUTED_VALUE"""),"")</f>
        <v/>
      </c>
      <c r="R4482" s="21" t="str">
        <f>IFERROR(__xludf.DUMMYFUNCTION("""COMPUTED_VALUE"""),"https://drive.google.com/file/d/1SZ2GaZ_8pEF2A7ECq_iGVczqrZScHUPW/view?usp=drivesdk")</f>
        <v>https://drive.google.com/file/d/1SZ2GaZ_8pEF2A7ECq_iGVczqrZScHUPW/view?usp=drivesdk</v>
      </c>
    </row>
    <row r="4483">
      <c r="A4483" s="15">
        <f>IFERROR(__xludf.DUMMYFUNCTION("""COMPUTED_VALUE"""),45132.0)</f>
        <v>45132</v>
      </c>
      <c r="B4483" s="16" t="str">
        <f>IFERROR(__xludf.DUMMYFUNCTION("""COMPUTED_VALUE"""),"Johan Alexander Escobar Arroyo ")</f>
        <v>Johan Alexander Escobar Arroyo </v>
      </c>
      <c r="C4483" s="15" t="str">
        <f>IFERROR(__xludf.DUMMYFUNCTION("""COMPUTED_VALUE"""),"CALI")</f>
        <v>CALI</v>
      </c>
      <c r="D4483" s="15" t="str">
        <f>IFERROR(__xludf.DUMMYFUNCTION("""COMPUTED_VALUE"""),"BOGOTÁ")</f>
        <v>BOGOTÁ</v>
      </c>
      <c r="E4483" s="15" t="str">
        <f>IFERROR(__xludf.DUMMYFUNCTION("""COMPUTED_VALUE"""),"Karem foods")</f>
        <v>Karem foods</v>
      </c>
      <c r="F4483" s="17" t="str">
        <f>IFERROR(__xludf.DUMMYFUNCTION("""COMPUTED_VALUE"""),"Calle 9 A oeste # 3 - 140 / Conjunto residencial Altos de Arboleda / Cali VAC")</f>
        <v>Calle 9 A oeste # 3 - 140 / Conjunto residencial Altos de Arboleda / Cali VAC</v>
      </c>
      <c r="G4483" s="15" t="str">
        <f>IFERROR(__xludf.DUMMYFUNCTION("""COMPUTED_VALUE"""),"Nathalia Lopez")</f>
        <v>Nathalia Lopez</v>
      </c>
      <c r="H4483" s="16">
        <f>IFERROR(__xludf.DUMMYFUNCTION("""COMPUTED_VALUE"""),13199.0)</f>
        <v>13199</v>
      </c>
      <c r="I4483" s="18">
        <f>IFERROR(__xludf.DUMMYFUNCTION("""COMPUTED_VALUE"""),5.0)</f>
        <v>5</v>
      </c>
      <c r="J4483" s="18">
        <f>IFERROR(__xludf.DUMMYFUNCTION("""COMPUTED_VALUE"""),12.0)</f>
        <v>12</v>
      </c>
      <c r="K4483" s="18">
        <f>IFERROR(__xludf.DUMMYFUNCTION("""COMPUTED_VALUE"""),12.0)</f>
        <v>12</v>
      </c>
      <c r="L4483" s="17">
        <f>IFERROR(__xludf.DUMMYFUNCTION("""COMPUTED_VALUE"""),3.226254021E9)</f>
        <v>3226254021</v>
      </c>
      <c r="M4483" s="17" t="str">
        <f>IFERROR(__xludf.DUMMYFUNCTION("""COMPUTED_VALUE"""),"#REF!")</f>
        <v>#REF!</v>
      </c>
      <c r="N4483" s="17"/>
      <c r="O4483" s="17"/>
      <c r="P4483" s="17" t="b">
        <f>IFERROR(__xludf.DUMMYFUNCTION("""COMPUTED_VALUE"""),FALSE)</f>
        <v>0</v>
      </c>
      <c r="Q4483" s="20" t="str">
        <f>IFERROR(__xludf.DUMMYFUNCTION("""COMPUTED_VALUE"""),"")</f>
        <v/>
      </c>
      <c r="R4483" s="21" t="str">
        <f>IFERROR(__xludf.DUMMYFUNCTION("""COMPUTED_VALUE"""),"https://drive.google.com/file/d/1m9pMvS6Iv5qkCuxGMlOZjPQdRKTbmIvu/view?usp=drivesdk")</f>
        <v>https://drive.google.com/file/d/1m9pMvS6Iv5qkCuxGMlOZjPQdRKTbmIvu/view?usp=drivesdk</v>
      </c>
    </row>
    <row r="4484">
      <c r="A4484" s="15">
        <f>IFERROR(__xludf.DUMMYFUNCTION("""COMPUTED_VALUE"""),45132.0)</f>
        <v>45132</v>
      </c>
      <c r="B4484" s="16" t="str">
        <f>IFERROR(__xludf.DUMMYFUNCTION("""COMPUTED_VALUE"""),"Johan Alexander Escobar Arroyo ")</f>
        <v>Johan Alexander Escobar Arroyo </v>
      </c>
      <c r="C4484" s="15" t="str">
        <f>IFERROR(__xludf.DUMMYFUNCTION("""COMPUTED_VALUE"""),"CALI")</f>
        <v>CALI</v>
      </c>
      <c r="D4484" s="15" t="str">
        <f>IFERROR(__xludf.DUMMYFUNCTION("""COMPUTED_VALUE"""),"BOGOTÁ")</f>
        <v>BOGOTÁ</v>
      </c>
      <c r="E4484" s="15" t="str">
        <f>IFERROR(__xludf.DUMMYFUNCTION("""COMPUTED_VALUE"""),"Top Spun")</f>
        <v>Top Spun</v>
      </c>
      <c r="F4484" s="17" t="str">
        <f>IFERROR(__xludf.DUMMYFUNCTION("""COMPUTED_VALUE"""),"AV 7A NORTE # 56 - 128  / EDIFICIO TORRES DE MENGA APTO 202 TORRE 1 / BARRIO MENGA")</f>
        <v>AV 7A NORTE # 56 - 128  / EDIFICIO TORRES DE MENGA APTO 202 TORRE 1 / BARRIO MENGA</v>
      </c>
      <c r="G4484" s="15" t="str">
        <f>IFERROR(__xludf.DUMMYFUNCTION("""COMPUTED_VALUE"""),"ANGELA DUQUE")</f>
        <v>ANGELA DUQUE</v>
      </c>
      <c r="H4484" s="16">
        <f>IFERROR(__xludf.DUMMYFUNCTION("""COMPUTED_VALUE"""),13158.0)</f>
        <v>13158</v>
      </c>
      <c r="I4484" s="18">
        <f>IFERROR(__xludf.DUMMYFUNCTION("""COMPUTED_VALUE"""),20.0)</f>
        <v>20</v>
      </c>
      <c r="J4484" s="18">
        <f>IFERROR(__xludf.DUMMYFUNCTION("""COMPUTED_VALUE"""),10.0)</f>
        <v>10</v>
      </c>
      <c r="K4484" s="18">
        <f>IFERROR(__xludf.DUMMYFUNCTION("""COMPUTED_VALUE"""),40.0)</f>
        <v>40</v>
      </c>
      <c r="L4484" s="17">
        <f>IFERROR(__xludf.DUMMYFUNCTION("""COMPUTED_VALUE"""),3.17367049E9)</f>
        <v>3173670490</v>
      </c>
      <c r="M4484" s="17" t="str">
        <f>IFERROR(__xludf.DUMMYFUNCTION("""COMPUTED_VALUE"""),"#REF!")</f>
        <v>#REF!</v>
      </c>
      <c r="N4484" s="17"/>
      <c r="O4484" s="17"/>
      <c r="P4484" s="17" t="b">
        <f>IFERROR(__xludf.DUMMYFUNCTION("""COMPUTED_VALUE"""),FALSE)</f>
        <v>0</v>
      </c>
      <c r="Q4484" s="20" t="str">
        <f>IFERROR(__xludf.DUMMYFUNCTION("""COMPUTED_VALUE"""),"")</f>
        <v/>
      </c>
      <c r="R4484" s="21" t="str">
        <f>IFERROR(__xludf.DUMMYFUNCTION("""COMPUTED_VALUE"""),"https://drive.google.com/file/d/1_7LD8ak_nAjF8Uo9oyNfaUS4vbI7TcAT/view?usp=drivesdk")</f>
        <v>https://drive.google.com/file/d/1_7LD8ak_nAjF8Uo9oyNfaUS4vbI7TcAT/view?usp=drivesdk</v>
      </c>
    </row>
    <row r="4485">
      <c r="A4485" s="15">
        <f>IFERROR(__xludf.DUMMYFUNCTION("""COMPUTED_VALUE"""),45132.0)</f>
        <v>45132</v>
      </c>
      <c r="B4485" s="16" t="str">
        <f>IFERROR(__xludf.DUMMYFUNCTION("""COMPUTED_VALUE"""),"Johan Alexander Escobar Arroyo ")</f>
        <v>Johan Alexander Escobar Arroyo </v>
      </c>
      <c r="C4485" s="15" t="str">
        <f>IFERROR(__xludf.DUMMYFUNCTION("""COMPUTED_VALUE"""),"IBAGUÉ")</f>
        <v>IBAGUÉ</v>
      </c>
      <c r="D4485" s="15" t="str">
        <f>IFERROR(__xludf.DUMMYFUNCTION("""COMPUTED_VALUE"""),"BOGOTÁ")</f>
        <v>BOGOTÁ</v>
      </c>
      <c r="E4485" s="15" t="str">
        <f>IFERROR(__xludf.DUMMYFUNCTION("""COMPUTED_VALUE"""),"Pan de Waffle")</f>
        <v>Pan de Waffle</v>
      </c>
      <c r="F4485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4485" s="15" t="str">
        <f>IFERROR(__xludf.DUMMYFUNCTION("""COMPUTED_VALUE"""),"SOY NATURAL SEDE EL VERGEL")</f>
        <v>SOY NATURAL SEDE EL VERGEL</v>
      </c>
      <c r="H4485" s="16">
        <f>IFERROR(__xludf.DUMMYFUNCTION("""COMPUTED_VALUE"""),13230.0)</f>
        <v>13230</v>
      </c>
      <c r="I4485" s="18">
        <f>IFERROR(__xludf.DUMMYFUNCTION("""COMPUTED_VALUE"""),30.0)</f>
        <v>30</v>
      </c>
      <c r="J4485" s="18">
        <f>IFERROR(__xludf.DUMMYFUNCTION("""COMPUTED_VALUE"""),40.0)</f>
        <v>40</v>
      </c>
      <c r="K4485" s="18">
        <f>IFERROR(__xludf.DUMMYFUNCTION("""COMPUTED_VALUE"""),30.0)</f>
        <v>30</v>
      </c>
      <c r="L4485" s="17">
        <f>IFERROR(__xludf.DUMMYFUNCTION("""COMPUTED_VALUE"""),3.208565148E9)</f>
        <v>3208565148</v>
      </c>
      <c r="M4485" s="17" t="str">
        <f>IFERROR(__xludf.DUMMYFUNCTION("""COMPUTED_VALUE"""),"#REF!")</f>
        <v>#REF!</v>
      </c>
      <c r="N4485" s="17"/>
      <c r="O4485" s="17"/>
      <c r="P4485" s="17" t="b">
        <f>IFERROR(__xludf.DUMMYFUNCTION("""COMPUTED_VALUE"""),FALSE)</f>
        <v>0</v>
      </c>
      <c r="Q4485" s="20" t="str">
        <f>IFERROR(__xludf.DUMMYFUNCTION("""COMPUTED_VALUE"""),"")</f>
        <v/>
      </c>
      <c r="R4485" s="21" t="str">
        <f>IFERROR(__xludf.DUMMYFUNCTION("""COMPUTED_VALUE"""),"https://drive.google.com/file/d/15vXRwGA1BdJmLtattgBKwn4PFz4GSeiY/view?usp=drivesdk")</f>
        <v>https://drive.google.com/file/d/15vXRwGA1BdJmLtattgBKwn4PFz4GSeiY/view?usp=drivesdk</v>
      </c>
    </row>
    <row r="4486">
      <c r="A4486" s="15">
        <f>IFERROR(__xludf.DUMMYFUNCTION("""COMPUTED_VALUE"""),45132.0)</f>
        <v>45132</v>
      </c>
      <c r="B4486" s="16" t="str">
        <f>IFERROR(__xludf.DUMMYFUNCTION("""COMPUTED_VALUE"""),"Johan Alexander Escobar Arroyo ")</f>
        <v>Johan Alexander Escobar Arroyo </v>
      </c>
      <c r="C4486" s="15" t="str">
        <f>IFERROR(__xludf.DUMMYFUNCTION("""COMPUTED_VALUE"""),"IBAGUÉ")</f>
        <v>IBAGUÉ</v>
      </c>
      <c r="D4486" s="15" t="str">
        <f>IFERROR(__xludf.DUMMYFUNCTION("""COMPUTED_VALUE"""),"BUCARAMANGA")</f>
        <v>BUCARAMANGA</v>
      </c>
      <c r="E4486" s="15" t="str">
        <f>IFERROR(__xludf.DUMMYFUNCTION("""COMPUTED_VALUE"""),"Yo Como Solito")</f>
        <v>Yo Como Solito</v>
      </c>
      <c r="F4486" s="17" t="str">
        <f>IFERROR(__xludf.DUMMYFUNCTION("""COMPUTED_VALUE"""),"Calle 93 7 Sur -90 parque residencial altagracia torre 7/701 barrio samaria, ibagué, Tolima / Calle 93 7 Sur -90 parque residencial altagracia torre 7/701 barrio samaria, ibagué, Tolima / Calle 93 7 Sur -90 parque residencial altagracia torre 7/701 barrio"&amp;" samaria, ibagué, Tolima")</f>
        <v>Calle 93 7 Sur -90 parque residencial altagracia torre 7/701 barrio samaria, ibagué, Tolima / Calle 93 7 Sur -90 parque residencial altagracia torre 7/701 barrio samaria, ibagué, Tolima / Calle 93 7 Sur -90 parque residencial altagracia torre 7/701 barrio samaria, ibagué, Tolima</v>
      </c>
      <c r="G4486" s="15" t="str">
        <f>IFERROR(__xludf.DUMMYFUNCTION("""COMPUTED_VALUE"""),"MARIAM YASMIN MURILLO RUBIO")</f>
        <v>MARIAM YASMIN MURILLO RUBIO</v>
      </c>
      <c r="H4486" s="16">
        <f>IFERROR(__xludf.DUMMYFUNCTION("""COMPUTED_VALUE"""),13150.0)</f>
        <v>13150</v>
      </c>
      <c r="I4486" s="18">
        <f>IFERROR(__xludf.DUMMYFUNCTION("""COMPUTED_VALUE"""),25.0)</f>
        <v>25</v>
      </c>
      <c r="J4486" s="18">
        <f>IFERROR(__xludf.DUMMYFUNCTION("""COMPUTED_VALUE"""),22.0)</f>
        <v>22</v>
      </c>
      <c r="K4486" s="18">
        <f>IFERROR(__xludf.DUMMYFUNCTION("""COMPUTED_VALUE"""),26.0)</f>
        <v>26</v>
      </c>
      <c r="L4486" s="17">
        <f>IFERROR(__xludf.DUMMYFUNCTION("""COMPUTED_VALUE"""),3.105789664E9)</f>
        <v>3105789664</v>
      </c>
      <c r="M4486" s="17" t="str">
        <f>IFERROR(__xludf.DUMMYFUNCTION("""COMPUTED_VALUE"""),"#REF!")</f>
        <v>#REF!</v>
      </c>
      <c r="N4486" s="17"/>
      <c r="O4486" s="17"/>
      <c r="P4486" s="17" t="b">
        <f>IFERROR(__xludf.DUMMYFUNCTION("""COMPUTED_VALUE"""),FALSE)</f>
        <v>0</v>
      </c>
      <c r="Q4486" s="20" t="str">
        <f>IFERROR(__xludf.DUMMYFUNCTION("""COMPUTED_VALUE"""),"")</f>
        <v/>
      </c>
      <c r="R4486" s="21" t="str">
        <f>IFERROR(__xludf.DUMMYFUNCTION("""COMPUTED_VALUE"""),"https://drive.google.com/file/d/18hF2ERG0LN14xeZT8p0BltMxCvCzCyuI/view?usp=drivesdk")</f>
        <v>https://drive.google.com/file/d/18hF2ERG0LN14xeZT8p0BltMxCvCzCyuI/view?usp=drivesdk</v>
      </c>
    </row>
    <row r="4487">
      <c r="A4487" s="17" t="str">
        <f>IFERROR(__xludf.DUMMYFUNCTION("""COMPUTED_VALUE"""),"")</f>
        <v/>
      </c>
      <c r="B4487" s="17" t="str">
        <f>IFERROR(__xludf.DUMMYFUNCTION("""COMPUTED_VALUE"""),"")</f>
        <v/>
      </c>
      <c r="C4487" s="17" t="str">
        <f>IFERROR(__xludf.DUMMYFUNCTION("""COMPUTED_VALUE"""),"")</f>
        <v/>
      </c>
      <c r="D4487" s="17" t="str">
        <f>IFERROR(__xludf.DUMMYFUNCTION("""COMPUTED_VALUE"""),"")</f>
        <v/>
      </c>
      <c r="E4487" s="17" t="str">
        <f>IFERROR(__xludf.DUMMYFUNCTION("""COMPUTED_VALUE"""),"")</f>
        <v/>
      </c>
      <c r="F4487" s="17" t="str">
        <f>IFERROR(__xludf.DUMMYFUNCTION("""COMPUTED_VALUE"""),"")</f>
        <v/>
      </c>
      <c r="G4487" s="17" t="str">
        <f>IFERROR(__xludf.DUMMYFUNCTION("""COMPUTED_VALUE"""),"")</f>
        <v/>
      </c>
      <c r="H4487" s="17" t="str">
        <f>IFERROR(__xludf.DUMMYFUNCTION("""COMPUTED_VALUE"""),"")</f>
        <v/>
      </c>
      <c r="I4487" s="17" t="str">
        <f>IFERROR(__xludf.DUMMYFUNCTION("""COMPUTED_VALUE"""),"")</f>
        <v/>
      </c>
      <c r="J4487" s="17" t="str">
        <f>IFERROR(__xludf.DUMMYFUNCTION("""COMPUTED_VALUE"""),"")</f>
        <v/>
      </c>
      <c r="K4487" s="17" t="str">
        <f>IFERROR(__xludf.DUMMYFUNCTION("""COMPUTED_VALUE"""),"")</f>
        <v/>
      </c>
      <c r="L4487" s="17" t="str">
        <f>IFERROR(__xludf.DUMMYFUNCTION("""COMPUTED_VALUE"""),"")</f>
        <v/>
      </c>
      <c r="M4487" s="17" t="str">
        <f>IFERROR(__xludf.DUMMYFUNCTION("""COMPUTED_VALUE"""),"")</f>
        <v/>
      </c>
      <c r="N4487" s="17" t="str">
        <f>IFERROR(__xludf.DUMMYFUNCTION("""COMPUTED_VALUE"""),"")</f>
        <v/>
      </c>
      <c r="O4487" s="17" t="str">
        <f>IFERROR(__xludf.DUMMYFUNCTION("""COMPUTED_VALUE"""),"")</f>
        <v/>
      </c>
      <c r="P4487" s="17" t="str">
        <f>IFERROR(__xludf.DUMMYFUNCTION("""COMPUTED_VALUE"""),"")</f>
        <v/>
      </c>
      <c r="Q4487" s="17" t="str">
        <f>IFERROR(__xludf.DUMMYFUNCTION("""COMPUTED_VALUE"""),"")</f>
        <v/>
      </c>
      <c r="R4487" s="17" t="str">
        <f>IFERROR(__xludf.DUMMYFUNCTION("""COMPUTED_VALUE"""),"")</f>
        <v/>
      </c>
    </row>
    <row r="4488">
      <c r="A4488" s="15">
        <f>IFERROR(__xludf.DUMMYFUNCTION("""COMPUTED_VALUE"""),45132.0)</f>
        <v>45132</v>
      </c>
      <c r="B4488" s="16" t="str">
        <f>IFERROR(__xludf.DUMMYFUNCTION("""COMPUTED_VALUE"""),"Jonathan Steven Taborda")</f>
        <v>Jonathan Steven Taborda</v>
      </c>
      <c r="C4488" s="15" t="str">
        <f>IFERROR(__xludf.DUMMYFUNCTION("""COMPUTED_VALUE"""),"ARMENIA")</f>
        <v>ARMENIA</v>
      </c>
      <c r="D4488" s="15" t="str">
        <f>IFERROR(__xludf.DUMMYFUNCTION("""COMPUTED_VALUE"""),"BOGOTÁ")</f>
        <v>BOGOTÁ</v>
      </c>
      <c r="E4488" s="15" t="str">
        <f>IFERROR(__xludf.DUMMYFUNCTION("""COMPUTED_VALUE"""),"Lunchy Kids")</f>
        <v>Lunchy Kids</v>
      </c>
      <c r="F4488" s="17" t="str">
        <f>IFERROR(__xludf.DUMMYFUNCTION("""COMPUTED_VALUE"""),"Carrera 14 # 25 Norte - 20 / Edificio Calarca - Apto 201  / Octava Brigada")</f>
        <v>Carrera 14 # 25 Norte - 20 / Edificio Calarca - Apto 201  / Octava Brigada</v>
      </c>
      <c r="G4488" s="15" t="str">
        <f>IFERROR(__xludf.DUMMYFUNCTION("""COMPUTED_VALUE"""),"Gloria Trujillo")</f>
        <v>Gloria Trujillo</v>
      </c>
      <c r="H4488" s="16">
        <f>IFERROR(__xludf.DUMMYFUNCTION("""COMPUTED_VALUE"""),13168.0)</f>
        <v>13168</v>
      </c>
      <c r="I4488" s="18">
        <f>IFERROR(__xludf.DUMMYFUNCTION("""COMPUTED_VALUE"""),15.0)</f>
        <v>15</v>
      </c>
      <c r="J4488" s="18">
        <f>IFERROR(__xludf.DUMMYFUNCTION("""COMPUTED_VALUE"""),25.0)</f>
        <v>25</v>
      </c>
      <c r="K4488" s="18">
        <f>IFERROR(__xludf.DUMMYFUNCTION("""COMPUTED_VALUE"""),6.0)</f>
        <v>6</v>
      </c>
      <c r="L4488" s="17">
        <f>IFERROR(__xludf.DUMMYFUNCTION("""COMPUTED_VALUE"""),3.125261598E9)</f>
        <v>3125261598</v>
      </c>
      <c r="M4488" s="17" t="str">
        <f>IFERROR(__xludf.DUMMYFUNCTION("""COMPUTED_VALUE"""),"#REF!")</f>
        <v>#REF!</v>
      </c>
      <c r="N4488" s="17"/>
      <c r="O4488" s="17"/>
      <c r="P4488" s="17" t="b">
        <f>IFERROR(__xludf.DUMMYFUNCTION("""COMPUTED_VALUE"""),FALSE)</f>
        <v>0</v>
      </c>
      <c r="Q4488" s="20" t="str">
        <f>IFERROR(__xludf.DUMMYFUNCTION("""COMPUTED_VALUE"""),"")</f>
        <v/>
      </c>
      <c r="R4488" s="22" t="str">
        <f>IFERROR(__xludf.DUMMYFUNCTION("""COMPUTED_VALUE"""),"")</f>
        <v/>
      </c>
    </row>
    <row r="4489">
      <c r="A4489" s="15">
        <f>IFERROR(__xludf.DUMMYFUNCTION("""COMPUTED_VALUE"""),45132.0)</f>
        <v>45132</v>
      </c>
      <c r="B4489" s="16" t="str">
        <f>IFERROR(__xludf.DUMMYFUNCTION("""COMPUTED_VALUE"""),"Jonathan Steven Taborda")</f>
        <v>Jonathan Steven Taborda</v>
      </c>
      <c r="C4489" s="15" t="str">
        <f>IFERROR(__xludf.DUMMYFUNCTION("""COMPUTED_VALUE"""),"ARMENIA")</f>
        <v>ARMENIA</v>
      </c>
      <c r="D4489" s="15" t="str">
        <f>IFERROR(__xludf.DUMMYFUNCTION("""COMPUTED_VALUE"""),"BOGOTÁ")</f>
        <v>BOGOTÁ</v>
      </c>
      <c r="E4489" s="15" t="str">
        <f>IFERROR(__xludf.DUMMYFUNCTION("""COMPUTED_VALUE"""),"Pan de Waffle")</f>
        <v>Pan de Waffle</v>
      </c>
      <c r="F4489" s="17" t="str">
        <f>IFERROR(__xludf.DUMMYFUNCTION("""COMPUTED_VALUE"""),"carrera 13 # 9a - 58, local 5, con la castellana / carrera 13 # 9a - 58, local 5, con la castellana / carrera 13 # 9a - 58, local 5, con la castellana")</f>
        <v>carrera 13 # 9a - 58, local 5, con la castellana / carrera 13 # 9a - 58, local 5, con la castellana / carrera 13 # 9a - 58, local 5, con la castellana</v>
      </c>
      <c r="G4489" s="15" t="str">
        <f>IFERROR(__xludf.DUMMYFUNCTION("""COMPUTED_VALUE"""),"TIENDA FITNES ECO")</f>
        <v>TIENDA FITNES ECO</v>
      </c>
      <c r="H4489" s="16">
        <f>IFERROR(__xludf.DUMMYFUNCTION("""COMPUTED_VALUE"""),13229.0)</f>
        <v>13229</v>
      </c>
      <c r="I4489" s="18">
        <f>IFERROR(__xludf.DUMMYFUNCTION("""COMPUTED_VALUE"""),30.0)</f>
        <v>30</v>
      </c>
      <c r="J4489" s="18">
        <f>IFERROR(__xludf.DUMMYFUNCTION("""COMPUTED_VALUE"""),30.0)</f>
        <v>30</v>
      </c>
      <c r="K4489" s="18">
        <f>IFERROR(__xludf.DUMMYFUNCTION("""COMPUTED_VALUE"""),40.0)</f>
        <v>40</v>
      </c>
      <c r="L4489" s="17">
        <f>IFERROR(__xludf.DUMMYFUNCTION("""COMPUTED_VALUE"""),3.217007417E9)</f>
        <v>3217007417</v>
      </c>
      <c r="M4489" s="17" t="str">
        <f>IFERROR(__xludf.DUMMYFUNCTION("""COMPUTED_VALUE"""),"#REF!")</f>
        <v>#REF!</v>
      </c>
      <c r="N4489" s="17"/>
      <c r="O4489" s="17"/>
      <c r="P4489" s="17" t="b">
        <f>IFERROR(__xludf.DUMMYFUNCTION("""COMPUTED_VALUE"""),FALSE)</f>
        <v>0</v>
      </c>
      <c r="Q4489" s="20" t="str">
        <f>IFERROR(__xludf.DUMMYFUNCTION("""COMPUTED_VALUE"""),"")</f>
        <v/>
      </c>
      <c r="R4489" s="22" t="str">
        <f>IFERROR(__xludf.DUMMYFUNCTION("""COMPUTED_VALUE"""),"")</f>
        <v/>
      </c>
    </row>
    <row r="4490">
      <c r="A4490" s="15">
        <f>IFERROR(__xludf.DUMMYFUNCTION("""COMPUTED_VALUE"""),45132.0)</f>
        <v>45132</v>
      </c>
      <c r="B4490" s="16" t="str">
        <f>IFERROR(__xludf.DUMMYFUNCTION("""COMPUTED_VALUE"""),"Jonathan Steven Taborda")</f>
        <v>Jonathan Steven Taborda</v>
      </c>
      <c r="C4490" s="15" t="str">
        <f>IFERROR(__xludf.DUMMYFUNCTION("""COMPUTED_VALUE"""),"ARMENIA")</f>
        <v>ARMENIA</v>
      </c>
      <c r="D4490" s="15" t="str">
        <f>IFERROR(__xludf.DUMMYFUNCTION("""COMPUTED_VALUE"""),"BOGOTÁ")</f>
        <v>BOGOTÁ</v>
      </c>
      <c r="E4490" s="15" t="str">
        <f>IFERROR(__xludf.DUMMYFUNCTION("""COMPUTED_VALUE"""),"Top Spun")</f>
        <v>Top Spun</v>
      </c>
      <c r="F4490" s="17" t="str">
        <f>IFERROR(__xludf.DUMMYFUNCTION("""COMPUTED_VALUE"""),"Km 9 vía El Eden  / Casa 8 / El Cabrero casas de campo")</f>
        <v>Km 9 vía El Eden  / Casa 8 / El Cabrero casas de campo</v>
      </c>
      <c r="G4490" s="15" t="str">
        <f>IFERROR(__xludf.DUMMYFUNCTION("""COMPUTED_VALUE"""),"Veronica Arango")</f>
        <v>Veronica Arango</v>
      </c>
      <c r="H4490" s="16">
        <f>IFERROR(__xludf.DUMMYFUNCTION("""COMPUTED_VALUE"""),13157.0)</f>
        <v>13157</v>
      </c>
      <c r="I4490" s="18">
        <f>IFERROR(__xludf.DUMMYFUNCTION("""COMPUTED_VALUE"""),20.0)</f>
        <v>20</v>
      </c>
      <c r="J4490" s="18">
        <f>IFERROR(__xludf.DUMMYFUNCTION("""COMPUTED_VALUE"""),10.0)</f>
        <v>10</v>
      </c>
      <c r="K4490" s="18">
        <f>IFERROR(__xludf.DUMMYFUNCTION("""COMPUTED_VALUE"""),40.0)</f>
        <v>40</v>
      </c>
      <c r="L4490" s="17">
        <f>IFERROR(__xludf.DUMMYFUNCTION("""COMPUTED_VALUE"""),3.117155114E9)</f>
        <v>3117155114</v>
      </c>
      <c r="M4490" s="17" t="str">
        <f>IFERROR(__xludf.DUMMYFUNCTION("""COMPUTED_VALUE"""),"#REF!")</f>
        <v>#REF!</v>
      </c>
      <c r="N4490" s="17"/>
      <c r="O4490" s="17"/>
      <c r="P4490" s="17" t="b">
        <f>IFERROR(__xludf.DUMMYFUNCTION("""COMPUTED_VALUE"""),FALSE)</f>
        <v>0</v>
      </c>
      <c r="Q4490" s="20" t="str">
        <f>IFERROR(__xludf.DUMMYFUNCTION("""COMPUTED_VALUE"""),"")</f>
        <v/>
      </c>
      <c r="R4490" s="22" t="str">
        <f>IFERROR(__xludf.DUMMYFUNCTION("""COMPUTED_VALUE"""),"")</f>
        <v/>
      </c>
    </row>
    <row r="4491">
      <c r="A4491" s="15">
        <f>IFERROR(__xludf.DUMMYFUNCTION("""COMPUTED_VALUE"""),45132.0)</f>
        <v>45132</v>
      </c>
      <c r="B4491" s="16" t="str">
        <f>IFERROR(__xludf.DUMMYFUNCTION("""COMPUTED_VALUE"""),"Jonathan Steven Taborda")</f>
        <v>Jonathan Steven Taborda</v>
      </c>
      <c r="C4491" s="15" t="str">
        <f>IFERROR(__xludf.DUMMYFUNCTION("""COMPUTED_VALUE"""),"POPAYAN")</f>
        <v>POPAYAN</v>
      </c>
      <c r="D4491" s="15" t="str">
        <f>IFERROR(__xludf.DUMMYFUNCTION("""COMPUTED_VALUE"""),"BOGOTÁ")</f>
        <v>BOGOTÁ</v>
      </c>
      <c r="E4491" s="15" t="str">
        <f>IFERROR(__xludf.DUMMYFUNCTION("""COMPUTED_VALUE"""),"Ins. Alimento Vital")</f>
        <v>Ins. Alimento Vital</v>
      </c>
      <c r="F4491" s="17" t="str">
        <f>IFERROR(__xludf.DUMMYFUNCTION("""COMPUTED_VALUE"""),"ATARDECERES DE LA PRADERA / CASA C9 / AL CEMENTERIO JARDINES DE LA PAZ VARIANTE NORTE")</f>
        <v>ATARDECERES DE LA PRADERA / CASA C9 / AL CEMENTERIO JARDINES DE LA PAZ VARIANTE NORTE</v>
      </c>
      <c r="G4491" s="15" t="str">
        <f>IFERROR(__xludf.DUMMYFUNCTION("""COMPUTED_VALUE"""),"VICTOR HUGO MORALES HORMIGA")</f>
        <v>VICTOR HUGO MORALES HORMIGA</v>
      </c>
      <c r="H4491" s="16">
        <f>IFERROR(__xludf.DUMMYFUNCTION("""COMPUTED_VALUE"""),13180.0)</f>
        <v>13180</v>
      </c>
      <c r="I4491" s="18">
        <f>IFERROR(__xludf.DUMMYFUNCTION("""COMPUTED_VALUE"""),1.0)</f>
        <v>1</v>
      </c>
      <c r="J4491" s="18">
        <f>IFERROR(__xludf.DUMMYFUNCTION("""COMPUTED_VALUE"""),1.0)</f>
        <v>1</v>
      </c>
      <c r="K4491" s="18">
        <f>IFERROR(__xludf.DUMMYFUNCTION("""COMPUTED_VALUE"""),1.0)</f>
        <v>1</v>
      </c>
      <c r="L4491" s="17">
        <f>IFERROR(__xludf.DUMMYFUNCTION("""COMPUTED_VALUE"""),3.148536593E9)</f>
        <v>3148536593</v>
      </c>
      <c r="M4491" s="17" t="str">
        <f>IFERROR(__xludf.DUMMYFUNCTION("""COMPUTED_VALUE"""),"#REF!")</f>
        <v>#REF!</v>
      </c>
      <c r="N4491" s="17"/>
      <c r="O4491" s="17"/>
      <c r="P4491" s="17" t="b">
        <f>IFERROR(__xludf.DUMMYFUNCTION("""COMPUTED_VALUE"""),FALSE)</f>
        <v>0</v>
      </c>
      <c r="Q4491" s="20" t="str">
        <f>IFERROR(__xludf.DUMMYFUNCTION("""COMPUTED_VALUE"""),"")</f>
        <v/>
      </c>
      <c r="R4491" s="22" t="str">
        <f>IFERROR(__xludf.DUMMYFUNCTION("""COMPUTED_VALUE"""),"")</f>
        <v/>
      </c>
    </row>
    <row r="4492">
      <c r="A4492" s="15">
        <f>IFERROR(__xludf.DUMMYFUNCTION("""COMPUTED_VALUE"""),45132.0)</f>
        <v>45132</v>
      </c>
      <c r="B4492" s="16" t="str">
        <f>IFERROR(__xludf.DUMMYFUNCTION("""COMPUTED_VALUE"""),"Jonathan Steven Taborda")</f>
        <v>Jonathan Steven Taborda</v>
      </c>
      <c r="C4492" s="15" t="str">
        <f>IFERROR(__xludf.DUMMYFUNCTION("""COMPUTED_VALUE"""),"SANTA MARTA")</f>
        <v>SANTA MARTA</v>
      </c>
      <c r="D4492" s="15" t="str">
        <f>IFERROR(__xludf.DUMMYFUNCTION("""COMPUTED_VALUE"""),"BOGOTÁ")</f>
        <v>BOGOTÁ</v>
      </c>
      <c r="E4492" s="15" t="str">
        <f>IFERROR(__xludf.DUMMYFUNCTION("""COMPUTED_VALUE"""),"Magda")</f>
        <v>Magda</v>
      </c>
      <c r="F4492" s="17" t="str">
        <f>IFERROR(__xludf.DUMMYFUNCTION("""COMPUTED_VALUE"""),"calle 22#6-82  / ""centro comercial plazuela 22 local 27 "" / Centro")</f>
        <v>calle 22#6-82  / "centro comercial plazuela 22 local 27 " / Centro</v>
      </c>
      <c r="G4492" s="15" t="str">
        <f>IFERROR(__xludf.DUMMYFUNCTION("""COMPUTED_VALUE"""),"Shirley Monjarres")</f>
        <v>Shirley Monjarres</v>
      </c>
      <c r="H4492" s="16">
        <f>IFERROR(__xludf.DUMMYFUNCTION("""COMPUTED_VALUE"""),13223.0)</f>
        <v>13223</v>
      </c>
      <c r="I4492" s="18">
        <f>IFERROR(__xludf.DUMMYFUNCTION("""COMPUTED_VALUE"""),5.0)</f>
        <v>5</v>
      </c>
      <c r="J4492" s="18">
        <f>IFERROR(__xludf.DUMMYFUNCTION("""COMPUTED_VALUE"""),5.0)</f>
        <v>5</v>
      </c>
      <c r="K4492" s="18">
        <f>IFERROR(__xludf.DUMMYFUNCTION("""COMPUTED_VALUE"""),5.0)</f>
        <v>5</v>
      </c>
      <c r="L4492" s="17">
        <f>IFERROR(__xludf.DUMMYFUNCTION("""COMPUTED_VALUE"""),3.054269156E9)</f>
        <v>3054269156</v>
      </c>
      <c r="M4492" s="17" t="str">
        <f>IFERROR(__xludf.DUMMYFUNCTION("""COMPUTED_VALUE"""),"#REF!")</f>
        <v>#REF!</v>
      </c>
      <c r="N4492" s="17"/>
      <c r="O4492" s="17"/>
      <c r="P4492" s="17" t="b">
        <f>IFERROR(__xludf.DUMMYFUNCTION("""COMPUTED_VALUE"""),FALSE)</f>
        <v>0</v>
      </c>
      <c r="Q4492" s="20" t="str">
        <f>IFERROR(__xludf.DUMMYFUNCTION("""COMPUTED_VALUE"""),"")</f>
        <v/>
      </c>
      <c r="R4492" s="22" t="str">
        <f>IFERROR(__xludf.DUMMYFUNCTION("""COMPUTED_VALUE"""),"")</f>
        <v/>
      </c>
    </row>
    <row r="4493">
      <c r="A4493" s="17" t="str">
        <f>IFERROR(__xludf.DUMMYFUNCTION("""COMPUTED_VALUE"""),"")</f>
        <v/>
      </c>
      <c r="B4493" s="17" t="str">
        <f>IFERROR(__xludf.DUMMYFUNCTION("""COMPUTED_VALUE"""),"")</f>
        <v/>
      </c>
      <c r="C4493" s="17" t="str">
        <f>IFERROR(__xludf.DUMMYFUNCTION("""COMPUTED_VALUE"""),"")</f>
        <v/>
      </c>
      <c r="D4493" s="17" t="str">
        <f>IFERROR(__xludf.DUMMYFUNCTION("""COMPUTED_VALUE"""),"")</f>
        <v/>
      </c>
      <c r="E4493" s="17" t="str">
        <f>IFERROR(__xludf.DUMMYFUNCTION("""COMPUTED_VALUE"""),"")</f>
        <v/>
      </c>
      <c r="F4493" s="17" t="str">
        <f>IFERROR(__xludf.DUMMYFUNCTION("""COMPUTED_VALUE"""),"")</f>
        <v/>
      </c>
      <c r="G4493" s="17" t="str">
        <f>IFERROR(__xludf.DUMMYFUNCTION("""COMPUTED_VALUE"""),"")</f>
        <v/>
      </c>
      <c r="H4493" s="17" t="str">
        <f>IFERROR(__xludf.DUMMYFUNCTION("""COMPUTED_VALUE"""),"")</f>
        <v/>
      </c>
      <c r="I4493" s="17" t="str">
        <f>IFERROR(__xludf.DUMMYFUNCTION("""COMPUTED_VALUE"""),"")</f>
        <v/>
      </c>
      <c r="J4493" s="17" t="str">
        <f>IFERROR(__xludf.DUMMYFUNCTION("""COMPUTED_VALUE"""),"")</f>
        <v/>
      </c>
      <c r="K4493" s="17" t="str">
        <f>IFERROR(__xludf.DUMMYFUNCTION("""COMPUTED_VALUE"""),"")</f>
        <v/>
      </c>
      <c r="L4493" s="17" t="str">
        <f>IFERROR(__xludf.DUMMYFUNCTION("""COMPUTED_VALUE"""),"")</f>
        <v/>
      </c>
      <c r="M4493" s="17" t="str">
        <f>IFERROR(__xludf.DUMMYFUNCTION("""COMPUTED_VALUE"""),"")</f>
        <v/>
      </c>
      <c r="N4493" s="17" t="str">
        <f>IFERROR(__xludf.DUMMYFUNCTION("""COMPUTED_VALUE"""),"")</f>
        <v/>
      </c>
      <c r="O4493" s="17" t="str">
        <f>IFERROR(__xludf.DUMMYFUNCTION("""COMPUTED_VALUE"""),"")</f>
        <v/>
      </c>
      <c r="P4493" s="17" t="str">
        <f>IFERROR(__xludf.DUMMYFUNCTION("""COMPUTED_VALUE"""),"")</f>
        <v/>
      </c>
      <c r="Q4493" s="17" t="str">
        <f>IFERROR(__xludf.DUMMYFUNCTION("""COMPUTED_VALUE"""),"")</f>
        <v/>
      </c>
      <c r="R4493" s="17" t="str">
        <f>IFERROR(__xludf.DUMMYFUNCTION("""COMPUTED_VALUE"""),"")</f>
        <v/>
      </c>
    </row>
    <row r="4494">
      <c r="A4494" s="15">
        <f>IFERROR(__xludf.DUMMYFUNCTION("""COMPUTED_VALUE"""),45132.0)</f>
        <v>45132</v>
      </c>
      <c r="B4494" s="16" t="str">
        <f>IFERROR(__xludf.DUMMYFUNCTION("""COMPUTED_VALUE"""),"José Miguel Bonilla")</f>
        <v>José Miguel Bonilla</v>
      </c>
      <c r="C4494" s="15" t="str">
        <f>IFERROR(__xludf.DUMMYFUNCTION("""COMPUTED_VALUE"""),"BUCARAMANGA")</f>
        <v>BUCARAMANGA</v>
      </c>
      <c r="D4494" s="15" t="str">
        <f>IFERROR(__xludf.DUMMYFUNCTION("""COMPUTED_VALUE"""),"BOGOTÁ")</f>
        <v>BOGOTÁ</v>
      </c>
      <c r="E4494" s="15" t="str">
        <f>IFERROR(__xludf.DUMMYFUNCTION("""COMPUTED_VALUE"""),"Ins. Alimento Vital")</f>
        <v>Ins. Alimento Vital</v>
      </c>
      <c r="F4494" s="17" t="str">
        <f>IFERROR(__xludf.DUMMYFUNCTION("""COMPUTED_VALUE"""),"CL 31 30 08 / AP 501 /  AURORA ROYAL")</f>
        <v>CL 31 30 08 / AP 501 /  AURORA ROYAL</v>
      </c>
      <c r="G4494" s="15" t="str">
        <f>IFERROR(__xludf.DUMMYFUNCTION("""COMPUTED_VALUE"""),"LARRY ALBERTO LOPEZ")</f>
        <v>LARRY ALBERTO LOPEZ</v>
      </c>
      <c r="H4494" s="16">
        <f>IFERROR(__xludf.DUMMYFUNCTION("""COMPUTED_VALUE"""),13224.0)</f>
        <v>13224</v>
      </c>
      <c r="I4494" s="18">
        <f>IFERROR(__xludf.DUMMYFUNCTION("""COMPUTED_VALUE"""),1.0)</f>
        <v>1</v>
      </c>
      <c r="J4494" s="18">
        <f>IFERROR(__xludf.DUMMYFUNCTION("""COMPUTED_VALUE"""),1.0)</f>
        <v>1</v>
      </c>
      <c r="K4494" s="18">
        <f>IFERROR(__xludf.DUMMYFUNCTION("""COMPUTED_VALUE"""),1.0)</f>
        <v>1</v>
      </c>
      <c r="L4494" s="17">
        <f>IFERROR(__xludf.DUMMYFUNCTION("""COMPUTED_VALUE"""),3.185709801E9)</f>
        <v>3185709801</v>
      </c>
      <c r="M4494" s="17" t="str">
        <f>IFERROR(__xludf.DUMMYFUNCTION("""COMPUTED_VALUE"""),"#REF!")</f>
        <v>#REF!</v>
      </c>
      <c r="N4494" s="17"/>
      <c r="O4494" s="17"/>
      <c r="P4494" s="17" t="b">
        <f>IFERROR(__xludf.DUMMYFUNCTION("""COMPUTED_VALUE"""),FALSE)</f>
        <v>0</v>
      </c>
      <c r="Q4494" s="20" t="str">
        <f>IFERROR(__xludf.DUMMYFUNCTION("""COMPUTED_VALUE"""),"")</f>
        <v/>
      </c>
      <c r="R4494" s="21" t="str">
        <f>IFERROR(__xludf.DUMMYFUNCTION("""COMPUTED_VALUE"""),"https://drive.google.com/file/d/1NacTcPRY9sVv1GIoKM_zjqrVwOu_ffTL/view?usp=drivesdk")</f>
        <v>https://drive.google.com/file/d/1NacTcPRY9sVv1GIoKM_zjqrVwOu_ffTL/view?usp=drivesdk</v>
      </c>
    </row>
    <row r="4495">
      <c r="A4495" s="15">
        <f>IFERROR(__xludf.DUMMYFUNCTION("""COMPUTED_VALUE"""),45132.0)</f>
        <v>45132</v>
      </c>
      <c r="B4495" s="16" t="str">
        <f>IFERROR(__xludf.DUMMYFUNCTION("""COMPUTED_VALUE"""),"José Miguel Bonilla")</f>
        <v>José Miguel Bonilla</v>
      </c>
      <c r="C4495" s="15" t="str">
        <f>IFERROR(__xludf.DUMMYFUNCTION("""COMPUTED_VALUE"""),"BUCARAMANGA")</f>
        <v>BUCARAMANGA</v>
      </c>
      <c r="D4495" s="15" t="str">
        <f>IFERROR(__xludf.DUMMYFUNCTION("""COMPUTED_VALUE"""),"BOGOTÁ")</f>
        <v>BOGOTÁ</v>
      </c>
      <c r="E4495" s="15" t="str">
        <f>IFERROR(__xludf.DUMMYFUNCTION("""COMPUTED_VALUE"""),"Verde Avocado")</f>
        <v>Verde Avocado</v>
      </c>
      <c r="F4495" s="17" t="str">
        <f>IFERROR(__xludf.DUMMYFUNCTION("""COMPUTED_VALUE"""),"Calle 55 # 13-53 piso 3 / Piso 3 / Barrio Gómez niño")</f>
        <v>Calle 55 # 13-53 piso 3 / Piso 3 / Barrio Gómez niño</v>
      </c>
      <c r="G4495" s="15" t="str">
        <f>IFERROR(__xludf.DUMMYFUNCTION("""COMPUTED_VALUE"""),"Jose Pablo Rivero")</f>
        <v>Jose Pablo Rivero</v>
      </c>
      <c r="H4495" s="16">
        <f>IFERROR(__xludf.DUMMYFUNCTION("""COMPUTED_VALUE"""),13221.0)</f>
        <v>13221</v>
      </c>
      <c r="I4495" s="18">
        <f>IFERROR(__xludf.DUMMYFUNCTION("""COMPUTED_VALUE"""),9.0)</f>
        <v>9</v>
      </c>
      <c r="J4495" s="18">
        <f>IFERROR(__xludf.DUMMYFUNCTION("""COMPUTED_VALUE"""),24.0)</f>
        <v>24</v>
      </c>
      <c r="K4495" s="18">
        <f>IFERROR(__xludf.DUMMYFUNCTION("""COMPUTED_VALUE"""),32.0)</f>
        <v>32</v>
      </c>
      <c r="L4495" s="17">
        <f>IFERROR(__xludf.DUMMYFUNCTION("""COMPUTED_VALUE"""),3.158600162E9)</f>
        <v>3158600162</v>
      </c>
      <c r="M4495" s="17" t="str">
        <f>IFERROR(__xludf.DUMMYFUNCTION("""COMPUTED_VALUE"""),"#REF!")</f>
        <v>#REF!</v>
      </c>
      <c r="N4495" s="17"/>
      <c r="O4495" s="17"/>
      <c r="P4495" s="17" t="b">
        <f>IFERROR(__xludf.DUMMYFUNCTION("""COMPUTED_VALUE"""),FALSE)</f>
        <v>0</v>
      </c>
      <c r="Q4495" s="20" t="str">
        <f>IFERROR(__xludf.DUMMYFUNCTION("""COMPUTED_VALUE"""),"")</f>
        <v/>
      </c>
      <c r="R4495" s="21" t="str">
        <f>IFERROR(__xludf.DUMMYFUNCTION("""COMPUTED_VALUE"""),"https://drive.google.com/file/d/1KoJXFegpSi47EaOgrUOHc_V28RPTi2Qx/view?usp=drivesdk")</f>
        <v>https://drive.google.com/file/d/1KoJXFegpSi47EaOgrUOHc_V28RPTi2Qx/view?usp=drivesdk</v>
      </c>
    </row>
    <row r="4496">
      <c r="A4496" s="15">
        <f>IFERROR(__xludf.DUMMYFUNCTION("""COMPUTED_VALUE"""),45132.0)</f>
        <v>45132</v>
      </c>
      <c r="B4496" s="16" t="str">
        <f>IFERROR(__xludf.DUMMYFUNCTION("""COMPUTED_VALUE"""),"José Miguel Bonilla")</f>
        <v>José Miguel Bonilla</v>
      </c>
      <c r="C4496" s="15" t="str">
        <f>IFERROR(__xludf.DUMMYFUNCTION("""COMPUTED_VALUE"""),"BUCARAMANGA")</f>
        <v>BUCARAMANGA</v>
      </c>
      <c r="D4496" s="15" t="str">
        <f>IFERROR(__xludf.DUMMYFUNCTION("""COMPUTED_VALUE"""),"BOGOTÁ")</f>
        <v>BOGOTÁ</v>
      </c>
      <c r="E4496" s="15" t="str">
        <f>IFERROR(__xludf.DUMMYFUNCTION("""COMPUTED_VALUE"""),"Verde Avocado")</f>
        <v>Verde Avocado</v>
      </c>
      <c r="F4496" s="17" t="str">
        <f>IFERROR(__xludf.DUMMYFUNCTION("""COMPUTED_VALUE"""),"Calle 55 #13-53 piso 3 / Piso 3 / Barrio Gómez niño")</f>
        <v>Calle 55 #13-53 piso 3 / Piso 3 / Barrio Gómez niño</v>
      </c>
      <c r="G4496" s="15" t="str">
        <f>IFERROR(__xludf.DUMMYFUNCTION("""COMPUTED_VALUE"""),"Jose Pablo Rivero")</f>
        <v>Jose Pablo Rivero</v>
      </c>
      <c r="H4496" s="16">
        <f>IFERROR(__xludf.DUMMYFUNCTION("""COMPUTED_VALUE"""),13222.0)</f>
        <v>13222</v>
      </c>
      <c r="I4496" s="18">
        <f>IFERROR(__xludf.DUMMYFUNCTION("""COMPUTED_VALUE"""),9.0)</f>
        <v>9</v>
      </c>
      <c r="J4496" s="18">
        <f>IFERROR(__xludf.DUMMYFUNCTION("""COMPUTED_VALUE"""),12.0)</f>
        <v>12</v>
      </c>
      <c r="K4496" s="18">
        <f>IFERROR(__xludf.DUMMYFUNCTION("""COMPUTED_VALUE"""),15.0)</f>
        <v>15</v>
      </c>
      <c r="L4496" s="17">
        <f>IFERROR(__xludf.DUMMYFUNCTION("""COMPUTED_VALUE"""),3.158600162E9)</f>
        <v>3158600162</v>
      </c>
      <c r="M4496" s="17" t="str">
        <f>IFERROR(__xludf.DUMMYFUNCTION("""COMPUTED_VALUE"""),"#REF!")</f>
        <v>#REF!</v>
      </c>
      <c r="N4496" s="17"/>
      <c r="O4496" s="17"/>
      <c r="P4496" s="17" t="b">
        <f>IFERROR(__xludf.DUMMYFUNCTION("""COMPUTED_VALUE"""),FALSE)</f>
        <v>0</v>
      </c>
      <c r="Q4496" s="20" t="str">
        <f>IFERROR(__xludf.DUMMYFUNCTION("""COMPUTED_VALUE"""),"")</f>
        <v/>
      </c>
      <c r="R4496" s="21" t="str">
        <f>IFERROR(__xludf.DUMMYFUNCTION("""COMPUTED_VALUE"""),"https://drive.google.com/file/d/10lwptsFUl-lQFYdH9z6iLRmuqwZQryjg/view?usp=drivesdk")</f>
        <v>https://drive.google.com/file/d/10lwptsFUl-lQFYdH9z6iLRmuqwZQryjg/view?usp=drivesdk</v>
      </c>
    </row>
    <row r="4497">
      <c r="A4497" s="15">
        <f>IFERROR(__xludf.DUMMYFUNCTION("""COMPUTED_VALUE"""),45132.0)</f>
        <v>45132</v>
      </c>
      <c r="B4497" s="16" t="str">
        <f>IFERROR(__xludf.DUMMYFUNCTION("""COMPUTED_VALUE"""),"José Miguel Bonilla")</f>
        <v>José Miguel Bonilla</v>
      </c>
      <c r="C4497" s="15" t="str">
        <f>IFERROR(__xludf.DUMMYFUNCTION("""COMPUTED_VALUE"""),"BUCARAMANGA")</f>
        <v>BUCARAMANGA</v>
      </c>
      <c r="D4497" s="15" t="str">
        <f>IFERROR(__xludf.DUMMYFUNCTION("""COMPUTED_VALUE"""),"MEDELLÍN")</f>
        <v>MEDELLÍN</v>
      </c>
      <c r="E4497" s="15" t="str">
        <f>IFERROR(__xludf.DUMMYFUNCTION("""COMPUTED_VALUE"""),"Baby Chef")</f>
        <v>Baby Chef</v>
      </c>
      <c r="F4497" s="17" t="str">
        <f>IFERROR(__xludf.DUMMYFUNCTION("""COMPUTED_VALUE"""),"Cra 27 No 84 18 conjunto Terranova T2 apto 903 diamante 2 Bucaramanga / Cra 27 No 84 18 conjunto Terranova T2 apto 903 diamante 2 Bucaramanga / Cra 27 No 84 18 conjunto Terranova T2 apto 903 diamante 2 Bucaramanga")</f>
        <v>Cra 27 No 84 18 conjunto Terranova T2 apto 903 diamante 2 Bucaramanga / Cra 27 No 84 18 conjunto Terranova T2 apto 903 diamante 2 Bucaramanga / Cra 27 No 84 18 conjunto Terranova T2 apto 903 diamante 2 Bucaramanga</v>
      </c>
      <c r="G4497" s="15" t="str">
        <f>IFERROR(__xludf.DUMMYFUNCTION("""COMPUTED_VALUE"""),"Laura Becerra")</f>
        <v>Laura Becerra</v>
      </c>
      <c r="H4497" s="16">
        <f>IFERROR(__xludf.DUMMYFUNCTION("""COMPUTED_VALUE"""),13244.0)</f>
        <v>13244</v>
      </c>
      <c r="I4497" s="18">
        <f>IFERROR(__xludf.DUMMYFUNCTION("""COMPUTED_VALUE"""),8.0)</f>
        <v>8</v>
      </c>
      <c r="J4497" s="18">
        <f>IFERROR(__xludf.DUMMYFUNCTION("""COMPUTED_VALUE"""),37.0)</f>
        <v>37</v>
      </c>
      <c r="K4497" s="18">
        <f>IFERROR(__xludf.DUMMYFUNCTION("""COMPUTED_VALUE"""),26.0)</f>
        <v>26</v>
      </c>
      <c r="L4497" s="17">
        <f>IFERROR(__xludf.DUMMYFUNCTION("""COMPUTED_VALUE"""),3.164540927E9)</f>
        <v>3164540927</v>
      </c>
      <c r="M4497" s="17" t="str">
        <f>IFERROR(__xludf.DUMMYFUNCTION("""COMPUTED_VALUE"""),"#REF!")</f>
        <v>#REF!</v>
      </c>
      <c r="N4497" s="17"/>
      <c r="O4497" s="17"/>
      <c r="P4497" s="17" t="b">
        <f>IFERROR(__xludf.DUMMYFUNCTION("""COMPUTED_VALUE"""),FALSE)</f>
        <v>0</v>
      </c>
      <c r="Q4497" s="20" t="str">
        <f>IFERROR(__xludf.DUMMYFUNCTION("""COMPUTED_VALUE"""),"")</f>
        <v/>
      </c>
      <c r="R4497" s="21" t="str">
        <f>IFERROR(__xludf.DUMMYFUNCTION("""COMPUTED_VALUE"""),"https://drive.google.com/file/d/1BqLvzJCLq3mtWJQWXRyId6zgjw9ntODI/view?usp=drivesdk")</f>
        <v>https://drive.google.com/file/d/1BqLvzJCLq3mtWJQWXRyId6zgjw9ntODI/view?usp=drivesdk</v>
      </c>
    </row>
    <row r="4498">
      <c r="A4498" s="15">
        <f>IFERROR(__xludf.DUMMYFUNCTION("""COMPUTED_VALUE"""),45132.0)</f>
        <v>45132</v>
      </c>
      <c r="B4498" s="16" t="str">
        <f>IFERROR(__xludf.DUMMYFUNCTION("""COMPUTED_VALUE"""),"José Miguel Bonilla")</f>
        <v>José Miguel Bonilla</v>
      </c>
      <c r="C4498" s="15" t="str">
        <f>IFERROR(__xludf.DUMMYFUNCTION("""COMPUTED_VALUE"""),"BUCARAMANGA")</f>
        <v>BUCARAMANGA</v>
      </c>
      <c r="D4498" s="15" t="str">
        <f>IFERROR(__xludf.DUMMYFUNCTION("""COMPUTED_VALUE"""),"MEDELLÍN")</f>
        <v>MEDELLÍN</v>
      </c>
      <c r="E4498" s="15" t="str">
        <f>IFERROR(__xludf.DUMMYFUNCTION("""COMPUTED_VALUE"""),"Terravocado")</f>
        <v>Terravocado</v>
      </c>
      <c r="F4498" s="17" t="str">
        <f>IFERROR(__xludf.DUMMYFUNCTION("""COMPUTED_VALUE"""),"Calle real 6-74 / portal de San sebastian torre 4 apto 702 / Barrio real de minas")</f>
        <v>Calle real 6-74 / portal de San sebastian torre 4 apto 702 / Barrio real de minas</v>
      </c>
      <c r="G4498" s="15" t="str">
        <f>IFERROR(__xludf.DUMMYFUNCTION("""COMPUTED_VALUE"""),"Edgar contreras")</f>
        <v>Edgar contreras</v>
      </c>
      <c r="H4498" s="16">
        <f>IFERROR(__xludf.DUMMYFUNCTION("""COMPUTED_VALUE"""),13048.0)</f>
        <v>13048</v>
      </c>
      <c r="I4498" s="18">
        <f>IFERROR(__xludf.DUMMYFUNCTION("""COMPUTED_VALUE"""),20.0)</f>
        <v>20</v>
      </c>
      <c r="J4498" s="18">
        <f>IFERROR(__xludf.DUMMYFUNCTION("""COMPUTED_VALUE"""),24.0)</f>
        <v>24</v>
      </c>
      <c r="K4498" s="18">
        <f>IFERROR(__xludf.DUMMYFUNCTION("""COMPUTED_VALUE"""),34.0)</f>
        <v>34</v>
      </c>
      <c r="L4498" s="17">
        <f>IFERROR(__xludf.DUMMYFUNCTION("""COMPUTED_VALUE"""),3.223626148E9)</f>
        <v>3223626148</v>
      </c>
      <c r="M4498" s="17" t="str">
        <f>IFERROR(__xludf.DUMMYFUNCTION("""COMPUTED_VALUE"""),"#REF!")</f>
        <v>#REF!</v>
      </c>
      <c r="N4498" s="17"/>
      <c r="O4498" s="17"/>
      <c r="P4498" s="17" t="b">
        <f>IFERROR(__xludf.DUMMYFUNCTION("""COMPUTED_VALUE"""),FALSE)</f>
        <v>0</v>
      </c>
      <c r="Q4498" s="20" t="str">
        <f>IFERROR(__xludf.DUMMYFUNCTION("""COMPUTED_VALUE"""),"")</f>
        <v/>
      </c>
      <c r="R4498" s="21" t="str">
        <f>IFERROR(__xludf.DUMMYFUNCTION("""COMPUTED_VALUE"""),"https://drive.google.com/file/d/1sPitf37o2RfC3AS6uuQXqHV6YP7yMf7d/view?usp=drivesdk")</f>
        <v>https://drive.google.com/file/d/1sPitf37o2RfC3AS6uuQXqHV6YP7yMf7d/view?usp=drivesdk</v>
      </c>
    </row>
    <row r="4499">
      <c r="A4499" s="15">
        <f>IFERROR(__xludf.DUMMYFUNCTION("""COMPUTED_VALUE"""),45132.0)</f>
        <v>45132</v>
      </c>
      <c r="B4499" s="16" t="str">
        <f>IFERROR(__xludf.DUMMYFUNCTION("""COMPUTED_VALUE"""),"José Miguel Bonilla")</f>
        <v>José Miguel Bonilla</v>
      </c>
      <c r="C4499" s="15" t="str">
        <f>IFERROR(__xludf.DUMMYFUNCTION("""COMPUTED_VALUE"""),"PEREIRA")</f>
        <v>PEREIRA</v>
      </c>
      <c r="D4499" s="15" t="str">
        <f>IFERROR(__xludf.DUMMYFUNCTION("""COMPUTED_VALUE"""),"MEDELLÍN")</f>
        <v>MEDELLÍN</v>
      </c>
      <c r="E4499" s="15" t="str">
        <f>IFERROR(__xludf.DUMMYFUNCTION("""COMPUTED_VALUE"""),"Rambla")</f>
        <v>Rambla</v>
      </c>
      <c r="F4499" s="17" t="str">
        <f>IFERROR(__xludf.DUMMYFUNCTION("""COMPUTED_VALUE"""),"carrera 14-12-55 / na / na")</f>
        <v>carrera 14-12-55 / na / na</v>
      </c>
      <c r="G4499" s="15" t="str">
        <f>IFERROR(__xludf.DUMMYFUNCTION("""COMPUTED_VALUE"""),"vita eco")</f>
        <v>vita eco</v>
      </c>
      <c r="H4499" s="16">
        <f>IFERROR(__xludf.DUMMYFUNCTION("""COMPUTED_VALUE"""),13248.0)</f>
        <v>13248</v>
      </c>
      <c r="I4499" s="18">
        <f>IFERROR(__xludf.DUMMYFUNCTION("""COMPUTED_VALUE"""),33.0)</f>
        <v>33</v>
      </c>
      <c r="J4499" s="18">
        <f>IFERROR(__xludf.DUMMYFUNCTION("""COMPUTED_VALUE"""),28.0)</f>
        <v>28</v>
      </c>
      <c r="K4499" s="18">
        <f>IFERROR(__xludf.DUMMYFUNCTION("""COMPUTED_VALUE"""),22.0)</f>
        <v>22</v>
      </c>
      <c r="L4499" s="17">
        <f>IFERROR(__xludf.DUMMYFUNCTION("""COMPUTED_VALUE"""),3.215501948E9)</f>
        <v>3215501948</v>
      </c>
      <c r="M4499" s="17" t="str">
        <f>IFERROR(__xludf.DUMMYFUNCTION("""COMPUTED_VALUE"""),"#REF!")</f>
        <v>#REF!</v>
      </c>
      <c r="N4499" s="17"/>
      <c r="O4499" s="17"/>
      <c r="P4499" s="17" t="b">
        <f>IFERROR(__xludf.DUMMYFUNCTION("""COMPUTED_VALUE"""),FALSE)</f>
        <v>0</v>
      </c>
      <c r="Q4499" s="20" t="str">
        <f>IFERROR(__xludf.DUMMYFUNCTION("""COMPUTED_VALUE"""),"")</f>
        <v/>
      </c>
      <c r="R4499" s="21" t="str">
        <f>IFERROR(__xludf.DUMMYFUNCTION("""COMPUTED_VALUE"""),"https://drive.google.com/file/d/1Gx64fai5aCr6h31dU6dUm-eZy4lJvIzU/view?usp=drivesdk")</f>
        <v>https://drive.google.com/file/d/1Gx64fai5aCr6h31dU6dUm-eZy4lJvIzU/view?usp=drivesdk</v>
      </c>
    </row>
    <row r="4500">
      <c r="A4500" s="15">
        <f>IFERROR(__xludf.DUMMYFUNCTION("""COMPUTED_VALUE"""),45132.0)</f>
        <v>45132</v>
      </c>
      <c r="B4500" s="16" t="str">
        <f>IFERROR(__xludf.DUMMYFUNCTION("""COMPUTED_VALUE"""),"José Miguel Bonilla")</f>
        <v>José Miguel Bonilla</v>
      </c>
      <c r="C4500" s="15" t="str">
        <f>IFERROR(__xludf.DUMMYFUNCTION("""COMPUTED_VALUE"""),"PEREIRA")</f>
        <v>PEREIRA</v>
      </c>
      <c r="D4500" s="15" t="str">
        <f>IFERROR(__xludf.DUMMYFUNCTION("""COMPUTED_VALUE"""),"MEDELLÍN")</f>
        <v>MEDELLÍN</v>
      </c>
      <c r="E4500" s="15" t="str">
        <f>IFERROR(__xludf.DUMMYFUNCTION("""COMPUTED_VALUE"""),"TOLEDALES S.A.S")</f>
        <v>TOLEDALES S.A.S</v>
      </c>
      <c r="F4500" s="17" t="str">
        <f>IFERROR(__xludf.DUMMYFUNCTION("""COMPUTED_VALUE"""),"Manzana 42")</f>
        <v>Manzana 42</v>
      </c>
      <c r="G4500" s="15" t="str">
        <f>IFERROR(__xludf.DUMMYFUNCTION("""COMPUTED_VALUE"""),"luz omaida jimenez")</f>
        <v>luz omaida jimenez</v>
      </c>
      <c r="H4500" s="16">
        <f>IFERROR(__xludf.DUMMYFUNCTION("""COMPUTED_VALUE"""),13161.0)</f>
        <v>13161</v>
      </c>
      <c r="I4500" s="18">
        <f>IFERROR(__xludf.DUMMYFUNCTION("""COMPUTED_VALUE"""),22.0)</f>
        <v>22</v>
      </c>
      <c r="J4500" s="18">
        <f>IFERROR(__xludf.DUMMYFUNCTION("""COMPUTED_VALUE"""),33.0)</f>
        <v>33</v>
      </c>
      <c r="K4500" s="18">
        <f>IFERROR(__xludf.DUMMYFUNCTION("""COMPUTED_VALUE"""),50.0)</f>
        <v>50</v>
      </c>
      <c r="L4500" s="17">
        <f>IFERROR(__xludf.DUMMYFUNCTION("""COMPUTED_VALUE"""),3.14562573E9)</f>
        <v>3145625730</v>
      </c>
      <c r="M4500" s="17" t="str">
        <f>IFERROR(__xludf.DUMMYFUNCTION("""COMPUTED_VALUE"""),"#REF!")</f>
        <v>#REF!</v>
      </c>
      <c r="N4500" s="17"/>
      <c r="O4500" s="17"/>
      <c r="P4500" s="17" t="b">
        <f>IFERROR(__xludf.DUMMYFUNCTION("""COMPUTED_VALUE"""),FALSE)</f>
        <v>0</v>
      </c>
      <c r="Q4500" s="20" t="str">
        <f>IFERROR(__xludf.DUMMYFUNCTION("""COMPUTED_VALUE"""),"")</f>
        <v/>
      </c>
      <c r="R4500" s="21" t="str">
        <f>IFERROR(__xludf.DUMMYFUNCTION("""COMPUTED_VALUE"""),"https://drive.google.com/file/d/12tp3VTadzqfFhSyY79ddigJkBKWzk53Q/view?usp=drivesdk")</f>
        <v>https://drive.google.com/file/d/12tp3VTadzqfFhSyY79ddigJkBKWzk53Q/view?usp=drivesdk</v>
      </c>
    </row>
    <row r="4501">
      <c r="A4501" s="17" t="str">
        <f>IFERROR(__xludf.DUMMYFUNCTION("""COMPUTED_VALUE"""),"")</f>
        <v/>
      </c>
      <c r="B4501" s="17" t="str">
        <f>IFERROR(__xludf.DUMMYFUNCTION("""COMPUTED_VALUE"""),"")</f>
        <v/>
      </c>
      <c r="C4501" s="17" t="str">
        <f>IFERROR(__xludf.DUMMYFUNCTION("""COMPUTED_VALUE"""),"")</f>
        <v/>
      </c>
      <c r="D4501" s="17" t="str">
        <f>IFERROR(__xludf.DUMMYFUNCTION("""COMPUTED_VALUE"""),"")</f>
        <v/>
      </c>
      <c r="E4501" s="17" t="str">
        <f>IFERROR(__xludf.DUMMYFUNCTION("""COMPUTED_VALUE"""),"")</f>
        <v/>
      </c>
      <c r="F4501" s="17" t="str">
        <f>IFERROR(__xludf.DUMMYFUNCTION("""COMPUTED_VALUE"""),"")</f>
        <v/>
      </c>
      <c r="G4501" s="17" t="str">
        <f>IFERROR(__xludf.DUMMYFUNCTION("""COMPUTED_VALUE"""),"")</f>
        <v/>
      </c>
      <c r="H4501" s="17" t="str">
        <f>IFERROR(__xludf.DUMMYFUNCTION("""COMPUTED_VALUE"""),"")</f>
        <v/>
      </c>
      <c r="I4501" s="17" t="str">
        <f>IFERROR(__xludf.DUMMYFUNCTION("""COMPUTED_VALUE"""),"")</f>
        <v/>
      </c>
      <c r="J4501" s="17" t="str">
        <f>IFERROR(__xludf.DUMMYFUNCTION("""COMPUTED_VALUE"""),"")</f>
        <v/>
      </c>
      <c r="K4501" s="17" t="str">
        <f>IFERROR(__xludf.DUMMYFUNCTION("""COMPUTED_VALUE"""),"")</f>
        <v/>
      </c>
      <c r="L4501" s="17" t="str">
        <f>IFERROR(__xludf.DUMMYFUNCTION("""COMPUTED_VALUE"""),"")</f>
        <v/>
      </c>
      <c r="M4501" s="17" t="str">
        <f>IFERROR(__xludf.DUMMYFUNCTION("""COMPUTED_VALUE"""),"")</f>
        <v/>
      </c>
      <c r="N4501" s="17" t="str">
        <f>IFERROR(__xludf.DUMMYFUNCTION("""COMPUTED_VALUE"""),"")</f>
        <v/>
      </c>
      <c r="O4501" s="17" t="str">
        <f>IFERROR(__xludf.DUMMYFUNCTION("""COMPUTED_VALUE"""),"")</f>
        <v/>
      </c>
      <c r="P4501" s="17" t="str">
        <f>IFERROR(__xludf.DUMMYFUNCTION("""COMPUTED_VALUE"""),"")</f>
        <v/>
      </c>
      <c r="Q4501" s="17" t="str">
        <f>IFERROR(__xludf.DUMMYFUNCTION("""COMPUTED_VALUE"""),"")</f>
        <v/>
      </c>
      <c r="R4501" s="17" t="str">
        <f>IFERROR(__xludf.DUMMYFUNCTION("""COMPUTED_VALUE"""),"")</f>
        <v/>
      </c>
    </row>
    <row r="4502">
      <c r="A4502" s="15">
        <f>IFERROR(__xludf.DUMMYFUNCTION("""COMPUTED_VALUE"""),45132.0)</f>
        <v>45132</v>
      </c>
      <c r="B4502" s="16" t="str">
        <f>IFERROR(__xludf.DUMMYFUNCTION("""COMPUTED_VALUE"""),"Oscar Augusto Meneses Osias")</f>
        <v>Oscar Augusto Meneses Osias</v>
      </c>
      <c r="C4502" s="15" t="str">
        <f>IFERROR(__xludf.DUMMYFUNCTION("""COMPUTED_VALUE"""),"MEDELLÍN")</f>
        <v>MEDELLÍN</v>
      </c>
      <c r="D4502" s="15" t="str">
        <f>IFERROR(__xludf.DUMMYFUNCTION("""COMPUTED_VALUE"""),"BOGOTÁ")</f>
        <v>BOGOTÁ</v>
      </c>
      <c r="E4502" s="15" t="str">
        <f>IFERROR(__xludf.DUMMYFUNCTION("""COMPUTED_VALUE"""),"Asociacion Agropecuaria Juana Maria")</f>
        <v>Asociacion Agropecuaria Juana Maria</v>
      </c>
      <c r="F4502" s="17" t="str">
        <f>IFERROR(__xludf.DUMMYFUNCTION("""COMPUTED_VALUE"""),"Carrera 15 BA # 30D-44 int 201")</f>
        <v>Carrera 15 BA # 30D-44 int 201</v>
      </c>
      <c r="G4502" s="15" t="str">
        <f>IFERROR(__xludf.DUMMYFUNCTION("""COMPUTED_VALUE"""),"Daniela Bedoya Blandon")</f>
        <v>Daniela Bedoya Blandon</v>
      </c>
      <c r="H4502" s="16">
        <f>IFERROR(__xludf.DUMMYFUNCTION("""COMPUTED_VALUE"""),13162.0)</f>
        <v>13162</v>
      </c>
      <c r="I4502" s="18">
        <f>IFERROR(__xludf.DUMMYFUNCTION("""COMPUTED_VALUE"""),21.0)</f>
        <v>21</v>
      </c>
      <c r="J4502" s="18">
        <f>IFERROR(__xludf.DUMMYFUNCTION("""COMPUTED_VALUE"""),37.0)</f>
        <v>37</v>
      </c>
      <c r="K4502" s="18">
        <f>IFERROR(__xludf.DUMMYFUNCTION("""COMPUTED_VALUE"""),30.0)</f>
        <v>30</v>
      </c>
      <c r="L4502" s="17">
        <f>IFERROR(__xludf.DUMMYFUNCTION("""COMPUTED_VALUE"""),3.14672822E9)</f>
        <v>3146728220</v>
      </c>
      <c r="M4502" s="17" t="str">
        <f>IFERROR(__xludf.DUMMYFUNCTION("""COMPUTED_VALUE"""),"#REF!")</f>
        <v>#REF!</v>
      </c>
      <c r="N4502" s="17"/>
      <c r="O4502" s="17"/>
      <c r="P4502" s="17" t="b">
        <f>IFERROR(__xludf.DUMMYFUNCTION("""COMPUTED_VALUE"""),FALSE)</f>
        <v>0</v>
      </c>
      <c r="Q4502" s="20" t="str">
        <f>IFERROR(__xludf.DUMMYFUNCTION("""COMPUTED_VALUE"""),"")</f>
        <v/>
      </c>
      <c r="R4502" s="22" t="str">
        <f>IFERROR(__xludf.DUMMYFUNCTION("""COMPUTED_VALUE"""),"")</f>
        <v/>
      </c>
    </row>
    <row r="4503">
      <c r="A4503" s="15">
        <f>IFERROR(__xludf.DUMMYFUNCTION("""COMPUTED_VALUE"""),45132.0)</f>
        <v>45132</v>
      </c>
      <c r="B4503" s="16" t="str">
        <f>IFERROR(__xludf.DUMMYFUNCTION("""COMPUTED_VALUE"""),"Oscar Augusto Meneses Osias")</f>
        <v>Oscar Augusto Meneses Osias</v>
      </c>
      <c r="C4503" s="15" t="str">
        <f>IFERROR(__xludf.DUMMYFUNCTION("""COMPUTED_VALUE"""),"MEDELLÍN")</f>
        <v>MEDELLÍN</v>
      </c>
      <c r="D4503" s="15" t="str">
        <f>IFERROR(__xludf.DUMMYFUNCTION("""COMPUTED_VALUE"""),"BOGOTÁ")</f>
        <v>BOGOTÁ</v>
      </c>
      <c r="E4503" s="15" t="str">
        <f>IFERROR(__xludf.DUMMYFUNCTION("""COMPUTED_VALUE"""),"Evamazzita")</f>
        <v>Evamazzita</v>
      </c>
      <c r="F4503" s="17" t="str">
        <f>IFERROR(__xludf.DUMMYFUNCTION("""COMPUTED_VALUE"""),"Calle 36# 6 12 / Torre tupinamba apto 402 / Villa Ilusión Torre Tupinamba")</f>
        <v>Calle 36# 6 12 / Torre tupinamba apto 402 / Villa Ilusión Torre Tupinamba</v>
      </c>
      <c r="G4503" s="15" t="str">
        <f>IFERROR(__xludf.DUMMYFUNCTION("""COMPUTED_VALUE"""),"ERIKA CEBALLOS")</f>
        <v>ERIKA CEBALLOS</v>
      </c>
      <c r="H4503" s="16">
        <f>IFERROR(__xludf.DUMMYFUNCTION("""COMPUTED_VALUE"""),13202.0)</f>
        <v>13202</v>
      </c>
      <c r="I4503" s="18">
        <f>IFERROR(__xludf.DUMMYFUNCTION("""COMPUTED_VALUE"""),1.0)</f>
        <v>1</v>
      </c>
      <c r="J4503" s="18">
        <f>IFERROR(__xludf.DUMMYFUNCTION("""COMPUTED_VALUE"""),1.0)</f>
        <v>1</v>
      </c>
      <c r="K4503" s="18">
        <f>IFERROR(__xludf.DUMMYFUNCTION("""COMPUTED_VALUE"""),1.0)</f>
        <v>1</v>
      </c>
      <c r="L4503" s="17">
        <f>IFERROR(__xludf.DUMMYFUNCTION("""COMPUTED_VALUE"""),3.206135304E9)</f>
        <v>3206135304</v>
      </c>
      <c r="M4503" s="17" t="str">
        <f>IFERROR(__xludf.DUMMYFUNCTION("""COMPUTED_VALUE"""),"#REF!")</f>
        <v>#REF!</v>
      </c>
      <c r="N4503" s="17"/>
      <c r="O4503" s="17"/>
      <c r="P4503" s="17" t="b">
        <f>IFERROR(__xludf.DUMMYFUNCTION("""COMPUTED_VALUE"""),FALSE)</f>
        <v>0</v>
      </c>
      <c r="Q4503" s="20" t="str">
        <f>IFERROR(__xludf.DUMMYFUNCTION("""COMPUTED_VALUE"""),"")</f>
        <v/>
      </c>
      <c r="R4503" s="21" t="str">
        <f>IFERROR(__xludf.DUMMYFUNCTION("""COMPUTED_VALUE"""),"https://drive.google.com/file/d/1rG136z86rzjrOG7j4pjQC-OswBqWSR5O/view?usp=drivesdk")</f>
        <v>https://drive.google.com/file/d/1rG136z86rzjrOG7j4pjQC-OswBqWSR5O/view?usp=drivesdk</v>
      </c>
    </row>
    <row r="4504">
      <c r="A4504" s="15">
        <f>IFERROR(__xludf.DUMMYFUNCTION("""COMPUTED_VALUE"""),45132.0)</f>
        <v>45132</v>
      </c>
      <c r="B4504" s="16" t="str">
        <f>IFERROR(__xludf.DUMMYFUNCTION("""COMPUTED_VALUE"""),"Oscar Augusto Meneses Osias")</f>
        <v>Oscar Augusto Meneses Osias</v>
      </c>
      <c r="C4504" s="15" t="str">
        <f>IFERROR(__xludf.DUMMYFUNCTION("""COMPUTED_VALUE"""),"MEDELLÍN")</f>
        <v>MEDELLÍN</v>
      </c>
      <c r="D4504" s="15" t="str">
        <f>IFERROR(__xludf.DUMMYFUNCTION("""COMPUTED_VALUE"""),"BOGOTÁ")</f>
        <v>BOGOTÁ</v>
      </c>
      <c r="E4504" s="15" t="str">
        <f>IFERROR(__xludf.DUMMYFUNCTION("""COMPUTED_VALUE"""),"Evamazzita")</f>
        <v>Evamazzita</v>
      </c>
      <c r="F4504" s="17" t="str">
        <f>IFERROR(__xludf.DUMMYFUNCTION("""COMPUTED_VALUE"""),"CALLE 61 SUR # 39 70 / APTO 1910 TORRE 2 / CIUDAD DEL BOSQUE  BARRIO ASDESILLAS")</f>
        <v>CALLE 61 SUR # 39 70 / APTO 1910 TORRE 2 / CIUDAD DEL BOSQUE  BARRIO ASDESILLAS</v>
      </c>
      <c r="G4504" s="15" t="str">
        <f>IFERROR(__xludf.DUMMYFUNCTION("""COMPUTED_VALUE"""),"PAULA ANDREA TOBON")</f>
        <v>PAULA ANDREA TOBON</v>
      </c>
      <c r="H4504" s="16">
        <f>IFERROR(__xludf.DUMMYFUNCTION("""COMPUTED_VALUE"""),13216.0)</f>
        <v>13216</v>
      </c>
      <c r="I4504" s="18">
        <f>IFERROR(__xludf.DUMMYFUNCTION("""COMPUTED_VALUE"""),1.0)</f>
        <v>1</v>
      </c>
      <c r="J4504" s="18">
        <f>IFERROR(__xludf.DUMMYFUNCTION("""COMPUTED_VALUE"""),1.0)</f>
        <v>1</v>
      </c>
      <c r="K4504" s="18">
        <f>IFERROR(__xludf.DUMMYFUNCTION("""COMPUTED_VALUE"""),1.0)</f>
        <v>1</v>
      </c>
      <c r="L4504" s="17">
        <f>IFERROR(__xludf.DUMMYFUNCTION("""COMPUTED_VALUE"""),3.13251544E9)</f>
        <v>3132515440</v>
      </c>
      <c r="M4504" s="17" t="str">
        <f>IFERROR(__xludf.DUMMYFUNCTION("""COMPUTED_VALUE"""),"#REF!")</f>
        <v>#REF!</v>
      </c>
      <c r="N4504" s="17"/>
      <c r="O4504" s="17"/>
      <c r="P4504" s="17" t="b">
        <f>IFERROR(__xludf.DUMMYFUNCTION("""COMPUTED_VALUE"""),FALSE)</f>
        <v>0</v>
      </c>
      <c r="Q4504" s="20" t="str">
        <f>IFERROR(__xludf.DUMMYFUNCTION("""COMPUTED_VALUE"""),"")</f>
        <v/>
      </c>
      <c r="R4504" s="21" t="str">
        <f>IFERROR(__xludf.DUMMYFUNCTION("""COMPUTED_VALUE"""),"https://drive.google.com/file/d/1yNJLT5qS-vQ-AdnRbndb4T1lZJRWOgMv/view?usp=drivesdk")</f>
        <v>https://drive.google.com/file/d/1yNJLT5qS-vQ-AdnRbndb4T1lZJRWOgMv/view?usp=drivesdk</v>
      </c>
    </row>
    <row r="4505">
      <c r="A4505" s="15">
        <f>IFERROR(__xludf.DUMMYFUNCTION("""COMPUTED_VALUE"""),45132.0)</f>
        <v>45132</v>
      </c>
      <c r="B4505" s="16" t="str">
        <f>IFERROR(__xludf.DUMMYFUNCTION("""COMPUTED_VALUE"""),"Oscar Augusto Meneses Osias")</f>
        <v>Oscar Augusto Meneses Osias</v>
      </c>
      <c r="C4505" s="15" t="str">
        <f>IFERROR(__xludf.DUMMYFUNCTION("""COMPUTED_VALUE"""),"MEDELLÍN")</f>
        <v>MEDELLÍN</v>
      </c>
      <c r="D4505" s="15" t="str">
        <f>IFERROR(__xludf.DUMMYFUNCTION("""COMPUTED_VALUE"""),"BOGOTÁ")</f>
        <v>BOGOTÁ</v>
      </c>
      <c r="E4505" s="15" t="str">
        <f>IFERROR(__xludf.DUMMYFUNCTION("""COMPUTED_VALUE"""),"Evamazzita")</f>
        <v>Evamazzita</v>
      </c>
      <c r="F4505" s="17" t="str">
        <f>IFERROR(__xludf.DUMMYFUNCTION("""COMPUTED_VALUE"""),"Carrera 15 BA #34D-44 / Int 201 / Buenos Aires")</f>
        <v>Carrera 15 BA #34D-44 / Int 201 / Buenos Aires</v>
      </c>
      <c r="G4505" s="15" t="str">
        <f>IFERROR(__xludf.DUMMYFUNCTION("""COMPUTED_VALUE"""),"DANIELA BEDOYA BLANDON")</f>
        <v>DANIELA BEDOYA BLANDON</v>
      </c>
      <c r="H4505" s="16">
        <f>IFERROR(__xludf.DUMMYFUNCTION("""COMPUTED_VALUE"""),13194.0)</f>
        <v>13194</v>
      </c>
      <c r="I4505" s="18">
        <f>IFERROR(__xludf.DUMMYFUNCTION("""COMPUTED_VALUE"""),18.0)</f>
        <v>18</v>
      </c>
      <c r="J4505" s="18">
        <f>IFERROR(__xludf.DUMMYFUNCTION("""COMPUTED_VALUE"""),36.0)</f>
        <v>36</v>
      </c>
      <c r="K4505" s="18">
        <f>IFERROR(__xludf.DUMMYFUNCTION("""COMPUTED_VALUE"""),24.0)</f>
        <v>24</v>
      </c>
      <c r="L4505" s="17">
        <f>IFERROR(__xludf.DUMMYFUNCTION("""COMPUTED_VALUE"""),3.14672822E9)</f>
        <v>3146728220</v>
      </c>
      <c r="M4505" s="17" t="str">
        <f>IFERROR(__xludf.DUMMYFUNCTION("""COMPUTED_VALUE"""),"#REF!")</f>
        <v>#REF!</v>
      </c>
      <c r="N4505" s="17"/>
      <c r="O4505" s="17"/>
      <c r="P4505" s="17" t="b">
        <f>IFERROR(__xludf.DUMMYFUNCTION("""COMPUTED_VALUE"""),FALSE)</f>
        <v>0</v>
      </c>
      <c r="Q4505" s="20" t="str">
        <f>IFERROR(__xludf.DUMMYFUNCTION("""COMPUTED_VALUE"""),"")</f>
        <v/>
      </c>
      <c r="R4505" s="22" t="str">
        <f>IFERROR(__xludf.DUMMYFUNCTION("""COMPUTED_VALUE"""),"")</f>
        <v/>
      </c>
    </row>
    <row r="4506">
      <c r="A4506" s="15">
        <f>IFERROR(__xludf.DUMMYFUNCTION("""COMPUTED_VALUE"""),45132.0)</f>
        <v>45132</v>
      </c>
      <c r="B4506" s="16" t="str">
        <f>IFERROR(__xludf.DUMMYFUNCTION("""COMPUTED_VALUE"""),"Oscar Augusto Meneses Osias")</f>
        <v>Oscar Augusto Meneses Osias</v>
      </c>
      <c r="C4506" s="15" t="str">
        <f>IFERROR(__xludf.DUMMYFUNCTION("""COMPUTED_VALUE"""),"MEDELLÍN")</f>
        <v>MEDELLÍN</v>
      </c>
      <c r="D4506" s="15" t="str">
        <f>IFERROR(__xludf.DUMMYFUNCTION("""COMPUTED_VALUE"""),"BOGOTÁ")</f>
        <v>BOGOTÁ</v>
      </c>
      <c r="E4506" s="15" t="str">
        <f>IFERROR(__xludf.DUMMYFUNCTION("""COMPUTED_VALUE"""),"Evamazzita")</f>
        <v>Evamazzita</v>
      </c>
      <c r="F4506" s="17" t="str">
        <f>IFERROR(__xludf.DUMMYFUNCTION("""COMPUTED_VALUE"""),"CARRERA 80C CALLE 20 D 190 / Torre 13 piso 2 apto 9851 / UNIDAD SIEMBRA   BARRIO PARIS")</f>
        <v>CARRERA 80C CALLE 20 D 190 / Torre 13 piso 2 apto 9851 / UNIDAD SIEMBRA   BARRIO PARIS</v>
      </c>
      <c r="G4506" s="15" t="str">
        <f>IFERROR(__xludf.DUMMYFUNCTION("""COMPUTED_VALUE"""),"LEIDY JOHANA URREGO RAMIREZ")</f>
        <v>LEIDY JOHANA URREGO RAMIREZ</v>
      </c>
      <c r="H4506" s="16">
        <f>IFERROR(__xludf.DUMMYFUNCTION("""COMPUTED_VALUE"""),13204.0)</f>
        <v>13204</v>
      </c>
      <c r="I4506" s="18">
        <f>IFERROR(__xludf.DUMMYFUNCTION("""COMPUTED_VALUE"""),1.0)</f>
        <v>1</v>
      </c>
      <c r="J4506" s="18">
        <f>IFERROR(__xludf.DUMMYFUNCTION("""COMPUTED_VALUE"""),1.0)</f>
        <v>1</v>
      </c>
      <c r="K4506" s="18">
        <f>IFERROR(__xludf.DUMMYFUNCTION("""COMPUTED_VALUE"""),1.0)</f>
        <v>1</v>
      </c>
      <c r="L4506" s="17">
        <f>IFERROR(__xludf.DUMMYFUNCTION("""COMPUTED_VALUE"""),3.015207697E9)</f>
        <v>3015207697</v>
      </c>
      <c r="M4506" s="17" t="str">
        <f>IFERROR(__xludf.DUMMYFUNCTION("""COMPUTED_VALUE"""),"#REF!")</f>
        <v>#REF!</v>
      </c>
      <c r="N4506" s="17"/>
      <c r="O4506" s="17"/>
      <c r="P4506" s="17" t="b">
        <f>IFERROR(__xludf.DUMMYFUNCTION("""COMPUTED_VALUE"""),FALSE)</f>
        <v>0</v>
      </c>
      <c r="Q4506" s="20" t="str">
        <f>IFERROR(__xludf.DUMMYFUNCTION("""COMPUTED_VALUE"""),"")</f>
        <v/>
      </c>
      <c r="R4506" s="21" t="str">
        <f>IFERROR(__xludf.DUMMYFUNCTION("""COMPUTED_VALUE"""),"https://drive.google.com/file/d/1AuAFb_VEKjh_rEmz7w5moRS2TKj2jlfX/view?usp=drivesdk")</f>
        <v>https://drive.google.com/file/d/1AuAFb_VEKjh_rEmz7w5moRS2TKj2jlfX/view?usp=drivesdk</v>
      </c>
    </row>
    <row r="4507">
      <c r="A4507" s="15">
        <f>IFERROR(__xludf.DUMMYFUNCTION("""COMPUTED_VALUE"""),45132.0)</f>
        <v>45132</v>
      </c>
      <c r="B4507" s="16" t="str">
        <f>IFERROR(__xludf.DUMMYFUNCTION("""COMPUTED_VALUE"""),"Oscar Augusto Meneses Osias")</f>
        <v>Oscar Augusto Meneses Osias</v>
      </c>
      <c r="C4507" s="15" t="str">
        <f>IFERROR(__xludf.DUMMYFUNCTION("""COMPUTED_VALUE"""),"MEDELLÍN")</f>
        <v>MEDELLÍN</v>
      </c>
      <c r="D4507" s="15" t="str">
        <f>IFERROR(__xludf.DUMMYFUNCTION("""COMPUTED_VALUE"""),"BOGOTÁ")</f>
        <v>BOGOTÁ</v>
      </c>
      <c r="E4507" s="15" t="str">
        <f>IFERROR(__xludf.DUMMYFUNCTION("""COMPUTED_VALUE"""),"Evamazzita")</f>
        <v>Evamazzita</v>
      </c>
      <c r="F4507" s="17" t="str">
        <f>IFERROR(__xludf.DUMMYFUNCTION("""COMPUTED_VALUE"""),"CLL 76 DC # 86 13  / APTO 301 / Barrio Robledo")</f>
        <v>CLL 76 DC # 86 13  / APTO 301 / Barrio Robledo</v>
      </c>
      <c r="G4507" s="15" t="str">
        <f>IFERROR(__xludf.DUMMYFUNCTION("""COMPUTED_VALUE"""),"CAROLINA GAVIRIA URREGO")</f>
        <v>CAROLINA GAVIRIA URREGO</v>
      </c>
      <c r="H4507" s="16">
        <f>IFERROR(__xludf.DUMMYFUNCTION("""COMPUTED_VALUE"""),13209.0)</f>
        <v>13209</v>
      </c>
      <c r="I4507" s="18">
        <f>IFERROR(__xludf.DUMMYFUNCTION("""COMPUTED_VALUE"""),1.0)</f>
        <v>1</v>
      </c>
      <c r="J4507" s="18">
        <f>IFERROR(__xludf.DUMMYFUNCTION("""COMPUTED_VALUE"""),1.0)</f>
        <v>1</v>
      </c>
      <c r="K4507" s="18">
        <f>IFERROR(__xludf.DUMMYFUNCTION("""COMPUTED_VALUE"""),1.0)</f>
        <v>1</v>
      </c>
      <c r="L4507" s="17">
        <f>IFERROR(__xludf.DUMMYFUNCTION("""COMPUTED_VALUE"""),3.113417315E9)</f>
        <v>3113417315</v>
      </c>
      <c r="M4507" s="17" t="str">
        <f>IFERROR(__xludf.DUMMYFUNCTION("""COMPUTED_VALUE"""),"#REF!")</f>
        <v>#REF!</v>
      </c>
      <c r="N4507" s="17"/>
      <c r="O4507" s="17"/>
      <c r="P4507" s="17" t="b">
        <f>IFERROR(__xludf.DUMMYFUNCTION("""COMPUTED_VALUE"""),FALSE)</f>
        <v>0</v>
      </c>
      <c r="Q4507" s="20" t="str">
        <f>IFERROR(__xludf.DUMMYFUNCTION("""COMPUTED_VALUE"""),"")</f>
        <v/>
      </c>
      <c r="R4507" s="21" t="str">
        <f>IFERROR(__xludf.DUMMYFUNCTION("""COMPUTED_VALUE"""),"https://drive.google.com/file/d/11t3gW2no6rhJ8LW0KErrcVtXWjYZJ_sN/view?usp=drivesdk")</f>
        <v>https://drive.google.com/file/d/11t3gW2no6rhJ8LW0KErrcVtXWjYZJ_sN/view?usp=drivesdk</v>
      </c>
    </row>
    <row r="4508">
      <c r="A4508" s="15">
        <f>IFERROR(__xludf.DUMMYFUNCTION("""COMPUTED_VALUE"""),45132.0)</f>
        <v>45132</v>
      </c>
      <c r="B4508" s="16" t="str">
        <f>IFERROR(__xludf.DUMMYFUNCTION("""COMPUTED_VALUE"""),"Oscar Augusto Meneses Osias")</f>
        <v>Oscar Augusto Meneses Osias</v>
      </c>
      <c r="C4508" s="15" t="str">
        <f>IFERROR(__xludf.DUMMYFUNCTION("""COMPUTED_VALUE"""),"MEDELLÍN")</f>
        <v>MEDELLÍN</v>
      </c>
      <c r="D4508" s="15" t="str">
        <f>IFERROR(__xludf.DUMMYFUNCTION("""COMPUTED_VALUE"""),"BOGOTÁ")</f>
        <v>BOGOTÁ</v>
      </c>
      <c r="E4508" s="15" t="str">
        <f>IFERROR(__xludf.DUMMYFUNCTION("""COMPUTED_VALUE"""),"Evamazzita")</f>
        <v>Evamazzita</v>
      </c>
      <c r="F4508" s="17" t="str">
        <f>IFERROR(__xludf.DUMMYFUNCTION("""COMPUTED_VALUE"""),"Cr 46 # 76 69  / APTO 1315 / CYPRUS - CALLE NUEVA")</f>
        <v>Cr 46 # 76 69  / APTO 1315 / CYPRUS - CALLE NUEVA</v>
      </c>
      <c r="G4508" s="15" t="str">
        <f>IFERROR(__xludf.DUMMYFUNCTION("""COMPUTED_VALUE"""),"JENNIFER PATIÑO AGUDELO")</f>
        <v>JENNIFER PATIÑO AGUDELO</v>
      </c>
      <c r="H4508" s="16">
        <f>IFERROR(__xludf.DUMMYFUNCTION("""COMPUTED_VALUE"""),13214.0)</f>
        <v>13214</v>
      </c>
      <c r="I4508" s="18">
        <f>IFERROR(__xludf.DUMMYFUNCTION("""COMPUTED_VALUE"""),1.0)</f>
        <v>1</v>
      </c>
      <c r="J4508" s="18">
        <f>IFERROR(__xludf.DUMMYFUNCTION("""COMPUTED_VALUE"""),1.0)</f>
        <v>1</v>
      </c>
      <c r="K4508" s="18">
        <f>IFERROR(__xludf.DUMMYFUNCTION("""COMPUTED_VALUE"""),1.0)</f>
        <v>1</v>
      </c>
      <c r="L4508" s="17">
        <f>IFERROR(__xludf.DUMMYFUNCTION("""COMPUTED_VALUE"""),3.002029549E9)</f>
        <v>3002029549</v>
      </c>
      <c r="M4508" s="17" t="str">
        <f>IFERROR(__xludf.DUMMYFUNCTION("""COMPUTED_VALUE"""),"#REF!")</f>
        <v>#REF!</v>
      </c>
      <c r="N4508" s="17"/>
      <c r="O4508" s="17"/>
      <c r="P4508" s="17" t="b">
        <f>IFERROR(__xludf.DUMMYFUNCTION("""COMPUTED_VALUE"""),FALSE)</f>
        <v>0</v>
      </c>
      <c r="Q4508" s="20" t="str">
        <f>IFERROR(__xludf.DUMMYFUNCTION("""COMPUTED_VALUE"""),"")</f>
        <v/>
      </c>
      <c r="R4508" s="21" t="str">
        <f>IFERROR(__xludf.DUMMYFUNCTION("""COMPUTED_VALUE"""),"https://drive.google.com/file/d/1DVT7BJhaZIYEzKegmhasvnO9DpQ-kMoT/view?usp=drivesdk")</f>
        <v>https://drive.google.com/file/d/1DVT7BJhaZIYEzKegmhasvnO9DpQ-kMoT/view?usp=drivesdk</v>
      </c>
    </row>
    <row r="4509">
      <c r="A4509" s="15">
        <f>IFERROR(__xludf.DUMMYFUNCTION("""COMPUTED_VALUE"""),45132.0)</f>
        <v>45132</v>
      </c>
      <c r="B4509" s="16" t="str">
        <f>IFERROR(__xludf.DUMMYFUNCTION("""COMPUTED_VALUE"""),"Oscar Augusto Meneses Osias")</f>
        <v>Oscar Augusto Meneses Osias</v>
      </c>
      <c r="C4509" s="15" t="str">
        <f>IFERROR(__xludf.DUMMYFUNCTION("""COMPUTED_VALUE"""),"MEDELLÍN")</f>
        <v>MEDELLÍN</v>
      </c>
      <c r="D4509" s="15" t="str">
        <f>IFERROR(__xludf.DUMMYFUNCTION("""COMPUTED_VALUE"""),"BOGOTÁ")</f>
        <v>BOGOTÁ</v>
      </c>
      <c r="E4509" s="15" t="str">
        <f>IFERROR(__xludf.DUMMYFUNCTION("""COMPUTED_VALUE"""),"Evamazzita")</f>
        <v>Evamazzita</v>
      </c>
      <c r="F4509" s="17" t="str">
        <f>IFERROR(__xludf.DUMMYFUNCTION("""COMPUTED_VALUE"""),"CR 46 C # 80 SUR 155 / Apto 2705 / SAN JOSE")</f>
        <v>CR 46 C # 80 SUR 155 / Apto 2705 / SAN JOSE</v>
      </c>
      <c r="G4509" s="15" t="str">
        <f>IFERROR(__xludf.DUMMYFUNCTION("""COMPUTED_VALUE"""),"LAURA RUIZ RODRIGUEZ")</f>
        <v>LAURA RUIZ RODRIGUEZ</v>
      </c>
      <c r="H4509" s="16">
        <f>IFERROR(__xludf.DUMMYFUNCTION("""COMPUTED_VALUE"""),13215.0)</f>
        <v>13215</v>
      </c>
      <c r="I4509" s="18">
        <f>IFERROR(__xludf.DUMMYFUNCTION("""COMPUTED_VALUE"""),1.0)</f>
        <v>1</v>
      </c>
      <c r="J4509" s="18">
        <f>IFERROR(__xludf.DUMMYFUNCTION("""COMPUTED_VALUE"""),1.0)</f>
        <v>1</v>
      </c>
      <c r="K4509" s="18">
        <f>IFERROR(__xludf.DUMMYFUNCTION("""COMPUTED_VALUE"""),1.0)</f>
        <v>1</v>
      </c>
      <c r="L4509" s="17">
        <f>IFERROR(__xludf.DUMMYFUNCTION("""COMPUTED_VALUE"""),3.14795431E9)</f>
        <v>3147954310</v>
      </c>
      <c r="M4509" s="17" t="str">
        <f>IFERROR(__xludf.DUMMYFUNCTION("""COMPUTED_VALUE"""),"#REF!")</f>
        <v>#REF!</v>
      </c>
      <c r="N4509" s="17"/>
      <c r="O4509" s="17"/>
      <c r="P4509" s="17" t="b">
        <f>IFERROR(__xludf.DUMMYFUNCTION("""COMPUTED_VALUE"""),FALSE)</f>
        <v>0</v>
      </c>
      <c r="Q4509" s="20" t="str">
        <f>IFERROR(__xludf.DUMMYFUNCTION("""COMPUTED_VALUE"""),"")</f>
        <v/>
      </c>
      <c r="R4509" s="21" t="str">
        <f>IFERROR(__xludf.DUMMYFUNCTION("""COMPUTED_VALUE"""),"https://drive.google.com/file/d/1QWNul7F0fgwI2EE2nMPp4YgGKAVGISWE/view?usp=drivesdk")</f>
        <v>https://drive.google.com/file/d/1QWNul7F0fgwI2EE2nMPp4YgGKAVGISWE/view?usp=drivesdk</v>
      </c>
    </row>
    <row r="4510">
      <c r="A4510" s="15">
        <f>IFERROR(__xludf.DUMMYFUNCTION("""COMPUTED_VALUE"""),45132.0)</f>
        <v>45132</v>
      </c>
      <c r="B4510" s="16" t="str">
        <f>IFERROR(__xludf.DUMMYFUNCTION("""COMPUTED_VALUE"""),"Oscar Augusto Meneses Osias")</f>
        <v>Oscar Augusto Meneses Osias</v>
      </c>
      <c r="C4510" s="15" t="str">
        <f>IFERROR(__xludf.DUMMYFUNCTION("""COMPUTED_VALUE"""),"MEDELLÍN")</f>
        <v>MEDELLÍN</v>
      </c>
      <c r="D4510" s="15" t="str">
        <f>IFERROR(__xludf.DUMMYFUNCTION("""COMPUTED_VALUE"""),"BOGOTÁ")</f>
        <v>BOGOTÁ</v>
      </c>
      <c r="E4510" s="15" t="str">
        <f>IFERROR(__xludf.DUMMYFUNCTION("""COMPUTED_VALUE"""),"Evamazzita")</f>
        <v>Evamazzita</v>
      </c>
      <c r="F4510" s="17" t="str">
        <f>IFERROR(__xludf.DUMMYFUNCTION("""COMPUTED_VALUE"""),"CR 50 # 66 90 / N/A / BARRIO MIRADOR")</f>
        <v>CR 50 # 66 90 / N/A / BARRIO MIRADOR</v>
      </c>
      <c r="G4510" s="15" t="str">
        <f>IFERROR(__xludf.DUMMYFUNCTION("""COMPUTED_VALUE"""),"MARIANEL PIEDRAITA GALLAN")</f>
        <v>MARIANEL PIEDRAITA GALLAN</v>
      </c>
      <c r="H4510" s="16">
        <f>IFERROR(__xludf.DUMMYFUNCTION("""COMPUTED_VALUE"""),13203.0)</f>
        <v>13203</v>
      </c>
      <c r="I4510" s="18">
        <f>IFERROR(__xludf.DUMMYFUNCTION("""COMPUTED_VALUE"""),1.0)</f>
        <v>1</v>
      </c>
      <c r="J4510" s="18">
        <f>IFERROR(__xludf.DUMMYFUNCTION("""COMPUTED_VALUE"""),1.0)</f>
        <v>1</v>
      </c>
      <c r="K4510" s="18">
        <f>IFERROR(__xludf.DUMMYFUNCTION("""COMPUTED_VALUE"""),1.0)</f>
        <v>1</v>
      </c>
      <c r="L4510" s="17">
        <f>IFERROR(__xludf.DUMMYFUNCTION("""COMPUTED_VALUE"""),3.505335514E9)</f>
        <v>3505335514</v>
      </c>
      <c r="M4510" s="17" t="str">
        <f>IFERROR(__xludf.DUMMYFUNCTION("""COMPUTED_VALUE"""),"#REF!")</f>
        <v>#REF!</v>
      </c>
      <c r="N4510" s="17"/>
      <c r="O4510" s="17"/>
      <c r="P4510" s="17" t="b">
        <f>IFERROR(__xludf.DUMMYFUNCTION("""COMPUTED_VALUE"""),FALSE)</f>
        <v>0</v>
      </c>
      <c r="Q4510" s="20" t="str">
        <f>IFERROR(__xludf.DUMMYFUNCTION("""COMPUTED_VALUE"""),"")</f>
        <v/>
      </c>
      <c r="R4510" s="21" t="str">
        <f>IFERROR(__xludf.DUMMYFUNCTION("""COMPUTED_VALUE"""),"https://drive.google.com/file/d/1Hv9_eJTMEWDn5sUhBfIIp9ZsVGO6JTek/view?usp=drivesdk")</f>
        <v>https://drive.google.com/file/d/1Hv9_eJTMEWDn5sUhBfIIp9ZsVGO6JTek/view?usp=drivesdk</v>
      </c>
    </row>
    <row r="4511">
      <c r="A4511" s="15">
        <f>IFERROR(__xludf.DUMMYFUNCTION("""COMPUTED_VALUE"""),45132.0)</f>
        <v>45132</v>
      </c>
      <c r="B4511" s="16" t="str">
        <f>IFERROR(__xludf.DUMMYFUNCTION("""COMPUTED_VALUE"""),"Oscar Augusto Meneses Osias")</f>
        <v>Oscar Augusto Meneses Osias</v>
      </c>
      <c r="C4511" s="15" t="str">
        <f>IFERROR(__xludf.DUMMYFUNCTION("""COMPUTED_VALUE"""),"MEDELLÍN")</f>
        <v>MEDELLÍN</v>
      </c>
      <c r="D4511" s="15" t="str">
        <f>IFERROR(__xludf.DUMMYFUNCTION("""COMPUTED_VALUE"""),"BOGOTÁ")</f>
        <v>BOGOTÁ</v>
      </c>
      <c r="E4511" s="15" t="str">
        <f>IFERROR(__xludf.DUMMYFUNCTION("""COMPUTED_VALUE"""),"Evamazzita")</f>
        <v>Evamazzita</v>
      </c>
      <c r="F4511" s="17" t="str">
        <f>IFERROR(__xludf.DUMMYFUNCTION("""COMPUTED_VALUE"""),"CR 53 #54 23 / Local vitrinas AA / BARRIO CENTRO")</f>
        <v>CR 53 #54 23 / Local vitrinas AA / BARRIO CENTRO</v>
      </c>
      <c r="G4511" s="15" t="str">
        <f>IFERROR(__xludf.DUMMYFUNCTION("""COMPUTED_VALUE"""),"JULIETH GIRALDO BUSTAMANTE")</f>
        <v>JULIETH GIRALDO BUSTAMANTE</v>
      </c>
      <c r="H4511" s="16">
        <f>IFERROR(__xludf.DUMMYFUNCTION("""COMPUTED_VALUE"""),13211.0)</f>
        <v>13211</v>
      </c>
      <c r="I4511" s="18">
        <f>IFERROR(__xludf.DUMMYFUNCTION("""COMPUTED_VALUE"""),1.0)</f>
        <v>1</v>
      </c>
      <c r="J4511" s="18">
        <f>IFERROR(__xludf.DUMMYFUNCTION("""COMPUTED_VALUE"""),1.0)</f>
        <v>1</v>
      </c>
      <c r="K4511" s="18">
        <f>IFERROR(__xludf.DUMMYFUNCTION("""COMPUTED_VALUE"""),1.0)</f>
        <v>1</v>
      </c>
      <c r="L4511" s="17">
        <f>IFERROR(__xludf.DUMMYFUNCTION("""COMPUTED_VALUE"""),3.014257939E9)</f>
        <v>3014257939</v>
      </c>
      <c r="M4511" s="17" t="str">
        <f>IFERROR(__xludf.DUMMYFUNCTION("""COMPUTED_VALUE"""),"#REF!")</f>
        <v>#REF!</v>
      </c>
      <c r="N4511" s="17"/>
      <c r="O4511" s="17"/>
      <c r="P4511" s="17" t="b">
        <f>IFERROR(__xludf.DUMMYFUNCTION("""COMPUTED_VALUE"""),FALSE)</f>
        <v>0</v>
      </c>
      <c r="Q4511" s="20" t="str">
        <f>IFERROR(__xludf.DUMMYFUNCTION("""COMPUTED_VALUE"""),"")</f>
        <v/>
      </c>
      <c r="R4511" s="21" t="str">
        <f>IFERROR(__xludf.DUMMYFUNCTION("""COMPUTED_VALUE"""),"https://drive.google.com/file/d/1jDDKrkhTgcV90lqp2nkjhTWvM8zbcLNX/view?usp=drivesdk")</f>
        <v>https://drive.google.com/file/d/1jDDKrkhTgcV90lqp2nkjhTWvM8zbcLNX/view?usp=drivesdk</v>
      </c>
    </row>
    <row r="4512">
      <c r="A4512" s="15">
        <f>IFERROR(__xludf.DUMMYFUNCTION("""COMPUTED_VALUE"""),45132.0)</f>
        <v>45132</v>
      </c>
      <c r="B4512" s="16" t="str">
        <f>IFERROR(__xludf.DUMMYFUNCTION("""COMPUTED_VALUE"""),"Oscar Augusto Meneses Osias")</f>
        <v>Oscar Augusto Meneses Osias</v>
      </c>
      <c r="C4512" s="15" t="str">
        <f>IFERROR(__xludf.DUMMYFUNCTION("""COMPUTED_VALUE"""),"MEDELLÍN")</f>
        <v>MEDELLÍN</v>
      </c>
      <c r="D4512" s="15" t="str">
        <f>IFERROR(__xludf.DUMMYFUNCTION("""COMPUTED_VALUE"""),"BOGOTÁ")</f>
        <v>BOGOTÁ</v>
      </c>
      <c r="E4512" s="15" t="str">
        <f>IFERROR(__xludf.DUMMYFUNCTION("""COMPUTED_VALUE"""),"Evamazzita")</f>
        <v>Evamazzita</v>
      </c>
      <c r="F4512" s="17" t="str">
        <f>IFERROR(__xludf.DUMMYFUNCTION("""COMPUTED_VALUE"""),"CRA 29 A # 7B 91 / Apto 304 / EDIFICIO ORIGAMI  BARRIO POBLADO")</f>
        <v>CRA 29 A # 7B 91 / Apto 304 / EDIFICIO ORIGAMI  BARRIO POBLADO</v>
      </c>
      <c r="G4512" s="15" t="str">
        <f>IFERROR(__xludf.DUMMYFUNCTION("""COMPUTED_VALUE"""),"VANESSA BORNACELLI")</f>
        <v>VANESSA BORNACELLI</v>
      </c>
      <c r="H4512" s="16">
        <f>IFERROR(__xludf.DUMMYFUNCTION("""COMPUTED_VALUE"""),13213.0)</f>
        <v>13213</v>
      </c>
      <c r="I4512" s="18">
        <f>IFERROR(__xludf.DUMMYFUNCTION("""COMPUTED_VALUE"""),1.0)</f>
        <v>1</v>
      </c>
      <c r="J4512" s="18">
        <f>IFERROR(__xludf.DUMMYFUNCTION("""COMPUTED_VALUE"""),1.0)</f>
        <v>1</v>
      </c>
      <c r="K4512" s="18">
        <f>IFERROR(__xludf.DUMMYFUNCTION("""COMPUTED_VALUE"""),1.0)</f>
        <v>1</v>
      </c>
      <c r="L4512" s="17">
        <f>IFERROR(__xludf.DUMMYFUNCTION("""COMPUTED_VALUE"""),3.106556011E9)</f>
        <v>3106556011</v>
      </c>
      <c r="M4512" s="17" t="str">
        <f>IFERROR(__xludf.DUMMYFUNCTION("""COMPUTED_VALUE"""),"#REF!")</f>
        <v>#REF!</v>
      </c>
      <c r="N4512" s="17"/>
      <c r="O4512" s="17"/>
      <c r="P4512" s="17" t="b">
        <f>IFERROR(__xludf.DUMMYFUNCTION("""COMPUTED_VALUE"""),FALSE)</f>
        <v>0</v>
      </c>
      <c r="Q4512" s="20" t="str">
        <f>IFERROR(__xludf.DUMMYFUNCTION("""COMPUTED_VALUE"""),"")</f>
        <v/>
      </c>
      <c r="R4512" s="21" t="str">
        <f>IFERROR(__xludf.DUMMYFUNCTION("""COMPUTED_VALUE"""),"https://drive.google.com/file/d/18Ibh7aZ9TQ9ZGOPKbp47YkEL6ELkQ1bW/view?usp=drivesdk")</f>
        <v>https://drive.google.com/file/d/18Ibh7aZ9TQ9ZGOPKbp47YkEL6ELkQ1bW/view?usp=drivesdk</v>
      </c>
    </row>
    <row r="4513">
      <c r="A4513" s="15">
        <f>IFERROR(__xludf.DUMMYFUNCTION("""COMPUTED_VALUE"""),45132.0)</f>
        <v>45132</v>
      </c>
      <c r="B4513" s="16" t="str">
        <f>IFERROR(__xludf.DUMMYFUNCTION("""COMPUTED_VALUE"""),"Oscar Augusto Meneses Osias")</f>
        <v>Oscar Augusto Meneses Osias</v>
      </c>
      <c r="C4513" s="15" t="str">
        <f>IFERROR(__xludf.DUMMYFUNCTION("""COMPUTED_VALUE"""),"MEDELLÍN")</f>
        <v>MEDELLÍN</v>
      </c>
      <c r="D4513" s="15" t="str">
        <f>IFERROR(__xludf.DUMMYFUNCTION("""COMPUTED_VALUE"""),"BOGOTÁ")</f>
        <v>BOGOTÁ</v>
      </c>
      <c r="E4513" s="15" t="str">
        <f>IFERROR(__xludf.DUMMYFUNCTION("""COMPUTED_VALUE"""),"Evamazzita")</f>
        <v>Evamazzita</v>
      </c>
      <c r="F4513" s="17" t="str">
        <f>IFERROR(__xludf.DUMMYFUNCTION("""COMPUTED_VALUE"""),"TV 53 A #65 -70 / Apto 601 / EDIFICIO MADRID - BARRIO CARLO E. RESTREPO")</f>
        <v>TV 53 A #65 -70 / Apto 601 / EDIFICIO MADRID - BARRIO CARLO E. RESTREPO</v>
      </c>
      <c r="G4513" s="15" t="str">
        <f>IFERROR(__xludf.DUMMYFUNCTION("""COMPUTED_VALUE"""),"JOHANNA ISABEL TRUJILLO QUINTERO")</f>
        <v>JOHANNA ISABEL TRUJILLO QUINTERO</v>
      </c>
      <c r="H4513" s="16">
        <f>IFERROR(__xludf.DUMMYFUNCTION("""COMPUTED_VALUE"""),13210.0)</f>
        <v>13210</v>
      </c>
      <c r="I4513" s="18">
        <f>IFERROR(__xludf.DUMMYFUNCTION("""COMPUTED_VALUE"""),1.0)</f>
        <v>1</v>
      </c>
      <c r="J4513" s="18">
        <f>IFERROR(__xludf.DUMMYFUNCTION("""COMPUTED_VALUE"""),1.0)</f>
        <v>1</v>
      </c>
      <c r="K4513" s="18">
        <f>IFERROR(__xludf.DUMMYFUNCTION("""COMPUTED_VALUE"""),1.0)</f>
        <v>1</v>
      </c>
      <c r="L4513" s="17">
        <f>IFERROR(__xludf.DUMMYFUNCTION("""COMPUTED_VALUE"""),3.003034627E9)</f>
        <v>3003034627</v>
      </c>
      <c r="M4513" s="17" t="str">
        <f>IFERROR(__xludf.DUMMYFUNCTION("""COMPUTED_VALUE"""),"#REF!")</f>
        <v>#REF!</v>
      </c>
      <c r="N4513" s="17"/>
      <c r="O4513" s="17"/>
      <c r="P4513" s="17" t="b">
        <f>IFERROR(__xludf.DUMMYFUNCTION("""COMPUTED_VALUE"""),FALSE)</f>
        <v>0</v>
      </c>
      <c r="Q4513" s="20" t="str">
        <f>IFERROR(__xludf.DUMMYFUNCTION("""COMPUTED_VALUE"""),"")</f>
        <v/>
      </c>
      <c r="R4513" s="21" t="str">
        <f>IFERROR(__xludf.DUMMYFUNCTION("""COMPUTED_VALUE"""),"https://drive.google.com/file/d/1OnHgox3kMax8oi31457kAz5iqNQtux-K/view?usp=drivesdk")</f>
        <v>https://drive.google.com/file/d/1OnHgox3kMax8oi31457kAz5iqNQtux-K/view?usp=drivesdk</v>
      </c>
    </row>
    <row r="4514">
      <c r="A4514" s="15">
        <f>IFERROR(__xludf.DUMMYFUNCTION("""COMPUTED_VALUE"""),45132.0)</f>
        <v>45132</v>
      </c>
      <c r="B4514" s="16" t="str">
        <f>IFERROR(__xludf.DUMMYFUNCTION("""COMPUTED_VALUE"""),"Oscar Augusto Meneses Osias")</f>
        <v>Oscar Augusto Meneses Osias</v>
      </c>
      <c r="C4514" s="15" t="str">
        <f>IFERROR(__xludf.DUMMYFUNCTION("""COMPUTED_VALUE"""),"MEDELLÍN")</f>
        <v>MEDELLÍN</v>
      </c>
      <c r="D4514" s="15" t="str">
        <f>IFERROR(__xludf.DUMMYFUNCTION("""COMPUTED_VALUE"""),"BOGOTÁ")</f>
        <v>BOGOTÁ</v>
      </c>
      <c r="E4514" s="15" t="str">
        <f>IFERROR(__xludf.DUMMYFUNCTION("""COMPUTED_VALUE"""),"Ins. Alimento Vital")</f>
        <v>Ins. Alimento Vital</v>
      </c>
      <c r="F4514" s="17" t="str">
        <f>IFERROR(__xludf.DUMMYFUNCTION("""COMPUTED_VALUE"""),"AV 74B 39B 142 / CASA NEGRA 2 PISO / BARRIO LAURELES")</f>
        <v>AV 74B 39B 142 / CASA NEGRA 2 PISO / BARRIO LAURELES</v>
      </c>
      <c r="G4514" s="15" t="str">
        <f>IFERROR(__xludf.DUMMYFUNCTION("""COMPUTED_VALUE"""),"VELOCITY MEDELLIN")</f>
        <v>VELOCITY MEDELLIN</v>
      </c>
      <c r="H4514" s="16">
        <f>IFERROR(__xludf.DUMMYFUNCTION("""COMPUTED_VALUE"""),13178.0)</f>
        <v>13178</v>
      </c>
      <c r="I4514" s="18">
        <f>IFERROR(__xludf.DUMMYFUNCTION("""COMPUTED_VALUE"""),1.0)</f>
        <v>1</v>
      </c>
      <c r="J4514" s="18">
        <f>IFERROR(__xludf.DUMMYFUNCTION("""COMPUTED_VALUE"""),1.0)</f>
        <v>1</v>
      </c>
      <c r="K4514" s="18">
        <f>IFERROR(__xludf.DUMMYFUNCTION("""COMPUTED_VALUE"""),1.0)</f>
        <v>1</v>
      </c>
      <c r="L4514" s="17">
        <f>IFERROR(__xludf.DUMMYFUNCTION("""COMPUTED_VALUE"""),3.239674555E9)</f>
        <v>3239674555</v>
      </c>
      <c r="M4514" s="17" t="str">
        <f>IFERROR(__xludf.DUMMYFUNCTION("""COMPUTED_VALUE"""),"#REF!")</f>
        <v>#REF!</v>
      </c>
      <c r="N4514" s="17"/>
      <c r="O4514" s="17"/>
      <c r="P4514" s="17" t="b">
        <f>IFERROR(__xludf.DUMMYFUNCTION("""COMPUTED_VALUE"""),FALSE)</f>
        <v>0</v>
      </c>
      <c r="Q4514" s="20" t="str">
        <f>IFERROR(__xludf.DUMMYFUNCTION("""COMPUTED_VALUE"""),"")</f>
        <v/>
      </c>
      <c r="R4514" s="22" t="str">
        <f>IFERROR(__xludf.DUMMYFUNCTION("""COMPUTED_VALUE"""),"")</f>
        <v/>
      </c>
    </row>
    <row r="4515">
      <c r="A4515" s="15">
        <f>IFERROR(__xludf.DUMMYFUNCTION("""COMPUTED_VALUE"""),45132.0)</f>
        <v>45132</v>
      </c>
      <c r="B4515" s="16" t="str">
        <f>IFERROR(__xludf.DUMMYFUNCTION("""COMPUTED_VALUE"""),"Oscar Augusto Meneses Osias")</f>
        <v>Oscar Augusto Meneses Osias</v>
      </c>
      <c r="C4515" s="15" t="str">
        <f>IFERROR(__xludf.DUMMYFUNCTION("""COMPUTED_VALUE"""),"MEDELLÍN")</f>
        <v>MEDELLÍN</v>
      </c>
      <c r="D4515" s="15" t="str">
        <f>IFERROR(__xludf.DUMMYFUNCTION("""COMPUTED_VALUE"""),"BOGOTÁ")</f>
        <v>BOGOTÁ</v>
      </c>
      <c r="E4515" s="15" t="str">
        <f>IFERROR(__xludf.DUMMYFUNCTION("""COMPUTED_VALUE"""),"Magda")</f>
        <v>Magda</v>
      </c>
      <c r="F4515" s="17" t="str">
        <f>IFERROR(__xludf.DUMMYFUNCTION("""COMPUTED_VALUE"""),"Centro integral la 10 / int. 109 / CENTRO INTEGRAL LA 10")</f>
        <v>Centro integral la 10 / int. 109 / CENTRO INTEGRAL LA 10</v>
      </c>
      <c r="G4515" s="15" t="str">
        <f>IFERROR(__xludf.DUMMYFUNCTION("""COMPUTED_VALUE"""),"Monica infante")</f>
        <v>Monica infante</v>
      </c>
      <c r="H4515" s="16">
        <f>IFERROR(__xludf.DUMMYFUNCTION("""COMPUTED_VALUE"""),13148.0)</f>
        <v>13148</v>
      </c>
      <c r="I4515" s="18">
        <f>IFERROR(__xludf.DUMMYFUNCTION("""COMPUTED_VALUE"""),5.0)</f>
        <v>5</v>
      </c>
      <c r="J4515" s="18">
        <f>IFERROR(__xludf.DUMMYFUNCTION("""COMPUTED_VALUE"""),5.0)</f>
        <v>5</v>
      </c>
      <c r="K4515" s="18">
        <f>IFERROR(__xludf.DUMMYFUNCTION("""COMPUTED_VALUE"""),5.0)</f>
        <v>5</v>
      </c>
      <c r="L4515" s="17">
        <f>IFERROR(__xludf.DUMMYFUNCTION("""COMPUTED_VALUE"""),3.054269155E9)</f>
        <v>3054269155</v>
      </c>
      <c r="M4515" s="17" t="str">
        <f>IFERROR(__xludf.DUMMYFUNCTION("""COMPUTED_VALUE"""),"#REF!")</f>
        <v>#REF!</v>
      </c>
      <c r="N4515" s="17"/>
      <c r="O4515" s="17"/>
      <c r="P4515" s="17" t="b">
        <f>IFERROR(__xludf.DUMMYFUNCTION("""COMPUTED_VALUE"""),TRUE)</f>
        <v>1</v>
      </c>
      <c r="Q4515" s="20">
        <f>IFERROR(__xludf.DUMMYFUNCTION("""COMPUTED_VALUE"""),45133.61751487268)</f>
        <v>45133.61751</v>
      </c>
      <c r="R4515" s="22" t="str">
        <f>IFERROR(__xludf.DUMMYFUNCTION("""COMPUTED_VALUE"""),"")</f>
        <v/>
      </c>
    </row>
    <row r="4516">
      <c r="A4516" s="15">
        <f>IFERROR(__xludf.DUMMYFUNCTION("""COMPUTED_VALUE"""),45132.0)</f>
        <v>45132</v>
      </c>
      <c r="B4516" s="16" t="str">
        <f>IFERROR(__xludf.DUMMYFUNCTION("""COMPUTED_VALUE"""),"Oscar Augusto Meneses Osias")</f>
        <v>Oscar Augusto Meneses Osias</v>
      </c>
      <c r="C4516" s="15" t="str">
        <f>IFERROR(__xludf.DUMMYFUNCTION("""COMPUTED_VALUE"""),"MEDELLÍN")</f>
        <v>MEDELLÍN</v>
      </c>
      <c r="D4516" s="15" t="str">
        <f>IFERROR(__xludf.DUMMYFUNCTION("""COMPUTED_VALUE"""),"BOGOTÁ")</f>
        <v>BOGOTÁ</v>
      </c>
      <c r="E4516" s="15" t="str">
        <f>IFERROR(__xludf.DUMMYFUNCTION("""COMPUTED_VALUE"""),"MAI ALIMENTOS S.A.S")</f>
        <v>MAI ALIMENTOS S.A.S</v>
      </c>
      <c r="F4516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4516" s="15" t="str">
        <f>IFERROR(__xludf.DUMMYFUNCTION("""COMPUTED_VALUE"""),"Novaventas")</f>
        <v>Novaventas</v>
      </c>
      <c r="H4516" s="16">
        <f>IFERROR(__xludf.DUMMYFUNCTION("""COMPUTED_VALUE"""),13171.0)</f>
        <v>13171</v>
      </c>
      <c r="I4516" s="18">
        <f>IFERROR(__xludf.DUMMYFUNCTION("""COMPUTED_VALUE"""),35.0)</f>
        <v>35</v>
      </c>
      <c r="J4516" s="18">
        <f>IFERROR(__xludf.DUMMYFUNCTION("""COMPUTED_VALUE"""),17.0)</f>
        <v>17</v>
      </c>
      <c r="K4516" s="18">
        <f>IFERROR(__xludf.DUMMYFUNCTION("""COMPUTED_VALUE"""),13.0)</f>
        <v>13</v>
      </c>
      <c r="L4516" s="17">
        <f>IFERROR(__xludf.DUMMYFUNCTION("""COMPUTED_VALUE"""),3.187351593E9)</f>
        <v>3187351593</v>
      </c>
      <c r="M4516" s="17" t="str">
        <f>IFERROR(__xludf.DUMMYFUNCTION("""COMPUTED_VALUE"""),"#REF!")</f>
        <v>#REF!</v>
      </c>
      <c r="N4516" s="17"/>
      <c r="O4516" s="17"/>
      <c r="P4516" s="17" t="b">
        <f>IFERROR(__xludf.DUMMYFUNCTION("""COMPUTED_VALUE"""),FALSE)</f>
        <v>0</v>
      </c>
      <c r="Q4516" s="20" t="str">
        <f>IFERROR(__xludf.DUMMYFUNCTION("""COMPUTED_VALUE"""),"")</f>
        <v/>
      </c>
      <c r="R4516" s="21" t="str">
        <f>IFERROR(__xludf.DUMMYFUNCTION("""COMPUTED_VALUE"""),"https://drive.google.com/file/d/1t7Apn8b1GC0a49hYhQKkCNebLV6SY5Up/view?usp=drivesdk")</f>
        <v>https://drive.google.com/file/d/1t7Apn8b1GC0a49hYhQKkCNebLV6SY5Up/view?usp=drivesdk</v>
      </c>
    </row>
    <row r="4517">
      <c r="A4517" s="15">
        <f>IFERROR(__xludf.DUMMYFUNCTION("""COMPUTED_VALUE"""),45132.0)</f>
        <v>45132</v>
      </c>
      <c r="B4517" s="16" t="str">
        <f>IFERROR(__xludf.DUMMYFUNCTION("""COMPUTED_VALUE"""),"Oscar Augusto Meneses Osias")</f>
        <v>Oscar Augusto Meneses Osias</v>
      </c>
      <c r="C4517" s="15" t="str">
        <f>IFERROR(__xludf.DUMMYFUNCTION("""COMPUTED_VALUE"""),"MEDELLÍN")</f>
        <v>MEDELLÍN</v>
      </c>
      <c r="D4517" s="15" t="str">
        <f>IFERROR(__xludf.DUMMYFUNCTION("""COMPUTED_VALUE"""),"BOGOTÁ")</f>
        <v>BOGOTÁ</v>
      </c>
      <c r="E4517" s="15" t="str">
        <f>IFERROR(__xludf.DUMMYFUNCTION("""COMPUTED_VALUE"""),"Pan de Waffle")</f>
        <v>Pan de Waffle</v>
      </c>
      <c r="F4517" s="17" t="str">
        <f>IFERROR(__xludf.DUMMYFUNCTION("""COMPUTED_VALUE"""),"Carrera 38 # 75B sur 257 Apto 2104 Conjunto Baluarte  / Carrera 38 # 75B sur 257 Apto 2104 Conjunto Baluarte  / SABANETA")</f>
        <v>Carrera 38 # 75B sur 257 Apto 2104 Conjunto Baluarte  / Carrera 38 # 75B sur 257 Apto 2104 Conjunto Baluarte  / SABANETA</v>
      </c>
      <c r="G4517" s="15" t="str">
        <f>IFERROR(__xludf.DUMMYFUNCTION("""COMPUTED_VALUE"""),"ALEJANDRA PACHON")</f>
        <v>ALEJANDRA PACHON</v>
      </c>
      <c r="H4517" s="16">
        <f>IFERROR(__xludf.DUMMYFUNCTION("""COMPUTED_VALUE"""),13225.0)</f>
        <v>13225</v>
      </c>
      <c r="I4517" s="18">
        <f>IFERROR(__xludf.DUMMYFUNCTION("""COMPUTED_VALUE"""),40.0)</f>
        <v>40</v>
      </c>
      <c r="J4517" s="18">
        <f>IFERROR(__xludf.DUMMYFUNCTION("""COMPUTED_VALUE"""),30.0)</f>
        <v>30</v>
      </c>
      <c r="K4517" s="18">
        <f>IFERROR(__xludf.DUMMYFUNCTION("""COMPUTED_VALUE"""),40.0)</f>
        <v>40</v>
      </c>
      <c r="L4517" s="17">
        <f>IFERROR(__xludf.DUMMYFUNCTION("""COMPUTED_VALUE"""),3.138324283E9)</f>
        <v>3138324283</v>
      </c>
      <c r="M4517" s="17" t="str">
        <f>IFERROR(__xludf.DUMMYFUNCTION("""COMPUTED_VALUE"""),"#REF!")</f>
        <v>#REF!</v>
      </c>
      <c r="N4517" s="17"/>
      <c r="O4517" s="17"/>
      <c r="P4517" s="17" t="b">
        <f>IFERROR(__xludf.DUMMYFUNCTION("""COMPUTED_VALUE"""),FALSE)</f>
        <v>0</v>
      </c>
      <c r="Q4517" s="20" t="str">
        <f>IFERROR(__xludf.DUMMYFUNCTION("""COMPUTED_VALUE"""),"")</f>
        <v/>
      </c>
      <c r="R4517" s="21" t="str">
        <f>IFERROR(__xludf.DUMMYFUNCTION("""COMPUTED_VALUE"""),"https://drive.google.com/file/d/1e8WIniOWsu-xbj9lXx3NvYlrjESnwxUG/view?usp=drivesdk")</f>
        <v>https://drive.google.com/file/d/1e8WIniOWsu-xbj9lXx3NvYlrjESnwxUG/view?usp=drivesdk</v>
      </c>
    </row>
    <row r="4518">
      <c r="A4518" s="15">
        <f>IFERROR(__xludf.DUMMYFUNCTION("""COMPUTED_VALUE"""),45132.0)</f>
        <v>45132</v>
      </c>
      <c r="B4518" s="16" t="str">
        <f>IFERROR(__xludf.DUMMYFUNCTION("""COMPUTED_VALUE"""),"Oscar Augusto Meneses Osias")</f>
        <v>Oscar Augusto Meneses Osias</v>
      </c>
      <c r="C4518" s="15" t="str">
        <f>IFERROR(__xludf.DUMMYFUNCTION("""COMPUTED_VALUE"""),"MEDELLÍN")</f>
        <v>MEDELLÍN</v>
      </c>
      <c r="D4518" s="15" t="str">
        <f>IFERROR(__xludf.DUMMYFUNCTION("""COMPUTED_VALUE"""),"BOGOTÁ")</f>
        <v>BOGOTÁ</v>
      </c>
      <c r="E4518" s="15" t="str">
        <f>IFERROR(__xludf.DUMMYFUNCTION("""COMPUTED_VALUE"""),"Pan de Waffle")</f>
        <v>Pan de Waffle</v>
      </c>
      <c r="F4518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4518" s="15" t="str">
        <f>IFERROR(__xludf.DUMMYFUNCTION("""COMPUTED_VALUE"""),"VITA INTEGRAL")</f>
        <v>VITA INTEGRAL</v>
      </c>
      <c r="H4518" s="16">
        <f>IFERROR(__xludf.DUMMYFUNCTION("""COMPUTED_VALUE"""),13228.0)</f>
        <v>13228</v>
      </c>
      <c r="I4518" s="18">
        <f>IFERROR(__xludf.DUMMYFUNCTION("""COMPUTED_VALUE"""),30.0)</f>
        <v>30</v>
      </c>
      <c r="J4518" s="18">
        <f>IFERROR(__xludf.DUMMYFUNCTION("""COMPUTED_VALUE"""),40.0)</f>
        <v>40</v>
      </c>
      <c r="K4518" s="18">
        <f>IFERROR(__xludf.DUMMYFUNCTION("""COMPUTED_VALUE"""),30.0)</f>
        <v>30</v>
      </c>
      <c r="L4518" s="17">
        <f>IFERROR(__xludf.DUMMYFUNCTION("""COMPUTED_VALUE"""),3.20865425E9)</f>
        <v>3208654250</v>
      </c>
      <c r="M4518" s="17" t="str">
        <f>IFERROR(__xludf.DUMMYFUNCTION("""COMPUTED_VALUE"""),"#REF!")</f>
        <v>#REF!</v>
      </c>
      <c r="N4518" s="17"/>
      <c r="O4518" s="17"/>
      <c r="P4518" s="17" t="b">
        <f>IFERROR(__xludf.DUMMYFUNCTION("""COMPUTED_VALUE"""),FALSE)</f>
        <v>0</v>
      </c>
      <c r="Q4518" s="20" t="str">
        <f>IFERROR(__xludf.DUMMYFUNCTION("""COMPUTED_VALUE"""),"")</f>
        <v/>
      </c>
      <c r="R4518" s="22" t="str">
        <f>IFERROR(__xludf.DUMMYFUNCTION("""COMPUTED_VALUE"""),"")</f>
        <v/>
      </c>
    </row>
    <row r="4519">
      <c r="A4519" s="15">
        <f>IFERROR(__xludf.DUMMYFUNCTION("""COMPUTED_VALUE"""),45132.0)</f>
        <v>45132</v>
      </c>
      <c r="B4519" s="16" t="str">
        <f>IFERROR(__xludf.DUMMYFUNCTION("""COMPUTED_VALUE"""),"Oscar Augusto Meneses Osias")</f>
        <v>Oscar Augusto Meneses Osias</v>
      </c>
      <c r="C4519" s="15" t="str">
        <f>IFERROR(__xludf.DUMMYFUNCTION("""COMPUTED_VALUE"""),"MEDELLÍN")</f>
        <v>MEDELLÍN</v>
      </c>
      <c r="D4519" s="15" t="str">
        <f>IFERROR(__xludf.DUMMYFUNCTION("""COMPUTED_VALUE"""),"BOGOTÁ")</f>
        <v>BOGOTÁ</v>
      </c>
      <c r="E4519" s="15" t="str">
        <f>IFERROR(__xludf.DUMMYFUNCTION("""COMPUTED_VALUE"""),"Pan de Yuca")</f>
        <v>Pan de Yuca</v>
      </c>
      <c r="F4519" s="17" t="str">
        <f>IFERROR(__xludf.DUMMYFUNCTION("""COMPUTED_VALUE"""),"Calle 57 sur #43a-16  / Terra Santa, apto 909  *Sabaneta Antioquia / Terra Santa, apto 909  *Sabaneta Antioquia")</f>
        <v>Calle 57 sur #43a-16  / Terra Santa, apto 909  *Sabaneta Antioquia / Terra Santa, apto 909  *Sabaneta Antioquia</v>
      </c>
      <c r="G4519" s="15" t="str">
        <f>IFERROR(__xludf.DUMMYFUNCTION("""COMPUTED_VALUE"""),"Jessica Galvis")</f>
        <v>Jessica Galvis</v>
      </c>
      <c r="H4519" s="16">
        <f>IFERROR(__xludf.DUMMYFUNCTION("""COMPUTED_VALUE"""),13147.0)</f>
        <v>13147</v>
      </c>
      <c r="I4519" s="18">
        <f>IFERROR(__xludf.DUMMYFUNCTION("""COMPUTED_VALUE"""),19.0)</f>
        <v>19</v>
      </c>
      <c r="J4519" s="18">
        <f>IFERROR(__xludf.DUMMYFUNCTION("""COMPUTED_VALUE"""),24.0)</f>
        <v>24</v>
      </c>
      <c r="K4519" s="18">
        <f>IFERROR(__xludf.DUMMYFUNCTION("""COMPUTED_VALUE"""),29.0)</f>
        <v>29</v>
      </c>
      <c r="L4519" s="17">
        <f>IFERROR(__xludf.DUMMYFUNCTION("""COMPUTED_VALUE"""),3.0021976E9)</f>
        <v>3002197600</v>
      </c>
      <c r="M4519" s="17" t="str">
        <f>IFERROR(__xludf.DUMMYFUNCTION("""COMPUTED_VALUE"""),"#REF!")</f>
        <v>#REF!</v>
      </c>
      <c r="N4519" s="17"/>
      <c r="O4519" s="17"/>
      <c r="P4519" s="17" t="b">
        <f>IFERROR(__xludf.DUMMYFUNCTION("""COMPUTED_VALUE"""),FALSE)</f>
        <v>0</v>
      </c>
      <c r="Q4519" s="20" t="str">
        <f>IFERROR(__xludf.DUMMYFUNCTION("""COMPUTED_VALUE"""),"")</f>
        <v/>
      </c>
      <c r="R4519" s="21" t="str">
        <f>IFERROR(__xludf.DUMMYFUNCTION("""COMPUTED_VALUE"""),"https://drive.google.com/file/d/1VRXWuG1ETnxBqLYu9od4UOF24EzVXOy9/view?usp=drivesdk")</f>
        <v>https://drive.google.com/file/d/1VRXWuG1ETnxBqLYu9od4UOF24EzVXOy9/view?usp=drivesdk</v>
      </c>
    </row>
    <row r="4520">
      <c r="A4520" s="15">
        <f>IFERROR(__xludf.DUMMYFUNCTION("""COMPUTED_VALUE"""),45132.0)</f>
        <v>45132</v>
      </c>
      <c r="B4520" s="16" t="str">
        <f>IFERROR(__xludf.DUMMYFUNCTION("""COMPUTED_VALUE"""),"Oscar Augusto Meneses Osias")</f>
        <v>Oscar Augusto Meneses Osias</v>
      </c>
      <c r="C4520" s="15" t="str">
        <f>IFERROR(__xludf.DUMMYFUNCTION("""COMPUTED_VALUE"""),"MEDELLÍN")</f>
        <v>MEDELLÍN</v>
      </c>
      <c r="D4520" s="15" t="str">
        <f>IFERROR(__xludf.DUMMYFUNCTION("""COMPUTED_VALUE"""),"BOGOTÁ")</f>
        <v>BOGOTÁ</v>
      </c>
      <c r="E4520" s="15" t="str">
        <f>IFERROR(__xludf.DUMMYFUNCTION("""COMPUTED_VALUE"""),"Top Spun")</f>
        <v>Top Spun</v>
      </c>
      <c r="F4520" s="17" t="str">
        <f>IFERROR(__xludf.DUMMYFUNCTION("""COMPUTED_VALUE"""),"CR 25A # 1A SUR - 45 EL TESORO / SEDE PARQUE EL TESORO / EL TESORO")</f>
        <v>CR 25A # 1A SUR - 45 EL TESORO / SEDE PARQUE EL TESORO / EL TESORO</v>
      </c>
      <c r="G4520" s="15" t="str">
        <f>IFERROR(__xludf.DUMMYFUNCTION("""COMPUTED_VALUE"""),"MERKAORGANICO NATURAL SAS")</f>
        <v>MERKAORGANICO NATURAL SAS</v>
      </c>
      <c r="H4520" s="16">
        <f>IFERROR(__xludf.DUMMYFUNCTION("""COMPUTED_VALUE"""),13160.0)</f>
        <v>13160</v>
      </c>
      <c r="I4520" s="18">
        <f>IFERROR(__xludf.DUMMYFUNCTION("""COMPUTED_VALUE"""),20.0)</f>
        <v>20</v>
      </c>
      <c r="J4520" s="18">
        <f>IFERROR(__xludf.DUMMYFUNCTION("""COMPUTED_VALUE"""),10.0)</f>
        <v>10</v>
      </c>
      <c r="K4520" s="18">
        <f>IFERROR(__xludf.DUMMYFUNCTION("""COMPUTED_VALUE"""),40.0)</f>
        <v>40</v>
      </c>
      <c r="L4520" s="17">
        <f>IFERROR(__xludf.DUMMYFUNCTION("""COMPUTED_VALUE"""),3.014489297E9)</f>
        <v>3014489297</v>
      </c>
      <c r="M4520" s="17" t="str">
        <f>IFERROR(__xludf.DUMMYFUNCTION("""COMPUTED_VALUE"""),"#REF!")</f>
        <v>#REF!</v>
      </c>
      <c r="N4520" s="17"/>
      <c r="O4520" s="17"/>
      <c r="P4520" s="17" t="b">
        <f>IFERROR(__xludf.DUMMYFUNCTION("""COMPUTED_VALUE"""),FALSE)</f>
        <v>0</v>
      </c>
      <c r="Q4520" s="20" t="str">
        <f>IFERROR(__xludf.DUMMYFUNCTION("""COMPUTED_VALUE"""),"")</f>
        <v/>
      </c>
      <c r="R4520" s="21" t="str">
        <f>IFERROR(__xludf.DUMMYFUNCTION("""COMPUTED_VALUE"""),"https://drive.google.com/file/d/1HQRJiToGcB2ojNpAW5GiiJDyIPWDsG8j/view?usp=drivesdk")</f>
        <v>https://drive.google.com/file/d/1HQRJiToGcB2ojNpAW5GiiJDyIPWDsG8j/view?usp=drivesdk</v>
      </c>
    </row>
    <row r="4521">
      <c r="A4521" s="15">
        <f>IFERROR(__xludf.DUMMYFUNCTION("""COMPUTED_VALUE"""),45132.0)</f>
        <v>45132</v>
      </c>
      <c r="B4521" s="16" t="str">
        <f>IFERROR(__xludf.DUMMYFUNCTION("""COMPUTED_VALUE"""),"Oscar Augusto Meneses Osias")</f>
        <v>Oscar Augusto Meneses Osias</v>
      </c>
      <c r="C4521" s="15" t="str">
        <f>IFERROR(__xludf.DUMMYFUNCTION("""COMPUTED_VALUE"""),"MEDELLÍN")</f>
        <v>MEDELLÍN</v>
      </c>
      <c r="D4521" s="15" t="str">
        <f>IFERROR(__xludf.DUMMYFUNCTION("""COMPUTED_VALUE"""),"BOGOTÁ")</f>
        <v>BOGOTÁ</v>
      </c>
      <c r="E4521" s="15" t="str">
        <f>IFERROR(__xludf.DUMMYFUNCTION("""COMPUTED_VALUE"""),"Viiva Fermentados")</f>
        <v>Viiva Fermentados</v>
      </c>
      <c r="F4521" s="17" t="str">
        <f>IFERROR(__xludf.DUMMYFUNCTION("""COMPUTED_VALUE"""),"Calle 98 #50b-19 / primer piso preguntar por doña fabiola / Aranjuez")</f>
        <v>Calle 98 #50b-19 / primer piso preguntar por doña fabiola / Aranjuez</v>
      </c>
      <c r="G4521" s="15" t="str">
        <f>IFERROR(__xludf.DUMMYFUNCTION("""COMPUTED_VALUE"""),"Bayron Rodriguez")</f>
        <v>Bayron Rodriguez</v>
      </c>
      <c r="H4521" s="16">
        <f>IFERROR(__xludf.DUMMYFUNCTION("""COMPUTED_VALUE"""),13231.0)</f>
        <v>13231</v>
      </c>
      <c r="I4521" s="18">
        <f>IFERROR(__xludf.DUMMYFUNCTION("""COMPUTED_VALUE"""),20.0)</f>
        <v>20</v>
      </c>
      <c r="J4521" s="18">
        <f>IFERROR(__xludf.DUMMYFUNCTION("""COMPUTED_VALUE"""),24.0)</f>
        <v>24</v>
      </c>
      <c r="K4521" s="18">
        <f>IFERROR(__xludf.DUMMYFUNCTION("""COMPUTED_VALUE"""),36.0)</f>
        <v>36</v>
      </c>
      <c r="L4521" s="17">
        <f>IFERROR(__xludf.DUMMYFUNCTION("""COMPUTED_VALUE"""),3.166261966E9)</f>
        <v>3166261966</v>
      </c>
      <c r="M4521" s="17" t="str">
        <f>IFERROR(__xludf.DUMMYFUNCTION("""COMPUTED_VALUE"""),"#REF!")</f>
        <v>#REF!</v>
      </c>
      <c r="N4521" s="17"/>
      <c r="O4521" s="17"/>
      <c r="P4521" s="17" t="b">
        <f>IFERROR(__xludf.DUMMYFUNCTION("""COMPUTED_VALUE"""),FALSE)</f>
        <v>0</v>
      </c>
      <c r="Q4521" s="20" t="str">
        <f>IFERROR(__xludf.DUMMYFUNCTION("""COMPUTED_VALUE"""),"")</f>
        <v/>
      </c>
      <c r="R4521" s="21" t="str">
        <f>IFERROR(__xludf.DUMMYFUNCTION("""COMPUTED_VALUE"""),"https://drive.google.com/file/d/1TLOCfqxZs_hJiJkorcICdZ7l0z6xYZPd/view?usp=drivesdk")</f>
        <v>https://drive.google.com/file/d/1TLOCfqxZs_hJiJkorcICdZ7l0z6xYZPd/view?usp=drivesdk</v>
      </c>
    </row>
    <row r="4522">
      <c r="A4522" s="17" t="str">
        <f>IFERROR(__xludf.DUMMYFUNCTION("""COMPUTED_VALUE"""),"")</f>
        <v/>
      </c>
      <c r="B4522" s="17" t="str">
        <f>IFERROR(__xludf.DUMMYFUNCTION("""COMPUTED_VALUE"""),"")</f>
        <v/>
      </c>
      <c r="C4522" s="17" t="str">
        <f>IFERROR(__xludf.DUMMYFUNCTION("""COMPUTED_VALUE"""),"")</f>
        <v/>
      </c>
      <c r="D4522" s="17" t="str">
        <f>IFERROR(__xludf.DUMMYFUNCTION("""COMPUTED_VALUE"""),"")</f>
        <v/>
      </c>
      <c r="E4522" s="17" t="str">
        <f>IFERROR(__xludf.DUMMYFUNCTION("""COMPUTED_VALUE"""),"")</f>
        <v/>
      </c>
      <c r="F4522" s="17" t="str">
        <f>IFERROR(__xludf.DUMMYFUNCTION("""COMPUTED_VALUE"""),"")</f>
        <v/>
      </c>
      <c r="G4522" s="17" t="str">
        <f>IFERROR(__xludf.DUMMYFUNCTION("""COMPUTED_VALUE"""),"")</f>
        <v/>
      </c>
      <c r="H4522" s="17" t="str">
        <f>IFERROR(__xludf.DUMMYFUNCTION("""COMPUTED_VALUE"""),"")</f>
        <v/>
      </c>
      <c r="I4522" s="17" t="str">
        <f>IFERROR(__xludf.DUMMYFUNCTION("""COMPUTED_VALUE"""),"")</f>
        <v/>
      </c>
      <c r="J4522" s="17" t="str">
        <f>IFERROR(__xludf.DUMMYFUNCTION("""COMPUTED_VALUE"""),"")</f>
        <v/>
      </c>
      <c r="K4522" s="17" t="str">
        <f>IFERROR(__xludf.DUMMYFUNCTION("""COMPUTED_VALUE"""),"")</f>
        <v/>
      </c>
      <c r="L4522" s="17" t="str">
        <f>IFERROR(__xludf.DUMMYFUNCTION("""COMPUTED_VALUE"""),"")</f>
        <v/>
      </c>
      <c r="M4522" s="17" t="str">
        <f>IFERROR(__xludf.DUMMYFUNCTION("""COMPUTED_VALUE"""),"")</f>
        <v/>
      </c>
      <c r="N4522" s="17" t="str">
        <f>IFERROR(__xludf.DUMMYFUNCTION("""COMPUTED_VALUE"""),"")</f>
        <v/>
      </c>
      <c r="O4522" s="17" t="str">
        <f>IFERROR(__xludf.DUMMYFUNCTION("""COMPUTED_VALUE"""),"")</f>
        <v/>
      </c>
      <c r="P4522" s="17" t="str">
        <f>IFERROR(__xludf.DUMMYFUNCTION("""COMPUTED_VALUE"""),"")</f>
        <v/>
      </c>
      <c r="Q4522" s="17" t="str">
        <f>IFERROR(__xludf.DUMMYFUNCTION("""COMPUTED_VALUE"""),"")</f>
        <v/>
      </c>
      <c r="R4522" s="17" t="str">
        <f>IFERROR(__xludf.DUMMYFUNCTION("""COMPUTED_VALUE"""),"")</f>
        <v/>
      </c>
    </row>
    <row r="4523">
      <c r="A4523" s="15">
        <f>IFERROR(__xludf.DUMMYFUNCTION("""COMPUTED_VALUE"""),45133.0)</f>
        <v>45133</v>
      </c>
      <c r="B4523" s="16" t="str">
        <f>IFERROR(__xludf.DUMMYFUNCTION("""COMPUTED_VALUE"""),"Anuar suarez jimenez ")</f>
        <v>Anuar suarez jimenez </v>
      </c>
      <c r="C4523" s="15" t="str">
        <f>IFERROR(__xludf.DUMMYFUNCTION("""COMPUTED_VALUE"""),"BARRANQUILLA")</f>
        <v>BARRANQUILLA</v>
      </c>
      <c r="D4523" s="15" t="str">
        <f>IFERROR(__xludf.DUMMYFUNCTION("""COMPUTED_VALUE"""),"BOGOTÁ")</f>
        <v>BOGOTÁ</v>
      </c>
      <c r="E4523" s="15" t="str">
        <f>IFERROR(__xludf.DUMMYFUNCTION("""COMPUTED_VALUE"""),"Gelacol")</f>
        <v>Gelacol</v>
      </c>
      <c r="F4523" s="17" t="str">
        <f>IFERROR(__xludf.DUMMYFUNCTION("""COMPUTED_VALUE"""),"Cra 25 # 1A -124  / Conjunto residencial Mint Apto 511 / Al costado derecho del colegio American School y frente al colegio Karl Parrich")</f>
        <v>Cra 25 # 1A -124  / Conjunto residencial Mint Apto 511 / Al costado derecho del colegio American School y frente al colegio Karl Parrich</v>
      </c>
      <c r="G4523" s="15" t="str">
        <f>IFERROR(__xludf.DUMMYFUNCTION("""COMPUTED_VALUE"""),"Ericka Nájera")</f>
        <v>Ericka Nájera</v>
      </c>
      <c r="H4523" s="16">
        <f>IFERROR(__xludf.DUMMYFUNCTION("""COMPUTED_VALUE"""),13176.0)</f>
        <v>13176</v>
      </c>
      <c r="I4523" s="18" t="str">
        <f>IFERROR(__xludf.DUMMYFUNCTION("""COMPUTED_VALUE"""),"52.5")</f>
        <v>52.5</v>
      </c>
      <c r="J4523" s="18">
        <f>IFERROR(__xludf.DUMMYFUNCTION("""COMPUTED_VALUE"""),45.0)</f>
        <v>45</v>
      </c>
      <c r="K4523" s="18">
        <f>IFERROR(__xludf.DUMMYFUNCTION("""COMPUTED_VALUE"""),55.0)</f>
        <v>55</v>
      </c>
      <c r="L4523" s="17">
        <f>IFERROR(__xludf.DUMMYFUNCTION("""COMPUTED_VALUE"""),3.102363136E9)</f>
        <v>3102363136</v>
      </c>
      <c r="M4523" s="17" t="str">
        <f>IFERROR(__xludf.DUMMYFUNCTION("""COMPUTED_VALUE"""),"#REF!")</f>
        <v>#REF!</v>
      </c>
      <c r="N4523" s="17"/>
      <c r="O4523" s="17"/>
      <c r="P4523" s="17" t="b">
        <f>IFERROR(__xludf.DUMMYFUNCTION("""COMPUTED_VALUE"""),FALSE)</f>
        <v>0</v>
      </c>
      <c r="Q4523" s="20" t="str">
        <f>IFERROR(__xludf.DUMMYFUNCTION("""COMPUTED_VALUE"""),"")</f>
        <v/>
      </c>
      <c r="R4523" s="22" t="str">
        <f>IFERROR(__xludf.DUMMYFUNCTION("""COMPUTED_VALUE"""),"")</f>
        <v/>
      </c>
    </row>
    <row r="4524">
      <c r="A4524" s="15">
        <f>IFERROR(__xludf.DUMMYFUNCTION("""COMPUTED_VALUE"""),45133.0)</f>
        <v>45133</v>
      </c>
      <c r="B4524" s="16" t="str">
        <f>IFERROR(__xludf.DUMMYFUNCTION("""COMPUTED_VALUE"""),"Anuar suarez jimenez ")</f>
        <v>Anuar suarez jimenez </v>
      </c>
      <c r="C4524" s="15" t="str">
        <f>IFERROR(__xludf.DUMMYFUNCTION("""COMPUTED_VALUE"""),"MEDELLÍN")</f>
        <v>MEDELLÍN</v>
      </c>
      <c r="D4524" s="15" t="str">
        <f>IFERROR(__xludf.DUMMYFUNCTION("""COMPUTED_VALUE"""),"BUCARAMANGA")</f>
        <v>BUCARAMANGA</v>
      </c>
      <c r="E4524" s="15" t="str">
        <f>IFERROR(__xludf.DUMMYFUNCTION("""COMPUTED_VALUE"""),"Yo Como Solito")</f>
        <v>Yo Como Solito</v>
      </c>
      <c r="F4524" s="17" t="str">
        <f>IFERROR(__xludf.DUMMYFUNCTION("""COMPUTED_VALUE"""),"Carrera 15 BA # 34D - 44 INT 201 Barrio Quinta Linda /  Carrera 15 BA # 34D - 44 INT 201 Barrio Quinta Linda /  Carrera 15 BA # 34D - 44 INT 201 Barrio Quinta Linda")</f>
        <v>Carrera 15 BA # 34D - 44 INT 201 Barrio Quinta Linda /  Carrera 15 BA # 34D - 44 INT 201 Barrio Quinta Linda /  Carrera 15 BA # 34D - 44 INT 201 Barrio Quinta Linda</v>
      </c>
      <c r="G4524" s="15" t="str">
        <f>IFERROR(__xludf.DUMMYFUNCTION("""COMPUTED_VALUE"""),"Daniela Bedoya Blandon")</f>
        <v>Daniela Bedoya Blandon</v>
      </c>
      <c r="H4524" s="16">
        <f>IFERROR(__xludf.DUMMYFUNCTION("""COMPUTED_VALUE"""),13262.0)</f>
        <v>13262</v>
      </c>
      <c r="I4524" s="18">
        <f>IFERROR(__xludf.DUMMYFUNCTION("""COMPUTED_VALUE"""),19.0)</f>
        <v>19</v>
      </c>
      <c r="J4524" s="18">
        <f>IFERROR(__xludf.DUMMYFUNCTION("""COMPUTED_VALUE"""),21.0)</f>
        <v>21</v>
      </c>
      <c r="K4524" s="18">
        <f>IFERROR(__xludf.DUMMYFUNCTION("""COMPUTED_VALUE"""),25.0)</f>
        <v>25</v>
      </c>
      <c r="L4524" s="17">
        <f>IFERROR(__xludf.DUMMYFUNCTION("""COMPUTED_VALUE"""),3.14672822E9)</f>
        <v>3146728220</v>
      </c>
      <c r="M4524" s="17" t="str">
        <f>IFERROR(__xludf.DUMMYFUNCTION("""COMPUTED_VALUE"""),"#REF!")</f>
        <v>#REF!</v>
      </c>
      <c r="N4524" s="17"/>
      <c r="O4524" s="17"/>
      <c r="P4524" s="17" t="b">
        <f>IFERROR(__xludf.DUMMYFUNCTION("""COMPUTED_VALUE"""),FALSE)</f>
        <v>0</v>
      </c>
      <c r="Q4524" s="20" t="str">
        <f>IFERROR(__xludf.DUMMYFUNCTION("""COMPUTED_VALUE"""),"")</f>
        <v/>
      </c>
      <c r="R4524" s="22" t="str">
        <f>IFERROR(__xludf.DUMMYFUNCTION("""COMPUTED_VALUE"""),"")</f>
        <v/>
      </c>
    </row>
    <row r="4525">
      <c r="A4525" s="17" t="str">
        <f>IFERROR(__xludf.DUMMYFUNCTION("""COMPUTED_VALUE"""),"")</f>
        <v/>
      </c>
      <c r="B4525" s="17" t="str">
        <f>IFERROR(__xludf.DUMMYFUNCTION("""COMPUTED_VALUE"""),"")</f>
        <v/>
      </c>
      <c r="C4525" s="17" t="str">
        <f>IFERROR(__xludf.DUMMYFUNCTION("""COMPUTED_VALUE"""),"")</f>
        <v/>
      </c>
      <c r="D4525" s="17" t="str">
        <f>IFERROR(__xludf.DUMMYFUNCTION("""COMPUTED_VALUE"""),"")</f>
        <v/>
      </c>
      <c r="E4525" s="17" t="str">
        <f>IFERROR(__xludf.DUMMYFUNCTION("""COMPUTED_VALUE"""),"")</f>
        <v/>
      </c>
      <c r="F4525" s="17" t="str">
        <f>IFERROR(__xludf.DUMMYFUNCTION("""COMPUTED_VALUE"""),"")</f>
        <v/>
      </c>
      <c r="G4525" s="17" t="str">
        <f>IFERROR(__xludf.DUMMYFUNCTION("""COMPUTED_VALUE"""),"")</f>
        <v/>
      </c>
      <c r="H4525" s="17" t="str">
        <f>IFERROR(__xludf.DUMMYFUNCTION("""COMPUTED_VALUE"""),"")</f>
        <v/>
      </c>
      <c r="I4525" s="17" t="str">
        <f>IFERROR(__xludf.DUMMYFUNCTION("""COMPUTED_VALUE"""),"")</f>
        <v/>
      </c>
      <c r="J4525" s="17" t="str">
        <f>IFERROR(__xludf.DUMMYFUNCTION("""COMPUTED_VALUE"""),"")</f>
        <v/>
      </c>
      <c r="K4525" s="17" t="str">
        <f>IFERROR(__xludf.DUMMYFUNCTION("""COMPUTED_VALUE"""),"")</f>
        <v/>
      </c>
      <c r="L4525" s="17" t="str">
        <f>IFERROR(__xludf.DUMMYFUNCTION("""COMPUTED_VALUE"""),"")</f>
        <v/>
      </c>
      <c r="M4525" s="17" t="str">
        <f>IFERROR(__xludf.DUMMYFUNCTION("""COMPUTED_VALUE"""),"")</f>
        <v/>
      </c>
      <c r="N4525" s="17" t="str">
        <f>IFERROR(__xludf.DUMMYFUNCTION("""COMPUTED_VALUE"""),"")</f>
        <v/>
      </c>
      <c r="O4525" s="17" t="str">
        <f>IFERROR(__xludf.DUMMYFUNCTION("""COMPUTED_VALUE"""),"")</f>
        <v/>
      </c>
      <c r="P4525" s="17" t="str">
        <f>IFERROR(__xludf.DUMMYFUNCTION("""COMPUTED_VALUE"""),"")</f>
        <v/>
      </c>
      <c r="Q4525" s="17" t="str">
        <f>IFERROR(__xludf.DUMMYFUNCTION("""COMPUTED_VALUE"""),"")</f>
        <v/>
      </c>
      <c r="R4525" s="17" t="str">
        <f>IFERROR(__xludf.DUMMYFUNCTION("""COMPUTED_VALUE"""),"")</f>
        <v/>
      </c>
    </row>
    <row r="4526">
      <c r="A4526" s="15">
        <f>IFERROR(__xludf.DUMMYFUNCTION("""COMPUTED_VALUE"""),45133.0)</f>
        <v>45133</v>
      </c>
      <c r="B4526" s="16" t="str">
        <f>IFERROR(__xludf.DUMMYFUNCTION("""COMPUTED_VALUE"""),"David Sanmartin Bello")</f>
        <v>David Sanmartin Bello</v>
      </c>
      <c r="C4526" s="15" t="str">
        <f>IFERROR(__xludf.DUMMYFUNCTION("""COMPUTED_VALUE"""),"CALI")</f>
        <v>CALI</v>
      </c>
      <c r="D4526" s="15" t="str">
        <f>IFERROR(__xludf.DUMMYFUNCTION("""COMPUTED_VALUE"""),"MEDELLÍN")</f>
        <v>MEDELLÍN</v>
      </c>
      <c r="E4526" s="15" t="str">
        <f>IFERROR(__xludf.DUMMYFUNCTION("""COMPUTED_VALUE"""),"Terravocado")</f>
        <v>Terravocado</v>
      </c>
      <c r="F4526" s="17" t="str">
        <f>IFERROR(__xludf.DUMMYFUNCTION("""COMPUTED_VALUE"""),"cll 34 norte #2 bn 33 / cocina 1 / entre la 14 de  la sexta y el deportivo cali")</f>
        <v>cll 34 norte #2 bn 33 / cocina 1 / entre la 14 de  la sexta y el deportivo cali</v>
      </c>
      <c r="G4526" s="15" t="str">
        <f>IFERROR(__xludf.DUMMYFUNCTION("""COMPUTED_VALUE"""),"CONTINENTAL KITCHENS S.A.S.")</f>
        <v>CONTINENTAL KITCHENS S.A.S.</v>
      </c>
      <c r="H4526" s="16">
        <f>IFERROR(__xludf.DUMMYFUNCTION("""COMPUTED_VALUE"""),13234.0)</f>
        <v>13234</v>
      </c>
      <c r="I4526" s="18">
        <f>IFERROR(__xludf.DUMMYFUNCTION("""COMPUTED_VALUE"""),20.0)</f>
        <v>20</v>
      </c>
      <c r="J4526" s="18">
        <f>IFERROR(__xludf.DUMMYFUNCTION("""COMPUTED_VALUE"""),24.0)</f>
        <v>24</v>
      </c>
      <c r="K4526" s="18">
        <f>IFERROR(__xludf.DUMMYFUNCTION("""COMPUTED_VALUE"""),34.0)</f>
        <v>34</v>
      </c>
      <c r="L4526" s="17">
        <f>IFERROR(__xludf.DUMMYFUNCTION("""COMPUTED_VALUE"""),3.166313887E9)</f>
        <v>3166313887</v>
      </c>
      <c r="M4526" s="17" t="str">
        <f>IFERROR(__xludf.DUMMYFUNCTION("""COMPUTED_VALUE"""),"#REF!")</f>
        <v>#REF!</v>
      </c>
      <c r="N4526" s="17"/>
      <c r="O4526" s="17"/>
      <c r="P4526" s="17" t="b">
        <f>IFERROR(__xludf.DUMMYFUNCTION("""COMPUTED_VALUE"""),FALSE)</f>
        <v>0</v>
      </c>
      <c r="Q4526" s="20" t="str">
        <f>IFERROR(__xludf.DUMMYFUNCTION("""COMPUTED_VALUE"""),"")</f>
        <v/>
      </c>
      <c r="R4526" s="21" t="str">
        <f>IFERROR(__xludf.DUMMYFUNCTION("""COMPUTED_VALUE"""),"https://drive.google.com/file/d/1VLrw6SMeom_48m6r4al11A0s0vFwH7Vp/view?usp=drivesdk")</f>
        <v>https://drive.google.com/file/d/1VLrw6SMeom_48m6r4al11A0s0vFwH7Vp/view?usp=drivesdk</v>
      </c>
    </row>
    <row r="4527">
      <c r="A4527" s="17" t="str">
        <f>IFERROR(__xludf.DUMMYFUNCTION("""COMPUTED_VALUE"""),"")</f>
        <v/>
      </c>
      <c r="B4527" s="17" t="str">
        <f>IFERROR(__xludf.DUMMYFUNCTION("""COMPUTED_VALUE"""),"")</f>
        <v/>
      </c>
      <c r="C4527" s="17" t="str">
        <f>IFERROR(__xludf.DUMMYFUNCTION("""COMPUTED_VALUE"""),"")</f>
        <v/>
      </c>
      <c r="D4527" s="17" t="str">
        <f>IFERROR(__xludf.DUMMYFUNCTION("""COMPUTED_VALUE"""),"")</f>
        <v/>
      </c>
      <c r="E4527" s="17" t="str">
        <f>IFERROR(__xludf.DUMMYFUNCTION("""COMPUTED_VALUE"""),"")</f>
        <v/>
      </c>
      <c r="F4527" s="17" t="str">
        <f>IFERROR(__xludf.DUMMYFUNCTION("""COMPUTED_VALUE"""),"")</f>
        <v/>
      </c>
      <c r="G4527" s="17" t="str">
        <f>IFERROR(__xludf.DUMMYFUNCTION("""COMPUTED_VALUE"""),"")</f>
        <v/>
      </c>
      <c r="H4527" s="17" t="str">
        <f>IFERROR(__xludf.DUMMYFUNCTION("""COMPUTED_VALUE"""),"")</f>
        <v/>
      </c>
      <c r="I4527" s="17" t="str">
        <f>IFERROR(__xludf.DUMMYFUNCTION("""COMPUTED_VALUE"""),"")</f>
        <v/>
      </c>
      <c r="J4527" s="17" t="str">
        <f>IFERROR(__xludf.DUMMYFUNCTION("""COMPUTED_VALUE"""),"")</f>
        <v/>
      </c>
      <c r="K4527" s="17" t="str">
        <f>IFERROR(__xludf.DUMMYFUNCTION("""COMPUTED_VALUE"""),"")</f>
        <v/>
      </c>
      <c r="L4527" s="17" t="str">
        <f>IFERROR(__xludf.DUMMYFUNCTION("""COMPUTED_VALUE"""),"")</f>
        <v/>
      </c>
      <c r="M4527" s="17" t="str">
        <f>IFERROR(__xludf.DUMMYFUNCTION("""COMPUTED_VALUE"""),"")</f>
        <v/>
      </c>
      <c r="N4527" s="17" t="str">
        <f>IFERROR(__xludf.DUMMYFUNCTION("""COMPUTED_VALUE"""),"")</f>
        <v/>
      </c>
      <c r="O4527" s="17" t="str">
        <f>IFERROR(__xludf.DUMMYFUNCTION("""COMPUTED_VALUE"""),"")</f>
        <v/>
      </c>
      <c r="P4527" s="17" t="str">
        <f>IFERROR(__xludf.DUMMYFUNCTION("""COMPUTED_VALUE"""),"")</f>
        <v/>
      </c>
      <c r="Q4527" s="17" t="str">
        <f>IFERROR(__xludf.DUMMYFUNCTION("""COMPUTED_VALUE"""),"")</f>
        <v/>
      </c>
      <c r="R4527" s="17" t="str">
        <f>IFERROR(__xludf.DUMMYFUNCTION("""COMPUTED_VALUE"""),"")</f>
        <v/>
      </c>
    </row>
    <row r="4528">
      <c r="A4528" s="15">
        <f>IFERROR(__xludf.DUMMYFUNCTION("""COMPUTED_VALUE"""),45133.0)</f>
        <v>45133</v>
      </c>
      <c r="B4528" s="16" t="str">
        <f>IFERROR(__xludf.DUMMYFUNCTION("""COMPUTED_VALUE"""),"Envia")</f>
        <v>Envia</v>
      </c>
      <c r="C4528" s="15" t="str">
        <f>IFERROR(__xludf.DUMMYFUNCTION("""COMPUTED_VALUE"""),"BOGOTÁ")</f>
        <v>BOGOTÁ</v>
      </c>
      <c r="D4528" s="15" t="str">
        <f>IFERROR(__xludf.DUMMYFUNCTION("""COMPUTED_VALUE"""),"MEDELLÍN")</f>
        <v>MEDELLÍN</v>
      </c>
      <c r="E4528" s="15" t="str">
        <f>IFERROR(__xludf.DUMMYFUNCTION("""COMPUTED_VALUE"""),"Terravocado")</f>
        <v>Terravocado</v>
      </c>
      <c r="F4528" s="17" t="str">
        <f>IFERROR(__xludf.DUMMYFUNCTION("""COMPUTED_VALUE"""),"CR 20# 168 - 32 / UZAQUEN  / UZAQUEN")</f>
        <v>CR 20# 168 - 32 / UZAQUEN  / UZAQUEN</v>
      </c>
      <c r="G4528" s="15" t="str">
        <f>IFERROR(__xludf.DUMMYFUNCTION("""COMPUTED_VALUE"""),"BUKOI SAS")</f>
        <v>BUKOI SAS</v>
      </c>
      <c r="H4528" s="16">
        <f>IFERROR(__xludf.DUMMYFUNCTION("""COMPUTED_VALUE"""),13252.0)</f>
        <v>13252</v>
      </c>
      <c r="I4528" s="18">
        <f>IFERROR(__xludf.DUMMYFUNCTION("""COMPUTED_VALUE"""),20.0)</f>
        <v>20</v>
      </c>
      <c r="J4528" s="18">
        <f>IFERROR(__xludf.DUMMYFUNCTION("""COMPUTED_VALUE"""),24.0)</f>
        <v>24</v>
      </c>
      <c r="K4528" s="18">
        <f>IFERROR(__xludf.DUMMYFUNCTION("""COMPUTED_VALUE"""),34.0)</f>
        <v>34</v>
      </c>
      <c r="L4528" s="17">
        <f>IFERROR(__xludf.DUMMYFUNCTION("""COMPUTED_VALUE"""),3.103668164E9)</f>
        <v>3103668164</v>
      </c>
      <c r="M4528" s="17" t="str">
        <f>IFERROR(__xludf.DUMMYFUNCTION("""COMPUTED_VALUE"""),"#REF!")</f>
        <v>#REF!</v>
      </c>
      <c r="N4528" s="17"/>
      <c r="O4528" s="17"/>
      <c r="P4528" s="17" t="b">
        <f>IFERROR(__xludf.DUMMYFUNCTION("""COMPUTED_VALUE"""),FALSE)</f>
        <v>0</v>
      </c>
      <c r="Q4528" s="20" t="str">
        <f>IFERROR(__xludf.DUMMYFUNCTION("""COMPUTED_VALUE"""),"")</f>
        <v/>
      </c>
      <c r="R4528" s="21" t="str">
        <f>IFERROR(__xludf.DUMMYFUNCTION("""COMPUTED_VALUE"""),"https://drive.google.com/file/d/1E7l6SyVC_1HCNmx0GUkTf9bknOiWPx3N/view?usp=drivesdk")</f>
        <v>https://drive.google.com/file/d/1E7l6SyVC_1HCNmx0GUkTf9bknOiWPx3N/view?usp=drivesdk</v>
      </c>
    </row>
    <row r="4529">
      <c r="A4529" s="15">
        <f>IFERROR(__xludf.DUMMYFUNCTION("""COMPUTED_VALUE"""),45133.0)</f>
        <v>45133</v>
      </c>
      <c r="B4529" s="16" t="str">
        <f>IFERROR(__xludf.DUMMYFUNCTION("""COMPUTED_VALUE"""),"Envia")</f>
        <v>Envia</v>
      </c>
      <c r="C4529" s="15" t="str">
        <f>IFERROR(__xludf.DUMMYFUNCTION("""COMPUTED_VALUE"""),"BOGOTÁ")</f>
        <v>BOGOTÁ</v>
      </c>
      <c r="D4529" s="15" t="str">
        <f>IFERROR(__xludf.DUMMYFUNCTION("""COMPUTED_VALUE"""),"MEDELLÍN")</f>
        <v>MEDELLÍN</v>
      </c>
      <c r="E4529" s="15" t="str">
        <f>IFERROR(__xludf.DUMMYFUNCTION("""COMPUTED_VALUE"""),"TOLEDALES S.A.S")</f>
        <v>TOLEDALES S.A.S</v>
      </c>
      <c r="F4529" s="17" t="str">
        <f>IFERROR(__xludf.DUMMYFUNCTION("""COMPUTED_VALUE"""),"Av el dorado 69b 53")</f>
        <v>Av el dorado 69b 53</v>
      </c>
      <c r="G4529" s="15" t="str">
        <f>IFERROR(__xludf.DUMMYFUNCTION("""COMPUTED_VALUE"""),"Hoteleria Internacional SA")</f>
        <v>Hoteleria Internacional SA</v>
      </c>
      <c r="H4529" s="16">
        <f>IFERROR(__xludf.DUMMYFUNCTION("""COMPUTED_VALUE"""),13175.0)</f>
        <v>13175</v>
      </c>
      <c r="I4529" s="18">
        <f>IFERROR(__xludf.DUMMYFUNCTION("""COMPUTED_VALUE"""),23.0)</f>
        <v>23</v>
      </c>
      <c r="J4529" s="18">
        <f>IFERROR(__xludf.DUMMYFUNCTION("""COMPUTED_VALUE"""),14.0)</f>
        <v>14</v>
      </c>
      <c r="K4529" s="18">
        <f>IFERROR(__xludf.DUMMYFUNCTION("""COMPUTED_VALUE"""),7.0)</f>
        <v>7</v>
      </c>
      <c r="L4529" s="17">
        <f>IFERROR(__xludf.DUMMYFUNCTION("""COMPUTED_VALUE"""),3.193679565E9)</f>
        <v>3193679565</v>
      </c>
      <c r="M4529" s="17" t="str">
        <f>IFERROR(__xludf.DUMMYFUNCTION("""COMPUTED_VALUE"""),"#REF!")</f>
        <v>#REF!</v>
      </c>
      <c r="N4529" s="17"/>
      <c r="O4529" s="17"/>
      <c r="P4529" s="17" t="b">
        <f>IFERROR(__xludf.DUMMYFUNCTION("""COMPUTED_VALUE"""),FALSE)</f>
        <v>0</v>
      </c>
      <c r="Q4529" s="20" t="str">
        <f>IFERROR(__xludf.DUMMYFUNCTION("""COMPUTED_VALUE"""),"")</f>
        <v/>
      </c>
      <c r="R4529" s="21" t="str">
        <f>IFERROR(__xludf.DUMMYFUNCTION("""COMPUTED_VALUE"""),"https://drive.google.com/file/d/1qrK6U4wYMGftfHtdp0eJc_gPWEuyq5gO/view?usp=drivesdk")</f>
        <v>https://drive.google.com/file/d/1qrK6U4wYMGftfHtdp0eJc_gPWEuyq5gO/view?usp=drivesdk</v>
      </c>
    </row>
    <row r="4530">
      <c r="A4530" s="15">
        <f>IFERROR(__xludf.DUMMYFUNCTION("""COMPUTED_VALUE"""),45133.0)</f>
        <v>45133</v>
      </c>
      <c r="B4530" s="16" t="str">
        <f>IFERROR(__xludf.DUMMYFUNCTION("""COMPUTED_VALUE"""),"Envia")</f>
        <v>Envia</v>
      </c>
      <c r="C4530" s="15" t="str">
        <f>IFERROR(__xludf.DUMMYFUNCTION("""COMPUTED_VALUE"""),"CALI")</f>
        <v>CALI</v>
      </c>
      <c r="D4530" s="15" t="str">
        <f>IFERROR(__xludf.DUMMYFUNCTION("""COMPUTED_VALUE"""),"MEDELLÍN")</f>
        <v>MEDELLÍN</v>
      </c>
      <c r="E4530" s="15" t="str">
        <f>IFERROR(__xludf.DUMMYFUNCTION("""COMPUTED_VALUE"""),"Baby Chef")</f>
        <v>Baby Chef</v>
      </c>
      <c r="F4530" s="17" t="str">
        <f>IFERROR(__xludf.DUMMYFUNCTION("""COMPUTED_VALUE"""),"Cra 138 # 4-133, “Condominio Batik”,  Casa 75. Barrio Pance / Cra 138 # 4-133, “Condominio Batik”,  Casa 75. Barrio Pance / Cra 138 # 4-133, “Condominio Batik”,  Casa 75. Barrio Pance")</f>
        <v>Cra 138 # 4-133, “Condominio Batik”,  Casa 75. Barrio Pance / Cra 138 # 4-133, “Condominio Batik”,  Casa 75. Barrio Pance / Cra 138 # 4-133, “Condominio Batik”,  Casa 75. Barrio Pance</v>
      </c>
      <c r="G4530" s="15" t="str">
        <f>IFERROR(__xludf.DUMMYFUNCTION("""COMPUTED_VALUE"""),"Carolina Cerón")</f>
        <v>Carolina Cerón</v>
      </c>
      <c r="H4530" s="16">
        <f>IFERROR(__xludf.DUMMYFUNCTION("""COMPUTED_VALUE"""),13285.0)</f>
        <v>13285</v>
      </c>
      <c r="I4530" s="18">
        <f>IFERROR(__xludf.DUMMYFUNCTION("""COMPUTED_VALUE"""),8.0)</f>
        <v>8</v>
      </c>
      <c r="J4530" s="18">
        <f>IFERROR(__xludf.DUMMYFUNCTION("""COMPUTED_VALUE"""),34.0)</f>
        <v>34</v>
      </c>
      <c r="K4530" s="18">
        <f>IFERROR(__xludf.DUMMYFUNCTION("""COMPUTED_VALUE"""),24.0)</f>
        <v>24</v>
      </c>
      <c r="L4530" s="17">
        <f>IFERROR(__xludf.DUMMYFUNCTION("""COMPUTED_VALUE"""),3.00419566E9)</f>
        <v>3004195660</v>
      </c>
      <c r="M4530" s="17" t="str">
        <f>IFERROR(__xludf.DUMMYFUNCTION("""COMPUTED_VALUE"""),"#REF!")</f>
        <v>#REF!</v>
      </c>
      <c r="N4530" s="17"/>
      <c r="O4530" s="17"/>
      <c r="P4530" s="17" t="b">
        <f>IFERROR(__xludf.DUMMYFUNCTION("""COMPUTED_VALUE"""),FALSE)</f>
        <v>0</v>
      </c>
      <c r="Q4530" s="20" t="str">
        <f>IFERROR(__xludf.DUMMYFUNCTION("""COMPUTED_VALUE"""),"")</f>
        <v/>
      </c>
      <c r="R4530" s="21" t="str">
        <f>IFERROR(__xludf.DUMMYFUNCTION("""COMPUTED_VALUE"""),"https://drive.google.com/file/d/1GRsrEPpT1A9qbiORZ-4FOUMo0nrw0GuH/view?usp=drivesdk")</f>
        <v>https://drive.google.com/file/d/1GRsrEPpT1A9qbiORZ-4FOUMo0nrw0GuH/view?usp=drivesdk</v>
      </c>
    </row>
    <row r="4531">
      <c r="A4531" s="15">
        <f>IFERROR(__xludf.DUMMYFUNCTION("""COMPUTED_VALUE"""),45133.0)</f>
        <v>45133</v>
      </c>
      <c r="B4531" s="16" t="str">
        <f>IFERROR(__xludf.DUMMYFUNCTION("""COMPUTED_VALUE"""),"Envia")</f>
        <v>Envia</v>
      </c>
      <c r="C4531" s="15" t="str">
        <f>IFERROR(__xludf.DUMMYFUNCTION("""COMPUTED_VALUE"""),"CALI")</f>
        <v>CALI</v>
      </c>
      <c r="D4531" s="15" t="str">
        <f>IFERROR(__xludf.DUMMYFUNCTION("""COMPUTED_VALUE"""),"MEDELLÍN")</f>
        <v>MEDELLÍN</v>
      </c>
      <c r="E4531" s="15" t="str">
        <f>IFERROR(__xludf.DUMMYFUNCTION("""COMPUTED_VALUE"""),"JD Bufala")</f>
        <v>JD Bufala</v>
      </c>
      <c r="F4531" s="17" t="str">
        <f>IFERROR(__xludf.DUMMYFUNCTION("""COMPUTED_VALUE"""),"Calle51norte#4bn72 / Delhuerto pizzería  / La flora")</f>
        <v>Calle51norte#4bn72 / Delhuerto pizzería  / La flora</v>
      </c>
      <c r="G4531" s="15" t="str">
        <f>IFERROR(__xludf.DUMMYFUNCTION("""COMPUTED_VALUE"""),"Javier Rodríguez")</f>
        <v>Javier Rodríguez</v>
      </c>
      <c r="H4531" s="16">
        <f>IFERROR(__xludf.DUMMYFUNCTION("""COMPUTED_VALUE"""),13260.0)</f>
        <v>13260</v>
      </c>
      <c r="I4531" s="18">
        <f>IFERROR(__xludf.DUMMYFUNCTION("""COMPUTED_VALUE"""),45066.0)</f>
        <v>45066</v>
      </c>
      <c r="J4531" s="18">
        <f>IFERROR(__xludf.DUMMYFUNCTION("""COMPUTED_VALUE"""),28.0)</f>
        <v>28</v>
      </c>
      <c r="K4531" s="18">
        <f>IFERROR(__xludf.DUMMYFUNCTION("""COMPUTED_VALUE"""),40.0)</f>
        <v>40</v>
      </c>
      <c r="L4531" s="17">
        <f>IFERROR(__xludf.DUMMYFUNCTION("""COMPUTED_VALUE"""),3.157131911E9)</f>
        <v>3157131911</v>
      </c>
      <c r="M4531" s="17" t="str">
        <f>IFERROR(__xludf.DUMMYFUNCTION("""COMPUTED_VALUE"""),"#REF!")</f>
        <v>#REF!</v>
      </c>
      <c r="N4531" s="17"/>
      <c r="O4531" s="17"/>
      <c r="P4531" s="17" t="b">
        <f>IFERROR(__xludf.DUMMYFUNCTION("""COMPUTED_VALUE"""),TRUE)</f>
        <v>1</v>
      </c>
      <c r="Q4531" s="20">
        <f>IFERROR(__xludf.DUMMYFUNCTION("""COMPUTED_VALUE"""),45133.79447890046)</f>
        <v>45133.79448</v>
      </c>
      <c r="R4531" s="22" t="str">
        <f>IFERROR(__xludf.DUMMYFUNCTION("""COMPUTED_VALUE"""),"")</f>
        <v/>
      </c>
    </row>
    <row r="4532">
      <c r="A4532" s="17" t="str">
        <f>IFERROR(__xludf.DUMMYFUNCTION("""COMPUTED_VALUE"""),"")</f>
        <v/>
      </c>
      <c r="B4532" s="17" t="str">
        <f>IFERROR(__xludf.DUMMYFUNCTION("""COMPUTED_VALUE"""),"")</f>
        <v/>
      </c>
      <c r="C4532" s="17" t="str">
        <f>IFERROR(__xludf.DUMMYFUNCTION("""COMPUTED_VALUE"""),"")</f>
        <v/>
      </c>
      <c r="D4532" s="17" t="str">
        <f>IFERROR(__xludf.DUMMYFUNCTION("""COMPUTED_VALUE"""),"")</f>
        <v/>
      </c>
      <c r="E4532" s="17" t="str">
        <f>IFERROR(__xludf.DUMMYFUNCTION("""COMPUTED_VALUE"""),"")</f>
        <v/>
      </c>
      <c r="F4532" s="17" t="str">
        <f>IFERROR(__xludf.DUMMYFUNCTION("""COMPUTED_VALUE"""),"")</f>
        <v/>
      </c>
      <c r="G4532" s="17" t="str">
        <f>IFERROR(__xludf.DUMMYFUNCTION("""COMPUTED_VALUE"""),"")</f>
        <v/>
      </c>
      <c r="H4532" s="17" t="str">
        <f>IFERROR(__xludf.DUMMYFUNCTION("""COMPUTED_VALUE"""),"")</f>
        <v/>
      </c>
      <c r="I4532" s="17" t="str">
        <f>IFERROR(__xludf.DUMMYFUNCTION("""COMPUTED_VALUE"""),"")</f>
        <v/>
      </c>
      <c r="J4532" s="17" t="str">
        <f>IFERROR(__xludf.DUMMYFUNCTION("""COMPUTED_VALUE"""),"")</f>
        <v/>
      </c>
      <c r="K4532" s="17" t="str">
        <f>IFERROR(__xludf.DUMMYFUNCTION("""COMPUTED_VALUE"""),"")</f>
        <v/>
      </c>
      <c r="L4532" s="17" t="str">
        <f>IFERROR(__xludf.DUMMYFUNCTION("""COMPUTED_VALUE"""),"")</f>
        <v/>
      </c>
      <c r="M4532" s="17" t="str">
        <f>IFERROR(__xludf.DUMMYFUNCTION("""COMPUTED_VALUE"""),"")</f>
        <v/>
      </c>
      <c r="N4532" s="17" t="str">
        <f>IFERROR(__xludf.DUMMYFUNCTION("""COMPUTED_VALUE"""),"")</f>
        <v/>
      </c>
      <c r="O4532" s="17" t="str">
        <f>IFERROR(__xludf.DUMMYFUNCTION("""COMPUTED_VALUE"""),"")</f>
        <v/>
      </c>
      <c r="P4532" s="17" t="str">
        <f>IFERROR(__xludf.DUMMYFUNCTION("""COMPUTED_VALUE"""),"")</f>
        <v/>
      </c>
      <c r="Q4532" s="17" t="str">
        <f>IFERROR(__xludf.DUMMYFUNCTION("""COMPUTED_VALUE"""),"")</f>
        <v/>
      </c>
      <c r="R4532" s="17" t="str">
        <f>IFERROR(__xludf.DUMMYFUNCTION("""COMPUTED_VALUE"""),"")</f>
        <v/>
      </c>
    </row>
    <row r="4533">
      <c r="A4533" s="15">
        <f>IFERROR(__xludf.DUMMYFUNCTION("""COMPUTED_VALUE"""),45133.0)</f>
        <v>45133</v>
      </c>
      <c r="B4533" s="16" t="str">
        <f>IFERROR(__xludf.DUMMYFUNCTION("""COMPUTED_VALUE"""),"Jeison Rubiano")</f>
        <v>Jeison Rubiano</v>
      </c>
      <c r="C4533" s="15" t="str">
        <f>IFERROR(__xludf.DUMMYFUNCTION("""COMPUTED_VALUE"""),"BOGOTÁ")</f>
        <v>BOGOTÁ</v>
      </c>
      <c r="D4533" s="15" t="str">
        <f>IFERROR(__xludf.DUMMYFUNCTION("""COMPUTED_VALUE"""),"MEDELLÍN")</f>
        <v>MEDELLÍN</v>
      </c>
      <c r="E4533" s="15" t="str">
        <f>IFERROR(__xludf.DUMMYFUNCTION("""COMPUTED_VALUE"""),"AREPAS LA MARY")</f>
        <v>AREPAS LA MARY</v>
      </c>
      <c r="F4533" s="17" t="str">
        <f>IFERROR(__xludf.DUMMYFUNCTION("""COMPUTED_VALUE"""),"calle 182 # 45 -85 / aticos de la sabana 3")</f>
        <v>calle 182 # 45 -85 / aticos de la sabana 3</v>
      </c>
      <c r="G4533" s="15" t="str">
        <f>IFERROR(__xludf.DUMMYFUNCTION("""COMPUTED_VALUE"""),"valeria martinez")</f>
        <v>valeria martinez</v>
      </c>
      <c r="H4533" s="16">
        <f>IFERROR(__xludf.DUMMYFUNCTION("""COMPUTED_VALUE"""),13189.0)</f>
        <v>13189</v>
      </c>
      <c r="I4533" s="18">
        <f>IFERROR(__xludf.DUMMYFUNCTION("""COMPUTED_VALUE"""),89.0)</f>
        <v>89</v>
      </c>
      <c r="J4533" s="18">
        <f>IFERROR(__xludf.DUMMYFUNCTION("""COMPUTED_VALUE"""),1.0)</f>
        <v>1</v>
      </c>
      <c r="K4533" s="18">
        <f>IFERROR(__xludf.DUMMYFUNCTION("""COMPUTED_VALUE"""),10.0)</f>
        <v>10</v>
      </c>
      <c r="L4533" s="17">
        <f>IFERROR(__xludf.DUMMYFUNCTION("""COMPUTED_VALUE"""),3.002877718E9)</f>
        <v>3002877718</v>
      </c>
      <c r="M4533" s="17" t="str">
        <f>IFERROR(__xludf.DUMMYFUNCTION("""COMPUTED_VALUE"""),"#REF!")</f>
        <v>#REF!</v>
      </c>
      <c r="N4533" s="17"/>
      <c r="O4533" s="17"/>
      <c r="P4533" s="17" t="b">
        <f>IFERROR(__xludf.DUMMYFUNCTION("""COMPUTED_VALUE"""),FALSE)</f>
        <v>0</v>
      </c>
      <c r="Q4533" s="20" t="str">
        <f>IFERROR(__xludf.DUMMYFUNCTION("""COMPUTED_VALUE"""),"")</f>
        <v/>
      </c>
      <c r="R4533" s="21" t="str">
        <f>IFERROR(__xludf.DUMMYFUNCTION("""COMPUTED_VALUE"""),"https://drive.google.com/file/d/1ydVxz7zBowZ92johZUw7F8eKbJqe_LkV/view?usp=drivesdk")</f>
        <v>https://drive.google.com/file/d/1ydVxz7zBowZ92johZUw7F8eKbJqe_LkV/view?usp=drivesdk</v>
      </c>
    </row>
    <row r="4534">
      <c r="A4534" s="15">
        <f>IFERROR(__xludf.DUMMYFUNCTION("""COMPUTED_VALUE"""),45133.0)</f>
        <v>45133</v>
      </c>
      <c r="B4534" s="16" t="str">
        <f>IFERROR(__xludf.DUMMYFUNCTION("""COMPUTED_VALUE"""),"Jeison Rubiano")</f>
        <v>Jeison Rubiano</v>
      </c>
      <c r="C4534" s="15" t="str">
        <f>IFERROR(__xludf.DUMMYFUNCTION("""COMPUTED_VALUE"""),"BOGOTÁ")</f>
        <v>BOGOTÁ</v>
      </c>
      <c r="D4534" s="15" t="str">
        <f>IFERROR(__xludf.DUMMYFUNCTION("""COMPUTED_VALUE"""),"MEDELLÍN")</f>
        <v>MEDELLÍN</v>
      </c>
      <c r="E4534" s="15" t="str">
        <f>IFERROR(__xludf.DUMMYFUNCTION("""COMPUTED_VALUE"""),"AREPAS LA MARY")</f>
        <v>AREPAS LA MARY</v>
      </c>
      <c r="F4534" s="17" t="str">
        <f>IFERROR(__xludf.DUMMYFUNCTION("""COMPUTED_VALUE"""),"Calle 67 No 78 H 79 / Bosa San Pablo 1 er Sector BOGOTA")</f>
        <v>Calle 67 No 78 H 79 / Bosa San Pablo 1 er Sector BOGOTA</v>
      </c>
      <c r="G4534" s="15" t="str">
        <f>IFERROR(__xludf.DUMMYFUNCTION("""COMPUTED_VALUE"""),"JAVIER GALEANO")</f>
        <v>JAVIER GALEANO</v>
      </c>
      <c r="H4534" s="16">
        <f>IFERROR(__xludf.DUMMYFUNCTION("""COMPUTED_VALUE"""),13187.0)</f>
        <v>13187</v>
      </c>
      <c r="I4534" s="18">
        <f>IFERROR(__xludf.DUMMYFUNCTION("""COMPUTED_VALUE"""),89.0)</f>
        <v>89</v>
      </c>
      <c r="J4534" s="18">
        <f>IFERROR(__xludf.DUMMYFUNCTION("""COMPUTED_VALUE"""),1.0)</f>
        <v>1</v>
      </c>
      <c r="K4534" s="18">
        <f>IFERROR(__xludf.DUMMYFUNCTION("""COMPUTED_VALUE"""),10.0)</f>
        <v>10</v>
      </c>
      <c r="L4534" s="17">
        <f>IFERROR(__xludf.DUMMYFUNCTION("""COMPUTED_VALUE"""),3.292262879E9)</f>
        <v>3292262879</v>
      </c>
      <c r="M4534" s="17" t="str">
        <f>IFERROR(__xludf.DUMMYFUNCTION("""COMPUTED_VALUE"""),"#REF!")</f>
        <v>#REF!</v>
      </c>
      <c r="N4534" s="17"/>
      <c r="O4534" s="17"/>
      <c r="P4534" s="17" t="b">
        <f>IFERROR(__xludf.DUMMYFUNCTION("""COMPUTED_VALUE"""),FALSE)</f>
        <v>0</v>
      </c>
      <c r="Q4534" s="20" t="str">
        <f>IFERROR(__xludf.DUMMYFUNCTION("""COMPUTED_VALUE"""),"")</f>
        <v/>
      </c>
      <c r="R4534" s="22" t="str">
        <f>IFERROR(__xludf.DUMMYFUNCTION("""COMPUTED_VALUE"""),"")</f>
        <v/>
      </c>
    </row>
    <row r="4535">
      <c r="A4535" s="15">
        <f>IFERROR(__xludf.DUMMYFUNCTION("""COMPUTED_VALUE"""),45133.0)</f>
        <v>45133</v>
      </c>
      <c r="B4535" s="16" t="str">
        <f>IFERROR(__xludf.DUMMYFUNCTION("""COMPUTED_VALUE"""),"Jeison Rubiano")</f>
        <v>Jeison Rubiano</v>
      </c>
      <c r="C4535" s="15" t="str">
        <f>IFERROR(__xludf.DUMMYFUNCTION("""COMPUTED_VALUE"""),"BOGOTÁ")</f>
        <v>BOGOTÁ</v>
      </c>
      <c r="D4535" s="15" t="str">
        <f>IFERROR(__xludf.DUMMYFUNCTION("""COMPUTED_VALUE"""),"MEDELLÍN")</f>
        <v>MEDELLÍN</v>
      </c>
      <c r="E4535" s="15" t="str">
        <f>IFERROR(__xludf.DUMMYFUNCTION("""COMPUTED_VALUE"""),"AREPAS LA MARY")</f>
        <v>AREPAS LA MARY</v>
      </c>
      <c r="F4535" s="17" t="str">
        <f>IFERROR(__xludf.DUMMYFUNCTION("""COMPUTED_VALUE"""),"Carrera 13 No. 86A-17 Apto 402 / BOGOTA CABRERA")</f>
        <v>Carrera 13 No. 86A-17 Apto 402 / BOGOTA CABRERA</v>
      </c>
      <c r="G4535" s="15" t="str">
        <f>IFERROR(__xludf.DUMMYFUNCTION("""COMPUTED_VALUE"""),"CATALINA FIGUEROA")</f>
        <v>CATALINA FIGUEROA</v>
      </c>
      <c r="H4535" s="16">
        <f>IFERROR(__xludf.DUMMYFUNCTION("""COMPUTED_VALUE"""),13190.0)</f>
        <v>13190</v>
      </c>
      <c r="I4535" s="18">
        <f>IFERROR(__xludf.DUMMYFUNCTION("""COMPUTED_VALUE"""),89.0)</f>
        <v>89</v>
      </c>
      <c r="J4535" s="18">
        <f>IFERROR(__xludf.DUMMYFUNCTION("""COMPUTED_VALUE"""),1.0)</f>
        <v>1</v>
      </c>
      <c r="K4535" s="18">
        <f>IFERROR(__xludf.DUMMYFUNCTION("""COMPUTED_VALUE"""),10.0)</f>
        <v>10</v>
      </c>
      <c r="L4535" s="17">
        <f>IFERROR(__xludf.DUMMYFUNCTION("""COMPUTED_VALUE"""),3.168767422E9)</f>
        <v>3168767422</v>
      </c>
      <c r="M4535" s="17" t="str">
        <f>IFERROR(__xludf.DUMMYFUNCTION("""COMPUTED_VALUE"""),"#REF!")</f>
        <v>#REF!</v>
      </c>
      <c r="N4535" s="17"/>
      <c r="O4535" s="17"/>
      <c r="P4535" s="17" t="b">
        <f>IFERROR(__xludf.DUMMYFUNCTION("""COMPUTED_VALUE"""),FALSE)</f>
        <v>0</v>
      </c>
      <c r="Q4535" s="20" t="str">
        <f>IFERROR(__xludf.DUMMYFUNCTION("""COMPUTED_VALUE"""),"")</f>
        <v/>
      </c>
      <c r="R4535" s="21" t="str">
        <f>IFERROR(__xludf.DUMMYFUNCTION("""COMPUTED_VALUE"""),"https://drive.google.com/file/d/1m5efL7eq2Yxjx4WxGsQiI19JFG5l2S_j/view?usp=drivesdk")</f>
        <v>https://drive.google.com/file/d/1m5efL7eq2Yxjx4WxGsQiI19JFG5l2S_j/view?usp=drivesdk</v>
      </c>
    </row>
    <row r="4536">
      <c r="A4536" s="15">
        <f>IFERROR(__xludf.DUMMYFUNCTION("""COMPUTED_VALUE"""),45133.0)</f>
        <v>45133</v>
      </c>
      <c r="B4536" s="16" t="str">
        <f>IFERROR(__xludf.DUMMYFUNCTION("""COMPUTED_VALUE"""),"Jeison Rubiano")</f>
        <v>Jeison Rubiano</v>
      </c>
      <c r="C4536" s="15" t="str">
        <f>IFERROR(__xludf.DUMMYFUNCTION("""COMPUTED_VALUE"""),"BOGOTÁ")</f>
        <v>BOGOTÁ</v>
      </c>
      <c r="D4536" s="15" t="str">
        <f>IFERROR(__xludf.DUMMYFUNCTION("""COMPUTED_VALUE"""),"MEDELLÍN")</f>
        <v>MEDELLÍN</v>
      </c>
      <c r="E4536" s="15" t="str">
        <f>IFERROR(__xludf.DUMMYFUNCTION("""COMPUTED_VALUE"""),"AREPAS LA MARY")</f>
        <v>AREPAS LA MARY</v>
      </c>
      <c r="F4536" s="17" t="str">
        <f>IFERROR(__xludf.DUMMYFUNCTION("""COMPUTED_VALUE"""),"CRA 14B N.106 69 APTO 301 / USAQUEN BOGOTA")</f>
        <v>CRA 14B N.106 69 APTO 301 / USAQUEN BOGOTA</v>
      </c>
      <c r="G4536" s="15" t="str">
        <f>IFERROR(__xludf.DUMMYFUNCTION("""COMPUTED_VALUE"""),"NATALIA ISAZA")</f>
        <v>NATALIA ISAZA</v>
      </c>
      <c r="H4536" s="16">
        <f>IFERROR(__xludf.DUMMYFUNCTION("""COMPUTED_VALUE"""),13191.0)</f>
        <v>13191</v>
      </c>
      <c r="I4536" s="18">
        <f>IFERROR(__xludf.DUMMYFUNCTION("""COMPUTED_VALUE"""),89.0)</f>
        <v>89</v>
      </c>
      <c r="J4536" s="18">
        <f>IFERROR(__xludf.DUMMYFUNCTION("""COMPUTED_VALUE"""),1.0)</f>
        <v>1</v>
      </c>
      <c r="K4536" s="18">
        <f>IFERROR(__xludf.DUMMYFUNCTION("""COMPUTED_VALUE"""),10.0)</f>
        <v>10</v>
      </c>
      <c r="L4536" s="17">
        <f>IFERROR(__xludf.DUMMYFUNCTION("""COMPUTED_VALUE"""),3.134886585E9)</f>
        <v>3134886585</v>
      </c>
      <c r="M4536" s="17" t="str">
        <f>IFERROR(__xludf.DUMMYFUNCTION("""COMPUTED_VALUE"""),"#REF!")</f>
        <v>#REF!</v>
      </c>
      <c r="N4536" s="17"/>
      <c r="O4536" s="17"/>
      <c r="P4536" s="17" t="b">
        <f>IFERROR(__xludf.DUMMYFUNCTION("""COMPUTED_VALUE"""),FALSE)</f>
        <v>0</v>
      </c>
      <c r="Q4536" s="20" t="str">
        <f>IFERROR(__xludf.DUMMYFUNCTION("""COMPUTED_VALUE"""),"")</f>
        <v/>
      </c>
      <c r="R4536" s="21" t="str">
        <f>IFERROR(__xludf.DUMMYFUNCTION("""COMPUTED_VALUE"""),"https://drive.google.com/file/d/10CDgj9kmDy39lL0YNjCmvai9kelPhL8c/view?usp=drivesdk")</f>
        <v>https://drive.google.com/file/d/10CDgj9kmDy39lL0YNjCmvai9kelPhL8c/view?usp=drivesdk</v>
      </c>
    </row>
    <row r="4537">
      <c r="A4537" s="15">
        <f>IFERROR(__xludf.DUMMYFUNCTION("""COMPUTED_VALUE"""),45133.0)</f>
        <v>45133</v>
      </c>
      <c r="B4537" s="16" t="str">
        <f>IFERROR(__xludf.DUMMYFUNCTION("""COMPUTED_VALUE"""),"Jeison Rubiano")</f>
        <v>Jeison Rubiano</v>
      </c>
      <c r="C4537" s="15" t="str">
        <f>IFERROR(__xludf.DUMMYFUNCTION("""COMPUTED_VALUE"""),"BOGOTÁ")</f>
        <v>BOGOTÁ</v>
      </c>
      <c r="D4537" s="15" t="str">
        <f>IFERROR(__xludf.DUMMYFUNCTION("""COMPUTED_VALUE"""),"MEDELLÍN")</f>
        <v>MEDELLÍN</v>
      </c>
      <c r="E4537" s="15" t="str">
        <f>IFERROR(__xludf.DUMMYFUNCTION("""COMPUTED_VALUE"""),"AREPAS LA MARY")</f>
        <v>AREPAS LA MARY</v>
      </c>
      <c r="F4537" s="17" t="str">
        <f>IFERROR(__xludf.DUMMYFUNCTION("""COMPUTED_VALUE"""),"Dg182#20-17 / NORTE BOGOTA")</f>
        <v>Dg182#20-17 / NORTE BOGOTA</v>
      </c>
      <c r="G4537" s="15" t="str">
        <f>IFERROR(__xludf.DUMMYFUNCTION("""COMPUTED_VALUE"""),"NATALIA MEJIA")</f>
        <v>NATALIA MEJIA</v>
      </c>
      <c r="H4537" s="16">
        <f>IFERROR(__xludf.DUMMYFUNCTION("""COMPUTED_VALUE"""),13186.0)</f>
        <v>13186</v>
      </c>
      <c r="I4537" s="18">
        <f>IFERROR(__xludf.DUMMYFUNCTION("""COMPUTED_VALUE"""),89.0)</f>
        <v>89</v>
      </c>
      <c r="J4537" s="18">
        <f>IFERROR(__xludf.DUMMYFUNCTION("""COMPUTED_VALUE"""),1.0)</f>
        <v>1</v>
      </c>
      <c r="K4537" s="18">
        <f>IFERROR(__xludf.DUMMYFUNCTION("""COMPUTED_VALUE"""),10.0)</f>
        <v>10</v>
      </c>
      <c r="L4537" s="17">
        <f>IFERROR(__xludf.DUMMYFUNCTION("""COMPUTED_VALUE"""),3.005508614E9)</f>
        <v>3005508614</v>
      </c>
      <c r="M4537" s="17" t="str">
        <f>IFERROR(__xludf.DUMMYFUNCTION("""COMPUTED_VALUE"""),"#REF!")</f>
        <v>#REF!</v>
      </c>
      <c r="N4537" s="17"/>
      <c r="O4537" s="17"/>
      <c r="P4537" s="17" t="b">
        <f>IFERROR(__xludf.DUMMYFUNCTION("""COMPUTED_VALUE"""),FALSE)</f>
        <v>0</v>
      </c>
      <c r="Q4537" s="20" t="str">
        <f>IFERROR(__xludf.DUMMYFUNCTION("""COMPUTED_VALUE"""),"")</f>
        <v/>
      </c>
      <c r="R4537" s="21" t="str">
        <f>IFERROR(__xludf.DUMMYFUNCTION("""COMPUTED_VALUE"""),"https://drive.google.com/file/d/1bL39-5p5zim5QXbWSVCB8AtZP5OrVEcv/view?usp=drivesdk")</f>
        <v>https://drive.google.com/file/d/1bL39-5p5zim5QXbWSVCB8AtZP5OrVEcv/view?usp=drivesdk</v>
      </c>
    </row>
    <row r="4538">
      <c r="A4538" s="15">
        <f>IFERROR(__xludf.DUMMYFUNCTION("""COMPUTED_VALUE"""),45133.0)</f>
        <v>45133</v>
      </c>
      <c r="B4538" s="16" t="str">
        <f>IFERROR(__xludf.DUMMYFUNCTION("""COMPUTED_VALUE"""),"Jeison Rubiano")</f>
        <v>Jeison Rubiano</v>
      </c>
      <c r="C4538" s="15" t="str">
        <f>IFERROR(__xludf.DUMMYFUNCTION("""COMPUTED_VALUE"""),"BOGOTÁ")</f>
        <v>BOGOTÁ</v>
      </c>
      <c r="D4538" s="15" t="str">
        <f>IFERROR(__xludf.DUMMYFUNCTION("""COMPUTED_VALUE"""),"MEDELLÍN")</f>
        <v>MEDELLÍN</v>
      </c>
      <c r="E4538" s="15" t="str">
        <f>IFERROR(__xludf.DUMMYFUNCTION("""COMPUTED_VALUE"""),"Baby Chef")</f>
        <v>Baby Chef</v>
      </c>
      <c r="F4538" s="17" t="str">
        <f>IFERROR(__xludf.DUMMYFUNCTION("""COMPUTED_VALUE"""),"Calle 137a #98b -04 Altos de San Jorge  Torre 1 apto 401 Bogotá Suba trinitaria / Calle 137a #98b -04 Altos de San Jorge  Torre 1 apto 401 Bogotá Suba trinitaria / Calle 137a #98b -04 Altos de San Jorge  Torre 1 apto 401 Bogotá Suba trinitaria")</f>
        <v>Calle 137a #98b -04 Altos de San Jorge  Torre 1 apto 401 Bogotá Suba trinitaria / Calle 137a #98b -04 Altos de San Jorge  Torre 1 apto 401 Bogotá Suba trinitaria / Calle 137a #98b -04 Altos de San Jorge  Torre 1 apto 401 Bogotá Suba trinitaria</v>
      </c>
      <c r="G4538" s="15" t="str">
        <f>IFERROR(__xludf.DUMMYFUNCTION("""COMPUTED_VALUE"""),"Katerin Fajardo")</f>
        <v>Katerin Fajardo</v>
      </c>
      <c r="H4538" s="16">
        <f>IFERROR(__xludf.DUMMYFUNCTION("""COMPUTED_VALUE"""),13276.0)</f>
        <v>13276</v>
      </c>
      <c r="I4538" s="18">
        <f>IFERROR(__xludf.DUMMYFUNCTION("""COMPUTED_VALUE"""),8.0)</f>
        <v>8</v>
      </c>
      <c r="J4538" s="18">
        <f>IFERROR(__xludf.DUMMYFUNCTION("""COMPUTED_VALUE"""),37.0)</f>
        <v>37</v>
      </c>
      <c r="K4538" s="18">
        <f>IFERROR(__xludf.DUMMYFUNCTION("""COMPUTED_VALUE"""),26.0)</f>
        <v>26</v>
      </c>
      <c r="L4538" s="17">
        <f>IFERROR(__xludf.DUMMYFUNCTION("""COMPUTED_VALUE"""),3.21414278E9)</f>
        <v>3214142780</v>
      </c>
      <c r="M4538" s="17" t="str">
        <f>IFERROR(__xludf.DUMMYFUNCTION("""COMPUTED_VALUE"""),"#REF!")</f>
        <v>#REF!</v>
      </c>
      <c r="N4538" s="17"/>
      <c r="O4538" s="17"/>
      <c r="P4538" s="17" t="b">
        <f>IFERROR(__xludf.DUMMYFUNCTION("""COMPUTED_VALUE"""),FALSE)</f>
        <v>0</v>
      </c>
      <c r="Q4538" s="20" t="str">
        <f>IFERROR(__xludf.DUMMYFUNCTION("""COMPUTED_VALUE"""),"")</f>
        <v/>
      </c>
      <c r="R4538" s="21" t="str">
        <f>IFERROR(__xludf.DUMMYFUNCTION("""COMPUTED_VALUE"""),"https://drive.google.com/file/d/1VH8jqIP974th1EL_5tvFGhy9QC9JUe1L/view?usp=drivesdk")</f>
        <v>https://drive.google.com/file/d/1VH8jqIP974th1EL_5tvFGhy9QC9JUe1L/view?usp=drivesdk</v>
      </c>
    </row>
    <row r="4539">
      <c r="A4539" s="15">
        <f>IFERROR(__xludf.DUMMYFUNCTION("""COMPUTED_VALUE"""),45133.0)</f>
        <v>45133</v>
      </c>
      <c r="B4539" s="16" t="str">
        <f>IFERROR(__xludf.DUMMYFUNCTION("""COMPUTED_VALUE"""),"Jeison Rubiano")</f>
        <v>Jeison Rubiano</v>
      </c>
      <c r="C4539" s="15" t="str">
        <f>IFERROR(__xludf.DUMMYFUNCTION("""COMPUTED_VALUE"""),"BOGOTÁ")</f>
        <v>BOGOTÁ</v>
      </c>
      <c r="D4539" s="15" t="str">
        <f>IFERROR(__xludf.DUMMYFUNCTION("""COMPUTED_VALUE"""),"MEDELLÍN")</f>
        <v>MEDELLÍN</v>
      </c>
      <c r="E4539" s="15" t="str">
        <f>IFERROR(__xludf.DUMMYFUNCTION("""COMPUTED_VALUE"""),"Baby Chef")</f>
        <v>Baby Chef</v>
      </c>
      <c r="F4539" s="17" t="str">
        <f>IFERROR(__xludf.DUMMYFUNCTION("""COMPUTED_VALUE"""),"Calle 64#8-41 Apto 104 / ""Calle 64#8-41 Apto 104"" / ""Calle 64#8-41 Apto 104""")</f>
        <v>Calle 64#8-41 Apto 104 / "Calle 64#8-41 Apto 104" / "Calle 64#8-41 Apto 104"</v>
      </c>
      <c r="G4539" s="15" t="str">
        <f>IFERROR(__xludf.DUMMYFUNCTION("""COMPUTED_VALUE"""),"Alejandra Tovar Gómez")</f>
        <v>Alejandra Tovar Gómez</v>
      </c>
      <c r="H4539" s="16">
        <f>IFERROR(__xludf.DUMMYFUNCTION("""COMPUTED_VALUE"""),13284.0)</f>
        <v>13284</v>
      </c>
      <c r="I4539" s="18">
        <f>IFERROR(__xludf.DUMMYFUNCTION("""COMPUTED_VALUE"""),8.0)</f>
        <v>8</v>
      </c>
      <c r="J4539" s="18">
        <f>IFERROR(__xludf.DUMMYFUNCTION("""COMPUTED_VALUE"""),38.0)</f>
        <v>38</v>
      </c>
      <c r="K4539" s="18">
        <f>IFERROR(__xludf.DUMMYFUNCTION("""COMPUTED_VALUE"""),27.0)</f>
        <v>27</v>
      </c>
      <c r="L4539" s="17">
        <f>IFERROR(__xludf.DUMMYFUNCTION("""COMPUTED_VALUE"""),3.106534591E9)</f>
        <v>3106534591</v>
      </c>
      <c r="M4539" s="17" t="str">
        <f>IFERROR(__xludf.DUMMYFUNCTION("""COMPUTED_VALUE"""),"#REF!")</f>
        <v>#REF!</v>
      </c>
      <c r="N4539" s="17"/>
      <c r="O4539" s="17"/>
      <c r="P4539" s="17" t="b">
        <f>IFERROR(__xludf.DUMMYFUNCTION("""COMPUTED_VALUE"""),FALSE)</f>
        <v>0</v>
      </c>
      <c r="Q4539" s="20" t="str">
        <f>IFERROR(__xludf.DUMMYFUNCTION("""COMPUTED_VALUE"""),"")</f>
        <v/>
      </c>
      <c r="R4539" s="21" t="str">
        <f>IFERROR(__xludf.DUMMYFUNCTION("""COMPUTED_VALUE"""),"https://drive.google.com/file/d/13Rg3Z7pIkr-D2N2SL7Yyjp9OXIveFkoD/view?usp=drivesdk")</f>
        <v>https://drive.google.com/file/d/13Rg3Z7pIkr-D2N2SL7Yyjp9OXIveFkoD/view?usp=drivesdk</v>
      </c>
    </row>
    <row r="4540">
      <c r="A4540" s="15">
        <f>IFERROR(__xludf.DUMMYFUNCTION("""COMPUTED_VALUE"""),45133.0)</f>
        <v>45133</v>
      </c>
      <c r="B4540" s="16" t="str">
        <f>IFERROR(__xludf.DUMMYFUNCTION("""COMPUTED_VALUE"""),"Jeison Rubiano")</f>
        <v>Jeison Rubiano</v>
      </c>
      <c r="C4540" s="15" t="str">
        <f>IFERROR(__xludf.DUMMYFUNCTION("""COMPUTED_VALUE"""),"BOGOTÁ")</f>
        <v>BOGOTÁ</v>
      </c>
      <c r="D4540" s="15" t="str">
        <f>IFERROR(__xludf.DUMMYFUNCTION("""COMPUTED_VALUE"""),"MEDELLÍN")</f>
        <v>MEDELLÍN</v>
      </c>
      <c r="E4540" s="15" t="str">
        <f>IFERROR(__xludf.DUMMYFUNCTION("""COMPUTED_VALUE"""),"Baby Chef")</f>
        <v>Baby Chef</v>
      </c>
      <c r="F4540" s="17" t="str">
        <f>IFERROR(__xludf.DUMMYFUNCTION("""COMPUTED_VALUE"""),"Calle 64c #68b-98 bloque 2 entrada 7 apto 101, unidad residencial el guali. Barrio bloque popular en Bogota / Calle 64c #68b-98 bloque 2 entrada 7 apto 101, unidad residencial el guali. Barrio bloque popular en Bogota / Calle 64c #68b-98 bloque 2 entrada "&amp;"7 apto 101, unidad residencial el guali. Barrio bloque popular en Bogota")</f>
        <v>Calle 64c #68b-98 bloque 2 entrada 7 apto 101, unidad residencial el guali. Barrio bloque popular en Bogota / Calle 64c #68b-98 bloque 2 entrada 7 apto 101, unidad residencial el guali. Barrio bloque popular en Bogota / Calle 64c #68b-98 bloque 2 entrada 7 apto 101, unidad residencial el guali. Barrio bloque popular en Bogota</v>
      </c>
      <c r="G4540" s="15" t="str">
        <f>IFERROR(__xludf.DUMMYFUNCTION("""COMPUTED_VALUE"""),"Tatiana Llorente Altamar")</f>
        <v>Tatiana Llorente Altamar</v>
      </c>
      <c r="H4540" s="16">
        <f>IFERROR(__xludf.DUMMYFUNCTION("""COMPUTED_VALUE"""),13283.0)</f>
        <v>13283</v>
      </c>
      <c r="I4540" s="18">
        <f>IFERROR(__xludf.DUMMYFUNCTION("""COMPUTED_VALUE"""),8.0)</f>
        <v>8</v>
      </c>
      <c r="J4540" s="18">
        <f>IFERROR(__xludf.DUMMYFUNCTION("""COMPUTED_VALUE"""),37.0)</f>
        <v>37</v>
      </c>
      <c r="K4540" s="18">
        <f>IFERROR(__xludf.DUMMYFUNCTION("""COMPUTED_VALUE"""),21.0)</f>
        <v>21</v>
      </c>
      <c r="L4540" s="17">
        <f>IFERROR(__xludf.DUMMYFUNCTION("""COMPUTED_VALUE"""),3.015358509E9)</f>
        <v>3015358509</v>
      </c>
      <c r="M4540" s="17" t="str">
        <f>IFERROR(__xludf.DUMMYFUNCTION("""COMPUTED_VALUE"""),"#REF!")</f>
        <v>#REF!</v>
      </c>
      <c r="N4540" s="17"/>
      <c r="O4540" s="17"/>
      <c r="P4540" s="17" t="b">
        <f>IFERROR(__xludf.DUMMYFUNCTION("""COMPUTED_VALUE"""),FALSE)</f>
        <v>0</v>
      </c>
      <c r="Q4540" s="20" t="str">
        <f>IFERROR(__xludf.DUMMYFUNCTION("""COMPUTED_VALUE"""),"")</f>
        <v/>
      </c>
      <c r="R4540" s="21" t="str">
        <f>IFERROR(__xludf.DUMMYFUNCTION("""COMPUTED_VALUE"""),"https://drive.google.com/file/d/12aLlTLX0NGULErDhfLcvpWy-brgxzpYh/view?usp=drivesdk")</f>
        <v>https://drive.google.com/file/d/12aLlTLX0NGULErDhfLcvpWy-brgxzpYh/view?usp=drivesdk</v>
      </c>
    </row>
    <row r="4541">
      <c r="A4541" s="15">
        <f>IFERROR(__xludf.DUMMYFUNCTION("""COMPUTED_VALUE"""),45133.0)</f>
        <v>45133</v>
      </c>
      <c r="B4541" s="16" t="str">
        <f>IFERROR(__xludf.DUMMYFUNCTION("""COMPUTED_VALUE"""),"Jeison Rubiano")</f>
        <v>Jeison Rubiano</v>
      </c>
      <c r="C4541" s="15" t="str">
        <f>IFERROR(__xludf.DUMMYFUNCTION("""COMPUTED_VALUE"""),"BOGOTÁ")</f>
        <v>BOGOTÁ</v>
      </c>
      <c r="D4541" s="15" t="str">
        <f>IFERROR(__xludf.DUMMYFUNCTION("""COMPUTED_VALUE"""),"MEDELLÍN")</f>
        <v>MEDELLÍN</v>
      </c>
      <c r="E4541" s="15" t="str">
        <f>IFERROR(__xludf.DUMMYFUNCTION("""COMPUTED_VALUE"""),"Baby Chef")</f>
        <v>Baby Chef</v>
      </c>
      <c r="F4541" s="17" t="str">
        <f>IFERROR(__xludf.DUMMYFUNCTION("""COMPUTED_VALUE"""),"Carrera 21 114-20 apto 101 edificio Cerezo / Carrera 21 114-20 apto 101 edificio Cerezo / Carrera 21 114-20 apto 101 edificio Cerezo")</f>
        <v>Carrera 21 114-20 apto 101 edificio Cerezo / Carrera 21 114-20 apto 101 edificio Cerezo / Carrera 21 114-20 apto 101 edificio Cerezo</v>
      </c>
      <c r="G4541" s="15" t="str">
        <f>IFERROR(__xludf.DUMMYFUNCTION("""COMPUTED_VALUE"""),"Laura Martínez")</f>
        <v>Laura Martínez</v>
      </c>
      <c r="H4541" s="16">
        <f>IFERROR(__xludf.DUMMYFUNCTION("""COMPUTED_VALUE"""),13280.0)</f>
        <v>13280</v>
      </c>
      <c r="I4541" s="18">
        <f>IFERROR(__xludf.DUMMYFUNCTION("""COMPUTED_VALUE"""),8.0)</f>
        <v>8</v>
      </c>
      <c r="J4541" s="18">
        <f>IFERROR(__xludf.DUMMYFUNCTION("""COMPUTED_VALUE"""),37.0)</f>
        <v>37</v>
      </c>
      <c r="K4541" s="18">
        <f>IFERROR(__xludf.DUMMYFUNCTION("""COMPUTED_VALUE"""),21.0)</f>
        <v>21</v>
      </c>
      <c r="L4541" s="17">
        <f>IFERROR(__xludf.DUMMYFUNCTION("""COMPUTED_VALUE"""),3.152629963E9)</f>
        <v>3152629963</v>
      </c>
      <c r="M4541" s="17" t="str">
        <f>IFERROR(__xludf.DUMMYFUNCTION("""COMPUTED_VALUE"""),"#REF!")</f>
        <v>#REF!</v>
      </c>
      <c r="N4541" s="17"/>
      <c r="O4541" s="17"/>
      <c r="P4541" s="17" t="b">
        <f>IFERROR(__xludf.DUMMYFUNCTION("""COMPUTED_VALUE"""),FALSE)</f>
        <v>0</v>
      </c>
      <c r="Q4541" s="20" t="str">
        <f>IFERROR(__xludf.DUMMYFUNCTION("""COMPUTED_VALUE"""),"")</f>
        <v/>
      </c>
      <c r="R4541" s="21" t="str">
        <f>IFERROR(__xludf.DUMMYFUNCTION("""COMPUTED_VALUE"""),"https://drive.google.com/file/d/1qIEf44vFcGnDWhAa80KhCWfVBDFH7YWy/view?usp=drivesdk")</f>
        <v>https://drive.google.com/file/d/1qIEf44vFcGnDWhAa80KhCWfVBDFH7YWy/view?usp=drivesdk</v>
      </c>
    </row>
    <row r="4542">
      <c r="A4542" s="15">
        <f>IFERROR(__xludf.DUMMYFUNCTION("""COMPUTED_VALUE"""),45133.0)</f>
        <v>45133</v>
      </c>
      <c r="B4542" s="16" t="str">
        <f>IFERROR(__xludf.DUMMYFUNCTION("""COMPUTED_VALUE"""),"Jeison Rubiano")</f>
        <v>Jeison Rubiano</v>
      </c>
      <c r="C4542" s="15" t="str">
        <f>IFERROR(__xludf.DUMMYFUNCTION("""COMPUTED_VALUE"""),"BOGOTÁ")</f>
        <v>BOGOTÁ</v>
      </c>
      <c r="D4542" s="15" t="str">
        <f>IFERROR(__xludf.DUMMYFUNCTION("""COMPUTED_VALUE"""),"MEDELLÍN")</f>
        <v>MEDELLÍN</v>
      </c>
      <c r="E4542" s="15" t="str">
        <f>IFERROR(__xludf.DUMMYFUNCTION("""COMPUTED_VALUE"""),"Baby Chef")</f>
        <v>Baby Chef</v>
      </c>
      <c r="F4542" s="17" t="str">
        <f>IFERROR(__xludf.DUMMYFUNCTION("""COMPUTED_VALUE"""),"Carrera 72 Bis #147-60 Torre 2 Apto 1803 Barrio Colina Campestre / Carrera 72 Bis #147-60 Torre 2 Apto 1803 Barrio Colina Campestre / Carrera 72 Bis #147-60 Torre 2 Apto 1803 Barrio Colina Campestre")</f>
        <v>Carrera 72 Bis #147-60 Torre 2 Apto 1803 Barrio Colina Campestre / Carrera 72 Bis #147-60 Torre 2 Apto 1803 Barrio Colina Campestre / Carrera 72 Bis #147-60 Torre 2 Apto 1803 Barrio Colina Campestre</v>
      </c>
      <c r="G4542" s="15" t="str">
        <f>IFERROR(__xludf.DUMMYFUNCTION("""COMPUTED_VALUE"""),"Catalina Chaves")</f>
        <v>Catalina Chaves</v>
      </c>
      <c r="H4542" s="16">
        <f>IFERROR(__xludf.DUMMYFUNCTION("""COMPUTED_VALUE"""),13281.0)</f>
        <v>13281</v>
      </c>
      <c r="I4542" s="18">
        <f>IFERROR(__xludf.DUMMYFUNCTION("""COMPUTED_VALUE"""),8.0)</f>
        <v>8</v>
      </c>
      <c r="J4542" s="18">
        <f>IFERROR(__xludf.DUMMYFUNCTION("""COMPUTED_VALUE"""),37.0)</f>
        <v>37</v>
      </c>
      <c r="K4542" s="18">
        <f>IFERROR(__xludf.DUMMYFUNCTION("""COMPUTED_VALUE"""),21.0)</f>
        <v>21</v>
      </c>
      <c r="L4542" s="17">
        <f>IFERROR(__xludf.DUMMYFUNCTION("""COMPUTED_VALUE"""),3.108597529E9)</f>
        <v>3108597529</v>
      </c>
      <c r="M4542" s="17" t="str">
        <f>IFERROR(__xludf.DUMMYFUNCTION("""COMPUTED_VALUE"""),"#REF!")</f>
        <v>#REF!</v>
      </c>
      <c r="N4542" s="17"/>
      <c r="O4542" s="17"/>
      <c r="P4542" s="17" t="b">
        <f>IFERROR(__xludf.DUMMYFUNCTION("""COMPUTED_VALUE"""),FALSE)</f>
        <v>0</v>
      </c>
      <c r="Q4542" s="20" t="str">
        <f>IFERROR(__xludf.DUMMYFUNCTION("""COMPUTED_VALUE"""),"")</f>
        <v/>
      </c>
      <c r="R4542" s="21" t="str">
        <f>IFERROR(__xludf.DUMMYFUNCTION("""COMPUTED_VALUE"""),"https://drive.google.com/file/d/19Lk1ALZIWJPp_nPS-A4qdMmFizl0-TVc/view?usp=drivesdk")</f>
        <v>https://drive.google.com/file/d/19Lk1ALZIWJPp_nPS-A4qdMmFizl0-TVc/view?usp=drivesdk</v>
      </c>
    </row>
    <row r="4543">
      <c r="A4543" s="15">
        <f>IFERROR(__xludf.DUMMYFUNCTION("""COMPUTED_VALUE"""),45133.0)</f>
        <v>45133</v>
      </c>
      <c r="B4543" s="16" t="str">
        <f>IFERROR(__xludf.DUMMYFUNCTION("""COMPUTED_VALUE"""),"Jeison Rubiano")</f>
        <v>Jeison Rubiano</v>
      </c>
      <c r="C4543" s="15" t="str">
        <f>IFERROR(__xludf.DUMMYFUNCTION("""COMPUTED_VALUE"""),"BOGOTÁ")</f>
        <v>BOGOTÁ</v>
      </c>
      <c r="D4543" s="15" t="str">
        <f>IFERROR(__xludf.DUMMYFUNCTION("""COMPUTED_VALUE"""),"MEDELLÍN")</f>
        <v>MEDELLÍN</v>
      </c>
      <c r="E4543" s="15" t="str">
        <f>IFERROR(__xludf.DUMMYFUNCTION("""COMPUTED_VALUE"""),"Baby Chef")</f>
        <v>Baby Chef</v>
      </c>
      <c r="F4543" s="17" t="str">
        <f>IFERROR(__xludf.DUMMYFUNCTION("""COMPUTED_VALUE"""),"Cra 58 # 67-10 Barrio modelo norte / Cra 58 # 67-10 Barrio modelo norte / Cra 58 # 67-10 Barrio modelo norte")</f>
        <v>Cra 58 # 67-10 Barrio modelo norte / Cra 58 # 67-10 Barrio modelo norte / Cra 58 # 67-10 Barrio modelo norte</v>
      </c>
      <c r="G4543" s="15" t="str">
        <f>IFERROR(__xludf.DUMMYFUNCTION("""COMPUTED_VALUE"""),"Paula Caceres Gómez")</f>
        <v>Paula Caceres Gómez</v>
      </c>
      <c r="H4543" s="16">
        <f>IFERROR(__xludf.DUMMYFUNCTION("""COMPUTED_VALUE"""),13278.0)</f>
        <v>13278</v>
      </c>
      <c r="I4543" s="18">
        <f>IFERROR(__xludf.DUMMYFUNCTION("""COMPUTED_VALUE"""),8.0)</f>
        <v>8</v>
      </c>
      <c r="J4543" s="18">
        <f>IFERROR(__xludf.DUMMYFUNCTION("""COMPUTED_VALUE"""),37.0)</f>
        <v>37</v>
      </c>
      <c r="K4543" s="18">
        <f>IFERROR(__xludf.DUMMYFUNCTION("""COMPUTED_VALUE"""),24.0)</f>
        <v>24</v>
      </c>
      <c r="L4543" s="17">
        <f>IFERROR(__xludf.DUMMYFUNCTION("""COMPUTED_VALUE"""),3.017901401E9)</f>
        <v>3017901401</v>
      </c>
      <c r="M4543" s="17" t="str">
        <f>IFERROR(__xludf.DUMMYFUNCTION("""COMPUTED_VALUE"""),"#REF!")</f>
        <v>#REF!</v>
      </c>
      <c r="N4543" s="17"/>
      <c r="O4543" s="17"/>
      <c r="P4543" s="17" t="b">
        <f>IFERROR(__xludf.DUMMYFUNCTION("""COMPUTED_VALUE"""),FALSE)</f>
        <v>0</v>
      </c>
      <c r="Q4543" s="20" t="str">
        <f>IFERROR(__xludf.DUMMYFUNCTION("""COMPUTED_VALUE"""),"")</f>
        <v/>
      </c>
      <c r="R4543" s="22" t="str">
        <f>IFERROR(__xludf.DUMMYFUNCTION("""COMPUTED_VALUE"""),"")</f>
        <v/>
      </c>
    </row>
    <row r="4544">
      <c r="A4544" s="15">
        <f>IFERROR(__xludf.DUMMYFUNCTION("""COMPUTED_VALUE"""),45133.0)</f>
        <v>45133</v>
      </c>
      <c r="B4544" s="16" t="str">
        <f>IFERROR(__xludf.DUMMYFUNCTION("""COMPUTED_VALUE"""),"Jeison Rubiano")</f>
        <v>Jeison Rubiano</v>
      </c>
      <c r="C4544" s="15" t="str">
        <f>IFERROR(__xludf.DUMMYFUNCTION("""COMPUTED_VALUE"""),"BOGOTÁ")</f>
        <v>BOGOTÁ</v>
      </c>
      <c r="D4544" s="15" t="str">
        <f>IFERROR(__xludf.DUMMYFUNCTION("""COMPUTED_VALUE"""),"MEDELLÍN")</f>
        <v>MEDELLÍN</v>
      </c>
      <c r="E4544" s="15" t="str">
        <f>IFERROR(__xludf.DUMMYFUNCTION("""COMPUTED_VALUE"""),"Baby Chef")</f>
        <v>Baby Chef</v>
      </c>
      <c r="F4544" s="17" t="str">
        <f>IFERROR(__xludf.DUMMYFUNCTION("""COMPUTED_VALUE"""),"Cra 62 # 165a 69 torre 4 apto 816 Barrio: Portales del norte Nombre: Tierra Colina / Cra 62 # 165a 69 torre 4 apto 816 Barrio: Portales del norte Nombre: Tierra Colina / Cra 62 # 165a 69 torre 4 apto 816 Barrio: Portales del norte Nombre: Tierra Colina")</f>
        <v>Cra 62 # 165a 69 torre 4 apto 816 Barrio: Portales del norte Nombre: Tierra Colina / Cra 62 # 165a 69 torre 4 apto 816 Barrio: Portales del norte Nombre: Tierra Colina / Cra 62 # 165a 69 torre 4 apto 816 Barrio: Portales del norte Nombre: Tierra Colina</v>
      </c>
      <c r="G4544" s="15" t="str">
        <f>IFERROR(__xludf.DUMMYFUNCTION("""COMPUTED_VALUE"""),"Andrea Gamboa")</f>
        <v>Andrea Gamboa</v>
      </c>
      <c r="H4544" s="16">
        <f>IFERROR(__xludf.DUMMYFUNCTION("""COMPUTED_VALUE"""),13282.0)</f>
        <v>13282</v>
      </c>
      <c r="I4544" s="18">
        <f>IFERROR(__xludf.DUMMYFUNCTION("""COMPUTED_VALUE"""),8.0)</f>
        <v>8</v>
      </c>
      <c r="J4544" s="18">
        <f>IFERROR(__xludf.DUMMYFUNCTION("""COMPUTED_VALUE"""),37.0)</f>
        <v>37</v>
      </c>
      <c r="K4544" s="18">
        <f>IFERROR(__xludf.DUMMYFUNCTION("""COMPUTED_VALUE"""),20.0)</f>
        <v>20</v>
      </c>
      <c r="L4544" s="17">
        <f>IFERROR(__xludf.DUMMYFUNCTION("""COMPUTED_VALUE"""),3.208087485E9)</f>
        <v>3208087485</v>
      </c>
      <c r="M4544" s="17" t="str">
        <f>IFERROR(__xludf.DUMMYFUNCTION("""COMPUTED_VALUE"""),"#REF!")</f>
        <v>#REF!</v>
      </c>
      <c r="N4544" s="17"/>
      <c r="O4544" s="17"/>
      <c r="P4544" s="17" t="b">
        <f>IFERROR(__xludf.DUMMYFUNCTION("""COMPUTED_VALUE"""),FALSE)</f>
        <v>0</v>
      </c>
      <c r="Q4544" s="20" t="str">
        <f>IFERROR(__xludf.DUMMYFUNCTION("""COMPUTED_VALUE"""),"")</f>
        <v/>
      </c>
      <c r="R4544" s="21" t="str">
        <f>IFERROR(__xludf.DUMMYFUNCTION("""COMPUTED_VALUE"""),"https://drive.google.com/file/d/1Vy5XCzlAGwi2k7rHlDX_BdkHJgTHboKk/view?usp=drivesdk")</f>
        <v>https://drive.google.com/file/d/1Vy5XCzlAGwi2k7rHlDX_BdkHJgTHboKk/view?usp=drivesdk</v>
      </c>
    </row>
    <row r="4545">
      <c r="A4545" s="15">
        <f>IFERROR(__xludf.DUMMYFUNCTION("""COMPUTED_VALUE"""),45133.0)</f>
        <v>45133</v>
      </c>
      <c r="B4545" s="16" t="str">
        <f>IFERROR(__xludf.DUMMYFUNCTION("""COMPUTED_VALUE"""),"Jeison Rubiano")</f>
        <v>Jeison Rubiano</v>
      </c>
      <c r="C4545" s="15" t="str">
        <f>IFERROR(__xludf.DUMMYFUNCTION("""COMPUTED_VALUE"""),"BOGOTÁ")</f>
        <v>BOGOTÁ</v>
      </c>
      <c r="D4545" s="15" t="str">
        <f>IFERROR(__xludf.DUMMYFUNCTION("""COMPUTED_VALUE"""),"MEDELLÍN")</f>
        <v>MEDELLÍN</v>
      </c>
      <c r="E4545" s="15" t="str">
        <f>IFERROR(__xludf.DUMMYFUNCTION("""COMPUTED_VALUE"""),"Baby Chef")</f>
        <v>Baby Chef</v>
      </c>
      <c r="F4545" s="17" t="str">
        <f>IFERROR(__xludf.DUMMYFUNCTION("""COMPUTED_VALUE"""),"Cra 70 D 64 38 sur apto 1901 torre 5 Perdomo. Conjunto Parque central Bonavista 2 / Cra 70 D 64 38 sur apto 1901 torre 5 Perdomo. Conjunto Parque central Bonavista 2 / Cra 70 D 64 38 sur apto 1901 torre 5 Perdomo. Conjunto Parque central Bonavista 2")</f>
        <v>Cra 70 D 64 38 sur apto 1901 torre 5 Perdomo. Conjunto Parque central Bonavista 2 / Cra 70 D 64 38 sur apto 1901 torre 5 Perdomo. Conjunto Parque central Bonavista 2 / Cra 70 D 64 38 sur apto 1901 torre 5 Perdomo. Conjunto Parque central Bonavista 2</v>
      </c>
      <c r="G4545" s="15" t="str">
        <f>IFERROR(__xludf.DUMMYFUNCTION("""COMPUTED_VALUE"""),"Ingrid Rodríguez (ENTREGAR ANTES DE LAS 11AM O DESPUÉS DE LAS 3PM)")</f>
        <v>Ingrid Rodríguez (ENTREGAR ANTES DE LAS 11AM O DESPUÉS DE LAS 3PM)</v>
      </c>
      <c r="H4545" s="16">
        <f>IFERROR(__xludf.DUMMYFUNCTION("""COMPUTED_VALUE"""),13277.0)</f>
        <v>13277</v>
      </c>
      <c r="I4545" s="18">
        <f>IFERROR(__xludf.DUMMYFUNCTION("""COMPUTED_VALUE"""),8.0)</f>
        <v>8</v>
      </c>
      <c r="J4545" s="18">
        <f>IFERROR(__xludf.DUMMYFUNCTION("""COMPUTED_VALUE"""),37.0)</f>
        <v>37</v>
      </c>
      <c r="K4545" s="18">
        <f>IFERROR(__xludf.DUMMYFUNCTION("""COMPUTED_VALUE"""),24.0)</f>
        <v>24</v>
      </c>
      <c r="L4545" s="17">
        <f>IFERROR(__xludf.DUMMYFUNCTION("""COMPUTED_VALUE"""),3.138521725E9)</f>
        <v>3138521725</v>
      </c>
      <c r="M4545" s="17" t="str">
        <f>IFERROR(__xludf.DUMMYFUNCTION("""COMPUTED_VALUE"""),"#REF!")</f>
        <v>#REF!</v>
      </c>
      <c r="N4545" s="17"/>
      <c r="O4545" s="17"/>
      <c r="P4545" s="17" t="b">
        <f>IFERROR(__xludf.DUMMYFUNCTION("""COMPUTED_VALUE"""),FALSE)</f>
        <v>0</v>
      </c>
      <c r="Q4545" s="20" t="str">
        <f>IFERROR(__xludf.DUMMYFUNCTION("""COMPUTED_VALUE"""),"")</f>
        <v/>
      </c>
      <c r="R4545" s="21" t="str">
        <f>IFERROR(__xludf.DUMMYFUNCTION("""COMPUTED_VALUE"""),"https://drive.google.com/file/d/1yYTeVMJv8Bp60Z8Z5Nhkpxiud3_HKdmN/view?usp=drivesdk")</f>
        <v>https://drive.google.com/file/d/1yYTeVMJv8Bp60Z8Z5Nhkpxiud3_HKdmN/view?usp=drivesdk</v>
      </c>
    </row>
    <row r="4546">
      <c r="A4546" s="15">
        <f>IFERROR(__xludf.DUMMYFUNCTION("""COMPUTED_VALUE"""),45133.0)</f>
        <v>45133</v>
      </c>
      <c r="B4546" s="16" t="str">
        <f>IFERROR(__xludf.DUMMYFUNCTION("""COMPUTED_VALUE"""),"Jeison Rubiano")</f>
        <v>Jeison Rubiano</v>
      </c>
      <c r="C4546" s="15" t="str">
        <f>IFERROR(__xludf.DUMMYFUNCTION("""COMPUTED_VALUE"""),"BOGOTÁ")</f>
        <v>BOGOTÁ</v>
      </c>
      <c r="D4546" s="15" t="str">
        <f>IFERROR(__xludf.DUMMYFUNCTION("""COMPUTED_VALUE"""),"MEDELLÍN")</f>
        <v>MEDELLÍN</v>
      </c>
      <c r="E4546" s="15" t="str">
        <f>IFERROR(__xludf.DUMMYFUNCTION("""COMPUTED_VALUE"""),"Baby Chef")</f>
        <v>Baby Chef</v>
      </c>
      <c r="F4546" s="17" t="str">
        <f>IFERROR(__xludf.DUMMYFUNCTION("""COMPUTED_VALUE"""),"Cra 77 18 51 Conjunto la arboleda torre 4 apto 402 / ""Cra 77 18 51 Conjunto la arboleda torre 4 apto 402"" / ""Cra 77 18 51 Conjunto la arboleda torre 4 apto 402""")</f>
        <v>Cra 77 18 51 Conjunto la arboleda torre 4 apto 402 / "Cra 77 18 51 Conjunto la arboleda torre 4 apto 402" / "Cra 77 18 51 Conjunto la arboleda torre 4 apto 402"</v>
      </c>
      <c r="G4546" s="15" t="str">
        <f>IFERROR(__xludf.DUMMYFUNCTION("""COMPUTED_VALUE"""),"Kate Figueroa")</f>
        <v>Kate Figueroa</v>
      </c>
      <c r="H4546" s="16">
        <f>IFERROR(__xludf.DUMMYFUNCTION("""COMPUTED_VALUE"""),13279.0)</f>
        <v>13279</v>
      </c>
      <c r="I4546" s="18">
        <f>IFERROR(__xludf.DUMMYFUNCTION("""COMPUTED_VALUE"""),8.0)</f>
        <v>8</v>
      </c>
      <c r="J4546" s="18">
        <f>IFERROR(__xludf.DUMMYFUNCTION("""COMPUTED_VALUE"""),37.0)</f>
        <v>37</v>
      </c>
      <c r="K4546" s="18">
        <f>IFERROR(__xludf.DUMMYFUNCTION("""COMPUTED_VALUE"""),22.0)</f>
        <v>22</v>
      </c>
      <c r="L4546" s="17">
        <f>IFERROR(__xludf.DUMMYFUNCTION("""COMPUTED_VALUE"""),3.502970217E9)</f>
        <v>3502970217</v>
      </c>
      <c r="M4546" s="17" t="str">
        <f>IFERROR(__xludf.DUMMYFUNCTION("""COMPUTED_VALUE"""),"#REF!")</f>
        <v>#REF!</v>
      </c>
      <c r="N4546" s="17"/>
      <c r="O4546" s="17"/>
      <c r="P4546" s="17" t="b">
        <f>IFERROR(__xludf.DUMMYFUNCTION("""COMPUTED_VALUE"""),FALSE)</f>
        <v>0</v>
      </c>
      <c r="Q4546" s="20" t="str">
        <f>IFERROR(__xludf.DUMMYFUNCTION("""COMPUTED_VALUE"""),"")</f>
        <v/>
      </c>
      <c r="R4546" s="21" t="str">
        <f>IFERROR(__xludf.DUMMYFUNCTION("""COMPUTED_VALUE"""),"https://drive.google.com/file/d/1-R6Nt4mp4548SEvDZdkpwS9nNEXowz2J/view?usp=drivesdk")</f>
        <v>https://drive.google.com/file/d/1-R6Nt4mp4548SEvDZdkpwS9nNEXowz2J/view?usp=drivesdk</v>
      </c>
    </row>
    <row r="4547">
      <c r="A4547" s="15">
        <f>IFERROR(__xludf.DUMMYFUNCTION("""COMPUTED_VALUE"""),45133.0)</f>
        <v>45133</v>
      </c>
      <c r="B4547" s="16" t="str">
        <f>IFERROR(__xludf.DUMMYFUNCTION("""COMPUTED_VALUE"""),"Jeison Rubiano")</f>
        <v>Jeison Rubiano</v>
      </c>
      <c r="C4547" s="15" t="str">
        <f>IFERROR(__xludf.DUMMYFUNCTION("""COMPUTED_VALUE"""),"BOGOTÁ")</f>
        <v>BOGOTÁ</v>
      </c>
      <c r="D4547" s="15" t="str">
        <f>IFERROR(__xludf.DUMMYFUNCTION("""COMPUTED_VALUE"""),"MEDELLÍN")</f>
        <v>MEDELLÍN</v>
      </c>
      <c r="E4547" s="15" t="str">
        <f>IFERROR(__xludf.DUMMYFUNCTION("""COMPUTED_VALUE"""),"Baby Chef")</f>
        <v>Baby Chef</v>
      </c>
      <c r="F4547" s="17" t="str">
        <f>IFERROR(__xludf.DUMMYFUNCTION("""COMPUTED_VALUE"""),"transversal 56 #104b-05 apto 503 Edificio el marques CLub House Puente largo / transversal 56 #104b-05 apto 503 Edificio el marques CLub House Puente largo / transversal 56 #104b-05 apto 503 Edificio el marques CLub House Puente largo")</f>
        <v>transversal 56 #104b-05 apto 503 Edificio el marques CLub House Puente largo / transversal 56 #104b-05 apto 503 Edificio el marques CLub House Puente largo / transversal 56 #104b-05 apto 503 Edificio el marques CLub House Puente largo</v>
      </c>
      <c r="G4547" s="15" t="str">
        <f>IFERROR(__xludf.DUMMYFUNCTION("""COMPUTED_VALUE"""),"Julian Sánchez")</f>
        <v>Julian Sánchez</v>
      </c>
      <c r="H4547" s="16">
        <f>IFERROR(__xludf.DUMMYFUNCTION("""COMPUTED_VALUE"""),13275.0)</f>
        <v>13275</v>
      </c>
      <c r="I4547" s="18">
        <f>IFERROR(__xludf.DUMMYFUNCTION("""COMPUTED_VALUE"""),8.0)</f>
        <v>8</v>
      </c>
      <c r="J4547" s="18">
        <f>IFERROR(__xludf.DUMMYFUNCTION("""COMPUTED_VALUE"""),38.0)</f>
        <v>38</v>
      </c>
      <c r="K4547" s="18">
        <f>IFERROR(__xludf.DUMMYFUNCTION("""COMPUTED_VALUE"""),22.0)</f>
        <v>22</v>
      </c>
      <c r="L4547" s="17">
        <f>IFERROR(__xludf.DUMMYFUNCTION("""COMPUTED_VALUE"""),3.153094127E9)</f>
        <v>3153094127</v>
      </c>
      <c r="M4547" s="17" t="str">
        <f>IFERROR(__xludf.DUMMYFUNCTION("""COMPUTED_VALUE"""),"#REF!")</f>
        <v>#REF!</v>
      </c>
      <c r="N4547" s="17"/>
      <c r="O4547" s="17"/>
      <c r="P4547" s="17" t="b">
        <f>IFERROR(__xludf.DUMMYFUNCTION("""COMPUTED_VALUE"""),FALSE)</f>
        <v>0</v>
      </c>
      <c r="Q4547" s="20" t="str">
        <f>IFERROR(__xludf.DUMMYFUNCTION("""COMPUTED_VALUE"""),"")</f>
        <v/>
      </c>
      <c r="R4547" s="21" t="str">
        <f>IFERROR(__xludf.DUMMYFUNCTION("""COMPUTED_VALUE"""),"https://drive.google.com/file/d/1V4GMEs4bJ5UO8fIok48Hl9SKCXsxp99a/view?usp=drivesdk")</f>
        <v>https://drive.google.com/file/d/1V4GMEs4bJ5UO8fIok48Hl9SKCXsxp99a/view?usp=drivesdk</v>
      </c>
    </row>
    <row r="4548">
      <c r="A4548" s="15">
        <f>IFERROR(__xludf.DUMMYFUNCTION("""COMPUTED_VALUE"""),45133.0)</f>
        <v>45133</v>
      </c>
      <c r="B4548" s="16" t="str">
        <f>IFERROR(__xludf.DUMMYFUNCTION("""COMPUTED_VALUE"""),"Jeison Rubiano")</f>
        <v>Jeison Rubiano</v>
      </c>
      <c r="C4548" s="15" t="str">
        <f>IFERROR(__xludf.DUMMYFUNCTION("""COMPUTED_VALUE"""),"BOGOTÁ")</f>
        <v>BOGOTÁ</v>
      </c>
      <c r="D4548" s="15" t="str">
        <f>IFERROR(__xludf.DUMMYFUNCTION("""COMPUTED_VALUE"""),"MEDELLÍN")</f>
        <v>MEDELLÍN</v>
      </c>
      <c r="E4548" s="15" t="str">
        <f>IFERROR(__xludf.DUMMYFUNCTION("""COMPUTED_VALUE"""),"Goyo Todo por ellos")</f>
        <v>Goyo Todo por ellos</v>
      </c>
      <c r="F4548" s="17" t="str">
        <f>IFERROR(__xludf.DUMMYFUNCTION("""COMPUTED_VALUE"""),"Calle 118 #18C-13 / Edificio Balcones de la Sierra Apto 203 / Santa Barbara Usaquen")</f>
        <v>Calle 118 #18C-13 / Edificio Balcones de la Sierra Apto 203 / Santa Barbara Usaquen</v>
      </c>
      <c r="G4548" s="15" t="str">
        <f>IFERROR(__xludf.DUMMYFUNCTION("""COMPUTED_VALUE"""),"Eliana Dellan L")</f>
        <v>Eliana Dellan L</v>
      </c>
      <c r="H4548" s="16">
        <f>IFERROR(__xludf.DUMMYFUNCTION("""COMPUTED_VALUE"""),13269.0)</f>
        <v>13269</v>
      </c>
      <c r="I4548" s="18">
        <f>IFERROR(__xludf.DUMMYFUNCTION("""COMPUTED_VALUE"""),23.0)</f>
        <v>23</v>
      </c>
      <c r="J4548" s="18">
        <f>IFERROR(__xludf.DUMMYFUNCTION("""COMPUTED_VALUE"""),33.0)</f>
        <v>33</v>
      </c>
      <c r="K4548" s="18">
        <f>IFERROR(__xludf.DUMMYFUNCTION("""COMPUTED_VALUE"""),15.0)</f>
        <v>15</v>
      </c>
      <c r="L4548" s="17">
        <f>IFERROR(__xludf.DUMMYFUNCTION("""COMPUTED_VALUE"""),3.152080018E9)</f>
        <v>3152080018</v>
      </c>
      <c r="M4548" s="17" t="str">
        <f>IFERROR(__xludf.DUMMYFUNCTION("""COMPUTED_VALUE"""),"#REF!")</f>
        <v>#REF!</v>
      </c>
      <c r="N4548" s="17"/>
      <c r="O4548" s="17"/>
      <c r="P4548" s="17" t="b">
        <f>IFERROR(__xludf.DUMMYFUNCTION("""COMPUTED_VALUE"""),FALSE)</f>
        <v>0</v>
      </c>
      <c r="Q4548" s="20" t="str">
        <f>IFERROR(__xludf.DUMMYFUNCTION("""COMPUTED_VALUE"""),"")</f>
        <v/>
      </c>
      <c r="R4548" s="21" t="str">
        <f>IFERROR(__xludf.DUMMYFUNCTION("""COMPUTED_VALUE"""),"https://drive.google.com/file/d/1rsWMWN0PV4Kha1xNP_M67EkocLNlUS5c/view?usp=drivesdk")</f>
        <v>https://drive.google.com/file/d/1rsWMWN0PV4Kha1xNP_M67EkocLNlUS5c/view?usp=drivesdk</v>
      </c>
    </row>
    <row r="4549">
      <c r="A4549" s="15">
        <f>IFERROR(__xludf.DUMMYFUNCTION("""COMPUTED_VALUE"""),45133.0)</f>
        <v>45133</v>
      </c>
      <c r="B4549" s="16" t="str">
        <f>IFERROR(__xludf.DUMMYFUNCTION("""COMPUTED_VALUE"""),"Jeison Rubiano")</f>
        <v>Jeison Rubiano</v>
      </c>
      <c r="C4549" s="15" t="str">
        <f>IFERROR(__xludf.DUMMYFUNCTION("""COMPUTED_VALUE"""),"BOGOTÁ")</f>
        <v>BOGOTÁ</v>
      </c>
      <c r="D4549" s="15" t="str">
        <f>IFERROR(__xludf.DUMMYFUNCTION("""COMPUTED_VALUE"""),"MEDELLÍN")</f>
        <v>MEDELLÍN</v>
      </c>
      <c r="E4549" s="15" t="str">
        <f>IFERROR(__xludf.DUMMYFUNCTION("""COMPUTED_VALUE"""),"Moloso S.A.S")</f>
        <v>Moloso S.A.S</v>
      </c>
      <c r="F4549" s="17" t="str">
        <f>IFERROR(__xludf.DUMMYFUNCTION("""COMPUTED_VALUE"""),"	 CRA 9 BIS 97 06 / APTO 604")</f>
        <v>	 CRA 9 BIS 97 06 / APTO 604</v>
      </c>
      <c r="G4549" s="15" t="str">
        <f>IFERROR(__xludf.DUMMYFUNCTION("""COMPUTED_VALUE"""),"MARIA XIMENA GUZMAN DEL CASTILLO")</f>
        <v>MARIA XIMENA GUZMAN DEL CASTILLO</v>
      </c>
      <c r="H4549" s="16">
        <f>IFERROR(__xludf.DUMMYFUNCTION("""COMPUTED_VALUE"""),13250.0)</f>
        <v>13250</v>
      </c>
      <c r="I4549" s="18">
        <f>IFERROR(__xludf.DUMMYFUNCTION("""COMPUTED_VALUE"""),17.0)</f>
        <v>17</v>
      </c>
      <c r="J4549" s="18">
        <f>IFERROR(__xludf.DUMMYFUNCTION("""COMPUTED_VALUE"""),15.0)</f>
        <v>15</v>
      </c>
      <c r="K4549" s="18">
        <f>IFERROR(__xludf.DUMMYFUNCTION("""COMPUTED_VALUE"""),28.0)</f>
        <v>28</v>
      </c>
      <c r="L4549" s="17" t="str">
        <f>IFERROR(__xludf.DUMMYFUNCTION("""COMPUTED_VALUE"""),"311 2848381")</f>
        <v>311 2848381</v>
      </c>
      <c r="M4549" s="17" t="str">
        <f>IFERROR(__xludf.DUMMYFUNCTION("""COMPUTED_VALUE"""),"#REF!")</f>
        <v>#REF!</v>
      </c>
      <c r="N4549" s="17"/>
      <c r="O4549" s="17"/>
      <c r="P4549" s="17" t="b">
        <f>IFERROR(__xludf.DUMMYFUNCTION("""COMPUTED_VALUE"""),FALSE)</f>
        <v>0</v>
      </c>
      <c r="Q4549" s="20" t="str">
        <f>IFERROR(__xludf.DUMMYFUNCTION("""COMPUTED_VALUE"""),"")</f>
        <v/>
      </c>
      <c r="R4549" s="21" t="str">
        <f>IFERROR(__xludf.DUMMYFUNCTION("""COMPUTED_VALUE"""),"https://drive.google.com/file/d/1uFV9YBsJRmm2IfPAT184_DRkQyVotuHy/view?usp=drivesdk")</f>
        <v>https://drive.google.com/file/d/1uFV9YBsJRmm2IfPAT184_DRkQyVotuHy/view?usp=drivesdk</v>
      </c>
    </row>
    <row r="4550">
      <c r="A4550" s="15">
        <f>IFERROR(__xludf.DUMMYFUNCTION("""COMPUTED_VALUE"""),45133.0)</f>
        <v>45133</v>
      </c>
      <c r="B4550" s="16" t="str">
        <f>IFERROR(__xludf.DUMMYFUNCTION("""COMPUTED_VALUE"""),"Jeison Rubiano")</f>
        <v>Jeison Rubiano</v>
      </c>
      <c r="C4550" s="15" t="str">
        <f>IFERROR(__xludf.DUMMYFUNCTION("""COMPUTED_VALUE"""),"BOGOTÁ")</f>
        <v>BOGOTÁ</v>
      </c>
      <c r="D4550" s="15" t="str">
        <f>IFERROR(__xludf.DUMMYFUNCTION("""COMPUTED_VALUE"""),"MEDELLÍN")</f>
        <v>MEDELLÍN</v>
      </c>
      <c r="E4550" s="15" t="str">
        <f>IFERROR(__xludf.DUMMYFUNCTION("""COMPUTED_VALUE"""),"Moloso S.A.S")</f>
        <v>Moloso S.A.S</v>
      </c>
      <c r="F4550" s="17" t="str">
        <f>IFERROR(__xludf.DUMMYFUNCTION("""COMPUTED_VALUE"""),"CR 65 103 62 / CONJ PORTOBELO 2 AP 505")</f>
        <v>CR 65 103 62 / CONJ PORTOBELO 2 AP 505</v>
      </c>
      <c r="G4550" s="15" t="str">
        <f>IFERROR(__xludf.DUMMYFUNCTION("""COMPUTED_VALUE"""),"CLAUDIA LILIANA SANCHEZ FINO")</f>
        <v>CLAUDIA LILIANA SANCHEZ FINO</v>
      </c>
      <c r="H4550" s="16">
        <f>IFERROR(__xludf.DUMMYFUNCTION("""COMPUTED_VALUE"""),13249.0)</f>
        <v>13249</v>
      </c>
      <c r="I4550" s="18">
        <f>IFERROR(__xludf.DUMMYFUNCTION("""COMPUTED_VALUE"""),17.0)</f>
        <v>17</v>
      </c>
      <c r="J4550" s="18">
        <f>IFERROR(__xludf.DUMMYFUNCTION("""COMPUTED_VALUE"""),15.0)</f>
        <v>15</v>
      </c>
      <c r="K4550" s="18">
        <f>IFERROR(__xludf.DUMMYFUNCTION("""COMPUTED_VALUE"""),28.0)</f>
        <v>28</v>
      </c>
      <c r="L4550" s="17" t="str">
        <f>IFERROR(__xludf.DUMMYFUNCTION("""COMPUTED_VALUE"""),"313 2626232")</f>
        <v>313 2626232</v>
      </c>
      <c r="M4550" s="17" t="str">
        <f>IFERROR(__xludf.DUMMYFUNCTION("""COMPUTED_VALUE"""),"#REF!")</f>
        <v>#REF!</v>
      </c>
      <c r="N4550" s="17"/>
      <c r="O4550" s="17"/>
      <c r="P4550" s="17" t="b">
        <f>IFERROR(__xludf.DUMMYFUNCTION("""COMPUTED_VALUE"""),FALSE)</f>
        <v>0</v>
      </c>
      <c r="Q4550" s="20" t="str">
        <f>IFERROR(__xludf.DUMMYFUNCTION("""COMPUTED_VALUE"""),"")</f>
        <v/>
      </c>
      <c r="R4550" s="21" t="str">
        <f>IFERROR(__xludf.DUMMYFUNCTION("""COMPUTED_VALUE"""),"https://drive.google.com/file/d/10FGlZUlmJNjb4NO0Phw8oBGp4CziG0IR/view?usp=drivesdk")</f>
        <v>https://drive.google.com/file/d/10FGlZUlmJNjb4NO0Phw8oBGp4CziG0IR/view?usp=drivesdk</v>
      </c>
    </row>
    <row r="4551">
      <c r="A4551" s="15">
        <f>IFERROR(__xludf.DUMMYFUNCTION("""COMPUTED_VALUE"""),45133.0)</f>
        <v>45133</v>
      </c>
      <c r="B4551" s="16" t="str">
        <f>IFERROR(__xludf.DUMMYFUNCTION("""COMPUTED_VALUE"""),"Jeison Rubiano")</f>
        <v>Jeison Rubiano</v>
      </c>
      <c r="C4551" s="15" t="str">
        <f>IFERROR(__xludf.DUMMYFUNCTION("""COMPUTED_VALUE"""),"BOGOTÁ")</f>
        <v>BOGOTÁ</v>
      </c>
      <c r="D4551" s="15" t="str">
        <f>IFERROR(__xludf.DUMMYFUNCTION("""COMPUTED_VALUE"""),"MEDELLÍN")</f>
        <v>MEDELLÍN</v>
      </c>
      <c r="E4551" s="15" t="str">
        <f>IFERROR(__xludf.DUMMYFUNCTION("""COMPUTED_VALUE"""),"Terravocado")</f>
        <v>Terravocado</v>
      </c>
      <c r="F4551" s="17" t="str">
        <f>IFERROR(__xludf.DUMMYFUNCTION("""COMPUTED_VALUE"""),"CR 13 #98 - 48 / CHICO NORTE / CHICO NORTE")</f>
        <v>CR 13 #98 - 48 / CHICO NORTE / CHICO NORTE</v>
      </c>
      <c r="G4551" s="15" t="str">
        <f>IFERROR(__xludf.DUMMYFUNCTION("""COMPUTED_VALUE"""),"ALPARKE SAS")</f>
        <v>ALPARKE SAS</v>
      </c>
      <c r="H4551" s="16">
        <f>IFERROR(__xludf.DUMMYFUNCTION("""COMPUTED_VALUE"""),13156.0)</f>
        <v>13156</v>
      </c>
      <c r="I4551" s="18">
        <f>IFERROR(__xludf.DUMMYFUNCTION("""COMPUTED_VALUE"""),20.0)</f>
        <v>20</v>
      </c>
      <c r="J4551" s="18">
        <f>IFERROR(__xludf.DUMMYFUNCTION("""COMPUTED_VALUE"""),24.0)</f>
        <v>24</v>
      </c>
      <c r="K4551" s="18">
        <f>IFERROR(__xludf.DUMMYFUNCTION("""COMPUTED_VALUE"""),34.0)</f>
        <v>34</v>
      </c>
      <c r="L4551" s="17">
        <f>IFERROR(__xludf.DUMMYFUNCTION("""COMPUTED_VALUE"""),3.227737548E9)</f>
        <v>3227737548</v>
      </c>
      <c r="M4551" s="17" t="str">
        <f>IFERROR(__xludf.DUMMYFUNCTION("""COMPUTED_VALUE"""),"#REF!")</f>
        <v>#REF!</v>
      </c>
      <c r="N4551" s="17"/>
      <c r="O4551" s="17"/>
      <c r="P4551" s="17" t="b">
        <f>IFERROR(__xludf.DUMMYFUNCTION("""COMPUTED_VALUE"""),FALSE)</f>
        <v>0</v>
      </c>
      <c r="Q4551" s="20" t="str">
        <f>IFERROR(__xludf.DUMMYFUNCTION("""COMPUTED_VALUE"""),"")</f>
        <v/>
      </c>
      <c r="R4551" s="21" t="str">
        <f>IFERROR(__xludf.DUMMYFUNCTION("""COMPUTED_VALUE"""),"https://drive.google.com/file/d/1apG6t_Fys6f75jpf66yQ9VCGTb5hl0V6/view?usp=drivesdk")</f>
        <v>https://drive.google.com/file/d/1apG6t_Fys6f75jpf66yQ9VCGTb5hl0V6/view?usp=drivesdk</v>
      </c>
    </row>
    <row r="4552">
      <c r="A4552" s="15">
        <f>IFERROR(__xludf.DUMMYFUNCTION("""COMPUTED_VALUE"""),45133.0)</f>
        <v>45133</v>
      </c>
      <c r="B4552" s="16" t="str">
        <f>IFERROR(__xludf.DUMMYFUNCTION("""COMPUTED_VALUE"""),"Jeison Rubiano")</f>
        <v>Jeison Rubiano</v>
      </c>
      <c r="C4552" s="15" t="str">
        <f>IFERROR(__xludf.DUMMYFUNCTION("""COMPUTED_VALUE"""),"MONTERIA")</f>
        <v>MONTERIA</v>
      </c>
      <c r="D4552" s="15" t="str">
        <f>IFERROR(__xludf.DUMMYFUNCTION("""COMPUTED_VALUE"""),"BUCARAMANGA")</f>
        <v>BUCARAMANGA</v>
      </c>
      <c r="E4552" s="15" t="str">
        <f>IFERROR(__xludf.DUMMYFUNCTION("""COMPUTED_VALUE"""),"Yo Como Solito")</f>
        <v>Yo Como Solito</v>
      </c>
      <c r="F4552" s="17" t="str">
        <f>IFERROR(__xludf.DUMMYFUNCTION("""COMPUTED_VALUE"""),"transversal 13B NO. 65-71 TORRE 7 APTO 303 BARRIO LA CASTELLANA  / transversal 13B NO. 65-71 TORRE 7 APTO 303 BARRIO LA CASTELLANA  / transversal 13B NO. 65-71 TORRE 7 APTO 303 BARRIO LA CASTELLANA")</f>
        <v>transversal 13B NO. 65-71 TORRE 7 APTO 303 BARRIO LA CASTELLANA  / transversal 13B NO. 65-71 TORRE 7 APTO 303 BARRIO LA CASTELLANA  / transversal 13B NO. 65-71 TORRE 7 APTO 303 BARRIO LA CASTELLANA</v>
      </c>
      <c r="G4552" s="15" t="str">
        <f>IFERROR(__xludf.DUMMYFUNCTION("""COMPUTED_VALUE"""),"jennifer oviedo lara")</f>
        <v>jennifer oviedo lara</v>
      </c>
      <c r="H4552" s="16">
        <f>IFERROR(__xludf.DUMMYFUNCTION("""COMPUTED_VALUE"""),13043.0)</f>
        <v>13043</v>
      </c>
      <c r="I4552" s="18">
        <f>IFERROR(__xludf.DUMMYFUNCTION("""COMPUTED_VALUE"""),1.0)</f>
        <v>1</v>
      </c>
      <c r="J4552" s="18">
        <f>IFERROR(__xludf.DUMMYFUNCTION("""COMPUTED_VALUE"""),1.0)</f>
        <v>1</v>
      </c>
      <c r="K4552" s="18">
        <f>IFERROR(__xludf.DUMMYFUNCTION("""COMPUTED_VALUE"""),1.0)</f>
        <v>1</v>
      </c>
      <c r="L4552" s="17">
        <f>IFERROR(__xludf.DUMMYFUNCTION("""COMPUTED_VALUE"""),3.013682027E9)</f>
        <v>3013682027</v>
      </c>
      <c r="M4552" s="17" t="str">
        <f>IFERROR(__xludf.DUMMYFUNCTION("""COMPUTED_VALUE"""),"#REF!")</f>
        <v>#REF!</v>
      </c>
      <c r="N4552" s="17"/>
      <c r="O4552" s="17"/>
      <c r="P4552" s="17" t="b">
        <f>IFERROR(__xludf.DUMMYFUNCTION("""COMPUTED_VALUE"""),FALSE)</f>
        <v>0</v>
      </c>
      <c r="Q4552" s="20" t="str">
        <f>IFERROR(__xludf.DUMMYFUNCTION("""COMPUTED_VALUE"""),"")</f>
        <v/>
      </c>
      <c r="R4552" s="21" t="str">
        <f>IFERROR(__xludf.DUMMYFUNCTION("""COMPUTED_VALUE"""),"https://drive.google.com/file/d/1t6ncxv1Fi023rLTcpIoLKODewpr4jBVI/view?usp=drivesdk")</f>
        <v>https://drive.google.com/file/d/1t6ncxv1Fi023rLTcpIoLKODewpr4jBVI/view?usp=drivesdk</v>
      </c>
    </row>
    <row r="4553">
      <c r="A4553" s="15">
        <f>IFERROR(__xludf.DUMMYFUNCTION("""COMPUTED_VALUE"""),45133.0)</f>
        <v>45133</v>
      </c>
      <c r="B4553" s="16" t="str">
        <f>IFERROR(__xludf.DUMMYFUNCTION("""COMPUTED_VALUE"""),"Jeison Rubiano")</f>
        <v>Jeison Rubiano</v>
      </c>
      <c r="C4553" s="15" t="str">
        <f>IFERROR(__xludf.DUMMYFUNCTION("""COMPUTED_VALUE"""),"MONTERIA")</f>
        <v>MONTERIA</v>
      </c>
      <c r="D4553" s="15" t="str">
        <f>IFERROR(__xludf.DUMMYFUNCTION("""COMPUTED_VALUE"""),"MEDELLÍN")</f>
        <v>MEDELLÍN</v>
      </c>
      <c r="E4553" s="15" t="str">
        <f>IFERROR(__xludf.DUMMYFUNCTION("""COMPUTED_VALUE"""),"Rambla")</f>
        <v>Rambla</v>
      </c>
      <c r="F4553" s="17" t="str">
        <f>IFERROR(__xludf.DUMMYFUNCTION("""COMPUTED_VALUE"""),"CALLE 62 #6 45 LC 2 / BARRIO LOS ALCAZARES CR7 / NA")</f>
        <v>CALLE 62 #6 45 LC 2 / BARRIO LOS ALCAZARES CR7 / NA</v>
      </c>
      <c r="G4553" s="15" t="str">
        <f>IFERROR(__xludf.DUMMYFUNCTION("""COMPUTED_VALUE"""),"FELLI RESTAURANTE-")</f>
        <v>FELLI RESTAURANTE-</v>
      </c>
      <c r="H4553" s="16">
        <f>IFERROR(__xludf.DUMMYFUNCTION("""COMPUTED_VALUE"""),13273.0)</f>
        <v>13273</v>
      </c>
      <c r="I4553" s="18">
        <f>IFERROR(__xludf.DUMMYFUNCTION("""COMPUTED_VALUE"""),27.0)</f>
        <v>27</v>
      </c>
      <c r="J4553" s="18">
        <f>IFERROR(__xludf.DUMMYFUNCTION("""COMPUTED_VALUE"""),22.0)</f>
        <v>22</v>
      </c>
      <c r="K4553" s="18">
        <f>IFERROR(__xludf.DUMMYFUNCTION("""COMPUTED_VALUE"""),22.0)</f>
        <v>22</v>
      </c>
      <c r="L4553" s="17">
        <f>IFERROR(__xludf.DUMMYFUNCTION("""COMPUTED_VALUE"""),6.047894758E9)</f>
        <v>6047894758</v>
      </c>
      <c r="M4553" s="17" t="str">
        <f>IFERROR(__xludf.DUMMYFUNCTION("""COMPUTED_VALUE"""),"#REF!")</f>
        <v>#REF!</v>
      </c>
      <c r="N4553" s="17"/>
      <c r="O4553" s="17"/>
      <c r="P4553" s="17" t="b">
        <f>IFERROR(__xludf.DUMMYFUNCTION("""COMPUTED_VALUE"""),FALSE)</f>
        <v>0</v>
      </c>
      <c r="Q4553" s="20" t="str">
        <f>IFERROR(__xludf.DUMMYFUNCTION("""COMPUTED_VALUE"""),"")</f>
        <v/>
      </c>
      <c r="R4553" s="21" t="str">
        <f>IFERROR(__xludf.DUMMYFUNCTION("""COMPUTED_VALUE"""),"https://drive.google.com/file/d/1GenhCbDfcOpc0MMDB0bLROK4z-ftUEog/view?usp=drivesdk")</f>
        <v>https://drive.google.com/file/d/1GenhCbDfcOpc0MMDB0bLROK4z-ftUEog/view?usp=drivesdk</v>
      </c>
    </row>
    <row r="4554">
      <c r="A4554" s="17" t="str">
        <f>IFERROR(__xludf.DUMMYFUNCTION("""COMPUTED_VALUE"""),"")</f>
        <v/>
      </c>
      <c r="B4554" s="17" t="str">
        <f>IFERROR(__xludf.DUMMYFUNCTION("""COMPUTED_VALUE"""),"")</f>
        <v/>
      </c>
      <c r="C4554" s="17" t="str">
        <f>IFERROR(__xludf.DUMMYFUNCTION("""COMPUTED_VALUE"""),"")</f>
        <v/>
      </c>
      <c r="D4554" s="17" t="str">
        <f>IFERROR(__xludf.DUMMYFUNCTION("""COMPUTED_VALUE"""),"")</f>
        <v/>
      </c>
      <c r="E4554" s="17" t="str">
        <f>IFERROR(__xludf.DUMMYFUNCTION("""COMPUTED_VALUE"""),"")</f>
        <v/>
      </c>
      <c r="F4554" s="17" t="str">
        <f>IFERROR(__xludf.DUMMYFUNCTION("""COMPUTED_VALUE"""),"")</f>
        <v/>
      </c>
      <c r="G4554" s="17" t="str">
        <f>IFERROR(__xludf.DUMMYFUNCTION("""COMPUTED_VALUE"""),"")</f>
        <v/>
      </c>
      <c r="H4554" s="17" t="str">
        <f>IFERROR(__xludf.DUMMYFUNCTION("""COMPUTED_VALUE"""),"")</f>
        <v/>
      </c>
      <c r="I4554" s="17" t="str">
        <f>IFERROR(__xludf.DUMMYFUNCTION("""COMPUTED_VALUE"""),"")</f>
        <v/>
      </c>
      <c r="J4554" s="17" t="str">
        <f>IFERROR(__xludf.DUMMYFUNCTION("""COMPUTED_VALUE"""),"")</f>
        <v/>
      </c>
      <c r="K4554" s="17" t="str">
        <f>IFERROR(__xludf.DUMMYFUNCTION("""COMPUTED_VALUE"""),"")</f>
        <v/>
      </c>
      <c r="L4554" s="17" t="str">
        <f>IFERROR(__xludf.DUMMYFUNCTION("""COMPUTED_VALUE"""),"")</f>
        <v/>
      </c>
      <c r="M4554" s="17" t="str">
        <f>IFERROR(__xludf.DUMMYFUNCTION("""COMPUTED_VALUE"""),"")</f>
        <v/>
      </c>
      <c r="N4554" s="17" t="str">
        <f>IFERROR(__xludf.DUMMYFUNCTION("""COMPUTED_VALUE"""),"")</f>
        <v/>
      </c>
      <c r="O4554" s="17" t="str">
        <f>IFERROR(__xludf.DUMMYFUNCTION("""COMPUTED_VALUE"""),"")</f>
        <v/>
      </c>
      <c r="P4554" s="17" t="str">
        <f>IFERROR(__xludf.DUMMYFUNCTION("""COMPUTED_VALUE"""),"")</f>
        <v/>
      </c>
      <c r="Q4554" s="17" t="str">
        <f>IFERROR(__xludf.DUMMYFUNCTION("""COMPUTED_VALUE"""),"")</f>
        <v/>
      </c>
      <c r="R4554" s="17" t="str">
        <f>IFERROR(__xludf.DUMMYFUNCTION("""COMPUTED_VALUE"""),"")</f>
        <v/>
      </c>
    </row>
    <row r="4555">
      <c r="A4555" s="15">
        <f>IFERROR(__xludf.DUMMYFUNCTION("""COMPUTED_VALUE"""),45133.0)</f>
        <v>45133</v>
      </c>
      <c r="B4555" s="16" t="str">
        <f>IFERROR(__xludf.DUMMYFUNCTION("""COMPUTED_VALUE"""),"Johan Alexander Escobar Arroyo ")</f>
        <v>Johan Alexander Escobar Arroyo </v>
      </c>
      <c r="C4555" s="15" t="str">
        <f>IFERROR(__xludf.DUMMYFUNCTION("""COMPUTED_VALUE"""),"CALI")</f>
        <v>CALI</v>
      </c>
      <c r="D4555" s="15" t="str">
        <f>IFERROR(__xludf.DUMMYFUNCTION("""COMPUTED_VALUE"""),"MEDELLÍN")</f>
        <v>MEDELLÍN</v>
      </c>
      <c r="E4555" s="15" t="str">
        <f>IFERROR(__xludf.DUMMYFUNCTION("""COMPUTED_VALUE"""),"Baby Chef")</f>
        <v>Baby Chef</v>
      </c>
      <c r="F4555" s="17" t="str">
        <f>IFERROR(__xludf.DUMMYFUNCTION("""COMPUTED_VALUE"""),"Calle 1 B oeste # 4 A oeste - 201 apto 704 B / Sierra de Normandia  Barrio: Normandia  / Calle 1 B oeste # 4 A oeste - 201 apto 704 B / Sierra de Normandia  Barrio: Normandia  / Calle 1 B oeste # 4 A oeste - 201 apto 704 B / Sierra de Normandia  Barrio: N"&amp;"ormandia")</f>
        <v>Calle 1 B oeste # 4 A oeste - 201 apto 704 B / Sierra de Normandia  Barrio: Normandia  / Calle 1 B oeste # 4 A oeste - 201 apto 704 B / Sierra de Normandia  Barrio: Normandia  / Calle 1 B oeste # 4 A oeste - 201 apto 704 B / Sierra de Normandia  Barrio: Normandia</v>
      </c>
      <c r="G4555" s="15" t="str">
        <f>IFERROR(__xludf.DUMMYFUNCTION("""COMPUTED_VALUE"""),"Carolina Moreno Vaca")</f>
        <v>Carolina Moreno Vaca</v>
      </c>
      <c r="H4555" s="16">
        <f>IFERROR(__xludf.DUMMYFUNCTION("""COMPUTED_VALUE"""),13286.0)</f>
        <v>13286</v>
      </c>
      <c r="I4555" s="18">
        <f>IFERROR(__xludf.DUMMYFUNCTION("""COMPUTED_VALUE"""),8.0)</f>
        <v>8</v>
      </c>
      <c r="J4555" s="18">
        <f>IFERROR(__xludf.DUMMYFUNCTION("""COMPUTED_VALUE"""),36.0)</f>
        <v>36</v>
      </c>
      <c r="K4555" s="18">
        <f>IFERROR(__xludf.DUMMYFUNCTION("""COMPUTED_VALUE"""),23.0)</f>
        <v>23</v>
      </c>
      <c r="L4555" s="17">
        <f>IFERROR(__xludf.DUMMYFUNCTION("""COMPUTED_VALUE"""),3.213438316E9)</f>
        <v>3213438316</v>
      </c>
      <c r="M4555" s="17" t="str">
        <f>IFERROR(__xludf.DUMMYFUNCTION("""COMPUTED_VALUE"""),"#REF!")</f>
        <v>#REF!</v>
      </c>
      <c r="N4555" s="17"/>
      <c r="O4555" s="17"/>
      <c r="P4555" s="17" t="b">
        <f>IFERROR(__xludf.DUMMYFUNCTION("""COMPUTED_VALUE"""),FALSE)</f>
        <v>0</v>
      </c>
      <c r="Q4555" s="20" t="str">
        <f>IFERROR(__xludf.DUMMYFUNCTION("""COMPUTED_VALUE"""),"")</f>
        <v/>
      </c>
      <c r="R4555" s="21" t="str">
        <f>IFERROR(__xludf.DUMMYFUNCTION("""COMPUTED_VALUE"""),"https://drive.google.com/file/d/1LexiSNzRk3NGLjHCgCqqyvDET-wkt37N/view?usp=drivesdk")</f>
        <v>https://drive.google.com/file/d/1LexiSNzRk3NGLjHCgCqqyvDET-wkt37N/view?usp=drivesdk</v>
      </c>
    </row>
    <row r="4556">
      <c r="A4556" s="15">
        <f>IFERROR(__xludf.DUMMYFUNCTION("""COMPUTED_VALUE"""),45133.0)</f>
        <v>45133</v>
      </c>
      <c r="B4556" s="16" t="str">
        <f>IFERROR(__xludf.DUMMYFUNCTION("""COMPUTED_VALUE"""),"Johan Alexander Escobar Arroyo ")</f>
        <v>Johan Alexander Escobar Arroyo </v>
      </c>
      <c r="C4556" s="15" t="str">
        <f>IFERROR(__xludf.DUMMYFUNCTION("""COMPUTED_VALUE"""),"CÚCUTA")</f>
        <v>CÚCUTA</v>
      </c>
      <c r="D4556" s="15" t="str">
        <f>IFERROR(__xludf.DUMMYFUNCTION("""COMPUTED_VALUE"""),"BOGOTÁ")</f>
        <v>BOGOTÁ</v>
      </c>
      <c r="E4556" s="15" t="str">
        <f>IFERROR(__xludf.DUMMYFUNCTION("""COMPUTED_VALUE"""),"Asociacion Agropecuaria Juana Maria")</f>
        <v>Asociacion Agropecuaria Juana Maria</v>
      </c>
      <c r="F4556" s="17" t="str">
        <f>IFERROR(__xludf.DUMMYFUNCTION("""COMPUTED_VALUE"""),"AV. 2E # 15 A -17   PISTACHO FIT MARKET BARRIO CAOBOS")</f>
        <v>AV. 2E # 15 A -17   PISTACHO FIT MARKET BARRIO CAOBOS</v>
      </c>
      <c r="G4556" s="15" t="str">
        <f>IFERROR(__xludf.DUMMYFUNCTION("""COMPUTED_VALUE"""),"DACCY KARINA LOPEZ")</f>
        <v>DACCY KARINA LOPEZ</v>
      </c>
      <c r="H4556" s="16">
        <f>IFERROR(__xludf.DUMMYFUNCTION("""COMPUTED_VALUE"""),13165.0)</f>
        <v>13165</v>
      </c>
      <c r="I4556" s="18" t="str">
        <f>IFERROR(__xludf.DUMMYFUNCTION("""COMPUTED_VALUE"""),"52.5")</f>
        <v>52.5</v>
      </c>
      <c r="J4556" s="18">
        <f>IFERROR(__xludf.DUMMYFUNCTION("""COMPUTED_VALUE"""),45.0)</f>
        <v>45</v>
      </c>
      <c r="K4556" s="18">
        <f>IFERROR(__xludf.DUMMYFUNCTION("""COMPUTED_VALUE"""),55.0)</f>
        <v>55</v>
      </c>
      <c r="L4556" s="17">
        <f>IFERROR(__xludf.DUMMYFUNCTION("""COMPUTED_VALUE"""),3.208615379E9)</f>
        <v>3208615379</v>
      </c>
      <c r="M4556" s="17" t="str">
        <f>IFERROR(__xludf.DUMMYFUNCTION("""COMPUTED_VALUE"""),"#REF!")</f>
        <v>#REF!</v>
      </c>
      <c r="N4556" s="17"/>
      <c r="O4556" s="17"/>
      <c r="P4556" s="17" t="b">
        <f>IFERROR(__xludf.DUMMYFUNCTION("""COMPUTED_VALUE"""),FALSE)</f>
        <v>0</v>
      </c>
      <c r="Q4556" s="20" t="str">
        <f>IFERROR(__xludf.DUMMYFUNCTION("""COMPUTED_VALUE"""),"")</f>
        <v/>
      </c>
      <c r="R4556" s="22" t="str">
        <f>IFERROR(__xludf.DUMMYFUNCTION("""COMPUTED_VALUE"""),"")</f>
        <v/>
      </c>
    </row>
    <row r="4557">
      <c r="A4557" s="15">
        <f>IFERROR(__xludf.DUMMYFUNCTION("""COMPUTED_VALUE"""),45133.0)</f>
        <v>45133</v>
      </c>
      <c r="B4557" s="16" t="str">
        <f>IFERROR(__xludf.DUMMYFUNCTION("""COMPUTED_VALUE"""),"Johan Alexander Escobar Arroyo ")</f>
        <v>Johan Alexander Escobar Arroyo </v>
      </c>
      <c r="C4557" s="15" t="str">
        <f>IFERROR(__xludf.DUMMYFUNCTION("""COMPUTED_VALUE"""),"CÚCUTA")</f>
        <v>CÚCUTA</v>
      </c>
      <c r="D4557" s="15" t="str">
        <f>IFERROR(__xludf.DUMMYFUNCTION("""COMPUTED_VALUE"""),"MEDELLÍN")</f>
        <v>MEDELLÍN</v>
      </c>
      <c r="E4557" s="15" t="str">
        <f>IFERROR(__xludf.DUMMYFUNCTION("""COMPUTED_VALUE"""),"Momo Tea S.A.S Gabriel Echavarría")</f>
        <v>Momo Tea S.A.S Gabriel Echavarría</v>
      </c>
      <c r="F4557" s="17" t="str">
        <f>IFERROR(__xludf.DUMMYFUNCTION("""COMPUTED_VALUE"""),"CL 11 N 16 E 35 / CA B 1")</f>
        <v>CL 11 N 16 E 35 / CA B 1</v>
      </c>
      <c r="G4557" s="15" t="str">
        <f>IFERROR(__xludf.DUMMYFUNCTION("""COMPUTED_VALUE"""),"Gabriel Echavarría")</f>
        <v>Gabriel Echavarría</v>
      </c>
      <c r="H4557" s="16">
        <f>IFERROR(__xludf.DUMMYFUNCTION("""COMPUTED_VALUE"""),13235.0)</f>
        <v>13235</v>
      </c>
      <c r="I4557" s="18">
        <f>IFERROR(__xludf.DUMMYFUNCTION("""COMPUTED_VALUE"""),21.0)</f>
        <v>21</v>
      </c>
      <c r="J4557" s="18">
        <f>IFERROR(__xludf.DUMMYFUNCTION("""COMPUTED_VALUE"""),29.0)</f>
        <v>29</v>
      </c>
      <c r="K4557" s="18">
        <f>IFERROR(__xludf.DUMMYFUNCTION("""COMPUTED_VALUE"""),29.0)</f>
        <v>29</v>
      </c>
      <c r="L4557" s="17">
        <f>IFERROR(__xludf.DUMMYFUNCTION("""COMPUTED_VALUE"""),3.017909548E9)</f>
        <v>3017909548</v>
      </c>
      <c r="M4557" s="17" t="str">
        <f>IFERROR(__xludf.DUMMYFUNCTION("""COMPUTED_VALUE"""),"#REF!")</f>
        <v>#REF!</v>
      </c>
      <c r="N4557" s="17"/>
      <c r="O4557" s="17"/>
      <c r="P4557" s="17" t="b">
        <f>IFERROR(__xludf.DUMMYFUNCTION("""COMPUTED_VALUE"""),TRUE)</f>
        <v>1</v>
      </c>
      <c r="Q4557" s="20">
        <f>IFERROR(__xludf.DUMMYFUNCTION("""COMPUTED_VALUE"""),0.0)</f>
        <v>0</v>
      </c>
      <c r="R4557" s="22" t="str">
        <f>IFERROR(__xludf.DUMMYFUNCTION("""COMPUTED_VALUE"""),"")</f>
        <v/>
      </c>
    </row>
    <row r="4558">
      <c r="A4558" s="17" t="str">
        <f>IFERROR(__xludf.DUMMYFUNCTION("""COMPUTED_VALUE"""),"")</f>
        <v/>
      </c>
      <c r="B4558" s="17" t="str">
        <f>IFERROR(__xludf.DUMMYFUNCTION("""COMPUTED_VALUE"""),"")</f>
        <v/>
      </c>
      <c r="C4558" s="17" t="str">
        <f>IFERROR(__xludf.DUMMYFUNCTION("""COMPUTED_VALUE"""),"")</f>
        <v/>
      </c>
      <c r="D4558" s="17" t="str">
        <f>IFERROR(__xludf.DUMMYFUNCTION("""COMPUTED_VALUE"""),"")</f>
        <v/>
      </c>
      <c r="E4558" s="17" t="str">
        <f>IFERROR(__xludf.DUMMYFUNCTION("""COMPUTED_VALUE"""),"")</f>
        <v/>
      </c>
      <c r="F4558" s="17" t="str">
        <f>IFERROR(__xludf.DUMMYFUNCTION("""COMPUTED_VALUE"""),"")</f>
        <v/>
      </c>
      <c r="G4558" s="17" t="str">
        <f>IFERROR(__xludf.DUMMYFUNCTION("""COMPUTED_VALUE"""),"")</f>
        <v/>
      </c>
      <c r="H4558" s="17" t="str">
        <f>IFERROR(__xludf.DUMMYFUNCTION("""COMPUTED_VALUE"""),"")</f>
        <v/>
      </c>
      <c r="I4558" s="17" t="str">
        <f>IFERROR(__xludf.DUMMYFUNCTION("""COMPUTED_VALUE"""),"")</f>
        <v/>
      </c>
      <c r="J4558" s="17" t="str">
        <f>IFERROR(__xludf.DUMMYFUNCTION("""COMPUTED_VALUE"""),"")</f>
        <v/>
      </c>
      <c r="K4558" s="17" t="str">
        <f>IFERROR(__xludf.DUMMYFUNCTION("""COMPUTED_VALUE"""),"")</f>
        <v/>
      </c>
      <c r="L4558" s="17" t="str">
        <f>IFERROR(__xludf.DUMMYFUNCTION("""COMPUTED_VALUE"""),"")</f>
        <v/>
      </c>
      <c r="M4558" s="17" t="str">
        <f>IFERROR(__xludf.DUMMYFUNCTION("""COMPUTED_VALUE"""),"")</f>
        <v/>
      </c>
      <c r="N4558" s="17" t="str">
        <f>IFERROR(__xludf.DUMMYFUNCTION("""COMPUTED_VALUE"""),"")</f>
        <v/>
      </c>
      <c r="O4558" s="17" t="str">
        <f>IFERROR(__xludf.DUMMYFUNCTION("""COMPUTED_VALUE"""),"")</f>
        <v/>
      </c>
      <c r="P4558" s="17" t="str">
        <f>IFERROR(__xludf.DUMMYFUNCTION("""COMPUTED_VALUE"""),"")</f>
        <v/>
      </c>
      <c r="Q4558" s="17" t="str">
        <f>IFERROR(__xludf.DUMMYFUNCTION("""COMPUTED_VALUE"""),"")</f>
        <v/>
      </c>
      <c r="R4558" s="17" t="str">
        <f>IFERROR(__xludf.DUMMYFUNCTION("""COMPUTED_VALUE"""),"")</f>
        <v/>
      </c>
    </row>
    <row r="4559">
      <c r="A4559" s="15">
        <f>IFERROR(__xludf.DUMMYFUNCTION("""COMPUTED_VALUE"""),45134.0)</f>
        <v>45134</v>
      </c>
      <c r="B4559" s="17"/>
      <c r="C4559" s="15" t="str">
        <f>IFERROR(__xludf.DUMMYFUNCTION("""COMPUTED_VALUE"""),"CALI")</f>
        <v>CALI</v>
      </c>
      <c r="D4559" s="15" t="str">
        <f>IFERROR(__xludf.DUMMYFUNCTION("""COMPUTED_VALUE"""),"BUCARAMANGA")</f>
        <v>BUCARAMANGA</v>
      </c>
      <c r="E4559" s="15" t="str">
        <f>IFERROR(__xludf.DUMMYFUNCTION("""COMPUTED_VALUE"""),"Yo Como Solito")</f>
        <v>Yo Como Solito</v>
      </c>
      <c r="F4559" s="17" t="str">
        <f>IFERROR(__xludf.DUMMYFUNCTION("""COMPUTED_VALUE"""),"CALLE 59 NO.93-130 APTO 604 TORRE 2A UNIDAD TERRACOTA BARRIO: CIUDAD MELENDEZ (VALLE DE LILI) / CALLE 59 NO.93-130 APTO 604 TORRE 2A UNIDAD TERRACOTA BARRIO: CIUDAD MELENDEZ (VALLE DE LILI) / CALLE 59 NO.93-130 APTO 604 TORRE 2A UNIDAD TERRACOTA BARRIO: C"&amp;"IUDAD MELENDEZ (VALLE DE LILI)")</f>
        <v>CALLE 59 NO.93-130 APTO 604 TORRE 2A UNIDAD TERRACOTA BARRIO: CIUDAD MELENDEZ (VALLE DE LILI) / CALLE 59 NO.93-130 APTO 604 TORRE 2A UNIDAD TERRACOTA BARRIO: CIUDAD MELENDEZ (VALLE DE LILI) / CALLE 59 NO.93-130 APTO 604 TORRE 2A UNIDAD TERRACOTA BARRIO: CIUDAD MELENDEZ (VALLE DE LILI)</v>
      </c>
      <c r="G4559" s="15" t="str">
        <f>IFERROR(__xludf.DUMMYFUNCTION("""COMPUTED_VALUE"""),"JIREH RAMOS")</f>
        <v>JIREH RAMOS</v>
      </c>
      <c r="H4559" s="16">
        <f>IFERROR(__xludf.DUMMYFUNCTION("""COMPUTED_VALUE"""),13259.0)</f>
        <v>13259</v>
      </c>
      <c r="I4559" s="18">
        <f>IFERROR(__xludf.DUMMYFUNCTION("""COMPUTED_VALUE"""),13.0)</f>
        <v>13</v>
      </c>
      <c r="J4559" s="18">
        <f>IFERROR(__xludf.DUMMYFUNCTION("""COMPUTED_VALUE"""),21.0)</f>
        <v>21</v>
      </c>
      <c r="K4559" s="18">
        <f>IFERROR(__xludf.DUMMYFUNCTION("""COMPUTED_VALUE"""),30.0)</f>
        <v>30</v>
      </c>
      <c r="L4559" s="17">
        <f>IFERROR(__xludf.DUMMYFUNCTION("""COMPUTED_VALUE"""),3.175170844E9)</f>
        <v>3175170844</v>
      </c>
      <c r="M4559" s="17" t="str">
        <f>IFERROR(__xludf.DUMMYFUNCTION("""COMPUTED_VALUE"""),"#REF!")</f>
        <v>#REF!</v>
      </c>
      <c r="N4559" s="17"/>
      <c r="O4559" s="17"/>
      <c r="P4559" s="17" t="b">
        <f>IFERROR(__xludf.DUMMYFUNCTION("""COMPUTED_VALUE"""),TRUE)</f>
        <v>1</v>
      </c>
      <c r="Q4559" s="20">
        <f>IFERROR(__xludf.DUMMYFUNCTION("""COMPUTED_VALUE"""),0.0)</f>
        <v>0</v>
      </c>
      <c r="R4559" s="22" t="str">
        <f>IFERROR(__xludf.DUMMYFUNCTION("""COMPUTED_VALUE"""),"")</f>
        <v/>
      </c>
    </row>
    <row r="4560">
      <c r="A4560" s="15">
        <f>IFERROR(__xludf.DUMMYFUNCTION("""COMPUTED_VALUE"""),45134.0)</f>
        <v>45134</v>
      </c>
      <c r="B4560" s="17"/>
      <c r="C4560" s="15" t="str">
        <f>IFERROR(__xludf.DUMMYFUNCTION("""COMPUTED_VALUE"""),"PIEDECUESTA")</f>
        <v>PIEDECUESTA</v>
      </c>
      <c r="D4560" s="15" t="str">
        <f>IFERROR(__xludf.DUMMYFUNCTION("""COMPUTED_VALUE"""),"BOGOTÁ")</f>
        <v>BOGOTÁ</v>
      </c>
      <c r="E4560" s="15" t="str">
        <f>IFERROR(__xludf.DUMMYFUNCTION("""COMPUTED_VALUE"""),"Ins. Alimento Vital")</f>
        <v>Ins. Alimento Vital</v>
      </c>
      <c r="F4560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4560" s="15" t="str">
        <f>IFERROR(__xludf.DUMMYFUNCTION("""COMPUTED_VALUE"""),"LORENA GRANADOS BARCO")</f>
        <v>LORENA GRANADOS BARCO</v>
      </c>
      <c r="H4560" s="16">
        <f>IFERROR(__xludf.DUMMYFUNCTION("""COMPUTED_VALUE"""),13292.0)</f>
        <v>13292</v>
      </c>
      <c r="I4560" s="18">
        <f>IFERROR(__xludf.DUMMYFUNCTION("""COMPUTED_VALUE"""),1.0)</f>
        <v>1</v>
      </c>
      <c r="J4560" s="18">
        <f>IFERROR(__xludf.DUMMYFUNCTION("""COMPUTED_VALUE"""),1.0)</f>
        <v>1</v>
      </c>
      <c r="K4560" s="18">
        <f>IFERROR(__xludf.DUMMYFUNCTION("""COMPUTED_VALUE"""),1.0)</f>
        <v>1</v>
      </c>
      <c r="L4560" s="17">
        <f>IFERROR(__xludf.DUMMYFUNCTION("""COMPUTED_VALUE"""),3.003286319E9)</f>
        <v>3003286319</v>
      </c>
      <c r="M4560" s="17" t="str">
        <f>IFERROR(__xludf.DUMMYFUNCTION("""COMPUTED_VALUE"""),"#REF!")</f>
        <v>#REF!</v>
      </c>
      <c r="N4560" s="17"/>
      <c r="O4560" s="17"/>
      <c r="P4560" s="17" t="b">
        <f>IFERROR(__xludf.DUMMYFUNCTION("""COMPUTED_VALUE"""),TRUE)</f>
        <v>1</v>
      </c>
      <c r="Q4560" s="20">
        <f>IFERROR(__xludf.DUMMYFUNCTION("""COMPUTED_VALUE"""),0.0)</f>
        <v>0</v>
      </c>
      <c r="R4560" s="21" t="str">
        <f>IFERROR(__xludf.DUMMYFUNCTION("""COMPUTED_VALUE"""),"https://drive.google.com/file/d/1_Rw9YFxUTj8nc2HGM-WXx7P_8Rlcy5GI/view?usp=drivesdk")</f>
        <v>https://drive.google.com/file/d/1_Rw9YFxUTj8nc2HGM-WXx7P_8Rlcy5GI/view?usp=drivesdk</v>
      </c>
    </row>
    <row r="4561">
      <c r="A4561" s="17" t="str">
        <f>IFERROR(__xludf.DUMMYFUNCTION("""COMPUTED_VALUE"""),"")</f>
        <v/>
      </c>
      <c r="B4561" s="17" t="str">
        <f>IFERROR(__xludf.DUMMYFUNCTION("""COMPUTED_VALUE"""),"")</f>
        <v/>
      </c>
      <c r="C4561" s="17" t="str">
        <f>IFERROR(__xludf.DUMMYFUNCTION("""COMPUTED_VALUE"""),"")</f>
        <v/>
      </c>
      <c r="D4561" s="17" t="str">
        <f>IFERROR(__xludf.DUMMYFUNCTION("""COMPUTED_VALUE"""),"")</f>
        <v/>
      </c>
      <c r="E4561" s="17" t="str">
        <f>IFERROR(__xludf.DUMMYFUNCTION("""COMPUTED_VALUE"""),"")</f>
        <v/>
      </c>
      <c r="F4561" s="17" t="str">
        <f>IFERROR(__xludf.DUMMYFUNCTION("""COMPUTED_VALUE"""),"")</f>
        <v/>
      </c>
      <c r="G4561" s="17" t="str">
        <f>IFERROR(__xludf.DUMMYFUNCTION("""COMPUTED_VALUE"""),"")</f>
        <v/>
      </c>
      <c r="H4561" s="17" t="str">
        <f>IFERROR(__xludf.DUMMYFUNCTION("""COMPUTED_VALUE"""),"")</f>
        <v/>
      </c>
      <c r="I4561" s="17" t="str">
        <f>IFERROR(__xludf.DUMMYFUNCTION("""COMPUTED_VALUE"""),"")</f>
        <v/>
      </c>
      <c r="J4561" s="17" t="str">
        <f>IFERROR(__xludf.DUMMYFUNCTION("""COMPUTED_VALUE"""),"")</f>
        <v/>
      </c>
      <c r="K4561" s="17" t="str">
        <f>IFERROR(__xludf.DUMMYFUNCTION("""COMPUTED_VALUE"""),"")</f>
        <v/>
      </c>
      <c r="L4561" s="17" t="str">
        <f>IFERROR(__xludf.DUMMYFUNCTION("""COMPUTED_VALUE"""),"")</f>
        <v/>
      </c>
      <c r="M4561" s="17" t="str">
        <f>IFERROR(__xludf.DUMMYFUNCTION("""COMPUTED_VALUE"""),"")</f>
        <v/>
      </c>
      <c r="N4561" s="17" t="str">
        <f>IFERROR(__xludf.DUMMYFUNCTION("""COMPUTED_VALUE"""),"")</f>
        <v/>
      </c>
      <c r="O4561" s="17" t="str">
        <f>IFERROR(__xludf.DUMMYFUNCTION("""COMPUTED_VALUE"""),"")</f>
        <v/>
      </c>
      <c r="P4561" s="17" t="str">
        <f>IFERROR(__xludf.DUMMYFUNCTION("""COMPUTED_VALUE"""),"")</f>
        <v/>
      </c>
      <c r="Q4561" s="17" t="str">
        <f>IFERROR(__xludf.DUMMYFUNCTION("""COMPUTED_VALUE"""),"")</f>
        <v/>
      </c>
      <c r="R4561" s="17" t="str">
        <f>IFERROR(__xludf.DUMMYFUNCTION("""COMPUTED_VALUE"""),"")</f>
        <v/>
      </c>
    </row>
    <row r="4562">
      <c r="A4562" s="15">
        <f>IFERROR(__xludf.DUMMYFUNCTION("""COMPUTED_VALUE"""),45134.0)</f>
        <v>45134</v>
      </c>
      <c r="B4562" s="16" t="str">
        <f>IFERROR(__xludf.DUMMYFUNCTION("""COMPUTED_VALUE"""),"David Sanmartin Bello")</f>
        <v>David Sanmartin Bello</v>
      </c>
      <c r="C4562" s="15" t="str">
        <f>IFERROR(__xludf.DUMMYFUNCTION("""COMPUTED_VALUE"""),"CARTAGENA")</f>
        <v>CARTAGENA</v>
      </c>
      <c r="D4562" s="15" t="str">
        <f>IFERROR(__xludf.DUMMYFUNCTION("""COMPUTED_VALUE"""),"BOGOTÁ")</f>
        <v>BOGOTÁ</v>
      </c>
      <c r="E4562" s="15" t="str">
        <f>IFERROR(__xludf.DUMMYFUNCTION("""COMPUTED_VALUE"""),"Evamazzita")</f>
        <v>Evamazzita</v>
      </c>
      <c r="F4562" s="17" t="str">
        <f>IFERROR(__xludf.DUMMYFUNCTION("""COMPUTED_VALUE"""),"Carrera 21#28-83 / Edificio la isla / apto 301 / Barrio Manga")</f>
        <v>Carrera 21#28-83 / Edificio la isla / apto 301 / Barrio Manga</v>
      </c>
      <c r="G4562" s="15" t="str">
        <f>IFERROR(__xludf.DUMMYFUNCTION("""COMPUTED_VALUE"""),"ALIZON PEÑALOZA")</f>
        <v>ALIZON PEÑALOZA</v>
      </c>
      <c r="H4562" s="16">
        <f>IFERROR(__xludf.DUMMYFUNCTION("""COMPUTED_VALUE"""),13257.0)</f>
        <v>13257</v>
      </c>
      <c r="I4562" s="18">
        <f>IFERROR(__xludf.DUMMYFUNCTION("""COMPUTED_VALUE"""),1.0)</f>
        <v>1</v>
      </c>
      <c r="J4562" s="18">
        <f>IFERROR(__xludf.DUMMYFUNCTION("""COMPUTED_VALUE"""),1.0)</f>
        <v>1</v>
      </c>
      <c r="K4562" s="18">
        <f>IFERROR(__xludf.DUMMYFUNCTION("""COMPUTED_VALUE"""),1.0)</f>
        <v>1</v>
      </c>
      <c r="L4562" s="17">
        <f>IFERROR(__xludf.DUMMYFUNCTION("""COMPUTED_VALUE"""),3.105853274E9)</f>
        <v>3105853274</v>
      </c>
      <c r="M4562" s="17" t="str">
        <f>IFERROR(__xludf.DUMMYFUNCTION("""COMPUTED_VALUE"""),"#REF!")</f>
        <v>#REF!</v>
      </c>
      <c r="N4562" s="17"/>
      <c r="O4562" s="17"/>
      <c r="P4562" s="17" t="b">
        <f>IFERROR(__xludf.DUMMYFUNCTION("""COMPUTED_VALUE"""),TRUE)</f>
        <v>1</v>
      </c>
      <c r="Q4562" s="20">
        <f>IFERROR(__xludf.DUMMYFUNCTION("""COMPUTED_VALUE"""),0.0)</f>
        <v>0</v>
      </c>
      <c r="R4562" s="21" t="str">
        <f>IFERROR(__xludf.DUMMYFUNCTION("""COMPUTED_VALUE"""),"https://drive.google.com/file/d/1bT0oa7Y-YTKCsq1Nx5B5IUTc7XSbgaQf/view?usp=drivesdk")</f>
        <v>https://drive.google.com/file/d/1bT0oa7Y-YTKCsq1Nx5B5IUTc7XSbgaQf/view?usp=drivesdk</v>
      </c>
    </row>
    <row r="4563">
      <c r="A4563" s="15">
        <f>IFERROR(__xludf.DUMMYFUNCTION("""COMPUTED_VALUE"""),45134.0)</f>
        <v>45134</v>
      </c>
      <c r="B4563" s="16" t="str">
        <f>IFERROR(__xludf.DUMMYFUNCTION("""COMPUTED_VALUE"""),"David Sanmartin Bello")</f>
        <v>David Sanmartin Bello</v>
      </c>
      <c r="C4563" s="15" t="str">
        <f>IFERROR(__xludf.DUMMYFUNCTION("""COMPUTED_VALUE"""),"CARTAGENA")</f>
        <v>CARTAGENA</v>
      </c>
      <c r="D4563" s="15" t="str">
        <f>IFERROR(__xludf.DUMMYFUNCTION("""COMPUTED_VALUE"""),"BOGOTÁ")</f>
        <v>BOGOTÁ</v>
      </c>
      <c r="E4563" s="15" t="str">
        <f>IFERROR(__xludf.DUMMYFUNCTION("""COMPUTED_VALUE"""),"Evamazzita")</f>
        <v>Evamazzita</v>
      </c>
      <c r="F4563" s="17" t="str">
        <f>IFERROR(__xludf.DUMMYFUNCTION("""COMPUTED_VALUE"""),"Conjunto Copacabana / Torre 4 / Apto 702 / Villa Estrella")</f>
        <v>Conjunto Copacabana / Torre 4 / Apto 702 / Villa Estrella</v>
      </c>
      <c r="G4563" s="15" t="str">
        <f>IFERROR(__xludf.DUMMYFUNCTION("""COMPUTED_VALUE"""),"MARIA JOSE CASTILLA ALCALA")</f>
        <v>MARIA JOSE CASTILLA ALCALA</v>
      </c>
      <c r="H4563" s="16">
        <f>IFERROR(__xludf.DUMMYFUNCTION("""COMPUTED_VALUE"""),13256.0)</f>
        <v>13256</v>
      </c>
      <c r="I4563" s="18">
        <f>IFERROR(__xludf.DUMMYFUNCTION("""COMPUTED_VALUE"""),1.0)</f>
        <v>1</v>
      </c>
      <c r="J4563" s="18">
        <f>IFERROR(__xludf.DUMMYFUNCTION("""COMPUTED_VALUE"""),1.0)</f>
        <v>1</v>
      </c>
      <c r="K4563" s="18">
        <f>IFERROR(__xludf.DUMMYFUNCTION("""COMPUTED_VALUE"""),1.0)</f>
        <v>1</v>
      </c>
      <c r="L4563" s="17">
        <f>IFERROR(__xludf.DUMMYFUNCTION("""COMPUTED_VALUE"""),3.043389229E9)</f>
        <v>3043389229</v>
      </c>
      <c r="M4563" s="17" t="str">
        <f>IFERROR(__xludf.DUMMYFUNCTION("""COMPUTED_VALUE"""),"#REF!")</f>
        <v>#REF!</v>
      </c>
      <c r="N4563" s="17"/>
      <c r="O4563" s="17"/>
      <c r="P4563" s="17" t="b">
        <f>IFERROR(__xludf.DUMMYFUNCTION("""COMPUTED_VALUE"""),TRUE)</f>
        <v>1</v>
      </c>
      <c r="Q4563" s="20">
        <f>IFERROR(__xludf.DUMMYFUNCTION("""COMPUTED_VALUE"""),0.0)</f>
        <v>0</v>
      </c>
      <c r="R4563" s="21" t="str">
        <f>IFERROR(__xludf.DUMMYFUNCTION("""COMPUTED_VALUE"""),"https://drive.google.com/file/d/1Imd4PXauEvwn7IFz1X4Dw0oYfwHnQU7p/view?usp=drivesdk")</f>
        <v>https://drive.google.com/file/d/1Imd4PXauEvwn7IFz1X4Dw0oYfwHnQU7p/view?usp=drivesdk</v>
      </c>
    </row>
    <row r="4564">
      <c r="A4564" s="15">
        <f>IFERROR(__xludf.DUMMYFUNCTION("""COMPUTED_VALUE"""),45134.0)</f>
        <v>45134</v>
      </c>
      <c r="B4564" s="16" t="str">
        <f>IFERROR(__xludf.DUMMYFUNCTION("""COMPUTED_VALUE"""),"David Sanmartin Bello")</f>
        <v>David Sanmartin Bello</v>
      </c>
      <c r="C4564" s="15" t="str">
        <f>IFERROR(__xludf.DUMMYFUNCTION("""COMPUTED_VALUE"""),"CARTAGENA")</f>
        <v>CARTAGENA</v>
      </c>
      <c r="D4564" s="15" t="str">
        <f>IFERROR(__xludf.DUMMYFUNCTION("""COMPUTED_VALUE"""),"BOGOTÁ")</f>
        <v>BOGOTÁ</v>
      </c>
      <c r="E4564" s="15" t="str">
        <f>IFERROR(__xludf.DUMMYFUNCTION("""COMPUTED_VALUE"""),"Pan de Waffle")</f>
        <v>Pan de Waffle</v>
      </c>
      <c r="F4564" s="17" t="str">
        <f>IFERROR(__xludf.DUMMYFUNCTION("""COMPUTED_VALUE"""),"M3 L144 Barrio San Francisco / M3 L144 Barrio San Francisco / M3 L144 Barrio San Francisco")</f>
        <v>M3 L144 Barrio San Francisco / M3 L144 Barrio San Francisco / M3 L144 Barrio San Francisco</v>
      </c>
      <c r="G4564" s="15" t="str">
        <f>IFERROR(__xludf.DUMMYFUNCTION("""COMPUTED_VALUE"""),"VIVO FIT MARKET SALUDABLE")</f>
        <v>VIVO FIT MARKET SALUDABLE</v>
      </c>
      <c r="H4564" s="16">
        <f>IFERROR(__xludf.DUMMYFUNCTION("""COMPUTED_VALUE"""),13226.0)</f>
        <v>13226</v>
      </c>
      <c r="I4564" s="18">
        <f>IFERROR(__xludf.DUMMYFUNCTION("""COMPUTED_VALUE"""),40.0)</f>
        <v>40</v>
      </c>
      <c r="J4564" s="18">
        <f>IFERROR(__xludf.DUMMYFUNCTION("""COMPUTED_VALUE"""),30.0)</f>
        <v>30</v>
      </c>
      <c r="K4564" s="18">
        <f>IFERROR(__xludf.DUMMYFUNCTION("""COMPUTED_VALUE"""),40.0)</f>
        <v>40</v>
      </c>
      <c r="L4564" s="17">
        <f>IFERROR(__xludf.DUMMYFUNCTION("""COMPUTED_VALUE"""),3.246187373E9)</f>
        <v>3246187373</v>
      </c>
      <c r="M4564" s="17" t="str">
        <f>IFERROR(__xludf.DUMMYFUNCTION("""COMPUTED_VALUE"""),"#REF!")</f>
        <v>#REF!</v>
      </c>
      <c r="N4564" s="17"/>
      <c r="O4564" s="17"/>
      <c r="P4564" s="17" t="b">
        <f>IFERROR(__xludf.DUMMYFUNCTION("""COMPUTED_VALUE"""),TRUE)</f>
        <v>1</v>
      </c>
      <c r="Q4564" s="20">
        <f>IFERROR(__xludf.DUMMYFUNCTION("""COMPUTED_VALUE"""),0.0)</f>
        <v>0</v>
      </c>
      <c r="R4564" s="21" t="str">
        <f>IFERROR(__xludf.DUMMYFUNCTION("""COMPUTED_VALUE"""),"https://drive.google.com/file/d/1uv8Cqqu32CjkZdOmdMmDcXIICuy6dTDq/view?usp=drivesdk")</f>
        <v>https://drive.google.com/file/d/1uv8Cqqu32CjkZdOmdMmDcXIICuy6dTDq/view?usp=drivesdk</v>
      </c>
    </row>
    <row r="4565">
      <c r="A4565" s="15">
        <f>IFERROR(__xludf.DUMMYFUNCTION("""COMPUTED_VALUE"""),45134.0)</f>
        <v>45134</v>
      </c>
      <c r="B4565" s="16" t="str">
        <f>IFERROR(__xludf.DUMMYFUNCTION("""COMPUTED_VALUE"""),"David Sanmartin Bello")</f>
        <v>David Sanmartin Bello</v>
      </c>
      <c r="C4565" s="15" t="str">
        <f>IFERROR(__xludf.DUMMYFUNCTION("""COMPUTED_VALUE"""),"CARTAGENA")</f>
        <v>CARTAGENA</v>
      </c>
      <c r="D4565" s="15" t="str">
        <f>IFERROR(__xludf.DUMMYFUNCTION("""COMPUTED_VALUE"""),"BOGOTÁ")</f>
        <v>BOGOTÁ</v>
      </c>
      <c r="E4565" s="15" t="str">
        <f>IFERROR(__xludf.DUMMYFUNCTION("""COMPUTED_VALUE"""),"SISU PARTNERS SAS")</f>
        <v>SISU PARTNERS SAS</v>
      </c>
      <c r="F4565" s="17" t="str">
        <f>IFERROR(__xludf.DUMMYFUNCTION("""COMPUTED_VALUE"""),"Carrera 7 no. 38-48 local 3 / Local Mary &amp; George")</f>
        <v>Carrera 7 no. 38-48 local 3 / Local Mary &amp; George</v>
      </c>
      <c r="G4565" s="15" t="str">
        <f>IFERROR(__xludf.DUMMYFUNCTION("""COMPUTED_VALUE"""),"Carolyne Bailey")</f>
        <v>Carolyne Bailey</v>
      </c>
      <c r="H4565" s="16">
        <f>IFERROR(__xludf.DUMMYFUNCTION("""COMPUTED_VALUE"""),13253.0)</f>
        <v>13253</v>
      </c>
      <c r="I4565" s="18">
        <f>IFERROR(__xludf.DUMMYFUNCTION("""COMPUTED_VALUE"""),29.0)</f>
        <v>29</v>
      </c>
      <c r="J4565" s="18">
        <f>IFERROR(__xludf.DUMMYFUNCTION("""COMPUTED_VALUE"""),45.0)</f>
        <v>45</v>
      </c>
      <c r="K4565" s="18">
        <f>IFERROR(__xludf.DUMMYFUNCTION("""COMPUTED_VALUE"""),55.0)</f>
        <v>55</v>
      </c>
      <c r="L4565" s="17">
        <f>IFERROR(__xludf.DUMMYFUNCTION("""COMPUTED_VALUE"""),3.105510381E9)</f>
        <v>3105510381</v>
      </c>
      <c r="M4565" s="17" t="str">
        <f>IFERROR(__xludf.DUMMYFUNCTION("""COMPUTED_VALUE"""),"#REF!")</f>
        <v>#REF!</v>
      </c>
      <c r="N4565" s="17"/>
      <c r="O4565" s="17"/>
      <c r="P4565" s="17" t="b">
        <f>IFERROR(__xludf.DUMMYFUNCTION("""COMPUTED_VALUE"""),FALSE)</f>
        <v>0</v>
      </c>
      <c r="Q4565" s="20" t="str">
        <f>IFERROR(__xludf.DUMMYFUNCTION("""COMPUTED_VALUE"""),"")</f>
        <v/>
      </c>
      <c r="R4565" s="22" t="str">
        <f>IFERROR(__xludf.DUMMYFUNCTION("""COMPUTED_VALUE"""),"")</f>
        <v/>
      </c>
    </row>
    <row r="4566">
      <c r="A4566" s="15">
        <f>IFERROR(__xludf.DUMMYFUNCTION("""COMPUTED_VALUE"""),45134.0)</f>
        <v>45134</v>
      </c>
      <c r="B4566" s="16" t="str">
        <f>IFERROR(__xludf.DUMMYFUNCTION("""COMPUTED_VALUE"""),"David Sanmartin Bello")</f>
        <v>David Sanmartin Bello</v>
      </c>
      <c r="C4566" s="15" t="str">
        <f>IFERROR(__xludf.DUMMYFUNCTION("""COMPUTED_VALUE"""),"CARTAGENA")</f>
        <v>CARTAGENA</v>
      </c>
      <c r="D4566" s="15" t="str">
        <f>IFERROR(__xludf.DUMMYFUNCTION("""COMPUTED_VALUE"""),"BUCARAMANGA")</f>
        <v>BUCARAMANGA</v>
      </c>
      <c r="E4566" s="15" t="str">
        <f>IFERROR(__xludf.DUMMYFUNCTION("""COMPUTED_VALUE"""),"Yo Como Solito")</f>
        <v>Yo Como Solito</v>
      </c>
      <c r="F4566" s="17" t="str">
        <f>IFERROR(__xludf.DUMMYFUNCTION("""COMPUTED_VALUE"""),"CLL 32B No 80- 589 Barrio Villa Estrella , Condominio Copacabana T4 apto 706 /  CLL 32B No 80- 589 Barrio Villa Estrella , Condominio Copacabana T4 apto 706 /  CLL 32B No 80- 589 Barrio Villa Estrella , Condominio Copacabana T4 apto 706")</f>
        <v>CLL 32B No 80- 589 Barrio Villa Estrella , Condominio Copacabana T4 apto 706 /  CLL 32B No 80- 589 Barrio Villa Estrella , Condominio Copacabana T4 apto 706 /  CLL 32B No 80- 589 Barrio Villa Estrella , Condominio Copacabana T4 apto 706</v>
      </c>
      <c r="G4566" s="15" t="str">
        <f>IFERROR(__xludf.DUMMYFUNCTION("""COMPUTED_VALUE"""),"Luz Elena Gil Benavides")</f>
        <v>Luz Elena Gil Benavides</v>
      </c>
      <c r="H4566" s="16">
        <f>IFERROR(__xludf.DUMMYFUNCTION("""COMPUTED_VALUE"""),13267.0)</f>
        <v>13267</v>
      </c>
      <c r="I4566" s="18">
        <f>IFERROR(__xludf.DUMMYFUNCTION("""COMPUTED_VALUE"""),15.0)</f>
        <v>15</v>
      </c>
      <c r="J4566" s="18">
        <f>IFERROR(__xludf.DUMMYFUNCTION("""COMPUTED_VALUE"""),21.0)</f>
        <v>21</v>
      </c>
      <c r="K4566" s="18">
        <f>IFERROR(__xludf.DUMMYFUNCTION("""COMPUTED_VALUE"""),32.0)</f>
        <v>32</v>
      </c>
      <c r="L4566" s="17">
        <f>IFERROR(__xludf.DUMMYFUNCTION("""COMPUTED_VALUE"""),3.216404194E9)</f>
        <v>3216404194</v>
      </c>
      <c r="M4566" s="17" t="str">
        <f>IFERROR(__xludf.DUMMYFUNCTION("""COMPUTED_VALUE"""),"#REF!")</f>
        <v>#REF!</v>
      </c>
      <c r="N4566" s="17"/>
      <c r="O4566" s="17"/>
      <c r="P4566" s="17" t="b">
        <f>IFERROR(__xludf.DUMMYFUNCTION("""COMPUTED_VALUE"""),TRUE)</f>
        <v>1</v>
      </c>
      <c r="Q4566" s="20">
        <f>IFERROR(__xludf.DUMMYFUNCTION("""COMPUTED_VALUE"""),0.0)</f>
        <v>0</v>
      </c>
      <c r="R4566" s="21" t="str">
        <f>IFERROR(__xludf.DUMMYFUNCTION("""COMPUTED_VALUE"""),"https://drive.google.com/file/d/10roB_bYNv8V4GZUaXLLJudLjGAkjiI6R/view?usp=drivesdk")</f>
        <v>https://drive.google.com/file/d/10roB_bYNv8V4GZUaXLLJudLjGAkjiI6R/view?usp=drivesdk</v>
      </c>
    </row>
    <row r="4567">
      <c r="A4567" s="15">
        <f>IFERROR(__xludf.DUMMYFUNCTION("""COMPUTED_VALUE"""),45134.0)</f>
        <v>45134</v>
      </c>
      <c r="B4567" s="16" t="str">
        <f>IFERROR(__xludf.DUMMYFUNCTION("""COMPUTED_VALUE"""),"David Sanmartin Bello")</f>
        <v>David Sanmartin Bello</v>
      </c>
      <c r="C4567" s="15" t="str">
        <f>IFERROR(__xludf.DUMMYFUNCTION("""COMPUTED_VALUE"""),"CARTAGENA")</f>
        <v>CARTAGENA</v>
      </c>
      <c r="D4567" s="15" t="str">
        <f>IFERROR(__xludf.DUMMYFUNCTION("""COMPUTED_VALUE"""),"MEDELLÍN")</f>
        <v>MEDELLÍN</v>
      </c>
      <c r="E4567" s="15" t="str">
        <f>IFERROR(__xludf.DUMMYFUNCTION("""COMPUTED_VALUE"""),"Baby Chef")</f>
        <v>Baby Chef</v>
      </c>
      <c r="F4567" s="17" t="str">
        <f>IFERROR(__xludf.DUMMYFUNCTION("""COMPUTED_VALUE"""),"Edifício Positano Carrera 8 5a 56 Apto 2001 / ""Edifício Positano Carrera 8 5a 56 Apto 2001"" / ""Edifício Positano Carrera 8 5a 56 Apto 2001""")</f>
        <v>Edifício Positano Carrera 8 5a 56 Apto 2001 / "Edifício Positano Carrera 8 5a 56 Apto 2001" / "Edifício Positano Carrera 8 5a 56 Apto 2001"</v>
      </c>
      <c r="G4567" s="15" t="str">
        <f>IFERROR(__xludf.DUMMYFUNCTION("""COMPUTED_VALUE"""),"Angelina Alvarez Londoño")</f>
        <v>Angelina Alvarez Londoño</v>
      </c>
      <c r="H4567" s="16">
        <f>IFERROR(__xludf.DUMMYFUNCTION("""COMPUTED_VALUE"""),13287.0)</f>
        <v>13287</v>
      </c>
      <c r="I4567" s="18">
        <f>IFERROR(__xludf.DUMMYFUNCTION("""COMPUTED_VALUE"""),8.0)</f>
        <v>8</v>
      </c>
      <c r="J4567" s="18">
        <f>IFERROR(__xludf.DUMMYFUNCTION("""COMPUTED_VALUE"""),24.0)</f>
        <v>24</v>
      </c>
      <c r="K4567" s="18">
        <f>IFERROR(__xludf.DUMMYFUNCTION("""COMPUTED_VALUE"""),33.0)</f>
        <v>33</v>
      </c>
      <c r="L4567" s="17">
        <f>IFERROR(__xludf.DUMMYFUNCTION("""COMPUTED_VALUE"""),3.116232344E9)</f>
        <v>3116232344</v>
      </c>
      <c r="M4567" s="17" t="str">
        <f>IFERROR(__xludf.DUMMYFUNCTION("""COMPUTED_VALUE"""),"#REF!")</f>
        <v>#REF!</v>
      </c>
      <c r="N4567" s="17"/>
      <c r="O4567" s="17"/>
      <c r="P4567" s="17" t="b">
        <f>IFERROR(__xludf.DUMMYFUNCTION("""COMPUTED_VALUE"""),TRUE)</f>
        <v>1</v>
      </c>
      <c r="Q4567" s="20">
        <f>IFERROR(__xludf.DUMMYFUNCTION("""COMPUTED_VALUE"""),0.0)</f>
        <v>0</v>
      </c>
      <c r="R4567" s="21" t="str">
        <f>IFERROR(__xludf.DUMMYFUNCTION("""COMPUTED_VALUE"""),"https://drive.google.com/file/d/1dEwWIFUia0qmCWiVSZuRciHmhB5sC18P/view?usp=drivesdk")</f>
        <v>https://drive.google.com/file/d/1dEwWIFUia0qmCWiVSZuRciHmhB5sC18P/view?usp=drivesdk</v>
      </c>
    </row>
    <row r="4568">
      <c r="A4568" s="15">
        <f>IFERROR(__xludf.DUMMYFUNCTION("""COMPUTED_VALUE"""),45134.0)</f>
        <v>45134</v>
      </c>
      <c r="B4568" s="16" t="str">
        <f>IFERROR(__xludf.DUMMYFUNCTION("""COMPUTED_VALUE"""),"David Sanmartin Bello")</f>
        <v>David Sanmartin Bello</v>
      </c>
      <c r="C4568" s="15" t="str">
        <f>IFERROR(__xludf.DUMMYFUNCTION("""COMPUTED_VALUE"""),"CARTAGENA")</f>
        <v>CARTAGENA</v>
      </c>
      <c r="D4568" s="15" t="str">
        <f>IFERROR(__xludf.DUMMYFUNCTION("""COMPUTED_VALUE"""),"MEDELLÍN")</f>
        <v>MEDELLÍN</v>
      </c>
      <c r="E4568" s="15" t="str">
        <f>IFERROR(__xludf.DUMMYFUNCTION("""COMPUTED_VALUE"""),"Rambla")</f>
        <v>Rambla</v>
      </c>
      <c r="F4568" s="17" t="str">
        <f>IFERROR(__xludf.DUMMYFUNCTION("""COMPUTED_VALUE"""),"CALLE 6 #20 CC LA ESTANCIA / LC 1 10 BRR CASTILLO GRANDE / NA")</f>
        <v>CALLE 6 #20 CC LA ESTANCIA / LC 1 10 BRR CASTILLO GRANDE / NA</v>
      </c>
      <c r="G4568" s="15" t="str">
        <f>IFERROR(__xludf.DUMMYFUNCTION("""COMPUTED_VALUE"""),"COCOFIT")</f>
        <v>COCOFIT</v>
      </c>
      <c r="H4568" s="16">
        <f>IFERROR(__xludf.DUMMYFUNCTION("""COMPUTED_VALUE"""),13271.0)</f>
        <v>13271</v>
      </c>
      <c r="I4568" s="18">
        <f>IFERROR(__xludf.DUMMYFUNCTION("""COMPUTED_VALUE"""),34.0)</f>
        <v>34</v>
      </c>
      <c r="J4568" s="18">
        <f>IFERROR(__xludf.DUMMYFUNCTION("""COMPUTED_VALUE"""),25.0)</f>
        <v>25</v>
      </c>
      <c r="K4568" s="18">
        <f>IFERROR(__xludf.DUMMYFUNCTION("""COMPUTED_VALUE"""),24.0)</f>
        <v>24</v>
      </c>
      <c r="L4568" s="17">
        <f>IFERROR(__xludf.DUMMYFUNCTION("""COMPUTED_VALUE"""),3.135781119E9)</f>
        <v>3135781119</v>
      </c>
      <c r="M4568" s="17" t="str">
        <f>IFERROR(__xludf.DUMMYFUNCTION("""COMPUTED_VALUE"""),"#REF!")</f>
        <v>#REF!</v>
      </c>
      <c r="N4568" s="17"/>
      <c r="O4568" s="17"/>
      <c r="P4568" s="17" t="b">
        <f>IFERROR(__xludf.DUMMYFUNCTION("""COMPUTED_VALUE"""),TRUE)</f>
        <v>1</v>
      </c>
      <c r="Q4568" s="20">
        <f>IFERROR(__xludf.DUMMYFUNCTION("""COMPUTED_VALUE"""),0.0)</f>
        <v>0</v>
      </c>
      <c r="R4568" s="21" t="str">
        <f>IFERROR(__xludf.DUMMYFUNCTION("""COMPUTED_VALUE"""),"https://drive.google.com/file/d/1-usduqUGdKYtPrHtCTwzkGeXZHOk_cbr/view?usp=drivesdk")</f>
        <v>https://drive.google.com/file/d/1-usduqUGdKYtPrHtCTwzkGeXZHOk_cbr/view?usp=drivesdk</v>
      </c>
    </row>
    <row r="4569">
      <c r="A4569" s="15">
        <f>IFERROR(__xludf.DUMMYFUNCTION("""COMPUTED_VALUE"""),45134.0)</f>
        <v>45134</v>
      </c>
      <c r="B4569" s="16" t="str">
        <f>IFERROR(__xludf.DUMMYFUNCTION("""COMPUTED_VALUE"""),"David Sanmartin Bello")</f>
        <v>David Sanmartin Bello</v>
      </c>
      <c r="C4569" s="15" t="str">
        <f>IFERROR(__xludf.DUMMYFUNCTION("""COMPUTED_VALUE"""),"MEDELLÍN")</f>
        <v>MEDELLÍN</v>
      </c>
      <c r="D4569" s="15" t="str">
        <f>IFERROR(__xludf.DUMMYFUNCTION("""COMPUTED_VALUE"""),"BOGOTÁ")</f>
        <v>BOGOTÁ</v>
      </c>
      <c r="E4569" s="15" t="str">
        <f>IFERROR(__xludf.DUMMYFUNCTION("""COMPUTED_VALUE"""),"Mochi")</f>
        <v>Mochi</v>
      </c>
      <c r="F4569" s="17" t="str">
        <f>IFERROR(__xludf.DUMMYFUNCTION("""COMPUTED_VALUE"""),"Cra. 48 #32B Sur-139, Zona 1, Envigado, / Cra. 48 #32B Sur-139, Zona 1, Envigado, / Cra. 48 #32B Sur-139, Zona 1, Envigado,")</f>
        <v>Cra. 48 #32B Sur-139, Zona 1, Envigado, / Cra. 48 #32B Sur-139, Zona 1, Envigado, / Cra. 48 #32B Sur-139, Zona 1, Envigado,</v>
      </c>
      <c r="G4569" s="15" t="str">
        <f>IFERROR(__xludf.DUMMYFUNCTION("""COMPUTED_VALUE"""),"tania")</f>
        <v>tania</v>
      </c>
      <c r="H4569" s="16">
        <f>IFERROR(__xludf.DUMMYFUNCTION("""COMPUTED_VALUE"""),13336.0)</f>
        <v>13336</v>
      </c>
      <c r="I4569" s="18">
        <f>IFERROR(__xludf.DUMMYFUNCTION("""COMPUTED_VALUE"""),100.0)</f>
        <v>100</v>
      </c>
      <c r="J4569" s="18">
        <f>IFERROR(__xludf.DUMMYFUNCTION("""COMPUTED_VALUE"""),200.0)</f>
        <v>200</v>
      </c>
      <c r="K4569" s="18">
        <f>IFERROR(__xludf.DUMMYFUNCTION("""COMPUTED_VALUE"""),200.0)</f>
        <v>200</v>
      </c>
      <c r="L4569" s="17">
        <f>IFERROR(__xludf.DUMMYFUNCTION("""COMPUTED_VALUE"""),3.142587995E9)</f>
        <v>3142587995</v>
      </c>
      <c r="M4569" s="17" t="str">
        <f>IFERROR(__xludf.DUMMYFUNCTION("""COMPUTED_VALUE"""),"#REF!")</f>
        <v>#REF!</v>
      </c>
      <c r="N4569" s="17"/>
      <c r="O4569" s="17"/>
      <c r="P4569" s="17" t="b">
        <f>IFERROR(__xludf.DUMMYFUNCTION("""COMPUTED_VALUE"""),TRUE)</f>
        <v>1</v>
      </c>
      <c r="Q4569" s="20">
        <f>IFERROR(__xludf.DUMMYFUNCTION("""COMPUTED_VALUE"""),0.0)</f>
        <v>0</v>
      </c>
      <c r="R4569" s="22" t="str">
        <f>IFERROR(__xludf.DUMMYFUNCTION("""COMPUTED_VALUE"""),"")</f>
        <v/>
      </c>
    </row>
    <row r="4570">
      <c r="A4570" s="17" t="str">
        <f>IFERROR(__xludf.DUMMYFUNCTION("""COMPUTED_VALUE"""),"")</f>
        <v/>
      </c>
      <c r="B4570" s="17" t="str">
        <f>IFERROR(__xludf.DUMMYFUNCTION("""COMPUTED_VALUE"""),"")</f>
        <v/>
      </c>
      <c r="C4570" s="17" t="str">
        <f>IFERROR(__xludf.DUMMYFUNCTION("""COMPUTED_VALUE"""),"")</f>
        <v/>
      </c>
      <c r="D4570" s="17" t="str">
        <f>IFERROR(__xludf.DUMMYFUNCTION("""COMPUTED_VALUE"""),"")</f>
        <v/>
      </c>
      <c r="E4570" s="17" t="str">
        <f>IFERROR(__xludf.DUMMYFUNCTION("""COMPUTED_VALUE"""),"")</f>
        <v/>
      </c>
      <c r="F4570" s="17" t="str">
        <f>IFERROR(__xludf.DUMMYFUNCTION("""COMPUTED_VALUE"""),"")</f>
        <v/>
      </c>
      <c r="G4570" s="17" t="str">
        <f>IFERROR(__xludf.DUMMYFUNCTION("""COMPUTED_VALUE"""),"")</f>
        <v/>
      </c>
      <c r="H4570" s="17" t="str">
        <f>IFERROR(__xludf.DUMMYFUNCTION("""COMPUTED_VALUE"""),"")</f>
        <v/>
      </c>
      <c r="I4570" s="17" t="str">
        <f>IFERROR(__xludf.DUMMYFUNCTION("""COMPUTED_VALUE"""),"")</f>
        <v/>
      </c>
      <c r="J4570" s="17" t="str">
        <f>IFERROR(__xludf.DUMMYFUNCTION("""COMPUTED_VALUE"""),"")</f>
        <v/>
      </c>
      <c r="K4570" s="17" t="str">
        <f>IFERROR(__xludf.DUMMYFUNCTION("""COMPUTED_VALUE"""),"")</f>
        <v/>
      </c>
      <c r="L4570" s="17" t="str">
        <f>IFERROR(__xludf.DUMMYFUNCTION("""COMPUTED_VALUE"""),"")</f>
        <v/>
      </c>
      <c r="M4570" s="17" t="str">
        <f>IFERROR(__xludf.DUMMYFUNCTION("""COMPUTED_VALUE"""),"")</f>
        <v/>
      </c>
      <c r="N4570" s="17" t="str">
        <f>IFERROR(__xludf.DUMMYFUNCTION("""COMPUTED_VALUE"""),"")</f>
        <v/>
      </c>
      <c r="O4570" s="17" t="str">
        <f>IFERROR(__xludf.DUMMYFUNCTION("""COMPUTED_VALUE"""),"")</f>
        <v/>
      </c>
      <c r="P4570" s="17" t="str">
        <f>IFERROR(__xludf.DUMMYFUNCTION("""COMPUTED_VALUE"""),"")</f>
        <v/>
      </c>
      <c r="Q4570" s="17" t="str">
        <f>IFERROR(__xludf.DUMMYFUNCTION("""COMPUTED_VALUE"""),"")</f>
        <v/>
      </c>
      <c r="R4570" s="17" t="str">
        <f>IFERROR(__xludf.DUMMYFUNCTION("""COMPUTED_VALUE"""),"")</f>
        <v/>
      </c>
    </row>
    <row r="4571">
      <c r="A4571" s="15">
        <f>IFERROR(__xludf.DUMMYFUNCTION("""COMPUTED_VALUE"""),45134.0)</f>
        <v>45134</v>
      </c>
      <c r="B4571" s="16" t="str">
        <f>IFERROR(__xludf.DUMMYFUNCTION("""COMPUTED_VALUE"""),"Envia")</f>
        <v>Envia</v>
      </c>
      <c r="C4571" s="15" t="str">
        <f>IFERROR(__xludf.DUMMYFUNCTION("""COMPUTED_VALUE"""),"CARTAGENA")</f>
        <v>CARTAGENA</v>
      </c>
      <c r="D4571" s="15" t="str">
        <f>IFERROR(__xludf.DUMMYFUNCTION("""COMPUTED_VALUE"""),"BOGOTÁ")</f>
        <v>BOGOTÁ</v>
      </c>
      <c r="E4571" s="15" t="str">
        <f>IFERROR(__xludf.DUMMYFUNCTION("""COMPUTED_VALUE"""),"Evamazzita")</f>
        <v>Evamazzita</v>
      </c>
      <c r="F4571" s="17" t="str">
        <f>IFERROR(__xludf.DUMMYFUNCTION("""COMPUTED_VALUE"""),"Condominio Carioca  / Edificio Ipanema / apto 402 / torre 4 / Barrio Villa estrella")</f>
        <v>Condominio Carioca  / Edificio Ipanema / apto 402 / torre 4 / Barrio Villa estrella</v>
      </c>
      <c r="G4571" s="15" t="str">
        <f>IFERROR(__xludf.DUMMYFUNCTION("""COMPUTED_VALUE"""),"TAMMY CAROLINA URUETA REBOLLEDO")</f>
        <v>TAMMY CAROLINA URUETA REBOLLEDO</v>
      </c>
      <c r="H4571" s="16">
        <f>IFERROR(__xludf.DUMMYFUNCTION("""COMPUTED_VALUE"""),13258.0)</f>
        <v>13258</v>
      </c>
      <c r="I4571" s="18">
        <f>IFERROR(__xludf.DUMMYFUNCTION("""COMPUTED_VALUE"""),1.0)</f>
        <v>1</v>
      </c>
      <c r="J4571" s="18">
        <f>IFERROR(__xludf.DUMMYFUNCTION("""COMPUTED_VALUE"""),1.0)</f>
        <v>1</v>
      </c>
      <c r="K4571" s="18">
        <f>IFERROR(__xludf.DUMMYFUNCTION("""COMPUTED_VALUE"""),1.0)</f>
        <v>1</v>
      </c>
      <c r="L4571" s="17">
        <f>IFERROR(__xludf.DUMMYFUNCTION("""COMPUTED_VALUE"""),3.042103443E9)</f>
        <v>3042103443</v>
      </c>
      <c r="M4571" s="17" t="str">
        <f>IFERROR(__xludf.DUMMYFUNCTION("""COMPUTED_VALUE"""),"#REF!")</f>
        <v>#REF!</v>
      </c>
      <c r="N4571" s="17"/>
      <c r="O4571" s="17"/>
      <c r="P4571" s="17" t="b">
        <f>IFERROR(__xludf.DUMMYFUNCTION("""COMPUTED_VALUE"""),TRUE)</f>
        <v>1</v>
      </c>
      <c r="Q4571" s="20">
        <f>IFERROR(__xludf.DUMMYFUNCTION("""COMPUTED_VALUE"""),0.0)</f>
        <v>0</v>
      </c>
      <c r="R4571" s="21" t="str">
        <f>IFERROR(__xludf.DUMMYFUNCTION("""COMPUTED_VALUE"""),"https://drive.google.com/file/d/1SSIWLARWa6qFk_6WQDfwMT9UsFNGNhtI/view?usp=drivesdk")</f>
        <v>https://drive.google.com/file/d/1SSIWLARWa6qFk_6WQDfwMT9UsFNGNhtI/view?usp=drivesdk</v>
      </c>
    </row>
    <row r="4572">
      <c r="A4572" s="15">
        <f>IFERROR(__xludf.DUMMYFUNCTION("""COMPUTED_VALUE"""),45134.0)</f>
        <v>45134</v>
      </c>
      <c r="B4572" s="16" t="str">
        <f>IFERROR(__xludf.DUMMYFUNCTION("""COMPUTED_VALUE"""),"Envia")</f>
        <v>Envia</v>
      </c>
      <c r="C4572" s="15" t="str">
        <f>IFERROR(__xludf.DUMMYFUNCTION("""COMPUTED_VALUE"""),"FLORIDABLANCA")</f>
        <v>FLORIDABLANCA</v>
      </c>
      <c r="D4572" s="15" t="str">
        <f>IFERROR(__xludf.DUMMYFUNCTION("""COMPUTED_VALUE"""),"BOGOTÁ")</f>
        <v>BOGOTÁ</v>
      </c>
      <c r="E4572" s="15" t="str">
        <f>IFERROR(__xludf.DUMMYFUNCTION("""COMPUTED_VALUE"""),"Evamazzita")</f>
        <v>Evamazzita</v>
      </c>
      <c r="F4572" s="17" t="str">
        <f>IFERROR(__xludf.DUMMYFUNCTION("""COMPUTED_VALUE"""),"Km 1 # 21 462 / Torre 2 Apto 2001 / CONDOMINIO CAMINOS DE PROVIDENCIA- ANILLO VIAL FLORIDABLANCA")</f>
        <v>Km 1 # 21 462 / Torre 2 Apto 2001 / CONDOMINIO CAMINOS DE PROVIDENCIA- ANILLO VIAL FLORIDABLANCA</v>
      </c>
      <c r="G4572" s="15" t="str">
        <f>IFERROR(__xludf.DUMMYFUNCTION("""COMPUTED_VALUE"""),"LILIANA RUIZ SOSA")</f>
        <v>LILIANA RUIZ SOSA</v>
      </c>
      <c r="H4572" s="16">
        <f>IFERROR(__xludf.DUMMYFUNCTION("""COMPUTED_VALUE"""),13305.0)</f>
        <v>13305</v>
      </c>
      <c r="I4572" s="18">
        <f>IFERROR(__xludf.DUMMYFUNCTION("""COMPUTED_VALUE"""),1.0)</f>
        <v>1</v>
      </c>
      <c r="J4572" s="18">
        <f>IFERROR(__xludf.DUMMYFUNCTION("""COMPUTED_VALUE"""),1.0)</f>
        <v>1</v>
      </c>
      <c r="K4572" s="18">
        <f>IFERROR(__xludf.DUMMYFUNCTION("""COMPUTED_VALUE"""),1.0)</f>
        <v>1</v>
      </c>
      <c r="L4572" s="17">
        <f>IFERROR(__xludf.DUMMYFUNCTION("""COMPUTED_VALUE"""),3.165107994E9)</f>
        <v>3165107994</v>
      </c>
      <c r="M4572" s="17" t="str">
        <f>IFERROR(__xludf.DUMMYFUNCTION("""COMPUTED_VALUE"""),"#REF!")</f>
        <v>#REF!</v>
      </c>
      <c r="N4572" s="17"/>
      <c r="O4572" s="17"/>
      <c r="P4572" s="17" t="b">
        <f>IFERROR(__xludf.DUMMYFUNCTION("""COMPUTED_VALUE"""),TRUE)</f>
        <v>1</v>
      </c>
      <c r="Q4572" s="20">
        <f>IFERROR(__xludf.DUMMYFUNCTION("""COMPUTED_VALUE"""),0.0)</f>
        <v>0</v>
      </c>
      <c r="R4572" s="21" t="str">
        <f>IFERROR(__xludf.DUMMYFUNCTION("""COMPUTED_VALUE"""),"https://drive.google.com/file/d/1RTcni7Y-X9iXBhopYgYdr4sTBmq0Y7q6/view?usp=drivesdk")</f>
        <v>https://drive.google.com/file/d/1RTcni7Y-X9iXBhopYgYdr4sTBmq0Y7q6/view?usp=drivesdk</v>
      </c>
    </row>
    <row r="4573">
      <c r="A4573" s="15">
        <f>IFERROR(__xludf.DUMMYFUNCTION("""COMPUTED_VALUE"""),45134.0)</f>
        <v>45134</v>
      </c>
      <c r="B4573" s="16" t="str">
        <f>IFERROR(__xludf.DUMMYFUNCTION("""COMPUTED_VALUE"""),"Envia")</f>
        <v>Envia</v>
      </c>
      <c r="C4573" s="15" t="str">
        <f>IFERROR(__xludf.DUMMYFUNCTION("""COMPUTED_VALUE"""),"FUSAGASUGA")</f>
        <v>FUSAGASUGA</v>
      </c>
      <c r="D4573" s="15" t="str">
        <f>IFERROR(__xludf.DUMMYFUNCTION("""COMPUTED_VALUE"""),"BOGOTÁ")</f>
        <v>BOGOTÁ</v>
      </c>
      <c r="E4573" s="15" t="str">
        <f>IFERROR(__xludf.DUMMYFUNCTION("""COMPUTED_VALUE"""),"Evamazzita")</f>
        <v>Evamazzita</v>
      </c>
      <c r="F4573" s="17" t="str">
        <f>IFERROR(__xludf.DUMMYFUNCTION("""COMPUTED_VALUE"""),"Carrera 39C #22 C-05 / Torres de palmeto/ etapa 2/ apto 601 / N/A")</f>
        <v>Carrera 39C #22 C-05 / Torres de palmeto/ etapa 2/ apto 601 / N/A</v>
      </c>
      <c r="G4573" s="15" t="str">
        <f>IFERROR(__xludf.DUMMYFUNCTION("""COMPUTED_VALUE"""),"YESICA TATIANA GALLEGO OCAMPO")</f>
        <v>YESICA TATIANA GALLEGO OCAMPO</v>
      </c>
      <c r="H4573" s="16">
        <f>IFERROR(__xludf.DUMMYFUNCTION("""COMPUTED_VALUE"""),13300.0)</f>
        <v>13300</v>
      </c>
      <c r="I4573" s="18">
        <f>IFERROR(__xludf.DUMMYFUNCTION("""COMPUTED_VALUE"""),1.0)</f>
        <v>1</v>
      </c>
      <c r="J4573" s="18">
        <f>IFERROR(__xludf.DUMMYFUNCTION("""COMPUTED_VALUE"""),1.0)</f>
        <v>1</v>
      </c>
      <c r="K4573" s="18">
        <f>IFERROR(__xludf.DUMMYFUNCTION("""COMPUTED_VALUE"""),1.0)</f>
        <v>1</v>
      </c>
      <c r="L4573" s="17">
        <f>IFERROR(__xludf.DUMMYFUNCTION("""COMPUTED_VALUE"""),3.244761309E9)</f>
        <v>3244761309</v>
      </c>
      <c r="M4573" s="17" t="str">
        <f>IFERROR(__xludf.DUMMYFUNCTION("""COMPUTED_VALUE"""),"#REF!")</f>
        <v>#REF!</v>
      </c>
      <c r="N4573" s="17"/>
      <c r="O4573" s="17"/>
      <c r="P4573" s="17" t="b">
        <f>IFERROR(__xludf.DUMMYFUNCTION("""COMPUTED_VALUE"""),TRUE)</f>
        <v>1</v>
      </c>
      <c r="Q4573" s="20">
        <f>IFERROR(__xludf.DUMMYFUNCTION("""COMPUTED_VALUE"""),0.0)</f>
        <v>0</v>
      </c>
      <c r="R4573" s="22" t="str">
        <f>IFERROR(__xludf.DUMMYFUNCTION("""COMPUTED_VALUE"""),"")</f>
        <v/>
      </c>
    </row>
    <row r="4574">
      <c r="A4574" s="15">
        <f>IFERROR(__xludf.DUMMYFUNCTION("""COMPUTED_VALUE"""),45134.0)</f>
        <v>45134</v>
      </c>
      <c r="B4574" s="16" t="str">
        <f>IFERROR(__xludf.DUMMYFUNCTION("""COMPUTED_VALUE"""),"Envia")</f>
        <v>Envia</v>
      </c>
      <c r="C4574" s="15" t="str">
        <f>IFERROR(__xludf.DUMMYFUNCTION("""COMPUTED_VALUE"""),"FUSAGASUGA")</f>
        <v>FUSAGASUGA</v>
      </c>
      <c r="D4574" s="15" t="str">
        <f>IFERROR(__xludf.DUMMYFUNCTION("""COMPUTED_VALUE"""),"BOGOTÁ")</f>
        <v>BOGOTÁ</v>
      </c>
      <c r="E4574" s="15" t="str">
        <f>IFERROR(__xludf.DUMMYFUNCTION("""COMPUTED_VALUE"""),"Evamazzita")</f>
        <v>Evamazzita</v>
      </c>
      <c r="F4574" s="17" t="str">
        <f>IFERROR(__xludf.DUMMYFUNCTION("""COMPUTED_VALUE"""),"Carrera 5#19-33 / Casa 1/ Conjunto la arboleda / Fusacatan")</f>
        <v>Carrera 5#19-33 / Casa 1/ Conjunto la arboleda / Fusacatan</v>
      </c>
      <c r="G4574" s="15" t="str">
        <f>IFERROR(__xludf.DUMMYFUNCTION("""COMPUTED_VALUE"""),"SUSANA ESPINOSA")</f>
        <v>SUSANA ESPINOSA</v>
      </c>
      <c r="H4574" s="16">
        <f>IFERROR(__xludf.DUMMYFUNCTION("""COMPUTED_VALUE"""),13301.0)</f>
        <v>13301</v>
      </c>
      <c r="I4574" s="18">
        <f>IFERROR(__xludf.DUMMYFUNCTION("""COMPUTED_VALUE"""),1.0)</f>
        <v>1</v>
      </c>
      <c r="J4574" s="18">
        <f>IFERROR(__xludf.DUMMYFUNCTION("""COMPUTED_VALUE"""),1.0)</f>
        <v>1</v>
      </c>
      <c r="K4574" s="18">
        <f>IFERROR(__xludf.DUMMYFUNCTION("""COMPUTED_VALUE"""),1.0)</f>
        <v>1</v>
      </c>
      <c r="L4574" s="17">
        <f>IFERROR(__xludf.DUMMYFUNCTION("""COMPUTED_VALUE"""),3.214236601E9)</f>
        <v>3214236601</v>
      </c>
      <c r="M4574" s="17" t="str">
        <f>IFERROR(__xludf.DUMMYFUNCTION("""COMPUTED_VALUE"""),"#REF!")</f>
        <v>#REF!</v>
      </c>
      <c r="N4574" s="17"/>
      <c r="O4574" s="17"/>
      <c r="P4574" s="17" t="b">
        <f>IFERROR(__xludf.DUMMYFUNCTION("""COMPUTED_VALUE"""),TRUE)</f>
        <v>1</v>
      </c>
      <c r="Q4574" s="20">
        <f>IFERROR(__xludf.DUMMYFUNCTION("""COMPUTED_VALUE"""),0.0)</f>
        <v>0</v>
      </c>
      <c r="R4574" s="22" t="str">
        <f>IFERROR(__xludf.DUMMYFUNCTION("""COMPUTED_VALUE"""),"")</f>
        <v/>
      </c>
    </row>
    <row r="4575">
      <c r="A4575" s="15">
        <f>IFERROR(__xludf.DUMMYFUNCTION("""COMPUTED_VALUE"""),45134.0)</f>
        <v>45134</v>
      </c>
      <c r="B4575" s="16" t="str">
        <f>IFERROR(__xludf.DUMMYFUNCTION("""COMPUTED_VALUE"""),"Envia")</f>
        <v>Envia</v>
      </c>
      <c r="C4575" s="15" t="str">
        <f>IFERROR(__xludf.DUMMYFUNCTION("""COMPUTED_VALUE"""),"GIRARDOT")</f>
        <v>GIRARDOT</v>
      </c>
      <c r="D4575" s="15" t="str">
        <f>IFERROR(__xludf.DUMMYFUNCTION("""COMPUTED_VALUE"""),"BOGOTÁ")</f>
        <v>BOGOTÁ</v>
      </c>
      <c r="E4575" s="15" t="str">
        <f>IFERROR(__xludf.DUMMYFUNCTION("""COMPUTED_VALUE"""),"Coffit")</f>
        <v>Coffit</v>
      </c>
      <c r="F4575" s="17" t="str">
        <f>IFERROR(__xludf.DUMMYFUNCTION("""COMPUTED_VALUE"""),"carrera9 n 19-53 local 107  / edificio rafael díaz  / diagonal glorieta leon")</f>
        <v>carrera9 n 19-53 local 107  / edificio rafael díaz  / diagonal glorieta leon</v>
      </c>
      <c r="G4575" s="15" t="str">
        <f>IFERROR(__xludf.DUMMYFUNCTION("""COMPUTED_VALUE"""),"coffit market")</f>
        <v>coffit market</v>
      </c>
      <c r="H4575" s="16">
        <f>IFERROR(__xludf.DUMMYFUNCTION("""COMPUTED_VALUE"""),13337.0)</f>
        <v>13337</v>
      </c>
      <c r="I4575" s="18">
        <f>IFERROR(__xludf.DUMMYFUNCTION("""COMPUTED_VALUE"""),1.0)</f>
        <v>1</v>
      </c>
      <c r="J4575" s="18">
        <f>IFERROR(__xludf.DUMMYFUNCTION("""COMPUTED_VALUE"""),1.0)</f>
        <v>1</v>
      </c>
      <c r="K4575" s="18">
        <f>IFERROR(__xludf.DUMMYFUNCTION("""COMPUTED_VALUE"""),1.0)</f>
        <v>1</v>
      </c>
      <c r="L4575" s="17">
        <f>IFERROR(__xludf.DUMMYFUNCTION("""COMPUTED_VALUE"""),3.166279434E9)</f>
        <v>3166279434</v>
      </c>
      <c r="M4575" s="17" t="str">
        <f>IFERROR(__xludf.DUMMYFUNCTION("""COMPUTED_VALUE"""),"#REF!")</f>
        <v>#REF!</v>
      </c>
      <c r="N4575" s="17"/>
      <c r="O4575" s="17"/>
      <c r="P4575" s="17" t="b">
        <f>IFERROR(__xludf.DUMMYFUNCTION("""COMPUTED_VALUE"""),TRUE)</f>
        <v>1</v>
      </c>
      <c r="Q4575" s="20">
        <f>IFERROR(__xludf.DUMMYFUNCTION("""COMPUTED_VALUE"""),0.0)</f>
        <v>0</v>
      </c>
      <c r="R4575" s="22" t="str">
        <f>IFERROR(__xludf.DUMMYFUNCTION("""COMPUTED_VALUE"""),"")</f>
        <v/>
      </c>
    </row>
    <row r="4576">
      <c r="A4576" s="15">
        <f>IFERROR(__xludf.DUMMYFUNCTION("""COMPUTED_VALUE"""),45134.0)</f>
        <v>45134</v>
      </c>
      <c r="B4576" s="16" t="str">
        <f>IFERROR(__xludf.DUMMYFUNCTION("""COMPUTED_VALUE"""),"Envia")</f>
        <v>Envia</v>
      </c>
      <c r="C4576" s="15" t="str">
        <f>IFERROR(__xludf.DUMMYFUNCTION("""COMPUTED_VALUE"""),"NEIVA")</f>
        <v>NEIVA</v>
      </c>
      <c r="D4576" s="15" t="str">
        <f>IFERROR(__xludf.DUMMYFUNCTION("""COMPUTED_VALUE"""),"BOGOTÁ")</f>
        <v>BOGOTÁ</v>
      </c>
      <c r="E4576" s="15" t="str">
        <f>IFERROR(__xludf.DUMMYFUNCTION("""COMPUTED_VALUE"""),"Evamazzita")</f>
        <v>Evamazzita</v>
      </c>
      <c r="F4576" s="17" t="str">
        <f>IFERROR(__xludf.DUMMYFUNCTION("""COMPUTED_VALUE"""),"Carrera 11#5-26 / Edificio Laureles de la concha/ apto 501 / Altico")</f>
        <v>Carrera 11#5-26 / Edificio Laureles de la concha/ apto 501 / Altico</v>
      </c>
      <c r="G4576" s="15" t="str">
        <f>IFERROR(__xludf.DUMMYFUNCTION("""COMPUTED_VALUE"""),"MANUELA CEDEÑO PEÑA")</f>
        <v>MANUELA CEDEÑO PEÑA</v>
      </c>
      <c r="H4576" s="16">
        <f>IFERROR(__xludf.DUMMYFUNCTION("""COMPUTED_VALUE"""),13298.0)</f>
        <v>13298</v>
      </c>
      <c r="I4576" s="18">
        <f>IFERROR(__xludf.DUMMYFUNCTION("""COMPUTED_VALUE"""),1.0)</f>
        <v>1</v>
      </c>
      <c r="J4576" s="18">
        <f>IFERROR(__xludf.DUMMYFUNCTION("""COMPUTED_VALUE"""),1.0)</f>
        <v>1</v>
      </c>
      <c r="K4576" s="18">
        <f>IFERROR(__xludf.DUMMYFUNCTION("""COMPUTED_VALUE"""),1.0)</f>
        <v>1</v>
      </c>
      <c r="L4576" s="17">
        <f>IFERROR(__xludf.DUMMYFUNCTION("""COMPUTED_VALUE"""),3.22365167E9)</f>
        <v>3223651670</v>
      </c>
      <c r="M4576" s="17" t="str">
        <f>IFERROR(__xludf.DUMMYFUNCTION("""COMPUTED_VALUE"""),"#REF!")</f>
        <v>#REF!</v>
      </c>
      <c r="N4576" s="17"/>
      <c r="O4576" s="17"/>
      <c r="P4576" s="17" t="b">
        <f>IFERROR(__xludf.DUMMYFUNCTION("""COMPUTED_VALUE"""),TRUE)</f>
        <v>1</v>
      </c>
      <c r="Q4576" s="20">
        <f>IFERROR(__xludf.DUMMYFUNCTION("""COMPUTED_VALUE"""),0.0)</f>
        <v>0</v>
      </c>
      <c r="R4576" s="22" t="str">
        <f>IFERROR(__xludf.DUMMYFUNCTION("""COMPUTED_VALUE"""),"")</f>
        <v/>
      </c>
    </row>
    <row r="4577">
      <c r="A4577" s="15">
        <f>IFERROR(__xludf.DUMMYFUNCTION("""COMPUTED_VALUE"""),45134.0)</f>
        <v>45134</v>
      </c>
      <c r="B4577" s="16" t="str">
        <f>IFERROR(__xludf.DUMMYFUNCTION("""COMPUTED_VALUE"""),"Envia")</f>
        <v>Envia</v>
      </c>
      <c r="C4577" s="15" t="str">
        <f>IFERROR(__xludf.DUMMYFUNCTION("""COMPUTED_VALUE"""),"NEIVA")</f>
        <v>NEIVA</v>
      </c>
      <c r="D4577" s="15" t="str">
        <f>IFERROR(__xludf.DUMMYFUNCTION("""COMPUTED_VALUE"""),"BOGOTÁ")</f>
        <v>BOGOTÁ</v>
      </c>
      <c r="E4577" s="15" t="str">
        <f>IFERROR(__xludf.DUMMYFUNCTION("""COMPUTED_VALUE"""),"Evamazzita")</f>
        <v>Evamazzita</v>
      </c>
      <c r="F4577" s="17" t="str">
        <f>IFERROR(__xludf.DUMMYFUNCTION("""COMPUTED_VALUE"""),"Carrera 5#11-02 / Centro Almacen La Bombonera  / N/A")</f>
        <v>Carrera 5#11-02 / Centro Almacen La Bombonera  / N/A</v>
      </c>
      <c r="G4577" s="15" t="str">
        <f>IFERROR(__xludf.DUMMYFUNCTION("""COMPUTED_VALUE"""),"ALEJANDRA BUSTOS")</f>
        <v>ALEJANDRA BUSTOS</v>
      </c>
      <c r="H4577" s="16">
        <f>IFERROR(__xludf.DUMMYFUNCTION("""COMPUTED_VALUE"""),13299.0)</f>
        <v>13299</v>
      </c>
      <c r="I4577" s="18">
        <f>IFERROR(__xludf.DUMMYFUNCTION("""COMPUTED_VALUE"""),1.0)</f>
        <v>1</v>
      </c>
      <c r="J4577" s="18">
        <f>IFERROR(__xludf.DUMMYFUNCTION("""COMPUTED_VALUE"""),1.0)</f>
        <v>1</v>
      </c>
      <c r="K4577" s="18">
        <f>IFERROR(__xludf.DUMMYFUNCTION("""COMPUTED_VALUE"""),1.0)</f>
        <v>1</v>
      </c>
      <c r="L4577" s="17">
        <f>IFERROR(__xludf.DUMMYFUNCTION("""COMPUTED_VALUE"""),3.144051373E9)</f>
        <v>3144051373</v>
      </c>
      <c r="M4577" s="17" t="str">
        <f>IFERROR(__xludf.DUMMYFUNCTION("""COMPUTED_VALUE"""),"#REF!")</f>
        <v>#REF!</v>
      </c>
      <c r="N4577" s="17"/>
      <c r="O4577" s="17"/>
      <c r="P4577" s="17" t="b">
        <f>IFERROR(__xludf.DUMMYFUNCTION("""COMPUTED_VALUE"""),TRUE)</f>
        <v>1</v>
      </c>
      <c r="Q4577" s="20">
        <f>IFERROR(__xludf.DUMMYFUNCTION("""COMPUTED_VALUE"""),0.0)</f>
        <v>0</v>
      </c>
      <c r="R4577" s="22" t="str">
        <f>IFERROR(__xludf.DUMMYFUNCTION("""COMPUTED_VALUE"""),"")</f>
        <v/>
      </c>
    </row>
    <row r="4578">
      <c r="A4578" s="17" t="str">
        <f>IFERROR(__xludf.DUMMYFUNCTION("""COMPUTED_VALUE"""),"")</f>
        <v/>
      </c>
      <c r="B4578" s="17" t="str">
        <f>IFERROR(__xludf.DUMMYFUNCTION("""COMPUTED_VALUE"""),"")</f>
        <v/>
      </c>
      <c r="C4578" s="17" t="str">
        <f>IFERROR(__xludf.DUMMYFUNCTION("""COMPUTED_VALUE"""),"")</f>
        <v/>
      </c>
      <c r="D4578" s="17" t="str">
        <f>IFERROR(__xludf.DUMMYFUNCTION("""COMPUTED_VALUE"""),"")</f>
        <v/>
      </c>
      <c r="E4578" s="17" t="str">
        <f>IFERROR(__xludf.DUMMYFUNCTION("""COMPUTED_VALUE"""),"")</f>
        <v/>
      </c>
      <c r="F4578" s="17" t="str">
        <f>IFERROR(__xludf.DUMMYFUNCTION("""COMPUTED_VALUE"""),"")</f>
        <v/>
      </c>
      <c r="G4578" s="17" t="str">
        <f>IFERROR(__xludf.DUMMYFUNCTION("""COMPUTED_VALUE"""),"")</f>
        <v/>
      </c>
      <c r="H4578" s="17" t="str">
        <f>IFERROR(__xludf.DUMMYFUNCTION("""COMPUTED_VALUE"""),"")</f>
        <v/>
      </c>
      <c r="I4578" s="17" t="str">
        <f>IFERROR(__xludf.DUMMYFUNCTION("""COMPUTED_VALUE"""),"")</f>
        <v/>
      </c>
      <c r="J4578" s="17" t="str">
        <f>IFERROR(__xludf.DUMMYFUNCTION("""COMPUTED_VALUE"""),"")</f>
        <v/>
      </c>
      <c r="K4578" s="17" t="str">
        <f>IFERROR(__xludf.DUMMYFUNCTION("""COMPUTED_VALUE"""),"")</f>
        <v/>
      </c>
      <c r="L4578" s="17" t="str">
        <f>IFERROR(__xludf.DUMMYFUNCTION("""COMPUTED_VALUE"""),"")</f>
        <v/>
      </c>
      <c r="M4578" s="17" t="str">
        <f>IFERROR(__xludf.DUMMYFUNCTION("""COMPUTED_VALUE"""),"")</f>
        <v/>
      </c>
      <c r="N4578" s="17" t="str">
        <f>IFERROR(__xludf.DUMMYFUNCTION("""COMPUTED_VALUE"""),"")</f>
        <v/>
      </c>
      <c r="O4578" s="17" t="str">
        <f>IFERROR(__xludf.DUMMYFUNCTION("""COMPUTED_VALUE"""),"")</f>
        <v/>
      </c>
      <c r="P4578" s="17" t="str">
        <f>IFERROR(__xludf.DUMMYFUNCTION("""COMPUTED_VALUE"""),"")</f>
        <v/>
      </c>
      <c r="Q4578" s="17" t="str">
        <f>IFERROR(__xludf.DUMMYFUNCTION("""COMPUTED_VALUE"""),"")</f>
        <v/>
      </c>
      <c r="R4578" s="17" t="str">
        <f>IFERROR(__xludf.DUMMYFUNCTION("""COMPUTED_VALUE"""),"")</f>
        <v/>
      </c>
    </row>
    <row r="4579">
      <c r="A4579" s="15">
        <f>IFERROR(__xludf.DUMMYFUNCTION("""COMPUTED_VALUE"""),45134.0)</f>
        <v>45134</v>
      </c>
      <c r="B4579" s="16" t="str">
        <f>IFERROR(__xludf.DUMMYFUNCTION("""COMPUTED_VALUE"""),"Ivan Andres Romero Herrera")</f>
        <v>Ivan Andres Romero Herrera</v>
      </c>
      <c r="C4579" s="15" t="str">
        <f>IFERROR(__xludf.DUMMYFUNCTION("""COMPUTED_VALUE"""),"BOGOTÁ")</f>
        <v>BOGOTÁ</v>
      </c>
      <c r="D4579" s="15" t="str">
        <f>IFERROR(__xludf.DUMMYFUNCTION("""COMPUTED_VALUE"""),"MEDELLÍN")</f>
        <v>MEDELLÍN</v>
      </c>
      <c r="E4579" s="15" t="str">
        <f>IFERROR(__xludf.DUMMYFUNCTION("""COMPUTED_VALUE"""),"Felicidad Bakery Bogotá")</f>
        <v>Felicidad Bakery Bogotá</v>
      </c>
      <c r="F4579" s="17" t="str">
        <f>IFERROR(__xludf.DUMMYFUNCTION("""COMPUTED_VALUE"""),"Calle 92 15-62 / Ed centro chico / Local 103")</f>
        <v>Calle 92 15-62 / Ed centro chico / Local 103</v>
      </c>
      <c r="G4579" s="15" t="str">
        <f>IFERROR(__xludf.DUMMYFUNCTION("""COMPUTED_VALUE"""),"Camilo Hernandez")</f>
        <v>Camilo Hernandez</v>
      </c>
      <c r="H4579" s="16">
        <f>IFERROR(__xludf.DUMMYFUNCTION("""COMPUTED_VALUE"""),13332.0)</f>
        <v>13332</v>
      </c>
      <c r="I4579" s="18">
        <f>IFERROR(__xludf.DUMMYFUNCTION("""COMPUTED_VALUE"""),1.0)</f>
        <v>1</v>
      </c>
      <c r="J4579" s="18">
        <f>IFERROR(__xludf.DUMMYFUNCTION("""COMPUTED_VALUE"""),1.0)</f>
        <v>1</v>
      </c>
      <c r="K4579" s="18">
        <f>IFERROR(__xludf.DUMMYFUNCTION("""COMPUTED_VALUE"""),1.0)</f>
        <v>1</v>
      </c>
      <c r="L4579" s="17">
        <f>IFERROR(__xludf.DUMMYFUNCTION("""COMPUTED_VALUE"""),3.013527163E9)</f>
        <v>3013527163</v>
      </c>
      <c r="M4579" s="17" t="str">
        <f>IFERROR(__xludf.DUMMYFUNCTION("""COMPUTED_VALUE"""),"#REF!")</f>
        <v>#REF!</v>
      </c>
      <c r="N4579" s="17"/>
      <c r="O4579" s="17"/>
      <c r="P4579" s="17" t="b">
        <f>IFERROR(__xludf.DUMMYFUNCTION("""COMPUTED_VALUE"""),TRUE)</f>
        <v>1</v>
      </c>
      <c r="Q4579" s="20">
        <f>IFERROR(__xludf.DUMMYFUNCTION("""COMPUTED_VALUE"""),0.0)</f>
        <v>0</v>
      </c>
      <c r="R4579" s="21" t="str">
        <f>IFERROR(__xludf.DUMMYFUNCTION("""COMPUTED_VALUE"""),"https://drive.google.com/file/d/1bPkvetUFZgs4Uuv-yUYf9pXqmm9GxjrK/view?usp=drivesdk")</f>
        <v>https://drive.google.com/file/d/1bPkvetUFZgs4Uuv-yUYf9pXqmm9GxjrK/view?usp=drivesdk</v>
      </c>
    </row>
    <row r="4580">
      <c r="A4580" s="15">
        <f>IFERROR(__xludf.DUMMYFUNCTION("""COMPUTED_VALUE"""),45134.0)</f>
        <v>45134</v>
      </c>
      <c r="B4580" s="16" t="str">
        <f>IFERROR(__xludf.DUMMYFUNCTION("""COMPUTED_VALUE"""),"Ivan Andres Romero Herrera")</f>
        <v>Ivan Andres Romero Herrera</v>
      </c>
      <c r="C4580" s="15" t="str">
        <f>IFERROR(__xludf.DUMMYFUNCTION("""COMPUTED_VALUE"""),"CARTAGENA")</f>
        <v>CARTAGENA</v>
      </c>
      <c r="D4580" s="15" t="str">
        <f>IFERROR(__xludf.DUMMYFUNCTION("""COMPUTED_VALUE"""),"MEDELLÍN")</f>
        <v>MEDELLÍN</v>
      </c>
      <c r="E4580" s="15" t="str">
        <f>IFERROR(__xludf.DUMMYFUNCTION("""COMPUTED_VALUE"""),"Rambla")</f>
        <v>Rambla</v>
      </c>
      <c r="F4580" s="17" t="str">
        <f>IFERROR(__xludf.DUMMYFUNCTION("""COMPUTED_VALUE"""),"AVENIDA SAN MARTIN 9-161 / BARRIO BOCAGRANDE / NA")</f>
        <v>AVENIDA SAN MARTIN 9-161 / BARRIO BOCAGRANDE / NA</v>
      </c>
      <c r="G4580" s="15" t="str">
        <f>IFERROR(__xludf.DUMMYFUNCTION("""COMPUTED_VALUE"""),"SALUTE-INVERSIONMES BARON Y BOTERO")</f>
        <v>SALUTE-INVERSIONMES BARON Y BOTERO</v>
      </c>
      <c r="H4580" s="16">
        <f>IFERROR(__xludf.DUMMYFUNCTION("""COMPUTED_VALUE"""),13272.0)</f>
        <v>13272</v>
      </c>
      <c r="I4580" s="18">
        <f>IFERROR(__xludf.DUMMYFUNCTION("""COMPUTED_VALUE"""),33.0)</f>
        <v>33</v>
      </c>
      <c r="J4580" s="18">
        <f>IFERROR(__xludf.DUMMYFUNCTION("""COMPUTED_VALUE"""),23.0)</f>
        <v>23</v>
      </c>
      <c r="K4580" s="18">
        <f>IFERROR(__xludf.DUMMYFUNCTION("""COMPUTED_VALUE"""),23.0)</f>
        <v>23</v>
      </c>
      <c r="L4580" s="17">
        <f>IFERROR(__xludf.DUMMYFUNCTION("""COMPUTED_VALUE"""),3.205661519E9)</f>
        <v>3205661519</v>
      </c>
      <c r="M4580" s="17" t="str">
        <f>IFERROR(__xludf.DUMMYFUNCTION("""COMPUTED_VALUE"""),"#REF!")</f>
        <v>#REF!</v>
      </c>
      <c r="N4580" s="17"/>
      <c r="O4580" s="17"/>
      <c r="P4580" s="17" t="b">
        <f>IFERROR(__xludf.DUMMYFUNCTION("""COMPUTED_VALUE"""),TRUE)</f>
        <v>1</v>
      </c>
      <c r="Q4580" s="20">
        <f>IFERROR(__xludf.DUMMYFUNCTION("""COMPUTED_VALUE"""),0.0)</f>
        <v>0</v>
      </c>
      <c r="R4580" s="21" t="str">
        <f>IFERROR(__xludf.DUMMYFUNCTION("""COMPUTED_VALUE"""),"https://drive.google.com/file/d/1DQ1sGyIO0cyvil-jgwX7XqKOSPPUkCdd/view?usp=drivesdk")</f>
        <v>https://drive.google.com/file/d/1DQ1sGyIO0cyvil-jgwX7XqKOSPPUkCdd/view?usp=drivesdk</v>
      </c>
    </row>
    <row r="4581">
      <c r="A4581" s="15">
        <f>IFERROR(__xludf.DUMMYFUNCTION("""COMPUTED_VALUE"""),45134.0)</f>
        <v>45134</v>
      </c>
      <c r="B4581" s="16" t="str">
        <f>IFERROR(__xludf.DUMMYFUNCTION("""COMPUTED_VALUE"""),"Ivan Andres Romero Herrera")</f>
        <v>Ivan Andres Romero Herrera</v>
      </c>
      <c r="C4581" s="15" t="str">
        <f>IFERROR(__xludf.DUMMYFUNCTION("""COMPUTED_VALUE"""),"FUSAGASUGA")</f>
        <v>FUSAGASUGA</v>
      </c>
      <c r="D4581" s="15" t="str">
        <f>IFERROR(__xludf.DUMMYFUNCTION("""COMPUTED_VALUE"""),"BOGOTÁ")</f>
        <v>BOGOTÁ</v>
      </c>
      <c r="E4581" s="15" t="str">
        <f>IFERROR(__xludf.DUMMYFUNCTION("""COMPUTED_VALUE"""),"Evamazzita")</f>
        <v>Evamazzita</v>
      </c>
      <c r="F4581" s="17" t="str">
        <f>IFERROR(__xludf.DUMMYFUNCTION("""COMPUTED_VALUE"""),"Calle 16A #13-10 / Edificio Cipres 2 / El Caney")</f>
        <v>Calle 16A #13-10 / Edificio Cipres 2 / El Caney</v>
      </c>
      <c r="G4581" s="15" t="str">
        <f>IFERROR(__xludf.DUMMYFUNCTION("""COMPUTED_VALUE"""),"DIANA TARAZONA")</f>
        <v>DIANA TARAZONA</v>
      </c>
      <c r="H4581" s="16">
        <f>IFERROR(__xludf.DUMMYFUNCTION("""COMPUTED_VALUE"""),13308.0)</f>
        <v>13308</v>
      </c>
      <c r="I4581" s="18">
        <f>IFERROR(__xludf.DUMMYFUNCTION("""COMPUTED_VALUE"""),1.0)</f>
        <v>1</v>
      </c>
      <c r="J4581" s="18">
        <f>IFERROR(__xludf.DUMMYFUNCTION("""COMPUTED_VALUE"""),1.0)</f>
        <v>1</v>
      </c>
      <c r="K4581" s="18">
        <f>IFERROR(__xludf.DUMMYFUNCTION("""COMPUTED_VALUE"""),1.0)</f>
        <v>1</v>
      </c>
      <c r="L4581" s="17">
        <f>IFERROR(__xludf.DUMMYFUNCTION("""COMPUTED_VALUE"""),3.202913576E9)</f>
        <v>3202913576</v>
      </c>
      <c r="M4581" s="17" t="str">
        <f>IFERROR(__xludf.DUMMYFUNCTION("""COMPUTED_VALUE"""),"#REF!")</f>
        <v>#REF!</v>
      </c>
      <c r="N4581" s="17"/>
      <c r="O4581" s="17"/>
      <c r="P4581" s="17" t="b">
        <f>IFERROR(__xludf.DUMMYFUNCTION("""COMPUTED_VALUE"""),TRUE)</f>
        <v>1</v>
      </c>
      <c r="Q4581" s="20">
        <f>IFERROR(__xludf.DUMMYFUNCTION("""COMPUTED_VALUE"""),0.0)</f>
        <v>0</v>
      </c>
      <c r="R4581" s="22" t="str">
        <f>IFERROR(__xludf.DUMMYFUNCTION("""COMPUTED_VALUE"""),"")</f>
        <v/>
      </c>
    </row>
    <row r="4582">
      <c r="A4582" s="15">
        <f>IFERROR(__xludf.DUMMYFUNCTION("""COMPUTED_VALUE"""),45134.0)</f>
        <v>45134</v>
      </c>
      <c r="B4582" s="16" t="str">
        <f>IFERROR(__xludf.DUMMYFUNCTION("""COMPUTED_VALUE"""),"Ivan Andres Romero Herrera")</f>
        <v>Ivan Andres Romero Herrera</v>
      </c>
      <c r="C4582" s="15" t="str">
        <f>IFERROR(__xludf.DUMMYFUNCTION("""COMPUTED_VALUE"""),"FUSAGASUGA")</f>
        <v>FUSAGASUGA</v>
      </c>
      <c r="D4582" s="15" t="str">
        <f>IFERROR(__xludf.DUMMYFUNCTION("""COMPUTED_VALUE"""),"BOGOTÁ")</f>
        <v>BOGOTÁ</v>
      </c>
      <c r="E4582" s="15" t="str">
        <f>IFERROR(__xludf.DUMMYFUNCTION("""COMPUTED_VALUE"""),"Evamazzita")</f>
        <v>Evamazzita</v>
      </c>
      <c r="F4582" s="17" t="str">
        <f>IFERROR(__xludf.DUMMYFUNCTION("""COMPUTED_VALUE"""),"Carrera 23 #18 B-218 / Casa 14 / Conjunto residencial malibu")</f>
        <v>Carrera 23 #18 B-218 / Casa 14 / Conjunto residencial malibu</v>
      </c>
      <c r="G4582" s="15" t="str">
        <f>IFERROR(__xludf.DUMMYFUNCTION("""COMPUTED_VALUE"""),"LUZ DARY PEREZ")</f>
        <v>LUZ DARY PEREZ</v>
      </c>
      <c r="H4582" s="16">
        <f>IFERROR(__xludf.DUMMYFUNCTION("""COMPUTED_VALUE"""),13307.0)</f>
        <v>13307</v>
      </c>
      <c r="I4582" s="18">
        <f>IFERROR(__xludf.DUMMYFUNCTION("""COMPUTED_VALUE"""),1.0)</f>
        <v>1</v>
      </c>
      <c r="J4582" s="18">
        <f>IFERROR(__xludf.DUMMYFUNCTION("""COMPUTED_VALUE"""),1.0)</f>
        <v>1</v>
      </c>
      <c r="K4582" s="18">
        <f>IFERROR(__xludf.DUMMYFUNCTION("""COMPUTED_VALUE"""),1.0)</f>
        <v>1</v>
      </c>
      <c r="L4582" s="17">
        <f>IFERROR(__xludf.DUMMYFUNCTION("""COMPUTED_VALUE"""),3.123236465E9)</f>
        <v>3123236465</v>
      </c>
      <c r="M4582" s="17" t="str">
        <f>IFERROR(__xludf.DUMMYFUNCTION("""COMPUTED_VALUE"""),"#REF!")</f>
        <v>#REF!</v>
      </c>
      <c r="N4582" s="17"/>
      <c r="O4582" s="17"/>
      <c r="P4582" s="17" t="b">
        <f>IFERROR(__xludf.DUMMYFUNCTION("""COMPUTED_VALUE"""),TRUE)</f>
        <v>1</v>
      </c>
      <c r="Q4582" s="20">
        <f>IFERROR(__xludf.DUMMYFUNCTION("""COMPUTED_VALUE"""),0.0)</f>
        <v>0</v>
      </c>
      <c r="R4582" s="22" t="str">
        <f>IFERROR(__xludf.DUMMYFUNCTION("""COMPUTED_VALUE"""),"")</f>
        <v/>
      </c>
    </row>
    <row r="4583">
      <c r="A4583" s="17" t="str">
        <f>IFERROR(__xludf.DUMMYFUNCTION("""COMPUTED_VALUE"""),"")</f>
        <v/>
      </c>
      <c r="B4583" s="17" t="str">
        <f>IFERROR(__xludf.DUMMYFUNCTION("""COMPUTED_VALUE"""),"")</f>
        <v/>
      </c>
      <c r="C4583" s="17" t="str">
        <f>IFERROR(__xludf.DUMMYFUNCTION("""COMPUTED_VALUE"""),"")</f>
        <v/>
      </c>
      <c r="D4583" s="17" t="str">
        <f>IFERROR(__xludf.DUMMYFUNCTION("""COMPUTED_VALUE"""),"")</f>
        <v/>
      </c>
      <c r="E4583" s="17" t="str">
        <f>IFERROR(__xludf.DUMMYFUNCTION("""COMPUTED_VALUE"""),"")</f>
        <v/>
      </c>
      <c r="F4583" s="17" t="str">
        <f>IFERROR(__xludf.DUMMYFUNCTION("""COMPUTED_VALUE"""),"")</f>
        <v/>
      </c>
      <c r="G4583" s="17" t="str">
        <f>IFERROR(__xludf.DUMMYFUNCTION("""COMPUTED_VALUE"""),"")</f>
        <v/>
      </c>
      <c r="H4583" s="17" t="str">
        <f>IFERROR(__xludf.DUMMYFUNCTION("""COMPUTED_VALUE"""),"")</f>
        <v/>
      </c>
      <c r="I4583" s="17" t="str">
        <f>IFERROR(__xludf.DUMMYFUNCTION("""COMPUTED_VALUE"""),"")</f>
        <v/>
      </c>
      <c r="J4583" s="17" t="str">
        <f>IFERROR(__xludf.DUMMYFUNCTION("""COMPUTED_VALUE"""),"")</f>
        <v/>
      </c>
      <c r="K4583" s="17" t="str">
        <f>IFERROR(__xludf.DUMMYFUNCTION("""COMPUTED_VALUE"""),"")</f>
        <v/>
      </c>
      <c r="L4583" s="17" t="str">
        <f>IFERROR(__xludf.DUMMYFUNCTION("""COMPUTED_VALUE"""),"")</f>
        <v/>
      </c>
      <c r="M4583" s="17" t="str">
        <f>IFERROR(__xludf.DUMMYFUNCTION("""COMPUTED_VALUE"""),"")</f>
        <v/>
      </c>
      <c r="N4583" s="17" t="str">
        <f>IFERROR(__xludf.DUMMYFUNCTION("""COMPUTED_VALUE"""),"")</f>
        <v/>
      </c>
      <c r="O4583" s="17" t="str">
        <f>IFERROR(__xludf.DUMMYFUNCTION("""COMPUTED_VALUE"""),"")</f>
        <v/>
      </c>
      <c r="P4583" s="17" t="str">
        <f>IFERROR(__xludf.DUMMYFUNCTION("""COMPUTED_VALUE"""),"")</f>
        <v/>
      </c>
      <c r="Q4583" s="17" t="str">
        <f>IFERROR(__xludf.DUMMYFUNCTION("""COMPUTED_VALUE"""),"")</f>
        <v/>
      </c>
      <c r="R4583" s="17" t="str">
        <f>IFERROR(__xludf.DUMMYFUNCTION("""COMPUTED_VALUE"""),"")</f>
        <v/>
      </c>
    </row>
    <row r="4584">
      <c r="A4584" s="15">
        <f>IFERROR(__xludf.DUMMYFUNCTION("""COMPUTED_VALUE"""),45134.0)</f>
        <v>45134</v>
      </c>
      <c r="B4584" s="16" t="str">
        <f>IFERROR(__xludf.DUMMYFUNCTION("""COMPUTED_VALUE"""),"Ivan David Pirela Pirela")</f>
        <v>Ivan David Pirela Pirela</v>
      </c>
      <c r="C4584" s="15" t="str">
        <f>IFERROR(__xludf.DUMMYFUNCTION("""COMPUTED_VALUE"""),"BUCARAMANGA")</f>
        <v>BUCARAMANGA</v>
      </c>
      <c r="D4584" s="15" t="str">
        <f>IFERROR(__xludf.DUMMYFUNCTION("""COMPUTED_VALUE"""),"BOGOTÁ")</f>
        <v>BOGOTÁ</v>
      </c>
      <c r="E4584" s="15" t="str">
        <f>IFERROR(__xludf.DUMMYFUNCTION("""COMPUTED_VALUE"""),"Evamazzita")</f>
        <v>Evamazzita</v>
      </c>
      <c r="F4584" s="17" t="str">
        <f>IFERROR(__xludf.DUMMYFUNCTION("""COMPUTED_VALUE"""),"Av La Rosita # 27 37 / APTO 806 TORRE SUR / EDIFICIO GREEN GOLD")</f>
        <v>Av La Rosita # 27 37 / APTO 806 TORRE SUR / EDIFICIO GREEN GOLD</v>
      </c>
      <c r="G4584" s="15" t="str">
        <f>IFERROR(__xludf.DUMMYFUNCTION("""COMPUTED_VALUE"""),"ANDREA CALDERON PEREZ")</f>
        <v>ANDREA CALDERON PEREZ</v>
      </c>
      <c r="H4584" s="16">
        <f>IFERROR(__xludf.DUMMYFUNCTION("""COMPUTED_VALUE"""),13319.0)</f>
        <v>13319</v>
      </c>
      <c r="I4584" s="18">
        <f>IFERROR(__xludf.DUMMYFUNCTION("""COMPUTED_VALUE"""),1.0)</f>
        <v>1</v>
      </c>
      <c r="J4584" s="18">
        <f>IFERROR(__xludf.DUMMYFUNCTION("""COMPUTED_VALUE"""),1.0)</f>
        <v>1</v>
      </c>
      <c r="K4584" s="18">
        <f>IFERROR(__xludf.DUMMYFUNCTION("""COMPUTED_VALUE"""),1.0)</f>
        <v>1</v>
      </c>
      <c r="L4584" s="17">
        <f>IFERROR(__xludf.DUMMYFUNCTION("""COMPUTED_VALUE"""),3.162686959E9)</f>
        <v>3162686959</v>
      </c>
      <c r="M4584" s="17" t="str">
        <f>IFERROR(__xludf.DUMMYFUNCTION("""COMPUTED_VALUE"""),"#REF!")</f>
        <v>#REF!</v>
      </c>
      <c r="N4584" s="17"/>
      <c r="O4584" s="17"/>
      <c r="P4584" s="17" t="b">
        <f>IFERROR(__xludf.DUMMYFUNCTION("""COMPUTED_VALUE"""),TRUE)</f>
        <v>1</v>
      </c>
      <c r="Q4584" s="20">
        <f>IFERROR(__xludf.DUMMYFUNCTION("""COMPUTED_VALUE"""),0.0)</f>
        <v>0</v>
      </c>
      <c r="R4584" s="21" t="str">
        <f>IFERROR(__xludf.DUMMYFUNCTION("""COMPUTED_VALUE"""),"https://drive.google.com/file/d/134_zq266HoJqUOuW0jZMLAsuctAtVHqv/view?usp=drivesdk")</f>
        <v>https://drive.google.com/file/d/134_zq266HoJqUOuW0jZMLAsuctAtVHqv/view?usp=drivesdk</v>
      </c>
    </row>
    <row r="4585">
      <c r="A4585" s="15">
        <f>IFERROR(__xludf.DUMMYFUNCTION("""COMPUTED_VALUE"""),45134.0)</f>
        <v>45134</v>
      </c>
      <c r="B4585" s="16" t="str">
        <f>IFERROR(__xludf.DUMMYFUNCTION("""COMPUTED_VALUE"""),"Ivan David Pirela Pirela")</f>
        <v>Ivan David Pirela Pirela</v>
      </c>
      <c r="C4585" s="15" t="str">
        <f>IFERROR(__xludf.DUMMYFUNCTION("""COMPUTED_VALUE"""),"BUCARAMANGA")</f>
        <v>BUCARAMANGA</v>
      </c>
      <c r="D4585" s="15" t="str">
        <f>IFERROR(__xludf.DUMMYFUNCTION("""COMPUTED_VALUE"""),"BOGOTÁ")</f>
        <v>BOGOTÁ</v>
      </c>
      <c r="E4585" s="15" t="str">
        <f>IFERROR(__xludf.DUMMYFUNCTION("""COMPUTED_VALUE"""),"Evamazzita")</f>
        <v>Evamazzita</v>
      </c>
      <c r="F4585" s="17" t="str">
        <f>IFERROR(__xludf.DUMMYFUNCTION("""COMPUTED_VALUE"""),"CALLE 14 # 62 B 28  / MORRORICO / Morrorico")</f>
        <v>CALLE 14 # 62 B 28  / MORRORICO / Morrorico</v>
      </c>
      <c r="G4585" s="15" t="str">
        <f>IFERROR(__xludf.DUMMYFUNCTION("""COMPUTED_VALUE"""),"CLAUDIA PATRICIA VEGA DELGADO")</f>
        <v>CLAUDIA PATRICIA VEGA DELGADO</v>
      </c>
      <c r="H4585" s="16">
        <f>IFERROR(__xludf.DUMMYFUNCTION("""COMPUTED_VALUE"""),13306.0)</f>
        <v>13306</v>
      </c>
      <c r="I4585" s="18">
        <f>IFERROR(__xludf.DUMMYFUNCTION("""COMPUTED_VALUE"""),1.0)</f>
        <v>1</v>
      </c>
      <c r="J4585" s="18">
        <f>IFERROR(__xludf.DUMMYFUNCTION("""COMPUTED_VALUE"""),1.0)</f>
        <v>1</v>
      </c>
      <c r="K4585" s="18">
        <f>IFERROR(__xludf.DUMMYFUNCTION("""COMPUTED_VALUE"""),1.0)</f>
        <v>1</v>
      </c>
      <c r="L4585" s="17">
        <f>IFERROR(__xludf.DUMMYFUNCTION("""COMPUTED_VALUE"""),3.188769629E9)</f>
        <v>3188769629</v>
      </c>
      <c r="M4585" s="17" t="str">
        <f>IFERROR(__xludf.DUMMYFUNCTION("""COMPUTED_VALUE"""),"#REF!")</f>
        <v>#REF!</v>
      </c>
      <c r="N4585" s="17"/>
      <c r="O4585" s="17"/>
      <c r="P4585" s="17" t="b">
        <f>IFERROR(__xludf.DUMMYFUNCTION("""COMPUTED_VALUE"""),FALSE)</f>
        <v>0</v>
      </c>
      <c r="Q4585" s="20" t="str">
        <f>IFERROR(__xludf.DUMMYFUNCTION("""COMPUTED_VALUE"""),"")</f>
        <v/>
      </c>
      <c r="R4585" s="21" t="str">
        <f>IFERROR(__xludf.DUMMYFUNCTION("""COMPUTED_VALUE"""),"https://drive.google.com/file/d/1bO0FcrPw5RTnqdvzAlkx6Wm9RrXAldvA/view?usp=drivesdk")</f>
        <v>https://drive.google.com/file/d/1bO0FcrPw5RTnqdvzAlkx6Wm9RrXAldvA/view?usp=drivesdk</v>
      </c>
    </row>
    <row r="4586">
      <c r="A4586" s="15">
        <f>IFERROR(__xludf.DUMMYFUNCTION("""COMPUTED_VALUE"""),45134.0)</f>
        <v>45134</v>
      </c>
      <c r="B4586" s="16" t="str">
        <f>IFERROR(__xludf.DUMMYFUNCTION("""COMPUTED_VALUE"""),"Ivan David Pirela Pirela")</f>
        <v>Ivan David Pirela Pirela</v>
      </c>
      <c r="C4586" s="15" t="str">
        <f>IFERROR(__xludf.DUMMYFUNCTION("""COMPUTED_VALUE"""),"BUCARAMANGA")</f>
        <v>BUCARAMANGA</v>
      </c>
      <c r="D4586" s="15" t="str">
        <f>IFERROR(__xludf.DUMMYFUNCTION("""COMPUTED_VALUE"""),"BOGOTÁ")</f>
        <v>BOGOTÁ</v>
      </c>
      <c r="E4586" s="15" t="str">
        <f>IFERROR(__xludf.DUMMYFUNCTION("""COMPUTED_VALUE"""),"Evamazzita")</f>
        <v>Evamazzita</v>
      </c>
      <c r="F4586" s="17" t="str">
        <f>IFERROR(__xludf.DUMMYFUNCTION("""COMPUTED_VALUE"""),"Calle 44 # 28 31 / Ed. EL DORAL APTO 301 / BARRIO SOTOMAYOR")</f>
        <v>Calle 44 # 28 31 / Ed. EL DORAL APTO 301 / BARRIO SOTOMAYOR</v>
      </c>
      <c r="G4586" s="15" t="str">
        <f>IFERROR(__xludf.DUMMYFUNCTION("""COMPUTED_VALUE"""),"JACKELINE GAMARRA")</f>
        <v>JACKELINE GAMARRA</v>
      </c>
      <c r="H4586" s="16">
        <f>IFERROR(__xludf.DUMMYFUNCTION("""COMPUTED_VALUE"""),13317.0)</f>
        <v>13317</v>
      </c>
      <c r="I4586" s="18">
        <f>IFERROR(__xludf.DUMMYFUNCTION("""COMPUTED_VALUE"""),1.0)</f>
        <v>1</v>
      </c>
      <c r="J4586" s="18">
        <f>IFERROR(__xludf.DUMMYFUNCTION("""COMPUTED_VALUE"""),1.0)</f>
        <v>1</v>
      </c>
      <c r="K4586" s="18">
        <f>IFERROR(__xludf.DUMMYFUNCTION("""COMPUTED_VALUE"""),1.0)</f>
        <v>1</v>
      </c>
      <c r="L4586" s="17">
        <f>IFERROR(__xludf.DUMMYFUNCTION("""COMPUTED_VALUE"""),3.017594797E9)</f>
        <v>3017594797</v>
      </c>
      <c r="M4586" s="17" t="str">
        <f>IFERROR(__xludf.DUMMYFUNCTION("""COMPUTED_VALUE"""),"#REF!")</f>
        <v>#REF!</v>
      </c>
      <c r="N4586" s="17"/>
      <c r="O4586" s="17"/>
      <c r="P4586" s="17" t="b">
        <f>IFERROR(__xludf.DUMMYFUNCTION("""COMPUTED_VALUE"""),TRUE)</f>
        <v>1</v>
      </c>
      <c r="Q4586" s="20">
        <f>IFERROR(__xludf.DUMMYFUNCTION("""COMPUTED_VALUE"""),0.0)</f>
        <v>0</v>
      </c>
      <c r="R4586" s="21" t="str">
        <f>IFERROR(__xludf.DUMMYFUNCTION("""COMPUTED_VALUE"""),"https://drive.google.com/file/d/1zi8p4EDJ1Mjaeq_d2xBQ2epL5SwqblGr/view?usp=drivesdk")</f>
        <v>https://drive.google.com/file/d/1zi8p4EDJ1Mjaeq_d2xBQ2epL5SwqblGr/view?usp=drivesdk</v>
      </c>
    </row>
    <row r="4587">
      <c r="A4587" s="15">
        <f>IFERROR(__xludf.DUMMYFUNCTION("""COMPUTED_VALUE"""),45134.0)</f>
        <v>45134</v>
      </c>
      <c r="B4587" s="16" t="str">
        <f>IFERROR(__xludf.DUMMYFUNCTION("""COMPUTED_VALUE"""),"Ivan David Pirela Pirela")</f>
        <v>Ivan David Pirela Pirela</v>
      </c>
      <c r="C4587" s="15" t="str">
        <f>IFERROR(__xludf.DUMMYFUNCTION("""COMPUTED_VALUE"""),"BUCARAMANGA")</f>
        <v>BUCARAMANGA</v>
      </c>
      <c r="D4587" s="15" t="str">
        <f>IFERROR(__xludf.DUMMYFUNCTION("""COMPUTED_VALUE"""),"BOGOTÁ")</f>
        <v>BOGOTÁ</v>
      </c>
      <c r="E4587" s="15" t="str">
        <f>IFERROR(__xludf.DUMMYFUNCTION("""COMPUTED_VALUE"""),"Evamazzita")</f>
        <v>Evamazzita</v>
      </c>
      <c r="F4587" s="17" t="str">
        <f>IFERROR(__xludf.DUMMYFUNCTION("""COMPUTED_VALUE"""),"CALLE 58 # 30 67  / EDIFICIO PLAZA SEVILLA  APTO 506 / Barrio conucos")</f>
        <v>CALLE 58 # 30 67  / EDIFICIO PLAZA SEVILLA  APTO 506 / Barrio conucos</v>
      </c>
      <c r="G4587" s="15" t="str">
        <f>IFERROR(__xludf.DUMMYFUNCTION("""COMPUTED_VALUE"""),"ANDREA BARRERA SIERRA")</f>
        <v>ANDREA BARRERA SIERRA</v>
      </c>
      <c r="H4587" s="16">
        <f>IFERROR(__xludf.DUMMYFUNCTION("""COMPUTED_VALUE"""),13318.0)</f>
        <v>13318</v>
      </c>
      <c r="I4587" s="18">
        <f>IFERROR(__xludf.DUMMYFUNCTION("""COMPUTED_VALUE"""),1.0)</f>
        <v>1</v>
      </c>
      <c r="J4587" s="18">
        <f>IFERROR(__xludf.DUMMYFUNCTION("""COMPUTED_VALUE"""),1.0)</f>
        <v>1</v>
      </c>
      <c r="K4587" s="18">
        <f>IFERROR(__xludf.DUMMYFUNCTION("""COMPUTED_VALUE"""),1.0)</f>
        <v>1</v>
      </c>
      <c r="L4587" s="17">
        <f>IFERROR(__xludf.DUMMYFUNCTION("""COMPUTED_VALUE"""),3.162215968E9)</f>
        <v>3162215968</v>
      </c>
      <c r="M4587" s="17" t="str">
        <f>IFERROR(__xludf.DUMMYFUNCTION("""COMPUTED_VALUE"""),"#REF!")</f>
        <v>#REF!</v>
      </c>
      <c r="N4587" s="17"/>
      <c r="O4587" s="17"/>
      <c r="P4587" s="17" t="b">
        <f>IFERROR(__xludf.DUMMYFUNCTION("""COMPUTED_VALUE"""),FALSE)</f>
        <v>0</v>
      </c>
      <c r="Q4587" s="20" t="str">
        <f>IFERROR(__xludf.DUMMYFUNCTION("""COMPUTED_VALUE"""),"")</f>
        <v/>
      </c>
      <c r="R4587" s="21" t="str">
        <f>IFERROR(__xludf.DUMMYFUNCTION("""COMPUTED_VALUE"""),"https://drive.google.com/file/d/1ApF5vi6xm7KcmaXsUiApFr-xmkLFTJD0/view?usp=drivesdk")</f>
        <v>https://drive.google.com/file/d/1ApF5vi6xm7KcmaXsUiApFr-xmkLFTJD0/view?usp=drivesdk</v>
      </c>
    </row>
    <row r="4588">
      <c r="A4588" s="15">
        <f>IFERROR(__xludf.DUMMYFUNCTION("""COMPUTED_VALUE"""),45134.0)</f>
        <v>45134</v>
      </c>
      <c r="B4588" s="16" t="str">
        <f>IFERROR(__xludf.DUMMYFUNCTION("""COMPUTED_VALUE"""),"Ivan David Pirela Pirela")</f>
        <v>Ivan David Pirela Pirela</v>
      </c>
      <c r="C4588" s="15" t="str">
        <f>IFERROR(__xludf.DUMMYFUNCTION("""COMPUTED_VALUE"""),"BUCARAMANGA")</f>
        <v>BUCARAMANGA</v>
      </c>
      <c r="D4588" s="15" t="str">
        <f>IFERROR(__xludf.DUMMYFUNCTION("""COMPUTED_VALUE"""),"BOGOTÁ")</f>
        <v>BOGOTÁ</v>
      </c>
      <c r="E4588" s="15" t="str">
        <f>IFERROR(__xludf.DUMMYFUNCTION("""COMPUTED_VALUE"""),"Evamazzita")</f>
        <v>Evamazzita</v>
      </c>
      <c r="F4588" s="17" t="str">
        <f>IFERROR(__xludf.DUMMYFUNCTION("""COMPUTED_VALUE"""),"CLL 103 # 12 86 / TO 10 APTO 301 / Altos de Fotana")</f>
        <v>CLL 103 # 12 86 / TO 10 APTO 301 / Altos de Fotana</v>
      </c>
      <c r="G4588" s="15" t="str">
        <f>IFERROR(__xludf.DUMMYFUNCTION("""COMPUTED_VALUE"""),"KELLY JOHANNA JIMENEZ MANRIQUE")</f>
        <v>KELLY JOHANNA JIMENEZ MANRIQUE</v>
      </c>
      <c r="H4588" s="16">
        <f>IFERROR(__xludf.DUMMYFUNCTION("""COMPUTED_VALUE"""),13326.0)</f>
        <v>13326</v>
      </c>
      <c r="I4588" s="18">
        <f>IFERROR(__xludf.DUMMYFUNCTION("""COMPUTED_VALUE"""),1.0)</f>
        <v>1</v>
      </c>
      <c r="J4588" s="18">
        <f>IFERROR(__xludf.DUMMYFUNCTION("""COMPUTED_VALUE"""),1.0)</f>
        <v>1</v>
      </c>
      <c r="K4588" s="18">
        <f>IFERROR(__xludf.DUMMYFUNCTION("""COMPUTED_VALUE"""),1.0)</f>
        <v>1</v>
      </c>
      <c r="L4588" s="17">
        <f>IFERROR(__xludf.DUMMYFUNCTION("""COMPUTED_VALUE"""),3.160722717E9)</f>
        <v>3160722717</v>
      </c>
      <c r="M4588" s="17" t="str">
        <f>IFERROR(__xludf.DUMMYFUNCTION("""COMPUTED_VALUE"""),"#REF!")</f>
        <v>#REF!</v>
      </c>
      <c r="N4588" s="17"/>
      <c r="O4588" s="17"/>
      <c r="P4588" s="17" t="b">
        <f>IFERROR(__xludf.DUMMYFUNCTION("""COMPUTED_VALUE"""),TRUE)</f>
        <v>1</v>
      </c>
      <c r="Q4588" s="20">
        <f>IFERROR(__xludf.DUMMYFUNCTION("""COMPUTED_VALUE"""),0.0)</f>
        <v>0</v>
      </c>
      <c r="R4588" s="21" t="str">
        <f>IFERROR(__xludf.DUMMYFUNCTION("""COMPUTED_VALUE"""),"https://drive.google.com/file/d/159ErFu8k_hjGPhECSx9jprK_sBwl6f3E/view?usp=drivesdk")</f>
        <v>https://drive.google.com/file/d/159ErFu8k_hjGPhECSx9jprK_sBwl6f3E/view?usp=drivesdk</v>
      </c>
    </row>
    <row r="4589">
      <c r="A4589" s="15">
        <f>IFERROR(__xludf.DUMMYFUNCTION("""COMPUTED_VALUE"""),45134.0)</f>
        <v>45134</v>
      </c>
      <c r="B4589" s="16" t="str">
        <f>IFERROR(__xludf.DUMMYFUNCTION("""COMPUTED_VALUE"""),"Ivan David Pirela Pirela")</f>
        <v>Ivan David Pirela Pirela</v>
      </c>
      <c r="C4589" s="15" t="str">
        <f>IFERROR(__xludf.DUMMYFUNCTION("""COMPUTED_VALUE"""),"BUCARAMANGA")</f>
        <v>BUCARAMANGA</v>
      </c>
      <c r="D4589" s="15" t="str">
        <f>IFERROR(__xludf.DUMMYFUNCTION("""COMPUTED_VALUE"""),"BOGOTÁ")</f>
        <v>BOGOTÁ</v>
      </c>
      <c r="E4589" s="15" t="str">
        <f>IFERROR(__xludf.DUMMYFUNCTION("""COMPUTED_VALUE"""),"Evamazzita")</f>
        <v>Evamazzita</v>
      </c>
      <c r="F4589" s="17" t="str">
        <f>IFERROR(__xludf.DUMMYFUNCTION("""COMPUTED_VALUE"""),"CLL 104 F # 08 61  / PIso 2  / BARRIO PORVENIR")</f>
        <v>CLL 104 F # 08 61  / PIso 2  / BARRIO PORVENIR</v>
      </c>
      <c r="G4589" s="15" t="str">
        <f>IFERROR(__xludf.DUMMYFUNCTION("""COMPUTED_VALUE"""),"CAREN DAYANA ROA MORANTES")</f>
        <v>CAREN DAYANA ROA MORANTES</v>
      </c>
      <c r="H4589" s="16">
        <f>IFERROR(__xludf.DUMMYFUNCTION("""COMPUTED_VALUE"""),13320.0)</f>
        <v>13320</v>
      </c>
      <c r="I4589" s="18">
        <f>IFERROR(__xludf.DUMMYFUNCTION("""COMPUTED_VALUE"""),1.0)</f>
        <v>1</v>
      </c>
      <c r="J4589" s="18">
        <f>IFERROR(__xludf.DUMMYFUNCTION("""COMPUTED_VALUE"""),1.0)</f>
        <v>1</v>
      </c>
      <c r="K4589" s="18">
        <f>IFERROR(__xludf.DUMMYFUNCTION("""COMPUTED_VALUE"""),1.0)</f>
        <v>1</v>
      </c>
      <c r="L4589" s="17">
        <f>IFERROR(__xludf.DUMMYFUNCTION("""COMPUTED_VALUE"""),3.204270444E9)</f>
        <v>3204270444</v>
      </c>
      <c r="M4589" s="17" t="str">
        <f>IFERROR(__xludf.DUMMYFUNCTION("""COMPUTED_VALUE"""),"#REF!")</f>
        <v>#REF!</v>
      </c>
      <c r="N4589" s="17"/>
      <c r="O4589" s="17"/>
      <c r="P4589" s="17" t="b">
        <f>IFERROR(__xludf.DUMMYFUNCTION("""COMPUTED_VALUE"""),TRUE)</f>
        <v>1</v>
      </c>
      <c r="Q4589" s="20">
        <f>IFERROR(__xludf.DUMMYFUNCTION("""COMPUTED_VALUE"""),0.0)</f>
        <v>0</v>
      </c>
      <c r="R4589" s="21" t="str">
        <f>IFERROR(__xludf.DUMMYFUNCTION("""COMPUTED_VALUE"""),"https://drive.google.com/file/d/1SmNTq03RS29DgS62lN-nlEpaOHNoeHdp/view?usp=drivesdk")</f>
        <v>https://drive.google.com/file/d/1SmNTq03RS29DgS62lN-nlEpaOHNoeHdp/view?usp=drivesdk</v>
      </c>
    </row>
    <row r="4590">
      <c r="A4590" s="15">
        <f>IFERROR(__xludf.DUMMYFUNCTION("""COMPUTED_VALUE"""),45134.0)</f>
        <v>45134</v>
      </c>
      <c r="B4590" s="16" t="str">
        <f>IFERROR(__xludf.DUMMYFUNCTION("""COMPUTED_VALUE"""),"Ivan David Pirela Pirela")</f>
        <v>Ivan David Pirela Pirela</v>
      </c>
      <c r="C4590" s="15" t="str">
        <f>IFERROR(__xludf.DUMMYFUNCTION("""COMPUTED_VALUE"""),"BUCARAMANGA")</f>
        <v>BUCARAMANGA</v>
      </c>
      <c r="D4590" s="15" t="str">
        <f>IFERROR(__xludf.DUMMYFUNCTION("""COMPUTED_VALUE"""),"BOGOTÁ")</f>
        <v>BOGOTÁ</v>
      </c>
      <c r="E4590" s="15" t="str">
        <f>IFERROR(__xludf.DUMMYFUNCTION("""COMPUTED_VALUE"""),"Evamazzita")</f>
        <v>Evamazzita</v>
      </c>
      <c r="F4590" s="17" t="str">
        <f>IFERROR(__xludf.DUMMYFUNCTION("""COMPUTED_VALUE"""),"Cll 35 # 22 43 / Apto 304 / BARRIO ANTONIA SANTOS")</f>
        <v>Cll 35 # 22 43 / Apto 304 / BARRIO ANTONIA SANTOS</v>
      </c>
      <c r="G4590" s="15" t="str">
        <f>IFERROR(__xludf.DUMMYFUNCTION("""COMPUTED_VALUE"""),"CELINA JOYA CACERES")</f>
        <v>CELINA JOYA CACERES</v>
      </c>
      <c r="H4590" s="16">
        <f>IFERROR(__xludf.DUMMYFUNCTION("""COMPUTED_VALUE"""),13327.0)</f>
        <v>13327</v>
      </c>
      <c r="I4590" s="18">
        <f>IFERROR(__xludf.DUMMYFUNCTION("""COMPUTED_VALUE"""),1.0)</f>
        <v>1</v>
      </c>
      <c r="J4590" s="18">
        <f>IFERROR(__xludf.DUMMYFUNCTION("""COMPUTED_VALUE"""),1.0)</f>
        <v>1</v>
      </c>
      <c r="K4590" s="18">
        <f>IFERROR(__xludf.DUMMYFUNCTION("""COMPUTED_VALUE"""),1.0)</f>
        <v>1</v>
      </c>
      <c r="L4590" s="17">
        <f>IFERROR(__xludf.DUMMYFUNCTION("""COMPUTED_VALUE"""),3.157559784E9)</f>
        <v>3157559784</v>
      </c>
      <c r="M4590" s="17" t="str">
        <f>IFERROR(__xludf.DUMMYFUNCTION("""COMPUTED_VALUE"""),"#REF!")</f>
        <v>#REF!</v>
      </c>
      <c r="N4590" s="17"/>
      <c r="O4590" s="17"/>
      <c r="P4590" s="17" t="b">
        <f>IFERROR(__xludf.DUMMYFUNCTION("""COMPUTED_VALUE"""),TRUE)</f>
        <v>1</v>
      </c>
      <c r="Q4590" s="20">
        <f>IFERROR(__xludf.DUMMYFUNCTION("""COMPUTED_VALUE"""),0.0)</f>
        <v>0</v>
      </c>
      <c r="R4590" s="21" t="str">
        <f>IFERROR(__xludf.DUMMYFUNCTION("""COMPUTED_VALUE"""),"https://drive.google.com/file/d/1iSl_NVMApTD4HQgA5B6eMomIST9cjW4u/view?usp=drivesdk")</f>
        <v>https://drive.google.com/file/d/1iSl_NVMApTD4HQgA5B6eMomIST9cjW4u/view?usp=drivesdk</v>
      </c>
    </row>
    <row r="4591">
      <c r="A4591" s="15">
        <f>IFERROR(__xludf.DUMMYFUNCTION("""COMPUTED_VALUE"""),45134.0)</f>
        <v>45134</v>
      </c>
      <c r="B4591" s="16" t="str">
        <f>IFERROR(__xludf.DUMMYFUNCTION("""COMPUTED_VALUE"""),"Ivan David Pirela Pirela")</f>
        <v>Ivan David Pirela Pirela</v>
      </c>
      <c r="C4591" s="15" t="str">
        <f>IFERROR(__xludf.DUMMYFUNCTION("""COMPUTED_VALUE"""),"BUCARAMANGA")</f>
        <v>BUCARAMANGA</v>
      </c>
      <c r="D4591" s="15" t="str">
        <f>IFERROR(__xludf.DUMMYFUNCTION("""COMPUTED_VALUE"""),"BOGOTÁ")</f>
        <v>BOGOTÁ</v>
      </c>
      <c r="E4591" s="15" t="str">
        <f>IFERROR(__xludf.DUMMYFUNCTION("""COMPUTED_VALUE"""),"Evamazzita")</f>
        <v>Evamazzita</v>
      </c>
      <c r="F4591" s="17" t="str">
        <f>IFERROR(__xludf.DUMMYFUNCTION("""COMPUTED_VALUE"""),"Cr 31 # 40 66 / Mejoras publicas bucaramanga / MEJORAS PUBLICAS CUNDINAMARCA")</f>
        <v>Cr 31 # 40 66 / Mejoras publicas bucaramanga / MEJORAS PUBLICAS CUNDINAMARCA</v>
      </c>
      <c r="G4591" s="15" t="str">
        <f>IFERROR(__xludf.DUMMYFUNCTION("""COMPUTED_VALUE"""),"JEIMY KATHERINE ARENAS DAZA")</f>
        <v>JEIMY KATHERINE ARENAS DAZA</v>
      </c>
      <c r="H4591" s="16">
        <f>IFERROR(__xludf.DUMMYFUNCTION("""COMPUTED_VALUE"""),13321.0)</f>
        <v>13321</v>
      </c>
      <c r="I4591" s="18">
        <f>IFERROR(__xludf.DUMMYFUNCTION("""COMPUTED_VALUE"""),1.0)</f>
        <v>1</v>
      </c>
      <c r="J4591" s="18">
        <f>IFERROR(__xludf.DUMMYFUNCTION("""COMPUTED_VALUE"""),1.0)</f>
        <v>1</v>
      </c>
      <c r="K4591" s="18">
        <f>IFERROR(__xludf.DUMMYFUNCTION("""COMPUTED_VALUE"""),1.0)</f>
        <v>1</v>
      </c>
      <c r="L4591" s="17">
        <f>IFERROR(__xludf.DUMMYFUNCTION("""COMPUTED_VALUE"""),3.182898252E9)</f>
        <v>3182898252</v>
      </c>
      <c r="M4591" s="17" t="str">
        <f>IFERROR(__xludf.DUMMYFUNCTION("""COMPUTED_VALUE"""),"#REF!")</f>
        <v>#REF!</v>
      </c>
      <c r="N4591" s="17"/>
      <c r="O4591" s="17"/>
      <c r="P4591" s="17" t="b">
        <f>IFERROR(__xludf.DUMMYFUNCTION("""COMPUTED_VALUE"""),FALSE)</f>
        <v>0</v>
      </c>
      <c r="Q4591" s="20" t="str">
        <f>IFERROR(__xludf.DUMMYFUNCTION("""COMPUTED_VALUE"""),"")</f>
        <v/>
      </c>
      <c r="R4591" s="21" t="str">
        <f>IFERROR(__xludf.DUMMYFUNCTION("""COMPUTED_VALUE"""),"https://drive.google.com/file/d/1gK4blzmKq_aPf2D6d-N07JCKmlE6Qg8m/view?usp=drivesdk")</f>
        <v>https://drive.google.com/file/d/1gK4blzmKq_aPf2D6d-N07JCKmlE6Qg8m/view?usp=drivesdk</v>
      </c>
    </row>
    <row r="4592">
      <c r="A4592" s="15">
        <f>IFERROR(__xludf.DUMMYFUNCTION("""COMPUTED_VALUE"""),45134.0)</f>
        <v>45134</v>
      </c>
      <c r="B4592" s="16" t="str">
        <f>IFERROR(__xludf.DUMMYFUNCTION("""COMPUTED_VALUE"""),"Ivan David Pirela Pirela")</f>
        <v>Ivan David Pirela Pirela</v>
      </c>
      <c r="C4592" s="15" t="str">
        <f>IFERROR(__xludf.DUMMYFUNCTION("""COMPUTED_VALUE"""),"BUCARAMANGA")</f>
        <v>BUCARAMANGA</v>
      </c>
      <c r="D4592" s="15" t="str">
        <f>IFERROR(__xludf.DUMMYFUNCTION("""COMPUTED_VALUE"""),"BOGOTÁ")</f>
        <v>BOGOTÁ</v>
      </c>
      <c r="E4592" s="15" t="str">
        <f>IFERROR(__xludf.DUMMYFUNCTION("""COMPUTED_VALUE"""),"Top Spun")</f>
        <v>Top Spun</v>
      </c>
      <c r="F4592" s="17" t="str">
        <f>IFERROR(__xludf.DUMMYFUNCTION("""COMPUTED_VALUE"""),"cra 25 #35-16 / CR. San Lucas Apto o casa: Apto 510 / Barrio: Antonia santos centro")</f>
        <v>cra 25 #35-16 / CR. San Lucas Apto o casa: Apto 510 / Barrio: Antonia santos centro</v>
      </c>
      <c r="G4592" s="15" t="str">
        <f>IFERROR(__xludf.DUMMYFUNCTION("""COMPUTED_VALUE"""),"Laura Paola Martínez")</f>
        <v>Laura Paola Martínez</v>
      </c>
      <c r="H4592" s="16">
        <f>IFERROR(__xludf.DUMMYFUNCTION("""COMPUTED_VALUE"""),13274.0)</f>
        <v>13274</v>
      </c>
      <c r="I4592" s="18">
        <f>IFERROR(__xludf.DUMMYFUNCTION("""COMPUTED_VALUE"""),20.0)</f>
        <v>20</v>
      </c>
      <c r="J4592" s="18">
        <f>IFERROR(__xludf.DUMMYFUNCTION("""COMPUTED_VALUE"""),10.0)</f>
        <v>10</v>
      </c>
      <c r="K4592" s="18">
        <f>IFERROR(__xludf.DUMMYFUNCTION("""COMPUTED_VALUE"""),40.0)</f>
        <v>40</v>
      </c>
      <c r="L4592" s="17">
        <f>IFERROR(__xludf.DUMMYFUNCTION("""COMPUTED_VALUE"""),3.166981975E9)</f>
        <v>3166981975</v>
      </c>
      <c r="M4592" s="17" t="str">
        <f>IFERROR(__xludf.DUMMYFUNCTION("""COMPUTED_VALUE"""),"#REF!")</f>
        <v>#REF!</v>
      </c>
      <c r="N4592" s="17"/>
      <c r="O4592" s="17"/>
      <c r="P4592" s="17" t="b">
        <f>IFERROR(__xludf.DUMMYFUNCTION("""COMPUTED_VALUE"""),TRUE)</f>
        <v>1</v>
      </c>
      <c r="Q4592" s="20">
        <f>IFERROR(__xludf.DUMMYFUNCTION("""COMPUTED_VALUE"""),0.0)</f>
        <v>0</v>
      </c>
      <c r="R4592" s="21" t="str">
        <f>IFERROR(__xludf.DUMMYFUNCTION("""COMPUTED_VALUE"""),"https://drive.google.com/file/d/1LZ8HQLV0PHHOJ4qk2QEhqFCmUtWZ4LEP/view?usp=drivesdk")</f>
        <v>https://drive.google.com/file/d/1LZ8HQLV0PHHOJ4qk2QEhqFCmUtWZ4LEP/view?usp=drivesdk</v>
      </c>
    </row>
    <row r="4593">
      <c r="A4593" s="15">
        <f>IFERROR(__xludf.DUMMYFUNCTION("""COMPUTED_VALUE"""),45134.0)</f>
        <v>45134</v>
      </c>
      <c r="B4593" s="16" t="str">
        <f>IFERROR(__xludf.DUMMYFUNCTION("""COMPUTED_VALUE"""),"Ivan David Pirela Pirela")</f>
        <v>Ivan David Pirela Pirela</v>
      </c>
      <c r="C4593" s="15" t="str">
        <f>IFERROR(__xludf.DUMMYFUNCTION("""COMPUTED_VALUE"""),"FLORIDABLANCA")</f>
        <v>FLORIDABLANCA</v>
      </c>
      <c r="D4593" s="15" t="str">
        <f>IFERROR(__xludf.DUMMYFUNCTION("""COMPUTED_VALUE"""),"BOGOTÁ")</f>
        <v>BOGOTÁ</v>
      </c>
      <c r="E4593" s="15" t="str">
        <f>IFERROR(__xludf.DUMMYFUNCTION("""COMPUTED_VALUE"""),"Evamazzita")</f>
        <v>Evamazzita</v>
      </c>
      <c r="F4593" s="17" t="str">
        <f>IFERROR(__xludf.DUMMYFUNCTION("""COMPUTED_VALUE"""),"CLL 200 # 13 36  / Apto 604 / MONTESOL APARTAMENTOS CLUB")</f>
        <v>CLL 200 # 13 36  / Apto 604 / MONTESOL APARTAMENTOS CLUB</v>
      </c>
      <c r="G4593" s="15" t="str">
        <f>IFERROR(__xludf.DUMMYFUNCTION("""COMPUTED_VALUE"""),"LAURA MILENA SALAZAR VALDERRAMA")</f>
        <v>LAURA MILENA SALAZAR VALDERRAMA</v>
      </c>
      <c r="H4593" s="16">
        <f>IFERROR(__xludf.DUMMYFUNCTION("""COMPUTED_VALUE"""),13304.0)</f>
        <v>13304</v>
      </c>
      <c r="I4593" s="18">
        <f>IFERROR(__xludf.DUMMYFUNCTION("""COMPUTED_VALUE"""),1.0)</f>
        <v>1</v>
      </c>
      <c r="J4593" s="18">
        <f>IFERROR(__xludf.DUMMYFUNCTION("""COMPUTED_VALUE"""),1.0)</f>
        <v>1</v>
      </c>
      <c r="K4593" s="18">
        <f>IFERROR(__xludf.DUMMYFUNCTION("""COMPUTED_VALUE"""),1.0)</f>
        <v>1</v>
      </c>
      <c r="L4593" s="17">
        <f>IFERROR(__xludf.DUMMYFUNCTION("""COMPUTED_VALUE"""),3.013086565E9)</f>
        <v>3013086565</v>
      </c>
      <c r="M4593" s="17" t="str">
        <f>IFERROR(__xludf.DUMMYFUNCTION("""COMPUTED_VALUE"""),"#REF!")</f>
        <v>#REF!</v>
      </c>
      <c r="N4593" s="17"/>
      <c r="O4593" s="17"/>
      <c r="P4593" s="17" t="b">
        <f>IFERROR(__xludf.DUMMYFUNCTION("""COMPUTED_VALUE"""),TRUE)</f>
        <v>1</v>
      </c>
      <c r="Q4593" s="20">
        <f>IFERROR(__xludf.DUMMYFUNCTION("""COMPUTED_VALUE"""),0.0)</f>
        <v>0</v>
      </c>
      <c r="R4593" s="21" t="str">
        <f>IFERROR(__xludf.DUMMYFUNCTION("""COMPUTED_VALUE"""),"https://drive.google.com/file/d/1rUTwyUL_CTSb_qA63JXWsjKHidKEooG5/view?usp=drivesdk")</f>
        <v>https://drive.google.com/file/d/1rUTwyUL_CTSb_qA63JXWsjKHidKEooG5/view?usp=drivesdk</v>
      </c>
    </row>
    <row r="4594">
      <c r="A4594" s="15">
        <f>IFERROR(__xludf.DUMMYFUNCTION("""COMPUTED_VALUE"""),45134.0)</f>
        <v>45134</v>
      </c>
      <c r="B4594" s="16" t="str">
        <f>IFERROR(__xludf.DUMMYFUNCTION("""COMPUTED_VALUE"""),"Ivan David Pirela Pirela")</f>
        <v>Ivan David Pirela Pirela</v>
      </c>
      <c r="C4594" s="15" t="str">
        <f>IFERROR(__xludf.DUMMYFUNCTION("""COMPUTED_VALUE"""),"FLORIDABLANCA")</f>
        <v>FLORIDABLANCA</v>
      </c>
      <c r="D4594" s="15" t="str">
        <f>IFERROR(__xludf.DUMMYFUNCTION("""COMPUTED_VALUE"""),"BOGOTÁ")</f>
        <v>BOGOTÁ</v>
      </c>
      <c r="E4594" s="15" t="str">
        <f>IFERROR(__xludf.DUMMYFUNCTION("""COMPUTED_VALUE"""),"Evamazzita")</f>
        <v>Evamazzita</v>
      </c>
      <c r="F4594" s="17" t="str">
        <f>IFERROR(__xludf.DUMMYFUNCTION("""COMPUTED_VALUE"""),"CLL 26 # 3 E 16  / Apartamento piso 3 entrada peatonal / BARRIO LA CUMBRE - FRENTE CANCHA LA JAULA")</f>
        <v>CLL 26 # 3 E 16  / Apartamento piso 3 entrada peatonal / BARRIO LA CUMBRE - FRENTE CANCHA LA JAULA</v>
      </c>
      <c r="G4594" s="15" t="str">
        <f>IFERROR(__xludf.DUMMYFUNCTION("""COMPUTED_VALUE"""),"JENNY CAROLINA ARDILA MARTINEZ")</f>
        <v>JENNY CAROLINA ARDILA MARTINEZ</v>
      </c>
      <c r="H4594" s="16">
        <f>IFERROR(__xludf.DUMMYFUNCTION("""COMPUTED_VALUE"""),13303.0)</f>
        <v>13303</v>
      </c>
      <c r="I4594" s="18">
        <f>IFERROR(__xludf.DUMMYFUNCTION("""COMPUTED_VALUE"""),1.0)</f>
        <v>1</v>
      </c>
      <c r="J4594" s="18">
        <f>IFERROR(__xludf.DUMMYFUNCTION("""COMPUTED_VALUE"""),1.0)</f>
        <v>1</v>
      </c>
      <c r="K4594" s="18">
        <f>IFERROR(__xludf.DUMMYFUNCTION("""COMPUTED_VALUE"""),1.0)</f>
        <v>1</v>
      </c>
      <c r="L4594" s="17">
        <f>IFERROR(__xludf.DUMMYFUNCTION("""COMPUTED_VALUE"""),3.207035515E9)</f>
        <v>3207035515</v>
      </c>
      <c r="M4594" s="17" t="str">
        <f>IFERROR(__xludf.DUMMYFUNCTION("""COMPUTED_VALUE"""),"#REF!")</f>
        <v>#REF!</v>
      </c>
      <c r="N4594" s="17"/>
      <c r="O4594" s="17"/>
      <c r="P4594" s="17" t="b">
        <f>IFERROR(__xludf.DUMMYFUNCTION("""COMPUTED_VALUE"""),TRUE)</f>
        <v>1</v>
      </c>
      <c r="Q4594" s="20">
        <f>IFERROR(__xludf.DUMMYFUNCTION("""COMPUTED_VALUE"""),0.0)</f>
        <v>0</v>
      </c>
      <c r="R4594" s="21" t="str">
        <f>IFERROR(__xludf.DUMMYFUNCTION("""COMPUTED_VALUE"""),"https://drive.google.com/file/d/1nemAmqpaTCek4q7HZa7GqQJqjo2Rsrnp/view?usp=drivesdk")</f>
        <v>https://drive.google.com/file/d/1nemAmqpaTCek4q7HZa7GqQJqjo2Rsrnp/view?usp=drivesdk</v>
      </c>
    </row>
    <row r="4595">
      <c r="A4595" s="15">
        <f>IFERROR(__xludf.DUMMYFUNCTION("""COMPUTED_VALUE"""),45134.0)</f>
        <v>45134</v>
      </c>
      <c r="B4595" s="16" t="str">
        <f>IFERROR(__xludf.DUMMYFUNCTION("""COMPUTED_VALUE"""),"Ivan David Pirela Pirela")</f>
        <v>Ivan David Pirela Pirela</v>
      </c>
      <c r="C4595" s="15" t="str">
        <f>IFERROR(__xludf.DUMMYFUNCTION("""COMPUTED_VALUE"""),"FLORIDABLANCA")</f>
        <v>FLORIDABLANCA</v>
      </c>
      <c r="D4595" s="15" t="str">
        <f>IFERROR(__xludf.DUMMYFUNCTION("""COMPUTED_VALUE"""),"BOGOTÁ")</f>
        <v>BOGOTÁ</v>
      </c>
      <c r="E4595" s="15" t="str">
        <f>IFERROR(__xludf.DUMMYFUNCTION("""COMPUTED_VALUE"""),"Evamazzita")</f>
        <v>Evamazzita</v>
      </c>
      <c r="F4595" s="17" t="str">
        <f>IFERROR(__xludf.DUMMYFUNCTION("""COMPUTED_VALUE"""),"VIA 33 # 96 01 / Portera 1 Casa 15 E / CONJUNTO PARAQUITAS")</f>
        <v>VIA 33 # 96 01 / Portera 1 Casa 15 E / CONJUNTO PARAQUITAS</v>
      </c>
      <c r="G4595" s="15" t="str">
        <f>IFERROR(__xludf.DUMMYFUNCTION("""COMPUTED_VALUE"""),"ALEJANDRA ALVAREZ OSORIO")</f>
        <v>ALEJANDRA ALVAREZ OSORIO</v>
      </c>
      <c r="H4595" s="16">
        <f>IFERROR(__xludf.DUMMYFUNCTION("""COMPUTED_VALUE"""),13302.0)</f>
        <v>13302</v>
      </c>
      <c r="I4595" s="18">
        <f>IFERROR(__xludf.DUMMYFUNCTION("""COMPUTED_VALUE"""),1.0)</f>
        <v>1</v>
      </c>
      <c r="J4595" s="18">
        <f>IFERROR(__xludf.DUMMYFUNCTION("""COMPUTED_VALUE"""),1.0)</f>
        <v>1</v>
      </c>
      <c r="K4595" s="18">
        <f>IFERROR(__xludf.DUMMYFUNCTION("""COMPUTED_VALUE"""),1.0)</f>
        <v>1</v>
      </c>
      <c r="L4595" s="17">
        <f>IFERROR(__xludf.DUMMYFUNCTION("""COMPUTED_VALUE"""),3.162234884E9)</f>
        <v>3162234884</v>
      </c>
      <c r="M4595" s="17" t="str">
        <f>IFERROR(__xludf.DUMMYFUNCTION("""COMPUTED_VALUE"""),"#REF!")</f>
        <v>#REF!</v>
      </c>
      <c r="N4595" s="17"/>
      <c r="O4595" s="17"/>
      <c r="P4595" s="17" t="b">
        <f>IFERROR(__xludf.DUMMYFUNCTION("""COMPUTED_VALUE"""),TRUE)</f>
        <v>1</v>
      </c>
      <c r="Q4595" s="20">
        <f>IFERROR(__xludf.DUMMYFUNCTION("""COMPUTED_VALUE"""),0.0)</f>
        <v>0</v>
      </c>
      <c r="R4595" s="21" t="str">
        <f>IFERROR(__xludf.DUMMYFUNCTION("""COMPUTED_VALUE"""),"https://drive.google.com/file/d/1GQQ0XfYvfPNtmm9WE4y55rFmkCfYgyRs/view?usp=drivesdk")</f>
        <v>https://drive.google.com/file/d/1GQQ0XfYvfPNtmm9WE4y55rFmkCfYgyRs/view?usp=drivesdk</v>
      </c>
    </row>
    <row r="4596">
      <c r="A4596" s="15">
        <f>IFERROR(__xludf.DUMMYFUNCTION("""COMPUTED_VALUE"""),45134.0)</f>
        <v>45134</v>
      </c>
      <c r="B4596" s="16" t="str">
        <f>IFERROR(__xludf.DUMMYFUNCTION("""COMPUTED_VALUE"""),"Ivan David Pirela Pirela")</f>
        <v>Ivan David Pirela Pirela</v>
      </c>
      <c r="C4596" s="15" t="str">
        <f>IFERROR(__xludf.DUMMYFUNCTION("""COMPUTED_VALUE"""),"NEIVA")</f>
        <v>NEIVA</v>
      </c>
      <c r="D4596" s="15" t="str">
        <f>IFERROR(__xludf.DUMMYFUNCTION("""COMPUTED_VALUE"""),"BOGOTÁ")</f>
        <v>BOGOTÁ</v>
      </c>
      <c r="E4596" s="15" t="str">
        <f>IFERROR(__xludf.DUMMYFUNCTION("""COMPUTED_VALUE"""),"Loomifoods")</f>
        <v>Loomifoods</v>
      </c>
      <c r="F4596" s="17" t="str">
        <f>IFERROR(__xludf.DUMMYFUNCTION("""COMPUTED_VALUE"""),"Calle 18c no. 54b - 05 / San Miguel Arcangel / Neiva")</f>
        <v>Calle 18c no. 54b - 05 / San Miguel Arcangel / Neiva</v>
      </c>
      <c r="G4596" s="15" t="str">
        <f>IFERROR(__xludf.DUMMYFUNCTION("""COMPUTED_VALUE"""),"Maira Padilla")</f>
        <v>Maira Padilla</v>
      </c>
      <c r="H4596" s="16">
        <f>IFERROR(__xludf.DUMMYFUNCTION("""COMPUTED_VALUE"""),13333.0)</f>
        <v>13333</v>
      </c>
      <c r="I4596" s="18">
        <f>IFERROR(__xludf.DUMMYFUNCTION("""COMPUTED_VALUE"""),19.0)</f>
        <v>19</v>
      </c>
      <c r="J4596" s="18">
        <f>IFERROR(__xludf.DUMMYFUNCTION("""COMPUTED_VALUE"""),3.0)</f>
        <v>3</v>
      </c>
      <c r="K4596" s="18">
        <f>IFERROR(__xludf.DUMMYFUNCTION("""COMPUTED_VALUE"""),16.0)</f>
        <v>16</v>
      </c>
      <c r="L4596" s="17">
        <f>IFERROR(__xludf.DUMMYFUNCTION("""COMPUTED_VALUE"""),3.214295641E9)</f>
        <v>3214295641</v>
      </c>
      <c r="M4596" s="17" t="str">
        <f>IFERROR(__xludf.DUMMYFUNCTION("""COMPUTED_VALUE"""),"#REF!")</f>
        <v>#REF!</v>
      </c>
      <c r="N4596" s="17"/>
      <c r="O4596" s="17"/>
      <c r="P4596" s="17" t="b">
        <f>IFERROR(__xludf.DUMMYFUNCTION("""COMPUTED_VALUE"""),FALSE)</f>
        <v>0</v>
      </c>
      <c r="Q4596" s="20" t="str">
        <f>IFERROR(__xludf.DUMMYFUNCTION("""COMPUTED_VALUE"""),"")</f>
        <v/>
      </c>
      <c r="R4596" s="22" t="str">
        <f>IFERROR(__xludf.DUMMYFUNCTION("""COMPUTED_VALUE"""),"")</f>
        <v/>
      </c>
    </row>
    <row r="4597">
      <c r="A4597" s="15">
        <f>IFERROR(__xludf.DUMMYFUNCTION("""COMPUTED_VALUE"""),45134.0)</f>
        <v>45134</v>
      </c>
      <c r="B4597" s="16" t="str">
        <f>IFERROR(__xludf.DUMMYFUNCTION("""COMPUTED_VALUE"""),"Ivan David Pirela Pirela")</f>
        <v>Ivan David Pirela Pirela</v>
      </c>
      <c r="C4597" s="15" t="str">
        <f>IFERROR(__xludf.DUMMYFUNCTION("""COMPUTED_VALUE"""),"NEIVA")</f>
        <v>NEIVA</v>
      </c>
      <c r="D4597" s="15" t="str">
        <f>IFERROR(__xludf.DUMMYFUNCTION("""COMPUTED_VALUE"""),"BOGOTÁ")</f>
        <v>BOGOTÁ</v>
      </c>
      <c r="E4597" s="15" t="str">
        <f>IFERROR(__xludf.DUMMYFUNCTION("""COMPUTED_VALUE"""),"Verde Avocado")</f>
        <v>Verde Avocado</v>
      </c>
      <c r="F4597" s="17" t="str">
        <f>IFERROR(__xludf.DUMMYFUNCTION("""COMPUTED_VALUE"""),"Calle 75a # 1w-77 / Casa / Barrio calamari")</f>
        <v>Calle 75a # 1w-77 / Casa / Barrio calamari</v>
      </c>
      <c r="G4597" s="15" t="str">
        <f>IFERROR(__xludf.DUMMYFUNCTION("""COMPUTED_VALUE"""),"Diana horta")</f>
        <v>Diana horta</v>
      </c>
      <c r="H4597" s="16">
        <f>IFERROR(__xludf.DUMMYFUNCTION("""COMPUTED_VALUE"""),13331.0)</f>
        <v>13331</v>
      </c>
      <c r="I4597" s="18">
        <f>IFERROR(__xludf.DUMMYFUNCTION("""COMPUTED_VALUE"""),45061.0)</f>
        <v>45061</v>
      </c>
      <c r="J4597" s="18">
        <f>IFERROR(__xludf.DUMMYFUNCTION("""COMPUTED_VALUE"""),17.0)</f>
        <v>17</v>
      </c>
      <c r="K4597" s="18">
        <f>IFERROR(__xludf.DUMMYFUNCTION("""COMPUTED_VALUE"""),45070.0)</f>
        <v>45070</v>
      </c>
      <c r="L4597" s="17">
        <f>IFERROR(__xludf.DUMMYFUNCTION("""COMPUTED_VALUE"""),3.167562064E9)</f>
        <v>3167562064</v>
      </c>
      <c r="M4597" s="17" t="str">
        <f>IFERROR(__xludf.DUMMYFUNCTION("""COMPUTED_VALUE"""),"#REF!")</f>
        <v>#REF!</v>
      </c>
      <c r="N4597" s="17"/>
      <c r="O4597" s="17"/>
      <c r="P4597" s="17" t="b">
        <f>IFERROR(__xludf.DUMMYFUNCTION("""COMPUTED_VALUE"""),FALSE)</f>
        <v>0</v>
      </c>
      <c r="Q4597" s="20" t="str">
        <f>IFERROR(__xludf.DUMMYFUNCTION("""COMPUTED_VALUE"""),"")</f>
        <v/>
      </c>
      <c r="R4597" s="22" t="str">
        <f>IFERROR(__xludf.DUMMYFUNCTION("""COMPUTED_VALUE"""),"")</f>
        <v/>
      </c>
    </row>
    <row r="4598">
      <c r="A4598" s="17" t="str">
        <f>IFERROR(__xludf.DUMMYFUNCTION("""COMPUTED_VALUE"""),"")</f>
        <v/>
      </c>
      <c r="B4598" s="17" t="str">
        <f>IFERROR(__xludf.DUMMYFUNCTION("""COMPUTED_VALUE"""),"")</f>
        <v/>
      </c>
      <c r="C4598" s="17" t="str">
        <f>IFERROR(__xludf.DUMMYFUNCTION("""COMPUTED_VALUE"""),"")</f>
        <v/>
      </c>
      <c r="D4598" s="17" t="str">
        <f>IFERROR(__xludf.DUMMYFUNCTION("""COMPUTED_VALUE"""),"")</f>
        <v/>
      </c>
      <c r="E4598" s="17" t="str">
        <f>IFERROR(__xludf.DUMMYFUNCTION("""COMPUTED_VALUE"""),"")</f>
        <v/>
      </c>
      <c r="F4598" s="17" t="str">
        <f>IFERROR(__xludf.DUMMYFUNCTION("""COMPUTED_VALUE"""),"")</f>
        <v/>
      </c>
      <c r="G4598" s="17" t="str">
        <f>IFERROR(__xludf.DUMMYFUNCTION("""COMPUTED_VALUE"""),"")</f>
        <v/>
      </c>
      <c r="H4598" s="17" t="str">
        <f>IFERROR(__xludf.DUMMYFUNCTION("""COMPUTED_VALUE"""),"")</f>
        <v/>
      </c>
      <c r="I4598" s="17" t="str">
        <f>IFERROR(__xludf.DUMMYFUNCTION("""COMPUTED_VALUE"""),"")</f>
        <v/>
      </c>
      <c r="J4598" s="17" t="str">
        <f>IFERROR(__xludf.DUMMYFUNCTION("""COMPUTED_VALUE"""),"")</f>
        <v/>
      </c>
      <c r="K4598" s="17" t="str">
        <f>IFERROR(__xludf.DUMMYFUNCTION("""COMPUTED_VALUE"""),"")</f>
        <v/>
      </c>
      <c r="L4598" s="17" t="str">
        <f>IFERROR(__xludf.DUMMYFUNCTION("""COMPUTED_VALUE"""),"")</f>
        <v/>
      </c>
      <c r="M4598" s="17" t="str">
        <f>IFERROR(__xludf.DUMMYFUNCTION("""COMPUTED_VALUE"""),"")</f>
        <v/>
      </c>
      <c r="N4598" s="17" t="str">
        <f>IFERROR(__xludf.DUMMYFUNCTION("""COMPUTED_VALUE"""),"")</f>
        <v/>
      </c>
      <c r="O4598" s="17" t="str">
        <f>IFERROR(__xludf.DUMMYFUNCTION("""COMPUTED_VALUE"""),"")</f>
        <v/>
      </c>
      <c r="P4598" s="17" t="str">
        <f>IFERROR(__xludf.DUMMYFUNCTION("""COMPUTED_VALUE"""),"")</f>
        <v/>
      </c>
      <c r="Q4598" s="17" t="str">
        <f>IFERROR(__xludf.DUMMYFUNCTION("""COMPUTED_VALUE"""),"")</f>
        <v/>
      </c>
      <c r="R4598" s="17" t="str">
        <f>IFERROR(__xludf.DUMMYFUNCTION("""COMPUTED_VALUE"""),"")</f>
        <v/>
      </c>
    </row>
    <row r="4599">
      <c r="A4599" s="15">
        <f>IFERROR(__xludf.DUMMYFUNCTION("""COMPUTED_VALUE"""),45134.0)</f>
        <v>45134</v>
      </c>
      <c r="B4599" s="16" t="str">
        <f>IFERROR(__xludf.DUMMYFUNCTION("""COMPUTED_VALUE"""),"Jeison Rubiano")</f>
        <v>Jeison Rubiano</v>
      </c>
      <c r="C4599" s="15" t="str">
        <f>IFERROR(__xludf.DUMMYFUNCTION("""COMPUTED_VALUE"""),"CARTAGENA")</f>
        <v>CARTAGENA</v>
      </c>
      <c r="D4599" s="15" t="str">
        <f>IFERROR(__xludf.DUMMYFUNCTION("""COMPUTED_VALUE"""),"MEDELLÍN")</f>
        <v>MEDELLÍN</v>
      </c>
      <c r="E4599" s="15" t="str">
        <f>IFERROR(__xludf.DUMMYFUNCTION("""COMPUTED_VALUE"""),"Rambla")</f>
        <v>Rambla</v>
      </c>
      <c r="F4599" s="17" t="str">
        <f>IFERROR(__xludf.DUMMYFUNCTION("""COMPUTED_VALUE"""),"CARRERA 2 #7-47  / LOCAL 3  / BARRIO BOCAGRANDE")</f>
        <v>CARRERA 2 #7-47  / LOCAL 3  / BARRIO BOCAGRANDE</v>
      </c>
      <c r="G4599" s="15" t="str">
        <f>IFERROR(__xludf.DUMMYFUNCTION("""COMPUTED_VALUE"""),"ENJOY-LAURA NATALIA CRUZ")</f>
        <v>ENJOY-LAURA NATALIA CRUZ</v>
      </c>
      <c r="H4599" s="16">
        <f>IFERROR(__xludf.DUMMYFUNCTION("""COMPUTED_VALUE"""),13270.0)</f>
        <v>13270</v>
      </c>
      <c r="I4599" s="18">
        <f>IFERROR(__xludf.DUMMYFUNCTION("""COMPUTED_VALUE"""),34.0)</f>
        <v>34</v>
      </c>
      <c r="J4599" s="18">
        <f>IFERROR(__xludf.DUMMYFUNCTION("""COMPUTED_VALUE"""),23.0)</f>
        <v>23</v>
      </c>
      <c r="K4599" s="18">
        <f>IFERROR(__xludf.DUMMYFUNCTION("""COMPUTED_VALUE"""),23.0)</f>
        <v>23</v>
      </c>
      <c r="L4599" s="17">
        <f>IFERROR(__xludf.DUMMYFUNCTION("""COMPUTED_VALUE"""),3.228800692E9)</f>
        <v>3228800692</v>
      </c>
      <c r="M4599" s="17" t="str">
        <f>IFERROR(__xludf.DUMMYFUNCTION("""COMPUTED_VALUE"""),"#REF!")</f>
        <v>#REF!</v>
      </c>
      <c r="N4599" s="17"/>
      <c r="O4599" s="17"/>
      <c r="P4599" s="17" t="b">
        <f>IFERROR(__xludf.DUMMYFUNCTION("""COMPUTED_VALUE"""),FALSE)</f>
        <v>0</v>
      </c>
      <c r="Q4599" s="20" t="str">
        <f>IFERROR(__xludf.DUMMYFUNCTION("""COMPUTED_VALUE"""),"")</f>
        <v/>
      </c>
      <c r="R4599" s="21" t="str">
        <f>IFERROR(__xludf.DUMMYFUNCTION("""COMPUTED_VALUE"""),"https://drive.google.com/file/d/1_Ct7NXulBktxzACf7lpcTQFuEm1d8qG5/view?usp=drivesdk")</f>
        <v>https://drive.google.com/file/d/1_Ct7NXulBktxzACf7lpcTQFuEm1d8qG5/view?usp=drivesdk</v>
      </c>
    </row>
    <row r="4600">
      <c r="A4600" s="17" t="str">
        <f>IFERROR(__xludf.DUMMYFUNCTION("""COMPUTED_VALUE"""),"")</f>
        <v/>
      </c>
      <c r="B4600" s="17" t="str">
        <f>IFERROR(__xludf.DUMMYFUNCTION("""COMPUTED_VALUE"""),"")</f>
        <v/>
      </c>
      <c r="C4600" s="17" t="str">
        <f>IFERROR(__xludf.DUMMYFUNCTION("""COMPUTED_VALUE"""),"")</f>
        <v/>
      </c>
      <c r="D4600" s="17" t="str">
        <f>IFERROR(__xludf.DUMMYFUNCTION("""COMPUTED_VALUE"""),"")</f>
        <v/>
      </c>
      <c r="E4600" s="17" t="str">
        <f>IFERROR(__xludf.DUMMYFUNCTION("""COMPUTED_VALUE"""),"")</f>
        <v/>
      </c>
      <c r="F4600" s="17" t="str">
        <f>IFERROR(__xludf.DUMMYFUNCTION("""COMPUTED_VALUE"""),"")</f>
        <v/>
      </c>
      <c r="G4600" s="17" t="str">
        <f>IFERROR(__xludf.DUMMYFUNCTION("""COMPUTED_VALUE"""),"")</f>
        <v/>
      </c>
      <c r="H4600" s="17" t="str">
        <f>IFERROR(__xludf.DUMMYFUNCTION("""COMPUTED_VALUE"""),"")</f>
        <v/>
      </c>
      <c r="I4600" s="17" t="str">
        <f>IFERROR(__xludf.DUMMYFUNCTION("""COMPUTED_VALUE"""),"")</f>
        <v/>
      </c>
      <c r="J4600" s="17" t="str">
        <f>IFERROR(__xludf.DUMMYFUNCTION("""COMPUTED_VALUE"""),"")</f>
        <v/>
      </c>
      <c r="K4600" s="17" t="str">
        <f>IFERROR(__xludf.DUMMYFUNCTION("""COMPUTED_VALUE"""),"")</f>
        <v/>
      </c>
      <c r="L4600" s="17" t="str">
        <f>IFERROR(__xludf.DUMMYFUNCTION("""COMPUTED_VALUE"""),"")</f>
        <v/>
      </c>
      <c r="M4600" s="17" t="str">
        <f>IFERROR(__xludf.DUMMYFUNCTION("""COMPUTED_VALUE"""),"")</f>
        <v/>
      </c>
      <c r="N4600" s="17" t="str">
        <f>IFERROR(__xludf.DUMMYFUNCTION("""COMPUTED_VALUE"""),"")</f>
        <v/>
      </c>
      <c r="O4600" s="17" t="str">
        <f>IFERROR(__xludf.DUMMYFUNCTION("""COMPUTED_VALUE"""),"")</f>
        <v/>
      </c>
      <c r="P4600" s="17" t="str">
        <f>IFERROR(__xludf.DUMMYFUNCTION("""COMPUTED_VALUE"""),"")</f>
        <v/>
      </c>
      <c r="Q4600" s="17" t="str">
        <f>IFERROR(__xludf.DUMMYFUNCTION("""COMPUTED_VALUE"""),"")</f>
        <v/>
      </c>
      <c r="R4600" s="17" t="str">
        <f>IFERROR(__xludf.DUMMYFUNCTION("""COMPUTED_VALUE"""),"")</f>
        <v/>
      </c>
    </row>
    <row r="4601">
      <c r="A4601" s="15">
        <f>IFERROR(__xludf.DUMMYFUNCTION("""COMPUTED_VALUE"""),45135.0)</f>
        <v>45135</v>
      </c>
      <c r="B4601" s="17"/>
      <c r="C4601" s="15" t="str">
        <f>IFERROR(__xludf.DUMMYFUNCTION("""COMPUTED_VALUE"""),"CARTAGENA")</f>
        <v>CARTAGENA</v>
      </c>
      <c r="D4601" s="15" t="str">
        <f>IFERROR(__xludf.DUMMYFUNCTION("""COMPUTED_VALUE"""),"BOGOTÁ")</f>
        <v>BOGOTÁ</v>
      </c>
      <c r="E4601" s="15" t="str">
        <f>IFERROR(__xludf.DUMMYFUNCTION("""COMPUTED_VALUE"""),"Athenas")</f>
        <v>Athenas</v>
      </c>
      <c r="F4601" s="17" t="str">
        <f>IFERROR(__xludf.DUMMYFUNCTION("""COMPUTED_VALUE"""),"Centro comercial Bocagrande  / 5 piso bodytech Cafetería athenas / Bocagrande")</f>
        <v>Centro comercial Bocagrande  / 5 piso bodytech Cafetería athenas / Bocagrande</v>
      </c>
      <c r="G4601" s="15" t="str">
        <f>IFERROR(__xludf.DUMMYFUNCTION("""COMPUTED_VALUE"""),"Meyler reales")</f>
        <v>Meyler reales</v>
      </c>
      <c r="H4601" s="16">
        <f>IFERROR(__xludf.DUMMYFUNCTION("""COMPUTED_VALUE"""),13289.0)</f>
        <v>13289</v>
      </c>
      <c r="I4601" s="18">
        <f>IFERROR(__xludf.DUMMYFUNCTION("""COMPUTED_VALUE"""),55.0)</f>
        <v>55</v>
      </c>
      <c r="J4601" s="18">
        <f>IFERROR(__xludf.DUMMYFUNCTION("""COMPUTED_VALUE"""),45.0)</f>
        <v>45</v>
      </c>
      <c r="K4601" s="18">
        <f>IFERROR(__xludf.DUMMYFUNCTION("""COMPUTED_VALUE"""),29.0)</f>
        <v>29</v>
      </c>
      <c r="L4601" s="17">
        <f>IFERROR(__xludf.DUMMYFUNCTION("""COMPUTED_VALUE"""),3.233856067E9)</f>
        <v>3233856067</v>
      </c>
      <c r="M4601" s="17" t="str">
        <f>IFERROR(__xludf.DUMMYFUNCTION("""COMPUTED_VALUE"""),"#REF!")</f>
        <v>#REF!</v>
      </c>
      <c r="N4601" s="17"/>
      <c r="O4601" s="17"/>
      <c r="P4601" s="17" t="b">
        <f>IFERROR(__xludf.DUMMYFUNCTION("""COMPUTED_VALUE"""),FALSE)</f>
        <v>0</v>
      </c>
      <c r="Q4601" s="20" t="str">
        <f>IFERROR(__xludf.DUMMYFUNCTION("""COMPUTED_VALUE"""),"")</f>
        <v/>
      </c>
      <c r="R4601" s="22" t="str">
        <f>IFERROR(__xludf.DUMMYFUNCTION("""COMPUTED_VALUE"""),"")</f>
        <v/>
      </c>
    </row>
    <row r="4602">
      <c r="A4602" s="15">
        <f>IFERROR(__xludf.DUMMYFUNCTION("""COMPUTED_VALUE"""),45135.0)</f>
        <v>45135</v>
      </c>
      <c r="B4602" s="17"/>
      <c r="C4602" s="15" t="str">
        <f>IFERROR(__xludf.DUMMYFUNCTION("""COMPUTED_VALUE"""),"MANIZALES")</f>
        <v>MANIZALES</v>
      </c>
      <c r="D4602" s="15" t="str">
        <f>IFERROR(__xludf.DUMMYFUNCTION("""COMPUTED_VALUE"""),"BUCARAMANGA")</f>
        <v>BUCARAMANGA</v>
      </c>
      <c r="E4602" s="15" t="str">
        <f>IFERROR(__xludf.DUMMYFUNCTION("""COMPUTED_VALUE"""),"Yo Como Solito")</f>
        <v>Yo Como Solito</v>
      </c>
      <c r="F4602" s="17" t="str">
        <f>IFERROR(__xludf.DUMMYFUNCTION("""COMPUTED_VALUE"""),"CRA 28 D # 70-46. Barrio Palermo. Manizales - Caldas /  CRA 28 D # 70-46. Barrio Palermo. Manizales - Caldas /  CRA 28 D # 70-46. Barrio Palermo. Manizales - Caldas")</f>
        <v>CRA 28 D # 70-46. Barrio Palermo. Manizales - Caldas /  CRA 28 D # 70-46. Barrio Palermo. Manizales - Caldas /  CRA 28 D # 70-46. Barrio Palermo. Manizales - Caldas</v>
      </c>
      <c r="G4602" s="15" t="str">
        <f>IFERROR(__xludf.DUMMYFUNCTION("""COMPUTED_VALUE"""),"Paula Ximena Bolaños Quintero")</f>
        <v>Paula Ximena Bolaños Quintero</v>
      </c>
      <c r="H4602" s="16">
        <f>IFERROR(__xludf.DUMMYFUNCTION("""COMPUTED_VALUE"""),13261.0)</f>
        <v>13261</v>
      </c>
      <c r="I4602" s="18">
        <f>IFERROR(__xludf.DUMMYFUNCTION("""COMPUTED_VALUE"""),17.0)</f>
        <v>17</v>
      </c>
      <c r="J4602" s="18">
        <f>IFERROR(__xludf.DUMMYFUNCTION("""COMPUTED_VALUE"""),21.0)</f>
        <v>21</v>
      </c>
      <c r="K4602" s="18">
        <f>IFERROR(__xludf.DUMMYFUNCTION("""COMPUTED_VALUE"""),26.0)</f>
        <v>26</v>
      </c>
      <c r="L4602" s="17">
        <f>IFERROR(__xludf.DUMMYFUNCTION("""COMPUTED_VALUE"""),3.10398467E9)</f>
        <v>3103984670</v>
      </c>
      <c r="M4602" s="17" t="str">
        <f>IFERROR(__xludf.DUMMYFUNCTION("""COMPUTED_VALUE"""),"#REF!")</f>
        <v>#REF!</v>
      </c>
      <c r="N4602" s="17"/>
      <c r="O4602" s="17"/>
      <c r="P4602" s="17" t="b">
        <f>IFERROR(__xludf.DUMMYFUNCTION("""COMPUTED_VALUE"""),FALSE)</f>
        <v>0</v>
      </c>
      <c r="Q4602" s="20" t="str">
        <f>IFERROR(__xludf.DUMMYFUNCTION("""COMPUTED_VALUE"""),"")</f>
        <v/>
      </c>
      <c r="R4602" s="22" t="str">
        <f>IFERROR(__xludf.DUMMYFUNCTION("""COMPUTED_VALUE"""),"")</f>
        <v/>
      </c>
    </row>
    <row r="4603">
      <c r="A4603" s="15">
        <f>IFERROR(__xludf.DUMMYFUNCTION("""COMPUTED_VALUE"""),45135.0)</f>
        <v>45135</v>
      </c>
      <c r="B4603" s="17"/>
      <c r="C4603" s="15" t="str">
        <f>IFERROR(__xludf.DUMMYFUNCTION("""COMPUTED_VALUE"""),"MEDELLÍN")</f>
        <v>MEDELLÍN</v>
      </c>
      <c r="D4603" s="15" t="str">
        <f>IFERROR(__xludf.DUMMYFUNCTION("""COMPUTED_VALUE"""),"BOGOTÁ")</f>
        <v>BOGOTÁ</v>
      </c>
      <c r="E4603" s="15" t="str">
        <f>IFERROR(__xludf.DUMMYFUNCTION("""COMPUTED_VALUE"""),"Jacobsen")</f>
        <v>Jacobsen</v>
      </c>
      <c r="F4603" s="17" t="str">
        <f>IFERROR(__xludf.DUMMYFUNCTION("""COMPUTED_VALUE"""),"CALLE 9A SUR #11-111 / CONDOMINIO CAMPESTRE APTO 134 / SAN GABRIEL")</f>
        <v>CALLE 9A SUR #11-111 / CONDOMINIO CAMPESTRE APTO 134 / SAN GABRIEL</v>
      </c>
      <c r="G4603" s="15" t="str">
        <f>IFERROR(__xludf.DUMMYFUNCTION("""COMPUTED_VALUE"""),"PAOLA VILLA")</f>
        <v>PAOLA VILLA</v>
      </c>
      <c r="H4603" s="16">
        <f>IFERROR(__xludf.DUMMYFUNCTION("""COMPUTED_VALUE"""),13350.0)</f>
        <v>13350</v>
      </c>
      <c r="I4603" s="18" t="str">
        <f>IFERROR(__xludf.DUMMYFUNCTION("""COMPUTED_VALUE"""),"0.25")</f>
        <v>0.25</v>
      </c>
      <c r="J4603" s="18" t="str">
        <f>IFERROR(__xludf.DUMMYFUNCTION("""COMPUTED_VALUE"""),"0.23")</f>
        <v>0.23</v>
      </c>
      <c r="K4603" s="18" t="str">
        <f>IFERROR(__xludf.DUMMYFUNCTION("""COMPUTED_VALUE"""),"0.38")</f>
        <v>0.38</v>
      </c>
      <c r="L4603" s="17">
        <f>IFERROR(__xludf.DUMMYFUNCTION("""COMPUTED_VALUE"""),3.175179334E9)</f>
        <v>3175179334</v>
      </c>
      <c r="M4603" s="17" t="str">
        <f>IFERROR(__xludf.DUMMYFUNCTION("""COMPUTED_VALUE"""),"#REF!")</f>
        <v>#REF!</v>
      </c>
      <c r="N4603" s="17"/>
      <c r="O4603" s="17"/>
      <c r="P4603" s="17" t="b">
        <f>IFERROR(__xludf.DUMMYFUNCTION("""COMPUTED_VALUE"""),FALSE)</f>
        <v>0</v>
      </c>
      <c r="Q4603" s="20" t="str">
        <f>IFERROR(__xludf.DUMMYFUNCTION("""COMPUTED_VALUE"""),"")</f>
        <v/>
      </c>
      <c r="R4603" s="22" t="str">
        <f>IFERROR(__xludf.DUMMYFUNCTION("""COMPUTED_VALUE"""),"")</f>
        <v/>
      </c>
    </row>
    <row r="4604">
      <c r="A4604" s="15">
        <f>IFERROR(__xludf.DUMMYFUNCTION("""COMPUTED_VALUE"""),45135.0)</f>
        <v>45135</v>
      </c>
      <c r="B4604" s="17"/>
      <c r="C4604" s="15" t="str">
        <f>IFERROR(__xludf.DUMMYFUNCTION("""COMPUTED_VALUE"""),"MEDELLÍN")</f>
        <v>MEDELLÍN</v>
      </c>
      <c r="D4604" s="15" t="str">
        <f>IFERROR(__xludf.DUMMYFUNCTION("""COMPUTED_VALUE"""),"BOGOTÁ")</f>
        <v>BOGOTÁ</v>
      </c>
      <c r="E4604" s="15" t="str">
        <f>IFERROR(__xludf.DUMMYFUNCTION("""COMPUTED_VALUE"""),"Pan de Waffle")</f>
        <v>Pan de Waffle</v>
      </c>
      <c r="F4604" s="17" t="str">
        <f>IFERROR(__xludf.DUMMYFUNCTION("""COMPUTED_VALUE"""),"Carrera 39 # 59 - 32 / Carrera 39 # 59 - 32 / Carrera 39 # 59 - 32")</f>
        <v>Carrera 39 # 59 - 32 / Carrera 39 # 59 - 32 / Carrera 39 # 59 - 32</v>
      </c>
      <c r="G4604" s="15" t="str">
        <f>IFERROR(__xludf.DUMMYFUNCTION("""COMPUTED_VALUE"""),"FOODOLOGY")</f>
        <v>FOODOLOGY</v>
      </c>
      <c r="H4604" s="16">
        <f>IFERROR(__xludf.DUMMYFUNCTION("""COMPUTED_VALUE"""),13353.0)</f>
        <v>13353</v>
      </c>
      <c r="I4604" s="18">
        <f>IFERROR(__xludf.DUMMYFUNCTION("""COMPUTED_VALUE"""),40.0)</f>
        <v>40</v>
      </c>
      <c r="J4604" s="18">
        <f>IFERROR(__xludf.DUMMYFUNCTION("""COMPUTED_VALUE"""),30.0)</f>
        <v>30</v>
      </c>
      <c r="K4604" s="18">
        <f>IFERROR(__xludf.DUMMYFUNCTION("""COMPUTED_VALUE"""),30.0)</f>
        <v>30</v>
      </c>
      <c r="L4604" s="17">
        <f>IFERROR(__xludf.DUMMYFUNCTION("""COMPUTED_VALUE"""),3.123558292E9)</f>
        <v>3123558292</v>
      </c>
      <c r="M4604" s="17" t="str">
        <f>IFERROR(__xludf.DUMMYFUNCTION("""COMPUTED_VALUE"""),"#REF!")</f>
        <v>#REF!</v>
      </c>
      <c r="N4604" s="17"/>
      <c r="O4604" s="17"/>
      <c r="P4604" s="17" t="b">
        <f>IFERROR(__xludf.DUMMYFUNCTION("""COMPUTED_VALUE"""),FALSE)</f>
        <v>0</v>
      </c>
      <c r="Q4604" s="20" t="str">
        <f>IFERROR(__xludf.DUMMYFUNCTION("""COMPUTED_VALUE"""),"")</f>
        <v/>
      </c>
      <c r="R4604" s="22" t="str">
        <f>IFERROR(__xludf.DUMMYFUNCTION("""COMPUTED_VALUE"""),"")</f>
        <v/>
      </c>
    </row>
    <row r="4605">
      <c r="A4605" s="15">
        <f>IFERROR(__xludf.DUMMYFUNCTION("""COMPUTED_VALUE"""),45135.0)</f>
        <v>45135</v>
      </c>
      <c r="B4605" s="17"/>
      <c r="C4605" s="15" t="str">
        <f>IFERROR(__xludf.DUMMYFUNCTION("""COMPUTED_VALUE"""),"YOPAL")</f>
        <v>YOPAL</v>
      </c>
      <c r="D4605" s="15" t="str">
        <f>IFERROR(__xludf.DUMMYFUNCTION("""COMPUTED_VALUE"""),"BOGOTÁ")</f>
        <v>BOGOTÁ</v>
      </c>
      <c r="E4605" s="15" t="str">
        <f>IFERROR(__xludf.DUMMYFUNCTION("""COMPUTED_VALUE"""),"Evamazzita")</f>
        <v>Evamazzita</v>
      </c>
      <c r="F4605" s="17" t="str">
        <f>IFERROR(__xludf.DUMMYFUNCTION("""COMPUTED_VALUE"""),"Calle 15#27A-21 / Edificio Oregon/ apto 402 / Barrio Los Helechos")</f>
        <v>Calle 15#27A-21 / Edificio Oregon/ apto 402 / Barrio Los Helechos</v>
      </c>
      <c r="G4605" s="15" t="str">
        <f>IFERROR(__xludf.DUMMYFUNCTION("""COMPUTED_VALUE"""),"JENNY VIVIANA CARPINTERO")</f>
        <v>JENNY VIVIANA CARPINTERO</v>
      </c>
      <c r="H4605" s="16">
        <f>IFERROR(__xludf.DUMMYFUNCTION("""COMPUTED_VALUE"""),13325.0)</f>
        <v>13325</v>
      </c>
      <c r="I4605" s="18">
        <f>IFERROR(__xludf.DUMMYFUNCTION("""COMPUTED_VALUE"""),1.0)</f>
        <v>1</v>
      </c>
      <c r="J4605" s="18">
        <f>IFERROR(__xludf.DUMMYFUNCTION("""COMPUTED_VALUE"""),1.0)</f>
        <v>1</v>
      </c>
      <c r="K4605" s="18">
        <f>IFERROR(__xludf.DUMMYFUNCTION("""COMPUTED_VALUE"""),1.0)</f>
        <v>1</v>
      </c>
      <c r="L4605" s="17">
        <f>IFERROR(__xludf.DUMMYFUNCTION("""COMPUTED_VALUE"""),3.186319767E9)</f>
        <v>3186319767</v>
      </c>
      <c r="M4605" s="17" t="str">
        <f>IFERROR(__xludf.DUMMYFUNCTION("""COMPUTED_VALUE"""),"#REF!")</f>
        <v>#REF!</v>
      </c>
      <c r="N4605" s="17"/>
      <c r="O4605" s="17"/>
      <c r="P4605" s="17" t="b">
        <f>IFERROR(__xludf.DUMMYFUNCTION("""COMPUTED_VALUE"""),FALSE)</f>
        <v>0</v>
      </c>
      <c r="Q4605" s="20" t="str">
        <f>IFERROR(__xludf.DUMMYFUNCTION("""COMPUTED_VALUE"""),"")</f>
        <v/>
      </c>
      <c r="R4605" s="22" t="str">
        <f>IFERROR(__xludf.DUMMYFUNCTION("""COMPUTED_VALUE"""),"")</f>
        <v/>
      </c>
    </row>
    <row r="4606">
      <c r="A4606" s="15">
        <f>IFERROR(__xludf.DUMMYFUNCTION("""COMPUTED_VALUE"""),45135.0)</f>
        <v>45135</v>
      </c>
      <c r="B4606" s="17"/>
      <c r="C4606" s="15" t="str">
        <f>IFERROR(__xludf.DUMMYFUNCTION("""COMPUTED_VALUE"""),"YOPAL")</f>
        <v>YOPAL</v>
      </c>
      <c r="D4606" s="15" t="str">
        <f>IFERROR(__xludf.DUMMYFUNCTION("""COMPUTED_VALUE"""),"BOGOTÁ")</f>
        <v>BOGOTÁ</v>
      </c>
      <c r="E4606" s="15" t="str">
        <f>IFERROR(__xludf.DUMMYFUNCTION("""COMPUTED_VALUE"""),"Evamazzita")</f>
        <v>Evamazzita</v>
      </c>
      <c r="F4606" s="17" t="str">
        <f>IFERROR(__xludf.DUMMYFUNCTION("""COMPUTED_VALUE"""),"Calle 20 #10A-47 / N/A / N/A")</f>
        <v>Calle 20 #10A-47 / N/A / N/A</v>
      </c>
      <c r="G4606" s="15" t="str">
        <f>IFERROR(__xludf.DUMMYFUNCTION("""COMPUTED_VALUE"""),"SANDRA GUZMAN")</f>
        <v>SANDRA GUZMAN</v>
      </c>
      <c r="H4606" s="16">
        <f>IFERROR(__xludf.DUMMYFUNCTION("""COMPUTED_VALUE"""),13324.0)</f>
        <v>13324</v>
      </c>
      <c r="I4606" s="18">
        <f>IFERROR(__xludf.DUMMYFUNCTION("""COMPUTED_VALUE"""),1.0)</f>
        <v>1</v>
      </c>
      <c r="J4606" s="18">
        <f>IFERROR(__xludf.DUMMYFUNCTION("""COMPUTED_VALUE"""),1.0)</f>
        <v>1</v>
      </c>
      <c r="K4606" s="18">
        <f>IFERROR(__xludf.DUMMYFUNCTION("""COMPUTED_VALUE"""),1.0)</f>
        <v>1</v>
      </c>
      <c r="L4606" s="17">
        <f>IFERROR(__xludf.DUMMYFUNCTION("""COMPUTED_VALUE"""),3.004863383E9)</f>
        <v>3004863383</v>
      </c>
      <c r="M4606" s="17" t="str">
        <f>IFERROR(__xludf.DUMMYFUNCTION("""COMPUTED_VALUE"""),"#REF!")</f>
        <v>#REF!</v>
      </c>
      <c r="N4606" s="17"/>
      <c r="O4606" s="17"/>
      <c r="P4606" s="17" t="b">
        <f>IFERROR(__xludf.DUMMYFUNCTION("""COMPUTED_VALUE"""),FALSE)</f>
        <v>0</v>
      </c>
      <c r="Q4606" s="20" t="str">
        <f>IFERROR(__xludf.DUMMYFUNCTION("""COMPUTED_VALUE"""),"")</f>
        <v/>
      </c>
      <c r="R4606" s="22" t="str">
        <f>IFERROR(__xludf.DUMMYFUNCTION("""COMPUTED_VALUE"""),"")</f>
        <v/>
      </c>
    </row>
    <row r="4607">
      <c r="A4607" s="17" t="str">
        <f>IFERROR(__xludf.DUMMYFUNCTION("""COMPUTED_VALUE"""),"")</f>
        <v/>
      </c>
      <c r="B4607" s="17" t="str">
        <f>IFERROR(__xludf.DUMMYFUNCTION("""COMPUTED_VALUE"""),"")</f>
        <v/>
      </c>
      <c r="C4607" s="17" t="str">
        <f>IFERROR(__xludf.DUMMYFUNCTION("""COMPUTED_VALUE"""),"")</f>
        <v/>
      </c>
      <c r="D4607" s="17" t="str">
        <f>IFERROR(__xludf.DUMMYFUNCTION("""COMPUTED_VALUE"""),"")</f>
        <v/>
      </c>
      <c r="E4607" s="17" t="str">
        <f>IFERROR(__xludf.DUMMYFUNCTION("""COMPUTED_VALUE"""),"")</f>
        <v/>
      </c>
      <c r="F4607" s="17" t="str">
        <f>IFERROR(__xludf.DUMMYFUNCTION("""COMPUTED_VALUE"""),"")</f>
        <v/>
      </c>
      <c r="G4607" s="17" t="str">
        <f>IFERROR(__xludf.DUMMYFUNCTION("""COMPUTED_VALUE"""),"")</f>
        <v/>
      </c>
      <c r="H4607" s="17" t="str">
        <f>IFERROR(__xludf.DUMMYFUNCTION("""COMPUTED_VALUE"""),"")</f>
        <v/>
      </c>
      <c r="I4607" s="17" t="str">
        <f>IFERROR(__xludf.DUMMYFUNCTION("""COMPUTED_VALUE"""),"")</f>
        <v/>
      </c>
      <c r="J4607" s="17" t="str">
        <f>IFERROR(__xludf.DUMMYFUNCTION("""COMPUTED_VALUE"""),"")</f>
        <v/>
      </c>
      <c r="K4607" s="17" t="str">
        <f>IFERROR(__xludf.DUMMYFUNCTION("""COMPUTED_VALUE"""),"")</f>
        <v/>
      </c>
      <c r="L4607" s="17" t="str">
        <f>IFERROR(__xludf.DUMMYFUNCTION("""COMPUTED_VALUE"""),"")</f>
        <v/>
      </c>
      <c r="M4607" s="17" t="str">
        <f>IFERROR(__xludf.DUMMYFUNCTION("""COMPUTED_VALUE"""),"")</f>
        <v/>
      </c>
      <c r="N4607" s="17" t="str">
        <f>IFERROR(__xludf.DUMMYFUNCTION("""COMPUTED_VALUE"""),"")</f>
        <v/>
      </c>
      <c r="O4607" s="17" t="str">
        <f>IFERROR(__xludf.DUMMYFUNCTION("""COMPUTED_VALUE"""),"")</f>
        <v/>
      </c>
      <c r="P4607" s="17" t="str">
        <f>IFERROR(__xludf.DUMMYFUNCTION("""COMPUTED_VALUE"""),"")</f>
        <v/>
      </c>
      <c r="Q4607" s="17" t="str">
        <f>IFERROR(__xludf.DUMMYFUNCTION("""COMPUTED_VALUE"""),"")</f>
        <v/>
      </c>
      <c r="R4607" s="17" t="str">
        <f>IFERROR(__xludf.DUMMYFUNCTION("""COMPUTED_VALUE"""),"")</f>
        <v/>
      </c>
    </row>
    <row r="4608">
      <c r="A4608" s="15">
        <f>IFERROR(__xludf.DUMMYFUNCTION("""COMPUTED_VALUE"""),45135.0)</f>
        <v>45135</v>
      </c>
      <c r="B4608" s="16" t="str">
        <f>IFERROR(__xludf.DUMMYFUNCTION("""COMPUTED_VALUE"""),"Daniel José sandoval gonzalez")</f>
        <v>Daniel José sandoval gonzalez</v>
      </c>
      <c r="C4608" s="15" t="str">
        <f>IFERROR(__xludf.DUMMYFUNCTION("""COMPUTED_VALUE"""),"BARRANQUILLA")</f>
        <v>BARRANQUILLA</v>
      </c>
      <c r="D4608" s="15" t="str">
        <f>IFERROR(__xludf.DUMMYFUNCTION("""COMPUTED_VALUE"""),"BOGOTÁ")</f>
        <v>BOGOTÁ</v>
      </c>
      <c r="E4608" s="15" t="str">
        <f>IFERROR(__xludf.DUMMYFUNCTION("""COMPUTED_VALUE"""),"Athenas")</f>
        <v>Athenas</v>
      </c>
      <c r="F4608" s="17" t="str">
        <f>IFERROR(__xludf.DUMMYFUNCTION("""COMPUTED_VALUE"""),"Carrera 43#99 50 / Centro comercial Miramar 3 piso  / Miramar")</f>
        <v>Carrera 43#99 50 / Centro comercial Miramar 3 piso  / Miramar</v>
      </c>
      <c r="G4608" s="15" t="str">
        <f>IFERROR(__xludf.DUMMYFUNCTION("""COMPUTED_VALUE"""),"Yaser Gutiérrez")</f>
        <v>Yaser Gutiérrez</v>
      </c>
      <c r="H4608" s="16">
        <f>IFERROR(__xludf.DUMMYFUNCTION("""COMPUTED_VALUE"""),13263.0)</f>
        <v>13263</v>
      </c>
      <c r="I4608" s="18">
        <f>IFERROR(__xludf.DUMMYFUNCTION("""COMPUTED_VALUE"""),55.0)</f>
        <v>55</v>
      </c>
      <c r="J4608" s="18">
        <f>IFERROR(__xludf.DUMMYFUNCTION("""COMPUTED_VALUE"""),45.0)</f>
        <v>45</v>
      </c>
      <c r="K4608" s="18">
        <f>IFERROR(__xludf.DUMMYFUNCTION("""COMPUTED_VALUE"""),29.0)</f>
        <v>29</v>
      </c>
      <c r="L4608" s="17">
        <f>IFERROR(__xludf.DUMMYFUNCTION("""COMPUTED_VALUE"""),3.106158334E9)</f>
        <v>3106158334</v>
      </c>
      <c r="M4608" s="17" t="str">
        <f>IFERROR(__xludf.DUMMYFUNCTION("""COMPUTED_VALUE"""),"#REF!")</f>
        <v>#REF!</v>
      </c>
      <c r="N4608" s="17"/>
      <c r="O4608" s="17"/>
      <c r="P4608" s="17" t="b">
        <f>IFERROR(__xludf.DUMMYFUNCTION("""COMPUTED_VALUE"""),TRUE)</f>
        <v>1</v>
      </c>
      <c r="Q4608" s="20">
        <f>IFERROR(__xludf.DUMMYFUNCTION("""COMPUTED_VALUE"""),0.0)</f>
        <v>0</v>
      </c>
      <c r="R4608" s="22" t="str">
        <f>IFERROR(__xludf.DUMMYFUNCTION("""COMPUTED_VALUE"""),"")</f>
        <v/>
      </c>
    </row>
    <row r="4609">
      <c r="A4609" s="15">
        <f>IFERROR(__xludf.DUMMYFUNCTION("""COMPUTED_VALUE"""),45135.0)</f>
        <v>45135</v>
      </c>
      <c r="B4609" s="16" t="str">
        <f>IFERROR(__xludf.DUMMYFUNCTION("""COMPUTED_VALUE"""),"Daniel José sandoval gonzalez")</f>
        <v>Daniel José sandoval gonzalez</v>
      </c>
      <c r="C4609" s="15" t="str">
        <f>IFERROR(__xludf.DUMMYFUNCTION("""COMPUTED_VALUE"""),"BARRANQUILLA")</f>
        <v>BARRANQUILLA</v>
      </c>
      <c r="D4609" s="15" t="str">
        <f>IFERROR(__xludf.DUMMYFUNCTION("""COMPUTED_VALUE"""),"BOGOTÁ")</f>
        <v>BOGOTÁ</v>
      </c>
      <c r="E4609" s="15" t="str">
        <f>IFERROR(__xludf.DUMMYFUNCTION("""COMPUTED_VALUE"""),"Athenas")</f>
        <v>Athenas</v>
      </c>
      <c r="F4609" s="17" t="str">
        <f>IFERROR(__xludf.DUMMYFUNCTION("""COMPUTED_VALUE"""),"Carrera 51 B # 87-50  / Muelle de carga centro comercial VIVA BODYTECH 4 PISO / Viva")</f>
        <v>Carrera 51 B # 87-50  / Muelle de carga centro comercial VIVA BODYTECH 4 PISO / Viva</v>
      </c>
      <c r="G4609" s="15" t="str">
        <f>IFERROR(__xludf.DUMMYFUNCTION("""COMPUTED_VALUE"""),"Katerine collazo")</f>
        <v>Katerine collazo</v>
      </c>
      <c r="H4609" s="16">
        <f>IFERROR(__xludf.DUMMYFUNCTION("""COMPUTED_VALUE"""),13265.0)</f>
        <v>13265</v>
      </c>
      <c r="I4609" s="18">
        <f>IFERROR(__xludf.DUMMYFUNCTION("""COMPUTED_VALUE"""),55.0)</f>
        <v>55</v>
      </c>
      <c r="J4609" s="18">
        <f>IFERROR(__xludf.DUMMYFUNCTION("""COMPUTED_VALUE"""),45.0)</f>
        <v>45</v>
      </c>
      <c r="K4609" s="18" t="str">
        <f>IFERROR(__xludf.DUMMYFUNCTION("""COMPUTED_VALUE"""),"52.5")</f>
        <v>52.5</v>
      </c>
      <c r="L4609" s="17">
        <f>IFERROR(__xludf.DUMMYFUNCTION("""COMPUTED_VALUE"""),3.106158334E9)</f>
        <v>3106158334</v>
      </c>
      <c r="M4609" s="17" t="str">
        <f>IFERROR(__xludf.DUMMYFUNCTION("""COMPUTED_VALUE"""),"#REF!")</f>
        <v>#REF!</v>
      </c>
      <c r="N4609" s="17"/>
      <c r="O4609" s="17"/>
      <c r="P4609" s="17" t="b">
        <f>IFERROR(__xludf.DUMMYFUNCTION("""COMPUTED_VALUE"""),TRUE)</f>
        <v>1</v>
      </c>
      <c r="Q4609" s="20">
        <f>IFERROR(__xludf.DUMMYFUNCTION("""COMPUTED_VALUE"""),0.0)</f>
        <v>0</v>
      </c>
      <c r="R4609" s="22" t="str">
        <f>IFERROR(__xludf.DUMMYFUNCTION("""COMPUTED_VALUE"""),"")</f>
        <v/>
      </c>
    </row>
    <row r="4610">
      <c r="A4610" s="15">
        <f>IFERROR(__xludf.DUMMYFUNCTION("""COMPUTED_VALUE"""),45135.0)</f>
        <v>45135</v>
      </c>
      <c r="B4610" s="16" t="str">
        <f>IFERROR(__xludf.DUMMYFUNCTION("""COMPUTED_VALUE"""),"Daniel José sandoval gonzalez")</f>
        <v>Daniel José sandoval gonzalez</v>
      </c>
      <c r="C4610" s="15" t="str">
        <f>IFERROR(__xludf.DUMMYFUNCTION("""COMPUTED_VALUE"""),"BARRANQUILLA")</f>
        <v>BARRANQUILLA</v>
      </c>
      <c r="D4610" s="15" t="str">
        <f>IFERROR(__xludf.DUMMYFUNCTION("""COMPUTED_VALUE"""),"BOGOTÁ")</f>
        <v>BOGOTÁ</v>
      </c>
      <c r="E4610" s="15" t="str">
        <f>IFERROR(__xludf.DUMMYFUNCTION("""COMPUTED_VALUE"""),"Evamazzita")</f>
        <v>Evamazzita</v>
      </c>
      <c r="F4610" s="17" t="str">
        <f>IFERROR(__xludf.DUMMYFUNCTION("""COMPUTED_VALUE"""),"Carrera 41D #79-58 / Casa  / Barrio los Jobos")</f>
        <v>Carrera 41D #79-58 / Casa  / Barrio los Jobos</v>
      </c>
      <c r="G4610" s="15" t="str">
        <f>IFERROR(__xludf.DUMMYFUNCTION("""COMPUTED_VALUE"""),"KARLA BALLESTEROS GARCIA")</f>
        <v>KARLA BALLESTEROS GARCIA</v>
      </c>
      <c r="H4610" s="16">
        <f>IFERROR(__xludf.DUMMYFUNCTION("""COMPUTED_VALUE"""),13311.0)</f>
        <v>13311</v>
      </c>
      <c r="I4610" s="18">
        <f>IFERROR(__xludf.DUMMYFUNCTION("""COMPUTED_VALUE"""),1.0)</f>
        <v>1</v>
      </c>
      <c r="J4610" s="18">
        <f>IFERROR(__xludf.DUMMYFUNCTION("""COMPUTED_VALUE"""),1.0)</f>
        <v>1</v>
      </c>
      <c r="K4610" s="18">
        <f>IFERROR(__xludf.DUMMYFUNCTION("""COMPUTED_VALUE"""),1.0)</f>
        <v>1</v>
      </c>
      <c r="L4610" s="17">
        <f>IFERROR(__xludf.DUMMYFUNCTION("""COMPUTED_VALUE"""),3.128920153E9)</f>
        <v>3128920153</v>
      </c>
      <c r="M4610" s="17" t="str">
        <f>IFERROR(__xludf.DUMMYFUNCTION("""COMPUTED_VALUE"""),"#REF!")</f>
        <v>#REF!</v>
      </c>
      <c r="N4610" s="17"/>
      <c r="O4610" s="17"/>
      <c r="P4610" s="17" t="b">
        <f>IFERROR(__xludf.DUMMYFUNCTION("""COMPUTED_VALUE"""),TRUE)</f>
        <v>1</v>
      </c>
      <c r="Q4610" s="20">
        <f>IFERROR(__xludf.DUMMYFUNCTION("""COMPUTED_VALUE"""),0.0)</f>
        <v>0</v>
      </c>
      <c r="R4610" s="21" t="str">
        <f>IFERROR(__xludf.DUMMYFUNCTION("""COMPUTED_VALUE"""),"https://drive.google.com/file/d/1oDetVAsylnExkyP7Gf_idX5VU50oIPlz/view?usp=drivesdk")</f>
        <v>https://drive.google.com/file/d/1oDetVAsylnExkyP7Gf_idX5VU50oIPlz/view?usp=drivesdk</v>
      </c>
    </row>
    <row r="4611">
      <c r="A4611" s="15">
        <f>IFERROR(__xludf.DUMMYFUNCTION("""COMPUTED_VALUE"""),45135.0)</f>
        <v>45135</v>
      </c>
      <c r="B4611" s="16" t="str">
        <f>IFERROR(__xludf.DUMMYFUNCTION("""COMPUTED_VALUE"""),"Daniel José sandoval gonzalez")</f>
        <v>Daniel José sandoval gonzalez</v>
      </c>
      <c r="C4611" s="15" t="str">
        <f>IFERROR(__xludf.DUMMYFUNCTION("""COMPUTED_VALUE"""),"BARRANQUILLA")</f>
        <v>BARRANQUILLA</v>
      </c>
      <c r="D4611" s="15" t="str">
        <f>IFERROR(__xludf.DUMMYFUNCTION("""COMPUTED_VALUE"""),"BOGOTÁ")</f>
        <v>BOGOTÁ</v>
      </c>
      <c r="E4611" s="15" t="str">
        <f>IFERROR(__xludf.DUMMYFUNCTION("""COMPUTED_VALUE"""),"Evamazzita")</f>
        <v>Evamazzita</v>
      </c>
      <c r="F4611" s="17" t="str">
        <f>IFERROR(__xludf.DUMMYFUNCTION("""COMPUTED_VALUE"""),"Carrera 42f #79-60 / Apto 304 / Cuidad Jardin")</f>
        <v>Carrera 42f #79-60 / Apto 304 / Cuidad Jardin</v>
      </c>
      <c r="G4611" s="15" t="str">
        <f>IFERROR(__xludf.DUMMYFUNCTION("""COMPUTED_VALUE"""),"MARGARITA SILVA GARCIA")</f>
        <v>MARGARITA SILVA GARCIA</v>
      </c>
      <c r="H4611" s="16">
        <f>IFERROR(__xludf.DUMMYFUNCTION("""COMPUTED_VALUE"""),13310.0)</f>
        <v>13310</v>
      </c>
      <c r="I4611" s="18">
        <f>IFERROR(__xludf.DUMMYFUNCTION("""COMPUTED_VALUE"""),1.0)</f>
        <v>1</v>
      </c>
      <c r="J4611" s="18">
        <f>IFERROR(__xludf.DUMMYFUNCTION("""COMPUTED_VALUE"""),1.0)</f>
        <v>1</v>
      </c>
      <c r="K4611" s="18">
        <f>IFERROR(__xludf.DUMMYFUNCTION("""COMPUTED_VALUE"""),1.0)</f>
        <v>1</v>
      </c>
      <c r="L4611" s="17">
        <f>IFERROR(__xludf.DUMMYFUNCTION("""COMPUTED_VALUE"""),3.008157819E9)</f>
        <v>3008157819</v>
      </c>
      <c r="M4611" s="17" t="str">
        <f>IFERROR(__xludf.DUMMYFUNCTION("""COMPUTED_VALUE"""),"#REF!")</f>
        <v>#REF!</v>
      </c>
      <c r="N4611" s="17"/>
      <c r="O4611" s="17"/>
      <c r="P4611" s="17" t="b">
        <f>IFERROR(__xludf.DUMMYFUNCTION("""COMPUTED_VALUE"""),TRUE)</f>
        <v>1</v>
      </c>
      <c r="Q4611" s="20">
        <f>IFERROR(__xludf.DUMMYFUNCTION("""COMPUTED_VALUE"""),0.0)</f>
        <v>0</v>
      </c>
      <c r="R4611" s="21" t="str">
        <f>IFERROR(__xludf.DUMMYFUNCTION("""COMPUTED_VALUE"""),"https://drive.google.com/file/d/16qQvYCTeqIcg05ISJFMBgmyO1leWDoiQ/view?usp=drivesdk")</f>
        <v>https://drive.google.com/file/d/16qQvYCTeqIcg05ISJFMBgmyO1leWDoiQ/view?usp=drivesdk</v>
      </c>
    </row>
    <row r="4612">
      <c r="A4612" s="15">
        <f>IFERROR(__xludf.DUMMYFUNCTION("""COMPUTED_VALUE"""),45135.0)</f>
        <v>45135</v>
      </c>
      <c r="B4612" s="16" t="str">
        <f>IFERROR(__xludf.DUMMYFUNCTION("""COMPUTED_VALUE"""),"Daniel José sandoval gonzalez")</f>
        <v>Daniel José sandoval gonzalez</v>
      </c>
      <c r="C4612" s="15" t="str">
        <f>IFERROR(__xludf.DUMMYFUNCTION("""COMPUTED_VALUE"""),"BARRANQUILLA")</f>
        <v>BARRANQUILLA</v>
      </c>
      <c r="D4612" s="15" t="str">
        <f>IFERROR(__xludf.DUMMYFUNCTION("""COMPUTED_VALUE"""),"BOGOTÁ")</f>
        <v>BOGOTÁ</v>
      </c>
      <c r="E4612" s="15" t="str">
        <f>IFERROR(__xludf.DUMMYFUNCTION("""COMPUTED_VALUE"""),"Evamazzita")</f>
        <v>Evamazzita</v>
      </c>
      <c r="F4612" s="17" t="str">
        <f>IFERROR(__xludf.DUMMYFUNCTION("""COMPUTED_VALUE"""),"Transv 44#100-82 / Conjunto tozcana / torre 5/ apto 318 / Miramar")</f>
        <v>Transv 44#100-82 / Conjunto tozcana / torre 5/ apto 318 / Miramar</v>
      </c>
      <c r="G4612" s="15" t="str">
        <f>IFERROR(__xludf.DUMMYFUNCTION("""COMPUTED_VALUE"""),"CAROLINA PARADA ACOSTA")</f>
        <v>CAROLINA PARADA ACOSTA</v>
      </c>
      <c r="H4612" s="16">
        <f>IFERROR(__xludf.DUMMYFUNCTION("""COMPUTED_VALUE"""),13312.0)</f>
        <v>13312</v>
      </c>
      <c r="I4612" s="18">
        <f>IFERROR(__xludf.DUMMYFUNCTION("""COMPUTED_VALUE"""),1.0)</f>
        <v>1</v>
      </c>
      <c r="J4612" s="18">
        <f>IFERROR(__xludf.DUMMYFUNCTION("""COMPUTED_VALUE"""),1.0)</f>
        <v>1</v>
      </c>
      <c r="K4612" s="18">
        <f>IFERROR(__xludf.DUMMYFUNCTION("""COMPUTED_VALUE"""),1.0)</f>
        <v>1</v>
      </c>
      <c r="L4612" s="17">
        <f>IFERROR(__xludf.DUMMYFUNCTION("""COMPUTED_VALUE"""),3.134122981E9)</f>
        <v>3134122981</v>
      </c>
      <c r="M4612" s="17" t="str">
        <f>IFERROR(__xludf.DUMMYFUNCTION("""COMPUTED_VALUE"""),"#REF!")</f>
        <v>#REF!</v>
      </c>
      <c r="N4612" s="17"/>
      <c r="O4612" s="17"/>
      <c r="P4612" s="17" t="b">
        <f>IFERROR(__xludf.DUMMYFUNCTION("""COMPUTED_VALUE"""),TRUE)</f>
        <v>1</v>
      </c>
      <c r="Q4612" s="20">
        <f>IFERROR(__xludf.DUMMYFUNCTION("""COMPUTED_VALUE"""),0.0)</f>
        <v>0</v>
      </c>
      <c r="R4612" s="21" t="str">
        <f>IFERROR(__xludf.DUMMYFUNCTION("""COMPUTED_VALUE"""),"https://drive.google.com/file/d/17DVcd9sqLKZ_Xgt5OCBIP63yzv7zESqI/view?usp=drivesdk")</f>
        <v>https://drive.google.com/file/d/17DVcd9sqLKZ_Xgt5OCBIP63yzv7zESqI/view?usp=drivesdk</v>
      </c>
    </row>
    <row r="4613">
      <c r="A4613" s="15">
        <f>IFERROR(__xludf.DUMMYFUNCTION("""COMPUTED_VALUE"""),45135.0)</f>
        <v>45135</v>
      </c>
      <c r="B4613" s="16" t="str">
        <f>IFERROR(__xludf.DUMMYFUNCTION("""COMPUTED_VALUE"""),"Daniel José sandoval gonzalez")</f>
        <v>Daniel José sandoval gonzalez</v>
      </c>
      <c r="C4613" s="15" t="str">
        <f>IFERROR(__xludf.DUMMYFUNCTION("""COMPUTED_VALUE"""),"BARRANQUILLA")</f>
        <v>BARRANQUILLA</v>
      </c>
      <c r="D4613" s="15" t="str">
        <f>IFERROR(__xludf.DUMMYFUNCTION("""COMPUTED_VALUE"""),"BOGOTÁ")</f>
        <v>BOGOTÁ</v>
      </c>
      <c r="E4613" s="15" t="str">
        <f>IFERROR(__xludf.DUMMYFUNCTION("""COMPUTED_VALUE"""),"MAI ALIMENTOS S.A.S")</f>
        <v>MAI ALIMENTOS S.A.S</v>
      </c>
      <c r="F4613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4613" s="15" t="str">
        <f>IFERROR(__xludf.DUMMYFUNCTION("""COMPUTED_VALUE"""),"Fithub")</f>
        <v>Fithub</v>
      </c>
      <c r="H4613" s="16">
        <f>IFERROR(__xludf.DUMMYFUNCTION("""COMPUTED_VALUE"""),13172.0)</f>
        <v>13172</v>
      </c>
      <c r="I4613" s="18">
        <f>IFERROR(__xludf.DUMMYFUNCTION("""COMPUTED_VALUE"""),28.0)</f>
        <v>28</v>
      </c>
      <c r="J4613" s="18">
        <f>IFERROR(__xludf.DUMMYFUNCTION("""COMPUTED_VALUE"""),17.0)</f>
        <v>17</v>
      </c>
      <c r="K4613" s="18">
        <f>IFERROR(__xludf.DUMMYFUNCTION("""COMPUTED_VALUE"""),13.0)</f>
        <v>13</v>
      </c>
      <c r="L4613" s="17">
        <f>IFERROR(__xludf.DUMMYFUNCTION("""COMPUTED_VALUE"""),0.0)</f>
        <v>0</v>
      </c>
      <c r="M4613" s="17" t="str">
        <f>IFERROR(__xludf.DUMMYFUNCTION("""COMPUTED_VALUE"""),"#REF!")</f>
        <v>#REF!</v>
      </c>
      <c r="N4613" s="17"/>
      <c r="O4613" s="17"/>
      <c r="P4613" s="17" t="b">
        <f>IFERROR(__xludf.DUMMYFUNCTION("""COMPUTED_VALUE"""),TRUE)</f>
        <v>1</v>
      </c>
      <c r="Q4613" s="20">
        <f>IFERROR(__xludf.DUMMYFUNCTION("""COMPUTED_VALUE"""),0.0)</f>
        <v>0</v>
      </c>
      <c r="R4613" s="21" t="str">
        <f>IFERROR(__xludf.DUMMYFUNCTION("""COMPUTED_VALUE"""),"https://drive.google.com/file/d/1sjuynEuhdrrwLLACrcBMgxK1WeBvOy_h/view?usp=drivesdk")</f>
        <v>https://drive.google.com/file/d/1sjuynEuhdrrwLLACrcBMgxK1WeBvOy_h/view?usp=drivesdk</v>
      </c>
    </row>
    <row r="4614">
      <c r="A4614" s="15">
        <f>IFERROR(__xludf.DUMMYFUNCTION("""COMPUTED_VALUE"""),45135.0)</f>
        <v>45135</v>
      </c>
      <c r="B4614" s="16" t="str">
        <f>IFERROR(__xludf.DUMMYFUNCTION("""COMPUTED_VALUE"""),"Daniel José sandoval gonzalez")</f>
        <v>Daniel José sandoval gonzalez</v>
      </c>
      <c r="C4614" s="15" t="str">
        <f>IFERROR(__xludf.DUMMYFUNCTION("""COMPUTED_VALUE"""),"BARRANQUILLA")</f>
        <v>BARRANQUILLA</v>
      </c>
      <c r="D4614" s="15" t="str">
        <f>IFERROR(__xludf.DUMMYFUNCTION("""COMPUTED_VALUE"""),"BOGOTÁ")</f>
        <v>BOGOTÁ</v>
      </c>
      <c r="E4614" s="15" t="str">
        <f>IFERROR(__xludf.DUMMYFUNCTION("""COMPUTED_VALUE"""),"Pan de Waffle")</f>
        <v>Pan de Waffle</v>
      </c>
      <c r="F4614" s="17" t="str">
        <f>IFERROR(__xludf.DUMMYFUNCTION("""COMPUTED_VALUE"""),"Carrera 51 # 82 - 223  / Carrera 51 # 82 - 223  / Carrera 51 # 82 - 223")</f>
        <v>Carrera 51 # 82 - 223  / Carrera 51 # 82 - 223  / Carrera 51 # 82 - 223</v>
      </c>
      <c r="G4614" s="15" t="str">
        <f>IFERROR(__xludf.DUMMYFUNCTION("""COMPUTED_VALUE"""),"FITHUB")</f>
        <v>FITHUB</v>
      </c>
      <c r="H4614" s="16">
        <f>IFERROR(__xludf.DUMMYFUNCTION("""COMPUTED_VALUE"""),13339.0)</f>
        <v>13339</v>
      </c>
      <c r="I4614" s="18">
        <f>IFERROR(__xludf.DUMMYFUNCTION("""COMPUTED_VALUE"""),40.0)</f>
        <v>40</v>
      </c>
      <c r="J4614" s="18">
        <f>IFERROR(__xludf.DUMMYFUNCTION("""COMPUTED_VALUE"""),30.0)</f>
        <v>30</v>
      </c>
      <c r="K4614" s="18">
        <f>IFERROR(__xludf.DUMMYFUNCTION("""COMPUTED_VALUE"""),40.0)</f>
        <v>40</v>
      </c>
      <c r="L4614" s="17">
        <f>IFERROR(__xludf.DUMMYFUNCTION("""COMPUTED_VALUE"""),3.20865425E9)</f>
        <v>3208654250</v>
      </c>
      <c r="M4614" s="17" t="str">
        <f>IFERROR(__xludf.DUMMYFUNCTION("""COMPUTED_VALUE"""),"#REF!")</f>
        <v>#REF!</v>
      </c>
      <c r="N4614" s="17"/>
      <c r="O4614" s="17"/>
      <c r="P4614" s="17" t="b">
        <f>IFERROR(__xludf.DUMMYFUNCTION("""COMPUTED_VALUE"""),TRUE)</f>
        <v>1</v>
      </c>
      <c r="Q4614" s="20">
        <f>IFERROR(__xludf.DUMMYFUNCTION("""COMPUTED_VALUE"""),0.0)</f>
        <v>0</v>
      </c>
      <c r="R4614" s="21" t="str">
        <f>IFERROR(__xludf.DUMMYFUNCTION("""COMPUTED_VALUE"""),"https://drive.google.com/file/d/1Gng8G4JI4FhUUpEWjHSZKHlH4QnAwsVq/view?usp=drivesdk")</f>
        <v>https://drive.google.com/file/d/1Gng8G4JI4FhUUpEWjHSZKHlH4QnAwsVq/view?usp=drivesdk</v>
      </c>
    </row>
    <row r="4615">
      <c r="A4615" s="15">
        <f>IFERROR(__xludf.DUMMYFUNCTION("""COMPUTED_VALUE"""),45135.0)</f>
        <v>45135</v>
      </c>
      <c r="B4615" s="16" t="str">
        <f>IFERROR(__xludf.DUMMYFUNCTION("""COMPUTED_VALUE"""),"Daniel José sandoval gonzalez")</f>
        <v>Daniel José sandoval gonzalez</v>
      </c>
      <c r="C4615" s="15" t="str">
        <f>IFERROR(__xludf.DUMMYFUNCTION("""COMPUTED_VALUE"""),"BARRANQUILLA")</f>
        <v>BARRANQUILLA</v>
      </c>
      <c r="D4615" s="15" t="str">
        <f>IFERROR(__xludf.DUMMYFUNCTION("""COMPUTED_VALUE"""),"BOGOTÁ")</f>
        <v>BOGOTÁ</v>
      </c>
      <c r="E4615" s="15" t="str">
        <f>IFERROR(__xludf.DUMMYFUNCTION("""COMPUTED_VALUE"""),"Ser Fit")</f>
        <v>Ser Fit</v>
      </c>
      <c r="F4615" s="17" t="str">
        <f>IFERROR(__xludf.DUMMYFUNCTION("""COMPUTED_VALUE"""),"Cra. 51 #82-223, / barranquilla / barranquilla")</f>
        <v>Cra. 51 #82-223, / barranquilla / barranquilla</v>
      </c>
      <c r="G4615" s="15" t="str">
        <f>IFERROR(__xludf.DUMMYFUNCTION("""COMPUTED_VALUE"""),"fit hub")</f>
        <v>fit hub</v>
      </c>
      <c r="H4615" s="16">
        <f>IFERROR(__xludf.DUMMYFUNCTION("""COMPUTED_VALUE"""),13328.0)</f>
        <v>13328</v>
      </c>
      <c r="I4615" s="18">
        <f>IFERROR(__xludf.DUMMYFUNCTION("""COMPUTED_VALUE"""),12.0)</f>
        <v>12</v>
      </c>
      <c r="J4615" s="18">
        <f>IFERROR(__xludf.DUMMYFUNCTION("""COMPUTED_VALUE"""),21.0)</f>
        <v>21</v>
      </c>
      <c r="K4615" s="18">
        <f>IFERROR(__xludf.DUMMYFUNCTION("""COMPUTED_VALUE"""),32.0)</f>
        <v>32</v>
      </c>
      <c r="L4615" s="17">
        <f>IFERROR(__xludf.DUMMYFUNCTION("""COMPUTED_VALUE"""),3.157237432E9)</f>
        <v>3157237432</v>
      </c>
      <c r="M4615" s="17" t="str">
        <f>IFERROR(__xludf.DUMMYFUNCTION("""COMPUTED_VALUE"""),"#REF!")</f>
        <v>#REF!</v>
      </c>
      <c r="N4615" s="17"/>
      <c r="O4615" s="17"/>
      <c r="P4615" s="17" t="b">
        <f>IFERROR(__xludf.DUMMYFUNCTION("""COMPUTED_VALUE"""),TRUE)</f>
        <v>1</v>
      </c>
      <c r="Q4615" s="20">
        <f>IFERROR(__xludf.DUMMYFUNCTION("""COMPUTED_VALUE"""),0.0)</f>
        <v>0</v>
      </c>
      <c r="R4615" s="21" t="str">
        <f>IFERROR(__xludf.DUMMYFUNCTION("""COMPUTED_VALUE"""),"https://drive.google.com/file/d/1RyS12VDXqUrBSM18AY7lJmEjQDDfV6Nk/view?usp=drivesdk")</f>
        <v>https://drive.google.com/file/d/1RyS12VDXqUrBSM18AY7lJmEjQDDfV6Nk/view?usp=drivesdk</v>
      </c>
    </row>
    <row r="4616">
      <c r="A4616" s="15">
        <f>IFERROR(__xludf.DUMMYFUNCTION("""COMPUTED_VALUE"""),45135.0)</f>
        <v>45135</v>
      </c>
      <c r="B4616" s="16" t="str">
        <f>IFERROR(__xludf.DUMMYFUNCTION("""COMPUTED_VALUE"""),"Daniel José sandoval gonzalez")</f>
        <v>Daniel José sandoval gonzalez</v>
      </c>
      <c r="C4616" s="15" t="str">
        <f>IFERROR(__xludf.DUMMYFUNCTION("""COMPUTED_VALUE"""),"BARRANQUILLA")</f>
        <v>BARRANQUILLA</v>
      </c>
      <c r="D4616" s="15" t="str">
        <f>IFERROR(__xludf.DUMMYFUNCTION("""COMPUTED_VALUE"""),"MEDELLÍN")</f>
        <v>MEDELLÍN</v>
      </c>
      <c r="E4616" s="15" t="str">
        <f>IFERROR(__xludf.DUMMYFUNCTION("""COMPUTED_VALUE"""),"AREPAS LA MARY")</f>
        <v>AREPAS LA MARY</v>
      </c>
      <c r="F4616" s="17" t="str">
        <f>IFERROR(__xludf.DUMMYFUNCTION("""COMPUTED_VALUE"""),"CALLE 93 N.42 C 123 APTO 607")</f>
        <v>CALLE 93 N.42 C 123 APTO 607</v>
      </c>
      <c r="G4616" s="15" t="str">
        <f>IFERROR(__xludf.DUMMYFUNCTION("""COMPUTED_VALUE"""),"CINDY GARCIA")</f>
        <v>CINDY GARCIA</v>
      </c>
      <c r="H4616" s="16">
        <f>IFERROR(__xludf.DUMMYFUNCTION("""COMPUTED_VALUE"""),13188.0)</f>
        <v>13188</v>
      </c>
      <c r="I4616" s="18">
        <f>IFERROR(__xludf.DUMMYFUNCTION("""COMPUTED_VALUE"""),89.0)</f>
        <v>89</v>
      </c>
      <c r="J4616" s="18">
        <f>IFERROR(__xludf.DUMMYFUNCTION("""COMPUTED_VALUE"""),1.0)</f>
        <v>1</v>
      </c>
      <c r="K4616" s="18">
        <f>IFERROR(__xludf.DUMMYFUNCTION("""COMPUTED_VALUE"""),10.0)</f>
        <v>10</v>
      </c>
      <c r="L4616" s="17">
        <f>IFERROR(__xludf.DUMMYFUNCTION("""COMPUTED_VALUE"""),3.017247359E9)</f>
        <v>3017247359</v>
      </c>
      <c r="M4616" s="17" t="str">
        <f>IFERROR(__xludf.DUMMYFUNCTION("""COMPUTED_VALUE"""),"#REF!")</f>
        <v>#REF!</v>
      </c>
      <c r="N4616" s="17"/>
      <c r="O4616" s="17"/>
      <c r="P4616" s="17" t="b">
        <f>IFERROR(__xludf.DUMMYFUNCTION("""COMPUTED_VALUE"""),TRUE)</f>
        <v>1</v>
      </c>
      <c r="Q4616" s="20">
        <f>IFERROR(__xludf.DUMMYFUNCTION("""COMPUTED_VALUE"""),0.0)</f>
        <v>0</v>
      </c>
      <c r="R4616" s="21" t="str">
        <f>IFERROR(__xludf.DUMMYFUNCTION("""COMPUTED_VALUE"""),"https://drive.google.com/file/d/1qecNpTtQ1mgdlSX0pkRQQ1yIQH3FHLxS/view?usp=drivesdk")</f>
        <v>https://drive.google.com/file/d/1qecNpTtQ1mgdlSX0pkRQQ1yIQH3FHLxS/view?usp=drivesdk</v>
      </c>
    </row>
    <row r="4617">
      <c r="A4617" s="15">
        <f>IFERROR(__xludf.DUMMYFUNCTION("""COMPUTED_VALUE"""),45135.0)</f>
        <v>45135</v>
      </c>
      <c r="B4617" s="16" t="str">
        <f>IFERROR(__xludf.DUMMYFUNCTION("""COMPUTED_VALUE"""),"Daniel José sandoval gonzalez")</f>
        <v>Daniel José sandoval gonzalez</v>
      </c>
      <c r="C4617" s="15" t="str">
        <f>IFERROR(__xludf.DUMMYFUNCTION("""COMPUTED_VALUE"""),"BARRANQUILLA")</f>
        <v>BARRANQUILLA</v>
      </c>
      <c r="D4617" s="15" t="str">
        <f>IFERROR(__xludf.DUMMYFUNCTION("""COMPUTED_VALUE"""),"MEDELLÍN")</f>
        <v>MEDELLÍN</v>
      </c>
      <c r="E4617" s="15" t="str">
        <f>IFERROR(__xludf.DUMMYFUNCTION("""COMPUTED_VALUE"""),"Rambla")</f>
        <v>Rambla</v>
      </c>
      <c r="F4617" s="17" t="str">
        <f>IFERROR(__xludf.DUMMYFUNCTION("""COMPUTED_VALUE"""),"CARRERA 74 #76-74 / - / -")</f>
        <v>CARRERA 74 #76-74 / - / -</v>
      </c>
      <c r="G4617" s="15" t="str">
        <f>IFERROR(__xludf.DUMMYFUNCTION("""COMPUTED_VALUE"""),"Fit Hub")</f>
        <v>Fit Hub</v>
      </c>
      <c r="H4617" s="16">
        <f>IFERROR(__xludf.DUMMYFUNCTION("""COMPUTED_VALUE"""),13335.0)</f>
        <v>13335</v>
      </c>
      <c r="I4617" s="18">
        <f>IFERROR(__xludf.DUMMYFUNCTION("""COMPUTED_VALUE"""),24.0)</f>
        <v>24</v>
      </c>
      <c r="J4617" s="18">
        <f>IFERROR(__xludf.DUMMYFUNCTION("""COMPUTED_VALUE"""),15.0)</f>
        <v>15</v>
      </c>
      <c r="K4617" s="18">
        <f>IFERROR(__xludf.DUMMYFUNCTION("""COMPUTED_VALUE"""),26.0)</f>
        <v>26</v>
      </c>
      <c r="L4617" s="17">
        <f>IFERROR(__xludf.DUMMYFUNCTION("""COMPUTED_VALUE"""),3.157039547E9)</f>
        <v>3157039547</v>
      </c>
      <c r="M4617" s="17" t="str">
        <f>IFERROR(__xludf.DUMMYFUNCTION("""COMPUTED_VALUE"""),"#REF!")</f>
        <v>#REF!</v>
      </c>
      <c r="N4617" s="17"/>
      <c r="O4617" s="17"/>
      <c r="P4617" s="17" t="b">
        <f>IFERROR(__xludf.DUMMYFUNCTION("""COMPUTED_VALUE"""),TRUE)</f>
        <v>1</v>
      </c>
      <c r="Q4617" s="20">
        <f>IFERROR(__xludf.DUMMYFUNCTION("""COMPUTED_VALUE"""),0.0)</f>
        <v>0</v>
      </c>
      <c r="R4617" s="21" t="str">
        <f>IFERROR(__xludf.DUMMYFUNCTION("""COMPUTED_VALUE"""),"https://drive.google.com/file/d/1AkMCGUlysO1I8sNP-R1AmhfhPmT98vKE/view?usp=drivesdk")</f>
        <v>https://drive.google.com/file/d/1AkMCGUlysO1I8sNP-R1AmhfhPmT98vKE/view?usp=drivesdk</v>
      </c>
    </row>
    <row r="4618">
      <c r="A4618" s="17" t="str">
        <f>IFERROR(__xludf.DUMMYFUNCTION("""COMPUTED_VALUE"""),"")</f>
        <v/>
      </c>
      <c r="B4618" s="17" t="str">
        <f>IFERROR(__xludf.DUMMYFUNCTION("""COMPUTED_VALUE"""),"")</f>
        <v/>
      </c>
      <c r="C4618" s="17" t="str">
        <f>IFERROR(__xludf.DUMMYFUNCTION("""COMPUTED_VALUE"""),"")</f>
        <v/>
      </c>
      <c r="D4618" s="17" t="str">
        <f>IFERROR(__xludf.DUMMYFUNCTION("""COMPUTED_VALUE"""),"")</f>
        <v/>
      </c>
      <c r="E4618" s="17" t="str">
        <f>IFERROR(__xludf.DUMMYFUNCTION("""COMPUTED_VALUE"""),"")</f>
        <v/>
      </c>
      <c r="F4618" s="17" t="str">
        <f>IFERROR(__xludf.DUMMYFUNCTION("""COMPUTED_VALUE"""),"")</f>
        <v/>
      </c>
      <c r="G4618" s="17" t="str">
        <f>IFERROR(__xludf.DUMMYFUNCTION("""COMPUTED_VALUE"""),"")</f>
        <v/>
      </c>
      <c r="H4618" s="17" t="str">
        <f>IFERROR(__xludf.DUMMYFUNCTION("""COMPUTED_VALUE"""),"")</f>
        <v/>
      </c>
      <c r="I4618" s="17" t="str">
        <f>IFERROR(__xludf.DUMMYFUNCTION("""COMPUTED_VALUE"""),"")</f>
        <v/>
      </c>
      <c r="J4618" s="17" t="str">
        <f>IFERROR(__xludf.DUMMYFUNCTION("""COMPUTED_VALUE"""),"")</f>
        <v/>
      </c>
      <c r="K4618" s="17" t="str">
        <f>IFERROR(__xludf.DUMMYFUNCTION("""COMPUTED_VALUE"""),"")</f>
        <v/>
      </c>
      <c r="L4618" s="17" t="str">
        <f>IFERROR(__xludf.DUMMYFUNCTION("""COMPUTED_VALUE"""),"")</f>
        <v/>
      </c>
      <c r="M4618" s="17" t="str">
        <f>IFERROR(__xludf.DUMMYFUNCTION("""COMPUTED_VALUE"""),"")</f>
        <v/>
      </c>
      <c r="N4618" s="17" t="str">
        <f>IFERROR(__xludf.DUMMYFUNCTION("""COMPUTED_VALUE"""),"")</f>
        <v/>
      </c>
      <c r="O4618" s="17" t="str">
        <f>IFERROR(__xludf.DUMMYFUNCTION("""COMPUTED_VALUE"""),"")</f>
        <v/>
      </c>
      <c r="P4618" s="17" t="str">
        <f>IFERROR(__xludf.DUMMYFUNCTION("""COMPUTED_VALUE"""),"")</f>
        <v/>
      </c>
      <c r="Q4618" s="17" t="str">
        <f>IFERROR(__xludf.DUMMYFUNCTION("""COMPUTED_VALUE"""),"")</f>
        <v/>
      </c>
      <c r="R4618" s="17" t="str">
        <f>IFERROR(__xludf.DUMMYFUNCTION("""COMPUTED_VALUE"""),"")</f>
        <v/>
      </c>
    </row>
    <row r="4619">
      <c r="A4619" s="15">
        <f>IFERROR(__xludf.DUMMYFUNCTION("""COMPUTED_VALUE"""),45135.0)</f>
        <v>45135</v>
      </c>
      <c r="B4619" s="16" t="str">
        <f>IFERROR(__xludf.DUMMYFUNCTION("""COMPUTED_VALUE"""),"Envia")</f>
        <v>Envia</v>
      </c>
      <c r="C4619" s="15" t="str">
        <f>IFERROR(__xludf.DUMMYFUNCTION("""COMPUTED_VALUE"""),"BARRANQUILLA")</f>
        <v>BARRANQUILLA</v>
      </c>
      <c r="D4619" s="15" t="str">
        <f>IFERROR(__xludf.DUMMYFUNCTION("""COMPUTED_VALUE"""),"MEDELLÍN")</f>
        <v>MEDELLÍN</v>
      </c>
      <c r="E4619" s="15" t="str">
        <f>IFERROR(__xludf.DUMMYFUNCTION("""COMPUTED_VALUE"""),"The Smoked House")</f>
        <v>The Smoked House</v>
      </c>
      <c r="F4619" s="17" t="str">
        <f>IFERROR(__xludf.DUMMYFUNCTION("""COMPUTED_VALUE"""),"Cra 54 #70 69 lc 101 / Restaurante Steakhouse Chez Ernest / Entregar para el Chef George")</f>
        <v>Cra 54 #70 69 lc 101 / Restaurante Steakhouse Chez Ernest / Entregar para el Chef George</v>
      </c>
      <c r="G4619" s="15" t="str">
        <f>IFERROR(__xludf.DUMMYFUNCTION("""COMPUTED_VALUE"""),"Steakhouse Chez Ernest")</f>
        <v>Steakhouse Chez Ernest</v>
      </c>
      <c r="H4619" s="16">
        <f>IFERROR(__xludf.DUMMYFUNCTION("""COMPUTED_VALUE"""),13340.0)</f>
        <v>13340</v>
      </c>
      <c r="I4619" s="18">
        <f>IFERROR(__xludf.DUMMYFUNCTION("""COMPUTED_VALUE"""),10.0)</f>
        <v>10</v>
      </c>
      <c r="J4619" s="18">
        <f>IFERROR(__xludf.DUMMYFUNCTION("""COMPUTED_VALUE"""),5.0)</f>
        <v>5</v>
      </c>
      <c r="K4619" s="18">
        <f>IFERROR(__xludf.DUMMYFUNCTION("""COMPUTED_VALUE"""),10.0)</f>
        <v>10</v>
      </c>
      <c r="L4619" s="17">
        <f>IFERROR(__xludf.DUMMYFUNCTION("""COMPUTED_VALUE"""),3.157267418E9)</f>
        <v>3157267418</v>
      </c>
      <c r="M4619" s="17" t="str">
        <f>IFERROR(__xludf.DUMMYFUNCTION("""COMPUTED_VALUE"""),"#REF!")</f>
        <v>#REF!</v>
      </c>
      <c r="N4619" s="17"/>
      <c r="O4619" s="17"/>
      <c r="P4619" s="17" t="b">
        <f>IFERROR(__xludf.DUMMYFUNCTION("""COMPUTED_VALUE"""),TRUE)</f>
        <v>1</v>
      </c>
      <c r="Q4619" s="20">
        <f>IFERROR(__xludf.DUMMYFUNCTION("""COMPUTED_VALUE"""),0.0)</f>
        <v>0</v>
      </c>
      <c r="R4619" s="21" t="str">
        <f>IFERROR(__xludf.DUMMYFUNCTION("""COMPUTED_VALUE"""),"https://drive.google.com/file/d/1jPDjPdk0BLLV6asl7af3AIvULsChNQ0X/view?usp=drivesdk")</f>
        <v>https://drive.google.com/file/d/1jPDjPdk0BLLV6asl7af3AIvULsChNQ0X/view?usp=drivesdk</v>
      </c>
    </row>
    <row r="4620">
      <c r="A4620" s="15">
        <f>IFERROR(__xludf.DUMMYFUNCTION("""COMPUTED_VALUE"""),45135.0)</f>
        <v>45135</v>
      </c>
      <c r="B4620" s="16" t="str">
        <f>IFERROR(__xludf.DUMMYFUNCTION("""COMPUTED_VALUE"""),"Envia")</f>
        <v>Envia</v>
      </c>
      <c r="C4620" s="15" t="str">
        <f>IFERROR(__xludf.DUMMYFUNCTION("""COMPUTED_VALUE"""),"BARRANQUILLA")</f>
        <v>BARRANQUILLA</v>
      </c>
      <c r="D4620" s="15" t="str">
        <f>IFERROR(__xludf.DUMMYFUNCTION("""COMPUTED_VALUE"""),"MEDELLÍN")</f>
        <v>MEDELLÍN</v>
      </c>
      <c r="E4620" s="15" t="str">
        <f>IFERROR(__xludf.DUMMYFUNCTION("""COMPUTED_VALUE"""),"The Smoked House")</f>
        <v>The Smoked House</v>
      </c>
      <c r="F4620" s="17" t="str">
        <f>IFERROR(__xludf.DUMMYFUNCTION("""COMPUTED_VALUE"""),"Cra 56 #96-156  / Conjunto residencial Alaqua, casa 7 / Jose Perez")</f>
        <v>Cra 56 #96-156  / Conjunto residencial Alaqua, casa 7 / Jose Perez</v>
      </c>
      <c r="G4620" s="15" t="str">
        <f>IFERROR(__xludf.DUMMYFUNCTION("""COMPUTED_VALUE"""),"Jose Perez")</f>
        <v>Jose Perez</v>
      </c>
      <c r="H4620" s="16">
        <f>IFERROR(__xludf.DUMMYFUNCTION("""COMPUTED_VALUE"""),13341.0)</f>
        <v>13341</v>
      </c>
      <c r="I4620" s="18">
        <f>IFERROR(__xludf.DUMMYFUNCTION("""COMPUTED_VALUE"""),17.0)</f>
        <v>17</v>
      </c>
      <c r="J4620" s="18">
        <f>IFERROR(__xludf.DUMMYFUNCTION("""COMPUTED_VALUE"""),39.0)</f>
        <v>39</v>
      </c>
      <c r="K4620" s="18">
        <f>IFERROR(__xludf.DUMMYFUNCTION("""COMPUTED_VALUE"""),28.0)</f>
        <v>28</v>
      </c>
      <c r="L4620" s="17">
        <f>IFERROR(__xludf.DUMMYFUNCTION("""COMPUTED_VALUE"""),3.106301444E9)</f>
        <v>3106301444</v>
      </c>
      <c r="M4620" s="17" t="str">
        <f>IFERROR(__xludf.DUMMYFUNCTION("""COMPUTED_VALUE"""),"#REF!")</f>
        <v>#REF!</v>
      </c>
      <c r="N4620" s="17"/>
      <c r="O4620" s="17"/>
      <c r="P4620" s="17" t="b">
        <f>IFERROR(__xludf.DUMMYFUNCTION("""COMPUTED_VALUE"""),TRUE)</f>
        <v>1</v>
      </c>
      <c r="Q4620" s="20">
        <f>IFERROR(__xludf.DUMMYFUNCTION("""COMPUTED_VALUE"""),45139.716832986116)</f>
        <v>45139.71683</v>
      </c>
      <c r="R4620" s="21" t="str">
        <f>IFERROR(__xludf.DUMMYFUNCTION("""COMPUTED_VALUE"""),"https://drive.google.com/file/d/1UX3zH6iOLtYgfLdpPWMZvnDQKsJJ2KDC/view?usp=drivesdk")</f>
        <v>https://drive.google.com/file/d/1UX3zH6iOLtYgfLdpPWMZvnDQKsJJ2KDC/view?usp=drivesdk</v>
      </c>
    </row>
    <row r="4621">
      <c r="A4621" s="15">
        <f>IFERROR(__xludf.DUMMYFUNCTION("""COMPUTED_VALUE"""),45135.0)</f>
        <v>45135</v>
      </c>
      <c r="B4621" s="16" t="str">
        <f>IFERROR(__xludf.DUMMYFUNCTION("""COMPUTED_VALUE"""),"Envia")</f>
        <v>Envia</v>
      </c>
      <c r="C4621" s="15" t="str">
        <f>IFERROR(__xludf.DUMMYFUNCTION("""COMPUTED_VALUE"""),"BOGOTÁ")</f>
        <v>BOGOTÁ</v>
      </c>
      <c r="D4621" s="15" t="str">
        <f>IFERROR(__xludf.DUMMYFUNCTION("""COMPUTED_VALUE"""),"MEDELLÍN")</f>
        <v>MEDELLÍN</v>
      </c>
      <c r="E4621" s="15" t="str">
        <f>IFERROR(__xludf.DUMMYFUNCTION("""COMPUTED_VALUE"""),"Lácteos El Pino SAS")</f>
        <v>Lácteos El Pino SAS</v>
      </c>
      <c r="F4621" s="17"/>
      <c r="G4621" s="15" t="str">
        <f>IFERROR(__xludf.DUMMYFUNCTION("""COMPUTED_VALUE"""),"JUANITA ROJAS")</f>
        <v>JUANITA ROJAS</v>
      </c>
      <c r="H4621" s="16">
        <f>IFERROR(__xludf.DUMMYFUNCTION("""COMPUTED_VALUE"""),13359.0)</f>
        <v>13359</v>
      </c>
      <c r="I4621" s="18">
        <f>IFERROR(__xludf.DUMMYFUNCTION("""COMPUTED_VALUE"""),33.0)</f>
        <v>33</v>
      </c>
      <c r="J4621" s="18">
        <f>IFERROR(__xludf.DUMMYFUNCTION("""COMPUTED_VALUE"""),22.0)</f>
        <v>22</v>
      </c>
      <c r="K4621" s="18">
        <f>IFERROR(__xludf.DUMMYFUNCTION("""COMPUTED_VALUE"""),36.0)</f>
        <v>36</v>
      </c>
      <c r="L4621" s="17">
        <f>IFERROR(__xludf.DUMMYFUNCTION("""COMPUTED_VALUE"""),3.058150695E9)</f>
        <v>3058150695</v>
      </c>
      <c r="M4621" s="17" t="str">
        <f>IFERROR(__xludf.DUMMYFUNCTION("""COMPUTED_VALUE"""),"#REF!")</f>
        <v>#REF!</v>
      </c>
      <c r="N4621" s="17"/>
      <c r="O4621" s="17"/>
      <c r="P4621" s="17" t="b">
        <f>IFERROR(__xludf.DUMMYFUNCTION("""COMPUTED_VALUE"""),TRUE)</f>
        <v>1</v>
      </c>
      <c r="Q4621" s="20">
        <f>IFERROR(__xludf.DUMMYFUNCTION("""COMPUTED_VALUE"""),0.0)</f>
        <v>0</v>
      </c>
      <c r="R4621" s="21" t="str">
        <f>IFERROR(__xludf.DUMMYFUNCTION("""COMPUTED_VALUE"""),"https://drive.google.com/file/d/1jrvQA6XFQ-K3sQpThy3bnUXGcAqeDyS5/view?usp=drivesdk")</f>
        <v>https://drive.google.com/file/d/1jrvQA6XFQ-K3sQpThy3bnUXGcAqeDyS5/view?usp=drivesdk</v>
      </c>
    </row>
    <row r="4622">
      <c r="A4622" s="15">
        <f>IFERROR(__xludf.DUMMYFUNCTION("""COMPUTED_VALUE"""),45135.0)</f>
        <v>45135</v>
      </c>
      <c r="B4622" s="16" t="str">
        <f>IFERROR(__xludf.DUMMYFUNCTION("""COMPUTED_VALUE"""),"Envia")</f>
        <v>Envia</v>
      </c>
      <c r="C4622" s="15" t="str">
        <f>IFERROR(__xludf.DUMMYFUNCTION("""COMPUTED_VALUE"""),"BOGOTÁ")</f>
        <v>BOGOTÁ</v>
      </c>
      <c r="D4622" s="15" t="str">
        <f>IFERROR(__xludf.DUMMYFUNCTION("""COMPUTED_VALUE"""),"NEIVA")</f>
        <v>NEIVA</v>
      </c>
      <c r="E4622" s="15" t="str">
        <f>IFERROR(__xludf.DUMMYFUNCTION("""COMPUTED_VALUE"""),"Nutrikids")</f>
        <v>Nutrikids</v>
      </c>
      <c r="F4622" s="17" t="str">
        <f>IFERROR(__xludf.DUMMYFUNCTION("""COMPUTED_VALUE"""),"Calle 59 Sur #90b 16 / Casa. Piso # 4 / Bosa el regalo")</f>
        <v>Calle 59 Sur #90b 16 / Casa. Piso # 4 / Bosa el regalo</v>
      </c>
      <c r="G4622" s="15" t="str">
        <f>IFERROR(__xludf.DUMMYFUNCTION("""COMPUTED_VALUE"""),"Paola Arévalo")</f>
        <v>Paola Arévalo</v>
      </c>
      <c r="H4622" s="16">
        <f>IFERROR(__xludf.DUMMYFUNCTION("""COMPUTED_VALUE"""),13345.0)</f>
        <v>13345</v>
      </c>
      <c r="I4622" s="18">
        <f>IFERROR(__xludf.DUMMYFUNCTION("""COMPUTED_VALUE"""),34.0)</f>
        <v>34</v>
      </c>
      <c r="J4622" s="18">
        <f>IFERROR(__xludf.DUMMYFUNCTION("""COMPUTED_VALUE"""),29.0)</f>
        <v>29</v>
      </c>
      <c r="K4622" s="18">
        <f>IFERROR(__xludf.DUMMYFUNCTION("""COMPUTED_VALUE"""),44.0)</f>
        <v>44</v>
      </c>
      <c r="L4622" s="17">
        <f>IFERROR(__xludf.DUMMYFUNCTION("""COMPUTED_VALUE"""),3.102058619E9)</f>
        <v>3102058619</v>
      </c>
      <c r="M4622" s="17" t="str">
        <f>IFERROR(__xludf.DUMMYFUNCTION("""COMPUTED_VALUE"""),"#REF!")</f>
        <v>#REF!</v>
      </c>
      <c r="N4622" s="17"/>
      <c r="O4622" s="17"/>
      <c r="P4622" s="17" t="b">
        <f>IFERROR(__xludf.DUMMYFUNCTION("""COMPUTED_VALUE"""),TRUE)</f>
        <v>1</v>
      </c>
      <c r="Q4622" s="20">
        <f>IFERROR(__xludf.DUMMYFUNCTION("""COMPUTED_VALUE"""),0.0)</f>
        <v>0</v>
      </c>
      <c r="R4622" s="21" t="str">
        <f>IFERROR(__xludf.DUMMYFUNCTION("""COMPUTED_VALUE"""),"https://drive.google.com/file/d/1NbWDu2Va_VsXvt4lMS-SRVHzTM3nxBok/view?usp=drivesdk")</f>
        <v>https://drive.google.com/file/d/1NbWDu2Va_VsXvt4lMS-SRVHzTM3nxBok/view?usp=drivesdk</v>
      </c>
    </row>
    <row r="4623">
      <c r="A4623" s="15">
        <f>IFERROR(__xludf.DUMMYFUNCTION("""COMPUTED_VALUE"""),45135.0)</f>
        <v>45135</v>
      </c>
      <c r="B4623" s="16" t="str">
        <f>IFERROR(__xludf.DUMMYFUNCTION("""COMPUTED_VALUE"""),"Envia")</f>
        <v>Envia</v>
      </c>
      <c r="C4623" s="15" t="str">
        <f>IFERROR(__xludf.DUMMYFUNCTION("""COMPUTED_VALUE"""),"CALI")</f>
        <v>CALI</v>
      </c>
      <c r="D4623" s="15" t="str">
        <f>IFERROR(__xludf.DUMMYFUNCTION("""COMPUTED_VALUE"""),"BOGOTÁ")</f>
        <v>BOGOTÁ</v>
      </c>
      <c r="E4623" s="15" t="str">
        <f>IFERROR(__xludf.DUMMYFUNCTION("""COMPUTED_VALUE"""),"Renata")</f>
        <v>Renata</v>
      </c>
      <c r="F4623" s="17" t="str">
        <f>IFERROR(__xludf.DUMMYFUNCTION("""COMPUTED_VALUE"""),"Carrera 3#3a-83 / Patio 34 food containers -restaurante  / San Fernando")</f>
        <v>Carrera 3#3a-83 / Patio 34 food containers -restaurante  / San Fernando</v>
      </c>
      <c r="G4623" s="15" t="str">
        <f>IFERROR(__xludf.DUMMYFUNCTION("""COMPUTED_VALUE"""),"Retaco sas")</f>
        <v>Retaco sas</v>
      </c>
      <c r="H4623" s="16">
        <f>IFERROR(__xludf.DUMMYFUNCTION("""COMPUTED_VALUE"""),13343.0)</f>
        <v>13343</v>
      </c>
      <c r="I4623" s="18">
        <f>IFERROR(__xludf.DUMMYFUNCTION("""COMPUTED_VALUE"""),90.0)</f>
        <v>90</v>
      </c>
      <c r="J4623" s="18">
        <f>IFERROR(__xludf.DUMMYFUNCTION("""COMPUTED_VALUE"""),70.0)</f>
        <v>70</v>
      </c>
      <c r="K4623" s="18">
        <f>IFERROR(__xludf.DUMMYFUNCTION("""COMPUTED_VALUE"""),60.0)</f>
        <v>60</v>
      </c>
      <c r="L4623" s="17">
        <f>IFERROR(__xludf.DUMMYFUNCTION("""COMPUTED_VALUE"""),3.134720976E9)</f>
        <v>3134720976</v>
      </c>
      <c r="M4623" s="17" t="str">
        <f>IFERROR(__xludf.DUMMYFUNCTION("""COMPUTED_VALUE"""),"#REF!")</f>
        <v>#REF!</v>
      </c>
      <c r="N4623" s="17"/>
      <c r="O4623" s="17"/>
      <c r="P4623" s="17" t="b">
        <f>IFERROR(__xludf.DUMMYFUNCTION("""COMPUTED_VALUE"""),TRUE)</f>
        <v>1</v>
      </c>
      <c r="Q4623" s="20">
        <f>IFERROR(__xludf.DUMMYFUNCTION("""COMPUTED_VALUE"""),0.0)</f>
        <v>0</v>
      </c>
      <c r="R4623" s="22" t="str">
        <f>IFERROR(__xludf.DUMMYFUNCTION("""COMPUTED_VALUE"""),"")</f>
        <v/>
      </c>
    </row>
    <row r="4624">
      <c r="A4624" s="15">
        <f>IFERROR(__xludf.DUMMYFUNCTION("""COMPUTED_VALUE"""),45135.0)</f>
        <v>45135</v>
      </c>
      <c r="B4624" s="16" t="str">
        <f>IFERROR(__xludf.DUMMYFUNCTION("""COMPUTED_VALUE"""),"Envia")</f>
        <v>Envia</v>
      </c>
      <c r="C4624" s="15" t="str">
        <f>IFERROR(__xludf.DUMMYFUNCTION("""COMPUTED_VALUE"""),"CALI")</f>
        <v>CALI</v>
      </c>
      <c r="D4624" s="15" t="str">
        <f>IFERROR(__xludf.DUMMYFUNCTION("""COMPUTED_VALUE"""),"BOGOTÁ")</f>
        <v>BOGOTÁ</v>
      </c>
      <c r="E4624" s="15" t="str">
        <f>IFERROR(__xludf.DUMMYFUNCTION("""COMPUTED_VALUE"""),"Viral Brands")</f>
        <v>Viral Brands</v>
      </c>
      <c r="F4624" s="17" t="str">
        <f>IFERROR(__xludf.DUMMYFUNCTION("""COMPUTED_VALUE"""),"Av 5 a # 25 n 39 / Cocina 9 / San Vicente, en la misma cuadra de la pasarela y de Bancolombia")</f>
        <v>Av 5 a # 25 n 39 / Cocina 9 / San Vicente, en la misma cuadra de la pasarela y de Bancolombia</v>
      </c>
      <c r="G4624" s="15" t="str">
        <f>IFERROR(__xludf.DUMMYFUNCTION("""COMPUTED_VALUE"""),"Lisbeth gamez")</f>
        <v>Lisbeth gamez</v>
      </c>
      <c r="H4624" s="16">
        <f>IFERROR(__xludf.DUMMYFUNCTION("""COMPUTED_VALUE"""),13349.0)</f>
        <v>13349</v>
      </c>
      <c r="I4624" s="18" t="str">
        <f>IFERROR(__xludf.DUMMYFUNCTION("""COMPUTED_VALUE"""),"52.5")</f>
        <v>52.5</v>
      </c>
      <c r="J4624" s="18">
        <f>IFERROR(__xludf.DUMMYFUNCTION("""COMPUTED_VALUE"""),55.0)</f>
        <v>55</v>
      </c>
      <c r="K4624" s="18">
        <f>IFERROR(__xludf.DUMMYFUNCTION("""COMPUTED_VALUE"""),45.0)</f>
        <v>45</v>
      </c>
      <c r="L4624" s="17">
        <f>IFERROR(__xludf.DUMMYFUNCTION("""COMPUTED_VALUE"""),3.218280504E9)</f>
        <v>3218280504</v>
      </c>
      <c r="M4624" s="17" t="str">
        <f>IFERROR(__xludf.DUMMYFUNCTION("""COMPUTED_VALUE"""),"#REF!")</f>
        <v>#REF!</v>
      </c>
      <c r="N4624" s="17"/>
      <c r="O4624" s="17"/>
      <c r="P4624" s="17" t="b">
        <f>IFERROR(__xludf.DUMMYFUNCTION("""COMPUTED_VALUE"""),FALSE)</f>
        <v>0</v>
      </c>
      <c r="Q4624" s="20" t="str">
        <f>IFERROR(__xludf.DUMMYFUNCTION("""COMPUTED_VALUE"""),"")</f>
        <v/>
      </c>
      <c r="R4624" s="22" t="str">
        <f>IFERROR(__xludf.DUMMYFUNCTION("""COMPUTED_VALUE"""),"")</f>
        <v/>
      </c>
    </row>
    <row r="4625">
      <c r="A4625" s="15">
        <f>IFERROR(__xludf.DUMMYFUNCTION("""COMPUTED_VALUE"""),45135.0)</f>
        <v>45135</v>
      </c>
      <c r="B4625" s="16" t="str">
        <f>IFERROR(__xludf.DUMMYFUNCTION("""COMPUTED_VALUE"""),"Envia")</f>
        <v>Envia</v>
      </c>
      <c r="C4625" s="15" t="str">
        <f>IFERROR(__xludf.DUMMYFUNCTION("""COMPUTED_VALUE"""),"CÚCUTA")</f>
        <v>CÚCUTA</v>
      </c>
      <c r="D4625" s="15" t="str">
        <f>IFERROR(__xludf.DUMMYFUNCTION("""COMPUTED_VALUE"""),"BOGOTÁ")</f>
        <v>BOGOTÁ</v>
      </c>
      <c r="E4625" s="15" t="str">
        <f>IFERROR(__xludf.DUMMYFUNCTION("""COMPUTED_VALUE"""),"Pan de Waffle")</f>
        <v>Pan de Waffle</v>
      </c>
      <c r="F4625" s="17" t="str">
        <f>IFERROR(__xludf.DUMMYFUNCTION("""COMPUTED_VALUE"""),"Avenida 3e # 6cn - 12 Ceiba 2 / Avenida 3e # 6cn - 12 Ceiba 2 / Avenida 3e # 6cn - 12 Ceiba 2")</f>
        <v>Avenida 3e # 6cn - 12 Ceiba 2 / Avenida 3e # 6cn - 12 Ceiba 2 / Avenida 3e # 6cn - 12 Ceiba 2</v>
      </c>
      <c r="G4625" s="15" t="str">
        <f>IFERROR(__xludf.DUMMYFUNCTION("""COMPUTED_VALUE"""),"LA BODEGUITA MARKET FIT")</f>
        <v>LA BODEGUITA MARKET FIT</v>
      </c>
      <c r="H4625" s="16">
        <f>IFERROR(__xludf.DUMMYFUNCTION("""COMPUTED_VALUE"""),13338.0)</f>
        <v>13338</v>
      </c>
      <c r="I4625" s="18">
        <f>IFERROR(__xludf.DUMMYFUNCTION("""COMPUTED_VALUE"""),30.0)</f>
        <v>30</v>
      </c>
      <c r="J4625" s="18">
        <f>IFERROR(__xludf.DUMMYFUNCTION("""COMPUTED_VALUE"""),30.0)</f>
        <v>30</v>
      </c>
      <c r="K4625" s="18">
        <f>IFERROR(__xludf.DUMMYFUNCTION("""COMPUTED_VALUE"""),40.0)</f>
        <v>40</v>
      </c>
      <c r="L4625" s="17">
        <f>IFERROR(__xludf.DUMMYFUNCTION("""COMPUTED_VALUE"""),3.00384312E9)</f>
        <v>3003843120</v>
      </c>
      <c r="M4625" s="17" t="str">
        <f>IFERROR(__xludf.DUMMYFUNCTION("""COMPUTED_VALUE"""),"#REF!")</f>
        <v>#REF!</v>
      </c>
      <c r="N4625" s="17"/>
      <c r="O4625" s="17"/>
      <c r="P4625" s="17" t="b">
        <f>IFERROR(__xludf.DUMMYFUNCTION("""COMPUTED_VALUE"""),FALSE)</f>
        <v>0</v>
      </c>
      <c r="Q4625" s="20" t="str">
        <f>IFERROR(__xludf.DUMMYFUNCTION("""COMPUTED_VALUE"""),"")</f>
        <v/>
      </c>
      <c r="R4625" s="21" t="str">
        <f>IFERROR(__xludf.DUMMYFUNCTION("""COMPUTED_VALUE"""),"https://drive.google.com/file/d/1TcdF8O5Bj0Irpv2qq5CJM7V-DKJy2c0i/view?usp=drivesdk")</f>
        <v>https://drive.google.com/file/d/1TcdF8O5Bj0Irpv2qq5CJM7V-DKJy2c0i/view?usp=drivesdk</v>
      </c>
    </row>
    <row r="4626">
      <c r="A4626" s="15">
        <f>IFERROR(__xludf.DUMMYFUNCTION("""COMPUTED_VALUE"""),45135.0)</f>
        <v>45135</v>
      </c>
      <c r="B4626" s="16" t="str">
        <f>IFERROR(__xludf.DUMMYFUNCTION("""COMPUTED_VALUE"""),"Envia")</f>
        <v>Envia</v>
      </c>
      <c r="C4626" s="15" t="str">
        <f>IFERROR(__xludf.DUMMYFUNCTION("""COMPUTED_VALUE"""),"CÚCUTA")</f>
        <v>CÚCUTA</v>
      </c>
      <c r="D4626" s="15" t="str">
        <f>IFERROR(__xludf.DUMMYFUNCTION("""COMPUTED_VALUE"""),"MEDELLÍN")</f>
        <v>MEDELLÍN</v>
      </c>
      <c r="E4626" s="15" t="str">
        <f>IFERROR(__xludf.DUMMYFUNCTION("""COMPUTED_VALUE"""),"Helados swip")</f>
        <v>Helados swip</v>
      </c>
      <c r="F4626" s="17" t="str">
        <f>IFERROR(__xludf.DUMMYFUNCTION("""COMPUTED_VALUE"""),"AVENIDA 3E#6CN 12 / CEIBA DOS  / DIAGONAL SUPERMERCADO 24 HORAS")</f>
        <v>AVENIDA 3E#6CN 12 / CEIBA DOS  / DIAGONAL SUPERMERCADO 24 HORAS</v>
      </c>
      <c r="G4626" s="15" t="str">
        <f>IFERROR(__xludf.DUMMYFUNCTION("""COMPUTED_VALUE"""),"LA BODEGUITA CUCUTA")</f>
        <v>LA BODEGUITA CUCUTA</v>
      </c>
      <c r="H4626" s="16">
        <f>IFERROR(__xludf.DUMMYFUNCTION("""COMPUTED_VALUE"""),13295.0)</f>
        <v>13295</v>
      </c>
      <c r="I4626" s="18">
        <f>IFERROR(__xludf.DUMMYFUNCTION("""COMPUTED_VALUE"""),29.0)</f>
        <v>29</v>
      </c>
      <c r="J4626" s="18">
        <f>IFERROR(__xludf.DUMMYFUNCTION("""COMPUTED_VALUE"""),55.0)</f>
        <v>55</v>
      </c>
      <c r="K4626" s="18">
        <f>IFERROR(__xludf.DUMMYFUNCTION("""COMPUTED_VALUE"""),45.0)</f>
        <v>45</v>
      </c>
      <c r="L4626" s="17">
        <f>IFERROR(__xludf.DUMMYFUNCTION("""COMPUTED_VALUE"""),3.209091389E9)</f>
        <v>3209091389</v>
      </c>
      <c r="M4626" s="17" t="str">
        <f>IFERROR(__xludf.DUMMYFUNCTION("""COMPUTED_VALUE"""),"#REF!")</f>
        <v>#REF!</v>
      </c>
      <c r="N4626" s="17"/>
      <c r="O4626" s="17"/>
      <c r="P4626" s="17" t="b">
        <f>IFERROR(__xludf.DUMMYFUNCTION("""COMPUTED_VALUE"""),FALSE)</f>
        <v>0</v>
      </c>
      <c r="Q4626" s="20" t="str">
        <f>IFERROR(__xludf.DUMMYFUNCTION("""COMPUTED_VALUE"""),"")</f>
        <v/>
      </c>
      <c r="R4626" s="22" t="str">
        <f>IFERROR(__xludf.DUMMYFUNCTION("""COMPUTED_VALUE"""),"")</f>
        <v/>
      </c>
    </row>
    <row r="4627">
      <c r="A4627" s="15">
        <f>IFERROR(__xludf.DUMMYFUNCTION("""COMPUTED_VALUE"""),45135.0)</f>
        <v>45135</v>
      </c>
      <c r="B4627" s="16" t="str">
        <f>IFERROR(__xludf.DUMMYFUNCTION("""COMPUTED_VALUE"""),"Envia")</f>
        <v>Envia</v>
      </c>
      <c r="C4627" s="15" t="str">
        <f>IFERROR(__xludf.DUMMYFUNCTION("""COMPUTED_VALUE"""),"CÚCUTA")</f>
        <v>CÚCUTA</v>
      </c>
      <c r="D4627" s="15" t="str">
        <f>IFERROR(__xludf.DUMMYFUNCTION("""COMPUTED_VALUE"""),"MEDELLÍN")</f>
        <v>MEDELLÍN</v>
      </c>
      <c r="E4627" s="15" t="str">
        <f>IFERROR(__xludf.DUMMYFUNCTION("""COMPUTED_VALUE"""),"Rambla")</f>
        <v>Rambla</v>
      </c>
      <c r="F4627" s="17" t="str">
        <f>IFERROR(__xludf.DUMMYFUNCTION("""COMPUTED_VALUE"""),"ave 2e con 14a-32 /  los caobos / .")</f>
        <v>ave 2e con 14a-32 /  los caobos / .</v>
      </c>
      <c r="G4627" s="15" t="str">
        <f>IFERROR(__xludf.DUMMYFUNCTION("""COMPUTED_VALUE"""),"Jengibre")</f>
        <v>Jengibre</v>
      </c>
      <c r="H4627" s="16">
        <f>IFERROR(__xludf.DUMMYFUNCTION("""COMPUTED_VALUE"""),13329.0)</f>
        <v>13329</v>
      </c>
      <c r="I4627" s="18">
        <f>IFERROR(__xludf.DUMMYFUNCTION("""COMPUTED_VALUE"""),20.0)</f>
        <v>20</v>
      </c>
      <c r="J4627" s="18">
        <f>IFERROR(__xludf.DUMMYFUNCTION("""COMPUTED_VALUE"""),27.0)</f>
        <v>27</v>
      </c>
      <c r="K4627" s="18">
        <f>IFERROR(__xludf.DUMMYFUNCTION("""COMPUTED_VALUE"""),39.0)</f>
        <v>39</v>
      </c>
      <c r="L4627" s="17">
        <f>IFERROR(__xludf.DUMMYFUNCTION("""COMPUTED_VALUE"""),3.005618715E9)</f>
        <v>3005618715</v>
      </c>
      <c r="M4627" s="17" t="str">
        <f>IFERROR(__xludf.DUMMYFUNCTION("""COMPUTED_VALUE"""),"#REF!")</f>
        <v>#REF!</v>
      </c>
      <c r="N4627" s="17"/>
      <c r="O4627" s="17"/>
      <c r="P4627" s="17" t="b">
        <f>IFERROR(__xludf.DUMMYFUNCTION("""COMPUTED_VALUE"""),FALSE)</f>
        <v>0</v>
      </c>
      <c r="Q4627" s="20" t="str">
        <f>IFERROR(__xludf.DUMMYFUNCTION("""COMPUTED_VALUE"""),"")</f>
        <v/>
      </c>
      <c r="R4627" s="22" t="str">
        <f>IFERROR(__xludf.DUMMYFUNCTION("""COMPUTED_VALUE"""),"")</f>
        <v/>
      </c>
    </row>
    <row r="4628">
      <c r="A4628" s="15">
        <f>IFERROR(__xludf.DUMMYFUNCTION("""COMPUTED_VALUE"""),45135.0)</f>
        <v>45135</v>
      </c>
      <c r="B4628" s="16" t="str">
        <f>IFERROR(__xludf.DUMMYFUNCTION("""COMPUTED_VALUE"""),"Envia")</f>
        <v>Envia</v>
      </c>
      <c r="C4628" s="15" t="str">
        <f>IFERROR(__xludf.DUMMYFUNCTION("""COMPUTED_VALUE"""),"FLORIDABLANCA")</f>
        <v>FLORIDABLANCA</v>
      </c>
      <c r="D4628" s="15" t="str">
        <f>IFERROR(__xludf.DUMMYFUNCTION("""COMPUTED_VALUE"""),"BOGOTÁ")</f>
        <v>BOGOTÁ</v>
      </c>
      <c r="E4628" s="15" t="str">
        <f>IFERROR(__xludf.DUMMYFUNCTION("""COMPUTED_VALUE"""),"Athenas")</f>
        <v>Athenas</v>
      </c>
      <c r="F4628" s="17" t="str">
        <f>IFERROR(__xludf.DUMMYFUNCTION("""COMPUTED_VALUE"""),"Transversal el bosque #29 -145 cafetería bodytech / Caracoli / Caracoli")</f>
        <v>Transversal el bosque #29 -145 cafetería bodytech / Caracoli / Caracoli</v>
      </c>
      <c r="G4628" s="15" t="str">
        <f>IFERROR(__xludf.DUMMYFUNCTION("""COMPUTED_VALUE"""),"Mónica Núñez")</f>
        <v>Mónica Núñez</v>
      </c>
      <c r="H4628" s="16">
        <f>IFERROR(__xludf.DUMMYFUNCTION("""COMPUTED_VALUE"""),13264.0)</f>
        <v>13264</v>
      </c>
      <c r="I4628" s="18">
        <f>IFERROR(__xludf.DUMMYFUNCTION("""COMPUTED_VALUE"""),55.0)</f>
        <v>55</v>
      </c>
      <c r="J4628" s="18">
        <f>IFERROR(__xludf.DUMMYFUNCTION("""COMPUTED_VALUE"""),45.0)</f>
        <v>45</v>
      </c>
      <c r="K4628" s="18" t="str">
        <f>IFERROR(__xludf.DUMMYFUNCTION("""COMPUTED_VALUE"""),"52.5")</f>
        <v>52.5</v>
      </c>
      <c r="L4628" s="17">
        <f>IFERROR(__xludf.DUMMYFUNCTION("""COMPUTED_VALUE"""),3.223812644E9)</f>
        <v>3223812644</v>
      </c>
      <c r="M4628" s="17" t="str">
        <f>IFERROR(__xludf.DUMMYFUNCTION("""COMPUTED_VALUE"""),"#REF!")</f>
        <v>#REF!</v>
      </c>
      <c r="N4628" s="17"/>
      <c r="O4628" s="17"/>
      <c r="P4628" s="17" t="b">
        <f>IFERROR(__xludf.DUMMYFUNCTION("""COMPUTED_VALUE"""),FALSE)</f>
        <v>0</v>
      </c>
      <c r="Q4628" s="20" t="str">
        <f>IFERROR(__xludf.DUMMYFUNCTION("""COMPUTED_VALUE"""),"")</f>
        <v/>
      </c>
      <c r="R4628" s="22" t="str">
        <f>IFERROR(__xludf.DUMMYFUNCTION("""COMPUTED_VALUE"""),"")</f>
        <v/>
      </c>
    </row>
    <row r="4629">
      <c r="A4629" s="15">
        <f>IFERROR(__xludf.DUMMYFUNCTION("""COMPUTED_VALUE"""),45135.0)</f>
        <v>45135</v>
      </c>
      <c r="B4629" s="16" t="str">
        <f>IFERROR(__xludf.DUMMYFUNCTION("""COMPUTED_VALUE"""),"Envia")</f>
        <v>Envia</v>
      </c>
      <c r="C4629" s="15" t="str">
        <f>IFERROR(__xludf.DUMMYFUNCTION("""COMPUTED_VALUE"""),"MEDELLÍN")</f>
        <v>MEDELLÍN</v>
      </c>
      <c r="D4629" s="15" t="str">
        <f>IFERROR(__xludf.DUMMYFUNCTION("""COMPUTED_VALUE"""),"BOGOTÁ")</f>
        <v>BOGOTÁ</v>
      </c>
      <c r="E4629" s="15" t="str">
        <f>IFERROR(__xludf.DUMMYFUNCTION("""COMPUTED_VALUE"""),"Jacobsen")</f>
        <v>Jacobsen</v>
      </c>
      <c r="F4629" s="17" t="str">
        <f>IFERROR(__xludf.DUMMYFUNCTION("""COMPUTED_VALUE"""),"CALLE 45 #47-28 / ITAGUI / BARRIO LA GLORIA")</f>
        <v>CALLE 45 #47-28 / ITAGUI / BARRIO LA GLORIA</v>
      </c>
      <c r="G4629" s="15" t="str">
        <f>IFERROR(__xludf.DUMMYFUNCTION("""COMPUTED_VALUE"""),"JUAN DAVID CARBAJAL JIMENEZ")</f>
        <v>JUAN DAVID CARBAJAL JIMENEZ</v>
      </c>
      <c r="H4629" s="16">
        <f>IFERROR(__xludf.DUMMYFUNCTION("""COMPUTED_VALUE"""),13351.0)</f>
        <v>13351</v>
      </c>
      <c r="I4629" s="18" t="str">
        <f>IFERROR(__xludf.DUMMYFUNCTION("""COMPUTED_VALUE"""),"0.31")</f>
        <v>0.31</v>
      </c>
      <c r="J4629" s="18" t="str">
        <f>IFERROR(__xludf.DUMMYFUNCTION("""COMPUTED_VALUE"""),"0.24")</f>
        <v>0.24</v>
      </c>
      <c r="K4629" s="18" t="str">
        <f>IFERROR(__xludf.DUMMYFUNCTION("""COMPUTED_VALUE"""),"0.4")</f>
        <v>0.4</v>
      </c>
      <c r="L4629" s="17">
        <f>IFERROR(__xludf.DUMMYFUNCTION("""COMPUTED_VALUE"""),4.9178406469E11)</f>
        <v>491784064690</v>
      </c>
      <c r="M4629" s="17" t="str">
        <f>IFERROR(__xludf.DUMMYFUNCTION("""COMPUTED_VALUE"""),"#REF!")</f>
        <v>#REF!</v>
      </c>
      <c r="N4629" s="17"/>
      <c r="O4629" s="17"/>
      <c r="P4629" s="17" t="b">
        <f>IFERROR(__xludf.DUMMYFUNCTION("""COMPUTED_VALUE"""),FALSE)</f>
        <v>0</v>
      </c>
      <c r="Q4629" s="20" t="str">
        <f>IFERROR(__xludf.DUMMYFUNCTION("""COMPUTED_VALUE"""),"")</f>
        <v/>
      </c>
      <c r="R4629" s="22" t="str">
        <f>IFERROR(__xludf.DUMMYFUNCTION("""COMPUTED_VALUE"""),"")</f>
        <v/>
      </c>
    </row>
    <row r="4630">
      <c r="A4630" s="15">
        <f>IFERROR(__xludf.DUMMYFUNCTION("""COMPUTED_VALUE"""),45135.0)</f>
        <v>45135</v>
      </c>
      <c r="B4630" s="16" t="str">
        <f>IFERROR(__xludf.DUMMYFUNCTION("""COMPUTED_VALUE"""),"Envia")</f>
        <v>Envia</v>
      </c>
      <c r="C4630" s="15" t="str">
        <f>IFERROR(__xludf.DUMMYFUNCTION("""COMPUTED_VALUE"""),"MEDELLÍN")</f>
        <v>MEDELLÍN</v>
      </c>
      <c r="D4630" s="15" t="str">
        <f>IFERROR(__xludf.DUMMYFUNCTION("""COMPUTED_VALUE"""),"BOGOTÁ")</f>
        <v>BOGOTÁ</v>
      </c>
      <c r="E4630" s="15" t="str">
        <f>IFERROR(__xludf.DUMMYFUNCTION("""COMPUTED_VALUE"""),"MAI ALIMENTOS S.A.S")</f>
        <v>MAI ALIMENTOS S.A.S</v>
      </c>
      <c r="F4630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4630" s="15" t="str">
        <f>IFERROR(__xludf.DUMMYFUNCTION("""COMPUTED_VALUE"""),"Novaventas")</f>
        <v>Novaventas</v>
      </c>
      <c r="H4630" s="16">
        <f>IFERROR(__xludf.DUMMYFUNCTION("""COMPUTED_VALUE"""),13380.0)</f>
        <v>13380</v>
      </c>
      <c r="I4630" s="18">
        <f>IFERROR(__xludf.DUMMYFUNCTION("""COMPUTED_VALUE"""),35.0)</f>
        <v>35</v>
      </c>
      <c r="J4630" s="18">
        <f>IFERROR(__xludf.DUMMYFUNCTION("""COMPUTED_VALUE"""),17.0)</f>
        <v>17</v>
      </c>
      <c r="K4630" s="18">
        <f>IFERROR(__xludf.DUMMYFUNCTION("""COMPUTED_VALUE"""),13.0)</f>
        <v>13</v>
      </c>
      <c r="L4630" s="17">
        <f>IFERROR(__xludf.DUMMYFUNCTION("""COMPUTED_VALUE"""),3.187351593E9)</f>
        <v>3187351593</v>
      </c>
      <c r="M4630" s="17" t="str">
        <f>IFERROR(__xludf.DUMMYFUNCTION("""COMPUTED_VALUE"""),"#REF!")</f>
        <v>#REF!</v>
      </c>
      <c r="N4630" s="17"/>
      <c r="O4630" s="17"/>
      <c r="P4630" s="17" t="b">
        <f>IFERROR(__xludf.DUMMYFUNCTION("""COMPUTED_VALUE"""),FALSE)</f>
        <v>0</v>
      </c>
      <c r="Q4630" s="20" t="str">
        <f>IFERROR(__xludf.DUMMYFUNCTION("""COMPUTED_VALUE"""),"")</f>
        <v/>
      </c>
      <c r="R4630" s="22" t="str">
        <f>IFERROR(__xludf.DUMMYFUNCTION("""COMPUTED_VALUE"""),"")</f>
        <v/>
      </c>
    </row>
    <row r="4631">
      <c r="A4631" s="15">
        <f>IFERROR(__xludf.DUMMYFUNCTION("""COMPUTED_VALUE"""),45135.0)</f>
        <v>45135</v>
      </c>
      <c r="B4631" s="16" t="str">
        <f>IFERROR(__xludf.DUMMYFUNCTION("""COMPUTED_VALUE"""),"Envia")</f>
        <v>Envia</v>
      </c>
      <c r="C4631" s="15" t="str">
        <f>IFERROR(__xludf.DUMMYFUNCTION("""COMPUTED_VALUE"""),"MEDELLÍN")</f>
        <v>MEDELLÍN</v>
      </c>
      <c r="D4631" s="15" t="str">
        <f>IFERROR(__xludf.DUMMYFUNCTION("""COMPUTED_VALUE"""),"BOGOTÁ")</f>
        <v>BOGOTÁ</v>
      </c>
      <c r="E4631" s="15" t="str">
        <f>IFERROR(__xludf.DUMMYFUNCTION("""COMPUTED_VALUE"""),"Renata")</f>
        <v>Renata</v>
      </c>
      <c r="F4631" s="17" t="str">
        <f>IFERROR(__xludf.DUMMYFUNCTION("""COMPUTED_VALUE"""),"Carrera 32d #9-43 / Seline y cowork -restaurante  / Provenza")</f>
        <v>Carrera 32d #9-43 / Seline y cowork -restaurante  / Provenza</v>
      </c>
      <c r="G4631" s="15" t="str">
        <f>IFERROR(__xludf.DUMMYFUNCTION("""COMPUTED_VALUE"""),"Front y back hospitality group")</f>
        <v>Front y back hospitality group</v>
      </c>
      <c r="H4631" s="16">
        <f>IFERROR(__xludf.DUMMYFUNCTION("""COMPUTED_VALUE"""),13344.0)</f>
        <v>13344</v>
      </c>
      <c r="I4631" s="18">
        <f>IFERROR(__xludf.DUMMYFUNCTION("""COMPUTED_VALUE"""),90.0)</f>
        <v>90</v>
      </c>
      <c r="J4631" s="18">
        <f>IFERROR(__xludf.DUMMYFUNCTION("""COMPUTED_VALUE"""),70.0)</f>
        <v>70</v>
      </c>
      <c r="K4631" s="18">
        <f>IFERROR(__xludf.DUMMYFUNCTION("""COMPUTED_VALUE"""),60.0)</f>
        <v>60</v>
      </c>
      <c r="L4631" s="17">
        <f>IFERROR(__xludf.DUMMYFUNCTION("""COMPUTED_VALUE"""),3.104047368E9)</f>
        <v>3104047368</v>
      </c>
      <c r="M4631" s="17" t="str">
        <f>IFERROR(__xludf.DUMMYFUNCTION("""COMPUTED_VALUE"""),"#REF!")</f>
        <v>#REF!</v>
      </c>
      <c r="N4631" s="17"/>
      <c r="O4631" s="17"/>
      <c r="P4631" s="17" t="b">
        <f>IFERROR(__xludf.DUMMYFUNCTION("""COMPUTED_VALUE"""),FALSE)</f>
        <v>0</v>
      </c>
      <c r="Q4631" s="20" t="str">
        <f>IFERROR(__xludf.DUMMYFUNCTION("""COMPUTED_VALUE"""),"")</f>
        <v/>
      </c>
      <c r="R4631" s="22" t="str">
        <f>IFERROR(__xludf.DUMMYFUNCTION("""COMPUTED_VALUE"""),"")</f>
        <v/>
      </c>
    </row>
    <row r="4632">
      <c r="A4632" s="15">
        <f>IFERROR(__xludf.DUMMYFUNCTION("""COMPUTED_VALUE"""),45135.0)</f>
        <v>45135</v>
      </c>
      <c r="B4632" s="16" t="str">
        <f>IFERROR(__xludf.DUMMYFUNCTION("""COMPUTED_VALUE"""),"Envia")</f>
        <v>Envia</v>
      </c>
      <c r="C4632" s="15" t="str">
        <f>IFERROR(__xludf.DUMMYFUNCTION("""COMPUTED_VALUE"""),"MEDELLÍN")</f>
        <v>MEDELLÍN</v>
      </c>
      <c r="D4632" s="15" t="str">
        <f>IFERROR(__xludf.DUMMYFUNCTION("""COMPUTED_VALUE"""),"BOGOTÁ")</f>
        <v>BOGOTÁ</v>
      </c>
      <c r="E4632" s="15" t="str">
        <f>IFERROR(__xludf.DUMMYFUNCTION("""COMPUTED_VALUE"""),"Viiva Fermentados")</f>
        <v>Viiva Fermentados</v>
      </c>
      <c r="F4632" s="17" t="str">
        <f>IFERROR(__xludf.DUMMYFUNCTION("""COMPUTED_VALUE"""),"CR 42 # 08 -39 / local piso 1 / el poblado")</f>
        <v>CR 42 # 08 -39 / local piso 1 / el poblado</v>
      </c>
      <c r="G4632" s="15" t="str">
        <f>IFERROR(__xludf.DUMMYFUNCTION("""COMPUTED_VALUE"""),"Julia Correa Ochoa La Real Vegetal")</f>
        <v>Julia Correa Ochoa La Real Vegetal</v>
      </c>
      <c r="H4632" s="16">
        <f>IFERROR(__xludf.DUMMYFUNCTION("""COMPUTED_VALUE"""),13290.0)</f>
        <v>13290</v>
      </c>
      <c r="I4632" s="18">
        <f>IFERROR(__xludf.DUMMYFUNCTION("""COMPUTED_VALUE"""),26.0)</f>
        <v>26</v>
      </c>
      <c r="J4632" s="18">
        <f>IFERROR(__xludf.DUMMYFUNCTION("""COMPUTED_VALUE"""),18.0)</f>
        <v>18</v>
      </c>
      <c r="K4632" s="18">
        <f>IFERROR(__xludf.DUMMYFUNCTION("""COMPUTED_VALUE"""),18.0)</f>
        <v>18</v>
      </c>
      <c r="L4632" s="17">
        <f>IFERROR(__xludf.DUMMYFUNCTION("""COMPUTED_VALUE"""),3.116345472E9)</f>
        <v>3116345472</v>
      </c>
      <c r="M4632" s="17" t="str">
        <f>IFERROR(__xludf.DUMMYFUNCTION("""COMPUTED_VALUE"""),"#REF!")</f>
        <v>#REF!</v>
      </c>
      <c r="N4632" s="17"/>
      <c r="O4632" s="17"/>
      <c r="P4632" s="17" t="b">
        <f>IFERROR(__xludf.DUMMYFUNCTION("""COMPUTED_VALUE"""),FALSE)</f>
        <v>0</v>
      </c>
      <c r="Q4632" s="20" t="str">
        <f>IFERROR(__xludf.DUMMYFUNCTION("""COMPUTED_VALUE"""),"")</f>
        <v/>
      </c>
      <c r="R4632" s="22" t="str">
        <f>IFERROR(__xludf.DUMMYFUNCTION("""COMPUTED_VALUE"""),"")</f>
        <v/>
      </c>
    </row>
    <row r="4633">
      <c r="A4633" s="15">
        <f>IFERROR(__xludf.DUMMYFUNCTION("""COMPUTED_VALUE"""),45135.0)</f>
        <v>45135</v>
      </c>
      <c r="B4633" s="16" t="str">
        <f>IFERROR(__xludf.DUMMYFUNCTION("""COMPUTED_VALUE"""),"Envia")</f>
        <v>Envia</v>
      </c>
      <c r="C4633" s="15" t="str">
        <f>IFERROR(__xludf.DUMMYFUNCTION("""COMPUTED_VALUE"""),"MEDELLÍN")</f>
        <v>MEDELLÍN</v>
      </c>
      <c r="D4633" s="15" t="str">
        <f>IFERROR(__xludf.DUMMYFUNCTION("""COMPUTED_VALUE"""),"BOGOTÁ")</f>
        <v>BOGOTÁ</v>
      </c>
      <c r="E4633" s="15" t="str">
        <f>IFERROR(__xludf.DUMMYFUNCTION("""COMPUTED_VALUE"""),"Viral Brands")</f>
        <v>Viral Brands</v>
      </c>
      <c r="F4633" s="17" t="str">
        <f>IFERROR(__xludf.DUMMYFUNCTION("""COMPUTED_VALUE"""),"Calle 1 sur # 29-354 / Al lado de rappi turbo cocina de chuzales y min burger  / Poblado en la loma de los parra")</f>
        <v>Calle 1 sur # 29-354 / Al lado de rappi turbo cocina de chuzales y min burger  / Poblado en la loma de los parra</v>
      </c>
      <c r="G4633" s="15" t="str">
        <f>IFERROR(__xludf.DUMMYFUNCTION("""COMPUTED_VALUE"""),"Carlos olivera")</f>
        <v>Carlos olivera</v>
      </c>
      <c r="H4633" s="16">
        <f>IFERROR(__xludf.DUMMYFUNCTION("""COMPUTED_VALUE"""),13348.0)</f>
        <v>13348</v>
      </c>
      <c r="I4633" s="18">
        <f>IFERROR(__xludf.DUMMYFUNCTION("""COMPUTED_VALUE"""),50.0)</f>
        <v>50</v>
      </c>
      <c r="J4633" s="18">
        <f>IFERROR(__xludf.DUMMYFUNCTION("""COMPUTED_VALUE"""),30.0)</f>
        <v>30</v>
      </c>
      <c r="K4633" s="18">
        <f>IFERROR(__xludf.DUMMYFUNCTION("""COMPUTED_VALUE"""),21.0)</f>
        <v>21</v>
      </c>
      <c r="L4633" s="17">
        <f>IFERROR(__xludf.DUMMYFUNCTION("""COMPUTED_VALUE"""),3.053460624E9)</f>
        <v>3053460624</v>
      </c>
      <c r="M4633" s="17" t="str">
        <f>IFERROR(__xludf.DUMMYFUNCTION("""COMPUTED_VALUE"""),"#REF!")</f>
        <v>#REF!</v>
      </c>
      <c r="N4633" s="17"/>
      <c r="O4633" s="17"/>
      <c r="P4633" s="17" t="b">
        <f>IFERROR(__xludf.DUMMYFUNCTION("""COMPUTED_VALUE"""),FALSE)</f>
        <v>0</v>
      </c>
      <c r="Q4633" s="20" t="str">
        <f>IFERROR(__xludf.DUMMYFUNCTION("""COMPUTED_VALUE"""),"")</f>
        <v/>
      </c>
      <c r="R4633" s="22" t="str">
        <f>IFERROR(__xludf.DUMMYFUNCTION("""COMPUTED_VALUE"""),"")</f>
        <v/>
      </c>
    </row>
    <row r="4634">
      <c r="A4634" s="15">
        <f>IFERROR(__xludf.DUMMYFUNCTION("""COMPUTED_VALUE"""),45135.0)</f>
        <v>45135</v>
      </c>
      <c r="B4634" s="16" t="str">
        <f>IFERROR(__xludf.DUMMYFUNCTION("""COMPUTED_VALUE"""),"Envia")</f>
        <v>Envia</v>
      </c>
      <c r="C4634" s="15" t="str">
        <f>IFERROR(__xludf.DUMMYFUNCTION("""COMPUTED_VALUE"""),"SANTA MARTA")</f>
        <v>SANTA MARTA</v>
      </c>
      <c r="D4634" s="15" t="str">
        <f>IFERROR(__xludf.DUMMYFUNCTION("""COMPUTED_VALUE"""),"BUCARAMANGA")</f>
        <v>BUCARAMANGA</v>
      </c>
      <c r="E4634" s="15" t="str">
        <f>IFERROR(__xludf.DUMMYFUNCTION("""COMPUTED_VALUE"""),"Yo Como Solito")</f>
        <v>Yo Como Solito</v>
      </c>
      <c r="F4634" s="17" t="str">
        <f>IFERROR(__xludf.DUMMYFUNCTION("""COMPUTED_VALUE"""),"carrera 19 n 24-16 apto 1304 edificio torre 1924 santa Marta colombia  / carrera 19 n 24-16 apto 1304 edificio torre 1924 santa Marta colombia  / carrera 19 n 24-16 apto 1304 edificio torre 1924 santa Marta colombia")</f>
        <v>carrera 19 n 24-16 apto 1304 edificio torre 1924 santa Marta colombia  / carrera 19 n 24-16 apto 1304 edificio torre 1924 santa Marta colombia  / carrera 19 n 24-16 apto 1304 edificio torre 1924 santa Marta colombia</v>
      </c>
      <c r="G4634" s="15" t="str">
        <f>IFERROR(__xludf.DUMMYFUNCTION("""COMPUTED_VALUE"""),"Stephania García Mier")</f>
        <v>Stephania García Mier</v>
      </c>
      <c r="H4634" s="16">
        <f>IFERROR(__xludf.DUMMYFUNCTION("""COMPUTED_VALUE"""),13266.0)</f>
        <v>13266</v>
      </c>
      <c r="I4634" s="18">
        <f>IFERROR(__xludf.DUMMYFUNCTION("""COMPUTED_VALUE"""),15.0)</f>
        <v>15</v>
      </c>
      <c r="J4634" s="18">
        <f>IFERROR(__xludf.DUMMYFUNCTION("""COMPUTED_VALUE"""),22.0)</f>
        <v>22</v>
      </c>
      <c r="K4634" s="18">
        <f>IFERROR(__xludf.DUMMYFUNCTION("""COMPUTED_VALUE"""),26.0)</f>
        <v>26</v>
      </c>
      <c r="L4634" s="17">
        <f>IFERROR(__xludf.DUMMYFUNCTION("""COMPUTED_VALUE"""),3.002695985E9)</f>
        <v>3002695985</v>
      </c>
      <c r="M4634" s="17" t="str">
        <f>IFERROR(__xludf.DUMMYFUNCTION("""COMPUTED_VALUE"""),"#REF!")</f>
        <v>#REF!</v>
      </c>
      <c r="N4634" s="17"/>
      <c r="O4634" s="17"/>
      <c r="P4634" s="17" t="b">
        <f>IFERROR(__xludf.DUMMYFUNCTION("""COMPUTED_VALUE"""),FALSE)</f>
        <v>0</v>
      </c>
      <c r="Q4634" s="20" t="str">
        <f>IFERROR(__xludf.DUMMYFUNCTION("""COMPUTED_VALUE"""),"")</f>
        <v/>
      </c>
      <c r="R4634" s="21" t="str">
        <f>IFERROR(__xludf.DUMMYFUNCTION("""COMPUTED_VALUE"""),"https://drive.google.com/file/d/1WK7TvRnbU8LJdR60XJKo3umo8YuydeUd/view?usp=drivesdk")</f>
        <v>https://drive.google.com/file/d/1WK7TvRnbU8LJdR60XJKo3umo8YuydeUd/view?usp=drivesdk</v>
      </c>
    </row>
    <row r="4635">
      <c r="A4635" s="15">
        <f>IFERROR(__xludf.DUMMYFUNCTION("""COMPUTED_VALUE"""),45135.0)</f>
        <v>45135</v>
      </c>
      <c r="B4635" s="16" t="str">
        <f>IFERROR(__xludf.DUMMYFUNCTION("""COMPUTED_VALUE"""),"Envia")</f>
        <v>Envia</v>
      </c>
      <c r="C4635" s="15" t="str">
        <f>IFERROR(__xludf.DUMMYFUNCTION("""COMPUTED_VALUE"""),"SINCELEJO")</f>
        <v>SINCELEJO</v>
      </c>
      <c r="D4635" s="15" t="str">
        <f>IFERROR(__xludf.DUMMYFUNCTION("""COMPUTED_VALUE"""),"MEDELLÍN")</f>
        <v>MEDELLÍN</v>
      </c>
      <c r="E4635" s="15" t="str">
        <f>IFERROR(__xludf.DUMMYFUNCTION("""COMPUTED_VALUE"""),"Helados swip")</f>
        <v>Helados swip</v>
      </c>
      <c r="F4635" s="17" t="str">
        <f>IFERROR(__xludf.DUMMYFUNCTION("""COMPUTED_VALUE"""),"CALLE 10 # 31-33 / PUERTA ROJA  / TIENDA SALUDABLE ABETOS")</f>
        <v>CALLE 10 # 31-33 / PUERTA ROJA  / TIENDA SALUDABLE ABETOS</v>
      </c>
      <c r="G4635" s="15" t="str">
        <f>IFERROR(__xludf.DUMMYFUNCTION("""COMPUTED_VALUE"""),"ABETOS -JESSICA VILLALBA")</f>
        <v>ABETOS -JESSICA VILLALBA</v>
      </c>
      <c r="H4635" s="16">
        <f>IFERROR(__xludf.DUMMYFUNCTION("""COMPUTED_VALUE"""),13294.0)</f>
        <v>13294</v>
      </c>
      <c r="I4635" s="18">
        <f>IFERROR(__xludf.DUMMYFUNCTION("""COMPUTED_VALUE"""),50.0)</f>
        <v>50</v>
      </c>
      <c r="J4635" s="18">
        <f>IFERROR(__xludf.DUMMYFUNCTION("""COMPUTED_VALUE"""),30.0)</f>
        <v>30</v>
      </c>
      <c r="K4635" s="18">
        <f>IFERROR(__xludf.DUMMYFUNCTION("""COMPUTED_VALUE"""),21.0)</f>
        <v>21</v>
      </c>
      <c r="L4635" s="17">
        <f>IFERROR(__xludf.DUMMYFUNCTION("""COMPUTED_VALUE"""),3.22758586E9)</f>
        <v>3227585860</v>
      </c>
      <c r="M4635" s="17" t="str">
        <f>IFERROR(__xludf.DUMMYFUNCTION("""COMPUTED_VALUE"""),"#REF!")</f>
        <v>#REF!</v>
      </c>
      <c r="N4635" s="17"/>
      <c r="O4635" s="17"/>
      <c r="P4635" s="17" t="b">
        <f>IFERROR(__xludf.DUMMYFUNCTION("""COMPUTED_VALUE"""),FALSE)</f>
        <v>0</v>
      </c>
      <c r="Q4635" s="20" t="str">
        <f>IFERROR(__xludf.DUMMYFUNCTION("""COMPUTED_VALUE"""),"")</f>
        <v/>
      </c>
      <c r="R4635" s="22" t="str">
        <f>IFERROR(__xludf.DUMMYFUNCTION("""COMPUTED_VALUE"""),"")</f>
        <v/>
      </c>
    </row>
    <row r="4636">
      <c r="A4636" s="15">
        <f>IFERROR(__xludf.DUMMYFUNCTION("""COMPUTED_VALUE"""),45135.0)</f>
        <v>45135</v>
      </c>
      <c r="B4636" s="16" t="str">
        <f>IFERROR(__xludf.DUMMYFUNCTION("""COMPUTED_VALUE"""),"Envia")</f>
        <v>Envia</v>
      </c>
      <c r="C4636" s="15" t="str">
        <f>IFERROR(__xludf.DUMMYFUNCTION("""COMPUTED_VALUE"""),"SINCELEJO")</f>
        <v>SINCELEJO</v>
      </c>
      <c r="D4636" s="15" t="str">
        <f>IFERROR(__xludf.DUMMYFUNCTION("""COMPUTED_VALUE"""),"MEDELLÍN")</f>
        <v>MEDELLÍN</v>
      </c>
      <c r="E4636" s="15" t="str">
        <f>IFERROR(__xludf.DUMMYFUNCTION("""COMPUTED_VALUE"""),"Helados swip")</f>
        <v>Helados swip</v>
      </c>
      <c r="F4636" s="17" t="str">
        <f>IFERROR(__xludf.DUMMYFUNCTION("""COMPUTED_VALUE"""),"CALLE 32 # 33-119 / LOCAL 101  / VENECIA LIVING MALL")</f>
        <v>CALLE 32 # 33-119 / LOCAL 101  / VENECIA LIVING MALL</v>
      </c>
      <c r="G4636" s="15" t="str">
        <f>IFERROR(__xludf.DUMMYFUNCTION("""COMPUTED_VALUE"""),"OLIVA MERCADO SALUDABLE")</f>
        <v>OLIVA MERCADO SALUDABLE</v>
      </c>
      <c r="H4636" s="16">
        <f>IFERROR(__xludf.DUMMYFUNCTION("""COMPUTED_VALUE"""),13296.0)</f>
        <v>13296</v>
      </c>
      <c r="I4636" s="18">
        <f>IFERROR(__xludf.DUMMYFUNCTION("""COMPUTED_VALUE"""),50.0)</f>
        <v>50</v>
      </c>
      <c r="J4636" s="18">
        <f>IFERROR(__xludf.DUMMYFUNCTION("""COMPUTED_VALUE"""),30.0)</f>
        <v>30</v>
      </c>
      <c r="K4636" s="18">
        <f>IFERROR(__xludf.DUMMYFUNCTION("""COMPUTED_VALUE"""),21.0)</f>
        <v>21</v>
      </c>
      <c r="L4636" s="17">
        <f>IFERROR(__xludf.DUMMYFUNCTION("""COMPUTED_VALUE"""),3.022293728E9)</f>
        <v>3022293728</v>
      </c>
      <c r="M4636" s="17" t="str">
        <f>IFERROR(__xludf.DUMMYFUNCTION("""COMPUTED_VALUE"""),"#REF!")</f>
        <v>#REF!</v>
      </c>
      <c r="N4636" s="17"/>
      <c r="O4636" s="17"/>
      <c r="P4636" s="17" t="b">
        <f>IFERROR(__xludf.DUMMYFUNCTION("""COMPUTED_VALUE"""),FALSE)</f>
        <v>0</v>
      </c>
      <c r="Q4636" s="20" t="str">
        <f>IFERROR(__xludf.DUMMYFUNCTION("""COMPUTED_VALUE"""),"")</f>
        <v/>
      </c>
      <c r="R4636" s="22" t="str">
        <f>IFERROR(__xludf.DUMMYFUNCTION("""COMPUTED_VALUE"""),"")</f>
        <v/>
      </c>
    </row>
    <row r="4637">
      <c r="A4637" s="17" t="str">
        <f>IFERROR(__xludf.DUMMYFUNCTION("""COMPUTED_VALUE"""),"")</f>
        <v/>
      </c>
      <c r="B4637" s="17" t="str">
        <f>IFERROR(__xludf.DUMMYFUNCTION("""COMPUTED_VALUE"""),"")</f>
        <v/>
      </c>
      <c r="C4637" s="17" t="str">
        <f>IFERROR(__xludf.DUMMYFUNCTION("""COMPUTED_VALUE"""),"")</f>
        <v/>
      </c>
      <c r="D4637" s="17" t="str">
        <f>IFERROR(__xludf.DUMMYFUNCTION("""COMPUTED_VALUE"""),"")</f>
        <v/>
      </c>
      <c r="E4637" s="17" t="str">
        <f>IFERROR(__xludf.DUMMYFUNCTION("""COMPUTED_VALUE"""),"")</f>
        <v/>
      </c>
      <c r="F4637" s="17" t="str">
        <f>IFERROR(__xludf.DUMMYFUNCTION("""COMPUTED_VALUE"""),"")</f>
        <v/>
      </c>
      <c r="G4637" s="17" t="str">
        <f>IFERROR(__xludf.DUMMYFUNCTION("""COMPUTED_VALUE"""),"")</f>
        <v/>
      </c>
      <c r="H4637" s="17" t="str">
        <f>IFERROR(__xludf.DUMMYFUNCTION("""COMPUTED_VALUE"""),"")</f>
        <v/>
      </c>
      <c r="I4637" s="17" t="str">
        <f>IFERROR(__xludf.DUMMYFUNCTION("""COMPUTED_VALUE"""),"")</f>
        <v/>
      </c>
      <c r="J4637" s="17" t="str">
        <f>IFERROR(__xludf.DUMMYFUNCTION("""COMPUTED_VALUE"""),"")</f>
        <v/>
      </c>
      <c r="K4637" s="17" t="str">
        <f>IFERROR(__xludf.DUMMYFUNCTION("""COMPUTED_VALUE"""),"")</f>
        <v/>
      </c>
      <c r="L4637" s="17" t="str">
        <f>IFERROR(__xludf.DUMMYFUNCTION("""COMPUTED_VALUE"""),"")</f>
        <v/>
      </c>
      <c r="M4637" s="17" t="str">
        <f>IFERROR(__xludf.DUMMYFUNCTION("""COMPUTED_VALUE"""),"")</f>
        <v/>
      </c>
      <c r="N4637" s="17" t="str">
        <f>IFERROR(__xludf.DUMMYFUNCTION("""COMPUTED_VALUE"""),"")</f>
        <v/>
      </c>
      <c r="O4637" s="17" t="str">
        <f>IFERROR(__xludf.DUMMYFUNCTION("""COMPUTED_VALUE"""),"")</f>
        <v/>
      </c>
      <c r="P4637" s="17" t="str">
        <f>IFERROR(__xludf.DUMMYFUNCTION("""COMPUTED_VALUE"""),"")</f>
        <v/>
      </c>
      <c r="Q4637" s="17" t="str">
        <f>IFERROR(__xludf.DUMMYFUNCTION("""COMPUTED_VALUE"""),"")</f>
        <v/>
      </c>
      <c r="R4637" s="17" t="str">
        <f>IFERROR(__xludf.DUMMYFUNCTION("""COMPUTED_VALUE"""),"")</f>
        <v/>
      </c>
    </row>
    <row r="4638">
      <c r="A4638" s="15">
        <f>IFERROR(__xludf.DUMMYFUNCTION("""COMPUTED_VALUE"""),45135.0)</f>
        <v>45135</v>
      </c>
      <c r="B4638" s="16" t="str">
        <f>IFERROR(__xludf.DUMMYFUNCTION("""COMPUTED_VALUE"""),"Jeison Rubiano")</f>
        <v>Jeison Rubiano</v>
      </c>
      <c r="C4638" s="15" t="str">
        <f>IFERROR(__xludf.DUMMYFUNCTION("""COMPUTED_VALUE"""),"BOGOTÁ")</f>
        <v>BOGOTÁ</v>
      </c>
      <c r="D4638" s="15" t="str">
        <f>IFERROR(__xludf.DUMMYFUNCTION("""COMPUTED_VALUE"""),"BUCARAMANGA")</f>
        <v>BUCARAMANGA</v>
      </c>
      <c r="E4638" s="15" t="str">
        <f>IFERROR(__xludf.DUMMYFUNCTION("""COMPUTED_VALUE"""),"Yo Como Solito")</f>
        <v>Yo Como Solito</v>
      </c>
      <c r="F4638" s="17" t="str">
        <f>IFERROR(__xludf.DUMMYFUNCTION("""COMPUTED_VALUE"""),"Diagonal 77b # 116B-42 Interior 1 torre 3 apto 501. Barrio gran granada. Bogotá,  Cundinamarca  / Diagonal 77b # 116B-42 Interior 1 torre 3 apto 501. Barrio gran granada. Bogotá,  Cundinamarca  / Diagonal 77b # 116B-42 Interior 1 torre 3 apto 501. Barrio "&amp;"gran granada. Bogotá,  Cundinamarca")</f>
        <v>Diagonal 77b # 116B-42 Interior 1 torre 3 apto 501. Barrio gran granada. Bogotá,  Cundinamarca  / Diagonal 77b # 116B-42 Interior 1 torre 3 apto 501. Barrio gran granada. Bogotá,  Cundinamarca  / Diagonal 77b # 116B-42 Interior 1 torre 3 apto 501. Barrio gran granada. Bogotá,  Cundinamarca</v>
      </c>
      <c r="G4638" s="15" t="str">
        <f>IFERROR(__xludf.DUMMYFUNCTION("""COMPUTED_VALUE"""),". Pilar Andrea López")</f>
        <v>. Pilar Andrea López</v>
      </c>
      <c r="H4638" s="16">
        <f>IFERROR(__xludf.DUMMYFUNCTION("""COMPUTED_VALUE"""),13381.0)</f>
        <v>13381</v>
      </c>
      <c r="I4638" s="18">
        <f>IFERROR(__xludf.DUMMYFUNCTION("""COMPUTED_VALUE"""),16.0)</f>
        <v>16</v>
      </c>
      <c r="J4638" s="18">
        <f>IFERROR(__xludf.DUMMYFUNCTION("""COMPUTED_VALUE"""),22.0)</f>
        <v>22</v>
      </c>
      <c r="K4638" s="18">
        <f>IFERROR(__xludf.DUMMYFUNCTION("""COMPUTED_VALUE"""),26.0)</f>
        <v>26</v>
      </c>
      <c r="L4638" s="17">
        <f>IFERROR(__xludf.DUMMYFUNCTION("""COMPUTED_VALUE"""),3.104881486E9)</f>
        <v>3104881486</v>
      </c>
      <c r="M4638" s="17" t="str">
        <f>IFERROR(__xludf.DUMMYFUNCTION("""COMPUTED_VALUE"""),"#REF!")</f>
        <v>#REF!</v>
      </c>
      <c r="N4638" s="17"/>
      <c r="O4638" s="17"/>
      <c r="P4638" s="17" t="b">
        <f>IFERROR(__xludf.DUMMYFUNCTION("""COMPUTED_VALUE"""),FALSE)</f>
        <v>0</v>
      </c>
      <c r="Q4638" s="20" t="str">
        <f>IFERROR(__xludf.DUMMYFUNCTION("""COMPUTED_VALUE"""),"")</f>
        <v/>
      </c>
      <c r="R4638" s="21" t="str">
        <f>IFERROR(__xludf.DUMMYFUNCTION("""COMPUTED_VALUE"""),"https://drive.google.com/file/d/14xkam2qsb6U67oENh0OsB6ClflM920yR/view?usp=drivesdk")</f>
        <v>https://drive.google.com/file/d/14xkam2qsb6U67oENh0OsB6ClflM920yR/view?usp=drivesdk</v>
      </c>
    </row>
    <row r="4639">
      <c r="A4639" s="15">
        <f>IFERROR(__xludf.DUMMYFUNCTION("""COMPUTED_VALUE"""),45135.0)</f>
        <v>45135</v>
      </c>
      <c r="B4639" s="16" t="str">
        <f>IFERROR(__xludf.DUMMYFUNCTION("""COMPUTED_VALUE"""),"Jeison Rubiano")</f>
        <v>Jeison Rubiano</v>
      </c>
      <c r="C4639" s="15" t="str">
        <f>IFERROR(__xludf.DUMMYFUNCTION("""COMPUTED_VALUE"""),"BOGOTÁ")</f>
        <v>BOGOTÁ</v>
      </c>
      <c r="D4639" s="15" t="str">
        <f>IFERROR(__xludf.DUMMYFUNCTION("""COMPUTED_VALUE"""),"MEDELLÍN")</f>
        <v>MEDELLÍN</v>
      </c>
      <c r="E4639" s="15" t="str">
        <f>IFERROR(__xludf.DUMMYFUNCTION("""COMPUTED_VALUE"""),"AREPAS LA MARY")</f>
        <v>AREPAS LA MARY</v>
      </c>
      <c r="F4639" s="17" t="str">
        <f>IFERROR(__xludf.DUMMYFUNCTION("""COMPUTED_VALUE"""),"cra 100 a 73-34 / CASA")</f>
        <v>cra 100 a 73-34 / CASA</v>
      </c>
      <c r="G4639" s="15" t="str">
        <f>IFERROR(__xludf.DUMMYFUNCTION("""COMPUTED_VALUE"""),"DIANA PATAQUIVA")</f>
        <v>DIANA PATAQUIVA</v>
      </c>
      <c r="H4639" s="16">
        <f>IFERROR(__xludf.DUMMYFUNCTION("""COMPUTED_VALUE"""),13367.0)</f>
        <v>13367</v>
      </c>
      <c r="I4639" s="18">
        <f>IFERROR(__xludf.DUMMYFUNCTION("""COMPUTED_VALUE"""),89.0)</f>
        <v>89</v>
      </c>
      <c r="J4639" s="18">
        <f>IFERROR(__xludf.DUMMYFUNCTION("""COMPUTED_VALUE"""),1.0)</f>
        <v>1</v>
      </c>
      <c r="K4639" s="18">
        <f>IFERROR(__xludf.DUMMYFUNCTION("""COMPUTED_VALUE"""),10.0)</f>
        <v>10</v>
      </c>
      <c r="L4639" s="17">
        <f>IFERROR(__xludf.DUMMYFUNCTION("""COMPUTED_VALUE"""),3.017902841E9)</f>
        <v>3017902841</v>
      </c>
      <c r="M4639" s="17" t="str">
        <f>IFERROR(__xludf.DUMMYFUNCTION("""COMPUTED_VALUE"""),"#REF!")</f>
        <v>#REF!</v>
      </c>
      <c r="N4639" s="17"/>
      <c r="O4639" s="17"/>
      <c r="P4639" s="17" t="b">
        <f>IFERROR(__xludf.DUMMYFUNCTION("""COMPUTED_VALUE"""),FALSE)</f>
        <v>0</v>
      </c>
      <c r="Q4639" s="20" t="str">
        <f>IFERROR(__xludf.DUMMYFUNCTION("""COMPUTED_VALUE"""),"")</f>
        <v/>
      </c>
      <c r="R4639" s="21" t="str">
        <f>IFERROR(__xludf.DUMMYFUNCTION("""COMPUTED_VALUE"""),"https://drive.google.com/file/d/1jDiofll7m6CQigJ1fwJKFviz6KNGM3VP/view?usp=drivesdk")</f>
        <v>https://drive.google.com/file/d/1jDiofll7m6CQigJ1fwJKFviz6KNGM3VP/view?usp=drivesdk</v>
      </c>
    </row>
    <row r="4640">
      <c r="A4640" s="15">
        <f>IFERROR(__xludf.DUMMYFUNCTION("""COMPUTED_VALUE"""),45135.0)</f>
        <v>45135</v>
      </c>
      <c r="B4640" s="16" t="str">
        <f>IFERROR(__xludf.DUMMYFUNCTION("""COMPUTED_VALUE"""),"Jeison Rubiano")</f>
        <v>Jeison Rubiano</v>
      </c>
      <c r="C4640" s="15" t="str">
        <f>IFERROR(__xludf.DUMMYFUNCTION("""COMPUTED_VALUE"""),"BOGOTÁ")</f>
        <v>BOGOTÁ</v>
      </c>
      <c r="D4640" s="15" t="str">
        <f>IFERROR(__xludf.DUMMYFUNCTION("""COMPUTED_VALUE"""),"MEDELLÍN")</f>
        <v>MEDELLÍN</v>
      </c>
      <c r="E4640" s="15" t="str">
        <f>IFERROR(__xludf.DUMMYFUNCTION("""COMPUTED_VALUE"""),"AREPAS LA MARY")</f>
        <v>AREPAS LA MARY</v>
      </c>
      <c r="F4640" s="17" t="str">
        <f>IFERROR(__xludf.DUMMYFUNCTION("""COMPUTED_VALUE"""),"CRA 3 D 54 A 50 / CHAPINERO HUB")</f>
        <v>CRA 3 D 54 A 50 / CHAPINERO HUB</v>
      </c>
      <c r="G4640" s="15" t="str">
        <f>IFERROR(__xludf.DUMMYFUNCTION("""COMPUTED_VALUE"""),"ANGELA JOHANA MARTINEZ")</f>
        <v>ANGELA JOHANA MARTINEZ</v>
      </c>
      <c r="H4640" s="16">
        <f>IFERROR(__xludf.DUMMYFUNCTION("""COMPUTED_VALUE"""),13368.0)</f>
        <v>13368</v>
      </c>
      <c r="I4640" s="18">
        <f>IFERROR(__xludf.DUMMYFUNCTION("""COMPUTED_VALUE"""),89.0)</f>
        <v>89</v>
      </c>
      <c r="J4640" s="18">
        <f>IFERROR(__xludf.DUMMYFUNCTION("""COMPUTED_VALUE"""),1.0)</f>
        <v>1</v>
      </c>
      <c r="K4640" s="18">
        <f>IFERROR(__xludf.DUMMYFUNCTION("""COMPUTED_VALUE"""),10.0)</f>
        <v>10</v>
      </c>
      <c r="L4640" s="17">
        <f>IFERROR(__xludf.DUMMYFUNCTION("""COMPUTED_VALUE"""),3.175351101E9)</f>
        <v>3175351101</v>
      </c>
      <c r="M4640" s="17" t="str">
        <f>IFERROR(__xludf.DUMMYFUNCTION("""COMPUTED_VALUE"""),"#REF!")</f>
        <v>#REF!</v>
      </c>
      <c r="N4640" s="17"/>
      <c r="O4640" s="17"/>
      <c r="P4640" s="17" t="b">
        <f>IFERROR(__xludf.DUMMYFUNCTION("""COMPUTED_VALUE"""),FALSE)</f>
        <v>0</v>
      </c>
      <c r="Q4640" s="20" t="str">
        <f>IFERROR(__xludf.DUMMYFUNCTION("""COMPUTED_VALUE"""),"")</f>
        <v/>
      </c>
      <c r="R4640" s="21" t="str">
        <f>IFERROR(__xludf.DUMMYFUNCTION("""COMPUTED_VALUE"""),"https://drive.google.com/file/d/1yCH_GRCotqU0QSuG66-j3i6L5vC1tkp6/view?usp=drivesdk")</f>
        <v>https://drive.google.com/file/d/1yCH_GRCotqU0QSuG66-j3i6L5vC1tkp6/view?usp=drivesdk</v>
      </c>
    </row>
    <row r="4641">
      <c r="A4641" s="15">
        <f>IFERROR(__xludf.DUMMYFUNCTION("""COMPUTED_VALUE"""),45135.0)</f>
        <v>45135</v>
      </c>
      <c r="B4641" s="16" t="str">
        <f>IFERROR(__xludf.DUMMYFUNCTION("""COMPUTED_VALUE"""),"Jeison Rubiano")</f>
        <v>Jeison Rubiano</v>
      </c>
      <c r="C4641" s="15" t="str">
        <f>IFERROR(__xludf.DUMMYFUNCTION("""COMPUTED_VALUE"""),"BOGOTÁ")</f>
        <v>BOGOTÁ</v>
      </c>
      <c r="D4641" s="15" t="str">
        <f>IFERROR(__xludf.DUMMYFUNCTION("""COMPUTED_VALUE"""),"MEDELLÍN")</f>
        <v>MEDELLÍN</v>
      </c>
      <c r="E4641" s="15" t="str">
        <f>IFERROR(__xludf.DUMMYFUNCTION("""COMPUTED_VALUE"""),"AREPAS LA MARY")</f>
        <v>AREPAS LA MARY</v>
      </c>
      <c r="F4641" s="17" t="str">
        <f>IFERROR(__xludf.DUMMYFUNCTION("""COMPUTED_VALUE"""),"CRA 53C N.131A 91 APTO 17-02 / prado-bogota")</f>
        <v>CRA 53C N.131A 91 APTO 17-02 / prado-bogota</v>
      </c>
      <c r="G4641" s="15" t="str">
        <f>IFERROR(__xludf.DUMMYFUNCTION("""COMPUTED_VALUE"""),"YADDY CATALINA GUERRERO")</f>
        <v>YADDY CATALINA GUERRERO</v>
      </c>
      <c r="H4641" s="16">
        <f>IFERROR(__xludf.DUMMYFUNCTION("""COMPUTED_VALUE"""),13369.0)</f>
        <v>13369</v>
      </c>
      <c r="I4641" s="18">
        <f>IFERROR(__xludf.DUMMYFUNCTION("""COMPUTED_VALUE"""),89.0)</f>
        <v>89</v>
      </c>
      <c r="J4641" s="18">
        <f>IFERROR(__xludf.DUMMYFUNCTION("""COMPUTED_VALUE"""),1.0)</f>
        <v>1</v>
      </c>
      <c r="K4641" s="18">
        <f>IFERROR(__xludf.DUMMYFUNCTION("""COMPUTED_VALUE"""),10.0)</f>
        <v>10</v>
      </c>
      <c r="L4641" s="17">
        <f>IFERROR(__xludf.DUMMYFUNCTION("""COMPUTED_VALUE"""),3.167146122E9)</f>
        <v>3167146122</v>
      </c>
      <c r="M4641" s="17" t="str">
        <f>IFERROR(__xludf.DUMMYFUNCTION("""COMPUTED_VALUE"""),"#REF!")</f>
        <v>#REF!</v>
      </c>
      <c r="N4641" s="17"/>
      <c r="O4641" s="17"/>
      <c r="P4641" s="17" t="b">
        <f>IFERROR(__xludf.DUMMYFUNCTION("""COMPUTED_VALUE"""),FALSE)</f>
        <v>0</v>
      </c>
      <c r="Q4641" s="20" t="str">
        <f>IFERROR(__xludf.DUMMYFUNCTION("""COMPUTED_VALUE"""),"")</f>
        <v/>
      </c>
      <c r="R4641" s="21" t="str">
        <f>IFERROR(__xludf.DUMMYFUNCTION("""COMPUTED_VALUE"""),"https://drive.google.com/file/d/1sUXU1tkCbt3qSswtjj2vjMQLuteaRPoQ/view?usp=drivesdk")</f>
        <v>https://drive.google.com/file/d/1sUXU1tkCbt3qSswtjj2vjMQLuteaRPoQ/view?usp=drivesdk</v>
      </c>
    </row>
    <row r="4642">
      <c r="A4642" s="15">
        <f>IFERROR(__xludf.DUMMYFUNCTION("""COMPUTED_VALUE"""),45135.0)</f>
        <v>45135</v>
      </c>
      <c r="B4642" s="16" t="str">
        <f>IFERROR(__xludf.DUMMYFUNCTION("""COMPUTED_VALUE"""),"Jeison Rubiano")</f>
        <v>Jeison Rubiano</v>
      </c>
      <c r="C4642" s="15" t="str">
        <f>IFERROR(__xludf.DUMMYFUNCTION("""COMPUTED_VALUE"""),"BOGOTÁ")</f>
        <v>BOGOTÁ</v>
      </c>
      <c r="D4642" s="15" t="str">
        <f>IFERROR(__xludf.DUMMYFUNCTION("""COMPUTED_VALUE"""),"MEDELLÍN")</f>
        <v>MEDELLÍN</v>
      </c>
      <c r="E4642" s="15" t="str">
        <f>IFERROR(__xludf.DUMMYFUNCTION("""COMPUTED_VALUE"""),"Baby Chef")</f>
        <v>Baby Chef</v>
      </c>
      <c r="F4642" s="17" t="str">
        <f>IFERROR(__xludf.DUMMYFUNCTION("""COMPUTED_VALUE"""),"Calle 13 c Bis # 83-46 Edificio Canela Torre 1 Apto 405 Barrio: Vergel occidental /  Calle 13 c Bis # 83-46 Edificio Canela Torre 1 Apto 405 Barrio: Vergel occidental /  Calle 13 c Bis # 83-46 Edificio Canela Torre 1 Apto 405 Barrio: Vergel occidental")</f>
        <v>Calle 13 c Bis # 83-46 Edificio Canela Torre 1 Apto 405 Barrio: Vergel occidental /  Calle 13 c Bis # 83-46 Edificio Canela Torre 1 Apto 405 Barrio: Vergel occidental /  Calle 13 c Bis # 83-46 Edificio Canela Torre 1 Apto 405 Barrio: Vergel occidental</v>
      </c>
      <c r="G4642" s="15" t="str">
        <f>IFERROR(__xludf.DUMMYFUNCTION("""COMPUTED_VALUE"""),"Monica Guecha")</f>
        <v>Monica Guecha</v>
      </c>
      <c r="H4642" s="16">
        <f>IFERROR(__xludf.DUMMYFUNCTION("""COMPUTED_VALUE"""),13378.0)</f>
        <v>13378</v>
      </c>
      <c r="I4642" s="18">
        <f>IFERROR(__xludf.DUMMYFUNCTION("""COMPUTED_VALUE"""),8.0)</f>
        <v>8</v>
      </c>
      <c r="J4642" s="18">
        <f>IFERROR(__xludf.DUMMYFUNCTION("""COMPUTED_VALUE"""),27.0)</f>
        <v>27</v>
      </c>
      <c r="K4642" s="18">
        <f>IFERROR(__xludf.DUMMYFUNCTION("""COMPUTED_VALUE"""),14.0)</f>
        <v>14</v>
      </c>
      <c r="L4642" s="17">
        <f>IFERROR(__xludf.DUMMYFUNCTION("""COMPUTED_VALUE"""),3.125208416E9)</f>
        <v>3125208416</v>
      </c>
      <c r="M4642" s="17" t="str">
        <f>IFERROR(__xludf.DUMMYFUNCTION("""COMPUTED_VALUE"""),"#REF!")</f>
        <v>#REF!</v>
      </c>
      <c r="N4642" s="17"/>
      <c r="O4642" s="17"/>
      <c r="P4642" s="17" t="b">
        <f>IFERROR(__xludf.DUMMYFUNCTION("""COMPUTED_VALUE"""),FALSE)</f>
        <v>0</v>
      </c>
      <c r="Q4642" s="20" t="str">
        <f>IFERROR(__xludf.DUMMYFUNCTION("""COMPUTED_VALUE"""),"")</f>
        <v/>
      </c>
      <c r="R4642" s="21" t="str">
        <f>IFERROR(__xludf.DUMMYFUNCTION("""COMPUTED_VALUE"""),"https://drive.google.com/file/d/1d6Yv9ZJSVEszVFiDTQfuqgeTphzQb3Y3/view?usp=drivesdk")</f>
        <v>https://drive.google.com/file/d/1d6Yv9ZJSVEszVFiDTQfuqgeTphzQb3Y3/view?usp=drivesdk</v>
      </c>
    </row>
    <row r="4643">
      <c r="A4643" s="15">
        <f>IFERROR(__xludf.DUMMYFUNCTION("""COMPUTED_VALUE"""),45135.0)</f>
        <v>45135</v>
      </c>
      <c r="B4643" s="16" t="str">
        <f>IFERROR(__xludf.DUMMYFUNCTION("""COMPUTED_VALUE"""),"Jeison Rubiano")</f>
        <v>Jeison Rubiano</v>
      </c>
      <c r="C4643" s="15" t="str">
        <f>IFERROR(__xludf.DUMMYFUNCTION("""COMPUTED_VALUE"""),"BOGOTÁ")</f>
        <v>BOGOTÁ</v>
      </c>
      <c r="D4643" s="15" t="str">
        <f>IFERROR(__xludf.DUMMYFUNCTION("""COMPUTED_VALUE"""),"MEDELLÍN")</f>
        <v>MEDELLÍN</v>
      </c>
      <c r="E4643" s="15" t="str">
        <f>IFERROR(__xludf.DUMMYFUNCTION("""COMPUTED_VALUE"""),"Baby Chef")</f>
        <v>Baby Chef</v>
      </c>
      <c r="F4643" s="17" t="str">
        <f>IFERROR(__xludf.DUMMYFUNCTION("""COMPUTED_VALUE"""),"Calle 13 sur #24b-69  Local 1 Cigarreria LANA  Restrepo occidental / Calle 13 sur #24b-69  Local 1 Cigarreria LANA  Restrepo occidental / Calle 13 sur #24b-69  Local 1 Cigarreria LANA  Restrepo occidental")</f>
        <v>Calle 13 sur #24b-69  Local 1 Cigarreria LANA  Restrepo occidental / Calle 13 sur #24b-69  Local 1 Cigarreria LANA  Restrepo occidental / Calle 13 sur #24b-69  Local 1 Cigarreria LANA  Restrepo occidental</v>
      </c>
      <c r="G4643" s="15" t="str">
        <f>IFERROR(__xludf.DUMMYFUNCTION("""COMPUTED_VALUE"""),"Naraly Sabogal")</f>
        <v>Naraly Sabogal</v>
      </c>
      <c r="H4643" s="16">
        <f>IFERROR(__xludf.DUMMYFUNCTION("""COMPUTED_VALUE"""),13373.0)</f>
        <v>13373</v>
      </c>
      <c r="I4643" s="18">
        <f>IFERROR(__xludf.DUMMYFUNCTION("""COMPUTED_VALUE"""),8.0)</f>
        <v>8</v>
      </c>
      <c r="J4643" s="18">
        <f>IFERROR(__xludf.DUMMYFUNCTION("""COMPUTED_VALUE"""),5.0)</f>
        <v>5</v>
      </c>
      <c r="K4643" s="18">
        <f>IFERROR(__xludf.DUMMYFUNCTION("""COMPUTED_VALUE"""),14.0)</f>
        <v>14</v>
      </c>
      <c r="L4643" s="17">
        <f>IFERROR(__xludf.DUMMYFUNCTION("""COMPUTED_VALUE"""),3.112916278E9)</f>
        <v>3112916278</v>
      </c>
      <c r="M4643" s="17" t="str">
        <f>IFERROR(__xludf.DUMMYFUNCTION("""COMPUTED_VALUE"""),"#REF!")</f>
        <v>#REF!</v>
      </c>
      <c r="N4643" s="17"/>
      <c r="O4643" s="17"/>
      <c r="P4643" s="17" t="b">
        <f>IFERROR(__xludf.DUMMYFUNCTION("""COMPUTED_VALUE"""),FALSE)</f>
        <v>0</v>
      </c>
      <c r="Q4643" s="20" t="str">
        <f>IFERROR(__xludf.DUMMYFUNCTION("""COMPUTED_VALUE"""),"")</f>
        <v/>
      </c>
      <c r="R4643" s="21" t="str">
        <f>IFERROR(__xludf.DUMMYFUNCTION("""COMPUTED_VALUE"""),"https://drive.google.com/file/d/1mXGO0w77pLTPVoSQW5dKStVZ0N9HKoTm/view?usp=drivesdk")</f>
        <v>https://drive.google.com/file/d/1mXGO0w77pLTPVoSQW5dKStVZ0N9HKoTm/view?usp=drivesdk</v>
      </c>
    </row>
    <row r="4644">
      <c r="A4644" s="15">
        <f>IFERROR(__xludf.DUMMYFUNCTION("""COMPUTED_VALUE"""),45135.0)</f>
        <v>45135</v>
      </c>
      <c r="B4644" s="16" t="str">
        <f>IFERROR(__xludf.DUMMYFUNCTION("""COMPUTED_VALUE"""),"Jeison Rubiano")</f>
        <v>Jeison Rubiano</v>
      </c>
      <c r="C4644" s="15" t="str">
        <f>IFERROR(__xludf.DUMMYFUNCTION("""COMPUTED_VALUE"""),"BOGOTÁ")</f>
        <v>BOGOTÁ</v>
      </c>
      <c r="D4644" s="15" t="str">
        <f>IFERROR(__xludf.DUMMYFUNCTION("""COMPUTED_VALUE"""),"MEDELLÍN")</f>
        <v>MEDELLÍN</v>
      </c>
      <c r="E4644" s="15" t="str">
        <f>IFERROR(__xludf.DUMMYFUNCTION("""COMPUTED_VALUE"""),"Baby Chef")</f>
        <v>Baby Chef</v>
      </c>
      <c r="F4644" s="17" t="str">
        <f>IFERROR(__xludf.DUMMYFUNCTION("""COMPUTED_VALUE"""),"Calle 169 A # 67 - 81 Interior 2 Apto 103, Conjunto Portales de Cerro 3, Barrio Portales del Norte / Calle 169 A # 67 - 81 Interior 2 Apto 103, Conjunto Portales de Cerro 3, Barrio Portales del Norte / Calle 169 A # 67 - 81 Interior 2 Apto 103, Conjunto P"&amp;"ortales de Cerro 3, Barrio Portales del Norte")</f>
        <v>Calle 169 A # 67 - 81 Interior 2 Apto 103, Conjunto Portales de Cerro 3, Barrio Portales del Norte / Calle 169 A # 67 - 81 Interior 2 Apto 103, Conjunto Portales de Cerro 3, Barrio Portales del Norte / Calle 169 A # 67 - 81 Interior 2 Apto 103, Conjunto Portales de Cerro 3, Barrio Portales del Norte</v>
      </c>
      <c r="G4644" s="15" t="str">
        <f>IFERROR(__xludf.DUMMYFUNCTION("""COMPUTED_VALUE"""),"Gladys Lancheros")</f>
        <v>Gladys Lancheros</v>
      </c>
      <c r="H4644" s="16">
        <f>IFERROR(__xludf.DUMMYFUNCTION("""COMPUTED_VALUE"""),13377.0)</f>
        <v>13377</v>
      </c>
      <c r="I4644" s="18">
        <f>IFERROR(__xludf.DUMMYFUNCTION("""COMPUTED_VALUE"""),8.0)</f>
        <v>8</v>
      </c>
      <c r="J4644" s="18">
        <f>IFERROR(__xludf.DUMMYFUNCTION("""COMPUTED_VALUE"""),36.0)</f>
        <v>36</v>
      </c>
      <c r="K4644" s="18">
        <f>IFERROR(__xludf.DUMMYFUNCTION("""COMPUTED_VALUE"""),23.0)</f>
        <v>23</v>
      </c>
      <c r="L4644" s="17">
        <f>IFERROR(__xludf.DUMMYFUNCTION("""COMPUTED_VALUE"""),3.187932789E9)</f>
        <v>3187932789</v>
      </c>
      <c r="M4644" s="17" t="str">
        <f>IFERROR(__xludf.DUMMYFUNCTION("""COMPUTED_VALUE"""),"#REF!")</f>
        <v>#REF!</v>
      </c>
      <c r="N4644" s="17"/>
      <c r="O4644" s="17"/>
      <c r="P4644" s="17" t="b">
        <f>IFERROR(__xludf.DUMMYFUNCTION("""COMPUTED_VALUE"""),FALSE)</f>
        <v>0</v>
      </c>
      <c r="Q4644" s="20" t="str">
        <f>IFERROR(__xludf.DUMMYFUNCTION("""COMPUTED_VALUE"""),"")</f>
        <v/>
      </c>
      <c r="R4644" s="21" t="str">
        <f>IFERROR(__xludf.DUMMYFUNCTION("""COMPUTED_VALUE"""),"https://drive.google.com/file/d/1QoztKEVwfDBPYflERWeqguR2yP0OXsfV/view?usp=drivesdk")</f>
        <v>https://drive.google.com/file/d/1QoztKEVwfDBPYflERWeqguR2yP0OXsfV/view?usp=drivesdk</v>
      </c>
    </row>
    <row r="4645">
      <c r="A4645" s="15">
        <f>IFERROR(__xludf.DUMMYFUNCTION("""COMPUTED_VALUE"""),45135.0)</f>
        <v>45135</v>
      </c>
      <c r="B4645" s="16" t="str">
        <f>IFERROR(__xludf.DUMMYFUNCTION("""COMPUTED_VALUE"""),"Jeison Rubiano")</f>
        <v>Jeison Rubiano</v>
      </c>
      <c r="C4645" s="15" t="str">
        <f>IFERROR(__xludf.DUMMYFUNCTION("""COMPUTED_VALUE"""),"BOGOTÁ")</f>
        <v>BOGOTÁ</v>
      </c>
      <c r="D4645" s="15" t="str">
        <f>IFERROR(__xludf.DUMMYFUNCTION("""COMPUTED_VALUE"""),"MEDELLÍN")</f>
        <v>MEDELLÍN</v>
      </c>
      <c r="E4645" s="15" t="str">
        <f>IFERROR(__xludf.DUMMYFUNCTION("""COMPUTED_VALUE"""),"Baby Chef")</f>
        <v>Baby Chef</v>
      </c>
      <c r="F4645" s="17" t="str">
        <f>IFERROR(__xludf.DUMMYFUNCTION("""COMPUTED_VALUE"""),"Calle 169 No 67-25 apto 704 Conjunto parque Pijao, Barrio portales del Norte / ""Calle 169 No 67-25 apto 704 Conjunto parque Pijao, Barrio portales del Norte"" / ""Calle 169 No 67-25 apto 704 Conjunto parque Pijao, Barrio portales del Norte""")</f>
        <v>Calle 169 No 67-25 apto 704 Conjunto parque Pijao, Barrio portales del Norte / "Calle 169 No 67-25 apto 704 Conjunto parque Pijao, Barrio portales del Norte" / "Calle 169 No 67-25 apto 704 Conjunto parque Pijao, Barrio portales del Norte"</v>
      </c>
      <c r="G4645" s="15" t="str">
        <f>IFERROR(__xludf.DUMMYFUNCTION("""COMPUTED_VALUE"""),"Ana María Pacateque Cardona")</f>
        <v>Ana María Pacateque Cardona</v>
      </c>
      <c r="H4645" s="16">
        <f>IFERROR(__xludf.DUMMYFUNCTION("""COMPUTED_VALUE"""),13374.0)</f>
        <v>13374</v>
      </c>
      <c r="I4645" s="18">
        <f>IFERROR(__xludf.DUMMYFUNCTION("""COMPUTED_VALUE"""),8.0)</f>
        <v>8</v>
      </c>
      <c r="J4645" s="18">
        <f>IFERROR(__xludf.DUMMYFUNCTION("""COMPUTED_VALUE"""),22.0)</f>
        <v>22</v>
      </c>
      <c r="K4645" s="18">
        <f>IFERROR(__xludf.DUMMYFUNCTION("""COMPUTED_VALUE"""),35.0)</f>
        <v>35</v>
      </c>
      <c r="L4645" s="17">
        <f>IFERROR(__xludf.DUMMYFUNCTION("""COMPUTED_VALUE"""),3.125770938E9)</f>
        <v>3125770938</v>
      </c>
      <c r="M4645" s="17" t="str">
        <f>IFERROR(__xludf.DUMMYFUNCTION("""COMPUTED_VALUE"""),"#REF!")</f>
        <v>#REF!</v>
      </c>
      <c r="N4645" s="17"/>
      <c r="O4645" s="17"/>
      <c r="P4645" s="17" t="b">
        <f>IFERROR(__xludf.DUMMYFUNCTION("""COMPUTED_VALUE"""),FALSE)</f>
        <v>0</v>
      </c>
      <c r="Q4645" s="20" t="str">
        <f>IFERROR(__xludf.DUMMYFUNCTION("""COMPUTED_VALUE"""),"")</f>
        <v/>
      </c>
      <c r="R4645" s="21" t="str">
        <f>IFERROR(__xludf.DUMMYFUNCTION("""COMPUTED_VALUE"""),"https://drive.google.com/file/d/1zd389j1f0eccv40-6cGHj_UoC9ZC5HwL/view?usp=drivesdk")</f>
        <v>https://drive.google.com/file/d/1zd389j1f0eccv40-6cGHj_UoC9ZC5HwL/view?usp=drivesdk</v>
      </c>
    </row>
    <row r="4646">
      <c r="A4646" s="15">
        <f>IFERROR(__xludf.DUMMYFUNCTION("""COMPUTED_VALUE"""),45135.0)</f>
        <v>45135</v>
      </c>
      <c r="B4646" s="16" t="str">
        <f>IFERROR(__xludf.DUMMYFUNCTION("""COMPUTED_VALUE"""),"Jeison Rubiano")</f>
        <v>Jeison Rubiano</v>
      </c>
      <c r="C4646" s="15" t="str">
        <f>IFERROR(__xludf.DUMMYFUNCTION("""COMPUTED_VALUE"""),"BOGOTÁ")</f>
        <v>BOGOTÁ</v>
      </c>
      <c r="D4646" s="15" t="str">
        <f>IFERROR(__xludf.DUMMYFUNCTION("""COMPUTED_VALUE"""),"MEDELLÍN")</f>
        <v>MEDELLÍN</v>
      </c>
      <c r="E4646" s="15" t="str">
        <f>IFERROR(__xludf.DUMMYFUNCTION("""COMPUTED_VALUE"""),"Baby Chef")</f>
        <v>Baby Chef</v>
      </c>
      <c r="F4646" s="17" t="str">
        <f>IFERROR(__xludf.DUMMYFUNCTION("""COMPUTED_VALUE"""),"Calle 182 45 24  Torre 3 Apto 702 Bogota  Barrio Nueva Zelanda / Calle 182 45 24  Torre 3 Apto 702 Bogota  Barrio Nueva Zelanda / Calle 182 45 24  Torre 3 Apto 702 Bogota  Barrio Nueva Zelanda")</f>
        <v>Calle 182 45 24  Torre 3 Apto 702 Bogota  Barrio Nueva Zelanda / Calle 182 45 24  Torre 3 Apto 702 Bogota  Barrio Nueva Zelanda / Calle 182 45 24  Torre 3 Apto 702 Bogota  Barrio Nueva Zelanda</v>
      </c>
      <c r="G4646" s="15" t="str">
        <f>IFERROR(__xludf.DUMMYFUNCTION("""COMPUTED_VALUE"""),"Tatiana Olaya")</f>
        <v>Tatiana Olaya</v>
      </c>
      <c r="H4646" s="16">
        <f>IFERROR(__xludf.DUMMYFUNCTION("""COMPUTED_VALUE"""),13379.0)</f>
        <v>13379</v>
      </c>
      <c r="I4646" s="18">
        <f>IFERROR(__xludf.DUMMYFUNCTION("""COMPUTED_VALUE"""),8.0)</f>
        <v>8</v>
      </c>
      <c r="J4646" s="18">
        <f>IFERROR(__xludf.DUMMYFUNCTION("""COMPUTED_VALUE"""),22.0)</f>
        <v>22</v>
      </c>
      <c r="K4646" s="18">
        <f>IFERROR(__xludf.DUMMYFUNCTION("""COMPUTED_VALUE"""),38.0)</f>
        <v>38</v>
      </c>
      <c r="L4646" s="17">
        <f>IFERROR(__xludf.DUMMYFUNCTION("""COMPUTED_VALUE"""),3.11568834E9)</f>
        <v>3115688340</v>
      </c>
      <c r="M4646" s="17" t="str">
        <f>IFERROR(__xludf.DUMMYFUNCTION("""COMPUTED_VALUE"""),"#REF!")</f>
        <v>#REF!</v>
      </c>
      <c r="N4646" s="17"/>
      <c r="O4646" s="17"/>
      <c r="P4646" s="17" t="b">
        <f>IFERROR(__xludf.DUMMYFUNCTION("""COMPUTED_VALUE"""),FALSE)</f>
        <v>0</v>
      </c>
      <c r="Q4646" s="20" t="str">
        <f>IFERROR(__xludf.DUMMYFUNCTION("""COMPUTED_VALUE"""),"")</f>
        <v/>
      </c>
      <c r="R4646" s="21" t="str">
        <f>IFERROR(__xludf.DUMMYFUNCTION("""COMPUTED_VALUE"""),"https://drive.google.com/file/d/1lLaV7NMwnEoAyKjoj2BAeZbdLkId65MG/view?usp=drivesdk")</f>
        <v>https://drive.google.com/file/d/1lLaV7NMwnEoAyKjoj2BAeZbdLkId65MG/view?usp=drivesdk</v>
      </c>
    </row>
    <row r="4647">
      <c r="A4647" s="15">
        <f>IFERROR(__xludf.DUMMYFUNCTION("""COMPUTED_VALUE"""),45135.0)</f>
        <v>45135</v>
      </c>
      <c r="B4647" s="16" t="str">
        <f>IFERROR(__xludf.DUMMYFUNCTION("""COMPUTED_VALUE"""),"Jeison Rubiano")</f>
        <v>Jeison Rubiano</v>
      </c>
      <c r="C4647" s="15" t="str">
        <f>IFERROR(__xludf.DUMMYFUNCTION("""COMPUTED_VALUE"""),"BOGOTÁ")</f>
        <v>BOGOTÁ</v>
      </c>
      <c r="D4647" s="15" t="str">
        <f>IFERROR(__xludf.DUMMYFUNCTION("""COMPUTED_VALUE"""),"MEDELLÍN")</f>
        <v>MEDELLÍN</v>
      </c>
      <c r="E4647" s="15" t="str">
        <f>IFERROR(__xludf.DUMMYFUNCTION("""COMPUTED_VALUE"""),"Baby Chef")</f>
        <v>Baby Chef</v>
      </c>
      <c r="F4647" s="17" t="str">
        <f>IFERROR(__xludf.DUMMYFUNCTION("""COMPUTED_VALUE"""),"Calle 65A #72-48 Edif. MAGENTA, el edificio queda sobre la Av. Boyaca, en el.costado Norte - Sur, dos cuadras despues de la sede de la universidad UDCA. / Calle 65A #72-48 Edif. MAGENTA, el edificio queda sobre la Av. Boyaca, en el.costado Norte - Sur, do"&amp;"s cuadras despues de la sede de la universidad UDCA. / Calle 65A #72-48 Edif. MAGENTA, el edificio queda sobre la Av. Boyaca, en el.costado Norte - Sur, dos cuadras despues de la sede de la universidad UDCA.")</f>
        <v>Calle 65A #72-48 Edif. MAGENTA, el edificio queda sobre la Av. Boyaca, en el.costado Norte - Sur, dos cuadras despues de la sede de la universidad UDCA. / Calle 65A #72-48 Edif. MAGENTA, el edificio queda sobre la Av. Boyaca, en el.costado Norte - Sur, dos cuadras despues de la sede de la universidad UDCA. / Calle 65A #72-48 Edif. MAGENTA, el edificio queda sobre la Av. Boyaca, en el.costado Norte - Sur, dos cuadras despues de la sede de la universidad UDCA.</v>
      </c>
      <c r="G4647" s="15" t="str">
        <f>IFERROR(__xludf.DUMMYFUNCTION("""COMPUTED_VALUE"""),"Hector Ospina")</f>
        <v>Hector Ospina</v>
      </c>
      <c r="H4647" s="16">
        <f>IFERROR(__xludf.DUMMYFUNCTION("""COMPUTED_VALUE"""),13372.0)</f>
        <v>13372</v>
      </c>
      <c r="I4647" s="18">
        <f>IFERROR(__xludf.DUMMYFUNCTION("""COMPUTED_VALUE"""),8.0)</f>
        <v>8</v>
      </c>
      <c r="J4647" s="18">
        <f>IFERROR(__xludf.DUMMYFUNCTION("""COMPUTED_VALUE"""),10.0)</f>
        <v>10</v>
      </c>
      <c r="K4647" s="18">
        <f>IFERROR(__xludf.DUMMYFUNCTION("""COMPUTED_VALUE"""),14.0)</f>
        <v>14</v>
      </c>
      <c r="L4647" s="17">
        <f>IFERROR(__xludf.DUMMYFUNCTION("""COMPUTED_VALUE"""),3.203158491E9)</f>
        <v>3203158491</v>
      </c>
      <c r="M4647" s="17" t="str">
        <f>IFERROR(__xludf.DUMMYFUNCTION("""COMPUTED_VALUE"""),"#REF!")</f>
        <v>#REF!</v>
      </c>
      <c r="N4647" s="17"/>
      <c r="O4647" s="17"/>
      <c r="P4647" s="17" t="b">
        <f>IFERROR(__xludf.DUMMYFUNCTION("""COMPUTED_VALUE"""),FALSE)</f>
        <v>0</v>
      </c>
      <c r="Q4647" s="20" t="str">
        <f>IFERROR(__xludf.DUMMYFUNCTION("""COMPUTED_VALUE"""),"")</f>
        <v/>
      </c>
      <c r="R4647" s="21" t="str">
        <f>IFERROR(__xludf.DUMMYFUNCTION("""COMPUTED_VALUE"""),"https://drive.google.com/file/d/1V2by7uIeO8bm9-spPKcv0DvEXoId594E/view?usp=drivesdk")</f>
        <v>https://drive.google.com/file/d/1V2by7uIeO8bm9-spPKcv0DvEXoId594E/view?usp=drivesdk</v>
      </c>
    </row>
    <row r="4648">
      <c r="A4648" s="15">
        <f>IFERROR(__xludf.DUMMYFUNCTION("""COMPUTED_VALUE"""),45135.0)</f>
        <v>45135</v>
      </c>
      <c r="B4648" s="16" t="str">
        <f>IFERROR(__xludf.DUMMYFUNCTION("""COMPUTED_VALUE"""),"Jeison Rubiano")</f>
        <v>Jeison Rubiano</v>
      </c>
      <c r="C4648" s="15" t="str">
        <f>IFERROR(__xludf.DUMMYFUNCTION("""COMPUTED_VALUE"""),"BOGOTÁ")</f>
        <v>BOGOTÁ</v>
      </c>
      <c r="D4648" s="15" t="str">
        <f>IFERROR(__xludf.DUMMYFUNCTION("""COMPUTED_VALUE"""),"MEDELLÍN")</f>
        <v>MEDELLÍN</v>
      </c>
      <c r="E4648" s="15" t="str">
        <f>IFERROR(__xludf.DUMMYFUNCTION("""COMPUTED_VALUE"""),"Baby Chef")</f>
        <v>Baby Chef</v>
      </c>
      <c r="F4648" s="17" t="str">
        <f>IFERROR(__xludf.DUMMYFUNCTION("""COMPUTED_VALUE"""),"Diagonal 16B #104-23 int 9 apto 303 lote 2 primera etapa Centenario Fontibon / Diagonal 16B #104-23 int 9 apto 303 lote 2 primera etapa Centenario Fontibon / Diagonal 16B #104-23 int 9 apto 303 lote 2 primera etapa Centenario Fontibon")</f>
        <v>Diagonal 16B #104-23 int 9 apto 303 lote 2 primera etapa Centenario Fontibon / Diagonal 16B #104-23 int 9 apto 303 lote 2 primera etapa Centenario Fontibon / Diagonal 16B #104-23 int 9 apto 303 lote 2 primera etapa Centenario Fontibon</v>
      </c>
      <c r="G4648" s="15" t="str">
        <f>IFERROR(__xludf.DUMMYFUNCTION("""COMPUTED_VALUE"""),"Lina Jacquelyn Caicedo Velasco")</f>
        <v>Lina Jacquelyn Caicedo Velasco</v>
      </c>
      <c r="H4648" s="16">
        <f>IFERROR(__xludf.DUMMYFUNCTION("""COMPUTED_VALUE"""),13375.0)</f>
        <v>13375</v>
      </c>
      <c r="I4648" s="18">
        <f>IFERROR(__xludf.DUMMYFUNCTION("""COMPUTED_VALUE"""),8.0)</f>
        <v>8</v>
      </c>
      <c r="J4648" s="18">
        <f>IFERROR(__xludf.DUMMYFUNCTION("""COMPUTED_VALUE"""),37.0)</f>
        <v>37</v>
      </c>
      <c r="K4648" s="18">
        <f>IFERROR(__xludf.DUMMYFUNCTION("""COMPUTED_VALUE"""),23.0)</f>
        <v>23</v>
      </c>
      <c r="L4648" s="17">
        <f>IFERROR(__xludf.DUMMYFUNCTION("""COMPUTED_VALUE"""),3.108888253E9)</f>
        <v>3108888253</v>
      </c>
      <c r="M4648" s="17" t="str">
        <f>IFERROR(__xludf.DUMMYFUNCTION("""COMPUTED_VALUE"""),"#REF!")</f>
        <v>#REF!</v>
      </c>
      <c r="N4648" s="17"/>
      <c r="O4648" s="17"/>
      <c r="P4648" s="17" t="b">
        <f>IFERROR(__xludf.DUMMYFUNCTION("""COMPUTED_VALUE"""),FALSE)</f>
        <v>0</v>
      </c>
      <c r="Q4648" s="20" t="str">
        <f>IFERROR(__xludf.DUMMYFUNCTION("""COMPUTED_VALUE"""),"")</f>
        <v/>
      </c>
      <c r="R4648" s="21" t="str">
        <f>IFERROR(__xludf.DUMMYFUNCTION("""COMPUTED_VALUE"""),"https://drive.google.com/file/d/1Tz9n2OFMRcc0HSunfM2bItsJmONnn2E6/view?usp=drivesdk")</f>
        <v>https://drive.google.com/file/d/1Tz9n2OFMRcc0HSunfM2bItsJmONnn2E6/view?usp=drivesdk</v>
      </c>
    </row>
    <row r="4649">
      <c r="A4649" s="15">
        <f>IFERROR(__xludf.DUMMYFUNCTION("""COMPUTED_VALUE"""),45135.0)</f>
        <v>45135</v>
      </c>
      <c r="B4649" s="16" t="str">
        <f>IFERROR(__xludf.DUMMYFUNCTION("""COMPUTED_VALUE"""),"Jeison Rubiano")</f>
        <v>Jeison Rubiano</v>
      </c>
      <c r="C4649" s="15" t="str">
        <f>IFERROR(__xludf.DUMMYFUNCTION("""COMPUTED_VALUE"""),"BOGOTÁ")</f>
        <v>BOGOTÁ</v>
      </c>
      <c r="D4649" s="15" t="str">
        <f>IFERROR(__xludf.DUMMYFUNCTION("""COMPUTED_VALUE"""),"MEDELLÍN")</f>
        <v>MEDELLÍN</v>
      </c>
      <c r="E4649" s="15" t="str">
        <f>IFERROR(__xludf.DUMMYFUNCTION("""COMPUTED_VALUE"""),"Limona")</f>
        <v>Limona</v>
      </c>
      <c r="F4649" s="17" t="str">
        <f>IFERROR(__xludf.DUMMYFUNCTION("""COMPUTED_VALUE"""),"Cra 7 # 46 - 20 / Edificio torres del este, apt 1202 / Cerca a la javeriana")</f>
        <v>Cra 7 # 46 - 20 / Edificio torres del este, apt 1202 / Cerca a la javeriana</v>
      </c>
      <c r="G4649" s="15" t="str">
        <f>IFERROR(__xludf.DUMMYFUNCTION("""COMPUTED_VALUE"""),"Carlos Andres Rincon")</f>
        <v>Carlos Andres Rincon</v>
      </c>
      <c r="H4649" s="16">
        <f>IFERROR(__xludf.DUMMYFUNCTION("""COMPUTED_VALUE"""),13365.0)</f>
        <v>13365</v>
      </c>
      <c r="I4649" s="18">
        <f>IFERROR(__xludf.DUMMYFUNCTION("""COMPUTED_VALUE"""),15.0)</f>
        <v>15</v>
      </c>
      <c r="J4649" s="18">
        <f>IFERROR(__xludf.DUMMYFUNCTION("""COMPUTED_VALUE"""),10.0)</f>
        <v>10</v>
      </c>
      <c r="K4649" s="18">
        <f>IFERROR(__xludf.DUMMYFUNCTION("""COMPUTED_VALUE"""),10.0)</f>
        <v>10</v>
      </c>
      <c r="L4649" s="17">
        <f>IFERROR(__xludf.DUMMYFUNCTION("""COMPUTED_VALUE"""),3.112845289E9)</f>
        <v>3112845289</v>
      </c>
      <c r="M4649" s="17" t="str">
        <f>IFERROR(__xludf.DUMMYFUNCTION("""COMPUTED_VALUE"""),"#REF!")</f>
        <v>#REF!</v>
      </c>
      <c r="N4649" s="17"/>
      <c r="O4649" s="17"/>
      <c r="P4649" s="17" t="b">
        <f>IFERROR(__xludf.DUMMYFUNCTION("""COMPUTED_VALUE"""),FALSE)</f>
        <v>0</v>
      </c>
      <c r="Q4649" s="20" t="str">
        <f>IFERROR(__xludf.DUMMYFUNCTION("""COMPUTED_VALUE"""),"")</f>
        <v/>
      </c>
      <c r="R4649" s="21" t="str">
        <f>IFERROR(__xludf.DUMMYFUNCTION("""COMPUTED_VALUE"""),"https://drive.google.com/file/d/1BL8y7G9nRDAPlfyK6kitB5Uvkip2JZtt/view?usp=drivesdk")</f>
        <v>https://drive.google.com/file/d/1BL8y7G9nRDAPlfyK6kitB5Uvkip2JZtt/view?usp=drivesdk</v>
      </c>
    </row>
    <row r="4650">
      <c r="A4650" s="15">
        <f>IFERROR(__xludf.DUMMYFUNCTION("""COMPUTED_VALUE"""),45135.0)</f>
        <v>45135</v>
      </c>
      <c r="B4650" s="16" t="str">
        <f>IFERROR(__xludf.DUMMYFUNCTION("""COMPUTED_VALUE"""),"Jeison Rubiano")</f>
        <v>Jeison Rubiano</v>
      </c>
      <c r="C4650" s="15" t="str">
        <f>IFERROR(__xludf.DUMMYFUNCTION("""COMPUTED_VALUE"""),"BOGOTÁ")</f>
        <v>BOGOTÁ</v>
      </c>
      <c r="D4650" s="15" t="str">
        <f>IFERROR(__xludf.DUMMYFUNCTION("""COMPUTED_VALUE"""),"MEDELLÍN")</f>
        <v>MEDELLÍN</v>
      </c>
      <c r="E4650" s="15" t="str">
        <f>IFERROR(__xludf.DUMMYFUNCTION("""COMPUTED_VALUE"""),"Magda")</f>
        <v>Magda</v>
      </c>
      <c r="F4650" s="17" t="str">
        <f>IFERROR(__xludf.DUMMYFUNCTION("""COMPUTED_VALUE"""),"Calle 71a # 14a22/26 / Cocinas ocultas / San felipe")</f>
        <v>Calle 71a # 14a22/26 / Cocinas ocultas / San felipe</v>
      </c>
      <c r="G4650" s="15" t="str">
        <f>IFERROR(__xludf.DUMMYFUNCTION("""COMPUTED_VALUE"""),"Andrez hernandez")</f>
        <v>Andrez hernandez</v>
      </c>
      <c r="H4650" s="16">
        <f>IFERROR(__xludf.DUMMYFUNCTION("""COMPUTED_VALUE"""),13255.0)</f>
        <v>13255</v>
      </c>
      <c r="I4650" s="18">
        <f>IFERROR(__xludf.DUMMYFUNCTION("""COMPUTED_VALUE"""),5.0)</f>
        <v>5</v>
      </c>
      <c r="J4650" s="18">
        <f>IFERROR(__xludf.DUMMYFUNCTION("""COMPUTED_VALUE"""),5.0)</f>
        <v>5</v>
      </c>
      <c r="K4650" s="18">
        <f>IFERROR(__xludf.DUMMYFUNCTION("""COMPUTED_VALUE"""),5.0)</f>
        <v>5</v>
      </c>
      <c r="L4650" s="17">
        <f>IFERROR(__xludf.DUMMYFUNCTION("""COMPUTED_VALUE"""),3.20414202E9)</f>
        <v>3204142020</v>
      </c>
      <c r="M4650" s="17" t="str">
        <f>IFERROR(__xludf.DUMMYFUNCTION("""COMPUTED_VALUE"""),"#REF!")</f>
        <v>#REF!</v>
      </c>
      <c r="N4650" s="17"/>
      <c r="O4650" s="17"/>
      <c r="P4650" s="17" t="b">
        <f>IFERROR(__xludf.DUMMYFUNCTION("""COMPUTED_VALUE"""),FALSE)</f>
        <v>0</v>
      </c>
      <c r="Q4650" s="20" t="str">
        <f>IFERROR(__xludf.DUMMYFUNCTION("""COMPUTED_VALUE"""),"")</f>
        <v/>
      </c>
      <c r="R4650" s="22" t="str">
        <f>IFERROR(__xludf.DUMMYFUNCTION("""COMPUTED_VALUE"""),"")</f>
        <v/>
      </c>
    </row>
    <row r="4651">
      <c r="A4651" s="15">
        <f>IFERROR(__xludf.DUMMYFUNCTION("""COMPUTED_VALUE"""),45135.0)</f>
        <v>45135</v>
      </c>
      <c r="B4651" s="16" t="str">
        <f>IFERROR(__xludf.DUMMYFUNCTION("""COMPUTED_VALUE"""),"Jeison Rubiano")</f>
        <v>Jeison Rubiano</v>
      </c>
      <c r="C4651" s="15" t="str">
        <f>IFERROR(__xludf.DUMMYFUNCTION("""COMPUTED_VALUE"""),"BOGOTÁ")</f>
        <v>BOGOTÁ</v>
      </c>
      <c r="D4651" s="15" t="str">
        <f>IFERROR(__xludf.DUMMYFUNCTION("""COMPUTED_VALUE"""),"MEDELLÍN")</f>
        <v>MEDELLÍN</v>
      </c>
      <c r="E4651" s="15" t="str">
        <f>IFERROR(__xludf.DUMMYFUNCTION("""COMPUTED_VALUE"""),"Moloso S.A.S")</f>
        <v>Moloso S.A.S</v>
      </c>
      <c r="F4651" s="17" t="str">
        <f>IFERROR(__xludf.DUMMYFUNCTION("""COMPUTED_VALUE"""),"CL 139 72 A 60 / CASA 29")</f>
        <v>CL 139 72 A 60 / CASA 29</v>
      </c>
      <c r="G4651" s="15" t="str">
        <f>IFERROR(__xludf.DUMMYFUNCTION("""COMPUTED_VALUE"""),"DAVID PULIDO ROMERO")</f>
        <v>DAVID PULIDO ROMERO</v>
      </c>
      <c r="H4651" s="16">
        <f>IFERROR(__xludf.DUMMYFUNCTION("""COMPUTED_VALUE"""),13370.0)</f>
        <v>13370</v>
      </c>
      <c r="I4651" s="18">
        <f>IFERROR(__xludf.DUMMYFUNCTION("""COMPUTED_VALUE"""),17.0)</f>
        <v>17</v>
      </c>
      <c r="J4651" s="18">
        <f>IFERROR(__xludf.DUMMYFUNCTION("""COMPUTED_VALUE"""),15.0)</f>
        <v>15</v>
      </c>
      <c r="K4651" s="18">
        <f>IFERROR(__xludf.DUMMYFUNCTION("""COMPUTED_VALUE"""),28.0)</f>
        <v>28</v>
      </c>
      <c r="L4651" s="17">
        <f>IFERROR(__xludf.DUMMYFUNCTION("""COMPUTED_VALUE"""),3.053165403E9)</f>
        <v>3053165403</v>
      </c>
      <c r="M4651" s="17" t="str">
        <f>IFERROR(__xludf.DUMMYFUNCTION("""COMPUTED_VALUE"""),"#REF!")</f>
        <v>#REF!</v>
      </c>
      <c r="N4651" s="17"/>
      <c r="O4651" s="17"/>
      <c r="P4651" s="17" t="b">
        <f>IFERROR(__xludf.DUMMYFUNCTION("""COMPUTED_VALUE"""),FALSE)</f>
        <v>0</v>
      </c>
      <c r="Q4651" s="20" t="str">
        <f>IFERROR(__xludf.DUMMYFUNCTION("""COMPUTED_VALUE"""),"")</f>
        <v/>
      </c>
      <c r="R4651" s="21" t="str">
        <f>IFERROR(__xludf.DUMMYFUNCTION("""COMPUTED_VALUE"""),"https://drive.google.com/file/d/1AhccKpP7sFry363Gtl0Ns2Sils0hBaC_/view?usp=drivesdk")</f>
        <v>https://drive.google.com/file/d/1AhccKpP7sFry363Gtl0Ns2Sils0hBaC_/view?usp=drivesdk</v>
      </c>
    </row>
    <row r="4652">
      <c r="A4652" s="15">
        <f>IFERROR(__xludf.DUMMYFUNCTION("""COMPUTED_VALUE"""),45135.0)</f>
        <v>45135</v>
      </c>
      <c r="B4652" s="16" t="str">
        <f>IFERROR(__xludf.DUMMYFUNCTION("""COMPUTED_VALUE"""),"Jeison Rubiano")</f>
        <v>Jeison Rubiano</v>
      </c>
      <c r="C4652" s="15" t="str">
        <f>IFERROR(__xludf.DUMMYFUNCTION("""COMPUTED_VALUE"""),"BOGOTÁ")</f>
        <v>BOGOTÁ</v>
      </c>
      <c r="D4652" s="15" t="str">
        <f>IFERROR(__xludf.DUMMYFUNCTION("""COMPUTED_VALUE"""),"MEDELLÍN")</f>
        <v>MEDELLÍN</v>
      </c>
      <c r="E4652" s="15" t="str">
        <f>IFERROR(__xludf.DUMMYFUNCTION("""COMPUTED_VALUE"""),"Moloso S.A.S")</f>
        <v>Moloso S.A.S</v>
      </c>
      <c r="F4652" s="17" t="str">
        <f>IFERROR(__xludf.DUMMYFUNCTION("""COMPUTED_VALUE"""),"CR 64 103C 75 AP 302 / EDIFICIO MAVA 103")</f>
        <v>CR 64 103C 75 AP 302 / EDIFICIO MAVA 103</v>
      </c>
      <c r="G4652" s="15" t="str">
        <f>IFERROR(__xludf.DUMMYFUNCTION("""COMPUTED_VALUE"""),"ANA MARIA GARZON CRUZ")</f>
        <v>ANA MARIA GARZON CRUZ</v>
      </c>
      <c r="H4652" s="16">
        <f>IFERROR(__xludf.DUMMYFUNCTION("""COMPUTED_VALUE"""),13371.0)</f>
        <v>13371</v>
      </c>
      <c r="I4652" s="18">
        <f>IFERROR(__xludf.DUMMYFUNCTION("""COMPUTED_VALUE"""),17.0)</f>
        <v>17</v>
      </c>
      <c r="J4652" s="18">
        <f>IFERROR(__xludf.DUMMYFUNCTION("""COMPUTED_VALUE"""),15.0)</f>
        <v>15</v>
      </c>
      <c r="K4652" s="18">
        <f>IFERROR(__xludf.DUMMYFUNCTION("""COMPUTED_VALUE"""),28.0)</f>
        <v>28</v>
      </c>
      <c r="L4652" s="17" t="str">
        <f>IFERROR(__xludf.DUMMYFUNCTION("""COMPUTED_VALUE"""),"312 8640805")</f>
        <v>312 8640805</v>
      </c>
      <c r="M4652" s="17" t="str">
        <f>IFERROR(__xludf.DUMMYFUNCTION("""COMPUTED_VALUE"""),"#REF!")</f>
        <v>#REF!</v>
      </c>
      <c r="N4652" s="17"/>
      <c r="O4652" s="17"/>
      <c r="P4652" s="17" t="b">
        <f>IFERROR(__xludf.DUMMYFUNCTION("""COMPUTED_VALUE"""),FALSE)</f>
        <v>0</v>
      </c>
      <c r="Q4652" s="20" t="str">
        <f>IFERROR(__xludf.DUMMYFUNCTION("""COMPUTED_VALUE"""),"")</f>
        <v/>
      </c>
      <c r="R4652" s="21" t="str">
        <f>IFERROR(__xludf.DUMMYFUNCTION("""COMPUTED_VALUE"""),"https://drive.google.com/file/d/1BRZ58gITMf2I2VojiHB7PJaQwnYq2oH2/view?usp=drivesdk")</f>
        <v>https://drive.google.com/file/d/1BRZ58gITMf2I2VojiHB7PJaQwnYq2oH2/view?usp=drivesdk</v>
      </c>
    </row>
    <row r="4653">
      <c r="A4653" s="15">
        <f>IFERROR(__xludf.DUMMYFUNCTION("""COMPUTED_VALUE"""),45135.0)</f>
        <v>45135</v>
      </c>
      <c r="B4653" s="16" t="str">
        <f>IFERROR(__xludf.DUMMYFUNCTION("""COMPUTED_VALUE"""),"Jeison Rubiano")</f>
        <v>Jeison Rubiano</v>
      </c>
      <c r="C4653" s="15" t="str">
        <f>IFERROR(__xludf.DUMMYFUNCTION("""COMPUTED_VALUE"""),"BOGOTÁ")</f>
        <v>BOGOTÁ</v>
      </c>
      <c r="D4653" s="15" t="str">
        <f>IFERROR(__xludf.DUMMYFUNCTION("""COMPUTED_VALUE"""),"MEDELLÍN")</f>
        <v>MEDELLÍN</v>
      </c>
      <c r="E4653" s="15" t="str">
        <f>IFERROR(__xludf.DUMMYFUNCTION("""COMPUTED_VALUE"""),"Rambla")</f>
        <v>Rambla</v>
      </c>
      <c r="F4653" s="17" t="str">
        <f>IFERROR(__xludf.DUMMYFUNCTION("""COMPUTED_VALUE"""),"Calle 122 18 50 consultorio 202 Bogotá / . / .")</f>
        <v>Calle 122 18 50 consultorio 202 Bogotá / . / .</v>
      </c>
      <c r="G4653" s="15" t="str">
        <f>IFERROR(__xludf.DUMMYFUNCTION("""COMPUTED_VALUE"""),"Natalia rincón")</f>
        <v>Natalia rincón</v>
      </c>
      <c r="H4653" s="16">
        <f>IFERROR(__xludf.DUMMYFUNCTION("""COMPUTED_VALUE"""),13363.0)</f>
        <v>13363</v>
      </c>
      <c r="I4653" s="18">
        <f>IFERROR(__xludf.DUMMYFUNCTION("""COMPUTED_VALUE"""),30.0)</f>
        <v>30</v>
      </c>
      <c r="J4653" s="18">
        <f>IFERROR(__xludf.DUMMYFUNCTION("""COMPUTED_VALUE"""),21.0)</f>
        <v>21</v>
      </c>
      <c r="K4653" s="18">
        <f>IFERROR(__xludf.DUMMYFUNCTION("""COMPUTED_VALUE"""),24.0)</f>
        <v>24</v>
      </c>
      <c r="L4653" s="17">
        <f>IFERROR(__xludf.DUMMYFUNCTION("""COMPUTED_VALUE"""),3.156161317E9)</f>
        <v>3156161317</v>
      </c>
      <c r="M4653" s="17" t="str">
        <f>IFERROR(__xludf.DUMMYFUNCTION("""COMPUTED_VALUE"""),"#REF!")</f>
        <v>#REF!</v>
      </c>
      <c r="N4653" s="17"/>
      <c r="O4653" s="17"/>
      <c r="P4653" s="17" t="b">
        <f>IFERROR(__xludf.DUMMYFUNCTION("""COMPUTED_VALUE"""),FALSE)</f>
        <v>0</v>
      </c>
      <c r="Q4653" s="20" t="str">
        <f>IFERROR(__xludf.DUMMYFUNCTION("""COMPUTED_VALUE"""),"")</f>
        <v/>
      </c>
      <c r="R4653" s="21" t="str">
        <f>IFERROR(__xludf.DUMMYFUNCTION("""COMPUTED_VALUE"""),"https://drive.google.com/file/d/1s5r0DFrdMxGEYiili7VpWogUfq2nUbnZ/view?usp=drivesdk")</f>
        <v>https://drive.google.com/file/d/1s5r0DFrdMxGEYiili7VpWogUfq2nUbnZ/view?usp=drivesdk</v>
      </c>
    </row>
    <row r="4654">
      <c r="A4654" s="15">
        <f>IFERROR(__xludf.DUMMYFUNCTION("""COMPUTED_VALUE"""),45135.0)</f>
        <v>45135</v>
      </c>
      <c r="B4654" s="16" t="str">
        <f>IFERROR(__xludf.DUMMYFUNCTION("""COMPUTED_VALUE"""),"Jeison Rubiano")</f>
        <v>Jeison Rubiano</v>
      </c>
      <c r="C4654" s="15" t="str">
        <f>IFERROR(__xludf.DUMMYFUNCTION("""COMPUTED_VALUE"""),"BOGOTÁ")</f>
        <v>BOGOTÁ</v>
      </c>
      <c r="D4654" s="15" t="str">
        <f>IFERROR(__xludf.DUMMYFUNCTION("""COMPUTED_VALUE"""),"MEDELLÍN")</f>
        <v>MEDELLÍN</v>
      </c>
      <c r="E4654" s="15" t="str">
        <f>IFERROR(__xludf.DUMMYFUNCTION("""COMPUTED_VALUE"""),"Rambla")</f>
        <v>Rambla</v>
      </c>
      <c r="F4654" s="17" t="str">
        <f>IFERROR(__xludf.DUMMYFUNCTION("""COMPUTED_VALUE"""),"carrera 111C#81-10  apto 501 - int 14 Conjunto los Gualandayes  Ciudadela colsubsidio  / . / .")</f>
        <v>carrera 111C#81-10  apto 501 - int 14 Conjunto los Gualandayes  Ciudadela colsubsidio  / . / .</v>
      </c>
      <c r="G4654" s="15" t="str">
        <f>IFERROR(__xludf.DUMMYFUNCTION("""COMPUTED_VALUE"""),"Britta Sophia Brand Ortiz")</f>
        <v>Britta Sophia Brand Ortiz</v>
      </c>
      <c r="H4654" s="16">
        <f>IFERROR(__xludf.DUMMYFUNCTION("""COMPUTED_VALUE"""),13364.0)</f>
        <v>13364</v>
      </c>
      <c r="I4654" s="18">
        <f>IFERROR(__xludf.DUMMYFUNCTION("""COMPUTED_VALUE"""),30.0)</f>
        <v>30</v>
      </c>
      <c r="J4654" s="18">
        <f>IFERROR(__xludf.DUMMYFUNCTION("""COMPUTED_VALUE"""),21.0)</f>
        <v>21</v>
      </c>
      <c r="K4654" s="18">
        <f>IFERROR(__xludf.DUMMYFUNCTION("""COMPUTED_VALUE"""),24.0)</f>
        <v>24</v>
      </c>
      <c r="L4654" s="17">
        <f>IFERROR(__xludf.DUMMYFUNCTION("""COMPUTED_VALUE"""),3.203064579E9)</f>
        <v>3203064579</v>
      </c>
      <c r="M4654" s="17" t="str">
        <f>IFERROR(__xludf.DUMMYFUNCTION("""COMPUTED_VALUE"""),"#REF!")</f>
        <v>#REF!</v>
      </c>
      <c r="N4654" s="17"/>
      <c r="O4654" s="17"/>
      <c r="P4654" s="17" t="b">
        <f>IFERROR(__xludf.DUMMYFUNCTION("""COMPUTED_VALUE"""),FALSE)</f>
        <v>0</v>
      </c>
      <c r="Q4654" s="20" t="str">
        <f>IFERROR(__xludf.DUMMYFUNCTION("""COMPUTED_VALUE"""),"")</f>
        <v/>
      </c>
      <c r="R4654" s="21" t="str">
        <f>IFERROR(__xludf.DUMMYFUNCTION("""COMPUTED_VALUE"""),"https://drive.google.com/file/d/1rDh051rblI_hGU9Em6UvfMyS6x0E8B_T/view?usp=drivesdk")</f>
        <v>https://drive.google.com/file/d/1rDh051rblI_hGU9Em6UvfMyS6x0E8B_T/view?usp=drivesdk</v>
      </c>
    </row>
    <row r="4655">
      <c r="A4655" s="15">
        <f>IFERROR(__xludf.DUMMYFUNCTION("""COMPUTED_VALUE"""),45135.0)</f>
        <v>45135</v>
      </c>
      <c r="B4655" s="16" t="str">
        <f>IFERROR(__xludf.DUMMYFUNCTION("""COMPUTED_VALUE"""),"Jeison Rubiano")</f>
        <v>Jeison Rubiano</v>
      </c>
      <c r="C4655" s="15" t="str">
        <f>IFERROR(__xludf.DUMMYFUNCTION("""COMPUTED_VALUE"""),"BOGOTÁ")</f>
        <v>BOGOTÁ</v>
      </c>
      <c r="D4655" s="15" t="str">
        <f>IFERROR(__xludf.DUMMYFUNCTION("""COMPUTED_VALUE"""),"MEDELLÍN")</f>
        <v>MEDELLÍN</v>
      </c>
      <c r="E4655" s="15" t="str">
        <f>IFERROR(__xludf.DUMMYFUNCTION("""COMPUTED_VALUE"""),"Rambla")</f>
        <v>Rambla</v>
      </c>
      <c r="F4655" s="17" t="str">
        <f>IFERROR(__xludf.DUMMYFUNCTION("""COMPUTED_VALUE"""),"Carrera 7B # 146-90 Local Bonsante / . / .")</f>
        <v>Carrera 7B # 146-90 Local Bonsante / . / .</v>
      </c>
      <c r="G4655" s="15" t="str">
        <f>IFERROR(__xludf.DUMMYFUNCTION("""COMPUTED_VALUE"""),"Bonsante")</f>
        <v>Bonsante</v>
      </c>
      <c r="H4655" s="16">
        <f>IFERROR(__xludf.DUMMYFUNCTION("""COMPUTED_VALUE"""),13360.0)</f>
        <v>13360</v>
      </c>
      <c r="I4655" s="18">
        <f>IFERROR(__xludf.DUMMYFUNCTION("""COMPUTED_VALUE"""),30.0)</f>
        <v>30</v>
      </c>
      <c r="J4655" s="18">
        <f>IFERROR(__xludf.DUMMYFUNCTION("""COMPUTED_VALUE"""),21.0)</f>
        <v>21</v>
      </c>
      <c r="K4655" s="18">
        <f>IFERROR(__xludf.DUMMYFUNCTION("""COMPUTED_VALUE"""),24.0)</f>
        <v>24</v>
      </c>
      <c r="L4655" s="17">
        <f>IFERROR(__xludf.DUMMYFUNCTION("""COMPUTED_VALUE"""),3.174291837E9)</f>
        <v>3174291837</v>
      </c>
      <c r="M4655" s="17" t="str">
        <f>IFERROR(__xludf.DUMMYFUNCTION("""COMPUTED_VALUE"""),"#REF!")</f>
        <v>#REF!</v>
      </c>
      <c r="N4655" s="17"/>
      <c r="O4655" s="17"/>
      <c r="P4655" s="17" t="b">
        <f>IFERROR(__xludf.DUMMYFUNCTION("""COMPUTED_VALUE"""),FALSE)</f>
        <v>0</v>
      </c>
      <c r="Q4655" s="20" t="str">
        <f>IFERROR(__xludf.DUMMYFUNCTION("""COMPUTED_VALUE"""),"")</f>
        <v/>
      </c>
      <c r="R4655" s="22" t="str">
        <f>IFERROR(__xludf.DUMMYFUNCTION("""COMPUTED_VALUE"""),"")</f>
        <v/>
      </c>
    </row>
    <row r="4656">
      <c r="A4656" s="15">
        <f>IFERROR(__xludf.DUMMYFUNCTION("""COMPUTED_VALUE"""),45135.0)</f>
        <v>45135</v>
      </c>
      <c r="B4656" s="16" t="str">
        <f>IFERROR(__xludf.DUMMYFUNCTION("""COMPUTED_VALUE"""),"Jeison Rubiano")</f>
        <v>Jeison Rubiano</v>
      </c>
      <c r="C4656" s="15" t="str">
        <f>IFERROR(__xludf.DUMMYFUNCTION("""COMPUTED_VALUE"""),"BOGOTÁ")</f>
        <v>BOGOTÁ</v>
      </c>
      <c r="D4656" s="15" t="str">
        <f>IFERROR(__xludf.DUMMYFUNCTION("""COMPUTED_VALUE"""),"MEDELLÍN")</f>
        <v>MEDELLÍN</v>
      </c>
      <c r="E4656" s="15" t="str">
        <f>IFERROR(__xludf.DUMMYFUNCTION("""COMPUTED_VALUE"""),"Rambla")</f>
        <v>Rambla</v>
      </c>
      <c r="F4656" s="17" t="str">
        <f>IFERROR(__xludf.DUMMYFUNCTION("""COMPUTED_VALUE"""),"Cl. 93a #11-46, Barrio Chicó / . / .")</f>
        <v>Cl. 93a #11-46, Barrio Chicó / . / .</v>
      </c>
      <c r="G4656" s="15" t="str">
        <f>IFERROR(__xludf.DUMMYFUNCTION("""COMPUTED_VALUE"""),"Fit Hub")</f>
        <v>Fit Hub</v>
      </c>
      <c r="H4656" s="16">
        <f>IFERROR(__xludf.DUMMYFUNCTION("""COMPUTED_VALUE"""),13361.0)</f>
        <v>13361</v>
      </c>
      <c r="I4656" s="18">
        <f>IFERROR(__xludf.DUMMYFUNCTION("""COMPUTED_VALUE"""),30.0)</f>
        <v>30</v>
      </c>
      <c r="J4656" s="18">
        <f>IFERROR(__xludf.DUMMYFUNCTION("""COMPUTED_VALUE"""),21.0)</f>
        <v>21</v>
      </c>
      <c r="K4656" s="18">
        <f>IFERROR(__xludf.DUMMYFUNCTION("""COMPUTED_VALUE"""),24.0)</f>
        <v>24</v>
      </c>
      <c r="L4656" s="17">
        <f>IFERROR(__xludf.DUMMYFUNCTION("""COMPUTED_VALUE"""),3.015447307E9)</f>
        <v>3015447307</v>
      </c>
      <c r="M4656" s="17" t="str">
        <f>IFERROR(__xludf.DUMMYFUNCTION("""COMPUTED_VALUE"""),"#REF!")</f>
        <v>#REF!</v>
      </c>
      <c r="N4656" s="17"/>
      <c r="O4656" s="17"/>
      <c r="P4656" s="17" t="b">
        <f>IFERROR(__xludf.DUMMYFUNCTION("""COMPUTED_VALUE"""),FALSE)</f>
        <v>0</v>
      </c>
      <c r="Q4656" s="20" t="str">
        <f>IFERROR(__xludf.DUMMYFUNCTION("""COMPUTED_VALUE"""),"")</f>
        <v/>
      </c>
      <c r="R4656" s="21" t="str">
        <f>IFERROR(__xludf.DUMMYFUNCTION("""COMPUTED_VALUE"""),"https://drive.google.com/file/d/1gsYkIOU7Sk_ozC9-miEeyYzX7YD6W7lf/view?usp=drivesdk")</f>
        <v>https://drive.google.com/file/d/1gsYkIOU7Sk_ozC9-miEeyYzX7YD6W7lf/view?usp=drivesdk</v>
      </c>
    </row>
    <row r="4657">
      <c r="A4657" s="15">
        <f>IFERROR(__xludf.DUMMYFUNCTION("""COMPUTED_VALUE"""),45135.0)</f>
        <v>45135</v>
      </c>
      <c r="B4657" s="16" t="str">
        <f>IFERROR(__xludf.DUMMYFUNCTION("""COMPUTED_VALUE"""),"Jeison Rubiano")</f>
        <v>Jeison Rubiano</v>
      </c>
      <c r="C4657" s="15" t="str">
        <f>IFERROR(__xludf.DUMMYFUNCTION("""COMPUTED_VALUE"""),"BOGOTÁ")</f>
        <v>BOGOTÁ</v>
      </c>
      <c r="D4657" s="15" t="str">
        <f>IFERROR(__xludf.DUMMYFUNCTION("""COMPUTED_VALUE"""),"MEDELLÍN")</f>
        <v>MEDELLÍN</v>
      </c>
      <c r="E4657" s="15" t="str">
        <f>IFERROR(__xludf.DUMMYFUNCTION("""COMPUTED_VALUE"""),"Rambla")</f>
        <v>Rambla</v>
      </c>
      <c r="F4657" s="17" t="str">
        <f>IFERROR(__xludf.DUMMYFUNCTION("""COMPUTED_VALUE"""),"CR 58 128 27 LC 102 / . / .")</f>
        <v>CR 58 128 27 LC 102 / . / .</v>
      </c>
      <c r="G4657" s="15" t="str">
        <f>IFERROR(__xludf.DUMMYFUNCTION("""COMPUTED_VALUE"""),"Amarte market")</f>
        <v>Amarte market</v>
      </c>
      <c r="H4657" s="16">
        <f>IFERROR(__xludf.DUMMYFUNCTION("""COMPUTED_VALUE"""),13362.0)</f>
        <v>13362</v>
      </c>
      <c r="I4657" s="18">
        <f>IFERROR(__xludf.DUMMYFUNCTION("""COMPUTED_VALUE"""),30.0)</f>
        <v>30</v>
      </c>
      <c r="J4657" s="18">
        <f>IFERROR(__xludf.DUMMYFUNCTION("""COMPUTED_VALUE"""),21.0)</f>
        <v>21</v>
      </c>
      <c r="K4657" s="18">
        <f>IFERROR(__xludf.DUMMYFUNCTION("""COMPUTED_VALUE"""),24.0)</f>
        <v>24</v>
      </c>
      <c r="L4657" s="17">
        <f>IFERROR(__xludf.DUMMYFUNCTION("""COMPUTED_VALUE"""),3.013659771E9)</f>
        <v>3013659771</v>
      </c>
      <c r="M4657" s="17" t="str">
        <f>IFERROR(__xludf.DUMMYFUNCTION("""COMPUTED_VALUE"""),"#REF!")</f>
        <v>#REF!</v>
      </c>
      <c r="N4657" s="17"/>
      <c r="O4657" s="17"/>
      <c r="P4657" s="17" t="b">
        <f>IFERROR(__xludf.DUMMYFUNCTION("""COMPUTED_VALUE"""),FALSE)</f>
        <v>0</v>
      </c>
      <c r="Q4657" s="20" t="str">
        <f>IFERROR(__xludf.DUMMYFUNCTION("""COMPUTED_VALUE"""),"")</f>
        <v/>
      </c>
      <c r="R4657" s="21" t="str">
        <f>IFERROR(__xludf.DUMMYFUNCTION("""COMPUTED_VALUE"""),"https://drive.google.com/file/d/1WDP9OmAFfUFrc6NWSA-hTwqhMR2SO6xX/view?usp=drivesdk")</f>
        <v>https://drive.google.com/file/d/1WDP9OmAFfUFrc6NWSA-hTwqhMR2SO6xX/view?usp=drivesdk</v>
      </c>
    </row>
    <row r="4658">
      <c r="A4658" s="15">
        <f>IFERROR(__xludf.DUMMYFUNCTION("""COMPUTED_VALUE"""),45135.0)</f>
        <v>45135</v>
      </c>
      <c r="B4658" s="16" t="str">
        <f>IFERROR(__xludf.DUMMYFUNCTION("""COMPUTED_VALUE"""),"Jeison Rubiano")</f>
        <v>Jeison Rubiano</v>
      </c>
      <c r="C4658" s="15" t="str">
        <f>IFERROR(__xludf.DUMMYFUNCTION("""COMPUTED_VALUE"""),"BOGOTÁ")</f>
        <v>BOGOTÁ</v>
      </c>
      <c r="D4658" s="15" t="str">
        <f>IFERROR(__xludf.DUMMYFUNCTION("""COMPUTED_VALUE"""),"MEDELLÍN")</f>
        <v>MEDELLÍN</v>
      </c>
      <c r="E4658" s="15" t="str">
        <f>IFERROR(__xludf.DUMMYFUNCTION("""COMPUTED_VALUE"""),"Terravocado")</f>
        <v>Terravocado</v>
      </c>
      <c r="F4658" s="17" t="str">
        <f>IFERROR(__xludf.DUMMYFUNCTION("""COMPUTED_VALUE"""),"CLL 12 A SUR # 29 D 28  / SANTA ISABEL  / SANTA ISABEL")</f>
        <v>CLL 12 A SUR # 29 D 28  / SANTA ISABEL  / SANTA ISABEL</v>
      </c>
      <c r="G4658" s="15" t="str">
        <f>IFERROR(__xludf.DUMMYFUNCTION("""COMPUTED_VALUE"""),"INGRID TORRES")</f>
        <v>INGRID TORRES</v>
      </c>
      <c r="H4658" s="16">
        <f>IFERROR(__xludf.DUMMYFUNCTION("""COMPUTED_VALUE"""),13288.0)</f>
        <v>13288</v>
      </c>
      <c r="I4658" s="18">
        <f>IFERROR(__xludf.DUMMYFUNCTION("""COMPUTED_VALUE"""),20.0)</f>
        <v>20</v>
      </c>
      <c r="J4658" s="18">
        <f>IFERROR(__xludf.DUMMYFUNCTION("""COMPUTED_VALUE"""),24.0)</f>
        <v>24</v>
      </c>
      <c r="K4658" s="18">
        <f>IFERROR(__xludf.DUMMYFUNCTION("""COMPUTED_VALUE"""),34.0)</f>
        <v>34</v>
      </c>
      <c r="L4658" s="17">
        <f>IFERROR(__xludf.DUMMYFUNCTION("""COMPUTED_VALUE"""),3.023582855E9)</f>
        <v>3023582855</v>
      </c>
      <c r="M4658" s="17" t="str">
        <f>IFERROR(__xludf.DUMMYFUNCTION("""COMPUTED_VALUE"""),"#REF!")</f>
        <v>#REF!</v>
      </c>
      <c r="N4658" s="17"/>
      <c r="O4658" s="17"/>
      <c r="P4658" s="17" t="b">
        <f>IFERROR(__xludf.DUMMYFUNCTION("""COMPUTED_VALUE"""),FALSE)</f>
        <v>0</v>
      </c>
      <c r="Q4658" s="20" t="str">
        <f>IFERROR(__xludf.DUMMYFUNCTION("""COMPUTED_VALUE"""),"")</f>
        <v/>
      </c>
      <c r="R4658" s="21" t="str">
        <f>IFERROR(__xludf.DUMMYFUNCTION("""COMPUTED_VALUE"""),"https://drive.google.com/file/d/16xiKf7h5I0L6IYNrIvZ1UjrxjONhMC3u/view?usp=drivesdk")</f>
        <v>https://drive.google.com/file/d/16xiKf7h5I0L6IYNrIvZ1UjrxjONhMC3u/view?usp=drivesdk</v>
      </c>
    </row>
    <row r="4659">
      <c r="A4659" s="15">
        <f>IFERROR(__xludf.DUMMYFUNCTION("""COMPUTED_VALUE"""),45135.0)</f>
        <v>45135</v>
      </c>
      <c r="B4659" s="16" t="str">
        <f>IFERROR(__xludf.DUMMYFUNCTION("""COMPUTED_VALUE"""),"Jeison Rubiano")</f>
        <v>Jeison Rubiano</v>
      </c>
      <c r="C4659" s="15" t="str">
        <f>IFERROR(__xludf.DUMMYFUNCTION("""COMPUTED_VALUE"""),"BOGOTÁ")</f>
        <v>BOGOTÁ</v>
      </c>
      <c r="D4659" s="15" t="str">
        <f>IFERROR(__xludf.DUMMYFUNCTION("""COMPUTED_VALUE"""),"MEDELLÍN")</f>
        <v>MEDELLÍN</v>
      </c>
      <c r="E4659" s="15" t="str">
        <f>IFERROR(__xludf.DUMMYFUNCTION("""COMPUTED_VALUE"""),"Terravocado")</f>
        <v>Terravocado</v>
      </c>
      <c r="F4659" s="17" t="str">
        <f>IFERROR(__xludf.DUMMYFUNCTION("""COMPUTED_VALUE"""),"CR 20 # 168 34 / BOGOTA / BOGOTA")</f>
        <v>CR 20 # 168 34 / BOGOTA / BOGOTA</v>
      </c>
      <c r="G4659" s="15" t="str">
        <f>IFERROR(__xludf.DUMMYFUNCTION("""COMPUTED_VALUE"""),"GRUPO KOI FU SAS")</f>
        <v>GRUPO KOI FU SAS</v>
      </c>
      <c r="H4659" s="16">
        <f>IFERROR(__xludf.DUMMYFUNCTION("""COMPUTED_VALUE"""),13347.0)</f>
        <v>13347</v>
      </c>
      <c r="I4659" s="18">
        <f>IFERROR(__xludf.DUMMYFUNCTION("""COMPUTED_VALUE"""),20.0)</f>
        <v>20</v>
      </c>
      <c r="J4659" s="18">
        <f>IFERROR(__xludf.DUMMYFUNCTION("""COMPUTED_VALUE"""),24.0)</f>
        <v>24</v>
      </c>
      <c r="K4659" s="18">
        <f>IFERROR(__xludf.DUMMYFUNCTION("""COMPUTED_VALUE"""),34.0)</f>
        <v>34</v>
      </c>
      <c r="L4659" s="17">
        <f>IFERROR(__xludf.DUMMYFUNCTION("""COMPUTED_VALUE"""),3.105763575E9)</f>
        <v>3105763575</v>
      </c>
      <c r="M4659" s="17" t="str">
        <f>IFERROR(__xludf.DUMMYFUNCTION("""COMPUTED_VALUE"""),"#REF!")</f>
        <v>#REF!</v>
      </c>
      <c r="N4659" s="17"/>
      <c r="O4659" s="17"/>
      <c r="P4659" s="17" t="b">
        <f>IFERROR(__xludf.DUMMYFUNCTION("""COMPUTED_VALUE"""),FALSE)</f>
        <v>0</v>
      </c>
      <c r="Q4659" s="20" t="str">
        <f>IFERROR(__xludf.DUMMYFUNCTION("""COMPUTED_VALUE"""),"")</f>
        <v/>
      </c>
      <c r="R4659" s="21" t="str">
        <f>IFERROR(__xludf.DUMMYFUNCTION("""COMPUTED_VALUE"""),"https://drive.google.com/file/d/1-isZzJ5F1eQU65PjxEETNStq3aPIsm63/view?usp=drivesdk")</f>
        <v>https://drive.google.com/file/d/1-isZzJ5F1eQU65PjxEETNStq3aPIsm63/view?usp=drivesdk</v>
      </c>
    </row>
    <row r="4660">
      <c r="A4660" s="15">
        <f>IFERROR(__xludf.DUMMYFUNCTION("""COMPUTED_VALUE"""),45135.0)</f>
        <v>45135</v>
      </c>
      <c r="B4660" s="16" t="str">
        <f>IFERROR(__xludf.DUMMYFUNCTION("""COMPUTED_VALUE"""),"Jeison Rubiano")</f>
        <v>Jeison Rubiano</v>
      </c>
      <c r="C4660" s="15" t="str">
        <f>IFERROR(__xludf.DUMMYFUNCTION("""COMPUTED_VALUE"""),"YOPAL")</f>
        <v>YOPAL</v>
      </c>
      <c r="D4660" s="15" t="str">
        <f>IFERROR(__xludf.DUMMYFUNCTION("""COMPUTED_VALUE"""),"BOGOTÁ")</f>
        <v>BOGOTÁ</v>
      </c>
      <c r="E4660" s="15" t="str">
        <f>IFERROR(__xludf.DUMMYFUNCTION("""COMPUTED_VALUE"""),"Evamazzita")</f>
        <v>Evamazzita</v>
      </c>
      <c r="F4660" s="17" t="str">
        <f>IFERROR(__xludf.DUMMYFUNCTION("""COMPUTED_VALUE"""),"Calle 41 A #7-75 / Segundo piso  / El laguito")</f>
        <v>Calle 41 A #7-75 / Segundo piso  / El laguito</v>
      </c>
      <c r="G4660" s="15" t="str">
        <f>IFERROR(__xludf.DUMMYFUNCTION("""COMPUTED_VALUE"""),"YURLEYS VANESSA CHARRIS GAMERO")</f>
        <v>YURLEYS VANESSA CHARRIS GAMERO</v>
      </c>
      <c r="H4660" s="16">
        <f>IFERROR(__xludf.DUMMYFUNCTION("""COMPUTED_VALUE"""),13323.0)</f>
        <v>13323</v>
      </c>
      <c r="I4660" s="18">
        <f>IFERROR(__xludf.DUMMYFUNCTION("""COMPUTED_VALUE"""),1.0)</f>
        <v>1</v>
      </c>
      <c r="J4660" s="18">
        <f>IFERROR(__xludf.DUMMYFUNCTION("""COMPUTED_VALUE"""),1.0)</f>
        <v>1</v>
      </c>
      <c r="K4660" s="18">
        <f>IFERROR(__xludf.DUMMYFUNCTION("""COMPUTED_VALUE"""),1.0)</f>
        <v>1</v>
      </c>
      <c r="L4660" s="17">
        <f>IFERROR(__xludf.DUMMYFUNCTION("""COMPUTED_VALUE"""),3.232085788E9)</f>
        <v>3232085788</v>
      </c>
      <c r="M4660" s="17" t="str">
        <f>IFERROR(__xludf.DUMMYFUNCTION("""COMPUTED_VALUE"""),"#REF!")</f>
        <v>#REF!</v>
      </c>
      <c r="N4660" s="17"/>
      <c r="O4660" s="17"/>
      <c r="P4660" s="17" t="b">
        <f>IFERROR(__xludf.DUMMYFUNCTION("""COMPUTED_VALUE"""),FALSE)</f>
        <v>0</v>
      </c>
      <c r="Q4660" s="20" t="str">
        <f>IFERROR(__xludf.DUMMYFUNCTION("""COMPUTED_VALUE"""),"")</f>
        <v/>
      </c>
      <c r="R4660" s="22" t="str">
        <f>IFERROR(__xludf.DUMMYFUNCTION("""COMPUTED_VALUE"""),"")</f>
        <v/>
      </c>
    </row>
    <row r="4661">
      <c r="A4661" s="15">
        <f>IFERROR(__xludf.DUMMYFUNCTION("""COMPUTED_VALUE"""),45135.0)</f>
        <v>45135</v>
      </c>
      <c r="B4661" s="16" t="str">
        <f>IFERROR(__xludf.DUMMYFUNCTION("""COMPUTED_VALUE"""),"Jeison Rubiano")</f>
        <v>Jeison Rubiano</v>
      </c>
      <c r="C4661" s="15" t="str">
        <f>IFERROR(__xludf.DUMMYFUNCTION("""COMPUTED_VALUE"""),"YOPAL")</f>
        <v>YOPAL</v>
      </c>
      <c r="D4661" s="15" t="str">
        <f>IFERROR(__xludf.DUMMYFUNCTION("""COMPUTED_VALUE"""),"BOGOTÁ")</f>
        <v>BOGOTÁ</v>
      </c>
      <c r="E4661" s="15" t="str">
        <f>IFERROR(__xludf.DUMMYFUNCTION("""COMPUTED_VALUE"""),"Olü")</f>
        <v>Olü</v>
      </c>
      <c r="F4661" s="17" t="str">
        <f>IFERROR(__xludf.DUMMYFUNCTION("""COMPUTED_VALUE"""),"Calle 13 # 29-80 / Edificio Deck 29 Apto 208 / Barrio libertadores")</f>
        <v>Calle 13 # 29-80 / Edificio Deck 29 Apto 208 / Barrio libertadores</v>
      </c>
      <c r="G4661" s="15" t="str">
        <f>IFERROR(__xludf.DUMMYFUNCTION("""COMPUTED_VALUE"""),"Anamaria Bonilla")</f>
        <v>Anamaria Bonilla</v>
      </c>
      <c r="H4661" s="16">
        <f>IFERROR(__xludf.DUMMYFUNCTION("""COMPUTED_VALUE"""),13293.0)</f>
        <v>13293</v>
      </c>
      <c r="I4661" s="18">
        <f>IFERROR(__xludf.DUMMYFUNCTION("""COMPUTED_VALUE"""),30.0)</f>
        <v>30</v>
      </c>
      <c r="J4661" s="18">
        <f>IFERROR(__xludf.DUMMYFUNCTION("""COMPUTED_VALUE"""),20.0)</f>
        <v>20</v>
      </c>
      <c r="K4661" s="18">
        <f>IFERROR(__xludf.DUMMYFUNCTION("""COMPUTED_VALUE"""),60.0)</f>
        <v>60</v>
      </c>
      <c r="L4661" s="17">
        <f>IFERROR(__xludf.DUMMYFUNCTION("""COMPUTED_VALUE"""),3.105906722E9)</f>
        <v>3105906722</v>
      </c>
      <c r="M4661" s="17" t="str">
        <f>IFERROR(__xludf.DUMMYFUNCTION("""COMPUTED_VALUE"""),"#REF!")</f>
        <v>#REF!</v>
      </c>
      <c r="N4661" s="17"/>
      <c r="O4661" s="17"/>
      <c r="P4661" s="17" t="b">
        <f>IFERROR(__xludf.DUMMYFUNCTION("""COMPUTED_VALUE"""),FALSE)</f>
        <v>0</v>
      </c>
      <c r="Q4661" s="20" t="str">
        <f>IFERROR(__xludf.DUMMYFUNCTION("""COMPUTED_VALUE"""),"")</f>
        <v/>
      </c>
      <c r="R4661" s="22" t="str">
        <f>IFERROR(__xludf.DUMMYFUNCTION("""COMPUTED_VALUE"""),"")</f>
        <v/>
      </c>
    </row>
    <row r="4662">
      <c r="A4662" s="17" t="str">
        <f>IFERROR(__xludf.DUMMYFUNCTION("""COMPUTED_VALUE"""),"")</f>
        <v/>
      </c>
      <c r="B4662" s="17" t="str">
        <f>IFERROR(__xludf.DUMMYFUNCTION("""COMPUTED_VALUE"""),"")</f>
        <v/>
      </c>
      <c r="C4662" s="17" t="str">
        <f>IFERROR(__xludf.DUMMYFUNCTION("""COMPUTED_VALUE"""),"")</f>
        <v/>
      </c>
      <c r="D4662" s="17" t="str">
        <f>IFERROR(__xludf.DUMMYFUNCTION("""COMPUTED_VALUE"""),"")</f>
        <v/>
      </c>
      <c r="E4662" s="17" t="str">
        <f>IFERROR(__xludf.DUMMYFUNCTION("""COMPUTED_VALUE"""),"")</f>
        <v/>
      </c>
      <c r="F4662" s="17" t="str">
        <f>IFERROR(__xludf.DUMMYFUNCTION("""COMPUTED_VALUE"""),"")</f>
        <v/>
      </c>
      <c r="G4662" s="17" t="str">
        <f>IFERROR(__xludf.DUMMYFUNCTION("""COMPUTED_VALUE"""),"")</f>
        <v/>
      </c>
      <c r="H4662" s="17" t="str">
        <f>IFERROR(__xludf.DUMMYFUNCTION("""COMPUTED_VALUE"""),"")</f>
        <v/>
      </c>
      <c r="I4662" s="17" t="str">
        <f>IFERROR(__xludf.DUMMYFUNCTION("""COMPUTED_VALUE"""),"")</f>
        <v/>
      </c>
      <c r="J4662" s="17" t="str">
        <f>IFERROR(__xludf.DUMMYFUNCTION("""COMPUTED_VALUE"""),"")</f>
        <v/>
      </c>
      <c r="K4662" s="17" t="str">
        <f>IFERROR(__xludf.DUMMYFUNCTION("""COMPUTED_VALUE"""),"")</f>
        <v/>
      </c>
      <c r="L4662" s="17" t="str">
        <f>IFERROR(__xludf.DUMMYFUNCTION("""COMPUTED_VALUE"""),"")</f>
        <v/>
      </c>
      <c r="M4662" s="17" t="str">
        <f>IFERROR(__xludf.DUMMYFUNCTION("""COMPUTED_VALUE"""),"")</f>
        <v/>
      </c>
      <c r="N4662" s="17" t="str">
        <f>IFERROR(__xludf.DUMMYFUNCTION("""COMPUTED_VALUE"""),"")</f>
        <v/>
      </c>
      <c r="O4662" s="17" t="str">
        <f>IFERROR(__xludf.DUMMYFUNCTION("""COMPUTED_VALUE"""),"")</f>
        <v/>
      </c>
      <c r="P4662" s="17" t="str">
        <f>IFERROR(__xludf.DUMMYFUNCTION("""COMPUTED_VALUE"""),"")</f>
        <v/>
      </c>
      <c r="Q4662" s="17" t="str">
        <f>IFERROR(__xludf.DUMMYFUNCTION("""COMPUTED_VALUE"""),"")</f>
        <v/>
      </c>
      <c r="R4662" s="17" t="str">
        <f>IFERROR(__xludf.DUMMYFUNCTION("""COMPUTED_VALUE"""),"")</f>
        <v/>
      </c>
    </row>
    <row r="4663">
      <c r="A4663" s="15">
        <f>IFERROR(__xludf.DUMMYFUNCTION("""COMPUTED_VALUE"""),45135.0)</f>
        <v>45135</v>
      </c>
      <c r="B4663" s="16" t="str">
        <f>IFERROR(__xludf.DUMMYFUNCTION("""COMPUTED_VALUE"""),"Julian Calderon Rodriguez ")</f>
        <v>Julian Calderon Rodriguez </v>
      </c>
      <c r="C4663" s="15" t="str">
        <f>IFERROR(__xludf.DUMMYFUNCTION("""COMPUTED_VALUE"""),"SANTA MARTA")</f>
        <v>SANTA MARTA</v>
      </c>
      <c r="D4663" s="15" t="str">
        <f>IFERROR(__xludf.DUMMYFUNCTION("""COMPUTED_VALUE"""),"MEDELLÍN")</f>
        <v>MEDELLÍN</v>
      </c>
      <c r="E4663" s="15" t="str">
        <f>IFERROR(__xludf.DUMMYFUNCTION("""COMPUTED_VALUE"""),"Magda")</f>
        <v>Magda</v>
      </c>
      <c r="F4663" s="17" t="str">
        <f>IFERROR(__xludf.DUMMYFUNCTION("""COMPUTED_VALUE"""),"calle 22#6-82  / ""centro comercial plazuela 22 local 27 "" / Centro")</f>
        <v>calle 22#6-82  / "centro comercial plazuela 22 local 27 " / Centro</v>
      </c>
      <c r="G4663" s="15" t="str">
        <f>IFERROR(__xludf.DUMMYFUNCTION("""COMPUTED_VALUE"""),"Shirley  Monjarres")</f>
        <v>Shirley  Monjarres</v>
      </c>
      <c r="H4663" s="16">
        <f>IFERROR(__xludf.DUMMYFUNCTION("""COMPUTED_VALUE"""),13254.0)</f>
        <v>13254</v>
      </c>
      <c r="I4663" s="18">
        <f>IFERROR(__xludf.DUMMYFUNCTION("""COMPUTED_VALUE"""),5.0)</f>
        <v>5</v>
      </c>
      <c r="J4663" s="18">
        <f>IFERROR(__xludf.DUMMYFUNCTION("""COMPUTED_VALUE"""),5.0)</f>
        <v>5</v>
      </c>
      <c r="K4663" s="18">
        <f>IFERROR(__xludf.DUMMYFUNCTION("""COMPUTED_VALUE"""),5.0)</f>
        <v>5</v>
      </c>
      <c r="L4663" s="17">
        <f>IFERROR(__xludf.DUMMYFUNCTION("""COMPUTED_VALUE"""),3.054269156E9)</f>
        <v>3054269156</v>
      </c>
      <c r="M4663" s="17" t="str">
        <f>IFERROR(__xludf.DUMMYFUNCTION("""COMPUTED_VALUE"""),"#REF!")</f>
        <v>#REF!</v>
      </c>
      <c r="N4663" s="17"/>
      <c r="O4663" s="17"/>
      <c r="P4663" s="17" t="b">
        <f>IFERROR(__xludf.DUMMYFUNCTION("""COMPUTED_VALUE"""),FALSE)</f>
        <v>0</v>
      </c>
      <c r="Q4663" s="20" t="str">
        <f>IFERROR(__xludf.DUMMYFUNCTION("""COMPUTED_VALUE"""),"")</f>
        <v/>
      </c>
      <c r="R4663" s="22" t="str">
        <f>IFERROR(__xludf.DUMMYFUNCTION("""COMPUTED_VALUE"""),"")</f>
        <v/>
      </c>
    </row>
    <row r="4664">
      <c r="A4664" s="15">
        <f>IFERROR(__xludf.DUMMYFUNCTION("""COMPUTED_VALUE"""),45135.0)</f>
        <v>45135</v>
      </c>
      <c r="B4664" s="16" t="str">
        <f>IFERROR(__xludf.DUMMYFUNCTION("""COMPUTED_VALUE"""),"Julian Calderon Rodriguez ")</f>
        <v>Julian Calderon Rodriguez </v>
      </c>
      <c r="C4664" s="15" t="str">
        <f>IFERROR(__xludf.DUMMYFUNCTION("""COMPUTED_VALUE"""),"SANTA MARTA")</f>
        <v>SANTA MARTA</v>
      </c>
      <c r="D4664" s="15" t="str">
        <f>IFERROR(__xludf.DUMMYFUNCTION("""COMPUTED_VALUE"""),"MEDELLÍN")</f>
        <v>MEDELLÍN</v>
      </c>
      <c r="E4664" s="15" t="str">
        <f>IFERROR(__xludf.DUMMYFUNCTION("""COMPUTED_VALUE"""),"Rambla")</f>
        <v>Rambla</v>
      </c>
      <c r="F4664" s="17" t="str">
        <f>IFERROR(__xludf.DUMMYFUNCTION("""COMPUTED_VALUE"""),"CR 4 26 40 /  CC PRADO PLAZA LC 117 / .")</f>
        <v>CR 4 26 40 /  CC PRADO PLAZA LC 117 / .</v>
      </c>
      <c r="G4664" s="15" t="str">
        <f>IFERROR(__xludf.DUMMYFUNCTION("""COMPUTED_VALUE"""),"Hecho en casa")</f>
        <v>Hecho en casa</v>
      </c>
      <c r="H4664" s="16">
        <f>IFERROR(__xludf.DUMMYFUNCTION("""COMPUTED_VALUE"""),13334.0)</f>
        <v>13334</v>
      </c>
      <c r="I4664" s="18">
        <f>IFERROR(__xludf.DUMMYFUNCTION("""COMPUTED_VALUE"""),27.0)</f>
        <v>27</v>
      </c>
      <c r="J4664" s="18">
        <f>IFERROR(__xludf.DUMMYFUNCTION("""COMPUTED_VALUE"""),32.0)</f>
        <v>32</v>
      </c>
      <c r="K4664" s="18">
        <f>IFERROR(__xludf.DUMMYFUNCTION("""COMPUTED_VALUE"""),25.0)</f>
        <v>25</v>
      </c>
      <c r="L4664" s="17">
        <f>IFERROR(__xludf.DUMMYFUNCTION("""COMPUTED_VALUE"""),3.108949751E9)</f>
        <v>3108949751</v>
      </c>
      <c r="M4664" s="17" t="str">
        <f>IFERROR(__xludf.DUMMYFUNCTION("""COMPUTED_VALUE"""),"#REF!")</f>
        <v>#REF!</v>
      </c>
      <c r="N4664" s="17"/>
      <c r="O4664" s="17"/>
      <c r="P4664" s="17" t="b">
        <f>IFERROR(__xludf.DUMMYFUNCTION("""COMPUTED_VALUE"""),FALSE)</f>
        <v>0</v>
      </c>
      <c r="Q4664" s="20" t="str">
        <f>IFERROR(__xludf.DUMMYFUNCTION("""COMPUTED_VALUE"""),"")</f>
        <v/>
      </c>
      <c r="R4664" s="21" t="str">
        <f>IFERROR(__xludf.DUMMYFUNCTION("""COMPUTED_VALUE"""),"https://drive.google.com/file/d/1ijSqcRC43csREIIq6Ca3pHMb4MsRZEPR/view?usp=drivesdk")</f>
        <v>https://drive.google.com/file/d/1ijSqcRC43csREIIq6Ca3pHMb4MsRZEPR/view?usp=drivesdk</v>
      </c>
    </row>
    <row r="4665">
      <c r="A4665" s="15">
        <f>IFERROR(__xludf.DUMMYFUNCTION("""COMPUTED_VALUE"""),45135.0)</f>
        <v>45135</v>
      </c>
      <c r="B4665" s="16" t="str">
        <f>IFERROR(__xludf.DUMMYFUNCTION("""COMPUTED_VALUE"""),"Julian Calderon Rodriguez ")</f>
        <v>Julian Calderon Rodriguez </v>
      </c>
      <c r="C4665" s="15" t="str">
        <f>IFERROR(__xludf.DUMMYFUNCTION("""COMPUTED_VALUE"""),"VILLAVICENCIO")</f>
        <v>VILLAVICENCIO</v>
      </c>
      <c r="D4665" s="15" t="str">
        <f>IFERROR(__xludf.DUMMYFUNCTION("""COMPUTED_VALUE"""),"BOGOTÁ")</f>
        <v>BOGOTÁ</v>
      </c>
      <c r="E4665" s="15" t="str">
        <f>IFERROR(__xludf.DUMMYFUNCTION("""COMPUTED_VALUE"""),"Evamazzita")</f>
        <v>Evamazzita</v>
      </c>
      <c r="F4665" s="17" t="str">
        <f>IFERROR(__xludf.DUMMYFUNCTION("""COMPUTED_VALUE"""),"Carrera 4 este #15-148 / Torre 2 /apto 1101 / N/A")</f>
        <v>Carrera 4 este #15-148 / Torre 2 /apto 1101 / N/A</v>
      </c>
      <c r="G4665" s="15" t="str">
        <f>IFERROR(__xludf.DUMMYFUNCTION("""COMPUTED_VALUE"""),"CLAUDIA VELANDIA")</f>
        <v>CLAUDIA VELANDIA</v>
      </c>
      <c r="H4665" s="16">
        <f>IFERROR(__xludf.DUMMYFUNCTION("""COMPUTED_VALUE"""),13315.0)</f>
        <v>13315</v>
      </c>
      <c r="I4665" s="18">
        <f>IFERROR(__xludf.DUMMYFUNCTION("""COMPUTED_VALUE"""),1.0)</f>
        <v>1</v>
      </c>
      <c r="J4665" s="18">
        <f>IFERROR(__xludf.DUMMYFUNCTION("""COMPUTED_VALUE"""),1.0)</f>
        <v>1</v>
      </c>
      <c r="K4665" s="18">
        <f>IFERROR(__xludf.DUMMYFUNCTION("""COMPUTED_VALUE"""),1.0)</f>
        <v>1</v>
      </c>
      <c r="L4665" s="17">
        <f>IFERROR(__xludf.DUMMYFUNCTION("""COMPUTED_VALUE"""),3.102463568E9)</f>
        <v>3102463568</v>
      </c>
      <c r="M4665" s="17" t="str">
        <f>IFERROR(__xludf.DUMMYFUNCTION("""COMPUTED_VALUE"""),"#REF!")</f>
        <v>#REF!</v>
      </c>
      <c r="N4665" s="17"/>
      <c r="O4665" s="17"/>
      <c r="P4665" s="17" t="b">
        <f>IFERROR(__xludf.DUMMYFUNCTION("""COMPUTED_VALUE"""),FALSE)</f>
        <v>0</v>
      </c>
      <c r="Q4665" s="20" t="str">
        <f>IFERROR(__xludf.DUMMYFUNCTION("""COMPUTED_VALUE"""),"")</f>
        <v/>
      </c>
      <c r="R4665" s="21" t="str">
        <f>IFERROR(__xludf.DUMMYFUNCTION("""COMPUTED_VALUE"""),"https://drive.google.com/file/d/1KnCdSLzpiSOaKzuEIXA6snOGUm_oyHuD/view?usp=drivesdk")</f>
        <v>https://drive.google.com/file/d/1KnCdSLzpiSOaKzuEIXA6snOGUm_oyHuD/view?usp=drivesdk</v>
      </c>
    </row>
    <row r="4666">
      <c r="A4666" s="15">
        <f>IFERROR(__xludf.DUMMYFUNCTION("""COMPUTED_VALUE"""),45135.0)</f>
        <v>45135</v>
      </c>
      <c r="B4666" s="16" t="str">
        <f>IFERROR(__xludf.DUMMYFUNCTION("""COMPUTED_VALUE"""),"Julian Calderon Rodriguez ")</f>
        <v>Julian Calderon Rodriguez </v>
      </c>
      <c r="C4666" s="15" t="str">
        <f>IFERROR(__xludf.DUMMYFUNCTION("""COMPUTED_VALUE"""),"VILLAVICENCIO")</f>
        <v>VILLAVICENCIO</v>
      </c>
      <c r="D4666" s="15" t="str">
        <f>IFERROR(__xludf.DUMMYFUNCTION("""COMPUTED_VALUE"""),"BOGOTÁ")</f>
        <v>BOGOTÁ</v>
      </c>
      <c r="E4666" s="15" t="str">
        <f>IFERROR(__xludf.DUMMYFUNCTION("""COMPUTED_VALUE"""),"Evamazzita")</f>
        <v>Evamazzita</v>
      </c>
      <c r="F4666" s="17" t="str">
        <f>IFERROR(__xludf.DUMMYFUNCTION("""COMPUTED_VALUE"""),"Carrera 40#5A-271 sur  / Torre 9/ Apto 602/ conjunto canaguay amarillo  / Hacienda rosablanca")</f>
        <v>Carrera 40#5A-271 sur  / Torre 9/ Apto 602/ conjunto canaguay amarillo  / Hacienda rosablanca</v>
      </c>
      <c r="G4666" s="15" t="str">
        <f>IFERROR(__xludf.DUMMYFUNCTION("""COMPUTED_VALUE"""),"ANDREA JOHANNA TORRES PARRA")</f>
        <v>ANDREA JOHANNA TORRES PARRA</v>
      </c>
      <c r="H4666" s="16">
        <f>IFERROR(__xludf.DUMMYFUNCTION("""COMPUTED_VALUE"""),13322.0)</f>
        <v>13322</v>
      </c>
      <c r="I4666" s="18">
        <f>IFERROR(__xludf.DUMMYFUNCTION("""COMPUTED_VALUE"""),1.0)</f>
        <v>1</v>
      </c>
      <c r="J4666" s="18">
        <f>IFERROR(__xludf.DUMMYFUNCTION("""COMPUTED_VALUE"""),1.0)</f>
        <v>1</v>
      </c>
      <c r="K4666" s="18">
        <f>IFERROR(__xludf.DUMMYFUNCTION("""COMPUTED_VALUE"""),1.0)</f>
        <v>1</v>
      </c>
      <c r="L4666" s="17">
        <f>IFERROR(__xludf.DUMMYFUNCTION("""COMPUTED_VALUE"""),3.138169367E9)</f>
        <v>3138169367</v>
      </c>
      <c r="M4666" s="17" t="str">
        <f>IFERROR(__xludf.DUMMYFUNCTION("""COMPUTED_VALUE"""),"#REF!")</f>
        <v>#REF!</v>
      </c>
      <c r="N4666" s="17"/>
      <c r="O4666" s="17"/>
      <c r="P4666" s="17" t="b">
        <f>IFERROR(__xludf.DUMMYFUNCTION("""COMPUTED_VALUE"""),FALSE)</f>
        <v>0</v>
      </c>
      <c r="Q4666" s="20" t="str">
        <f>IFERROR(__xludf.DUMMYFUNCTION("""COMPUTED_VALUE"""),"")</f>
        <v/>
      </c>
      <c r="R4666" s="21" t="str">
        <f>IFERROR(__xludf.DUMMYFUNCTION("""COMPUTED_VALUE"""),"https://drive.google.com/file/d/11NbhO2NnGz4H-ky6KQ_S_daSJuc3sGtQ/view?usp=drivesdk")</f>
        <v>https://drive.google.com/file/d/11NbhO2NnGz4H-ky6KQ_S_daSJuc3sGtQ/view?usp=drivesdk</v>
      </c>
    </row>
    <row r="4667">
      <c r="A4667" s="15">
        <f>IFERROR(__xludf.DUMMYFUNCTION("""COMPUTED_VALUE"""),45135.0)</f>
        <v>45135</v>
      </c>
      <c r="B4667" s="16" t="str">
        <f>IFERROR(__xludf.DUMMYFUNCTION("""COMPUTED_VALUE"""),"Julian Calderon Rodriguez ")</f>
        <v>Julian Calderon Rodriguez </v>
      </c>
      <c r="C4667" s="15" t="str">
        <f>IFERROR(__xludf.DUMMYFUNCTION("""COMPUTED_VALUE"""),"VILLAVICENCIO")</f>
        <v>VILLAVICENCIO</v>
      </c>
      <c r="D4667" s="15" t="str">
        <f>IFERROR(__xludf.DUMMYFUNCTION("""COMPUTED_VALUE"""),"BOGOTÁ")</f>
        <v>BOGOTÁ</v>
      </c>
      <c r="E4667" s="15" t="str">
        <f>IFERROR(__xludf.DUMMYFUNCTION("""COMPUTED_VALUE"""),"Evamazzita")</f>
        <v>Evamazzita</v>
      </c>
      <c r="F4667" s="17" t="str">
        <f>IFERROR(__xludf.DUMMYFUNCTION("""COMPUTED_VALUE"""),"Centro Comercial Villajulia  / Local 155/156  / Modulo Rojo")</f>
        <v>Centro Comercial Villajulia  / Local 155/156  / Modulo Rojo</v>
      </c>
      <c r="G4667" s="15" t="str">
        <f>IFERROR(__xludf.DUMMYFUNCTION("""COMPUTED_VALUE"""),"ANGELA PARRADO")</f>
        <v>ANGELA PARRADO</v>
      </c>
      <c r="H4667" s="16">
        <f>IFERROR(__xludf.DUMMYFUNCTION("""COMPUTED_VALUE"""),13316.0)</f>
        <v>13316</v>
      </c>
      <c r="I4667" s="18">
        <f>IFERROR(__xludf.DUMMYFUNCTION("""COMPUTED_VALUE"""),1.0)</f>
        <v>1</v>
      </c>
      <c r="J4667" s="18">
        <f>IFERROR(__xludf.DUMMYFUNCTION("""COMPUTED_VALUE"""),1.0)</f>
        <v>1</v>
      </c>
      <c r="K4667" s="18">
        <f>IFERROR(__xludf.DUMMYFUNCTION("""COMPUTED_VALUE"""),1.0)</f>
        <v>1</v>
      </c>
      <c r="L4667" s="17">
        <f>IFERROR(__xludf.DUMMYFUNCTION("""COMPUTED_VALUE"""),3.113162281E9)</f>
        <v>3113162281</v>
      </c>
      <c r="M4667" s="17" t="str">
        <f>IFERROR(__xludf.DUMMYFUNCTION("""COMPUTED_VALUE"""),"#REF!")</f>
        <v>#REF!</v>
      </c>
      <c r="N4667" s="17"/>
      <c r="O4667" s="17"/>
      <c r="P4667" s="17" t="b">
        <f>IFERROR(__xludf.DUMMYFUNCTION("""COMPUTED_VALUE"""),FALSE)</f>
        <v>0</v>
      </c>
      <c r="Q4667" s="20" t="str">
        <f>IFERROR(__xludf.DUMMYFUNCTION("""COMPUTED_VALUE"""),"")</f>
        <v/>
      </c>
      <c r="R4667" s="21" t="str">
        <f>IFERROR(__xludf.DUMMYFUNCTION("""COMPUTED_VALUE"""),"https://drive.google.com/file/d/13It2--wo6CkZZKCV_gudw7IpUomT_LY-/view?usp=drivesdk")</f>
        <v>https://drive.google.com/file/d/13It2--wo6CkZZKCV_gudw7IpUomT_LY-/view?usp=drivesdk</v>
      </c>
    </row>
    <row r="4668">
      <c r="A4668" s="17" t="str">
        <f>IFERROR(__xludf.DUMMYFUNCTION("""COMPUTED_VALUE"""),"")</f>
        <v/>
      </c>
      <c r="B4668" s="17" t="str">
        <f>IFERROR(__xludf.DUMMYFUNCTION("""COMPUTED_VALUE"""),"")</f>
        <v/>
      </c>
      <c r="C4668" s="17" t="str">
        <f>IFERROR(__xludf.DUMMYFUNCTION("""COMPUTED_VALUE"""),"")</f>
        <v/>
      </c>
      <c r="D4668" s="17" t="str">
        <f>IFERROR(__xludf.DUMMYFUNCTION("""COMPUTED_VALUE"""),"")</f>
        <v/>
      </c>
      <c r="E4668" s="17" t="str">
        <f>IFERROR(__xludf.DUMMYFUNCTION("""COMPUTED_VALUE"""),"")</f>
        <v/>
      </c>
      <c r="F4668" s="17" t="str">
        <f>IFERROR(__xludf.DUMMYFUNCTION("""COMPUTED_VALUE"""),"")</f>
        <v/>
      </c>
      <c r="G4668" s="17" t="str">
        <f>IFERROR(__xludf.DUMMYFUNCTION("""COMPUTED_VALUE"""),"")</f>
        <v/>
      </c>
      <c r="H4668" s="17" t="str">
        <f>IFERROR(__xludf.DUMMYFUNCTION("""COMPUTED_VALUE"""),"")</f>
        <v/>
      </c>
      <c r="I4668" s="17" t="str">
        <f>IFERROR(__xludf.DUMMYFUNCTION("""COMPUTED_VALUE"""),"")</f>
        <v/>
      </c>
      <c r="J4668" s="17" t="str">
        <f>IFERROR(__xludf.DUMMYFUNCTION("""COMPUTED_VALUE"""),"")</f>
        <v/>
      </c>
      <c r="K4668" s="17" t="str">
        <f>IFERROR(__xludf.DUMMYFUNCTION("""COMPUTED_VALUE"""),"")</f>
        <v/>
      </c>
      <c r="L4668" s="17" t="str">
        <f>IFERROR(__xludf.DUMMYFUNCTION("""COMPUTED_VALUE"""),"")</f>
        <v/>
      </c>
      <c r="M4668" s="17" t="str">
        <f>IFERROR(__xludf.DUMMYFUNCTION("""COMPUTED_VALUE"""),"")</f>
        <v/>
      </c>
      <c r="N4668" s="17" t="str">
        <f>IFERROR(__xludf.DUMMYFUNCTION("""COMPUTED_VALUE"""),"")</f>
        <v/>
      </c>
      <c r="O4668" s="17" t="str">
        <f>IFERROR(__xludf.DUMMYFUNCTION("""COMPUTED_VALUE"""),"")</f>
        <v/>
      </c>
      <c r="P4668" s="17" t="str">
        <f>IFERROR(__xludf.DUMMYFUNCTION("""COMPUTED_VALUE"""),"")</f>
        <v/>
      </c>
      <c r="Q4668" s="17" t="str">
        <f>IFERROR(__xludf.DUMMYFUNCTION("""COMPUTED_VALUE"""),"")</f>
        <v/>
      </c>
      <c r="R4668" s="17" t="str">
        <f>IFERROR(__xludf.DUMMYFUNCTION("""COMPUTED_VALUE"""),"")</f>
        <v/>
      </c>
    </row>
    <row r="4669">
      <c r="A4669" s="15">
        <f>IFERROR(__xludf.DUMMYFUNCTION("""COMPUTED_VALUE"""),45135.0)</f>
        <v>45135</v>
      </c>
      <c r="B4669" s="16" t="str">
        <f>IFERROR(__xludf.DUMMYFUNCTION("""COMPUTED_VALUE"""),"Lina Gaona")</f>
        <v>Lina Gaona</v>
      </c>
      <c r="C4669" s="15" t="str">
        <f>IFERROR(__xludf.DUMMYFUNCTION("""COMPUTED_VALUE"""),"CÚCUTA")</f>
        <v>CÚCUTA</v>
      </c>
      <c r="D4669" s="15" t="str">
        <f>IFERROR(__xludf.DUMMYFUNCTION("""COMPUTED_VALUE"""),"BOGOTÁ")</f>
        <v>BOGOTÁ</v>
      </c>
      <c r="E4669" s="15" t="str">
        <f>IFERROR(__xludf.DUMMYFUNCTION("""COMPUTED_VALUE"""),"Evamazzita")</f>
        <v>Evamazzita</v>
      </c>
      <c r="F4669" s="17" t="str">
        <f>IFERROR(__xludf.DUMMYFUNCTION("""COMPUTED_VALUE"""),"Av 2E #15A-17 / Caobos / Caobos")</f>
        <v>Av 2E #15A-17 / Caobos / Caobos</v>
      </c>
      <c r="G4669" s="15" t="str">
        <f>IFERROR(__xludf.DUMMYFUNCTION("""COMPUTED_VALUE"""),"DACCY KARINA LOPEZ MORENO")</f>
        <v>DACCY KARINA LOPEZ MORENO</v>
      </c>
      <c r="H4669" s="16">
        <f>IFERROR(__xludf.DUMMYFUNCTION("""COMPUTED_VALUE"""),13309.0)</f>
        <v>13309</v>
      </c>
      <c r="I4669" s="18">
        <f>IFERROR(__xludf.DUMMYFUNCTION("""COMPUTED_VALUE"""),19.0)</f>
        <v>19</v>
      </c>
      <c r="J4669" s="18">
        <f>IFERROR(__xludf.DUMMYFUNCTION("""COMPUTED_VALUE"""),34.0)</f>
        <v>34</v>
      </c>
      <c r="K4669" s="18">
        <f>IFERROR(__xludf.DUMMYFUNCTION("""COMPUTED_VALUE"""),27.0)</f>
        <v>27</v>
      </c>
      <c r="L4669" s="17">
        <f>IFERROR(__xludf.DUMMYFUNCTION("""COMPUTED_VALUE"""),3.208615379E9)</f>
        <v>3208615379</v>
      </c>
      <c r="M4669" s="17" t="str">
        <f>IFERROR(__xludf.DUMMYFUNCTION("""COMPUTED_VALUE"""),"#REF!")</f>
        <v>#REF!</v>
      </c>
      <c r="N4669" s="17"/>
      <c r="O4669" s="17"/>
      <c r="P4669" s="17" t="b">
        <f>IFERROR(__xludf.DUMMYFUNCTION("""COMPUTED_VALUE"""),TRUE)</f>
        <v>1</v>
      </c>
      <c r="Q4669" s="20">
        <f>IFERROR(__xludf.DUMMYFUNCTION("""COMPUTED_VALUE"""),45139.718231516206)</f>
        <v>45139.71823</v>
      </c>
      <c r="R4669" s="22" t="str">
        <f>IFERROR(__xludf.DUMMYFUNCTION("""COMPUTED_VALUE"""),"")</f>
        <v/>
      </c>
    </row>
    <row r="4670">
      <c r="A4670" s="15">
        <f>IFERROR(__xludf.DUMMYFUNCTION("""COMPUTED_VALUE"""),45135.0)</f>
        <v>45135</v>
      </c>
      <c r="B4670" s="16" t="str">
        <f>IFERROR(__xludf.DUMMYFUNCTION("""COMPUTED_VALUE"""),"Lina Gaona")</f>
        <v>Lina Gaona</v>
      </c>
      <c r="C4670" s="15" t="str">
        <f>IFERROR(__xludf.DUMMYFUNCTION("""COMPUTED_VALUE"""),"CÚCUTA")</f>
        <v>CÚCUTA</v>
      </c>
      <c r="D4670" s="15" t="str">
        <f>IFERROR(__xludf.DUMMYFUNCTION("""COMPUTED_VALUE"""),"BOGOTÁ")</f>
        <v>BOGOTÁ</v>
      </c>
      <c r="E4670" s="15" t="str">
        <f>IFERROR(__xludf.DUMMYFUNCTION("""COMPUTED_VALUE"""),"Lunchy Kids")</f>
        <v>Lunchy Kids</v>
      </c>
      <c r="F4670" s="17" t="str">
        <f>IFERROR(__xludf.DUMMYFUNCTION("""COMPUTED_VALUE"""),"Calle 3 # 1e - 33 / Casa  / Ceiba")</f>
        <v>Calle 3 # 1e - 33 / Casa  / Ceiba</v>
      </c>
      <c r="G4670" s="15" t="str">
        <f>IFERROR(__xludf.DUMMYFUNCTION("""COMPUTED_VALUE"""),"Litmara Solano")</f>
        <v>Litmara Solano</v>
      </c>
      <c r="H4670" s="16">
        <f>IFERROR(__xludf.DUMMYFUNCTION("""COMPUTED_VALUE"""),13155.0)</f>
        <v>13155</v>
      </c>
      <c r="I4670" s="18">
        <f>IFERROR(__xludf.DUMMYFUNCTION("""COMPUTED_VALUE"""),6.0)</f>
        <v>6</v>
      </c>
      <c r="J4670" s="18">
        <f>IFERROR(__xludf.DUMMYFUNCTION("""COMPUTED_VALUE"""),5.0)</f>
        <v>5</v>
      </c>
      <c r="K4670" s="18">
        <f>IFERROR(__xludf.DUMMYFUNCTION("""COMPUTED_VALUE"""),18.0)</f>
        <v>18</v>
      </c>
      <c r="L4670" s="17">
        <f>IFERROR(__xludf.DUMMYFUNCTION("""COMPUTED_VALUE"""),3.134119967E9)</f>
        <v>3134119967</v>
      </c>
      <c r="M4670" s="17" t="str">
        <f>IFERROR(__xludf.DUMMYFUNCTION("""COMPUTED_VALUE"""),"#REF!")</f>
        <v>#REF!</v>
      </c>
      <c r="N4670" s="17"/>
      <c r="O4670" s="17"/>
      <c r="P4670" s="17" t="b">
        <f>IFERROR(__xludf.DUMMYFUNCTION("""COMPUTED_VALUE"""),TRUE)</f>
        <v>1</v>
      </c>
      <c r="Q4670" s="20">
        <f>IFERROR(__xludf.DUMMYFUNCTION("""COMPUTED_VALUE"""),45139.685768344905)</f>
        <v>45139.68577</v>
      </c>
      <c r="R4670" s="21" t="str">
        <f>IFERROR(__xludf.DUMMYFUNCTION("""COMPUTED_VALUE"""),"https://drive.google.com/file/d/1EUwcpRvrtJ4kpAl8tKDA35WzZ_e4jqwf/view?usp=drivesdk")</f>
        <v>https://drive.google.com/file/d/1EUwcpRvrtJ4kpAl8tKDA35WzZ_e4jqwf/view?usp=drivesdk</v>
      </c>
    </row>
    <row r="4671">
      <c r="A4671" s="15">
        <f>IFERROR(__xludf.DUMMYFUNCTION("""COMPUTED_VALUE"""),45135.0)</f>
        <v>45135</v>
      </c>
      <c r="B4671" s="16" t="str">
        <f>IFERROR(__xludf.DUMMYFUNCTION("""COMPUTED_VALUE"""),"Lina Gaona")</f>
        <v>Lina Gaona</v>
      </c>
      <c r="C4671" s="15" t="str">
        <f>IFERROR(__xludf.DUMMYFUNCTION("""COMPUTED_VALUE"""),"CÚCUTA")</f>
        <v>CÚCUTA</v>
      </c>
      <c r="D4671" s="15" t="str">
        <f>IFERROR(__xludf.DUMMYFUNCTION("""COMPUTED_VALUE"""),"BUCARAMANGA")</f>
        <v>BUCARAMANGA</v>
      </c>
      <c r="E4671" s="15" t="str">
        <f>IFERROR(__xludf.DUMMYFUNCTION("""COMPUTED_VALUE"""),"Yo Como Solito")</f>
        <v>Yo Como Solito</v>
      </c>
      <c r="F4671" s="17" t="str">
        <f>IFERROR(__xludf.DUMMYFUNCTION("""COMPUTED_VALUE"""),"Av 2E # 15A -17 Caobos Al frente del Colegio Carmelitas / Av 2E # 15A -17 Caobos Al frente del Colegio Carmelitas / Av 2E # 15A -17 Caobos Al frente del Colegio Carmelitas")</f>
        <v>Av 2E # 15A -17 Caobos Al frente del Colegio Carmelitas / Av 2E # 15A -17 Caobos Al frente del Colegio Carmelitas / Av 2E # 15A -17 Caobos Al frente del Colegio Carmelitas</v>
      </c>
      <c r="G4671" s="15" t="str">
        <f>IFERROR(__xludf.DUMMYFUNCTION("""COMPUTED_VALUE"""),"Daccy Karina Lopez Moreno")</f>
        <v>Daccy Karina Lopez Moreno</v>
      </c>
      <c r="H4671" s="16">
        <f>IFERROR(__xludf.DUMMYFUNCTION("""COMPUTED_VALUE"""),13355.0)</f>
        <v>13355</v>
      </c>
      <c r="I4671" s="18">
        <f>IFERROR(__xludf.DUMMYFUNCTION("""COMPUTED_VALUE"""),12.0)</f>
        <v>12</v>
      </c>
      <c r="J4671" s="18">
        <f>IFERROR(__xludf.DUMMYFUNCTION("""COMPUTED_VALUE"""),34.0)</f>
        <v>34</v>
      </c>
      <c r="K4671" s="18">
        <f>IFERROR(__xludf.DUMMYFUNCTION("""COMPUTED_VALUE"""),40.0)</f>
        <v>40</v>
      </c>
      <c r="L4671" s="17">
        <f>IFERROR(__xludf.DUMMYFUNCTION("""COMPUTED_VALUE"""),3.125228133E9)</f>
        <v>3125228133</v>
      </c>
      <c r="M4671" s="17" t="str">
        <f>IFERROR(__xludf.DUMMYFUNCTION("""COMPUTED_VALUE"""),"#REF!")</f>
        <v>#REF!</v>
      </c>
      <c r="N4671" s="17"/>
      <c r="O4671" s="17"/>
      <c r="P4671" s="17" t="b">
        <f>IFERROR(__xludf.DUMMYFUNCTION("""COMPUTED_VALUE"""),TRUE)</f>
        <v>1</v>
      </c>
      <c r="Q4671" s="20">
        <f>IFERROR(__xludf.DUMMYFUNCTION("""COMPUTED_VALUE"""),45139.58366721065)</f>
        <v>45139.58367</v>
      </c>
      <c r="R4671" s="22" t="str">
        <f>IFERROR(__xludf.DUMMYFUNCTION("""COMPUTED_VALUE"""),"")</f>
        <v/>
      </c>
    </row>
    <row r="4672">
      <c r="A4672" s="15">
        <f>IFERROR(__xludf.DUMMYFUNCTION("""COMPUTED_VALUE"""),45135.0)</f>
        <v>45135</v>
      </c>
      <c r="B4672" s="16" t="str">
        <f>IFERROR(__xludf.DUMMYFUNCTION("""COMPUTED_VALUE"""),"Lina Gaona")</f>
        <v>Lina Gaona</v>
      </c>
      <c r="C4672" s="15" t="str">
        <f>IFERROR(__xludf.DUMMYFUNCTION("""COMPUTED_VALUE"""),"VILLAVICENCIO")</f>
        <v>VILLAVICENCIO</v>
      </c>
      <c r="D4672" s="15" t="str">
        <f>IFERROR(__xludf.DUMMYFUNCTION("""COMPUTED_VALUE"""),"BOGOTÁ")</f>
        <v>BOGOTÁ</v>
      </c>
      <c r="E4672" s="15" t="str">
        <f>IFERROR(__xludf.DUMMYFUNCTION("""COMPUTED_VALUE"""),"Evamazzita")</f>
        <v>Evamazzita</v>
      </c>
      <c r="F4672" s="17" t="str">
        <f>IFERROR(__xludf.DUMMYFUNCTION("""COMPUTED_VALUE"""),"Calle 12 sur 18-07 / N/a / Barrio Doña Luz")</f>
        <v>Calle 12 sur 18-07 / N/a / Barrio Doña Luz</v>
      </c>
      <c r="G4672" s="15" t="str">
        <f>IFERROR(__xludf.DUMMYFUNCTION("""COMPUTED_VALUE"""),"LAURA MARIA ARGUELLO PERDOMO")</f>
        <v>LAURA MARIA ARGUELLO PERDOMO</v>
      </c>
      <c r="H4672" s="16">
        <f>IFERROR(__xludf.DUMMYFUNCTION("""COMPUTED_VALUE"""),13313.0)</f>
        <v>13313</v>
      </c>
      <c r="I4672" s="18">
        <f>IFERROR(__xludf.DUMMYFUNCTION("""COMPUTED_VALUE"""),1.0)</f>
        <v>1</v>
      </c>
      <c r="J4672" s="18">
        <f>IFERROR(__xludf.DUMMYFUNCTION("""COMPUTED_VALUE"""),1.0)</f>
        <v>1</v>
      </c>
      <c r="K4672" s="18">
        <f>IFERROR(__xludf.DUMMYFUNCTION("""COMPUTED_VALUE"""),1.0)</f>
        <v>1</v>
      </c>
      <c r="L4672" s="17">
        <f>IFERROR(__xludf.DUMMYFUNCTION("""COMPUTED_VALUE"""),3.21260194E9)</f>
        <v>3212601940</v>
      </c>
      <c r="M4672" s="17" t="str">
        <f>IFERROR(__xludf.DUMMYFUNCTION("""COMPUTED_VALUE"""),"#REF!")</f>
        <v>#REF!</v>
      </c>
      <c r="N4672" s="17"/>
      <c r="O4672" s="17"/>
      <c r="P4672" s="17" t="b">
        <f>IFERROR(__xludf.DUMMYFUNCTION("""COMPUTED_VALUE"""),TRUE)</f>
        <v>1</v>
      </c>
      <c r="Q4672" s="20">
        <f>IFERROR(__xludf.DUMMYFUNCTION("""COMPUTED_VALUE"""),45139.685317511576)</f>
        <v>45139.68532</v>
      </c>
      <c r="R4672" s="21" t="str">
        <f>IFERROR(__xludf.DUMMYFUNCTION("""COMPUTED_VALUE"""),"https://drive.google.com/file/d/1ZwbaimefiafkYMeSdzfhRz_aPcbTI-q-/view?usp=drivesdk")</f>
        <v>https://drive.google.com/file/d/1ZwbaimefiafkYMeSdzfhRz_aPcbTI-q-/view?usp=drivesdk</v>
      </c>
    </row>
    <row r="4673">
      <c r="A4673" s="15">
        <f>IFERROR(__xludf.DUMMYFUNCTION("""COMPUTED_VALUE"""),45135.0)</f>
        <v>45135</v>
      </c>
      <c r="B4673" s="16" t="str">
        <f>IFERROR(__xludf.DUMMYFUNCTION("""COMPUTED_VALUE"""),"Lina Gaona")</f>
        <v>Lina Gaona</v>
      </c>
      <c r="C4673" s="15" t="str">
        <f>IFERROR(__xludf.DUMMYFUNCTION("""COMPUTED_VALUE"""),"VILLAVICENCIO")</f>
        <v>VILLAVICENCIO</v>
      </c>
      <c r="D4673" s="15" t="str">
        <f>IFERROR(__xludf.DUMMYFUNCTION("""COMPUTED_VALUE"""),"BOGOTÁ")</f>
        <v>BOGOTÁ</v>
      </c>
      <c r="E4673" s="15" t="str">
        <f>IFERROR(__xludf.DUMMYFUNCTION("""COMPUTED_VALUE"""),"Evamazzita")</f>
        <v>Evamazzita</v>
      </c>
      <c r="F4673" s="17" t="str">
        <f>IFERROR(__xludf.DUMMYFUNCTION("""COMPUTED_VALUE"""),"Calle 9 sur #22-17 / Local 104  / Plazoleta de comidas /puerto bahia")</f>
        <v>Calle 9 sur #22-17 / Local 104  / Plazoleta de comidas /puerto bahia</v>
      </c>
      <c r="G4673" s="15" t="str">
        <f>IFERROR(__xludf.DUMMYFUNCTION("""COMPUTED_VALUE"""),"JESSICA PAOLA SUAREZ TIRIA")</f>
        <v>JESSICA PAOLA SUAREZ TIRIA</v>
      </c>
      <c r="H4673" s="16">
        <f>IFERROR(__xludf.DUMMYFUNCTION("""COMPUTED_VALUE"""),13314.0)</f>
        <v>13314</v>
      </c>
      <c r="I4673" s="18">
        <f>IFERROR(__xludf.DUMMYFUNCTION("""COMPUTED_VALUE"""),1.0)</f>
        <v>1</v>
      </c>
      <c r="J4673" s="18">
        <f>IFERROR(__xludf.DUMMYFUNCTION("""COMPUTED_VALUE"""),1.0)</f>
        <v>1</v>
      </c>
      <c r="K4673" s="18">
        <f>IFERROR(__xludf.DUMMYFUNCTION("""COMPUTED_VALUE"""),1.0)</f>
        <v>1</v>
      </c>
      <c r="L4673" s="17">
        <f>IFERROR(__xludf.DUMMYFUNCTION("""COMPUTED_VALUE"""),3.213736846E9)</f>
        <v>3213736846</v>
      </c>
      <c r="M4673" s="17" t="str">
        <f>IFERROR(__xludf.DUMMYFUNCTION("""COMPUTED_VALUE"""),"#REF!")</f>
        <v>#REF!</v>
      </c>
      <c r="N4673" s="17"/>
      <c r="O4673" s="17"/>
      <c r="P4673" s="17" t="b">
        <f>IFERROR(__xludf.DUMMYFUNCTION("""COMPUTED_VALUE"""),TRUE)</f>
        <v>1</v>
      </c>
      <c r="Q4673" s="20">
        <f>IFERROR(__xludf.DUMMYFUNCTION("""COMPUTED_VALUE"""),45139.582677812505)</f>
        <v>45139.58268</v>
      </c>
      <c r="R4673" s="21" t="str">
        <f>IFERROR(__xludf.DUMMYFUNCTION("""COMPUTED_VALUE"""),"https://drive.google.com/file/d/1iBRhqDPf7bl9V0KnUT-O13aiKrU6_-i3/view?usp=drivesdk")</f>
        <v>https://drive.google.com/file/d/1iBRhqDPf7bl9V0KnUT-O13aiKrU6_-i3/view?usp=drivesdk</v>
      </c>
    </row>
    <row r="4674">
      <c r="A4674" s="17" t="str">
        <f>IFERROR(__xludf.DUMMYFUNCTION("""COMPUTED_VALUE"""),"")</f>
        <v/>
      </c>
      <c r="B4674" s="17" t="str">
        <f>IFERROR(__xludf.DUMMYFUNCTION("""COMPUTED_VALUE"""),"")</f>
        <v/>
      </c>
      <c r="C4674" s="17" t="str">
        <f>IFERROR(__xludf.DUMMYFUNCTION("""COMPUTED_VALUE"""),"")</f>
        <v/>
      </c>
      <c r="D4674" s="17" t="str">
        <f>IFERROR(__xludf.DUMMYFUNCTION("""COMPUTED_VALUE"""),"")</f>
        <v/>
      </c>
      <c r="E4674" s="17" t="str">
        <f>IFERROR(__xludf.DUMMYFUNCTION("""COMPUTED_VALUE"""),"")</f>
        <v/>
      </c>
      <c r="F4674" s="17" t="str">
        <f>IFERROR(__xludf.DUMMYFUNCTION("""COMPUTED_VALUE"""),"")</f>
        <v/>
      </c>
      <c r="G4674" s="17" t="str">
        <f>IFERROR(__xludf.DUMMYFUNCTION("""COMPUTED_VALUE"""),"")</f>
        <v/>
      </c>
      <c r="H4674" s="17" t="str">
        <f>IFERROR(__xludf.DUMMYFUNCTION("""COMPUTED_VALUE"""),"")</f>
        <v/>
      </c>
      <c r="I4674" s="17" t="str">
        <f>IFERROR(__xludf.DUMMYFUNCTION("""COMPUTED_VALUE"""),"")</f>
        <v/>
      </c>
      <c r="J4674" s="17" t="str">
        <f>IFERROR(__xludf.DUMMYFUNCTION("""COMPUTED_VALUE"""),"")</f>
        <v/>
      </c>
      <c r="K4674" s="17" t="str">
        <f>IFERROR(__xludf.DUMMYFUNCTION("""COMPUTED_VALUE"""),"")</f>
        <v/>
      </c>
      <c r="L4674" s="17" t="str">
        <f>IFERROR(__xludf.DUMMYFUNCTION("""COMPUTED_VALUE"""),"")</f>
        <v/>
      </c>
      <c r="M4674" s="17" t="str">
        <f>IFERROR(__xludf.DUMMYFUNCTION("""COMPUTED_VALUE"""),"")</f>
        <v/>
      </c>
      <c r="N4674" s="17" t="str">
        <f>IFERROR(__xludf.DUMMYFUNCTION("""COMPUTED_VALUE"""),"")</f>
        <v/>
      </c>
      <c r="O4674" s="17" t="str">
        <f>IFERROR(__xludf.DUMMYFUNCTION("""COMPUTED_VALUE"""),"")</f>
        <v/>
      </c>
      <c r="P4674" s="17" t="str">
        <f>IFERROR(__xludf.DUMMYFUNCTION("""COMPUTED_VALUE"""),"")</f>
        <v/>
      </c>
      <c r="Q4674" s="17" t="str">
        <f>IFERROR(__xludf.DUMMYFUNCTION("""COMPUTED_VALUE"""),"")</f>
        <v/>
      </c>
      <c r="R4674" s="17" t="str">
        <f>IFERROR(__xludf.DUMMYFUNCTION("""COMPUTED_VALUE"""),"")</f>
        <v/>
      </c>
    </row>
    <row r="4675">
      <c r="A4675" s="15">
        <f>IFERROR(__xludf.DUMMYFUNCTION("""COMPUTED_VALUE"""),45135.0)</f>
        <v>45135</v>
      </c>
      <c r="B4675" s="16" t="str">
        <f>IFERROR(__xludf.DUMMYFUNCTION("""COMPUTED_VALUE"""),"Orlando Urdaneta Rincon ")</f>
        <v>Orlando Urdaneta Rincon </v>
      </c>
      <c r="C4675" s="15" t="str">
        <f>IFERROR(__xludf.DUMMYFUNCTION("""COMPUTED_VALUE"""),"BOGOTÁ")</f>
        <v>BOGOTÁ</v>
      </c>
      <c r="D4675" s="15" t="str">
        <f>IFERROR(__xludf.DUMMYFUNCTION("""COMPUTED_VALUE"""),"NEIVA")</f>
        <v>NEIVA</v>
      </c>
      <c r="E4675" s="15" t="str">
        <f>IFERROR(__xludf.DUMMYFUNCTION("""COMPUTED_VALUE"""),"Nutrikids")</f>
        <v>Nutrikids</v>
      </c>
      <c r="F4675" s="17" t="str">
        <f>IFERROR(__xludf.DUMMYFUNCTION("""COMPUTED_VALUE"""),"Calle 154 #91-56   / Conjunto: Almería. Bloque: 9 apto: 602  / Suba pinar")</f>
        <v>Calle 154 #91-56   / Conjunto: Almería. Bloque: 9 apto: 602  / Suba pinar</v>
      </c>
      <c r="G4675" s="15" t="str">
        <f>IFERROR(__xludf.DUMMYFUNCTION("""COMPUTED_VALUE"""),"Diana pinzon rojas")</f>
        <v>Diana pinzon rojas</v>
      </c>
      <c r="H4675" s="16">
        <f>IFERROR(__xludf.DUMMYFUNCTION("""COMPUTED_VALUE"""),13346.0)</f>
        <v>13346</v>
      </c>
      <c r="I4675" s="18">
        <f>IFERROR(__xludf.DUMMYFUNCTION("""COMPUTED_VALUE"""),34.0)</f>
        <v>34</v>
      </c>
      <c r="J4675" s="18">
        <f>IFERROR(__xludf.DUMMYFUNCTION("""COMPUTED_VALUE"""),29.0)</f>
        <v>29</v>
      </c>
      <c r="K4675" s="18">
        <f>IFERROR(__xludf.DUMMYFUNCTION("""COMPUTED_VALUE"""),44.0)</f>
        <v>44</v>
      </c>
      <c r="L4675" s="17">
        <f>IFERROR(__xludf.DUMMYFUNCTION("""COMPUTED_VALUE"""),3.208826799E9)</f>
        <v>3208826799</v>
      </c>
      <c r="M4675" s="17" t="str">
        <f>IFERROR(__xludf.DUMMYFUNCTION("""COMPUTED_VALUE"""),"#REF!")</f>
        <v>#REF!</v>
      </c>
      <c r="N4675" s="17"/>
      <c r="O4675" s="17"/>
      <c r="P4675" s="17" t="b">
        <f>IFERROR(__xludf.DUMMYFUNCTION("""COMPUTED_VALUE"""),TRUE)</f>
        <v>1</v>
      </c>
      <c r="Q4675" s="20">
        <f>IFERROR(__xludf.DUMMYFUNCTION("""COMPUTED_VALUE"""),45139.5827859375)</f>
        <v>45139.58279</v>
      </c>
      <c r="R4675" s="21" t="str">
        <f>IFERROR(__xludf.DUMMYFUNCTION("""COMPUTED_VALUE"""),"https://drive.google.com/file/d/1CEdr39-kHyvsOwVKizQstDbd4JQB5NXJ/view?usp=drivesdk")</f>
        <v>https://drive.google.com/file/d/1CEdr39-kHyvsOwVKizQstDbd4JQB5NXJ/view?usp=drivesdk</v>
      </c>
    </row>
    <row r="4676">
      <c r="A4676" s="15">
        <f>IFERROR(__xludf.DUMMYFUNCTION("""COMPUTED_VALUE"""),45135.0)</f>
        <v>45135</v>
      </c>
      <c r="B4676" s="16" t="str">
        <f>IFERROR(__xludf.DUMMYFUNCTION("""COMPUTED_VALUE"""),"Orlando Urdaneta Rincon ")</f>
        <v>Orlando Urdaneta Rincon </v>
      </c>
      <c r="C4676" s="15" t="str">
        <f>IFERROR(__xludf.DUMMYFUNCTION("""COMPUTED_VALUE"""),"SANTA MARTA")</f>
        <v>SANTA MARTA</v>
      </c>
      <c r="D4676" s="15" t="str">
        <f>IFERROR(__xludf.DUMMYFUNCTION("""COMPUTED_VALUE"""),"BOGOTÁ")</f>
        <v>BOGOTÁ</v>
      </c>
      <c r="E4676" s="15" t="str">
        <f>IFERROR(__xludf.DUMMYFUNCTION("""COMPUTED_VALUE"""),"Evamazzita")</f>
        <v>Evamazzita</v>
      </c>
      <c r="F4676" s="17" t="str">
        <f>IFERROR(__xludf.DUMMYFUNCTION("""COMPUTED_VALUE"""),"Avenida del Rio, Calle 29#25-67 / Diagonal al puente de las Malvinas  / Barrio Villa De Rio")</f>
        <v>Avenida del Rio, Calle 29#25-67 / Diagonal al puente de las Malvinas  / Barrio Villa De Rio</v>
      </c>
      <c r="G4676" s="15" t="str">
        <f>IFERROR(__xludf.DUMMYFUNCTION("""COMPUTED_VALUE"""),"EVELIN VANEGAS LUNA")</f>
        <v>EVELIN VANEGAS LUNA</v>
      </c>
      <c r="H4676" s="16">
        <f>IFERROR(__xludf.DUMMYFUNCTION("""COMPUTED_VALUE"""),13297.0)</f>
        <v>13297</v>
      </c>
      <c r="I4676" s="18">
        <f>IFERROR(__xludf.DUMMYFUNCTION("""COMPUTED_VALUE"""),10.0)</f>
        <v>10</v>
      </c>
      <c r="J4676" s="18">
        <f>IFERROR(__xludf.DUMMYFUNCTION("""COMPUTED_VALUE"""),22.0)</f>
        <v>22</v>
      </c>
      <c r="K4676" s="18">
        <f>IFERROR(__xludf.DUMMYFUNCTION("""COMPUTED_VALUE"""),10.0)</f>
        <v>10</v>
      </c>
      <c r="L4676" s="17">
        <f>IFERROR(__xludf.DUMMYFUNCTION("""COMPUTED_VALUE"""),3.003259661E9)</f>
        <v>3003259661</v>
      </c>
      <c r="M4676" s="17" t="str">
        <f>IFERROR(__xludf.DUMMYFUNCTION("""COMPUTED_VALUE"""),"#REF!")</f>
        <v>#REF!</v>
      </c>
      <c r="N4676" s="17"/>
      <c r="O4676" s="17"/>
      <c r="P4676" s="17" t="b">
        <f>IFERROR(__xludf.DUMMYFUNCTION("""COMPUTED_VALUE"""),TRUE)</f>
        <v>1</v>
      </c>
      <c r="Q4676" s="20">
        <f>IFERROR(__xludf.DUMMYFUNCTION("""COMPUTED_VALUE"""),45139.58395128472)</f>
        <v>45139.58395</v>
      </c>
      <c r="R4676" s="21" t="str">
        <f>IFERROR(__xludf.DUMMYFUNCTION("""COMPUTED_VALUE"""),"https://drive.google.com/file/d/1uBq4IERv3oqYC2NBmql0AhoHr5b8HYUn/view?usp=drivesdk")</f>
        <v>https://drive.google.com/file/d/1uBq4IERv3oqYC2NBmql0AhoHr5b8HYUn/view?usp=drivesdk</v>
      </c>
    </row>
    <row r="4677">
      <c r="A4677" s="15">
        <f>IFERROR(__xludf.DUMMYFUNCTION("""COMPUTED_VALUE"""),45135.0)</f>
        <v>45135</v>
      </c>
      <c r="B4677" s="16" t="str">
        <f>IFERROR(__xludf.DUMMYFUNCTION("""COMPUTED_VALUE"""),"Orlando Urdaneta Rincon ")</f>
        <v>Orlando Urdaneta Rincon </v>
      </c>
      <c r="C4677" s="15" t="str">
        <f>IFERROR(__xludf.DUMMYFUNCTION("""COMPUTED_VALUE"""),"SANTA MARTA")</f>
        <v>SANTA MARTA</v>
      </c>
      <c r="D4677" s="15" t="str">
        <f>IFERROR(__xludf.DUMMYFUNCTION("""COMPUTED_VALUE"""),"BOGOTÁ")</f>
        <v>BOGOTÁ</v>
      </c>
      <c r="E4677" s="15" t="str">
        <f>IFERROR(__xludf.DUMMYFUNCTION("""COMPUTED_VALUE"""),"Ins. Alimento Vital")</f>
        <v>Ins. Alimento Vital</v>
      </c>
      <c r="F4677" s="17" t="str">
        <f>IFERROR(__xludf.DUMMYFUNCTION("""COMPUTED_VALUE"""),"CR 1B 26A 109 / EDIFICIO ALMIRANTE APTO 501 / EDIFICIO ALMIRANTE")</f>
        <v>CR 1B 26A 109 / EDIFICIO ALMIRANTE APTO 501 / EDIFICIO ALMIRANTE</v>
      </c>
      <c r="G4677" s="15" t="str">
        <f>IFERROR(__xludf.DUMMYFUNCTION("""COMPUTED_VALUE"""),"VERONICA GOMEZ DE ZUBIRIA")</f>
        <v>VERONICA GOMEZ DE ZUBIRIA</v>
      </c>
      <c r="H4677" s="16">
        <f>IFERROR(__xludf.DUMMYFUNCTION("""COMPUTED_VALUE"""),13291.0)</f>
        <v>13291</v>
      </c>
      <c r="I4677" s="18">
        <f>IFERROR(__xludf.DUMMYFUNCTION("""COMPUTED_VALUE"""),1.0)</f>
        <v>1</v>
      </c>
      <c r="J4677" s="18">
        <f>IFERROR(__xludf.DUMMYFUNCTION("""COMPUTED_VALUE"""),1.0)</f>
        <v>1</v>
      </c>
      <c r="K4677" s="18">
        <f>IFERROR(__xludf.DUMMYFUNCTION("""COMPUTED_VALUE"""),1.0)</f>
        <v>1</v>
      </c>
      <c r="L4677" s="17">
        <f>IFERROR(__xludf.DUMMYFUNCTION("""COMPUTED_VALUE"""),3.107893555E9)</f>
        <v>3107893555</v>
      </c>
      <c r="M4677" s="17" t="str">
        <f>IFERROR(__xludf.DUMMYFUNCTION("""COMPUTED_VALUE"""),"#REF!")</f>
        <v>#REF!</v>
      </c>
      <c r="N4677" s="17"/>
      <c r="O4677" s="17"/>
      <c r="P4677" s="17" t="b">
        <f>IFERROR(__xludf.DUMMYFUNCTION("""COMPUTED_VALUE"""),TRUE)</f>
        <v>1</v>
      </c>
      <c r="Q4677" s="20">
        <f>IFERROR(__xludf.DUMMYFUNCTION("""COMPUTED_VALUE"""),45139.46700512731)</f>
        <v>45139.46701</v>
      </c>
      <c r="R4677" s="22" t="str">
        <f>IFERROR(__xludf.DUMMYFUNCTION("""COMPUTED_VALUE"""),"")</f>
        <v/>
      </c>
    </row>
    <row r="4678">
      <c r="A4678" s="15">
        <f>IFERROR(__xludf.DUMMYFUNCTION("""COMPUTED_VALUE"""),45135.0)</f>
        <v>45135</v>
      </c>
      <c r="B4678" s="16" t="str">
        <f>IFERROR(__xludf.DUMMYFUNCTION("""COMPUTED_VALUE"""),"Orlando Urdaneta Rincon ")</f>
        <v>Orlando Urdaneta Rincon </v>
      </c>
      <c r="C4678" s="15" t="str">
        <f>IFERROR(__xludf.DUMMYFUNCTION("""COMPUTED_VALUE"""),"SANTA MARTA")</f>
        <v>SANTA MARTA</v>
      </c>
      <c r="D4678" s="15" t="str">
        <f>IFERROR(__xludf.DUMMYFUNCTION("""COMPUTED_VALUE"""),"BUCARAMANGA")</f>
        <v>BUCARAMANGA</v>
      </c>
      <c r="E4678" s="15" t="str">
        <f>IFERROR(__xludf.DUMMYFUNCTION("""COMPUTED_VALUE"""),"Yo Como Solito")</f>
        <v>Yo Como Solito</v>
      </c>
      <c r="F4678" s="17" t="str">
        <f>IFERROR(__xludf.DUMMYFUNCTION("""COMPUTED_VALUE"""),"Calle 22 # 17-10 apto 202 Barrio: Alcázares. Santa Marta- Magdalena  / Calle 22 # 17-10 apto 202 Barrio: Alcázares. Santa Marta- Magdalena  / Calle 22 # 17-10 apto 202 Barrio: Alcázares. Santa Marta- Magdalena")</f>
        <v>Calle 22 # 17-10 apto 202 Barrio: Alcázares. Santa Marta- Magdalena  / Calle 22 # 17-10 apto 202 Barrio: Alcázares. Santa Marta- Magdalena  / Calle 22 # 17-10 apto 202 Barrio: Alcázares. Santa Marta- Magdalena</v>
      </c>
      <c r="G4678" s="15" t="str">
        <f>IFERROR(__xludf.DUMMYFUNCTION("""COMPUTED_VALUE"""),"MARÍA ANGÉLICA RINCÓN DÍAZ")</f>
        <v>MARÍA ANGÉLICA RINCÓN DÍAZ</v>
      </c>
      <c r="H4678" s="16">
        <f>IFERROR(__xludf.DUMMYFUNCTION("""COMPUTED_VALUE"""),13268.0)</f>
        <v>13268</v>
      </c>
      <c r="I4678" s="18">
        <f>IFERROR(__xludf.DUMMYFUNCTION("""COMPUTED_VALUE"""),13.0)</f>
        <v>13</v>
      </c>
      <c r="J4678" s="18">
        <f>IFERROR(__xludf.DUMMYFUNCTION("""COMPUTED_VALUE"""),27.0)</f>
        <v>27</v>
      </c>
      <c r="K4678" s="18">
        <f>IFERROR(__xludf.DUMMYFUNCTION("""COMPUTED_VALUE"""),36.0)</f>
        <v>36</v>
      </c>
      <c r="L4678" s="17">
        <f>IFERROR(__xludf.DUMMYFUNCTION("""COMPUTED_VALUE"""),3.002700385E9)</f>
        <v>3002700385</v>
      </c>
      <c r="M4678" s="17" t="str">
        <f>IFERROR(__xludf.DUMMYFUNCTION("""COMPUTED_VALUE"""),"#REF!")</f>
        <v>#REF!</v>
      </c>
      <c r="N4678" s="17"/>
      <c r="O4678" s="17"/>
      <c r="P4678" s="17" t="b">
        <f>IFERROR(__xludf.DUMMYFUNCTION("""COMPUTED_VALUE"""),TRUE)</f>
        <v>1</v>
      </c>
      <c r="Q4678" s="20">
        <f>IFERROR(__xludf.DUMMYFUNCTION("""COMPUTED_VALUE"""),45139.46700512731)</f>
        <v>45139.46701</v>
      </c>
      <c r="R4678" s="21" t="str">
        <f>IFERROR(__xludf.DUMMYFUNCTION("""COMPUTED_VALUE"""),"https://drive.google.com/file/d/1-jNFzf5bpn1uXWnkmuUyHySJcndy1X6j/view?usp=drivesdk")</f>
        <v>https://drive.google.com/file/d/1-jNFzf5bpn1uXWnkmuUyHySJcndy1X6j/view?usp=drivesdk</v>
      </c>
    </row>
    <row r="4679">
      <c r="A4679" s="15">
        <f>IFERROR(__xludf.DUMMYFUNCTION("""COMPUTED_VALUE"""),45135.0)</f>
        <v>45135</v>
      </c>
      <c r="B4679" s="16" t="str">
        <f>IFERROR(__xludf.DUMMYFUNCTION("""COMPUTED_VALUE"""),"Orlando Urdaneta Rincon ")</f>
        <v>Orlando Urdaneta Rincon </v>
      </c>
      <c r="C4679" s="15" t="str">
        <f>IFERROR(__xludf.DUMMYFUNCTION("""COMPUTED_VALUE"""),"SANTA MARTA")</f>
        <v>SANTA MARTA</v>
      </c>
      <c r="D4679" s="15" t="str">
        <f>IFERROR(__xludf.DUMMYFUNCTION("""COMPUTED_VALUE"""),"MEDELLÍN")</f>
        <v>MEDELLÍN</v>
      </c>
      <c r="E4679" s="15" t="str">
        <f>IFERROR(__xludf.DUMMYFUNCTION("""COMPUTED_VALUE"""),"Baby Chef")</f>
        <v>Baby Chef</v>
      </c>
      <c r="F4679" s="17" t="str">
        <f>IFERROR(__xludf.DUMMYFUNCTION("""COMPUTED_VALUE"""),"Carrera 1a#23-84 edificio ancon apto 702  Barrio los cocos - Santa Marta  / ""Carrera 1a#23-84 edificio ancon apto 702  Barrio los cocos - Santa Marta "" / ""Carrera 1a#23-84 edificio ancon apto 702  Barrio los cocos - Santa Marta """)</f>
        <v>Carrera 1a#23-84 edificio ancon apto 702  Barrio los cocos - Santa Marta  / "Carrera 1a#23-84 edificio ancon apto 702  Barrio los cocos - Santa Marta " / "Carrera 1a#23-84 edificio ancon apto 702  Barrio los cocos - Santa Marta "</v>
      </c>
      <c r="G4679" s="15" t="str">
        <f>IFERROR(__xludf.DUMMYFUNCTION("""COMPUTED_VALUE"""),"Estefanía Ruiz")</f>
        <v>Estefanía Ruiz</v>
      </c>
      <c r="H4679" s="16">
        <f>IFERROR(__xludf.DUMMYFUNCTION("""COMPUTED_VALUE"""),13342.0)</f>
        <v>13342</v>
      </c>
      <c r="I4679" s="18">
        <f>IFERROR(__xludf.DUMMYFUNCTION("""COMPUTED_VALUE"""),8.0)</f>
        <v>8</v>
      </c>
      <c r="J4679" s="18">
        <f>IFERROR(__xludf.DUMMYFUNCTION("""COMPUTED_VALUE"""),45.0)</f>
        <v>45</v>
      </c>
      <c r="K4679" s="18">
        <f>IFERROR(__xludf.DUMMYFUNCTION("""COMPUTED_VALUE"""),35.0)</f>
        <v>35</v>
      </c>
      <c r="L4679" s="17">
        <f>IFERROR(__xludf.DUMMYFUNCTION("""COMPUTED_VALUE"""),3.146758961E9)</f>
        <v>3146758961</v>
      </c>
      <c r="M4679" s="17" t="str">
        <f>IFERROR(__xludf.DUMMYFUNCTION("""COMPUTED_VALUE"""),"#REF!")</f>
        <v>#REF!</v>
      </c>
      <c r="N4679" s="17"/>
      <c r="O4679" s="17"/>
      <c r="P4679" s="17" t="b">
        <f>IFERROR(__xludf.DUMMYFUNCTION("""COMPUTED_VALUE"""),TRUE)</f>
        <v>1</v>
      </c>
      <c r="Q4679" s="20">
        <f>IFERROR(__xludf.DUMMYFUNCTION("""COMPUTED_VALUE"""),45139.58310185185)</f>
        <v>45139.5831</v>
      </c>
      <c r="R4679" s="21" t="str">
        <f>IFERROR(__xludf.DUMMYFUNCTION("""COMPUTED_VALUE"""),"https://drive.google.com/file/d/1ynzvXeMqOLa3kMey3syY94OfD-jM0A-_/view?usp=drivesdk")</f>
        <v>https://drive.google.com/file/d/1ynzvXeMqOLa3kMey3syY94OfD-jM0A-_/view?usp=drivesdk</v>
      </c>
    </row>
    <row r="4680">
      <c r="A4680" s="17" t="str">
        <f>IFERROR(__xludf.DUMMYFUNCTION("""COMPUTED_VALUE"""),"")</f>
        <v/>
      </c>
      <c r="B4680" s="17" t="str">
        <f>IFERROR(__xludf.DUMMYFUNCTION("""COMPUTED_VALUE"""),"")</f>
        <v/>
      </c>
      <c r="C4680" s="17" t="str">
        <f>IFERROR(__xludf.DUMMYFUNCTION("""COMPUTED_VALUE"""),"")</f>
        <v/>
      </c>
      <c r="D4680" s="17" t="str">
        <f>IFERROR(__xludf.DUMMYFUNCTION("""COMPUTED_VALUE"""),"")</f>
        <v/>
      </c>
      <c r="E4680" s="17" t="str">
        <f>IFERROR(__xludf.DUMMYFUNCTION("""COMPUTED_VALUE"""),"")</f>
        <v/>
      </c>
      <c r="F4680" s="17" t="str">
        <f>IFERROR(__xludf.DUMMYFUNCTION("""COMPUTED_VALUE"""),"")</f>
        <v/>
      </c>
      <c r="G4680" s="17" t="str">
        <f>IFERROR(__xludf.DUMMYFUNCTION("""COMPUTED_VALUE"""),"")</f>
        <v/>
      </c>
      <c r="H4680" s="17" t="str">
        <f>IFERROR(__xludf.DUMMYFUNCTION("""COMPUTED_VALUE"""),"")</f>
        <v/>
      </c>
      <c r="I4680" s="17" t="str">
        <f>IFERROR(__xludf.DUMMYFUNCTION("""COMPUTED_VALUE"""),"")</f>
        <v/>
      </c>
      <c r="J4680" s="17" t="str">
        <f>IFERROR(__xludf.DUMMYFUNCTION("""COMPUTED_VALUE"""),"")</f>
        <v/>
      </c>
      <c r="K4680" s="17" t="str">
        <f>IFERROR(__xludf.DUMMYFUNCTION("""COMPUTED_VALUE"""),"")</f>
        <v/>
      </c>
      <c r="L4680" s="17" t="str">
        <f>IFERROR(__xludf.DUMMYFUNCTION("""COMPUTED_VALUE"""),"")</f>
        <v/>
      </c>
      <c r="M4680" s="17" t="str">
        <f>IFERROR(__xludf.DUMMYFUNCTION("""COMPUTED_VALUE"""),"")</f>
        <v/>
      </c>
      <c r="N4680" s="17" t="str">
        <f>IFERROR(__xludf.DUMMYFUNCTION("""COMPUTED_VALUE"""),"")</f>
        <v/>
      </c>
      <c r="O4680" s="17" t="str">
        <f>IFERROR(__xludf.DUMMYFUNCTION("""COMPUTED_VALUE"""),"")</f>
        <v/>
      </c>
      <c r="P4680" s="17" t="str">
        <f>IFERROR(__xludf.DUMMYFUNCTION("""COMPUTED_VALUE"""),"")</f>
        <v/>
      </c>
      <c r="Q4680" s="17" t="str">
        <f>IFERROR(__xludf.DUMMYFUNCTION("""COMPUTED_VALUE"""),"")</f>
        <v/>
      </c>
      <c r="R4680" s="17" t="str">
        <f>IFERROR(__xludf.DUMMYFUNCTION("""COMPUTED_VALUE"""),"")</f>
        <v/>
      </c>
    </row>
    <row r="4681">
      <c r="A4681" s="15">
        <f>IFERROR(__xludf.DUMMYFUNCTION("""COMPUTED_VALUE"""),45139.0)</f>
        <v>45139</v>
      </c>
      <c r="B4681" s="17"/>
      <c r="C4681" s="15" t="str">
        <f>IFERROR(__xludf.DUMMYFUNCTION("""COMPUTED_VALUE"""),"BUCARAMANGA")</f>
        <v>BUCARAMANGA</v>
      </c>
      <c r="D4681" s="15" t="str">
        <f>IFERROR(__xludf.DUMMYFUNCTION("""COMPUTED_VALUE"""),"MEDELLÍN")</f>
        <v>MEDELLÍN</v>
      </c>
      <c r="E4681" s="15" t="str">
        <f>IFERROR(__xludf.DUMMYFUNCTION("""COMPUTED_VALUE"""),"Helados swip")</f>
        <v>Helados swip</v>
      </c>
      <c r="F4681" s="17" t="str">
        <f>IFERROR(__xludf.DUMMYFUNCTION("""COMPUTED_VALUE"""),"CALLE 52# 37-12 / MERCADO SALUDABLE MULTIFIT / CABECERA MUNICIPAL")</f>
        <v>CALLE 52# 37-12 / MERCADO SALUDABLE MULTIFIT / CABECERA MUNICIPAL</v>
      </c>
      <c r="G4681" s="15" t="str">
        <f>IFERROR(__xludf.DUMMYFUNCTION("""COMPUTED_VALUE"""),"MULTIFIT - OSCAR RINCON")</f>
        <v>MULTIFIT - OSCAR RINCON</v>
      </c>
      <c r="H4681" s="16">
        <f>IFERROR(__xludf.DUMMYFUNCTION("""COMPUTED_VALUE"""),13415.0)</f>
        <v>13415</v>
      </c>
      <c r="I4681" s="18">
        <f>IFERROR(__xludf.DUMMYFUNCTION("""COMPUTED_VALUE"""),29.0)</f>
        <v>29</v>
      </c>
      <c r="J4681" s="18">
        <f>IFERROR(__xludf.DUMMYFUNCTION("""COMPUTED_VALUE"""),55.0)</f>
        <v>55</v>
      </c>
      <c r="K4681" s="18">
        <f>IFERROR(__xludf.DUMMYFUNCTION("""COMPUTED_VALUE"""),45.0)</f>
        <v>45</v>
      </c>
      <c r="L4681" s="17">
        <f>IFERROR(__xludf.DUMMYFUNCTION("""COMPUTED_VALUE"""),3.158785729E9)</f>
        <v>3158785729</v>
      </c>
      <c r="M4681" s="17" t="str">
        <f>IFERROR(__xludf.DUMMYFUNCTION("""COMPUTED_VALUE"""),"#REF!")</f>
        <v>#REF!</v>
      </c>
      <c r="N4681" s="17"/>
      <c r="O4681" s="17"/>
      <c r="P4681" s="17" t="b">
        <f>IFERROR(__xludf.DUMMYFUNCTION("""COMPUTED_VALUE"""),TRUE)</f>
        <v>1</v>
      </c>
      <c r="Q4681" s="20">
        <f>IFERROR(__xludf.DUMMYFUNCTION("""COMPUTED_VALUE"""),45139.63875189815)</f>
        <v>45139.63875</v>
      </c>
      <c r="R4681" s="22" t="str">
        <f>IFERROR(__xludf.DUMMYFUNCTION("""COMPUTED_VALUE"""),"")</f>
        <v/>
      </c>
    </row>
    <row r="4682">
      <c r="A4682" s="15">
        <f>IFERROR(__xludf.DUMMYFUNCTION("""COMPUTED_VALUE"""),45139.0)</f>
        <v>45139</v>
      </c>
      <c r="B4682" s="17"/>
      <c r="C4682" s="15" t="str">
        <f>IFERROR(__xludf.DUMMYFUNCTION("""COMPUTED_VALUE"""),"MEDELLÍN")</f>
        <v>MEDELLÍN</v>
      </c>
      <c r="D4682" s="15" t="str">
        <f>IFERROR(__xludf.DUMMYFUNCTION("""COMPUTED_VALUE"""),"BOGOTÁ")</f>
        <v>BOGOTÁ</v>
      </c>
      <c r="E4682" s="15" t="str">
        <f>IFERROR(__xludf.DUMMYFUNCTION("""COMPUTED_VALUE"""),"Asociacion Agropecuaria Juana Maria")</f>
        <v>Asociacion Agropecuaria Juana Maria</v>
      </c>
      <c r="F4682" s="17" t="str">
        <f>IFERROR(__xludf.DUMMYFUNCTION("""COMPUTED_VALUE"""),"Av 31 # 66-29 apto 1517 torre 2 urbanizacion Cerro Azul Niquia Terranova. Bello antioquia")</f>
        <v>Av 31 # 66-29 apto 1517 torre 2 urbanizacion Cerro Azul Niquia Terranova. Bello antioquia</v>
      </c>
      <c r="G4682" s="15" t="str">
        <f>IFERROR(__xludf.DUMMYFUNCTION("""COMPUTED_VALUE"""),"Marcela Rendon")</f>
        <v>Marcela Rendon</v>
      </c>
      <c r="H4682" s="16">
        <f>IFERROR(__xludf.DUMMYFUNCTION("""COMPUTED_VALUE"""),13391.0)</f>
        <v>13391</v>
      </c>
      <c r="I4682" s="18">
        <f>IFERROR(__xludf.DUMMYFUNCTION("""COMPUTED_VALUE"""),25.0)</f>
        <v>25</v>
      </c>
      <c r="J4682" s="18">
        <f>IFERROR(__xludf.DUMMYFUNCTION("""COMPUTED_VALUE"""),18.0)</f>
        <v>18</v>
      </c>
      <c r="K4682" s="18">
        <f>IFERROR(__xludf.DUMMYFUNCTION("""COMPUTED_VALUE"""),3.0)</f>
        <v>3</v>
      </c>
      <c r="L4682" s="17">
        <f>IFERROR(__xludf.DUMMYFUNCTION("""COMPUTED_VALUE"""),3.20755633E9)</f>
        <v>3207556330</v>
      </c>
      <c r="M4682" s="17" t="str">
        <f>IFERROR(__xludf.DUMMYFUNCTION("""COMPUTED_VALUE"""),"#REF!")</f>
        <v>#REF!</v>
      </c>
      <c r="N4682" s="17"/>
      <c r="O4682" s="17"/>
      <c r="P4682" s="17" t="b">
        <f>IFERROR(__xludf.DUMMYFUNCTION("""COMPUTED_VALUE"""),TRUE)</f>
        <v>1</v>
      </c>
      <c r="Q4682" s="20">
        <f>IFERROR(__xludf.DUMMYFUNCTION("""COMPUTED_VALUE"""),45139.63869390046)</f>
        <v>45139.63869</v>
      </c>
      <c r="R4682" s="22" t="str">
        <f>IFERROR(__xludf.DUMMYFUNCTION("""COMPUTED_VALUE"""),"")</f>
        <v/>
      </c>
    </row>
    <row r="4683">
      <c r="A4683" s="15">
        <f>IFERROR(__xludf.DUMMYFUNCTION("""COMPUTED_VALUE"""),45139.0)</f>
        <v>45139</v>
      </c>
      <c r="B4683" s="17"/>
      <c r="C4683" s="15" t="str">
        <f>IFERROR(__xludf.DUMMYFUNCTION("""COMPUTED_VALUE"""),"MEDELLÍN")</f>
        <v>MEDELLÍN</v>
      </c>
      <c r="D4683" s="15" t="str">
        <f>IFERROR(__xludf.DUMMYFUNCTION("""COMPUTED_VALUE"""),"BOGOTÁ")</f>
        <v>BOGOTÁ</v>
      </c>
      <c r="E4683" s="15" t="str">
        <f>IFERROR(__xludf.DUMMYFUNCTION("""COMPUTED_VALUE"""),"Asociacion Agropecuaria Juana Maria")</f>
        <v>Asociacion Agropecuaria Juana Maria</v>
      </c>
      <c r="F4683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683" s="15" t="str">
        <f>IFERROR(__xludf.DUMMYFUNCTION("""COMPUTED_VALUE"""),"Jennifer Sanchez Blandon")</f>
        <v>Jennifer Sanchez Blandon</v>
      </c>
      <c r="H4683" s="16">
        <f>IFERROR(__xludf.DUMMYFUNCTION("""COMPUTED_VALUE"""),13388.0)</f>
        <v>13388</v>
      </c>
      <c r="I4683" s="18">
        <f>IFERROR(__xludf.DUMMYFUNCTION("""COMPUTED_VALUE"""),21.0)</f>
        <v>21</v>
      </c>
      <c r="J4683" s="18">
        <f>IFERROR(__xludf.DUMMYFUNCTION("""COMPUTED_VALUE"""),37.0)</f>
        <v>37</v>
      </c>
      <c r="K4683" s="18">
        <f>IFERROR(__xludf.DUMMYFUNCTION("""COMPUTED_VALUE"""),30.0)</f>
        <v>30</v>
      </c>
      <c r="L4683" s="17">
        <f>IFERROR(__xludf.DUMMYFUNCTION("""COMPUTED_VALUE"""),3.016937674E9)</f>
        <v>3016937674</v>
      </c>
      <c r="M4683" s="17" t="str">
        <f>IFERROR(__xludf.DUMMYFUNCTION("""COMPUTED_VALUE"""),"#REF!")</f>
        <v>#REF!</v>
      </c>
      <c r="N4683" s="17"/>
      <c r="O4683" s="17"/>
      <c r="P4683" s="17" t="b">
        <f>IFERROR(__xludf.DUMMYFUNCTION("""COMPUTED_VALUE"""),TRUE)</f>
        <v>1</v>
      </c>
      <c r="Q4683" s="20">
        <f>IFERROR(__xludf.DUMMYFUNCTION("""COMPUTED_VALUE"""),45139.58342306713)</f>
        <v>45139.58342</v>
      </c>
      <c r="R4683" s="22" t="str">
        <f>IFERROR(__xludf.DUMMYFUNCTION("""COMPUTED_VALUE"""),"")</f>
        <v/>
      </c>
    </row>
    <row r="4684">
      <c r="A4684" s="15">
        <f>IFERROR(__xludf.DUMMYFUNCTION("""COMPUTED_VALUE"""),45139.0)</f>
        <v>45139</v>
      </c>
      <c r="B4684" s="17"/>
      <c r="C4684" s="15" t="str">
        <f>IFERROR(__xludf.DUMMYFUNCTION("""COMPUTED_VALUE"""),"MEDELLÍN")</f>
        <v>MEDELLÍN</v>
      </c>
      <c r="D4684" s="15" t="str">
        <f>IFERROR(__xludf.DUMMYFUNCTION("""COMPUTED_VALUE"""),"BOGOTÁ")</f>
        <v>BOGOTÁ</v>
      </c>
      <c r="E4684" s="15" t="str">
        <f>IFERROR(__xludf.DUMMYFUNCTION("""COMPUTED_VALUE"""),"Asociacion Agropecuaria Juana Maria")</f>
        <v>Asociacion Agropecuaria Juana Maria</v>
      </c>
      <c r="F4684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4684" s="15" t="str">
        <f>IFERROR(__xludf.DUMMYFUNCTION("""COMPUTED_VALUE"""),"Jennifer Sanchez Blandon")</f>
        <v>Jennifer Sanchez Blandon</v>
      </c>
      <c r="H4684" s="16">
        <f>IFERROR(__xludf.DUMMYFUNCTION("""COMPUTED_VALUE"""),13389.0)</f>
        <v>13389</v>
      </c>
      <c r="I4684" s="18">
        <f>IFERROR(__xludf.DUMMYFUNCTION("""COMPUTED_VALUE"""),16.0)</f>
        <v>16</v>
      </c>
      <c r="J4684" s="18">
        <f>IFERROR(__xludf.DUMMYFUNCTION("""COMPUTED_VALUE"""),34.0)</f>
        <v>34</v>
      </c>
      <c r="K4684" s="18">
        <f>IFERROR(__xludf.DUMMYFUNCTION("""COMPUTED_VALUE"""),25.0)</f>
        <v>25</v>
      </c>
      <c r="L4684" s="17">
        <f>IFERROR(__xludf.DUMMYFUNCTION("""COMPUTED_VALUE"""),3.016937674E9)</f>
        <v>3016937674</v>
      </c>
      <c r="M4684" s="17" t="str">
        <f>IFERROR(__xludf.DUMMYFUNCTION("""COMPUTED_VALUE"""),"#REF!")</f>
        <v>#REF!</v>
      </c>
      <c r="N4684" s="17"/>
      <c r="O4684" s="17"/>
      <c r="P4684" s="17" t="b">
        <f>IFERROR(__xludf.DUMMYFUNCTION("""COMPUTED_VALUE"""),TRUE)</f>
        <v>1</v>
      </c>
      <c r="Q4684" s="20">
        <f>IFERROR(__xludf.DUMMYFUNCTION("""COMPUTED_VALUE"""),45139.583502951384)</f>
        <v>45139.5835</v>
      </c>
      <c r="R4684" s="22" t="str">
        <f>IFERROR(__xludf.DUMMYFUNCTION("""COMPUTED_VALUE"""),"")</f>
        <v/>
      </c>
    </row>
    <row r="4685">
      <c r="A4685" s="15">
        <f>IFERROR(__xludf.DUMMYFUNCTION("""COMPUTED_VALUE"""),45139.0)</f>
        <v>45139</v>
      </c>
      <c r="B4685" s="17"/>
      <c r="C4685" s="15" t="str">
        <f>IFERROR(__xludf.DUMMYFUNCTION("""COMPUTED_VALUE"""),"MEDELLÍN")</f>
        <v>MEDELLÍN</v>
      </c>
      <c r="D4685" s="15" t="str">
        <f>IFERROR(__xludf.DUMMYFUNCTION("""COMPUTED_VALUE"""),"BOGOTÁ")</f>
        <v>BOGOTÁ</v>
      </c>
      <c r="E4685" s="15" t="str">
        <f>IFERROR(__xludf.DUMMYFUNCTION("""COMPUTED_VALUE"""),"Evamazzita")</f>
        <v>Evamazzita</v>
      </c>
      <c r="F4685" s="17" t="str">
        <f>IFERROR(__xludf.DUMMYFUNCTION("""COMPUTED_VALUE"""),"Calle 14 #75-13 / Apto 712/ Bosques de San Bernardo / Belen San bernardo")</f>
        <v>Calle 14 #75-13 / Apto 712/ Bosques de San Bernardo / Belen San bernardo</v>
      </c>
      <c r="G4685" s="15" t="str">
        <f>IFERROR(__xludf.DUMMYFUNCTION("""COMPUTED_VALUE"""),"ELIANA MILENA GARCIA GOMEZ")</f>
        <v>ELIANA MILENA GARCIA GOMEZ</v>
      </c>
      <c r="H4685" s="16">
        <f>IFERROR(__xludf.DUMMYFUNCTION("""COMPUTED_VALUE"""),13438.0)</f>
        <v>13438</v>
      </c>
      <c r="I4685" s="18">
        <f>IFERROR(__xludf.DUMMYFUNCTION("""COMPUTED_VALUE"""),1.0)</f>
        <v>1</v>
      </c>
      <c r="J4685" s="18">
        <f>IFERROR(__xludf.DUMMYFUNCTION("""COMPUTED_VALUE"""),1.0)</f>
        <v>1</v>
      </c>
      <c r="K4685" s="18">
        <f>IFERROR(__xludf.DUMMYFUNCTION("""COMPUTED_VALUE"""),1.0)</f>
        <v>1</v>
      </c>
      <c r="L4685" s="17">
        <f>IFERROR(__xludf.DUMMYFUNCTION("""COMPUTED_VALUE"""),3.206743244E9)</f>
        <v>3206743244</v>
      </c>
      <c r="M4685" s="17" t="str">
        <f>IFERROR(__xludf.DUMMYFUNCTION("""COMPUTED_VALUE"""),"#REF!")</f>
        <v>#REF!</v>
      </c>
      <c r="N4685" s="17"/>
      <c r="O4685" s="17"/>
      <c r="P4685" s="17" t="b">
        <f>IFERROR(__xludf.DUMMYFUNCTION("""COMPUTED_VALUE"""),TRUE)</f>
        <v>1</v>
      </c>
      <c r="Q4685" s="20">
        <f>IFERROR(__xludf.DUMMYFUNCTION("""COMPUTED_VALUE"""),45139.638601886574)</f>
        <v>45139.6386</v>
      </c>
      <c r="R4685" s="22" t="str">
        <f>IFERROR(__xludf.DUMMYFUNCTION("""COMPUTED_VALUE"""),"")</f>
        <v/>
      </c>
    </row>
    <row r="4686">
      <c r="A4686" s="15">
        <f>IFERROR(__xludf.DUMMYFUNCTION("""COMPUTED_VALUE"""),45139.0)</f>
        <v>45139</v>
      </c>
      <c r="B4686" s="17"/>
      <c r="C4686" s="15" t="str">
        <f>IFERROR(__xludf.DUMMYFUNCTION("""COMPUTED_VALUE"""),"MEDELLÍN")</f>
        <v>MEDELLÍN</v>
      </c>
      <c r="D4686" s="15" t="str">
        <f>IFERROR(__xludf.DUMMYFUNCTION("""COMPUTED_VALUE"""),"BOGOTÁ")</f>
        <v>BOGOTÁ</v>
      </c>
      <c r="E4686" s="15" t="str">
        <f>IFERROR(__xludf.DUMMYFUNCTION("""COMPUTED_VALUE"""),"Evamazzita")</f>
        <v>Evamazzita</v>
      </c>
      <c r="F4686" s="17" t="str">
        <f>IFERROR(__xludf.DUMMYFUNCTION("""COMPUTED_VALUE"""),"Calle 34 #82-33 / Edificio Sky/apto 201 / La castellana / llamar al celular")</f>
        <v>Calle 34 #82-33 / Edificio Sky/apto 201 / La castellana / llamar al celular</v>
      </c>
      <c r="G4686" s="15" t="str">
        <f>IFERROR(__xludf.DUMMYFUNCTION("""COMPUTED_VALUE"""),"LILIANA MARIA RAMIREZ ZAPATA")</f>
        <v>LILIANA MARIA RAMIREZ ZAPATA</v>
      </c>
      <c r="H4686" s="16">
        <f>IFERROR(__xludf.DUMMYFUNCTION("""COMPUTED_VALUE"""),13439.0)</f>
        <v>13439</v>
      </c>
      <c r="I4686" s="18">
        <f>IFERROR(__xludf.DUMMYFUNCTION("""COMPUTED_VALUE"""),1.0)</f>
        <v>1</v>
      </c>
      <c r="J4686" s="18">
        <f>IFERROR(__xludf.DUMMYFUNCTION("""COMPUTED_VALUE"""),1.0)</f>
        <v>1</v>
      </c>
      <c r="K4686" s="18">
        <f>IFERROR(__xludf.DUMMYFUNCTION("""COMPUTED_VALUE"""),1.0)</f>
        <v>1</v>
      </c>
      <c r="L4686" s="17">
        <f>IFERROR(__xludf.DUMMYFUNCTION("""COMPUTED_VALUE"""),3.106239761E9)</f>
        <v>3106239761</v>
      </c>
      <c r="M4686" s="17" t="str">
        <f>IFERROR(__xludf.DUMMYFUNCTION("""COMPUTED_VALUE"""),"#REF!")</f>
        <v>#REF!</v>
      </c>
      <c r="N4686" s="17"/>
      <c r="O4686" s="17"/>
      <c r="P4686" s="17" t="b">
        <f>IFERROR(__xludf.DUMMYFUNCTION("""COMPUTED_VALUE"""),TRUE)</f>
        <v>1</v>
      </c>
      <c r="Q4686" s="20">
        <f>IFERROR(__xludf.DUMMYFUNCTION("""COMPUTED_VALUE"""),45139.58333702546)</f>
        <v>45139.58334</v>
      </c>
      <c r="R4686" s="22" t="str">
        <f>IFERROR(__xludf.DUMMYFUNCTION("""COMPUTED_VALUE"""),"")</f>
        <v/>
      </c>
    </row>
    <row r="4687">
      <c r="A4687" s="15">
        <f>IFERROR(__xludf.DUMMYFUNCTION("""COMPUTED_VALUE"""),45139.0)</f>
        <v>45139</v>
      </c>
      <c r="B4687" s="17"/>
      <c r="C4687" s="15" t="str">
        <f>IFERROR(__xludf.DUMMYFUNCTION("""COMPUTED_VALUE"""),"MEDELLÍN")</f>
        <v>MEDELLÍN</v>
      </c>
      <c r="D4687" s="15" t="str">
        <f>IFERROR(__xludf.DUMMYFUNCTION("""COMPUTED_VALUE"""),"BOGOTÁ")</f>
        <v>BOGOTÁ</v>
      </c>
      <c r="E4687" s="15" t="str">
        <f>IFERROR(__xludf.DUMMYFUNCTION("""COMPUTED_VALUE"""),"Evamazzita")</f>
        <v>Evamazzita</v>
      </c>
      <c r="F4687" s="17" t="str">
        <f>IFERROR(__xludf.DUMMYFUNCTION("""COMPUTED_VALUE"""),"Calle 72sur#33-59 / Apto 1006 / Selvatica/las lomitas")</f>
        <v>Calle 72sur#33-59 / Apto 1006 / Selvatica/las lomitas</v>
      </c>
      <c r="G4687" s="15" t="str">
        <f>IFERROR(__xludf.DUMMYFUNCTION("""COMPUTED_VALUE"""),"MARIA CATALINA GIRALDO VILLEGAS")</f>
        <v>MARIA CATALINA GIRALDO VILLEGAS</v>
      </c>
      <c r="H4687" s="16">
        <f>IFERROR(__xludf.DUMMYFUNCTION("""COMPUTED_VALUE"""),13442.0)</f>
        <v>13442</v>
      </c>
      <c r="I4687" s="18">
        <f>IFERROR(__xludf.DUMMYFUNCTION("""COMPUTED_VALUE"""),1.0)</f>
        <v>1</v>
      </c>
      <c r="J4687" s="18">
        <f>IFERROR(__xludf.DUMMYFUNCTION("""COMPUTED_VALUE"""),1.0)</f>
        <v>1</v>
      </c>
      <c r="K4687" s="18">
        <f>IFERROR(__xludf.DUMMYFUNCTION("""COMPUTED_VALUE"""),1.0)</f>
        <v>1</v>
      </c>
      <c r="L4687" s="17">
        <f>IFERROR(__xludf.DUMMYFUNCTION("""COMPUTED_VALUE"""),3.128236044E9)</f>
        <v>3128236044</v>
      </c>
      <c r="M4687" s="17" t="str">
        <f>IFERROR(__xludf.DUMMYFUNCTION("""COMPUTED_VALUE"""),"#REF!")</f>
        <v>#REF!</v>
      </c>
      <c r="N4687" s="17"/>
      <c r="O4687" s="17"/>
      <c r="P4687" s="17" t="b">
        <f>IFERROR(__xludf.DUMMYFUNCTION("""COMPUTED_VALUE"""),TRUE)</f>
        <v>1</v>
      </c>
      <c r="Q4687" s="20">
        <f>IFERROR(__xludf.DUMMYFUNCTION("""COMPUTED_VALUE"""),45139.685217129634)</f>
        <v>45139.68522</v>
      </c>
      <c r="R4687" s="22" t="str">
        <f>IFERROR(__xludf.DUMMYFUNCTION("""COMPUTED_VALUE"""),"")</f>
        <v/>
      </c>
    </row>
    <row r="4688">
      <c r="A4688" s="15">
        <f>IFERROR(__xludf.DUMMYFUNCTION("""COMPUTED_VALUE"""),45139.0)</f>
        <v>45139</v>
      </c>
      <c r="B4688" s="17"/>
      <c r="C4688" s="15" t="str">
        <f>IFERROR(__xludf.DUMMYFUNCTION("""COMPUTED_VALUE"""),"MEDELLÍN")</f>
        <v>MEDELLÍN</v>
      </c>
      <c r="D4688" s="15" t="str">
        <f>IFERROR(__xludf.DUMMYFUNCTION("""COMPUTED_VALUE"""),"BOGOTÁ")</f>
        <v>BOGOTÁ</v>
      </c>
      <c r="E4688" s="15" t="str">
        <f>IFERROR(__xludf.DUMMYFUNCTION("""COMPUTED_VALUE"""),"Evamazzita")</f>
        <v>Evamazzita</v>
      </c>
      <c r="F4688" s="17" t="str">
        <f>IFERROR(__xludf.DUMMYFUNCTION("""COMPUTED_VALUE"""),"Carrera 105 #41-23  / N/A / Barrio San javier")</f>
        <v>Carrera 105 #41-23  / N/A / Barrio San javier</v>
      </c>
      <c r="G4688" s="15" t="str">
        <f>IFERROR(__xludf.DUMMYFUNCTION("""COMPUTED_VALUE"""),"LAURA ALEXANDRA PALACIO MEJÍA")</f>
        <v>LAURA ALEXANDRA PALACIO MEJÍA</v>
      </c>
      <c r="H4688" s="16">
        <f>IFERROR(__xludf.DUMMYFUNCTION("""COMPUTED_VALUE"""),13440.0)</f>
        <v>13440</v>
      </c>
      <c r="I4688" s="18">
        <f>IFERROR(__xludf.DUMMYFUNCTION("""COMPUTED_VALUE"""),1.0)</f>
        <v>1</v>
      </c>
      <c r="J4688" s="18">
        <f>IFERROR(__xludf.DUMMYFUNCTION("""COMPUTED_VALUE"""),1.0)</f>
        <v>1</v>
      </c>
      <c r="K4688" s="18">
        <f>IFERROR(__xludf.DUMMYFUNCTION("""COMPUTED_VALUE"""),1.0)</f>
        <v>1</v>
      </c>
      <c r="L4688" s="17">
        <f>IFERROR(__xludf.DUMMYFUNCTION("""COMPUTED_VALUE"""),3.012716641E9)</f>
        <v>3012716641</v>
      </c>
      <c r="M4688" s="17" t="str">
        <f>IFERROR(__xludf.DUMMYFUNCTION("""COMPUTED_VALUE"""),"#REF!")</f>
        <v>#REF!</v>
      </c>
      <c r="N4688" s="17"/>
      <c r="O4688" s="17"/>
      <c r="P4688" s="17" t="b">
        <f>IFERROR(__xludf.DUMMYFUNCTION("""COMPUTED_VALUE"""),TRUE)</f>
        <v>1</v>
      </c>
      <c r="Q4688" s="20">
        <f>IFERROR(__xludf.DUMMYFUNCTION("""COMPUTED_VALUE"""),45139.58378313658)</f>
        <v>45139.58378</v>
      </c>
      <c r="R4688" s="22" t="str">
        <f>IFERROR(__xludf.DUMMYFUNCTION("""COMPUTED_VALUE"""),"")</f>
        <v/>
      </c>
    </row>
    <row r="4689">
      <c r="A4689" s="15">
        <f>IFERROR(__xludf.DUMMYFUNCTION("""COMPUTED_VALUE"""),45139.0)</f>
        <v>45139</v>
      </c>
      <c r="B4689" s="17"/>
      <c r="C4689" s="15" t="str">
        <f>IFERROR(__xludf.DUMMYFUNCTION("""COMPUTED_VALUE"""),"MEDELLÍN")</f>
        <v>MEDELLÍN</v>
      </c>
      <c r="D4689" s="15" t="str">
        <f>IFERROR(__xludf.DUMMYFUNCTION("""COMPUTED_VALUE"""),"BOGOTÁ")</f>
        <v>BOGOTÁ</v>
      </c>
      <c r="E4689" s="15" t="str">
        <f>IFERROR(__xludf.DUMMYFUNCTION("""COMPUTED_VALUE"""),"Evamazzita")</f>
        <v>Evamazzita</v>
      </c>
      <c r="F4689" s="17" t="str">
        <f>IFERROR(__xludf.DUMMYFUNCTION("""COMPUTED_VALUE"""),"Carrera 15BA #34D-44 / Inte 201 / Buenos Aires")</f>
        <v>Carrera 15BA #34D-44 / Inte 201 / Buenos Aires</v>
      </c>
      <c r="G4689" s="15" t="str">
        <f>IFERROR(__xludf.DUMMYFUNCTION("""COMPUTED_VALUE"""),"DANIELA BEDOYA BLANDON")</f>
        <v>DANIELA BEDOYA BLANDON</v>
      </c>
      <c r="H4689" s="16">
        <f>IFERROR(__xludf.DUMMYFUNCTION("""COMPUTED_VALUE"""),13427.0)</f>
        <v>13427</v>
      </c>
      <c r="I4689" s="18">
        <f>IFERROR(__xludf.DUMMYFUNCTION("""COMPUTED_VALUE"""),15.0)</f>
        <v>15</v>
      </c>
      <c r="J4689" s="18">
        <f>IFERROR(__xludf.DUMMYFUNCTION("""COMPUTED_VALUE"""),39.0)</f>
        <v>39</v>
      </c>
      <c r="K4689" s="18">
        <f>IFERROR(__xludf.DUMMYFUNCTION("""COMPUTED_VALUE"""),42.0)</f>
        <v>42</v>
      </c>
      <c r="L4689" s="17">
        <f>IFERROR(__xludf.DUMMYFUNCTION("""COMPUTED_VALUE"""),3.14672822E9)</f>
        <v>3146728220</v>
      </c>
      <c r="M4689" s="17" t="str">
        <f>IFERROR(__xludf.DUMMYFUNCTION("""COMPUTED_VALUE"""),"#REF!")</f>
        <v>#REF!</v>
      </c>
      <c r="N4689" s="17"/>
      <c r="O4689" s="17"/>
      <c r="P4689" s="17" t="b">
        <f>IFERROR(__xludf.DUMMYFUNCTION("""COMPUTED_VALUE"""),TRUE)</f>
        <v>1</v>
      </c>
      <c r="Q4689" s="20">
        <f>IFERROR(__xludf.DUMMYFUNCTION("""COMPUTED_VALUE"""),45139.583246180555)</f>
        <v>45139.58325</v>
      </c>
      <c r="R4689" s="22" t="str">
        <f>IFERROR(__xludf.DUMMYFUNCTION("""COMPUTED_VALUE"""),"")</f>
        <v/>
      </c>
    </row>
    <row r="4690">
      <c r="A4690" s="15">
        <f>IFERROR(__xludf.DUMMYFUNCTION("""COMPUTED_VALUE"""),45139.0)</f>
        <v>45139</v>
      </c>
      <c r="B4690" s="17"/>
      <c r="C4690" s="15" t="str">
        <f>IFERROR(__xludf.DUMMYFUNCTION("""COMPUTED_VALUE"""),"MEDELLÍN")</f>
        <v>MEDELLÍN</v>
      </c>
      <c r="D4690" s="15" t="str">
        <f>IFERROR(__xludf.DUMMYFUNCTION("""COMPUTED_VALUE"""),"BOGOTÁ")</f>
        <v>BOGOTÁ</v>
      </c>
      <c r="E4690" s="15" t="str">
        <f>IFERROR(__xludf.DUMMYFUNCTION("""COMPUTED_VALUE"""),"Evamazzita")</f>
        <v>Evamazzita</v>
      </c>
      <c r="F4690" s="17" t="str">
        <f>IFERROR(__xludf.DUMMYFUNCTION("""COMPUTED_VALUE"""),"Carrera 35#65 sur-135 / Edificio Dublin/apto 2804 / Las lomitas")</f>
        <v>Carrera 35#65 sur-135 / Edificio Dublin/apto 2804 / Las lomitas</v>
      </c>
      <c r="G4690" s="15" t="str">
        <f>IFERROR(__xludf.DUMMYFUNCTION("""COMPUTED_VALUE"""),"VANESSA BEDOYA")</f>
        <v>VANESSA BEDOYA</v>
      </c>
      <c r="H4690" s="16">
        <f>IFERROR(__xludf.DUMMYFUNCTION("""COMPUTED_VALUE"""),13444.0)</f>
        <v>13444</v>
      </c>
      <c r="I4690" s="18">
        <f>IFERROR(__xludf.DUMMYFUNCTION("""COMPUTED_VALUE"""),1.0)</f>
        <v>1</v>
      </c>
      <c r="J4690" s="18">
        <f>IFERROR(__xludf.DUMMYFUNCTION("""COMPUTED_VALUE"""),1.0)</f>
        <v>1</v>
      </c>
      <c r="K4690" s="18">
        <f>IFERROR(__xludf.DUMMYFUNCTION("""COMPUTED_VALUE"""),1.0)</f>
        <v>1</v>
      </c>
      <c r="L4690" s="17">
        <f>IFERROR(__xludf.DUMMYFUNCTION("""COMPUTED_VALUE"""),3.1847212E9)</f>
        <v>3184721200</v>
      </c>
      <c r="M4690" s="17" t="str">
        <f>IFERROR(__xludf.DUMMYFUNCTION("""COMPUTED_VALUE"""),"#REF!")</f>
        <v>#REF!</v>
      </c>
      <c r="N4690" s="17"/>
      <c r="O4690" s="17"/>
      <c r="P4690" s="17" t="b">
        <f>IFERROR(__xludf.DUMMYFUNCTION("""COMPUTED_VALUE"""),FALSE)</f>
        <v>0</v>
      </c>
      <c r="Q4690" s="20" t="str">
        <f>IFERROR(__xludf.DUMMYFUNCTION("""COMPUTED_VALUE"""),"")</f>
        <v/>
      </c>
      <c r="R4690" s="22" t="str">
        <f>IFERROR(__xludf.DUMMYFUNCTION("""COMPUTED_VALUE"""),"")</f>
        <v/>
      </c>
    </row>
    <row r="4691">
      <c r="A4691" s="15">
        <f>IFERROR(__xludf.DUMMYFUNCTION("""COMPUTED_VALUE"""),45139.0)</f>
        <v>45139</v>
      </c>
      <c r="B4691" s="17"/>
      <c r="C4691" s="15" t="str">
        <f>IFERROR(__xludf.DUMMYFUNCTION("""COMPUTED_VALUE"""),"MEDELLÍN")</f>
        <v>MEDELLÍN</v>
      </c>
      <c r="D4691" s="15" t="str">
        <f>IFERROR(__xludf.DUMMYFUNCTION("""COMPUTED_VALUE"""),"BOGOTÁ")</f>
        <v>BOGOTÁ</v>
      </c>
      <c r="E4691" s="15" t="str">
        <f>IFERROR(__xludf.DUMMYFUNCTION("""COMPUTED_VALUE"""),"Evamazzita")</f>
        <v>Evamazzita</v>
      </c>
      <c r="F4691" s="17" t="str">
        <f>IFERROR(__xludf.DUMMYFUNCTION("""COMPUTED_VALUE"""),"Carrera 40#74sur-90 / Edificio San Basilio/apto 1623 / Barrio aves Marias")</f>
        <v>Carrera 40#74sur-90 / Edificio San Basilio/apto 1623 / Barrio aves Marias</v>
      </c>
      <c r="G4691" s="15" t="str">
        <f>IFERROR(__xludf.DUMMYFUNCTION("""COMPUTED_VALUE"""),"MARIA CAMILA MORALES RIVERA")</f>
        <v>MARIA CAMILA MORALES RIVERA</v>
      </c>
      <c r="H4691" s="16">
        <f>IFERROR(__xludf.DUMMYFUNCTION("""COMPUTED_VALUE"""),13445.0)</f>
        <v>13445</v>
      </c>
      <c r="I4691" s="18">
        <f>IFERROR(__xludf.DUMMYFUNCTION("""COMPUTED_VALUE"""),1.0)</f>
        <v>1</v>
      </c>
      <c r="J4691" s="18">
        <f>IFERROR(__xludf.DUMMYFUNCTION("""COMPUTED_VALUE"""),1.0)</f>
        <v>1</v>
      </c>
      <c r="K4691" s="18">
        <f>IFERROR(__xludf.DUMMYFUNCTION("""COMPUTED_VALUE"""),1.0)</f>
        <v>1</v>
      </c>
      <c r="L4691" s="17">
        <f>IFERROR(__xludf.DUMMYFUNCTION("""COMPUTED_VALUE"""),3.042181932E9)</f>
        <v>3042181932</v>
      </c>
      <c r="M4691" s="17" t="str">
        <f>IFERROR(__xludf.DUMMYFUNCTION("""COMPUTED_VALUE"""),"#REF!")</f>
        <v>#REF!</v>
      </c>
      <c r="N4691" s="17"/>
      <c r="O4691" s="17"/>
      <c r="P4691" s="17" t="b">
        <f>IFERROR(__xludf.DUMMYFUNCTION("""COMPUTED_VALUE"""),FALSE)</f>
        <v>0</v>
      </c>
      <c r="Q4691" s="20" t="str">
        <f>IFERROR(__xludf.DUMMYFUNCTION("""COMPUTED_VALUE"""),"")</f>
        <v/>
      </c>
      <c r="R4691" s="22" t="str">
        <f>IFERROR(__xludf.DUMMYFUNCTION("""COMPUTED_VALUE"""),"")</f>
        <v/>
      </c>
    </row>
    <row r="4692">
      <c r="A4692" s="15">
        <f>IFERROR(__xludf.DUMMYFUNCTION("""COMPUTED_VALUE"""),45139.0)</f>
        <v>45139</v>
      </c>
      <c r="B4692" s="17"/>
      <c r="C4692" s="15" t="str">
        <f>IFERROR(__xludf.DUMMYFUNCTION("""COMPUTED_VALUE"""),"MEDELLÍN")</f>
        <v>MEDELLÍN</v>
      </c>
      <c r="D4692" s="15" t="str">
        <f>IFERROR(__xludf.DUMMYFUNCTION("""COMPUTED_VALUE"""),"BOGOTÁ")</f>
        <v>BOGOTÁ</v>
      </c>
      <c r="E4692" s="15" t="str">
        <f>IFERROR(__xludf.DUMMYFUNCTION("""COMPUTED_VALUE"""),"Evamazzita")</f>
        <v>Evamazzita</v>
      </c>
      <c r="F4692" s="17" t="str">
        <f>IFERROR(__xludf.DUMMYFUNCTION("""COMPUTED_VALUE"""),"Carrera 43A#18s-135 / Centro Comercial Saopaulo/piso 5/ PS virtual sura  / Entregar entre las 10 a.m. a 8 p.m.")</f>
        <v>Carrera 43A#18s-135 / Centro Comercial Saopaulo/piso 5/ PS virtual sura  / Entregar entre las 10 a.m. a 8 p.m.</v>
      </c>
      <c r="G4692" s="15" t="str">
        <f>IFERROR(__xludf.DUMMYFUNCTION("""COMPUTED_VALUE"""),"MARIA ELENA CONTRERAS MATTOS")</f>
        <v>MARIA ELENA CONTRERAS MATTOS</v>
      </c>
      <c r="H4692" s="16">
        <f>IFERROR(__xludf.DUMMYFUNCTION("""COMPUTED_VALUE"""),13435.0)</f>
        <v>13435</v>
      </c>
      <c r="I4692" s="18">
        <f>IFERROR(__xludf.DUMMYFUNCTION("""COMPUTED_VALUE"""),1.0)</f>
        <v>1</v>
      </c>
      <c r="J4692" s="18">
        <f>IFERROR(__xludf.DUMMYFUNCTION("""COMPUTED_VALUE"""),1.0)</f>
        <v>1</v>
      </c>
      <c r="K4692" s="18">
        <f>IFERROR(__xludf.DUMMYFUNCTION("""COMPUTED_VALUE"""),1.0)</f>
        <v>1</v>
      </c>
      <c r="L4692" s="17">
        <f>IFERROR(__xludf.DUMMYFUNCTION("""COMPUTED_VALUE"""),3.165204659E9)</f>
        <v>3165204659</v>
      </c>
      <c r="M4692" s="17" t="str">
        <f>IFERROR(__xludf.DUMMYFUNCTION("""COMPUTED_VALUE"""),"#REF!")</f>
        <v>#REF!</v>
      </c>
      <c r="N4692" s="17"/>
      <c r="O4692" s="17"/>
      <c r="P4692" s="17" t="b">
        <f>IFERROR(__xludf.DUMMYFUNCTION("""COMPUTED_VALUE"""),FALSE)</f>
        <v>0</v>
      </c>
      <c r="Q4692" s="20" t="str">
        <f>IFERROR(__xludf.DUMMYFUNCTION("""COMPUTED_VALUE"""),"")</f>
        <v/>
      </c>
      <c r="R4692" s="22" t="str">
        <f>IFERROR(__xludf.DUMMYFUNCTION("""COMPUTED_VALUE"""),"")</f>
        <v/>
      </c>
    </row>
    <row r="4693">
      <c r="A4693" s="15">
        <f>IFERROR(__xludf.DUMMYFUNCTION("""COMPUTED_VALUE"""),45139.0)</f>
        <v>45139</v>
      </c>
      <c r="B4693" s="17"/>
      <c r="C4693" s="15" t="str">
        <f>IFERROR(__xludf.DUMMYFUNCTION("""COMPUTED_VALUE"""),"MEDELLÍN")</f>
        <v>MEDELLÍN</v>
      </c>
      <c r="D4693" s="15" t="str">
        <f>IFERROR(__xludf.DUMMYFUNCTION("""COMPUTED_VALUE"""),"BOGOTÁ")</f>
        <v>BOGOTÁ</v>
      </c>
      <c r="E4693" s="15" t="str">
        <f>IFERROR(__xludf.DUMMYFUNCTION("""COMPUTED_VALUE"""),"Evamazzita")</f>
        <v>Evamazzita</v>
      </c>
      <c r="F4693" s="17" t="str">
        <f>IFERROR(__xludf.DUMMYFUNCTION("""COMPUTED_VALUE"""),"Carrera 44 #53Sur-100 / Apto 502/ edificio arrayanes de mayorca / Barrio virgen del carmen")</f>
        <v>Carrera 44 #53Sur-100 / Apto 502/ edificio arrayanes de mayorca / Barrio virgen del carmen</v>
      </c>
      <c r="G4693" s="15" t="str">
        <f>IFERROR(__xludf.DUMMYFUNCTION("""COMPUTED_VALUE"""),"CAROLINA GONZALEZ PATIÑO")</f>
        <v>CAROLINA GONZALEZ PATIÑO</v>
      </c>
      <c r="H4693" s="16">
        <f>IFERROR(__xludf.DUMMYFUNCTION("""COMPUTED_VALUE"""),13443.0)</f>
        <v>13443</v>
      </c>
      <c r="I4693" s="18">
        <f>IFERROR(__xludf.DUMMYFUNCTION("""COMPUTED_VALUE"""),1.0)</f>
        <v>1</v>
      </c>
      <c r="J4693" s="18">
        <f>IFERROR(__xludf.DUMMYFUNCTION("""COMPUTED_VALUE"""),1.0)</f>
        <v>1</v>
      </c>
      <c r="K4693" s="18">
        <f>IFERROR(__xludf.DUMMYFUNCTION("""COMPUTED_VALUE"""),1.0)</f>
        <v>1</v>
      </c>
      <c r="L4693" s="17">
        <f>IFERROR(__xludf.DUMMYFUNCTION("""COMPUTED_VALUE"""),3.1571573E9)</f>
        <v>3157157300</v>
      </c>
      <c r="M4693" s="17" t="str">
        <f>IFERROR(__xludf.DUMMYFUNCTION("""COMPUTED_VALUE"""),"#REF!")</f>
        <v>#REF!</v>
      </c>
      <c r="N4693" s="17"/>
      <c r="O4693" s="17"/>
      <c r="P4693" s="17" t="b">
        <f>IFERROR(__xludf.DUMMYFUNCTION("""COMPUTED_VALUE"""),FALSE)</f>
        <v>0</v>
      </c>
      <c r="Q4693" s="20" t="str">
        <f>IFERROR(__xludf.DUMMYFUNCTION("""COMPUTED_VALUE"""),"")</f>
        <v/>
      </c>
      <c r="R4693" s="22" t="str">
        <f>IFERROR(__xludf.DUMMYFUNCTION("""COMPUTED_VALUE"""),"")</f>
        <v/>
      </c>
    </row>
    <row r="4694">
      <c r="A4694" s="15">
        <f>IFERROR(__xludf.DUMMYFUNCTION("""COMPUTED_VALUE"""),45139.0)</f>
        <v>45139</v>
      </c>
      <c r="B4694" s="17"/>
      <c r="C4694" s="15" t="str">
        <f>IFERROR(__xludf.DUMMYFUNCTION("""COMPUTED_VALUE"""),"MEDELLÍN")</f>
        <v>MEDELLÍN</v>
      </c>
      <c r="D4694" s="15" t="str">
        <f>IFERROR(__xludf.DUMMYFUNCTION("""COMPUTED_VALUE"""),"BOGOTÁ")</f>
        <v>BOGOTÁ</v>
      </c>
      <c r="E4694" s="15" t="str">
        <f>IFERROR(__xludf.DUMMYFUNCTION("""COMPUTED_VALUE"""),"Evamazzita")</f>
        <v>Evamazzita</v>
      </c>
      <c r="F4694" s="17" t="str">
        <f>IFERROR(__xludf.DUMMYFUNCTION("""COMPUTED_VALUE"""),"Transversal 53a#65-70 / Urbanización madrid Apartamentos /apto 2102 / Carlos E restrepo")</f>
        <v>Transversal 53a#65-70 / Urbanización madrid Apartamentos /apto 2102 / Carlos E restrepo</v>
      </c>
      <c r="G4694" s="15" t="str">
        <f>IFERROR(__xludf.DUMMYFUNCTION("""COMPUTED_VALUE"""),"MARIANA MOLINA GIRALDO")</f>
        <v>MARIANA MOLINA GIRALDO</v>
      </c>
      <c r="H4694" s="16">
        <f>IFERROR(__xludf.DUMMYFUNCTION("""COMPUTED_VALUE"""),13441.0)</f>
        <v>13441</v>
      </c>
      <c r="I4694" s="18">
        <f>IFERROR(__xludf.DUMMYFUNCTION("""COMPUTED_VALUE"""),1.0)</f>
        <v>1</v>
      </c>
      <c r="J4694" s="18">
        <f>IFERROR(__xludf.DUMMYFUNCTION("""COMPUTED_VALUE"""),1.0)</f>
        <v>1</v>
      </c>
      <c r="K4694" s="18">
        <f>IFERROR(__xludf.DUMMYFUNCTION("""COMPUTED_VALUE"""),1.0)</f>
        <v>1</v>
      </c>
      <c r="L4694" s="17">
        <f>IFERROR(__xludf.DUMMYFUNCTION("""COMPUTED_VALUE"""),3.127822656E9)</f>
        <v>3127822656</v>
      </c>
      <c r="M4694" s="17" t="str">
        <f>IFERROR(__xludf.DUMMYFUNCTION("""COMPUTED_VALUE"""),"#REF!")</f>
        <v>#REF!</v>
      </c>
      <c r="N4694" s="17"/>
      <c r="O4694" s="17"/>
      <c r="P4694" s="17" t="b">
        <f>IFERROR(__xludf.DUMMYFUNCTION("""COMPUTED_VALUE"""),FALSE)</f>
        <v>0</v>
      </c>
      <c r="Q4694" s="20" t="str">
        <f>IFERROR(__xludf.DUMMYFUNCTION("""COMPUTED_VALUE"""),"")</f>
        <v/>
      </c>
      <c r="R4694" s="22" t="str">
        <f>IFERROR(__xludf.DUMMYFUNCTION("""COMPUTED_VALUE"""),"")</f>
        <v/>
      </c>
    </row>
    <row r="4695">
      <c r="A4695" s="15">
        <f>IFERROR(__xludf.DUMMYFUNCTION("""COMPUTED_VALUE"""),45139.0)</f>
        <v>45139</v>
      </c>
      <c r="B4695" s="17"/>
      <c r="C4695" s="15" t="str">
        <f>IFERROR(__xludf.DUMMYFUNCTION("""COMPUTED_VALUE"""),"MEDELLÍN")</f>
        <v>MEDELLÍN</v>
      </c>
      <c r="D4695" s="15" t="str">
        <f>IFERROR(__xludf.DUMMYFUNCTION("""COMPUTED_VALUE"""),"BOGOTÁ")</f>
        <v>BOGOTÁ</v>
      </c>
      <c r="E4695" s="15" t="str">
        <f>IFERROR(__xludf.DUMMYFUNCTION("""COMPUTED_VALUE"""),"Ins. Alimento Vital")</f>
        <v>Ins. Alimento Vital</v>
      </c>
      <c r="F4695" s="17" t="str">
        <f>IFERROR(__xludf.DUMMYFUNCTION("""COMPUTED_VALUE"""),"AV 74B 39B 142 / CASA NEGRA 2 PISO / BARRIO LAURELES")</f>
        <v>AV 74B 39B 142 / CASA NEGRA 2 PISO / BARRIO LAURELES</v>
      </c>
      <c r="G4695" s="15" t="str">
        <f>IFERROR(__xludf.DUMMYFUNCTION("""COMPUTED_VALUE"""),"VELOCITY MEDELLI")</f>
        <v>VELOCITY MEDELLI</v>
      </c>
      <c r="H4695" s="16">
        <f>IFERROR(__xludf.DUMMYFUNCTION("""COMPUTED_VALUE"""),13412.0)</f>
        <v>13412</v>
      </c>
      <c r="I4695" s="18">
        <f>IFERROR(__xludf.DUMMYFUNCTION("""COMPUTED_VALUE"""),1.0)</f>
        <v>1</v>
      </c>
      <c r="J4695" s="18">
        <f>IFERROR(__xludf.DUMMYFUNCTION("""COMPUTED_VALUE"""),1.0)</f>
        <v>1</v>
      </c>
      <c r="K4695" s="18">
        <f>IFERROR(__xludf.DUMMYFUNCTION("""COMPUTED_VALUE"""),1.0)</f>
        <v>1</v>
      </c>
      <c r="L4695" s="17">
        <f>IFERROR(__xludf.DUMMYFUNCTION("""COMPUTED_VALUE"""),3.239674555E9)</f>
        <v>3239674555</v>
      </c>
      <c r="M4695" s="17" t="str">
        <f>IFERROR(__xludf.DUMMYFUNCTION("""COMPUTED_VALUE"""),"#REF!")</f>
        <v>#REF!</v>
      </c>
      <c r="N4695" s="17"/>
      <c r="O4695" s="17"/>
      <c r="P4695" s="17" t="b">
        <f>IFERROR(__xludf.DUMMYFUNCTION("""COMPUTED_VALUE"""),FALSE)</f>
        <v>0</v>
      </c>
      <c r="Q4695" s="20" t="str">
        <f>IFERROR(__xludf.DUMMYFUNCTION("""COMPUTED_VALUE"""),"")</f>
        <v/>
      </c>
      <c r="R4695" s="22" t="str">
        <f>IFERROR(__xludf.DUMMYFUNCTION("""COMPUTED_VALUE"""),"")</f>
        <v/>
      </c>
    </row>
    <row r="4696">
      <c r="A4696" s="15">
        <f>IFERROR(__xludf.DUMMYFUNCTION("""COMPUTED_VALUE"""),45139.0)</f>
        <v>45139</v>
      </c>
      <c r="B4696" s="17"/>
      <c r="C4696" s="15" t="str">
        <f>IFERROR(__xludf.DUMMYFUNCTION("""COMPUTED_VALUE"""),"MEDELLÍN")</f>
        <v>MEDELLÍN</v>
      </c>
      <c r="D4696" s="15" t="str">
        <f>IFERROR(__xludf.DUMMYFUNCTION("""COMPUTED_VALUE"""),"BOGOTÁ")</f>
        <v>BOGOTÁ</v>
      </c>
      <c r="E4696" s="15" t="str">
        <f>IFERROR(__xludf.DUMMYFUNCTION("""COMPUTED_VALUE"""),"MAI ALIMENTOS S.A.S")</f>
        <v>MAI ALIMENTOS S.A.S</v>
      </c>
      <c r="F4696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4696" s="15" t="str">
        <f>IFERROR(__xludf.DUMMYFUNCTION("""COMPUTED_VALUE"""),"Novaventas")</f>
        <v>Novaventas</v>
      </c>
      <c r="H4696" s="16">
        <f>IFERROR(__xludf.DUMMYFUNCTION("""COMPUTED_VALUE"""),13466.0)</f>
        <v>13466</v>
      </c>
      <c r="I4696" s="18">
        <f>IFERROR(__xludf.DUMMYFUNCTION("""COMPUTED_VALUE"""),35.0)</f>
        <v>35</v>
      </c>
      <c r="J4696" s="18">
        <f>IFERROR(__xludf.DUMMYFUNCTION("""COMPUTED_VALUE"""),17.0)</f>
        <v>17</v>
      </c>
      <c r="K4696" s="18">
        <f>IFERROR(__xludf.DUMMYFUNCTION("""COMPUTED_VALUE"""),13.0)</f>
        <v>13</v>
      </c>
      <c r="L4696" s="17">
        <f>IFERROR(__xludf.DUMMYFUNCTION("""COMPUTED_VALUE"""),3.187351593E9)</f>
        <v>3187351593</v>
      </c>
      <c r="M4696" s="17" t="str">
        <f>IFERROR(__xludf.DUMMYFUNCTION("""COMPUTED_VALUE"""),"#REF!")</f>
        <v>#REF!</v>
      </c>
      <c r="N4696" s="17"/>
      <c r="O4696" s="17"/>
      <c r="P4696" s="17" t="b">
        <f>IFERROR(__xludf.DUMMYFUNCTION("""COMPUTED_VALUE"""),FALSE)</f>
        <v>0</v>
      </c>
      <c r="Q4696" s="20" t="str">
        <f>IFERROR(__xludf.DUMMYFUNCTION("""COMPUTED_VALUE"""),"")</f>
        <v/>
      </c>
      <c r="R4696" s="22" t="str">
        <f>IFERROR(__xludf.DUMMYFUNCTION("""COMPUTED_VALUE"""),"")</f>
        <v/>
      </c>
    </row>
    <row r="4697">
      <c r="A4697" s="15">
        <f>IFERROR(__xludf.DUMMYFUNCTION("""COMPUTED_VALUE"""),45139.0)</f>
        <v>45139</v>
      </c>
      <c r="B4697" s="17"/>
      <c r="C4697" s="15" t="str">
        <f>IFERROR(__xludf.DUMMYFUNCTION("""COMPUTED_VALUE"""),"MEDELLÍN")</f>
        <v>MEDELLÍN</v>
      </c>
      <c r="D4697" s="15" t="str">
        <f>IFERROR(__xludf.DUMMYFUNCTION("""COMPUTED_VALUE"""),"BOGOTÁ")</f>
        <v>BOGOTÁ</v>
      </c>
      <c r="E4697" s="15" t="str">
        <f>IFERROR(__xludf.DUMMYFUNCTION("""COMPUTED_VALUE"""),"Masar Cocina")</f>
        <v>Masar Cocina</v>
      </c>
      <c r="F4697" s="17" t="str">
        <f>IFERROR(__xludf.DUMMYFUNCTION("""COMPUTED_VALUE"""),"Calle 36d sur n 24-120 loma del escobero / Casa 114 entrada antes de la unidad fiore / Loma del escobero")</f>
        <v>Calle 36d sur n 24-120 loma del escobero / Casa 114 entrada antes de la unidad fiore / Loma del escobero</v>
      </c>
      <c r="G4697" s="15" t="str">
        <f>IFERROR(__xludf.DUMMYFUNCTION("""COMPUTED_VALUE"""),"Manuela saldarriaga")</f>
        <v>Manuela saldarriaga</v>
      </c>
      <c r="H4697" s="16">
        <f>IFERROR(__xludf.DUMMYFUNCTION("""COMPUTED_VALUE"""),13422.0)</f>
        <v>13422</v>
      </c>
      <c r="I4697" s="18">
        <f>IFERROR(__xludf.DUMMYFUNCTION("""COMPUTED_VALUE"""),1.0)</f>
        <v>1</v>
      </c>
      <c r="J4697" s="18">
        <f>IFERROR(__xludf.DUMMYFUNCTION("""COMPUTED_VALUE"""),1.0)</f>
        <v>1</v>
      </c>
      <c r="K4697" s="18">
        <f>IFERROR(__xludf.DUMMYFUNCTION("""COMPUTED_VALUE"""),1.0)</f>
        <v>1</v>
      </c>
      <c r="L4697" s="17">
        <f>IFERROR(__xludf.DUMMYFUNCTION("""COMPUTED_VALUE"""),3.014365398E9)</f>
        <v>3014365398</v>
      </c>
      <c r="M4697" s="17" t="str">
        <f>IFERROR(__xludf.DUMMYFUNCTION("""COMPUTED_VALUE"""),"#REF!")</f>
        <v>#REF!</v>
      </c>
      <c r="N4697" s="17"/>
      <c r="O4697" s="17"/>
      <c r="P4697" s="17" t="b">
        <f>IFERROR(__xludf.DUMMYFUNCTION("""COMPUTED_VALUE"""),FALSE)</f>
        <v>0</v>
      </c>
      <c r="Q4697" s="20" t="str">
        <f>IFERROR(__xludf.DUMMYFUNCTION("""COMPUTED_VALUE"""),"")</f>
        <v/>
      </c>
      <c r="R4697" s="22" t="str">
        <f>IFERROR(__xludf.DUMMYFUNCTION("""COMPUTED_VALUE"""),"")</f>
        <v/>
      </c>
    </row>
    <row r="4698">
      <c r="A4698" s="15">
        <f>IFERROR(__xludf.DUMMYFUNCTION("""COMPUTED_VALUE"""),45139.0)</f>
        <v>45139</v>
      </c>
      <c r="B4698" s="17"/>
      <c r="C4698" s="15" t="str">
        <f>IFERROR(__xludf.DUMMYFUNCTION("""COMPUTED_VALUE"""),"MEDELLÍN")</f>
        <v>MEDELLÍN</v>
      </c>
      <c r="D4698" s="15" t="str">
        <f>IFERROR(__xludf.DUMMYFUNCTION("""COMPUTED_VALUE"""),"BOGOTÁ")</f>
        <v>BOGOTÁ</v>
      </c>
      <c r="E4698" s="15" t="str">
        <f>IFERROR(__xludf.DUMMYFUNCTION("""COMPUTED_VALUE"""),"Pan de Waffle")</f>
        <v>Pan de Waffle</v>
      </c>
      <c r="F4698" s="17" t="str">
        <f>IFERROR(__xludf.DUMMYFUNCTION("""COMPUTED_VALUE"""),"Carrera 43G # 19 - 142 Edif. La Riviere Apto 1020 Ciudad del Rio - Medellin / Carrera 43G # 19 - 142 Edif. La Riviere Apto 1020 Ciudad del Rio - Medellin / Carrera 43G # 19 - 142 Edif. La Riviere Apto 1020 Ciudad del Rio - Medellin")</f>
        <v>Carrera 43G # 19 - 142 Edif. La Riviere Apto 1020 Ciudad del Rio - Medellin / Carrera 43G # 19 - 142 Edif. La Riviere Apto 1020 Ciudad del Rio - Medellin / Carrera 43G # 19 - 142 Edif. La Riviere Apto 1020 Ciudad del Rio - Medellin</v>
      </c>
      <c r="G4698" s="15" t="str">
        <f>IFERROR(__xludf.DUMMYFUNCTION("""COMPUTED_VALUE"""),"KATHRIN ABDALA")</f>
        <v>KATHRIN ABDALA</v>
      </c>
      <c r="H4698" s="16">
        <f>IFERROR(__xludf.DUMMYFUNCTION("""COMPUTED_VALUE"""),13451.0)</f>
        <v>13451</v>
      </c>
      <c r="I4698" s="18">
        <f>IFERROR(__xludf.DUMMYFUNCTION("""COMPUTED_VALUE"""),40.0)</f>
        <v>40</v>
      </c>
      <c r="J4698" s="18">
        <f>IFERROR(__xludf.DUMMYFUNCTION("""COMPUTED_VALUE"""),40.0)</f>
        <v>40</v>
      </c>
      <c r="K4698" s="18">
        <f>IFERROR(__xludf.DUMMYFUNCTION("""COMPUTED_VALUE"""),30.0)</f>
        <v>30</v>
      </c>
      <c r="L4698" s="17">
        <f>IFERROR(__xludf.DUMMYFUNCTION("""COMPUTED_VALUE"""),3.106142841E9)</f>
        <v>3106142841</v>
      </c>
      <c r="M4698" s="17" t="str">
        <f>IFERROR(__xludf.DUMMYFUNCTION("""COMPUTED_VALUE"""),"#REF!")</f>
        <v>#REF!</v>
      </c>
      <c r="N4698" s="17"/>
      <c r="O4698" s="17"/>
      <c r="P4698" s="17" t="b">
        <f>IFERROR(__xludf.DUMMYFUNCTION("""COMPUTED_VALUE"""),FALSE)</f>
        <v>0</v>
      </c>
      <c r="Q4698" s="20" t="str">
        <f>IFERROR(__xludf.DUMMYFUNCTION("""COMPUTED_VALUE"""),"")</f>
        <v/>
      </c>
      <c r="R4698" s="22" t="str">
        <f>IFERROR(__xludf.DUMMYFUNCTION("""COMPUTED_VALUE"""),"")</f>
        <v/>
      </c>
    </row>
    <row r="4699">
      <c r="A4699" s="15">
        <f>IFERROR(__xludf.DUMMYFUNCTION("""COMPUTED_VALUE"""),45139.0)</f>
        <v>45139</v>
      </c>
      <c r="B4699" s="17"/>
      <c r="C4699" s="15" t="str">
        <f>IFERROR(__xludf.DUMMYFUNCTION("""COMPUTED_VALUE"""),"MEDELLÍN")</f>
        <v>MEDELLÍN</v>
      </c>
      <c r="D4699" s="15" t="str">
        <f>IFERROR(__xludf.DUMMYFUNCTION("""COMPUTED_VALUE"""),"BOGOTÁ")</f>
        <v>BOGOTÁ</v>
      </c>
      <c r="E4699" s="15" t="str">
        <f>IFERROR(__xludf.DUMMYFUNCTION("""COMPUTED_VALUE"""),"Top Spun")</f>
        <v>Top Spun</v>
      </c>
      <c r="F4699" s="17" t="str">
        <f>IFERROR(__xludf.DUMMYFUNCTION("""COMPUTED_VALUE"""),"Calle 48E # 99 - 57 / Casa / Barrio La Pradera Medellín")</f>
        <v>Calle 48E # 99 - 57 / Casa / Barrio La Pradera Medellín</v>
      </c>
      <c r="G4699" s="15" t="str">
        <f>IFERROR(__xludf.DUMMYFUNCTION("""COMPUTED_VALUE"""),"Andrés Monsalve")</f>
        <v>Andrés Monsalve</v>
      </c>
      <c r="H4699" s="16">
        <f>IFERROR(__xludf.DUMMYFUNCTION("""COMPUTED_VALUE"""),13394.0)</f>
        <v>13394</v>
      </c>
      <c r="I4699" s="18">
        <f>IFERROR(__xludf.DUMMYFUNCTION("""COMPUTED_VALUE"""),20.0)</f>
        <v>20</v>
      </c>
      <c r="J4699" s="18">
        <f>IFERROR(__xludf.DUMMYFUNCTION("""COMPUTED_VALUE"""),10.0)</f>
        <v>10</v>
      </c>
      <c r="K4699" s="18">
        <f>IFERROR(__xludf.DUMMYFUNCTION("""COMPUTED_VALUE"""),40.0)</f>
        <v>40</v>
      </c>
      <c r="L4699" s="17">
        <f>IFERROR(__xludf.DUMMYFUNCTION("""COMPUTED_VALUE"""),3.13885894E9)</f>
        <v>3138858940</v>
      </c>
      <c r="M4699" s="17" t="str">
        <f>IFERROR(__xludf.DUMMYFUNCTION("""COMPUTED_VALUE"""),"#REF!")</f>
        <v>#REF!</v>
      </c>
      <c r="N4699" s="17"/>
      <c r="O4699" s="17"/>
      <c r="P4699" s="17" t="b">
        <f>IFERROR(__xludf.DUMMYFUNCTION("""COMPUTED_VALUE"""),FALSE)</f>
        <v>0</v>
      </c>
      <c r="Q4699" s="20" t="str">
        <f>IFERROR(__xludf.DUMMYFUNCTION("""COMPUTED_VALUE"""),"")</f>
        <v/>
      </c>
      <c r="R4699" s="22" t="str">
        <f>IFERROR(__xludf.DUMMYFUNCTION("""COMPUTED_VALUE"""),"")</f>
        <v/>
      </c>
    </row>
    <row r="4700">
      <c r="A4700" s="15">
        <f>IFERROR(__xludf.DUMMYFUNCTION("""COMPUTED_VALUE"""),45139.0)</f>
        <v>45139</v>
      </c>
      <c r="B4700" s="17"/>
      <c r="C4700" s="15" t="str">
        <f>IFERROR(__xludf.DUMMYFUNCTION("""COMPUTED_VALUE"""),"MEDELLÍN")</f>
        <v>MEDELLÍN</v>
      </c>
      <c r="D4700" s="15" t="str">
        <f>IFERROR(__xludf.DUMMYFUNCTION("""COMPUTED_VALUE"""),"BOGOTÁ")</f>
        <v>BOGOTÁ</v>
      </c>
      <c r="E4700" s="15" t="str">
        <f>IFERROR(__xludf.DUMMYFUNCTION("""COMPUTED_VALUE"""),"Top Spun")</f>
        <v>Top Spun</v>
      </c>
      <c r="F4700" s="17" t="str">
        <f>IFERROR(__xludf.DUMMYFUNCTION("""COMPUTED_VALUE"""),"Calle 5A sur # 32 A 91 / Bloque C1 Apto 601 / Urbanización Monterrey Medellín")</f>
        <v>Calle 5A sur # 32 A 91 / Bloque C1 Apto 601 / Urbanización Monterrey Medellín</v>
      </c>
      <c r="G4700" s="15" t="str">
        <f>IFERROR(__xludf.DUMMYFUNCTION("""COMPUTED_VALUE"""),"Juan Pablo Montoya")</f>
        <v>Juan Pablo Montoya</v>
      </c>
      <c r="H4700" s="16">
        <f>IFERROR(__xludf.DUMMYFUNCTION("""COMPUTED_VALUE"""),13395.0)</f>
        <v>13395</v>
      </c>
      <c r="I4700" s="18">
        <f>IFERROR(__xludf.DUMMYFUNCTION("""COMPUTED_VALUE"""),20.0)</f>
        <v>20</v>
      </c>
      <c r="J4700" s="18">
        <f>IFERROR(__xludf.DUMMYFUNCTION("""COMPUTED_VALUE"""),10.0)</f>
        <v>10</v>
      </c>
      <c r="K4700" s="18">
        <f>IFERROR(__xludf.DUMMYFUNCTION("""COMPUTED_VALUE"""),40.0)</f>
        <v>40</v>
      </c>
      <c r="L4700" s="17">
        <f>IFERROR(__xludf.DUMMYFUNCTION("""COMPUTED_VALUE"""),3.13885894E9)</f>
        <v>3138858940</v>
      </c>
      <c r="M4700" s="17" t="str">
        <f>IFERROR(__xludf.DUMMYFUNCTION("""COMPUTED_VALUE"""),"#REF!")</f>
        <v>#REF!</v>
      </c>
      <c r="N4700" s="17"/>
      <c r="O4700" s="17"/>
      <c r="P4700" s="17" t="b">
        <f>IFERROR(__xludf.DUMMYFUNCTION("""COMPUTED_VALUE"""),FALSE)</f>
        <v>0</v>
      </c>
      <c r="Q4700" s="20" t="str">
        <f>IFERROR(__xludf.DUMMYFUNCTION("""COMPUTED_VALUE"""),"")</f>
        <v/>
      </c>
      <c r="R4700" s="22" t="str">
        <f>IFERROR(__xludf.DUMMYFUNCTION("""COMPUTED_VALUE"""),"")</f>
        <v/>
      </c>
    </row>
    <row r="4701">
      <c r="A4701" s="15">
        <f>IFERROR(__xludf.DUMMYFUNCTION("""COMPUTED_VALUE"""),45139.0)</f>
        <v>45139</v>
      </c>
      <c r="B4701" s="17"/>
      <c r="C4701" s="15" t="str">
        <f>IFERROR(__xludf.DUMMYFUNCTION("""COMPUTED_VALUE"""),"MEDELLÍN")</f>
        <v>MEDELLÍN</v>
      </c>
      <c r="D4701" s="15" t="str">
        <f>IFERROR(__xludf.DUMMYFUNCTION("""COMPUTED_VALUE"""),"BOGOTÁ")</f>
        <v>BOGOTÁ</v>
      </c>
      <c r="E4701" s="15" t="str">
        <f>IFERROR(__xludf.DUMMYFUNCTION("""COMPUTED_VALUE"""),"Top Spun")</f>
        <v>Top Spun</v>
      </c>
      <c r="F4701" s="17" t="str">
        <f>IFERROR(__xludf.DUMMYFUNCTION("""COMPUTED_VALUE"""),"Carrera 33 # 29 - 22 / Apto 2408 Urbanización Entre Palmas de San Dieto / Loma del Indio Medellín")</f>
        <v>Carrera 33 # 29 - 22 / Apto 2408 Urbanización Entre Palmas de San Dieto / Loma del Indio Medellín</v>
      </c>
      <c r="G4701" s="15" t="str">
        <f>IFERROR(__xludf.DUMMYFUNCTION("""COMPUTED_VALUE"""),"Carlos Moreno")</f>
        <v>Carlos Moreno</v>
      </c>
      <c r="H4701" s="16">
        <f>IFERROR(__xludf.DUMMYFUNCTION("""COMPUTED_VALUE"""),13393.0)</f>
        <v>13393</v>
      </c>
      <c r="I4701" s="18">
        <f>IFERROR(__xludf.DUMMYFUNCTION("""COMPUTED_VALUE"""),20.0)</f>
        <v>20</v>
      </c>
      <c r="J4701" s="18">
        <f>IFERROR(__xludf.DUMMYFUNCTION("""COMPUTED_VALUE"""),10.0)</f>
        <v>10</v>
      </c>
      <c r="K4701" s="18">
        <f>IFERROR(__xludf.DUMMYFUNCTION("""COMPUTED_VALUE"""),40.0)</f>
        <v>40</v>
      </c>
      <c r="L4701" s="17">
        <f>IFERROR(__xludf.DUMMYFUNCTION("""COMPUTED_VALUE"""),3.13885894E9)</f>
        <v>3138858940</v>
      </c>
      <c r="M4701" s="17" t="str">
        <f>IFERROR(__xludf.DUMMYFUNCTION("""COMPUTED_VALUE"""),"#REF!")</f>
        <v>#REF!</v>
      </c>
      <c r="N4701" s="17"/>
      <c r="O4701" s="17"/>
      <c r="P4701" s="17" t="b">
        <f>IFERROR(__xludf.DUMMYFUNCTION("""COMPUTED_VALUE"""),FALSE)</f>
        <v>0</v>
      </c>
      <c r="Q4701" s="20" t="str">
        <f>IFERROR(__xludf.DUMMYFUNCTION("""COMPUTED_VALUE"""),"")</f>
        <v/>
      </c>
      <c r="R4701" s="22" t="str">
        <f>IFERROR(__xludf.DUMMYFUNCTION("""COMPUTED_VALUE"""),"")</f>
        <v/>
      </c>
    </row>
    <row r="4702">
      <c r="A4702" s="15">
        <f>IFERROR(__xludf.DUMMYFUNCTION("""COMPUTED_VALUE"""),45139.0)</f>
        <v>45139</v>
      </c>
      <c r="B4702" s="17"/>
      <c r="C4702" s="15" t="str">
        <f>IFERROR(__xludf.DUMMYFUNCTION("""COMPUTED_VALUE"""),"MEDELLÍN")</f>
        <v>MEDELLÍN</v>
      </c>
      <c r="D4702" s="15" t="str">
        <f>IFERROR(__xludf.DUMMYFUNCTION("""COMPUTED_VALUE"""),"BOGOTÁ")</f>
        <v>BOGOTÁ</v>
      </c>
      <c r="E4702" s="15" t="str">
        <f>IFERROR(__xludf.DUMMYFUNCTION("""COMPUTED_VALUE"""),"Top Spun")</f>
        <v>Top Spun</v>
      </c>
      <c r="F4702" s="17" t="str">
        <f>IFERROR(__xludf.DUMMYFUNCTION("""COMPUTED_VALUE"""),"Carrera 94 # 38 - 275 / Apto 707 / Jardines de Santa Mónica Medellín")</f>
        <v>Carrera 94 # 38 - 275 / Apto 707 / Jardines de Santa Mónica Medellín</v>
      </c>
      <c r="G4702" s="15" t="str">
        <f>IFERROR(__xludf.DUMMYFUNCTION("""COMPUTED_VALUE"""),"Andrés Agudelo")</f>
        <v>Andrés Agudelo</v>
      </c>
      <c r="H4702" s="16">
        <f>IFERROR(__xludf.DUMMYFUNCTION("""COMPUTED_VALUE"""),13397.0)</f>
        <v>13397</v>
      </c>
      <c r="I4702" s="18">
        <f>IFERROR(__xludf.DUMMYFUNCTION("""COMPUTED_VALUE"""),20.0)</f>
        <v>20</v>
      </c>
      <c r="J4702" s="18">
        <f>IFERROR(__xludf.DUMMYFUNCTION("""COMPUTED_VALUE"""),10.0)</f>
        <v>10</v>
      </c>
      <c r="K4702" s="18">
        <f>IFERROR(__xludf.DUMMYFUNCTION("""COMPUTED_VALUE"""),40.0)</f>
        <v>40</v>
      </c>
      <c r="L4702" s="17">
        <f>IFERROR(__xludf.DUMMYFUNCTION("""COMPUTED_VALUE"""),3.13885894E9)</f>
        <v>3138858940</v>
      </c>
      <c r="M4702" s="17" t="str">
        <f>IFERROR(__xludf.DUMMYFUNCTION("""COMPUTED_VALUE"""),"#REF!")</f>
        <v>#REF!</v>
      </c>
      <c r="N4702" s="17"/>
      <c r="O4702" s="17"/>
      <c r="P4702" s="17" t="b">
        <f>IFERROR(__xludf.DUMMYFUNCTION("""COMPUTED_VALUE"""),FALSE)</f>
        <v>0</v>
      </c>
      <c r="Q4702" s="20" t="str">
        <f>IFERROR(__xludf.DUMMYFUNCTION("""COMPUTED_VALUE"""),"")</f>
        <v/>
      </c>
      <c r="R4702" s="22" t="str">
        <f>IFERROR(__xludf.DUMMYFUNCTION("""COMPUTED_VALUE"""),"")</f>
        <v/>
      </c>
    </row>
    <row r="4703">
      <c r="A4703" s="17" t="str">
        <f>IFERROR(__xludf.DUMMYFUNCTION("""COMPUTED_VALUE"""),"")</f>
        <v/>
      </c>
      <c r="B4703" s="17" t="str">
        <f>IFERROR(__xludf.DUMMYFUNCTION("""COMPUTED_VALUE"""),"")</f>
        <v/>
      </c>
      <c r="C4703" s="17" t="str">
        <f>IFERROR(__xludf.DUMMYFUNCTION("""COMPUTED_VALUE"""),"")</f>
        <v/>
      </c>
      <c r="D4703" s="17" t="str">
        <f>IFERROR(__xludf.DUMMYFUNCTION("""COMPUTED_VALUE"""),"")</f>
        <v/>
      </c>
      <c r="E4703" s="17" t="str">
        <f>IFERROR(__xludf.DUMMYFUNCTION("""COMPUTED_VALUE"""),"")</f>
        <v/>
      </c>
      <c r="F4703" s="17" t="str">
        <f>IFERROR(__xludf.DUMMYFUNCTION("""COMPUTED_VALUE"""),"")</f>
        <v/>
      </c>
      <c r="G4703" s="17" t="str">
        <f>IFERROR(__xludf.DUMMYFUNCTION("""COMPUTED_VALUE"""),"")</f>
        <v/>
      </c>
      <c r="H4703" s="17" t="str">
        <f>IFERROR(__xludf.DUMMYFUNCTION("""COMPUTED_VALUE"""),"")</f>
        <v/>
      </c>
      <c r="I4703" s="17" t="str">
        <f>IFERROR(__xludf.DUMMYFUNCTION("""COMPUTED_VALUE"""),"")</f>
        <v/>
      </c>
      <c r="J4703" s="17" t="str">
        <f>IFERROR(__xludf.DUMMYFUNCTION("""COMPUTED_VALUE"""),"")</f>
        <v/>
      </c>
      <c r="K4703" s="17" t="str">
        <f>IFERROR(__xludf.DUMMYFUNCTION("""COMPUTED_VALUE"""),"")</f>
        <v/>
      </c>
      <c r="L4703" s="17" t="str">
        <f>IFERROR(__xludf.DUMMYFUNCTION("""COMPUTED_VALUE"""),"")</f>
        <v/>
      </c>
      <c r="M4703" s="17" t="str">
        <f>IFERROR(__xludf.DUMMYFUNCTION("""COMPUTED_VALUE"""),"")</f>
        <v/>
      </c>
      <c r="N4703" s="17" t="str">
        <f>IFERROR(__xludf.DUMMYFUNCTION("""COMPUTED_VALUE"""),"")</f>
        <v/>
      </c>
      <c r="O4703" s="17" t="str">
        <f>IFERROR(__xludf.DUMMYFUNCTION("""COMPUTED_VALUE"""),"")</f>
        <v/>
      </c>
      <c r="P4703" s="17" t="str">
        <f>IFERROR(__xludf.DUMMYFUNCTION("""COMPUTED_VALUE"""),"")</f>
        <v/>
      </c>
      <c r="Q4703" s="17" t="str">
        <f>IFERROR(__xludf.DUMMYFUNCTION("""COMPUTED_VALUE"""),"")</f>
        <v/>
      </c>
      <c r="R4703" s="17" t="str">
        <f>IFERROR(__xludf.DUMMYFUNCTION("""COMPUTED_VALUE"""),"")</f>
        <v/>
      </c>
    </row>
    <row r="4704">
      <c r="A4704" s="15">
        <f>IFERROR(__xludf.DUMMYFUNCTION("""COMPUTED_VALUE"""),45139.0)</f>
        <v>45139</v>
      </c>
      <c r="B4704" s="16" t="str">
        <f>IFERROR(__xludf.DUMMYFUNCTION("""COMPUTED_VALUE"""),"Anuar suarez jimenez ")</f>
        <v>Anuar suarez jimenez </v>
      </c>
      <c r="C4704" s="15" t="str">
        <f>IFERROR(__xludf.DUMMYFUNCTION("""COMPUTED_VALUE"""),"CALI")</f>
        <v>CALI</v>
      </c>
      <c r="D4704" s="15" t="str">
        <f>IFERROR(__xludf.DUMMYFUNCTION("""COMPUTED_VALUE"""),"BOGOTÁ")</f>
        <v>BOGOTÁ</v>
      </c>
      <c r="E4704" s="15" t="str">
        <f>IFERROR(__xludf.DUMMYFUNCTION("""COMPUTED_VALUE"""),"Pan de Waffle")</f>
        <v>Pan de Waffle</v>
      </c>
      <c r="F4704" s="17" t="str">
        <f>IFERROR(__xludf.DUMMYFUNCTION("""COMPUTED_VALUE"""),"Calle 18 norte # 9n-45 Cali  / Calle 18 norte # 9n-45 Cali  / Calle 18 norte # 9n-45 Cali")</f>
        <v>Calle 18 norte # 9n-45 Cali  / Calle 18 norte # 9n-45 Cali  / Calle 18 norte # 9n-45 Cali</v>
      </c>
      <c r="G4704" s="15" t="str">
        <f>IFERROR(__xludf.DUMMYFUNCTION("""COMPUTED_VALUE"""),"NUTRICION EN MOVIMIENTO")</f>
        <v>NUTRICION EN MOVIMIENTO</v>
      </c>
      <c r="H4704" s="16">
        <f>IFERROR(__xludf.DUMMYFUNCTION("""COMPUTED_VALUE"""),13448.0)</f>
        <v>13448</v>
      </c>
      <c r="I4704" s="18">
        <f>IFERROR(__xludf.DUMMYFUNCTION("""COMPUTED_VALUE"""),30.0)</f>
        <v>30</v>
      </c>
      <c r="J4704" s="18">
        <f>IFERROR(__xludf.DUMMYFUNCTION("""COMPUTED_VALUE"""),30.0)</f>
        <v>30</v>
      </c>
      <c r="K4704" s="18">
        <f>IFERROR(__xludf.DUMMYFUNCTION("""COMPUTED_VALUE"""),40.0)</f>
        <v>40</v>
      </c>
      <c r="L4704" s="17">
        <f>IFERROR(__xludf.DUMMYFUNCTION("""COMPUTED_VALUE"""),3.148101084E9)</f>
        <v>3148101084</v>
      </c>
      <c r="M4704" s="17" t="str">
        <f>IFERROR(__xludf.DUMMYFUNCTION("""COMPUTED_VALUE"""),"#REF!")</f>
        <v>#REF!</v>
      </c>
      <c r="N4704" s="17"/>
      <c r="O4704" s="17"/>
      <c r="P4704" s="17" t="b">
        <f>IFERROR(__xludf.DUMMYFUNCTION("""COMPUTED_VALUE"""),TRUE)</f>
        <v>1</v>
      </c>
      <c r="Q4704" s="20">
        <f>IFERROR(__xludf.DUMMYFUNCTION("""COMPUTED_VALUE"""),45139.71711519676)</f>
        <v>45139.71712</v>
      </c>
      <c r="R4704" s="21" t="str">
        <f>IFERROR(__xludf.DUMMYFUNCTION("""COMPUTED_VALUE"""),"https://drive.google.com/file/d/1H5jRbs92n1sOJRQrrasMmy8xVrtPdJtl/view?usp=drivesdk")</f>
        <v>https://drive.google.com/file/d/1H5jRbs92n1sOJRQrrasMmy8xVrtPdJtl/view?usp=drivesdk</v>
      </c>
    </row>
    <row r="4705">
      <c r="A4705" s="15">
        <f>IFERROR(__xludf.DUMMYFUNCTION("""COMPUTED_VALUE"""),45139.0)</f>
        <v>45139</v>
      </c>
      <c r="B4705" s="16" t="str">
        <f>IFERROR(__xludf.DUMMYFUNCTION("""COMPUTED_VALUE"""),"Anuar suarez jimenez ")</f>
        <v>Anuar suarez jimenez </v>
      </c>
      <c r="C4705" s="15" t="str">
        <f>IFERROR(__xludf.DUMMYFUNCTION("""COMPUTED_VALUE"""),"CALI")</f>
        <v>CALI</v>
      </c>
      <c r="D4705" s="15" t="str">
        <f>IFERROR(__xludf.DUMMYFUNCTION("""COMPUTED_VALUE"""),"BUCARAMANGA")</f>
        <v>BUCARAMANGA</v>
      </c>
      <c r="E4705" s="15" t="str">
        <f>IFERROR(__xludf.DUMMYFUNCTION("""COMPUTED_VALUE"""),"Yo Como Solito")</f>
        <v>Yo Como Solito</v>
      </c>
      <c r="F4705" s="17" t="str">
        <f>IFERROR(__xludf.DUMMYFUNCTION("""COMPUTED_VALUE"""),"Cra 26 i # 50- 11 B/nueva floresta piso 2 📍Cali - Valle / Cra 26 i # 50- 11 B/nueva floresta piso 2 📍Cali - Valle / Cra 26 i # 50- 11 B/nueva floresta piso 2 📍Cali - Valle")</f>
        <v>Cra 26 i # 50- 11 B/nueva floresta piso 2 📍Cali - Valle / Cra 26 i # 50- 11 B/nueva floresta piso 2 📍Cali - Valle / Cra 26 i # 50- 11 B/nueva floresta piso 2 📍Cali - Valle</v>
      </c>
      <c r="G4705" s="15" t="str">
        <f>IFERROR(__xludf.DUMMYFUNCTION("""COMPUTED_VALUE"""),"Eliana Alvarez")</f>
        <v>Eliana Alvarez</v>
      </c>
      <c r="H4705" s="16">
        <f>IFERROR(__xludf.DUMMYFUNCTION("""COMPUTED_VALUE"""),13356.0)</f>
        <v>13356</v>
      </c>
      <c r="I4705" s="18">
        <f>IFERROR(__xludf.DUMMYFUNCTION("""COMPUTED_VALUE"""),13.0)</f>
        <v>13</v>
      </c>
      <c r="J4705" s="18">
        <f>IFERROR(__xludf.DUMMYFUNCTION("""COMPUTED_VALUE"""),29.0)</f>
        <v>29</v>
      </c>
      <c r="K4705" s="18">
        <f>IFERROR(__xludf.DUMMYFUNCTION("""COMPUTED_VALUE"""),24.0)</f>
        <v>24</v>
      </c>
      <c r="L4705" s="17">
        <f>IFERROR(__xludf.DUMMYFUNCTION("""COMPUTED_VALUE"""),3.164048865E9)</f>
        <v>3164048865</v>
      </c>
      <c r="M4705" s="17" t="str">
        <f>IFERROR(__xludf.DUMMYFUNCTION("""COMPUTED_VALUE"""),"#REF!")</f>
        <v>#REF!</v>
      </c>
      <c r="N4705" s="17"/>
      <c r="O4705" s="17"/>
      <c r="P4705" s="17" t="b">
        <f>IFERROR(__xludf.DUMMYFUNCTION("""COMPUTED_VALUE"""),TRUE)</f>
        <v>1</v>
      </c>
      <c r="Q4705" s="20">
        <f>IFERROR(__xludf.DUMMYFUNCTION("""COMPUTED_VALUE"""),45139.66317767361)</f>
        <v>45139.66318</v>
      </c>
      <c r="R4705" s="21" t="str">
        <f>IFERROR(__xludf.DUMMYFUNCTION("""COMPUTED_VALUE"""),"https://drive.google.com/file/d/1HnM0d9P9NrGDECd-ApUasvP9iaIHkh6X/view?usp=drivesdk")</f>
        <v>https://drive.google.com/file/d/1HnM0d9P9NrGDECd-ApUasvP9iaIHkh6X/view?usp=drivesdk</v>
      </c>
    </row>
    <row r="4706">
      <c r="A4706" s="17" t="str">
        <f>IFERROR(__xludf.DUMMYFUNCTION("""COMPUTED_VALUE"""),"")</f>
        <v/>
      </c>
      <c r="B4706" s="17" t="str">
        <f>IFERROR(__xludf.DUMMYFUNCTION("""COMPUTED_VALUE"""),"")</f>
        <v/>
      </c>
      <c r="C4706" s="17" t="str">
        <f>IFERROR(__xludf.DUMMYFUNCTION("""COMPUTED_VALUE"""),"")</f>
        <v/>
      </c>
      <c r="D4706" s="17" t="str">
        <f>IFERROR(__xludf.DUMMYFUNCTION("""COMPUTED_VALUE"""),"")</f>
        <v/>
      </c>
      <c r="E4706" s="17" t="str">
        <f>IFERROR(__xludf.DUMMYFUNCTION("""COMPUTED_VALUE"""),"")</f>
        <v/>
      </c>
      <c r="F4706" s="17" t="str">
        <f>IFERROR(__xludf.DUMMYFUNCTION("""COMPUTED_VALUE"""),"")</f>
        <v/>
      </c>
      <c r="G4706" s="17" t="str">
        <f>IFERROR(__xludf.DUMMYFUNCTION("""COMPUTED_VALUE"""),"")</f>
        <v/>
      </c>
      <c r="H4706" s="17" t="str">
        <f>IFERROR(__xludf.DUMMYFUNCTION("""COMPUTED_VALUE"""),"")</f>
        <v/>
      </c>
      <c r="I4706" s="17" t="str">
        <f>IFERROR(__xludf.DUMMYFUNCTION("""COMPUTED_VALUE"""),"")</f>
        <v/>
      </c>
      <c r="J4706" s="17" t="str">
        <f>IFERROR(__xludf.DUMMYFUNCTION("""COMPUTED_VALUE"""),"")</f>
        <v/>
      </c>
      <c r="K4706" s="17" t="str">
        <f>IFERROR(__xludf.DUMMYFUNCTION("""COMPUTED_VALUE"""),"")</f>
        <v/>
      </c>
      <c r="L4706" s="17" t="str">
        <f>IFERROR(__xludf.DUMMYFUNCTION("""COMPUTED_VALUE"""),"")</f>
        <v/>
      </c>
      <c r="M4706" s="17" t="str">
        <f>IFERROR(__xludf.DUMMYFUNCTION("""COMPUTED_VALUE"""),"")</f>
        <v/>
      </c>
      <c r="N4706" s="17" t="str">
        <f>IFERROR(__xludf.DUMMYFUNCTION("""COMPUTED_VALUE"""),"")</f>
        <v/>
      </c>
      <c r="O4706" s="17" t="str">
        <f>IFERROR(__xludf.DUMMYFUNCTION("""COMPUTED_VALUE"""),"")</f>
        <v/>
      </c>
      <c r="P4706" s="17" t="str">
        <f>IFERROR(__xludf.DUMMYFUNCTION("""COMPUTED_VALUE"""),"")</f>
        <v/>
      </c>
      <c r="Q4706" s="17" t="str">
        <f>IFERROR(__xludf.DUMMYFUNCTION("""COMPUTED_VALUE"""),"")</f>
        <v/>
      </c>
      <c r="R4706" s="17" t="str">
        <f>IFERROR(__xludf.DUMMYFUNCTION("""COMPUTED_VALUE"""),"")</f>
        <v/>
      </c>
    </row>
    <row r="4707">
      <c r="A4707" s="15">
        <f>IFERROR(__xludf.DUMMYFUNCTION("""COMPUTED_VALUE"""),45139.0)</f>
        <v>45139</v>
      </c>
      <c r="B4707" s="16" t="str">
        <f>IFERROR(__xludf.DUMMYFUNCTION("""COMPUTED_VALUE"""),"Deivi Alejandro Quintero Corrales")</f>
        <v>Deivi Alejandro Quintero Corrales</v>
      </c>
      <c r="C4707" s="15" t="str">
        <f>IFERROR(__xludf.DUMMYFUNCTION("""COMPUTED_VALUE"""),"ARMENIA")</f>
        <v>ARMENIA</v>
      </c>
      <c r="D4707" s="15" t="str">
        <f>IFERROR(__xludf.DUMMYFUNCTION("""COMPUTED_VALUE"""),"MEDELLÍN")</f>
        <v>MEDELLÍN</v>
      </c>
      <c r="E4707" s="15" t="str">
        <f>IFERROR(__xludf.DUMMYFUNCTION("""COMPUTED_VALUE"""),"Baby Chef")</f>
        <v>Baby Chef</v>
      </c>
      <c r="F4707" s="17" t="str">
        <f>IFERROR(__xludf.DUMMYFUNCTION("""COMPUTED_VALUE"""),"Carrera 23 # 18 Norte 03 Mercedes Del Norte Palmares de alameda casa c11 / ""Carrera 23 # 18 Norte 03 Mercedes Del Norte Palmares de alameda casa c11"" / ""Carrera 23 # 18 Norte 03 Mercedes Del Norte Palmares de alameda casa c11""")</f>
        <v>Carrera 23 # 18 Norte 03 Mercedes Del Norte Palmares de alameda casa c11 / "Carrera 23 # 18 Norte 03 Mercedes Del Norte Palmares de alameda casa c11" / "Carrera 23 # 18 Norte 03 Mercedes Del Norte Palmares de alameda casa c11"</v>
      </c>
      <c r="G4707" s="15" t="str">
        <f>IFERROR(__xludf.DUMMYFUNCTION("""COMPUTED_VALUE"""),"Luisa Morales")</f>
        <v>Luisa Morales</v>
      </c>
      <c r="H4707" s="16">
        <f>IFERROR(__xludf.DUMMYFUNCTION("""COMPUTED_VALUE"""),13461.0)</f>
        <v>13461</v>
      </c>
      <c r="I4707" s="18">
        <f>IFERROR(__xludf.DUMMYFUNCTION("""COMPUTED_VALUE"""),8.0)</f>
        <v>8</v>
      </c>
      <c r="J4707" s="18">
        <f>IFERROR(__xludf.DUMMYFUNCTION("""COMPUTED_VALUE"""),36.0)</f>
        <v>36</v>
      </c>
      <c r="K4707" s="18">
        <f>IFERROR(__xludf.DUMMYFUNCTION("""COMPUTED_VALUE"""),19.0)</f>
        <v>19</v>
      </c>
      <c r="L4707" s="17">
        <f>IFERROR(__xludf.DUMMYFUNCTION("""COMPUTED_VALUE"""),3.023179774E9)</f>
        <v>3023179774</v>
      </c>
      <c r="M4707" s="17" t="str">
        <f>IFERROR(__xludf.DUMMYFUNCTION("""COMPUTED_VALUE"""),"#REF!")</f>
        <v>#REF!</v>
      </c>
      <c r="N4707" s="17"/>
      <c r="O4707" s="17"/>
      <c r="P4707" s="17" t="b">
        <f>IFERROR(__xludf.DUMMYFUNCTION("""COMPUTED_VALUE"""),TRUE)</f>
        <v>1</v>
      </c>
      <c r="Q4707" s="20">
        <f>IFERROR(__xludf.DUMMYFUNCTION("""COMPUTED_VALUE"""),45139.717064861106)</f>
        <v>45139.71706</v>
      </c>
      <c r="R4707" s="22" t="str">
        <f>IFERROR(__xludf.DUMMYFUNCTION("""COMPUTED_VALUE"""),"")</f>
        <v/>
      </c>
    </row>
    <row r="4708">
      <c r="A4708" s="15">
        <f>IFERROR(__xludf.DUMMYFUNCTION("""COMPUTED_VALUE"""),45139.0)</f>
        <v>45139</v>
      </c>
      <c r="B4708" s="16" t="str">
        <f>IFERROR(__xludf.DUMMYFUNCTION("""COMPUTED_VALUE"""),"Deivi Alejandro Quintero Corrales")</f>
        <v>Deivi Alejandro Quintero Corrales</v>
      </c>
      <c r="C4708" s="15" t="str">
        <f>IFERROR(__xludf.DUMMYFUNCTION("""COMPUTED_VALUE"""),"ARMENIA")</f>
        <v>ARMENIA</v>
      </c>
      <c r="D4708" s="15" t="str">
        <f>IFERROR(__xludf.DUMMYFUNCTION("""COMPUTED_VALUE"""),"MEDELLÍN")</f>
        <v>MEDELLÍN</v>
      </c>
      <c r="E4708" s="15" t="str">
        <f>IFERROR(__xludf.DUMMYFUNCTION("""COMPUTED_VALUE"""),"Baby Chef")</f>
        <v>Baby Chef</v>
      </c>
      <c r="F4708" s="17" t="str">
        <f>IFERROR(__xludf.DUMMYFUNCTION("""COMPUTED_VALUE"""),"Mz N casa # 8 Barrio La pavona Armenia Quindío / Mz N casa # 8 Barrio La pavona Armenia Quindío / Mz N casa # 8 Barrio La pavona Armenia Quindío")</f>
        <v>Mz N casa # 8 Barrio La pavona Armenia Quindío / Mz N casa # 8 Barrio La pavona Armenia Quindío / Mz N casa # 8 Barrio La pavona Armenia Quindío</v>
      </c>
      <c r="G4708" s="15" t="str">
        <f>IFERROR(__xludf.DUMMYFUNCTION("""COMPUTED_VALUE"""),"Jenniffer Mosquera")</f>
        <v>Jenniffer Mosquera</v>
      </c>
      <c r="H4708" s="16">
        <f>IFERROR(__xludf.DUMMYFUNCTION("""COMPUTED_VALUE"""),13462.0)</f>
        <v>13462</v>
      </c>
      <c r="I4708" s="18">
        <f>IFERROR(__xludf.DUMMYFUNCTION("""COMPUTED_VALUE"""),8.0)</f>
        <v>8</v>
      </c>
      <c r="J4708" s="18">
        <f>IFERROR(__xludf.DUMMYFUNCTION("""COMPUTED_VALUE"""),37.0)</f>
        <v>37</v>
      </c>
      <c r="K4708" s="18">
        <f>IFERROR(__xludf.DUMMYFUNCTION("""COMPUTED_VALUE"""),22.0)</f>
        <v>22</v>
      </c>
      <c r="L4708" s="17">
        <f>IFERROR(__xludf.DUMMYFUNCTION("""COMPUTED_VALUE"""),3.147696938E9)</f>
        <v>3147696938</v>
      </c>
      <c r="M4708" s="17" t="str">
        <f>IFERROR(__xludf.DUMMYFUNCTION("""COMPUTED_VALUE"""),"#REF!")</f>
        <v>#REF!</v>
      </c>
      <c r="N4708" s="17"/>
      <c r="O4708" s="17"/>
      <c r="P4708" s="17" t="b">
        <f>IFERROR(__xludf.DUMMYFUNCTION("""COMPUTED_VALUE"""),TRUE)</f>
        <v>1</v>
      </c>
      <c r="Q4708" s="20">
        <f>IFERROR(__xludf.DUMMYFUNCTION("""COMPUTED_VALUE"""),45140.59492695602)</f>
        <v>45140.59493</v>
      </c>
      <c r="R4708" s="22" t="str">
        <f>IFERROR(__xludf.DUMMYFUNCTION("""COMPUTED_VALUE"""),"")</f>
        <v/>
      </c>
    </row>
    <row r="4709">
      <c r="A4709" s="15">
        <f>IFERROR(__xludf.DUMMYFUNCTION("""COMPUTED_VALUE"""),45139.0)</f>
        <v>45139</v>
      </c>
      <c r="B4709" s="16" t="str">
        <f>IFERROR(__xludf.DUMMYFUNCTION("""COMPUTED_VALUE"""),"Deivi Alejandro Quintero Corrales")</f>
        <v>Deivi Alejandro Quintero Corrales</v>
      </c>
      <c r="C4709" s="15" t="str">
        <f>IFERROR(__xludf.DUMMYFUNCTION("""COMPUTED_VALUE"""),"PEREIRA")</f>
        <v>PEREIRA</v>
      </c>
      <c r="D4709" s="15" t="str">
        <f>IFERROR(__xludf.DUMMYFUNCTION("""COMPUTED_VALUE"""),"BOGOTÁ")</f>
        <v>BOGOTÁ</v>
      </c>
      <c r="E4709" s="15" t="str">
        <f>IFERROR(__xludf.DUMMYFUNCTION("""COMPUTED_VALUE"""),"Evamazzita")</f>
        <v>Evamazzita</v>
      </c>
      <c r="F4709" s="17" t="str">
        <f>IFERROR(__xludf.DUMMYFUNCTION("""COMPUTED_VALUE"""),"Calle 153#23-41 / Mz 1/casa 9 / Sol De Galicia")</f>
        <v>Calle 153#23-41 / Mz 1/casa 9 / Sol De Galicia</v>
      </c>
      <c r="G4709" s="15" t="str">
        <f>IFERROR(__xludf.DUMMYFUNCTION("""COMPUTED_VALUE"""),"PAULA FORERO")</f>
        <v>PAULA FORERO</v>
      </c>
      <c r="H4709" s="16">
        <f>IFERROR(__xludf.DUMMYFUNCTION("""COMPUTED_VALUE"""),13430.0)</f>
        <v>13430</v>
      </c>
      <c r="I4709" s="18">
        <f>IFERROR(__xludf.DUMMYFUNCTION("""COMPUTED_VALUE"""),6.0)</f>
        <v>6</v>
      </c>
      <c r="J4709" s="18">
        <f>IFERROR(__xludf.DUMMYFUNCTION("""COMPUTED_VALUE"""),25.0)</f>
        <v>25</v>
      </c>
      <c r="K4709" s="18">
        <f>IFERROR(__xludf.DUMMYFUNCTION("""COMPUTED_VALUE"""),25.0)</f>
        <v>25</v>
      </c>
      <c r="L4709" s="17">
        <f>IFERROR(__xludf.DUMMYFUNCTION("""COMPUTED_VALUE"""),3.115760231E9)</f>
        <v>3115760231</v>
      </c>
      <c r="M4709" s="17" t="str">
        <f>IFERROR(__xludf.DUMMYFUNCTION("""COMPUTED_VALUE"""),"#REF!")</f>
        <v>#REF!</v>
      </c>
      <c r="N4709" s="17"/>
      <c r="O4709" s="17"/>
      <c r="P4709" s="17" t="b">
        <f>IFERROR(__xludf.DUMMYFUNCTION("""COMPUTED_VALUE"""),TRUE)</f>
        <v>1</v>
      </c>
      <c r="Q4709" s="20">
        <f>IFERROR(__xludf.DUMMYFUNCTION("""COMPUTED_VALUE"""),45139.4784905787)</f>
        <v>45139.47849</v>
      </c>
      <c r="R4709" s="21" t="str">
        <f>IFERROR(__xludf.DUMMYFUNCTION("""COMPUTED_VALUE"""),"https://drive.google.com/file/d/1Jkt2nqUeTMMazIWS4dvPK0PdbEhREJHz/view?usp=drivesdk")</f>
        <v>https://drive.google.com/file/d/1Jkt2nqUeTMMazIWS4dvPK0PdbEhREJHz/view?usp=drivesdk</v>
      </c>
    </row>
    <row r="4710">
      <c r="A4710" s="15">
        <f>IFERROR(__xludf.DUMMYFUNCTION("""COMPUTED_VALUE"""),45139.0)</f>
        <v>45139</v>
      </c>
      <c r="B4710" s="16" t="str">
        <f>IFERROR(__xludf.DUMMYFUNCTION("""COMPUTED_VALUE"""),"Deivi Alejandro Quintero Corrales")</f>
        <v>Deivi Alejandro Quintero Corrales</v>
      </c>
      <c r="C4710" s="15" t="str">
        <f>IFERROR(__xludf.DUMMYFUNCTION("""COMPUTED_VALUE"""),"PEREIRA")</f>
        <v>PEREIRA</v>
      </c>
      <c r="D4710" s="15" t="str">
        <f>IFERROR(__xludf.DUMMYFUNCTION("""COMPUTED_VALUE"""),"BOGOTÁ")</f>
        <v>BOGOTÁ</v>
      </c>
      <c r="E4710" s="15" t="str">
        <f>IFERROR(__xludf.DUMMYFUNCTION("""COMPUTED_VALUE"""),"Ins. Alimento Vital")</f>
        <v>Ins. Alimento Vital</v>
      </c>
      <c r="F4710" s="17" t="str">
        <f>IFERROR(__xludf.DUMMYFUNCTION("""COMPUTED_VALUE"""),"CR 5 18 43 / EDIFICIO CHALJUB / BARRIO URIBE")</f>
        <v>CR 5 18 43 / EDIFICIO CHALJUB / BARRIO URIBE</v>
      </c>
      <c r="G4710" s="15" t="str">
        <f>IFERROR(__xludf.DUMMYFUNCTION("""COMPUTED_VALUE"""),"CHALJUB")</f>
        <v>CHALJUB</v>
      </c>
      <c r="H4710" s="16">
        <f>IFERROR(__xludf.DUMMYFUNCTION("""COMPUTED_VALUE"""),13413.0)</f>
        <v>13413</v>
      </c>
      <c r="I4710" s="18">
        <f>IFERROR(__xludf.DUMMYFUNCTION("""COMPUTED_VALUE"""),1.0)</f>
        <v>1</v>
      </c>
      <c r="J4710" s="18">
        <f>IFERROR(__xludf.DUMMYFUNCTION("""COMPUTED_VALUE"""),1.0)</f>
        <v>1</v>
      </c>
      <c r="K4710" s="18">
        <f>IFERROR(__xludf.DUMMYFUNCTION("""COMPUTED_VALUE"""),1.0)</f>
        <v>1</v>
      </c>
      <c r="L4710" s="17">
        <f>IFERROR(__xludf.DUMMYFUNCTION("""COMPUTED_VALUE"""),3.008252529E9)</f>
        <v>3008252529</v>
      </c>
      <c r="M4710" s="17" t="str">
        <f>IFERROR(__xludf.DUMMYFUNCTION("""COMPUTED_VALUE"""),"#REF!")</f>
        <v>#REF!</v>
      </c>
      <c r="N4710" s="17"/>
      <c r="O4710" s="17"/>
      <c r="P4710" s="17" t="b">
        <f>IFERROR(__xludf.DUMMYFUNCTION("""COMPUTED_VALUE"""),TRUE)</f>
        <v>1</v>
      </c>
      <c r="Q4710" s="20">
        <f>IFERROR(__xludf.DUMMYFUNCTION("""COMPUTED_VALUE"""),45139.478584375)</f>
        <v>45139.47858</v>
      </c>
      <c r="R4710" s="22" t="str">
        <f>IFERROR(__xludf.DUMMYFUNCTION("""COMPUTED_VALUE"""),"")</f>
        <v/>
      </c>
    </row>
    <row r="4711">
      <c r="A4711" s="15">
        <f>IFERROR(__xludf.DUMMYFUNCTION("""COMPUTED_VALUE"""),45139.0)</f>
        <v>45139</v>
      </c>
      <c r="B4711" s="16" t="str">
        <f>IFERROR(__xludf.DUMMYFUNCTION("""COMPUTED_VALUE"""),"Deivi Alejandro Quintero Corrales")</f>
        <v>Deivi Alejandro Quintero Corrales</v>
      </c>
      <c r="C4711" s="15" t="str">
        <f>IFERROR(__xludf.DUMMYFUNCTION("""COMPUTED_VALUE"""),"PEREIRA")</f>
        <v>PEREIRA</v>
      </c>
      <c r="D4711" s="15" t="str">
        <f>IFERROR(__xludf.DUMMYFUNCTION("""COMPUTED_VALUE"""),"BOGOTÁ")</f>
        <v>BOGOTÁ</v>
      </c>
      <c r="E4711" s="15" t="str">
        <f>IFERROR(__xludf.DUMMYFUNCTION("""COMPUTED_VALUE"""),"La Caja de Pan")</f>
        <v>La Caja de Pan</v>
      </c>
      <c r="F4711" s="17" t="str">
        <f>IFERROR(__xludf.DUMMYFUNCTION("""COMPUTED_VALUE"""),"Calle 12 bis # 16-18  / Casa Hoja / Pinares, Pereira")</f>
        <v>Calle 12 bis # 16-18  / Casa Hoja / Pinares, Pereira</v>
      </c>
      <c r="G4711" s="15" t="str">
        <f>IFERROR(__xludf.DUMMYFUNCTION("""COMPUTED_VALUE"""),"Hector Hernandez")</f>
        <v>Hector Hernandez</v>
      </c>
      <c r="H4711" s="16">
        <f>IFERROR(__xludf.DUMMYFUNCTION("""COMPUTED_VALUE"""),13460.0)</f>
        <v>13460</v>
      </c>
      <c r="I4711" s="18">
        <f>IFERROR(__xludf.DUMMYFUNCTION("""COMPUTED_VALUE"""),10.0)</f>
        <v>10</v>
      </c>
      <c r="J4711" s="18">
        <f>IFERROR(__xludf.DUMMYFUNCTION("""COMPUTED_VALUE"""),20.0)</f>
        <v>20</v>
      </c>
      <c r="K4711" s="18">
        <f>IFERROR(__xludf.DUMMYFUNCTION("""COMPUTED_VALUE"""),20.0)</f>
        <v>20</v>
      </c>
      <c r="L4711" s="17">
        <f>IFERROR(__xludf.DUMMYFUNCTION("""COMPUTED_VALUE"""),3.18591145E9)</f>
        <v>3185911450</v>
      </c>
      <c r="M4711" s="17" t="str">
        <f>IFERROR(__xludf.DUMMYFUNCTION("""COMPUTED_VALUE"""),"#REF!")</f>
        <v>#REF!</v>
      </c>
      <c r="N4711" s="17"/>
      <c r="O4711" s="17"/>
      <c r="P4711" s="17" t="b">
        <f>IFERROR(__xludf.DUMMYFUNCTION("""COMPUTED_VALUE"""),TRUE)</f>
        <v>1</v>
      </c>
      <c r="Q4711" s="20">
        <f>IFERROR(__xludf.DUMMYFUNCTION("""COMPUTED_VALUE"""),45139.47941975694)</f>
        <v>45139.47942</v>
      </c>
      <c r="R4711" s="21" t="str">
        <f>IFERROR(__xludf.DUMMYFUNCTION("""COMPUTED_VALUE"""),"https://drive.google.com/file/d/12cIFiaPlIXhcJc9rCdjz_dolqBgYcIBl/view?usp=drivesdk")</f>
        <v>https://drive.google.com/file/d/12cIFiaPlIXhcJc9rCdjz_dolqBgYcIBl/view?usp=drivesdk</v>
      </c>
    </row>
    <row r="4712">
      <c r="A4712" s="15">
        <f>IFERROR(__xludf.DUMMYFUNCTION("""COMPUTED_VALUE"""),45139.0)</f>
        <v>45139</v>
      </c>
      <c r="B4712" s="16" t="str">
        <f>IFERROR(__xludf.DUMMYFUNCTION("""COMPUTED_VALUE"""),"Deivi Alejandro Quintero Corrales")</f>
        <v>Deivi Alejandro Quintero Corrales</v>
      </c>
      <c r="C4712" s="15" t="str">
        <f>IFERROR(__xludf.DUMMYFUNCTION("""COMPUTED_VALUE"""),"PEREIRA")</f>
        <v>PEREIRA</v>
      </c>
      <c r="D4712" s="15" t="str">
        <f>IFERROR(__xludf.DUMMYFUNCTION("""COMPUTED_VALUE"""),"BOGOTÁ")</f>
        <v>BOGOTÁ</v>
      </c>
      <c r="E4712" s="15" t="str">
        <f>IFERROR(__xludf.DUMMYFUNCTION("""COMPUTED_VALUE"""),"Top Spun")</f>
        <v>Top Spun</v>
      </c>
      <c r="F4712" s="17" t="str">
        <f>IFERROR(__xludf.DUMMYFUNCTION("""COMPUTED_VALUE"""),"Av Las Américas # 85 - 80 / Apto 3015 / Parque Residencial San Silvestre")</f>
        <v>Av Las Américas # 85 - 80 / Apto 3015 / Parque Residencial San Silvestre</v>
      </c>
      <c r="G4712" s="15" t="str">
        <f>IFERROR(__xludf.DUMMYFUNCTION("""COMPUTED_VALUE"""),"Stephany Colorado")</f>
        <v>Stephany Colorado</v>
      </c>
      <c r="H4712" s="16">
        <f>IFERROR(__xludf.DUMMYFUNCTION("""COMPUTED_VALUE"""),13399.0)</f>
        <v>13399</v>
      </c>
      <c r="I4712" s="18">
        <f>IFERROR(__xludf.DUMMYFUNCTION("""COMPUTED_VALUE"""),20.0)</f>
        <v>20</v>
      </c>
      <c r="J4712" s="18">
        <f>IFERROR(__xludf.DUMMYFUNCTION("""COMPUTED_VALUE"""),10.0)</f>
        <v>10</v>
      </c>
      <c r="K4712" s="18">
        <f>IFERROR(__xludf.DUMMYFUNCTION("""COMPUTED_VALUE"""),40.0)</f>
        <v>40</v>
      </c>
      <c r="L4712" s="17">
        <f>IFERROR(__xludf.DUMMYFUNCTION("""COMPUTED_VALUE"""),3.137239429E9)</f>
        <v>3137239429</v>
      </c>
      <c r="M4712" s="17" t="str">
        <f>IFERROR(__xludf.DUMMYFUNCTION("""COMPUTED_VALUE"""),"#REF!")</f>
        <v>#REF!</v>
      </c>
      <c r="N4712" s="17"/>
      <c r="O4712" s="17"/>
      <c r="P4712" s="17" t="b">
        <f>IFERROR(__xludf.DUMMYFUNCTION("""COMPUTED_VALUE"""),TRUE)</f>
        <v>1</v>
      </c>
      <c r="Q4712" s="20">
        <f>IFERROR(__xludf.DUMMYFUNCTION("""COMPUTED_VALUE"""),45139.717011319444)</f>
        <v>45139.71701</v>
      </c>
      <c r="R4712" s="21" t="str">
        <f>IFERROR(__xludf.DUMMYFUNCTION("""COMPUTED_VALUE"""),"https://drive.google.com/file/d/1qviJtUybpO1FRcztZ9ui-mK-CcfZ1Zgc/view?usp=drivesdk")</f>
        <v>https://drive.google.com/file/d/1qviJtUybpO1FRcztZ9ui-mK-CcfZ1Zgc/view?usp=drivesdk</v>
      </c>
    </row>
    <row r="4713">
      <c r="A4713" s="15">
        <f>IFERROR(__xludf.DUMMYFUNCTION("""COMPUTED_VALUE"""),45139.0)</f>
        <v>45139</v>
      </c>
      <c r="B4713" s="16" t="str">
        <f>IFERROR(__xludf.DUMMYFUNCTION("""COMPUTED_VALUE"""),"Deivi Alejandro Quintero Corrales")</f>
        <v>Deivi Alejandro Quintero Corrales</v>
      </c>
      <c r="C4713" s="15" t="str">
        <f>IFERROR(__xludf.DUMMYFUNCTION("""COMPUTED_VALUE"""),"PEREIRA")</f>
        <v>PEREIRA</v>
      </c>
      <c r="D4713" s="15" t="str">
        <f>IFERROR(__xludf.DUMMYFUNCTION("""COMPUTED_VALUE"""),"MEDELLÍN")</f>
        <v>MEDELLÍN</v>
      </c>
      <c r="E4713" s="15" t="str">
        <f>IFERROR(__xludf.DUMMYFUNCTION("""COMPUTED_VALUE"""),"Baby Chef")</f>
        <v>Baby Chef</v>
      </c>
      <c r="F4713" s="17" t="str">
        <f>IFERROR(__xludf.DUMMYFUNCTION("""COMPUTED_VALUE"""),"Calle 16 # 5-38 centro, local cámaras  / Calle 16 # 5-38 centro, local cámaras  / Calle 16 # 5-38 centro, local cámaras")</f>
        <v>Calle 16 # 5-38 centro, local cámaras  / Calle 16 # 5-38 centro, local cámaras  / Calle 16 # 5-38 centro, local cámaras</v>
      </c>
      <c r="G4713" s="15" t="str">
        <f>IFERROR(__xludf.DUMMYFUNCTION("""COMPUTED_VALUE"""),"Leidy Dahiana Colorado")</f>
        <v>Leidy Dahiana Colorado</v>
      </c>
      <c r="H4713" s="16">
        <f>IFERROR(__xludf.DUMMYFUNCTION("""COMPUTED_VALUE"""),13464.0)</f>
        <v>13464</v>
      </c>
      <c r="I4713" s="18">
        <f>IFERROR(__xludf.DUMMYFUNCTION("""COMPUTED_VALUE"""),8.0)</f>
        <v>8</v>
      </c>
      <c r="J4713" s="18">
        <f>IFERROR(__xludf.DUMMYFUNCTION("""COMPUTED_VALUE"""),30.0)</f>
        <v>30</v>
      </c>
      <c r="K4713" s="18">
        <f>IFERROR(__xludf.DUMMYFUNCTION("""COMPUTED_VALUE"""),22.0)</f>
        <v>22</v>
      </c>
      <c r="L4713" s="17">
        <f>IFERROR(__xludf.DUMMYFUNCTION("""COMPUTED_VALUE"""),3.17367338E9)</f>
        <v>3173673380</v>
      </c>
      <c r="M4713" s="17" t="str">
        <f>IFERROR(__xludf.DUMMYFUNCTION("""COMPUTED_VALUE"""),"#REF!")</f>
        <v>#REF!</v>
      </c>
      <c r="N4713" s="17"/>
      <c r="O4713" s="17"/>
      <c r="P4713" s="17" t="b">
        <f>IFERROR(__xludf.DUMMYFUNCTION("""COMPUTED_VALUE"""),TRUE)</f>
        <v>1</v>
      </c>
      <c r="Q4713" s="20">
        <f>IFERROR(__xludf.DUMMYFUNCTION("""COMPUTED_VALUE"""),45139.60875380787)</f>
        <v>45139.60875</v>
      </c>
      <c r="R4713" s="21" t="str">
        <f>IFERROR(__xludf.DUMMYFUNCTION("""COMPUTED_VALUE"""),"https://drive.google.com/file/d/1VbDEI_7p1dsPrv7hLm0dI2OwQzfXcdpE/view?usp=drivesdk")</f>
        <v>https://drive.google.com/file/d/1VbDEI_7p1dsPrv7hLm0dI2OwQzfXcdpE/view?usp=drivesdk</v>
      </c>
    </row>
    <row r="4714">
      <c r="A4714" s="15">
        <f>IFERROR(__xludf.DUMMYFUNCTION("""COMPUTED_VALUE"""),45139.0)</f>
        <v>45139</v>
      </c>
      <c r="B4714" s="16" t="str">
        <f>IFERROR(__xludf.DUMMYFUNCTION("""COMPUTED_VALUE"""),"Deivi Alejandro Quintero Corrales")</f>
        <v>Deivi Alejandro Quintero Corrales</v>
      </c>
      <c r="C4714" s="15" t="str">
        <f>IFERROR(__xludf.DUMMYFUNCTION("""COMPUTED_VALUE"""),"PEREIRA")</f>
        <v>PEREIRA</v>
      </c>
      <c r="D4714" s="15" t="str">
        <f>IFERROR(__xludf.DUMMYFUNCTION("""COMPUTED_VALUE"""),"MEDELLÍN")</f>
        <v>MEDELLÍN</v>
      </c>
      <c r="E4714" s="15" t="str">
        <f>IFERROR(__xludf.DUMMYFUNCTION("""COMPUTED_VALUE"""),"Baby Chef")</f>
        <v>Baby Chef</v>
      </c>
      <c r="F4714" s="17" t="str">
        <f>IFERROR(__xludf.DUMMYFUNCTION("""COMPUTED_VALUE"""),"conjunto batara parque central torre 3 apto 408 / conjunto batara parque central torre 3 apto 408 / conjunto batara parque central torre 3 apto 408")</f>
        <v>conjunto batara parque central torre 3 apto 408 / conjunto batara parque central torre 3 apto 408 / conjunto batara parque central torre 3 apto 408</v>
      </c>
      <c r="G4714" s="15" t="str">
        <f>IFERROR(__xludf.DUMMYFUNCTION("""COMPUTED_VALUE"""),"Angela Marín Gutierrez")</f>
        <v>Angela Marín Gutierrez</v>
      </c>
      <c r="H4714" s="16">
        <f>IFERROR(__xludf.DUMMYFUNCTION("""COMPUTED_VALUE"""),13465.0)</f>
        <v>13465</v>
      </c>
      <c r="I4714" s="18">
        <f>IFERROR(__xludf.DUMMYFUNCTION("""COMPUTED_VALUE"""),8.0)</f>
        <v>8</v>
      </c>
      <c r="J4714" s="18">
        <f>IFERROR(__xludf.DUMMYFUNCTION("""COMPUTED_VALUE"""),37.0)</f>
        <v>37</v>
      </c>
      <c r="K4714" s="18">
        <f>IFERROR(__xludf.DUMMYFUNCTION("""COMPUTED_VALUE"""),20.0)</f>
        <v>20</v>
      </c>
      <c r="L4714" s="17">
        <f>IFERROR(__xludf.DUMMYFUNCTION("""COMPUTED_VALUE"""),3.128423688E9)</f>
        <v>3128423688</v>
      </c>
      <c r="M4714" s="17" t="str">
        <f>IFERROR(__xludf.DUMMYFUNCTION("""COMPUTED_VALUE"""),"#REF!")</f>
        <v>#REF!</v>
      </c>
      <c r="N4714" s="17"/>
      <c r="O4714" s="17"/>
      <c r="P4714" s="17" t="b">
        <f>IFERROR(__xludf.DUMMYFUNCTION("""COMPUTED_VALUE"""),TRUE)</f>
        <v>1</v>
      </c>
      <c r="Q4714" s="20">
        <f>IFERROR(__xludf.DUMMYFUNCTION("""COMPUTED_VALUE"""),45139.60861456019)</f>
        <v>45139.60861</v>
      </c>
      <c r="R4714" s="21" t="str">
        <f>IFERROR(__xludf.DUMMYFUNCTION("""COMPUTED_VALUE"""),"https://drive.google.com/file/d/11r316vVZEFVrCBYF_Rbg9TGn9njC3TJm/view?usp=drivesdk")</f>
        <v>https://drive.google.com/file/d/11r316vVZEFVrCBYF_Rbg9TGn9njC3TJm/view?usp=drivesdk</v>
      </c>
    </row>
    <row r="4715">
      <c r="A4715" s="17" t="str">
        <f>IFERROR(__xludf.DUMMYFUNCTION("""COMPUTED_VALUE"""),"")</f>
        <v/>
      </c>
      <c r="B4715" s="17" t="str">
        <f>IFERROR(__xludf.DUMMYFUNCTION("""COMPUTED_VALUE"""),"")</f>
        <v/>
      </c>
      <c r="C4715" s="17" t="str">
        <f>IFERROR(__xludf.DUMMYFUNCTION("""COMPUTED_VALUE"""),"")</f>
        <v/>
      </c>
      <c r="D4715" s="17" t="str">
        <f>IFERROR(__xludf.DUMMYFUNCTION("""COMPUTED_VALUE"""),"")</f>
        <v/>
      </c>
      <c r="E4715" s="17" t="str">
        <f>IFERROR(__xludf.DUMMYFUNCTION("""COMPUTED_VALUE"""),"")</f>
        <v/>
      </c>
      <c r="F4715" s="17" t="str">
        <f>IFERROR(__xludf.DUMMYFUNCTION("""COMPUTED_VALUE"""),"")</f>
        <v/>
      </c>
      <c r="G4715" s="17" t="str">
        <f>IFERROR(__xludf.DUMMYFUNCTION("""COMPUTED_VALUE"""),"")</f>
        <v/>
      </c>
      <c r="H4715" s="17" t="str">
        <f>IFERROR(__xludf.DUMMYFUNCTION("""COMPUTED_VALUE"""),"")</f>
        <v/>
      </c>
      <c r="I4715" s="17" t="str">
        <f>IFERROR(__xludf.DUMMYFUNCTION("""COMPUTED_VALUE"""),"")</f>
        <v/>
      </c>
      <c r="J4715" s="17" t="str">
        <f>IFERROR(__xludf.DUMMYFUNCTION("""COMPUTED_VALUE"""),"")</f>
        <v/>
      </c>
      <c r="K4715" s="17" t="str">
        <f>IFERROR(__xludf.DUMMYFUNCTION("""COMPUTED_VALUE"""),"")</f>
        <v/>
      </c>
      <c r="L4715" s="17" t="str">
        <f>IFERROR(__xludf.DUMMYFUNCTION("""COMPUTED_VALUE"""),"")</f>
        <v/>
      </c>
      <c r="M4715" s="17" t="str">
        <f>IFERROR(__xludf.DUMMYFUNCTION("""COMPUTED_VALUE"""),"")</f>
        <v/>
      </c>
      <c r="N4715" s="17" t="str">
        <f>IFERROR(__xludf.DUMMYFUNCTION("""COMPUTED_VALUE"""),"")</f>
        <v/>
      </c>
      <c r="O4715" s="17" t="str">
        <f>IFERROR(__xludf.DUMMYFUNCTION("""COMPUTED_VALUE"""),"")</f>
        <v/>
      </c>
      <c r="P4715" s="17" t="str">
        <f>IFERROR(__xludf.DUMMYFUNCTION("""COMPUTED_VALUE"""),"")</f>
        <v/>
      </c>
      <c r="Q4715" s="17" t="str">
        <f>IFERROR(__xludf.DUMMYFUNCTION("""COMPUTED_VALUE"""),"")</f>
        <v/>
      </c>
      <c r="R4715" s="17" t="str">
        <f>IFERROR(__xludf.DUMMYFUNCTION("""COMPUTED_VALUE"""),"")</f>
        <v/>
      </c>
    </row>
    <row r="4716">
      <c r="A4716" s="15">
        <f>IFERROR(__xludf.DUMMYFUNCTION("""COMPUTED_VALUE"""),45139.0)</f>
        <v>45139</v>
      </c>
      <c r="B4716" s="16" t="str">
        <f>IFERROR(__xludf.DUMMYFUNCTION("""COMPUTED_VALUE"""),"Duvan Gabriel Alvarez Giron")</f>
        <v>Duvan Gabriel Alvarez Giron</v>
      </c>
      <c r="C4716" s="15" t="str">
        <f>IFERROR(__xludf.DUMMYFUNCTION("""COMPUTED_VALUE"""),"FLORIDABLANCA")</f>
        <v>FLORIDABLANCA</v>
      </c>
      <c r="D4716" s="15" t="str">
        <f>IFERROR(__xludf.DUMMYFUNCTION("""COMPUTED_VALUE"""),"BOGOTÁ")</f>
        <v>BOGOTÁ</v>
      </c>
      <c r="E4716" s="15" t="str">
        <f>IFERROR(__xludf.DUMMYFUNCTION("""COMPUTED_VALUE"""),"Asociacion Agropecuaria Juana Maria")</f>
        <v>Asociacion Agropecuaria Juana Maria</v>
      </c>
      <c r="F4716" s="17" t="str">
        <f>IFERROR(__xludf.DUMMYFUNCTION("""COMPUTED_VALUE"""),"Calle 19 #11-37 Guanatá FLORIDABLANCA")</f>
        <v>Calle 19 #11-37 Guanatá FLORIDABLANCA</v>
      </c>
      <c r="G4716" s="15" t="str">
        <f>IFERROR(__xludf.DUMMYFUNCTION("""COMPUTED_VALUE"""),"Claudia Gonzalez")</f>
        <v>Claudia Gonzalez</v>
      </c>
      <c r="H4716" s="16">
        <f>IFERROR(__xludf.DUMMYFUNCTION("""COMPUTED_VALUE"""),13402.0)</f>
        <v>13402</v>
      </c>
      <c r="I4716" s="18">
        <f>IFERROR(__xludf.DUMMYFUNCTION("""COMPUTED_VALUE"""),16.0)</f>
        <v>16</v>
      </c>
      <c r="J4716" s="18">
        <f>IFERROR(__xludf.DUMMYFUNCTION("""COMPUTED_VALUE"""),34.0)</f>
        <v>34</v>
      </c>
      <c r="K4716" s="18">
        <f>IFERROR(__xludf.DUMMYFUNCTION("""COMPUTED_VALUE"""),25.0)</f>
        <v>25</v>
      </c>
      <c r="L4716" s="17">
        <f>IFERROR(__xludf.DUMMYFUNCTION("""COMPUTED_VALUE"""),3.002802001E9)</f>
        <v>3002802001</v>
      </c>
      <c r="M4716" s="17" t="str">
        <f>IFERROR(__xludf.DUMMYFUNCTION("""COMPUTED_VALUE"""),"#REF!")</f>
        <v>#REF!</v>
      </c>
      <c r="N4716" s="17"/>
      <c r="O4716" s="17"/>
      <c r="P4716" s="17" t="b">
        <f>IFERROR(__xludf.DUMMYFUNCTION("""COMPUTED_VALUE"""),TRUE)</f>
        <v>1</v>
      </c>
      <c r="Q4716" s="20">
        <f>IFERROR(__xludf.DUMMYFUNCTION("""COMPUTED_VALUE"""),45139.47906322917)</f>
        <v>45139.47906</v>
      </c>
      <c r="R4716" s="22" t="str">
        <f>IFERROR(__xludf.DUMMYFUNCTION("""COMPUTED_VALUE"""),"")</f>
        <v/>
      </c>
    </row>
    <row r="4717">
      <c r="A4717" s="15">
        <f>IFERROR(__xludf.DUMMYFUNCTION("""COMPUTED_VALUE"""),45139.0)</f>
        <v>45139</v>
      </c>
      <c r="B4717" s="16" t="str">
        <f>IFERROR(__xludf.DUMMYFUNCTION("""COMPUTED_VALUE"""),"Duvan Gabriel Alvarez Giron")</f>
        <v>Duvan Gabriel Alvarez Giron</v>
      </c>
      <c r="C4717" s="15" t="str">
        <f>IFERROR(__xludf.DUMMYFUNCTION("""COMPUTED_VALUE"""),"FLORIDABLANCA")</f>
        <v>FLORIDABLANCA</v>
      </c>
      <c r="D4717" s="15" t="str">
        <f>IFERROR(__xludf.DUMMYFUNCTION("""COMPUTED_VALUE"""),"MEDELLÍN")</f>
        <v>MEDELLÍN</v>
      </c>
      <c r="E4717" s="15" t="str">
        <f>IFERROR(__xludf.DUMMYFUNCTION("""COMPUTED_VALUE"""),"Baby Chef")</f>
        <v>Baby Chef</v>
      </c>
      <c r="F4717" s="17" t="str">
        <f>IFERROR(__xludf.DUMMYFUNCTION("""COMPUTED_VALUE"""),"Transv. 154 150-26 T1 apto.1206 Torres del bosque Barrio Palomitas / Transv. 154 150-26 T1 apto.1206 Torres del bosque Barrio Palomitas / Transv. 154 150-26 T1 apto.1206 Torres del bosque Barrio Palomitas")</f>
        <v>Transv. 154 150-26 T1 apto.1206 Torres del bosque Barrio Palomitas / Transv. 154 150-26 T1 apto.1206 Torres del bosque Barrio Palomitas / Transv. 154 150-26 T1 apto.1206 Torres del bosque Barrio Palomitas</v>
      </c>
      <c r="G4717" s="15" t="str">
        <f>IFERROR(__xludf.DUMMYFUNCTION("""COMPUTED_VALUE"""),"Nelly Barajas")</f>
        <v>Nelly Barajas</v>
      </c>
      <c r="H4717" s="16">
        <f>IFERROR(__xludf.DUMMYFUNCTION("""COMPUTED_VALUE"""),13471.0)</f>
        <v>13471</v>
      </c>
      <c r="I4717" s="18">
        <f>IFERROR(__xludf.DUMMYFUNCTION("""COMPUTED_VALUE"""),8.0)</f>
        <v>8</v>
      </c>
      <c r="J4717" s="18">
        <f>IFERROR(__xludf.DUMMYFUNCTION("""COMPUTED_VALUE"""),21.0)</f>
        <v>21</v>
      </c>
      <c r="K4717" s="18">
        <f>IFERROR(__xludf.DUMMYFUNCTION("""COMPUTED_VALUE"""),37.0)</f>
        <v>37</v>
      </c>
      <c r="L4717" s="17">
        <f>IFERROR(__xludf.DUMMYFUNCTION("""COMPUTED_VALUE"""),3.014247493E9)</f>
        <v>3014247493</v>
      </c>
      <c r="M4717" s="17" t="str">
        <f>IFERROR(__xludf.DUMMYFUNCTION("""COMPUTED_VALUE"""),"#REF!")</f>
        <v>#REF!</v>
      </c>
      <c r="N4717" s="17"/>
      <c r="O4717" s="17"/>
      <c r="P4717" s="17" t="b">
        <f>IFERROR(__xludf.DUMMYFUNCTION("""COMPUTED_VALUE"""),TRUE)</f>
        <v>1</v>
      </c>
      <c r="Q4717" s="20">
        <f>IFERROR(__xludf.DUMMYFUNCTION("""COMPUTED_VALUE"""),45139.47912383101)</f>
        <v>45139.47912</v>
      </c>
      <c r="R4717" s="21" t="str">
        <f>IFERROR(__xludf.DUMMYFUNCTION("""COMPUTED_VALUE"""),"https://drive.google.com/file/d/1bIs0i8V7BlS0qDZ8lPZnvxGNEOgAX7Um/view?usp=drivesdk")</f>
        <v>https://drive.google.com/file/d/1bIs0i8V7BlS0qDZ8lPZnvxGNEOgAX7Um/view?usp=drivesdk</v>
      </c>
    </row>
    <row r="4718">
      <c r="A4718" s="15">
        <f>IFERROR(__xludf.DUMMYFUNCTION("""COMPUTED_VALUE"""),45139.0)</f>
        <v>45139</v>
      </c>
      <c r="B4718" s="16" t="str">
        <f>IFERROR(__xludf.DUMMYFUNCTION("""COMPUTED_VALUE"""),"Duvan Gabriel Alvarez Giron")</f>
        <v>Duvan Gabriel Alvarez Giron</v>
      </c>
      <c r="C4718" s="15" t="str">
        <f>IFERROR(__xludf.DUMMYFUNCTION("""COMPUTED_VALUE"""),"IBAGUÉ")</f>
        <v>IBAGUÉ</v>
      </c>
      <c r="D4718" s="15" t="str">
        <f>IFERROR(__xludf.DUMMYFUNCTION("""COMPUTED_VALUE"""),"BOGOTÁ")</f>
        <v>BOGOTÁ</v>
      </c>
      <c r="E4718" s="15" t="str">
        <f>IFERROR(__xludf.DUMMYFUNCTION("""COMPUTED_VALUE"""),"Evamazzita")</f>
        <v>Evamazzita</v>
      </c>
      <c r="F4718" s="17" t="str">
        <f>IFERROR(__xludf.DUMMYFUNCTION("""COMPUTED_VALUE"""),"Calle 93#7 Sur-90 / Torre 7/apto701 / Conjunto parque residencial altagracia")</f>
        <v>Calle 93#7 Sur-90 / Torre 7/apto701 / Conjunto parque residencial altagracia</v>
      </c>
      <c r="G4718" s="15" t="str">
        <f>IFERROR(__xludf.DUMMYFUNCTION("""COMPUTED_VALUE"""),"MARIAM MURRILLO")</f>
        <v>MARIAM MURRILLO</v>
      </c>
      <c r="H4718" s="16">
        <f>IFERROR(__xludf.DUMMYFUNCTION("""COMPUTED_VALUE"""),13433.0)</f>
        <v>13433</v>
      </c>
      <c r="I4718" s="18">
        <f>IFERROR(__xludf.DUMMYFUNCTION("""COMPUTED_VALUE"""),15.0)</f>
        <v>15</v>
      </c>
      <c r="J4718" s="18">
        <f>IFERROR(__xludf.DUMMYFUNCTION("""COMPUTED_VALUE"""),38.0)</f>
        <v>38</v>
      </c>
      <c r="K4718" s="18">
        <f>IFERROR(__xludf.DUMMYFUNCTION("""COMPUTED_VALUE"""),45.0)</f>
        <v>45</v>
      </c>
      <c r="L4718" s="17">
        <f>IFERROR(__xludf.DUMMYFUNCTION("""COMPUTED_VALUE"""),3.105789664E9)</f>
        <v>3105789664</v>
      </c>
      <c r="M4718" s="17" t="str">
        <f>IFERROR(__xludf.DUMMYFUNCTION("""COMPUTED_VALUE"""),"#REF!")</f>
        <v>#REF!</v>
      </c>
      <c r="N4718" s="17"/>
      <c r="O4718" s="17"/>
      <c r="P4718" s="17" t="b">
        <f>IFERROR(__xludf.DUMMYFUNCTION("""COMPUTED_VALUE"""),TRUE)</f>
        <v>1</v>
      </c>
      <c r="Q4718" s="20">
        <f>IFERROR(__xludf.DUMMYFUNCTION("""COMPUTED_VALUE"""),45139.609238310186)</f>
        <v>45139.60924</v>
      </c>
      <c r="R4718" s="21" t="str">
        <f>IFERROR(__xludf.DUMMYFUNCTION("""COMPUTED_VALUE"""),"https://drive.google.com/file/d/1wjYDq0gog2SbuYAYcdNZ5U3Nk4RollcV/view?usp=drivesdk")</f>
        <v>https://drive.google.com/file/d/1wjYDq0gog2SbuYAYcdNZ5U3Nk4RollcV/view?usp=drivesdk</v>
      </c>
    </row>
    <row r="4719">
      <c r="A4719" s="17" t="str">
        <f>IFERROR(__xludf.DUMMYFUNCTION("""COMPUTED_VALUE"""),"")</f>
        <v/>
      </c>
      <c r="B4719" s="17" t="str">
        <f>IFERROR(__xludf.DUMMYFUNCTION("""COMPUTED_VALUE"""),"")</f>
        <v/>
      </c>
      <c r="C4719" s="17" t="str">
        <f>IFERROR(__xludf.DUMMYFUNCTION("""COMPUTED_VALUE"""),"")</f>
        <v/>
      </c>
      <c r="D4719" s="17" t="str">
        <f>IFERROR(__xludf.DUMMYFUNCTION("""COMPUTED_VALUE"""),"")</f>
        <v/>
      </c>
      <c r="E4719" s="17" t="str">
        <f>IFERROR(__xludf.DUMMYFUNCTION("""COMPUTED_VALUE"""),"")</f>
        <v/>
      </c>
      <c r="F4719" s="17" t="str">
        <f>IFERROR(__xludf.DUMMYFUNCTION("""COMPUTED_VALUE"""),"")</f>
        <v/>
      </c>
      <c r="G4719" s="17" t="str">
        <f>IFERROR(__xludf.DUMMYFUNCTION("""COMPUTED_VALUE"""),"")</f>
        <v/>
      </c>
      <c r="H4719" s="17" t="str">
        <f>IFERROR(__xludf.DUMMYFUNCTION("""COMPUTED_VALUE"""),"")</f>
        <v/>
      </c>
      <c r="I4719" s="17" t="str">
        <f>IFERROR(__xludf.DUMMYFUNCTION("""COMPUTED_VALUE"""),"")</f>
        <v/>
      </c>
      <c r="J4719" s="17" t="str">
        <f>IFERROR(__xludf.DUMMYFUNCTION("""COMPUTED_VALUE"""),"")</f>
        <v/>
      </c>
      <c r="K4719" s="17" t="str">
        <f>IFERROR(__xludf.DUMMYFUNCTION("""COMPUTED_VALUE"""),"")</f>
        <v/>
      </c>
      <c r="L4719" s="17" t="str">
        <f>IFERROR(__xludf.DUMMYFUNCTION("""COMPUTED_VALUE"""),"")</f>
        <v/>
      </c>
      <c r="M4719" s="17" t="str">
        <f>IFERROR(__xludf.DUMMYFUNCTION("""COMPUTED_VALUE"""),"")</f>
        <v/>
      </c>
      <c r="N4719" s="17" t="str">
        <f>IFERROR(__xludf.DUMMYFUNCTION("""COMPUTED_VALUE"""),"")</f>
        <v/>
      </c>
      <c r="O4719" s="17" t="str">
        <f>IFERROR(__xludf.DUMMYFUNCTION("""COMPUTED_VALUE"""),"")</f>
        <v/>
      </c>
      <c r="P4719" s="17" t="str">
        <f>IFERROR(__xludf.DUMMYFUNCTION("""COMPUTED_VALUE"""),"")</f>
        <v/>
      </c>
      <c r="Q4719" s="17" t="str">
        <f>IFERROR(__xludf.DUMMYFUNCTION("""COMPUTED_VALUE"""),"")</f>
        <v/>
      </c>
      <c r="R4719" s="17" t="str">
        <f>IFERROR(__xludf.DUMMYFUNCTION("""COMPUTED_VALUE"""),"")</f>
        <v/>
      </c>
    </row>
    <row r="4720">
      <c r="A4720" s="15">
        <f>IFERROR(__xludf.DUMMYFUNCTION("""COMPUTED_VALUE"""),45139.0)</f>
        <v>45139</v>
      </c>
      <c r="B4720" s="16" t="str">
        <f>IFERROR(__xludf.DUMMYFUNCTION("""COMPUTED_VALUE"""),"Envia")</f>
        <v>Envia</v>
      </c>
      <c r="C4720" s="15" t="str">
        <f>IFERROR(__xludf.DUMMYFUNCTION("""COMPUTED_VALUE"""),"BARRANQUILLA")</f>
        <v>BARRANQUILLA</v>
      </c>
      <c r="D4720" s="15" t="str">
        <f>IFERROR(__xludf.DUMMYFUNCTION("""COMPUTED_VALUE"""),"BOGOTÁ")</f>
        <v>BOGOTÁ</v>
      </c>
      <c r="E4720" s="15" t="str">
        <f>IFERROR(__xludf.DUMMYFUNCTION("""COMPUTED_VALUE"""),"Mochi")</f>
        <v>Mochi</v>
      </c>
      <c r="F4720" s="17" t="str">
        <f>IFERROR(__xludf.DUMMYFUNCTION("""COMPUTED_VALUE"""),"Cra. 51B #87-50, Riomar, Barranquilla, Atlántico / Cra. 51B #87-50, Riomar, Barranquilla, Atlántico / Cra. 51B #87-50, Riomar, Barranquilla, Atlántico")</f>
        <v>Cra. 51B #87-50, Riomar, Barranquilla, Atlántico / Cra. 51B #87-50, Riomar, Barranquilla, Atlántico / Cra. 51B #87-50, Riomar, Barranquilla, Atlántico</v>
      </c>
      <c r="G4720" s="15" t="str">
        <f>IFERROR(__xludf.DUMMYFUNCTION("""COMPUTED_VALUE"""),"YINNA")</f>
        <v>YINNA</v>
      </c>
      <c r="H4720" s="16">
        <f>IFERROR(__xludf.DUMMYFUNCTION("""COMPUTED_VALUE"""),13458.0)</f>
        <v>13458</v>
      </c>
      <c r="I4720" s="18">
        <f>IFERROR(__xludf.DUMMYFUNCTION("""COMPUTED_VALUE"""),100.0)</f>
        <v>100</v>
      </c>
      <c r="J4720" s="18">
        <f>IFERROR(__xludf.DUMMYFUNCTION("""COMPUTED_VALUE"""),100.0)</f>
        <v>100</v>
      </c>
      <c r="K4720" s="18">
        <f>IFERROR(__xludf.DUMMYFUNCTION("""COMPUTED_VALUE"""),200.0)</f>
        <v>200</v>
      </c>
      <c r="L4720" s="17">
        <f>IFERROR(__xludf.DUMMYFUNCTION("""COMPUTED_VALUE"""),3.216528485E9)</f>
        <v>3216528485</v>
      </c>
      <c r="M4720" s="17" t="str">
        <f>IFERROR(__xludf.DUMMYFUNCTION("""COMPUTED_VALUE"""),"#REF!")</f>
        <v>#REF!</v>
      </c>
      <c r="N4720" s="17"/>
      <c r="O4720" s="17"/>
      <c r="P4720" s="17" t="b">
        <f>IFERROR(__xludf.DUMMYFUNCTION("""COMPUTED_VALUE"""),TRUE)</f>
        <v>1</v>
      </c>
      <c r="Q4720" s="20">
        <f>IFERROR(__xludf.DUMMYFUNCTION("""COMPUTED_VALUE"""),45139.60923832176)</f>
        <v>45139.60924</v>
      </c>
      <c r="R4720" s="22" t="str">
        <f>IFERROR(__xludf.DUMMYFUNCTION("""COMPUTED_VALUE"""),"")</f>
        <v/>
      </c>
    </row>
    <row r="4721">
      <c r="A4721" s="15">
        <f>IFERROR(__xludf.DUMMYFUNCTION("""COMPUTED_VALUE"""),45139.0)</f>
        <v>45139</v>
      </c>
      <c r="B4721" s="16" t="str">
        <f>IFERROR(__xludf.DUMMYFUNCTION("""COMPUTED_VALUE"""),"Envia")</f>
        <v>Envia</v>
      </c>
      <c r="C4721" s="15" t="str">
        <f>IFERROR(__xludf.DUMMYFUNCTION("""COMPUTED_VALUE"""),"BOGOTÁ")</f>
        <v>BOGOTÁ</v>
      </c>
      <c r="D4721" s="15" t="str">
        <f>IFERROR(__xludf.DUMMYFUNCTION("""COMPUTED_VALUE"""),"MEDELLÍN")</f>
        <v>MEDELLÍN</v>
      </c>
      <c r="E4721" s="15" t="str">
        <f>IFERROR(__xludf.DUMMYFUNCTION("""COMPUTED_VALUE"""),"Helados swip")</f>
        <v>Helados swip</v>
      </c>
      <c r="F4721" s="17" t="str">
        <f>IFERROR(__xludf.DUMMYFUNCTION("""COMPUTED_VALUE"""),"CARRERA 7 B # 146- 90  / LOCAL 20  / BONSANTE LOCAL 20")</f>
        <v>CARRERA 7 B # 146- 90  / LOCAL 20  / BONSANTE LOCAL 20</v>
      </c>
      <c r="G4721" s="15" t="str">
        <f>IFERROR(__xludf.DUMMYFUNCTION("""COMPUTED_VALUE"""),"BONSANTE")</f>
        <v>BONSANTE</v>
      </c>
      <c r="H4721" s="16">
        <f>IFERROR(__xludf.DUMMYFUNCTION("""COMPUTED_VALUE"""),13416.0)</f>
        <v>13416</v>
      </c>
      <c r="I4721" s="18">
        <f>IFERROR(__xludf.DUMMYFUNCTION("""COMPUTED_VALUE"""),50.0)</f>
        <v>50</v>
      </c>
      <c r="J4721" s="18">
        <f>IFERROR(__xludf.DUMMYFUNCTION("""COMPUTED_VALUE"""),30.0)</f>
        <v>30</v>
      </c>
      <c r="K4721" s="18">
        <f>IFERROR(__xludf.DUMMYFUNCTION("""COMPUTED_VALUE"""),21.0)</f>
        <v>21</v>
      </c>
      <c r="L4721" s="17">
        <f>IFERROR(__xludf.DUMMYFUNCTION("""COMPUTED_VALUE"""),3.174291837E9)</f>
        <v>3174291837</v>
      </c>
      <c r="M4721" s="17" t="str">
        <f>IFERROR(__xludf.DUMMYFUNCTION("""COMPUTED_VALUE"""),"#REF!")</f>
        <v>#REF!</v>
      </c>
      <c r="N4721" s="17"/>
      <c r="O4721" s="17"/>
      <c r="P4721" s="17" t="b">
        <f>IFERROR(__xludf.DUMMYFUNCTION("""COMPUTED_VALUE"""),TRUE)</f>
        <v>1</v>
      </c>
      <c r="Q4721" s="20">
        <f>IFERROR(__xludf.DUMMYFUNCTION("""COMPUTED_VALUE"""),45139.47866837963)</f>
        <v>45139.47867</v>
      </c>
      <c r="R4721" s="22" t="str">
        <f>IFERROR(__xludf.DUMMYFUNCTION("""COMPUTED_VALUE"""),"")</f>
        <v/>
      </c>
    </row>
    <row r="4722">
      <c r="A4722" s="15">
        <f>IFERROR(__xludf.DUMMYFUNCTION("""COMPUTED_VALUE"""),45139.0)</f>
        <v>45139</v>
      </c>
      <c r="B4722" s="16" t="str">
        <f>IFERROR(__xludf.DUMMYFUNCTION("""COMPUTED_VALUE"""),"Envia")</f>
        <v>Envia</v>
      </c>
      <c r="C4722" s="15" t="str">
        <f>IFERROR(__xludf.DUMMYFUNCTION("""COMPUTED_VALUE"""),"BUCARAMANGA")</f>
        <v>BUCARAMANGA</v>
      </c>
      <c r="D4722" s="15" t="str">
        <f>IFERROR(__xludf.DUMMYFUNCTION("""COMPUTED_VALUE"""),"BOGOTÁ")</f>
        <v>BOGOTÁ</v>
      </c>
      <c r="E4722" s="15" t="str">
        <f>IFERROR(__xludf.DUMMYFUNCTION("""COMPUTED_VALUE"""),"Asociacion Agropecuaria Juana Maria")</f>
        <v>Asociacion Agropecuaria Juana Maria</v>
      </c>
      <c r="F4722" s="17" t="str">
        <f>IFERROR(__xludf.DUMMYFUNCTION("""COMPUTED_VALUE"""),"Cra 26 #28-26 apto 707 edificio andes 19 barrio Alarcón")</f>
        <v>Cra 26 #28-26 apto 707 edificio andes 19 barrio Alarcón</v>
      </c>
      <c r="G4722" s="15" t="str">
        <f>IFERROR(__xludf.DUMMYFUNCTION("""COMPUTED_VALUE"""),"Catalina Rueda García")</f>
        <v>Catalina Rueda García</v>
      </c>
      <c r="H4722" s="16">
        <f>IFERROR(__xludf.DUMMYFUNCTION("""COMPUTED_VALUE"""),13390.0)</f>
        <v>13390</v>
      </c>
      <c r="I4722" s="18">
        <f>IFERROR(__xludf.DUMMYFUNCTION("""COMPUTED_VALUE"""),25.0)</f>
        <v>25</v>
      </c>
      <c r="J4722" s="18">
        <f>IFERROR(__xludf.DUMMYFUNCTION("""COMPUTED_VALUE"""),18.0)</f>
        <v>18</v>
      </c>
      <c r="K4722" s="18">
        <f>IFERROR(__xludf.DUMMYFUNCTION("""COMPUTED_VALUE"""),3.0)</f>
        <v>3</v>
      </c>
      <c r="L4722" s="17">
        <f>IFERROR(__xludf.DUMMYFUNCTION("""COMPUTED_VALUE"""),3.165069418E9)</f>
        <v>3165069418</v>
      </c>
      <c r="M4722" s="17" t="str">
        <f>IFERROR(__xludf.DUMMYFUNCTION("""COMPUTED_VALUE"""),"#REF!")</f>
        <v>#REF!</v>
      </c>
      <c r="N4722" s="17"/>
      <c r="O4722" s="17"/>
      <c r="P4722" s="17" t="b">
        <f>IFERROR(__xludf.DUMMYFUNCTION("""COMPUTED_VALUE"""),TRUE)</f>
        <v>1</v>
      </c>
      <c r="Q4722" s="20">
        <f>IFERROR(__xludf.DUMMYFUNCTION("""COMPUTED_VALUE"""),45139.47924311343)</f>
        <v>45139.47924</v>
      </c>
      <c r="R4722" s="21" t="str">
        <f>IFERROR(__xludf.DUMMYFUNCTION("""COMPUTED_VALUE"""),"https://drive.google.com/file/d/1Tye_xMeAYDmfgobZvOnMoAxns1cmxgtC/view?usp=drivesdk")</f>
        <v>https://drive.google.com/file/d/1Tye_xMeAYDmfgobZvOnMoAxns1cmxgtC/view?usp=drivesdk</v>
      </c>
    </row>
    <row r="4723">
      <c r="A4723" s="15">
        <f>IFERROR(__xludf.DUMMYFUNCTION("""COMPUTED_VALUE"""),45139.0)</f>
        <v>45139</v>
      </c>
      <c r="B4723" s="16" t="str">
        <f>IFERROR(__xludf.DUMMYFUNCTION("""COMPUTED_VALUE"""),"Envia")</f>
        <v>Envia</v>
      </c>
      <c r="C4723" s="15" t="str">
        <f>IFERROR(__xludf.DUMMYFUNCTION("""COMPUTED_VALUE"""),"BUCARAMANGA")</f>
        <v>BUCARAMANGA</v>
      </c>
      <c r="D4723" s="15" t="str">
        <f>IFERROR(__xludf.DUMMYFUNCTION("""COMPUTED_VALUE"""),"MEDELLÍN")</f>
        <v>MEDELLÍN</v>
      </c>
      <c r="E4723" s="15" t="str">
        <f>IFERROR(__xludf.DUMMYFUNCTION("""COMPUTED_VALUE"""),"Baby Chef")</f>
        <v>Baby Chef</v>
      </c>
      <c r="F4723" s="17" t="str">
        <f>IFERROR(__xludf.DUMMYFUNCTION("""COMPUTED_VALUE"""),"calle 10 No. 19-58  Apto: 502  Edificio: Varenna  Barrio: Comuneros  / calle 10 No. 19-58  Apto: 502  Edificio: Varenna  Barrio: Comuneros  / calle 10 No. 19-58  Apto: 502  Edificio: Varenna  Barrio: Comuneros")</f>
        <v>calle 10 No. 19-58  Apto: 502  Edificio: Varenna  Barrio: Comuneros  / calle 10 No. 19-58  Apto: 502  Edificio: Varenna  Barrio: Comuneros  / calle 10 No. 19-58  Apto: 502  Edificio: Varenna  Barrio: Comuneros</v>
      </c>
      <c r="G4723" s="15" t="str">
        <f>IFERROR(__xludf.DUMMYFUNCTION("""COMPUTED_VALUE"""),"Julieth Casas")</f>
        <v>Julieth Casas</v>
      </c>
      <c r="H4723" s="16">
        <f>IFERROR(__xludf.DUMMYFUNCTION("""COMPUTED_VALUE"""),13469.0)</f>
        <v>13469</v>
      </c>
      <c r="I4723" s="18">
        <f>IFERROR(__xludf.DUMMYFUNCTION("""COMPUTED_VALUE"""),8.0)</f>
        <v>8</v>
      </c>
      <c r="J4723" s="18">
        <f>IFERROR(__xludf.DUMMYFUNCTION("""COMPUTED_VALUE"""),40.0)</f>
        <v>40</v>
      </c>
      <c r="K4723" s="18">
        <f>IFERROR(__xludf.DUMMYFUNCTION("""COMPUTED_VALUE"""),14.0)</f>
        <v>14</v>
      </c>
      <c r="L4723" s="17">
        <f>IFERROR(__xludf.DUMMYFUNCTION("""COMPUTED_VALUE"""),3.104187912E9)</f>
        <v>3104187912</v>
      </c>
      <c r="M4723" s="17" t="str">
        <f>IFERROR(__xludf.DUMMYFUNCTION("""COMPUTED_VALUE"""),"#REF!")</f>
        <v>#REF!</v>
      </c>
      <c r="N4723" s="17"/>
      <c r="O4723" s="17"/>
      <c r="P4723" s="17" t="b">
        <f>IFERROR(__xludf.DUMMYFUNCTION("""COMPUTED_VALUE"""),TRUE)</f>
        <v>1</v>
      </c>
      <c r="Q4723" s="20">
        <f>IFERROR(__xludf.DUMMYFUNCTION("""COMPUTED_VALUE"""),45139.60916559028)</f>
        <v>45139.60917</v>
      </c>
      <c r="R4723" s="21" t="str">
        <f>IFERROR(__xludf.DUMMYFUNCTION("""COMPUTED_VALUE"""),"https://drive.google.com/file/d/1YtWhy957k0IngLJikUsjz5GHuuWdungg/view?usp=drivesdk")</f>
        <v>https://drive.google.com/file/d/1YtWhy957k0IngLJikUsjz5GHuuWdungg/view?usp=drivesdk</v>
      </c>
    </row>
    <row r="4724">
      <c r="A4724" s="15">
        <f>IFERROR(__xludf.DUMMYFUNCTION("""COMPUTED_VALUE"""),45139.0)</f>
        <v>45139</v>
      </c>
      <c r="B4724" s="16" t="str">
        <f>IFERROR(__xludf.DUMMYFUNCTION("""COMPUTED_VALUE"""),"Envia")</f>
        <v>Envia</v>
      </c>
      <c r="C4724" s="15" t="str">
        <f>IFERROR(__xludf.DUMMYFUNCTION("""COMPUTED_VALUE"""),"CALI")</f>
        <v>CALI</v>
      </c>
      <c r="D4724" s="15" t="str">
        <f>IFERROR(__xludf.DUMMYFUNCTION("""COMPUTED_VALUE"""),"BOGOTÁ")</f>
        <v>BOGOTÁ</v>
      </c>
      <c r="E4724" s="15" t="str">
        <f>IFERROR(__xludf.DUMMYFUNCTION("""COMPUTED_VALUE"""),"Evamazzita")</f>
        <v>Evamazzita</v>
      </c>
      <c r="F4724" s="17" t="str">
        <f>IFERROR(__xludf.DUMMYFUNCTION("""COMPUTED_VALUE"""),"Calle 6#29-104 / N/A / Avenida roosvelt cali/local Ferrollaves Ortiz")</f>
        <v>Calle 6#29-104 / N/A / Avenida roosvelt cali/local Ferrollaves Ortiz</v>
      </c>
      <c r="G4724" s="15" t="str">
        <f>IFERROR(__xludf.DUMMYFUNCTION("""COMPUTED_VALUE"""),"JHONATAN CASTILLO/ YINA MARCELA GUERRERO")</f>
        <v>JHONATAN CASTILLO/ YINA MARCELA GUERRERO</v>
      </c>
      <c r="H4724" s="16">
        <f>IFERROR(__xludf.DUMMYFUNCTION("""COMPUTED_VALUE"""),13432.0)</f>
        <v>13432</v>
      </c>
      <c r="I4724" s="18">
        <f>IFERROR(__xludf.DUMMYFUNCTION("""COMPUTED_VALUE"""),1.0)</f>
        <v>1</v>
      </c>
      <c r="J4724" s="18">
        <f>IFERROR(__xludf.DUMMYFUNCTION("""COMPUTED_VALUE"""),1.0)</f>
        <v>1</v>
      </c>
      <c r="K4724" s="18">
        <f>IFERROR(__xludf.DUMMYFUNCTION("""COMPUTED_VALUE"""),1.0)</f>
        <v>1</v>
      </c>
      <c r="L4724" s="17">
        <f>IFERROR(__xludf.DUMMYFUNCTION("""COMPUTED_VALUE"""),3.128308962E9)</f>
        <v>3128308962</v>
      </c>
      <c r="M4724" s="17" t="str">
        <f>IFERROR(__xludf.DUMMYFUNCTION("""COMPUTED_VALUE"""),"#REF!")</f>
        <v>#REF!</v>
      </c>
      <c r="N4724" s="17"/>
      <c r="O4724" s="17"/>
      <c r="P4724" s="17" t="b">
        <f>IFERROR(__xludf.DUMMYFUNCTION("""COMPUTED_VALUE"""),TRUE)</f>
        <v>1</v>
      </c>
      <c r="Q4724" s="20">
        <f>IFERROR(__xludf.DUMMYFUNCTION("""COMPUTED_VALUE"""),45139.71695765047)</f>
        <v>45139.71696</v>
      </c>
      <c r="R4724" s="21" t="str">
        <f>IFERROR(__xludf.DUMMYFUNCTION("""COMPUTED_VALUE"""),"https://drive.google.com/file/d/1PtfprbguqI1P4728ReKzk0CeIIHJP0nT/view?usp=drivesdk")</f>
        <v>https://drive.google.com/file/d/1PtfprbguqI1P4728ReKzk0CeIIHJP0nT/view?usp=drivesdk</v>
      </c>
    </row>
    <row r="4725">
      <c r="A4725" s="15">
        <f>IFERROR(__xludf.DUMMYFUNCTION("""COMPUTED_VALUE"""),45139.0)</f>
        <v>45139</v>
      </c>
      <c r="B4725" s="16" t="str">
        <f>IFERROR(__xludf.DUMMYFUNCTION("""COMPUTED_VALUE"""),"Envia")</f>
        <v>Envia</v>
      </c>
      <c r="C4725" s="15" t="str">
        <f>IFERROR(__xludf.DUMMYFUNCTION("""COMPUTED_VALUE"""),"CALI")</f>
        <v>CALI</v>
      </c>
      <c r="D4725" s="15" t="str">
        <f>IFERROR(__xludf.DUMMYFUNCTION("""COMPUTED_VALUE"""),"BOGOTÁ")</f>
        <v>BOGOTÁ</v>
      </c>
      <c r="E4725" s="15" t="str">
        <f>IFERROR(__xludf.DUMMYFUNCTION("""COMPUTED_VALUE"""),"Evamazzita")</f>
        <v>Evamazzita</v>
      </c>
      <c r="F4725" s="17" t="str">
        <f>IFERROR(__xludf.DUMMYFUNCTION("""COMPUTED_VALUE"""),"Carrera 72 #10bis 21 / Apto 203 B/torres de limonar  / N/A")</f>
        <v>Carrera 72 #10bis 21 / Apto 203 B/torres de limonar  / N/A</v>
      </c>
      <c r="G4725" s="15" t="str">
        <f>IFERROR(__xludf.DUMMYFUNCTION("""COMPUTED_VALUE"""),"SONIA GARCIA /DIANA FRANCO")</f>
        <v>SONIA GARCIA /DIANA FRANCO</v>
      </c>
      <c r="H4725" s="16">
        <f>IFERROR(__xludf.DUMMYFUNCTION("""COMPUTED_VALUE"""),13431.0)</f>
        <v>13431</v>
      </c>
      <c r="I4725" s="18">
        <f>IFERROR(__xludf.DUMMYFUNCTION("""COMPUTED_VALUE"""),1.0)</f>
        <v>1</v>
      </c>
      <c r="J4725" s="18">
        <f>IFERROR(__xludf.DUMMYFUNCTION("""COMPUTED_VALUE"""),1.0)</f>
        <v>1</v>
      </c>
      <c r="K4725" s="18">
        <f>IFERROR(__xludf.DUMMYFUNCTION("""COMPUTED_VALUE"""),1.0)</f>
        <v>1</v>
      </c>
      <c r="L4725" s="17">
        <f>IFERROR(__xludf.DUMMYFUNCTION("""COMPUTED_VALUE"""),3.214934169E9)</f>
        <v>3214934169</v>
      </c>
      <c r="M4725" s="17" t="str">
        <f>IFERROR(__xludf.DUMMYFUNCTION("""COMPUTED_VALUE"""),"#REF!")</f>
        <v>#REF!</v>
      </c>
      <c r="N4725" s="17"/>
      <c r="O4725" s="17"/>
      <c r="P4725" s="17" t="b">
        <f>IFERROR(__xludf.DUMMYFUNCTION("""COMPUTED_VALUE"""),TRUE)</f>
        <v>1</v>
      </c>
      <c r="Q4725" s="20">
        <f>IFERROR(__xludf.DUMMYFUNCTION("""COMPUTED_VALUE"""),45139.60820587963)</f>
        <v>45139.60821</v>
      </c>
      <c r="R4725" s="21" t="str">
        <f>IFERROR(__xludf.DUMMYFUNCTION("""COMPUTED_VALUE"""),"https://drive.google.com/file/d/1hYKJWYjECUEA4BguLYe5YRmFVBO73pqm/view?usp=drivesdk")</f>
        <v>https://drive.google.com/file/d/1hYKJWYjECUEA4BguLYe5YRmFVBO73pqm/view?usp=drivesdk</v>
      </c>
    </row>
    <row r="4726">
      <c r="A4726" s="15">
        <f>IFERROR(__xludf.DUMMYFUNCTION("""COMPUTED_VALUE"""),45139.0)</f>
        <v>45139</v>
      </c>
      <c r="B4726" s="16" t="str">
        <f>IFERROR(__xludf.DUMMYFUNCTION("""COMPUTED_VALUE"""),"Envia")</f>
        <v>Envia</v>
      </c>
      <c r="C4726" s="15" t="str">
        <f>IFERROR(__xludf.DUMMYFUNCTION("""COMPUTED_VALUE"""),"CALI")</f>
        <v>CALI</v>
      </c>
      <c r="D4726" s="15" t="str">
        <f>IFERROR(__xludf.DUMMYFUNCTION("""COMPUTED_VALUE"""),"BOGOTÁ")</f>
        <v>BOGOTÁ</v>
      </c>
      <c r="E4726" s="15" t="str">
        <f>IFERROR(__xludf.DUMMYFUNCTION("""COMPUTED_VALUE"""),"Grupo Hakim")</f>
        <v>Grupo Hakim</v>
      </c>
      <c r="F4726" s="17" t="str">
        <f>IFERROR(__xludf.DUMMYFUNCTION("""COMPUTED_VALUE"""),"CALLE 27 NORTE # 6A - 20 / DECORACIONES OLY / BARRIO SANTA MONICA")</f>
        <v>CALLE 27 NORTE # 6A - 20 / DECORACIONES OLY / BARRIO SANTA MONICA</v>
      </c>
      <c r="G4726" s="15" t="str">
        <f>IFERROR(__xludf.DUMMYFUNCTION("""COMPUTED_VALUE"""),"DENISE HAKIM")</f>
        <v>DENISE HAKIM</v>
      </c>
      <c r="H4726" s="16">
        <f>IFERROR(__xludf.DUMMYFUNCTION("""COMPUTED_VALUE"""),13421.0)</f>
        <v>13421</v>
      </c>
      <c r="I4726" s="18" t="str">
        <f>IFERROR(__xludf.DUMMYFUNCTION("""COMPUTED_VALUE"""),"52.5")</f>
        <v>52.5</v>
      </c>
      <c r="J4726" s="18">
        <f>IFERROR(__xludf.DUMMYFUNCTION("""COMPUTED_VALUE"""),55.0)</f>
        <v>55</v>
      </c>
      <c r="K4726" s="18">
        <f>IFERROR(__xludf.DUMMYFUNCTION("""COMPUTED_VALUE"""),45.0)</f>
        <v>45</v>
      </c>
      <c r="L4726" s="17">
        <f>IFERROR(__xludf.DUMMYFUNCTION("""COMPUTED_VALUE"""),3.124797615E9)</f>
        <v>3124797615</v>
      </c>
      <c r="M4726" s="17" t="str">
        <f>IFERROR(__xludf.DUMMYFUNCTION("""COMPUTED_VALUE"""),"#REF!")</f>
        <v>#REF!</v>
      </c>
      <c r="N4726" s="17"/>
      <c r="O4726" s="17"/>
      <c r="P4726" s="17" t="b">
        <f>IFERROR(__xludf.DUMMYFUNCTION("""COMPUTED_VALUE"""),FALSE)</f>
        <v>0</v>
      </c>
      <c r="Q4726" s="20" t="str">
        <f>IFERROR(__xludf.DUMMYFUNCTION("""COMPUTED_VALUE"""),"")</f>
        <v/>
      </c>
      <c r="R4726" s="22" t="str">
        <f>IFERROR(__xludf.DUMMYFUNCTION("""COMPUTED_VALUE"""),"")</f>
        <v/>
      </c>
    </row>
    <row r="4727">
      <c r="A4727" s="15">
        <f>IFERROR(__xludf.DUMMYFUNCTION("""COMPUTED_VALUE"""),45139.0)</f>
        <v>45139</v>
      </c>
      <c r="B4727" s="16" t="str">
        <f>IFERROR(__xludf.DUMMYFUNCTION("""COMPUTED_VALUE"""),"Envia")</f>
        <v>Envia</v>
      </c>
      <c r="C4727" s="15" t="str">
        <f>IFERROR(__xludf.DUMMYFUNCTION("""COMPUTED_VALUE"""),"IBAGUÉ")</f>
        <v>IBAGUÉ</v>
      </c>
      <c r="D4727" s="15" t="str">
        <f>IFERROR(__xludf.DUMMYFUNCTION("""COMPUTED_VALUE"""),"BOGOTÁ")</f>
        <v>BOGOTÁ</v>
      </c>
      <c r="E4727" s="15" t="str">
        <f>IFERROR(__xludf.DUMMYFUNCTION("""COMPUTED_VALUE"""),"Frutos Silvestres")</f>
        <v>Frutos Silvestres</v>
      </c>
      <c r="F4727" s="17" t="str">
        <f>IFERROR(__xludf.DUMMYFUNCTION("""COMPUTED_VALUE"""),"Manzana 12 casa 11  / Primer piso puerta negra  / Terrazas del tejar")</f>
        <v>Manzana 12 casa 11  / Primer piso puerta negra  / Terrazas del tejar</v>
      </c>
      <c r="G4727" s="15" t="str">
        <f>IFERROR(__xludf.DUMMYFUNCTION("""COMPUTED_VALUE"""),"Johanna Jaramillo")</f>
        <v>Johanna Jaramillo</v>
      </c>
      <c r="H4727" s="16">
        <f>IFERROR(__xludf.DUMMYFUNCTION("""COMPUTED_VALUE"""),13453.0)</f>
        <v>13453</v>
      </c>
      <c r="I4727" s="18">
        <f>IFERROR(__xludf.DUMMYFUNCTION("""COMPUTED_VALUE"""),18.0)</f>
        <v>18</v>
      </c>
      <c r="J4727" s="18">
        <f>IFERROR(__xludf.DUMMYFUNCTION("""COMPUTED_VALUE"""),17.0)</f>
        <v>17</v>
      </c>
      <c r="K4727" s="18">
        <f>IFERROR(__xludf.DUMMYFUNCTION("""COMPUTED_VALUE"""),34.0)</f>
        <v>34</v>
      </c>
      <c r="L4727" s="17">
        <f>IFERROR(__xludf.DUMMYFUNCTION("""COMPUTED_VALUE"""),3.245887861E9)</f>
        <v>3245887861</v>
      </c>
      <c r="M4727" s="17" t="str">
        <f>IFERROR(__xludf.DUMMYFUNCTION("""COMPUTED_VALUE"""),"#REF!")</f>
        <v>#REF!</v>
      </c>
      <c r="N4727" s="17"/>
      <c r="O4727" s="17"/>
      <c r="P4727" s="17" t="b">
        <f>IFERROR(__xludf.DUMMYFUNCTION("""COMPUTED_VALUE"""),FALSE)</f>
        <v>0</v>
      </c>
      <c r="Q4727" s="20" t="str">
        <f>IFERROR(__xludf.DUMMYFUNCTION("""COMPUTED_VALUE"""),"")</f>
        <v/>
      </c>
      <c r="R4727" s="21" t="str">
        <f>IFERROR(__xludf.DUMMYFUNCTION("""COMPUTED_VALUE"""),"https://drive.google.com/file/d/1q8sQEd-Mlcb6tV-CqQKxvVx7tYWChyDS/view?usp=drivesdk")</f>
        <v>https://drive.google.com/file/d/1q8sQEd-Mlcb6tV-CqQKxvVx7tYWChyDS/view?usp=drivesdk</v>
      </c>
    </row>
    <row r="4728">
      <c r="A4728" s="15">
        <f>IFERROR(__xludf.DUMMYFUNCTION("""COMPUTED_VALUE"""),45139.0)</f>
        <v>45139</v>
      </c>
      <c r="B4728" s="16" t="str">
        <f>IFERROR(__xludf.DUMMYFUNCTION("""COMPUTED_VALUE"""),"Envia")</f>
        <v>Envia</v>
      </c>
      <c r="C4728" s="15" t="str">
        <f>IFERROR(__xludf.DUMMYFUNCTION("""COMPUTED_VALUE"""),"MANIZALES")</f>
        <v>MANIZALES</v>
      </c>
      <c r="D4728" s="15" t="str">
        <f>IFERROR(__xludf.DUMMYFUNCTION("""COMPUTED_VALUE"""),"BOGOTÁ")</f>
        <v>BOGOTÁ</v>
      </c>
      <c r="E4728" s="15" t="str">
        <f>IFERROR(__xludf.DUMMYFUNCTION("""COMPUTED_VALUE"""),"Olü")</f>
        <v>Olü</v>
      </c>
      <c r="F4728" s="17" t="str">
        <f>IFERROR(__xludf.DUMMYFUNCTION("""COMPUTED_VALUE"""),"Cra 25 # 69-18 / Tienda / Palermo")</f>
        <v>Cra 25 # 69-18 / Tienda / Palermo</v>
      </c>
      <c r="G4728" s="15" t="str">
        <f>IFERROR(__xludf.DUMMYFUNCTION("""COMPUTED_VALUE"""),"Laura Melissa Gutiérrez")</f>
        <v>Laura Melissa Gutiérrez</v>
      </c>
      <c r="H4728" s="16">
        <f>IFERROR(__xludf.DUMMYFUNCTION("""COMPUTED_VALUE"""),13406.0)</f>
        <v>13406</v>
      </c>
      <c r="I4728" s="18">
        <f>IFERROR(__xludf.DUMMYFUNCTION("""COMPUTED_VALUE"""),20.0)</f>
        <v>20</v>
      </c>
      <c r="J4728" s="18">
        <f>IFERROR(__xludf.DUMMYFUNCTION("""COMPUTED_VALUE"""),20.0)</f>
        <v>20</v>
      </c>
      <c r="K4728" s="18">
        <f>IFERROR(__xludf.DUMMYFUNCTION("""COMPUTED_VALUE"""),30.0)</f>
        <v>30</v>
      </c>
      <c r="L4728" s="17">
        <f>IFERROR(__xludf.DUMMYFUNCTION("""COMPUTED_VALUE"""),3.108451259E9)</f>
        <v>3108451259</v>
      </c>
      <c r="M4728" s="17" t="str">
        <f>IFERROR(__xludf.DUMMYFUNCTION("""COMPUTED_VALUE"""),"#REF!")</f>
        <v>#REF!</v>
      </c>
      <c r="N4728" s="17"/>
      <c r="O4728" s="17"/>
      <c r="P4728" s="17" t="b">
        <f>IFERROR(__xludf.DUMMYFUNCTION("""COMPUTED_VALUE"""),FALSE)</f>
        <v>0</v>
      </c>
      <c r="Q4728" s="20" t="str">
        <f>IFERROR(__xludf.DUMMYFUNCTION("""COMPUTED_VALUE"""),"")</f>
        <v/>
      </c>
      <c r="R4728" s="21" t="str">
        <f>IFERROR(__xludf.DUMMYFUNCTION("""COMPUTED_VALUE"""),"https://drive.google.com/file/d/16kU8Tgvf1dXTC5JojrtbGYjixsqKS0xy/view?usp=drivesdk")</f>
        <v>https://drive.google.com/file/d/16kU8Tgvf1dXTC5JojrtbGYjixsqKS0xy/view?usp=drivesdk</v>
      </c>
    </row>
    <row r="4729">
      <c r="A4729" s="15">
        <f>IFERROR(__xludf.DUMMYFUNCTION("""COMPUTED_VALUE"""),45139.0)</f>
        <v>45139</v>
      </c>
      <c r="B4729" s="16" t="str">
        <f>IFERROR(__xludf.DUMMYFUNCTION("""COMPUTED_VALUE"""),"Envia")</f>
        <v>Envia</v>
      </c>
      <c r="C4729" s="15" t="str">
        <f>IFERROR(__xludf.DUMMYFUNCTION("""COMPUTED_VALUE"""),"MANIZALES")</f>
        <v>MANIZALES</v>
      </c>
      <c r="D4729" s="15" t="str">
        <f>IFERROR(__xludf.DUMMYFUNCTION("""COMPUTED_VALUE"""),"MEDELLÍN")</f>
        <v>MEDELLÍN</v>
      </c>
      <c r="E4729" s="15" t="str">
        <f>IFERROR(__xludf.DUMMYFUNCTION("""COMPUTED_VALUE"""),"Todo Bufala")</f>
        <v>Todo Bufala</v>
      </c>
      <c r="F4729" s="17" t="str">
        <f>IFERROR(__xludf.DUMMYFUNCTION("""COMPUTED_VALUE"""),"Call 66 #23B - 211 / Edifico calle larga, local 5c")</f>
        <v>Call 66 #23B - 211 / Edifico calle larga, local 5c</v>
      </c>
      <c r="G4729" s="15" t="str">
        <f>IFERROR(__xludf.DUMMYFUNCTION("""COMPUTED_VALUE"""),"Sebastian Perez Pineda")</f>
        <v>Sebastian Perez Pineda</v>
      </c>
      <c r="H4729" s="16">
        <f>IFERROR(__xludf.DUMMYFUNCTION("""COMPUTED_VALUE"""),13408.0)</f>
        <v>13408</v>
      </c>
      <c r="I4729" s="18">
        <f>IFERROR(__xludf.DUMMYFUNCTION("""COMPUTED_VALUE"""),20.0)</f>
        <v>20</v>
      </c>
      <c r="J4729" s="18">
        <f>IFERROR(__xludf.DUMMYFUNCTION("""COMPUTED_VALUE"""),30.0)</f>
        <v>30</v>
      </c>
      <c r="K4729" s="18">
        <f>IFERROR(__xludf.DUMMYFUNCTION("""COMPUTED_VALUE"""),40.0)</f>
        <v>40</v>
      </c>
      <c r="L4729" s="17">
        <f>IFERROR(__xludf.DUMMYFUNCTION("""COMPUTED_VALUE"""),3.106974621E9)</f>
        <v>3106974621</v>
      </c>
      <c r="M4729" s="17" t="str">
        <f>IFERROR(__xludf.DUMMYFUNCTION("""COMPUTED_VALUE"""),"#REF!")</f>
        <v>#REF!</v>
      </c>
      <c r="N4729" s="17"/>
      <c r="O4729" s="17"/>
      <c r="P4729" s="17" t="b">
        <f>IFERROR(__xludf.DUMMYFUNCTION("""COMPUTED_VALUE"""),FALSE)</f>
        <v>0</v>
      </c>
      <c r="Q4729" s="20" t="str">
        <f>IFERROR(__xludf.DUMMYFUNCTION("""COMPUTED_VALUE"""),"")</f>
        <v/>
      </c>
      <c r="R4729" s="22" t="str">
        <f>IFERROR(__xludf.DUMMYFUNCTION("""COMPUTED_VALUE"""),"")</f>
        <v/>
      </c>
    </row>
    <row r="4730">
      <c r="A4730" s="15">
        <f>IFERROR(__xludf.DUMMYFUNCTION("""COMPUTED_VALUE"""),45139.0)</f>
        <v>45139</v>
      </c>
      <c r="B4730" s="16" t="str">
        <f>IFERROR(__xludf.DUMMYFUNCTION("""COMPUTED_VALUE"""),"Envia")</f>
        <v>Envia</v>
      </c>
      <c r="C4730" s="15" t="str">
        <f>IFERROR(__xludf.DUMMYFUNCTION("""COMPUTED_VALUE"""),"MEDELLÍN")</f>
        <v>MEDELLÍN</v>
      </c>
      <c r="D4730" s="15" t="str">
        <f>IFERROR(__xludf.DUMMYFUNCTION("""COMPUTED_VALUE"""),"BOGOTÁ")</f>
        <v>BOGOTÁ</v>
      </c>
      <c r="E4730" s="15" t="str">
        <f>IFERROR(__xludf.DUMMYFUNCTION("""COMPUTED_VALUE"""),"Asociacion Agropecuaria Juana Maria")</f>
        <v>Asociacion Agropecuaria Juana Maria</v>
      </c>
      <c r="F4730" s="17" t="str">
        <f>IFERROR(__xludf.DUMMYFUNCTION("""COMPUTED_VALUE"""),"Carrera 15 BA # 30D-44 int 201")</f>
        <v>Carrera 15 BA # 30D-44 int 201</v>
      </c>
      <c r="G4730" s="15" t="str">
        <f>IFERROR(__xludf.DUMMYFUNCTION("""COMPUTED_VALUE"""),"Daniela Bedoya Blandon")</f>
        <v>Daniela Bedoya Blandon</v>
      </c>
      <c r="H4730" s="16">
        <f>IFERROR(__xludf.DUMMYFUNCTION("""COMPUTED_VALUE"""),13403.0)</f>
        <v>13403</v>
      </c>
      <c r="I4730" s="18">
        <f>IFERROR(__xludf.DUMMYFUNCTION("""COMPUTED_VALUE"""),21.0)</f>
        <v>21</v>
      </c>
      <c r="J4730" s="18">
        <f>IFERROR(__xludf.DUMMYFUNCTION("""COMPUTED_VALUE"""),37.0)</f>
        <v>37</v>
      </c>
      <c r="K4730" s="18">
        <f>IFERROR(__xludf.DUMMYFUNCTION("""COMPUTED_VALUE"""),30.0)</f>
        <v>30</v>
      </c>
      <c r="L4730" s="17">
        <f>IFERROR(__xludf.DUMMYFUNCTION("""COMPUTED_VALUE"""),3.14672822E9)</f>
        <v>3146728220</v>
      </c>
      <c r="M4730" s="17" t="str">
        <f>IFERROR(__xludf.DUMMYFUNCTION("""COMPUTED_VALUE"""),"#REF!")</f>
        <v>#REF!</v>
      </c>
      <c r="N4730" s="17"/>
      <c r="O4730" s="17"/>
      <c r="P4730" s="17" t="b">
        <f>IFERROR(__xludf.DUMMYFUNCTION("""COMPUTED_VALUE"""),FALSE)</f>
        <v>0</v>
      </c>
      <c r="Q4730" s="20" t="str">
        <f>IFERROR(__xludf.DUMMYFUNCTION("""COMPUTED_VALUE"""),"")</f>
        <v/>
      </c>
      <c r="R4730" s="22" t="str">
        <f>IFERROR(__xludf.DUMMYFUNCTION("""COMPUTED_VALUE"""),"")</f>
        <v/>
      </c>
    </row>
    <row r="4731">
      <c r="A4731" s="15">
        <f>IFERROR(__xludf.DUMMYFUNCTION("""COMPUTED_VALUE"""),45139.0)</f>
        <v>45139</v>
      </c>
      <c r="B4731" s="16" t="str">
        <f>IFERROR(__xludf.DUMMYFUNCTION("""COMPUTED_VALUE"""),"Envia")</f>
        <v>Envia</v>
      </c>
      <c r="C4731" s="15" t="str">
        <f>IFERROR(__xludf.DUMMYFUNCTION("""COMPUTED_VALUE"""),"MEDELLÍN")</f>
        <v>MEDELLÍN</v>
      </c>
      <c r="D4731" s="15" t="str">
        <f>IFERROR(__xludf.DUMMYFUNCTION("""COMPUTED_VALUE"""),"BOGOTÁ")</f>
        <v>BOGOTÁ</v>
      </c>
      <c r="E4731" s="15" t="str">
        <f>IFERROR(__xludf.DUMMYFUNCTION("""COMPUTED_VALUE"""),"Evamazzita")</f>
        <v>Evamazzita</v>
      </c>
      <c r="F4731" s="17" t="str">
        <f>IFERROR(__xludf.DUMMYFUNCTION("""COMPUTED_VALUE"""),"Calle 49 56-06 / Local 101/edificio bodegas la 49 centro  / N/A")</f>
        <v>Calle 49 56-06 / Local 101/edificio bodegas la 49 centro  / N/A</v>
      </c>
      <c r="G4731" s="15" t="str">
        <f>IFERROR(__xludf.DUMMYFUNCTION("""COMPUTED_VALUE"""),"YENCY CATERINE RAMIREZ SALAZAR")</f>
        <v>YENCY CATERINE RAMIREZ SALAZAR</v>
      </c>
      <c r="H4731" s="16">
        <f>IFERROR(__xludf.DUMMYFUNCTION("""COMPUTED_VALUE"""),13434.0)</f>
        <v>13434</v>
      </c>
      <c r="I4731" s="18">
        <f>IFERROR(__xludf.DUMMYFUNCTION("""COMPUTED_VALUE"""),1.0)</f>
        <v>1</v>
      </c>
      <c r="J4731" s="18">
        <f>IFERROR(__xludf.DUMMYFUNCTION("""COMPUTED_VALUE"""),1.0)</f>
        <v>1</v>
      </c>
      <c r="K4731" s="18">
        <f>IFERROR(__xludf.DUMMYFUNCTION("""COMPUTED_VALUE"""),1.0)</f>
        <v>1</v>
      </c>
      <c r="L4731" s="17">
        <f>IFERROR(__xludf.DUMMYFUNCTION("""COMPUTED_VALUE"""),3.004629284E9)</f>
        <v>3004629284</v>
      </c>
      <c r="M4731" s="17" t="str">
        <f>IFERROR(__xludf.DUMMYFUNCTION("""COMPUTED_VALUE"""),"#REF!")</f>
        <v>#REF!</v>
      </c>
      <c r="N4731" s="17"/>
      <c r="O4731" s="17"/>
      <c r="P4731" s="17" t="b">
        <f>IFERROR(__xludf.DUMMYFUNCTION("""COMPUTED_VALUE"""),FALSE)</f>
        <v>0</v>
      </c>
      <c r="Q4731" s="20" t="str">
        <f>IFERROR(__xludf.DUMMYFUNCTION("""COMPUTED_VALUE"""),"")</f>
        <v/>
      </c>
      <c r="R4731" s="22" t="str">
        <f>IFERROR(__xludf.DUMMYFUNCTION("""COMPUTED_VALUE"""),"")</f>
        <v/>
      </c>
    </row>
    <row r="4732">
      <c r="A4732" s="15">
        <f>IFERROR(__xludf.DUMMYFUNCTION("""COMPUTED_VALUE"""),45139.0)</f>
        <v>45139</v>
      </c>
      <c r="B4732" s="16" t="str">
        <f>IFERROR(__xludf.DUMMYFUNCTION("""COMPUTED_VALUE"""),"Envia")</f>
        <v>Envia</v>
      </c>
      <c r="C4732" s="15" t="str">
        <f>IFERROR(__xludf.DUMMYFUNCTION("""COMPUTED_VALUE"""),"MEDELLÍN")</f>
        <v>MEDELLÍN</v>
      </c>
      <c r="D4732" s="15" t="str">
        <f>IFERROR(__xludf.DUMMYFUNCTION("""COMPUTED_VALUE"""),"BOGOTÁ")</f>
        <v>BOGOTÁ</v>
      </c>
      <c r="E4732" s="15" t="str">
        <f>IFERROR(__xludf.DUMMYFUNCTION("""COMPUTED_VALUE"""),"Evamazzita")</f>
        <v>Evamazzita</v>
      </c>
      <c r="F4732" s="17" t="str">
        <f>IFERROR(__xludf.DUMMYFUNCTION("""COMPUTED_VALUE"""),"Calle 51#49-11 / Droguerias cruz verde  / Parque de itagui")</f>
        <v>Calle 51#49-11 / Droguerias cruz verde  / Parque de itagui</v>
      </c>
      <c r="G4732" s="15" t="str">
        <f>IFERROR(__xludf.DUMMYFUNCTION("""COMPUTED_VALUE"""),"YEZENIA MARIN RESTREPO")</f>
        <v>YEZENIA MARIN RESTREPO</v>
      </c>
      <c r="H4732" s="16">
        <f>IFERROR(__xludf.DUMMYFUNCTION("""COMPUTED_VALUE"""),13436.0)</f>
        <v>13436</v>
      </c>
      <c r="I4732" s="18">
        <f>IFERROR(__xludf.DUMMYFUNCTION("""COMPUTED_VALUE"""),1.0)</f>
        <v>1</v>
      </c>
      <c r="J4732" s="18">
        <f>IFERROR(__xludf.DUMMYFUNCTION("""COMPUTED_VALUE"""),1.0)</f>
        <v>1</v>
      </c>
      <c r="K4732" s="18">
        <f>IFERROR(__xludf.DUMMYFUNCTION("""COMPUTED_VALUE"""),1.0)</f>
        <v>1</v>
      </c>
      <c r="L4732" s="17">
        <f>IFERROR(__xludf.DUMMYFUNCTION("""COMPUTED_VALUE"""),3.023054309E9)</f>
        <v>3023054309</v>
      </c>
      <c r="M4732" s="17" t="str">
        <f>IFERROR(__xludf.DUMMYFUNCTION("""COMPUTED_VALUE"""),"#REF!")</f>
        <v>#REF!</v>
      </c>
      <c r="N4732" s="17"/>
      <c r="O4732" s="17"/>
      <c r="P4732" s="17" t="b">
        <f>IFERROR(__xludf.DUMMYFUNCTION("""COMPUTED_VALUE"""),FALSE)</f>
        <v>0</v>
      </c>
      <c r="Q4732" s="20" t="str">
        <f>IFERROR(__xludf.DUMMYFUNCTION("""COMPUTED_VALUE"""),"")</f>
        <v/>
      </c>
      <c r="R4732" s="22" t="str">
        <f>IFERROR(__xludf.DUMMYFUNCTION("""COMPUTED_VALUE"""),"")</f>
        <v/>
      </c>
    </row>
    <row r="4733">
      <c r="A4733" s="15">
        <f>IFERROR(__xludf.DUMMYFUNCTION("""COMPUTED_VALUE"""),45139.0)</f>
        <v>45139</v>
      </c>
      <c r="B4733" s="16" t="str">
        <f>IFERROR(__xludf.DUMMYFUNCTION("""COMPUTED_VALUE"""),"Envia")</f>
        <v>Envia</v>
      </c>
      <c r="C4733" s="15" t="str">
        <f>IFERROR(__xludf.DUMMYFUNCTION("""COMPUTED_VALUE"""),"MEDELLÍN")</f>
        <v>MEDELLÍN</v>
      </c>
      <c r="D4733" s="15" t="str">
        <f>IFERROR(__xludf.DUMMYFUNCTION("""COMPUTED_VALUE"""),"BOGOTÁ")</f>
        <v>BOGOTÁ</v>
      </c>
      <c r="E4733" s="15" t="str">
        <f>IFERROR(__xludf.DUMMYFUNCTION("""COMPUTED_VALUE"""),"Evamazzita")</f>
        <v>Evamazzita</v>
      </c>
      <c r="F4733" s="17" t="str">
        <f>IFERROR(__xludf.DUMMYFUNCTION("""COMPUTED_VALUE"""),"Calle 80 58-161 / Edificio guayacanes del sur /apto 2106 / Santa maria")</f>
        <v>Calle 80 58-161 / Edificio guayacanes del sur /apto 2106 / Santa maria</v>
      </c>
      <c r="G4733" s="15" t="str">
        <f>IFERROR(__xludf.DUMMYFUNCTION("""COMPUTED_VALUE"""),"ANA MILENA GRANADA")</f>
        <v>ANA MILENA GRANADA</v>
      </c>
      <c r="H4733" s="16">
        <f>IFERROR(__xludf.DUMMYFUNCTION("""COMPUTED_VALUE"""),13437.0)</f>
        <v>13437</v>
      </c>
      <c r="I4733" s="18">
        <f>IFERROR(__xludf.DUMMYFUNCTION("""COMPUTED_VALUE"""),1.0)</f>
        <v>1</v>
      </c>
      <c r="J4733" s="18">
        <f>IFERROR(__xludf.DUMMYFUNCTION("""COMPUTED_VALUE"""),1.0)</f>
        <v>1</v>
      </c>
      <c r="K4733" s="18">
        <f>IFERROR(__xludf.DUMMYFUNCTION("""COMPUTED_VALUE"""),1.0)</f>
        <v>1</v>
      </c>
      <c r="L4733" s="17">
        <f>IFERROR(__xludf.DUMMYFUNCTION("""COMPUTED_VALUE"""),3.103321408E9)</f>
        <v>3103321408</v>
      </c>
      <c r="M4733" s="17" t="str">
        <f>IFERROR(__xludf.DUMMYFUNCTION("""COMPUTED_VALUE"""),"#REF!")</f>
        <v>#REF!</v>
      </c>
      <c r="N4733" s="17"/>
      <c r="O4733" s="17"/>
      <c r="P4733" s="17" t="b">
        <f>IFERROR(__xludf.DUMMYFUNCTION("""COMPUTED_VALUE"""),FALSE)</f>
        <v>0</v>
      </c>
      <c r="Q4733" s="20" t="str">
        <f>IFERROR(__xludf.DUMMYFUNCTION("""COMPUTED_VALUE"""),"")</f>
        <v/>
      </c>
      <c r="R4733" s="22" t="str">
        <f>IFERROR(__xludf.DUMMYFUNCTION("""COMPUTED_VALUE"""),"")</f>
        <v/>
      </c>
    </row>
    <row r="4734">
      <c r="A4734" s="15">
        <f>IFERROR(__xludf.DUMMYFUNCTION("""COMPUTED_VALUE"""),45139.0)</f>
        <v>45139</v>
      </c>
      <c r="B4734" s="16" t="str">
        <f>IFERROR(__xludf.DUMMYFUNCTION("""COMPUTED_VALUE"""),"Envia")</f>
        <v>Envia</v>
      </c>
      <c r="C4734" s="15" t="str">
        <f>IFERROR(__xludf.DUMMYFUNCTION("""COMPUTED_VALUE"""),"MEDELLÍN")</f>
        <v>MEDELLÍN</v>
      </c>
      <c r="D4734" s="15" t="str">
        <f>IFERROR(__xludf.DUMMYFUNCTION("""COMPUTED_VALUE"""),"BOGOTÁ")</f>
        <v>BOGOTÁ</v>
      </c>
      <c r="E4734" s="15" t="str">
        <f>IFERROR(__xludf.DUMMYFUNCTION("""COMPUTED_VALUE"""),"Loomifoods")</f>
        <v>Loomifoods</v>
      </c>
      <c r="F4734" s="17" t="str">
        <f>IFERROR(__xludf.DUMMYFUNCTION("""COMPUTED_VALUE"""),"Calle 49b no. 83a - 196 / Apto 519 / Urbanización Sol Naciente Calasanz")</f>
        <v>Calle 49b no. 83a - 196 / Apto 519 / Urbanización Sol Naciente Calasanz</v>
      </c>
      <c r="G4734" s="15" t="str">
        <f>IFERROR(__xludf.DUMMYFUNCTION("""COMPUTED_VALUE"""),"Yuliana Guzman")</f>
        <v>Yuliana Guzman</v>
      </c>
      <c r="H4734" s="16">
        <f>IFERROR(__xludf.DUMMYFUNCTION("""COMPUTED_VALUE"""),13447.0)</f>
        <v>13447</v>
      </c>
      <c r="I4734" s="18">
        <f>IFERROR(__xludf.DUMMYFUNCTION("""COMPUTED_VALUE"""),19.0)</f>
        <v>19</v>
      </c>
      <c r="J4734" s="18">
        <f>IFERROR(__xludf.DUMMYFUNCTION("""COMPUTED_VALUE"""),5.0)</f>
        <v>5</v>
      </c>
      <c r="K4734" s="18">
        <f>IFERROR(__xludf.DUMMYFUNCTION("""COMPUTED_VALUE"""),16.0)</f>
        <v>16</v>
      </c>
      <c r="L4734" s="17">
        <f>IFERROR(__xludf.DUMMYFUNCTION("""COMPUTED_VALUE"""),3.196999461E9)</f>
        <v>3196999461</v>
      </c>
      <c r="M4734" s="17" t="str">
        <f>IFERROR(__xludf.DUMMYFUNCTION("""COMPUTED_VALUE"""),"#REF!")</f>
        <v>#REF!</v>
      </c>
      <c r="N4734" s="17"/>
      <c r="O4734" s="17"/>
      <c r="P4734" s="17" t="b">
        <f>IFERROR(__xludf.DUMMYFUNCTION("""COMPUTED_VALUE"""),FALSE)</f>
        <v>0</v>
      </c>
      <c r="Q4734" s="20" t="str">
        <f>IFERROR(__xludf.DUMMYFUNCTION("""COMPUTED_VALUE"""),"")</f>
        <v/>
      </c>
      <c r="R4734" s="22" t="str">
        <f>IFERROR(__xludf.DUMMYFUNCTION("""COMPUTED_VALUE"""),"")</f>
        <v/>
      </c>
    </row>
    <row r="4735">
      <c r="A4735" s="15">
        <f>IFERROR(__xludf.DUMMYFUNCTION("""COMPUTED_VALUE"""),45139.0)</f>
        <v>45139</v>
      </c>
      <c r="B4735" s="16" t="str">
        <f>IFERROR(__xludf.DUMMYFUNCTION("""COMPUTED_VALUE"""),"Envia")</f>
        <v>Envia</v>
      </c>
      <c r="C4735" s="15" t="str">
        <f>IFERROR(__xludf.DUMMYFUNCTION("""COMPUTED_VALUE"""),"MEDELLÍN")</f>
        <v>MEDELLÍN</v>
      </c>
      <c r="D4735" s="15" t="str">
        <f>IFERROR(__xludf.DUMMYFUNCTION("""COMPUTED_VALUE"""),"BOGOTÁ")</f>
        <v>BOGOTÁ</v>
      </c>
      <c r="E4735" s="15" t="str">
        <f>IFERROR(__xludf.DUMMYFUNCTION("""COMPUTED_VALUE"""),"Loomifoods")</f>
        <v>Loomifoods</v>
      </c>
      <c r="F4735" s="17" t="str">
        <f>IFERROR(__xludf.DUMMYFUNCTION("""COMPUTED_VALUE"""),"Cra 15ba no. 34D - 44 / Interior 201 / Medellin")</f>
        <v>Cra 15ba no. 34D - 44 / Interior 201 / Medellin</v>
      </c>
      <c r="G4735" s="15" t="str">
        <f>IFERROR(__xludf.DUMMYFUNCTION("""COMPUTED_VALUE"""),"Daniela Bedoya")</f>
        <v>Daniela Bedoya</v>
      </c>
      <c r="H4735" s="16">
        <f>IFERROR(__xludf.DUMMYFUNCTION("""COMPUTED_VALUE"""),13446.0)</f>
        <v>13446</v>
      </c>
      <c r="I4735" s="18">
        <f>IFERROR(__xludf.DUMMYFUNCTION("""COMPUTED_VALUE"""),19.0)</f>
        <v>19</v>
      </c>
      <c r="J4735" s="18">
        <f>IFERROR(__xludf.DUMMYFUNCTION("""COMPUTED_VALUE"""),10.0)</f>
        <v>10</v>
      </c>
      <c r="K4735" s="18">
        <f>IFERROR(__xludf.DUMMYFUNCTION("""COMPUTED_VALUE"""),16.0)</f>
        <v>16</v>
      </c>
      <c r="L4735" s="17">
        <f>IFERROR(__xludf.DUMMYFUNCTION("""COMPUTED_VALUE"""),3.14672822E9)</f>
        <v>3146728220</v>
      </c>
      <c r="M4735" s="17" t="str">
        <f>IFERROR(__xludf.DUMMYFUNCTION("""COMPUTED_VALUE"""),"#REF!")</f>
        <v>#REF!</v>
      </c>
      <c r="N4735" s="17"/>
      <c r="O4735" s="17"/>
      <c r="P4735" s="17" t="b">
        <f>IFERROR(__xludf.DUMMYFUNCTION("""COMPUTED_VALUE"""),FALSE)</f>
        <v>0</v>
      </c>
      <c r="Q4735" s="20" t="str">
        <f>IFERROR(__xludf.DUMMYFUNCTION("""COMPUTED_VALUE"""),"")</f>
        <v/>
      </c>
      <c r="R4735" s="22" t="str">
        <f>IFERROR(__xludf.DUMMYFUNCTION("""COMPUTED_VALUE"""),"")</f>
        <v/>
      </c>
    </row>
    <row r="4736">
      <c r="A4736" s="15">
        <f>IFERROR(__xludf.DUMMYFUNCTION("""COMPUTED_VALUE"""),45139.0)</f>
        <v>45139</v>
      </c>
      <c r="B4736" s="16" t="str">
        <f>IFERROR(__xludf.DUMMYFUNCTION("""COMPUTED_VALUE"""),"Envia")</f>
        <v>Envia</v>
      </c>
      <c r="C4736" s="15" t="str">
        <f>IFERROR(__xludf.DUMMYFUNCTION("""COMPUTED_VALUE"""),"MEDELLÍN")</f>
        <v>MEDELLÍN</v>
      </c>
      <c r="D4736" s="15" t="str">
        <f>IFERROR(__xludf.DUMMYFUNCTION("""COMPUTED_VALUE"""),"BOGOTÁ")</f>
        <v>BOGOTÁ</v>
      </c>
      <c r="E4736" s="15" t="str">
        <f>IFERROR(__xludf.DUMMYFUNCTION("""COMPUTED_VALUE"""),"Top Spun")</f>
        <v>Top Spun</v>
      </c>
      <c r="F4736" s="17" t="str">
        <f>IFERROR(__xludf.DUMMYFUNCTION("""COMPUTED_VALUE"""),"Calle 2 # 79-35 / Torre 1 Apto 1622 / Mirador de la Mota Medellín")</f>
        <v>Calle 2 # 79-35 / Torre 1 Apto 1622 / Mirador de la Mota Medellín</v>
      </c>
      <c r="G4736" s="15" t="str">
        <f>IFERROR(__xludf.DUMMYFUNCTION("""COMPUTED_VALUE"""),"Maria Isabel Bedoya")</f>
        <v>Maria Isabel Bedoya</v>
      </c>
      <c r="H4736" s="16">
        <f>IFERROR(__xludf.DUMMYFUNCTION("""COMPUTED_VALUE"""),13396.0)</f>
        <v>13396</v>
      </c>
      <c r="I4736" s="18">
        <f>IFERROR(__xludf.DUMMYFUNCTION("""COMPUTED_VALUE"""),20.0)</f>
        <v>20</v>
      </c>
      <c r="J4736" s="18">
        <f>IFERROR(__xludf.DUMMYFUNCTION("""COMPUTED_VALUE"""),10.0)</f>
        <v>10</v>
      </c>
      <c r="K4736" s="18">
        <f>IFERROR(__xludf.DUMMYFUNCTION("""COMPUTED_VALUE"""),40.0)</f>
        <v>40</v>
      </c>
      <c r="L4736" s="17">
        <f>IFERROR(__xludf.DUMMYFUNCTION("""COMPUTED_VALUE"""),3.13885894E9)</f>
        <v>3138858940</v>
      </c>
      <c r="M4736" s="17" t="str">
        <f>IFERROR(__xludf.DUMMYFUNCTION("""COMPUTED_VALUE"""),"#REF!")</f>
        <v>#REF!</v>
      </c>
      <c r="N4736" s="17"/>
      <c r="O4736" s="17"/>
      <c r="P4736" s="17" t="b">
        <f>IFERROR(__xludf.DUMMYFUNCTION("""COMPUTED_VALUE"""),FALSE)</f>
        <v>0</v>
      </c>
      <c r="Q4736" s="20" t="str">
        <f>IFERROR(__xludf.DUMMYFUNCTION("""COMPUTED_VALUE"""),"")</f>
        <v/>
      </c>
      <c r="R4736" s="22" t="str">
        <f>IFERROR(__xludf.DUMMYFUNCTION("""COMPUTED_VALUE"""),"")</f>
        <v/>
      </c>
    </row>
    <row r="4737">
      <c r="A4737" s="15">
        <f>IFERROR(__xludf.DUMMYFUNCTION("""COMPUTED_VALUE"""),45139.0)</f>
        <v>45139</v>
      </c>
      <c r="B4737" s="16" t="str">
        <f>IFERROR(__xludf.DUMMYFUNCTION("""COMPUTED_VALUE"""),"Envia")</f>
        <v>Envia</v>
      </c>
      <c r="C4737" s="15" t="str">
        <f>IFERROR(__xludf.DUMMYFUNCTION("""COMPUTED_VALUE"""),"MEDELLÍN")</f>
        <v>MEDELLÍN</v>
      </c>
      <c r="D4737" s="15" t="str">
        <f>IFERROR(__xludf.DUMMYFUNCTION("""COMPUTED_VALUE"""),"BOGOTÁ")</f>
        <v>BOGOTÁ</v>
      </c>
      <c r="E4737" s="15" t="str">
        <f>IFERROR(__xludf.DUMMYFUNCTION("""COMPUTED_VALUE"""),"Ventura Productos Arg")</f>
        <v>Ventura Productos Arg</v>
      </c>
      <c r="F4737" s="17" t="str">
        <f>IFERROR(__xludf.DUMMYFUNCTION("""COMPUTED_VALUE"""),"Calle 16A Sur # 29B-20, casa 140 / Urbanizacion Bosques de la Carolina")</f>
        <v>Calle 16A Sur # 29B-20, casa 140 / Urbanizacion Bosques de la Carolina</v>
      </c>
      <c r="G4737" s="15" t="str">
        <f>IFERROR(__xludf.DUMMYFUNCTION("""COMPUTED_VALUE"""),"Esteban Perez Lopera")</f>
        <v>Esteban Perez Lopera</v>
      </c>
      <c r="H4737" s="16">
        <f>IFERROR(__xludf.DUMMYFUNCTION("""COMPUTED_VALUE"""),13418.0)</f>
        <v>13418</v>
      </c>
      <c r="I4737" s="18">
        <f>IFERROR(__xludf.DUMMYFUNCTION("""COMPUTED_VALUE"""),3.0)</f>
        <v>3</v>
      </c>
      <c r="J4737" s="18">
        <f>IFERROR(__xludf.DUMMYFUNCTION("""COMPUTED_VALUE"""),45060.0)</f>
        <v>45060</v>
      </c>
      <c r="K4737" s="18">
        <f>IFERROR(__xludf.DUMMYFUNCTION("""COMPUTED_VALUE"""),22.0)</f>
        <v>22</v>
      </c>
      <c r="L4737" s="17" t="str">
        <f>IFERROR(__xludf.DUMMYFUNCTION("""COMPUTED_VALUE"""),"312 2027308")</f>
        <v>312 2027308</v>
      </c>
      <c r="M4737" s="17" t="str">
        <f>IFERROR(__xludf.DUMMYFUNCTION("""COMPUTED_VALUE"""),"#REF!")</f>
        <v>#REF!</v>
      </c>
      <c r="N4737" s="17"/>
      <c r="O4737" s="17"/>
      <c r="P4737" s="17" t="b">
        <f>IFERROR(__xludf.DUMMYFUNCTION("""COMPUTED_VALUE"""),FALSE)</f>
        <v>0</v>
      </c>
      <c r="Q4737" s="20" t="str">
        <f>IFERROR(__xludf.DUMMYFUNCTION("""COMPUTED_VALUE"""),"")</f>
        <v/>
      </c>
      <c r="R4737" s="22" t="str">
        <f>IFERROR(__xludf.DUMMYFUNCTION("""COMPUTED_VALUE"""),"")</f>
        <v/>
      </c>
    </row>
    <row r="4738">
      <c r="A4738" s="15">
        <f>IFERROR(__xludf.DUMMYFUNCTION("""COMPUTED_VALUE"""),45139.0)</f>
        <v>45139</v>
      </c>
      <c r="B4738" s="16" t="str">
        <f>IFERROR(__xludf.DUMMYFUNCTION("""COMPUTED_VALUE"""),"Envia")</f>
        <v>Envia</v>
      </c>
      <c r="C4738" s="15" t="str">
        <f>IFERROR(__xludf.DUMMYFUNCTION("""COMPUTED_VALUE"""),"MEDELLÍN")</f>
        <v>MEDELLÍN</v>
      </c>
      <c r="D4738" s="15" t="str">
        <f>IFERROR(__xludf.DUMMYFUNCTION("""COMPUTED_VALUE"""),"BOGOTÁ")</f>
        <v>BOGOTÁ</v>
      </c>
      <c r="E4738" s="15" t="str">
        <f>IFERROR(__xludf.DUMMYFUNCTION("""COMPUTED_VALUE"""),"Viiva Fermentados")</f>
        <v>Viiva Fermentados</v>
      </c>
      <c r="F4738" s="17" t="str">
        <f>IFERROR(__xludf.DUMMYFUNCTION("""COMPUTED_VALUE"""),"Calle 98 #50b-19 / primer piso preguntar por Doña Fabiola / Aranjuez")</f>
        <v>Calle 98 #50b-19 / primer piso preguntar por Doña Fabiola / Aranjuez</v>
      </c>
      <c r="G4738" s="15" t="str">
        <f>IFERROR(__xludf.DUMMYFUNCTION("""COMPUTED_VALUE"""),"Bayron Rodriguez")</f>
        <v>Bayron Rodriguez</v>
      </c>
      <c r="H4738" s="16">
        <f>IFERROR(__xludf.DUMMYFUNCTION("""COMPUTED_VALUE"""),13384.0)</f>
        <v>13384</v>
      </c>
      <c r="I4738" s="18">
        <f>IFERROR(__xludf.DUMMYFUNCTION("""COMPUTED_VALUE"""),17.0)</f>
        <v>17</v>
      </c>
      <c r="J4738" s="18">
        <f>IFERROR(__xludf.DUMMYFUNCTION("""COMPUTED_VALUE"""),24.0)</f>
        <v>24</v>
      </c>
      <c r="K4738" s="18">
        <f>IFERROR(__xludf.DUMMYFUNCTION("""COMPUTED_VALUE"""),36.0)</f>
        <v>36</v>
      </c>
      <c r="L4738" s="17">
        <f>IFERROR(__xludf.DUMMYFUNCTION("""COMPUTED_VALUE"""),3.166261966E9)</f>
        <v>3166261966</v>
      </c>
      <c r="M4738" s="17" t="str">
        <f>IFERROR(__xludf.DUMMYFUNCTION("""COMPUTED_VALUE"""),"#REF!")</f>
        <v>#REF!</v>
      </c>
      <c r="N4738" s="17"/>
      <c r="O4738" s="17"/>
      <c r="P4738" s="17" t="b">
        <f>IFERROR(__xludf.DUMMYFUNCTION("""COMPUTED_VALUE"""),FALSE)</f>
        <v>0</v>
      </c>
      <c r="Q4738" s="20" t="str">
        <f>IFERROR(__xludf.DUMMYFUNCTION("""COMPUTED_VALUE"""),"")</f>
        <v/>
      </c>
      <c r="R4738" s="22" t="str">
        <f>IFERROR(__xludf.DUMMYFUNCTION("""COMPUTED_VALUE"""),"")</f>
        <v/>
      </c>
    </row>
    <row r="4739">
      <c r="A4739" s="15">
        <f>IFERROR(__xludf.DUMMYFUNCTION("""COMPUTED_VALUE"""),45139.0)</f>
        <v>45139</v>
      </c>
      <c r="B4739" s="16" t="str">
        <f>IFERROR(__xludf.DUMMYFUNCTION("""COMPUTED_VALUE"""),"Envia")</f>
        <v>Envia</v>
      </c>
      <c r="C4739" s="15" t="str">
        <f>IFERROR(__xludf.DUMMYFUNCTION("""COMPUTED_VALUE"""),"PEREIRA")</f>
        <v>PEREIRA</v>
      </c>
      <c r="D4739" s="15" t="str">
        <f>IFERROR(__xludf.DUMMYFUNCTION("""COMPUTED_VALUE"""),"BOGOTÁ")</f>
        <v>BOGOTÁ</v>
      </c>
      <c r="E4739" s="15" t="str">
        <f>IFERROR(__xludf.DUMMYFUNCTION("""COMPUTED_VALUE"""),"Asociacion Agropecuaria Juana Maria")</f>
        <v>Asociacion Agropecuaria Juana Maria</v>
      </c>
      <c r="F4739" s="17" t="str">
        <f>IFERROR(__xludf.DUMMYFUNCTION("""COMPUTED_VALUE"""),"Calle 153 # 23 -41 manzana 1 casa 9 sol de Galicia")</f>
        <v>Calle 153 # 23 -41 manzana 1 casa 9 sol de Galicia</v>
      </c>
      <c r="G4739" s="15" t="str">
        <f>IFERROR(__xludf.DUMMYFUNCTION("""COMPUTED_VALUE"""),"Paula Andrea Forero")</f>
        <v>Paula Andrea Forero</v>
      </c>
      <c r="H4739" s="16">
        <f>IFERROR(__xludf.DUMMYFUNCTION("""COMPUTED_VALUE"""),13404.0)</f>
        <v>13404</v>
      </c>
      <c r="I4739" s="18">
        <f>IFERROR(__xludf.DUMMYFUNCTION("""COMPUTED_VALUE"""),16.0)</f>
        <v>16</v>
      </c>
      <c r="J4739" s="18">
        <f>IFERROR(__xludf.DUMMYFUNCTION("""COMPUTED_VALUE"""),34.0)</f>
        <v>34</v>
      </c>
      <c r="K4739" s="18">
        <f>IFERROR(__xludf.DUMMYFUNCTION("""COMPUTED_VALUE"""),25.0)</f>
        <v>25</v>
      </c>
      <c r="L4739" s="17">
        <f>IFERROR(__xludf.DUMMYFUNCTION("""COMPUTED_VALUE"""),3.115760231E9)</f>
        <v>3115760231</v>
      </c>
      <c r="M4739" s="17" t="str">
        <f>IFERROR(__xludf.DUMMYFUNCTION("""COMPUTED_VALUE"""),"#REF!")</f>
        <v>#REF!</v>
      </c>
      <c r="N4739" s="17"/>
      <c r="O4739" s="17"/>
      <c r="P4739" s="17" t="b">
        <f>IFERROR(__xludf.DUMMYFUNCTION("""COMPUTED_VALUE"""),FALSE)</f>
        <v>0</v>
      </c>
      <c r="Q4739" s="20" t="str">
        <f>IFERROR(__xludf.DUMMYFUNCTION("""COMPUTED_VALUE"""),"")</f>
        <v/>
      </c>
      <c r="R4739" s="21" t="str">
        <f>IFERROR(__xludf.DUMMYFUNCTION("""COMPUTED_VALUE"""),"https://drive.google.com/file/d/1hEZJMLsT2-U2YmJM0wlbSzQSydtZ2Slz/view?usp=drivesdk")</f>
        <v>https://drive.google.com/file/d/1hEZJMLsT2-U2YmJM0wlbSzQSydtZ2Slz/view?usp=drivesdk</v>
      </c>
    </row>
    <row r="4740">
      <c r="A4740" s="17" t="str">
        <f>IFERROR(__xludf.DUMMYFUNCTION("""COMPUTED_VALUE"""),"")</f>
        <v/>
      </c>
      <c r="B4740" s="17" t="str">
        <f>IFERROR(__xludf.DUMMYFUNCTION("""COMPUTED_VALUE"""),"")</f>
        <v/>
      </c>
      <c r="C4740" s="17" t="str">
        <f>IFERROR(__xludf.DUMMYFUNCTION("""COMPUTED_VALUE"""),"")</f>
        <v/>
      </c>
      <c r="D4740" s="17" t="str">
        <f>IFERROR(__xludf.DUMMYFUNCTION("""COMPUTED_VALUE"""),"")</f>
        <v/>
      </c>
      <c r="E4740" s="17" t="str">
        <f>IFERROR(__xludf.DUMMYFUNCTION("""COMPUTED_VALUE"""),"")</f>
        <v/>
      </c>
      <c r="F4740" s="17" t="str">
        <f>IFERROR(__xludf.DUMMYFUNCTION("""COMPUTED_VALUE"""),"")</f>
        <v/>
      </c>
      <c r="G4740" s="17" t="str">
        <f>IFERROR(__xludf.DUMMYFUNCTION("""COMPUTED_VALUE"""),"")</f>
        <v/>
      </c>
      <c r="H4740" s="17" t="str">
        <f>IFERROR(__xludf.DUMMYFUNCTION("""COMPUTED_VALUE"""),"")</f>
        <v/>
      </c>
      <c r="I4740" s="17" t="str">
        <f>IFERROR(__xludf.DUMMYFUNCTION("""COMPUTED_VALUE"""),"")</f>
        <v/>
      </c>
      <c r="J4740" s="17" t="str">
        <f>IFERROR(__xludf.DUMMYFUNCTION("""COMPUTED_VALUE"""),"")</f>
        <v/>
      </c>
      <c r="K4740" s="17" t="str">
        <f>IFERROR(__xludf.DUMMYFUNCTION("""COMPUTED_VALUE"""),"")</f>
        <v/>
      </c>
      <c r="L4740" s="17" t="str">
        <f>IFERROR(__xludf.DUMMYFUNCTION("""COMPUTED_VALUE"""),"")</f>
        <v/>
      </c>
      <c r="M4740" s="17" t="str">
        <f>IFERROR(__xludf.DUMMYFUNCTION("""COMPUTED_VALUE"""),"")</f>
        <v/>
      </c>
      <c r="N4740" s="17" t="str">
        <f>IFERROR(__xludf.DUMMYFUNCTION("""COMPUTED_VALUE"""),"")</f>
        <v/>
      </c>
      <c r="O4740" s="17" t="str">
        <f>IFERROR(__xludf.DUMMYFUNCTION("""COMPUTED_VALUE"""),"")</f>
        <v/>
      </c>
      <c r="P4740" s="17" t="str">
        <f>IFERROR(__xludf.DUMMYFUNCTION("""COMPUTED_VALUE"""),"")</f>
        <v/>
      </c>
      <c r="Q4740" s="17" t="str">
        <f>IFERROR(__xludf.DUMMYFUNCTION("""COMPUTED_VALUE"""),"")</f>
        <v/>
      </c>
      <c r="R4740" s="17" t="str">
        <f>IFERROR(__xludf.DUMMYFUNCTION("""COMPUTED_VALUE"""),"")</f>
        <v/>
      </c>
    </row>
    <row r="4741">
      <c r="A4741" s="15">
        <f>IFERROR(__xludf.DUMMYFUNCTION("""COMPUTED_VALUE"""),45139.0)</f>
        <v>45139</v>
      </c>
      <c r="B4741" s="16" t="str">
        <f>IFERROR(__xludf.DUMMYFUNCTION("""COMPUTED_VALUE"""),"Ivan David Pirela Pirela")</f>
        <v>Ivan David Pirela Pirela</v>
      </c>
      <c r="C4741" s="15" t="str">
        <f>IFERROR(__xludf.DUMMYFUNCTION("""COMPUTED_VALUE"""),"BUCARAMANGA")</f>
        <v>BUCARAMANGA</v>
      </c>
      <c r="D4741" s="15" t="str">
        <f>IFERROR(__xludf.DUMMYFUNCTION("""COMPUTED_VALUE"""),"BOGOTÁ")</f>
        <v>BOGOTÁ</v>
      </c>
      <c r="E4741" s="15" t="str">
        <f>IFERROR(__xludf.DUMMYFUNCTION("""COMPUTED_VALUE"""),"Helados Socos")</f>
        <v>Helados Socos</v>
      </c>
      <c r="F4741" s="17" t="str">
        <f>IFERROR(__xludf.DUMMYFUNCTION("""COMPUTED_VALUE"""),"Cll 55 # 29 - 45  / CASA / Santander")</f>
        <v>Cll 55 # 29 - 45  / CASA / Santander</v>
      </c>
      <c r="G4741" s="15" t="str">
        <f>IFERROR(__xludf.DUMMYFUNCTION("""COMPUTED_VALUE"""),"Mariela Guarín")</f>
        <v>Mariela Guarín</v>
      </c>
      <c r="H4741" s="16">
        <f>IFERROR(__xludf.DUMMYFUNCTION("""COMPUTED_VALUE"""),13330.0)</f>
        <v>13330</v>
      </c>
      <c r="I4741" s="18">
        <f>IFERROR(__xludf.DUMMYFUNCTION("""COMPUTED_VALUE"""),18.0)</f>
        <v>18</v>
      </c>
      <c r="J4741" s="18">
        <f>IFERROR(__xludf.DUMMYFUNCTION("""COMPUTED_VALUE"""),10.0)</f>
        <v>10</v>
      </c>
      <c r="K4741" s="18">
        <f>IFERROR(__xludf.DUMMYFUNCTION("""COMPUTED_VALUE"""),15.0)</f>
        <v>15</v>
      </c>
      <c r="L4741" s="17">
        <f>IFERROR(__xludf.DUMMYFUNCTION("""COMPUTED_VALUE"""),3.158524692E9)</f>
        <v>3158524692</v>
      </c>
      <c r="M4741" s="17" t="str">
        <f>IFERROR(__xludf.DUMMYFUNCTION("""COMPUTED_VALUE"""),"#REF!")</f>
        <v>#REF!</v>
      </c>
      <c r="N4741" s="17"/>
      <c r="O4741" s="17"/>
      <c r="P4741" s="17" t="b">
        <f>IFERROR(__xludf.DUMMYFUNCTION("""COMPUTED_VALUE"""),FALSE)</f>
        <v>0</v>
      </c>
      <c r="Q4741" s="20" t="str">
        <f>IFERROR(__xludf.DUMMYFUNCTION("""COMPUTED_VALUE"""),"")</f>
        <v/>
      </c>
      <c r="R4741" s="21" t="str">
        <f>IFERROR(__xludf.DUMMYFUNCTION("""COMPUTED_VALUE"""),"https://drive.google.com/file/d/1zgA-NhN4KJNnBt0m7vC8enQyOZ39Dtx2/view?usp=drivesdk")</f>
        <v>https://drive.google.com/file/d/1zgA-NhN4KJNnBt0m7vC8enQyOZ39Dtx2/view?usp=drivesdk</v>
      </c>
    </row>
    <row r="4742">
      <c r="A4742" s="15">
        <f>IFERROR(__xludf.DUMMYFUNCTION("""COMPUTED_VALUE"""),45139.0)</f>
        <v>45139</v>
      </c>
      <c r="B4742" s="16" t="str">
        <f>IFERROR(__xludf.DUMMYFUNCTION("""COMPUTED_VALUE"""),"Ivan David Pirela Pirela")</f>
        <v>Ivan David Pirela Pirela</v>
      </c>
      <c r="C4742" s="15" t="str">
        <f>IFERROR(__xludf.DUMMYFUNCTION("""COMPUTED_VALUE"""),"BUCARAMANGA")</f>
        <v>BUCARAMANGA</v>
      </c>
      <c r="D4742" s="15" t="str">
        <f>IFERROR(__xludf.DUMMYFUNCTION("""COMPUTED_VALUE"""),"BOGOTÁ")</f>
        <v>BOGOTÁ</v>
      </c>
      <c r="E4742" s="15" t="str">
        <f>IFERROR(__xludf.DUMMYFUNCTION("""COMPUTED_VALUE"""),"Pave")</f>
        <v>Pave</v>
      </c>
      <c r="F4742" s="17" t="str">
        <f>IFERROR(__xludf.DUMMYFUNCTION("""COMPUTED_VALUE"""),"calle 20 # 30-27 / apto 303  /  san Alonso")</f>
        <v>calle 20 # 30-27 / apto 303  /  san Alonso</v>
      </c>
      <c r="G4742" s="15" t="str">
        <f>IFERROR(__xludf.DUMMYFUNCTION("""COMPUTED_VALUE"""),"jhonnier Vanegas")</f>
        <v>jhonnier Vanegas</v>
      </c>
      <c r="H4742" s="16">
        <f>IFERROR(__xludf.DUMMYFUNCTION("""COMPUTED_VALUE"""),13417.0)</f>
        <v>13417</v>
      </c>
      <c r="I4742" s="18">
        <f>IFERROR(__xludf.DUMMYFUNCTION("""COMPUTED_VALUE"""),6.0)</f>
        <v>6</v>
      </c>
      <c r="J4742" s="18">
        <f>IFERROR(__xludf.DUMMYFUNCTION("""COMPUTED_VALUE"""),13.0)</f>
        <v>13</v>
      </c>
      <c r="K4742" s="18">
        <f>IFERROR(__xludf.DUMMYFUNCTION("""COMPUTED_VALUE"""),13.0)</f>
        <v>13</v>
      </c>
      <c r="L4742" s="17">
        <f>IFERROR(__xludf.DUMMYFUNCTION("""COMPUTED_VALUE"""),3.158290558E9)</f>
        <v>3158290558</v>
      </c>
      <c r="M4742" s="17" t="str">
        <f>IFERROR(__xludf.DUMMYFUNCTION("""COMPUTED_VALUE"""),"#REF!")</f>
        <v>#REF!</v>
      </c>
      <c r="N4742" s="17"/>
      <c r="O4742" s="17"/>
      <c r="P4742" s="17" t="b">
        <f>IFERROR(__xludf.DUMMYFUNCTION("""COMPUTED_VALUE"""),FALSE)</f>
        <v>0</v>
      </c>
      <c r="Q4742" s="20" t="str">
        <f>IFERROR(__xludf.DUMMYFUNCTION("""COMPUTED_VALUE"""),"")</f>
        <v/>
      </c>
      <c r="R4742" s="22" t="str">
        <f>IFERROR(__xludf.DUMMYFUNCTION("""COMPUTED_VALUE"""),"")</f>
        <v/>
      </c>
    </row>
    <row r="4743">
      <c r="A4743" s="15">
        <f>IFERROR(__xludf.DUMMYFUNCTION("""COMPUTED_VALUE"""),45139.0)</f>
        <v>45139</v>
      </c>
      <c r="B4743" s="16" t="str">
        <f>IFERROR(__xludf.DUMMYFUNCTION("""COMPUTED_VALUE"""),"Ivan David Pirela Pirela")</f>
        <v>Ivan David Pirela Pirela</v>
      </c>
      <c r="C4743" s="15" t="str">
        <f>IFERROR(__xludf.DUMMYFUNCTION("""COMPUTED_VALUE"""),"BUCARAMANGA")</f>
        <v>BUCARAMANGA</v>
      </c>
      <c r="D4743" s="15" t="str">
        <f>IFERROR(__xludf.DUMMYFUNCTION("""COMPUTED_VALUE"""),"MEDELLÍN")</f>
        <v>MEDELLÍN</v>
      </c>
      <c r="E4743" s="15" t="str">
        <f>IFERROR(__xludf.DUMMYFUNCTION("""COMPUTED_VALUE"""),"AREPAS LA MARY")</f>
        <v>AREPAS LA MARY</v>
      </c>
      <c r="F4743" s="17" t="str">
        <f>IFERROR(__xludf.DUMMYFUNCTION("""COMPUTED_VALUE"""),"calle 34 # 22-46 / edificio picasso cubismo t2 apto 604")</f>
        <v>calle 34 # 22-46 / edificio picasso cubismo t2 apto 604</v>
      </c>
      <c r="G4743" s="15" t="str">
        <f>IFERROR(__xludf.DUMMYFUNCTION("""COMPUTED_VALUE"""),"PANERA BUCARAMANGA")</f>
        <v>PANERA BUCARAMANGA</v>
      </c>
      <c r="H4743" s="16">
        <f>IFERROR(__xludf.DUMMYFUNCTION("""COMPUTED_VALUE"""),13428.0)</f>
        <v>13428</v>
      </c>
      <c r="I4743" s="18">
        <f>IFERROR(__xludf.DUMMYFUNCTION("""COMPUTED_VALUE"""),89.0)</f>
        <v>89</v>
      </c>
      <c r="J4743" s="18">
        <f>IFERROR(__xludf.DUMMYFUNCTION("""COMPUTED_VALUE"""),1.0)</f>
        <v>1</v>
      </c>
      <c r="K4743" s="18">
        <f>IFERROR(__xludf.DUMMYFUNCTION("""COMPUTED_VALUE"""),10.0)</f>
        <v>10</v>
      </c>
      <c r="L4743" s="17">
        <f>IFERROR(__xludf.DUMMYFUNCTION("""COMPUTED_VALUE"""),3.213260509E9)</f>
        <v>3213260509</v>
      </c>
      <c r="M4743" s="17" t="str">
        <f>IFERROR(__xludf.DUMMYFUNCTION("""COMPUTED_VALUE"""),"#REF!")</f>
        <v>#REF!</v>
      </c>
      <c r="N4743" s="17"/>
      <c r="O4743" s="17"/>
      <c r="P4743" s="17" t="b">
        <f>IFERROR(__xludf.DUMMYFUNCTION("""COMPUTED_VALUE"""),FALSE)</f>
        <v>0</v>
      </c>
      <c r="Q4743" s="20" t="str">
        <f>IFERROR(__xludf.DUMMYFUNCTION("""COMPUTED_VALUE"""),"")</f>
        <v/>
      </c>
      <c r="R4743" s="21" t="str">
        <f>IFERROR(__xludf.DUMMYFUNCTION("""COMPUTED_VALUE"""),"https://drive.google.com/file/d/1_bruz2QFlS3KoiNG9NXUbmi9v_KsTLK4/view?usp=drivesdk")</f>
        <v>https://drive.google.com/file/d/1_bruz2QFlS3KoiNG9NXUbmi9v_KsTLK4/view?usp=drivesdk</v>
      </c>
    </row>
    <row r="4744">
      <c r="A4744" s="15">
        <f>IFERROR(__xludf.DUMMYFUNCTION("""COMPUTED_VALUE"""),45139.0)</f>
        <v>45139</v>
      </c>
      <c r="B4744" s="16" t="str">
        <f>IFERROR(__xludf.DUMMYFUNCTION("""COMPUTED_VALUE"""),"Ivan David Pirela Pirela")</f>
        <v>Ivan David Pirela Pirela</v>
      </c>
      <c r="C4744" s="15" t="str">
        <f>IFERROR(__xludf.DUMMYFUNCTION("""COMPUTED_VALUE"""),"BUCARAMANGA")</f>
        <v>BUCARAMANGA</v>
      </c>
      <c r="D4744" s="15" t="str">
        <f>IFERROR(__xludf.DUMMYFUNCTION("""COMPUTED_VALUE"""),"MEDELLÍN")</f>
        <v>MEDELLÍN</v>
      </c>
      <c r="E4744" s="15" t="str">
        <f>IFERROR(__xludf.DUMMYFUNCTION("""COMPUTED_VALUE"""),"Baby Chef")</f>
        <v>Baby Chef</v>
      </c>
      <c r="F4744" s="17" t="str">
        <f>IFERROR(__xludf.DUMMYFUNCTION("""COMPUTED_VALUE"""),"cra 44 32 71 Alvarez / cra 44 32 71 Alvarez / cra 44 32 71 Alvarez")</f>
        <v>cra 44 32 71 Alvarez / cra 44 32 71 Alvarez / cra 44 32 71 Alvarez</v>
      </c>
      <c r="G4744" s="15" t="str">
        <f>IFERROR(__xludf.DUMMYFUNCTION("""COMPUTED_VALUE"""),"Tatiana Cabeza")</f>
        <v>Tatiana Cabeza</v>
      </c>
      <c r="H4744" s="16">
        <f>IFERROR(__xludf.DUMMYFUNCTION("""COMPUTED_VALUE"""),13470.0)</f>
        <v>13470</v>
      </c>
      <c r="I4744" s="18">
        <f>IFERROR(__xludf.DUMMYFUNCTION("""COMPUTED_VALUE"""),8.0)</f>
        <v>8</v>
      </c>
      <c r="J4744" s="18">
        <f>IFERROR(__xludf.DUMMYFUNCTION("""COMPUTED_VALUE"""),38.0)</f>
        <v>38</v>
      </c>
      <c r="K4744" s="18">
        <f>IFERROR(__xludf.DUMMYFUNCTION("""COMPUTED_VALUE"""),22.0)</f>
        <v>22</v>
      </c>
      <c r="L4744" s="17">
        <f>IFERROR(__xludf.DUMMYFUNCTION("""COMPUTED_VALUE"""),3.01515152E9)</f>
        <v>3015151520</v>
      </c>
      <c r="M4744" s="17" t="str">
        <f>IFERROR(__xludf.DUMMYFUNCTION("""COMPUTED_VALUE"""),"#REF!")</f>
        <v>#REF!</v>
      </c>
      <c r="N4744" s="17"/>
      <c r="O4744" s="17"/>
      <c r="P4744" s="17" t="b">
        <f>IFERROR(__xludf.DUMMYFUNCTION("""COMPUTED_VALUE"""),FALSE)</f>
        <v>0</v>
      </c>
      <c r="Q4744" s="20" t="str">
        <f>IFERROR(__xludf.DUMMYFUNCTION("""COMPUTED_VALUE"""),"")</f>
        <v/>
      </c>
      <c r="R4744" s="21" t="str">
        <f>IFERROR(__xludf.DUMMYFUNCTION("""COMPUTED_VALUE"""),"https://drive.google.com/file/d/1Nd-UmBchmw2OidUahDLlhaEAH1AajNZ_/view?usp=drivesdk")</f>
        <v>https://drive.google.com/file/d/1Nd-UmBchmw2OidUahDLlhaEAH1AajNZ_/view?usp=drivesdk</v>
      </c>
    </row>
    <row r="4745">
      <c r="A4745" s="15">
        <f>IFERROR(__xludf.DUMMYFUNCTION("""COMPUTED_VALUE"""),45139.0)</f>
        <v>45139</v>
      </c>
      <c r="B4745" s="16" t="str">
        <f>IFERROR(__xludf.DUMMYFUNCTION("""COMPUTED_VALUE"""),"Ivan David Pirela Pirela")</f>
        <v>Ivan David Pirela Pirela</v>
      </c>
      <c r="C4745" s="15" t="str">
        <f>IFERROR(__xludf.DUMMYFUNCTION("""COMPUTED_VALUE"""),"FLORIDABLANCA")</f>
        <v>FLORIDABLANCA</v>
      </c>
      <c r="D4745" s="15" t="str">
        <f>IFERROR(__xludf.DUMMYFUNCTION("""COMPUTED_VALUE"""),"BOGOTÁ")</f>
        <v>BOGOTÁ</v>
      </c>
      <c r="E4745" s="15" t="str">
        <f>IFERROR(__xludf.DUMMYFUNCTION("""COMPUTED_VALUE"""),"Asociacion Agropecuaria Juana Maria")</f>
        <v>Asociacion Agropecuaria Juana Maria</v>
      </c>
      <c r="F4745" s="17" t="str">
        <f>IFERROR(__xludf.DUMMYFUNCTION("""COMPUTED_VALUE"""),"Calle 19 #11-37 Guanatá FLORIDABLANCA")</f>
        <v>Calle 19 #11-37 Guanatá FLORIDABLANCA</v>
      </c>
      <c r="G4745" s="15" t="str">
        <f>IFERROR(__xludf.DUMMYFUNCTION("""COMPUTED_VALUE"""),"Claudia Gonzalez")</f>
        <v>Claudia Gonzalez</v>
      </c>
      <c r="H4745" s="16">
        <f>IFERROR(__xludf.DUMMYFUNCTION("""COMPUTED_VALUE"""),13401.0)</f>
        <v>13401</v>
      </c>
      <c r="I4745" s="18">
        <f>IFERROR(__xludf.DUMMYFUNCTION("""COMPUTED_VALUE"""),21.0)</f>
        <v>21</v>
      </c>
      <c r="J4745" s="18">
        <f>IFERROR(__xludf.DUMMYFUNCTION("""COMPUTED_VALUE"""),37.0)</f>
        <v>37</v>
      </c>
      <c r="K4745" s="18">
        <f>IFERROR(__xludf.DUMMYFUNCTION("""COMPUTED_VALUE"""),30.0)</f>
        <v>30</v>
      </c>
      <c r="L4745" s="17">
        <f>IFERROR(__xludf.DUMMYFUNCTION("""COMPUTED_VALUE"""),3.002802001E9)</f>
        <v>3002802001</v>
      </c>
      <c r="M4745" s="17" t="str">
        <f>IFERROR(__xludf.DUMMYFUNCTION("""COMPUTED_VALUE"""),"#REF!")</f>
        <v>#REF!</v>
      </c>
      <c r="N4745" s="17"/>
      <c r="O4745" s="17"/>
      <c r="P4745" s="17" t="b">
        <f>IFERROR(__xludf.DUMMYFUNCTION("""COMPUTED_VALUE"""),FALSE)</f>
        <v>0</v>
      </c>
      <c r="Q4745" s="20" t="str">
        <f>IFERROR(__xludf.DUMMYFUNCTION("""COMPUTED_VALUE"""),"")</f>
        <v/>
      </c>
      <c r="R4745" s="21" t="str">
        <f>IFERROR(__xludf.DUMMYFUNCTION("""COMPUTED_VALUE"""),"https://drive.google.com/file/d/10vtJ2DkBdDoActD3kQ7PahUyJQFKR8W1/view?usp=drivesdk")</f>
        <v>https://drive.google.com/file/d/10vtJ2DkBdDoActD3kQ7PahUyJQFKR8W1/view?usp=drivesdk</v>
      </c>
    </row>
    <row r="4746">
      <c r="A4746" s="15">
        <f>IFERROR(__xludf.DUMMYFUNCTION("""COMPUTED_VALUE"""),45139.0)</f>
        <v>45139</v>
      </c>
      <c r="B4746" s="16" t="str">
        <f>IFERROR(__xludf.DUMMYFUNCTION("""COMPUTED_VALUE"""),"Ivan David Pirela Pirela")</f>
        <v>Ivan David Pirela Pirela</v>
      </c>
      <c r="C4746" s="15" t="str">
        <f>IFERROR(__xludf.DUMMYFUNCTION("""COMPUTED_VALUE"""),"PEREIRA")</f>
        <v>PEREIRA</v>
      </c>
      <c r="D4746" s="15" t="str">
        <f>IFERROR(__xludf.DUMMYFUNCTION("""COMPUTED_VALUE"""),"MEDELLÍN")</f>
        <v>MEDELLÍN</v>
      </c>
      <c r="E4746" s="15" t="str">
        <f>IFERROR(__xludf.DUMMYFUNCTION("""COMPUTED_VALUE"""),"Baby Chef")</f>
        <v>Baby Chef</v>
      </c>
      <c r="F4746" s="17" t="str">
        <f>IFERROR(__xludf.DUMMYFUNCTION("""COMPUTED_VALUE"""),"carrera 31 No 84-20, club residencial el nogal, torre 8 apto 861 / carrera 31 No 84-20, club residencial el nogal, torre 8 apto 861 / carrera 31 No 84-20, club residencial el nogal, torre 8 apto 861")</f>
        <v>carrera 31 No 84-20, club residencial el nogal, torre 8 apto 861 / carrera 31 No 84-20, club residencial el nogal, torre 8 apto 861 / carrera 31 No 84-20, club residencial el nogal, torre 8 apto 861</v>
      </c>
      <c r="G4746" s="15" t="str">
        <f>IFERROR(__xludf.DUMMYFUNCTION("""COMPUTED_VALUE"""),"Vanessa García")</f>
        <v>Vanessa García</v>
      </c>
      <c r="H4746" s="16">
        <f>IFERROR(__xludf.DUMMYFUNCTION("""COMPUTED_VALUE"""),13463.0)</f>
        <v>13463</v>
      </c>
      <c r="I4746" s="18">
        <f>IFERROR(__xludf.DUMMYFUNCTION("""COMPUTED_VALUE"""),8.0)</f>
        <v>8</v>
      </c>
      <c r="J4746" s="18">
        <f>IFERROR(__xludf.DUMMYFUNCTION("""COMPUTED_VALUE"""),20.0)</f>
        <v>20</v>
      </c>
      <c r="K4746" s="18">
        <f>IFERROR(__xludf.DUMMYFUNCTION("""COMPUTED_VALUE"""),44.0)</f>
        <v>44</v>
      </c>
      <c r="L4746" s="17">
        <f>IFERROR(__xludf.DUMMYFUNCTION("""COMPUTED_VALUE"""),3.158863218E9)</f>
        <v>3158863218</v>
      </c>
      <c r="M4746" s="17" t="str">
        <f>IFERROR(__xludf.DUMMYFUNCTION("""COMPUTED_VALUE"""),"#REF!")</f>
        <v>#REF!</v>
      </c>
      <c r="N4746" s="17"/>
      <c r="O4746" s="17"/>
      <c r="P4746" s="17" t="b">
        <f>IFERROR(__xludf.DUMMYFUNCTION("""COMPUTED_VALUE"""),FALSE)</f>
        <v>0</v>
      </c>
      <c r="Q4746" s="20" t="str">
        <f>IFERROR(__xludf.DUMMYFUNCTION("""COMPUTED_VALUE"""),"")</f>
        <v/>
      </c>
      <c r="R4746" s="21" t="str">
        <f>IFERROR(__xludf.DUMMYFUNCTION("""COMPUTED_VALUE"""),"https://drive.google.com/file/d/1X5YBnSnzVY4pNHRC260EMTtnZnDKcXim/view?usp=drivesdk")</f>
        <v>https://drive.google.com/file/d/1X5YBnSnzVY4pNHRC260EMTtnZnDKcXim/view?usp=drivesdk</v>
      </c>
    </row>
    <row r="4747">
      <c r="A4747" s="15">
        <f>IFERROR(__xludf.DUMMYFUNCTION("""COMPUTED_VALUE"""),45139.0)</f>
        <v>45139</v>
      </c>
      <c r="B4747" s="16" t="str">
        <f>IFERROR(__xludf.DUMMYFUNCTION("""COMPUTED_VALUE"""),"Ivan David Pirela Pirela")</f>
        <v>Ivan David Pirela Pirela</v>
      </c>
      <c r="C4747" s="15" t="str">
        <f>IFERROR(__xludf.DUMMYFUNCTION("""COMPUTED_VALUE"""),"PEREIRA")</f>
        <v>PEREIRA</v>
      </c>
      <c r="D4747" s="15" t="str">
        <f>IFERROR(__xludf.DUMMYFUNCTION("""COMPUTED_VALUE"""),"MEDELLÍN")</f>
        <v>MEDELLÍN</v>
      </c>
      <c r="E4747" s="15" t="str">
        <f>IFERROR(__xludf.DUMMYFUNCTION("""COMPUTED_VALUE"""),"Todo Bufala")</f>
        <v>Todo Bufala</v>
      </c>
      <c r="F4747" s="17" t="str">
        <f>IFERROR(__xludf.DUMMYFUNCTION("""COMPUTED_VALUE"""),"Cra 14 N 12-55 Circunvalar")</f>
        <v>Cra 14 N 12-55 Circunvalar</v>
      </c>
      <c r="G4747" s="15" t="str">
        <f>IFERROR(__xludf.DUMMYFUNCTION("""COMPUTED_VALUE"""),"Jeimy Jaramillo-Inversiones saludables vita SAS")</f>
        <v>Jeimy Jaramillo-Inversiones saludables vita SAS</v>
      </c>
      <c r="H4747" s="16">
        <f>IFERROR(__xludf.DUMMYFUNCTION("""COMPUTED_VALUE"""),13407.0)</f>
        <v>13407</v>
      </c>
      <c r="I4747" s="18">
        <f>IFERROR(__xludf.DUMMYFUNCTION("""COMPUTED_VALUE"""),20.0)</f>
        <v>20</v>
      </c>
      <c r="J4747" s="18">
        <f>IFERROR(__xludf.DUMMYFUNCTION("""COMPUTED_VALUE"""),30.0)</f>
        <v>30</v>
      </c>
      <c r="K4747" s="18">
        <f>IFERROR(__xludf.DUMMYFUNCTION("""COMPUTED_VALUE"""),40.0)</f>
        <v>40</v>
      </c>
      <c r="L4747" s="17">
        <f>IFERROR(__xludf.DUMMYFUNCTION("""COMPUTED_VALUE"""),3.14645528E9)</f>
        <v>3146455280</v>
      </c>
      <c r="M4747" s="17" t="str">
        <f>IFERROR(__xludf.DUMMYFUNCTION("""COMPUTED_VALUE"""),"#REF!")</f>
        <v>#REF!</v>
      </c>
      <c r="N4747" s="17"/>
      <c r="O4747" s="17"/>
      <c r="P4747" s="17" t="b">
        <f>IFERROR(__xludf.DUMMYFUNCTION("""COMPUTED_VALUE"""),FALSE)</f>
        <v>0</v>
      </c>
      <c r="Q4747" s="20" t="str">
        <f>IFERROR(__xludf.DUMMYFUNCTION("""COMPUTED_VALUE"""),"")</f>
        <v/>
      </c>
      <c r="R4747" s="21" t="str">
        <f>IFERROR(__xludf.DUMMYFUNCTION("""COMPUTED_VALUE"""),"https://drive.google.com/file/d/1XWnktfLJQcsII-9cmzWsDwrcm4iao-7C/view?usp=drivesdk")</f>
        <v>https://drive.google.com/file/d/1XWnktfLJQcsII-9cmzWsDwrcm4iao-7C/view?usp=drivesdk</v>
      </c>
    </row>
    <row r="4748">
      <c r="A4748" s="17" t="str">
        <f>IFERROR(__xludf.DUMMYFUNCTION("""COMPUTED_VALUE"""),"")</f>
        <v/>
      </c>
      <c r="B4748" s="17" t="str">
        <f>IFERROR(__xludf.DUMMYFUNCTION("""COMPUTED_VALUE"""),"")</f>
        <v/>
      </c>
      <c r="C4748" s="17" t="str">
        <f>IFERROR(__xludf.DUMMYFUNCTION("""COMPUTED_VALUE"""),"")</f>
        <v/>
      </c>
      <c r="D4748" s="17" t="str">
        <f>IFERROR(__xludf.DUMMYFUNCTION("""COMPUTED_VALUE"""),"")</f>
        <v/>
      </c>
      <c r="E4748" s="17" t="str">
        <f>IFERROR(__xludf.DUMMYFUNCTION("""COMPUTED_VALUE"""),"")</f>
        <v/>
      </c>
      <c r="F4748" s="17" t="str">
        <f>IFERROR(__xludf.DUMMYFUNCTION("""COMPUTED_VALUE"""),"")</f>
        <v/>
      </c>
      <c r="G4748" s="17" t="str">
        <f>IFERROR(__xludf.DUMMYFUNCTION("""COMPUTED_VALUE"""),"")</f>
        <v/>
      </c>
      <c r="H4748" s="17" t="str">
        <f>IFERROR(__xludf.DUMMYFUNCTION("""COMPUTED_VALUE"""),"")</f>
        <v/>
      </c>
      <c r="I4748" s="17" t="str">
        <f>IFERROR(__xludf.DUMMYFUNCTION("""COMPUTED_VALUE"""),"")</f>
        <v/>
      </c>
      <c r="J4748" s="17" t="str">
        <f>IFERROR(__xludf.DUMMYFUNCTION("""COMPUTED_VALUE"""),"")</f>
        <v/>
      </c>
      <c r="K4748" s="17" t="str">
        <f>IFERROR(__xludf.DUMMYFUNCTION("""COMPUTED_VALUE"""),"")</f>
        <v/>
      </c>
      <c r="L4748" s="17" t="str">
        <f>IFERROR(__xludf.DUMMYFUNCTION("""COMPUTED_VALUE"""),"")</f>
        <v/>
      </c>
      <c r="M4748" s="17" t="str">
        <f>IFERROR(__xludf.DUMMYFUNCTION("""COMPUTED_VALUE"""),"")</f>
        <v/>
      </c>
      <c r="N4748" s="17" t="str">
        <f>IFERROR(__xludf.DUMMYFUNCTION("""COMPUTED_VALUE"""),"")</f>
        <v/>
      </c>
      <c r="O4748" s="17" t="str">
        <f>IFERROR(__xludf.DUMMYFUNCTION("""COMPUTED_VALUE"""),"")</f>
        <v/>
      </c>
      <c r="P4748" s="17" t="str">
        <f>IFERROR(__xludf.DUMMYFUNCTION("""COMPUTED_VALUE"""),"")</f>
        <v/>
      </c>
      <c r="Q4748" s="17" t="str">
        <f>IFERROR(__xludf.DUMMYFUNCTION("""COMPUTED_VALUE"""),"")</f>
        <v/>
      </c>
      <c r="R4748" s="17" t="str">
        <f>IFERROR(__xludf.DUMMYFUNCTION("""COMPUTED_VALUE"""),"")</f>
        <v/>
      </c>
    </row>
    <row r="4749">
      <c r="A4749" s="15">
        <f>IFERROR(__xludf.DUMMYFUNCTION("""COMPUTED_VALUE"""),45139.0)</f>
        <v>45139</v>
      </c>
      <c r="B4749" s="16" t="str">
        <f>IFERROR(__xludf.DUMMYFUNCTION("""COMPUTED_VALUE"""),"Jeison Rubiano")</f>
        <v>Jeison Rubiano</v>
      </c>
      <c r="C4749" s="15" t="str">
        <f>IFERROR(__xludf.DUMMYFUNCTION("""COMPUTED_VALUE"""),"MANIZALES")</f>
        <v>MANIZALES</v>
      </c>
      <c r="D4749" s="15" t="str">
        <f>IFERROR(__xludf.DUMMYFUNCTION("""COMPUTED_VALUE"""),"MEDELLÍN")</f>
        <v>MEDELLÍN</v>
      </c>
      <c r="E4749" s="15" t="str">
        <f>IFERROR(__xludf.DUMMYFUNCTION("""COMPUTED_VALUE"""),"Rambla")</f>
        <v>Rambla</v>
      </c>
      <c r="F4749" s="17" t="str">
        <f>IFERROR(__xludf.DUMMYFUNCTION("""COMPUTED_VALUE"""),"CL 66 26 45 ED GUAYACAN DE LA 66 / 3004648126 / .")</f>
        <v>CL 66 26 45 ED GUAYACAN DE LA 66 / 3004648126 / .</v>
      </c>
      <c r="G4749" s="15" t="str">
        <f>IFERROR(__xludf.DUMMYFUNCTION("""COMPUTED_VALUE"""),"Mercafit")</f>
        <v>Mercafit</v>
      </c>
      <c r="H4749" s="16">
        <f>IFERROR(__xludf.DUMMYFUNCTION("""COMPUTED_VALUE"""),13473.0)</f>
        <v>13473</v>
      </c>
      <c r="I4749" s="18">
        <f>IFERROR(__xludf.DUMMYFUNCTION("""COMPUTED_VALUE"""),38.0)</f>
        <v>38</v>
      </c>
      <c r="J4749" s="18">
        <f>IFERROR(__xludf.DUMMYFUNCTION("""COMPUTED_VALUE"""),29.0)</f>
        <v>29</v>
      </c>
      <c r="K4749" s="18">
        <f>IFERROR(__xludf.DUMMYFUNCTION("""COMPUTED_VALUE"""),30.0)</f>
        <v>30</v>
      </c>
      <c r="L4749" s="17">
        <f>IFERROR(__xludf.DUMMYFUNCTION("""COMPUTED_VALUE"""),3.004648126E9)</f>
        <v>3004648126</v>
      </c>
      <c r="M4749" s="17" t="str">
        <f>IFERROR(__xludf.DUMMYFUNCTION("""COMPUTED_VALUE"""),"#REF!")</f>
        <v>#REF!</v>
      </c>
      <c r="N4749" s="17"/>
      <c r="O4749" s="17"/>
      <c r="P4749" s="17" t="b">
        <f>IFERROR(__xludf.DUMMYFUNCTION("""COMPUTED_VALUE"""),FALSE)</f>
        <v>0</v>
      </c>
      <c r="Q4749" s="20" t="str">
        <f>IFERROR(__xludf.DUMMYFUNCTION("""COMPUTED_VALUE"""),"")</f>
        <v/>
      </c>
      <c r="R4749" s="21" t="str">
        <f>IFERROR(__xludf.DUMMYFUNCTION("""COMPUTED_VALUE"""),"https://drive.google.com/file/d/13_AexvjngzJZ3uiPk1EZ6kjLGtm5D3WB/view?usp=drivesdk")</f>
        <v>https://drive.google.com/file/d/13_AexvjngzJZ3uiPk1EZ6kjLGtm5D3WB/view?usp=drivesdk</v>
      </c>
    </row>
    <row r="4750">
      <c r="A4750" s="17" t="str">
        <f>IFERROR(__xludf.DUMMYFUNCTION("""COMPUTED_VALUE"""),"")</f>
        <v/>
      </c>
      <c r="B4750" s="17" t="str">
        <f>IFERROR(__xludf.DUMMYFUNCTION("""COMPUTED_VALUE"""),"")</f>
        <v/>
      </c>
      <c r="C4750" s="17" t="str">
        <f>IFERROR(__xludf.DUMMYFUNCTION("""COMPUTED_VALUE"""),"")</f>
        <v/>
      </c>
      <c r="D4750" s="17" t="str">
        <f>IFERROR(__xludf.DUMMYFUNCTION("""COMPUTED_VALUE"""),"")</f>
        <v/>
      </c>
      <c r="E4750" s="17" t="str">
        <f>IFERROR(__xludf.DUMMYFUNCTION("""COMPUTED_VALUE"""),"")</f>
        <v/>
      </c>
      <c r="F4750" s="17" t="str">
        <f>IFERROR(__xludf.DUMMYFUNCTION("""COMPUTED_VALUE"""),"")</f>
        <v/>
      </c>
      <c r="G4750" s="17" t="str">
        <f>IFERROR(__xludf.DUMMYFUNCTION("""COMPUTED_VALUE"""),"")</f>
        <v/>
      </c>
      <c r="H4750" s="17" t="str">
        <f>IFERROR(__xludf.DUMMYFUNCTION("""COMPUTED_VALUE"""),"")</f>
        <v/>
      </c>
      <c r="I4750" s="17" t="str">
        <f>IFERROR(__xludf.DUMMYFUNCTION("""COMPUTED_VALUE"""),"")</f>
        <v/>
      </c>
      <c r="J4750" s="17" t="str">
        <f>IFERROR(__xludf.DUMMYFUNCTION("""COMPUTED_VALUE"""),"")</f>
        <v/>
      </c>
      <c r="K4750" s="17" t="str">
        <f>IFERROR(__xludf.DUMMYFUNCTION("""COMPUTED_VALUE"""),"")</f>
        <v/>
      </c>
      <c r="L4750" s="17" t="str">
        <f>IFERROR(__xludf.DUMMYFUNCTION("""COMPUTED_VALUE"""),"")</f>
        <v/>
      </c>
      <c r="M4750" s="17" t="str">
        <f>IFERROR(__xludf.DUMMYFUNCTION("""COMPUTED_VALUE"""),"")</f>
        <v/>
      </c>
      <c r="N4750" s="17" t="str">
        <f>IFERROR(__xludf.DUMMYFUNCTION("""COMPUTED_VALUE"""),"")</f>
        <v/>
      </c>
      <c r="O4750" s="17" t="str">
        <f>IFERROR(__xludf.DUMMYFUNCTION("""COMPUTED_VALUE"""),"")</f>
        <v/>
      </c>
      <c r="P4750" s="17" t="str">
        <f>IFERROR(__xludf.DUMMYFUNCTION("""COMPUTED_VALUE"""),"")</f>
        <v/>
      </c>
      <c r="Q4750" s="17" t="str">
        <f>IFERROR(__xludf.DUMMYFUNCTION("""COMPUTED_VALUE"""),"")</f>
        <v/>
      </c>
      <c r="R4750" s="17" t="str">
        <f>IFERROR(__xludf.DUMMYFUNCTION("""COMPUTED_VALUE"""),"")</f>
        <v/>
      </c>
    </row>
    <row r="4751">
      <c r="A4751" s="15">
        <f>IFERROR(__xludf.DUMMYFUNCTION("""COMPUTED_VALUE"""),45139.0)</f>
        <v>45139</v>
      </c>
      <c r="B4751" s="16" t="str">
        <f>IFERROR(__xludf.DUMMYFUNCTION("""COMPUTED_VALUE"""),"Jhon Anderson Ceballos Hernandez")</f>
        <v>Jhon Anderson Ceballos Hernandez</v>
      </c>
      <c r="C4751" s="15" t="str">
        <f>IFERROR(__xludf.DUMMYFUNCTION("""COMPUTED_VALUE"""),"CARTAGENA")</f>
        <v>CARTAGENA</v>
      </c>
      <c r="D4751" s="15" t="str">
        <f>IFERROR(__xludf.DUMMYFUNCTION("""COMPUTED_VALUE"""),"BOGOTÁ")</f>
        <v>BOGOTÁ</v>
      </c>
      <c r="E4751" s="15" t="str">
        <f>IFERROR(__xludf.DUMMYFUNCTION("""COMPUTED_VALUE"""),"Mochi")</f>
        <v>Mochi</v>
      </c>
      <c r="F4751" s="17" t="str">
        <f>IFERROR(__xludf.DUMMYFUNCTION("""COMPUTED_VALUE"""),"Cra. 11 # 39-21 SAN DIEGO la serrezuela / Cra. 11 # 39-21 SAN DIEGO la serrezuela / Cra. 11 # 39-21 SAN DIEGO la serrezuela")</f>
        <v>Cra. 11 # 39-21 SAN DIEGO la serrezuela / Cra. 11 # 39-21 SAN DIEGO la serrezuela / Cra. 11 # 39-21 SAN DIEGO la serrezuela</v>
      </c>
      <c r="G4751" s="15" t="str">
        <f>IFERROR(__xludf.DUMMYFUNCTION("""COMPUTED_VALUE"""),"MARIA CAMILA")</f>
        <v>MARIA CAMILA</v>
      </c>
      <c r="H4751" s="16">
        <f>IFERROR(__xludf.DUMMYFUNCTION("""COMPUTED_VALUE"""),13459.0)</f>
        <v>13459</v>
      </c>
      <c r="I4751" s="18">
        <f>IFERROR(__xludf.DUMMYFUNCTION("""COMPUTED_VALUE"""),100.0)</f>
        <v>100</v>
      </c>
      <c r="J4751" s="18">
        <f>IFERROR(__xludf.DUMMYFUNCTION("""COMPUTED_VALUE"""),100.0)</f>
        <v>100</v>
      </c>
      <c r="K4751" s="18">
        <f>IFERROR(__xludf.DUMMYFUNCTION("""COMPUTED_VALUE"""),300.0)</f>
        <v>300</v>
      </c>
      <c r="L4751" s="17">
        <f>IFERROR(__xludf.DUMMYFUNCTION("""COMPUTED_VALUE"""),3.116026252E9)</f>
        <v>3116026252</v>
      </c>
      <c r="M4751" s="17" t="str">
        <f>IFERROR(__xludf.DUMMYFUNCTION("""COMPUTED_VALUE"""),"#REF!")</f>
        <v>#REF!</v>
      </c>
      <c r="N4751" s="17"/>
      <c r="O4751" s="17"/>
      <c r="P4751" s="17" t="b">
        <f>IFERROR(__xludf.DUMMYFUNCTION("""COMPUTED_VALUE"""),FALSE)</f>
        <v>0</v>
      </c>
      <c r="Q4751" s="20" t="str">
        <f>IFERROR(__xludf.DUMMYFUNCTION("""COMPUTED_VALUE"""),"")</f>
        <v/>
      </c>
      <c r="R4751" s="22" t="str">
        <f>IFERROR(__xludf.DUMMYFUNCTION("""COMPUTED_VALUE"""),"")</f>
        <v/>
      </c>
    </row>
    <row r="4752">
      <c r="A4752" s="15">
        <f>IFERROR(__xludf.DUMMYFUNCTION("""COMPUTED_VALUE"""),45139.0)</f>
        <v>45139</v>
      </c>
      <c r="B4752" s="16" t="str">
        <f>IFERROR(__xludf.DUMMYFUNCTION("""COMPUTED_VALUE"""),"Jhon Anderson Ceballos Hernandez")</f>
        <v>Jhon Anderson Ceballos Hernandez</v>
      </c>
      <c r="C4752" s="15" t="str">
        <f>IFERROR(__xludf.DUMMYFUNCTION("""COMPUTED_VALUE"""),"MANIZALES")</f>
        <v>MANIZALES</v>
      </c>
      <c r="D4752" s="15" t="str">
        <f>IFERROR(__xludf.DUMMYFUNCTION("""COMPUTED_VALUE"""),"BOGOTÁ")</f>
        <v>BOGOTÁ</v>
      </c>
      <c r="E4752" s="15" t="str">
        <f>IFERROR(__xludf.DUMMYFUNCTION("""COMPUTED_VALUE"""),"Blond &amp; This")</f>
        <v>Blond &amp; This</v>
      </c>
      <c r="F4752" s="17" t="str">
        <f>IFERROR(__xludf.DUMMYFUNCTION("""COMPUTED_VALUE"""),"cra23#73-86 / restaurante la farfalla / barrio milan")</f>
        <v>cra23#73-86 / restaurante la farfalla / barrio milan</v>
      </c>
      <c r="G4752" s="15" t="str">
        <f>IFERROR(__xludf.DUMMYFUNCTION("""COMPUTED_VALUE"""),"omairla lopez")</f>
        <v>omairla lopez</v>
      </c>
      <c r="H4752" s="16">
        <f>IFERROR(__xludf.DUMMYFUNCTION("""COMPUTED_VALUE"""),13457.0)</f>
        <v>13457</v>
      </c>
      <c r="I4752" s="18">
        <f>IFERROR(__xludf.DUMMYFUNCTION("""COMPUTED_VALUE"""),14.0)</f>
        <v>14</v>
      </c>
      <c r="J4752" s="18">
        <f>IFERROR(__xludf.DUMMYFUNCTION("""COMPUTED_VALUE"""),26.0)</f>
        <v>26</v>
      </c>
      <c r="K4752" s="18">
        <f>IFERROR(__xludf.DUMMYFUNCTION("""COMPUTED_VALUE"""),31.0)</f>
        <v>31</v>
      </c>
      <c r="L4752" s="17">
        <f>IFERROR(__xludf.DUMMYFUNCTION("""COMPUTED_VALUE"""),3.10421678E9)</f>
        <v>3104216780</v>
      </c>
      <c r="M4752" s="17" t="str">
        <f>IFERROR(__xludf.DUMMYFUNCTION("""COMPUTED_VALUE"""),"#REF!")</f>
        <v>#REF!</v>
      </c>
      <c r="N4752" s="17"/>
      <c r="O4752" s="17"/>
      <c r="P4752" s="17" t="b">
        <f>IFERROR(__xludf.DUMMYFUNCTION("""COMPUTED_VALUE"""),FALSE)</f>
        <v>0</v>
      </c>
      <c r="Q4752" s="20" t="str">
        <f>IFERROR(__xludf.DUMMYFUNCTION("""COMPUTED_VALUE"""),"")</f>
        <v/>
      </c>
      <c r="R4752" s="21" t="str">
        <f>IFERROR(__xludf.DUMMYFUNCTION("""COMPUTED_VALUE"""),"https://drive.google.com/file/d/15yW2UjnuN1TJDs7A_E4BGSeUO5rHPU80/view?usp=drivesdk")</f>
        <v>https://drive.google.com/file/d/15yW2UjnuN1TJDs7A_E4BGSeUO5rHPU80/view?usp=drivesdk</v>
      </c>
    </row>
    <row r="4753">
      <c r="A4753" s="15">
        <f>IFERROR(__xludf.DUMMYFUNCTION("""COMPUTED_VALUE"""),45139.0)</f>
        <v>45139</v>
      </c>
      <c r="B4753" s="16" t="str">
        <f>IFERROR(__xludf.DUMMYFUNCTION("""COMPUTED_VALUE"""),"Jhon Anderson Ceballos Hernandez")</f>
        <v>Jhon Anderson Ceballos Hernandez</v>
      </c>
      <c r="C4753" s="15" t="str">
        <f>IFERROR(__xludf.DUMMYFUNCTION("""COMPUTED_VALUE"""),"MANIZALES")</f>
        <v>MANIZALES</v>
      </c>
      <c r="D4753" s="15" t="str">
        <f>IFERROR(__xludf.DUMMYFUNCTION("""COMPUTED_VALUE"""),"BOGOTÁ")</f>
        <v>BOGOTÁ</v>
      </c>
      <c r="E4753" s="15" t="str">
        <f>IFERROR(__xludf.DUMMYFUNCTION("""COMPUTED_VALUE"""),"Evamazzita")</f>
        <v>Evamazzita</v>
      </c>
      <c r="F4753" s="17" t="str">
        <f>IFERROR(__xludf.DUMMYFUNCTION("""COMPUTED_VALUE"""),"Calle 12 #7b-71 / Apto 503/Edificio arcoiris  / Chipre")</f>
        <v>Calle 12 #7b-71 / Apto 503/Edificio arcoiris  / Chipre</v>
      </c>
      <c r="G4753" s="15" t="str">
        <f>IFERROR(__xludf.DUMMYFUNCTION("""COMPUTED_VALUE"""),"DIANA LONDOÑO")</f>
        <v>DIANA LONDOÑO</v>
      </c>
      <c r="H4753" s="16">
        <f>IFERROR(__xludf.DUMMYFUNCTION("""COMPUTED_VALUE"""),13425.0)</f>
        <v>13425</v>
      </c>
      <c r="I4753" s="18">
        <f>IFERROR(__xludf.DUMMYFUNCTION("""COMPUTED_VALUE"""),1.0)</f>
        <v>1</v>
      </c>
      <c r="J4753" s="18">
        <f>IFERROR(__xludf.DUMMYFUNCTION("""COMPUTED_VALUE"""),1.0)</f>
        <v>1</v>
      </c>
      <c r="K4753" s="18">
        <f>IFERROR(__xludf.DUMMYFUNCTION("""COMPUTED_VALUE"""),1.0)</f>
        <v>1</v>
      </c>
      <c r="L4753" s="17">
        <f>IFERROR(__xludf.DUMMYFUNCTION("""COMPUTED_VALUE"""),3.208553721E9)</f>
        <v>3208553721</v>
      </c>
      <c r="M4753" s="17" t="str">
        <f>IFERROR(__xludf.DUMMYFUNCTION("""COMPUTED_VALUE"""),"#REF!")</f>
        <v>#REF!</v>
      </c>
      <c r="N4753" s="17"/>
      <c r="O4753" s="17"/>
      <c r="P4753" s="17" t="b">
        <f>IFERROR(__xludf.DUMMYFUNCTION("""COMPUTED_VALUE"""),TRUE)</f>
        <v>1</v>
      </c>
      <c r="Q4753" s="20">
        <f>IFERROR(__xludf.DUMMYFUNCTION("""COMPUTED_VALUE"""),45140.50173045139)</f>
        <v>45140.50173</v>
      </c>
      <c r="R4753" s="21" t="str">
        <f>IFERROR(__xludf.DUMMYFUNCTION("""COMPUTED_VALUE"""),"https://drive.google.com/file/d/104-iK3d8U8R1KLqx1-tpzmTMmiJGLj4e/view?usp=drivesdk")</f>
        <v>https://drive.google.com/file/d/104-iK3d8U8R1KLqx1-tpzmTMmiJGLj4e/view?usp=drivesdk</v>
      </c>
    </row>
    <row r="4754">
      <c r="A4754" s="15">
        <f>IFERROR(__xludf.DUMMYFUNCTION("""COMPUTED_VALUE"""),45139.0)</f>
        <v>45139</v>
      </c>
      <c r="B4754" s="16" t="str">
        <f>IFERROR(__xludf.DUMMYFUNCTION("""COMPUTED_VALUE"""),"Jhon Anderson Ceballos Hernandez")</f>
        <v>Jhon Anderson Ceballos Hernandez</v>
      </c>
      <c r="C4754" s="15" t="str">
        <f>IFERROR(__xludf.DUMMYFUNCTION("""COMPUTED_VALUE"""),"MANIZALES")</f>
        <v>MANIZALES</v>
      </c>
      <c r="D4754" s="15" t="str">
        <f>IFERROR(__xludf.DUMMYFUNCTION("""COMPUTED_VALUE"""),"BOGOTÁ")</f>
        <v>BOGOTÁ</v>
      </c>
      <c r="E4754" s="15" t="str">
        <f>IFERROR(__xludf.DUMMYFUNCTION("""COMPUTED_VALUE"""),"Evamazzita")</f>
        <v>Evamazzita</v>
      </c>
      <c r="F4754" s="17" t="str">
        <f>IFERROR(__xludf.DUMMYFUNCTION("""COMPUTED_VALUE"""),"Carrera 28D#70-46 / Palmero / Palmero")</f>
        <v>Carrera 28D#70-46 / Palmero / Palmero</v>
      </c>
      <c r="G4754" s="15" t="str">
        <f>IFERROR(__xludf.DUMMYFUNCTION("""COMPUTED_VALUE"""),"PAULA XINENA BOLAÑOS")</f>
        <v>PAULA XINENA BOLAÑOS</v>
      </c>
      <c r="H4754" s="16">
        <f>IFERROR(__xludf.DUMMYFUNCTION("""COMPUTED_VALUE"""),13424.0)</f>
        <v>13424</v>
      </c>
      <c r="I4754" s="18">
        <f>IFERROR(__xludf.DUMMYFUNCTION("""COMPUTED_VALUE"""),1.0)</f>
        <v>1</v>
      </c>
      <c r="J4754" s="18">
        <f>IFERROR(__xludf.DUMMYFUNCTION("""COMPUTED_VALUE"""),1.0)</f>
        <v>1</v>
      </c>
      <c r="K4754" s="18">
        <f>IFERROR(__xludf.DUMMYFUNCTION("""COMPUTED_VALUE"""),1.0)</f>
        <v>1</v>
      </c>
      <c r="L4754" s="17">
        <f>IFERROR(__xludf.DUMMYFUNCTION("""COMPUTED_VALUE"""),3.10398467E9)</f>
        <v>3103984670</v>
      </c>
      <c r="M4754" s="17" t="str">
        <f>IFERROR(__xludf.DUMMYFUNCTION("""COMPUTED_VALUE"""),"#REF!")</f>
        <v>#REF!</v>
      </c>
      <c r="N4754" s="17"/>
      <c r="O4754" s="17"/>
      <c r="P4754" s="17" t="b">
        <f>IFERROR(__xludf.DUMMYFUNCTION("""COMPUTED_VALUE"""),TRUE)</f>
        <v>1</v>
      </c>
      <c r="Q4754" s="20">
        <f>IFERROR(__xludf.DUMMYFUNCTION("""COMPUTED_VALUE"""),45140.50173045139)</f>
        <v>45140.50173</v>
      </c>
      <c r="R4754" s="21" t="str">
        <f>IFERROR(__xludf.DUMMYFUNCTION("""COMPUTED_VALUE"""),"https://drive.google.com/file/d/1lr1vPqdbl45U7CO6Z0xi08ipdYzJO-U_/view?usp=drivesdk")</f>
        <v>https://drive.google.com/file/d/1lr1vPqdbl45U7CO6Z0xi08ipdYzJO-U_/view?usp=drivesdk</v>
      </c>
    </row>
    <row r="4755">
      <c r="A4755" s="15">
        <f>IFERROR(__xludf.DUMMYFUNCTION("""COMPUTED_VALUE"""),45139.0)</f>
        <v>45139</v>
      </c>
      <c r="B4755" s="16" t="str">
        <f>IFERROR(__xludf.DUMMYFUNCTION("""COMPUTED_VALUE"""),"Jhon Anderson Ceballos Hernandez")</f>
        <v>Jhon Anderson Ceballos Hernandez</v>
      </c>
      <c r="C4755" s="15" t="str">
        <f>IFERROR(__xludf.DUMMYFUNCTION("""COMPUTED_VALUE"""),"MANIZALES")</f>
        <v>MANIZALES</v>
      </c>
      <c r="D4755" s="15" t="str">
        <f>IFERROR(__xludf.DUMMYFUNCTION("""COMPUTED_VALUE"""),"BOGOTÁ")</f>
        <v>BOGOTÁ</v>
      </c>
      <c r="E4755" s="15" t="str">
        <f>IFERROR(__xludf.DUMMYFUNCTION("""COMPUTED_VALUE"""),"Evamazzita")</f>
        <v>Evamazzita</v>
      </c>
      <c r="F4755" s="17" t="str">
        <f>IFERROR(__xludf.DUMMYFUNCTION("""COMPUTED_VALUE"""),"Carrera 6A#10A-06 / Edificio Martha Lucia/Apto 301 / Chipre Viejo")</f>
        <v>Carrera 6A#10A-06 / Edificio Martha Lucia/Apto 301 / Chipre Viejo</v>
      </c>
      <c r="G4755" s="15" t="str">
        <f>IFERROR(__xludf.DUMMYFUNCTION("""COMPUTED_VALUE"""),"JULIANA GIRALDO")</f>
        <v>JULIANA GIRALDO</v>
      </c>
      <c r="H4755" s="16">
        <f>IFERROR(__xludf.DUMMYFUNCTION("""COMPUTED_VALUE"""),13423.0)</f>
        <v>13423</v>
      </c>
      <c r="I4755" s="18">
        <f>IFERROR(__xludf.DUMMYFUNCTION("""COMPUTED_VALUE"""),1.0)</f>
        <v>1</v>
      </c>
      <c r="J4755" s="18">
        <f>IFERROR(__xludf.DUMMYFUNCTION("""COMPUTED_VALUE"""),1.0)</f>
        <v>1</v>
      </c>
      <c r="K4755" s="18">
        <f>IFERROR(__xludf.DUMMYFUNCTION("""COMPUTED_VALUE"""),1.0)</f>
        <v>1</v>
      </c>
      <c r="L4755" s="17">
        <f>IFERROR(__xludf.DUMMYFUNCTION("""COMPUTED_VALUE"""),3.02415322E9)</f>
        <v>3024153220</v>
      </c>
      <c r="M4755" s="17" t="str">
        <f>IFERROR(__xludf.DUMMYFUNCTION("""COMPUTED_VALUE"""),"#REF!")</f>
        <v>#REF!</v>
      </c>
      <c r="N4755" s="17"/>
      <c r="O4755" s="17"/>
      <c r="P4755" s="17" t="b">
        <f>IFERROR(__xludf.DUMMYFUNCTION("""COMPUTED_VALUE"""),TRUE)</f>
        <v>1</v>
      </c>
      <c r="Q4755" s="20">
        <f>IFERROR(__xludf.DUMMYFUNCTION("""COMPUTED_VALUE"""),45140.60058572917)</f>
        <v>45140.60059</v>
      </c>
      <c r="R4755" s="21" t="str">
        <f>IFERROR(__xludf.DUMMYFUNCTION("""COMPUTED_VALUE"""),"https://drive.google.com/file/d/1Z5iwUEt8CYDkZKJz99oRIBLvS_mqmN04/view?usp=drivesdk")</f>
        <v>https://drive.google.com/file/d/1Z5iwUEt8CYDkZKJz99oRIBLvS_mqmN04/view?usp=drivesdk</v>
      </c>
    </row>
    <row r="4756">
      <c r="A4756" s="15">
        <f>IFERROR(__xludf.DUMMYFUNCTION("""COMPUTED_VALUE"""),45139.0)</f>
        <v>45139</v>
      </c>
      <c r="B4756" s="16" t="str">
        <f>IFERROR(__xludf.DUMMYFUNCTION("""COMPUTED_VALUE"""),"Jhon Anderson Ceballos Hernandez")</f>
        <v>Jhon Anderson Ceballos Hernandez</v>
      </c>
      <c r="C4756" s="15" t="str">
        <f>IFERROR(__xludf.DUMMYFUNCTION("""COMPUTED_VALUE"""),"MANIZALES")</f>
        <v>MANIZALES</v>
      </c>
      <c r="D4756" s="15" t="str">
        <f>IFERROR(__xludf.DUMMYFUNCTION("""COMPUTED_VALUE"""),"BOGOTÁ")</f>
        <v>BOGOTÁ</v>
      </c>
      <c r="E4756" s="15" t="str">
        <f>IFERROR(__xludf.DUMMYFUNCTION("""COMPUTED_VALUE"""),"Ins. Alimento Vital")</f>
        <v>Ins. Alimento Vital</v>
      </c>
      <c r="F4756" s="17" t="str">
        <f>IFERROR(__xludf.DUMMYFUNCTION("""COMPUTED_VALUE"""),"CR 24 22 02  / OF 506 ED PLAZA CENTRO / ED PLAZA CENTRO")</f>
        <v>CR 24 22 02  / OF 506 ED PLAZA CENTRO / ED PLAZA CENTRO</v>
      </c>
      <c r="G4756" s="15" t="str">
        <f>IFERROR(__xludf.DUMMYFUNCTION("""COMPUTED_VALUE"""),"JUAN SEBASTIAN BARRERA SAAVEDRA")</f>
        <v>JUAN SEBASTIAN BARRERA SAAVEDRA</v>
      </c>
      <c r="H4756" s="16">
        <f>IFERROR(__xludf.DUMMYFUNCTION("""COMPUTED_VALUE"""),13410.0)</f>
        <v>13410</v>
      </c>
      <c r="I4756" s="18">
        <f>IFERROR(__xludf.DUMMYFUNCTION("""COMPUTED_VALUE"""),1.0)</f>
        <v>1</v>
      </c>
      <c r="J4756" s="18">
        <f>IFERROR(__xludf.DUMMYFUNCTION("""COMPUTED_VALUE"""),1.0)</f>
        <v>1</v>
      </c>
      <c r="K4756" s="18">
        <f>IFERROR(__xludf.DUMMYFUNCTION("""COMPUTED_VALUE"""),1.0)</f>
        <v>1</v>
      </c>
      <c r="L4756" s="17">
        <f>IFERROR(__xludf.DUMMYFUNCTION("""COMPUTED_VALUE"""),3.503747655E9)</f>
        <v>3503747655</v>
      </c>
      <c r="M4756" s="17" t="str">
        <f>IFERROR(__xludf.DUMMYFUNCTION("""COMPUTED_VALUE"""),"#REF!")</f>
        <v>#REF!</v>
      </c>
      <c r="N4756" s="17"/>
      <c r="O4756" s="17"/>
      <c r="P4756" s="17" t="b">
        <f>IFERROR(__xludf.DUMMYFUNCTION("""COMPUTED_VALUE"""),TRUE)</f>
        <v>1</v>
      </c>
      <c r="Q4756" s="20">
        <f>IFERROR(__xludf.DUMMYFUNCTION("""COMPUTED_VALUE"""),45140.60058572917)</f>
        <v>45140.60059</v>
      </c>
      <c r="R4756" s="21" t="str">
        <f>IFERROR(__xludf.DUMMYFUNCTION("""COMPUTED_VALUE"""),"https://drive.google.com/file/d/1viO3dnr4i9m-dIxk1DJ0A9cW-6Ri9LMJ/view?usp=drivesdk")</f>
        <v>https://drive.google.com/file/d/1viO3dnr4i9m-dIxk1DJ0A9cW-6Ri9LMJ/view?usp=drivesdk</v>
      </c>
    </row>
    <row r="4757">
      <c r="A4757" s="15">
        <f>IFERROR(__xludf.DUMMYFUNCTION("""COMPUTED_VALUE"""),45139.0)</f>
        <v>45139</v>
      </c>
      <c r="B4757" s="16" t="str">
        <f>IFERROR(__xludf.DUMMYFUNCTION("""COMPUTED_VALUE"""),"Jhon Anderson Ceballos Hernandez")</f>
        <v>Jhon Anderson Ceballos Hernandez</v>
      </c>
      <c r="C4757" s="15" t="str">
        <f>IFERROR(__xludf.DUMMYFUNCTION("""COMPUTED_VALUE"""),"TUNJA")</f>
        <v>TUNJA</v>
      </c>
      <c r="D4757" s="15" t="str">
        <f>IFERROR(__xludf.DUMMYFUNCTION("""COMPUTED_VALUE"""),"BOGOTÁ")</f>
        <v>BOGOTÁ</v>
      </c>
      <c r="E4757" s="15" t="str">
        <f>IFERROR(__xludf.DUMMYFUNCTION("""COMPUTED_VALUE"""),"Top Spun")</f>
        <v>Top Spun</v>
      </c>
      <c r="F4757" s="17" t="str">
        <f>IFERROR(__xludf.DUMMYFUNCTION("""COMPUTED_VALUE"""),"Carrera 1F # 40 - 63 / Edificio Murano Apto 204 / Tunja")</f>
        <v>Carrera 1F # 40 - 63 / Edificio Murano Apto 204 / Tunja</v>
      </c>
      <c r="G4757" s="15" t="str">
        <f>IFERROR(__xludf.DUMMYFUNCTION("""COMPUTED_VALUE"""),"Sandra Grijalba")</f>
        <v>Sandra Grijalba</v>
      </c>
      <c r="H4757" s="16">
        <f>IFERROR(__xludf.DUMMYFUNCTION("""COMPUTED_VALUE"""),13398.0)</f>
        <v>13398</v>
      </c>
      <c r="I4757" s="18">
        <f>IFERROR(__xludf.DUMMYFUNCTION("""COMPUTED_VALUE"""),30.0)</f>
        <v>30</v>
      </c>
      <c r="J4757" s="18">
        <f>IFERROR(__xludf.DUMMYFUNCTION("""COMPUTED_VALUE"""),30.0)</f>
        <v>30</v>
      </c>
      <c r="K4757" s="18">
        <f>IFERROR(__xludf.DUMMYFUNCTION("""COMPUTED_VALUE"""),40.0)</f>
        <v>40</v>
      </c>
      <c r="L4757" s="17">
        <f>IFERROR(__xludf.DUMMYFUNCTION("""COMPUTED_VALUE"""),3.207676511E9)</f>
        <v>3207676511</v>
      </c>
      <c r="M4757" s="17" t="str">
        <f>IFERROR(__xludf.DUMMYFUNCTION("""COMPUTED_VALUE"""),"#REF!")</f>
        <v>#REF!</v>
      </c>
      <c r="N4757" s="17"/>
      <c r="O4757" s="17"/>
      <c r="P4757" s="17" t="b">
        <f>IFERROR(__xludf.DUMMYFUNCTION("""COMPUTED_VALUE"""),FALSE)</f>
        <v>0</v>
      </c>
      <c r="Q4757" s="20" t="str">
        <f>IFERROR(__xludf.DUMMYFUNCTION("""COMPUTED_VALUE"""),"")</f>
        <v/>
      </c>
      <c r="R4757" s="22" t="str">
        <f>IFERROR(__xludf.DUMMYFUNCTION("""COMPUTED_VALUE"""),"")</f>
        <v/>
      </c>
    </row>
    <row r="4758">
      <c r="A4758" s="17" t="str">
        <f>IFERROR(__xludf.DUMMYFUNCTION("""COMPUTED_VALUE"""),"")</f>
        <v/>
      </c>
      <c r="B4758" s="17" t="str">
        <f>IFERROR(__xludf.DUMMYFUNCTION("""COMPUTED_VALUE"""),"")</f>
        <v/>
      </c>
      <c r="C4758" s="17" t="str">
        <f>IFERROR(__xludf.DUMMYFUNCTION("""COMPUTED_VALUE"""),"")</f>
        <v/>
      </c>
      <c r="D4758" s="17" t="str">
        <f>IFERROR(__xludf.DUMMYFUNCTION("""COMPUTED_VALUE"""),"")</f>
        <v/>
      </c>
      <c r="E4758" s="17" t="str">
        <f>IFERROR(__xludf.DUMMYFUNCTION("""COMPUTED_VALUE"""),"")</f>
        <v/>
      </c>
      <c r="F4758" s="17" t="str">
        <f>IFERROR(__xludf.DUMMYFUNCTION("""COMPUTED_VALUE"""),"")</f>
        <v/>
      </c>
      <c r="G4758" s="17" t="str">
        <f>IFERROR(__xludf.DUMMYFUNCTION("""COMPUTED_VALUE"""),"")</f>
        <v/>
      </c>
      <c r="H4758" s="17" t="str">
        <f>IFERROR(__xludf.DUMMYFUNCTION("""COMPUTED_VALUE"""),"")</f>
        <v/>
      </c>
      <c r="I4758" s="17" t="str">
        <f>IFERROR(__xludf.DUMMYFUNCTION("""COMPUTED_VALUE"""),"")</f>
        <v/>
      </c>
      <c r="J4758" s="17" t="str">
        <f>IFERROR(__xludf.DUMMYFUNCTION("""COMPUTED_VALUE"""),"")</f>
        <v/>
      </c>
      <c r="K4758" s="17" t="str">
        <f>IFERROR(__xludf.DUMMYFUNCTION("""COMPUTED_VALUE"""),"")</f>
        <v/>
      </c>
      <c r="L4758" s="17" t="str">
        <f>IFERROR(__xludf.DUMMYFUNCTION("""COMPUTED_VALUE"""),"")</f>
        <v/>
      </c>
      <c r="M4758" s="17" t="str">
        <f>IFERROR(__xludf.DUMMYFUNCTION("""COMPUTED_VALUE"""),"")</f>
        <v/>
      </c>
      <c r="N4758" s="17" t="str">
        <f>IFERROR(__xludf.DUMMYFUNCTION("""COMPUTED_VALUE"""),"")</f>
        <v/>
      </c>
      <c r="O4758" s="17" t="str">
        <f>IFERROR(__xludf.DUMMYFUNCTION("""COMPUTED_VALUE"""),"")</f>
        <v/>
      </c>
      <c r="P4758" s="17" t="str">
        <f>IFERROR(__xludf.DUMMYFUNCTION("""COMPUTED_VALUE"""),"")</f>
        <v/>
      </c>
      <c r="Q4758" s="17" t="str">
        <f>IFERROR(__xludf.DUMMYFUNCTION("""COMPUTED_VALUE"""),"")</f>
        <v/>
      </c>
      <c r="R4758" s="17" t="str">
        <f>IFERROR(__xludf.DUMMYFUNCTION("""COMPUTED_VALUE"""),"")</f>
        <v/>
      </c>
    </row>
    <row r="4759">
      <c r="A4759" s="15">
        <f>IFERROR(__xludf.DUMMYFUNCTION("""COMPUTED_VALUE"""),45139.0)</f>
        <v>45139</v>
      </c>
      <c r="B4759" s="16" t="str">
        <f>IFERROR(__xludf.DUMMYFUNCTION("""COMPUTED_VALUE"""),"Johan Alexander Escobar Arroyo ")</f>
        <v>Johan Alexander Escobar Arroyo </v>
      </c>
      <c r="C4759" s="15" t="str">
        <f>IFERROR(__xludf.DUMMYFUNCTION("""COMPUTED_VALUE"""),"CALI")</f>
        <v>CALI</v>
      </c>
      <c r="D4759" s="15" t="str">
        <f>IFERROR(__xludf.DUMMYFUNCTION("""COMPUTED_VALUE"""),"BOGOTÁ")</f>
        <v>BOGOTÁ</v>
      </c>
      <c r="E4759" s="15" t="str">
        <f>IFERROR(__xludf.DUMMYFUNCTION("""COMPUTED_VALUE"""),"Asociacion Agropecuaria Juana Maria")</f>
        <v>Asociacion Agropecuaria Juana Maria</v>
      </c>
      <c r="F4759" s="17" t="str">
        <f>IFERROR(__xludf.DUMMYFUNCTION("""COMPUTED_VALUE"""),"Carrera 17B # 33E-33 La Floresta vieja")</f>
        <v>Carrera 17B # 33E-33 La Floresta vieja</v>
      </c>
      <c r="G4759" s="15" t="str">
        <f>IFERROR(__xludf.DUMMYFUNCTION("""COMPUTED_VALUE"""),"Johanna acuña  Molina")</f>
        <v>Johanna acuña  Molina</v>
      </c>
      <c r="H4759" s="16">
        <f>IFERROR(__xludf.DUMMYFUNCTION("""COMPUTED_VALUE"""),13392.0)</f>
        <v>13392</v>
      </c>
      <c r="I4759" s="18">
        <f>IFERROR(__xludf.DUMMYFUNCTION("""COMPUTED_VALUE"""),25.0)</f>
        <v>25</v>
      </c>
      <c r="J4759" s="18">
        <f>IFERROR(__xludf.DUMMYFUNCTION("""COMPUTED_VALUE"""),18.0)</f>
        <v>18</v>
      </c>
      <c r="K4759" s="18">
        <f>IFERROR(__xludf.DUMMYFUNCTION("""COMPUTED_VALUE"""),3.0)</f>
        <v>3</v>
      </c>
      <c r="L4759" s="17">
        <f>IFERROR(__xludf.DUMMYFUNCTION("""COMPUTED_VALUE"""),3.218700343E9)</f>
        <v>3218700343</v>
      </c>
      <c r="M4759" s="17" t="str">
        <f>IFERROR(__xludf.DUMMYFUNCTION("""COMPUTED_VALUE"""),"#REF!")</f>
        <v>#REF!</v>
      </c>
      <c r="N4759" s="17"/>
      <c r="O4759" s="17"/>
      <c r="P4759" s="17" t="b">
        <f>IFERROR(__xludf.DUMMYFUNCTION("""COMPUTED_VALUE"""),FALSE)</f>
        <v>0</v>
      </c>
      <c r="Q4759" s="20" t="str">
        <f>IFERROR(__xludf.DUMMYFUNCTION("""COMPUTED_VALUE"""),"")</f>
        <v/>
      </c>
      <c r="R4759" s="21" t="str">
        <f>IFERROR(__xludf.DUMMYFUNCTION("""COMPUTED_VALUE"""),"https://drive.google.com/file/d/1q3n-fNe8iumphji9QzP9oXccz_GgauV-/view?usp=drivesdk")</f>
        <v>https://drive.google.com/file/d/1q3n-fNe8iumphji9QzP9oXccz_GgauV-/view?usp=drivesdk</v>
      </c>
    </row>
    <row r="4760">
      <c r="A4760" s="15">
        <f>IFERROR(__xludf.DUMMYFUNCTION("""COMPUTED_VALUE"""),45139.0)</f>
        <v>45139</v>
      </c>
      <c r="B4760" s="16" t="str">
        <f>IFERROR(__xludf.DUMMYFUNCTION("""COMPUTED_VALUE"""),"Johan Alexander Escobar Arroyo ")</f>
        <v>Johan Alexander Escobar Arroyo </v>
      </c>
      <c r="C4760" s="15" t="str">
        <f>IFERROR(__xludf.DUMMYFUNCTION("""COMPUTED_VALUE"""),"CALI")</f>
        <v>CALI</v>
      </c>
      <c r="D4760" s="15" t="str">
        <f>IFERROR(__xludf.DUMMYFUNCTION("""COMPUTED_VALUE"""),"BOGOTÁ")</f>
        <v>BOGOTÁ</v>
      </c>
      <c r="E4760" s="15" t="str">
        <f>IFERROR(__xludf.DUMMYFUNCTION("""COMPUTED_VALUE"""),"Grupo Hakim")</f>
        <v>Grupo Hakim</v>
      </c>
      <c r="F4760" s="17" t="str">
        <f>IFERROR(__xludf.DUMMYFUNCTION("""COMPUTED_VALUE"""),"Calle 27 Norte # 6A - 20 / Decoraciones Oly  / Barrio Santa Monica")</f>
        <v>Calle 27 Norte # 6A - 20 / Decoraciones Oly  / Barrio Santa Monica</v>
      </c>
      <c r="G4760" s="15" t="str">
        <f>IFERROR(__xludf.DUMMYFUNCTION("""COMPUTED_VALUE"""),"DENISE HAKIM")</f>
        <v>DENISE HAKIM</v>
      </c>
      <c r="H4760" s="16">
        <f>IFERROR(__xludf.DUMMYFUNCTION("""COMPUTED_VALUE"""),13414.0)</f>
        <v>13414</v>
      </c>
      <c r="I4760" s="18" t="str">
        <f>IFERROR(__xludf.DUMMYFUNCTION("""COMPUTED_VALUE"""),"52.5")</f>
        <v>52.5</v>
      </c>
      <c r="J4760" s="18">
        <f>IFERROR(__xludf.DUMMYFUNCTION("""COMPUTED_VALUE"""),55.0)</f>
        <v>55</v>
      </c>
      <c r="K4760" s="18">
        <f>IFERROR(__xludf.DUMMYFUNCTION("""COMPUTED_VALUE"""),45.0)</f>
        <v>45</v>
      </c>
      <c r="L4760" s="17">
        <f>IFERROR(__xludf.DUMMYFUNCTION("""COMPUTED_VALUE"""),3.124797615E9)</f>
        <v>3124797615</v>
      </c>
      <c r="M4760" s="17" t="str">
        <f>IFERROR(__xludf.DUMMYFUNCTION("""COMPUTED_VALUE"""),"#REF!")</f>
        <v>#REF!</v>
      </c>
      <c r="N4760" s="17"/>
      <c r="O4760" s="17"/>
      <c r="P4760" s="17" t="b">
        <f>IFERROR(__xludf.DUMMYFUNCTION("""COMPUTED_VALUE"""),FALSE)</f>
        <v>0</v>
      </c>
      <c r="Q4760" s="20" t="str">
        <f>IFERROR(__xludf.DUMMYFUNCTION("""COMPUTED_VALUE"""),"")</f>
        <v/>
      </c>
      <c r="R4760" s="22" t="str">
        <f>IFERROR(__xludf.DUMMYFUNCTION("""COMPUTED_VALUE"""),"")</f>
        <v/>
      </c>
    </row>
    <row r="4761">
      <c r="A4761" s="15">
        <f>IFERROR(__xludf.DUMMYFUNCTION("""COMPUTED_VALUE"""),45139.0)</f>
        <v>45139</v>
      </c>
      <c r="B4761" s="16" t="str">
        <f>IFERROR(__xludf.DUMMYFUNCTION("""COMPUTED_VALUE"""),"Johan Alexander Escobar Arroyo ")</f>
        <v>Johan Alexander Escobar Arroyo </v>
      </c>
      <c r="C4761" s="15" t="str">
        <f>IFERROR(__xludf.DUMMYFUNCTION("""COMPUTED_VALUE"""),"CALI")</f>
        <v>CALI</v>
      </c>
      <c r="D4761" s="15" t="str">
        <f>IFERROR(__xludf.DUMMYFUNCTION("""COMPUTED_VALUE"""),"BOGOTÁ")</f>
        <v>BOGOTÁ</v>
      </c>
      <c r="E4761" s="15" t="str">
        <f>IFERROR(__xludf.DUMMYFUNCTION("""COMPUTED_VALUE"""),"Helados Socos")</f>
        <v>Helados Socos</v>
      </c>
      <c r="F4761" s="17" t="str">
        <f>IFERROR(__xludf.DUMMYFUNCTION("""COMPUTED_VALUE"""),"Cra 1 oeste # 11 - 31  / apto 501 Edificio el Canelo / Santa Teresita")</f>
        <v>Cra 1 oeste # 11 - 31  / apto 501 Edificio el Canelo / Santa Teresita</v>
      </c>
      <c r="G4761" s="15" t="str">
        <f>IFERROR(__xludf.DUMMYFUNCTION("""COMPUTED_VALUE"""),"Olga Dorronsoro")</f>
        <v>Olga Dorronsoro</v>
      </c>
      <c r="H4761" s="16">
        <f>IFERROR(__xludf.DUMMYFUNCTION("""COMPUTED_VALUE"""),13366.0)</f>
        <v>13366</v>
      </c>
      <c r="I4761" s="18">
        <f>IFERROR(__xludf.DUMMYFUNCTION("""COMPUTED_VALUE"""),10.0)</f>
        <v>10</v>
      </c>
      <c r="J4761" s="18">
        <f>IFERROR(__xludf.DUMMYFUNCTION("""COMPUTED_VALUE"""),10.0)</f>
        <v>10</v>
      </c>
      <c r="K4761" s="18">
        <f>IFERROR(__xludf.DUMMYFUNCTION("""COMPUTED_VALUE"""),15.0)</f>
        <v>15</v>
      </c>
      <c r="L4761" s="17">
        <f>IFERROR(__xludf.DUMMYFUNCTION("""COMPUTED_VALUE"""),3.1176404E9)</f>
        <v>3117640400</v>
      </c>
      <c r="M4761" s="17" t="str">
        <f>IFERROR(__xludf.DUMMYFUNCTION("""COMPUTED_VALUE"""),"#REF!")</f>
        <v>#REF!</v>
      </c>
      <c r="N4761" s="17"/>
      <c r="O4761" s="17"/>
      <c r="P4761" s="17" t="b">
        <f>IFERROR(__xludf.DUMMYFUNCTION("""COMPUTED_VALUE"""),FALSE)</f>
        <v>0</v>
      </c>
      <c r="Q4761" s="20" t="str">
        <f>IFERROR(__xludf.DUMMYFUNCTION("""COMPUTED_VALUE"""),"")</f>
        <v/>
      </c>
      <c r="R4761" s="21" t="str">
        <f>IFERROR(__xludf.DUMMYFUNCTION("""COMPUTED_VALUE"""),"https://drive.google.com/file/d/1tVBY-ND8NDHfrnS89zaDTzkk7lL_Biy1/view?usp=drivesdk")</f>
        <v>https://drive.google.com/file/d/1tVBY-ND8NDHfrnS89zaDTzkk7lL_Biy1/view?usp=drivesdk</v>
      </c>
    </row>
    <row r="4762">
      <c r="A4762" s="15">
        <f>IFERROR(__xludf.DUMMYFUNCTION("""COMPUTED_VALUE"""),45139.0)</f>
        <v>45139</v>
      </c>
      <c r="B4762" s="16" t="str">
        <f>IFERROR(__xludf.DUMMYFUNCTION("""COMPUTED_VALUE"""),"Johan Alexander Escobar Arroyo ")</f>
        <v>Johan Alexander Escobar Arroyo </v>
      </c>
      <c r="C4762" s="15" t="str">
        <f>IFERROR(__xludf.DUMMYFUNCTION("""COMPUTED_VALUE"""),"CALI")</f>
        <v>CALI</v>
      </c>
      <c r="D4762" s="15" t="str">
        <f>IFERROR(__xludf.DUMMYFUNCTION("""COMPUTED_VALUE"""),"BOGOTÁ")</f>
        <v>BOGOTÁ</v>
      </c>
      <c r="E4762" s="15" t="str">
        <f>IFERROR(__xludf.DUMMYFUNCTION("""COMPUTED_VALUE"""),"Ins. Alimento Vital")</f>
        <v>Ins. Alimento Vital</v>
      </c>
      <c r="F4762" s="17" t="str">
        <f>IFERROR(__xludf.DUMMYFUNCTION("""COMPUTED_VALUE"""),"CL 34N 2BN 33 / BODEGA / SAN VICENTE")</f>
        <v>CL 34N 2BN 33 / BODEGA / SAN VICENTE</v>
      </c>
      <c r="G4762" s="15" t="str">
        <f>IFERROR(__xludf.DUMMYFUNCTION("""COMPUTED_VALUE"""),"VELOCITY CALI")</f>
        <v>VELOCITY CALI</v>
      </c>
      <c r="H4762" s="16">
        <f>IFERROR(__xludf.DUMMYFUNCTION("""COMPUTED_VALUE"""),13411.0)</f>
        <v>13411</v>
      </c>
      <c r="I4762" s="18">
        <f>IFERROR(__xludf.DUMMYFUNCTION("""COMPUTED_VALUE"""),1.0)</f>
        <v>1</v>
      </c>
      <c r="J4762" s="18">
        <f>IFERROR(__xludf.DUMMYFUNCTION("""COMPUTED_VALUE"""),1.0)</f>
        <v>1</v>
      </c>
      <c r="K4762" s="18">
        <f>IFERROR(__xludf.DUMMYFUNCTION("""COMPUTED_VALUE"""),1.0)</f>
        <v>1</v>
      </c>
      <c r="L4762" s="17">
        <f>IFERROR(__xludf.DUMMYFUNCTION("""COMPUTED_VALUE"""),3.117591055E9)</f>
        <v>3117591055</v>
      </c>
      <c r="M4762" s="17" t="str">
        <f>IFERROR(__xludf.DUMMYFUNCTION("""COMPUTED_VALUE"""),"#REF!")</f>
        <v>#REF!</v>
      </c>
      <c r="N4762" s="17"/>
      <c r="O4762" s="17"/>
      <c r="P4762" s="17" t="b">
        <f>IFERROR(__xludf.DUMMYFUNCTION("""COMPUTED_VALUE"""),TRUE)</f>
        <v>1</v>
      </c>
      <c r="Q4762" s="20">
        <f>IFERROR(__xludf.DUMMYFUNCTION("""COMPUTED_VALUE"""),45140.5905078125)</f>
        <v>45140.59051</v>
      </c>
      <c r="R4762" s="22" t="str">
        <f>IFERROR(__xludf.DUMMYFUNCTION("""COMPUTED_VALUE"""),"")</f>
        <v/>
      </c>
    </row>
    <row r="4763">
      <c r="A4763" s="15">
        <f>IFERROR(__xludf.DUMMYFUNCTION("""COMPUTED_VALUE"""),45139.0)</f>
        <v>45139</v>
      </c>
      <c r="B4763" s="16" t="str">
        <f>IFERROR(__xludf.DUMMYFUNCTION("""COMPUTED_VALUE"""),"Johan Alexander Escobar Arroyo ")</f>
        <v>Johan Alexander Escobar Arroyo </v>
      </c>
      <c r="C4763" s="15" t="str">
        <f>IFERROR(__xludf.DUMMYFUNCTION("""COMPUTED_VALUE"""),"CALI")</f>
        <v>CALI</v>
      </c>
      <c r="D4763" s="15" t="str">
        <f>IFERROR(__xludf.DUMMYFUNCTION("""COMPUTED_VALUE"""),"BOGOTÁ")</f>
        <v>BOGOTÁ</v>
      </c>
      <c r="E4763" s="15" t="str">
        <f>IFERROR(__xludf.DUMMYFUNCTION("""COMPUTED_VALUE"""),"Pan de Waffle")</f>
        <v>Pan de Waffle</v>
      </c>
      <c r="F4763" s="17" t="str">
        <f>IFERROR(__xludf.DUMMYFUNCTION("""COMPUTED_VALUE"""),"Calle 18 norte # 9n-45 Cali  / Calle 18 norte # 9n-45 Cali  / Calle 18 norte # 9n-45 Cali")</f>
        <v>Calle 18 norte # 9n-45 Cali  / Calle 18 norte # 9n-45 Cali  / Calle 18 norte # 9n-45 Cali</v>
      </c>
      <c r="G4763" s="15" t="str">
        <f>IFERROR(__xludf.DUMMYFUNCTION("""COMPUTED_VALUE"""),"NUTRICION EN MOVIMIENTO")</f>
        <v>NUTRICION EN MOVIMIENTO</v>
      </c>
      <c r="H4763" s="16">
        <f>IFERROR(__xludf.DUMMYFUNCTION("""COMPUTED_VALUE"""),13352.0)</f>
        <v>13352</v>
      </c>
      <c r="I4763" s="18">
        <f>IFERROR(__xludf.DUMMYFUNCTION("""COMPUTED_VALUE"""),40.0)</f>
        <v>40</v>
      </c>
      <c r="J4763" s="18">
        <f>IFERROR(__xludf.DUMMYFUNCTION("""COMPUTED_VALUE"""),30.0)</f>
        <v>30</v>
      </c>
      <c r="K4763" s="18">
        <f>IFERROR(__xludf.DUMMYFUNCTION("""COMPUTED_VALUE"""),40.0)</f>
        <v>40</v>
      </c>
      <c r="L4763" s="17">
        <f>IFERROR(__xludf.DUMMYFUNCTION("""COMPUTED_VALUE"""),3.148101084E9)</f>
        <v>3148101084</v>
      </c>
      <c r="M4763" s="17" t="str">
        <f>IFERROR(__xludf.DUMMYFUNCTION("""COMPUTED_VALUE"""),"#REF!")</f>
        <v>#REF!</v>
      </c>
      <c r="N4763" s="17"/>
      <c r="O4763" s="17"/>
      <c r="P4763" s="17" t="b">
        <f>IFERROR(__xludf.DUMMYFUNCTION("""COMPUTED_VALUE"""),TRUE)</f>
        <v>1</v>
      </c>
      <c r="Q4763" s="20">
        <f>IFERROR(__xludf.DUMMYFUNCTION("""COMPUTED_VALUE"""),45140.59607990741)</f>
        <v>45140.59608</v>
      </c>
      <c r="R4763" s="21" t="str">
        <f>IFERROR(__xludf.DUMMYFUNCTION("""COMPUTED_VALUE"""),"https://drive.google.com/file/d/1AsFm3yoW5eNFUw01qoaZPUrsa-ZSjnDD/view?usp=drivesdk")</f>
        <v>https://drive.google.com/file/d/1AsFm3yoW5eNFUw01qoaZPUrsa-ZSjnDD/view?usp=drivesdk</v>
      </c>
    </row>
    <row r="4764">
      <c r="A4764" s="15">
        <f>IFERROR(__xludf.DUMMYFUNCTION("""COMPUTED_VALUE"""),45139.0)</f>
        <v>45139</v>
      </c>
      <c r="B4764" s="16" t="str">
        <f>IFERROR(__xludf.DUMMYFUNCTION("""COMPUTED_VALUE"""),"Johan Alexander Escobar Arroyo ")</f>
        <v>Johan Alexander Escobar Arroyo </v>
      </c>
      <c r="C4764" s="15" t="str">
        <f>IFERROR(__xludf.DUMMYFUNCTION("""COMPUTED_VALUE"""),"IBAGUÉ")</f>
        <v>IBAGUÉ</v>
      </c>
      <c r="D4764" s="15" t="str">
        <f>IFERROR(__xludf.DUMMYFUNCTION("""COMPUTED_VALUE"""),"BOGOTÁ")</f>
        <v>BOGOTÁ</v>
      </c>
      <c r="E4764" s="15" t="str">
        <f>IFERROR(__xludf.DUMMYFUNCTION("""COMPUTED_VALUE"""),"Ins. Alimento Vital")</f>
        <v>Ins. Alimento Vital</v>
      </c>
      <c r="F4764" s="17" t="str">
        <f>IFERROR(__xludf.DUMMYFUNCTION("""COMPUTED_VALUE"""),"Manzana M casa 2b barrio Arkalá I / Manzana M casa 2b barrio Arkalá I / Manzana M casa 2b barrio Arkalá I")</f>
        <v>Manzana M casa 2b barrio Arkalá I / Manzana M casa 2b barrio Arkalá I / Manzana M casa 2b barrio Arkalá I</v>
      </c>
      <c r="G4764" s="15" t="str">
        <f>IFERROR(__xludf.DUMMYFUNCTION("""COMPUTED_VALUE"""),"YINA LIZETH DIAZ TORRES")</f>
        <v>YINA LIZETH DIAZ TORRES</v>
      </c>
      <c r="H4764" s="16">
        <f>IFERROR(__xludf.DUMMYFUNCTION("""COMPUTED_VALUE"""),13455.0)</f>
        <v>13455</v>
      </c>
      <c r="I4764" s="18">
        <f>IFERROR(__xludf.DUMMYFUNCTION("""COMPUTED_VALUE"""),1.0)</f>
        <v>1</v>
      </c>
      <c r="J4764" s="18">
        <f>IFERROR(__xludf.DUMMYFUNCTION("""COMPUTED_VALUE"""),1.0)</f>
        <v>1</v>
      </c>
      <c r="K4764" s="18">
        <f>IFERROR(__xludf.DUMMYFUNCTION("""COMPUTED_VALUE"""),1.0)</f>
        <v>1</v>
      </c>
      <c r="L4764" s="17">
        <f>IFERROR(__xludf.DUMMYFUNCTION("""COMPUTED_VALUE"""),3.166298656E9)</f>
        <v>3166298656</v>
      </c>
      <c r="M4764" s="17" t="str">
        <f>IFERROR(__xludf.DUMMYFUNCTION("""COMPUTED_VALUE"""),"#REF!")</f>
        <v>#REF!</v>
      </c>
      <c r="N4764" s="17"/>
      <c r="O4764" s="17"/>
      <c r="P4764" s="17" t="b">
        <f>IFERROR(__xludf.DUMMYFUNCTION("""COMPUTED_VALUE"""),TRUE)</f>
        <v>1</v>
      </c>
      <c r="Q4764" s="20">
        <f>IFERROR(__xludf.DUMMYFUNCTION("""COMPUTED_VALUE"""),45140.595944375)</f>
        <v>45140.59594</v>
      </c>
      <c r="R4764" s="21" t="str">
        <f>IFERROR(__xludf.DUMMYFUNCTION("""COMPUTED_VALUE"""),"https://drive.google.com/file/d/17E02DkDLG9-P_0dDo9bBSPI3fIb7qnRZ/view?usp=drivesdk")</f>
        <v>https://drive.google.com/file/d/17E02DkDLG9-P_0dDo9bBSPI3fIb7qnRZ/view?usp=drivesdk</v>
      </c>
    </row>
    <row r="4765">
      <c r="A4765" s="15">
        <f>IFERROR(__xludf.DUMMYFUNCTION("""COMPUTED_VALUE"""),45139.0)</f>
        <v>45139</v>
      </c>
      <c r="B4765" s="16" t="str">
        <f>IFERROR(__xludf.DUMMYFUNCTION("""COMPUTED_VALUE"""),"Johan Alexander Escobar Arroyo ")</f>
        <v>Johan Alexander Escobar Arroyo </v>
      </c>
      <c r="C4765" s="15" t="str">
        <f>IFERROR(__xludf.DUMMYFUNCTION("""COMPUTED_VALUE"""),"IBAGUÉ")</f>
        <v>IBAGUÉ</v>
      </c>
      <c r="D4765" s="15" t="str">
        <f>IFERROR(__xludf.DUMMYFUNCTION("""COMPUTED_VALUE"""),"MEDELLÍN")</f>
        <v>MEDELLÍN</v>
      </c>
      <c r="E4765" s="15" t="str">
        <f>IFERROR(__xludf.DUMMYFUNCTION("""COMPUTED_VALUE"""),"Rambla")</f>
        <v>Rambla</v>
      </c>
      <c r="F4765" s="17" t="str">
        <f>IFERROR(__xludf.DUMMYFUNCTION("""COMPUTED_VALUE"""),"Cra 14 #75A-29 local 5 estancia del vergel ibague - Tolima / .. / .")</f>
        <v>Cra 14 #75A-29 local 5 estancia del vergel ibague - Tolima / .. / .</v>
      </c>
      <c r="G4765" s="15" t="str">
        <f>IFERROR(__xludf.DUMMYFUNCTION("""COMPUTED_VALUE"""),"Soy Natural (Daniela Arbelaez)")</f>
        <v>Soy Natural (Daniela Arbelaez)</v>
      </c>
      <c r="H4765" s="16">
        <f>IFERROR(__xludf.DUMMYFUNCTION("""COMPUTED_VALUE"""),13472.0)</f>
        <v>13472</v>
      </c>
      <c r="I4765" s="18">
        <f>IFERROR(__xludf.DUMMYFUNCTION("""COMPUTED_VALUE"""),32.0)</f>
        <v>32</v>
      </c>
      <c r="J4765" s="18">
        <f>IFERROR(__xludf.DUMMYFUNCTION("""COMPUTED_VALUE"""),21.0)</f>
        <v>21</v>
      </c>
      <c r="K4765" s="18">
        <f>IFERROR(__xludf.DUMMYFUNCTION("""COMPUTED_VALUE"""),21.0)</f>
        <v>21</v>
      </c>
      <c r="L4765" s="17">
        <f>IFERROR(__xludf.DUMMYFUNCTION("""COMPUTED_VALUE"""),3.177002909E9)</f>
        <v>3177002909</v>
      </c>
      <c r="M4765" s="17" t="str">
        <f>IFERROR(__xludf.DUMMYFUNCTION("""COMPUTED_VALUE"""),"#REF!")</f>
        <v>#REF!</v>
      </c>
      <c r="N4765" s="17"/>
      <c r="O4765" s="17"/>
      <c r="P4765" s="17" t="b">
        <f>IFERROR(__xludf.DUMMYFUNCTION("""COMPUTED_VALUE"""),TRUE)</f>
        <v>1</v>
      </c>
      <c r="Q4765" s="20">
        <f>IFERROR(__xludf.DUMMYFUNCTION("""COMPUTED_VALUE"""),45140.596505567126)</f>
        <v>45140.59651</v>
      </c>
      <c r="R4765" s="22" t="str">
        <f>IFERROR(__xludf.DUMMYFUNCTION("""COMPUTED_VALUE"""),"")</f>
        <v/>
      </c>
    </row>
    <row r="4766">
      <c r="A4766" s="17" t="str">
        <f>IFERROR(__xludf.DUMMYFUNCTION("""COMPUTED_VALUE"""),"")</f>
        <v/>
      </c>
      <c r="B4766" s="17" t="str">
        <f>IFERROR(__xludf.DUMMYFUNCTION("""COMPUTED_VALUE"""),"")</f>
        <v/>
      </c>
      <c r="C4766" s="17" t="str">
        <f>IFERROR(__xludf.DUMMYFUNCTION("""COMPUTED_VALUE"""),"")</f>
        <v/>
      </c>
      <c r="D4766" s="17" t="str">
        <f>IFERROR(__xludf.DUMMYFUNCTION("""COMPUTED_VALUE"""),"")</f>
        <v/>
      </c>
      <c r="E4766" s="17" t="str">
        <f>IFERROR(__xludf.DUMMYFUNCTION("""COMPUTED_VALUE"""),"")</f>
        <v/>
      </c>
      <c r="F4766" s="17" t="str">
        <f>IFERROR(__xludf.DUMMYFUNCTION("""COMPUTED_VALUE"""),"")</f>
        <v/>
      </c>
      <c r="G4766" s="17" t="str">
        <f>IFERROR(__xludf.DUMMYFUNCTION("""COMPUTED_VALUE"""),"")</f>
        <v/>
      </c>
      <c r="H4766" s="17" t="str">
        <f>IFERROR(__xludf.DUMMYFUNCTION("""COMPUTED_VALUE"""),"")</f>
        <v/>
      </c>
      <c r="I4766" s="17" t="str">
        <f>IFERROR(__xludf.DUMMYFUNCTION("""COMPUTED_VALUE"""),"")</f>
        <v/>
      </c>
      <c r="J4766" s="17" t="str">
        <f>IFERROR(__xludf.DUMMYFUNCTION("""COMPUTED_VALUE"""),"")</f>
        <v/>
      </c>
      <c r="K4766" s="17" t="str">
        <f>IFERROR(__xludf.DUMMYFUNCTION("""COMPUTED_VALUE"""),"")</f>
        <v/>
      </c>
      <c r="L4766" s="17" t="str">
        <f>IFERROR(__xludf.DUMMYFUNCTION("""COMPUTED_VALUE"""),"")</f>
        <v/>
      </c>
      <c r="M4766" s="17" t="str">
        <f>IFERROR(__xludf.DUMMYFUNCTION("""COMPUTED_VALUE"""),"")</f>
        <v/>
      </c>
      <c r="N4766" s="17" t="str">
        <f>IFERROR(__xludf.DUMMYFUNCTION("""COMPUTED_VALUE"""),"")</f>
        <v/>
      </c>
      <c r="O4766" s="17" t="str">
        <f>IFERROR(__xludf.DUMMYFUNCTION("""COMPUTED_VALUE"""),"")</f>
        <v/>
      </c>
      <c r="P4766" s="17" t="str">
        <f>IFERROR(__xludf.DUMMYFUNCTION("""COMPUTED_VALUE"""),"")</f>
        <v/>
      </c>
      <c r="Q4766" s="17" t="str">
        <f>IFERROR(__xludf.DUMMYFUNCTION("""COMPUTED_VALUE"""),"")</f>
        <v/>
      </c>
      <c r="R4766" s="17" t="str">
        <f>IFERROR(__xludf.DUMMYFUNCTION("""COMPUTED_VALUE"""),"")</f>
        <v/>
      </c>
    </row>
    <row r="4767">
      <c r="A4767" s="15">
        <f>IFERROR(__xludf.DUMMYFUNCTION("""COMPUTED_VALUE"""),45139.0)</f>
        <v>45139</v>
      </c>
      <c r="B4767" s="16" t="str">
        <f>IFERROR(__xludf.DUMMYFUNCTION("""COMPUTED_VALUE"""),"Julián Alexis salazar Anaya ")</f>
        <v>Julián Alexis salazar Anaya </v>
      </c>
      <c r="C4767" s="15" t="str">
        <f>IFERROR(__xludf.DUMMYFUNCTION("""COMPUTED_VALUE"""),"ARMENIA")</f>
        <v>ARMENIA</v>
      </c>
      <c r="D4767" s="15" t="str">
        <f>IFERROR(__xludf.DUMMYFUNCTION("""COMPUTED_VALUE"""),"BOGOTÁ")</f>
        <v>BOGOTÁ</v>
      </c>
      <c r="E4767" s="15" t="str">
        <f>IFERROR(__xludf.DUMMYFUNCTION("""COMPUTED_VALUE"""),"Evamazzita")</f>
        <v>Evamazzita</v>
      </c>
      <c r="F4767" s="17" t="str">
        <f>IFERROR(__xludf.DUMMYFUNCTION("""COMPUTED_VALUE"""),"Calle 5 Norte #19-136 / Torre Almeria/apto507 / N/A")</f>
        <v>Calle 5 Norte #19-136 / Torre Almeria/apto507 / N/A</v>
      </c>
      <c r="G4767" s="15" t="str">
        <f>IFERROR(__xludf.DUMMYFUNCTION("""COMPUTED_VALUE"""),"MARIA JOSE GALVIS BENITEZ")</f>
        <v>MARIA JOSE GALVIS BENITEZ</v>
      </c>
      <c r="H4767" s="16">
        <f>IFERROR(__xludf.DUMMYFUNCTION("""COMPUTED_VALUE"""),13426.0)</f>
        <v>13426</v>
      </c>
      <c r="I4767" s="18">
        <f>IFERROR(__xludf.DUMMYFUNCTION("""COMPUTED_VALUE"""),6.0)</f>
        <v>6</v>
      </c>
      <c r="J4767" s="18">
        <f>IFERROR(__xludf.DUMMYFUNCTION("""COMPUTED_VALUE"""),16.0)</f>
        <v>16</v>
      </c>
      <c r="K4767" s="18">
        <f>IFERROR(__xludf.DUMMYFUNCTION("""COMPUTED_VALUE"""),24.0)</f>
        <v>24</v>
      </c>
      <c r="L4767" s="17">
        <f>IFERROR(__xludf.DUMMYFUNCTION("""COMPUTED_VALUE"""),3.104638906E9)</f>
        <v>3104638906</v>
      </c>
      <c r="M4767" s="17" t="str">
        <f>IFERROR(__xludf.DUMMYFUNCTION("""COMPUTED_VALUE"""),"#REF!")</f>
        <v>#REF!</v>
      </c>
      <c r="N4767" s="17"/>
      <c r="O4767" s="17"/>
      <c r="P4767" s="17" t="b">
        <f>IFERROR(__xludf.DUMMYFUNCTION("""COMPUTED_VALUE"""),FALSE)</f>
        <v>0</v>
      </c>
      <c r="Q4767" s="20" t="str">
        <f>IFERROR(__xludf.DUMMYFUNCTION("""COMPUTED_VALUE"""),"")</f>
        <v/>
      </c>
      <c r="R4767" s="22" t="str">
        <f>IFERROR(__xludf.DUMMYFUNCTION("""COMPUTED_VALUE"""),"")</f>
        <v/>
      </c>
    </row>
    <row r="4768">
      <c r="A4768" s="15">
        <f>IFERROR(__xludf.DUMMYFUNCTION("""COMPUTED_VALUE"""),45139.0)</f>
        <v>45139</v>
      </c>
      <c r="B4768" s="16" t="str">
        <f>IFERROR(__xludf.DUMMYFUNCTION("""COMPUTED_VALUE"""),"Julián Alexis salazar Anaya ")</f>
        <v>Julián Alexis salazar Anaya </v>
      </c>
      <c r="C4768" s="15" t="str">
        <f>IFERROR(__xludf.DUMMYFUNCTION("""COMPUTED_VALUE"""),"ARMENIA")</f>
        <v>ARMENIA</v>
      </c>
      <c r="D4768" s="15" t="str">
        <f>IFERROR(__xludf.DUMMYFUNCTION("""COMPUTED_VALUE"""),"BOGOTÁ")</f>
        <v>BOGOTÁ</v>
      </c>
      <c r="E4768" s="15" t="str">
        <f>IFERROR(__xludf.DUMMYFUNCTION("""COMPUTED_VALUE"""),"Pan de Waffle")</f>
        <v>Pan de Waffle</v>
      </c>
      <c r="F4768" s="17" t="str">
        <f>IFERROR(__xludf.DUMMYFUNCTION("""COMPUTED_VALUE"""),"Calle 25 NORTE 13 - 31 Local 7 Privilegio Mall / Calle 25 NORTE 13 - 31 Local 7 Privilegio Mall / Calle 25 NORTE 13 - 31 Local 7 Privilegio Mall")</f>
        <v>Calle 25 NORTE 13 - 31 Local 7 Privilegio Mall / Calle 25 NORTE 13 - 31 Local 7 Privilegio Mall / Calle 25 NORTE 13 - 31 Local 7 Privilegio Mall</v>
      </c>
      <c r="G4768" s="15" t="str">
        <f>IFERROR(__xludf.DUMMYFUNCTION("""COMPUTED_VALUE"""),"FEEL FIT")</f>
        <v>FEEL FIT</v>
      </c>
      <c r="H4768" s="16">
        <f>IFERROR(__xludf.DUMMYFUNCTION("""COMPUTED_VALUE"""),13450.0)</f>
        <v>13450</v>
      </c>
      <c r="I4768" s="18">
        <f>IFERROR(__xludf.DUMMYFUNCTION("""COMPUTED_VALUE"""),30.0)</f>
        <v>30</v>
      </c>
      <c r="J4768" s="18">
        <f>IFERROR(__xludf.DUMMYFUNCTION("""COMPUTED_VALUE"""),30.0)</f>
        <v>30</v>
      </c>
      <c r="K4768" s="18">
        <f>IFERROR(__xludf.DUMMYFUNCTION("""COMPUTED_VALUE"""),40.0)</f>
        <v>40</v>
      </c>
      <c r="L4768" s="17">
        <f>IFERROR(__xludf.DUMMYFUNCTION("""COMPUTED_VALUE"""),3.113745588E9)</f>
        <v>3113745588</v>
      </c>
      <c r="M4768" s="17" t="str">
        <f>IFERROR(__xludf.DUMMYFUNCTION("""COMPUTED_VALUE"""),"#REF!")</f>
        <v>#REF!</v>
      </c>
      <c r="N4768" s="17"/>
      <c r="O4768" s="17"/>
      <c r="P4768" s="17" t="b">
        <f>IFERROR(__xludf.DUMMYFUNCTION("""COMPUTED_VALUE"""),FALSE)</f>
        <v>0</v>
      </c>
      <c r="Q4768" s="20" t="str">
        <f>IFERROR(__xludf.DUMMYFUNCTION("""COMPUTED_VALUE"""),"")</f>
        <v/>
      </c>
      <c r="R4768" s="22" t="str">
        <f>IFERROR(__xludf.DUMMYFUNCTION("""COMPUTED_VALUE"""),"")</f>
        <v/>
      </c>
    </row>
    <row r="4769">
      <c r="A4769" s="15">
        <f>IFERROR(__xludf.DUMMYFUNCTION("""COMPUTED_VALUE"""),45139.0)</f>
        <v>45139</v>
      </c>
      <c r="B4769" s="16" t="str">
        <f>IFERROR(__xludf.DUMMYFUNCTION("""COMPUTED_VALUE"""),"Julián Alexis salazar Anaya ")</f>
        <v>Julián Alexis salazar Anaya </v>
      </c>
      <c r="C4769" s="15" t="str">
        <f>IFERROR(__xludf.DUMMYFUNCTION("""COMPUTED_VALUE"""),"ARMENIA")</f>
        <v>ARMENIA</v>
      </c>
      <c r="D4769" s="15" t="str">
        <f>IFERROR(__xludf.DUMMYFUNCTION("""COMPUTED_VALUE"""),"BOGOTÁ")</f>
        <v>BOGOTÁ</v>
      </c>
      <c r="E4769" s="15" t="str">
        <f>IFERROR(__xludf.DUMMYFUNCTION("""COMPUTED_VALUE"""),"Pan de Waffle")</f>
        <v>Pan de Waffle</v>
      </c>
      <c r="F4769" s="17" t="str">
        <f>IFERROR(__xludf.DUMMYFUNCTION("""COMPUTED_VALUE"""),"carrera 13 # 9a - 58, local 5, con la castellana / carrera 13 # 9a - 58, local 5, con la castellana / carrera 13 # 9a - 58, local 5, con la castellana")</f>
        <v>carrera 13 # 9a - 58, local 5, con la castellana / carrera 13 # 9a - 58, local 5, con la castellana / carrera 13 # 9a - 58, local 5, con la castellana</v>
      </c>
      <c r="G4769" s="15" t="str">
        <f>IFERROR(__xludf.DUMMYFUNCTION("""COMPUTED_VALUE"""),"TIENDA FITNESS ECO")</f>
        <v>TIENDA FITNESS ECO</v>
      </c>
      <c r="H4769" s="16">
        <f>IFERROR(__xludf.DUMMYFUNCTION("""COMPUTED_VALUE"""),13449.0)</f>
        <v>13449</v>
      </c>
      <c r="I4769" s="18">
        <f>IFERROR(__xludf.DUMMYFUNCTION("""COMPUTED_VALUE"""),30.0)</f>
        <v>30</v>
      </c>
      <c r="J4769" s="18">
        <f>IFERROR(__xludf.DUMMYFUNCTION("""COMPUTED_VALUE"""),30.0)</f>
        <v>30</v>
      </c>
      <c r="K4769" s="18">
        <f>IFERROR(__xludf.DUMMYFUNCTION("""COMPUTED_VALUE"""),40.0)</f>
        <v>40</v>
      </c>
      <c r="L4769" s="17">
        <f>IFERROR(__xludf.DUMMYFUNCTION("""COMPUTED_VALUE"""),3.217007417E9)</f>
        <v>3217007417</v>
      </c>
      <c r="M4769" s="17" t="str">
        <f>IFERROR(__xludf.DUMMYFUNCTION("""COMPUTED_VALUE"""),"#REF!")</f>
        <v>#REF!</v>
      </c>
      <c r="N4769" s="17"/>
      <c r="O4769" s="17"/>
      <c r="P4769" s="17" t="b">
        <f>IFERROR(__xludf.DUMMYFUNCTION("""COMPUTED_VALUE"""),FALSE)</f>
        <v>0</v>
      </c>
      <c r="Q4769" s="20" t="str">
        <f>IFERROR(__xludf.DUMMYFUNCTION("""COMPUTED_VALUE"""),"")</f>
        <v/>
      </c>
      <c r="R4769" s="22" t="str">
        <f>IFERROR(__xludf.DUMMYFUNCTION("""COMPUTED_VALUE"""),"")</f>
        <v/>
      </c>
    </row>
    <row r="4770">
      <c r="A4770" s="15">
        <f>IFERROR(__xludf.DUMMYFUNCTION("""COMPUTED_VALUE"""),45139.0)</f>
        <v>45139</v>
      </c>
      <c r="B4770" s="16" t="str">
        <f>IFERROR(__xludf.DUMMYFUNCTION("""COMPUTED_VALUE"""),"Julián Alexis salazar Anaya ")</f>
        <v>Julián Alexis salazar Anaya </v>
      </c>
      <c r="C4770" s="15" t="str">
        <f>IFERROR(__xludf.DUMMYFUNCTION("""COMPUTED_VALUE"""),"BOGOTÁ")</f>
        <v>BOGOTÁ</v>
      </c>
      <c r="D4770" s="15" t="str">
        <f>IFERROR(__xludf.DUMMYFUNCTION("""COMPUTED_VALUE"""),"MEDELLÍN")</f>
        <v>MEDELLÍN</v>
      </c>
      <c r="E4770" s="15" t="str">
        <f>IFERROR(__xludf.DUMMYFUNCTION("""COMPUTED_VALUE"""),"Baby Chef")</f>
        <v>Baby Chef</v>
      </c>
      <c r="F4770" s="17" t="str">
        <f>IFERROR(__xludf.DUMMYFUNCTION("""COMPUTED_VALUE"""),"Cra 68a # 24b-10 torre tres piso 9 centro comercial plaza claro (ENTREGAR MARTES 1 AGOSTO) / Cra 68a # 24b-10 torre tres piso 9 centro comercial plaza claro (ENTREGAR MARTES 1 AGOSTO) / Cra 68a # 24b-10 torre tres piso 9 centro comercial plaza claro (ENTR"&amp;"EGAR MARTES 1 AGOSTO)")</f>
        <v>Cra 68a # 24b-10 torre tres piso 9 centro comercial plaza claro (ENTREGAR MARTES 1 AGOSTO) / Cra 68a # 24b-10 torre tres piso 9 centro comercial plaza claro (ENTREGAR MARTES 1 AGOSTO) / Cra 68a # 24b-10 torre tres piso 9 centro comercial plaza claro (ENTREGAR MARTES 1 AGOSTO)</v>
      </c>
      <c r="G4770" s="15" t="str">
        <f>IFERROR(__xludf.DUMMYFUNCTION("""COMPUTED_VALUE"""),"Gloria Russi (ENTREGAR MARTES 01 AGOSTO)")</f>
        <v>Gloria Russi (ENTREGAR MARTES 01 AGOSTO)</v>
      </c>
      <c r="H4770" s="16">
        <f>IFERROR(__xludf.DUMMYFUNCTION("""COMPUTED_VALUE"""),13376.0)</f>
        <v>13376</v>
      </c>
      <c r="I4770" s="18">
        <f>IFERROR(__xludf.DUMMYFUNCTION("""COMPUTED_VALUE"""),8.0)</f>
        <v>8</v>
      </c>
      <c r="J4770" s="18">
        <f>IFERROR(__xludf.DUMMYFUNCTION("""COMPUTED_VALUE"""),36.0)</f>
        <v>36</v>
      </c>
      <c r="K4770" s="18">
        <f>IFERROR(__xludf.DUMMYFUNCTION("""COMPUTED_VALUE"""),23.0)</f>
        <v>23</v>
      </c>
      <c r="L4770" s="17">
        <f>IFERROR(__xludf.DUMMYFUNCTION("""COMPUTED_VALUE"""),3.213034209E9)</f>
        <v>3213034209</v>
      </c>
      <c r="M4770" s="17" t="str">
        <f>IFERROR(__xludf.DUMMYFUNCTION("""COMPUTED_VALUE"""),"#REF!")</f>
        <v>#REF!</v>
      </c>
      <c r="N4770" s="17"/>
      <c r="O4770" s="17"/>
      <c r="P4770" s="17" t="b">
        <f>IFERROR(__xludf.DUMMYFUNCTION("""COMPUTED_VALUE"""),FALSE)</f>
        <v>0</v>
      </c>
      <c r="Q4770" s="20" t="str">
        <f>IFERROR(__xludf.DUMMYFUNCTION("""COMPUTED_VALUE"""),"")</f>
        <v/>
      </c>
      <c r="R4770" s="22" t="str">
        <f>IFERROR(__xludf.DUMMYFUNCTION("""COMPUTED_VALUE"""),"")</f>
        <v/>
      </c>
    </row>
    <row r="4771">
      <c r="A4771" s="17" t="str">
        <f>IFERROR(__xludf.DUMMYFUNCTION("""COMPUTED_VALUE"""),"")</f>
        <v/>
      </c>
      <c r="B4771" s="17" t="str">
        <f>IFERROR(__xludf.DUMMYFUNCTION("""COMPUTED_VALUE"""),"")</f>
        <v/>
      </c>
      <c r="C4771" s="17" t="str">
        <f>IFERROR(__xludf.DUMMYFUNCTION("""COMPUTED_VALUE"""),"")</f>
        <v/>
      </c>
      <c r="D4771" s="17" t="str">
        <f>IFERROR(__xludf.DUMMYFUNCTION("""COMPUTED_VALUE"""),"")</f>
        <v/>
      </c>
      <c r="E4771" s="17" t="str">
        <f>IFERROR(__xludf.DUMMYFUNCTION("""COMPUTED_VALUE"""),"")</f>
        <v/>
      </c>
      <c r="F4771" s="17" t="str">
        <f>IFERROR(__xludf.DUMMYFUNCTION("""COMPUTED_VALUE"""),"")</f>
        <v/>
      </c>
      <c r="G4771" s="17" t="str">
        <f>IFERROR(__xludf.DUMMYFUNCTION("""COMPUTED_VALUE"""),"")</f>
        <v/>
      </c>
      <c r="H4771" s="17" t="str">
        <f>IFERROR(__xludf.DUMMYFUNCTION("""COMPUTED_VALUE"""),"")</f>
        <v/>
      </c>
      <c r="I4771" s="17" t="str">
        <f>IFERROR(__xludf.DUMMYFUNCTION("""COMPUTED_VALUE"""),"")</f>
        <v/>
      </c>
      <c r="J4771" s="17" t="str">
        <f>IFERROR(__xludf.DUMMYFUNCTION("""COMPUTED_VALUE"""),"")</f>
        <v/>
      </c>
      <c r="K4771" s="17" t="str">
        <f>IFERROR(__xludf.DUMMYFUNCTION("""COMPUTED_VALUE"""),"")</f>
        <v/>
      </c>
      <c r="L4771" s="17" t="str">
        <f>IFERROR(__xludf.DUMMYFUNCTION("""COMPUTED_VALUE"""),"")</f>
        <v/>
      </c>
      <c r="M4771" s="17" t="str">
        <f>IFERROR(__xludf.DUMMYFUNCTION("""COMPUTED_VALUE"""),"")</f>
        <v/>
      </c>
      <c r="N4771" s="17" t="str">
        <f>IFERROR(__xludf.DUMMYFUNCTION("""COMPUTED_VALUE"""),"")</f>
        <v/>
      </c>
      <c r="O4771" s="17" t="str">
        <f>IFERROR(__xludf.DUMMYFUNCTION("""COMPUTED_VALUE"""),"")</f>
        <v/>
      </c>
      <c r="P4771" s="17" t="str">
        <f>IFERROR(__xludf.DUMMYFUNCTION("""COMPUTED_VALUE"""),"")</f>
        <v/>
      </c>
      <c r="Q4771" s="17" t="str">
        <f>IFERROR(__xludf.DUMMYFUNCTION("""COMPUTED_VALUE"""),"")</f>
        <v/>
      </c>
      <c r="R4771" s="17" t="str">
        <f>IFERROR(__xludf.DUMMYFUNCTION("""COMPUTED_VALUE"""),"")</f>
        <v/>
      </c>
    </row>
    <row r="4772">
      <c r="A4772" s="15">
        <f>IFERROR(__xludf.DUMMYFUNCTION("""COMPUTED_VALUE"""),45140.0)</f>
        <v>45140</v>
      </c>
      <c r="B4772" s="16" t="str">
        <f>IFERROR(__xludf.DUMMYFUNCTION("""COMPUTED_VALUE"""),"Anuar suarez jimenez ")</f>
        <v>Anuar suarez jimenez </v>
      </c>
      <c r="C4772" s="15" t="str">
        <f>IFERROR(__xludf.DUMMYFUNCTION("""COMPUTED_VALUE"""),"MONTERIA")</f>
        <v>MONTERIA</v>
      </c>
      <c r="D4772" s="15" t="str">
        <f>IFERROR(__xludf.DUMMYFUNCTION("""COMPUTED_VALUE"""),"BOGOTÁ")</f>
        <v>BOGOTÁ</v>
      </c>
      <c r="E4772" s="15" t="str">
        <f>IFERROR(__xludf.DUMMYFUNCTION("""COMPUTED_VALUE"""),"Asociacion Agropecuaria Juana Maria")</f>
        <v>Asociacion Agropecuaria Juana Maria</v>
      </c>
      <c r="F4772" s="17" t="str">
        <f>IFERROR(__xludf.DUMMYFUNCTION("""COMPUTED_VALUE"""),"Cra 14A #54-23 Barrio Monte Verde")</f>
        <v>Cra 14A #54-23 Barrio Monte Verde</v>
      </c>
      <c r="G4772" s="15" t="str">
        <f>IFERROR(__xludf.DUMMYFUNCTION("""COMPUTED_VALUE"""),"Emilia Miranda")</f>
        <v>Emilia Miranda</v>
      </c>
      <c r="H4772" s="16">
        <f>IFERROR(__xludf.DUMMYFUNCTION("""COMPUTED_VALUE"""),13405.0)</f>
        <v>13405</v>
      </c>
      <c r="I4772" s="18">
        <f>IFERROR(__xludf.DUMMYFUNCTION("""COMPUTED_VALUE"""),21.0)</f>
        <v>21</v>
      </c>
      <c r="J4772" s="18">
        <f>IFERROR(__xludf.DUMMYFUNCTION("""COMPUTED_VALUE"""),37.0)</f>
        <v>37</v>
      </c>
      <c r="K4772" s="18">
        <f>IFERROR(__xludf.DUMMYFUNCTION("""COMPUTED_VALUE"""),30.0)</f>
        <v>30</v>
      </c>
      <c r="L4772" s="17">
        <f>IFERROR(__xludf.DUMMYFUNCTION("""COMPUTED_VALUE"""),3.113438505E9)</f>
        <v>3113438505</v>
      </c>
      <c r="M4772" s="17" t="str">
        <f>IFERROR(__xludf.DUMMYFUNCTION("""COMPUTED_VALUE"""),"#REF!")</f>
        <v>#REF!</v>
      </c>
      <c r="N4772" s="17"/>
      <c r="O4772" s="17"/>
      <c r="P4772" s="17" t="b">
        <f>IFERROR(__xludf.DUMMYFUNCTION("""COMPUTED_VALUE"""),FALSE)</f>
        <v>0</v>
      </c>
      <c r="Q4772" s="20" t="str">
        <f>IFERROR(__xludf.DUMMYFUNCTION("""COMPUTED_VALUE"""),"")</f>
        <v/>
      </c>
      <c r="R4772" s="21" t="str">
        <f>IFERROR(__xludf.DUMMYFUNCTION("""COMPUTED_VALUE"""),"https://drive.google.com/file/d/1r8B3K0WZXeAZ_9JxMvpqM_eHuV_IW7mD/view?usp=drivesdk")</f>
        <v>https://drive.google.com/file/d/1r8B3K0WZXeAZ_9JxMvpqM_eHuV_IW7mD/view?usp=drivesdk</v>
      </c>
    </row>
    <row r="4773">
      <c r="A4773" s="17" t="str">
        <f>IFERROR(__xludf.DUMMYFUNCTION("""COMPUTED_VALUE"""),"")</f>
        <v/>
      </c>
      <c r="B4773" s="17" t="str">
        <f>IFERROR(__xludf.DUMMYFUNCTION("""COMPUTED_VALUE"""),"")</f>
        <v/>
      </c>
      <c r="C4773" s="17" t="str">
        <f>IFERROR(__xludf.DUMMYFUNCTION("""COMPUTED_VALUE"""),"")</f>
        <v/>
      </c>
      <c r="D4773" s="17" t="str">
        <f>IFERROR(__xludf.DUMMYFUNCTION("""COMPUTED_VALUE"""),"")</f>
        <v/>
      </c>
      <c r="E4773" s="17" t="str">
        <f>IFERROR(__xludf.DUMMYFUNCTION("""COMPUTED_VALUE"""),"")</f>
        <v/>
      </c>
      <c r="F4773" s="17" t="str">
        <f>IFERROR(__xludf.DUMMYFUNCTION("""COMPUTED_VALUE"""),"")</f>
        <v/>
      </c>
      <c r="G4773" s="17" t="str">
        <f>IFERROR(__xludf.DUMMYFUNCTION("""COMPUTED_VALUE"""),"")</f>
        <v/>
      </c>
      <c r="H4773" s="17" t="str">
        <f>IFERROR(__xludf.DUMMYFUNCTION("""COMPUTED_VALUE"""),"")</f>
        <v/>
      </c>
      <c r="I4773" s="17" t="str">
        <f>IFERROR(__xludf.DUMMYFUNCTION("""COMPUTED_VALUE"""),"")</f>
        <v/>
      </c>
      <c r="J4773" s="17" t="str">
        <f>IFERROR(__xludf.DUMMYFUNCTION("""COMPUTED_VALUE"""),"")</f>
        <v/>
      </c>
      <c r="K4773" s="17" t="str">
        <f>IFERROR(__xludf.DUMMYFUNCTION("""COMPUTED_VALUE"""),"")</f>
        <v/>
      </c>
      <c r="L4773" s="17" t="str">
        <f>IFERROR(__xludf.DUMMYFUNCTION("""COMPUTED_VALUE"""),"")</f>
        <v/>
      </c>
      <c r="M4773" s="17" t="str">
        <f>IFERROR(__xludf.DUMMYFUNCTION("""COMPUTED_VALUE"""),"")</f>
        <v/>
      </c>
      <c r="N4773" s="17" t="str">
        <f>IFERROR(__xludf.DUMMYFUNCTION("""COMPUTED_VALUE"""),"")</f>
        <v/>
      </c>
      <c r="O4773" s="17" t="str">
        <f>IFERROR(__xludf.DUMMYFUNCTION("""COMPUTED_VALUE"""),"")</f>
        <v/>
      </c>
      <c r="P4773" s="17" t="str">
        <f>IFERROR(__xludf.DUMMYFUNCTION("""COMPUTED_VALUE"""),"")</f>
        <v/>
      </c>
      <c r="Q4773" s="17" t="str">
        <f>IFERROR(__xludf.DUMMYFUNCTION("""COMPUTED_VALUE"""),"")</f>
        <v/>
      </c>
      <c r="R4773" s="17" t="str">
        <f>IFERROR(__xludf.DUMMYFUNCTION("""COMPUTED_VALUE"""),"")</f>
        <v/>
      </c>
    </row>
    <row r="4774">
      <c r="A4774" s="15">
        <f>IFERROR(__xludf.DUMMYFUNCTION("""COMPUTED_VALUE"""),45140.0)</f>
        <v>45140</v>
      </c>
      <c r="B4774" s="16" t="str">
        <f>IFERROR(__xludf.DUMMYFUNCTION("""COMPUTED_VALUE"""),"Envia")</f>
        <v>Envia</v>
      </c>
      <c r="C4774" s="15" t="str">
        <f>IFERROR(__xludf.DUMMYFUNCTION("""COMPUTED_VALUE"""),"BOGOTÁ")</f>
        <v>BOGOTÁ</v>
      </c>
      <c r="D4774" s="15" t="str">
        <f>IFERROR(__xludf.DUMMYFUNCTION("""COMPUTED_VALUE"""),"MEDELLÍN")</f>
        <v>MEDELLÍN</v>
      </c>
      <c r="E4774" s="15" t="str">
        <f>IFERROR(__xludf.DUMMYFUNCTION("""COMPUTED_VALUE"""),"Moloso S.A.S")</f>
        <v>Moloso S.A.S</v>
      </c>
      <c r="F4774" s="17" t="str">
        <f>IFERROR(__xludf.DUMMYFUNCTION("""COMPUTED_VALUE"""),"CR 23 134 A 41 / AP 502")</f>
        <v>CR 23 134 A 41 / AP 502</v>
      </c>
      <c r="G4774" s="15" t="str">
        <f>IFERROR(__xludf.DUMMYFUNCTION("""COMPUTED_VALUE"""),"MARIA OCHOA MARTELO 2")</f>
        <v>MARIA OCHOA MARTELO 2</v>
      </c>
      <c r="H4774" s="16">
        <f>IFERROR(__xludf.DUMMYFUNCTION("""COMPUTED_VALUE"""),13503.0)</f>
        <v>13503</v>
      </c>
      <c r="I4774" s="18">
        <f>IFERROR(__xludf.DUMMYFUNCTION("""COMPUTED_VALUE"""),17.0)</f>
        <v>17</v>
      </c>
      <c r="J4774" s="18">
        <f>IFERROR(__xludf.DUMMYFUNCTION("""COMPUTED_VALUE"""),15.0)</f>
        <v>15</v>
      </c>
      <c r="K4774" s="18">
        <f>IFERROR(__xludf.DUMMYFUNCTION("""COMPUTED_VALUE"""),28.0)</f>
        <v>28</v>
      </c>
      <c r="L4774" s="17" t="str">
        <f>IFERROR(__xludf.DUMMYFUNCTION("""COMPUTED_VALUE"""),"301 7890418")</f>
        <v>301 7890418</v>
      </c>
      <c r="M4774" s="17" t="str">
        <f>IFERROR(__xludf.DUMMYFUNCTION("""COMPUTED_VALUE"""),"#REF!")</f>
        <v>#REF!</v>
      </c>
      <c r="N4774" s="17"/>
      <c r="O4774" s="17"/>
      <c r="P4774" s="17" t="b">
        <f>IFERROR(__xludf.DUMMYFUNCTION("""COMPUTED_VALUE"""),FALSE)</f>
        <v>0</v>
      </c>
      <c r="Q4774" s="20" t="str">
        <f>IFERROR(__xludf.DUMMYFUNCTION("""COMPUTED_VALUE"""),"")</f>
        <v/>
      </c>
      <c r="R4774" s="21" t="str">
        <f>IFERROR(__xludf.DUMMYFUNCTION("""COMPUTED_VALUE"""),"https://drive.google.com/file/d/1gFT81yPiVap851XdzIr5Yw4wn8MxCqks/view?usp=drivesdk")</f>
        <v>https://drive.google.com/file/d/1gFT81yPiVap851XdzIr5Yw4wn8MxCqks/view?usp=drivesdk</v>
      </c>
    </row>
    <row r="4775">
      <c r="A4775" s="15">
        <f>IFERROR(__xludf.DUMMYFUNCTION("""COMPUTED_VALUE"""),45140.0)</f>
        <v>45140</v>
      </c>
      <c r="B4775" s="16" t="str">
        <f>IFERROR(__xludf.DUMMYFUNCTION("""COMPUTED_VALUE"""),"Envia")</f>
        <v>Envia</v>
      </c>
      <c r="C4775" s="15" t="str">
        <f>IFERROR(__xludf.DUMMYFUNCTION("""COMPUTED_VALUE"""),"BOGOTÁ")</f>
        <v>BOGOTÁ</v>
      </c>
      <c r="D4775" s="15" t="str">
        <f>IFERROR(__xludf.DUMMYFUNCTION("""COMPUTED_VALUE"""),"MEDELLÍN")</f>
        <v>MEDELLÍN</v>
      </c>
      <c r="E4775" s="15" t="str">
        <f>IFERROR(__xludf.DUMMYFUNCTION("""COMPUTED_VALUE"""),"Puro Verde")</f>
        <v>Puro Verde</v>
      </c>
      <c r="F4775" s="17" t="str">
        <f>IFERROR(__xludf.DUMMYFUNCTION("""COMPUTED_VALUE"""),"CRA 16A # 77-23.  / LOCAL 4 / EL LAGO")</f>
        <v>CRA 16A # 77-23.  / LOCAL 4 / EL LAGO</v>
      </c>
      <c r="G4775" s="15" t="str">
        <f>IFERROR(__xludf.DUMMYFUNCTION("""COMPUTED_VALUE"""),"DANDO CUERDA")</f>
        <v>DANDO CUERDA</v>
      </c>
      <c r="H4775" s="16">
        <f>IFERROR(__xludf.DUMMYFUNCTION("""COMPUTED_VALUE"""),13486.0)</f>
        <v>13486</v>
      </c>
      <c r="I4775" s="18">
        <f>IFERROR(__xludf.DUMMYFUNCTION("""COMPUTED_VALUE"""),55.0)</f>
        <v>55</v>
      </c>
      <c r="J4775" s="18">
        <f>IFERROR(__xludf.DUMMYFUNCTION("""COMPUTED_VALUE"""),45.0)</f>
        <v>45</v>
      </c>
      <c r="K4775" s="18" t="str">
        <f>IFERROR(__xludf.DUMMYFUNCTION("""COMPUTED_VALUE"""),"52.5")</f>
        <v>52.5</v>
      </c>
      <c r="L4775" s="17">
        <f>IFERROR(__xludf.DUMMYFUNCTION("""COMPUTED_VALUE"""),3.163816691E9)</f>
        <v>3163816691</v>
      </c>
      <c r="M4775" s="17" t="str">
        <f>IFERROR(__xludf.DUMMYFUNCTION("""COMPUTED_VALUE"""),"#REF!")</f>
        <v>#REF!</v>
      </c>
      <c r="N4775" s="17"/>
      <c r="O4775" s="17"/>
      <c r="P4775" s="17" t="b">
        <f>IFERROR(__xludf.DUMMYFUNCTION("""COMPUTED_VALUE"""),FALSE)</f>
        <v>0</v>
      </c>
      <c r="Q4775" s="20" t="str">
        <f>IFERROR(__xludf.DUMMYFUNCTION("""COMPUTED_VALUE"""),"")</f>
        <v/>
      </c>
      <c r="R4775" s="22" t="str">
        <f>IFERROR(__xludf.DUMMYFUNCTION("""COMPUTED_VALUE"""),"")</f>
        <v/>
      </c>
    </row>
    <row r="4776">
      <c r="A4776" s="15">
        <f>IFERROR(__xludf.DUMMYFUNCTION("""COMPUTED_VALUE"""),45140.0)</f>
        <v>45140</v>
      </c>
      <c r="B4776" s="16" t="str">
        <f>IFERROR(__xludf.DUMMYFUNCTION("""COMPUTED_VALUE"""),"Envia")</f>
        <v>Envia</v>
      </c>
      <c r="C4776" s="15" t="str">
        <f>IFERROR(__xludf.DUMMYFUNCTION("""COMPUTED_VALUE"""),"CALI")</f>
        <v>CALI</v>
      </c>
      <c r="D4776" s="15" t="str">
        <f>IFERROR(__xludf.DUMMYFUNCTION("""COMPUTED_VALUE"""),"MEDELLÍN")</f>
        <v>MEDELLÍN</v>
      </c>
      <c r="E4776" s="15" t="str">
        <f>IFERROR(__xludf.DUMMYFUNCTION("""COMPUTED_VALUE"""),"Baby Chef")</f>
        <v>Baby Chef</v>
      </c>
      <c r="F4776" s="17" t="str">
        <f>IFERROR(__xludf.DUMMYFUNCTION("""COMPUTED_VALUE"""),"Avenida 9A norte # 9N -78  Barrio Juanambu  Edificio Gualanday  Apto 1001  / Avenida 9A norte # 9N -78  Barrio Juanambu  Edificio Gualanday  Apto 1001  / Avenida 9A norte # 9N -78  Barrio Juanambu  Edificio Gualanday  Apto 1001")</f>
        <v>Avenida 9A norte # 9N -78  Barrio Juanambu  Edificio Gualanday  Apto 1001  / Avenida 9A norte # 9N -78  Barrio Juanambu  Edificio Gualanday  Apto 1001  / Avenida 9A norte # 9N -78  Barrio Juanambu  Edificio Gualanday  Apto 1001</v>
      </c>
      <c r="G4776" s="15" t="str">
        <f>IFERROR(__xludf.DUMMYFUNCTION("""COMPUTED_VALUE"""),"Manuela Florez")</f>
        <v>Manuela Florez</v>
      </c>
      <c r="H4776" s="16">
        <f>IFERROR(__xludf.DUMMYFUNCTION("""COMPUTED_VALUE"""),13498.0)</f>
        <v>13498</v>
      </c>
      <c r="I4776" s="18">
        <f>IFERROR(__xludf.DUMMYFUNCTION("""COMPUTED_VALUE"""),8.0)</f>
        <v>8</v>
      </c>
      <c r="J4776" s="18">
        <f>IFERROR(__xludf.DUMMYFUNCTION("""COMPUTED_VALUE"""),43.0)</f>
        <v>43</v>
      </c>
      <c r="K4776" s="18">
        <f>IFERROR(__xludf.DUMMYFUNCTION("""COMPUTED_VALUE"""),24.0)</f>
        <v>24</v>
      </c>
      <c r="L4776" s="17">
        <f>IFERROR(__xludf.DUMMYFUNCTION("""COMPUTED_VALUE"""),3.206779144E9)</f>
        <v>3206779144</v>
      </c>
      <c r="M4776" s="17" t="str">
        <f>IFERROR(__xludf.DUMMYFUNCTION("""COMPUTED_VALUE"""),"#REF!")</f>
        <v>#REF!</v>
      </c>
      <c r="N4776" s="17"/>
      <c r="O4776" s="17"/>
      <c r="P4776" s="17" t="b">
        <f>IFERROR(__xludf.DUMMYFUNCTION("""COMPUTED_VALUE"""),FALSE)</f>
        <v>0</v>
      </c>
      <c r="Q4776" s="20" t="str">
        <f>IFERROR(__xludf.DUMMYFUNCTION("""COMPUTED_VALUE"""),"")</f>
        <v/>
      </c>
      <c r="R4776" s="21" t="str">
        <f>IFERROR(__xludf.DUMMYFUNCTION("""COMPUTED_VALUE"""),"https://drive.google.com/file/d/1pcW4tluRkDw2qfmaDgCQNXtSgWrP_g1Y/view?usp=drivesdk")</f>
        <v>https://drive.google.com/file/d/1pcW4tluRkDw2qfmaDgCQNXtSgWrP_g1Y/view?usp=drivesdk</v>
      </c>
    </row>
    <row r="4777">
      <c r="A4777" s="15">
        <f>IFERROR(__xludf.DUMMYFUNCTION("""COMPUTED_VALUE"""),45140.0)</f>
        <v>45140</v>
      </c>
      <c r="B4777" s="16" t="str">
        <f>IFERROR(__xludf.DUMMYFUNCTION("""COMPUTED_VALUE"""),"Envia")</f>
        <v>Envia</v>
      </c>
      <c r="C4777" s="15" t="str">
        <f>IFERROR(__xludf.DUMMYFUNCTION("""COMPUTED_VALUE"""),"CALI")</f>
        <v>CALI</v>
      </c>
      <c r="D4777" s="15" t="str">
        <f>IFERROR(__xludf.DUMMYFUNCTION("""COMPUTED_VALUE"""),"MEDELLÍN")</f>
        <v>MEDELLÍN</v>
      </c>
      <c r="E4777" s="15" t="str">
        <f>IFERROR(__xludf.DUMMYFUNCTION("""COMPUTED_VALUE"""),"JD Bufala")</f>
        <v>JD Bufala</v>
      </c>
      <c r="F4777" s="17" t="str">
        <f>IFERROR(__xludf.DUMMYFUNCTION("""COMPUTED_VALUE"""),"Calle 51 norte # 4bn 72 / Delhuerto pizzería  / La flora")</f>
        <v>Calle 51 norte # 4bn 72 / Delhuerto pizzería  / La flora</v>
      </c>
      <c r="G4777" s="15" t="str">
        <f>IFERROR(__xludf.DUMMYFUNCTION("""COMPUTED_VALUE"""),"Jaiver Rodríguez")</f>
        <v>Jaiver Rodríguez</v>
      </c>
      <c r="H4777" s="16">
        <f>IFERROR(__xludf.DUMMYFUNCTION("""COMPUTED_VALUE"""),13477.0)</f>
        <v>13477</v>
      </c>
      <c r="I4777" s="18">
        <f>IFERROR(__xludf.DUMMYFUNCTION("""COMPUTED_VALUE"""),45066.0)</f>
        <v>45066</v>
      </c>
      <c r="J4777" s="18">
        <f>IFERROR(__xludf.DUMMYFUNCTION("""COMPUTED_VALUE"""),28.0)</f>
        <v>28</v>
      </c>
      <c r="K4777" s="18">
        <f>IFERROR(__xludf.DUMMYFUNCTION("""COMPUTED_VALUE"""),40.0)</f>
        <v>40</v>
      </c>
      <c r="L4777" s="17">
        <f>IFERROR(__xludf.DUMMYFUNCTION("""COMPUTED_VALUE"""),3.104919761E9)</f>
        <v>3104919761</v>
      </c>
      <c r="M4777" s="17" t="str">
        <f>IFERROR(__xludf.DUMMYFUNCTION("""COMPUTED_VALUE"""),"#REF!")</f>
        <v>#REF!</v>
      </c>
      <c r="N4777" s="17"/>
      <c r="O4777" s="17"/>
      <c r="P4777" s="17" t="b">
        <f>IFERROR(__xludf.DUMMYFUNCTION("""COMPUTED_VALUE"""),FALSE)</f>
        <v>0</v>
      </c>
      <c r="Q4777" s="20" t="str">
        <f>IFERROR(__xludf.DUMMYFUNCTION("""COMPUTED_VALUE"""),"")</f>
        <v/>
      </c>
      <c r="R4777" s="22" t="str">
        <f>IFERROR(__xludf.DUMMYFUNCTION("""COMPUTED_VALUE"""),"")</f>
        <v/>
      </c>
    </row>
    <row r="4778">
      <c r="A4778" s="15">
        <f>IFERROR(__xludf.DUMMYFUNCTION("""COMPUTED_VALUE"""),45140.0)</f>
        <v>45140</v>
      </c>
      <c r="B4778" s="16" t="str">
        <f>IFERROR(__xludf.DUMMYFUNCTION("""COMPUTED_VALUE"""),"Envia")</f>
        <v>Envia</v>
      </c>
      <c r="C4778" s="15" t="str">
        <f>IFERROR(__xludf.DUMMYFUNCTION("""COMPUTED_VALUE"""),"CALI")</f>
        <v>CALI</v>
      </c>
      <c r="D4778" s="15" t="str">
        <f>IFERROR(__xludf.DUMMYFUNCTION("""COMPUTED_VALUE"""),"MEDELLÍN")</f>
        <v>MEDELLÍN</v>
      </c>
      <c r="E4778" s="15" t="str">
        <f>IFERROR(__xludf.DUMMYFUNCTION("""COMPUTED_VALUE"""),"Moloso S.A.S")</f>
        <v>Moloso S.A.S</v>
      </c>
      <c r="F4778" s="17" t="str">
        <f>IFERROR(__xludf.DUMMYFUNCTION("""COMPUTED_VALUE"""),"AVENIDA 3 OESTE 13 94 / EDIF SOL DEL OESTE APT 702")</f>
        <v>AVENIDA 3 OESTE 13 94 / EDIF SOL DEL OESTE APT 702</v>
      </c>
      <c r="G4778" s="15" t="str">
        <f>IFERROR(__xludf.DUMMYFUNCTION("""COMPUTED_VALUE"""),"LAURA HERNÁNDEZ ALVIAR")</f>
        <v>LAURA HERNÁNDEZ ALVIAR</v>
      </c>
      <c r="H4778" s="16">
        <f>IFERROR(__xludf.DUMMYFUNCTION("""COMPUTED_VALUE"""),13507.0)</f>
        <v>13507</v>
      </c>
      <c r="I4778" s="18">
        <f>IFERROR(__xludf.DUMMYFUNCTION("""COMPUTED_VALUE"""),17.0)</f>
        <v>17</v>
      </c>
      <c r="J4778" s="18">
        <f>IFERROR(__xludf.DUMMYFUNCTION("""COMPUTED_VALUE"""),15.0)</f>
        <v>15</v>
      </c>
      <c r="K4778" s="18">
        <f>IFERROR(__xludf.DUMMYFUNCTION("""COMPUTED_VALUE"""),28.0)</f>
        <v>28</v>
      </c>
      <c r="L4778" s="17" t="str">
        <f>IFERROR(__xludf.DUMMYFUNCTION("""COMPUTED_VALUE"""),"315 5762974")</f>
        <v>315 5762974</v>
      </c>
      <c r="M4778" s="17" t="str">
        <f>IFERROR(__xludf.DUMMYFUNCTION("""COMPUTED_VALUE"""),"#REF!")</f>
        <v>#REF!</v>
      </c>
      <c r="N4778" s="17"/>
      <c r="O4778" s="17"/>
      <c r="P4778" s="17" t="b">
        <f>IFERROR(__xludf.DUMMYFUNCTION("""COMPUTED_VALUE"""),FALSE)</f>
        <v>0</v>
      </c>
      <c r="Q4778" s="20" t="str">
        <f>IFERROR(__xludf.DUMMYFUNCTION("""COMPUTED_VALUE"""),"")</f>
        <v/>
      </c>
      <c r="R4778" s="21" t="str">
        <f>IFERROR(__xludf.DUMMYFUNCTION("""COMPUTED_VALUE"""),"https://drive.google.com/file/d/1RzIOWyH4yo5o-N943uIBssng18AyNbVY/view?usp=drivesdk")</f>
        <v>https://drive.google.com/file/d/1RzIOWyH4yo5o-N943uIBssng18AyNbVY/view?usp=drivesdk</v>
      </c>
    </row>
    <row r="4779">
      <c r="A4779" s="15">
        <f>IFERROR(__xludf.DUMMYFUNCTION("""COMPUTED_VALUE"""),45140.0)</f>
        <v>45140</v>
      </c>
      <c r="B4779" s="16" t="str">
        <f>IFERROR(__xludf.DUMMYFUNCTION("""COMPUTED_VALUE"""),"Envia")</f>
        <v>Envia</v>
      </c>
      <c r="C4779" s="15" t="str">
        <f>IFERROR(__xludf.DUMMYFUNCTION("""COMPUTED_VALUE"""),"CALI")</f>
        <v>CALI</v>
      </c>
      <c r="D4779" s="15" t="str">
        <f>IFERROR(__xludf.DUMMYFUNCTION("""COMPUTED_VALUE"""),"MEDELLÍN")</f>
        <v>MEDELLÍN</v>
      </c>
      <c r="E4779" s="15" t="str">
        <f>IFERROR(__xludf.DUMMYFUNCTION("""COMPUTED_VALUE"""),"Rambla")</f>
        <v>Rambla</v>
      </c>
      <c r="F4779" s="17" t="str">
        <f>IFERROR(__xludf.DUMMYFUNCTION("""COMPUTED_VALUE"""),"avenida 4 norte #7n-46 lc 129 centro comercial centenario  / . / .")</f>
        <v>avenida 4 norte #7n-46 lc 129 centro comercial centenario  / . / .</v>
      </c>
      <c r="G4779" s="15" t="str">
        <f>IFERROR(__xludf.DUMMYFUNCTION("""COMPUTED_VALUE"""),"Vitafitnees")</f>
        <v>Vitafitnees</v>
      </c>
      <c r="H4779" s="16">
        <f>IFERROR(__xludf.DUMMYFUNCTION("""COMPUTED_VALUE"""),13488.0)</f>
        <v>13488</v>
      </c>
      <c r="I4779" s="18">
        <f>IFERROR(__xludf.DUMMYFUNCTION("""COMPUTED_VALUE"""),32.0)</f>
        <v>32</v>
      </c>
      <c r="J4779" s="18">
        <f>IFERROR(__xludf.DUMMYFUNCTION("""COMPUTED_VALUE"""),40.0)</f>
        <v>40</v>
      </c>
      <c r="K4779" s="18">
        <f>IFERROR(__xludf.DUMMYFUNCTION("""COMPUTED_VALUE"""),45.0)</f>
        <v>45</v>
      </c>
      <c r="L4779" s="17">
        <f>IFERROR(__xludf.DUMMYFUNCTION("""COMPUTED_VALUE"""),3.226925759E9)</f>
        <v>3226925759</v>
      </c>
      <c r="M4779" s="17" t="str">
        <f>IFERROR(__xludf.DUMMYFUNCTION("""COMPUTED_VALUE"""),"#REF!")</f>
        <v>#REF!</v>
      </c>
      <c r="N4779" s="17"/>
      <c r="O4779" s="17"/>
      <c r="P4779" s="17" t="b">
        <f>IFERROR(__xludf.DUMMYFUNCTION("""COMPUTED_VALUE"""),FALSE)</f>
        <v>0</v>
      </c>
      <c r="Q4779" s="20" t="str">
        <f>IFERROR(__xludf.DUMMYFUNCTION("""COMPUTED_VALUE"""),"")</f>
        <v/>
      </c>
      <c r="R4779" s="22" t="str">
        <f>IFERROR(__xludf.DUMMYFUNCTION("""COMPUTED_VALUE"""),"")</f>
        <v/>
      </c>
    </row>
    <row r="4780">
      <c r="A4780" s="17" t="str">
        <f>IFERROR(__xludf.DUMMYFUNCTION("""COMPUTED_VALUE"""),"")</f>
        <v/>
      </c>
      <c r="B4780" s="17" t="str">
        <f>IFERROR(__xludf.DUMMYFUNCTION("""COMPUTED_VALUE"""),"")</f>
        <v/>
      </c>
      <c r="C4780" s="17" t="str">
        <f>IFERROR(__xludf.DUMMYFUNCTION("""COMPUTED_VALUE"""),"")</f>
        <v/>
      </c>
      <c r="D4780" s="17" t="str">
        <f>IFERROR(__xludf.DUMMYFUNCTION("""COMPUTED_VALUE"""),"")</f>
        <v/>
      </c>
      <c r="E4780" s="17" t="str">
        <f>IFERROR(__xludf.DUMMYFUNCTION("""COMPUTED_VALUE"""),"")</f>
        <v/>
      </c>
      <c r="F4780" s="17" t="str">
        <f>IFERROR(__xludf.DUMMYFUNCTION("""COMPUTED_VALUE"""),"")</f>
        <v/>
      </c>
      <c r="G4780" s="17" t="str">
        <f>IFERROR(__xludf.DUMMYFUNCTION("""COMPUTED_VALUE"""),"")</f>
        <v/>
      </c>
      <c r="H4780" s="17" t="str">
        <f>IFERROR(__xludf.DUMMYFUNCTION("""COMPUTED_VALUE"""),"")</f>
        <v/>
      </c>
      <c r="I4780" s="17" t="str">
        <f>IFERROR(__xludf.DUMMYFUNCTION("""COMPUTED_VALUE"""),"")</f>
        <v/>
      </c>
      <c r="J4780" s="17" t="str">
        <f>IFERROR(__xludf.DUMMYFUNCTION("""COMPUTED_VALUE"""),"")</f>
        <v/>
      </c>
      <c r="K4780" s="17" t="str">
        <f>IFERROR(__xludf.DUMMYFUNCTION("""COMPUTED_VALUE"""),"")</f>
        <v/>
      </c>
      <c r="L4780" s="17" t="str">
        <f>IFERROR(__xludf.DUMMYFUNCTION("""COMPUTED_VALUE"""),"")</f>
        <v/>
      </c>
      <c r="M4780" s="17" t="str">
        <f>IFERROR(__xludf.DUMMYFUNCTION("""COMPUTED_VALUE"""),"")</f>
        <v/>
      </c>
      <c r="N4780" s="17" t="str">
        <f>IFERROR(__xludf.DUMMYFUNCTION("""COMPUTED_VALUE"""),"")</f>
        <v/>
      </c>
      <c r="O4780" s="17" t="str">
        <f>IFERROR(__xludf.DUMMYFUNCTION("""COMPUTED_VALUE"""),"")</f>
        <v/>
      </c>
      <c r="P4780" s="17" t="str">
        <f>IFERROR(__xludf.DUMMYFUNCTION("""COMPUTED_VALUE"""),"")</f>
        <v/>
      </c>
      <c r="Q4780" s="17" t="str">
        <f>IFERROR(__xludf.DUMMYFUNCTION("""COMPUTED_VALUE"""),"")</f>
        <v/>
      </c>
      <c r="R4780" s="17" t="str">
        <f>IFERROR(__xludf.DUMMYFUNCTION("""COMPUTED_VALUE"""),"")</f>
        <v/>
      </c>
    </row>
    <row r="4781">
      <c r="A4781" s="15">
        <f>IFERROR(__xludf.DUMMYFUNCTION("""COMPUTED_VALUE"""),45140.0)</f>
        <v>45140</v>
      </c>
      <c r="B4781" s="16" t="str">
        <f>IFERROR(__xludf.DUMMYFUNCTION("""COMPUTED_VALUE"""),"Jeison Rubiano")</f>
        <v>Jeison Rubiano</v>
      </c>
      <c r="C4781" s="15" t="str">
        <f>IFERROR(__xludf.DUMMYFUNCTION("""COMPUTED_VALUE"""),"BOGOTÁ")</f>
        <v>BOGOTÁ</v>
      </c>
      <c r="D4781" s="15" t="str">
        <f>IFERROR(__xludf.DUMMYFUNCTION("""COMPUTED_VALUE"""),"BUCARAMANGA")</f>
        <v>BUCARAMANGA</v>
      </c>
      <c r="E4781" s="15" t="str">
        <f>IFERROR(__xludf.DUMMYFUNCTION("""COMPUTED_VALUE"""),"Yo Como Solito")</f>
        <v>Yo Como Solito</v>
      </c>
      <c r="F4781" s="17" t="str">
        <f>IFERROR(__xludf.DUMMYFUNCTION("""COMPUTED_VALUE"""),"calle 146 # 12A-20 / cedritos / /apto 903")</f>
        <v>calle 146 # 12A-20 / cedritos / /apto 903</v>
      </c>
      <c r="G4781" s="15" t="str">
        <f>IFERROR(__xludf.DUMMYFUNCTION("""COMPUTED_VALUE"""),"Adriana Garcia")</f>
        <v>Adriana Garcia</v>
      </c>
      <c r="H4781" s="16">
        <f>IFERROR(__xludf.DUMMYFUNCTION("""COMPUTED_VALUE"""),13509.0)</f>
        <v>13509</v>
      </c>
      <c r="I4781" s="18">
        <f>IFERROR(__xludf.DUMMYFUNCTION("""COMPUTED_VALUE"""),12.0)</f>
        <v>12</v>
      </c>
      <c r="J4781" s="18">
        <f>IFERROR(__xludf.DUMMYFUNCTION("""COMPUTED_VALUE"""),24.0)</f>
        <v>24</v>
      </c>
      <c r="K4781" s="18">
        <f>IFERROR(__xludf.DUMMYFUNCTION("""COMPUTED_VALUE"""),29.0)</f>
        <v>29</v>
      </c>
      <c r="L4781" s="17">
        <f>IFERROR(__xludf.DUMMYFUNCTION("""COMPUTED_VALUE"""),3.125952101E9)</f>
        <v>3125952101</v>
      </c>
      <c r="M4781" s="17" t="str">
        <f>IFERROR(__xludf.DUMMYFUNCTION("""COMPUTED_VALUE"""),"#REF!")</f>
        <v>#REF!</v>
      </c>
      <c r="N4781" s="17"/>
      <c r="O4781" s="17"/>
      <c r="P4781" s="17" t="b">
        <f>IFERROR(__xludf.DUMMYFUNCTION("""COMPUTED_VALUE"""),FALSE)</f>
        <v>0</v>
      </c>
      <c r="Q4781" s="20" t="str">
        <f>IFERROR(__xludf.DUMMYFUNCTION("""COMPUTED_VALUE"""),"")</f>
        <v/>
      </c>
      <c r="R4781" s="21" t="str">
        <f>IFERROR(__xludf.DUMMYFUNCTION("""COMPUTED_VALUE"""),"https://drive.google.com/file/d/1nupo8OzqZ7HkCnGesnESNphl67mxjEFF/view?usp=drivesdk")</f>
        <v>https://drive.google.com/file/d/1nupo8OzqZ7HkCnGesnESNphl67mxjEFF/view?usp=drivesdk</v>
      </c>
    </row>
    <row r="4782">
      <c r="A4782" s="15">
        <f>IFERROR(__xludf.DUMMYFUNCTION("""COMPUTED_VALUE"""),45140.0)</f>
        <v>45140</v>
      </c>
      <c r="B4782" s="16" t="str">
        <f>IFERROR(__xludf.DUMMYFUNCTION("""COMPUTED_VALUE"""),"Jeison Rubiano")</f>
        <v>Jeison Rubiano</v>
      </c>
      <c r="C4782" s="15" t="str">
        <f>IFERROR(__xludf.DUMMYFUNCTION("""COMPUTED_VALUE"""),"BOGOTÁ")</f>
        <v>BOGOTÁ</v>
      </c>
      <c r="D4782" s="15" t="str">
        <f>IFERROR(__xludf.DUMMYFUNCTION("""COMPUTED_VALUE"""),"BUCARAMANGA")</f>
        <v>BUCARAMANGA</v>
      </c>
      <c r="E4782" s="15" t="str">
        <f>IFERROR(__xludf.DUMMYFUNCTION("""COMPUTED_VALUE"""),"Yo Como Solito")</f>
        <v>Yo Como Solito</v>
      </c>
      <c r="F4782" s="17" t="str">
        <f>IFERROR(__xludf.DUMMYFUNCTION("""COMPUTED_VALUE"""),"Cra 45a # 128-62 / Puerta del medio / Evamazzita")</f>
        <v>Cra 45a # 128-62 / Puerta del medio / Evamazzita</v>
      </c>
      <c r="G4782" s="15" t="str">
        <f>IFERROR(__xludf.DUMMYFUNCTION("""COMPUTED_VALUE"""),"Lina Paola Ramírez")</f>
        <v>Lina Paola Ramírez</v>
      </c>
      <c r="H4782" s="16">
        <f>IFERROR(__xludf.DUMMYFUNCTION("""COMPUTED_VALUE"""),13510.0)</f>
        <v>13510</v>
      </c>
      <c r="I4782" s="18">
        <f>IFERROR(__xludf.DUMMYFUNCTION("""COMPUTED_VALUE"""),100.0)</f>
        <v>100</v>
      </c>
      <c r="J4782" s="18">
        <f>IFERROR(__xludf.DUMMYFUNCTION("""COMPUTED_VALUE"""),10.0)</f>
        <v>10</v>
      </c>
      <c r="K4782" s="18">
        <f>IFERROR(__xludf.DUMMYFUNCTION("""COMPUTED_VALUE"""),47.0)</f>
        <v>47</v>
      </c>
      <c r="L4782" s="17">
        <f>IFERROR(__xludf.DUMMYFUNCTION("""COMPUTED_VALUE"""),3.178865E9)</f>
        <v>3178865000</v>
      </c>
      <c r="M4782" s="17" t="str">
        <f>IFERROR(__xludf.DUMMYFUNCTION("""COMPUTED_VALUE"""),"#REF!")</f>
        <v>#REF!</v>
      </c>
      <c r="N4782" s="17"/>
      <c r="O4782" s="17"/>
      <c r="P4782" s="17" t="b">
        <f>IFERROR(__xludf.DUMMYFUNCTION("""COMPUTED_VALUE"""),FALSE)</f>
        <v>0</v>
      </c>
      <c r="Q4782" s="20" t="str">
        <f>IFERROR(__xludf.DUMMYFUNCTION("""COMPUTED_VALUE"""),"")</f>
        <v/>
      </c>
      <c r="R4782" s="21" t="str">
        <f>IFERROR(__xludf.DUMMYFUNCTION("""COMPUTED_VALUE"""),"https://drive.google.com/file/d/1hnzTYAGKvsyGE9qsIwhV32Vx6xG9hUR_/view?usp=drivesdk")</f>
        <v>https://drive.google.com/file/d/1hnzTYAGKvsyGE9qsIwhV32Vx6xG9hUR_/view?usp=drivesdk</v>
      </c>
    </row>
    <row r="4783">
      <c r="A4783" s="15">
        <f>IFERROR(__xludf.DUMMYFUNCTION("""COMPUTED_VALUE"""),45140.0)</f>
        <v>45140</v>
      </c>
      <c r="B4783" s="16" t="str">
        <f>IFERROR(__xludf.DUMMYFUNCTION("""COMPUTED_VALUE"""),"Jeison Rubiano")</f>
        <v>Jeison Rubiano</v>
      </c>
      <c r="C4783" s="15" t="str">
        <f>IFERROR(__xludf.DUMMYFUNCTION("""COMPUTED_VALUE"""),"BOGOTÁ")</f>
        <v>BOGOTÁ</v>
      </c>
      <c r="D4783" s="15" t="str">
        <f>IFERROR(__xludf.DUMMYFUNCTION("""COMPUTED_VALUE"""),"MEDELLÍN")</f>
        <v>MEDELLÍN</v>
      </c>
      <c r="E4783" s="15" t="str">
        <f>IFERROR(__xludf.DUMMYFUNCTION("""COMPUTED_VALUE"""),"AREPAS LA MARY")</f>
        <v>AREPAS LA MARY</v>
      </c>
      <c r="F4783" s="17" t="str">
        <f>IFERROR(__xludf.DUMMYFUNCTION("""COMPUTED_VALUE"""),"Calle 127a 11b -70  APTO 201 TORRE 3 / BOGOTA")</f>
        <v>Calle 127a 11b -70  APTO 201 TORRE 3 / BOGOTA</v>
      </c>
      <c r="G4783" s="15" t="str">
        <f>IFERROR(__xludf.DUMMYFUNCTION("""COMPUTED_VALUE"""),"MARIA ANDREA LEON")</f>
        <v>MARIA ANDREA LEON</v>
      </c>
      <c r="H4783" s="16">
        <f>IFERROR(__xludf.DUMMYFUNCTION("""COMPUTED_VALUE"""),13483.0)</f>
        <v>13483</v>
      </c>
      <c r="I4783" s="18">
        <f>IFERROR(__xludf.DUMMYFUNCTION("""COMPUTED_VALUE"""),89.0)</f>
        <v>89</v>
      </c>
      <c r="J4783" s="18">
        <f>IFERROR(__xludf.DUMMYFUNCTION("""COMPUTED_VALUE"""),1.0)</f>
        <v>1</v>
      </c>
      <c r="K4783" s="18">
        <f>IFERROR(__xludf.DUMMYFUNCTION("""COMPUTED_VALUE"""),10.0)</f>
        <v>10</v>
      </c>
      <c r="L4783" s="17">
        <f>IFERROR(__xludf.DUMMYFUNCTION("""COMPUTED_VALUE"""),3.124807022E9)</f>
        <v>3124807022</v>
      </c>
      <c r="M4783" s="17" t="str">
        <f>IFERROR(__xludf.DUMMYFUNCTION("""COMPUTED_VALUE"""),"#REF!")</f>
        <v>#REF!</v>
      </c>
      <c r="N4783" s="17"/>
      <c r="O4783" s="17"/>
      <c r="P4783" s="17" t="b">
        <f>IFERROR(__xludf.DUMMYFUNCTION("""COMPUTED_VALUE"""),FALSE)</f>
        <v>0</v>
      </c>
      <c r="Q4783" s="20" t="str">
        <f>IFERROR(__xludf.DUMMYFUNCTION("""COMPUTED_VALUE"""),"")</f>
        <v/>
      </c>
      <c r="R4783" s="21" t="str">
        <f>IFERROR(__xludf.DUMMYFUNCTION("""COMPUTED_VALUE"""),"https://drive.google.com/file/d/1cAKy86OvgR9ht_P8VnhGTTicfuhI4jje/view?usp=drivesdk")</f>
        <v>https://drive.google.com/file/d/1cAKy86OvgR9ht_P8VnhGTTicfuhI4jje/view?usp=drivesdk</v>
      </c>
    </row>
    <row r="4784">
      <c r="A4784" s="15">
        <f>IFERROR(__xludf.DUMMYFUNCTION("""COMPUTED_VALUE"""),45140.0)</f>
        <v>45140</v>
      </c>
      <c r="B4784" s="16" t="str">
        <f>IFERROR(__xludf.DUMMYFUNCTION("""COMPUTED_VALUE"""),"Jeison Rubiano")</f>
        <v>Jeison Rubiano</v>
      </c>
      <c r="C4784" s="15" t="str">
        <f>IFERROR(__xludf.DUMMYFUNCTION("""COMPUTED_VALUE"""),"BOGOTÁ")</f>
        <v>BOGOTÁ</v>
      </c>
      <c r="D4784" s="15" t="str">
        <f>IFERROR(__xludf.DUMMYFUNCTION("""COMPUTED_VALUE"""),"MEDELLÍN")</f>
        <v>MEDELLÍN</v>
      </c>
      <c r="E4784" s="15" t="str">
        <f>IFERROR(__xludf.DUMMYFUNCTION("""COMPUTED_VALUE"""),"Baby Chef")</f>
        <v>Baby Chef</v>
      </c>
      <c r="F4784" s="17" t="str">
        <f>IFERROR(__xludf.DUMMYFUNCTION("""COMPUTED_VALUE"""),"Calle 138 n 11b-50 Torre 2 Apto 301 Edificio Baia 138 Barrio Cedritos / Calle 138 n 11b-50 Torre 2 Apto 301 Edificio Baia 138 Barrio Cedritos / Calle 138 n 11b-50 Torre 2 Apto 301 Edificio Baia 138 Barrio Cedritos")</f>
        <v>Calle 138 n 11b-50 Torre 2 Apto 301 Edificio Baia 138 Barrio Cedritos / Calle 138 n 11b-50 Torre 2 Apto 301 Edificio Baia 138 Barrio Cedritos / Calle 138 n 11b-50 Torre 2 Apto 301 Edificio Baia 138 Barrio Cedritos</v>
      </c>
      <c r="G4784" s="15" t="str">
        <f>IFERROR(__xludf.DUMMYFUNCTION("""COMPUTED_VALUE"""),"Nury Diaz")</f>
        <v>Nury Diaz</v>
      </c>
      <c r="H4784" s="16">
        <f>IFERROR(__xludf.DUMMYFUNCTION("""COMPUTED_VALUE"""),13493.0)</f>
        <v>13493</v>
      </c>
      <c r="I4784" s="18">
        <f>IFERROR(__xludf.DUMMYFUNCTION("""COMPUTED_VALUE"""),8.0)</f>
        <v>8</v>
      </c>
      <c r="J4784" s="18">
        <f>IFERROR(__xludf.DUMMYFUNCTION("""COMPUTED_VALUE"""),34.0)</f>
        <v>34</v>
      </c>
      <c r="K4784" s="18">
        <f>IFERROR(__xludf.DUMMYFUNCTION("""COMPUTED_VALUE"""),20.0)</f>
        <v>20</v>
      </c>
      <c r="L4784" s="17">
        <f>IFERROR(__xludf.DUMMYFUNCTION("""COMPUTED_VALUE"""),3.108660102E9)</f>
        <v>3108660102</v>
      </c>
      <c r="M4784" s="17" t="str">
        <f>IFERROR(__xludf.DUMMYFUNCTION("""COMPUTED_VALUE"""),"#REF!")</f>
        <v>#REF!</v>
      </c>
      <c r="N4784" s="17"/>
      <c r="O4784" s="17"/>
      <c r="P4784" s="17" t="b">
        <f>IFERROR(__xludf.DUMMYFUNCTION("""COMPUTED_VALUE"""),FALSE)</f>
        <v>0</v>
      </c>
      <c r="Q4784" s="20" t="str">
        <f>IFERROR(__xludf.DUMMYFUNCTION("""COMPUTED_VALUE"""),"")</f>
        <v/>
      </c>
      <c r="R4784" s="21" t="str">
        <f>IFERROR(__xludf.DUMMYFUNCTION("""COMPUTED_VALUE"""),"https://drive.google.com/file/d/1uNI4fLY1H6uYoF6RJOlw3ucw3fv67Dxs/view?usp=drivesdk")</f>
        <v>https://drive.google.com/file/d/1uNI4fLY1H6uYoF6RJOlw3ucw3fv67Dxs/view?usp=drivesdk</v>
      </c>
    </row>
    <row r="4785">
      <c r="A4785" s="15">
        <f>IFERROR(__xludf.DUMMYFUNCTION("""COMPUTED_VALUE"""),45140.0)</f>
        <v>45140</v>
      </c>
      <c r="B4785" s="16" t="str">
        <f>IFERROR(__xludf.DUMMYFUNCTION("""COMPUTED_VALUE"""),"Jeison Rubiano")</f>
        <v>Jeison Rubiano</v>
      </c>
      <c r="C4785" s="15" t="str">
        <f>IFERROR(__xludf.DUMMYFUNCTION("""COMPUTED_VALUE"""),"BOGOTÁ")</f>
        <v>BOGOTÁ</v>
      </c>
      <c r="D4785" s="15" t="str">
        <f>IFERROR(__xludf.DUMMYFUNCTION("""COMPUTED_VALUE"""),"MEDELLÍN")</f>
        <v>MEDELLÍN</v>
      </c>
      <c r="E4785" s="15" t="str">
        <f>IFERROR(__xludf.DUMMYFUNCTION("""COMPUTED_VALUE"""),"Baby Chef")</f>
        <v>Baby Chef</v>
      </c>
      <c r="F4785" s="17" t="str">
        <f>IFERROR(__xludf.DUMMYFUNCTION("""COMPUTED_VALUE"""),"Calle 189 # 46 -10 Apto 301 Int. 3, Mirandela 4 / Calle 189 # 46 -10 Apto 301 Int. 3, Mirandela 4 / Calle 189 # 46 -10 Apto 301 Int. 3, Mirandela 4")</f>
        <v>Calle 189 # 46 -10 Apto 301 Int. 3, Mirandela 4 / Calle 189 # 46 -10 Apto 301 Int. 3, Mirandela 4 / Calle 189 # 46 -10 Apto 301 Int. 3, Mirandela 4</v>
      </c>
      <c r="G4785" s="15" t="str">
        <f>IFERROR(__xludf.DUMMYFUNCTION("""COMPUTED_VALUE"""),"Dianny Carrillo")</f>
        <v>Dianny Carrillo</v>
      </c>
      <c r="H4785" s="16">
        <f>IFERROR(__xludf.DUMMYFUNCTION("""COMPUTED_VALUE"""),13496.0)</f>
        <v>13496</v>
      </c>
      <c r="I4785" s="18">
        <f>IFERROR(__xludf.DUMMYFUNCTION("""COMPUTED_VALUE"""),8.0)</f>
        <v>8</v>
      </c>
      <c r="J4785" s="18">
        <f>IFERROR(__xludf.DUMMYFUNCTION("""COMPUTED_VALUE"""),37.0)</f>
        <v>37</v>
      </c>
      <c r="K4785" s="18">
        <f>IFERROR(__xludf.DUMMYFUNCTION("""COMPUTED_VALUE"""),20.0)</f>
        <v>20</v>
      </c>
      <c r="L4785" s="17">
        <f>IFERROR(__xludf.DUMMYFUNCTION("""COMPUTED_VALUE"""),3.507511575E9)</f>
        <v>3507511575</v>
      </c>
      <c r="M4785" s="17" t="str">
        <f>IFERROR(__xludf.DUMMYFUNCTION("""COMPUTED_VALUE"""),"#REF!")</f>
        <v>#REF!</v>
      </c>
      <c r="N4785" s="17"/>
      <c r="O4785" s="17"/>
      <c r="P4785" s="17" t="b">
        <f>IFERROR(__xludf.DUMMYFUNCTION("""COMPUTED_VALUE"""),FALSE)</f>
        <v>0</v>
      </c>
      <c r="Q4785" s="20" t="str">
        <f>IFERROR(__xludf.DUMMYFUNCTION("""COMPUTED_VALUE"""),"")</f>
        <v/>
      </c>
      <c r="R4785" s="21" t="str">
        <f>IFERROR(__xludf.DUMMYFUNCTION("""COMPUTED_VALUE"""),"https://drive.google.com/file/d/1Ae76NvAUm9Kw2v-VD48jrU_NHDiym32o/view?usp=drivesdk")</f>
        <v>https://drive.google.com/file/d/1Ae76NvAUm9Kw2v-VD48jrU_NHDiym32o/view?usp=drivesdk</v>
      </c>
    </row>
    <row r="4786">
      <c r="A4786" s="15">
        <f>IFERROR(__xludf.DUMMYFUNCTION("""COMPUTED_VALUE"""),45140.0)</f>
        <v>45140</v>
      </c>
      <c r="B4786" s="16" t="str">
        <f>IFERROR(__xludf.DUMMYFUNCTION("""COMPUTED_VALUE"""),"Jeison Rubiano")</f>
        <v>Jeison Rubiano</v>
      </c>
      <c r="C4786" s="15" t="str">
        <f>IFERROR(__xludf.DUMMYFUNCTION("""COMPUTED_VALUE"""),"BOGOTÁ")</f>
        <v>BOGOTÁ</v>
      </c>
      <c r="D4786" s="15" t="str">
        <f>IFERROR(__xludf.DUMMYFUNCTION("""COMPUTED_VALUE"""),"MEDELLÍN")</f>
        <v>MEDELLÍN</v>
      </c>
      <c r="E4786" s="15" t="str">
        <f>IFERROR(__xludf.DUMMYFUNCTION("""COMPUTED_VALUE"""),"Baby Chef")</f>
        <v>Baby Chef</v>
      </c>
      <c r="F4786" s="17" t="str">
        <f>IFERROR(__xludf.DUMMYFUNCTION("""COMPUTED_VALUE"""),"Carrera 11 # 146-59 Apto 204 Condominio Geminis Barrio Cedritos / Carrera 11 # 146-59 Apto 204 Condominio Geminis Barrio Cedritos / Carrera 11 # 146-59 Apto 204 Condominio Geminis Barrio Cedritos")</f>
        <v>Carrera 11 # 146-59 Apto 204 Condominio Geminis Barrio Cedritos / Carrera 11 # 146-59 Apto 204 Condominio Geminis Barrio Cedritos / Carrera 11 # 146-59 Apto 204 Condominio Geminis Barrio Cedritos</v>
      </c>
      <c r="G4786" s="15" t="str">
        <f>IFERROR(__xludf.DUMMYFUNCTION("""COMPUTED_VALUE"""),"Catalina Corredor")</f>
        <v>Catalina Corredor</v>
      </c>
      <c r="H4786" s="16">
        <f>IFERROR(__xludf.DUMMYFUNCTION("""COMPUTED_VALUE"""),13494.0)</f>
        <v>13494</v>
      </c>
      <c r="I4786" s="18">
        <f>IFERROR(__xludf.DUMMYFUNCTION("""COMPUTED_VALUE"""),8.0)</f>
        <v>8</v>
      </c>
      <c r="J4786" s="18">
        <f>IFERROR(__xludf.DUMMYFUNCTION("""COMPUTED_VALUE"""),30.0)</f>
        <v>30</v>
      </c>
      <c r="K4786" s="18">
        <f>IFERROR(__xludf.DUMMYFUNCTION("""COMPUTED_VALUE"""),21.0)</f>
        <v>21</v>
      </c>
      <c r="L4786" s="17">
        <f>IFERROR(__xludf.DUMMYFUNCTION("""COMPUTED_VALUE"""),3.143957821E9)</f>
        <v>3143957821</v>
      </c>
      <c r="M4786" s="17" t="str">
        <f>IFERROR(__xludf.DUMMYFUNCTION("""COMPUTED_VALUE"""),"#REF!")</f>
        <v>#REF!</v>
      </c>
      <c r="N4786" s="17"/>
      <c r="O4786" s="17"/>
      <c r="P4786" s="17" t="b">
        <f>IFERROR(__xludf.DUMMYFUNCTION("""COMPUTED_VALUE"""),FALSE)</f>
        <v>0</v>
      </c>
      <c r="Q4786" s="20" t="str">
        <f>IFERROR(__xludf.DUMMYFUNCTION("""COMPUTED_VALUE"""),"")</f>
        <v/>
      </c>
      <c r="R4786" s="21" t="str">
        <f>IFERROR(__xludf.DUMMYFUNCTION("""COMPUTED_VALUE"""),"https://drive.google.com/file/d/1VOQYU-6mYDkCCQUVNz0NUuydufTqlUkg/view?usp=drivesdk")</f>
        <v>https://drive.google.com/file/d/1VOQYU-6mYDkCCQUVNz0NUuydufTqlUkg/view?usp=drivesdk</v>
      </c>
    </row>
    <row r="4787">
      <c r="A4787" s="15">
        <f>IFERROR(__xludf.DUMMYFUNCTION("""COMPUTED_VALUE"""),45140.0)</f>
        <v>45140</v>
      </c>
      <c r="B4787" s="16" t="str">
        <f>IFERROR(__xludf.DUMMYFUNCTION("""COMPUTED_VALUE"""),"Jeison Rubiano")</f>
        <v>Jeison Rubiano</v>
      </c>
      <c r="C4787" s="15" t="str">
        <f>IFERROR(__xludf.DUMMYFUNCTION("""COMPUTED_VALUE"""),"BOGOTÁ")</f>
        <v>BOGOTÁ</v>
      </c>
      <c r="D4787" s="15" t="str">
        <f>IFERROR(__xludf.DUMMYFUNCTION("""COMPUTED_VALUE"""),"MEDELLÍN")</f>
        <v>MEDELLÍN</v>
      </c>
      <c r="E4787" s="15" t="str">
        <f>IFERROR(__xludf.DUMMYFUNCTION("""COMPUTED_VALUE"""),"Baby Chef")</f>
        <v>Baby Chef</v>
      </c>
      <c r="F4787" s="17" t="str">
        <f>IFERROR(__xludf.DUMMYFUNCTION("""COMPUTED_VALUE"""),"Carrera 9 d bis este 21-24 Casa / ""Carrera 9 d bis este 21-24 Casa"" / ""Carrera 9 d bis este 21-24 Casa""")</f>
        <v>Carrera 9 d bis este 21-24 Casa / "Carrera 9 d bis este 21-24 Casa" / "Carrera 9 d bis este 21-24 Casa"</v>
      </c>
      <c r="G4787" s="15" t="str">
        <f>IFERROR(__xludf.DUMMYFUNCTION("""COMPUTED_VALUE"""),"Camilo Gutierrez")</f>
        <v>Camilo Gutierrez</v>
      </c>
      <c r="H4787" s="16">
        <f>IFERROR(__xludf.DUMMYFUNCTION("""COMPUTED_VALUE"""),13495.0)</f>
        <v>13495</v>
      </c>
      <c r="I4787" s="18">
        <f>IFERROR(__xludf.DUMMYFUNCTION("""COMPUTED_VALUE"""),8.0)</f>
        <v>8</v>
      </c>
      <c r="J4787" s="18">
        <f>IFERROR(__xludf.DUMMYFUNCTION("""COMPUTED_VALUE"""),36.0)</f>
        <v>36</v>
      </c>
      <c r="K4787" s="18">
        <f>IFERROR(__xludf.DUMMYFUNCTION("""COMPUTED_VALUE"""),21.0)</f>
        <v>21</v>
      </c>
      <c r="L4787" s="17">
        <f>IFERROR(__xludf.DUMMYFUNCTION("""COMPUTED_VALUE"""),3.197865194E9)</f>
        <v>3197865194</v>
      </c>
      <c r="M4787" s="17" t="str">
        <f>IFERROR(__xludf.DUMMYFUNCTION("""COMPUTED_VALUE"""),"#REF!")</f>
        <v>#REF!</v>
      </c>
      <c r="N4787" s="17"/>
      <c r="O4787" s="17"/>
      <c r="P4787" s="17" t="b">
        <f>IFERROR(__xludf.DUMMYFUNCTION("""COMPUTED_VALUE"""),FALSE)</f>
        <v>0</v>
      </c>
      <c r="Q4787" s="20" t="str">
        <f>IFERROR(__xludf.DUMMYFUNCTION("""COMPUTED_VALUE"""),"")</f>
        <v/>
      </c>
      <c r="R4787" s="21" t="str">
        <f>IFERROR(__xludf.DUMMYFUNCTION("""COMPUTED_VALUE"""),"https://drive.google.com/file/d/1ydQj1I678R8qfb8fFtNBokDVmVwt1DYn/view?usp=drivesdk")</f>
        <v>https://drive.google.com/file/d/1ydQj1I678R8qfb8fFtNBokDVmVwt1DYn/view?usp=drivesdk</v>
      </c>
    </row>
    <row r="4788">
      <c r="A4788" s="15">
        <f>IFERROR(__xludf.DUMMYFUNCTION("""COMPUTED_VALUE"""),45140.0)</f>
        <v>45140</v>
      </c>
      <c r="B4788" s="16" t="str">
        <f>IFERROR(__xludf.DUMMYFUNCTION("""COMPUTED_VALUE"""),"Jeison Rubiano")</f>
        <v>Jeison Rubiano</v>
      </c>
      <c r="C4788" s="15" t="str">
        <f>IFERROR(__xludf.DUMMYFUNCTION("""COMPUTED_VALUE"""),"BOGOTÁ")</f>
        <v>BOGOTÁ</v>
      </c>
      <c r="D4788" s="15" t="str">
        <f>IFERROR(__xludf.DUMMYFUNCTION("""COMPUTED_VALUE"""),"MEDELLÍN")</f>
        <v>MEDELLÍN</v>
      </c>
      <c r="E4788" s="15" t="str">
        <f>IFERROR(__xludf.DUMMYFUNCTION("""COMPUTED_VALUE"""),"Baby Chef")</f>
        <v>Baby Chef</v>
      </c>
      <c r="F4788" s="17" t="str">
        <f>IFERROR(__xludf.DUMMYFUNCTION("""COMPUTED_VALUE"""),"Cra 19a no 89-08 edificio Espacios 501 / Cra 19a no 89-08 edificio Espacios 501 / Cra 19a no 89-08 edificio Espacios 501")</f>
        <v>Cra 19a no 89-08 edificio Espacios 501 / Cra 19a no 89-08 edificio Espacios 501 / Cra 19a no 89-08 edificio Espacios 501</v>
      </c>
      <c r="G4788" s="15" t="str">
        <f>IFERROR(__xludf.DUMMYFUNCTION("""COMPUTED_VALUE"""),"Valerie Dominguez")</f>
        <v>Valerie Dominguez</v>
      </c>
      <c r="H4788" s="16">
        <f>IFERROR(__xludf.DUMMYFUNCTION("""COMPUTED_VALUE"""),13491.0)</f>
        <v>13491</v>
      </c>
      <c r="I4788" s="18">
        <f>IFERROR(__xludf.DUMMYFUNCTION("""COMPUTED_VALUE"""),8.0)</f>
        <v>8</v>
      </c>
      <c r="J4788" s="18">
        <f>IFERROR(__xludf.DUMMYFUNCTION("""COMPUTED_VALUE"""),35.0)</f>
        <v>35</v>
      </c>
      <c r="K4788" s="18">
        <f>IFERROR(__xludf.DUMMYFUNCTION("""COMPUTED_VALUE"""),26.0)</f>
        <v>26</v>
      </c>
      <c r="L4788" s="17">
        <f>IFERROR(__xludf.DUMMYFUNCTION("""COMPUTED_VALUE"""),3.104098182E9)</f>
        <v>3104098182</v>
      </c>
      <c r="M4788" s="17" t="str">
        <f>IFERROR(__xludf.DUMMYFUNCTION("""COMPUTED_VALUE"""),"#REF!")</f>
        <v>#REF!</v>
      </c>
      <c r="N4788" s="17"/>
      <c r="O4788" s="17"/>
      <c r="P4788" s="17" t="b">
        <f>IFERROR(__xludf.DUMMYFUNCTION("""COMPUTED_VALUE"""),FALSE)</f>
        <v>0</v>
      </c>
      <c r="Q4788" s="20" t="str">
        <f>IFERROR(__xludf.DUMMYFUNCTION("""COMPUTED_VALUE"""),"")</f>
        <v/>
      </c>
      <c r="R4788" s="21" t="str">
        <f>IFERROR(__xludf.DUMMYFUNCTION("""COMPUTED_VALUE"""),"https://drive.google.com/file/d/1oT9ZUTfrGfcF3DjZm4N_2SaX40qYixEN/view?usp=drivesdk")</f>
        <v>https://drive.google.com/file/d/1oT9ZUTfrGfcF3DjZm4N_2SaX40qYixEN/view?usp=drivesdk</v>
      </c>
    </row>
    <row r="4789">
      <c r="A4789" s="15">
        <f>IFERROR(__xludf.DUMMYFUNCTION("""COMPUTED_VALUE"""),45140.0)</f>
        <v>45140</v>
      </c>
      <c r="B4789" s="16" t="str">
        <f>IFERROR(__xludf.DUMMYFUNCTION("""COMPUTED_VALUE"""),"Jeison Rubiano")</f>
        <v>Jeison Rubiano</v>
      </c>
      <c r="C4789" s="15" t="str">
        <f>IFERROR(__xludf.DUMMYFUNCTION("""COMPUTED_VALUE"""),"BOGOTÁ")</f>
        <v>BOGOTÁ</v>
      </c>
      <c r="D4789" s="15" t="str">
        <f>IFERROR(__xludf.DUMMYFUNCTION("""COMPUTED_VALUE"""),"MEDELLÍN")</f>
        <v>MEDELLÍN</v>
      </c>
      <c r="E4789" s="15" t="str">
        <f>IFERROR(__xludf.DUMMYFUNCTION("""COMPUTED_VALUE"""),"Baby Chef")</f>
        <v>Baby Chef</v>
      </c>
      <c r="F4789" s="17" t="str">
        <f>IFERROR(__xludf.DUMMYFUNCTION("""COMPUTED_VALUE"""),"Cra. 21 # 10-08 centro comercial Real Plazal local 269/270 Barrio San Andresito San José  / ""Cra. 21 # 10-08 centro comercial Real Plazal local 269/270 Barrio San Andresito San José "" / ""Cra. 21 # 10-08 centro comercial Real Plazal local 269/270 Barrio"&amp;" San Andresito San José """)</f>
        <v>Cra. 21 # 10-08 centro comercial Real Plazal local 269/270 Barrio San Andresito San José  / "Cra. 21 # 10-08 centro comercial Real Plazal local 269/270 Barrio San Andresito San José " / "Cra. 21 # 10-08 centro comercial Real Plazal local 269/270 Barrio San Andresito San José "</v>
      </c>
      <c r="G4789" s="15" t="str">
        <f>IFERROR(__xludf.DUMMYFUNCTION("""COMPUTED_VALUE"""),"Sonia Pérez")</f>
        <v>Sonia Pérez</v>
      </c>
      <c r="H4789" s="16">
        <f>IFERROR(__xludf.DUMMYFUNCTION("""COMPUTED_VALUE"""),13492.0)</f>
        <v>13492</v>
      </c>
      <c r="I4789" s="18">
        <f>IFERROR(__xludf.DUMMYFUNCTION("""COMPUTED_VALUE"""),8.0)</f>
        <v>8</v>
      </c>
      <c r="J4789" s="18">
        <f>IFERROR(__xludf.DUMMYFUNCTION("""COMPUTED_VALUE"""),36.0)</f>
        <v>36</v>
      </c>
      <c r="K4789" s="18">
        <f>IFERROR(__xludf.DUMMYFUNCTION("""COMPUTED_VALUE"""),22.0)</f>
        <v>22</v>
      </c>
      <c r="L4789" s="17">
        <f>IFERROR(__xludf.DUMMYFUNCTION("""COMPUTED_VALUE"""),3.013929727E9)</f>
        <v>3013929727</v>
      </c>
      <c r="M4789" s="17" t="str">
        <f>IFERROR(__xludf.DUMMYFUNCTION("""COMPUTED_VALUE"""),"#REF!")</f>
        <v>#REF!</v>
      </c>
      <c r="N4789" s="17"/>
      <c r="O4789" s="17"/>
      <c r="P4789" s="17" t="b">
        <f>IFERROR(__xludf.DUMMYFUNCTION("""COMPUTED_VALUE"""),FALSE)</f>
        <v>0</v>
      </c>
      <c r="Q4789" s="20" t="str">
        <f>IFERROR(__xludf.DUMMYFUNCTION("""COMPUTED_VALUE"""),"")</f>
        <v/>
      </c>
      <c r="R4789" s="21" t="str">
        <f>IFERROR(__xludf.DUMMYFUNCTION("""COMPUTED_VALUE"""),"https://drive.google.com/file/d/1J8Samxqhe4-SqDI8A1A-P5PNIN6ychXM/view?usp=drivesdk")</f>
        <v>https://drive.google.com/file/d/1J8Samxqhe4-SqDI8A1A-P5PNIN6ychXM/view?usp=drivesdk</v>
      </c>
    </row>
    <row r="4790">
      <c r="A4790" s="15">
        <f>IFERROR(__xludf.DUMMYFUNCTION("""COMPUTED_VALUE"""),45140.0)</f>
        <v>45140</v>
      </c>
      <c r="B4790" s="16" t="str">
        <f>IFERROR(__xludf.DUMMYFUNCTION("""COMPUTED_VALUE"""),"Jeison Rubiano")</f>
        <v>Jeison Rubiano</v>
      </c>
      <c r="C4790" s="15" t="str">
        <f>IFERROR(__xludf.DUMMYFUNCTION("""COMPUTED_VALUE"""),"BOGOTÁ")</f>
        <v>BOGOTÁ</v>
      </c>
      <c r="D4790" s="15" t="str">
        <f>IFERROR(__xludf.DUMMYFUNCTION("""COMPUTED_VALUE"""),"MEDELLÍN")</f>
        <v>MEDELLÍN</v>
      </c>
      <c r="E4790" s="15" t="str">
        <f>IFERROR(__xludf.DUMMYFUNCTION("""COMPUTED_VALUE"""),"Baby Chef")</f>
        <v>Baby Chef</v>
      </c>
      <c r="F4790" s="17" t="str">
        <f>IFERROR(__xludf.DUMMYFUNCTION("""COMPUTED_VALUE"""),"Edificio Quebrada La Vieja Diagonal 70b 1b 45 Apto 502 / ""Edificio Quebrada La Vieja Diagonal 70b 1b 45 Apto 502"" / ""Edificio Quebrada La Vieja Diagonal 70b 1b 45 Apto 502""")</f>
        <v>Edificio Quebrada La Vieja Diagonal 70b 1b 45 Apto 502 / "Edificio Quebrada La Vieja Diagonal 70b 1b 45 Apto 502" / "Edificio Quebrada La Vieja Diagonal 70b 1b 45 Apto 502"</v>
      </c>
      <c r="G4790" s="15" t="str">
        <f>IFERROR(__xludf.DUMMYFUNCTION("""COMPUTED_VALUE"""),"Valentina Navarro")</f>
        <v>Valentina Navarro</v>
      </c>
      <c r="H4790" s="16">
        <f>IFERROR(__xludf.DUMMYFUNCTION("""COMPUTED_VALUE"""),13497.0)</f>
        <v>13497</v>
      </c>
      <c r="I4790" s="18">
        <f>IFERROR(__xludf.DUMMYFUNCTION("""COMPUTED_VALUE"""),8.0)</f>
        <v>8</v>
      </c>
      <c r="J4790" s="18">
        <f>IFERROR(__xludf.DUMMYFUNCTION("""COMPUTED_VALUE"""),37.0)</f>
        <v>37</v>
      </c>
      <c r="K4790" s="18">
        <f>IFERROR(__xludf.DUMMYFUNCTION("""COMPUTED_VALUE"""),20.0)</f>
        <v>20</v>
      </c>
      <c r="L4790" s="17">
        <f>IFERROR(__xludf.DUMMYFUNCTION("""COMPUTED_VALUE"""),3.103663898E9)</f>
        <v>3103663898</v>
      </c>
      <c r="M4790" s="17" t="str">
        <f>IFERROR(__xludf.DUMMYFUNCTION("""COMPUTED_VALUE"""),"#REF!")</f>
        <v>#REF!</v>
      </c>
      <c r="N4790" s="17"/>
      <c r="O4790" s="17"/>
      <c r="P4790" s="17" t="b">
        <f>IFERROR(__xludf.DUMMYFUNCTION("""COMPUTED_VALUE"""),FALSE)</f>
        <v>0</v>
      </c>
      <c r="Q4790" s="20" t="str">
        <f>IFERROR(__xludf.DUMMYFUNCTION("""COMPUTED_VALUE"""),"")</f>
        <v/>
      </c>
      <c r="R4790" s="21" t="str">
        <f>IFERROR(__xludf.DUMMYFUNCTION("""COMPUTED_VALUE"""),"https://drive.google.com/file/d/1aRNokGprrl3QkFlwrcj0tgiWVWM8IbSr/view?usp=drivesdk")</f>
        <v>https://drive.google.com/file/d/1aRNokGprrl3QkFlwrcj0tgiWVWM8IbSr/view?usp=drivesdk</v>
      </c>
    </row>
    <row r="4791">
      <c r="A4791" s="15">
        <f>IFERROR(__xludf.DUMMYFUNCTION("""COMPUTED_VALUE"""),45140.0)</f>
        <v>45140</v>
      </c>
      <c r="B4791" s="16" t="str">
        <f>IFERROR(__xludf.DUMMYFUNCTION("""COMPUTED_VALUE"""),"Jeison Rubiano")</f>
        <v>Jeison Rubiano</v>
      </c>
      <c r="C4791" s="15" t="str">
        <f>IFERROR(__xludf.DUMMYFUNCTION("""COMPUTED_VALUE"""),"BOGOTÁ")</f>
        <v>BOGOTÁ</v>
      </c>
      <c r="D4791" s="15" t="str">
        <f>IFERROR(__xludf.DUMMYFUNCTION("""COMPUTED_VALUE"""),"MEDELLÍN")</f>
        <v>MEDELLÍN</v>
      </c>
      <c r="E4791" s="15" t="str">
        <f>IFERROR(__xludf.DUMMYFUNCTION("""COMPUTED_VALUE"""),"El Molde")</f>
        <v>El Molde</v>
      </c>
      <c r="F4791" s="17" t="str">
        <f>IFERROR(__xludf.DUMMYFUNCTION("""COMPUTED_VALUE"""),"Carrera 2B #66-55 apto 205 Unique 67 / Unique 67 apto 205")</f>
        <v>Carrera 2B #66-55 apto 205 Unique 67 / Unique 67 apto 205</v>
      </c>
      <c r="G4791" s="15" t="str">
        <f>IFERROR(__xludf.DUMMYFUNCTION("""COMPUTED_VALUE"""),"Valentina Vélez Ochoa")</f>
        <v>Valentina Vélez Ochoa</v>
      </c>
      <c r="H4791" s="16">
        <f>IFERROR(__xludf.DUMMYFUNCTION("""COMPUTED_VALUE"""),13454.0)</f>
        <v>13454</v>
      </c>
      <c r="I4791" s="18">
        <f>IFERROR(__xludf.DUMMYFUNCTION("""COMPUTED_VALUE"""),5.0)</f>
        <v>5</v>
      </c>
      <c r="J4791" s="18">
        <f>IFERROR(__xludf.DUMMYFUNCTION("""COMPUTED_VALUE"""),12.0)</f>
        <v>12</v>
      </c>
      <c r="K4791" s="18">
        <f>IFERROR(__xludf.DUMMYFUNCTION("""COMPUTED_VALUE"""),45060.0)</f>
        <v>45060</v>
      </c>
      <c r="L4791" s="17">
        <f>IFERROR(__xludf.DUMMYFUNCTION("""COMPUTED_VALUE"""),3.212401643E9)</f>
        <v>3212401643</v>
      </c>
      <c r="M4791" s="17" t="str">
        <f>IFERROR(__xludf.DUMMYFUNCTION("""COMPUTED_VALUE"""),"#REF!")</f>
        <v>#REF!</v>
      </c>
      <c r="N4791" s="17"/>
      <c r="O4791" s="17"/>
      <c r="P4791" s="17" t="b">
        <f>IFERROR(__xludf.DUMMYFUNCTION("""COMPUTED_VALUE"""),FALSE)</f>
        <v>0</v>
      </c>
      <c r="Q4791" s="20" t="str">
        <f>IFERROR(__xludf.DUMMYFUNCTION("""COMPUTED_VALUE"""),"")</f>
        <v/>
      </c>
      <c r="R4791" s="21" t="str">
        <f>IFERROR(__xludf.DUMMYFUNCTION("""COMPUTED_VALUE"""),"https://drive.google.com/file/d/1Tzn2GIp7CHYDfoSfT3kVFh-q-ym2NqIA/view?usp=drivesdk")</f>
        <v>https://drive.google.com/file/d/1Tzn2GIp7CHYDfoSfT3kVFh-q-ym2NqIA/view?usp=drivesdk</v>
      </c>
    </row>
    <row r="4792">
      <c r="A4792" s="15">
        <f>IFERROR(__xludf.DUMMYFUNCTION("""COMPUTED_VALUE"""),45140.0)</f>
        <v>45140</v>
      </c>
      <c r="B4792" s="16" t="str">
        <f>IFERROR(__xludf.DUMMYFUNCTION("""COMPUTED_VALUE"""),"Jeison Rubiano")</f>
        <v>Jeison Rubiano</v>
      </c>
      <c r="C4792" s="15" t="str">
        <f>IFERROR(__xludf.DUMMYFUNCTION("""COMPUTED_VALUE"""),"BOGOTÁ")</f>
        <v>BOGOTÁ</v>
      </c>
      <c r="D4792" s="15" t="str">
        <f>IFERROR(__xludf.DUMMYFUNCTION("""COMPUTED_VALUE"""),"MEDELLÍN")</f>
        <v>MEDELLÍN</v>
      </c>
      <c r="E4792" s="15" t="str">
        <f>IFERROR(__xludf.DUMMYFUNCTION("""COMPUTED_VALUE"""),"Goyo Todo por ellos")</f>
        <v>Goyo Todo por ellos</v>
      </c>
      <c r="F4792" s="17" t="str">
        <f>IFERROR(__xludf.DUMMYFUNCTION("""COMPUTED_VALUE"""),"Carrera 78c #41A 05sur / Tonoli III Interior 4 apto 503 / Timiza")</f>
        <v>Carrera 78c #41A 05sur / Tonoli III Interior 4 apto 503 / Timiza</v>
      </c>
      <c r="G4792" s="15" t="str">
        <f>IFERROR(__xludf.DUMMYFUNCTION("""COMPUTED_VALUE"""),"Daniela Maldonado")</f>
        <v>Daniela Maldonado</v>
      </c>
      <c r="H4792" s="16">
        <f>IFERROR(__xludf.DUMMYFUNCTION("""COMPUTED_VALUE"""),13478.0)</f>
        <v>13478</v>
      </c>
      <c r="I4792" s="18">
        <f>IFERROR(__xludf.DUMMYFUNCTION("""COMPUTED_VALUE"""),10.0)</f>
        <v>10</v>
      </c>
      <c r="J4792" s="18">
        <f>IFERROR(__xludf.DUMMYFUNCTION("""COMPUTED_VALUE"""),30.0)</f>
        <v>30</v>
      </c>
      <c r="K4792" s="18">
        <f>IFERROR(__xludf.DUMMYFUNCTION("""COMPUTED_VALUE"""),30.0)</f>
        <v>30</v>
      </c>
      <c r="L4792" s="17">
        <f>IFERROR(__xludf.DUMMYFUNCTION("""COMPUTED_VALUE"""),3.202556113E9)</f>
        <v>3202556113</v>
      </c>
      <c r="M4792" s="17" t="str">
        <f>IFERROR(__xludf.DUMMYFUNCTION("""COMPUTED_VALUE"""),"#REF!")</f>
        <v>#REF!</v>
      </c>
      <c r="N4792" s="17"/>
      <c r="O4792" s="17"/>
      <c r="P4792" s="17" t="b">
        <f>IFERROR(__xludf.DUMMYFUNCTION("""COMPUTED_VALUE"""),FALSE)</f>
        <v>0</v>
      </c>
      <c r="Q4792" s="20" t="str">
        <f>IFERROR(__xludf.DUMMYFUNCTION("""COMPUTED_VALUE"""),"")</f>
        <v/>
      </c>
      <c r="R4792" s="21" t="str">
        <f>IFERROR(__xludf.DUMMYFUNCTION("""COMPUTED_VALUE"""),"https://drive.google.com/file/d/1usZlGgReFj817ZdXqfVehtZUFLV5_HR7/view?usp=drivesdk")</f>
        <v>https://drive.google.com/file/d/1usZlGgReFj817ZdXqfVehtZUFLV5_HR7/view?usp=drivesdk</v>
      </c>
    </row>
    <row r="4793">
      <c r="A4793" s="15">
        <f>IFERROR(__xludf.DUMMYFUNCTION("""COMPUTED_VALUE"""),45140.0)</f>
        <v>45140</v>
      </c>
      <c r="B4793" s="16" t="str">
        <f>IFERROR(__xludf.DUMMYFUNCTION("""COMPUTED_VALUE"""),"Jeison Rubiano")</f>
        <v>Jeison Rubiano</v>
      </c>
      <c r="C4793" s="15" t="str">
        <f>IFERROR(__xludf.DUMMYFUNCTION("""COMPUTED_VALUE"""),"BOGOTÁ")</f>
        <v>BOGOTÁ</v>
      </c>
      <c r="D4793" s="15" t="str">
        <f>IFERROR(__xludf.DUMMYFUNCTION("""COMPUTED_VALUE"""),"MEDELLÍN")</f>
        <v>MEDELLÍN</v>
      </c>
      <c r="E4793" s="15" t="str">
        <f>IFERROR(__xludf.DUMMYFUNCTION("""COMPUTED_VALUE"""),"Lácteos El Pino SAS")</f>
        <v>Lácteos El Pino SAS</v>
      </c>
      <c r="F4793" s="17" t="str">
        <f>IFERROR(__xludf.DUMMYFUNCTION("""COMPUTED_VALUE"""),"CALLE 93 # 18 - 81 / ENTREGAR EN EL LOCAL")</f>
        <v>CALLE 93 # 18 - 81 / ENTREGAR EN EL LOCAL</v>
      </c>
      <c r="G4793" s="15" t="str">
        <f>IFERROR(__xludf.DUMMYFUNCTION("""COMPUTED_VALUE"""),"KIM")</f>
        <v>KIM</v>
      </c>
      <c r="H4793" s="16">
        <f>IFERROR(__xludf.DUMMYFUNCTION("""COMPUTED_VALUE"""),13480.0)</f>
        <v>13480</v>
      </c>
      <c r="I4793" s="18">
        <f>IFERROR(__xludf.DUMMYFUNCTION("""COMPUTED_VALUE"""),33.0)</f>
        <v>33</v>
      </c>
      <c r="J4793" s="18">
        <f>IFERROR(__xludf.DUMMYFUNCTION("""COMPUTED_VALUE"""),22.0)</f>
        <v>22</v>
      </c>
      <c r="K4793" s="18">
        <f>IFERROR(__xludf.DUMMYFUNCTION("""COMPUTED_VALUE"""),36.0)</f>
        <v>36</v>
      </c>
      <c r="L4793" s="17">
        <f>IFERROR(__xludf.DUMMYFUNCTION("""COMPUTED_VALUE"""),3.24566062E9)</f>
        <v>3245660620</v>
      </c>
      <c r="M4793" s="17" t="str">
        <f>IFERROR(__xludf.DUMMYFUNCTION("""COMPUTED_VALUE"""),"#REF!")</f>
        <v>#REF!</v>
      </c>
      <c r="N4793" s="17"/>
      <c r="O4793" s="17"/>
      <c r="P4793" s="17" t="b">
        <f>IFERROR(__xludf.DUMMYFUNCTION("""COMPUTED_VALUE"""),FALSE)</f>
        <v>0</v>
      </c>
      <c r="Q4793" s="20" t="str">
        <f>IFERROR(__xludf.DUMMYFUNCTION("""COMPUTED_VALUE"""),"")</f>
        <v/>
      </c>
      <c r="R4793" s="21" t="str">
        <f>IFERROR(__xludf.DUMMYFUNCTION("""COMPUTED_VALUE"""),"https://drive.google.com/file/d/1ixORQgYgQeA0Fk2rR6HAmmHaJ62QZb4w/view?usp=drivesdk")</f>
        <v>https://drive.google.com/file/d/1ixORQgYgQeA0Fk2rR6HAmmHaJ62QZb4w/view?usp=drivesdk</v>
      </c>
    </row>
    <row r="4794">
      <c r="A4794" s="15">
        <f>IFERROR(__xludf.DUMMYFUNCTION("""COMPUTED_VALUE"""),45140.0)</f>
        <v>45140</v>
      </c>
      <c r="B4794" s="16" t="str">
        <f>IFERROR(__xludf.DUMMYFUNCTION("""COMPUTED_VALUE"""),"Jeison Rubiano")</f>
        <v>Jeison Rubiano</v>
      </c>
      <c r="C4794" s="15" t="str">
        <f>IFERROR(__xludf.DUMMYFUNCTION("""COMPUTED_VALUE"""),"BOGOTÁ")</f>
        <v>BOGOTÁ</v>
      </c>
      <c r="D4794" s="15" t="str">
        <f>IFERROR(__xludf.DUMMYFUNCTION("""COMPUTED_VALUE"""),"MEDELLÍN")</f>
        <v>MEDELLÍN</v>
      </c>
      <c r="E4794" s="15" t="str">
        <f>IFERROR(__xludf.DUMMYFUNCTION("""COMPUTED_VALUE"""),"Lácteos El Pino SAS")</f>
        <v>Lácteos El Pino SAS</v>
      </c>
      <c r="F4794" s="17" t="str">
        <f>IFERROR(__xludf.DUMMYFUNCTION("""COMPUTED_VALUE"""),"CRA 13 # 118 - 15 / LOCAL CASA GRIS- PRIMER PISO")</f>
        <v>CRA 13 # 118 - 15 / LOCAL CASA GRIS- PRIMER PISO</v>
      </c>
      <c r="G4794" s="15" t="str">
        <f>IFERROR(__xludf.DUMMYFUNCTION("""COMPUTED_VALUE"""),"MARCELA POSADA")</f>
        <v>MARCELA POSADA</v>
      </c>
      <c r="H4794" s="16">
        <f>IFERROR(__xludf.DUMMYFUNCTION("""COMPUTED_VALUE"""),13479.0)</f>
        <v>13479</v>
      </c>
      <c r="I4794" s="18">
        <f>IFERROR(__xludf.DUMMYFUNCTION("""COMPUTED_VALUE"""),33.0)</f>
        <v>33</v>
      </c>
      <c r="J4794" s="18">
        <f>IFERROR(__xludf.DUMMYFUNCTION("""COMPUTED_VALUE"""),22.0)</f>
        <v>22</v>
      </c>
      <c r="K4794" s="18">
        <f>IFERROR(__xludf.DUMMYFUNCTION("""COMPUTED_VALUE"""),36.0)</f>
        <v>36</v>
      </c>
      <c r="L4794" s="17">
        <f>IFERROR(__xludf.DUMMYFUNCTION("""COMPUTED_VALUE"""),3.207349904E9)</f>
        <v>3207349904</v>
      </c>
      <c r="M4794" s="17" t="str">
        <f>IFERROR(__xludf.DUMMYFUNCTION("""COMPUTED_VALUE"""),"#REF!")</f>
        <v>#REF!</v>
      </c>
      <c r="N4794" s="17"/>
      <c r="O4794" s="17"/>
      <c r="P4794" s="17" t="b">
        <f>IFERROR(__xludf.DUMMYFUNCTION("""COMPUTED_VALUE"""),FALSE)</f>
        <v>0</v>
      </c>
      <c r="Q4794" s="20" t="str">
        <f>IFERROR(__xludf.DUMMYFUNCTION("""COMPUTED_VALUE"""),"")</f>
        <v/>
      </c>
      <c r="R4794" s="21" t="str">
        <f>IFERROR(__xludf.DUMMYFUNCTION("""COMPUTED_VALUE"""),"https://drive.google.com/file/d/1Yo-za3m230JuVXM8OPNQGA6-kcU0dwbE/view?usp=drivesdk")</f>
        <v>https://drive.google.com/file/d/1Yo-za3m230JuVXM8OPNQGA6-kcU0dwbE/view?usp=drivesdk</v>
      </c>
    </row>
    <row r="4795">
      <c r="A4795" s="15">
        <f>IFERROR(__xludf.DUMMYFUNCTION("""COMPUTED_VALUE"""),45140.0)</f>
        <v>45140</v>
      </c>
      <c r="B4795" s="16" t="str">
        <f>IFERROR(__xludf.DUMMYFUNCTION("""COMPUTED_VALUE"""),"Jeison Rubiano")</f>
        <v>Jeison Rubiano</v>
      </c>
      <c r="C4795" s="15" t="str">
        <f>IFERROR(__xludf.DUMMYFUNCTION("""COMPUTED_VALUE"""),"BOGOTÁ")</f>
        <v>BOGOTÁ</v>
      </c>
      <c r="D4795" s="15" t="str">
        <f>IFERROR(__xludf.DUMMYFUNCTION("""COMPUTED_VALUE"""),"MEDELLÍN")</f>
        <v>MEDELLÍN</v>
      </c>
      <c r="E4795" s="15" t="str">
        <f>IFERROR(__xludf.DUMMYFUNCTION("""COMPUTED_VALUE"""),"Moloso S.A.S")</f>
        <v>Moloso S.A.S</v>
      </c>
      <c r="F4795" s="17" t="str">
        <f>IFERROR(__xludf.DUMMYFUNCTION("""COMPUTED_VALUE"""),"CL 155 9 50 / AP 820")</f>
        <v>CL 155 9 50 / AP 820</v>
      </c>
      <c r="G4795" s="15" t="str">
        <f>IFERROR(__xludf.DUMMYFUNCTION("""COMPUTED_VALUE"""),"ALEJANDRA MARIA QUIÑONES")</f>
        <v>ALEJANDRA MARIA QUIÑONES</v>
      </c>
      <c r="H4795" s="16">
        <f>IFERROR(__xludf.DUMMYFUNCTION("""COMPUTED_VALUE"""),13504.0)</f>
        <v>13504</v>
      </c>
      <c r="I4795" s="18">
        <f>IFERROR(__xludf.DUMMYFUNCTION("""COMPUTED_VALUE"""),17.0)</f>
        <v>17</v>
      </c>
      <c r="J4795" s="18">
        <f>IFERROR(__xludf.DUMMYFUNCTION("""COMPUTED_VALUE"""),15.0)</f>
        <v>15</v>
      </c>
      <c r="K4795" s="18">
        <f>IFERROR(__xludf.DUMMYFUNCTION("""COMPUTED_VALUE"""),28.0)</f>
        <v>28</v>
      </c>
      <c r="L4795" s="17" t="str">
        <f>IFERROR(__xludf.DUMMYFUNCTION("""COMPUTED_VALUE"""),"317 6391522")</f>
        <v>317 6391522</v>
      </c>
      <c r="M4795" s="17" t="str">
        <f>IFERROR(__xludf.DUMMYFUNCTION("""COMPUTED_VALUE"""),"#REF!")</f>
        <v>#REF!</v>
      </c>
      <c r="N4795" s="17"/>
      <c r="O4795" s="17"/>
      <c r="P4795" s="17" t="b">
        <f>IFERROR(__xludf.DUMMYFUNCTION("""COMPUTED_VALUE"""),FALSE)</f>
        <v>0</v>
      </c>
      <c r="Q4795" s="20" t="str">
        <f>IFERROR(__xludf.DUMMYFUNCTION("""COMPUTED_VALUE"""),"")</f>
        <v/>
      </c>
      <c r="R4795" s="21" t="str">
        <f>IFERROR(__xludf.DUMMYFUNCTION("""COMPUTED_VALUE"""),"https://drive.google.com/file/d/1KWuHywWbvyJBzC1VgyZyck7FZnZzR-uK/view?usp=drivesdk")</f>
        <v>https://drive.google.com/file/d/1KWuHywWbvyJBzC1VgyZyck7FZnZzR-uK/view?usp=drivesdk</v>
      </c>
    </row>
    <row r="4796">
      <c r="A4796" s="15">
        <f>IFERROR(__xludf.DUMMYFUNCTION("""COMPUTED_VALUE"""),45140.0)</f>
        <v>45140</v>
      </c>
      <c r="B4796" s="16" t="str">
        <f>IFERROR(__xludf.DUMMYFUNCTION("""COMPUTED_VALUE"""),"Jeison Rubiano")</f>
        <v>Jeison Rubiano</v>
      </c>
      <c r="C4796" s="15" t="str">
        <f>IFERROR(__xludf.DUMMYFUNCTION("""COMPUTED_VALUE"""),"BOGOTÁ")</f>
        <v>BOGOTÁ</v>
      </c>
      <c r="D4796" s="15" t="str">
        <f>IFERROR(__xludf.DUMMYFUNCTION("""COMPUTED_VALUE"""),"MEDELLÍN")</f>
        <v>MEDELLÍN</v>
      </c>
      <c r="E4796" s="15" t="str">
        <f>IFERROR(__xludf.DUMMYFUNCTION("""COMPUTED_VALUE"""),"Moloso S.A.S")</f>
        <v>Moloso S.A.S</v>
      </c>
      <c r="F4796" s="17" t="str">
        <f>IFERROR(__xludf.DUMMYFUNCTION("""COMPUTED_VALUE"""),"CR 78AN 58M 88 SUR / CJ PARQUES DE VILLA ANITA")</f>
        <v>CR 78AN 58M 88 SUR / CJ PARQUES DE VILLA ANITA</v>
      </c>
      <c r="G4796" s="15" t="str">
        <f>IFERROR(__xludf.DUMMYFUNCTION("""COMPUTED_VALUE"""),"VANESSA BELTRAN BUITRAGO")</f>
        <v>VANESSA BELTRAN BUITRAGO</v>
      </c>
      <c r="H4796" s="16">
        <f>IFERROR(__xludf.DUMMYFUNCTION("""COMPUTED_VALUE"""),13506.0)</f>
        <v>13506</v>
      </c>
      <c r="I4796" s="18">
        <f>IFERROR(__xludf.DUMMYFUNCTION("""COMPUTED_VALUE"""),17.0)</f>
        <v>17</v>
      </c>
      <c r="J4796" s="18">
        <f>IFERROR(__xludf.DUMMYFUNCTION("""COMPUTED_VALUE"""),15.0)</f>
        <v>15</v>
      </c>
      <c r="K4796" s="18">
        <f>IFERROR(__xludf.DUMMYFUNCTION("""COMPUTED_VALUE"""),28.0)</f>
        <v>28</v>
      </c>
      <c r="L4796" s="17" t="str">
        <f>IFERROR(__xludf.DUMMYFUNCTION("""COMPUTED_VALUE"""),"319 5025532")</f>
        <v>319 5025532</v>
      </c>
      <c r="M4796" s="17" t="str">
        <f>IFERROR(__xludf.DUMMYFUNCTION("""COMPUTED_VALUE"""),"#REF!")</f>
        <v>#REF!</v>
      </c>
      <c r="N4796" s="17"/>
      <c r="O4796" s="17"/>
      <c r="P4796" s="17" t="b">
        <f>IFERROR(__xludf.DUMMYFUNCTION("""COMPUTED_VALUE"""),FALSE)</f>
        <v>0</v>
      </c>
      <c r="Q4796" s="20" t="str">
        <f>IFERROR(__xludf.DUMMYFUNCTION("""COMPUTED_VALUE"""),"")</f>
        <v/>
      </c>
      <c r="R4796" s="21" t="str">
        <f>IFERROR(__xludf.DUMMYFUNCTION("""COMPUTED_VALUE"""),"https://drive.google.com/file/d/1AKXA9oVk7QeIfYiZKXULpJ7BYWBRYgHu/view?usp=drivesdk")</f>
        <v>https://drive.google.com/file/d/1AKXA9oVk7QeIfYiZKXULpJ7BYWBRYgHu/view?usp=drivesdk</v>
      </c>
    </row>
    <row r="4797">
      <c r="A4797" s="15">
        <f>IFERROR(__xludf.DUMMYFUNCTION("""COMPUTED_VALUE"""),45140.0)</f>
        <v>45140</v>
      </c>
      <c r="B4797" s="16" t="str">
        <f>IFERROR(__xludf.DUMMYFUNCTION("""COMPUTED_VALUE"""),"Jeison Rubiano")</f>
        <v>Jeison Rubiano</v>
      </c>
      <c r="C4797" s="15" t="str">
        <f>IFERROR(__xludf.DUMMYFUNCTION("""COMPUTED_VALUE"""),"BOGOTÁ")</f>
        <v>BOGOTÁ</v>
      </c>
      <c r="D4797" s="15" t="str">
        <f>IFERROR(__xludf.DUMMYFUNCTION("""COMPUTED_VALUE"""),"MEDELLÍN")</f>
        <v>MEDELLÍN</v>
      </c>
      <c r="E4797" s="15" t="str">
        <f>IFERROR(__xludf.DUMMYFUNCTION("""COMPUTED_VALUE"""),"Moloso S.A.S")</f>
        <v>Moloso S.A.S</v>
      </c>
      <c r="F4797" s="17" t="str">
        <f>IFERROR(__xludf.DUMMYFUNCTION("""COMPUTED_VALUE"""),"CRA 18C 112 76 / APTO. 402")</f>
        <v>CRA 18C 112 76 / APTO. 402</v>
      </c>
      <c r="G4797" s="15" t="str">
        <f>IFERROR(__xludf.DUMMYFUNCTION("""COMPUTED_VALUE"""),"MARIA OCHOA MARTELO")</f>
        <v>MARIA OCHOA MARTELO</v>
      </c>
      <c r="H4797" s="16">
        <f>IFERROR(__xludf.DUMMYFUNCTION("""COMPUTED_VALUE"""),13502.0)</f>
        <v>13502</v>
      </c>
      <c r="I4797" s="18">
        <f>IFERROR(__xludf.DUMMYFUNCTION("""COMPUTED_VALUE"""),17.0)</f>
        <v>17</v>
      </c>
      <c r="J4797" s="18">
        <f>IFERROR(__xludf.DUMMYFUNCTION("""COMPUTED_VALUE"""),15.0)</f>
        <v>15</v>
      </c>
      <c r="K4797" s="18">
        <f>IFERROR(__xludf.DUMMYFUNCTION("""COMPUTED_VALUE"""),28.0)</f>
        <v>28</v>
      </c>
      <c r="L4797" s="17" t="str">
        <f>IFERROR(__xludf.DUMMYFUNCTION("""COMPUTED_VALUE"""),"301 7890418")</f>
        <v>301 7890418</v>
      </c>
      <c r="M4797" s="17" t="str">
        <f>IFERROR(__xludf.DUMMYFUNCTION("""COMPUTED_VALUE"""),"#REF!")</f>
        <v>#REF!</v>
      </c>
      <c r="N4797" s="17"/>
      <c r="O4797" s="17"/>
      <c r="P4797" s="17" t="b">
        <f>IFERROR(__xludf.DUMMYFUNCTION("""COMPUTED_VALUE"""),FALSE)</f>
        <v>0</v>
      </c>
      <c r="Q4797" s="20" t="str">
        <f>IFERROR(__xludf.DUMMYFUNCTION("""COMPUTED_VALUE"""),"")</f>
        <v/>
      </c>
      <c r="R4797" s="21" t="str">
        <f>IFERROR(__xludf.DUMMYFUNCTION("""COMPUTED_VALUE"""),"https://drive.google.com/file/d/1gi_wsSVS4Bg1rmeJRGTmm5K0YcCChFml/view?usp=drivesdk")</f>
        <v>https://drive.google.com/file/d/1gi_wsSVS4Bg1rmeJRGTmm5K0YcCChFml/view?usp=drivesdk</v>
      </c>
    </row>
    <row r="4798">
      <c r="A4798" s="15">
        <f>IFERROR(__xludf.DUMMYFUNCTION("""COMPUTED_VALUE"""),45140.0)</f>
        <v>45140</v>
      </c>
      <c r="B4798" s="16" t="str">
        <f>IFERROR(__xludf.DUMMYFUNCTION("""COMPUTED_VALUE"""),"Jeison Rubiano")</f>
        <v>Jeison Rubiano</v>
      </c>
      <c r="C4798" s="15" t="str">
        <f>IFERROR(__xludf.DUMMYFUNCTION("""COMPUTED_VALUE"""),"MONTERIA")</f>
        <v>MONTERIA</v>
      </c>
      <c r="D4798" s="15" t="str">
        <f>IFERROR(__xludf.DUMMYFUNCTION("""COMPUTED_VALUE"""),"BOGOTÁ")</f>
        <v>BOGOTÁ</v>
      </c>
      <c r="E4798" s="15" t="str">
        <f>IFERROR(__xludf.DUMMYFUNCTION("""COMPUTED_VALUE"""),"Evamazzita")</f>
        <v>Evamazzita</v>
      </c>
      <c r="F4798" s="17" t="str">
        <f>IFERROR(__xludf.DUMMYFUNCTION("""COMPUTED_VALUE"""),"Carrera 14A#54-23 / N/A / Barrio Monteverde")</f>
        <v>Carrera 14A#54-23 / N/A / Barrio Monteverde</v>
      </c>
      <c r="G4798" s="15" t="str">
        <f>IFERROR(__xludf.DUMMYFUNCTION("""COMPUTED_VALUE"""),"EMILIA MIRANDA")</f>
        <v>EMILIA MIRANDA</v>
      </c>
      <c r="H4798" s="16">
        <f>IFERROR(__xludf.DUMMYFUNCTION("""COMPUTED_VALUE"""),13429.0)</f>
        <v>13429</v>
      </c>
      <c r="I4798" s="18">
        <f>IFERROR(__xludf.DUMMYFUNCTION("""COMPUTED_VALUE"""),20.0)</f>
        <v>20</v>
      </c>
      <c r="J4798" s="18">
        <f>IFERROR(__xludf.DUMMYFUNCTION("""COMPUTED_VALUE"""),33.0)</f>
        <v>33</v>
      </c>
      <c r="K4798" s="18">
        <f>IFERROR(__xludf.DUMMYFUNCTION("""COMPUTED_VALUE"""),38.0)</f>
        <v>38</v>
      </c>
      <c r="L4798" s="17">
        <f>IFERROR(__xludf.DUMMYFUNCTION("""COMPUTED_VALUE"""),3.113438505E9)</f>
        <v>3113438505</v>
      </c>
      <c r="M4798" s="17" t="str">
        <f>IFERROR(__xludf.DUMMYFUNCTION("""COMPUTED_VALUE"""),"#REF!")</f>
        <v>#REF!</v>
      </c>
      <c r="N4798" s="17"/>
      <c r="O4798" s="17"/>
      <c r="P4798" s="17" t="b">
        <f>IFERROR(__xludf.DUMMYFUNCTION("""COMPUTED_VALUE"""),FALSE)</f>
        <v>0</v>
      </c>
      <c r="Q4798" s="20" t="str">
        <f>IFERROR(__xludf.DUMMYFUNCTION("""COMPUTED_VALUE"""),"")</f>
        <v/>
      </c>
      <c r="R4798" s="21" t="str">
        <f>IFERROR(__xludf.DUMMYFUNCTION("""COMPUTED_VALUE"""),"https://drive.google.com/file/d/1VHQmqCErVpxRKRRtLetB_XPLre5Xerbf/view?usp=drivesdk")</f>
        <v>https://drive.google.com/file/d/1VHQmqCErVpxRKRRtLetB_XPLre5Xerbf/view?usp=drivesdk</v>
      </c>
    </row>
    <row r="4799">
      <c r="A4799" s="15">
        <f>IFERROR(__xludf.DUMMYFUNCTION("""COMPUTED_VALUE"""),45140.0)</f>
        <v>45140</v>
      </c>
      <c r="B4799" s="16" t="str">
        <f>IFERROR(__xludf.DUMMYFUNCTION("""COMPUTED_VALUE"""),"Jeison Rubiano")</f>
        <v>Jeison Rubiano</v>
      </c>
      <c r="C4799" s="15" t="str">
        <f>IFERROR(__xludf.DUMMYFUNCTION("""COMPUTED_VALUE"""),"MONTERIA")</f>
        <v>MONTERIA</v>
      </c>
      <c r="D4799" s="15" t="str">
        <f>IFERROR(__xludf.DUMMYFUNCTION("""COMPUTED_VALUE"""),"MEDELLÍN")</f>
        <v>MEDELLÍN</v>
      </c>
      <c r="E4799" s="15" t="str">
        <f>IFERROR(__xludf.DUMMYFUNCTION("""COMPUTED_VALUE"""),"Moloso S.A.S")</f>
        <v>Moloso S.A.S</v>
      </c>
      <c r="F4799" s="17" t="str">
        <f>IFERROR(__xludf.DUMMYFUNCTION("""COMPUTED_VALUE"""),"CALLE 68  5-51 / BO D AP 301")</f>
        <v>CALLE 68  5-51 / BO D AP 301</v>
      </c>
      <c r="G4799" s="15" t="str">
        <f>IFERROR(__xludf.DUMMYFUNCTION("""COMPUTED_VALUE"""),"MARIA BEATRIZ PUCHE")</f>
        <v>MARIA BEATRIZ PUCHE</v>
      </c>
      <c r="H4799" s="16">
        <f>IFERROR(__xludf.DUMMYFUNCTION("""COMPUTED_VALUE"""),13505.0)</f>
        <v>13505</v>
      </c>
      <c r="I4799" s="18">
        <f>IFERROR(__xludf.DUMMYFUNCTION("""COMPUTED_VALUE"""),17.0)</f>
        <v>17</v>
      </c>
      <c r="J4799" s="18">
        <f>IFERROR(__xludf.DUMMYFUNCTION("""COMPUTED_VALUE"""),15.0)</f>
        <v>15</v>
      </c>
      <c r="K4799" s="18">
        <f>IFERROR(__xludf.DUMMYFUNCTION("""COMPUTED_VALUE"""),28.0)</f>
        <v>28</v>
      </c>
      <c r="L4799" s="17">
        <f>IFERROR(__xludf.DUMMYFUNCTION("""COMPUTED_VALUE"""),3.103549972E9)</f>
        <v>3103549972</v>
      </c>
      <c r="M4799" s="17" t="str">
        <f>IFERROR(__xludf.DUMMYFUNCTION("""COMPUTED_VALUE"""),"#REF!")</f>
        <v>#REF!</v>
      </c>
      <c r="N4799" s="17"/>
      <c r="O4799" s="17"/>
      <c r="P4799" s="17" t="b">
        <f>IFERROR(__xludf.DUMMYFUNCTION("""COMPUTED_VALUE"""),TRUE)</f>
        <v>1</v>
      </c>
      <c r="Q4799" s="20">
        <f>IFERROR(__xludf.DUMMYFUNCTION("""COMPUTED_VALUE"""),45141.593156689814)</f>
        <v>45141.59316</v>
      </c>
      <c r="R4799" s="21" t="str">
        <f>IFERROR(__xludf.DUMMYFUNCTION("""COMPUTED_VALUE"""),"https://drive.google.com/file/d/1tRce_morMMbOx3bsS-i1JqtulB7xbKFs/view?usp=drivesdk")</f>
        <v>https://drive.google.com/file/d/1tRce_morMMbOx3bsS-i1JqtulB7xbKFs/view?usp=drivesdk</v>
      </c>
    </row>
    <row r="4800">
      <c r="A4800" s="17" t="str">
        <f>IFERROR(__xludf.DUMMYFUNCTION("""COMPUTED_VALUE"""),"")</f>
        <v/>
      </c>
      <c r="B4800" s="17" t="str">
        <f>IFERROR(__xludf.DUMMYFUNCTION("""COMPUTED_VALUE"""),"")</f>
        <v/>
      </c>
      <c r="C4800" s="17" t="str">
        <f>IFERROR(__xludf.DUMMYFUNCTION("""COMPUTED_VALUE"""),"")</f>
        <v/>
      </c>
      <c r="D4800" s="17" t="str">
        <f>IFERROR(__xludf.DUMMYFUNCTION("""COMPUTED_VALUE"""),"")</f>
        <v/>
      </c>
      <c r="E4800" s="17" t="str">
        <f>IFERROR(__xludf.DUMMYFUNCTION("""COMPUTED_VALUE"""),"")</f>
        <v/>
      </c>
      <c r="F4800" s="17" t="str">
        <f>IFERROR(__xludf.DUMMYFUNCTION("""COMPUTED_VALUE"""),"")</f>
        <v/>
      </c>
      <c r="G4800" s="17" t="str">
        <f>IFERROR(__xludf.DUMMYFUNCTION("""COMPUTED_VALUE"""),"")</f>
        <v/>
      </c>
      <c r="H4800" s="17" t="str">
        <f>IFERROR(__xludf.DUMMYFUNCTION("""COMPUTED_VALUE"""),"")</f>
        <v/>
      </c>
      <c r="I4800" s="17" t="str">
        <f>IFERROR(__xludf.DUMMYFUNCTION("""COMPUTED_VALUE"""),"")</f>
        <v/>
      </c>
      <c r="J4800" s="17" t="str">
        <f>IFERROR(__xludf.DUMMYFUNCTION("""COMPUTED_VALUE"""),"")</f>
        <v/>
      </c>
      <c r="K4800" s="17" t="str">
        <f>IFERROR(__xludf.DUMMYFUNCTION("""COMPUTED_VALUE"""),"")</f>
        <v/>
      </c>
      <c r="L4800" s="17" t="str">
        <f>IFERROR(__xludf.DUMMYFUNCTION("""COMPUTED_VALUE"""),"")</f>
        <v/>
      </c>
      <c r="M4800" s="17" t="str">
        <f>IFERROR(__xludf.DUMMYFUNCTION("""COMPUTED_VALUE"""),"")</f>
        <v/>
      </c>
      <c r="N4800" s="17" t="str">
        <f>IFERROR(__xludf.DUMMYFUNCTION("""COMPUTED_VALUE"""),"")</f>
        <v/>
      </c>
      <c r="O4800" s="17" t="str">
        <f>IFERROR(__xludf.DUMMYFUNCTION("""COMPUTED_VALUE"""),"")</f>
        <v/>
      </c>
      <c r="P4800" s="17" t="str">
        <f>IFERROR(__xludf.DUMMYFUNCTION("""COMPUTED_VALUE"""),"")</f>
        <v/>
      </c>
      <c r="Q4800" s="17" t="str">
        <f>IFERROR(__xludf.DUMMYFUNCTION("""COMPUTED_VALUE"""),"")</f>
        <v/>
      </c>
      <c r="R4800" s="17" t="str">
        <f>IFERROR(__xludf.DUMMYFUNCTION("""COMPUTED_VALUE"""),"")</f>
        <v/>
      </c>
    </row>
    <row r="4801">
      <c r="A4801" s="15">
        <f>IFERROR(__xludf.DUMMYFUNCTION("""COMPUTED_VALUE"""),45140.0)</f>
        <v>45140</v>
      </c>
      <c r="B4801" s="16" t="str">
        <f>IFERROR(__xludf.DUMMYFUNCTION("""COMPUTED_VALUE"""),"Johan Alexander Escobar Arroyo ")</f>
        <v>Johan Alexander Escobar Arroyo </v>
      </c>
      <c r="C4801" s="15" t="str">
        <f>IFERROR(__xludf.DUMMYFUNCTION("""COMPUTED_VALUE"""),"CAJICÁ")</f>
        <v>CAJICÁ</v>
      </c>
      <c r="D4801" s="15" t="str">
        <f>IFERROR(__xludf.DUMMYFUNCTION("""COMPUTED_VALUE"""),"BUCARAMANGA")</f>
        <v>BUCARAMANGA</v>
      </c>
      <c r="E4801" s="15" t="str">
        <f>IFERROR(__xludf.DUMMYFUNCTION("""COMPUTED_VALUE"""),"Yo Como Solito")</f>
        <v>Yo Como Solito</v>
      </c>
      <c r="F4801" s="17" t="str">
        <f>IFERROR(__xludf.DUMMYFUNCTION("""COMPUTED_VALUE"""),"KR 11 A ESTE 8 A 36 TORRE 1 APARTAMENTO 505, Conjunto Viantt. Barrio Granjitas. Cajicá, Cundinamarca. / KR 11 A ESTE 8 A 36 TORRE 1 APARTAMENTO 505, Conjunto Viantt. Barrio Granjitas. Cajicá, Cundinamarca. / KR 11 A ESTE 8 A 36 TORRE 1 APARTAMENTO 505, Co"&amp;"njunto Viantt. Barrio Granjitas. Cajicá, Cundinamarca.")</f>
        <v>KR 11 A ESTE 8 A 36 TORRE 1 APARTAMENTO 505, Conjunto Viantt. Barrio Granjitas. Cajicá, Cundinamarca. / KR 11 A ESTE 8 A 36 TORRE 1 APARTAMENTO 505, Conjunto Viantt. Barrio Granjitas. Cajicá, Cundinamarca. / KR 11 A ESTE 8 A 36 TORRE 1 APARTAMENTO 505, Conjunto Viantt. Barrio Granjitas. Cajicá, Cundinamarca.</v>
      </c>
      <c r="G4801" s="15" t="str">
        <f>IFERROR(__xludf.DUMMYFUNCTION("""COMPUTED_VALUE"""),"MARITZA PRADA")</f>
        <v>MARITZA PRADA</v>
      </c>
      <c r="H4801" s="16">
        <f>IFERROR(__xludf.DUMMYFUNCTION("""COMPUTED_VALUE"""),13484.0)</f>
        <v>13484</v>
      </c>
      <c r="I4801" s="18">
        <f>IFERROR(__xludf.DUMMYFUNCTION("""COMPUTED_VALUE"""),13.0)</f>
        <v>13</v>
      </c>
      <c r="J4801" s="18">
        <f>IFERROR(__xludf.DUMMYFUNCTION("""COMPUTED_VALUE"""),23.0)</f>
        <v>23</v>
      </c>
      <c r="K4801" s="18">
        <f>IFERROR(__xludf.DUMMYFUNCTION("""COMPUTED_VALUE"""),28.0)</f>
        <v>28</v>
      </c>
      <c r="L4801" s="17">
        <f>IFERROR(__xludf.DUMMYFUNCTION("""COMPUTED_VALUE"""),3.016777657E9)</f>
        <v>3016777657</v>
      </c>
      <c r="M4801" s="17" t="str">
        <f>IFERROR(__xludf.DUMMYFUNCTION("""COMPUTED_VALUE"""),"#REF!")</f>
        <v>#REF!</v>
      </c>
      <c r="N4801" s="17"/>
      <c r="O4801" s="17"/>
      <c r="P4801" s="17" t="b">
        <f>IFERROR(__xludf.DUMMYFUNCTION("""COMPUTED_VALUE"""),FALSE)</f>
        <v>0</v>
      </c>
      <c r="Q4801" s="20" t="str">
        <f>IFERROR(__xludf.DUMMYFUNCTION("""COMPUTED_VALUE"""),"")</f>
        <v/>
      </c>
      <c r="R4801" s="21" t="str">
        <f>IFERROR(__xludf.DUMMYFUNCTION("""COMPUTED_VALUE"""),"https://drive.google.com/file/d/19GXfVAkgHGhhMieSz4Q2rqMhHzgvfSby/view?usp=drivesdk")</f>
        <v>https://drive.google.com/file/d/19GXfVAkgHGhhMieSz4Q2rqMhHzgvfSby/view?usp=drivesdk</v>
      </c>
    </row>
    <row r="4802">
      <c r="A4802" s="15">
        <f>IFERROR(__xludf.DUMMYFUNCTION("""COMPUTED_VALUE"""),45140.0)</f>
        <v>45140</v>
      </c>
      <c r="B4802" s="16" t="str">
        <f>IFERROR(__xludf.DUMMYFUNCTION("""COMPUTED_VALUE"""),"Johan Alexander Escobar Arroyo ")</f>
        <v>Johan Alexander Escobar Arroyo </v>
      </c>
      <c r="C4802" s="15" t="str">
        <f>IFERROR(__xludf.DUMMYFUNCTION("""COMPUTED_VALUE"""),"CALI")</f>
        <v>CALI</v>
      </c>
      <c r="D4802" s="15" t="str">
        <f>IFERROR(__xludf.DUMMYFUNCTION("""COMPUTED_VALUE"""),"MEDELLÍN")</f>
        <v>MEDELLÍN</v>
      </c>
      <c r="E4802" s="15" t="str">
        <f>IFERROR(__xludf.DUMMYFUNCTION("""COMPUTED_VALUE"""),"AREPAS LA MARY")</f>
        <v>AREPAS LA MARY</v>
      </c>
      <c r="F4802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4802" s="15" t="str">
        <f>IFERROR(__xludf.DUMMYFUNCTION("""COMPUTED_VALUE"""),"VITALFINESS CALI")</f>
        <v>VITALFINESS CALI</v>
      </c>
      <c r="H4802" s="16">
        <f>IFERROR(__xludf.DUMMYFUNCTION("""COMPUTED_VALUE"""),13482.0)</f>
        <v>13482</v>
      </c>
      <c r="I4802" s="18">
        <f>IFERROR(__xludf.DUMMYFUNCTION("""COMPUTED_VALUE"""),89.0)</f>
        <v>89</v>
      </c>
      <c r="J4802" s="18">
        <f>IFERROR(__xludf.DUMMYFUNCTION("""COMPUTED_VALUE"""),1.0)</f>
        <v>1</v>
      </c>
      <c r="K4802" s="18">
        <f>IFERROR(__xludf.DUMMYFUNCTION("""COMPUTED_VALUE"""),10.0)</f>
        <v>10</v>
      </c>
      <c r="L4802" s="17">
        <f>IFERROR(__xludf.DUMMYFUNCTION("""COMPUTED_VALUE"""),3.226925759E9)</f>
        <v>3226925759</v>
      </c>
      <c r="M4802" s="17" t="str">
        <f>IFERROR(__xludf.DUMMYFUNCTION("""COMPUTED_VALUE"""),"#REF!")</f>
        <v>#REF!</v>
      </c>
      <c r="N4802" s="17"/>
      <c r="O4802" s="17"/>
      <c r="P4802" s="17" t="b">
        <f>IFERROR(__xludf.DUMMYFUNCTION("""COMPUTED_VALUE"""),FALSE)</f>
        <v>0</v>
      </c>
      <c r="Q4802" s="20" t="str">
        <f>IFERROR(__xludf.DUMMYFUNCTION("""COMPUTED_VALUE"""),"")</f>
        <v/>
      </c>
      <c r="R4802" s="22" t="str">
        <f>IFERROR(__xludf.DUMMYFUNCTION("""COMPUTED_VALUE"""),"")</f>
        <v/>
      </c>
    </row>
    <row r="4803">
      <c r="A4803" s="15">
        <f>IFERROR(__xludf.DUMMYFUNCTION("""COMPUTED_VALUE"""),45140.0)</f>
        <v>45140</v>
      </c>
      <c r="B4803" s="16" t="str">
        <f>IFERROR(__xludf.DUMMYFUNCTION("""COMPUTED_VALUE"""),"Johan Alexander Escobar Arroyo ")</f>
        <v>Johan Alexander Escobar Arroyo </v>
      </c>
      <c r="C4803" s="15" t="str">
        <f>IFERROR(__xludf.DUMMYFUNCTION("""COMPUTED_VALUE"""),"CALI")</f>
        <v>CALI</v>
      </c>
      <c r="D4803" s="15" t="str">
        <f>IFERROR(__xludf.DUMMYFUNCTION("""COMPUTED_VALUE"""),"MEDELLÍN")</f>
        <v>MEDELLÍN</v>
      </c>
      <c r="E4803" s="15" t="str">
        <f>IFERROR(__xludf.DUMMYFUNCTION("""COMPUTED_VALUE"""),"Baby Chef")</f>
        <v>Baby Chef</v>
      </c>
      <c r="F4803" s="17" t="str">
        <f>IFERROR(__xludf.DUMMYFUNCTION("""COMPUTED_VALUE"""),"Carrera 83 A # 18 - 70 Casa Esquinera Barrio Ingenio III / Carrera 83 A # 18 - 70 Casa Esquinera Barrio Ingenio III / Carrera 83 A # 18 - 70 Casa Esquinera Barrio Ingenio III")</f>
        <v>Carrera 83 A # 18 - 70 Casa Esquinera Barrio Ingenio III / Carrera 83 A # 18 - 70 Casa Esquinera Barrio Ingenio III / Carrera 83 A # 18 - 70 Casa Esquinera Barrio Ingenio III</v>
      </c>
      <c r="G4803" s="15" t="str">
        <f>IFERROR(__xludf.DUMMYFUNCTION("""COMPUTED_VALUE"""),"Mayerline Montealegre Toro")</f>
        <v>Mayerline Montealegre Toro</v>
      </c>
      <c r="H4803" s="16">
        <f>IFERROR(__xludf.DUMMYFUNCTION("""COMPUTED_VALUE"""),13499.0)</f>
        <v>13499</v>
      </c>
      <c r="I4803" s="18">
        <f>IFERROR(__xludf.DUMMYFUNCTION("""COMPUTED_VALUE"""),8.0)</f>
        <v>8</v>
      </c>
      <c r="J4803" s="18">
        <f>IFERROR(__xludf.DUMMYFUNCTION("""COMPUTED_VALUE"""),37.0)</f>
        <v>37</v>
      </c>
      <c r="K4803" s="18">
        <f>IFERROR(__xludf.DUMMYFUNCTION("""COMPUTED_VALUE"""),19.0)</f>
        <v>19</v>
      </c>
      <c r="L4803" s="17">
        <f>IFERROR(__xludf.DUMMYFUNCTION("""COMPUTED_VALUE"""),3.217394082E9)</f>
        <v>3217394082</v>
      </c>
      <c r="M4803" s="17" t="str">
        <f>IFERROR(__xludf.DUMMYFUNCTION("""COMPUTED_VALUE"""),"#REF!")</f>
        <v>#REF!</v>
      </c>
      <c r="N4803" s="17"/>
      <c r="O4803" s="17"/>
      <c r="P4803" s="17" t="b">
        <f>IFERROR(__xludf.DUMMYFUNCTION("""COMPUTED_VALUE"""),FALSE)</f>
        <v>0</v>
      </c>
      <c r="Q4803" s="20" t="str">
        <f>IFERROR(__xludf.DUMMYFUNCTION("""COMPUTED_VALUE"""),"")</f>
        <v/>
      </c>
      <c r="R4803" s="21" t="str">
        <f>IFERROR(__xludf.DUMMYFUNCTION("""COMPUTED_VALUE"""),"https://drive.google.com/file/d/1-lBGsXKP_TMjrw3dGtm91Ucmth2Iky8V/view?usp=drivesdk")</f>
        <v>https://drive.google.com/file/d/1-lBGsXKP_TMjrw3dGtm91Ucmth2Iky8V/view?usp=drivesdk</v>
      </c>
    </row>
    <row r="4804">
      <c r="A4804" s="17" t="str">
        <f>IFERROR(__xludf.DUMMYFUNCTION("""COMPUTED_VALUE"""),"")</f>
        <v/>
      </c>
      <c r="B4804" s="17" t="str">
        <f>IFERROR(__xludf.DUMMYFUNCTION("""COMPUTED_VALUE"""),"")</f>
        <v/>
      </c>
      <c r="C4804" s="17" t="str">
        <f>IFERROR(__xludf.DUMMYFUNCTION("""COMPUTED_VALUE"""),"")</f>
        <v/>
      </c>
      <c r="D4804" s="17" t="str">
        <f>IFERROR(__xludf.DUMMYFUNCTION("""COMPUTED_VALUE"""),"")</f>
        <v/>
      </c>
      <c r="E4804" s="17" t="str">
        <f>IFERROR(__xludf.DUMMYFUNCTION("""COMPUTED_VALUE"""),"")</f>
        <v/>
      </c>
      <c r="F4804" s="17" t="str">
        <f>IFERROR(__xludf.DUMMYFUNCTION("""COMPUTED_VALUE"""),"")</f>
        <v/>
      </c>
      <c r="G4804" s="17" t="str">
        <f>IFERROR(__xludf.DUMMYFUNCTION("""COMPUTED_VALUE"""),"")</f>
        <v/>
      </c>
      <c r="H4804" s="17" t="str">
        <f>IFERROR(__xludf.DUMMYFUNCTION("""COMPUTED_VALUE"""),"")</f>
        <v/>
      </c>
      <c r="I4804" s="17" t="str">
        <f>IFERROR(__xludf.DUMMYFUNCTION("""COMPUTED_VALUE"""),"")</f>
        <v/>
      </c>
      <c r="J4804" s="17" t="str">
        <f>IFERROR(__xludf.DUMMYFUNCTION("""COMPUTED_VALUE"""),"")</f>
        <v/>
      </c>
      <c r="K4804" s="17" t="str">
        <f>IFERROR(__xludf.DUMMYFUNCTION("""COMPUTED_VALUE"""),"")</f>
        <v/>
      </c>
      <c r="L4804" s="17" t="str">
        <f>IFERROR(__xludf.DUMMYFUNCTION("""COMPUTED_VALUE"""),"")</f>
        <v/>
      </c>
      <c r="M4804" s="17" t="str">
        <f>IFERROR(__xludf.DUMMYFUNCTION("""COMPUTED_VALUE"""),"")</f>
        <v/>
      </c>
      <c r="N4804" s="17" t="str">
        <f>IFERROR(__xludf.DUMMYFUNCTION("""COMPUTED_VALUE"""),"")</f>
        <v/>
      </c>
      <c r="O4804" s="17" t="str">
        <f>IFERROR(__xludf.DUMMYFUNCTION("""COMPUTED_VALUE"""),"")</f>
        <v/>
      </c>
      <c r="P4804" s="17" t="str">
        <f>IFERROR(__xludf.DUMMYFUNCTION("""COMPUTED_VALUE"""),"")</f>
        <v/>
      </c>
      <c r="Q4804" s="17" t="str">
        <f>IFERROR(__xludf.DUMMYFUNCTION("""COMPUTED_VALUE"""),"")</f>
        <v/>
      </c>
      <c r="R4804" s="17" t="str">
        <f>IFERROR(__xludf.DUMMYFUNCTION("""COMPUTED_VALUE"""),"")</f>
        <v/>
      </c>
    </row>
    <row r="4805">
      <c r="A4805" s="15">
        <f>IFERROR(__xludf.DUMMYFUNCTION("""COMPUTED_VALUE"""),45141.0)</f>
        <v>45141</v>
      </c>
      <c r="B4805" s="17"/>
      <c r="C4805" s="15" t="str">
        <f>IFERROR(__xludf.DUMMYFUNCTION("""COMPUTED_VALUE"""),"FLORIDABLANCA")</f>
        <v>FLORIDABLANCA</v>
      </c>
      <c r="D4805" s="15" t="str">
        <f>IFERROR(__xludf.DUMMYFUNCTION("""COMPUTED_VALUE"""),"BOGOTÁ")</f>
        <v>BOGOTÁ</v>
      </c>
      <c r="E4805" s="15" t="str">
        <f>IFERROR(__xludf.DUMMYFUNCTION("""COMPUTED_VALUE"""),"Evamazzita")</f>
        <v>Evamazzita</v>
      </c>
      <c r="F4805" s="17" t="str">
        <f>IFERROR(__xludf.DUMMYFUNCTION("""COMPUTED_VALUE"""),"CALLE 30 A #23 95 / TORRE 2 APTO 1404 / PARQUE CENTRAL CAÑAVERAL")</f>
        <v>CALLE 30 A #23 95 / TORRE 2 APTO 1404 / PARQUE CENTRAL CAÑAVERAL</v>
      </c>
      <c r="G4805" s="15" t="str">
        <f>IFERROR(__xludf.DUMMYFUNCTION("""COMPUTED_VALUE"""),"SONIA PATRICIA SUAREZ")</f>
        <v>SONIA PATRICIA SUAREZ</v>
      </c>
      <c r="H4805" s="16">
        <f>IFERROR(__xludf.DUMMYFUNCTION("""COMPUTED_VALUE"""),13536.0)</f>
        <v>13536</v>
      </c>
      <c r="I4805" s="18">
        <f>IFERROR(__xludf.DUMMYFUNCTION("""COMPUTED_VALUE"""),1.0)</f>
        <v>1</v>
      </c>
      <c r="J4805" s="18">
        <f>IFERROR(__xludf.DUMMYFUNCTION("""COMPUTED_VALUE"""),1.0)</f>
        <v>1</v>
      </c>
      <c r="K4805" s="18">
        <f>IFERROR(__xludf.DUMMYFUNCTION("""COMPUTED_VALUE"""),1.0)</f>
        <v>1</v>
      </c>
      <c r="L4805" s="17">
        <f>IFERROR(__xludf.DUMMYFUNCTION("""COMPUTED_VALUE"""),3.005167857E9)</f>
        <v>3005167857</v>
      </c>
      <c r="M4805" s="17" t="str">
        <f>IFERROR(__xludf.DUMMYFUNCTION("""COMPUTED_VALUE"""),"#REF!")</f>
        <v>#REF!</v>
      </c>
      <c r="N4805" s="17"/>
      <c r="O4805" s="17"/>
      <c r="P4805" s="17" t="b">
        <f>IFERROR(__xludf.DUMMYFUNCTION("""COMPUTED_VALUE"""),FALSE)</f>
        <v>0</v>
      </c>
      <c r="Q4805" s="20" t="str">
        <f>IFERROR(__xludf.DUMMYFUNCTION("""COMPUTED_VALUE"""),"")</f>
        <v/>
      </c>
      <c r="R4805" s="21" t="str">
        <f>IFERROR(__xludf.DUMMYFUNCTION("""COMPUTED_VALUE"""),"https://drive.google.com/file/d/1uz0Tu7tgnqsJZer4Wj3uHfng7t6LxPcG/view?usp=drivesdk")</f>
        <v>https://drive.google.com/file/d/1uz0Tu7tgnqsJZer4Wj3uHfng7t6LxPcG/view?usp=drivesdk</v>
      </c>
    </row>
    <row r="4806">
      <c r="A4806" s="15">
        <f>IFERROR(__xludf.DUMMYFUNCTION("""COMPUTED_VALUE"""),45141.0)</f>
        <v>45141</v>
      </c>
      <c r="B4806" s="17"/>
      <c r="C4806" s="15" t="str">
        <f>IFERROR(__xludf.DUMMYFUNCTION("""COMPUTED_VALUE"""),"GIRÓN")</f>
        <v>GIRÓN</v>
      </c>
      <c r="D4806" s="15" t="str">
        <f>IFERROR(__xludf.DUMMYFUNCTION("""COMPUTED_VALUE"""),"BOGOTÁ")</f>
        <v>BOGOTÁ</v>
      </c>
      <c r="E4806" s="15" t="str">
        <f>IFERROR(__xludf.DUMMYFUNCTION("""COMPUTED_VALUE"""),"Evamazzita")</f>
        <v>Evamazzita</v>
      </c>
      <c r="F4806" s="17" t="str">
        <f>IFERROR(__xludf.DUMMYFUNCTION("""COMPUTED_VALUE"""),"CR 15 # 22 02  / TORRE 6 APTO 1023  / CR. LOS CAOBOS")</f>
        <v>CR 15 # 22 02  / TORRE 6 APTO 1023  / CR. LOS CAOBOS</v>
      </c>
      <c r="G4806" s="15" t="str">
        <f>IFERROR(__xludf.DUMMYFUNCTION("""COMPUTED_VALUE"""),"MARIA ALEJANDRA GUERRERO")</f>
        <v>MARIA ALEJANDRA GUERRERO</v>
      </c>
      <c r="H4806" s="16">
        <f>IFERROR(__xludf.DUMMYFUNCTION("""COMPUTED_VALUE"""),13534.0)</f>
        <v>13534</v>
      </c>
      <c r="I4806" s="18">
        <f>IFERROR(__xludf.DUMMYFUNCTION("""COMPUTED_VALUE"""),1.0)</f>
        <v>1</v>
      </c>
      <c r="J4806" s="18">
        <f>IFERROR(__xludf.DUMMYFUNCTION("""COMPUTED_VALUE"""),1.0)</f>
        <v>1</v>
      </c>
      <c r="K4806" s="18">
        <f>IFERROR(__xludf.DUMMYFUNCTION("""COMPUTED_VALUE"""),1.0)</f>
        <v>1</v>
      </c>
      <c r="L4806" s="17">
        <f>IFERROR(__xludf.DUMMYFUNCTION("""COMPUTED_VALUE"""),3.185873908E9)</f>
        <v>3185873908</v>
      </c>
      <c r="M4806" s="17" t="str">
        <f>IFERROR(__xludf.DUMMYFUNCTION("""COMPUTED_VALUE"""),"#REF!")</f>
        <v>#REF!</v>
      </c>
      <c r="N4806" s="17"/>
      <c r="O4806" s="17"/>
      <c r="P4806" s="17" t="b">
        <f>IFERROR(__xludf.DUMMYFUNCTION("""COMPUTED_VALUE"""),FALSE)</f>
        <v>0</v>
      </c>
      <c r="Q4806" s="20" t="str">
        <f>IFERROR(__xludf.DUMMYFUNCTION("""COMPUTED_VALUE"""),"")</f>
        <v/>
      </c>
      <c r="R4806" s="21" t="str">
        <f>IFERROR(__xludf.DUMMYFUNCTION("""COMPUTED_VALUE"""),"https://drive.google.com/file/d/16hvJ2RtcPa-BYYZXY3X__5vyukgqpN3U/view?usp=drivesdk")</f>
        <v>https://drive.google.com/file/d/16hvJ2RtcPa-BYYZXY3X__5vyukgqpN3U/view?usp=drivesdk</v>
      </c>
    </row>
    <row r="4807">
      <c r="A4807" s="17" t="str">
        <f>IFERROR(__xludf.DUMMYFUNCTION("""COMPUTED_VALUE"""),"")</f>
        <v/>
      </c>
      <c r="B4807" s="17" t="str">
        <f>IFERROR(__xludf.DUMMYFUNCTION("""COMPUTED_VALUE"""),"")</f>
        <v/>
      </c>
      <c r="C4807" s="17" t="str">
        <f>IFERROR(__xludf.DUMMYFUNCTION("""COMPUTED_VALUE"""),"")</f>
        <v/>
      </c>
      <c r="D4807" s="17" t="str">
        <f>IFERROR(__xludf.DUMMYFUNCTION("""COMPUTED_VALUE"""),"")</f>
        <v/>
      </c>
      <c r="E4807" s="17" t="str">
        <f>IFERROR(__xludf.DUMMYFUNCTION("""COMPUTED_VALUE"""),"")</f>
        <v/>
      </c>
      <c r="F4807" s="17" t="str">
        <f>IFERROR(__xludf.DUMMYFUNCTION("""COMPUTED_VALUE"""),"")</f>
        <v/>
      </c>
      <c r="G4807" s="17" t="str">
        <f>IFERROR(__xludf.DUMMYFUNCTION("""COMPUTED_VALUE"""),"")</f>
        <v/>
      </c>
      <c r="H4807" s="17" t="str">
        <f>IFERROR(__xludf.DUMMYFUNCTION("""COMPUTED_VALUE"""),"")</f>
        <v/>
      </c>
      <c r="I4807" s="17" t="str">
        <f>IFERROR(__xludf.DUMMYFUNCTION("""COMPUTED_VALUE"""),"")</f>
        <v/>
      </c>
      <c r="J4807" s="17" t="str">
        <f>IFERROR(__xludf.DUMMYFUNCTION("""COMPUTED_VALUE"""),"")</f>
        <v/>
      </c>
      <c r="K4807" s="17" t="str">
        <f>IFERROR(__xludf.DUMMYFUNCTION("""COMPUTED_VALUE"""),"")</f>
        <v/>
      </c>
      <c r="L4807" s="17" t="str">
        <f>IFERROR(__xludf.DUMMYFUNCTION("""COMPUTED_VALUE"""),"")</f>
        <v/>
      </c>
      <c r="M4807" s="17" t="str">
        <f>IFERROR(__xludf.DUMMYFUNCTION("""COMPUTED_VALUE"""),"")</f>
        <v/>
      </c>
      <c r="N4807" s="17" t="str">
        <f>IFERROR(__xludf.DUMMYFUNCTION("""COMPUTED_VALUE"""),"")</f>
        <v/>
      </c>
      <c r="O4807" s="17" t="str">
        <f>IFERROR(__xludf.DUMMYFUNCTION("""COMPUTED_VALUE"""),"")</f>
        <v/>
      </c>
      <c r="P4807" s="17" t="str">
        <f>IFERROR(__xludf.DUMMYFUNCTION("""COMPUTED_VALUE"""),"")</f>
        <v/>
      </c>
      <c r="Q4807" s="17" t="str">
        <f>IFERROR(__xludf.DUMMYFUNCTION("""COMPUTED_VALUE"""),"")</f>
        <v/>
      </c>
      <c r="R4807" s="17" t="str">
        <f>IFERROR(__xludf.DUMMYFUNCTION("""COMPUTED_VALUE"""),"")</f>
        <v/>
      </c>
    </row>
    <row r="4808">
      <c r="A4808" s="15">
        <f>IFERROR(__xludf.DUMMYFUNCTION("""COMPUTED_VALUE"""),45141.0)</f>
        <v>45141</v>
      </c>
      <c r="B4808" s="16" t="str">
        <f>IFERROR(__xludf.DUMMYFUNCTION("""COMPUTED_VALUE"""),"Daniel José sandoval gonzalez")</f>
        <v>Daniel José sandoval gonzalez</v>
      </c>
      <c r="C4808" s="15" t="str">
        <f>IFERROR(__xludf.DUMMYFUNCTION("""COMPUTED_VALUE"""),"BARRANQUILLA")</f>
        <v>BARRANQUILLA</v>
      </c>
      <c r="D4808" s="15" t="str">
        <f>IFERROR(__xludf.DUMMYFUNCTION("""COMPUTED_VALUE"""),"BOGOTÁ")</f>
        <v>BOGOTÁ</v>
      </c>
      <c r="E4808" s="15" t="str">
        <f>IFERROR(__xludf.DUMMYFUNCTION("""COMPUTED_VALUE"""),"Frambascolombia sas")</f>
        <v>Frambascolombia sas</v>
      </c>
      <c r="F4808" s="17" t="str">
        <f>IFERROR(__xludf.DUMMYFUNCTION("""COMPUTED_VALUE"""),"Cra. 53 # 68-55 / local 2")</f>
        <v>Cra. 53 # 68-55 / local 2</v>
      </c>
      <c r="G4808" s="15" t="str">
        <f>IFERROR(__xludf.DUMMYFUNCTION("""COMPUTED_VALUE"""),"PikNPak Barranquilla")</f>
        <v>PikNPak Barranquilla</v>
      </c>
      <c r="H4808" s="16">
        <f>IFERROR(__xludf.DUMMYFUNCTION("""COMPUTED_VALUE"""),13545.0)</f>
        <v>13545</v>
      </c>
      <c r="I4808" s="18" t="str">
        <f>IFERROR(__xludf.DUMMYFUNCTION("""COMPUTED_VALUE"""),"52.5")</f>
        <v>52.5</v>
      </c>
      <c r="J4808" s="18">
        <f>IFERROR(__xludf.DUMMYFUNCTION("""COMPUTED_VALUE"""),45.0)</f>
        <v>45</v>
      </c>
      <c r="K4808" s="18">
        <f>IFERROR(__xludf.DUMMYFUNCTION("""COMPUTED_VALUE"""),55.0)</f>
        <v>55</v>
      </c>
      <c r="L4808" s="17" t="str">
        <f>IFERROR(__xludf.DUMMYFUNCTION("""COMPUTED_VALUE"""),"321 4229567")</f>
        <v>321 4229567</v>
      </c>
      <c r="M4808" s="17" t="str">
        <f>IFERROR(__xludf.DUMMYFUNCTION("""COMPUTED_VALUE"""),"#REF!")</f>
        <v>#REF!</v>
      </c>
      <c r="N4808" s="17"/>
      <c r="O4808" s="17"/>
      <c r="P4808" s="17" t="b">
        <f>IFERROR(__xludf.DUMMYFUNCTION("""COMPUTED_VALUE"""),FALSE)</f>
        <v>0</v>
      </c>
      <c r="Q4808" s="20" t="str">
        <f>IFERROR(__xludf.DUMMYFUNCTION("""COMPUTED_VALUE"""),"")</f>
        <v/>
      </c>
      <c r="R4808" s="22" t="str">
        <f>IFERROR(__xludf.DUMMYFUNCTION("""COMPUTED_VALUE"""),"")</f>
        <v/>
      </c>
    </row>
    <row r="4809">
      <c r="A4809" s="15">
        <f>IFERROR(__xludf.DUMMYFUNCTION("""COMPUTED_VALUE"""),45141.0)</f>
        <v>45141</v>
      </c>
      <c r="B4809" s="16" t="str">
        <f>IFERROR(__xludf.DUMMYFUNCTION("""COMPUTED_VALUE"""),"Daniel José sandoval gonzalez")</f>
        <v>Daniel José sandoval gonzalez</v>
      </c>
      <c r="C4809" s="15" t="str">
        <f>IFERROR(__xludf.DUMMYFUNCTION("""COMPUTED_VALUE"""),"BARRANQUILLA")</f>
        <v>BARRANQUILLA</v>
      </c>
      <c r="D4809" s="15" t="str">
        <f>IFERROR(__xludf.DUMMYFUNCTION("""COMPUTED_VALUE"""),"BOGOTÁ")</f>
        <v>BOGOTÁ</v>
      </c>
      <c r="E4809" s="15" t="str">
        <f>IFERROR(__xludf.DUMMYFUNCTION("""COMPUTED_VALUE"""),"MAI ALIMENTOS S.A.S")</f>
        <v>MAI ALIMENTOS S.A.S</v>
      </c>
      <c r="F4809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4809" s="15" t="str">
        <f>IFERROR(__xludf.DUMMYFUNCTION("""COMPUTED_VALUE"""),"Fithub")</f>
        <v>Fithub</v>
      </c>
      <c r="H4809" s="16">
        <f>IFERROR(__xludf.DUMMYFUNCTION("""COMPUTED_VALUE"""),13467.0)</f>
        <v>13467</v>
      </c>
      <c r="I4809" s="18">
        <f>IFERROR(__xludf.DUMMYFUNCTION("""COMPUTED_VALUE"""),28.0)</f>
        <v>28</v>
      </c>
      <c r="J4809" s="18">
        <f>IFERROR(__xludf.DUMMYFUNCTION("""COMPUTED_VALUE"""),17.0)</f>
        <v>17</v>
      </c>
      <c r="K4809" s="18">
        <f>IFERROR(__xludf.DUMMYFUNCTION("""COMPUTED_VALUE"""),13.0)</f>
        <v>13</v>
      </c>
      <c r="L4809" s="17">
        <f>IFERROR(__xludf.DUMMYFUNCTION("""COMPUTED_VALUE"""),0.0)</f>
        <v>0</v>
      </c>
      <c r="M4809" s="17" t="str">
        <f>IFERROR(__xludf.DUMMYFUNCTION("""COMPUTED_VALUE"""),"#REF!")</f>
        <v>#REF!</v>
      </c>
      <c r="N4809" s="17"/>
      <c r="O4809" s="17"/>
      <c r="P4809" s="17" t="b">
        <f>IFERROR(__xludf.DUMMYFUNCTION("""COMPUTED_VALUE"""),FALSE)</f>
        <v>0</v>
      </c>
      <c r="Q4809" s="20" t="str">
        <f>IFERROR(__xludf.DUMMYFUNCTION("""COMPUTED_VALUE"""),"")</f>
        <v/>
      </c>
      <c r="R4809" s="21" t="str">
        <f>IFERROR(__xludf.DUMMYFUNCTION("""COMPUTED_VALUE"""),"https://drive.google.com/file/d/16EeSxUqAcJigFfe19YlQlBor_rJnTnz1/view?usp=drivesdk")</f>
        <v>https://drive.google.com/file/d/16EeSxUqAcJigFfe19YlQlBor_rJnTnz1/view?usp=drivesdk</v>
      </c>
    </row>
    <row r="4810">
      <c r="A4810" s="15">
        <f>IFERROR(__xludf.DUMMYFUNCTION("""COMPUTED_VALUE"""),45141.0)</f>
        <v>45141</v>
      </c>
      <c r="B4810" s="16" t="str">
        <f>IFERROR(__xludf.DUMMYFUNCTION("""COMPUTED_VALUE"""),"Daniel José sandoval gonzalez")</f>
        <v>Daniel José sandoval gonzalez</v>
      </c>
      <c r="C4810" s="15" t="str">
        <f>IFERROR(__xludf.DUMMYFUNCTION("""COMPUTED_VALUE"""),"BARRANQUILLA")</f>
        <v>BARRANQUILLA</v>
      </c>
      <c r="D4810" s="15" t="str">
        <f>IFERROR(__xludf.DUMMYFUNCTION("""COMPUTED_VALUE"""),"BOGOTÁ")</f>
        <v>BOGOTÁ</v>
      </c>
      <c r="E4810" s="15" t="str">
        <f>IFERROR(__xludf.DUMMYFUNCTION("""COMPUTED_VALUE"""),"Pan de Waffle")</f>
        <v>Pan de Waffle</v>
      </c>
      <c r="F4810" s="17" t="str">
        <f>IFERROR(__xludf.DUMMYFUNCTION("""COMPUTED_VALUE"""),"Carrera 45 # 85 - 168 / Carrera 45 # 85 - 168 / Carrera 45 # 85 - 168")</f>
        <v>Carrera 45 # 85 - 168 / Carrera 45 # 85 - 168 / Carrera 45 # 85 - 168</v>
      </c>
      <c r="G4810" s="15" t="str">
        <f>IFERROR(__xludf.DUMMYFUNCTION("""COMPUTED_VALUE"""),"FOODOLOGY")</f>
        <v>FOODOLOGY</v>
      </c>
      <c r="H4810" s="16">
        <f>IFERROR(__xludf.DUMMYFUNCTION("""COMPUTED_VALUE"""),13515.0)</f>
        <v>13515</v>
      </c>
      <c r="I4810" s="18">
        <f>IFERROR(__xludf.DUMMYFUNCTION("""COMPUTED_VALUE"""),40.0)</f>
        <v>40</v>
      </c>
      <c r="J4810" s="18">
        <f>IFERROR(__xludf.DUMMYFUNCTION("""COMPUTED_VALUE"""),40.0)</f>
        <v>40</v>
      </c>
      <c r="K4810" s="18">
        <f>IFERROR(__xludf.DUMMYFUNCTION("""COMPUTED_VALUE"""),30.0)</f>
        <v>30</v>
      </c>
      <c r="L4810" s="17">
        <f>IFERROR(__xludf.DUMMYFUNCTION("""COMPUTED_VALUE"""),3.017001909E9)</f>
        <v>3017001909</v>
      </c>
      <c r="M4810" s="17" t="str">
        <f>IFERROR(__xludf.DUMMYFUNCTION("""COMPUTED_VALUE"""),"#REF!")</f>
        <v>#REF!</v>
      </c>
      <c r="N4810" s="17"/>
      <c r="O4810" s="17"/>
      <c r="P4810" s="17" t="b">
        <f>IFERROR(__xludf.DUMMYFUNCTION("""COMPUTED_VALUE"""),FALSE)</f>
        <v>0</v>
      </c>
      <c r="Q4810" s="20" t="str">
        <f>IFERROR(__xludf.DUMMYFUNCTION("""COMPUTED_VALUE"""),"")</f>
        <v/>
      </c>
      <c r="R4810" s="21" t="str">
        <f>IFERROR(__xludf.DUMMYFUNCTION("""COMPUTED_VALUE"""),"https://drive.google.com/file/d/1wXnqAP0WH1vDiFycbf2gK4aAoVj6Owsl/view?usp=drivesdk")</f>
        <v>https://drive.google.com/file/d/1wXnqAP0WH1vDiFycbf2gK4aAoVj6Owsl/view?usp=drivesdk</v>
      </c>
    </row>
    <row r="4811">
      <c r="A4811" s="15">
        <f>IFERROR(__xludf.DUMMYFUNCTION("""COMPUTED_VALUE"""),45141.0)</f>
        <v>45141</v>
      </c>
      <c r="B4811" s="16" t="str">
        <f>IFERROR(__xludf.DUMMYFUNCTION("""COMPUTED_VALUE"""),"Daniel José sandoval gonzalez")</f>
        <v>Daniel José sandoval gonzalez</v>
      </c>
      <c r="C4811" s="15" t="str">
        <f>IFERROR(__xludf.DUMMYFUNCTION("""COMPUTED_VALUE"""),"BARRANQUILLA")</f>
        <v>BARRANQUILLA</v>
      </c>
      <c r="D4811" s="15" t="str">
        <f>IFERROR(__xludf.DUMMYFUNCTION("""COMPUTED_VALUE"""),"BOGOTÁ")</f>
        <v>BOGOTÁ</v>
      </c>
      <c r="E4811" s="15" t="str">
        <f>IFERROR(__xludf.DUMMYFUNCTION("""COMPUTED_VALUE"""),"Pan de Waffle")</f>
        <v>Pan de Waffle</v>
      </c>
      <c r="F4811" s="17" t="str">
        <f>IFERROR(__xludf.DUMMYFUNCTION("""COMPUTED_VALUE"""),"Carrera 64B Calle 86 - 18  / Carrera 64B Calle 86 - 18  / Carrera 64B Calle 86 - 18")</f>
        <v>Carrera 64B Calle 86 - 18  / Carrera 64B Calle 86 - 18  / Carrera 64B Calle 86 - 18</v>
      </c>
      <c r="G4811" s="15" t="str">
        <f>IFERROR(__xludf.DUMMYFUNCTION("""COMPUTED_VALUE"""),"Woolgrove &amp; Navarro")</f>
        <v>Woolgrove &amp; Navarro</v>
      </c>
      <c r="H4811" s="16">
        <f>IFERROR(__xludf.DUMMYFUNCTION("""COMPUTED_VALUE"""),13563.0)</f>
        <v>13563</v>
      </c>
      <c r="I4811" s="18">
        <f>IFERROR(__xludf.DUMMYFUNCTION("""COMPUTED_VALUE"""),30.0)</f>
        <v>30</v>
      </c>
      <c r="J4811" s="18">
        <f>IFERROR(__xludf.DUMMYFUNCTION("""COMPUTED_VALUE"""),40.0)</f>
        <v>40</v>
      </c>
      <c r="K4811" s="18">
        <f>IFERROR(__xludf.DUMMYFUNCTION("""COMPUTED_VALUE"""),30.0)</f>
        <v>30</v>
      </c>
      <c r="L4811" s="17">
        <f>IFERROR(__xludf.DUMMYFUNCTION("""COMPUTED_VALUE"""),3.234768218E9)</f>
        <v>3234768218</v>
      </c>
      <c r="M4811" s="17" t="str">
        <f>IFERROR(__xludf.DUMMYFUNCTION("""COMPUTED_VALUE"""),"#REF!")</f>
        <v>#REF!</v>
      </c>
      <c r="N4811" s="17"/>
      <c r="O4811" s="17"/>
      <c r="P4811" s="17" t="b">
        <f>IFERROR(__xludf.DUMMYFUNCTION("""COMPUTED_VALUE"""),TRUE)</f>
        <v>1</v>
      </c>
      <c r="Q4811" s="20">
        <f>IFERROR(__xludf.DUMMYFUNCTION("""COMPUTED_VALUE"""),45141.49229494213)</f>
        <v>45141.49229</v>
      </c>
      <c r="R4811" s="22" t="str">
        <f>IFERROR(__xludf.DUMMYFUNCTION("""COMPUTED_VALUE"""),"")</f>
        <v/>
      </c>
    </row>
    <row r="4812">
      <c r="A4812" s="15">
        <f>IFERROR(__xludf.DUMMYFUNCTION("""COMPUTED_VALUE"""),45141.0)</f>
        <v>45141</v>
      </c>
      <c r="B4812" s="16" t="str">
        <f>IFERROR(__xludf.DUMMYFUNCTION("""COMPUTED_VALUE"""),"Daniel José sandoval gonzalez")</f>
        <v>Daniel José sandoval gonzalez</v>
      </c>
      <c r="C4812" s="15" t="str">
        <f>IFERROR(__xludf.DUMMYFUNCTION("""COMPUTED_VALUE"""),"BARRANQUILLA")</f>
        <v>BARRANQUILLA</v>
      </c>
      <c r="D4812" s="15" t="str">
        <f>IFERROR(__xludf.DUMMYFUNCTION("""COMPUTED_VALUE"""),"BOGOTÁ")</f>
        <v>BOGOTÁ</v>
      </c>
      <c r="E4812" s="15" t="str">
        <f>IFERROR(__xludf.DUMMYFUNCTION("""COMPUTED_VALUE"""),"Top Spun")</f>
        <v>Top Spun</v>
      </c>
      <c r="F4812" s="17" t="str">
        <f>IFERROR(__xludf.DUMMYFUNCTION("""COMPUTED_VALUE"""),"Calle 58 # 44 - 109 / Casa de dos pisos / Barranquilla")</f>
        <v>Calle 58 # 44 - 109 / Casa de dos pisos / Barranquilla</v>
      </c>
      <c r="G4812" s="15" t="str">
        <f>IFERROR(__xludf.DUMMYFUNCTION("""COMPUTED_VALUE"""),"Shirley Campillo")</f>
        <v>Shirley Campillo</v>
      </c>
      <c r="H4812" s="16">
        <f>IFERROR(__xludf.DUMMYFUNCTION("""COMPUTED_VALUE"""),13485.0)</f>
        <v>13485</v>
      </c>
      <c r="I4812" s="18">
        <f>IFERROR(__xludf.DUMMYFUNCTION("""COMPUTED_VALUE"""),20.0)</f>
        <v>20</v>
      </c>
      <c r="J4812" s="18">
        <f>IFERROR(__xludf.DUMMYFUNCTION("""COMPUTED_VALUE"""),10.0)</f>
        <v>10</v>
      </c>
      <c r="K4812" s="18">
        <f>IFERROR(__xludf.DUMMYFUNCTION("""COMPUTED_VALUE"""),40.0)</f>
        <v>40</v>
      </c>
      <c r="L4812" s="17">
        <f>IFERROR(__xludf.DUMMYFUNCTION("""COMPUTED_VALUE"""),3.21496598E9)</f>
        <v>3214965980</v>
      </c>
      <c r="M4812" s="17" t="str">
        <f>IFERROR(__xludf.DUMMYFUNCTION("""COMPUTED_VALUE"""),"#REF!")</f>
        <v>#REF!</v>
      </c>
      <c r="N4812" s="17"/>
      <c r="O4812" s="19" t="str">
        <f>IFERROR(__xludf.DUMMYFUNCTION("""COMPUTED_VALUE""")," ")</f>
        <v> </v>
      </c>
      <c r="P4812" s="17" t="b">
        <f>IFERROR(__xludf.DUMMYFUNCTION("""COMPUTED_VALUE"""),TRUE)</f>
        <v>1</v>
      </c>
      <c r="Q4812" s="17" t="str">
        <f>IFERROR(__xludf.DUMMYFUNCTION("""COMPUTED_VALUE""")," ")</f>
        <v> </v>
      </c>
      <c r="R4812" s="21" t="str">
        <f>IFERROR(__xludf.DUMMYFUNCTION("""COMPUTED_VALUE"""),"https://drive.google.com/file/d/1jf5LRDDU493Ass9JIWY2lfy_59CQh9F0/view?usp=drivesdk")</f>
        <v>https://drive.google.com/file/d/1jf5LRDDU493Ass9JIWY2lfy_59CQh9F0/view?usp=drivesdk</v>
      </c>
    </row>
    <row r="4813">
      <c r="A4813" s="15">
        <f>IFERROR(__xludf.DUMMYFUNCTION("""COMPUTED_VALUE"""),45141.0)</f>
        <v>45141</v>
      </c>
      <c r="B4813" s="16" t="str">
        <f>IFERROR(__xludf.DUMMYFUNCTION("""COMPUTED_VALUE"""),"Daniel José sandoval gonzalez")</f>
        <v>Daniel José sandoval gonzalez</v>
      </c>
      <c r="C4813" s="15" t="str">
        <f>IFERROR(__xludf.DUMMYFUNCTION("""COMPUTED_VALUE"""),"MEDELLÍN")</f>
        <v>MEDELLÍN</v>
      </c>
      <c r="D4813" s="15" t="str">
        <f>IFERROR(__xludf.DUMMYFUNCTION("""COMPUTED_VALUE"""),"BUCARAMANGA")</f>
        <v>BUCARAMANGA</v>
      </c>
      <c r="E4813" s="15" t="str">
        <f>IFERROR(__xludf.DUMMYFUNCTION("""COMPUTED_VALUE"""),"Yo Como Solito")</f>
        <v>Yo Como Solito</v>
      </c>
      <c r="F4813" s="17" t="str">
        <f>IFERROR(__xludf.DUMMYFUNCTION("""COMPUTED_VALUE"""),"Calle 9b sur # 53-44 / ,guayabal -San Rafael / na")</f>
        <v>Calle 9b sur # 53-44 / ,guayabal -San Rafael / na</v>
      </c>
      <c r="G4813" s="15" t="str">
        <f>IFERROR(__xludf.DUMMYFUNCTION("""COMPUTED_VALUE"""),"Diana Mazo")</f>
        <v>Diana Mazo</v>
      </c>
      <c r="H4813" s="16">
        <f>IFERROR(__xludf.DUMMYFUNCTION("""COMPUTED_VALUE"""),13512.0)</f>
        <v>13512</v>
      </c>
      <c r="I4813" s="18">
        <f>IFERROR(__xludf.DUMMYFUNCTION("""COMPUTED_VALUE"""),15.0)</f>
        <v>15</v>
      </c>
      <c r="J4813" s="18">
        <f>IFERROR(__xludf.DUMMYFUNCTION("""COMPUTED_VALUE"""),30.0)</f>
        <v>30</v>
      </c>
      <c r="K4813" s="18">
        <f>IFERROR(__xludf.DUMMYFUNCTION("""COMPUTED_VALUE"""),49.0)</f>
        <v>49</v>
      </c>
      <c r="L4813" s="17">
        <f>IFERROR(__xludf.DUMMYFUNCTION("""COMPUTED_VALUE"""),3.152624601E9)</f>
        <v>3152624601</v>
      </c>
      <c r="M4813" s="17" t="str">
        <f>IFERROR(__xludf.DUMMYFUNCTION("""COMPUTED_VALUE"""),"#REF!")</f>
        <v>#REF!</v>
      </c>
      <c r="N4813" s="17"/>
      <c r="O4813" s="17"/>
      <c r="P4813" s="17" t="b">
        <f>IFERROR(__xludf.DUMMYFUNCTION("""COMPUTED_VALUE"""),TRUE)</f>
        <v>1</v>
      </c>
      <c r="Q4813" s="20">
        <f>IFERROR(__xludf.DUMMYFUNCTION("""COMPUTED_VALUE"""),45141.593553969906)</f>
        <v>45141.59355</v>
      </c>
      <c r="R4813" s="21" t="str">
        <f>IFERROR(__xludf.DUMMYFUNCTION("""COMPUTED_VALUE"""),"https://drive.google.com/file/d/1IbkjuUzj4aLb4KlmB3HCLa5qyZHLo3PL/view?usp=drivesdk")</f>
        <v>https://drive.google.com/file/d/1IbkjuUzj4aLb4KlmB3HCLa5qyZHLo3PL/view?usp=drivesdk</v>
      </c>
    </row>
    <row r="4814">
      <c r="A4814" s="17" t="str">
        <f>IFERROR(__xludf.DUMMYFUNCTION("""COMPUTED_VALUE"""),"")</f>
        <v/>
      </c>
      <c r="B4814" s="17" t="str">
        <f>IFERROR(__xludf.DUMMYFUNCTION("""COMPUTED_VALUE"""),"")</f>
        <v/>
      </c>
      <c r="C4814" s="17" t="str">
        <f>IFERROR(__xludf.DUMMYFUNCTION("""COMPUTED_VALUE"""),"")</f>
        <v/>
      </c>
      <c r="D4814" s="17" t="str">
        <f>IFERROR(__xludf.DUMMYFUNCTION("""COMPUTED_VALUE"""),"")</f>
        <v/>
      </c>
      <c r="E4814" s="17" t="str">
        <f>IFERROR(__xludf.DUMMYFUNCTION("""COMPUTED_VALUE"""),"")</f>
        <v/>
      </c>
      <c r="F4814" s="17" t="str">
        <f>IFERROR(__xludf.DUMMYFUNCTION("""COMPUTED_VALUE"""),"")</f>
        <v/>
      </c>
      <c r="G4814" s="17" t="str">
        <f>IFERROR(__xludf.DUMMYFUNCTION("""COMPUTED_VALUE"""),"")</f>
        <v/>
      </c>
      <c r="H4814" s="17" t="str">
        <f>IFERROR(__xludf.DUMMYFUNCTION("""COMPUTED_VALUE"""),"")</f>
        <v/>
      </c>
      <c r="I4814" s="17" t="str">
        <f>IFERROR(__xludf.DUMMYFUNCTION("""COMPUTED_VALUE"""),"")</f>
        <v/>
      </c>
      <c r="J4814" s="17" t="str">
        <f>IFERROR(__xludf.DUMMYFUNCTION("""COMPUTED_VALUE"""),"")</f>
        <v/>
      </c>
      <c r="K4814" s="17" t="str">
        <f>IFERROR(__xludf.DUMMYFUNCTION("""COMPUTED_VALUE"""),"")</f>
        <v/>
      </c>
      <c r="L4814" s="17" t="str">
        <f>IFERROR(__xludf.DUMMYFUNCTION("""COMPUTED_VALUE"""),"")</f>
        <v/>
      </c>
      <c r="M4814" s="17" t="str">
        <f>IFERROR(__xludf.DUMMYFUNCTION("""COMPUTED_VALUE"""),"")</f>
        <v/>
      </c>
      <c r="N4814" s="17" t="str">
        <f>IFERROR(__xludf.DUMMYFUNCTION("""COMPUTED_VALUE"""),"")</f>
        <v/>
      </c>
      <c r="O4814" s="17" t="str">
        <f>IFERROR(__xludf.DUMMYFUNCTION("""COMPUTED_VALUE"""),"")</f>
        <v/>
      </c>
      <c r="P4814" s="17" t="str">
        <f>IFERROR(__xludf.DUMMYFUNCTION("""COMPUTED_VALUE"""),"")</f>
        <v/>
      </c>
      <c r="Q4814" s="17" t="str">
        <f>IFERROR(__xludf.DUMMYFUNCTION("""COMPUTED_VALUE"""),"")</f>
        <v/>
      </c>
      <c r="R4814" s="17" t="str">
        <f>IFERROR(__xludf.DUMMYFUNCTION("""COMPUTED_VALUE"""),"")</f>
        <v/>
      </c>
    </row>
    <row r="4815">
      <c r="A4815" s="15">
        <f>IFERROR(__xludf.DUMMYFUNCTION("""COMPUTED_VALUE"""),45141.0)</f>
        <v>45141</v>
      </c>
      <c r="B4815" s="16" t="str">
        <f>IFERROR(__xludf.DUMMYFUNCTION("""COMPUTED_VALUE"""),"David Sanmartin Bello")</f>
        <v>David Sanmartin Bello</v>
      </c>
      <c r="C4815" s="15" t="str">
        <f>IFERROR(__xludf.DUMMYFUNCTION("""COMPUTED_VALUE"""),"BARRANQUILLA")</f>
        <v>BARRANQUILLA</v>
      </c>
      <c r="D4815" s="15" t="str">
        <f>IFERROR(__xludf.DUMMYFUNCTION("""COMPUTED_VALUE"""),"BOGOTÁ")</f>
        <v>BOGOTÁ</v>
      </c>
      <c r="E4815" s="15" t="str">
        <f>IFERROR(__xludf.DUMMYFUNCTION("""COMPUTED_VALUE"""),"Viral Brands")</f>
        <v>Viral Brands</v>
      </c>
      <c r="F4815" s="17" t="str">
        <f>IFERROR(__xludf.DUMMYFUNCTION("""COMPUTED_VALUE"""),"cra 5 n 96-187 lyd 98 / lyd house 98 restaurnate maya - gaucho / buenavista")</f>
        <v>cra 5 n 96-187 lyd 98 / lyd house 98 restaurnate maya - gaucho / buenavista</v>
      </c>
      <c r="G4815" s="15" t="str">
        <f>IFERROR(__xludf.DUMMYFUNCTION("""COMPUTED_VALUE"""),"manuel ortiz")</f>
        <v>manuel ortiz</v>
      </c>
      <c r="H4815" s="16">
        <f>IFERROR(__xludf.DUMMYFUNCTION("""COMPUTED_VALUE"""),13529.0)</f>
        <v>13529</v>
      </c>
      <c r="I4815" s="18">
        <f>IFERROR(__xludf.DUMMYFUNCTION("""COMPUTED_VALUE"""),21.0)</f>
        <v>21</v>
      </c>
      <c r="J4815" s="18">
        <f>IFERROR(__xludf.DUMMYFUNCTION("""COMPUTED_VALUE"""),30.0)</f>
        <v>30</v>
      </c>
      <c r="K4815" s="18">
        <f>IFERROR(__xludf.DUMMYFUNCTION("""COMPUTED_VALUE"""),50.0)</f>
        <v>50</v>
      </c>
      <c r="L4815" s="17">
        <f>IFERROR(__xludf.DUMMYFUNCTION("""COMPUTED_VALUE"""),3.122454394E9)</f>
        <v>3122454394</v>
      </c>
      <c r="M4815" s="17" t="str">
        <f>IFERROR(__xludf.DUMMYFUNCTION("""COMPUTED_VALUE"""),"#REF!")</f>
        <v>#REF!</v>
      </c>
      <c r="N4815" s="17"/>
      <c r="O4815" s="17"/>
      <c r="P4815" s="17" t="b">
        <f>IFERROR(__xludf.DUMMYFUNCTION("""COMPUTED_VALUE"""),TRUE)</f>
        <v>1</v>
      </c>
      <c r="Q4815" s="20">
        <f>IFERROR(__xludf.DUMMYFUNCTION("""COMPUTED_VALUE"""),45141.723769965276)</f>
        <v>45141.72377</v>
      </c>
      <c r="R4815" s="22" t="str">
        <f>IFERROR(__xludf.DUMMYFUNCTION("""COMPUTED_VALUE"""),"")</f>
        <v/>
      </c>
    </row>
    <row r="4816">
      <c r="A4816" s="15">
        <f>IFERROR(__xludf.DUMMYFUNCTION("""COMPUTED_VALUE"""),45141.0)</f>
        <v>45141</v>
      </c>
      <c r="B4816" s="16" t="str">
        <f>IFERROR(__xludf.DUMMYFUNCTION("""COMPUTED_VALUE"""),"David Sanmartin Bello")</f>
        <v>David Sanmartin Bello</v>
      </c>
      <c r="C4816" s="15" t="str">
        <f>IFERROR(__xludf.DUMMYFUNCTION("""COMPUTED_VALUE"""),"CARTAGENA")</f>
        <v>CARTAGENA</v>
      </c>
      <c r="D4816" s="15" t="str">
        <f>IFERROR(__xludf.DUMMYFUNCTION("""COMPUTED_VALUE"""),"BOGOTÁ")</f>
        <v>BOGOTÁ</v>
      </c>
      <c r="E4816" s="15" t="str">
        <f>IFERROR(__xludf.DUMMYFUNCTION("""COMPUTED_VALUE"""),"Athenas")</f>
        <v>Athenas</v>
      </c>
      <c r="F4816" s="17" t="str">
        <f>IFERROR(__xludf.DUMMYFUNCTION("""COMPUTED_VALUE"""),"El socorro manzana 11 lote 10 plan 220 / Casa el socorro / El socorro")</f>
        <v>El socorro manzana 11 lote 10 plan 220 / Casa el socorro / El socorro</v>
      </c>
      <c r="G4816" s="15" t="str">
        <f>IFERROR(__xludf.DUMMYFUNCTION("""COMPUTED_VALUE"""),"Meyler Lee")</f>
        <v>Meyler Lee</v>
      </c>
      <c r="H4816" s="16">
        <f>IFERROR(__xludf.DUMMYFUNCTION("""COMPUTED_VALUE"""),13456.0)</f>
        <v>13456</v>
      </c>
      <c r="I4816" s="18">
        <f>IFERROR(__xludf.DUMMYFUNCTION("""COMPUTED_VALUE"""),55.0)</f>
        <v>55</v>
      </c>
      <c r="J4816" s="18">
        <f>IFERROR(__xludf.DUMMYFUNCTION("""COMPUTED_VALUE"""),45.0)</f>
        <v>45</v>
      </c>
      <c r="K4816" s="18">
        <f>IFERROR(__xludf.DUMMYFUNCTION("""COMPUTED_VALUE"""),29.0)</f>
        <v>29</v>
      </c>
      <c r="L4816" s="17">
        <f>IFERROR(__xludf.DUMMYFUNCTION("""COMPUTED_VALUE"""),3.233856067E9)</f>
        <v>3233856067</v>
      </c>
      <c r="M4816" s="17" t="str">
        <f>IFERROR(__xludf.DUMMYFUNCTION("""COMPUTED_VALUE"""),"#REF!")</f>
        <v>#REF!</v>
      </c>
      <c r="N4816" s="17"/>
      <c r="O4816" s="17"/>
      <c r="P4816" s="17" t="b">
        <f>IFERROR(__xludf.DUMMYFUNCTION("""COMPUTED_VALUE"""),TRUE)</f>
        <v>1</v>
      </c>
      <c r="Q4816" s="20">
        <f>IFERROR(__xludf.DUMMYFUNCTION("""COMPUTED_VALUE"""),45141.72390614584)</f>
        <v>45141.72391</v>
      </c>
      <c r="R4816" s="22" t="str">
        <f>IFERROR(__xludf.DUMMYFUNCTION("""COMPUTED_VALUE"""),"")</f>
        <v/>
      </c>
    </row>
    <row r="4817">
      <c r="A4817" s="15">
        <f>IFERROR(__xludf.DUMMYFUNCTION("""COMPUTED_VALUE"""),45141.0)</f>
        <v>45141</v>
      </c>
      <c r="B4817" s="16" t="str">
        <f>IFERROR(__xludf.DUMMYFUNCTION("""COMPUTED_VALUE"""),"David Sanmartin Bello")</f>
        <v>David Sanmartin Bello</v>
      </c>
      <c r="C4817" s="15" t="str">
        <f>IFERROR(__xludf.DUMMYFUNCTION("""COMPUTED_VALUE"""),"CARTAGENA")</f>
        <v>CARTAGENA</v>
      </c>
      <c r="D4817" s="15" t="str">
        <f>IFERROR(__xludf.DUMMYFUNCTION("""COMPUTED_VALUE"""),"BOGOTÁ")</f>
        <v>BOGOTÁ</v>
      </c>
      <c r="E4817" s="15" t="str">
        <f>IFERROR(__xludf.DUMMYFUNCTION("""COMPUTED_VALUE"""),"Evamazzita")</f>
        <v>Evamazzita</v>
      </c>
      <c r="F4817" s="17" t="str">
        <f>IFERROR(__xludf.DUMMYFUNCTION("""COMPUTED_VALUE"""),"Socorro plan 134  / Mz 129/Lote 22  / N/A")</f>
        <v>Socorro plan 134  / Mz 129/Lote 22  / N/A</v>
      </c>
      <c r="G4817" s="15" t="str">
        <f>IFERROR(__xludf.DUMMYFUNCTION("""COMPUTED_VALUE"""),"MAYERLIN AHUMADA")</f>
        <v>MAYERLIN AHUMADA</v>
      </c>
      <c r="H4817" s="16">
        <f>IFERROR(__xludf.DUMMYFUNCTION("""COMPUTED_VALUE"""),13475.0)</f>
        <v>13475</v>
      </c>
      <c r="I4817" s="18">
        <f>IFERROR(__xludf.DUMMYFUNCTION("""COMPUTED_VALUE"""),5.0)</f>
        <v>5</v>
      </c>
      <c r="J4817" s="18">
        <f>IFERROR(__xludf.DUMMYFUNCTION("""COMPUTED_VALUE"""),18.0)</f>
        <v>18</v>
      </c>
      <c r="K4817" s="18">
        <f>IFERROR(__xludf.DUMMYFUNCTION("""COMPUTED_VALUE"""),21.0)</f>
        <v>21</v>
      </c>
      <c r="L4817" s="17">
        <f>IFERROR(__xludf.DUMMYFUNCTION("""COMPUTED_VALUE"""),3.016561804E9)</f>
        <v>3016561804</v>
      </c>
      <c r="M4817" s="17" t="str">
        <f>IFERROR(__xludf.DUMMYFUNCTION("""COMPUTED_VALUE"""),"#REF!")</f>
        <v>#REF!</v>
      </c>
      <c r="N4817" s="17"/>
      <c r="O4817" s="17"/>
      <c r="P4817" s="17" t="b">
        <f>IFERROR(__xludf.DUMMYFUNCTION("""COMPUTED_VALUE"""),TRUE)</f>
        <v>1</v>
      </c>
      <c r="Q4817" s="20">
        <f>IFERROR(__xludf.DUMMYFUNCTION("""COMPUTED_VALUE"""),45141.6941950926)</f>
        <v>45141.6942</v>
      </c>
      <c r="R4817" s="21" t="str">
        <f>IFERROR(__xludf.DUMMYFUNCTION("""COMPUTED_VALUE"""),"https://drive.google.com/file/d/1FGIoNs2vZBXkBT6t05hD22VolE3fmCAf/view?usp=drivesdk")</f>
        <v>https://drive.google.com/file/d/1FGIoNs2vZBXkBT6t05hD22VolE3fmCAf/view?usp=drivesdk</v>
      </c>
    </row>
    <row r="4818">
      <c r="A4818" s="15">
        <f>IFERROR(__xludf.DUMMYFUNCTION("""COMPUTED_VALUE"""),45141.0)</f>
        <v>45141</v>
      </c>
      <c r="B4818" s="16" t="str">
        <f>IFERROR(__xludf.DUMMYFUNCTION("""COMPUTED_VALUE"""),"David Sanmartin Bello")</f>
        <v>David Sanmartin Bello</v>
      </c>
      <c r="C4818" s="15" t="str">
        <f>IFERROR(__xludf.DUMMYFUNCTION("""COMPUTED_VALUE"""),"CARTAGENA")</f>
        <v>CARTAGENA</v>
      </c>
      <c r="D4818" s="15" t="str">
        <f>IFERROR(__xludf.DUMMYFUNCTION("""COMPUTED_VALUE"""),"BOGOTÁ")</f>
        <v>BOGOTÁ</v>
      </c>
      <c r="E4818" s="15" t="str">
        <f>IFERROR(__xludf.DUMMYFUNCTION("""COMPUTED_VALUE"""),"MAI ALIMENTOS S.A.S")</f>
        <v>MAI ALIMENTOS S.A.S</v>
      </c>
      <c r="F4818" s="17" t="str">
        <f>IFERROR(__xludf.DUMMYFUNCTION("""COMPUTED_VALUE"""),"Carrera 3 A # 31 - 23 / Plaza Santa teresa / Restaurante Harry Sasson")</f>
        <v>Carrera 3 A # 31 - 23 / Plaza Santa teresa / Restaurante Harry Sasson</v>
      </c>
      <c r="G4818" s="15" t="str">
        <f>IFERROR(__xludf.DUMMYFUNCTION("""COMPUTED_VALUE"""),"Hoteles Charleston SAS")</f>
        <v>Hoteles Charleston SAS</v>
      </c>
      <c r="H4818" s="16">
        <f>IFERROR(__xludf.DUMMYFUNCTION("""COMPUTED_VALUE"""),13468.0)</f>
        <v>13468</v>
      </c>
      <c r="I4818" s="18">
        <f>IFERROR(__xludf.DUMMYFUNCTION("""COMPUTED_VALUE"""),35.0)</f>
        <v>35</v>
      </c>
      <c r="J4818" s="18">
        <f>IFERROR(__xludf.DUMMYFUNCTION("""COMPUTED_VALUE"""),17.0)</f>
        <v>17</v>
      </c>
      <c r="K4818" s="18">
        <f>IFERROR(__xludf.DUMMYFUNCTION("""COMPUTED_VALUE"""),13.0)</f>
        <v>13</v>
      </c>
      <c r="L4818" s="17">
        <f>IFERROR(__xludf.DUMMYFUNCTION("""COMPUTED_VALUE"""),3.174374246E9)</f>
        <v>3174374246</v>
      </c>
      <c r="M4818" s="17" t="str">
        <f>IFERROR(__xludf.DUMMYFUNCTION("""COMPUTED_VALUE"""),"#REF!")</f>
        <v>#REF!</v>
      </c>
      <c r="N4818" s="17"/>
      <c r="O4818" s="17"/>
      <c r="P4818" s="17" t="b">
        <f>IFERROR(__xludf.DUMMYFUNCTION("""COMPUTED_VALUE"""),TRUE)</f>
        <v>1</v>
      </c>
      <c r="Q4818" s="20">
        <f>IFERROR(__xludf.DUMMYFUNCTION("""COMPUTED_VALUE"""),45141.59329471065)</f>
        <v>45141.59329</v>
      </c>
      <c r="R4818" s="21" t="str">
        <f>IFERROR(__xludf.DUMMYFUNCTION("""COMPUTED_VALUE"""),"https://drive.google.com/file/d/1tpsZB3NlVvn-FcaLF72vT5A7zVpuwHkj/view?usp=drivesdk")</f>
        <v>https://drive.google.com/file/d/1tpsZB3NlVvn-FcaLF72vT5A7zVpuwHkj/view?usp=drivesdk</v>
      </c>
    </row>
    <row r="4819">
      <c r="A4819" s="15">
        <f>IFERROR(__xludf.DUMMYFUNCTION("""COMPUTED_VALUE"""),45141.0)</f>
        <v>45141</v>
      </c>
      <c r="B4819" s="16" t="str">
        <f>IFERROR(__xludf.DUMMYFUNCTION("""COMPUTED_VALUE"""),"David Sanmartin Bello")</f>
        <v>David Sanmartin Bello</v>
      </c>
      <c r="C4819" s="15" t="str">
        <f>IFERROR(__xludf.DUMMYFUNCTION("""COMPUTED_VALUE"""),"CARTAGENA")</f>
        <v>CARTAGENA</v>
      </c>
      <c r="D4819" s="15" t="str">
        <f>IFERROR(__xludf.DUMMYFUNCTION("""COMPUTED_VALUE"""),"BOGOTÁ")</f>
        <v>BOGOTÁ</v>
      </c>
      <c r="E4819" s="15" t="str">
        <f>IFERROR(__xludf.DUMMYFUNCTION("""COMPUTED_VALUE"""),"SISU PARTNERS SAS")</f>
        <v>SISU PARTNERS SAS</v>
      </c>
      <c r="F4819" s="17" t="str">
        <f>IFERROR(__xludf.DUMMYFUNCTION("""COMPUTED_VALUE"""),"Carrera 7 no. 38-48 local 3 / Local Mary &amp; George")</f>
        <v>Carrera 7 no. 38-48 local 3 / Local Mary &amp; George</v>
      </c>
      <c r="G4819" s="15" t="str">
        <f>IFERROR(__xludf.DUMMYFUNCTION("""COMPUTED_VALUE"""),"Carolyne Bailey")</f>
        <v>Carolyne Bailey</v>
      </c>
      <c r="H4819" s="16">
        <f>IFERROR(__xludf.DUMMYFUNCTION("""COMPUTED_VALUE"""),13513.0)</f>
        <v>13513</v>
      </c>
      <c r="I4819" s="18">
        <f>IFERROR(__xludf.DUMMYFUNCTION("""COMPUTED_VALUE"""),29.0)</f>
        <v>29</v>
      </c>
      <c r="J4819" s="18">
        <f>IFERROR(__xludf.DUMMYFUNCTION("""COMPUTED_VALUE"""),45.0)</f>
        <v>45</v>
      </c>
      <c r="K4819" s="18">
        <f>IFERROR(__xludf.DUMMYFUNCTION("""COMPUTED_VALUE"""),55.0)</f>
        <v>55</v>
      </c>
      <c r="L4819" s="17">
        <f>IFERROR(__xludf.DUMMYFUNCTION("""COMPUTED_VALUE"""),3.105510381E9)</f>
        <v>3105510381</v>
      </c>
      <c r="M4819" s="17" t="str">
        <f>IFERROR(__xludf.DUMMYFUNCTION("""COMPUTED_VALUE"""),"#REF!")</f>
        <v>#REF!</v>
      </c>
      <c r="N4819" s="17"/>
      <c r="O4819" s="17"/>
      <c r="P4819" s="17" t="b">
        <f>IFERROR(__xludf.DUMMYFUNCTION("""COMPUTED_VALUE"""),TRUE)</f>
        <v>1</v>
      </c>
      <c r="Q4819" s="20">
        <f>IFERROR(__xludf.DUMMYFUNCTION("""COMPUTED_VALUE"""),45141.5934165625)</f>
        <v>45141.59342</v>
      </c>
      <c r="R4819" s="22" t="str">
        <f>IFERROR(__xludf.DUMMYFUNCTION("""COMPUTED_VALUE"""),"")</f>
        <v/>
      </c>
    </row>
    <row r="4820">
      <c r="A4820" s="15">
        <f>IFERROR(__xludf.DUMMYFUNCTION("""COMPUTED_VALUE"""),45141.0)</f>
        <v>45141</v>
      </c>
      <c r="B4820" s="16" t="str">
        <f>IFERROR(__xludf.DUMMYFUNCTION("""COMPUTED_VALUE"""),"David Sanmartin Bello")</f>
        <v>David Sanmartin Bello</v>
      </c>
      <c r="C4820" s="15" t="str">
        <f>IFERROR(__xludf.DUMMYFUNCTION("""COMPUTED_VALUE"""),"CARTAGENA")</f>
        <v>CARTAGENA</v>
      </c>
      <c r="D4820" s="15" t="str">
        <f>IFERROR(__xludf.DUMMYFUNCTION("""COMPUTED_VALUE"""),"BOGOTÁ")</f>
        <v>BOGOTÁ</v>
      </c>
      <c r="E4820" s="15" t="str">
        <f>IFERROR(__xludf.DUMMYFUNCTION("""COMPUTED_VALUE"""),"Spirulina Fresca")</f>
        <v>Spirulina Fresca</v>
      </c>
      <c r="F4820" s="17" t="str">
        <f>IFERROR(__xludf.DUMMYFUNCTION("""COMPUTED_VALUE"""),"Cr4#46-42 / Edificio laguna del Cabrero apto 1505L / El cabrero")</f>
        <v>Cr4#46-42 / Edificio laguna del Cabrero apto 1505L / El cabrero</v>
      </c>
      <c r="G4820" s="15" t="str">
        <f>IFERROR(__xludf.DUMMYFUNCTION("""COMPUTED_VALUE"""),"Abdon Ramirez")</f>
        <v>Abdon Ramirez</v>
      </c>
      <c r="H4820" s="16">
        <f>IFERROR(__xludf.DUMMYFUNCTION("""COMPUTED_VALUE"""),13569.0)</f>
        <v>13569</v>
      </c>
      <c r="I4820" s="18">
        <f>IFERROR(__xludf.DUMMYFUNCTION("""COMPUTED_VALUE"""),12.0)</f>
        <v>12</v>
      </c>
      <c r="J4820" s="18">
        <f>IFERROR(__xludf.DUMMYFUNCTION("""COMPUTED_VALUE"""),12.0)</f>
        <v>12</v>
      </c>
      <c r="K4820" s="18">
        <f>IFERROR(__xludf.DUMMYFUNCTION("""COMPUTED_VALUE"""),22.0)</f>
        <v>22</v>
      </c>
      <c r="L4820" s="17">
        <f>IFERROR(__xludf.DUMMYFUNCTION("""COMPUTED_VALUE"""),3.008099663E9)</f>
        <v>3008099663</v>
      </c>
      <c r="M4820" s="17" t="str">
        <f>IFERROR(__xludf.DUMMYFUNCTION("""COMPUTED_VALUE"""),"#REF!")</f>
        <v>#REF!</v>
      </c>
      <c r="N4820" s="17"/>
      <c r="O4820" s="17"/>
      <c r="P4820" s="17" t="b">
        <f>IFERROR(__xludf.DUMMYFUNCTION("""COMPUTED_VALUE"""),TRUE)</f>
        <v>1</v>
      </c>
      <c r="Q4820" s="20">
        <f>IFERROR(__xludf.DUMMYFUNCTION("""COMPUTED_VALUE"""),45141.49243929399)</f>
        <v>45141.49244</v>
      </c>
      <c r="R4820" s="21" t="str">
        <f>IFERROR(__xludf.DUMMYFUNCTION("""COMPUTED_VALUE"""),"https://drive.google.com/file/d/19Ed3JU0hfdzTvchKvjNb5j1VwCMhLXbt/view?usp=drivesdk")</f>
        <v>https://drive.google.com/file/d/19Ed3JU0hfdzTvchKvjNb5j1VwCMhLXbt/view?usp=drivesdk</v>
      </c>
    </row>
    <row r="4821">
      <c r="A4821" s="15">
        <f>IFERROR(__xludf.DUMMYFUNCTION("""COMPUTED_VALUE"""),45141.0)</f>
        <v>45141</v>
      </c>
      <c r="B4821" s="16" t="str">
        <f>IFERROR(__xludf.DUMMYFUNCTION("""COMPUTED_VALUE"""),"David Sanmartin Bello")</f>
        <v>David Sanmartin Bello</v>
      </c>
      <c r="C4821" s="15" t="str">
        <f>IFERROR(__xludf.DUMMYFUNCTION("""COMPUTED_VALUE"""),"CARTAGENA")</f>
        <v>CARTAGENA</v>
      </c>
      <c r="D4821" s="15" t="str">
        <f>IFERROR(__xludf.DUMMYFUNCTION("""COMPUTED_VALUE"""),"BOGOTÁ")</f>
        <v>BOGOTÁ</v>
      </c>
      <c r="E4821" s="15" t="str">
        <f>IFERROR(__xludf.DUMMYFUNCTION("""COMPUTED_VALUE"""),"Top Spun")</f>
        <v>Top Spun</v>
      </c>
      <c r="F4821" s="17" t="str">
        <f>IFERROR(__xludf.DUMMYFUNCTION("""COMPUTED_VALUE"""),"Km 8 serena del mar. Conjunto cavana  / Torre 10 apartamento 301 / Cartagena de Indias")</f>
        <v>Km 8 serena del mar. Conjunto cavana  / Torre 10 apartamento 301 / Cartagena de Indias</v>
      </c>
      <c r="G4821" s="15" t="str">
        <f>IFERROR(__xludf.DUMMYFUNCTION("""COMPUTED_VALUE"""),"Laura Melon")</f>
        <v>Laura Melon</v>
      </c>
      <c r="H4821" s="16">
        <f>IFERROR(__xludf.DUMMYFUNCTION("""COMPUTED_VALUE"""),13452.0)</f>
        <v>13452</v>
      </c>
      <c r="I4821" s="18">
        <f>IFERROR(__xludf.DUMMYFUNCTION("""COMPUTED_VALUE"""),20.0)</f>
        <v>20</v>
      </c>
      <c r="J4821" s="18">
        <f>IFERROR(__xludf.DUMMYFUNCTION("""COMPUTED_VALUE"""),10.0)</f>
        <v>10</v>
      </c>
      <c r="K4821" s="18">
        <f>IFERROR(__xludf.DUMMYFUNCTION("""COMPUTED_VALUE"""),40.0)</f>
        <v>40</v>
      </c>
      <c r="L4821" s="17">
        <f>IFERROR(__xludf.DUMMYFUNCTION("""COMPUTED_VALUE"""),3.002021173E9)</f>
        <v>3002021173</v>
      </c>
      <c r="M4821" s="17" t="str">
        <f>IFERROR(__xludf.DUMMYFUNCTION("""COMPUTED_VALUE"""),"#REF!")</f>
        <v>#REF!</v>
      </c>
      <c r="N4821" s="17"/>
      <c r="O4821" s="17"/>
      <c r="P4821" s="17" t="b">
        <f>IFERROR(__xludf.DUMMYFUNCTION("""COMPUTED_VALUE"""),TRUE)</f>
        <v>1</v>
      </c>
      <c r="Q4821" s="20">
        <f>IFERROR(__xludf.DUMMYFUNCTION("""COMPUTED_VALUE"""),45141.472701886574)</f>
        <v>45141.4727</v>
      </c>
      <c r="R4821" s="21" t="str">
        <f>IFERROR(__xludf.DUMMYFUNCTION("""COMPUTED_VALUE"""),"https://drive.google.com/file/d/11BcIC2u1Zu2tvK5G6XedQNk4zzrvgOLm/view?usp=drivesdk")</f>
        <v>https://drive.google.com/file/d/11BcIC2u1Zu2tvK5G6XedQNk4zzrvgOLm/view?usp=drivesdk</v>
      </c>
    </row>
    <row r="4822">
      <c r="A4822" s="15">
        <f>IFERROR(__xludf.DUMMYFUNCTION("""COMPUTED_VALUE"""),45141.0)</f>
        <v>45141</v>
      </c>
      <c r="B4822" s="16" t="str">
        <f>IFERROR(__xludf.DUMMYFUNCTION("""COMPUTED_VALUE"""),"David Sanmartin Bello")</f>
        <v>David Sanmartin Bello</v>
      </c>
      <c r="C4822" s="15" t="str">
        <f>IFERROR(__xludf.DUMMYFUNCTION("""COMPUTED_VALUE"""),"CARTAGENA")</f>
        <v>CARTAGENA</v>
      </c>
      <c r="D4822" s="15" t="str">
        <f>IFERROR(__xludf.DUMMYFUNCTION("""COMPUTED_VALUE"""),"BUCARAMANGA")</f>
        <v>BUCARAMANGA</v>
      </c>
      <c r="E4822" s="15" t="str">
        <f>IFERROR(__xludf.DUMMYFUNCTION("""COMPUTED_VALUE"""),"Yo Como Solito")</f>
        <v>Yo Como Solito</v>
      </c>
      <c r="F4822" s="17" t="str">
        <f>IFERROR(__xludf.DUMMYFUNCTION("""COMPUTED_VALUE"""),"Cartagena de indias. Barrio Gaviotas Primer Etapa Mz 38 Lote 17 segundo piso.. / Cartagena de indias. Barrio Gaviotas Primer Etapa Mz 38 Lote 17 segundo piso.. / Cartagena de indias. Barrio Gaviotas Primer Etapa Mz 38 Lote 17 segundo piso..")</f>
        <v>Cartagena de indias. Barrio Gaviotas Primer Etapa Mz 38 Lote 17 segundo piso.. / Cartagena de indias. Barrio Gaviotas Primer Etapa Mz 38 Lote 17 segundo piso.. / Cartagena de indias. Barrio Gaviotas Primer Etapa Mz 38 Lote 17 segundo piso..</v>
      </c>
      <c r="G4822" s="15" t="str">
        <f>IFERROR(__xludf.DUMMYFUNCTION("""COMPUTED_VALUE"""),"Vanessa Elena Caraballo Guzmán")</f>
        <v>Vanessa Elena Caraballo Guzmán</v>
      </c>
      <c r="H4822" s="16">
        <f>IFERROR(__xludf.DUMMYFUNCTION("""COMPUTED_VALUE"""),13354.0)</f>
        <v>13354</v>
      </c>
      <c r="I4822" s="18">
        <f>IFERROR(__xludf.DUMMYFUNCTION("""COMPUTED_VALUE"""),13.0)</f>
        <v>13</v>
      </c>
      <c r="J4822" s="18">
        <f>IFERROR(__xludf.DUMMYFUNCTION("""COMPUTED_VALUE"""),29.0)</f>
        <v>29</v>
      </c>
      <c r="K4822" s="18">
        <f>IFERROR(__xludf.DUMMYFUNCTION("""COMPUTED_VALUE"""),37.0)</f>
        <v>37</v>
      </c>
      <c r="L4822" s="17">
        <f>IFERROR(__xludf.DUMMYFUNCTION("""COMPUTED_VALUE"""),3.163391533E9)</f>
        <v>3163391533</v>
      </c>
      <c r="M4822" s="17" t="str">
        <f>IFERROR(__xludf.DUMMYFUNCTION("""COMPUTED_VALUE"""),"#REF!")</f>
        <v>#REF!</v>
      </c>
      <c r="N4822" s="17"/>
      <c r="O4822" s="17"/>
      <c r="P4822" s="17" t="b">
        <f>IFERROR(__xludf.DUMMYFUNCTION("""COMPUTED_VALUE"""),TRUE)</f>
        <v>1</v>
      </c>
      <c r="Q4822" s="20">
        <f>IFERROR(__xludf.DUMMYFUNCTION("""COMPUTED_VALUE"""),45141.69769920139)</f>
        <v>45141.6977</v>
      </c>
      <c r="R4822" s="21" t="str">
        <f>IFERROR(__xludf.DUMMYFUNCTION("""COMPUTED_VALUE"""),"https://drive.google.com/file/d/1cj7S35mOFzvnh6qc5rS1WqFouJVISuRA/view?usp=drivesdk")</f>
        <v>https://drive.google.com/file/d/1cj7S35mOFzvnh6qc5rS1WqFouJVISuRA/view?usp=drivesdk</v>
      </c>
    </row>
    <row r="4823">
      <c r="A4823" s="15">
        <f>IFERROR(__xludf.DUMMYFUNCTION("""COMPUTED_VALUE"""),45141.0)</f>
        <v>45141</v>
      </c>
      <c r="B4823" s="16" t="str">
        <f>IFERROR(__xludf.DUMMYFUNCTION("""COMPUTED_VALUE"""),"David Sanmartin Bello")</f>
        <v>David Sanmartin Bello</v>
      </c>
      <c r="C4823" s="15" t="str">
        <f>IFERROR(__xludf.DUMMYFUNCTION("""COMPUTED_VALUE"""),"CARTAGENA")</f>
        <v>CARTAGENA</v>
      </c>
      <c r="D4823" s="15" t="str">
        <f>IFERROR(__xludf.DUMMYFUNCTION("""COMPUTED_VALUE"""),"MEDELLÍN")</f>
        <v>MEDELLÍN</v>
      </c>
      <c r="E4823" s="15" t="str">
        <f>IFERROR(__xludf.DUMMYFUNCTION("""COMPUTED_VALUE"""),"Rambla")</f>
        <v>Rambla</v>
      </c>
      <c r="F4823" s="17" t="str">
        <f>IFERROR(__xludf.DUMMYFUNCTION("""COMPUTED_VALUE"""),"CRA 12  5A-09 Apto 2101 Edificio Ponce de León Cartagena / . / .")</f>
        <v>CRA 12  5A-09 Apto 2101 Edificio Ponce de León Cartagena / . / .</v>
      </c>
      <c r="G4823" s="15" t="str">
        <f>IFERROR(__xludf.DUMMYFUNCTION("""COMPUTED_VALUE"""),"Guadalupe Yidios G.")</f>
        <v>Guadalupe Yidios G.</v>
      </c>
      <c r="H4823" s="16">
        <f>IFERROR(__xludf.DUMMYFUNCTION("""COMPUTED_VALUE"""),13487.0)</f>
        <v>13487</v>
      </c>
      <c r="I4823" s="18">
        <f>IFERROR(__xludf.DUMMYFUNCTION("""COMPUTED_VALUE"""),18.0)</f>
        <v>18</v>
      </c>
      <c r="J4823" s="18">
        <f>IFERROR(__xludf.DUMMYFUNCTION("""COMPUTED_VALUE"""),20.0)</f>
        <v>20</v>
      </c>
      <c r="K4823" s="18">
        <f>IFERROR(__xludf.DUMMYFUNCTION("""COMPUTED_VALUE"""),20.0)</f>
        <v>20</v>
      </c>
      <c r="L4823" s="17">
        <f>IFERROR(__xludf.DUMMYFUNCTION("""COMPUTED_VALUE"""),3.157312839E9)</f>
        <v>3157312839</v>
      </c>
      <c r="M4823" s="17" t="str">
        <f>IFERROR(__xludf.DUMMYFUNCTION("""COMPUTED_VALUE"""),"#REF!")</f>
        <v>#REF!</v>
      </c>
      <c r="N4823" s="17"/>
      <c r="O4823" s="17"/>
      <c r="P4823" s="17" t="b">
        <f>IFERROR(__xludf.DUMMYFUNCTION("""COMPUTED_VALUE"""),TRUE)</f>
        <v>1</v>
      </c>
      <c r="Q4823" s="20">
        <f>IFERROR(__xludf.DUMMYFUNCTION("""COMPUTED_VALUE"""),45141.47274974537)</f>
        <v>45141.47275</v>
      </c>
      <c r="R4823" s="21" t="str">
        <f>IFERROR(__xludf.DUMMYFUNCTION("""COMPUTED_VALUE"""),"https://drive.google.com/file/d/16CpqHhM8OQEqYNYT6fi4ffoCs77rdzZv/view?usp=drivesdk")</f>
        <v>https://drive.google.com/file/d/16CpqHhM8OQEqYNYT6fi4ffoCs77rdzZv/view?usp=drivesdk</v>
      </c>
    </row>
    <row r="4824">
      <c r="A4824" s="17" t="str">
        <f>IFERROR(__xludf.DUMMYFUNCTION("""COMPUTED_VALUE"""),"")</f>
        <v/>
      </c>
      <c r="B4824" s="17" t="str">
        <f>IFERROR(__xludf.DUMMYFUNCTION("""COMPUTED_VALUE"""),"")</f>
        <v/>
      </c>
      <c r="C4824" s="17" t="str">
        <f>IFERROR(__xludf.DUMMYFUNCTION("""COMPUTED_VALUE"""),"")</f>
        <v/>
      </c>
      <c r="D4824" s="17" t="str">
        <f>IFERROR(__xludf.DUMMYFUNCTION("""COMPUTED_VALUE"""),"")</f>
        <v/>
      </c>
      <c r="E4824" s="17" t="str">
        <f>IFERROR(__xludf.DUMMYFUNCTION("""COMPUTED_VALUE"""),"")</f>
        <v/>
      </c>
      <c r="F4824" s="17" t="str">
        <f>IFERROR(__xludf.DUMMYFUNCTION("""COMPUTED_VALUE"""),"")</f>
        <v/>
      </c>
      <c r="G4824" s="17" t="str">
        <f>IFERROR(__xludf.DUMMYFUNCTION("""COMPUTED_VALUE"""),"")</f>
        <v/>
      </c>
      <c r="H4824" s="17" t="str">
        <f>IFERROR(__xludf.DUMMYFUNCTION("""COMPUTED_VALUE"""),"")</f>
        <v/>
      </c>
      <c r="I4824" s="17" t="str">
        <f>IFERROR(__xludf.DUMMYFUNCTION("""COMPUTED_VALUE"""),"")</f>
        <v/>
      </c>
      <c r="J4824" s="17" t="str">
        <f>IFERROR(__xludf.DUMMYFUNCTION("""COMPUTED_VALUE"""),"")</f>
        <v/>
      </c>
      <c r="K4824" s="17" t="str">
        <f>IFERROR(__xludf.DUMMYFUNCTION("""COMPUTED_VALUE"""),"")</f>
        <v/>
      </c>
      <c r="L4824" s="17" t="str">
        <f>IFERROR(__xludf.DUMMYFUNCTION("""COMPUTED_VALUE"""),"")</f>
        <v/>
      </c>
      <c r="M4824" s="17" t="str">
        <f>IFERROR(__xludf.DUMMYFUNCTION("""COMPUTED_VALUE"""),"")</f>
        <v/>
      </c>
      <c r="N4824" s="17" t="str">
        <f>IFERROR(__xludf.DUMMYFUNCTION("""COMPUTED_VALUE"""),"")</f>
        <v/>
      </c>
      <c r="O4824" s="17" t="str">
        <f>IFERROR(__xludf.DUMMYFUNCTION("""COMPUTED_VALUE"""),"")</f>
        <v/>
      </c>
      <c r="P4824" s="17" t="str">
        <f>IFERROR(__xludf.DUMMYFUNCTION("""COMPUTED_VALUE"""),"")</f>
        <v/>
      </c>
      <c r="Q4824" s="17" t="str">
        <f>IFERROR(__xludf.DUMMYFUNCTION("""COMPUTED_VALUE"""),"")</f>
        <v/>
      </c>
      <c r="R4824" s="17" t="str">
        <f>IFERROR(__xludf.DUMMYFUNCTION("""COMPUTED_VALUE"""),"")</f>
        <v/>
      </c>
    </row>
    <row r="4825">
      <c r="A4825" s="15">
        <f>IFERROR(__xludf.DUMMYFUNCTION("""COMPUTED_VALUE"""),45141.0)</f>
        <v>45141</v>
      </c>
      <c r="B4825" s="16" t="str">
        <f>IFERROR(__xludf.DUMMYFUNCTION("""COMPUTED_VALUE"""),"Envia")</f>
        <v>Envia</v>
      </c>
      <c r="C4825" s="15" t="str">
        <f>IFERROR(__xludf.DUMMYFUNCTION("""COMPUTED_VALUE"""),"BARRANQUILLA")</f>
        <v>BARRANQUILLA</v>
      </c>
      <c r="D4825" s="15" t="str">
        <f>IFERROR(__xludf.DUMMYFUNCTION("""COMPUTED_VALUE"""),"BOGOTÁ")</f>
        <v>BOGOTÁ</v>
      </c>
      <c r="E4825" s="15" t="str">
        <f>IFERROR(__xludf.DUMMYFUNCTION("""COMPUTED_VALUE"""),"Jacobsen")</f>
        <v>Jacobsen</v>
      </c>
      <c r="F4825" s="17" t="str">
        <f>IFERROR(__xludf.DUMMYFUNCTION("""COMPUTED_VALUE"""),"CARRERA 55 #88-176 / EDIFICIO SUMMIT APTO 901 / BARRANQUILLA")</f>
        <v>CARRERA 55 #88-176 / EDIFICIO SUMMIT APTO 901 / BARRANQUILLA</v>
      </c>
      <c r="G4825" s="15" t="str">
        <f>IFERROR(__xludf.DUMMYFUNCTION("""COMPUTED_VALUE"""),"ALEJANDRO ACOSTA")</f>
        <v>ALEJANDRO ACOSTA</v>
      </c>
      <c r="H4825" s="16">
        <f>IFERROR(__xludf.DUMMYFUNCTION("""COMPUTED_VALUE"""),13518.0)</f>
        <v>13518</v>
      </c>
      <c r="I4825" s="18">
        <f>IFERROR(__xludf.DUMMYFUNCTION("""COMPUTED_VALUE"""),13.0)</f>
        <v>13</v>
      </c>
      <c r="J4825" s="18">
        <f>IFERROR(__xludf.DUMMYFUNCTION("""COMPUTED_VALUE"""),29.0)</f>
        <v>29</v>
      </c>
      <c r="K4825" s="18">
        <f>IFERROR(__xludf.DUMMYFUNCTION("""COMPUTED_VALUE"""),38.0)</f>
        <v>38</v>
      </c>
      <c r="L4825" s="17">
        <f>IFERROR(__xludf.DUMMYFUNCTION("""COMPUTED_VALUE"""),3.125230937E9)</f>
        <v>3125230937</v>
      </c>
      <c r="M4825" s="17" t="str">
        <f>IFERROR(__xludf.DUMMYFUNCTION("""COMPUTED_VALUE"""),"#REF!")</f>
        <v>#REF!</v>
      </c>
      <c r="N4825" s="17"/>
      <c r="O4825" s="17"/>
      <c r="P4825" s="17" t="b">
        <f>IFERROR(__xludf.DUMMYFUNCTION("""COMPUTED_VALUE"""),TRUE)</f>
        <v>1</v>
      </c>
      <c r="Q4825" s="20">
        <f>IFERROR(__xludf.DUMMYFUNCTION("""COMPUTED_VALUE"""),45141.47279517361)</f>
        <v>45141.4728</v>
      </c>
      <c r="R4825" s="21" t="str">
        <f>IFERROR(__xludf.DUMMYFUNCTION("""COMPUTED_VALUE"""),"https://drive.google.com/file/d/170BBZIQYY1f6X2DasXkqfUv_D_Aei0-v/view?usp=drivesdk")</f>
        <v>https://drive.google.com/file/d/170BBZIQYY1f6X2DasXkqfUv_D_Aei0-v/view?usp=drivesdk</v>
      </c>
    </row>
    <row r="4826">
      <c r="A4826" s="15">
        <f>IFERROR(__xludf.DUMMYFUNCTION("""COMPUTED_VALUE"""),45141.0)</f>
        <v>45141</v>
      </c>
      <c r="B4826" s="16" t="str">
        <f>IFERROR(__xludf.DUMMYFUNCTION("""COMPUTED_VALUE"""),"Envia")</f>
        <v>Envia</v>
      </c>
      <c r="C4826" s="15" t="str">
        <f>IFERROR(__xludf.DUMMYFUNCTION("""COMPUTED_VALUE"""),"BARRANQUILLA")</f>
        <v>BARRANQUILLA</v>
      </c>
      <c r="D4826" s="15" t="str">
        <f>IFERROR(__xludf.DUMMYFUNCTION("""COMPUTED_VALUE"""),"BOGOTÁ")</f>
        <v>BOGOTÁ</v>
      </c>
      <c r="E4826" s="15" t="str">
        <f>IFERROR(__xludf.DUMMYFUNCTION("""COMPUTED_VALUE"""),"Pan de Waffle")</f>
        <v>Pan de Waffle</v>
      </c>
      <c r="F4826" s="17" t="str">
        <f>IFERROR(__xludf.DUMMYFUNCTION("""COMPUTED_VALUE"""),"CR 53 80 284 LC 8 / CR 53 80 284 LC 8 / CR 53 80 284 LC 8")</f>
        <v>CR 53 80 284 LC 8 / CR 53 80 284 LC 8 / CR 53 80 284 LC 8</v>
      </c>
      <c r="G4826" s="15" t="str">
        <f>IFERROR(__xludf.DUMMYFUNCTION("""COMPUTED_VALUE"""),"COPORFIT")</f>
        <v>COPORFIT</v>
      </c>
      <c r="H4826" s="16">
        <f>IFERROR(__xludf.DUMMYFUNCTION("""COMPUTED_VALUE"""),13514.0)</f>
        <v>13514</v>
      </c>
      <c r="I4826" s="18">
        <f>IFERROR(__xludf.DUMMYFUNCTION("""COMPUTED_VALUE"""),30.0)</f>
        <v>30</v>
      </c>
      <c r="J4826" s="18">
        <f>IFERROR(__xludf.DUMMYFUNCTION("""COMPUTED_VALUE"""),40.0)</f>
        <v>40</v>
      </c>
      <c r="K4826" s="18">
        <f>IFERROR(__xludf.DUMMYFUNCTION("""COMPUTED_VALUE"""),30.0)</f>
        <v>30</v>
      </c>
      <c r="L4826" s="17">
        <f>IFERROR(__xludf.DUMMYFUNCTION("""COMPUTED_VALUE"""),3.006125263E9)</f>
        <v>3006125263</v>
      </c>
      <c r="M4826" s="17" t="str">
        <f>IFERROR(__xludf.DUMMYFUNCTION("""COMPUTED_VALUE"""),"#REF!")</f>
        <v>#REF!</v>
      </c>
      <c r="N4826" s="17"/>
      <c r="O4826" s="17"/>
      <c r="P4826" s="17" t="b">
        <f>IFERROR(__xludf.DUMMYFUNCTION("""COMPUTED_VALUE"""),TRUE)</f>
        <v>1</v>
      </c>
      <c r="Q4826" s="20">
        <f>IFERROR(__xludf.DUMMYFUNCTION("""COMPUTED_VALUE"""),45141.61335111111)</f>
        <v>45141.61335</v>
      </c>
      <c r="R4826" s="22" t="str">
        <f>IFERROR(__xludf.DUMMYFUNCTION("""COMPUTED_VALUE"""),"")</f>
        <v/>
      </c>
    </row>
    <row r="4827">
      <c r="A4827" s="15">
        <f>IFERROR(__xludf.DUMMYFUNCTION("""COMPUTED_VALUE"""),45141.0)</f>
        <v>45141</v>
      </c>
      <c r="B4827" s="16" t="str">
        <f>IFERROR(__xludf.DUMMYFUNCTION("""COMPUTED_VALUE"""),"Envia")</f>
        <v>Envia</v>
      </c>
      <c r="C4827" s="15" t="str">
        <f>IFERROR(__xludf.DUMMYFUNCTION("""COMPUTED_VALUE"""),"BARRANQUILLA")</f>
        <v>BARRANQUILLA</v>
      </c>
      <c r="D4827" s="15" t="str">
        <f>IFERROR(__xludf.DUMMYFUNCTION("""COMPUTED_VALUE"""),"BOGOTÁ")</f>
        <v>BOGOTÁ</v>
      </c>
      <c r="E4827" s="15" t="str">
        <f>IFERROR(__xludf.DUMMYFUNCTION("""COMPUTED_VALUE"""),"Viiva Fermentados")</f>
        <v>Viiva Fermentados</v>
      </c>
      <c r="F4827" s="17" t="str">
        <f>IFERROR(__xludf.DUMMYFUNCTION("""COMPUTED_VALUE"""),"Calle 65 # 32-125 / Apto 604B / Portal de San Mateo")</f>
        <v>Calle 65 # 32-125 / Apto 604B / Portal de San Mateo</v>
      </c>
      <c r="G4827" s="15" t="str">
        <f>IFERROR(__xludf.DUMMYFUNCTION("""COMPUTED_VALUE"""),"Katherine Rua Acosta")</f>
        <v>Katherine Rua Acosta</v>
      </c>
      <c r="H4827" s="16">
        <f>IFERROR(__xludf.DUMMYFUNCTION("""COMPUTED_VALUE"""),13385.0)</f>
        <v>13385</v>
      </c>
      <c r="I4827" s="18">
        <f>IFERROR(__xludf.DUMMYFUNCTION("""COMPUTED_VALUE"""),34.0)</f>
        <v>34</v>
      </c>
      <c r="J4827" s="18">
        <f>IFERROR(__xludf.DUMMYFUNCTION("""COMPUTED_VALUE"""),18.0)</f>
        <v>18</v>
      </c>
      <c r="K4827" s="18">
        <f>IFERROR(__xludf.DUMMYFUNCTION("""COMPUTED_VALUE"""),18.0)</f>
        <v>18</v>
      </c>
      <c r="L4827" s="17">
        <f>IFERROR(__xludf.DUMMYFUNCTION("""COMPUTED_VALUE"""),3.218407435E9)</f>
        <v>3218407435</v>
      </c>
      <c r="M4827" s="17" t="str">
        <f>IFERROR(__xludf.DUMMYFUNCTION("""COMPUTED_VALUE"""),"#REF!")</f>
        <v>#REF!</v>
      </c>
      <c r="N4827" s="17"/>
      <c r="O4827" s="17"/>
      <c r="P4827" s="17" t="b">
        <f>IFERROR(__xludf.DUMMYFUNCTION("""COMPUTED_VALUE"""),TRUE)</f>
        <v>1</v>
      </c>
      <c r="Q4827" s="20">
        <f>IFERROR(__xludf.DUMMYFUNCTION("""COMPUTED_VALUE"""),45141.43190011574)</f>
        <v>45141.4319</v>
      </c>
      <c r="R4827" s="21" t="str">
        <f>IFERROR(__xludf.DUMMYFUNCTION("""COMPUTED_VALUE"""),"https://drive.google.com/file/d/1P5fLvzxaKZOBrUV4v0xB8MfLtDKpF-LD/view?usp=drivesdk")</f>
        <v>https://drive.google.com/file/d/1P5fLvzxaKZOBrUV4v0xB8MfLtDKpF-LD/view?usp=drivesdk</v>
      </c>
    </row>
    <row r="4828">
      <c r="A4828" s="15">
        <f>IFERROR(__xludf.DUMMYFUNCTION("""COMPUTED_VALUE"""),45141.0)</f>
        <v>45141</v>
      </c>
      <c r="B4828" s="16" t="str">
        <f>IFERROR(__xludf.DUMMYFUNCTION("""COMPUTED_VALUE"""),"Envia")</f>
        <v>Envia</v>
      </c>
      <c r="C4828" s="15" t="str">
        <f>IFERROR(__xludf.DUMMYFUNCTION("""COMPUTED_VALUE"""),"CARTAGENA")</f>
        <v>CARTAGENA</v>
      </c>
      <c r="D4828" s="15" t="str">
        <f>IFERROR(__xludf.DUMMYFUNCTION("""COMPUTED_VALUE"""),"BOGOTÁ")</f>
        <v>BOGOTÁ</v>
      </c>
      <c r="E4828" s="15" t="str">
        <f>IFERROR(__xludf.DUMMYFUNCTION("""COMPUTED_VALUE"""),"Karem foods")</f>
        <v>Karem foods</v>
      </c>
      <c r="F4828" s="17" t="str">
        <f>IFERROR(__xludf.DUMMYFUNCTION("""COMPUTED_VALUE"""),"Calle 6 # 4 -20  / Centro comercial la estación - Local 1  / Barrio castillo grande")</f>
        <v>Calle 6 # 4 -20  / Centro comercial la estación - Local 1  / Barrio castillo grande</v>
      </c>
      <c r="G4828" s="15" t="str">
        <f>IFERROR(__xludf.DUMMYFUNCTION("""COMPUTED_VALUE"""),"CocoFit Mercado saludable")</f>
        <v>CocoFit Mercado saludable</v>
      </c>
      <c r="H4828" s="16">
        <f>IFERROR(__xludf.DUMMYFUNCTION("""COMPUTED_VALUE"""),13419.0)</f>
        <v>13419</v>
      </c>
      <c r="I4828" s="18">
        <f>IFERROR(__xludf.DUMMYFUNCTION("""COMPUTED_VALUE"""),23.0)</f>
        <v>23</v>
      </c>
      <c r="J4828" s="18">
        <f>IFERROR(__xludf.DUMMYFUNCTION("""COMPUTED_VALUE"""),20.0)</f>
        <v>20</v>
      </c>
      <c r="K4828" s="18">
        <f>IFERROR(__xludf.DUMMYFUNCTION("""COMPUTED_VALUE"""),42.0)</f>
        <v>42</v>
      </c>
      <c r="L4828" s="17">
        <f>IFERROR(__xludf.DUMMYFUNCTION("""COMPUTED_VALUE"""),3.045768274E9)</f>
        <v>3045768274</v>
      </c>
      <c r="M4828" s="17" t="str">
        <f>IFERROR(__xludf.DUMMYFUNCTION("""COMPUTED_VALUE"""),"#REF!")</f>
        <v>#REF!</v>
      </c>
      <c r="N4828" s="17"/>
      <c r="O4828" s="17"/>
      <c r="P4828" s="17" t="b">
        <f>IFERROR(__xludf.DUMMYFUNCTION("""COMPUTED_VALUE"""),FALSE)</f>
        <v>0</v>
      </c>
      <c r="Q4828" s="20" t="str">
        <f>IFERROR(__xludf.DUMMYFUNCTION("""COMPUTED_VALUE"""),"")</f>
        <v/>
      </c>
      <c r="R4828" s="21" t="str">
        <f>IFERROR(__xludf.DUMMYFUNCTION("""COMPUTED_VALUE"""),"https://drive.google.com/file/d/1ZQC8cGA7iZUtH9BVQxK14IC3qAzVQQZ0/view?usp=drivesdk")</f>
        <v>https://drive.google.com/file/d/1ZQC8cGA7iZUtH9BVQxK14IC3qAzVQQZ0/view?usp=drivesdk</v>
      </c>
    </row>
    <row r="4829">
      <c r="A4829" s="15">
        <f>IFERROR(__xludf.DUMMYFUNCTION("""COMPUTED_VALUE"""),45141.0)</f>
        <v>45141</v>
      </c>
      <c r="B4829" s="16" t="str">
        <f>IFERROR(__xludf.DUMMYFUNCTION("""COMPUTED_VALUE"""),"Envia")</f>
        <v>Envia</v>
      </c>
      <c r="C4829" s="15" t="str">
        <f>IFERROR(__xludf.DUMMYFUNCTION("""COMPUTED_VALUE"""),"CARTAGENA")</f>
        <v>CARTAGENA</v>
      </c>
      <c r="D4829" s="15" t="str">
        <f>IFERROR(__xludf.DUMMYFUNCTION("""COMPUTED_VALUE"""),"MEDELLÍN")</f>
        <v>MEDELLÍN</v>
      </c>
      <c r="E4829" s="15" t="str">
        <f>IFERROR(__xludf.DUMMYFUNCTION("""COMPUTED_VALUE"""),"Rambla")</f>
        <v>Rambla</v>
      </c>
      <c r="F4829" s="17" t="str">
        <f>IFERROR(__xludf.DUMMYFUNCTION("""COMPUTED_VALUE"""),"Calle 9#3-19 Edif bahía Bolívar apto 501 / Barrio bocagrande / Cartagena")</f>
        <v>Calle 9#3-19 Edif bahía Bolívar apto 501 / Barrio bocagrande / Cartagena</v>
      </c>
      <c r="G4829" s="15" t="str">
        <f>IFERROR(__xludf.DUMMYFUNCTION("""COMPUTED_VALUE"""),"Katerin bustillo")</f>
        <v>Katerin bustillo</v>
      </c>
      <c r="H4829" s="16">
        <f>IFERROR(__xludf.DUMMYFUNCTION("""COMPUTED_VALUE"""),13489.0)</f>
        <v>13489</v>
      </c>
      <c r="I4829" s="18">
        <f>IFERROR(__xludf.DUMMYFUNCTION("""COMPUTED_VALUE"""),26.0)</f>
        <v>26</v>
      </c>
      <c r="J4829" s="18">
        <f>IFERROR(__xludf.DUMMYFUNCTION("""COMPUTED_VALUE"""),24.0)</f>
        <v>24</v>
      </c>
      <c r="K4829" s="18">
        <f>IFERROR(__xludf.DUMMYFUNCTION("""COMPUTED_VALUE"""),24.0)</f>
        <v>24</v>
      </c>
      <c r="L4829" s="17">
        <f>IFERROR(__xludf.DUMMYFUNCTION("""COMPUTED_VALUE"""),3.127642343E9)</f>
        <v>3127642343</v>
      </c>
      <c r="M4829" s="17" t="str">
        <f>IFERROR(__xludf.DUMMYFUNCTION("""COMPUTED_VALUE"""),"#REF!")</f>
        <v>#REF!</v>
      </c>
      <c r="N4829" s="17"/>
      <c r="O4829" s="17"/>
      <c r="P4829" s="17" t="b">
        <f>IFERROR(__xludf.DUMMYFUNCTION("""COMPUTED_VALUE"""),FALSE)</f>
        <v>0</v>
      </c>
      <c r="Q4829" s="20" t="str">
        <f>IFERROR(__xludf.DUMMYFUNCTION("""COMPUTED_VALUE"""),"")</f>
        <v/>
      </c>
      <c r="R4829" s="21" t="str">
        <f>IFERROR(__xludf.DUMMYFUNCTION("""COMPUTED_VALUE"""),"https://drive.google.com/file/d/1EtaaXOrzaAcv9FY9LD1uDlcdlVL4r9C5/view?usp=drivesdk")</f>
        <v>https://drive.google.com/file/d/1EtaaXOrzaAcv9FY9LD1uDlcdlVL4r9C5/view?usp=drivesdk</v>
      </c>
    </row>
    <row r="4830">
      <c r="A4830" s="15">
        <f>IFERROR(__xludf.DUMMYFUNCTION("""COMPUTED_VALUE"""),45141.0)</f>
        <v>45141</v>
      </c>
      <c r="B4830" s="16" t="str">
        <f>IFERROR(__xludf.DUMMYFUNCTION("""COMPUTED_VALUE"""),"Envia")</f>
        <v>Envia</v>
      </c>
      <c r="C4830" s="15" t="str">
        <f>IFERROR(__xludf.DUMMYFUNCTION("""COMPUTED_VALUE"""),"CARTAGENA")</f>
        <v>CARTAGENA</v>
      </c>
      <c r="D4830" s="15" t="str">
        <f>IFERROR(__xludf.DUMMYFUNCTION("""COMPUTED_VALUE"""),"MEDELLÍN")</f>
        <v>MEDELLÍN</v>
      </c>
      <c r="E4830" s="15" t="str">
        <f>IFERROR(__xludf.DUMMYFUNCTION("""COMPUTED_VALUE"""),"Todo Bufala")</f>
        <v>Todo Bufala</v>
      </c>
      <c r="F4830" s="17" t="str">
        <f>IFERROR(__xludf.DUMMYFUNCTION("""COMPUTED_VALUE"""),"Calle Media Luna #10-46 (Cra 30) / Pizzería Getsemani")</f>
        <v>Calle Media Luna #10-46 (Cra 30) / Pizzería Getsemani</v>
      </c>
      <c r="G4830" s="15" t="str">
        <f>IFERROR(__xludf.DUMMYFUNCTION("""COMPUTED_VALUE"""),"Media Luna Getsemani SAS")</f>
        <v>Media Luna Getsemani SAS</v>
      </c>
      <c r="H4830" s="16">
        <f>IFERROR(__xludf.DUMMYFUNCTION("""COMPUTED_VALUE"""),13409.0)</f>
        <v>13409</v>
      </c>
      <c r="I4830" s="18">
        <f>IFERROR(__xludf.DUMMYFUNCTION("""COMPUTED_VALUE"""),15.0)</f>
        <v>15</v>
      </c>
      <c r="J4830" s="18">
        <f>IFERROR(__xludf.DUMMYFUNCTION("""COMPUTED_VALUE"""),30.0)</f>
        <v>30</v>
      </c>
      <c r="K4830" s="18">
        <f>IFERROR(__xludf.DUMMYFUNCTION("""COMPUTED_VALUE"""),40.0)</f>
        <v>40</v>
      </c>
      <c r="L4830" s="17" t="str">
        <f>IFERROR(__xludf.DUMMYFUNCTION("""COMPUTED_VALUE"""),"300 1958402 - 316 6994940")</f>
        <v>300 1958402 - 316 6994940</v>
      </c>
      <c r="M4830" s="17" t="str">
        <f>IFERROR(__xludf.DUMMYFUNCTION("""COMPUTED_VALUE"""),"#REF!")</f>
        <v>#REF!</v>
      </c>
      <c r="N4830" s="17"/>
      <c r="O4830" s="17"/>
      <c r="P4830" s="17" t="b">
        <f>IFERROR(__xludf.DUMMYFUNCTION("""COMPUTED_VALUE"""),FALSE)</f>
        <v>0</v>
      </c>
      <c r="Q4830" s="20" t="str">
        <f>IFERROR(__xludf.DUMMYFUNCTION("""COMPUTED_VALUE"""),"")</f>
        <v/>
      </c>
      <c r="R4830" s="21" t="str">
        <f>IFERROR(__xludf.DUMMYFUNCTION("""COMPUTED_VALUE"""),"https://drive.google.com/file/d/1C7oU-QNECIr5jG3KfuQFeg0mfguVs0tK/view?usp=drivesdk")</f>
        <v>https://drive.google.com/file/d/1C7oU-QNECIr5jG3KfuQFeg0mfguVs0tK/view?usp=drivesdk</v>
      </c>
    </row>
    <row r="4831">
      <c r="A4831" s="15">
        <f>IFERROR(__xludf.DUMMYFUNCTION("""COMPUTED_VALUE"""),45141.0)</f>
        <v>45141</v>
      </c>
      <c r="B4831" s="16" t="str">
        <f>IFERROR(__xludf.DUMMYFUNCTION("""COMPUTED_VALUE"""),"Envia")</f>
        <v>Envia</v>
      </c>
      <c r="C4831" s="15" t="str">
        <f>IFERROR(__xludf.DUMMYFUNCTION("""COMPUTED_VALUE"""),"JAMUNDI")</f>
        <v>JAMUNDI</v>
      </c>
      <c r="D4831" s="15" t="str">
        <f>IFERROR(__xludf.DUMMYFUNCTION("""COMPUTED_VALUE"""),"MEDELLÍN")</f>
        <v>MEDELLÍN</v>
      </c>
      <c r="E4831" s="15" t="str">
        <f>IFERROR(__xludf.DUMMYFUNCTION("""COMPUTED_VALUE"""),"Puro Verde")</f>
        <v>Puro Verde</v>
      </c>
      <c r="F4831" s="17" t="str">
        <f>IFERROR(__xludf.DUMMYFUNCTION("""COMPUTED_VALUE"""),"CRA 41G SUR # 20B -55.  / TERRANOVA 5ta ETAPA.  /  CASA CUIDADO DEL PACIENTE. 3 cuadras después de las canchas. En la esquina hay Ferreteria")</f>
        <v>CRA 41G SUR # 20B -55.  / TERRANOVA 5ta ETAPA.  /  CASA CUIDADO DEL PACIENTE. 3 cuadras después de las canchas. En la esquina hay Ferreteria</v>
      </c>
      <c r="G4831" s="15" t="str">
        <f>IFERROR(__xludf.DUMMYFUNCTION("""COMPUTED_VALUE"""),"ANYELO ZAMIR LOZANO PLAZA")</f>
        <v>ANYELO ZAMIR LOZANO PLAZA</v>
      </c>
      <c r="H4831" s="16">
        <f>IFERROR(__xludf.DUMMYFUNCTION("""COMPUTED_VALUE"""),13387.0)</f>
        <v>13387</v>
      </c>
      <c r="I4831" s="18">
        <f>IFERROR(__xludf.DUMMYFUNCTION("""COMPUTED_VALUE"""),40.0)</f>
        <v>40</v>
      </c>
      <c r="J4831" s="18">
        <f>IFERROR(__xludf.DUMMYFUNCTION("""COMPUTED_VALUE"""),40.0)</f>
        <v>40</v>
      </c>
      <c r="K4831" s="18">
        <f>IFERROR(__xludf.DUMMYFUNCTION("""COMPUTED_VALUE"""),40.0)</f>
        <v>40</v>
      </c>
      <c r="L4831" s="17">
        <f>IFERROR(__xludf.DUMMYFUNCTION("""COMPUTED_VALUE"""),3.503748478E9)</f>
        <v>3503748478</v>
      </c>
      <c r="M4831" s="17" t="str">
        <f>IFERROR(__xludf.DUMMYFUNCTION("""COMPUTED_VALUE"""),"#REF!")</f>
        <v>#REF!</v>
      </c>
      <c r="N4831" s="17"/>
      <c r="O4831" s="17"/>
      <c r="P4831" s="17" t="b">
        <f>IFERROR(__xludf.DUMMYFUNCTION("""COMPUTED_VALUE"""),FALSE)</f>
        <v>0</v>
      </c>
      <c r="Q4831" s="20" t="str">
        <f>IFERROR(__xludf.DUMMYFUNCTION("""COMPUTED_VALUE"""),"")</f>
        <v/>
      </c>
      <c r="R4831" s="22" t="str">
        <f>IFERROR(__xludf.DUMMYFUNCTION("""COMPUTED_VALUE"""),"")</f>
        <v/>
      </c>
    </row>
    <row r="4832">
      <c r="A4832" s="15">
        <f>IFERROR(__xludf.DUMMYFUNCTION("""COMPUTED_VALUE"""),45141.0)</f>
        <v>45141</v>
      </c>
      <c r="B4832" s="16" t="str">
        <f>IFERROR(__xludf.DUMMYFUNCTION("""COMPUTED_VALUE"""),"Envia")</f>
        <v>Envia</v>
      </c>
      <c r="C4832" s="15" t="str">
        <f>IFERROR(__xludf.DUMMYFUNCTION("""COMPUTED_VALUE"""),"MEDELLÍN")</f>
        <v>MEDELLÍN</v>
      </c>
      <c r="D4832" s="15" t="str">
        <f>IFERROR(__xludf.DUMMYFUNCTION("""COMPUTED_VALUE"""),"BOGOTÁ")</f>
        <v>BOGOTÁ</v>
      </c>
      <c r="E4832" s="15" t="str">
        <f>IFERROR(__xludf.DUMMYFUNCTION("""COMPUTED_VALUE"""),"Forever Dog")</f>
        <v>Forever Dog</v>
      </c>
      <c r="F4832" s="17" t="str">
        <f>IFERROR(__xludf.DUMMYFUNCTION("""COMPUTED_VALUE"""),"Carrera 37# 10a-29. Hotel click clack, habitación 422 / Hotel click clack, habitación 422 / El poblado")</f>
        <v>Carrera 37# 10a-29. Hotel click clack, habitación 422 / Hotel click clack, habitación 422 / El poblado</v>
      </c>
      <c r="G4832" s="15" t="str">
        <f>IFERROR(__xludf.DUMMYFUNCTION("""COMPUTED_VALUE"""),"Jenn Sua")</f>
        <v>Jenn Sua</v>
      </c>
      <c r="H4832" s="16">
        <f>IFERROR(__xludf.DUMMYFUNCTION("""COMPUTED_VALUE"""),13476.0)</f>
        <v>13476</v>
      </c>
      <c r="I4832" s="18">
        <f>IFERROR(__xludf.DUMMYFUNCTION("""COMPUTED_VALUE"""),21.0)</f>
        <v>21</v>
      </c>
      <c r="J4832" s="18">
        <f>IFERROR(__xludf.DUMMYFUNCTION("""COMPUTED_VALUE"""),30.0)</f>
        <v>30</v>
      </c>
      <c r="K4832" s="18">
        <f>IFERROR(__xludf.DUMMYFUNCTION("""COMPUTED_VALUE"""),50.0)</f>
        <v>50</v>
      </c>
      <c r="L4832" s="17">
        <f>IFERROR(__xludf.DUMMYFUNCTION("""COMPUTED_VALUE"""),3.14202892E9)</f>
        <v>3142028920</v>
      </c>
      <c r="M4832" s="17" t="str">
        <f>IFERROR(__xludf.DUMMYFUNCTION("""COMPUTED_VALUE"""),"#REF!")</f>
        <v>#REF!</v>
      </c>
      <c r="N4832" s="17"/>
      <c r="O4832" s="17"/>
      <c r="P4832" s="17" t="b">
        <f>IFERROR(__xludf.DUMMYFUNCTION("""COMPUTED_VALUE"""),FALSE)</f>
        <v>0</v>
      </c>
      <c r="Q4832" s="20" t="str">
        <f>IFERROR(__xludf.DUMMYFUNCTION("""COMPUTED_VALUE"""),"")</f>
        <v/>
      </c>
      <c r="R4832" s="22" t="str">
        <f>IFERROR(__xludf.DUMMYFUNCTION("""COMPUTED_VALUE"""),"")</f>
        <v/>
      </c>
    </row>
    <row r="4833">
      <c r="A4833" s="15">
        <f>IFERROR(__xludf.DUMMYFUNCTION("""COMPUTED_VALUE"""),45141.0)</f>
        <v>45141</v>
      </c>
      <c r="B4833" s="16" t="str">
        <f>IFERROR(__xludf.DUMMYFUNCTION("""COMPUTED_VALUE"""),"Envia")</f>
        <v>Envia</v>
      </c>
      <c r="C4833" s="15" t="str">
        <f>IFERROR(__xludf.DUMMYFUNCTION("""COMPUTED_VALUE"""),"MEDELLÍN")</f>
        <v>MEDELLÍN</v>
      </c>
      <c r="D4833" s="15" t="str">
        <f>IFERROR(__xludf.DUMMYFUNCTION("""COMPUTED_VALUE"""),"BUCARAMANGA")</f>
        <v>BUCARAMANGA</v>
      </c>
      <c r="E4833" s="15" t="str">
        <f>IFERROR(__xludf.DUMMYFUNCTION("""COMPUTED_VALUE"""),"Yo Como Solito")</f>
        <v>Yo Como Solito</v>
      </c>
      <c r="F4833" s="17" t="str">
        <f>IFERROR(__xludf.DUMMYFUNCTION("""COMPUTED_VALUE"""),"cra 56 # 62-100 / barrio el chagualo / na")</f>
        <v>cra 56 # 62-100 / barrio el chagualo / na</v>
      </c>
      <c r="G4833" s="15" t="str">
        <f>IFERROR(__xludf.DUMMYFUNCTION("""COMPUTED_VALUE"""),"Catalina Marin Guisao")</f>
        <v>Catalina Marin Guisao</v>
      </c>
      <c r="H4833" s="16">
        <f>IFERROR(__xludf.DUMMYFUNCTION("""COMPUTED_VALUE"""),13511.0)</f>
        <v>13511</v>
      </c>
      <c r="I4833" s="18">
        <f>IFERROR(__xludf.DUMMYFUNCTION("""COMPUTED_VALUE"""),16.0)</f>
        <v>16</v>
      </c>
      <c r="J4833" s="18">
        <f>IFERROR(__xludf.DUMMYFUNCTION("""COMPUTED_VALUE"""),24.0)</f>
        <v>24</v>
      </c>
      <c r="K4833" s="18">
        <f>IFERROR(__xludf.DUMMYFUNCTION("""COMPUTED_VALUE"""),31.0)</f>
        <v>31</v>
      </c>
      <c r="L4833" s="17">
        <f>IFERROR(__xludf.DUMMYFUNCTION("""COMPUTED_VALUE"""),3.11420377E9)</f>
        <v>3114203770</v>
      </c>
      <c r="M4833" s="17" t="str">
        <f>IFERROR(__xludf.DUMMYFUNCTION("""COMPUTED_VALUE"""),"#REF!")</f>
        <v>#REF!</v>
      </c>
      <c r="N4833" s="17"/>
      <c r="O4833" s="17"/>
      <c r="P4833" s="17" t="b">
        <f>IFERROR(__xludf.DUMMYFUNCTION("""COMPUTED_VALUE"""),FALSE)</f>
        <v>0</v>
      </c>
      <c r="Q4833" s="20" t="str">
        <f>IFERROR(__xludf.DUMMYFUNCTION("""COMPUTED_VALUE"""),"")</f>
        <v/>
      </c>
      <c r="R4833" s="21" t="str">
        <f>IFERROR(__xludf.DUMMYFUNCTION("""COMPUTED_VALUE"""),"https://drive.google.com/file/d/1W4nX8_s7v7eE5MSXWwZNEikeCNfmjcaK/view?usp=drivesdk")</f>
        <v>https://drive.google.com/file/d/1W4nX8_s7v7eE5MSXWwZNEikeCNfmjcaK/view?usp=drivesdk</v>
      </c>
    </row>
    <row r="4834">
      <c r="A4834" s="15">
        <f>IFERROR(__xludf.DUMMYFUNCTION("""COMPUTED_VALUE"""),45141.0)</f>
        <v>45141</v>
      </c>
      <c r="B4834" s="16" t="str">
        <f>IFERROR(__xludf.DUMMYFUNCTION("""COMPUTED_VALUE"""),"Envia")</f>
        <v>Envia</v>
      </c>
      <c r="C4834" s="15" t="str">
        <f>IFERROR(__xludf.DUMMYFUNCTION("""COMPUTED_VALUE"""),"NEIVA")</f>
        <v>NEIVA</v>
      </c>
      <c r="D4834" s="15" t="str">
        <f>IFERROR(__xludf.DUMMYFUNCTION("""COMPUTED_VALUE"""),"BOGOTÁ")</f>
        <v>BOGOTÁ</v>
      </c>
      <c r="E4834" s="15" t="str">
        <f>IFERROR(__xludf.DUMMYFUNCTION("""COMPUTED_VALUE"""),"Asociacion Agropecuaria Juana Maria")</f>
        <v>Asociacion Agropecuaria Juana Maria</v>
      </c>
      <c r="F4834" s="17" t="str">
        <f>IFERROR(__xludf.DUMMYFUNCTION("""COMPUTED_VALUE"""),"CARRERA 46 #17-13 CONDOMINIO ALTAVISTA CASA 31")</f>
        <v>CARRERA 46 #17-13 CONDOMINIO ALTAVISTA CASA 31</v>
      </c>
      <c r="G4834" s="15" t="str">
        <f>IFERROR(__xludf.DUMMYFUNCTION("""COMPUTED_VALUE"""),"JENNIFFER FERNANDEZ")</f>
        <v>JENNIFFER FERNANDEZ</v>
      </c>
      <c r="H4834" s="16">
        <f>IFERROR(__xludf.DUMMYFUNCTION("""COMPUTED_VALUE"""),13400.0)</f>
        <v>13400</v>
      </c>
      <c r="I4834" s="18">
        <f>IFERROR(__xludf.DUMMYFUNCTION("""COMPUTED_VALUE"""),25.0)</f>
        <v>25</v>
      </c>
      <c r="J4834" s="18">
        <f>IFERROR(__xludf.DUMMYFUNCTION("""COMPUTED_VALUE"""),18.0)</f>
        <v>18</v>
      </c>
      <c r="K4834" s="18">
        <f>IFERROR(__xludf.DUMMYFUNCTION("""COMPUTED_VALUE"""),3.0)</f>
        <v>3</v>
      </c>
      <c r="L4834" s="17">
        <f>IFERROR(__xludf.DUMMYFUNCTION("""COMPUTED_VALUE"""),3.167942612E9)</f>
        <v>3167942612</v>
      </c>
      <c r="M4834" s="17" t="str">
        <f>IFERROR(__xludf.DUMMYFUNCTION("""COMPUTED_VALUE"""),"#REF!")</f>
        <v>#REF!</v>
      </c>
      <c r="N4834" s="17"/>
      <c r="O4834" s="17"/>
      <c r="P4834" s="17" t="b">
        <f>IFERROR(__xludf.DUMMYFUNCTION("""COMPUTED_VALUE"""),FALSE)</f>
        <v>0</v>
      </c>
      <c r="Q4834" s="20" t="str">
        <f>IFERROR(__xludf.DUMMYFUNCTION("""COMPUTED_VALUE"""),"")</f>
        <v/>
      </c>
      <c r="R4834" s="22" t="str">
        <f>IFERROR(__xludf.DUMMYFUNCTION("""COMPUTED_VALUE"""),"")</f>
        <v/>
      </c>
    </row>
    <row r="4835">
      <c r="A4835" s="15">
        <f>IFERROR(__xludf.DUMMYFUNCTION("""COMPUTED_VALUE"""),45141.0)</f>
        <v>45141</v>
      </c>
      <c r="B4835" s="16" t="str">
        <f>IFERROR(__xludf.DUMMYFUNCTION("""COMPUTED_VALUE"""),"Envia")</f>
        <v>Envia</v>
      </c>
      <c r="C4835" s="15" t="str">
        <f>IFERROR(__xludf.DUMMYFUNCTION("""COMPUTED_VALUE"""),"NEIVA")</f>
        <v>NEIVA</v>
      </c>
      <c r="D4835" s="15" t="str">
        <f>IFERROR(__xludf.DUMMYFUNCTION("""COMPUTED_VALUE"""),"BOGOTÁ")</f>
        <v>BOGOTÁ</v>
      </c>
      <c r="E4835" s="15" t="str">
        <f>IFERROR(__xludf.DUMMYFUNCTION("""COMPUTED_VALUE"""),"Evamazzita")</f>
        <v>Evamazzita</v>
      </c>
      <c r="F4835" s="17" t="str">
        <f>IFERROR(__xludf.DUMMYFUNCTION("""COMPUTED_VALUE"""),"CALLE 17 A # 49 54 / ETAPA 1  / BARRIO VICTOR FELIX DIAZ")</f>
        <v>CALLE 17 A # 49 54 / ETAPA 1  / BARRIO VICTOR FELIX DIAZ</v>
      </c>
      <c r="G4835" s="15" t="str">
        <f>IFERROR(__xludf.DUMMYFUNCTION("""COMPUTED_VALUE"""),"YISELL TATIANA RAMOS LIZARAZO")</f>
        <v>YISELL TATIANA RAMOS LIZARAZO</v>
      </c>
      <c r="H4835" s="16">
        <f>IFERROR(__xludf.DUMMYFUNCTION("""COMPUTED_VALUE"""),13540.0)</f>
        <v>13540</v>
      </c>
      <c r="I4835" s="18">
        <f>IFERROR(__xludf.DUMMYFUNCTION("""COMPUTED_VALUE"""),1.0)</f>
        <v>1</v>
      </c>
      <c r="J4835" s="18">
        <f>IFERROR(__xludf.DUMMYFUNCTION("""COMPUTED_VALUE"""),1.0)</f>
        <v>1</v>
      </c>
      <c r="K4835" s="18">
        <f>IFERROR(__xludf.DUMMYFUNCTION("""COMPUTED_VALUE"""),1.0)</f>
        <v>1</v>
      </c>
      <c r="L4835" s="17">
        <f>IFERROR(__xludf.DUMMYFUNCTION("""COMPUTED_VALUE"""),3.132738357E9)</f>
        <v>3132738357</v>
      </c>
      <c r="M4835" s="17" t="str">
        <f>IFERROR(__xludf.DUMMYFUNCTION("""COMPUTED_VALUE"""),"#REF!")</f>
        <v>#REF!</v>
      </c>
      <c r="N4835" s="17"/>
      <c r="O4835" s="17"/>
      <c r="P4835" s="17" t="b">
        <f>IFERROR(__xludf.DUMMYFUNCTION("""COMPUTED_VALUE"""),FALSE)</f>
        <v>0</v>
      </c>
      <c r="Q4835" s="20" t="str">
        <f>IFERROR(__xludf.DUMMYFUNCTION("""COMPUTED_VALUE"""),"")</f>
        <v/>
      </c>
      <c r="R4835" s="22" t="str">
        <f>IFERROR(__xludf.DUMMYFUNCTION("""COMPUTED_VALUE"""),"")</f>
        <v/>
      </c>
    </row>
    <row r="4836">
      <c r="A4836" s="15">
        <f>IFERROR(__xludf.DUMMYFUNCTION("""COMPUTED_VALUE"""),45141.0)</f>
        <v>45141</v>
      </c>
      <c r="B4836" s="16" t="str">
        <f>IFERROR(__xludf.DUMMYFUNCTION("""COMPUTED_VALUE"""),"Envia")</f>
        <v>Envia</v>
      </c>
      <c r="C4836" s="15" t="str">
        <f>IFERROR(__xludf.DUMMYFUNCTION("""COMPUTED_VALUE"""),"NEIVA")</f>
        <v>NEIVA</v>
      </c>
      <c r="D4836" s="15" t="str">
        <f>IFERROR(__xludf.DUMMYFUNCTION("""COMPUTED_VALUE"""),"BOGOTÁ")</f>
        <v>BOGOTÁ</v>
      </c>
      <c r="E4836" s="15" t="str">
        <f>IFERROR(__xludf.DUMMYFUNCTION("""COMPUTED_VALUE"""),"Evamazzita")</f>
        <v>Evamazzita</v>
      </c>
      <c r="F4836" s="17" t="str">
        <f>IFERROR(__xludf.DUMMYFUNCTION("""COMPUTED_VALUE"""),"CR 32 #18 F 02 / BARRIO MANZANARES / BARRIO MANZANARES")</f>
        <v>CR 32 #18 F 02 / BARRIO MANZANARES / BARRIO MANZANARES</v>
      </c>
      <c r="G4836" s="15" t="str">
        <f>IFERROR(__xludf.DUMMYFUNCTION("""COMPUTED_VALUE"""),"DIANA FIGUEROA SANCHEZ")</f>
        <v>DIANA FIGUEROA SANCHEZ</v>
      </c>
      <c r="H4836" s="16">
        <f>IFERROR(__xludf.DUMMYFUNCTION("""COMPUTED_VALUE"""),13539.0)</f>
        <v>13539</v>
      </c>
      <c r="I4836" s="18">
        <f>IFERROR(__xludf.DUMMYFUNCTION("""COMPUTED_VALUE"""),1.0)</f>
        <v>1</v>
      </c>
      <c r="J4836" s="18">
        <f>IFERROR(__xludf.DUMMYFUNCTION("""COMPUTED_VALUE"""),1.0)</f>
        <v>1</v>
      </c>
      <c r="K4836" s="18">
        <f>IFERROR(__xludf.DUMMYFUNCTION("""COMPUTED_VALUE"""),1.0)</f>
        <v>1</v>
      </c>
      <c r="L4836" s="17">
        <f>IFERROR(__xludf.DUMMYFUNCTION("""COMPUTED_VALUE"""),3.147668579E9)</f>
        <v>3147668579</v>
      </c>
      <c r="M4836" s="17" t="str">
        <f>IFERROR(__xludf.DUMMYFUNCTION("""COMPUTED_VALUE"""),"#REF!")</f>
        <v>#REF!</v>
      </c>
      <c r="N4836" s="17"/>
      <c r="O4836" s="17"/>
      <c r="P4836" s="17" t="b">
        <f>IFERROR(__xludf.DUMMYFUNCTION("""COMPUTED_VALUE"""),FALSE)</f>
        <v>0</v>
      </c>
      <c r="Q4836" s="20" t="str">
        <f>IFERROR(__xludf.DUMMYFUNCTION("""COMPUTED_VALUE"""),"")</f>
        <v/>
      </c>
      <c r="R4836" s="22" t="str">
        <f>IFERROR(__xludf.DUMMYFUNCTION("""COMPUTED_VALUE"""),"")</f>
        <v/>
      </c>
    </row>
    <row r="4837">
      <c r="A4837" s="15">
        <f>IFERROR(__xludf.DUMMYFUNCTION("""COMPUTED_VALUE"""),45141.0)</f>
        <v>45141</v>
      </c>
      <c r="B4837" s="16" t="str">
        <f>IFERROR(__xludf.DUMMYFUNCTION("""COMPUTED_VALUE"""),"Envia")</f>
        <v>Envia</v>
      </c>
      <c r="C4837" s="15" t="str">
        <f>IFERROR(__xludf.DUMMYFUNCTION("""COMPUTED_VALUE"""),"SINCELEJO")</f>
        <v>SINCELEJO</v>
      </c>
      <c r="D4837" s="15" t="str">
        <f>IFERROR(__xludf.DUMMYFUNCTION("""COMPUTED_VALUE"""),"BUCARAMANGA")</f>
        <v>BUCARAMANGA</v>
      </c>
      <c r="E4837" s="15" t="str">
        <f>IFERROR(__xludf.DUMMYFUNCTION("""COMPUTED_VALUE"""),"Yo Como Solito")</f>
        <v>Yo Como Solito</v>
      </c>
      <c r="F4837" s="17" t="str">
        <f>IFERROR(__xludf.DUMMYFUNCTION("""COMPUTED_VALUE"""),"Cra 15 f# 5-69 Barrio Botero Sincelejo Sucre / Cra 15 f# 5-69 Barrio Botero Sincelejo Sucre / Cra 15 f# 5-69 Barrio Botero Sincelejo Sucre")</f>
        <v>Cra 15 f# 5-69 Barrio Botero Sincelejo Sucre / Cra 15 f# 5-69 Barrio Botero Sincelejo Sucre / Cra 15 f# 5-69 Barrio Botero Sincelejo Sucre</v>
      </c>
      <c r="G4837" s="15" t="str">
        <f>IFERROR(__xludf.DUMMYFUNCTION("""COMPUTED_VALUE"""),"Mónica Marcela Mendoza Raigosa")</f>
        <v>Mónica Marcela Mendoza Raigosa</v>
      </c>
      <c r="H4837" s="16">
        <f>IFERROR(__xludf.DUMMYFUNCTION("""COMPUTED_VALUE"""),13358.0)</f>
        <v>13358</v>
      </c>
      <c r="I4837" s="18">
        <f>IFERROR(__xludf.DUMMYFUNCTION("""COMPUTED_VALUE"""),12.0)</f>
        <v>12</v>
      </c>
      <c r="J4837" s="18">
        <f>IFERROR(__xludf.DUMMYFUNCTION("""COMPUTED_VALUE"""),22.0)</f>
        <v>22</v>
      </c>
      <c r="K4837" s="18">
        <f>IFERROR(__xludf.DUMMYFUNCTION("""COMPUTED_VALUE"""),26.0)</f>
        <v>26</v>
      </c>
      <c r="L4837" s="17">
        <f>IFERROR(__xludf.DUMMYFUNCTION("""COMPUTED_VALUE"""),3.17575406E9)</f>
        <v>3175754060</v>
      </c>
      <c r="M4837" s="17" t="str">
        <f>IFERROR(__xludf.DUMMYFUNCTION("""COMPUTED_VALUE"""),"#REF!")</f>
        <v>#REF!</v>
      </c>
      <c r="N4837" s="17"/>
      <c r="O4837" s="17"/>
      <c r="P4837" s="17" t="b">
        <f>IFERROR(__xludf.DUMMYFUNCTION("""COMPUTED_VALUE"""),FALSE)</f>
        <v>0</v>
      </c>
      <c r="Q4837" s="20" t="str">
        <f>IFERROR(__xludf.DUMMYFUNCTION("""COMPUTED_VALUE"""),"")</f>
        <v/>
      </c>
      <c r="R4837" s="22" t="str">
        <f>IFERROR(__xludf.DUMMYFUNCTION("""COMPUTED_VALUE"""),"")</f>
        <v/>
      </c>
    </row>
    <row r="4838">
      <c r="A4838" s="15">
        <f>IFERROR(__xludf.DUMMYFUNCTION("""COMPUTED_VALUE"""),45141.0)</f>
        <v>45141</v>
      </c>
      <c r="B4838" s="16" t="str">
        <f>IFERROR(__xludf.DUMMYFUNCTION("""COMPUTED_VALUE"""),"Envia")</f>
        <v>Envia</v>
      </c>
      <c r="C4838" s="15" t="str">
        <f>IFERROR(__xludf.DUMMYFUNCTION("""COMPUTED_VALUE"""),"SINCELEJO")</f>
        <v>SINCELEJO</v>
      </c>
      <c r="D4838" s="15" t="str">
        <f>IFERROR(__xludf.DUMMYFUNCTION("""COMPUTED_VALUE"""),"MEDELLÍN")</f>
        <v>MEDELLÍN</v>
      </c>
      <c r="E4838" s="15" t="str">
        <f>IFERROR(__xludf.DUMMYFUNCTION("""COMPUTED_VALUE"""),"Rambla")</f>
        <v>Rambla</v>
      </c>
      <c r="F4838" s="17" t="str">
        <f>IFERROR(__xludf.DUMMYFUNCTION("""COMPUTED_VALUE"""),"Calle 25 # 28b - 194 / Edificio Juan Pablo II / Barrio el socorro")</f>
        <v>Calle 25 # 28b - 194 / Edificio Juan Pablo II / Barrio el socorro</v>
      </c>
      <c r="G4838" s="15" t="str">
        <f>IFERROR(__xludf.DUMMYFUNCTION("""COMPUTED_VALUE"""),"Nutrefit")</f>
        <v>Nutrefit</v>
      </c>
      <c r="H4838" s="16">
        <f>IFERROR(__xludf.DUMMYFUNCTION("""COMPUTED_VALUE"""),13490.0)</f>
        <v>13490</v>
      </c>
      <c r="I4838" s="18">
        <f>IFERROR(__xludf.DUMMYFUNCTION("""COMPUTED_VALUE"""),20.0)</f>
        <v>20</v>
      </c>
      <c r="J4838" s="18">
        <f>IFERROR(__xludf.DUMMYFUNCTION("""COMPUTED_VALUE"""),18.0)</f>
        <v>18</v>
      </c>
      <c r="K4838" s="18">
        <f>IFERROR(__xludf.DUMMYFUNCTION("""COMPUTED_VALUE"""),20.0)</f>
        <v>20</v>
      </c>
      <c r="L4838" s="17">
        <f>IFERROR(__xludf.DUMMYFUNCTION("""COMPUTED_VALUE"""),3.025077345E9)</f>
        <v>3025077345</v>
      </c>
      <c r="M4838" s="17" t="str">
        <f>IFERROR(__xludf.DUMMYFUNCTION("""COMPUTED_VALUE"""),"#REF!")</f>
        <v>#REF!</v>
      </c>
      <c r="N4838" s="17"/>
      <c r="O4838" s="17"/>
      <c r="P4838" s="17" t="b">
        <f>IFERROR(__xludf.DUMMYFUNCTION("""COMPUTED_VALUE"""),FALSE)</f>
        <v>0</v>
      </c>
      <c r="Q4838" s="20" t="str">
        <f>IFERROR(__xludf.DUMMYFUNCTION("""COMPUTED_VALUE"""),"")</f>
        <v/>
      </c>
      <c r="R4838" s="22" t="str">
        <f>IFERROR(__xludf.DUMMYFUNCTION("""COMPUTED_VALUE"""),"")</f>
        <v/>
      </c>
    </row>
    <row r="4839">
      <c r="A4839" s="15">
        <f>IFERROR(__xludf.DUMMYFUNCTION("""COMPUTED_VALUE"""),45141.0)</f>
        <v>45141</v>
      </c>
      <c r="B4839" s="16" t="str">
        <f>IFERROR(__xludf.DUMMYFUNCTION("""COMPUTED_VALUE"""),"Envia")</f>
        <v>Envia</v>
      </c>
      <c r="C4839" s="15" t="str">
        <f>IFERROR(__xludf.DUMMYFUNCTION("""COMPUTED_VALUE"""),"VALLEDUPAR")</f>
        <v>VALLEDUPAR</v>
      </c>
      <c r="D4839" s="15" t="str">
        <f>IFERROR(__xludf.DUMMYFUNCTION("""COMPUTED_VALUE"""),"BOGOTÁ")</f>
        <v>BOGOTÁ</v>
      </c>
      <c r="E4839" s="15" t="str">
        <f>IFERROR(__xludf.DUMMYFUNCTION("""COMPUTED_VALUE"""),"Top Spun")</f>
        <v>Top Spun</v>
      </c>
      <c r="F4839" s="17" t="str">
        <f>IFERROR(__xludf.DUMMYFUNCTION("""COMPUTED_VALUE"""),"Calle 11 # 5 - 60 / Casa / Barrio Novalito")</f>
        <v>Calle 11 # 5 - 60 / Casa / Barrio Novalito</v>
      </c>
      <c r="G4839" s="15" t="str">
        <f>IFERROR(__xludf.DUMMYFUNCTION("""COMPUTED_VALUE"""),"Emely Morales Rua")</f>
        <v>Emely Morales Rua</v>
      </c>
      <c r="H4839" s="16">
        <f>IFERROR(__xludf.DUMMYFUNCTION("""COMPUTED_VALUE"""),13420.0)</f>
        <v>13420</v>
      </c>
      <c r="I4839" s="18">
        <f>IFERROR(__xludf.DUMMYFUNCTION("""COMPUTED_VALUE"""),20.0)</f>
        <v>20</v>
      </c>
      <c r="J4839" s="18">
        <f>IFERROR(__xludf.DUMMYFUNCTION("""COMPUTED_VALUE"""),10.0)</f>
        <v>10</v>
      </c>
      <c r="K4839" s="18">
        <f>IFERROR(__xludf.DUMMYFUNCTION("""COMPUTED_VALUE"""),40.0)</f>
        <v>40</v>
      </c>
      <c r="L4839" s="17">
        <f>IFERROR(__xludf.DUMMYFUNCTION("""COMPUTED_VALUE"""),3.017542604E9)</f>
        <v>3017542604</v>
      </c>
      <c r="M4839" s="17" t="str">
        <f>IFERROR(__xludf.DUMMYFUNCTION("""COMPUTED_VALUE"""),"#REF!")</f>
        <v>#REF!</v>
      </c>
      <c r="N4839" s="17"/>
      <c r="O4839" s="17"/>
      <c r="P4839" s="17" t="b">
        <f>IFERROR(__xludf.DUMMYFUNCTION("""COMPUTED_VALUE"""),FALSE)</f>
        <v>0</v>
      </c>
      <c r="Q4839" s="20" t="str">
        <f>IFERROR(__xludf.DUMMYFUNCTION("""COMPUTED_VALUE"""),"")</f>
        <v/>
      </c>
      <c r="R4839" s="22" t="str">
        <f>IFERROR(__xludf.DUMMYFUNCTION("""COMPUTED_VALUE"""),"")</f>
        <v/>
      </c>
    </row>
    <row r="4840">
      <c r="A4840" s="15">
        <f>IFERROR(__xludf.DUMMYFUNCTION("""COMPUTED_VALUE"""),45141.0)</f>
        <v>45141</v>
      </c>
      <c r="B4840" s="16" t="str">
        <f>IFERROR(__xludf.DUMMYFUNCTION("""COMPUTED_VALUE"""),"Envia")</f>
        <v>Envia</v>
      </c>
      <c r="C4840" s="15" t="str">
        <f>IFERROR(__xludf.DUMMYFUNCTION("""COMPUTED_VALUE"""),"VILLAVICENCIO")</f>
        <v>VILLAVICENCIO</v>
      </c>
      <c r="D4840" s="15" t="str">
        <f>IFERROR(__xludf.DUMMYFUNCTION("""COMPUTED_VALUE"""),"BOGOTÁ")</f>
        <v>BOGOTÁ</v>
      </c>
      <c r="E4840" s="15" t="str">
        <f>IFERROR(__xludf.DUMMYFUNCTION("""COMPUTED_VALUE"""),"Evamazzita")</f>
        <v>Evamazzita</v>
      </c>
      <c r="F4840" s="17" t="str">
        <f>IFERROR(__xludf.DUMMYFUNCTION("""COMPUTED_VALUE"""),"CR 41 ESTE #16B 81  / TORRE 8 APTO 106 / SABANA GRANDE- SAN ANTONIO")</f>
        <v>CR 41 ESTE #16B 81  / TORRE 8 APTO 106 / SABANA GRANDE- SAN ANTONIO</v>
      </c>
      <c r="G4840" s="15" t="str">
        <f>IFERROR(__xludf.DUMMYFUNCTION("""COMPUTED_VALUE"""),"JEIMY KATERINE BERTEL CORTES")</f>
        <v>JEIMY KATERINE BERTEL CORTES</v>
      </c>
      <c r="H4840" s="16">
        <f>IFERROR(__xludf.DUMMYFUNCTION("""COMPUTED_VALUE"""),13538.0)</f>
        <v>13538</v>
      </c>
      <c r="I4840" s="18">
        <f>IFERROR(__xludf.DUMMYFUNCTION("""COMPUTED_VALUE"""),5.0)</f>
        <v>5</v>
      </c>
      <c r="J4840" s="18">
        <f>IFERROR(__xludf.DUMMYFUNCTION("""COMPUTED_VALUE"""),17.0)</f>
        <v>17</v>
      </c>
      <c r="K4840" s="18">
        <f>IFERROR(__xludf.DUMMYFUNCTION("""COMPUTED_VALUE"""),23.0)</f>
        <v>23</v>
      </c>
      <c r="L4840" s="17">
        <f>IFERROR(__xludf.DUMMYFUNCTION("""COMPUTED_VALUE"""),3.00235719E9)</f>
        <v>3002357190</v>
      </c>
      <c r="M4840" s="17" t="str">
        <f>IFERROR(__xludf.DUMMYFUNCTION("""COMPUTED_VALUE"""),"#REF!")</f>
        <v>#REF!</v>
      </c>
      <c r="N4840" s="17"/>
      <c r="O4840" s="17"/>
      <c r="P4840" s="17" t="b">
        <f>IFERROR(__xludf.DUMMYFUNCTION("""COMPUTED_VALUE"""),FALSE)</f>
        <v>0</v>
      </c>
      <c r="Q4840" s="20" t="str">
        <f>IFERROR(__xludf.DUMMYFUNCTION("""COMPUTED_VALUE"""),"")</f>
        <v/>
      </c>
      <c r="R4840" s="22" t="str">
        <f>IFERROR(__xludf.DUMMYFUNCTION("""COMPUTED_VALUE"""),"")</f>
        <v/>
      </c>
    </row>
    <row r="4841">
      <c r="A4841" s="17" t="str">
        <f>IFERROR(__xludf.DUMMYFUNCTION("""COMPUTED_VALUE"""),"")</f>
        <v/>
      </c>
      <c r="B4841" s="17" t="str">
        <f>IFERROR(__xludf.DUMMYFUNCTION("""COMPUTED_VALUE"""),"")</f>
        <v/>
      </c>
      <c r="C4841" s="17" t="str">
        <f>IFERROR(__xludf.DUMMYFUNCTION("""COMPUTED_VALUE"""),"")</f>
        <v/>
      </c>
      <c r="D4841" s="17" t="str">
        <f>IFERROR(__xludf.DUMMYFUNCTION("""COMPUTED_VALUE"""),"")</f>
        <v/>
      </c>
      <c r="E4841" s="17" t="str">
        <f>IFERROR(__xludf.DUMMYFUNCTION("""COMPUTED_VALUE"""),"")</f>
        <v/>
      </c>
      <c r="F4841" s="17" t="str">
        <f>IFERROR(__xludf.DUMMYFUNCTION("""COMPUTED_VALUE"""),"")</f>
        <v/>
      </c>
      <c r="G4841" s="17" t="str">
        <f>IFERROR(__xludf.DUMMYFUNCTION("""COMPUTED_VALUE"""),"")</f>
        <v/>
      </c>
      <c r="H4841" s="17" t="str">
        <f>IFERROR(__xludf.DUMMYFUNCTION("""COMPUTED_VALUE"""),"")</f>
        <v/>
      </c>
      <c r="I4841" s="17" t="str">
        <f>IFERROR(__xludf.DUMMYFUNCTION("""COMPUTED_VALUE"""),"")</f>
        <v/>
      </c>
      <c r="J4841" s="17" t="str">
        <f>IFERROR(__xludf.DUMMYFUNCTION("""COMPUTED_VALUE"""),"")</f>
        <v/>
      </c>
      <c r="K4841" s="17" t="str">
        <f>IFERROR(__xludf.DUMMYFUNCTION("""COMPUTED_VALUE"""),"")</f>
        <v/>
      </c>
      <c r="L4841" s="17" t="str">
        <f>IFERROR(__xludf.DUMMYFUNCTION("""COMPUTED_VALUE"""),"")</f>
        <v/>
      </c>
      <c r="M4841" s="17" t="str">
        <f>IFERROR(__xludf.DUMMYFUNCTION("""COMPUTED_VALUE"""),"")</f>
        <v/>
      </c>
      <c r="N4841" s="17" t="str">
        <f>IFERROR(__xludf.DUMMYFUNCTION("""COMPUTED_VALUE"""),"")</f>
        <v/>
      </c>
      <c r="O4841" s="17" t="str">
        <f>IFERROR(__xludf.DUMMYFUNCTION("""COMPUTED_VALUE"""),"")</f>
        <v/>
      </c>
      <c r="P4841" s="17" t="str">
        <f>IFERROR(__xludf.DUMMYFUNCTION("""COMPUTED_VALUE"""),"")</f>
        <v/>
      </c>
      <c r="Q4841" s="17" t="str">
        <f>IFERROR(__xludf.DUMMYFUNCTION("""COMPUTED_VALUE"""),"")</f>
        <v/>
      </c>
      <c r="R4841" s="17" t="str">
        <f>IFERROR(__xludf.DUMMYFUNCTION("""COMPUTED_VALUE"""),"")</f>
        <v/>
      </c>
    </row>
    <row r="4842">
      <c r="A4842" s="15">
        <f>IFERROR(__xludf.DUMMYFUNCTION("""COMPUTED_VALUE"""),45141.0)</f>
        <v>45141</v>
      </c>
      <c r="B4842" s="16" t="str">
        <f>IFERROR(__xludf.DUMMYFUNCTION("""COMPUTED_VALUE"""),"Ivan David Pirela Pirela")</f>
        <v>Ivan David Pirela Pirela</v>
      </c>
      <c r="C4842" s="15" t="str">
        <f>IFERROR(__xludf.DUMMYFUNCTION("""COMPUTED_VALUE"""),"BUCARAMANGA")</f>
        <v>BUCARAMANGA</v>
      </c>
      <c r="D4842" s="15" t="str">
        <f>IFERROR(__xludf.DUMMYFUNCTION("""COMPUTED_VALUE"""),"BOGOTÁ")</f>
        <v>BOGOTÁ</v>
      </c>
      <c r="E4842" s="15" t="str">
        <f>IFERROR(__xludf.DUMMYFUNCTION("""COMPUTED_VALUE"""),"Evamazzita")</f>
        <v>Evamazzita</v>
      </c>
      <c r="F4842" s="17" t="str">
        <f>IFERROR(__xludf.DUMMYFUNCTION("""COMPUTED_VALUE"""),"CALLE 115 # 32 08  / BARRIO NIZA / BARRIO NIZA")</f>
        <v>CALLE 115 # 32 08  / BARRIO NIZA / BARRIO NIZA</v>
      </c>
      <c r="G4842" s="15" t="str">
        <f>IFERROR(__xludf.DUMMYFUNCTION("""COMPUTED_VALUE"""),"DIANA CAROLINA ARIAS ROMERO")</f>
        <v>DIANA CAROLINA ARIAS ROMERO</v>
      </c>
      <c r="H4842" s="16">
        <f>IFERROR(__xludf.DUMMYFUNCTION("""COMPUTED_VALUE"""),13526.0)</f>
        <v>13526</v>
      </c>
      <c r="I4842" s="18">
        <f>IFERROR(__xludf.DUMMYFUNCTION("""COMPUTED_VALUE"""),1.0)</f>
        <v>1</v>
      </c>
      <c r="J4842" s="18">
        <f>IFERROR(__xludf.DUMMYFUNCTION("""COMPUTED_VALUE"""),1.0)</f>
        <v>1</v>
      </c>
      <c r="K4842" s="18">
        <f>IFERROR(__xludf.DUMMYFUNCTION("""COMPUTED_VALUE"""),1.0)</f>
        <v>1</v>
      </c>
      <c r="L4842" s="17">
        <f>IFERROR(__xludf.DUMMYFUNCTION("""COMPUTED_VALUE"""),3.173018251E9)</f>
        <v>3173018251</v>
      </c>
      <c r="M4842" s="17" t="str">
        <f>IFERROR(__xludf.DUMMYFUNCTION("""COMPUTED_VALUE"""),"#REF!")</f>
        <v>#REF!</v>
      </c>
      <c r="N4842" s="17"/>
      <c r="O4842" s="17"/>
      <c r="P4842" s="17" t="b">
        <f>IFERROR(__xludf.DUMMYFUNCTION("""COMPUTED_VALUE"""),FALSE)</f>
        <v>0</v>
      </c>
      <c r="Q4842" s="20" t="str">
        <f>IFERROR(__xludf.DUMMYFUNCTION("""COMPUTED_VALUE"""),"")</f>
        <v/>
      </c>
      <c r="R4842" s="21" t="str">
        <f>IFERROR(__xludf.DUMMYFUNCTION("""COMPUTED_VALUE"""),"https://drive.google.com/file/d/1WpLuT2Ut6inyCshU-0s0FYPmbjpu9e9j/view?usp=drivesdk")</f>
        <v>https://drive.google.com/file/d/1WpLuT2Ut6inyCshU-0s0FYPmbjpu9e9j/view?usp=drivesdk</v>
      </c>
    </row>
    <row r="4843">
      <c r="A4843" s="15">
        <f>IFERROR(__xludf.DUMMYFUNCTION("""COMPUTED_VALUE"""),45141.0)</f>
        <v>45141</v>
      </c>
      <c r="B4843" s="16" t="str">
        <f>IFERROR(__xludf.DUMMYFUNCTION("""COMPUTED_VALUE"""),"Ivan David Pirela Pirela")</f>
        <v>Ivan David Pirela Pirela</v>
      </c>
      <c r="C4843" s="15" t="str">
        <f>IFERROR(__xludf.DUMMYFUNCTION("""COMPUTED_VALUE"""),"BUCARAMANGA")</f>
        <v>BUCARAMANGA</v>
      </c>
      <c r="D4843" s="15" t="str">
        <f>IFERROR(__xludf.DUMMYFUNCTION("""COMPUTED_VALUE"""),"BOGOTÁ")</f>
        <v>BOGOTÁ</v>
      </c>
      <c r="E4843" s="15" t="str">
        <f>IFERROR(__xludf.DUMMYFUNCTION("""COMPUTED_VALUE"""),"Evamazzita")</f>
        <v>Evamazzita</v>
      </c>
      <c r="F4843" s="17" t="str">
        <f>IFERROR(__xludf.DUMMYFUNCTION("""COMPUTED_VALUE"""),"CALLE 17 # 25 10 / APTO 501 ED. MORADA DE SAN FRANCISCO / BARRIO SAN FRANCISCO")</f>
        <v>CALLE 17 # 25 10 / APTO 501 ED. MORADA DE SAN FRANCISCO / BARRIO SAN FRANCISCO</v>
      </c>
      <c r="G4843" s="15" t="str">
        <f>IFERROR(__xludf.DUMMYFUNCTION("""COMPUTED_VALUE"""),"ELIZABETH RAMIREZ MILLAN")</f>
        <v>ELIZABETH RAMIREZ MILLAN</v>
      </c>
      <c r="H4843" s="16">
        <f>IFERROR(__xludf.DUMMYFUNCTION("""COMPUTED_VALUE"""),13527.0)</f>
        <v>13527</v>
      </c>
      <c r="I4843" s="18">
        <f>IFERROR(__xludf.DUMMYFUNCTION("""COMPUTED_VALUE"""),1.0)</f>
        <v>1</v>
      </c>
      <c r="J4843" s="18">
        <f>IFERROR(__xludf.DUMMYFUNCTION("""COMPUTED_VALUE"""),1.0)</f>
        <v>1</v>
      </c>
      <c r="K4843" s="18">
        <f>IFERROR(__xludf.DUMMYFUNCTION("""COMPUTED_VALUE"""),1.0)</f>
        <v>1</v>
      </c>
      <c r="L4843" s="17">
        <f>IFERROR(__xludf.DUMMYFUNCTION("""COMPUTED_VALUE"""),3.16390395E9)</f>
        <v>3163903950</v>
      </c>
      <c r="M4843" s="17" t="str">
        <f>IFERROR(__xludf.DUMMYFUNCTION("""COMPUTED_VALUE"""),"#REF!")</f>
        <v>#REF!</v>
      </c>
      <c r="N4843" s="17"/>
      <c r="O4843" s="17"/>
      <c r="P4843" s="17" t="b">
        <f>IFERROR(__xludf.DUMMYFUNCTION("""COMPUTED_VALUE"""),FALSE)</f>
        <v>0</v>
      </c>
      <c r="Q4843" s="20" t="str">
        <f>IFERROR(__xludf.DUMMYFUNCTION("""COMPUTED_VALUE"""),"")</f>
        <v/>
      </c>
      <c r="R4843" s="21" t="str">
        <f>IFERROR(__xludf.DUMMYFUNCTION("""COMPUTED_VALUE"""),"https://drive.google.com/file/d/1-xE6BVEyEQiNbMmcXoLWwpD6twsAfWY3/view?usp=drivesdk")</f>
        <v>https://drive.google.com/file/d/1-xE6BVEyEQiNbMmcXoLWwpD6twsAfWY3/view?usp=drivesdk</v>
      </c>
    </row>
    <row r="4844">
      <c r="A4844" s="15">
        <f>IFERROR(__xludf.DUMMYFUNCTION("""COMPUTED_VALUE"""),45141.0)</f>
        <v>45141</v>
      </c>
      <c r="B4844" s="16" t="str">
        <f>IFERROR(__xludf.DUMMYFUNCTION("""COMPUTED_VALUE"""),"Ivan David Pirela Pirela")</f>
        <v>Ivan David Pirela Pirela</v>
      </c>
      <c r="C4844" s="15" t="str">
        <f>IFERROR(__xludf.DUMMYFUNCTION("""COMPUTED_VALUE"""),"BUCARAMANGA")</f>
        <v>BUCARAMANGA</v>
      </c>
      <c r="D4844" s="15" t="str">
        <f>IFERROR(__xludf.DUMMYFUNCTION("""COMPUTED_VALUE"""),"BOGOTÁ")</f>
        <v>BOGOTÁ</v>
      </c>
      <c r="E4844" s="15" t="str">
        <f>IFERROR(__xludf.DUMMYFUNCTION("""COMPUTED_VALUE"""),"Evamazzita")</f>
        <v>Evamazzita</v>
      </c>
      <c r="F4844" s="17" t="str">
        <f>IFERROR(__xludf.DUMMYFUNCTION("""COMPUTED_VALUE"""),"CALLE 20 #30 24  / APTO 801 / SAN ALONSO")</f>
        <v>CALLE 20 #30 24  / APTO 801 / SAN ALONSO</v>
      </c>
      <c r="G4844" s="15" t="str">
        <f>IFERROR(__xludf.DUMMYFUNCTION("""COMPUTED_VALUE"""),"INGRID CECILIA MONTAÑEZ")</f>
        <v>INGRID CECILIA MONTAÑEZ</v>
      </c>
      <c r="H4844" s="16">
        <f>IFERROR(__xludf.DUMMYFUNCTION("""COMPUTED_VALUE"""),13530.0)</f>
        <v>13530</v>
      </c>
      <c r="I4844" s="18">
        <f>IFERROR(__xludf.DUMMYFUNCTION("""COMPUTED_VALUE"""),1.0)</f>
        <v>1</v>
      </c>
      <c r="J4844" s="18">
        <f>IFERROR(__xludf.DUMMYFUNCTION("""COMPUTED_VALUE"""),1.0)</f>
        <v>1</v>
      </c>
      <c r="K4844" s="18">
        <f>IFERROR(__xludf.DUMMYFUNCTION("""COMPUTED_VALUE"""),1.0)</f>
        <v>1</v>
      </c>
      <c r="L4844" s="17">
        <f>IFERROR(__xludf.DUMMYFUNCTION("""COMPUTED_VALUE"""),3.142186622E9)</f>
        <v>3142186622</v>
      </c>
      <c r="M4844" s="17" t="str">
        <f>IFERROR(__xludf.DUMMYFUNCTION("""COMPUTED_VALUE"""),"#REF!")</f>
        <v>#REF!</v>
      </c>
      <c r="N4844" s="17"/>
      <c r="O4844" s="17"/>
      <c r="P4844" s="17" t="b">
        <f>IFERROR(__xludf.DUMMYFUNCTION("""COMPUTED_VALUE"""),FALSE)</f>
        <v>0</v>
      </c>
      <c r="Q4844" s="20" t="str">
        <f>IFERROR(__xludf.DUMMYFUNCTION("""COMPUTED_VALUE"""),"")</f>
        <v/>
      </c>
      <c r="R4844" s="21" t="str">
        <f>IFERROR(__xludf.DUMMYFUNCTION("""COMPUTED_VALUE"""),"https://drive.google.com/file/d/1D7QHrb0IL97-mWnA9fE72loyTFkjUuoZ/view?usp=drivesdk")</f>
        <v>https://drive.google.com/file/d/1D7QHrb0IL97-mWnA9fE72loyTFkjUuoZ/view?usp=drivesdk</v>
      </c>
    </row>
    <row r="4845">
      <c r="A4845" s="15">
        <f>IFERROR(__xludf.DUMMYFUNCTION("""COMPUTED_VALUE"""),45141.0)</f>
        <v>45141</v>
      </c>
      <c r="B4845" s="16" t="str">
        <f>IFERROR(__xludf.DUMMYFUNCTION("""COMPUTED_VALUE"""),"Ivan David Pirela Pirela")</f>
        <v>Ivan David Pirela Pirela</v>
      </c>
      <c r="C4845" s="15" t="str">
        <f>IFERROR(__xludf.DUMMYFUNCTION("""COMPUTED_VALUE"""),"BUCARAMANGA")</f>
        <v>BUCARAMANGA</v>
      </c>
      <c r="D4845" s="15" t="str">
        <f>IFERROR(__xludf.DUMMYFUNCTION("""COMPUTED_VALUE"""),"BOGOTÁ")</f>
        <v>BOGOTÁ</v>
      </c>
      <c r="E4845" s="15" t="str">
        <f>IFERROR(__xludf.DUMMYFUNCTION("""COMPUTED_VALUE"""),"Evamazzita")</f>
        <v>Evamazzita</v>
      </c>
      <c r="F4845" s="17" t="str">
        <f>IFERROR(__xludf.DUMMYFUNCTION("""COMPUTED_VALUE"""),"CALLE 20 #31 79 / APTO 1401  EDIFICIO SAN JUAN  / BARRIO SAN ALONSO")</f>
        <v>CALLE 20 #31 79 / APTO 1401  EDIFICIO SAN JUAN  / BARRIO SAN ALONSO</v>
      </c>
      <c r="G4845" s="15" t="str">
        <f>IFERROR(__xludf.DUMMYFUNCTION("""COMPUTED_VALUE"""),"OLGA RUEDA")</f>
        <v>OLGA RUEDA</v>
      </c>
      <c r="H4845" s="16">
        <f>IFERROR(__xludf.DUMMYFUNCTION("""COMPUTED_VALUE"""),13532.0)</f>
        <v>13532</v>
      </c>
      <c r="I4845" s="18">
        <f>IFERROR(__xludf.DUMMYFUNCTION("""COMPUTED_VALUE"""),1.0)</f>
        <v>1</v>
      </c>
      <c r="J4845" s="18">
        <f>IFERROR(__xludf.DUMMYFUNCTION("""COMPUTED_VALUE"""),1.0)</f>
        <v>1</v>
      </c>
      <c r="K4845" s="18">
        <f>IFERROR(__xludf.DUMMYFUNCTION("""COMPUTED_VALUE"""),1.0)</f>
        <v>1</v>
      </c>
      <c r="L4845" s="17">
        <f>IFERROR(__xludf.DUMMYFUNCTION("""COMPUTED_VALUE"""),3.125040287E9)</f>
        <v>3125040287</v>
      </c>
      <c r="M4845" s="17" t="str">
        <f>IFERROR(__xludf.DUMMYFUNCTION("""COMPUTED_VALUE"""),"#REF!")</f>
        <v>#REF!</v>
      </c>
      <c r="N4845" s="17"/>
      <c r="O4845" s="17"/>
      <c r="P4845" s="17" t="b">
        <f>IFERROR(__xludf.DUMMYFUNCTION("""COMPUTED_VALUE"""),FALSE)</f>
        <v>0</v>
      </c>
      <c r="Q4845" s="20" t="str">
        <f>IFERROR(__xludf.DUMMYFUNCTION("""COMPUTED_VALUE"""),"")</f>
        <v/>
      </c>
      <c r="R4845" s="21" t="str">
        <f>IFERROR(__xludf.DUMMYFUNCTION("""COMPUTED_VALUE"""),"https://drive.google.com/file/d/1fVScQPzTFu1C858DjWavmqXu7E9CjhjA/view?usp=drivesdk")</f>
        <v>https://drive.google.com/file/d/1fVScQPzTFu1C858DjWavmqXu7E9CjhjA/view?usp=drivesdk</v>
      </c>
    </row>
    <row r="4846">
      <c r="A4846" s="15">
        <f>IFERROR(__xludf.DUMMYFUNCTION("""COMPUTED_VALUE"""),45141.0)</f>
        <v>45141</v>
      </c>
      <c r="B4846" s="16" t="str">
        <f>IFERROR(__xludf.DUMMYFUNCTION("""COMPUTED_VALUE"""),"Ivan David Pirela Pirela")</f>
        <v>Ivan David Pirela Pirela</v>
      </c>
      <c r="C4846" s="15" t="str">
        <f>IFERROR(__xludf.DUMMYFUNCTION("""COMPUTED_VALUE"""),"BUCARAMANGA")</f>
        <v>BUCARAMANGA</v>
      </c>
      <c r="D4846" s="15" t="str">
        <f>IFERROR(__xludf.DUMMYFUNCTION("""COMPUTED_VALUE"""),"BOGOTÁ")</f>
        <v>BOGOTÁ</v>
      </c>
      <c r="E4846" s="15" t="str">
        <f>IFERROR(__xludf.DUMMYFUNCTION("""COMPUTED_VALUE"""),"Evamazzita")</f>
        <v>Evamazzita</v>
      </c>
      <c r="F4846" s="17" t="str">
        <f>IFERROR(__xludf.DUMMYFUNCTION("""COMPUTED_VALUE"""),"CLL 105 CR 15D ESQUINA / CASA 70 CONJUNTO LOS ROBLES / BARRIO DELICIAS ALTAS")</f>
        <v>CLL 105 CR 15D ESQUINA / CASA 70 CONJUNTO LOS ROBLES / BARRIO DELICIAS ALTAS</v>
      </c>
      <c r="G4846" s="15" t="str">
        <f>IFERROR(__xludf.DUMMYFUNCTION("""COMPUTED_VALUE"""),"NELLY KATHERINE ACEVEDO TELLO")</f>
        <v>NELLY KATHERINE ACEVEDO TELLO</v>
      </c>
      <c r="H4846" s="16">
        <f>IFERROR(__xludf.DUMMYFUNCTION("""COMPUTED_VALUE"""),13531.0)</f>
        <v>13531</v>
      </c>
      <c r="I4846" s="18">
        <f>IFERROR(__xludf.DUMMYFUNCTION("""COMPUTED_VALUE"""),1.0)</f>
        <v>1</v>
      </c>
      <c r="J4846" s="18">
        <f>IFERROR(__xludf.DUMMYFUNCTION("""COMPUTED_VALUE"""),1.0)</f>
        <v>1</v>
      </c>
      <c r="K4846" s="18">
        <f>IFERROR(__xludf.DUMMYFUNCTION("""COMPUTED_VALUE"""),1.0)</f>
        <v>1</v>
      </c>
      <c r="L4846" s="17">
        <f>IFERROR(__xludf.DUMMYFUNCTION("""COMPUTED_VALUE"""),3.183799785E9)</f>
        <v>3183799785</v>
      </c>
      <c r="M4846" s="17" t="str">
        <f>IFERROR(__xludf.DUMMYFUNCTION("""COMPUTED_VALUE"""),"#REF!")</f>
        <v>#REF!</v>
      </c>
      <c r="N4846" s="17"/>
      <c r="O4846" s="17"/>
      <c r="P4846" s="17" t="b">
        <f>IFERROR(__xludf.DUMMYFUNCTION("""COMPUTED_VALUE"""),FALSE)</f>
        <v>0</v>
      </c>
      <c r="Q4846" s="20" t="str">
        <f>IFERROR(__xludf.DUMMYFUNCTION("""COMPUTED_VALUE"""),"")</f>
        <v/>
      </c>
      <c r="R4846" s="21" t="str">
        <f>IFERROR(__xludf.DUMMYFUNCTION("""COMPUTED_VALUE"""),"https://drive.google.com/file/d/1qqv24z6nYegl8UutHIcpDJwgLsmsrmAh/view?usp=drivesdk")</f>
        <v>https://drive.google.com/file/d/1qqv24z6nYegl8UutHIcpDJwgLsmsrmAh/view?usp=drivesdk</v>
      </c>
    </row>
    <row r="4847">
      <c r="A4847" s="15">
        <f>IFERROR(__xludf.DUMMYFUNCTION("""COMPUTED_VALUE"""),45141.0)</f>
        <v>45141</v>
      </c>
      <c r="B4847" s="16" t="str">
        <f>IFERROR(__xludf.DUMMYFUNCTION("""COMPUTED_VALUE"""),"Ivan David Pirela Pirela")</f>
        <v>Ivan David Pirela Pirela</v>
      </c>
      <c r="C4847" s="15" t="str">
        <f>IFERROR(__xludf.DUMMYFUNCTION("""COMPUTED_VALUE"""),"BUCARAMANGA")</f>
        <v>BUCARAMANGA</v>
      </c>
      <c r="D4847" s="15" t="str">
        <f>IFERROR(__xludf.DUMMYFUNCTION("""COMPUTED_VALUE"""),"BOGOTÁ")</f>
        <v>BOGOTÁ</v>
      </c>
      <c r="E4847" s="15" t="str">
        <f>IFERROR(__xludf.DUMMYFUNCTION("""COMPUTED_VALUE"""),"Evamazzita")</f>
        <v>Evamazzita</v>
      </c>
      <c r="F4847" s="17" t="str">
        <f>IFERROR(__xludf.DUMMYFUNCTION("""COMPUTED_VALUE"""),"CLL 42 # 34 54  / APTO 601 / BUCARAMANGA")</f>
        <v>CLL 42 # 34 54  / APTO 601 / BUCARAMANGA</v>
      </c>
      <c r="G4847" s="15" t="str">
        <f>IFERROR(__xludf.DUMMYFUNCTION("""COMPUTED_VALUE"""),"LORENA TAMAYO")</f>
        <v>LORENA TAMAYO</v>
      </c>
      <c r="H4847" s="16">
        <f>IFERROR(__xludf.DUMMYFUNCTION("""COMPUTED_VALUE"""),13528.0)</f>
        <v>13528</v>
      </c>
      <c r="I4847" s="18">
        <f>IFERROR(__xludf.DUMMYFUNCTION("""COMPUTED_VALUE"""),1.0)</f>
        <v>1</v>
      </c>
      <c r="J4847" s="18">
        <f>IFERROR(__xludf.DUMMYFUNCTION("""COMPUTED_VALUE"""),1.0)</f>
        <v>1</v>
      </c>
      <c r="K4847" s="18">
        <f>IFERROR(__xludf.DUMMYFUNCTION("""COMPUTED_VALUE"""),1.0)</f>
        <v>1</v>
      </c>
      <c r="L4847" s="17">
        <f>IFERROR(__xludf.DUMMYFUNCTION("""COMPUTED_VALUE"""),3.046327002E9)</f>
        <v>3046327002</v>
      </c>
      <c r="M4847" s="17" t="str">
        <f>IFERROR(__xludf.DUMMYFUNCTION("""COMPUTED_VALUE"""),"#REF!")</f>
        <v>#REF!</v>
      </c>
      <c r="N4847" s="17"/>
      <c r="O4847" s="17"/>
      <c r="P4847" s="17" t="b">
        <f>IFERROR(__xludf.DUMMYFUNCTION("""COMPUTED_VALUE"""),FALSE)</f>
        <v>0</v>
      </c>
      <c r="Q4847" s="20" t="str">
        <f>IFERROR(__xludf.DUMMYFUNCTION("""COMPUTED_VALUE"""),"")</f>
        <v/>
      </c>
      <c r="R4847" s="21" t="str">
        <f>IFERROR(__xludf.DUMMYFUNCTION("""COMPUTED_VALUE"""),"https://drive.google.com/file/d/1Px1iptiMCpdqQORqZ7CWdPJN1-mMdMHX/view?usp=drivesdk")</f>
        <v>https://drive.google.com/file/d/1Px1iptiMCpdqQORqZ7CWdPJN1-mMdMHX/view?usp=drivesdk</v>
      </c>
    </row>
    <row r="4848">
      <c r="A4848" s="15">
        <f>IFERROR(__xludf.DUMMYFUNCTION("""COMPUTED_VALUE"""),45141.0)</f>
        <v>45141</v>
      </c>
      <c r="B4848" s="16" t="str">
        <f>IFERROR(__xludf.DUMMYFUNCTION("""COMPUTED_VALUE"""),"Ivan David Pirela Pirela")</f>
        <v>Ivan David Pirela Pirela</v>
      </c>
      <c r="C4848" s="15" t="str">
        <f>IFERROR(__xludf.DUMMYFUNCTION("""COMPUTED_VALUE"""),"BUCARAMANGA")</f>
        <v>BUCARAMANGA</v>
      </c>
      <c r="D4848" s="15" t="str">
        <f>IFERROR(__xludf.DUMMYFUNCTION("""COMPUTED_VALUE"""),"BOGOTÁ")</f>
        <v>BOGOTÁ</v>
      </c>
      <c r="E4848" s="15" t="str">
        <f>IFERROR(__xludf.DUMMYFUNCTION("""COMPUTED_VALUE"""),"Evamazzita")</f>
        <v>Evamazzita</v>
      </c>
      <c r="F4848" s="17" t="str">
        <f>IFERROR(__xludf.DUMMYFUNCTION("""COMPUTED_VALUE"""),"CR 25 # 20 15  / APTO 201 / SAN FRANCISCO")</f>
        <v>CR 25 # 20 15  / APTO 201 / SAN FRANCISCO</v>
      </c>
      <c r="G4848" s="15" t="str">
        <f>IFERROR(__xludf.DUMMYFUNCTION("""COMPUTED_VALUE"""),"CLAUDIA TIBAMOZA")</f>
        <v>CLAUDIA TIBAMOZA</v>
      </c>
      <c r="H4848" s="16">
        <f>IFERROR(__xludf.DUMMYFUNCTION("""COMPUTED_VALUE"""),13525.0)</f>
        <v>13525</v>
      </c>
      <c r="I4848" s="18">
        <f>IFERROR(__xludf.DUMMYFUNCTION("""COMPUTED_VALUE"""),1.0)</f>
        <v>1</v>
      </c>
      <c r="J4848" s="18">
        <f>IFERROR(__xludf.DUMMYFUNCTION("""COMPUTED_VALUE"""),1.0)</f>
        <v>1</v>
      </c>
      <c r="K4848" s="18">
        <f>IFERROR(__xludf.DUMMYFUNCTION("""COMPUTED_VALUE"""),1.0)</f>
        <v>1</v>
      </c>
      <c r="L4848" s="17">
        <f>IFERROR(__xludf.DUMMYFUNCTION("""COMPUTED_VALUE"""),3.166240312E9)</f>
        <v>3166240312</v>
      </c>
      <c r="M4848" s="17" t="str">
        <f>IFERROR(__xludf.DUMMYFUNCTION("""COMPUTED_VALUE"""),"#REF!")</f>
        <v>#REF!</v>
      </c>
      <c r="N4848" s="17"/>
      <c r="O4848" s="17"/>
      <c r="P4848" s="17" t="b">
        <f>IFERROR(__xludf.DUMMYFUNCTION("""COMPUTED_VALUE"""),FALSE)</f>
        <v>0</v>
      </c>
      <c r="Q4848" s="20" t="str">
        <f>IFERROR(__xludf.DUMMYFUNCTION("""COMPUTED_VALUE"""),"")</f>
        <v/>
      </c>
      <c r="R4848" s="21" t="str">
        <f>IFERROR(__xludf.DUMMYFUNCTION("""COMPUTED_VALUE"""),"https://drive.google.com/file/d/1Z3CU_DI81q5rDOYUCh4qglTj1qsDKusH/view?usp=drivesdk")</f>
        <v>https://drive.google.com/file/d/1Z3CU_DI81q5rDOYUCh4qglTj1qsDKusH/view?usp=drivesdk</v>
      </c>
    </row>
    <row r="4849">
      <c r="A4849" s="15">
        <f>IFERROR(__xludf.DUMMYFUNCTION("""COMPUTED_VALUE"""),45141.0)</f>
        <v>45141</v>
      </c>
      <c r="B4849" s="16" t="str">
        <f>IFERROR(__xludf.DUMMYFUNCTION("""COMPUTED_VALUE"""),"Ivan David Pirela Pirela")</f>
        <v>Ivan David Pirela Pirela</v>
      </c>
      <c r="C4849" s="15" t="str">
        <f>IFERROR(__xludf.DUMMYFUNCTION("""COMPUTED_VALUE"""),"BUCARAMANGA")</f>
        <v>BUCARAMANGA</v>
      </c>
      <c r="D4849" s="15" t="str">
        <f>IFERROR(__xludf.DUMMYFUNCTION("""COMPUTED_VALUE"""),"BOGOTÁ")</f>
        <v>BOGOTÁ</v>
      </c>
      <c r="E4849" s="15" t="str">
        <f>IFERROR(__xludf.DUMMYFUNCTION("""COMPUTED_VALUE"""),"Evamazzita")</f>
        <v>Evamazzita</v>
      </c>
      <c r="F4849" s="17" t="str">
        <f>IFERROR(__xludf.DUMMYFUNCTION("""COMPUTED_VALUE"""),"CR 35 A # 51 82 / EDF. CABECERA TERCERA ETAPA B APTO 201 / CABECERA DEL LLANO")</f>
        <v>CR 35 A # 51 82 / EDF. CABECERA TERCERA ETAPA B APTO 201 / CABECERA DEL LLANO</v>
      </c>
      <c r="G4849" s="15" t="str">
        <f>IFERROR(__xludf.DUMMYFUNCTION("""COMPUTED_VALUE"""),"ADRIANA MARIA ACEVEDO")</f>
        <v>ADRIANA MARIA ACEVEDO</v>
      </c>
      <c r="H4849" s="16">
        <f>IFERROR(__xludf.DUMMYFUNCTION("""COMPUTED_VALUE"""),13524.0)</f>
        <v>13524</v>
      </c>
      <c r="I4849" s="18">
        <f>IFERROR(__xludf.DUMMYFUNCTION("""COMPUTED_VALUE"""),1.0)</f>
        <v>1</v>
      </c>
      <c r="J4849" s="18">
        <f>IFERROR(__xludf.DUMMYFUNCTION("""COMPUTED_VALUE"""),1.0)</f>
        <v>1</v>
      </c>
      <c r="K4849" s="18">
        <f>IFERROR(__xludf.DUMMYFUNCTION("""COMPUTED_VALUE"""),1.0)</f>
        <v>1</v>
      </c>
      <c r="L4849" s="17">
        <f>IFERROR(__xludf.DUMMYFUNCTION("""COMPUTED_VALUE"""),3.022929301E9)</f>
        <v>3022929301</v>
      </c>
      <c r="M4849" s="17" t="str">
        <f>IFERROR(__xludf.DUMMYFUNCTION("""COMPUTED_VALUE"""),"#REF!")</f>
        <v>#REF!</v>
      </c>
      <c r="N4849" s="17"/>
      <c r="O4849" s="17"/>
      <c r="P4849" s="17" t="b">
        <f>IFERROR(__xludf.DUMMYFUNCTION("""COMPUTED_VALUE"""),FALSE)</f>
        <v>0</v>
      </c>
      <c r="Q4849" s="20" t="str">
        <f>IFERROR(__xludf.DUMMYFUNCTION("""COMPUTED_VALUE"""),"")</f>
        <v/>
      </c>
      <c r="R4849" s="21" t="str">
        <f>IFERROR(__xludf.DUMMYFUNCTION("""COMPUTED_VALUE"""),"https://drive.google.com/file/d/12H_pydmiylyLjy3NUj5qQTlclJqVRP5Y/view?usp=drivesdk")</f>
        <v>https://drive.google.com/file/d/12H_pydmiylyLjy3NUj5qQTlclJqVRP5Y/view?usp=drivesdk</v>
      </c>
    </row>
    <row r="4850">
      <c r="A4850" s="15">
        <f>IFERROR(__xludf.DUMMYFUNCTION("""COMPUTED_VALUE"""),45141.0)</f>
        <v>45141</v>
      </c>
      <c r="B4850" s="16" t="str">
        <f>IFERROR(__xludf.DUMMYFUNCTION("""COMPUTED_VALUE"""),"Ivan David Pirela Pirela")</f>
        <v>Ivan David Pirela Pirela</v>
      </c>
      <c r="C4850" s="15" t="str">
        <f>IFERROR(__xludf.DUMMYFUNCTION("""COMPUTED_VALUE"""),"BUCARAMANGA")</f>
        <v>BUCARAMANGA</v>
      </c>
      <c r="D4850" s="15" t="str">
        <f>IFERROR(__xludf.DUMMYFUNCTION("""COMPUTED_VALUE"""),"BOGOTÁ")</f>
        <v>BOGOTÁ</v>
      </c>
      <c r="E4850" s="15" t="str">
        <f>IFERROR(__xludf.DUMMYFUNCTION("""COMPUTED_VALUE"""),"Ins. Alimento Vital")</f>
        <v>Ins. Alimento Vital</v>
      </c>
      <c r="F4850" s="17" t="str">
        <f>IFERROR(__xludf.DUMMYFUNCTION("""COMPUTED_VALUE"""),"CL 71 53 97 / CA 12 CON ALTOS DE CANTARELA / BARRIO LAGOS DE CACIQUE")</f>
        <v>CL 71 53 97 / CA 12 CON ALTOS DE CANTARELA / BARRIO LAGOS DE CACIQUE</v>
      </c>
      <c r="G4850" s="15" t="str">
        <f>IFERROR(__xludf.DUMMYFUNCTION("""COMPUTED_VALUE"""),"YAMILE EDILMA FRANCO")</f>
        <v>YAMILE EDILMA FRANCO</v>
      </c>
      <c r="H4850" s="16">
        <f>IFERROR(__xludf.DUMMYFUNCTION("""COMPUTED_VALUE"""),13519.0)</f>
        <v>13519</v>
      </c>
      <c r="I4850" s="18">
        <f>IFERROR(__xludf.DUMMYFUNCTION("""COMPUTED_VALUE"""),1.0)</f>
        <v>1</v>
      </c>
      <c r="J4850" s="18">
        <f>IFERROR(__xludf.DUMMYFUNCTION("""COMPUTED_VALUE"""),1.0)</f>
        <v>1</v>
      </c>
      <c r="K4850" s="18">
        <f>IFERROR(__xludf.DUMMYFUNCTION("""COMPUTED_VALUE"""),1.0)</f>
        <v>1</v>
      </c>
      <c r="L4850" s="17">
        <f>IFERROR(__xludf.DUMMYFUNCTION("""COMPUTED_VALUE"""),3.144711356E9)</f>
        <v>3144711356</v>
      </c>
      <c r="M4850" s="17" t="str">
        <f>IFERROR(__xludf.DUMMYFUNCTION("""COMPUTED_VALUE"""),"#REF!")</f>
        <v>#REF!</v>
      </c>
      <c r="N4850" s="17"/>
      <c r="O4850" s="17"/>
      <c r="P4850" s="17" t="b">
        <f>IFERROR(__xludf.DUMMYFUNCTION("""COMPUTED_VALUE"""),FALSE)</f>
        <v>0</v>
      </c>
      <c r="Q4850" s="20" t="str">
        <f>IFERROR(__xludf.DUMMYFUNCTION("""COMPUTED_VALUE"""),"")</f>
        <v/>
      </c>
      <c r="R4850" s="21" t="str">
        <f>IFERROR(__xludf.DUMMYFUNCTION("""COMPUTED_VALUE"""),"https://drive.google.com/file/d/19sFg9SG11dpOv6HG9UAp8VeqDCmbvjPT/view?usp=drivesdk")</f>
        <v>https://drive.google.com/file/d/19sFg9SG11dpOv6HG9UAp8VeqDCmbvjPT/view?usp=drivesdk</v>
      </c>
    </row>
    <row r="4851">
      <c r="A4851" s="15">
        <f>IFERROR(__xludf.DUMMYFUNCTION("""COMPUTED_VALUE"""),45141.0)</f>
        <v>45141</v>
      </c>
      <c r="B4851" s="16" t="str">
        <f>IFERROR(__xludf.DUMMYFUNCTION("""COMPUTED_VALUE"""),"Ivan David Pirela Pirela")</f>
        <v>Ivan David Pirela Pirela</v>
      </c>
      <c r="C4851" s="15" t="str">
        <f>IFERROR(__xludf.DUMMYFUNCTION("""COMPUTED_VALUE"""),"BUCARAMANGA")</f>
        <v>BUCARAMANGA</v>
      </c>
      <c r="D4851" s="15" t="str">
        <f>IFERROR(__xludf.DUMMYFUNCTION("""COMPUTED_VALUE"""),"BOGOTÁ")</f>
        <v>BOGOTÁ</v>
      </c>
      <c r="E4851" s="15" t="str">
        <f>IFERROR(__xludf.DUMMYFUNCTION("""COMPUTED_VALUE"""),"Ins. Alimento Vital")</f>
        <v>Ins. Alimento Vital</v>
      </c>
      <c r="F4851" s="17" t="str">
        <f>IFERROR(__xludf.DUMMYFUNCTION("""COMPUTED_VALUE"""),"CR 48 30 21 / TR 1 AP 204 EDI BOSQUES DEL VENADO / EDIFICIO BOSQUES DEL VENADO")</f>
        <v>CR 48 30 21 / TR 1 AP 204 EDI BOSQUES DEL VENADO / EDIFICIO BOSQUES DEL VENADO</v>
      </c>
      <c r="G4851" s="15" t="str">
        <f>IFERROR(__xludf.DUMMYFUNCTION("""COMPUTED_VALUE"""),"LEIDY CATERINE PATIÑO RODRIGUEZ")</f>
        <v>LEIDY CATERINE PATIÑO RODRIGUEZ</v>
      </c>
      <c r="H4851" s="16">
        <f>IFERROR(__xludf.DUMMYFUNCTION("""COMPUTED_VALUE"""),13521.0)</f>
        <v>13521</v>
      </c>
      <c r="I4851" s="18">
        <f>IFERROR(__xludf.DUMMYFUNCTION("""COMPUTED_VALUE"""),1.0)</f>
        <v>1</v>
      </c>
      <c r="J4851" s="18">
        <f>IFERROR(__xludf.DUMMYFUNCTION("""COMPUTED_VALUE"""),1.0)</f>
        <v>1</v>
      </c>
      <c r="K4851" s="18">
        <f>IFERROR(__xludf.DUMMYFUNCTION("""COMPUTED_VALUE"""),1.0)</f>
        <v>1</v>
      </c>
      <c r="L4851" s="17">
        <f>IFERROR(__xludf.DUMMYFUNCTION("""COMPUTED_VALUE"""),3.132936789E9)</f>
        <v>3132936789</v>
      </c>
      <c r="M4851" s="17" t="str">
        <f>IFERROR(__xludf.DUMMYFUNCTION("""COMPUTED_VALUE"""),"#REF!")</f>
        <v>#REF!</v>
      </c>
      <c r="N4851" s="17"/>
      <c r="O4851" s="17"/>
      <c r="P4851" s="17" t="b">
        <f>IFERROR(__xludf.DUMMYFUNCTION("""COMPUTED_VALUE"""),FALSE)</f>
        <v>0</v>
      </c>
      <c r="Q4851" s="20" t="str">
        <f>IFERROR(__xludf.DUMMYFUNCTION("""COMPUTED_VALUE"""),"")</f>
        <v/>
      </c>
      <c r="R4851" s="21" t="str">
        <f>IFERROR(__xludf.DUMMYFUNCTION("""COMPUTED_VALUE"""),"https://drive.google.com/file/d/1EqfjzZ46yvY4A2NCnl8g8iL_nfRjdJlp/view?usp=drivesdk")</f>
        <v>https://drive.google.com/file/d/1EqfjzZ46yvY4A2NCnl8g8iL_nfRjdJlp/view?usp=drivesdk</v>
      </c>
    </row>
    <row r="4852">
      <c r="A4852" s="15">
        <f>IFERROR(__xludf.DUMMYFUNCTION("""COMPUTED_VALUE"""),45141.0)</f>
        <v>45141</v>
      </c>
      <c r="B4852" s="16" t="str">
        <f>IFERROR(__xludf.DUMMYFUNCTION("""COMPUTED_VALUE"""),"Ivan David Pirela Pirela")</f>
        <v>Ivan David Pirela Pirela</v>
      </c>
      <c r="C4852" s="15" t="str">
        <f>IFERROR(__xludf.DUMMYFUNCTION("""COMPUTED_VALUE"""),"BUCARAMANGA")</f>
        <v>BUCARAMANGA</v>
      </c>
      <c r="D4852" s="15" t="str">
        <f>IFERROR(__xludf.DUMMYFUNCTION("""COMPUTED_VALUE"""),"BOGOTÁ")</f>
        <v>BOGOTÁ</v>
      </c>
      <c r="E4852" s="15" t="str">
        <f>IFERROR(__xludf.DUMMYFUNCTION("""COMPUTED_VALUE"""),"Pan de Waffle")</f>
        <v>Pan de Waffle</v>
      </c>
      <c r="F4852" s="17" t="str">
        <f>IFERROR(__xludf.DUMMYFUNCTION("""COMPUTED_VALUE"""),"Carrera 31 # 50 - 27 / Carrera 31 # 50 - 27 / Carrera 31 # 50 - 27")</f>
        <v>Carrera 31 # 50 - 27 / Carrera 31 # 50 - 27 / Carrera 31 # 50 - 27</v>
      </c>
      <c r="G4852" s="15" t="str">
        <f>IFERROR(__xludf.DUMMYFUNCTION("""COMPUTED_VALUE"""),"FOODOLOGY - BUCARAMANGA")</f>
        <v>FOODOLOGY - BUCARAMANGA</v>
      </c>
      <c r="H4852" s="16">
        <f>IFERROR(__xludf.DUMMYFUNCTION("""COMPUTED_VALUE"""),13516.0)</f>
        <v>13516</v>
      </c>
      <c r="I4852" s="18">
        <f>IFERROR(__xludf.DUMMYFUNCTION("""COMPUTED_VALUE"""),40.0)</f>
        <v>40</v>
      </c>
      <c r="J4852" s="18">
        <f>IFERROR(__xludf.DUMMYFUNCTION("""COMPUTED_VALUE"""),30.0)</f>
        <v>30</v>
      </c>
      <c r="K4852" s="18">
        <f>IFERROR(__xludf.DUMMYFUNCTION("""COMPUTED_VALUE"""),40.0)</f>
        <v>40</v>
      </c>
      <c r="L4852" s="17">
        <f>IFERROR(__xludf.DUMMYFUNCTION("""COMPUTED_VALUE"""),3.017001909E9)</f>
        <v>3017001909</v>
      </c>
      <c r="M4852" s="17" t="str">
        <f>IFERROR(__xludf.DUMMYFUNCTION("""COMPUTED_VALUE"""),"#REF!")</f>
        <v>#REF!</v>
      </c>
      <c r="N4852" s="17"/>
      <c r="O4852" s="17"/>
      <c r="P4852" s="17" t="b">
        <f>IFERROR(__xludf.DUMMYFUNCTION("""COMPUTED_VALUE"""),FALSE)</f>
        <v>0</v>
      </c>
      <c r="Q4852" s="20" t="str">
        <f>IFERROR(__xludf.DUMMYFUNCTION("""COMPUTED_VALUE"""),"")</f>
        <v/>
      </c>
      <c r="R4852" s="21" t="str">
        <f>IFERROR(__xludf.DUMMYFUNCTION("""COMPUTED_VALUE"""),"https://drive.google.com/file/d/1BIGaxMDFaSWq5C0HUFZ5hanBSNS_KCkF/view?usp=drivesdk")</f>
        <v>https://drive.google.com/file/d/1BIGaxMDFaSWq5C0HUFZ5hanBSNS_KCkF/view?usp=drivesdk</v>
      </c>
    </row>
    <row r="4853">
      <c r="A4853" s="15">
        <f>IFERROR(__xludf.DUMMYFUNCTION("""COMPUTED_VALUE"""),45141.0)</f>
        <v>45141</v>
      </c>
      <c r="B4853" s="16" t="str">
        <f>IFERROR(__xludf.DUMMYFUNCTION("""COMPUTED_VALUE"""),"Ivan David Pirela Pirela")</f>
        <v>Ivan David Pirela Pirela</v>
      </c>
      <c r="C4853" s="15" t="str">
        <f>IFERROR(__xludf.DUMMYFUNCTION("""COMPUTED_VALUE"""),"FLORIDABLANCA")</f>
        <v>FLORIDABLANCA</v>
      </c>
      <c r="D4853" s="15" t="str">
        <f>IFERROR(__xludf.DUMMYFUNCTION("""COMPUTED_VALUE"""),"BOGOTÁ")</f>
        <v>BOGOTÁ</v>
      </c>
      <c r="E4853" s="15" t="str">
        <f>IFERROR(__xludf.DUMMYFUNCTION("""COMPUTED_VALUE"""),"Evamazzita")</f>
        <v>Evamazzita</v>
      </c>
      <c r="F4853" s="17" t="str">
        <f>IFERROR(__xludf.DUMMYFUNCTION("""COMPUTED_VALUE"""),"KM 13 VIA AUTOPISTA VIA PIEDECUESTA / CASA 5 CONDOMINIO ARCADIA / VIA FLORIDABLANCA")</f>
        <v>KM 13 VIA AUTOPISTA VIA PIEDECUESTA / CASA 5 CONDOMINIO ARCADIA / VIA FLORIDABLANCA</v>
      </c>
      <c r="G4853" s="15" t="str">
        <f>IFERROR(__xludf.DUMMYFUNCTION("""COMPUTED_VALUE"""),"ASTRID SERRANO")</f>
        <v>ASTRID SERRANO</v>
      </c>
      <c r="H4853" s="16">
        <f>IFERROR(__xludf.DUMMYFUNCTION("""COMPUTED_VALUE"""),13533.0)</f>
        <v>13533</v>
      </c>
      <c r="I4853" s="18">
        <f>IFERROR(__xludf.DUMMYFUNCTION("""COMPUTED_VALUE"""),1.0)</f>
        <v>1</v>
      </c>
      <c r="J4853" s="18">
        <f>IFERROR(__xludf.DUMMYFUNCTION("""COMPUTED_VALUE"""),1.0)</f>
        <v>1</v>
      </c>
      <c r="K4853" s="18">
        <f>IFERROR(__xludf.DUMMYFUNCTION("""COMPUTED_VALUE"""),1.0)</f>
        <v>1</v>
      </c>
      <c r="L4853" s="17">
        <f>IFERROR(__xludf.DUMMYFUNCTION("""COMPUTED_VALUE"""),3.004420245E9)</f>
        <v>3004420245</v>
      </c>
      <c r="M4853" s="17" t="str">
        <f>IFERROR(__xludf.DUMMYFUNCTION("""COMPUTED_VALUE"""),"#REF!")</f>
        <v>#REF!</v>
      </c>
      <c r="N4853" s="17"/>
      <c r="O4853" s="17"/>
      <c r="P4853" s="17" t="b">
        <f>IFERROR(__xludf.DUMMYFUNCTION("""COMPUTED_VALUE"""),FALSE)</f>
        <v>0</v>
      </c>
      <c r="Q4853" s="20" t="str">
        <f>IFERROR(__xludf.DUMMYFUNCTION("""COMPUTED_VALUE"""),"")</f>
        <v/>
      </c>
      <c r="R4853" s="21" t="str">
        <f>IFERROR(__xludf.DUMMYFUNCTION("""COMPUTED_VALUE"""),"https://drive.google.com/file/d/1entvaX22aFS5sG24hRJYLhf7nzkLTVFG/view?usp=drivesdk")</f>
        <v>https://drive.google.com/file/d/1entvaX22aFS5sG24hRJYLhf7nzkLTVFG/view?usp=drivesdk</v>
      </c>
    </row>
    <row r="4854">
      <c r="A4854" s="15">
        <f>IFERROR(__xludf.DUMMYFUNCTION("""COMPUTED_VALUE"""),45141.0)</f>
        <v>45141</v>
      </c>
      <c r="B4854" s="16" t="str">
        <f>IFERROR(__xludf.DUMMYFUNCTION("""COMPUTED_VALUE"""),"Ivan David Pirela Pirela")</f>
        <v>Ivan David Pirela Pirela</v>
      </c>
      <c r="C4854" s="15" t="str">
        <f>IFERROR(__xludf.DUMMYFUNCTION("""COMPUTED_VALUE"""),"VILLAVICENCIO")</f>
        <v>VILLAVICENCIO</v>
      </c>
      <c r="D4854" s="15" t="str">
        <f>IFERROR(__xludf.DUMMYFUNCTION("""COMPUTED_VALUE"""),"MEDELLÍN")</f>
        <v>MEDELLÍN</v>
      </c>
      <c r="E4854" s="15" t="str">
        <f>IFERROR(__xludf.DUMMYFUNCTION("""COMPUTED_VALUE"""),"AREPAS LA MARY")</f>
        <v>AREPAS LA MARY</v>
      </c>
      <c r="F4854" s="17" t="str">
        <f>IFERROR(__xludf.DUMMYFUNCTION("""COMPUTED_VALUE"""),"AV 40 N.16B159 LOCAL 75 / CENTRO COMERCIAL VILLACENTRO")</f>
        <v>AV 40 N.16B159 LOCAL 75 / CENTRO COMERCIAL VILLACENTRO</v>
      </c>
      <c r="G4854" s="15" t="str">
        <f>IFERROR(__xludf.DUMMYFUNCTION("""COMPUTED_VALUE"""),"natural fit market")</f>
        <v>natural fit market</v>
      </c>
      <c r="H4854" s="16">
        <f>IFERROR(__xludf.DUMMYFUNCTION("""COMPUTED_VALUE"""),13481.0)</f>
        <v>13481</v>
      </c>
      <c r="I4854" s="18">
        <f>IFERROR(__xludf.DUMMYFUNCTION("""COMPUTED_VALUE"""),89.0)</f>
        <v>89</v>
      </c>
      <c r="J4854" s="18">
        <f>IFERROR(__xludf.DUMMYFUNCTION("""COMPUTED_VALUE"""),1.0)</f>
        <v>1</v>
      </c>
      <c r="K4854" s="18">
        <f>IFERROR(__xludf.DUMMYFUNCTION("""COMPUTED_VALUE"""),10.0)</f>
        <v>10</v>
      </c>
      <c r="L4854" s="17">
        <f>IFERROR(__xludf.DUMMYFUNCTION("""COMPUTED_VALUE"""),3.138896388E9)</f>
        <v>3138896388</v>
      </c>
      <c r="M4854" s="17" t="str">
        <f>IFERROR(__xludf.DUMMYFUNCTION("""COMPUTED_VALUE"""),"#REF!")</f>
        <v>#REF!</v>
      </c>
      <c r="N4854" s="17"/>
      <c r="O4854" s="17"/>
      <c r="P4854" s="17" t="b">
        <f>IFERROR(__xludf.DUMMYFUNCTION("""COMPUTED_VALUE"""),FALSE)</f>
        <v>0</v>
      </c>
      <c r="Q4854" s="20" t="str">
        <f>IFERROR(__xludf.DUMMYFUNCTION("""COMPUTED_VALUE"""),"")</f>
        <v/>
      </c>
      <c r="R4854" s="22" t="str">
        <f>IFERROR(__xludf.DUMMYFUNCTION("""COMPUTED_VALUE"""),"")</f>
        <v/>
      </c>
    </row>
    <row r="4855">
      <c r="A4855" s="15">
        <f>IFERROR(__xludf.DUMMYFUNCTION("""COMPUTED_VALUE"""),45141.0)</f>
        <v>45141</v>
      </c>
      <c r="B4855" s="16" t="str">
        <f>IFERROR(__xludf.DUMMYFUNCTION("""COMPUTED_VALUE"""),"Ivan David Pirela Pirela")</f>
        <v>Ivan David Pirela Pirela</v>
      </c>
      <c r="C4855" s="15" t="str">
        <f>IFERROR(__xludf.DUMMYFUNCTION("""COMPUTED_VALUE"""),"VILLAVICENCIO")</f>
        <v>VILLAVICENCIO</v>
      </c>
      <c r="D4855" s="15" t="str">
        <f>IFERROR(__xludf.DUMMYFUNCTION("""COMPUTED_VALUE"""),"MEDELLÍN")</f>
        <v>MEDELLÍN</v>
      </c>
      <c r="E4855" s="15" t="str">
        <f>IFERROR(__xludf.DUMMYFUNCTION("""COMPUTED_VALUE"""),"Baby Chef")</f>
        <v>Baby Chef</v>
      </c>
      <c r="F4855" s="17" t="str">
        <f>IFERROR(__xludf.DUMMYFUNCTION("""COMPUTED_VALUE"""),"carrera 42 N 49a 40 barrio alcazares  / carrera 42 N 49a 40 barrio alcazares  / carrera 42 N 49a 40 barrio alcazares")</f>
        <v>carrera 42 N 49a 40 barrio alcazares  / carrera 42 N 49a 40 barrio alcazares  / carrera 42 N 49a 40 barrio alcazares</v>
      </c>
      <c r="G4855" s="15" t="str">
        <f>IFERROR(__xludf.DUMMYFUNCTION("""COMPUTED_VALUE"""),"Diana Milena Moya Morales")</f>
        <v>Diana Milena Moya Morales</v>
      </c>
      <c r="H4855" s="16">
        <f>IFERROR(__xludf.DUMMYFUNCTION("""COMPUTED_VALUE"""),13501.0)</f>
        <v>13501</v>
      </c>
      <c r="I4855" s="18">
        <f>IFERROR(__xludf.DUMMYFUNCTION("""COMPUTED_VALUE"""),8.0)</f>
        <v>8</v>
      </c>
      <c r="J4855" s="18">
        <f>IFERROR(__xludf.DUMMYFUNCTION("""COMPUTED_VALUE"""),48.0)</f>
        <v>48</v>
      </c>
      <c r="K4855" s="18">
        <f>IFERROR(__xludf.DUMMYFUNCTION("""COMPUTED_VALUE"""),28.0)</f>
        <v>28</v>
      </c>
      <c r="L4855" s="17">
        <f>IFERROR(__xludf.DUMMYFUNCTION("""COMPUTED_VALUE"""),3.202458741E9)</f>
        <v>3202458741</v>
      </c>
      <c r="M4855" s="17" t="str">
        <f>IFERROR(__xludf.DUMMYFUNCTION("""COMPUTED_VALUE"""),"#REF!")</f>
        <v>#REF!</v>
      </c>
      <c r="N4855" s="17"/>
      <c r="O4855" s="17"/>
      <c r="P4855" s="17" t="b">
        <f>IFERROR(__xludf.DUMMYFUNCTION("""COMPUTED_VALUE"""),FALSE)</f>
        <v>0</v>
      </c>
      <c r="Q4855" s="20" t="str">
        <f>IFERROR(__xludf.DUMMYFUNCTION("""COMPUTED_VALUE"""),"")</f>
        <v/>
      </c>
      <c r="R4855" s="22" t="str">
        <f>IFERROR(__xludf.DUMMYFUNCTION("""COMPUTED_VALUE"""),"")</f>
        <v/>
      </c>
    </row>
    <row r="4856">
      <c r="A4856" s="17" t="str">
        <f>IFERROR(__xludf.DUMMYFUNCTION("""COMPUTED_VALUE"""),"")</f>
        <v/>
      </c>
      <c r="B4856" s="17" t="str">
        <f>IFERROR(__xludf.DUMMYFUNCTION("""COMPUTED_VALUE"""),"")</f>
        <v/>
      </c>
      <c r="C4856" s="17" t="str">
        <f>IFERROR(__xludf.DUMMYFUNCTION("""COMPUTED_VALUE"""),"")</f>
        <v/>
      </c>
      <c r="D4856" s="17" t="str">
        <f>IFERROR(__xludf.DUMMYFUNCTION("""COMPUTED_VALUE"""),"")</f>
        <v/>
      </c>
      <c r="E4856" s="17" t="str">
        <f>IFERROR(__xludf.DUMMYFUNCTION("""COMPUTED_VALUE"""),"")</f>
        <v/>
      </c>
      <c r="F4856" s="17" t="str">
        <f>IFERROR(__xludf.DUMMYFUNCTION("""COMPUTED_VALUE"""),"")</f>
        <v/>
      </c>
      <c r="G4856" s="17" t="str">
        <f>IFERROR(__xludf.DUMMYFUNCTION("""COMPUTED_VALUE"""),"")</f>
        <v/>
      </c>
      <c r="H4856" s="17" t="str">
        <f>IFERROR(__xludf.DUMMYFUNCTION("""COMPUTED_VALUE"""),"")</f>
        <v/>
      </c>
      <c r="I4856" s="17" t="str">
        <f>IFERROR(__xludf.DUMMYFUNCTION("""COMPUTED_VALUE"""),"")</f>
        <v/>
      </c>
      <c r="J4856" s="17" t="str">
        <f>IFERROR(__xludf.DUMMYFUNCTION("""COMPUTED_VALUE"""),"")</f>
        <v/>
      </c>
      <c r="K4856" s="17" t="str">
        <f>IFERROR(__xludf.DUMMYFUNCTION("""COMPUTED_VALUE"""),"")</f>
        <v/>
      </c>
      <c r="L4856" s="17" t="str">
        <f>IFERROR(__xludf.DUMMYFUNCTION("""COMPUTED_VALUE"""),"")</f>
        <v/>
      </c>
      <c r="M4856" s="17" t="str">
        <f>IFERROR(__xludf.DUMMYFUNCTION("""COMPUTED_VALUE"""),"")</f>
        <v/>
      </c>
      <c r="N4856" s="17" t="str">
        <f>IFERROR(__xludf.DUMMYFUNCTION("""COMPUTED_VALUE"""),"")</f>
        <v/>
      </c>
      <c r="O4856" s="17" t="str">
        <f>IFERROR(__xludf.DUMMYFUNCTION("""COMPUTED_VALUE"""),"")</f>
        <v/>
      </c>
      <c r="P4856" s="17" t="str">
        <f>IFERROR(__xludf.DUMMYFUNCTION("""COMPUTED_VALUE"""),"")</f>
        <v/>
      </c>
      <c r="Q4856" s="17" t="str">
        <f>IFERROR(__xludf.DUMMYFUNCTION("""COMPUTED_VALUE"""),"")</f>
        <v/>
      </c>
      <c r="R4856" s="17" t="str">
        <f>IFERROR(__xludf.DUMMYFUNCTION("""COMPUTED_VALUE"""),"")</f>
        <v/>
      </c>
    </row>
    <row r="4857">
      <c r="A4857" s="15">
        <f>IFERROR(__xludf.DUMMYFUNCTION("""COMPUTED_VALUE"""),45141.0)</f>
        <v>45141</v>
      </c>
      <c r="B4857" s="16" t="str">
        <f>IFERROR(__xludf.DUMMYFUNCTION("""COMPUTED_VALUE"""),"Julian Calderon Rodriguez ")</f>
        <v>Julian Calderon Rodriguez </v>
      </c>
      <c r="C4857" s="15" t="str">
        <f>IFERROR(__xludf.DUMMYFUNCTION("""COMPUTED_VALUE"""),"SANTA MARTA")</f>
        <v>SANTA MARTA</v>
      </c>
      <c r="D4857" s="15" t="str">
        <f>IFERROR(__xludf.DUMMYFUNCTION("""COMPUTED_VALUE"""),"BOGOTÁ")</f>
        <v>BOGOTÁ</v>
      </c>
      <c r="E4857" s="15" t="str">
        <f>IFERROR(__xludf.DUMMYFUNCTION("""COMPUTED_VALUE"""),"Ins. Alimento Vital")</f>
        <v>Ins. Alimento Vital</v>
      </c>
      <c r="F4857" s="17" t="str">
        <f>IFERROR(__xludf.DUMMYFUNCTION("""COMPUTED_VALUE"""),"CL 74 1 169 / SECTOR LAGOS DEL DULCINO CABO TORTUGA APTO 208 / SECTOR LAGOS DEL DULCINO CABO TORTUGA")</f>
        <v>CL 74 1 169 / SECTOR LAGOS DEL DULCINO CABO TORTUGA APTO 208 / SECTOR LAGOS DEL DULCINO CABO TORTUGA</v>
      </c>
      <c r="G4857" s="15" t="str">
        <f>IFERROR(__xludf.DUMMYFUNCTION("""COMPUTED_VALUE"""),"MARIA FERNANDA PEÑA")</f>
        <v>MARIA FERNANDA PEÑA</v>
      </c>
      <c r="H4857" s="16">
        <f>IFERROR(__xludf.DUMMYFUNCTION("""COMPUTED_VALUE"""),13474.0)</f>
        <v>13474</v>
      </c>
      <c r="I4857" s="18">
        <f>IFERROR(__xludf.DUMMYFUNCTION("""COMPUTED_VALUE"""),1.0)</f>
        <v>1</v>
      </c>
      <c r="J4857" s="18">
        <f>IFERROR(__xludf.DUMMYFUNCTION("""COMPUTED_VALUE"""),1.0)</f>
        <v>1</v>
      </c>
      <c r="K4857" s="18">
        <f>IFERROR(__xludf.DUMMYFUNCTION("""COMPUTED_VALUE"""),1.0)</f>
        <v>1</v>
      </c>
      <c r="L4857" s="17">
        <f>IFERROR(__xludf.DUMMYFUNCTION("""COMPUTED_VALUE"""),3.132648497E9)</f>
        <v>3132648497</v>
      </c>
      <c r="M4857" s="17" t="str">
        <f>IFERROR(__xludf.DUMMYFUNCTION("""COMPUTED_VALUE"""),"#REF!")</f>
        <v>#REF!</v>
      </c>
      <c r="N4857" s="17"/>
      <c r="O4857" s="17"/>
      <c r="P4857" s="17" t="b">
        <f>IFERROR(__xludf.DUMMYFUNCTION("""COMPUTED_VALUE"""),FALSE)</f>
        <v>0</v>
      </c>
      <c r="Q4857" s="20" t="str">
        <f>IFERROR(__xludf.DUMMYFUNCTION("""COMPUTED_VALUE"""),"")</f>
        <v/>
      </c>
      <c r="R4857" s="21" t="str">
        <f>IFERROR(__xludf.DUMMYFUNCTION("""COMPUTED_VALUE"""),"https://drive.google.com/file/d/1ZebatqMq4gsWPWrqfqsdbnUa4G2C54ny/view?usp=drivesdk")</f>
        <v>https://drive.google.com/file/d/1ZebatqMq4gsWPWrqfqsdbnUa4G2C54ny/view?usp=drivesdk</v>
      </c>
    </row>
    <row r="4858">
      <c r="A4858" s="15">
        <f>IFERROR(__xludf.DUMMYFUNCTION("""COMPUTED_VALUE"""),45141.0)</f>
        <v>45141</v>
      </c>
      <c r="B4858" s="16" t="str">
        <f>IFERROR(__xludf.DUMMYFUNCTION("""COMPUTED_VALUE"""),"Julian Calderon Rodriguez ")</f>
        <v>Julian Calderon Rodriguez </v>
      </c>
      <c r="C4858" s="15" t="str">
        <f>IFERROR(__xludf.DUMMYFUNCTION("""COMPUTED_VALUE"""),"SANTA MARTA")</f>
        <v>SANTA MARTA</v>
      </c>
      <c r="D4858" s="15" t="str">
        <f>IFERROR(__xludf.DUMMYFUNCTION("""COMPUTED_VALUE"""),"BUCARAMANGA")</f>
        <v>BUCARAMANGA</v>
      </c>
      <c r="E4858" s="15" t="str">
        <f>IFERROR(__xludf.DUMMYFUNCTION("""COMPUTED_VALUE"""),"Yo Como Solito")</f>
        <v>Yo Como Solito</v>
      </c>
      <c r="F4858" s="17" t="str">
        <f>IFERROR(__xludf.DUMMYFUNCTION("""COMPUTED_VALUE"""),"Calle 15# 21-115 apto 6c edf slovenia, brr jardin. Santa Marta  / Calle 15# 21-115 apto 6c edf slovenia, brr jardin. Santa Marta  / Calle 15# 21-115 apto 6c edf slovenia, brr jardin. Santa Marta")</f>
        <v>Calle 15# 21-115 apto 6c edf slovenia, brr jardin. Santa Marta  / Calle 15# 21-115 apto 6c edf slovenia, brr jardin. Santa Marta  / Calle 15# 21-115 apto 6c edf slovenia, brr jardin. Santa Marta</v>
      </c>
      <c r="G4858" s="15" t="str">
        <f>IFERROR(__xludf.DUMMYFUNCTION("""COMPUTED_VALUE"""),"Pamela Pedraza Perez")</f>
        <v>Pamela Pedraza Perez</v>
      </c>
      <c r="H4858" s="16">
        <f>IFERROR(__xludf.DUMMYFUNCTION("""COMPUTED_VALUE"""),13357.0)</f>
        <v>13357</v>
      </c>
      <c r="I4858" s="18">
        <f>IFERROR(__xludf.DUMMYFUNCTION("""COMPUTED_VALUE"""),13.0)</f>
        <v>13</v>
      </c>
      <c r="J4858" s="18">
        <f>IFERROR(__xludf.DUMMYFUNCTION("""COMPUTED_VALUE"""),30.0)</f>
        <v>30</v>
      </c>
      <c r="K4858" s="18">
        <f>IFERROR(__xludf.DUMMYFUNCTION("""COMPUTED_VALUE"""),35.0)</f>
        <v>35</v>
      </c>
      <c r="L4858" s="17">
        <f>IFERROR(__xludf.DUMMYFUNCTION("""COMPUTED_VALUE"""),3.174012187E9)</f>
        <v>3174012187</v>
      </c>
      <c r="M4858" s="17" t="str">
        <f>IFERROR(__xludf.DUMMYFUNCTION("""COMPUTED_VALUE"""),"#REF!")</f>
        <v>#REF!</v>
      </c>
      <c r="N4858" s="17"/>
      <c r="O4858" s="17"/>
      <c r="P4858" s="17" t="b">
        <f>IFERROR(__xludf.DUMMYFUNCTION("""COMPUTED_VALUE"""),FALSE)</f>
        <v>0</v>
      </c>
      <c r="Q4858" s="20" t="str">
        <f>IFERROR(__xludf.DUMMYFUNCTION("""COMPUTED_VALUE"""),"")</f>
        <v/>
      </c>
      <c r="R4858" s="21" t="str">
        <f>IFERROR(__xludf.DUMMYFUNCTION("""COMPUTED_VALUE"""),"https://drive.google.com/file/d/1sXJY8WjDBCCB6IYLYhS-EHHQQ4Q99NDk/view?usp=drivesdk")</f>
        <v>https://drive.google.com/file/d/1sXJY8WjDBCCB6IYLYhS-EHHQQ4Q99NDk/view?usp=drivesdk</v>
      </c>
    </row>
    <row r="4859">
      <c r="A4859" s="15">
        <f>IFERROR(__xludf.DUMMYFUNCTION("""COMPUTED_VALUE"""),45141.0)</f>
        <v>45141</v>
      </c>
      <c r="B4859" s="16" t="str">
        <f>IFERROR(__xludf.DUMMYFUNCTION("""COMPUTED_VALUE"""),"Julian Calderon Rodriguez ")</f>
        <v>Julian Calderon Rodriguez </v>
      </c>
      <c r="C4859" s="15" t="str">
        <f>IFERROR(__xludf.DUMMYFUNCTION("""COMPUTED_VALUE"""),"VILLAVICENCIO")</f>
        <v>VILLAVICENCIO</v>
      </c>
      <c r="D4859" s="15" t="str">
        <f>IFERROR(__xludf.DUMMYFUNCTION("""COMPUTED_VALUE"""),"BOGOTÁ")</f>
        <v>BOGOTÁ</v>
      </c>
      <c r="E4859" s="15" t="str">
        <f>IFERROR(__xludf.DUMMYFUNCTION("""COMPUTED_VALUE"""),"Spirulina Fresca")</f>
        <v>Spirulina Fresca</v>
      </c>
      <c r="F4859" s="17" t="str">
        <f>IFERROR(__xludf.DUMMYFUNCTION("""COMPUTED_VALUE"""),"Cr 34#12-07 / Séptima etapa la Esperanza / La Esperanza")</f>
        <v>Cr 34#12-07 / Séptima etapa la Esperanza / La Esperanza</v>
      </c>
      <c r="G4859" s="15" t="str">
        <f>IFERROR(__xludf.DUMMYFUNCTION("""COMPUTED_VALUE"""),"Jessyka Ramirez")</f>
        <v>Jessyka Ramirez</v>
      </c>
      <c r="H4859" s="16">
        <f>IFERROR(__xludf.DUMMYFUNCTION("""COMPUTED_VALUE"""),13568.0)</f>
        <v>13568</v>
      </c>
      <c r="I4859" s="18">
        <f>IFERROR(__xludf.DUMMYFUNCTION("""COMPUTED_VALUE"""),12.0)</f>
        <v>12</v>
      </c>
      <c r="J4859" s="18">
        <f>IFERROR(__xludf.DUMMYFUNCTION("""COMPUTED_VALUE"""),12.0)</f>
        <v>12</v>
      </c>
      <c r="K4859" s="18">
        <f>IFERROR(__xludf.DUMMYFUNCTION("""COMPUTED_VALUE"""),22.0)</f>
        <v>22</v>
      </c>
      <c r="L4859" s="17">
        <f>IFERROR(__xludf.DUMMYFUNCTION("""COMPUTED_VALUE"""),3.008671517E9)</f>
        <v>3008671517</v>
      </c>
      <c r="M4859" s="17" t="str">
        <f>IFERROR(__xludf.DUMMYFUNCTION("""COMPUTED_VALUE"""),"#REF!")</f>
        <v>#REF!</v>
      </c>
      <c r="N4859" s="17"/>
      <c r="O4859" s="17"/>
      <c r="P4859" s="17" t="b">
        <f>IFERROR(__xludf.DUMMYFUNCTION("""COMPUTED_VALUE"""),FALSE)</f>
        <v>0</v>
      </c>
      <c r="Q4859" s="20" t="str">
        <f>IFERROR(__xludf.DUMMYFUNCTION("""COMPUTED_VALUE"""),"")</f>
        <v/>
      </c>
      <c r="R4859" s="21" t="str">
        <f>IFERROR(__xludf.DUMMYFUNCTION("""COMPUTED_VALUE"""),"https://drive.google.com/file/d/18PKXIts6HXuEsgH960OydlEBak7V3iTc/view?usp=drivesdk")</f>
        <v>https://drive.google.com/file/d/18PKXIts6HXuEsgH960OydlEBak7V3iTc/view?usp=drivesdk</v>
      </c>
    </row>
    <row r="4860">
      <c r="A4860" s="17" t="str">
        <f>IFERROR(__xludf.DUMMYFUNCTION("""COMPUTED_VALUE"""),"")</f>
        <v/>
      </c>
      <c r="B4860" s="17" t="str">
        <f>IFERROR(__xludf.DUMMYFUNCTION("""COMPUTED_VALUE"""),"")</f>
        <v/>
      </c>
      <c r="C4860" s="17" t="str">
        <f>IFERROR(__xludf.DUMMYFUNCTION("""COMPUTED_VALUE"""),"")</f>
        <v/>
      </c>
      <c r="D4860" s="17" t="str">
        <f>IFERROR(__xludf.DUMMYFUNCTION("""COMPUTED_VALUE"""),"")</f>
        <v/>
      </c>
      <c r="E4860" s="17" t="str">
        <f>IFERROR(__xludf.DUMMYFUNCTION("""COMPUTED_VALUE"""),"")</f>
        <v/>
      </c>
      <c r="F4860" s="17" t="str">
        <f>IFERROR(__xludf.DUMMYFUNCTION("""COMPUTED_VALUE"""),"")</f>
        <v/>
      </c>
      <c r="G4860" s="17" t="str">
        <f>IFERROR(__xludf.DUMMYFUNCTION("""COMPUTED_VALUE"""),"")</f>
        <v/>
      </c>
      <c r="H4860" s="17" t="str">
        <f>IFERROR(__xludf.DUMMYFUNCTION("""COMPUTED_VALUE"""),"")</f>
        <v/>
      </c>
      <c r="I4860" s="17" t="str">
        <f>IFERROR(__xludf.DUMMYFUNCTION("""COMPUTED_VALUE"""),"")</f>
        <v/>
      </c>
      <c r="J4860" s="17" t="str">
        <f>IFERROR(__xludf.DUMMYFUNCTION("""COMPUTED_VALUE"""),"")</f>
        <v/>
      </c>
      <c r="K4860" s="17" t="str">
        <f>IFERROR(__xludf.DUMMYFUNCTION("""COMPUTED_VALUE"""),"")</f>
        <v/>
      </c>
      <c r="L4860" s="17" t="str">
        <f>IFERROR(__xludf.DUMMYFUNCTION("""COMPUTED_VALUE"""),"")</f>
        <v/>
      </c>
      <c r="M4860" s="17" t="str">
        <f>IFERROR(__xludf.DUMMYFUNCTION("""COMPUTED_VALUE"""),"")</f>
        <v/>
      </c>
      <c r="N4860" s="17" t="str">
        <f>IFERROR(__xludf.DUMMYFUNCTION("""COMPUTED_VALUE"""),"")</f>
        <v/>
      </c>
      <c r="O4860" s="17" t="str">
        <f>IFERROR(__xludf.DUMMYFUNCTION("""COMPUTED_VALUE"""),"")</f>
        <v/>
      </c>
      <c r="P4860" s="17" t="str">
        <f>IFERROR(__xludf.DUMMYFUNCTION("""COMPUTED_VALUE"""),"")</f>
        <v/>
      </c>
      <c r="Q4860" s="17" t="str">
        <f>IFERROR(__xludf.DUMMYFUNCTION("""COMPUTED_VALUE"""),"")</f>
        <v/>
      </c>
      <c r="R4860" s="17" t="str">
        <f>IFERROR(__xludf.DUMMYFUNCTION("""COMPUTED_VALUE"""),"")</f>
        <v/>
      </c>
    </row>
    <row r="4861">
      <c r="A4861" s="15">
        <f>IFERROR(__xludf.DUMMYFUNCTION("""COMPUTED_VALUE"""),45141.0)</f>
        <v>45141</v>
      </c>
      <c r="B4861" s="16" t="str">
        <f>IFERROR(__xludf.DUMMYFUNCTION("""COMPUTED_VALUE"""),"Orlando Urdaneta Rincon ")</f>
        <v>Orlando Urdaneta Rincon </v>
      </c>
      <c r="C4861" s="15" t="str">
        <f>IFERROR(__xludf.DUMMYFUNCTION("""COMPUTED_VALUE"""),"NEIVA")</f>
        <v>NEIVA</v>
      </c>
      <c r="D4861" s="15" t="str">
        <f>IFERROR(__xludf.DUMMYFUNCTION("""COMPUTED_VALUE"""),"BUCARAMANGA")</f>
        <v>BUCARAMANGA</v>
      </c>
      <c r="E4861" s="15" t="str">
        <f>IFERROR(__xludf.DUMMYFUNCTION("""COMPUTED_VALUE"""),"Yo Como Solito")</f>
        <v>Yo Como Solito</v>
      </c>
      <c r="F4861" s="17" t="str">
        <f>IFERROR(__xludf.DUMMYFUNCTION("""COMPUTED_VALUE"""),"calle 56 # 1w -99 / torre 7 apto 503 / conjunto residencial IPACARAI UNO")</f>
        <v>calle 56 # 1w -99 / torre 7 apto 503 / conjunto residencial IPACARAI UNO</v>
      </c>
      <c r="G4861" s="15" t="str">
        <f>IFERROR(__xludf.DUMMYFUNCTION("""COMPUTED_VALUE"""),"Belisario Quiroz")</f>
        <v>Belisario Quiroz</v>
      </c>
      <c r="H4861" s="16">
        <f>IFERROR(__xludf.DUMMYFUNCTION("""COMPUTED_VALUE"""),13508.0)</f>
        <v>13508</v>
      </c>
      <c r="I4861" s="18">
        <f>IFERROR(__xludf.DUMMYFUNCTION("""COMPUTED_VALUE"""),1.0)</f>
        <v>1</v>
      </c>
      <c r="J4861" s="18">
        <f>IFERROR(__xludf.DUMMYFUNCTION("""COMPUTED_VALUE"""),1.0)</f>
        <v>1</v>
      </c>
      <c r="K4861" s="18">
        <f>IFERROR(__xludf.DUMMYFUNCTION("""COMPUTED_VALUE"""),1.0)</f>
        <v>1</v>
      </c>
      <c r="L4861" s="17">
        <f>IFERROR(__xludf.DUMMYFUNCTION("""COMPUTED_VALUE"""),3.204143077E9)</f>
        <v>3204143077</v>
      </c>
      <c r="M4861" s="17" t="str">
        <f>IFERROR(__xludf.DUMMYFUNCTION("""COMPUTED_VALUE"""),"#REF!")</f>
        <v>#REF!</v>
      </c>
      <c r="N4861" s="17"/>
      <c r="O4861" s="17"/>
      <c r="P4861" s="17" t="b">
        <f>IFERROR(__xludf.DUMMYFUNCTION("""COMPUTED_VALUE"""),FALSE)</f>
        <v>0</v>
      </c>
      <c r="Q4861" s="20" t="str">
        <f>IFERROR(__xludf.DUMMYFUNCTION("""COMPUTED_VALUE"""),"")</f>
        <v/>
      </c>
      <c r="R4861" s="22" t="str">
        <f>IFERROR(__xludf.DUMMYFUNCTION("""COMPUTED_VALUE"""),"")</f>
        <v/>
      </c>
    </row>
    <row r="4862">
      <c r="A4862" s="15">
        <f>IFERROR(__xludf.DUMMYFUNCTION("""COMPUTED_VALUE"""),45141.0)</f>
        <v>45141</v>
      </c>
      <c r="B4862" s="16" t="str">
        <f>IFERROR(__xludf.DUMMYFUNCTION("""COMPUTED_VALUE"""),"Orlando Urdaneta Rincon ")</f>
        <v>Orlando Urdaneta Rincon </v>
      </c>
      <c r="C4862" s="15" t="str">
        <f>IFERROR(__xludf.DUMMYFUNCTION("""COMPUTED_VALUE"""),"NEIVA")</f>
        <v>NEIVA</v>
      </c>
      <c r="D4862" s="15" t="str">
        <f>IFERROR(__xludf.DUMMYFUNCTION("""COMPUTED_VALUE"""),"MEDELLÍN")</f>
        <v>MEDELLÍN</v>
      </c>
      <c r="E4862" s="15" t="str">
        <f>IFERROR(__xludf.DUMMYFUNCTION("""COMPUTED_VALUE"""),"Baby Chef")</f>
        <v>Baby Chef</v>
      </c>
      <c r="F4862" s="17" t="str">
        <f>IFERROR(__xludf.DUMMYFUNCTION("""COMPUTED_VALUE"""),"Calle 60 # 22-18 barrio san valentin norte / Calle 60 # 22-18 barrio san valentin norte / Calle 60 # 22-18 barrio san valentin norte")</f>
        <v>Calle 60 # 22-18 barrio san valentin norte / Calle 60 # 22-18 barrio san valentin norte / Calle 60 # 22-18 barrio san valentin norte</v>
      </c>
      <c r="G4862" s="15" t="str">
        <f>IFERROR(__xludf.DUMMYFUNCTION("""COMPUTED_VALUE"""),"Liceth Calderón")</f>
        <v>Liceth Calderón</v>
      </c>
      <c r="H4862" s="16">
        <f>IFERROR(__xludf.DUMMYFUNCTION("""COMPUTED_VALUE"""),13500.0)</f>
        <v>13500</v>
      </c>
      <c r="I4862" s="18">
        <f>IFERROR(__xludf.DUMMYFUNCTION("""COMPUTED_VALUE"""),8.0)</f>
        <v>8</v>
      </c>
      <c r="J4862" s="18">
        <f>IFERROR(__xludf.DUMMYFUNCTION("""COMPUTED_VALUE"""),36.0)</f>
        <v>36</v>
      </c>
      <c r="K4862" s="18">
        <f>IFERROR(__xludf.DUMMYFUNCTION("""COMPUTED_VALUE"""),23.0)</f>
        <v>23</v>
      </c>
      <c r="L4862" s="17">
        <f>IFERROR(__xludf.DUMMYFUNCTION("""COMPUTED_VALUE"""),3.112846194E9)</f>
        <v>3112846194</v>
      </c>
      <c r="M4862" s="17" t="str">
        <f>IFERROR(__xludf.DUMMYFUNCTION("""COMPUTED_VALUE"""),"#REF!")</f>
        <v>#REF!</v>
      </c>
      <c r="N4862" s="17"/>
      <c r="O4862" s="17"/>
      <c r="P4862" s="17" t="b">
        <f>IFERROR(__xludf.DUMMYFUNCTION("""COMPUTED_VALUE"""),FALSE)</f>
        <v>0</v>
      </c>
      <c r="Q4862" s="20" t="str">
        <f>IFERROR(__xludf.DUMMYFUNCTION("""COMPUTED_VALUE"""),"")</f>
        <v/>
      </c>
      <c r="R4862" s="22" t="str">
        <f>IFERROR(__xludf.DUMMYFUNCTION("""COMPUTED_VALUE"""),"")</f>
        <v/>
      </c>
    </row>
    <row r="4863">
      <c r="A4863" s="15">
        <f>IFERROR(__xludf.DUMMYFUNCTION("""COMPUTED_VALUE"""),45141.0)</f>
        <v>45141</v>
      </c>
      <c r="B4863" s="16" t="str">
        <f>IFERROR(__xludf.DUMMYFUNCTION("""COMPUTED_VALUE"""),"Orlando Urdaneta Rincon ")</f>
        <v>Orlando Urdaneta Rincon </v>
      </c>
      <c r="C4863" s="15" t="str">
        <f>IFERROR(__xludf.DUMMYFUNCTION("""COMPUTED_VALUE"""),"SANTA MARTA")</f>
        <v>SANTA MARTA</v>
      </c>
      <c r="D4863" s="15" t="str">
        <f>IFERROR(__xludf.DUMMYFUNCTION("""COMPUTED_VALUE"""),"BOGOTÁ")</f>
        <v>BOGOTÁ</v>
      </c>
      <c r="E4863" s="15" t="str">
        <f>IFERROR(__xludf.DUMMYFUNCTION("""COMPUTED_VALUE"""),"Evamazzita")</f>
        <v>Evamazzita</v>
      </c>
      <c r="F4863" s="17" t="str">
        <f>IFERROR(__xludf.DUMMYFUNCTION("""COMPUTED_VALUE"""),"CALLE 22 #17 10  / APTO 202 AL LADO DE ENVIA / BARRIO ALCAZARES")</f>
        <v>CALLE 22 #17 10  / APTO 202 AL LADO DE ENVIA / BARRIO ALCAZARES</v>
      </c>
      <c r="G4863" s="15" t="str">
        <f>IFERROR(__xludf.DUMMYFUNCTION("""COMPUTED_VALUE"""),"MARIA ANGELICA RINCON")</f>
        <v>MARIA ANGELICA RINCON</v>
      </c>
      <c r="H4863" s="16">
        <f>IFERROR(__xludf.DUMMYFUNCTION("""COMPUTED_VALUE"""),13542.0)</f>
        <v>13542</v>
      </c>
      <c r="I4863" s="18">
        <f>IFERROR(__xludf.DUMMYFUNCTION("""COMPUTED_VALUE"""),7.0)</f>
        <v>7</v>
      </c>
      <c r="J4863" s="18">
        <f>IFERROR(__xludf.DUMMYFUNCTION("""COMPUTED_VALUE"""),20.0)</f>
        <v>20</v>
      </c>
      <c r="K4863" s="18">
        <f>IFERROR(__xludf.DUMMYFUNCTION("""COMPUTED_VALUE"""),21.0)</f>
        <v>21</v>
      </c>
      <c r="L4863" s="17">
        <f>IFERROR(__xludf.DUMMYFUNCTION("""COMPUTED_VALUE"""),3.046823353E9)</f>
        <v>3046823353</v>
      </c>
      <c r="M4863" s="17" t="str">
        <f>IFERROR(__xludf.DUMMYFUNCTION("""COMPUTED_VALUE"""),"#REF!")</f>
        <v>#REF!</v>
      </c>
      <c r="N4863" s="17"/>
      <c r="O4863" s="17"/>
      <c r="P4863" s="17" t="b">
        <f>IFERROR(__xludf.DUMMYFUNCTION("""COMPUTED_VALUE"""),FALSE)</f>
        <v>0</v>
      </c>
      <c r="Q4863" s="20" t="str">
        <f>IFERROR(__xludf.DUMMYFUNCTION("""COMPUTED_VALUE"""),"")</f>
        <v/>
      </c>
      <c r="R4863" s="21" t="str">
        <f>IFERROR(__xludf.DUMMYFUNCTION("""COMPUTED_VALUE"""),"https://drive.google.com/file/d/1umOMNZF6AF3GuMD2-RZxY_fxS-HfT3xp/view?usp=drivesdk")</f>
        <v>https://drive.google.com/file/d/1umOMNZF6AF3GuMD2-RZxY_fxS-HfT3xp/view?usp=drivesdk</v>
      </c>
    </row>
    <row r="4864">
      <c r="A4864" s="17" t="str">
        <f>IFERROR(__xludf.DUMMYFUNCTION("""COMPUTED_VALUE"""),"")</f>
        <v/>
      </c>
      <c r="B4864" s="17" t="str">
        <f>IFERROR(__xludf.DUMMYFUNCTION("""COMPUTED_VALUE"""),"")</f>
        <v/>
      </c>
      <c r="C4864" s="17" t="str">
        <f>IFERROR(__xludf.DUMMYFUNCTION("""COMPUTED_VALUE"""),"")</f>
        <v/>
      </c>
      <c r="D4864" s="17" t="str">
        <f>IFERROR(__xludf.DUMMYFUNCTION("""COMPUTED_VALUE"""),"")</f>
        <v/>
      </c>
      <c r="E4864" s="17" t="str">
        <f>IFERROR(__xludf.DUMMYFUNCTION("""COMPUTED_VALUE"""),"")</f>
        <v/>
      </c>
      <c r="F4864" s="17" t="str">
        <f>IFERROR(__xludf.DUMMYFUNCTION("""COMPUTED_VALUE"""),"")</f>
        <v/>
      </c>
      <c r="G4864" s="17" t="str">
        <f>IFERROR(__xludf.DUMMYFUNCTION("""COMPUTED_VALUE"""),"")</f>
        <v/>
      </c>
      <c r="H4864" s="17" t="str">
        <f>IFERROR(__xludf.DUMMYFUNCTION("""COMPUTED_VALUE"""),"")</f>
        <v/>
      </c>
      <c r="I4864" s="17" t="str">
        <f>IFERROR(__xludf.DUMMYFUNCTION("""COMPUTED_VALUE"""),"")</f>
        <v/>
      </c>
      <c r="J4864" s="17" t="str">
        <f>IFERROR(__xludf.DUMMYFUNCTION("""COMPUTED_VALUE"""),"")</f>
        <v/>
      </c>
      <c r="K4864" s="17" t="str">
        <f>IFERROR(__xludf.DUMMYFUNCTION("""COMPUTED_VALUE"""),"")</f>
        <v/>
      </c>
      <c r="L4864" s="17" t="str">
        <f>IFERROR(__xludf.DUMMYFUNCTION("""COMPUTED_VALUE"""),"")</f>
        <v/>
      </c>
      <c r="M4864" s="17" t="str">
        <f>IFERROR(__xludf.DUMMYFUNCTION("""COMPUTED_VALUE"""),"")</f>
        <v/>
      </c>
      <c r="N4864" s="17" t="str">
        <f>IFERROR(__xludf.DUMMYFUNCTION("""COMPUTED_VALUE"""),"")</f>
        <v/>
      </c>
      <c r="O4864" s="17" t="str">
        <f>IFERROR(__xludf.DUMMYFUNCTION("""COMPUTED_VALUE"""),"")</f>
        <v/>
      </c>
      <c r="P4864" s="17" t="str">
        <f>IFERROR(__xludf.DUMMYFUNCTION("""COMPUTED_VALUE"""),"")</f>
        <v/>
      </c>
      <c r="Q4864" s="17" t="str">
        <f>IFERROR(__xludf.DUMMYFUNCTION("""COMPUTED_VALUE"""),"")</f>
        <v/>
      </c>
      <c r="R4864" s="17" t="str">
        <f>IFERROR(__xludf.DUMMYFUNCTION("""COMPUTED_VALUE"""),"")</f>
        <v/>
      </c>
    </row>
    <row r="4865">
      <c r="A4865" s="15">
        <f>IFERROR(__xludf.DUMMYFUNCTION("""COMPUTED_VALUE"""),45141.0)</f>
        <v>45141</v>
      </c>
      <c r="B4865" s="16" t="str">
        <f>IFERROR(__xludf.DUMMYFUNCTION("""COMPUTED_VALUE"""),"Santiago Garces Restrepo")</f>
        <v>Santiago Garces Restrepo</v>
      </c>
      <c r="C4865" s="15" t="str">
        <f>IFERROR(__xludf.DUMMYFUNCTION("""COMPUTED_VALUE"""),"CALI")</f>
        <v>CALI</v>
      </c>
      <c r="D4865" s="15" t="str">
        <f>IFERROR(__xludf.DUMMYFUNCTION("""COMPUTED_VALUE"""),"BOGOTÁ")</f>
        <v>BOGOTÁ</v>
      </c>
      <c r="E4865" s="15" t="str">
        <f>IFERROR(__xludf.DUMMYFUNCTION("""COMPUTED_VALUE"""),"Frambascolombia sas")</f>
        <v>Frambascolombia sas</v>
      </c>
      <c r="F4865" s="17" t="str">
        <f>IFERROR(__xludf.DUMMYFUNCTION("""COMPUTED_VALUE"""),"Av 5a Nte. # 25n18 / local 2")</f>
        <v>Av 5a Nte. # 25n18 / local 2</v>
      </c>
      <c r="G4865" s="15" t="str">
        <f>IFERROR(__xludf.DUMMYFUNCTION("""COMPUTED_VALUE"""),"PikNPak Cali")</f>
        <v>PikNPak Cali</v>
      </c>
      <c r="H4865" s="16">
        <f>IFERROR(__xludf.DUMMYFUNCTION("""COMPUTED_VALUE"""),13543.0)</f>
        <v>13543</v>
      </c>
      <c r="I4865" s="18" t="str">
        <f>IFERROR(__xludf.DUMMYFUNCTION("""COMPUTED_VALUE"""),"52.5")</f>
        <v>52.5</v>
      </c>
      <c r="J4865" s="18">
        <f>IFERROR(__xludf.DUMMYFUNCTION("""COMPUTED_VALUE"""),45.0)</f>
        <v>45</v>
      </c>
      <c r="K4865" s="18">
        <f>IFERROR(__xludf.DUMMYFUNCTION("""COMPUTED_VALUE"""),55.0)</f>
        <v>55</v>
      </c>
      <c r="L4865" s="17" t="str">
        <f>IFERROR(__xludf.DUMMYFUNCTION("""COMPUTED_VALUE"""),"321 4229567")</f>
        <v>321 4229567</v>
      </c>
      <c r="M4865" s="17" t="str">
        <f>IFERROR(__xludf.DUMMYFUNCTION("""COMPUTED_VALUE"""),"#REF!")</f>
        <v>#REF!</v>
      </c>
      <c r="N4865" s="17"/>
      <c r="O4865" s="17"/>
      <c r="P4865" s="17" t="b">
        <f>IFERROR(__xludf.DUMMYFUNCTION("""COMPUTED_VALUE"""),FALSE)</f>
        <v>0</v>
      </c>
      <c r="Q4865" s="20" t="str">
        <f>IFERROR(__xludf.DUMMYFUNCTION("""COMPUTED_VALUE"""),"")</f>
        <v/>
      </c>
      <c r="R4865" s="22" t="str">
        <f>IFERROR(__xludf.DUMMYFUNCTION("""COMPUTED_VALUE"""),"")</f>
        <v/>
      </c>
    </row>
    <row r="4866">
      <c r="A4866" s="15">
        <f>IFERROR(__xludf.DUMMYFUNCTION("""COMPUTED_VALUE"""),45141.0)</f>
        <v>45141</v>
      </c>
      <c r="B4866" s="16" t="str">
        <f>IFERROR(__xludf.DUMMYFUNCTION("""COMPUTED_VALUE"""),"Santiago Garces Restrepo")</f>
        <v>Santiago Garces Restrepo</v>
      </c>
      <c r="C4866" s="15" t="str">
        <f>IFERROR(__xludf.DUMMYFUNCTION("""COMPUTED_VALUE"""),"MEDELLÍN")</f>
        <v>MEDELLÍN</v>
      </c>
      <c r="D4866" s="15" t="str">
        <f>IFERROR(__xludf.DUMMYFUNCTION("""COMPUTED_VALUE"""),"BOGOTÁ")</f>
        <v>BOGOTÁ</v>
      </c>
      <c r="E4866" s="15" t="str">
        <f>IFERROR(__xludf.DUMMYFUNCTION("""COMPUTED_VALUE"""),"Frambascolombia sas")</f>
        <v>Frambascolombia sas</v>
      </c>
      <c r="F4866" s="17" t="str">
        <f>IFERROR(__xludf.DUMMYFUNCTION("""COMPUTED_VALUE"""),"Cl. 16 #55-129 / local 2")</f>
        <v>Cl. 16 #55-129 / local 2</v>
      </c>
      <c r="G4866" s="15" t="str">
        <f>IFERROR(__xludf.DUMMYFUNCTION("""COMPUTED_VALUE"""),"PikNPak Medellín")</f>
        <v>PikNPak Medellín</v>
      </c>
      <c r="H4866" s="16">
        <f>IFERROR(__xludf.DUMMYFUNCTION("""COMPUTED_VALUE"""),13544.0)</f>
        <v>13544</v>
      </c>
      <c r="I4866" s="18" t="str">
        <f>IFERROR(__xludf.DUMMYFUNCTION("""COMPUTED_VALUE"""),"52.5")</f>
        <v>52.5</v>
      </c>
      <c r="J4866" s="18">
        <f>IFERROR(__xludf.DUMMYFUNCTION("""COMPUTED_VALUE"""),45.0)</f>
        <v>45</v>
      </c>
      <c r="K4866" s="18">
        <f>IFERROR(__xludf.DUMMYFUNCTION("""COMPUTED_VALUE"""),55.0)</f>
        <v>55</v>
      </c>
      <c r="L4866" s="17" t="str">
        <f>IFERROR(__xludf.DUMMYFUNCTION("""COMPUTED_VALUE"""),"321 4229567")</f>
        <v>321 4229567</v>
      </c>
      <c r="M4866" s="17" t="str">
        <f>IFERROR(__xludf.DUMMYFUNCTION("""COMPUTED_VALUE"""),"#REF!")</f>
        <v>#REF!</v>
      </c>
      <c r="N4866" s="17"/>
      <c r="O4866" s="17"/>
      <c r="P4866" s="17" t="b">
        <f>IFERROR(__xludf.DUMMYFUNCTION("""COMPUTED_VALUE"""),FALSE)</f>
        <v>0</v>
      </c>
      <c r="Q4866" s="20" t="str">
        <f>IFERROR(__xludf.DUMMYFUNCTION("""COMPUTED_VALUE"""),"")</f>
        <v/>
      </c>
      <c r="R4866" s="22" t="str">
        <f>IFERROR(__xludf.DUMMYFUNCTION("""COMPUTED_VALUE"""),"")</f>
        <v/>
      </c>
    </row>
    <row r="4867">
      <c r="A4867" s="15">
        <f>IFERROR(__xludf.DUMMYFUNCTION("""COMPUTED_VALUE"""),45141.0)</f>
        <v>45141</v>
      </c>
      <c r="B4867" s="16" t="str">
        <f>IFERROR(__xludf.DUMMYFUNCTION("""COMPUTED_VALUE"""),"Santiago Garces Restrepo")</f>
        <v>Santiago Garces Restrepo</v>
      </c>
      <c r="C4867" s="15" t="str">
        <f>IFERROR(__xludf.DUMMYFUNCTION("""COMPUTED_VALUE"""),"MEDELLÍN")</f>
        <v>MEDELLÍN</v>
      </c>
      <c r="D4867" s="15" t="str">
        <f>IFERROR(__xludf.DUMMYFUNCTION("""COMPUTED_VALUE"""),"BOGOTÁ")</f>
        <v>BOGOTÁ</v>
      </c>
      <c r="E4867" s="15" t="str">
        <f>IFERROR(__xludf.DUMMYFUNCTION("""COMPUTED_VALUE"""),"Mochi")</f>
        <v>Mochi</v>
      </c>
      <c r="F4867" s="17" t="str">
        <f>IFERROR(__xludf.DUMMYFUNCTION("""COMPUTED_VALUE"""),"Cra. 48 #32B Sur-139, Zona 1, Envigado, Antioquia / Cra. 48 #32B Sur-139, Zona 1, Envigado, Antioquia / Cra. 48 #32B Sur-139, Zona 1, Envigado, Antioquia")</f>
        <v>Cra. 48 #32B Sur-139, Zona 1, Envigado, Antioquia / Cra. 48 #32B Sur-139, Zona 1, Envigado, Antioquia / Cra. 48 #32B Sur-139, Zona 1, Envigado, Antioquia</v>
      </c>
      <c r="G4867" s="15" t="str">
        <f>IFERROR(__xludf.DUMMYFUNCTION("""COMPUTED_VALUE"""),"Tania Vellojin")</f>
        <v>Tania Vellojin</v>
      </c>
      <c r="H4867" s="16">
        <f>IFERROR(__xludf.DUMMYFUNCTION("""COMPUTED_VALUE"""),13522.0)</f>
        <v>13522</v>
      </c>
      <c r="I4867" s="18">
        <f>IFERROR(__xludf.DUMMYFUNCTION("""COMPUTED_VALUE"""),100.0)</f>
        <v>100</v>
      </c>
      <c r="J4867" s="18">
        <f>IFERROR(__xludf.DUMMYFUNCTION("""COMPUTED_VALUE"""),100.0)</f>
        <v>100</v>
      </c>
      <c r="K4867" s="18">
        <f>IFERROR(__xludf.DUMMYFUNCTION("""COMPUTED_VALUE"""),700.0)</f>
        <v>700</v>
      </c>
      <c r="L4867" s="17">
        <f>IFERROR(__xludf.DUMMYFUNCTION("""COMPUTED_VALUE"""),3.142587995E9)</f>
        <v>3142587995</v>
      </c>
      <c r="M4867" s="17" t="str">
        <f>IFERROR(__xludf.DUMMYFUNCTION("""COMPUTED_VALUE"""),"#REF!")</f>
        <v>#REF!</v>
      </c>
      <c r="N4867" s="17"/>
      <c r="O4867" s="17"/>
      <c r="P4867" s="17" t="b">
        <f>IFERROR(__xludf.DUMMYFUNCTION("""COMPUTED_VALUE"""),FALSE)</f>
        <v>0</v>
      </c>
      <c r="Q4867" s="20" t="str">
        <f>IFERROR(__xludf.DUMMYFUNCTION("""COMPUTED_VALUE"""),"")</f>
        <v/>
      </c>
      <c r="R4867" s="22" t="str">
        <f>IFERROR(__xludf.DUMMYFUNCTION("""COMPUTED_VALUE"""),"")</f>
        <v/>
      </c>
    </row>
    <row r="4868">
      <c r="A4868" s="17" t="str">
        <f>IFERROR(__xludf.DUMMYFUNCTION("""COMPUTED_VALUE"""),"")</f>
        <v/>
      </c>
      <c r="B4868" s="17" t="str">
        <f>IFERROR(__xludf.DUMMYFUNCTION("""COMPUTED_VALUE"""),"")</f>
        <v/>
      </c>
      <c r="C4868" s="17" t="str">
        <f>IFERROR(__xludf.DUMMYFUNCTION("""COMPUTED_VALUE"""),"")</f>
        <v/>
      </c>
      <c r="D4868" s="17" t="str">
        <f>IFERROR(__xludf.DUMMYFUNCTION("""COMPUTED_VALUE"""),"")</f>
        <v/>
      </c>
      <c r="E4868" s="17" t="str">
        <f>IFERROR(__xludf.DUMMYFUNCTION("""COMPUTED_VALUE"""),"")</f>
        <v/>
      </c>
      <c r="F4868" s="17" t="str">
        <f>IFERROR(__xludf.DUMMYFUNCTION("""COMPUTED_VALUE"""),"")</f>
        <v/>
      </c>
      <c r="G4868" s="17" t="str">
        <f>IFERROR(__xludf.DUMMYFUNCTION("""COMPUTED_VALUE"""),"")</f>
        <v/>
      </c>
      <c r="H4868" s="17" t="str">
        <f>IFERROR(__xludf.DUMMYFUNCTION("""COMPUTED_VALUE"""),"")</f>
        <v/>
      </c>
      <c r="I4868" s="17" t="str">
        <f>IFERROR(__xludf.DUMMYFUNCTION("""COMPUTED_VALUE"""),"")</f>
        <v/>
      </c>
      <c r="J4868" s="17" t="str">
        <f>IFERROR(__xludf.DUMMYFUNCTION("""COMPUTED_VALUE"""),"")</f>
        <v/>
      </c>
      <c r="K4868" s="17" t="str">
        <f>IFERROR(__xludf.DUMMYFUNCTION("""COMPUTED_VALUE"""),"")</f>
        <v/>
      </c>
      <c r="L4868" s="17" t="str">
        <f>IFERROR(__xludf.DUMMYFUNCTION("""COMPUTED_VALUE"""),"")</f>
        <v/>
      </c>
      <c r="M4868" s="17" t="str">
        <f>IFERROR(__xludf.DUMMYFUNCTION("""COMPUTED_VALUE"""),"")</f>
        <v/>
      </c>
      <c r="N4868" s="17" t="str">
        <f>IFERROR(__xludf.DUMMYFUNCTION("""COMPUTED_VALUE"""),"")</f>
        <v/>
      </c>
      <c r="O4868" s="17" t="str">
        <f>IFERROR(__xludf.DUMMYFUNCTION("""COMPUTED_VALUE"""),"")</f>
        <v/>
      </c>
      <c r="P4868" s="17" t="str">
        <f>IFERROR(__xludf.DUMMYFUNCTION("""COMPUTED_VALUE"""),"")</f>
        <v/>
      </c>
      <c r="Q4868" s="17" t="str">
        <f>IFERROR(__xludf.DUMMYFUNCTION("""COMPUTED_VALUE"""),"")</f>
        <v/>
      </c>
      <c r="R4868" s="17" t="str">
        <f>IFERROR(__xludf.DUMMYFUNCTION("""COMPUTED_VALUE"""),"")</f>
        <v/>
      </c>
    </row>
    <row r="4869">
      <c r="A4869" s="15">
        <f>IFERROR(__xludf.DUMMYFUNCTION("""COMPUTED_VALUE"""),45142.0)</f>
        <v>45142</v>
      </c>
      <c r="B4869" s="17"/>
      <c r="C4869" s="15" t="str">
        <f>IFERROR(__xludf.DUMMYFUNCTION("""COMPUTED_VALUE"""),"BOGOTÁ")</f>
        <v>BOGOTÁ</v>
      </c>
      <c r="D4869" s="15" t="str">
        <f>IFERROR(__xludf.DUMMYFUNCTION("""COMPUTED_VALUE"""),"MEDELLÍN")</f>
        <v>MEDELLÍN</v>
      </c>
      <c r="E4869" s="15" t="str">
        <f>IFERROR(__xludf.DUMMYFUNCTION("""COMPUTED_VALUE"""),"Fricar")</f>
        <v>Fricar</v>
      </c>
      <c r="F4869" s="17" t="str">
        <f>IFERROR(__xludf.DUMMYFUNCTION("""COMPUTED_VALUE"""),"Carrera 7 # 156-10,  / torre krystal oficina 2205 / oficina 2205")</f>
        <v>Carrera 7 # 156-10,  / torre krystal oficina 2205 / oficina 2205</v>
      </c>
      <c r="G4869" s="15" t="str">
        <f>IFERROR(__xludf.DUMMYFUNCTION("""COMPUTED_VALUE"""),"ANDRES PUERTA")</f>
        <v>ANDRES PUERTA</v>
      </c>
      <c r="H4869" s="16">
        <f>IFERROR(__xludf.DUMMYFUNCTION("""COMPUTED_VALUE"""),13575.0)</f>
        <v>13575</v>
      </c>
      <c r="I4869" s="18">
        <f>IFERROR(__xludf.DUMMYFUNCTION("""COMPUTED_VALUE"""),15.0)</f>
        <v>15</v>
      </c>
      <c r="J4869" s="18">
        <f>IFERROR(__xludf.DUMMYFUNCTION("""COMPUTED_VALUE"""),20.0)</f>
        <v>20</v>
      </c>
      <c r="K4869" s="18">
        <f>IFERROR(__xludf.DUMMYFUNCTION("""COMPUTED_VALUE"""),30.0)</f>
        <v>30</v>
      </c>
      <c r="L4869" s="17">
        <f>IFERROR(__xludf.DUMMYFUNCTION("""COMPUTED_VALUE"""),3.160489557E9)</f>
        <v>3160489557</v>
      </c>
      <c r="M4869" s="17" t="str">
        <f>IFERROR(__xludf.DUMMYFUNCTION("""COMPUTED_VALUE"""),"#REF!")</f>
        <v>#REF!</v>
      </c>
      <c r="N4869" s="17"/>
      <c r="O4869" s="17"/>
      <c r="P4869" s="17" t="b">
        <f>IFERROR(__xludf.DUMMYFUNCTION("""COMPUTED_VALUE"""),FALSE)</f>
        <v>0</v>
      </c>
      <c r="Q4869" s="20" t="str">
        <f>IFERROR(__xludf.DUMMYFUNCTION("""COMPUTED_VALUE"""),"")</f>
        <v/>
      </c>
      <c r="R4869" s="21" t="str">
        <f>IFERROR(__xludf.DUMMYFUNCTION("""COMPUTED_VALUE"""),"https://drive.google.com/file/d/16XggjCTCtkOZisyM63Nzv2JLNcOgxOt2/view?usp=drivesdk")</f>
        <v>https://drive.google.com/file/d/16XggjCTCtkOZisyM63Nzv2JLNcOgxOt2/view?usp=drivesdk</v>
      </c>
    </row>
    <row r="4870">
      <c r="A4870" s="15">
        <f>IFERROR(__xludf.DUMMYFUNCTION("""COMPUTED_VALUE"""),45142.0)</f>
        <v>45142</v>
      </c>
      <c r="B4870" s="17"/>
      <c r="C4870" s="15" t="str">
        <f>IFERROR(__xludf.DUMMYFUNCTION("""COMPUTED_VALUE"""),"CALI")</f>
        <v>CALI</v>
      </c>
      <c r="D4870" s="15" t="str">
        <f>IFERROR(__xludf.DUMMYFUNCTION("""COMPUTED_VALUE"""),"BOGOTÁ")</f>
        <v>BOGOTÁ</v>
      </c>
      <c r="E4870" s="15" t="str">
        <f>IFERROR(__xludf.DUMMYFUNCTION("""COMPUTED_VALUE"""),"Renata")</f>
        <v>Renata</v>
      </c>
      <c r="F4870" s="17" t="str">
        <f>IFERROR(__xludf.DUMMYFUNCTION("""COMPUTED_VALUE"""),"Carrera 3#3 a-83 / Patio 34 food containers -restaurante  / San Fernando")</f>
        <v>Carrera 3#3 a-83 / Patio 34 food containers -restaurante  / San Fernando</v>
      </c>
      <c r="G4870" s="15" t="str">
        <f>IFERROR(__xludf.DUMMYFUNCTION("""COMPUTED_VALUE"""),"Retaco sas")</f>
        <v>Retaco sas</v>
      </c>
      <c r="H4870" s="16">
        <f>IFERROR(__xludf.DUMMYFUNCTION("""COMPUTED_VALUE"""),13581.0)</f>
        <v>13581</v>
      </c>
      <c r="I4870" s="18">
        <f>IFERROR(__xludf.DUMMYFUNCTION("""COMPUTED_VALUE"""),90.0)</f>
        <v>90</v>
      </c>
      <c r="J4870" s="18">
        <f>IFERROR(__xludf.DUMMYFUNCTION("""COMPUTED_VALUE"""),70.0)</f>
        <v>70</v>
      </c>
      <c r="K4870" s="18">
        <f>IFERROR(__xludf.DUMMYFUNCTION("""COMPUTED_VALUE"""),60.0)</f>
        <v>60</v>
      </c>
      <c r="L4870" s="17">
        <f>IFERROR(__xludf.DUMMYFUNCTION("""COMPUTED_VALUE"""),3.134720976E9)</f>
        <v>3134720976</v>
      </c>
      <c r="M4870" s="17" t="str">
        <f>IFERROR(__xludf.DUMMYFUNCTION("""COMPUTED_VALUE"""),"#REF!")</f>
        <v>#REF!</v>
      </c>
      <c r="N4870" s="17"/>
      <c r="O4870" s="17"/>
      <c r="P4870" s="17" t="b">
        <f>IFERROR(__xludf.DUMMYFUNCTION("""COMPUTED_VALUE"""),TRUE)</f>
        <v>1</v>
      </c>
      <c r="Q4870" s="20">
        <f>IFERROR(__xludf.DUMMYFUNCTION("""COMPUTED_VALUE"""),45146.403142916664)</f>
        <v>45146.40314</v>
      </c>
      <c r="R4870" s="22" t="str">
        <f>IFERROR(__xludf.DUMMYFUNCTION("""COMPUTED_VALUE"""),"")</f>
        <v/>
      </c>
    </row>
    <row r="4871">
      <c r="A4871" s="15">
        <f>IFERROR(__xludf.DUMMYFUNCTION("""COMPUTED_VALUE"""),45142.0)</f>
        <v>45142</v>
      </c>
      <c r="B4871" s="17"/>
      <c r="C4871" s="15" t="str">
        <f>IFERROR(__xludf.DUMMYFUNCTION("""COMPUTED_VALUE"""),"PEREIRA")</f>
        <v>PEREIRA</v>
      </c>
      <c r="D4871" s="15" t="str">
        <f>IFERROR(__xludf.DUMMYFUNCTION("""COMPUTED_VALUE"""),"BOGOTÁ")</f>
        <v>BOGOTÁ</v>
      </c>
      <c r="E4871" s="15" t="str">
        <f>IFERROR(__xludf.DUMMYFUNCTION("""COMPUTED_VALUE"""),"Pan de Waffle")</f>
        <v>Pan de Waffle</v>
      </c>
      <c r="F4871" s="17" t="str">
        <f>IFERROR(__xludf.DUMMYFUNCTION("""COMPUTED_VALUE"""),"Calle 14 # 14 - 15 San José sur circunvalar / Calle 14 # 14 - 15 San José sur circunvalar / Calle 14 # 14 - 15 San José sur circunvalar")</f>
        <v>Calle 14 # 14 - 15 San José sur circunvalar / Calle 14 # 14 - 15 San José sur circunvalar / Calle 14 # 14 - 15 San José sur circunvalar</v>
      </c>
      <c r="G4871" s="15" t="str">
        <f>IFERROR(__xludf.DUMMYFUNCTION("""COMPUTED_VALUE"""),"MAJANA")</f>
        <v>MAJANA</v>
      </c>
      <c r="H4871" s="16">
        <f>IFERROR(__xludf.DUMMYFUNCTION("""COMPUTED_VALUE"""),13576.0)</f>
        <v>13576</v>
      </c>
      <c r="I4871" s="18">
        <f>IFERROR(__xludf.DUMMYFUNCTION("""COMPUTED_VALUE"""),40.0)</f>
        <v>40</v>
      </c>
      <c r="J4871" s="18">
        <f>IFERROR(__xludf.DUMMYFUNCTION("""COMPUTED_VALUE"""),30.0)</f>
        <v>30</v>
      </c>
      <c r="K4871" s="18">
        <f>IFERROR(__xludf.DUMMYFUNCTION("""COMPUTED_VALUE"""),40.0)</f>
        <v>40</v>
      </c>
      <c r="L4871" s="17">
        <f>IFERROR(__xludf.DUMMYFUNCTION("""COMPUTED_VALUE"""),3.148112262E9)</f>
        <v>3148112262</v>
      </c>
      <c r="M4871" s="17" t="str">
        <f>IFERROR(__xludf.DUMMYFUNCTION("""COMPUTED_VALUE"""),"#REF!")</f>
        <v>#REF!</v>
      </c>
      <c r="N4871" s="17"/>
      <c r="O4871" s="17"/>
      <c r="P4871" s="17" t="b">
        <f>IFERROR(__xludf.DUMMYFUNCTION("""COMPUTED_VALUE"""),TRUE)</f>
        <v>1</v>
      </c>
      <c r="Q4871" s="20">
        <f>IFERROR(__xludf.DUMMYFUNCTION("""COMPUTED_VALUE"""),45146.403142916664)</f>
        <v>45146.40314</v>
      </c>
      <c r="R4871" s="22" t="str">
        <f>IFERROR(__xludf.DUMMYFUNCTION("""COMPUTED_VALUE"""),"")</f>
        <v/>
      </c>
    </row>
    <row r="4872">
      <c r="A4872" s="17" t="str">
        <f>IFERROR(__xludf.DUMMYFUNCTION("""COMPUTED_VALUE"""),"")</f>
        <v/>
      </c>
      <c r="B4872" s="17" t="str">
        <f>IFERROR(__xludf.DUMMYFUNCTION("""COMPUTED_VALUE"""),"")</f>
        <v/>
      </c>
      <c r="C4872" s="17" t="str">
        <f>IFERROR(__xludf.DUMMYFUNCTION("""COMPUTED_VALUE"""),"")</f>
        <v/>
      </c>
      <c r="D4872" s="17" t="str">
        <f>IFERROR(__xludf.DUMMYFUNCTION("""COMPUTED_VALUE"""),"")</f>
        <v/>
      </c>
      <c r="E4872" s="17" t="str">
        <f>IFERROR(__xludf.DUMMYFUNCTION("""COMPUTED_VALUE"""),"")</f>
        <v/>
      </c>
      <c r="F4872" s="17" t="str">
        <f>IFERROR(__xludf.DUMMYFUNCTION("""COMPUTED_VALUE"""),"")</f>
        <v/>
      </c>
      <c r="G4872" s="17" t="str">
        <f>IFERROR(__xludf.DUMMYFUNCTION("""COMPUTED_VALUE"""),"")</f>
        <v/>
      </c>
      <c r="H4872" s="17" t="str">
        <f>IFERROR(__xludf.DUMMYFUNCTION("""COMPUTED_VALUE"""),"")</f>
        <v/>
      </c>
      <c r="I4872" s="17" t="str">
        <f>IFERROR(__xludf.DUMMYFUNCTION("""COMPUTED_VALUE"""),"")</f>
        <v/>
      </c>
      <c r="J4872" s="17" t="str">
        <f>IFERROR(__xludf.DUMMYFUNCTION("""COMPUTED_VALUE"""),"")</f>
        <v/>
      </c>
      <c r="K4872" s="17" t="str">
        <f>IFERROR(__xludf.DUMMYFUNCTION("""COMPUTED_VALUE"""),"")</f>
        <v/>
      </c>
      <c r="L4872" s="17" t="str">
        <f>IFERROR(__xludf.DUMMYFUNCTION("""COMPUTED_VALUE"""),"")</f>
        <v/>
      </c>
      <c r="M4872" s="17" t="str">
        <f>IFERROR(__xludf.DUMMYFUNCTION("""COMPUTED_VALUE"""),"")</f>
        <v/>
      </c>
      <c r="N4872" s="17" t="str">
        <f>IFERROR(__xludf.DUMMYFUNCTION("""COMPUTED_VALUE"""),"")</f>
        <v/>
      </c>
      <c r="O4872" s="17" t="str">
        <f>IFERROR(__xludf.DUMMYFUNCTION("""COMPUTED_VALUE"""),"")</f>
        <v/>
      </c>
      <c r="P4872" s="17" t="str">
        <f>IFERROR(__xludf.DUMMYFUNCTION("""COMPUTED_VALUE"""),"")</f>
        <v/>
      </c>
      <c r="Q4872" s="17" t="str">
        <f>IFERROR(__xludf.DUMMYFUNCTION("""COMPUTED_VALUE"""),"")</f>
        <v/>
      </c>
      <c r="R4872" s="17" t="str">
        <f>IFERROR(__xludf.DUMMYFUNCTION("""COMPUTED_VALUE"""),"")</f>
        <v/>
      </c>
    </row>
    <row r="4873">
      <c r="A4873" s="15">
        <f>IFERROR(__xludf.DUMMYFUNCTION("""COMPUTED_VALUE"""),45142.0)</f>
        <v>45142</v>
      </c>
      <c r="B4873" s="16" t="str">
        <f>IFERROR(__xludf.DUMMYFUNCTION("""COMPUTED_VALUE"""),"Daniel José sandoval gonzalez")</f>
        <v>Daniel José sandoval gonzalez</v>
      </c>
      <c r="C4873" s="15" t="str">
        <f>IFERROR(__xludf.DUMMYFUNCTION("""COMPUTED_VALUE"""),"BARRANQUILLA")</f>
        <v>BARRANQUILLA</v>
      </c>
      <c r="D4873" s="15" t="str">
        <f>IFERROR(__xludf.DUMMYFUNCTION("""COMPUTED_VALUE"""),"BOGOTÁ")</f>
        <v>BOGOTÁ</v>
      </c>
      <c r="E4873" s="15" t="str">
        <f>IFERROR(__xludf.DUMMYFUNCTION("""COMPUTED_VALUE"""),"Mochi")</f>
        <v>Mochi</v>
      </c>
      <c r="F4873" s="17" t="str">
        <f>IFERROR(__xludf.DUMMYFUNCTION("""COMPUTED_VALUE"""),"Carrera 51B #87-50. Barranquilla, Atlántico / Carrera 51B #87-50. Barranquilla, Atlántico / Carrera 51B #87-50. Barranquilla, Atlántico")</f>
        <v>Carrera 51B #87-50. Barranquilla, Atlántico / Carrera 51B #87-50. Barranquilla, Atlántico / Carrera 51B #87-50. Barranquilla, Atlántico</v>
      </c>
      <c r="G4873" s="15" t="str">
        <f>IFERROR(__xludf.DUMMYFUNCTION("""COMPUTED_VALUE"""),"yinna")</f>
        <v>yinna</v>
      </c>
      <c r="H4873" s="16">
        <f>IFERROR(__xludf.DUMMYFUNCTION("""COMPUTED_VALUE"""),13583.0)</f>
        <v>13583</v>
      </c>
      <c r="I4873" s="18">
        <f>IFERROR(__xludf.DUMMYFUNCTION("""COMPUTED_VALUE"""),100.0)</f>
        <v>100</v>
      </c>
      <c r="J4873" s="18">
        <f>IFERROR(__xludf.DUMMYFUNCTION("""COMPUTED_VALUE"""),100.0)</f>
        <v>100</v>
      </c>
      <c r="K4873" s="18">
        <f>IFERROR(__xludf.DUMMYFUNCTION("""COMPUTED_VALUE"""),200.0)</f>
        <v>200</v>
      </c>
      <c r="L4873" s="17">
        <f>IFERROR(__xludf.DUMMYFUNCTION("""COMPUTED_VALUE"""),3.216528485E9)</f>
        <v>3216528485</v>
      </c>
      <c r="M4873" s="17" t="str">
        <f>IFERROR(__xludf.DUMMYFUNCTION("""COMPUTED_VALUE"""),"#REF!")</f>
        <v>#REF!</v>
      </c>
      <c r="N4873" s="17"/>
      <c r="O4873" s="17"/>
      <c r="P4873" s="17" t="b">
        <f>IFERROR(__xludf.DUMMYFUNCTION("""COMPUTED_VALUE"""),FALSE)</f>
        <v>0</v>
      </c>
      <c r="Q4873" s="20" t="str">
        <f>IFERROR(__xludf.DUMMYFUNCTION("""COMPUTED_VALUE"""),"")</f>
        <v/>
      </c>
      <c r="R4873" s="22" t="str">
        <f>IFERROR(__xludf.DUMMYFUNCTION("""COMPUTED_VALUE"""),"")</f>
        <v/>
      </c>
    </row>
    <row r="4874">
      <c r="A4874" s="15">
        <f>IFERROR(__xludf.DUMMYFUNCTION("""COMPUTED_VALUE"""),45142.0)</f>
        <v>45142</v>
      </c>
      <c r="B4874" s="16" t="str">
        <f>IFERROR(__xludf.DUMMYFUNCTION("""COMPUTED_VALUE"""),"Daniel José sandoval gonzalez")</f>
        <v>Daniel José sandoval gonzalez</v>
      </c>
      <c r="C4874" s="15" t="str">
        <f>IFERROR(__xludf.DUMMYFUNCTION("""COMPUTED_VALUE"""),"BARRANQUILLA")</f>
        <v>BARRANQUILLA</v>
      </c>
      <c r="D4874" s="15" t="str">
        <f>IFERROR(__xludf.DUMMYFUNCTION("""COMPUTED_VALUE"""),"MEDELLÍN")</f>
        <v>MEDELLÍN</v>
      </c>
      <c r="E4874" s="15" t="str">
        <f>IFERROR(__xludf.DUMMYFUNCTION("""COMPUTED_VALUE"""),"Baby Chef")</f>
        <v>Baby Chef</v>
      </c>
      <c r="F4874" s="17" t="str">
        <f>IFERROR(__xludf.DUMMYFUNCTION("""COMPUTED_VALUE"""),"Calle 81 B # 64 - 27 Apto 203 Edificio Valle de Ordesa / ""Calle 81 B # 64 - 27 Apto 203 Edificio Valle de Ordesa"" / ""Calle 81 B # 64 - 27 Apto 203 Edificio Valle de Ordesa""")</f>
        <v>Calle 81 B # 64 - 27 Apto 203 Edificio Valle de Ordesa / "Calle 81 B # 64 - 27 Apto 203 Edificio Valle de Ordesa" / "Calle 81 B # 64 - 27 Apto 203 Edificio Valle de Ordesa"</v>
      </c>
      <c r="G4874" s="15" t="str">
        <f>IFERROR(__xludf.DUMMYFUNCTION("""COMPUTED_VALUE"""),"Fabiola Alcalá")</f>
        <v>Fabiola Alcalá</v>
      </c>
      <c r="H4874" s="16">
        <f>IFERROR(__xludf.DUMMYFUNCTION("""COMPUTED_VALUE"""),13555.0)</f>
        <v>13555</v>
      </c>
      <c r="I4874" s="18">
        <f>IFERROR(__xludf.DUMMYFUNCTION("""COMPUTED_VALUE"""),8.0)</f>
        <v>8</v>
      </c>
      <c r="J4874" s="18">
        <f>IFERROR(__xludf.DUMMYFUNCTION("""COMPUTED_VALUE"""),36.0)</f>
        <v>36</v>
      </c>
      <c r="K4874" s="18">
        <f>IFERROR(__xludf.DUMMYFUNCTION("""COMPUTED_VALUE"""),20.0)</f>
        <v>20</v>
      </c>
      <c r="L4874" s="17">
        <f>IFERROR(__xludf.DUMMYFUNCTION("""COMPUTED_VALUE"""),3.007540313E9)</f>
        <v>3007540313</v>
      </c>
      <c r="M4874" s="17" t="str">
        <f>IFERROR(__xludf.DUMMYFUNCTION("""COMPUTED_VALUE"""),"#REF!")</f>
        <v>#REF!</v>
      </c>
      <c r="N4874" s="17"/>
      <c r="O4874" s="17"/>
      <c r="P4874" s="17" t="b">
        <f>IFERROR(__xludf.DUMMYFUNCTION("""COMPUTED_VALUE"""),FALSE)</f>
        <v>0</v>
      </c>
      <c r="Q4874" s="20" t="str">
        <f>IFERROR(__xludf.DUMMYFUNCTION("""COMPUTED_VALUE"""),"")</f>
        <v/>
      </c>
      <c r="R4874" s="21" t="str">
        <f>IFERROR(__xludf.DUMMYFUNCTION("""COMPUTED_VALUE"""),"https://drive.google.com/file/d/138pEXAzcsjrytbL1MiyMgmneNlzkFqUB/view?usp=drivesdk")</f>
        <v>https://drive.google.com/file/d/138pEXAzcsjrytbL1MiyMgmneNlzkFqUB/view?usp=drivesdk</v>
      </c>
    </row>
    <row r="4875">
      <c r="A4875" s="15">
        <f>IFERROR(__xludf.DUMMYFUNCTION("""COMPUTED_VALUE"""),45142.0)</f>
        <v>45142</v>
      </c>
      <c r="B4875" s="16" t="str">
        <f>IFERROR(__xludf.DUMMYFUNCTION("""COMPUTED_VALUE"""),"Daniel José sandoval gonzalez")</f>
        <v>Daniel José sandoval gonzalez</v>
      </c>
      <c r="C4875" s="15" t="str">
        <f>IFERROR(__xludf.DUMMYFUNCTION("""COMPUTED_VALUE"""),"BARRANQUILLA")</f>
        <v>BARRANQUILLA</v>
      </c>
      <c r="D4875" s="15" t="str">
        <f>IFERROR(__xludf.DUMMYFUNCTION("""COMPUTED_VALUE"""),"MEDELLÍN")</f>
        <v>MEDELLÍN</v>
      </c>
      <c r="E4875" s="15" t="str">
        <f>IFERROR(__xludf.DUMMYFUNCTION("""COMPUTED_VALUE"""),"Baby Chef")</f>
        <v>Baby Chef</v>
      </c>
      <c r="F4875" s="17" t="str">
        <f>IFERROR(__xludf.DUMMYFUNCTION("""COMPUTED_VALUE"""),"Cr 72 91a 100 palmeras apto 420 / ""Cr 72 91a 100 palmeras apto 420"" / ""Cr 72 91a 100 palmeras apto 420""")</f>
        <v>Cr 72 91a 100 palmeras apto 420 / "Cr 72 91a 100 palmeras apto 420" / "Cr 72 91a 100 palmeras apto 420"</v>
      </c>
      <c r="G4875" s="15" t="str">
        <f>IFERROR(__xludf.DUMMYFUNCTION("""COMPUTED_VALUE"""),"Angelica Quintero Mojica")</f>
        <v>Angelica Quintero Mojica</v>
      </c>
      <c r="H4875" s="16">
        <f>IFERROR(__xludf.DUMMYFUNCTION("""COMPUTED_VALUE"""),13557.0)</f>
        <v>13557</v>
      </c>
      <c r="I4875" s="18">
        <f>IFERROR(__xludf.DUMMYFUNCTION("""COMPUTED_VALUE"""),8.0)</f>
        <v>8</v>
      </c>
      <c r="J4875" s="18">
        <f>IFERROR(__xludf.DUMMYFUNCTION("""COMPUTED_VALUE"""),21.0)</f>
        <v>21</v>
      </c>
      <c r="K4875" s="18">
        <f>IFERROR(__xludf.DUMMYFUNCTION("""COMPUTED_VALUE"""),29.0)</f>
        <v>29</v>
      </c>
      <c r="L4875" s="17">
        <f>IFERROR(__xludf.DUMMYFUNCTION("""COMPUTED_VALUE"""),3.004395589E9)</f>
        <v>3004395589</v>
      </c>
      <c r="M4875" s="17" t="str">
        <f>IFERROR(__xludf.DUMMYFUNCTION("""COMPUTED_VALUE"""),"#REF!")</f>
        <v>#REF!</v>
      </c>
      <c r="N4875" s="17"/>
      <c r="O4875" s="17"/>
      <c r="P4875" s="17" t="b">
        <f>IFERROR(__xludf.DUMMYFUNCTION("""COMPUTED_VALUE"""),TRUE)</f>
        <v>1</v>
      </c>
      <c r="Q4875" s="20">
        <f>IFERROR(__xludf.DUMMYFUNCTION("""COMPUTED_VALUE"""),45146.40314292824)</f>
        <v>45146.40314</v>
      </c>
      <c r="R4875" s="21" t="str">
        <f>IFERROR(__xludf.DUMMYFUNCTION("""COMPUTED_VALUE"""),"https://drive.google.com/file/d/1WHqX3D-PQwf7VaM_1-cyfx2LL-9wh50r/view?usp=drivesdk")</f>
        <v>https://drive.google.com/file/d/1WHqX3D-PQwf7VaM_1-cyfx2LL-9wh50r/view?usp=drivesdk</v>
      </c>
    </row>
    <row r="4876">
      <c r="A4876" s="15">
        <f>IFERROR(__xludf.DUMMYFUNCTION("""COMPUTED_VALUE"""),45142.0)</f>
        <v>45142</v>
      </c>
      <c r="B4876" s="16" t="str">
        <f>IFERROR(__xludf.DUMMYFUNCTION("""COMPUTED_VALUE"""),"Daniel José sandoval gonzalez")</f>
        <v>Daniel José sandoval gonzalez</v>
      </c>
      <c r="C4876" s="15" t="str">
        <f>IFERROR(__xludf.DUMMYFUNCTION("""COMPUTED_VALUE"""),"BARRANQUILLA")</f>
        <v>BARRANQUILLA</v>
      </c>
      <c r="D4876" s="15" t="str">
        <f>IFERROR(__xludf.DUMMYFUNCTION("""COMPUTED_VALUE"""),"MEDELLÍN")</f>
        <v>MEDELLÍN</v>
      </c>
      <c r="E4876" s="15" t="str">
        <f>IFERROR(__xludf.DUMMYFUNCTION("""COMPUTED_VALUE"""),"Baby Chef")</f>
        <v>Baby Chef</v>
      </c>
      <c r="F4876" s="17" t="str">
        <f>IFERROR(__xludf.DUMMYFUNCTION("""COMPUTED_VALUE"""),"Cra 18 -#26-118  Barrio Las Nieves  Barranquilla / ""Cra 18 -#26-118  Barrio Las Nieves  Barranquilla"" / ""Cra 18 -#26-118  Barrio Las Nieves  Barranquilla""")</f>
        <v>Cra 18 -#26-118  Barrio Las Nieves  Barranquilla / "Cra 18 -#26-118  Barrio Las Nieves  Barranquilla" / "Cra 18 -#26-118  Barrio Las Nieves  Barranquilla"</v>
      </c>
      <c r="G4876" s="15" t="str">
        <f>IFERROR(__xludf.DUMMYFUNCTION("""COMPUTED_VALUE"""),"Karen Madrid Velez")</f>
        <v>Karen Madrid Velez</v>
      </c>
      <c r="H4876" s="16">
        <f>IFERROR(__xludf.DUMMYFUNCTION("""COMPUTED_VALUE"""),13556.0)</f>
        <v>13556</v>
      </c>
      <c r="I4876" s="18">
        <f>IFERROR(__xludf.DUMMYFUNCTION("""COMPUTED_VALUE"""),8.0)</f>
        <v>8</v>
      </c>
      <c r="J4876" s="18">
        <f>IFERROR(__xludf.DUMMYFUNCTION("""COMPUTED_VALUE"""),34.0)</f>
        <v>34</v>
      </c>
      <c r="K4876" s="18">
        <f>IFERROR(__xludf.DUMMYFUNCTION("""COMPUTED_VALUE"""),20.0)</f>
        <v>20</v>
      </c>
      <c r="L4876" s="17">
        <f>IFERROR(__xludf.DUMMYFUNCTION("""COMPUTED_VALUE"""),3.00735457E9)</f>
        <v>3007354570</v>
      </c>
      <c r="M4876" s="17" t="str">
        <f>IFERROR(__xludf.DUMMYFUNCTION("""COMPUTED_VALUE"""),"#REF!")</f>
        <v>#REF!</v>
      </c>
      <c r="N4876" s="17"/>
      <c r="O4876" s="17"/>
      <c r="P4876" s="17" t="b">
        <f>IFERROR(__xludf.DUMMYFUNCTION("""COMPUTED_VALUE"""),TRUE)</f>
        <v>1</v>
      </c>
      <c r="Q4876" s="20">
        <f>IFERROR(__xludf.DUMMYFUNCTION("""COMPUTED_VALUE"""),45146.40314292824)</f>
        <v>45146.40314</v>
      </c>
      <c r="R4876" s="21" t="str">
        <f>IFERROR(__xludf.DUMMYFUNCTION("""COMPUTED_VALUE"""),"https://drive.google.com/file/d/19iJn5YDeLR75x8I2WhSjCa01AQZb_wpK/view?usp=drivesdk")</f>
        <v>https://drive.google.com/file/d/19iJn5YDeLR75x8I2WhSjCa01AQZb_wpK/view?usp=drivesdk</v>
      </c>
    </row>
    <row r="4877">
      <c r="A4877" s="15">
        <f>IFERROR(__xludf.DUMMYFUNCTION("""COMPUTED_VALUE"""),45142.0)</f>
        <v>45142</v>
      </c>
      <c r="B4877" s="16" t="str">
        <f>IFERROR(__xludf.DUMMYFUNCTION("""COMPUTED_VALUE"""),"Daniel José sandoval gonzalez")</f>
        <v>Daniel José sandoval gonzalez</v>
      </c>
      <c r="C4877" s="15" t="str">
        <f>IFERROR(__xludf.DUMMYFUNCTION("""COMPUTED_VALUE"""),"BARRANQUILLA")</f>
        <v>BARRANQUILLA</v>
      </c>
      <c r="D4877" s="15" t="str">
        <f>IFERROR(__xludf.DUMMYFUNCTION("""COMPUTED_VALUE"""),"MEDELLÍN")</f>
        <v>MEDELLÍN</v>
      </c>
      <c r="E4877" s="15" t="str">
        <f>IFERROR(__xludf.DUMMYFUNCTION("""COMPUTED_VALUE"""),"Moloso S.A.S")</f>
        <v>Moloso S.A.S</v>
      </c>
      <c r="F4877" s="17" t="str">
        <f>IFERROR(__xludf.DUMMYFUNCTION("""COMPUTED_VALUE"""),"CRA 65 99 109 / EDF. CENTRAL GARDEN APTO 521 TORRE 4")</f>
        <v>CRA 65 99 109 / EDF. CENTRAL GARDEN APTO 521 TORRE 4</v>
      </c>
      <c r="G4877" s="15" t="str">
        <f>IFERROR(__xludf.DUMMYFUNCTION("""COMPUTED_VALUE"""),"LOURDES ACOSTA")</f>
        <v>LOURDES ACOSTA</v>
      </c>
      <c r="H4877" s="16">
        <f>IFERROR(__xludf.DUMMYFUNCTION("""COMPUTED_VALUE"""),13561.0)</f>
        <v>13561</v>
      </c>
      <c r="I4877" s="18">
        <f>IFERROR(__xludf.DUMMYFUNCTION("""COMPUTED_VALUE"""),17.0)</f>
        <v>17</v>
      </c>
      <c r="J4877" s="18">
        <f>IFERROR(__xludf.DUMMYFUNCTION("""COMPUTED_VALUE"""),15.0)</f>
        <v>15</v>
      </c>
      <c r="K4877" s="18">
        <f>IFERROR(__xludf.DUMMYFUNCTION("""COMPUTED_VALUE"""),28.0)</f>
        <v>28</v>
      </c>
      <c r="L4877" s="17" t="str">
        <f>IFERROR(__xludf.DUMMYFUNCTION("""COMPUTED_VALUE"""),"322 5119030")</f>
        <v>322 5119030</v>
      </c>
      <c r="M4877" s="17" t="str">
        <f>IFERROR(__xludf.DUMMYFUNCTION("""COMPUTED_VALUE"""),"#REF!")</f>
        <v>#REF!</v>
      </c>
      <c r="N4877" s="17"/>
      <c r="O4877" s="17"/>
      <c r="P4877" s="17" t="b">
        <f>IFERROR(__xludf.DUMMYFUNCTION("""COMPUTED_VALUE"""),TRUE)</f>
        <v>1</v>
      </c>
      <c r="Q4877" s="20">
        <f>IFERROR(__xludf.DUMMYFUNCTION("""COMPUTED_VALUE"""),45146.40314292824)</f>
        <v>45146.40314</v>
      </c>
      <c r="R4877" s="21" t="str">
        <f>IFERROR(__xludf.DUMMYFUNCTION("""COMPUTED_VALUE"""),"https://drive.google.com/file/d/1j4DzHDKt4veXvIN9_gaIeqa0V30_5LXg/view?usp=drivesdk")</f>
        <v>https://drive.google.com/file/d/1j4DzHDKt4veXvIN9_gaIeqa0V30_5LXg/view?usp=drivesdk</v>
      </c>
    </row>
    <row r="4878">
      <c r="A4878" s="15">
        <f>IFERROR(__xludf.DUMMYFUNCTION("""COMPUTED_VALUE"""),45142.0)</f>
        <v>45142</v>
      </c>
      <c r="B4878" s="16" t="str">
        <f>IFERROR(__xludf.DUMMYFUNCTION("""COMPUTED_VALUE"""),"Daniel José sandoval gonzalez")</f>
        <v>Daniel José sandoval gonzalez</v>
      </c>
      <c r="C4878" s="15" t="str">
        <f>IFERROR(__xludf.DUMMYFUNCTION("""COMPUTED_VALUE"""),"MEDELLÍN")</f>
        <v>MEDELLÍN</v>
      </c>
      <c r="D4878" s="15" t="str">
        <f>IFERROR(__xludf.DUMMYFUNCTION("""COMPUTED_VALUE"""),"BOGOTÁ")</f>
        <v>BOGOTÁ</v>
      </c>
      <c r="E4878" s="15" t="str">
        <f>IFERROR(__xludf.DUMMYFUNCTION("""COMPUTED_VALUE"""),"Renata")</f>
        <v>Renata</v>
      </c>
      <c r="F4878" s="17" t="str">
        <f>IFERROR(__xludf.DUMMYFUNCTION("""COMPUTED_VALUE"""),"Carrera 34 d#9-43 / Seline y cowork -restaurante  / Provenza")</f>
        <v>Carrera 34 d#9-43 / Seline y cowork -restaurante  / Provenza</v>
      </c>
      <c r="G4878" s="15" t="str">
        <f>IFERROR(__xludf.DUMMYFUNCTION("""COMPUTED_VALUE"""),"Front y back hospitality group")</f>
        <v>Front y back hospitality group</v>
      </c>
      <c r="H4878" s="16">
        <f>IFERROR(__xludf.DUMMYFUNCTION("""COMPUTED_VALUE"""),13582.0)</f>
        <v>13582</v>
      </c>
      <c r="I4878" s="18">
        <f>IFERROR(__xludf.DUMMYFUNCTION("""COMPUTED_VALUE"""),90.0)</f>
        <v>90</v>
      </c>
      <c r="J4878" s="18">
        <f>IFERROR(__xludf.DUMMYFUNCTION("""COMPUTED_VALUE"""),70.0)</f>
        <v>70</v>
      </c>
      <c r="K4878" s="18">
        <f>IFERROR(__xludf.DUMMYFUNCTION("""COMPUTED_VALUE"""),60.0)</f>
        <v>60</v>
      </c>
      <c r="L4878" s="17">
        <f>IFERROR(__xludf.DUMMYFUNCTION("""COMPUTED_VALUE"""),3.104047368E9)</f>
        <v>3104047368</v>
      </c>
      <c r="M4878" s="17" t="str">
        <f>IFERROR(__xludf.DUMMYFUNCTION("""COMPUTED_VALUE"""),"#REF!")</f>
        <v>#REF!</v>
      </c>
      <c r="N4878" s="17"/>
      <c r="O4878" s="17"/>
      <c r="P4878" s="17" t="b">
        <f>IFERROR(__xludf.DUMMYFUNCTION("""COMPUTED_VALUE"""),FALSE)</f>
        <v>0</v>
      </c>
      <c r="Q4878" s="20" t="str">
        <f>IFERROR(__xludf.DUMMYFUNCTION("""COMPUTED_VALUE"""),"")</f>
        <v/>
      </c>
      <c r="R4878" s="22" t="str">
        <f>IFERROR(__xludf.DUMMYFUNCTION("""COMPUTED_VALUE"""),"")</f>
        <v/>
      </c>
    </row>
    <row r="4879">
      <c r="A4879" s="17" t="str">
        <f>IFERROR(__xludf.DUMMYFUNCTION("""COMPUTED_VALUE"""),"")</f>
        <v/>
      </c>
      <c r="B4879" s="17" t="str">
        <f>IFERROR(__xludf.DUMMYFUNCTION("""COMPUTED_VALUE"""),"")</f>
        <v/>
      </c>
      <c r="C4879" s="17" t="str">
        <f>IFERROR(__xludf.DUMMYFUNCTION("""COMPUTED_VALUE"""),"")</f>
        <v/>
      </c>
      <c r="D4879" s="17" t="str">
        <f>IFERROR(__xludf.DUMMYFUNCTION("""COMPUTED_VALUE"""),"")</f>
        <v/>
      </c>
      <c r="E4879" s="17" t="str">
        <f>IFERROR(__xludf.DUMMYFUNCTION("""COMPUTED_VALUE"""),"")</f>
        <v/>
      </c>
      <c r="F4879" s="17" t="str">
        <f>IFERROR(__xludf.DUMMYFUNCTION("""COMPUTED_VALUE"""),"")</f>
        <v/>
      </c>
      <c r="G4879" s="17" t="str">
        <f>IFERROR(__xludf.DUMMYFUNCTION("""COMPUTED_VALUE"""),"")</f>
        <v/>
      </c>
      <c r="H4879" s="17" t="str">
        <f>IFERROR(__xludf.DUMMYFUNCTION("""COMPUTED_VALUE"""),"")</f>
        <v/>
      </c>
      <c r="I4879" s="17" t="str">
        <f>IFERROR(__xludf.DUMMYFUNCTION("""COMPUTED_VALUE"""),"")</f>
        <v/>
      </c>
      <c r="J4879" s="17" t="str">
        <f>IFERROR(__xludf.DUMMYFUNCTION("""COMPUTED_VALUE"""),"")</f>
        <v/>
      </c>
      <c r="K4879" s="17" t="str">
        <f>IFERROR(__xludf.DUMMYFUNCTION("""COMPUTED_VALUE"""),"")</f>
        <v/>
      </c>
      <c r="L4879" s="17" t="str">
        <f>IFERROR(__xludf.DUMMYFUNCTION("""COMPUTED_VALUE"""),"")</f>
        <v/>
      </c>
      <c r="M4879" s="17" t="str">
        <f>IFERROR(__xludf.DUMMYFUNCTION("""COMPUTED_VALUE"""),"")</f>
        <v/>
      </c>
      <c r="N4879" s="17" t="str">
        <f>IFERROR(__xludf.DUMMYFUNCTION("""COMPUTED_VALUE"""),"")</f>
        <v/>
      </c>
      <c r="O4879" s="17" t="str">
        <f>IFERROR(__xludf.DUMMYFUNCTION("""COMPUTED_VALUE"""),"")</f>
        <v/>
      </c>
      <c r="P4879" s="17" t="str">
        <f>IFERROR(__xludf.DUMMYFUNCTION("""COMPUTED_VALUE"""),"")</f>
        <v/>
      </c>
      <c r="Q4879" s="17" t="str">
        <f>IFERROR(__xludf.DUMMYFUNCTION("""COMPUTED_VALUE"""),"")</f>
        <v/>
      </c>
      <c r="R4879" s="17" t="str">
        <f>IFERROR(__xludf.DUMMYFUNCTION("""COMPUTED_VALUE"""),"")</f>
        <v/>
      </c>
    </row>
    <row r="4880">
      <c r="A4880" s="15">
        <f>IFERROR(__xludf.DUMMYFUNCTION("""COMPUTED_VALUE"""),45142.0)</f>
        <v>45142</v>
      </c>
      <c r="B4880" s="16" t="str">
        <f>IFERROR(__xludf.DUMMYFUNCTION("""COMPUTED_VALUE"""),"Envia")</f>
        <v>Envia</v>
      </c>
      <c r="C4880" s="15" t="str">
        <f>IFERROR(__xludf.DUMMYFUNCTION("""COMPUTED_VALUE"""),"BARRANQUILLA")</f>
        <v>BARRANQUILLA</v>
      </c>
      <c r="D4880" s="15" t="str">
        <f>IFERROR(__xludf.DUMMYFUNCTION("""COMPUTED_VALUE"""),"MEDELLÍN")</f>
        <v>MEDELLÍN</v>
      </c>
      <c r="E4880" s="15" t="str">
        <f>IFERROR(__xludf.DUMMYFUNCTION("""COMPUTED_VALUE"""),"Rambla")</f>
        <v>Rambla</v>
      </c>
      <c r="F4880" s="17" t="str">
        <f>IFERROR(__xludf.DUMMYFUNCTION("""COMPUTED_VALUE"""),"Carrera 67 no 81-95 / Barrio paraíso / -")</f>
        <v>Carrera 67 no 81-95 / Barrio paraíso / -</v>
      </c>
      <c r="G4880" s="15" t="str">
        <f>IFERROR(__xludf.DUMMYFUNCTION("""COMPUTED_VALUE"""),"Santiago Arbelaez barranquilla")</f>
        <v>Santiago Arbelaez barranquilla</v>
      </c>
      <c r="H4880" s="16">
        <f>IFERROR(__xludf.DUMMYFUNCTION("""COMPUTED_VALUE"""),13565.0)</f>
        <v>13565</v>
      </c>
      <c r="I4880" s="18">
        <f>IFERROR(__xludf.DUMMYFUNCTION("""COMPUTED_VALUE"""),32.0)</f>
        <v>32</v>
      </c>
      <c r="J4880" s="18">
        <f>IFERROR(__xludf.DUMMYFUNCTION("""COMPUTED_VALUE"""),28.0)</f>
        <v>28</v>
      </c>
      <c r="K4880" s="18">
        <f>IFERROR(__xludf.DUMMYFUNCTION("""COMPUTED_VALUE"""),28.0)</f>
        <v>28</v>
      </c>
      <c r="L4880" s="17">
        <f>IFERROR(__xludf.DUMMYFUNCTION("""COMPUTED_VALUE"""),3.204749856E9)</f>
        <v>3204749856</v>
      </c>
      <c r="M4880" s="17" t="str">
        <f>IFERROR(__xludf.DUMMYFUNCTION("""COMPUTED_VALUE"""),"#REF!")</f>
        <v>#REF!</v>
      </c>
      <c r="N4880" s="17"/>
      <c r="O4880" s="17"/>
      <c r="P4880" s="17" t="b">
        <f>IFERROR(__xludf.DUMMYFUNCTION("""COMPUTED_VALUE"""),TRUE)</f>
        <v>1</v>
      </c>
      <c r="Q4880" s="20">
        <f>IFERROR(__xludf.DUMMYFUNCTION("""COMPUTED_VALUE"""),45146.40314292824)</f>
        <v>45146.40314</v>
      </c>
      <c r="R4880" s="21" t="str">
        <f>IFERROR(__xludf.DUMMYFUNCTION("""COMPUTED_VALUE"""),"https://drive.google.com/file/d/1gSOHQY9j6SzdwzTzDRvmBHNLrhakgIwT/view?usp=drivesdk")</f>
        <v>https://drive.google.com/file/d/1gSOHQY9j6SzdwzTzDRvmBHNLrhakgIwT/view?usp=drivesdk</v>
      </c>
    </row>
    <row r="4881">
      <c r="A4881" s="15">
        <f>IFERROR(__xludf.DUMMYFUNCTION("""COMPUTED_VALUE"""),45142.0)</f>
        <v>45142</v>
      </c>
      <c r="B4881" s="16" t="str">
        <f>IFERROR(__xludf.DUMMYFUNCTION("""COMPUTED_VALUE"""),"Envia")</f>
        <v>Envia</v>
      </c>
      <c r="C4881" s="15" t="str">
        <f>IFERROR(__xludf.DUMMYFUNCTION("""COMPUTED_VALUE"""),"BARRANQUILLA")</f>
        <v>BARRANQUILLA</v>
      </c>
      <c r="D4881" s="15" t="str">
        <f>IFERROR(__xludf.DUMMYFUNCTION("""COMPUTED_VALUE"""),"MEDELLÍN")</f>
        <v>MEDELLÍN</v>
      </c>
      <c r="E4881" s="15" t="str">
        <f>IFERROR(__xludf.DUMMYFUNCTION("""COMPUTED_VALUE"""),"Rambla")</f>
        <v>Rambla</v>
      </c>
      <c r="F4881" s="17" t="str">
        <f>IFERROR(__xludf.DUMMYFUNCTION("""COMPUTED_VALUE"""),"CRA 53 80 284 LC 8 / . / .")</f>
        <v>CRA 53 80 284 LC 8 / . / .</v>
      </c>
      <c r="G4881" s="15" t="str">
        <f>IFERROR(__xludf.DUMMYFUNCTION("""COMPUTED_VALUE"""),"Corpofit")</f>
        <v>Corpofit</v>
      </c>
      <c r="H4881" s="16">
        <f>IFERROR(__xludf.DUMMYFUNCTION("""COMPUTED_VALUE"""),13564.0)</f>
        <v>13564</v>
      </c>
      <c r="I4881" s="18">
        <f>IFERROR(__xludf.DUMMYFUNCTION("""COMPUTED_VALUE"""),28.0)</f>
        <v>28</v>
      </c>
      <c r="J4881" s="18">
        <f>IFERROR(__xludf.DUMMYFUNCTION("""COMPUTED_VALUE"""),28.0)</f>
        <v>28</v>
      </c>
      <c r="K4881" s="18">
        <f>IFERROR(__xludf.DUMMYFUNCTION("""COMPUTED_VALUE"""),24.0)</f>
        <v>24</v>
      </c>
      <c r="L4881" s="17">
        <f>IFERROR(__xludf.DUMMYFUNCTION("""COMPUTED_VALUE"""),3.162889776E9)</f>
        <v>3162889776</v>
      </c>
      <c r="M4881" s="17" t="str">
        <f>IFERROR(__xludf.DUMMYFUNCTION("""COMPUTED_VALUE"""),"#REF!")</f>
        <v>#REF!</v>
      </c>
      <c r="N4881" s="17"/>
      <c r="O4881" s="17"/>
      <c r="P4881" s="17" t="b">
        <f>IFERROR(__xludf.DUMMYFUNCTION("""COMPUTED_VALUE"""),FALSE)</f>
        <v>0</v>
      </c>
      <c r="Q4881" s="20" t="str">
        <f>IFERROR(__xludf.DUMMYFUNCTION("""COMPUTED_VALUE"""),"")</f>
        <v/>
      </c>
      <c r="R4881" s="21" t="str">
        <f>IFERROR(__xludf.DUMMYFUNCTION("""COMPUTED_VALUE"""),"https://drive.google.com/file/d/1v5LRYibt2JLu1cffTZ5JGjQJzIibxBp0/view?usp=drivesdk")</f>
        <v>https://drive.google.com/file/d/1v5LRYibt2JLu1cffTZ5JGjQJzIibxBp0/view?usp=drivesdk</v>
      </c>
    </row>
    <row r="4882">
      <c r="A4882" s="15">
        <f>IFERROR(__xludf.DUMMYFUNCTION("""COMPUTED_VALUE"""),45142.0)</f>
        <v>45142</v>
      </c>
      <c r="B4882" s="16" t="str">
        <f>IFERROR(__xludf.DUMMYFUNCTION("""COMPUTED_VALUE"""),"Envia")</f>
        <v>Envia</v>
      </c>
      <c r="C4882" s="15" t="str">
        <f>IFERROR(__xludf.DUMMYFUNCTION("""COMPUTED_VALUE"""),"BOGOTÁ")</f>
        <v>BOGOTÁ</v>
      </c>
      <c r="D4882" s="15" t="str">
        <f>IFERROR(__xludf.DUMMYFUNCTION("""COMPUTED_VALUE"""),"MEDELLÍN")</f>
        <v>MEDELLÍN</v>
      </c>
      <c r="E4882" s="15" t="str">
        <f>IFERROR(__xludf.DUMMYFUNCTION("""COMPUTED_VALUE"""),"Fricar")</f>
        <v>Fricar</v>
      </c>
      <c r="F4882" s="17" t="str">
        <f>IFERROR(__xludf.DUMMYFUNCTION("""COMPUTED_VALUE"""),"Calle 126 #46-25 / edificio  / apto 406")</f>
        <v>Calle 126 #46-25 / edificio  / apto 406</v>
      </c>
      <c r="G4882" s="15" t="str">
        <f>IFERROR(__xludf.DUMMYFUNCTION("""COMPUTED_VALUE"""),"Maira Makro bogota")</f>
        <v>Maira Makro bogota</v>
      </c>
      <c r="H4882" s="16">
        <f>IFERROR(__xludf.DUMMYFUNCTION("""COMPUTED_VALUE"""),13574.0)</f>
        <v>13574</v>
      </c>
      <c r="I4882" s="18">
        <f>IFERROR(__xludf.DUMMYFUNCTION("""COMPUTED_VALUE"""),15.0)</f>
        <v>15</v>
      </c>
      <c r="J4882" s="18">
        <f>IFERROR(__xludf.DUMMYFUNCTION("""COMPUTED_VALUE"""),20.0)</f>
        <v>20</v>
      </c>
      <c r="K4882" s="18">
        <f>IFERROR(__xludf.DUMMYFUNCTION("""COMPUTED_VALUE"""),30.0)</f>
        <v>30</v>
      </c>
      <c r="L4882" s="17">
        <f>IFERROR(__xludf.DUMMYFUNCTION("""COMPUTED_VALUE"""),3.018018474E9)</f>
        <v>3018018474</v>
      </c>
      <c r="M4882" s="17" t="str">
        <f>IFERROR(__xludf.DUMMYFUNCTION("""COMPUTED_VALUE"""),"#REF!")</f>
        <v>#REF!</v>
      </c>
      <c r="N4882" s="17"/>
      <c r="O4882" s="17"/>
      <c r="P4882" s="17" t="b">
        <f>IFERROR(__xludf.DUMMYFUNCTION("""COMPUTED_VALUE"""),FALSE)</f>
        <v>0</v>
      </c>
      <c r="Q4882" s="20" t="str">
        <f>IFERROR(__xludf.DUMMYFUNCTION("""COMPUTED_VALUE"""),"")</f>
        <v/>
      </c>
      <c r="R4882" s="22" t="str">
        <f>IFERROR(__xludf.DUMMYFUNCTION("""COMPUTED_VALUE"""),"")</f>
        <v/>
      </c>
    </row>
    <row r="4883">
      <c r="A4883" s="15">
        <f>IFERROR(__xludf.DUMMYFUNCTION("""COMPUTED_VALUE"""),45142.0)</f>
        <v>45142</v>
      </c>
      <c r="B4883" s="16" t="str">
        <f>IFERROR(__xludf.DUMMYFUNCTION("""COMPUTED_VALUE"""),"Envia")</f>
        <v>Envia</v>
      </c>
      <c r="C4883" s="15" t="str">
        <f>IFERROR(__xludf.DUMMYFUNCTION("""COMPUTED_VALUE"""),"BOGOTÁ")</f>
        <v>BOGOTÁ</v>
      </c>
      <c r="D4883" s="15" t="str">
        <f>IFERROR(__xludf.DUMMYFUNCTION("""COMPUTED_VALUE"""),"MEDELLÍN")</f>
        <v>MEDELLÍN</v>
      </c>
      <c r="E4883" s="15" t="str">
        <f>IFERROR(__xludf.DUMMYFUNCTION("""COMPUTED_VALUE"""),"Moloso S.A.S")</f>
        <v>Moloso S.A.S</v>
      </c>
      <c r="F4883" s="17" t="str">
        <f>IFERROR(__xludf.DUMMYFUNCTION("""COMPUTED_VALUE"""),"CR 75 24 D 70 / CIGARRERIA")</f>
        <v>CR 75 24 D 70 / CIGARRERIA</v>
      </c>
      <c r="G4883" s="15" t="str">
        <f>IFERROR(__xludf.DUMMYFUNCTION("""COMPUTED_VALUE"""),"MARIA JOSE MELO BONILLA")</f>
        <v>MARIA JOSE MELO BONILLA</v>
      </c>
      <c r="H4883" s="16">
        <f>IFERROR(__xludf.DUMMYFUNCTION("""COMPUTED_VALUE"""),13594.0)</f>
        <v>13594</v>
      </c>
      <c r="I4883" s="18">
        <f>IFERROR(__xludf.DUMMYFUNCTION("""COMPUTED_VALUE"""),17.0)</f>
        <v>17</v>
      </c>
      <c r="J4883" s="18">
        <f>IFERROR(__xludf.DUMMYFUNCTION("""COMPUTED_VALUE"""),15.0)</f>
        <v>15</v>
      </c>
      <c r="K4883" s="18">
        <f>IFERROR(__xludf.DUMMYFUNCTION("""COMPUTED_VALUE"""),28.0)</f>
        <v>28</v>
      </c>
      <c r="L4883" s="17">
        <f>IFERROR(__xludf.DUMMYFUNCTION("""COMPUTED_VALUE"""),3.143504351E9)</f>
        <v>3143504351</v>
      </c>
      <c r="M4883" s="17" t="str">
        <f>IFERROR(__xludf.DUMMYFUNCTION("""COMPUTED_VALUE"""),"#REF!")</f>
        <v>#REF!</v>
      </c>
      <c r="N4883" s="17"/>
      <c r="O4883" s="17"/>
      <c r="P4883" s="17" t="b">
        <f>IFERROR(__xludf.DUMMYFUNCTION("""COMPUTED_VALUE"""),FALSE)</f>
        <v>0</v>
      </c>
      <c r="Q4883" s="20" t="str">
        <f>IFERROR(__xludf.DUMMYFUNCTION("""COMPUTED_VALUE"""),"")</f>
        <v/>
      </c>
      <c r="R4883" s="21" t="str">
        <f>IFERROR(__xludf.DUMMYFUNCTION("""COMPUTED_VALUE"""),"https://drive.google.com/file/d/1W7LGxVAw8N807SPhLKC0hrCa6SxiEknh/view?usp=drivesdk")</f>
        <v>https://drive.google.com/file/d/1W7LGxVAw8N807SPhLKC0hrCa6SxiEknh/view?usp=drivesdk</v>
      </c>
    </row>
    <row r="4884">
      <c r="A4884" s="15">
        <f>IFERROR(__xludf.DUMMYFUNCTION("""COMPUTED_VALUE"""),45142.0)</f>
        <v>45142</v>
      </c>
      <c r="B4884" s="16" t="str">
        <f>IFERROR(__xludf.DUMMYFUNCTION("""COMPUTED_VALUE"""),"Envia")</f>
        <v>Envia</v>
      </c>
      <c r="C4884" s="15" t="str">
        <f>IFERROR(__xludf.DUMMYFUNCTION("""COMPUTED_VALUE"""),"BOGOTÁ")</f>
        <v>BOGOTÁ</v>
      </c>
      <c r="D4884" s="15" t="str">
        <f>IFERROR(__xludf.DUMMYFUNCTION("""COMPUTED_VALUE"""),"MEDELLÍN")</f>
        <v>MEDELLÍN</v>
      </c>
      <c r="E4884" s="15" t="str">
        <f>IFERROR(__xludf.DUMMYFUNCTION("""COMPUTED_VALUE"""),"Rambla")</f>
        <v>Rambla</v>
      </c>
      <c r="F4884" s="17" t="str">
        <f>IFERROR(__xludf.DUMMYFUNCTION("""COMPUTED_VALUE"""),"carrera 54D 183-50 casa 27 / . / .")</f>
        <v>carrera 54D 183-50 casa 27 / . / .</v>
      </c>
      <c r="G4884" s="15" t="str">
        <f>IFERROR(__xludf.DUMMYFUNCTION("""COMPUTED_VALUE"""),"Yanira Sandoval")</f>
        <v>Yanira Sandoval</v>
      </c>
      <c r="H4884" s="16">
        <f>IFERROR(__xludf.DUMMYFUNCTION("""COMPUTED_VALUE"""),13599.0)</f>
        <v>13599</v>
      </c>
      <c r="I4884" s="18">
        <f>IFERROR(__xludf.DUMMYFUNCTION("""COMPUTED_VALUE"""),32.0)</f>
        <v>32</v>
      </c>
      <c r="J4884" s="18">
        <f>IFERROR(__xludf.DUMMYFUNCTION("""COMPUTED_VALUE"""),24.0)</f>
        <v>24</v>
      </c>
      <c r="K4884" s="18">
        <f>IFERROR(__xludf.DUMMYFUNCTION("""COMPUTED_VALUE"""),24.0)</f>
        <v>24</v>
      </c>
      <c r="L4884" s="17">
        <f>IFERROR(__xludf.DUMMYFUNCTION("""COMPUTED_VALUE"""),3.174339462E9)</f>
        <v>3174339462</v>
      </c>
      <c r="M4884" s="17" t="str">
        <f>IFERROR(__xludf.DUMMYFUNCTION("""COMPUTED_VALUE"""),"#REF!")</f>
        <v>#REF!</v>
      </c>
      <c r="N4884" s="17"/>
      <c r="O4884" s="17"/>
      <c r="P4884" s="17" t="b">
        <f>IFERROR(__xludf.DUMMYFUNCTION("""COMPUTED_VALUE"""),FALSE)</f>
        <v>0</v>
      </c>
      <c r="Q4884" s="20" t="str">
        <f>IFERROR(__xludf.DUMMYFUNCTION("""COMPUTED_VALUE"""),"")</f>
        <v/>
      </c>
      <c r="R4884" s="22" t="str">
        <f>IFERROR(__xludf.DUMMYFUNCTION("""COMPUTED_VALUE"""),"")</f>
        <v/>
      </c>
    </row>
    <row r="4885">
      <c r="A4885" s="15">
        <f>IFERROR(__xludf.DUMMYFUNCTION("""COMPUTED_VALUE"""),45142.0)</f>
        <v>45142</v>
      </c>
      <c r="B4885" s="16" t="str">
        <f>IFERROR(__xludf.DUMMYFUNCTION("""COMPUTED_VALUE"""),"Envia")</f>
        <v>Envia</v>
      </c>
      <c r="C4885" s="15" t="str">
        <f>IFERROR(__xludf.DUMMYFUNCTION("""COMPUTED_VALUE"""),"BOGOTÁ")</f>
        <v>BOGOTÁ</v>
      </c>
      <c r="D4885" s="15" t="str">
        <f>IFERROR(__xludf.DUMMYFUNCTION("""COMPUTED_VALUE"""),"MEDELLÍN")</f>
        <v>MEDELLÍN</v>
      </c>
      <c r="E4885" s="15" t="str">
        <f>IFERROR(__xludf.DUMMYFUNCTION("""COMPUTED_VALUE"""),"Terravocado")</f>
        <v>Terravocado</v>
      </c>
      <c r="F4885" s="17" t="str">
        <f>IFERROR(__xludf.DUMMYFUNCTION("""COMPUTED_VALUE"""),"Cra 49 No. 165 - 33 / Apto 702 - Torre 1 Brisas del Carmel /Preguntar x Yenny Rodriguez")</f>
        <v>Cra 49 No. 165 - 33 / Apto 702 - Torre 1 Brisas del Carmel /Preguntar x Yenny Rodriguez</v>
      </c>
      <c r="G4885" s="15" t="str">
        <f>IFERROR(__xludf.DUMMYFUNCTION("""COMPUTED_VALUE"""),"VICTUS FOODSERVICE (CAMILO GUERRERO)")</f>
        <v>VICTUS FOODSERVICE (CAMILO GUERRERO)</v>
      </c>
      <c r="H4885" s="16">
        <f>IFERROR(__xludf.DUMMYFUNCTION("""COMPUTED_VALUE"""),13535.0)</f>
        <v>13535</v>
      </c>
      <c r="I4885" s="18">
        <f>IFERROR(__xludf.DUMMYFUNCTION("""COMPUTED_VALUE"""),20.0)</f>
        <v>20</v>
      </c>
      <c r="J4885" s="18">
        <f>IFERROR(__xludf.DUMMYFUNCTION("""COMPUTED_VALUE"""),24.0)</f>
        <v>24</v>
      </c>
      <c r="K4885" s="18">
        <f>IFERROR(__xludf.DUMMYFUNCTION("""COMPUTED_VALUE"""),34.0)</f>
        <v>34</v>
      </c>
      <c r="L4885" s="17">
        <f>IFERROR(__xludf.DUMMYFUNCTION("""COMPUTED_VALUE"""),3.007782358E9)</f>
        <v>3007782358</v>
      </c>
      <c r="M4885" s="17" t="str">
        <f>IFERROR(__xludf.DUMMYFUNCTION("""COMPUTED_VALUE"""),"#REF!")</f>
        <v>#REF!</v>
      </c>
      <c r="N4885" s="17"/>
      <c r="O4885" s="17"/>
      <c r="P4885" s="17" t="b">
        <f>IFERROR(__xludf.DUMMYFUNCTION("""COMPUTED_VALUE"""),FALSE)</f>
        <v>0</v>
      </c>
      <c r="Q4885" s="20" t="str">
        <f>IFERROR(__xludf.DUMMYFUNCTION("""COMPUTED_VALUE"""),"")</f>
        <v/>
      </c>
      <c r="R4885" s="22" t="str">
        <f>IFERROR(__xludf.DUMMYFUNCTION("""COMPUTED_VALUE"""),"")</f>
        <v/>
      </c>
    </row>
    <row r="4886">
      <c r="A4886" s="15">
        <f>IFERROR(__xludf.DUMMYFUNCTION("""COMPUTED_VALUE"""),45142.0)</f>
        <v>45142</v>
      </c>
      <c r="B4886" s="16" t="str">
        <f>IFERROR(__xludf.DUMMYFUNCTION("""COMPUTED_VALUE"""),"Envia")</f>
        <v>Envia</v>
      </c>
      <c r="C4886" s="15" t="str">
        <f>IFERROR(__xludf.DUMMYFUNCTION("""COMPUTED_VALUE"""),"CÚCUTA")</f>
        <v>CÚCUTA</v>
      </c>
      <c r="D4886" s="15" t="str">
        <f>IFERROR(__xludf.DUMMYFUNCTION("""COMPUTED_VALUE"""),"MEDELLÍN")</f>
        <v>MEDELLÍN</v>
      </c>
      <c r="E4886" s="15" t="str">
        <f>IFERROR(__xludf.DUMMYFUNCTION("""COMPUTED_VALUE"""),"Moloso S.A.S")</f>
        <v>Moloso S.A.S</v>
      </c>
      <c r="F4886" s="17" t="str">
        <f>IFERROR(__xludf.DUMMYFUNCTION("""COMPUTED_VALUE"""),"CL 7 18 09 / ASTURIAS TORRES AP 402 TORRE A")</f>
        <v>CL 7 18 09 / ASTURIAS TORRES AP 402 TORRE A</v>
      </c>
      <c r="G4886" s="15" t="str">
        <f>IFERROR(__xludf.DUMMYFUNCTION("""COMPUTED_VALUE"""),"GENESIS VICTORIA MELENDEZ")</f>
        <v>GENESIS VICTORIA MELENDEZ</v>
      </c>
      <c r="H4886" s="16">
        <f>IFERROR(__xludf.DUMMYFUNCTION("""COMPUTED_VALUE"""),13562.0)</f>
        <v>13562</v>
      </c>
      <c r="I4886" s="18">
        <f>IFERROR(__xludf.DUMMYFUNCTION("""COMPUTED_VALUE"""),17.0)</f>
        <v>17</v>
      </c>
      <c r="J4886" s="18">
        <f>IFERROR(__xludf.DUMMYFUNCTION("""COMPUTED_VALUE"""),15.0)</f>
        <v>15</v>
      </c>
      <c r="K4886" s="18">
        <f>IFERROR(__xludf.DUMMYFUNCTION("""COMPUTED_VALUE"""),28.0)</f>
        <v>28</v>
      </c>
      <c r="L4886" s="17" t="str">
        <f>IFERROR(__xludf.DUMMYFUNCTION("""COMPUTED_VALUE"""),"317 3835451")</f>
        <v>317 3835451</v>
      </c>
      <c r="M4886" s="17" t="str">
        <f>IFERROR(__xludf.DUMMYFUNCTION("""COMPUTED_VALUE"""),"#REF!")</f>
        <v>#REF!</v>
      </c>
      <c r="N4886" s="17"/>
      <c r="O4886" s="17"/>
      <c r="P4886" s="17" t="b">
        <f>IFERROR(__xludf.DUMMYFUNCTION("""COMPUTED_VALUE"""),FALSE)</f>
        <v>0</v>
      </c>
      <c r="Q4886" s="20" t="str">
        <f>IFERROR(__xludf.DUMMYFUNCTION("""COMPUTED_VALUE"""),"")</f>
        <v/>
      </c>
      <c r="R4886" s="21" t="str">
        <f>IFERROR(__xludf.DUMMYFUNCTION("""COMPUTED_VALUE"""),"https://drive.google.com/file/d/1pUDAvYTkWm6OsNpYF7QMV2dX-b0cvZWn/view?usp=drivesdk")</f>
        <v>https://drive.google.com/file/d/1pUDAvYTkWm6OsNpYF7QMV2dX-b0cvZWn/view?usp=drivesdk</v>
      </c>
    </row>
    <row r="4887">
      <c r="A4887" s="15">
        <f>IFERROR(__xludf.DUMMYFUNCTION("""COMPUTED_VALUE"""),45142.0)</f>
        <v>45142</v>
      </c>
      <c r="B4887" s="16" t="str">
        <f>IFERROR(__xludf.DUMMYFUNCTION("""COMPUTED_VALUE"""),"Envia")</f>
        <v>Envia</v>
      </c>
      <c r="C4887" s="15" t="str">
        <f>IFERROR(__xludf.DUMMYFUNCTION("""COMPUTED_VALUE"""),"CÚCUTA")</f>
        <v>CÚCUTA</v>
      </c>
      <c r="D4887" s="15" t="str">
        <f>IFERROR(__xludf.DUMMYFUNCTION("""COMPUTED_VALUE"""),"MEDELLÍN")</f>
        <v>MEDELLÍN</v>
      </c>
      <c r="E4887" s="15" t="str">
        <f>IFERROR(__xludf.DUMMYFUNCTION("""COMPUTED_VALUE"""),"Rambla")</f>
        <v>Rambla</v>
      </c>
      <c r="F4887" s="17" t="str">
        <f>IFERROR(__xludf.DUMMYFUNCTION("""COMPUTED_VALUE"""),"Av 9e # 7-12 la Riviera / - / -")</f>
        <v>Av 9e # 7-12 la Riviera / - / -</v>
      </c>
      <c r="G4887" s="15" t="str">
        <f>IFERROR(__xludf.DUMMYFUNCTION("""COMPUTED_VALUE"""),"Sexto sentido")</f>
        <v>Sexto sentido</v>
      </c>
      <c r="H4887" s="16">
        <f>IFERROR(__xludf.DUMMYFUNCTION("""COMPUTED_VALUE"""),13566.0)</f>
        <v>13566</v>
      </c>
      <c r="I4887" s="18">
        <f>IFERROR(__xludf.DUMMYFUNCTION("""COMPUTED_VALUE"""),27.0)</f>
        <v>27</v>
      </c>
      <c r="J4887" s="18">
        <f>IFERROR(__xludf.DUMMYFUNCTION("""COMPUTED_VALUE"""),24.0)</f>
        <v>24</v>
      </c>
      <c r="K4887" s="18">
        <f>IFERROR(__xludf.DUMMYFUNCTION("""COMPUTED_VALUE"""),24.0)</f>
        <v>24</v>
      </c>
      <c r="L4887" s="17">
        <f>IFERROR(__xludf.DUMMYFUNCTION("""COMPUTED_VALUE"""),3.154996494E9)</f>
        <v>3154996494</v>
      </c>
      <c r="M4887" s="17" t="str">
        <f>IFERROR(__xludf.DUMMYFUNCTION("""COMPUTED_VALUE"""),"#REF!")</f>
        <v>#REF!</v>
      </c>
      <c r="N4887" s="17"/>
      <c r="O4887" s="17"/>
      <c r="P4887" s="17" t="b">
        <f>IFERROR(__xludf.DUMMYFUNCTION("""COMPUTED_VALUE"""),FALSE)</f>
        <v>0</v>
      </c>
      <c r="Q4887" s="20" t="str">
        <f>IFERROR(__xludf.DUMMYFUNCTION("""COMPUTED_VALUE"""),"")</f>
        <v/>
      </c>
      <c r="R4887" s="21" t="str">
        <f>IFERROR(__xludf.DUMMYFUNCTION("""COMPUTED_VALUE"""),"https://drive.google.com/file/d/1u9KAVhEVWTIFK5KzO7nspx6gRGVdDxZH/view?usp=drivesdk")</f>
        <v>https://drive.google.com/file/d/1u9KAVhEVWTIFK5KzO7nspx6gRGVdDxZH/view?usp=drivesdk</v>
      </c>
    </row>
    <row r="4888">
      <c r="A4888" s="15">
        <f>IFERROR(__xludf.DUMMYFUNCTION("""COMPUTED_VALUE"""),45142.0)</f>
        <v>45142</v>
      </c>
      <c r="B4888" s="16" t="str">
        <f>IFERROR(__xludf.DUMMYFUNCTION("""COMPUTED_VALUE"""),"Envia")</f>
        <v>Envia</v>
      </c>
      <c r="C4888" s="15" t="str">
        <f>IFERROR(__xludf.DUMMYFUNCTION("""COMPUTED_VALUE"""),"GIRARDOT")</f>
        <v>GIRARDOT</v>
      </c>
      <c r="D4888" s="15" t="str">
        <f>IFERROR(__xludf.DUMMYFUNCTION("""COMPUTED_VALUE"""),"MEDELLÍN")</f>
        <v>MEDELLÍN</v>
      </c>
      <c r="E4888" s="15" t="str">
        <f>IFERROR(__xludf.DUMMYFUNCTION("""COMPUTED_VALUE"""),"AREPAS LA MARY")</f>
        <v>AREPAS LA MARY</v>
      </c>
      <c r="F4888" s="17" t="str">
        <f>IFERROR(__xludf.DUMMYFUNCTION("""COMPUTED_VALUE"""),"CALLE 36A N.24 20 APTO 802 TORRE 2")</f>
        <v>CALLE 36A N.24 20 APTO 802 TORRE 2</v>
      </c>
      <c r="G4888" s="15" t="str">
        <f>IFERROR(__xludf.DUMMYFUNCTION("""COMPUTED_VALUE"""),"almond")</f>
        <v>almond</v>
      </c>
      <c r="H4888" s="16">
        <f>IFERROR(__xludf.DUMMYFUNCTION("""COMPUTED_VALUE"""),13571.0)</f>
        <v>13571</v>
      </c>
      <c r="I4888" s="18">
        <f>IFERROR(__xludf.DUMMYFUNCTION("""COMPUTED_VALUE"""),10.0)</f>
        <v>10</v>
      </c>
      <c r="J4888" s="18">
        <f>IFERROR(__xludf.DUMMYFUNCTION("""COMPUTED_VALUE"""),30.0)</f>
        <v>30</v>
      </c>
      <c r="K4888" s="18">
        <f>IFERROR(__xludf.DUMMYFUNCTION("""COMPUTED_VALUE"""),100.0)</f>
        <v>100</v>
      </c>
      <c r="L4888" s="17" t="str">
        <f>IFERROR(__xludf.DUMMYFUNCTION("""COMPUTED_VALUE"""),"311 8636679")</f>
        <v>311 8636679</v>
      </c>
      <c r="M4888" s="17" t="str">
        <f>IFERROR(__xludf.DUMMYFUNCTION("""COMPUTED_VALUE"""),"#REF!")</f>
        <v>#REF!</v>
      </c>
      <c r="N4888" s="17"/>
      <c r="O4888" s="17"/>
      <c r="P4888" s="17" t="b">
        <f>IFERROR(__xludf.DUMMYFUNCTION("""COMPUTED_VALUE"""),FALSE)</f>
        <v>0</v>
      </c>
      <c r="Q4888" s="20" t="str">
        <f>IFERROR(__xludf.DUMMYFUNCTION("""COMPUTED_VALUE"""),"")</f>
        <v/>
      </c>
      <c r="R4888" s="22" t="str">
        <f>IFERROR(__xludf.DUMMYFUNCTION("""COMPUTED_VALUE"""),"")</f>
        <v/>
      </c>
    </row>
    <row r="4889">
      <c r="A4889" s="15">
        <f>IFERROR(__xludf.DUMMYFUNCTION("""COMPUTED_VALUE"""),45142.0)</f>
        <v>45142</v>
      </c>
      <c r="B4889" s="16" t="str">
        <f>IFERROR(__xludf.DUMMYFUNCTION("""COMPUTED_VALUE"""),"Envia")</f>
        <v>Envia</v>
      </c>
      <c r="C4889" s="15" t="str">
        <f>IFERROR(__xludf.DUMMYFUNCTION("""COMPUTED_VALUE"""),"MEDELLÍN")</f>
        <v>MEDELLÍN</v>
      </c>
      <c r="D4889" s="15" t="str">
        <f>IFERROR(__xludf.DUMMYFUNCTION("""COMPUTED_VALUE"""),"BOGOTÁ")</f>
        <v>BOGOTÁ</v>
      </c>
      <c r="E4889" s="15" t="str">
        <f>IFERROR(__xludf.DUMMYFUNCTION("""COMPUTED_VALUE"""),"MAI ALIMENTOS S.A.S")</f>
        <v>MAI ALIMENTOS S.A.S</v>
      </c>
      <c r="F4889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4889" s="15" t="str">
        <f>IFERROR(__xludf.DUMMYFUNCTION("""COMPUTED_VALUE"""),"Novaventas")</f>
        <v>Novaventas</v>
      </c>
      <c r="H4889" s="16">
        <f>IFERROR(__xludf.DUMMYFUNCTION("""COMPUTED_VALUE"""),13572.0)</f>
        <v>13572</v>
      </c>
      <c r="I4889" s="18">
        <f>IFERROR(__xludf.DUMMYFUNCTION("""COMPUTED_VALUE"""),35.0)</f>
        <v>35</v>
      </c>
      <c r="J4889" s="18">
        <f>IFERROR(__xludf.DUMMYFUNCTION("""COMPUTED_VALUE"""),17.0)</f>
        <v>17</v>
      </c>
      <c r="K4889" s="18">
        <f>IFERROR(__xludf.DUMMYFUNCTION("""COMPUTED_VALUE"""),13.0)</f>
        <v>13</v>
      </c>
      <c r="L4889" s="17">
        <f>IFERROR(__xludf.DUMMYFUNCTION("""COMPUTED_VALUE"""),3.187351593E9)</f>
        <v>3187351593</v>
      </c>
      <c r="M4889" s="17" t="str">
        <f>IFERROR(__xludf.DUMMYFUNCTION("""COMPUTED_VALUE"""),"#REF!")</f>
        <v>#REF!</v>
      </c>
      <c r="N4889" s="17"/>
      <c r="O4889" s="17"/>
      <c r="P4889" s="17" t="b">
        <f>IFERROR(__xludf.DUMMYFUNCTION("""COMPUTED_VALUE"""),FALSE)</f>
        <v>0</v>
      </c>
      <c r="Q4889" s="20" t="str">
        <f>IFERROR(__xludf.DUMMYFUNCTION("""COMPUTED_VALUE"""),"")</f>
        <v/>
      </c>
      <c r="R4889" s="22" t="str">
        <f>IFERROR(__xludf.DUMMYFUNCTION("""COMPUTED_VALUE"""),"")</f>
        <v/>
      </c>
    </row>
    <row r="4890">
      <c r="A4890" s="15">
        <f>IFERROR(__xludf.DUMMYFUNCTION("""COMPUTED_VALUE"""),45142.0)</f>
        <v>45142</v>
      </c>
      <c r="B4890" s="16" t="str">
        <f>IFERROR(__xludf.DUMMYFUNCTION("""COMPUTED_VALUE"""),"Envia")</f>
        <v>Envia</v>
      </c>
      <c r="C4890" s="15" t="str">
        <f>IFERROR(__xludf.DUMMYFUNCTION("""COMPUTED_VALUE"""),"MEDELLÍN")</f>
        <v>MEDELLÍN</v>
      </c>
      <c r="D4890" s="15" t="str">
        <f>IFERROR(__xludf.DUMMYFUNCTION("""COMPUTED_VALUE"""),"BOGOTÁ")</f>
        <v>BOGOTÁ</v>
      </c>
      <c r="E4890" s="15" t="str">
        <f>IFERROR(__xludf.DUMMYFUNCTION("""COMPUTED_VALUE"""),"Olü")</f>
        <v>Olü</v>
      </c>
      <c r="F4890" s="17" t="str">
        <f>IFERROR(__xludf.DUMMYFUNCTION("""COMPUTED_VALUE"""),"Cra 68 # 102-47 / Apto 127 / Barrio Girardot")</f>
        <v>Cra 68 # 102-47 / Apto 127 / Barrio Girardot</v>
      </c>
      <c r="G4890" s="15" t="str">
        <f>IFERROR(__xludf.DUMMYFUNCTION("""COMPUTED_VALUE"""),"Paula Andrea Ramirez")</f>
        <v>Paula Andrea Ramirez</v>
      </c>
      <c r="H4890" s="16">
        <f>IFERROR(__xludf.DUMMYFUNCTION("""COMPUTED_VALUE"""),13591.0)</f>
        <v>13591</v>
      </c>
      <c r="I4890" s="18">
        <f>IFERROR(__xludf.DUMMYFUNCTION("""COMPUTED_VALUE"""),15.0)</f>
        <v>15</v>
      </c>
      <c r="J4890" s="18">
        <f>IFERROR(__xludf.DUMMYFUNCTION("""COMPUTED_VALUE"""),15.0)</f>
        <v>15</v>
      </c>
      <c r="K4890" s="18">
        <f>IFERROR(__xludf.DUMMYFUNCTION("""COMPUTED_VALUE"""),20.0)</f>
        <v>20</v>
      </c>
      <c r="L4890" s="17">
        <f>IFERROR(__xludf.DUMMYFUNCTION("""COMPUTED_VALUE"""),3.01469073E9)</f>
        <v>3014690730</v>
      </c>
      <c r="M4890" s="17" t="str">
        <f>IFERROR(__xludf.DUMMYFUNCTION("""COMPUTED_VALUE"""),"#REF!")</f>
        <v>#REF!</v>
      </c>
      <c r="N4890" s="17"/>
      <c r="O4890" s="17"/>
      <c r="P4890" s="17" t="b">
        <f>IFERROR(__xludf.DUMMYFUNCTION("""COMPUTED_VALUE"""),FALSE)</f>
        <v>0</v>
      </c>
      <c r="Q4890" s="20" t="str">
        <f>IFERROR(__xludf.DUMMYFUNCTION("""COMPUTED_VALUE"""),"")</f>
        <v/>
      </c>
      <c r="R4890" s="21" t="str">
        <f>IFERROR(__xludf.DUMMYFUNCTION("""COMPUTED_VALUE"""),"https://drive.google.com/file/d/12zyIuSFZONN-AfeWjwz7Ds1b6gKNamdK/view?usp=drivesdk")</f>
        <v>https://drive.google.com/file/d/12zyIuSFZONN-AfeWjwz7Ds1b6gKNamdK/view?usp=drivesdk</v>
      </c>
    </row>
    <row r="4891">
      <c r="A4891" s="15">
        <f>IFERROR(__xludf.DUMMYFUNCTION("""COMPUTED_VALUE"""),45142.0)</f>
        <v>45142</v>
      </c>
      <c r="B4891" s="16" t="str">
        <f>IFERROR(__xludf.DUMMYFUNCTION("""COMPUTED_VALUE"""),"Envia")</f>
        <v>Envia</v>
      </c>
      <c r="C4891" s="15" t="str">
        <f>IFERROR(__xludf.DUMMYFUNCTION("""COMPUTED_VALUE"""),"MEDELLÍN")</f>
        <v>MEDELLÍN</v>
      </c>
      <c r="D4891" s="15" t="str">
        <f>IFERROR(__xludf.DUMMYFUNCTION("""COMPUTED_VALUE"""),"BOGOTÁ")</f>
        <v>BOGOTÁ</v>
      </c>
      <c r="E4891" s="15" t="str">
        <f>IFERROR(__xludf.DUMMYFUNCTION("""COMPUTED_VALUE"""),"Pan de Waffle")</f>
        <v>Pan de Waffle</v>
      </c>
      <c r="F4891" s="17" t="str">
        <f>IFERROR(__xludf.DUMMYFUNCTION("""COMPUTED_VALUE"""),"Carrera 39 # 59 - 32 / Carrera 39 # 59 - 32 / Carrera 39 # 59 - 32")</f>
        <v>Carrera 39 # 59 - 32 / Carrera 39 # 59 - 32 / Carrera 39 # 59 - 32</v>
      </c>
      <c r="G4891" s="15" t="str">
        <f>IFERROR(__xludf.DUMMYFUNCTION("""COMPUTED_VALUE"""),"FOODOLOGY")</f>
        <v>FOODOLOGY</v>
      </c>
      <c r="H4891" s="16">
        <f>IFERROR(__xludf.DUMMYFUNCTION("""COMPUTED_VALUE"""),13578.0)</f>
        <v>13578</v>
      </c>
      <c r="I4891" s="18">
        <f>IFERROR(__xludf.DUMMYFUNCTION("""COMPUTED_VALUE"""),40.0)</f>
        <v>40</v>
      </c>
      <c r="J4891" s="18">
        <f>IFERROR(__xludf.DUMMYFUNCTION("""COMPUTED_VALUE"""),40.0)</f>
        <v>40</v>
      </c>
      <c r="K4891" s="18">
        <f>IFERROR(__xludf.DUMMYFUNCTION("""COMPUTED_VALUE"""),40.0)</f>
        <v>40</v>
      </c>
      <c r="L4891" s="17">
        <f>IFERROR(__xludf.DUMMYFUNCTION("""COMPUTED_VALUE"""),3.123558292E9)</f>
        <v>3123558292</v>
      </c>
      <c r="M4891" s="17" t="str">
        <f>IFERROR(__xludf.DUMMYFUNCTION("""COMPUTED_VALUE"""),"#REF!")</f>
        <v>#REF!</v>
      </c>
      <c r="N4891" s="17"/>
      <c r="O4891" s="17"/>
      <c r="P4891" s="17" t="b">
        <f>IFERROR(__xludf.DUMMYFUNCTION("""COMPUTED_VALUE"""),FALSE)</f>
        <v>0</v>
      </c>
      <c r="Q4891" s="20" t="str">
        <f>IFERROR(__xludf.DUMMYFUNCTION("""COMPUTED_VALUE"""),"")</f>
        <v/>
      </c>
      <c r="R4891" s="22" t="str">
        <f>IFERROR(__xludf.DUMMYFUNCTION("""COMPUTED_VALUE"""),"")</f>
        <v/>
      </c>
    </row>
    <row r="4892">
      <c r="A4892" s="17" t="str">
        <f>IFERROR(__xludf.DUMMYFUNCTION("""COMPUTED_VALUE"""),"")</f>
        <v/>
      </c>
      <c r="B4892" s="17" t="str">
        <f>IFERROR(__xludf.DUMMYFUNCTION("""COMPUTED_VALUE"""),"")</f>
        <v/>
      </c>
      <c r="C4892" s="17" t="str">
        <f>IFERROR(__xludf.DUMMYFUNCTION("""COMPUTED_VALUE"""),"")</f>
        <v/>
      </c>
      <c r="D4892" s="17" t="str">
        <f>IFERROR(__xludf.DUMMYFUNCTION("""COMPUTED_VALUE"""),"")</f>
        <v/>
      </c>
      <c r="E4892" s="17" t="str">
        <f>IFERROR(__xludf.DUMMYFUNCTION("""COMPUTED_VALUE"""),"")</f>
        <v/>
      </c>
      <c r="F4892" s="17" t="str">
        <f>IFERROR(__xludf.DUMMYFUNCTION("""COMPUTED_VALUE"""),"")</f>
        <v/>
      </c>
      <c r="G4892" s="17" t="str">
        <f>IFERROR(__xludf.DUMMYFUNCTION("""COMPUTED_VALUE"""),"")</f>
        <v/>
      </c>
      <c r="H4892" s="17" t="str">
        <f>IFERROR(__xludf.DUMMYFUNCTION("""COMPUTED_VALUE"""),"")</f>
        <v/>
      </c>
      <c r="I4892" s="17" t="str">
        <f>IFERROR(__xludf.DUMMYFUNCTION("""COMPUTED_VALUE"""),"")</f>
        <v/>
      </c>
      <c r="J4892" s="17" t="str">
        <f>IFERROR(__xludf.DUMMYFUNCTION("""COMPUTED_VALUE"""),"")</f>
        <v/>
      </c>
      <c r="K4892" s="17" t="str">
        <f>IFERROR(__xludf.DUMMYFUNCTION("""COMPUTED_VALUE"""),"")</f>
        <v/>
      </c>
      <c r="L4892" s="17" t="str">
        <f>IFERROR(__xludf.DUMMYFUNCTION("""COMPUTED_VALUE"""),"")</f>
        <v/>
      </c>
      <c r="M4892" s="17" t="str">
        <f>IFERROR(__xludf.DUMMYFUNCTION("""COMPUTED_VALUE"""),"")</f>
        <v/>
      </c>
      <c r="N4892" s="17" t="str">
        <f>IFERROR(__xludf.DUMMYFUNCTION("""COMPUTED_VALUE"""),"")</f>
        <v/>
      </c>
      <c r="O4892" s="17" t="str">
        <f>IFERROR(__xludf.DUMMYFUNCTION("""COMPUTED_VALUE"""),"")</f>
        <v/>
      </c>
      <c r="P4892" s="17" t="str">
        <f>IFERROR(__xludf.DUMMYFUNCTION("""COMPUTED_VALUE"""),"")</f>
        <v/>
      </c>
      <c r="Q4892" s="17" t="str">
        <f>IFERROR(__xludf.DUMMYFUNCTION("""COMPUTED_VALUE"""),"")</f>
        <v/>
      </c>
      <c r="R4892" s="17" t="str">
        <f>IFERROR(__xludf.DUMMYFUNCTION("""COMPUTED_VALUE"""),"")</f>
        <v/>
      </c>
    </row>
    <row r="4893">
      <c r="A4893" s="15">
        <f>IFERROR(__xludf.DUMMYFUNCTION("""COMPUTED_VALUE"""),45142.0)</f>
        <v>45142</v>
      </c>
      <c r="B4893" s="16" t="str">
        <f>IFERROR(__xludf.DUMMYFUNCTION("""COMPUTED_VALUE"""),"Jeison Rubiano")</f>
        <v>Jeison Rubiano</v>
      </c>
      <c r="C4893" s="15" t="str">
        <f>IFERROR(__xludf.DUMMYFUNCTION("""COMPUTED_VALUE"""),"BOGOTÁ")</f>
        <v>BOGOTÁ</v>
      </c>
      <c r="D4893" s="15" t="str">
        <f>IFERROR(__xludf.DUMMYFUNCTION("""COMPUTED_VALUE"""),"MEDELLÍN")</f>
        <v>MEDELLÍN</v>
      </c>
      <c r="E4893" s="15" t="str">
        <f>IFERROR(__xludf.DUMMYFUNCTION("""COMPUTED_VALUE"""),"Baby Chef")</f>
        <v>Baby Chef</v>
      </c>
      <c r="F4893" s="17" t="str">
        <f>IFERROR(__xludf.DUMMYFUNCTION("""COMPUTED_VALUE"""),"Calle 127A #14A 46 Apto 102 Edificio NOU, Barrio La Carolina / Calle 127A #14A 46 Apto 102 Edificio NOU, Barrio La Carolina / Calle 127A #14A 46 Apto 102 Edificio NOU, Barrio La Carolina")</f>
        <v>Calle 127A #14A 46 Apto 102 Edificio NOU, Barrio La Carolina / Calle 127A #14A 46 Apto 102 Edificio NOU, Barrio La Carolina / Calle 127A #14A 46 Apto 102 Edificio NOU, Barrio La Carolina</v>
      </c>
      <c r="G4893" s="15" t="str">
        <f>IFERROR(__xludf.DUMMYFUNCTION("""COMPUTED_VALUE"""),"Nataly Dios")</f>
        <v>Nataly Dios</v>
      </c>
      <c r="H4893" s="16">
        <f>IFERROR(__xludf.DUMMYFUNCTION("""COMPUTED_VALUE"""),13586.0)</f>
        <v>13586</v>
      </c>
      <c r="I4893" s="18">
        <f>IFERROR(__xludf.DUMMYFUNCTION("""COMPUTED_VALUE"""),8.0)</f>
        <v>8</v>
      </c>
      <c r="J4893" s="18">
        <f>IFERROR(__xludf.DUMMYFUNCTION("""COMPUTED_VALUE"""),37.0)</f>
        <v>37</v>
      </c>
      <c r="K4893" s="18">
        <f>IFERROR(__xludf.DUMMYFUNCTION("""COMPUTED_VALUE"""),21.0)</f>
        <v>21</v>
      </c>
      <c r="L4893" s="17">
        <f>IFERROR(__xludf.DUMMYFUNCTION("""COMPUTED_VALUE"""),3.045828488E9)</f>
        <v>3045828488</v>
      </c>
      <c r="M4893" s="17" t="str">
        <f>IFERROR(__xludf.DUMMYFUNCTION("""COMPUTED_VALUE"""),"#REF!")</f>
        <v>#REF!</v>
      </c>
      <c r="N4893" s="17"/>
      <c r="O4893" s="17"/>
      <c r="P4893" s="17" t="b">
        <f>IFERROR(__xludf.DUMMYFUNCTION("""COMPUTED_VALUE"""),FALSE)</f>
        <v>0</v>
      </c>
      <c r="Q4893" s="20" t="str">
        <f>IFERROR(__xludf.DUMMYFUNCTION("""COMPUTED_VALUE"""),"")</f>
        <v/>
      </c>
      <c r="R4893" s="21" t="str">
        <f>IFERROR(__xludf.DUMMYFUNCTION("""COMPUTED_VALUE"""),"https://drive.google.com/file/d/1qK_4Qr03Qv2VmQIDC-bC1BHJKTmTDl8W/view?usp=drivesdk")</f>
        <v>https://drive.google.com/file/d/1qK_4Qr03Qv2VmQIDC-bC1BHJKTmTDl8W/view?usp=drivesdk</v>
      </c>
    </row>
    <row r="4894">
      <c r="A4894" s="15">
        <f>IFERROR(__xludf.DUMMYFUNCTION("""COMPUTED_VALUE"""),45142.0)</f>
        <v>45142</v>
      </c>
      <c r="B4894" s="16" t="str">
        <f>IFERROR(__xludf.DUMMYFUNCTION("""COMPUTED_VALUE"""),"Jeison Rubiano")</f>
        <v>Jeison Rubiano</v>
      </c>
      <c r="C4894" s="15" t="str">
        <f>IFERROR(__xludf.DUMMYFUNCTION("""COMPUTED_VALUE"""),"BOGOTÁ")</f>
        <v>BOGOTÁ</v>
      </c>
      <c r="D4894" s="15" t="str">
        <f>IFERROR(__xludf.DUMMYFUNCTION("""COMPUTED_VALUE"""),"MEDELLÍN")</f>
        <v>MEDELLÍN</v>
      </c>
      <c r="E4894" s="15" t="str">
        <f>IFERROR(__xludf.DUMMYFUNCTION("""COMPUTED_VALUE"""),"Baby Chef")</f>
        <v>Baby Chef</v>
      </c>
      <c r="F4894" s="17" t="str">
        <f>IFERROR(__xludf.DUMMYFUNCTION("""COMPUTED_VALUE"""),"Calle 145 # 19 - 79 APTO 606 Edificio El Duero  Barrio Cedritos  / ""Calle 145 # 19 - 79 APTO 606 Edificio El Duero  Barrio Cedritos "" / ""Calle 145 # 19 - 79 APTO 606 Edificio El Duero  Barrio Cedritos """)</f>
        <v>Calle 145 # 19 - 79 APTO 606 Edificio El Duero  Barrio Cedritos  / "Calle 145 # 19 - 79 APTO 606 Edificio El Duero  Barrio Cedritos " / "Calle 145 # 19 - 79 APTO 606 Edificio El Duero  Barrio Cedritos "</v>
      </c>
      <c r="G4894" s="15" t="str">
        <f>IFERROR(__xludf.DUMMYFUNCTION("""COMPUTED_VALUE"""),"Laura Rivera")</f>
        <v>Laura Rivera</v>
      </c>
      <c r="H4894" s="16">
        <f>IFERROR(__xludf.DUMMYFUNCTION("""COMPUTED_VALUE"""),13585.0)</f>
        <v>13585</v>
      </c>
      <c r="I4894" s="18">
        <f>IFERROR(__xludf.DUMMYFUNCTION("""COMPUTED_VALUE"""),4.0)</f>
        <v>4</v>
      </c>
      <c r="J4894" s="18">
        <f>IFERROR(__xludf.DUMMYFUNCTION("""COMPUTED_VALUE"""),10.0)</f>
        <v>10</v>
      </c>
      <c r="K4894" s="18">
        <f>IFERROR(__xludf.DUMMYFUNCTION("""COMPUTED_VALUE"""),15.0)</f>
        <v>15</v>
      </c>
      <c r="L4894" s="17">
        <f>IFERROR(__xludf.DUMMYFUNCTION("""COMPUTED_VALUE"""),3.138342242E9)</f>
        <v>3138342242</v>
      </c>
      <c r="M4894" s="17" t="str">
        <f>IFERROR(__xludf.DUMMYFUNCTION("""COMPUTED_VALUE"""),"#REF!")</f>
        <v>#REF!</v>
      </c>
      <c r="N4894" s="17"/>
      <c r="O4894" s="17"/>
      <c r="P4894" s="17" t="b">
        <f>IFERROR(__xludf.DUMMYFUNCTION("""COMPUTED_VALUE"""),FALSE)</f>
        <v>0</v>
      </c>
      <c r="Q4894" s="20" t="str">
        <f>IFERROR(__xludf.DUMMYFUNCTION("""COMPUTED_VALUE"""),"")</f>
        <v/>
      </c>
      <c r="R4894" s="21" t="str">
        <f>IFERROR(__xludf.DUMMYFUNCTION("""COMPUTED_VALUE"""),"https://drive.google.com/file/d/1YF7pIy4vzkZHmUQVYOcFFu-AOSKywZEO/view?usp=drivesdk")</f>
        <v>https://drive.google.com/file/d/1YF7pIy4vzkZHmUQVYOcFFu-AOSKywZEO/view?usp=drivesdk</v>
      </c>
    </row>
    <row r="4895">
      <c r="A4895" s="15">
        <f>IFERROR(__xludf.DUMMYFUNCTION("""COMPUTED_VALUE"""),45142.0)</f>
        <v>45142</v>
      </c>
      <c r="B4895" s="16" t="str">
        <f>IFERROR(__xludf.DUMMYFUNCTION("""COMPUTED_VALUE"""),"Jeison Rubiano")</f>
        <v>Jeison Rubiano</v>
      </c>
      <c r="C4895" s="15" t="str">
        <f>IFERROR(__xludf.DUMMYFUNCTION("""COMPUTED_VALUE"""),"BOGOTÁ")</f>
        <v>BOGOTÁ</v>
      </c>
      <c r="D4895" s="15" t="str">
        <f>IFERROR(__xludf.DUMMYFUNCTION("""COMPUTED_VALUE"""),"MEDELLÍN")</f>
        <v>MEDELLÍN</v>
      </c>
      <c r="E4895" s="15" t="str">
        <f>IFERROR(__xludf.DUMMYFUNCTION("""COMPUTED_VALUE"""),"Baby Chef")</f>
        <v>Baby Chef</v>
      </c>
      <c r="F4895" s="17" t="str">
        <f>IFERROR(__xludf.DUMMYFUNCTION("""COMPUTED_VALUE"""),"Calle 90 # 9-32 603 603 Bogota / chapinero DC / Calle 90 # 9-32 603 603 Bogota / chapinero DC / Calle 90 # 9-32 603 603 Bogota / chapinero DC")</f>
        <v>Calle 90 # 9-32 603 603 Bogota / chapinero DC / Calle 90 # 9-32 603 603 Bogota / chapinero DC / Calle 90 # 9-32 603 603 Bogota / chapinero DC</v>
      </c>
      <c r="G4895" s="15" t="str">
        <f>IFERROR(__xludf.DUMMYFUNCTION("""COMPUTED_VALUE"""),"Camila De Ureña (OJOOO ENTREGAR EL MARTES 8 DE AGOSTO)")</f>
        <v>Camila De Ureña (OJOOO ENTREGAR EL MARTES 8 DE AGOSTO)</v>
      </c>
      <c r="H4895" s="16">
        <f>IFERROR(__xludf.DUMMYFUNCTION("""COMPUTED_VALUE"""),13588.0)</f>
        <v>13588</v>
      </c>
      <c r="I4895" s="18">
        <f>IFERROR(__xludf.DUMMYFUNCTION("""COMPUTED_VALUE"""),8.0)</f>
        <v>8</v>
      </c>
      <c r="J4895" s="18">
        <f>IFERROR(__xludf.DUMMYFUNCTION("""COMPUTED_VALUE"""),34.0)</f>
        <v>34</v>
      </c>
      <c r="K4895" s="18">
        <f>IFERROR(__xludf.DUMMYFUNCTION("""COMPUTED_VALUE"""),24.0)</f>
        <v>24</v>
      </c>
      <c r="L4895" s="17">
        <f>IFERROR(__xludf.DUMMYFUNCTION("""COMPUTED_VALUE"""),3.114550715E9)</f>
        <v>3114550715</v>
      </c>
      <c r="M4895" s="17" t="str">
        <f>IFERROR(__xludf.DUMMYFUNCTION("""COMPUTED_VALUE"""),"#REF!")</f>
        <v>#REF!</v>
      </c>
      <c r="N4895" s="17"/>
      <c r="O4895" s="17"/>
      <c r="P4895" s="17" t="b">
        <f>IFERROR(__xludf.DUMMYFUNCTION("""COMPUTED_VALUE"""),FALSE)</f>
        <v>0</v>
      </c>
      <c r="Q4895" s="20" t="str">
        <f>IFERROR(__xludf.DUMMYFUNCTION("""COMPUTED_VALUE"""),"")</f>
        <v/>
      </c>
      <c r="R4895" s="21" t="str">
        <f>IFERROR(__xludf.DUMMYFUNCTION("""COMPUTED_VALUE"""),"https://drive.google.com/file/d/1lx-CY2yr2KOZ04JH3_sAt5B-I0VSuLif/view?usp=drivesdk")</f>
        <v>https://drive.google.com/file/d/1lx-CY2yr2KOZ04JH3_sAt5B-I0VSuLif/view?usp=drivesdk</v>
      </c>
    </row>
    <row r="4896">
      <c r="A4896" s="15">
        <f>IFERROR(__xludf.DUMMYFUNCTION("""COMPUTED_VALUE"""),45142.0)</f>
        <v>45142</v>
      </c>
      <c r="B4896" s="16" t="str">
        <f>IFERROR(__xludf.DUMMYFUNCTION("""COMPUTED_VALUE"""),"Jeison Rubiano")</f>
        <v>Jeison Rubiano</v>
      </c>
      <c r="C4896" s="15" t="str">
        <f>IFERROR(__xludf.DUMMYFUNCTION("""COMPUTED_VALUE"""),"BOGOTÁ")</f>
        <v>BOGOTÁ</v>
      </c>
      <c r="D4896" s="15" t="str">
        <f>IFERROR(__xludf.DUMMYFUNCTION("""COMPUTED_VALUE"""),"MEDELLÍN")</f>
        <v>MEDELLÍN</v>
      </c>
      <c r="E4896" s="15" t="str">
        <f>IFERROR(__xludf.DUMMYFUNCTION("""COMPUTED_VALUE"""),"Baby Chef")</f>
        <v>Baby Chef</v>
      </c>
      <c r="F4896" s="17" t="str">
        <f>IFERROR(__xludf.DUMMYFUNCTION("""COMPUTED_VALUE"""),"Carrera 77 # 64C - 16 Barrio Villa Luz / Carrera 77 # 64C - 16 Barrio Villa Luz / Carrera 77 # 64C - 16 Barrio Villa Luz")</f>
        <v>Carrera 77 # 64C - 16 Barrio Villa Luz / Carrera 77 # 64C - 16 Barrio Villa Luz / Carrera 77 # 64C - 16 Barrio Villa Luz</v>
      </c>
      <c r="G4896" s="15" t="str">
        <f>IFERROR(__xludf.DUMMYFUNCTION("""COMPUTED_VALUE"""),"Heidi Pinilla (ENTREGAR EN LA TARDE)")</f>
        <v>Heidi Pinilla (ENTREGAR EN LA TARDE)</v>
      </c>
      <c r="H4896" s="16">
        <f>IFERROR(__xludf.DUMMYFUNCTION("""COMPUTED_VALUE"""),13587.0)</f>
        <v>13587</v>
      </c>
      <c r="I4896" s="18">
        <f>IFERROR(__xludf.DUMMYFUNCTION("""COMPUTED_VALUE"""),8.0)</f>
        <v>8</v>
      </c>
      <c r="J4896" s="18">
        <f>IFERROR(__xludf.DUMMYFUNCTION("""COMPUTED_VALUE"""),40.0)</f>
        <v>40</v>
      </c>
      <c r="K4896" s="18">
        <f>IFERROR(__xludf.DUMMYFUNCTION("""COMPUTED_VALUE"""),31.0)</f>
        <v>31</v>
      </c>
      <c r="L4896" s="17">
        <f>IFERROR(__xludf.DUMMYFUNCTION("""COMPUTED_VALUE"""),3.213748559E9)</f>
        <v>3213748559</v>
      </c>
      <c r="M4896" s="17" t="str">
        <f>IFERROR(__xludf.DUMMYFUNCTION("""COMPUTED_VALUE"""),"#REF!")</f>
        <v>#REF!</v>
      </c>
      <c r="N4896" s="17"/>
      <c r="O4896" s="17"/>
      <c r="P4896" s="17" t="b">
        <f>IFERROR(__xludf.DUMMYFUNCTION("""COMPUTED_VALUE"""),FALSE)</f>
        <v>0</v>
      </c>
      <c r="Q4896" s="20" t="str">
        <f>IFERROR(__xludf.DUMMYFUNCTION("""COMPUTED_VALUE"""),"")</f>
        <v/>
      </c>
      <c r="R4896" s="21" t="str">
        <f>IFERROR(__xludf.DUMMYFUNCTION("""COMPUTED_VALUE"""),"https://drive.google.com/file/d/11IbzK4SAckXGV4meeww7oEogRlY61eUJ/view?usp=drivesdk")</f>
        <v>https://drive.google.com/file/d/11IbzK4SAckXGV4meeww7oEogRlY61eUJ/view?usp=drivesdk</v>
      </c>
    </row>
    <row r="4897">
      <c r="A4897" s="15">
        <f>IFERROR(__xludf.DUMMYFUNCTION("""COMPUTED_VALUE"""),45142.0)</f>
        <v>45142</v>
      </c>
      <c r="B4897" s="16" t="str">
        <f>IFERROR(__xludf.DUMMYFUNCTION("""COMPUTED_VALUE"""),"Jeison Rubiano")</f>
        <v>Jeison Rubiano</v>
      </c>
      <c r="C4897" s="15" t="str">
        <f>IFERROR(__xludf.DUMMYFUNCTION("""COMPUTED_VALUE"""),"BOGOTÁ")</f>
        <v>BOGOTÁ</v>
      </c>
      <c r="D4897" s="15" t="str">
        <f>IFERROR(__xludf.DUMMYFUNCTION("""COMPUTED_VALUE"""),"MEDELLÍN")</f>
        <v>MEDELLÍN</v>
      </c>
      <c r="E4897" s="15" t="str">
        <f>IFERROR(__xludf.DUMMYFUNCTION("""COMPUTED_VALUE"""),"Baby Chef")</f>
        <v>Baby Chef</v>
      </c>
      <c r="F4897" s="17" t="str">
        <f>IFERROR(__xludf.DUMMYFUNCTION("""COMPUTED_VALUE"""),"Cll 24A # 59-59 torre 8 apto 1001, Conjunto residencial avenida parque / Cll 24A # 59-59 torre 8 apto 1001, Conjunto residencial avenida parque / Cll 24A # 59-59 torre 8 apto 1001, Conjunto residencial avenida parque")</f>
        <v>Cll 24A # 59-59 torre 8 apto 1001, Conjunto residencial avenida parque / Cll 24A # 59-59 torre 8 apto 1001, Conjunto residencial avenida parque / Cll 24A # 59-59 torre 8 apto 1001, Conjunto residencial avenida parque</v>
      </c>
      <c r="G4897" s="15" t="str">
        <f>IFERROR(__xludf.DUMMYFUNCTION("""COMPUTED_VALUE"""),"Laura Rojas")</f>
        <v>Laura Rojas</v>
      </c>
      <c r="H4897" s="16">
        <f>IFERROR(__xludf.DUMMYFUNCTION("""COMPUTED_VALUE"""),13589.0)</f>
        <v>13589</v>
      </c>
      <c r="I4897" s="18">
        <f>IFERROR(__xludf.DUMMYFUNCTION("""COMPUTED_VALUE"""),8.0)</f>
        <v>8</v>
      </c>
      <c r="J4897" s="18">
        <f>IFERROR(__xludf.DUMMYFUNCTION("""COMPUTED_VALUE"""),13.0)</f>
        <v>13</v>
      </c>
      <c r="K4897" s="18">
        <f>IFERROR(__xludf.DUMMYFUNCTION("""COMPUTED_VALUE"""),31.0)</f>
        <v>31</v>
      </c>
      <c r="L4897" s="17">
        <f>IFERROR(__xludf.DUMMYFUNCTION("""COMPUTED_VALUE"""),3.176406641E9)</f>
        <v>3176406641</v>
      </c>
      <c r="M4897" s="17" t="str">
        <f>IFERROR(__xludf.DUMMYFUNCTION("""COMPUTED_VALUE"""),"#REF!")</f>
        <v>#REF!</v>
      </c>
      <c r="N4897" s="17"/>
      <c r="O4897" s="17"/>
      <c r="P4897" s="17" t="b">
        <f>IFERROR(__xludf.DUMMYFUNCTION("""COMPUTED_VALUE"""),FALSE)</f>
        <v>0</v>
      </c>
      <c r="Q4897" s="20" t="str">
        <f>IFERROR(__xludf.DUMMYFUNCTION("""COMPUTED_VALUE"""),"")</f>
        <v/>
      </c>
      <c r="R4897" s="21" t="str">
        <f>IFERROR(__xludf.DUMMYFUNCTION("""COMPUTED_VALUE"""),"https://drive.google.com/file/d/1iLTRCue-EPEYdAjKlUdDrGIZrhtvj2wZ/view?usp=drivesdk")</f>
        <v>https://drive.google.com/file/d/1iLTRCue-EPEYdAjKlUdDrGIZrhtvj2wZ/view?usp=drivesdk</v>
      </c>
    </row>
    <row r="4898">
      <c r="A4898" s="15">
        <f>IFERROR(__xludf.DUMMYFUNCTION("""COMPUTED_VALUE"""),45142.0)</f>
        <v>45142</v>
      </c>
      <c r="B4898" s="16" t="str">
        <f>IFERROR(__xludf.DUMMYFUNCTION("""COMPUTED_VALUE"""),"Jeison Rubiano")</f>
        <v>Jeison Rubiano</v>
      </c>
      <c r="C4898" s="15" t="str">
        <f>IFERROR(__xludf.DUMMYFUNCTION("""COMPUTED_VALUE"""),"BOGOTÁ")</f>
        <v>BOGOTÁ</v>
      </c>
      <c r="D4898" s="15" t="str">
        <f>IFERROR(__xludf.DUMMYFUNCTION("""COMPUTED_VALUE"""),"MEDELLÍN")</f>
        <v>MEDELLÍN</v>
      </c>
      <c r="E4898" s="15" t="str">
        <f>IFERROR(__xludf.DUMMYFUNCTION("""COMPUTED_VALUE"""),"Baby Chef")</f>
        <v>Baby Chef</v>
      </c>
      <c r="F4898" s="17" t="str">
        <f>IFERROR(__xludf.DUMMYFUNCTION("""COMPUTED_VALUE"""),"Cra 10 A # 134 B 55 Apto 501 Refugio de Lisboa  / Cra 10 A # 134 B 55 Apto 501 Refugio de Lisboa  / Cra 10 A # 134 B 55 Apto 501 Refugio de Lisboa")</f>
        <v>Cra 10 A # 134 B 55 Apto 501 Refugio de Lisboa  / Cra 10 A # 134 B 55 Apto 501 Refugio de Lisboa  / Cra 10 A # 134 B 55 Apto 501 Refugio de Lisboa</v>
      </c>
      <c r="G4898" s="15" t="str">
        <f>IFERROR(__xludf.DUMMYFUNCTION("""COMPUTED_VALUE"""),"Alejandra Taborda")</f>
        <v>Alejandra Taborda</v>
      </c>
      <c r="H4898" s="16">
        <f>IFERROR(__xludf.DUMMYFUNCTION("""COMPUTED_VALUE"""),13596.0)</f>
        <v>13596</v>
      </c>
      <c r="I4898" s="18">
        <f>IFERROR(__xludf.DUMMYFUNCTION("""COMPUTED_VALUE"""),8.0)</f>
        <v>8</v>
      </c>
      <c r="J4898" s="18">
        <f>IFERROR(__xludf.DUMMYFUNCTION("""COMPUTED_VALUE"""),30.0)</f>
        <v>30</v>
      </c>
      <c r="K4898" s="18">
        <f>IFERROR(__xludf.DUMMYFUNCTION("""COMPUTED_VALUE"""),22.0)</f>
        <v>22</v>
      </c>
      <c r="L4898" s="17">
        <f>IFERROR(__xludf.DUMMYFUNCTION("""COMPUTED_VALUE"""),3.006615223E9)</f>
        <v>3006615223</v>
      </c>
      <c r="M4898" s="17" t="str">
        <f>IFERROR(__xludf.DUMMYFUNCTION("""COMPUTED_VALUE"""),"#REF!")</f>
        <v>#REF!</v>
      </c>
      <c r="N4898" s="17"/>
      <c r="O4898" s="17"/>
      <c r="P4898" s="17" t="b">
        <f>IFERROR(__xludf.DUMMYFUNCTION("""COMPUTED_VALUE"""),FALSE)</f>
        <v>0</v>
      </c>
      <c r="Q4898" s="20" t="str">
        <f>IFERROR(__xludf.DUMMYFUNCTION("""COMPUTED_VALUE"""),"")</f>
        <v/>
      </c>
      <c r="R4898" s="21" t="str">
        <f>IFERROR(__xludf.DUMMYFUNCTION("""COMPUTED_VALUE"""),"https://drive.google.com/file/d/1_x49a0-qcVFaCp3M1CFK1qAr3cRzpvCh/view?usp=drivesdk")</f>
        <v>https://drive.google.com/file/d/1_x49a0-qcVFaCp3M1CFK1qAr3cRzpvCh/view?usp=drivesdk</v>
      </c>
    </row>
    <row r="4899">
      <c r="A4899" s="15">
        <f>IFERROR(__xludf.DUMMYFUNCTION("""COMPUTED_VALUE"""),45142.0)</f>
        <v>45142</v>
      </c>
      <c r="B4899" s="16" t="str">
        <f>IFERROR(__xludf.DUMMYFUNCTION("""COMPUTED_VALUE"""),"Jeison Rubiano")</f>
        <v>Jeison Rubiano</v>
      </c>
      <c r="C4899" s="15" t="str">
        <f>IFERROR(__xludf.DUMMYFUNCTION("""COMPUTED_VALUE"""),"BOGOTÁ")</f>
        <v>BOGOTÁ</v>
      </c>
      <c r="D4899" s="15" t="str">
        <f>IFERROR(__xludf.DUMMYFUNCTION("""COMPUTED_VALUE"""),"MEDELLÍN")</f>
        <v>MEDELLÍN</v>
      </c>
      <c r="E4899" s="15" t="str">
        <f>IFERROR(__xludf.DUMMYFUNCTION("""COMPUTED_VALUE"""),"Lácteos El Pino SAS")</f>
        <v>Lácteos El Pino SAS</v>
      </c>
      <c r="F4899" s="17" t="str">
        <f>IFERROR(__xludf.DUMMYFUNCTION("""COMPUTED_VALUE"""),"CALLE 24A #57-60 / RECIBO EN ZONA DE CARGA POR EL DEPRIMIDO- COMPRAS")</f>
        <v>CALLE 24A #57-60 / RECIBO EN ZONA DE CARGA POR EL DEPRIMIDO- COMPRAS</v>
      </c>
      <c r="G4899" s="15" t="str">
        <f>IFERROR(__xludf.DUMMYFUNCTION("""COMPUTED_VALUE"""),"HOTEL GRAND HYATT BOGOTA")</f>
        <v>HOTEL GRAND HYATT BOGOTA</v>
      </c>
      <c r="H4899" s="16">
        <f>IFERROR(__xludf.DUMMYFUNCTION("""COMPUTED_VALUE"""),13579.0)</f>
        <v>13579</v>
      </c>
      <c r="I4899" s="18">
        <f>IFERROR(__xludf.DUMMYFUNCTION("""COMPUTED_VALUE"""),33.0)</f>
        <v>33</v>
      </c>
      <c r="J4899" s="18">
        <f>IFERROR(__xludf.DUMMYFUNCTION("""COMPUTED_VALUE"""),22.0)</f>
        <v>22</v>
      </c>
      <c r="K4899" s="18">
        <f>IFERROR(__xludf.DUMMYFUNCTION("""COMPUTED_VALUE"""),36.0)</f>
        <v>36</v>
      </c>
      <c r="L4899" s="17">
        <f>IFERROR(__xludf.DUMMYFUNCTION("""COMPUTED_VALUE"""),3.203093705E9)</f>
        <v>3203093705</v>
      </c>
      <c r="M4899" s="17" t="str">
        <f>IFERROR(__xludf.DUMMYFUNCTION("""COMPUTED_VALUE"""),"#REF!")</f>
        <v>#REF!</v>
      </c>
      <c r="N4899" s="17"/>
      <c r="O4899" s="17"/>
      <c r="P4899" s="17" t="b">
        <f>IFERROR(__xludf.DUMMYFUNCTION("""COMPUTED_VALUE"""),FALSE)</f>
        <v>0</v>
      </c>
      <c r="Q4899" s="20" t="str">
        <f>IFERROR(__xludf.DUMMYFUNCTION("""COMPUTED_VALUE"""),"")</f>
        <v/>
      </c>
      <c r="R4899" s="22" t="str">
        <f>IFERROR(__xludf.DUMMYFUNCTION("""COMPUTED_VALUE"""),"")</f>
        <v/>
      </c>
    </row>
    <row r="4900">
      <c r="A4900" s="15">
        <f>IFERROR(__xludf.DUMMYFUNCTION("""COMPUTED_VALUE"""),45142.0)</f>
        <v>45142</v>
      </c>
      <c r="B4900" s="16" t="str">
        <f>IFERROR(__xludf.DUMMYFUNCTION("""COMPUTED_VALUE"""),"Jeison Rubiano")</f>
        <v>Jeison Rubiano</v>
      </c>
      <c r="C4900" s="15" t="str">
        <f>IFERROR(__xludf.DUMMYFUNCTION("""COMPUTED_VALUE"""),"BOGOTÁ")</f>
        <v>BOGOTÁ</v>
      </c>
      <c r="D4900" s="15" t="str">
        <f>IFERROR(__xludf.DUMMYFUNCTION("""COMPUTED_VALUE"""),"MEDELLÍN")</f>
        <v>MEDELLÍN</v>
      </c>
      <c r="E4900" s="15" t="str">
        <f>IFERROR(__xludf.DUMMYFUNCTION("""COMPUTED_VALUE"""),"Magda")</f>
        <v>Magda</v>
      </c>
      <c r="F4900" s="17" t="str">
        <f>IFERROR(__xludf.DUMMYFUNCTION("""COMPUTED_VALUE"""),"Calle 71a # 14a22/26 / cocina oculta / san felipe")</f>
        <v>Calle 71a # 14a22/26 / cocina oculta / san felipe</v>
      </c>
      <c r="G4900" s="15" t="str">
        <f>IFERROR(__xludf.DUMMYFUNCTION("""COMPUTED_VALUE"""),"Andrés Hernández")</f>
        <v>Andrés Hernández</v>
      </c>
      <c r="H4900" s="16">
        <f>IFERROR(__xludf.DUMMYFUNCTION("""COMPUTED_VALUE"""),13590.0)</f>
        <v>13590</v>
      </c>
      <c r="I4900" s="18">
        <f>IFERROR(__xludf.DUMMYFUNCTION("""COMPUTED_VALUE"""),5.0)</f>
        <v>5</v>
      </c>
      <c r="J4900" s="18">
        <f>IFERROR(__xludf.DUMMYFUNCTION("""COMPUTED_VALUE"""),5.0)</f>
        <v>5</v>
      </c>
      <c r="K4900" s="18">
        <f>IFERROR(__xludf.DUMMYFUNCTION("""COMPUTED_VALUE"""),5.0)</f>
        <v>5</v>
      </c>
      <c r="L4900" s="17">
        <f>IFERROR(__xludf.DUMMYFUNCTION("""COMPUTED_VALUE"""),3.214229567E9)</f>
        <v>3214229567</v>
      </c>
      <c r="M4900" s="17" t="str">
        <f>IFERROR(__xludf.DUMMYFUNCTION("""COMPUTED_VALUE"""),"#REF!")</f>
        <v>#REF!</v>
      </c>
      <c r="N4900" s="17"/>
      <c r="O4900" s="17"/>
      <c r="P4900" s="17" t="b">
        <f>IFERROR(__xludf.DUMMYFUNCTION("""COMPUTED_VALUE"""),FALSE)</f>
        <v>0</v>
      </c>
      <c r="Q4900" s="20" t="str">
        <f>IFERROR(__xludf.DUMMYFUNCTION("""COMPUTED_VALUE"""),"")</f>
        <v/>
      </c>
      <c r="R4900" s="22" t="str">
        <f>IFERROR(__xludf.DUMMYFUNCTION("""COMPUTED_VALUE"""),"")</f>
        <v/>
      </c>
    </row>
    <row r="4901">
      <c r="A4901" s="15">
        <f>IFERROR(__xludf.DUMMYFUNCTION("""COMPUTED_VALUE"""),45142.0)</f>
        <v>45142</v>
      </c>
      <c r="B4901" s="16" t="str">
        <f>IFERROR(__xludf.DUMMYFUNCTION("""COMPUTED_VALUE"""),"Jeison Rubiano")</f>
        <v>Jeison Rubiano</v>
      </c>
      <c r="C4901" s="15" t="str">
        <f>IFERROR(__xludf.DUMMYFUNCTION("""COMPUTED_VALUE"""),"BOGOTÁ")</f>
        <v>BOGOTÁ</v>
      </c>
      <c r="D4901" s="15" t="str">
        <f>IFERROR(__xludf.DUMMYFUNCTION("""COMPUTED_VALUE"""),"MEDELLÍN")</f>
        <v>MEDELLÍN</v>
      </c>
      <c r="E4901" s="15" t="str">
        <f>IFERROR(__xludf.DUMMYFUNCTION("""COMPUTED_VALUE"""),"Moloso S.A.S")</f>
        <v>Moloso S.A.S</v>
      </c>
      <c r="F4901" s="17" t="str">
        <f>IFERROR(__xludf.DUMMYFUNCTION("""COMPUTED_VALUE"""),"CR 23 106 B 64 / EDF MYSTIQUE 106")</f>
        <v>CR 23 106 B 64 / EDF MYSTIQUE 106</v>
      </c>
      <c r="G4901" s="15" t="str">
        <f>IFERROR(__xludf.DUMMYFUNCTION("""COMPUTED_VALUE"""),"MARIANA OSPINA")</f>
        <v>MARIANA OSPINA</v>
      </c>
      <c r="H4901" s="16">
        <f>IFERROR(__xludf.DUMMYFUNCTION("""COMPUTED_VALUE"""),13592.0)</f>
        <v>13592</v>
      </c>
      <c r="I4901" s="18">
        <f>IFERROR(__xludf.DUMMYFUNCTION("""COMPUTED_VALUE"""),17.0)</f>
        <v>17</v>
      </c>
      <c r="J4901" s="18">
        <f>IFERROR(__xludf.DUMMYFUNCTION("""COMPUTED_VALUE"""),15.0)</f>
        <v>15</v>
      </c>
      <c r="K4901" s="18">
        <f>IFERROR(__xludf.DUMMYFUNCTION("""COMPUTED_VALUE"""),28.0)</f>
        <v>28</v>
      </c>
      <c r="L4901" s="17">
        <f>IFERROR(__xludf.DUMMYFUNCTION("""COMPUTED_VALUE"""),3.017656611E9)</f>
        <v>3017656611</v>
      </c>
      <c r="M4901" s="17" t="str">
        <f>IFERROR(__xludf.DUMMYFUNCTION("""COMPUTED_VALUE"""),"#REF!")</f>
        <v>#REF!</v>
      </c>
      <c r="N4901" s="17"/>
      <c r="O4901" s="17"/>
      <c r="P4901" s="17" t="b">
        <f>IFERROR(__xludf.DUMMYFUNCTION("""COMPUTED_VALUE"""),FALSE)</f>
        <v>0</v>
      </c>
      <c r="Q4901" s="20" t="str">
        <f>IFERROR(__xludf.DUMMYFUNCTION("""COMPUTED_VALUE"""),"")</f>
        <v/>
      </c>
      <c r="R4901" s="22" t="str">
        <f>IFERROR(__xludf.DUMMYFUNCTION("""COMPUTED_VALUE"""),"")</f>
        <v/>
      </c>
    </row>
    <row r="4902">
      <c r="A4902" s="15">
        <f>IFERROR(__xludf.DUMMYFUNCTION("""COMPUTED_VALUE"""),45142.0)</f>
        <v>45142</v>
      </c>
      <c r="B4902" s="16" t="str">
        <f>IFERROR(__xludf.DUMMYFUNCTION("""COMPUTED_VALUE"""),"Jeison Rubiano")</f>
        <v>Jeison Rubiano</v>
      </c>
      <c r="C4902" s="15" t="str">
        <f>IFERROR(__xludf.DUMMYFUNCTION("""COMPUTED_VALUE"""),"BOGOTÁ")</f>
        <v>BOGOTÁ</v>
      </c>
      <c r="D4902" s="15" t="str">
        <f>IFERROR(__xludf.DUMMYFUNCTION("""COMPUTED_VALUE"""),"MEDELLÍN")</f>
        <v>MEDELLÍN</v>
      </c>
      <c r="E4902" s="15" t="str">
        <f>IFERROR(__xludf.DUMMYFUNCTION("""COMPUTED_VALUE"""),"Moloso S.A.S")</f>
        <v>Moloso S.A.S</v>
      </c>
      <c r="F4902" s="17" t="str">
        <f>IFERROR(__xludf.DUMMYFUNCTION("""COMPUTED_VALUE"""),"CRA 55 149 09 / CONJUNTO MONTECARLO 3 CASA 16")</f>
        <v>CRA 55 149 09 / CONJUNTO MONTECARLO 3 CASA 16</v>
      </c>
      <c r="G4902" s="15" t="str">
        <f>IFERROR(__xludf.DUMMYFUNCTION("""COMPUTED_VALUE"""),"CLAUDIA ADRIANA GARCIA FINO")</f>
        <v>CLAUDIA ADRIANA GARCIA FINO</v>
      </c>
      <c r="H4902" s="16">
        <f>IFERROR(__xludf.DUMMYFUNCTION("""COMPUTED_VALUE"""),13593.0)</f>
        <v>13593</v>
      </c>
      <c r="I4902" s="18">
        <f>IFERROR(__xludf.DUMMYFUNCTION("""COMPUTED_VALUE"""),17.0)</f>
        <v>17</v>
      </c>
      <c r="J4902" s="18">
        <f>IFERROR(__xludf.DUMMYFUNCTION("""COMPUTED_VALUE"""),15.0)</f>
        <v>15</v>
      </c>
      <c r="K4902" s="18">
        <f>IFERROR(__xludf.DUMMYFUNCTION("""COMPUTED_VALUE"""),28.0)</f>
        <v>28</v>
      </c>
      <c r="L4902" s="17" t="str">
        <f>IFERROR(__xludf.DUMMYFUNCTION("""COMPUTED_VALUE"""),"313 2628813")</f>
        <v>313 2628813</v>
      </c>
      <c r="M4902" s="17" t="str">
        <f>IFERROR(__xludf.DUMMYFUNCTION("""COMPUTED_VALUE"""),"#REF!")</f>
        <v>#REF!</v>
      </c>
      <c r="N4902" s="17"/>
      <c r="O4902" s="17"/>
      <c r="P4902" s="17" t="b">
        <f>IFERROR(__xludf.DUMMYFUNCTION("""COMPUTED_VALUE"""),FALSE)</f>
        <v>0</v>
      </c>
      <c r="Q4902" s="20" t="str">
        <f>IFERROR(__xludf.DUMMYFUNCTION("""COMPUTED_VALUE"""),"")</f>
        <v/>
      </c>
      <c r="R4902" s="21" t="str">
        <f>IFERROR(__xludf.DUMMYFUNCTION("""COMPUTED_VALUE"""),"https://drive.google.com/file/d/1x_pLJrgOP3rMnHc2p208J4SAETmcpdho/view?usp=drivesdk")</f>
        <v>https://drive.google.com/file/d/1x_pLJrgOP3rMnHc2p208J4SAETmcpdho/view?usp=drivesdk</v>
      </c>
    </row>
    <row r="4903">
      <c r="A4903" s="15">
        <f>IFERROR(__xludf.DUMMYFUNCTION("""COMPUTED_VALUE"""),45142.0)</f>
        <v>45142</v>
      </c>
      <c r="B4903" s="16" t="str">
        <f>IFERROR(__xludf.DUMMYFUNCTION("""COMPUTED_VALUE"""),"Jeison Rubiano")</f>
        <v>Jeison Rubiano</v>
      </c>
      <c r="C4903" s="15" t="str">
        <f>IFERROR(__xludf.DUMMYFUNCTION("""COMPUTED_VALUE"""),"BOGOTÁ")</f>
        <v>BOGOTÁ</v>
      </c>
      <c r="D4903" s="15" t="str">
        <f>IFERROR(__xludf.DUMMYFUNCTION("""COMPUTED_VALUE"""),"MEDELLÍN")</f>
        <v>MEDELLÍN</v>
      </c>
      <c r="E4903" s="15" t="str">
        <f>IFERROR(__xludf.DUMMYFUNCTION("""COMPUTED_VALUE"""),"Puro Verde")</f>
        <v>Puro Verde</v>
      </c>
      <c r="F4903" s="17" t="str">
        <f>IFERROR(__xludf.DUMMYFUNCTION("""COMPUTED_VALUE"""),"CALLE 93 BIS # 19-77.  / APTO 207. EDIFICIO CUADRATTO / BARRIO CHICO")</f>
        <v>CALLE 93 BIS # 19-77.  / APTO 207. EDIFICIO CUADRATTO / BARRIO CHICO</v>
      </c>
      <c r="G4903" s="15" t="str">
        <f>IFERROR(__xludf.DUMMYFUNCTION("""COMPUTED_VALUE"""),"JUAN CARLOS CHITIVA")</f>
        <v>JUAN CARLOS CHITIVA</v>
      </c>
      <c r="H4903" s="16">
        <f>IFERROR(__xludf.DUMMYFUNCTION("""COMPUTED_VALUE"""),13567.0)</f>
        <v>13567</v>
      </c>
      <c r="I4903" s="18">
        <f>IFERROR(__xludf.DUMMYFUNCTION("""COMPUTED_VALUE"""),45034.0)</f>
        <v>45034</v>
      </c>
      <c r="J4903" s="18" t="str">
        <f>IFERROR(__xludf.DUMMYFUNCTION("""COMPUTED_VALUE"""),"32.2")</f>
        <v>32.2</v>
      </c>
      <c r="K4903" s="18" t="str">
        <f>IFERROR(__xludf.DUMMYFUNCTION("""COMPUTED_VALUE"""),"39.4")</f>
        <v>39.4</v>
      </c>
      <c r="L4903" s="17">
        <f>IFERROR(__xludf.DUMMYFUNCTION("""COMPUTED_VALUE"""),3.124480558E9)</f>
        <v>3124480558</v>
      </c>
      <c r="M4903" s="17" t="str">
        <f>IFERROR(__xludf.DUMMYFUNCTION("""COMPUTED_VALUE"""),"#REF!")</f>
        <v>#REF!</v>
      </c>
      <c r="N4903" s="17"/>
      <c r="O4903" s="17"/>
      <c r="P4903" s="17" t="b">
        <f>IFERROR(__xludf.DUMMYFUNCTION("""COMPUTED_VALUE"""),FALSE)</f>
        <v>0</v>
      </c>
      <c r="Q4903" s="20" t="str">
        <f>IFERROR(__xludf.DUMMYFUNCTION("""COMPUTED_VALUE"""),"")</f>
        <v/>
      </c>
      <c r="R4903" s="21" t="str">
        <f>IFERROR(__xludf.DUMMYFUNCTION("""COMPUTED_VALUE"""),"https://drive.google.com/file/d/1Rdm-jYZWRGEeoiAwY2wClJWaZiPumJ80/view?usp=drivesdk")</f>
        <v>https://drive.google.com/file/d/1Rdm-jYZWRGEeoiAwY2wClJWaZiPumJ80/view?usp=drivesdk</v>
      </c>
    </row>
    <row r="4904">
      <c r="A4904" s="15">
        <f>IFERROR(__xludf.DUMMYFUNCTION("""COMPUTED_VALUE"""),45142.0)</f>
        <v>45142</v>
      </c>
      <c r="B4904" s="16" t="str">
        <f>IFERROR(__xludf.DUMMYFUNCTION("""COMPUTED_VALUE"""),"Jeison Rubiano")</f>
        <v>Jeison Rubiano</v>
      </c>
      <c r="C4904" s="15" t="str">
        <f>IFERROR(__xludf.DUMMYFUNCTION("""COMPUTED_VALUE"""),"BOGOTÁ")</f>
        <v>BOGOTÁ</v>
      </c>
      <c r="D4904" s="15" t="str">
        <f>IFERROR(__xludf.DUMMYFUNCTION("""COMPUTED_VALUE"""),"MEDELLÍN")</f>
        <v>MEDELLÍN</v>
      </c>
      <c r="E4904" s="15" t="str">
        <f>IFERROR(__xludf.DUMMYFUNCTION("""COMPUTED_VALUE"""),"Puro Verde")</f>
        <v>Puro Verde</v>
      </c>
      <c r="F4904" s="17" t="str">
        <f>IFERROR(__xludf.DUMMYFUNCTION("""COMPUTED_VALUE"""),"CRA 16A # 77-23 / LOCAL 4.  / BARRIO EL LAGO")</f>
        <v>CRA 16A # 77-23 / LOCAL 4.  / BARRIO EL LAGO</v>
      </c>
      <c r="G4904" s="15" t="str">
        <f>IFERROR(__xludf.DUMMYFUNCTION("""COMPUTED_VALUE"""),"DANDO CUERDA")</f>
        <v>DANDO CUERDA</v>
      </c>
      <c r="H4904" s="16">
        <f>IFERROR(__xludf.DUMMYFUNCTION("""COMPUTED_VALUE"""),13570.0)</f>
        <v>13570</v>
      </c>
      <c r="I4904" s="18" t="str">
        <f>IFERROR(__xludf.DUMMYFUNCTION("""COMPUTED_VALUE"""),"36.8")</f>
        <v>36.8</v>
      </c>
      <c r="J4904" s="18" t="str">
        <f>IFERROR(__xludf.DUMMYFUNCTION("""COMPUTED_VALUE"""),"32.2")</f>
        <v>32.2</v>
      </c>
      <c r="K4904" s="18" t="str">
        <f>IFERROR(__xludf.DUMMYFUNCTION("""COMPUTED_VALUE"""),"39.4")</f>
        <v>39.4</v>
      </c>
      <c r="L4904" s="17">
        <f>IFERROR(__xludf.DUMMYFUNCTION("""COMPUTED_VALUE"""),3.163816691E9)</f>
        <v>3163816691</v>
      </c>
      <c r="M4904" s="17" t="str">
        <f>IFERROR(__xludf.DUMMYFUNCTION("""COMPUTED_VALUE"""),"#REF!")</f>
        <v>#REF!</v>
      </c>
      <c r="N4904" s="17"/>
      <c r="O4904" s="17"/>
      <c r="P4904" s="17" t="b">
        <f>IFERROR(__xludf.DUMMYFUNCTION("""COMPUTED_VALUE"""),FALSE)</f>
        <v>0</v>
      </c>
      <c r="Q4904" s="20" t="str">
        <f>IFERROR(__xludf.DUMMYFUNCTION("""COMPUTED_VALUE"""),"")</f>
        <v/>
      </c>
      <c r="R4904" s="22" t="str">
        <f>IFERROR(__xludf.DUMMYFUNCTION("""COMPUTED_VALUE"""),"")</f>
        <v/>
      </c>
    </row>
    <row r="4905">
      <c r="A4905" s="15">
        <f>IFERROR(__xludf.DUMMYFUNCTION("""COMPUTED_VALUE"""),45142.0)</f>
        <v>45142</v>
      </c>
      <c r="B4905" s="16" t="str">
        <f>IFERROR(__xludf.DUMMYFUNCTION("""COMPUTED_VALUE"""),"Jeison Rubiano")</f>
        <v>Jeison Rubiano</v>
      </c>
      <c r="C4905" s="15" t="str">
        <f>IFERROR(__xludf.DUMMYFUNCTION("""COMPUTED_VALUE"""),"BOGOTÁ")</f>
        <v>BOGOTÁ</v>
      </c>
      <c r="D4905" s="15" t="str">
        <f>IFERROR(__xludf.DUMMYFUNCTION("""COMPUTED_VALUE"""),"MEDELLÍN")</f>
        <v>MEDELLÍN</v>
      </c>
      <c r="E4905" s="15" t="str">
        <f>IFERROR(__xludf.DUMMYFUNCTION("""COMPUTED_VALUE"""),"Rambla")</f>
        <v>Rambla</v>
      </c>
      <c r="F4905" s="17" t="str">
        <f>IFERROR(__xludf.DUMMYFUNCTION("""COMPUTED_VALUE"""),"Av Cra 9 # 113-52 local 306 / . / .")</f>
        <v>Av Cra 9 # 113-52 local 306 / . / .</v>
      </c>
      <c r="G4905" s="15" t="str">
        <f>IFERROR(__xludf.DUMMYFUNCTION("""COMPUTED_VALUE"""),"FRESH CO")</f>
        <v>FRESH CO</v>
      </c>
      <c r="H4905" s="16">
        <f>IFERROR(__xludf.DUMMYFUNCTION("""COMPUTED_VALUE"""),13601.0)</f>
        <v>13601</v>
      </c>
      <c r="I4905" s="18">
        <f>IFERROR(__xludf.DUMMYFUNCTION("""COMPUTED_VALUE"""),32.0)</f>
        <v>32</v>
      </c>
      <c r="J4905" s="18">
        <f>IFERROR(__xludf.DUMMYFUNCTION("""COMPUTED_VALUE"""),24.0)</f>
        <v>24</v>
      </c>
      <c r="K4905" s="18">
        <f>IFERROR(__xludf.DUMMYFUNCTION("""COMPUTED_VALUE"""),24.0)</f>
        <v>24</v>
      </c>
      <c r="L4905" s="17">
        <f>IFERROR(__xludf.DUMMYFUNCTION("""COMPUTED_VALUE"""),3.229417869E9)</f>
        <v>3229417869</v>
      </c>
      <c r="M4905" s="17" t="str">
        <f>IFERROR(__xludf.DUMMYFUNCTION("""COMPUTED_VALUE"""),"#REF!")</f>
        <v>#REF!</v>
      </c>
      <c r="N4905" s="17"/>
      <c r="O4905" s="17"/>
      <c r="P4905" s="17" t="b">
        <f>IFERROR(__xludf.DUMMYFUNCTION("""COMPUTED_VALUE"""),FALSE)</f>
        <v>0</v>
      </c>
      <c r="Q4905" s="20" t="str">
        <f>IFERROR(__xludf.DUMMYFUNCTION("""COMPUTED_VALUE"""),"")</f>
        <v/>
      </c>
      <c r="R4905" s="21" t="str">
        <f>IFERROR(__xludf.DUMMYFUNCTION("""COMPUTED_VALUE"""),"https://drive.google.com/file/d/13oxeWjrDQVlR-oQYc0ISBibG3lR5_Ifg/view?usp=drivesdk")</f>
        <v>https://drive.google.com/file/d/13oxeWjrDQVlR-oQYc0ISBibG3lR5_Ifg/view?usp=drivesdk</v>
      </c>
    </row>
    <row r="4906">
      <c r="A4906" s="15">
        <f>IFERROR(__xludf.DUMMYFUNCTION("""COMPUTED_VALUE"""),45142.0)</f>
        <v>45142</v>
      </c>
      <c r="B4906" s="16" t="str">
        <f>IFERROR(__xludf.DUMMYFUNCTION("""COMPUTED_VALUE"""),"Jeison Rubiano")</f>
        <v>Jeison Rubiano</v>
      </c>
      <c r="C4906" s="15" t="str">
        <f>IFERROR(__xludf.DUMMYFUNCTION("""COMPUTED_VALUE"""),"BOGOTÁ")</f>
        <v>BOGOTÁ</v>
      </c>
      <c r="D4906" s="15" t="str">
        <f>IFERROR(__xludf.DUMMYFUNCTION("""COMPUTED_VALUE"""),"MEDELLÍN")</f>
        <v>MEDELLÍN</v>
      </c>
      <c r="E4906" s="15" t="str">
        <f>IFERROR(__xludf.DUMMYFUNCTION("""COMPUTED_VALUE"""),"Rambla")</f>
        <v>Rambla</v>
      </c>
      <c r="F4906" s="17" t="str">
        <f>IFERROR(__xludf.DUMMYFUNCTION("""COMPUTED_VALUE"""),"Calle 122 18 50 consultorio 202 / . / .")</f>
        <v>Calle 122 18 50 consultorio 202 / . / .</v>
      </c>
      <c r="G4906" s="15" t="str">
        <f>IFERROR(__xludf.DUMMYFUNCTION("""COMPUTED_VALUE"""),"Natalia rincón")</f>
        <v>Natalia rincón</v>
      </c>
      <c r="H4906" s="16">
        <f>IFERROR(__xludf.DUMMYFUNCTION("""COMPUTED_VALUE"""),13597.0)</f>
        <v>13597</v>
      </c>
      <c r="I4906" s="18">
        <f>IFERROR(__xludf.DUMMYFUNCTION("""COMPUTED_VALUE"""),32.0)</f>
        <v>32</v>
      </c>
      <c r="J4906" s="18">
        <f>IFERROR(__xludf.DUMMYFUNCTION("""COMPUTED_VALUE"""),24.0)</f>
        <v>24</v>
      </c>
      <c r="K4906" s="18">
        <f>IFERROR(__xludf.DUMMYFUNCTION("""COMPUTED_VALUE"""),24.0)</f>
        <v>24</v>
      </c>
      <c r="L4906" s="17">
        <f>IFERROR(__xludf.DUMMYFUNCTION("""COMPUTED_VALUE"""),3.156161317E9)</f>
        <v>3156161317</v>
      </c>
      <c r="M4906" s="17" t="str">
        <f>IFERROR(__xludf.DUMMYFUNCTION("""COMPUTED_VALUE"""),"#REF!")</f>
        <v>#REF!</v>
      </c>
      <c r="N4906" s="17"/>
      <c r="O4906" s="17"/>
      <c r="P4906" s="17" t="b">
        <f>IFERROR(__xludf.DUMMYFUNCTION("""COMPUTED_VALUE"""),FALSE)</f>
        <v>0</v>
      </c>
      <c r="Q4906" s="20" t="str">
        <f>IFERROR(__xludf.DUMMYFUNCTION("""COMPUTED_VALUE"""),"")</f>
        <v/>
      </c>
      <c r="R4906" s="21" t="str">
        <f>IFERROR(__xludf.DUMMYFUNCTION("""COMPUTED_VALUE"""),"https://drive.google.com/file/d/1pv9SQeamzsvBUQumJ0hsxRyCXprVQ_E2/view?usp=drivesdk")</f>
        <v>https://drive.google.com/file/d/1pv9SQeamzsvBUQumJ0hsxRyCXprVQ_E2/view?usp=drivesdk</v>
      </c>
    </row>
    <row r="4907">
      <c r="A4907" s="15">
        <f>IFERROR(__xludf.DUMMYFUNCTION("""COMPUTED_VALUE"""),45142.0)</f>
        <v>45142</v>
      </c>
      <c r="B4907" s="16" t="str">
        <f>IFERROR(__xludf.DUMMYFUNCTION("""COMPUTED_VALUE"""),"Jeison Rubiano")</f>
        <v>Jeison Rubiano</v>
      </c>
      <c r="C4907" s="15" t="str">
        <f>IFERROR(__xludf.DUMMYFUNCTION("""COMPUTED_VALUE"""),"BOGOTÁ")</f>
        <v>BOGOTÁ</v>
      </c>
      <c r="D4907" s="15" t="str">
        <f>IFERROR(__xludf.DUMMYFUNCTION("""COMPUTED_VALUE"""),"MEDELLÍN")</f>
        <v>MEDELLÍN</v>
      </c>
      <c r="E4907" s="15" t="str">
        <f>IFERROR(__xludf.DUMMYFUNCTION("""COMPUTED_VALUE"""),"Rambla")</f>
        <v>Rambla</v>
      </c>
      <c r="F4907" s="17" t="str">
        <f>IFERROR(__xludf.DUMMYFUNCTION("""COMPUTED_VALUE"""),"Calle 144 #11-90 Casa 6 / . / .")</f>
        <v>Calle 144 #11-90 Casa 6 / . / .</v>
      </c>
      <c r="G4907" s="15" t="str">
        <f>IFERROR(__xludf.DUMMYFUNCTION("""COMPUTED_VALUE"""),"Lechuga y Lulo")</f>
        <v>Lechuga y Lulo</v>
      </c>
      <c r="H4907" s="16">
        <f>IFERROR(__xludf.DUMMYFUNCTION("""COMPUTED_VALUE"""),13600.0)</f>
        <v>13600</v>
      </c>
      <c r="I4907" s="18">
        <f>IFERROR(__xludf.DUMMYFUNCTION("""COMPUTED_VALUE"""),32.0)</f>
        <v>32</v>
      </c>
      <c r="J4907" s="18">
        <f>IFERROR(__xludf.DUMMYFUNCTION("""COMPUTED_VALUE"""),24.0)</f>
        <v>24</v>
      </c>
      <c r="K4907" s="18">
        <f>IFERROR(__xludf.DUMMYFUNCTION("""COMPUTED_VALUE"""),24.0)</f>
        <v>24</v>
      </c>
      <c r="L4907" s="17">
        <f>IFERROR(__xludf.DUMMYFUNCTION("""COMPUTED_VALUE"""),3.112063593E9)</f>
        <v>3112063593</v>
      </c>
      <c r="M4907" s="17" t="str">
        <f>IFERROR(__xludf.DUMMYFUNCTION("""COMPUTED_VALUE"""),"#REF!")</f>
        <v>#REF!</v>
      </c>
      <c r="N4907" s="17"/>
      <c r="O4907" s="17"/>
      <c r="P4907" s="17" t="b">
        <f>IFERROR(__xludf.DUMMYFUNCTION("""COMPUTED_VALUE"""),FALSE)</f>
        <v>0</v>
      </c>
      <c r="Q4907" s="20" t="str">
        <f>IFERROR(__xludf.DUMMYFUNCTION("""COMPUTED_VALUE"""),"")</f>
        <v/>
      </c>
      <c r="R4907" s="21" t="str">
        <f>IFERROR(__xludf.DUMMYFUNCTION("""COMPUTED_VALUE"""),"https://drive.google.com/file/d/16KziFZCfrDLNfPUlbnawdl2BBVWU_7Ly/view?usp=drivesdk")</f>
        <v>https://drive.google.com/file/d/16KziFZCfrDLNfPUlbnawdl2BBVWU_7Ly/view?usp=drivesdk</v>
      </c>
    </row>
    <row r="4908">
      <c r="A4908" s="15">
        <f>IFERROR(__xludf.DUMMYFUNCTION("""COMPUTED_VALUE"""),45142.0)</f>
        <v>45142</v>
      </c>
      <c r="B4908" s="16" t="str">
        <f>IFERROR(__xludf.DUMMYFUNCTION("""COMPUTED_VALUE"""),"Jeison Rubiano")</f>
        <v>Jeison Rubiano</v>
      </c>
      <c r="C4908" s="15" t="str">
        <f>IFERROR(__xludf.DUMMYFUNCTION("""COMPUTED_VALUE"""),"BOGOTÁ")</f>
        <v>BOGOTÁ</v>
      </c>
      <c r="D4908" s="15" t="str">
        <f>IFERROR(__xludf.DUMMYFUNCTION("""COMPUTED_VALUE"""),"MEDELLÍN")</f>
        <v>MEDELLÍN</v>
      </c>
      <c r="E4908" s="15" t="str">
        <f>IFERROR(__xludf.DUMMYFUNCTION("""COMPUTED_VALUE"""),"Rambla")</f>
        <v>Rambla</v>
      </c>
      <c r="F4908" s="17" t="str">
        <f>IFERROR(__xludf.DUMMYFUNCTION("""COMPUTED_VALUE"""),"Cl. 93a #11-46, Barrio Chicó / . / .")</f>
        <v>Cl. 93a #11-46, Barrio Chicó / . / .</v>
      </c>
      <c r="G4908" s="15" t="str">
        <f>IFERROR(__xludf.DUMMYFUNCTION("""COMPUTED_VALUE"""),"Fit Hub")</f>
        <v>Fit Hub</v>
      </c>
      <c r="H4908" s="16">
        <f>IFERROR(__xludf.DUMMYFUNCTION("""COMPUTED_VALUE"""),13603.0)</f>
        <v>13603</v>
      </c>
      <c r="I4908" s="18">
        <f>IFERROR(__xludf.DUMMYFUNCTION("""COMPUTED_VALUE"""),32.0)</f>
        <v>32</v>
      </c>
      <c r="J4908" s="18">
        <f>IFERROR(__xludf.DUMMYFUNCTION("""COMPUTED_VALUE"""),24.0)</f>
        <v>24</v>
      </c>
      <c r="K4908" s="18">
        <f>IFERROR(__xludf.DUMMYFUNCTION("""COMPUTED_VALUE"""),24.0)</f>
        <v>24</v>
      </c>
      <c r="L4908" s="17">
        <f>IFERROR(__xludf.DUMMYFUNCTION("""COMPUTED_VALUE"""),3.015447307E9)</f>
        <v>3015447307</v>
      </c>
      <c r="M4908" s="17" t="str">
        <f>IFERROR(__xludf.DUMMYFUNCTION("""COMPUTED_VALUE"""),"#REF!")</f>
        <v>#REF!</v>
      </c>
      <c r="N4908" s="17"/>
      <c r="O4908" s="17"/>
      <c r="P4908" s="17" t="b">
        <f>IFERROR(__xludf.DUMMYFUNCTION("""COMPUTED_VALUE"""),FALSE)</f>
        <v>0</v>
      </c>
      <c r="Q4908" s="20" t="str">
        <f>IFERROR(__xludf.DUMMYFUNCTION("""COMPUTED_VALUE"""),"")</f>
        <v/>
      </c>
      <c r="R4908" s="21" t="str">
        <f>IFERROR(__xludf.DUMMYFUNCTION("""COMPUTED_VALUE"""),"https://drive.google.com/file/d/12fKyGmmpt7Vyo1HHg1QsC6xZFODUttBp/view?usp=drivesdk")</f>
        <v>https://drive.google.com/file/d/12fKyGmmpt7Vyo1HHg1QsC6xZFODUttBp/view?usp=drivesdk</v>
      </c>
    </row>
    <row r="4909">
      <c r="A4909" s="15">
        <f>IFERROR(__xludf.DUMMYFUNCTION("""COMPUTED_VALUE"""),45142.0)</f>
        <v>45142</v>
      </c>
      <c r="B4909" s="16" t="str">
        <f>IFERROR(__xludf.DUMMYFUNCTION("""COMPUTED_VALUE"""),"Jeison Rubiano")</f>
        <v>Jeison Rubiano</v>
      </c>
      <c r="C4909" s="15" t="str">
        <f>IFERROR(__xludf.DUMMYFUNCTION("""COMPUTED_VALUE"""),"BOGOTÁ")</f>
        <v>BOGOTÁ</v>
      </c>
      <c r="D4909" s="15" t="str">
        <f>IFERROR(__xludf.DUMMYFUNCTION("""COMPUTED_VALUE"""),"MEDELLÍN")</f>
        <v>MEDELLÍN</v>
      </c>
      <c r="E4909" s="15" t="str">
        <f>IFERROR(__xludf.DUMMYFUNCTION("""COMPUTED_VALUE"""),"Rambla")</f>
        <v>Rambla</v>
      </c>
      <c r="F4909" s="17" t="str">
        <f>IFERROR(__xludf.DUMMYFUNCTION("""COMPUTED_VALUE"""),"Cra 7 No. 88-96 Apto 1401 Edificio Montecarlo / . / .")</f>
        <v>Cra 7 No. 88-96 Apto 1401 Edificio Montecarlo / . / .</v>
      </c>
      <c r="G4909" s="15" t="str">
        <f>IFERROR(__xludf.DUMMYFUNCTION("""COMPUTED_VALUE"""),"Betty Vargas")</f>
        <v>Betty Vargas</v>
      </c>
      <c r="H4909" s="16">
        <f>IFERROR(__xludf.DUMMYFUNCTION("""COMPUTED_VALUE"""),13602.0)</f>
        <v>13602</v>
      </c>
      <c r="I4909" s="18">
        <f>IFERROR(__xludf.DUMMYFUNCTION("""COMPUTED_VALUE"""),32.0)</f>
        <v>32</v>
      </c>
      <c r="J4909" s="18">
        <f>IFERROR(__xludf.DUMMYFUNCTION("""COMPUTED_VALUE"""),24.0)</f>
        <v>24</v>
      </c>
      <c r="K4909" s="18">
        <f>IFERROR(__xludf.DUMMYFUNCTION("""COMPUTED_VALUE"""),24.0)</f>
        <v>24</v>
      </c>
      <c r="L4909" s="17">
        <f>IFERROR(__xludf.DUMMYFUNCTION("""COMPUTED_VALUE"""),3.167937595E9)</f>
        <v>3167937595</v>
      </c>
      <c r="M4909" s="17" t="str">
        <f>IFERROR(__xludf.DUMMYFUNCTION("""COMPUTED_VALUE"""),"#REF!")</f>
        <v>#REF!</v>
      </c>
      <c r="N4909" s="17"/>
      <c r="O4909" s="17"/>
      <c r="P4909" s="17" t="b">
        <f>IFERROR(__xludf.DUMMYFUNCTION("""COMPUTED_VALUE"""),FALSE)</f>
        <v>0</v>
      </c>
      <c r="Q4909" s="20" t="str">
        <f>IFERROR(__xludf.DUMMYFUNCTION("""COMPUTED_VALUE"""),"")</f>
        <v/>
      </c>
      <c r="R4909" s="21" t="str">
        <f>IFERROR(__xludf.DUMMYFUNCTION("""COMPUTED_VALUE"""),"https://drive.google.com/file/d/19ii5Mj3Y7uEHyElziM0oX24PUlNlkxsS/view?usp=drivesdk")</f>
        <v>https://drive.google.com/file/d/19ii5Mj3Y7uEHyElziM0oX24PUlNlkxsS/view?usp=drivesdk</v>
      </c>
    </row>
    <row r="4910">
      <c r="A4910" s="15">
        <f>IFERROR(__xludf.DUMMYFUNCTION("""COMPUTED_VALUE"""),45142.0)</f>
        <v>45142</v>
      </c>
      <c r="B4910" s="16" t="str">
        <f>IFERROR(__xludf.DUMMYFUNCTION("""COMPUTED_VALUE"""),"Jeison Rubiano")</f>
        <v>Jeison Rubiano</v>
      </c>
      <c r="C4910" s="15" t="str">
        <f>IFERROR(__xludf.DUMMYFUNCTION("""COMPUTED_VALUE"""),"BOGOTÁ")</f>
        <v>BOGOTÁ</v>
      </c>
      <c r="D4910" s="15" t="str">
        <f>IFERROR(__xludf.DUMMYFUNCTION("""COMPUTED_VALUE"""),"MEDELLÍN")</f>
        <v>MEDELLÍN</v>
      </c>
      <c r="E4910" s="15" t="str">
        <f>IFERROR(__xludf.DUMMYFUNCTION("""COMPUTED_VALUE"""),"Rambla")</f>
        <v>Rambla</v>
      </c>
      <c r="F4910" s="17" t="str">
        <f>IFERROR(__xludf.DUMMYFUNCTION("""COMPUTED_VALUE"""),"Diag 83 #73-15 conjunto Gualanday, int 13, apto 202 Barrio Minuto de Dios / . / .")</f>
        <v>Diag 83 #73-15 conjunto Gualanday, int 13, apto 202 Barrio Minuto de Dios / . / .</v>
      </c>
      <c r="G4910" s="15" t="str">
        <f>IFERROR(__xludf.DUMMYFUNCTION("""COMPUTED_VALUE"""),"Mónica Liliana Guerrero Castiblanco")</f>
        <v>Mónica Liliana Guerrero Castiblanco</v>
      </c>
      <c r="H4910" s="16">
        <f>IFERROR(__xludf.DUMMYFUNCTION("""COMPUTED_VALUE"""),13598.0)</f>
        <v>13598</v>
      </c>
      <c r="I4910" s="18">
        <f>IFERROR(__xludf.DUMMYFUNCTION("""COMPUTED_VALUE"""),32.0)</f>
        <v>32</v>
      </c>
      <c r="J4910" s="18">
        <f>IFERROR(__xludf.DUMMYFUNCTION("""COMPUTED_VALUE"""),24.0)</f>
        <v>24</v>
      </c>
      <c r="K4910" s="18">
        <f>IFERROR(__xludf.DUMMYFUNCTION("""COMPUTED_VALUE"""),24.0)</f>
        <v>24</v>
      </c>
      <c r="L4910" s="17">
        <f>IFERROR(__xludf.DUMMYFUNCTION("""COMPUTED_VALUE"""),3.159251829E9)</f>
        <v>3159251829</v>
      </c>
      <c r="M4910" s="17" t="str">
        <f>IFERROR(__xludf.DUMMYFUNCTION("""COMPUTED_VALUE"""),"#REF!")</f>
        <v>#REF!</v>
      </c>
      <c r="N4910" s="17"/>
      <c r="O4910" s="17"/>
      <c r="P4910" s="17" t="b">
        <f>IFERROR(__xludf.DUMMYFUNCTION("""COMPUTED_VALUE"""),FALSE)</f>
        <v>0</v>
      </c>
      <c r="Q4910" s="20" t="str">
        <f>IFERROR(__xludf.DUMMYFUNCTION("""COMPUTED_VALUE"""),"")</f>
        <v/>
      </c>
      <c r="R4910" s="21" t="str">
        <f>IFERROR(__xludf.DUMMYFUNCTION("""COMPUTED_VALUE"""),"https://drive.google.com/file/d/1tcKgT-83JWHSCXuMQc6QKkybrQEzaVVp/view?usp=drivesdk")</f>
        <v>https://drive.google.com/file/d/1tcKgT-83JWHSCXuMQc6QKkybrQEzaVVp/view?usp=drivesdk</v>
      </c>
    </row>
    <row r="4911">
      <c r="A4911" s="15">
        <f>IFERROR(__xludf.DUMMYFUNCTION("""COMPUTED_VALUE"""),45142.0)</f>
        <v>45142</v>
      </c>
      <c r="B4911" s="16" t="str">
        <f>IFERROR(__xludf.DUMMYFUNCTION("""COMPUTED_VALUE"""),"Jeison Rubiano")</f>
        <v>Jeison Rubiano</v>
      </c>
      <c r="C4911" s="15" t="str">
        <f>IFERROR(__xludf.DUMMYFUNCTION("""COMPUTED_VALUE"""),"CARTAGENA")</f>
        <v>CARTAGENA</v>
      </c>
      <c r="D4911" s="15" t="str">
        <f>IFERROR(__xludf.DUMMYFUNCTION("""COMPUTED_VALUE"""),"BOGOTÁ")</f>
        <v>BOGOTÁ</v>
      </c>
      <c r="E4911" s="15" t="str">
        <f>IFERROR(__xludf.DUMMYFUNCTION("""COMPUTED_VALUE"""),"Mochi")</f>
        <v>Mochi</v>
      </c>
      <c r="F4911" s="17" t="str">
        <f>IFERROR(__xludf.DUMMYFUNCTION("""COMPUTED_VALUE"""),"Cra. 11 # 39-21, San Diego, Cartagena de Indias, Provincia de Cartagena, Bolívar / Cra. 11 # 39-21, San Diego, Cartagena de Indias, Provincia de Cartagena, Bolívar / Cra. 11 # 39-21, San Diego, Cartagena de Indias, Provincia de Cartagena, Bolívar")</f>
        <v>Cra. 11 # 39-21, San Diego, Cartagena de Indias, Provincia de Cartagena, Bolívar / Cra. 11 # 39-21, San Diego, Cartagena de Indias, Provincia de Cartagena, Bolívar / Cra. 11 # 39-21, San Diego, Cartagena de Indias, Provincia de Cartagena, Bolívar</v>
      </c>
      <c r="G4911" s="15" t="str">
        <f>IFERROR(__xludf.DUMMYFUNCTION("""COMPUTED_VALUE"""),"Maria Camila")</f>
        <v>Maria Camila</v>
      </c>
      <c r="H4911" s="16">
        <f>IFERROR(__xludf.DUMMYFUNCTION("""COMPUTED_VALUE"""),13584.0)</f>
        <v>13584</v>
      </c>
      <c r="I4911" s="18">
        <f>IFERROR(__xludf.DUMMYFUNCTION("""COMPUTED_VALUE"""),100.0)</f>
        <v>100</v>
      </c>
      <c r="J4911" s="18">
        <f>IFERROR(__xludf.DUMMYFUNCTION("""COMPUTED_VALUE"""),100.0)</f>
        <v>100</v>
      </c>
      <c r="K4911" s="18">
        <f>IFERROR(__xludf.DUMMYFUNCTION("""COMPUTED_VALUE"""),200.0)</f>
        <v>200</v>
      </c>
      <c r="L4911" s="17">
        <f>IFERROR(__xludf.DUMMYFUNCTION("""COMPUTED_VALUE"""),3.116026252E9)</f>
        <v>3116026252</v>
      </c>
      <c r="M4911" s="17" t="str">
        <f>IFERROR(__xludf.DUMMYFUNCTION("""COMPUTED_VALUE"""),"#REF!")</f>
        <v>#REF!</v>
      </c>
      <c r="N4911" s="17"/>
      <c r="O4911" s="17"/>
      <c r="P4911" s="17" t="b">
        <f>IFERROR(__xludf.DUMMYFUNCTION("""COMPUTED_VALUE"""),FALSE)</f>
        <v>0</v>
      </c>
      <c r="Q4911" s="20" t="str">
        <f>IFERROR(__xludf.DUMMYFUNCTION("""COMPUTED_VALUE"""),"")</f>
        <v/>
      </c>
      <c r="R4911" s="22" t="str">
        <f>IFERROR(__xludf.DUMMYFUNCTION("""COMPUTED_VALUE"""),"")</f>
        <v/>
      </c>
    </row>
    <row r="4912">
      <c r="A4912" s="15">
        <f>IFERROR(__xludf.DUMMYFUNCTION("""COMPUTED_VALUE"""),45142.0)</f>
        <v>45142</v>
      </c>
      <c r="B4912" s="16" t="str">
        <f>IFERROR(__xludf.DUMMYFUNCTION("""COMPUTED_VALUE"""),"Jeison Rubiano")</f>
        <v>Jeison Rubiano</v>
      </c>
      <c r="C4912" s="15" t="str">
        <f>IFERROR(__xludf.DUMMYFUNCTION("""COMPUTED_VALUE"""),"MONTERIA")</f>
        <v>MONTERIA</v>
      </c>
      <c r="D4912" s="15" t="str">
        <f>IFERROR(__xludf.DUMMYFUNCTION("""COMPUTED_VALUE"""),"MEDELLÍN")</f>
        <v>MEDELLÍN</v>
      </c>
      <c r="E4912" s="15" t="str">
        <f>IFERROR(__xludf.DUMMYFUNCTION("""COMPUTED_VALUE"""),"Helados swip")</f>
        <v>Helados swip</v>
      </c>
      <c r="F4912" s="17" t="str">
        <f>IFERROR(__xludf.DUMMYFUNCTION("""COMPUTED_VALUE"""),"CALLE 44 # 10-91 / CENTRO COMERCIAL ALAMEDAS  / LOCAL 4")</f>
        <v>CALLE 44 # 10-91 / CENTRO COMERCIAL ALAMEDAS  / LOCAL 4</v>
      </c>
      <c r="G4912" s="15" t="str">
        <f>IFERROR(__xludf.DUMMYFUNCTION("""COMPUTED_VALUE"""),"ENJOY FIT MARKET - ALAMEDAS")</f>
        <v>ENJOY FIT MARKET - ALAMEDAS</v>
      </c>
      <c r="H4912" s="16">
        <f>IFERROR(__xludf.DUMMYFUNCTION("""COMPUTED_VALUE"""),13547.0)</f>
        <v>13547</v>
      </c>
      <c r="I4912" s="18">
        <f>IFERROR(__xludf.DUMMYFUNCTION("""COMPUTED_VALUE"""),29.0)</f>
        <v>29</v>
      </c>
      <c r="J4912" s="18">
        <f>IFERROR(__xludf.DUMMYFUNCTION("""COMPUTED_VALUE"""),55.0)</f>
        <v>55</v>
      </c>
      <c r="K4912" s="18">
        <f>IFERROR(__xludf.DUMMYFUNCTION("""COMPUTED_VALUE"""),45.0)</f>
        <v>45</v>
      </c>
      <c r="L4912" s="17">
        <f>IFERROR(__xludf.DUMMYFUNCTION("""COMPUTED_VALUE"""),3.107294683E9)</f>
        <v>3107294683</v>
      </c>
      <c r="M4912" s="17" t="str">
        <f>IFERROR(__xludf.DUMMYFUNCTION("""COMPUTED_VALUE"""),"#REF!")</f>
        <v>#REF!</v>
      </c>
      <c r="N4912" s="17"/>
      <c r="O4912" s="17"/>
      <c r="P4912" s="17" t="b">
        <f>IFERROR(__xludf.DUMMYFUNCTION("""COMPUTED_VALUE"""),FALSE)</f>
        <v>0</v>
      </c>
      <c r="Q4912" s="20" t="str">
        <f>IFERROR(__xludf.DUMMYFUNCTION("""COMPUTED_VALUE"""),"")</f>
        <v/>
      </c>
      <c r="R4912" s="22" t="str">
        <f>IFERROR(__xludf.DUMMYFUNCTION("""COMPUTED_VALUE"""),"")</f>
        <v/>
      </c>
    </row>
    <row r="4913">
      <c r="A4913" s="17" t="str">
        <f>IFERROR(__xludf.DUMMYFUNCTION("""COMPUTED_VALUE"""),"")</f>
        <v/>
      </c>
      <c r="B4913" s="17" t="str">
        <f>IFERROR(__xludf.DUMMYFUNCTION("""COMPUTED_VALUE"""),"")</f>
        <v/>
      </c>
      <c r="C4913" s="17" t="str">
        <f>IFERROR(__xludf.DUMMYFUNCTION("""COMPUTED_VALUE"""),"")</f>
        <v/>
      </c>
      <c r="D4913" s="17" t="str">
        <f>IFERROR(__xludf.DUMMYFUNCTION("""COMPUTED_VALUE"""),"")</f>
        <v/>
      </c>
      <c r="E4913" s="17" t="str">
        <f>IFERROR(__xludf.DUMMYFUNCTION("""COMPUTED_VALUE"""),"")</f>
        <v/>
      </c>
      <c r="F4913" s="17" t="str">
        <f>IFERROR(__xludf.DUMMYFUNCTION("""COMPUTED_VALUE"""),"")</f>
        <v/>
      </c>
      <c r="G4913" s="17" t="str">
        <f>IFERROR(__xludf.DUMMYFUNCTION("""COMPUTED_VALUE"""),"")</f>
        <v/>
      </c>
      <c r="H4913" s="17" t="str">
        <f>IFERROR(__xludf.DUMMYFUNCTION("""COMPUTED_VALUE"""),"")</f>
        <v/>
      </c>
      <c r="I4913" s="17" t="str">
        <f>IFERROR(__xludf.DUMMYFUNCTION("""COMPUTED_VALUE"""),"")</f>
        <v/>
      </c>
      <c r="J4913" s="17" t="str">
        <f>IFERROR(__xludf.DUMMYFUNCTION("""COMPUTED_VALUE"""),"")</f>
        <v/>
      </c>
      <c r="K4913" s="17" t="str">
        <f>IFERROR(__xludf.DUMMYFUNCTION("""COMPUTED_VALUE"""),"")</f>
        <v/>
      </c>
      <c r="L4913" s="17" t="str">
        <f>IFERROR(__xludf.DUMMYFUNCTION("""COMPUTED_VALUE"""),"")</f>
        <v/>
      </c>
      <c r="M4913" s="17" t="str">
        <f>IFERROR(__xludf.DUMMYFUNCTION("""COMPUTED_VALUE"""),"")</f>
        <v/>
      </c>
      <c r="N4913" s="17" t="str">
        <f>IFERROR(__xludf.DUMMYFUNCTION("""COMPUTED_VALUE"""),"")</f>
        <v/>
      </c>
      <c r="O4913" s="17" t="str">
        <f>IFERROR(__xludf.DUMMYFUNCTION("""COMPUTED_VALUE"""),"")</f>
        <v/>
      </c>
      <c r="P4913" s="17" t="str">
        <f>IFERROR(__xludf.DUMMYFUNCTION("""COMPUTED_VALUE"""),"")</f>
        <v/>
      </c>
      <c r="Q4913" s="17" t="str">
        <f>IFERROR(__xludf.DUMMYFUNCTION("""COMPUTED_VALUE"""),"")</f>
        <v/>
      </c>
      <c r="R4913" s="17" t="str">
        <f>IFERROR(__xludf.DUMMYFUNCTION("""COMPUTED_VALUE"""),"")</f>
        <v/>
      </c>
    </row>
    <row r="4914">
      <c r="A4914" s="15">
        <f>IFERROR(__xludf.DUMMYFUNCTION("""COMPUTED_VALUE"""),45142.0)</f>
        <v>45142</v>
      </c>
      <c r="B4914" s="16" t="str">
        <f>IFERROR(__xludf.DUMMYFUNCTION("""COMPUTED_VALUE"""),"Lina Gaona")</f>
        <v>Lina Gaona</v>
      </c>
      <c r="C4914" s="15" t="str">
        <f>IFERROR(__xludf.DUMMYFUNCTION("""COMPUTED_VALUE"""),"CÚCUTA")</f>
        <v>CÚCUTA</v>
      </c>
      <c r="D4914" s="15" t="str">
        <f>IFERROR(__xludf.DUMMYFUNCTION("""COMPUTED_VALUE"""),"BOGOTÁ")</f>
        <v>BOGOTÁ</v>
      </c>
      <c r="E4914" s="15" t="str">
        <f>IFERROR(__xludf.DUMMYFUNCTION("""COMPUTED_VALUE"""),"Evamazzita")</f>
        <v>Evamazzita</v>
      </c>
      <c r="F4914" s="17" t="str">
        <f>IFERROR(__xludf.DUMMYFUNCTION("""COMPUTED_VALUE"""),"AV 2E #15 A 17  / CAOBOS / CAOBOS")</f>
        <v>AV 2E #15 A 17  / CAOBOS / CAOBOS</v>
      </c>
      <c r="G4914" s="15" t="str">
        <f>IFERROR(__xludf.DUMMYFUNCTION("""COMPUTED_VALUE"""),"DAACY KARINA LOPEZ MORENO")</f>
        <v>DAACY KARINA LOPEZ MORENO</v>
      </c>
      <c r="H4914" s="16">
        <f>IFERROR(__xludf.DUMMYFUNCTION("""COMPUTED_VALUE"""),13537.0)</f>
        <v>13537</v>
      </c>
      <c r="I4914" s="18">
        <f>IFERROR(__xludf.DUMMYFUNCTION("""COMPUTED_VALUE"""),9.0)</f>
        <v>9</v>
      </c>
      <c r="J4914" s="18">
        <f>IFERROR(__xludf.DUMMYFUNCTION("""COMPUTED_VALUE"""),30.0)</f>
        <v>30</v>
      </c>
      <c r="K4914" s="18">
        <f>IFERROR(__xludf.DUMMYFUNCTION("""COMPUTED_VALUE"""),38.0)</f>
        <v>38</v>
      </c>
      <c r="L4914" s="17">
        <f>IFERROR(__xludf.DUMMYFUNCTION("""COMPUTED_VALUE"""),3.208615379E9)</f>
        <v>3208615379</v>
      </c>
      <c r="M4914" s="17" t="str">
        <f>IFERROR(__xludf.DUMMYFUNCTION("""COMPUTED_VALUE"""),"#REF!")</f>
        <v>#REF!</v>
      </c>
      <c r="N4914" s="17"/>
      <c r="O4914" s="17"/>
      <c r="P4914" s="17" t="b">
        <f>IFERROR(__xludf.DUMMYFUNCTION("""COMPUTED_VALUE"""),FALSE)</f>
        <v>0</v>
      </c>
      <c r="Q4914" s="20" t="str">
        <f>IFERROR(__xludf.DUMMYFUNCTION("""COMPUTED_VALUE"""),"")</f>
        <v/>
      </c>
      <c r="R4914" s="22" t="str">
        <f>IFERROR(__xludf.DUMMYFUNCTION("""COMPUTED_VALUE"""),"")</f>
        <v/>
      </c>
    </row>
    <row r="4915">
      <c r="A4915" s="15">
        <f>IFERROR(__xludf.DUMMYFUNCTION("""COMPUTED_VALUE"""),45142.0)</f>
        <v>45142</v>
      </c>
      <c r="B4915" s="16" t="str">
        <f>IFERROR(__xludf.DUMMYFUNCTION("""COMPUTED_VALUE"""),"Lina Gaona")</f>
        <v>Lina Gaona</v>
      </c>
      <c r="C4915" s="15" t="str">
        <f>IFERROR(__xludf.DUMMYFUNCTION("""COMPUTED_VALUE"""),"CÚCUTA")</f>
        <v>CÚCUTA</v>
      </c>
      <c r="D4915" s="15" t="str">
        <f>IFERROR(__xludf.DUMMYFUNCTION("""COMPUTED_VALUE"""),"BOGOTÁ")</f>
        <v>BOGOTÁ</v>
      </c>
      <c r="E4915" s="15" t="str">
        <f>IFERROR(__xludf.DUMMYFUNCTION("""COMPUTED_VALUE"""),"Ins. Alimento Vital")</f>
        <v>Ins. Alimento Vital</v>
      </c>
      <c r="F4915" s="17" t="str">
        <f>IFERROR(__xludf.DUMMYFUNCTION("""COMPUTED_VALUE"""),"CONJUNTO CERRADO VILLA CECILIA CASA A 5  / CONJUNTO CERRADO VILLA CECILIA CASA A 5 / VILLA DEL ROSARIO")</f>
        <v>CONJUNTO CERRADO VILLA CECILIA CASA A 5  / CONJUNTO CERRADO VILLA CECILIA CASA A 5 / VILLA DEL ROSARIO</v>
      </c>
      <c r="G4915" s="15" t="str">
        <f>IFERROR(__xludf.DUMMYFUNCTION("""COMPUTED_VALUE"""),"WILLIAM DIAZ PEÑALOZA")</f>
        <v>WILLIAM DIAZ PEÑALOZA</v>
      </c>
      <c r="H4915" s="16">
        <f>IFERROR(__xludf.DUMMYFUNCTION("""COMPUTED_VALUE"""),13520.0)</f>
        <v>13520</v>
      </c>
      <c r="I4915" s="18">
        <f>IFERROR(__xludf.DUMMYFUNCTION("""COMPUTED_VALUE"""),1.0)</f>
        <v>1</v>
      </c>
      <c r="J4915" s="18">
        <f>IFERROR(__xludf.DUMMYFUNCTION("""COMPUTED_VALUE"""),1.0)</f>
        <v>1</v>
      </c>
      <c r="K4915" s="18">
        <f>IFERROR(__xludf.DUMMYFUNCTION("""COMPUTED_VALUE"""),1.0)</f>
        <v>1</v>
      </c>
      <c r="L4915" s="17">
        <f>IFERROR(__xludf.DUMMYFUNCTION("""COMPUTED_VALUE"""),3.222766084E9)</f>
        <v>3222766084</v>
      </c>
      <c r="M4915" s="17" t="str">
        <f>IFERROR(__xludf.DUMMYFUNCTION("""COMPUTED_VALUE"""),"#REF!")</f>
        <v>#REF!</v>
      </c>
      <c r="N4915" s="17"/>
      <c r="O4915" s="17"/>
      <c r="P4915" s="17" t="b">
        <f>IFERROR(__xludf.DUMMYFUNCTION("""COMPUTED_VALUE"""),FALSE)</f>
        <v>0</v>
      </c>
      <c r="Q4915" s="20" t="str">
        <f>IFERROR(__xludf.DUMMYFUNCTION("""COMPUTED_VALUE"""),"")</f>
        <v/>
      </c>
      <c r="R4915" s="22" t="str">
        <f>IFERROR(__xludf.DUMMYFUNCTION("""COMPUTED_VALUE"""),"")</f>
        <v/>
      </c>
    </row>
    <row r="4916">
      <c r="A4916" s="15">
        <f>IFERROR(__xludf.DUMMYFUNCTION("""COMPUTED_VALUE"""),45142.0)</f>
        <v>45142</v>
      </c>
      <c r="B4916" s="16" t="str">
        <f>IFERROR(__xludf.DUMMYFUNCTION("""COMPUTED_VALUE"""),"Lina Gaona")</f>
        <v>Lina Gaona</v>
      </c>
      <c r="C4916" s="15" t="str">
        <f>IFERROR(__xludf.DUMMYFUNCTION("""COMPUTED_VALUE"""),"CÚCUTA")</f>
        <v>CÚCUTA</v>
      </c>
      <c r="D4916" s="15" t="str">
        <f>IFERROR(__xludf.DUMMYFUNCTION("""COMPUTED_VALUE"""),"BOGOTÁ")</f>
        <v>BOGOTÁ</v>
      </c>
      <c r="E4916" s="15" t="str">
        <f>IFERROR(__xludf.DUMMYFUNCTION("""COMPUTED_VALUE"""),"Pan de Waffle")</f>
        <v>Pan de Waffle</v>
      </c>
      <c r="F4916" s="17" t="str">
        <f>IFERROR(__xludf.DUMMYFUNCTION("""COMPUTED_VALUE"""),"Av. 11e # 1 - 35 Av. Guaimaral Barrio Quinta Oriental Local 3 / Av. 11e # 1 - 35 Av. Guaimaral Barrio Quinta Oriental Local 3 / Av. 11e # 1 - 35 Av. Guaimaral Barrio Quinta Oriental Local 3")</f>
        <v>Av. 11e # 1 - 35 Av. Guaimaral Barrio Quinta Oriental Local 3 / Av. 11e # 1 - 35 Av. Guaimaral Barrio Quinta Oriental Local 3 / Av. 11e # 1 - 35 Av. Guaimaral Barrio Quinta Oriental Local 3</v>
      </c>
      <c r="G4916" s="15" t="str">
        <f>IFERROR(__xludf.DUMMYFUNCTION("""COMPUTED_VALUE"""),"VITAL FIT - CUCUTA")</f>
        <v>VITAL FIT - CUCUTA</v>
      </c>
      <c r="H4916" s="16">
        <f>IFERROR(__xludf.DUMMYFUNCTION("""COMPUTED_VALUE"""),13517.0)</f>
        <v>13517</v>
      </c>
      <c r="I4916" s="18">
        <f>IFERROR(__xludf.DUMMYFUNCTION("""COMPUTED_VALUE"""),40.0)</f>
        <v>40</v>
      </c>
      <c r="J4916" s="18">
        <f>IFERROR(__xludf.DUMMYFUNCTION("""COMPUTED_VALUE"""),40.0)</f>
        <v>40</v>
      </c>
      <c r="K4916" s="18">
        <f>IFERROR(__xludf.DUMMYFUNCTION("""COMPUTED_VALUE"""),30.0)</f>
        <v>30</v>
      </c>
      <c r="L4916" s="17">
        <f>IFERROR(__xludf.DUMMYFUNCTION("""COMPUTED_VALUE"""),3.01782078E9)</f>
        <v>3017820780</v>
      </c>
      <c r="M4916" s="17" t="str">
        <f>IFERROR(__xludf.DUMMYFUNCTION("""COMPUTED_VALUE"""),"#REF!")</f>
        <v>#REF!</v>
      </c>
      <c r="N4916" s="17"/>
      <c r="O4916" s="17"/>
      <c r="P4916" s="17" t="b">
        <f>IFERROR(__xludf.DUMMYFUNCTION("""COMPUTED_VALUE"""),TRUE)</f>
        <v>1</v>
      </c>
      <c r="Q4916" s="20">
        <f>IFERROR(__xludf.DUMMYFUNCTION("""COMPUTED_VALUE"""),45148.604710625004)</f>
        <v>45148.60471</v>
      </c>
      <c r="R4916" s="22" t="str">
        <f>IFERROR(__xludf.DUMMYFUNCTION("""COMPUTED_VALUE"""),"")</f>
        <v/>
      </c>
    </row>
    <row r="4917">
      <c r="A4917" s="15">
        <f>IFERROR(__xludf.DUMMYFUNCTION("""COMPUTED_VALUE"""),45142.0)</f>
        <v>45142</v>
      </c>
      <c r="B4917" s="16" t="str">
        <f>IFERROR(__xludf.DUMMYFUNCTION("""COMPUTED_VALUE"""),"Lina Gaona")</f>
        <v>Lina Gaona</v>
      </c>
      <c r="C4917" s="15" t="str">
        <f>IFERROR(__xludf.DUMMYFUNCTION("""COMPUTED_VALUE"""),"CÚCUTA")</f>
        <v>CÚCUTA</v>
      </c>
      <c r="D4917" s="15" t="str">
        <f>IFERROR(__xludf.DUMMYFUNCTION("""COMPUTED_VALUE"""),"MEDELLÍN")</f>
        <v>MEDELLÍN</v>
      </c>
      <c r="E4917" s="15" t="str">
        <f>IFERROR(__xludf.DUMMYFUNCTION("""COMPUTED_VALUE"""),"Baby Chef")</f>
        <v>Baby Chef</v>
      </c>
      <c r="F4917" s="17" t="str">
        <f>IFERROR(__xludf.DUMMYFUNCTION("""COMPUTED_VALUE"""),"av 10 # 56-58 apartamentos munn torre 2 apto 702  Barrio: la floresta ( patios)  / av 10 # 56-58 apartamentos munn torre 2 apto 702  Barrio: la floresta ( patios)  / av 10 # 56-58 apartamentos munn torre 2 apto 702  Barrio: la floresta ( patios)")</f>
        <v>av 10 # 56-58 apartamentos munn torre 2 apto 702  Barrio: la floresta ( patios)  / av 10 # 56-58 apartamentos munn torre 2 apto 702  Barrio: la floresta ( patios)  / av 10 # 56-58 apartamentos munn torre 2 apto 702  Barrio: la floresta ( patios)</v>
      </c>
      <c r="G4917" s="15" t="str">
        <f>IFERROR(__xludf.DUMMYFUNCTION("""COMPUTED_VALUE"""),"Paola Buendia")</f>
        <v>Paola Buendia</v>
      </c>
      <c r="H4917" s="16">
        <f>IFERROR(__xludf.DUMMYFUNCTION("""COMPUTED_VALUE"""),13560.0)</f>
        <v>13560</v>
      </c>
      <c r="I4917" s="18">
        <f>IFERROR(__xludf.DUMMYFUNCTION("""COMPUTED_VALUE"""),4.0)</f>
        <v>4</v>
      </c>
      <c r="J4917" s="18">
        <f>IFERROR(__xludf.DUMMYFUNCTION("""COMPUTED_VALUE"""),23.0)</f>
        <v>23</v>
      </c>
      <c r="K4917" s="18">
        <f>IFERROR(__xludf.DUMMYFUNCTION("""COMPUTED_VALUE"""),15.0)</f>
        <v>15</v>
      </c>
      <c r="L4917" s="17">
        <f>IFERROR(__xludf.DUMMYFUNCTION("""COMPUTED_VALUE"""),3.16832202E9)</f>
        <v>3168322020</v>
      </c>
      <c r="M4917" s="17" t="str">
        <f>IFERROR(__xludf.DUMMYFUNCTION("""COMPUTED_VALUE"""),"#REF!")</f>
        <v>#REF!</v>
      </c>
      <c r="N4917" s="17"/>
      <c r="O4917" s="17"/>
      <c r="P4917" s="17" t="b">
        <f>IFERROR(__xludf.DUMMYFUNCTION("""COMPUTED_VALUE"""),TRUE)</f>
        <v>1</v>
      </c>
      <c r="Q4917" s="20">
        <f>IFERROR(__xludf.DUMMYFUNCTION("""COMPUTED_VALUE"""),45147.511684004625)</f>
        <v>45147.51168</v>
      </c>
      <c r="R4917" s="21" t="str">
        <f>IFERROR(__xludf.DUMMYFUNCTION("""COMPUTED_VALUE"""),"https://drive.google.com/file/d/1RiPcNUJU0kcNcfxnSmso6QBqJJSFuFiZ/view?usp=drivesdk")</f>
        <v>https://drive.google.com/file/d/1RiPcNUJU0kcNcfxnSmso6QBqJJSFuFiZ/view?usp=drivesdk</v>
      </c>
    </row>
    <row r="4918">
      <c r="A4918" s="15">
        <f>IFERROR(__xludf.DUMMYFUNCTION("""COMPUTED_VALUE"""),45142.0)</f>
        <v>45142</v>
      </c>
      <c r="B4918" s="16" t="str">
        <f>IFERROR(__xludf.DUMMYFUNCTION("""COMPUTED_VALUE"""),"Lina Gaona")</f>
        <v>Lina Gaona</v>
      </c>
      <c r="C4918" s="15" t="str">
        <f>IFERROR(__xludf.DUMMYFUNCTION("""COMPUTED_VALUE"""),"CÚCUTA")</f>
        <v>CÚCUTA</v>
      </c>
      <c r="D4918" s="15" t="str">
        <f>IFERROR(__xludf.DUMMYFUNCTION("""COMPUTED_VALUE"""),"MEDELLÍN")</f>
        <v>MEDELLÍN</v>
      </c>
      <c r="E4918" s="15" t="str">
        <f>IFERROR(__xludf.DUMMYFUNCTION("""COMPUTED_VALUE"""),"Baby Chef")</f>
        <v>Baby Chef</v>
      </c>
      <c r="F4918" s="17" t="str">
        <f>IFERROR(__xludf.DUMMYFUNCTION("""COMPUTED_VALUE"""),"Av. 5 Bis # 9-26 Prados del este Conjunto Callejas del Este A, casa B3 / ""Av. 5 Bis # 9-26 Prados del este Conjunto Callejas del Este A, casa B3"" / ""Av. 5 Bis # 9-26 Prados del este Conjunto Callejas del Este A, casa B3""")</f>
        <v>Av. 5 Bis # 9-26 Prados del este Conjunto Callejas del Este A, casa B3 / "Av. 5 Bis # 9-26 Prados del este Conjunto Callejas del Este A, casa B3" / "Av. 5 Bis # 9-26 Prados del este Conjunto Callejas del Este A, casa B3"</v>
      </c>
      <c r="G4918" s="15" t="str">
        <f>IFERROR(__xludf.DUMMYFUNCTION("""COMPUTED_VALUE"""),"Stephany Carreño")</f>
        <v>Stephany Carreño</v>
      </c>
      <c r="H4918" s="16">
        <f>IFERROR(__xludf.DUMMYFUNCTION("""COMPUTED_VALUE"""),13558.0)</f>
        <v>13558</v>
      </c>
      <c r="I4918" s="18">
        <f>IFERROR(__xludf.DUMMYFUNCTION("""COMPUTED_VALUE"""),8.0)</f>
        <v>8</v>
      </c>
      <c r="J4918" s="18">
        <f>IFERROR(__xludf.DUMMYFUNCTION("""COMPUTED_VALUE"""),36.0)</f>
        <v>36</v>
      </c>
      <c r="K4918" s="18">
        <f>IFERROR(__xludf.DUMMYFUNCTION("""COMPUTED_VALUE"""),20.0)</f>
        <v>20</v>
      </c>
      <c r="L4918" s="17">
        <f>IFERROR(__xludf.DUMMYFUNCTION("""COMPUTED_VALUE"""),3.246827585E9)</f>
        <v>3246827585</v>
      </c>
      <c r="M4918" s="17" t="str">
        <f>IFERROR(__xludf.DUMMYFUNCTION("""COMPUTED_VALUE"""),"#REF!")</f>
        <v>#REF!</v>
      </c>
      <c r="N4918" s="17"/>
      <c r="O4918" s="17"/>
      <c r="P4918" s="17" t="b">
        <f>IFERROR(__xludf.DUMMYFUNCTION("""COMPUTED_VALUE"""),TRUE)</f>
        <v>1</v>
      </c>
      <c r="Q4918" s="20">
        <f>IFERROR(__xludf.DUMMYFUNCTION("""COMPUTED_VALUE"""),45147.51168401621)</f>
        <v>45147.51168</v>
      </c>
      <c r="R4918" s="21" t="str">
        <f>IFERROR(__xludf.DUMMYFUNCTION("""COMPUTED_VALUE"""),"https://drive.google.com/file/d/1xvrIQpdWeDvVJghIucIK4ijKifRw3gVF/view?usp=drivesdk")</f>
        <v>https://drive.google.com/file/d/1xvrIQpdWeDvVJghIucIK4ijKifRw3gVF/view?usp=drivesdk</v>
      </c>
    </row>
    <row r="4919">
      <c r="A4919" s="15">
        <f>IFERROR(__xludf.DUMMYFUNCTION("""COMPUTED_VALUE"""),45142.0)</f>
        <v>45142</v>
      </c>
      <c r="B4919" s="16" t="str">
        <f>IFERROR(__xludf.DUMMYFUNCTION("""COMPUTED_VALUE"""),"Lina Gaona")</f>
        <v>Lina Gaona</v>
      </c>
      <c r="C4919" s="15" t="str">
        <f>IFERROR(__xludf.DUMMYFUNCTION("""COMPUTED_VALUE"""),"CÚCUTA")</f>
        <v>CÚCUTA</v>
      </c>
      <c r="D4919" s="15" t="str">
        <f>IFERROR(__xludf.DUMMYFUNCTION("""COMPUTED_VALUE"""),"MEDELLÍN")</f>
        <v>MEDELLÍN</v>
      </c>
      <c r="E4919" s="15" t="str">
        <f>IFERROR(__xludf.DUMMYFUNCTION("""COMPUTED_VALUE"""),"Baby Chef")</f>
        <v>Baby Chef</v>
      </c>
      <c r="F4919" s="17" t="str">
        <f>IFERROR(__xludf.DUMMYFUNCTION("""COMPUTED_VALUE"""),"Clle 8CN #3A 70 El Bosque / Clle 8CN #3A 70 El Bosque / Clle 8CN #3A 70 El Bosque")</f>
        <v>Clle 8CN #3A 70 El Bosque / Clle 8CN #3A 70 El Bosque / Clle 8CN #3A 70 El Bosque</v>
      </c>
      <c r="G4919" s="15" t="str">
        <f>IFERROR(__xludf.DUMMYFUNCTION("""COMPUTED_VALUE"""),"Andrea Chacón")</f>
        <v>Andrea Chacón</v>
      </c>
      <c r="H4919" s="16">
        <f>IFERROR(__xludf.DUMMYFUNCTION("""COMPUTED_VALUE"""),13559.0)</f>
        <v>13559</v>
      </c>
      <c r="I4919" s="18">
        <f>IFERROR(__xludf.DUMMYFUNCTION("""COMPUTED_VALUE"""),8.0)</f>
        <v>8</v>
      </c>
      <c r="J4919" s="18">
        <f>IFERROR(__xludf.DUMMYFUNCTION("""COMPUTED_VALUE"""),38.0)</f>
        <v>38</v>
      </c>
      <c r="K4919" s="18">
        <f>IFERROR(__xludf.DUMMYFUNCTION("""COMPUTED_VALUE"""),21.0)</f>
        <v>21</v>
      </c>
      <c r="L4919" s="17">
        <f>IFERROR(__xludf.DUMMYFUNCTION("""COMPUTED_VALUE"""),3.208276325E9)</f>
        <v>3208276325</v>
      </c>
      <c r="M4919" s="17" t="str">
        <f>IFERROR(__xludf.DUMMYFUNCTION("""COMPUTED_VALUE"""),"#REF!")</f>
        <v>#REF!</v>
      </c>
      <c r="N4919" s="17"/>
      <c r="O4919" s="17"/>
      <c r="P4919" s="17" t="b">
        <f>IFERROR(__xludf.DUMMYFUNCTION("""COMPUTED_VALUE"""),TRUE)</f>
        <v>1</v>
      </c>
      <c r="Q4919" s="20">
        <f>IFERROR(__xludf.DUMMYFUNCTION("""COMPUTED_VALUE"""),45147.51168401621)</f>
        <v>45147.51168</v>
      </c>
      <c r="R4919" s="21" t="str">
        <f>IFERROR(__xludf.DUMMYFUNCTION("""COMPUTED_VALUE"""),"https://drive.google.com/file/d/13ldLGylzb34bx_fsGG_SGr6rXny1HIcn/view?usp=drivesdk")</f>
        <v>https://drive.google.com/file/d/13ldLGylzb34bx_fsGG_SGr6rXny1HIcn/view?usp=drivesdk</v>
      </c>
    </row>
    <row r="4920">
      <c r="A4920" s="15">
        <f>IFERROR(__xludf.DUMMYFUNCTION("""COMPUTED_VALUE"""),45142.0)</f>
        <v>45142</v>
      </c>
      <c r="B4920" s="16" t="str">
        <f>IFERROR(__xludf.DUMMYFUNCTION("""COMPUTED_VALUE"""),"Lina Gaona")</f>
        <v>Lina Gaona</v>
      </c>
      <c r="C4920" s="15" t="str">
        <f>IFERROR(__xludf.DUMMYFUNCTION("""COMPUTED_VALUE"""),"SANTA MARTA")</f>
        <v>SANTA MARTA</v>
      </c>
      <c r="D4920" s="15" t="str">
        <f>IFERROR(__xludf.DUMMYFUNCTION("""COMPUTED_VALUE"""),"MEDELLÍN")</f>
        <v>MEDELLÍN</v>
      </c>
      <c r="E4920" s="15" t="str">
        <f>IFERROR(__xludf.DUMMYFUNCTION("""COMPUTED_VALUE"""),"Terravocado")</f>
        <v>Terravocado</v>
      </c>
      <c r="F4920" s="17" t="str">
        <f>IFERROR(__xludf.DUMMYFUNCTION("""COMPUTED_VALUE"""),"CLL 18 # 4 - 05  / CENTRO  / CENTRO")</f>
        <v>CLL 18 # 4 - 05  / CENTRO  / CENTRO</v>
      </c>
      <c r="G4920" s="15" t="str">
        <f>IFERROR(__xludf.DUMMYFUNCTION("""COMPUTED_VALUE"""),"GOOD FEAST SAS")</f>
        <v>GOOD FEAST SAS</v>
      </c>
      <c r="H4920" s="16">
        <f>IFERROR(__xludf.DUMMYFUNCTION("""COMPUTED_VALUE"""),13523.0)</f>
        <v>13523</v>
      </c>
      <c r="I4920" s="18">
        <f>IFERROR(__xludf.DUMMYFUNCTION("""COMPUTED_VALUE"""),20.0)</f>
        <v>20</v>
      </c>
      <c r="J4920" s="18">
        <f>IFERROR(__xludf.DUMMYFUNCTION("""COMPUTED_VALUE"""),24.0)</f>
        <v>24</v>
      </c>
      <c r="K4920" s="18">
        <f>IFERROR(__xludf.DUMMYFUNCTION("""COMPUTED_VALUE"""),34.0)</f>
        <v>34</v>
      </c>
      <c r="L4920" s="17">
        <f>IFERROR(__xludf.DUMMYFUNCTION("""COMPUTED_VALUE"""),3.13672152E9)</f>
        <v>3136721520</v>
      </c>
      <c r="M4920" s="17" t="str">
        <f>IFERROR(__xludf.DUMMYFUNCTION("""COMPUTED_VALUE"""),"#REF!")</f>
        <v>#REF!</v>
      </c>
      <c r="N4920" s="17"/>
      <c r="O4920" s="17"/>
      <c r="P4920" s="17" t="b">
        <f>IFERROR(__xludf.DUMMYFUNCTION("""COMPUTED_VALUE"""),FALSE)</f>
        <v>0</v>
      </c>
      <c r="Q4920" s="20" t="str">
        <f>IFERROR(__xludf.DUMMYFUNCTION("""COMPUTED_VALUE"""),"")</f>
        <v/>
      </c>
      <c r="R4920" s="22" t="str">
        <f>IFERROR(__xludf.DUMMYFUNCTION("""COMPUTED_VALUE"""),"")</f>
        <v/>
      </c>
    </row>
    <row r="4921">
      <c r="A4921" s="15">
        <f>IFERROR(__xludf.DUMMYFUNCTION("""COMPUTED_VALUE"""),45142.0)</f>
        <v>45142</v>
      </c>
      <c r="B4921" s="16" t="str">
        <f>IFERROR(__xludf.DUMMYFUNCTION("""COMPUTED_VALUE"""),"Lina Gaona")</f>
        <v>Lina Gaona</v>
      </c>
      <c r="C4921" s="15" t="str">
        <f>IFERROR(__xludf.DUMMYFUNCTION("""COMPUTED_VALUE"""),"VILLAVICENCIO")</f>
        <v>VILLAVICENCIO</v>
      </c>
      <c r="D4921" s="15" t="str">
        <f>IFERROR(__xludf.DUMMYFUNCTION("""COMPUTED_VALUE"""),"MEDELLÍN")</f>
        <v>MEDELLÍN</v>
      </c>
      <c r="E4921" s="15" t="str">
        <f>IFERROR(__xludf.DUMMYFUNCTION("""COMPUTED_VALUE"""),"Helados swip")</f>
        <v>Helados swip</v>
      </c>
      <c r="F4921" s="17" t="str">
        <f>IFERROR(__xludf.DUMMYFUNCTION("""COMPUTED_VALUE"""),"CALLE 15# 44 D 28  / ED. PALOS DE CAÑA / LOCAL 1")</f>
        <v>CALLE 15# 44 D 28  / ED. PALOS DE CAÑA / LOCAL 1</v>
      </c>
      <c r="G4921" s="15" t="str">
        <f>IFERROR(__xludf.DUMMYFUNCTION("""COMPUTED_VALUE"""),"SANA TENTACION")</f>
        <v>SANA TENTACION</v>
      </c>
      <c r="H4921" s="16">
        <f>IFERROR(__xludf.DUMMYFUNCTION("""COMPUTED_VALUE"""),13546.0)</f>
        <v>13546</v>
      </c>
      <c r="I4921" s="18">
        <f>IFERROR(__xludf.DUMMYFUNCTION("""COMPUTED_VALUE"""),29.0)</f>
        <v>29</v>
      </c>
      <c r="J4921" s="18">
        <f>IFERROR(__xludf.DUMMYFUNCTION("""COMPUTED_VALUE"""),55.0)</f>
        <v>55</v>
      </c>
      <c r="K4921" s="18">
        <f>IFERROR(__xludf.DUMMYFUNCTION("""COMPUTED_VALUE"""),45.0)</f>
        <v>45</v>
      </c>
      <c r="L4921" s="17">
        <f>IFERROR(__xludf.DUMMYFUNCTION("""COMPUTED_VALUE"""),3.008383044E9)</f>
        <v>3008383044</v>
      </c>
      <c r="M4921" s="17" t="str">
        <f>IFERROR(__xludf.DUMMYFUNCTION("""COMPUTED_VALUE"""),"#REF!")</f>
        <v>#REF!</v>
      </c>
      <c r="N4921" s="17"/>
      <c r="O4921" s="17"/>
      <c r="P4921" s="17" t="b">
        <f>IFERROR(__xludf.DUMMYFUNCTION("""COMPUTED_VALUE"""),TRUE)</f>
        <v>1</v>
      </c>
      <c r="Q4921" s="20">
        <f>IFERROR(__xludf.DUMMYFUNCTION("""COMPUTED_VALUE"""),45147.79824975695)</f>
        <v>45147.79825</v>
      </c>
      <c r="R4921" s="22" t="str">
        <f>IFERROR(__xludf.DUMMYFUNCTION("""COMPUTED_VALUE"""),"")</f>
        <v/>
      </c>
    </row>
    <row r="4922">
      <c r="A4922" s="17" t="str">
        <f>IFERROR(__xludf.DUMMYFUNCTION("""COMPUTED_VALUE"""),"")</f>
        <v/>
      </c>
      <c r="B4922" s="17" t="str">
        <f>IFERROR(__xludf.DUMMYFUNCTION("""COMPUTED_VALUE"""),"")</f>
        <v/>
      </c>
      <c r="C4922" s="17" t="str">
        <f>IFERROR(__xludf.DUMMYFUNCTION("""COMPUTED_VALUE"""),"")</f>
        <v/>
      </c>
      <c r="D4922" s="17" t="str">
        <f>IFERROR(__xludf.DUMMYFUNCTION("""COMPUTED_VALUE"""),"")</f>
        <v/>
      </c>
      <c r="E4922" s="17" t="str">
        <f>IFERROR(__xludf.DUMMYFUNCTION("""COMPUTED_VALUE"""),"")</f>
        <v/>
      </c>
      <c r="F4922" s="17" t="str">
        <f>IFERROR(__xludf.DUMMYFUNCTION("""COMPUTED_VALUE"""),"")</f>
        <v/>
      </c>
      <c r="G4922" s="17" t="str">
        <f>IFERROR(__xludf.DUMMYFUNCTION("""COMPUTED_VALUE"""),"")</f>
        <v/>
      </c>
      <c r="H4922" s="17" t="str">
        <f>IFERROR(__xludf.DUMMYFUNCTION("""COMPUTED_VALUE"""),"")</f>
        <v/>
      </c>
      <c r="I4922" s="17" t="str">
        <f>IFERROR(__xludf.DUMMYFUNCTION("""COMPUTED_VALUE"""),"")</f>
        <v/>
      </c>
      <c r="J4922" s="17" t="str">
        <f>IFERROR(__xludf.DUMMYFUNCTION("""COMPUTED_VALUE"""),"")</f>
        <v/>
      </c>
      <c r="K4922" s="17" t="str">
        <f>IFERROR(__xludf.DUMMYFUNCTION("""COMPUTED_VALUE"""),"")</f>
        <v/>
      </c>
      <c r="L4922" s="17" t="str">
        <f>IFERROR(__xludf.DUMMYFUNCTION("""COMPUTED_VALUE"""),"")</f>
        <v/>
      </c>
      <c r="M4922" s="17" t="str">
        <f>IFERROR(__xludf.DUMMYFUNCTION("""COMPUTED_VALUE"""),"")</f>
        <v/>
      </c>
      <c r="N4922" s="17" t="str">
        <f>IFERROR(__xludf.DUMMYFUNCTION("""COMPUTED_VALUE"""),"")</f>
        <v/>
      </c>
      <c r="O4922" s="17" t="str">
        <f>IFERROR(__xludf.DUMMYFUNCTION("""COMPUTED_VALUE"""),"")</f>
        <v/>
      </c>
      <c r="P4922" s="17" t="str">
        <f>IFERROR(__xludf.DUMMYFUNCTION("""COMPUTED_VALUE"""),"")</f>
        <v/>
      </c>
      <c r="Q4922" s="17" t="str">
        <f>IFERROR(__xludf.DUMMYFUNCTION("""COMPUTED_VALUE"""),"")</f>
        <v/>
      </c>
      <c r="R4922" s="17" t="str">
        <f>IFERROR(__xludf.DUMMYFUNCTION("""COMPUTED_VALUE"""),"")</f>
        <v/>
      </c>
    </row>
    <row r="4923">
      <c r="A4923" s="15">
        <f>IFERROR(__xludf.DUMMYFUNCTION("""COMPUTED_VALUE"""),45142.0)</f>
        <v>45142</v>
      </c>
      <c r="B4923" s="16" t="str">
        <f>IFERROR(__xludf.DUMMYFUNCTION("""COMPUTED_VALUE"""),"Santiago Garces Restrepo")</f>
        <v>Santiago Garces Restrepo</v>
      </c>
      <c r="C4923" s="15" t="str">
        <f>IFERROR(__xludf.DUMMYFUNCTION("""COMPUTED_VALUE"""),"MEDELLÍN")</f>
        <v>MEDELLÍN</v>
      </c>
      <c r="D4923" s="15" t="str">
        <f>IFERROR(__xludf.DUMMYFUNCTION("""COMPUTED_VALUE"""),"BOGOTÁ")</f>
        <v>BOGOTÁ</v>
      </c>
      <c r="E4923" s="15" t="str">
        <f>IFERROR(__xludf.DUMMYFUNCTION("""COMPUTED_VALUE"""),"Ins. Alimento Vital")</f>
        <v>Ins. Alimento Vital</v>
      </c>
      <c r="F4923" s="17" t="str">
        <f>IFERROR(__xludf.DUMMYFUNCTION("""COMPUTED_VALUE"""),"Cra 44 No. 26 - 27 /  /")</f>
        <v>Cra 44 No. 26 - 27 /  /</v>
      </c>
      <c r="G4923" s="15" t="str">
        <f>IFERROR(__xludf.DUMMYFUNCTION("""COMPUTED_VALUE"""),"VELOCITY (Nueva Bodega)")</f>
        <v>VELOCITY (Nueva Bodega)</v>
      </c>
      <c r="H4923" s="16">
        <f>IFERROR(__xludf.DUMMYFUNCTION("""COMPUTED_VALUE"""),13573.0)</f>
        <v>13573</v>
      </c>
      <c r="I4923" s="18">
        <f>IFERROR(__xludf.DUMMYFUNCTION("""COMPUTED_VALUE"""),1.0)</f>
        <v>1</v>
      </c>
      <c r="J4923" s="18">
        <f>IFERROR(__xludf.DUMMYFUNCTION("""COMPUTED_VALUE"""),1.0)</f>
        <v>1</v>
      </c>
      <c r="K4923" s="18">
        <f>IFERROR(__xludf.DUMMYFUNCTION("""COMPUTED_VALUE"""),1.0)</f>
        <v>1</v>
      </c>
      <c r="L4923" s="17">
        <f>IFERROR(__xludf.DUMMYFUNCTION("""COMPUTED_VALUE"""),3.239674555E9)</f>
        <v>3239674555</v>
      </c>
      <c r="M4923" s="17" t="str">
        <f>IFERROR(__xludf.DUMMYFUNCTION("""COMPUTED_VALUE"""),"#REF!")</f>
        <v>#REF!</v>
      </c>
      <c r="N4923" s="17"/>
      <c r="O4923" s="17"/>
      <c r="P4923" s="17" t="b">
        <f>IFERROR(__xludf.DUMMYFUNCTION("""COMPUTED_VALUE"""),TRUE)</f>
        <v>1</v>
      </c>
      <c r="Q4923" s="20">
        <f>IFERROR(__xludf.DUMMYFUNCTION("""COMPUTED_VALUE"""),45147.800198067125)</f>
        <v>45147.8002</v>
      </c>
      <c r="R4923" s="21" t="str">
        <f>IFERROR(__xludf.DUMMYFUNCTION("""COMPUTED_VALUE"""),"https://drive.google.com/file/d/1b5Pjw5sSce29igsgYCm7DE952S159dTB/view?usp=drivesdk")</f>
        <v>https://drive.google.com/file/d/1b5Pjw5sSce29igsgYCm7DE952S159dTB/view?usp=drivesdk</v>
      </c>
    </row>
    <row r="4924">
      <c r="A4924" s="17" t="str">
        <f>IFERROR(__xludf.DUMMYFUNCTION("""COMPUTED_VALUE"""),"")</f>
        <v/>
      </c>
      <c r="B4924" s="17" t="str">
        <f>IFERROR(__xludf.DUMMYFUNCTION("""COMPUTED_VALUE"""),"")</f>
        <v/>
      </c>
      <c r="C4924" s="17" t="str">
        <f>IFERROR(__xludf.DUMMYFUNCTION("""COMPUTED_VALUE"""),"")</f>
        <v/>
      </c>
      <c r="D4924" s="17" t="str">
        <f>IFERROR(__xludf.DUMMYFUNCTION("""COMPUTED_VALUE"""),"")</f>
        <v/>
      </c>
      <c r="E4924" s="17" t="str">
        <f>IFERROR(__xludf.DUMMYFUNCTION("""COMPUTED_VALUE"""),"")</f>
        <v/>
      </c>
      <c r="F4924" s="17" t="str">
        <f>IFERROR(__xludf.DUMMYFUNCTION("""COMPUTED_VALUE"""),"")</f>
        <v/>
      </c>
      <c r="G4924" s="17" t="str">
        <f>IFERROR(__xludf.DUMMYFUNCTION("""COMPUTED_VALUE"""),"")</f>
        <v/>
      </c>
      <c r="H4924" s="17" t="str">
        <f>IFERROR(__xludf.DUMMYFUNCTION("""COMPUTED_VALUE"""),"")</f>
        <v/>
      </c>
      <c r="I4924" s="17" t="str">
        <f>IFERROR(__xludf.DUMMYFUNCTION("""COMPUTED_VALUE"""),"")</f>
        <v/>
      </c>
      <c r="J4924" s="17" t="str">
        <f>IFERROR(__xludf.DUMMYFUNCTION("""COMPUTED_VALUE"""),"")</f>
        <v/>
      </c>
      <c r="K4924" s="17" t="str">
        <f>IFERROR(__xludf.DUMMYFUNCTION("""COMPUTED_VALUE"""),"")</f>
        <v/>
      </c>
      <c r="L4924" s="17" t="str">
        <f>IFERROR(__xludf.DUMMYFUNCTION("""COMPUTED_VALUE"""),"")</f>
        <v/>
      </c>
      <c r="M4924" s="17" t="str">
        <f>IFERROR(__xludf.DUMMYFUNCTION("""COMPUTED_VALUE"""),"")</f>
        <v/>
      </c>
      <c r="N4924" s="17" t="str">
        <f>IFERROR(__xludf.DUMMYFUNCTION("""COMPUTED_VALUE"""),"")</f>
        <v/>
      </c>
      <c r="O4924" s="17" t="str">
        <f>IFERROR(__xludf.DUMMYFUNCTION("""COMPUTED_VALUE"""),"")</f>
        <v/>
      </c>
      <c r="P4924" s="17" t="str">
        <f>IFERROR(__xludf.DUMMYFUNCTION("""COMPUTED_VALUE"""),"")</f>
        <v/>
      </c>
      <c r="Q4924" s="17" t="str">
        <f>IFERROR(__xludf.DUMMYFUNCTION("""COMPUTED_VALUE"""),"")</f>
        <v/>
      </c>
      <c r="R4924" s="17" t="str">
        <f>IFERROR(__xludf.DUMMYFUNCTION("""COMPUTED_VALUE"""),"")</f>
        <v/>
      </c>
    </row>
    <row r="4925">
      <c r="A4925" s="15">
        <f>IFERROR(__xludf.DUMMYFUNCTION("""COMPUTED_VALUE"""),45143.0)</f>
        <v>45143</v>
      </c>
      <c r="B4925" s="16" t="str">
        <f>IFERROR(__xludf.DUMMYFUNCTION("""COMPUTED_VALUE"""),"Envia")</f>
        <v>Envia</v>
      </c>
      <c r="C4925" s="15" t="str">
        <f>IFERROR(__xludf.DUMMYFUNCTION("""COMPUTED_VALUE"""),"CÚCUTA")</f>
        <v>CÚCUTA</v>
      </c>
      <c r="D4925" s="15" t="str">
        <f>IFERROR(__xludf.DUMMYFUNCTION("""COMPUTED_VALUE"""),"MEDELLÍN")</f>
        <v>MEDELLÍN</v>
      </c>
      <c r="E4925" s="15" t="str">
        <f>IFERROR(__xludf.DUMMYFUNCTION("""COMPUTED_VALUE"""),"Momo Tea S.A.S Gabriel Echavarría")</f>
        <v>Momo Tea S.A.S Gabriel Echavarría</v>
      </c>
      <c r="F4925" s="17" t="str">
        <f>IFERROR(__xludf.DUMMYFUNCTION("""COMPUTED_VALUE"""),"CL 11 N 16 E 35 / CA B 1")</f>
        <v>CL 11 N 16 E 35 / CA B 1</v>
      </c>
      <c r="G4925" s="15" t="str">
        <f>IFERROR(__xludf.DUMMYFUNCTION("""COMPUTED_VALUE"""),"Gabriel Echavarría")</f>
        <v>Gabriel Echavarría</v>
      </c>
      <c r="H4925" s="16">
        <f>IFERROR(__xludf.DUMMYFUNCTION("""COMPUTED_VALUE"""),13548.0)</f>
        <v>13548</v>
      </c>
      <c r="I4925" s="18">
        <f>IFERROR(__xludf.DUMMYFUNCTION("""COMPUTED_VALUE"""),21.0)</f>
        <v>21</v>
      </c>
      <c r="J4925" s="18">
        <f>IFERROR(__xludf.DUMMYFUNCTION("""COMPUTED_VALUE"""),29.0)</f>
        <v>29</v>
      </c>
      <c r="K4925" s="18">
        <f>IFERROR(__xludf.DUMMYFUNCTION("""COMPUTED_VALUE"""),29.0)</f>
        <v>29</v>
      </c>
      <c r="L4925" s="17">
        <f>IFERROR(__xludf.DUMMYFUNCTION("""COMPUTED_VALUE"""),3.017909548E9)</f>
        <v>3017909548</v>
      </c>
      <c r="M4925" s="17" t="str">
        <f>IFERROR(__xludf.DUMMYFUNCTION("""COMPUTED_VALUE"""),"#REF!")</f>
        <v>#REF!</v>
      </c>
      <c r="N4925" s="17"/>
      <c r="O4925" s="17"/>
      <c r="P4925" s="17" t="b">
        <f>IFERROR(__xludf.DUMMYFUNCTION("""COMPUTED_VALUE"""),TRUE)</f>
        <v>1</v>
      </c>
      <c r="Q4925" s="20">
        <f>IFERROR(__xludf.DUMMYFUNCTION("""COMPUTED_VALUE"""),45147.697957349534)</f>
        <v>45147.69796</v>
      </c>
      <c r="R4925" s="22" t="str">
        <f>IFERROR(__xludf.DUMMYFUNCTION("""COMPUTED_VALUE"""),"")</f>
        <v/>
      </c>
    </row>
    <row r="4926">
      <c r="A4926" s="17" t="str">
        <f>IFERROR(__xludf.DUMMYFUNCTION("""COMPUTED_VALUE"""),"")</f>
        <v/>
      </c>
      <c r="B4926" s="17" t="str">
        <f>IFERROR(__xludf.DUMMYFUNCTION("""COMPUTED_VALUE"""),"")</f>
        <v/>
      </c>
      <c r="C4926" s="17" t="str">
        <f>IFERROR(__xludf.DUMMYFUNCTION("""COMPUTED_VALUE"""),"")</f>
        <v/>
      </c>
      <c r="D4926" s="17" t="str">
        <f>IFERROR(__xludf.DUMMYFUNCTION("""COMPUTED_VALUE"""),"")</f>
        <v/>
      </c>
      <c r="E4926" s="17" t="str">
        <f>IFERROR(__xludf.DUMMYFUNCTION("""COMPUTED_VALUE"""),"")</f>
        <v/>
      </c>
      <c r="F4926" s="17" t="str">
        <f>IFERROR(__xludf.DUMMYFUNCTION("""COMPUTED_VALUE"""),"")</f>
        <v/>
      </c>
      <c r="G4926" s="17" t="str">
        <f>IFERROR(__xludf.DUMMYFUNCTION("""COMPUTED_VALUE"""),"")</f>
        <v/>
      </c>
      <c r="H4926" s="17" t="str">
        <f>IFERROR(__xludf.DUMMYFUNCTION("""COMPUTED_VALUE"""),"")</f>
        <v/>
      </c>
      <c r="I4926" s="17" t="str">
        <f>IFERROR(__xludf.DUMMYFUNCTION("""COMPUTED_VALUE"""),"")</f>
        <v/>
      </c>
      <c r="J4926" s="17" t="str">
        <f>IFERROR(__xludf.DUMMYFUNCTION("""COMPUTED_VALUE"""),"")</f>
        <v/>
      </c>
      <c r="K4926" s="17" t="str">
        <f>IFERROR(__xludf.DUMMYFUNCTION("""COMPUTED_VALUE"""),"")</f>
        <v/>
      </c>
      <c r="L4926" s="17" t="str">
        <f>IFERROR(__xludf.DUMMYFUNCTION("""COMPUTED_VALUE"""),"")</f>
        <v/>
      </c>
      <c r="M4926" s="17" t="str">
        <f>IFERROR(__xludf.DUMMYFUNCTION("""COMPUTED_VALUE"""),"")</f>
        <v/>
      </c>
      <c r="N4926" s="17" t="str">
        <f>IFERROR(__xludf.DUMMYFUNCTION("""COMPUTED_VALUE"""),"")</f>
        <v/>
      </c>
      <c r="O4926" s="17" t="str">
        <f>IFERROR(__xludf.DUMMYFUNCTION("""COMPUTED_VALUE"""),"")</f>
        <v/>
      </c>
      <c r="P4926" s="17" t="str">
        <f>IFERROR(__xludf.DUMMYFUNCTION("""COMPUTED_VALUE"""),"")</f>
        <v/>
      </c>
      <c r="Q4926" s="17" t="str">
        <f>IFERROR(__xludf.DUMMYFUNCTION("""COMPUTED_VALUE"""),"")</f>
        <v/>
      </c>
      <c r="R4926" s="17" t="str">
        <f>IFERROR(__xludf.DUMMYFUNCTION("""COMPUTED_VALUE"""),"")</f>
        <v/>
      </c>
    </row>
    <row r="4927">
      <c r="A4927" s="15">
        <f>IFERROR(__xludf.DUMMYFUNCTION("""COMPUTED_VALUE"""),45147.0)</f>
        <v>45147</v>
      </c>
      <c r="B4927" s="17"/>
      <c r="C4927" s="15" t="str">
        <f>IFERROR(__xludf.DUMMYFUNCTION("""COMPUTED_VALUE"""),"PALMIRA")</f>
        <v>PALMIRA</v>
      </c>
      <c r="D4927" s="15" t="str">
        <f>IFERROR(__xludf.DUMMYFUNCTION("""COMPUTED_VALUE"""),"BOGOTÁ")</f>
        <v>BOGOTÁ</v>
      </c>
      <c r="E4927" s="15" t="str">
        <f>IFERROR(__xludf.DUMMYFUNCTION("""COMPUTED_VALUE"""),"Evamazzita")</f>
        <v>Evamazzita</v>
      </c>
      <c r="F4927" s="17" t="str">
        <f>IFERROR(__xludf.DUMMYFUNCTION("""COMPUTED_VALUE"""),"Cll 21 # 26 49 / BARRIO EL RECREO / BARRIO EL RECREO")</f>
        <v>Cll 21 # 26 49 / BARRIO EL RECREO / BARRIO EL RECREO</v>
      </c>
      <c r="G4927" s="15" t="str">
        <f>IFERROR(__xludf.DUMMYFUNCTION("""COMPUTED_VALUE"""),"DANIELA BELALCAZAR")</f>
        <v>DANIELA BELALCAZAR</v>
      </c>
      <c r="H4927" s="16">
        <f>IFERROR(__xludf.DUMMYFUNCTION("""COMPUTED_VALUE"""),13739.0)</f>
        <v>13739</v>
      </c>
      <c r="I4927" s="18">
        <f>IFERROR(__xludf.DUMMYFUNCTION("""COMPUTED_VALUE"""),1.0)</f>
        <v>1</v>
      </c>
      <c r="J4927" s="18">
        <f>IFERROR(__xludf.DUMMYFUNCTION("""COMPUTED_VALUE"""),1.0)</f>
        <v>1</v>
      </c>
      <c r="K4927" s="18">
        <f>IFERROR(__xludf.DUMMYFUNCTION("""COMPUTED_VALUE"""),1.0)</f>
        <v>1</v>
      </c>
      <c r="L4927" s="17">
        <f>IFERROR(__xludf.DUMMYFUNCTION("""COMPUTED_VALUE"""),3.152916394E9)</f>
        <v>3152916394</v>
      </c>
      <c r="M4927" s="17" t="str">
        <f>IFERROR(__xludf.DUMMYFUNCTION("""COMPUTED_VALUE"""),"#REF!")</f>
        <v>#REF!</v>
      </c>
      <c r="N4927" s="17"/>
      <c r="O4927" s="17"/>
      <c r="P4927" s="17" t="b">
        <f>IFERROR(__xludf.DUMMYFUNCTION("""COMPUTED_VALUE"""),TRUE)</f>
        <v>1</v>
      </c>
      <c r="Q4927" s="20">
        <f>IFERROR(__xludf.DUMMYFUNCTION("""COMPUTED_VALUE"""),45147.697957349534)</f>
        <v>45147.69796</v>
      </c>
      <c r="R4927" s="21" t="str">
        <f>IFERROR(__xludf.DUMMYFUNCTION("""COMPUTED_VALUE"""),"https://drive.google.com/file/d/13KECynzU6kEuyD7egBSYvKfkQcxMbfB-/view?usp=drivesdk")</f>
        <v>https://drive.google.com/file/d/13KECynzU6kEuyD7egBSYvKfkQcxMbfB-/view?usp=drivesdk</v>
      </c>
    </row>
    <row r="4928">
      <c r="A4928" s="15">
        <f>IFERROR(__xludf.DUMMYFUNCTION("""COMPUTED_VALUE"""),45147.0)</f>
        <v>45147</v>
      </c>
      <c r="B4928" s="17"/>
      <c r="C4928" s="15" t="str">
        <f>IFERROR(__xludf.DUMMYFUNCTION("""COMPUTED_VALUE"""),"TUNJA")</f>
        <v>TUNJA</v>
      </c>
      <c r="D4928" s="15" t="str">
        <f>IFERROR(__xludf.DUMMYFUNCTION("""COMPUTED_VALUE"""),"MEDELLÍN")</f>
        <v>MEDELLÍN</v>
      </c>
      <c r="E4928" s="15" t="str">
        <f>IFERROR(__xludf.DUMMYFUNCTION("""COMPUTED_VALUE"""),"Baby Chef")</f>
        <v>Baby Chef</v>
      </c>
      <c r="F4928" s="17" t="str">
        <f>IFERROR(__xludf.DUMMYFUNCTION("""COMPUTED_VALUE"""),"Calle 28A # 7-47  Barrio: urbanización San Juan  / ""Calle 28A # 7-47  Barrio: urbanización San Juan "" / ""Calle 28A # 7-47  Barrio: urbanización San Juan """)</f>
        <v>Calle 28A # 7-47  Barrio: urbanización San Juan  / "Calle 28A # 7-47  Barrio: urbanización San Juan " / "Calle 28A # 7-47  Barrio: urbanización San Juan "</v>
      </c>
      <c r="G4928" s="15" t="str">
        <f>IFERROR(__xludf.DUMMYFUNCTION("""COMPUTED_VALUE"""),"Xiomara Tovar")</f>
        <v>Xiomara Tovar</v>
      </c>
      <c r="H4928" s="16">
        <f>IFERROR(__xludf.DUMMYFUNCTION("""COMPUTED_VALUE"""),13595.0)</f>
        <v>13595</v>
      </c>
      <c r="I4928" s="18">
        <f>IFERROR(__xludf.DUMMYFUNCTION("""COMPUTED_VALUE"""),5.0)</f>
        <v>5</v>
      </c>
      <c r="J4928" s="18">
        <f>IFERROR(__xludf.DUMMYFUNCTION("""COMPUTED_VALUE"""),28.0)</f>
        <v>28</v>
      </c>
      <c r="K4928" s="18">
        <f>IFERROR(__xludf.DUMMYFUNCTION("""COMPUTED_VALUE"""),20.0)</f>
        <v>20</v>
      </c>
      <c r="L4928" s="17">
        <f>IFERROR(__xludf.DUMMYFUNCTION("""COMPUTED_VALUE"""),3.102929465E9)</f>
        <v>3102929465</v>
      </c>
      <c r="M4928" s="17" t="str">
        <f>IFERROR(__xludf.DUMMYFUNCTION("""COMPUTED_VALUE"""),"#REF!")</f>
        <v>#REF!</v>
      </c>
      <c r="N4928" s="17"/>
      <c r="O4928" s="17"/>
      <c r="P4928" s="17" t="b">
        <f>IFERROR(__xludf.DUMMYFUNCTION("""COMPUTED_VALUE"""),TRUE)</f>
        <v>1</v>
      </c>
      <c r="Q4928" s="20">
        <f>IFERROR(__xludf.DUMMYFUNCTION("""COMPUTED_VALUE"""),45148.60471063657)</f>
        <v>45148.60471</v>
      </c>
      <c r="R4928" s="22" t="str">
        <f>IFERROR(__xludf.DUMMYFUNCTION("""COMPUTED_VALUE"""),"")</f>
        <v/>
      </c>
    </row>
    <row r="4929">
      <c r="A4929" s="17" t="str">
        <f>IFERROR(__xludf.DUMMYFUNCTION("""COMPUTED_VALUE"""),"")</f>
        <v/>
      </c>
      <c r="B4929" s="17" t="str">
        <f>IFERROR(__xludf.DUMMYFUNCTION("""COMPUTED_VALUE"""),"")</f>
        <v/>
      </c>
      <c r="C4929" s="17" t="str">
        <f>IFERROR(__xludf.DUMMYFUNCTION("""COMPUTED_VALUE"""),"")</f>
        <v/>
      </c>
      <c r="D4929" s="17" t="str">
        <f>IFERROR(__xludf.DUMMYFUNCTION("""COMPUTED_VALUE"""),"")</f>
        <v/>
      </c>
      <c r="E4929" s="17" t="str">
        <f>IFERROR(__xludf.DUMMYFUNCTION("""COMPUTED_VALUE"""),"")</f>
        <v/>
      </c>
      <c r="F4929" s="17" t="str">
        <f>IFERROR(__xludf.DUMMYFUNCTION("""COMPUTED_VALUE"""),"")</f>
        <v/>
      </c>
      <c r="G4929" s="17" t="str">
        <f>IFERROR(__xludf.DUMMYFUNCTION("""COMPUTED_VALUE"""),"")</f>
        <v/>
      </c>
      <c r="H4929" s="17" t="str">
        <f>IFERROR(__xludf.DUMMYFUNCTION("""COMPUTED_VALUE"""),"")</f>
        <v/>
      </c>
      <c r="I4929" s="17" t="str">
        <f>IFERROR(__xludf.DUMMYFUNCTION("""COMPUTED_VALUE"""),"")</f>
        <v/>
      </c>
      <c r="J4929" s="17" t="str">
        <f>IFERROR(__xludf.DUMMYFUNCTION("""COMPUTED_VALUE"""),"")</f>
        <v/>
      </c>
      <c r="K4929" s="17" t="str">
        <f>IFERROR(__xludf.DUMMYFUNCTION("""COMPUTED_VALUE"""),"")</f>
        <v/>
      </c>
      <c r="L4929" s="17" t="str">
        <f>IFERROR(__xludf.DUMMYFUNCTION("""COMPUTED_VALUE"""),"")</f>
        <v/>
      </c>
      <c r="M4929" s="17" t="str">
        <f>IFERROR(__xludf.DUMMYFUNCTION("""COMPUTED_VALUE"""),"")</f>
        <v/>
      </c>
      <c r="N4929" s="17" t="str">
        <f>IFERROR(__xludf.DUMMYFUNCTION("""COMPUTED_VALUE"""),"")</f>
        <v/>
      </c>
      <c r="O4929" s="17" t="str">
        <f>IFERROR(__xludf.DUMMYFUNCTION("""COMPUTED_VALUE"""),"")</f>
        <v/>
      </c>
      <c r="P4929" s="17" t="str">
        <f>IFERROR(__xludf.DUMMYFUNCTION("""COMPUTED_VALUE"""),"")</f>
        <v/>
      </c>
      <c r="Q4929" s="17" t="str">
        <f>IFERROR(__xludf.DUMMYFUNCTION("""COMPUTED_VALUE"""),"")</f>
        <v/>
      </c>
      <c r="R4929" s="17" t="str">
        <f>IFERROR(__xludf.DUMMYFUNCTION("""COMPUTED_VALUE"""),"")</f>
        <v/>
      </c>
    </row>
    <row r="4930">
      <c r="A4930" s="15">
        <f>IFERROR(__xludf.DUMMYFUNCTION("""COMPUTED_VALUE"""),45147.0)</f>
        <v>45147</v>
      </c>
      <c r="B4930" s="16" t="str">
        <f>IFERROR(__xludf.DUMMYFUNCTION("""COMPUTED_VALUE"""),"Carlos Andres Pirachican Numpaque (Mayerli)")</f>
        <v>Carlos Andres Pirachican Numpaque (Mayerli)</v>
      </c>
      <c r="C4930" s="15" t="str">
        <f>IFERROR(__xludf.DUMMYFUNCTION("""COMPUTED_VALUE"""),"SOGAMOSO")</f>
        <v>SOGAMOSO</v>
      </c>
      <c r="D4930" s="15" t="str">
        <f>IFERROR(__xludf.DUMMYFUNCTION("""COMPUTED_VALUE"""),"BOGOTÁ")</f>
        <v>BOGOTÁ</v>
      </c>
      <c r="E4930" s="15" t="str">
        <f>IFERROR(__xludf.DUMMYFUNCTION("""COMPUTED_VALUE"""),"Evamazzita")</f>
        <v>Evamazzita</v>
      </c>
      <c r="F4930" s="17" t="str">
        <f>IFERROR(__xludf.DUMMYFUNCTION("""COMPUTED_VALUE"""),"Cr 5 Bis # 1a 06 / Barrio los Pinos / Barrio Los Pinos")</f>
        <v>Cr 5 Bis # 1a 06 / Barrio los Pinos / Barrio Los Pinos</v>
      </c>
      <c r="G4930" s="15" t="str">
        <f>IFERROR(__xludf.DUMMYFUNCTION("""COMPUTED_VALUE"""),"MONICA YULIETH VARGAS CADENA")</f>
        <v>MONICA YULIETH VARGAS CADENA</v>
      </c>
      <c r="H4930" s="16">
        <f>IFERROR(__xludf.DUMMYFUNCTION("""COMPUTED_VALUE"""),13710.0)</f>
        <v>13710</v>
      </c>
      <c r="I4930" s="18">
        <f>IFERROR(__xludf.DUMMYFUNCTION("""COMPUTED_VALUE"""),1.0)</f>
        <v>1</v>
      </c>
      <c r="J4930" s="18">
        <f>IFERROR(__xludf.DUMMYFUNCTION("""COMPUTED_VALUE"""),1.0)</f>
        <v>1</v>
      </c>
      <c r="K4930" s="18">
        <f>IFERROR(__xludf.DUMMYFUNCTION("""COMPUTED_VALUE"""),1.0)</f>
        <v>1</v>
      </c>
      <c r="L4930" s="17">
        <f>IFERROR(__xludf.DUMMYFUNCTION("""COMPUTED_VALUE"""),3.144782385E9)</f>
        <v>3144782385</v>
      </c>
      <c r="M4930" s="17" t="str">
        <f>IFERROR(__xludf.DUMMYFUNCTION("""COMPUTED_VALUE"""),"#REF!")</f>
        <v>#REF!</v>
      </c>
      <c r="N4930" s="17"/>
      <c r="O4930" s="17"/>
      <c r="P4930" s="17" t="b">
        <f>IFERROR(__xludf.DUMMYFUNCTION("""COMPUTED_VALUE"""),FALSE)</f>
        <v>0</v>
      </c>
      <c r="Q4930" s="20" t="str">
        <f>IFERROR(__xludf.DUMMYFUNCTION("""COMPUTED_VALUE"""),"")</f>
        <v/>
      </c>
      <c r="R4930" s="22" t="str">
        <f>IFERROR(__xludf.DUMMYFUNCTION("""COMPUTED_VALUE"""),"")</f>
        <v/>
      </c>
    </row>
    <row r="4931">
      <c r="A4931" s="15">
        <f>IFERROR(__xludf.DUMMYFUNCTION("""COMPUTED_VALUE"""),45147.0)</f>
        <v>45147</v>
      </c>
      <c r="B4931" s="16" t="str">
        <f>IFERROR(__xludf.DUMMYFUNCTION("""COMPUTED_VALUE"""),"Carlos Andres Pirachican Numpaque (Mayerli)")</f>
        <v>Carlos Andres Pirachican Numpaque (Mayerli)</v>
      </c>
      <c r="C4931" s="15" t="str">
        <f>IFERROR(__xludf.DUMMYFUNCTION("""COMPUTED_VALUE"""),"SOGAMOSO")</f>
        <v>SOGAMOSO</v>
      </c>
      <c r="D4931" s="15" t="str">
        <f>IFERROR(__xludf.DUMMYFUNCTION("""COMPUTED_VALUE"""),"BOGOTÁ")</f>
        <v>BOGOTÁ</v>
      </c>
      <c r="E4931" s="15" t="str">
        <f>IFERROR(__xludf.DUMMYFUNCTION("""COMPUTED_VALUE"""),"Karem foods")</f>
        <v>Karem foods</v>
      </c>
      <c r="F4931" s="17" t="str">
        <f>IFERROR(__xludf.DUMMYFUNCTION("""COMPUTED_VALUE"""),"Calle 11 # 17 28 / Apto 301  / Sogamoso")</f>
        <v>Calle 11 # 17 28 / Apto 301  / Sogamoso</v>
      </c>
      <c r="G4931" s="15" t="str">
        <f>IFERROR(__xludf.DUMMYFUNCTION("""COMPUTED_VALUE"""),"Angie Patiño")</f>
        <v>Angie Patiño</v>
      </c>
      <c r="H4931" s="16">
        <f>IFERROR(__xludf.DUMMYFUNCTION("""COMPUTED_VALUE"""),13751.0)</f>
        <v>13751</v>
      </c>
      <c r="I4931" s="18">
        <f>IFERROR(__xludf.DUMMYFUNCTION("""COMPUTED_VALUE"""),8.0)</f>
        <v>8</v>
      </c>
      <c r="J4931" s="18">
        <f>IFERROR(__xludf.DUMMYFUNCTION("""COMPUTED_VALUE"""),25.0)</f>
        <v>25</v>
      </c>
      <c r="K4931" s="18">
        <f>IFERROR(__xludf.DUMMYFUNCTION("""COMPUTED_VALUE"""),25.0)</f>
        <v>25</v>
      </c>
      <c r="L4931" s="17">
        <f>IFERROR(__xludf.DUMMYFUNCTION("""COMPUTED_VALUE"""),3.045768274E9)</f>
        <v>3045768274</v>
      </c>
      <c r="M4931" s="17" t="str">
        <f>IFERROR(__xludf.DUMMYFUNCTION("""COMPUTED_VALUE"""),"#REF!")</f>
        <v>#REF!</v>
      </c>
      <c r="N4931" s="17"/>
      <c r="O4931" s="17"/>
      <c r="P4931" s="17" t="b">
        <f>IFERROR(__xludf.DUMMYFUNCTION("""COMPUTED_VALUE"""),FALSE)</f>
        <v>0</v>
      </c>
      <c r="Q4931" s="20" t="str">
        <f>IFERROR(__xludf.DUMMYFUNCTION("""COMPUTED_VALUE"""),"")</f>
        <v/>
      </c>
      <c r="R4931" s="22" t="str">
        <f>IFERROR(__xludf.DUMMYFUNCTION("""COMPUTED_VALUE"""),"")</f>
        <v/>
      </c>
    </row>
    <row r="4932">
      <c r="A4932" s="15">
        <f>IFERROR(__xludf.DUMMYFUNCTION("""COMPUTED_VALUE"""),45147.0)</f>
        <v>45147</v>
      </c>
      <c r="B4932" s="16" t="str">
        <f>IFERROR(__xludf.DUMMYFUNCTION("""COMPUTED_VALUE"""),"Carlos Andres Pirachican Numpaque (Mayerli)")</f>
        <v>Carlos Andres Pirachican Numpaque (Mayerli)</v>
      </c>
      <c r="C4932" s="15" t="str">
        <f>IFERROR(__xludf.DUMMYFUNCTION("""COMPUTED_VALUE"""),"TUNJA")</f>
        <v>TUNJA</v>
      </c>
      <c r="D4932" s="15" t="str">
        <f>IFERROR(__xludf.DUMMYFUNCTION("""COMPUTED_VALUE"""),"BOGOTÁ")</f>
        <v>BOGOTÁ</v>
      </c>
      <c r="E4932" s="15" t="str">
        <f>IFERROR(__xludf.DUMMYFUNCTION("""COMPUTED_VALUE"""),"Asociacion Agropecuaria Juana Maria")</f>
        <v>Asociacion Agropecuaria Juana Maria</v>
      </c>
      <c r="F4932" s="17" t="str">
        <f>IFERROR(__xludf.DUMMYFUNCTION("""COMPUTED_VALUE"""),"Carrera 2 A # 45b-03 barrio ""las quintas""")</f>
        <v>Carrera 2 A # 45b-03 barrio "las quintas"</v>
      </c>
      <c r="G4932" s="15" t="str">
        <f>IFERROR(__xludf.DUMMYFUNCTION("""COMPUTED_VALUE"""),"Adriana Paola Hernandez")</f>
        <v>Adriana Paola Hernandez</v>
      </c>
      <c r="H4932" s="16">
        <f>IFERROR(__xludf.DUMMYFUNCTION("""COMPUTED_VALUE"""),13621.0)</f>
        <v>13621</v>
      </c>
      <c r="I4932" s="18">
        <f>IFERROR(__xludf.DUMMYFUNCTION("""COMPUTED_VALUE"""),12.0)</f>
        <v>12</v>
      </c>
      <c r="J4932" s="18">
        <f>IFERROR(__xludf.DUMMYFUNCTION("""COMPUTED_VALUE"""),37.0)</f>
        <v>37</v>
      </c>
      <c r="K4932" s="18">
        <f>IFERROR(__xludf.DUMMYFUNCTION("""COMPUTED_VALUE"""),30.0)</f>
        <v>30</v>
      </c>
      <c r="L4932" s="17">
        <f>IFERROR(__xludf.DUMMYFUNCTION("""COMPUTED_VALUE"""),3.223853604E9)</f>
        <v>3223853604</v>
      </c>
      <c r="M4932" s="17" t="str">
        <f>IFERROR(__xludf.DUMMYFUNCTION("""COMPUTED_VALUE"""),"#REF!")</f>
        <v>#REF!</v>
      </c>
      <c r="N4932" s="17"/>
      <c r="O4932" s="17"/>
      <c r="P4932" s="17" t="b">
        <f>IFERROR(__xludf.DUMMYFUNCTION("""COMPUTED_VALUE"""),FALSE)</f>
        <v>0</v>
      </c>
      <c r="Q4932" s="20" t="str">
        <f>IFERROR(__xludf.DUMMYFUNCTION("""COMPUTED_VALUE"""),"")</f>
        <v/>
      </c>
      <c r="R4932" s="22" t="str">
        <f>IFERROR(__xludf.DUMMYFUNCTION("""COMPUTED_VALUE"""),"")</f>
        <v/>
      </c>
    </row>
    <row r="4933">
      <c r="A4933" s="15">
        <f>IFERROR(__xludf.DUMMYFUNCTION("""COMPUTED_VALUE"""),45147.0)</f>
        <v>45147</v>
      </c>
      <c r="B4933" s="16" t="str">
        <f>IFERROR(__xludf.DUMMYFUNCTION("""COMPUTED_VALUE"""),"Carlos Andres Pirachican Numpaque (Mayerli)")</f>
        <v>Carlos Andres Pirachican Numpaque (Mayerli)</v>
      </c>
      <c r="C4933" s="15" t="str">
        <f>IFERROR(__xludf.DUMMYFUNCTION("""COMPUTED_VALUE"""),"TUNJA")</f>
        <v>TUNJA</v>
      </c>
      <c r="D4933" s="15" t="str">
        <f>IFERROR(__xludf.DUMMYFUNCTION("""COMPUTED_VALUE"""),"BOGOTÁ")</f>
        <v>BOGOTÁ</v>
      </c>
      <c r="E4933" s="15" t="str">
        <f>IFERROR(__xludf.DUMMYFUNCTION("""COMPUTED_VALUE"""),"Evamazzita")</f>
        <v>Evamazzita</v>
      </c>
      <c r="F4933" s="17" t="str">
        <f>IFERROR(__xludf.DUMMYFUNCTION("""COMPUTED_VALUE"""),"CALLE 32 # 8  53 / Apto 101 torre 2 / CONJUNTO EL RECREO")</f>
        <v>CALLE 32 # 8  53 / Apto 101 torre 2 / CONJUNTO EL RECREO</v>
      </c>
      <c r="G4933" s="15" t="str">
        <f>IFERROR(__xludf.DUMMYFUNCTION("""COMPUTED_VALUE"""),"ANA MARIA BUSTOS")</f>
        <v>ANA MARIA BUSTOS</v>
      </c>
      <c r="H4933" s="16">
        <f>IFERROR(__xludf.DUMMYFUNCTION("""COMPUTED_VALUE"""),13715.0)</f>
        <v>13715</v>
      </c>
      <c r="I4933" s="18">
        <f>IFERROR(__xludf.DUMMYFUNCTION("""COMPUTED_VALUE"""),1.0)</f>
        <v>1</v>
      </c>
      <c r="J4933" s="18">
        <f>IFERROR(__xludf.DUMMYFUNCTION("""COMPUTED_VALUE"""),1.0)</f>
        <v>1</v>
      </c>
      <c r="K4933" s="18">
        <f>IFERROR(__xludf.DUMMYFUNCTION("""COMPUTED_VALUE"""),1.0)</f>
        <v>1</v>
      </c>
      <c r="L4933" s="17">
        <f>IFERROR(__xludf.DUMMYFUNCTION("""COMPUTED_VALUE"""),3.126827424E9)</f>
        <v>3126827424</v>
      </c>
      <c r="M4933" s="17" t="str">
        <f>IFERROR(__xludf.DUMMYFUNCTION("""COMPUTED_VALUE"""),"#REF!")</f>
        <v>#REF!</v>
      </c>
      <c r="N4933" s="17"/>
      <c r="O4933" s="17"/>
      <c r="P4933" s="17" t="b">
        <f>IFERROR(__xludf.DUMMYFUNCTION("""COMPUTED_VALUE"""),FALSE)</f>
        <v>0</v>
      </c>
      <c r="Q4933" s="20" t="str">
        <f>IFERROR(__xludf.DUMMYFUNCTION("""COMPUTED_VALUE"""),"")</f>
        <v/>
      </c>
      <c r="R4933" s="22" t="str">
        <f>IFERROR(__xludf.DUMMYFUNCTION("""COMPUTED_VALUE"""),"")</f>
        <v/>
      </c>
    </row>
    <row r="4934">
      <c r="A4934" s="17" t="str">
        <f>IFERROR(__xludf.DUMMYFUNCTION("""COMPUTED_VALUE"""),"")</f>
        <v/>
      </c>
      <c r="B4934" s="17" t="str">
        <f>IFERROR(__xludf.DUMMYFUNCTION("""COMPUTED_VALUE"""),"")</f>
        <v/>
      </c>
      <c r="C4934" s="17" t="str">
        <f>IFERROR(__xludf.DUMMYFUNCTION("""COMPUTED_VALUE"""),"")</f>
        <v/>
      </c>
      <c r="D4934" s="17" t="str">
        <f>IFERROR(__xludf.DUMMYFUNCTION("""COMPUTED_VALUE"""),"")</f>
        <v/>
      </c>
      <c r="E4934" s="17" t="str">
        <f>IFERROR(__xludf.DUMMYFUNCTION("""COMPUTED_VALUE"""),"")</f>
        <v/>
      </c>
      <c r="F4934" s="17" t="str">
        <f>IFERROR(__xludf.DUMMYFUNCTION("""COMPUTED_VALUE"""),"")</f>
        <v/>
      </c>
      <c r="G4934" s="17" t="str">
        <f>IFERROR(__xludf.DUMMYFUNCTION("""COMPUTED_VALUE"""),"")</f>
        <v/>
      </c>
      <c r="H4934" s="17" t="str">
        <f>IFERROR(__xludf.DUMMYFUNCTION("""COMPUTED_VALUE"""),"")</f>
        <v/>
      </c>
      <c r="I4934" s="17" t="str">
        <f>IFERROR(__xludf.DUMMYFUNCTION("""COMPUTED_VALUE"""),"")</f>
        <v/>
      </c>
      <c r="J4934" s="17" t="str">
        <f>IFERROR(__xludf.DUMMYFUNCTION("""COMPUTED_VALUE"""),"")</f>
        <v/>
      </c>
      <c r="K4934" s="17" t="str">
        <f>IFERROR(__xludf.DUMMYFUNCTION("""COMPUTED_VALUE"""),"")</f>
        <v/>
      </c>
      <c r="L4934" s="17" t="str">
        <f>IFERROR(__xludf.DUMMYFUNCTION("""COMPUTED_VALUE"""),"")</f>
        <v/>
      </c>
      <c r="M4934" s="17" t="str">
        <f>IFERROR(__xludf.DUMMYFUNCTION("""COMPUTED_VALUE"""),"")</f>
        <v/>
      </c>
      <c r="N4934" s="17" t="str">
        <f>IFERROR(__xludf.DUMMYFUNCTION("""COMPUTED_VALUE"""),"")</f>
        <v/>
      </c>
      <c r="O4934" s="17" t="str">
        <f>IFERROR(__xludf.DUMMYFUNCTION("""COMPUTED_VALUE"""),"")</f>
        <v/>
      </c>
      <c r="P4934" s="17" t="str">
        <f>IFERROR(__xludf.DUMMYFUNCTION("""COMPUTED_VALUE"""),"")</f>
        <v/>
      </c>
      <c r="Q4934" s="17" t="str">
        <f>IFERROR(__xludf.DUMMYFUNCTION("""COMPUTED_VALUE"""),"")</f>
        <v/>
      </c>
      <c r="R4934" s="17" t="str">
        <f>IFERROR(__xludf.DUMMYFUNCTION("""COMPUTED_VALUE"""),"")</f>
        <v/>
      </c>
    </row>
    <row r="4935">
      <c r="A4935" s="15">
        <f>IFERROR(__xludf.DUMMYFUNCTION("""COMPUTED_VALUE"""),45147.0)</f>
        <v>45147</v>
      </c>
      <c r="B4935" s="16" t="str">
        <f>IFERROR(__xludf.DUMMYFUNCTION("""COMPUTED_VALUE"""),"Carlos Manuel Sosa")</f>
        <v>Carlos Manuel Sosa</v>
      </c>
      <c r="C4935" s="15" t="str">
        <f>IFERROR(__xludf.DUMMYFUNCTION("""COMPUTED_VALUE"""),"CARTAGENA")</f>
        <v>CARTAGENA</v>
      </c>
      <c r="D4935" s="15" t="str">
        <f>IFERROR(__xludf.DUMMYFUNCTION("""COMPUTED_VALUE"""),"BOGOTÁ")</f>
        <v>BOGOTÁ</v>
      </c>
      <c r="E4935" s="15" t="str">
        <f>IFERROR(__xludf.DUMMYFUNCTION("""COMPUTED_VALUE"""),"MAI ALIMENTOS S.A.S")</f>
        <v>MAI ALIMENTOS S.A.S</v>
      </c>
      <c r="F4935" s="17" t="str">
        <f>IFERROR(__xludf.DUMMYFUNCTION("""COMPUTED_VALUE"""),"Carrera 3 A # 31 - 23 / Plaza Santa teresa / Restaurante Harry Sasson")</f>
        <v>Carrera 3 A # 31 - 23 / Plaza Santa teresa / Restaurante Harry Sasson</v>
      </c>
      <c r="G4935" s="15" t="str">
        <f>IFERROR(__xludf.DUMMYFUNCTION("""COMPUTED_VALUE"""),"Hoteles Charleston SAS")</f>
        <v>Hoteles Charleston SAS</v>
      </c>
      <c r="H4935" s="16">
        <f>IFERROR(__xludf.DUMMYFUNCTION("""COMPUTED_VALUE"""),13749.0)</f>
        <v>13749</v>
      </c>
      <c r="I4935" s="18">
        <f>IFERROR(__xludf.DUMMYFUNCTION("""COMPUTED_VALUE"""),35.0)</f>
        <v>35</v>
      </c>
      <c r="J4935" s="18">
        <f>IFERROR(__xludf.DUMMYFUNCTION("""COMPUTED_VALUE"""),17.0)</f>
        <v>17</v>
      </c>
      <c r="K4935" s="18">
        <f>IFERROR(__xludf.DUMMYFUNCTION("""COMPUTED_VALUE"""),13.0)</f>
        <v>13</v>
      </c>
      <c r="L4935" s="17">
        <f>IFERROR(__xludf.DUMMYFUNCTION("""COMPUTED_VALUE"""),3.174374246E9)</f>
        <v>3174374246</v>
      </c>
      <c r="M4935" s="17" t="str">
        <f>IFERROR(__xludf.DUMMYFUNCTION("""COMPUTED_VALUE"""),"#REF!")</f>
        <v>#REF!</v>
      </c>
      <c r="N4935" s="17"/>
      <c r="O4935" s="17"/>
      <c r="P4935" s="17" t="b">
        <f>IFERROR(__xludf.DUMMYFUNCTION("""COMPUTED_VALUE"""),FALSE)</f>
        <v>0</v>
      </c>
      <c r="Q4935" s="20" t="str">
        <f>IFERROR(__xludf.DUMMYFUNCTION("""COMPUTED_VALUE"""),"")</f>
        <v/>
      </c>
      <c r="R4935" s="21" t="str">
        <f>IFERROR(__xludf.DUMMYFUNCTION("""COMPUTED_VALUE"""),"https://drive.google.com/file/d/1gubal5UvdjMqC8v2aOrfWU_gFrS1VZD5/view?usp=drivesdk")</f>
        <v>https://drive.google.com/file/d/1gubal5UvdjMqC8v2aOrfWU_gFrS1VZD5/view?usp=drivesdk</v>
      </c>
    </row>
    <row r="4936">
      <c r="A4936" s="15">
        <f>IFERROR(__xludf.DUMMYFUNCTION("""COMPUTED_VALUE"""),45147.0)</f>
        <v>45147</v>
      </c>
      <c r="B4936" s="16" t="str">
        <f>IFERROR(__xludf.DUMMYFUNCTION("""COMPUTED_VALUE"""),"Carlos Manuel Sosa")</f>
        <v>Carlos Manuel Sosa</v>
      </c>
      <c r="C4936" s="15" t="str">
        <f>IFERROR(__xludf.DUMMYFUNCTION("""COMPUTED_VALUE"""),"CARTAGENA")</f>
        <v>CARTAGENA</v>
      </c>
      <c r="D4936" s="15" t="str">
        <f>IFERROR(__xludf.DUMMYFUNCTION("""COMPUTED_VALUE"""),"BOGOTÁ")</f>
        <v>BOGOTÁ</v>
      </c>
      <c r="E4936" s="15" t="str">
        <f>IFERROR(__xludf.DUMMYFUNCTION("""COMPUTED_VALUE"""),"Viiva Fermentados")</f>
        <v>Viiva Fermentados</v>
      </c>
      <c r="F4936" s="17" t="str">
        <f>IFERROR(__xludf.DUMMYFUNCTION("""COMPUTED_VALUE"""),"Centro Comercial Las Ramblas / Local 406A / Las Ramblas")</f>
        <v>Centro Comercial Las Ramblas / Local 406A / Las Ramblas</v>
      </c>
      <c r="G4936" s="15" t="str">
        <f>IFERROR(__xludf.DUMMYFUNCTION("""COMPUTED_VALUE"""),"Maricarmen - Tienda Vida Manai")</f>
        <v>Maricarmen - Tienda Vida Manai</v>
      </c>
      <c r="H4936" s="16">
        <f>IFERROR(__xludf.DUMMYFUNCTION("""COMPUTED_VALUE"""),13761.0)</f>
        <v>13761</v>
      </c>
      <c r="I4936" s="18">
        <f>IFERROR(__xludf.DUMMYFUNCTION("""COMPUTED_VALUE"""),20.0)</f>
        <v>20</v>
      </c>
      <c r="J4936" s="18">
        <f>IFERROR(__xludf.DUMMYFUNCTION("""COMPUTED_VALUE"""),36.0)</f>
        <v>36</v>
      </c>
      <c r="K4936" s="18">
        <f>IFERROR(__xludf.DUMMYFUNCTION("""COMPUTED_VALUE"""),24.0)</f>
        <v>24</v>
      </c>
      <c r="L4936" s="17">
        <f>IFERROR(__xludf.DUMMYFUNCTION("""COMPUTED_VALUE"""),3.168779204E9)</f>
        <v>3168779204</v>
      </c>
      <c r="M4936" s="17" t="str">
        <f>IFERROR(__xludf.DUMMYFUNCTION("""COMPUTED_VALUE"""),"#REF!")</f>
        <v>#REF!</v>
      </c>
      <c r="N4936" s="17"/>
      <c r="O4936" s="17"/>
      <c r="P4936" s="17" t="b">
        <f>IFERROR(__xludf.DUMMYFUNCTION("""COMPUTED_VALUE"""),FALSE)</f>
        <v>0</v>
      </c>
      <c r="Q4936" s="20" t="str">
        <f>IFERROR(__xludf.DUMMYFUNCTION("""COMPUTED_VALUE"""),"")</f>
        <v/>
      </c>
      <c r="R4936" s="22" t="str">
        <f>IFERROR(__xludf.DUMMYFUNCTION("""COMPUTED_VALUE"""),"")</f>
        <v/>
      </c>
    </row>
    <row r="4937">
      <c r="A4937" s="15">
        <f>IFERROR(__xludf.DUMMYFUNCTION("""COMPUTED_VALUE"""),45147.0)</f>
        <v>45147</v>
      </c>
      <c r="B4937" s="16" t="str">
        <f>IFERROR(__xludf.DUMMYFUNCTION("""COMPUTED_VALUE"""),"Carlos Manuel Sosa")</f>
        <v>Carlos Manuel Sosa</v>
      </c>
      <c r="C4937" s="15" t="str">
        <f>IFERROR(__xludf.DUMMYFUNCTION("""COMPUTED_VALUE"""),"DUITAMA")</f>
        <v>DUITAMA</v>
      </c>
      <c r="D4937" s="15" t="str">
        <f>IFERROR(__xludf.DUMMYFUNCTION("""COMPUTED_VALUE"""),"BOGOTÁ")</f>
        <v>BOGOTÁ</v>
      </c>
      <c r="E4937" s="15" t="str">
        <f>IFERROR(__xludf.DUMMYFUNCTION("""COMPUTED_VALUE"""),"Evamazzita")</f>
        <v>Evamazzita</v>
      </c>
      <c r="F4937" s="17" t="str">
        <f>IFERROR(__xludf.DUMMYFUNCTION("""COMPUTED_VALUE"""),"Cll 1 B #44 B 12 / Urbanizacion las nieves  / Urbanizacion las nives")</f>
        <v>Cll 1 B #44 B 12 / Urbanizacion las nieves  / Urbanizacion las nives</v>
      </c>
      <c r="G4937" s="15" t="str">
        <f>IFERROR(__xludf.DUMMYFUNCTION("""COMPUTED_VALUE"""),"MARLY JULIETH SERRATO GONZALEZ")</f>
        <v>MARLY JULIETH SERRATO GONZALEZ</v>
      </c>
      <c r="H4937" s="16">
        <f>IFERROR(__xludf.DUMMYFUNCTION("""COMPUTED_VALUE"""),13707.0)</f>
        <v>13707</v>
      </c>
      <c r="I4937" s="18">
        <f>IFERROR(__xludf.DUMMYFUNCTION("""COMPUTED_VALUE"""),1.0)</f>
        <v>1</v>
      </c>
      <c r="J4937" s="18">
        <f>IFERROR(__xludf.DUMMYFUNCTION("""COMPUTED_VALUE"""),1.0)</f>
        <v>1</v>
      </c>
      <c r="K4937" s="18">
        <f>IFERROR(__xludf.DUMMYFUNCTION("""COMPUTED_VALUE"""),1.0)</f>
        <v>1</v>
      </c>
      <c r="L4937" s="17">
        <f>IFERROR(__xludf.DUMMYFUNCTION("""COMPUTED_VALUE"""),3.17887302E9)</f>
        <v>3178873020</v>
      </c>
      <c r="M4937" s="17" t="str">
        <f>IFERROR(__xludf.DUMMYFUNCTION("""COMPUTED_VALUE"""),"#REF!")</f>
        <v>#REF!</v>
      </c>
      <c r="N4937" s="17"/>
      <c r="O4937" s="17"/>
      <c r="P4937" s="17" t="b">
        <f>IFERROR(__xludf.DUMMYFUNCTION("""COMPUTED_VALUE"""),FALSE)</f>
        <v>0</v>
      </c>
      <c r="Q4937" s="20" t="str">
        <f>IFERROR(__xludf.DUMMYFUNCTION("""COMPUTED_VALUE"""),"")</f>
        <v/>
      </c>
      <c r="R4937" s="22" t="str">
        <f>IFERROR(__xludf.DUMMYFUNCTION("""COMPUTED_VALUE"""),"")</f>
        <v/>
      </c>
    </row>
    <row r="4938">
      <c r="A4938" s="15">
        <f>IFERROR(__xludf.DUMMYFUNCTION("""COMPUTED_VALUE"""),45147.0)</f>
        <v>45147</v>
      </c>
      <c r="B4938" s="16" t="str">
        <f>IFERROR(__xludf.DUMMYFUNCTION("""COMPUTED_VALUE"""),"Carlos Manuel Sosa")</f>
        <v>Carlos Manuel Sosa</v>
      </c>
      <c r="C4938" s="15" t="str">
        <f>IFERROR(__xludf.DUMMYFUNCTION("""COMPUTED_VALUE"""),"DUITAMA")</f>
        <v>DUITAMA</v>
      </c>
      <c r="D4938" s="15" t="str">
        <f>IFERROR(__xludf.DUMMYFUNCTION("""COMPUTED_VALUE"""),"BOGOTÁ")</f>
        <v>BOGOTÁ</v>
      </c>
      <c r="E4938" s="15" t="str">
        <f>IFERROR(__xludf.DUMMYFUNCTION("""COMPUTED_VALUE"""),"Evamazzita")</f>
        <v>Evamazzita</v>
      </c>
      <c r="F4938" s="17" t="str">
        <f>IFERROR(__xludf.DUMMYFUNCTION("""COMPUTED_VALUE"""),"Cll 15 # 16 25 / Local 111 / Centro Comercial La Calleja")</f>
        <v>Cll 15 # 16 25 / Local 111 / Centro Comercial La Calleja</v>
      </c>
      <c r="G4938" s="15" t="str">
        <f>IFERROR(__xludf.DUMMYFUNCTION("""COMPUTED_VALUE"""),"MIRLADYS MANOTAS")</f>
        <v>MIRLADYS MANOTAS</v>
      </c>
      <c r="H4938" s="16">
        <f>IFERROR(__xludf.DUMMYFUNCTION("""COMPUTED_VALUE"""),13744.0)</f>
        <v>13744</v>
      </c>
      <c r="I4938" s="18">
        <f>IFERROR(__xludf.DUMMYFUNCTION("""COMPUTED_VALUE"""),8.0)</f>
        <v>8</v>
      </c>
      <c r="J4938" s="18">
        <f>IFERROR(__xludf.DUMMYFUNCTION("""COMPUTED_VALUE"""),23.0)</f>
        <v>23</v>
      </c>
      <c r="K4938" s="18">
        <f>IFERROR(__xludf.DUMMYFUNCTION("""COMPUTED_VALUE"""),20.0)</f>
        <v>20</v>
      </c>
      <c r="L4938" s="17">
        <f>IFERROR(__xludf.DUMMYFUNCTION("""COMPUTED_VALUE"""),3.017697646E9)</f>
        <v>3017697646</v>
      </c>
      <c r="M4938" s="17" t="str">
        <f>IFERROR(__xludf.DUMMYFUNCTION("""COMPUTED_VALUE"""),"#REF!")</f>
        <v>#REF!</v>
      </c>
      <c r="N4938" s="17"/>
      <c r="O4938" s="17"/>
      <c r="P4938" s="17" t="b">
        <f>IFERROR(__xludf.DUMMYFUNCTION("""COMPUTED_VALUE"""),TRUE)</f>
        <v>1</v>
      </c>
      <c r="Q4938" s="20">
        <f>IFERROR(__xludf.DUMMYFUNCTION("""COMPUTED_VALUE"""),45148.60471064815)</f>
        <v>45148.60471</v>
      </c>
      <c r="R4938" s="22" t="str">
        <f>IFERROR(__xludf.DUMMYFUNCTION("""COMPUTED_VALUE"""),"")</f>
        <v/>
      </c>
    </row>
    <row r="4939">
      <c r="A4939" s="15">
        <f>IFERROR(__xludf.DUMMYFUNCTION("""COMPUTED_VALUE"""),45147.0)</f>
        <v>45147</v>
      </c>
      <c r="B4939" s="16" t="str">
        <f>IFERROR(__xludf.DUMMYFUNCTION("""COMPUTED_VALUE"""),"Carlos Manuel Sosa")</f>
        <v>Carlos Manuel Sosa</v>
      </c>
      <c r="C4939" s="15" t="str">
        <f>IFERROR(__xludf.DUMMYFUNCTION("""COMPUTED_VALUE"""),"DUITAMA")</f>
        <v>DUITAMA</v>
      </c>
      <c r="D4939" s="15" t="str">
        <f>IFERROR(__xludf.DUMMYFUNCTION("""COMPUTED_VALUE"""),"BOGOTÁ")</f>
        <v>BOGOTÁ</v>
      </c>
      <c r="E4939" s="15" t="str">
        <f>IFERROR(__xludf.DUMMYFUNCTION("""COMPUTED_VALUE"""),"Evamazzita")</f>
        <v>Evamazzita</v>
      </c>
      <c r="F4939" s="17" t="str">
        <f>IFERROR(__xludf.DUMMYFUNCTION("""COMPUTED_VALUE"""),"Cr 36a #22 26  / CASA 18 / RESERVA DE LOS SAUCES - BARRIO CAMILO TORRES")</f>
        <v>Cr 36a #22 26  / CASA 18 / RESERVA DE LOS SAUCES - BARRIO CAMILO TORRES</v>
      </c>
      <c r="G4939" s="15" t="str">
        <f>IFERROR(__xludf.DUMMYFUNCTION("""COMPUTED_VALUE"""),"MAGDA SOFIA BOTIA")</f>
        <v>MAGDA SOFIA BOTIA</v>
      </c>
      <c r="H4939" s="16">
        <f>IFERROR(__xludf.DUMMYFUNCTION("""COMPUTED_VALUE"""),13706.0)</f>
        <v>13706</v>
      </c>
      <c r="I4939" s="18">
        <f>IFERROR(__xludf.DUMMYFUNCTION("""COMPUTED_VALUE"""),1.0)</f>
        <v>1</v>
      </c>
      <c r="J4939" s="18">
        <f>IFERROR(__xludf.DUMMYFUNCTION("""COMPUTED_VALUE"""),1.0)</f>
        <v>1</v>
      </c>
      <c r="K4939" s="18">
        <f>IFERROR(__xludf.DUMMYFUNCTION("""COMPUTED_VALUE"""),1.0)</f>
        <v>1</v>
      </c>
      <c r="L4939" s="17">
        <f>IFERROR(__xludf.DUMMYFUNCTION("""COMPUTED_VALUE"""),3.16322304E9)</f>
        <v>3163223040</v>
      </c>
      <c r="M4939" s="17" t="str">
        <f>IFERROR(__xludf.DUMMYFUNCTION("""COMPUTED_VALUE"""),"#REF!")</f>
        <v>#REF!</v>
      </c>
      <c r="N4939" s="17"/>
      <c r="O4939" s="17"/>
      <c r="P4939" s="17" t="b">
        <f>IFERROR(__xludf.DUMMYFUNCTION("""COMPUTED_VALUE"""),FALSE)</f>
        <v>0</v>
      </c>
      <c r="Q4939" s="20" t="str">
        <f>IFERROR(__xludf.DUMMYFUNCTION("""COMPUTED_VALUE"""),"")</f>
        <v/>
      </c>
      <c r="R4939" s="22" t="str">
        <f>IFERROR(__xludf.DUMMYFUNCTION("""COMPUTED_VALUE"""),"")</f>
        <v/>
      </c>
    </row>
    <row r="4940">
      <c r="A4940" s="15">
        <f>IFERROR(__xludf.DUMMYFUNCTION("""COMPUTED_VALUE"""),45147.0)</f>
        <v>45147</v>
      </c>
      <c r="B4940" s="16" t="str">
        <f>IFERROR(__xludf.DUMMYFUNCTION("""COMPUTED_VALUE"""),"Carlos Manuel Sosa")</f>
        <v>Carlos Manuel Sosa</v>
      </c>
      <c r="C4940" s="15" t="str">
        <f>IFERROR(__xludf.DUMMYFUNCTION("""COMPUTED_VALUE"""),"SOGAMOSO")</f>
        <v>SOGAMOSO</v>
      </c>
      <c r="D4940" s="15" t="str">
        <f>IFERROR(__xludf.DUMMYFUNCTION("""COMPUTED_VALUE"""),"BOGOTÁ")</f>
        <v>BOGOTÁ</v>
      </c>
      <c r="E4940" s="15" t="str">
        <f>IFERROR(__xludf.DUMMYFUNCTION("""COMPUTED_VALUE"""),"Evamazzita")</f>
        <v>Evamazzita</v>
      </c>
      <c r="F4940" s="17" t="str">
        <f>IFERROR(__xludf.DUMMYFUNCTION("""COMPUTED_VALUE"""),"Calle 20a # 9 50 / Apto 701 / Barrio los Alisos")</f>
        <v>Calle 20a # 9 50 / Apto 701 / Barrio los Alisos</v>
      </c>
      <c r="G4940" s="15" t="str">
        <f>IFERROR(__xludf.DUMMYFUNCTION("""COMPUTED_VALUE"""),"DAYAN MARTINEZ")</f>
        <v>DAYAN MARTINEZ</v>
      </c>
      <c r="H4940" s="16">
        <f>IFERROR(__xludf.DUMMYFUNCTION("""COMPUTED_VALUE"""),13708.0)</f>
        <v>13708</v>
      </c>
      <c r="I4940" s="18">
        <f>IFERROR(__xludf.DUMMYFUNCTION("""COMPUTED_VALUE"""),1.0)</f>
        <v>1</v>
      </c>
      <c r="J4940" s="18">
        <f>IFERROR(__xludf.DUMMYFUNCTION("""COMPUTED_VALUE"""),1.0)</f>
        <v>1</v>
      </c>
      <c r="K4940" s="18">
        <f>IFERROR(__xludf.DUMMYFUNCTION("""COMPUTED_VALUE"""),1.0)</f>
        <v>1</v>
      </c>
      <c r="L4940" s="17">
        <f>IFERROR(__xludf.DUMMYFUNCTION("""COMPUTED_VALUE"""),3.208202919E9)</f>
        <v>3208202919</v>
      </c>
      <c r="M4940" s="17" t="str">
        <f>IFERROR(__xludf.DUMMYFUNCTION("""COMPUTED_VALUE"""),"#REF!")</f>
        <v>#REF!</v>
      </c>
      <c r="N4940" s="17"/>
      <c r="O4940" s="17"/>
      <c r="P4940" s="17" t="b">
        <f>IFERROR(__xludf.DUMMYFUNCTION("""COMPUTED_VALUE"""),FALSE)</f>
        <v>0</v>
      </c>
      <c r="Q4940" s="20" t="str">
        <f>IFERROR(__xludf.DUMMYFUNCTION("""COMPUTED_VALUE"""),"")</f>
        <v/>
      </c>
      <c r="R4940" s="22" t="str">
        <f>IFERROR(__xludf.DUMMYFUNCTION("""COMPUTED_VALUE"""),"")</f>
        <v/>
      </c>
    </row>
    <row r="4941">
      <c r="A4941" s="15">
        <f>IFERROR(__xludf.DUMMYFUNCTION("""COMPUTED_VALUE"""),45147.0)</f>
        <v>45147</v>
      </c>
      <c r="B4941" s="16" t="str">
        <f>IFERROR(__xludf.DUMMYFUNCTION("""COMPUTED_VALUE"""),"Carlos Manuel Sosa")</f>
        <v>Carlos Manuel Sosa</v>
      </c>
      <c r="C4941" s="15" t="str">
        <f>IFERROR(__xludf.DUMMYFUNCTION("""COMPUTED_VALUE"""),"SOGAMOSO")</f>
        <v>SOGAMOSO</v>
      </c>
      <c r="D4941" s="15" t="str">
        <f>IFERROR(__xludf.DUMMYFUNCTION("""COMPUTED_VALUE"""),"BOGOTÁ")</f>
        <v>BOGOTÁ</v>
      </c>
      <c r="E4941" s="15" t="str">
        <f>IFERROR(__xludf.DUMMYFUNCTION("""COMPUTED_VALUE"""),"Evamazzita")</f>
        <v>Evamazzita</v>
      </c>
      <c r="F4941" s="17" t="str">
        <f>IFERROR(__xludf.DUMMYFUNCTION("""COMPUTED_VALUE"""),"Cr 14 # 2 a 25 / Apto 602 / Barrio El Bosque")</f>
        <v>Cr 14 # 2 a 25 / Apto 602 / Barrio El Bosque</v>
      </c>
      <c r="G4941" s="15" t="str">
        <f>IFERROR(__xludf.DUMMYFUNCTION("""COMPUTED_VALUE"""),"KATHERINE MUÑOZ MEDINA")</f>
        <v>KATHERINE MUÑOZ MEDINA</v>
      </c>
      <c r="H4941" s="16">
        <f>IFERROR(__xludf.DUMMYFUNCTION("""COMPUTED_VALUE"""),13711.0)</f>
        <v>13711</v>
      </c>
      <c r="I4941" s="18">
        <f>IFERROR(__xludf.DUMMYFUNCTION("""COMPUTED_VALUE"""),1.0)</f>
        <v>1</v>
      </c>
      <c r="J4941" s="18">
        <f>IFERROR(__xludf.DUMMYFUNCTION("""COMPUTED_VALUE"""),1.0)</f>
        <v>1</v>
      </c>
      <c r="K4941" s="18">
        <f>IFERROR(__xludf.DUMMYFUNCTION("""COMPUTED_VALUE"""),1.0)</f>
        <v>1</v>
      </c>
      <c r="L4941" s="17">
        <f>IFERROR(__xludf.DUMMYFUNCTION("""COMPUTED_VALUE"""),3.125444089E9)</f>
        <v>3125444089</v>
      </c>
      <c r="M4941" s="17" t="str">
        <f>IFERROR(__xludf.DUMMYFUNCTION("""COMPUTED_VALUE"""),"#REF!")</f>
        <v>#REF!</v>
      </c>
      <c r="N4941" s="17"/>
      <c r="O4941" s="17"/>
      <c r="P4941" s="17" t="b">
        <f>IFERROR(__xludf.DUMMYFUNCTION("""COMPUTED_VALUE"""),FALSE)</f>
        <v>0</v>
      </c>
      <c r="Q4941" s="20" t="str">
        <f>IFERROR(__xludf.DUMMYFUNCTION("""COMPUTED_VALUE"""),"")</f>
        <v/>
      </c>
      <c r="R4941" s="22" t="str">
        <f>IFERROR(__xludf.DUMMYFUNCTION("""COMPUTED_VALUE"""),"")</f>
        <v/>
      </c>
    </row>
    <row r="4942">
      <c r="A4942" s="15">
        <f>IFERROR(__xludf.DUMMYFUNCTION("""COMPUTED_VALUE"""),45147.0)</f>
        <v>45147</v>
      </c>
      <c r="B4942" s="16" t="str">
        <f>IFERROR(__xludf.DUMMYFUNCTION("""COMPUTED_VALUE"""),"Carlos Manuel Sosa")</f>
        <v>Carlos Manuel Sosa</v>
      </c>
      <c r="C4942" s="15" t="str">
        <f>IFERROR(__xludf.DUMMYFUNCTION("""COMPUTED_VALUE"""),"SOGAMOSO")</f>
        <v>SOGAMOSO</v>
      </c>
      <c r="D4942" s="15" t="str">
        <f>IFERROR(__xludf.DUMMYFUNCTION("""COMPUTED_VALUE"""),"BOGOTÁ")</f>
        <v>BOGOTÁ</v>
      </c>
      <c r="E4942" s="15" t="str">
        <f>IFERROR(__xludf.DUMMYFUNCTION("""COMPUTED_VALUE"""),"Evamazzita")</f>
        <v>Evamazzita</v>
      </c>
      <c r="F4942" s="17" t="str">
        <f>IFERROR(__xludf.DUMMYFUNCTION("""COMPUTED_VALUE"""),"Cr 15 # 7 b 57 / Apto 301 / Santa Ines")</f>
        <v>Cr 15 # 7 b 57 / Apto 301 / Santa Ines</v>
      </c>
      <c r="G4942" s="15" t="str">
        <f>IFERROR(__xludf.DUMMYFUNCTION("""COMPUTED_VALUE"""),"DIANA GERALDINE MONROY")</f>
        <v>DIANA GERALDINE MONROY</v>
      </c>
      <c r="H4942" s="16">
        <f>IFERROR(__xludf.DUMMYFUNCTION("""COMPUTED_VALUE"""),13709.0)</f>
        <v>13709</v>
      </c>
      <c r="I4942" s="18">
        <f>IFERROR(__xludf.DUMMYFUNCTION("""COMPUTED_VALUE"""),1.0)</f>
        <v>1</v>
      </c>
      <c r="J4942" s="18">
        <f>IFERROR(__xludf.DUMMYFUNCTION("""COMPUTED_VALUE"""),1.0)</f>
        <v>1</v>
      </c>
      <c r="K4942" s="18">
        <f>IFERROR(__xludf.DUMMYFUNCTION("""COMPUTED_VALUE"""),1.0)</f>
        <v>1</v>
      </c>
      <c r="L4942" s="17">
        <f>IFERROR(__xludf.DUMMYFUNCTION("""COMPUTED_VALUE"""),3.133828821E9)</f>
        <v>3133828821</v>
      </c>
      <c r="M4942" s="17" t="str">
        <f>IFERROR(__xludf.DUMMYFUNCTION("""COMPUTED_VALUE"""),"#REF!")</f>
        <v>#REF!</v>
      </c>
      <c r="N4942" s="17"/>
      <c r="O4942" s="17"/>
      <c r="P4942" s="17" t="b">
        <f>IFERROR(__xludf.DUMMYFUNCTION("""COMPUTED_VALUE"""),FALSE)</f>
        <v>0</v>
      </c>
      <c r="Q4942" s="20" t="str">
        <f>IFERROR(__xludf.DUMMYFUNCTION("""COMPUTED_VALUE"""),"")</f>
        <v/>
      </c>
      <c r="R4942" s="22" t="str">
        <f>IFERROR(__xludf.DUMMYFUNCTION("""COMPUTED_VALUE"""),"")</f>
        <v/>
      </c>
    </row>
    <row r="4943">
      <c r="A4943" s="17" t="str">
        <f>IFERROR(__xludf.DUMMYFUNCTION("""COMPUTED_VALUE"""),"")</f>
        <v/>
      </c>
      <c r="B4943" s="17" t="str">
        <f>IFERROR(__xludf.DUMMYFUNCTION("""COMPUTED_VALUE"""),"")</f>
        <v/>
      </c>
      <c r="C4943" s="17" t="str">
        <f>IFERROR(__xludf.DUMMYFUNCTION("""COMPUTED_VALUE"""),"")</f>
        <v/>
      </c>
      <c r="D4943" s="17" t="str">
        <f>IFERROR(__xludf.DUMMYFUNCTION("""COMPUTED_VALUE"""),"")</f>
        <v/>
      </c>
      <c r="E4943" s="17" t="str">
        <f>IFERROR(__xludf.DUMMYFUNCTION("""COMPUTED_VALUE"""),"")</f>
        <v/>
      </c>
      <c r="F4943" s="17" t="str">
        <f>IFERROR(__xludf.DUMMYFUNCTION("""COMPUTED_VALUE"""),"")</f>
        <v/>
      </c>
      <c r="G4943" s="17" t="str">
        <f>IFERROR(__xludf.DUMMYFUNCTION("""COMPUTED_VALUE"""),"")</f>
        <v/>
      </c>
      <c r="H4943" s="17" t="str">
        <f>IFERROR(__xludf.DUMMYFUNCTION("""COMPUTED_VALUE"""),"")</f>
        <v/>
      </c>
      <c r="I4943" s="17" t="str">
        <f>IFERROR(__xludf.DUMMYFUNCTION("""COMPUTED_VALUE"""),"")</f>
        <v/>
      </c>
      <c r="J4943" s="17" t="str">
        <f>IFERROR(__xludf.DUMMYFUNCTION("""COMPUTED_VALUE"""),"")</f>
        <v/>
      </c>
      <c r="K4943" s="17" t="str">
        <f>IFERROR(__xludf.DUMMYFUNCTION("""COMPUTED_VALUE"""),"")</f>
        <v/>
      </c>
      <c r="L4943" s="17" t="str">
        <f>IFERROR(__xludf.DUMMYFUNCTION("""COMPUTED_VALUE"""),"")</f>
        <v/>
      </c>
      <c r="M4943" s="17" t="str">
        <f>IFERROR(__xludf.DUMMYFUNCTION("""COMPUTED_VALUE"""),"")</f>
        <v/>
      </c>
      <c r="N4943" s="17" t="str">
        <f>IFERROR(__xludf.DUMMYFUNCTION("""COMPUTED_VALUE"""),"")</f>
        <v/>
      </c>
      <c r="O4943" s="17" t="str">
        <f>IFERROR(__xludf.DUMMYFUNCTION("""COMPUTED_VALUE"""),"")</f>
        <v/>
      </c>
      <c r="P4943" s="17" t="str">
        <f>IFERROR(__xludf.DUMMYFUNCTION("""COMPUTED_VALUE"""),"")</f>
        <v/>
      </c>
      <c r="Q4943" s="17" t="str">
        <f>IFERROR(__xludf.DUMMYFUNCTION("""COMPUTED_VALUE"""),"")</f>
        <v/>
      </c>
      <c r="R4943" s="17" t="str">
        <f>IFERROR(__xludf.DUMMYFUNCTION("""COMPUTED_VALUE"""),"")</f>
        <v/>
      </c>
    </row>
    <row r="4944">
      <c r="A4944" s="15">
        <f>IFERROR(__xludf.DUMMYFUNCTION("""COMPUTED_VALUE"""),45147.0)</f>
        <v>45147</v>
      </c>
      <c r="B4944" s="16" t="str">
        <f>IFERROR(__xludf.DUMMYFUNCTION("""COMPUTED_VALUE"""),"David Sanmartin Bello")</f>
        <v>David Sanmartin Bello</v>
      </c>
      <c r="C4944" s="15" t="str">
        <f>IFERROR(__xludf.DUMMYFUNCTION("""COMPUTED_VALUE"""),"CARTAGENA")</f>
        <v>CARTAGENA</v>
      </c>
      <c r="D4944" s="15" t="str">
        <f>IFERROR(__xludf.DUMMYFUNCTION("""COMPUTED_VALUE"""),"BOGOTÁ")</f>
        <v>BOGOTÁ</v>
      </c>
      <c r="E4944" s="15" t="str">
        <f>IFERROR(__xludf.DUMMYFUNCTION("""COMPUTED_VALUE"""),"Asociacion Agropecuaria Juana Maria")</f>
        <v>Asociacion Agropecuaria Juana Maria</v>
      </c>
      <c r="F4944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4944" s="15" t="str">
        <f>IFERROR(__xludf.DUMMYFUNCTION("""COMPUTED_VALUE"""),"LUZ ELENA GIL BENAVIDES")</f>
        <v>LUZ ELENA GIL BENAVIDES</v>
      </c>
      <c r="H4944" s="16">
        <f>IFERROR(__xludf.DUMMYFUNCTION("""COMPUTED_VALUE"""),13618.0)</f>
        <v>13618</v>
      </c>
      <c r="I4944" s="18">
        <f>IFERROR(__xludf.DUMMYFUNCTION("""COMPUTED_VALUE"""),17.0)</f>
        <v>17</v>
      </c>
      <c r="J4944" s="18">
        <f>IFERROR(__xludf.DUMMYFUNCTION("""COMPUTED_VALUE"""),37.0)</f>
        <v>37</v>
      </c>
      <c r="K4944" s="18">
        <f>IFERROR(__xludf.DUMMYFUNCTION("""COMPUTED_VALUE"""),30.0)</f>
        <v>30</v>
      </c>
      <c r="L4944" s="17">
        <f>IFERROR(__xludf.DUMMYFUNCTION("""COMPUTED_VALUE"""),3.054312334E9)</f>
        <v>3054312334</v>
      </c>
      <c r="M4944" s="17" t="str">
        <f>IFERROR(__xludf.DUMMYFUNCTION("""COMPUTED_VALUE"""),"#REF!")</f>
        <v>#REF!</v>
      </c>
      <c r="N4944" s="17"/>
      <c r="O4944" s="17"/>
      <c r="P4944" s="17" t="b">
        <f>IFERROR(__xludf.DUMMYFUNCTION("""COMPUTED_VALUE"""),TRUE)</f>
        <v>1</v>
      </c>
      <c r="Q4944" s="20">
        <f>IFERROR(__xludf.DUMMYFUNCTION("""COMPUTED_VALUE"""),45148.60471064815)</f>
        <v>45148.60471</v>
      </c>
      <c r="R4944" s="21" t="str">
        <f>IFERROR(__xludf.DUMMYFUNCTION("""COMPUTED_VALUE"""),"https://drive.google.com/file/d/1-xG6FWIQB2Jj_Wt2a-ChrDN9vWSCl6xf/view?usp=drivesdk")</f>
        <v>https://drive.google.com/file/d/1-xG6FWIQB2Jj_Wt2a-ChrDN9vWSCl6xf/view?usp=drivesdk</v>
      </c>
    </row>
    <row r="4945">
      <c r="A4945" s="15">
        <f>IFERROR(__xludf.DUMMYFUNCTION("""COMPUTED_VALUE"""),45147.0)</f>
        <v>45147</v>
      </c>
      <c r="B4945" s="16" t="str">
        <f>IFERROR(__xludf.DUMMYFUNCTION("""COMPUTED_VALUE"""),"David Sanmartin Bello")</f>
        <v>David Sanmartin Bello</v>
      </c>
      <c r="C4945" s="15" t="str">
        <f>IFERROR(__xludf.DUMMYFUNCTION("""COMPUTED_VALUE"""),"CARTAGENA")</f>
        <v>CARTAGENA</v>
      </c>
      <c r="D4945" s="15" t="str">
        <f>IFERROR(__xludf.DUMMYFUNCTION("""COMPUTED_VALUE"""),"BOGOTÁ")</f>
        <v>BOGOTÁ</v>
      </c>
      <c r="E4945" s="15" t="str">
        <f>IFERROR(__xludf.DUMMYFUNCTION("""COMPUTED_VALUE"""),"Evamazzita")</f>
        <v>Evamazzita</v>
      </c>
      <c r="F4945" s="17" t="str">
        <f>IFERROR(__xludf.DUMMYFUNCTION("""COMPUTED_VALUE"""),"CLL 32 B # 80 589, / To 4 apto 706 / CONDOMINIO COPACABANA  VILLA ESTRELLA")</f>
        <v>CLL 32 B # 80 589, / To 4 apto 706 / CONDOMINIO COPACABANA  VILLA ESTRELLA</v>
      </c>
      <c r="G4945" s="15" t="str">
        <f>IFERROR(__xludf.DUMMYFUNCTION("""COMPUTED_VALUE"""),"LUZ ELENA GIL BENAVIDEZ")</f>
        <v>LUZ ELENA GIL BENAVIDEZ</v>
      </c>
      <c r="H4945" s="16">
        <f>IFERROR(__xludf.DUMMYFUNCTION("""COMPUTED_VALUE"""),13712.0)</f>
        <v>13712</v>
      </c>
      <c r="I4945" s="18">
        <f>IFERROR(__xludf.DUMMYFUNCTION("""COMPUTED_VALUE"""),1.0)</f>
        <v>1</v>
      </c>
      <c r="J4945" s="18">
        <f>IFERROR(__xludf.DUMMYFUNCTION("""COMPUTED_VALUE"""),1.0)</f>
        <v>1</v>
      </c>
      <c r="K4945" s="18">
        <f>IFERROR(__xludf.DUMMYFUNCTION("""COMPUTED_VALUE"""),1.0)</f>
        <v>1</v>
      </c>
      <c r="L4945" s="17">
        <f>IFERROR(__xludf.DUMMYFUNCTION("""COMPUTED_VALUE"""),3.054312334E9)</f>
        <v>3054312334</v>
      </c>
      <c r="M4945" s="17" t="str">
        <f>IFERROR(__xludf.DUMMYFUNCTION("""COMPUTED_VALUE"""),"#REF!")</f>
        <v>#REF!</v>
      </c>
      <c r="N4945" s="17"/>
      <c r="O4945" s="17"/>
      <c r="P4945" s="17" t="b">
        <f>IFERROR(__xludf.DUMMYFUNCTION("""COMPUTED_VALUE"""),TRUE)</f>
        <v>1</v>
      </c>
      <c r="Q4945" s="20">
        <f>IFERROR(__xludf.DUMMYFUNCTION("""COMPUTED_VALUE"""),45148.604710659725)</f>
        <v>45148.60471</v>
      </c>
      <c r="R4945" s="21" t="str">
        <f>IFERROR(__xludf.DUMMYFUNCTION("""COMPUTED_VALUE"""),"https://drive.google.com/file/d/1COtwe6Rs4Ky7viyM-dUWdv2nj5wVJAZf/view?usp=drivesdk")</f>
        <v>https://drive.google.com/file/d/1COtwe6Rs4Ky7viyM-dUWdv2nj5wVJAZf/view?usp=drivesdk</v>
      </c>
    </row>
    <row r="4946">
      <c r="A4946" s="15">
        <f>IFERROR(__xludf.DUMMYFUNCTION("""COMPUTED_VALUE"""),45147.0)</f>
        <v>45147</v>
      </c>
      <c r="B4946" s="16" t="str">
        <f>IFERROR(__xludf.DUMMYFUNCTION("""COMPUTED_VALUE"""),"David Sanmartin Bello")</f>
        <v>David Sanmartin Bello</v>
      </c>
      <c r="C4946" s="15" t="str">
        <f>IFERROR(__xludf.DUMMYFUNCTION("""COMPUTED_VALUE"""),"CARTAGENA")</f>
        <v>CARTAGENA</v>
      </c>
      <c r="D4946" s="15" t="str">
        <f>IFERROR(__xludf.DUMMYFUNCTION("""COMPUTED_VALUE"""),"BOGOTÁ")</f>
        <v>BOGOTÁ</v>
      </c>
      <c r="E4946" s="15" t="str">
        <f>IFERROR(__xludf.DUMMYFUNCTION("""COMPUTED_VALUE"""),"Evamazzita")</f>
        <v>Evamazzita</v>
      </c>
      <c r="F4946" s="17" t="str">
        <f>IFERROR(__xludf.DUMMYFUNCTION("""COMPUTED_VALUE"""),"Cll 68 # 15 73 / Segundo piso / Barrio Daniel Lemaitre - Entrando por el parque")</f>
        <v>Cll 68 # 15 73 / Segundo piso / Barrio Daniel Lemaitre - Entrando por el parque</v>
      </c>
      <c r="G4946" s="15" t="str">
        <f>IFERROR(__xludf.DUMMYFUNCTION("""COMPUTED_VALUE"""),"KATERIN ALIES ALVAREZ")</f>
        <v>KATERIN ALIES ALVAREZ</v>
      </c>
      <c r="H4946" s="16">
        <f>IFERROR(__xludf.DUMMYFUNCTION("""COMPUTED_VALUE"""),13713.0)</f>
        <v>13713</v>
      </c>
      <c r="I4946" s="18">
        <f>IFERROR(__xludf.DUMMYFUNCTION("""COMPUTED_VALUE"""),1.0)</f>
        <v>1</v>
      </c>
      <c r="J4946" s="18">
        <f>IFERROR(__xludf.DUMMYFUNCTION("""COMPUTED_VALUE"""),1.0)</f>
        <v>1</v>
      </c>
      <c r="K4946" s="18">
        <f>IFERROR(__xludf.DUMMYFUNCTION("""COMPUTED_VALUE"""),1.0)</f>
        <v>1</v>
      </c>
      <c r="L4946" s="17">
        <f>IFERROR(__xludf.DUMMYFUNCTION("""COMPUTED_VALUE"""),3.157537911E9)</f>
        <v>3157537911</v>
      </c>
      <c r="M4946" s="17" t="str">
        <f>IFERROR(__xludf.DUMMYFUNCTION("""COMPUTED_VALUE"""),"#REF!")</f>
        <v>#REF!</v>
      </c>
      <c r="N4946" s="17"/>
      <c r="O4946" s="17"/>
      <c r="P4946" s="17" t="b">
        <f>IFERROR(__xludf.DUMMYFUNCTION("""COMPUTED_VALUE"""),TRUE)</f>
        <v>1</v>
      </c>
      <c r="Q4946" s="20">
        <f>IFERROR(__xludf.DUMMYFUNCTION("""COMPUTED_VALUE"""),45147.47774284722)</f>
        <v>45147.47774</v>
      </c>
      <c r="R4946" s="21" t="str">
        <f>IFERROR(__xludf.DUMMYFUNCTION("""COMPUTED_VALUE"""),"https://drive.google.com/file/d/15frDMCeQYcy-WrHfde7pyCBWCpevi6K2/view?usp=drivesdk")</f>
        <v>https://drive.google.com/file/d/15frDMCeQYcy-WrHfde7pyCBWCpevi6K2/view?usp=drivesdk</v>
      </c>
    </row>
    <row r="4947">
      <c r="A4947" s="15">
        <f>IFERROR(__xludf.DUMMYFUNCTION("""COMPUTED_VALUE"""),45147.0)</f>
        <v>45147</v>
      </c>
      <c r="B4947" s="16" t="str">
        <f>IFERROR(__xludf.DUMMYFUNCTION("""COMPUTED_VALUE"""),"David Sanmartin Bello")</f>
        <v>David Sanmartin Bello</v>
      </c>
      <c r="C4947" s="15" t="str">
        <f>IFERROR(__xludf.DUMMYFUNCTION("""COMPUTED_VALUE"""),"MEDELLÍN")</f>
        <v>MEDELLÍN</v>
      </c>
      <c r="D4947" s="15" t="str">
        <f>IFERROR(__xludf.DUMMYFUNCTION("""COMPUTED_VALUE"""),"BOGOTÁ")</f>
        <v>BOGOTÁ</v>
      </c>
      <c r="E4947" s="15" t="str">
        <f>IFERROR(__xludf.DUMMYFUNCTION("""COMPUTED_VALUE"""),"Viiva Fermentados")</f>
        <v>Viiva Fermentados</v>
      </c>
      <c r="F4947" s="17" t="str">
        <f>IFERROR(__xludf.DUMMYFUNCTION("""COMPUTED_VALUE"""),"Cll 31 Sur #47 A -15 / apto 502. Urbanización Palmar de las Vegas. / Envigado, Antioquia.")</f>
        <v>Cll 31 Sur #47 A -15 / apto 502. Urbanización Palmar de las Vegas. / Envigado, Antioquia.</v>
      </c>
      <c r="G4947" s="15" t="str">
        <f>IFERROR(__xludf.DUMMYFUNCTION("""COMPUTED_VALUE"""),"Alejandro Murillo")</f>
        <v>Alejandro Murillo</v>
      </c>
      <c r="H4947" s="16">
        <f>IFERROR(__xludf.DUMMYFUNCTION("""COMPUTED_VALUE"""),13759.0)</f>
        <v>13759</v>
      </c>
      <c r="I4947" s="18">
        <f>IFERROR(__xludf.DUMMYFUNCTION("""COMPUTED_VALUE"""),15.0)</f>
        <v>15</v>
      </c>
      <c r="J4947" s="18">
        <f>IFERROR(__xludf.DUMMYFUNCTION("""COMPUTED_VALUE"""),36.0)</f>
        <v>36</v>
      </c>
      <c r="K4947" s="18">
        <f>IFERROR(__xludf.DUMMYFUNCTION("""COMPUTED_VALUE"""),24.0)</f>
        <v>24</v>
      </c>
      <c r="L4947" s="17">
        <f>IFERROR(__xludf.DUMMYFUNCTION("""COMPUTED_VALUE"""),3.152390088E9)</f>
        <v>3152390088</v>
      </c>
      <c r="M4947" s="17" t="str">
        <f>IFERROR(__xludf.DUMMYFUNCTION("""COMPUTED_VALUE"""),"#REF!")</f>
        <v>#REF!</v>
      </c>
      <c r="N4947" s="17"/>
      <c r="O4947" s="17"/>
      <c r="P4947" s="17" t="b">
        <f>IFERROR(__xludf.DUMMYFUNCTION("""COMPUTED_VALUE"""),TRUE)</f>
        <v>1</v>
      </c>
      <c r="Q4947" s="20">
        <f>IFERROR(__xludf.DUMMYFUNCTION("""COMPUTED_VALUE"""),45148.604710659725)</f>
        <v>45148.60471</v>
      </c>
      <c r="R4947" s="22" t="str">
        <f>IFERROR(__xludf.DUMMYFUNCTION("""COMPUTED_VALUE"""),"")</f>
        <v/>
      </c>
    </row>
    <row r="4948">
      <c r="A4948" s="15">
        <f>IFERROR(__xludf.DUMMYFUNCTION("""COMPUTED_VALUE"""),45147.0)</f>
        <v>45147</v>
      </c>
      <c r="B4948" s="16" t="str">
        <f>IFERROR(__xludf.DUMMYFUNCTION("""COMPUTED_VALUE"""),"David Sanmartin Bello")</f>
        <v>David Sanmartin Bello</v>
      </c>
      <c r="C4948" s="15" t="str">
        <f>IFERROR(__xludf.DUMMYFUNCTION("""COMPUTED_VALUE"""),"MEDELLÍN")</f>
        <v>MEDELLÍN</v>
      </c>
      <c r="D4948" s="15" t="str">
        <f>IFERROR(__xludf.DUMMYFUNCTION("""COMPUTED_VALUE"""),"BUCARAMANGA")</f>
        <v>BUCARAMANGA</v>
      </c>
      <c r="E4948" s="15" t="str">
        <f>IFERROR(__xludf.DUMMYFUNCTION("""COMPUTED_VALUE"""),"Yo Como Solito")</f>
        <v>Yo Como Solito</v>
      </c>
      <c r="F4948" s="17" t="str">
        <f>IFERROR(__xludf.DUMMYFUNCTION("""COMPUTED_VALUE"""),"Carrera 15 BA # 34D - 44 INT 201 Barrio Quinta Linda / Carrera 15 BA # 34D - 44 INT 201 Barrio Quinta Linda / Carrera 15 BA # 34D - 44 INT 201 Barrio Quinta Linda")</f>
        <v>Carrera 15 BA # 34D - 44 INT 201 Barrio Quinta Linda / Carrera 15 BA # 34D - 44 INT 201 Barrio Quinta Linda / Carrera 15 BA # 34D - 44 INT 201 Barrio Quinta Linda</v>
      </c>
      <c r="G4948" s="15" t="str">
        <f>IFERROR(__xludf.DUMMYFUNCTION("""COMPUTED_VALUE"""),"daniela bedoya blandon")</f>
        <v>daniela bedoya blandon</v>
      </c>
      <c r="H4948" s="16">
        <f>IFERROR(__xludf.DUMMYFUNCTION("""COMPUTED_VALUE"""),13608.0)</f>
        <v>13608</v>
      </c>
      <c r="I4948" s="18">
        <f>IFERROR(__xludf.DUMMYFUNCTION("""COMPUTED_VALUE"""),12.0)</f>
        <v>12</v>
      </c>
      <c r="J4948" s="18">
        <f>IFERROR(__xludf.DUMMYFUNCTION("""COMPUTED_VALUE"""),26.0)</f>
        <v>26</v>
      </c>
      <c r="K4948" s="18">
        <f>IFERROR(__xludf.DUMMYFUNCTION("""COMPUTED_VALUE"""),31.0)</f>
        <v>31</v>
      </c>
      <c r="L4948" s="17">
        <f>IFERROR(__xludf.DUMMYFUNCTION("""COMPUTED_VALUE"""),3.14672822E9)</f>
        <v>3146728220</v>
      </c>
      <c r="M4948" s="17" t="str">
        <f>IFERROR(__xludf.DUMMYFUNCTION("""COMPUTED_VALUE"""),"#REF!")</f>
        <v>#REF!</v>
      </c>
      <c r="N4948" s="17"/>
      <c r="O4948" s="17"/>
      <c r="P4948" s="17" t="b">
        <f>IFERROR(__xludf.DUMMYFUNCTION("""COMPUTED_VALUE"""),TRUE)</f>
        <v>1</v>
      </c>
      <c r="Q4948" s="20">
        <f>IFERROR(__xludf.DUMMYFUNCTION("""COMPUTED_VALUE"""),45148.604710659725)</f>
        <v>45148.60471</v>
      </c>
      <c r="R4948" s="22" t="str">
        <f>IFERROR(__xludf.DUMMYFUNCTION("""COMPUTED_VALUE"""),"")</f>
        <v/>
      </c>
    </row>
    <row r="4949">
      <c r="A4949" s="17" t="str">
        <f>IFERROR(__xludf.DUMMYFUNCTION("""COMPUTED_VALUE"""),"")</f>
        <v/>
      </c>
      <c r="B4949" s="17" t="str">
        <f>IFERROR(__xludf.DUMMYFUNCTION("""COMPUTED_VALUE"""),"")</f>
        <v/>
      </c>
      <c r="C4949" s="17" t="str">
        <f>IFERROR(__xludf.DUMMYFUNCTION("""COMPUTED_VALUE"""),"")</f>
        <v/>
      </c>
      <c r="D4949" s="17" t="str">
        <f>IFERROR(__xludf.DUMMYFUNCTION("""COMPUTED_VALUE"""),"")</f>
        <v/>
      </c>
      <c r="E4949" s="17" t="str">
        <f>IFERROR(__xludf.DUMMYFUNCTION("""COMPUTED_VALUE"""),"")</f>
        <v/>
      </c>
      <c r="F4949" s="17" t="str">
        <f>IFERROR(__xludf.DUMMYFUNCTION("""COMPUTED_VALUE"""),"")</f>
        <v/>
      </c>
      <c r="G4949" s="17" t="str">
        <f>IFERROR(__xludf.DUMMYFUNCTION("""COMPUTED_VALUE"""),"")</f>
        <v/>
      </c>
      <c r="H4949" s="17" t="str">
        <f>IFERROR(__xludf.DUMMYFUNCTION("""COMPUTED_VALUE"""),"")</f>
        <v/>
      </c>
      <c r="I4949" s="17" t="str">
        <f>IFERROR(__xludf.DUMMYFUNCTION("""COMPUTED_VALUE"""),"")</f>
        <v/>
      </c>
      <c r="J4949" s="17" t="str">
        <f>IFERROR(__xludf.DUMMYFUNCTION("""COMPUTED_VALUE"""),"")</f>
        <v/>
      </c>
      <c r="K4949" s="17" t="str">
        <f>IFERROR(__xludf.DUMMYFUNCTION("""COMPUTED_VALUE"""),"")</f>
        <v/>
      </c>
      <c r="L4949" s="17" t="str">
        <f>IFERROR(__xludf.DUMMYFUNCTION("""COMPUTED_VALUE"""),"")</f>
        <v/>
      </c>
      <c r="M4949" s="17" t="str">
        <f>IFERROR(__xludf.DUMMYFUNCTION("""COMPUTED_VALUE"""),"")</f>
        <v/>
      </c>
      <c r="N4949" s="17" t="str">
        <f>IFERROR(__xludf.DUMMYFUNCTION("""COMPUTED_VALUE"""),"")</f>
        <v/>
      </c>
      <c r="O4949" s="17" t="str">
        <f>IFERROR(__xludf.DUMMYFUNCTION("""COMPUTED_VALUE"""),"")</f>
        <v/>
      </c>
      <c r="P4949" s="17" t="str">
        <f>IFERROR(__xludf.DUMMYFUNCTION("""COMPUTED_VALUE"""),"")</f>
        <v/>
      </c>
      <c r="Q4949" s="17" t="str">
        <f>IFERROR(__xludf.DUMMYFUNCTION("""COMPUTED_VALUE"""),"")</f>
        <v/>
      </c>
      <c r="R4949" s="17" t="str">
        <f>IFERROR(__xludf.DUMMYFUNCTION("""COMPUTED_VALUE"""),"")</f>
        <v/>
      </c>
    </row>
    <row r="4950">
      <c r="A4950" s="15">
        <f>IFERROR(__xludf.DUMMYFUNCTION("""COMPUTED_VALUE"""),45147.0)</f>
        <v>45147</v>
      </c>
      <c r="B4950" s="16" t="str">
        <f>IFERROR(__xludf.DUMMYFUNCTION("""COMPUTED_VALUE"""),"Deivi Alejandro Quintero Corrales")</f>
        <v>Deivi Alejandro Quintero Corrales</v>
      </c>
      <c r="C4950" s="15" t="str">
        <f>IFERROR(__xludf.DUMMYFUNCTION("""COMPUTED_VALUE"""),"ARMENIA")</f>
        <v>ARMENIA</v>
      </c>
      <c r="D4950" s="15" t="str">
        <f>IFERROR(__xludf.DUMMYFUNCTION("""COMPUTED_VALUE"""),"MEDELLÍN")</f>
        <v>MEDELLÍN</v>
      </c>
      <c r="E4950" s="15" t="str">
        <f>IFERROR(__xludf.DUMMYFUNCTION("""COMPUTED_VALUE"""),"AREPAS LA MARY")</f>
        <v>AREPAS LA MARY</v>
      </c>
      <c r="F4950" s="17" t="str">
        <f>IFERROR(__xludf.DUMMYFUNCTION("""COMPUTED_VALUE"""),"CRA 15 N.22 NORTE 77 LOCAL 13 / ED. OASIS DE LAURELES")</f>
        <v>CRA 15 N.22 NORTE 77 LOCAL 13 / ED. OASIS DE LAURELES</v>
      </c>
      <c r="G4950" s="15" t="str">
        <f>IFERROR(__xludf.DUMMYFUNCTION("""COMPUTED_VALUE"""),"TIENDA ECO FITNESS ARMENIA")</f>
        <v>TIENDA ECO FITNESS ARMENIA</v>
      </c>
      <c r="H4950" s="16">
        <f>IFERROR(__xludf.DUMMYFUNCTION("""COMPUTED_VALUE"""),13679.0)</f>
        <v>13679</v>
      </c>
      <c r="I4950" s="18">
        <f>IFERROR(__xludf.DUMMYFUNCTION("""COMPUTED_VALUE"""),89.0)</f>
        <v>89</v>
      </c>
      <c r="J4950" s="18">
        <f>IFERROR(__xludf.DUMMYFUNCTION("""COMPUTED_VALUE"""),1.0)</f>
        <v>1</v>
      </c>
      <c r="K4950" s="18">
        <f>IFERROR(__xludf.DUMMYFUNCTION("""COMPUTED_VALUE"""),10.0)</f>
        <v>10</v>
      </c>
      <c r="L4950" s="17">
        <f>IFERROR(__xludf.DUMMYFUNCTION("""COMPUTED_VALUE"""),3.217007417E9)</f>
        <v>3217007417</v>
      </c>
      <c r="M4950" s="17" t="str">
        <f>IFERROR(__xludf.DUMMYFUNCTION("""COMPUTED_VALUE"""),"#REF!")</f>
        <v>#REF!</v>
      </c>
      <c r="N4950" s="17"/>
      <c r="O4950" s="17"/>
      <c r="P4950" s="17" t="b">
        <f>IFERROR(__xludf.DUMMYFUNCTION("""COMPUTED_VALUE"""),TRUE)</f>
        <v>1</v>
      </c>
      <c r="Q4950" s="20">
        <f>IFERROR(__xludf.DUMMYFUNCTION("""COMPUTED_VALUE"""),45148.604710659725)</f>
        <v>45148.60471</v>
      </c>
      <c r="R4950" s="22" t="str">
        <f>IFERROR(__xludf.DUMMYFUNCTION("""COMPUTED_VALUE"""),"")</f>
        <v/>
      </c>
    </row>
    <row r="4951">
      <c r="A4951" s="15">
        <f>IFERROR(__xludf.DUMMYFUNCTION("""COMPUTED_VALUE"""),45147.0)</f>
        <v>45147</v>
      </c>
      <c r="B4951" s="16" t="str">
        <f>IFERROR(__xludf.DUMMYFUNCTION("""COMPUTED_VALUE"""),"Deivi Alejandro Quintero Corrales")</f>
        <v>Deivi Alejandro Quintero Corrales</v>
      </c>
      <c r="C4951" s="15" t="str">
        <f>IFERROR(__xludf.DUMMYFUNCTION("""COMPUTED_VALUE"""),"PEREIRA")</f>
        <v>PEREIRA</v>
      </c>
      <c r="D4951" s="15" t="str">
        <f>IFERROR(__xludf.DUMMYFUNCTION("""COMPUTED_VALUE"""),"BOGOTÁ")</f>
        <v>BOGOTÁ</v>
      </c>
      <c r="E4951" s="15" t="str">
        <f>IFERROR(__xludf.DUMMYFUNCTION("""COMPUTED_VALUE"""),"Evamazzita")</f>
        <v>Evamazzita</v>
      </c>
      <c r="F4951" s="17" t="str">
        <f>IFERROR(__xludf.DUMMYFUNCTION("""COMPUTED_VALUE"""),"Cr 21 # 150 05  / TO 3 AP 3102 / CONJUNTO CERRITOS RESERVADO")</f>
        <v>Cr 21 # 150 05  / TO 3 AP 3102 / CONJUNTO CERRITOS RESERVADO</v>
      </c>
      <c r="G4951" s="15" t="str">
        <f>IFERROR(__xludf.DUMMYFUNCTION("""COMPUTED_VALUE"""),"PAULA RODRIGUEZ TORRES")</f>
        <v>PAULA RODRIGUEZ TORRES</v>
      </c>
      <c r="H4951" s="16">
        <f>IFERROR(__xludf.DUMMYFUNCTION("""COMPUTED_VALUE"""),13725.0)</f>
        <v>13725</v>
      </c>
      <c r="I4951" s="18">
        <f>IFERROR(__xludf.DUMMYFUNCTION("""COMPUTED_VALUE"""),6.0)</f>
        <v>6</v>
      </c>
      <c r="J4951" s="18">
        <f>IFERROR(__xludf.DUMMYFUNCTION("""COMPUTED_VALUE"""),21.0)</f>
        <v>21</v>
      </c>
      <c r="K4951" s="18">
        <f>IFERROR(__xludf.DUMMYFUNCTION("""COMPUTED_VALUE"""),14.0)</f>
        <v>14</v>
      </c>
      <c r="L4951" s="17">
        <f>IFERROR(__xludf.DUMMYFUNCTION("""COMPUTED_VALUE"""),3.103430403E9)</f>
        <v>3103430403</v>
      </c>
      <c r="M4951" s="17" t="str">
        <f>IFERROR(__xludf.DUMMYFUNCTION("""COMPUTED_VALUE"""),"#REF!")</f>
        <v>#REF!</v>
      </c>
      <c r="N4951" s="17"/>
      <c r="O4951" s="17"/>
      <c r="P4951" s="17" t="b">
        <f>IFERROR(__xludf.DUMMYFUNCTION("""COMPUTED_VALUE"""),TRUE)</f>
        <v>1</v>
      </c>
      <c r="Q4951" s="20">
        <f>IFERROR(__xludf.DUMMYFUNCTION("""COMPUTED_VALUE"""),45147.47618987269)</f>
        <v>45147.47619</v>
      </c>
      <c r="R4951" s="21" t="str">
        <f>IFERROR(__xludf.DUMMYFUNCTION("""COMPUTED_VALUE"""),"https://drive.google.com/file/d/1j5mWQ_cN4PMBDUAtc0SYb3K1oBO72x5n/view?usp=drivesdk")</f>
        <v>https://drive.google.com/file/d/1j5mWQ_cN4PMBDUAtc0SYb3K1oBO72x5n/view?usp=drivesdk</v>
      </c>
    </row>
    <row r="4952">
      <c r="A4952" s="15">
        <f>IFERROR(__xludf.DUMMYFUNCTION("""COMPUTED_VALUE"""),45147.0)</f>
        <v>45147</v>
      </c>
      <c r="B4952" s="16" t="str">
        <f>IFERROR(__xludf.DUMMYFUNCTION("""COMPUTED_VALUE"""),"Deivi Alejandro Quintero Corrales")</f>
        <v>Deivi Alejandro Quintero Corrales</v>
      </c>
      <c r="C4952" s="15" t="str">
        <f>IFERROR(__xludf.DUMMYFUNCTION("""COMPUTED_VALUE"""),"PEREIRA")</f>
        <v>PEREIRA</v>
      </c>
      <c r="D4952" s="15" t="str">
        <f>IFERROR(__xludf.DUMMYFUNCTION("""COMPUTED_VALUE"""),"BOGOTÁ")</f>
        <v>BOGOTÁ</v>
      </c>
      <c r="E4952" s="15" t="str">
        <f>IFERROR(__xludf.DUMMYFUNCTION("""COMPUTED_VALUE"""),"Pan de Waffle")</f>
        <v>Pan de Waffle</v>
      </c>
      <c r="F4952" s="17" t="str">
        <f>IFERROR(__xludf.DUMMYFUNCTION("""COMPUTED_VALUE"""),"Calle 14 # 23 - 26 Apto 601 Alamos Plaza - Pereira / Calle 14 # 23 - 26 Apto 601 Alamos Plaza - Pereira / Calle 14 # 23 - 26 Apto 601 Alamos Plaza - Pereira")</f>
        <v>Calle 14 # 23 - 26 Apto 601 Alamos Plaza - Pereira / Calle 14 # 23 - 26 Apto 601 Alamos Plaza - Pereira / Calle 14 # 23 - 26 Apto 601 Alamos Plaza - Pereira</v>
      </c>
      <c r="G4952" s="15" t="str">
        <f>IFERROR(__xludf.DUMMYFUNCTION("""COMPUTED_VALUE"""),"ERIKA ECHEVERRY")</f>
        <v>ERIKA ECHEVERRY</v>
      </c>
      <c r="H4952" s="16">
        <f>IFERROR(__xludf.DUMMYFUNCTION("""COMPUTED_VALUE"""),13734.0)</f>
        <v>13734</v>
      </c>
      <c r="I4952" s="18">
        <f>IFERROR(__xludf.DUMMYFUNCTION("""COMPUTED_VALUE"""),30.0)</f>
        <v>30</v>
      </c>
      <c r="J4952" s="18">
        <f>IFERROR(__xludf.DUMMYFUNCTION("""COMPUTED_VALUE"""),40.0)</f>
        <v>40</v>
      </c>
      <c r="K4952" s="18">
        <f>IFERROR(__xludf.DUMMYFUNCTION("""COMPUTED_VALUE"""),40.0)</f>
        <v>40</v>
      </c>
      <c r="L4952" s="17">
        <f>IFERROR(__xludf.DUMMYFUNCTION("""COMPUTED_VALUE"""),3.163045961E9)</f>
        <v>3163045961</v>
      </c>
      <c r="M4952" s="17" t="str">
        <f>IFERROR(__xludf.DUMMYFUNCTION("""COMPUTED_VALUE"""),"#REF!")</f>
        <v>#REF!</v>
      </c>
      <c r="N4952" s="17"/>
      <c r="O4952" s="17"/>
      <c r="P4952" s="17" t="b">
        <f>IFERROR(__xludf.DUMMYFUNCTION("""COMPUTED_VALUE"""),TRUE)</f>
        <v>1</v>
      </c>
      <c r="Q4952" s="20">
        <f>IFERROR(__xludf.DUMMYFUNCTION("""COMPUTED_VALUE"""),45148.604710671294)</f>
        <v>45148.60471</v>
      </c>
      <c r="R4952" s="21" t="str">
        <f>IFERROR(__xludf.DUMMYFUNCTION("""COMPUTED_VALUE"""),"https://drive.google.com/file/d/1UvoB145ubWR1fzhXsrdiE5ihp6NFXVS9/view?usp=drivesdk")</f>
        <v>https://drive.google.com/file/d/1UvoB145ubWR1fzhXsrdiE5ihp6NFXVS9/view?usp=drivesdk</v>
      </c>
    </row>
    <row r="4953">
      <c r="A4953" s="15">
        <f>IFERROR(__xludf.DUMMYFUNCTION("""COMPUTED_VALUE"""),45147.0)</f>
        <v>45147</v>
      </c>
      <c r="B4953" s="16" t="str">
        <f>IFERROR(__xludf.DUMMYFUNCTION("""COMPUTED_VALUE"""),"Deivi Alejandro Quintero Corrales")</f>
        <v>Deivi Alejandro Quintero Corrales</v>
      </c>
      <c r="C4953" s="15" t="str">
        <f>IFERROR(__xludf.DUMMYFUNCTION("""COMPUTED_VALUE"""),"PEREIRA")</f>
        <v>PEREIRA</v>
      </c>
      <c r="D4953" s="15" t="str">
        <f>IFERROR(__xludf.DUMMYFUNCTION("""COMPUTED_VALUE"""),"BOGOTÁ")</f>
        <v>BOGOTÁ</v>
      </c>
      <c r="E4953" s="15" t="str">
        <f>IFERROR(__xludf.DUMMYFUNCTION("""COMPUTED_VALUE"""),"Pan de Waffle")</f>
        <v>Pan de Waffle</v>
      </c>
      <c r="F4953" s="17" t="str">
        <f>IFERROR(__xludf.DUMMYFUNCTION("""COMPUTED_VALUE"""),"Megacentro Pinares Piso 0 Local 019 / Megacentro Pinares Piso 0 Local 019 / Megacentro Pinares Piso 0 Local 019")</f>
        <v>Megacentro Pinares Piso 0 Local 019 / Megacentro Pinares Piso 0 Local 019 / Megacentro Pinares Piso 0 Local 019</v>
      </c>
      <c r="G4953" s="15" t="str">
        <f>IFERROR(__xludf.DUMMYFUNCTION("""COMPUTED_VALUE"""),"TERRASANO MEGACENTRO")</f>
        <v>TERRASANO MEGACENTRO</v>
      </c>
      <c r="H4953" s="16">
        <f>IFERROR(__xludf.DUMMYFUNCTION("""COMPUTED_VALUE"""),13731.0)</f>
        <v>13731</v>
      </c>
      <c r="I4953" s="18">
        <f>IFERROR(__xludf.DUMMYFUNCTION("""COMPUTED_VALUE"""),40.0)</f>
        <v>40</v>
      </c>
      <c r="J4953" s="18">
        <f>IFERROR(__xludf.DUMMYFUNCTION("""COMPUTED_VALUE"""),40.0)</f>
        <v>40</v>
      </c>
      <c r="K4953" s="18">
        <f>IFERROR(__xludf.DUMMYFUNCTION("""COMPUTED_VALUE"""),30.0)</f>
        <v>30</v>
      </c>
      <c r="L4953" s="17">
        <f>IFERROR(__xludf.DUMMYFUNCTION("""COMPUTED_VALUE"""),3.13703624E9)</f>
        <v>3137036240</v>
      </c>
      <c r="M4953" s="17" t="str">
        <f>IFERROR(__xludf.DUMMYFUNCTION("""COMPUTED_VALUE"""),"#REF!")</f>
        <v>#REF!</v>
      </c>
      <c r="N4953" s="17"/>
      <c r="O4953" s="17"/>
      <c r="P4953" s="17" t="b">
        <f>IFERROR(__xludf.DUMMYFUNCTION("""COMPUTED_VALUE"""),TRUE)</f>
        <v>1</v>
      </c>
      <c r="Q4953" s="20">
        <f>IFERROR(__xludf.DUMMYFUNCTION("""COMPUTED_VALUE"""),45148.604710671294)</f>
        <v>45148.60471</v>
      </c>
      <c r="R4953" s="22" t="str">
        <f>IFERROR(__xludf.DUMMYFUNCTION("""COMPUTED_VALUE"""),"")</f>
        <v/>
      </c>
    </row>
    <row r="4954">
      <c r="A4954" s="17" t="str">
        <f>IFERROR(__xludf.DUMMYFUNCTION("""COMPUTED_VALUE"""),"")</f>
        <v/>
      </c>
      <c r="B4954" s="17" t="str">
        <f>IFERROR(__xludf.DUMMYFUNCTION("""COMPUTED_VALUE"""),"")</f>
        <v/>
      </c>
      <c r="C4954" s="17" t="str">
        <f>IFERROR(__xludf.DUMMYFUNCTION("""COMPUTED_VALUE"""),"")</f>
        <v/>
      </c>
      <c r="D4954" s="17" t="str">
        <f>IFERROR(__xludf.DUMMYFUNCTION("""COMPUTED_VALUE"""),"")</f>
        <v/>
      </c>
      <c r="E4954" s="17" t="str">
        <f>IFERROR(__xludf.DUMMYFUNCTION("""COMPUTED_VALUE"""),"")</f>
        <v/>
      </c>
      <c r="F4954" s="17" t="str">
        <f>IFERROR(__xludf.DUMMYFUNCTION("""COMPUTED_VALUE"""),"")</f>
        <v/>
      </c>
      <c r="G4954" s="17" t="str">
        <f>IFERROR(__xludf.DUMMYFUNCTION("""COMPUTED_VALUE"""),"")</f>
        <v/>
      </c>
      <c r="H4954" s="17" t="str">
        <f>IFERROR(__xludf.DUMMYFUNCTION("""COMPUTED_VALUE"""),"")</f>
        <v/>
      </c>
      <c r="I4954" s="17" t="str">
        <f>IFERROR(__xludf.DUMMYFUNCTION("""COMPUTED_VALUE"""),"")</f>
        <v/>
      </c>
      <c r="J4954" s="17" t="str">
        <f>IFERROR(__xludf.DUMMYFUNCTION("""COMPUTED_VALUE"""),"")</f>
        <v/>
      </c>
      <c r="K4954" s="17" t="str">
        <f>IFERROR(__xludf.DUMMYFUNCTION("""COMPUTED_VALUE"""),"")</f>
        <v/>
      </c>
      <c r="L4954" s="17" t="str">
        <f>IFERROR(__xludf.DUMMYFUNCTION("""COMPUTED_VALUE"""),"")</f>
        <v/>
      </c>
      <c r="M4954" s="17" t="str">
        <f>IFERROR(__xludf.DUMMYFUNCTION("""COMPUTED_VALUE"""),"")</f>
        <v/>
      </c>
      <c r="N4954" s="17" t="str">
        <f>IFERROR(__xludf.DUMMYFUNCTION("""COMPUTED_VALUE"""),"")</f>
        <v/>
      </c>
      <c r="O4954" s="17" t="str">
        <f>IFERROR(__xludf.DUMMYFUNCTION("""COMPUTED_VALUE"""),"")</f>
        <v/>
      </c>
      <c r="P4954" s="17" t="str">
        <f>IFERROR(__xludf.DUMMYFUNCTION("""COMPUTED_VALUE"""),"")</f>
        <v/>
      </c>
      <c r="Q4954" s="17" t="str">
        <f>IFERROR(__xludf.DUMMYFUNCTION("""COMPUTED_VALUE"""),"")</f>
        <v/>
      </c>
      <c r="R4954" s="17" t="str">
        <f>IFERROR(__xludf.DUMMYFUNCTION("""COMPUTED_VALUE"""),"")</f>
        <v/>
      </c>
    </row>
    <row r="4955">
      <c r="A4955" s="15">
        <f>IFERROR(__xludf.DUMMYFUNCTION("""COMPUTED_VALUE"""),45147.0)</f>
        <v>45147</v>
      </c>
      <c r="B4955" s="16" t="str">
        <f>IFERROR(__xludf.DUMMYFUNCTION("""COMPUTED_VALUE"""),"Duvan Gabriel Alvarez Giron")</f>
        <v>Duvan Gabriel Alvarez Giron</v>
      </c>
      <c r="C4955" s="15" t="str">
        <f>IFERROR(__xludf.DUMMYFUNCTION("""COMPUTED_VALUE"""),"IBAGUÉ")</f>
        <v>IBAGUÉ</v>
      </c>
      <c r="D4955" s="15" t="str">
        <f>IFERROR(__xludf.DUMMYFUNCTION("""COMPUTED_VALUE"""),"BOGOTÁ")</f>
        <v>BOGOTÁ</v>
      </c>
      <c r="E4955" s="15" t="str">
        <f>IFERROR(__xludf.DUMMYFUNCTION("""COMPUTED_VALUE"""),"Ins. Alimento Vital")</f>
        <v>Ins. Alimento Vital</v>
      </c>
      <c r="F4955" s="17" t="str">
        <f>IFERROR(__xludf.DUMMYFUNCTION("""COMPUTED_VALUE"""),"ALAMEDA LA CAMPIÑA SECTOR CALATAYUD / CASA 4B MANZANA 4 / MANZANA 4 ALAMEDA LA CAMPIÑA")</f>
        <v>ALAMEDA LA CAMPIÑA SECTOR CALATAYUD / CASA 4B MANZANA 4 / MANZANA 4 ALAMEDA LA CAMPIÑA</v>
      </c>
      <c r="G4955" s="15" t="str">
        <f>IFERROR(__xludf.DUMMYFUNCTION("""COMPUTED_VALUE"""),"JESUS DAVID DELGADO TASCON")</f>
        <v>JESUS DAVID DELGADO TASCON</v>
      </c>
      <c r="H4955" s="16">
        <f>IFERROR(__xludf.DUMMYFUNCTION("""COMPUTED_VALUE"""),13694.0)</f>
        <v>13694</v>
      </c>
      <c r="I4955" s="18">
        <f>IFERROR(__xludf.DUMMYFUNCTION("""COMPUTED_VALUE"""),1.0)</f>
        <v>1</v>
      </c>
      <c r="J4955" s="18">
        <f>IFERROR(__xludf.DUMMYFUNCTION("""COMPUTED_VALUE"""),1.0)</f>
        <v>1</v>
      </c>
      <c r="K4955" s="18">
        <f>IFERROR(__xludf.DUMMYFUNCTION("""COMPUTED_VALUE"""),1.0)</f>
        <v>1</v>
      </c>
      <c r="L4955" s="17">
        <f>IFERROR(__xludf.DUMMYFUNCTION("""COMPUTED_VALUE"""),3.196515049E9)</f>
        <v>3196515049</v>
      </c>
      <c r="M4955" s="17" t="str">
        <f>IFERROR(__xludf.DUMMYFUNCTION("""COMPUTED_VALUE"""),"#REF!")</f>
        <v>#REF!</v>
      </c>
      <c r="N4955" s="17"/>
      <c r="O4955" s="17"/>
      <c r="P4955" s="17" t="b">
        <f>IFERROR(__xludf.DUMMYFUNCTION("""COMPUTED_VALUE"""),TRUE)</f>
        <v>1</v>
      </c>
      <c r="Q4955" s="20">
        <f>IFERROR(__xludf.DUMMYFUNCTION("""COMPUTED_VALUE"""),45148.60471068287)</f>
        <v>45148.60471</v>
      </c>
      <c r="R4955" s="22" t="str">
        <f>IFERROR(__xludf.DUMMYFUNCTION("""COMPUTED_VALUE"""),"")</f>
        <v/>
      </c>
    </row>
    <row r="4956">
      <c r="A4956" s="15">
        <f>IFERROR(__xludf.DUMMYFUNCTION("""COMPUTED_VALUE"""),45147.0)</f>
        <v>45147</v>
      </c>
      <c r="B4956" s="16" t="str">
        <f>IFERROR(__xludf.DUMMYFUNCTION("""COMPUTED_VALUE"""),"Duvan Gabriel Alvarez Giron")</f>
        <v>Duvan Gabriel Alvarez Giron</v>
      </c>
      <c r="C4956" s="15" t="str">
        <f>IFERROR(__xludf.DUMMYFUNCTION("""COMPUTED_VALUE"""),"PIEDECUESTA")</f>
        <v>PIEDECUESTA</v>
      </c>
      <c r="D4956" s="15" t="str">
        <f>IFERROR(__xludf.DUMMYFUNCTION("""COMPUTED_VALUE"""),"BOGOTÁ")</f>
        <v>BOGOTÁ</v>
      </c>
      <c r="E4956" s="15" t="str">
        <f>IFERROR(__xludf.DUMMYFUNCTION("""COMPUTED_VALUE"""),"Evamazzita")</f>
        <v>Evamazzita</v>
      </c>
      <c r="F4956" s="17" t="str">
        <f>IFERROR(__xludf.DUMMYFUNCTION("""COMPUTED_VALUE"""),"CALLE 11 B # 1C 20 / To 2 Ap 613 / ZAFITO")</f>
        <v>CALLE 11 B # 1C 20 / To 2 Ap 613 / ZAFITO</v>
      </c>
      <c r="G4956" s="15" t="str">
        <f>IFERROR(__xludf.DUMMYFUNCTION("""COMPUTED_VALUE"""),"LAURA JAIMES")</f>
        <v>LAURA JAIMES</v>
      </c>
      <c r="H4956" s="16">
        <f>IFERROR(__xludf.DUMMYFUNCTION("""COMPUTED_VALUE"""),13738.0)</f>
        <v>13738</v>
      </c>
      <c r="I4956" s="18">
        <f>IFERROR(__xludf.DUMMYFUNCTION("""COMPUTED_VALUE"""),6.0)</f>
        <v>6</v>
      </c>
      <c r="J4956" s="18">
        <f>IFERROR(__xludf.DUMMYFUNCTION("""COMPUTED_VALUE"""),19.0)</f>
        <v>19</v>
      </c>
      <c r="K4956" s="18">
        <f>IFERROR(__xludf.DUMMYFUNCTION("""COMPUTED_VALUE"""),13.0)</f>
        <v>13</v>
      </c>
      <c r="L4956" s="17">
        <f>IFERROR(__xludf.DUMMYFUNCTION("""COMPUTED_VALUE"""),3.12466704E9)</f>
        <v>3124667040</v>
      </c>
      <c r="M4956" s="17" t="str">
        <f>IFERROR(__xludf.DUMMYFUNCTION("""COMPUTED_VALUE"""),"#REF!")</f>
        <v>#REF!</v>
      </c>
      <c r="N4956" s="17"/>
      <c r="O4956" s="17"/>
      <c r="P4956" s="17" t="b">
        <f>IFERROR(__xludf.DUMMYFUNCTION("""COMPUTED_VALUE"""),TRUE)</f>
        <v>1</v>
      </c>
      <c r="Q4956" s="20">
        <f>IFERROR(__xludf.DUMMYFUNCTION("""COMPUTED_VALUE"""),45148.60471068287)</f>
        <v>45148.60471</v>
      </c>
      <c r="R4956" s="21" t="str">
        <f>IFERROR(__xludf.DUMMYFUNCTION("""COMPUTED_VALUE"""),"https://drive.google.com/file/d/1H1rVjPFfFVksyubxVzc0lONfd-4zJYRe/view?usp=drivesdk")</f>
        <v>https://drive.google.com/file/d/1H1rVjPFfFVksyubxVzc0lONfd-4zJYRe/view?usp=drivesdk</v>
      </c>
    </row>
    <row r="4957">
      <c r="A4957" s="17" t="str">
        <f>IFERROR(__xludf.DUMMYFUNCTION("""COMPUTED_VALUE"""),"")</f>
        <v/>
      </c>
      <c r="B4957" s="17" t="str">
        <f>IFERROR(__xludf.DUMMYFUNCTION("""COMPUTED_VALUE"""),"")</f>
        <v/>
      </c>
      <c r="C4957" s="17" t="str">
        <f>IFERROR(__xludf.DUMMYFUNCTION("""COMPUTED_VALUE"""),"")</f>
        <v/>
      </c>
      <c r="D4957" s="17" t="str">
        <f>IFERROR(__xludf.DUMMYFUNCTION("""COMPUTED_VALUE"""),"")</f>
        <v/>
      </c>
      <c r="E4957" s="17" t="str">
        <f>IFERROR(__xludf.DUMMYFUNCTION("""COMPUTED_VALUE"""),"")</f>
        <v/>
      </c>
      <c r="F4957" s="17" t="str">
        <f>IFERROR(__xludf.DUMMYFUNCTION("""COMPUTED_VALUE"""),"")</f>
        <v/>
      </c>
      <c r="G4957" s="17" t="str">
        <f>IFERROR(__xludf.DUMMYFUNCTION("""COMPUTED_VALUE"""),"")</f>
        <v/>
      </c>
      <c r="H4957" s="17" t="str">
        <f>IFERROR(__xludf.DUMMYFUNCTION("""COMPUTED_VALUE"""),"")</f>
        <v/>
      </c>
      <c r="I4957" s="17" t="str">
        <f>IFERROR(__xludf.DUMMYFUNCTION("""COMPUTED_VALUE"""),"")</f>
        <v/>
      </c>
      <c r="J4957" s="17" t="str">
        <f>IFERROR(__xludf.DUMMYFUNCTION("""COMPUTED_VALUE"""),"")</f>
        <v/>
      </c>
      <c r="K4957" s="17" t="str">
        <f>IFERROR(__xludf.DUMMYFUNCTION("""COMPUTED_VALUE"""),"")</f>
        <v/>
      </c>
      <c r="L4957" s="17" t="str">
        <f>IFERROR(__xludf.DUMMYFUNCTION("""COMPUTED_VALUE"""),"")</f>
        <v/>
      </c>
      <c r="M4957" s="17" t="str">
        <f>IFERROR(__xludf.DUMMYFUNCTION("""COMPUTED_VALUE"""),"")</f>
        <v/>
      </c>
      <c r="N4957" s="17" t="str">
        <f>IFERROR(__xludf.DUMMYFUNCTION("""COMPUTED_VALUE"""),"")</f>
        <v/>
      </c>
      <c r="O4957" s="17" t="str">
        <f>IFERROR(__xludf.DUMMYFUNCTION("""COMPUTED_VALUE"""),"")</f>
        <v/>
      </c>
      <c r="P4957" s="17" t="str">
        <f>IFERROR(__xludf.DUMMYFUNCTION("""COMPUTED_VALUE"""),"")</f>
        <v/>
      </c>
      <c r="Q4957" s="17" t="str">
        <f>IFERROR(__xludf.DUMMYFUNCTION("""COMPUTED_VALUE"""),"")</f>
        <v/>
      </c>
      <c r="R4957" s="17" t="str">
        <f>IFERROR(__xludf.DUMMYFUNCTION("""COMPUTED_VALUE"""),"")</f>
        <v/>
      </c>
    </row>
    <row r="4958">
      <c r="A4958" s="15">
        <f>IFERROR(__xludf.DUMMYFUNCTION("""COMPUTED_VALUE"""),45147.0)</f>
        <v>45147</v>
      </c>
      <c r="B4958" s="16" t="str">
        <f>IFERROR(__xludf.DUMMYFUNCTION("""COMPUTED_VALUE"""),"Envia")</f>
        <v>Envia</v>
      </c>
      <c r="C4958" s="15" t="str">
        <f>IFERROR(__xludf.DUMMYFUNCTION("""COMPUTED_VALUE"""),"ARMENIA")</f>
        <v>ARMENIA</v>
      </c>
      <c r="D4958" s="15" t="str">
        <f>IFERROR(__xludf.DUMMYFUNCTION("""COMPUTED_VALUE"""),"MEDELLÍN")</f>
        <v>MEDELLÍN</v>
      </c>
      <c r="E4958" s="15" t="str">
        <f>IFERROR(__xludf.DUMMYFUNCTION("""COMPUTED_VALUE"""),"Puro Verde")</f>
        <v>Puro Verde</v>
      </c>
      <c r="F4958" s="17" t="str">
        <f>IFERROR(__xludf.DUMMYFUNCTION("""COMPUTED_VALUE"""),"CRA 10 # 11 N - 05.  / APTO 405. TORRE 1. CONJ RESIDENCIAL TERRA.  / BARRIO LA CASTELLANA")</f>
        <v>CRA 10 # 11 N - 05.  / APTO 405. TORRE 1. CONJ RESIDENCIAL TERRA.  / BARRIO LA CASTELLANA</v>
      </c>
      <c r="G4958" s="15" t="str">
        <f>IFERROR(__xludf.DUMMYFUNCTION("""COMPUTED_VALUE"""),"CLAUDIA VILLAMIZAR")</f>
        <v>CLAUDIA VILLAMIZAR</v>
      </c>
      <c r="H4958" s="16">
        <f>IFERROR(__xludf.DUMMYFUNCTION("""COMPUTED_VALUE"""),13609.0)</f>
        <v>13609</v>
      </c>
      <c r="I4958" s="18">
        <f>IFERROR(__xludf.DUMMYFUNCTION("""COMPUTED_VALUE"""),45034.0)</f>
        <v>45034</v>
      </c>
      <c r="J4958" s="18" t="str">
        <f>IFERROR(__xludf.DUMMYFUNCTION("""COMPUTED_VALUE"""),"32.2")</f>
        <v>32.2</v>
      </c>
      <c r="K4958" s="18" t="str">
        <f>IFERROR(__xludf.DUMMYFUNCTION("""COMPUTED_VALUE"""),"39.4")</f>
        <v>39.4</v>
      </c>
      <c r="L4958" s="17">
        <f>IFERROR(__xludf.DUMMYFUNCTION("""COMPUTED_VALUE"""),3.225175611E9)</f>
        <v>3225175611</v>
      </c>
      <c r="M4958" s="17" t="str">
        <f>IFERROR(__xludf.DUMMYFUNCTION("""COMPUTED_VALUE"""),"#REF!")</f>
        <v>#REF!</v>
      </c>
      <c r="N4958" s="17"/>
      <c r="O4958" s="17"/>
      <c r="P4958" s="17" t="b">
        <f>IFERROR(__xludf.DUMMYFUNCTION("""COMPUTED_VALUE"""),TRUE)</f>
        <v>1</v>
      </c>
      <c r="Q4958" s="20">
        <f>IFERROR(__xludf.DUMMYFUNCTION("""COMPUTED_VALUE"""),45148.60471068287)</f>
        <v>45148.60471</v>
      </c>
      <c r="R4958" s="22" t="str">
        <f>IFERROR(__xludf.DUMMYFUNCTION("""COMPUTED_VALUE"""),"")</f>
        <v/>
      </c>
    </row>
    <row r="4959">
      <c r="A4959" s="15">
        <f>IFERROR(__xludf.DUMMYFUNCTION("""COMPUTED_VALUE"""),45147.0)</f>
        <v>45147</v>
      </c>
      <c r="B4959" s="16" t="str">
        <f>IFERROR(__xludf.DUMMYFUNCTION("""COMPUTED_VALUE"""),"Envia")</f>
        <v>Envia</v>
      </c>
      <c r="C4959" s="15" t="str">
        <f>IFERROR(__xludf.DUMMYFUNCTION("""COMPUTED_VALUE"""),"BOGOTÁ")</f>
        <v>BOGOTÁ</v>
      </c>
      <c r="D4959" s="15" t="str">
        <f>IFERROR(__xludf.DUMMYFUNCTION("""COMPUTED_VALUE"""),"MEDELLÍN")</f>
        <v>MEDELLÍN</v>
      </c>
      <c r="E4959" s="15" t="str">
        <f>IFERROR(__xludf.DUMMYFUNCTION("""COMPUTED_VALUE"""),"Moloso S.A.S")</f>
        <v>Moloso S.A.S</v>
      </c>
      <c r="F4959" s="17" t="str">
        <f>IFERROR(__xludf.DUMMYFUNCTION("""COMPUTED_VALUE"""),"	 CRA 9 BIS 97 06 / APTO 604")</f>
        <v>	 CRA 9 BIS 97 06 / APTO 604</v>
      </c>
      <c r="G4959" s="15" t="str">
        <f>IFERROR(__xludf.DUMMYFUNCTION("""COMPUTED_VALUE"""),"MARIA XIMENA GUZMAN DEL CASTILLO")</f>
        <v>MARIA XIMENA GUZMAN DEL CASTILLO</v>
      </c>
      <c r="H4959" s="16">
        <f>IFERROR(__xludf.DUMMYFUNCTION("""COMPUTED_VALUE"""),13764.0)</f>
        <v>13764</v>
      </c>
      <c r="I4959" s="18">
        <f>IFERROR(__xludf.DUMMYFUNCTION("""COMPUTED_VALUE"""),17.0)</f>
        <v>17</v>
      </c>
      <c r="J4959" s="18">
        <f>IFERROR(__xludf.DUMMYFUNCTION("""COMPUTED_VALUE"""),15.0)</f>
        <v>15</v>
      </c>
      <c r="K4959" s="18">
        <f>IFERROR(__xludf.DUMMYFUNCTION("""COMPUTED_VALUE"""),28.0)</f>
        <v>28</v>
      </c>
      <c r="L4959" s="17" t="str">
        <f>IFERROR(__xludf.DUMMYFUNCTION("""COMPUTED_VALUE"""),"311 2848381")</f>
        <v>311 2848381</v>
      </c>
      <c r="M4959" s="17" t="str">
        <f>IFERROR(__xludf.DUMMYFUNCTION("""COMPUTED_VALUE"""),"#REF!")</f>
        <v>#REF!</v>
      </c>
      <c r="N4959" s="17"/>
      <c r="O4959" s="17"/>
      <c r="P4959" s="17" t="b">
        <f>IFERROR(__xludf.DUMMYFUNCTION("""COMPUTED_VALUE"""),TRUE)</f>
        <v>1</v>
      </c>
      <c r="Q4959" s="20">
        <f>IFERROR(__xludf.DUMMYFUNCTION("""COMPUTED_VALUE"""),45148.604710694446)</f>
        <v>45148.60471</v>
      </c>
      <c r="R4959" s="21" t="str">
        <f>IFERROR(__xludf.DUMMYFUNCTION("""COMPUTED_VALUE"""),"https://drive.google.com/file/d/1Bf7Q_QgeEPZ6tv9hwcf1RD25C1k7Qbf7/view?usp=drivesdk")</f>
        <v>https://drive.google.com/file/d/1Bf7Q_QgeEPZ6tv9hwcf1RD25C1k7Qbf7/view?usp=drivesdk</v>
      </c>
    </row>
    <row r="4960">
      <c r="A4960" s="15">
        <f>IFERROR(__xludf.DUMMYFUNCTION("""COMPUTED_VALUE"""),45147.0)</f>
        <v>45147</v>
      </c>
      <c r="B4960" s="16" t="str">
        <f>IFERROR(__xludf.DUMMYFUNCTION("""COMPUTED_VALUE"""),"Envia")</f>
        <v>Envia</v>
      </c>
      <c r="C4960" s="15" t="str">
        <f>IFERROR(__xludf.DUMMYFUNCTION("""COMPUTED_VALUE"""),"BUCARAMANGA")</f>
        <v>BUCARAMANGA</v>
      </c>
      <c r="D4960" s="15" t="str">
        <f>IFERROR(__xludf.DUMMYFUNCTION("""COMPUTED_VALUE"""),"BOGOTÁ")</f>
        <v>BOGOTÁ</v>
      </c>
      <c r="E4960" s="15" t="str">
        <f>IFERROR(__xludf.DUMMYFUNCTION("""COMPUTED_VALUE"""),"Evamazzita")</f>
        <v>Evamazzita</v>
      </c>
      <c r="F4960" s="17" t="str">
        <f>IFERROR(__xludf.DUMMYFUNCTION("""COMPUTED_VALUE"""),"CALLE 21 # 14 52  / Electricos HTC entregar horario de oficina / ELECTRICOS HTC")</f>
        <v>CALLE 21 # 14 52  / Electricos HTC entregar horario de oficina / ELECTRICOS HTC</v>
      </c>
      <c r="G4960" s="15" t="str">
        <f>IFERROR(__xludf.DUMMYFUNCTION("""COMPUTED_VALUE"""),"MONICA TOLOZA")</f>
        <v>MONICA TOLOZA</v>
      </c>
      <c r="H4960" s="16">
        <f>IFERROR(__xludf.DUMMYFUNCTION("""COMPUTED_VALUE"""),13737.0)</f>
        <v>13737</v>
      </c>
      <c r="I4960" s="18">
        <f>IFERROR(__xludf.DUMMYFUNCTION("""COMPUTED_VALUE"""),5.0)</f>
        <v>5</v>
      </c>
      <c r="J4960" s="18">
        <f>IFERROR(__xludf.DUMMYFUNCTION("""COMPUTED_VALUE"""),19.0)</f>
        <v>19</v>
      </c>
      <c r="K4960" s="18">
        <f>IFERROR(__xludf.DUMMYFUNCTION("""COMPUTED_VALUE"""),15.0)</f>
        <v>15</v>
      </c>
      <c r="L4960" s="17">
        <f>IFERROR(__xludf.DUMMYFUNCTION("""COMPUTED_VALUE"""),3.167406106E9)</f>
        <v>3167406106</v>
      </c>
      <c r="M4960" s="17" t="str">
        <f>IFERROR(__xludf.DUMMYFUNCTION("""COMPUTED_VALUE"""),"#REF!")</f>
        <v>#REF!</v>
      </c>
      <c r="N4960" s="17"/>
      <c r="O4960" s="17"/>
      <c r="P4960" s="17" t="b">
        <f>IFERROR(__xludf.DUMMYFUNCTION("""COMPUTED_VALUE"""),TRUE)</f>
        <v>1</v>
      </c>
      <c r="Q4960" s="20">
        <f>IFERROR(__xludf.DUMMYFUNCTION("""COMPUTED_VALUE"""),45148.604710694446)</f>
        <v>45148.60471</v>
      </c>
      <c r="R4960" s="21" t="str">
        <f>IFERROR(__xludf.DUMMYFUNCTION("""COMPUTED_VALUE"""),"https://drive.google.com/file/d/1hx3S77d9VRNej8myyO2RzZHb2aXhDq9D/view?usp=drivesdk")</f>
        <v>https://drive.google.com/file/d/1hx3S77d9VRNej8myyO2RzZHb2aXhDq9D/view?usp=drivesdk</v>
      </c>
    </row>
    <row r="4961">
      <c r="A4961" s="15">
        <f>IFERROR(__xludf.DUMMYFUNCTION("""COMPUTED_VALUE"""),45147.0)</f>
        <v>45147</v>
      </c>
      <c r="B4961" s="16" t="str">
        <f>IFERROR(__xludf.DUMMYFUNCTION("""COMPUTED_VALUE"""),"Envia")</f>
        <v>Envia</v>
      </c>
      <c r="C4961" s="15" t="str">
        <f>IFERROR(__xludf.DUMMYFUNCTION("""COMPUTED_VALUE"""),"CALI")</f>
        <v>CALI</v>
      </c>
      <c r="D4961" s="15" t="str">
        <f>IFERROR(__xludf.DUMMYFUNCTION("""COMPUTED_VALUE"""),"BOGOTÁ")</f>
        <v>BOGOTÁ</v>
      </c>
      <c r="E4961" s="15" t="str">
        <f>IFERROR(__xludf.DUMMYFUNCTION("""COMPUTED_VALUE"""),"Karem foods")</f>
        <v>Karem foods</v>
      </c>
      <c r="F4961" s="17" t="str">
        <f>IFERROR(__xludf.DUMMYFUNCTION("""COMPUTED_VALUE"""),"Kr 9 a oeste # 3-140 / Conjunto residencial altos  / De arboleda")</f>
        <v>Kr 9 a oeste # 3-140 / Conjunto residencial altos  / De arboleda</v>
      </c>
      <c r="G4961" s="15" t="str">
        <f>IFERROR(__xludf.DUMMYFUNCTION("""COMPUTED_VALUE"""),"Nathalia López")</f>
        <v>Nathalia López</v>
      </c>
      <c r="H4961" s="16">
        <f>IFERROR(__xludf.DUMMYFUNCTION("""COMPUTED_VALUE"""),13752.0)</f>
        <v>13752</v>
      </c>
      <c r="I4961" s="18">
        <f>IFERROR(__xludf.DUMMYFUNCTION("""COMPUTED_VALUE"""),15.0)</f>
        <v>15</v>
      </c>
      <c r="J4961" s="18">
        <f>IFERROR(__xludf.DUMMYFUNCTION("""COMPUTED_VALUE"""),12.0)</f>
        <v>12</v>
      </c>
      <c r="K4961" s="18">
        <f>IFERROR(__xludf.DUMMYFUNCTION("""COMPUTED_VALUE"""),12.0)</f>
        <v>12</v>
      </c>
      <c r="L4961" s="17">
        <f>IFERROR(__xludf.DUMMYFUNCTION("""COMPUTED_VALUE"""),3.045768274E9)</f>
        <v>3045768274</v>
      </c>
      <c r="M4961" s="17" t="str">
        <f>IFERROR(__xludf.DUMMYFUNCTION("""COMPUTED_VALUE"""),"#REF!")</f>
        <v>#REF!</v>
      </c>
      <c r="N4961" s="17"/>
      <c r="O4961" s="17"/>
      <c r="P4961" s="17" t="b">
        <f>IFERROR(__xludf.DUMMYFUNCTION("""COMPUTED_VALUE"""),TRUE)</f>
        <v>1</v>
      </c>
      <c r="Q4961" s="20">
        <f>IFERROR(__xludf.DUMMYFUNCTION("""COMPUTED_VALUE"""),45148.604710694446)</f>
        <v>45148.60471</v>
      </c>
      <c r="R4961" s="21" t="str">
        <f>IFERROR(__xludf.DUMMYFUNCTION("""COMPUTED_VALUE"""),"https://drive.google.com/file/d/1npq3z5go3Hvz7Ll4ldSifCXdDcn31xKe/view?usp=drivesdk")</f>
        <v>https://drive.google.com/file/d/1npq3z5go3Hvz7Ll4ldSifCXdDcn31xKe/view?usp=drivesdk</v>
      </c>
    </row>
    <row r="4962">
      <c r="A4962" s="15">
        <f>IFERROR(__xludf.DUMMYFUNCTION("""COMPUTED_VALUE"""),45147.0)</f>
        <v>45147</v>
      </c>
      <c r="B4962" s="16" t="str">
        <f>IFERROR(__xludf.DUMMYFUNCTION("""COMPUTED_VALUE"""),"Envia")</f>
        <v>Envia</v>
      </c>
      <c r="C4962" s="15" t="str">
        <f>IFERROR(__xludf.DUMMYFUNCTION("""COMPUTED_VALUE"""),"CALI")</f>
        <v>CALI</v>
      </c>
      <c r="D4962" s="15" t="str">
        <f>IFERROR(__xludf.DUMMYFUNCTION("""COMPUTED_VALUE"""),"BOGOTÁ")</f>
        <v>BOGOTÁ</v>
      </c>
      <c r="E4962" s="15" t="str">
        <f>IFERROR(__xludf.DUMMYFUNCTION("""COMPUTED_VALUE"""),"Olü")</f>
        <v>Olü</v>
      </c>
      <c r="F4962" s="17" t="str">
        <f>IFERROR(__xludf.DUMMYFUNCTION("""COMPUTED_VALUE"""),"Calle 16 # 85-10  / Local 102 / Barrio Ingenio")</f>
        <v>Calle 16 # 85-10  / Local 102 / Barrio Ingenio</v>
      </c>
      <c r="G4962" s="15" t="str">
        <f>IFERROR(__xludf.DUMMYFUNCTION("""COMPUTED_VALUE"""),"Jessica Guerrero")</f>
        <v>Jessica Guerrero</v>
      </c>
      <c r="H4962" s="16">
        <f>IFERROR(__xludf.DUMMYFUNCTION("""COMPUTED_VALUE"""),13676.0)</f>
        <v>13676</v>
      </c>
      <c r="I4962" s="18">
        <f>IFERROR(__xludf.DUMMYFUNCTION("""COMPUTED_VALUE"""),50.0)</f>
        <v>50</v>
      </c>
      <c r="J4962" s="18">
        <f>IFERROR(__xludf.DUMMYFUNCTION("""COMPUTED_VALUE"""),50.0)</f>
        <v>50</v>
      </c>
      <c r="K4962" s="18">
        <f>IFERROR(__xludf.DUMMYFUNCTION("""COMPUTED_VALUE"""),50.0)</f>
        <v>50</v>
      </c>
      <c r="L4962" s="17">
        <f>IFERROR(__xludf.DUMMYFUNCTION("""COMPUTED_VALUE"""),3.112664694E9)</f>
        <v>3112664694</v>
      </c>
      <c r="M4962" s="17" t="str">
        <f>IFERROR(__xludf.DUMMYFUNCTION("""COMPUTED_VALUE"""),"#REF!")</f>
        <v>#REF!</v>
      </c>
      <c r="N4962" s="17"/>
      <c r="O4962" s="17"/>
      <c r="P4962" s="17" t="b">
        <f>IFERROR(__xludf.DUMMYFUNCTION("""COMPUTED_VALUE"""),TRUE)</f>
        <v>1</v>
      </c>
      <c r="Q4962" s="20">
        <f>IFERROR(__xludf.DUMMYFUNCTION("""COMPUTED_VALUE"""),45148.604710694446)</f>
        <v>45148.60471</v>
      </c>
      <c r="R4962" s="22" t="str">
        <f>IFERROR(__xludf.DUMMYFUNCTION("""COMPUTED_VALUE"""),"")</f>
        <v/>
      </c>
    </row>
    <row r="4963">
      <c r="A4963" s="15">
        <f>IFERROR(__xludf.DUMMYFUNCTION("""COMPUTED_VALUE"""),45147.0)</f>
        <v>45147</v>
      </c>
      <c r="B4963" s="16" t="str">
        <f>IFERROR(__xludf.DUMMYFUNCTION("""COMPUTED_VALUE"""),"Envia")</f>
        <v>Envia</v>
      </c>
      <c r="C4963" s="15" t="str">
        <f>IFERROR(__xludf.DUMMYFUNCTION("""COMPUTED_VALUE"""),"CALI")</f>
        <v>CALI</v>
      </c>
      <c r="D4963" s="15" t="str">
        <f>IFERROR(__xludf.DUMMYFUNCTION("""COMPUTED_VALUE"""),"BOGOTÁ")</f>
        <v>BOGOTÁ</v>
      </c>
      <c r="E4963" s="15" t="str">
        <f>IFERROR(__xludf.DUMMYFUNCTION("""COMPUTED_VALUE"""),"Viiva Fermentados")</f>
        <v>Viiva Fermentados</v>
      </c>
      <c r="F4963" s="17" t="str">
        <f>IFERROR(__xludf.DUMMYFUNCTION("""COMPUTED_VALUE"""),"Av 5 Nte # 42 - 42 la flora  / Tienda Ecohuerta / La Flora")</f>
        <v>Av 5 Nte # 42 - 42 la flora  / Tienda Ecohuerta / La Flora</v>
      </c>
      <c r="G4963" s="15" t="str">
        <f>IFERROR(__xludf.DUMMYFUNCTION("""COMPUTED_VALUE"""),"Isabel Cristina - Ecohuerta Cali")</f>
        <v>Isabel Cristina - Ecohuerta Cali</v>
      </c>
      <c r="H4963" s="16">
        <f>IFERROR(__xludf.DUMMYFUNCTION("""COMPUTED_VALUE"""),13760.0)</f>
        <v>13760</v>
      </c>
      <c r="I4963" s="18">
        <f>IFERROR(__xludf.DUMMYFUNCTION("""COMPUTED_VALUE"""),28.0)</f>
        <v>28</v>
      </c>
      <c r="J4963" s="18">
        <f>IFERROR(__xludf.DUMMYFUNCTION("""COMPUTED_VALUE"""),36.0)</f>
        <v>36</v>
      </c>
      <c r="K4963" s="18">
        <f>IFERROR(__xludf.DUMMYFUNCTION("""COMPUTED_VALUE"""),24.0)</f>
        <v>24</v>
      </c>
      <c r="L4963" s="17">
        <f>IFERROR(__xludf.DUMMYFUNCTION("""COMPUTED_VALUE"""),3.113856209E9)</f>
        <v>3113856209</v>
      </c>
      <c r="M4963" s="17" t="str">
        <f>IFERROR(__xludf.DUMMYFUNCTION("""COMPUTED_VALUE"""),"#REF!")</f>
        <v>#REF!</v>
      </c>
      <c r="N4963" s="17"/>
      <c r="O4963" s="17"/>
      <c r="P4963" s="17" t="b">
        <f>IFERROR(__xludf.DUMMYFUNCTION("""COMPUTED_VALUE"""),FALSE)</f>
        <v>0</v>
      </c>
      <c r="Q4963" s="20" t="str">
        <f>IFERROR(__xludf.DUMMYFUNCTION("""COMPUTED_VALUE"""),"")</f>
        <v/>
      </c>
      <c r="R4963" s="21" t="str">
        <f>IFERROR(__xludf.DUMMYFUNCTION("""COMPUTED_VALUE"""),"https://drive.google.com/file/d/1uczcXGuTLZvZaJIa4OMqXA5dM5ND-rk9/view?usp=drivesdk")</f>
        <v>https://drive.google.com/file/d/1uczcXGuTLZvZaJIa4OMqXA5dM5ND-rk9/view?usp=drivesdk</v>
      </c>
    </row>
    <row r="4964">
      <c r="A4964" s="15">
        <f>IFERROR(__xludf.DUMMYFUNCTION("""COMPUTED_VALUE"""),45147.0)</f>
        <v>45147</v>
      </c>
      <c r="B4964" s="16" t="str">
        <f>IFERROR(__xludf.DUMMYFUNCTION("""COMPUTED_VALUE"""),"Envia")</f>
        <v>Envia</v>
      </c>
      <c r="C4964" s="15" t="str">
        <f>IFERROR(__xludf.DUMMYFUNCTION("""COMPUTED_VALUE"""),"IBAGUÉ")</f>
        <v>IBAGUÉ</v>
      </c>
      <c r="D4964" s="15" t="str">
        <f>IFERROR(__xludf.DUMMYFUNCTION("""COMPUTED_VALUE"""),"BOGOTÁ")</f>
        <v>BOGOTÁ</v>
      </c>
      <c r="E4964" s="15" t="str">
        <f>IFERROR(__xludf.DUMMYFUNCTION("""COMPUTED_VALUE"""),"Asociacion Agropecuaria Juana Maria")</f>
        <v>Asociacion Agropecuaria Juana Maria</v>
      </c>
      <c r="F4964" s="17" t="str">
        <f>IFERROR(__xludf.DUMMYFUNCTION("""COMPUTED_VALUE"""),"Calle 93 # 7 Sur-90 torre 7 apto 701 Conjunto Residencial Altagracia")</f>
        <v>Calle 93 # 7 Sur-90 torre 7 apto 701 Conjunto Residencial Altagracia</v>
      </c>
      <c r="G4964" s="15" t="str">
        <f>IFERROR(__xludf.DUMMYFUNCTION("""COMPUTED_VALUE"""),"Mariam Yasmin Murillo Rubio")</f>
        <v>Mariam Yasmin Murillo Rubio</v>
      </c>
      <c r="H4964" s="16">
        <f>IFERROR(__xludf.DUMMYFUNCTION("""COMPUTED_VALUE"""),13620.0)</f>
        <v>13620</v>
      </c>
      <c r="I4964" s="18">
        <f>IFERROR(__xludf.DUMMYFUNCTION("""COMPUTED_VALUE"""),28.0)</f>
        <v>28</v>
      </c>
      <c r="J4964" s="18">
        <f>IFERROR(__xludf.DUMMYFUNCTION("""COMPUTED_VALUE"""),37.0)</f>
        <v>37</v>
      </c>
      <c r="K4964" s="18">
        <f>IFERROR(__xludf.DUMMYFUNCTION("""COMPUTED_VALUE"""),30.0)</f>
        <v>30</v>
      </c>
      <c r="L4964" s="17">
        <f>IFERROR(__xludf.DUMMYFUNCTION("""COMPUTED_VALUE"""),3.105789664E9)</f>
        <v>3105789664</v>
      </c>
      <c r="M4964" s="17" t="str">
        <f>IFERROR(__xludf.DUMMYFUNCTION("""COMPUTED_VALUE"""),"#REF!")</f>
        <v>#REF!</v>
      </c>
      <c r="N4964" s="17"/>
      <c r="O4964" s="17"/>
      <c r="P4964" s="17" t="b">
        <f>IFERROR(__xludf.DUMMYFUNCTION("""COMPUTED_VALUE"""),FALSE)</f>
        <v>0</v>
      </c>
      <c r="Q4964" s="20" t="str">
        <f>IFERROR(__xludf.DUMMYFUNCTION("""COMPUTED_VALUE"""),"")</f>
        <v/>
      </c>
      <c r="R4964" s="21" t="str">
        <f>IFERROR(__xludf.DUMMYFUNCTION("""COMPUTED_VALUE"""),"https://drive.google.com/file/d/1jbYQYlmq_WPLrJ3epOTkzqC_Y3skJ4mC/view?usp=drivesdk")</f>
        <v>https://drive.google.com/file/d/1jbYQYlmq_WPLrJ3epOTkzqC_Y3skJ4mC/view?usp=drivesdk</v>
      </c>
    </row>
    <row r="4965">
      <c r="A4965" s="15">
        <f>IFERROR(__xludf.DUMMYFUNCTION("""COMPUTED_VALUE"""),45147.0)</f>
        <v>45147</v>
      </c>
      <c r="B4965" s="16" t="str">
        <f>IFERROR(__xludf.DUMMYFUNCTION("""COMPUTED_VALUE"""),"Envia")</f>
        <v>Envia</v>
      </c>
      <c r="C4965" s="15" t="str">
        <f>IFERROR(__xludf.DUMMYFUNCTION("""COMPUTED_VALUE"""),"MEDELLÍN")</f>
        <v>MEDELLÍN</v>
      </c>
      <c r="D4965" s="15" t="str">
        <f>IFERROR(__xludf.DUMMYFUNCTION("""COMPUTED_VALUE"""),"BOGOTÁ")</f>
        <v>BOGOTÁ</v>
      </c>
      <c r="E4965" s="15" t="str">
        <f>IFERROR(__xludf.DUMMYFUNCTION("""COMPUTED_VALUE"""),"Asociacion Agropecuaria Juana Maria")</f>
        <v>Asociacion Agropecuaria Juana Maria</v>
      </c>
      <c r="F4965" s="17" t="str">
        <f>IFERROR(__xludf.DUMMYFUNCTION("""COMPUTED_VALUE"""),"Cra 82C # 30A-100 apto 1202 urbanizacion Torres de Vicuña Belen los Alpes")</f>
        <v>Cra 82C # 30A-100 apto 1202 urbanizacion Torres de Vicuña Belen los Alpes</v>
      </c>
      <c r="G4965" s="15" t="str">
        <f>IFERROR(__xludf.DUMMYFUNCTION("""COMPUTED_VALUE"""),"Gloria Moreno")</f>
        <v>Gloria Moreno</v>
      </c>
      <c r="H4965" s="16">
        <f>IFERROR(__xludf.DUMMYFUNCTION("""COMPUTED_VALUE"""),13619.0)</f>
        <v>13619</v>
      </c>
      <c r="I4965" s="18">
        <f>IFERROR(__xludf.DUMMYFUNCTION("""COMPUTED_VALUE"""),25.0)</f>
        <v>25</v>
      </c>
      <c r="J4965" s="18">
        <f>IFERROR(__xludf.DUMMYFUNCTION("""COMPUTED_VALUE"""),18.0)</f>
        <v>18</v>
      </c>
      <c r="K4965" s="18">
        <f>IFERROR(__xludf.DUMMYFUNCTION("""COMPUTED_VALUE"""),3.0)</f>
        <v>3</v>
      </c>
      <c r="L4965" s="17">
        <f>IFERROR(__xludf.DUMMYFUNCTION("""COMPUTED_VALUE"""),3.162544201E9)</f>
        <v>3162544201</v>
      </c>
      <c r="M4965" s="17" t="str">
        <f>IFERROR(__xludf.DUMMYFUNCTION("""COMPUTED_VALUE"""),"#REF!")</f>
        <v>#REF!</v>
      </c>
      <c r="N4965" s="17"/>
      <c r="O4965" s="17"/>
      <c r="P4965" s="17" t="b">
        <f>IFERROR(__xludf.DUMMYFUNCTION("""COMPUTED_VALUE"""),FALSE)</f>
        <v>0</v>
      </c>
      <c r="Q4965" s="20" t="str">
        <f>IFERROR(__xludf.DUMMYFUNCTION("""COMPUTED_VALUE"""),"")</f>
        <v/>
      </c>
      <c r="R4965" s="22" t="str">
        <f>IFERROR(__xludf.DUMMYFUNCTION("""COMPUTED_VALUE"""),"")</f>
        <v/>
      </c>
    </row>
    <row r="4966">
      <c r="A4966" s="15">
        <f>IFERROR(__xludf.DUMMYFUNCTION("""COMPUTED_VALUE"""),45147.0)</f>
        <v>45147</v>
      </c>
      <c r="B4966" s="16" t="str">
        <f>IFERROR(__xludf.DUMMYFUNCTION("""COMPUTED_VALUE"""),"Envia")</f>
        <v>Envia</v>
      </c>
      <c r="C4966" s="15" t="str">
        <f>IFERROR(__xludf.DUMMYFUNCTION("""COMPUTED_VALUE"""),"MEDELLÍN")</f>
        <v>MEDELLÍN</v>
      </c>
      <c r="D4966" s="15" t="str">
        <f>IFERROR(__xludf.DUMMYFUNCTION("""COMPUTED_VALUE"""),"BOGOTÁ")</f>
        <v>BOGOTÁ</v>
      </c>
      <c r="E4966" s="15" t="str">
        <f>IFERROR(__xludf.DUMMYFUNCTION("""COMPUTED_VALUE"""),"Evamazzita")</f>
        <v>Evamazzita</v>
      </c>
      <c r="F4966" s="17" t="str">
        <f>IFERROR(__xludf.DUMMYFUNCTION("""COMPUTED_VALUE"""),"Calle 93c # 83 a 81 / Barrio Robledo Primaveral / ROBLEDO PRIMAVERAL")</f>
        <v>Calle 93c # 83 a 81 / Barrio Robledo Primaveral / ROBLEDO PRIMAVERAL</v>
      </c>
      <c r="G4966" s="15" t="str">
        <f>IFERROR(__xludf.DUMMYFUNCTION("""COMPUTED_VALUE"""),"MILENA JARAMILLO ACEVEDO")</f>
        <v>MILENA JARAMILLO ACEVEDO</v>
      </c>
      <c r="H4966" s="16">
        <f>IFERROR(__xludf.DUMMYFUNCTION("""COMPUTED_VALUE"""),13722.0)</f>
        <v>13722</v>
      </c>
      <c r="I4966" s="18">
        <f>IFERROR(__xludf.DUMMYFUNCTION("""COMPUTED_VALUE"""),1.0)</f>
        <v>1</v>
      </c>
      <c r="J4966" s="18">
        <f>IFERROR(__xludf.DUMMYFUNCTION("""COMPUTED_VALUE"""),1.0)</f>
        <v>1</v>
      </c>
      <c r="K4966" s="18">
        <f>IFERROR(__xludf.DUMMYFUNCTION("""COMPUTED_VALUE"""),1.0)</f>
        <v>1</v>
      </c>
      <c r="L4966" s="17">
        <f>IFERROR(__xludf.DUMMYFUNCTION("""COMPUTED_VALUE"""),3.005579612E9)</f>
        <v>3005579612</v>
      </c>
      <c r="M4966" s="17" t="str">
        <f>IFERROR(__xludf.DUMMYFUNCTION("""COMPUTED_VALUE"""),"#REF!")</f>
        <v>#REF!</v>
      </c>
      <c r="N4966" s="17"/>
      <c r="O4966" s="17"/>
      <c r="P4966" s="17" t="b">
        <f>IFERROR(__xludf.DUMMYFUNCTION("""COMPUTED_VALUE"""),FALSE)</f>
        <v>0</v>
      </c>
      <c r="Q4966" s="20" t="str">
        <f>IFERROR(__xludf.DUMMYFUNCTION("""COMPUTED_VALUE"""),"")</f>
        <v/>
      </c>
      <c r="R4966" s="21" t="str">
        <f>IFERROR(__xludf.DUMMYFUNCTION("""COMPUTED_VALUE"""),"https://drive.google.com/file/d/1JwBq0tSvGaaEuAb0Z0Ue-3yzyoqsVAA-/view?usp=drivesdk")</f>
        <v>https://drive.google.com/file/d/1JwBq0tSvGaaEuAb0Z0Ue-3yzyoqsVAA-/view?usp=drivesdk</v>
      </c>
    </row>
    <row r="4967">
      <c r="A4967" s="15">
        <f>IFERROR(__xludf.DUMMYFUNCTION("""COMPUTED_VALUE"""),45147.0)</f>
        <v>45147</v>
      </c>
      <c r="B4967" s="16" t="str">
        <f>IFERROR(__xludf.DUMMYFUNCTION("""COMPUTED_VALUE"""),"Envia")</f>
        <v>Envia</v>
      </c>
      <c r="C4967" s="15" t="str">
        <f>IFERROR(__xludf.DUMMYFUNCTION("""COMPUTED_VALUE"""),"MEDELLÍN")</f>
        <v>MEDELLÍN</v>
      </c>
      <c r="D4967" s="15" t="str">
        <f>IFERROR(__xludf.DUMMYFUNCTION("""COMPUTED_VALUE"""),"BOGOTÁ")</f>
        <v>BOGOTÁ</v>
      </c>
      <c r="E4967" s="15" t="str">
        <f>IFERROR(__xludf.DUMMYFUNCTION("""COMPUTED_VALUE"""),"Evamazzita")</f>
        <v>Evamazzita</v>
      </c>
      <c r="F4967" s="17" t="str">
        <f>IFERROR(__xludf.DUMMYFUNCTION("""COMPUTED_VALUE"""),"Cr 44 # 18 56 / Apto 2501 / RESERVA DEL RIO")</f>
        <v>Cr 44 # 18 56 / Apto 2501 / RESERVA DEL RIO</v>
      </c>
      <c r="G4967" s="15" t="str">
        <f>IFERROR(__xludf.DUMMYFUNCTION("""COMPUTED_VALUE"""),"CAROLINA ENCISO")</f>
        <v>CAROLINA ENCISO</v>
      </c>
      <c r="H4967" s="16">
        <f>IFERROR(__xludf.DUMMYFUNCTION("""COMPUTED_VALUE"""),13719.0)</f>
        <v>13719</v>
      </c>
      <c r="I4967" s="18">
        <f>IFERROR(__xludf.DUMMYFUNCTION("""COMPUTED_VALUE"""),1.0)</f>
        <v>1</v>
      </c>
      <c r="J4967" s="18">
        <f>IFERROR(__xludf.DUMMYFUNCTION("""COMPUTED_VALUE"""),1.0)</f>
        <v>1</v>
      </c>
      <c r="K4967" s="18">
        <f>IFERROR(__xludf.DUMMYFUNCTION("""COMPUTED_VALUE"""),1.0)</f>
        <v>1</v>
      </c>
      <c r="L4967" s="17">
        <f>IFERROR(__xludf.DUMMYFUNCTION("""COMPUTED_VALUE"""),3.006746836E9)</f>
        <v>3006746836</v>
      </c>
      <c r="M4967" s="17" t="str">
        <f>IFERROR(__xludf.DUMMYFUNCTION("""COMPUTED_VALUE"""),"#REF!")</f>
        <v>#REF!</v>
      </c>
      <c r="N4967" s="17"/>
      <c r="O4967" s="17"/>
      <c r="P4967" s="17" t="b">
        <f>IFERROR(__xludf.DUMMYFUNCTION("""COMPUTED_VALUE"""),FALSE)</f>
        <v>0</v>
      </c>
      <c r="Q4967" s="20" t="str">
        <f>IFERROR(__xludf.DUMMYFUNCTION("""COMPUTED_VALUE"""),"")</f>
        <v/>
      </c>
      <c r="R4967" s="21" t="str">
        <f>IFERROR(__xludf.DUMMYFUNCTION("""COMPUTED_VALUE"""),"https://drive.google.com/file/d/1NisvMZCXD2JCK6rFpdVTEYMtXqj1GmcW/view?usp=drivesdk")</f>
        <v>https://drive.google.com/file/d/1NisvMZCXD2JCK6rFpdVTEYMtXqj1GmcW/view?usp=drivesdk</v>
      </c>
    </row>
    <row r="4968">
      <c r="A4968" s="15">
        <f>IFERROR(__xludf.DUMMYFUNCTION("""COMPUTED_VALUE"""),45147.0)</f>
        <v>45147</v>
      </c>
      <c r="B4968" s="16" t="str">
        <f>IFERROR(__xludf.DUMMYFUNCTION("""COMPUTED_VALUE"""),"Envia")</f>
        <v>Envia</v>
      </c>
      <c r="C4968" s="15" t="str">
        <f>IFERROR(__xludf.DUMMYFUNCTION("""COMPUTED_VALUE"""),"MEDELLÍN")</f>
        <v>MEDELLÍN</v>
      </c>
      <c r="D4968" s="15" t="str">
        <f>IFERROR(__xludf.DUMMYFUNCTION("""COMPUTED_VALUE"""),"BOGOTÁ")</f>
        <v>BOGOTÁ</v>
      </c>
      <c r="E4968" s="15" t="str">
        <f>IFERROR(__xludf.DUMMYFUNCTION("""COMPUTED_VALUE"""),"Karem foods")</f>
        <v>Karem foods</v>
      </c>
      <c r="F4968" s="17" t="str">
        <f>IFERROR(__xludf.DUMMYFUNCTION("""COMPUTED_VALUE"""),"Carrera 43c # 4 sur - 199  / Rincón de Oviedo apto 708  / Medellín")</f>
        <v>Carrera 43c # 4 sur - 199  / Rincón de Oviedo apto 708  / Medellín</v>
      </c>
      <c r="G4968" s="15" t="str">
        <f>IFERROR(__xludf.DUMMYFUNCTION("""COMPUTED_VALUE"""),"Daniela saldarriaga")</f>
        <v>Daniela saldarriaga</v>
      </c>
      <c r="H4968" s="16">
        <f>IFERROR(__xludf.DUMMYFUNCTION("""COMPUTED_VALUE"""),13750.0)</f>
        <v>13750</v>
      </c>
      <c r="I4968" s="18">
        <f>IFERROR(__xludf.DUMMYFUNCTION("""COMPUTED_VALUE"""),8.0)</f>
        <v>8</v>
      </c>
      <c r="J4968" s="18">
        <f>IFERROR(__xludf.DUMMYFUNCTION("""COMPUTED_VALUE"""),25.0)</f>
        <v>25</v>
      </c>
      <c r="K4968" s="18">
        <f>IFERROR(__xludf.DUMMYFUNCTION("""COMPUTED_VALUE"""),25.0)</f>
        <v>25</v>
      </c>
      <c r="L4968" s="17">
        <f>IFERROR(__xludf.DUMMYFUNCTION("""COMPUTED_VALUE"""),3.045768274E9)</f>
        <v>3045768274</v>
      </c>
      <c r="M4968" s="17" t="str">
        <f>IFERROR(__xludf.DUMMYFUNCTION("""COMPUTED_VALUE"""),"#REF!")</f>
        <v>#REF!</v>
      </c>
      <c r="N4968" s="17"/>
      <c r="O4968" s="17"/>
      <c r="P4968" s="17" t="b">
        <f>IFERROR(__xludf.DUMMYFUNCTION("""COMPUTED_VALUE"""),FALSE)</f>
        <v>0</v>
      </c>
      <c r="Q4968" s="20" t="str">
        <f>IFERROR(__xludf.DUMMYFUNCTION("""COMPUTED_VALUE"""),"")</f>
        <v/>
      </c>
      <c r="R4968" s="22" t="str">
        <f>IFERROR(__xludf.DUMMYFUNCTION("""COMPUTED_VALUE"""),"")</f>
        <v/>
      </c>
    </row>
    <row r="4969">
      <c r="A4969" s="15">
        <f>IFERROR(__xludf.DUMMYFUNCTION("""COMPUTED_VALUE"""),45147.0)</f>
        <v>45147</v>
      </c>
      <c r="B4969" s="16" t="str">
        <f>IFERROR(__xludf.DUMMYFUNCTION("""COMPUTED_VALUE"""),"Envia")</f>
        <v>Envia</v>
      </c>
      <c r="C4969" s="15" t="str">
        <f>IFERROR(__xludf.DUMMYFUNCTION("""COMPUTED_VALUE"""),"MEDELLÍN")</f>
        <v>MEDELLÍN</v>
      </c>
      <c r="D4969" s="15" t="str">
        <f>IFERROR(__xludf.DUMMYFUNCTION("""COMPUTED_VALUE"""),"BOGOTÁ")</f>
        <v>BOGOTÁ</v>
      </c>
      <c r="E4969" s="15" t="str">
        <f>IFERROR(__xludf.DUMMYFUNCTION("""COMPUTED_VALUE"""),"Lunchy Kids")</f>
        <v>Lunchy Kids</v>
      </c>
      <c r="F4969" s="17" t="str">
        <f>IFERROR(__xludf.DUMMYFUNCTION("""COMPUTED_VALUE"""),"Calle 46E sur # 42b - 30  / Casa primer piso / Medellin")</f>
        <v>Calle 46E sur # 42b - 30  / Casa primer piso / Medellin</v>
      </c>
      <c r="G4969" s="15" t="str">
        <f>IFERROR(__xludf.DUMMYFUNCTION("""COMPUTED_VALUE"""),"Pamela Peché")</f>
        <v>Pamela Peché</v>
      </c>
      <c r="H4969" s="16">
        <f>IFERROR(__xludf.DUMMYFUNCTION("""COMPUTED_VALUE"""),13674.0)</f>
        <v>13674</v>
      </c>
      <c r="I4969" s="18">
        <f>IFERROR(__xludf.DUMMYFUNCTION("""COMPUTED_VALUE"""),25.0)</f>
        <v>25</v>
      </c>
      <c r="J4969" s="18">
        <f>IFERROR(__xludf.DUMMYFUNCTION("""COMPUTED_VALUE"""),29.0)</f>
        <v>29</v>
      </c>
      <c r="K4969" s="18">
        <f>IFERROR(__xludf.DUMMYFUNCTION("""COMPUTED_VALUE"""),8.0)</f>
        <v>8</v>
      </c>
      <c r="L4969" s="17">
        <f>IFERROR(__xludf.DUMMYFUNCTION("""COMPUTED_VALUE"""),3.113421539E9)</f>
        <v>3113421539</v>
      </c>
      <c r="M4969" s="17" t="str">
        <f>IFERROR(__xludf.DUMMYFUNCTION("""COMPUTED_VALUE"""),"#REF!")</f>
        <v>#REF!</v>
      </c>
      <c r="N4969" s="17"/>
      <c r="O4969" s="17"/>
      <c r="P4969" s="17" t="b">
        <f>IFERROR(__xludf.DUMMYFUNCTION("""COMPUTED_VALUE"""),FALSE)</f>
        <v>0</v>
      </c>
      <c r="Q4969" s="20" t="str">
        <f>IFERROR(__xludf.DUMMYFUNCTION("""COMPUTED_VALUE"""),"")</f>
        <v/>
      </c>
      <c r="R4969" s="22" t="str">
        <f>IFERROR(__xludf.DUMMYFUNCTION("""COMPUTED_VALUE"""),"")</f>
        <v/>
      </c>
    </row>
    <row r="4970">
      <c r="A4970" s="15">
        <f>IFERROR(__xludf.DUMMYFUNCTION("""COMPUTED_VALUE"""),45147.0)</f>
        <v>45147</v>
      </c>
      <c r="B4970" s="16" t="str">
        <f>IFERROR(__xludf.DUMMYFUNCTION("""COMPUTED_VALUE"""),"Envia")</f>
        <v>Envia</v>
      </c>
      <c r="C4970" s="15" t="str">
        <f>IFERROR(__xludf.DUMMYFUNCTION("""COMPUTED_VALUE"""),"MEDELLÍN")</f>
        <v>MEDELLÍN</v>
      </c>
      <c r="D4970" s="15" t="str">
        <f>IFERROR(__xludf.DUMMYFUNCTION("""COMPUTED_VALUE"""),"BOGOTÁ")</f>
        <v>BOGOTÁ</v>
      </c>
      <c r="E4970" s="15" t="str">
        <f>IFERROR(__xludf.DUMMYFUNCTION("""COMPUTED_VALUE"""),"Top Spun")</f>
        <v>Top Spun</v>
      </c>
      <c r="F4970" s="17" t="str">
        <f>IFERROR(__xludf.DUMMYFUNCTION("""COMPUTED_VALUE"""),"CRA 25A # 1A SUR - 45  / BODEGA # 3NP-B-03 SÓTANO S4 ROJO / PARQUE COMERCIAL EL TESORO")</f>
        <v>CRA 25A # 1A SUR - 45  / BODEGA # 3NP-B-03 SÓTANO S4 ROJO / PARQUE COMERCIAL EL TESORO</v>
      </c>
      <c r="G4970" s="15" t="str">
        <f>IFERROR(__xludf.DUMMYFUNCTION("""COMPUTED_VALUE"""),"MERKAORGANICO NATURAL SAS")</f>
        <v>MERKAORGANICO NATURAL SAS</v>
      </c>
      <c r="H4970" s="16">
        <f>IFERROR(__xludf.DUMMYFUNCTION("""COMPUTED_VALUE"""),13766.0)</f>
        <v>13766</v>
      </c>
      <c r="I4970" s="18">
        <f>IFERROR(__xludf.DUMMYFUNCTION("""COMPUTED_VALUE"""),20.0)</f>
        <v>20</v>
      </c>
      <c r="J4970" s="18">
        <f>IFERROR(__xludf.DUMMYFUNCTION("""COMPUTED_VALUE"""),10.0)</f>
        <v>10</v>
      </c>
      <c r="K4970" s="18">
        <f>IFERROR(__xludf.DUMMYFUNCTION("""COMPUTED_VALUE"""),40.0)</f>
        <v>40</v>
      </c>
      <c r="L4970" s="17">
        <f>IFERROR(__xludf.DUMMYFUNCTION("""COMPUTED_VALUE"""),3.014489297E9)</f>
        <v>3014489297</v>
      </c>
      <c r="M4970" s="17" t="str">
        <f>IFERROR(__xludf.DUMMYFUNCTION("""COMPUTED_VALUE"""),"#REF!")</f>
        <v>#REF!</v>
      </c>
      <c r="N4970" s="17"/>
      <c r="O4970" s="17"/>
      <c r="P4970" s="17" t="b">
        <f>IFERROR(__xludf.DUMMYFUNCTION("""COMPUTED_VALUE"""),FALSE)</f>
        <v>0</v>
      </c>
      <c r="Q4970" s="20" t="str">
        <f>IFERROR(__xludf.DUMMYFUNCTION("""COMPUTED_VALUE"""),"")</f>
        <v/>
      </c>
      <c r="R4970" s="21" t="str">
        <f>IFERROR(__xludf.DUMMYFUNCTION("""COMPUTED_VALUE"""),"https://drive.google.com/file/d/1aNHYRMmIapRpJay7NiW-KJE-iQLLbDJq/view?usp=drivesdk")</f>
        <v>https://drive.google.com/file/d/1aNHYRMmIapRpJay7NiW-KJE-iQLLbDJq/view?usp=drivesdk</v>
      </c>
    </row>
    <row r="4971">
      <c r="A4971" s="15">
        <f>IFERROR(__xludf.DUMMYFUNCTION("""COMPUTED_VALUE"""),45147.0)</f>
        <v>45147</v>
      </c>
      <c r="B4971" s="16" t="str">
        <f>IFERROR(__xludf.DUMMYFUNCTION("""COMPUTED_VALUE"""),"Envia")</f>
        <v>Envia</v>
      </c>
      <c r="C4971" s="15" t="str">
        <f>IFERROR(__xludf.DUMMYFUNCTION("""COMPUTED_VALUE"""),"MOSQUERA")</f>
        <v>MOSQUERA</v>
      </c>
      <c r="D4971" s="15" t="str">
        <f>IFERROR(__xludf.DUMMYFUNCTION("""COMPUTED_VALUE"""),"MEDELLÍN")</f>
        <v>MEDELLÍN</v>
      </c>
      <c r="E4971" s="15" t="str">
        <f>IFERROR(__xludf.DUMMYFUNCTION("""COMPUTED_VALUE"""),"Rambla")</f>
        <v>Rambla</v>
      </c>
      <c r="F4971" s="17" t="str">
        <f>IFERROR(__xludf.DUMMYFUNCTION("""COMPUTED_VALUE"""),"Cra 3A 17 sur 93. Local 124 Bida. Mall comercial Meridiando Novaterra. Mosquera, cundinamarca / . / .")</f>
        <v>Cra 3A 17 sur 93. Local 124 Bida. Mall comercial Meridiando Novaterra. Mosquera, cundinamarca / . / .</v>
      </c>
      <c r="G4971" s="15" t="str">
        <f>IFERROR(__xludf.DUMMYFUNCTION("""COMPUTED_VALUE"""),"Bida Coffe &amp; Market")</f>
        <v>Bida Coffe &amp; Market</v>
      </c>
      <c r="H4971" s="16">
        <f>IFERROR(__xludf.DUMMYFUNCTION("""COMPUTED_VALUE"""),13770.0)</f>
        <v>13770</v>
      </c>
      <c r="I4971" s="18">
        <f>IFERROR(__xludf.DUMMYFUNCTION("""COMPUTED_VALUE"""),20.0)</f>
        <v>20</v>
      </c>
      <c r="J4971" s="18">
        <f>IFERROR(__xludf.DUMMYFUNCTION("""COMPUTED_VALUE"""),24.0)</f>
        <v>24</v>
      </c>
      <c r="K4971" s="18">
        <f>IFERROR(__xludf.DUMMYFUNCTION("""COMPUTED_VALUE"""),24.0)</f>
        <v>24</v>
      </c>
      <c r="L4971" s="17">
        <f>IFERROR(__xludf.DUMMYFUNCTION("""COMPUTED_VALUE"""),3.145782593E9)</f>
        <v>3145782593</v>
      </c>
      <c r="M4971" s="17" t="str">
        <f>IFERROR(__xludf.DUMMYFUNCTION("""COMPUTED_VALUE"""),"#REF!")</f>
        <v>#REF!</v>
      </c>
      <c r="N4971" s="17"/>
      <c r="O4971" s="17"/>
      <c r="P4971" s="17" t="b">
        <f>IFERROR(__xludf.DUMMYFUNCTION("""COMPUTED_VALUE"""),FALSE)</f>
        <v>0</v>
      </c>
      <c r="Q4971" s="20" t="str">
        <f>IFERROR(__xludf.DUMMYFUNCTION("""COMPUTED_VALUE"""),"")</f>
        <v/>
      </c>
      <c r="R4971" s="21" t="str">
        <f>IFERROR(__xludf.DUMMYFUNCTION("""COMPUTED_VALUE"""),"https://drive.google.com/file/d/1aNBkRddPpoFLFzM4A7XGCJb-7a0rkVnB/view?usp=drivesdk")</f>
        <v>https://drive.google.com/file/d/1aNBkRddPpoFLFzM4A7XGCJb-7a0rkVnB/view?usp=drivesdk</v>
      </c>
    </row>
    <row r="4972">
      <c r="A4972" s="15">
        <f>IFERROR(__xludf.DUMMYFUNCTION("""COMPUTED_VALUE"""),45147.0)</f>
        <v>45147</v>
      </c>
      <c r="B4972" s="16" t="str">
        <f>IFERROR(__xludf.DUMMYFUNCTION("""COMPUTED_VALUE"""),"Envia")</f>
        <v>Envia</v>
      </c>
      <c r="C4972" s="15" t="str">
        <f>IFERROR(__xludf.DUMMYFUNCTION("""COMPUTED_VALUE"""),"PALMIRA")</f>
        <v>PALMIRA</v>
      </c>
      <c r="D4972" s="15" t="str">
        <f>IFERROR(__xludf.DUMMYFUNCTION("""COMPUTED_VALUE"""),"BOGOTÁ")</f>
        <v>BOGOTÁ</v>
      </c>
      <c r="E4972" s="15" t="str">
        <f>IFERROR(__xludf.DUMMYFUNCTION("""COMPUTED_VALUE"""),"Evamazzita")</f>
        <v>Evamazzita</v>
      </c>
      <c r="F4972" s="17" t="str">
        <f>IFERROR(__xludf.DUMMYFUNCTION("""COMPUTED_VALUE"""),"CLL 58 # 24 76 / TO 1 AP 103 / CONJUNTO EL PALMAR  DE LAS MERCEDES - BARRIO LAS MERCEDES")</f>
        <v>CLL 58 # 24 76 / TO 1 AP 103 / CONJUNTO EL PALMAR  DE LAS MERCEDES - BARRIO LAS MERCEDES</v>
      </c>
      <c r="G4972" s="15" t="str">
        <f>IFERROR(__xludf.DUMMYFUNCTION("""COMPUTED_VALUE"""),"NATALIA DAZA")</f>
        <v>NATALIA DAZA</v>
      </c>
      <c r="H4972" s="16">
        <f>IFERROR(__xludf.DUMMYFUNCTION("""COMPUTED_VALUE"""),13740.0)</f>
        <v>13740</v>
      </c>
      <c r="I4972" s="18">
        <f>IFERROR(__xludf.DUMMYFUNCTION("""COMPUTED_VALUE"""),1.0)</f>
        <v>1</v>
      </c>
      <c r="J4972" s="18">
        <f>IFERROR(__xludf.DUMMYFUNCTION("""COMPUTED_VALUE"""),1.0)</f>
        <v>1</v>
      </c>
      <c r="K4972" s="18">
        <f>IFERROR(__xludf.DUMMYFUNCTION("""COMPUTED_VALUE"""),1.0)</f>
        <v>1</v>
      </c>
      <c r="L4972" s="17">
        <f>IFERROR(__xludf.DUMMYFUNCTION("""COMPUTED_VALUE"""),3.004513236E9)</f>
        <v>3004513236</v>
      </c>
      <c r="M4972" s="17" t="str">
        <f>IFERROR(__xludf.DUMMYFUNCTION("""COMPUTED_VALUE"""),"#REF!")</f>
        <v>#REF!</v>
      </c>
      <c r="N4972" s="17"/>
      <c r="O4972" s="17"/>
      <c r="P4972" s="17" t="b">
        <f>IFERROR(__xludf.DUMMYFUNCTION("""COMPUTED_VALUE"""),FALSE)</f>
        <v>0</v>
      </c>
      <c r="Q4972" s="20" t="str">
        <f>IFERROR(__xludf.DUMMYFUNCTION("""COMPUTED_VALUE"""),"")</f>
        <v/>
      </c>
      <c r="R4972" s="21" t="str">
        <f>IFERROR(__xludf.DUMMYFUNCTION("""COMPUTED_VALUE"""),"https://drive.google.com/file/d/1bpFCoO2ARhzbGNyXdSEL6kRljmlkFhG7/view?usp=drivesdk")</f>
        <v>https://drive.google.com/file/d/1bpFCoO2ARhzbGNyXdSEL6kRljmlkFhG7/view?usp=drivesdk</v>
      </c>
    </row>
    <row r="4973">
      <c r="A4973" s="15">
        <f>IFERROR(__xludf.DUMMYFUNCTION("""COMPUTED_VALUE"""),45147.0)</f>
        <v>45147</v>
      </c>
      <c r="B4973" s="16" t="str">
        <f>IFERROR(__xludf.DUMMYFUNCTION("""COMPUTED_VALUE"""),"Envia")</f>
        <v>Envia</v>
      </c>
      <c r="C4973" s="15" t="str">
        <f>IFERROR(__xludf.DUMMYFUNCTION("""COMPUTED_VALUE"""),"PEREIRA")</f>
        <v>PEREIRA</v>
      </c>
      <c r="D4973" s="15" t="str">
        <f>IFERROR(__xludf.DUMMYFUNCTION("""COMPUTED_VALUE"""),"BOGOTÁ")</f>
        <v>BOGOTÁ</v>
      </c>
      <c r="E4973" s="15" t="str">
        <f>IFERROR(__xludf.DUMMYFUNCTION("""COMPUTED_VALUE"""),"Ins. Alimento Vital")</f>
        <v>Ins. Alimento Vital</v>
      </c>
      <c r="F4973" s="17" t="str">
        <f>IFERROR(__xludf.DUMMYFUNCTION("""COMPUTED_VALUE"""),"CR 5 18  43 / EDIFICIO CHALJUB / BARRIO URIBE")</f>
        <v>CR 5 18  43 / EDIFICIO CHALJUB / BARRIO URIBE</v>
      </c>
      <c r="G4973" s="15" t="str">
        <f>IFERROR(__xludf.DUMMYFUNCTION("""COMPUTED_VALUE"""),"CHALJUB")</f>
        <v>CHALJUB</v>
      </c>
      <c r="H4973" s="16">
        <f>IFERROR(__xludf.DUMMYFUNCTION("""COMPUTED_VALUE"""),13688.0)</f>
        <v>13688</v>
      </c>
      <c r="I4973" s="18">
        <f>IFERROR(__xludf.DUMMYFUNCTION("""COMPUTED_VALUE"""),1.0)</f>
        <v>1</v>
      </c>
      <c r="J4973" s="18">
        <f>IFERROR(__xludf.DUMMYFUNCTION("""COMPUTED_VALUE"""),1.0)</f>
        <v>1</v>
      </c>
      <c r="K4973" s="18">
        <f>IFERROR(__xludf.DUMMYFUNCTION("""COMPUTED_VALUE"""),1.0)</f>
        <v>1</v>
      </c>
      <c r="L4973" s="17">
        <f>IFERROR(__xludf.DUMMYFUNCTION("""COMPUTED_VALUE"""),3.008252529E9)</f>
        <v>3008252529</v>
      </c>
      <c r="M4973" s="17" t="str">
        <f>IFERROR(__xludf.DUMMYFUNCTION("""COMPUTED_VALUE"""),"#REF!")</f>
        <v>#REF!</v>
      </c>
      <c r="N4973" s="17"/>
      <c r="O4973" s="17"/>
      <c r="P4973" s="17" t="b">
        <f>IFERROR(__xludf.DUMMYFUNCTION("""COMPUTED_VALUE"""),FALSE)</f>
        <v>0</v>
      </c>
      <c r="Q4973" s="20" t="str">
        <f>IFERROR(__xludf.DUMMYFUNCTION("""COMPUTED_VALUE"""),"")</f>
        <v/>
      </c>
      <c r="R4973" s="22" t="str">
        <f>IFERROR(__xludf.DUMMYFUNCTION("""COMPUTED_VALUE"""),"")</f>
        <v/>
      </c>
    </row>
    <row r="4974">
      <c r="A4974" s="15">
        <f>IFERROR(__xludf.DUMMYFUNCTION("""COMPUTED_VALUE"""),45147.0)</f>
        <v>45147</v>
      </c>
      <c r="B4974" s="16" t="str">
        <f>IFERROR(__xludf.DUMMYFUNCTION("""COMPUTED_VALUE"""),"Envia")</f>
        <v>Envia</v>
      </c>
      <c r="C4974" s="15" t="str">
        <f>IFERROR(__xludf.DUMMYFUNCTION("""COMPUTED_VALUE"""),"PEREIRA")</f>
        <v>PEREIRA</v>
      </c>
      <c r="D4974" s="15" t="str">
        <f>IFERROR(__xludf.DUMMYFUNCTION("""COMPUTED_VALUE"""),"BOGOTÁ")</f>
        <v>BOGOTÁ</v>
      </c>
      <c r="E4974" s="15" t="str">
        <f>IFERROR(__xludf.DUMMYFUNCTION("""COMPUTED_VALUE"""),"Pan de Waffle")</f>
        <v>Pan de Waffle</v>
      </c>
      <c r="F4974" s="17" t="str">
        <f>IFERROR(__xludf.DUMMYFUNCTION("""COMPUTED_VALUE"""),"Carrera 14 # 12 - 55 / Carrera 14 # 12 - 55 / Carrera 14 # 12 - 55")</f>
        <v>Carrera 14 # 12 - 55 / Carrera 14 # 12 - 55 / Carrera 14 # 12 - 55</v>
      </c>
      <c r="G4974" s="15" t="str">
        <f>IFERROR(__xludf.DUMMYFUNCTION("""COMPUTED_VALUE"""),"VITA ECO MARKET")</f>
        <v>VITA ECO MARKET</v>
      </c>
      <c r="H4974" s="16">
        <f>IFERROR(__xludf.DUMMYFUNCTION("""COMPUTED_VALUE"""),13577.0)</f>
        <v>13577</v>
      </c>
      <c r="I4974" s="18">
        <f>IFERROR(__xludf.DUMMYFUNCTION("""COMPUTED_VALUE"""),30.0)</f>
        <v>30</v>
      </c>
      <c r="J4974" s="18">
        <f>IFERROR(__xludf.DUMMYFUNCTION("""COMPUTED_VALUE"""),40.0)</f>
        <v>40</v>
      </c>
      <c r="K4974" s="18">
        <f>IFERROR(__xludf.DUMMYFUNCTION("""COMPUTED_VALUE"""),40.0)</f>
        <v>40</v>
      </c>
      <c r="L4974" s="17">
        <f>IFERROR(__xludf.DUMMYFUNCTION("""COMPUTED_VALUE"""),3.215501948E9)</f>
        <v>3215501948</v>
      </c>
      <c r="M4974" s="17" t="str">
        <f>IFERROR(__xludf.DUMMYFUNCTION("""COMPUTED_VALUE"""),"#REF!")</f>
        <v>#REF!</v>
      </c>
      <c r="N4974" s="17"/>
      <c r="O4974" s="17"/>
      <c r="P4974" s="17" t="b">
        <f>IFERROR(__xludf.DUMMYFUNCTION("""COMPUTED_VALUE"""),FALSE)</f>
        <v>0</v>
      </c>
      <c r="Q4974" s="20" t="str">
        <f>IFERROR(__xludf.DUMMYFUNCTION("""COMPUTED_VALUE"""),"")</f>
        <v/>
      </c>
      <c r="R4974" s="22" t="str">
        <f>IFERROR(__xludf.DUMMYFUNCTION("""COMPUTED_VALUE"""),"")</f>
        <v/>
      </c>
    </row>
    <row r="4975">
      <c r="A4975" s="15">
        <f>IFERROR(__xludf.DUMMYFUNCTION("""COMPUTED_VALUE"""),45147.0)</f>
        <v>45147</v>
      </c>
      <c r="B4975" s="16" t="str">
        <f>IFERROR(__xludf.DUMMYFUNCTION("""COMPUTED_VALUE"""),"Envia")</f>
        <v>Envia</v>
      </c>
      <c r="C4975" s="15" t="str">
        <f>IFERROR(__xludf.DUMMYFUNCTION("""COMPUTED_VALUE"""),"PIEDECUESTA")</f>
        <v>PIEDECUESTA</v>
      </c>
      <c r="D4975" s="15" t="str">
        <f>IFERROR(__xludf.DUMMYFUNCTION("""COMPUTED_VALUE"""),"BOGOTÁ")</f>
        <v>BOGOTÁ</v>
      </c>
      <c r="E4975" s="15" t="str">
        <f>IFERROR(__xludf.DUMMYFUNCTION("""COMPUTED_VALUE"""),"Ins. Alimento Vital")</f>
        <v>Ins. Alimento Vital</v>
      </c>
      <c r="F4975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4975" s="15" t="str">
        <f>IFERROR(__xludf.DUMMYFUNCTION("""COMPUTED_VALUE"""),"LORENA GRANADOS BARCO")</f>
        <v>LORENA GRANADOS BARCO</v>
      </c>
      <c r="H4975" s="16">
        <f>IFERROR(__xludf.DUMMYFUNCTION("""COMPUTED_VALUE"""),13696.0)</f>
        <v>13696</v>
      </c>
      <c r="I4975" s="18">
        <f>IFERROR(__xludf.DUMMYFUNCTION("""COMPUTED_VALUE"""),1.0)</f>
        <v>1</v>
      </c>
      <c r="J4975" s="18">
        <f>IFERROR(__xludf.DUMMYFUNCTION("""COMPUTED_VALUE"""),1.0)</f>
        <v>1</v>
      </c>
      <c r="K4975" s="18">
        <f>IFERROR(__xludf.DUMMYFUNCTION("""COMPUTED_VALUE"""),1.0)</f>
        <v>1</v>
      </c>
      <c r="L4975" s="17">
        <f>IFERROR(__xludf.DUMMYFUNCTION("""COMPUTED_VALUE"""),3.003286319E9)</f>
        <v>3003286319</v>
      </c>
      <c r="M4975" s="17" t="str">
        <f>IFERROR(__xludf.DUMMYFUNCTION("""COMPUTED_VALUE"""),"#REF!")</f>
        <v>#REF!</v>
      </c>
      <c r="N4975" s="17"/>
      <c r="O4975" s="17"/>
      <c r="P4975" s="17" t="b">
        <f>IFERROR(__xludf.DUMMYFUNCTION("""COMPUTED_VALUE"""),FALSE)</f>
        <v>0</v>
      </c>
      <c r="Q4975" s="20" t="str">
        <f>IFERROR(__xludf.DUMMYFUNCTION("""COMPUTED_VALUE"""),"")</f>
        <v/>
      </c>
      <c r="R4975" s="21" t="str">
        <f>IFERROR(__xludf.DUMMYFUNCTION("""COMPUTED_VALUE"""),"https://drive.google.com/file/d/1_lIcRoHI5NDflio_9XYiCOuVXqTNlU5p/view?usp=drivesdk")</f>
        <v>https://drive.google.com/file/d/1_lIcRoHI5NDflio_9XYiCOuVXqTNlU5p/view?usp=drivesdk</v>
      </c>
    </row>
    <row r="4976">
      <c r="A4976" s="15">
        <f>IFERROR(__xludf.DUMMYFUNCTION("""COMPUTED_VALUE"""),45147.0)</f>
        <v>45147</v>
      </c>
      <c r="B4976" s="16" t="str">
        <f>IFERROR(__xludf.DUMMYFUNCTION("""COMPUTED_VALUE"""),"Envia")</f>
        <v>Envia</v>
      </c>
      <c r="C4976" s="15" t="str">
        <f>IFERROR(__xludf.DUMMYFUNCTION("""COMPUTED_VALUE"""),"TUNJA")</f>
        <v>TUNJA</v>
      </c>
      <c r="D4976" s="15" t="str">
        <f>IFERROR(__xludf.DUMMYFUNCTION("""COMPUTED_VALUE"""),"BOGOTÁ")</f>
        <v>BOGOTÁ</v>
      </c>
      <c r="E4976" s="15" t="str">
        <f>IFERROR(__xludf.DUMMYFUNCTION("""COMPUTED_VALUE"""),"Evamazzita")</f>
        <v>Evamazzita</v>
      </c>
      <c r="F4976" s="17" t="str">
        <f>IFERROR(__xludf.DUMMYFUNCTION("""COMPUTED_VALUE"""),"DG 66 A # 4 20 / BARRIO LOS MUISCAS / Barrio los muiscas")</f>
        <v>DG 66 A # 4 20 / BARRIO LOS MUISCAS / Barrio los muiscas</v>
      </c>
      <c r="G4976" s="15" t="str">
        <f>IFERROR(__xludf.DUMMYFUNCTION("""COMPUTED_VALUE"""),"MERY YOLIMA URIBE RIOS")</f>
        <v>MERY YOLIMA URIBE RIOS</v>
      </c>
      <c r="H4976" s="16">
        <f>IFERROR(__xludf.DUMMYFUNCTION("""COMPUTED_VALUE"""),13716.0)</f>
        <v>13716</v>
      </c>
      <c r="I4976" s="18">
        <f>IFERROR(__xludf.DUMMYFUNCTION("""COMPUTED_VALUE"""),1.0)</f>
        <v>1</v>
      </c>
      <c r="J4976" s="18">
        <f>IFERROR(__xludf.DUMMYFUNCTION("""COMPUTED_VALUE"""),1.0)</f>
        <v>1</v>
      </c>
      <c r="K4976" s="18">
        <f>IFERROR(__xludf.DUMMYFUNCTION("""COMPUTED_VALUE"""),1.0)</f>
        <v>1</v>
      </c>
      <c r="L4976" s="17">
        <f>IFERROR(__xludf.DUMMYFUNCTION("""COMPUTED_VALUE"""),3.192399974E9)</f>
        <v>3192399974</v>
      </c>
      <c r="M4976" s="17" t="str">
        <f>IFERROR(__xludf.DUMMYFUNCTION("""COMPUTED_VALUE"""),"#REF!")</f>
        <v>#REF!</v>
      </c>
      <c r="N4976" s="17"/>
      <c r="O4976" s="17"/>
      <c r="P4976" s="17" t="b">
        <f>IFERROR(__xludf.DUMMYFUNCTION("""COMPUTED_VALUE"""),FALSE)</f>
        <v>0</v>
      </c>
      <c r="Q4976" s="20" t="str">
        <f>IFERROR(__xludf.DUMMYFUNCTION("""COMPUTED_VALUE"""),"")</f>
        <v/>
      </c>
      <c r="R4976" s="22" t="str">
        <f>IFERROR(__xludf.DUMMYFUNCTION("""COMPUTED_VALUE"""),"")</f>
        <v/>
      </c>
    </row>
    <row r="4977">
      <c r="A4977" s="17" t="str">
        <f>IFERROR(__xludf.DUMMYFUNCTION("""COMPUTED_VALUE"""),"")</f>
        <v/>
      </c>
      <c r="B4977" s="17" t="str">
        <f>IFERROR(__xludf.DUMMYFUNCTION("""COMPUTED_VALUE"""),"")</f>
        <v/>
      </c>
      <c r="C4977" s="17" t="str">
        <f>IFERROR(__xludf.DUMMYFUNCTION("""COMPUTED_VALUE"""),"")</f>
        <v/>
      </c>
      <c r="D4977" s="17" t="str">
        <f>IFERROR(__xludf.DUMMYFUNCTION("""COMPUTED_VALUE"""),"")</f>
        <v/>
      </c>
      <c r="E4977" s="17" t="str">
        <f>IFERROR(__xludf.DUMMYFUNCTION("""COMPUTED_VALUE"""),"")</f>
        <v/>
      </c>
      <c r="F4977" s="17" t="str">
        <f>IFERROR(__xludf.DUMMYFUNCTION("""COMPUTED_VALUE"""),"")</f>
        <v/>
      </c>
      <c r="G4977" s="17" t="str">
        <f>IFERROR(__xludf.DUMMYFUNCTION("""COMPUTED_VALUE"""),"")</f>
        <v/>
      </c>
      <c r="H4977" s="17" t="str">
        <f>IFERROR(__xludf.DUMMYFUNCTION("""COMPUTED_VALUE"""),"")</f>
        <v/>
      </c>
      <c r="I4977" s="17" t="str">
        <f>IFERROR(__xludf.DUMMYFUNCTION("""COMPUTED_VALUE"""),"")</f>
        <v/>
      </c>
      <c r="J4977" s="17" t="str">
        <f>IFERROR(__xludf.DUMMYFUNCTION("""COMPUTED_VALUE"""),"")</f>
        <v/>
      </c>
      <c r="K4977" s="17" t="str">
        <f>IFERROR(__xludf.DUMMYFUNCTION("""COMPUTED_VALUE"""),"")</f>
        <v/>
      </c>
      <c r="L4977" s="17" t="str">
        <f>IFERROR(__xludf.DUMMYFUNCTION("""COMPUTED_VALUE"""),"")</f>
        <v/>
      </c>
      <c r="M4977" s="17" t="str">
        <f>IFERROR(__xludf.DUMMYFUNCTION("""COMPUTED_VALUE"""),"")</f>
        <v/>
      </c>
      <c r="N4977" s="17" t="str">
        <f>IFERROR(__xludf.DUMMYFUNCTION("""COMPUTED_VALUE"""),"")</f>
        <v/>
      </c>
      <c r="O4977" s="17" t="str">
        <f>IFERROR(__xludf.DUMMYFUNCTION("""COMPUTED_VALUE"""),"")</f>
        <v/>
      </c>
      <c r="P4977" s="17" t="str">
        <f>IFERROR(__xludf.DUMMYFUNCTION("""COMPUTED_VALUE"""),"")</f>
        <v/>
      </c>
      <c r="Q4977" s="17" t="str">
        <f>IFERROR(__xludf.DUMMYFUNCTION("""COMPUTED_VALUE"""),"")</f>
        <v/>
      </c>
      <c r="R4977" s="17" t="str">
        <f>IFERROR(__xludf.DUMMYFUNCTION("""COMPUTED_VALUE"""),"")</f>
        <v/>
      </c>
    </row>
    <row r="4978">
      <c r="A4978" s="15">
        <f>IFERROR(__xludf.DUMMYFUNCTION("""COMPUTED_VALUE"""),45147.0)</f>
        <v>45147</v>
      </c>
      <c r="B4978" s="16" t="str">
        <f>IFERROR(__xludf.DUMMYFUNCTION("""COMPUTED_VALUE"""),"Ivan David Pirela Pirela")</f>
        <v>Ivan David Pirela Pirela</v>
      </c>
      <c r="C4978" s="15" t="str">
        <f>IFERROR(__xludf.DUMMYFUNCTION("""COMPUTED_VALUE"""),"BUCARAMANGA")</f>
        <v>BUCARAMANGA</v>
      </c>
      <c r="D4978" s="15" t="str">
        <f>IFERROR(__xludf.DUMMYFUNCTION("""COMPUTED_VALUE"""),"BOGOTÁ")</f>
        <v>BOGOTÁ</v>
      </c>
      <c r="E4978" s="15" t="str">
        <f>IFERROR(__xludf.DUMMYFUNCTION("""COMPUTED_VALUE"""),"Ins. Alimento Vital")</f>
        <v>Ins. Alimento Vital</v>
      </c>
      <c r="F4978" s="17" t="str">
        <f>IFERROR(__xludf.DUMMYFUNCTION("""COMPUTED_VALUE"""),"CR 23 31 63  / AP 1206 / EDIFICIO MILANO XXIII")</f>
        <v>CR 23 31 63  / AP 1206 / EDIFICIO MILANO XXIII</v>
      </c>
      <c r="G4978" s="15" t="str">
        <f>IFERROR(__xludf.DUMMYFUNCTION("""COMPUTED_VALUE"""),"DIEGO MAURICIO RODRIGUEZ")</f>
        <v>DIEGO MAURICIO RODRIGUEZ</v>
      </c>
      <c r="H4978" s="16">
        <f>IFERROR(__xludf.DUMMYFUNCTION("""COMPUTED_VALUE"""),13690.0)</f>
        <v>13690</v>
      </c>
      <c r="I4978" s="18">
        <f>IFERROR(__xludf.DUMMYFUNCTION("""COMPUTED_VALUE"""),1.0)</f>
        <v>1</v>
      </c>
      <c r="J4978" s="18">
        <f>IFERROR(__xludf.DUMMYFUNCTION("""COMPUTED_VALUE"""),1.0)</f>
        <v>1</v>
      </c>
      <c r="K4978" s="18">
        <f>IFERROR(__xludf.DUMMYFUNCTION("""COMPUTED_VALUE"""),1.0)</f>
        <v>1</v>
      </c>
      <c r="L4978" s="17">
        <f>IFERROR(__xludf.DUMMYFUNCTION("""COMPUTED_VALUE"""),3.178064951E9)</f>
        <v>3178064951</v>
      </c>
      <c r="M4978" s="17" t="str">
        <f>IFERROR(__xludf.DUMMYFUNCTION("""COMPUTED_VALUE"""),"#REF!")</f>
        <v>#REF!</v>
      </c>
      <c r="N4978" s="17"/>
      <c r="O4978" s="17"/>
      <c r="P4978" s="17" t="b">
        <f>IFERROR(__xludf.DUMMYFUNCTION("""COMPUTED_VALUE"""),FALSE)</f>
        <v>0</v>
      </c>
      <c r="Q4978" s="20" t="str">
        <f>IFERROR(__xludf.DUMMYFUNCTION("""COMPUTED_VALUE"""),"")</f>
        <v/>
      </c>
      <c r="R4978" s="21" t="str">
        <f>IFERROR(__xludf.DUMMYFUNCTION("""COMPUTED_VALUE"""),"https://drive.google.com/file/d/1RJZDUl_Wy4RI5wUJjKgC-lFUnbfazK-U/view?usp=drivesdk")</f>
        <v>https://drive.google.com/file/d/1RJZDUl_Wy4RI5wUJjKgC-lFUnbfazK-U/view?usp=drivesdk</v>
      </c>
    </row>
    <row r="4979">
      <c r="A4979" s="15">
        <f>IFERROR(__xludf.DUMMYFUNCTION("""COMPUTED_VALUE"""),45147.0)</f>
        <v>45147</v>
      </c>
      <c r="B4979" s="16" t="str">
        <f>IFERROR(__xludf.DUMMYFUNCTION("""COMPUTED_VALUE"""),"Ivan David Pirela Pirela")</f>
        <v>Ivan David Pirela Pirela</v>
      </c>
      <c r="C4979" s="15" t="str">
        <f>IFERROR(__xludf.DUMMYFUNCTION("""COMPUTED_VALUE"""),"BUCARAMANGA")</f>
        <v>BUCARAMANGA</v>
      </c>
      <c r="D4979" s="15" t="str">
        <f>IFERROR(__xludf.DUMMYFUNCTION("""COMPUTED_VALUE"""),"BOGOTÁ")</f>
        <v>BOGOTÁ</v>
      </c>
      <c r="E4979" s="15" t="str">
        <f>IFERROR(__xludf.DUMMYFUNCTION("""COMPUTED_VALUE"""),"Loomifoods")</f>
        <v>Loomifoods</v>
      </c>
      <c r="F4979" s="17" t="str">
        <f>IFERROR(__xludf.DUMMYFUNCTION("""COMPUTED_VALUE"""),"Calle 45 no. 37 - 11 / Apto 1102 / La Farfala")</f>
        <v>Calle 45 no. 37 - 11 / Apto 1102 / La Farfala</v>
      </c>
      <c r="G4979" s="15" t="str">
        <f>IFERROR(__xludf.DUMMYFUNCTION("""COMPUTED_VALUE"""),"Johanny Navarro Motta")</f>
        <v>Johanny Navarro Motta</v>
      </c>
      <c r="H4979" s="16">
        <f>IFERROR(__xludf.DUMMYFUNCTION("""COMPUTED_VALUE"""),13693.0)</f>
        <v>13693</v>
      </c>
      <c r="I4979" s="18">
        <f>IFERROR(__xludf.DUMMYFUNCTION("""COMPUTED_VALUE"""),19.0)</f>
        <v>19</v>
      </c>
      <c r="J4979" s="18">
        <f>IFERROR(__xludf.DUMMYFUNCTION("""COMPUTED_VALUE"""),10.0)</f>
        <v>10</v>
      </c>
      <c r="K4979" s="18">
        <f>IFERROR(__xludf.DUMMYFUNCTION("""COMPUTED_VALUE"""),16.0)</f>
        <v>16</v>
      </c>
      <c r="L4979" s="17">
        <f>IFERROR(__xludf.DUMMYFUNCTION("""COMPUTED_VALUE"""),3.167681857E9)</f>
        <v>3167681857</v>
      </c>
      <c r="M4979" s="17" t="str">
        <f>IFERROR(__xludf.DUMMYFUNCTION("""COMPUTED_VALUE"""),"#REF!")</f>
        <v>#REF!</v>
      </c>
      <c r="N4979" s="17"/>
      <c r="O4979" s="17"/>
      <c r="P4979" s="17" t="b">
        <f>IFERROR(__xludf.DUMMYFUNCTION("""COMPUTED_VALUE"""),FALSE)</f>
        <v>0</v>
      </c>
      <c r="Q4979" s="20" t="str">
        <f>IFERROR(__xludf.DUMMYFUNCTION("""COMPUTED_VALUE"""),"")</f>
        <v/>
      </c>
      <c r="R4979" s="22" t="str">
        <f>IFERROR(__xludf.DUMMYFUNCTION("""COMPUTED_VALUE"""),"")</f>
        <v/>
      </c>
    </row>
    <row r="4980">
      <c r="A4980" s="15">
        <f>IFERROR(__xludf.DUMMYFUNCTION("""COMPUTED_VALUE"""),45147.0)</f>
        <v>45147</v>
      </c>
      <c r="B4980" s="16" t="str">
        <f>IFERROR(__xludf.DUMMYFUNCTION("""COMPUTED_VALUE"""),"Ivan David Pirela Pirela")</f>
        <v>Ivan David Pirela Pirela</v>
      </c>
      <c r="C4980" s="15" t="str">
        <f>IFERROR(__xludf.DUMMYFUNCTION("""COMPUTED_VALUE"""),"BUCARAMANGA")</f>
        <v>BUCARAMANGA</v>
      </c>
      <c r="D4980" s="15" t="str">
        <f>IFERROR(__xludf.DUMMYFUNCTION("""COMPUTED_VALUE"""),"MEDELLÍN")</f>
        <v>MEDELLÍN</v>
      </c>
      <c r="E4980" s="15" t="str">
        <f>IFERROR(__xludf.DUMMYFUNCTION("""COMPUTED_VALUE"""),"Baby Chef")</f>
        <v>Baby Chef</v>
      </c>
      <c r="F4980" s="17" t="str">
        <f>IFERROR(__xludf.DUMMYFUNCTION("""COMPUTED_VALUE"""),"Calle 93 #34a-34 Torres del Portón - Portería 4  Torre 13 apto 213 - Barrio El Tejar  / Calle 93 #34a-34 Torres del Portón - Portería 4  Torre 13 apto 213 - Barrio El Tejar  / Calle 93 #34a-34 Torres del Portón - Portería 4  Torre 13 apto 213 - Barrio El "&amp;"Tejar")</f>
        <v>Calle 93 #34a-34 Torres del Portón - Portería 4  Torre 13 apto 213 - Barrio El Tejar  / Calle 93 #34a-34 Torres del Portón - Portería 4  Torre 13 apto 213 - Barrio El Tejar  / Calle 93 #34a-34 Torres del Portón - Portería 4  Torre 13 apto 213 - Barrio El Tejar</v>
      </c>
      <c r="G4980" s="15" t="str">
        <f>IFERROR(__xludf.DUMMYFUNCTION("""COMPUTED_VALUE"""),"Susana Hernández")</f>
        <v>Susana Hernández</v>
      </c>
      <c r="H4980" s="16">
        <f>IFERROR(__xludf.DUMMYFUNCTION("""COMPUTED_VALUE"""),13757.0)</f>
        <v>13757</v>
      </c>
      <c r="I4980" s="18">
        <f>IFERROR(__xludf.DUMMYFUNCTION("""COMPUTED_VALUE"""),8.0)</f>
        <v>8</v>
      </c>
      <c r="J4980" s="18">
        <f>IFERROR(__xludf.DUMMYFUNCTION("""COMPUTED_VALUE"""),33.0)</f>
        <v>33</v>
      </c>
      <c r="K4980" s="18">
        <f>IFERROR(__xludf.DUMMYFUNCTION("""COMPUTED_VALUE"""),25.0)</f>
        <v>25</v>
      </c>
      <c r="L4980" s="17">
        <f>IFERROR(__xludf.DUMMYFUNCTION("""COMPUTED_VALUE"""),3.223099857E9)</f>
        <v>3223099857</v>
      </c>
      <c r="M4980" s="17" t="str">
        <f>IFERROR(__xludf.DUMMYFUNCTION("""COMPUTED_VALUE"""),"#REF!")</f>
        <v>#REF!</v>
      </c>
      <c r="N4980" s="17"/>
      <c r="O4980" s="17"/>
      <c r="P4980" s="17" t="b">
        <f>IFERROR(__xludf.DUMMYFUNCTION("""COMPUTED_VALUE"""),FALSE)</f>
        <v>0</v>
      </c>
      <c r="Q4980" s="20" t="str">
        <f>IFERROR(__xludf.DUMMYFUNCTION("""COMPUTED_VALUE"""),"")</f>
        <v/>
      </c>
      <c r="R4980" s="21" t="str">
        <f>IFERROR(__xludf.DUMMYFUNCTION("""COMPUTED_VALUE"""),"https://drive.google.com/file/d/1jhcS9RtIFSpKX5KIUF5HO5DWASdf2kpM/view?usp=drivesdk")</f>
        <v>https://drive.google.com/file/d/1jhcS9RtIFSpKX5KIUF5HO5DWASdf2kpM/view?usp=drivesdk</v>
      </c>
    </row>
    <row r="4981">
      <c r="A4981" s="15">
        <f>IFERROR(__xludf.DUMMYFUNCTION("""COMPUTED_VALUE"""),45147.0)</f>
        <v>45147</v>
      </c>
      <c r="B4981" s="16" t="str">
        <f>IFERROR(__xludf.DUMMYFUNCTION("""COMPUTED_VALUE"""),"Ivan David Pirela Pirela")</f>
        <v>Ivan David Pirela Pirela</v>
      </c>
      <c r="C4981" s="15" t="str">
        <f>IFERROR(__xludf.DUMMYFUNCTION("""COMPUTED_VALUE"""),"BUCARAMANGA")</f>
        <v>BUCARAMANGA</v>
      </c>
      <c r="D4981" s="15" t="str">
        <f>IFERROR(__xludf.DUMMYFUNCTION("""COMPUTED_VALUE"""),"MEDELLÍN")</f>
        <v>MEDELLÍN</v>
      </c>
      <c r="E4981" s="15" t="str">
        <f>IFERROR(__xludf.DUMMYFUNCTION("""COMPUTED_VALUE"""),"Baby Chef")</f>
        <v>Baby Chef</v>
      </c>
      <c r="F4981" s="17" t="str">
        <f>IFERROR(__xludf.DUMMYFUNCTION("""COMPUTED_VALUE"""),"Cra 27 No 84 18 conjunto Terranova T2 apto 903 diamante 2 bucaramanga / Cra 27 No 84 18 conjunto Terranova T2 apto 903 diamante 2 bucaramanga / Cra 27 No 84 18 conjunto Terranova T2 apto 903 diamante 2 bucaramanga")</f>
        <v>Cra 27 No 84 18 conjunto Terranova T2 apto 903 diamante 2 bucaramanga / Cra 27 No 84 18 conjunto Terranova T2 apto 903 diamante 2 bucaramanga / Cra 27 No 84 18 conjunto Terranova T2 apto 903 diamante 2 bucaramanga</v>
      </c>
      <c r="G4981" s="15" t="str">
        <f>IFERROR(__xludf.DUMMYFUNCTION("""COMPUTED_VALUE"""),"Laura Becerra")</f>
        <v>Laura Becerra</v>
      </c>
      <c r="H4981" s="16">
        <f>IFERROR(__xludf.DUMMYFUNCTION("""COMPUTED_VALUE"""),13756.0)</f>
        <v>13756</v>
      </c>
      <c r="I4981" s="18">
        <f>IFERROR(__xludf.DUMMYFUNCTION("""COMPUTED_VALUE"""),8.0)</f>
        <v>8</v>
      </c>
      <c r="J4981" s="18">
        <f>IFERROR(__xludf.DUMMYFUNCTION("""COMPUTED_VALUE"""),34.0)</f>
        <v>34</v>
      </c>
      <c r="K4981" s="18">
        <f>IFERROR(__xludf.DUMMYFUNCTION("""COMPUTED_VALUE"""),22.0)</f>
        <v>22</v>
      </c>
      <c r="L4981" s="17">
        <f>IFERROR(__xludf.DUMMYFUNCTION("""COMPUTED_VALUE"""),3.164540927E9)</f>
        <v>3164540927</v>
      </c>
      <c r="M4981" s="17" t="str">
        <f>IFERROR(__xludf.DUMMYFUNCTION("""COMPUTED_VALUE"""),"#REF!")</f>
        <v>#REF!</v>
      </c>
      <c r="N4981" s="17"/>
      <c r="O4981" s="17"/>
      <c r="P4981" s="17" t="b">
        <f>IFERROR(__xludf.DUMMYFUNCTION("""COMPUTED_VALUE"""),FALSE)</f>
        <v>0</v>
      </c>
      <c r="Q4981" s="20" t="str">
        <f>IFERROR(__xludf.DUMMYFUNCTION("""COMPUTED_VALUE"""),"")</f>
        <v/>
      </c>
      <c r="R4981" s="21" t="str">
        <f>IFERROR(__xludf.DUMMYFUNCTION("""COMPUTED_VALUE"""),"https://drive.google.com/file/d/1bkp8mgvBF2So5pIG7eZ4kAh3lM58Zyyx/view?usp=drivesdk")</f>
        <v>https://drive.google.com/file/d/1bkp8mgvBF2So5pIG7eZ4kAh3lM58Zyyx/view?usp=drivesdk</v>
      </c>
    </row>
    <row r="4982">
      <c r="A4982" s="15">
        <f>IFERROR(__xludf.DUMMYFUNCTION("""COMPUTED_VALUE"""),45147.0)</f>
        <v>45147</v>
      </c>
      <c r="B4982" s="16" t="str">
        <f>IFERROR(__xludf.DUMMYFUNCTION("""COMPUTED_VALUE"""),"Ivan David Pirela Pirela")</f>
        <v>Ivan David Pirela Pirela</v>
      </c>
      <c r="C4982" s="15" t="str">
        <f>IFERROR(__xludf.DUMMYFUNCTION("""COMPUTED_VALUE"""),"BUCARAMANGA")</f>
        <v>BUCARAMANGA</v>
      </c>
      <c r="D4982" s="15" t="str">
        <f>IFERROR(__xludf.DUMMYFUNCTION("""COMPUTED_VALUE"""),"MEDELLÍN")</f>
        <v>MEDELLÍN</v>
      </c>
      <c r="E4982" s="15" t="str">
        <f>IFERROR(__xludf.DUMMYFUNCTION("""COMPUTED_VALUE"""),"Todo Bufala")</f>
        <v>Todo Bufala</v>
      </c>
      <c r="F4982" s="17" t="str">
        <f>IFERROR(__xludf.DUMMYFUNCTION("""COMPUTED_VALUE"""),"Calle 44  #35-27")</f>
        <v>Calle 44  #35-27</v>
      </c>
      <c r="G4982" s="15" t="str">
        <f>IFERROR(__xludf.DUMMYFUNCTION("""COMPUTED_VALUE"""),"Multiservicios op")</f>
        <v>Multiservicios op</v>
      </c>
      <c r="H4982" s="16">
        <f>IFERROR(__xludf.DUMMYFUNCTION("""COMPUTED_VALUE"""),13624.0)</f>
        <v>13624</v>
      </c>
      <c r="I4982" s="18">
        <f>IFERROR(__xludf.DUMMYFUNCTION("""COMPUTED_VALUE"""),20.0)</f>
        <v>20</v>
      </c>
      <c r="J4982" s="18">
        <f>IFERROR(__xludf.DUMMYFUNCTION("""COMPUTED_VALUE"""),30.0)</f>
        <v>30</v>
      </c>
      <c r="K4982" s="18">
        <f>IFERROR(__xludf.DUMMYFUNCTION("""COMPUTED_VALUE"""),40.0)</f>
        <v>40</v>
      </c>
      <c r="L4982" s="17" t="str">
        <f>IFERROR(__xludf.DUMMYFUNCTION("""COMPUTED_VALUE"""),"318 6085748")</f>
        <v>318 6085748</v>
      </c>
      <c r="M4982" s="17" t="str">
        <f>IFERROR(__xludf.DUMMYFUNCTION("""COMPUTED_VALUE"""),"#REF!")</f>
        <v>#REF!</v>
      </c>
      <c r="N4982" s="17"/>
      <c r="O4982" s="17"/>
      <c r="P4982" s="17" t="b">
        <f>IFERROR(__xludf.DUMMYFUNCTION("""COMPUTED_VALUE"""),FALSE)</f>
        <v>0</v>
      </c>
      <c r="Q4982" s="20" t="str">
        <f>IFERROR(__xludf.DUMMYFUNCTION("""COMPUTED_VALUE"""),"")</f>
        <v/>
      </c>
      <c r="R4982" s="21" t="str">
        <f>IFERROR(__xludf.DUMMYFUNCTION("""COMPUTED_VALUE"""),"https://drive.google.com/file/d/1N4tvg1euorTFPEuSrR77DQUJiaojUVpY/view?usp=drivesdk")</f>
        <v>https://drive.google.com/file/d/1N4tvg1euorTFPEuSrR77DQUJiaojUVpY/view?usp=drivesdk</v>
      </c>
    </row>
    <row r="4983">
      <c r="A4983" s="15">
        <f>IFERROR(__xludf.DUMMYFUNCTION("""COMPUTED_VALUE"""),45147.0)</f>
        <v>45147</v>
      </c>
      <c r="B4983" s="16" t="str">
        <f>IFERROR(__xludf.DUMMYFUNCTION("""COMPUTED_VALUE"""),"Ivan David Pirela Pirela")</f>
        <v>Ivan David Pirela Pirela</v>
      </c>
      <c r="C4983" s="15" t="str">
        <f>IFERROR(__xludf.DUMMYFUNCTION("""COMPUTED_VALUE"""),"FLORIDABLANCA")</f>
        <v>FLORIDABLANCA</v>
      </c>
      <c r="D4983" s="15" t="str">
        <f>IFERROR(__xludf.DUMMYFUNCTION("""COMPUTED_VALUE"""),"BOGOTÁ")</f>
        <v>BOGOTÁ</v>
      </c>
      <c r="E4983" s="15" t="str">
        <f>IFERROR(__xludf.DUMMYFUNCTION("""COMPUTED_VALUE"""),"Asociacion Agropecuaria Juana Maria")</f>
        <v>Asociacion Agropecuaria Juana Maria</v>
      </c>
      <c r="F4983" s="17" t="str">
        <f>IFERROR(__xludf.DUMMYFUNCTION("""COMPUTED_VALUE"""),"Calle 19 #11-37 Guanatá FLORIDABLANCA")</f>
        <v>Calle 19 #11-37 Guanatá FLORIDABLANCA</v>
      </c>
      <c r="G4983" s="15" t="str">
        <f>IFERROR(__xludf.DUMMYFUNCTION("""COMPUTED_VALUE"""),"Claudia Gonzalez")</f>
        <v>Claudia Gonzalez</v>
      </c>
      <c r="H4983" s="16">
        <f>IFERROR(__xludf.DUMMYFUNCTION("""COMPUTED_VALUE"""),13615.0)</f>
        <v>13615</v>
      </c>
      <c r="I4983" s="18">
        <f>IFERROR(__xludf.DUMMYFUNCTION("""COMPUTED_VALUE"""),21.0)</f>
        <v>21</v>
      </c>
      <c r="J4983" s="18">
        <f>IFERROR(__xludf.DUMMYFUNCTION("""COMPUTED_VALUE"""),37.0)</f>
        <v>37</v>
      </c>
      <c r="K4983" s="18">
        <f>IFERROR(__xludf.DUMMYFUNCTION("""COMPUTED_VALUE"""),30.0)</f>
        <v>30</v>
      </c>
      <c r="L4983" s="17">
        <f>IFERROR(__xludf.DUMMYFUNCTION("""COMPUTED_VALUE"""),3.002802001E9)</f>
        <v>3002802001</v>
      </c>
      <c r="M4983" s="17" t="str">
        <f>IFERROR(__xludf.DUMMYFUNCTION("""COMPUTED_VALUE"""),"#REF!")</f>
        <v>#REF!</v>
      </c>
      <c r="N4983" s="17"/>
      <c r="O4983" s="17"/>
      <c r="P4983" s="17" t="b">
        <f>IFERROR(__xludf.DUMMYFUNCTION("""COMPUTED_VALUE"""),FALSE)</f>
        <v>0</v>
      </c>
      <c r="Q4983" s="20" t="str">
        <f>IFERROR(__xludf.DUMMYFUNCTION("""COMPUTED_VALUE"""),"")</f>
        <v/>
      </c>
      <c r="R4983" s="21" t="str">
        <f>IFERROR(__xludf.DUMMYFUNCTION("""COMPUTED_VALUE"""),"https://drive.google.com/file/d/1f8_Wr9iDbJXkjMhpeJ1YjeRQEhy38v8-/view?usp=drivesdk")</f>
        <v>https://drive.google.com/file/d/1f8_Wr9iDbJXkjMhpeJ1YjeRQEhy38v8-/view?usp=drivesdk</v>
      </c>
    </row>
    <row r="4984">
      <c r="A4984" s="15">
        <f>IFERROR(__xludf.DUMMYFUNCTION("""COMPUTED_VALUE"""),45147.0)</f>
        <v>45147</v>
      </c>
      <c r="B4984" s="16" t="str">
        <f>IFERROR(__xludf.DUMMYFUNCTION("""COMPUTED_VALUE"""),"Ivan David Pirela Pirela")</f>
        <v>Ivan David Pirela Pirela</v>
      </c>
      <c r="C4984" s="15" t="str">
        <f>IFERROR(__xludf.DUMMYFUNCTION("""COMPUTED_VALUE"""),"PEREIRA")</f>
        <v>PEREIRA</v>
      </c>
      <c r="D4984" s="15" t="str">
        <f>IFERROR(__xludf.DUMMYFUNCTION("""COMPUTED_VALUE"""),"BOGOTÁ")</f>
        <v>BOGOTÁ</v>
      </c>
      <c r="E4984" s="15" t="str">
        <f>IFERROR(__xludf.DUMMYFUNCTION("""COMPUTED_VALUE"""),"Pan de Yuca")</f>
        <v>Pan de Yuca</v>
      </c>
      <c r="F4984" s="17" t="str">
        <f>IFERROR(__xludf.DUMMYFUNCTION("""COMPUTED_VALUE"""),"Via pereira -cerritos entrada 6 Condominio hacienda Malabar  / casa 37 / entrada 6 Condominio hacienda Malabar")</f>
        <v>Via pereira -cerritos entrada 6 Condominio hacienda Malabar  / casa 37 / entrada 6 Condominio hacienda Malabar</v>
      </c>
      <c r="G4984" s="15" t="str">
        <f>IFERROR(__xludf.DUMMYFUNCTION("""COMPUTED_VALUE"""),"Nelly Aristizábal")</f>
        <v>Nelly Aristizábal</v>
      </c>
      <c r="H4984" s="16">
        <f>IFERROR(__xludf.DUMMYFUNCTION("""COMPUTED_VALUE"""),13767.0)</f>
        <v>13767</v>
      </c>
      <c r="I4984" s="18">
        <f>IFERROR(__xludf.DUMMYFUNCTION("""COMPUTED_VALUE"""),10.0)</f>
        <v>10</v>
      </c>
      <c r="J4984" s="18">
        <f>IFERROR(__xludf.DUMMYFUNCTION("""COMPUTED_VALUE"""),23.0)</f>
        <v>23</v>
      </c>
      <c r="K4984" s="18">
        <f>IFERROR(__xludf.DUMMYFUNCTION("""COMPUTED_VALUE"""),45069.0)</f>
        <v>45069</v>
      </c>
      <c r="L4984" s="17">
        <f>IFERROR(__xludf.DUMMYFUNCTION("""COMPUTED_VALUE"""),3.153226544E9)</f>
        <v>3153226544</v>
      </c>
      <c r="M4984" s="17" t="str">
        <f>IFERROR(__xludf.DUMMYFUNCTION("""COMPUTED_VALUE"""),"#REF!")</f>
        <v>#REF!</v>
      </c>
      <c r="N4984" s="17"/>
      <c r="O4984" s="17"/>
      <c r="P4984" s="17" t="b">
        <f>IFERROR(__xludf.DUMMYFUNCTION("""COMPUTED_VALUE"""),FALSE)</f>
        <v>0</v>
      </c>
      <c r="Q4984" s="20" t="str">
        <f>IFERROR(__xludf.DUMMYFUNCTION("""COMPUTED_VALUE"""),"")</f>
        <v/>
      </c>
      <c r="R4984" s="21" t="str">
        <f>IFERROR(__xludf.DUMMYFUNCTION("""COMPUTED_VALUE"""),"https://drive.google.com/file/d/1TbtiuOprJH_W82SU2y9NPIGWvMXdVRKj/view?usp=drivesdk")</f>
        <v>https://drive.google.com/file/d/1TbtiuOprJH_W82SU2y9NPIGWvMXdVRKj/view?usp=drivesdk</v>
      </c>
    </row>
    <row r="4985">
      <c r="A4985" s="15">
        <f>IFERROR(__xludf.DUMMYFUNCTION("""COMPUTED_VALUE"""),45147.0)</f>
        <v>45147</v>
      </c>
      <c r="B4985" s="16" t="str">
        <f>IFERROR(__xludf.DUMMYFUNCTION("""COMPUTED_VALUE"""),"Ivan David Pirela Pirela")</f>
        <v>Ivan David Pirela Pirela</v>
      </c>
      <c r="C4985" s="15" t="str">
        <f>IFERROR(__xludf.DUMMYFUNCTION("""COMPUTED_VALUE"""),"PEREIRA")</f>
        <v>PEREIRA</v>
      </c>
      <c r="D4985" s="15" t="str">
        <f>IFERROR(__xludf.DUMMYFUNCTION("""COMPUTED_VALUE"""),"MEDELLÍN")</f>
        <v>MEDELLÍN</v>
      </c>
      <c r="E4985" s="15" t="str">
        <f>IFERROR(__xludf.DUMMYFUNCTION("""COMPUTED_VALUE"""),"Goyo Todo por ellos")</f>
        <v>Goyo Todo por ellos</v>
      </c>
      <c r="F4985" s="17" t="str">
        <f>IFERROR(__xludf.DUMMYFUNCTION("""COMPUTED_VALUE"""),"Calle 12 bis #16 18  / Casa Hoja Comunidad Consciente  / Barrio Pinares")</f>
        <v>Calle 12 bis #16 18  / Casa Hoja Comunidad Consciente  / Barrio Pinares</v>
      </c>
      <c r="G4985" s="15" t="str">
        <f>IFERROR(__xludf.DUMMYFUNCTION("""COMPUTED_VALUE"""),"Hector Hernandez")</f>
        <v>Hector Hernandez</v>
      </c>
      <c r="H4985" s="16">
        <f>IFERROR(__xludf.DUMMYFUNCTION("""COMPUTED_VALUE"""),13702.0)</f>
        <v>13702</v>
      </c>
      <c r="I4985" s="18">
        <f>IFERROR(__xludf.DUMMYFUNCTION("""COMPUTED_VALUE"""),20.0)</f>
        <v>20</v>
      </c>
      <c r="J4985" s="18">
        <f>IFERROR(__xludf.DUMMYFUNCTION("""COMPUTED_VALUE"""),36.0)</f>
        <v>36</v>
      </c>
      <c r="K4985" s="18">
        <f>IFERROR(__xludf.DUMMYFUNCTION("""COMPUTED_VALUE"""),32.0)</f>
        <v>32</v>
      </c>
      <c r="L4985" s="17">
        <f>IFERROR(__xludf.DUMMYFUNCTION("""COMPUTED_VALUE"""),3.18591145E9)</f>
        <v>3185911450</v>
      </c>
      <c r="M4985" s="17" t="str">
        <f>IFERROR(__xludf.DUMMYFUNCTION("""COMPUTED_VALUE"""),"#REF!")</f>
        <v>#REF!</v>
      </c>
      <c r="N4985" s="17"/>
      <c r="O4985" s="17"/>
      <c r="P4985" s="17" t="b">
        <f>IFERROR(__xludf.DUMMYFUNCTION("""COMPUTED_VALUE"""),FALSE)</f>
        <v>0</v>
      </c>
      <c r="Q4985" s="20" t="str">
        <f>IFERROR(__xludf.DUMMYFUNCTION("""COMPUTED_VALUE"""),"")</f>
        <v/>
      </c>
      <c r="R4985" s="22" t="str">
        <f>IFERROR(__xludf.DUMMYFUNCTION("""COMPUTED_VALUE"""),"")</f>
        <v/>
      </c>
    </row>
    <row r="4986">
      <c r="A4986" s="17" t="str">
        <f>IFERROR(__xludf.DUMMYFUNCTION("""COMPUTED_VALUE"""),"")</f>
        <v/>
      </c>
      <c r="B4986" s="17" t="str">
        <f>IFERROR(__xludf.DUMMYFUNCTION("""COMPUTED_VALUE"""),"")</f>
        <v/>
      </c>
      <c r="C4986" s="17" t="str">
        <f>IFERROR(__xludf.DUMMYFUNCTION("""COMPUTED_VALUE"""),"")</f>
        <v/>
      </c>
      <c r="D4986" s="17" t="str">
        <f>IFERROR(__xludf.DUMMYFUNCTION("""COMPUTED_VALUE"""),"")</f>
        <v/>
      </c>
      <c r="E4986" s="17" t="str">
        <f>IFERROR(__xludf.DUMMYFUNCTION("""COMPUTED_VALUE"""),"")</f>
        <v/>
      </c>
      <c r="F4986" s="17" t="str">
        <f>IFERROR(__xludf.DUMMYFUNCTION("""COMPUTED_VALUE"""),"")</f>
        <v/>
      </c>
      <c r="G4986" s="17" t="str">
        <f>IFERROR(__xludf.DUMMYFUNCTION("""COMPUTED_VALUE"""),"")</f>
        <v/>
      </c>
      <c r="H4986" s="17" t="str">
        <f>IFERROR(__xludf.DUMMYFUNCTION("""COMPUTED_VALUE"""),"")</f>
        <v/>
      </c>
      <c r="I4986" s="17" t="str">
        <f>IFERROR(__xludf.DUMMYFUNCTION("""COMPUTED_VALUE"""),"")</f>
        <v/>
      </c>
      <c r="J4986" s="17" t="str">
        <f>IFERROR(__xludf.DUMMYFUNCTION("""COMPUTED_VALUE"""),"")</f>
        <v/>
      </c>
      <c r="K4986" s="17" t="str">
        <f>IFERROR(__xludf.DUMMYFUNCTION("""COMPUTED_VALUE"""),"")</f>
        <v/>
      </c>
      <c r="L4986" s="17" t="str">
        <f>IFERROR(__xludf.DUMMYFUNCTION("""COMPUTED_VALUE"""),"")</f>
        <v/>
      </c>
      <c r="M4986" s="17" t="str">
        <f>IFERROR(__xludf.DUMMYFUNCTION("""COMPUTED_VALUE"""),"")</f>
        <v/>
      </c>
      <c r="N4986" s="17" t="str">
        <f>IFERROR(__xludf.DUMMYFUNCTION("""COMPUTED_VALUE"""),"")</f>
        <v/>
      </c>
      <c r="O4986" s="17" t="str">
        <f>IFERROR(__xludf.DUMMYFUNCTION("""COMPUTED_VALUE"""),"")</f>
        <v/>
      </c>
      <c r="P4986" s="17" t="str">
        <f>IFERROR(__xludf.DUMMYFUNCTION("""COMPUTED_VALUE"""),"")</f>
        <v/>
      </c>
      <c r="Q4986" s="17" t="str">
        <f>IFERROR(__xludf.DUMMYFUNCTION("""COMPUTED_VALUE"""),"")</f>
        <v/>
      </c>
      <c r="R4986" s="17" t="str">
        <f>IFERROR(__xludf.DUMMYFUNCTION("""COMPUTED_VALUE"""),"")</f>
        <v/>
      </c>
    </row>
    <row r="4987">
      <c r="A4987" s="15">
        <f>IFERROR(__xludf.DUMMYFUNCTION("""COMPUTED_VALUE"""),45147.0)</f>
        <v>45147</v>
      </c>
      <c r="B4987" s="16" t="str">
        <f>IFERROR(__xludf.DUMMYFUNCTION("""COMPUTED_VALUE"""),"Jeison Rubiano")</f>
        <v>Jeison Rubiano</v>
      </c>
      <c r="C4987" s="15" t="str">
        <f>IFERROR(__xludf.DUMMYFUNCTION("""COMPUTED_VALUE"""),"BOGOTÁ")</f>
        <v>BOGOTÁ</v>
      </c>
      <c r="D4987" s="15" t="str">
        <f>IFERROR(__xludf.DUMMYFUNCTION("""COMPUTED_VALUE"""),"MEDELLÍN")</f>
        <v>MEDELLÍN</v>
      </c>
      <c r="E4987" s="15" t="str">
        <f>IFERROR(__xludf.DUMMYFUNCTION("""COMPUTED_VALUE"""),"AREPAS LA MARY")</f>
        <v>AREPAS LA MARY</v>
      </c>
      <c r="F4987" s="17" t="str">
        <f>IFERROR(__xludf.DUMMYFUNCTION("""COMPUTED_VALUE"""),"AV. ESPERANZA N.46 39 APTO 205 / ED. SCALA XI")</f>
        <v>AV. ESPERANZA N.46 39 APTO 205 / ED. SCALA XI</v>
      </c>
      <c r="G4987" s="15" t="str">
        <f>IFERROR(__xludf.DUMMYFUNCTION("""COMPUTED_VALUE"""),"ANDREA ARIAS")</f>
        <v>ANDREA ARIAS</v>
      </c>
      <c r="H4987" s="16">
        <f>IFERROR(__xludf.DUMMYFUNCTION("""COMPUTED_VALUE"""),13683.0)</f>
        <v>13683</v>
      </c>
      <c r="I4987" s="18">
        <f>IFERROR(__xludf.DUMMYFUNCTION("""COMPUTED_VALUE"""),89.0)</f>
        <v>89</v>
      </c>
      <c r="J4987" s="18">
        <f>IFERROR(__xludf.DUMMYFUNCTION("""COMPUTED_VALUE"""),1.0)</f>
        <v>1</v>
      </c>
      <c r="K4987" s="18">
        <f>IFERROR(__xludf.DUMMYFUNCTION("""COMPUTED_VALUE"""),10.0)</f>
        <v>10</v>
      </c>
      <c r="L4987" s="17">
        <f>IFERROR(__xludf.DUMMYFUNCTION("""COMPUTED_VALUE"""),3.504287479E9)</f>
        <v>3504287479</v>
      </c>
      <c r="M4987" s="17" t="str">
        <f>IFERROR(__xludf.DUMMYFUNCTION("""COMPUTED_VALUE"""),"#REF!")</f>
        <v>#REF!</v>
      </c>
      <c r="N4987" s="17"/>
      <c r="O4987" s="17"/>
      <c r="P4987" s="17" t="b">
        <f>IFERROR(__xludf.DUMMYFUNCTION("""COMPUTED_VALUE"""),FALSE)</f>
        <v>0</v>
      </c>
      <c r="Q4987" s="20" t="str">
        <f>IFERROR(__xludf.DUMMYFUNCTION("""COMPUTED_VALUE"""),"")</f>
        <v/>
      </c>
      <c r="R4987" s="21" t="str">
        <f>IFERROR(__xludf.DUMMYFUNCTION("""COMPUTED_VALUE"""),"https://drive.google.com/file/d/1eMUkk7Iq7V06gcI3iDRFPNAExX5v960m/view?usp=drivesdk")</f>
        <v>https://drive.google.com/file/d/1eMUkk7Iq7V06gcI3iDRFPNAExX5v960m/view?usp=drivesdk</v>
      </c>
    </row>
    <row r="4988">
      <c r="A4988" s="15">
        <f>IFERROR(__xludf.DUMMYFUNCTION("""COMPUTED_VALUE"""),45147.0)</f>
        <v>45147</v>
      </c>
      <c r="B4988" s="16" t="str">
        <f>IFERROR(__xludf.DUMMYFUNCTION("""COMPUTED_VALUE"""),"Jeison Rubiano")</f>
        <v>Jeison Rubiano</v>
      </c>
      <c r="C4988" s="15" t="str">
        <f>IFERROR(__xludf.DUMMYFUNCTION("""COMPUTED_VALUE"""),"BOGOTÁ")</f>
        <v>BOGOTÁ</v>
      </c>
      <c r="D4988" s="15" t="str">
        <f>IFERROR(__xludf.DUMMYFUNCTION("""COMPUTED_VALUE"""),"MEDELLÍN")</f>
        <v>MEDELLÍN</v>
      </c>
      <c r="E4988" s="15" t="str">
        <f>IFERROR(__xludf.DUMMYFUNCTION("""COMPUTED_VALUE"""),"AREPAS LA MARY")</f>
        <v>AREPAS LA MARY</v>
      </c>
      <c r="F4988" s="17" t="str">
        <f>IFERROR(__xludf.DUMMYFUNCTION("""COMPUTED_VALUE"""),"Calle 63 nro 36 11 apto 602 / ED. MAVA")</f>
        <v>Calle 63 nro 36 11 apto 602 / ED. MAVA</v>
      </c>
      <c r="G4988" s="15" t="str">
        <f>IFERROR(__xludf.DUMMYFUNCTION("""COMPUTED_VALUE"""),"PATRICIA PEÑA")</f>
        <v>PATRICIA PEÑA</v>
      </c>
      <c r="H4988" s="16">
        <f>IFERROR(__xludf.DUMMYFUNCTION("""COMPUTED_VALUE"""),13681.0)</f>
        <v>13681</v>
      </c>
      <c r="I4988" s="18">
        <f>IFERROR(__xludf.DUMMYFUNCTION("""COMPUTED_VALUE"""),89.0)</f>
        <v>89</v>
      </c>
      <c r="J4988" s="18">
        <f>IFERROR(__xludf.DUMMYFUNCTION("""COMPUTED_VALUE"""),1.0)</f>
        <v>1</v>
      </c>
      <c r="K4988" s="18">
        <f>IFERROR(__xludf.DUMMYFUNCTION("""COMPUTED_VALUE"""),10.0)</f>
        <v>10</v>
      </c>
      <c r="L4988" s="17">
        <f>IFERROR(__xludf.DUMMYFUNCTION("""COMPUTED_VALUE"""),3.164742944E9)</f>
        <v>3164742944</v>
      </c>
      <c r="M4988" s="17" t="str">
        <f>IFERROR(__xludf.DUMMYFUNCTION("""COMPUTED_VALUE"""),"#REF!")</f>
        <v>#REF!</v>
      </c>
      <c r="N4988" s="17"/>
      <c r="O4988" s="17"/>
      <c r="P4988" s="17" t="b">
        <f>IFERROR(__xludf.DUMMYFUNCTION("""COMPUTED_VALUE"""),TRUE)</f>
        <v>1</v>
      </c>
      <c r="Q4988" s="20">
        <f>IFERROR(__xludf.DUMMYFUNCTION("""COMPUTED_VALUE"""),45147.512940810186)</f>
        <v>45147.51294</v>
      </c>
      <c r="R4988" s="22" t="str">
        <f>IFERROR(__xludf.DUMMYFUNCTION("""COMPUTED_VALUE"""),"")</f>
        <v/>
      </c>
    </row>
    <row r="4989">
      <c r="A4989" s="15">
        <f>IFERROR(__xludf.DUMMYFUNCTION("""COMPUTED_VALUE"""),45147.0)</f>
        <v>45147</v>
      </c>
      <c r="B4989" s="16" t="str">
        <f>IFERROR(__xludf.DUMMYFUNCTION("""COMPUTED_VALUE"""),"Jeison Rubiano")</f>
        <v>Jeison Rubiano</v>
      </c>
      <c r="C4989" s="15" t="str">
        <f>IFERROR(__xludf.DUMMYFUNCTION("""COMPUTED_VALUE"""),"BOGOTÁ")</f>
        <v>BOGOTÁ</v>
      </c>
      <c r="D4989" s="15" t="str">
        <f>IFERROR(__xludf.DUMMYFUNCTION("""COMPUTED_VALUE"""),"MEDELLÍN")</f>
        <v>MEDELLÍN</v>
      </c>
      <c r="E4989" s="15" t="str">
        <f>IFERROR(__xludf.DUMMYFUNCTION("""COMPUTED_VALUE"""),"AREPAS LA MARY")</f>
        <v>AREPAS LA MARY</v>
      </c>
      <c r="F4989" s="17" t="str">
        <f>IFERROR(__xludf.DUMMYFUNCTION("""COMPUTED_VALUE"""),"Calle 89 #19a-38 apto 703 / CAMINOS DE VIRREY")</f>
        <v>Calle 89 #19a-38 apto 703 / CAMINOS DE VIRREY</v>
      </c>
      <c r="G4989" s="15" t="str">
        <f>IFERROR(__xludf.DUMMYFUNCTION("""COMPUTED_VALUE"""),"MARIA JOSE VELEZ")</f>
        <v>MARIA JOSE VELEZ</v>
      </c>
      <c r="H4989" s="16">
        <f>IFERROR(__xludf.DUMMYFUNCTION("""COMPUTED_VALUE"""),13682.0)</f>
        <v>13682</v>
      </c>
      <c r="I4989" s="18">
        <f>IFERROR(__xludf.DUMMYFUNCTION("""COMPUTED_VALUE"""),89.0)</f>
        <v>89</v>
      </c>
      <c r="J4989" s="18">
        <f>IFERROR(__xludf.DUMMYFUNCTION("""COMPUTED_VALUE"""),1.0)</f>
        <v>1</v>
      </c>
      <c r="K4989" s="18">
        <f>IFERROR(__xludf.DUMMYFUNCTION("""COMPUTED_VALUE"""),10.0)</f>
        <v>10</v>
      </c>
      <c r="L4989" s="17">
        <f>IFERROR(__xludf.DUMMYFUNCTION("""COMPUTED_VALUE"""),3.208462338E9)</f>
        <v>3208462338</v>
      </c>
      <c r="M4989" s="17" t="str">
        <f>IFERROR(__xludf.DUMMYFUNCTION("""COMPUTED_VALUE"""),"#REF!")</f>
        <v>#REF!</v>
      </c>
      <c r="N4989" s="17"/>
      <c r="O4989" s="17"/>
      <c r="P4989" s="17" t="b">
        <f>IFERROR(__xludf.DUMMYFUNCTION("""COMPUTED_VALUE"""),FALSE)</f>
        <v>0</v>
      </c>
      <c r="Q4989" s="20" t="str">
        <f>IFERROR(__xludf.DUMMYFUNCTION("""COMPUTED_VALUE"""),"")</f>
        <v/>
      </c>
      <c r="R4989" s="21" t="str">
        <f>IFERROR(__xludf.DUMMYFUNCTION("""COMPUTED_VALUE"""),"https://drive.google.com/file/d/1kQP90GIg_sr0dvJlmnaeyfuphXce7hNp/view?usp=drivesdk")</f>
        <v>https://drive.google.com/file/d/1kQP90GIg_sr0dvJlmnaeyfuphXce7hNp/view?usp=drivesdk</v>
      </c>
    </row>
    <row r="4990">
      <c r="A4990" s="15">
        <f>IFERROR(__xludf.DUMMYFUNCTION("""COMPUTED_VALUE"""),45147.0)</f>
        <v>45147</v>
      </c>
      <c r="B4990" s="16" t="str">
        <f>IFERROR(__xludf.DUMMYFUNCTION("""COMPUTED_VALUE"""),"Jeison Rubiano")</f>
        <v>Jeison Rubiano</v>
      </c>
      <c r="C4990" s="15" t="str">
        <f>IFERROR(__xludf.DUMMYFUNCTION("""COMPUTED_VALUE"""),"BOGOTÁ")</f>
        <v>BOGOTÁ</v>
      </c>
      <c r="D4990" s="15" t="str">
        <f>IFERROR(__xludf.DUMMYFUNCTION("""COMPUTED_VALUE"""),"MEDELLÍN")</f>
        <v>MEDELLÍN</v>
      </c>
      <c r="E4990" s="15" t="str">
        <f>IFERROR(__xludf.DUMMYFUNCTION("""COMPUTED_VALUE"""),"AREPAS LA MARY")</f>
        <v>AREPAS LA MARY</v>
      </c>
      <c r="F4990" s="17" t="str">
        <f>IFERROR(__xludf.DUMMYFUNCTION("""COMPUTED_VALUE"""),"CALLE 92 N.13 68 APTO 602 / ED. PALJO 92")</f>
        <v>CALLE 92 N.13 68 APTO 602 / ED. PALJO 92</v>
      </c>
      <c r="G4990" s="15" t="str">
        <f>IFERROR(__xludf.DUMMYFUNCTION("""COMPUTED_VALUE"""),"CAMILA ISAZA")</f>
        <v>CAMILA ISAZA</v>
      </c>
      <c r="H4990" s="16">
        <f>IFERROR(__xludf.DUMMYFUNCTION("""COMPUTED_VALUE"""),13685.0)</f>
        <v>13685</v>
      </c>
      <c r="I4990" s="18">
        <f>IFERROR(__xludf.DUMMYFUNCTION("""COMPUTED_VALUE"""),89.0)</f>
        <v>89</v>
      </c>
      <c r="J4990" s="18">
        <f>IFERROR(__xludf.DUMMYFUNCTION("""COMPUTED_VALUE"""),1.0)</f>
        <v>1</v>
      </c>
      <c r="K4990" s="18">
        <f>IFERROR(__xludf.DUMMYFUNCTION("""COMPUTED_VALUE"""),10.0)</f>
        <v>10</v>
      </c>
      <c r="L4990" s="17">
        <f>IFERROR(__xludf.DUMMYFUNCTION("""COMPUTED_VALUE"""),3.102878086E9)</f>
        <v>3102878086</v>
      </c>
      <c r="M4990" s="17" t="str">
        <f>IFERROR(__xludf.DUMMYFUNCTION("""COMPUTED_VALUE"""),"#REF!")</f>
        <v>#REF!</v>
      </c>
      <c r="N4990" s="17"/>
      <c r="O4990" s="17"/>
      <c r="P4990" s="17" t="b">
        <f>IFERROR(__xludf.DUMMYFUNCTION("""COMPUTED_VALUE"""),FALSE)</f>
        <v>0</v>
      </c>
      <c r="Q4990" s="20" t="str">
        <f>IFERROR(__xludf.DUMMYFUNCTION("""COMPUTED_VALUE"""),"")</f>
        <v/>
      </c>
      <c r="R4990" s="21" t="str">
        <f>IFERROR(__xludf.DUMMYFUNCTION("""COMPUTED_VALUE"""),"https://drive.google.com/file/d/1zCqtrY1Pxz_CR8QCXuwrHDrZnZUSZcZ2/view?usp=drivesdk")</f>
        <v>https://drive.google.com/file/d/1zCqtrY1Pxz_CR8QCXuwrHDrZnZUSZcZ2/view?usp=drivesdk</v>
      </c>
    </row>
    <row r="4991">
      <c r="A4991" s="15">
        <f>IFERROR(__xludf.DUMMYFUNCTION("""COMPUTED_VALUE"""),45147.0)</f>
        <v>45147</v>
      </c>
      <c r="B4991" s="16" t="str">
        <f>IFERROR(__xludf.DUMMYFUNCTION("""COMPUTED_VALUE"""),"Jeison Rubiano")</f>
        <v>Jeison Rubiano</v>
      </c>
      <c r="C4991" s="15" t="str">
        <f>IFERROR(__xludf.DUMMYFUNCTION("""COMPUTED_VALUE"""),"BOGOTÁ")</f>
        <v>BOGOTÁ</v>
      </c>
      <c r="D4991" s="15" t="str">
        <f>IFERROR(__xludf.DUMMYFUNCTION("""COMPUTED_VALUE"""),"MEDELLÍN")</f>
        <v>MEDELLÍN</v>
      </c>
      <c r="E4991" s="15" t="str">
        <f>IFERROR(__xludf.DUMMYFUNCTION("""COMPUTED_VALUE"""),"AREPAS LA MARY")</f>
        <v>AREPAS LA MARY</v>
      </c>
      <c r="F4991" s="17" t="str">
        <f>IFERROR(__xludf.DUMMYFUNCTION("""COMPUTED_VALUE"""),"CRA 13 # 93-13 LOCAL 103 / LOCAL 103")</f>
        <v>CRA 13 # 93-13 LOCAL 103 / LOCAL 103</v>
      </c>
      <c r="G4991" s="15" t="str">
        <f>IFERROR(__xludf.DUMMYFUNCTION("""COMPUTED_VALUE"""),"HEALING FOODS")</f>
        <v>HEALING FOODS</v>
      </c>
      <c r="H4991" s="16">
        <f>IFERROR(__xludf.DUMMYFUNCTION("""COMPUTED_VALUE"""),13677.0)</f>
        <v>13677</v>
      </c>
      <c r="I4991" s="18">
        <f>IFERROR(__xludf.DUMMYFUNCTION("""COMPUTED_VALUE"""),89.0)</f>
        <v>89</v>
      </c>
      <c r="J4991" s="18">
        <f>IFERROR(__xludf.DUMMYFUNCTION("""COMPUTED_VALUE"""),1.0)</f>
        <v>1</v>
      </c>
      <c r="K4991" s="18">
        <f>IFERROR(__xludf.DUMMYFUNCTION("""COMPUTED_VALUE"""),10.0)</f>
        <v>10</v>
      </c>
      <c r="L4991" s="17">
        <f>IFERROR(__xludf.DUMMYFUNCTION("""COMPUTED_VALUE"""),3.142647408E9)</f>
        <v>3142647408</v>
      </c>
      <c r="M4991" s="17" t="str">
        <f>IFERROR(__xludf.DUMMYFUNCTION("""COMPUTED_VALUE"""),"#REF!")</f>
        <v>#REF!</v>
      </c>
      <c r="N4991" s="17"/>
      <c r="O4991" s="17"/>
      <c r="P4991" s="17" t="b">
        <f>IFERROR(__xludf.DUMMYFUNCTION("""COMPUTED_VALUE"""),FALSE)</f>
        <v>0</v>
      </c>
      <c r="Q4991" s="20" t="str">
        <f>IFERROR(__xludf.DUMMYFUNCTION("""COMPUTED_VALUE"""),"")</f>
        <v/>
      </c>
      <c r="R4991" s="21" t="str">
        <f>IFERROR(__xludf.DUMMYFUNCTION("""COMPUTED_VALUE"""),"https://drive.google.com/file/d/1sayGsWZxiCdycruL7SV-fIY0pNZ2je72/view?usp=drivesdk")</f>
        <v>https://drive.google.com/file/d/1sayGsWZxiCdycruL7SV-fIY0pNZ2je72/view?usp=drivesdk</v>
      </c>
    </row>
    <row r="4992">
      <c r="A4992" s="15">
        <f>IFERROR(__xludf.DUMMYFUNCTION("""COMPUTED_VALUE"""),45147.0)</f>
        <v>45147</v>
      </c>
      <c r="B4992" s="16" t="str">
        <f>IFERROR(__xludf.DUMMYFUNCTION("""COMPUTED_VALUE"""),"Jeison Rubiano")</f>
        <v>Jeison Rubiano</v>
      </c>
      <c r="C4992" s="15" t="str">
        <f>IFERROR(__xludf.DUMMYFUNCTION("""COMPUTED_VALUE"""),"BOGOTÁ")</f>
        <v>BOGOTÁ</v>
      </c>
      <c r="D4992" s="15" t="str">
        <f>IFERROR(__xludf.DUMMYFUNCTION("""COMPUTED_VALUE"""),"MEDELLÍN")</f>
        <v>MEDELLÍN</v>
      </c>
      <c r="E4992" s="15" t="str">
        <f>IFERROR(__xludf.DUMMYFUNCTION("""COMPUTED_VALUE"""),"AREPAS LA MARY")</f>
        <v>AREPAS LA MARY</v>
      </c>
      <c r="F4992" s="17" t="str">
        <f>IFERROR(__xludf.DUMMYFUNCTION("""COMPUTED_VALUE"""),"CRA 21 # 106 B-29 / ANCORA")</f>
        <v>CRA 21 # 106 B-29 / ANCORA</v>
      </c>
      <c r="G4992" s="15" t="str">
        <f>IFERROR(__xludf.DUMMYFUNCTION("""COMPUTED_VALUE"""),"JUAN CARLOS AMAYA")</f>
        <v>JUAN CARLOS AMAYA</v>
      </c>
      <c r="H4992" s="16">
        <f>IFERROR(__xludf.DUMMYFUNCTION("""COMPUTED_VALUE"""),13684.0)</f>
        <v>13684</v>
      </c>
      <c r="I4992" s="18">
        <f>IFERROR(__xludf.DUMMYFUNCTION("""COMPUTED_VALUE"""),89.0)</f>
        <v>89</v>
      </c>
      <c r="J4992" s="18">
        <f>IFERROR(__xludf.DUMMYFUNCTION("""COMPUTED_VALUE"""),1.0)</f>
        <v>1</v>
      </c>
      <c r="K4992" s="18">
        <f>IFERROR(__xludf.DUMMYFUNCTION("""COMPUTED_VALUE"""),10.0)</f>
        <v>10</v>
      </c>
      <c r="L4992" s="17">
        <f>IFERROR(__xludf.DUMMYFUNCTION("""COMPUTED_VALUE"""),3.174387238E9)</f>
        <v>3174387238</v>
      </c>
      <c r="M4992" s="17" t="str">
        <f>IFERROR(__xludf.DUMMYFUNCTION("""COMPUTED_VALUE"""),"#REF!")</f>
        <v>#REF!</v>
      </c>
      <c r="N4992" s="17"/>
      <c r="O4992" s="17"/>
      <c r="P4992" s="17" t="b">
        <f>IFERROR(__xludf.DUMMYFUNCTION("""COMPUTED_VALUE"""),FALSE)</f>
        <v>0</v>
      </c>
      <c r="Q4992" s="20" t="str">
        <f>IFERROR(__xludf.DUMMYFUNCTION("""COMPUTED_VALUE"""),"")</f>
        <v/>
      </c>
      <c r="R4992" s="21" t="str">
        <f>IFERROR(__xludf.DUMMYFUNCTION("""COMPUTED_VALUE"""),"https://drive.google.com/file/d/19XhUcr-wlGoF2UPfZWQ_kcEnlpO55nb7/view?usp=drivesdk")</f>
        <v>https://drive.google.com/file/d/19XhUcr-wlGoF2UPfZWQ_kcEnlpO55nb7/view?usp=drivesdk</v>
      </c>
    </row>
    <row r="4993">
      <c r="A4993" s="15">
        <f>IFERROR(__xludf.DUMMYFUNCTION("""COMPUTED_VALUE"""),45147.0)</f>
        <v>45147</v>
      </c>
      <c r="B4993" s="16" t="str">
        <f>IFERROR(__xludf.DUMMYFUNCTION("""COMPUTED_VALUE"""),"Jeison Rubiano")</f>
        <v>Jeison Rubiano</v>
      </c>
      <c r="C4993" s="15" t="str">
        <f>IFERROR(__xludf.DUMMYFUNCTION("""COMPUTED_VALUE"""),"BOGOTÁ")</f>
        <v>BOGOTÁ</v>
      </c>
      <c r="D4993" s="15" t="str">
        <f>IFERROR(__xludf.DUMMYFUNCTION("""COMPUTED_VALUE"""),"MEDELLÍN")</f>
        <v>MEDELLÍN</v>
      </c>
      <c r="E4993" s="15" t="str">
        <f>IFERROR(__xludf.DUMMYFUNCTION("""COMPUTED_VALUE"""),"AREPAS LA MARY")</f>
        <v>AREPAS LA MARY</v>
      </c>
      <c r="F4993" s="17" t="str">
        <f>IFERROR(__xludf.DUMMYFUNCTION("""COMPUTED_VALUE"""),"Cra 5 #26b-57 Apt 2401 / Torres del Parque")</f>
        <v>Cra 5 #26b-57 Apt 2401 / Torres del Parque</v>
      </c>
      <c r="G4993" s="15" t="str">
        <f>IFERROR(__xludf.DUMMYFUNCTION("""COMPUTED_VALUE"""),"JOHANNA RAMOS")</f>
        <v>JOHANNA RAMOS</v>
      </c>
      <c r="H4993" s="16">
        <f>IFERROR(__xludf.DUMMYFUNCTION("""COMPUTED_VALUE"""),13686.0)</f>
        <v>13686</v>
      </c>
      <c r="I4993" s="18">
        <f>IFERROR(__xludf.DUMMYFUNCTION("""COMPUTED_VALUE"""),89.0)</f>
        <v>89</v>
      </c>
      <c r="J4993" s="18">
        <f>IFERROR(__xludf.DUMMYFUNCTION("""COMPUTED_VALUE"""),1.0)</f>
        <v>1</v>
      </c>
      <c r="K4993" s="18">
        <f>IFERROR(__xludf.DUMMYFUNCTION("""COMPUTED_VALUE"""),10.0)</f>
        <v>10</v>
      </c>
      <c r="L4993" s="17">
        <f>IFERROR(__xludf.DUMMYFUNCTION("""COMPUTED_VALUE"""),3.128995545E9)</f>
        <v>3128995545</v>
      </c>
      <c r="M4993" s="17" t="str">
        <f>IFERROR(__xludf.DUMMYFUNCTION("""COMPUTED_VALUE"""),"#REF!")</f>
        <v>#REF!</v>
      </c>
      <c r="N4993" s="17"/>
      <c r="O4993" s="17"/>
      <c r="P4993" s="17" t="b">
        <f>IFERROR(__xludf.DUMMYFUNCTION("""COMPUTED_VALUE"""),FALSE)</f>
        <v>0</v>
      </c>
      <c r="Q4993" s="20" t="str">
        <f>IFERROR(__xludf.DUMMYFUNCTION("""COMPUTED_VALUE"""),"")</f>
        <v/>
      </c>
      <c r="R4993" s="21" t="str">
        <f>IFERROR(__xludf.DUMMYFUNCTION("""COMPUTED_VALUE"""),"https://drive.google.com/file/d/1Y2pwfCVTJLnzmxrntZuGHMW30X4RbUia/view?usp=drivesdk")</f>
        <v>https://drive.google.com/file/d/1Y2pwfCVTJLnzmxrntZuGHMW30X4RbUia/view?usp=drivesdk</v>
      </c>
    </row>
    <row r="4994">
      <c r="A4994" s="15">
        <f>IFERROR(__xludf.DUMMYFUNCTION("""COMPUTED_VALUE"""),45147.0)</f>
        <v>45147</v>
      </c>
      <c r="B4994" s="16" t="str">
        <f>IFERROR(__xludf.DUMMYFUNCTION("""COMPUTED_VALUE"""),"Jeison Rubiano")</f>
        <v>Jeison Rubiano</v>
      </c>
      <c r="C4994" s="15" t="str">
        <f>IFERROR(__xludf.DUMMYFUNCTION("""COMPUTED_VALUE"""),"BOGOTÁ")</f>
        <v>BOGOTÁ</v>
      </c>
      <c r="D4994" s="15" t="str">
        <f>IFERROR(__xludf.DUMMYFUNCTION("""COMPUTED_VALUE"""),"MEDELLÍN")</f>
        <v>MEDELLÍN</v>
      </c>
      <c r="E4994" s="15" t="str">
        <f>IFERROR(__xludf.DUMMYFUNCTION("""COMPUTED_VALUE"""),"AREPAS LA MARY")</f>
        <v>AREPAS LA MARY</v>
      </c>
      <c r="F4994" s="17" t="str">
        <f>IFERROR(__xludf.DUMMYFUNCTION("""COMPUTED_VALUE"""),"CRA 58 # 119 A -49 TORRE 1 APTO 1703 / LAGOS DE CORDOBA")</f>
        <v>CRA 58 # 119 A -49 TORRE 1 APTO 1703 / LAGOS DE CORDOBA</v>
      </c>
      <c r="G4994" s="15" t="str">
        <f>IFERROR(__xludf.DUMMYFUNCTION("""COMPUTED_VALUE"""),"CLAUDIA SUAREZ")</f>
        <v>CLAUDIA SUAREZ</v>
      </c>
      <c r="H4994" s="16">
        <f>IFERROR(__xludf.DUMMYFUNCTION("""COMPUTED_VALUE"""),13691.0)</f>
        <v>13691</v>
      </c>
      <c r="I4994" s="18">
        <f>IFERROR(__xludf.DUMMYFUNCTION("""COMPUTED_VALUE"""),89.0)</f>
        <v>89</v>
      </c>
      <c r="J4994" s="18">
        <f>IFERROR(__xludf.DUMMYFUNCTION("""COMPUTED_VALUE"""),1.0)</f>
        <v>1</v>
      </c>
      <c r="K4994" s="18">
        <f>IFERROR(__xludf.DUMMYFUNCTION("""COMPUTED_VALUE"""),10.0)</f>
        <v>10</v>
      </c>
      <c r="L4994" s="17">
        <f>IFERROR(__xludf.DUMMYFUNCTION("""COMPUTED_VALUE"""),3.174388134E9)</f>
        <v>3174388134</v>
      </c>
      <c r="M4994" s="17" t="str">
        <f>IFERROR(__xludf.DUMMYFUNCTION("""COMPUTED_VALUE"""),"#REF!")</f>
        <v>#REF!</v>
      </c>
      <c r="N4994" s="17"/>
      <c r="O4994" s="17"/>
      <c r="P4994" s="17" t="b">
        <f>IFERROR(__xludf.DUMMYFUNCTION("""COMPUTED_VALUE"""),TRUE)</f>
        <v>1</v>
      </c>
      <c r="Q4994" s="20">
        <f>IFERROR(__xludf.DUMMYFUNCTION("""COMPUTED_VALUE"""),45147.42668202546)</f>
        <v>45147.42668</v>
      </c>
      <c r="R4994" s="21" t="str">
        <f>IFERROR(__xludf.DUMMYFUNCTION("""COMPUTED_VALUE"""),"https://drive.google.com/file/d/1LrixjIaeUmQXQtycfn0bDqWG7yTuIT1i/view?usp=drivesdk")</f>
        <v>https://drive.google.com/file/d/1LrixjIaeUmQXQtycfn0bDqWG7yTuIT1i/view?usp=drivesdk</v>
      </c>
    </row>
    <row r="4995">
      <c r="A4995" s="15">
        <f>IFERROR(__xludf.DUMMYFUNCTION("""COMPUTED_VALUE"""),45147.0)</f>
        <v>45147</v>
      </c>
      <c r="B4995" s="16" t="str">
        <f>IFERROR(__xludf.DUMMYFUNCTION("""COMPUTED_VALUE"""),"Jeison Rubiano")</f>
        <v>Jeison Rubiano</v>
      </c>
      <c r="C4995" s="15" t="str">
        <f>IFERROR(__xludf.DUMMYFUNCTION("""COMPUTED_VALUE"""),"BOGOTÁ")</f>
        <v>BOGOTÁ</v>
      </c>
      <c r="D4995" s="15" t="str">
        <f>IFERROR(__xludf.DUMMYFUNCTION("""COMPUTED_VALUE"""),"MEDELLÍN")</f>
        <v>MEDELLÍN</v>
      </c>
      <c r="E4995" s="15" t="str">
        <f>IFERROR(__xludf.DUMMYFUNCTION("""COMPUTED_VALUE"""),"Baby Chef")</f>
        <v>Baby Chef</v>
      </c>
      <c r="F4995" s="17" t="str">
        <f>IFERROR(__xludf.DUMMYFUNCTION("""COMPUTED_VALUE"""),"Calle 131A no. 9-59 torre 1(L) apto 402 Conjunto Vergel del Country  / Calle 131A no. 9-59 torre 1(L) apto 402 Conjunto Vergel del Country  / Calle 131A no. 9-59 torre 1(L) apto 402 Conjunto Vergel del Country")</f>
        <v>Calle 131A no. 9-59 torre 1(L) apto 402 Conjunto Vergel del Country  / Calle 131A no. 9-59 torre 1(L) apto 402 Conjunto Vergel del Country  / Calle 131A no. 9-59 torre 1(L) apto 402 Conjunto Vergel del Country</v>
      </c>
      <c r="G4995" s="15" t="str">
        <f>IFERROR(__xludf.DUMMYFUNCTION("""COMPUTED_VALUE"""),"Lorena González")</f>
        <v>Lorena González</v>
      </c>
      <c r="H4995" s="16">
        <f>IFERROR(__xludf.DUMMYFUNCTION("""COMPUTED_VALUE"""),13754.0)</f>
        <v>13754</v>
      </c>
      <c r="I4995" s="18">
        <f>IFERROR(__xludf.DUMMYFUNCTION("""COMPUTED_VALUE"""),8.0)</f>
        <v>8</v>
      </c>
      <c r="J4995" s="18">
        <f>IFERROR(__xludf.DUMMYFUNCTION("""COMPUTED_VALUE"""),32.0)</f>
        <v>32</v>
      </c>
      <c r="K4995" s="18">
        <f>IFERROR(__xludf.DUMMYFUNCTION("""COMPUTED_VALUE"""),22.0)</f>
        <v>22</v>
      </c>
      <c r="L4995" s="17">
        <f>IFERROR(__xludf.DUMMYFUNCTION("""COMPUTED_VALUE"""),3.105562636E9)</f>
        <v>3105562636</v>
      </c>
      <c r="M4995" s="17" t="str">
        <f>IFERROR(__xludf.DUMMYFUNCTION("""COMPUTED_VALUE"""),"#REF!")</f>
        <v>#REF!</v>
      </c>
      <c r="N4995" s="17"/>
      <c r="O4995" s="17"/>
      <c r="P4995" s="17" t="b">
        <f>IFERROR(__xludf.DUMMYFUNCTION("""COMPUTED_VALUE"""),TRUE)</f>
        <v>1</v>
      </c>
      <c r="Q4995" s="20">
        <f>IFERROR(__xludf.DUMMYFUNCTION("""COMPUTED_VALUE"""),45147.42677910879)</f>
        <v>45147.42678</v>
      </c>
      <c r="R4995" s="21" t="str">
        <f>IFERROR(__xludf.DUMMYFUNCTION("""COMPUTED_VALUE"""),"https://drive.google.com/file/d/12luiQvimTHvHm-iW3Wk6ZCs6l9CBgVJ8/view?usp=drivesdk")</f>
        <v>https://drive.google.com/file/d/12luiQvimTHvHm-iW3Wk6ZCs6l9CBgVJ8/view?usp=drivesdk</v>
      </c>
    </row>
    <row r="4996">
      <c r="A4996" s="15">
        <f>IFERROR(__xludf.DUMMYFUNCTION("""COMPUTED_VALUE"""),45147.0)</f>
        <v>45147</v>
      </c>
      <c r="B4996" s="16" t="str">
        <f>IFERROR(__xludf.DUMMYFUNCTION("""COMPUTED_VALUE"""),"Jeison Rubiano")</f>
        <v>Jeison Rubiano</v>
      </c>
      <c r="C4996" s="15" t="str">
        <f>IFERROR(__xludf.DUMMYFUNCTION("""COMPUTED_VALUE"""),"BOGOTÁ")</f>
        <v>BOGOTÁ</v>
      </c>
      <c r="D4996" s="15" t="str">
        <f>IFERROR(__xludf.DUMMYFUNCTION("""COMPUTED_VALUE"""),"MEDELLÍN")</f>
        <v>MEDELLÍN</v>
      </c>
      <c r="E4996" s="15" t="str">
        <f>IFERROR(__xludf.DUMMYFUNCTION("""COMPUTED_VALUE"""),"Baby Chef")</f>
        <v>Baby Chef</v>
      </c>
      <c r="F4996" s="17" t="str">
        <f>IFERROR(__xludf.DUMMYFUNCTION("""COMPUTED_VALUE"""),"Cra 56 # 145-51 interior 5 apartamento 204 Edificio colinas de santa paula Interior 5 Ap 204 / ""Cra 56 # 145-51 interior 5 apartamento 204 Edificio colinas de santa paula Interior 5 Ap 204"" / ""Cra 56 # 145-51 interior 5 apartamento 204 Edificio colinas"&amp;" de santa paula Interior 5 Ap 204""")</f>
        <v>Cra 56 # 145-51 interior 5 apartamento 204 Edificio colinas de santa paula Interior 5 Ap 204 / "Cra 56 # 145-51 interior 5 apartamento 204 Edificio colinas de santa paula Interior 5 Ap 204" / "Cra 56 # 145-51 interior 5 apartamento 204 Edificio colinas de santa paula Interior 5 Ap 204"</v>
      </c>
      <c r="G4996" s="15" t="str">
        <f>IFERROR(__xludf.DUMMYFUNCTION("""COMPUTED_VALUE"""),"Dunya Ortíz")</f>
        <v>Dunya Ortíz</v>
      </c>
      <c r="H4996" s="16">
        <f>IFERROR(__xludf.DUMMYFUNCTION("""COMPUTED_VALUE"""),13755.0)</f>
        <v>13755</v>
      </c>
      <c r="I4996" s="18">
        <f>IFERROR(__xludf.DUMMYFUNCTION("""COMPUTED_VALUE"""),8.0)</f>
        <v>8</v>
      </c>
      <c r="J4996" s="18">
        <f>IFERROR(__xludf.DUMMYFUNCTION("""COMPUTED_VALUE"""),25.0)</f>
        <v>25</v>
      </c>
      <c r="K4996" s="18">
        <f>IFERROR(__xludf.DUMMYFUNCTION("""COMPUTED_VALUE"""),36.0)</f>
        <v>36</v>
      </c>
      <c r="L4996" s="17">
        <f>IFERROR(__xludf.DUMMYFUNCTION("""COMPUTED_VALUE"""),3.008428993E9)</f>
        <v>3008428993</v>
      </c>
      <c r="M4996" s="17" t="str">
        <f>IFERROR(__xludf.DUMMYFUNCTION("""COMPUTED_VALUE"""),"#REF!")</f>
        <v>#REF!</v>
      </c>
      <c r="N4996" s="17"/>
      <c r="O4996" s="17"/>
      <c r="P4996" s="17" t="b">
        <f>IFERROR(__xludf.DUMMYFUNCTION("""COMPUTED_VALUE"""),TRUE)</f>
        <v>1</v>
      </c>
      <c r="Q4996" s="20">
        <f>IFERROR(__xludf.DUMMYFUNCTION("""COMPUTED_VALUE"""),45147.42684475695)</f>
        <v>45147.42684</v>
      </c>
      <c r="R4996" s="21" t="str">
        <f>IFERROR(__xludf.DUMMYFUNCTION("""COMPUTED_VALUE"""),"https://drive.google.com/file/d/1ffcyuH5_ilCP1xS-FJ_ydHmaC1zByjd4/view?usp=drivesdk")</f>
        <v>https://drive.google.com/file/d/1ffcyuH5_ilCP1xS-FJ_ydHmaC1zByjd4/view?usp=drivesdk</v>
      </c>
    </row>
    <row r="4997">
      <c r="A4997" s="15">
        <f>IFERROR(__xludf.DUMMYFUNCTION("""COMPUTED_VALUE"""),45147.0)</f>
        <v>45147</v>
      </c>
      <c r="B4997" s="16" t="str">
        <f>IFERROR(__xludf.DUMMYFUNCTION("""COMPUTED_VALUE"""),"Jeison Rubiano")</f>
        <v>Jeison Rubiano</v>
      </c>
      <c r="C4997" s="15" t="str">
        <f>IFERROR(__xludf.DUMMYFUNCTION("""COMPUTED_VALUE"""),"BOGOTÁ")</f>
        <v>BOGOTÁ</v>
      </c>
      <c r="D4997" s="15" t="str">
        <f>IFERROR(__xludf.DUMMYFUNCTION("""COMPUTED_VALUE"""),"MEDELLÍN")</f>
        <v>MEDELLÍN</v>
      </c>
      <c r="E4997" s="15" t="str">
        <f>IFERROR(__xludf.DUMMYFUNCTION("""COMPUTED_VALUE"""),"Baby Chef")</f>
        <v>Baby Chef</v>
      </c>
      <c r="F4997" s="17" t="str">
        <f>IFERROR(__xludf.DUMMYFUNCTION("""COMPUTED_VALUE"""),"cra 73A # 167-29 casa 59 Portales del Norte / cra 73A # 167-29 casa 59 Portales del Norte / cra 73A # 167-29 casa 59 Portales del Norte")</f>
        <v>cra 73A # 167-29 casa 59 Portales del Norte / cra 73A # 167-29 casa 59 Portales del Norte / cra 73A # 167-29 casa 59 Portales del Norte</v>
      </c>
      <c r="G4997" s="15" t="str">
        <f>IFERROR(__xludf.DUMMYFUNCTION("""COMPUTED_VALUE"""),"Catalina Angel")</f>
        <v>Catalina Angel</v>
      </c>
      <c r="H4997" s="16">
        <f>IFERROR(__xludf.DUMMYFUNCTION("""COMPUTED_VALUE"""),13758.0)</f>
        <v>13758</v>
      </c>
      <c r="I4997" s="18">
        <f>IFERROR(__xludf.DUMMYFUNCTION("""COMPUTED_VALUE"""),8.0)</f>
        <v>8</v>
      </c>
      <c r="J4997" s="18">
        <f>IFERROR(__xludf.DUMMYFUNCTION("""COMPUTED_VALUE"""),36.0)</f>
        <v>36</v>
      </c>
      <c r="K4997" s="18">
        <f>IFERROR(__xludf.DUMMYFUNCTION("""COMPUTED_VALUE"""),19.0)</f>
        <v>19</v>
      </c>
      <c r="L4997" s="17">
        <f>IFERROR(__xludf.DUMMYFUNCTION("""COMPUTED_VALUE"""),3.209348559E9)</f>
        <v>3209348559</v>
      </c>
      <c r="M4997" s="17" t="str">
        <f>IFERROR(__xludf.DUMMYFUNCTION("""COMPUTED_VALUE"""),"#REF!")</f>
        <v>#REF!</v>
      </c>
      <c r="N4997" s="17"/>
      <c r="O4997" s="17"/>
      <c r="P4997" s="17" t="b">
        <f>IFERROR(__xludf.DUMMYFUNCTION("""COMPUTED_VALUE"""),FALSE)</f>
        <v>0</v>
      </c>
      <c r="Q4997" s="20" t="str">
        <f>IFERROR(__xludf.DUMMYFUNCTION("""COMPUTED_VALUE"""),"")</f>
        <v/>
      </c>
      <c r="R4997" s="21" t="str">
        <f>IFERROR(__xludf.DUMMYFUNCTION("""COMPUTED_VALUE"""),"https://drive.google.com/file/d/1On1YPWLgfEGK1MPWF7S6VuBos-uc7ftO/view?usp=drivesdk")</f>
        <v>https://drive.google.com/file/d/1On1YPWLgfEGK1MPWF7S6VuBos-uc7ftO/view?usp=drivesdk</v>
      </c>
    </row>
    <row r="4998">
      <c r="A4998" s="15">
        <f>IFERROR(__xludf.DUMMYFUNCTION("""COMPUTED_VALUE"""),45147.0)</f>
        <v>45147</v>
      </c>
      <c r="B4998" s="16" t="str">
        <f>IFERROR(__xludf.DUMMYFUNCTION("""COMPUTED_VALUE"""),"Jeison Rubiano")</f>
        <v>Jeison Rubiano</v>
      </c>
      <c r="C4998" s="15" t="str">
        <f>IFERROR(__xludf.DUMMYFUNCTION("""COMPUTED_VALUE"""),"BOGOTÁ")</f>
        <v>BOGOTÁ</v>
      </c>
      <c r="D4998" s="15" t="str">
        <f>IFERROR(__xludf.DUMMYFUNCTION("""COMPUTED_VALUE"""),"MEDELLÍN")</f>
        <v>MEDELLÍN</v>
      </c>
      <c r="E4998" s="15" t="str">
        <f>IFERROR(__xludf.DUMMYFUNCTION("""COMPUTED_VALUE"""),"Baby Chef")</f>
        <v>Baby Chef</v>
      </c>
      <c r="F4998" s="17" t="str">
        <f>IFERROR(__xludf.DUMMYFUNCTION("""COMPUTED_VALUE"""),"transversal 3c #49-45. Edificio Leoben apto 402. Bogotá Chapinero. / transversal 3c #49-45. Edificio Leoben apto 402. Bogotá Chapinero. / transversal 3c #49-45. Edificio Leoben apto 402. Bogotá Chapinero.")</f>
        <v>transversal 3c #49-45. Edificio Leoben apto 402. Bogotá Chapinero. / transversal 3c #49-45. Edificio Leoben apto 402. Bogotá Chapinero. / transversal 3c #49-45. Edificio Leoben apto 402. Bogotá Chapinero.</v>
      </c>
      <c r="G4998" s="15" t="str">
        <f>IFERROR(__xludf.DUMMYFUNCTION("""COMPUTED_VALUE"""),"Juliana Peñaloza")</f>
        <v>Juliana Peñaloza</v>
      </c>
      <c r="H4998" s="16">
        <f>IFERROR(__xludf.DUMMYFUNCTION("""COMPUTED_VALUE"""),13753.0)</f>
        <v>13753</v>
      </c>
      <c r="I4998" s="18">
        <f>IFERROR(__xludf.DUMMYFUNCTION("""COMPUTED_VALUE"""),8.0)</f>
        <v>8</v>
      </c>
      <c r="J4998" s="18">
        <f>IFERROR(__xludf.DUMMYFUNCTION("""COMPUTED_VALUE"""),30.0)</f>
        <v>30</v>
      </c>
      <c r="K4998" s="18">
        <f>IFERROR(__xludf.DUMMYFUNCTION("""COMPUTED_VALUE"""),24.0)</f>
        <v>24</v>
      </c>
      <c r="L4998" s="17">
        <f>IFERROR(__xludf.DUMMYFUNCTION("""COMPUTED_VALUE"""),3.21457503E9)</f>
        <v>3214575030</v>
      </c>
      <c r="M4998" s="17" t="str">
        <f>IFERROR(__xludf.DUMMYFUNCTION("""COMPUTED_VALUE"""),"#REF!")</f>
        <v>#REF!</v>
      </c>
      <c r="N4998" s="17"/>
      <c r="O4998" s="17"/>
      <c r="P4998" s="17" t="b">
        <f>IFERROR(__xludf.DUMMYFUNCTION("""COMPUTED_VALUE"""),FALSE)</f>
        <v>0</v>
      </c>
      <c r="Q4998" s="20" t="str">
        <f>IFERROR(__xludf.DUMMYFUNCTION("""COMPUTED_VALUE"""),"")</f>
        <v/>
      </c>
      <c r="R4998" s="21" t="str">
        <f>IFERROR(__xludf.DUMMYFUNCTION("""COMPUTED_VALUE"""),"https://drive.google.com/file/d/1ixb7nkqom_GxJSgVybWEknd7_fTrDjva/view?usp=drivesdk")</f>
        <v>https://drive.google.com/file/d/1ixb7nkqom_GxJSgVybWEknd7_fTrDjva/view?usp=drivesdk</v>
      </c>
    </row>
    <row r="4999">
      <c r="A4999" s="15">
        <f>IFERROR(__xludf.DUMMYFUNCTION("""COMPUTED_VALUE"""),45147.0)</f>
        <v>45147</v>
      </c>
      <c r="B4999" s="16" t="str">
        <f>IFERROR(__xludf.DUMMYFUNCTION("""COMPUTED_VALUE"""),"Jeison Rubiano")</f>
        <v>Jeison Rubiano</v>
      </c>
      <c r="C4999" s="15" t="str">
        <f>IFERROR(__xludf.DUMMYFUNCTION("""COMPUTED_VALUE"""),"BOGOTÁ")</f>
        <v>BOGOTÁ</v>
      </c>
      <c r="D4999" s="15" t="str">
        <f>IFERROR(__xludf.DUMMYFUNCTION("""COMPUTED_VALUE"""),"MEDELLÍN")</f>
        <v>MEDELLÍN</v>
      </c>
      <c r="E4999" s="15" t="str">
        <f>IFERROR(__xludf.DUMMYFUNCTION("""COMPUTED_VALUE"""),"Felicidad Bakery Bogotá")</f>
        <v>Felicidad Bakery Bogotá</v>
      </c>
      <c r="F4999" s="17" t="str">
        <f>IFERROR(__xludf.DUMMYFUNCTION("""COMPUTED_VALUE"""),"Calle 92 #15-62  / Local 103 / Barrio Chico")</f>
        <v>Calle 92 #15-62  / Local 103 / Barrio Chico</v>
      </c>
      <c r="G4999" s="15" t="str">
        <f>IFERROR(__xludf.DUMMYFUNCTION("""COMPUTED_VALUE"""),"Camilo hernandez")</f>
        <v>Camilo hernandez</v>
      </c>
      <c r="H4999" s="16">
        <f>IFERROR(__xludf.DUMMYFUNCTION("""COMPUTED_VALUE"""),13724.0)</f>
        <v>13724</v>
      </c>
      <c r="I4999" s="18">
        <f>IFERROR(__xludf.DUMMYFUNCTION("""COMPUTED_VALUE"""),1.0)</f>
        <v>1</v>
      </c>
      <c r="J4999" s="18">
        <f>IFERROR(__xludf.DUMMYFUNCTION("""COMPUTED_VALUE"""),1.0)</f>
        <v>1</v>
      </c>
      <c r="K4999" s="18">
        <f>IFERROR(__xludf.DUMMYFUNCTION("""COMPUTED_VALUE"""),1.0)</f>
        <v>1</v>
      </c>
      <c r="L4999" s="17">
        <f>IFERROR(__xludf.DUMMYFUNCTION("""COMPUTED_VALUE"""),3.013527163E9)</f>
        <v>3013527163</v>
      </c>
      <c r="M4999" s="17" t="str">
        <f>IFERROR(__xludf.DUMMYFUNCTION("""COMPUTED_VALUE"""),"#REF!")</f>
        <v>#REF!</v>
      </c>
      <c r="N4999" s="17"/>
      <c r="O4999" s="17"/>
      <c r="P4999" s="17" t="b">
        <f>IFERROR(__xludf.DUMMYFUNCTION("""COMPUTED_VALUE"""),FALSE)</f>
        <v>0</v>
      </c>
      <c r="Q4999" s="20" t="str">
        <f>IFERROR(__xludf.DUMMYFUNCTION("""COMPUTED_VALUE"""),"")</f>
        <v/>
      </c>
      <c r="R4999" s="21" t="str">
        <f>IFERROR(__xludf.DUMMYFUNCTION("""COMPUTED_VALUE"""),"https://drive.google.com/file/d/1VpDB5rHobwHfq1fkfyepcc5R3PwXabfr/view?usp=drivesdk")</f>
        <v>https://drive.google.com/file/d/1VpDB5rHobwHfq1fkfyepcc5R3PwXabfr/view?usp=drivesdk</v>
      </c>
    </row>
    <row r="5000">
      <c r="A5000" s="15">
        <f>IFERROR(__xludf.DUMMYFUNCTION("""COMPUTED_VALUE"""),45147.0)</f>
        <v>45147</v>
      </c>
      <c r="B5000" s="16" t="str">
        <f>IFERROR(__xludf.DUMMYFUNCTION("""COMPUTED_VALUE"""),"Jeison Rubiano")</f>
        <v>Jeison Rubiano</v>
      </c>
      <c r="C5000" s="15" t="str">
        <f>IFERROR(__xludf.DUMMYFUNCTION("""COMPUTED_VALUE"""),"BOGOTÁ")</f>
        <v>BOGOTÁ</v>
      </c>
      <c r="D5000" s="15" t="str">
        <f>IFERROR(__xludf.DUMMYFUNCTION("""COMPUTED_VALUE"""),"MEDELLÍN")</f>
        <v>MEDELLÍN</v>
      </c>
      <c r="E5000" s="15" t="str">
        <f>IFERROR(__xludf.DUMMYFUNCTION("""COMPUTED_VALUE"""),"Lácteos El Pino SAS")</f>
        <v>Lácteos El Pino SAS</v>
      </c>
      <c r="F5000" s="17" t="str">
        <f>IFERROR(__xludf.DUMMYFUNCTION("""COMPUTED_VALUE"""),"Calle 77b # 120a-40 torre 1 apto 409  conjunto oeste de granada / ENTREGAR EN APARTAMENTO")</f>
        <v>Calle 77b # 120a-40 torre 1 apto 409  conjunto oeste de granada / ENTREGAR EN APARTAMENTO</v>
      </c>
      <c r="G5000" s="15" t="str">
        <f>IFERROR(__xludf.DUMMYFUNCTION("""COMPUTED_VALUE"""),"ALEJANDRA TRIANA")</f>
        <v>ALEJANDRA TRIANA</v>
      </c>
      <c r="H5000" s="16">
        <f>IFERROR(__xludf.DUMMYFUNCTION("""COMPUTED_VALUE"""),13701.0)</f>
        <v>13701</v>
      </c>
      <c r="I5000" s="18">
        <f>IFERROR(__xludf.DUMMYFUNCTION("""COMPUTED_VALUE"""),5.0)</f>
        <v>5</v>
      </c>
      <c r="J5000" s="18">
        <f>IFERROR(__xludf.DUMMYFUNCTION("""COMPUTED_VALUE"""),16.0)</f>
        <v>16</v>
      </c>
      <c r="K5000" s="18">
        <f>IFERROR(__xludf.DUMMYFUNCTION("""COMPUTED_VALUE"""),24.0)</f>
        <v>24</v>
      </c>
      <c r="L5000" s="17">
        <f>IFERROR(__xludf.DUMMYFUNCTION("""COMPUTED_VALUE"""),3.1604229E9)</f>
        <v>3160422900</v>
      </c>
      <c r="M5000" s="17" t="str">
        <f>IFERROR(__xludf.DUMMYFUNCTION("""COMPUTED_VALUE"""),"#REF!")</f>
        <v>#REF!</v>
      </c>
      <c r="N5000" s="17"/>
      <c r="O5000" s="17"/>
      <c r="P5000" s="17" t="b">
        <f>IFERROR(__xludf.DUMMYFUNCTION("""COMPUTED_VALUE"""),FALSE)</f>
        <v>0</v>
      </c>
      <c r="Q5000" s="20" t="str">
        <f>IFERROR(__xludf.DUMMYFUNCTION("""COMPUTED_VALUE"""),"")</f>
        <v/>
      </c>
      <c r="R5000" s="22" t="str">
        <f>IFERROR(__xludf.DUMMYFUNCTION("""COMPUTED_VALUE"""),"")</f>
        <v/>
      </c>
    </row>
    <row r="5001">
      <c r="A5001" s="15">
        <f>IFERROR(__xludf.DUMMYFUNCTION("""COMPUTED_VALUE"""),45147.0)</f>
        <v>45147</v>
      </c>
      <c r="B5001" s="16" t="str">
        <f>IFERROR(__xludf.DUMMYFUNCTION("""COMPUTED_VALUE"""),"Jeison Rubiano")</f>
        <v>Jeison Rubiano</v>
      </c>
      <c r="C5001" s="15" t="str">
        <f>IFERROR(__xludf.DUMMYFUNCTION("""COMPUTED_VALUE"""),"BOGOTÁ")</f>
        <v>BOGOTÁ</v>
      </c>
      <c r="D5001" s="15" t="str">
        <f>IFERROR(__xludf.DUMMYFUNCTION("""COMPUTED_VALUE"""),"MEDELLÍN")</f>
        <v>MEDELLÍN</v>
      </c>
      <c r="E5001" s="15" t="str">
        <f>IFERROR(__xludf.DUMMYFUNCTION("""COMPUTED_VALUE"""),"Lácteos El Pino SAS")</f>
        <v>Lácteos El Pino SAS</v>
      </c>
      <c r="F5001" s="17" t="str">
        <f>IFERROR(__xludf.DUMMYFUNCTION("""COMPUTED_VALUE"""),"CARRERA 54 # 65 - 25")</f>
        <v>CARRERA 54 # 65 - 25</v>
      </c>
      <c r="G5001" s="15" t="str">
        <f>IFERROR(__xludf.DUMMYFUNCTION("""COMPUTED_VALUE"""),"FELIPE MARIO PASCUA AGUIRRE")</f>
        <v>FELIPE MARIO PASCUA AGUIRRE</v>
      </c>
      <c r="H5001" s="16">
        <f>IFERROR(__xludf.DUMMYFUNCTION("""COMPUTED_VALUE"""),13700.0)</f>
        <v>13700</v>
      </c>
      <c r="I5001" s="18">
        <f>IFERROR(__xludf.DUMMYFUNCTION("""COMPUTED_VALUE"""),5.0)</f>
        <v>5</v>
      </c>
      <c r="J5001" s="18">
        <f>IFERROR(__xludf.DUMMYFUNCTION("""COMPUTED_VALUE"""),16.0)</f>
        <v>16</v>
      </c>
      <c r="K5001" s="18">
        <f>IFERROR(__xludf.DUMMYFUNCTION("""COMPUTED_VALUE"""),24.0)</f>
        <v>24</v>
      </c>
      <c r="L5001" s="17">
        <f>IFERROR(__xludf.DUMMYFUNCTION("""COMPUTED_VALUE"""),3.208334704E9)</f>
        <v>3208334704</v>
      </c>
      <c r="M5001" s="17" t="str">
        <f>IFERROR(__xludf.DUMMYFUNCTION("""COMPUTED_VALUE"""),"#REF!")</f>
        <v>#REF!</v>
      </c>
      <c r="N5001" s="17"/>
      <c r="O5001" s="17"/>
      <c r="P5001" s="17" t="b">
        <f>IFERROR(__xludf.DUMMYFUNCTION("""COMPUTED_VALUE"""),FALSE)</f>
        <v>0</v>
      </c>
      <c r="Q5001" s="20" t="str">
        <f>IFERROR(__xludf.DUMMYFUNCTION("""COMPUTED_VALUE"""),"")</f>
        <v/>
      </c>
      <c r="R5001" s="22" t="str">
        <f>IFERROR(__xludf.DUMMYFUNCTION("""COMPUTED_VALUE"""),"")</f>
        <v/>
      </c>
    </row>
    <row r="5002">
      <c r="A5002" s="15">
        <f>IFERROR(__xludf.DUMMYFUNCTION("""COMPUTED_VALUE"""),45147.0)</f>
        <v>45147</v>
      </c>
      <c r="B5002" s="16" t="str">
        <f>IFERROR(__xludf.DUMMYFUNCTION("""COMPUTED_VALUE"""),"Jeison Rubiano")</f>
        <v>Jeison Rubiano</v>
      </c>
      <c r="C5002" s="15" t="str">
        <f>IFERROR(__xludf.DUMMYFUNCTION("""COMPUTED_VALUE"""),"BOGOTÁ")</f>
        <v>BOGOTÁ</v>
      </c>
      <c r="D5002" s="15" t="str">
        <f>IFERROR(__xludf.DUMMYFUNCTION("""COMPUTED_VALUE"""),"MEDELLÍN")</f>
        <v>MEDELLÍN</v>
      </c>
      <c r="E5002" s="15" t="str">
        <f>IFERROR(__xludf.DUMMYFUNCTION("""COMPUTED_VALUE"""),"Moloso S.A.S")</f>
        <v>Moloso S.A.S</v>
      </c>
      <c r="F5002" s="17" t="str">
        <f>IFERROR(__xludf.DUMMYFUNCTION("""COMPUTED_VALUE"""),"CARRERA 48 # 127-51 CONJUNTO ATABANZA T 3 AP 512 / CONJUNTO ATABANZA T 3 AP 512")</f>
        <v>CARRERA 48 # 127-51 CONJUNTO ATABANZA T 3 AP 512 / CONJUNTO ATABANZA T 3 AP 512</v>
      </c>
      <c r="G5002" s="15" t="str">
        <f>IFERROR(__xludf.DUMMYFUNCTION("""COMPUTED_VALUE"""),"PAOLA GRAJALES HERNANDEZ")</f>
        <v>PAOLA GRAJALES HERNANDEZ</v>
      </c>
      <c r="H5002" s="16">
        <f>IFERROR(__xludf.DUMMYFUNCTION("""COMPUTED_VALUE"""),13768.0)</f>
        <v>13768</v>
      </c>
      <c r="I5002" s="18">
        <f>IFERROR(__xludf.DUMMYFUNCTION("""COMPUTED_VALUE"""),17.0)</f>
        <v>17</v>
      </c>
      <c r="J5002" s="18">
        <f>IFERROR(__xludf.DUMMYFUNCTION("""COMPUTED_VALUE"""),15.0)</f>
        <v>15</v>
      </c>
      <c r="K5002" s="18">
        <f>IFERROR(__xludf.DUMMYFUNCTION("""COMPUTED_VALUE"""),28.0)</f>
        <v>28</v>
      </c>
      <c r="L5002" s="17">
        <f>IFERROR(__xludf.DUMMYFUNCTION("""COMPUTED_VALUE"""),3.102079579E9)</f>
        <v>3102079579</v>
      </c>
      <c r="M5002" s="17" t="str">
        <f>IFERROR(__xludf.DUMMYFUNCTION("""COMPUTED_VALUE"""),"#REF!")</f>
        <v>#REF!</v>
      </c>
      <c r="N5002" s="17"/>
      <c r="O5002" s="17"/>
      <c r="P5002" s="17" t="b">
        <f>IFERROR(__xludf.DUMMYFUNCTION("""COMPUTED_VALUE"""),FALSE)</f>
        <v>0</v>
      </c>
      <c r="Q5002" s="20" t="str">
        <f>IFERROR(__xludf.DUMMYFUNCTION("""COMPUTED_VALUE"""),"")</f>
        <v/>
      </c>
      <c r="R5002" s="21" t="str">
        <f>IFERROR(__xludf.DUMMYFUNCTION("""COMPUTED_VALUE"""),"https://drive.google.com/file/d/1pqR0QbFzwGkeE7hsdTH88tDj3jH9JP3_/view?usp=drivesdk")</f>
        <v>https://drive.google.com/file/d/1pqR0QbFzwGkeE7hsdTH88tDj3jH9JP3_/view?usp=drivesdk</v>
      </c>
    </row>
    <row r="5003">
      <c r="A5003" s="15">
        <f>IFERROR(__xludf.DUMMYFUNCTION("""COMPUTED_VALUE"""),45147.0)</f>
        <v>45147</v>
      </c>
      <c r="B5003" s="16" t="str">
        <f>IFERROR(__xludf.DUMMYFUNCTION("""COMPUTED_VALUE"""),"Jeison Rubiano")</f>
        <v>Jeison Rubiano</v>
      </c>
      <c r="C5003" s="15" t="str">
        <f>IFERROR(__xludf.DUMMYFUNCTION("""COMPUTED_VALUE"""),"BOGOTÁ")</f>
        <v>BOGOTÁ</v>
      </c>
      <c r="D5003" s="15" t="str">
        <f>IFERROR(__xludf.DUMMYFUNCTION("""COMPUTED_VALUE"""),"MEDELLÍN")</f>
        <v>MEDELLÍN</v>
      </c>
      <c r="E5003" s="15" t="str">
        <f>IFERROR(__xludf.DUMMYFUNCTION("""COMPUTED_VALUE"""),"Moloso S.A.S")</f>
        <v>Moloso S.A.S</v>
      </c>
      <c r="F5003" s="17" t="str">
        <f>IFERROR(__xludf.DUMMYFUNCTION("""COMPUTED_VALUE"""),"CL 155 9 50 / AP 820")</f>
        <v>CL 155 9 50 / AP 820</v>
      </c>
      <c r="G5003" s="15" t="str">
        <f>IFERROR(__xludf.DUMMYFUNCTION("""COMPUTED_VALUE"""),"ALEJANDRA MARIA QUIÑONES")</f>
        <v>ALEJANDRA MARIA QUIÑONES</v>
      </c>
      <c r="H5003" s="16">
        <f>IFERROR(__xludf.DUMMYFUNCTION("""COMPUTED_VALUE"""),13763.0)</f>
        <v>13763</v>
      </c>
      <c r="I5003" s="18">
        <f>IFERROR(__xludf.DUMMYFUNCTION("""COMPUTED_VALUE"""),17.0)</f>
        <v>17</v>
      </c>
      <c r="J5003" s="18">
        <f>IFERROR(__xludf.DUMMYFUNCTION("""COMPUTED_VALUE"""),15.0)</f>
        <v>15</v>
      </c>
      <c r="K5003" s="18">
        <f>IFERROR(__xludf.DUMMYFUNCTION("""COMPUTED_VALUE"""),28.0)</f>
        <v>28</v>
      </c>
      <c r="L5003" s="17" t="str">
        <f>IFERROR(__xludf.DUMMYFUNCTION("""COMPUTED_VALUE"""),"317 6391522")</f>
        <v>317 6391522</v>
      </c>
      <c r="M5003" s="17" t="str">
        <f>IFERROR(__xludf.DUMMYFUNCTION("""COMPUTED_VALUE"""),"#REF!")</f>
        <v>#REF!</v>
      </c>
      <c r="N5003" s="17"/>
      <c r="O5003" s="17"/>
      <c r="P5003" s="17" t="b">
        <f>IFERROR(__xludf.DUMMYFUNCTION("""COMPUTED_VALUE"""),FALSE)</f>
        <v>0</v>
      </c>
      <c r="Q5003" s="20" t="str">
        <f>IFERROR(__xludf.DUMMYFUNCTION("""COMPUTED_VALUE"""),"")</f>
        <v/>
      </c>
      <c r="R5003" s="21" t="str">
        <f>IFERROR(__xludf.DUMMYFUNCTION("""COMPUTED_VALUE"""),"https://drive.google.com/file/d/1HNMJ2tq8vTxdR8aDQkZo6FYibPQtuxVe/view?usp=drivesdk")</f>
        <v>https://drive.google.com/file/d/1HNMJ2tq8vTxdR8aDQkZo6FYibPQtuxVe/view?usp=drivesdk</v>
      </c>
    </row>
    <row r="5004">
      <c r="A5004" s="15">
        <f>IFERROR(__xludf.DUMMYFUNCTION("""COMPUTED_VALUE"""),45147.0)</f>
        <v>45147</v>
      </c>
      <c r="B5004" s="16" t="str">
        <f>IFERROR(__xludf.DUMMYFUNCTION("""COMPUTED_VALUE"""),"Jeison Rubiano")</f>
        <v>Jeison Rubiano</v>
      </c>
      <c r="C5004" s="15" t="str">
        <f>IFERROR(__xludf.DUMMYFUNCTION("""COMPUTED_VALUE"""),"BOGOTÁ")</f>
        <v>BOGOTÁ</v>
      </c>
      <c r="D5004" s="15" t="str">
        <f>IFERROR(__xludf.DUMMYFUNCTION("""COMPUTED_VALUE"""),"MEDELLÍN")</f>
        <v>MEDELLÍN</v>
      </c>
      <c r="E5004" s="15" t="str">
        <f>IFERROR(__xludf.DUMMYFUNCTION("""COMPUTED_VALUE"""),"Moloso S.A.S")</f>
        <v>Moloso S.A.S</v>
      </c>
      <c r="F5004" s="17" t="str">
        <f>IFERROR(__xludf.DUMMYFUNCTION("""COMPUTED_VALUE"""),"CLL 118 16 32 / APT 502")</f>
        <v>CLL 118 16 32 / APT 502</v>
      </c>
      <c r="G5004" s="15" t="str">
        <f>IFERROR(__xludf.DUMMYFUNCTION("""COMPUTED_VALUE"""),"ANGELICA MANCILLA")</f>
        <v>ANGELICA MANCILLA</v>
      </c>
      <c r="H5004" s="16">
        <f>IFERROR(__xludf.DUMMYFUNCTION("""COMPUTED_VALUE"""),13765.0)</f>
        <v>13765</v>
      </c>
      <c r="I5004" s="18">
        <f>IFERROR(__xludf.DUMMYFUNCTION("""COMPUTED_VALUE"""),17.0)</f>
        <v>17</v>
      </c>
      <c r="J5004" s="18">
        <f>IFERROR(__xludf.DUMMYFUNCTION("""COMPUTED_VALUE"""),15.0)</f>
        <v>15</v>
      </c>
      <c r="K5004" s="18">
        <f>IFERROR(__xludf.DUMMYFUNCTION("""COMPUTED_VALUE"""),28.0)</f>
        <v>28</v>
      </c>
      <c r="L5004" s="17">
        <f>IFERROR(__xludf.DUMMYFUNCTION("""COMPUTED_VALUE"""),3.174401028E9)</f>
        <v>3174401028</v>
      </c>
      <c r="M5004" s="17" t="str">
        <f>IFERROR(__xludf.DUMMYFUNCTION("""COMPUTED_VALUE"""),"#REF!")</f>
        <v>#REF!</v>
      </c>
      <c r="N5004" s="17"/>
      <c r="O5004" s="17"/>
      <c r="P5004" s="17" t="b">
        <f>IFERROR(__xludf.DUMMYFUNCTION("""COMPUTED_VALUE"""),FALSE)</f>
        <v>0</v>
      </c>
      <c r="Q5004" s="20" t="str">
        <f>IFERROR(__xludf.DUMMYFUNCTION("""COMPUTED_VALUE"""),"")</f>
        <v/>
      </c>
      <c r="R5004" s="21" t="str">
        <f>IFERROR(__xludf.DUMMYFUNCTION("""COMPUTED_VALUE"""),"https://drive.google.com/file/d/1nYllrLDKYQ45VFos_UVibUEurE9krypr/view?usp=drivesdk")</f>
        <v>https://drive.google.com/file/d/1nYllrLDKYQ45VFos_UVibUEurE9krypr/view?usp=drivesdk</v>
      </c>
    </row>
    <row r="5005">
      <c r="A5005" s="15">
        <f>IFERROR(__xludf.DUMMYFUNCTION("""COMPUTED_VALUE"""),45147.0)</f>
        <v>45147</v>
      </c>
      <c r="B5005" s="16" t="str">
        <f>IFERROR(__xludf.DUMMYFUNCTION("""COMPUTED_VALUE"""),"Jeison Rubiano")</f>
        <v>Jeison Rubiano</v>
      </c>
      <c r="C5005" s="15" t="str">
        <f>IFERROR(__xludf.DUMMYFUNCTION("""COMPUTED_VALUE"""),"MANIZALES")</f>
        <v>MANIZALES</v>
      </c>
      <c r="D5005" s="15" t="str">
        <f>IFERROR(__xludf.DUMMYFUNCTION("""COMPUTED_VALUE"""),"BUCARAMANGA")</f>
        <v>BUCARAMANGA</v>
      </c>
      <c r="E5005" s="15" t="str">
        <f>IFERROR(__xludf.DUMMYFUNCTION("""COMPUTED_VALUE"""),"Yo Como Solito")</f>
        <v>Yo Como Solito</v>
      </c>
      <c r="F5005" s="17" t="str">
        <f>IFERROR(__xludf.DUMMYFUNCTION("""COMPUTED_VALUE"""),"CARRERA 28D NO. 70-46 BARRIO PALERMO  / CARRERA 28D NO. 70-46 BARRIO PALERMO  / CARRERA 28D NO. 70-46 BARRIO PALERMO")</f>
        <v>CARRERA 28D NO. 70-46 BARRIO PALERMO  / CARRERA 28D NO. 70-46 BARRIO PALERMO  / CARRERA 28D NO. 70-46 BARRIO PALERMO</v>
      </c>
      <c r="G5005" s="15" t="str">
        <f>IFERROR(__xludf.DUMMYFUNCTION("""COMPUTED_VALUE"""),"PAULA XIMENA BOLAÑOS")</f>
        <v>PAULA XIMENA BOLAÑOS</v>
      </c>
      <c r="H5005" s="16">
        <f>IFERROR(__xludf.DUMMYFUNCTION("""COMPUTED_VALUE"""),13606.0)</f>
        <v>13606</v>
      </c>
      <c r="I5005" s="18">
        <f>IFERROR(__xludf.DUMMYFUNCTION("""COMPUTED_VALUE"""),12.0)</f>
        <v>12</v>
      </c>
      <c r="J5005" s="18">
        <f>IFERROR(__xludf.DUMMYFUNCTION("""COMPUTED_VALUE"""),20.0)</f>
        <v>20</v>
      </c>
      <c r="K5005" s="18">
        <f>IFERROR(__xludf.DUMMYFUNCTION("""COMPUTED_VALUE"""),32.0)</f>
        <v>32</v>
      </c>
      <c r="L5005" s="17">
        <f>IFERROR(__xludf.DUMMYFUNCTION("""COMPUTED_VALUE"""),3.10398467E9)</f>
        <v>3103984670</v>
      </c>
      <c r="M5005" s="17" t="str">
        <f>IFERROR(__xludf.DUMMYFUNCTION("""COMPUTED_VALUE"""),"#REF!")</f>
        <v>#REF!</v>
      </c>
      <c r="N5005" s="17"/>
      <c r="O5005" s="17"/>
      <c r="P5005" s="17" t="b">
        <f>IFERROR(__xludf.DUMMYFUNCTION("""COMPUTED_VALUE"""),FALSE)</f>
        <v>0</v>
      </c>
      <c r="Q5005" s="20" t="str">
        <f>IFERROR(__xludf.DUMMYFUNCTION("""COMPUTED_VALUE"""),"")</f>
        <v/>
      </c>
      <c r="R5005" s="22" t="str">
        <f>IFERROR(__xludf.DUMMYFUNCTION("""COMPUTED_VALUE"""),"")</f>
        <v/>
      </c>
    </row>
    <row r="5006">
      <c r="A5006" s="15">
        <f>IFERROR(__xludf.DUMMYFUNCTION("""COMPUTED_VALUE"""),45147.0)</f>
        <v>45147</v>
      </c>
      <c r="B5006" s="16" t="str">
        <f>IFERROR(__xludf.DUMMYFUNCTION("""COMPUTED_VALUE"""),"Jeison Rubiano")</f>
        <v>Jeison Rubiano</v>
      </c>
      <c r="C5006" s="15" t="str">
        <f>IFERROR(__xludf.DUMMYFUNCTION("""COMPUTED_VALUE"""),"MANIZALES")</f>
        <v>MANIZALES</v>
      </c>
      <c r="D5006" s="15" t="str">
        <f>IFERROR(__xludf.DUMMYFUNCTION("""COMPUTED_VALUE"""),"MEDELLÍN")</f>
        <v>MEDELLÍN</v>
      </c>
      <c r="E5006" s="15" t="str">
        <f>IFERROR(__xludf.DUMMYFUNCTION("""COMPUTED_VALUE"""),"Todo Bufala")</f>
        <v>Todo Bufala</v>
      </c>
      <c r="F5006" s="17" t="str">
        <f>IFERROR(__xludf.DUMMYFUNCTION("""COMPUTED_VALUE"""),"Call 66 #23B - 211 / Edifico calle larga, local 5c")</f>
        <v>Call 66 #23B - 211 / Edifico calle larga, local 5c</v>
      </c>
      <c r="G5006" s="15" t="str">
        <f>IFERROR(__xludf.DUMMYFUNCTION("""COMPUTED_VALUE"""),"Sebastian Perez Pineda")</f>
        <v>Sebastian Perez Pineda</v>
      </c>
      <c r="H5006" s="16">
        <f>IFERROR(__xludf.DUMMYFUNCTION("""COMPUTED_VALUE"""),13625.0)</f>
        <v>13625</v>
      </c>
      <c r="I5006" s="18">
        <f>IFERROR(__xludf.DUMMYFUNCTION("""COMPUTED_VALUE"""),20.0)</f>
        <v>20</v>
      </c>
      <c r="J5006" s="18">
        <f>IFERROR(__xludf.DUMMYFUNCTION("""COMPUTED_VALUE"""),30.0)</f>
        <v>30</v>
      </c>
      <c r="K5006" s="18">
        <f>IFERROR(__xludf.DUMMYFUNCTION("""COMPUTED_VALUE"""),40.0)</f>
        <v>40</v>
      </c>
      <c r="L5006" s="17">
        <f>IFERROR(__xludf.DUMMYFUNCTION("""COMPUTED_VALUE"""),3.106974621E9)</f>
        <v>3106974621</v>
      </c>
      <c r="M5006" s="17" t="str">
        <f>IFERROR(__xludf.DUMMYFUNCTION("""COMPUTED_VALUE"""),"#REF!")</f>
        <v>#REF!</v>
      </c>
      <c r="N5006" s="17"/>
      <c r="O5006" s="17"/>
      <c r="P5006" s="17" t="b">
        <f>IFERROR(__xludf.DUMMYFUNCTION("""COMPUTED_VALUE"""),FALSE)</f>
        <v>0</v>
      </c>
      <c r="Q5006" s="20" t="str">
        <f>IFERROR(__xludf.DUMMYFUNCTION("""COMPUTED_VALUE"""),"")</f>
        <v/>
      </c>
      <c r="R5006" s="22" t="str">
        <f>IFERROR(__xludf.DUMMYFUNCTION("""COMPUTED_VALUE"""),"")</f>
        <v/>
      </c>
    </row>
    <row r="5007">
      <c r="A5007" s="17" t="str">
        <f>IFERROR(__xludf.DUMMYFUNCTION("""COMPUTED_VALUE"""),"")</f>
        <v/>
      </c>
      <c r="B5007" s="17" t="str">
        <f>IFERROR(__xludf.DUMMYFUNCTION("""COMPUTED_VALUE"""),"")</f>
        <v/>
      </c>
      <c r="C5007" s="17" t="str">
        <f>IFERROR(__xludf.DUMMYFUNCTION("""COMPUTED_VALUE"""),"")</f>
        <v/>
      </c>
      <c r="D5007" s="17" t="str">
        <f>IFERROR(__xludf.DUMMYFUNCTION("""COMPUTED_VALUE"""),"")</f>
        <v/>
      </c>
      <c r="E5007" s="17" t="str">
        <f>IFERROR(__xludf.DUMMYFUNCTION("""COMPUTED_VALUE"""),"")</f>
        <v/>
      </c>
      <c r="F5007" s="17" t="str">
        <f>IFERROR(__xludf.DUMMYFUNCTION("""COMPUTED_VALUE"""),"")</f>
        <v/>
      </c>
      <c r="G5007" s="17" t="str">
        <f>IFERROR(__xludf.DUMMYFUNCTION("""COMPUTED_VALUE"""),"")</f>
        <v/>
      </c>
      <c r="H5007" s="17" t="str">
        <f>IFERROR(__xludf.DUMMYFUNCTION("""COMPUTED_VALUE"""),"")</f>
        <v/>
      </c>
      <c r="I5007" s="17" t="str">
        <f>IFERROR(__xludf.DUMMYFUNCTION("""COMPUTED_VALUE"""),"")</f>
        <v/>
      </c>
      <c r="J5007" s="17" t="str">
        <f>IFERROR(__xludf.DUMMYFUNCTION("""COMPUTED_VALUE"""),"")</f>
        <v/>
      </c>
      <c r="K5007" s="17" t="str">
        <f>IFERROR(__xludf.DUMMYFUNCTION("""COMPUTED_VALUE"""),"")</f>
        <v/>
      </c>
      <c r="L5007" s="17" t="str">
        <f>IFERROR(__xludf.DUMMYFUNCTION("""COMPUTED_VALUE"""),"")</f>
        <v/>
      </c>
      <c r="M5007" s="17" t="str">
        <f>IFERROR(__xludf.DUMMYFUNCTION("""COMPUTED_VALUE"""),"")</f>
        <v/>
      </c>
      <c r="N5007" s="17" t="str">
        <f>IFERROR(__xludf.DUMMYFUNCTION("""COMPUTED_VALUE"""),"")</f>
        <v/>
      </c>
      <c r="O5007" s="17" t="str">
        <f>IFERROR(__xludf.DUMMYFUNCTION("""COMPUTED_VALUE"""),"")</f>
        <v/>
      </c>
      <c r="P5007" s="17" t="str">
        <f>IFERROR(__xludf.DUMMYFUNCTION("""COMPUTED_VALUE"""),"")</f>
        <v/>
      </c>
      <c r="Q5007" s="17" t="str">
        <f>IFERROR(__xludf.DUMMYFUNCTION("""COMPUTED_VALUE"""),"")</f>
        <v/>
      </c>
      <c r="R5007" s="17" t="str">
        <f>IFERROR(__xludf.DUMMYFUNCTION("""COMPUTED_VALUE"""),"")</f>
        <v/>
      </c>
    </row>
    <row r="5008">
      <c r="A5008" s="15">
        <f>IFERROR(__xludf.DUMMYFUNCTION("""COMPUTED_VALUE"""),45147.0)</f>
        <v>45147</v>
      </c>
      <c r="B5008" s="16" t="str">
        <f>IFERROR(__xludf.DUMMYFUNCTION("""COMPUTED_VALUE"""),"Jhon Freddy González")</f>
        <v>Jhon Freddy González</v>
      </c>
      <c r="C5008" s="15" t="str">
        <f>IFERROR(__xludf.DUMMYFUNCTION("""COMPUTED_VALUE"""),"ARMENIA")</f>
        <v>ARMENIA</v>
      </c>
      <c r="D5008" s="15" t="str">
        <f>IFERROR(__xludf.DUMMYFUNCTION("""COMPUTED_VALUE"""),"BOGOTÁ")</f>
        <v>BOGOTÁ</v>
      </c>
      <c r="E5008" s="15" t="str">
        <f>IFERROR(__xludf.DUMMYFUNCTION("""COMPUTED_VALUE"""),"Evamazzita")</f>
        <v>Evamazzita</v>
      </c>
      <c r="F5008" s="17" t="str">
        <f>IFERROR(__xludf.DUMMYFUNCTION("""COMPUTED_VALUE"""),"Calle 30 # 30 11 / Barrio Quindio / BARRIO QUINDIO")</f>
        <v>Calle 30 # 30 11 / Barrio Quindio / BARRIO QUINDIO</v>
      </c>
      <c r="G5008" s="15" t="str">
        <f>IFERROR(__xludf.DUMMYFUNCTION("""COMPUTED_VALUE"""),"YORMARY JIMENEZ")</f>
        <v>YORMARY JIMENEZ</v>
      </c>
      <c r="H5008" s="16">
        <f>IFERROR(__xludf.DUMMYFUNCTION("""COMPUTED_VALUE"""),13714.0)</f>
        <v>13714</v>
      </c>
      <c r="I5008" s="18">
        <f>IFERROR(__xludf.DUMMYFUNCTION("""COMPUTED_VALUE"""),13.0)</f>
        <v>13</v>
      </c>
      <c r="J5008" s="18">
        <f>IFERROR(__xludf.DUMMYFUNCTION("""COMPUTED_VALUE"""),45.0)</f>
        <v>45</v>
      </c>
      <c r="K5008" s="18">
        <f>IFERROR(__xludf.DUMMYFUNCTION("""COMPUTED_VALUE"""),27.0)</f>
        <v>27</v>
      </c>
      <c r="L5008" s="17">
        <f>IFERROR(__xludf.DUMMYFUNCTION("""COMPUTED_VALUE"""),3.113196178E9)</f>
        <v>3113196178</v>
      </c>
      <c r="M5008" s="17" t="str">
        <f>IFERROR(__xludf.DUMMYFUNCTION("""COMPUTED_VALUE"""),"#REF!")</f>
        <v>#REF!</v>
      </c>
      <c r="N5008" s="17"/>
      <c r="O5008" s="17"/>
      <c r="P5008" s="17" t="b">
        <f>IFERROR(__xludf.DUMMYFUNCTION("""COMPUTED_VALUE"""),FALSE)</f>
        <v>0</v>
      </c>
      <c r="Q5008" s="20" t="str">
        <f>IFERROR(__xludf.DUMMYFUNCTION("""COMPUTED_VALUE"""),"")</f>
        <v/>
      </c>
      <c r="R5008" s="22" t="str">
        <f>IFERROR(__xludf.DUMMYFUNCTION("""COMPUTED_VALUE"""),"")</f>
        <v/>
      </c>
    </row>
    <row r="5009">
      <c r="A5009" s="15">
        <f>IFERROR(__xludf.DUMMYFUNCTION("""COMPUTED_VALUE"""),45147.0)</f>
        <v>45147</v>
      </c>
      <c r="B5009" s="16" t="str">
        <f>IFERROR(__xludf.DUMMYFUNCTION("""COMPUTED_VALUE"""),"Jhon Freddy González")</f>
        <v>Jhon Freddy González</v>
      </c>
      <c r="C5009" s="15" t="str">
        <f>IFERROR(__xludf.DUMMYFUNCTION("""COMPUTED_VALUE"""),"ARMENIA")</f>
        <v>ARMENIA</v>
      </c>
      <c r="D5009" s="15" t="str">
        <f>IFERROR(__xludf.DUMMYFUNCTION("""COMPUTED_VALUE"""),"BOGOTÁ")</f>
        <v>BOGOTÁ</v>
      </c>
      <c r="E5009" s="15" t="str">
        <f>IFERROR(__xludf.DUMMYFUNCTION("""COMPUTED_VALUE"""),"Viiva Fermentados")</f>
        <v>Viiva Fermentados</v>
      </c>
      <c r="F5009" s="17" t="str">
        <f>IFERROR(__xludf.DUMMYFUNCTION("""COMPUTED_VALUE"""),"CL 5 NORTE 14 06 / Tienda Boticasol / Armenia")</f>
        <v>CL 5 NORTE 14 06 / Tienda Boticasol / Armenia</v>
      </c>
      <c r="G5009" s="15" t="str">
        <f>IFERROR(__xludf.DUMMYFUNCTION("""COMPUTED_VALUE"""),"Tienda Boticasol")</f>
        <v>Tienda Boticasol</v>
      </c>
      <c r="H5009" s="16">
        <f>IFERROR(__xludf.DUMMYFUNCTION("""COMPUTED_VALUE"""),13762.0)</f>
        <v>13762</v>
      </c>
      <c r="I5009" s="18">
        <f>IFERROR(__xludf.DUMMYFUNCTION("""COMPUTED_VALUE"""),18.0)</f>
        <v>18</v>
      </c>
      <c r="J5009" s="18">
        <f>IFERROR(__xludf.DUMMYFUNCTION("""COMPUTED_VALUE"""),36.0)</f>
        <v>36</v>
      </c>
      <c r="K5009" s="18">
        <f>IFERROR(__xludf.DUMMYFUNCTION("""COMPUTED_VALUE"""),24.0)</f>
        <v>24</v>
      </c>
      <c r="L5009" s="17">
        <f>IFERROR(__xludf.DUMMYFUNCTION("""COMPUTED_VALUE"""),3.177969795E9)</f>
        <v>3177969795</v>
      </c>
      <c r="M5009" s="17" t="str">
        <f>IFERROR(__xludf.DUMMYFUNCTION("""COMPUTED_VALUE"""),"#REF!")</f>
        <v>#REF!</v>
      </c>
      <c r="N5009" s="17"/>
      <c r="O5009" s="17"/>
      <c r="P5009" s="17" t="b">
        <f>IFERROR(__xludf.DUMMYFUNCTION("""COMPUTED_VALUE"""),FALSE)</f>
        <v>0</v>
      </c>
      <c r="Q5009" s="20" t="str">
        <f>IFERROR(__xludf.DUMMYFUNCTION("""COMPUTED_VALUE"""),"")</f>
        <v/>
      </c>
      <c r="R5009" s="22" t="str">
        <f>IFERROR(__xludf.DUMMYFUNCTION("""COMPUTED_VALUE"""),"")</f>
        <v/>
      </c>
    </row>
    <row r="5010">
      <c r="A5010" s="15">
        <f>IFERROR(__xludf.DUMMYFUNCTION("""COMPUTED_VALUE"""),45147.0)</f>
        <v>45147</v>
      </c>
      <c r="B5010" s="16" t="str">
        <f>IFERROR(__xludf.DUMMYFUNCTION("""COMPUTED_VALUE"""),"Jhon Freddy González")</f>
        <v>Jhon Freddy González</v>
      </c>
      <c r="C5010" s="15" t="str">
        <f>IFERROR(__xludf.DUMMYFUNCTION("""COMPUTED_VALUE"""),"BOGOTÁ")</f>
        <v>BOGOTÁ</v>
      </c>
      <c r="D5010" s="15" t="str">
        <f>IFERROR(__xludf.DUMMYFUNCTION("""COMPUTED_VALUE"""),"MEDELLÍN")</f>
        <v>MEDELLÍN</v>
      </c>
      <c r="E5010" s="15" t="str">
        <f>IFERROR(__xludf.DUMMYFUNCTION("""COMPUTED_VALUE"""),"Puro Verde")</f>
        <v>Puro Verde</v>
      </c>
      <c r="F5010" s="17" t="str">
        <f>IFERROR(__xludf.DUMMYFUNCTION("""COMPUTED_VALUE"""),"CRA 16A # 77-23 / LOCAL 4 / BARRIO EL LAGO")</f>
        <v>CRA 16A # 77-23 / LOCAL 4 / BARRIO EL LAGO</v>
      </c>
      <c r="G5010" s="15" t="str">
        <f>IFERROR(__xludf.DUMMYFUNCTION("""COMPUTED_VALUE"""),"DANDO CUERDA")</f>
        <v>DANDO CUERDA</v>
      </c>
      <c r="H5010" s="16">
        <f>IFERROR(__xludf.DUMMYFUNCTION("""COMPUTED_VALUE"""),13730.0)</f>
        <v>13730</v>
      </c>
      <c r="I5010" s="18">
        <f>IFERROR(__xludf.DUMMYFUNCTION("""COMPUTED_VALUE"""),55.0)</f>
        <v>55</v>
      </c>
      <c r="J5010" s="18">
        <f>IFERROR(__xludf.DUMMYFUNCTION("""COMPUTED_VALUE"""),45.0)</f>
        <v>45</v>
      </c>
      <c r="K5010" s="18" t="str">
        <f>IFERROR(__xludf.DUMMYFUNCTION("""COMPUTED_VALUE"""),"52.5")</f>
        <v>52.5</v>
      </c>
      <c r="L5010" s="17">
        <f>IFERROR(__xludf.DUMMYFUNCTION("""COMPUTED_VALUE"""),3.163816691E9)</f>
        <v>3163816691</v>
      </c>
      <c r="M5010" s="17" t="str">
        <f>IFERROR(__xludf.DUMMYFUNCTION("""COMPUTED_VALUE"""),"#REF!")</f>
        <v>#REF!</v>
      </c>
      <c r="N5010" s="17"/>
      <c r="O5010" s="17"/>
      <c r="P5010" s="17" t="b">
        <f>IFERROR(__xludf.DUMMYFUNCTION("""COMPUTED_VALUE"""),FALSE)</f>
        <v>0</v>
      </c>
      <c r="Q5010" s="20" t="str">
        <f>IFERROR(__xludf.DUMMYFUNCTION("""COMPUTED_VALUE"""),"")</f>
        <v/>
      </c>
      <c r="R5010" s="22" t="str">
        <f>IFERROR(__xludf.DUMMYFUNCTION("""COMPUTED_VALUE"""),"")</f>
        <v/>
      </c>
    </row>
    <row r="5011">
      <c r="A5011" s="17" t="str">
        <f>IFERROR(__xludf.DUMMYFUNCTION("""COMPUTED_VALUE"""),"")</f>
        <v/>
      </c>
      <c r="B5011" s="17" t="str">
        <f>IFERROR(__xludf.DUMMYFUNCTION("""COMPUTED_VALUE"""),"")</f>
        <v/>
      </c>
      <c r="C5011" s="17" t="str">
        <f>IFERROR(__xludf.DUMMYFUNCTION("""COMPUTED_VALUE"""),"")</f>
        <v/>
      </c>
      <c r="D5011" s="17" t="str">
        <f>IFERROR(__xludf.DUMMYFUNCTION("""COMPUTED_VALUE"""),"")</f>
        <v/>
      </c>
      <c r="E5011" s="17" t="str">
        <f>IFERROR(__xludf.DUMMYFUNCTION("""COMPUTED_VALUE"""),"")</f>
        <v/>
      </c>
      <c r="F5011" s="17" t="str">
        <f>IFERROR(__xludf.DUMMYFUNCTION("""COMPUTED_VALUE"""),"")</f>
        <v/>
      </c>
      <c r="G5011" s="17" t="str">
        <f>IFERROR(__xludf.DUMMYFUNCTION("""COMPUTED_VALUE"""),"")</f>
        <v/>
      </c>
      <c r="H5011" s="17" t="str">
        <f>IFERROR(__xludf.DUMMYFUNCTION("""COMPUTED_VALUE"""),"")</f>
        <v/>
      </c>
      <c r="I5011" s="17" t="str">
        <f>IFERROR(__xludf.DUMMYFUNCTION("""COMPUTED_VALUE"""),"")</f>
        <v/>
      </c>
      <c r="J5011" s="17" t="str">
        <f>IFERROR(__xludf.DUMMYFUNCTION("""COMPUTED_VALUE"""),"")</f>
        <v/>
      </c>
      <c r="K5011" s="17" t="str">
        <f>IFERROR(__xludf.DUMMYFUNCTION("""COMPUTED_VALUE"""),"")</f>
        <v/>
      </c>
      <c r="L5011" s="17" t="str">
        <f>IFERROR(__xludf.DUMMYFUNCTION("""COMPUTED_VALUE"""),"")</f>
        <v/>
      </c>
      <c r="M5011" s="17" t="str">
        <f>IFERROR(__xludf.DUMMYFUNCTION("""COMPUTED_VALUE"""),"")</f>
        <v/>
      </c>
      <c r="N5011" s="17" t="str">
        <f>IFERROR(__xludf.DUMMYFUNCTION("""COMPUTED_VALUE"""),"")</f>
        <v/>
      </c>
      <c r="O5011" s="17" t="str">
        <f>IFERROR(__xludf.DUMMYFUNCTION("""COMPUTED_VALUE"""),"")</f>
        <v/>
      </c>
      <c r="P5011" s="17" t="str">
        <f>IFERROR(__xludf.DUMMYFUNCTION("""COMPUTED_VALUE"""),"")</f>
        <v/>
      </c>
      <c r="Q5011" s="17" t="str">
        <f>IFERROR(__xludf.DUMMYFUNCTION("""COMPUTED_VALUE"""),"")</f>
        <v/>
      </c>
      <c r="R5011" s="17" t="str">
        <f>IFERROR(__xludf.DUMMYFUNCTION("""COMPUTED_VALUE"""),"")</f>
        <v/>
      </c>
    </row>
    <row r="5012">
      <c r="A5012" s="15">
        <f>IFERROR(__xludf.DUMMYFUNCTION("""COMPUTED_VALUE"""),45147.0)</f>
        <v>45147</v>
      </c>
      <c r="B5012" s="16" t="str">
        <f>IFERROR(__xludf.DUMMYFUNCTION("""COMPUTED_VALUE"""),"Johan Alexander Escobar Arroyo ")</f>
        <v>Johan Alexander Escobar Arroyo </v>
      </c>
      <c r="C5012" s="15" t="str">
        <f>IFERROR(__xludf.DUMMYFUNCTION("""COMPUTED_VALUE"""),"CALI")</f>
        <v>CALI</v>
      </c>
      <c r="D5012" s="15" t="str">
        <f>IFERROR(__xludf.DUMMYFUNCTION("""COMPUTED_VALUE"""),"BOGOTÁ")</f>
        <v>BOGOTÁ</v>
      </c>
      <c r="E5012" s="15" t="str">
        <f>IFERROR(__xludf.DUMMYFUNCTION("""COMPUTED_VALUE"""),"Asociacion Agropecuaria Juana Maria")</f>
        <v>Asociacion Agropecuaria Juana Maria</v>
      </c>
      <c r="F5012" s="17" t="str">
        <f>IFERROR(__xludf.DUMMYFUNCTION("""COMPUTED_VALUE"""),"Carrera 17B # 33E-33 La Floresta vieja")</f>
        <v>Carrera 17B # 33E-33 La Floresta vieja</v>
      </c>
      <c r="G5012" s="15" t="str">
        <f>IFERROR(__xludf.DUMMYFUNCTION("""COMPUTED_VALUE"""),"Johanna acuña  Molina")</f>
        <v>Johanna acuña  Molina</v>
      </c>
      <c r="H5012" s="16">
        <f>IFERROR(__xludf.DUMMYFUNCTION("""COMPUTED_VALUE"""),13616.0)</f>
        <v>13616</v>
      </c>
      <c r="I5012" s="18">
        <f>IFERROR(__xludf.DUMMYFUNCTION("""COMPUTED_VALUE"""),25.0)</f>
        <v>25</v>
      </c>
      <c r="J5012" s="18">
        <f>IFERROR(__xludf.DUMMYFUNCTION("""COMPUTED_VALUE"""),18.0)</f>
        <v>18</v>
      </c>
      <c r="K5012" s="18">
        <f>IFERROR(__xludf.DUMMYFUNCTION("""COMPUTED_VALUE"""),3.0)</f>
        <v>3</v>
      </c>
      <c r="L5012" s="17">
        <f>IFERROR(__xludf.DUMMYFUNCTION("""COMPUTED_VALUE"""),3.218700343E9)</f>
        <v>3218700343</v>
      </c>
      <c r="M5012" s="17" t="str">
        <f>IFERROR(__xludf.DUMMYFUNCTION("""COMPUTED_VALUE"""),"#REF!")</f>
        <v>#REF!</v>
      </c>
      <c r="N5012" s="17"/>
      <c r="O5012" s="17"/>
      <c r="P5012" s="17" t="b">
        <f>IFERROR(__xludf.DUMMYFUNCTION("""COMPUTED_VALUE"""),TRUE)</f>
        <v>1</v>
      </c>
      <c r="Q5012" s="20">
        <f>IFERROR(__xludf.DUMMYFUNCTION("""COMPUTED_VALUE"""),45147.47810670139)</f>
        <v>45147.47811</v>
      </c>
      <c r="R5012" s="21" t="str">
        <f>IFERROR(__xludf.DUMMYFUNCTION("""COMPUTED_VALUE"""),"https://drive.google.com/file/d/1BE4BEAWFg6P5I24SLqrXNjP8HF1QFx55/view?usp=drivesdk")</f>
        <v>https://drive.google.com/file/d/1BE4BEAWFg6P5I24SLqrXNjP8HF1QFx55/view?usp=drivesdk</v>
      </c>
    </row>
    <row r="5013">
      <c r="A5013" s="15">
        <f>IFERROR(__xludf.DUMMYFUNCTION("""COMPUTED_VALUE"""),45147.0)</f>
        <v>45147</v>
      </c>
      <c r="B5013" s="16" t="str">
        <f>IFERROR(__xludf.DUMMYFUNCTION("""COMPUTED_VALUE"""),"Johan Alexander Escobar Arroyo ")</f>
        <v>Johan Alexander Escobar Arroyo </v>
      </c>
      <c r="C5013" s="15" t="str">
        <f>IFERROR(__xludf.DUMMYFUNCTION("""COMPUTED_VALUE"""),"CALI")</f>
        <v>CALI</v>
      </c>
      <c r="D5013" s="15" t="str">
        <f>IFERROR(__xludf.DUMMYFUNCTION("""COMPUTED_VALUE"""),"BOGOTÁ")</f>
        <v>BOGOTÁ</v>
      </c>
      <c r="E5013" s="15" t="str">
        <f>IFERROR(__xludf.DUMMYFUNCTION("""COMPUTED_VALUE"""),"Evamazzita")</f>
        <v>Evamazzita</v>
      </c>
      <c r="F5013" s="17" t="str">
        <f>IFERROR(__xludf.DUMMYFUNCTION("""COMPUTED_VALUE"""),"Calle 28 # 112 64  / To 1 apto 303 / BOSQUES DE BOCHALEMA")</f>
        <v>Calle 28 # 112 64  / To 1 apto 303 / BOSQUES DE BOCHALEMA</v>
      </c>
      <c r="G5013" s="15" t="str">
        <f>IFERROR(__xludf.DUMMYFUNCTION("""COMPUTED_VALUE"""),"NATALIA GARCIA MILLAN")</f>
        <v>NATALIA GARCIA MILLAN</v>
      </c>
      <c r="H5013" s="16">
        <f>IFERROR(__xludf.DUMMYFUNCTION("""COMPUTED_VALUE"""),13728.0)</f>
        <v>13728</v>
      </c>
      <c r="I5013" s="18">
        <f>IFERROR(__xludf.DUMMYFUNCTION("""COMPUTED_VALUE"""),1.0)</f>
        <v>1</v>
      </c>
      <c r="J5013" s="18">
        <f>IFERROR(__xludf.DUMMYFUNCTION("""COMPUTED_VALUE"""),1.0)</f>
        <v>1</v>
      </c>
      <c r="K5013" s="18">
        <f>IFERROR(__xludf.DUMMYFUNCTION("""COMPUTED_VALUE"""),1.0)</f>
        <v>1</v>
      </c>
      <c r="L5013" s="17">
        <f>IFERROR(__xludf.DUMMYFUNCTION("""COMPUTED_VALUE"""),3.166934115E9)</f>
        <v>3166934115</v>
      </c>
      <c r="M5013" s="17" t="str">
        <f>IFERROR(__xludf.DUMMYFUNCTION("""COMPUTED_VALUE"""),"#REF!")</f>
        <v>#REF!</v>
      </c>
      <c r="N5013" s="17"/>
      <c r="O5013" s="17"/>
      <c r="P5013" s="17" t="b">
        <f>IFERROR(__xludf.DUMMYFUNCTION("""COMPUTED_VALUE"""),FALSE)</f>
        <v>0</v>
      </c>
      <c r="Q5013" s="20" t="str">
        <f>IFERROR(__xludf.DUMMYFUNCTION("""COMPUTED_VALUE"""),"")</f>
        <v/>
      </c>
      <c r="R5013" s="21" t="str">
        <f>IFERROR(__xludf.DUMMYFUNCTION("""COMPUTED_VALUE"""),"https://drive.google.com/file/d/1oR0sqm3WIjXWwYOZ1dxg3q_vijDTNPh0/view?usp=drivesdk")</f>
        <v>https://drive.google.com/file/d/1oR0sqm3WIjXWwYOZ1dxg3q_vijDTNPh0/view?usp=drivesdk</v>
      </c>
    </row>
    <row r="5014">
      <c r="A5014" s="15">
        <f>IFERROR(__xludf.DUMMYFUNCTION("""COMPUTED_VALUE"""),45147.0)</f>
        <v>45147</v>
      </c>
      <c r="B5014" s="16" t="str">
        <f>IFERROR(__xludf.DUMMYFUNCTION("""COMPUTED_VALUE"""),"Johan Alexander Escobar Arroyo ")</f>
        <v>Johan Alexander Escobar Arroyo </v>
      </c>
      <c r="C5014" s="15" t="str">
        <f>IFERROR(__xludf.DUMMYFUNCTION("""COMPUTED_VALUE"""),"CALI")</f>
        <v>CALI</v>
      </c>
      <c r="D5014" s="15" t="str">
        <f>IFERROR(__xludf.DUMMYFUNCTION("""COMPUTED_VALUE"""),"BOGOTÁ")</f>
        <v>BOGOTÁ</v>
      </c>
      <c r="E5014" s="15" t="str">
        <f>IFERROR(__xludf.DUMMYFUNCTION("""COMPUTED_VALUE"""),"Evamazzita")</f>
        <v>Evamazzita</v>
      </c>
      <c r="F5014" s="17" t="str">
        <f>IFERROR(__xludf.DUMMYFUNCTION("""COMPUTED_VALUE"""),"Calle 49 # 120 52  / Apto E 304 / CONJUNTO VENTURA 1 - CIUDAD PACIFICA")</f>
        <v>Calle 49 # 120 52  / Apto E 304 / CONJUNTO VENTURA 1 - CIUDAD PACIFICA</v>
      </c>
      <c r="G5014" s="15" t="str">
        <f>IFERROR(__xludf.DUMMYFUNCTION("""COMPUTED_VALUE"""),"ISABEL CRISTINA FRANCO")</f>
        <v>ISABEL CRISTINA FRANCO</v>
      </c>
      <c r="H5014" s="16">
        <f>IFERROR(__xludf.DUMMYFUNCTION("""COMPUTED_VALUE"""),13736.0)</f>
        <v>13736</v>
      </c>
      <c r="I5014" s="18">
        <f>IFERROR(__xludf.DUMMYFUNCTION("""COMPUTED_VALUE"""),1.0)</f>
        <v>1</v>
      </c>
      <c r="J5014" s="18">
        <f>IFERROR(__xludf.DUMMYFUNCTION("""COMPUTED_VALUE"""),1.0)</f>
        <v>1</v>
      </c>
      <c r="K5014" s="18">
        <f>IFERROR(__xludf.DUMMYFUNCTION("""COMPUTED_VALUE"""),1.0)</f>
        <v>1</v>
      </c>
      <c r="L5014" s="17">
        <f>IFERROR(__xludf.DUMMYFUNCTION("""COMPUTED_VALUE"""),3.168037945E9)</f>
        <v>3168037945</v>
      </c>
      <c r="M5014" s="17" t="str">
        <f>IFERROR(__xludf.DUMMYFUNCTION("""COMPUTED_VALUE"""),"#REF!")</f>
        <v>#REF!</v>
      </c>
      <c r="N5014" s="17"/>
      <c r="O5014" s="17"/>
      <c r="P5014" s="17" t="b">
        <f>IFERROR(__xludf.DUMMYFUNCTION("""COMPUTED_VALUE"""),FALSE)</f>
        <v>0</v>
      </c>
      <c r="Q5014" s="20" t="str">
        <f>IFERROR(__xludf.DUMMYFUNCTION("""COMPUTED_VALUE"""),"")</f>
        <v/>
      </c>
      <c r="R5014" s="21" t="str">
        <f>IFERROR(__xludf.DUMMYFUNCTION("""COMPUTED_VALUE"""),"https://drive.google.com/file/d/1M3RLXzbfFfB9rOK1pAi0NBPuW3d1NOkv/view?usp=drivesdk")</f>
        <v>https://drive.google.com/file/d/1M3RLXzbfFfB9rOK1pAi0NBPuW3d1NOkv/view?usp=drivesdk</v>
      </c>
    </row>
    <row r="5015">
      <c r="A5015" s="15">
        <f>IFERROR(__xludf.DUMMYFUNCTION("""COMPUTED_VALUE"""),45147.0)</f>
        <v>45147</v>
      </c>
      <c r="B5015" s="16" t="str">
        <f>IFERROR(__xludf.DUMMYFUNCTION("""COMPUTED_VALUE"""),"Johan Alexander Escobar Arroyo ")</f>
        <v>Johan Alexander Escobar Arroyo </v>
      </c>
      <c r="C5015" s="15" t="str">
        <f>IFERROR(__xludf.DUMMYFUNCTION("""COMPUTED_VALUE"""),"CALI")</f>
        <v>CALI</v>
      </c>
      <c r="D5015" s="15" t="str">
        <f>IFERROR(__xludf.DUMMYFUNCTION("""COMPUTED_VALUE"""),"BOGOTÁ")</f>
        <v>BOGOTÁ</v>
      </c>
      <c r="E5015" s="15" t="str">
        <f>IFERROR(__xludf.DUMMYFUNCTION("""COMPUTED_VALUE"""),"Evamazzita")</f>
        <v>Evamazzita</v>
      </c>
      <c r="F5015" s="17" t="str">
        <f>IFERROR(__xludf.DUMMYFUNCTION("""COMPUTED_VALUE"""),"Calle 77 # 3bn 36  / BARRIO FLORALIA / BARRIO FLORALIA")</f>
        <v>Calle 77 # 3bn 36  / BARRIO FLORALIA / BARRIO FLORALIA</v>
      </c>
      <c r="G5015" s="15" t="str">
        <f>IFERROR(__xludf.DUMMYFUNCTION("""COMPUTED_VALUE"""),"YESICA MARQUEZ")</f>
        <v>YESICA MARQUEZ</v>
      </c>
      <c r="H5015" s="16">
        <f>IFERROR(__xludf.DUMMYFUNCTION("""COMPUTED_VALUE"""),13729.0)</f>
        <v>13729</v>
      </c>
      <c r="I5015" s="18">
        <f>IFERROR(__xludf.DUMMYFUNCTION("""COMPUTED_VALUE"""),1.0)</f>
        <v>1</v>
      </c>
      <c r="J5015" s="18">
        <f>IFERROR(__xludf.DUMMYFUNCTION("""COMPUTED_VALUE"""),1.0)</f>
        <v>1</v>
      </c>
      <c r="K5015" s="18">
        <f>IFERROR(__xludf.DUMMYFUNCTION("""COMPUTED_VALUE"""),1.0)</f>
        <v>1</v>
      </c>
      <c r="L5015" s="17">
        <f>IFERROR(__xludf.DUMMYFUNCTION("""COMPUTED_VALUE"""),3.17578771E9)</f>
        <v>3175787710</v>
      </c>
      <c r="M5015" s="17" t="str">
        <f>IFERROR(__xludf.DUMMYFUNCTION("""COMPUTED_VALUE"""),"#REF!")</f>
        <v>#REF!</v>
      </c>
      <c r="N5015" s="17"/>
      <c r="O5015" s="17"/>
      <c r="P5015" s="17" t="b">
        <f>IFERROR(__xludf.DUMMYFUNCTION("""COMPUTED_VALUE"""),FALSE)</f>
        <v>0</v>
      </c>
      <c r="Q5015" s="20" t="str">
        <f>IFERROR(__xludf.DUMMYFUNCTION("""COMPUTED_VALUE"""),"")</f>
        <v/>
      </c>
      <c r="R5015" s="21" t="str">
        <f>IFERROR(__xludf.DUMMYFUNCTION("""COMPUTED_VALUE"""),"https://drive.google.com/file/d/1qlLd8QYvTMMUqbLNHYAUp08Ui1DfVxvE/view?usp=drivesdk")</f>
        <v>https://drive.google.com/file/d/1qlLd8QYvTMMUqbLNHYAUp08Ui1DfVxvE/view?usp=drivesdk</v>
      </c>
    </row>
    <row r="5016">
      <c r="A5016" s="15">
        <f>IFERROR(__xludf.DUMMYFUNCTION("""COMPUTED_VALUE"""),45147.0)</f>
        <v>45147</v>
      </c>
      <c r="B5016" s="16" t="str">
        <f>IFERROR(__xludf.DUMMYFUNCTION("""COMPUTED_VALUE"""),"Johan Alexander Escobar Arroyo ")</f>
        <v>Johan Alexander Escobar Arroyo </v>
      </c>
      <c r="C5016" s="15" t="str">
        <f>IFERROR(__xludf.DUMMYFUNCTION("""COMPUTED_VALUE"""),"CALI")</f>
        <v>CALI</v>
      </c>
      <c r="D5016" s="15" t="str">
        <f>IFERROR(__xludf.DUMMYFUNCTION("""COMPUTED_VALUE"""),"BOGOTÁ")</f>
        <v>BOGOTÁ</v>
      </c>
      <c r="E5016" s="15" t="str">
        <f>IFERROR(__xludf.DUMMYFUNCTION("""COMPUTED_VALUE"""),"Evamazzita")</f>
        <v>Evamazzita</v>
      </c>
      <c r="F5016" s="17" t="str">
        <f>IFERROR(__xludf.DUMMYFUNCTION("""COMPUTED_VALUE"""),"Cr 2 norte # 4n 06 / Ap 701 / EDIFICIO CENTENARIO")</f>
        <v>Cr 2 norte # 4n 06 / Ap 701 / EDIFICIO CENTENARIO</v>
      </c>
      <c r="G5016" s="15" t="str">
        <f>IFERROR(__xludf.DUMMYFUNCTION("""COMPUTED_VALUE"""),"MARIA JIMENA BEDOYA")</f>
        <v>MARIA JIMENA BEDOYA</v>
      </c>
      <c r="H5016" s="16">
        <f>IFERROR(__xludf.DUMMYFUNCTION("""COMPUTED_VALUE"""),13745.0)</f>
        <v>13745</v>
      </c>
      <c r="I5016" s="18">
        <f>IFERROR(__xludf.DUMMYFUNCTION("""COMPUTED_VALUE"""),6.0)</f>
        <v>6</v>
      </c>
      <c r="J5016" s="18">
        <f>IFERROR(__xludf.DUMMYFUNCTION("""COMPUTED_VALUE"""),23.0)</f>
        <v>23</v>
      </c>
      <c r="K5016" s="18">
        <f>IFERROR(__xludf.DUMMYFUNCTION("""COMPUTED_VALUE"""),20.0)</f>
        <v>20</v>
      </c>
      <c r="L5016" s="17">
        <f>IFERROR(__xludf.DUMMYFUNCTION("""COMPUTED_VALUE"""),3.113677538E9)</f>
        <v>3113677538</v>
      </c>
      <c r="M5016" s="17" t="str">
        <f>IFERROR(__xludf.DUMMYFUNCTION("""COMPUTED_VALUE"""),"#REF!")</f>
        <v>#REF!</v>
      </c>
      <c r="N5016" s="17"/>
      <c r="O5016" s="17"/>
      <c r="P5016" s="17" t="b">
        <f>IFERROR(__xludf.DUMMYFUNCTION("""COMPUTED_VALUE"""),TRUE)</f>
        <v>1</v>
      </c>
      <c r="Q5016" s="20">
        <f>IFERROR(__xludf.DUMMYFUNCTION("""COMPUTED_VALUE"""),45148.604710706015)</f>
        <v>45148.60471</v>
      </c>
      <c r="R5016" s="21" t="str">
        <f>IFERROR(__xludf.DUMMYFUNCTION("""COMPUTED_VALUE"""),"https://drive.google.com/file/d/1kgAb6SCujUJ7hHToJ3MuxBP4kFSKM7i0/view?usp=drivesdk")</f>
        <v>https://drive.google.com/file/d/1kgAb6SCujUJ7hHToJ3MuxBP4kFSKM7i0/view?usp=drivesdk</v>
      </c>
    </row>
    <row r="5017">
      <c r="A5017" s="15">
        <f>IFERROR(__xludf.DUMMYFUNCTION("""COMPUTED_VALUE"""),45147.0)</f>
        <v>45147</v>
      </c>
      <c r="B5017" s="16" t="str">
        <f>IFERROR(__xludf.DUMMYFUNCTION("""COMPUTED_VALUE"""),"Johan Alexander Escobar Arroyo ")</f>
        <v>Johan Alexander Escobar Arroyo </v>
      </c>
      <c r="C5017" s="15" t="str">
        <f>IFERROR(__xludf.DUMMYFUNCTION("""COMPUTED_VALUE"""),"CALI")</f>
        <v>CALI</v>
      </c>
      <c r="D5017" s="15" t="str">
        <f>IFERROR(__xludf.DUMMYFUNCTION("""COMPUTED_VALUE"""),"BOGOTÁ")</f>
        <v>BOGOTÁ</v>
      </c>
      <c r="E5017" s="15" t="str">
        <f>IFERROR(__xludf.DUMMYFUNCTION("""COMPUTED_VALUE"""),"Evamazzita")</f>
        <v>Evamazzita</v>
      </c>
      <c r="F5017" s="17" t="str">
        <f>IFERROR(__xludf.DUMMYFUNCTION("""COMPUTED_VALUE"""),"Cr 46 c # 55 a 15 / BARRIO CIUDAD CORDOBA / CIUDAD CORDOBA")</f>
        <v>Cr 46 c # 55 a 15 / BARRIO CIUDAD CORDOBA / CIUDAD CORDOBA</v>
      </c>
      <c r="G5017" s="15" t="str">
        <f>IFERROR(__xludf.DUMMYFUNCTION("""COMPUTED_VALUE"""),"CLAUDIA CANTERO")</f>
        <v>CLAUDIA CANTERO</v>
      </c>
      <c r="H5017" s="16">
        <f>IFERROR(__xludf.DUMMYFUNCTION("""COMPUTED_VALUE"""),13727.0)</f>
        <v>13727</v>
      </c>
      <c r="I5017" s="18">
        <f>IFERROR(__xludf.DUMMYFUNCTION("""COMPUTED_VALUE"""),1.0)</f>
        <v>1</v>
      </c>
      <c r="J5017" s="18">
        <f>IFERROR(__xludf.DUMMYFUNCTION("""COMPUTED_VALUE"""),1.0)</f>
        <v>1</v>
      </c>
      <c r="K5017" s="18">
        <f>IFERROR(__xludf.DUMMYFUNCTION("""COMPUTED_VALUE"""),1.0)</f>
        <v>1</v>
      </c>
      <c r="L5017" s="17">
        <f>IFERROR(__xludf.DUMMYFUNCTION("""COMPUTED_VALUE"""),3.176248548E9)</f>
        <v>3176248548</v>
      </c>
      <c r="M5017" s="17" t="str">
        <f>IFERROR(__xludf.DUMMYFUNCTION("""COMPUTED_VALUE"""),"#REF!")</f>
        <v>#REF!</v>
      </c>
      <c r="N5017" s="17"/>
      <c r="O5017" s="17"/>
      <c r="P5017" s="17" t="b">
        <f>IFERROR(__xludf.DUMMYFUNCTION("""COMPUTED_VALUE"""),FALSE)</f>
        <v>0</v>
      </c>
      <c r="Q5017" s="20" t="str">
        <f>IFERROR(__xludf.DUMMYFUNCTION("""COMPUTED_VALUE"""),"")</f>
        <v/>
      </c>
      <c r="R5017" s="21" t="str">
        <f>IFERROR(__xludf.DUMMYFUNCTION("""COMPUTED_VALUE"""),"https://drive.google.com/file/d/1PiIwnt2ACCBtaklOmatXQKTLeheLgnLj/view?usp=drivesdk")</f>
        <v>https://drive.google.com/file/d/1PiIwnt2ACCBtaklOmatXQKTLeheLgnLj/view?usp=drivesdk</v>
      </c>
    </row>
    <row r="5018">
      <c r="A5018" s="15">
        <f>IFERROR(__xludf.DUMMYFUNCTION("""COMPUTED_VALUE"""),45147.0)</f>
        <v>45147</v>
      </c>
      <c r="B5018" s="16" t="str">
        <f>IFERROR(__xludf.DUMMYFUNCTION("""COMPUTED_VALUE"""),"Johan Alexander Escobar Arroyo ")</f>
        <v>Johan Alexander Escobar Arroyo </v>
      </c>
      <c r="C5018" s="15" t="str">
        <f>IFERROR(__xludf.DUMMYFUNCTION("""COMPUTED_VALUE"""),"CALI")</f>
        <v>CALI</v>
      </c>
      <c r="D5018" s="15" t="str">
        <f>IFERROR(__xludf.DUMMYFUNCTION("""COMPUTED_VALUE"""),"BOGOTÁ")</f>
        <v>BOGOTÁ</v>
      </c>
      <c r="E5018" s="15" t="str">
        <f>IFERROR(__xludf.DUMMYFUNCTION("""COMPUTED_VALUE"""),"FamiliaReal S.A.S")</f>
        <v>FamiliaReal S.A.S</v>
      </c>
      <c r="F5018" s="17" t="str">
        <f>IFERROR(__xludf.DUMMYFUNCTION("""COMPUTED_VALUE"""),"Calle 34 # 7-152 / Casa 2 piso")</f>
        <v>Calle 34 # 7-152 / Casa 2 piso</v>
      </c>
      <c r="G5018" s="15" t="str">
        <f>IFERROR(__xludf.DUMMYFUNCTION("""COMPUTED_VALUE"""),"Laura andrea moreno")</f>
        <v>Laura andrea moreno</v>
      </c>
      <c r="H5018" s="16">
        <f>IFERROR(__xludf.DUMMYFUNCTION("""COMPUTED_VALUE"""),13773.0)</f>
        <v>13773</v>
      </c>
      <c r="I5018" s="18">
        <f>IFERROR(__xludf.DUMMYFUNCTION("""COMPUTED_VALUE"""),26.0)</f>
        <v>26</v>
      </c>
      <c r="J5018" s="18">
        <f>IFERROR(__xludf.DUMMYFUNCTION("""COMPUTED_VALUE"""),45115.0)</f>
        <v>45115</v>
      </c>
      <c r="K5018" s="18">
        <f>IFERROR(__xludf.DUMMYFUNCTION("""COMPUTED_VALUE"""),45115.0)</f>
        <v>45115</v>
      </c>
      <c r="L5018" s="17">
        <f>IFERROR(__xludf.DUMMYFUNCTION("""COMPUTED_VALUE"""),3.205892097E9)</f>
        <v>3205892097</v>
      </c>
      <c r="M5018" s="17" t="str">
        <f>IFERROR(__xludf.DUMMYFUNCTION("""COMPUTED_VALUE"""),"#REF!")</f>
        <v>#REF!</v>
      </c>
      <c r="N5018" s="17"/>
      <c r="O5018" s="17"/>
      <c r="P5018" s="17" t="b">
        <f>IFERROR(__xludf.DUMMYFUNCTION("""COMPUTED_VALUE"""),FALSE)</f>
        <v>0</v>
      </c>
      <c r="Q5018" s="20" t="str">
        <f>IFERROR(__xludf.DUMMYFUNCTION("""COMPUTED_VALUE"""),"")</f>
        <v/>
      </c>
      <c r="R5018" s="21" t="str">
        <f>IFERROR(__xludf.DUMMYFUNCTION("""COMPUTED_VALUE"""),"https://drive.google.com/file/d/10nsuzOLJQ6-OOZt-0CjW9Vjcj7WiPADg/view?usp=drivesdk")</f>
        <v>https://drive.google.com/file/d/10nsuzOLJQ6-OOZt-0CjW9Vjcj7WiPADg/view?usp=drivesdk</v>
      </c>
    </row>
    <row r="5019">
      <c r="A5019" s="15">
        <f>IFERROR(__xludf.DUMMYFUNCTION("""COMPUTED_VALUE"""),45147.0)</f>
        <v>45147</v>
      </c>
      <c r="B5019" s="16" t="str">
        <f>IFERROR(__xludf.DUMMYFUNCTION("""COMPUTED_VALUE"""),"Johan Alexander Escobar Arroyo ")</f>
        <v>Johan Alexander Escobar Arroyo </v>
      </c>
      <c r="C5019" s="15" t="str">
        <f>IFERROR(__xludf.DUMMYFUNCTION("""COMPUTED_VALUE"""),"CALI")</f>
        <v>CALI</v>
      </c>
      <c r="D5019" s="15" t="str">
        <f>IFERROR(__xludf.DUMMYFUNCTION("""COMPUTED_VALUE"""),"BOGOTÁ")</f>
        <v>BOGOTÁ</v>
      </c>
      <c r="E5019" s="15" t="str">
        <f>IFERROR(__xludf.DUMMYFUNCTION("""COMPUTED_VALUE"""),"Ins. Alimento Vital")</f>
        <v>Ins. Alimento Vital</v>
      </c>
      <c r="F5019" s="17" t="str">
        <f>IFERROR(__xludf.DUMMYFUNCTION("""COMPUTED_VALUE"""),"CL 34N 2BN 33 / BODEGA / SAN VICENTE")</f>
        <v>CL 34N 2BN 33 / BODEGA / SAN VICENTE</v>
      </c>
      <c r="G5019" s="15" t="str">
        <f>IFERROR(__xludf.DUMMYFUNCTION("""COMPUTED_VALUE"""),"VELOCITY CALI")</f>
        <v>VELOCITY CALI</v>
      </c>
      <c r="H5019" s="16">
        <f>IFERROR(__xludf.DUMMYFUNCTION("""COMPUTED_VALUE"""),13689.0)</f>
        <v>13689</v>
      </c>
      <c r="I5019" s="18">
        <f>IFERROR(__xludf.DUMMYFUNCTION("""COMPUTED_VALUE"""),1.0)</f>
        <v>1</v>
      </c>
      <c r="J5019" s="18">
        <f>IFERROR(__xludf.DUMMYFUNCTION("""COMPUTED_VALUE"""),1.0)</f>
        <v>1</v>
      </c>
      <c r="K5019" s="18">
        <f>IFERROR(__xludf.DUMMYFUNCTION("""COMPUTED_VALUE"""),1.0)</f>
        <v>1</v>
      </c>
      <c r="L5019" s="17">
        <f>IFERROR(__xludf.DUMMYFUNCTION("""COMPUTED_VALUE"""),3.117591055E9)</f>
        <v>3117591055</v>
      </c>
      <c r="M5019" s="17" t="str">
        <f>IFERROR(__xludf.DUMMYFUNCTION("""COMPUTED_VALUE"""),"#REF!")</f>
        <v>#REF!</v>
      </c>
      <c r="N5019" s="17"/>
      <c r="O5019" s="17"/>
      <c r="P5019" s="17" t="b">
        <f>IFERROR(__xludf.DUMMYFUNCTION("""COMPUTED_VALUE"""),FALSE)</f>
        <v>0</v>
      </c>
      <c r="Q5019" s="20" t="str">
        <f>IFERROR(__xludf.DUMMYFUNCTION("""COMPUTED_VALUE"""),"")</f>
        <v/>
      </c>
      <c r="R5019" s="21" t="str">
        <f>IFERROR(__xludf.DUMMYFUNCTION("""COMPUTED_VALUE"""),"https://drive.google.com/file/d/139DZqGQJesgJ4jpFjfRskyXelU62UdY-/view?usp=drivesdk")</f>
        <v>https://drive.google.com/file/d/139DZqGQJesgJ4jpFjfRskyXelU62UdY-/view?usp=drivesdk</v>
      </c>
    </row>
    <row r="5020">
      <c r="A5020" s="15">
        <f>IFERROR(__xludf.DUMMYFUNCTION("""COMPUTED_VALUE"""),45147.0)</f>
        <v>45147</v>
      </c>
      <c r="B5020" s="16" t="str">
        <f>IFERROR(__xludf.DUMMYFUNCTION("""COMPUTED_VALUE"""),"Johan Alexander Escobar Arroyo ")</f>
        <v>Johan Alexander Escobar Arroyo </v>
      </c>
      <c r="C5020" s="15" t="str">
        <f>IFERROR(__xludf.DUMMYFUNCTION("""COMPUTED_VALUE"""),"CALI")</f>
        <v>CALI</v>
      </c>
      <c r="D5020" s="15" t="str">
        <f>IFERROR(__xludf.DUMMYFUNCTION("""COMPUTED_VALUE"""),"BOGOTÁ")</f>
        <v>BOGOTÁ</v>
      </c>
      <c r="E5020" s="15" t="str">
        <f>IFERROR(__xludf.DUMMYFUNCTION("""COMPUTED_VALUE"""),"My Choice")</f>
        <v>My Choice</v>
      </c>
      <c r="F5020" s="17" t="str">
        <f>IFERROR(__xludf.DUMMYFUNCTION("""COMPUTED_VALUE"""),"Carrera 36B # 1 Oeste - 75. Edificio Quadratto apto 803. / 803 / Cristales barrió")</f>
        <v>Carrera 36B # 1 Oeste - 75. Edificio Quadratto apto 803. / 803 / Cristales barrió</v>
      </c>
      <c r="G5020" s="15" t="str">
        <f>IFERROR(__xludf.DUMMYFUNCTION("""COMPUTED_VALUE"""),"Johanna urrego")</f>
        <v>Johanna urrego</v>
      </c>
      <c r="H5020" s="16">
        <f>IFERROR(__xludf.DUMMYFUNCTION("""COMPUTED_VALUE"""),13746.0)</f>
        <v>13746</v>
      </c>
      <c r="I5020" s="18">
        <f>IFERROR(__xludf.DUMMYFUNCTION("""COMPUTED_VALUE"""),34.0)</f>
        <v>34</v>
      </c>
      <c r="J5020" s="18">
        <f>IFERROR(__xludf.DUMMYFUNCTION("""COMPUTED_VALUE"""),15.0)</f>
        <v>15</v>
      </c>
      <c r="K5020" s="18">
        <f>IFERROR(__xludf.DUMMYFUNCTION("""COMPUTED_VALUE"""),23.0)</f>
        <v>23</v>
      </c>
      <c r="L5020" s="17">
        <f>IFERROR(__xludf.DUMMYFUNCTION("""COMPUTED_VALUE"""),3.103663535E9)</f>
        <v>3103663535</v>
      </c>
      <c r="M5020" s="17" t="str">
        <f>IFERROR(__xludf.DUMMYFUNCTION("""COMPUTED_VALUE"""),"#REF!")</f>
        <v>#REF!</v>
      </c>
      <c r="N5020" s="17"/>
      <c r="O5020" s="17"/>
      <c r="P5020" s="17" t="b">
        <f>IFERROR(__xludf.DUMMYFUNCTION("""COMPUTED_VALUE"""),TRUE)</f>
        <v>1</v>
      </c>
      <c r="Q5020" s="20">
        <f>IFERROR(__xludf.DUMMYFUNCTION("""COMPUTED_VALUE"""),45148.604710706015)</f>
        <v>45148.60471</v>
      </c>
      <c r="R5020" s="21" t="str">
        <f>IFERROR(__xludf.DUMMYFUNCTION("""COMPUTED_VALUE"""),"https://drive.google.com/file/d/1RMxYVzZAoX_329-8hMfns2K7K4R8cb8n/view?usp=drivesdk")</f>
        <v>https://drive.google.com/file/d/1RMxYVzZAoX_329-8hMfns2K7K4R8cb8n/view?usp=drivesdk</v>
      </c>
    </row>
    <row r="5021">
      <c r="A5021" s="15">
        <f>IFERROR(__xludf.DUMMYFUNCTION("""COMPUTED_VALUE"""),45147.0)</f>
        <v>45147</v>
      </c>
      <c r="B5021" s="16" t="str">
        <f>IFERROR(__xludf.DUMMYFUNCTION("""COMPUTED_VALUE"""),"Johan Alexander Escobar Arroyo ")</f>
        <v>Johan Alexander Escobar Arroyo </v>
      </c>
      <c r="C5021" s="15" t="str">
        <f>IFERROR(__xludf.DUMMYFUNCTION("""COMPUTED_VALUE"""),"CALI")</f>
        <v>CALI</v>
      </c>
      <c r="D5021" s="15" t="str">
        <f>IFERROR(__xludf.DUMMYFUNCTION("""COMPUTED_VALUE"""),"MEDELLÍN")</f>
        <v>MEDELLÍN</v>
      </c>
      <c r="E5021" s="15" t="str">
        <f>IFERROR(__xludf.DUMMYFUNCTION("""COMPUTED_VALUE"""),"Todo Bufala")</f>
        <v>Todo Bufala</v>
      </c>
      <c r="F5021" s="17" t="str">
        <f>IFERROR(__xludf.DUMMYFUNCTION("""COMPUTED_VALUE"""),"Calle 8 #42-58")</f>
        <v>Calle 8 #42-58</v>
      </c>
      <c r="G5021" s="15" t="str">
        <f>IFERROR(__xludf.DUMMYFUNCTION("""COMPUTED_VALUE"""),"Grupo Hefe SAS")</f>
        <v>Grupo Hefe SAS</v>
      </c>
      <c r="H5021" s="16">
        <f>IFERROR(__xludf.DUMMYFUNCTION("""COMPUTED_VALUE"""),13626.0)</f>
        <v>13626</v>
      </c>
      <c r="I5021" s="18">
        <f>IFERROR(__xludf.DUMMYFUNCTION("""COMPUTED_VALUE"""),20.0)</f>
        <v>20</v>
      </c>
      <c r="J5021" s="18">
        <f>IFERROR(__xludf.DUMMYFUNCTION("""COMPUTED_VALUE"""),30.0)</f>
        <v>30</v>
      </c>
      <c r="K5021" s="18">
        <f>IFERROR(__xludf.DUMMYFUNCTION("""COMPUTED_VALUE"""),40.0)</f>
        <v>40</v>
      </c>
      <c r="L5021" s="17" t="str">
        <f>IFERROR(__xludf.DUMMYFUNCTION("""COMPUTED_VALUE"""),"320 7762289")</f>
        <v>320 7762289</v>
      </c>
      <c r="M5021" s="17" t="str">
        <f>IFERROR(__xludf.DUMMYFUNCTION("""COMPUTED_VALUE"""),"#REF!")</f>
        <v>#REF!</v>
      </c>
      <c r="N5021" s="17"/>
      <c r="O5021" s="17"/>
      <c r="P5021" s="17" t="b">
        <f>IFERROR(__xludf.DUMMYFUNCTION("""COMPUTED_VALUE"""),TRUE)</f>
        <v>1</v>
      </c>
      <c r="Q5021" s="20">
        <f>IFERROR(__xludf.DUMMYFUNCTION("""COMPUTED_VALUE"""),45148.60471071759)</f>
        <v>45148.60471</v>
      </c>
      <c r="R5021" s="22" t="str">
        <f>IFERROR(__xludf.DUMMYFUNCTION("""COMPUTED_VALUE"""),"")</f>
        <v/>
      </c>
    </row>
    <row r="5022">
      <c r="A5022" s="15">
        <f>IFERROR(__xludf.DUMMYFUNCTION("""COMPUTED_VALUE"""),45147.0)</f>
        <v>45147</v>
      </c>
      <c r="B5022" s="16" t="str">
        <f>IFERROR(__xludf.DUMMYFUNCTION("""COMPUTED_VALUE"""),"Johan Alexander Escobar Arroyo ")</f>
        <v>Johan Alexander Escobar Arroyo </v>
      </c>
      <c r="C5022" s="15" t="str">
        <f>IFERROR(__xludf.DUMMYFUNCTION("""COMPUTED_VALUE"""),"CARTAGO")</f>
        <v>CARTAGO</v>
      </c>
      <c r="D5022" s="15" t="str">
        <f>IFERROR(__xludf.DUMMYFUNCTION("""COMPUTED_VALUE"""),"BOGOTÁ")</f>
        <v>BOGOTÁ</v>
      </c>
      <c r="E5022" s="15" t="str">
        <f>IFERROR(__xludf.DUMMYFUNCTION("""COMPUTED_VALUE"""),"Pan de Waffle")</f>
        <v>Pan de Waffle</v>
      </c>
      <c r="F5022" s="17" t="str">
        <f>IFERROR(__xludf.DUMMYFUNCTION("""COMPUTED_VALUE"""),"CR 4 # 16 107 / CR 4 # 16 107 / CR 4 # 16 107")</f>
        <v>CR 4 # 16 107 / CR 4 # 16 107 / CR 4 # 16 107</v>
      </c>
      <c r="G5022" s="15" t="str">
        <f>IFERROR(__xludf.DUMMYFUNCTION("""COMPUTED_VALUE"""),"THE NATURAL")</f>
        <v>THE NATURAL</v>
      </c>
      <c r="H5022" s="16">
        <f>IFERROR(__xludf.DUMMYFUNCTION("""COMPUTED_VALUE"""),13732.0)</f>
        <v>13732</v>
      </c>
      <c r="I5022" s="18">
        <f>IFERROR(__xludf.DUMMYFUNCTION("""COMPUTED_VALUE"""),30.0)</f>
        <v>30</v>
      </c>
      <c r="J5022" s="18">
        <f>IFERROR(__xludf.DUMMYFUNCTION("""COMPUTED_VALUE"""),20.0)</f>
        <v>20</v>
      </c>
      <c r="K5022" s="18">
        <f>IFERROR(__xludf.DUMMYFUNCTION("""COMPUTED_VALUE"""),40.0)</f>
        <v>40</v>
      </c>
      <c r="L5022" s="17">
        <f>IFERROR(__xludf.DUMMYFUNCTION("""COMPUTED_VALUE"""),3.146025882E9)</f>
        <v>3146025882</v>
      </c>
      <c r="M5022" s="17" t="str">
        <f>IFERROR(__xludf.DUMMYFUNCTION("""COMPUTED_VALUE"""),"#REF!")</f>
        <v>#REF!</v>
      </c>
      <c r="N5022" s="17"/>
      <c r="O5022" s="17"/>
      <c r="P5022" s="17" t="b">
        <f>IFERROR(__xludf.DUMMYFUNCTION("""COMPUTED_VALUE"""),TRUE)</f>
        <v>1</v>
      </c>
      <c r="Q5022" s="20">
        <f>IFERROR(__xludf.DUMMYFUNCTION("""COMPUTED_VALUE"""),45147.47663568287)</f>
        <v>45147.47664</v>
      </c>
      <c r="R5022" s="22" t="str">
        <f>IFERROR(__xludf.DUMMYFUNCTION("""COMPUTED_VALUE"""),"")</f>
        <v/>
      </c>
    </row>
    <row r="5023">
      <c r="A5023" s="15">
        <f>IFERROR(__xludf.DUMMYFUNCTION("""COMPUTED_VALUE"""),45147.0)</f>
        <v>45147</v>
      </c>
      <c r="B5023" s="16" t="str">
        <f>IFERROR(__xludf.DUMMYFUNCTION("""COMPUTED_VALUE"""),"Johan Alexander Escobar Arroyo ")</f>
        <v>Johan Alexander Escobar Arroyo </v>
      </c>
      <c r="C5023" s="15" t="str">
        <f>IFERROR(__xludf.DUMMYFUNCTION("""COMPUTED_VALUE"""),"IBAGUÉ")</f>
        <v>IBAGUÉ</v>
      </c>
      <c r="D5023" s="15" t="str">
        <f>IFERROR(__xludf.DUMMYFUNCTION("""COMPUTED_VALUE"""),"BOGOTÁ")</f>
        <v>BOGOTÁ</v>
      </c>
      <c r="E5023" s="15" t="str">
        <f>IFERROR(__xludf.DUMMYFUNCTION("""COMPUTED_VALUE"""),"Pan de Waffle")</f>
        <v>Pan de Waffle</v>
      </c>
      <c r="F5023" s="17" t="str">
        <f>IFERROR(__xludf.DUMMYFUNCTION("""COMPUTED_VALUE"""),"Calle 10 # 3 - 01 local 2  / Calle 10 # 3 - 01 local 2  / Calle 10 # 3 - 01 local 2")</f>
        <v>Calle 10 # 3 - 01 local 2  / Calle 10 # 3 - 01 local 2  / Calle 10 # 3 - 01 local 2</v>
      </c>
      <c r="G5023" s="15" t="str">
        <f>IFERROR(__xludf.DUMMYFUNCTION("""COMPUTED_VALUE"""),"SOY NATURAL SEDE BOLIVAR")</f>
        <v>SOY NATURAL SEDE BOLIVAR</v>
      </c>
      <c r="H5023" s="16">
        <f>IFERROR(__xludf.DUMMYFUNCTION("""COMPUTED_VALUE"""),13733.0)</f>
        <v>13733</v>
      </c>
      <c r="I5023" s="18">
        <f>IFERROR(__xludf.DUMMYFUNCTION("""COMPUTED_VALUE"""),30.0)</f>
        <v>30</v>
      </c>
      <c r="J5023" s="18">
        <f>IFERROR(__xludf.DUMMYFUNCTION("""COMPUTED_VALUE"""),40.0)</f>
        <v>40</v>
      </c>
      <c r="K5023" s="18">
        <f>IFERROR(__xludf.DUMMYFUNCTION("""COMPUTED_VALUE"""),40.0)</f>
        <v>40</v>
      </c>
      <c r="L5023" s="17">
        <f>IFERROR(__xludf.DUMMYFUNCTION("""COMPUTED_VALUE"""),3.04665347E9)</f>
        <v>3046653470</v>
      </c>
      <c r="M5023" s="17" t="str">
        <f>IFERROR(__xludf.DUMMYFUNCTION("""COMPUTED_VALUE"""),"#REF!")</f>
        <v>#REF!</v>
      </c>
      <c r="N5023" s="17"/>
      <c r="O5023" s="17"/>
      <c r="P5023" s="17" t="b">
        <f>IFERROR(__xludf.DUMMYFUNCTION("""COMPUTED_VALUE"""),FALSE)</f>
        <v>0</v>
      </c>
      <c r="Q5023" s="20" t="str">
        <f>IFERROR(__xludf.DUMMYFUNCTION("""COMPUTED_VALUE"""),"")</f>
        <v/>
      </c>
      <c r="R5023" s="22" t="str">
        <f>IFERROR(__xludf.DUMMYFUNCTION("""COMPUTED_VALUE"""),"")</f>
        <v/>
      </c>
    </row>
    <row r="5024">
      <c r="A5024" s="15">
        <f>IFERROR(__xludf.DUMMYFUNCTION("""COMPUTED_VALUE"""),45147.0)</f>
        <v>45147</v>
      </c>
      <c r="B5024" s="16" t="str">
        <f>IFERROR(__xludf.DUMMYFUNCTION("""COMPUTED_VALUE"""),"Johan Alexander Escobar Arroyo ")</f>
        <v>Johan Alexander Escobar Arroyo </v>
      </c>
      <c r="C5024" s="15" t="str">
        <f>IFERROR(__xludf.DUMMYFUNCTION("""COMPUTED_VALUE"""),"IBAGUÉ")</f>
        <v>IBAGUÉ</v>
      </c>
      <c r="D5024" s="15" t="str">
        <f>IFERROR(__xludf.DUMMYFUNCTION("""COMPUTED_VALUE"""),"BUCARAMANGA")</f>
        <v>BUCARAMANGA</v>
      </c>
      <c r="E5024" s="15" t="str">
        <f>IFERROR(__xludf.DUMMYFUNCTION("""COMPUTED_VALUE"""),"Yo Como Solito")</f>
        <v>Yo Como Solito</v>
      </c>
      <c r="F5024" s="17" t="str">
        <f>IFERROR(__xludf.DUMMYFUNCTION("""COMPUTED_VALUE"""),"Calle 93 7 Sur -90 parque residencial altagracia torre 7/701 barrio samaria, / Calle 93 7 Sur -90 parque residencial altagracia torre 7/701 barrio samaria, / Calle 93 7 Sur -90 parque residencial altagracia torre 7/701 barrio samaria,")</f>
        <v>Calle 93 7 Sur -90 parque residencial altagracia torre 7/701 barrio samaria, / Calle 93 7 Sur -90 parque residencial altagracia torre 7/701 barrio samaria, / Calle 93 7 Sur -90 parque residencial altagracia torre 7/701 barrio samaria,</v>
      </c>
      <c r="G5024" s="15" t="str">
        <f>IFERROR(__xludf.DUMMYFUNCTION("""COMPUTED_VALUE"""),"Maríam Yasmín Murillo Rubio")</f>
        <v>Maríam Yasmín Murillo Rubio</v>
      </c>
      <c r="H5024" s="16">
        <f>IFERROR(__xludf.DUMMYFUNCTION("""COMPUTED_VALUE"""),13604.0)</f>
        <v>13604</v>
      </c>
      <c r="I5024" s="18">
        <f>IFERROR(__xludf.DUMMYFUNCTION("""COMPUTED_VALUE"""),12.0)</f>
        <v>12</v>
      </c>
      <c r="J5024" s="18">
        <f>IFERROR(__xludf.DUMMYFUNCTION("""COMPUTED_VALUE"""),24.0)</f>
        <v>24</v>
      </c>
      <c r="K5024" s="18">
        <f>IFERROR(__xludf.DUMMYFUNCTION("""COMPUTED_VALUE"""),28.0)</f>
        <v>28</v>
      </c>
      <c r="L5024" s="17">
        <f>IFERROR(__xludf.DUMMYFUNCTION("""COMPUTED_VALUE"""),3.175051573E9)</f>
        <v>3175051573</v>
      </c>
      <c r="M5024" s="17" t="str">
        <f>IFERROR(__xludf.DUMMYFUNCTION("""COMPUTED_VALUE"""),"#REF!")</f>
        <v>#REF!</v>
      </c>
      <c r="N5024" s="17"/>
      <c r="O5024" s="17"/>
      <c r="P5024" s="17" t="b">
        <f>IFERROR(__xludf.DUMMYFUNCTION("""COMPUTED_VALUE"""),FALSE)</f>
        <v>0</v>
      </c>
      <c r="Q5024" s="20" t="str">
        <f>IFERROR(__xludf.DUMMYFUNCTION("""COMPUTED_VALUE"""),"")</f>
        <v/>
      </c>
      <c r="R5024" s="21" t="str">
        <f>IFERROR(__xludf.DUMMYFUNCTION("""COMPUTED_VALUE"""),"https://drive.google.com/file/d/1bLGHFPLIVwLrf6o0T3Keyw4dvkUuZvqZ/view?usp=drivesdk")</f>
        <v>https://drive.google.com/file/d/1bLGHFPLIVwLrf6o0T3Keyw4dvkUuZvqZ/view?usp=drivesdk</v>
      </c>
    </row>
    <row r="5025">
      <c r="A5025" s="17" t="str">
        <f>IFERROR(__xludf.DUMMYFUNCTION("""COMPUTED_VALUE"""),"")</f>
        <v/>
      </c>
      <c r="B5025" s="17" t="str">
        <f>IFERROR(__xludf.DUMMYFUNCTION("""COMPUTED_VALUE"""),"")</f>
        <v/>
      </c>
      <c r="C5025" s="17" t="str">
        <f>IFERROR(__xludf.DUMMYFUNCTION("""COMPUTED_VALUE"""),"")</f>
        <v/>
      </c>
      <c r="D5025" s="17" t="str">
        <f>IFERROR(__xludf.DUMMYFUNCTION("""COMPUTED_VALUE"""),"")</f>
        <v/>
      </c>
      <c r="E5025" s="17" t="str">
        <f>IFERROR(__xludf.DUMMYFUNCTION("""COMPUTED_VALUE"""),"")</f>
        <v/>
      </c>
      <c r="F5025" s="17" t="str">
        <f>IFERROR(__xludf.DUMMYFUNCTION("""COMPUTED_VALUE"""),"")</f>
        <v/>
      </c>
      <c r="G5025" s="17" t="str">
        <f>IFERROR(__xludf.DUMMYFUNCTION("""COMPUTED_VALUE"""),"")</f>
        <v/>
      </c>
      <c r="H5025" s="17" t="str">
        <f>IFERROR(__xludf.DUMMYFUNCTION("""COMPUTED_VALUE"""),"")</f>
        <v/>
      </c>
      <c r="I5025" s="17" t="str">
        <f>IFERROR(__xludf.DUMMYFUNCTION("""COMPUTED_VALUE"""),"")</f>
        <v/>
      </c>
      <c r="J5025" s="17" t="str">
        <f>IFERROR(__xludf.DUMMYFUNCTION("""COMPUTED_VALUE"""),"")</f>
        <v/>
      </c>
      <c r="K5025" s="17" t="str">
        <f>IFERROR(__xludf.DUMMYFUNCTION("""COMPUTED_VALUE"""),"")</f>
        <v/>
      </c>
      <c r="L5025" s="17" t="str">
        <f>IFERROR(__xludf.DUMMYFUNCTION("""COMPUTED_VALUE"""),"")</f>
        <v/>
      </c>
      <c r="M5025" s="17" t="str">
        <f>IFERROR(__xludf.DUMMYFUNCTION("""COMPUTED_VALUE"""),"")</f>
        <v/>
      </c>
      <c r="N5025" s="17" t="str">
        <f>IFERROR(__xludf.DUMMYFUNCTION("""COMPUTED_VALUE"""),"")</f>
        <v/>
      </c>
      <c r="O5025" s="17" t="str">
        <f>IFERROR(__xludf.DUMMYFUNCTION("""COMPUTED_VALUE"""),"")</f>
        <v/>
      </c>
      <c r="P5025" s="17" t="str">
        <f>IFERROR(__xludf.DUMMYFUNCTION("""COMPUTED_VALUE"""),"")</f>
        <v/>
      </c>
      <c r="Q5025" s="17" t="str">
        <f>IFERROR(__xludf.DUMMYFUNCTION("""COMPUTED_VALUE"""),"")</f>
        <v/>
      </c>
      <c r="R5025" s="17" t="str">
        <f>IFERROR(__xludf.DUMMYFUNCTION("""COMPUTED_VALUE"""),"")</f>
        <v/>
      </c>
    </row>
    <row r="5026">
      <c r="A5026" s="15">
        <f>IFERROR(__xludf.DUMMYFUNCTION("""COMPUTED_VALUE"""),45147.0)</f>
        <v>45147</v>
      </c>
      <c r="B5026" s="16" t="str">
        <f>IFERROR(__xludf.DUMMYFUNCTION("""COMPUTED_VALUE"""),"Santiago Garces Restrepo")</f>
        <v>Santiago Garces Restrepo</v>
      </c>
      <c r="C5026" s="15" t="str">
        <f>IFERROR(__xludf.DUMMYFUNCTION("""COMPUTED_VALUE"""),"MEDELLÍN")</f>
        <v>MEDELLÍN</v>
      </c>
      <c r="D5026" s="15" t="str">
        <f>IFERROR(__xludf.DUMMYFUNCTION("""COMPUTED_VALUE"""),"BOGOTÁ")</f>
        <v>BOGOTÁ</v>
      </c>
      <c r="E5026" s="15" t="str">
        <f>IFERROR(__xludf.DUMMYFUNCTION("""COMPUTED_VALUE"""),"Asociacion Agropecuaria Juana Maria")</f>
        <v>Asociacion Agropecuaria Juana Maria</v>
      </c>
      <c r="F5026" s="17" t="str">
        <f>IFERROR(__xludf.DUMMYFUNCTION("""COMPUTED_VALUE"""),"CALLE 33AA # 78ª-124 APTO 301 EDIFICIO ONTARIO LAURELES")</f>
        <v>CALLE 33AA # 78ª-124 APTO 301 EDIFICIO ONTARIO LAURELES</v>
      </c>
      <c r="G5026" s="15" t="str">
        <f>IFERROR(__xludf.DUMMYFUNCTION("""COMPUTED_VALUE"""),"Yuliana Lopez")</f>
        <v>Yuliana Lopez</v>
      </c>
      <c r="H5026" s="16">
        <f>IFERROR(__xludf.DUMMYFUNCTION("""COMPUTED_VALUE"""),13612.0)</f>
        <v>13612</v>
      </c>
      <c r="I5026" s="18">
        <f>IFERROR(__xludf.DUMMYFUNCTION("""COMPUTED_VALUE"""),21.0)</f>
        <v>21</v>
      </c>
      <c r="J5026" s="18">
        <f>IFERROR(__xludf.DUMMYFUNCTION("""COMPUTED_VALUE"""),37.0)</f>
        <v>37</v>
      </c>
      <c r="K5026" s="18">
        <f>IFERROR(__xludf.DUMMYFUNCTION("""COMPUTED_VALUE"""),30.0)</f>
        <v>30</v>
      </c>
      <c r="L5026" s="17">
        <f>IFERROR(__xludf.DUMMYFUNCTION("""COMPUTED_VALUE"""),3.136078393E9)</f>
        <v>3136078393</v>
      </c>
      <c r="M5026" s="17" t="str">
        <f>IFERROR(__xludf.DUMMYFUNCTION("""COMPUTED_VALUE"""),"#REF!")</f>
        <v>#REF!</v>
      </c>
      <c r="N5026" s="17"/>
      <c r="O5026" s="17"/>
      <c r="P5026" s="17" t="b">
        <f>IFERROR(__xludf.DUMMYFUNCTION("""COMPUTED_VALUE"""),FALSE)</f>
        <v>0</v>
      </c>
      <c r="Q5026" s="20" t="str">
        <f>IFERROR(__xludf.DUMMYFUNCTION("""COMPUTED_VALUE"""),"")</f>
        <v/>
      </c>
      <c r="R5026" s="22" t="str">
        <f>IFERROR(__xludf.DUMMYFUNCTION("""COMPUTED_VALUE"""),"")</f>
        <v/>
      </c>
    </row>
    <row r="5027">
      <c r="A5027" s="15">
        <f>IFERROR(__xludf.DUMMYFUNCTION("""COMPUTED_VALUE"""),45147.0)</f>
        <v>45147</v>
      </c>
      <c r="B5027" s="16" t="str">
        <f>IFERROR(__xludf.DUMMYFUNCTION("""COMPUTED_VALUE"""),"Santiago Garces Restrepo")</f>
        <v>Santiago Garces Restrepo</v>
      </c>
      <c r="C5027" s="15" t="str">
        <f>IFERROR(__xludf.DUMMYFUNCTION("""COMPUTED_VALUE"""),"MEDELLÍN")</f>
        <v>MEDELLÍN</v>
      </c>
      <c r="D5027" s="15" t="str">
        <f>IFERROR(__xludf.DUMMYFUNCTION("""COMPUTED_VALUE"""),"BOGOTÁ")</f>
        <v>BOGOTÁ</v>
      </c>
      <c r="E5027" s="15" t="str">
        <f>IFERROR(__xludf.DUMMYFUNCTION("""COMPUTED_VALUE"""),"Asociacion Agropecuaria Juana Maria")</f>
        <v>Asociacion Agropecuaria Juana Maria</v>
      </c>
      <c r="F5027" s="17" t="str">
        <f>IFERROR(__xludf.DUMMYFUNCTION("""COMPUTED_VALUE"""),"Carrera 15 BA # 30D-44 int 201")</f>
        <v>Carrera 15 BA # 30D-44 int 201</v>
      </c>
      <c r="G5027" s="15" t="str">
        <f>IFERROR(__xludf.DUMMYFUNCTION("""COMPUTED_VALUE"""),"Daniela Bedoya Blandon")</f>
        <v>Daniela Bedoya Blandon</v>
      </c>
      <c r="H5027" s="16">
        <f>IFERROR(__xludf.DUMMYFUNCTION("""COMPUTED_VALUE"""),13613.0)</f>
        <v>13613</v>
      </c>
      <c r="I5027" s="18">
        <f>IFERROR(__xludf.DUMMYFUNCTION("""COMPUTED_VALUE"""),21.0)</f>
        <v>21</v>
      </c>
      <c r="J5027" s="18">
        <f>IFERROR(__xludf.DUMMYFUNCTION("""COMPUTED_VALUE"""),37.0)</f>
        <v>37</v>
      </c>
      <c r="K5027" s="18">
        <f>IFERROR(__xludf.DUMMYFUNCTION("""COMPUTED_VALUE"""),30.0)</f>
        <v>30</v>
      </c>
      <c r="L5027" s="17">
        <f>IFERROR(__xludf.DUMMYFUNCTION("""COMPUTED_VALUE"""),3.14672822E9)</f>
        <v>3146728220</v>
      </c>
      <c r="M5027" s="17" t="str">
        <f>IFERROR(__xludf.DUMMYFUNCTION("""COMPUTED_VALUE"""),"#REF!")</f>
        <v>#REF!</v>
      </c>
      <c r="N5027" s="17"/>
      <c r="O5027" s="17"/>
      <c r="P5027" s="17" t="b">
        <f>IFERROR(__xludf.DUMMYFUNCTION("""COMPUTED_VALUE"""),TRUE)</f>
        <v>1</v>
      </c>
      <c r="Q5027" s="20">
        <f>IFERROR(__xludf.DUMMYFUNCTION("""COMPUTED_VALUE"""),45148.60471071759)</f>
        <v>45148.60471</v>
      </c>
      <c r="R5027" s="22" t="str">
        <f>IFERROR(__xludf.DUMMYFUNCTION("""COMPUTED_VALUE"""),"")</f>
        <v/>
      </c>
    </row>
    <row r="5028">
      <c r="A5028" s="15">
        <f>IFERROR(__xludf.DUMMYFUNCTION("""COMPUTED_VALUE"""),45147.0)</f>
        <v>45147</v>
      </c>
      <c r="B5028" s="16" t="str">
        <f>IFERROR(__xludf.DUMMYFUNCTION("""COMPUTED_VALUE"""),"Santiago Garces Restrepo")</f>
        <v>Santiago Garces Restrepo</v>
      </c>
      <c r="C5028" s="15" t="str">
        <f>IFERROR(__xludf.DUMMYFUNCTION("""COMPUTED_VALUE"""),"MEDELLÍN")</f>
        <v>MEDELLÍN</v>
      </c>
      <c r="D5028" s="15" t="str">
        <f>IFERROR(__xludf.DUMMYFUNCTION("""COMPUTED_VALUE"""),"BOGOTÁ")</f>
        <v>BOGOTÁ</v>
      </c>
      <c r="E5028" s="15" t="str">
        <f>IFERROR(__xludf.DUMMYFUNCTION("""COMPUTED_VALUE"""),"Asociacion Agropecuaria Juana Maria")</f>
        <v>Asociacion Agropecuaria Juana Maria</v>
      </c>
      <c r="F5028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5028" s="15" t="str">
        <f>IFERROR(__xludf.DUMMYFUNCTION("""COMPUTED_VALUE"""),"Jennifer Sanchez Blandon")</f>
        <v>Jennifer Sanchez Blandon</v>
      </c>
      <c r="H5028" s="16">
        <f>IFERROR(__xludf.DUMMYFUNCTION("""COMPUTED_VALUE"""),13614.0)</f>
        <v>13614</v>
      </c>
      <c r="I5028" s="18">
        <f>IFERROR(__xludf.DUMMYFUNCTION("""COMPUTED_VALUE"""),28.0)</f>
        <v>28</v>
      </c>
      <c r="J5028" s="18">
        <f>IFERROR(__xludf.DUMMYFUNCTION("""COMPUTED_VALUE"""),37.0)</f>
        <v>37</v>
      </c>
      <c r="K5028" s="18">
        <f>IFERROR(__xludf.DUMMYFUNCTION("""COMPUTED_VALUE"""),30.0)</f>
        <v>30</v>
      </c>
      <c r="L5028" s="17">
        <f>IFERROR(__xludf.DUMMYFUNCTION("""COMPUTED_VALUE"""),3.016937674E9)</f>
        <v>3016937674</v>
      </c>
      <c r="M5028" s="17" t="str">
        <f>IFERROR(__xludf.DUMMYFUNCTION("""COMPUTED_VALUE"""),"#REF!")</f>
        <v>#REF!</v>
      </c>
      <c r="N5028" s="17"/>
      <c r="O5028" s="17"/>
      <c r="P5028" s="17" t="b">
        <f>IFERROR(__xludf.DUMMYFUNCTION("""COMPUTED_VALUE"""),FALSE)</f>
        <v>0</v>
      </c>
      <c r="Q5028" s="20" t="str">
        <f>IFERROR(__xludf.DUMMYFUNCTION("""COMPUTED_VALUE"""),"")</f>
        <v/>
      </c>
      <c r="R5028" s="22" t="str">
        <f>IFERROR(__xludf.DUMMYFUNCTION("""COMPUTED_VALUE"""),"")</f>
        <v/>
      </c>
    </row>
    <row r="5029">
      <c r="A5029" s="15">
        <f>IFERROR(__xludf.DUMMYFUNCTION("""COMPUTED_VALUE"""),45147.0)</f>
        <v>45147</v>
      </c>
      <c r="B5029" s="16" t="str">
        <f>IFERROR(__xludf.DUMMYFUNCTION("""COMPUTED_VALUE"""),"Santiago Garces Restrepo")</f>
        <v>Santiago Garces Restrepo</v>
      </c>
      <c r="C5029" s="15" t="str">
        <f>IFERROR(__xludf.DUMMYFUNCTION("""COMPUTED_VALUE"""),"MEDELLÍN")</f>
        <v>MEDELLÍN</v>
      </c>
      <c r="D5029" s="15" t="str">
        <f>IFERROR(__xludf.DUMMYFUNCTION("""COMPUTED_VALUE"""),"BOGOTÁ")</f>
        <v>BOGOTÁ</v>
      </c>
      <c r="E5029" s="15" t="str">
        <f>IFERROR(__xludf.DUMMYFUNCTION("""COMPUTED_VALUE"""),"Evamazzita")</f>
        <v>Evamazzita</v>
      </c>
      <c r="F5029" s="17" t="str">
        <f>IFERROR(__xludf.DUMMYFUNCTION("""COMPUTED_VALUE"""),"CLL 14 # 40 A 75 / Apto 1303 / EDIFICIO TOULOUSE - CASTROPOL EL POBLADO")</f>
        <v>CLL 14 # 40 A 75 / Apto 1303 / EDIFICIO TOULOUSE - CASTROPOL EL POBLADO</v>
      </c>
      <c r="G5029" s="15" t="str">
        <f>IFERROR(__xludf.DUMMYFUNCTION("""COMPUTED_VALUE"""),"CARLA GARCIA")</f>
        <v>CARLA GARCIA</v>
      </c>
      <c r="H5029" s="16">
        <f>IFERROR(__xludf.DUMMYFUNCTION("""COMPUTED_VALUE"""),13718.0)</f>
        <v>13718</v>
      </c>
      <c r="I5029" s="18">
        <f>IFERROR(__xludf.DUMMYFUNCTION("""COMPUTED_VALUE"""),1.0)</f>
        <v>1</v>
      </c>
      <c r="J5029" s="18">
        <f>IFERROR(__xludf.DUMMYFUNCTION("""COMPUTED_VALUE"""),1.0)</f>
        <v>1</v>
      </c>
      <c r="K5029" s="18">
        <f>IFERROR(__xludf.DUMMYFUNCTION("""COMPUTED_VALUE"""),1.0)</f>
        <v>1</v>
      </c>
      <c r="L5029" s="17">
        <f>IFERROR(__xludf.DUMMYFUNCTION("""COMPUTED_VALUE"""),3.104795116E9)</f>
        <v>3104795116</v>
      </c>
      <c r="M5029" s="17" t="str">
        <f>IFERROR(__xludf.DUMMYFUNCTION("""COMPUTED_VALUE"""),"#REF!")</f>
        <v>#REF!</v>
      </c>
      <c r="N5029" s="17"/>
      <c r="O5029" s="17"/>
      <c r="P5029" s="17" t="b">
        <f>IFERROR(__xludf.DUMMYFUNCTION("""COMPUTED_VALUE"""),FALSE)</f>
        <v>0</v>
      </c>
      <c r="Q5029" s="20" t="str">
        <f>IFERROR(__xludf.DUMMYFUNCTION("""COMPUTED_VALUE"""),"")</f>
        <v/>
      </c>
      <c r="R5029" s="21" t="str">
        <f>IFERROR(__xludf.DUMMYFUNCTION("""COMPUTED_VALUE"""),"https://drive.google.com/file/d/1AqZ95XraQ-tP6QQ2tLyj5V5INJcwQNQv/view?usp=drivesdk")</f>
        <v>https://drive.google.com/file/d/1AqZ95XraQ-tP6QQ2tLyj5V5INJcwQNQv/view?usp=drivesdk</v>
      </c>
    </row>
    <row r="5030">
      <c r="A5030" s="15">
        <f>IFERROR(__xludf.DUMMYFUNCTION("""COMPUTED_VALUE"""),45147.0)</f>
        <v>45147</v>
      </c>
      <c r="B5030" s="16" t="str">
        <f>IFERROR(__xludf.DUMMYFUNCTION("""COMPUTED_VALUE"""),"Santiago Garces Restrepo")</f>
        <v>Santiago Garces Restrepo</v>
      </c>
      <c r="C5030" s="15" t="str">
        <f>IFERROR(__xludf.DUMMYFUNCTION("""COMPUTED_VALUE"""),"MEDELLÍN")</f>
        <v>MEDELLÍN</v>
      </c>
      <c r="D5030" s="15" t="str">
        <f>IFERROR(__xludf.DUMMYFUNCTION("""COMPUTED_VALUE"""),"BOGOTÁ")</f>
        <v>BOGOTÁ</v>
      </c>
      <c r="E5030" s="15" t="str">
        <f>IFERROR(__xludf.DUMMYFUNCTION("""COMPUTED_VALUE"""),"Evamazzita")</f>
        <v>Evamazzita</v>
      </c>
      <c r="F5030" s="17" t="str">
        <f>IFERROR(__xludf.DUMMYFUNCTION("""COMPUTED_VALUE"""),"Cll 7 # 18 115 / Apto 802 / EDIFICIO AZUL PACIFICO")</f>
        <v>Cll 7 # 18 115 / Apto 802 / EDIFICIO AZUL PACIFICO</v>
      </c>
      <c r="G5030" s="15" t="str">
        <f>IFERROR(__xludf.DUMMYFUNCTION("""COMPUTED_VALUE"""),"LAURA SANTANA")</f>
        <v>LAURA SANTANA</v>
      </c>
      <c r="H5030" s="16">
        <f>IFERROR(__xludf.DUMMYFUNCTION("""COMPUTED_VALUE"""),13720.0)</f>
        <v>13720</v>
      </c>
      <c r="I5030" s="18">
        <f>IFERROR(__xludf.DUMMYFUNCTION("""COMPUTED_VALUE"""),1.0)</f>
        <v>1</v>
      </c>
      <c r="J5030" s="18">
        <f>IFERROR(__xludf.DUMMYFUNCTION("""COMPUTED_VALUE"""),1.0)</f>
        <v>1</v>
      </c>
      <c r="K5030" s="18">
        <f>IFERROR(__xludf.DUMMYFUNCTION("""COMPUTED_VALUE"""),1.0)</f>
        <v>1</v>
      </c>
      <c r="L5030" s="17">
        <f>IFERROR(__xludf.DUMMYFUNCTION("""COMPUTED_VALUE"""),3.187441575E9)</f>
        <v>3187441575</v>
      </c>
      <c r="M5030" s="17" t="str">
        <f>IFERROR(__xludf.DUMMYFUNCTION("""COMPUTED_VALUE"""),"#REF!")</f>
        <v>#REF!</v>
      </c>
      <c r="N5030" s="17"/>
      <c r="O5030" s="17"/>
      <c r="P5030" s="17" t="b">
        <f>IFERROR(__xludf.DUMMYFUNCTION("""COMPUTED_VALUE"""),FALSE)</f>
        <v>0</v>
      </c>
      <c r="Q5030" s="20" t="str">
        <f>IFERROR(__xludf.DUMMYFUNCTION("""COMPUTED_VALUE"""),"")</f>
        <v/>
      </c>
      <c r="R5030" s="21" t="str">
        <f>IFERROR(__xludf.DUMMYFUNCTION("""COMPUTED_VALUE"""),"https://drive.google.com/file/d/1cAdyZknlUMCWooMCqPXMDKEmRRL3MF-1/view?usp=drivesdk")</f>
        <v>https://drive.google.com/file/d/1cAdyZknlUMCWooMCqPXMDKEmRRL3MF-1/view?usp=drivesdk</v>
      </c>
    </row>
    <row r="5031">
      <c r="A5031" s="15">
        <f>IFERROR(__xludf.DUMMYFUNCTION("""COMPUTED_VALUE"""),45147.0)</f>
        <v>45147</v>
      </c>
      <c r="B5031" s="16" t="str">
        <f>IFERROR(__xludf.DUMMYFUNCTION("""COMPUTED_VALUE"""),"Santiago Garces Restrepo")</f>
        <v>Santiago Garces Restrepo</v>
      </c>
      <c r="C5031" s="15" t="str">
        <f>IFERROR(__xludf.DUMMYFUNCTION("""COMPUTED_VALUE"""),"MEDELLÍN")</f>
        <v>MEDELLÍN</v>
      </c>
      <c r="D5031" s="15" t="str">
        <f>IFERROR(__xludf.DUMMYFUNCTION("""COMPUTED_VALUE"""),"BOGOTÁ")</f>
        <v>BOGOTÁ</v>
      </c>
      <c r="E5031" s="15" t="str">
        <f>IFERROR(__xludf.DUMMYFUNCTION("""COMPUTED_VALUE"""),"Evamazzita")</f>
        <v>Evamazzita</v>
      </c>
      <c r="F5031" s="17" t="str">
        <f>IFERROR(__xludf.DUMMYFUNCTION("""COMPUTED_VALUE"""),"CR 15 BA# 34D 44 / Int 201 / BUENOS AIRES")</f>
        <v>CR 15 BA# 34D 44 / Int 201 / BUENOS AIRES</v>
      </c>
      <c r="G5031" s="15" t="str">
        <f>IFERROR(__xludf.DUMMYFUNCTION("""COMPUTED_VALUE"""),"DANIELA BEDOYA BLANDON")</f>
        <v>DANIELA BEDOYA BLANDON</v>
      </c>
      <c r="H5031" s="16">
        <f>IFERROR(__xludf.DUMMYFUNCTION("""COMPUTED_VALUE"""),13726.0)</f>
        <v>13726</v>
      </c>
      <c r="I5031" s="18">
        <f>IFERROR(__xludf.DUMMYFUNCTION("""COMPUTED_VALUE"""),16.0)</f>
        <v>16</v>
      </c>
      <c r="J5031" s="18">
        <f>IFERROR(__xludf.DUMMYFUNCTION("""COMPUTED_VALUE"""),38.0)</f>
        <v>38</v>
      </c>
      <c r="K5031" s="18">
        <f>IFERROR(__xludf.DUMMYFUNCTION("""COMPUTED_VALUE"""),59.0)</f>
        <v>59</v>
      </c>
      <c r="L5031" s="17">
        <f>IFERROR(__xludf.DUMMYFUNCTION("""COMPUTED_VALUE"""),3.14672822E9)</f>
        <v>3146728220</v>
      </c>
      <c r="M5031" s="17" t="str">
        <f>IFERROR(__xludf.DUMMYFUNCTION("""COMPUTED_VALUE"""),"#REF!")</f>
        <v>#REF!</v>
      </c>
      <c r="N5031" s="17"/>
      <c r="O5031" s="17"/>
      <c r="P5031" s="17" t="b">
        <f>IFERROR(__xludf.DUMMYFUNCTION("""COMPUTED_VALUE"""),FALSE)</f>
        <v>0</v>
      </c>
      <c r="Q5031" s="20" t="str">
        <f>IFERROR(__xludf.DUMMYFUNCTION("""COMPUTED_VALUE"""),"")</f>
        <v/>
      </c>
      <c r="R5031" s="22" t="str">
        <f>IFERROR(__xludf.DUMMYFUNCTION("""COMPUTED_VALUE"""),"")</f>
        <v/>
      </c>
    </row>
    <row r="5032">
      <c r="A5032" s="15">
        <f>IFERROR(__xludf.DUMMYFUNCTION("""COMPUTED_VALUE"""),45147.0)</f>
        <v>45147</v>
      </c>
      <c r="B5032" s="16" t="str">
        <f>IFERROR(__xludf.DUMMYFUNCTION("""COMPUTED_VALUE"""),"Santiago Garces Restrepo")</f>
        <v>Santiago Garces Restrepo</v>
      </c>
      <c r="C5032" s="15" t="str">
        <f>IFERROR(__xludf.DUMMYFUNCTION("""COMPUTED_VALUE"""),"MEDELLÍN")</f>
        <v>MEDELLÍN</v>
      </c>
      <c r="D5032" s="15" t="str">
        <f>IFERROR(__xludf.DUMMYFUNCTION("""COMPUTED_VALUE"""),"BOGOTÁ")</f>
        <v>BOGOTÁ</v>
      </c>
      <c r="E5032" s="15" t="str">
        <f>IFERROR(__xludf.DUMMYFUNCTION("""COMPUTED_VALUE"""),"Evamazzita")</f>
        <v>Evamazzita</v>
      </c>
      <c r="F5032" s="17" t="str">
        <f>IFERROR(__xludf.DUMMYFUNCTION("""COMPUTED_VALUE"""),"Cr 35 a 77 sur 113 / To 1 Apto 2104 / SABANETA URBANIZACION ALAMEDA - LOMA DE SAN JOSE")</f>
        <v>Cr 35 a 77 sur 113 / To 1 Apto 2104 / SABANETA URBANIZACION ALAMEDA - LOMA DE SAN JOSE</v>
      </c>
      <c r="G5032" s="15" t="str">
        <f>IFERROR(__xludf.DUMMYFUNCTION("""COMPUTED_VALUE"""),"JHANNY ANDREA BLANQUICET FUENTES")</f>
        <v>JHANNY ANDREA BLANQUICET FUENTES</v>
      </c>
      <c r="H5032" s="16">
        <f>IFERROR(__xludf.DUMMYFUNCTION("""COMPUTED_VALUE"""),13723.0)</f>
        <v>13723</v>
      </c>
      <c r="I5032" s="18">
        <f>IFERROR(__xludf.DUMMYFUNCTION("""COMPUTED_VALUE"""),1.0)</f>
        <v>1</v>
      </c>
      <c r="J5032" s="18">
        <f>IFERROR(__xludf.DUMMYFUNCTION("""COMPUTED_VALUE"""),1.0)</f>
        <v>1</v>
      </c>
      <c r="K5032" s="18">
        <f>IFERROR(__xludf.DUMMYFUNCTION("""COMPUTED_VALUE"""),1.0)</f>
        <v>1</v>
      </c>
      <c r="L5032" s="17">
        <f>IFERROR(__xludf.DUMMYFUNCTION("""COMPUTED_VALUE"""),3.137179157E9)</f>
        <v>3137179157</v>
      </c>
      <c r="M5032" s="17" t="str">
        <f>IFERROR(__xludf.DUMMYFUNCTION("""COMPUTED_VALUE"""),"#REF!")</f>
        <v>#REF!</v>
      </c>
      <c r="N5032" s="17"/>
      <c r="O5032" s="17"/>
      <c r="P5032" s="17" t="b">
        <f>IFERROR(__xludf.DUMMYFUNCTION("""COMPUTED_VALUE"""),FALSE)</f>
        <v>0</v>
      </c>
      <c r="Q5032" s="20" t="str">
        <f>IFERROR(__xludf.DUMMYFUNCTION("""COMPUTED_VALUE"""),"")</f>
        <v/>
      </c>
      <c r="R5032" s="21" t="str">
        <f>IFERROR(__xludf.DUMMYFUNCTION("""COMPUTED_VALUE"""),"https://drive.google.com/file/d/1PrghWfv1VNCl4WS9BTfc122cl13lbYye/view?usp=drivesdk")</f>
        <v>https://drive.google.com/file/d/1PrghWfv1VNCl4WS9BTfc122cl13lbYye/view?usp=drivesdk</v>
      </c>
    </row>
    <row r="5033">
      <c r="A5033" s="15">
        <f>IFERROR(__xludf.DUMMYFUNCTION("""COMPUTED_VALUE"""),45147.0)</f>
        <v>45147</v>
      </c>
      <c r="B5033" s="16" t="str">
        <f>IFERROR(__xludf.DUMMYFUNCTION("""COMPUTED_VALUE"""),"Santiago Garces Restrepo")</f>
        <v>Santiago Garces Restrepo</v>
      </c>
      <c r="C5033" s="15" t="str">
        <f>IFERROR(__xludf.DUMMYFUNCTION("""COMPUTED_VALUE"""),"MEDELLÍN")</f>
        <v>MEDELLÍN</v>
      </c>
      <c r="D5033" s="15" t="str">
        <f>IFERROR(__xludf.DUMMYFUNCTION("""COMPUTED_VALUE"""),"BOGOTÁ")</f>
        <v>BOGOTÁ</v>
      </c>
      <c r="E5033" s="15" t="str">
        <f>IFERROR(__xludf.DUMMYFUNCTION("""COMPUTED_VALUE"""),"Evamazzita")</f>
        <v>Evamazzita</v>
      </c>
      <c r="F5033" s="17" t="str">
        <f>IFERROR(__xludf.DUMMYFUNCTION("""COMPUTED_VALUE"""),"Cr 50 g #12 sur 91 / ITAGUI / N/A")</f>
        <v>Cr 50 g #12 sur 91 / ITAGUI / N/A</v>
      </c>
      <c r="G5033" s="15" t="str">
        <f>IFERROR(__xludf.DUMMYFUNCTION("""COMPUTED_VALUE"""),"DIANA RIOS")</f>
        <v>DIANA RIOS</v>
      </c>
      <c r="H5033" s="16">
        <f>IFERROR(__xludf.DUMMYFUNCTION("""COMPUTED_VALUE"""),13717.0)</f>
        <v>13717</v>
      </c>
      <c r="I5033" s="18">
        <f>IFERROR(__xludf.DUMMYFUNCTION("""COMPUTED_VALUE"""),1.0)</f>
        <v>1</v>
      </c>
      <c r="J5033" s="18">
        <f>IFERROR(__xludf.DUMMYFUNCTION("""COMPUTED_VALUE"""),1.0)</f>
        <v>1</v>
      </c>
      <c r="K5033" s="18">
        <f>IFERROR(__xludf.DUMMYFUNCTION("""COMPUTED_VALUE"""),1.0)</f>
        <v>1</v>
      </c>
      <c r="L5033" s="17">
        <f>IFERROR(__xludf.DUMMYFUNCTION("""COMPUTED_VALUE"""),3.004385151E9)</f>
        <v>3004385151</v>
      </c>
      <c r="M5033" s="17" t="str">
        <f>IFERROR(__xludf.DUMMYFUNCTION("""COMPUTED_VALUE"""),"#REF!")</f>
        <v>#REF!</v>
      </c>
      <c r="N5033" s="17"/>
      <c r="O5033" s="17"/>
      <c r="P5033" s="17" t="b">
        <f>IFERROR(__xludf.DUMMYFUNCTION("""COMPUTED_VALUE"""),FALSE)</f>
        <v>0</v>
      </c>
      <c r="Q5033" s="20" t="str">
        <f>IFERROR(__xludf.DUMMYFUNCTION("""COMPUTED_VALUE"""),"")</f>
        <v/>
      </c>
      <c r="R5033" s="22" t="str">
        <f>IFERROR(__xludf.DUMMYFUNCTION("""COMPUTED_VALUE"""),"")</f>
        <v/>
      </c>
    </row>
    <row r="5034">
      <c r="A5034" s="15">
        <f>IFERROR(__xludf.DUMMYFUNCTION("""COMPUTED_VALUE"""),45147.0)</f>
        <v>45147</v>
      </c>
      <c r="B5034" s="16" t="str">
        <f>IFERROR(__xludf.DUMMYFUNCTION("""COMPUTED_VALUE"""),"Santiago Garces Restrepo")</f>
        <v>Santiago Garces Restrepo</v>
      </c>
      <c r="C5034" s="15" t="str">
        <f>IFERROR(__xludf.DUMMYFUNCTION("""COMPUTED_VALUE"""),"MEDELLÍN")</f>
        <v>MEDELLÍN</v>
      </c>
      <c r="D5034" s="15" t="str">
        <f>IFERROR(__xludf.DUMMYFUNCTION("""COMPUTED_VALUE"""),"BOGOTÁ")</f>
        <v>BOGOTÁ</v>
      </c>
      <c r="E5034" s="15" t="str">
        <f>IFERROR(__xludf.DUMMYFUNCTION("""COMPUTED_VALUE"""),"Evamazzita")</f>
        <v>Evamazzita</v>
      </c>
      <c r="F5034" s="17" t="str">
        <f>IFERROR(__xludf.DUMMYFUNCTION("""COMPUTED_VALUE"""),"Cr 71 a # 20 a 77 / Apto 101 / EDIFICIO ZATE - BELEN SAN BERNARDO")</f>
        <v>Cr 71 a # 20 a 77 / Apto 101 / EDIFICIO ZATE - BELEN SAN BERNARDO</v>
      </c>
      <c r="G5034" s="15" t="str">
        <f>IFERROR(__xludf.DUMMYFUNCTION("""COMPUTED_VALUE"""),"MARIA EUGENIA MONTOYA")</f>
        <v>MARIA EUGENIA MONTOYA</v>
      </c>
      <c r="H5034" s="16">
        <f>IFERROR(__xludf.DUMMYFUNCTION("""COMPUTED_VALUE"""),13721.0)</f>
        <v>13721</v>
      </c>
      <c r="I5034" s="18">
        <f>IFERROR(__xludf.DUMMYFUNCTION("""COMPUTED_VALUE"""),1.0)</f>
        <v>1</v>
      </c>
      <c r="J5034" s="18">
        <f>IFERROR(__xludf.DUMMYFUNCTION("""COMPUTED_VALUE"""),1.0)</f>
        <v>1</v>
      </c>
      <c r="K5034" s="18">
        <f>IFERROR(__xludf.DUMMYFUNCTION("""COMPUTED_VALUE"""),1.0)</f>
        <v>1</v>
      </c>
      <c r="L5034" s="17">
        <f>IFERROR(__xludf.DUMMYFUNCTION("""COMPUTED_VALUE"""),3.122003086E9)</f>
        <v>3122003086</v>
      </c>
      <c r="M5034" s="17" t="str">
        <f>IFERROR(__xludf.DUMMYFUNCTION("""COMPUTED_VALUE"""),"#REF!")</f>
        <v>#REF!</v>
      </c>
      <c r="N5034" s="17"/>
      <c r="O5034" s="17"/>
      <c r="P5034" s="17" t="b">
        <f>IFERROR(__xludf.DUMMYFUNCTION("""COMPUTED_VALUE"""),FALSE)</f>
        <v>0</v>
      </c>
      <c r="Q5034" s="20" t="str">
        <f>IFERROR(__xludf.DUMMYFUNCTION("""COMPUTED_VALUE"""),"")</f>
        <v/>
      </c>
      <c r="R5034" s="21" t="str">
        <f>IFERROR(__xludf.DUMMYFUNCTION("""COMPUTED_VALUE"""),"https://drive.google.com/file/d/1OXUyakb4HKG__UZ75yNGOO1KmGRqDcJG/view?usp=drivesdk")</f>
        <v>https://drive.google.com/file/d/1OXUyakb4HKG__UZ75yNGOO1KmGRqDcJG/view?usp=drivesdk</v>
      </c>
    </row>
    <row r="5035">
      <c r="A5035" s="15">
        <f>IFERROR(__xludf.DUMMYFUNCTION("""COMPUTED_VALUE"""),45147.0)</f>
        <v>45147</v>
      </c>
      <c r="B5035" s="16" t="str">
        <f>IFERROR(__xludf.DUMMYFUNCTION("""COMPUTED_VALUE"""),"Santiago Garces Restrepo")</f>
        <v>Santiago Garces Restrepo</v>
      </c>
      <c r="C5035" s="15" t="str">
        <f>IFERROR(__xludf.DUMMYFUNCTION("""COMPUTED_VALUE"""),"MEDELLÍN")</f>
        <v>MEDELLÍN</v>
      </c>
      <c r="D5035" s="15" t="str">
        <f>IFERROR(__xludf.DUMMYFUNCTION("""COMPUTED_VALUE"""),"BOGOTÁ")</f>
        <v>BOGOTÁ</v>
      </c>
      <c r="E5035" s="15" t="str">
        <f>IFERROR(__xludf.DUMMYFUNCTION("""COMPUTED_VALUE"""),"Ins. Alimento Vital")</f>
        <v>Ins. Alimento Vital</v>
      </c>
      <c r="F5035" s="17" t="str">
        <f>IFERROR(__xludf.DUMMYFUNCTION("""COMPUTED_VALUE"""),"CR 44 26 27 / BODEGA / POBLADO")</f>
        <v>CR 44 26 27 / BODEGA / POBLADO</v>
      </c>
      <c r="G5035" s="15" t="str">
        <f>IFERROR(__xludf.DUMMYFUNCTION("""COMPUTED_VALUE"""),"VELOCITY MEDELLIN")</f>
        <v>VELOCITY MEDELLIN</v>
      </c>
      <c r="H5035" s="16">
        <f>IFERROR(__xludf.DUMMYFUNCTION("""COMPUTED_VALUE"""),13687.0)</f>
        <v>13687</v>
      </c>
      <c r="I5035" s="18">
        <f>IFERROR(__xludf.DUMMYFUNCTION("""COMPUTED_VALUE"""),1.0)</f>
        <v>1</v>
      </c>
      <c r="J5035" s="18">
        <f>IFERROR(__xludf.DUMMYFUNCTION("""COMPUTED_VALUE"""),1.0)</f>
        <v>1</v>
      </c>
      <c r="K5035" s="18">
        <f>IFERROR(__xludf.DUMMYFUNCTION("""COMPUTED_VALUE"""),1.0)</f>
        <v>1</v>
      </c>
      <c r="L5035" s="17">
        <f>IFERROR(__xludf.DUMMYFUNCTION("""COMPUTED_VALUE"""),3.214683372E9)</f>
        <v>3214683372</v>
      </c>
      <c r="M5035" s="17" t="str">
        <f>IFERROR(__xludf.DUMMYFUNCTION("""COMPUTED_VALUE"""),"#REF!")</f>
        <v>#REF!</v>
      </c>
      <c r="N5035" s="17"/>
      <c r="O5035" s="17"/>
      <c r="P5035" s="17" t="b">
        <f>IFERROR(__xludf.DUMMYFUNCTION("""COMPUTED_VALUE"""),FALSE)</f>
        <v>0</v>
      </c>
      <c r="Q5035" s="20" t="str">
        <f>IFERROR(__xludf.DUMMYFUNCTION("""COMPUTED_VALUE"""),"")</f>
        <v/>
      </c>
      <c r="R5035" s="22" t="str">
        <f>IFERROR(__xludf.DUMMYFUNCTION("""COMPUTED_VALUE"""),"")</f>
        <v/>
      </c>
    </row>
    <row r="5036">
      <c r="A5036" s="15">
        <f>IFERROR(__xludf.DUMMYFUNCTION("""COMPUTED_VALUE"""),45147.0)</f>
        <v>45147</v>
      </c>
      <c r="B5036" s="16" t="str">
        <f>IFERROR(__xludf.DUMMYFUNCTION("""COMPUTED_VALUE"""),"Santiago Garces Restrepo")</f>
        <v>Santiago Garces Restrepo</v>
      </c>
      <c r="C5036" s="15" t="str">
        <f>IFERROR(__xludf.DUMMYFUNCTION("""COMPUTED_VALUE"""),"MEDELLÍN")</f>
        <v>MEDELLÍN</v>
      </c>
      <c r="D5036" s="15" t="str">
        <f>IFERROR(__xludf.DUMMYFUNCTION("""COMPUTED_VALUE"""),"BOGOTÁ")</f>
        <v>BOGOTÁ</v>
      </c>
      <c r="E5036" s="15" t="str">
        <f>IFERROR(__xludf.DUMMYFUNCTION("""COMPUTED_VALUE"""),"Loomifoods")</f>
        <v>Loomifoods</v>
      </c>
      <c r="F5036" s="17" t="str">
        <f>IFERROR(__xludf.DUMMYFUNCTION("""COMPUTED_VALUE"""),"Cra 15 BA no. 34d - 44 / Interior 201 / Medellin")</f>
        <v>Cra 15 BA no. 34d - 44 / Interior 201 / Medellin</v>
      </c>
      <c r="G5036" s="15" t="str">
        <f>IFERROR(__xludf.DUMMYFUNCTION("""COMPUTED_VALUE"""),"Daniela Bedoya")</f>
        <v>Daniela Bedoya</v>
      </c>
      <c r="H5036" s="16">
        <f>IFERROR(__xludf.DUMMYFUNCTION("""COMPUTED_VALUE"""),13692.0)</f>
        <v>13692</v>
      </c>
      <c r="I5036" s="18">
        <f>IFERROR(__xludf.DUMMYFUNCTION("""COMPUTED_VALUE"""),19.0)</f>
        <v>19</v>
      </c>
      <c r="J5036" s="18">
        <f>IFERROR(__xludf.DUMMYFUNCTION("""COMPUTED_VALUE"""),5.0)</f>
        <v>5</v>
      </c>
      <c r="K5036" s="18">
        <f>IFERROR(__xludf.DUMMYFUNCTION("""COMPUTED_VALUE"""),16.0)</f>
        <v>16</v>
      </c>
      <c r="L5036" s="17">
        <f>IFERROR(__xludf.DUMMYFUNCTION("""COMPUTED_VALUE"""),3.14672822E9)</f>
        <v>3146728220</v>
      </c>
      <c r="M5036" s="17" t="str">
        <f>IFERROR(__xludf.DUMMYFUNCTION("""COMPUTED_VALUE"""),"#REF!")</f>
        <v>#REF!</v>
      </c>
      <c r="N5036" s="17"/>
      <c r="O5036" s="17"/>
      <c r="P5036" s="17" t="b">
        <f>IFERROR(__xludf.DUMMYFUNCTION("""COMPUTED_VALUE"""),TRUE)</f>
        <v>1</v>
      </c>
      <c r="Q5036" s="20">
        <f>IFERROR(__xludf.DUMMYFUNCTION("""COMPUTED_VALUE"""),45148.96422659722)</f>
        <v>45148.96423</v>
      </c>
      <c r="R5036" s="22" t="str">
        <f>IFERROR(__xludf.DUMMYFUNCTION("""COMPUTED_VALUE"""),"")</f>
        <v/>
      </c>
    </row>
    <row r="5037">
      <c r="A5037" s="15">
        <f>IFERROR(__xludf.DUMMYFUNCTION("""COMPUTED_VALUE"""),45147.0)</f>
        <v>45147</v>
      </c>
      <c r="B5037" s="16" t="str">
        <f>IFERROR(__xludf.DUMMYFUNCTION("""COMPUTED_VALUE"""),"Santiago Garces Restrepo")</f>
        <v>Santiago Garces Restrepo</v>
      </c>
      <c r="C5037" s="15" t="str">
        <f>IFERROR(__xludf.DUMMYFUNCTION("""COMPUTED_VALUE"""),"MEDELLÍN")</f>
        <v>MEDELLÍN</v>
      </c>
      <c r="D5037" s="15" t="str">
        <f>IFERROR(__xludf.DUMMYFUNCTION("""COMPUTED_VALUE"""),"BOGOTÁ")</f>
        <v>BOGOTÁ</v>
      </c>
      <c r="E5037" s="15" t="str">
        <f>IFERROR(__xludf.DUMMYFUNCTION("""COMPUTED_VALUE"""),"MAI ALIMENTOS S.A.S")</f>
        <v>MAI ALIMENTOS S.A.S</v>
      </c>
      <c r="F5037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5037" s="15" t="str">
        <f>IFERROR(__xludf.DUMMYFUNCTION("""COMPUTED_VALUE"""),"Novaventas")</f>
        <v>Novaventas</v>
      </c>
      <c r="H5037" s="16">
        <f>IFERROR(__xludf.DUMMYFUNCTION("""COMPUTED_VALUE"""),13747.0)</f>
        <v>13747</v>
      </c>
      <c r="I5037" s="18">
        <f>IFERROR(__xludf.DUMMYFUNCTION("""COMPUTED_VALUE"""),35.0)</f>
        <v>35</v>
      </c>
      <c r="J5037" s="18">
        <f>IFERROR(__xludf.DUMMYFUNCTION("""COMPUTED_VALUE"""),17.0)</f>
        <v>17</v>
      </c>
      <c r="K5037" s="18">
        <f>IFERROR(__xludf.DUMMYFUNCTION("""COMPUTED_VALUE"""),13.0)</f>
        <v>13</v>
      </c>
      <c r="L5037" s="17">
        <f>IFERROR(__xludf.DUMMYFUNCTION("""COMPUTED_VALUE"""),3.187351593E9)</f>
        <v>3187351593</v>
      </c>
      <c r="M5037" s="17" t="str">
        <f>IFERROR(__xludf.DUMMYFUNCTION("""COMPUTED_VALUE"""),"#REF!")</f>
        <v>#REF!</v>
      </c>
      <c r="N5037" s="17"/>
      <c r="O5037" s="17"/>
      <c r="P5037" s="17" t="b">
        <f>IFERROR(__xludf.DUMMYFUNCTION("""COMPUTED_VALUE"""),TRUE)</f>
        <v>1</v>
      </c>
      <c r="Q5037" s="20">
        <f>IFERROR(__xludf.DUMMYFUNCTION("""COMPUTED_VALUE"""),45148.964262511574)</f>
        <v>45148.96426</v>
      </c>
      <c r="R5037" s="22" t="str">
        <f>IFERROR(__xludf.DUMMYFUNCTION("""COMPUTED_VALUE"""),"")</f>
        <v/>
      </c>
    </row>
    <row r="5038">
      <c r="A5038" s="15">
        <f>IFERROR(__xludf.DUMMYFUNCTION("""COMPUTED_VALUE"""),45147.0)</f>
        <v>45147</v>
      </c>
      <c r="B5038" s="16" t="str">
        <f>IFERROR(__xludf.DUMMYFUNCTION("""COMPUTED_VALUE"""),"Santiago Garces Restrepo")</f>
        <v>Santiago Garces Restrepo</v>
      </c>
      <c r="C5038" s="15" t="str">
        <f>IFERROR(__xludf.DUMMYFUNCTION("""COMPUTED_VALUE"""),"MEDELLÍN")</f>
        <v>MEDELLÍN</v>
      </c>
      <c r="D5038" s="15" t="str">
        <f>IFERROR(__xludf.DUMMYFUNCTION("""COMPUTED_VALUE"""),"BOGOTÁ")</f>
        <v>BOGOTÁ</v>
      </c>
      <c r="E5038" s="15" t="str">
        <f>IFERROR(__xludf.DUMMYFUNCTION("""COMPUTED_VALUE"""),"Pan de Waffle")</f>
        <v>Pan de Waffle</v>
      </c>
      <c r="F5038" s="17" t="str">
        <f>IFERROR(__xludf.DUMMYFUNCTION("""COMPUTED_VALUE"""),"Calle 15 # 37 a - 18 Apto 1202 / Calle 15 # 37 a - 18 Apto 1202 / Calle 15 # 37 a - 18 Apto 1202")</f>
        <v>Calle 15 # 37 a - 18 Apto 1202 / Calle 15 # 37 a - 18 Apto 1202 / Calle 15 # 37 a - 18 Apto 1202</v>
      </c>
      <c r="G5038" s="15" t="str">
        <f>IFERROR(__xludf.DUMMYFUNCTION("""COMPUTED_VALUE"""),"ADRIANA WOLFF")</f>
        <v>ADRIANA WOLFF</v>
      </c>
      <c r="H5038" s="16">
        <f>IFERROR(__xludf.DUMMYFUNCTION("""COMPUTED_VALUE"""),13735.0)</f>
        <v>13735</v>
      </c>
      <c r="I5038" s="18">
        <f>IFERROR(__xludf.DUMMYFUNCTION("""COMPUTED_VALUE"""),40.0)</f>
        <v>40</v>
      </c>
      <c r="J5038" s="18">
        <f>IFERROR(__xludf.DUMMYFUNCTION("""COMPUTED_VALUE"""),40.0)</f>
        <v>40</v>
      </c>
      <c r="K5038" s="18">
        <f>IFERROR(__xludf.DUMMYFUNCTION("""COMPUTED_VALUE"""),30.0)</f>
        <v>30</v>
      </c>
      <c r="L5038" s="17">
        <f>IFERROR(__xludf.DUMMYFUNCTION("""COMPUTED_VALUE"""),3.042622926E9)</f>
        <v>3042622926</v>
      </c>
      <c r="M5038" s="17" t="str">
        <f>IFERROR(__xludf.DUMMYFUNCTION("""COMPUTED_VALUE"""),"#REF!")</f>
        <v>#REF!</v>
      </c>
      <c r="N5038" s="17"/>
      <c r="O5038" s="17"/>
      <c r="P5038" s="17" t="b">
        <f>IFERROR(__xludf.DUMMYFUNCTION("""COMPUTED_VALUE"""),TRUE)</f>
        <v>1</v>
      </c>
      <c r="Q5038" s="20">
        <f>IFERROR(__xludf.DUMMYFUNCTION("""COMPUTED_VALUE"""),45148.964262511574)</f>
        <v>45148.96426</v>
      </c>
      <c r="R5038" s="22" t="str">
        <f>IFERROR(__xludf.DUMMYFUNCTION("""COMPUTED_VALUE"""),"")</f>
        <v/>
      </c>
    </row>
    <row r="5039">
      <c r="A5039" s="15">
        <f>IFERROR(__xludf.DUMMYFUNCTION("""COMPUTED_VALUE"""),45147.0)</f>
        <v>45147</v>
      </c>
      <c r="B5039" s="16" t="str">
        <f>IFERROR(__xludf.DUMMYFUNCTION("""COMPUTED_VALUE"""),"Santiago Garces Restrepo")</f>
        <v>Santiago Garces Restrepo</v>
      </c>
      <c r="C5039" s="15" t="str">
        <f>IFERROR(__xludf.DUMMYFUNCTION("""COMPUTED_VALUE"""),"MEDELLÍN")</f>
        <v>MEDELLÍN</v>
      </c>
      <c r="D5039" s="15" t="str">
        <f>IFERROR(__xludf.DUMMYFUNCTION("""COMPUTED_VALUE"""),"BOGOTÁ")</f>
        <v>BOGOTÁ</v>
      </c>
      <c r="E5039" s="15" t="str">
        <f>IFERROR(__xludf.DUMMYFUNCTION("""COMPUTED_VALUE"""),"Pan de Waffle")</f>
        <v>Pan de Waffle</v>
      </c>
      <c r="F5039" s="17" t="str">
        <f>IFERROR(__xludf.DUMMYFUNCTION("""COMPUTED_VALUE"""),"Calle 16 # 41 - 51 Malawi Apto 2202  / Calle 16 # 41 - 51 Malawi Apto 2202  / Calle 16 # 41 - 51 Malawi Apto 2202")</f>
        <v>Calle 16 # 41 - 51 Malawi Apto 2202  / Calle 16 # 41 - 51 Malawi Apto 2202  / Calle 16 # 41 - 51 Malawi Apto 2202</v>
      </c>
      <c r="G5039" s="15" t="str">
        <f>IFERROR(__xludf.DUMMYFUNCTION("""COMPUTED_VALUE"""),"SUSANA OSORIO")</f>
        <v>SUSANA OSORIO</v>
      </c>
      <c r="H5039" s="16">
        <f>IFERROR(__xludf.DUMMYFUNCTION("""COMPUTED_VALUE"""),13741.0)</f>
        <v>13741</v>
      </c>
      <c r="I5039" s="18">
        <f>IFERROR(__xludf.DUMMYFUNCTION("""COMPUTED_VALUE"""),40.0)</f>
        <v>40</v>
      </c>
      <c r="J5039" s="18">
        <f>IFERROR(__xludf.DUMMYFUNCTION("""COMPUTED_VALUE"""),30.0)</f>
        <v>30</v>
      </c>
      <c r="K5039" s="18">
        <f>IFERROR(__xludf.DUMMYFUNCTION("""COMPUTED_VALUE"""),30.0)</f>
        <v>30</v>
      </c>
      <c r="L5039" s="17">
        <f>IFERROR(__xludf.DUMMYFUNCTION("""COMPUTED_VALUE"""),3.043759954E9)</f>
        <v>3043759954</v>
      </c>
      <c r="M5039" s="17" t="str">
        <f>IFERROR(__xludf.DUMMYFUNCTION("""COMPUTED_VALUE"""),"#REF!")</f>
        <v>#REF!</v>
      </c>
      <c r="N5039" s="17"/>
      <c r="O5039" s="17"/>
      <c r="P5039" s="17" t="b">
        <f>IFERROR(__xludf.DUMMYFUNCTION("""COMPUTED_VALUE"""),FALSE)</f>
        <v>0</v>
      </c>
      <c r="Q5039" s="20" t="str">
        <f>IFERROR(__xludf.DUMMYFUNCTION("""COMPUTED_VALUE"""),"")</f>
        <v/>
      </c>
      <c r="R5039" s="21" t="str">
        <f>IFERROR(__xludf.DUMMYFUNCTION("""COMPUTED_VALUE"""),"https://drive.google.com/file/d/1b1cV5z42eq8zAe7zEawLmf9SeAiC4HDZ/view?usp=drivesdk")</f>
        <v>https://drive.google.com/file/d/1b1cV5z42eq8zAe7zEawLmf9SeAiC4HDZ/view?usp=drivesdk</v>
      </c>
    </row>
    <row r="5040">
      <c r="A5040" s="15">
        <f>IFERROR(__xludf.DUMMYFUNCTION("""COMPUTED_VALUE"""),45147.0)</f>
        <v>45147</v>
      </c>
      <c r="B5040" s="16" t="str">
        <f>IFERROR(__xludf.DUMMYFUNCTION("""COMPUTED_VALUE"""),"Santiago Garces Restrepo")</f>
        <v>Santiago Garces Restrepo</v>
      </c>
      <c r="C5040" s="15" t="str">
        <f>IFERROR(__xludf.DUMMYFUNCTION("""COMPUTED_VALUE"""),"MEDELLÍN")</f>
        <v>MEDELLÍN</v>
      </c>
      <c r="D5040" s="15" t="str">
        <f>IFERROR(__xludf.DUMMYFUNCTION("""COMPUTED_VALUE"""),"BOGOTÁ")</f>
        <v>BOGOTÁ</v>
      </c>
      <c r="E5040" s="15" t="str">
        <f>IFERROR(__xludf.DUMMYFUNCTION("""COMPUTED_VALUE"""),"Pan de Waffle")</f>
        <v>Pan de Waffle</v>
      </c>
      <c r="F5040" s="17" t="str">
        <f>IFERROR(__xludf.DUMMYFUNCTION("""COMPUTED_VALUE"""),"Calle 17 # 27a - 109 Apto 505 / Calle 17 # 27a - 109 Apto 505 / Calle 17 # 27a - 109 Apto 505")</f>
        <v>Calle 17 # 27a - 109 Apto 505 / Calle 17 # 27a - 109 Apto 505 / Calle 17 # 27a - 109 Apto 505</v>
      </c>
      <c r="G5040" s="15" t="str">
        <f>IFERROR(__xludf.DUMMYFUNCTION("""COMPUTED_VALUE"""),"MARCELA")</f>
        <v>MARCELA</v>
      </c>
      <c r="H5040" s="16">
        <f>IFERROR(__xludf.DUMMYFUNCTION("""COMPUTED_VALUE"""),13742.0)</f>
        <v>13742</v>
      </c>
      <c r="I5040" s="18">
        <f>IFERROR(__xludf.DUMMYFUNCTION("""COMPUTED_VALUE"""),50.0)</f>
        <v>50</v>
      </c>
      <c r="J5040" s="18">
        <f>IFERROR(__xludf.DUMMYFUNCTION("""COMPUTED_VALUE"""),40.0)</f>
        <v>40</v>
      </c>
      <c r="K5040" s="18">
        <f>IFERROR(__xludf.DUMMYFUNCTION("""COMPUTED_VALUE"""),30.0)</f>
        <v>30</v>
      </c>
      <c r="L5040" s="17">
        <f>IFERROR(__xludf.DUMMYFUNCTION("""COMPUTED_VALUE"""),3.017909604E9)</f>
        <v>3017909604</v>
      </c>
      <c r="M5040" s="17" t="str">
        <f>IFERROR(__xludf.DUMMYFUNCTION("""COMPUTED_VALUE"""),"#REF!")</f>
        <v>#REF!</v>
      </c>
      <c r="N5040" s="17"/>
      <c r="O5040" s="17"/>
      <c r="P5040" s="17" t="b">
        <f>IFERROR(__xludf.DUMMYFUNCTION("""COMPUTED_VALUE"""),TRUE)</f>
        <v>1</v>
      </c>
      <c r="Q5040" s="20">
        <f>IFERROR(__xludf.DUMMYFUNCTION("""COMPUTED_VALUE"""),45148.60471071759)</f>
        <v>45148.60471</v>
      </c>
      <c r="R5040" s="21" t="str">
        <f>IFERROR(__xludf.DUMMYFUNCTION("""COMPUTED_VALUE"""),"https://drive.google.com/file/d/1hjYwAllv3uEqJhfVVPIIpGsKIVq6evkd/view?usp=drivesdk")</f>
        <v>https://drive.google.com/file/d/1hjYwAllv3uEqJhfVVPIIpGsKIVq6evkd/view?usp=drivesdk</v>
      </c>
    </row>
    <row r="5041">
      <c r="A5041" s="15">
        <f>IFERROR(__xludf.DUMMYFUNCTION("""COMPUTED_VALUE"""),45147.0)</f>
        <v>45147</v>
      </c>
      <c r="B5041" s="16" t="str">
        <f>IFERROR(__xludf.DUMMYFUNCTION("""COMPUTED_VALUE"""),"Santiago Garces Restrepo")</f>
        <v>Santiago Garces Restrepo</v>
      </c>
      <c r="C5041" s="15" t="str">
        <f>IFERROR(__xludf.DUMMYFUNCTION("""COMPUTED_VALUE"""),"MEDELLÍN")</f>
        <v>MEDELLÍN</v>
      </c>
      <c r="D5041" s="15" t="str">
        <f>IFERROR(__xludf.DUMMYFUNCTION("""COMPUTED_VALUE"""),"BOGOTÁ")</f>
        <v>BOGOTÁ</v>
      </c>
      <c r="E5041" s="15" t="str">
        <f>IFERROR(__xludf.DUMMYFUNCTION("""COMPUTED_VALUE"""),"Top Spun")</f>
        <v>Top Spun</v>
      </c>
      <c r="F5041" s="17" t="str">
        <f>IFERROR(__xludf.DUMMYFUNCTION("""COMPUTED_VALUE"""),"Calle 16A sur # 30 - 33 /  Apto 102  /  Edificio Rincón del Campestre Medellín")</f>
        <v>Calle 16A sur # 30 - 33 /  Apto 102  /  Edificio Rincón del Campestre Medellín</v>
      </c>
      <c r="G5041" s="15" t="str">
        <f>IFERROR(__xludf.DUMMYFUNCTION("""COMPUTED_VALUE"""),"Luz Stella Restrepo")</f>
        <v>Luz Stella Restrepo</v>
      </c>
      <c r="H5041" s="16">
        <f>IFERROR(__xludf.DUMMYFUNCTION("""COMPUTED_VALUE"""),13610.0)</f>
        <v>13610</v>
      </c>
      <c r="I5041" s="18">
        <f>IFERROR(__xludf.DUMMYFUNCTION("""COMPUTED_VALUE"""),20.0)</f>
        <v>20</v>
      </c>
      <c r="J5041" s="18">
        <f>IFERROR(__xludf.DUMMYFUNCTION("""COMPUTED_VALUE"""),10.0)</f>
        <v>10</v>
      </c>
      <c r="K5041" s="18">
        <f>IFERROR(__xludf.DUMMYFUNCTION("""COMPUTED_VALUE"""),40.0)</f>
        <v>40</v>
      </c>
      <c r="L5041" s="17">
        <f>IFERROR(__xludf.DUMMYFUNCTION("""COMPUTED_VALUE"""),3.13885894E9)</f>
        <v>3138858940</v>
      </c>
      <c r="M5041" s="17" t="str">
        <f>IFERROR(__xludf.DUMMYFUNCTION("""COMPUTED_VALUE"""),"#REF!")</f>
        <v>#REF!</v>
      </c>
      <c r="N5041" s="17"/>
      <c r="O5041" s="17"/>
      <c r="P5041" s="17" t="b">
        <f>IFERROR(__xludf.DUMMYFUNCTION("""COMPUTED_VALUE"""),TRUE)</f>
        <v>1</v>
      </c>
      <c r="Q5041" s="20">
        <f>IFERROR(__xludf.DUMMYFUNCTION("""COMPUTED_VALUE"""),45148.71864104166)</f>
        <v>45148.71864</v>
      </c>
      <c r="R5041" s="21" t="str">
        <f>IFERROR(__xludf.DUMMYFUNCTION("""COMPUTED_VALUE"""),"https://drive.google.com/file/d/1EJKOcE5yW9Mn8XJjX8dZA0ahCe9nKl9O/view?usp=drivesdk")</f>
        <v>https://drive.google.com/file/d/1EJKOcE5yW9Mn8XJjX8dZA0ahCe9nKl9O/view?usp=drivesdk</v>
      </c>
    </row>
    <row r="5042">
      <c r="A5042" s="17" t="str">
        <f>IFERROR(__xludf.DUMMYFUNCTION("""COMPUTED_VALUE"""),"")</f>
        <v/>
      </c>
      <c r="B5042" s="17" t="str">
        <f>IFERROR(__xludf.DUMMYFUNCTION("""COMPUTED_VALUE"""),"")</f>
        <v/>
      </c>
      <c r="C5042" s="17" t="str">
        <f>IFERROR(__xludf.DUMMYFUNCTION("""COMPUTED_VALUE"""),"")</f>
        <v/>
      </c>
      <c r="D5042" s="17" t="str">
        <f>IFERROR(__xludf.DUMMYFUNCTION("""COMPUTED_VALUE"""),"")</f>
        <v/>
      </c>
      <c r="E5042" s="17" t="str">
        <f>IFERROR(__xludf.DUMMYFUNCTION("""COMPUTED_VALUE"""),"")</f>
        <v/>
      </c>
      <c r="F5042" s="17" t="str">
        <f>IFERROR(__xludf.DUMMYFUNCTION("""COMPUTED_VALUE"""),"")</f>
        <v/>
      </c>
      <c r="G5042" s="17" t="str">
        <f>IFERROR(__xludf.DUMMYFUNCTION("""COMPUTED_VALUE"""),"")</f>
        <v/>
      </c>
      <c r="H5042" s="17" t="str">
        <f>IFERROR(__xludf.DUMMYFUNCTION("""COMPUTED_VALUE"""),"")</f>
        <v/>
      </c>
      <c r="I5042" s="17" t="str">
        <f>IFERROR(__xludf.DUMMYFUNCTION("""COMPUTED_VALUE"""),"")</f>
        <v/>
      </c>
      <c r="J5042" s="17" t="str">
        <f>IFERROR(__xludf.DUMMYFUNCTION("""COMPUTED_VALUE"""),"")</f>
        <v/>
      </c>
      <c r="K5042" s="17" t="str">
        <f>IFERROR(__xludf.DUMMYFUNCTION("""COMPUTED_VALUE"""),"")</f>
        <v/>
      </c>
      <c r="L5042" s="17" t="str">
        <f>IFERROR(__xludf.DUMMYFUNCTION("""COMPUTED_VALUE"""),"")</f>
        <v/>
      </c>
      <c r="M5042" s="17" t="str">
        <f>IFERROR(__xludf.DUMMYFUNCTION("""COMPUTED_VALUE"""),"")</f>
        <v/>
      </c>
      <c r="N5042" s="17" t="str">
        <f>IFERROR(__xludf.DUMMYFUNCTION("""COMPUTED_VALUE"""),"")</f>
        <v/>
      </c>
      <c r="O5042" s="17" t="str">
        <f>IFERROR(__xludf.DUMMYFUNCTION("""COMPUTED_VALUE"""),"")</f>
        <v/>
      </c>
      <c r="P5042" s="17" t="str">
        <f>IFERROR(__xludf.DUMMYFUNCTION("""COMPUTED_VALUE"""),"")</f>
        <v/>
      </c>
      <c r="Q5042" s="17" t="str">
        <f>IFERROR(__xludf.DUMMYFUNCTION("""COMPUTED_VALUE"""),"")</f>
        <v/>
      </c>
      <c r="R5042" s="17" t="str">
        <f>IFERROR(__xludf.DUMMYFUNCTION("""COMPUTED_VALUE"""),"")</f>
        <v/>
      </c>
    </row>
    <row r="5043">
      <c r="A5043" s="15">
        <f>IFERROR(__xludf.DUMMYFUNCTION("""COMPUTED_VALUE"""),45148.0)</f>
        <v>45148</v>
      </c>
      <c r="B5043" s="17"/>
      <c r="C5043" s="15" t="str">
        <f>IFERROR(__xludf.DUMMYFUNCTION("""COMPUTED_VALUE"""),"BOGOTÁ")</f>
        <v>BOGOTÁ</v>
      </c>
      <c r="D5043" s="15" t="str">
        <f>IFERROR(__xludf.DUMMYFUNCTION("""COMPUTED_VALUE"""),"BUCARAMANGA")</f>
        <v>BUCARAMANGA</v>
      </c>
      <c r="E5043" s="15" t="str">
        <f>IFERROR(__xludf.DUMMYFUNCTION("""COMPUTED_VALUE"""),"Yo Como Solito")</f>
        <v>Yo Como Solito</v>
      </c>
      <c r="F5043" s="17" t="str">
        <f>IFERROR(__xludf.DUMMYFUNCTION("""COMPUTED_VALUE"""),"Calle 145 # 57-36 Int 12 apto 102 Conjunto Alameda de Santa Clara 3 (porteria sur) Colina Campestre  / Calle 145 # 57-36 Int 12 apto 102 Conjunto Alameda de Santa Clara 3 (porteria sur) Colina Campestre  / Calle 145 # 57-36 Int 12 apto 102 Conjunto Alamed"&amp;"a de Santa Clara 3 (porteria sur) Colina Campestre")</f>
        <v>Calle 145 # 57-36 Int 12 apto 102 Conjunto Alameda de Santa Clara 3 (porteria sur) Colina Campestre  / Calle 145 # 57-36 Int 12 apto 102 Conjunto Alameda de Santa Clara 3 (porteria sur) Colina Campestre  / Calle 145 # 57-36 Int 12 apto 102 Conjunto Alameda de Santa Clara 3 (porteria sur) Colina Campestre</v>
      </c>
      <c r="G5043" s="15" t="str">
        <f>IFERROR(__xludf.DUMMYFUNCTION("""COMPUTED_VALUE"""),"LINA PAOLA RAMIREZ")</f>
        <v>LINA PAOLA RAMIREZ</v>
      </c>
      <c r="H5043" s="16">
        <f>IFERROR(__xludf.DUMMYFUNCTION("""COMPUTED_VALUE"""),13705.0)</f>
        <v>13705</v>
      </c>
      <c r="I5043" s="18">
        <f>IFERROR(__xludf.DUMMYFUNCTION("""COMPUTED_VALUE"""),13.0)</f>
        <v>13</v>
      </c>
      <c r="J5043" s="18">
        <f>IFERROR(__xludf.DUMMYFUNCTION("""COMPUTED_VALUE"""),28.0)</f>
        <v>28</v>
      </c>
      <c r="K5043" s="18">
        <f>IFERROR(__xludf.DUMMYFUNCTION("""COMPUTED_VALUE"""),41.0)</f>
        <v>41</v>
      </c>
      <c r="L5043" s="17">
        <f>IFERROR(__xludf.DUMMYFUNCTION("""COMPUTED_VALUE"""),3.12327346E9)</f>
        <v>3123273460</v>
      </c>
      <c r="M5043" s="17" t="str">
        <f>IFERROR(__xludf.DUMMYFUNCTION("""COMPUTED_VALUE"""),"#REF!")</f>
        <v>#REF!</v>
      </c>
      <c r="N5043" s="17"/>
      <c r="O5043" s="17"/>
      <c r="P5043" s="17" t="b">
        <f>IFERROR(__xludf.DUMMYFUNCTION("""COMPUTED_VALUE"""),TRUE)</f>
        <v>1</v>
      </c>
      <c r="Q5043" s="20">
        <f>IFERROR(__xludf.DUMMYFUNCTION("""COMPUTED_VALUE"""),45148.60471071759)</f>
        <v>45148.60471</v>
      </c>
      <c r="R5043" s="21" t="str">
        <f>IFERROR(__xludf.DUMMYFUNCTION("""COMPUTED_VALUE"""),"https://drive.google.com/file/d/167e6brSkolPKNw8-MsysX6K1M_vzyGZr/view?usp=drivesdk")</f>
        <v>https://drive.google.com/file/d/167e6brSkolPKNw8-MsysX6K1M_vzyGZr/view?usp=drivesdk</v>
      </c>
    </row>
    <row r="5044">
      <c r="A5044" s="15">
        <f>IFERROR(__xludf.DUMMYFUNCTION("""COMPUTED_VALUE"""),45148.0)</f>
        <v>45148</v>
      </c>
      <c r="B5044" s="17"/>
      <c r="C5044" s="15" t="str">
        <f>IFERROR(__xludf.DUMMYFUNCTION("""COMPUTED_VALUE"""),"MONTERIA")</f>
        <v>MONTERIA</v>
      </c>
      <c r="D5044" s="15" t="str">
        <f>IFERROR(__xludf.DUMMYFUNCTION("""COMPUTED_VALUE"""),"MEDELLÍN")</f>
        <v>MEDELLÍN</v>
      </c>
      <c r="E5044" s="15" t="str">
        <f>IFERROR(__xludf.DUMMYFUNCTION("""COMPUTED_VALUE"""),"Baby Chef")</f>
        <v>Baby Chef</v>
      </c>
      <c r="F5044" s="17" t="str">
        <f>IFERROR(__xludf.DUMMYFUNCTION("""COMPUTED_VALUE"""),"Calle 73 # 2-125 Edificio San Giorgio apto 904  Barrio El Recreo / Calle 73 # 2-125 Edificio San Giorgio apto 904  Barrio El Recreo / Calle 73 # 2-125 Edificio San Giorgio apto 904  Barrio El Recreo")</f>
        <v>Calle 73 # 2-125 Edificio San Giorgio apto 904  Barrio El Recreo / Calle 73 # 2-125 Edificio San Giorgio apto 904  Barrio El Recreo / Calle 73 # 2-125 Edificio San Giorgio apto 904  Barrio El Recreo</v>
      </c>
      <c r="G5044" s="15" t="str">
        <f>IFERROR(__xludf.DUMMYFUNCTION("""COMPUTED_VALUE"""),"Natalia Escobar Marín")</f>
        <v>Natalia Escobar Marín</v>
      </c>
      <c r="H5044" s="16">
        <f>IFERROR(__xludf.DUMMYFUNCTION("""COMPUTED_VALUE"""),13816.0)</f>
        <v>13816</v>
      </c>
      <c r="I5044" s="18">
        <f>IFERROR(__xludf.DUMMYFUNCTION("""COMPUTED_VALUE"""),8.0)</f>
        <v>8</v>
      </c>
      <c r="J5044" s="18">
        <f>IFERROR(__xludf.DUMMYFUNCTION("""COMPUTED_VALUE"""),34.0)</f>
        <v>34</v>
      </c>
      <c r="K5044" s="18">
        <f>IFERROR(__xludf.DUMMYFUNCTION("""COMPUTED_VALUE"""),22.0)</f>
        <v>22</v>
      </c>
      <c r="L5044" s="17">
        <f>IFERROR(__xludf.DUMMYFUNCTION("""COMPUTED_VALUE"""),3.1048989E9)</f>
        <v>3104898900</v>
      </c>
      <c r="M5044" s="17" t="str">
        <f>IFERROR(__xludf.DUMMYFUNCTION("""COMPUTED_VALUE"""),"#REF!")</f>
        <v>#REF!</v>
      </c>
      <c r="N5044" s="17"/>
      <c r="O5044" s="17"/>
      <c r="P5044" s="17" t="b">
        <f>IFERROR(__xludf.DUMMYFUNCTION("""COMPUTED_VALUE"""),TRUE)</f>
        <v>1</v>
      </c>
      <c r="Q5044" s="20">
        <f>IFERROR(__xludf.DUMMYFUNCTION("""COMPUTED_VALUE"""),45148.70918135416)</f>
        <v>45148.70918</v>
      </c>
      <c r="R5044" s="21" t="str">
        <f>IFERROR(__xludf.DUMMYFUNCTION("""COMPUTED_VALUE"""),"https://drive.google.com/file/d/1DdeEn51igBoTxDDzWlfmE5YSyQUUFHe0/view?usp=drivesdk")</f>
        <v>https://drive.google.com/file/d/1DdeEn51igBoTxDDzWlfmE5YSyQUUFHe0/view?usp=drivesdk</v>
      </c>
    </row>
    <row r="5045">
      <c r="A5045" s="17" t="str">
        <f>IFERROR(__xludf.DUMMYFUNCTION("""COMPUTED_VALUE"""),"")</f>
        <v/>
      </c>
      <c r="B5045" s="17" t="str">
        <f>IFERROR(__xludf.DUMMYFUNCTION("""COMPUTED_VALUE"""),"")</f>
        <v/>
      </c>
      <c r="C5045" s="17" t="str">
        <f>IFERROR(__xludf.DUMMYFUNCTION("""COMPUTED_VALUE"""),"")</f>
        <v/>
      </c>
      <c r="D5045" s="17" t="str">
        <f>IFERROR(__xludf.DUMMYFUNCTION("""COMPUTED_VALUE"""),"")</f>
        <v/>
      </c>
      <c r="E5045" s="17" t="str">
        <f>IFERROR(__xludf.DUMMYFUNCTION("""COMPUTED_VALUE"""),"")</f>
        <v/>
      </c>
      <c r="F5045" s="17" t="str">
        <f>IFERROR(__xludf.DUMMYFUNCTION("""COMPUTED_VALUE"""),"")</f>
        <v/>
      </c>
      <c r="G5045" s="17" t="str">
        <f>IFERROR(__xludf.DUMMYFUNCTION("""COMPUTED_VALUE"""),"")</f>
        <v/>
      </c>
      <c r="H5045" s="17" t="str">
        <f>IFERROR(__xludf.DUMMYFUNCTION("""COMPUTED_VALUE"""),"")</f>
        <v/>
      </c>
      <c r="I5045" s="17" t="str">
        <f>IFERROR(__xludf.DUMMYFUNCTION("""COMPUTED_VALUE"""),"")</f>
        <v/>
      </c>
      <c r="J5045" s="17" t="str">
        <f>IFERROR(__xludf.DUMMYFUNCTION("""COMPUTED_VALUE"""),"")</f>
        <v/>
      </c>
      <c r="K5045" s="17" t="str">
        <f>IFERROR(__xludf.DUMMYFUNCTION("""COMPUTED_VALUE"""),"")</f>
        <v/>
      </c>
      <c r="L5045" s="17" t="str">
        <f>IFERROR(__xludf.DUMMYFUNCTION("""COMPUTED_VALUE"""),"")</f>
        <v/>
      </c>
      <c r="M5045" s="17" t="str">
        <f>IFERROR(__xludf.DUMMYFUNCTION("""COMPUTED_VALUE"""),"")</f>
        <v/>
      </c>
      <c r="N5045" s="17" t="str">
        <f>IFERROR(__xludf.DUMMYFUNCTION("""COMPUTED_VALUE"""),"")</f>
        <v/>
      </c>
      <c r="O5045" s="17" t="str">
        <f>IFERROR(__xludf.DUMMYFUNCTION("""COMPUTED_VALUE"""),"")</f>
        <v/>
      </c>
      <c r="P5045" s="17" t="str">
        <f>IFERROR(__xludf.DUMMYFUNCTION("""COMPUTED_VALUE"""),"")</f>
        <v/>
      </c>
      <c r="Q5045" s="17" t="str">
        <f>IFERROR(__xludf.DUMMYFUNCTION("""COMPUTED_VALUE"""),"")</f>
        <v/>
      </c>
      <c r="R5045" s="17" t="str">
        <f>IFERROR(__xludf.DUMMYFUNCTION("""COMPUTED_VALUE"""),"")</f>
        <v/>
      </c>
    </row>
    <row r="5046">
      <c r="A5046" s="15">
        <f>IFERROR(__xludf.DUMMYFUNCTION("""COMPUTED_VALUE"""),45148.0)</f>
        <v>45148</v>
      </c>
      <c r="B5046" s="16" t="str">
        <f>IFERROR(__xludf.DUMMYFUNCTION("""COMPUTED_VALUE"""),"Anuar suarez jimenez ")</f>
        <v>Anuar suarez jimenez </v>
      </c>
      <c r="C5046" s="15" t="str">
        <f>IFERROR(__xludf.DUMMYFUNCTION("""COMPUTED_VALUE"""),"MANIZALES")</f>
        <v>MANIZALES</v>
      </c>
      <c r="D5046" s="15" t="str">
        <f>IFERROR(__xludf.DUMMYFUNCTION("""COMPUTED_VALUE"""),"PEREIRA")</f>
        <v>PEREIRA</v>
      </c>
      <c r="E5046" s="15" t="str">
        <f>IFERROR(__xludf.DUMMYFUNCTION("""COMPUTED_VALUE"""),"BAK&amp;VEG")</f>
        <v>BAK&amp;VEG</v>
      </c>
      <c r="F5046" s="17" t="str">
        <f>IFERROR(__xludf.DUMMYFUNCTION("""COMPUTED_VALUE"""),"av.santander #63 local 3")</f>
        <v>av.santander #63 local 3</v>
      </c>
      <c r="G5046" s="15" t="str">
        <f>IFERROR(__xludf.DUMMYFUNCTION("""COMPUTED_VALUE"""),"arisca la oveja")</f>
        <v>arisca la oveja</v>
      </c>
      <c r="H5046" s="16">
        <f>IFERROR(__xludf.DUMMYFUNCTION("""COMPUTED_VALUE"""),13803.0)</f>
        <v>13803</v>
      </c>
      <c r="I5046" s="18">
        <f>IFERROR(__xludf.DUMMYFUNCTION("""COMPUTED_VALUE"""),29.0)</f>
        <v>29</v>
      </c>
      <c r="J5046" s="18">
        <f>IFERROR(__xludf.DUMMYFUNCTION("""COMPUTED_VALUE"""),15.0)</f>
        <v>15</v>
      </c>
      <c r="K5046" s="18">
        <f>IFERROR(__xludf.DUMMYFUNCTION("""COMPUTED_VALUE"""),15.0)</f>
        <v>15</v>
      </c>
      <c r="L5046" s="17"/>
      <c r="M5046" s="17" t="str">
        <f>IFERROR(__xludf.DUMMYFUNCTION("""COMPUTED_VALUE"""),"#REF!")</f>
        <v>#REF!</v>
      </c>
      <c r="N5046" s="17"/>
      <c r="O5046" s="17"/>
      <c r="P5046" s="17" t="b">
        <f>IFERROR(__xludf.DUMMYFUNCTION("""COMPUTED_VALUE"""),TRUE)</f>
        <v>1</v>
      </c>
      <c r="Q5046" s="20">
        <f>IFERROR(__xludf.DUMMYFUNCTION("""COMPUTED_VALUE"""),45148.71864104166)</f>
        <v>45148.71864</v>
      </c>
      <c r="R5046" s="22" t="str">
        <f>IFERROR(__xludf.DUMMYFUNCTION("""COMPUTED_VALUE"""),"")</f>
        <v/>
      </c>
    </row>
    <row r="5047">
      <c r="A5047" s="15">
        <f>IFERROR(__xludf.DUMMYFUNCTION("""COMPUTED_VALUE"""),45148.0)</f>
        <v>45148</v>
      </c>
      <c r="B5047" s="16" t="str">
        <f>IFERROR(__xludf.DUMMYFUNCTION("""COMPUTED_VALUE"""),"Anuar suarez jimenez ")</f>
        <v>Anuar suarez jimenez </v>
      </c>
      <c r="C5047" s="15" t="str">
        <f>IFERROR(__xludf.DUMMYFUNCTION("""COMPUTED_VALUE"""),"POPAYAN")</f>
        <v>POPAYAN</v>
      </c>
      <c r="D5047" s="15" t="str">
        <f>IFERROR(__xludf.DUMMYFUNCTION("""COMPUTED_VALUE"""),"BOGOTÁ")</f>
        <v>BOGOTÁ</v>
      </c>
      <c r="E5047" s="15" t="str">
        <f>IFERROR(__xludf.DUMMYFUNCTION("""COMPUTED_VALUE"""),"Evamazzita")</f>
        <v>Evamazzita</v>
      </c>
      <c r="F5047" s="17" t="str">
        <f>IFERROR(__xludf.DUMMYFUNCTION("""COMPUTED_VALUE"""),"CR 6 #27 N 58  / LOCAL 1 VIVEA MERCADO SALUDABLE / BARRIO LOS HOYOS")</f>
        <v>CR 6 #27 N 58  / LOCAL 1 VIVEA MERCADO SALUDABLE / BARRIO LOS HOYOS</v>
      </c>
      <c r="G5047" s="15" t="str">
        <f>IFERROR(__xludf.DUMMYFUNCTION("""COMPUTED_VALUE"""),"VIVIANA ANDREA CHAMORRO YANZA")</f>
        <v>VIVIANA ANDREA CHAMORRO YANZA</v>
      </c>
      <c r="H5047" s="16">
        <f>IFERROR(__xludf.DUMMYFUNCTION("""COMPUTED_VALUE"""),13785.0)</f>
        <v>13785</v>
      </c>
      <c r="I5047" s="18">
        <f>IFERROR(__xludf.DUMMYFUNCTION("""COMPUTED_VALUE"""),12.0)</f>
        <v>12</v>
      </c>
      <c r="J5047" s="18">
        <f>IFERROR(__xludf.DUMMYFUNCTION("""COMPUTED_VALUE"""),37.0)</f>
        <v>37</v>
      </c>
      <c r="K5047" s="18">
        <f>IFERROR(__xludf.DUMMYFUNCTION("""COMPUTED_VALUE"""),27.0)</f>
        <v>27</v>
      </c>
      <c r="L5047" s="17">
        <f>IFERROR(__xludf.DUMMYFUNCTION("""COMPUTED_VALUE"""),3.122971002E9)</f>
        <v>3122971002</v>
      </c>
      <c r="M5047" s="17" t="str">
        <f>IFERROR(__xludf.DUMMYFUNCTION("""COMPUTED_VALUE"""),"#REF!")</f>
        <v>#REF!</v>
      </c>
      <c r="N5047" s="17"/>
      <c r="O5047" s="17"/>
      <c r="P5047" s="17" t="b">
        <f>IFERROR(__xludf.DUMMYFUNCTION("""COMPUTED_VALUE"""),FALSE)</f>
        <v>0</v>
      </c>
      <c r="Q5047" s="20" t="str">
        <f>IFERROR(__xludf.DUMMYFUNCTION("""COMPUTED_VALUE"""),"")</f>
        <v/>
      </c>
      <c r="R5047" s="22" t="str">
        <f>IFERROR(__xludf.DUMMYFUNCTION("""COMPUTED_VALUE"""),"")</f>
        <v/>
      </c>
    </row>
    <row r="5048">
      <c r="A5048" s="17" t="str">
        <f>IFERROR(__xludf.DUMMYFUNCTION("""COMPUTED_VALUE"""),"")</f>
        <v/>
      </c>
      <c r="B5048" s="17" t="str">
        <f>IFERROR(__xludf.DUMMYFUNCTION("""COMPUTED_VALUE"""),"")</f>
        <v/>
      </c>
      <c r="C5048" s="17" t="str">
        <f>IFERROR(__xludf.DUMMYFUNCTION("""COMPUTED_VALUE"""),"")</f>
        <v/>
      </c>
      <c r="D5048" s="17" t="str">
        <f>IFERROR(__xludf.DUMMYFUNCTION("""COMPUTED_VALUE"""),"")</f>
        <v/>
      </c>
      <c r="E5048" s="17" t="str">
        <f>IFERROR(__xludf.DUMMYFUNCTION("""COMPUTED_VALUE"""),"")</f>
        <v/>
      </c>
      <c r="F5048" s="17" t="str">
        <f>IFERROR(__xludf.DUMMYFUNCTION("""COMPUTED_VALUE"""),"")</f>
        <v/>
      </c>
      <c r="G5048" s="17" t="str">
        <f>IFERROR(__xludf.DUMMYFUNCTION("""COMPUTED_VALUE"""),"")</f>
        <v/>
      </c>
      <c r="H5048" s="17" t="str">
        <f>IFERROR(__xludf.DUMMYFUNCTION("""COMPUTED_VALUE"""),"")</f>
        <v/>
      </c>
      <c r="I5048" s="17" t="str">
        <f>IFERROR(__xludf.DUMMYFUNCTION("""COMPUTED_VALUE"""),"")</f>
        <v/>
      </c>
      <c r="J5048" s="17" t="str">
        <f>IFERROR(__xludf.DUMMYFUNCTION("""COMPUTED_VALUE"""),"")</f>
        <v/>
      </c>
      <c r="K5048" s="17" t="str">
        <f>IFERROR(__xludf.DUMMYFUNCTION("""COMPUTED_VALUE"""),"")</f>
        <v/>
      </c>
      <c r="L5048" s="17" t="str">
        <f>IFERROR(__xludf.DUMMYFUNCTION("""COMPUTED_VALUE"""),"")</f>
        <v/>
      </c>
      <c r="M5048" s="17" t="str">
        <f>IFERROR(__xludf.DUMMYFUNCTION("""COMPUTED_VALUE"""),"")</f>
        <v/>
      </c>
      <c r="N5048" s="17" t="str">
        <f>IFERROR(__xludf.DUMMYFUNCTION("""COMPUTED_VALUE"""),"")</f>
        <v/>
      </c>
      <c r="O5048" s="17" t="str">
        <f>IFERROR(__xludf.DUMMYFUNCTION("""COMPUTED_VALUE"""),"")</f>
        <v/>
      </c>
      <c r="P5048" s="17" t="str">
        <f>IFERROR(__xludf.DUMMYFUNCTION("""COMPUTED_VALUE"""),"")</f>
        <v/>
      </c>
      <c r="Q5048" s="17" t="str">
        <f>IFERROR(__xludf.DUMMYFUNCTION("""COMPUTED_VALUE"""),"")</f>
        <v/>
      </c>
      <c r="R5048" s="17" t="str">
        <f>IFERROR(__xludf.DUMMYFUNCTION("""COMPUTED_VALUE"""),"")</f>
        <v/>
      </c>
    </row>
    <row r="5049">
      <c r="A5049" s="15">
        <f>IFERROR(__xludf.DUMMYFUNCTION("""COMPUTED_VALUE"""),45148.0)</f>
        <v>45148</v>
      </c>
      <c r="B5049" s="16" t="str">
        <f>IFERROR(__xludf.DUMMYFUNCTION("""COMPUTED_VALUE"""),"Cesar Barrios")</f>
        <v>Cesar Barrios</v>
      </c>
      <c r="C5049" s="15" t="str">
        <f>IFERROR(__xludf.DUMMYFUNCTION("""COMPUTED_VALUE"""),"BOGOTÁ")</f>
        <v>BOGOTÁ</v>
      </c>
      <c r="D5049" s="15" t="str">
        <f>IFERROR(__xludf.DUMMYFUNCTION("""COMPUTED_VALUE"""),"BUCARAMANGA")</f>
        <v>BUCARAMANGA</v>
      </c>
      <c r="E5049" s="15" t="str">
        <f>IFERROR(__xludf.DUMMYFUNCTION("""COMPUTED_VALUE"""),"Yo Como Solito")</f>
        <v>Yo Como Solito</v>
      </c>
      <c r="F5049" s="17" t="str">
        <f>IFERROR(__xludf.DUMMYFUNCTION("""COMPUTED_VALUE"""),"CALLE 145 NO. 57-36 INTERIOR 12 APTO 102 BARRIO COLINA CAMPESTRE, BOGOTA  /  Lina Paola Ramírez /  Lina Paola Ramírez")</f>
        <v>CALLE 145 NO. 57-36 INTERIOR 12 APTO 102 BARRIO COLINA CAMPESTRE, BOGOTA  /  Lina Paola Ramírez /  Lina Paola Ramírez</v>
      </c>
      <c r="G5049" s="15" t="str">
        <f>IFERROR(__xludf.DUMMYFUNCTION("""COMPUTED_VALUE"""),"Lina Paola Ramírez")</f>
        <v>Lina Paola Ramírez</v>
      </c>
      <c r="H5049" s="16">
        <f>IFERROR(__xludf.DUMMYFUNCTION("""COMPUTED_VALUE"""),13697.0)</f>
        <v>13697</v>
      </c>
      <c r="I5049" s="18">
        <f>IFERROR(__xludf.DUMMYFUNCTION("""COMPUTED_VALUE"""),23.0)</f>
        <v>23</v>
      </c>
      <c r="J5049" s="18">
        <f>IFERROR(__xludf.DUMMYFUNCTION("""COMPUTED_VALUE"""),29.0)</f>
        <v>29</v>
      </c>
      <c r="K5049" s="18">
        <f>IFERROR(__xludf.DUMMYFUNCTION("""COMPUTED_VALUE"""),38.0)</f>
        <v>38</v>
      </c>
      <c r="L5049" s="17">
        <f>IFERROR(__xludf.DUMMYFUNCTION("""COMPUTED_VALUE"""),3.178865E9)</f>
        <v>3178865000</v>
      </c>
      <c r="M5049" s="17" t="str">
        <f>IFERROR(__xludf.DUMMYFUNCTION("""COMPUTED_VALUE"""),"#REF!")</f>
        <v>#REF!</v>
      </c>
      <c r="N5049" s="17"/>
      <c r="O5049" s="17"/>
      <c r="P5049" s="17" t="b">
        <f>IFERROR(__xludf.DUMMYFUNCTION("""COMPUTED_VALUE"""),TRUE)</f>
        <v>1</v>
      </c>
      <c r="Q5049" s="20">
        <f>IFERROR(__xludf.DUMMYFUNCTION("""COMPUTED_VALUE"""),45149.6968258912)</f>
        <v>45149.69683</v>
      </c>
      <c r="R5049" s="22" t="str">
        <f>IFERROR(__xludf.DUMMYFUNCTION("""COMPUTED_VALUE"""),"")</f>
        <v/>
      </c>
    </row>
    <row r="5050">
      <c r="A5050" s="15">
        <f>IFERROR(__xludf.DUMMYFUNCTION("""COMPUTED_VALUE"""),45148.0)</f>
        <v>45148</v>
      </c>
      <c r="B5050" s="16" t="str">
        <f>IFERROR(__xludf.DUMMYFUNCTION("""COMPUTED_VALUE"""),"Cesar Barrios")</f>
        <v>Cesar Barrios</v>
      </c>
      <c r="C5050" s="15" t="str">
        <f>IFERROR(__xludf.DUMMYFUNCTION("""COMPUTED_VALUE"""),"BOGOTÁ")</f>
        <v>BOGOTÁ</v>
      </c>
      <c r="D5050" s="15" t="str">
        <f>IFERROR(__xludf.DUMMYFUNCTION("""COMPUTED_VALUE"""),"BUCARAMANGA")</f>
        <v>BUCARAMANGA</v>
      </c>
      <c r="E5050" s="15" t="str">
        <f>IFERROR(__xludf.DUMMYFUNCTION("""COMPUTED_VALUE"""),"Yo Como Solito")</f>
        <v>Yo Como Solito</v>
      </c>
      <c r="F5050" s="17" t="str">
        <f>IFERROR(__xludf.DUMMYFUNCTION("""COMPUTED_VALUE"""),"CALLE 145 NO. 57-36 INTERIOR 12 APTO 102 COLINA CAMPESTRE BOGOTA  / CALLE 145 NO. 57-36 INTERIOR 12 APTO 102 COLINA CAMPESTRE BOGOTA  / CALLE 145 NO. 57-36 INTERIOR 12 APTO 102 COLINA CAMPESTRE BOGOTA")</f>
        <v>CALLE 145 NO. 57-36 INTERIOR 12 APTO 102 COLINA CAMPESTRE BOGOTA  / CALLE 145 NO. 57-36 INTERIOR 12 APTO 102 COLINA CAMPESTRE BOGOTA  / CALLE 145 NO. 57-36 INTERIOR 12 APTO 102 COLINA CAMPESTRE BOGOTA</v>
      </c>
      <c r="G5050" s="15" t="str">
        <f>IFERROR(__xludf.DUMMYFUNCTION("""COMPUTED_VALUE"""),"LINA PAOLA RAMIREZ")</f>
        <v>LINA PAOLA RAMIREZ</v>
      </c>
      <c r="H5050" s="16">
        <f>IFERROR(__xludf.DUMMYFUNCTION("""COMPUTED_VALUE"""),13698.0)</f>
        <v>13698</v>
      </c>
      <c r="I5050" s="18">
        <f>IFERROR(__xludf.DUMMYFUNCTION("""COMPUTED_VALUE"""),20.0)</f>
        <v>20</v>
      </c>
      <c r="J5050" s="18">
        <f>IFERROR(__xludf.DUMMYFUNCTION("""COMPUTED_VALUE"""),32.0)</f>
        <v>32</v>
      </c>
      <c r="K5050" s="18">
        <f>IFERROR(__xludf.DUMMYFUNCTION("""COMPUTED_VALUE"""),49.0)</f>
        <v>49</v>
      </c>
      <c r="L5050" s="17">
        <f>IFERROR(__xludf.DUMMYFUNCTION("""COMPUTED_VALUE"""),3.178865E9)</f>
        <v>3178865000</v>
      </c>
      <c r="M5050" s="17" t="str">
        <f>IFERROR(__xludf.DUMMYFUNCTION("""COMPUTED_VALUE"""),"#REF!")</f>
        <v>#REF!</v>
      </c>
      <c r="N5050" s="17"/>
      <c r="O5050" s="17"/>
      <c r="P5050" s="17" t="b">
        <f>IFERROR(__xludf.DUMMYFUNCTION("""COMPUTED_VALUE"""),FALSE)</f>
        <v>0</v>
      </c>
      <c r="Q5050" s="20" t="str">
        <f>IFERROR(__xludf.DUMMYFUNCTION("""COMPUTED_VALUE"""),"")</f>
        <v/>
      </c>
      <c r="R5050" s="22" t="str">
        <f>IFERROR(__xludf.DUMMYFUNCTION("""COMPUTED_VALUE"""),"")</f>
        <v/>
      </c>
    </row>
    <row r="5051">
      <c r="A5051" s="15">
        <f>IFERROR(__xludf.DUMMYFUNCTION("""COMPUTED_VALUE"""),45148.0)</f>
        <v>45148</v>
      </c>
      <c r="B5051" s="16" t="str">
        <f>IFERROR(__xludf.DUMMYFUNCTION("""COMPUTED_VALUE"""),"Cesar Barrios")</f>
        <v>Cesar Barrios</v>
      </c>
      <c r="C5051" s="15" t="str">
        <f>IFERROR(__xludf.DUMMYFUNCTION("""COMPUTED_VALUE"""),"GIRARDOT")</f>
        <v>GIRARDOT</v>
      </c>
      <c r="D5051" s="15" t="str">
        <f>IFERROR(__xludf.DUMMYFUNCTION("""COMPUTED_VALUE"""),"BOGOTÁ")</f>
        <v>BOGOTÁ</v>
      </c>
      <c r="E5051" s="15" t="str">
        <f>IFERROR(__xludf.DUMMYFUNCTION("""COMPUTED_VALUE"""),"Evamazzita")</f>
        <v>Evamazzita</v>
      </c>
      <c r="F5051" s="17" t="str">
        <f>IFERROR(__xludf.DUMMYFUNCTION("""COMPUTED_VALUE"""),"Mzna i casa 2 piso 3 barrio Ciudad montes / CASA 2 PISO 3 / CIUDAD MONTES")</f>
        <v>Mzna i casa 2 piso 3 barrio Ciudad montes / CASA 2 PISO 3 / CIUDAD MONTES</v>
      </c>
      <c r="G5051" s="15" t="str">
        <f>IFERROR(__xludf.DUMMYFUNCTION("""COMPUTED_VALUE"""),"GABRIELA JARAMILLO")</f>
        <v>GABRIELA JARAMILLO</v>
      </c>
      <c r="H5051" s="16">
        <f>IFERROR(__xludf.DUMMYFUNCTION("""COMPUTED_VALUE"""),13780.0)</f>
        <v>13780</v>
      </c>
      <c r="I5051" s="18">
        <f>IFERROR(__xludf.DUMMYFUNCTION("""COMPUTED_VALUE"""),1.0)</f>
        <v>1</v>
      </c>
      <c r="J5051" s="18">
        <f>IFERROR(__xludf.DUMMYFUNCTION("""COMPUTED_VALUE"""),1.0)</f>
        <v>1</v>
      </c>
      <c r="K5051" s="18">
        <f>IFERROR(__xludf.DUMMYFUNCTION("""COMPUTED_VALUE"""),1.0)</f>
        <v>1</v>
      </c>
      <c r="L5051" s="17">
        <f>IFERROR(__xludf.DUMMYFUNCTION("""COMPUTED_VALUE"""),3.042180072E9)</f>
        <v>3042180072</v>
      </c>
      <c r="M5051" s="17" t="str">
        <f>IFERROR(__xludf.DUMMYFUNCTION("""COMPUTED_VALUE"""),"#REF!")</f>
        <v>#REF!</v>
      </c>
      <c r="N5051" s="17"/>
      <c r="O5051" s="17"/>
      <c r="P5051" s="17" t="b">
        <f>IFERROR(__xludf.DUMMYFUNCTION("""COMPUTED_VALUE"""),FALSE)</f>
        <v>0</v>
      </c>
      <c r="Q5051" s="20" t="str">
        <f>IFERROR(__xludf.DUMMYFUNCTION("""COMPUTED_VALUE"""),"")</f>
        <v/>
      </c>
      <c r="R5051" s="22" t="str">
        <f>IFERROR(__xludf.DUMMYFUNCTION("""COMPUTED_VALUE"""),"")</f>
        <v/>
      </c>
    </row>
    <row r="5052">
      <c r="A5052" s="17" t="str">
        <f>IFERROR(__xludf.DUMMYFUNCTION("""COMPUTED_VALUE"""),"")</f>
        <v/>
      </c>
      <c r="B5052" s="17" t="str">
        <f>IFERROR(__xludf.DUMMYFUNCTION("""COMPUTED_VALUE"""),"")</f>
        <v/>
      </c>
      <c r="C5052" s="17" t="str">
        <f>IFERROR(__xludf.DUMMYFUNCTION("""COMPUTED_VALUE"""),"")</f>
        <v/>
      </c>
      <c r="D5052" s="17" t="str">
        <f>IFERROR(__xludf.DUMMYFUNCTION("""COMPUTED_VALUE"""),"")</f>
        <v/>
      </c>
      <c r="E5052" s="17" t="str">
        <f>IFERROR(__xludf.DUMMYFUNCTION("""COMPUTED_VALUE"""),"")</f>
        <v/>
      </c>
      <c r="F5052" s="17" t="str">
        <f>IFERROR(__xludf.DUMMYFUNCTION("""COMPUTED_VALUE"""),"")</f>
        <v/>
      </c>
      <c r="G5052" s="17" t="str">
        <f>IFERROR(__xludf.DUMMYFUNCTION("""COMPUTED_VALUE"""),"")</f>
        <v/>
      </c>
      <c r="H5052" s="17" t="str">
        <f>IFERROR(__xludf.DUMMYFUNCTION("""COMPUTED_VALUE"""),"")</f>
        <v/>
      </c>
      <c r="I5052" s="17" t="str">
        <f>IFERROR(__xludf.DUMMYFUNCTION("""COMPUTED_VALUE"""),"")</f>
        <v/>
      </c>
      <c r="J5052" s="17" t="str">
        <f>IFERROR(__xludf.DUMMYFUNCTION("""COMPUTED_VALUE"""),"")</f>
        <v/>
      </c>
      <c r="K5052" s="17" t="str">
        <f>IFERROR(__xludf.DUMMYFUNCTION("""COMPUTED_VALUE"""),"")</f>
        <v/>
      </c>
      <c r="L5052" s="17" t="str">
        <f>IFERROR(__xludf.DUMMYFUNCTION("""COMPUTED_VALUE"""),"")</f>
        <v/>
      </c>
      <c r="M5052" s="17" t="str">
        <f>IFERROR(__xludf.DUMMYFUNCTION("""COMPUTED_VALUE"""),"")</f>
        <v/>
      </c>
      <c r="N5052" s="17" t="str">
        <f>IFERROR(__xludf.DUMMYFUNCTION("""COMPUTED_VALUE"""),"")</f>
        <v/>
      </c>
      <c r="O5052" s="17" t="str">
        <f>IFERROR(__xludf.DUMMYFUNCTION("""COMPUTED_VALUE"""),"")</f>
        <v/>
      </c>
      <c r="P5052" s="17" t="str">
        <f>IFERROR(__xludf.DUMMYFUNCTION("""COMPUTED_VALUE"""),"")</f>
        <v/>
      </c>
      <c r="Q5052" s="17" t="str">
        <f>IFERROR(__xludf.DUMMYFUNCTION("""COMPUTED_VALUE"""),"")</f>
        <v/>
      </c>
      <c r="R5052" s="17" t="str">
        <f>IFERROR(__xludf.DUMMYFUNCTION("""COMPUTED_VALUE"""),"")</f>
        <v/>
      </c>
    </row>
    <row r="5053">
      <c r="A5053" s="15">
        <f>IFERROR(__xludf.DUMMYFUNCTION("""COMPUTED_VALUE"""),45148.0)</f>
        <v>45148</v>
      </c>
      <c r="B5053" s="16" t="str">
        <f>IFERROR(__xludf.DUMMYFUNCTION("""COMPUTED_VALUE"""),"Envia")</f>
        <v>Envia</v>
      </c>
      <c r="C5053" s="15" t="str">
        <f>IFERROR(__xludf.DUMMYFUNCTION("""COMPUTED_VALUE"""),"CALI")</f>
        <v>CALI</v>
      </c>
      <c r="D5053" s="15" t="str">
        <f>IFERROR(__xludf.DUMMYFUNCTION("""COMPUTED_VALUE"""),"MEDELLÍN")</f>
        <v>MEDELLÍN</v>
      </c>
      <c r="E5053" s="15" t="str">
        <f>IFERROR(__xludf.DUMMYFUNCTION("""COMPUTED_VALUE"""),"AREPAS LA MARY")</f>
        <v>AREPAS LA MARY</v>
      </c>
      <c r="F5053" s="17" t="str">
        <f>IFERROR(__xludf.DUMMYFUNCTION("""COMPUTED_VALUE"""),"av 4 norte 7 n 46 local 129 / centro comercial centenario local 129")</f>
        <v>av 4 norte 7 n 46 local 129 / centro comercial centenario local 129</v>
      </c>
      <c r="G5053" s="15" t="str">
        <f>IFERROR(__xludf.DUMMYFUNCTION("""COMPUTED_VALUE"""),"Vitafitness SAS cali")</f>
        <v>Vitafitness SAS cali</v>
      </c>
      <c r="H5053" s="16">
        <f>IFERROR(__xludf.DUMMYFUNCTION("""COMPUTED_VALUE"""),13678.0)</f>
        <v>13678</v>
      </c>
      <c r="I5053" s="18">
        <f>IFERROR(__xludf.DUMMYFUNCTION("""COMPUTED_VALUE"""),89.0)</f>
        <v>89</v>
      </c>
      <c r="J5053" s="18">
        <f>IFERROR(__xludf.DUMMYFUNCTION("""COMPUTED_VALUE"""),1.0)</f>
        <v>1</v>
      </c>
      <c r="K5053" s="18">
        <f>IFERROR(__xludf.DUMMYFUNCTION("""COMPUTED_VALUE"""),10.0)</f>
        <v>10</v>
      </c>
      <c r="L5053" s="17">
        <f>IFERROR(__xludf.DUMMYFUNCTION("""COMPUTED_VALUE"""),3.10443232E9)</f>
        <v>3104432320</v>
      </c>
      <c r="M5053" s="17" t="str">
        <f>IFERROR(__xludf.DUMMYFUNCTION("""COMPUTED_VALUE"""),"#REF!")</f>
        <v>#REF!</v>
      </c>
      <c r="N5053" s="17"/>
      <c r="O5053" s="17"/>
      <c r="P5053" s="17" t="b">
        <f>IFERROR(__xludf.DUMMYFUNCTION("""COMPUTED_VALUE"""),FALSE)</f>
        <v>0</v>
      </c>
      <c r="Q5053" s="20" t="str">
        <f>IFERROR(__xludf.DUMMYFUNCTION("""COMPUTED_VALUE"""),"")</f>
        <v/>
      </c>
      <c r="R5053" s="21" t="str">
        <f>IFERROR(__xludf.DUMMYFUNCTION("""COMPUTED_VALUE"""),"https://drive.google.com/file/d/1PHwU5k5BzhRj3vTZ2_WSkSMzSQGj-ErM/view?usp=drivesdk")</f>
        <v>https://drive.google.com/file/d/1PHwU5k5BzhRj3vTZ2_WSkSMzSQGj-ErM/view?usp=drivesdk</v>
      </c>
    </row>
    <row r="5054">
      <c r="A5054" s="15">
        <f>IFERROR(__xludf.DUMMYFUNCTION("""COMPUTED_VALUE"""),45148.0)</f>
        <v>45148</v>
      </c>
      <c r="B5054" s="16" t="str">
        <f>IFERROR(__xludf.DUMMYFUNCTION("""COMPUTED_VALUE"""),"Envia")</f>
        <v>Envia</v>
      </c>
      <c r="C5054" s="15" t="str">
        <f>IFERROR(__xludf.DUMMYFUNCTION("""COMPUTED_VALUE"""),"CALI")</f>
        <v>CALI</v>
      </c>
      <c r="D5054" s="15" t="str">
        <f>IFERROR(__xludf.DUMMYFUNCTION("""COMPUTED_VALUE"""),"MEDELLÍN")</f>
        <v>MEDELLÍN</v>
      </c>
      <c r="E5054" s="15" t="str">
        <f>IFERROR(__xludf.DUMMYFUNCTION("""COMPUTED_VALUE"""),"Rambla")</f>
        <v>Rambla</v>
      </c>
      <c r="F5054" s="17" t="str">
        <f>IFERROR(__xludf.DUMMYFUNCTION("""COMPUTED_VALUE"""),"CRA 105 #15B45 LOCAL 15 CENTRO COMERCIAL LAS VELAS  cali / - / -")</f>
        <v>CRA 105 #15B45 LOCAL 15 CENTRO COMERCIAL LAS VELAS  cali / - / -</v>
      </c>
      <c r="G5054" s="15" t="str">
        <f>IFERROR(__xludf.DUMMYFUNCTION("""COMPUTED_VALUE"""),"Wealthy Market")</f>
        <v>Wealthy Market</v>
      </c>
      <c r="H5054" s="16">
        <f>IFERROR(__xludf.DUMMYFUNCTION("""COMPUTED_VALUE"""),13799.0)</f>
        <v>13799</v>
      </c>
      <c r="I5054" s="18">
        <f>IFERROR(__xludf.DUMMYFUNCTION("""COMPUTED_VALUE"""),27.0)</f>
        <v>27</v>
      </c>
      <c r="J5054" s="18">
        <f>IFERROR(__xludf.DUMMYFUNCTION("""COMPUTED_VALUE"""),25.0)</f>
        <v>25</v>
      </c>
      <c r="K5054" s="18">
        <f>IFERROR(__xludf.DUMMYFUNCTION("""COMPUTED_VALUE"""),24.0)</f>
        <v>24</v>
      </c>
      <c r="L5054" s="17">
        <f>IFERROR(__xludf.DUMMYFUNCTION("""COMPUTED_VALUE"""),3.152542618E9)</f>
        <v>3152542618</v>
      </c>
      <c r="M5054" s="17" t="str">
        <f>IFERROR(__xludf.DUMMYFUNCTION("""COMPUTED_VALUE"""),"#REF!")</f>
        <v>#REF!</v>
      </c>
      <c r="N5054" s="17"/>
      <c r="O5054" s="17"/>
      <c r="P5054" s="17" t="b">
        <f>IFERROR(__xludf.DUMMYFUNCTION("""COMPUTED_VALUE"""),FALSE)</f>
        <v>0</v>
      </c>
      <c r="Q5054" s="20" t="str">
        <f>IFERROR(__xludf.DUMMYFUNCTION("""COMPUTED_VALUE"""),"")</f>
        <v/>
      </c>
      <c r="R5054" s="21" t="str">
        <f>IFERROR(__xludf.DUMMYFUNCTION("""COMPUTED_VALUE"""),"https://drive.google.com/file/d/18K3jeHZb2CjoWT4NdTbpbR4k5EHDSIYI/view?usp=drivesdk")</f>
        <v>https://drive.google.com/file/d/18K3jeHZb2CjoWT4NdTbpbR4k5EHDSIYI/view?usp=drivesdk</v>
      </c>
    </row>
    <row r="5055">
      <c r="A5055" s="15">
        <f>IFERROR(__xludf.DUMMYFUNCTION("""COMPUTED_VALUE"""),45148.0)</f>
        <v>45148</v>
      </c>
      <c r="B5055" s="16" t="str">
        <f>IFERROR(__xludf.DUMMYFUNCTION("""COMPUTED_VALUE"""),"Envia")</f>
        <v>Envia</v>
      </c>
      <c r="C5055" s="15" t="str">
        <f>IFERROR(__xludf.DUMMYFUNCTION("""COMPUTED_VALUE"""),"CALI")</f>
        <v>CALI</v>
      </c>
      <c r="D5055" s="15" t="str">
        <f>IFERROR(__xludf.DUMMYFUNCTION("""COMPUTED_VALUE"""),"MEDELLÍN")</f>
        <v>MEDELLÍN</v>
      </c>
      <c r="E5055" s="15" t="str">
        <f>IFERROR(__xludf.DUMMYFUNCTION("""COMPUTED_VALUE"""),"Terravocado")</f>
        <v>Terravocado</v>
      </c>
      <c r="F5055" s="17" t="str">
        <f>IFERROR(__xludf.DUMMYFUNCTION("""COMPUTED_VALUE"""),"CRA 80 # 13 A 261  / PISO 2 LOCAL 110 / QUINTAS DE DON SIMON, REFE LA 14 DE PASO ANCHO")</f>
        <v>CRA 80 # 13 A 261  / PISO 2 LOCAL 110 / QUINTAS DE DON SIMON, REFE LA 14 DE PASO ANCHO</v>
      </c>
      <c r="G5055" s="15" t="str">
        <f>IFERROR(__xludf.DUMMYFUNCTION("""COMPUTED_VALUE"""),"LA MONTAÑA AGROMERCADOS")</f>
        <v>LA MONTAÑA AGROMERCADOS</v>
      </c>
      <c r="H5055" s="16">
        <f>IFERROR(__xludf.DUMMYFUNCTION("""COMPUTED_VALUE"""),13541.0)</f>
        <v>13541</v>
      </c>
      <c r="I5055" s="18">
        <f>IFERROR(__xludf.DUMMYFUNCTION("""COMPUTED_VALUE"""),20.0)</f>
        <v>20</v>
      </c>
      <c r="J5055" s="18">
        <f>IFERROR(__xludf.DUMMYFUNCTION("""COMPUTED_VALUE"""),24.0)</f>
        <v>24</v>
      </c>
      <c r="K5055" s="18">
        <f>IFERROR(__xludf.DUMMYFUNCTION("""COMPUTED_VALUE"""),34.0)</f>
        <v>34</v>
      </c>
      <c r="L5055" s="17">
        <f>IFERROR(__xludf.DUMMYFUNCTION("""COMPUTED_VALUE"""),3.244933057E9)</f>
        <v>3244933057</v>
      </c>
      <c r="M5055" s="17" t="str">
        <f>IFERROR(__xludf.DUMMYFUNCTION("""COMPUTED_VALUE"""),"#REF!")</f>
        <v>#REF!</v>
      </c>
      <c r="N5055" s="17"/>
      <c r="O5055" s="17"/>
      <c r="P5055" s="17" t="b">
        <f>IFERROR(__xludf.DUMMYFUNCTION("""COMPUTED_VALUE"""),FALSE)</f>
        <v>0</v>
      </c>
      <c r="Q5055" s="20" t="str">
        <f>IFERROR(__xludf.DUMMYFUNCTION("""COMPUTED_VALUE"""),"")</f>
        <v/>
      </c>
      <c r="R5055" s="21" t="str">
        <f>IFERROR(__xludf.DUMMYFUNCTION("""COMPUTED_VALUE"""),"https://drive.google.com/file/d/1M5XdiOTAdQuPhNWcgX_XNWJ6vxIu2z7d/view?usp=drivesdk")</f>
        <v>https://drive.google.com/file/d/1M5XdiOTAdQuPhNWcgX_XNWJ6vxIu2z7d/view?usp=drivesdk</v>
      </c>
    </row>
    <row r="5056">
      <c r="A5056" s="15">
        <f>IFERROR(__xludf.DUMMYFUNCTION("""COMPUTED_VALUE"""),45148.0)</f>
        <v>45148</v>
      </c>
      <c r="B5056" s="16" t="str">
        <f>IFERROR(__xludf.DUMMYFUNCTION("""COMPUTED_VALUE"""),"Envia")</f>
        <v>Envia</v>
      </c>
      <c r="C5056" s="15" t="str">
        <f>IFERROR(__xludf.DUMMYFUNCTION("""COMPUTED_VALUE"""),"CARTAGENA")</f>
        <v>CARTAGENA</v>
      </c>
      <c r="D5056" s="15" t="str">
        <f>IFERROR(__xludf.DUMMYFUNCTION("""COMPUTED_VALUE"""),"BOGOTÁ")</f>
        <v>BOGOTÁ</v>
      </c>
      <c r="E5056" s="15" t="str">
        <f>IFERROR(__xludf.DUMMYFUNCTION("""COMPUTED_VALUE"""),"SISU PARTNERS SAS")</f>
        <v>SISU PARTNERS SAS</v>
      </c>
      <c r="F5056" s="17" t="str">
        <f>IFERROR(__xludf.DUMMYFUNCTION("""COMPUTED_VALUE"""),"Carrera 7 no. 38-48 local 3 / Local Mary &amp; George")</f>
        <v>Carrera 7 no. 38-48 local 3 / Local Mary &amp; George</v>
      </c>
      <c r="G5056" s="15" t="str">
        <f>IFERROR(__xludf.DUMMYFUNCTION("""COMPUTED_VALUE"""),"Carolyne Bailey")</f>
        <v>Carolyne Bailey</v>
      </c>
      <c r="H5056" s="16">
        <f>IFERROR(__xludf.DUMMYFUNCTION("""COMPUTED_VALUE"""),13775.0)</f>
        <v>13775</v>
      </c>
      <c r="I5056" s="18" t="str">
        <f>IFERROR(__xludf.DUMMYFUNCTION("""COMPUTED_VALUE"""),"52.5")</f>
        <v>52.5</v>
      </c>
      <c r="J5056" s="18">
        <f>IFERROR(__xludf.DUMMYFUNCTION("""COMPUTED_VALUE"""),45.0)</f>
        <v>45</v>
      </c>
      <c r="K5056" s="18">
        <f>IFERROR(__xludf.DUMMYFUNCTION("""COMPUTED_VALUE"""),55.0)</f>
        <v>55</v>
      </c>
      <c r="L5056" s="17">
        <f>IFERROR(__xludf.DUMMYFUNCTION("""COMPUTED_VALUE"""),3.105510381E9)</f>
        <v>3105510381</v>
      </c>
      <c r="M5056" s="17" t="str">
        <f>IFERROR(__xludf.DUMMYFUNCTION("""COMPUTED_VALUE"""),"#REF!")</f>
        <v>#REF!</v>
      </c>
      <c r="N5056" s="17"/>
      <c r="O5056" s="17"/>
      <c r="P5056" s="17" t="b">
        <f>IFERROR(__xludf.DUMMYFUNCTION("""COMPUTED_VALUE"""),FALSE)</f>
        <v>0</v>
      </c>
      <c r="Q5056" s="20" t="str">
        <f>IFERROR(__xludf.DUMMYFUNCTION("""COMPUTED_VALUE"""),"")</f>
        <v/>
      </c>
      <c r="R5056" s="22" t="str">
        <f>IFERROR(__xludf.DUMMYFUNCTION("""COMPUTED_VALUE"""),"")</f>
        <v/>
      </c>
    </row>
    <row r="5057">
      <c r="A5057" s="15">
        <f>IFERROR(__xludf.DUMMYFUNCTION("""COMPUTED_VALUE"""),45148.0)</f>
        <v>45148</v>
      </c>
      <c r="B5057" s="16" t="str">
        <f>IFERROR(__xludf.DUMMYFUNCTION("""COMPUTED_VALUE"""),"Envia")</f>
        <v>Envia</v>
      </c>
      <c r="C5057" s="15" t="str">
        <f>IFERROR(__xludf.DUMMYFUNCTION("""COMPUTED_VALUE"""),"GIRARDOT")</f>
        <v>GIRARDOT</v>
      </c>
      <c r="D5057" s="15" t="str">
        <f>IFERROR(__xludf.DUMMYFUNCTION("""COMPUTED_VALUE"""),"BOGOTÁ")</f>
        <v>BOGOTÁ</v>
      </c>
      <c r="E5057" s="15" t="str">
        <f>IFERROR(__xludf.DUMMYFUNCTION("""COMPUTED_VALUE"""),"Evamazzita")</f>
        <v>Evamazzita</v>
      </c>
      <c r="F5057" s="17" t="str">
        <f>IFERROR(__xludf.DUMMYFUNCTION("""COMPUTED_VALUE"""),"BARRIO DIAMANTE MANZANA 30 CASA 18  / FRENTE A LA CARCEL / BARRIO DIAMANTE")</f>
        <v>BARRIO DIAMANTE MANZANA 30 CASA 18  / FRENTE A LA CARCEL / BARRIO DIAMANTE</v>
      </c>
      <c r="G5057" s="15" t="str">
        <f>IFERROR(__xludf.DUMMYFUNCTION("""COMPUTED_VALUE"""),"LAURA VALENTINA CASTRO SEGURA")</f>
        <v>LAURA VALENTINA CASTRO SEGURA</v>
      </c>
      <c r="H5057" s="16">
        <f>IFERROR(__xludf.DUMMYFUNCTION("""COMPUTED_VALUE"""),13781.0)</f>
        <v>13781</v>
      </c>
      <c r="I5057" s="18">
        <f>IFERROR(__xludf.DUMMYFUNCTION("""COMPUTED_VALUE"""),1.0)</f>
        <v>1</v>
      </c>
      <c r="J5057" s="18">
        <f>IFERROR(__xludf.DUMMYFUNCTION("""COMPUTED_VALUE"""),1.0)</f>
        <v>1</v>
      </c>
      <c r="K5057" s="18">
        <f>IFERROR(__xludf.DUMMYFUNCTION("""COMPUTED_VALUE"""),1.0)</f>
        <v>1</v>
      </c>
      <c r="L5057" s="17">
        <f>IFERROR(__xludf.DUMMYFUNCTION("""COMPUTED_VALUE"""),3.102607377E9)</f>
        <v>3102607377</v>
      </c>
      <c r="M5057" s="17" t="str">
        <f>IFERROR(__xludf.DUMMYFUNCTION("""COMPUTED_VALUE"""),"#REF!")</f>
        <v>#REF!</v>
      </c>
      <c r="N5057" s="17"/>
      <c r="O5057" s="17"/>
      <c r="P5057" s="17" t="b">
        <f>IFERROR(__xludf.DUMMYFUNCTION("""COMPUTED_VALUE"""),FALSE)</f>
        <v>0</v>
      </c>
      <c r="Q5057" s="20" t="str">
        <f>IFERROR(__xludf.DUMMYFUNCTION("""COMPUTED_VALUE"""),"")</f>
        <v/>
      </c>
      <c r="R5057" s="22" t="str">
        <f>IFERROR(__xludf.DUMMYFUNCTION("""COMPUTED_VALUE"""),"")</f>
        <v/>
      </c>
    </row>
    <row r="5058">
      <c r="A5058" s="15">
        <f>IFERROR(__xludf.DUMMYFUNCTION("""COMPUTED_VALUE"""),45148.0)</f>
        <v>45148</v>
      </c>
      <c r="B5058" s="16" t="str">
        <f>IFERROR(__xludf.DUMMYFUNCTION("""COMPUTED_VALUE"""),"Envia")</f>
        <v>Envia</v>
      </c>
      <c r="C5058" s="15" t="str">
        <f>IFERROR(__xludf.DUMMYFUNCTION("""COMPUTED_VALUE"""),"GIRARDOT")</f>
        <v>GIRARDOT</v>
      </c>
      <c r="D5058" s="15" t="str">
        <f>IFERROR(__xludf.DUMMYFUNCTION("""COMPUTED_VALUE"""),"BOGOTÁ")</f>
        <v>BOGOTÁ</v>
      </c>
      <c r="E5058" s="15" t="str">
        <f>IFERROR(__xludf.DUMMYFUNCTION("""COMPUTED_VALUE"""),"Evamazzita")</f>
        <v>Evamazzita</v>
      </c>
      <c r="F5058" s="17" t="str">
        <f>IFERROR(__xludf.DUMMYFUNCTION("""COMPUTED_VALUE"""),"Calle 32a #4-24  / SANTA FE / SANTA FE")</f>
        <v>Calle 32a #4-24  / SANTA FE / SANTA FE</v>
      </c>
      <c r="G5058" s="15" t="str">
        <f>IFERROR(__xludf.DUMMYFUNCTION("""COMPUTED_VALUE"""),"LIZETH CAROLINA BARRETO TRUJILLO")</f>
        <v>LIZETH CAROLINA BARRETO TRUJILLO</v>
      </c>
      <c r="H5058" s="16">
        <f>IFERROR(__xludf.DUMMYFUNCTION("""COMPUTED_VALUE"""),13782.0)</f>
        <v>13782</v>
      </c>
      <c r="I5058" s="18">
        <f>IFERROR(__xludf.DUMMYFUNCTION("""COMPUTED_VALUE"""),1.0)</f>
        <v>1</v>
      </c>
      <c r="J5058" s="18">
        <f>IFERROR(__xludf.DUMMYFUNCTION("""COMPUTED_VALUE"""),1.0)</f>
        <v>1</v>
      </c>
      <c r="K5058" s="18">
        <f>IFERROR(__xludf.DUMMYFUNCTION("""COMPUTED_VALUE"""),1.0)</f>
        <v>1</v>
      </c>
      <c r="L5058" s="17">
        <f>IFERROR(__xludf.DUMMYFUNCTION("""COMPUTED_VALUE"""),3.134566703E9)</f>
        <v>3134566703</v>
      </c>
      <c r="M5058" s="17" t="str">
        <f>IFERROR(__xludf.DUMMYFUNCTION("""COMPUTED_VALUE"""),"#REF!")</f>
        <v>#REF!</v>
      </c>
      <c r="N5058" s="17"/>
      <c r="O5058" s="17"/>
      <c r="P5058" s="17" t="b">
        <f>IFERROR(__xludf.DUMMYFUNCTION("""COMPUTED_VALUE"""),FALSE)</f>
        <v>0</v>
      </c>
      <c r="Q5058" s="20" t="str">
        <f>IFERROR(__xludf.DUMMYFUNCTION("""COMPUTED_VALUE"""),"")</f>
        <v/>
      </c>
      <c r="R5058" s="22" t="str">
        <f>IFERROR(__xludf.DUMMYFUNCTION("""COMPUTED_VALUE"""),"")</f>
        <v/>
      </c>
    </row>
    <row r="5059">
      <c r="A5059" s="15">
        <f>IFERROR(__xludf.DUMMYFUNCTION("""COMPUTED_VALUE"""),45148.0)</f>
        <v>45148</v>
      </c>
      <c r="B5059" s="16" t="str">
        <f>IFERROR(__xludf.DUMMYFUNCTION("""COMPUTED_VALUE"""),"Envia")</f>
        <v>Envia</v>
      </c>
      <c r="C5059" s="15" t="str">
        <f>IFERROR(__xludf.DUMMYFUNCTION("""COMPUTED_VALUE"""),"MEDELLÍN")</f>
        <v>MEDELLÍN</v>
      </c>
      <c r="D5059" s="15" t="str">
        <f>IFERROR(__xludf.DUMMYFUNCTION("""COMPUTED_VALUE"""),"BARRANQUILLA")</f>
        <v>BARRANQUILLA</v>
      </c>
      <c r="E5059" s="15" t="str">
        <f>IFERROR(__xludf.DUMMYFUNCTION("""COMPUTED_VALUE"""),"Montes de Maria")</f>
        <v>Montes de Maria</v>
      </c>
      <c r="F5059" s="17" t="str">
        <f>IFERROR(__xludf.DUMMYFUNCTION("""COMPUTED_VALUE"""),"Calle 27A sur # 47 - 50 Interior 403 - 40 / Conjunto residencial las vegas  / Envigado")</f>
        <v>Calle 27A sur # 47 - 50 Interior 403 - 40 / Conjunto residencial las vegas  / Envigado</v>
      </c>
      <c r="G5059" s="15" t="str">
        <f>IFERROR(__xludf.DUMMYFUNCTION("""COMPUTED_VALUE"""),"Eduardo Chadid")</f>
        <v>Eduardo Chadid</v>
      </c>
      <c r="H5059" s="16">
        <f>IFERROR(__xludf.DUMMYFUNCTION("""COMPUTED_VALUE"""),13699.0)</f>
        <v>13699</v>
      </c>
      <c r="I5059" s="18">
        <f>IFERROR(__xludf.DUMMYFUNCTION("""COMPUTED_VALUE"""),29.0)</f>
        <v>29</v>
      </c>
      <c r="J5059" s="18">
        <f>IFERROR(__xludf.DUMMYFUNCTION("""COMPUTED_VALUE"""),53.0)</f>
        <v>53</v>
      </c>
      <c r="K5059" s="18">
        <f>IFERROR(__xludf.DUMMYFUNCTION("""COMPUTED_VALUE"""),45.0)</f>
        <v>45</v>
      </c>
      <c r="L5059" s="17">
        <f>IFERROR(__xludf.DUMMYFUNCTION("""COMPUTED_VALUE"""),3.16279944E9)</f>
        <v>3162799440</v>
      </c>
      <c r="M5059" s="17" t="str">
        <f>IFERROR(__xludf.DUMMYFUNCTION("""COMPUTED_VALUE"""),"#REF!")</f>
        <v>#REF!</v>
      </c>
      <c r="N5059" s="17"/>
      <c r="O5059" s="17"/>
      <c r="P5059" s="17" t="b">
        <f>IFERROR(__xludf.DUMMYFUNCTION("""COMPUTED_VALUE"""),TRUE)</f>
        <v>1</v>
      </c>
      <c r="Q5059" s="20">
        <f>IFERROR(__xludf.DUMMYFUNCTION("""COMPUTED_VALUE"""),45149.73446315972)</f>
        <v>45149.73446</v>
      </c>
      <c r="R5059" s="22" t="str">
        <f>IFERROR(__xludf.DUMMYFUNCTION("""COMPUTED_VALUE"""),"")</f>
        <v/>
      </c>
    </row>
    <row r="5060">
      <c r="A5060" s="15">
        <f>IFERROR(__xludf.DUMMYFUNCTION("""COMPUTED_VALUE"""),45148.0)</f>
        <v>45148</v>
      </c>
      <c r="B5060" s="16" t="str">
        <f>IFERROR(__xludf.DUMMYFUNCTION("""COMPUTED_VALUE"""),"Envia")</f>
        <v>Envia</v>
      </c>
      <c r="C5060" s="15" t="str">
        <f>IFERROR(__xludf.DUMMYFUNCTION("""COMPUTED_VALUE"""),"NEIVA")</f>
        <v>NEIVA</v>
      </c>
      <c r="D5060" s="15" t="str">
        <f>IFERROR(__xludf.DUMMYFUNCTION("""COMPUTED_VALUE"""),"BOGOTÁ")</f>
        <v>BOGOTÁ</v>
      </c>
      <c r="E5060" s="15" t="str">
        <f>IFERROR(__xludf.DUMMYFUNCTION("""COMPUTED_VALUE"""),"Evamazzita")</f>
        <v>Evamazzita</v>
      </c>
      <c r="F5060" s="17" t="str">
        <f>IFERROR(__xludf.DUMMYFUNCTION("""COMPUTED_VALUE"""),"AV 26 # 27 94 / TORRE 2 APTO 204 CONJUNTO RESIDENCIAL SANTA LUCIA / BARRIO LAS GRANJAS")</f>
        <v>AV 26 # 27 94 / TORRE 2 APTO 204 CONJUNTO RESIDENCIAL SANTA LUCIA / BARRIO LAS GRANJAS</v>
      </c>
      <c r="G5060" s="15" t="str">
        <f>IFERROR(__xludf.DUMMYFUNCTION("""COMPUTED_VALUE"""),"ANA MARIA SANTOFIMIO MENDEZ")</f>
        <v>ANA MARIA SANTOFIMIO MENDEZ</v>
      </c>
      <c r="H5060" s="16">
        <f>IFERROR(__xludf.DUMMYFUNCTION("""COMPUTED_VALUE"""),13783.0)</f>
        <v>13783</v>
      </c>
      <c r="I5060" s="18">
        <f>IFERROR(__xludf.DUMMYFUNCTION("""COMPUTED_VALUE"""),1.0)</f>
        <v>1</v>
      </c>
      <c r="J5060" s="18">
        <f>IFERROR(__xludf.DUMMYFUNCTION("""COMPUTED_VALUE"""),1.0)</f>
        <v>1</v>
      </c>
      <c r="K5060" s="18">
        <f>IFERROR(__xludf.DUMMYFUNCTION("""COMPUTED_VALUE"""),1.0)</f>
        <v>1</v>
      </c>
      <c r="L5060" s="17">
        <f>IFERROR(__xludf.DUMMYFUNCTION("""COMPUTED_VALUE"""),3.214676999E9)</f>
        <v>3214676999</v>
      </c>
      <c r="M5060" s="17" t="str">
        <f>IFERROR(__xludf.DUMMYFUNCTION("""COMPUTED_VALUE"""),"#REF!")</f>
        <v>#REF!</v>
      </c>
      <c r="N5060" s="17"/>
      <c r="O5060" s="17"/>
      <c r="P5060" s="17" t="b">
        <f>IFERROR(__xludf.DUMMYFUNCTION("""COMPUTED_VALUE"""),FALSE)</f>
        <v>0</v>
      </c>
      <c r="Q5060" s="20" t="str">
        <f>IFERROR(__xludf.DUMMYFUNCTION("""COMPUTED_VALUE"""),"")</f>
        <v/>
      </c>
      <c r="R5060" s="22" t="str">
        <f>IFERROR(__xludf.DUMMYFUNCTION("""COMPUTED_VALUE"""),"")</f>
        <v/>
      </c>
    </row>
    <row r="5061">
      <c r="A5061" s="15">
        <f>IFERROR(__xludf.DUMMYFUNCTION("""COMPUTED_VALUE"""),45148.0)</f>
        <v>45148</v>
      </c>
      <c r="B5061" s="16" t="str">
        <f>IFERROR(__xludf.DUMMYFUNCTION("""COMPUTED_VALUE"""),"Envia")</f>
        <v>Envia</v>
      </c>
      <c r="C5061" s="15" t="str">
        <f>IFERROR(__xludf.DUMMYFUNCTION("""COMPUTED_VALUE"""),"VILLAVICENCIO")</f>
        <v>VILLAVICENCIO</v>
      </c>
      <c r="D5061" s="15" t="str">
        <f>IFERROR(__xludf.DUMMYFUNCTION("""COMPUTED_VALUE"""),"BOGOTÁ")</f>
        <v>BOGOTÁ</v>
      </c>
      <c r="E5061" s="15" t="str">
        <f>IFERROR(__xludf.DUMMYFUNCTION("""COMPUTED_VALUE"""),"Evamazzita")</f>
        <v>Evamazzita</v>
      </c>
      <c r="F5061" s="17" t="str">
        <f>IFERROR(__xludf.DUMMYFUNCTION("""COMPUTED_VALUE"""),"RECOGE CENTRO DE ACOPIO VILLAVICENCIO - LLAMAR  / RECOGE CENTRO DE ACOPIO VILLAVICENCIO - LLAMAR  / CENTRO DE ACOPIO")</f>
        <v>RECOGE CENTRO DE ACOPIO VILLAVICENCIO - LLAMAR  / RECOGE CENTRO DE ACOPIO VILLAVICENCIO - LLAMAR  / CENTRO DE ACOPIO</v>
      </c>
      <c r="G5061" s="15" t="str">
        <f>IFERROR(__xludf.DUMMYFUNCTION("""COMPUTED_VALUE"""),"BARBARA AMAYA MORALES")</f>
        <v>BARBARA AMAYA MORALES</v>
      </c>
      <c r="H5061" s="16">
        <f>IFERROR(__xludf.DUMMYFUNCTION("""COMPUTED_VALUE"""),13789.0)</f>
        <v>13789</v>
      </c>
      <c r="I5061" s="18">
        <f>IFERROR(__xludf.DUMMYFUNCTION("""COMPUTED_VALUE"""),1.0)</f>
        <v>1</v>
      </c>
      <c r="J5061" s="18">
        <f>IFERROR(__xludf.DUMMYFUNCTION("""COMPUTED_VALUE"""),1.0)</f>
        <v>1</v>
      </c>
      <c r="K5061" s="18">
        <f>IFERROR(__xludf.DUMMYFUNCTION("""COMPUTED_VALUE"""),1.0)</f>
        <v>1</v>
      </c>
      <c r="L5061" s="17">
        <f>IFERROR(__xludf.DUMMYFUNCTION("""COMPUTED_VALUE"""),3.212179055E9)</f>
        <v>3212179055</v>
      </c>
      <c r="M5061" s="17" t="str">
        <f>IFERROR(__xludf.DUMMYFUNCTION("""COMPUTED_VALUE"""),"#REF!")</f>
        <v>#REF!</v>
      </c>
      <c r="N5061" s="17"/>
      <c r="O5061" s="17"/>
      <c r="P5061" s="17" t="b">
        <f>IFERROR(__xludf.DUMMYFUNCTION("""COMPUTED_VALUE"""),FALSE)</f>
        <v>0</v>
      </c>
      <c r="Q5061" s="20" t="str">
        <f>IFERROR(__xludf.DUMMYFUNCTION("""COMPUTED_VALUE"""),"")</f>
        <v/>
      </c>
      <c r="R5061" s="21" t="str">
        <f>IFERROR(__xludf.DUMMYFUNCTION("""COMPUTED_VALUE"""),"https://drive.google.com/file/d/10Ad7xS84D33OD_zExXb_kSscrUS-zsyT/view?usp=drivesdk")</f>
        <v>https://drive.google.com/file/d/10Ad7xS84D33OD_zExXb_kSscrUS-zsyT/view?usp=drivesdk</v>
      </c>
    </row>
    <row r="5062">
      <c r="A5062" s="15">
        <f>IFERROR(__xludf.DUMMYFUNCTION("""COMPUTED_VALUE"""),45148.0)</f>
        <v>45148</v>
      </c>
      <c r="B5062" s="16" t="str">
        <f>IFERROR(__xludf.DUMMYFUNCTION("""COMPUTED_VALUE"""),"Envia")</f>
        <v>Envia</v>
      </c>
      <c r="C5062" s="15" t="str">
        <f>IFERROR(__xludf.DUMMYFUNCTION("""COMPUTED_VALUE"""),"VILLAVICENCIO")</f>
        <v>VILLAVICENCIO</v>
      </c>
      <c r="D5062" s="15" t="str">
        <f>IFERROR(__xludf.DUMMYFUNCTION("""COMPUTED_VALUE"""),"BUCARAMANGA")</f>
        <v>BUCARAMANGA</v>
      </c>
      <c r="E5062" s="15" t="str">
        <f>IFERROR(__xludf.DUMMYFUNCTION("""COMPUTED_VALUE"""),"Yo Como Solito")</f>
        <v>Yo Como Solito</v>
      </c>
      <c r="F5062" s="17" t="str">
        <f>IFERROR(__xludf.DUMMYFUNCTION("""COMPUTED_VALUE"""),"carrera 40 no. 5A - 41 sur torre 8 apto 305 / carrera 40 no. 5A - 41 sur torre 8 apto 305 / carrera 40 no. 5A - 41 sur torre 8 apto 305")</f>
        <v>carrera 40 no. 5A - 41 sur torre 8 apto 305 / carrera 40 no. 5A - 41 sur torre 8 apto 305 / carrera 40 no. 5A - 41 sur torre 8 apto 305</v>
      </c>
      <c r="G5062" s="15" t="str">
        <f>IFERROR(__xludf.DUMMYFUNCTION("""COMPUTED_VALUE"""),"TATIANA CORTES GONZALES")</f>
        <v>TATIANA CORTES GONZALES</v>
      </c>
      <c r="H5062" s="16">
        <f>IFERROR(__xludf.DUMMYFUNCTION("""COMPUTED_VALUE"""),13607.0)</f>
        <v>13607</v>
      </c>
      <c r="I5062" s="18">
        <f>IFERROR(__xludf.DUMMYFUNCTION("""COMPUTED_VALUE"""),12.0)</f>
        <v>12</v>
      </c>
      <c r="J5062" s="18">
        <f>IFERROR(__xludf.DUMMYFUNCTION("""COMPUTED_VALUE"""),23.0)</f>
        <v>23</v>
      </c>
      <c r="K5062" s="18">
        <f>IFERROR(__xludf.DUMMYFUNCTION("""COMPUTED_VALUE"""),28.0)</f>
        <v>28</v>
      </c>
      <c r="L5062" s="17">
        <f>IFERROR(__xludf.DUMMYFUNCTION("""COMPUTED_VALUE"""),3.006485414E9)</f>
        <v>3006485414</v>
      </c>
      <c r="M5062" s="17" t="str">
        <f>IFERROR(__xludf.DUMMYFUNCTION("""COMPUTED_VALUE"""),"#REF!")</f>
        <v>#REF!</v>
      </c>
      <c r="N5062" s="17"/>
      <c r="O5062" s="17"/>
      <c r="P5062" s="17" t="b">
        <f>IFERROR(__xludf.DUMMYFUNCTION("""COMPUTED_VALUE"""),FALSE)</f>
        <v>0</v>
      </c>
      <c r="Q5062" s="20" t="str">
        <f>IFERROR(__xludf.DUMMYFUNCTION("""COMPUTED_VALUE"""),"")</f>
        <v/>
      </c>
      <c r="R5062" s="21" t="str">
        <f>IFERROR(__xludf.DUMMYFUNCTION("""COMPUTED_VALUE"""),"https://drive.google.com/file/d/1wZ10-xm--zQj_pxK-y74gm5qf5aHV662/view?usp=drivesdk")</f>
        <v>https://drive.google.com/file/d/1wZ10-xm--zQj_pxK-y74gm5qf5aHV662/view?usp=drivesdk</v>
      </c>
    </row>
    <row r="5063">
      <c r="A5063" s="15">
        <f>IFERROR(__xludf.DUMMYFUNCTION("""COMPUTED_VALUE"""),45148.0)</f>
        <v>45148</v>
      </c>
      <c r="B5063" s="16" t="str">
        <f>IFERROR(__xludf.DUMMYFUNCTION("""COMPUTED_VALUE"""),"Envia")</f>
        <v>Envia</v>
      </c>
      <c r="C5063" s="15" t="str">
        <f>IFERROR(__xludf.DUMMYFUNCTION("""COMPUTED_VALUE"""),"VILLAVICENCIO")</f>
        <v>VILLAVICENCIO</v>
      </c>
      <c r="D5063" s="15" t="str">
        <f>IFERROR(__xludf.DUMMYFUNCTION("""COMPUTED_VALUE"""),"MEDELLÍN")</f>
        <v>MEDELLÍN</v>
      </c>
      <c r="E5063" s="15" t="str">
        <f>IFERROR(__xludf.DUMMYFUNCTION("""COMPUTED_VALUE"""),"AREPAS LA MARY")</f>
        <v>AREPAS LA MARY</v>
      </c>
      <c r="F5063" s="17" t="str">
        <f>IFERROR(__xludf.DUMMYFUNCTION("""COMPUTED_VALUE"""),"CLLE 15 N.44 116 / LOCAL 5")</f>
        <v>CLLE 15 N.44 116 / LOCAL 5</v>
      </c>
      <c r="G5063" s="15" t="str">
        <f>IFERROR(__xludf.DUMMYFUNCTION("""COMPUTED_VALUE"""),"SANA TENTACION")</f>
        <v>SANA TENTACION</v>
      </c>
      <c r="H5063" s="16">
        <f>IFERROR(__xludf.DUMMYFUNCTION("""COMPUTED_VALUE"""),13680.0)</f>
        <v>13680</v>
      </c>
      <c r="I5063" s="18">
        <f>IFERROR(__xludf.DUMMYFUNCTION("""COMPUTED_VALUE"""),89.0)</f>
        <v>89</v>
      </c>
      <c r="J5063" s="18">
        <f>IFERROR(__xludf.DUMMYFUNCTION("""COMPUTED_VALUE"""),1.0)</f>
        <v>1</v>
      </c>
      <c r="K5063" s="18">
        <f>IFERROR(__xludf.DUMMYFUNCTION("""COMPUTED_VALUE"""),10.0)</f>
        <v>10</v>
      </c>
      <c r="L5063" s="17">
        <f>IFERROR(__xludf.DUMMYFUNCTION("""COMPUTED_VALUE"""),3.008383044E9)</f>
        <v>3008383044</v>
      </c>
      <c r="M5063" s="17" t="str">
        <f>IFERROR(__xludf.DUMMYFUNCTION("""COMPUTED_VALUE"""),"#REF!")</f>
        <v>#REF!</v>
      </c>
      <c r="N5063" s="17"/>
      <c r="O5063" s="17"/>
      <c r="P5063" s="17" t="b">
        <f>IFERROR(__xludf.DUMMYFUNCTION("""COMPUTED_VALUE"""),FALSE)</f>
        <v>0</v>
      </c>
      <c r="Q5063" s="20" t="str">
        <f>IFERROR(__xludf.DUMMYFUNCTION("""COMPUTED_VALUE"""),"")</f>
        <v/>
      </c>
      <c r="R5063" s="22" t="str">
        <f>IFERROR(__xludf.DUMMYFUNCTION("""COMPUTED_VALUE"""),"")</f>
        <v/>
      </c>
    </row>
    <row r="5064">
      <c r="A5064" s="17" t="str">
        <f>IFERROR(__xludf.DUMMYFUNCTION("""COMPUTED_VALUE"""),"")</f>
        <v/>
      </c>
      <c r="B5064" s="17" t="str">
        <f>IFERROR(__xludf.DUMMYFUNCTION("""COMPUTED_VALUE"""),"")</f>
        <v/>
      </c>
      <c r="C5064" s="17" t="str">
        <f>IFERROR(__xludf.DUMMYFUNCTION("""COMPUTED_VALUE"""),"")</f>
        <v/>
      </c>
      <c r="D5064" s="17" t="str">
        <f>IFERROR(__xludf.DUMMYFUNCTION("""COMPUTED_VALUE"""),"")</f>
        <v/>
      </c>
      <c r="E5064" s="17" t="str">
        <f>IFERROR(__xludf.DUMMYFUNCTION("""COMPUTED_VALUE"""),"")</f>
        <v/>
      </c>
      <c r="F5064" s="17" t="str">
        <f>IFERROR(__xludf.DUMMYFUNCTION("""COMPUTED_VALUE"""),"")</f>
        <v/>
      </c>
      <c r="G5064" s="17" t="str">
        <f>IFERROR(__xludf.DUMMYFUNCTION("""COMPUTED_VALUE"""),"")</f>
        <v/>
      </c>
      <c r="H5064" s="17" t="str">
        <f>IFERROR(__xludf.DUMMYFUNCTION("""COMPUTED_VALUE"""),"")</f>
        <v/>
      </c>
      <c r="I5064" s="17" t="str">
        <f>IFERROR(__xludf.DUMMYFUNCTION("""COMPUTED_VALUE"""),"")</f>
        <v/>
      </c>
      <c r="J5064" s="17" t="str">
        <f>IFERROR(__xludf.DUMMYFUNCTION("""COMPUTED_VALUE"""),"")</f>
        <v/>
      </c>
      <c r="K5064" s="17" t="str">
        <f>IFERROR(__xludf.DUMMYFUNCTION("""COMPUTED_VALUE"""),"")</f>
        <v/>
      </c>
      <c r="L5064" s="17" t="str">
        <f>IFERROR(__xludf.DUMMYFUNCTION("""COMPUTED_VALUE"""),"")</f>
        <v/>
      </c>
      <c r="M5064" s="17" t="str">
        <f>IFERROR(__xludf.DUMMYFUNCTION("""COMPUTED_VALUE"""),"")</f>
        <v/>
      </c>
      <c r="N5064" s="17" t="str">
        <f>IFERROR(__xludf.DUMMYFUNCTION("""COMPUTED_VALUE"""),"")</f>
        <v/>
      </c>
      <c r="O5064" s="17" t="str">
        <f>IFERROR(__xludf.DUMMYFUNCTION("""COMPUTED_VALUE"""),"")</f>
        <v/>
      </c>
      <c r="P5064" s="17" t="str">
        <f>IFERROR(__xludf.DUMMYFUNCTION("""COMPUTED_VALUE"""),"")</f>
        <v/>
      </c>
      <c r="Q5064" s="17" t="str">
        <f>IFERROR(__xludf.DUMMYFUNCTION("""COMPUTED_VALUE"""),"")</f>
        <v/>
      </c>
      <c r="R5064" s="17" t="str">
        <f>IFERROR(__xludf.DUMMYFUNCTION("""COMPUTED_VALUE"""),"")</f>
        <v/>
      </c>
    </row>
    <row r="5065">
      <c r="A5065" s="15">
        <f>IFERROR(__xludf.DUMMYFUNCTION("""COMPUTED_VALUE"""),45148.0)</f>
        <v>45148</v>
      </c>
      <c r="B5065" s="16" t="str">
        <f>IFERROR(__xludf.DUMMYFUNCTION("""COMPUTED_VALUE"""),"Jeison Rubiano")</f>
        <v>Jeison Rubiano</v>
      </c>
      <c r="C5065" s="15" t="str">
        <f>IFERROR(__xludf.DUMMYFUNCTION("""COMPUTED_VALUE"""),"MONTERIA")</f>
        <v>MONTERIA</v>
      </c>
      <c r="D5065" s="15" t="str">
        <f>IFERROR(__xludf.DUMMYFUNCTION("""COMPUTED_VALUE"""),"BOGOTÁ")</f>
        <v>BOGOTÁ</v>
      </c>
      <c r="E5065" s="15" t="str">
        <f>IFERROR(__xludf.DUMMYFUNCTION("""COMPUTED_VALUE"""),"MAI ALIMENTOS S.A.S")</f>
        <v>MAI ALIMENTOS S.A.S</v>
      </c>
      <c r="F5065" s="17" t="str">
        <f>IFERROR(__xludf.DUMMYFUNCTION("""COMPUTED_VALUE"""),"Calle 44#10-91 / Centro Comercial Alamedas/Local 4")</f>
        <v>Calle 44#10-91 / Centro Comercial Alamedas/Local 4</v>
      </c>
      <c r="G5065" s="15" t="str">
        <f>IFERROR(__xludf.DUMMYFUNCTION("""COMPUTED_VALUE"""),"Enjoy Fit")</f>
        <v>Enjoy Fit</v>
      </c>
      <c r="H5065" s="16">
        <f>IFERROR(__xludf.DUMMYFUNCTION("""COMPUTED_VALUE"""),13769.0)</f>
        <v>13769</v>
      </c>
      <c r="I5065" s="18">
        <f>IFERROR(__xludf.DUMMYFUNCTION("""COMPUTED_VALUE"""),35.0)</f>
        <v>35</v>
      </c>
      <c r="J5065" s="18">
        <f>IFERROR(__xludf.DUMMYFUNCTION("""COMPUTED_VALUE"""),17.0)</f>
        <v>17</v>
      </c>
      <c r="K5065" s="18">
        <f>IFERROR(__xludf.DUMMYFUNCTION("""COMPUTED_VALUE"""),13.0)</f>
        <v>13</v>
      </c>
      <c r="L5065" s="17">
        <f>IFERROR(__xludf.DUMMYFUNCTION("""COMPUTED_VALUE"""),3.002161363E9)</f>
        <v>3002161363</v>
      </c>
      <c r="M5065" s="17" t="str">
        <f>IFERROR(__xludf.DUMMYFUNCTION("""COMPUTED_VALUE"""),"#REF!")</f>
        <v>#REF!</v>
      </c>
      <c r="N5065" s="17"/>
      <c r="O5065" s="17"/>
      <c r="P5065" s="17" t="b">
        <f>IFERROR(__xludf.DUMMYFUNCTION("""COMPUTED_VALUE"""),FALSE)</f>
        <v>0</v>
      </c>
      <c r="Q5065" s="20" t="str">
        <f>IFERROR(__xludf.DUMMYFUNCTION("""COMPUTED_VALUE"""),"")</f>
        <v/>
      </c>
      <c r="R5065" s="21" t="str">
        <f>IFERROR(__xludf.DUMMYFUNCTION("""COMPUTED_VALUE"""),"https://drive.google.com/file/d/1WJdQ3S4tkQMv1D-rko2PYAEQDE839Q2u/view?usp=drivesdk")</f>
        <v>https://drive.google.com/file/d/1WJdQ3S4tkQMv1D-rko2PYAEQDE839Q2u/view?usp=drivesdk</v>
      </c>
    </row>
    <row r="5066">
      <c r="A5066" s="17" t="str">
        <f>IFERROR(__xludf.DUMMYFUNCTION("""COMPUTED_VALUE"""),"")</f>
        <v/>
      </c>
      <c r="B5066" s="17" t="str">
        <f>IFERROR(__xludf.DUMMYFUNCTION("""COMPUTED_VALUE"""),"")</f>
        <v/>
      </c>
      <c r="C5066" s="17" t="str">
        <f>IFERROR(__xludf.DUMMYFUNCTION("""COMPUTED_VALUE"""),"")</f>
        <v/>
      </c>
      <c r="D5066" s="17" t="str">
        <f>IFERROR(__xludf.DUMMYFUNCTION("""COMPUTED_VALUE"""),"")</f>
        <v/>
      </c>
      <c r="E5066" s="17" t="str">
        <f>IFERROR(__xludf.DUMMYFUNCTION("""COMPUTED_VALUE"""),"")</f>
        <v/>
      </c>
      <c r="F5066" s="17" t="str">
        <f>IFERROR(__xludf.DUMMYFUNCTION("""COMPUTED_VALUE"""),"")</f>
        <v/>
      </c>
      <c r="G5066" s="17" t="str">
        <f>IFERROR(__xludf.DUMMYFUNCTION("""COMPUTED_VALUE"""),"")</f>
        <v/>
      </c>
      <c r="H5066" s="17" t="str">
        <f>IFERROR(__xludf.DUMMYFUNCTION("""COMPUTED_VALUE"""),"")</f>
        <v/>
      </c>
      <c r="I5066" s="17" t="str">
        <f>IFERROR(__xludf.DUMMYFUNCTION("""COMPUTED_VALUE"""),"")</f>
        <v/>
      </c>
      <c r="J5066" s="17" t="str">
        <f>IFERROR(__xludf.DUMMYFUNCTION("""COMPUTED_VALUE"""),"")</f>
        <v/>
      </c>
      <c r="K5066" s="17" t="str">
        <f>IFERROR(__xludf.DUMMYFUNCTION("""COMPUTED_VALUE"""),"")</f>
        <v/>
      </c>
      <c r="L5066" s="17" t="str">
        <f>IFERROR(__xludf.DUMMYFUNCTION("""COMPUTED_VALUE"""),"")</f>
        <v/>
      </c>
      <c r="M5066" s="17" t="str">
        <f>IFERROR(__xludf.DUMMYFUNCTION("""COMPUTED_VALUE"""),"")</f>
        <v/>
      </c>
      <c r="N5066" s="17" t="str">
        <f>IFERROR(__xludf.DUMMYFUNCTION("""COMPUTED_VALUE"""),"")</f>
        <v/>
      </c>
      <c r="O5066" s="17" t="str">
        <f>IFERROR(__xludf.DUMMYFUNCTION("""COMPUTED_VALUE"""),"")</f>
        <v/>
      </c>
      <c r="P5066" s="17" t="str">
        <f>IFERROR(__xludf.DUMMYFUNCTION("""COMPUTED_VALUE"""),"")</f>
        <v/>
      </c>
      <c r="Q5066" s="17" t="str">
        <f>IFERROR(__xludf.DUMMYFUNCTION("""COMPUTED_VALUE"""),"")</f>
        <v/>
      </c>
      <c r="R5066" s="17" t="str">
        <f>IFERROR(__xludf.DUMMYFUNCTION("""COMPUTED_VALUE"""),"")</f>
        <v/>
      </c>
    </row>
    <row r="5067">
      <c r="A5067" s="15">
        <f>IFERROR(__xludf.DUMMYFUNCTION("""COMPUTED_VALUE"""),45148.0)</f>
        <v>45148</v>
      </c>
      <c r="B5067" s="16" t="str">
        <f>IFERROR(__xludf.DUMMYFUNCTION("""COMPUTED_VALUE"""),"Johan Alexander Escobar Arroyo ")</f>
        <v>Johan Alexander Escobar Arroyo </v>
      </c>
      <c r="C5067" s="15" t="str">
        <f>IFERROR(__xludf.DUMMYFUNCTION("""COMPUTED_VALUE"""),"CALI")</f>
        <v>CALI</v>
      </c>
      <c r="D5067" s="15" t="str">
        <f>IFERROR(__xludf.DUMMYFUNCTION("""COMPUTED_VALUE"""),"BOGOTÁ")</f>
        <v>BOGOTÁ</v>
      </c>
      <c r="E5067" s="15" t="str">
        <f>IFERROR(__xludf.DUMMYFUNCTION("""COMPUTED_VALUE"""),"Mochi")</f>
        <v>Mochi</v>
      </c>
      <c r="F5067" s="17" t="str">
        <f>IFERROR(__xludf.DUMMYFUNCTION("""COMPUTED_VALUE"""),"Cl. 15 Nte. #9n-16, Granada, Cali, Valle del Cauca /  Granada,                Cali, Valle del Cauca / Granada,                Cali, Valle del Cauca")</f>
        <v>Cl. 15 Nte. #9n-16, Granada, Cali, Valle del Cauca /  Granada,                Cali, Valle del Cauca / Granada,                Cali, Valle del Cauca</v>
      </c>
      <c r="G5067" s="15" t="str">
        <f>IFERROR(__xludf.DUMMYFUNCTION("""COMPUTED_VALUE"""),"Estrefania")</f>
        <v>Estrefania</v>
      </c>
      <c r="H5067" s="16">
        <f>IFERROR(__xludf.DUMMYFUNCTION("""COMPUTED_VALUE"""),13823.0)</f>
        <v>13823</v>
      </c>
      <c r="I5067" s="18">
        <f>IFERROR(__xludf.DUMMYFUNCTION("""COMPUTED_VALUE"""),100.0)</f>
        <v>100</v>
      </c>
      <c r="J5067" s="18">
        <f>IFERROR(__xludf.DUMMYFUNCTION("""COMPUTED_VALUE"""),100.0)</f>
        <v>100</v>
      </c>
      <c r="K5067" s="18">
        <f>IFERROR(__xludf.DUMMYFUNCTION("""COMPUTED_VALUE"""),100.0)</f>
        <v>100</v>
      </c>
      <c r="L5067" s="17">
        <f>IFERROR(__xludf.DUMMYFUNCTION("""COMPUTED_VALUE"""),3.183028598E9)</f>
        <v>3183028598</v>
      </c>
      <c r="M5067" s="17" t="str">
        <f>IFERROR(__xludf.DUMMYFUNCTION("""COMPUTED_VALUE"""),"#REF!")</f>
        <v>#REF!</v>
      </c>
      <c r="N5067" s="17"/>
      <c r="O5067" s="17"/>
      <c r="P5067" s="17" t="b">
        <f>IFERROR(__xludf.DUMMYFUNCTION("""COMPUTED_VALUE"""),FALSE)</f>
        <v>0</v>
      </c>
      <c r="Q5067" s="20" t="str">
        <f>IFERROR(__xludf.DUMMYFUNCTION("""COMPUTED_VALUE"""),"")</f>
        <v/>
      </c>
      <c r="R5067" s="22" t="str">
        <f>IFERROR(__xludf.DUMMYFUNCTION("""COMPUTED_VALUE"""),"")</f>
        <v/>
      </c>
    </row>
    <row r="5068">
      <c r="A5068" s="15">
        <f>IFERROR(__xludf.DUMMYFUNCTION("""COMPUTED_VALUE"""),45148.0)</f>
        <v>45148</v>
      </c>
      <c r="B5068" s="16" t="str">
        <f>IFERROR(__xludf.DUMMYFUNCTION("""COMPUTED_VALUE"""),"Johan Alexander Escobar Arroyo ")</f>
        <v>Johan Alexander Escobar Arroyo </v>
      </c>
      <c r="C5068" s="15" t="str">
        <f>IFERROR(__xludf.DUMMYFUNCTION("""COMPUTED_VALUE"""),"CALI")</f>
        <v>CALI</v>
      </c>
      <c r="D5068" s="15" t="str">
        <f>IFERROR(__xludf.DUMMYFUNCTION("""COMPUTED_VALUE"""),"MEDELLÍN")</f>
        <v>MEDELLÍN</v>
      </c>
      <c r="E5068" s="15" t="str">
        <f>IFERROR(__xludf.DUMMYFUNCTION("""COMPUTED_VALUE"""),"Baby Chef")</f>
        <v>Baby Chef</v>
      </c>
      <c r="F5068" s="17" t="str">
        <f>IFERROR(__xludf.DUMMYFUNCTION("""COMPUTED_VALUE"""),"Calle 15 #121-66 - apto 206C Barrio: Pance / Calle 15 #121-66 - apto 206C Barrio: Pance / Calle 15 #121-66 - apto 206C Barrio: Pance")</f>
        <v>Calle 15 #121-66 - apto 206C Barrio: Pance / Calle 15 #121-66 - apto 206C Barrio: Pance / Calle 15 #121-66 - apto 206C Barrio: Pance</v>
      </c>
      <c r="G5068" s="15" t="str">
        <f>IFERROR(__xludf.DUMMYFUNCTION("""COMPUTED_VALUE"""),"Juan Veloza")</f>
        <v>Juan Veloza</v>
      </c>
      <c r="H5068" s="16">
        <f>IFERROR(__xludf.DUMMYFUNCTION("""COMPUTED_VALUE"""),13819.0)</f>
        <v>13819</v>
      </c>
      <c r="I5068" s="18">
        <f>IFERROR(__xludf.DUMMYFUNCTION("""COMPUTED_VALUE"""),8.0)</f>
        <v>8</v>
      </c>
      <c r="J5068" s="18">
        <f>IFERROR(__xludf.DUMMYFUNCTION("""COMPUTED_VALUE"""),31.0)</f>
        <v>31</v>
      </c>
      <c r="K5068" s="18">
        <f>IFERROR(__xludf.DUMMYFUNCTION("""COMPUTED_VALUE"""),14.0)</f>
        <v>14</v>
      </c>
      <c r="L5068" s="17">
        <f>IFERROR(__xludf.DUMMYFUNCTION("""COMPUTED_VALUE"""),3.18532323E9)</f>
        <v>3185323230</v>
      </c>
      <c r="M5068" s="17" t="str">
        <f>IFERROR(__xludf.DUMMYFUNCTION("""COMPUTED_VALUE"""),"#REF!")</f>
        <v>#REF!</v>
      </c>
      <c r="N5068" s="17"/>
      <c r="O5068" s="17"/>
      <c r="P5068" s="17" t="b">
        <f>IFERROR(__xludf.DUMMYFUNCTION("""COMPUTED_VALUE"""),FALSE)</f>
        <v>0</v>
      </c>
      <c r="Q5068" s="20" t="str">
        <f>IFERROR(__xludf.DUMMYFUNCTION("""COMPUTED_VALUE"""),"")</f>
        <v/>
      </c>
      <c r="R5068" s="21" t="str">
        <f>IFERROR(__xludf.DUMMYFUNCTION("""COMPUTED_VALUE"""),"https://drive.google.com/file/d/1sH1OSKvUAKVlTLcBnf2zMDk2_gDpqlsU/view?usp=drivesdk")</f>
        <v>https://drive.google.com/file/d/1sH1OSKvUAKVlTLcBnf2zMDk2_gDpqlsU/view?usp=drivesdk</v>
      </c>
    </row>
    <row r="5069">
      <c r="A5069" s="15">
        <f>IFERROR(__xludf.DUMMYFUNCTION("""COMPUTED_VALUE"""),45148.0)</f>
        <v>45148</v>
      </c>
      <c r="B5069" s="16" t="str">
        <f>IFERROR(__xludf.DUMMYFUNCTION("""COMPUTED_VALUE"""),"Johan Alexander Escobar Arroyo ")</f>
        <v>Johan Alexander Escobar Arroyo </v>
      </c>
      <c r="C5069" s="15" t="str">
        <f>IFERROR(__xludf.DUMMYFUNCTION("""COMPUTED_VALUE"""),"CALI")</f>
        <v>CALI</v>
      </c>
      <c r="D5069" s="15" t="str">
        <f>IFERROR(__xludf.DUMMYFUNCTION("""COMPUTED_VALUE"""),"MEDELLÍN")</f>
        <v>MEDELLÍN</v>
      </c>
      <c r="E5069" s="15" t="str">
        <f>IFERROR(__xludf.DUMMYFUNCTION("""COMPUTED_VALUE"""),"JD Bufala")</f>
        <v>JD Bufala</v>
      </c>
      <c r="F5069" s="17" t="str">
        <f>IFERROR(__xludf.DUMMYFUNCTION("""COMPUTED_VALUE"""),"Calle 51norte #4bn72 / Delhuertopizzeria  / La flora")</f>
        <v>Calle 51norte #4bn72 / Delhuertopizzeria  / La flora</v>
      </c>
      <c r="G5069" s="15" t="str">
        <f>IFERROR(__xludf.DUMMYFUNCTION("""COMPUTED_VALUE"""),"Jaiver Rodríguez")</f>
        <v>Jaiver Rodríguez</v>
      </c>
      <c r="H5069" s="16">
        <f>IFERROR(__xludf.DUMMYFUNCTION("""COMPUTED_VALUE"""),13777.0)</f>
        <v>13777</v>
      </c>
      <c r="I5069" s="18">
        <f>IFERROR(__xludf.DUMMYFUNCTION("""COMPUTED_VALUE"""),45066.0)</f>
        <v>45066</v>
      </c>
      <c r="J5069" s="18">
        <f>IFERROR(__xludf.DUMMYFUNCTION("""COMPUTED_VALUE"""),28.0)</f>
        <v>28</v>
      </c>
      <c r="K5069" s="18">
        <f>IFERROR(__xludf.DUMMYFUNCTION("""COMPUTED_VALUE"""),40.0)</f>
        <v>40</v>
      </c>
      <c r="L5069" s="17">
        <f>IFERROR(__xludf.DUMMYFUNCTION("""COMPUTED_VALUE"""),3.104919761E9)</f>
        <v>3104919761</v>
      </c>
      <c r="M5069" s="17" t="str">
        <f>IFERROR(__xludf.DUMMYFUNCTION("""COMPUTED_VALUE"""),"#REF!")</f>
        <v>#REF!</v>
      </c>
      <c r="N5069" s="17"/>
      <c r="O5069" s="17"/>
      <c r="P5069" s="17" t="b">
        <f>IFERROR(__xludf.DUMMYFUNCTION("""COMPUTED_VALUE"""),TRUE)</f>
        <v>1</v>
      </c>
      <c r="Q5069" s="20">
        <f>IFERROR(__xludf.DUMMYFUNCTION("""COMPUTED_VALUE"""),45149.653726226854)</f>
        <v>45149.65373</v>
      </c>
      <c r="R5069" s="22" t="str">
        <f>IFERROR(__xludf.DUMMYFUNCTION("""COMPUTED_VALUE"""),"")</f>
        <v/>
      </c>
    </row>
    <row r="5070">
      <c r="A5070" s="15">
        <f>IFERROR(__xludf.DUMMYFUNCTION("""COMPUTED_VALUE"""),45148.0)</f>
        <v>45148</v>
      </c>
      <c r="B5070" s="16" t="str">
        <f>IFERROR(__xludf.DUMMYFUNCTION("""COMPUTED_VALUE"""),"Johan Alexander Escobar Arroyo ")</f>
        <v>Johan Alexander Escobar Arroyo </v>
      </c>
      <c r="C5070" s="15" t="str">
        <f>IFERROR(__xludf.DUMMYFUNCTION("""COMPUTED_VALUE"""),"VILLAVICENCIO")</f>
        <v>VILLAVICENCIO</v>
      </c>
      <c r="D5070" s="15" t="str">
        <f>IFERROR(__xludf.DUMMYFUNCTION("""COMPUTED_VALUE"""),"MEDELLÍN")</f>
        <v>MEDELLÍN</v>
      </c>
      <c r="E5070" s="15" t="str">
        <f>IFERROR(__xludf.DUMMYFUNCTION("""COMPUTED_VALUE"""),"Rambla")</f>
        <v>Rambla</v>
      </c>
      <c r="F5070" s="17" t="str">
        <f>IFERROR(__xludf.DUMMYFUNCTION("""COMPUTED_VALUE"""),"Calle 15 número 44 116 Hotel casa corona Local 5 Barrio el buque Villavicencio meta / - / -")</f>
        <v>Calle 15 número 44 116 Hotel casa corona Local 5 Barrio el buque Villavicencio meta / - / -</v>
      </c>
      <c r="G5070" s="15" t="str">
        <f>IFERROR(__xludf.DUMMYFUNCTION("""COMPUTED_VALUE"""),"Sana Tentacion")</f>
        <v>Sana Tentacion</v>
      </c>
      <c r="H5070" s="16">
        <f>IFERROR(__xludf.DUMMYFUNCTION("""COMPUTED_VALUE"""),13771.0)</f>
        <v>13771</v>
      </c>
      <c r="I5070" s="18">
        <f>IFERROR(__xludf.DUMMYFUNCTION("""COMPUTED_VALUE"""),28.0)</f>
        <v>28</v>
      </c>
      <c r="J5070" s="18">
        <f>IFERROR(__xludf.DUMMYFUNCTION("""COMPUTED_VALUE"""),32.0)</f>
        <v>32</v>
      </c>
      <c r="K5070" s="18">
        <f>IFERROR(__xludf.DUMMYFUNCTION("""COMPUTED_VALUE"""),32.0)</f>
        <v>32</v>
      </c>
      <c r="L5070" s="17">
        <f>IFERROR(__xludf.DUMMYFUNCTION("""COMPUTED_VALUE"""),3.0038383044E10)</f>
        <v>30038383044</v>
      </c>
      <c r="M5070" s="17" t="str">
        <f>IFERROR(__xludf.DUMMYFUNCTION("""COMPUTED_VALUE"""),"#REF!")</f>
        <v>#REF!</v>
      </c>
      <c r="N5070" s="17"/>
      <c r="O5070" s="17"/>
      <c r="P5070" s="17" t="b">
        <f>IFERROR(__xludf.DUMMYFUNCTION("""COMPUTED_VALUE"""),FALSE)</f>
        <v>0</v>
      </c>
      <c r="Q5070" s="20" t="str">
        <f>IFERROR(__xludf.DUMMYFUNCTION("""COMPUTED_VALUE"""),"")</f>
        <v/>
      </c>
      <c r="R5070" s="22" t="str">
        <f>IFERROR(__xludf.DUMMYFUNCTION("""COMPUTED_VALUE"""),"")</f>
        <v/>
      </c>
    </row>
    <row r="5071">
      <c r="A5071" s="17" t="str">
        <f>IFERROR(__xludf.DUMMYFUNCTION("""COMPUTED_VALUE"""),"")</f>
        <v/>
      </c>
      <c r="B5071" s="17" t="str">
        <f>IFERROR(__xludf.DUMMYFUNCTION("""COMPUTED_VALUE"""),"")</f>
        <v/>
      </c>
      <c r="C5071" s="17" t="str">
        <f>IFERROR(__xludf.DUMMYFUNCTION("""COMPUTED_VALUE"""),"")</f>
        <v/>
      </c>
      <c r="D5071" s="17" t="str">
        <f>IFERROR(__xludf.DUMMYFUNCTION("""COMPUTED_VALUE"""),"")</f>
        <v/>
      </c>
      <c r="E5071" s="17" t="str">
        <f>IFERROR(__xludf.DUMMYFUNCTION("""COMPUTED_VALUE"""),"")</f>
        <v/>
      </c>
      <c r="F5071" s="17" t="str">
        <f>IFERROR(__xludf.DUMMYFUNCTION("""COMPUTED_VALUE"""),"")</f>
        <v/>
      </c>
      <c r="G5071" s="17" t="str">
        <f>IFERROR(__xludf.DUMMYFUNCTION("""COMPUTED_VALUE"""),"")</f>
        <v/>
      </c>
      <c r="H5071" s="17" t="str">
        <f>IFERROR(__xludf.DUMMYFUNCTION("""COMPUTED_VALUE"""),"")</f>
        <v/>
      </c>
      <c r="I5071" s="17" t="str">
        <f>IFERROR(__xludf.DUMMYFUNCTION("""COMPUTED_VALUE"""),"")</f>
        <v/>
      </c>
      <c r="J5071" s="17" t="str">
        <f>IFERROR(__xludf.DUMMYFUNCTION("""COMPUTED_VALUE"""),"")</f>
        <v/>
      </c>
      <c r="K5071" s="17" t="str">
        <f>IFERROR(__xludf.DUMMYFUNCTION("""COMPUTED_VALUE"""),"")</f>
        <v/>
      </c>
      <c r="L5071" s="17" t="str">
        <f>IFERROR(__xludf.DUMMYFUNCTION("""COMPUTED_VALUE"""),"")</f>
        <v/>
      </c>
      <c r="M5071" s="17" t="str">
        <f>IFERROR(__xludf.DUMMYFUNCTION("""COMPUTED_VALUE"""),"")</f>
        <v/>
      </c>
      <c r="N5071" s="17" t="str">
        <f>IFERROR(__xludf.DUMMYFUNCTION("""COMPUTED_VALUE"""),"")</f>
        <v/>
      </c>
      <c r="O5071" s="17" t="str">
        <f>IFERROR(__xludf.DUMMYFUNCTION("""COMPUTED_VALUE"""),"")</f>
        <v/>
      </c>
      <c r="P5071" s="17" t="str">
        <f>IFERROR(__xludf.DUMMYFUNCTION("""COMPUTED_VALUE"""),"")</f>
        <v/>
      </c>
      <c r="Q5071" s="17" t="str">
        <f>IFERROR(__xludf.DUMMYFUNCTION("""COMPUTED_VALUE"""),"")</f>
        <v/>
      </c>
      <c r="R5071" s="17" t="str">
        <f>IFERROR(__xludf.DUMMYFUNCTION("""COMPUTED_VALUE"""),"")</f>
        <v/>
      </c>
    </row>
    <row r="5072">
      <c r="A5072" s="15">
        <f>IFERROR(__xludf.DUMMYFUNCTION("""COMPUTED_VALUE"""),45148.0)</f>
        <v>45148</v>
      </c>
      <c r="B5072" s="16" t="str">
        <f>IFERROR(__xludf.DUMMYFUNCTION("""COMPUTED_VALUE"""),"Julian Calderon Rodriguez ")</f>
        <v>Julian Calderon Rodriguez </v>
      </c>
      <c r="C5072" s="15" t="str">
        <f>IFERROR(__xludf.DUMMYFUNCTION("""COMPUTED_VALUE"""),"NEIVA")</f>
        <v>NEIVA</v>
      </c>
      <c r="D5072" s="15" t="str">
        <f>IFERROR(__xludf.DUMMYFUNCTION("""COMPUTED_VALUE"""),"BOGOTÁ")</f>
        <v>BOGOTÁ</v>
      </c>
      <c r="E5072" s="15" t="str">
        <f>IFERROR(__xludf.DUMMYFUNCTION("""COMPUTED_VALUE"""),"Evamazzita")</f>
        <v>Evamazzita</v>
      </c>
      <c r="F5072" s="17" t="str">
        <f>IFERROR(__xludf.DUMMYFUNCTION("""COMPUTED_VALUE"""),"CR 10 #71 46  / TORRE A APTO 120 / CONJUNTO HACIENDA SANTA MARIA - BARRIO MADRIGAL")</f>
        <v>CR 10 #71 46  / TORRE A APTO 120 / CONJUNTO HACIENDA SANTA MARIA - BARRIO MADRIGAL</v>
      </c>
      <c r="G5072" s="15" t="str">
        <f>IFERROR(__xludf.DUMMYFUNCTION("""COMPUTED_VALUE"""),"EDNA LUCIA HERRERA")</f>
        <v>EDNA LUCIA HERRERA</v>
      </c>
      <c r="H5072" s="16">
        <f>IFERROR(__xludf.DUMMYFUNCTION("""COMPUTED_VALUE"""),13784.0)</f>
        <v>13784</v>
      </c>
      <c r="I5072" s="18">
        <f>IFERROR(__xludf.DUMMYFUNCTION("""COMPUTED_VALUE"""),1.0)</f>
        <v>1</v>
      </c>
      <c r="J5072" s="18">
        <f>IFERROR(__xludf.DUMMYFUNCTION("""COMPUTED_VALUE"""),1.0)</f>
        <v>1</v>
      </c>
      <c r="K5072" s="18">
        <f>IFERROR(__xludf.DUMMYFUNCTION("""COMPUTED_VALUE"""),1.0)</f>
        <v>1</v>
      </c>
      <c r="L5072" s="17">
        <f>IFERROR(__xludf.DUMMYFUNCTION("""COMPUTED_VALUE"""),3.187649163E9)</f>
        <v>3187649163</v>
      </c>
      <c r="M5072" s="17" t="str">
        <f>IFERROR(__xludf.DUMMYFUNCTION("""COMPUTED_VALUE"""),"#REF!")</f>
        <v>#REF!</v>
      </c>
      <c r="N5072" s="17"/>
      <c r="O5072" s="17"/>
      <c r="P5072" s="17" t="b">
        <f>IFERROR(__xludf.DUMMYFUNCTION("""COMPUTED_VALUE"""),FALSE)</f>
        <v>0</v>
      </c>
      <c r="Q5072" s="20" t="str">
        <f>IFERROR(__xludf.DUMMYFUNCTION("""COMPUTED_VALUE"""),"")</f>
        <v/>
      </c>
      <c r="R5072" s="22" t="str">
        <f>IFERROR(__xludf.DUMMYFUNCTION("""COMPUTED_VALUE"""),"")</f>
        <v/>
      </c>
    </row>
    <row r="5073">
      <c r="A5073" s="15">
        <f>IFERROR(__xludf.DUMMYFUNCTION("""COMPUTED_VALUE"""),45148.0)</f>
        <v>45148</v>
      </c>
      <c r="B5073" s="16" t="str">
        <f>IFERROR(__xludf.DUMMYFUNCTION("""COMPUTED_VALUE"""),"Julian Calderon Rodriguez ")</f>
        <v>Julian Calderon Rodriguez </v>
      </c>
      <c r="C5073" s="15" t="str">
        <f>IFERROR(__xludf.DUMMYFUNCTION("""COMPUTED_VALUE"""),"NEIVA")</f>
        <v>NEIVA</v>
      </c>
      <c r="D5073" s="15" t="str">
        <f>IFERROR(__xludf.DUMMYFUNCTION("""COMPUTED_VALUE"""),"BUCARAMANGA")</f>
        <v>BUCARAMANGA</v>
      </c>
      <c r="E5073" s="15" t="str">
        <f>IFERROR(__xludf.DUMMYFUNCTION("""COMPUTED_VALUE"""),"Yo Como Solito")</f>
        <v>Yo Como Solito</v>
      </c>
      <c r="F5073" s="17" t="str">
        <f>IFERROR(__xludf.DUMMYFUNCTION("""COMPUTED_VALUE"""),"CARRERA 20 SUR NO. 16A-10 TIMANCO  / CARRERA 20 SUR NO. 16A-10 TIMANCO  / CARRERA 20 SUR NO. 16A-10 TIMANCO")</f>
        <v>CARRERA 20 SUR NO. 16A-10 TIMANCO  / CARRERA 20 SUR NO. 16A-10 TIMANCO  / CARRERA 20 SUR NO. 16A-10 TIMANCO</v>
      </c>
      <c r="G5073" s="15" t="str">
        <f>IFERROR(__xludf.DUMMYFUNCTION("""COMPUTED_VALUE"""),"LEYDI SANDOVAL CASTRO")</f>
        <v>LEYDI SANDOVAL CASTRO</v>
      </c>
      <c r="H5073" s="16">
        <f>IFERROR(__xludf.DUMMYFUNCTION("""COMPUTED_VALUE"""),13605.0)</f>
        <v>13605</v>
      </c>
      <c r="I5073" s="18">
        <f>IFERROR(__xludf.DUMMYFUNCTION("""COMPUTED_VALUE"""),22.0)</f>
        <v>22</v>
      </c>
      <c r="J5073" s="18">
        <f>IFERROR(__xludf.DUMMYFUNCTION("""COMPUTED_VALUE"""),23.0)</f>
        <v>23</v>
      </c>
      <c r="K5073" s="18">
        <f>IFERROR(__xludf.DUMMYFUNCTION("""COMPUTED_VALUE"""),12.0)</f>
        <v>12</v>
      </c>
      <c r="L5073" s="17">
        <f>IFERROR(__xludf.DUMMYFUNCTION("""COMPUTED_VALUE"""),3.154698874E9)</f>
        <v>3154698874</v>
      </c>
      <c r="M5073" s="17" t="str">
        <f>IFERROR(__xludf.DUMMYFUNCTION("""COMPUTED_VALUE"""),"#REF!")</f>
        <v>#REF!</v>
      </c>
      <c r="N5073" s="17"/>
      <c r="O5073" s="17"/>
      <c r="P5073" s="17" t="b">
        <f>IFERROR(__xludf.DUMMYFUNCTION("""COMPUTED_VALUE"""),FALSE)</f>
        <v>0</v>
      </c>
      <c r="Q5073" s="20" t="str">
        <f>IFERROR(__xludf.DUMMYFUNCTION("""COMPUTED_VALUE"""),"")</f>
        <v/>
      </c>
      <c r="R5073" s="22" t="str">
        <f>IFERROR(__xludf.DUMMYFUNCTION("""COMPUTED_VALUE"""),"")</f>
        <v/>
      </c>
    </row>
    <row r="5074">
      <c r="A5074" s="15">
        <f>IFERROR(__xludf.DUMMYFUNCTION("""COMPUTED_VALUE"""),45148.0)</f>
        <v>45148</v>
      </c>
      <c r="B5074" s="16" t="str">
        <f>IFERROR(__xludf.DUMMYFUNCTION("""COMPUTED_VALUE"""),"Julian Calderon Rodriguez ")</f>
        <v>Julian Calderon Rodriguez </v>
      </c>
      <c r="C5074" s="15" t="str">
        <f>IFERROR(__xludf.DUMMYFUNCTION("""COMPUTED_VALUE"""),"VILLAVICENCIO")</f>
        <v>VILLAVICENCIO</v>
      </c>
      <c r="D5074" s="15" t="str">
        <f>IFERROR(__xludf.DUMMYFUNCTION("""COMPUTED_VALUE"""),"BOGOTÁ")</f>
        <v>BOGOTÁ</v>
      </c>
      <c r="E5074" s="15" t="str">
        <f>IFERROR(__xludf.DUMMYFUNCTION("""COMPUTED_VALUE"""),"Asociacion Agropecuaria Juana Maria")</f>
        <v>Asociacion Agropecuaria Juana Maria</v>
      </c>
      <c r="F5074" s="17" t="str">
        <f>IFERROR(__xludf.DUMMYFUNCTION("""COMPUTED_VALUE"""),"CRA 40 # 5A -41 SUR TORRE8 APTO 305")</f>
        <v>CRA 40 # 5A -41 SUR TORRE8 APTO 305</v>
      </c>
      <c r="G5074" s="15" t="str">
        <f>IFERROR(__xludf.DUMMYFUNCTION("""COMPUTED_VALUE"""),"Tatiana Cortes")</f>
        <v>Tatiana Cortes</v>
      </c>
      <c r="H5074" s="16">
        <f>IFERROR(__xludf.DUMMYFUNCTION("""COMPUTED_VALUE"""),13617.0)</f>
        <v>13617</v>
      </c>
      <c r="I5074" s="18">
        <f>IFERROR(__xludf.DUMMYFUNCTION("""COMPUTED_VALUE"""),28.0)</f>
        <v>28</v>
      </c>
      <c r="J5074" s="18">
        <f>IFERROR(__xludf.DUMMYFUNCTION("""COMPUTED_VALUE"""),37.0)</f>
        <v>37</v>
      </c>
      <c r="K5074" s="18">
        <f>IFERROR(__xludf.DUMMYFUNCTION("""COMPUTED_VALUE"""),30.0)</f>
        <v>30</v>
      </c>
      <c r="L5074" s="17">
        <f>IFERROR(__xludf.DUMMYFUNCTION("""COMPUTED_VALUE"""),3.006485514E9)</f>
        <v>3006485514</v>
      </c>
      <c r="M5074" s="17" t="str">
        <f>IFERROR(__xludf.DUMMYFUNCTION("""COMPUTED_VALUE"""),"#REF!")</f>
        <v>#REF!</v>
      </c>
      <c r="N5074" s="17"/>
      <c r="O5074" s="17"/>
      <c r="P5074" s="17" t="b">
        <f>IFERROR(__xludf.DUMMYFUNCTION("""COMPUTED_VALUE"""),FALSE)</f>
        <v>0</v>
      </c>
      <c r="Q5074" s="20" t="str">
        <f>IFERROR(__xludf.DUMMYFUNCTION("""COMPUTED_VALUE"""),"")</f>
        <v/>
      </c>
      <c r="R5074" s="21" t="str">
        <f>IFERROR(__xludf.DUMMYFUNCTION("""COMPUTED_VALUE"""),"https://drive.google.com/file/d/18Q4DpDLEOI2KqGmGaKSINCIJokTaBtTb/view?usp=drivesdk")</f>
        <v>https://drive.google.com/file/d/18Q4DpDLEOI2KqGmGaKSINCIJokTaBtTb/view?usp=drivesdk</v>
      </c>
    </row>
    <row r="5075">
      <c r="A5075" s="17" t="str">
        <f>IFERROR(__xludf.DUMMYFUNCTION("""COMPUTED_VALUE"""),"")</f>
        <v/>
      </c>
      <c r="B5075" s="17" t="str">
        <f>IFERROR(__xludf.DUMMYFUNCTION("""COMPUTED_VALUE"""),"")</f>
        <v/>
      </c>
      <c r="C5075" s="17" t="str">
        <f>IFERROR(__xludf.DUMMYFUNCTION("""COMPUTED_VALUE"""),"")</f>
        <v/>
      </c>
      <c r="D5075" s="17" t="str">
        <f>IFERROR(__xludf.DUMMYFUNCTION("""COMPUTED_VALUE"""),"")</f>
        <v/>
      </c>
      <c r="E5075" s="17" t="str">
        <f>IFERROR(__xludf.DUMMYFUNCTION("""COMPUTED_VALUE"""),"")</f>
        <v/>
      </c>
      <c r="F5075" s="17" t="str">
        <f>IFERROR(__xludf.DUMMYFUNCTION("""COMPUTED_VALUE"""),"")</f>
        <v/>
      </c>
      <c r="G5075" s="17" t="str">
        <f>IFERROR(__xludf.DUMMYFUNCTION("""COMPUTED_VALUE"""),"")</f>
        <v/>
      </c>
      <c r="H5075" s="17" t="str">
        <f>IFERROR(__xludf.DUMMYFUNCTION("""COMPUTED_VALUE"""),"")</f>
        <v/>
      </c>
      <c r="I5075" s="17" t="str">
        <f>IFERROR(__xludf.DUMMYFUNCTION("""COMPUTED_VALUE"""),"")</f>
        <v/>
      </c>
      <c r="J5075" s="17" t="str">
        <f>IFERROR(__xludf.DUMMYFUNCTION("""COMPUTED_VALUE"""),"")</f>
        <v/>
      </c>
      <c r="K5075" s="17" t="str">
        <f>IFERROR(__xludf.DUMMYFUNCTION("""COMPUTED_VALUE"""),"")</f>
        <v/>
      </c>
      <c r="L5075" s="17" t="str">
        <f>IFERROR(__xludf.DUMMYFUNCTION("""COMPUTED_VALUE"""),"")</f>
        <v/>
      </c>
      <c r="M5075" s="17" t="str">
        <f>IFERROR(__xludf.DUMMYFUNCTION("""COMPUTED_VALUE"""),"")</f>
        <v/>
      </c>
      <c r="N5075" s="17" t="str">
        <f>IFERROR(__xludf.DUMMYFUNCTION("""COMPUTED_VALUE"""),"")</f>
        <v/>
      </c>
      <c r="O5075" s="17" t="str">
        <f>IFERROR(__xludf.DUMMYFUNCTION("""COMPUTED_VALUE"""),"")</f>
        <v/>
      </c>
      <c r="P5075" s="17" t="str">
        <f>IFERROR(__xludf.DUMMYFUNCTION("""COMPUTED_VALUE"""),"")</f>
        <v/>
      </c>
      <c r="Q5075" s="17" t="str">
        <f>IFERROR(__xludf.DUMMYFUNCTION("""COMPUTED_VALUE"""),"")</f>
        <v/>
      </c>
      <c r="R5075" s="17" t="str">
        <f>IFERROR(__xludf.DUMMYFUNCTION("""COMPUTED_VALUE"""),"")</f>
        <v/>
      </c>
    </row>
    <row r="5076">
      <c r="A5076" s="15">
        <f>IFERROR(__xludf.DUMMYFUNCTION("""COMPUTED_VALUE"""),45149.0)</f>
        <v>45149</v>
      </c>
      <c r="B5076" s="16" t="str">
        <f>IFERROR(__xludf.DUMMYFUNCTION("""COMPUTED_VALUE"""),"Daniel José sandoval gonzalez")</f>
        <v>Daniel José sandoval gonzalez</v>
      </c>
      <c r="C5076" s="15" t="str">
        <f>IFERROR(__xludf.DUMMYFUNCTION("""COMPUTED_VALUE"""),"BARRANQUILLA")</f>
        <v>BARRANQUILLA</v>
      </c>
      <c r="D5076" s="15" t="str">
        <f>IFERROR(__xludf.DUMMYFUNCTION("""COMPUTED_VALUE"""),"BOGOTÁ")</f>
        <v>BOGOTÁ</v>
      </c>
      <c r="E5076" s="15" t="str">
        <f>IFERROR(__xludf.DUMMYFUNCTION("""COMPUTED_VALUE"""),"Evamazzita")</f>
        <v>Evamazzita</v>
      </c>
      <c r="F5076" s="17" t="str">
        <f>IFERROR(__xludf.DUMMYFUNCTION("""COMPUTED_VALUE"""),"Carrera 21 # 47B-58  / Apto 101 Barrio el Carmen"" / BARRIO EL CARMEN")</f>
        <v>Carrera 21 # 47B-58  / Apto 101 Barrio el Carmen" / BARRIO EL CARMEN</v>
      </c>
      <c r="G5076" s="15" t="str">
        <f>IFERROR(__xludf.DUMMYFUNCTION("""COMPUTED_VALUE"""),"MARIANELLA OVIEDO")</f>
        <v>MARIANELLA OVIEDO</v>
      </c>
      <c r="H5076" s="16">
        <f>IFERROR(__xludf.DUMMYFUNCTION("""COMPUTED_VALUE"""),13793.0)</f>
        <v>13793</v>
      </c>
      <c r="I5076" s="18">
        <f>IFERROR(__xludf.DUMMYFUNCTION("""COMPUTED_VALUE"""),1.0)</f>
        <v>1</v>
      </c>
      <c r="J5076" s="18">
        <f>IFERROR(__xludf.DUMMYFUNCTION("""COMPUTED_VALUE"""),1.0)</f>
        <v>1</v>
      </c>
      <c r="K5076" s="18">
        <f>IFERROR(__xludf.DUMMYFUNCTION("""COMPUTED_VALUE"""),1.0)</f>
        <v>1</v>
      </c>
      <c r="L5076" s="17">
        <f>IFERROR(__xludf.DUMMYFUNCTION("""COMPUTED_VALUE"""),3.017236905E9)</f>
        <v>3017236905</v>
      </c>
      <c r="M5076" s="17" t="str">
        <f>IFERROR(__xludf.DUMMYFUNCTION("""COMPUTED_VALUE"""),"#REF!")</f>
        <v>#REF!</v>
      </c>
      <c r="N5076" s="17"/>
      <c r="O5076" s="17"/>
      <c r="P5076" s="17" t="b">
        <f>IFERROR(__xludf.DUMMYFUNCTION("""COMPUTED_VALUE"""),TRUE)</f>
        <v>1</v>
      </c>
      <c r="Q5076" s="20">
        <f>IFERROR(__xludf.DUMMYFUNCTION("""COMPUTED_VALUE"""),45149.697035543984)</f>
        <v>45149.69704</v>
      </c>
      <c r="R5076" s="21" t="str">
        <f>IFERROR(__xludf.DUMMYFUNCTION("""COMPUTED_VALUE"""),"https://drive.google.com/file/d/1Lw-uT8oj9mj9xrX5KV1wdKfd9SCF-aQZ/view?usp=drivesdk")</f>
        <v>https://drive.google.com/file/d/1Lw-uT8oj9mj9xrX5KV1wdKfd9SCF-aQZ/view?usp=drivesdk</v>
      </c>
    </row>
    <row r="5077">
      <c r="A5077" s="15">
        <f>IFERROR(__xludf.DUMMYFUNCTION("""COMPUTED_VALUE"""),45149.0)</f>
        <v>45149</v>
      </c>
      <c r="B5077" s="16" t="str">
        <f>IFERROR(__xludf.DUMMYFUNCTION("""COMPUTED_VALUE"""),"Daniel José sandoval gonzalez")</f>
        <v>Daniel José sandoval gonzalez</v>
      </c>
      <c r="C5077" s="15" t="str">
        <f>IFERROR(__xludf.DUMMYFUNCTION("""COMPUTED_VALUE"""),"BARRANQUILLA")</f>
        <v>BARRANQUILLA</v>
      </c>
      <c r="D5077" s="15" t="str">
        <f>IFERROR(__xludf.DUMMYFUNCTION("""COMPUTED_VALUE"""),"BOGOTÁ")</f>
        <v>BOGOTÁ</v>
      </c>
      <c r="E5077" s="15" t="str">
        <f>IFERROR(__xludf.DUMMYFUNCTION("""COMPUTED_VALUE"""),"Evamazzita")</f>
        <v>Evamazzita</v>
      </c>
      <c r="F5077" s="17" t="str">
        <f>IFERROR(__xludf.DUMMYFUNCTION("""COMPUTED_VALUE"""),"CR 50 # 46 93  / PISO 2 APTO 1 ENTRADA POR LA CALLE 47 (EDIFICIO BLANCO) / BARRIO ABAJO")</f>
        <v>CR 50 # 46 93  / PISO 2 APTO 1 ENTRADA POR LA CALLE 47 (EDIFICIO BLANCO) / BARRIO ABAJO</v>
      </c>
      <c r="G5077" s="15" t="str">
        <f>IFERROR(__xludf.DUMMYFUNCTION("""COMPUTED_VALUE"""),"IVETH BARRERA REINA")</f>
        <v>IVETH BARRERA REINA</v>
      </c>
      <c r="H5077" s="16">
        <f>IFERROR(__xludf.DUMMYFUNCTION("""COMPUTED_VALUE"""),13790.0)</f>
        <v>13790</v>
      </c>
      <c r="I5077" s="18">
        <f>IFERROR(__xludf.DUMMYFUNCTION("""COMPUTED_VALUE"""),1.0)</f>
        <v>1</v>
      </c>
      <c r="J5077" s="18">
        <f>IFERROR(__xludf.DUMMYFUNCTION("""COMPUTED_VALUE"""),1.0)</f>
        <v>1</v>
      </c>
      <c r="K5077" s="18">
        <f>IFERROR(__xludf.DUMMYFUNCTION("""COMPUTED_VALUE"""),1.0)</f>
        <v>1</v>
      </c>
      <c r="L5077" s="17">
        <f>IFERROR(__xludf.DUMMYFUNCTION("""COMPUTED_VALUE"""),3.013669213E9)</f>
        <v>3013669213</v>
      </c>
      <c r="M5077" s="17" t="str">
        <f>IFERROR(__xludf.DUMMYFUNCTION("""COMPUTED_VALUE"""),"#REF!")</f>
        <v>#REF!</v>
      </c>
      <c r="N5077" s="17"/>
      <c r="O5077" s="17"/>
      <c r="P5077" s="17" t="b">
        <f>IFERROR(__xludf.DUMMYFUNCTION("""COMPUTED_VALUE"""),TRUE)</f>
        <v>1</v>
      </c>
      <c r="Q5077" s="20">
        <f>IFERROR(__xludf.DUMMYFUNCTION("""COMPUTED_VALUE"""),45149.69711483797)</f>
        <v>45149.69711</v>
      </c>
      <c r="R5077" s="21" t="str">
        <f>IFERROR(__xludf.DUMMYFUNCTION("""COMPUTED_VALUE"""),"https://drive.google.com/file/d/1l5g6FFJFCqAkRlKDKh_KfnMbdSMkhnMG/view?usp=drivesdk")</f>
        <v>https://drive.google.com/file/d/1l5g6FFJFCqAkRlKDKh_KfnMbdSMkhnMG/view?usp=drivesdk</v>
      </c>
    </row>
    <row r="5078">
      <c r="A5078" s="15">
        <f>IFERROR(__xludf.DUMMYFUNCTION("""COMPUTED_VALUE"""),45149.0)</f>
        <v>45149</v>
      </c>
      <c r="B5078" s="16" t="str">
        <f>IFERROR(__xludf.DUMMYFUNCTION("""COMPUTED_VALUE"""),"Daniel José sandoval gonzalez")</f>
        <v>Daniel José sandoval gonzalez</v>
      </c>
      <c r="C5078" s="15" t="str">
        <f>IFERROR(__xludf.DUMMYFUNCTION("""COMPUTED_VALUE"""),"BARRANQUILLA")</f>
        <v>BARRANQUILLA</v>
      </c>
      <c r="D5078" s="15" t="str">
        <f>IFERROR(__xludf.DUMMYFUNCTION("""COMPUTED_VALUE"""),"BOGOTÁ")</f>
        <v>BOGOTÁ</v>
      </c>
      <c r="E5078" s="15" t="str">
        <f>IFERROR(__xludf.DUMMYFUNCTION("""COMPUTED_VALUE"""),"Evamazzita")</f>
        <v>Evamazzita</v>
      </c>
      <c r="F5078" s="17" t="str">
        <f>IFERROR(__xludf.DUMMYFUNCTION("""COMPUTED_VALUE"""),"CRA 24B No. 68B - 66 SAN FELIPE / CRA 24B No. 68B - 66 SAN FELIPE / SAN FELIPE")</f>
        <v>CRA 24B No. 68B - 66 SAN FELIPE / CRA 24B No. 68B - 66 SAN FELIPE / SAN FELIPE</v>
      </c>
      <c r="G5078" s="15" t="str">
        <f>IFERROR(__xludf.DUMMYFUNCTION("""COMPUTED_VALUE"""),"MAIRA MANCILLA")</f>
        <v>MAIRA MANCILLA</v>
      </c>
      <c r="H5078" s="16">
        <f>IFERROR(__xludf.DUMMYFUNCTION("""COMPUTED_VALUE"""),13791.0)</f>
        <v>13791</v>
      </c>
      <c r="I5078" s="18">
        <f>IFERROR(__xludf.DUMMYFUNCTION("""COMPUTED_VALUE"""),1.0)</f>
        <v>1</v>
      </c>
      <c r="J5078" s="18">
        <f>IFERROR(__xludf.DUMMYFUNCTION("""COMPUTED_VALUE"""),1.0)</f>
        <v>1</v>
      </c>
      <c r="K5078" s="18">
        <f>IFERROR(__xludf.DUMMYFUNCTION("""COMPUTED_VALUE"""),1.0)</f>
        <v>1</v>
      </c>
      <c r="L5078" s="17">
        <f>IFERROR(__xludf.DUMMYFUNCTION("""COMPUTED_VALUE"""),3.11358833E9)</f>
        <v>3113588330</v>
      </c>
      <c r="M5078" s="17" t="str">
        <f>IFERROR(__xludf.DUMMYFUNCTION("""COMPUTED_VALUE"""),"#REF!")</f>
        <v>#REF!</v>
      </c>
      <c r="N5078" s="17"/>
      <c r="O5078" s="17"/>
      <c r="P5078" s="17" t="b">
        <f>IFERROR(__xludf.DUMMYFUNCTION("""COMPUTED_VALUE"""),TRUE)</f>
        <v>1</v>
      </c>
      <c r="Q5078" s="20">
        <f>IFERROR(__xludf.DUMMYFUNCTION("""COMPUTED_VALUE"""),45149.69711483797)</f>
        <v>45149.69711</v>
      </c>
      <c r="R5078" s="21" t="str">
        <f>IFERROR(__xludf.DUMMYFUNCTION("""COMPUTED_VALUE"""),"https://drive.google.com/file/d/188QOhrXTy7dOI7sS6lohjCCQPZCgXpkB/view?usp=drivesdk")</f>
        <v>https://drive.google.com/file/d/188QOhrXTy7dOI7sS6lohjCCQPZCgXpkB/view?usp=drivesdk</v>
      </c>
    </row>
    <row r="5079">
      <c r="A5079" s="15">
        <f>IFERROR(__xludf.DUMMYFUNCTION("""COMPUTED_VALUE"""),45149.0)</f>
        <v>45149</v>
      </c>
      <c r="B5079" s="16" t="str">
        <f>IFERROR(__xludf.DUMMYFUNCTION("""COMPUTED_VALUE"""),"Daniel José sandoval gonzalez")</f>
        <v>Daniel José sandoval gonzalez</v>
      </c>
      <c r="C5079" s="15" t="str">
        <f>IFERROR(__xludf.DUMMYFUNCTION("""COMPUTED_VALUE"""),"BARRANQUILLA")</f>
        <v>BARRANQUILLA</v>
      </c>
      <c r="D5079" s="15" t="str">
        <f>IFERROR(__xludf.DUMMYFUNCTION("""COMPUTED_VALUE"""),"BOGOTÁ")</f>
        <v>BOGOTÁ</v>
      </c>
      <c r="E5079" s="15" t="str">
        <f>IFERROR(__xludf.DUMMYFUNCTION("""COMPUTED_VALUE"""),"Evamazzita")</f>
        <v>Evamazzita</v>
      </c>
      <c r="F5079" s="17" t="str">
        <f>IFERROR(__xludf.DUMMYFUNCTION("""COMPUTED_VALUE"""),"Cra 47#66-23  EDF marbert /  apto 202 / Barrio Boston""")</f>
        <v>Cra 47#66-23  EDF marbert /  apto 202 / Barrio Boston"</v>
      </c>
      <c r="G5079" s="15" t="str">
        <f>IFERROR(__xludf.DUMMYFUNCTION("""COMPUTED_VALUE"""),"MARIA FERNANDA  GONZALEZ")</f>
        <v>MARIA FERNANDA  GONZALEZ</v>
      </c>
      <c r="H5079" s="16">
        <f>IFERROR(__xludf.DUMMYFUNCTION("""COMPUTED_VALUE"""),13792.0)</f>
        <v>13792</v>
      </c>
      <c r="I5079" s="18">
        <f>IFERROR(__xludf.DUMMYFUNCTION("""COMPUTED_VALUE"""),1.0)</f>
        <v>1</v>
      </c>
      <c r="J5079" s="18">
        <f>IFERROR(__xludf.DUMMYFUNCTION("""COMPUTED_VALUE"""),1.0)</f>
        <v>1</v>
      </c>
      <c r="K5079" s="18">
        <f>IFERROR(__xludf.DUMMYFUNCTION("""COMPUTED_VALUE"""),1.0)</f>
        <v>1</v>
      </c>
      <c r="L5079" s="17">
        <f>IFERROR(__xludf.DUMMYFUNCTION("""COMPUTED_VALUE"""),3.178953446E9)</f>
        <v>3178953446</v>
      </c>
      <c r="M5079" s="17" t="str">
        <f>IFERROR(__xludf.DUMMYFUNCTION("""COMPUTED_VALUE"""),"#REF!")</f>
        <v>#REF!</v>
      </c>
      <c r="N5079" s="17"/>
      <c r="O5079" s="17"/>
      <c r="P5079" s="17" t="b">
        <f>IFERROR(__xludf.DUMMYFUNCTION("""COMPUTED_VALUE"""),TRUE)</f>
        <v>1</v>
      </c>
      <c r="Q5079" s="20">
        <f>IFERROR(__xludf.DUMMYFUNCTION("""COMPUTED_VALUE"""),45149.69711483797)</f>
        <v>45149.69711</v>
      </c>
      <c r="R5079" s="21" t="str">
        <f>IFERROR(__xludf.DUMMYFUNCTION("""COMPUTED_VALUE"""),"https://drive.google.com/file/d/1Tj9YDOslX8EXrZny_TRe5t4nYfMbExNf/view?usp=drivesdk")</f>
        <v>https://drive.google.com/file/d/1Tj9YDOslX8EXrZny_TRe5t4nYfMbExNf/view?usp=drivesdk</v>
      </c>
    </row>
    <row r="5080">
      <c r="A5080" s="15">
        <f>IFERROR(__xludf.DUMMYFUNCTION("""COMPUTED_VALUE"""),45149.0)</f>
        <v>45149</v>
      </c>
      <c r="B5080" s="16" t="str">
        <f>IFERROR(__xludf.DUMMYFUNCTION("""COMPUTED_VALUE"""),"Daniel José sandoval gonzalez")</f>
        <v>Daniel José sandoval gonzalez</v>
      </c>
      <c r="C5080" s="15" t="str">
        <f>IFERROR(__xludf.DUMMYFUNCTION("""COMPUTED_VALUE"""),"BARRANQUILLA")</f>
        <v>BARRANQUILLA</v>
      </c>
      <c r="D5080" s="15" t="str">
        <f>IFERROR(__xludf.DUMMYFUNCTION("""COMPUTED_VALUE"""),"BOGOTÁ")</f>
        <v>BOGOTÁ</v>
      </c>
      <c r="E5080" s="15" t="str">
        <f>IFERROR(__xludf.DUMMYFUNCTION("""COMPUTED_VALUE"""),"MAI ALIMENTOS S.A.S")</f>
        <v>MAI ALIMENTOS S.A.S</v>
      </c>
      <c r="F5080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5080" s="15" t="str">
        <f>IFERROR(__xludf.DUMMYFUNCTION("""COMPUTED_VALUE"""),"Fithub")</f>
        <v>Fithub</v>
      </c>
      <c r="H5080" s="16">
        <f>IFERROR(__xludf.DUMMYFUNCTION("""COMPUTED_VALUE"""),13748.0)</f>
        <v>13748</v>
      </c>
      <c r="I5080" s="18">
        <f>IFERROR(__xludf.DUMMYFUNCTION("""COMPUTED_VALUE"""),28.0)</f>
        <v>28</v>
      </c>
      <c r="J5080" s="18">
        <f>IFERROR(__xludf.DUMMYFUNCTION("""COMPUTED_VALUE"""),17.0)</f>
        <v>17</v>
      </c>
      <c r="K5080" s="18">
        <f>IFERROR(__xludf.DUMMYFUNCTION("""COMPUTED_VALUE"""),13.0)</f>
        <v>13</v>
      </c>
      <c r="L5080" s="17">
        <f>IFERROR(__xludf.DUMMYFUNCTION("""COMPUTED_VALUE"""),0.0)</f>
        <v>0</v>
      </c>
      <c r="M5080" s="17" t="str">
        <f>IFERROR(__xludf.DUMMYFUNCTION("""COMPUTED_VALUE"""),"#REF!")</f>
        <v>#REF!</v>
      </c>
      <c r="N5080" s="17"/>
      <c r="O5080" s="17"/>
      <c r="P5080" s="17" t="b">
        <f>IFERROR(__xludf.DUMMYFUNCTION("""COMPUTED_VALUE"""),TRUE)</f>
        <v>1</v>
      </c>
      <c r="Q5080" s="20">
        <f>IFERROR(__xludf.DUMMYFUNCTION("""COMPUTED_VALUE"""),45149.69711483797)</f>
        <v>45149.69711</v>
      </c>
      <c r="R5080" s="21" t="str">
        <f>IFERROR(__xludf.DUMMYFUNCTION("""COMPUTED_VALUE"""),"https://drive.google.com/file/d/19ZCXxKIQu65pMoJYdAFLK_V8itCJzSh7/view?usp=drivesdk")</f>
        <v>https://drive.google.com/file/d/19ZCXxKIQu65pMoJYdAFLK_V8itCJzSh7/view?usp=drivesdk</v>
      </c>
    </row>
    <row r="5081">
      <c r="A5081" s="15">
        <f>IFERROR(__xludf.DUMMYFUNCTION("""COMPUTED_VALUE"""),45149.0)</f>
        <v>45149</v>
      </c>
      <c r="B5081" s="16" t="str">
        <f>IFERROR(__xludf.DUMMYFUNCTION("""COMPUTED_VALUE"""),"Daniel José sandoval gonzalez")</f>
        <v>Daniel José sandoval gonzalez</v>
      </c>
      <c r="C5081" s="15" t="str">
        <f>IFERROR(__xludf.DUMMYFUNCTION("""COMPUTED_VALUE"""),"BARRANQUILLA")</f>
        <v>BARRANQUILLA</v>
      </c>
      <c r="D5081" s="15" t="str">
        <f>IFERROR(__xludf.DUMMYFUNCTION("""COMPUTED_VALUE"""),"BOGOTÁ")</f>
        <v>BOGOTÁ</v>
      </c>
      <c r="E5081" s="15" t="str">
        <f>IFERROR(__xludf.DUMMYFUNCTION("""COMPUTED_VALUE"""),"Top Spun")</f>
        <v>Top Spun</v>
      </c>
      <c r="F5081" s="17" t="str">
        <f>IFERROR(__xludf.DUMMYFUNCTION("""COMPUTED_VALUE"""),"Calle 77 no. 55-107 / Apto 3A / Barranquilla")</f>
        <v>Calle 77 no. 55-107 / Apto 3A / Barranquilla</v>
      </c>
      <c r="G5081" s="15" t="str">
        <f>IFERROR(__xludf.DUMMYFUNCTION("""COMPUTED_VALUE"""),"Valerie Cohen")</f>
        <v>Valerie Cohen</v>
      </c>
      <c r="H5081" s="16">
        <f>IFERROR(__xludf.DUMMYFUNCTION("""COMPUTED_VALUE"""),13776.0)</f>
        <v>13776</v>
      </c>
      <c r="I5081" s="18">
        <f>IFERROR(__xludf.DUMMYFUNCTION("""COMPUTED_VALUE"""),20.0)</f>
        <v>20</v>
      </c>
      <c r="J5081" s="18">
        <f>IFERROR(__xludf.DUMMYFUNCTION("""COMPUTED_VALUE"""),10.0)</f>
        <v>10</v>
      </c>
      <c r="K5081" s="18">
        <f>IFERROR(__xludf.DUMMYFUNCTION("""COMPUTED_VALUE"""),40.0)</f>
        <v>40</v>
      </c>
      <c r="L5081" s="17">
        <f>IFERROR(__xludf.DUMMYFUNCTION("""COMPUTED_VALUE"""),3.234673022E9)</f>
        <v>3234673022</v>
      </c>
      <c r="M5081" s="17" t="str">
        <f>IFERROR(__xludf.DUMMYFUNCTION("""COMPUTED_VALUE"""),"#REF!")</f>
        <v>#REF!</v>
      </c>
      <c r="N5081" s="17"/>
      <c r="O5081" s="17"/>
      <c r="P5081" s="17" t="b">
        <f>IFERROR(__xludf.DUMMYFUNCTION("""COMPUTED_VALUE"""),TRUE)</f>
        <v>1</v>
      </c>
      <c r="Q5081" s="20">
        <f>IFERROR(__xludf.DUMMYFUNCTION("""COMPUTED_VALUE"""),45149.65424729166)</f>
        <v>45149.65425</v>
      </c>
      <c r="R5081" s="21" t="str">
        <f>IFERROR(__xludf.DUMMYFUNCTION("""COMPUTED_VALUE"""),"https://drive.google.com/file/d/1DW4NrDcgu5DeFFFODH43aSAHn-4V3Vxn/view?usp=drivesdk")</f>
        <v>https://drive.google.com/file/d/1DW4NrDcgu5DeFFFODH43aSAHn-4V3Vxn/view?usp=drivesdk</v>
      </c>
    </row>
    <row r="5082">
      <c r="A5082" s="15">
        <f>IFERROR(__xludf.DUMMYFUNCTION("""COMPUTED_VALUE"""),45149.0)</f>
        <v>45149</v>
      </c>
      <c r="B5082" s="16" t="str">
        <f>IFERROR(__xludf.DUMMYFUNCTION("""COMPUTED_VALUE"""),"Daniel José sandoval gonzalez")</f>
        <v>Daniel José sandoval gonzalez</v>
      </c>
      <c r="C5082" s="15" t="str">
        <f>IFERROR(__xludf.DUMMYFUNCTION("""COMPUTED_VALUE"""),"BARRANQUILLA")</f>
        <v>BARRANQUILLA</v>
      </c>
      <c r="D5082" s="15" t="str">
        <f>IFERROR(__xludf.DUMMYFUNCTION("""COMPUTED_VALUE"""),"BOGOTÁ")</f>
        <v>BOGOTÁ</v>
      </c>
      <c r="E5082" s="15" t="str">
        <f>IFERROR(__xludf.DUMMYFUNCTION("""COMPUTED_VALUE"""),"Ventura Productos Arg")</f>
        <v>Ventura Productos Arg</v>
      </c>
      <c r="F5082" s="17" t="str">
        <f>IFERROR(__xludf.DUMMYFUNCTION("""COMPUTED_VALUE"""),"Cra 45 # 69-73 / Apto 42 B . Edificio Las Acacias")</f>
        <v>Cra 45 # 69-73 / Apto 42 B . Edificio Las Acacias</v>
      </c>
      <c r="G5082" s="15" t="str">
        <f>IFERROR(__xludf.DUMMYFUNCTION("""COMPUTED_VALUE"""),"Erika De León Reales")</f>
        <v>Erika De León Reales</v>
      </c>
      <c r="H5082" s="16">
        <f>IFERROR(__xludf.DUMMYFUNCTION("""COMPUTED_VALUE"""),13772.0)</f>
        <v>13772</v>
      </c>
      <c r="I5082" s="18">
        <f>IFERROR(__xludf.DUMMYFUNCTION("""COMPUTED_VALUE"""),3.0)</f>
        <v>3</v>
      </c>
      <c r="J5082" s="18">
        <f>IFERROR(__xludf.DUMMYFUNCTION("""COMPUTED_VALUE"""),45060.0)</f>
        <v>45060</v>
      </c>
      <c r="K5082" s="18">
        <f>IFERROR(__xludf.DUMMYFUNCTION("""COMPUTED_VALUE"""),22.0)</f>
        <v>22</v>
      </c>
      <c r="L5082" s="17">
        <f>IFERROR(__xludf.DUMMYFUNCTION("""COMPUTED_VALUE"""),3.006825999E9)</f>
        <v>3006825999</v>
      </c>
      <c r="M5082" s="17" t="str">
        <f>IFERROR(__xludf.DUMMYFUNCTION("""COMPUTED_VALUE"""),"#REF!")</f>
        <v>#REF!</v>
      </c>
      <c r="N5082" s="17"/>
      <c r="O5082" s="17"/>
      <c r="P5082" s="17" t="b">
        <f>IFERROR(__xludf.DUMMYFUNCTION("""COMPUTED_VALUE"""),TRUE)</f>
        <v>1</v>
      </c>
      <c r="Q5082" s="20">
        <f>IFERROR(__xludf.DUMMYFUNCTION("""COMPUTED_VALUE"""),45149.69711483797)</f>
        <v>45149.69711</v>
      </c>
      <c r="R5082" s="21" t="str">
        <f>IFERROR(__xludf.DUMMYFUNCTION("""COMPUTED_VALUE"""),"https://drive.google.com/file/d/1RbO04DTI2Fq9mWkzN_z1PEGS9semMftJ/view?usp=drivesdk")</f>
        <v>https://drive.google.com/file/d/1RbO04DTI2Fq9mWkzN_z1PEGS9semMftJ/view?usp=drivesdk</v>
      </c>
    </row>
    <row r="5083">
      <c r="A5083" s="15">
        <f>IFERROR(__xludf.DUMMYFUNCTION("""COMPUTED_VALUE"""),45149.0)</f>
        <v>45149</v>
      </c>
      <c r="B5083" s="16" t="str">
        <f>IFERROR(__xludf.DUMMYFUNCTION("""COMPUTED_VALUE"""),"Daniel José sandoval gonzalez")</f>
        <v>Daniel José sandoval gonzalez</v>
      </c>
      <c r="C5083" s="15" t="str">
        <f>IFERROR(__xludf.DUMMYFUNCTION("""COMPUTED_VALUE"""),"BARRANQUILLA")</f>
        <v>BARRANQUILLA</v>
      </c>
      <c r="D5083" s="15" t="str">
        <f>IFERROR(__xludf.DUMMYFUNCTION("""COMPUTED_VALUE"""),"BOGOTÁ")</f>
        <v>BOGOTÁ</v>
      </c>
      <c r="E5083" s="15" t="str">
        <f>IFERROR(__xludf.DUMMYFUNCTION("""COMPUTED_VALUE"""),"Viral Brands")</f>
        <v>Viral Brands</v>
      </c>
      <c r="F5083" s="17" t="str">
        <f>IFERROR(__xludf.DUMMYFUNCTION("""COMPUTED_VALUE"""),"cra 58 n 96 -187 / RESTAURANTE MAYA- GAUCHO / BUENvista")</f>
        <v>cra 58 n 96 -187 / RESTAURANTE MAYA- GAUCHO / BUENvista</v>
      </c>
      <c r="G5083" s="15" t="str">
        <f>IFERROR(__xludf.DUMMYFUNCTION("""COMPUTED_VALUE"""),"MANUEL ORTIZ")</f>
        <v>MANUEL ORTIZ</v>
      </c>
      <c r="H5083" s="16">
        <f>IFERROR(__xludf.DUMMYFUNCTION("""COMPUTED_VALUE"""),13778.0)</f>
        <v>13778</v>
      </c>
      <c r="I5083" s="18">
        <f>IFERROR(__xludf.DUMMYFUNCTION("""COMPUTED_VALUE"""),21.0)</f>
        <v>21</v>
      </c>
      <c r="J5083" s="18">
        <f>IFERROR(__xludf.DUMMYFUNCTION("""COMPUTED_VALUE"""),30.0)</f>
        <v>30</v>
      </c>
      <c r="K5083" s="18">
        <f>IFERROR(__xludf.DUMMYFUNCTION("""COMPUTED_VALUE"""),50.0)</f>
        <v>50</v>
      </c>
      <c r="L5083" s="17">
        <f>IFERROR(__xludf.DUMMYFUNCTION("""COMPUTED_VALUE"""),3.122454394E9)</f>
        <v>3122454394</v>
      </c>
      <c r="M5083" s="17" t="str">
        <f>IFERROR(__xludf.DUMMYFUNCTION("""COMPUTED_VALUE"""),"#REF!")</f>
        <v>#REF!</v>
      </c>
      <c r="N5083" s="17"/>
      <c r="O5083" s="17"/>
      <c r="P5083" s="17" t="b">
        <f>IFERROR(__xludf.DUMMYFUNCTION("""COMPUTED_VALUE"""),TRUE)</f>
        <v>1</v>
      </c>
      <c r="Q5083" s="20">
        <f>IFERROR(__xludf.DUMMYFUNCTION("""COMPUTED_VALUE"""),45149.65913290509)</f>
        <v>45149.65913</v>
      </c>
      <c r="R5083" s="21" t="str">
        <f>IFERROR(__xludf.DUMMYFUNCTION("""COMPUTED_VALUE"""),"https://drive.google.com/file/d/1jjLkiBCUK5MqYcmpWayWBuIdnDEms1vL/view?usp=drivesdk")</f>
        <v>https://drive.google.com/file/d/1jjLkiBCUK5MqYcmpWayWBuIdnDEms1vL/view?usp=drivesdk</v>
      </c>
    </row>
    <row r="5084">
      <c r="A5084" s="15">
        <f>IFERROR(__xludf.DUMMYFUNCTION("""COMPUTED_VALUE"""),45149.0)</f>
        <v>45149</v>
      </c>
      <c r="B5084" s="16" t="str">
        <f>IFERROR(__xludf.DUMMYFUNCTION("""COMPUTED_VALUE"""),"Daniel José sandoval gonzalez")</f>
        <v>Daniel José sandoval gonzalez</v>
      </c>
      <c r="C5084" s="15" t="str">
        <f>IFERROR(__xludf.DUMMYFUNCTION("""COMPUTED_VALUE"""),"BARRANQUILLA")</f>
        <v>BARRANQUILLA</v>
      </c>
      <c r="D5084" s="15" t="str">
        <f>IFERROR(__xludf.DUMMYFUNCTION("""COMPUTED_VALUE"""),"MEDELLÍN")</f>
        <v>MEDELLÍN</v>
      </c>
      <c r="E5084" s="15" t="str">
        <f>IFERROR(__xludf.DUMMYFUNCTION("""COMPUTED_VALUE"""),"AREPAS LA MARY")</f>
        <v>AREPAS LA MARY</v>
      </c>
      <c r="F5084" s="17" t="str">
        <f>IFERROR(__xludf.DUMMYFUNCTION("""COMPUTED_VALUE"""),"carrera64B#94-160 / VALENTY")</f>
        <v>carrera64B#94-160 / VALENTY</v>
      </c>
      <c r="G5084" s="15" t="str">
        <f>IFERROR(__xludf.DUMMYFUNCTION("""COMPUTED_VALUE"""),"LEONOR HERNANDEZ")</f>
        <v>LEONOR HERNANDEZ</v>
      </c>
      <c r="H5084" s="16">
        <f>IFERROR(__xludf.DUMMYFUNCTION("""COMPUTED_VALUE"""),13821.0)</f>
        <v>13821</v>
      </c>
      <c r="I5084" s="18">
        <f>IFERROR(__xludf.DUMMYFUNCTION("""COMPUTED_VALUE"""),89.0)</f>
        <v>89</v>
      </c>
      <c r="J5084" s="18">
        <f>IFERROR(__xludf.DUMMYFUNCTION("""COMPUTED_VALUE"""),1.0)</f>
        <v>1</v>
      </c>
      <c r="K5084" s="18">
        <f>IFERROR(__xludf.DUMMYFUNCTION("""COMPUTED_VALUE"""),10.0)</f>
        <v>10</v>
      </c>
      <c r="L5084" s="17">
        <f>IFERROR(__xludf.DUMMYFUNCTION("""COMPUTED_VALUE"""),3.106024789E9)</f>
        <v>3106024789</v>
      </c>
      <c r="M5084" s="17" t="str">
        <f>IFERROR(__xludf.DUMMYFUNCTION("""COMPUTED_VALUE"""),"#REF!")</f>
        <v>#REF!</v>
      </c>
      <c r="N5084" s="17"/>
      <c r="O5084" s="17"/>
      <c r="P5084" s="17" t="b">
        <f>IFERROR(__xludf.DUMMYFUNCTION("""COMPUTED_VALUE"""),TRUE)</f>
        <v>1</v>
      </c>
      <c r="Q5084" s="20">
        <f>IFERROR(__xludf.DUMMYFUNCTION("""COMPUTED_VALUE"""),45149.697156435184)</f>
        <v>45149.69716</v>
      </c>
      <c r="R5084" s="21" t="str">
        <f>IFERROR(__xludf.DUMMYFUNCTION("""COMPUTED_VALUE"""),"https://drive.google.com/file/d/104RUWT4JDZ3gzlUtepVBSSdJX09a6jT6/view?usp=drivesdk")</f>
        <v>https://drive.google.com/file/d/104RUWT4JDZ3gzlUtepVBSSdJX09a6jT6/view?usp=drivesdk</v>
      </c>
    </row>
    <row r="5085">
      <c r="A5085" s="15">
        <f>IFERROR(__xludf.DUMMYFUNCTION("""COMPUTED_VALUE"""),45149.0)</f>
        <v>45149</v>
      </c>
      <c r="B5085" s="16" t="str">
        <f>IFERROR(__xludf.DUMMYFUNCTION("""COMPUTED_VALUE"""),"Daniel José sandoval gonzalez")</f>
        <v>Daniel José sandoval gonzalez</v>
      </c>
      <c r="C5085" s="15" t="str">
        <f>IFERROR(__xludf.DUMMYFUNCTION("""COMPUTED_VALUE"""),"BARRANQUILLA")</f>
        <v>BARRANQUILLA</v>
      </c>
      <c r="D5085" s="15" t="str">
        <f>IFERROR(__xludf.DUMMYFUNCTION("""COMPUTED_VALUE"""),"MEDELLÍN")</f>
        <v>MEDELLÍN</v>
      </c>
      <c r="E5085" s="15" t="str">
        <f>IFERROR(__xludf.DUMMYFUNCTION("""COMPUTED_VALUE"""),"Baby Chef")</f>
        <v>Baby Chef</v>
      </c>
      <c r="F5085" s="17" t="str">
        <f>IFERROR(__xludf.DUMMYFUNCTION("""COMPUTED_VALUE"""),"Calle 61 27 31  Barranquilla, Los Andes. Portón blanco, timbre en el buzón / Calle 61 27 31  Barranquilla, Los Andes. Portón blanco, timbre en el buzón / Calle 61 27 31  Barranquilla, Los Andes. Portón blanco, timbre en el buzón")</f>
        <v>Calle 61 27 31  Barranquilla, Los Andes. Portón blanco, timbre en el buzón / Calle 61 27 31  Barranquilla, Los Andes. Portón blanco, timbre en el buzón / Calle 61 27 31  Barranquilla, Los Andes. Portón blanco, timbre en el buzón</v>
      </c>
      <c r="G5085" s="15" t="str">
        <f>IFERROR(__xludf.DUMMYFUNCTION("""COMPUTED_VALUE"""),"Kenlly Vargas")</f>
        <v>Kenlly Vargas</v>
      </c>
      <c r="H5085" s="16">
        <f>IFERROR(__xludf.DUMMYFUNCTION("""COMPUTED_VALUE"""),13818.0)</f>
        <v>13818</v>
      </c>
      <c r="I5085" s="18">
        <f>IFERROR(__xludf.DUMMYFUNCTION("""COMPUTED_VALUE"""),8.0)</f>
        <v>8</v>
      </c>
      <c r="J5085" s="18">
        <f>IFERROR(__xludf.DUMMYFUNCTION("""COMPUTED_VALUE"""),35.0)</f>
        <v>35</v>
      </c>
      <c r="K5085" s="18">
        <f>IFERROR(__xludf.DUMMYFUNCTION("""COMPUTED_VALUE"""),15.0)</f>
        <v>15</v>
      </c>
      <c r="L5085" s="17">
        <f>IFERROR(__xludf.DUMMYFUNCTION("""COMPUTED_VALUE"""),3.10658334E9)</f>
        <v>3106583340</v>
      </c>
      <c r="M5085" s="17" t="str">
        <f>IFERROR(__xludf.DUMMYFUNCTION("""COMPUTED_VALUE"""),"#REF!")</f>
        <v>#REF!</v>
      </c>
      <c r="N5085" s="17"/>
      <c r="O5085" s="17"/>
      <c r="P5085" s="17" t="b">
        <f>IFERROR(__xludf.DUMMYFUNCTION("""COMPUTED_VALUE"""),TRUE)</f>
        <v>1</v>
      </c>
      <c r="Q5085" s="20">
        <f>IFERROR(__xludf.DUMMYFUNCTION("""COMPUTED_VALUE"""),45149.654894328705)</f>
        <v>45149.65489</v>
      </c>
      <c r="R5085" s="21" t="str">
        <f>IFERROR(__xludf.DUMMYFUNCTION("""COMPUTED_VALUE"""),"https://drive.google.com/file/d/1ZMFlZbDI-YQ5fsX5DVTAFQOeDm2DOVBE/view?usp=drivesdk")</f>
        <v>https://drive.google.com/file/d/1ZMFlZbDI-YQ5fsX5DVTAFQOeDm2DOVBE/view?usp=drivesdk</v>
      </c>
    </row>
    <row r="5086">
      <c r="A5086" s="15">
        <f>IFERROR(__xludf.DUMMYFUNCTION("""COMPUTED_VALUE"""),45149.0)</f>
        <v>45149</v>
      </c>
      <c r="B5086" s="16" t="str">
        <f>IFERROR(__xludf.DUMMYFUNCTION("""COMPUTED_VALUE"""),"Daniel José sandoval gonzalez")</f>
        <v>Daniel José sandoval gonzalez</v>
      </c>
      <c r="C5086" s="15" t="str">
        <f>IFERROR(__xludf.DUMMYFUNCTION("""COMPUTED_VALUE"""),"BARRANQUILLA")</f>
        <v>BARRANQUILLA</v>
      </c>
      <c r="D5086" s="15" t="str">
        <f>IFERROR(__xludf.DUMMYFUNCTION("""COMPUTED_VALUE"""),"MEDELLÍN")</f>
        <v>MEDELLÍN</v>
      </c>
      <c r="E5086" s="15" t="str">
        <f>IFERROR(__xludf.DUMMYFUNCTION("""COMPUTED_VALUE"""),"Baby Chef")</f>
        <v>Baby Chef</v>
      </c>
      <c r="F5086" s="17" t="str">
        <f>IFERROR(__xludf.DUMMYFUNCTION("""COMPUTED_VALUE"""),"Cra 71 # 94-127 edificio Ibiza. Torre 2 apto 1109  Barrio villa Carolina.  / Cra 71 # 94-127 edificio Ibiza. Torre 2 apto 1109  Barrio villa Carolina.  / Cra 71 # 94-127 edificio Ibiza. Torre 2 apto 1109  Barrio villa Carolina.")</f>
        <v>Cra 71 # 94-127 edificio Ibiza. Torre 2 apto 1109  Barrio villa Carolina.  / Cra 71 # 94-127 edificio Ibiza. Torre 2 apto 1109  Barrio villa Carolina.  / Cra 71 # 94-127 edificio Ibiza. Torre 2 apto 1109  Barrio villa Carolina.</v>
      </c>
      <c r="G5086" s="15" t="str">
        <f>IFERROR(__xludf.DUMMYFUNCTION("""COMPUTED_VALUE"""),"Martha Rodríguez")</f>
        <v>Martha Rodríguez</v>
      </c>
      <c r="H5086" s="16">
        <f>IFERROR(__xludf.DUMMYFUNCTION("""COMPUTED_VALUE"""),13817.0)</f>
        <v>13817</v>
      </c>
      <c r="I5086" s="18">
        <f>IFERROR(__xludf.DUMMYFUNCTION("""COMPUTED_VALUE"""),8.0)</f>
        <v>8</v>
      </c>
      <c r="J5086" s="18">
        <f>IFERROR(__xludf.DUMMYFUNCTION("""COMPUTED_VALUE"""),22.0)</f>
        <v>22</v>
      </c>
      <c r="K5086" s="18">
        <f>IFERROR(__xludf.DUMMYFUNCTION("""COMPUTED_VALUE"""),34.0)</f>
        <v>34</v>
      </c>
      <c r="L5086" s="17">
        <f>IFERROR(__xludf.DUMMYFUNCTION("""COMPUTED_VALUE"""),3.023765208E9)</f>
        <v>3023765208</v>
      </c>
      <c r="M5086" s="17" t="str">
        <f>IFERROR(__xludf.DUMMYFUNCTION("""COMPUTED_VALUE"""),"#REF!")</f>
        <v>#REF!</v>
      </c>
      <c r="N5086" s="17"/>
      <c r="O5086" s="17"/>
      <c r="P5086" s="17" t="b">
        <f>IFERROR(__xludf.DUMMYFUNCTION("""COMPUTED_VALUE"""),TRUE)</f>
        <v>1</v>
      </c>
      <c r="Q5086" s="20">
        <f>IFERROR(__xludf.DUMMYFUNCTION("""COMPUTED_VALUE"""),45149.655371388886)</f>
        <v>45149.65537</v>
      </c>
      <c r="R5086" s="21" t="str">
        <f>IFERROR(__xludf.DUMMYFUNCTION("""COMPUTED_VALUE"""),"https://drive.google.com/file/d/1l1S10TOGpoycq2LaqIaK526ntXkbKlbu/view?usp=drivesdk")</f>
        <v>https://drive.google.com/file/d/1l1S10TOGpoycq2LaqIaK526ntXkbKlbu/view?usp=drivesdk</v>
      </c>
    </row>
    <row r="5087">
      <c r="A5087" s="15">
        <f>IFERROR(__xludf.DUMMYFUNCTION("""COMPUTED_VALUE"""),45149.0)</f>
        <v>45149</v>
      </c>
      <c r="B5087" s="16" t="str">
        <f>IFERROR(__xludf.DUMMYFUNCTION("""COMPUTED_VALUE"""),"Daniel José sandoval gonzalez")</f>
        <v>Daniel José sandoval gonzalez</v>
      </c>
      <c r="C5087" s="15" t="str">
        <f>IFERROR(__xludf.DUMMYFUNCTION("""COMPUTED_VALUE"""),"MEDELLÍN")</f>
        <v>MEDELLÍN</v>
      </c>
      <c r="D5087" s="15" t="str">
        <f>IFERROR(__xludf.DUMMYFUNCTION("""COMPUTED_VALUE"""),"BOGOTÁ")</f>
        <v>BOGOTÁ</v>
      </c>
      <c r="E5087" s="15" t="str">
        <f>IFERROR(__xludf.DUMMYFUNCTION("""COMPUTED_VALUE"""),"Renata")</f>
        <v>Renata</v>
      </c>
      <c r="F5087" s="17" t="str">
        <f>IFERROR(__xludf.DUMMYFUNCTION("""COMPUTED_VALUE"""),"Carrera 32d#9-43 / Seline y cowork -restaurante  / Provenza")</f>
        <v>Carrera 32d#9-43 / Seline y cowork -restaurante  / Provenza</v>
      </c>
      <c r="G5087" s="15" t="str">
        <f>IFERROR(__xludf.DUMMYFUNCTION("""COMPUTED_VALUE"""),"Front y back hospitality group")</f>
        <v>Front y back hospitality group</v>
      </c>
      <c r="H5087" s="16">
        <f>IFERROR(__xludf.DUMMYFUNCTION("""COMPUTED_VALUE"""),13870.0)</f>
        <v>13870</v>
      </c>
      <c r="I5087" s="18">
        <f>IFERROR(__xludf.DUMMYFUNCTION("""COMPUTED_VALUE"""),90.0)</f>
        <v>90</v>
      </c>
      <c r="J5087" s="18">
        <f>IFERROR(__xludf.DUMMYFUNCTION("""COMPUTED_VALUE"""),70.0)</f>
        <v>70</v>
      </c>
      <c r="K5087" s="18">
        <f>IFERROR(__xludf.DUMMYFUNCTION("""COMPUTED_VALUE"""),60.0)</f>
        <v>60</v>
      </c>
      <c r="L5087" s="17">
        <f>IFERROR(__xludf.DUMMYFUNCTION("""COMPUTED_VALUE"""),3.104047368E9)</f>
        <v>3104047368</v>
      </c>
      <c r="M5087" s="17" t="str">
        <f>IFERROR(__xludf.DUMMYFUNCTION("""COMPUTED_VALUE"""),"#REF!")</f>
        <v>#REF!</v>
      </c>
      <c r="N5087" s="17"/>
      <c r="O5087" s="17"/>
      <c r="P5087" s="17" t="b">
        <f>IFERROR(__xludf.DUMMYFUNCTION("""COMPUTED_VALUE"""),TRUE)</f>
        <v>1</v>
      </c>
      <c r="Q5087" s="20">
        <f>IFERROR(__xludf.DUMMYFUNCTION("""COMPUTED_VALUE"""),45149.69719802083)</f>
        <v>45149.6972</v>
      </c>
      <c r="R5087" s="22" t="str">
        <f>IFERROR(__xludf.DUMMYFUNCTION("""COMPUTED_VALUE"""),"")</f>
        <v/>
      </c>
    </row>
    <row r="5088">
      <c r="A5088" s="15">
        <f>IFERROR(__xludf.DUMMYFUNCTION("""COMPUTED_VALUE"""),45149.0)</f>
        <v>45149</v>
      </c>
      <c r="B5088" s="16" t="str">
        <f>IFERROR(__xludf.DUMMYFUNCTION("""COMPUTED_VALUE"""),"Daniel José sandoval gonzalez")</f>
        <v>Daniel José sandoval gonzalez</v>
      </c>
      <c r="C5088" s="15" t="str">
        <f>IFERROR(__xludf.DUMMYFUNCTION("""COMPUTED_VALUE"""),"MEDELLÍN")</f>
        <v>MEDELLÍN</v>
      </c>
      <c r="D5088" s="15" t="str">
        <f>IFERROR(__xludf.DUMMYFUNCTION("""COMPUTED_VALUE"""),"BOGOTÁ")</f>
        <v>BOGOTÁ</v>
      </c>
      <c r="E5088" s="15" t="str">
        <f>IFERROR(__xludf.DUMMYFUNCTION("""COMPUTED_VALUE"""),"Viiva Fermentados")</f>
        <v>Viiva Fermentados</v>
      </c>
      <c r="F5088" s="17" t="str">
        <f>IFERROR(__xludf.DUMMYFUNCTION("""COMPUTED_VALUE"""),"Calle 98 #50b-19 / primer piso  Preguntar por Doña Fabiola / Aranjuez")</f>
        <v>Calle 98 #50b-19 / primer piso  Preguntar por Doña Fabiola / Aranjuez</v>
      </c>
      <c r="G5088" s="15" t="str">
        <f>IFERROR(__xludf.DUMMYFUNCTION("""COMPUTED_VALUE"""),"Bayron Rodriguez")</f>
        <v>Bayron Rodriguez</v>
      </c>
      <c r="H5088" s="16">
        <f>IFERROR(__xludf.DUMMYFUNCTION("""COMPUTED_VALUE"""),13879.0)</f>
        <v>13879</v>
      </c>
      <c r="I5088" s="18">
        <f>IFERROR(__xludf.DUMMYFUNCTION("""COMPUTED_VALUE"""),34.0)</f>
        <v>34</v>
      </c>
      <c r="J5088" s="18">
        <f>IFERROR(__xludf.DUMMYFUNCTION("""COMPUTED_VALUE"""),24.0)</f>
        <v>24</v>
      </c>
      <c r="K5088" s="18">
        <f>IFERROR(__xludf.DUMMYFUNCTION("""COMPUTED_VALUE"""),36.0)</f>
        <v>36</v>
      </c>
      <c r="L5088" s="17">
        <f>IFERROR(__xludf.DUMMYFUNCTION("""COMPUTED_VALUE"""),3.166261966E9)</f>
        <v>3166261966</v>
      </c>
      <c r="M5088" s="17" t="str">
        <f>IFERROR(__xludf.DUMMYFUNCTION("""COMPUTED_VALUE"""),"#REF!")</f>
        <v>#REF!</v>
      </c>
      <c r="N5088" s="17"/>
      <c r="O5088" s="17"/>
      <c r="P5088" s="17" t="b">
        <f>IFERROR(__xludf.DUMMYFUNCTION("""COMPUTED_VALUE"""),TRUE)</f>
        <v>1</v>
      </c>
      <c r="Q5088" s="20">
        <f>IFERROR(__xludf.DUMMYFUNCTION("""COMPUTED_VALUE"""),45149.658408877316)</f>
        <v>45149.65841</v>
      </c>
      <c r="R5088" s="22" t="str">
        <f>IFERROR(__xludf.DUMMYFUNCTION("""COMPUTED_VALUE"""),"")</f>
        <v/>
      </c>
    </row>
    <row r="5089">
      <c r="A5089" s="17" t="str">
        <f>IFERROR(__xludf.DUMMYFUNCTION("""COMPUTED_VALUE"""),"")</f>
        <v/>
      </c>
      <c r="B5089" s="17" t="str">
        <f>IFERROR(__xludf.DUMMYFUNCTION("""COMPUTED_VALUE"""),"")</f>
        <v/>
      </c>
      <c r="C5089" s="17" t="str">
        <f>IFERROR(__xludf.DUMMYFUNCTION("""COMPUTED_VALUE"""),"")</f>
        <v/>
      </c>
      <c r="D5089" s="17" t="str">
        <f>IFERROR(__xludf.DUMMYFUNCTION("""COMPUTED_VALUE"""),"")</f>
        <v/>
      </c>
      <c r="E5089" s="17" t="str">
        <f>IFERROR(__xludf.DUMMYFUNCTION("""COMPUTED_VALUE"""),"")</f>
        <v/>
      </c>
      <c r="F5089" s="17" t="str">
        <f>IFERROR(__xludf.DUMMYFUNCTION("""COMPUTED_VALUE"""),"")</f>
        <v/>
      </c>
      <c r="G5089" s="17" t="str">
        <f>IFERROR(__xludf.DUMMYFUNCTION("""COMPUTED_VALUE"""),"")</f>
        <v/>
      </c>
      <c r="H5089" s="17" t="str">
        <f>IFERROR(__xludf.DUMMYFUNCTION("""COMPUTED_VALUE"""),"")</f>
        <v/>
      </c>
      <c r="I5089" s="17" t="str">
        <f>IFERROR(__xludf.DUMMYFUNCTION("""COMPUTED_VALUE"""),"")</f>
        <v/>
      </c>
      <c r="J5089" s="17" t="str">
        <f>IFERROR(__xludf.DUMMYFUNCTION("""COMPUTED_VALUE"""),"")</f>
        <v/>
      </c>
      <c r="K5089" s="17" t="str">
        <f>IFERROR(__xludf.DUMMYFUNCTION("""COMPUTED_VALUE"""),"")</f>
        <v/>
      </c>
      <c r="L5089" s="17" t="str">
        <f>IFERROR(__xludf.DUMMYFUNCTION("""COMPUTED_VALUE"""),"")</f>
        <v/>
      </c>
      <c r="M5089" s="17" t="str">
        <f>IFERROR(__xludf.DUMMYFUNCTION("""COMPUTED_VALUE"""),"")</f>
        <v/>
      </c>
      <c r="N5089" s="17" t="str">
        <f>IFERROR(__xludf.DUMMYFUNCTION("""COMPUTED_VALUE"""),"")</f>
        <v/>
      </c>
      <c r="O5089" s="17" t="str">
        <f>IFERROR(__xludf.DUMMYFUNCTION("""COMPUTED_VALUE"""),"")</f>
        <v/>
      </c>
      <c r="P5089" s="17" t="str">
        <f>IFERROR(__xludf.DUMMYFUNCTION("""COMPUTED_VALUE"""),"")</f>
        <v/>
      </c>
      <c r="Q5089" s="17" t="str">
        <f>IFERROR(__xludf.DUMMYFUNCTION("""COMPUTED_VALUE"""),"")</f>
        <v/>
      </c>
      <c r="R5089" s="17" t="str">
        <f>IFERROR(__xludf.DUMMYFUNCTION("""COMPUTED_VALUE"""),"")</f>
        <v/>
      </c>
    </row>
    <row r="5090">
      <c r="A5090" s="15">
        <f>IFERROR(__xludf.DUMMYFUNCTION("""COMPUTED_VALUE"""),45149.0)</f>
        <v>45149</v>
      </c>
      <c r="B5090" s="16" t="str">
        <f>IFERROR(__xludf.DUMMYFUNCTION("""COMPUTED_VALUE"""),"Envia")</f>
        <v>Envia</v>
      </c>
      <c r="C5090" s="15" t="str">
        <f>IFERROR(__xludf.DUMMYFUNCTION("""COMPUTED_VALUE"""),"BARRANQUILLA")</f>
        <v>BARRANQUILLA</v>
      </c>
      <c r="D5090" s="15" t="str">
        <f>IFERROR(__xludf.DUMMYFUNCTION("""COMPUTED_VALUE"""),"MEDELLÍN")</f>
        <v>MEDELLÍN</v>
      </c>
      <c r="E5090" s="15" t="str">
        <f>IFERROR(__xludf.DUMMYFUNCTION("""COMPUTED_VALUE"""),"Rambla")</f>
        <v>Rambla</v>
      </c>
      <c r="F5090" s="17" t="str">
        <f>IFERROR(__xludf.DUMMYFUNCTION("""COMPUTED_VALUE"""),"CARRERA 74 #76-74 / - / -")</f>
        <v>CARRERA 74 #76-74 / - / -</v>
      </c>
      <c r="G5090" s="15" t="str">
        <f>IFERROR(__xludf.DUMMYFUNCTION("""COMPUTED_VALUE"""),"Fit Hub")</f>
        <v>Fit Hub</v>
      </c>
      <c r="H5090" s="16">
        <f>IFERROR(__xludf.DUMMYFUNCTION("""COMPUTED_VALUE"""),13795.0)</f>
        <v>13795</v>
      </c>
      <c r="I5090" s="18">
        <f>IFERROR(__xludf.DUMMYFUNCTION("""COMPUTED_VALUE"""),26.0)</f>
        <v>26</v>
      </c>
      <c r="J5090" s="18">
        <f>IFERROR(__xludf.DUMMYFUNCTION("""COMPUTED_VALUE"""),24.0)</f>
        <v>24</v>
      </c>
      <c r="K5090" s="18">
        <f>IFERROR(__xludf.DUMMYFUNCTION("""COMPUTED_VALUE"""),24.0)</f>
        <v>24</v>
      </c>
      <c r="L5090" s="17">
        <f>IFERROR(__xludf.DUMMYFUNCTION("""COMPUTED_VALUE"""),3.157039547E9)</f>
        <v>3157039547</v>
      </c>
      <c r="M5090" s="17" t="str">
        <f>IFERROR(__xludf.DUMMYFUNCTION("""COMPUTED_VALUE"""),"#REF!")</f>
        <v>#REF!</v>
      </c>
      <c r="N5090" s="17"/>
      <c r="O5090" s="17"/>
      <c r="P5090" s="17" t="b">
        <f>IFERROR(__xludf.DUMMYFUNCTION("""COMPUTED_VALUE"""),TRUE)</f>
        <v>1</v>
      </c>
      <c r="Q5090" s="20">
        <f>IFERROR(__xludf.DUMMYFUNCTION("""COMPUTED_VALUE"""),45149.65792116898)</f>
        <v>45149.65792</v>
      </c>
      <c r="R5090" s="21" t="str">
        <f>IFERROR(__xludf.DUMMYFUNCTION("""COMPUTED_VALUE"""),"https://drive.google.com/file/d/1E12CjzKvDQPeDbGl-gGCfelpAfGqKPFV/view?usp=drivesdk")</f>
        <v>https://drive.google.com/file/d/1E12CjzKvDQPeDbGl-gGCfelpAfGqKPFV/view?usp=drivesdk</v>
      </c>
    </row>
    <row r="5091">
      <c r="A5091" s="15">
        <f>IFERROR(__xludf.DUMMYFUNCTION("""COMPUTED_VALUE"""),45149.0)</f>
        <v>45149</v>
      </c>
      <c r="B5091" s="16" t="str">
        <f>IFERROR(__xludf.DUMMYFUNCTION("""COMPUTED_VALUE"""),"Envia")</f>
        <v>Envia</v>
      </c>
      <c r="C5091" s="15" t="str">
        <f>IFERROR(__xludf.DUMMYFUNCTION("""COMPUTED_VALUE"""),"BARRANQUILLA")</f>
        <v>BARRANQUILLA</v>
      </c>
      <c r="D5091" s="15" t="str">
        <f>IFERROR(__xludf.DUMMYFUNCTION("""COMPUTED_VALUE"""),"MEDELLÍN")</f>
        <v>MEDELLÍN</v>
      </c>
      <c r="E5091" s="15" t="str">
        <f>IFERROR(__xludf.DUMMYFUNCTION("""COMPUTED_VALUE"""),"Todo Bufala")</f>
        <v>Todo Bufala</v>
      </c>
      <c r="F5091" s="17" t="str">
        <f>IFERROR(__xludf.DUMMYFUNCTION("""COMPUTED_VALUE"""),"cra 43 N 84 - 74 / Centro nutricional local 3")</f>
        <v>cra 43 N 84 - 74 / Centro nutricional local 3</v>
      </c>
      <c r="G5091" s="15" t="str">
        <f>IFERROR(__xludf.DUMMYFUNCTION("""COMPUTED_VALUE"""),"Eliana Sarmiento")</f>
        <v>Eliana Sarmiento</v>
      </c>
      <c r="H5091" s="16">
        <f>IFERROR(__xludf.DUMMYFUNCTION("""COMPUTED_VALUE"""),13623.0)</f>
        <v>13623</v>
      </c>
      <c r="I5091" s="18">
        <f>IFERROR(__xludf.DUMMYFUNCTION("""COMPUTED_VALUE"""),20.0)</f>
        <v>20</v>
      </c>
      <c r="J5091" s="18">
        <f>IFERROR(__xludf.DUMMYFUNCTION("""COMPUTED_VALUE"""),30.0)</f>
        <v>30</v>
      </c>
      <c r="K5091" s="18">
        <f>IFERROR(__xludf.DUMMYFUNCTION("""COMPUTED_VALUE"""),40.0)</f>
        <v>40</v>
      </c>
      <c r="L5091" s="17">
        <f>IFERROR(__xludf.DUMMYFUNCTION("""COMPUTED_VALUE"""),3.226082052E9)</f>
        <v>3226082052</v>
      </c>
      <c r="M5091" s="17" t="str">
        <f>IFERROR(__xludf.DUMMYFUNCTION("""COMPUTED_VALUE"""),"#REF!")</f>
        <v>#REF!</v>
      </c>
      <c r="N5091" s="17"/>
      <c r="O5091" s="17"/>
      <c r="P5091" s="17" t="b">
        <f>IFERROR(__xludf.DUMMYFUNCTION("""COMPUTED_VALUE"""),TRUE)</f>
        <v>1</v>
      </c>
      <c r="Q5091" s="20">
        <f>IFERROR(__xludf.DUMMYFUNCTION("""COMPUTED_VALUE"""),45149.658706030095)</f>
        <v>45149.65871</v>
      </c>
      <c r="R5091" s="21" t="str">
        <f>IFERROR(__xludf.DUMMYFUNCTION("""COMPUTED_VALUE"""),"https://drive.google.com/file/d/1pe4dAo6lz8LRZPauyvwECS2UffD0qlv7/view?usp=drivesdk")</f>
        <v>https://drive.google.com/file/d/1pe4dAo6lz8LRZPauyvwECS2UffD0qlv7/view?usp=drivesdk</v>
      </c>
    </row>
    <row r="5092">
      <c r="A5092" s="15">
        <f>IFERROR(__xludf.DUMMYFUNCTION("""COMPUTED_VALUE"""),45149.0)</f>
        <v>45149</v>
      </c>
      <c r="B5092" s="16" t="str">
        <f>IFERROR(__xludf.DUMMYFUNCTION("""COMPUTED_VALUE"""),"Envia")</f>
        <v>Envia</v>
      </c>
      <c r="C5092" s="15" t="str">
        <f>IFERROR(__xludf.DUMMYFUNCTION("""COMPUTED_VALUE"""),"BOGOTÁ")</f>
        <v>BOGOTÁ</v>
      </c>
      <c r="D5092" s="15" t="str">
        <f>IFERROR(__xludf.DUMMYFUNCTION("""COMPUTED_VALUE"""),"MEDELLÍN")</f>
        <v>MEDELLÍN</v>
      </c>
      <c r="E5092" s="15" t="str">
        <f>IFERROR(__xludf.DUMMYFUNCTION("""COMPUTED_VALUE"""),"Baby Chef")</f>
        <v>Baby Chef</v>
      </c>
      <c r="F5092" s="17" t="str">
        <f>IFERROR(__xludf.DUMMYFUNCTION("""COMPUTED_VALUE"""),"Avenida Carrera 58 169a 25 torre 1 apto 306 , edificio kasaury , detrás del olímpica 170 / Avenida Carrera 58 169a 25 torre 1 apto 306 , edificio kasaury , detrás del olímpica 170 / Avenida Carrera 58 169a 25 torre 1 apto 306 , edificio kasaury , detrás d"&amp;"el olímpica 170")</f>
        <v>Avenida Carrera 58 169a 25 torre 1 apto 306 , edificio kasaury , detrás del olímpica 170 / Avenida Carrera 58 169a 25 torre 1 apto 306 , edificio kasaury , detrás del olímpica 170 / Avenida Carrera 58 169a 25 torre 1 apto 306 , edificio kasaury , detrás del olímpica 170</v>
      </c>
      <c r="G5092" s="15" t="str">
        <f>IFERROR(__xludf.DUMMYFUNCTION("""COMPUTED_VALUE"""),"Luisa Acosta")</f>
        <v>Luisa Acosta</v>
      </c>
      <c r="H5092" s="16">
        <f>IFERROR(__xludf.DUMMYFUNCTION("""COMPUTED_VALUE"""),13862.0)</f>
        <v>13862</v>
      </c>
      <c r="I5092" s="18">
        <f>IFERROR(__xludf.DUMMYFUNCTION("""COMPUTED_VALUE"""),8.0)</f>
        <v>8</v>
      </c>
      <c r="J5092" s="18">
        <f>IFERROR(__xludf.DUMMYFUNCTION("""COMPUTED_VALUE"""),16.0)</f>
        <v>16</v>
      </c>
      <c r="K5092" s="18">
        <f>IFERROR(__xludf.DUMMYFUNCTION("""COMPUTED_VALUE"""),36.0)</f>
        <v>36</v>
      </c>
      <c r="L5092" s="17">
        <f>IFERROR(__xludf.DUMMYFUNCTION("""COMPUTED_VALUE"""),3.146441972E9)</f>
        <v>3146441972</v>
      </c>
      <c r="M5092" s="17" t="str">
        <f>IFERROR(__xludf.DUMMYFUNCTION("""COMPUTED_VALUE"""),"#REF!")</f>
        <v>#REF!</v>
      </c>
      <c r="N5092" s="17"/>
      <c r="O5092" s="17"/>
      <c r="P5092" s="17" t="b">
        <f>IFERROR(__xludf.DUMMYFUNCTION("""COMPUTED_VALUE"""),TRUE)</f>
        <v>1</v>
      </c>
      <c r="Q5092" s="20">
        <f>IFERROR(__xludf.DUMMYFUNCTION("""COMPUTED_VALUE"""),45149.696972881946)</f>
        <v>45149.69697</v>
      </c>
      <c r="R5092" s="21" t="str">
        <f>IFERROR(__xludf.DUMMYFUNCTION("""COMPUTED_VALUE"""),"https://drive.google.com/file/d/1KPLtqqRfe77-9Zfw3_lyeahSZ7lZeMi2/view?usp=drivesdk")</f>
        <v>https://drive.google.com/file/d/1KPLtqqRfe77-9Zfw3_lyeahSZ7lZeMi2/view?usp=drivesdk</v>
      </c>
    </row>
    <row r="5093">
      <c r="A5093" s="15">
        <f>IFERROR(__xludf.DUMMYFUNCTION("""COMPUTED_VALUE"""),45149.0)</f>
        <v>45149</v>
      </c>
      <c r="B5093" s="16" t="str">
        <f>IFERROR(__xludf.DUMMYFUNCTION("""COMPUTED_VALUE"""),"Envia")</f>
        <v>Envia</v>
      </c>
      <c r="C5093" s="15" t="str">
        <f>IFERROR(__xludf.DUMMYFUNCTION("""COMPUTED_VALUE"""),"BOGOTÁ")</f>
        <v>BOGOTÁ</v>
      </c>
      <c r="D5093" s="15" t="str">
        <f>IFERROR(__xludf.DUMMYFUNCTION("""COMPUTED_VALUE"""),"MEDELLÍN")</f>
        <v>MEDELLÍN</v>
      </c>
      <c r="E5093" s="15" t="str">
        <f>IFERROR(__xludf.DUMMYFUNCTION("""COMPUTED_VALUE"""),"Baby Chef")</f>
        <v>Baby Chef</v>
      </c>
      <c r="F5093" s="17" t="str">
        <f>IFERROR(__xludf.DUMMYFUNCTION("""COMPUTED_VALUE"""),"Carrera 69 N 12 70 Torre 2 apto 1909 / ""Carrera 69 N 12 70 Torre 2 apto 1909"" / ""Carrera 69 N 12 70 Torre 2 apto 1909""")</f>
        <v>Carrera 69 N 12 70 Torre 2 apto 1909 / "Carrera 69 N 12 70 Torre 2 apto 1909" / "Carrera 69 N 12 70 Torre 2 apto 1909"</v>
      </c>
      <c r="G5093" s="15" t="str">
        <f>IFERROR(__xludf.DUMMYFUNCTION("""COMPUTED_VALUE"""),"Sandra Jysel Enciso")</f>
        <v>Sandra Jysel Enciso</v>
      </c>
      <c r="H5093" s="16">
        <f>IFERROR(__xludf.DUMMYFUNCTION("""COMPUTED_VALUE"""),13860.0)</f>
        <v>13860</v>
      </c>
      <c r="I5093" s="18">
        <f>IFERROR(__xludf.DUMMYFUNCTION("""COMPUTED_VALUE"""),8.0)</f>
        <v>8</v>
      </c>
      <c r="J5093" s="18">
        <f>IFERROR(__xludf.DUMMYFUNCTION("""COMPUTED_VALUE"""),45.0)</f>
        <v>45</v>
      </c>
      <c r="K5093" s="18">
        <f>IFERROR(__xludf.DUMMYFUNCTION("""COMPUTED_VALUE"""),29.0)</f>
        <v>29</v>
      </c>
      <c r="L5093" s="17">
        <f>IFERROR(__xludf.DUMMYFUNCTION("""COMPUTED_VALUE"""),3.003127802E9)</f>
        <v>3003127802</v>
      </c>
      <c r="M5093" s="17" t="str">
        <f>IFERROR(__xludf.DUMMYFUNCTION("""COMPUTED_VALUE"""),"#REF!")</f>
        <v>#REF!</v>
      </c>
      <c r="N5093" s="17"/>
      <c r="O5093" s="17"/>
      <c r="P5093" s="17" t="b">
        <f>IFERROR(__xludf.DUMMYFUNCTION("""COMPUTED_VALUE"""),TRUE)</f>
        <v>1</v>
      </c>
      <c r="Q5093" s="20">
        <f>IFERROR(__xludf.DUMMYFUNCTION("""COMPUTED_VALUE"""),45149.44814028935)</f>
        <v>45149.44814</v>
      </c>
      <c r="R5093" s="21" t="str">
        <f>IFERROR(__xludf.DUMMYFUNCTION("""COMPUTED_VALUE"""),"https://drive.google.com/file/d/1mQI3qTQAXTJHRB3KUFbtoSBEB-H4kEa4/view?usp=drivesdk")</f>
        <v>https://drive.google.com/file/d/1mQI3qTQAXTJHRB3KUFbtoSBEB-H4kEa4/view?usp=drivesdk</v>
      </c>
    </row>
    <row r="5094">
      <c r="A5094" s="15">
        <f>IFERROR(__xludf.DUMMYFUNCTION("""COMPUTED_VALUE"""),45149.0)</f>
        <v>45149</v>
      </c>
      <c r="B5094" s="16" t="str">
        <f>IFERROR(__xludf.DUMMYFUNCTION("""COMPUTED_VALUE"""),"Envia")</f>
        <v>Envia</v>
      </c>
      <c r="C5094" s="15" t="str">
        <f>IFERROR(__xludf.DUMMYFUNCTION("""COMPUTED_VALUE"""),"BOGOTÁ")</f>
        <v>BOGOTÁ</v>
      </c>
      <c r="D5094" s="15" t="str">
        <f>IFERROR(__xludf.DUMMYFUNCTION("""COMPUTED_VALUE"""),"MEDELLÍN")</f>
        <v>MEDELLÍN</v>
      </c>
      <c r="E5094" s="15" t="str">
        <f>IFERROR(__xludf.DUMMYFUNCTION("""COMPUTED_VALUE"""),"Lácteos El Pino SAS")</f>
        <v>Lácteos El Pino SAS</v>
      </c>
      <c r="F5094" s="17" t="str">
        <f>IFERROR(__xludf.DUMMYFUNCTION("""COMPUTED_VALUE"""),"CALLE 24A #57-60 / RECIBO EN ZONA DE CARGA POR EL DEPRIMIDO- COMPRAS")</f>
        <v>CALLE 24A #57-60 / RECIBO EN ZONA DE CARGA POR EL DEPRIMIDO- COMPRAS</v>
      </c>
      <c r="G5094" s="15" t="str">
        <f>IFERROR(__xludf.DUMMYFUNCTION("""COMPUTED_VALUE"""),"HOTEL GRAND HYATT BOGOTA")</f>
        <v>HOTEL GRAND HYATT BOGOTA</v>
      </c>
      <c r="H5094" s="16">
        <f>IFERROR(__xludf.DUMMYFUNCTION("""COMPUTED_VALUE"""),13871.0)</f>
        <v>13871</v>
      </c>
      <c r="I5094" s="18">
        <f>IFERROR(__xludf.DUMMYFUNCTION("""COMPUTED_VALUE"""),10.0)</f>
        <v>10</v>
      </c>
      <c r="J5094" s="18">
        <f>IFERROR(__xludf.DUMMYFUNCTION("""COMPUTED_VALUE"""),16.0)</f>
        <v>16</v>
      </c>
      <c r="K5094" s="18">
        <f>IFERROR(__xludf.DUMMYFUNCTION("""COMPUTED_VALUE"""),24.0)</f>
        <v>24</v>
      </c>
      <c r="L5094" s="17">
        <f>IFERROR(__xludf.DUMMYFUNCTION("""COMPUTED_VALUE"""),3.203093705E9)</f>
        <v>3203093705</v>
      </c>
      <c r="M5094" s="17" t="str">
        <f>IFERROR(__xludf.DUMMYFUNCTION("""COMPUTED_VALUE"""),"#REF!")</f>
        <v>#REF!</v>
      </c>
      <c r="N5094" s="17"/>
      <c r="O5094" s="17"/>
      <c r="P5094" s="17" t="b">
        <f>IFERROR(__xludf.DUMMYFUNCTION("""COMPUTED_VALUE"""),TRUE)</f>
        <v>1</v>
      </c>
      <c r="Q5094" s="20">
        <f>IFERROR(__xludf.DUMMYFUNCTION("""COMPUTED_VALUE"""),45149.44923091435)</f>
        <v>45149.44923</v>
      </c>
      <c r="R5094" s="22" t="str">
        <f>IFERROR(__xludf.DUMMYFUNCTION("""COMPUTED_VALUE"""),"")</f>
        <v/>
      </c>
    </row>
    <row r="5095">
      <c r="A5095" s="15">
        <f>IFERROR(__xludf.DUMMYFUNCTION("""COMPUTED_VALUE"""),45149.0)</f>
        <v>45149</v>
      </c>
      <c r="B5095" s="16" t="str">
        <f>IFERROR(__xludf.DUMMYFUNCTION("""COMPUTED_VALUE"""),"Envia")</f>
        <v>Envia</v>
      </c>
      <c r="C5095" s="15" t="str">
        <f>IFERROR(__xludf.DUMMYFUNCTION("""COMPUTED_VALUE"""),"BOGOTÁ")</f>
        <v>BOGOTÁ</v>
      </c>
      <c r="D5095" s="15" t="str">
        <f>IFERROR(__xludf.DUMMYFUNCTION("""COMPUTED_VALUE"""),"MEDELLÍN")</f>
        <v>MEDELLÍN</v>
      </c>
      <c r="E5095" s="15" t="str">
        <f>IFERROR(__xludf.DUMMYFUNCTION("""COMPUTED_VALUE"""),"Moloso S.A.S")</f>
        <v>Moloso S.A.S</v>
      </c>
      <c r="F5095" s="17" t="str">
        <f>IFERROR(__xludf.DUMMYFUNCTION("""COMPUTED_VALUE"""),"AV CL 145 85 80 BALCONES DE LA COLINA CS141 / BALCONES DE LA COLINA CS141")</f>
        <v>AV CL 145 85 80 BALCONES DE LA COLINA CS141 / BALCONES DE LA COLINA CS141</v>
      </c>
      <c r="G5095" s="15" t="str">
        <f>IFERROR(__xludf.DUMMYFUNCTION("""COMPUTED_VALUE"""),"ANDREA CATALINA SAENZ PAIVA")</f>
        <v>ANDREA CATALINA SAENZ PAIVA</v>
      </c>
      <c r="H5095" s="16">
        <f>IFERROR(__xludf.DUMMYFUNCTION("""COMPUTED_VALUE"""),13881.0)</f>
        <v>13881</v>
      </c>
      <c r="I5095" s="18">
        <f>IFERROR(__xludf.DUMMYFUNCTION("""COMPUTED_VALUE"""),17.0)</f>
        <v>17</v>
      </c>
      <c r="J5095" s="18">
        <f>IFERROR(__xludf.DUMMYFUNCTION("""COMPUTED_VALUE"""),15.0)</f>
        <v>15</v>
      </c>
      <c r="K5095" s="18">
        <f>IFERROR(__xludf.DUMMYFUNCTION("""COMPUTED_VALUE"""),28.0)</f>
        <v>28</v>
      </c>
      <c r="L5095" s="17" t="str">
        <f>IFERROR(__xludf.DUMMYFUNCTION("""COMPUTED_VALUE"""),"310 2222532")</f>
        <v>310 2222532</v>
      </c>
      <c r="M5095" s="17" t="str">
        <f>IFERROR(__xludf.DUMMYFUNCTION("""COMPUTED_VALUE"""),"#REF!")</f>
        <v>#REF!</v>
      </c>
      <c r="N5095" s="17"/>
      <c r="O5095" s="17"/>
      <c r="P5095" s="17" t="b">
        <f>IFERROR(__xludf.DUMMYFUNCTION("""COMPUTED_VALUE"""),TRUE)</f>
        <v>1</v>
      </c>
      <c r="Q5095" s="20">
        <f>IFERROR(__xludf.DUMMYFUNCTION("""COMPUTED_VALUE"""),45149.659492708335)</f>
        <v>45149.65949</v>
      </c>
      <c r="R5095" s="21" t="str">
        <f>IFERROR(__xludf.DUMMYFUNCTION("""COMPUTED_VALUE"""),"https://drive.google.com/file/d/1GKsxeZsIB0E7pEvH2td8rUfc16nqVbNl/view?usp=drivesdk")</f>
        <v>https://drive.google.com/file/d/1GKsxeZsIB0E7pEvH2td8rUfc16nqVbNl/view?usp=drivesdk</v>
      </c>
    </row>
    <row r="5096">
      <c r="A5096" s="15">
        <f>IFERROR(__xludf.DUMMYFUNCTION("""COMPUTED_VALUE"""),45149.0)</f>
        <v>45149</v>
      </c>
      <c r="B5096" s="16" t="str">
        <f>IFERROR(__xludf.DUMMYFUNCTION("""COMPUTED_VALUE"""),"Envia")</f>
        <v>Envia</v>
      </c>
      <c r="C5096" s="15" t="str">
        <f>IFERROR(__xludf.DUMMYFUNCTION("""COMPUTED_VALUE"""),"CALI")</f>
        <v>CALI</v>
      </c>
      <c r="D5096" s="15" t="str">
        <f>IFERROR(__xludf.DUMMYFUNCTION("""COMPUTED_VALUE"""),"BOGOTÁ")</f>
        <v>BOGOTÁ</v>
      </c>
      <c r="E5096" s="15" t="str">
        <f>IFERROR(__xludf.DUMMYFUNCTION("""COMPUTED_VALUE"""),"Athenas")</f>
        <v>Athenas</v>
      </c>
      <c r="F5096" s="17" t="str">
        <f>IFERROR(__xludf.DUMMYFUNCTION("""COMPUTED_VALUE"""),"Calle 7 oeste 1 a 59 / Edificio bodytech 2 piso Cafetería bodytech  / Normandia")</f>
        <v>Calle 7 oeste 1 a 59 / Edificio bodytech 2 piso Cafetería bodytech  / Normandia</v>
      </c>
      <c r="G5096" s="15" t="str">
        <f>IFERROR(__xludf.DUMMYFUNCTION("""COMPUTED_VALUE"""),"Ginna panesso")</f>
        <v>Ginna panesso</v>
      </c>
      <c r="H5096" s="16">
        <f>IFERROR(__xludf.DUMMYFUNCTION("""COMPUTED_VALUE"""),13801.0)</f>
        <v>13801</v>
      </c>
      <c r="I5096" s="18">
        <f>IFERROR(__xludf.DUMMYFUNCTION("""COMPUTED_VALUE"""),55.0)</f>
        <v>55</v>
      </c>
      <c r="J5096" s="18">
        <f>IFERROR(__xludf.DUMMYFUNCTION("""COMPUTED_VALUE"""),45.0)</f>
        <v>45</v>
      </c>
      <c r="K5096" s="18">
        <f>IFERROR(__xludf.DUMMYFUNCTION("""COMPUTED_VALUE"""),29.0)</f>
        <v>29</v>
      </c>
      <c r="L5096" s="17">
        <f>IFERROR(__xludf.DUMMYFUNCTION("""COMPUTED_VALUE"""),3.103897576E9)</f>
        <v>3103897576</v>
      </c>
      <c r="M5096" s="17" t="str">
        <f>IFERROR(__xludf.DUMMYFUNCTION("""COMPUTED_VALUE"""),"#REF!")</f>
        <v>#REF!</v>
      </c>
      <c r="N5096" s="17"/>
      <c r="O5096" s="17"/>
      <c r="P5096" s="17" t="b">
        <f>IFERROR(__xludf.DUMMYFUNCTION("""COMPUTED_VALUE"""),TRUE)</f>
        <v>1</v>
      </c>
      <c r="Q5096" s="20">
        <f>IFERROR(__xludf.DUMMYFUNCTION("""COMPUTED_VALUE"""),45149.697709189815)</f>
        <v>45149.69771</v>
      </c>
      <c r="R5096" s="22" t="str">
        <f>IFERROR(__xludf.DUMMYFUNCTION("""COMPUTED_VALUE"""),"")</f>
        <v/>
      </c>
    </row>
    <row r="5097">
      <c r="A5097" s="15">
        <f>IFERROR(__xludf.DUMMYFUNCTION("""COMPUTED_VALUE"""),45149.0)</f>
        <v>45149</v>
      </c>
      <c r="B5097" s="16" t="str">
        <f>IFERROR(__xludf.DUMMYFUNCTION("""COMPUTED_VALUE"""),"Envia")</f>
        <v>Envia</v>
      </c>
      <c r="C5097" s="15" t="str">
        <f>IFERROR(__xludf.DUMMYFUNCTION("""COMPUTED_VALUE"""),"CALI")</f>
        <v>CALI</v>
      </c>
      <c r="D5097" s="15" t="str">
        <f>IFERROR(__xludf.DUMMYFUNCTION("""COMPUTED_VALUE"""),"BOGOTÁ")</f>
        <v>BOGOTÁ</v>
      </c>
      <c r="E5097" s="15" t="str">
        <f>IFERROR(__xludf.DUMMYFUNCTION("""COMPUTED_VALUE"""),"Athenas")</f>
        <v>Athenas</v>
      </c>
      <c r="F5097" s="17" t="str">
        <f>IFERROR(__xludf.DUMMYFUNCTION("""COMPUTED_VALUE"""),"Calle 98 #16 200 / Centro comercial jardín plaza 3 piso Cafetería bodytech / Ciudad jardin")</f>
        <v>Calle 98 #16 200 / Centro comercial jardín plaza 3 piso Cafetería bodytech / Ciudad jardin</v>
      </c>
      <c r="G5097" s="15" t="str">
        <f>IFERROR(__xludf.DUMMYFUNCTION("""COMPUTED_VALUE"""),"Jorge parra")</f>
        <v>Jorge parra</v>
      </c>
      <c r="H5097" s="16">
        <f>IFERROR(__xludf.DUMMYFUNCTION("""COMPUTED_VALUE"""),13800.0)</f>
        <v>13800</v>
      </c>
      <c r="I5097" s="18">
        <f>IFERROR(__xludf.DUMMYFUNCTION("""COMPUTED_VALUE"""),50.0)</f>
        <v>50</v>
      </c>
      <c r="J5097" s="18">
        <f>IFERROR(__xludf.DUMMYFUNCTION("""COMPUTED_VALUE"""),45.0)</f>
        <v>45</v>
      </c>
      <c r="K5097" s="18" t="str">
        <f>IFERROR(__xludf.DUMMYFUNCTION("""COMPUTED_VALUE"""),"52.5")</f>
        <v>52.5</v>
      </c>
      <c r="L5097" s="17">
        <f>IFERROR(__xludf.DUMMYFUNCTION("""COMPUTED_VALUE"""),3.103897576E9)</f>
        <v>3103897576</v>
      </c>
      <c r="M5097" s="17" t="str">
        <f>IFERROR(__xludf.DUMMYFUNCTION("""COMPUTED_VALUE"""),"#REF!")</f>
        <v>#REF!</v>
      </c>
      <c r="N5097" s="17"/>
      <c r="O5097" s="17"/>
      <c r="P5097" s="17" t="b">
        <f>IFERROR(__xludf.DUMMYFUNCTION("""COMPUTED_VALUE"""),TRUE)</f>
        <v>1</v>
      </c>
      <c r="Q5097" s="20">
        <f>IFERROR(__xludf.DUMMYFUNCTION("""COMPUTED_VALUE"""),45149.697753229164)</f>
        <v>45149.69775</v>
      </c>
      <c r="R5097" s="22" t="str">
        <f>IFERROR(__xludf.DUMMYFUNCTION("""COMPUTED_VALUE"""),"")</f>
        <v/>
      </c>
    </row>
    <row r="5098">
      <c r="A5098" s="15">
        <f>IFERROR(__xludf.DUMMYFUNCTION("""COMPUTED_VALUE"""),45149.0)</f>
        <v>45149</v>
      </c>
      <c r="B5098" s="16" t="str">
        <f>IFERROR(__xludf.DUMMYFUNCTION("""COMPUTED_VALUE"""),"Envia")</f>
        <v>Envia</v>
      </c>
      <c r="C5098" s="15" t="str">
        <f>IFERROR(__xludf.DUMMYFUNCTION("""COMPUTED_VALUE"""),"CALI")</f>
        <v>CALI</v>
      </c>
      <c r="D5098" s="15" t="str">
        <f>IFERROR(__xludf.DUMMYFUNCTION("""COMPUTED_VALUE"""),"BOGOTÁ")</f>
        <v>BOGOTÁ</v>
      </c>
      <c r="E5098" s="15" t="str">
        <f>IFERROR(__xludf.DUMMYFUNCTION("""COMPUTED_VALUE"""),"Viral Brands")</f>
        <v>Viral Brands</v>
      </c>
      <c r="F5098" s="17" t="str">
        <f>IFERROR(__xludf.DUMMYFUNCTION("""COMPUTED_VALUE"""),"Buen dia  Cali norte Avenida 5a 25n -39 Barrio san vicente / Cocina 9 / San Vicente, por la cuadra de la pasarela antes de Bancolombia")</f>
        <v>Buen dia  Cali norte Avenida 5a 25n -39 Barrio san vicente / Cocina 9 / San Vicente, por la cuadra de la pasarela antes de Bancolombia</v>
      </c>
      <c r="G5098" s="15" t="str">
        <f>IFERROR(__xludf.DUMMYFUNCTION("""COMPUTED_VALUE"""),"Lizbeth gamez")</f>
        <v>Lizbeth gamez</v>
      </c>
      <c r="H5098" s="16">
        <f>IFERROR(__xludf.DUMMYFUNCTION("""COMPUTED_VALUE"""),13830.0)</f>
        <v>13830</v>
      </c>
      <c r="I5098" s="18" t="str">
        <f>IFERROR(__xludf.DUMMYFUNCTION("""COMPUTED_VALUE"""),"52.5")</f>
        <v>52.5</v>
      </c>
      <c r="J5098" s="18">
        <f>IFERROR(__xludf.DUMMYFUNCTION("""COMPUTED_VALUE"""),55.0)</f>
        <v>55</v>
      </c>
      <c r="K5098" s="18">
        <f>IFERROR(__xludf.DUMMYFUNCTION("""COMPUTED_VALUE"""),45.0)</f>
        <v>45</v>
      </c>
      <c r="L5098" s="17">
        <f>IFERROR(__xludf.DUMMYFUNCTION("""COMPUTED_VALUE"""),3.218280504E9)</f>
        <v>3218280504</v>
      </c>
      <c r="M5098" s="17" t="str">
        <f>IFERROR(__xludf.DUMMYFUNCTION("""COMPUTED_VALUE"""),"#REF!")</f>
        <v>#REF!</v>
      </c>
      <c r="N5098" s="17"/>
      <c r="O5098" s="17"/>
      <c r="P5098" s="17" t="b">
        <f>IFERROR(__xludf.DUMMYFUNCTION("""COMPUTED_VALUE"""),TRUE)</f>
        <v>1</v>
      </c>
      <c r="Q5098" s="20">
        <f>IFERROR(__xludf.DUMMYFUNCTION("""COMPUTED_VALUE"""),45149.698124849536)</f>
        <v>45149.69812</v>
      </c>
      <c r="R5098" s="22" t="str">
        <f>IFERROR(__xludf.DUMMYFUNCTION("""COMPUTED_VALUE"""),"")</f>
        <v/>
      </c>
    </row>
    <row r="5099">
      <c r="A5099" s="15">
        <f>IFERROR(__xludf.DUMMYFUNCTION("""COMPUTED_VALUE"""),45149.0)</f>
        <v>45149</v>
      </c>
      <c r="B5099" s="16" t="str">
        <f>IFERROR(__xludf.DUMMYFUNCTION("""COMPUTED_VALUE"""),"Envia")</f>
        <v>Envia</v>
      </c>
      <c r="C5099" s="15" t="str">
        <f>IFERROR(__xludf.DUMMYFUNCTION("""COMPUTED_VALUE"""),"CÚCUTA")</f>
        <v>CÚCUTA</v>
      </c>
      <c r="D5099" s="15" t="str">
        <f>IFERROR(__xludf.DUMMYFUNCTION("""COMPUTED_VALUE"""),"BOGOTÁ")</f>
        <v>BOGOTÁ</v>
      </c>
      <c r="E5099" s="15" t="str">
        <f>IFERROR(__xludf.DUMMYFUNCTION("""COMPUTED_VALUE"""),"Lunchy Kids")</f>
        <v>Lunchy Kids</v>
      </c>
      <c r="F5099" s="17" t="str">
        <f>IFERROR(__xludf.DUMMYFUNCTION("""COMPUTED_VALUE"""),"Av 10 calle 48 /  conjunto palestina real Casa 1a manzana 3 / Los Patios")</f>
        <v>Av 10 calle 48 /  conjunto palestina real Casa 1a manzana 3 / Los Patios</v>
      </c>
      <c r="G5099" s="15" t="str">
        <f>IFERROR(__xludf.DUMMYFUNCTION("""COMPUTED_VALUE"""),"Adriana Chaves")</f>
        <v>Adriana Chaves</v>
      </c>
      <c r="H5099" s="16">
        <f>IFERROR(__xludf.DUMMYFUNCTION("""COMPUTED_VALUE"""),13675.0)</f>
        <v>13675</v>
      </c>
      <c r="I5099" s="18">
        <f>IFERROR(__xludf.DUMMYFUNCTION("""COMPUTED_VALUE"""),17.0)</f>
        <v>17</v>
      </c>
      <c r="J5099" s="18">
        <f>IFERROR(__xludf.DUMMYFUNCTION("""COMPUTED_VALUE"""),28.0)</f>
        <v>28</v>
      </c>
      <c r="K5099" s="18">
        <f>IFERROR(__xludf.DUMMYFUNCTION("""COMPUTED_VALUE"""),5.0)</f>
        <v>5</v>
      </c>
      <c r="L5099" s="17">
        <f>IFERROR(__xludf.DUMMYFUNCTION("""COMPUTED_VALUE"""),3.003002672E9)</f>
        <v>3003002672</v>
      </c>
      <c r="M5099" s="17" t="str">
        <f>IFERROR(__xludf.DUMMYFUNCTION("""COMPUTED_VALUE"""),"#REF!")</f>
        <v>#REF!</v>
      </c>
      <c r="N5099" s="17"/>
      <c r="O5099" s="17"/>
      <c r="P5099" s="17" t="b">
        <f>IFERROR(__xludf.DUMMYFUNCTION("""COMPUTED_VALUE"""),TRUE)</f>
        <v>1</v>
      </c>
      <c r="Q5099" s="20">
        <f>IFERROR(__xludf.DUMMYFUNCTION("""COMPUTED_VALUE"""),45149.69839424768)</f>
        <v>45149.69839</v>
      </c>
      <c r="R5099" s="22" t="str">
        <f>IFERROR(__xludf.DUMMYFUNCTION("""COMPUTED_VALUE"""),"")</f>
        <v/>
      </c>
    </row>
    <row r="5100">
      <c r="A5100" s="15">
        <f>IFERROR(__xludf.DUMMYFUNCTION("""COMPUTED_VALUE"""),45149.0)</f>
        <v>45149</v>
      </c>
      <c r="B5100" s="16" t="str">
        <f>IFERROR(__xludf.DUMMYFUNCTION("""COMPUTED_VALUE"""),"Envia")</f>
        <v>Envia</v>
      </c>
      <c r="C5100" s="15" t="str">
        <f>IFERROR(__xludf.DUMMYFUNCTION("""COMPUTED_VALUE"""),"CÚCUTA")</f>
        <v>CÚCUTA</v>
      </c>
      <c r="D5100" s="15" t="str">
        <f>IFERROR(__xludf.DUMMYFUNCTION("""COMPUTED_VALUE"""),"MEDELLÍN")</f>
        <v>MEDELLÍN</v>
      </c>
      <c r="E5100" s="15" t="str">
        <f>IFERROR(__xludf.DUMMYFUNCTION("""COMPUTED_VALUE"""),"Baby Chef")</f>
        <v>Baby Chef</v>
      </c>
      <c r="F5100" s="17" t="str">
        <f>IFERROR(__xludf.DUMMYFUNCTION("""COMPUTED_VALUE"""),"Conjunto sierra nevada casa h4 Villa del rosario / ""Conjunto sierra nevada casa h4 Villa del rosario"" / ""Conjunto sierra nevada casa h4 Villa del rosario""")</f>
        <v>Conjunto sierra nevada casa h4 Villa del rosario / "Conjunto sierra nevada casa h4 Villa del rosario" / "Conjunto sierra nevada casa h4 Villa del rosario"</v>
      </c>
      <c r="G5100" s="15" t="str">
        <f>IFERROR(__xludf.DUMMYFUNCTION("""COMPUTED_VALUE"""),"Stephany Orozco")</f>
        <v>Stephany Orozco</v>
      </c>
      <c r="H5100" s="16">
        <f>IFERROR(__xludf.DUMMYFUNCTION("""COMPUTED_VALUE"""),13815.0)</f>
        <v>13815</v>
      </c>
      <c r="I5100" s="18">
        <f>IFERROR(__xludf.DUMMYFUNCTION("""COMPUTED_VALUE"""),8.0)</f>
        <v>8</v>
      </c>
      <c r="J5100" s="18">
        <f>IFERROR(__xludf.DUMMYFUNCTION("""COMPUTED_VALUE"""),35.0)</f>
        <v>35</v>
      </c>
      <c r="K5100" s="18">
        <f>IFERROR(__xludf.DUMMYFUNCTION("""COMPUTED_VALUE"""),22.0)</f>
        <v>22</v>
      </c>
      <c r="L5100" s="17">
        <f>IFERROR(__xludf.DUMMYFUNCTION("""COMPUTED_VALUE"""),3.502076958E9)</f>
        <v>3502076958</v>
      </c>
      <c r="M5100" s="17" t="str">
        <f>IFERROR(__xludf.DUMMYFUNCTION("""COMPUTED_VALUE"""),"#REF!")</f>
        <v>#REF!</v>
      </c>
      <c r="N5100" s="17"/>
      <c r="O5100" s="17"/>
      <c r="P5100" s="17" t="b">
        <f>IFERROR(__xludf.DUMMYFUNCTION("""COMPUTED_VALUE"""),TRUE)</f>
        <v>1</v>
      </c>
      <c r="Q5100" s="20">
        <f>IFERROR(__xludf.DUMMYFUNCTION("""COMPUTED_VALUE"""),45149.69878490741)</f>
        <v>45149.69878</v>
      </c>
      <c r="R5100" s="22" t="str">
        <f>IFERROR(__xludf.DUMMYFUNCTION("""COMPUTED_VALUE"""),"")</f>
        <v/>
      </c>
    </row>
    <row r="5101">
      <c r="A5101" s="15">
        <f>IFERROR(__xludf.DUMMYFUNCTION("""COMPUTED_VALUE"""),45149.0)</f>
        <v>45149</v>
      </c>
      <c r="B5101" s="16" t="str">
        <f>IFERROR(__xludf.DUMMYFUNCTION("""COMPUTED_VALUE"""),"Envia")</f>
        <v>Envia</v>
      </c>
      <c r="C5101" s="15" t="str">
        <f>IFERROR(__xludf.DUMMYFUNCTION("""COMPUTED_VALUE"""),"CÚCUTA")</f>
        <v>CÚCUTA</v>
      </c>
      <c r="D5101" s="15" t="str">
        <f>IFERROR(__xludf.DUMMYFUNCTION("""COMPUTED_VALUE"""),"MEDELLÍN")</f>
        <v>MEDELLÍN</v>
      </c>
      <c r="E5101" s="15" t="str">
        <f>IFERROR(__xludf.DUMMYFUNCTION("""COMPUTED_VALUE"""),"Helados swip")</f>
        <v>Helados swip</v>
      </c>
      <c r="F5101" s="17" t="str">
        <f>IFERROR(__xludf.DUMMYFUNCTION("""COMPUTED_VALUE"""),"AV 3 E CON 15 A ESQUINA LOS CAOBOS / ESQUINA LOS CAOBOS  / CAOBOS")</f>
        <v>AV 3 E CON 15 A ESQUINA LOS CAOBOS / ESQUINA LOS CAOBOS  / CAOBOS</v>
      </c>
      <c r="G5101" s="15" t="str">
        <f>IFERROR(__xludf.DUMMYFUNCTION("""COMPUTED_VALUE"""),"JENGIBRE MERCADO")</f>
        <v>JENGIBRE MERCADO</v>
      </c>
      <c r="H5101" s="16">
        <f>IFERROR(__xludf.DUMMYFUNCTION("""COMPUTED_VALUE"""),13774.0)</f>
        <v>13774</v>
      </c>
      <c r="I5101" s="18">
        <f>IFERROR(__xludf.DUMMYFUNCTION("""COMPUTED_VALUE"""),29.0)</f>
        <v>29</v>
      </c>
      <c r="J5101" s="18">
        <f>IFERROR(__xludf.DUMMYFUNCTION("""COMPUTED_VALUE"""),55.0)</f>
        <v>55</v>
      </c>
      <c r="K5101" s="18">
        <f>IFERROR(__xludf.DUMMYFUNCTION("""COMPUTED_VALUE"""),45.0)</f>
        <v>45</v>
      </c>
      <c r="L5101" s="17">
        <f>IFERROR(__xludf.DUMMYFUNCTION("""COMPUTED_VALUE"""),3.005618715E9)</f>
        <v>3005618715</v>
      </c>
      <c r="M5101" s="17" t="str">
        <f>IFERROR(__xludf.DUMMYFUNCTION("""COMPUTED_VALUE"""),"#REF!")</f>
        <v>#REF!</v>
      </c>
      <c r="N5101" s="17"/>
      <c r="O5101" s="17"/>
      <c r="P5101" s="17" t="b">
        <f>IFERROR(__xludf.DUMMYFUNCTION("""COMPUTED_VALUE"""),FALSE)</f>
        <v>0</v>
      </c>
      <c r="Q5101" s="20" t="str">
        <f>IFERROR(__xludf.DUMMYFUNCTION("""COMPUTED_VALUE"""),"")</f>
        <v/>
      </c>
      <c r="R5101" s="22" t="str">
        <f>IFERROR(__xludf.DUMMYFUNCTION("""COMPUTED_VALUE"""),"")</f>
        <v/>
      </c>
    </row>
    <row r="5102">
      <c r="A5102" s="15">
        <f>IFERROR(__xludf.DUMMYFUNCTION("""COMPUTED_VALUE"""),45149.0)</f>
        <v>45149</v>
      </c>
      <c r="B5102" s="16" t="str">
        <f>IFERROR(__xludf.DUMMYFUNCTION("""COMPUTED_VALUE"""),"Envia")</f>
        <v>Envia</v>
      </c>
      <c r="C5102" s="15" t="str">
        <f>IFERROR(__xludf.DUMMYFUNCTION("""COMPUTED_VALUE"""),"FLORIDABLANCA")</f>
        <v>FLORIDABLANCA</v>
      </c>
      <c r="D5102" s="15" t="str">
        <f>IFERROR(__xludf.DUMMYFUNCTION("""COMPUTED_VALUE"""),"BOGOTÁ")</f>
        <v>BOGOTÁ</v>
      </c>
      <c r="E5102" s="15" t="str">
        <f>IFERROR(__xludf.DUMMYFUNCTION("""COMPUTED_VALUE"""),"Ins. Alimento Vital")</f>
        <v>Ins. Alimento Vital</v>
      </c>
      <c r="F5102" s="17" t="str">
        <f>IFERROR(__xludf.DUMMYFUNCTION("""COMPUTED_VALUE"""),"AUT BUCARAMANGA FLORIDABLANCA 149 164 / TR 2 AP 1706 / CONJUNTO PARALELA 150")</f>
        <v>AUT BUCARAMANGA FLORIDABLANCA 149 164 / TR 2 AP 1706 / CONJUNTO PARALELA 150</v>
      </c>
      <c r="G5102" s="15" t="str">
        <f>IFERROR(__xludf.DUMMYFUNCTION("""COMPUTED_VALUE"""),"SAYDA VIVIANA ESTEVEZ PACHECO")</f>
        <v>SAYDA VIVIANA ESTEVEZ PACHECO</v>
      </c>
      <c r="H5102" s="16">
        <f>IFERROR(__xludf.DUMMYFUNCTION("""COMPUTED_VALUE"""),13826.0)</f>
        <v>13826</v>
      </c>
      <c r="I5102" s="18">
        <f>IFERROR(__xludf.DUMMYFUNCTION("""COMPUTED_VALUE"""),1.0)</f>
        <v>1</v>
      </c>
      <c r="J5102" s="18">
        <f>IFERROR(__xludf.DUMMYFUNCTION("""COMPUTED_VALUE"""),1.0)</f>
        <v>1</v>
      </c>
      <c r="K5102" s="18">
        <f>IFERROR(__xludf.DUMMYFUNCTION("""COMPUTED_VALUE"""),1.0)</f>
        <v>1</v>
      </c>
      <c r="L5102" s="17">
        <f>IFERROR(__xludf.DUMMYFUNCTION("""COMPUTED_VALUE"""),3.023723626E9)</f>
        <v>3023723626</v>
      </c>
      <c r="M5102" s="17" t="str">
        <f>IFERROR(__xludf.DUMMYFUNCTION("""COMPUTED_VALUE"""),"#REF!")</f>
        <v>#REF!</v>
      </c>
      <c r="N5102" s="17"/>
      <c r="O5102" s="17"/>
      <c r="P5102" s="17" t="b">
        <f>IFERROR(__xludf.DUMMYFUNCTION("""COMPUTED_VALUE"""),FALSE)</f>
        <v>0</v>
      </c>
      <c r="Q5102" s="20" t="str">
        <f>IFERROR(__xludf.DUMMYFUNCTION("""COMPUTED_VALUE"""),"")</f>
        <v/>
      </c>
      <c r="R5102" s="21" t="str">
        <f>IFERROR(__xludf.DUMMYFUNCTION("""COMPUTED_VALUE"""),"https://drive.google.com/file/d/1vqEiyRXaXFZ9mSaBJDcvtbiTHz-4eCBW/view?usp=drivesdk")</f>
        <v>https://drive.google.com/file/d/1vqEiyRXaXFZ9mSaBJDcvtbiTHz-4eCBW/view?usp=drivesdk</v>
      </c>
    </row>
    <row r="5103">
      <c r="A5103" s="15">
        <f>IFERROR(__xludf.DUMMYFUNCTION("""COMPUTED_VALUE"""),45149.0)</f>
        <v>45149</v>
      </c>
      <c r="B5103" s="16" t="str">
        <f>IFERROR(__xludf.DUMMYFUNCTION("""COMPUTED_VALUE"""),"Envia")</f>
        <v>Envia</v>
      </c>
      <c r="C5103" s="15" t="str">
        <f>IFERROR(__xludf.DUMMYFUNCTION("""COMPUTED_VALUE"""),"FLORIDABLANCA")</f>
        <v>FLORIDABLANCA</v>
      </c>
      <c r="D5103" s="15" t="str">
        <f>IFERROR(__xludf.DUMMYFUNCTION("""COMPUTED_VALUE"""),"BOGOTÁ")</f>
        <v>BOGOTÁ</v>
      </c>
      <c r="E5103" s="15" t="str">
        <f>IFERROR(__xludf.DUMMYFUNCTION("""COMPUTED_VALUE"""),"Ins. Alimento Vital")</f>
        <v>Ins. Alimento Vital</v>
      </c>
      <c r="F5103" s="17" t="str">
        <f>IFERROR(__xludf.DUMMYFUNCTION("""COMPUTED_VALUE"""),"CONDOMINIO ROUITIQUE / CASA 39 / CONJUNTO LA PRADERA")</f>
        <v>CONDOMINIO ROUITIQUE / CASA 39 / CONJUNTO LA PRADERA</v>
      </c>
      <c r="G5103" s="15" t="str">
        <f>IFERROR(__xludf.DUMMYFUNCTION("""COMPUTED_VALUE"""),"ADRIANA MARIA BARRERA SARMIENTO")</f>
        <v>ADRIANA MARIA BARRERA SARMIENTO</v>
      </c>
      <c r="H5103" s="16">
        <f>IFERROR(__xludf.DUMMYFUNCTION("""COMPUTED_VALUE"""),13827.0)</f>
        <v>13827</v>
      </c>
      <c r="I5103" s="18">
        <f>IFERROR(__xludf.DUMMYFUNCTION("""COMPUTED_VALUE"""),1.0)</f>
        <v>1</v>
      </c>
      <c r="J5103" s="18">
        <f>IFERROR(__xludf.DUMMYFUNCTION("""COMPUTED_VALUE"""),1.0)</f>
        <v>1</v>
      </c>
      <c r="K5103" s="18">
        <f>IFERROR(__xludf.DUMMYFUNCTION("""COMPUTED_VALUE"""),1.0)</f>
        <v>1</v>
      </c>
      <c r="L5103" s="17">
        <f>IFERROR(__xludf.DUMMYFUNCTION("""COMPUTED_VALUE"""),3.21372563E9)</f>
        <v>3213725630</v>
      </c>
      <c r="M5103" s="17" t="str">
        <f>IFERROR(__xludf.DUMMYFUNCTION("""COMPUTED_VALUE"""),"#REF!")</f>
        <v>#REF!</v>
      </c>
      <c r="N5103" s="17"/>
      <c r="O5103" s="17"/>
      <c r="P5103" s="17" t="b">
        <f>IFERROR(__xludf.DUMMYFUNCTION("""COMPUTED_VALUE"""),FALSE)</f>
        <v>0</v>
      </c>
      <c r="Q5103" s="20" t="str">
        <f>IFERROR(__xludf.DUMMYFUNCTION("""COMPUTED_VALUE"""),"")</f>
        <v/>
      </c>
      <c r="R5103" s="21" t="str">
        <f>IFERROR(__xludf.DUMMYFUNCTION("""COMPUTED_VALUE"""),"https://drive.google.com/file/d/1GtFv64Qqy-6qpUBMepudHp7wjLsLw-Fw/view?usp=drivesdk")</f>
        <v>https://drive.google.com/file/d/1GtFv64Qqy-6qpUBMepudHp7wjLsLw-Fw/view?usp=drivesdk</v>
      </c>
    </row>
    <row r="5104">
      <c r="A5104" s="15">
        <f>IFERROR(__xludf.DUMMYFUNCTION("""COMPUTED_VALUE"""),45149.0)</f>
        <v>45149</v>
      </c>
      <c r="B5104" s="16" t="str">
        <f>IFERROR(__xludf.DUMMYFUNCTION("""COMPUTED_VALUE"""),"Envia")</f>
        <v>Envia</v>
      </c>
      <c r="C5104" s="15" t="str">
        <f>IFERROR(__xludf.DUMMYFUNCTION("""COMPUTED_VALUE"""),"MEDELLÍN")</f>
        <v>MEDELLÍN</v>
      </c>
      <c r="D5104" s="15" t="str">
        <f>IFERROR(__xludf.DUMMYFUNCTION("""COMPUTED_VALUE"""),"BOGOTÁ")</f>
        <v>BOGOTÁ</v>
      </c>
      <c r="E5104" s="15" t="str">
        <f>IFERROR(__xludf.DUMMYFUNCTION("""COMPUTED_VALUE"""),"Forever Dog")</f>
        <v>Forever Dog</v>
      </c>
      <c r="F5104" s="17" t="str">
        <f>IFERROR(__xludf.DUMMYFUNCTION("""COMPUTED_VALUE"""),"Calle 36 sur # 27 - 10 apto 9615 torre 3 unidad residencial entreparques / Calle 36 sur # 27 - 10 apto 9615 torre 3 unidad residencial entreparques / Calle 36 sur # 27 - 10 apto 9615 torre 3 unidad residencial entreparques")</f>
        <v>Calle 36 sur # 27 - 10 apto 9615 torre 3 unidad residencial entreparques / Calle 36 sur # 27 - 10 apto 9615 torre 3 unidad residencial entreparques / Calle 36 sur # 27 - 10 apto 9615 torre 3 unidad residencial entreparques</v>
      </c>
      <c r="G5104" s="15" t="str">
        <f>IFERROR(__xludf.DUMMYFUNCTION("""COMPUTED_VALUE"""),"Alejandra Maya")</f>
        <v>Alejandra Maya</v>
      </c>
      <c r="H5104" s="16">
        <f>IFERROR(__xludf.DUMMYFUNCTION("""COMPUTED_VALUE"""),13824.0)</f>
        <v>13824</v>
      </c>
      <c r="I5104" s="18">
        <f>IFERROR(__xludf.DUMMYFUNCTION("""COMPUTED_VALUE"""),21.0)</f>
        <v>21</v>
      </c>
      <c r="J5104" s="18">
        <f>IFERROR(__xludf.DUMMYFUNCTION("""COMPUTED_VALUE"""),30.0)</f>
        <v>30</v>
      </c>
      <c r="K5104" s="18">
        <f>IFERROR(__xludf.DUMMYFUNCTION("""COMPUTED_VALUE"""),50.0)</f>
        <v>50</v>
      </c>
      <c r="L5104" s="17">
        <f>IFERROR(__xludf.DUMMYFUNCTION("""COMPUTED_VALUE"""),3.016427229E9)</f>
        <v>3016427229</v>
      </c>
      <c r="M5104" s="17" t="str">
        <f>IFERROR(__xludf.DUMMYFUNCTION("""COMPUTED_VALUE"""),"#REF!")</f>
        <v>#REF!</v>
      </c>
      <c r="N5104" s="17"/>
      <c r="O5104" s="17"/>
      <c r="P5104" s="17" t="b">
        <f>IFERROR(__xludf.DUMMYFUNCTION("""COMPUTED_VALUE"""),FALSE)</f>
        <v>0</v>
      </c>
      <c r="Q5104" s="20" t="str">
        <f>IFERROR(__xludf.DUMMYFUNCTION("""COMPUTED_VALUE"""),"")</f>
        <v/>
      </c>
      <c r="R5104" s="22" t="str">
        <f>IFERROR(__xludf.DUMMYFUNCTION("""COMPUTED_VALUE"""),"")</f>
        <v/>
      </c>
    </row>
    <row r="5105">
      <c r="A5105" s="15">
        <f>IFERROR(__xludf.DUMMYFUNCTION("""COMPUTED_VALUE"""),45149.0)</f>
        <v>45149</v>
      </c>
      <c r="B5105" s="16" t="str">
        <f>IFERROR(__xludf.DUMMYFUNCTION("""COMPUTED_VALUE"""),"Envia")</f>
        <v>Envia</v>
      </c>
      <c r="C5105" s="15" t="str">
        <f>IFERROR(__xludf.DUMMYFUNCTION("""COMPUTED_VALUE"""),"MEDELLÍN")</f>
        <v>MEDELLÍN</v>
      </c>
      <c r="D5105" s="15" t="str">
        <f>IFERROR(__xludf.DUMMYFUNCTION("""COMPUTED_VALUE"""),"BOGOTÁ")</f>
        <v>BOGOTÁ</v>
      </c>
      <c r="E5105" s="15" t="str">
        <f>IFERROR(__xludf.DUMMYFUNCTION("""COMPUTED_VALUE"""),"Forever Dog")</f>
        <v>Forever Dog</v>
      </c>
      <c r="F5105" s="17" t="str">
        <f>IFERROR(__xludf.DUMMYFUNCTION("""COMPUTED_VALUE"""),"Cra 28# 37b sur - Edf. Torre san miguel apto 501 Envigado, Barrio Loma de las Brujas / Cra 28# 37b sur - Edf. Torre san miguel apto 501 Envigado, Barrio Loma de las Brujas / Cra 28# 37b sur - Edf. Torre san miguel apto 501 Envigado, Barrio Loma de las Bru"&amp;"jas")</f>
        <v>Cra 28# 37b sur - Edf. Torre san miguel apto 501 Envigado, Barrio Loma de las Brujas / Cra 28# 37b sur - Edf. Torre san miguel apto 501 Envigado, Barrio Loma de las Brujas / Cra 28# 37b sur - Edf. Torre san miguel apto 501 Envigado, Barrio Loma de las Brujas</v>
      </c>
      <c r="G5105" s="15" t="str">
        <f>IFERROR(__xludf.DUMMYFUNCTION("""COMPUTED_VALUE"""),"Dustin Torres")</f>
        <v>Dustin Torres</v>
      </c>
      <c r="H5105" s="16">
        <f>IFERROR(__xludf.DUMMYFUNCTION("""COMPUTED_VALUE"""),13825.0)</f>
        <v>13825</v>
      </c>
      <c r="I5105" s="18">
        <f>IFERROR(__xludf.DUMMYFUNCTION("""COMPUTED_VALUE"""),21.0)</f>
        <v>21</v>
      </c>
      <c r="J5105" s="18">
        <f>IFERROR(__xludf.DUMMYFUNCTION("""COMPUTED_VALUE"""),30.0)</f>
        <v>30</v>
      </c>
      <c r="K5105" s="18">
        <f>IFERROR(__xludf.DUMMYFUNCTION("""COMPUTED_VALUE"""),50.0)</f>
        <v>50</v>
      </c>
      <c r="L5105" s="17">
        <f>IFERROR(__xludf.DUMMYFUNCTION("""COMPUTED_VALUE"""),3.013390836E9)</f>
        <v>3013390836</v>
      </c>
      <c r="M5105" s="17" t="str">
        <f>IFERROR(__xludf.DUMMYFUNCTION("""COMPUTED_VALUE"""),"#REF!")</f>
        <v>#REF!</v>
      </c>
      <c r="N5105" s="17"/>
      <c r="O5105" s="17"/>
      <c r="P5105" s="17" t="b">
        <f>IFERROR(__xludf.DUMMYFUNCTION("""COMPUTED_VALUE"""),FALSE)</f>
        <v>0</v>
      </c>
      <c r="Q5105" s="20" t="str">
        <f>IFERROR(__xludf.DUMMYFUNCTION("""COMPUTED_VALUE"""),"")</f>
        <v/>
      </c>
      <c r="R5105" s="22" t="str">
        <f>IFERROR(__xludf.DUMMYFUNCTION("""COMPUTED_VALUE"""),"")</f>
        <v/>
      </c>
    </row>
    <row r="5106">
      <c r="A5106" s="15">
        <f>IFERROR(__xludf.DUMMYFUNCTION("""COMPUTED_VALUE"""),45149.0)</f>
        <v>45149</v>
      </c>
      <c r="B5106" s="16" t="str">
        <f>IFERROR(__xludf.DUMMYFUNCTION("""COMPUTED_VALUE"""),"Envia")</f>
        <v>Envia</v>
      </c>
      <c r="C5106" s="15" t="str">
        <f>IFERROR(__xludf.DUMMYFUNCTION("""COMPUTED_VALUE"""),"MEDELLÍN")</f>
        <v>MEDELLÍN</v>
      </c>
      <c r="D5106" s="15" t="str">
        <f>IFERROR(__xludf.DUMMYFUNCTION("""COMPUTED_VALUE"""),"BOGOTÁ")</f>
        <v>BOGOTÁ</v>
      </c>
      <c r="E5106" s="15" t="str">
        <f>IFERROR(__xludf.DUMMYFUNCTION("""COMPUTED_VALUE"""),"Frubits")</f>
        <v>Frubits</v>
      </c>
      <c r="F5106" s="17" t="str">
        <f>IFERROR(__xludf.DUMMYFUNCTION("""COMPUTED_VALUE"""),"DeModa Poblado Cl. 16 #55-129 / DeModa Poblado Cl. 16 #55-129 / DeModa Poblado Cl. 16 #55-129")</f>
        <v>DeModa Poblado Cl. 16 #55-129 / DeModa Poblado Cl. 16 #55-129 / DeModa Poblado Cl. 16 #55-129</v>
      </c>
      <c r="G5106" s="15" t="str">
        <f>IFERROR(__xludf.DUMMYFUNCTION("""COMPUTED_VALUE"""),"Cocinas ocultas centro comercial Demoda")</f>
        <v>Cocinas ocultas centro comercial Demoda</v>
      </c>
      <c r="H5106" s="16">
        <f>IFERROR(__xludf.DUMMYFUNCTION("""COMPUTED_VALUE"""),13864.0)</f>
        <v>13864</v>
      </c>
      <c r="I5106" s="18">
        <f>IFERROR(__xludf.DUMMYFUNCTION("""COMPUTED_VALUE"""),9.0)</f>
        <v>9</v>
      </c>
      <c r="J5106" s="18">
        <f>IFERROR(__xludf.DUMMYFUNCTION("""COMPUTED_VALUE"""),9.0)</f>
        <v>9</v>
      </c>
      <c r="K5106" s="18">
        <f>IFERROR(__xludf.DUMMYFUNCTION("""COMPUTED_VALUE"""),9.0)</f>
        <v>9</v>
      </c>
      <c r="L5106" s="17">
        <f>IFERROR(__xludf.DUMMYFUNCTION("""COMPUTED_VALUE"""),3.123597578E9)</f>
        <v>3123597578</v>
      </c>
      <c r="M5106" s="17" t="str">
        <f>IFERROR(__xludf.DUMMYFUNCTION("""COMPUTED_VALUE"""),"#REF!")</f>
        <v>#REF!</v>
      </c>
      <c r="N5106" s="17"/>
      <c r="O5106" s="17"/>
      <c r="P5106" s="17" t="b">
        <f>IFERROR(__xludf.DUMMYFUNCTION("""COMPUTED_VALUE"""),FALSE)</f>
        <v>0</v>
      </c>
      <c r="Q5106" s="20" t="str">
        <f>IFERROR(__xludf.DUMMYFUNCTION("""COMPUTED_VALUE"""),"")</f>
        <v/>
      </c>
      <c r="R5106" s="22" t="str">
        <f>IFERROR(__xludf.DUMMYFUNCTION("""COMPUTED_VALUE"""),"")</f>
        <v/>
      </c>
    </row>
    <row r="5107">
      <c r="A5107" s="15">
        <f>IFERROR(__xludf.DUMMYFUNCTION("""COMPUTED_VALUE"""),45149.0)</f>
        <v>45149</v>
      </c>
      <c r="B5107" s="16" t="str">
        <f>IFERROR(__xludf.DUMMYFUNCTION("""COMPUTED_VALUE"""),"Envia")</f>
        <v>Envia</v>
      </c>
      <c r="C5107" s="15" t="str">
        <f>IFERROR(__xludf.DUMMYFUNCTION("""COMPUTED_VALUE"""),"MEDELLÍN")</f>
        <v>MEDELLÍN</v>
      </c>
      <c r="D5107" s="15" t="str">
        <f>IFERROR(__xludf.DUMMYFUNCTION("""COMPUTED_VALUE"""),"BOGOTÁ")</f>
        <v>BOGOTÁ</v>
      </c>
      <c r="E5107" s="15" t="str">
        <f>IFERROR(__xludf.DUMMYFUNCTION("""COMPUTED_VALUE"""),"MAI ALIMENTOS S.A.S")</f>
        <v>MAI ALIMENTOS S.A.S</v>
      </c>
      <c r="F5107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5107" s="15" t="str">
        <f>IFERROR(__xludf.DUMMYFUNCTION("""COMPUTED_VALUE"""),"Novaventas")</f>
        <v>Novaventas</v>
      </c>
      <c r="H5107" s="16">
        <f>IFERROR(__xludf.DUMMYFUNCTION("""COMPUTED_VALUE"""),13877.0)</f>
        <v>13877</v>
      </c>
      <c r="I5107" s="18">
        <f>IFERROR(__xludf.DUMMYFUNCTION("""COMPUTED_VALUE"""),35.0)</f>
        <v>35</v>
      </c>
      <c r="J5107" s="18">
        <f>IFERROR(__xludf.DUMMYFUNCTION("""COMPUTED_VALUE"""),17.0)</f>
        <v>17</v>
      </c>
      <c r="K5107" s="18">
        <f>IFERROR(__xludf.DUMMYFUNCTION("""COMPUTED_VALUE"""),13.0)</f>
        <v>13</v>
      </c>
      <c r="L5107" s="17">
        <f>IFERROR(__xludf.DUMMYFUNCTION("""COMPUTED_VALUE"""),3.187351593E9)</f>
        <v>3187351593</v>
      </c>
      <c r="M5107" s="17" t="str">
        <f>IFERROR(__xludf.DUMMYFUNCTION("""COMPUTED_VALUE"""),"#REF!")</f>
        <v>#REF!</v>
      </c>
      <c r="N5107" s="17"/>
      <c r="O5107" s="17"/>
      <c r="P5107" s="17" t="b">
        <f>IFERROR(__xludf.DUMMYFUNCTION("""COMPUTED_VALUE"""),FALSE)</f>
        <v>0</v>
      </c>
      <c r="Q5107" s="20" t="str">
        <f>IFERROR(__xludf.DUMMYFUNCTION("""COMPUTED_VALUE"""),"")</f>
        <v/>
      </c>
      <c r="R5107" s="22" t="str">
        <f>IFERROR(__xludf.DUMMYFUNCTION("""COMPUTED_VALUE"""),"")</f>
        <v/>
      </c>
    </row>
    <row r="5108">
      <c r="A5108" s="15">
        <f>IFERROR(__xludf.DUMMYFUNCTION("""COMPUTED_VALUE"""),45149.0)</f>
        <v>45149</v>
      </c>
      <c r="B5108" s="16" t="str">
        <f>IFERROR(__xludf.DUMMYFUNCTION("""COMPUTED_VALUE"""),"Envia")</f>
        <v>Envia</v>
      </c>
      <c r="C5108" s="15" t="str">
        <f>IFERROR(__xludf.DUMMYFUNCTION("""COMPUTED_VALUE"""),"MEDELLÍN")</f>
        <v>MEDELLÍN</v>
      </c>
      <c r="D5108" s="15" t="str">
        <f>IFERROR(__xludf.DUMMYFUNCTION("""COMPUTED_VALUE"""),"BOGOTÁ")</f>
        <v>BOGOTÁ</v>
      </c>
      <c r="E5108" s="15" t="str">
        <f>IFERROR(__xludf.DUMMYFUNCTION("""COMPUTED_VALUE"""),"Mochi")</f>
        <v>Mochi</v>
      </c>
      <c r="F5108" s="17" t="str">
        <f>IFERROR(__xludf.DUMMYFUNCTION("""COMPUTED_VALUE"""),"Cra. 48 #32B Sur-139, Zona 1, Envigado, Antioquia / Cra. 48 #32B Sur-139, Zona 1, Envigado, Antioquia / Cra. 48 #32B Sur-139, Zona 1, Envigado, Antioquia")</f>
        <v>Cra. 48 #32B Sur-139, Zona 1, Envigado, Antioquia / Cra. 48 #32B Sur-139, Zona 1, Envigado, Antioquia / Cra. 48 #32B Sur-139, Zona 1, Envigado, Antioquia</v>
      </c>
      <c r="G5108" s="15" t="str">
        <f>IFERROR(__xludf.DUMMYFUNCTION("""COMPUTED_VALUE"""),"Tania")</f>
        <v>Tania</v>
      </c>
      <c r="H5108" s="16">
        <f>IFERROR(__xludf.DUMMYFUNCTION("""COMPUTED_VALUE"""),13876.0)</f>
        <v>13876</v>
      </c>
      <c r="I5108" s="18">
        <f>IFERROR(__xludf.DUMMYFUNCTION("""COMPUTED_VALUE"""),100.0)</f>
        <v>100</v>
      </c>
      <c r="J5108" s="18">
        <f>IFERROR(__xludf.DUMMYFUNCTION("""COMPUTED_VALUE"""),200.0)</f>
        <v>200</v>
      </c>
      <c r="K5108" s="18">
        <f>IFERROR(__xludf.DUMMYFUNCTION("""COMPUTED_VALUE"""),200.0)</f>
        <v>200</v>
      </c>
      <c r="L5108" s="17">
        <f>IFERROR(__xludf.DUMMYFUNCTION("""COMPUTED_VALUE"""),3.142587995E9)</f>
        <v>3142587995</v>
      </c>
      <c r="M5108" s="17" t="str">
        <f>IFERROR(__xludf.DUMMYFUNCTION("""COMPUTED_VALUE"""),"#REF!")</f>
        <v>#REF!</v>
      </c>
      <c r="N5108" s="17"/>
      <c r="O5108" s="17"/>
      <c r="P5108" s="17" t="b">
        <f>IFERROR(__xludf.DUMMYFUNCTION("""COMPUTED_VALUE"""),FALSE)</f>
        <v>0</v>
      </c>
      <c r="Q5108" s="20" t="str">
        <f>IFERROR(__xludf.DUMMYFUNCTION("""COMPUTED_VALUE"""),"")</f>
        <v/>
      </c>
      <c r="R5108" s="22" t="str">
        <f>IFERROR(__xludf.DUMMYFUNCTION("""COMPUTED_VALUE"""),"")</f>
        <v/>
      </c>
    </row>
    <row r="5109">
      <c r="A5109" s="15">
        <f>IFERROR(__xludf.DUMMYFUNCTION("""COMPUTED_VALUE"""),45149.0)</f>
        <v>45149</v>
      </c>
      <c r="B5109" s="16" t="str">
        <f>IFERROR(__xludf.DUMMYFUNCTION("""COMPUTED_VALUE"""),"Envia")</f>
        <v>Envia</v>
      </c>
      <c r="C5109" s="15" t="str">
        <f>IFERROR(__xludf.DUMMYFUNCTION("""COMPUTED_VALUE"""),"SANTA MARTA")</f>
        <v>SANTA MARTA</v>
      </c>
      <c r="D5109" s="15" t="str">
        <f>IFERROR(__xludf.DUMMYFUNCTION("""COMPUTED_VALUE"""),"BOGOTÁ")</f>
        <v>BOGOTÁ</v>
      </c>
      <c r="E5109" s="15" t="str">
        <f>IFERROR(__xludf.DUMMYFUNCTION("""COMPUTED_VALUE"""),"Asociacion Agropecuaria Juana Maria")</f>
        <v>Asociacion Agropecuaria Juana Maria</v>
      </c>
      <c r="F5109" s="17" t="str">
        <f>IFERROR(__xludf.DUMMYFUNCTION("""COMPUTED_VALUE"""),"calle 29 E # 14A -38 torre 2 apto 701 conjunto reserva club residencial (diagonal a Makro)")</f>
        <v>calle 29 E # 14A -38 torre 2 apto 701 conjunto reserva club residencial (diagonal a Makro)</v>
      </c>
      <c r="G5109" s="15" t="str">
        <f>IFERROR(__xludf.DUMMYFUNCTION("""COMPUTED_VALUE"""),"Julio Sanchez")</f>
        <v>Julio Sanchez</v>
      </c>
      <c r="H5109" s="16">
        <f>IFERROR(__xludf.DUMMYFUNCTION("""COMPUTED_VALUE"""),13622.0)</f>
        <v>13622</v>
      </c>
      <c r="I5109" s="18">
        <f>IFERROR(__xludf.DUMMYFUNCTION("""COMPUTED_VALUE"""),25.0)</f>
        <v>25</v>
      </c>
      <c r="J5109" s="18">
        <f>IFERROR(__xludf.DUMMYFUNCTION("""COMPUTED_VALUE"""),18.0)</f>
        <v>18</v>
      </c>
      <c r="K5109" s="18">
        <f>IFERROR(__xludf.DUMMYFUNCTION("""COMPUTED_VALUE"""),3.0)</f>
        <v>3</v>
      </c>
      <c r="L5109" s="17">
        <f>IFERROR(__xludf.DUMMYFUNCTION("""COMPUTED_VALUE"""),3.045275841E9)</f>
        <v>3045275841</v>
      </c>
      <c r="M5109" s="17" t="str">
        <f>IFERROR(__xludf.DUMMYFUNCTION("""COMPUTED_VALUE"""),"#REF!")</f>
        <v>#REF!</v>
      </c>
      <c r="N5109" s="17"/>
      <c r="O5109" s="17"/>
      <c r="P5109" s="17" t="b">
        <f>IFERROR(__xludf.DUMMYFUNCTION("""COMPUTED_VALUE"""),FALSE)</f>
        <v>0</v>
      </c>
      <c r="Q5109" s="20" t="str">
        <f>IFERROR(__xludf.DUMMYFUNCTION("""COMPUTED_VALUE"""),"")</f>
        <v/>
      </c>
      <c r="R5109" s="21" t="str">
        <f>IFERROR(__xludf.DUMMYFUNCTION("""COMPUTED_VALUE"""),"https://drive.google.com/file/d/1xKOi0WepsoSOPE4Pfdqj_zjpjh7NJAa-/view?usp=drivesdk")</f>
        <v>https://drive.google.com/file/d/1xKOi0WepsoSOPE4Pfdqj_zjpjh7NJAa-/view?usp=drivesdk</v>
      </c>
    </row>
    <row r="5110">
      <c r="A5110" s="15">
        <f>IFERROR(__xludf.DUMMYFUNCTION("""COMPUTED_VALUE"""),45149.0)</f>
        <v>45149</v>
      </c>
      <c r="B5110" s="16" t="str">
        <f>IFERROR(__xludf.DUMMYFUNCTION("""COMPUTED_VALUE"""),"Envia")</f>
        <v>Envia</v>
      </c>
      <c r="C5110" s="15" t="str">
        <f>IFERROR(__xludf.DUMMYFUNCTION("""COMPUTED_VALUE"""),"SANTA MARTA")</f>
        <v>SANTA MARTA</v>
      </c>
      <c r="D5110" s="15" t="str">
        <f>IFERROR(__xludf.DUMMYFUNCTION("""COMPUTED_VALUE"""),"BOGOTÁ")</f>
        <v>BOGOTÁ</v>
      </c>
      <c r="E5110" s="15" t="str">
        <f>IFERROR(__xludf.DUMMYFUNCTION("""COMPUTED_VALUE"""),"Ins. Alimento Vital")</f>
        <v>Ins. Alimento Vital</v>
      </c>
      <c r="F5110" s="17" t="str">
        <f>IFERROR(__xludf.DUMMYFUNCTION("""COMPUTED_VALUE"""),"CR 2 16 28  / VILLA BELLA CASA 10 / RODADERO")</f>
        <v>CR 2 16 28  / VILLA BELLA CASA 10 / RODADERO</v>
      </c>
      <c r="G5110" s="15" t="str">
        <f>IFERROR(__xludf.DUMMYFUNCTION("""COMPUTED_VALUE"""),"LILIANA DEL CARMEN RODRIGUEZ ACEVEDO")</f>
        <v>LILIANA DEL CARMEN RODRIGUEZ ACEVEDO</v>
      </c>
      <c r="H5110" s="16">
        <f>IFERROR(__xludf.DUMMYFUNCTION("""COMPUTED_VALUE"""),13829.0)</f>
        <v>13829</v>
      </c>
      <c r="I5110" s="18">
        <f>IFERROR(__xludf.DUMMYFUNCTION("""COMPUTED_VALUE"""),1.0)</f>
        <v>1</v>
      </c>
      <c r="J5110" s="18">
        <f>IFERROR(__xludf.DUMMYFUNCTION("""COMPUTED_VALUE"""),1.0)</f>
        <v>1</v>
      </c>
      <c r="K5110" s="18">
        <f>IFERROR(__xludf.DUMMYFUNCTION("""COMPUTED_VALUE"""),1.0)</f>
        <v>1</v>
      </c>
      <c r="L5110" s="17">
        <f>IFERROR(__xludf.DUMMYFUNCTION("""COMPUTED_VALUE"""),3.008165296E9)</f>
        <v>3008165296</v>
      </c>
      <c r="M5110" s="17" t="str">
        <f>IFERROR(__xludf.DUMMYFUNCTION("""COMPUTED_VALUE"""),"#REF!")</f>
        <v>#REF!</v>
      </c>
      <c r="N5110" s="17"/>
      <c r="O5110" s="17"/>
      <c r="P5110" s="17" t="b">
        <f>IFERROR(__xludf.DUMMYFUNCTION("""COMPUTED_VALUE"""),TRUE)</f>
        <v>1</v>
      </c>
      <c r="Q5110" s="20">
        <f>IFERROR(__xludf.DUMMYFUNCTION("""COMPUTED_VALUE"""),45152.38862373843)</f>
        <v>45152.38862</v>
      </c>
      <c r="R5110" s="22" t="str">
        <f>IFERROR(__xludf.DUMMYFUNCTION("""COMPUTED_VALUE"""),"")</f>
        <v/>
      </c>
    </row>
    <row r="5111">
      <c r="A5111" s="15">
        <f>IFERROR(__xludf.DUMMYFUNCTION("""COMPUTED_VALUE"""),45149.0)</f>
        <v>45149</v>
      </c>
      <c r="B5111" s="16" t="str">
        <f>IFERROR(__xludf.DUMMYFUNCTION("""COMPUTED_VALUE"""),"Envia")</f>
        <v>Envia</v>
      </c>
      <c r="C5111" s="15" t="str">
        <f>IFERROR(__xludf.DUMMYFUNCTION("""COMPUTED_VALUE"""),"SANTA MARTA")</f>
        <v>SANTA MARTA</v>
      </c>
      <c r="D5111" s="15" t="str">
        <f>IFERROR(__xludf.DUMMYFUNCTION("""COMPUTED_VALUE"""),"MEDELLÍN")</f>
        <v>MEDELLÍN</v>
      </c>
      <c r="E5111" s="15" t="str">
        <f>IFERROR(__xludf.DUMMYFUNCTION("""COMPUTED_VALUE"""),"Rambla")</f>
        <v>Rambla</v>
      </c>
      <c r="F5111" s="17" t="str">
        <f>IFERROR(__xludf.DUMMYFUNCTION("""COMPUTED_VALUE"""),"CR 4 26 40 CC PRADO PLAZA LC 117 / - / -")</f>
        <v>CR 4 26 40 CC PRADO PLAZA LC 117 / - / -</v>
      </c>
      <c r="G5111" s="15" t="str">
        <f>IFERROR(__xludf.DUMMYFUNCTION("""COMPUTED_VALUE"""),"Hecho en casa")</f>
        <v>Hecho en casa</v>
      </c>
      <c r="H5111" s="16">
        <f>IFERROR(__xludf.DUMMYFUNCTION("""COMPUTED_VALUE"""),13797.0)</f>
        <v>13797</v>
      </c>
      <c r="I5111" s="18">
        <f>IFERROR(__xludf.DUMMYFUNCTION("""COMPUTED_VALUE"""),25.0)</f>
        <v>25</v>
      </c>
      <c r="J5111" s="18">
        <f>IFERROR(__xludf.DUMMYFUNCTION("""COMPUTED_VALUE"""),21.0)</f>
        <v>21</v>
      </c>
      <c r="K5111" s="18">
        <f>IFERROR(__xludf.DUMMYFUNCTION("""COMPUTED_VALUE"""),22.0)</f>
        <v>22</v>
      </c>
      <c r="L5111" s="17">
        <f>IFERROR(__xludf.DUMMYFUNCTION("""COMPUTED_VALUE"""),3.176455877E9)</f>
        <v>3176455877</v>
      </c>
      <c r="M5111" s="17" t="str">
        <f>IFERROR(__xludf.DUMMYFUNCTION("""COMPUTED_VALUE"""),"#REF!")</f>
        <v>#REF!</v>
      </c>
      <c r="N5111" s="17"/>
      <c r="O5111" s="17"/>
      <c r="P5111" s="17" t="b">
        <f>IFERROR(__xludf.DUMMYFUNCTION("""COMPUTED_VALUE"""),FALSE)</f>
        <v>0</v>
      </c>
      <c r="Q5111" s="20" t="str">
        <f>IFERROR(__xludf.DUMMYFUNCTION("""COMPUTED_VALUE"""),"")</f>
        <v/>
      </c>
      <c r="R5111" s="21" t="str">
        <f>IFERROR(__xludf.DUMMYFUNCTION("""COMPUTED_VALUE"""),"https://drive.google.com/file/d/11uydf4gas-1fRvQeg73FSwnbQHnM9WGd/view?usp=drivesdk")</f>
        <v>https://drive.google.com/file/d/11uydf4gas-1fRvQeg73FSwnbQHnM9WGd/view?usp=drivesdk</v>
      </c>
    </row>
    <row r="5112">
      <c r="A5112" s="15">
        <f>IFERROR(__xludf.DUMMYFUNCTION("""COMPUTED_VALUE"""),45149.0)</f>
        <v>45149</v>
      </c>
      <c r="B5112" s="16" t="str">
        <f>IFERROR(__xludf.DUMMYFUNCTION("""COMPUTED_VALUE"""),"Envia")</f>
        <v>Envia</v>
      </c>
      <c r="C5112" s="15" t="str">
        <f>IFERROR(__xludf.DUMMYFUNCTION("""COMPUTED_VALUE"""),"SANTA MARTA")</f>
        <v>SANTA MARTA</v>
      </c>
      <c r="D5112" s="15" t="str">
        <f>IFERROR(__xludf.DUMMYFUNCTION("""COMPUTED_VALUE"""),"MEDELLÍN")</f>
        <v>MEDELLÍN</v>
      </c>
      <c r="E5112" s="15" t="str">
        <f>IFERROR(__xludf.DUMMYFUNCTION("""COMPUTED_VALUE"""),"Rambla")</f>
        <v>Rambla</v>
      </c>
      <c r="F5112" s="17" t="str">
        <f>IFERROR(__xludf.DUMMYFUNCTION("""COMPUTED_VALUE"""),"cra 21 #21-153 local 105 centro comercial plaza jardín  / - / -")</f>
        <v>cra 21 #21-153 local 105 centro comercial plaza jardín  / - / -</v>
      </c>
      <c r="G5112" s="15" t="str">
        <f>IFERROR(__xludf.DUMMYFUNCTION("""COMPUTED_VALUE"""),"Punto Saludable")</f>
        <v>Punto Saludable</v>
      </c>
      <c r="H5112" s="16">
        <f>IFERROR(__xludf.DUMMYFUNCTION("""COMPUTED_VALUE"""),13798.0)</f>
        <v>13798</v>
      </c>
      <c r="I5112" s="18">
        <f>IFERROR(__xludf.DUMMYFUNCTION("""COMPUTED_VALUE"""),25.0)</f>
        <v>25</v>
      </c>
      <c r="J5112" s="18">
        <f>IFERROR(__xludf.DUMMYFUNCTION("""COMPUTED_VALUE"""),24.0)</f>
        <v>24</v>
      </c>
      <c r="K5112" s="18">
        <f>IFERROR(__xludf.DUMMYFUNCTION("""COMPUTED_VALUE"""),22.0)</f>
        <v>22</v>
      </c>
      <c r="L5112" s="17">
        <f>IFERROR(__xludf.DUMMYFUNCTION("""COMPUTED_VALUE"""),3.013146331E9)</f>
        <v>3013146331</v>
      </c>
      <c r="M5112" s="17" t="str">
        <f>IFERROR(__xludf.DUMMYFUNCTION("""COMPUTED_VALUE"""),"#REF!")</f>
        <v>#REF!</v>
      </c>
      <c r="N5112" s="17"/>
      <c r="O5112" s="17"/>
      <c r="P5112" s="17" t="b">
        <f>IFERROR(__xludf.DUMMYFUNCTION("""COMPUTED_VALUE"""),FALSE)</f>
        <v>0</v>
      </c>
      <c r="Q5112" s="20" t="str">
        <f>IFERROR(__xludf.DUMMYFUNCTION("""COMPUTED_VALUE"""),"")</f>
        <v/>
      </c>
      <c r="R5112" s="21" t="str">
        <f>IFERROR(__xludf.DUMMYFUNCTION("""COMPUTED_VALUE"""),"https://drive.google.com/file/d/1Nx9EVqu0k9Vp4kcoFZswbPc_NgK0khQ9/view?usp=drivesdk")</f>
        <v>https://drive.google.com/file/d/1Nx9EVqu0k9Vp4kcoFZswbPc_NgK0khQ9/view?usp=drivesdk</v>
      </c>
    </row>
    <row r="5113">
      <c r="A5113" s="15">
        <f>IFERROR(__xludf.DUMMYFUNCTION("""COMPUTED_VALUE"""),45149.0)</f>
        <v>45149</v>
      </c>
      <c r="B5113" s="16" t="str">
        <f>IFERROR(__xludf.DUMMYFUNCTION("""COMPUTED_VALUE"""),"Envia")</f>
        <v>Envia</v>
      </c>
      <c r="C5113" s="15" t="str">
        <f>IFERROR(__xludf.DUMMYFUNCTION("""COMPUTED_VALUE"""),"SINCELEJO")</f>
        <v>SINCELEJO</v>
      </c>
      <c r="D5113" s="15" t="str">
        <f>IFERROR(__xludf.DUMMYFUNCTION("""COMPUTED_VALUE"""),"MEDELLÍN")</f>
        <v>MEDELLÍN</v>
      </c>
      <c r="E5113" s="15" t="str">
        <f>IFERROR(__xludf.DUMMYFUNCTION("""COMPUTED_VALUE"""),"Rambla")</f>
        <v>Rambla</v>
      </c>
      <c r="F5113" s="17" t="str">
        <f>IFERROR(__xludf.DUMMYFUNCTION("""COMPUTED_VALUE"""),"calle 32 #33 -119 local 101 cc living mall brr vene / - / -")</f>
        <v>calle 32 #33 -119 local 101 cc living mall brr vene / - / -</v>
      </c>
      <c r="G5113" s="15" t="str">
        <f>IFERROR(__xludf.DUMMYFUNCTION("""COMPUTED_VALUE"""),"Oliva")</f>
        <v>Oliva</v>
      </c>
      <c r="H5113" s="16">
        <f>IFERROR(__xludf.DUMMYFUNCTION("""COMPUTED_VALUE"""),13794.0)</f>
        <v>13794</v>
      </c>
      <c r="I5113" s="18">
        <f>IFERROR(__xludf.DUMMYFUNCTION("""COMPUTED_VALUE"""),28.0)</f>
        <v>28</v>
      </c>
      <c r="J5113" s="18">
        <f>IFERROR(__xludf.DUMMYFUNCTION("""COMPUTED_VALUE"""),32.0)</f>
        <v>32</v>
      </c>
      <c r="K5113" s="18">
        <f>IFERROR(__xludf.DUMMYFUNCTION("""COMPUTED_VALUE"""),32.0)</f>
        <v>32</v>
      </c>
      <c r="L5113" s="17">
        <f>IFERROR(__xludf.DUMMYFUNCTION("""COMPUTED_VALUE"""),3.022293728E9)</f>
        <v>3022293728</v>
      </c>
      <c r="M5113" s="17" t="str">
        <f>IFERROR(__xludf.DUMMYFUNCTION("""COMPUTED_VALUE"""),"#REF!")</f>
        <v>#REF!</v>
      </c>
      <c r="N5113" s="17"/>
      <c r="O5113" s="17"/>
      <c r="P5113" s="17" t="b">
        <f>IFERROR(__xludf.DUMMYFUNCTION("""COMPUTED_VALUE"""),FALSE)</f>
        <v>0</v>
      </c>
      <c r="Q5113" s="20" t="str">
        <f>IFERROR(__xludf.DUMMYFUNCTION("""COMPUTED_VALUE"""),"")</f>
        <v/>
      </c>
      <c r="R5113" s="22" t="str">
        <f>IFERROR(__xludf.DUMMYFUNCTION("""COMPUTED_VALUE"""),"")</f>
        <v/>
      </c>
    </row>
    <row r="5114">
      <c r="A5114" s="17" t="str">
        <f>IFERROR(__xludf.DUMMYFUNCTION("""COMPUTED_VALUE"""),"")</f>
        <v/>
      </c>
      <c r="B5114" s="17" t="str">
        <f>IFERROR(__xludf.DUMMYFUNCTION("""COMPUTED_VALUE"""),"")</f>
        <v/>
      </c>
      <c r="C5114" s="17" t="str">
        <f>IFERROR(__xludf.DUMMYFUNCTION("""COMPUTED_VALUE"""),"")</f>
        <v/>
      </c>
      <c r="D5114" s="17" t="str">
        <f>IFERROR(__xludf.DUMMYFUNCTION("""COMPUTED_VALUE"""),"")</f>
        <v/>
      </c>
      <c r="E5114" s="17" t="str">
        <f>IFERROR(__xludf.DUMMYFUNCTION("""COMPUTED_VALUE"""),"")</f>
        <v/>
      </c>
      <c r="F5114" s="17" t="str">
        <f>IFERROR(__xludf.DUMMYFUNCTION("""COMPUTED_VALUE"""),"")</f>
        <v/>
      </c>
      <c r="G5114" s="17" t="str">
        <f>IFERROR(__xludf.DUMMYFUNCTION("""COMPUTED_VALUE"""),"")</f>
        <v/>
      </c>
      <c r="H5114" s="17" t="str">
        <f>IFERROR(__xludf.DUMMYFUNCTION("""COMPUTED_VALUE"""),"")</f>
        <v/>
      </c>
      <c r="I5114" s="17" t="str">
        <f>IFERROR(__xludf.DUMMYFUNCTION("""COMPUTED_VALUE"""),"")</f>
        <v/>
      </c>
      <c r="J5114" s="17" t="str">
        <f>IFERROR(__xludf.DUMMYFUNCTION("""COMPUTED_VALUE"""),"")</f>
        <v/>
      </c>
      <c r="K5114" s="17" t="str">
        <f>IFERROR(__xludf.DUMMYFUNCTION("""COMPUTED_VALUE"""),"")</f>
        <v/>
      </c>
      <c r="L5114" s="17" t="str">
        <f>IFERROR(__xludf.DUMMYFUNCTION("""COMPUTED_VALUE"""),"")</f>
        <v/>
      </c>
      <c r="M5114" s="17" t="str">
        <f>IFERROR(__xludf.DUMMYFUNCTION("""COMPUTED_VALUE"""),"")</f>
        <v/>
      </c>
      <c r="N5114" s="17" t="str">
        <f>IFERROR(__xludf.DUMMYFUNCTION("""COMPUTED_VALUE"""),"")</f>
        <v/>
      </c>
      <c r="O5114" s="17" t="str">
        <f>IFERROR(__xludf.DUMMYFUNCTION("""COMPUTED_VALUE"""),"")</f>
        <v/>
      </c>
      <c r="P5114" s="17" t="str">
        <f>IFERROR(__xludf.DUMMYFUNCTION("""COMPUTED_VALUE"""),"")</f>
        <v/>
      </c>
      <c r="Q5114" s="17" t="str">
        <f>IFERROR(__xludf.DUMMYFUNCTION("""COMPUTED_VALUE"""),"")</f>
        <v/>
      </c>
      <c r="R5114" s="17" t="str">
        <f>IFERROR(__xludf.DUMMYFUNCTION("""COMPUTED_VALUE"""),"")</f>
        <v/>
      </c>
    </row>
    <row r="5115">
      <c r="A5115" s="15">
        <f>IFERROR(__xludf.DUMMYFUNCTION("""COMPUTED_VALUE"""),45149.0)</f>
        <v>45149</v>
      </c>
      <c r="B5115" s="16" t="str">
        <f>IFERROR(__xludf.DUMMYFUNCTION("""COMPUTED_VALUE"""),"Ivan David Pirela Pirela")</f>
        <v>Ivan David Pirela Pirela</v>
      </c>
      <c r="C5115" s="15" t="str">
        <f>IFERROR(__xludf.DUMMYFUNCTION("""COMPUTED_VALUE"""),"BUCARAMANGA")</f>
        <v>BUCARAMANGA</v>
      </c>
      <c r="D5115" s="15" t="str">
        <f>IFERROR(__xludf.DUMMYFUNCTION("""COMPUTED_VALUE"""),"BOGOTÁ")</f>
        <v>BOGOTÁ</v>
      </c>
      <c r="E5115" s="15" t="str">
        <f>IFERROR(__xludf.DUMMYFUNCTION("""COMPUTED_VALUE"""),"Evamazzita")</f>
        <v>Evamazzita</v>
      </c>
      <c r="F5115" s="17" t="str">
        <f>IFERROR(__xludf.DUMMYFUNCTION("""COMPUTED_VALUE"""),"Avenida 87 No. 24-09 / Torre 2 Apartamento 504 / Conjunto residencial Dimanti Barrio Diamante 2 - recibe:  Claudia Marcela Garnica")</f>
        <v>Avenida 87 No. 24-09 / Torre 2 Apartamento 504 / Conjunto residencial Dimanti Barrio Diamante 2 - recibe:  Claudia Marcela Garnica</v>
      </c>
      <c r="G5115" s="15" t="str">
        <f>IFERROR(__xludf.DUMMYFUNCTION("""COMPUTED_VALUE"""),"CLAUDIA GARNICA")</f>
        <v>CLAUDIA GARNICA</v>
      </c>
      <c r="H5115" s="16">
        <f>IFERROR(__xludf.DUMMYFUNCTION("""COMPUTED_VALUE"""),13833.0)</f>
        <v>13833</v>
      </c>
      <c r="I5115" s="18">
        <f>IFERROR(__xludf.DUMMYFUNCTION("""COMPUTED_VALUE"""),1.0)</f>
        <v>1</v>
      </c>
      <c r="J5115" s="18">
        <f>IFERROR(__xludf.DUMMYFUNCTION("""COMPUTED_VALUE"""),1.0)</f>
        <v>1</v>
      </c>
      <c r="K5115" s="18">
        <f>IFERROR(__xludf.DUMMYFUNCTION("""COMPUTED_VALUE"""),1.0)</f>
        <v>1</v>
      </c>
      <c r="L5115" s="17">
        <f>IFERROR(__xludf.DUMMYFUNCTION("""COMPUTED_VALUE"""),3.168304668E9)</f>
        <v>3168304668</v>
      </c>
      <c r="M5115" s="17" t="str">
        <f>IFERROR(__xludf.DUMMYFUNCTION("""COMPUTED_VALUE"""),"#REF!")</f>
        <v>#REF!</v>
      </c>
      <c r="N5115" s="17"/>
      <c r="O5115" s="17"/>
      <c r="P5115" s="17" t="b">
        <f>IFERROR(__xludf.DUMMYFUNCTION("""COMPUTED_VALUE"""),FALSE)</f>
        <v>0</v>
      </c>
      <c r="Q5115" s="20" t="str">
        <f>IFERROR(__xludf.DUMMYFUNCTION("""COMPUTED_VALUE"""),"")</f>
        <v/>
      </c>
      <c r="R5115" s="21" t="str">
        <f>IFERROR(__xludf.DUMMYFUNCTION("""COMPUTED_VALUE"""),"https://drive.google.com/file/d/1ekfMvwCpgOr9AYCylNMEKPasbgzfcvgD/view?usp=drivesdk")</f>
        <v>https://drive.google.com/file/d/1ekfMvwCpgOr9AYCylNMEKPasbgzfcvgD/view?usp=drivesdk</v>
      </c>
    </row>
    <row r="5116">
      <c r="A5116" s="15">
        <f>IFERROR(__xludf.DUMMYFUNCTION("""COMPUTED_VALUE"""),45149.0)</f>
        <v>45149</v>
      </c>
      <c r="B5116" s="16" t="str">
        <f>IFERROR(__xludf.DUMMYFUNCTION("""COMPUTED_VALUE"""),"Ivan David Pirela Pirela")</f>
        <v>Ivan David Pirela Pirela</v>
      </c>
      <c r="C5116" s="15" t="str">
        <f>IFERROR(__xludf.DUMMYFUNCTION("""COMPUTED_VALUE"""),"BUCARAMANGA")</f>
        <v>BUCARAMANGA</v>
      </c>
      <c r="D5116" s="15" t="str">
        <f>IFERROR(__xludf.DUMMYFUNCTION("""COMPUTED_VALUE"""),"BOGOTÁ")</f>
        <v>BOGOTÁ</v>
      </c>
      <c r="E5116" s="15" t="str">
        <f>IFERROR(__xludf.DUMMYFUNCTION("""COMPUTED_VALUE"""),"Evamazzita")</f>
        <v>Evamazzita</v>
      </c>
      <c r="F5116" s="17" t="str">
        <f>IFERROR(__xludf.DUMMYFUNCTION("""COMPUTED_VALUE"""),"Calle 19 No. 31_45 / Apto.905 Condominio Palladium. / Barrio San Alonso A NOMBRE DE EMERITA ARGUELLO")</f>
        <v>Calle 19 No. 31_45 / Apto.905 Condominio Palladium. / Barrio San Alonso A NOMBRE DE EMERITA ARGUELLO</v>
      </c>
      <c r="G5116" s="15" t="str">
        <f>IFERROR(__xludf.DUMMYFUNCTION("""COMPUTED_VALUE"""),"ANGELA CORTES BETANCUR")</f>
        <v>ANGELA CORTES BETANCUR</v>
      </c>
      <c r="H5116" s="16">
        <f>IFERROR(__xludf.DUMMYFUNCTION("""COMPUTED_VALUE"""),13837.0)</f>
        <v>13837</v>
      </c>
      <c r="I5116" s="18">
        <f>IFERROR(__xludf.DUMMYFUNCTION("""COMPUTED_VALUE"""),1.0)</f>
        <v>1</v>
      </c>
      <c r="J5116" s="18">
        <f>IFERROR(__xludf.DUMMYFUNCTION("""COMPUTED_VALUE"""),1.0)</f>
        <v>1</v>
      </c>
      <c r="K5116" s="18">
        <f>IFERROR(__xludf.DUMMYFUNCTION("""COMPUTED_VALUE"""),1.0)</f>
        <v>1</v>
      </c>
      <c r="L5116" s="17">
        <f>IFERROR(__xludf.DUMMYFUNCTION("""COMPUTED_VALUE"""),3.166201659E9)</f>
        <v>3166201659</v>
      </c>
      <c r="M5116" s="17" t="str">
        <f>IFERROR(__xludf.DUMMYFUNCTION("""COMPUTED_VALUE"""),"#REF!")</f>
        <v>#REF!</v>
      </c>
      <c r="N5116" s="17"/>
      <c r="O5116" s="17"/>
      <c r="P5116" s="17" t="b">
        <f>IFERROR(__xludf.DUMMYFUNCTION("""COMPUTED_VALUE"""),FALSE)</f>
        <v>0</v>
      </c>
      <c r="Q5116" s="20" t="str">
        <f>IFERROR(__xludf.DUMMYFUNCTION("""COMPUTED_VALUE"""),"")</f>
        <v/>
      </c>
      <c r="R5116" s="21" t="str">
        <f>IFERROR(__xludf.DUMMYFUNCTION("""COMPUTED_VALUE"""),"https://drive.google.com/file/d/1_OPucoLSSjlYcAILp3nKg5MIu1C-dPvs/view?usp=drivesdk")</f>
        <v>https://drive.google.com/file/d/1_OPucoLSSjlYcAILp3nKg5MIu1C-dPvs/view?usp=drivesdk</v>
      </c>
    </row>
    <row r="5117">
      <c r="A5117" s="15">
        <f>IFERROR(__xludf.DUMMYFUNCTION("""COMPUTED_VALUE"""),45149.0)</f>
        <v>45149</v>
      </c>
      <c r="B5117" s="16" t="str">
        <f>IFERROR(__xludf.DUMMYFUNCTION("""COMPUTED_VALUE"""),"Ivan David Pirela Pirela")</f>
        <v>Ivan David Pirela Pirela</v>
      </c>
      <c r="C5117" s="15" t="str">
        <f>IFERROR(__xludf.DUMMYFUNCTION("""COMPUTED_VALUE"""),"BUCARAMANGA")</f>
        <v>BUCARAMANGA</v>
      </c>
      <c r="D5117" s="15" t="str">
        <f>IFERROR(__xludf.DUMMYFUNCTION("""COMPUTED_VALUE"""),"BOGOTÁ")</f>
        <v>BOGOTÁ</v>
      </c>
      <c r="E5117" s="15" t="str">
        <f>IFERROR(__xludf.DUMMYFUNCTION("""COMPUTED_VALUE"""),"Evamazzita")</f>
        <v>Evamazzita</v>
      </c>
      <c r="F5117" s="17" t="str">
        <f>IFERROR(__xludf.DUMMYFUNCTION("""COMPUTED_VALUE"""),"Calle 64a # 17a-50 BARRIO LA CEIBA / BARRIO LA CEIBA / BARRIO LA CEIBA")</f>
        <v>Calle 64a # 17a-50 BARRIO LA CEIBA / BARRIO LA CEIBA / BARRIO LA CEIBA</v>
      </c>
      <c r="G5117" s="15" t="str">
        <f>IFERROR(__xludf.DUMMYFUNCTION("""COMPUTED_VALUE"""),"MARIA JOSE REYES")</f>
        <v>MARIA JOSE REYES</v>
      </c>
      <c r="H5117" s="16">
        <f>IFERROR(__xludf.DUMMYFUNCTION("""COMPUTED_VALUE"""),13834.0)</f>
        <v>13834</v>
      </c>
      <c r="I5117" s="18">
        <f>IFERROR(__xludf.DUMMYFUNCTION("""COMPUTED_VALUE"""),1.0)</f>
        <v>1</v>
      </c>
      <c r="J5117" s="18">
        <f>IFERROR(__xludf.DUMMYFUNCTION("""COMPUTED_VALUE"""),1.0)</f>
        <v>1</v>
      </c>
      <c r="K5117" s="18">
        <f>IFERROR(__xludf.DUMMYFUNCTION("""COMPUTED_VALUE"""),1.0)</f>
        <v>1</v>
      </c>
      <c r="L5117" s="17">
        <f>IFERROR(__xludf.DUMMYFUNCTION("""COMPUTED_VALUE"""),3.124206903E9)</f>
        <v>3124206903</v>
      </c>
      <c r="M5117" s="17" t="str">
        <f>IFERROR(__xludf.DUMMYFUNCTION("""COMPUTED_VALUE"""),"#REF!")</f>
        <v>#REF!</v>
      </c>
      <c r="N5117" s="17"/>
      <c r="O5117" s="17"/>
      <c r="P5117" s="17" t="b">
        <f>IFERROR(__xludf.DUMMYFUNCTION("""COMPUTED_VALUE"""),FALSE)</f>
        <v>0</v>
      </c>
      <c r="Q5117" s="20" t="str">
        <f>IFERROR(__xludf.DUMMYFUNCTION("""COMPUTED_VALUE"""),"")</f>
        <v/>
      </c>
      <c r="R5117" s="21" t="str">
        <f>IFERROR(__xludf.DUMMYFUNCTION("""COMPUTED_VALUE"""),"https://drive.google.com/file/d/1O_SevIIsU2LBNV0eOwgLmT5x14Ww-wpe/view?usp=drivesdk")</f>
        <v>https://drive.google.com/file/d/1O_SevIIsU2LBNV0eOwgLmT5x14Ww-wpe/view?usp=drivesdk</v>
      </c>
    </row>
    <row r="5118">
      <c r="A5118" s="15">
        <f>IFERROR(__xludf.DUMMYFUNCTION("""COMPUTED_VALUE"""),45149.0)</f>
        <v>45149</v>
      </c>
      <c r="B5118" s="16" t="str">
        <f>IFERROR(__xludf.DUMMYFUNCTION("""COMPUTED_VALUE"""),"Ivan David Pirela Pirela")</f>
        <v>Ivan David Pirela Pirela</v>
      </c>
      <c r="C5118" s="15" t="str">
        <f>IFERROR(__xludf.DUMMYFUNCTION("""COMPUTED_VALUE"""),"BUCARAMANGA")</f>
        <v>BUCARAMANGA</v>
      </c>
      <c r="D5118" s="15" t="str">
        <f>IFERROR(__xludf.DUMMYFUNCTION("""COMPUTED_VALUE"""),"BOGOTÁ")</f>
        <v>BOGOTÁ</v>
      </c>
      <c r="E5118" s="15" t="str">
        <f>IFERROR(__xludf.DUMMYFUNCTION("""COMPUTED_VALUE"""),"Evamazzita")</f>
        <v>Evamazzita</v>
      </c>
      <c r="F5118" s="17" t="str">
        <f>IFERROR(__xludf.DUMMYFUNCTION("""COMPUTED_VALUE"""),"Calle 89#24-10  / apt 302 Bucaramanga Diamante 2 / apt 302 Bucaramanga Diamante 2")</f>
        <v>Calle 89#24-10  / apt 302 Bucaramanga Diamante 2 / apt 302 Bucaramanga Diamante 2</v>
      </c>
      <c r="G5118" s="15" t="str">
        <f>IFERROR(__xludf.DUMMYFUNCTION("""COMPUTED_VALUE"""),"PAOLA TORRES")</f>
        <v>PAOLA TORRES</v>
      </c>
      <c r="H5118" s="16">
        <f>IFERROR(__xludf.DUMMYFUNCTION("""COMPUTED_VALUE"""),13835.0)</f>
        <v>13835</v>
      </c>
      <c r="I5118" s="18">
        <f>IFERROR(__xludf.DUMMYFUNCTION("""COMPUTED_VALUE"""),1.0)</f>
        <v>1</v>
      </c>
      <c r="J5118" s="18">
        <f>IFERROR(__xludf.DUMMYFUNCTION("""COMPUTED_VALUE"""),1.0)</f>
        <v>1</v>
      </c>
      <c r="K5118" s="18">
        <f>IFERROR(__xludf.DUMMYFUNCTION("""COMPUTED_VALUE"""),1.0)</f>
        <v>1</v>
      </c>
      <c r="L5118" s="17">
        <f>IFERROR(__xludf.DUMMYFUNCTION("""COMPUTED_VALUE"""),3.223026377E9)</f>
        <v>3223026377</v>
      </c>
      <c r="M5118" s="17" t="str">
        <f>IFERROR(__xludf.DUMMYFUNCTION("""COMPUTED_VALUE"""),"#REF!")</f>
        <v>#REF!</v>
      </c>
      <c r="N5118" s="17"/>
      <c r="O5118" s="17"/>
      <c r="P5118" s="17" t="b">
        <f>IFERROR(__xludf.DUMMYFUNCTION("""COMPUTED_VALUE"""),FALSE)</f>
        <v>0</v>
      </c>
      <c r="Q5118" s="20" t="str">
        <f>IFERROR(__xludf.DUMMYFUNCTION("""COMPUTED_VALUE"""),"")</f>
        <v/>
      </c>
      <c r="R5118" s="21" t="str">
        <f>IFERROR(__xludf.DUMMYFUNCTION("""COMPUTED_VALUE"""),"https://drive.google.com/file/d/1sKmcMZmw1p_7B8hxELHk3rj9jn8WxcHM/view?usp=drivesdk")</f>
        <v>https://drive.google.com/file/d/1sKmcMZmw1p_7B8hxELHk3rj9jn8WxcHM/view?usp=drivesdk</v>
      </c>
    </row>
    <row r="5119">
      <c r="A5119" s="15">
        <f>IFERROR(__xludf.DUMMYFUNCTION("""COMPUTED_VALUE"""),45149.0)</f>
        <v>45149</v>
      </c>
      <c r="B5119" s="16" t="str">
        <f>IFERROR(__xludf.DUMMYFUNCTION("""COMPUTED_VALUE"""),"Ivan David Pirela Pirela")</f>
        <v>Ivan David Pirela Pirela</v>
      </c>
      <c r="C5119" s="15" t="str">
        <f>IFERROR(__xludf.DUMMYFUNCTION("""COMPUTED_VALUE"""),"BUCARAMANGA")</f>
        <v>BUCARAMANGA</v>
      </c>
      <c r="D5119" s="15" t="str">
        <f>IFERROR(__xludf.DUMMYFUNCTION("""COMPUTED_VALUE"""),"BOGOTÁ")</f>
        <v>BOGOTÁ</v>
      </c>
      <c r="E5119" s="15" t="str">
        <f>IFERROR(__xludf.DUMMYFUNCTION("""COMPUTED_VALUE"""),"Evamazzita")</f>
        <v>Evamazzita</v>
      </c>
      <c r="F5119" s="17" t="str">
        <f>IFERROR(__xludf.DUMMYFUNCTION("""COMPUTED_VALUE"""),"CALLE 92 No. 56-02 / HACIENDA SAN JUAN / HACIENDA SAN JUAN")</f>
        <v>CALLE 92 No. 56-02 / HACIENDA SAN JUAN / HACIENDA SAN JUAN</v>
      </c>
      <c r="G5119" s="15" t="str">
        <f>IFERROR(__xludf.DUMMYFUNCTION("""COMPUTED_VALUE"""),"XIOMARA PABUENCE")</f>
        <v>XIOMARA PABUENCE</v>
      </c>
      <c r="H5119" s="16">
        <f>IFERROR(__xludf.DUMMYFUNCTION("""COMPUTED_VALUE"""),13840.0)</f>
        <v>13840</v>
      </c>
      <c r="I5119" s="18">
        <f>IFERROR(__xludf.DUMMYFUNCTION("""COMPUTED_VALUE"""),1.0)</f>
        <v>1</v>
      </c>
      <c r="J5119" s="18">
        <f>IFERROR(__xludf.DUMMYFUNCTION("""COMPUTED_VALUE"""),1.0)</f>
        <v>1</v>
      </c>
      <c r="K5119" s="18">
        <f>IFERROR(__xludf.DUMMYFUNCTION("""COMPUTED_VALUE"""),1.0)</f>
        <v>1</v>
      </c>
      <c r="L5119" s="17">
        <f>IFERROR(__xludf.DUMMYFUNCTION("""COMPUTED_VALUE"""),3.21271685E9)</f>
        <v>3212716850</v>
      </c>
      <c r="M5119" s="17" t="str">
        <f>IFERROR(__xludf.DUMMYFUNCTION("""COMPUTED_VALUE"""),"#REF!")</f>
        <v>#REF!</v>
      </c>
      <c r="N5119" s="17"/>
      <c r="O5119" s="17"/>
      <c r="P5119" s="17" t="b">
        <f>IFERROR(__xludf.DUMMYFUNCTION("""COMPUTED_VALUE"""),TRUE)</f>
        <v>1</v>
      </c>
      <c r="Q5119" s="20">
        <f>IFERROR(__xludf.DUMMYFUNCTION("""COMPUTED_VALUE"""),45152.38862373843)</f>
        <v>45152.38862</v>
      </c>
      <c r="R5119" s="21" t="str">
        <f>IFERROR(__xludf.DUMMYFUNCTION("""COMPUTED_VALUE"""),"https://drive.google.com/file/d/1e0YYzpjXy4W2jjG7MgBy5wLOOS_cmCap/view?usp=drivesdk")</f>
        <v>https://drive.google.com/file/d/1e0YYzpjXy4W2jjG7MgBy5wLOOS_cmCap/view?usp=drivesdk</v>
      </c>
    </row>
    <row r="5120">
      <c r="A5120" s="15">
        <f>IFERROR(__xludf.DUMMYFUNCTION("""COMPUTED_VALUE"""),45149.0)</f>
        <v>45149</v>
      </c>
      <c r="B5120" s="16" t="str">
        <f>IFERROR(__xludf.DUMMYFUNCTION("""COMPUTED_VALUE"""),"Ivan David Pirela Pirela")</f>
        <v>Ivan David Pirela Pirela</v>
      </c>
      <c r="C5120" s="15" t="str">
        <f>IFERROR(__xludf.DUMMYFUNCTION("""COMPUTED_VALUE"""),"BUCARAMANGA")</f>
        <v>BUCARAMANGA</v>
      </c>
      <c r="D5120" s="15" t="str">
        <f>IFERROR(__xludf.DUMMYFUNCTION("""COMPUTED_VALUE"""),"BOGOTÁ")</f>
        <v>BOGOTÁ</v>
      </c>
      <c r="E5120" s="15" t="str">
        <f>IFERROR(__xludf.DUMMYFUNCTION("""COMPUTED_VALUE"""),"Evamazzita")</f>
        <v>Evamazzita</v>
      </c>
      <c r="F5120" s="17" t="str">
        <f>IFERROR(__xludf.DUMMYFUNCTION("""COMPUTED_VALUE"""),"Cra 13 #51A-25  / Apto 201 / BARRIO SAN MIGUEL")</f>
        <v>Cra 13 #51A-25  / Apto 201 / BARRIO SAN MIGUEL</v>
      </c>
      <c r="G5120" s="15" t="str">
        <f>IFERROR(__xludf.DUMMYFUNCTION("""COMPUTED_VALUE"""),"LUDY MARCELA ORTIZ COLMENARES")</f>
        <v>LUDY MARCELA ORTIZ COLMENARES</v>
      </c>
      <c r="H5120" s="16">
        <f>IFERROR(__xludf.DUMMYFUNCTION("""COMPUTED_VALUE"""),13839.0)</f>
        <v>13839</v>
      </c>
      <c r="I5120" s="18">
        <f>IFERROR(__xludf.DUMMYFUNCTION("""COMPUTED_VALUE"""),1.0)</f>
        <v>1</v>
      </c>
      <c r="J5120" s="18">
        <f>IFERROR(__xludf.DUMMYFUNCTION("""COMPUTED_VALUE"""),1.0)</f>
        <v>1</v>
      </c>
      <c r="K5120" s="18">
        <f>IFERROR(__xludf.DUMMYFUNCTION("""COMPUTED_VALUE"""),1.0)</f>
        <v>1</v>
      </c>
      <c r="L5120" s="17">
        <f>IFERROR(__xludf.DUMMYFUNCTION("""COMPUTED_VALUE"""),3.105650147E9)</f>
        <v>3105650147</v>
      </c>
      <c r="M5120" s="17" t="str">
        <f>IFERROR(__xludf.DUMMYFUNCTION("""COMPUTED_VALUE"""),"#REF!")</f>
        <v>#REF!</v>
      </c>
      <c r="N5120" s="17"/>
      <c r="O5120" s="17"/>
      <c r="P5120" s="17" t="b">
        <f>IFERROR(__xludf.DUMMYFUNCTION("""COMPUTED_VALUE"""),FALSE)</f>
        <v>0</v>
      </c>
      <c r="Q5120" s="20" t="str">
        <f>IFERROR(__xludf.DUMMYFUNCTION("""COMPUTED_VALUE"""),"")</f>
        <v/>
      </c>
      <c r="R5120" s="21" t="str">
        <f>IFERROR(__xludf.DUMMYFUNCTION("""COMPUTED_VALUE"""),"https://drive.google.com/file/d/1-oHOTIC52V6TFraRiaw7w4bNKcP7eBR5/view?usp=drivesdk")</f>
        <v>https://drive.google.com/file/d/1-oHOTIC52V6TFraRiaw7w4bNKcP7eBR5/view?usp=drivesdk</v>
      </c>
    </row>
    <row r="5121">
      <c r="A5121" s="15">
        <f>IFERROR(__xludf.DUMMYFUNCTION("""COMPUTED_VALUE"""),45149.0)</f>
        <v>45149</v>
      </c>
      <c r="B5121" s="16" t="str">
        <f>IFERROR(__xludf.DUMMYFUNCTION("""COMPUTED_VALUE"""),"Ivan David Pirela Pirela")</f>
        <v>Ivan David Pirela Pirela</v>
      </c>
      <c r="C5121" s="15" t="str">
        <f>IFERROR(__xludf.DUMMYFUNCTION("""COMPUTED_VALUE"""),"BUCARAMANGA")</f>
        <v>BUCARAMANGA</v>
      </c>
      <c r="D5121" s="15" t="str">
        <f>IFERROR(__xludf.DUMMYFUNCTION("""COMPUTED_VALUE"""),"BOGOTÁ")</f>
        <v>BOGOTÁ</v>
      </c>
      <c r="E5121" s="15" t="str">
        <f>IFERROR(__xludf.DUMMYFUNCTION("""COMPUTED_VALUE"""),"Evamazzita")</f>
        <v>Evamazzita</v>
      </c>
      <c r="F5121" s="17" t="str">
        <f>IFERROR(__xludf.DUMMYFUNCTION("""COMPUTED_VALUE"""),"Cra 8 #61-132 /  SAN REMO 1 CASA 131 /  REAL DE MINAS")</f>
        <v>Cra 8 #61-132 /  SAN REMO 1 CASA 131 /  REAL DE MINAS</v>
      </c>
      <c r="G5121" s="15" t="str">
        <f>IFERROR(__xludf.DUMMYFUNCTION("""COMPUTED_VALUE"""),"ALEJANDRA PALOMINO")</f>
        <v>ALEJANDRA PALOMINO</v>
      </c>
      <c r="H5121" s="16">
        <f>IFERROR(__xludf.DUMMYFUNCTION("""COMPUTED_VALUE"""),13836.0)</f>
        <v>13836</v>
      </c>
      <c r="I5121" s="18">
        <f>IFERROR(__xludf.DUMMYFUNCTION("""COMPUTED_VALUE"""),1.0)</f>
        <v>1</v>
      </c>
      <c r="J5121" s="18">
        <f>IFERROR(__xludf.DUMMYFUNCTION("""COMPUTED_VALUE"""),1.0)</f>
        <v>1</v>
      </c>
      <c r="K5121" s="18">
        <f>IFERROR(__xludf.DUMMYFUNCTION("""COMPUTED_VALUE"""),1.0)</f>
        <v>1</v>
      </c>
      <c r="L5121" s="17">
        <f>IFERROR(__xludf.DUMMYFUNCTION("""COMPUTED_VALUE"""),3.106071688E9)</f>
        <v>3106071688</v>
      </c>
      <c r="M5121" s="17" t="str">
        <f>IFERROR(__xludf.DUMMYFUNCTION("""COMPUTED_VALUE"""),"#REF!")</f>
        <v>#REF!</v>
      </c>
      <c r="N5121" s="17"/>
      <c r="O5121" s="17"/>
      <c r="P5121" s="17" t="b">
        <f>IFERROR(__xludf.DUMMYFUNCTION("""COMPUTED_VALUE"""),FALSE)</f>
        <v>0</v>
      </c>
      <c r="Q5121" s="20" t="str">
        <f>IFERROR(__xludf.DUMMYFUNCTION("""COMPUTED_VALUE"""),"")</f>
        <v/>
      </c>
      <c r="R5121" s="21" t="str">
        <f>IFERROR(__xludf.DUMMYFUNCTION("""COMPUTED_VALUE"""),"https://drive.google.com/file/d/1SdI5A6cUzclbI-F-QsCbmGifFo5Swmxa/view?usp=drivesdk")</f>
        <v>https://drive.google.com/file/d/1SdI5A6cUzclbI-F-QsCbmGifFo5Swmxa/view?usp=drivesdk</v>
      </c>
    </row>
    <row r="5122">
      <c r="A5122" s="15">
        <f>IFERROR(__xludf.DUMMYFUNCTION("""COMPUTED_VALUE"""),45149.0)</f>
        <v>45149</v>
      </c>
      <c r="B5122" s="16" t="str">
        <f>IFERROR(__xludf.DUMMYFUNCTION("""COMPUTED_VALUE"""),"Ivan David Pirela Pirela")</f>
        <v>Ivan David Pirela Pirela</v>
      </c>
      <c r="C5122" s="15" t="str">
        <f>IFERROR(__xludf.DUMMYFUNCTION("""COMPUTED_VALUE"""),"BUCARAMANGA")</f>
        <v>BUCARAMANGA</v>
      </c>
      <c r="D5122" s="15" t="str">
        <f>IFERROR(__xludf.DUMMYFUNCTION("""COMPUTED_VALUE"""),"BOGOTÁ")</f>
        <v>BOGOTÁ</v>
      </c>
      <c r="E5122" s="15" t="str">
        <f>IFERROR(__xludf.DUMMYFUNCTION("""COMPUTED_VALUE"""),"Evamazzita")</f>
        <v>Evamazzita</v>
      </c>
      <c r="F5122" s="17" t="str">
        <f>IFERROR(__xludf.DUMMYFUNCTION("""COMPUTED_VALUE"""),"Crr 27A N 48-62. / Torre a - 402. Palmas de Mardel / BARRIO SOTO MAYOR")</f>
        <v>Crr 27A N 48-62. / Torre a - 402. Palmas de Mardel / BARRIO SOTO MAYOR</v>
      </c>
      <c r="G5122" s="15" t="str">
        <f>IFERROR(__xludf.DUMMYFUNCTION("""COMPUTED_VALUE"""),"LUCYNI MARCELA MENDOZA RIVERA")</f>
        <v>LUCYNI MARCELA MENDOZA RIVERA</v>
      </c>
      <c r="H5122" s="16">
        <f>IFERROR(__xludf.DUMMYFUNCTION("""COMPUTED_VALUE"""),13838.0)</f>
        <v>13838</v>
      </c>
      <c r="I5122" s="18">
        <f>IFERROR(__xludf.DUMMYFUNCTION("""COMPUTED_VALUE"""),1.0)</f>
        <v>1</v>
      </c>
      <c r="J5122" s="18">
        <f>IFERROR(__xludf.DUMMYFUNCTION("""COMPUTED_VALUE"""),1.0)</f>
        <v>1</v>
      </c>
      <c r="K5122" s="18">
        <f>IFERROR(__xludf.DUMMYFUNCTION("""COMPUTED_VALUE"""),1.0)</f>
        <v>1</v>
      </c>
      <c r="L5122" s="17">
        <f>IFERROR(__xludf.DUMMYFUNCTION("""COMPUTED_VALUE"""),3.158277288E9)</f>
        <v>3158277288</v>
      </c>
      <c r="M5122" s="17" t="str">
        <f>IFERROR(__xludf.DUMMYFUNCTION("""COMPUTED_VALUE"""),"#REF!")</f>
        <v>#REF!</v>
      </c>
      <c r="N5122" s="17"/>
      <c r="O5122" s="17"/>
      <c r="P5122" s="17" t="b">
        <f>IFERROR(__xludf.DUMMYFUNCTION("""COMPUTED_VALUE"""),FALSE)</f>
        <v>0</v>
      </c>
      <c r="Q5122" s="20" t="str">
        <f>IFERROR(__xludf.DUMMYFUNCTION("""COMPUTED_VALUE"""),"")</f>
        <v/>
      </c>
      <c r="R5122" s="21" t="str">
        <f>IFERROR(__xludf.DUMMYFUNCTION("""COMPUTED_VALUE"""),"https://drive.google.com/file/d/1zTxDs4nw3nNnkzdycJqzRiKgt9Ucvmal/view?usp=drivesdk")</f>
        <v>https://drive.google.com/file/d/1zTxDs4nw3nNnkzdycJqzRiKgt9Ucvmal/view?usp=drivesdk</v>
      </c>
    </row>
    <row r="5123">
      <c r="A5123" s="15">
        <f>IFERROR(__xludf.DUMMYFUNCTION("""COMPUTED_VALUE"""),45149.0)</f>
        <v>45149</v>
      </c>
      <c r="B5123" s="16" t="str">
        <f>IFERROR(__xludf.DUMMYFUNCTION("""COMPUTED_VALUE"""),"Ivan David Pirela Pirela")</f>
        <v>Ivan David Pirela Pirela</v>
      </c>
      <c r="C5123" s="15" t="str">
        <f>IFERROR(__xludf.DUMMYFUNCTION("""COMPUTED_VALUE"""),"BUCARAMANGA")</f>
        <v>BUCARAMANGA</v>
      </c>
      <c r="D5123" s="15" t="str">
        <f>IFERROR(__xludf.DUMMYFUNCTION("""COMPUTED_VALUE"""),"BOGOTÁ")</f>
        <v>BOGOTÁ</v>
      </c>
      <c r="E5123" s="15" t="str">
        <f>IFERROR(__xludf.DUMMYFUNCTION("""COMPUTED_VALUE"""),"Ins. Alimento Vital")</f>
        <v>Ins. Alimento Vital</v>
      </c>
      <c r="F5123" s="17" t="str">
        <f>IFERROR(__xludf.DUMMYFUNCTION("""COMPUTED_VALUE"""),"CL 31 30 08 / AP 501 / AURORA ROYAL")</f>
        <v>CL 31 30 08 / AP 501 / AURORA ROYAL</v>
      </c>
      <c r="G5123" s="15" t="str">
        <f>IFERROR(__xludf.DUMMYFUNCTION("""COMPUTED_VALUE"""),"LARRY ALBERTO LOPEZ MACANA")</f>
        <v>LARRY ALBERTO LOPEZ MACANA</v>
      </c>
      <c r="H5123" s="16">
        <f>IFERROR(__xludf.DUMMYFUNCTION("""COMPUTED_VALUE"""),13828.0)</f>
        <v>13828</v>
      </c>
      <c r="I5123" s="18">
        <f>IFERROR(__xludf.DUMMYFUNCTION("""COMPUTED_VALUE"""),1.0)</f>
        <v>1</v>
      </c>
      <c r="J5123" s="18">
        <f>IFERROR(__xludf.DUMMYFUNCTION("""COMPUTED_VALUE"""),1.0)</f>
        <v>1</v>
      </c>
      <c r="K5123" s="18">
        <f>IFERROR(__xludf.DUMMYFUNCTION("""COMPUTED_VALUE"""),1.0)</f>
        <v>1</v>
      </c>
      <c r="L5123" s="17">
        <f>IFERROR(__xludf.DUMMYFUNCTION("""COMPUTED_VALUE"""),3.185709801E9)</f>
        <v>3185709801</v>
      </c>
      <c r="M5123" s="17" t="str">
        <f>IFERROR(__xludf.DUMMYFUNCTION("""COMPUTED_VALUE"""),"#REF!")</f>
        <v>#REF!</v>
      </c>
      <c r="N5123" s="17"/>
      <c r="O5123" s="17"/>
      <c r="P5123" s="17" t="b">
        <f>IFERROR(__xludf.DUMMYFUNCTION("""COMPUTED_VALUE"""),FALSE)</f>
        <v>0</v>
      </c>
      <c r="Q5123" s="20" t="str">
        <f>IFERROR(__xludf.DUMMYFUNCTION("""COMPUTED_VALUE"""),"")</f>
        <v/>
      </c>
      <c r="R5123" s="22" t="str">
        <f>IFERROR(__xludf.DUMMYFUNCTION("""COMPUTED_VALUE"""),"")</f>
        <v/>
      </c>
    </row>
    <row r="5124">
      <c r="A5124" s="15">
        <f>IFERROR(__xludf.DUMMYFUNCTION("""COMPUTED_VALUE"""),45149.0)</f>
        <v>45149</v>
      </c>
      <c r="B5124" s="16" t="str">
        <f>IFERROR(__xludf.DUMMYFUNCTION("""COMPUTED_VALUE"""),"Ivan David Pirela Pirela")</f>
        <v>Ivan David Pirela Pirela</v>
      </c>
      <c r="C5124" s="15" t="str">
        <f>IFERROR(__xludf.DUMMYFUNCTION("""COMPUTED_VALUE"""),"CÚCUTA")</f>
        <v>CÚCUTA</v>
      </c>
      <c r="D5124" s="15" t="str">
        <f>IFERROR(__xludf.DUMMYFUNCTION("""COMPUTED_VALUE"""),"MEDELLÍN")</f>
        <v>MEDELLÍN</v>
      </c>
      <c r="E5124" s="15" t="str">
        <f>IFERROR(__xludf.DUMMYFUNCTION("""COMPUTED_VALUE"""),"Momo Tea S.A.S Gabriel Echavarría")</f>
        <v>Momo Tea S.A.S Gabriel Echavarría</v>
      </c>
      <c r="F5124" s="17" t="str">
        <f>IFERROR(__xludf.DUMMYFUNCTION("""COMPUTED_VALUE"""),"CL 11 N 16 E 35 / CA B 1")</f>
        <v>CL 11 N 16 E 35 / CA B 1</v>
      </c>
      <c r="G5124" s="15" t="str">
        <f>IFERROR(__xludf.DUMMYFUNCTION("""COMPUTED_VALUE"""),"Gabriel Echavarría")</f>
        <v>Gabriel Echavarría</v>
      </c>
      <c r="H5124" s="16">
        <f>IFERROR(__xludf.DUMMYFUNCTION("""COMPUTED_VALUE"""),13806.0)</f>
        <v>13806</v>
      </c>
      <c r="I5124" s="18">
        <f>IFERROR(__xludf.DUMMYFUNCTION("""COMPUTED_VALUE"""),21.0)</f>
        <v>21</v>
      </c>
      <c r="J5124" s="18">
        <f>IFERROR(__xludf.DUMMYFUNCTION("""COMPUTED_VALUE"""),29.0)</f>
        <v>29</v>
      </c>
      <c r="K5124" s="18">
        <f>IFERROR(__xludf.DUMMYFUNCTION("""COMPUTED_VALUE"""),29.0)</f>
        <v>29</v>
      </c>
      <c r="L5124" s="17">
        <f>IFERROR(__xludf.DUMMYFUNCTION("""COMPUTED_VALUE"""),3.017909548E9)</f>
        <v>3017909548</v>
      </c>
      <c r="M5124" s="17" t="str">
        <f>IFERROR(__xludf.DUMMYFUNCTION("""COMPUTED_VALUE"""),"#REF!")</f>
        <v>#REF!</v>
      </c>
      <c r="N5124" s="17"/>
      <c r="O5124" s="17"/>
      <c r="P5124" s="17" t="b">
        <f>IFERROR(__xludf.DUMMYFUNCTION("""COMPUTED_VALUE"""),TRUE)</f>
        <v>1</v>
      </c>
      <c r="Q5124" s="20">
        <f>IFERROR(__xludf.DUMMYFUNCTION("""COMPUTED_VALUE"""),45162.730751875)</f>
        <v>45162.73075</v>
      </c>
      <c r="R5124" s="22" t="str">
        <f>IFERROR(__xludf.DUMMYFUNCTION("""COMPUTED_VALUE"""),"")</f>
        <v/>
      </c>
    </row>
    <row r="5125">
      <c r="A5125" s="15">
        <f>IFERROR(__xludf.DUMMYFUNCTION("""COMPUTED_VALUE"""),45149.0)</f>
        <v>45149</v>
      </c>
      <c r="B5125" s="16" t="str">
        <f>IFERROR(__xludf.DUMMYFUNCTION("""COMPUTED_VALUE"""),"Ivan David Pirela Pirela")</f>
        <v>Ivan David Pirela Pirela</v>
      </c>
      <c r="C5125" s="15" t="str">
        <f>IFERROR(__xludf.DUMMYFUNCTION("""COMPUTED_VALUE"""),"FLORIDABLANCA")</f>
        <v>FLORIDABLANCA</v>
      </c>
      <c r="D5125" s="15" t="str">
        <f>IFERROR(__xludf.DUMMYFUNCTION("""COMPUTED_VALUE"""),"BOGOTÁ")</f>
        <v>BOGOTÁ</v>
      </c>
      <c r="E5125" s="15" t="str">
        <f>IFERROR(__xludf.DUMMYFUNCTION("""COMPUTED_VALUE"""),"Evamazzita")</f>
        <v>Evamazzita</v>
      </c>
      <c r="F5125" s="17" t="str">
        <f>IFERROR(__xludf.DUMMYFUNCTION("""COMPUTED_VALUE"""),"Calle 200 # 22b-645  / T-5 Apto 420 Conjunto Mirador de Versa / Conjunto Mirador de Versalles")</f>
        <v>Calle 200 # 22b-645  / T-5 Apto 420 Conjunto Mirador de Versa / Conjunto Mirador de Versalles</v>
      </c>
      <c r="G5125" s="15" t="str">
        <f>IFERROR(__xludf.DUMMYFUNCTION("""COMPUTED_VALUE"""),"GENNY RIZO")</f>
        <v>GENNY RIZO</v>
      </c>
      <c r="H5125" s="16">
        <f>IFERROR(__xludf.DUMMYFUNCTION("""COMPUTED_VALUE"""),13842.0)</f>
        <v>13842</v>
      </c>
      <c r="I5125" s="18">
        <f>IFERROR(__xludf.DUMMYFUNCTION("""COMPUTED_VALUE"""),1.0)</f>
        <v>1</v>
      </c>
      <c r="J5125" s="18">
        <f>IFERROR(__xludf.DUMMYFUNCTION("""COMPUTED_VALUE"""),1.0)</f>
        <v>1</v>
      </c>
      <c r="K5125" s="18">
        <f>IFERROR(__xludf.DUMMYFUNCTION("""COMPUTED_VALUE"""),1.0)</f>
        <v>1</v>
      </c>
      <c r="L5125" s="17">
        <f>IFERROR(__xludf.DUMMYFUNCTION("""COMPUTED_VALUE"""),3.123290941E9)</f>
        <v>3123290941</v>
      </c>
      <c r="M5125" s="17" t="str">
        <f>IFERROR(__xludf.DUMMYFUNCTION("""COMPUTED_VALUE"""),"#REF!")</f>
        <v>#REF!</v>
      </c>
      <c r="N5125" s="17"/>
      <c r="O5125" s="17"/>
      <c r="P5125" s="17" t="b">
        <f>IFERROR(__xludf.DUMMYFUNCTION("""COMPUTED_VALUE"""),TRUE)</f>
        <v>1</v>
      </c>
      <c r="Q5125" s="20">
        <f>IFERROR(__xludf.DUMMYFUNCTION("""COMPUTED_VALUE"""),45162.730751875)</f>
        <v>45162.73075</v>
      </c>
      <c r="R5125" s="21" t="str">
        <f>IFERROR(__xludf.DUMMYFUNCTION("""COMPUTED_VALUE"""),"https://drive.google.com/file/d/1qzXBmqbPHnJxsy-QHylVS0FQ7aLEVC9O/view?usp=drivesdk")</f>
        <v>https://drive.google.com/file/d/1qzXBmqbPHnJxsy-QHylVS0FQ7aLEVC9O/view?usp=drivesdk</v>
      </c>
    </row>
    <row r="5126">
      <c r="A5126" s="15">
        <f>IFERROR(__xludf.DUMMYFUNCTION("""COMPUTED_VALUE"""),45149.0)</f>
        <v>45149</v>
      </c>
      <c r="B5126" s="16" t="str">
        <f>IFERROR(__xludf.DUMMYFUNCTION("""COMPUTED_VALUE"""),"Ivan David Pirela Pirela")</f>
        <v>Ivan David Pirela Pirela</v>
      </c>
      <c r="C5126" s="15" t="str">
        <f>IFERROR(__xludf.DUMMYFUNCTION("""COMPUTED_VALUE"""),"FLORIDABLANCA")</f>
        <v>FLORIDABLANCA</v>
      </c>
      <c r="D5126" s="15" t="str">
        <f>IFERROR(__xludf.DUMMYFUNCTION("""COMPUTED_VALUE"""),"BOGOTÁ")</f>
        <v>BOGOTÁ</v>
      </c>
      <c r="E5126" s="15" t="str">
        <f>IFERROR(__xludf.DUMMYFUNCTION("""COMPUTED_VALUE"""),"Evamazzita")</f>
        <v>Evamazzita</v>
      </c>
      <c r="F5126" s="17" t="str">
        <f>IFERROR(__xludf.DUMMYFUNCTION("""COMPUTED_VALUE"""),"Calle 200#13-36  / Montesol apartamentos club -apto 604 / Montesol apartamentos club")</f>
        <v>Calle 200#13-36  / Montesol apartamentos club -apto 604 / Montesol apartamentos club</v>
      </c>
      <c r="G5126" s="15" t="str">
        <f>IFERROR(__xludf.DUMMYFUNCTION("""COMPUTED_VALUE"""),"LAURA MILENA SALAZAR VALDERRAMA")</f>
        <v>LAURA MILENA SALAZAR VALDERRAMA</v>
      </c>
      <c r="H5126" s="16">
        <f>IFERROR(__xludf.DUMMYFUNCTION("""COMPUTED_VALUE"""),13845.0)</f>
        <v>13845</v>
      </c>
      <c r="I5126" s="18">
        <f>IFERROR(__xludf.DUMMYFUNCTION("""COMPUTED_VALUE"""),1.0)</f>
        <v>1</v>
      </c>
      <c r="J5126" s="18">
        <f>IFERROR(__xludf.DUMMYFUNCTION("""COMPUTED_VALUE"""),1.0)</f>
        <v>1</v>
      </c>
      <c r="K5126" s="18">
        <f>IFERROR(__xludf.DUMMYFUNCTION("""COMPUTED_VALUE"""),1.0)</f>
        <v>1</v>
      </c>
      <c r="L5126" s="17">
        <f>IFERROR(__xludf.DUMMYFUNCTION("""COMPUTED_VALUE"""),3.013086565E9)</f>
        <v>3013086565</v>
      </c>
      <c r="M5126" s="17" t="str">
        <f>IFERROR(__xludf.DUMMYFUNCTION("""COMPUTED_VALUE"""),"#REF!")</f>
        <v>#REF!</v>
      </c>
      <c r="N5126" s="17"/>
      <c r="O5126" s="17"/>
      <c r="P5126" s="17" t="b">
        <f>IFERROR(__xludf.DUMMYFUNCTION("""COMPUTED_VALUE"""),TRUE)</f>
        <v>1</v>
      </c>
      <c r="Q5126" s="20">
        <f>IFERROR(__xludf.DUMMYFUNCTION("""COMPUTED_VALUE"""),45162.730751875)</f>
        <v>45162.73075</v>
      </c>
      <c r="R5126" s="21" t="str">
        <f>IFERROR(__xludf.DUMMYFUNCTION("""COMPUTED_VALUE"""),"https://drive.google.com/file/d/1TFV2AZ0Y2mXo4xgixNPPdJH1EyNqngH0/view?usp=drivesdk")</f>
        <v>https://drive.google.com/file/d/1TFV2AZ0Y2mXo4xgixNPPdJH1EyNqngH0/view?usp=drivesdk</v>
      </c>
    </row>
    <row r="5127">
      <c r="A5127" s="15">
        <f>IFERROR(__xludf.DUMMYFUNCTION("""COMPUTED_VALUE"""),45149.0)</f>
        <v>45149</v>
      </c>
      <c r="B5127" s="16" t="str">
        <f>IFERROR(__xludf.DUMMYFUNCTION("""COMPUTED_VALUE"""),"Ivan David Pirela Pirela")</f>
        <v>Ivan David Pirela Pirela</v>
      </c>
      <c r="C5127" s="15" t="str">
        <f>IFERROR(__xludf.DUMMYFUNCTION("""COMPUTED_VALUE"""),"FLORIDABLANCA")</f>
        <v>FLORIDABLANCA</v>
      </c>
      <c r="D5127" s="15" t="str">
        <f>IFERROR(__xludf.DUMMYFUNCTION("""COMPUTED_VALUE"""),"BOGOTÁ")</f>
        <v>BOGOTÁ</v>
      </c>
      <c r="E5127" s="15" t="str">
        <f>IFERROR(__xludf.DUMMYFUNCTION("""COMPUTED_VALUE"""),"Evamazzita")</f>
        <v>Evamazzita</v>
      </c>
      <c r="F5127" s="17" t="str">
        <f>IFERROR(__xludf.DUMMYFUNCTION("""COMPUTED_VALUE"""),"Calle 49 # 3-06 / Apto 401 Barrio Lagos Dos / Barrio Lagos Dos")</f>
        <v>Calle 49 # 3-06 / Apto 401 Barrio Lagos Dos / Barrio Lagos Dos</v>
      </c>
      <c r="G5127" s="15" t="str">
        <f>IFERROR(__xludf.DUMMYFUNCTION("""COMPUTED_VALUE"""),"CAROLINA PITTA DURAN")</f>
        <v>CAROLINA PITTA DURAN</v>
      </c>
      <c r="H5127" s="16">
        <f>IFERROR(__xludf.DUMMYFUNCTION("""COMPUTED_VALUE"""),13841.0)</f>
        <v>13841</v>
      </c>
      <c r="I5127" s="18">
        <f>IFERROR(__xludf.DUMMYFUNCTION("""COMPUTED_VALUE"""),1.0)</f>
        <v>1</v>
      </c>
      <c r="J5127" s="18">
        <f>IFERROR(__xludf.DUMMYFUNCTION("""COMPUTED_VALUE"""),1.0)</f>
        <v>1</v>
      </c>
      <c r="K5127" s="18">
        <f>IFERROR(__xludf.DUMMYFUNCTION("""COMPUTED_VALUE"""),1.0)</f>
        <v>1</v>
      </c>
      <c r="L5127" s="17">
        <f>IFERROR(__xludf.DUMMYFUNCTION("""COMPUTED_VALUE"""),3.125890168E9)</f>
        <v>3125890168</v>
      </c>
      <c r="M5127" s="17" t="str">
        <f>IFERROR(__xludf.DUMMYFUNCTION("""COMPUTED_VALUE"""),"#REF!")</f>
        <v>#REF!</v>
      </c>
      <c r="N5127" s="17"/>
      <c r="O5127" s="17"/>
      <c r="P5127" s="17" t="b">
        <f>IFERROR(__xludf.DUMMYFUNCTION("""COMPUTED_VALUE"""),TRUE)</f>
        <v>1</v>
      </c>
      <c r="Q5127" s="20">
        <f>IFERROR(__xludf.DUMMYFUNCTION("""COMPUTED_VALUE"""),45162.730751875)</f>
        <v>45162.73075</v>
      </c>
      <c r="R5127" s="21" t="str">
        <f>IFERROR(__xludf.DUMMYFUNCTION("""COMPUTED_VALUE"""),"https://drive.google.com/file/d/1lQqizzawZO0XWMFGfqK8Rv8wyR5OQx49/view?usp=drivesdk")</f>
        <v>https://drive.google.com/file/d/1lQqizzawZO0XWMFGfqK8Rv8wyR5OQx49/view?usp=drivesdk</v>
      </c>
    </row>
    <row r="5128">
      <c r="A5128" s="15">
        <f>IFERROR(__xludf.DUMMYFUNCTION("""COMPUTED_VALUE"""),45149.0)</f>
        <v>45149</v>
      </c>
      <c r="B5128" s="16" t="str">
        <f>IFERROR(__xludf.DUMMYFUNCTION("""COMPUTED_VALUE"""),"Ivan David Pirela Pirela")</f>
        <v>Ivan David Pirela Pirela</v>
      </c>
      <c r="C5128" s="15" t="str">
        <f>IFERROR(__xludf.DUMMYFUNCTION("""COMPUTED_VALUE"""),"FLORIDABLANCA")</f>
        <v>FLORIDABLANCA</v>
      </c>
      <c r="D5128" s="15" t="str">
        <f>IFERROR(__xludf.DUMMYFUNCTION("""COMPUTED_VALUE"""),"BOGOTÁ")</f>
        <v>BOGOTÁ</v>
      </c>
      <c r="E5128" s="15" t="str">
        <f>IFERROR(__xludf.DUMMYFUNCTION("""COMPUTED_VALUE"""),"Evamazzita")</f>
        <v>Evamazzita</v>
      </c>
      <c r="F5128" s="17" t="str">
        <f>IFERROR(__xludf.DUMMYFUNCTION("""COMPUTED_VALUE"""),"CRA 7 No. 4 - 50 / TORRE 1 APTO 1201 / QUANTUM")</f>
        <v>CRA 7 No. 4 - 50 / TORRE 1 APTO 1201 / QUANTUM</v>
      </c>
      <c r="G5128" s="15" t="str">
        <f>IFERROR(__xludf.DUMMYFUNCTION("""COMPUTED_VALUE"""),"LORENA ARISMENDY MARTINEZ")</f>
        <v>LORENA ARISMENDY MARTINEZ</v>
      </c>
      <c r="H5128" s="16">
        <f>IFERROR(__xludf.DUMMYFUNCTION("""COMPUTED_VALUE"""),13847.0)</f>
        <v>13847</v>
      </c>
      <c r="I5128" s="18">
        <f>IFERROR(__xludf.DUMMYFUNCTION("""COMPUTED_VALUE"""),1.0)</f>
        <v>1</v>
      </c>
      <c r="J5128" s="18">
        <f>IFERROR(__xludf.DUMMYFUNCTION("""COMPUTED_VALUE"""),1.0)</f>
        <v>1</v>
      </c>
      <c r="K5128" s="18">
        <f>IFERROR(__xludf.DUMMYFUNCTION("""COMPUTED_VALUE"""),1.0)</f>
        <v>1</v>
      </c>
      <c r="L5128" s="17">
        <f>IFERROR(__xludf.DUMMYFUNCTION("""COMPUTED_VALUE"""),3.00726994E9)</f>
        <v>3007269940</v>
      </c>
      <c r="M5128" s="17" t="str">
        <f>IFERROR(__xludf.DUMMYFUNCTION("""COMPUTED_VALUE"""),"#REF!")</f>
        <v>#REF!</v>
      </c>
      <c r="N5128" s="17"/>
      <c r="O5128" s="17"/>
      <c r="P5128" s="17" t="b">
        <f>IFERROR(__xludf.DUMMYFUNCTION("""COMPUTED_VALUE"""),TRUE)</f>
        <v>1</v>
      </c>
      <c r="Q5128" s="20">
        <f>IFERROR(__xludf.DUMMYFUNCTION("""COMPUTED_VALUE"""),45162.73067726852)</f>
        <v>45162.73068</v>
      </c>
      <c r="R5128" s="21" t="str">
        <f>IFERROR(__xludf.DUMMYFUNCTION("""COMPUTED_VALUE"""),"https://drive.google.com/file/d/1zG1FufPeztIMSZk1AMLf8Hz7bxaKIHF8/view?usp=drivesdk")</f>
        <v>https://drive.google.com/file/d/1zG1FufPeztIMSZk1AMLf8Hz7bxaKIHF8/view?usp=drivesdk</v>
      </c>
    </row>
    <row r="5129">
      <c r="A5129" s="15">
        <f>IFERROR(__xludf.DUMMYFUNCTION("""COMPUTED_VALUE"""),45149.0)</f>
        <v>45149</v>
      </c>
      <c r="B5129" s="16" t="str">
        <f>IFERROR(__xludf.DUMMYFUNCTION("""COMPUTED_VALUE"""),"Ivan David Pirela Pirela")</f>
        <v>Ivan David Pirela Pirela</v>
      </c>
      <c r="C5129" s="15" t="str">
        <f>IFERROR(__xludf.DUMMYFUNCTION("""COMPUTED_VALUE"""),"FLORIDABLANCA")</f>
        <v>FLORIDABLANCA</v>
      </c>
      <c r="D5129" s="15" t="str">
        <f>IFERROR(__xludf.DUMMYFUNCTION("""COMPUTED_VALUE"""),"BOGOTÁ")</f>
        <v>BOGOTÁ</v>
      </c>
      <c r="E5129" s="15" t="str">
        <f>IFERROR(__xludf.DUMMYFUNCTION("""COMPUTED_VALUE"""),"Evamazzita")</f>
        <v>Evamazzita</v>
      </c>
      <c r="F5129" s="17" t="str">
        <f>IFERROR(__xludf.DUMMYFUNCTION("""COMPUTED_VALUE"""),"TRANSV 154 No. 24 - 125 /  TORRE 1 APTO 1201 / VISTA AZUL CAMPESTRE - EL BOSQUE")</f>
        <v>TRANSV 154 No. 24 - 125 /  TORRE 1 APTO 1201 / VISTA AZUL CAMPESTRE - EL BOSQUE</v>
      </c>
      <c r="G5129" s="15" t="str">
        <f>IFERROR(__xludf.DUMMYFUNCTION("""COMPUTED_VALUE"""),"KAREN VARGAS")</f>
        <v>KAREN VARGAS</v>
      </c>
      <c r="H5129" s="16">
        <f>IFERROR(__xludf.DUMMYFUNCTION("""COMPUTED_VALUE"""),13844.0)</f>
        <v>13844</v>
      </c>
      <c r="I5129" s="18">
        <f>IFERROR(__xludf.DUMMYFUNCTION("""COMPUTED_VALUE"""),1.0)</f>
        <v>1</v>
      </c>
      <c r="J5129" s="18">
        <f>IFERROR(__xludf.DUMMYFUNCTION("""COMPUTED_VALUE"""),1.0)</f>
        <v>1</v>
      </c>
      <c r="K5129" s="18">
        <f>IFERROR(__xludf.DUMMYFUNCTION("""COMPUTED_VALUE"""),1.0)</f>
        <v>1</v>
      </c>
      <c r="L5129" s="17">
        <f>IFERROR(__xludf.DUMMYFUNCTION("""COMPUTED_VALUE"""),3.203735855E9)</f>
        <v>3203735855</v>
      </c>
      <c r="M5129" s="17" t="str">
        <f>IFERROR(__xludf.DUMMYFUNCTION("""COMPUTED_VALUE"""),"#REF!")</f>
        <v>#REF!</v>
      </c>
      <c r="N5129" s="17"/>
      <c r="O5129" s="17"/>
      <c r="P5129" s="17" t="b">
        <f>IFERROR(__xludf.DUMMYFUNCTION("""COMPUTED_VALUE"""),TRUE)</f>
        <v>1</v>
      </c>
      <c r="Q5129" s="20">
        <f>IFERROR(__xludf.DUMMYFUNCTION("""COMPUTED_VALUE"""),45162.730601435185)</f>
        <v>45162.7306</v>
      </c>
      <c r="R5129" s="21" t="str">
        <f>IFERROR(__xludf.DUMMYFUNCTION("""COMPUTED_VALUE"""),"https://drive.google.com/file/d/1FCyQaR4-t9m4fbZBfid5oFiw0UHbuq6j/view?usp=drivesdk")</f>
        <v>https://drive.google.com/file/d/1FCyQaR4-t9m4fbZBfid5oFiw0UHbuq6j/view?usp=drivesdk</v>
      </c>
    </row>
    <row r="5130">
      <c r="A5130" s="15">
        <f>IFERROR(__xludf.DUMMYFUNCTION("""COMPUTED_VALUE"""),45149.0)</f>
        <v>45149</v>
      </c>
      <c r="B5130" s="16" t="str">
        <f>IFERROR(__xludf.DUMMYFUNCTION("""COMPUTED_VALUE"""),"Ivan David Pirela Pirela")</f>
        <v>Ivan David Pirela Pirela</v>
      </c>
      <c r="C5130" s="15" t="str">
        <f>IFERROR(__xludf.DUMMYFUNCTION("""COMPUTED_VALUE"""),"FLORIDABLANCA")</f>
        <v>FLORIDABLANCA</v>
      </c>
      <c r="D5130" s="15" t="str">
        <f>IFERROR(__xludf.DUMMYFUNCTION("""COMPUTED_VALUE"""),"BOGOTÁ")</f>
        <v>BOGOTÁ</v>
      </c>
      <c r="E5130" s="15" t="str">
        <f>IFERROR(__xludf.DUMMYFUNCTION("""COMPUTED_VALUE"""),"Evamazzita")</f>
        <v>Evamazzita</v>
      </c>
      <c r="F5130" s="17" t="str">
        <f>IFERROR(__xludf.DUMMYFUNCTION("""COMPUTED_VALUE"""),"Transversal 25No  1-92 / Torre 1  apto 305 / Colina Ruitoque Floridablanca")</f>
        <v>Transversal 25No  1-92 / Torre 1  apto 305 / Colina Ruitoque Floridablanca</v>
      </c>
      <c r="G5130" s="15" t="str">
        <f>IFERROR(__xludf.DUMMYFUNCTION("""COMPUTED_VALUE"""),"LILIANA VELASQUEZ TORRES")</f>
        <v>LILIANA VELASQUEZ TORRES</v>
      </c>
      <c r="H5130" s="16">
        <f>IFERROR(__xludf.DUMMYFUNCTION("""COMPUTED_VALUE"""),13846.0)</f>
        <v>13846</v>
      </c>
      <c r="I5130" s="18">
        <f>IFERROR(__xludf.DUMMYFUNCTION("""COMPUTED_VALUE"""),1.0)</f>
        <v>1</v>
      </c>
      <c r="J5130" s="18">
        <f>IFERROR(__xludf.DUMMYFUNCTION("""COMPUTED_VALUE"""),1.0)</f>
        <v>1</v>
      </c>
      <c r="K5130" s="18">
        <f>IFERROR(__xludf.DUMMYFUNCTION("""COMPUTED_VALUE"""),1.0)</f>
        <v>1</v>
      </c>
      <c r="L5130" s="17">
        <f>IFERROR(__xludf.DUMMYFUNCTION("""COMPUTED_VALUE"""),3.002651032E9)</f>
        <v>3002651032</v>
      </c>
      <c r="M5130" s="17" t="str">
        <f>IFERROR(__xludf.DUMMYFUNCTION("""COMPUTED_VALUE"""),"#REF!")</f>
        <v>#REF!</v>
      </c>
      <c r="N5130" s="17"/>
      <c r="O5130" s="17"/>
      <c r="P5130" s="17" t="b">
        <f>IFERROR(__xludf.DUMMYFUNCTION("""COMPUTED_VALUE"""),FALSE)</f>
        <v>0</v>
      </c>
      <c r="Q5130" s="20" t="str">
        <f>IFERROR(__xludf.DUMMYFUNCTION("""COMPUTED_VALUE"""),"")</f>
        <v/>
      </c>
      <c r="R5130" s="21" t="str">
        <f>IFERROR(__xludf.DUMMYFUNCTION("""COMPUTED_VALUE"""),"https://drive.google.com/file/d/1kl46zTNoiBTcuLPow9Hr-zG5X3DYp6qQ/view?usp=drivesdk")</f>
        <v>https://drive.google.com/file/d/1kl46zTNoiBTcuLPow9Hr-zG5X3DYp6qQ/view?usp=drivesdk</v>
      </c>
    </row>
    <row r="5131">
      <c r="A5131" s="15">
        <f>IFERROR(__xludf.DUMMYFUNCTION("""COMPUTED_VALUE"""),45149.0)</f>
        <v>45149</v>
      </c>
      <c r="B5131" s="16" t="str">
        <f>IFERROR(__xludf.DUMMYFUNCTION("""COMPUTED_VALUE"""),"Ivan David Pirela Pirela")</f>
        <v>Ivan David Pirela Pirela</v>
      </c>
      <c r="C5131" s="15" t="str">
        <f>IFERROR(__xludf.DUMMYFUNCTION("""COMPUTED_VALUE"""),"FLORIDABLANCA")</f>
        <v>FLORIDABLANCA</v>
      </c>
      <c r="D5131" s="15" t="str">
        <f>IFERROR(__xludf.DUMMYFUNCTION("""COMPUTED_VALUE"""),"BOGOTÁ")</f>
        <v>BOGOTÁ</v>
      </c>
      <c r="E5131" s="15" t="str">
        <f>IFERROR(__xludf.DUMMYFUNCTION("""COMPUTED_VALUE"""),"Evamazzita")</f>
        <v>Evamazzita</v>
      </c>
      <c r="F5131" s="17" t="str">
        <f>IFERROR(__xludf.DUMMYFUNCTION("""COMPUTED_VALUE"""),"VIA 33 No. 96-01  / PORTERIA 1 CASA 16A CONJUNTO PARAGÜITAS / CONJUNTO PARAGÜITAS")</f>
        <v>VIA 33 No. 96-01  / PORTERIA 1 CASA 16A CONJUNTO PARAGÜITAS / CONJUNTO PARAGÜITAS</v>
      </c>
      <c r="G5131" s="15" t="str">
        <f>IFERROR(__xludf.DUMMYFUNCTION("""COMPUTED_VALUE"""),"INES ANDREA AGUILAR ALDANA")</f>
        <v>INES ANDREA AGUILAR ALDANA</v>
      </c>
      <c r="H5131" s="16">
        <f>IFERROR(__xludf.DUMMYFUNCTION("""COMPUTED_VALUE"""),13843.0)</f>
        <v>13843</v>
      </c>
      <c r="I5131" s="18">
        <f>IFERROR(__xludf.DUMMYFUNCTION("""COMPUTED_VALUE"""),1.0)</f>
        <v>1</v>
      </c>
      <c r="J5131" s="18">
        <f>IFERROR(__xludf.DUMMYFUNCTION("""COMPUTED_VALUE"""),1.0)</f>
        <v>1</v>
      </c>
      <c r="K5131" s="18">
        <f>IFERROR(__xludf.DUMMYFUNCTION("""COMPUTED_VALUE"""),1.0)</f>
        <v>1</v>
      </c>
      <c r="L5131" s="17">
        <f>IFERROR(__xludf.DUMMYFUNCTION("""COMPUTED_VALUE"""),3.214522496E9)</f>
        <v>3214522496</v>
      </c>
      <c r="M5131" s="17" t="str">
        <f>IFERROR(__xludf.DUMMYFUNCTION("""COMPUTED_VALUE"""),"#REF!")</f>
        <v>#REF!</v>
      </c>
      <c r="N5131" s="17"/>
      <c r="O5131" s="17"/>
      <c r="P5131" s="17" t="b">
        <f>IFERROR(__xludf.DUMMYFUNCTION("""COMPUTED_VALUE"""),FALSE)</f>
        <v>0</v>
      </c>
      <c r="Q5131" s="20" t="str">
        <f>IFERROR(__xludf.DUMMYFUNCTION("""COMPUTED_VALUE"""),"")</f>
        <v/>
      </c>
      <c r="R5131" s="21" t="str">
        <f>IFERROR(__xludf.DUMMYFUNCTION("""COMPUTED_VALUE"""),"https://drive.google.com/file/d/1gmk5c3VFdsP418eLsBCCuyCDSCbZ3alZ/view?usp=drivesdk")</f>
        <v>https://drive.google.com/file/d/1gmk5c3VFdsP418eLsBCCuyCDSCbZ3alZ/view?usp=drivesdk</v>
      </c>
    </row>
    <row r="5132">
      <c r="A5132" s="15">
        <f>IFERROR(__xludf.DUMMYFUNCTION("""COMPUTED_VALUE"""),45149.0)</f>
        <v>45149</v>
      </c>
      <c r="B5132" s="16" t="str">
        <f>IFERROR(__xludf.DUMMYFUNCTION("""COMPUTED_VALUE"""),"Ivan David Pirela Pirela")</f>
        <v>Ivan David Pirela Pirela</v>
      </c>
      <c r="C5132" s="15" t="str">
        <f>IFERROR(__xludf.DUMMYFUNCTION("""COMPUTED_VALUE"""),"PEREIRA")</f>
        <v>PEREIRA</v>
      </c>
      <c r="D5132" s="15" t="str">
        <f>IFERROR(__xludf.DUMMYFUNCTION("""COMPUTED_VALUE"""),"BOGOTÁ")</f>
        <v>BOGOTÁ</v>
      </c>
      <c r="E5132" s="15" t="str">
        <f>IFERROR(__xludf.DUMMYFUNCTION("""COMPUTED_VALUE"""),"Athenas")</f>
        <v>Athenas</v>
      </c>
      <c r="F5132" s="17" t="str">
        <f>IFERROR(__xludf.DUMMYFUNCTION("""COMPUTED_VALUE"""),"Carrera 13  #12b 25 / Edificio uniplex bodytech cafeteria / Pereira")</f>
        <v>Carrera 13  #12b 25 / Edificio uniplex bodytech cafeteria / Pereira</v>
      </c>
      <c r="G5132" s="15" t="str">
        <f>IFERROR(__xludf.DUMMYFUNCTION("""COMPUTED_VALUE"""),"Adriana castro")</f>
        <v>Adriana castro</v>
      </c>
      <c r="H5132" s="16">
        <f>IFERROR(__xludf.DUMMYFUNCTION("""COMPUTED_VALUE"""),13802.0)</f>
        <v>13802</v>
      </c>
      <c r="I5132" s="18">
        <f>IFERROR(__xludf.DUMMYFUNCTION("""COMPUTED_VALUE"""),55.0)</f>
        <v>55</v>
      </c>
      <c r="J5132" s="18">
        <f>IFERROR(__xludf.DUMMYFUNCTION("""COMPUTED_VALUE"""),45.0)</f>
        <v>45</v>
      </c>
      <c r="K5132" s="18">
        <f>IFERROR(__xludf.DUMMYFUNCTION("""COMPUTED_VALUE"""),29.0)</f>
        <v>29</v>
      </c>
      <c r="L5132" s="17">
        <f>IFERROR(__xludf.DUMMYFUNCTION("""COMPUTED_VALUE"""),3.104011367E9)</f>
        <v>3104011367</v>
      </c>
      <c r="M5132" s="17" t="str">
        <f>IFERROR(__xludf.DUMMYFUNCTION("""COMPUTED_VALUE"""),"#REF!")</f>
        <v>#REF!</v>
      </c>
      <c r="N5132" s="17"/>
      <c r="O5132" s="17"/>
      <c r="P5132" s="17" t="b">
        <f>IFERROR(__xludf.DUMMYFUNCTION("""COMPUTED_VALUE"""),TRUE)</f>
        <v>1</v>
      </c>
      <c r="Q5132" s="20">
        <f>IFERROR(__xludf.DUMMYFUNCTION("""COMPUTED_VALUE"""),45152.38862373843)</f>
        <v>45152.38862</v>
      </c>
      <c r="R5132" s="22" t="str">
        <f>IFERROR(__xludf.DUMMYFUNCTION("""COMPUTED_VALUE"""),"")</f>
        <v/>
      </c>
    </row>
    <row r="5133">
      <c r="A5133" s="17" t="str">
        <f>IFERROR(__xludf.DUMMYFUNCTION("""COMPUTED_VALUE"""),"")</f>
        <v/>
      </c>
      <c r="B5133" s="17" t="str">
        <f>IFERROR(__xludf.DUMMYFUNCTION("""COMPUTED_VALUE"""),"")</f>
        <v/>
      </c>
      <c r="C5133" s="17" t="str">
        <f>IFERROR(__xludf.DUMMYFUNCTION("""COMPUTED_VALUE"""),"")</f>
        <v/>
      </c>
      <c r="D5133" s="17" t="str">
        <f>IFERROR(__xludf.DUMMYFUNCTION("""COMPUTED_VALUE"""),"")</f>
        <v/>
      </c>
      <c r="E5133" s="17" t="str">
        <f>IFERROR(__xludf.DUMMYFUNCTION("""COMPUTED_VALUE"""),"")</f>
        <v/>
      </c>
      <c r="F5133" s="17" t="str">
        <f>IFERROR(__xludf.DUMMYFUNCTION("""COMPUTED_VALUE"""),"")</f>
        <v/>
      </c>
      <c r="G5133" s="17" t="str">
        <f>IFERROR(__xludf.DUMMYFUNCTION("""COMPUTED_VALUE"""),"")</f>
        <v/>
      </c>
      <c r="H5133" s="17" t="str">
        <f>IFERROR(__xludf.DUMMYFUNCTION("""COMPUTED_VALUE"""),"")</f>
        <v/>
      </c>
      <c r="I5133" s="17" t="str">
        <f>IFERROR(__xludf.DUMMYFUNCTION("""COMPUTED_VALUE"""),"")</f>
        <v/>
      </c>
      <c r="J5133" s="17" t="str">
        <f>IFERROR(__xludf.DUMMYFUNCTION("""COMPUTED_VALUE"""),"")</f>
        <v/>
      </c>
      <c r="K5133" s="17" t="str">
        <f>IFERROR(__xludf.DUMMYFUNCTION("""COMPUTED_VALUE"""),"")</f>
        <v/>
      </c>
      <c r="L5133" s="17" t="str">
        <f>IFERROR(__xludf.DUMMYFUNCTION("""COMPUTED_VALUE"""),"")</f>
        <v/>
      </c>
      <c r="M5133" s="17" t="str">
        <f>IFERROR(__xludf.DUMMYFUNCTION("""COMPUTED_VALUE"""),"")</f>
        <v/>
      </c>
      <c r="N5133" s="17" t="str">
        <f>IFERROR(__xludf.DUMMYFUNCTION("""COMPUTED_VALUE"""),"")</f>
        <v/>
      </c>
      <c r="O5133" s="17" t="str">
        <f>IFERROR(__xludf.DUMMYFUNCTION("""COMPUTED_VALUE"""),"")</f>
        <v/>
      </c>
      <c r="P5133" s="17" t="str">
        <f>IFERROR(__xludf.DUMMYFUNCTION("""COMPUTED_VALUE"""),"")</f>
        <v/>
      </c>
      <c r="Q5133" s="17" t="str">
        <f>IFERROR(__xludf.DUMMYFUNCTION("""COMPUTED_VALUE"""),"")</f>
        <v/>
      </c>
      <c r="R5133" s="17" t="str">
        <f>IFERROR(__xludf.DUMMYFUNCTION("""COMPUTED_VALUE"""),"")</f>
        <v/>
      </c>
    </row>
    <row r="5134">
      <c r="A5134" s="15">
        <f>IFERROR(__xludf.DUMMYFUNCTION("""COMPUTED_VALUE"""),45149.0)</f>
        <v>45149</v>
      </c>
      <c r="B5134" s="16" t="str">
        <f>IFERROR(__xludf.DUMMYFUNCTION("""COMPUTED_VALUE"""),"Jeison Rubiano")</f>
        <v>Jeison Rubiano</v>
      </c>
      <c r="C5134" s="15" t="str">
        <f>IFERROR(__xludf.DUMMYFUNCTION("""COMPUTED_VALUE"""),"BOGOTÁ")</f>
        <v>BOGOTÁ</v>
      </c>
      <c r="D5134" s="15" t="str">
        <f>IFERROR(__xludf.DUMMYFUNCTION("""COMPUTED_VALUE"""),"BUCARAMANGA")</f>
        <v>BUCARAMANGA</v>
      </c>
      <c r="E5134" s="15" t="str">
        <f>IFERROR(__xludf.DUMMYFUNCTION("""COMPUTED_VALUE"""),"Yo Como Solito")</f>
        <v>Yo Como Solito</v>
      </c>
      <c r="F5134" s="17" t="str">
        <f>IFERROR(__xludf.DUMMYFUNCTION("""COMPUTED_VALUE"""),"DIAGONAL 77B NO. 116B-42 INTERIOR 1 TORRE 3 APTO 501 BARRIO GRAN GRANADA, CONJUUNTO GRANADA CLUB RESIDENCIAL / DIAGONAL 77B NO. 116B-42 INTERIOR 1 TORRE 3 APTO 501 BARRIO GRAN GRANADA, CONJUUNTO GRANADA CLUB RESIDENCIAL / DIAGONAL 77B NO. 116B-42 INTERIOR"&amp;" 1 TORRE 3 APTO 501 BARRIO GRAN GRANADA, CONJUUNTO GRANADA CLUB RESIDENCIAL")</f>
        <v>DIAGONAL 77B NO. 116B-42 INTERIOR 1 TORRE 3 APTO 501 BARRIO GRAN GRANADA, CONJUUNTO GRANADA CLUB RESIDENCIAL / DIAGONAL 77B NO. 116B-42 INTERIOR 1 TORRE 3 APTO 501 BARRIO GRAN GRANADA, CONJUUNTO GRANADA CLUB RESIDENCIAL / DIAGONAL 77B NO. 116B-42 INTERIOR 1 TORRE 3 APTO 501 BARRIO GRAN GRANADA, CONJUUNTO GRANADA CLUB RESIDENCIAL</v>
      </c>
      <c r="G5134" s="15" t="str">
        <f>IFERROR(__xludf.DUMMYFUNCTION("""COMPUTED_VALUE"""),"PILAR ANDREA LOPEZ GUTIERREZ")</f>
        <v>PILAR ANDREA LOPEZ GUTIERREZ</v>
      </c>
      <c r="H5134" s="16">
        <f>IFERROR(__xludf.DUMMYFUNCTION("""COMPUTED_VALUE"""),13868.0)</f>
        <v>13868</v>
      </c>
      <c r="I5134" s="18">
        <f>IFERROR(__xludf.DUMMYFUNCTION("""COMPUTED_VALUE"""),12.0)</f>
        <v>12</v>
      </c>
      <c r="J5134" s="18">
        <f>IFERROR(__xludf.DUMMYFUNCTION("""COMPUTED_VALUE"""),23.0)</f>
        <v>23</v>
      </c>
      <c r="K5134" s="18">
        <f>IFERROR(__xludf.DUMMYFUNCTION("""COMPUTED_VALUE"""),30.0)</f>
        <v>30</v>
      </c>
      <c r="L5134" s="17">
        <f>IFERROR(__xludf.DUMMYFUNCTION("""COMPUTED_VALUE"""),3.104881486E9)</f>
        <v>3104881486</v>
      </c>
      <c r="M5134" s="17" t="str">
        <f>IFERROR(__xludf.DUMMYFUNCTION("""COMPUTED_VALUE"""),"#REF!")</f>
        <v>#REF!</v>
      </c>
      <c r="N5134" s="17"/>
      <c r="O5134" s="17"/>
      <c r="P5134" s="17" t="b">
        <f>IFERROR(__xludf.DUMMYFUNCTION("""COMPUTED_VALUE"""),FALSE)</f>
        <v>0</v>
      </c>
      <c r="Q5134" s="20" t="str">
        <f>IFERROR(__xludf.DUMMYFUNCTION("""COMPUTED_VALUE"""),"")</f>
        <v/>
      </c>
      <c r="R5134" s="21" t="str">
        <f>IFERROR(__xludf.DUMMYFUNCTION("""COMPUTED_VALUE"""),"https://drive.google.com/file/d/1Evcu6v5oiy1LSC4t6MUQ2BGNEMcYbbO5/view?usp=drivesdk")</f>
        <v>https://drive.google.com/file/d/1Evcu6v5oiy1LSC4t6MUQ2BGNEMcYbbO5/view?usp=drivesdk</v>
      </c>
    </row>
    <row r="5135">
      <c r="A5135" s="15">
        <f>IFERROR(__xludf.DUMMYFUNCTION("""COMPUTED_VALUE"""),45149.0)</f>
        <v>45149</v>
      </c>
      <c r="B5135" s="16" t="str">
        <f>IFERROR(__xludf.DUMMYFUNCTION("""COMPUTED_VALUE"""),"Jeison Rubiano")</f>
        <v>Jeison Rubiano</v>
      </c>
      <c r="C5135" s="15" t="str">
        <f>IFERROR(__xludf.DUMMYFUNCTION("""COMPUTED_VALUE"""),"BOGOTÁ")</f>
        <v>BOGOTÁ</v>
      </c>
      <c r="D5135" s="15" t="str">
        <f>IFERROR(__xludf.DUMMYFUNCTION("""COMPUTED_VALUE"""),"MEDELLÍN")</f>
        <v>MEDELLÍN</v>
      </c>
      <c r="E5135" s="15" t="str">
        <f>IFERROR(__xludf.DUMMYFUNCTION("""COMPUTED_VALUE"""),"AREPAS LA MARY")</f>
        <v>AREPAS LA MARY</v>
      </c>
      <c r="F5135" s="17" t="str">
        <f>IFERROR(__xludf.DUMMYFUNCTION("""COMPUTED_VALUE"""),"Calle 72Abis #1A-03 este / BOGOTA")</f>
        <v>Calle 72Abis #1A-03 este / BOGOTA</v>
      </c>
      <c r="G5135" s="15" t="str">
        <f>IFERROR(__xludf.DUMMYFUNCTION("""COMPUTED_VALUE"""),"NATALIA CHAVEZ")</f>
        <v>NATALIA CHAVEZ</v>
      </c>
      <c r="H5135" s="16">
        <f>IFERROR(__xludf.DUMMYFUNCTION("""COMPUTED_VALUE"""),13874.0)</f>
        <v>13874</v>
      </c>
      <c r="I5135" s="18">
        <f>IFERROR(__xludf.DUMMYFUNCTION("""COMPUTED_VALUE"""),89.0)</f>
        <v>89</v>
      </c>
      <c r="J5135" s="18">
        <f>IFERROR(__xludf.DUMMYFUNCTION("""COMPUTED_VALUE"""),1.0)</f>
        <v>1</v>
      </c>
      <c r="K5135" s="18">
        <f>IFERROR(__xludf.DUMMYFUNCTION("""COMPUTED_VALUE"""),10.0)</f>
        <v>10</v>
      </c>
      <c r="L5135" s="17">
        <f>IFERROR(__xludf.DUMMYFUNCTION("""COMPUTED_VALUE"""),3.174293122E9)</f>
        <v>3174293122</v>
      </c>
      <c r="M5135" s="17" t="str">
        <f>IFERROR(__xludf.DUMMYFUNCTION("""COMPUTED_VALUE"""),"#REF!")</f>
        <v>#REF!</v>
      </c>
      <c r="N5135" s="17"/>
      <c r="O5135" s="17"/>
      <c r="P5135" s="17" t="b">
        <f>IFERROR(__xludf.DUMMYFUNCTION("""COMPUTED_VALUE"""),FALSE)</f>
        <v>0</v>
      </c>
      <c r="Q5135" s="20" t="str">
        <f>IFERROR(__xludf.DUMMYFUNCTION("""COMPUTED_VALUE"""),"")</f>
        <v/>
      </c>
      <c r="R5135" s="22" t="str">
        <f>IFERROR(__xludf.DUMMYFUNCTION("""COMPUTED_VALUE"""),"")</f>
        <v/>
      </c>
    </row>
    <row r="5136">
      <c r="A5136" s="15">
        <f>IFERROR(__xludf.DUMMYFUNCTION("""COMPUTED_VALUE"""),45149.0)</f>
        <v>45149</v>
      </c>
      <c r="B5136" s="16" t="str">
        <f>IFERROR(__xludf.DUMMYFUNCTION("""COMPUTED_VALUE"""),"Jeison Rubiano")</f>
        <v>Jeison Rubiano</v>
      </c>
      <c r="C5136" s="15" t="str">
        <f>IFERROR(__xludf.DUMMYFUNCTION("""COMPUTED_VALUE"""),"BOGOTÁ")</f>
        <v>BOGOTÁ</v>
      </c>
      <c r="D5136" s="15" t="str">
        <f>IFERROR(__xludf.DUMMYFUNCTION("""COMPUTED_VALUE"""),"MEDELLÍN")</f>
        <v>MEDELLÍN</v>
      </c>
      <c r="E5136" s="15" t="str">
        <f>IFERROR(__xludf.DUMMYFUNCTION("""COMPUTED_VALUE"""),"AREPAS LA MARY")</f>
        <v>AREPAS LA MARY</v>
      </c>
      <c r="F5136" s="17" t="str">
        <f>IFERROR(__xludf.DUMMYFUNCTION("""COMPUTED_VALUE"""),"CRA 10 N.1A 50 LOCAL 22 / CC ASTURIAS")</f>
        <v>CRA 10 N.1A 50 LOCAL 22 / CC ASTURIAS</v>
      </c>
      <c r="G5136" s="15" t="str">
        <f>IFERROR(__xludf.DUMMYFUNCTION("""COMPUTED_VALUE"""),"VIVO MARKET CHIA")</f>
        <v>VIVO MARKET CHIA</v>
      </c>
      <c r="H5136" s="16">
        <f>IFERROR(__xludf.DUMMYFUNCTION("""COMPUTED_VALUE"""),13875.0)</f>
        <v>13875</v>
      </c>
      <c r="I5136" s="18">
        <f>IFERROR(__xludf.DUMMYFUNCTION("""COMPUTED_VALUE"""),89.0)</f>
        <v>89</v>
      </c>
      <c r="J5136" s="18">
        <f>IFERROR(__xludf.DUMMYFUNCTION("""COMPUTED_VALUE"""),1.0)</f>
        <v>1</v>
      </c>
      <c r="K5136" s="18">
        <f>IFERROR(__xludf.DUMMYFUNCTION("""COMPUTED_VALUE"""),10.0)</f>
        <v>10</v>
      </c>
      <c r="L5136" s="17">
        <f>IFERROR(__xludf.DUMMYFUNCTION("""COMPUTED_VALUE"""),3.145035171E9)</f>
        <v>3145035171</v>
      </c>
      <c r="M5136" s="17" t="str">
        <f>IFERROR(__xludf.DUMMYFUNCTION("""COMPUTED_VALUE"""),"#REF!")</f>
        <v>#REF!</v>
      </c>
      <c r="N5136" s="17"/>
      <c r="O5136" s="17"/>
      <c r="P5136" s="17" t="b">
        <f>IFERROR(__xludf.DUMMYFUNCTION("""COMPUTED_VALUE"""),FALSE)</f>
        <v>0</v>
      </c>
      <c r="Q5136" s="20" t="str">
        <f>IFERROR(__xludf.DUMMYFUNCTION("""COMPUTED_VALUE"""),"")</f>
        <v/>
      </c>
      <c r="R5136" s="21" t="str">
        <f>IFERROR(__xludf.DUMMYFUNCTION("""COMPUTED_VALUE"""),"https://drive.google.com/file/d/1F79UjCaEC4inbOrrEFLzauz_rnaAQxM0/view?usp=drivesdk")</f>
        <v>https://drive.google.com/file/d/1F79UjCaEC4inbOrrEFLzauz_rnaAQxM0/view?usp=drivesdk</v>
      </c>
    </row>
    <row r="5137">
      <c r="A5137" s="15">
        <f>IFERROR(__xludf.DUMMYFUNCTION("""COMPUTED_VALUE"""),45149.0)</f>
        <v>45149</v>
      </c>
      <c r="B5137" s="16" t="str">
        <f>IFERROR(__xludf.DUMMYFUNCTION("""COMPUTED_VALUE"""),"Jeison Rubiano")</f>
        <v>Jeison Rubiano</v>
      </c>
      <c r="C5137" s="15" t="str">
        <f>IFERROR(__xludf.DUMMYFUNCTION("""COMPUTED_VALUE"""),"BOGOTÁ")</f>
        <v>BOGOTÁ</v>
      </c>
      <c r="D5137" s="15" t="str">
        <f>IFERROR(__xludf.DUMMYFUNCTION("""COMPUTED_VALUE"""),"MEDELLÍN")</f>
        <v>MEDELLÍN</v>
      </c>
      <c r="E5137" s="15" t="str">
        <f>IFERROR(__xludf.DUMMYFUNCTION("""COMPUTED_VALUE"""),"AREPAS LA MARY")</f>
        <v>AREPAS LA MARY</v>
      </c>
      <c r="F5137" s="17" t="str">
        <f>IFERROR(__xludf.DUMMYFUNCTION("""COMPUTED_VALUE"""),"Kra 87 B 19 A 40 int 5 apto 601 / MILANO")</f>
        <v>Kra 87 B 19 A 40 int 5 apto 601 / MILANO</v>
      </c>
      <c r="G5137" s="15" t="str">
        <f>IFERROR(__xludf.DUMMYFUNCTION("""COMPUTED_VALUE"""),"LORENA ENCISO")</f>
        <v>LORENA ENCISO</v>
      </c>
      <c r="H5137" s="16">
        <f>IFERROR(__xludf.DUMMYFUNCTION("""COMPUTED_VALUE"""),13873.0)</f>
        <v>13873</v>
      </c>
      <c r="I5137" s="18">
        <f>IFERROR(__xludf.DUMMYFUNCTION("""COMPUTED_VALUE"""),89.0)</f>
        <v>89</v>
      </c>
      <c r="J5137" s="18">
        <f>IFERROR(__xludf.DUMMYFUNCTION("""COMPUTED_VALUE"""),1.0)</f>
        <v>1</v>
      </c>
      <c r="K5137" s="18">
        <f>IFERROR(__xludf.DUMMYFUNCTION("""COMPUTED_VALUE"""),10.0)</f>
        <v>10</v>
      </c>
      <c r="L5137" s="17">
        <f>IFERROR(__xludf.DUMMYFUNCTION("""COMPUTED_VALUE"""),3.115085518E9)</f>
        <v>3115085518</v>
      </c>
      <c r="M5137" s="17" t="str">
        <f>IFERROR(__xludf.DUMMYFUNCTION("""COMPUTED_VALUE"""),"#REF!")</f>
        <v>#REF!</v>
      </c>
      <c r="N5137" s="17"/>
      <c r="O5137" s="17"/>
      <c r="P5137" s="17" t="b">
        <f>IFERROR(__xludf.DUMMYFUNCTION("""COMPUTED_VALUE"""),FALSE)</f>
        <v>0</v>
      </c>
      <c r="Q5137" s="20" t="str">
        <f>IFERROR(__xludf.DUMMYFUNCTION("""COMPUTED_VALUE"""),"")</f>
        <v/>
      </c>
      <c r="R5137" s="21" t="str">
        <f>IFERROR(__xludf.DUMMYFUNCTION("""COMPUTED_VALUE"""),"https://drive.google.com/file/d/1Pur2LdEjMUPY55JE7HE3fH8waJIopKWP/view?usp=drivesdk")</f>
        <v>https://drive.google.com/file/d/1Pur2LdEjMUPY55JE7HE3fH8waJIopKWP/view?usp=drivesdk</v>
      </c>
    </row>
    <row r="5138">
      <c r="A5138" s="15">
        <f>IFERROR(__xludf.DUMMYFUNCTION("""COMPUTED_VALUE"""),45149.0)</f>
        <v>45149</v>
      </c>
      <c r="B5138" s="16" t="str">
        <f>IFERROR(__xludf.DUMMYFUNCTION("""COMPUTED_VALUE"""),"Jeison Rubiano")</f>
        <v>Jeison Rubiano</v>
      </c>
      <c r="C5138" s="15" t="str">
        <f>IFERROR(__xludf.DUMMYFUNCTION("""COMPUTED_VALUE"""),"BOGOTÁ")</f>
        <v>BOGOTÁ</v>
      </c>
      <c r="D5138" s="15" t="str">
        <f>IFERROR(__xludf.DUMMYFUNCTION("""COMPUTED_VALUE"""),"MEDELLÍN")</f>
        <v>MEDELLÍN</v>
      </c>
      <c r="E5138" s="15" t="str">
        <f>IFERROR(__xludf.DUMMYFUNCTION("""COMPUTED_VALUE"""),"Baby Chef")</f>
        <v>Baby Chef</v>
      </c>
      <c r="F5138" s="17" t="str">
        <f>IFERROR(__xludf.DUMMYFUNCTION("""COMPUTED_VALUE"""),"Cra 135 #15b-23 supermercado la esquina de la abundancia  Fontibon casandra  / Cra 135 #15b-23 supermercado la esquina de la abundancia  Fontibon casandra  / Cra 135 #15b-23 supermercado la esquina de la abundancia  Fontibon casandra")</f>
        <v>Cra 135 #15b-23 supermercado la esquina de la abundancia  Fontibon casandra  / Cra 135 #15b-23 supermercado la esquina de la abundancia  Fontibon casandra  / Cra 135 #15b-23 supermercado la esquina de la abundancia  Fontibon casandra</v>
      </c>
      <c r="G5138" s="15" t="str">
        <f>IFERROR(__xludf.DUMMYFUNCTION("""COMPUTED_VALUE"""),"Daniela Gómez")</f>
        <v>Daniela Gómez</v>
      </c>
      <c r="H5138" s="16">
        <f>IFERROR(__xludf.DUMMYFUNCTION("""COMPUTED_VALUE"""),13861.0)</f>
        <v>13861</v>
      </c>
      <c r="I5138" s="18">
        <f>IFERROR(__xludf.DUMMYFUNCTION("""COMPUTED_VALUE"""),8.0)</f>
        <v>8</v>
      </c>
      <c r="J5138" s="18">
        <f>IFERROR(__xludf.DUMMYFUNCTION("""COMPUTED_VALUE"""),34.0)</f>
        <v>34</v>
      </c>
      <c r="K5138" s="18">
        <f>IFERROR(__xludf.DUMMYFUNCTION("""COMPUTED_VALUE"""),20.0)</f>
        <v>20</v>
      </c>
      <c r="L5138" s="17">
        <f>IFERROR(__xludf.DUMMYFUNCTION("""COMPUTED_VALUE"""),3.165305554E9)</f>
        <v>3165305554</v>
      </c>
      <c r="M5138" s="17" t="str">
        <f>IFERROR(__xludf.DUMMYFUNCTION("""COMPUTED_VALUE"""),"#REF!")</f>
        <v>#REF!</v>
      </c>
      <c r="N5138" s="17"/>
      <c r="O5138" s="17"/>
      <c r="P5138" s="17" t="b">
        <f>IFERROR(__xludf.DUMMYFUNCTION("""COMPUTED_VALUE"""),TRUE)</f>
        <v>1</v>
      </c>
      <c r="Q5138" s="20">
        <f>IFERROR(__xludf.DUMMYFUNCTION("""COMPUTED_VALUE"""),45149.44743905093)</f>
        <v>45149.44744</v>
      </c>
      <c r="R5138" s="21" t="str">
        <f>IFERROR(__xludf.DUMMYFUNCTION("""COMPUTED_VALUE"""),"https://drive.google.com/file/d/1izgXhvF9hAiH7Z9-ErWepUVxEFCSxK8h/view?usp=drivesdk")</f>
        <v>https://drive.google.com/file/d/1izgXhvF9hAiH7Z9-ErWepUVxEFCSxK8h/view?usp=drivesdk</v>
      </c>
    </row>
    <row r="5139">
      <c r="A5139" s="15">
        <f>IFERROR(__xludf.DUMMYFUNCTION("""COMPUTED_VALUE"""),45149.0)</f>
        <v>45149</v>
      </c>
      <c r="B5139" s="16" t="str">
        <f>IFERROR(__xludf.DUMMYFUNCTION("""COMPUTED_VALUE"""),"Jeison Rubiano")</f>
        <v>Jeison Rubiano</v>
      </c>
      <c r="C5139" s="15" t="str">
        <f>IFERROR(__xludf.DUMMYFUNCTION("""COMPUTED_VALUE"""),"BOGOTÁ")</f>
        <v>BOGOTÁ</v>
      </c>
      <c r="D5139" s="15" t="str">
        <f>IFERROR(__xludf.DUMMYFUNCTION("""COMPUTED_VALUE"""),"MEDELLÍN")</f>
        <v>MEDELLÍN</v>
      </c>
      <c r="E5139" s="15" t="str">
        <f>IFERROR(__xludf.DUMMYFUNCTION("""COMPUTED_VALUE"""),"Lácteos El Pino SAS")</f>
        <v>Lácteos El Pino SAS</v>
      </c>
      <c r="F5139" s="17" t="str">
        <f>IFERROR(__xludf.DUMMYFUNCTION("""COMPUTED_VALUE"""),"CALLE 24A #57-60 / RECIBO EN ZONA DE CARGA POR EL DEPRIMIDO- COMPRAS")</f>
        <v>CALLE 24A #57-60 / RECIBO EN ZONA DE CARGA POR EL DEPRIMIDO- COMPRAS</v>
      </c>
      <c r="G5139" s="15" t="str">
        <f>IFERROR(__xludf.DUMMYFUNCTION("""COMPUTED_VALUE"""),"HOTEL GRAND HYATT BOGOTA")</f>
        <v>HOTEL GRAND HYATT BOGOTA</v>
      </c>
      <c r="H5139" s="16">
        <f>IFERROR(__xludf.DUMMYFUNCTION("""COMPUTED_VALUE"""),13872.0)</f>
        <v>13872</v>
      </c>
      <c r="I5139" s="18" t="str">
        <f>IFERROR(__xludf.DUMMYFUNCTION("""COMPUTED_VALUE"""),"52.5")</f>
        <v>52.5</v>
      </c>
      <c r="J5139" s="18">
        <f>IFERROR(__xludf.DUMMYFUNCTION("""COMPUTED_VALUE"""),45.0)</f>
        <v>45</v>
      </c>
      <c r="K5139" s="18">
        <f>IFERROR(__xludf.DUMMYFUNCTION("""COMPUTED_VALUE"""),55.0)</f>
        <v>55</v>
      </c>
      <c r="L5139" s="17">
        <f>IFERROR(__xludf.DUMMYFUNCTION("""COMPUTED_VALUE"""),3.203093705E9)</f>
        <v>3203093705</v>
      </c>
      <c r="M5139" s="17" t="str">
        <f>IFERROR(__xludf.DUMMYFUNCTION("""COMPUTED_VALUE"""),"#REF!")</f>
        <v>#REF!</v>
      </c>
      <c r="N5139" s="17"/>
      <c r="O5139" s="17"/>
      <c r="P5139" s="17" t="b">
        <f>IFERROR(__xludf.DUMMYFUNCTION("""COMPUTED_VALUE"""),FALSE)</f>
        <v>0</v>
      </c>
      <c r="Q5139" s="20" t="str">
        <f>IFERROR(__xludf.DUMMYFUNCTION("""COMPUTED_VALUE"""),"")</f>
        <v/>
      </c>
      <c r="R5139" s="22" t="str">
        <f>IFERROR(__xludf.DUMMYFUNCTION("""COMPUTED_VALUE"""),"")</f>
        <v/>
      </c>
    </row>
    <row r="5140">
      <c r="A5140" s="15">
        <f>IFERROR(__xludf.DUMMYFUNCTION("""COMPUTED_VALUE"""),45149.0)</f>
        <v>45149</v>
      </c>
      <c r="B5140" s="16" t="str">
        <f>IFERROR(__xludf.DUMMYFUNCTION("""COMPUTED_VALUE"""),"Jeison Rubiano")</f>
        <v>Jeison Rubiano</v>
      </c>
      <c r="C5140" s="15" t="str">
        <f>IFERROR(__xludf.DUMMYFUNCTION("""COMPUTED_VALUE"""),"BOGOTÁ")</f>
        <v>BOGOTÁ</v>
      </c>
      <c r="D5140" s="15" t="str">
        <f>IFERROR(__xludf.DUMMYFUNCTION("""COMPUTED_VALUE"""),"MEDELLÍN")</f>
        <v>MEDELLÍN</v>
      </c>
      <c r="E5140" s="15" t="str">
        <f>IFERROR(__xludf.DUMMYFUNCTION("""COMPUTED_VALUE"""),"Magda")</f>
        <v>Magda</v>
      </c>
      <c r="F5140" s="17" t="str">
        <f>IFERROR(__xludf.DUMMYFUNCTION("""COMPUTED_VALUE"""),"cra16a#77-23 / Bodega dando cuerda  local #4 / ssss")</f>
        <v>cra16a#77-23 / Bodega dando cuerda  local #4 / ssss</v>
      </c>
      <c r="G5140" s="15" t="str">
        <f>IFERROR(__xludf.DUMMYFUNCTION("""COMPUTED_VALUE"""),"Carlos perez")</f>
        <v>Carlos perez</v>
      </c>
      <c r="H5140" s="16">
        <f>IFERROR(__xludf.DUMMYFUNCTION("""COMPUTED_VALUE"""),13822.0)</f>
        <v>13822</v>
      </c>
      <c r="I5140" s="18">
        <f>IFERROR(__xludf.DUMMYFUNCTION("""COMPUTED_VALUE"""),5.0)</f>
        <v>5</v>
      </c>
      <c r="J5140" s="18">
        <f>IFERROR(__xludf.DUMMYFUNCTION("""COMPUTED_VALUE"""),5.0)</f>
        <v>5</v>
      </c>
      <c r="K5140" s="18">
        <f>IFERROR(__xludf.DUMMYFUNCTION("""COMPUTED_VALUE"""),5.0)</f>
        <v>5</v>
      </c>
      <c r="L5140" s="17">
        <f>IFERROR(__xludf.DUMMYFUNCTION("""COMPUTED_VALUE"""),3.163816691E9)</f>
        <v>3163816691</v>
      </c>
      <c r="M5140" s="17" t="str">
        <f>IFERROR(__xludf.DUMMYFUNCTION("""COMPUTED_VALUE"""),"#REF!")</f>
        <v>#REF!</v>
      </c>
      <c r="N5140" s="17"/>
      <c r="O5140" s="17"/>
      <c r="P5140" s="17" t="b">
        <f>IFERROR(__xludf.DUMMYFUNCTION("""COMPUTED_VALUE"""),FALSE)</f>
        <v>0</v>
      </c>
      <c r="Q5140" s="20" t="str">
        <f>IFERROR(__xludf.DUMMYFUNCTION("""COMPUTED_VALUE"""),"")</f>
        <v/>
      </c>
      <c r="R5140" s="22" t="str">
        <f>IFERROR(__xludf.DUMMYFUNCTION("""COMPUTED_VALUE"""),"")</f>
        <v/>
      </c>
    </row>
    <row r="5141">
      <c r="A5141" s="15">
        <f>IFERROR(__xludf.DUMMYFUNCTION("""COMPUTED_VALUE"""),45149.0)</f>
        <v>45149</v>
      </c>
      <c r="B5141" s="16" t="str">
        <f>IFERROR(__xludf.DUMMYFUNCTION("""COMPUTED_VALUE"""),"Jeison Rubiano")</f>
        <v>Jeison Rubiano</v>
      </c>
      <c r="C5141" s="15" t="str">
        <f>IFERROR(__xludf.DUMMYFUNCTION("""COMPUTED_VALUE"""),"BOGOTÁ")</f>
        <v>BOGOTÁ</v>
      </c>
      <c r="D5141" s="15" t="str">
        <f>IFERROR(__xludf.DUMMYFUNCTION("""COMPUTED_VALUE"""),"MEDELLÍN")</f>
        <v>MEDELLÍN</v>
      </c>
      <c r="E5141" s="15" t="str">
        <f>IFERROR(__xludf.DUMMYFUNCTION("""COMPUTED_VALUE"""),"Moloso S.A.S")</f>
        <v>Moloso S.A.S</v>
      </c>
      <c r="F5141" s="17" t="str">
        <f>IFERROR(__xludf.DUMMYFUNCTION("""COMPUTED_VALUE"""),"CR 27 47A 65 ED ARK01 AP 1007 / ED ARK01 AP 1007")</f>
        <v>CR 27 47A 65 ED ARK01 AP 1007 / ED ARK01 AP 1007</v>
      </c>
      <c r="G5141" s="15" t="str">
        <f>IFERROR(__xludf.DUMMYFUNCTION("""COMPUTED_VALUE"""),"GINA MARCELA HINCAPIE")</f>
        <v>GINA MARCELA HINCAPIE</v>
      </c>
      <c r="H5141" s="16">
        <f>IFERROR(__xludf.DUMMYFUNCTION("""COMPUTED_VALUE"""),13880.0)</f>
        <v>13880</v>
      </c>
      <c r="I5141" s="18">
        <f>IFERROR(__xludf.DUMMYFUNCTION("""COMPUTED_VALUE"""),17.0)</f>
        <v>17</v>
      </c>
      <c r="J5141" s="18">
        <f>IFERROR(__xludf.DUMMYFUNCTION("""COMPUTED_VALUE"""),15.0)</f>
        <v>15</v>
      </c>
      <c r="K5141" s="18">
        <f>IFERROR(__xludf.DUMMYFUNCTION("""COMPUTED_VALUE"""),28.0)</f>
        <v>28</v>
      </c>
      <c r="L5141" s="17">
        <f>IFERROR(__xludf.DUMMYFUNCTION("""COMPUTED_VALUE"""),3.164832746E9)</f>
        <v>3164832746</v>
      </c>
      <c r="M5141" s="17" t="str">
        <f>IFERROR(__xludf.DUMMYFUNCTION("""COMPUTED_VALUE"""),"#REF!")</f>
        <v>#REF!</v>
      </c>
      <c r="N5141" s="17"/>
      <c r="O5141" s="17"/>
      <c r="P5141" s="17" t="b">
        <f>IFERROR(__xludf.DUMMYFUNCTION("""COMPUTED_VALUE"""),FALSE)</f>
        <v>0</v>
      </c>
      <c r="Q5141" s="20" t="str">
        <f>IFERROR(__xludf.DUMMYFUNCTION("""COMPUTED_VALUE"""),"")</f>
        <v/>
      </c>
      <c r="R5141" s="22" t="str">
        <f>IFERROR(__xludf.DUMMYFUNCTION("""COMPUTED_VALUE"""),"")</f>
        <v/>
      </c>
    </row>
    <row r="5142">
      <c r="A5142" s="15">
        <f>IFERROR(__xludf.DUMMYFUNCTION("""COMPUTED_VALUE"""),45149.0)</f>
        <v>45149</v>
      </c>
      <c r="B5142" s="16" t="str">
        <f>IFERROR(__xludf.DUMMYFUNCTION("""COMPUTED_VALUE"""),"Jeison Rubiano")</f>
        <v>Jeison Rubiano</v>
      </c>
      <c r="C5142" s="15" t="str">
        <f>IFERROR(__xludf.DUMMYFUNCTION("""COMPUTED_VALUE"""),"BOGOTÁ")</f>
        <v>BOGOTÁ</v>
      </c>
      <c r="D5142" s="15" t="str">
        <f>IFERROR(__xludf.DUMMYFUNCTION("""COMPUTED_VALUE"""),"MEDELLÍN")</f>
        <v>MEDELLÍN</v>
      </c>
      <c r="E5142" s="15" t="str">
        <f>IFERROR(__xludf.DUMMYFUNCTION("""COMPUTED_VALUE"""),"Puro Verde")</f>
        <v>Puro Verde</v>
      </c>
      <c r="F5142" s="17" t="str">
        <f>IFERROR(__xludf.DUMMYFUNCTION("""COMPUTED_VALUE"""),"CRA 16A # 77-23 / LOCAL 4 / BARRIO EL LAGO")</f>
        <v>CRA 16A # 77-23 / LOCAL 4 / BARRIO EL LAGO</v>
      </c>
      <c r="G5142" s="15" t="str">
        <f>IFERROR(__xludf.DUMMYFUNCTION("""COMPUTED_VALUE"""),"DANDO CUERDA")</f>
        <v>DANDO CUERDA</v>
      </c>
      <c r="H5142" s="16">
        <f>IFERROR(__xludf.DUMMYFUNCTION("""COMPUTED_VALUE"""),13859.0)</f>
        <v>13859</v>
      </c>
      <c r="I5142" s="18">
        <f>IFERROR(__xludf.DUMMYFUNCTION("""COMPUTED_VALUE"""),55.0)</f>
        <v>55</v>
      </c>
      <c r="J5142" s="18">
        <f>IFERROR(__xludf.DUMMYFUNCTION("""COMPUTED_VALUE"""),45.0)</f>
        <v>45</v>
      </c>
      <c r="K5142" s="18" t="str">
        <f>IFERROR(__xludf.DUMMYFUNCTION("""COMPUTED_VALUE"""),"52.5")</f>
        <v>52.5</v>
      </c>
      <c r="L5142" s="17">
        <f>IFERROR(__xludf.DUMMYFUNCTION("""COMPUTED_VALUE"""),3.163816691E9)</f>
        <v>3163816691</v>
      </c>
      <c r="M5142" s="17" t="str">
        <f>IFERROR(__xludf.DUMMYFUNCTION("""COMPUTED_VALUE"""),"#REF!")</f>
        <v>#REF!</v>
      </c>
      <c r="N5142" s="17"/>
      <c r="O5142" s="17"/>
      <c r="P5142" s="17" t="b">
        <f>IFERROR(__xludf.DUMMYFUNCTION("""COMPUTED_VALUE"""),FALSE)</f>
        <v>0</v>
      </c>
      <c r="Q5142" s="20" t="str">
        <f>IFERROR(__xludf.DUMMYFUNCTION("""COMPUTED_VALUE"""),"")</f>
        <v/>
      </c>
      <c r="R5142" s="22" t="str">
        <f>IFERROR(__xludf.DUMMYFUNCTION("""COMPUTED_VALUE"""),"")</f>
        <v/>
      </c>
    </row>
    <row r="5143">
      <c r="A5143" s="15">
        <f>IFERROR(__xludf.DUMMYFUNCTION("""COMPUTED_VALUE"""),45149.0)</f>
        <v>45149</v>
      </c>
      <c r="B5143" s="16" t="str">
        <f>IFERROR(__xludf.DUMMYFUNCTION("""COMPUTED_VALUE"""),"Jeison Rubiano")</f>
        <v>Jeison Rubiano</v>
      </c>
      <c r="C5143" s="15" t="str">
        <f>IFERROR(__xludf.DUMMYFUNCTION("""COMPUTED_VALUE"""),"BOGOTÁ")</f>
        <v>BOGOTÁ</v>
      </c>
      <c r="D5143" s="15" t="str">
        <f>IFERROR(__xludf.DUMMYFUNCTION("""COMPUTED_VALUE"""),"MEDELLÍN")</f>
        <v>MEDELLÍN</v>
      </c>
      <c r="E5143" s="15" t="str">
        <f>IFERROR(__xludf.DUMMYFUNCTION("""COMPUTED_VALUE"""),"Rambla")</f>
        <v>Rambla</v>
      </c>
      <c r="F5143" s="17" t="str">
        <f>IFERROR(__xludf.DUMMYFUNCTION("""COMPUTED_VALUE"""),"Calle 20 sur # 12B 26 apto 402 barrio ciudad jardín sur / - / -")</f>
        <v>Calle 20 sur # 12B 26 apto 402 barrio ciudad jardín sur / - / -</v>
      </c>
      <c r="G5143" s="15" t="str">
        <f>IFERROR(__xludf.DUMMYFUNCTION("""COMPUTED_VALUE"""),"Elisa Joya")</f>
        <v>Elisa Joya</v>
      </c>
      <c r="H5143" s="16">
        <f>IFERROR(__xludf.DUMMYFUNCTION("""COMPUTED_VALUE"""),13855.0)</f>
        <v>13855</v>
      </c>
      <c r="I5143" s="18">
        <f>IFERROR(__xludf.DUMMYFUNCTION("""COMPUTED_VALUE"""),20.0)</f>
        <v>20</v>
      </c>
      <c r="J5143" s="18">
        <f>IFERROR(__xludf.DUMMYFUNCTION("""COMPUTED_VALUE"""),24.0)</f>
        <v>24</v>
      </c>
      <c r="K5143" s="18">
        <f>IFERROR(__xludf.DUMMYFUNCTION("""COMPUTED_VALUE"""),24.0)</f>
        <v>24</v>
      </c>
      <c r="L5143" s="17">
        <f>IFERROR(__xludf.DUMMYFUNCTION("""COMPUTED_VALUE"""),3.115842241E9)</f>
        <v>3115842241</v>
      </c>
      <c r="M5143" s="17" t="str">
        <f>IFERROR(__xludf.DUMMYFUNCTION("""COMPUTED_VALUE"""),"#REF!")</f>
        <v>#REF!</v>
      </c>
      <c r="N5143" s="17"/>
      <c r="O5143" s="17"/>
      <c r="P5143" s="17" t="b">
        <f>IFERROR(__xludf.DUMMYFUNCTION("""COMPUTED_VALUE"""),FALSE)</f>
        <v>0</v>
      </c>
      <c r="Q5143" s="20" t="str">
        <f>IFERROR(__xludf.DUMMYFUNCTION("""COMPUTED_VALUE"""),"")</f>
        <v/>
      </c>
      <c r="R5143" s="21" t="str">
        <f>IFERROR(__xludf.DUMMYFUNCTION("""COMPUTED_VALUE"""),"https://drive.google.com/file/d/1HgQNmC8gm4Aat8oaI2hRzbX80GJJ7RQy/view?usp=drivesdk")</f>
        <v>https://drive.google.com/file/d/1HgQNmC8gm4Aat8oaI2hRzbX80GJJ7RQy/view?usp=drivesdk</v>
      </c>
    </row>
    <row r="5144">
      <c r="A5144" s="15">
        <f>IFERROR(__xludf.DUMMYFUNCTION("""COMPUTED_VALUE"""),45149.0)</f>
        <v>45149</v>
      </c>
      <c r="B5144" s="16" t="str">
        <f>IFERROR(__xludf.DUMMYFUNCTION("""COMPUTED_VALUE"""),"Jeison Rubiano")</f>
        <v>Jeison Rubiano</v>
      </c>
      <c r="C5144" s="15" t="str">
        <f>IFERROR(__xludf.DUMMYFUNCTION("""COMPUTED_VALUE"""),"BOGOTÁ")</f>
        <v>BOGOTÁ</v>
      </c>
      <c r="D5144" s="15" t="str">
        <f>IFERROR(__xludf.DUMMYFUNCTION("""COMPUTED_VALUE"""),"MEDELLÍN")</f>
        <v>MEDELLÍN</v>
      </c>
      <c r="E5144" s="15" t="str">
        <f>IFERROR(__xludf.DUMMYFUNCTION("""COMPUTED_VALUE"""),"Rambla")</f>
        <v>Rambla</v>
      </c>
      <c r="F5144" s="17" t="str">
        <f>IFERROR(__xludf.DUMMYFUNCTION("""COMPUTED_VALUE"""),"Calle 24 80b 82 Modelia / - / -")</f>
        <v>Calle 24 80b 82 Modelia / - / -</v>
      </c>
      <c r="G5144" s="15" t="str">
        <f>IFERROR(__xludf.DUMMYFUNCTION("""COMPUTED_VALUE"""),"Origenes")</f>
        <v>Origenes</v>
      </c>
      <c r="H5144" s="16">
        <f>IFERROR(__xludf.DUMMYFUNCTION("""COMPUTED_VALUE"""),13850.0)</f>
        <v>13850</v>
      </c>
      <c r="I5144" s="18">
        <f>IFERROR(__xludf.DUMMYFUNCTION("""COMPUTED_VALUE"""),20.0)</f>
        <v>20</v>
      </c>
      <c r="J5144" s="18">
        <f>IFERROR(__xludf.DUMMYFUNCTION("""COMPUTED_VALUE"""),24.0)</f>
        <v>24</v>
      </c>
      <c r="K5144" s="18">
        <f>IFERROR(__xludf.DUMMYFUNCTION("""COMPUTED_VALUE"""),24.0)</f>
        <v>24</v>
      </c>
      <c r="L5144" s="17">
        <f>IFERROR(__xludf.DUMMYFUNCTION("""COMPUTED_VALUE"""),3.136299043E9)</f>
        <v>3136299043</v>
      </c>
      <c r="M5144" s="17" t="str">
        <f>IFERROR(__xludf.DUMMYFUNCTION("""COMPUTED_VALUE"""),"#REF!")</f>
        <v>#REF!</v>
      </c>
      <c r="N5144" s="17"/>
      <c r="O5144" s="17"/>
      <c r="P5144" s="17" t="b">
        <f>IFERROR(__xludf.DUMMYFUNCTION("""COMPUTED_VALUE"""),FALSE)</f>
        <v>0</v>
      </c>
      <c r="Q5144" s="20" t="str">
        <f>IFERROR(__xludf.DUMMYFUNCTION("""COMPUTED_VALUE"""),"")</f>
        <v/>
      </c>
      <c r="R5144" s="21" t="str">
        <f>IFERROR(__xludf.DUMMYFUNCTION("""COMPUTED_VALUE"""),"https://drive.google.com/file/d/1guSKxuM9dm1ajMqnq8CXRmpQMT1LB96C/view?usp=drivesdk")</f>
        <v>https://drive.google.com/file/d/1guSKxuM9dm1ajMqnq8CXRmpQMT1LB96C/view?usp=drivesdk</v>
      </c>
    </row>
    <row r="5145">
      <c r="A5145" s="15">
        <f>IFERROR(__xludf.DUMMYFUNCTION("""COMPUTED_VALUE"""),45149.0)</f>
        <v>45149</v>
      </c>
      <c r="B5145" s="16" t="str">
        <f>IFERROR(__xludf.DUMMYFUNCTION("""COMPUTED_VALUE"""),"Jeison Rubiano")</f>
        <v>Jeison Rubiano</v>
      </c>
      <c r="C5145" s="15" t="str">
        <f>IFERROR(__xludf.DUMMYFUNCTION("""COMPUTED_VALUE"""),"BOGOTÁ")</f>
        <v>BOGOTÁ</v>
      </c>
      <c r="D5145" s="15" t="str">
        <f>IFERROR(__xludf.DUMMYFUNCTION("""COMPUTED_VALUE"""),"MEDELLÍN")</f>
        <v>MEDELLÍN</v>
      </c>
      <c r="E5145" s="15" t="str">
        <f>IFERROR(__xludf.DUMMYFUNCTION("""COMPUTED_VALUE"""),"Rambla")</f>
        <v>Rambla</v>
      </c>
      <c r="F5145" s="17" t="str">
        <f>IFERROR(__xludf.DUMMYFUNCTION("""COMPUTED_VALUE"""),"calle 71 # 4 - 55 / - / -")</f>
        <v>calle 71 # 4 - 55 / - / -</v>
      </c>
      <c r="G5145" s="15" t="str">
        <f>IFERROR(__xludf.DUMMYFUNCTION("""COMPUTED_VALUE"""),"Fit market")</f>
        <v>Fit market</v>
      </c>
      <c r="H5145" s="16">
        <f>IFERROR(__xludf.DUMMYFUNCTION("""COMPUTED_VALUE"""),13848.0)</f>
        <v>13848</v>
      </c>
      <c r="I5145" s="18">
        <f>IFERROR(__xludf.DUMMYFUNCTION("""COMPUTED_VALUE"""),20.0)</f>
        <v>20</v>
      </c>
      <c r="J5145" s="18">
        <f>IFERROR(__xludf.DUMMYFUNCTION("""COMPUTED_VALUE"""),24.0)</f>
        <v>24</v>
      </c>
      <c r="K5145" s="18">
        <f>IFERROR(__xludf.DUMMYFUNCTION("""COMPUTED_VALUE"""),24.0)</f>
        <v>24</v>
      </c>
      <c r="L5145" s="17">
        <f>IFERROR(__xludf.DUMMYFUNCTION("""COMPUTED_VALUE"""),3.183545455E9)</f>
        <v>3183545455</v>
      </c>
      <c r="M5145" s="17" t="str">
        <f>IFERROR(__xludf.DUMMYFUNCTION("""COMPUTED_VALUE"""),"#REF!")</f>
        <v>#REF!</v>
      </c>
      <c r="N5145" s="17"/>
      <c r="O5145" s="17"/>
      <c r="P5145" s="17" t="b">
        <f>IFERROR(__xludf.DUMMYFUNCTION("""COMPUTED_VALUE"""),TRUE)</f>
        <v>1</v>
      </c>
      <c r="Q5145" s="20">
        <f>IFERROR(__xludf.DUMMYFUNCTION("""COMPUTED_VALUE"""),45149.72694282407)</f>
        <v>45149.72694</v>
      </c>
      <c r="R5145" s="22" t="str">
        <f>IFERROR(__xludf.DUMMYFUNCTION("""COMPUTED_VALUE"""),"")</f>
        <v/>
      </c>
    </row>
    <row r="5146">
      <c r="A5146" s="15">
        <f>IFERROR(__xludf.DUMMYFUNCTION("""COMPUTED_VALUE"""),45149.0)</f>
        <v>45149</v>
      </c>
      <c r="B5146" s="16" t="str">
        <f>IFERROR(__xludf.DUMMYFUNCTION("""COMPUTED_VALUE"""),"Jeison Rubiano")</f>
        <v>Jeison Rubiano</v>
      </c>
      <c r="C5146" s="15" t="str">
        <f>IFERROR(__xludf.DUMMYFUNCTION("""COMPUTED_VALUE"""),"BOGOTÁ")</f>
        <v>BOGOTÁ</v>
      </c>
      <c r="D5146" s="15" t="str">
        <f>IFERROR(__xludf.DUMMYFUNCTION("""COMPUTED_VALUE"""),"MEDELLÍN")</f>
        <v>MEDELLÍN</v>
      </c>
      <c r="E5146" s="15" t="str">
        <f>IFERROR(__xludf.DUMMYFUNCTION("""COMPUTED_VALUE"""),"Rambla")</f>
        <v>Rambla</v>
      </c>
      <c r="F5146" s="17" t="str">
        <f>IFERROR(__xludf.DUMMYFUNCTION("""COMPUTED_VALUE"""),"Calle 94 no 15 28 local 3 / - / -")</f>
        <v>Calle 94 no 15 28 local 3 / - / -</v>
      </c>
      <c r="G5146" s="15" t="str">
        <f>IFERROR(__xludf.DUMMYFUNCTION("""COMPUTED_VALUE"""),"Brunch market")</f>
        <v>Brunch market</v>
      </c>
      <c r="H5146" s="16">
        <f>IFERROR(__xludf.DUMMYFUNCTION("""COMPUTED_VALUE"""),13857.0)</f>
        <v>13857</v>
      </c>
      <c r="I5146" s="18">
        <f>IFERROR(__xludf.DUMMYFUNCTION("""COMPUTED_VALUE"""),20.0)</f>
        <v>20</v>
      </c>
      <c r="J5146" s="18">
        <f>IFERROR(__xludf.DUMMYFUNCTION("""COMPUTED_VALUE"""),24.0)</f>
        <v>24</v>
      </c>
      <c r="K5146" s="18">
        <f>IFERROR(__xludf.DUMMYFUNCTION("""COMPUTED_VALUE"""),24.0)</f>
        <v>24</v>
      </c>
      <c r="L5146" s="17">
        <f>IFERROR(__xludf.DUMMYFUNCTION("""COMPUTED_VALUE"""),3.10565416E9)</f>
        <v>3105654160</v>
      </c>
      <c r="M5146" s="17" t="str">
        <f>IFERROR(__xludf.DUMMYFUNCTION("""COMPUTED_VALUE"""),"#REF!")</f>
        <v>#REF!</v>
      </c>
      <c r="N5146" s="17"/>
      <c r="O5146" s="17"/>
      <c r="P5146" s="17" t="b">
        <f>IFERROR(__xludf.DUMMYFUNCTION("""COMPUTED_VALUE"""),FALSE)</f>
        <v>0</v>
      </c>
      <c r="Q5146" s="20" t="str">
        <f>IFERROR(__xludf.DUMMYFUNCTION("""COMPUTED_VALUE"""),"")</f>
        <v/>
      </c>
      <c r="R5146" s="22" t="str">
        <f>IFERROR(__xludf.DUMMYFUNCTION("""COMPUTED_VALUE"""),"")</f>
        <v/>
      </c>
    </row>
    <row r="5147">
      <c r="A5147" s="15">
        <f>IFERROR(__xludf.DUMMYFUNCTION("""COMPUTED_VALUE"""),45149.0)</f>
        <v>45149</v>
      </c>
      <c r="B5147" s="16" t="str">
        <f>IFERROR(__xludf.DUMMYFUNCTION("""COMPUTED_VALUE"""),"Jeison Rubiano")</f>
        <v>Jeison Rubiano</v>
      </c>
      <c r="C5147" s="15" t="str">
        <f>IFERROR(__xludf.DUMMYFUNCTION("""COMPUTED_VALUE"""),"BOGOTÁ")</f>
        <v>BOGOTÁ</v>
      </c>
      <c r="D5147" s="15" t="str">
        <f>IFERROR(__xludf.DUMMYFUNCTION("""COMPUTED_VALUE"""),"MEDELLÍN")</f>
        <v>MEDELLÍN</v>
      </c>
      <c r="E5147" s="15" t="str">
        <f>IFERROR(__xludf.DUMMYFUNCTION("""COMPUTED_VALUE"""),"Rambla")</f>
        <v>Rambla</v>
      </c>
      <c r="F5147" s="17" t="str">
        <f>IFERROR(__xludf.DUMMYFUNCTION("""COMPUTED_VALUE"""),"carrera 11 #118 96 apto 301 / - / -")</f>
        <v>carrera 11 #118 96 apto 301 / - / -</v>
      </c>
      <c r="G5147" s="15" t="str">
        <f>IFERROR(__xludf.DUMMYFUNCTION("""COMPUTED_VALUE"""),"Mana")</f>
        <v>Mana</v>
      </c>
      <c r="H5147" s="16">
        <f>IFERROR(__xludf.DUMMYFUNCTION("""COMPUTED_VALUE"""),13856.0)</f>
        <v>13856</v>
      </c>
      <c r="I5147" s="18">
        <f>IFERROR(__xludf.DUMMYFUNCTION("""COMPUTED_VALUE"""),20.0)</f>
        <v>20</v>
      </c>
      <c r="J5147" s="18">
        <f>IFERROR(__xludf.DUMMYFUNCTION("""COMPUTED_VALUE"""),24.0)</f>
        <v>24</v>
      </c>
      <c r="K5147" s="18">
        <f>IFERROR(__xludf.DUMMYFUNCTION("""COMPUTED_VALUE"""),24.0)</f>
        <v>24</v>
      </c>
      <c r="L5147" s="17">
        <f>IFERROR(__xludf.DUMMYFUNCTION("""COMPUTED_VALUE"""),3.053685385E9)</f>
        <v>3053685385</v>
      </c>
      <c r="M5147" s="17" t="str">
        <f>IFERROR(__xludf.DUMMYFUNCTION("""COMPUTED_VALUE"""),"#REF!")</f>
        <v>#REF!</v>
      </c>
      <c r="N5147" s="17"/>
      <c r="O5147" s="17"/>
      <c r="P5147" s="17" t="b">
        <f>IFERROR(__xludf.DUMMYFUNCTION("""COMPUTED_VALUE"""),FALSE)</f>
        <v>0</v>
      </c>
      <c r="Q5147" s="20" t="str">
        <f>IFERROR(__xludf.DUMMYFUNCTION("""COMPUTED_VALUE"""),"")</f>
        <v/>
      </c>
      <c r="R5147" s="21" t="str">
        <f>IFERROR(__xludf.DUMMYFUNCTION("""COMPUTED_VALUE"""),"https://drive.google.com/file/d/1Rm6Y9wx_hSIQ7tO-VB9L1oa9lpvMrfmS/view?usp=drivesdk")</f>
        <v>https://drive.google.com/file/d/1Rm6Y9wx_hSIQ7tO-VB9L1oa9lpvMrfmS/view?usp=drivesdk</v>
      </c>
    </row>
    <row r="5148">
      <c r="A5148" s="15">
        <f>IFERROR(__xludf.DUMMYFUNCTION("""COMPUTED_VALUE"""),45149.0)</f>
        <v>45149</v>
      </c>
      <c r="B5148" s="16" t="str">
        <f>IFERROR(__xludf.DUMMYFUNCTION("""COMPUTED_VALUE"""),"Jeison Rubiano")</f>
        <v>Jeison Rubiano</v>
      </c>
      <c r="C5148" s="15" t="str">
        <f>IFERROR(__xludf.DUMMYFUNCTION("""COMPUTED_VALUE"""),"BOGOTÁ")</f>
        <v>BOGOTÁ</v>
      </c>
      <c r="D5148" s="15" t="str">
        <f>IFERROR(__xludf.DUMMYFUNCTION("""COMPUTED_VALUE"""),"MEDELLÍN")</f>
        <v>MEDELLÍN</v>
      </c>
      <c r="E5148" s="15" t="str">
        <f>IFERROR(__xludf.DUMMYFUNCTION("""COMPUTED_VALUE"""),"Rambla")</f>
        <v>Rambla</v>
      </c>
      <c r="F5148" s="17" t="str">
        <f>IFERROR(__xludf.DUMMYFUNCTION("""COMPUTED_VALUE"""),"Carrera 18 # 114A-10 , Apto 506 Bogotá / - / -")</f>
        <v>Carrera 18 # 114A-10 , Apto 506 Bogotá / - / -</v>
      </c>
      <c r="G5148" s="15" t="str">
        <f>IFERROR(__xludf.DUMMYFUNCTION("""COMPUTED_VALUE"""),"Joaquin Nassar")</f>
        <v>Joaquin Nassar</v>
      </c>
      <c r="H5148" s="16">
        <f>IFERROR(__xludf.DUMMYFUNCTION("""COMPUTED_VALUE"""),13858.0)</f>
        <v>13858</v>
      </c>
      <c r="I5148" s="18">
        <f>IFERROR(__xludf.DUMMYFUNCTION("""COMPUTED_VALUE"""),20.0)</f>
        <v>20</v>
      </c>
      <c r="J5148" s="18">
        <f>IFERROR(__xludf.DUMMYFUNCTION("""COMPUTED_VALUE"""),24.0)</f>
        <v>24</v>
      </c>
      <c r="K5148" s="18">
        <f>IFERROR(__xludf.DUMMYFUNCTION("""COMPUTED_VALUE"""),24.0)</f>
        <v>24</v>
      </c>
      <c r="L5148" s="17">
        <f>IFERROR(__xludf.DUMMYFUNCTION("""COMPUTED_VALUE"""),3.164725058E9)</f>
        <v>3164725058</v>
      </c>
      <c r="M5148" s="17" t="str">
        <f>IFERROR(__xludf.DUMMYFUNCTION("""COMPUTED_VALUE"""),"#REF!")</f>
        <v>#REF!</v>
      </c>
      <c r="N5148" s="17"/>
      <c r="O5148" s="17"/>
      <c r="P5148" s="17" t="b">
        <f>IFERROR(__xludf.DUMMYFUNCTION("""COMPUTED_VALUE"""),FALSE)</f>
        <v>0</v>
      </c>
      <c r="Q5148" s="20" t="str">
        <f>IFERROR(__xludf.DUMMYFUNCTION("""COMPUTED_VALUE"""),"")</f>
        <v/>
      </c>
      <c r="R5148" s="22" t="str">
        <f>IFERROR(__xludf.DUMMYFUNCTION("""COMPUTED_VALUE"""),"")</f>
        <v/>
      </c>
    </row>
    <row r="5149">
      <c r="A5149" s="15">
        <f>IFERROR(__xludf.DUMMYFUNCTION("""COMPUTED_VALUE"""),45149.0)</f>
        <v>45149</v>
      </c>
      <c r="B5149" s="16" t="str">
        <f>IFERROR(__xludf.DUMMYFUNCTION("""COMPUTED_VALUE"""),"Jeison Rubiano")</f>
        <v>Jeison Rubiano</v>
      </c>
      <c r="C5149" s="15" t="str">
        <f>IFERROR(__xludf.DUMMYFUNCTION("""COMPUTED_VALUE"""),"BOGOTÁ")</f>
        <v>BOGOTÁ</v>
      </c>
      <c r="D5149" s="15" t="str">
        <f>IFERROR(__xludf.DUMMYFUNCTION("""COMPUTED_VALUE"""),"MEDELLÍN")</f>
        <v>MEDELLÍN</v>
      </c>
      <c r="E5149" s="15" t="str">
        <f>IFERROR(__xludf.DUMMYFUNCTION("""COMPUTED_VALUE"""),"Terravocado")</f>
        <v>Terravocado</v>
      </c>
      <c r="F5149" s="17" t="str">
        <f>IFERROR(__xludf.DUMMYFUNCTION("""COMPUTED_VALUE"""),"CRA 49 # 165 - 33  / APT 702 / DEL CARMEN")</f>
        <v>CRA 49 # 165 - 33  / APT 702 / DEL CARMEN</v>
      </c>
      <c r="G5149" s="15" t="str">
        <f>IFERROR(__xludf.DUMMYFUNCTION("""COMPUTED_VALUE"""),"YENNY RODRIGUEZ")</f>
        <v>YENNY RODRIGUEZ</v>
      </c>
      <c r="H5149" s="16">
        <f>IFERROR(__xludf.DUMMYFUNCTION("""COMPUTED_VALUE"""),13831.0)</f>
        <v>13831</v>
      </c>
      <c r="I5149" s="18">
        <f>IFERROR(__xludf.DUMMYFUNCTION("""COMPUTED_VALUE"""),20.0)</f>
        <v>20</v>
      </c>
      <c r="J5149" s="18">
        <f>IFERROR(__xludf.DUMMYFUNCTION("""COMPUTED_VALUE"""),24.0)</f>
        <v>24</v>
      </c>
      <c r="K5149" s="18">
        <f>IFERROR(__xludf.DUMMYFUNCTION("""COMPUTED_VALUE"""),34.0)</f>
        <v>34</v>
      </c>
      <c r="L5149" s="17">
        <f>IFERROR(__xludf.DUMMYFUNCTION("""COMPUTED_VALUE"""),3.007782358E9)</f>
        <v>3007782358</v>
      </c>
      <c r="M5149" s="17" t="str">
        <f>IFERROR(__xludf.DUMMYFUNCTION("""COMPUTED_VALUE"""),"#REF!")</f>
        <v>#REF!</v>
      </c>
      <c r="N5149" s="17"/>
      <c r="O5149" s="17"/>
      <c r="P5149" s="17" t="b">
        <f>IFERROR(__xludf.DUMMYFUNCTION("""COMPUTED_VALUE"""),FALSE)</f>
        <v>0</v>
      </c>
      <c r="Q5149" s="20" t="str">
        <f>IFERROR(__xludf.DUMMYFUNCTION("""COMPUTED_VALUE"""),"")</f>
        <v/>
      </c>
      <c r="R5149" s="21" t="str">
        <f>IFERROR(__xludf.DUMMYFUNCTION("""COMPUTED_VALUE"""),"https://drive.google.com/file/d/1DpLmzFNSnl_wdtYPt5KZgI35xwcBAVIr/view?usp=drivesdk")</f>
        <v>https://drive.google.com/file/d/1DpLmzFNSnl_wdtYPt5KZgI35xwcBAVIr/view?usp=drivesdk</v>
      </c>
    </row>
    <row r="5150">
      <c r="A5150" s="15">
        <f>IFERROR(__xludf.DUMMYFUNCTION("""COMPUTED_VALUE"""),45149.0)</f>
        <v>45149</v>
      </c>
      <c r="B5150" s="16" t="str">
        <f>IFERROR(__xludf.DUMMYFUNCTION("""COMPUTED_VALUE"""),"Jeison Rubiano")</f>
        <v>Jeison Rubiano</v>
      </c>
      <c r="C5150" s="15" t="str">
        <f>IFERROR(__xludf.DUMMYFUNCTION("""COMPUTED_VALUE"""),"BOGOTÁ")</f>
        <v>BOGOTÁ</v>
      </c>
      <c r="D5150" s="15" t="str">
        <f>IFERROR(__xludf.DUMMYFUNCTION("""COMPUTED_VALUE"""),"MEDELLÍN")</f>
        <v>MEDELLÍN</v>
      </c>
      <c r="E5150" s="15" t="str">
        <f>IFERROR(__xludf.DUMMYFUNCTION("""COMPUTED_VALUE"""),"Todo Bufala")</f>
        <v>Todo Bufala</v>
      </c>
      <c r="F5150" s="17" t="str">
        <f>IFERROR(__xludf.DUMMYFUNCTION("""COMPUTED_VALUE"""),"Carrera 73 #40-83")</f>
        <v>Carrera 73 #40-83</v>
      </c>
      <c r="G5150" s="15" t="str">
        <f>IFERROR(__xludf.DUMMYFUNCTION("""COMPUTED_VALUE"""),"Juan David Martinez")</f>
        <v>Juan David Martinez</v>
      </c>
      <c r="H5150" s="16">
        <f>IFERROR(__xludf.DUMMYFUNCTION("""COMPUTED_VALUE"""),13832.0)</f>
        <v>13832</v>
      </c>
      <c r="I5150" s="18">
        <f>IFERROR(__xludf.DUMMYFUNCTION("""COMPUTED_VALUE"""),20.0)</f>
        <v>20</v>
      </c>
      <c r="J5150" s="18">
        <f>IFERROR(__xludf.DUMMYFUNCTION("""COMPUTED_VALUE"""),30.0)</f>
        <v>30</v>
      </c>
      <c r="K5150" s="18">
        <f>IFERROR(__xludf.DUMMYFUNCTION("""COMPUTED_VALUE"""),40.0)</f>
        <v>40</v>
      </c>
      <c r="L5150" s="17" t="str">
        <f>IFERROR(__xludf.DUMMYFUNCTION("""COMPUTED_VALUE"""),"320 4806222")</f>
        <v>320 4806222</v>
      </c>
      <c r="M5150" s="17" t="str">
        <f>IFERROR(__xludf.DUMMYFUNCTION("""COMPUTED_VALUE"""),"#REF!")</f>
        <v>#REF!</v>
      </c>
      <c r="N5150" s="17"/>
      <c r="O5150" s="17"/>
      <c r="P5150" s="17" t="b">
        <f>IFERROR(__xludf.DUMMYFUNCTION("""COMPUTED_VALUE"""),FALSE)</f>
        <v>0</v>
      </c>
      <c r="Q5150" s="20" t="str">
        <f>IFERROR(__xludf.DUMMYFUNCTION("""COMPUTED_VALUE"""),"")</f>
        <v/>
      </c>
      <c r="R5150" s="21" t="str">
        <f>IFERROR(__xludf.DUMMYFUNCTION("""COMPUTED_VALUE"""),"https://drive.google.com/file/d/1H_5CW3h5gZRsrXhV5cWysXLmVPNs0y_8/view?usp=drivesdk")</f>
        <v>https://drive.google.com/file/d/1H_5CW3h5gZRsrXhV5cWysXLmVPNs0y_8/view?usp=drivesdk</v>
      </c>
    </row>
    <row r="5151">
      <c r="A5151" s="15">
        <f>IFERROR(__xludf.DUMMYFUNCTION("""COMPUTED_VALUE"""),45149.0)</f>
        <v>45149</v>
      </c>
      <c r="B5151" s="16" t="str">
        <f>IFERROR(__xludf.DUMMYFUNCTION("""COMPUTED_VALUE"""),"Jeison Rubiano")</f>
        <v>Jeison Rubiano</v>
      </c>
      <c r="C5151" s="15" t="str">
        <f>IFERROR(__xludf.DUMMYFUNCTION("""COMPUTED_VALUE"""),"CHÍA")</f>
        <v>CHÍA</v>
      </c>
      <c r="D5151" s="15" t="str">
        <f>IFERROR(__xludf.DUMMYFUNCTION("""COMPUTED_VALUE"""),"MEDELLÍN")</f>
        <v>MEDELLÍN</v>
      </c>
      <c r="E5151" s="15" t="str">
        <f>IFERROR(__xludf.DUMMYFUNCTION("""COMPUTED_VALUE"""),"Rambla")</f>
        <v>Rambla</v>
      </c>
      <c r="F5151" s="17" t="str">
        <f>IFERROR(__xludf.DUMMYFUNCTION("""COMPUTED_VALUE"""),"CHIA vereda yerbabuena. Se sube por la entrada despues del castillo marroquin. La casa queda en la segunda puerta de hierro negra despues del conjunto san jorge III / - / -")</f>
        <v>CHIA vereda yerbabuena. Se sube por la entrada despues del castillo marroquin. La casa queda en la segunda puerta de hierro negra despues del conjunto san jorge III / - / -</v>
      </c>
      <c r="G5151" s="15" t="str">
        <f>IFERROR(__xludf.DUMMYFUNCTION("""COMPUTED_VALUE"""),"Adriana Cajiao Gutiérrez")</f>
        <v>Adriana Cajiao Gutiérrez</v>
      </c>
      <c r="H5151" s="16">
        <f>IFERROR(__xludf.DUMMYFUNCTION("""COMPUTED_VALUE"""),13852.0)</f>
        <v>13852</v>
      </c>
      <c r="I5151" s="18">
        <f>IFERROR(__xludf.DUMMYFUNCTION("""COMPUTED_VALUE"""),20.0)</f>
        <v>20</v>
      </c>
      <c r="J5151" s="18">
        <f>IFERROR(__xludf.DUMMYFUNCTION("""COMPUTED_VALUE"""),24.0)</f>
        <v>24</v>
      </c>
      <c r="K5151" s="18">
        <f>IFERROR(__xludf.DUMMYFUNCTION("""COMPUTED_VALUE"""),24.0)</f>
        <v>24</v>
      </c>
      <c r="L5151" s="17">
        <f>IFERROR(__xludf.DUMMYFUNCTION("""COMPUTED_VALUE"""),3.103296891E9)</f>
        <v>3103296891</v>
      </c>
      <c r="M5151" s="17" t="str">
        <f>IFERROR(__xludf.DUMMYFUNCTION("""COMPUTED_VALUE"""),"#REF!")</f>
        <v>#REF!</v>
      </c>
      <c r="N5151" s="17"/>
      <c r="O5151" s="17"/>
      <c r="P5151" s="17" t="b">
        <f>IFERROR(__xludf.DUMMYFUNCTION("""COMPUTED_VALUE"""),TRUE)</f>
        <v>1</v>
      </c>
      <c r="Q5151" s="20">
        <f>IFERROR(__xludf.DUMMYFUNCTION("""COMPUTED_VALUE"""),45166.59361351852)</f>
        <v>45166.59361</v>
      </c>
      <c r="R5151" s="21" t="str">
        <f>IFERROR(__xludf.DUMMYFUNCTION("""COMPUTED_VALUE"""),"https://drive.google.com/file/d/1ajvsNaSWLp5bPsBPb30Jo20_kk2Upg9u/view?usp=drivesdk")</f>
        <v>https://drive.google.com/file/d/1ajvsNaSWLp5bPsBPb30Jo20_kk2Upg9u/view?usp=drivesdk</v>
      </c>
    </row>
    <row r="5152">
      <c r="A5152" s="15">
        <f>IFERROR(__xludf.DUMMYFUNCTION("""COMPUTED_VALUE"""),45149.0)</f>
        <v>45149</v>
      </c>
      <c r="B5152" s="16" t="str">
        <f>IFERROR(__xludf.DUMMYFUNCTION("""COMPUTED_VALUE"""),"Jeison Rubiano")</f>
        <v>Jeison Rubiano</v>
      </c>
      <c r="C5152" s="15" t="str">
        <f>IFERROR(__xludf.DUMMYFUNCTION("""COMPUTED_VALUE"""),"CHÍA")</f>
        <v>CHÍA</v>
      </c>
      <c r="D5152" s="15" t="str">
        <f>IFERROR(__xludf.DUMMYFUNCTION("""COMPUTED_VALUE"""),"MEDELLÍN")</f>
        <v>MEDELLÍN</v>
      </c>
      <c r="E5152" s="15" t="str">
        <f>IFERROR(__xludf.DUMMYFUNCTION("""COMPUTED_VALUE"""),"Rambla")</f>
        <v>Rambla</v>
      </c>
      <c r="F5152" s="17" t="str">
        <f>IFERROR(__xludf.DUMMYFUNCTION("""COMPUTED_VALUE"""),"CL 29 6 54 Apto 201. Torre 2 Chia Cundinamarca / - / -")</f>
        <v>CL 29 6 54 Apto 201. Torre 2 Chia Cundinamarca / - / -</v>
      </c>
      <c r="G5152" s="15" t="str">
        <f>IFERROR(__xludf.DUMMYFUNCTION("""COMPUTED_VALUE"""),"Salama")</f>
        <v>Salama</v>
      </c>
      <c r="H5152" s="16">
        <f>IFERROR(__xludf.DUMMYFUNCTION("""COMPUTED_VALUE"""),13854.0)</f>
        <v>13854</v>
      </c>
      <c r="I5152" s="18">
        <f>IFERROR(__xludf.DUMMYFUNCTION("""COMPUTED_VALUE"""),20.0)</f>
        <v>20</v>
      </c>
      <c r="J5152" s="18">
        <f>IFERROR(__xludf.DUMMYFUNCTION("""COMPUTED_VALUE"""),24.0)</f>
        <v>24</v>
      </c>
      <c r="K5152" s="18">
        <f>IFERROR(__xludf.DUMMYFUNCTION("""COMPUTED_VALUE"""),24.0)</f>
        <v>24</v>
      </c>
      <c r="L5152" s="17">
        <f>IFERROR(__xludf.DUMMYFUNCTION("""COMPUTED_VALUE"""),3.183745233E9)</f>
        <v>3183745233</v>
      </c>
      <c r="M5152" s="17" t="str">
        <f>IFERROR(__xludf.DUMMYFUNCTION("""COMPUTED_VALUE"""),"#REF!")</f>
        <v>#REF!</v>
      </c>
      <c r="N5152" s="17"/>
      <c r="O5152" s="17"/>
      <c r="P5152" s="17" t="b">
        <f>IFERROR(__xludf.DUMMYFUNCTION("""COMPUTED_VALUE"""),FALSE)</f>
        <v>0</v>
      </c>
      <c r="Q5152" s="20" t="str">
        <f>IFERROR(__xludf.DUMMYFUNCTION("""COMPUTED_VALUE"""),"")</f>
        <v/>
      </c>
      <c r="R5152" s="21" t="str">
        <f>IFERROR(__xludf.DUMMYFUNCTION("""COMPUTED_VALUE"""),"https://drive.google.com/file/d/1MbPTdzIh36SHJ9B4yqCezUOpaGRsCUDe/view?usp=drivesdk")</f>
        <v>https://drive.google.com/file/d/1MbPTdzIh36SHJ9B4yqCezUOpaGRsCUDe/view?usp=drivesdk</v>
      </c>
    </row>
    <row r="5153">
      <c r="A5153" s="15">
        <f>IFERROR(__xludf.DUMMYFUNCTION("""COMPUTED_VALUE"""),45149.0)</f>
        <v>45149</v>
      </c>
      <c r="B5153" s="16" t="str">
        <f>IFERROR(__xludf.DUMMYFUNCTION("""COMPUTED_VALUE"""),"Jeison Rubiano")</f>
        <v>Jeison Rubiano</v>
      </c>
      <c r="C5153" s="15" t="str">
        <f>IFERROR(__xludf.DUMMYFUNCTION("""COMPUTED_VALUE"""),"VALLEDUPAR")</f>
        <v>VALLEDUPAR</v>
      </c>
      <c r="D5153" s="15" t="str">
        <f>IFERROR(__xludf.DUMMYFUNCTION("""COMPUTED_VALUE"""),"BOGOTÁ")</f>
        <v>BOGOTÁ</v>
      </c>
      <c r="E5153" s="15" t="str">
        <f>IFERROR(__xludf.DUMMYFUNCTION("""COMPUTED_VALUE"""),"Evamazzita")</f>
        <v>Evamazzita</v>
      </c>
      <c r="F5153" s="17" t="str">
        <f>IFERROR(__xludf.DUMMYFUNCTION("""COMPUTED_VALUE"""),"CONDOMINIO PALMETTO TORRE 8 APTO. 601 / CONDOMINIO PALMETTO TORRE 8 APTO. 601 / CONDOMINIO PALMETTO")</f>
        <v>CONDOMINIO PALMETTO TORRE 8 APTO. 601 / CONDOMINIO PALMETTO TORRE 8 APTO. 601 / CONDOMINIO PALMETTO</v>
      </c>
      <c r="G5153" s="15" t="str">
        <f>IFERROR(__xludf.DUMMYFUNCTION("""COMPUTED_VALUE"""),"KAREN LORENA ESCALANTE JACOME")</f>
        <v>KAREN LORENA ESCALANTE JACOME</v>
      </c>
      <c r="H5153" s="16">
        <f>IFERROR(__xludf.DUMMYFUNCTION("""COMPUTED_VALUE"""),13787.0)</f>
        <v>13787</v>
      </c>
      <c r="I5153" s="18">
        <f>IFERROR(__xludf.DUMMYFUNCTION("""COMPUTED_VALUE"""),1.0)</f>
        <v>1</v>
      </c>
      <c r="J5153" s="18">
        <f>IFERROR(__xludf.DUMMYFUNCTION("""COMPUTED_VALUE"""),1.0)</f>
        <v>1</v>
      </c>
      <c r="K5153" s="18">
        <f>IFERROR(__xludf.DUMMYFUNCTION("""COMPUTED_VALUE"""),1.0)</f>
        <v>1</v>
      </c>
      <c r="L5153" s="17">
        <f>IFERROR(__xludf.DUMMYFUNCTION("""COMPUTED_VALUE"""),3.114684116E9)</f>
        <v>3114684116</v>
      </c>
      <c r="M5153" s="17" t="str">
        <f>IFERROR(__xludf.DUMMYFUNCTION("""COMPUTED_VALUE"""),"#REF!")</f>
        <v>#REF!</v>
      </c>
      <c r="N5153" s="17"/>
      <c r="O5153" s="17"/>
      <c r="P5153" s="17" t="b">
        <f>IFERROR(__xludf.DUMMYFUNCTION("""COMPUTED_VALUE"""),TRUE)</f>
        <v>1</v>
      </c>
      <c r="Q5153" s="20">
        <f>IFERROR(__xludf.DUMMYFUNCTION("""COMPUTED_VALUE"""),45149.68283125)</f>
        <v>45149.68283</v>
      </c>
      <c r="R5153" s="22" t="str">
        <f>IFERROR(__xludf.DUMMYFUNCTION("""COMPUTED_VALUE"""),"")</f>
        <v/>
      </c>
    </row>
    <row r="5154">
      <c r="A5154" s="15">
        <f>IFERROR(__xludf.DUMMYFUNCTION("""COMPUTED_VALUE"""),45149.0)</f>
        <v>45149</v>
      </c>
      <c r="B5154" s="16" t="str">
        <f>IFERROR(__xludf.DUMMYFUNCTION("""COMPUTED_VALUE"""),"Jeison Rubiano")</f>
        <v>Jeison Rubiano</v>
      </c>
      <c r="C5154" s="15" t="str">
        <f>IFERROR(__xludf.DUMMYFUNCTION("""COMPUTED_VALUE"""),"VALLEDUPAR")</f>
        <v>VALLEDUPAR</v>
      </c>
      <c r="D5154" s="15" t="str">
        <f>IFERROR(__xludf.DUMMYFUNCTION("""COMPUTED_VALUE"""),"BOGOTÁ")</f>
        <v>BOGOTÁ</v>
      </c>
      <c r="E5154" s="15" t="str">
        <f>IFERROR(__xludf.DUMMYFUNCTION("""COMPUTED_VALUE"""),"Evamazzita")</f>
        <v>Evamazzita</v>
      </c>
      <c r="F5154" s="17" t="str">
        <f>IFERROR(__xludf.DUMMYFUNCTION("""COMPUTED_VALUE"""),"MzD casa 4 conjunto cerrado Callejas /  MzD casa 4 conjunto cerrado Callejas / CALLEJAS")</f>
        <v>MzD casa 4 conjunto cerrado Callejas /  MzD casa 4 conjunto cerrado Callejas / CALLEJAS</v>
      </c>
      <c r="G5154" s="15" t="str">
        <f>IFERROR(__xludf.DUMMYFUNCTION("""COMPUTED_VALUE"""),"LINA MAYA")</f>
        <v>LINA MAYA</v>
      </c>
      <c r="H5154" s="16">
        <f>IFERROR(__xludf.DUMMYFUNCTION("""COMPUTED_VALUE"""),13788.0)</f>
        <v>13788</v>
      </c>
      <c r="I5154" s="18">
        <f>IFERROR(__xludf.DUMMYFUNCTION("""COMPUTED_VALUE"""),1.0)</f>
        <v>1</v>
      </c>
      <c r="J5154" s="18">
        <f>IFERROR(__xludf.DUMMYFUNCTION("""COMPUTED_VALUE"""),1.0)</f>
        <v>1</v>
      </c>
      <c r="K5154" s="18">
        <f>IFERROR(__xludf.DUMMYFUNCTION("""COMPUTED_VALUE"""),1.0)</f>
        <v>1</v>
      </c>
      <c r="L5154" s="17">
        <f>IFERROR(__xludf.DUMMYFUNCTION("""COMPUTED_VALUE"""),3.21432568E9)</f>
        <v>3214325680</v>
      </c>
      <c r="M5154" s="17" t="str">
        <f>IFERROR(__xludf.DUMMYFUNCTION("""COMPUTED_VALUE"""),"#REF!")</f>
        <v>#REF!</v>
      </c>
      <c r="N5154" s="17"/>
      <c r="O5154" s="17"/>
      <c r="P5154" s="17" t="b">
        <f>IFERROR(__xludf.DUMMYFUNCTION("""COMPUTED_VALUE"""),TRUE)</f>
        <v>1</v>
      </c>
      <c r="Q5154" s="20">
        <f>IFERROR(__xludf.DUMMYFUNCTION("""COMPUTED_VALUE"""),45149.68287855324)</f>
        <v>45149.68288</v>
      </c>
      <c r="R5154" s="22" t="str">
        <f>IFERROR(__xludf.DUMMYFUNCTION("""COMPUTED_VALUE"""),"")</f>
        <v/>
      </c>
    </row>
    <row r="5155">
      <c r="A5155" s="17" t="str">
        <f>IFERROR(__xludf.DUMMYFUNCTION("""COMPUTED_VALUE"""),"")</f>
        <v/>
      </c>
      <c r="B5155" s="17" t="str">
        <f>IFERROR(__xludf.DUMMYFUNCTION("""COMPUTED_VALUE"""),"")</f>
        <v/>
      </c>
      <c r="C5155" s="17" t="str">
        <f>IFERROR(__xludf.DUMMYFUNCTION("""COMPUTED_VALUE"""),"")</f>
        <v/>
      </c>
      <c r="D5155" s="17" t="str">
        <f>IFERROR(__xludf.DUMMYFUNCTION("""COMPUTED_VALUE"""),"")</f>
        <v/>
      </c>
      <c r="E5155" s="17" t="str">
        <f>IFERROR(__xludf.DUMMYFUNCTION("""COMPUTED_VALUE"""),"")</f>
        <v/>
      </c>
      <c r="F5155" s="17" t="str">
        <f>IFERROR(__xludf.DUMMYFUNCTION("""COMPUTED_VALUE"""),"")</f>
        <v/>
      </c>
      <c r="G5155" s="17" t="str">
        <f>IFERROR(__xludf.DUMMYFUNCTION("""COMPUTED_VALUE"""),"")</f>
        <v/>
      </c>
      <c r="H5155" s="17" t="str">
        <f>IFERROR(__xludf.DUMMYFUNCTION("""COMPUTED_VALUE"""),"")</f>
        <v/>
      </c>
      <c r="I5155" s="17" t="str">
        <f>IFERROR(__xludf.DUMMYFUNCTION("""COMPUTED_VALUE"""),"")</f>
        <v/>
      </c>
      <c r="J5155" s="17" t="str">
        <f>IFERROR(__xludf.DUMMYFUNCTION("""COMPUTED_VALUE"""),"")</f>
        <v/>
      </c>
      <c r="K5155" s="17" t="str">
        <f>IFERROR(__xludf.DUMMYFUNCTION("""COMPUTED_VALUE"""),"")</f>
        <v/>
      </c>
      <c r="L5155" s="17" t="str">
        <f>IFERROR(__xludf.DUMMYFUNCTION("""COMPUTED_VALUE"""),"")</f>
        <v/>
      </c>
      <c r="M5155" s="17" t="str">
        <f>IFERROR(__xludf.DUMMYFUNCTION("""COMPUTED_VALUE"""),"")</f>
        <v/>
      </c>
      <c r="N5155" s="17" t="str">
        <f>IFERROR(__xludf.DUMMYFUNCTION("""COMPUTED_VALUE"""),"")</f>
        <v/>
      </c>
      <c r="O5155" s="17" t="str">
        <f>IFERROR(__xludf.DUMMYFUNCTION("""COMPUTED_VALUE"""),"")</f>
        <v/>
      </c>
      <c r="P5155" s="17" t="str">
        <f>IFERROR(__xludf.DUMMYFUNCTION("""COMPUTED_VALUE"""),"")</f>
        <v/>
      </c>
      <c r="Q5155" s="17" t="str">
        <f>IFERROR(__xludf.DUMMYFUNCTION("""COMPUTED_VALUE"""),"")</f>
        <v/>
      </c>
      <c r="R5155" s="17" t="str">
        <f>IFERROR(__xludf.DUMMYFUNCTION("""COMPUTED_VALUE"""),"")</f>
        <v/>
      </c>
    </row>
    <row r="5156">
      <c r="A5156" s="15">
        <f>IFERROR(__xludf.DUMMYFUNCTION("""COMPUTED_VALUE"""),45149.0)</f>
        <v>45149</v>
      </c>
      <c r="B5156" s="16" t="str">
        <f>IFERROR(__xludf.DUMMYFUNCTION("""COMPUTED_VALUE"""),"Johan Alexander Escobar Arroyo ")</f>
        <v>Johan Alexander Escobar Arroyo </v>
      </c>
      <c r="C5156" s="15" t="str">
        <f>IFERROR(__xludf.DUMMYFUNCTION("""COMPUTED_VALUE"""),"CALI")</f>
        <v>CALI</v>
      </c>
      <c r="D5156" s="15" t="str">
        <f>IFERROR(__xludf.DUMMYFUNCTION("""COMPUTED_VALUE"""),"BOGOTÁ")</f>
        <v>BOGOTÁ</v>
      </c>
      <c r="E5156" s="15" t="str">
        <f>IFERROR(__xludf.DUMMYFUNCTION("""COMPUTED_VALUE"""),"Renata")</f>
        <v>Renata</v>
      </c>
      <c r="F5156" s="17" t="str">
        <f>IFERROR(__xludf.DUMMYFUNCTION("""COMPUTED_VALUE"""),"Carrera 3#3a-83 / Patio 34 food containers -restaurante  / San Fernando")</f>
        <v>Carrera 3#3a-83 / Patio 34 food containers -restaurante  / San Fernando</v>
      </c>
      <c r="G5156" s="15" t="str">
        <f>IFERROR(__xludf.DUMMYFUNCTION("""COMPUTED_VALUE"""),"Retaco s.a.s")</f>
        <v>Retaco s.a.s</v>
      </c>
      <c r="H5156" s="16">
        <f>IFERROR(__xludf.DUMMYFUNCTION("""COMPUTED_VALUE"""),13869.0)</f>
        <v>13869</v>
      </c>
      <c r="I5156" s="18">
        <f>IFERROR(__xludf.DUMMYFUNCTION("""COMPUTED_VALUE"""),90.0)</f>
        <v>90</v>
      </c>
      <c r="J5156" s="18">
        <f>IFERROR(__xludf.DUMMYFUNCTION("""COMPUTED_VALUE"""),70.0)</f>
        <v>70</v>
      </c>
      <c r="K5156" s="18">
        <f>IFERROR(__xludf.DUMMYFUNCTION("""COMPUTED_VALUE"""),60.0)</f>
        <v>60</v>
      </c>
      <c r="L5156" s="17">
        <f>IFERROR(__xludf.DUMMYFUNCTION("""COMPUTED_VALUE"""),3.134720976E9)</f>
        <v>3134720976</v>
      </c>
      <c r="M5156" s="17" t="str">
        <f>IFERROR(__xludf.DUMMYFUNCTION("""COMPUTED_VALUE"""),"#REF!")</f>
        <v>#REF!</v>
      </c>
      <c r="N5156" s="17"/>
      <c r="O5156" s="17"/>
      <c r="P5156" s="17" t="b">
        <f>IFERROR(__xludf.DUMMYFUNCTION("""COMPUTED_VALUE"""),FALSE)</f>
        <v>0</v>
      </c>
      <c r="Q5156" s="20" t="str">
        <f>IFERROR(__xludf.DUMMYFUNCTION("""COMPUTED_VALUE"""),"")</f>
        <v/>
      </c>
      <c r="R5156" s="22" t="str">
        <f>IFERROR(__xludf.DUMMYFUNCTION("""COMPUTED_VALUE"""),"")</f>
        <v/>
      </c>
    </row>
    <row r="5157">
      <c r="A5157" s="17" t="str">
        <f>IFERROR(__xludf.DUMMYFUNCTION("""COMPUTED_VALUE"""),"")</f>
        <v/>
      </c>
      <c r="B5157" s="17" t="str">
        <f>IFERROR(__xludf.DUMMYFUNCTION("""COMPUTED_VALUE"""),"")</f>
        <v/>
      </c>
      <c r="C5157" s="17" t="str">
        <f>IFERROR(__xludf.DUMMYFUNCTION("""COMPUTED_VALUE"""),"")</f>
        <v/>
      </c>
      <c r="D5157" s="17" t="str">
        <f>IFERROR(__xludf.DUMMYFUNCTION("""COMPUTED_VALUE"""),"")</f>
        <v/>
      </c>
      <c r="E5157" s="17" t="str">
        <f>IFERROR(__xludf.DUMMYFUNCTION("""COMPUTED_VALUE"""),"")</f>
        <v/>
      </c>
      <c r="F5157" s="17" t="str">
        <f>IFERROR(__xludf.DUMMYFUNCTION("""COMPUTED_VALUE"""),"")</f>
        <v/>
      </c>
      <c r="G5157" s="17" t="str">
        <f>IFERROR(__xludf.DUMMYFUNCTION("""COMPUTED_VALUE"""),"")</f>
        <v/>
      </c>
      <c r="H5157" s="17" t="str">
        <f>IFERROR(__xludf.DUMMYFUNCTION("""COMPUTED_VALUE"""),"")</f>
        <v/>
      </c>
      <c r="I5157" s="17" t="str">
        <f>IFERROR(__xludf.DUMMYFUNCTION("""COMPUTED_VALUE"""),"")</f>
        <v/>
      </c>
      <c r="J5157" s="17" t="str">
        <f>IFERROR(__xludf.DUMMYFUNCTION("""COMPUTED_VALUE"""),"")</f>
        <v/>
      </c>
      <c r="K5157" s="17" t="str">
        <f>IFERROR(__xludf.DUMMYFUNCTION("""COMPUTED_VALUE"""),"")</f>
        <v/>
      </c>
      <c r="L5157" s="17" t="str">
        <f>IFERROR(__xludf.DUMMYFUNCTION("""COMPUTED_VALUE"""),"")</f>
        <v/>
      </c>
      <c r="M5157" s="17" t="str">
        <f>IFERROR(__xludf.DUMMYFUNCTION("""COMPUTED_VALUE"""),"")</f>
        <v/>
      </c>
      <c r="N5157" s="17" t="str">
        <f>IFERROR(__xludf.DUMMYFUNCTION("""COMPUTED_VALUE"""),"")</f>
        <v/>
      </c>
      <c r="O5157" s="17" t="str">
        <f>IFERROR(__xludf.DUMMYFUNCTION("""COMPUTED_VALUE"""),"")</f>
        <v/>
      </c>
      <c r="P5157" s="17" t="str">
        <f>IFERROR(__xludf.DUMMYFUNCTION("""COMPUTED_VALUE"""),"")</f>
        <v/>
      </c>
      <c r="Q5157" s="17" t="str">
        <f>IFERROR(__xludf.DUMMYFUNCTION("""COMPUTED_VALUE"""),"")</f>
        <v/>
      </c>
      <c r="R5157" s="17" t="str">
        <f>IFERROR(__xludf.DUMMYFUNCTION("""COMPUTED_VALUE"""),"")</f>
        <v/>
      </c>
    </row>
    <row r="5158">
      <c r="A5158" s="15">
        <f>IFERROR(__xludf.DUMMYFUNCTION("""COMPUTED_VALUE"""),45149.0)</f>
        <v>45149</v>
      </c>
      <c r="B5158" s="16" t="str">
        <f>IFERROR(__xludf.DUMMYFUNCTION("""COMPUTED_VALUE"""),"Lina Gaona")</f>
        <v>Lina Gaona</v>
      </c>
      <c r="C5158" s="15" t="str">
        <f>IFERROR(__xludf.DUMMYFUNCTION("""COMPUTED_VALUE"""),"CÚCUTA")</f>
        <v>CÚCUTA</v>
      </c>
      <c r="D5158" s="15" t="str">
        <f>IFERROR(__xludf.DUMMYFUNCTION("""COMPUTED_VALUE"""),"BOGOTÁ")</f>
        <v>BOGOTÁ</v>
      </c>
      <c r="E5158" s="15" t="str">
        <f>IFERROR(__xludf.DUMMYFUNCTION("""COMPUTED_VALUE"""),"Asociacion Agropecuaria Juana Maria")</f>
        <v>Asociacion Agropecuaria Juana Maria</v>
      </c>
      <c r="F5158" s="17" t="str">
        <f>IFERROR(__xludf.DUMMYFUNCTION("""COMPUTED_VALUE"""),"AV. 2E # 15 A -17   PISTACHO FIT MARKET BARRIO CAOBOS")</f>
        <v>AV. 2E # 15 A -17   PISTACHO FIT MARKET BARRIO CAOBOS</v>
      </c>
      <c r="G5158" s="15" t="str">
        <f>IFERROR(__xludf.DUMMYFUNCTION("""COMPUTED_VALUE"""),"DACCY KARINA LOPEZ")</f>
        <v>DACCY KARINA LOPEZ</v>
      </c>
      <c r="H5158" s="16">
        <f>IFERROR(__xludf.DUMMYFUNCTION("""COMPUTED_VALUE"""),13611.0)</f>
        <v>13611</v>
      </c>
      <c r="I5158" s="18" t="str">
        <f>IFERROR(__xludf.DUMMYFUNCTION("""COMPUTED_VALUE"""),"52.5")</f>
        <v>52.5</v>
      </c>
      <c r="J5158" s="18">
        <f>IFERROR(__xludf.DUMMYFUNCTION("""COMPUTED_VALUE"""),45.0)</f>
        <v>45</v>
      </c>
      <c r="K5158" s="18">
        <f>IFERROR(__xludf.DUMMYFUNCTION("""COMPUTED_VALUE"""),55.0)</f>
        <v>55</v>
      </c>
      <c r="L5158" s="17">
        <f>IFERROR(__xludf.DUMMYFUNCTION("""COMPUTED_VALUE"""),3.208615379E9)</f>
        <v>3208615379</v>
      </c>
      <c r="M5158" s="17" t="str">
        <f>IFERROR(__xludf.DUMMYFUNCTION("""COMPUTED_VALUE"""),"#REF!")</f>
        <v>#REF!</v>
      </c>
      <c r="N5158" s="17"/>
      <c r="O5158" s="17"/>
      <c r="P5158" s="17" t="b">
        <f>IFERROR(__xludf.DUMMYFUNCTION("""COMPUTED_VALUE"""),FALSE)</f>
        <v>0</v>
      </c>
      <c r="Q5158" s="20" t="str">
        <f>IFERROR(__xludf.DUMMYFUNCTION("""COMPUTED_VALUE"""),"")</f>
        <v/>
      </c>
      <c r="R5158" s="22" t="str">
        <f>IFERROR(__xludf.DUMMYFUNCTION("""COMPUTED_VALUE"""),"")</f>
        <v/>
      </c>
    </row>
    <row r="5159">
      <c r="A5159" s="15">
        <f>IFERROR(__xludf.DUMMYFUNCTION("""COMPUTED_VALUE"""),45149.0)</f>
        <v>45149</v>
      </c>
      <c r="B5159" s="16" t="str">
        <f>IFERROR(__xludf.DUMMYFUNCTION("""COMPUTED_VALUE"""),"Lina Gaona")</f>
        <v>Lina Gaona</v>
      </c>
      <c r="C5159" s="15" t="str">
        <f>IFERROR(__xludf.DUMMYFUNCTION("""COMPUTED_VALUE"""),"CÚCUTA")</f>
        <v>CÚCUTA</v>
      </c>
      <c r="D5159" s="15" t="str">
        <f>IFERROR(__xludf.DUMMYFUNCTION("""COMPUTED_VALUE"""),"BOGOTÁ")</f>
        <v>BOGOTÁ</v>
      </c>
      <c r="E5159" s="15" t="str">
        <f>IFERROR(__xludf.DUMMYFUNCTION("""COMPUTED_VALUE"""),"Evamazzita")</f>
        <v>Evamazzita</v>
      </c>
      <c r="F5159" s="17" t="str">
        <f>IFERROR(__xludf.DUMMYFUNCTION("""COMPUTED_VALUE"""),"Av 2E # 15A -17 Caobos / CAOBOS / CAOBOS")</f>
        <v>Av 2E # 15A -17 Caobos / CAOBOS / CAOBOS</v>
      </c>
      <c r="G5159" s="15" t="str">
        <f>IFERROR(__xludf.DUMMYFUNCTION("""COMPUTED_VALUE"""),"DACCY KARINA LOPEZ MORENO")</f>
        <v>DACCY KARINA LOPEZ MORENO</v>
      </c>
      <c r="H5159" s="16">
        <f>IFERROR(__xludf.DUMMYFUNCTION("""COMPUTED_VALUE"""),13779.0)</f>
        <v>13779</v>
      </c>
      <c r="I5159" s="18">
        <f>IFERROR(__xludf.DUMMYFUNCTION("""COMPUTED_VALUE"""),14.0)</f>
        <v>14</v>
      </c>
      <c r="J5159" s="18">
        <f>IFERROR(__xludf.DUMMYFUNCTION("""COMPUTED_VALUE"""),41.0)</f>
        <v>41</v>
      </c>
      <c r="K5159" s="18">
        <f>IFERROR(__xludf.DUMMYFUNCTION("""COMPUTED_VALUE"""),24.0)</f>
        <v>24</v>
      </c>
      <c r="L5159" s="17">
        <f>IFERROR(__xludf.DUMMYFUNCTION("""COMPUTED_VALUE"""),3.208615379E9)</f>
        <v>3208615379</v>
      </c>
      <c r="M5159" s="17" t="str">
        <f>IFERROR(__xludf.DUMMYFUNCTION("""COMPUTED_VALUE"""),"#REF!")</f>
        <v>#REF!</v>
      </c>
      <c r="N5159" s="17"/>
      <c r="O5159" s="17"/>
      <c r="P5159" s="17" t="b">
        <f>IFERROR(__xludf.DUMMYFUNCTION("""COMPUTED_VALUE"""),FALSE)</f>
        <v>0</v>
      </c>
      <c r="Q5159" s="20" t="str">
        <f>IFERROR(__xludf.DUMMYFUNCTION("""COMPUTED_VALUE"""),"")</f>
        <v/>
      </c>
      <c r="R5159" s="22" t="str">
        <f>IFERROR(__xludf.DUMMYFUNCTION("""COMPUTED_VALUE"""),"")</f>
        <v/>
      </c>
    </row>
    <row r="5160">
      <c r="A5160" s="15">
        <f>IFERROR(__xludf.DUMMYFUNCTION("""COMPUTED_VALUE"""),45149.0)</f>
        <v>45149</v>
      </c>
      <c r="B5160" s="16" t="str">
        <f>IFERROR(__xludf.DUMMYFUNCTION("""COMPUTED_VALUE"""),"Lina Gaona")</f>
        <v>Lina Gaona</v>
      </c>
      <c r="C5160" s="15" t="str">
        <f>IFERROR(__xludf.DUMMYFUNCTION("""COMPUTED_VALUE"""),"CÚCUTA")</f>
        <v>CÚCUTA</v>
      </c>
      <c r="D5160" s="15" t="str">
        <f>IFERROR(__xludf.DUMMYFUNCTION("""COMPUTED_VALUE"""),"BOGOTÁ")</f>
        <v>BOGOTÁ</v>
      </c>
      <c r="E5160" s="15" t="str">
        <f>IFERROR(__xludf.DUMMYFUNCTION("""COMPUTED_VALUE"""),"Ins. Alimento Vital")</f>
        <v>Ins. Alimento Vital</v>
      </c>
      <c r="F5160" s="17" t="str">
        <f>IFERROR(__xludf.DUMMYFUNCTION("""COMPUTED_VALUE"""),"AV 0AE 2N 57 / POR LA OLIMPICA DE LA 0 / BARRIO CAPELLANA POR LA OLIMPICA DE LA 0")</f>
        <v>AV 0AE 2N 57 / POR LA OLIMPICA DE LA 0 / BARRIO CAPELLANA POR LA OLIMPICA DE LA 0</v>
      </c>
      <c r="G5160" s="15" t="str">
        <f>IFERROR(__xludf.DUMMYFUNCTION("""COMPUTED_VALUE"""),"ERIKA LEONOR  VASQUEZ AMAYA")</f>
        <v>ERIKA LEONOR  VASQUEZ AMAYA</v>
      </c>
      <c r="H5160" s="16">
        <f>IFERROR(__xludf.DUMMYFUNCTION("""COMPUTED_VALUE"""),13695.0)</f>
        <v>13695</v>
      </c>
      <c r="I5160" s="18">
        <f>IFERROR(__xludf.DUMMYFUNCTION("""COMPUTED_VALUE"""),1.0)</f>
        <v>1</v>
      </c>
      <c r="J5160" s="18">
        <f>IFERROR(__xludf.DUMMYFUNCTION("""COMPUTED_VALUE"""),1.0)</f>
        <v>1</v>
      </c>
      <c r="K5160" s="18">
        <f>IFERROR(__xludf.DUMMYFUNCTION("""COMPUTED_VALUE"""),1.0)</f>
        <v>1</v>
      </c>
      <c r="L5160" s="17">
        <f>IFERROR(__xludf.DUMMYFUNCTION("""COMPUTED_VALUE"""),3.185355209E9)</f>
        <v>3185355209</v>
      </c>
      <c r="M5160" s="17" t="str">
        <f>IFERROR(__xludf.DUMMYFUNCTION("""COMPUTED_VALUE"""),"#REF!")</f>
        <v>#REF!</v>
      </c>
      <c r="N5160" s="17"/>
      <c r="O5160" s="17"/>
      <c r="P5160" s="17" t="b">
        <f>IFERROR(__xludf.DUMMYFUNCTION("""COMPUTED_VALUE"""),FALSE)</f>
        <v>0</v>
      </c>
      <c r="Q5160" s="20" t="str">
        <f>IFERROR(__xludf.DUMMYFUNCTION("""COMPUTED_VALUE"""),"")</f>
        <v/>
      </c>
      <c r="R5160" s="22" t="str">
        <f>IFERROR(__xludf.DUMMYFUNCTION("""COMPUTED_VALUE"""),"")</f>
        <v/>
      </c>
    </row>
    <row r="5161">
      <c r="A5161" s="17" t="str">
        <f>IFERROR(__xludf.DUMMYFUNCTION("""COMPUTED_VALUE"""),"")</f>
        <v/>
      </c>
      <c r="B5161" s="17" t="str">
        <f>IFERROR(__xludf.DUMMYFUNCTION("""COMPUTED_VALUE"""),"")</f>
        <v/>
      </c>
      <c r="C5161" s="17" t="str">
        <f>IFERROR(__xludf.DUMMYFUNCTION("""COMPUTED_VALUE"""),"")</f>
        <v/>
      </c>
      <c r="D5161" s="17" t="str">
        <f>IFERROR(__xludf.DUMMYFUNCTION("""COMPUTED_VALUE"""),"")</f>
        <v/>
      </c>
      <c r="E5161" s="17" t="str">
        <f>IFERROR(__xludf.DUMMYFUNCTION("""COMPUTED_VALUE"""),"")</f>
        <v/>
      </c>
      <c r="F5161" s="17" t="str">
        <f>IFERROR(__xludf.DUMMYFUNCTION("""COMPUTED_VALUE"""),"")</f>
        <v/>
      </c>
      <c r="G5161" s="17" t="str">
        <f>IFERROR(__xludf.DUMMYFUNCTION("""COMPUTED_VALUE"""),"")</f>
        <v/>
      </c>
      <c r="H5161" s="17" t="str">
        <f>IFERROR(__xludf.DUMMYFUNCTION("""COMPUTED_VALUE"""),"")</f>
        <v/>
      </c>
      <c r="I5161" s="17" t="str">
        <f>IFERROR(__xludf.DUMMYFUNCTION("""COMPUTED_VALUE"""),"")</f>
        <v/>
      </c>
      <c r="J5161" s="17" t="str">
        <f>IFERROR(__xludf.DUMMYFUNCTION("""COMPUTED_VALUE"""),"")</f>
        <v/>
      </c>
      <c r="K5161" s="17" t="str">
        <f>IFERROR(__xludf.DUMMYFUNCTION("""COMPUTED_VALUE"""),"")</f>
        <v/>
      </c>
      <c r="L5161" s="17" t="str">
        <f>IFERROR(__xludf.DUMMYFUNCTION("""COMPUTED_VALUE"""),"")</f>
        <v/>
      </c>
      <c r="M5161" s="17" t="str">
        <f>IFERROR(__xludf.DUMMYFUNCTION("""COMPUTED_VALUE"""),"")</f>
        <v/>
      </c>
      <c r="N5161" s="17" t="str">
        <f>IFERROR(__xludf.DUMMYFUNCTION("""COMPUTED_VALUE"""),"")</f>
        <v/>
      </c>
      <c r="O5161" s="17" t="str">
        <f>IFERROR(__xludf.DUMMYFUNCTION("""COMPUTED_VALUE"""),"")</f>
        <v/>
      </c>
      <c r="P5161" s="17" t="str">
        <f>IFERROR(__xludf.DUMMYFUNCTION("""COMPUTED_VALUE"""),"")</f>
        <v/>
      </c>
      <c r="Q5161" s="17" t="str">
        <f>IFERROR(__xludf.DUMMYFUNCTION("""COMPUTED_VALUE"""),"")</f>
        <v/>
      </c>
      <c r="R5161" s="17" t="str">
        <f>IFERROR(__xludf.DUMMYFUNCTION("""COMPUTED_VALUE"""),"")</f>
        <v/>
      </c>
    </row>
    <row r="5162">
      <c r="A5162" s="15">
        <f>IFERROR(__xludf.DUMMYFUNCTION("""COMPUTED_VALUE"""),45149.0)</f>
        <v>45149</v>
      </c>
      <c r="B5162" s="16" t="str">
        <f>IFERROR(__xludf.DUMMYFUNCTION("""COMPUTED_VALUE"""),"Orlando Urdaneta Rincon ")</f>
        <v>Orlando Urdaneta Rincon </v>
      </c>
      <c r="C5162" s="15" t="str">
        <f>IFERROR(__xludf.DUMMYFUNCTION("""COMPUTED_VALUE"""),"CHÍA")</f>
        <v>CHÍA</v>
      </c>
      <c r="D5162" s="15" t="str">
        <f>IFERROR(__xludf.DUMMYFUNCTION("""COMPUTED_VALUE"""),"MEDELLÍN")</f>
        <v>MEDELLÍN</v>
      </c>
      <c r="E5162" s="15" t="str">
        <f>IFERROR(__xludf.DUMMYFUNCTION("""COMPUTED_VALUE"""),"Rambla")</f>
        <v>Rambla</v>
      </c>
      <c r="F5162" s="17" t="str">
        <f>IFERROR(__xludf.DUMMYFUNCTION("""COMPUTED_VALUE"""),"Km 1.5 via Chia Cajica 100 mts antes de Fontanar / - / -")</f>
        <v>Km 1.5 via Chia Cajica 100 mts antes de Fontanar / - / -</v>
      </c>
      <c r="G5162" s="15" t="str">
        <f>IFERROR(__xludf.DUMMYFUNCTION("""COMPUTED_VALUE"""),"The Choice")</f>
        <v>The Choice</v>
      </c>
      <c r="H5162" s="16">
        <f>IFERROR(__xludf.DUMMYFUNCTION("""COMPUTED_VALUE"""),13849.0)</f>
        <v>13849</v>
      </c>
      <c r="I5162" s="18">
        <f>IFERROR(__xludf.DUMMYFUNCTION("""COMPUTED_VALUE"""),20.0)</f>
        <v>20</v>
      </c>
      <c r="J5162" s="18">
        <f>IFERROR(__xludf.DUMMYFUNCTION("""COMPUTED_VALUE"""),24.0)</f>
        <v>24</v>
      </c>
      <c r="K5162" s="18">
        <f>IFERROR(__xludf.DUMMYFUNCTION("""COMPUTED_VALUE"""),24.0)</f>
        <v>24</v>
      </c>
      <c r="L5162" s="17">
        <f>IFERROR(__xludf.DUMMYFUNCTION("""COMPUTED_VALUE"""),3.212415592E9)</f>
        <v>3212415592</v>
      </c>
      <c r="M5162" s="17" t="str">
        <f>IFERROR(__xludf.DUMMYFUNCTION("""COMPUTED_VALUE"""),"#REF!")</f>
        <v>#REF!</v>
      </c>
      <c r="N5162" s="17"/>
      <c r="O5162" s="17"/>
      <c r="P5162" s="17" t="b">
        <f>IFERROR(__xludf.DUMMYFUNCTION("""COMPUTED_VALUE"""),FALSE)</f>
        <v>0</v>
      </c>
      <c r="Q5162" s="20" t="str">
        <f>IFERROR(__xludf.DUMMYFUNCTION("""COMPUTED_VALUE"""),"")</f>
        <v/>
      </c>
      <c r="R5162" s="21" t="str">
        <f>IFERROR(__xludf.DUMMYFUNCTION("""COMPUTED_VALUE"""),"https://drive.google.com/file/d/1Bbp4sXWXgQwyiAD55P-Wk5FI1T8S5faM/view?usp=drivesdk")</f>
        <v>https://drive.google.com/file/d/1Bbp4sXWXgQwyiAD55P-Wk5FI1T8S5faM/view?usp=drivesdk</v>
      </c>
    </row>
    <row r="5163">
      <c r="A5163" s="15">
        <f>IFERROR(__xludf.DUMMYFUNCTION("""COMPUTED_VALUE"""),45149.0)</f>
        <v>45149</v>
      </c>
      <c r="B5163" s="16" t="str">
        <f>IFERROR(__xludf.DUMMYFUNCTION("""COMPUTED_VALUE"""),"Orlando Urdaneta Rincon ")</f>
        <v>Orlando Urdaneta Rincon </v>
      </c>
      <c r="C5163" s="15" t="str">
        <f>IFERROR(__xludf.DUMMYFUNCTION("""COMPUTED_VALUE"""),"SANTA MARTA")</f>
        <v>SANTA MARTA</v>
      </c>
      <c r="D5163" s="15" t="str">
        <f>IFERROR(__xludf.DUMMYFUNCTION("""COMPUTED_VALUE"""),"BOGOTÁ")</f>
        <v>BOGOTÁ</v>
      </c>
      <c r="E5163" s="15" t="str">
        <f>IFERROR(__xludf.DUMMYFUNCTION("""COMPUTED_VALUE"""),"Evamazzita")</f>
        <v>Evamazzita</v>
      </c>
      <c r="F5163" s="17" t="str">
        <f>IFERROR(__xludf.DUMMYFUNCTION("""COMPUTED_VALUE"""),"Cll 29 # 31 35  / TO 1 AP 1401 / ED. MIRADOR DE SAN PEDRO")</f>
        <v>Cll 29 # 31 35  / TO 1 AP 1401 / ED. MIRADOR DE SAN PEDRO</v>
      </c>
      <c r="G5163" s="15" t="str">
        <f>IFERROR(__xludf.DUMMYFUNCTION("""COMPUTED_VALUE"""),"KATTIA CABAS")</f>
        <v>KATTIA CABAS</v>
      </c>
      <c r="H5163" s="16">
        <f>IFERROR(__xludf.DUMMYFUNCTION("""COMPUTED_VALUE"""),13743.0)</f>
        <v>13743</v>
      </c>
      <c r="I5163" s="18">
        <f>IFERROR(__xludf.DUMMYFUNCTION("""COMPUTED_VALUE"""),6.0)</f>
        <v>6</v>
      </c>
      <c r="J5163" s="18">
        <f>IFERROR(__xludf.DUMMYFUNCTION("""COMPUTED_VALUE"""),24.0)</f>
        <v>24</v>
      </c>
      <c r="K5163" s="18">
        <f>IFERROR(__xludf.DUMMYFUNCTION("""COMPUTED_VALUE"""),20.0)</f>
        <v>20</v>
      </c>
      <c r="L5163" s="17">
        <f>IFERROR(__xludf.DUMMYFUNCTION("""COMPUTED_VALUE"""),3.014396771E9)</f>
        <v>3014396771</v>
      </c>
      <c r="M5163" s="17" t="str">
        <f>IFERROR(__xludf.DUMMYFUNCTION("""COMPUTED_VALUE"""),"#REF!")</f>
        <v>#REF!</v>
      </c>
      <c r="N5163" s="17"/>
      <c r="O5163" s="17"/>
      <c r="P5163" s="17" t="b">
        <f>IFERROR(__xludf.DUMMYFUNCTION("""COMPUTED_VALUE"""),FALSE)</f>
        <v>0</v>
      </c>
      <c r="Q5163" s="20" t="str">
        <f>IFERROR(__xludf.DUMMYFUNCTION("""COMPUTED_VALUE"""),"")</f>
        <v/>
      </c>
      <c r="R5163" s="21" t="str">
        <f>IFERROR(__xludf.DUMMYFUNCTION("""COMPUTED_VALUE"""),"https://drive.google.com/file/d/1K1_PQnAVnP6ZkGDEBf5Z-nQYuOJ1yf6v/view?usp=drivesdk")</f>
        <v>https://drive.google.com/file/d/1K1_PQnAVnP6ZkGDEBf5Z-nQYuOJ1yf6v/view?usp=drivesdk</v>
      </c>
    </row>
    <row r="5164">
      <c r="A5164" s="15">
        <f>IFERROR(__xludf.DUMMYFUNCTION("""COMPUTED_VALUE"""),45149.0)</f>
        <v>45149</v>
      </c>
      <c r="B5164" s="16" t="str">
        <f>IFERROR(__xludf.DUMMYFUNCTION("""COMPUTED_VALUE"""),"Orlando Urdaneta Rincon ")</f>
        <v>Orlando Urdaneta Rincon </v>
      </c>
      <c r="C5164" s="15" t="str">
        <f>IFERROR(__xludf.DUMMYFUNCTION("""COMPUTED_VALUE"""),"SANTA MARTA")</f>
        <v>SANTA MARTA</v>
      </c>
      <c r="D5164" s="15" t="str">
        <f>IFERROR(__xludf.DUMMYFUNCTION("""COMPUTED_VALUE"""),"MEDELLÍN")</f>
        <v>MEDELLÍN</v>
      </c>
      <c r="E5164" s="15" t="str">
        <f>IFERROR(__xludf.DUMMYFUNCTION("""COMPUTED_VALUE"""),"Baby Chef")</f>
        <v>Baby Chef</v>
      </c>
      <c r="F5164" s="17" t="str">
        <f>IFERROR(__xludf.DUMMYFUNCTION("""COMPUTED_VALUE"""),"Calle 11A #5-40 Rodadero / Calle 11A #5-40 Rodadero / Calle 11A #5-40 Rodadero")</f>
        <v>Calle 11A #5-40 Rodadero / Calle 11A #5-40 Rodadero / Calle 11A #5-40 Rodadero</v>
      </c>
      <c r="G5164" s="15" t="str">
        <f>IFERROR(__xludf.DUMMYFUNCTION("""COMPUTED_VALUE"""),"Melissa Caballero Vives")</f>
        <v>Melissa Caballero Vives</v>
      </c>
      <c r="H5164" s="16">
        <f>IFERROR(__xludf.DUMMYFUNCTION("""COMPUTED_VALUE"""),13820.0)</f>
        <v>13820</v>
      </c>
      <c r="I5164" s="18">
        <f>IFERROR(__xludf.DUMMYFUNCTION("""COMPUTED_VALUE"""),8.0)</f>
        <v>8</v>
      </c>
      <c r="J5164" s="18">
        <f>IFERROR(__xludf.DUMMYFUNCTION("""COMPUTED_VALUE"""),43.0)</f>
        <v>43</v>
      </c>
      <c r="K5164" s="18">
        <f>IFERROR(__xludf.DUMMYFUNCTION("""COMPUTED_VALUE"""),33.0)</f>
        <v>33</v>
      </c>
      <c r="L5164" s="17">
        <f>IFERROR(__xludf.DUMMYFUNCTION("""COMPUTED_VALUE"""),3.044614918E9)</f>
        <v>3044614918</v>
      </c>
      <c r="M5164" s="17" t="str">
        <f>IFERROR(__xludf.DUMMYFUNCTION("""COMPUTED_VALUE"""),"#REF!")</f>
        <v>#REF!</v>
      </c>
      <c r="N5164" s="17"/>
      <c r="O5164" s="17"/>
      <c r="P5164" s="17" t="b">
        <f>IFERROR(__xludf.DUMMYFUNCTION("""COMPUTED_VALUE"""),FALSE)</f>
        <v>0</v>
      </c>
      <c r="Q5164" s="20" t="str">
        <f>IFERROR(__xludf.DUMMYFUNCTION("""COMPUTED_VALUE"""),"")</f>
        <v/>
      </c>
      <c r="R5164" s="21" t="str">
        <f>IFERROR(__xludf.DUMMYFUNCTION("""COMPUTED_VALUE"""),"https://drive.google.com/file/d/1zIDRzmpySwZHN_MrygYiYesaSaRk-wJW/view?usp=drivesdk")</f>
        <v>https://drive.google.com/file/d/1zIDRzmpySwZHN_MrygYiYesaSaRk-wJW/view?usp=drivesdk</v>
      </c>
    </row>
    <row r="5165">
      <c r="A5165" s="15">
        <f>IFERROR(__xludf.DUMMYFUNCTION("""COMPUTED_VALUE"""),45149.0)</f>
        <v>45149</v>
      </c>
      <c r="B5165" s="16" t="str">
        <f>IFERROR(__xludf.DUMMYFUNCTION("""COMPUTED_VALUE"""),"Orlando Urdaneta Rincon ")</f>
        <v>Orlando Urdaneta Rincon </v>
      </c>
      <c r="C5165" s="15" t="str">
        <f>IFERROR(__xludf.DUMMYFUNCTION("""COMPUTED_VALUE"""),"SANTA MARTA")</f>
        <v>SANTA MARTA</v>
      </c>
      <c r="D5165" s="15" t="str">
        <f>IFERROR(__xludf.DUMMYFUNCTION("""COMPUTED_VALUE"""),"MEDELLÍN")</f>
        <v>MEDELLÍN</v>
      </c>
      <c r="E5165" s="15" t="str">
        <f>IFERROR(__xludf.DUMMYFUNCTION("""COMPUTED_VALUE"""),"Magda")</f>
        <v>Magda</v>
      </c>
      <c r="F5165" s="17" t="str">
        <f>IFERROR(__xludf.DUMMYFUNCTION("""COMPUTED_VALUE"""),"Calle 22 # 6 - 82 / Local 27 Centro Comercial La 22 / Centro")</f>
        <v>Calle 22 # 6 - 82 / Local 27 Centro Comercial La 22 / Centro</v>
      </c>
      <c r="G5165" s="15" t="str">
        <f>IFERROR(__xludf.DUMMYFUNCTION("""COMPUTED_VALUE"""),"Shirley Manjarres")</f>
        <v>Shirley Manjarres</v>
      </c>
      <c r="H5165" s="16">
        <f>IFERROR(__xludf.DUMMYFUNCTION("""COMPUTED_VALUE"""),13804.0)</f>
        <v>13804</v>
      </c>
      <c r="I5165" s="18">
        <f>IFERROR(__xludf.DUMMYFUNCTION("""COMPUTED_VALUE"""),5.0)</f>
        <v>5</v>
      </c>
      <c r="J5165" s="18">
        <f>IFERROR(__xludf.DUMMYFUNCTION("""COMPUTED_VALUE"""),5.0)</f>
        <v>5</v>
      </c>
      <c r="K5165" s="18">
        <f>IFERROR(__xludf.DUMMYFUNCTION("""COMPUTED_VALUE"""),5.0)</f>
        <v>5</v>
      </c>
      <c r="L5165" s="17">
        <f>IFERROR(__xludf.DUMMYFUNCTION("""COMPUTED_VALUE"""),3.054269156E9)</f>
        <v>3054269156</v>
      </c>
      <c r="M5165" s="17" t="str">
        <f>IFERROR(__xludf.DUMMYFUNCTION("""COMPUTED_VALUE"""),"#REF!")</f>
        <v>#REF!</v>
      </c>
      <c r="N5165" s="17"/>
      <c r="O5165" s="17"/>
      <c r="P5165" s="17" t="b">
        <f>IFERROR(__xludf.DUMMYFUNCTION("""COMPUTED_VALUE"""),FALSE)</f>
        <v>0</v>
      </c>
      <c r="Q5165" s="20" t="str">
        <f>IFERROR(__xludf.DUMMYFUNCTION("""COMPUTED_VALUE"""),"")</f>
        <v/>
      </c>
      <c r="R5165" s="22" t="str">
        <f>IFERROR(__xludf.DUMMYFUNCTION("""COMPUTED_VALUE"""),"")</f>
        <v/>
      </c>
    </row>
    <row r="5166">
      <c r="A5166" s="15">
        <f>IFERROR(__xludf.DUMMYFUNCTION("""COMPUTED_VALUE"""),45149.0)</f>
        <v>45149</v>
      </c>
      <c r="B5166" s="16" t="str">
        <f>IFERROR(__xludf.DUMMYFUNCTION("""COMPUTED_VALUE"""),"Orlando Urdaneta Rincon ")</f>
        <v>Orlando Urdaneta Rincon </v>
      </c>
      <c r="C5166" s="15" t="str">
        <f>IFERROR(__xludf.DUMMYFUNCTION("""COMPUTED_VALUE"""),"SOACHA")</f>
        <v>SOACHA</v>
      </c>
      <c r="D5166" s="15" t="str">
        <f>IFERROR(__xludf.DUMMYFUNCTION("""COMPUTED_VALUE"""),"MEDELLÍN")</f>
        <v>MEDELLÍN</v>
      </c>
      <c r="E5166" s="15" t="str">
        <f>IFERROR(__xludf.DUMMYFUNCTION("""COMPUTED_VALUE"""),"Rambla")</f>
        <v>Rambla</v>
      </c>
      <c r="F5166" s="17" t="str">
        <f>IFERROR(__xludf.DUMMYFUNCTION("""COMPUTED_VALUE"""),"Carrera 1A No. 20 - 138 Urbanizacion El Sol - Soacha / - / -")</f>
        <v>Carrera 1A No. 20 - 138 Urbanizacion El Sol - Soacha / - / -</v>
      </c>
      <c r="G5166" s="15" t="str">
        <f>IFERROR(__xludf.DUMMYFUNCTION("""COMPUTED_VALUE"""),"Diana Marcela Velasquez Castañeda")</f>
        <v>Diana Marcela Velasquez Castañeda</v>
      </c>
      <c r="H5166" s="16">
        <f>IFERROR(__xludf.DUMMYFUNCTION("""COMPUTED_VALUE"""),13851.0)</f>
        <v>13851</v>
      </c>
      <c r="I5166" s="18">
        <f>IFERROR(__xludf.DUMMYFUNCTION("""COMPUTED_VALUE"""),20.0)</f>
        <v>20</v>
      </c>
      <c r="J5166" s="18">
        <f>IFERROR(__xludf.DUMMYFUNCTION("""COMPUTED_VALUE"""),24.0)</f>
        <v>24</v>
      </c>
      <c r="K5166" s="18">
        <f>IFERROR(__xludf.DUMMYFUNCTION("""COMPUTED_VALUE"""),24.0)</f>
        <v>24</v>
      </c>
      <c r="L5166" s="17">
        <f>IFERROR(__xludf.DUMMYFUNCTION("""COMPUTED_VALUE"""),3.107768763E9)</f>
        <v>3107768763</v>
      </c>
      <c r="M5166" s="17" t="str">
        <f>IFERROR(__xludf.DUMMYFUNCTION("""COMPUTED_VALUE"""),"#REF!")</f>
        <v>#REF!</v>
      </c>
      <c r="N5166" s="17"/>
      <c r="O5166" s="17"/>
      <c r="P5166" s="17" t="b">
        <f>IFERROR(__xludf.DUMMYFUNCTION("""COMPUTED_VALUE"""),FALSE)</f>
        <v>0</v>
      </c>
      <c r="Q5166" s="20" t="str">
        <f>IFERROR(__xludf.DUMMYFUNCTION("""COMPUTED_VALUE"""),"")</f>
        <v/>
      </c>
      <c r="R5166" s="21" t="str">
        <f>IFERROR(__xludf.DUMMYFUNCTION("""COMPUTED_VALUE"""),"https://drive.google.com/file/d/1-6kmg5q4HA70wABhKY1jn5mkBs5neeUJ/view?usp=drivesdk")</f>
        <v>https://drive.google.com/file/d/1-6kmg5q4HA70wABhKY1jn5mkBs5neeUJ/view?usp=drivesdk</v>
      </c>
    </row>
    <row r="5167">
      <c r="A5167" s="17" t="str">
        <f>IFERROR(__xludf.DUMMYFUNCTION("""COMPUTED_VALUE"""),"")</f>
        <v/>
      </c>
      <c r="B5167" s="17" t="str">
        <f>IFERROR(__xludf.DUMMYFUNCTION("""COMPUTED_VALUE"""),"")</f>
        <v/>
      </c>
      <c r="C5167" s="17" t="str">
        <f>IFERROR(__xludf.DUMMYFUNCTION("""COMPUTED_VALUE"""),"")</f>
        <v/>
      </c>
      <c r="D5167" s="17" t="str">
        <f>IFERROR(__xludf.DUMMYFUNCTION("""COMPUTED_VALUE"""),"")</f>
        <v/>
      </c>
      <c r="E5167" s="17" t="str">
        <f>IFERROR(__xludf.DUMMYFUNCTION("""COMPUTED_VALUE"""),"")</f>
        <v/>
      </c>
      <c r="F5167" s="17" t="str">
        <f>IFERROR(__xludf.DUMMYFUNCTION("""COMPUTED_VALUE"""),"")</f>
        <v/>
      </c>
      <c r="G5167" s="17" t="str">
        <f>IFERROR(__xludf.DUMMYFUNCTION("""COMPUTED_VALUE"""),"")</f>
        <v/>
      </c>
      <c r="H5167" s="17" t="str">
        <f>IFERROR(__xludf.DUMMYFUNCTION("""COMPUTED_VALUE"""),"")</f>
        <v/>
      </c>
      <c r="I5167" s="17" t="str">
        <f>IFERROR(__xludf.DUMMYFUNCTION("""COMPUTED_VALUE"""),"")</f>
        <v/>
      </c>
      <c r="J5167" s="17" t="str">
        <f>IFERROR(__xludf.DUMMYFUNCTION("""COMPUTED_VALUE"""),"")</f>
        <v/>
      </c>
      <c r="K5167" s="17" t="str">
        <f>IFERROR(__xludf.DUMMYFUNCTION("""COMPUTED_VALUE"""),"")</f>
        <v/>
      </c>
      <c r="L5167" s="17" t="str">
        <f>IFERROR(__xludf.DUMMYFUNCTION("""COMPUTED_VALUE"""),"")</f>
        <v/>
      </c>
      <c r="M5167" s="17" t="str">
        <f>IFERROR(__xludf.DUMMYFUNCTION("""COMPUTED_VALUE"""),"")</f>
        <v/>
      </c>
      <c r="N5167" s="17" t="str">
        <f>IFERROR(__xludf.DUMMYFUNCTION("""COMPUTED_VALUE"""),"")</f>
        <v/>
      </c>
      <c r="O5167" s="17" t="str">
        <f>IFERROR(__xludf.DUMMYFUNCTION("""COMPUTED_VALUE"""),"")</f>
        <v/>
      </c>
      <c r="P5167" s="17" t="str">
        <f>IFERROR(__xludf.DUMMYFUNCTION("""COMPUTED_VALUE"""),"")</f>
        <v/>
      </c>
      <c r="Q5167" s="17" t="str">
        <f>IFERROR(__xludf.DUMMYFUNCTION("""COMPUTED_VALUE"""),"")</f>
        <v/>
      </c>
      <c r="R5167" s="17" t="str">
        <f>IFERROR(__xludf.DUMMYFUNCTION("""COMPUTED_VALUE"""),"")</f>
        <v/>
      </c>
    </row>
    <row r="5168">
      <c r="A5168" s="15">
        <f>IFERROR(__xludf.DUMMYFUNCTION("""COMPUTED_VALUE"""),45149.0)</f>
        <v>45149</v>
      </c>
      <c r="B5168" s="16" t="str">
        <f>IFERROR(__xludf.DUMMYFUNCTION("""COMPUTED_VALUE"""),"Yenis Carolina sicuamia montaño")</f>
        <v>Yenis Carolina sicuamia montaño</v>
      </c>
      <c r="C5168" s="15" t="str">
        <f>IFERROR(__xludf.DUMMYFUNCTION("""COMPUTED_VALUE"""),"CARTAGENA")</f>
        <v>CARTAGENA</v>
      </c>
      <c r="D5168" s="15" t="str">
        <f>IFERROR(__xludf.DUMMYFUNCTION("""COMPUTED_VALUE"""),"BOGOTÁ")</f>
        <v>BOGOTÁ</v>
      </c>
      <c r="E5168" s="15" t="str">
        <f>IFERROR(__xludf.DUMMYFUNCTION("""COMPUTED_VALUE"""),"Blond &amp; This")</f>
        <v>Blond &amp; This</v>
      </c>
      <c r="F5168" s="17" t="str">
        <f>IFERROR(__xludf.DUMMYFUNCTION("""COMPUTED_VALUE"""),"Km 8 Via al Mar - Serena Del Mar / Manzanillo. Edificio Morros ÍO, apto 107 / Entrando a. la derecha por el centro comercial las Ramblas")</f>
        <v>Km 8 Via al Mar - Serena Del Mar / Manzanillo. Edificio Morros ÍO, apto 107 / Entrando a. la derecha por el centro comercial las Ramblas</v>
      </c>
      <c r="G5168" s="15" t="str">
        <f>IFERROR(__xludf.DUMMYFUNCTION("""COMPUTED_VALUE"""),"Valeria Aponte")</f>
        <v>Valeria Aponte</v>
      </c>
      <c r="H5168" s="16">
        <f>IFERROR(__xludf.DUMMYFUNCTION("""COMPUTED_VALUE"""),13878.0)</f>
        <v>13878</v>
      </c>
      <c r="I5168" s="18">
        <f>IFERROR(__xludf.DUMMYFUNCTION("""COMPUTED_VALUE"""),54.0)</f>
        <v>54</v>
      </c>
      <c r="J5168" s="18">
        <f>IFERROR(__xludf.DUMMYFUNCTION("""COMPUTED_VALUE"""),26.0)</f>
        <v>26</v>
      </c>
      <c r="K5168" s="18">
        <f>IFERROR(__xludf.DUMMYFUNCTION("""COMPUTED_VALUE"""),31.0)</f>
        <v>31</v>
      </c>
      <c r="L5168" s="17">
        <f>IFERROR(__xludf.DUMMYFUNCTION("""COMPUTED_VALUE"""),3.104693289E9)</f>
        <v>3104693289</v>
      </c>
      <c r="M5168" s="17" t="str">
        <f>IFERROR(__xludf.DUMMYFUNCTION("""COMPUTED_VALUE"""),"#REF!")</f>
        <v>#REF!</v>
      </c>
      <c r="N5168" s="17"/>
      <c r="O5168" s="17"/>
      <c r="P5168" s="17" t="b">
        <f>IFERROR(__xludf.DUMMYFUNCTION("""COMPUTED_VALUE"""),FALSE)</f>
        <v>0</v>
      </c>
      <c r="Q5168" s="20" t="str">
        <f>IFERROR(__xludf.DUMMYFUNCTION("""COMPUTED_VALUE"""),"")</f>
        <v/>
      </c>
      <c r="R5168" s="22" t="str">
        <f>IFERROR(__xludf.DUMMYFUNCTION("""COMPUTED_VALUE"""),"")</f>
        <v/>
      </c>
    </row>
    <row r="5169">
      <c r="A5169" s="15">
        <f>IFERROR(__xludf.DUMMYFUNCTION("""COMPUTED_VALUE"""),45149.0)</f>
        <v>45149</v>
      </c>
      <c r="B5169" s="16" t="str">
        <f>IFERROR(__xludf.DUMMYFUNCTION("""COMPUTED_VALUE"""),"Yenis Carolina sicuamia montaño")</f>
        <v>Yenis Carolina sicuamia montaño</v>
      </c>
      <c r="C5169" s="15" t="str">
        <f>IFERROR(__xludf.DUMMYFUNCTION("""COMPUTED_VALUE"""),"POPAYAN")</f>
        <v>POPAYAN</v>
      </c>
      <c r="D5169" s="15" t="str">
        <f>IFERROR(__xludf.DUMMYFUNCTION("""COMPUTED_VALUE"""),"MEDELLÍN")</f>
        <v>MEDELLÍN</v>
      </c>
      <c r="E5169" s="15" t="str">
        <f>IFERROR(__xludf.DUMMYFUNCTION("""COMPUTED_VALUE"""),"Rambla")</f>
        <v>Rambla</v>
      </c>
      <c r="F5169" s="17" t="str">
        <f>IFERROR(__xludf.DUMMYFUNCTION("""COMPUTED_VALUE"""),"Carrera 9 # 18N - 239 Local 4 Terrazas del norte Barrio: Catay / - / -")</f>
        <v>Carrera 9 # 18N - 239 Local 4 Terrazas del norte Barrio: Catay / - / -</v>
      </c>
      <c r="G5169" s="15" t="str">
        <f>IFERROR(__xludf.DUMMYFUNCTION("""COMPUTED_VALUE"""),"Vitafit")</f>
        <v>Vitafit</v>
      </c>
      <c r="H5169" s="16">
        <f>IFERROR(__xludf.DUMMYFUNCTION("""COMPUTED_VALUE"""),13796.0)</f>
        <v>13796</v>
      </c>
      <c r="I5169" s="18">
        <f>IFERROR(__xludf.DUMMYFUNCTION("""COMPUTED_VALUE"""),29.0)</f>
        <v>29</v>
      </c>
      <c r="J5169" s="18">
        <f>IFERROR(__xludf.DUMMYFUNCTION("""COMPUTED_VALUE"""),32.0)</f>
        <v>32</v>
      </c>
      <c r="K5169" s="18">
        <f>IFERROR(__xludf.DUMMYFUNCTION("""COMPUTED_VALUE"""),32.0)</f>
        <v>32</v>
      </c>
      <c r="L5169" s="17">
        <f>IFERROR(__xludf.DUMMYFUNCTION("""COMPUTED_VALUE"""),3.017324093E9)</f>
        <v>3017324093</v>
      </c>
      <c r="M5169" s="17" t="str">
        <f>IFERROR(__xludf.DUMMYFUNCTION("""COMPUTED_VALUE"""),"#REF!")</f>
        <v>#REF!</v>
      </c>
      <c r="N5169" s="17"/>
      <c r="O5169" s="17"/>
      <c r="P5169" s="17" t="b">
        <f>IFERROR(__xludf.DUMMYFUNCTION("""COMPUTED_VALUE"""),FALSE)</f>
        <v>0</v>
      </c>
      <c r="Q5169" s="20" t="str">
        <f>IFERROR(__xludf.DUMMYFUNCTION("""COMPUTED_VALUE"""),"")</f>
        <v/>
      </c>
      <c r="R5169" s="22" t="str">
        <f>IFERROR(__xludf.DUMMYFUNCTION("""COMPUTED_VALUE"""),"")</f>
        <v/>
      </c>
    </row>
    <row r="5170">
      <c r="A5170" s="15">
        <f>IFERROR(__xludf.DUMMYFUNCTION("""COMPUTED_VALUE"""),45149.0)</f>
        <v>45149</v>
      </c>
      <c r="B5170" s="16" t="str">
        <f>IFERROR(__xludf.DUMMYFUNCTION("""COMPUTED_VALUE"""),"Yenis Carolina sicuamia montaño")</f>
        <v>Yenis Carolina sicuamia montaño</v>
      </c>
      <c r="C5170" s="15" t="str">
        <f>IFERROR(__xludf.DUMMYFUNCTION("""COMPUTED_VALUE"""),"VALLEDUPAR")</f>
        <v>VALLEDUPAR</v>
      </c>
      <c r="D5170" s="15" t="str">
        <f>IFERROR(__xludf.DUMMYFUNCTION("""COMPUTED_VALUE"""),"BOGOTÁ")</f>
        <v>BOGOTÁ</v>
      </c>
      <c r="E5170" s="15" t="str">
        <f>IFERROR(__xludf.DUMMYFUNCTION("""COMPUTED_VALUE"""),"Evamazzita")</f>
        <v>Evamazzita</v>
      </c>
      <c r="F5170" s="17" t="str">
        <f>IFERROR(__xludf.DUMMYFUNCTION("""COMPUTED_VALUE"""),"Cr 23 #24-34 1 DE MAYO / 1 DE MAYO / 1 DE MAYO")</f>
        <v>Cr 23 #24-34 1 DE MAYO / 1 DE MAYO / 1 DE MAYO</v>
      </c>
      <c r="G5170" s="15" t="str">
        <f>IFERROR(__xludf.DUMMYFUNCTION("""COMPUTED_VALUE"""),"IRINA YISETH CASTRO MARTINEZ")</f>
        <v>IRINA YISETH CASTRO MARTINEZ</v>
      </c>
      <c r="H5170" s="16">
        <f>IFERROR(__xludf.DUMMYFUNCTION("""COMPUTED_VALUE"""),13786.0)</f>
        <v>13786</v>
      </c>
      <c r="I5170" s="18">
        <f>IFERROR(__xludf.DUMMYFUNCTION("""COMPUTED_VALUE"""),1.0)</f>
        <v>1</v>
      </c>
      <c r="J5170" s="18">
        <f>IFERROR(__xludf.DUMMYFUNCTION("""COMPUTED_VALUE"""),1.0)</f>
        <v>1</v>
      </c>
      <c r="K5170" s="18">
        <f>IFERROR(__xludf.DUMMYFUNCTION("""COMPUTED_VALUE"""),1.0)</f>
        <v>1</v>
      </c>
      <c r="L5170" s="17">
        <f>IFERROR(__xludf.DUMMYFUNCTION("""COMPUTED_VALUE"""),3.027749155E9)</f>
        <v>3027749155</v>
      </c>
      <c r="M5170" s="17" t="str">
        <f>IFERROR(__xludf.DUMMYFUNCTION("""COMPUTED_VALUE"""),"#REF!")</f>
        <v>#REF!</v>
      </c>
      <c r="N5170" s="17"/>
      <c r="O5170" s="17"/>
      <c r="P5170" s="17" t="b">
        <f>IFERROR(__xludf.DUMMYFUNCTION("""COMPUTED_VALUE"""),FALSE)</f>
        <v>0</v>
      </c>
      <c r="Q5170" s="20" t="str">
        <f>IFERROR(__xludf.DUMMYFUNCTION("""COMPUTED_VALUE"""),"")</f>
        <v/>
      </c>
      <c r="R5170" s="22" t="str">
        <f>IFERROR(__xludf.DUMMYFUNCTION("""COMPUTED_VALUE"""),"")</f>
        <v/>
      </c>
    </row>
    <row r="5171">
      <c r="A5171" s="17" t="str">
        <f>IFERROR(__xludf.DUMMYFUNCTION("""COMPUTED_VALUE"""),"")</f>
        <v/>
      </c>
      <c r="B5171" s="17" t="str">
        <f>IFERROR(__xludf.DUMMYFUNCTION("""COMPUTED_VALUE"""),"")</f>
        <v/>
      </c>
      <c r="C5171" s="17" t="str">
        <f>IFERROR(__xludf.DUMMYFUNCTION("""COMPUTED_VALUE"""),"")</f>
        <v/>
      </c>
      <c r="D5171" s="17" t="str">
        <f>IFERROR(__xludf.DUMMYFUNCTION("""COMPUTED_VALUE"""),"")</f>
        <v/>
      </c>
      <c r="E5171" s="17" t="str">
        <f>IFERROR(__xludf.DUMMYFUNCTION("""COMPUTED_VALUE"""),"")</f>
        <v/>
      </c>
      <c r="F5171" s="17" t="str">
        <f>IFERROR(__xludf.DUMMYFUNCTION("""COMPUTED_VALUE"""),"")</f>
        <v/>
      </c>
      <c r="G5171" s="17" t="str">
        <f>IFERROR(__xludf.DUMMYFUNCTION("""COMPUTED_VALUE"""),"")</f>
        <v/>
      </c>
      <c r="H5171" s="17" t="str">
        <f>IFERROR(__xludf.DUMMYFUNCTION("""COMPUTED_VALUE"""),"")</f>
        <v/>
      </c>
      <c r="I5171" s="17" t="str">
        <f>IFERROR(__xludf.DUMMYFUNCTION("""COMPUTED_VALUE"""),"")</f>
        <v/>
      </c>
      <c r="J5171" s="17" t="str">
        <f>IFERROR(__xludf.DUMMYFUNCTION("""COMPUTED_VALUE"""),"")</f>
        <v/>
      </c>
      <c r="K5171" s="17" t="str">
        <f>IFERROR(__xludf.DUMMYFUNCTION("""COMPUTED_VALUE"""),"")</f>
        <v/>
      </c>
      <c r="L5171" s="17" t="str">
        <f>IFERROR(__xludf.DUMMYFUNCTION("""COMPUTED_VALUE"""),"")</f>
        <v/>
      </c>
      <c r="M5171" s="17" t="str">
        <f>IFERROR(__xludf.DUMMYFUNCTION("""COMPUTED_VALUE"""),"")</f>
        <v/>
      </c>
      <c r="N5171" s="17" t="str">
        <f>IFERROR(__xludf.DUMMYFUNCTION("""COMPUTED_VALUE"""),"")</f>
        <v/>
      </c>
      <c r="O5171" s="17" t="str">
        <f>IFERROR(__xludf.DUMMYFUNCTION("""COMPUTED_VALUE"""),"")</f>
        <v/>
      </c>
      <c r="P5171" s="17" t="str">
        <f>IFERROR(__xludf.DUMMYFUNCTION("""COMPUTED_VALUE"""),"")</f>
        <v/>
      </c>
      <c r="Q5171" s="17" t="str">
        <f>IFERROR(__xludf.DUMMYFUNCTION("""COMPUTED_VALUE"""),"")</f>
        <v/>
      </c>
      <c r="R5171" s="17" t="str">
        <f>IFERROR(__xludf.DUMMYFUNCTION("""COMPUTED_VALUE"""),"")</f>
        <v/>
      </c>
    </row>
    <row r="5172">
      <c r="A5172" s="15">
        <f>IFERROR(__xludf.DUMMYFUNCTION("""COMPUTED_VALUE"""),45150.0)</f>
        <v>45150</v>
      </c>
      <c r="B5172" s="16" t="str">
        <f>IFERROR(__xludf.DUMMYFUNCTION("""COMPUTED_VALUE"""),"Envia")</f>
        <v>Envia</v>
      </c>
      <c r="C5172" s="15" t="str">
        <f>IFERROR(__xludf.DUMMYFUNCTION("""COMPUTED_VALUE"""),"CALI")</f>
        <v>CALI</v>
      </c>
      <c r="D5172" s="15" t="str">
        <f>IFERROR(__xludf.DUMMYFUNCTION("""COMPUTED_VALUE"""),"BUCARAMANGA")</f>
        <v>BUCARAMANGA</v>
      </c>
      <c r="E5172" s="15" t="str">
        <f>IFERROR(__xludf.DUMMYFUNCTION("""COMPUTED_VALUE"""),"Yo Como Solito")</f>
        <v>Yo Como Solito</v>
      </c>
      <c r="F5172" s="17" t="str">
        <f>IFERROR(__xludf.DUMMYFUNCTION("""COMPUTED_VALUE"""),"CALLE 59 NO. 93-130 UNIDAD TERRACOTA APTO 604 TORRE 2A BARRIO CIUDAD MELENDEZ VALLE DE LILI  / CALLE 59 NO. 93-130 UNIDAD TERRACOTA APTO 604 TORRE 2A BARRIO CIUDAD MELENDEZ VALLE DE LILI  / CALLE 59 NO. 93-130 UNIDAD TERRACOTA APTO 604 TORRE 2A BARRIO CIU"&amp;"DAD MELENDEZ VALLE DE LILI")</f>
        <v>CALLE 59 NO. 93-130 UNIDAD TERRACOTA APTO 604 TORRE 2A BARRIO CIUDAD MELENDEZ VALLE DE LILI  / CALLE 59 NO. 93-130 UNIDAD TERRACOTA APTO 604 TORRE 2A BARRIO CIUDAD MELENDEZ VALLE DE LILI  / CALLE 59 NO. 93-130 UNIDAD TERRACOTA APTO 604 TORRE 2A BARRIO CIUDAD MELENDEZ VALLE DE LILI</v>
      </c>
      <c r="G5172" s="15" t="str">
        <f>IFERROR(__xludf.DUMMYFUNCTION("""COMPUTED_VALUE"""),"JIREH RAMOS")</f>
        <v>JIREH RAMOS</v>
      </c>
      <c r="H5172" s="16">
        <f>IFERROR(__xludf.DUMMYFUNCTION("""COMPUTED_VALUE"""),13703.0)</f>
        <v>13703</v>
      </c>
      <c r="I5172" s="18">
        <f>IFERROR(__xludf.DUMMYFUNCTION("""COMPUTED_VALUE"""),13.0)</f>
        <v>13</v>
      </c>
      <c r="J5172" s="18">
        <f>IFERROR(__xludf.DUMMYFUNCTION("""COMPUTED_VALUE"""),33.0)</f>
        <v>33</v>
      </c>
      <c r="K5172" s="18">
        <f>IFERROR(__xludf.DUMMYFUNCTION("""COMPUTED_VALUE"""),49.0)</f>
        <v>49</v>
      </c>
      <c r="L5172" s="17">
        <f>IFERROR(__xludf.DUMMYFUNCTION("""COMPUTED_VALUE"""),3.175170844E9)</f>
        <v>3175170844</v>
      </c>
      <c r="M5172" s="17" t="str">
        <f>IFERROR(__xludf.DUMMYFUNCTION("""COMPUTED_VALUE"""),"#REF!")</f>
        <v>#REF!</v>
      </c>
      <c r="N5172" s="17"/>
      <c r="O5172" s="17"/>
      <c r="P5172" s="17" t="b">
        <f>IFERROR(__xludf.DUMMYFUNCTION("""COMPUTED_VALUE"""),FALSE)</f>
        <v>0</v>
      </c>
      <c r="Q5172" s="20" t="str">
        <f>IFERROR(__xludf.DUMMYFUNCTION("""COMPUTED_VALUE"""),"")</f>
        <v/>
      </c>
      <c r="R5172" s="21" t="str">
        <f>IFERROR(__xludf.DUMMYFUNCTION("""COMPUTED_VALUE"""),"https://drive.google.com/file/d/1Dm8K3s83Q16mC6PNZ9iFNmlmab6hZP2Q/view?usp=drivesdk")</f>
        <v>https://drive.google.com/file/d/1Dm8K3s83Q16mC6PNZ9iFNmlmab6hZP2Q/view?usp=drivesdk</v>
      </c>
    </row>
    <row r="5173">
      <c r="A5173" s="17" t="str">
        <f>IFERROR(__xludf.DUMMYFUNCTION("""COMPUTED_VALUE"""),"")</f>
        <v/>
      </c>
      <c r="B5173" s="17" t="str">
        <f>IFERROR(__xludf.DUMMYFUNCTION("""COMPUTED_VALUE"""),"")</f>
        <v/>
      </c>
      <c r="C5173" s="17" t="str">
        <f>IFERROR(__xludf.DUMMYFUNCTION("""COMPUTED_VALUE"""),"")</f>
        <v/>
      </c>
      <c r="D5173" s="17" t="str">
        <f>IFERROR(__xludf.DUMMYFUNCTION("""COMPUTED_VALUE"""),"")</f>
        <v/>
      </c>
      <c r="E5173" s="17" t="str">
        <f>IFERROR(__xludf.DUMMYFUNCTION("""COMPUTED_VALUE"""),"")</f>
        <v/>
      </c>
      <c r="F5173" s="17" t="str">
        <f>IFERROR(__xludf.DUMMYFUNCTION("""COMPUTED_VALUE"""),"")</f>
        <v/>
      </c>
      <c r="G5173" s="17" t="str">
        <f>IFERROR(__xludf.DUMMYFUNCTION("""COMPUTED_VALUE"""),"")</f>
        <v/>
      </c>
      <c r="H5173" s="17" t="str">
        <f>IFERROR(__xludf.DUMMYFUNCTION("""COMPUTED_VALUE"""),"")</f>
        <v/>
      </c>
      <c r="I5173" s="17" t="str">
        <f>IFERROR(__xludf.DUMMYFUNCTION("""COMPUTED_VALUE"""),"")</f>
        <v/>
      </c>
      <c r="J5173" s="17" t="str">
        <f>IFERROR(__xludf.DUMMYFUNCTION("""COMPUTED_VALUE"""),"")</f>
        <v/>
      </c>
      <c r="K5173" s="17" t="str">
        <f>IFERROR(__xludf.DUMMYFUNCTION("""COMPUTED_VALUE"""),"")</f>
        <v/>
      </c>
      <c r="L5173" s="17" t="str">
        <f>IFERROR(__xludf.DUMMYFUNCTION("""COMPUTED_VALUE"""),"")</f>
        <v/>
      </c>
      <c r="M5173" s="17" t="str">
        <f>IFERROR(__xludf.DUMMYFUNCTION("""COMPUTED_VALUE"""),"")</f>
        <v/>
      </c>
      <c r="N5173" s="17" t="str">
        <f>IFERROR(__xludf.DUMMYFUNCTION("""COMPUTED_VALUE"""),"")</f>
        <v/>
      </c>
      <c r="O5173" s="17" t="str">
        <f>IFERROR(__xludf.DUMMYFUNCTION("""COMPUTED_VALUE"""),"")</f>
        <v/>
      </c>
      <c r="P5173" s="17" t="str">
        <f>IFERROR(__xludf.DUMMYFUNCTION("""COMPUTED_VALUE"""),"")</f>
        <v/>
      </c>
      <c r="Q5173" s="17" t="str">
        <f>IFERROR(__xludf.DUMMYFUNCTION("""COMPUTED_VALUE"""),"")</f>
        <v/>
      </c>
      <c r="R5173" s="17" t="str">
        <f>IFERROR(__xludf.DUMMYFUNCTION("""COMPUTED_VALUE"""),"")</f>
        <v/>
      </c>
    </row>
    <row r="5174">
      <c r="A5174" s="15">
        <f>IFERROR(__xludf.DUMMYFUNCTION("""COMPUTED_VALUE"""),45152.0)</f>
        <v>45152</v>
      </c>
      <c r="B5174" s="17"/>
      <c r="C5174" s="15" t="str">
        <f>IFERROR(__xludf.DUMMYFUNCTION("""COMPUTED_VALUE"""),"SOLEDAD")</f>
        <v>SOLEDAD</v>
      </c>
      <c r="D5174" s="15" t="str">
        <f>IFERROR(__xludf.DUMMYFUNCTION("""COMPUTED_VALUE"""),"BUCARAMANGA")</f>
        <v>BUCARAMANGA</v>
      </c>
      <c r="E5174" s="15" t="str">
        <f>IFERROR(__xludf.DUMMYFUNCTION("""COMPUTED_VALUE"""),"Yo Como Solito")</f>
        <v>Yo Como Solito</v>
      </c>
      <c r="F5174" s="17" t="str">
        <f>IFERROR(__xludf.DUMMYFUNCTION("""COMPUTED_VALUE"""),"CARRERA 37 NO.43-24 BARRIO LA ARBOLEDA SOLEDA ATLANTICO  / CARRERA 37 NO.43-24 BARRIO LA ARBOLEDA SOLEDA ATLANTICO  / CARRERA 37 NO.43-24 BARRIO LA ARBOLEDA SOLEDA ATLANTICO")</f>
        <v>CARRERA 37 NO.43-24 BARRIO LA ARBOLEDA SOLEDA ATLANTICO  / CARRERA 37 NO.43-24 BARRIO LA ARBOLEDA SOLEDA ATLANTICO  / CARRERA 37 NO.43-24 BARRIO LA ARBOLEDA SOLEDA ATLANTICO</v>
      </c>
      <c r="G5174" s="15" t="str">
        <f>IFERROR(__xludf.DUMMYFUNCTION("""COMPUTED_VALUE"""),"LEIDY MARTINEZ PRADA")</f>
        <v>LEIDY MARTINEZ PRADA</v>
      </c>
      <c r="H5174" s="16">
        <f>IFERROR(__xludf.DUMMYFUNCTION("""COMPUTED_VALUE"""),13704.0)</f>
        <v>13704</v>
      </c>
      <c r="I5174" s="18">
        <f>IFERROR(__xludf.DUMMYFUNCTION("""COMPUTED_VALUE"""),13.0)</f>
        <v>13</v>
      </c>
      <c r="J5174" s="18">
        <f>IFERROR(__xludf.DUMMYFUNCTION("""COMPUTED_VALUE"""),28.0)</f>
        <v>28</v>
      </c>
      <c r="K5174" s="18">
        <f>IFERROR(__xludf.DUMMYFUNCTION("""COMPUTED_VALUE"""),41.0)</f>
        <v>41</v>
      </c>
      <c r="L5174" s="17">
        <f>IFERROR(__xludf.DUMMYFUNCTION("""COMPUTED_VALUE"""),3.104398133E9)</f>
        <v>3104398133</v>
      </c>
      <c r="M5174" s="17" t="str">
        <f>IFERROR(__xludf.DUMMYFUNCTION("""COMPUTED_VALUE"""),"#REF!")</f>
        <v>#REF!</v>
      </c>
      <c r="N5174" s="17"/>
      <c r="O5174" s="17"/>
      <c r="P5174" s="17" t="b">
        <f>IFERROR(__xludf.DUMMYFUNCTION("""COMPUTED_VALUE"""),FALSE)</f>
        <v>0</v>
      </c>
      <c r="Q5174" s="20" t="str">
        <f>IFERROR(__xludf.DUMMYFUNCTION("""COMPUTED_VALUE"""),"")</f>
        <v/>
      </c>
      <c r="R5174" s="22" t="str">
        <f>IFERROR(__xludf.DUMMYFUNCTION("""COMPUTED_VALUE"""),"")</f>
        <v/>
      </c>
    </row>
    <row r="5175">
      <c r="A5175" s="17" t="str">
        <f>IFERROR(__xludf.DUMMYFUNCTION("""COMPUTED_VALUE"""),"")</f>
        <v/>
      </c>
      <c r="B5175" s="17" t="str">
        <f>IFERROR(__xludf.DUMMYFUNCTION("""COMPUTED_VALUE"""),"")</f>
        <v/>
      </c>
      <c r="C5175" s="17" t="str">
        <f>IFERROR(__xludf.DUMMYFUNCTION("""COMPUTED_VALUE"""),"")</f>
        <v/>
      </c>
      <c r="D5175" s="17" t="str">
        <f>IFERROR(__xludf.DUMMYFUNCTION("""COMPUTED_VALUE"""),"")</f>
        <v/>
      </c>
      <c r="E5175" s="17" t="str">
        <f>IFERROR(__xludf.DUMMYFUNCTION("""COMPUTED_VALUE"""),"")</f>
        <v/>
      </c>
      <c r="F5175" s="17" t="str">
        <f>IFERROR(__xludf.DUMMYFUNCTION("""COMPUTED_VALUE"""),"")</f>
        <v/>
      </c>
      <c r="G5175" s="17" t="str">
        <f>IFERROR(__xludf.DUMMYFUNCTION("""COMPUTED_VALUE"""),"")</f>
        <v/>
      </c>
      <c r="H5175" s="17" t="str">
        <f>IFERROR(__xludf.DUMMYFUNCTION("""COMPUTED_VALUE"""),"")</f>
        <v/>
      </c>
      <c r="I5175" s="17" t="str">
        <f>IFERROR(__xludf.DUMMYFUNCTION("""COMPUTED_VALUE"""),"")</f>
        <v/>
      </c>
      <c r="J5175" s="17" t="str">
        <f>IFERROR(__xludf.DUMMYFUNCTION("""COMPUTED_VALUE"""),"")</f>
        <v/>
      </c>
      <c r="K5175" s="17" t="str">
        <f>IFERROR(__xludf.DUMMYFUNCTION("""COMPUTED_VALUE"""),"")</f>
        <v/>
      </c>
      <c r="L5175" s="17" t="str">
        <f>IFERROR(__xludf.DUMMYFUNCTION("""COMPUTED_VALUE"""),"")</f>
        <v/>
      </c>
      <c r="M5175" s="17" t="str">
        <f>IFERROR(__xludf.DUMMYFUNCTION("""COMPUTED_VALUE"""),"")</f>
        <v/>
      </c>
      <c r="N5175" s="17" t="str">
        <f>IFERROR(__xludf.DUMMYFUNCTION("""COMPUTED_VALUE"""),"")</f>
        <v/>
      </c>
      <c r="O5175" s="17" t="str">
        <f>IFERROR(__xludf.DUMMYFUNCTION("""COMPUTED_VALUE"""),"")</f>
        <v/>
      </c>
      <c r="P5175" s="17" t="str">
        <f>IFERROR(__xludf.DUMMYFUNCTION("""COMPUTED_VALUE"""),"")</f>
        <v/>
      </c>
      <c r="Q5175" s="17" t="str">
        <f>IFERROR(__xludf.DUMMYFUNCTION("""COMPUTED_VALUE"""),"")</f>
        <v/>
      </c>
      <c r="R5175" s="17" t="str">
        <f>IFERROR(__xludf.DUMMYFUNCTION("""COMPUTED_VALUE"""),"")</f>
        <v/>
      </c>
    </row>
    <row r="5176">
      <c r="A5176" s="15">
        <f>IFERROR(__xludf.DUMMYFUNCTION("""COMPUTED_VALUE"""),45153.0)</f>
        <v>45153</v>
      </c>
      <c r="B5176" s="17"/>
      <c r="C5176" s="15" t="str">
        <f>IFERROR(__xludf.DUMMYFUNCTION("""COMPUTED_VALUE"""),"ARMENIA")</f>
        <v>ARMENIA</v>
      </c>
      <c r="D5176" s="15" t="str">
        <f>IFERROR(__xludf.DUMMYFUNCTION("""COMPUTED_VALUE"""),"MEDELLÍN")</f>
        <v>MEDELLÍN</v>
      </c>
      <c r="E5176" s="15" t="str">
        <f>IFERROR(__xludf.DUMMYFUNCTION("""COMPUTED_VALUE"""),"TOLEDALES S.A.S")</f>
        <v>TOLEDALES S.A.S</v>
      </c>
      <c r="F5176" s="17" t="str">
        <f>IFERROR(__xludf.DUMMYFUNCTION("""COMPUTED_VALUE"""),"Cll23A norte 19 47 / casa 2")</f>
        <v>Cll23A norte 19 47 / casa 2</v>
      </c>
      <c r="G5176" s="15" t="str">
        <f>IFERROR(__xludf.DUMMYFUNCTION("""COMPUTED_VALUE"""),"sandra salas")</f>
        <v>sandra salas</v>
      </c>
      <c r="H5176" s="16">
        <f>IFERROR(__xludf.DUMMYFUNCTION("""COMPUTED_VALUE"""),13911.0)</f>
        <v>13911</v>
      </c>
      <c r="I5176" s="18">
        <f>IFERROR(__xludf.DUMMYFUNCTION("""COMPUTED_VALUE"""),23.0)</f>
        <v>23</v>
      </c>
      <c r="J5176" s="18">
        <f>IFERROR(__xludf.DUMMYFUNCTION("""COMPUTED_VALUE"""),20.0)</f>
        <v>20</v>
      </c>
      <c r="K5176" s="18">
        <f>IFERROR(__xludf.DUMMYFUNCTION("""COMPUTED_VALUE"""),30.0)</f>
        <v>30</v>
      </c>
      <c r="L5176" s="17">
        <f>IFERROR(__xludf.DUMMYFUNCTION("""COMPUTED_VALUE"""),3.176643506E9)</f>
        <v>3176643506</v>
      </c>
      <c r="M5176" s="17" t="str">
        <f>IFERROR(__xludf.DUMMYFUNCTION("""COMPUTED_VALUE"""),"#REF!")</f>
        <v>#REF!</v>
      </c>
      <c r="N5176" s="17"/>
      <c r="O5176" s="17"/>
      <c r="P5176" s="17" t="b">
        <f>IFERROR(__xludf.DUMMYFUNCTION("""COMPUTED_VALUE"""),TRUE)</f>
        <v>1</v>
      </c>
      <c r="Q5176" s="20">
        <f>IFERROR(__xludf.DUMMYFUNCTION("""COMPUTED_VALUE"""),45153.46280787037)</f>
        <v>45153.46281</v>
      </c>
      <c r="R5176" s="22" t="str">
        <f>IFERROR(__xludf.DUMMYFUNCTION("""COMPUTED_VALUE"""),"")</f>
        <v/>
      </c>
    </row>
    <row r="5177">
      <c r="A5177" s="15">
        <f>IFERROR(__xludf.DUMMYFUNCTION("""COMPUTED_VALUE"""),45153.0)</f>
        <v>45153</v>
      </c>
      <c r="B5177" s="17"/>
      <c r="C5177" s="15" t="str">
        <f>IFERROR(__xludf.DUMMYFUNCTION("""COMPUTED_VALUE"""),"MEDELLÍN")</f>
        <v>MEDELLÍN</v>
      </c>
      <c r="D5177" s="15" t="str">
        <f>IFERROR(__xludf.DUMMYFUNCTION("""COMPUTED_VALUE"""),"BOGOTÁ")</f>
        <v>BOGOTÁ</v>
      </c>
      <c r="E5177" s="15" t="str">
        <f>IFERROR(__xludf.DUMMYFUNCTION("""COMPUTED_VALUE"""),"Asociacion Agropecuaria Juana Maria")</f>
        <v>Asociacion Agropecuaria Juana Maria</v>
      </c>
      <c r="F5177" s="17" t="str">
        <f>IFERROR(__xludf.DUMMYFUNCTION("""COMPUTED_VALUE"""),"Carrera 15 BA # 30D-44 int 201")</f>
        <v>Carrera 15 BA # 30D-44 int 201</v>
      </c>
      <c r="G5177" s="15" t="str">
        <f>IFERROR(__xludf.DUMMYFUNCTION("""COMPUTED_VALUE"""),"Daniela Bedoya Blandon")</f>
        <v>Daniela Bedoya Blandon</v>
      </c>
      <c r="H5177" s="16">
        <f>IFERROR(__xludf.DUMMYFUNCTION("""COMPUTED_VALUE"""),13900.0)</f>
        <v>13900</v>
      </c>
      <c r="I5177" s="18">
        <f>IFERROR(__xludf.DUMMYFUNCTION("""COMPUTED_VALUE"""),36.0)</f>
        <v>36</v>
      </c>
      <c r="J5177" s="18">
        <f>IFERROR(__xludf.DUMMYFUNCTION("""COMPUTED_VALUE"""),25.0)</f>
        <v>25</v>
      </c>
      <c r="K5177" s="18">
        <f>IFERROR(__xludf.DUMMYFUNCTION("""COMPUTED_VALUE"""),3.0)</f>
        <v>3</v>
      </c>
      <c r="L5177" s="17">
        <f>IFERROR(__xludf.DUMMYFUNCTION("""COMPUTED_VALUE"""),3.14672822E9)</f>
        <v>3146728220</v>
      </c>
      <c r="M5177" s="17" t="str">
        <f>IFERROR(__xludf.DUMMYFUNCTION("""COMPUTED_VALUE"""),"#REF!")</f>
        <v>#REF!</v>
      </c>
      <c r="N5177" s="17"/>
      <c r="O5177" s="17"/>
      <c r="P5177" s="17" t="b">
        <f>IFERROR(__xludf.DUMMYFUNCTION("""COMPUTED_VALUE"""),FALSE)</f>
        <v>0</v>
      </c>
      <c r="Q5177" s="20" t="str">
        <f>IFERROR(__xludf.DUMMYFUNCTION("""COMPUTED_VALUE"""),"")</f>
        <v/>
      </c>
      <c r="R5177" s="22" t="str">
        <f>IFERROR(__xludf.DUMMYFUNCTION("""COMPUTED_VALUE"""),"")</f>
        <v/>
      </c>
    </row>
    <row r="5178">
      <c r="A5178" s="17" t="str">
        <f>IFERROR(__xludf.DUMMYFUNCTION("""COMPUTED_VALUE"""),"")</f>
        <v/>
      </c>
      <c r="B5178" s="17" t="str">
        <f>IFERROR(__xludf.DUMMYFUNCTION("""COMPUTED_VALUE"""),"")</f>
        <v/>
      </c>
      <c r="C5178" s="17" t="str">
        <f>IFERROR(__xludf.DUMMYFUNCTION("""COMPUTED_VALUE"""),"")</f>
        <v/>
      </c>
      <c r="D5178" s="17" t="str">
        <f>IFERROR(__xludf.DUMMYFUNCTION("""COMPUTED_VALUE"""),"")</f>
        <v/>
      </c>
      <c r="E5178" s="17" t="str">
        <f>IFERROR(__xludf.DUMMYFUNCTION("""COMPUTED_VALUE"""),"")</f>
        <v/>
      </c>
      <c r="F5178" s="17" t="str">
        <f>IFERROR(__xludf.DUMMYFUNCTION("""COMPUTED_VALUE"""),"")</f>
        <v/>
      </c>
      <c r="G5178" s="17" t="str">
        <f>IFERROR(__xludf.DUMMYFUNCTION("""COMPUTED_VALUE"""),"")</f>
        <v/>
      </c>
      <c r="H5178" s="17" t="str">
        <f>IFERROR(__xludf.DUMMYFUNCTION("""COMPUTED_VALUE"""),"")</f>
        <v/>
      </c>
      <c r="I5178" s="17" t="str">
        <f>IFERROR(__xludf.DUMMYFUNCTION("""COMPUTED_VALUE"""),"")</f>
        <v/>
      </c>
      <c r="J5178" s="17" t="str">
        <f>IFERROR(__xludf.DUMMYFUNCTION("""COMPUTED_VALUE"""),"")</f>
        <v/>
      </c>
      <c r="K5178" s="17" t="str">
        <f>IFERROR(__xludf.DUMMYFUNCTION("""COMPUTED_VALUE"""),"")</f>
        <v/>
      </c>
      <c r="L5178" s="17" t="str">
        <f>IFERROR(__xludf.DUMMYFUNCTION("""COMPUTED_VALUE"""),"")</f>
        <v/>
      </c>
      <c r="M5178" s="17" t="str">
        <f>IFERROR(__xludf.DUMMYFUNCTION("""COMPUTED_VALUE"""),"")</f>
        <v/>
      </c>
      <c r="N5178" s="17" t="str">
        <f>IFERROR(__xludf.DUMMYFUNCTION("""COMPUTED_VALUE"""),"")</f>
        <v/>
      </c>
      <c r="O5178" s="17" t="str">
        <f>IFERROR(__xludf.DUMMYFUNCTION("""COMPUTED_VALUE"""),"")</f>
        <v/>
      </c>
      <c r="P5178" s="17" t="str">
        <f>IFERROR(__xludf.DUMMYFUNCTION("""COMPUTED_VALUE"""),"")</f>
        <v/>
      </c>
      <c r="Q5178" s="17" t="str">
        <f>IFERROR(__xludf.DUMMYFUNCTION("""COMPUTED_VALUE"""),"")</f>
        <v/>
      </c>
      <c r="R5178" s="17" t="str">
        <f>IFERROR(__xludf.DUMMYFUNCTION("""COMPUTED_VALUE"""),"")</f>
        <v/>
      </c>
    </row>
    <row r="5179">
      <c r="A5179" s="15">
        <f>IFERROR(__xludf.DUMMYFUNCTION("""COMPUTED_VALUE"""),45153.0)</f>
        <v>45153</v>
      </c>
      <c r="B5179" s="16" t="str">
        <f>IFERROR(__xludf.DUMMYFUNCTION("""COMPUTED_VALUE"""),"Deivi Alejandro Quintero Corrales")</f>
        <v>Deivi Alejandro Quintero Corrales</v>
      </c>
      <c r="C5179" s="15" t="str">
        <f>IFERROR(__xludf.DUMMYFUNCTION("""COMPUTED_VALUE"""),"PEREIRA")</f>
        <v>PEREIRA</v>
      </c>
      <c r="D5179" s="15" t="str">
        <f>IFERROR(__xludf.DUMMYFUNCTION("""COMPUTED_VALUE"""),"BOGOTÁ")</f>
        <v>BOGOTÁ</v>
      </c>
      <c r="E5179" s="15" t="str">
        <f>IFERROR(__xludf.DUMMYFUNCTION("""COMPUTED_VALUE"""),"Asociacion Agropecuaria Juana Maria")</f>
        <v>Asociacion Agropecuaria Juana Maria</v>
      </c>
      <c r="F5179" s="17" t="str">
        <f>IFERROR(__xludf.DUMMYFUNCTION("""COMPUTED_VALUE"""),"Calle 153 # 23 -41 manzana 1 casa 9 sol de Galicia")</f>
        <v>Calle 153 # 23 -41 manzana 1 casa 9 sol de Galicia</v>
      </c>
      <c r="G5179" s="15" t="str">
        <f>IFERROR(__xludf.DUMMYFUNCTION("""COMPUTED_VALUE"""),"Paula Andrea Forero")</f>
        <v>Paula Andrea Forero</v>
      </c>
      <c r="H5179" s="16">
        <f>IFERROR(__xludf.DUMMYFUNCTION("""COMPUTED_VALUE"""),13905.0)</f>
        <v>13905</v>
      </c>
      <c r="I5179" s="18">
        <f>IFERROR(__xludf.DUMMYFUNCTION("""COMPUTED_VALUE"""),26.0)</f>
        <v>26</v>
      </c>
      <c r="J5179" s="18">
        <f>IFERROR(__xludf.DUMMYFUNCTION("""COMPUTED_VALUE"""),8.0)</f>
        <v>8</v>
      </c>
      <c r="K5179" s="18">
        <f>IFERROR(__xludf.DUMMYFUNCTION("""COMPUTED_VALUE"""),8.0)</f>
        <v>8</v>
      </c>
      <c r="L5179" s="17">
        <f>IFERROR(__xludf.DUMMYFUNCTION("""COMPUTED_VALUE"""),3.115760231E9)</f>
        <v>3115760231</v>
      </c>
      <c r="M5179" s="17" t="str">
        <f>IFERROR(__xludf.DUMMYFUNCTION("""COMPUTED_VALUE"""),"#REF!")</f>
        <v>#REF!</v>
      </c>
      <c r="N5179" s="17"/>
      <c r="O5179" s="17"/>
      <c r="P5179" s="17" t="b">
        <f>IFERROR(__xludf.DUMMYFUNCTION("""COMPUTED_VALUE"""),FALSE)</f>
        <v>0</v>
      </c>
      <c r="Q5179" s="20" t="str">
        <f>IFERROR(__xludf.DUMMYFUNCTION("""COMPUTED_VALUE"""),"")</f>
        <v/>
      </c>
      <c r="R5179" s="22" t="str">
        <f>IFERROR(__xludf.DUMMYFUNCTION("""COMPUTED_VALUE"""),"")</f>
        <v/>
      </c>
    </row>
    <row r="5180">
      <c r="A5180" s="15">
        <f>IFERROR(__xludf.DUMMYFUNCTION("""COMPUTED_VALUE"""),45153.0)</f>
        <v>45153</v>
      </c>
      <c r="B5180" s="16" t="str">
        <f>IFERROR(__xludf.DUMMYFUNCTION("""COMPUTED_VALUE"""),"Deivi Alejandro Quintero Corrales")</f>
        <v>Deivi Alejandro Quintero Corrales</v>
      </c>
      <c r="C5180" s="15" t="str">
        <f>IFERROR(__xludf.DUMMYFUNCTION("""COMPUTED_VALUE"""),"PEREIRA")</f>
        <v>PEREIRA</v>
      </c>
      <c r="D5180" s="15" t="str">
        <f>IFERROR(__xludf.DUMMYFUNCTION("""COMPUTED_VALUE"""),"BOGOTÁ")</f>
        <v>BOGOTÁ</v>
      </c>
      <c r="E5180" s="15" t="str">
        <f>IFERROR(__xludf.DUMMYFUNCTION("""COMPUTED_VALUE"""),"Evamazzita")</f>
        <v>Evamazzita</v>
      </c>
      <c r="F5180" s="17" t="str">
        <f>IFERROR(__xludf.DUMMYFUNCTION("""COMPUTED_VALUE"""),"Cll 153 # 23 41 / Mz 1 casa 9 / Sol de galicia")</f>
        <v>Cll 153 # 23 41 / Mz 1 casa 9 / Sol de galicia</v>
      </c>
      <c r="G5180" s="15" t="str">
        <f>IFERROR(__xludf.DUMMYFUNCTION("""COMPUTED_VALUE"""),"PAULA FORERO")</f>
        <v>PAULA FORERO</v>
      </c>
      <c r="H5180" s="16">
        <f>IFERROR(__xludf.DUMMYFUNCTION("""COMPUTED_VALUE"""),13938.0)</f>
        <v>13938</v>
      </c>
      <c r="I5180" s="18">
        <f>IFERROR(__xludf.DUMMYFUNCTION("""COMPUTED_VALUE"""),13.0)</f>
        <v>13</v>
      </c>
      <c r="J5180" s="18">
        <f>IFERROR(__xludf.DUMMYFUNCTION("""COMPUTED_VALUE"""),45.0)</f>
        <v>45</v>
      </c>
      <c r="K5180" s="18">
        <f>IFERROR(__xludf.DUMMYFUNCTION("""COMPUTED_VALUE"""),30.0)</f>
        <v>30</v>
      </c>
      <c r="L5180" s="17">
        <f>IFERROR(__xludf.DUMMYFUNCTION("""COMPUTED_VALUE"""),3.115760231E9)</f>
        <v>3115760231</v>
      </c>
      <c r="M5180" s="17" t="str">
        <f>IFERROR(__xludf.DUMMYFUNCTION("""COMPUTED_VALUE"""),"#REF!")</f>
        <v>#REF!</v>
      </c>
      <c r="N5180" s="17"/>
      <c r="O5180" s="17"/>
      <c r="P5180" s="17" t="b">
        <f>IFERROR(__xludf.DUMMYFUNCTION("""COMPUTED_VALUE"""),FALSE)</f>
        <v>0</v>
      </c>
      <c r="Q5180" s="20" t="str">
        <f>IFERROR(__xludf.DUMMYFUNCTION("""COMPUTED_VALUE"""),"")</f>
        <v/>
      </c>
      <c r="R5180" s="22" t="str">
        <f>IFERROR(__xludf.DUMMYFUNCTION("""COMPUTED_VALUE"""),"")</f>
        <v/>
      </c>
    </row>
    <row r="5181">
      <c r="A5181" s="15">
        <f>IFERROR(__xludf.DUMMYFUNCTION("""COMPUTED_VALUE"""),45153.0)</f>
        <v>45153</v>
      </c>
      <c r="B5181" s="16" t="str">
        <f>IFERROR(__xludf.DUMMYFUNCTION("""COMPUTED_VALUE"""),"Deivi Alejandro Quintero Corrales")</f>
        <v>Deivi Alejandro Quintero Corrales</v>
      </c>
      <c r="C5181" s="15" t="str">
        <f>IFERROR(__xludf.DUMMYFUNCTION("""COMPUTED_VALUE"""),"PEREIRA")</f>
        <v>PEREIRA</v>
      </c>
      <c r="D5181" s="15" t="str">
        <f>IFERROR(__xludf.DUMMYFUNCTION("""COMPUTED_VALUE"""),"BOGOTÁ")</f>
        <v>BOGOTÁ</v>
      </c>
      <c r="E5181" s="15" t="str">
        <f>IFERROR(__xludf.DUMMYFUNCTION("""COMPUTED_VALUE"""),"Evamazzita")</f>
        <v>Evamazzita</v>
      </c>
      <c r="F5181" s="17" t="str">
        <f>IFERROR(__xludf.DUMMYFUNCTION("""COMPUTED_VALUE"""),"MIRADOR DE LA ESTANCIA  / Mz 13 casa 12, DOSQUEBRADAS / VIA JAPON- FRAILES")</f>
        <v>MIRADOR DE LA ESTANCIA  / Mz 13 casa 12, DOSQUEBRADAS / VIA JAPON- FRAILES</v>
      </c>
      <c r="G5181" s="15" t="str">
        <f>IFERROR(__xludf.DUMMYFUNCTION("""COMPUTED_VALUE"""),"PAOLA MAYORGA CASTAÑEDA")</f>
        <v>PAOLA MAYORGA CASTAÑEDA</v>
      </c>
      <c r="H5181" s="16">
        <f>IFERROR(__xludf.DUMMYFUNCTION("""COMPUTED_VALUE"""),13954.0)</f>
        <v>13954</v>
      </c>
      <c r="I5181" s="18">
        <f>IFERROR(__xludf.DUMMYFUNCTION("""COMPUTED_VALUE"""),6.0)</f>
        <v>6</v>
      </c>
      <c r="J5181" s="18">
        <f>IFERROR(__xludf.DUMMYFUNCTION("""COMPUTED_VALUE"""),12.0)</f>
        <v>12</v>
      </c>
      <c r="K5181" s="18">
        <f>IFERROR(__xludf.DUMMYFUNCTION("""COMPUTED_VALUE"""),22.0)</f>
        <v>22</v>
      </c>
      <c r="L5181" s="17">
        <f>IFERROR(__xludf.DUMMYFUNCTION("""COMPUTED_VALUE"""),3.508310888E9)</f>
        <v>3508310888</v>
      </c>
      <c r="M5181" s="17" t="str">
        <f>IFERROR(__xludf.DUMMYFUNCTION("""COMPUTED_VALUE"""),"#REF!")</f>
        <v>#REF!</v>
      </c>
      <c r="N5181" s="17"/>
      <c r="O5181" s="17"/>
      <c r="P5181" s="17" t="b">
        <f>IFERROR(__xludf.DUMMYFUNCTION("""COMPUTED_VALUE"""),FALSE)</f>
        <v>0</v>
      </c>
      <c r="Q5181" s="20" t="str">
        <f>IFERROR(__xludf.DUMMYFUNCTION("""COMPUTED_VALUE"""),"")</f>
        <v/>
      </c>
      <c r="R5181" s="21" t="str">
        <f>IFERROR(__xludf.DUMMYFUNCTION("""COMPUTED_VALUE"""),"https://drive.google.com/file/d/1CLnxoSo1MZZosqX3tLU0QMTCbsyuxHaM/view?usp=drivesdk")</f>
        <v>https://drive.google.com/file/d/1CLnxoSo1MZZosqX3tLU0QMTCbsyuxHaM/view?usp=drivesdk</v>
      </c>
    </row>
    <row r="5182">
      <c r="A5182" s="15">
        <f>IFERROR(__xludf.DUMMYFUNCTION("""COMPUTED_VALUE"""),45153.0)</f>
        <v>45153</v>
      </c>
      <c r="B5182" s="16" t="str">
        <f>IFERROR(__xludf.DUMMYFUNCTION("""COMPUTED_VALUE"""),"Deivi Alejandro Quintero Corrales")</f>
        <v>Deivi Alejandro Quintero Corrales</v>
      </c>
      <c r="C5182" s="15" t="str">
        <f>IFERROR(__xludf.DUMMYFUNCTION("""COMPUTED_VALUE"""),"PEREIRA")</f>
        <v>PEREIRA</v>
      </c>
      <c r="D5182" s="15" t="str">
        <f>IFERROR(__xludf.DUMMYFUNCTION("""COMPUTED_VALUE"""),"BOGOTÁ")</f>
        <v>BOGOTÁ</v>
      </c>
      <c r="E5182" s="15" t="str">
        <f>IFERROR(__xludf.DUMMYFUNCTION("""COMPUTED_VALUE"""),"Pan de Waffle")</f>
        <v>Pan de Waffle</v>
      </c>
      <c r="F5182" s="17" t="str">
        <f>IFERROR(__xludf.DUMMYFUNCTION("""COMPUTED_VALUE"""),"3215501948 / Carrera 14 # 12 - 55 / Carrera 14 # 12 - 55")</f>
        <v>3215501948 / Carrera 14 # 12 - 55 / Carrera 14 # 12 - 55</v>
      </c>
      <c r="G5182" s="15" t="str">
        <f>IFERROR(__xludf.DUMMYFUNCTION("""COMPUTED_VALUE"""),"VITAECO")</f>
        <v>VITAECO</v>
      </c>
      <c r="H5182" s="16">
        <f>IFERROR(__xludf.DUMMYFUNCTION("""COMPUTED_VALUE"""),13957.0)</f>
        <v>13957</v>
      </c>
      <c r="I5182" s="18">
        <f>IFERROR(__xludf.DUMMYFUNCTION("""COMPUTED_VALUE"""),30.0)</f>
        <v>30</v>
      </c>
      <c r="J5182" s="18">
        <f>IFERROR(__xludf.DUMMYFUNCTION("""COMPUTED_VALUE"""),40.0)</f>
        <v>40</v>
      </c>
      <c r="K5182" s="18">
        <f>IFERROR(__xludf.DUMMYFUNCTION("""COMPUTED_VALUE"""),30.0)</f>
        <v>30</v>
      </c>
      <c r="L5182" s="17">
        <f>IFERROR(__xludf.DUMMYFUNCTION("""COMPUTED_VALUE"""),3.215501948E9)</f>
        <v>3215501948</v>
      </c>
      <c r="M5182" s="17" t="str">
        <f>IFERROR(__xludf.DUMMYFUNCTION("""COMPUTED_VALUE"""),"#REF!")</f>
        <v>#REF!</v>
      </c>
      <c r="N5182" s="17"/>
      <c r="O5182" s="17"/>
      <c r="P5182" s="17" t="b">
        <f>IFERROR(__xludf.DUMMYFUNCTION("""COMPUTED_VALUE"""),FALSE)</f>
        <v>0</v>
      </c>
      <c r="Q5182" s="20" t="str">
        <f>IFERROR(__xludf.DUMMYFUNCTION("""COMPUTED_VALUE"""),"")</f>
        <v/>
      </c>
      <c r="R5182" s="22" t="str">
        <f>IFERROR(__xludf.DUMMYFUNCTION("""COMPUTED_VALUE"""),"")</f>
        <v/>
      </c>
    </row>
    <row r="5183">
      <c r="A5183" s="15">
        <f>IFERROR(__xludf.DUMMYFUNCTION("""COMPUTED_VALUE"""),45153.0)</f>
        <v>45153</v>
      </c>
      <c r="B5183" s="16" t="str">
        <f>IFERROR(__xludf.DUMMYFUNCTION("""COMPUTED_VALUE"""),"Deivi Alejandro Quintero Corrales")</f>
        <v>Deivi Alejandro Quintero Corrales</v>
      </c>
      <c r="C5183" s="15" t="str">
        <f>IFERROR(__xludf.DUMMYFUNCTION("""COMPUTED_VALUE"""),"PEREIRA")</f>
        <v>PEREIRA</v>
      </c>
      <c r="D5183" s="15" t="str">
        <f>IFERROR(__xludf.DUMMYFUNCTION("""COMPUTED_VALUE"""),"BOGOTÁ")</f>
        <v>BOGOTÁ</v>
      </c>
      <c r="E5183" s="15" t="str">
        <f>IFERROR(__xludf.DUMMYFUNCTION("""COMPUTED_VALUE"""),"Pan de Waffle")</f>
        <v>Pan de Waffle</v>
      </c>
      <c r="F5183" s="17" t="str">
        <f>IFERROR(__xludf.DUMMYFUNCTION("""COMPUTED_VALUE"""),"Av 30 de Agosto #75-51 Centro Comercial Unicentro Local B04 / Av 30 de Agosto #75-51 Centro Comercial Unicentro Local B04 / Av 30 de Agosto #75-51 Centro Comercial Unicentro Local B04")</f>
        <v>Av 30 de Agosto #75-51 Centro Comercial Unicentro Local B04 / Av 30 de Agosto #75-51 Centro Comercial Unicentro Local B04 / Av 30 de Agosto #75-51 Centro Comercial Unicentro Local B04</v>
      </c>
      <c r="G5183" s="15" t="str">
        <f>IFERROR(__xludf.DUMMYFUNCTION("""COMPUTED_VALUE"""),"TERRASANO SEDE UNICENTRO")</f>
        <v>TERRASANO SEDE UNICENTRO</v>
      </c>
      <c r="H5183" s="16">
        <f>IFERROR(__xludf.DUMMYFUNCTION("""COMPUTED_VALUE"""),13961.0)</f>
        <v>13961</v>
      </c>
      <c r="I5183" s="18">
        <f>IFERROR(__xludf.DUMMYFUNCTION("""COMPUTED_VALUE"""),40.0)</f>
        <v>40</v>
      </c>
      <c r="J5183" s="18">
        <f>IFERROR(__xludf.DUMMYFUNCTION("""COMPUTED_VALUE"""),30.0)</f>
        <v>30</v>
      </c>
      <c r="K5183" s="18">
        <f>IFERROR(__xludf.DUMMYFUNCTION("""COMPUTED_VALUE"""),30.0)</f>
        <v>30</v>
      </c>
      <c r="L5183" s="17">
        <f>IFERROR(__xludf.DUMMYFUNCTION("""COMPUTED_VALUE"""),3.135852971E9)</f>
        <v>3135852971</v>
      </c>
      <c r="M5183" s="17" t="str">
        <f>IFERROR(__xludf.DUMMYFUNCTION("""COMPUTED_VALUE"""),"#REF!")</f>
        <v>#REF!</v>
      </c>
      <c r="N5183" s="17"/>
      <c r="O5183" s="17"/>
      <c r="P5183" s="17" t="b">
        <f>IFERROR(__xludf.DUMMYFUNCTION("""COMPUTED_VALUE"""),FALSE)</f>
        <v>0</v>
      </c>
      <c r="Q5183" s="20" t="str">
        <f>IFERROR(__xludf.DUMMYFUNCTION("""COMPUTED_VALUE"""),"")</f>
        <v/>
      </c>
      <c r="R5183" s="21" t="str">
        <f>IFERROR(__xludf.DUMMYFUNCTION("""COMPUTED_VALUE"""),"https://drive.google.com/file/d/122-j_LEXJ0pM7qGVY8EwQEWVsiz1dIpj/view?usp=drivesdk")</f>
        <v>https://drive.google.com/file/d/122-j_LEXJ0pM7qGVY8EwQEWVsiz1dIpj/view?usp=drivesdk</v>
      </c>
    </row>
    <row r="5184">
      <c r="A5184" s="15">
        <f>IFERROR(__xludf.DUMMYFUNCTION("""COMPUTED_VALUE"""),45153.0)</f>
        <v>45153</v>
      </c>
      <c r="B5184" s="16" t="str">
        <f>IFERROR(__xludf.DUMMYFUNCTION("""COMPUTED_VALUE"""),"Deivi Alejandro Quintero Corrales")</f>
        <v>Deivi Alejandro Quintero Corrales</v>
      </c>
      <c r="C5184" s="15" t="str">
        <f>IFERROR(__xludf.DUMMYFUNCTION("""COMPUTED_VALUE"""),"PEREIRA")</f>
        <v>PEREIRA</v>
      </c>
      <c r="D5184" s="15" t="str">
        <f>IFERROR(__xludf.DUMMYFUNCTION("""COMPUTED_VALUE"""),"BOGOTÁ")</f>
        <v>BOGOTÁ</v>
      </c>
      <c r="E5184" s="15" t="str">
        <f>IFERROR(__xludf.DUMMYFUNCTION("""COMPUTED_VALUE"""),"Ventura Productos Arg")</f>
        <v>Ventura Productos Arg</v>
      </c>
      <c r="F5184" s="17" t="str">
        <f>IFERROR(__xludf.DUMMYFUNCTION("""COMPUTED_VALUE"""),"Calle 8 #19-80 / Cons 702, Ed Premium Pereira, Risaralda CO")</f>
        <v>Calle 8 #19-80 / Cons 702, Ed Premium Pereira, Risaralda CO</v>
      </c>
      <c r="G5184" s="15" t="str">
        <f>IFERROR(__xludf.DUMMYFUNCTION("""COMPUTED_VALUE"""),"Dr. Oscar Ramirez")</f>
        <v>Dr. Oscar Ramirez</v>
      </c>
      <c r="H5184" s="16">
        <f>IFERROR(__xludf.DUMMYFUNCTION("""COMPUTED_VALUE"""),13921.0)</f>
        <v>13921</v>
      </c>
      <c r="I5184" s="18">
        <f>IFERROR(__xludf.DUMMYFUNCTION("""COMPUTED_VALUE"""),3.0)</f>
        <v>3</v>
      </c>
      <c r="J5184" s="18">
        <f>IFERROR(__xludf.DUMMYFUNCTION("""COMPUTED_VALUE"""),45060.0)</f>
        <v>45060</v>
      </c>
      <c r="K5184" s="18">
        <f>IFERROR(__xludf.DUMMYFUNCTION("""COMPUTED_VALUE"""),22.0)</f>
        <v>22</v>
      </c>
      <c r="L5184" s="17"/>
      <c r="M5184" s="17" t="str">
        <f>IFERROR(__xludf.DUMMYFUNCTION("""COMPUTED_VALUE"""),"#REF!")</f>
        <v>#REF!</v>
      </c>
      <c r="N5184" s="17"/>
      <c r="O5184" s="17"/>
      <c r="P5184" s="17" t="b">
        <f>IFERROR(__xludf.DUMMYFUNCTION("""COMPUTED_VALUE"""),FALSE)</f>
        <v>0</v>
      </c>
      <c r="Q5184" s="20" t="str">
        <f>IFERROR(__xludf.DUMMYFUNCTION("""COMPUTED_VALUE"""),"")</f>
        <v/>
      </c>
      <c r="R5184" s="21" t="str">
        <f>IFERROR(__xludf.DUMMYFUNCTION("""COMPUTED_VALUE"""),"https://drive.google.com/file/d/1TkipszzlJwHgRMCyJQ03z92O9-ZVY2A1/view?usp=drivesdk")</f>
        <v>https://drive.google.com/file/d/1TkipszzlJwHgRMCyJQ03z92O9-ZVY2A1/view?usp=drivesdk</v>
      </c>
    </row>
    <row r="5185">
      <c r="A5185" s="15">
        <f>IFERROR(__xludf.DUMMYFUNCTION("""COMPUTED_VALUE"""),45153.0)</f>
        <v>45153</v>
      </c>
      <c r="B5185" s="16" t="str">
        <f>IFERROR(__xludf.DUMMYFUNCTION("""COMPUTED_VALUE"""),"Deivi Alejandro Quintero Corrales")</f>
        <v>Deivi Alejandro Quintero Corrales</v>
      </c>
      <c r="C5185" s="15" t="str">
        <f>IFERROR(__xludf.DUMMYFUNCTION("""COMPUTED_VALUE"""),"PEREIRA")</f>
        <v>PEREIRA</v>
      </c>
      <c r="D5185" s="15" t="str">
        <f>IFERROR(__xludf.DUMMYFUNCTION("""COMPUTED_VALUE"""),"MEDELLÍN")</f>
        <v>MEDELLÍN</v>
      </c>
      <c r="E5185" s="15" t="str">
        <f>IFERROR(__xludf.DUMMYFUNCTION("""COMPUTED_VALUE"""),"Baby Chef")</f>
        <v>Baby Chef</v>
      </c>
      <c r="F5185" s="17" t="str">
        <f>IFERROR(__xludf.DUMMYFUNCTION("""COMPUTED_VALUE"""),"Avenida sur #36A-87 conjunto palma apto 605, al frente del barrio el jardín  / Avenida sur #36A-87 conjunto palma apto 605, al frente del barrio el jardín  / Avenida sur #36A-87 conjunto palma apto 605, al frente del barrio el jardín")</f>
        <v>Avenida sur #36A-87 conjunto palma apto 605, al frente del barrio el jardín  / Avenida sur #36A-87 conjunto palma apto 605, al frente del barrio el jardín  / Avenida sur #36A-87 conjunto palma apto 605, al frente del barrio el jardín</v>
      </c>
      <c r="G5185" s="15" t="str">
        <f>IFERROR(__xludf.DUMMYFUNCTION("""COMPUTED_VALUE"""),"Jessica Alzate")</f>
        <v>Jessica Alzate</v>
      </c>
      <c r="H5185" s="16">
        <f>IFERROR(__xludf.DUMMYFUNCTION("""COMPUTED_VALUE"""),13989.0)</f>
        <v>13989</v>
      </c>
      <c r="I5185" s="18">
        <f>IFERROR(__xludf.DUMMYFUNCTION("""COMPUTED_VALUE"""),8.0)</f>
        <v>8</v>
      </c>
      <c r="J5185" s="18">
        <f>IFERROR(__xludf.DUMMYFUNCTION("""COMPUTED_VALUE"""),32.0)</f>
        <v>32</v>
      </c>
      <c r="K5185" s="18">
        <f>IFERROR(__xludf.DUMMYFUNCTION("""COMPUTED_VALUE"""),26.0)</f>
        <v>26</v>
      </c>
      <c r="L5185" s="17">
        <f>IFERROR(__xludf.DUMMYFUNCTION("""COMPUTED_VALUE"""),3.113924059E9)</f>
        <v>3113924059</v>
      </c>
      <c r="M5185" s="17" t="str">
        <f>IFERROR(__xludf.DUMMYFUNCTION("""COMPUTED_VALUE"""),"#REF!")</f>
        <v>#REF!</v>
      </c>
      <c r="N5185" s="17"/>
      <c r="O5185" s="17"/>
      <c r="P5185" s="17" t="b">
        <f>IFERROR(__xludf.DUMMYFUNCTION("""COMPUTED_VALUE"""),FALSE)</f>
        <v>0</v>
      </c>
      <c r="Q5185" s="20" t="str">
        <f>IFERROR(__xludf.DUMMYFUNCTION("""COMPUTED_VALUE"""),"")</f>
        <v/>
      </c>
      <c r="R5185" s="21" t="str">
        <f>IFERROR(__xludf.DUMMYFUNCTION("""COMPUTED_VALUE"""),"https://drive.google.com/file/d/15GPlSKmtuhY52Fq6mlw8TekB7jnr__24/view?usp=drivesdk")</f>
        <v>https://drive.google.com/file/d/15GPlSKmtuhY52Fq6mlw8TekB7jnr__24/view?usp=drivesdk</v>
      </c>
    </row>
    <row r="5186">
      <c r="A5186" s="15">
        <f>IFERROR(__xludf.DUMMYFUNCTION("""COMPUTED_VALUE"""),45153.0)</f>
        <v>45153</v>
      </c>
      <c r="B5186" s="16" t="str">
        <f>IFERROR(__xludf.DUMMYFUNCTION("""COMPUTED_VALUE"""),"Deivi Alejandro Quintero Corrales")</f>
        <v>Deivi Alejandro Quintero Corrales</v>
      </c>
      <c r="C5186" s="15" t="str">
        <f>IFERROR(__xludf.DUMMYFUNCTION("""COMPUTED_VALUE"""),"PEREIRA")</f>
        <v>PEREIRA</v>
      </c>
      <c r="D5186" s="15" t="str">
        <f>IFERROR(__xludf.DUMMYFUNCTION("""COMPUTED_VALUE"""),"MEDELLÍN")</f>
        <v>MEDELLÍN</v>
      </c>
      <c r="E5186" s="15" t="str">
        <f>IFERROR(__xludf.DUMMYFUNCTION("""COMPUTED_VALUE"""),"Baby Chef")</f>
        <v>Baby Chef</v>
      </c>
      <c r="F5186" s="17" t="str">
        <f>IFERROR(__xludf.DUMMYFUNCTION("""COMPUTED_VALUE"""),"Calle 10 #15b-28 edificio chiminango, los Alpes, apto 202.  / Calle 10 #15b-28 edificio chiminango, los Alpes, apto 202.  / Calle 10 #15b-28 edificio chiminango, los Alpes, apto 202.")</f>
        <v>Calle 10 #15b-28 edificio chiminango, los Alpes, apto 202.  / Calle 10 #15b-28 edificio chiminango, los Alpes, apto 202.  / Calle 10 #15b-28 edificio chiminango, los Alpes, apto 202.</v>
      </c>
      <c r="G5186" s="15" t="str">
        <f>IFERROR(__xludf.DUMMYFUNCTION("""COMPUTED_VALUE"""),"Natalia Velásquez")</f>
        <v>Natalia Velásquez</v>
      </c>
      <c r="H5186" s="16">
        <f>IFERROR(__xludf.DUMMYFUNCTION("""COMPUTED_VALUE"""),13988.0)</f>
        <v>13988</v>
      </c>
      <c r="I5186" s="18">
        <f>IFERROR(__xludf.DUMMYFUNCTION("""COMPUTED_VALUE"""),8.0)</f>
        <v>8</v>
      </c>
      <c r="J5186" s="18">
        <f>IFERROR(__xludf.DUMMYFUNCTION("""COMPUTED_VALUE"""),32.0)</f>
        <v>32</v>
      </c>
      <c r="K5186" s="18">
        <f>IFERROR(__xludf.DUMMYFUNCTION("""COMPUTED_VALUE"""),26.0)</f>
        <v>26</v>
      </c>
      <c r="L5186" s="17">
        <f>IFERROR(__xludf.DUMMYFUNCTION("""COMPUTED_VALUE"""),3.137537729E9)</f>
        <v>3137537729</v>
      </c>
      <c r="M5186" s="17" t="str">
        <f>IFERROR(__xludf.DUMMYFUNCTION("""COMPUTED_VALUE"""),"#REF!")</f>
        <v>#REF!</v>
      </c>
      <c r="N5186" s="17"/>
      <c r="O5186" s="17"/>
      <c r="P5186" s="17" t="b">
        <f>IFERROR(__xludf.DUMMYFUNCTION("""COMPUTED_VALUE"""),FALSE)</f>
        <v>0</v>
      </c>
      <c r="Q5186" s="20" t="str">
        <f>IFERROR(__xludf.DUMMYFUNCTION("""COMPUTED_VALUE"""),"")</f>
        <v/>
      </c>
      <c r="R5186" s="21" t="str">
        <f>IFERROR(__xludf.DUMMYFUNCTION("""COMPUTED_VALUE"""),"https://drive.google.com/file/d/1D3OrywkToKCFkuWr9xN0kfjPOBDvKRoP/view?usp=drivesdk")</f>
        <v>https://drive.google.com/file/d/1D3OrywkToKCFkuWr9xN0kfjPOBDvKRoP/view?usp=drivesdk</v>
      </c>
    </row>
    <row r="5187">
      <c r="A5187" s="15">
        <f>IFERROR(__xludf.DUMMYFUNCTION("""COMPUTED_VALUE"""),45153.0)</f>
        <v>45153</v>
      </c>
      <c r="B5187" s="16" t="str">
        <f>IFERROR(__xludf.DUMMYFUNCTION("""COMPUTED_VALUE"""),"Deivi Alejandro Quintero Corrales")</f>
        <v>Deivi Alejandro Quintero Corrales</v>
      </c>
      <c r="C5187" s="15" t="str">
        <f>IFERROR(__xludf.DUMMYFUNCTION("""COMPUTED_VALUE"""),"PEREIRA")</f>
        <v>PEREIRA</v>
      </c>
      <c r="D5187" s="15" t="str">
        <f>IFERROR(__xludf.DUMMYFUNCTION("""COMPUTED_VALUE"""),"MEDELLÍN")</f>
        <v>MEDELLÍN</v>
      </c>
      <c r="E5187" s="15" t="str">
        <f>IFERROR(__xludf.DUMMYFUNCTION("""COMPUTED_VALUE"""),"Goyo Todo por ellos")</f>
        <v>Goyo Todo por ellos</v>
      </c>
      <c r="F5187" s="17" t="str">
        <f>IFERROR(__xludf.DUMMYFUNCTION("""COMPUTED_VALUE"""),"Calle 12 bis # 16 18  / Casa hoja Comunidad Consciente  / Barrio Pinares")</f>
        <v>Calle 12 bis # 16 18  / Casa hoja Comunidad Consciente  / Barrio Pinares</v>
      </c>
      <c r="G5187" s="15" t="str">
        <f>IFERROR(__xludf.DUMMYFUNCTION("""COMPUTED_VALUE"""),"Hector Hernandez")</f>
        <v>Hector Hernandez</v>
      </c>
      <c r="H5187" s="16">
        <f>IFERROR(__xludf.DUMMYFUNCTION("""COMPUTED_VALUE"""),13995.0)</f>
        <v>13995</v>
      </c>
      <c r="I5187" s="18">
        <f>IFERROR(__xludf.DUMMYFUNCTION("""COMPUTED_VALUE"""),23.0)</f>
        <v>23</v>
      </c>
      <c r="J5187" s="18">
        <f>IFERROR(__xludf.DUMMYFUNCTION("""COMPUTED_VALUE"""),30.0)</f>
        <v>30</v>
      </c>
      <c r="K5187" s="18">
        <f>IFERROR(__xludf.DUMMYFUNCTION("""COMPUTED_VALUE"""),24.0)</f>
        <v>24</v>
      </c>
      <c r="L5187" s="17">
        <f>IFERROR(__xludf.DUMMYFUNCTION("""COMPUTED_VALUE"""),3.18591145E9)</f>
        <v>3185911450</v>
      </c>
      <c r="M5187" s="17" t="str">
        <f>IFERROR(__xludf.DUMMYFUNCTION("""COMPUTED_VALUE"""),"#REF!")</f>
        <v>#REF!</v>
      </c>
      <c r="N5187" s="17"/>
      <c r="O5187" s="17"/>
      <c r="P5187" s="17" t="b">
        <f>IFERROR(__xludf.DUMMYFUNCTION("""COMPUTED_VALUE"""),FALSE)</f>
        <v>0</v>
      </c>
      <c r="Q5187" s="20" t="str">
        <f>IFERROR(__xludf.DUMMYFUNCTION("""COMPUTED_VALUE"""),"")</f>
        <v/>
      </c>
      <c r="R5187" s="21" t="str">
        <f>IFERROR(__xludf.DUMMYFUNCTION("""COMPUTED_VALUE"""),"https://drive.google.com/file/d/1yiducfZqgCOwD3qHCOEUYzpiybdlb5yO/view?usp=drivesdk")</f>
        <v>https://drive.google.com/file/d/1yiducfZqgCOwD3qHCOEUYzpiybdlb5yO/view?usp=drivesdk</v>
      </c>
    </row>
    <row r="5188">
      <c r="A5188" s="15">
        <f>IFERROR(__xludf.DUMMYFUNCTION("""COMPUTED_VALUE"""),45153.0)</f>
        <v>45153</v>
      </c>
      <c r="B5188" s="16" t="str">
        <f>IFERROR(__xludf.DUMMYFUNCTION("""COMPUTED_VALUE"""),"Deivi Alejandro Quintero Corrales")</f>
        <v>Deivi Alejandro Quintero Corrales</v>
      </c>
      <c r="C5188" s="15" t="str">
        <f>IFERROR(__xludf.DUMMYFUNCTION("""COMPUTED_VALUE"""),"PEREIRA")</f>
        <v>PEREIRA</v>
      </c>
      <c r="D5188" s="15" t="str">
        <f>IFERROR(__xludf.DUMMYFUNCTION("""COMPUTED_VALUE"""),"MEDELLÍN")</f>
        <v>MEDELLÍN</v>
      </c>
      <c r="E5188" s="15" t="str">
        <f>IFERROR(__xludf.DUMMYFUNCTION("""COMPUTED_VALUE"""),"Rambla")</f>
        <v>Rambla</v>
      </c>
      <c r="F5188" s="17" t="str">
        <f>IFERROR(__xludf.DUMMYFUNCTION("""COMPUTED_VALUE"""),"CARRERA 14 -12-55 / - / -")</f>
        <v>CARRERA 14 -12-55 / - / -</v>
      </c>
      <c r="G5188" s="15" t="str">
        <f>IFERROR(__xludf.DUMMYFUNCTION("""COMPUTED_VALUE"""),"Vita Eco")</f>
        <v>Vita Eco</v>
      </c>
      <c r="H5188" s="16">
        <f>IFERROR(__xludf.DUMMYFUNCTION("""COMPUTED_VALUE"""),13992.0)</f>
        <v>13992</v>
      </c>
      <c r="I5188" s="18">
        <f>IFERROR(__xludf.DUMMYFUNCTION("""COMPUTED_VALUE"""),34.0)</f>
        <v>34</v>
      </c>
      <c r="J5188" s="18">
        <f>IFERROR(__xludf.DUMMYFUNCTION("""COMPUTED_VALUE"""),30.0)</f>
        <v>30</v>
      </c>
      <c r="K5188" s="18">
        <f>IFERROR(__xludf.DUMMYFUNCTION("""COMPUTED_VALUE"""),24.0)</f>
        <v>24</v>
      </c>
      <c r="L5188" s="17">
        <f>IFERROR(__xludf.DUMMYFUNCTION("""COMPUTED_VALUE"""),3.215501948E9)</f>
        <v>3215501948</v>
      </c>
      <c r="M5188" s="17" t="str">
        <f>IFERROR(__xludf.DUMMYFUNCTION("""COMPUTED_VALUE"""),"#REF!")</f>
        <v>#REF!</v>
      </c>
      <c r="N5188" s="17"/>
      <c r="O5188" s="17"/>
      <c r="P5188" s="17" t="b">
        <f>IFERROR(__xludf.DUMMYFUNCTION("""COMPUTED_VALUE"""),FALSE)</f>
        <v>0</v>
      </c>
      <c r="Q5188" s="20" t="str">
        <f>IFERROR(__xludf.DUMMYFUNCTION("""COMPUTED_VALUE"""),"")</f>
        <v/>
      </c>
      <c r="R5188" s="21" t="str">
        <f>IFERROR(__xludf.DUMMYFUNCTION("""COMPUTED_VALUE"""),"https://drive.google.com/file/d/19_wi5D8_366ybBNGJ0clutA4dV5y2qcT/view?usp=drivesdk")</f>
        <v>https://drive.google.com/file/d/19_wi5D8_366ybBNGJ0clutA4dV5y2qcT/view?usp=drivesdk</v>
      </c>
    </row>
    <row r="5189">
      <c r="A5189" s="17" t="str">
        <f>IFERROR(__xludf.DUMMYFUNCTION("""COMPUTED_VALUE"""),"")</f>
        <v/>
      </c>
      <c r="B5189" s="17" t="str">
        <f>IFERROR(__xludf.DUMMYFUNCTION("""COMPUTED_VALUE"""),"")</f>
        <v/>
      </c>
      <c r="C5189" s="17" t="str">
        <f>IFERROR(__xludf.DUMMYFUNCTION("""COMPUTED_VALUE"""),"")</f>
        <v/>
      </c>
      <c r="D5189" s="17" t="str">
        <f>IFERROR(__xludf.DUMMYFUNCTION("""COMPUTED_VALUE"""),"")</f>
        <v/>
      </c>
      <c r="E5189" s="17" t="str">
        <f>IFERROR(__xludf.DUMMYFUNCTION("""COMPUTED_VALUE"""),"")</f>
        <v/>
      </c>
      <c r="F5189" s="17" t="str">
        <f>IFERROR(__xludf.DUMMYFUNCTION("""COMPUTED_VALUE"""),"")</f>
        <v/>
      </c>
      <c r="G5189" s="17" t="str">
        <f>IFERROR(__xludf.DUMMYFUNCTION("""COMPUTED_VALUE"""),"")</f>
        <v/>
      </c>
      <c r="H5189" s="17" t="str">
        <f>IFERROR(__xludf.DUMMYFUNCTION("""COMPUTED_VALUE"""),"")</f>
        <v/>
      </c>
      <c r="I5189" s="17" t="str">
        <f>IFERROR(__xludf.DUMMYFUNCTION("""COMPUTED_VALUE"""),"")</f>
        <v/>
      </c>
      <c r="J5189" s="17" t="str">
        <f>IFERROR(__xludf.DUMMYFUNCTION("""COMPUTED_VALUE"""),"")</f>
        <v/>
      </c>
      <c r="K5189" s="17" t="str">
        <f>IFERROR(__xludf.DUMMYFUNCTION("""COMPUTED_VALUE"""),"")</f>
        <v/>
      </c>
      <c r="L5189" s="17" t="str">
        <f>IFERROR(__xludf.DUMMYFUNCTION("""COMPUTED_VALUE"""),"")</f>
        <v/>
      </c>
      <c r="M5189" s="17" t="str">
        <f>IFERROR(__xludf.DUMMYFUNCTION("""COMPUTED_VALUE"""),"")</f>
        <v/>
      </c>
      <c r="N5189" s="17" t="str">
        <f>IFERROR(__xludf.DUMMYFUNCTION("""COMPUTED_VALUE"""),"")</f>
        <v/>
      </c>
      <c r="O5189" s="17" t="str">
        <f>IFERROR(__xludf.DUMMYFUNCTION("""COMPUTED_VALUE"""),"")</f>
        <v/>
      </c>
      <c r="P5189" s="17" t="str">
        <f>IFERROR(__xludf.DUMMYFUNCTION("""COMPUTED_VALUE"""),"")</f>
        <v/>
      </c>
      <c r="Q5189" s="17" t="str">
        <f>IFERROR(__xludf.DUMMYFUNCTION("""COMPUTED_VALUE"""),"")</f>
        <v/>
      </c>
      <c r="R5189" s="17" t="str">
        <f>IFERROR(__xludf.DUMMYFUNCTION("""COMPUTED_VALUE"""),"")</f>
        <v/>
      </c>
    </row>
    <row r="5190">
      <c r="A5190" s="15">
        <f>IFERROR(__xludf.DUMMYFUNCTION("""COMPUTED_VALUE"""),45153.0)</f>
        <v>45153</v>
      </c>
      <c r="B5190" s="16" t="str">
        <f>IFERROR(__xludf.DUMMYFUNCTION("""COMPUTED_VALUE"""),"Duvan Gabriel Alvarez Giron")</f>
        <v>Duvan Gabriel Alvarez Giron</v>
      </c>
      <c r="C5190" s="15" t="str">
        <f>IFERROR(__xludf.DUMMYFUNCTION("""COMPUTED_VALUE"""),"FLORIDABLANCA")</f>
        <v>FLORIDABLANCA</v>
      </c>
      <c r="D5190" s="15" t="str">
        <f>IFERROR(__xludf.DUMMYFUNCTION("""COMPUTED_VALUE"""),"BOGOTÁ")</f>
        <v>BOGOTÁ</v>
      </c>
      <c r="E5190" s="15" t="str">
        <f>IFERROR(__xludf.DUMMYFUNCTION("""COMPUTED_VALUE"""),"MAI ALIMENTOS S.A.S")</f>
        <v>MAI ALIMENTOS S.A.S</v>
      </c>
      <c r="F5190" s="17" t="str">
        <f>IFERROR(__xludf.DUMMYFUNCTION("""COMPUTED_VALUE"""),"Calle 31 # 22 - 97 / Barrio Cañaveral, Floridablanca")</f>
        <v>Calle 31 # 22 - 97 / Barrio Cañaveral, Floridablanca</v>
      </c>
      <c r="G5190" s="15" t="str">
        <f>IFERROR(__xludf.DUMMYFUNCTION("""COMPUTED_VALUE"""),"Claudia Prada")</f>
        <v>Claudia Prada</v>
      </c>
      <c r="H5190" s="16">
        <f>IFERROR(__xludf.DUMMYFUNCTION("""COMPUTED_VALUE"""),13926.0)</f>
        <v>13926</v>
      </c>
      <c r="I5190" s="18">
        <f>IFERROR(__xludf.DUMMYFUNCTION("""COMPUTED_VALUE"""),35.0)</f>
        <v>35</v>
      </c>
      <c r="J5190" s="18">
        <f>IFERROR(__xludf.DUMMYFUNCTION("""COMPUTED_VALUE"""),17.0)</f>
        <v>17</v>
      </c>
      <c r="K5190" s="18">
        <f>IFERROR(__xludf.DUMMYFUNCTION("""COMPUTED_VALUE"""),13.0)</f>
        <v>13</v>
      </c>
      <c r="L5190" s="17">
        <f>IFERROR(__xludf.DUMMYFUNCTION("""COMPUTED_VALUE"""),3.005711168E9)</f>
        <v>3005711168</v>
      </c>
      <c r="M5190" s="17" t="str">
        <f>IFERROR(__xludf.DUMMYFUNCTION("""COMPUTED_VALUE"""),"#REF!")</f>
        <v>#REF!</v>
      </c>
      <c r="N5190" s="17"/>
      <c r="O5190" s="17"/>
      <c r="P5190" s="17" t="b">
        <f>IFERROR(__xludf.DUMMYFUNCTION("""COMPUTED_VALUE"""),TRUE)</f>
        <v>1</v>
      </c>
      <c r="Q5190" s="20">
        <f>IFERROR(__xludf.DUMMYFUNCTION("""COMPUTED_VALUE"""),45153.461855243055)</f>
        <v>45153.46186</v>
      </c>
      <c r="R5190" s="21" t="str">
        <f>IFERROR(__xludf.DUMMYFUNCTION("""COMPUTED_VALUE"""),"https://drive.google.com/file/d/1zF4pVmZcP0P4w3OP9r4R3HnKik22er4G/view?usp=drivesdk")</f>
        <v>https://drive.google.com/file/d/1zF4pVmZcP0P4w3OP9r4R3HnKik22er4G/view?usp=drivesdk</v>
      </c>
    </row>
    <row r="5191">
      <c r="A5191" s="15">
        <f>IFERROR(__xludf.DUMMYFUNCTION("""COMPUTED_VALUE"""),45153.0)</f>
        <v>45153</v>
      </c>
      <c r="B5191" s="16" t="str">
        <f>IFERROR(__xludf.DUMMYFUNCTION("""COMPUTED_VALUE"""),"Duvan Gabriel Alvarez Giron")</f>
        <v>Duvan Gabriel Alvarez Giron</v>
      </c>
      <c r="C5191" s="15" t="str">
        <f>IFERROR(__xludf.DUMMYFUNCTION("""COMPUTED_VALUE"""),"FLORIDABLANCA")</f>
        <v>FLORIDABLANCA</v>
      </c>
      <c r="D5191" s="15" t="str">
        <f>IFERROR(__xludf.DUMMYFUNCTION("""COMPUTED_VALUE"""),"MEDELLÍN")</f>
        <v>MEDELLÍN</v>
      </c>
      <c r="E5191" s="15" t="str">
        <f>IFERROR(__xludf.DUMMYFUNCTION("""COMPUTED_VALUE"""),"Baby Chef")</f>
        <v>Baby Chef</v>
      </c>
      <c r="F5191" s="17" t="str">
        <f>IFERROR(__xludf.DUMMYFUNCTION("""COMPUTED_VALUE"""),"Calle 200 no 13-36 Barrio Versalles Floridablanca, Santander Edificio Montesol apartamentos club apto 803 / Calle 200 no 13-36 Barrio Versalles Floridablanca, Santander Edificio Montesol apartamentos club apto 803 / Calle 200 no 13-36 Barrio Versalles Flo"&amp;"ridablanca, Santander Edificio Montesol apartamentos club apto 803")</f>
        <v>Calle 200 no 13-36 Barrio Versalles Floridablanca, Santander Edificio Montesol apartamentos club apto 803 / Calle 200 no 13-36 Barrio Versalles Floridablanca, Santander Edificio Montesol apartamentos club apto 803 / Calle 200 no 13-36 Barrio Versalles Floridablanca, Santander Edificio Montesol apartamentos club apto 803</v>
      </c>
      <c r="G5191" s="15" t="str">
        <f>IFERROR(__xludf.DUMMYFUNCTION("""COMPUTED_VALUE"""),"Cindy Castro Paredes")</f>
        <v>Cindy Castro Paredes</v>
      </c>
      <c r="H5191" s="16">
        <f>IFERROR(__xludf.DUMMYFUNCTION("""COMPUTED_VALUE"""),13987.0)</f>
        <v>13987</v>
      </c>
      <c r="I5191" s="18">
        <f>IFERROR(__xludf.DUMMYFUNCTION("""COMPUTED_VALUE"""),8.0)</f>
        <v>8</v>
      </c>
      <c r="J5191" s="18">
        <f>IFERROR(__xludf.DUMMYFUNCTION("""COMPUTED_VALUE"""),35.0)</f>
        <v>35</v>
      </c>
      <c r="K5191" s="18">
        <f>IFERROR(__xludf.DUMMYFUNCTION("""COMPUTED_VALUE"""),28.0)</f>
        <v>28</v>
      </c>
      <c r="L5191" s="17">
        <f>IFERROR(__xludf.DUMMYFUNCTION("""COMPUTED_VALUE"""),3.173678048E9)</f>
        <v>3173678048</v>
      </c>
      <c r="M5191" s="17" t="str">
        <f>IFERROR(__xludf.DUMMYFUNCTION("""COMPUTED_VALUE"""),"#REF!")</f>
        <v>#REF!</v>
      </c>
      <c r="N5191" s="17"/>
      <c r="O5191" s="17"/>
      <c r="P5191" s="17" t="b">
        <f>IFERROR(__xludf.DUMMYFUNCTION("""COMPUTED_VALUE"""),TRUE)</f>
        <v>1</v>
      </c>
      <c r="Q5191" s="20">
        <f>IFERROR(__xludf.DUMMYFUNCTION("""COMPUTED_VALUE"""),45153.46364181713)</f>
        <v>45153.46364</v>
      </c>
      <c r="R5191" s="21" t="str">
        <f>IFERROR(__xludf.DUMMYFUNCTION("""COMPUTED_VALUE"""),"https://drive.google.com/file/d/1iXre4ONp3re_nThv9qIE-kmmn68bbpPY/view?usp=drivesdk")</f>
        <v>https://drive.google.com/file/d/1iXre4ONp3re_nThv9qIE-kmmn68bbpPY/view?usp=drivesdk</v>
      </c>
    </row>
    <row r="5192">
      <c r="A5192" s="15">
        <f>IFERROR(__xludf.DUMMYFUNCTION("""COMPUTED_VALUE"""),45153.0)</f>
        <v>45153</v>
      </c>
      <c r="B5192" s="16" t="str">
        <f>IFERROR(__xludf.DUMMYFUNCTION("""COMPUTED_VALUE"""),"Duvan Gabriel Alvarez Giron")</f>
        <v>Duvan Gabriel Alvarez Giron</v>
      </c>
      <c r="C5192" s="15" t="str">
        <f>IFERROR(__xludf.DUMMYFUNCTION("""COMPUTED_VALUE"""),"IBAGUÉ")</f>
        <v>IBAGUÉ</v>
      </c>
      <c r="D5192" s="15" t="str">
        <f>IFERROR(__xludf.DUMMYFUNCTION("""COMPUTED_VALUE"""),"BOGOTÁ")</f>
        <v>BOGOTÁ</v>
      </c>
      <c r="E5192" s="15" t="str">
        <f>IFERROR(__xludf.DUMMYFUNCTION("""COMPUTED_VALUE"""),"Asociacion Agropecuaria Juana Maria")</f>
        <v>Asociacion Agropecuaria Juana Maria</v>
      </c>
      <c r="F5192" s="17" t="str">
        <f>IFERROR(__xludf.DUMMYFUNCTION("""COMPUTED_VALUE"""),"Calle 93 # 7 Sur-90 torre 7 apto 701 Conjunto Residencial Altagracia")</f>
        <v>Calle 93 # 7 Sur-90 torre 7 apto 701 Conjunto Residencial Altagracia</v>
      </c>
      <c r="G5192" s="15" t="str">
        <f>IFERROR(__xludf.DUMMYFUNCTION("""COMPUTED_VALUE"""),"Mariam Yasmin Murillo Rubio")</f>
        <v>Mariam Yasmin Murillo Rubio</v>
      </c>
      <c r="H5192" s="16">
        <f>IFERROR(__xludf.DUMMYFUNCTION("""COMPUTED_VALUE"""),13906.0)</f>
        <v>13906</v>
      </c>
      <c r="I5192" s="18">
        <f>IFERROR(__xludf.DUMMYFUNCTION("""COMPUTED_VALUE"""),22.0)</f>
        <v>22</v>
      </c>
      <c r="J5192" s="18">
        <f>IFERROR(__xludf.DUMMYFUNCTION("""COMPUTED_VALUE"""),15.0)</f>
        <v>15</v>
      </c>
      <c r="K5192" s="18">
        <f>IFERROR(__xludf.DUMMYFUNCTION("""COMPUTED_VALUE"""),3.0)</f>
        <v>3</v>
      </c>
      <c r="L5192" s="17">
        <f>IFERROR(__xludf.DUMMYFUNCTION("""COMPUTED_VALUE"""),3.105789664E9)</f>
        <v>3105789664</v>
      </c>
      <c r="M5192" s="17" t="str">
        <f>IFERROR(__xludf.DUMMYFUNCTION("""COMPUTED_VALUE"""),"#REF!")</f>
        <v>#REF!</v>
      </c>
      <c r="N5192" s="17"/>
      <c r="O5192" s="17"/>
      <c r="P5192" s="17" t="b">
        <f>IFERROR(__xludf.DUMMYFUNCTION("""COMPUTED_VALUE"""),TRUE)</f>
        <v>1</v>
      </c>
      <c r="Q5192" s="20">
        <f>IFERROR(__xludf.DUMMYFUNCTION("""COMPUTED_VALUE"""),45153.47314976851)</f>
        <v>45153.47315</v>
      </c>
      <c r="R5192" s="21" t="str">
        <f>IFERROR(__xludf.DUMMYFUNCTION("""COMPUTED_VALUE"""),"https://drive.google.com/file/d/1gyoPaHwnYVuNN63wAPiUn50bQQDLN5wJ/view?usp=drivesdk")</f>
        <v>https://drive.google.com/file/d/1gyoPaHwnYVuNN63wAPiUn50bQQDLN5wJ/view?usp=drivesdk</v>
      </c>
    </row>
    <row r="5193">
      <c r="A5193" s="15">
        <f>IFERROR(__xludf.DUMMYFUNCTION("""COMPUTED_VALUE"""),45153.0)</f>
        <v>45153</v>
      </c>
      <c r="B5193" s="16" t="str">
        <f>IFERROR(__xludf.DUMMYFUNCTION("""COMPUTED_VALUE"""),"Duvan Gabriel Alvarez Giron")</f>
        <v>Duvan Gabriel Alvarez Giron</v>
      </c>
      <c r="C5193" s="15" t="str">
        <f>IFERROR(__xludf.DUMMYFUNCTION("""COMPUTED_VALUE"""),"IBAGUÉ")</f>
        <v>IBAGUÉ</v>
      </c>
      <c r="D5193" s="15" t="str">
        <f>IFERROR(__xludf.DUMMYFUNCTION("""COMPUTED_VALUE"""),"BOGOTÁ")</f>
        <v>BOGOTÁ</v>
      </c>
      <c r="E5193" s="15" t="str">
        <f>IFERROR(__xludf.DUMMYFUNCTION("""COMPUTED_VALUE"""),"Evamazzita")</f>
        <v>Evamazzita</v>
      </c>
      <c r="F5193" s="17" t="str">
        <f>IFERROR(__xludf.DUMMYFUNCTION("""COMPUTED_VALUE"""),"Entrerios III / Bloque 3 Apto 201 / Entrerios III")</f>
        <v>Entrerios III / Bloque 3 Apto 201 / Entrerios III</v>
      </c>
      <c r="G5193" s="15" t="str">
        <f>IFERROR(__xludf.DUMMYFUNCTION("""COMPUTED_VALUE"""),"CATALINA LINARES")</f>
        <v>CATALINA LINARES</v>
      </c>
      <c r="H5193" s="16">
        <f>IFERROR(__xludf.DUMMYFUNCTION("""COMPUTED_VALUE"""),13941.0)</f>
        <v>13941</v>
      </c>
      <c r="I5193" s="18">
        <f>IFERROR(__xludf.DUMMYFUNCTION("""COMPUTED_VALUE"""),7.0)</f>
        <v>7</v>
      </c>
      <c r="J5193" s="18">
        <f>IFERROR(__xludf.DUMMYFUNCTION("""COMPUTED_VALUE"""),21.0)</f>
        <v>21</v>
      </c>
      <c r="K5193" s="18">
        <f>IFERROR(__xludf.DUMMYFUNCTION("""COMPUTED_VALUE"""),12.0)</f>
        <v>12</v>
      </c>
      <c r="L5193" s="17">
        <f>IFERROR(__xludf.DUMMYFUNCTION("""COMPUTED_VALUE"""),3.017545459E9)</f>
        <v>3017545459</v>
      </c>
      <c r="M5193" s="17" t="str">
        <f>IFERROR(__xludf.DUMMYFUNCTION("""COMPUTED_VALUE"""),"#REF!")</f>
        <v>#REF!</v>
      </c>
      <c r="N5193" s="17"/>
      <c r="O5193" s="17"/>
      <c r="P5193" s="17" t="b">
        <f>IFERROR(__xludf.DUMMYFUNCTION("""COMPUTED_VALUE"""),TRUE)</f>
        <v>1</v>
      </c>
      <c r="Q5193" s="20">
        <f>IFERROR(__xludf.DUMMYFUNCTION("""COMPUTED_VALUE"""),45161.495832858796)</f>
        <v>45161.49583</v>
      </c>
      <c r="R5193" s="21" t="str">
        <f>IFERROR(__xludf.DUMMYFUNCTION("""COMPUTED_VALUE"""),"https://drive.google.com/file/d/1EBIIG-eDKx8_1b-KmiREFhqAeHDHRGVz/view?usp=drivesdk")</f>
        <v>https://drive.google.com/file/d/1EBIIG-eDKx8_1b-KmiREFhqAeHDHRGVz/view?usp=drivesdk</v>
      </c>
    </row>
    <row r="5194">
      <c r="A5194" s="17" t="str">
        <f>IFERROR(__xludf.DUMMYFUNCTION("""COMPUTED_VALUE"""),"")</f>
        <v/>
      </c>
      <c r="B5194" s="17" t="str">
        <f>IFERROR(__xludf.DUMMYFUNCTION("""COMPUTED_VALUE"""),"")</f>
        <v/>
      </c>
      <c r="C5194" s="17" t="str">
        <f>IFERROR(__xludf.DUMMYFUNCTION("""COMPUTED_VALUE"""),"")</f>
        <v/>
      </c>
      <c r="D5194" s="17" t="str">
        <f>IFERROR(__xludf.DUMMYFUNCTION("""COMPUTED_VALUE"""),"")</f>
        <v/>
      </c>
      <c r="E5194" s="17" t="str">
        <f>IFERROR(__xludf.DUMMYFUNCTION("""COMPUTED_VALUE"""),"")</f>
        <v/>
      </c>
      <c r="F5194" s="17" t="str">
        <f>IFERROR(__xludf.DUMMYFUNCTION("""COMPUTED_VALUE"""),"")</f>
        <v/>
      </c>
      <c r="G5194" s="17" t="str">
        <f>IFERROR(__xludf.DUMMYFUNCTION("""COMPUTED_VALUE"""),"")</f>
        <v/>
      </c>
      <c r="H5194" s="17" t="str">
        <f>IFERROR(__xludf.DUMMYFUNCTION("""COMPUTED_VALUE"""),"")</f>
        <v/>
      </c>
      <c r="I5194" s="17" t="str">
        <f>IFERROR(__xludf.DUMMYFUNCTION("""COMPUTED_VALUE"""),"")</f>
        <v/>
      </c>
      <c r="J5194" s="17" t="str">
        <f>IFERROR(__xludf.DUMMYFUNCTION("""COMPUTED_VALUE"""),"")</f>
        <v/>
      </c>
      <c r="K5194" s="17" t="str">
        <f>IFERROR(__xludf.DUMMYFUNCTION("""COMPUTED_VALUE"""),"")</f>
        <v/>
      </c>
      <c r="L5194" s="17" t="str">
        <f>IFERROR(__xludf.DUMMYFUNCTION("""COMPUTED_VALUE"""),"")</f>
        <v/>
      </c>
      <c r="M5194" s="17" t="str">
        <f>IFERROR(__xludf.DUMMYFUNCTION("""COMPUTED_VALUE"""),"")</f>
        <v/>
      </c>
      <c r="N5194" s="17" t="str">
        <f>IFERROR(__xludf.DUMMYFUNCTION("""COMPUTED_VALUE"""),"")</f>
        <v/>
      </c>
      <c r="O5194" s="17" t="str">
        <f>IFERROR(__xludf.DUMMYFUNCTION("""COMPUTED_VALUE"""),"")</f>
        <v/>
      </c>
      <c r="P5194" s="17" t="str">
        <f>IFERROR(__xludf.DUMMYFUNCTION("""COMPUTED_VALUE"""),"")</f>
        <v/>
      </c>
      <c r="Q5194" s="17" t="str">
        <f>IFERROR(__xludf.DUMMYFUNCTION("""COMPUTED_VALUE"""),"")</f>
        <v/>
      </c>
      <c r="R5194" s="17" t="str">
        <f>IFERROR(__xludf.DUMMYFUNCTION("""COMPUTED_VALUE"""),"")</f>
        <v/>
      </c>
    </row>
    <row r="5195">
      <c r="A5195" s="15">
        <f>IFERROR(__xludf.DUMMYFUNCTION("""COMPUTED_VALUE"""),45153.0)</f>
        <v>45153</v>
      </c>
      <c r="B5195" s="16" t="str">
        <f>IFERROR(__xludf.DUMMYFUNCTION("""COMPUTED_VALUE"""),"Envia")</f>
        <v>Envia</v>
      </c>
      <c r="C5195" s="15" t="str">
        <f>IFERROR(__xludf.DUMMYFUNCTION("""COMPUTED_VALUE"""),"ARMENIA")</f>
        <v>ARMENIA</v>
      </c>
      <c r="D5195" s="15" t="str">
        <f>IFERROR(__xludf.DUMMYFUNCTION("""COMPUTED_VALUE"""),"MEDELLÍN")</f>
        <v>MEDELLÍN</v>
      </c>
      <c r="E5195" s="15" t="str">
        <f>IFERROR(__xludf.DUMMYFUNCTION("""COMPUTED_VALUE"""),"TOLEDALES S.A.S")</f>
        <v>TOLEDALES S.A.S</v>
      </c>
      <c r="F5195" s="17" t="str">
        <f>IFERROR(__xludf.DUMMYFUNCTION("""COMPUTED_VALUE"""),"Cra 14 # 46 norte -41 mall zona de oro")</f>
        <v>Cra 14 # 46 norte -41 mall zona de oro</v>
      </c>
      <c r="G5195" s="15" t="str">
        <f>IFERROR(__xludf.DUMMYFUNCTION("""COMPUTED_VALUE"""),"paola andrea gomez")</f>
        <v>paola andrea gomez</v>
      </c>
      <c r="H5195" s="16">
        <f>IFERROR(__xludf.DUMMYFUNCTION("""COMPUTED_VALUE"""),13912.0)</f>
        <v>13912</v>
      </c>
      <c r="I5195" s="18">
        <f>IFERROR(__xludf.DUMMYFUNCTION("""COMPUTED_VALUE"""),19.0)</f>
        <v>19</v>
      </c>
      <c r="J5195" s="18">
        <f>IFERROR(__xludf.DUMMYFUNCTION("""COMPUTED_VALUE"""),15.0)</f>
        <v>15</v>
      </c>
      <c r="K5195" s="18">
        <f>IFERROR(__xludf.DUMMYFUNCTION("""COMPUTED_VALUE"""),30.0)</f>
        <v>30</v>
      </c>
      <c r="L5195" s="17">
        <f>IFERROR(__xludf.DUMMYFUNCTION("""COMPUTED_VALUE"""),3.003222972E9)</f>
        <v>3003222972</v>
      </c>
      <c r="M5195" s="17" t="str">
        <f>IFERROR(__xludf.DUMMYFUNCTION("""COMPUTED_VALUE"""),"#REF!")</f>
        <v>#REF!</v>
      </c>
      <c r="N5195" s="17"/>
      <c r="O5195" s="17"/>
      <c r="P5195" s="17" t="b">
        <f>IFERROR(__xludf.DUMMYFUNCTION("""COMPUTED_VALUE"""),FALSE)</f>
        <v>0</v>
      </c>
      <c r="Q5195" s="20" t="str">
        <f>IFERROR(__xludf.DUMMYFUNCTION("""COMPUTED_VALUE"""),"")</f>
        <v/>
      </c>
      <c r="R5195" s="22" t="str">
        <f>IFERROR(__xludf.DUMMYFUNCTION("""COMPUTED_VALUE"""),"")</f>
        <v/>
      </c>
    </row>
    <row r="5196">
      <c r="A5196" s="15">
        <f>IFERROR(__xludf.DUMMYFUNCTION("""COMPUTED_VALUE"""),45153.0)</f>
        <v>45153</v>
      </c>
      <c r="B5196" s="16" t="str">
        <f>IFERROR(__xludf.DUMMYFUNCTION("""COMPUTED_VALUE"""),"Envia")</f>
        <v>Envia</v>
      </c>
      <c r="C5196" s="15" t="str">
        <f>IFERROR(__xludf.DUMMYFUNCTION("""COMPUTED_VALUE"""),"BARRANQUILLA")</f>
        <v>BARRANQUILLA</v>
      </c>
      <c r="D5196" s="15" t="str">
        <f>IFERROR(__xludf.DUMMYFUNCTION("""COMPUTED_VALUE"""),"BOGOTÁ")</f>
        <v>BOGOTÁ</v>
      </c>
      <c r="E5196" s="15" t="str">
        <f>IFERROR(__xludf.DUMMYFUNCTION("""COMPUTED_VALUE"""),"Mochi")</f>
        <v>Mochi</v>
      </c>
      <c r="F5196" s="17" t="str">
        <f>IFERROR(__xludf.DUMMYFUNCTION("""COMPUTED_VALUE"""),"Cra. 51B #87-50, Riomar, Barranquilla, Atlántico / Cra. 51B #87-50, Riomar, Barranquilla, Atlántico / Cra. 51B #87-50, Riomar, Barranquilla, Atlántico")</f>
        <v>Cra. 51B #87-50, Riomar, Barranquilla, Atlántico / Cra. 51B #87-50, Riomar, Barranquilla, Atlántico / Cra. 51B #87-50, Riomar, Barranquilla, Atlántico</v>
      </c>
      <c r="G5196" s="15" t="str">
        <f>IFERROR(__xludf.DUMMYFUNCTION("""COMPUTED_VALUE"""),"yina")</f>
        <v>yina</v>
      </c>
      <c r="H5196" s="16">
        <f>IFERROR(__xludf.DUMMYFUNCTION("""COMPUTED_VALUE"""),13990.0)</f>
        <v>13990</v>
      </c>
      <c r="I5196" s="18">
        <f>IFERROR(__xludf.DUMMYFUNCTION("""COMPUTED_VALUE"""),100.0)</f>
        <v>100</v>
      </c>
      <c r="J5196" s="18">
        <f>IFERROR(__xludf.DUMMYFUNCTION("""COMPUTED_VALUE"""),200.0)</f>
        <v>200</v>
      </c>
      <c r="K5196" s="18">
        <f>IFERROR(__xludf.DUMMYFUNCTION("""COMPUTED_VALUE"""),200.0)</f>
        <v>200</v>
      </c>
      <c r="L5196" s="17">
        <f>IFERROR(__xludf.DUMMYFUNCTION("""COMPUTED_VALUE"""),3.216528485E9)</f>
        <v>3216528485</v>
      </c>
      <c r="M5196" s="17" t="str">
        <f>IFERROR(__xludf.DUMMYFUNCTION("""COMPUTED_VALUE"""),"#REF!")</f>
        <v>#REF!</v>
      </c>
      <c r="N5196" s="17"/>
      <c r="O5196" s="17"/>
      <c r="P5196" s="17" t="b">
        <f>IFERROR(__xludf.DUMMYFUNCTION("""COMPUTED_VALUE"""),FALSE)</f>
        <v>0</v>
      </c>
      <c r="Q5196" s="20" t="str">
        <f>IFERROR(__xludf.DUMMYFUNCTION("""COMPUTED_VALUE"""),"")</f>
        <v/>
      </c>
      <c r="R5196" s="22" t="str">
        <f>IFERROR(__xludf.DUMMYFUNCTION("""COMPUTED_VALUE"""),"")</f>
        <v/>
      </c>
    </row>
    <row r="5197">
      <c r="A5197" s="15">
        <f>IFERROR(__xludf.DUMMYFUNCTION("""COMPUTED_VALUE"""),45153.0)</f>
        <v>45153</v>
      </c>
      <c r="B5197" s="16" t="str">
        <f>IFERROR(__xludf.DUMMYFUNCTION("""COMPUTED_VALUE"""),"Envia")</f>
        <v>Envia</v>
      </c>
      <c r="C5197" s="15" t="str">
        <f>IFERROR(__xludf.DUMMYFUNCTION("""COMPUTED_VALUE"""),"BOGOTÁ")</f>
        <v>BOGOTÁ</v>
      </c>
      <c r="D5197" s="15" t="str">
        <f>IFERROR(__xludf.DUMMYFUNCTION("""COMPUTED_VALUE"""),"MEDELLÍN")</f>
        <v>MEDELLÍN</v>
      </c>
      <c r="E5197" s="15" t="str">
        <f>IFERROR(__xludf.DUMMYFUNCTION("""COMPUTED_VALUE"""),"Fresqueria MyN")</f>
        <v>Fresqueria MyN</v>
      </c>
      <c r="F5197" s="17" t="str">
        <f>IFERROR(__xludf.DUMMYFUNCTION("""COMPUTED_VALUE"""),"Dirección Calle 23 # 116 – 31 Bodega 36 Parque Industrial Puerto Central – Bogotá D.C. / Bodegas centro norte  / Gontibin")</f>
        <v>Dirección Calle 23 # 116 – 31 Bodega 36 Parque Industrial Puerto Central – Bogotá D.C. / Bodegas centro norte  / Gontibin</v>
      </c>
      <c r="G5197" s="15" t="str">
        <f>IFERROR(__xludf.DUMMYFUNCTION("""COMPUTED_VALUE"""),"Ivan sarmiento")</f>
        <v>Ivan sarmiento</v>
      </c>
      <c r="H5197" s="16">
        <f>IFERROR(__xludf.DUMMYFUNCTION("""COMPUTED_VALUE"""),13985.0)</f>
        <v>13985</v>
      </c>
      <c r="I5197" s="18">
        <f>IFERROR(__xludf.DUMMYFUNCTION("""COMPUTED_VALUE"""),70.0)</f>
        <v>70</v>
      </c>
      <c r="J5197" s="18">
        <f>IFERROR(__xludf.DUMMYFUNCTION("""COMPUTED_VALUE"""),70.0)</f>
        <v>70</v>
      </c>
      <c r="K5197" s="18">
        <f>IFERROR(__xludf.DUMMYFUNCTION("""COMPUTED_VALUE"""),70.0)</f>
        <v>70</v>
      </c>
      <c r="L5197" s="17">
        <f>IFERROR(__xludf.DUMMYFUNCTION("""COMPUTED_VALUE"""),3.146622278E9)</f>
        <v>3146622278</v>
      </c>
      <c r="M5197" s="17" t="str">
        <f>IFERROR(__xludf.DUMMYFUNCTION("""COMPUTED_VALUE"""),"#REF!")</f>
        <v>#REF!</v>
      </c>
      <c r="N5197" s="17"/>
      <c r="O5197" s="17"/>
      <c r="P5197" s="17" t="b">
        <f>IFERROR(__xludf.DUMMYFUNCTION("""COMPUTED_VALUE"""),FALSE)</f>
        <v>0</v>
      </c>
      <c r="Q5197" s="20" t="str">
        <f>IFERROR(__xludf.DUMMYFUNCTION("""COMPUTED_VALUE"""),"")</f>
        <v/>
      </c>
      <c r="R5197" s="22" t="str">
        <f>IFERROR(__xludf.DUMMYFUNCTION("""COMPUTED_VALUE"""),"")</f>
        <v/>
      </c>
    </row>
    <row r="5198">
      <c r="A5198" s="15">
        <f>IFERROR(__xludf.DUMMYFUNCTION("""COMPUTED_VALUE"""),45153.0)</f>
        <v>45153</v>
      </c>
      <c r="B5198" s="16" t="str">
        <f>IFERROR(__xludf.DUMMYFUNCTION("""COMPUTED_VALUE"""),"Envia")</f>
        <v>Envia</v>
      </c>
      <c r="C5198" s="15" t="str">
        <f>IFERROR(__xludf.DUMMYFUNCTION("""COMPUTED_VALUE"""),"BOGOTÁ")</f>
        <v>BOGOTÁ</v>
      </c>
      <c r="D5198" s="15" t="str">
        <f>IFERROR(__xludf.DUMMYFUNCTION("""COMPUTED_VALUE"""),"MEDELLÍN")</f>
        <v>MEDELLÍN</v>
      </c>
      <c r="E5198" s="15" t="str">
        <f>IFERROR(__xludf.DUMMYFUNCTION("""COMPUTED_VALUE"""),"Helados swip")</f>
        <v>Helados swip</v>
      </c>
      <c r="F5198" s="17" t="str">
        <f>IFERROR(__xludf.DUMMYFUNCTION("""COMPUTED_VALUE"""),"CALLE 140 # 13 - 50 / FIT MARKET  / FIT MARKET")</f>
        <v>CALLE 140 # 13 - 50 / FIT MARKET  / FIT MARKET</v>
      </c>
      <c r="G5198" s="15" t="str">
        <f>IFERROR(__xludf.DUMMYFUNCTION("""COMPUTED_VALUE"""),"FIT MARKET 140")</f>
        <v>FIT MARKET 140</v>
      </c>
      <c r="H5198" s="16">
        <f>IFERROR(__xludf.DUMMYFUNCTION("""COMPUTED_VALUE"""),13892.0)</f>
        <v>13892</v>
      </c>
      <c r="I5198" s="18">
        <f>IFERROR(__xludf.DUMMYFUNCTION("""COMPUTED_VALUE"""),29.0)</f>
        <v>29</v>
      </c>
      <c r="J5198" s="18">
        <f>IFERROR(__xludf.DUMMYFUNCTION("""COMPUTED_VALUE"""),55.0)</f>
        <v>55</v>
      </c>
      <c r="K5198" s="18">
        <f>IFERROR(__xludf.DUMMYFUNCTION("""COMPUTED_VALUE"""),45.0)</f>
        <v>45</v>
      </c>
      <c r="L5198" s="17">
        <f>IFERROR(__xludf.DUMMYFUNCTION("""COMPUTED_VALUE"""),3.184646644E9)</f>
        <v>3184646644</v>
      </c>
      <c r="M5198" s="17" t="str">
        <f>IFERROR(__xludf.DUMMYFUNCTION("""COMPUTED_VALUE"""),"#REF!")</f>
        <v>#REF!</v>
      </c>
      <c r="N5198" s="17"/>
      <c r="O5198" s="17"/>
      <c r="P5198" s="17" t="b">
        <f>IFERROR(__xludf.DUMMYFUNCTION("""COMPUTED_VALUE"""),FALSE)</f>
        <v>0</v>
      </c>
      <c r="Q5198" s="20" t="str">
        <f>IFERROR(__xludf.DUMMYFUNCTION("""COMPUTED_VALUE"""),"")</f>
        <v/>
      </c>
      <c r="R5198" s="22" t="str">
        <f>IFERROR(__xludf.DUMMYFUNCTION("""COMPUTED_VALUE"""),"")</f>
        <v/>
      </c>
    </row>
    <row r="5199">
      <c r="A5199" s="15">
        <f>IFERROR(__xludf.DUMMYFUNCTION("""COMPUTED_VALUE"""),45153.0)</f>
        <v>45153</v>
      </c>
      <c r="B5199" s="16" t="str">
        <f>IFERROR(__xludf.DUMMYFUNCTION("""COMPUTED_VALUE"""),"Envia")</f>
        <v>Envia</v>
      </c>
      <c r="C5199" s="15" t="str">
        <f>IFERROR(__xludf.DUMMYFUNCTION("""COMPUTED_VALUE"""),"BOGOTÁ")</f>
        <v>BOGOTÁ</v>
      </c>
      <c r="D5199" s="15" t="str">
        <f>IFERROR(__xludf.DUMMYFUNCTION("""COMPUTED_VALUE"""),"MEDELLÍN")</f>
        <v>MEDELLÍN</v>
      </c>
      <c r="E5199" s="15" t="str">
        <f>IFERROR(__xludf.DUMMYFUNCTION("""COMPUTED_VALUE"""),"Helados swip")</f>
        <v>Helados swip</v>
      </c>
      <c r="F5199" s="17" t="str">
        <f>IFERROR(__xludf.DUMMYFUNCTION("""COMPUTED_VALUE"""),"CALLE 71 # 4-55 / ROSALES - FIT MARKET 71 / ROSALES")</f>
        <v>CALLE 71 # 4-55 / ROSALES - FIT MARKET 71 / ROSALES</v>
      </c>
      <c r="G5199" s="15" t="str">
        <f>IFERROR(__xludf.DUMMYFUNCTION("""COMPUTED_VALUE"""),"FIT MARKET 71")</f>
        <v>FIT MARKET 71</v>
      </c>
      <c r="H5199" s="16">
        <f>IFERROR(__xludf.DUMMYFUNCTION("""COMPUTED_VALUE"""),13893.0)</f>
        <v>13893</v>
      </c>
      <c r="I5199" s="18">
        <f>IFERROR(__xludf.DUMMYFUNCTION("""COMPUTED_VALUE"""),29.0)</f>
        <v>29</v>
      </c>
      <c r="J5199" s="18">
        <f>IFERROR(__xludf.DUMMYFUNCTION("""COMPUTED_VALUE"""),55.0)</f>
        <v>55</v>
      </c>
      <c r="K5199" s="18">
        <f>IFERROR(__xludf.DUMMYFUNCTION("""COMPUTED_VALUE"""),45.0)</f>
        <v>45</v>
      </c>
      <c r="L5199" s="17">
        <f>IFERROR(__xludf.DUMMYFUNCTION("""COMPUTED_VALUE"""),3.232200591E9)</f>
        <v>3232200591</v>
      </c>
      <c r="M5199" s="17" t="str">
        <f>IFERROR(__xludf.DUMMYFUNCTION("""COMPUTED_VALUE"""),"#REF!")</f>
        <v>#REF!</v>
      </c>
      <c r="N5199" s="17"/>
      <c r="O5199" s="17"/>
      <c r="P5199" s="17" t="b">
        <f>IFERROR(__xludf.DUMMYFUNCTION("""COMPUTED_VALUE"""),TRUE)</f>
        <v>1</v>
      </c>
      <c r="Q5199" s="20">
        <f>IFERROR(__xludf.DUMMYFUNCTION("""COMPUTED_VALUE"""),45153.461376990745)</f>
        <v>45153.46138</v>
      </c>
      <c r="R5199" s="22" t="str">
        <f>IFERROR(__xludf.DUMMYFUNCTION("""COMPUTED_VALUE"""),"")</f>
        <v/>
      </c>
    </row>
    <row r="5200">
      <c r="A5200" s="15">
        <f>IFERROR(__xludf.DUMMYFUNCTION("""COMPUTED_VALUE"""),45153.0)</f>
        <v>45153</v>
      </c>
      <c r="B5200" s="16" t="str">
        <f>IFERROR(__xludf.DUMMYFUNCTION("""COMPUTED_VALUE"""),"Envia")</f>
        <v>Envia</v>
      </c>
      <c r="C5200" s="15" t="str">
        <f>IFERROR(__xludf.DUMMYFUNCTION("""COMPUTED_VALUE"""),"BUCARAMANGA")</f>
        <v>BUCARAMANGA</v>
      </c>
      <c r="D5200" s="15" t="str">
        <f>IFERROR(__xludf.DUMMYFUNCTION("""COMPUTED_VALUE"""),"BOGOTÁ")</f>
        <v>BOGOTÁ</v>
      </c>
      <c r="E5200" s="15" t="str">
        <f>IFERROR(__xludf.DUMMYFUNCTION("""COMPUTED_VALUE"""),"Loomifoods")</f>
        <v>Loomifoods</v>
      </c>
      <c r="F5200" s="17" t="str">
        <f>IFERROR(__xludf.DUMMYFUNCTION("""COMPUTED_VALUE"""),"Cra 28 no. 33 - 84 / Condominio Paladio / apto 305")</f>
        <v>Cra 28 no. 33 - 84 / Condominio Paladio / apto 305</v>
      </c>
      <c r="G5200" s="15" t="str">
        <f>IFERROR(__xludf.DUMMYFUNCTION("""COMPUTED_VALUE"""),"Adriana Aparicio")</f>
        <v>Adriana Aparicio</v>
      </c>
      <c r="H5200" s="16">
        <f>IFERROR(__xludf.DUMMYFUNCTION("""COMPUTED_VALUE"""),13956.0)</f>
        <v>13956</v>
      </c>
      <c r="I5200" s="18">
        <f>IFERROR(__xludf.DUMMYFUNCTION("""COMPUTED_VALUE"""),19.0)</f>
        <v>19</v>
      </c>
      <c r="J5200" s="18">
        <f>IFERROR(__xludf.DUMMYFUNCTION("""COMPUTED_VALUE"""),5.0)</f>
        <v>5</v>
      </c>
      <c r="K5200" s="18">
        <f>IFERROR(__xludf.DUMMYFUNCTION("""COMPUTED_VALUE"""),16.0)</f>
        <v>16</v>
      </c>
      <c r="L5200" s="17">
        <f>IFERROR(__xludf.DUMMYFUNCTION("""COMPUTED_VALUE"""),3.155794386E9)</f>
        <v>3155794386</v>
      </c>
      <c r="M5200" s="17" t="str">
        <f>IFERROR(__xludf.DUMMYFUNCTION("""COMPUTED_VALUE"""),"#REF!")</f>
        <v>#REF!</v>
      </c>
      <c r="N5200" s="17"/>
      <c r="O5200" s="17"/>
      <c r="P5200" s="17" t="b">
        <f>IFERROR(__xludf.DUMMYFUNCTION("""COMPUTED_VALUE"""),FALSE)</f>
        <v>0</v>
      </c>
      <c r="Q5200" s="20" t="str">
        <f>IFERROR(__xludf.DUMMYFUNCTION("""COMPUTED_VALUE"""),"")</f>
        <v/>
      </c>
      <c r="R5200" s="21" t="str">
        <f>IFERROR(__xludf.DUMMYFUNCTION("""COMPUTED_VALUE"""),"https://drive.google.com/file/d/1jqq3Own4u1B0oYkZq7d4T1bh4rVAALAw/view?usp=drivesdk")</f>
        <v>https://drive.google.com/file/d/1jqq3Own4u1B0oYkZq7d4T1bh4rVAALAw/view?usp=drivesdk</v>
      </c>
    </row>
    <row r="5201">
      <c r="A5201" s="15">
        <f>IFERROR(__xludf.DUMMYFUNCTION("""COMPUTED_VALUE"""),45153.0)</f>
        <v>45153</v>
      </c>
      <c r="B5201" s="16" t="str">
        <f>IFERROR(__xludf.DUMMYFUNCTION("""COMPUTED_VALUE"""),"Envia")</f>
        <v>Envia</v>
      </c>
      <c r="C5201" s="15" t="str">
        <f>IFERROR(__xludf.DUMMYFUNCTION("""COMPUTED_VALUE"""),"CALI")</f>
        <v>CALI</v>
      </c>
      <c r="D5201" s="15" t="str">
        <f>IFERROR(__xludf.DUMMYFUNCTION("""COMPUTED_VALUE"""),"BOGOTÁ")</f>
        <v>BOGOTÁ</v>
      </c>
      <c r="E5201" s="15" t="str">
        <f>IFERROR(__xludf.DUMMYFUNCTION("""COMPUTED_VALUE"""),"Pan de Waffle")</f>
        <v>Pan de Waffle</v>
      </c>
      <c r="F5201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5201" s="15" t="str">
        <f>IFERROR(__xludf.DUMMYFUNCTION("""COMPUTED_VALUE"""),"FOODOLOGY - CALI")</f>
        <v>FOODOLOGY - CALI</v>
      </c>
      <c r="H5201" s="16">
        <f>IFERROR(__xludf.DUMMYFUNCTION("""COMPUTED_VALUE"""),13959.0)</f>
        <v>13959</v>
      </c>
      <c r="I5201" s="18">
        <f>IFERROR(__xludf.DUMMYFUNCTION("""COMPUTED_VALUE"""),40.0)</f>
        <v>40</v>
      </c>
      <c r="J5201" s="18">
        <f>IFERROR(__xludf.DUMMYFUNCTION("""COMPUTED_VALUE"""),40.0)</f>
        <v>40</v>
      </c>
      <c r="K5201" s="18">
        <f>IFERROR(__xludf.DUMMYFUNCTION("""COMPUTED_VALUE"""),30.0)</f>
        <v>30</v>
      </c>
      <c r="L5201" s="17">
        <f>IFERROR(__xludf.DUMMYFUNCTION("""COMPUTED_VALUE"""),3.158323233E9)</f>
        <v>3158323233</v>
      </c>
      <c r="M5201" s="17" t="str">
        <f>IFERROR(__xludf.DUMMYFUNCTION("""COMPUTED_VALUE"""),"#REF!")</f>
        <v>#REF!</v>
      </c>
      <c r="N5201" s="17"/>
      <c r="O5201" s="17"/>
      <c r="P5201" s="17" t="b">
        <f>IFERROR(__xludf.DUMMYFUNCTION("""COMPUTED_VALUE"""),FALSE)</f>
        <v>0</v>
      </c>
      <c r="Q5201" s="20" t="str">
        <f>IFERROR(__xludf.DUMMYFUNCTION("""COMPUTED_VALUE"""),"")</f>
        <v/>
      </c>
      <c r="R5201" s="21" t="str">
        <f>IFERROR(__xludf.DUMMYFUNCTION("""COMPUTED_VALUE"""),"https://drive.google.com/file/d/1ERqnCNmVunM7ppHZgbICg_MoBLsei9Mc/view?usp=drivesdk")</f>
        <v>https://drive.google.com/file/d/1ERqnCNmVunM7ppHZgbICg_MoBLsei9Mc/view?usp=drivesdk</v>
      </c>
    </row>
    <row r="5202">
      <c r="A5202" s="15">
        <f>IFERROR(__xludf.DUMMYFUNCTION("""COMPUTED_VALUE"""),45153.0)</f>
        <v>45153</v>
      </c>
      <c r="B5202" s="16" t="str">
        <f>IFERROR(__xludf.DUMMYFUNCTION("""COMPUTED_VALUE"""),"Envia")</f>
        <v>Envia</v>
      </c>
      <c r="C5202" s="15" t="str">
        <f>IFERROR(__xludf.DUMMYFUNCTION("""COMPUTED_VALUE"""),"CALI")</f>
        <v>CALI</v>
      </c>
      <c r="D5202" s="15" t="str">
        <f>IFERROR(__xludf.DUMMYFUNCTION("""COMPUTED_VALUE"""),"BUCARAMANGA")</f>
        <v>BUCARAMANGA</v>
      </c>
      <c r="E5202" s="15" t="str">
        <f>IFERROR(__xludf.DUMMYFUNCTION("""COMPUTED_VALUE"""),"Yo Como Solito")</f>
        <v>Yo Como Solito</v>
      </c>
      <c r="F5202" s="17" t="str">
        <f>IFERROR(__xludf.DUMMYFUNCTION("""COMPUTED_VALUE"""),"CARRERA 26i no. 50-11B NUEVA FLORESTA PISO 2  / CARRERA 26i no. 50-11B NUEVA FLORESTA PISO 2  / CARRERA 26i no. 50-11B NUEVA FLORESTA PISO 2")</f>
        <v>CARRERA 26i no. 50-11B NUEVA FLORESTA PISO 2  / CARRERA 26i no. 50-11B NUEVA FLORESTA PISO 2  / CARRERA 26i no. 50-11B NUEVA FLORESTA PISO 2</v>
      </c>
      <c r="G5202" s="15" t="str">
        <f>IFERROR(__xludf.DUMMYFUNCTION("""COMPUTED_VALUE"""),"ELIANA ALVAREZ")</f>
        <v>ELIANA ALVAREZ</v>
      </c>
      <c r="H5202" s="16">
        <f>IFERROR(__xludf.DUMMYFUNCTION("""COMPUTED_VALUE"""),13853.0)</f>
        <v>13853</v>
      </c>
      <c r="I5202" s="18">
        <f>IFERROR(__xludf.DUMMYFUNCTION("""COMPUTED_VALUE"""),18.0)</f>
        <v>18</v>
      </c>
      <c r="J5202" s="18">
        <f>IFERROR(__xludf.DUMMYFUNCTION("""COMPUTED_VALUE"""),27.0)</f>
        <v>27</v>
      </c>
      <c r="K5202" s="18">
        <f>IFERROR(__xludf.DUMMYFUNCTION("""COMPUTED_VALUE"""),46.0)</f>
        <v>46</v>
      </c>
      <c r="L5202" s="17">
        <f>IFERROR(__xludf.DUMMYFUNCTION("""COMPUTED_VALUE"""),3.164048865E9)</f>
        <v>3164048865</v>
      </c>
      <c r="M5202" s="17" t="str">
        <f>IFERROR(__xludf.DUMMYFUNCTION("""COMPUTED_VALUE"""),"#REF!")</f>
        <v>#REF!</v>
      </c>
      <c r="N5202" s="17"/>
      <c r="O5202" s="17"/>
      <c r="P5202" s="17" t="b">
        <f>IFERROR(__xludf.DUMMYFUNCTION("""COMPUTED_VALUE"""),FALSE)</f>
        <v>0</v>
      </c>
      <c r="Q5202" s="20" t="str">
        <f>IFERROR(__xludf.DUMMYFUNCTION("""COMPUTED_VALUE"""),"")</f>
        <v/>
      </c>
      <c r="R5202" s="21" t="str">
        <f>IFERROR(__xludf.DUMMYFUNCTION("""COMPUTED_VALUE"""),"https://drive.google.com/file/d/16JjM4p_J9zXWfX1muZyto5XNqWREd9lh/view?usp=drivesdk")</f>
        <v>https://drive.google.com/file/d/16JjM4p_J9zXWfX1muZyto5XNqWREd9lh/view?usp=drivesdk</v>
      </c>
    </row>
    <row r="5203">
      <c r="A5203" s="15">
        <f>IFERROR(__xludf.DUMMYFUNCTION("""COMPUTED_VALUE"""),45153.0)</f>
        <v>45153</v>
      </c>
      <c r="B5203" s="16" t="str">
        <f>IFERROR(__xludf.DUMMYFUNCTION("""COMPUTED_VALUE"""),"Envia")</f>
        <v>Envia</v>
      </c>
      <c r="C5203" s="15" t="str">
        <f>IFERROR(__xludf.DUMMYFUNCTION("""COMPUTED_VALUE"""),"IBAGUÉ")</f>
        <v>IBAGUÉ</v>
      </c>
      <c r="D5203" s="15" t="str">
        <f>IFERROR(__xludf.DUMMYFUNCTION("""COMPUTED_VALUE"""),"BOGOTÁ")</f>
        <v>BOGOTÁ</v>
      </c>
      <c r="E5203" s="15" t="str">
        <f>IFERROR(__xludf.DUMMYFUNCTION("""COMPUTED_VALUE"""),"Evamazzita")</f>
        <v>Evamazzita</v>
      </c>
      <c r="F5203" s="17" t="str">
        <f>IFERROR(__xludf.DUMMYFUNCTION("""COMPUTED_VALUE"""),"Calle 93#7Sur-90 / Torre 7 Apto 701 / Conjunto Parque Residencial Altagracia")</f>
        <v>Calle 93#7Sur-90 / Torre 7 Apto 701 / Conjunto Parque Residencial Altagracia</v>
      </c>
      <c r="G5203" s="15" t="str">
        <f>IFERROR(__xludf.DUMMYFUNCTION("""COMPUTED_VALUE"""),"MARIAM MURILLO")</f>
        <v>MARIAM MURILLO</v>
      </c>
      <c r="H5203" s="16">
        <f>IFERROR(__xludf.DUMMYFUNCTION("""COMPUTED_VALUE"""),13932.0)</f>
        <v>13932</v>
      </c>
      <c r="I5203" s="18">
        <f>IFERROR(__xludf.DUMMYFUNCTION("""COMPUTED_VALUE"""),24.0)</f>
        <v>24</v>
      </c>
      <c r="J5203" s="18">
        <f>IFERROR(__xludf.DUMMYFUNCTION("""COMPUTED_VALUE"""),44.0)</f>
        <v>44</v>
      </c>
      <c r="K5203" s="18">
        <f>IFERROR(__xludf.DUMMYFUNCTION("""COMPUTED_VALUE"""),20.0)</f>
        <v>20</v>
      </c>
      <c r="L5203" s="17">
        <f>IFERROR(__xludf.DUMMYFUNCTION("""COMPUTED_VALUE"""),3.105789664E9)</f>
        <v>3105789664</v>
      </c>
      <c r="M5203" s="17" t="str">
        <f>IFERROR(__xludf.DUMMYFUNCTION("""COMPUTED_VALUE"""),"#REF!")</f>
        <v>#REF!</v>
      </c>
      <c r="N5203" s="17"/>
      <c r="O5203" s="17"/>
      <c r="P5203" s="17" t="b">
        <f>IFERROR(__xludf.DUMMYFUNCTION("""COMPUTED_VALUE"""),FALSE)</f>
        <v>0</v>
      </c>
      <c r="Q5203" s="20" t="str">
        <f>IFERROR(__xludf.DUMMYFUNCTION("""COMPUTED_VALUE"""),"")</f>
        <v/>
      </c>
      <c r="R5203" s="21" t="str">
        <f>IFERROR(__xludf.DUMMYFUNCTION("""COMPUTED_VALUE"""),"https://drive.google.com/file/d/1Tq3rkqRS_vBMrNnIvEUdo_KD54AJwKqn/view?usp=drivesdk")</f>
        <v>https://drive.google.com/file/d/1Tq3rkqRS_vBMrNnIvEUdo_KD54AJwKqn/view?usp=drivesdk</v>
      </c>
    </row>
    <row r="5204">
      <c r="A5204" s="15">
        <f>IFERROR(__xludf.DUMMYFUNCTION("""COMPUTED_VALUE"""),45153.0)</f>
        <v>45153</v>
      </c>
      <c r="B5204" s="16" t="str">
        <f>IFERROR(__xludf.DUMMYFUNCTION("""COMPUTED_VALUE"""),"Envia")</f>
        <v>Envia</v>
      </c>
      <c r="C5204" s="15" t="str">
        <f>IFERROR(__xludf.DUMMYFUNCTION("""COMPUTED_VALUE"""),"IBAGUÉ")</f>
        <v>IBAGUÉ</v>
      </c>
      <c r="D5204" s="15" t="str">
        <f>IFERROR(__xludf.DUMMYFUNCTION("""COMPUTED_VALUE"""),"BOGOTÁ")</f>
        <v>BOGOTÁ</v>
      </c>
      <c r="E5204" s="15" t="str">
        <f>IFERROR(__xludf.DUMMYFUNCTION("""COMPUTED_VALUE"""),"Frutos Silvestres")</f>
        <v>Frutos Silvestres</v>
      </c>
      <c r="F5204" s="17" t="str">
        <f>IFERROR(__xludf.DUMMYFUNCTION("""COMPUTED_VALUE"""),"Manzana 12 casa 11  / Primer piso puerta negra  / Terrazas del tejar")</f>
        <v>Manzana 12 casa 11  / Primer piso puerta negra  / Terrazas del tejar</v>
      </c>
      <c r="G5204" s="15" t="str">
        <f>IFERROR(__xludf.DUMMYFUNCTION("""COMPUTED_VALUE"""),"Johanna Jaramillo")</f>
        <v>Johanna Jaramillo</v>
      </c>
      <c r="H5204" s="16">
        <f>IFERROR(__xludf.DUMMYFUNCTION("""COMPUTED_VALUE"""),13984.0)</f>
        <v>13984</v>
      </c>
      <c r="I5204" s="18">
        <f>IFERROR(__xludf.DUMMYFUNCTION("""COMPUTED_VALUE"""),28.0)</f>
        <v>28</v>
      </c>
      <c r="J5204" s="18">
        <f>IFERROR(__xludf.DUMMYFUNCTION("""COMPUTED_VALUE"""),25.0)</f>
        <v>25</v>
      </c>
      <c r="K5204" s="18">
        <f>IFERROR(__xludf.DUMMYFUNCTION("""COMPUTED_VALUE"""),21.0)</f>
        <v>21</v>
      </c>
      <c r="L5204" s="17">
        <f>IFERROR(__xludf.DUMMYFUNCTION("""COMPUTED_VALUE"""),3.245887861E9)</f>
        <v>3245887861</v>
      </c>
      <c r="M5204" s="17" t="str">
        <f>IFERROR(__xludf.DUMMYFUNCTION("""COMPUTED_VALUE"""),"#REF!")</f>
        <v>#REF!</v>
      </c>
      <c r="N5204" s="17"/>
      <c r="O5204" s="17"/>
      <c r="P5204" s="17" t="b">
        <f>IFERROR(__xludf.DUMMYFUNCTION("""COMPUTED_VALUE"""),FALSE)</f>
        <v>0</v>
      </c>
      <c r="Q5204" s="20" t="str">
        <f>IFERROR(__xludf.DUMMYFUNCTION("""COMPUTED_VALUE"""),"")</f>
        <v/>
      </c>
      <c r="R5204" s="21" t="str">
        <f>IFERROR(__xludf.DUMMYFUNCTION("""COMPUTED_VALUE"""),"https://drive.google.com/file/d/1Uvklvk2DN84UHwFIMVYw_jWoVhq4lS2p/view?usp=drivesdk")</f>
        <v>https://drive.google.com/file/d/1Uvklvk2DN84UHwFIMVYw_jWoVhq4lS2p/view?usp=drivesdk</v>
      </c>
    </row>
    <row r="5205">
      <c r="A5205" s="15">
        <f>IFERROR(__xludf.DUMMYFUNCTION("""COMPUTED_VALUE"""),45153.0)</f>
        <v>45153</v>
      </c>
      <c r="B5205" s="16" t="str">
        <f>IFERROR(__xludf.DUMMYFUNCTION("""COMPUTED_VALUE"""),"Envia")</f>
        <v>Envia</v>
      </c>
      <c r="C5205" s="15" t="str">
        <f>IFERROR(__xludf.DUMMYFUNCTION("""COMPUTED_VALUE"""),"IBAGUÉ")</f>
        <v>IBAGUÉ</v>
      </c>
      <c r="D5205" s="15" t="str">
        <f>IFERROR(__xludf.DUMMYFUNCTION("""COMPUTED_VALUE"""),"BOGOTÁ")</f>
        <v>BOGOTÁ</v>
      </c>
      <c r="E5205" s="15" t="str">
        <f>IFERROR(__xludf.DUMMYFUNCTION("""COMPUTED_VALUE"""),"Ins. Alimento Vital")</f>
        <v>Ins. Alimento Vital</v>
      </c>
      <c r="F5205" s="17" t="str">
        <f>IFERROR(__xludf.DUMMYFUNCTION("""COMPUTED_VALUE"""),"RECOGE EN EL CENTRO DE ACOPIO DE IBAGUE")</f>
        <v>RECOGE EN EL CENTRO DE ACOPIO DE IBAGUE</v>
      </c>
      <c r="G5205" s="15" t="str">
        <f>IFERROR(__xludf.DUMMYFUNCTION("""COMPUTED_VALUE"""),"LEIDY PAOLA GOMEZ BARRERA")</f>
        <v>LEIDY PAOLA GOMEZ BARRERA</v>
      </c>
      <c r="H5205" s="16">
        <f>IFERROR(__xludf.DUMMYFUNCTION("""COMPUTED_VALUE"""),13919.0)</f>
        <v>13919</v>
      </c>
      <c r="I5205" s="18">
        <f>IFERROR(__xludf.DUMMYFUNCTION("""COMPUTED_VALUE"""),1.0)</f>
        <v>1</v>
      </c>
      <c r="J5205" s="18">
        <f>IFERROR(__xludf.DUMMYFUNCTION("""COMPUTED_VALUE"""),1.0)</f>
        <v>1</v>
      </c>
      <c r="K5205" s="18">
        <f>IFERROR(__xludf.DUMMYFUNCTION("""COMPUTED_VALUE"""),1.0)</f>
        <v>1</v>
      </c>
      <c r="L5205" s="17">
        <f>IFERROR(__xludf.DUMMYFUNCTION("""COMPUTED_VALUE"""),3.043758112E9)</f>
        <v>3043758112</v>
      </c>
      <c r="M5205" s="17" t="str">
        <f>IFERROR(__xludf.DUMMYFUNCTION("""COMPUTED_VALUE"""),"#REF!")</f>
        <v>#REF!</v>
      </c>
      <c r="N5205" s="17"/>
      <c r="O5205" s="17"/>
      <c r="P5205" s="17" t="b">
        <f>IFERROR(__xludf.DUMMYFUNCTION("""COMPUTED_VALUE"""),FALSE)</f>
        <v>0</v>
      </c>
      <c r="Q5205" s="20" t="str">
        <f>IFERROR(__xludf.DUMMYFUNCTION("""COMPUTED_VALUE"""),"")</f>
        <v/>
      </c>
      <c r="R5205" s="22" t="str">
        <f>IFERROR(__xludf.DUMMYFUNCTION("""COMPUTED_VALUE"""),"")</f>
        <v/>
      </c>
    </row>
    <row r="5206">
      <c r="A5206" s="15">
        <f>IFERROR(__xludf.DUMMYFUNCTION("""COMPUTED_VALUE"""),45153.0)</f>
        <v>45153</v>
      </c>
      <c r="B5206" s="16" t="str">
        <f>IFERROR(__xludf.DUMMYFUNCTION("""COMPUTED_VALUE"""),"Envia")</f>
        <v>Envia</v>
      </c>
      <c r="C5206" s="15" t="str">
        <f>IFERROR(__xludf.DUMMYFUNCTION("""COMPUTED_VALUE"""),"IBAGUÉ")</f>
        <v>IBAGUÉ</v>
      </c>
      <c r="D5206" s="15" t="str">
        <f>IFERROR(__xludf.DUMMYFUNCTION("""COMPUTED_VALUE"""),"BOGOTÁ")</f>
        <v>BOGOTÁ</v>
      </c>
      <c r="E5206" s="15" t="str">
        <f>IFERROR(__xludf.DUMMYFUNCTION("""COMPUTED_VALUE"""),"Pan de Waffle")</f>
        <v>Pan de Waffle</v>
      </c>
      <c r="F5206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5206" s="15" t="str">
        <f>IFERROR(__xludf.DUMMYFUNCTION("""COMPUTED_VALUE"""),"SOY NATURAL SEDE EL VERGEL")</f>
        <v>SOY NATURAL SEDE EL VERGEL</v>
      </c>
      <c r="H5206" s="16">
        <f>IFERROR(__xludf.DUMMYFUNCTION("""COMPUTED_VALUE"""),13958.0)</f>
        <v>13958</v>
      </c>
      <c r="I5206" s="18">
        <f>IFERROR(__xludf.DUMMYFUNCTION("""COMPUTED_VALUE"""),40.0)</f>
        <v>40</v>
      </c>
      <c r="J5206" s="18">
        <f>IFERROR(__xludf.DUMMYFUNCTION("""COMPUTED_VALUE"""),40.0)</f>
        <v>40</v>
      </c>
      <c r="K5206" s="18">
        <f>IFERROR(__xludf.DUMMYFUNCTION("""COMPUTED_VALUE"""),40.0)</f>
        <v>40</v>
      </c>
      <c r="L5206" s="17">
        <f>IFERROR(__xludf.DUMMYFUNCTION("""COMPUTED_VALUE"""),3.208565148E9)</f>
        <v>3208565148</v>
      </c>
      <c r="M5206" s="17" t="str">
        <f>IFERROR(__xludf.DUMMYFUNCTION("""COMPUTED_VALUE"""),"#REF!")</f>
        <v>#REF!</v>
      </c>
      <c r="N5206" s="17"/>
      <c r="O5206" s="17"/>
      <c r="P5206" s="17" t="b">
        <f>IFERROR(__xludf.DUMMYFUNCTION("""COMPUTED_VALUE"""),FALSE)</f>
        <v>0</v>
      </c>
      <c r="Q5206" s="20" t="str">
        <f>IFERROR(__xludf.DUMMYFUNCTION("""COMPUTED_VALUE"""),"")</f>
        <v/>
      </c>
      <c r="R5206" s="22" t="str">
        <f>IFERROR(__xludf.DUMMYFUNCTION("""COMPUTED_VALUE"""),"")</f>
        <v/>
      </c>
    </row>
    <row r="5207">
      <c r="A5207" s="15">
        <f>IFERROR(__xludf.DUMMYFUNCTION("""COMPUTED_VALUE"""),45153.0)</f>
        <v>45153</v>
      </c>
      <c r="B5207" s="16" t="str">
        <f>IFERROR(__xludf.DUMMYFUNCTION("""COMPUTED_VALUE"""),"Envia")</f>
        <v>Envia</v>
      </c>
      <c r="C5207" s="15" t="str">
        <f>IFERROR(__xludf.DUMMYFUNCTION("""COMPUTED_VALUE"""),"MANIZALES")</f>
        <v>MANIZALES</v>
      </c>
      <c r="D5207" s="15" t="str">
        <f>IFERROR(__xludf.DUMMYFUNCTION("""COMPUTED_VALUE"""),"BOGOTÁ")</f>
        <v>BOGOTÁ</v>
      </c>
      <c r="E5207" s="15" t="str">
        <f>IFERROR(__xludf.DUMMYFUNCTION("""COMPUTED_VALUE"""),"Top Spun")</f>
        <v>Top Spun</v>
      </c>
      <c r="F5207" s="17" t="str">
        <f>IFERROR(__xludf.DUMMYFUNCTION("""COMPUTED_VALUE"""),"Avenida Alberto Mendoza # 86-03 / Casa 23  / Conjunto Las Lomas")</f>
        <v>Avenida Alberto Mendoza # 86-03 / Casa 23  / Conjunto Las Lomas</v>
      </c>
      <c r="G5207" s="15" t="str">
        <f>IFERROR(__xludf.DUMMYFUNCTION("""COMPUTED_VALUE"""),"Ana Toro")</f>
        <v>Ana Toro</v>
      </c>
      <c r="H5207" s="16">
        <f>IFERROR(__xludf.DUMMYFUNCTION("""COMPUTED_VALUE"""),13890.0)</f>
        <v>13890</v>
      </c>
      <c r="I5207" s="18">
        <f>IFERROR(__xludf.DUMMYFUNCTION("""COMPUTED_VALUE"""),20.0)</f>
        <v>20</v>
      </c>
      <c r="J5207" s="18">
        <f>IFERROR(__xludf.DUMMYFUNCTION("""COMPUTED_VALUE"""),10.0)</f>
        <v>10</v>
      </c>
      <c r="K5207" s="18">
        <f>IFERROR(__xludf.DUMMYFUNCTION("""COMPUTED_VALUE"""),40.0)</f>
        <v>40</v>
      </c>
      <c r="L5207" s="17">
        <f>IFERROR(__xludf.DUMMYFUNCTION("""COMPUTED_VALUE"""),3.148680722E9)</f>
        <v>3148680722</v>
      </c>
      <c r="M5207" s="17" t="str">
        <f>IFERROR(__xludf.DUMMYFUNCTION("""COMPUTED_VALUE"""),"#REF!")</f>
        <v>#REF!</v>
      </c>
      <c r="N5207" s="17"/>
      <c r="O5207" s="17"/>
      <c r="P5207" s="17" t="b">
        <f>IFERROR(__xludf.DUMMYFUNCTION("""COMPUTED_VALUE"""),FALSE)</f>
        <v>0</v>
      </c>
      <c r="Q5207" s="20" t="str">
        <f>IFERROR(__xludf.DUMMYFUNCTION("""COMPUTED_VALUE"""),"")</f>
        <v/>
      </c>
      <c r="R5207" s="21" t="str">
        <f>IFERROR(__xludf.DUMMYFUNCTION("""COMPUTED_VALUE"""),"https://drive.google.com/file/d/1jhadQjieA0XkB-oswCCK187P2TeaQu52/view?usp=drivesdk")</f>
        <v>https://drive.google.com/file/d/1jhadQjieA0XkB-oswCCK187P2TeaQu52/view?usp=drivesdk</v>
      </c>
    </row>
    <row r="5208">
      <c r="A5208" s="15">
        <f>IFERROR(__xludf.DUMMYFUNCTION("""COMPUTED_VALUE"""),45153.0)</f>
        <v>45153</v>
      </c>
      <c r="B5208" s="16" t="str">
        <f>IFERROR(__xludf.DUMMYFUNCTION("""COMPUTED_VALUE"""),"Envia")</f>
        <v>Envia</v>
      </c>
      <c r="C5208" s="15" t="str">
        <f>IFERROR(__xludf.DUMMYFUNCTION("""COMPUTED_VALUE"""),"MANIZALES")</f>
        <v>MANIZALES</v>
      </c>
      <c r="D5208" s="15" t="str">
        <f>IFERROR(__xludf.DUMMYFUNCTION("""COMPUTED_VALUE"""),"BOGOTÁ")</f>
        <v>BOGOTÁ</v>
      </c>
      <c r="E5208" s="15" t="str">
        <f>IFERROR(__xludf.DUMMYFUNCTION("""COMPUTED_VALUE"""),"Viiva Fermentados")</f>
        <v>Viiva Fermentados</v>
      </c>
      <c r="F5208" s="17" t="str">
        <f>IFERROR(__xludf.DUMMYFUNCTION("""COMPUTED_VALUE"""),"Carrera 23#75A 95  / Tienda Opla Market - Laura Prieto / Barrio Milan")</f>
        <v>Carrera 23#75A 95  / Tienda Opla Market - Laura Prieto / Barrio Milan</v>
      </c>
      <c r="G5208" s="15" t="str">
        <f>IFERROR(__xludf.DUMMYFUNCTION("""COMPUTED_VALUE"""),"Opla Market")</f>
        <v>Opla Market</v>
      </c>
      <c r="H5208" s="16">
        <f>IFERROR(__xludf.DUMMYFUNCTION("""COMPUTED_VALUE"""),13986.0)</f>
        <v>13986</v>
      </c>
      <c r="I5208" s="18">
        <f>IFERROR(__xludf.DUMMYFUNCTION("""COMPUTED_VALUE"""),17.0)</f>
        <v>17</v>
      </c>
      <c r="J5208" s="18">
        <f>IFERROR(__xludf.DUMMYFUNCTION("""COMPUTED_VALUE"""),36.0)</f>
        <v>36</v>
      </c>
      <c r="K5208" s="18">
        <f>IFERROR(__xludf.DUMMYFUNCTION("""COMPUTED_VALUE"""),24.0)</f>
        <v>24</v>
      </c>
      <c r="L5208" s="17">
        <f>IFERROR(__xludf.DUMMYFUNCTION("""COMPUTED_VALUE"""),3.24428274E9)</f>
        <v>3244282740</v>
      </c>
      <c r="M5208" s="17" t="str">
        <f>IFERROR(__xludf.DUMMYFUNCTION("""COMPUTED_VALUE"""),"#REF!")</f>
        <v>#REF!</v>
      </c>
      <c r="N5208" s="17"/>
      <c r="O5208" s="17"/>
      <c r="P5208" s="17" t="b">
        <f>IFERROR(__xludf.DUMMYFUNCTION("""COMPUTED_VALUE"""),FALSE)</f>
        <v>0</v>
      </c>
      <c r="Q5208" s="20" t="str">
        <f>IFERROR(__xludf.DUMMYFUNCTION("""COMPUTED_VALUE"""),"")</f>
        <v/>
      </c>
      <c r="R5208" s="21" t="str">
        <f>IFERROR(__xludf.DUMMYFUNCTION("""COMPUTED_VALUE"""),"https://drive.google.com/file/d/11tZ5QyltjtHASi8YZvBjMsijR11wu3Zk/view?usp=drivesdk")</f>
        <v>https://drive.google.com/file/d/11tZ5QyltjtHASi8YZvBjMsijR11wu3Zk/view?usp=drivesdk</v>
      </c>
    </row>
    <row r="5209">
      <c r="A5209" s="15">
        <f>IFERROR(__xludf.DUMMYFUNCTION("""COMPUTED_VALUE"""),45153.0)</f>
        <v>45153</v>
      </c>
      <c r="B5209" s="16" t="str">
        <f>IFERROR(__xludf.DUMMYFUNCTION("""COMPUTED_VALUE"""),"Envia")</f>
        <v>Envia</v>
      </c>
      <c r="C5209" s="15" t="str">
        <f>IFERROR(__xludf.DUMMYFUNCTION("""COMPUTED_VALUE"""),"MANIZALES")</f>
        <v>MANIZALES</v>
      </c>
      <c r="D5209" s="15" t="str">
        <f>IFERROR(__xludf.DUMMYFUNCTION("""COMPUTED_VALUE"""),"MEDELLÍN")</f>
        <v>MEDELLÍN</v>
      </c>
      <c r="E5209" s="15" t="str">
        <f>IFERROR(__xludf.DUMMYFUNCTION("""COMPUTED_VALUE"""),"Todo Bufala")</f>
        <v>Todo Bufala</v>
      </c>
      <c r="F5209" s="17" t="str">
        <f>IFERROR(__xludf.DUMMYFUNCTION("""COMPUTED_VALUE"""),"Call 66 #23B - 211 / Edifico calle larga, local 5c")</f>
        <v>Call 66 #23B - 211 / Edifico calle larga, local 5c</v>
      </c>
      <c r="G5209" s="15" t="str">
        <f>IFERROR(__xludf.DUMMYFUNCTION("""COMPUTED_VALUE"""),"Sebastian Perez Pineda")</f>
        <v>Sebastian Perez Pineda</v>
      </c>
      <c r="H5209" s="16">
        <f>IFERROR(__xludf.DUMMYFUNCTION("""COMPUTED_VALUE"""),13897.0)</f>
        <v>13897</v>
      </c>
      <c r="I5209" s="18">
        <f>IFERROR(__xludf.DUMMYFUNCTION("""COMPUTED_VALUE"""),20.0)</f>
        <v>20</v>
      </c>
      <c r="J5209" s="18">
        <f>IFERROR(__xludf.DUMMYFUNCTION("""COMPUTED_VALUE"""),30.0)</f>
        <v>30</v>
      </c>
      <c r="K5209" s="18">
        <f>IFERROR(__xludf.DUMMYFUNCTION("""COMPUTED_VALUE"""),40.0)</f>
        <v>40</v>
      </c>
      <c r="L5209" s="17">
        <f>IFERROR(__xludf.DUMMYFUNCTION("""COMPUTED_VALUE"""),3.106974621E9)</f>
        <v>3106974621</v>
      </c>
      <c r="M5209" s="17" t="str">
        <f>IFERROR(__xludf.DUMMYFUNCTION("""COMPUTED_VALUE"""),"#REF!")</f>
        <v>#REF!</v>
      </c>
      <c r="N5209" s="17"/>
      <c r="O5209" s="17"/>
      <c r="P5209" s="17" t="b">
        <f>IFERROR(__xludf.DUMMYFUNCTION("""COMPUTED_VALUE"""),FALSE)</f>
        <v>0</v>
      </c>
      <c r="Q5209" s="20" t="str">
        <f>IFERROR(__xludf.DUMMYFUNCTION("""COMPUTED_VALUE"""),"")</f>
        <v/>
      </c>
      <c r="R5209" s="22" t="str">
        <f>IFERROR(__xludf.DUMMYFUNCTION("""COMPUTED_VALUE"""),"")</f>
        <v/>
      </c>
    </row>
    <row r="5210">
      <c r="A5210" s="15">
        <f>IFERROR(__xludf.DUMMYFUNCTION("""COMPUTED_VALUE"""),45153.0)</f>
        <v>45153</v>
      </c>
      <c r="B5210" s="16" t="str">
        <f>IFERROR(__xludf.DUMMYFUNCTION("""COMPUTED_VALUE"""),"Envia")</f>
        <v>Envia</v>
      </c>
      <c r="C5210" s="15" t="str">
        <f>IFERROR(__xludf.DUMMYFUNCTION("""COMPUTED_VALUE"""),"MEDELLÍN")</f>
        <v>MEDELLÍN</v>
      </c>
      <c r="D5210" s="15" t="str">
        <f>IFERROR(__xludf.DUMMYFUNCTION("""COMPUTED_VALUE"""),"BOGOTÁ")</f>
        <v>BOGOTÁ</v>
      </c>
      <c r="E5210" s="15" t="str">
        <f>IFERROR(__xludf.DUMMYFUNCTION("""COMPUTED_VALUE"""),"Asociacion Agropecuaria Juana Maria")</f>
        <v>Asociacion Agropecuaria Juana Maria</v>
      </c>
      <c r="F5210" s="17" t="str">
        <f>IFERROR(__xludf.DUMMYFUNCTION("""COMPUTED_VALUE"""),"Carrera 15 BA # 30D-44 int 201")</f>
        <v>Carrera 15 BA # 30D-44 int 201</v>
      </c>
      <c r="G5210" s="15" t="str">
        <f>IFERROR(__xludf.DUMMYFUNCTION("""COMPUTED_VALUE"""),"Daniela Bedoya Blandon")</f>
        <v>Daniela Bedoya Blandon</v>
      </c>
      <c r="H5210" s="16">
        <f>IFERROR(__xludf.DUMMYFUNCTION("""COMPUTED_VALUE"""),13899.0)</f>
        <v>13899</v>
      </c>
      <c r="I5210" s="18">
        <f>IFERROR(__xludf.DUMMYFUNCTION("""COMPUTED_VALUE"""),22.0)</f>
        <v>22</v>
      </c>
      <c r="J5210" s="18">
        <f>IFERROR(__xludf.DUMMYFUNCTION("""COMPUTED_VALUE"""),15.0)</f>
        <v>15</v>
      </c>
      <c r="K5210" s="18">
        <f>IFERROR(__xludf.DUMMYFUNCTION("""COMPUTED_VALUE"""),3.0)</f>
        <v>3</v>
      </c>
      <c r="L5210" s="17">
        <f>IFERROR(__xludf.DUMMYFUNCTION("""COMPUTED_VALUE"""),3.14672822E9)</f>
        <v>3146728220</v>
      </c>
      <c r="M5210" s="17" t="str">
        <f>IFERROR(__xludf.DUMMYFUNCTION("""COMPUTED_VALUE"""),"#REF!")</f>
        <v>#REF!</v>
      </c>
      <c r="N5210" s="17"/>
      <c r="O5210" s="17"/>
      <c r="P5210" s="17" t="b">
        <f>IFERROR(__xludf.DUMMYFUNCTION("""COMPUTED_VALUE"""),FALSE)</f>
        <v>0</v>
      </c>
      <c r="Q5210" s="20" t="str">
        <f>IFERROR(__xludf.DUMMYFUNCTION("""COMPUTED_VALUE"""),"")</f>
        <v/>
      </c>
      <c r="R5210" s="22" t="str">
        <f>IFERROR(__xludf.DUMMYFUNCTION("""COMPUTED_VALUE"""),"")</f>
        <v/>
      </c>
    </row>
    <row r="5211">
      <c r="A5211" s="15">
        <f>IFERROR(__xludf.DUMMYFUNCTION("""COMPUTED_VALUE"""),45153.0)</f>
        <v>45153</v>
      </c>
      <c r="B5211" s="16" t="str">
        <f>IFERROR(__xludf.DUMMYFUNCTION("""COMPUTED_VALUE"""),"Envia")</f>
        <v>Envia</v>
      </c>
      <c r="C5211" s="15" t="str">
        <f>IFERROR(__xludf.DUMMYFUNCTION("""COMPUTED_VALUE"""),"MEDELLÍN")</f>
        <v>MEDELLÍN</v>
      </c>
      <c r="D5211" s="15" t="str">
        <f>IFERROR(__xludf.DUMMYFUNCTION("""COMPUTED_VALUE"""),"BOGOTÁ")</f>
        <v>BOGOTÁ</v>
      </c>
      <c r="E5211" s="15" t="str">
        <f>IFERROR(__xludf.DUMMYFUNCTION("""COMPUTED_VALUE"""),"Asociacion Agropecuaria Juana Maria")</f>
        <v>Asociacion Agropecuaria Juana Maria</v>
      </c>
      <c r="F5211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5211" s="15" t="str">
        <f>IFERROR(__xludf.DUMMYFUNCTION("""COMPUTED_VALUE"""),"Jennifer Sanchez Blandon")</f>
        <v>Jennifer Sanchez Blandon</v>
      </c>
      <c r="H5211" s="16">
        <f>IFERROR(__xludf.DUMMYFUNCTION("""COMPUTED_VALUE"""),13902.0)</f>
        <v>13902</v>
      </c>
      <c r="I5211" s="18">
        <f>IFERROR(__xludf.DUMMYFUNCTION("""COMPUTED_VALUE"""),36.0)</f>
        <v>36</v>
      </c>
      <c r="J5211" s="18">
        <f>IFERROR(__xludf.DUMMYFUNCTION("""COMPUTED_VALUE"""),25.0)</f>
        <v>25</v>
      </c>
      <c r="K5211" s="18">
        <f>IFERROR(__xludf.DUMMYFUNCTION("""COMPUTED_VALUE"""),3.0)</f>
        <v>3</v>
      </c>
      <c r="L5211" s="17">
        <f>IFERROR(__xludf.DUMMYFUNCTION("""COMPUTED_VALUE"""),3.016937674E9)</f>
        <v>3016937674</v>
      </c>
      <c r="M5211" s="17" t="str">
        <f>IFERROR(__xludf.DUMMYFUNCTION("""COMPUTED_VALUE"""),"#REF!")</f>
        <v>#REF!</v>
      </c>
      <c r="N5211" s="17"/>
      <c r="O5211" s="17"/>
      <c r="P5211" s="17" t="b">
        <f>IFERROR(__xludf.DUMMYFUNCTION("""COMPUTED_VALUE"""),FALSE)</f>
        <v>0</v>
      </c>
      <c r="Q5211" s="20" t="str">
        <f>IFERROR(__xludf.DUMMYFUNCTION("""COMPUTED_VALUE"""),"")</f>
        <v/>
      </c>
      <c r="R5211" s="22" t="str">
        <f>IFERROR(__xludf.DUMMYFUNCTION("""COMPUTED_VALUE"""),"")</f>
        <v/>
      </c>
    </row>
    <row r="5212">
      <c r="A5212" s="15">
        <f>IFERROR(__xludf.DUMMYFUNCTION("""COMPUTED_VALUE"""),45153.0)</f>
        <v>45153</v>
      </c>
      <c r="B5212" s="16" t="str">
        <f>IFERROR(__xludf.DUMMYFUNCTION("""COMPUTED_VALUE"""),"Envia")</f>
        <v>Envia</v>
      </c>
      <c r="C5212" s="15" t="str">
        <f>IFERROR(__xludf.DUMMYFUNCTION("""COMPUTED_VALUE"""),"MEDELLÍN")</f>
        <v>MEDELLÍN</v>
      </c>
      <c r="D5212" s="15" t="str">
        <f>IFERROR(__xludf.DUMMYFUNCTION("""COMPUTED_VALUE"""),"BOGOTÁ")</f>
        <v>BOGOTÁ</v>
      </c>
      <c r="E5212" s="15" t="str">
        <f>IFERROR(__xludf.DUMMYFUNCTION("""COMPUTED_VALUE"""),"Evamazzita")</f>
        <v>Evamazzita</v>
      </c>
      <c r="F5212" s="17" t="str">
        <f>IFERROR(__xludf.DUMMYFUNCTION("""COMPUTED_VALUE"""),"Cr 40 # 74 sur 90 / Apto 1623 / ED. SAN BASILIO - BARRIO AVES MARIA")</f>
        <v>Cr 40 # 74 sur 90 / Apto 1623 / ED. SAN BASILIO - BARRIO AVES MARIA</v>
      </c>
      <c r="G5212" s="15" t="str">
        <f>IFERROR(__xludf.DUMMYFUNCTION("""COMPUTED_VALUE"""),"MARIA CAMILA MORALES")</f>
        <v>MARIA CAMILA MORALES</v>
      </c>
      <c r="H5212" s="16">
        <f>IFERROR(__xludf.DUMMYFUNCTION("""COMPUTED_VALUE"""),13953.0)</f>
        <v>13953</v>
      </c>
      <c r="I5212" s="18">
        <f>IFERROR(__xludf.DUMMYFUNCTION("""COMPUTED_VALUE"""),1.0)</f>
        <v>1</v>
      </c>
      <c r="J5212" s="18">
        <f>IFERROR(__xludf.DUMMYFUNCTION("""COMPUTED_VALUE"""),1.0)</f>
        <v>1</v>
      </c>
      <c r="K5212" s="18">
        <f>IFERROR(__xludf.DUMMYFUNCTION("""COMPUTED_VALUE"""),1.0)</f>
        <v>1</v>
      </c>
      <c r="L5212" s="17">
        <f>IFERROR(__xludf.DUMMYFUNCTION("""COMPUTED_VALUE"""),3.042181932E9)</f>
        <v>3042181932</v>
      </c>
      <c r="M5212" s="17" t="str">
        <f>IFERROR(__xludf.DUMMYFUNCTION("""COMPUTED_VALUE"""),"#REF!")</f>
        <v>#REF!</v>
      </c>
      <c r="N5212" s="17"/>
      <c r="O5212" s="17"/>
      <c r="P5212" s="17" t="b">
        <f>IFERROR(__xludf.DUMMYFUNCTION("""COMPUTED_VALUE"""),FALSE)</f>
        <v>0</v>
      </c>
      <c r="Q5212" s="20" t="str">
        <f>IFERROR(__xludf.DUMMYFUNCTION("""COMPUTED_VALUE"""),"")</f>
        <v/>
      </c>
      <c r="R5212" s="21" t="str">
        <f>IFERROR(__xludf.DUMMYFUNCTION("""COMPUTED_VALUE"""),"https://drive.google.com/file/d/1c5RlT9fuAOXA7Wp9Bh-IX8iB-Cn5DooZ/view?usp=drivesdk")</f>
        <v>https://drive.google.com/file/d/1c5RlT9fuAOXA7Wp9Bh-IX8iB-Cn5DooZ/view?usp=drivesdk</v>
      </c>
    </row>
    <row r="5213">
      <c r="A5213" s="15">
        <f>IFERROR(__xludf.DUMMYFUNCTION("""COMPUTED_VALUE"""),45153.0)</f>
        <v>45153</v>
      </c>
      <c r="B5213" s="16" t="str">
        <f>IFERROR(__xludf.DUMMYFUNCTION("""COMPUTED_VALUE"""),"Envia")</f>
        <v>Envia</v>
      </c>
      <c r="C5213" s="15" t="str">
        <f>IFERROR(__xludf.DUMMYFUNCTION("""COMPUTED_VALUE"""),"MEDELLÍN")</f>
        <v>MEDELLÍN</v>
      </c>
      <c r="D5213" s="15" t="str">
        <f>IFERROR(__xludf.DUMMYFUNCTION("""COMPUTED_VALUE"""),"BOGOTÁ")</f>
        <v>BOGOTÁ</v>
      </c>
      <c r="E5213" s="15" t="str">
        <f>IFERROR(__xludf.DUMMYFUNCTION("""COMPUTED_VALUE"""),"Lunchy Kids")</f>
        <v>Lunchy Kids</v>
      </c>
      <c r="F5213" s="17" t="str">
        <f>IFERROR(__xludf.DUMMYFUNCTION("""COMPUTED_VALUE"""),"Calle 1 B sur # 38-30  / apartamento 402 Portales de San Antonio  / Medellin")</f>
        <v>Calle 1 B sur # 38-30  / apartamento 402 Portales de San Antonio  / Medellin</v>
      </c>
      <c r="G5213" s="15" t="str">
        <f>IFERROR(__xludf.DUMMYFUNCTION("""COMPUTED_VALUE"""),"Isabel Cristina Zapata Bermudez")</f>
        <v>Isabel Cristina Zapata Bermudez</v>
      </c>
      <c r="H5213" s="16">
        <f>IFERROR(__xludf.DUMMYFUNCTION("""COMPUTED_VALUE"""),13913.0)</f>
        <v>13913</v>
      </c>
      <c r="I5213" s="18">
        <f>IFERROR(__xludf.DUMMYFUNCTION("""COMPUTED_VALUE"""),16.0)</f>
        <v>16</v>
      </c>
      <c r="J5213" s="18">
        <f>IFERROR(__xludf.DUMMYFUNCTION("""COMPUTED_VALUE"""),23.0)</f>
        <v>23</v>
      </c>
      <c r="K5213" s="18">
        <f>IFERROR(__xludf.DUMMYFUNCTION("""COMPUTED_VALUE"""),6.0)</f>
        <v>6</v>
      </c>
      <c r="L5213" s="17">
        <f>IFERROR(__xludf.DUMMYFUNCTION("""COMPUTED_VALUE"""),3.206726048E9)</f>
        <v>3206726048</v>
      </c>
      <c r="M5213" s="17" t="str">
        <f>IFERROR(__xludf.DUMMYFUNCTION("""COMPUTED_VALUE"""),"#REF!")</f>
        <v>#REF!</v>
      </c>
      <c r="N5213" s="17"/>
      <c r="O5213" s="17"/>
      <c r="P5213" s="17" t="b">
        <f>IFERROR(__xludf.DUMMYFUNCTION("""COMPUTED_VALUE"""),FALSE)</f>
        <v>0</v>
      </c>
      <c r="Q5213" s="20" t="str">
        <f>IFERROR(__xludf.DUMMYFUNCTION("""COMPUTED_VALUE"""),"")</f>
        <v/>
      </c>
      <c r="R5213" s="21" t="str">
        <f>IFERROR(__xludf.DUMMYFUNCTION("""COMPUTED_VALUE"""),"https://drive.google.com/file/d/17S36Mw47wAGlzX1bZLLR3J7LiWd7vlhE/view?usp=drivesdk")</f>
        <v>https://drive.google.com/file/d/17S36Mw47wAGlzX1bZLLR3J7LiWd7vlhE/view?usp=drivesdk</v>
      </c>
    </row>
    <row r="5214">
      <c r="A5214" s="15">
        <f>IFERROR(__xludf.DUMMYFUNCTION("""COMPUTED_VALUE"""),45153.0)</f>
        <v>45153</v>
      </c>
      <c r="B5214" s="16" t="str">
        <f>IFERROR(__xludf.DUMMYFUNCTION("""COMPUTED_VALUE"""),"Envia")</f>
        <v>Envia</v>
      </c>
      <c r="C5214" s="15" t="str">
        <f>IFERROR(__xludf.DUMMYFUNCTION("""COMPUTED_VALUE"""),"MEDELLÍN")</f>
        <v>MEDELLÍN</v>
      </c>
      <c r="D5214" s="15" t="str">
        <f>IFERROR(__xludf.DUMMYFUNCTION("""COMPUTED_VALUE"""),"BOGOTÁ")</f>
        <v>BOGOTÁ</v>
      </c>
      <c r="E5214" s="15" t="str">
        <f>IFERROR(__xludf.DUMMYFUNCTION("""COMPUTED_VALUE"""),"Pan de Waffle")</f>
        <v>Pan de Waffle</v>
      </c>
      <c r="F5214" s="17" t="str">
        <f>IFERROR(__xludf.DUMMYFUNCTION("""COMPUTED_VALUE"""),"Calle 16 # 41 - 51 Malawi Apto 2202  / Calle 16 # 41 - 51 Malawi Apto 2202  / Calle 16 # 41 - 51 Malawi Apto 2202")</f>
        <v>Calle 16 # 41 - 51 Malawi Apto 2202  / Calle 16 # 41 - 51 Malawi Apto 2202  / Calle 16 # 41 - 51 Malawi Apto 2202</v>
      </c>
      <c r="G5214" s="15" t="str">
        <f>IFERROR(__xludf.DUMMYFUNCTION("""COMPUTED_VALUE"""),"SUSANA OSORIO")</f>
        <v>SUSANA OSORIO</v>
      </c>
      <c r="H5214" s="16">
        <f>IFERROR(__xludf.DUMMYFUNCTION("""COMPUTED_VALUE"""),13976.0)</f>
        <v>13976</v>
      </c>
      <c r="I5214" s="18">
        <f>IFERROR(__xludf.DUMMYFUNCTION("""COMPUTED_VALUE"""),40.0)</f>
        <v>40</v>
      </c>
      <c r="J5214" s="18">
        <f>IFERROR(__xludf.DUMMYFUNCTION("""COMPUTED_VALUE"""),30.0)</f>
        <v>30</v>
      </c>
      <c r="K5214" s="18">
        <f>IFERROR(__xludf.DUMMYFUNCTION("""COMPUTED_VALUE"""),40.0)</f>
        <v>40</v>
      </c>
      <c r="L5214" s="17">
        <f>IFERROR(__xludf.DUMMYFUNCTION("""COMPUTED_VALUE"""),3.043759954E9)</f>
        <v>3043759954</v>
      </c>
      <c r="M5214" s="17" t="str">
        <f>IFERROR(__xludf.DUMMYFUNCTION("""COMPUTED_VALUE"""),"#REF!")</f>
        <v>#REF!</v>
      </c>
      <c r="N5214" s="17"/>
      <c r="O5214" s="17"/>
      <c r="P5214" s="17" t="b">
        <f>IFERROR(__xludf.DUMMYFUNCTION("""COMPUTED_VALUE"""),FALSE)</f>
        <v>0</v>
      </c>
      <c r="Q5214" s="20" t="str">
        <f>IFERROR(__xludf.DUMMYFUNCTION("""COMPUTED_VALUE"""),"")</f>
        <v/>
      </c>
      <c r="R5214" s="21" t="str">
        <f>IFERROR(__xludf.DUMMYFUNCTION("""COMPUTED_VALUE"""),"https://drive.google.com/file/d/1O1qp7LPnMJO3_AJd-DUaeODu8QOa4Bh3/view?usp=drivesdk")</f>
        <v>https://drive.google.com/file/d/1O1qp7LPnMJO3_AJd-DUaeODu8QOa4Bh3/view?usp=drivesdk</v>
      </c>
    </row>
    <row r="5215">
      <c r="A5215" s="15">
        <f>IFERROR(__xludf.DUMMYFUNCTION("""COMPUTED_VALUE"""),45153.0)</f>
        <v>45153</v>
      </c>
      <c r="B5215" s="16" t="str">
        <f>IFERROR(__xludf.DUMMYFUNCTION("""COMPUTED_VALUE"""),"Envia")</f>
        <v>Envia</v>
      </c>
      <c r="C5215" s="15" t="str">
        <f>IFERROR(__xludf.DUMMYFUNCTION("""COMPUTED_VALUE"""),"MEDELLÍN")</f>
        <v>MEDELLÍN</v>
      </c>
      <c r="D5215" s="15" t="str">
        <f>IFERROR(__xludf.DUMMYFUNCTION("""COMPUTED_VALUE"""),"BOGOTÁ")</f>
        <v>BOGOTÁ</v>
      </c>
      <c r="E5215" s="15" t="str">
        <f>IFERROR(__xludf.DUMMYFUNCTION("""COMPUTED_VALUE"""),"Viiva Fermentados")</f>
        <v>Viiva Fermentados</v>
      </c>
      <c r="F5215" s="17" t="str">
        <f>IFERROR(__xludf.DUMMYFUNCTION("""COMPUTED_VALUE"""),"CR 42 # 08 -39 / local piso 1 / poblado")</f>
        <v>CR 42 # 08 -39 / local piso 1 / poblado</v>
      </c>
      <c r="G5215" s="15" t="str">
        <f>IFERROR(__xludf.DUMMYFUNCTION("""COMPUTED_VALUE"""),"Julia Correa Ochoa La Real Vegetal")</f>
        <v>Julia Correa Ochoa La Real Vegetal</v>
      </c>
      <c r="H5215" s="16">
        <f>IFERROR(__xludf.DUMMYFUNCTION("""COMPUTED_VALUE"""),13882.0)</f>
        <v>13882</v>
      </c>
      <c r="I5215" s="18">
        <f>IFERROR(__xludf.DUMMYFUNCTION("""COMPUTED_VALUE"""),27.0)</f>
        <v>27</v>
      </c>
      <c r="J5215" s="18">
        <f>IFERROR(__xludf.DUMMYFUNCTION("""COMPUTED_VALUE"""),32.0)</f>
        <v>32</v>
      </c>
      <c r="K5215" s="18">
        <f>IFERROR(__xludf.DUMMYFUNCTION("""COMPUTED_VALUE"""),24.0)</f>
        <v>24</v>
      </c>
      <c r="L5215" s="17">
        <f>IFERROR(__xludf.DUMMYFUNCTION("""COMPUTED_VALUE"""),3.116345472E9)</f>
        <v>3116345472</v>
      </c>
      <c r="M5215" s="17" t="str">
        <f>IFERROR(__xludf.DUMMYFUNCTION("""COMPUTED_VALUE"""),"#REF!")</f>
        <v>#REF!</v>
      </c>
      <c r="N5215" s="17"/>
      <c r="O5215" s="17"/>
      <c r="P5215" s="17" t="b">
        <f>IFERROR(__xludf.DUMMYFUNCTION("""COMPUTED_VALUE"""),FALSE)</f>
        <v>0</v>
      </c>
      <c r="Q5215" s="20" t="str">
        <f>IFERROR(__xludf.DUMMYFUNCTION("""COMPUTED_VALUE"""),"")</f>
        <v/>
      </c>
      <c r="R5215" s="22" t="str">
        <f>IFERROR(__xludf.DUMMYFUNCTION("""COMPUTED_VALUE"""),"")</f>
        <v/>
      </c>
    </row>
    <row r="5216">
      <c r="A5216" s="15">
        <f>IFERROR(__xludf.DUMMYFUNCTION("""COMPUTED_VALUE"""),45153.0)</f>
        <v>45153</v>
      </c>
      <c r="B5216" s="16" t="str">
        <f>IFERROR(__xludf.DUMMYFUNCTION("""COMPUTED_VALUE"""),"Envia")</f>
        <v>Envia</v>
      </c>
      <c r="C5216" s="15" t="str">
        <f>IFERROR(__xludf.DUMMYFUNCTION("""COMPUTED_VALUE"""),"PEREIRA")</f>
        <v>PEREIRA</v>
      </c>
      <c r="D5216" s="15" t="str">
        <f>IFERROR(__xludf.DUMMYFUNCTION("""COMPUTED_VALUE"""),"BOGOTÁ")</f>
        <v>BOGOTÁ</v>
      </c>
      <c r="E5216" s="15" t="str">
        <f>IFERROR(__xludf.DUMMYFUNCTION("""COMPUTED_VALUE"""),"Asociacion Agropecuaria Juana Maria")</f>
        <v>Asociacion Agropecuaria Juana Maria</v>
      </c>
      <c r="F5216" s="17" t="str">
        <f>IFERROR(__xludf.DUMMYFUNCTION("""COMPUTED_VALUE"""),"Calle 153 # 23 -41 manzana 1 casa 9 sol de Galicia")</f>
        <v>Calle 153 # 23 -41 manzana 1 casa 9 sol de Galicia</v>
      </c>
      <c r="G5216" s="15" t="str">
        <f>IFERROR(__xludf.DUMMYFUNCTION("""COMPUTED_VALUE"""),"Paula Andrea Forero")</f>
        <v>Paula Andrea Forero</v>
      </c>
      <c r="H5216" s="16">
        <f>IFERROR(__xludf.DUMMYFUNCTION("""COMPUTED_VALUE"""),13904.0)</f>
        <v>13904</v>
      </c>
      <c r="I5216" s="18">
        <f>IFERROR(__xludf.DUMMYFUNCTION("""COMPUTED_VALUE"""),22.0)</f>
        <v>22</v>
      </c>
      <c r="J5216" s="18">
        <f>IFERROR(__xludf.DUMMYFUNCTION("""COMPUTED_VALUE"""),15.0)</f>
        <v>15</v>
      </c>
      <c r="K5216" s="18">
        <f>IFERROR(__xludf.DUMMYFUNCTION("""COMPUTED_VALUE"""),3.0)</f>
        <v>3</v>
      </c>
      <c r="L5216" s="17">
        <f>IFERROR(__xludf.DUMMYFUNCTION("""COMPUTED_VALUE"""),3.115760231E9)</f>
        <v>3115760231</v>
      </c>
      <c r="M5216" s="17" t="str">
        <f>IFERROR(__xludf.DUMMYFUNCTION("""COMPUTED_VALUE"""),"#REF!")</f>
        <v>#REF!</v>
      </c>
      <c r="N5216" s="17"/>
      <c r="O5216" s="17"/>
      <c r="P5216" s="17" t="b">
        <f>IFERROR(__xludf.DUMMYFUNCTION("""COMPUTED_VALUE"""),FALSE)</f>
        <v>0</v>
      </c>
      <c r="Q5216" s="20" t="str">
        <f>IFERROR(__xludf.DUMMYFUNCTION("""COMPUTED_VALUE"""),"")</f>
        <v/>
      </c>
      <c r="R5216" s="22" t="str">
        <f>IFERROR(__xludf.DUMMYFUNCTION("""COMPUTED_VALUE"""),"")</f>
        <v/>
      </c>
    </row>
    <row r="5217">
      <c r="A5217" s="15">
        <f>IFERROR(__xludf.DUMMYFUNCTION("""COMPUTED_VALUE"""),45153.0)</f>
        <v>45153</v>
      </c>
      <c r="B5217" s="16" t="str">
        <f>IFERROR(__xludf.DUMMYFUNCTION("""COMPUTED_VALUE"""),"Envia")</f>
        <v>Envia</v>
      </c>
      <c r="C5217" s="15" t="str">
        <f>IFERROR(__xludf.DUMMYFUNCTION("""COMPUTED_VALUE"""),"PEREIRA")</f>
        <v>PEREIRA</v>
      </c>
      <c r="D5217" s="15" t="str">
        <f>IFERROR(__xludf.DUMMYFUNCTION("""COMPUTED_VALUE"""),"BOGOTÁ")</f>
        <v>BOGOTÁ</v>
      </c>
      <c r="E5217" s="15" t="str">
        <f>IFERROR(__xludf.DUMMYFUNCTION("""COMPUTED_VALUE"""),"Athenas")</f>
        <v>Athenas</v>
      </c>
      <c r="F5217" s="17" t="str">
        <f>IFERROR(__xludf.DUMMYFUNCTION("""COMPUTED_VALUE"""),"Carrera 13 #12b 25 / Edificio uniplex bodytech cafeteria  / Pereira")</f>
        <v>Carrera 13 #12b 25 / Edificio uniplex bodytech cafeteria  / Pereira</v>
      </c>
      <c r="G5217" s="15" t="str">
        <f>IFERROR(__xludf.DUMMYFUNCTION("""COMPUTED_VALUE"""),"Adriana castro")</f>
        <v>Adriana castro</v>
      </c>
      <c r="H5217" s="16">
        <f>IFERROR(__xludf.DUMMYFUNCTION("""COMPUTED_VALUE"""),13923.0)</f>
        <v>13923</v>
      </c>
      <c r="I5217" s="18">
        <f>IFERROR(__xludf.DUMMYFUNCTION("""COMPUTED_VALUE"""),55.0)</f>
        <v>55</v>
      </c>
      <c r="J5217" s="18">
        <f>IFERROR(__xludf.DUMMYFUNCTION("""COMPUTED_VALUE"""),45.0)</f>
        <v>45</v>
      </c>
      <c r="K5217" s="18" t="str">
        <f>IFERROR(__xludf.DUMMYFUNCTION("""COMPUTED_VALUE"""),"52.5")</f>
        <v>52.5</v>
      </c>
      <c r="L5217" s="17">
        <f>IFERROR(__xludf.DUMMYFUNCTION("""COMPUTED_VALUE"""),3.104011367E9)</f>
        <v>3104011367</v>
      </c>
      <c r="M5217" s="17" t="str">
        <f>IFERROR(__xludf.DUMMYFUNCTION("""COMPUTED_VALUE"""),"#REF!")</f>
        <v>#REF!</v>
      </c>
      <c r="N5217" s="17"/>
      <c r="O5217" s="17"/>
      <c r="P5217" s="17" t="b">
        <f>IFERROR(__xludf.DUMMYFUNCTION("""COMPUTED_VALUE"""),FALSE)</f>
        <v>0</v>
      </c>
      <c r="Q5217" s="20" t="str">
        <f>IFERROR(__xludf.DUMMYFUNCTION("""COMPUTED_VALUE"""),"")</f>
        <v/>
      </c>
      <c r="R5217" s="22" t="str">
        <f>IFERROR(__xludf.DUMMYFUNCTION("""COMPUTED_VALUE"""),"")</f>
        <v/>
      </c>
    </row>
    <row r="5218">
      <c r="A5218" s="15">
        <f>IFERROR(__xludf.DUMMYFUNCTION("""COMPUTED_VALUE"""),45153.0)</f>
        <v>45153</v>
      </c>
      <c r="B5218" s="16" t="str">
        <f>IFERROR(__xludf.DUMMYFUNCTION("""COMPUTED_VALUE"""),"Envia")</f>
        <v>Envia</v>
      </c>
      <c r="C5218" s="15" t="str">
        <f>IFERROR(__xludf.DUMMYFUNCTION("""COMPUTED_VALUE"""),"PEREIRA")</f>
        <v>PEREIRA</v>
      </c>
      <c r="D5218" s="15" t="str">
        <f>IFERROR(__xludf.DUMMYFUNCTION("""COMPUTED_VALUE"""),"BOGOTÁ")</f>
        <v>BOGOTÁ</v>
      </c>
      <c r="E5218" s="15" t="str">
        <f>IFERROR(__xludf.DUMMYFUNCTION("""COMPUTED_VALUE"""),"La Caja de Pan")</f>
        <v>La Caja de Pan</v>
      </c>
      <c r="F5218" s="17" t="str">
        <f>IFERROR(__xludf.DUMMYFUNCTION("""COMPUTED_VALUE"""),"Cll 12 bis #16-18 / Casa Hoja / barrio pinares")</f>
        <v>Cll 12 bis #16-18 / Casa Hoja / barrio pinares</v>
      </c>
      <c r="G5218" s="15" t="str">
        <f>IFERROR(__xludf.DUMMYFUNCTION("""COMPUTED_VALUE"""),"Hector Hernandez")</f>
        <v>Hector Hernandez</v>
      </c>
      <c r="H5218" s="16">
        <f>IFERROR(__xludf.DUMMYFUNCTION("""COMPUTED_VALUE"""),13931.0)</f>
        <v>13931</v>
      </c>
      <c r="I5218" s="18">
        <f>IFERROR(__xludf.DUMMYFUNCTION("""COMPUTED_VALUE"""),30.0)</f>
        <v>30</v>
      </c>
      <c r="J5218" s="18">
        <f>IFERROR(__xludf.DUMMYFUNCTION("""COMPUTED_VALUE"""),60.0)</f>
        <v>60</v>
      </c>
      <c r="K5218" s="18">
        <f>IFERROR(__xludf.DUMMYFUNCTION("""COMPUTED_VALUE"""),60.0)</f>
        <v>60</v>
      </c>
      <c r="L5218" s="17">
        <f>IFERROR(__xludf.DUMMYFUNCTION("""COMPUTED_VALUE"""),3.18591145E9)</f>
        <v>3185911450</v>
      </c>
      <c r="M5218" s="17" t="str">
        <f>IFERROR(__xludf.DUMMYFUNCTION("""COMPUTED_VALUE"""),"#REF!")</f>
        <v>#REF!</v>
      </c>
      <c r="N5218" s="17"/>
      <c r="O5218" s="17"/>
      <c r="P5218" s="17" t="b">
        <f>IFERROR(__xludf.DUMMYFUNCTION("""COMPUTED_VALUE"""),TRUE)</f>
        <v>1</v>
      </c>
      <c r="Q5218" s="20">
        <f>IFERROR(__xludf.DUMMYFUNCTION("""COMPUTED_VALUE"""),45153.72444498843)</f>
        <v>45153.72444</v>
      </c>
      <c r="R5218" s="21" t="str">
        <f>IFERROR(__xludf.DUMMYFUNCTION("""COMPUTED_VALUE"""),"https://drive.google.com/file/d/181L91RiT4_GHj0cWkte1qElvGKrhNj4S/view?usp=drivesdk")</f>
        <v>https://drive.google.com/file/d/181L91RiT4_GHj0cWkte1qElvGKrhNj4S/view?usp=drivesdk</v>
      </c>
    </row>
    <row r="5219">
      <c r="A5219" s="17" t="str">
        <f>IFERROR(__xludf.DUMMYFUNCTION("""COMPUTED_VALUE"""),"")</f>
        <v/>
      </c>
      <c r="B5219" s="17" t="str">
        <f>IFERROR(__xludf.DUMMYFUNCTION("""COMPUTED_VALUE"""),"")</f>
        <v/>
      </c>
      <c r="C5219" s="17" t="str">
        <f>IFERROR(__xludf.DUMMYFUNCTION("""COMPUTED_VALUE"""),"")</f>
        <v/>
      </c>
      <c r="D5219" s="17" t="str">
        <f>IFERROR(__xludf.DUMMYFUNCTION("""COMPUTED_VALUE"""),"")</f>
        <v/>
      </c>
      <c r="E5219" s="17" t="str">
        <f>IFERROR(__xludf.DUMMYFUNCTION("""COMPUTED_VALUE"""),"")</f>
        <v/>
      </c>
      <c r="F5219" s="17" t="str">
        <f>IFERROR(__xludf.DUMMYFUNCTION("""COMPUTED_VALUE"""),"")</f>
        <v/>
      </c>
      <c r="G5219" s="17" t="str">
        <f>IFERROR(__xludf.DUMMYFUNCTION("""COMPUTED_VALUE"""),"")</f>
        <v/>
      </c>
      <c r="H5219" s="17" t="str">
        <f>IFERROR(__xludf.DUMMYFUNCTION("""COMPUTED_VALUE"""),"")</f>
        <v/>
      </c>
      <c r="I5219" s="17" t="str">
        <f>IFERROR(__xludf.DUMMYFUNCTION("""COMPUTED_VALUE"""),"")</f>
        <v/>
      </c>
      <c r="J5219" s="17" t="str">
        <f>IFERROR(__xludf.DUMMYFUNCTION("""COMPUTED_VALUE"""),"")</f>
        <v/>
      </c>
      <c r="K5219" s="17" t="str">
        <f>IFERROR(__xludf.DUMMYFUNCTION("""COMPUTED_VALUE"""),"")</f>
        <v/>
      </c>
      <c r="L5219" s="17" t="str">
        <f>IFERROR(__xludf.DUMMYFUNCTION("""COMPUTED_VALUE"""),"")</f>
        <v/>
      </c>
      <c r="M5219" s="17" t="str">
        <f>IFERROR(__xludf.DUMMYFUNCTION("""COMPUTED_VALUE"""),"")</f>
        <v/>
      </c>
      <c r="N5219" s="17" t="str">
        <f>IFERROR(__xludf.DUMMYFUNCTION("""COMPUTED_VALUE"""),"")</f>
        <v/>
      </c>
      <c r="O5219" s="17" t="str">
        <f>IFERROR(__xludf.DUMMYFUNCTION("""COMPUTED_VALUE"""),"")</f>
        <v/>
      </c>
      <c r="P5219" s="17" t="str">
        <f>IFERROR(__xludf.DUMMYFUNCTION("""COMPUTED_VALUE"""),"")</f>
        <v/>
      </c>
      <c r="Q5219" s="17" t="str">
        <f>IFERROR(__xludf.DUMMYFUNCTION("""COMPUTED_VALUE"""),"")</f>
        <v/>
      </c>
      <c r="R5219" s="17" t="str">
        <f>IFERROR(__xludf.DUMMYFUNCTION("""COMPUTED_VALUE"""),"")</f>
        <v/>
      </c>
    </row>
    <row r="5220">
      <c r="A5220" s="15">
        <f>IFERROR(__xludf.DUMMYFUNCTION("""COMPUTED_VALUE"""),45153.0)</f>
        <v>45153</v>
      </c>
      <c r="B5220" s="16" t="str">
        <f>IFERROR(__xludf.DUMMYFUNCTION("""COMPUTED_VALUE"""),"Ivan David Pirela Pirela")</f>
        <v>Ivan David Pirela Pirela</v>
      </c>
      <c r="C5220" s="15" t="str">
        <f>IFERROR(__xludf.DUMMYFUNCTION("""COMPUTED_VALUE"""),"BUCARAMANGA")</f>
        <v>BUCARAMANGA</v>
      </c>
      <c r="D5220" s="15" t="str">
        <f>IFERROR(__xludf.DUMMYFUNCTION("""COMPUTED_VALUE"""),"MEDELLÍN")</f>
        <v>MEDELLÍN</v>
      </c>
      <c r="E5220" s="15" t="str">
        <f>IFERROR(__xludf.DUMMYFUNCTION("""COMPUTED_VALUE"""),"AREPAS LA MARY")</f>
        <v>AREPAS LA MARY</v>
      </c>
      <c r="F5220" s="17" t="str">
        <f>IFERROR(__xludf.DUMMYFUNCTION("""COMPUTED_VALUE"""),"calle 59 n 9 a -96 / oficina de envia")</f>
        <v>calle 59 n 9 a -96 / oficina de envia</v>
      </c>
      <c r="G5220" s="15" t="str">
        <f>IFERROR(__xludf.DUMMYFUNCTION("""COMPUTED_VALUE"""),"andrea luna")</f>
        <v>andrea luna</v>
      </c>
      <c r="H5220" s="16">
        <f>IFERROR(__xludf.DUMMYFUNCTION("""COMPUTED_VALUE"""),13942.0)</f>
        <v>13942</v>
      </c>
      <c r="I5220" s="18">
        <f>IFERROR(__xludf.DUMMYFUNCTION("""COMPUTED_VALUE"""),89.0)</f>
        <v>89</v>
      </c>
      <c r="J5220" s="18">
        <f>IFERROR(__xludf.DUMMYFUNCTION("""COMPUTED_VALUE"""),1.0)</f>
        <v>1</v>
      </c>
      <c r="K5220" s="18">
        <f>IFERROR(__xludf.DUMMYFUNCTION("""COMPUTED_VALUE"""),10.0)</f>
        <v>10</v>
      </c>
      <c r="L5220" s="17"/>
      <c r="M5220" s="17" t="str">
        <f>IFERROR(__xludf.DUMMYFUNCTION("""COMPUTED_VALUE"""),"#REF!")</f>
        <v>#REF!</v>
      </c>
      <c r="N5220" s="17"/>
      <c r="O5220" s="17"/>
      <c r="P5220" s="17" t="b">
        <f>IFERROR(__xludf.DUMMYFUNCTION("""COMPUTED_VALUE"""),TRUE)</f>
        <v>1</v>
      </c>
      <c r="Q5220" s="20">
        <f>IFERROR(__xludf.DUMMYFUNCTION("""COMPUTED_VALUE"""),45153.724445)</f>
        <v>45153.72445</v>
      </c>
      <c r="R5220" s="21" t="str">
        <f>IFERROR(__xludf.DUMMYFUNCTION("""COMPUTED_VALUE"""),"https://drive.google.com/file/d/1REbOOTCcJgw_eM5Tx0PpNU9ondw5w23I/view?usp=drivesdk")</f>
        <v>https://drive.google.com/file/d/1REbOOTCcJgw_eM5Tx0PpNU9ondw5w23I/view?usp=drivesdk</v>
      </c>
    </row>
    <row r="5221">
      <c r="A5221" s="15">
        <f>IFERROR(__xludf.DUMMYFUNCTION("""COMPUTED_VALUE"""),45153.0)</f>
        <v>45153</v>
      </c>
      <c r="B5221" s="16" t="str">
        <f>IFERROR(__xludf.DUMMYFUNCTION("""COMPUTED_VALUE"""),"Ivan David Pirela Pirela")</f>
        <v>Ivan David Pirela Pirela</v>
      </c>
      <c r="C5221" s="15" t="str">
        <f>IFERROR(__xludf.DUMMYFUNCTION("""COMPUTED_VALUE"""),"BUCARAMANGA")</f>
        <v>BUCARAMANGA</v>
      </c>
      <c r="D5221" s="15" t="str">
        <f>IFERROR(__xludf.DUMMYFUNCTION("""COMPUTED_VALUE"""),"MEDELLÍN")</f>
        <v>MEDELLÍN</v>
      </c>
      <c r="E5221" s="15" t="str">
        <f>IFERROR(__xludf.DUMMYFUNCTION("""COMPUTED_VALUE"""),"Rambla")</f>
        <v>Rambla</v>
      </c>
      <c r="F5221" s="17" t="str">
        <f>IFERROR(__xludf.DUMMYFUNCTION("""COMPUTED_VALUE"""),"Parque Industrial Provincia de Soto 1 era etapa bodega 54 / - / -")</f>
        <v>Parque Industrial Provincia de Soto 1 era etapa bodega 54 / - / -</v>
      </c>
      <c r="G5221" s="15" t="str">
        <f>IFERROR(__xludf.DUMMYFUNCTION("""COMPUTED_VALUE"""),"Charcuteria Colombo Alemana")</f>
        <v>Charcuteria Colombo Alemana</v>
      </c>
      <c r="H5221" s="16">
        <f>IFERROR(__xludf.DUMMYFUNCTION("""COMPUTED_VALUE"""),13993.0)</f>
        <v>13993</v>
      </c>
      <c r="I5221" s="18">
        <f>IFERROR(__xludf.DUMMYFUNCTION("""COMPUTED_VALUE"""),36.0)</f>
        <v>36</v>
      </c>
      <c r="J5221" s="18">
        <f>IFERROR(__xludf.DUMMYFUNCTION("""COMPUTED_VALUE"""),46.0)</f>
        <v>46</v>
      </c>
      <c r="K5221" s="18">
        <f>IFERROR(__xludf.DUMMYFUNCTION("""COMPUTED_VALUE"""),46.0)</f>
        <v>46</v>
      </c>
      <c r="L5221" s="17">
        <f>IFERROR(__xludf.DUMMYFUNCTION("""COMPUTED_VALUE"""),3.219542874E9)</f>
        <v>3219542874</v>
      </c>
      <c r="M5221" s="17" t="str">
        <f>IFERROR(__xludf.DUMMYFUNCTION("""COMPUTED_VALUE"""),"#REF!")</f>
        <v>#REF!</v>
      </c>
      <c r="N5221" s="17"/>
      <c r="O5221" s="17"/>
      <c r="P5221" s="17" t="b">
        <f>IFERROR(__xludf.DUMMYFUNCTION("""COMPUTED_VALUE"""),TRUE)</f>
        <v>1</v>
      </c>
      <c r="Q5221" s="20">
        <f>IFERROR(__xludf.DUMMYFUNCTION("""COMPUTED_VALUE"""),45154.65781616898)</f>
        <v>45154.65782</v>
      </c>
      <c r="R5221" s="22" t="str">
        <f>IFERROR(__xludf.DUMMYFUNCTION("""COMPUTED_VALUE"""),"")</f>
        <v/>
      </c>
    </row>
    <row r="5222">
      <c r="A5222" s="15">
        <f>IFERROR(__xludf.DUMMYFUNCTION("""COMPUTED_VALUE"""),45153.0)</f>
        <v>45153</v>
      </c>
      <c r="B5222" s="16" t="str">
        <f>IFERROR(__xludf.DUMMYFUNCTION("""COMPUTED_VALUE"""),"Ivan David Pirela Pirela")</f>
        <v>Ivan David Pirela Pirela</v>
      </c>
      <c r="C5222" s="15" t="str">
        <f>IFERROR(__xludf.DUMMYFUNCTION("""COMPUTED_VALUE"""),"BUCARAMANGA")</f>
        <v>BUCARAMANGA</v>
      </c>
      <c r="D5222" s="15" t="str">
        <f>IFERROR(__xludf.DUMMYFUNCTION("""COMPUTED_VALUE"""),"MEDELLÍN")</f>
        <v>MEDELLÍN</v>
      </c>
      <c r="E5222" s="15" t="str">
        <f>IFERROR(__xludf.DUMMYFUNCTION("""COMPUTED_VALUE"""),"Terravocado")</f>
        <v>Terravocado</v>
      </c>
      <c r="F5222" s="17" t="str">
        <f>IFERROR(__xludf.DUMMYFUNCTION("""COMPUTED_VALUE"""),"CLL REAL 6 - 74 / EDI. SAN SEBASTIAN  APT 702 / REAL DE MINAS")</f>
        <v>CLL REAL 6 - 74 / EDI. SAN SEBASTIAN  APT 702 / REAL DE MINAS</v>
      </c>
      <c r="G5222" s="15" t="str">
        <f>IFERROR(__xludf.DUMMYFUNCTION("""COMPUTED_VALUE"""),"RAFAEL ESTEBAN CONTRERAS MURILLO")</f>
        <v>RAFAEL ESTEBAN CONTRERAS MURILLO</v>
      </c>
      <c r="H5222" s="16">
        <f>IFERROR(__xludf.DUMMYFUNCTION("""COMPUTED_VALUE"""),13930.0)</f>
        <v>13930</v>
      </c>
      <c r="I5222" s="18">
        <f>IFERROR(__xludf.DUMMYFUNCTION("""COMPUTED_VALUE"""),20.0)</f>
        <v>20</v>
      </c>
      <c r="J5222" s="18">
        <f>IFERROR(__xludf.DUMMYFUNCTION("""COMPUTED_VALUE"""),24.0)</f>
        <v>24</v>
      </c>
      <c r="K5222" s="18">
        <f>IFERROR(__xludf.DUMMYFUNCTION("""COMPUTED_VALUE"""),34.0)</f>
        <v>34</v>
      </c>
      <c r="L5222" s="17">
        <f>IFERROR(__xludf.DUMMYFUNCTION("""COMPUTED_VALUE"""),3.223626148E9)</f>
        <v>3223626148</v>
      </c>
      <c r="M5222" s="17" t="str">
        <f>IFERROR(__xludf.DUMMYFUNCTION("""COMPUTED_VALUE"""),"#REF!")</f>
        <v>#REF!</v>
      </c>
      <c r="N5222" s="17"/>
      <c r="O5222" s="17"/>
      <c r="P5222" s="17" t="b">
        <f>IFERROR(__xludf.DUMMYFUNCTION("""COMPUTED_VALUE"""),TRUE)</f>
        <v>1</v>
      </c>
      <c r="Q5222" s="20">
        <f>IFERROR(__xludf.DUMMYFUNCTION("""COMPUTED_VALUE"""),45154.65781616898)</f>
        <v>45154.65782</v>
      </c>
      <c r="R5222" s="21" t="str">
        <f>IFERROR(__xludf.DUMMYFUNCTION("""COMPUTED_VALUE"""),"https://drive.google.com/file/d/19G58vSuNJbcdFAR54gBozQDeQJ2gxylh/view?usp=drivesdk")</f>
        <v>https://drive.google.com/file/d/19G58vSuNJbcdFAR54gBozQDeQJ2gxylh/view?usp=drivesdk</v>
      </c>
    </row>
    <row r="5223">
      <c r="A5223" s="15">
        <f>IFERROR(__xludf.DUMMYFUNCTION("""COMPUTED_VALUE"""),45153.0)</f>
        <v>45153</v>
      </c>
      <c r="B5223" s="16" t="str">
        <f>IFERROR(__xludf.DUMMYFUNCTION("""COMPUTED_VALUE"""),"Ivan David Pirela Pirela")</f>
        <v>Ivan David Pirela Pirela</v>
      </c>
      <c r="C5223" s="15" t="str">
        <f>IFERROR(__xludf.DUMMYFUNCTION("""COMPUTED_VALUE"""),"FLORIDABLANCA")</f>
        <v>FLORIDABLANCA</v>
      </c>
      <c r="D5223" s="15" t="str">
        <f>IFERROR(__xludf.DUMMYFUNCTION("""COMPUTED_VALUE"""),"BOGOTÁ")</f>
        <v>BOGOTÁ</v>
      </c>
      <c r="E5223" s="15" t="str">
        <f>IFERROR(__xludf.DUMMYFUNCTION("""COMPUTED_VALUE"""),"Asociacion Agropecuaria Juana Maria")</f>
        <v>Asociacion Agropecuaria Juana Maria</v>
      </c>
      <c r="F5223" s="17" t="str">
        <f>IFERROR(__xludf.DUMMYFUNCTION("""COMPUTED_VALUE"""),"Calle 19 #11-37 Guanatá FLORIDABLANCA")</f>
        <v>Calle 19 #11-37 Guanatá FLORIDABLANCA</v>
      </c>
      <c r="G5223" s="15" t="str">
        <f>IFERROR(__xludf.DUMMYFUNCTION("""COMPUTED_VALUE"""),"Claudia Gonzalez")</f>
        <v>Claudia Gonzalez</v>
      </c>
      <c r="H5223" s="16">
        <f>IFERROR(__xludf.DUMMYFUNCTION("""COMPUTED_VALUE"""),13903.0)</f>
        <v>13903</v>
      </c>
      <c r="I5223" s="18">
        <f>IFERROR(__xludf.DUMMYFUNCTION("""COMPUTED_VALUE"""),22.0)</f>
        <v>22</v>
      </c>
      <c r="J5223" s="18">
        <f>IFERROR(__xludf.DUMMYFUNCTION("""COMPUTED_VALUE"""),15.0)</f>
        <v>15</v>
      </c>
      <c r="K5223" s="18">
        <f>IFERROR(__xludf.DUMMYFUNCTION("""COMPUTED_VALUE"""),3.0)</f>
        <v>3</v>
      </c>
      <c r="L5223" s="17">
        <f>IFERROR(__xludf.DUMMYFUNCTION("""COMPUTED_VALUE"""),3.002802001E9)</f>
        <v>3002802001</v>
      </c>
      <c r="M5223" s="17" t="str">
        <f>IFERROR(__xludf.DUMMYFUNCTION("""COMPUTED_VALUE"""),"#REF!")</f>
        <v>#REF!</v>
      </c>
      <c r="N5223" s="17"/>
      <c r="O5223" s="17"/>
      <c r="P5223" s="17" t="b">
        <f>IFERROR(__xludf.DUMMYFUNCTION("""COMPUTED_VALUE"""),FALSE)</f>
        <v>0</v>
      </c>
      <c r="Q5223" s="20" t="str">
        <f>IFERROR(__xludf.DUMMYFUNCTION("""COMPUTED_VALUE"""),"")</f>
        <v/>
      </c>
      <c r="R5223" s="21" t="str">
        <f>IFERROR(__xludf.DUMMYFUNCTION("""COMPUTED_VALUE"""),"https://drive.google.com/file/d/13HCEHVLph7KY5wzLFIJ6llxx3o6WizIn/view?usp=drivesdk")</f>
        <v>https://drive.google.com/file/d/13HCEHVLph7KY5wzLFIJ6llxx3o6WizIn/view?usp=drivesdk</v>
      </c>
    </row>
    <row r="5224">
      <c r="A5224" s="15">
        <f>IFERROR(__xludf.DUMMYFUNCTION("""COMPUTED_VALUE"""),45153.0)</f>
        <v>45153</v>
      </c>
      <c r="B5224" s="16" t="str">
        <f>IFERROR(__xludf.DUMMYFUNCTION("""COMPUTED_VALUE"""),"Ivan David Pirela Pirela")</f>
        <v>Ivan David Pirela Pirela</v>
      </c>
      <c r="C5224" s="15" t="str">
        <f>IFERROR(__xludf.DUMMYFUNCTION("""COMPUTED_VALUE"""),"FLORIDABLANCA")</f>
        <v>FLORIDABLANCA</v>
      </c>
      <c r="D5224" s="15" t="str">
        <f>IFERROR(__xludf.DUMMYFUNCTION("""COMPUTED_VALUE"""),"BOGOTÁ")</f>
        <v>BOGOTÁ</v>
      </c>
      <c r="E5224" s="15" t="str">
        <f>IFERROR(__xludf.DUMMYFUNCTION("""COMPUTED_VALUE"""),"Ins. Alimento Vital")</f>
        <v>Ins. Alimento Vital</v>
      </c>
      <c r="F5224" s="17" t="str">
        <f>IFERROR(__xludf.DUMMYFUNCTION("""COMPUTED_VALUE"""),"CL 30 22 129  / EDIFICIO VENTUS APTO 2001 / BARRIO CAÑAVERAL")</f>
        <v>CL 30 22 129  / EDIFICIO VENTUS APTO 2001 / BARRIO CAÑAVERAL</v>
      </c>
      <c r="G5224" s="15" t="str">
        <f>IFERROR(__xludf.DUMMYFUNCTION("""COMPUTED_VALUE"""),"LUZ ALEJANDRA URIBE ANGARITA")</f>
        <v>LUZ ALEJANDRA URIBE ANGARITA</v>
      </c>
      <c r="H5224" s="16">
        <f>IFERROR(__xludf.DUMMYFUNCTION("""COMPUTED_VALUE"""),13918.0)</f>
        <v>13918</v>
      </c>
      <c r="I5224" s="18">
        <f>IFERROR(__xludf.DUMMYFUNCTION("""COMPUTED_VALUE"""),1.0)</f>
        <v>1</v>
      </c>
      <c r="J5224" s="18">
        <f>IFERROR(__xludf.DUMMYFUNCTION("""COMPUTED_VALUE"""),1.0)</f>
        <v>1</v>
      </c>
      <c r="K5224" s="18">
        <f>IFERROR(__xludf.DUMMYFUNCTION("""COMPUTED_VALUE"""),1.0)</f>
        <v>1</v>
      </c>
      <c r="L5224" s="17">
        <f>IFERROR(__xludf.DUMMYFUNCTION("""COMPUTED_VALUE"""),3.005691834E9)</f>
        <v>3005691834</v>
      </c>
      <c r="M5224" s="17" t="str">
        <f>IFERROR(__xludf.DUMMYFUNCTION("""COMPUTED_VALUE"""),"#REF!")</f>
        <v>#REF!</v>
      </c>
      <c r="N5224" s="17"/>
      <c r="O5224" s="17"/>
      <c r="P5224" s="17" t="b">
        <f>IFERROR(__xludf.DUMMYFUNCTION("""COMPUTED_VALUE"""),TRUE)</f>
        <v>1</v>
      </c>
      <c r="Q5224" s="20">
        <f>IFERROR(__xludf.DUMMYFUNCTION("""COMPUTED_VALUE"""),45153.724445011576)</f>
        <v>45153.72445</v>
      </c>
      <c r="R5224" s="21" t="str">
        <f>IFERROR(__xludf.DUMMYFUNCTION("""COMPUTED_VALUE"""),"https://drive.google.com/file/d/12ilAvmGfwvOYcxMqpVnzR71ul7B8RlKh/view?usp=drivesdk")</f>
        <v>https://drive.google.com/file/d/12ilAvmGfwvOYcxMqpVnzR71ul7B8RlKh/view?usp=drivesdk</v>
      </c>
    </row>
    <row r="5225">
      <c r="A5225" s="15">
        <f>IFERROR(__xludf.DUMMYFUNCTION("""COMPUTED_VALUE"""),45153.0)</f>
        <v>45153</v>
      </c>
      <c r="B5225" s="16" t="str">
        <f>IFERROR(__xludf.DUMMYFUNCTION("""COMPUTED_VALUE"""),"Ivan David Pirela Pirela")</f>
        <v>Ivan David Pirela Pirela</v>
      </c>
      <c r="C5225" s="15" t="str">
        <f>IFERROR(__xludf.DUMMYFUNCTION("""COMPUTED_VALUE"""),"PEREIRA")</f>
        <v>PEREIRA</v>
      </c>
      <c r="D5225" s="15" t="str">
        <f>IFERROR(__xludf.DUMMYFUNCTION("""COMPUTED_VALUE"""),"MEDELLÍN")</f>
        <v>MEDELLÍN</v>
      </c>
      <c r="E5225" s="15" t="str">
        <f>IFERROR(__xludf.DUMMYFUNCTION("""COMPUTED_VALUE"""),"Todo Bufala")</f>
        <v>Todo Bufala</v>
      </c>
      <c r="F5225" s="17" t="str">
        <f>IFERROR(__xludf.DUMMYFUNCTION("""COMPUTED_VALUE"""),"Cra 14 N 12-55 Circunvalar")</f>
        <v>Cra 14 N 12-55 Circunvalar</v>
      </c>
      <c r="G5225" s="15" t="str">
        <f>IFERROR(__xludf.DUMMYFUNCTION("""COMPUTED_VALUE"""),"Jeimy Jaramillo-Inversiones saludables vita SAS")</f>
        <v>Jeimy Jaramillo-Inversiones saludables vita SAS</v>
      </c>
      <c r="H5225" s="16">
        <f>IFERROR(__xludf.DUMMYFUNCTION("""COMPUTED_VALUE"""),13896.0)</f>
        <v>13896</v>
      </c>
      <c r="I5225" s="18">
        <f>IFERROR(__xludf.DUMMYFUNCTION("""COMPUTED_VALUE"""),20.0)</f>
        <v>20</v>
      </c>
      <c r="J5225" s="18">
        <f>IFERROR(__xludf.DUMMYFUNCTION("""COMPUTED_VALUE"""),30.0)</f>
        <v>30</v>
      </c>
      <c r="K5225" s="18">
        <f>IFERROR(__xludf.DUMMYFUNCTION("""COMPUTED_VALUE"""),40.0)</f>
        <v>40</v>
      </c>
      <c r="L5225" s="17">
        <f>IFERROR(__xludf.DUMMYFUNCTION("""COMPUTED_VALUE"""),3.14645528E9)</f>
        <v>3146455280</v>
      </c>
      <c r="M5225" s="17" t="str">
        <f>IFERROR(__xludf.DUMMYFUNCTION("""COMPUTED_VALUE"""),"#REF!")</f>
        <v>#REF!</v>
      </c>
      <c r="N5225" s="17"/>
      <c r="O5225" s="17"/>
      <c r="P5225" s="17" t="b">
        <f>IFERROR(__xludf.DUMMYFUNCTION("""COMPUTED_VALUE"""),FALSE)</f>
        <v>0</v>
      </c>
      <c r="Q5225" s="20" t="str">
        <f>IFERROR(__xludf.DUMMYFUNCTION("""COMPUTED_VALUE"""),"")</f>
        <v/>
      </c>
      <c r="R5225" s="21" t="str">
        <f>IFERROR(__xludf.DUMMYFUNCTION("""COMPUTED_VALUE"""),"https://drive.google.com/file/d/18thoHr7_XZvMBPONY_0OmGwBARktM22t/view?usp=drivesdk")</f>
        <v>https://drive.google.com/file/d/18thoHr7_XZvMBPONY_0OmGwBARktM22t/view?usp=drivesdk</v>
      </c>
    </row>
    <row r="5226">
      <c r="A5226" s="15">
        <f>IFERROR(__xludf.DUMMYFUNCTION("""COMPUTED_VALUE"""),45153.0)</f>
        <v>45153</v>
      </c>
      <c r="B5226" s="16" t="str">
        <f>IFERROR(__xludf.DUMMYFUNCTION("""COMPUTED_VALUE"""),"Ivan David Pirela Pirela")</f>
        <v>Ivan David Pirela Pirela</v>
      </c>
      <c r="C5226" s="15" t="str">
        <f>IFERROR(__xludf.DUMMYFUNCTION("""COMPUTED_VALUE"""),"PEREIRA")</f>
        <v>PEREIRA</v>
      </c>
      <c r="D5226" s="15" t="str">
        <f>IFERROR(__xludf.DUMMYFUNCTION("""COMPUTED_VALUE"""),"MEDELLÍN")</f>
        <v>MEDELLÍN</v>
      </c>
      <c r="E5226" s="15" t="str">
        <f>IFERROR(__xludf.DUMMYFUNCTION("""COMPUTED_VALUE"""),"TOLEDALES S.A.S")</f>
        <v>TOLEDALES S.A.S</v>
      </c>
      <c r="F5226" s="17" t="str">
        <f>IFERROR(__xludf.DUMMYFUNCTION("""COMPUTED_VALUE"""),"Manzana 42")</f>
        <v>Manzana 42</v>
      </c>
      <c r="G5226" s="15" t="str">
        <f>IFERROR(__xludf.DUMMYFUNCTION("""COMPUTED_VALUE"""),"luz omaida jimenez")</f>
        <v>luz omaida jimenez</v>
      </c>
      <c r="H5226" s="16">
        <f>IFERROR(__xludf.DUMMYFUNCTION("""COMPUTED_VALUE"""),13920.0)</f>
        <v>13920</v>
      </c>
      <c r="I5226" s="18">
        <f>IFERROR(__xludf.DUMMYFUNCTION("""COMPUTED_VALUE"""),45.0)</f>
        <v>45</v>
      </c>
      <c r="J5226" s="18">
        <f>IFERROR(__xludf.DUMMYFUNCTION("""COMPUTED_VALUE"""),30.0)</f>
        <v>30</v>
      </c>
      <c r="K5226" s="18">
        <f>IFERROR(__xludf.DUMMYFUNCTION("""COMPUTED_VALUE"""),30.0)</f>
        <v>30</v>
      </c>
      <c r="L5226" s="17">
        <f>IFERROR(__xludf.DUMMYFUNCTION("""COMPUTED_VALUE"""),3.14562573E9)</f>
        <v>3145625730</v>
      </c>
      <c r="M5226" s="17" t="str">
        <f>IFERROR(__xludf.DUMMYFUNCTION("""COMPUTED_VALUE"""),"#REF!")</f>
        <v>#REF!</v>
      </c>
      <c r="N5226" s="17"/>
      <c r="O5226" s="17"/>
      <c r="P5226" s="17" t="b">
        <f>IFERROR(__xludf.DUMMYFUNCTION("""COMPUTED_VALUE"""),FALSE)</f>
        <v>0</v>
      </c>
      <c r="Q5226" s="20" t="str">
        <f>IFERROR(__xludf.DUMMYFUNCTION("""COMPUTED_VALUE"""),"")</f>
        <v/>
      </c>
      <c r="R5226" s="21" t="str">
        <f>IFERROR(__xludf.DUMMYFUNCTION("""COMPUTED_VALUE"""),"https://drive.google.com/file/d/1FO2Fv9FECUPaGTuFKauUZJTnwZGV3qxq/view?usp=drivesdk")</f>
        <v>https://drive.google.com/file/d/1FO2Fv9FECUPaGTuFKauUZJTnwZGV3qxq/view?usp=drivesdk</v>
      </c>
    </row>
    <row r="5227">
      <c r="A5227" s="17" t="str">
        <f>IFERROR(__xludf.DUMMYFUNCTION("""COMPUTED_VALUE"""),"")</f>
        <v/>
      </c>
      <c r="B5227" s="17" t="str">
        <f>IFERROR(__xludf.DUMMYFUNCTION("""COMPUTED_VALUE"""),"")</f>
        <v/>
      </c>
      <c r="C5227" s="17" t="str">
        <f>IFERROR(__xludf.DUMMYFUNCTION("""COMPUTED_VALUE"""),"")</f>
        <v/>
      </c>
      <c r="D5227" s="17" t="str">
        <f>IFERROR(__xludf.DUMMYFUNCTION("""COMPUTED_VALUE"""),"")</f>
        <v/>
      </c>
      <c r="E5227" s="17" t="str">
        <f>IFERROR(__xludf.DUMMYFUNCTION("""COMPUTED_VALUE"""),"")</f>
        <v/>
      </c>
      <c r="F5227" s="17" t="str">
        <f>IFERROR(__xludf.DUMMYFUNCTION("""COMPUTED_VALUE"""),"")</f>
        <v/>
      </c>
      <c r="G5227" s="17" t="str">
        <f>IFERROR(__xludf.DUMMYFUNCTION("""COMPUTED_VALUE"""),"")</f>
        <v/>
      </c>
      <c r="H5227" s="17" t="str">
        <f>IFERROR(__xludf.DUMMYFUNCTION("""COMPUTED_VALUE"""),"")</f>
        <v/>
      </c>
      <c r="I5227" s="17" t="str">
        <f>IFERROR(__xludf.DUMMYFUNCTION("""COMPUTED_VALUE"""),"")</f>
        <v/>
      </c>
      <c r="J5227" s="17" t="str">
        <f>IFERROR(__xludf.DUMMYFUNCTION("""COMPUTED_VALUE"""),"")</f>
        <v/>
      </c>
      <c r="K5227" s="17" t="str">
        <f>IFERROR(__xludf.DUMMYFUNCTION("""COMPUTED_VALUE"""),"")</f>
        <v/>
      </c>
      <c r="L5227" s="17" t="str">
        <f>IFERROR(__xludf.DUMMYFUNCTION("""COMPUTED_VALUE"""),"")</f>
        <v/>
      </c>
      <c r="M5227" s="17" t="str">
        <f>IFERROR(__xludf.DUMMYFUNCTION("""COMPUTED_VALUE"""),"")</f>
        <v/>
      </c>
      <c r="N5227" s="17" t="str">
        <f>IFERROR(__xludf.DUMMYFUNCTION("""COMPUTED_VALUE"""),"")</f>
        <v/>
      </c>
      <c r="O5227" s="17" t="str">
        <f>IFERROR(__xludf.DUMMYFUNCTION("""COMPUTED_VALUE"""),"")</f>
        <v/>
      </c>
      <c r="P5227" s="17" t="str">
        <f>IFERROR(__xludf.DUMMYFUNCTION("""COMPUTED_VALUE"""),"")</f>
        <v/>
      </c>
      <c r="Q5227" s="17" t="str">
        <f>IFERROR(__xludf.DUMMYFUNCTION("""COMPUTED_VALUE"""),"")</f>
        <v/>
      </c>
      <c r="R5227" s="17" t="str">
        <f>IFERROR(__xludf.DUMMYFUNCTION("""COMPUTED_VALUE"""),"")</f>
        <v/>
      </c>
    </row>
    <row r="5228">
      <c r="A5228" s="15">
        <f>IFERROR(__xludf.DUMMYFUNCTION("""COMPUTED_VALUE"""),45153.0)</f>
        <v>45153</v>
      </c>
      <c r="B5228" s="16" t="str">
        <f>IFERROR(__xludf.DUMMYFUNCTION("""COMPUTED_VALUE"""),"Jhon Anderson Ceballos Hernandez")</f>
        <v>Jhon Anderson Ceballos Hernandez</v>
      </c>
      <c r="C5228" s="15" t="str">
        <f>IFERROR(__xludf.DUMMYFUNCTION("""COMPUTED_VALUE"""),"CARTAGENA")</f>
        <v>CARTAGENA</v>
      </c>
      <c r="D5228" s="15" t="str">
        <f>IFERROR(__xludf.DUMMYFUNCTION("""COMPUTED_VALUE"""),"BOGOTÁ")</f>
        <v>BOGOTÁ</v>
      </c>
      <c r="E5228" s="15" t="str">
        <f>IFERROR(__xludf.DUMMYFUNCTION("""COMPUTED_VALUE"""),"Mochi")</f>
        <v>Mochi</v>
      </c>
      <c r="F5228" s="17" t="str">
        <f>IFERROR(__xludf.DUMMYFUNCTION("""COMPUTED_VALUE"""),"Cra. 11 # 39-21, San Diego, Cartagena de Indias, Provincia de Cartagena, Bolívar / Cra. 11 # 39-21, San Diego, Cartagena de Indias, Provincia de Cartagena, Bolívar / Cra. 11 # 39-21, San Diego, Cartagena de Indias, Provincia de Cartagena, Bolívar")</f>
        <v>Cra. 11 # 39-21, San Diego, Cartagena de Indias, Provincia de Cartagena, Bolívar / Cra. 11 # 39-21, San Diego, Cartagena de Indias, Provincia de Cartagena, Bolívar / Cra. 11 # 39-21, San Diego, Cartagena de Indias, Provincia de Cartagena, Bolívar</v>
      </c>
      <c r="G5228" s="15" t="str">
        <f>IFERROR(__xludf.DUMMYFUNCTION("""COMPUTED_VALUE"""),"Maria Camila")</f>
        <v>Maria Camila</v>
      </c>
      <c r="H5228" s="16">
        <f>IFERROR(__xludf.DUMMYFUNCTION("""COMPUTED_VALUE"""),13991.0)</f>
        <v>13991</v>
      </c>
      <c r="I5228" s="18">
        <f>IFERROR(__xludf.DUMMYFUNCTION("""COMPUTED_VALUE"""),100.0)</f>
        <v>100</v>
      </c>
      <c r="J5228" s="18">
        <f>IFERROR(__xludf.DUMMYFUNCTION("""COMPUTED_VALUE"""),200.0)</f>
        <v>200</v>
      </c>
      <c r="K5228" s="18">
        <f>IFERROR(__xludf.DUMMYFUNCTION("""COMPUTED_VALUE"""),200.0)</f>
        <v>200</v>
      </c>
      <c r="L5228" s="17">
        <f>IFERROR(__xludf.DUMMYFUNCTION("""COMPUTED_VALUE"""),3.116026252E9)</f>
        <v>3116026252</v>
      </c>
      <c r="M5228" s="17" t="str">
        <f>IFERROR(__xludf.DUMMYFUNCTION("""COMPUTED_VALUE"""),"#REF!")</f>
        <v>#REF!</v>
      </c>
      <c r="N5228" s="17"/>
      <c r="O5228" s="17"/>
      <c r="P5228" s="17" t="b">
        <f>IFERROR(__xludf.DUMMYFUNCTION("""COMPUTED_VALUE"""),FALSE)</f>
        <v>0</v>
      </c>
      <c r="Q5228" s="20" t="str">
        <f>IFERROR(__xludf.DUMMYFUNCTION("""COMPUTED_VALUE"""),"")</f>
        <v/>
      </c>
      <c r="R5228" s="22" t="str">
        <f>IFERROR(__xludf.DUMMYFUNCTION("""COMPUTED_VALUE"""),"")</f>
        <v/>
      </c>
    </row>
    <row r="5229">
      <c r="A5229" s="15">
        <f>IFERROR(__xludf.DUMMYFUNCTION("""COMPUTED_VALUE"""),45153.0)</f>
        <v>45153</v>
      </c>
      <c r="B5229" s="16" t="str">
        <f>IFERROR(__xludf.DUMMYFUNCTION("""COMPUTED_VALUE"""),"Jhon Anderson Ceballos Hernandez")</f>
        <v>Jhon Anderson Ceballos Hernandez</v>
      </c>
      <c r="C5229" s="15" t="str">
        <f>IFERROR(__xludf.DUMMYFUNCTION("""COMPUTED_VALUE"""),"MANIZALES")</f>
        <v>MANIZALES</v>
      </c>
      <c r="D5229" s="15" t="str">
        <f>IFERROR(__xludf.DUMMYFUNCTION("""COMPUTED_VALUE"""),"BOGOTÁ")</f>
        <v>BOGOTÁ</v>
      </c>
      <c r="E5229" s="15" t="str">
        <f>IFERROR(__xludf.DUMMYFUNCTION("""COMPUTED_VALUE"""),"Evamazzita")</f>
        <v>Evamazzita</v>
      </c>
      <c r="F5229" s="17" t="str">
        <f>IFERROR(__xludf.DUMMYFUNCTION("""COMPUTED_VALUE"""),"Cll 54 # 34 32 / To B apto 203 / TORRES DE BARCELONA - BARRIO EUCALIPTOS")</f>
        <v>Cll 54 # 34 32 / To B apto 203 / TORRES DE BARCELONA - BARRIO EUCALIPTOS</v>
      </c>
      <c r="G5229" s="15" t="str">
        <f>IFERROR(__xludf.DUMMYFUNCTION("""COMPUTED_VALUE"""),"ADRIANA CORREA")</f>
        <v>ADRIANA CORREA</v>
      </c>
      <c r="H5229" s="16">
        <f>IFERROR(__xludf.DUMMYFUNCTION("""COMPUTED_VALUE"""),13939.0)</f>
        <v>13939</v>
      </c>
      <c r="I5229" s="18">
        <f>IFERROR(__xludf.DUMMYFUNCTION("""COMPUTED_VALUE"""),1.0)</f>
        <v>1</v>
      </c>
      <c r="J5229" s="18">
        <f>IFERROR(__xludf.DUMMYFUNCTION("""COMPUTED_VALUE"""),1.0)</f>
        <v>1</v>
      </c>
      <c r="K5229" s="18">
        <f>IFERROR(__xludf.DUMMYFUNCTION("""COMPUTED_VALUE"""),1.0)</f>
        <v>1</v>
      </c>
      <c r="L5229" s="17">
        <f>IFERROR(__xludf.DUMMYFUNCTION("""COMPUTED_VALUE"""),3.154310387E9)</f>
        <v>3154310387</v>
      </c>
      <c r="M5229" s="17" t="str">
        <f>IFERROR(__xludf.DUMMYFUNCTION("""COMPUTED_VALUE"""),"#REF!")</f>
        <v>#REF!</v>
      </c>
      <c r="N5229" s="17"/>
      <c r="O5229" s="17"/>
      <c r="P5229" s="17" t="b">
        <f>IFERROR(__xludf.DUMMYFUNCTION("""COMPUTED_VALUE"""),FALSE)</f>
        <v>0</v>
      </c>
      <c r="Q5229" s="20" t="str">
        <f>IFERROR(__xludf.DUMMYFUNCTION("""COMPUTED_VALUE"""),"")</f>
        <v/>
      </c>
      <c r="R5229" s="21" t="str">
        <f>IFERROR(__xludf.DUMMYFUNCTION("""COMPUTED_VALUE"""),"https://drive.google.com/file/d/1-piBfE61bFmsXsmI1ZyVBCn8A0Qz6eS_/view?usp=drivesdk")</f>
        <v>https://drive.google.com/file/d/1-piBfE61bFmsXsmI1ZyVBCn8A0Qz6eS_/view?usp=drivesdk</v>
      </c>
    </row>
    <row r="5230">
      <c r="A5230" s="15">
        <f>IFERROR(__xludf.DUMMYFUNCTION("""COMPUTED_VALUE"""),45153.0)</f>
        <v>45153</v>
      </c>
      <c r="B5230" s="16" t="str">
        <f>IFERROR(__xludf.DUMMYFUNCTION("""COMPUTED_VALUE"""),"Jhon Anderson Ceballos Hernandez")</f>
        <v>Jhon Anderson Ceballos Hernandez</v>
      </c>
      <c r="C5230" s="15" t="str">
        <f>IFERROR(__xludf.DUMMYFUNCTION("""COMPUTED_VALUE"""),"MANIZALES")</f>
        <v>MANIZALES</v>
      </c>
      <c r="D5230" s="15" t="str">
        <f>IFERROR(__xludf.DUMMYFUNCTION("""COMPUTED_VALUE"""),"BOGOTÁ")</f>
        <v>BOGOTÁ</v>
      </c>
      <c r="E5230" s="15" t="str">
        <f>IFERROR(__xludf.DUMMYFUNCTION("""COMPUTED_VALUE"""),"Evamazzita")</f>
        <v>Evamazzita</v>
      </c>
      <c r="F5230" s="17" t="str">
        <f>IFERROR(__xludf.DUMMYFUNCTION("""COMPUTED_VALUE"""),"Cr 23A # 74 238 / Torr B apto 505 / TORRES DE POSITANO")</f>
        <v>Cr 23A # 74 238 / Torr B apto 505 / TORRES DE POSITANO</v>
      </c>
      <c r="G5230" s="15" t="str">
        <f>IFERROR(__xludf.DUMMYFUNCTION("""COMPUTED_VALUE"""),"LINA BURITICA")</f>
        <v>LINA BURITICA</v>
      </c>
      <c r="H5230" s="16">
        <f>IFERROR(__xludf.DUMMYFUNCTION("""COMPUTED_VALUE"""),13940.0)</f>
        <v>13940</v>
      </c>
      <c r="I5230" s="18">
        <f>IFERROR(__xludf.DUMMYFUNCTION("""COMPUTED_VALUE"""),1.0)</f>
        <v>1</v>
      </c>
      <c r="J5230" s="18">
        <f>IFERROR(__xludf.DUMMYFUNCTION("""COMPUTED_VALUE"""),1.0)</f>
        <v>1</v>
      </c>
      <c r="K5230" s="18">
        <f>IFERROR(__xludf.DUMMYFUNCTION("""COMPUTED_VALUE"""),1.0)</f>
        <v>1</v>
      </c>
      <c r="L5230" s="17">
        <f>IFERROR(__xludf.DUMMYFUNCTION("""COMPUTED_VALUE"""),3.137133231E9)</f>
        <v>3137133231</v>
      </c>
      <c r="M5230" s="17" t="str">
        <f>IFERROR(__xludf.DUMMYFUNCTION("""COMPUTED_VALUE"""),"#REF!")</f>
        <v>#REF!</v>
      </c>
      <c r="N5230" s="17"/>
      <c r="O5230" s="17"/>
      <c r="P5230" s="17" t="b">
        <f>IFERROR(__xludf.DUMMYFUNCTION("""COMPUTED_VALUE"""),FALSE)</f>
        <v>0</v>
      </c>
      <c r="Q5230" s="20" t="str">
        <f>IFERROR(__xludf.DUMMYFUNCTION("""COMPUTED_VALUE"""),"")</f>
        <v/>
      </c>
      <c r="R5230" s="21" t="str">
        <f>IFERROR(__xludf.DUMMYFUNCTION("""COMPUTED_VALUE"""),"https://drive.google.com/file/d/14VvqJ_Ft9bKqqriT8yuNhRonnN3omqzC/view?usp=drivesdk")</f>
        <v>https://drive.google.com/file/d/14VvqJ_Ft9bKqqriT8yuNhRonnN3omqzC/view?usp=drivesdk</v>
      </c>
    </row>
    <row r="5231">
      <c r="A5231" s="15">
        <f>IFERROR(__xludf.DUMMYFUNCTION("""COMPUTED_VALUE"""),45153.0)</f>
        <v>45153</v>
      </c>
      <c r="B5231" s="16" t="str">
        <f>IFERROR(__xludf.DUMMYFUNCTION("""COMPUTED_VALUE"""),"Jhon Anderson Ceballos Hernandez")</f>
        <v>Jhon Anderson Ceballos Hernandez</v>
      </c>
      <c r="C5231" s="15" t="str">
        <f>IFERROR(__xludf.DUMMYFUNCTION("""COMPUTED_VALUE"""),"TUNJA")</f>
        <v>TUNJA</v>
      </c>
      <c r="D5231" s="15" t="str">
        <f>IFERROR(__xludf.DUMMYFUNCTION("""COMPUTED_VALUE"""),"MEDELLÍN")</f>
        <v>MEDELLÍN</v>
      </c>
      <c r="E5231" s="15" t="str">
        <f>IFERROR(__xludf.DUMMYFUNCTION("""COMPUTED_VALUE"""),"Baby Chef")</f>
        <v>Baby Chef</v>
      </c>
      <c r="F5231" s="17" t="str">
        <f>IFERROR(__xludf.DUMMYFUNCTION("""COMPUTED_VALUE"""),"Calle 17 # 12-44 interior 3 apartamento 302 conjunto Santa bárbara real /  Calle 17 # 12-44 interior 3 apartamento 302 conjunto Santa bárbara real /  Calle 17 # 12-44 interior 3 apartamento 302 conjunto Santa bárbara real")</f>
        <v>Calle 17 # 12-44 interior 3 apartamento 302 conjunto Santa bárbara real /  Calle 17 # 12-44 interior 3 apartamento 302 conjunto Santa bárbara real /  Calle 17 # 12-44 interior 3 apartamento 302 conjunto Santa bárbara real</v>
      </c>
      <c r="G5231" s="15" t="str">
        <f>IFERROR(__xludf.DUMMYFUNCTION("""COMPUTED_VALUE"""),"Camilo Cadena")</f>
        <v>Camilo Cadena</v>
      </c>
      <c r="H5231" s="16">
        <f>IFERROR(__xludf.DUMMYFUNCTION("""COMPUTED_VALUE"""),13863.0)</f>
        <v>13863</v>
      </c>
      <c r="I5231" s="18">
        <f>IFERROR(__xludf.DUMMYFUNCTION("""COMPUTED_VALUE"""),8.0)</f>
        <v>8</v>
      </c>
      <c r="J5231" s="18">
        <f>IFERROR(__xludf.DUMMYFUNCTION("""COMPUTED_VALUE"""),30.0)</f>
        <v>30</v>
      </c>
      <c r="K5231" s="18">
        <f>IFERROR(__xludf.DUMMYFUNCTION("""COMPUTED_VALUE"""),24.0)</f>
        <v>24</v>
      </c>
      <c r="L5231" s="17">
        <f>IFERROR(__xludf.DUMMYFUNCTION("""COMPUTED_VALUE"""),3.114565693E9)</f>
        <v>3114565693</v>
      </c>
      <c r="M5231" s="17" t="str">
        <f>IFERROR(__xludf.DUMMYFUNCTION("""COMPUTED_VALUE"""),"#REF!")</f>
        <v>#REF!</v>
      </c>
      <c r="N5231" s="17"/>
      <c r="O5231" s="17"/>
      <c r="P5231" s="17" t="b">
        <f>IFERROR(__xludf.DUMMYFUNCTION("""COMPUTED_VALUE"""),FALSE)</f>
        <v>0</v>
      </c>
      <c r="Q5231" s="20" t="str">
        <f>IFERROR(__xludf.DUMMYFUNCTION("""COMPUTED_VALUE"""),"")</f>
        <v/>
      </c>
      <c r="R5231" s="22" t="str">
        <f>IFERROR(__xludf.DUMMYFUNCTION("""COMPUTED_VALUE"""),"")</f>
        <v/>
      </c>
    </row>
    <row r="5232">
      <c r="A5232" s="17" t="str">
        <f>IFERROR(__xludf.DUMMYFUNCTION("""COMPUTED_VALUE"""),"")</f>
        <v/>
      </c>
      <c r="B5232" s="17" t="str">
        <f>IFERROR(__xludf.DUMMYFUNCTION("""COMPUTED_VALUE"""),"")</f>
        <v/>
      </c>
      <c r="C5232" s="17" t="str">
        <f>IFERROR(__xludf.DUMMYFUNCTION("""COMPUTED_VALUE"""),"")</f>
        <v/>
      </c>
      <c r="D5232" s="17" t="str">
        <f>IFERROR(__xludf.DUMMYFUNCTION("""COMPUTED_VALUE"""),"")</f>
        <v/>
      </c>
      <c r="E5232" s="17" t="str">
        <f>IFERROR(__xludf.DUMMYFUNCTION("""COMPUTED_VALUE"""),"")</f>
        <v/>
      </c>
      <c r="F5232" s="17" t="str">
        <f>IFERROR(__xludf.DUMMYFUNCTION("""COMPUTED_VALUE"""),"")</f>
        <v/>
      </c>
      <c r="G5232" s="17" t="str">
        <f>IFERROR(__xludf.DUMMYFUNCTION("""COMPUTED_VALUE"""),"")</f>
        <v/>
      </c>
      <c r="H5232" s="17" t="str">
        <f>IFERROR(__xludf.DUMMYFUNCTION("""COMPUTED_VALUE"""),"")</f>
        <v/>
      </c>
      <c r="I5232" s="17" t="str">
        <f>IFERROR(__xludf.DUMMYFUNCTION("""COMPUTED_VALUE"""),"")</f>
        <v/>
      </c>
      <c r="J5232" s="17" t="str">
        <f>IFERROR(__xludf.DUMMYFUNCTION("""COMPUTED_VALUE"""),"")</f>
        <v/>
      </c>
      <c r="K5232" s="17" t="str">
        <f>IFERROR(__xludf.DUMMYFUNCTION("""COMPUTED_VALUE"""),"")</f>
        <v/>
      </c>
      <c r="L5232" s="17" t="str">
        <f>IFERROR(__xludf.DUMMYFUNCTION("""COMPUTED_VALUE"""),"")</f>
        <v/>
      </c>
      <c r="M5232" s="17" t="str">
        <f>IFERROR(__xludf.DUMMYFUNCTION("""COMPUTED_VALUE"""),"")</f>
        <v/>
      </c>
      <c r="N5232" s="17" t="str">
        <f>IFERROR(__xludf.DUMMYFUNCTION("""COMPUTED_VALUE"""),"")</f>
        <v/>
      </c>
      <c r="O5232" s="17" t="str">
        <f>IFERROR(__xludf.DUMMYFUNCTION("""COMPUTED_VALUE"""),"")</f>
        <v/>
      </c>
      <c r="P5232" s="17" t="str">
        <f>IFERROR(__xludf.DUMMYFUNCTION("""COMPUTED_VALUE"""),"")</f>
        <v/>
      </c>
      <c r="Q5232" s="17" t="str">
        <f>IFERROR(__xludf.DUMMYFUNCTION("""COMPUTED_VALUE"""),"")</f>
        <v/>
      </c>
      <c r="R5232" s="17" t="str">
        <f>IFERROR(__xludf.DUMMYFUNCTION("""COMPUTED_VALUE"""),"")</f>
        <v/>
      </c>
    </row>
    <row r="5233">
      <c r="A5233" s="15">
        <f>IFERROR(__xludf.DUMMYFUNCTION("""COMPUTED_VALUE"""),45153.0)</f>
        <v>45153</v>
      </c>
      <c r="B5233" s="16" t="str">
        <f>IFERROR(__xludf.DUMMYFUNCTION("""COMPUTED_VALUE"""),"Jhon Freddy González")</f>
        <v>Jhon Freddy González</v>
      </c>
      <c r="C5233" s="15" t="str">
        <f>IFERROR(__xludf.DUMMYFUNCTION("""COMPUTED_VALUE"""),"ARMENIA")</f>
        <v>ARMENIA</v>
      </c>
      <c r="D5233" s="15" t="str">
        <f>IFERROR(__xludf.DUMMYFUNCTION("""COMPUTED_VALUE"""),"BOGOTÁ")</f>
        <v>BOGOTÁ</v>
      </c>
      <c r="E5233" s="15" t="str">
        <f>IFERROR(__xludf.DUMMYFUNCTION("""COMPUTED_VALUE"""),"Frubits")</f>
        <v>Frubits</v>
      </c>
      <c r="F5233" s="17" t="str">
        <f>IFERROR(__xludf.DUMMYFUNCTION("""COMPUTED_VALUE"""),"Carrera 10# 11 norte-40  Apartamento 1602 Edificio prive Barrio la castellana  / Carrera 10# 11 norte-40  Apartamento 1602 Edificio prive Barrio la castellana  / Carrera 10# 11 norte-40  Apartamento 1602 Edificio prive Barrio la castellana")</f>
        <v>Carrera 10# 11 norte-40  Apartamento 1602 Edificio prive Barrio la castellana  / Carrera 10# 11 norte-40  Apartamento 1602 Edificio prive Barrio la castellana  / Carrera 10# 11 norte-40  Apartamento 1602 Edificio prive Barrio la castellana</v>
      </c>
      <c r="G5233" s="15" t="str">
        <f>IFERROR(__xludf.DUMMYFUNCTION("""COMPUTED_VALUE"""),"Ana milena echeverri")</f>
        <v>Ana milena echeverri</v>
      </c>
      <c r="H5233" s="16">
        <f>IFERROR(__xludf.DUMMYFUNCTION("""COMPUTED_VALUE"""),13949.0)</f>
        <v>13949</v>
      </c>
      <c r="I5233" s="18">
        <f>IFERROR(__xludf.DUMMYFUNCTION("""COMPUTED_VALUE"""),9.0)</f>
        <v>9</v>
      </c>
      <c r="J5233" s="18">
        <f>IFERROR(__xludf.DUMMYFUNCTION("""COMPUTED_VALUE"""),9.0)</f>
        <v>9</v>
      </c>
      <c r="K5233" s="18">
        <f>IFERROR(__xludf.DUMMYFUNCTION("""COMPUTED_VALUE"""),9.0)</f>
        <v>9</v>
      </c>
      <c r="L5233" s="17">
        <f>IFERROR(__xludf.DUMMYFUNCTION("""COMPUTED_VALUE"""),3.186157971E9)</f>
        <v>3186157971</v>
      </c>
      <c r="M5233" s="17" t="str">
        <f>IFERROR(__xludf.DUMMYFUNCTION("""COMPUTED_VALUE"""),"#REF!")</f>
        <v>#REF!</v>
      </c>
      <c r="N5233" s="17"/>
      <c r="O5233" s="17"/>
      <c r="P5233" s="17" t="b">
        <f>IFERROR(__xludf.DUMMYFUNCTION("""COMPUTED_VALUE"""),FALSE)</f>
        <v>0</v>
      </c>
      <c r="Q5233" s="20" t="str">
        <f>IFERROR(__xludf.DUMMYFUNCTION("""COMPUTED_VALUE"""),"")</f>
        <v/>
      </c>
      <c r="R5233" s="22" t="str">
        <f>IFERROR(__xludf.DUMMYFUNCTION("""COMPUTED_VALUE"""),"")</f>
        <v/>
      </c>
    </row>
    <row r="5234">
      <c r="A5234" s="15">
        <f>IFERROR(__xludf.DUMMYFUNCTION("""COMPUTED_VALUE"""),45153.0)</f>
        <v>45153</v>
      </c>
      <c r="B5234" s="16" t="str">
        <f>IFERROR(__xludf.DUMMYFUNCTION("""COMPUTED_VALUE"""),"Jhon Freddy González")</f>
        <v>Jhon Freddy González</v>
      </c>
      <c r="C5234" s="15" t="str">
        <f>IFERROR(__xludf.DUMMYFUNCTION("""COMPUTED_VALUE"""),"ARMENIA")</f>
        <v>ARMENIA</v>
      </c>
      <c r="D5234" s="15" t="str">
        <f>IFERROR(__xludf.DUMMYFUNCTION("""COMPUTED_VALUE"""),"BOGOTÁ")</f>
        <v>BOGOTÁ</v>
      </c>
      <c r="E5234" s="15" t="str">
        <f>IFERROR(__xludf.DUMMYFUNCTION("""COMPUTED_VALUE"""),"Pan de Waffle")</f>
        <v>Pan de Waffle</v>
      </c>
      <c r="F5234" s="17" t="str">
        <f>IFERROR(__xludf.DUMMYFUNCTION("""COMPUTED_VALUE"""),"Calle 25 NORTE 13 - 31 Local 7 Privilegio Mall / Calle 25 NORTE 13 - 31 Local 7 Privilegio Mall / Calle 25 NORTE 13 - 31 Local 7 Privilegio Mall")</f>
        <v>Calle 25 NORTE 13 - 31 Local 7 Privilegio Mall / Calle 25 NORTE 13 - 31 Local 7 Privilegio Mall / Calle 25 NORTE 13 - 31 Local 7 Privilegio Mall</v>
      </c>
      <c r="G5234" s="15" t="str">
        <f>IFERROR(__xludf.DUMMYFUNCTION("""COMPUTED_VALUE"""),"FEEL FIT")</f>
        <v>FEEL FIT</v>
      </c>
      <c r="H5234" s="16">
        <f>IFERROR(__xludf.DUMMYFUNCTION("""COMPUTED_VALUE"""),13975.0)</f>
        <v>13975</v>
      </c>
      <c r="I5234" s="18">
        <f>IFERROR(__xludf.DUMMYFUNCTION("""COMPUTED_VALUE"""),40.0)</f>
        <v>40</v>
      </c>
      <c r="J5234" s="18">
        <f>IFERROR(__xludf.DUMMYFUNCTION("""COMPUTED_VALUE"""),40.0)</f>
        <v>40</v>
      </c>
      <c r="K5234" s="18">
        <f>IFERROR(__xludf.DUMMYFUNCTION("""COMPUTED_VALUE"""),30.0)</f>
        <v>30</v>
      </c>
      <c r="L5234" s="17">
        <f>IFERROR(__xludf.DUMMYFUNCTION("""COMPUTED_VALUE"""),3.113745588E9)</f>
        <v>3113745588</v>
      </c>
      <c r="M5234" s="17" t="str">
        <f>IFERROR(__xludf.DUMMYFUNCTION("""COMPUTED_VALUE"""),"#REF!")</f>
        <v>#REF!</v>
      </c>
      <c r="N5234" s="17"/>
      <c r="O5234" s="17"/>
      <c r="P5234" s="17" t="b">
        <f>IFERROR(__xludf.DUMMYFUNCTION("""COMPUTED_VALUE"""),FALSE)</f>
        <v>0</v>
      </c>
      <c r="Q5234" s="20" t="str">
        <f>IFERROR(__xludf.DUMMYFUNCTION("""COMPUTED_VALUE"""),"")</f>
        <v/>
      </c>
      <c r="R5234" s="22" t="str">
        <f>IFERROR(__xludf.DUMMYFUNCTION("""COMPUTED_VALUE"""),"")</f>
        <v/>
      </c>
    </row>
    <row r="5235">
      <c r="A5235" s="15">
        <f>IFERROR(__xludf.DUMMYFUNCTION("""COMPUTED_VALUE"""),45153.0)</f>
        <v>45153</v>
      </c>
      <c r="B5235" s="16" t="str">
        <f>IFERROR(__xludf.DUMMYFUNCTION("""COMPUTED_VALUE"""),"Jhon Freddy González")</f>
        <v>Jhon Freddy González</v>
      </c>
      <c r="C5235" s="15" t="str">
        <f>IFERROR(__xludf.DUMMYFUNCTION("""COMPUTED_VALUE"""),"ARMENIA")</f>
        <v>ARMENIA</v>
      </c>
      <c r="D5235" s="15" t="str">
        <f>IFERROR(__xludf.DUMMYFUNCTION("""COMPUTED_VALUE"""),"BOGOTÁ")</f>
        <v>BOGOTÁ</v>
      </c>
      <c r="E5235" s="15" t="str">
        <f>IFERROR(__xludf.DUMMYFUNCTION("""COMPUTED_VALUE"""),"Top Spun")</f>
        <v>Top Spun</v>
      </c>
      <c r="F5235" s="17" t="str">
        <f>IFERROR(__xludf.DUMMYFUNCTION("""COMPUTED_VALUE"""),"Carrera 13 # 8 norte - 49 / Tejares del parque Casa 26  / Armenia")</f>
        <v>Carrera 13 # 8 norte - 49 / Tejares del parque Casa 26  / Armenia</v>
      </c>
      <c r="G5235" s="15" t="str">
        <f>IFERROR(__xludf.DUMMYFUNCTION("""COMPUTED_VALUE"""),"Laura Cardona Tamayo")</f>
        <v>Laura Cardona Tamayo</v>
      </c>
      <c r="H5235" s="16">
        <f>IFERROR(__xludf.DUMMYFUNCTION("""COMPUTED_VALUE"""),13889.0)</f>
        <v>13889</v>
      </c>
      <c r="I5235" s="18">
        <f>IFERROR(__xludf.DUMMYFUNCTION("""COMPUTED_VALUE"""),20.0)</f>
        <v>20</v>
      </c>
      <c r="J5235" s="18">
        <f>IFERROR(__xludf.DUMMYFUNCTION("""COMPUTED_VALUE"""),10.0)</f>
        <v>10</v>
      </c>
      <c r="K5235" s="18">
        <f>IFERROR(__xludf.DUMMYFUNCTION("""COMPUTED_VALUE"""),40.0)</f>
        <v>40</v>
      </c>
      <c r="L5235" s="17">
        <f>IFERROR(__xludf.DUMMYFUNCTION("""COMPUTED_VALUE"""),3.01435952E9)</f>
        <v>3014359520</v>
      </c>
      <c r="M5235" s="17" t="str">
        <f>IFERROR(__xludf.DUMMYFUNCTION("""COMPUTED_VALUE"""),"#REF!")</f>
        <v>#REF!</v>
      </c>
      <c r="N5235" s="17"/>
      <c r="O5235" s="17"/>
      <c r="P5235" s="17" t="b">
        <f>IFERROR(__xludf.DUMMYFUNCTION("""COMPUTED_VALUE"""),FALSE)</f>
        <v>0</v>
      </c>
      <c r="Q5235" s="20" t="str">
        <f>IFERROR(__xludf.DUMMYFUNCTION("""COMPUTED_VALUE"""),"")</f>
        <v/>
      </c>
      <c r="R5235" s="22" t="str">
        <f>IFERROR(__xludf.DUMMYFUNCTION("""COMPUTED_VALUE"""),"")</f>
        <v/>
      </c>
    </row>
    <row r="5236">
      <c r="A5236" s="15">
        <f>IFERROR(__xludf.DUMMYFUNCTION("""COMPUTED_VALUE"""),45153.0)</f>
        <v>45153</v>
      </c>
      <c r="B5236" s="16" t="str">
        <f>IFERROR(__xludf.DUMMYFUNCTION("""COMPUTED_VALUE"""),"Jhon Freddy González")</f>
        <v>Jhon Freddy González</v>
      </c>
      <c r="C5236" s="15" t="str">
        <f>IFERROR(__xludf.DUMMYFUNCTION("""COMPUTED_VALUE"""),"BOGOTÁ")</f>
        <v>BOGOTÁ</v>
      </c>
      <c r="D5236" s="15" t="str">
        <f>IFERROR(__xludf.DUMMYFUNCTION("""COMPUTED_VALUE"""),"MEDELLÍN")</f>
        <v>MEDELLÍN</v>
      </c>
      <c r="E5236" s="15" t="str">
        <f>IFERROR(__xludf.DUMMYFUNCTION("""COMPUTED_VALUE"""),"Helados swip")</f>
        <v>Helados swip</v>
      </c>
      <c r="F5236" s="17" t="str">
        <f>IFERROR(__xludf.DUMMYFUNCTION("""COMPUTED_VALUE"""),"CALLE 90# 16-56 / FIT MARKET 90 / FIT MARKET 90")</f>
        <v>CALLE 90# 16-56 / FIT MARKET 90 / FIT MARKET 90</v>
      </c>
      <c r="G5236" s="15" t="str">
        <f>IFERROR(__xludf.DUMMYFUNCTION("""COMPUTED_VALUE"""),"FIT MARKET 90")</f>
        <v>FIT MARKET 90</v>
      </c>
      <c r="H5236" s="16">
        <f>IFERROR(__xludf.DUMMYFUNCTION("""COMPUTED_VALUE"""),13894.0)</f>
        <v>13894</v>
      </c>
      <c r="I5236" s="18">
        <f>IFERROR(__xludf.DUMMYFUNCTION("""COMPUTED_VALUE"""),29.0)</f>
        <v>29</v>
      </c>
      <c r="J5236" s="18">
        <f>IFERROR(__xludf.DUMMYFUNCTION("""COMPUTED_VALUE"""),55.0)</f>
        <v>55</v>
      </c>
      <c r="K5236" s="18">
        <f>IFERROR(__xludf.DUMMYFUNCTION("""COMPUTED_VALUE"""),45.0)</f>
        <v>45</v>
      </c>
      <c r="L5236" s="17">
        <f>IFERROR(__xludf.DUMMYFUNCTION("""COMPUTED_VALUE"""),3.154237527E9)</f>
        <v>3154237527</v>
      </c>
      <c r="M5236" s="17" t="str">
        <f>IFERROR(__xludf.DUMMYFUNCTION("""COMPUTED_VALUE"""),"#REF!")</f>
        <v>#REF!</v>
      </c>
      <c r="N5236" s="17"/>
      <c r="O5236" s="17"/>
      <c r="P5236" s="17" t="b">
        <f>IFERROR(__xludf.DUMMYFUNCTION("""COMPUTED_VALUE"""),FALSE)</f>
        <v>0</v>
      </c>
      <c r="Q5236" s="20" t="str">
        <f>IFERROR(__xludf.DUMMYFUNCTION("""COMPUTED_VALUE"""),"")</f>
        <v/>
      </c>
      <c r="R5236" s="22" t="str">
        <f>IFERROR(__xludf.DUMMYFUNCTION("""COMPUTED_VALUE"""),"")</f>
        <v/>
      </c>
    </row>
    <row r="5237">
      <c r="A5237" s="15">
        <f>IFERROR(__xludf.DUMMYFUNCTION("""COMPUTED_VALUE"""),45153.0)</f>
        <v>45153</v>
      </c>
      <c r="B5237" s="16" t="str">
        <f>IFERROR(__xludf.DUMMYFUNCTION("""COMPUTED_VALUE"""),"Jhon Freddy González")</f>
        <v>Jhon Freddy González</v>
      </c>
      <c r="C5237" s="15" t="str">
        <f>IFERROR(__xludf.DUMMYFUNCTION("""COMPUTED_VALUE"""),"BOGOTÁ")</f>
        <v>BOGOTÁ</v>
      </c>
      <c r="D5237" s="15" t="str">
        <f>IFERROR(__xludf.DUMMYFUNCTION("""COMPUTED_VALUE"""),"MEDELLÍN")</f>
        <v>MEDELLÍN</v>
      </c>
      <c r="E5237" s="15" t="str">
        <f>IFERROR(__xludf.DUMMYFUNCTION("""COMPUTED_VALUE"""),"Puro Verde")</f>
        <v>Puro Verde</v>
      </c>
      <c r="F5237" s="17" t="str">
        <f>IFERROR(__xludf.DUMMYFUNCTION("""COMPUTED_VALUE"""),"CRA 16A # 77-23. / LOCAL 4 / BARRIO EL LAGO")</f>
        <v>CRA 16A # 77-23. / LOCAL 4 / BARRIO EL LAGO</v>
      </c>
      <c r="G5237" s="15" t="str">
        <f>IFERROR(__xludf.DUMMYFUNCTION("""COMPUTED_VALUE"""),"DANDO CUERDA")</f>
        <v>DANDO CUERDA</v>
      </c>
      <c r="H5237" s="16">
        <f>IFERROR(__xludf.DUMMYFUNCTION("""COMPUTED_VALUE"""),13887.0)</f>
        <v>13887</v>
      </c>
      <c r="I5237" s="18">
        <f>IFERROR(__xludf.DUMMYFUNCTION("""COMPUTED_VALUE"""),55.0)</f>
        <v>55</v>
      </c>
      <c r="J5237" s="18">
        <f>IFERROR(__xludf.DUMMYFUNCTION("""COMPUTED_VALUE"""),45.0)</f>
        <v>45</v>
      </c>
      <c r="K5237" s="18" t="str">
        <f>IFERROR(__xludf.DUMMYFUNCTION("""COMPUTED_VALUE"""),"52.5")</f>
        <v>52.5</v>
      </c>
      <c r="L5237" s="17">
        <f>IFERROR(__xludf.DUMMYFUNCTION("""COMPUTED_VALUE"""),3.163816691E9)</f>
        <v>3163816691</v>
      </c>
      <c r="M5237" s="17" t="str">
        <f>IFERROR(__xludf.DUMMYFUNCTION("""COMPUTED_VALUE"""),"#REF!")</f>
        <v>#REF!</v>
      </c>
      <c r="N5237" s="17"/>
      <c r="O5237" s="17"/>
      <c r="P5237" s="17" t="b">
        <f>IFERROR(__xludf.DUMMYFUNCTION("""COMPUTED_VALUE"""),FALSE)</f>
        <v>0</v>
      </c>
      <c r="Q5237" s="20" t="str">
        <f>IFERROR(__xludf.DUMMYFUNCTION("""COMPUTED_VALUE"""),"")</f>
        <v/>
      </c>
      <c r="R5237" s="22" t="str">
        <f>IFERROR(__xludf.DUMMYFUNCTION("""COMPUTED_VALUE"""),"")</f>
        <v/>
      </c>
    </row>
    <row r="5238">
      <c r="A5238" s="17" t="str">
        <f>IFERROR(__xludf.DUMMYFUNCTION("""COMPUTED_VALUE"""),"")</f>
        <v/>
      </c>
      <c r="B5238" s="17" t="str">
        <f>IFERROR(__xludf.DUMMYFUNCTION("""COMPUTED_VALUE"""),"")</f>
        <v/>
      </c>
      <c r="C5238" s="17" t="str">
        <f>IFERROR(__xludf.DUMMYFUNCTION("""COMPUTED_VALUE"""),"")</f>
        <v/>
      </c>
      <c r="D5238" s="17" t="str">
        <f>IFERROR(__xludf.DUMMYFUNCTION("""COMPUTED_VALUE"""),"")</f>
        <v/>
      </c>
      <c r="E5238" s="17" t="str">
        <f>IFERROR(__xludf.DUMMYFUNCTION("""COMPUTED_VALUE"""),"")</f>
        <v/>
      </c>
      <c r="F5238" s="17" t="str">
        <f>IFERROR(__xludf.DUMMYFUNCTION("""COMPUTED_VALUE"""),"")</f>
        <v/>
      </c>
      <c r="G5238" s="17" t="str">
        <f>IFERROR(__xludf.DUMMYFUNCTION("""COMPUTED_VALUE"""),"")</f>
        <v/>
      </c>
      <c r="H5238" s="17" t="str">
        <f>IFERROR(__xludf.DUMMYFUNCTION("""COMPUTED_VALUE"""),"")</f>
        <v/>
      </c>
      <c r="I5238" s="17" t="str">
        <f>IFERROR(__xludf.DUMMYFUNCTION("""COMPUTED_VALUE"""),"")</f>
        <v/>
      </c>
      <c r="J5238" s="17" t="str">
        <f>IFERROR(__xludf.DUMMYFUNCTION("""COMPUTED_VALUE"""),"")</f>
        <v/>
      </c>
      <c r="K5238" s="17" t="str">
        <f>IFERROR(__xludf.DUMMYFUNCTION("""COMPUTED_VALUE"""),"")</f>
        <v/>
      </c>
      <c r="L5238" s="17" t="str">
        <f>IFERROR(__xludf.DUMMYFUNCTION("""COMPUTED_VALUE"""),"")</f>
        <v/>
      </c>
      <c r="M5238" s="17" t="str">
        <f>IFERROR(__xludf.DUMMYFUNCTION("""COMPUTED_VALUE"""),"")</f>
        <v/>
      </c>
      <c r="N5238" s="17" t="str">
        <f>IFERROR(__xludf.DUMMYFUNCTION("""COMPUTED_VALUE"""),"")</f>
        <v/>
      </c>
      <c r="O5238" s="17" t="str">
        <f>IFERROR(__xludf.DUMMYFUNCTION("""COMPUTED_VALUE"""),"")</f>
        <v/>
      </c>
      <c r="P5238" s="17" t="str">
        <f>IFERROR(__xludf.DUMMYFUNCTION("""COMPUTED_VALUE"""),"")</f>
        <v/>
      </c>
      <c r="Q5238" s="17" t="str">
        <f>IFERROR(__xludf.DUMMYFUNCTION("""COMPUTED_VALUE"""),"")</f>
        <v/>
      </c>
      <c r="R5238" s="17" t="str">
        <f>IFERROR(__xludf.DUMMYFUNCTION("""COMPUTED_VALUE"""),"")</f>
        <v/>
      </c>
    </row>
    <row r="5239">
      <c r="A5239" s="15">
        <f>IFERROR(__xludf.DUMMYFUNCTION("""COMPUTED_VALUE"""),45153.0)</f>
        <v>45153</v>
      </c>
      <c r="B5239" s="16" t="str">
        <f>IFERROR(__xludf.DUMMYFUNCTION("""COMPUTED_VALUE"""),"Johan Alexander Escobar Arroyo ")</f>
        <v>Johan Alexander Escobar Arroyo </v>
      </c>
      <c r="C5239" s="15" t="str">
        <f>IFERROR(__xludf.DUMMYFUNCTION("""COMPUTED_VALUE"""),"CALI")</f>
        <v>CALI</v>
      </c>
      <c r="D5239" s="15" t="str">
        <f>IFERROR(__xludf.DUMMYFUNCTION("""COMPUTED_VALUE"""),"BOGOTÁ")</f>
        <v>BOGOTÁ</v>
      </c>
      <c r="E5239" s="15" t="str">
        <f>IFERROR(__xludf.DUMMYFUNCTION("""COMPUTED_VALUE"""),"Athenas")</f>
        <v>Athenas</v>
      </c>
      <c r="F5239" s="17" t="str">
        <f>IFERROR(__xludf.DUMMYFUNCTION("""COMPUTED_VALUE"""),"Carrera 98 # 16 200 / Centro comercial jardín plaza bodytech cafetería 3 piso / Ciudad jardin")</f>
        <v>Carrera 98 # 16 200 / Centro comercial jardín plaza bodytech cafetería 3 piso / Ciudad jardin</v>
      </c>
      <c r="G5239" s="15" t="str">
        <f>IFERROR(__xludf.DUMMYFUNCTION("""COMPUTED_VALUE"""),"Jorge parra")</f>
        <v>Jorge parra</v>
      </c>
      <c r="H5239" s="16">
        <f>IFERROR(__xludf.DUMMYFUNCTION("""COMPUTED_VALUE"""),13922.0)</f>
        <v>13922</v>
      </c>
      <c r="I5239" s="18">
        <f>IFERROR(__xludf.DUMMYFUNCTION("""COMPUTED_VALUE"""),55.0)</f>
        <v>55</v>
      </c>
      <c r="J5239" s="18">
        <f>IFERROR(__xludf.DUMMYFUNCTION("""COMPUTED_VALUE"""),45.0)</f>
        <v>45</v>
      </c>
      <c r="K5239" s="18">
        <f>IFERROR(__xludf.DUMMYFUNCTION("""COMPUTED_VALUE"""),52.0)</f>
        <v>52</v>
      </c>
      <c r="L5239" s="17">
        <f>IFERROR(__xludf.DUMMYFUNCTION("""COMPUTED_VALUE"""),3.103897576E9)</f>
        <v>3103897576</v>
      </c>
      <c r="M5239" s="17" t="str">
        <f>IFERROR(__xludf.DUMMYFUNCTION("""COMPUTED_VALUE"""),"#REF!")</f>
        <v>#REF!</v>
      </c>
      <c r="N5239" s="17"/>
      <c r="O5239" s="17"/>
      <c r="P5239" s="17" t="b">
        <f>IFERROR(__xludf.DUMMYFUNCTION("""COMPUTED_VALUE"""),FALSE)</f>
        <v>0</v>
      </c>
      <c r="Q5239" s="20" t="str">
        <f>IFERROR(__xludf.DUMMYFUNCTION("""COMPUTED_VALUE"""),"")</f>
        <v/>
      </c>
      <c r="R5239" s="22" t="str">
        <f>IFERROR(__xludf.DUMMYFUNCTION("""COMPUTED_VALUE"""),"")</f>
        <v/>
      </c>
    </row>
    <row r="5240">
      <c r="A5240" s="15">
        <f>IFERROR(__xludf.DUMMYFUNCTION("""COMPUTED_VALUE"""),45153.0)</f>
        <v>45153</v>
      </c>
      <c r="B5240" s="16" t="str">
        <f>IFERROR(__xludf.DUMMYFUNCTION("""COMPUTED_VALUE"""),"Johan Alexander Escobar Arroyo ")</f>
        <v>Johan Alexander Escobar Arroyo </v>
      </c>
      <c r="C5240" s="15" t="str">
        <f>IFERROR(__xludf.DUMMYFUNCTION("""COMPUTED_VALUE"""),"CALI")</f>
        <v>CALI</v>
      </c>
      <c r="D5240" s="15" t="str">
        <f>IFERROR(__xludf.DUMMYFUNCTION("""COMPUTED_VALUE"""),"BOGOTÁ")</f>
        <v>BOGOTÁ</v>
      </c>
      <c r="E5240" s="15" t="str">
        <f>IFERROR(__xludf.DUMMYFUNCTION("""COMPUTED_VALUE"""),"Evamazzita")</f>
        <v>Evamazzita</v>
      </c>
      <c r="F5240" s="17" t="str">
        <f>IFERROR(__xludf.DUMMYFUNCTION("""COMPUTED_VALUE"""),"Av 8n # 57 194  / Torre 3 Apto 301 / MIRADOR DE MENGA- ENSEGUIDA RESTAURANTE SURPRISE")</f>
        <v>Av 8n # 57 194  / Torre 3 Apto 301 / MIRADOR DE MENGA- ENSEGUIDA RESTAURANTE SURPRISE</v>
      </c>
      <c r="G5240" s="15" t="str">
        <f>IFERROR(__xludf.DUMMYFUNCTION("""COMPUTED_VALUE"""),"LIZ JOHANNA AULLON MUÑOZ")</f>
        <v>LIZ JOHANNA AULLON MUÑOZ</v>
      </c>
      <c r="H5240" s="16">
        <f>IFERROR(__xludf.DUMMYFUNCTION("""COMPUTED_VALUE"""),13978.0)</f>
        <v>13978</v>
      </c>
      <c r="I5240" s="18">
        <f>IFERROR(__xludf.DUMMYFUNCTION("""COMPUTED_VALUE"""),1.0)</f>
        <v>1</v>
      </c>
      <c r="J5240" s="18">
        <f>IFERROR(__xludf.DUMMYFUNCTION("""COMPUTED_VALUE"""),1.0)</f>
        <v>1</v>
      </c>
      <c r="K5240" s="18">
        <f>IFERROR(__xludf.DUMMYFUNCTION("""COMPUTED_VALUE"""),1.0)</f>
        <v>1</v>
      </c>
      <c r="L5240" s="17">
        <f>IFERROR(__xludf.DUMMYFUNCTION("""COMPUTED_VALUE"""),3.102460054E9)</f>
        <v>3102460054</v>
      </c>
      <c r="M5240" s="17" t="str">
        <f>IFERROR(__xludf.DUMMYFUNCTION("""COMPUTED_VALUE"""),"#REF!")</f>
        <v>#REF!</v>
      </c>
      <c r="N5240" s="17"/>
      <c r="O5240" s="17"/>
      <c r="P5240" s="17" t="b">
        <f>IFERROR(__xludf.DUMMYFUNCTION("""COMPUTED_VALUE"""),FALSE)</f>
        <v>0</v>
      </c>
      <c r="Q5240" s="20" t="str">
        <f>IFERROR(__xludf.DUMMYFUNCTION("""COMPUTED_VALUE"""),"")</f>
        <v/>
      </c>
      <c r="R5240" s="21" t="str">
        <f>IFERROR(__xludf.DUMMYFUNCTION("""COMPUTED_VALUE"""),"https://drive.google.com/file/d/1ZaA3rVupYvCzUE6gCseUsYP1-OBZ9GZD/view?usp=drivesdk")</f>
        <v>https://drive.google.com/file/d/1ZaA3rVupYvCzUE6gCseUsYP1-OBZ9GZD/view?usp=drivesdk</v>
      </c>
    </row>
    <row r="5241">
      <c r="A5241" s="15">
        <f>IFERROR(__xludf.DUMMYFUNCTION("""COMPUTED_VALUE"""),45153.0)</f>
        <v>45153</v>
      </c>
      <c r="B5241" s="16" t="str">
        <f>IFERROR(__xludf.DUMMYFUNCTION("""COMPUTED_VALUE"""),"Johan Alexander Escobar Arroyo ")</f>
        <v>Johan Alexander Escobar Arroyo </v>
      </c>
      <c r="C5241" s="15" t="str">
        <f>IFERROR(__xludf.DUMMYFUNCTION("""COMPUTED_VALUE"""),"CALI")</f>
        <v>CALI</v>
      </c>
      <c r="D5241" s="15" t="str">
        <f>IFERROR(__xludf.DUMMYFUNCTION("""COMPUTED_VALUE"""),"BOGOTÁ")</f>
        <v>BOGOTÁ</v>
      </c>
      <c r="E5241" s="15" t="str">
        <f>IFERROR(__xludf.DUMMYFUNCTION("""COMPUTED_VALUE"""),"Evamazzita")</f>
        <v>Evamazzita</v>
      </c>
      <c r="F5241" s="17" t="str">
        <f>IFERROR(__xludf.DUMMYFUNCTION("""COMPUTED_VALUE"""),"Cll 13 a # 37 31 / Apto 402 d / UNIDAD RESIDENCIAL ALAMBRA 3 - BARRIO EL DORADO")</f>
        <v>Cll 13 a # 37 31 / Apto 402 d / UNIDAD RESIDENCIAL ALAMBRA 3 - BARRIO EL DORADO</v>
      </c>
      <c r="G5241" s="15" t="str">
        <f>IFERROR(__xludf.DUMMYFUNCTION("""COMPUTED_VALUE"""),"AURA SANCHEZ")</f>
        <v>AURA SANCHEZ</v>
      </c>
      <c r="H5241" s="16">
        <f>IFERROR(__xludf.DUMMYFUNCTION("""COMPUTED_VALUE"""),13962.0)</f>
        <v>13962</v>
      </c>
      <c r="I5241" s="18">
        <f>IFERROR(__xludf.DUMMYFUNCTION("""COMPUTED_VALUE"""),1.0)</f>
        <v>1</v>
      </c>
      <c r="J5241" s="18">
        <f>IFERROR(__xludf.DUMMYFUNCTION("""COMPUTED_VALUE"""),1.0)</f>
        <v>1</v>
      </c>
      <c r="K5241" s="18">
        <f>IFERROR(__xludf.DUMMYFUNCTION("""COMPUTED_VALUE"""),1.0)</f>
        <v>1</v>
      </c>
      <c r="L5241" s="17">
        <f>IFERROR(__xludf.DUMMYFUNCTION("""COMPUTED_VALUE"""),3.127255718E9)</f>
        <v>3127255718</v>
      </c>
      <c r="M5241" s="17" t="str">
        <f>IFERROR(__xludf.DUMMYFUNCTION("""COMPUTED_VALUE"""),"#REF!")</f>
        <v>#REF!</v>
      </c>
      <c r="N5241" s="17"/>
      <c r="O5241" s="17"/>
      <c r="P5241" s="17" t="b">
        <f>IFERROR(__xludf.DUMMYFUNCTION("""COMPUTED_VALUE"""),FALSE)</f>
        <v>0</v>
      </c>
      <c r="Q5241" s="20" t="str">
        <f>IFERROR(__xludf.DUMMYFUNCTION("""COMPUTED_VALUE"""),"")</f>
        <v/>
      </c>
      <c r="R5241" s="21" t="str">
        <f>IFERROR(__xludf.DUMMYFUNCTION("""COMPUTED_VALUE"""),"https://drive.google.com/file/d/1pCH8J8mLhueixy7g3dhf9_u5I582N8nA/view?usp=drivesdk")</f>
        <v>https://drive.google.com/file/d/1pCH8J8mLhueixy7g3dhf9_u5I582N8nA/view?usp=drivesdk</v>
      </c>
    </row>
    <row r="5242">
      <c r="A5242" s="15">
        <f>IFERROR(__xludf.DUMMYFUNCTION("""COMPUTED_VALUE"""),45153.0)</f>
        <v>45153</v>
      </c>
      <c r="B5242" s="16" t="str">
        <f>IFERROR(__xludf.DUMMYFUNCTION("""COMPUTED_VALUE"""),"Johan Alexander Escobar Arroyo ")</f>
        <v>Johan Alexander Escobar Arroyo </v>
      </c>
      <c r="C5242" s="15" t="str">
        <f>IFERROR(__xludf.DUMMYFUNCTION("""COMPUTED_VALUE"""),"CALI")</f>
        <v>CALI</v>
      </c>
      <c r="D5242" s="15" t="str">
        <f>IFERROR(__xludf.DUMMYFUNCTION("""COMPUTED_VALUE"""),"BOGOTÁ")</f>
        <v>BOGOTÁ</v>
      </c>
      <c r="E5242" s="15" t="str">
        <f>IFERROR(__xludf.DUMMYFUNCTION("""COMPUTED_VALUE"""),"Evamazzita")</f>
        <v>Evamazzita</v>
      </c>
      <c r="F5242" s="17" t="str">
        <f>IFERROR(__xludf.DUMMYFUNCTION("""COMPUTED_VALUE"""),"Cll 34 # 94 143  / Casa 8m / JARDIN DEL LILI")</f>
        <v>Cll 34 # 94 143  / Casa 8m / JARDIN DEL LILI</v>
      </c>
      <c r="G5242" s="15" t="str">
        <f>IFERROR(__xludf.DUMMYFUNCTION("""COMPUTED_VALUE"""),"MAYLIN CAROLINA MUÑOZ")</f>
        <v>MAYLIN CAROLINA MUÑOZ</v>
      </c>
      <c r="H5242" s="16">
        <f>IFERROR(__xludf.DUMMYFUNCTION("""COMPUTED_VALUE"""),13979.0)</f>
        <v>13979</v>
      </c>
      <c r="I5242" s="18">
        <f>IFERROR(__xludf.DUMMYFUNCTION("""COMPUTED_VALUE"""),1.0)</f>
        <v>1</v>
      </c>
      <c r="J5242" s="18">
        <f>IFERROR(__xludf.DUMMYFUNCTION("""COMPUTED_VALUE"""),1.0)</f>
        <v>1</v>
      </c>
      <c r="K5242" s="18">
        <f>IFERROR(__xludf.DUMMYFUNCTION("""COMPUTED_VALUE"""),1.0)</f>
        <v>1</v>
      </c>
      <c r="L5242" s="17">
        <f>IFERROR(__xludf.DUMMYFUNCTION("""COMPUTED_VALUE"""),3.118376725E9)</f>
        <v>3118376725</v>
      </c>
      <c r="M5242" s="17" t="str">
        <f>IFERROR(__xludf.DUMMYFUNCTION("""COMPUTED_VALUE"""),"#REF!")</f>
        <v>#REF!</v>
      </c>
      <c r="N5242" s="17"/>
      <c r="O5242" s="17"/>
      <c r="P5242" s="17" t="b">
        <f>IFERROR(__xludf.DUMMYFUNCTION("""COMPUTED_VALUE"""),FALSE)</f>
        <v>0</v>
      </c>
      <c r="Q5242" s="20" t="str">
        <f>IFERROR(__xludf.DUMMYFUNCTION("""COMPUTED_VALUE"""),"")</f>
        <v/>
      </c>
      <c r="R5242" s="21" t="str">
        <f>IFERROR(__xludf.DUMMYFUNCTION("""COMPUTED_VALUE"""),"https://drive.google.com/file/d/1evsWcBlcLdQrkG5QdiQGR5_Ipd25iIDW/view?usp=drivesdk")</f>
        <v>https://drive.google.com/file/d/1evsWcBlcLdQrkG5QdiQGR5_Ipd25iIDW/view?usp=drivesdk</v>
      </c>
    </row>
    <row r="5243">
      <c r="A5243" s="15">
        <f>IFERROR(__xludf.DUMMYFUNCTION("""COMPUTED_VALUE"""),45153.0)</f>
        <v>45153</v>
      </c>
      <c r="B5243" s="16" t="str">
        <f>IFERROR(__xludf.DUMMYFUNCTION("""COMPUTED_VALUE"""),"Johan Alexander Escobar Arroyo ")</f>
        <v>Johan Alexander Escobar Arroyo </v>
      </c>
      <c r="C5243" s="15" t="str">
        <f>IFERROR(__xludf.DUMMYFUNCTION("""COMPUTED_VALUE"""),"CALI")</f>
        <v>CALI</v>
      </c>
      <c r="D5243" s="15" t="str">
        <f>IFERROR(__xludf.DUMMYFUNCTION("""COMPUTED_VALUE"""),"BOGOTÁ")</f>
        <v>BOGOTÁ</v>
      </c>
      <c r="E5243" s="15" t="str">
        <f>IFERROR(__xludf.DUMMYFUNCTION("""COMPUTED_VALUE"""),"Evamazzita")</f>
        <v>Evamazzita</v>
      </c>
      <c r="F5243" s="17" t="str">
        <f>IFERROR(__xludf.DUMMYFUNCTION("""COMPUTED_VALUE"""),"Cll 49a # 80b 26 / Ciudad Real / Ciudad Real")</f>
        <v>Cll 49a # 80b 26 / Ciudad Real / Ciudad Real</v>
      </c>
      <c r="G5243" s="15" t="str">
        <f>IFERROR(__xludf.DUMMYFUNCTION("""COMPUTED_VALUE"""),"GINNA CAICEDO")</f>
        <v>GINNA CAICEDO</v>
      </c>
      <c r="H5243" s="16">
        <f>IFERROR(__xludf.DUMMYFUNCTION("""COMPUTED_VALUE"""),13965.0)</f>
        <v>13965</v>
      </c>
      <c r="I5243" s="18">
        <f>IFERROR(__xludf.DUMMYFUNCTION("""COMPUTED_VALUE"""),1.0)</f>
        <v>1</v>
      </c>
      <c r="J5243" s="18">
        <f>IFERROR(__xludf.DUMMYFUNCTION("""COMPUTED_VALUE"""),1.0)</f>
        <v>1</v>
      </c>
      <c r="K5243" s="18">
        <f>IFERROR(__xludf.DUMMYFUNCTION("""COMPUTED_VALUE"""),1.0)</f>
        <v>1</v>
      </c>
      <c r="L5243" s="17">
        <f>IFERROR(__xludf.DUMMYFUNCTION("""COMPUTED_VALUE"""),3.108216619E9)</f>
        <v>3108216619</v>
      </c>
      <c r="M5243" s="17" t="str">
        <f>IFERROR(__xludf.DUMMYFUNCTION("""COMPUTED_VALUE"""),"#REF!")</f>
        <v>#REF!</v>
      </c>
      <c r="N5243" s="17"/>
      <c r="O5243" s="17"/>
      <c r="P5243" s="17" t="b">
        <f>IFERROR(__xludf.DUMMYFUNCTION("""COMPUTED_VALUE"""),FALSE)</f>
        <v>0</v>
      </c>
      <c r="Q5243" s="20" t="str">
        <f>IFERROR(__xludf.DUMMYFUNCTION("""COMPUTED_VALUE"""),"")</f>
        <v/>
      </c>
      <c r="R5243" s="21" t="str">
        <f>IFERROR(__xludf.DUMMYFUNCTION("""COMPUTED_VALUE"""),"https://drive.google.com/file/d/1cIms707G086aya8uqZtTMYt0jkgr9uUb/view?usp=drivesdk")</f>
        <v>https://drive.google.com/file/d/1cIms707G086aya8uqZtTMYt0jkgr9uUb/view?usp=drivesdk</v>
      </c>
    </row>
    <row r="5244">
      <c r="A5244" s="15">
        <f>IFERROR(__xludf.DUMMYFUNCTION("""COMPUTED_VALUE"""),45153.0)</f>
        <v>45153</v>
      </c>
      <c r="B5244" s="16" t="str">
        <f>IFERROR(__xludf.DUMMYFUNCTION("""COMPUTED_VALUE"""),"Johan Alexander Escobar Arroyo ")</f>
        <v>Johan Alexander Escobar Arroyo </v>
      </c>
      <c r="C5244" s="15" t="str">
        <f>IFERROR(__xludf.DUMMYFUNCTION("""COMPUTED_VALUE"""),"CALI")</f>
        <v>CALI</v>
      </c>
      <c r="D5244" s="15" t="str">
        <f>IFERROR(__xludf.DUMMYFUNCTION("""COMPUTED_VALUE"""),"BOGOTÁ")</f>
        <v>BOGOTÁ</v>
      </c>
      <c r="E5244" s="15" t="str">
        <f>IFERROR(__xludf.DUMMYFUNCTION("""COMPUTED_VALUE"""),"Evamazzita")</f>
        <v>Evamazzita</v>
      </c>
      <c r="F5244" s="17" t="str">
        <f>IFERROR(__xludf.DUMMYFUNCTION("""COMPUTED_VALUE"""),"Cll 50 # 94 32 / 104 a / UNIDAD RESIDENCIAL TAIRONA 104A - valle de lili")</f>
        <v>Cll 50 # 94 32 / 104 a / UNIDAD RESIDENCIAL TAIRONA 104A - valle de lili</v>
      </c>
      <c r="G5244" s="15" t="str">
        <f>IFERROR(__xludf.DUMMYFUNCTION("""COMPUTED_VALUE"""),"DANIELA GOMEZ")</f>
        <v>DANIELA GOMEZ</v>
      </c>
      <c r="H5244" s="16">
        <f>IFERROR(__xludf.DUMMYFUNCTION("""COMPUTED_VALUE"""),13963.0)</f>
        <v>13963</v>
      </c>
      <c r="I5244" s="18">
        <f>IFERROR(__xludf.DUMMYFUNCTION("""COMPUTED_VALUE"""),1.0)</f>
        <v>1</v>
      </c>
      <c r="J5244" s="18">
        <f>IFERROR(__xludf.DUMMYFUNCTION("""COMPUTED_VALUE"""),1.0)</f>
        <v>1</v>
      </c>
      <c r="K5244" s="18">
        <f>IFERROR(__xludf.DUMMYFUNCTION("""COMPUTED_VALUE"""),1.0)</f>
        <v>1</v>
      </c>
      <c r="L5244" s="17">
        <f>IFERROR(__xludf.DUMMYFUNCTION("""COMPUTED_VALUE"""),3.146880862E9)</f>
        <v>3146880862</v>
      </c>
      <c r="M5244" s="17" t="str">
        <f>IFERROR(__xludf.DUMMYFUNCTION("""COMPUTED_VALUE"""),"#REF!")</f>
        <v>#REF!</v>
      </c>
      <c r="N5244" s="17"/>
      <c r="O5244" s="17"/>
      <c r="P5244" s="17" t="b">
        <f>IFERROR(__xludf.DUMMYFUNCTION("""COMPUTED_VALUE"""),FALSE)</f>
        <v>0</v>
      </c>
      <c r="Q5244" s="20" t="str">
        <f>IFERROR(__xludf.DUMMYFUNCTION("""COMPUTED_VALUE"""),"")</f>
        <v/>
      </c>
      <c r="R5244" s="21" t="str">
        <f>IFERROR(__xludf.DUMMYFUNCTION("""COMPUTED_VALUE"""),"https://drive.google.com/file/d/15r9c-US6R-dCI-u6_pOvkcxTYPLKgLqi/view?usp=drivesdk")</f>
        <v>https://drive.google.com/file/d/15r9c-US6R-dCI-u6_pOvkcxTYPLKgLqi/view?usp=drivesdk</v>
      </c>
    </row>
    <row r="5245">
      <c r="A5245" s="15">
        <f>IFERROR(__xludf.DUMMYFUNCTION("""COMPUTED_VALUE"""),45153.0)</f>
        <v>45153</v>
      </c>
      <c r="B5245" s="16" t="str">
        <f>IFERROR(__xludf.DUMMYFUNCTION("""COMPUTED_VALUE"""),"Johan Alexander Escobar Arroyo ")</f>
        <v>Johan Alexander Escobar Arroyo </v>
      </c>
      <c r="C5245" s="15" t="str">
        <f>IFERROR(__xludf.DUMMYFUNCTION("""COMPUTED_VALUE"""),"CALI")</f>
        <v>CALI</v>
      </c>
      <c r="D5245" s="15" t="str">
        <f>IFERROR(__xludf.DUMMYFUNCTION("""COMPUTED_VALUE"""),"BOGOTÁ")</f>
        <v>BOGOTÁ</v>
      </c>
      <c r="E5245" s="15" t="str">
        <f>IFERROR(__xludf.DUMMYFUNCTION("""COMPUTED_VALUE"""),"Evamazzita")</f>
        <v>Evamazzita</v>
      </c>
      <c r="F5245" s="17" t="str">
        <f>IFERROR(__xludf.DUMMYFUNCTION("""COMPUTED_VALUE"""),"Cll 71 # 1 a 2  - 13 / Bloque 246 apto 302  / Barrio los Alcazares")</f>
        <v>Cll 71 # 1 a 2  - 13 / Bloque 246 apto 302  / Barrio los Alcazares</v>
      </c>
      <c r="G5245" s="15" t="str">
        <f>IFERROR(__xludf.DUMMYFUNCTION("""COMPUTED_VALUE"""),"ESTEFANIA SALAZAR")</f>
        <v>ESTEFANIA SALAZAR</v>
      </c>
      <c r="H5245" s="16">
        <f>IFERROR(__xludf.DUMMYFUNCTION("""COMPUTED_VALUE"""),13964.0)</f>
        <v>13964</v>
      </c>
      <c r="I5245" s="18">
        <f>IFERROR(__xludf.DUMMYFUNCTION("""COMPUTED_VALUE"""),1.0)</f>
        <v>1</v>
      </c>
      <c r="J5245" s="18">
        <f>IFERROR(__xludf.DUMMYFUNCTION("""COMPUTED_VALUE"""),1.0)</f>
        <v>1</v>
      </c>
      <c r="K5245" s="18">
        <f>IFERROR(__xludf.DUMMYFUNCTION("""COMPUTED_VALUE"""),1.0)</f>
        <v>1</v>
      </c>
      <c r="L5245" s="17">
        <f>IFERROR(__xludf.DUMMYFUNCTION("""COMPUTED_VALUE"""),3.163494636E9)</f>
        <v>3163494636</v>
      </c>
      <c r="M5245" s="17" t="str">
        <f>IFERROR(__xludf.DUMMYFUNCTION("""COMPUTED_VALUE"""),"#REF!")</f>
        <v>#REF!</v>
      </c>
      <c r="N5245" s="17"/>
      <c r="O5245" s="17"/>
      <c r="P5245" s="17" t="b">
        <f>IFERROR(__xludf.DUMMYFUNCTION("""COMPUTED_VALUE"""),FALSE)</f>
        <v>0</v>
      </c>
      <c r="Q5245" s="20" t="str">
        <f>IFERROR(__xludf.DUMMYFUNCTION("""COMPUTED_VALUE"""),"")</f>
        <v/>
      </c>
      <c r="R5245" s="21" t="str">
        <f>IFERROR(__xludf.DUMMYFUNCTION("""COMPUTED_VALUE"""),"https://drive.google.com/file/d/1I-c2_mNcVznQNE1QPV3OL7HD7lcSxdvP/view?usp=drivesdk")</f>
        <v>https://drive.google.com/file/d/1I-c2_mNcVznQNE1QPV3OL7HD7lcSxdvP/view?usp=drivesdk</v>
      </c>
    </row>
    <row r="5246">
      <c r="A5246" s="15">
        <f>IFERROR(__xludf.DUMMYFUNCTION("""COMPUTED_VALUE"""),45153.0)</f>
        <v>45153</v>
      </c>
      <c r="B5246" s="16" t="str">
        <f>IFERROR(__xludf.DUMMYFUNCTION("""COMPUTED_VALUE"""),"Johan Alexander Escobar Arroyo ")</f>
        <v>Johan Alexander Escobar Arroyo </v>
      </c>
      <c r="C5246" s="15" t="str">
        <f>IFERROR(__xludf.DUMMYFUNCTION("""COMPUTED_VALUE"""),"CALI")</f>
        <v>CALI</v>
      </c>
      <c r="D5246" s="15" t="str">
        <f>IFERROR(__xludf.DUMMYFUNCTION("""COMPUTED_VALUE"""),"BOGOTÁ")</f>
        <v>BOGOTÁ</v>
      </c>
      <c r="E5246" s="15" t="str">
        <f>IFERROR(__xludf.DUMMYFUNCTION("""COMPUTED_VALUE"""),"Evamazzita")</f>
        <v>Evamazzita</v>
      </c>
      <c r="F5246" s="17" t="str">
        <f>IFERROR(__xludf.DUMMYFUNCTION("""COMPUTED_VALUE"""),"Cll 73 # 1j 49 / Cll 73 # 1j 49 / Cll 73 # 1j 49")</f>
        <v>Cll 73 # 1j 49 / Cll 73 # 1j 49 / Cll 73 # 1j 49</v>
      </c>
      <c r="G5246" s="15" t="str">
        <f>IFERROR(__xludf.DUMMYFUNCTION("""COMPUTED_VALUE"""),"LINA OTALVARO")</f>
        <v>LINA OTALVARO</v>
      </c>
      <c r="H5246" s="16">
        <f>IFERROR(__xludf.DUMMYFUNCTION("""COMPUTED_VALUE"""),13980.0)</f>
        <v>13980</v>
      </c>
      <c r="I5246" s="18">
        <f>IFERROR(__xludf.DUMMYFUNCTION("""COMPUTED_VALUE"""),1.0)</f>
        <v>1</v>
      </c>
      <c r="J5246" s="18">
        <f>IFERROR(__xludf.DUMMYFUNCTION("""COMPUTED_VALUE"""),1.0)</f>
        <v>1</v>
      </c>
      <c r="K5246" s="18">
        <f>IFERROR(__xludf.DUMMYFUNCTION("""COMPUTED_VALUE"""),1.0)</f>
        <v>1</v>
      </c>
      <c r="L5246" s="17">
        <f>IFERROR(__xludf.DUMMYFUNCTION("""COMPUTED_VALUE"""),3.148781509E9)</f>
        <v>3148781509</v>
      </c>
      <c r="M5246" s="17" t="str">
        <f>IFERROR(__xludf.DUMMYFUNCTION("""COMPUTED_VALUE"""),"#REF!")</f>
        <v>#REF!</v>
      </c>
      <c r="N5246" s="17"/>
      <c r="O5246" s="17"/>
      <c r="P5246" s="17" t="b">
        <f>IFERROR(__xludf.DUMMYFUNCTION("""COMPUTED_VALUE"""),FALSE)</f>
        <v>0</v>
      </c>
      <c r="Q5246" s="20" t="str">
        <f>IFERROR(__xludf.DUMMYFUNCTION("""COMPUTED_VALUE"""),"")</f>
        <v/>
      </c>
      <c r="R5246" s="21" t="str">
        <f>IFERROR(__xludf.DUMMYFUNCTION("""COMPUTED_VALUE"""),"https://drive.google.com/file/d/1ZETBf5V6N3gN1N1xNzWigabQCV4rCCN4/view?usp=drivesdk")</f>
        <v>https://drive.google.com/file/d/1ZETBf5V6N3gN1N1xNzWigabQCV4rCCN4/view?usp=drivesdk</v>
      </c>
    </row>
    <row r="5247">
      <c r="A5247" s="15">
        <f>IFERROR(__xludf.DUMMYFUNCTION("""COMPUTED_VALUE"""),45153.0)</f>
        <v>45153</v>
      </c>
      <c r="B5247" s="16" t="str">
        <f>IFERROR(__xludf.DUMMYFUNCTION("""COMPUTED_VALUE"""),"Johan Alexander Escobar Arroyo ")</f>
        <v>Johan Alexander Escobar Arroyo </v>
      </c>
      <c r="C5247" s="15" t="str">
        <f>IFERROR(__xludf.DUMMYFUNCTION("""COMPUTED_VALUE"""),"CALI")</f>
        <v>CALI</v>
      </c>
      <c r="D5247" s="15" t="str">
        <f>IFERROR(__xludf.DUMMYFUNCTION("""COMPUTED_VALUE"""),"BOGOTÁ")</f>
        <v>BOGOTÁ</v>
      </c>
      <c r="E5247" s="15" t="str">
        <f>IFERROR(__xludf.DUMMYFUNCTION("""COMPUTED_VALUE"""),"Evamazzita")</f>
        <v>Evamazzita</v>
      </c>
      <c r="F5247" s="17" t="str">
        <f>IFERROR(__xludf.DUMMYFUNCTION("""COMPUTED_VALUE"""),"Cr 1 d1 # 53 128 / Barrio LOS ANDES / BARRIO LOS ANDES")</f>
        <v>Cr 1 d1 # 53 128 / Barrio LOS ANDES / BARRIO LOS ANDES</v>
      </c>
      <c r="G5247" s="15" t="str">
        <f>IFERROR(__xludf.DUMMYFUNCTION("""COMPUTED_VALUE"""),"CAROLINA GARCIA LOPEZ")</f>
        <v>CAROLINA GARCIA LOPEZ</v>
      </c>
      <c r="H5247" s="16">
        <f>IFERROR(__xludf.DUMMYFUNCTION("""COMPUTED_VALUE"""),13982.0)</f>
        <v>13982</v>
      </c>
      <c r="I5247" s="18">
        <f>IFERROR(__xludf.DUMMYFUNCTION("""COMPUTED_VALUE"""),1.0)</f>
        <v>1</v>
      </c>
      <c r="J5247" s="18">
        <f>IFERROR(__xludf.DUMMYFUNCTION("""COMPUTED_VALUE"""),1.0)</f>
        <v>1</v>
      </c>
      <c r="K5247" s="18">
        <f>IFERROR(__xludf.DUMMYFUNCTION("""COMPUTED_VALUE"""),1.0)</f>
        <v>1</v>
      </c>
      <c r="L5247" s="17">
        <f>IFERROR(__xludf.DUMMYFUNCTION("""COMPUTED_VALUE"""),3.014521911E9)</f>
        <v>3014521911</v>
      </c>
      <c r="M5247" s="17" t="str">
        <f>IFERROR(__xludf.DUMMYFUNCTION("""COMPUTED_VALUE"""),"#REF!")</f>
        <v>#REF!</v>
      </c>
      <c r="N5247" s="17"/>
      <c r="O5247" s="17"/>
      <c r="P5247" s="17" t="b">
        <f>IFERROR(__xludf.DUMMYFUNCTION("""COMPUTED_VALUE"""),FALSE)</f>
        <v>0</v>
      </c>
      <c r="Q5247" s="20" t="str">
        <f>IFERROR(__xludf.DUMMYFUNCTION("""COMPUTED_VALUE"""),"")</f>
        <v/>
      </c>
      <c r="R5247" s="21" t="str">
        <f>IFERROR(__xludf.DUMMYFUNCTION("""COMPUTED_VALUE"""),"https://drive.google.com/file/d/11_ojxbFrMmsk8GaZ02WdIjks4Q_n2lWC/view?usp=drivesdk")</f>
        <v>https://drive.google.com/file/d/11_ojxbFrMmsk8GaZ02WdIjks4Q_n2lWC/view?usp=drivesdk</v>
      </c>
    </row>
    <row r="5248">
      <c r="A5248" s="15">
        <f>IFERROR(__xludf.DUMMYFUNCTION("""COMPUTED_VALUE"""),45153.0)</f>
        <v>45153</v>
      </c>
      <c r="B5248" s="16" t="str">
        <f>IFERROR(__xludf.DUMMYFUNCTION("""COMPUTED_VALUE"""),"Johan Alexander Escobar Arroyo ")</f>
        <v>Johan Alexander Escobar Arroyo </v>
      </c>
      <c r="C5248" s="15" t="str">
        <f>IFERROR(__xludf.DUMMYFUNCTION("""COMPUTED_VALUE"""),"CALI")</f>
        <v>CALI</v>
      </c>
      <c r="D5248" s="15" t="str">
        <f>IFERROR(__xludf.DUMMYFUNCTION("""COMPUTED_VALUE"""),"BOGOTÁ")</f>
        <v>BOGOTÁ</v>
      </c>
      <c r="E5248" s="15" t="str">
        <f>IFERROR(__xludf.DUMMYFUNCTION("""COMPUTED_VALUE"""),"Evamazzita")</f>
        <v>Evamazzita</v>
      </c>
      <c r="F5248" s="17" t="str">
        <f>IFERROR(__xludf.DUMMYFUNCTION("""COMPUTED_VALUE"""),"Cr 100 # 28 68 / To 3 Apto 801 / Conjunto MADEIRA - VALLE DE LILI")</f>
        <v>Cr 100 # 28 68 / To 3 Apto 801 / Conjunto MADEIRA - VALLE DE LILI</v>
      </c>
      <c r="G5248" s="15" t="str">
        <f>IFERROR(__xludf.DUMMYFUNCTION("""COMPUTED_VALUE"""),"ROLADIS VALENCIA")</f>
        <v>ROLADIS VALENCIA</v>
      </c>
      <c r="H5248" s="16">
        <f>IFERROR(__xludf.DUMMYFUNCTION("""COMPUTED_VALUE"""),13981.0)</f>
        <v>13981</v>
      </c>
      <c r="I5248" s="18">
        <f>IFERROR(__xludf.DUMMYFUNCTION("""COMPUTED_VALUE"""),1.0)</f>
        <v>1</v>
      </c>
      <c r="J5248" s="18">
        <f>IFERROR(__xludf.DUMMYFUNCTION("""COMPUTED_VALUE"""),1.0)</f>
        <v>1</v>
      </c>
      <c r="K5248" s="18">
        <f>IFERROR(__xludf.DUMMYFUNCTION("""COMPUTED_VALUE"""),1.0)</f>
        <v>1</v>
      </c>
      <c r="L5248" s="17">
        <f>IFERROR(__xludf.DUMMYFUNCTION("""COMPUTED_VALUE"""),3.218477399E9)</f>
        <v>3218477399</v>
      </c>
      <c r="M5248" s="17" t="str">
        <f>IFERROR(__xludf.DUMMYFUNCTION("""COMPUTED_VALUE"""),"#REF!")</f>
        <v>#REF!</v>
      </c>
      <c r="N5248" s="17"/>
      <c r="O5248" s="17"/>
      <c r="P5248" s="17" t="b">
        <f>IFERROR(__xludf.DUMMYFUNCTION("""COMPUTED_VALUE"""),FALSE)</f>
        <v>0</v>
      </c>
      <c r="Q5248" s="20" t="str">
        <f>IFERROR(__xludf.DUMMYFUNCTION("""COMPUTED_VALUE"""),"")</f>
        <v/>
      </c>
      <c r="R5248" s="21" t="str">
        <f>IFERROR(__xludf.DUMMYFUNCTION("""COMPUTED_VALUE"""),"https://drive.google.com/file/d/1DDZ3wrsldRtopPksuQlicWRY-ASXD1uf/view?usp=drivesdk")</f>
        <v>https://drive.google.com/file/d/1DDZ3wrsldRtopPksuQlicWRY-ASXD1uf/view?usp=drivesdk</v>
      </c>
    </row>
    <row r="5249">
      <c r="A5249" s="15">
        <f>IFERROR(__xludf.DUMMYFUNCTION("""COMPUTED_VALUE"""),45153.0)</f>
        <v>45153</v>
      </c>
      <c r="B5249" s="16" t="str">
        <f>IFERROR(__xludf.DUMMYFUNCTION("""COMPUTED_VALUE"""),"Johan Alexander Escobar Arroyo ")</f>
        <v>Johan Alexander Escobar Arroyo </v>
      </c>
      <c r="C5249" s="15" t="str">
        <f>IFERROR(__xludf.DUMMYFUNCTION("""COMPUTED_VALUE"""),"CALI")</f>
        <v>CALI</v>
      </c>
      <c r="D5249" s="15" t="str">
        <f>IFERROR(__xludf.DUMMYFUNCTION("""COMPUTED_VALUE"""),"BOGOTÁ")</f>
        <v>BOGOTÁ</v>
      </c>
      <c r="E5249" s="15" t="str">
        <f>IFERROR(__xludf.DUMMYFUNCTION("""COMPUTED_VALUE"""),"Evamazzita")</f>
        <v>Evamazzita</v>
      </c>
      <c r="F5249" s="17" t="str">
        <f>IFERROR(__xludf.DUMMYFUNCTION("""COMPUTED_VALUE"""),"Cr 26 Q # 123 76 / CALIMIO DECEPAZ / Calimio Decepaz")</f>
        <v>Cr 26 Q # 123 76 / CALIMIO DECEPAZ / Calimio Decepaz</v>
      </c>
      <c r="G5249" s="15" t="str">
        <f>IFERROR(__xludf.DUMMYFUNCTION("""COMPUTED_VALUE"""),"LEIDY JOHANA BOLAÑOS")</f>
        <v>LEIDY JOHANA BOLAÑOS</v>
      </c>
      <c r="H5249" s="16">
        <f>IFERROR(__xludf.DUMMYFUNCTION("""COMPUTED_VALUE"""),13966.0)</f>
        <v>13966</v>
      </c>
      <c r="I5249" s="18">
        <f>IFERROR(__xludf.DUMMYFUNCTION("""COMPUTED_VALUE"""),1.0)</f>
        <v>1</v>
      </c>
      <c r="J5249" s="18">
        <f>IFERROR(__xludf.DUMMYFUNCTION("""COMPUTED_VALUE"""),1.0)</f>
        <v>1</v>
      </c>
      <c r="K5249" s="18">
        <f>IFERROR(__xludf.DUMMYFUNCTION("""COMPUTED_VALUE"""),1.0)</f>
        <v>1</v>
      </c>
      <c r="L5249" s="17">
        <f>IFERROR(__xludf.DUMMYFUNCTION("""COMPUTED_VALUE"""),3.1788743E9)</f>
        <v>3178874300</v>
      </c>
      <c r="M5249" s="17" t="str">
        <f>IFERROR(__xludf.DUMMYFUNCTION("""COMPUTED_VALUE"""),"#REF!")</f>
        <v>#REF!</v>
      </c>
      <c r="N5249" s="17"/>
      <c r="O5249" s="17"/>
      <c r="P5249" s="17" t="b">
        <f>IFERROR(__xludf.DUMMYFUNCTION("""COMPUTED_VALUE"""),FALSE)</f>
        <v>0</v>
      </c>
      <c r="Q5249" s="20" t="str">
        <f>IFERROR(__xludf.DUMMYFUNCTION("""COMPUTED_VALUE"""),"")</f>
        <v/>
      </c>
      <c r="R5249" s="21" t="str">
        <f>IFERROR(__xludf.DUMMYFUNCTION("""COMPUTED_VALUE"""),"https://drive.google.com/file/d/1dVF_V_IztVNH2uqbMuviqG-D9O8qoWtI/view?usp=drivesdk")</f>
        <v>https://drive.google.com/file/d/1dVF_V_IztVNH2uqbMuviqG-D9O8qoWtI/view?usp=drivesdk</v>
      </c>
    </row>
    <row r="5250">
      <c r="A5250" s="15">
        <f>IFERROR(__xludf.DUMMYFUNCTION("""COMPUTED_VALUE"""),45153.0)</f>
        <v>45153</v>
      </c>
      <c r="B5250" s="16" t="str">
        <f>IFERROR(__xludf.DUMMYFUNCTION("""COMPUTED_VALUE"""),"Johan Alexander Escobar Arroyo ")</f>
        <v>Johan Alexander Escobar Arroyo </v>
      </c>
      <c r="C5250" s="15" t="str">
        <f>IFERROR(__xludf.DUMMYFUNCTION("""COMPUTED_VALUE"""),"CALI")</f>
        <v>CALI</v>
      </c>
      <c r="D5250" s="15" t="str">
        <f>IFERROR(__xludf.DUMMYFUNCTION("""COMPUTED_VALUE"""),"BOGOTÁ")</f>
        <v>BOGOTÁ</v>
      </c>
      <c r="E5250" s="15" t="str">
        <f>IFERROR(__xludf.DUMMYFUNCTION("""COMPUTED_VALUE"""),"Frubits")</f>
        <v>Frubits</v>
      </c>
      <c r="F5250" s="17" t="str">
        <f>IFERROR(__xludf.DUMMYFUNCTION("""COMPUTED_VALUE"""),"Avenida 10 oeste #10c oeste 15  Senderos del aguacatal Cali valle / Avenida 10 oeste #10c oeste 15  Senderos del aguacatal Cali valle / Avenida 10 oeste #10c oeste 15  Senderos del aguacatal Cali valle")</f>
        <v>Avenida 10 oeste #10c oeste 15  Senderos del aguacatal Cali valle / Avenida 10 oeste #10c oeste 15  Senderos del aguacatal Cali valle / Avenida 10 oeste #10c oeste 15  Senderos del aguacatal Cali valle</v>
      </c>
      <c r="G5250" s="15" t="str">
        <f>IFERROR(__xludf.DUMMYFUNCTION("""COMPUTED_VALUE"""),"Jeniffer Paniagua")</f>
        <v>Jeniffer Paniagua</v>
      </c>
      <c r="H5250" s="16">
        <f>IFERROR(__xludf.DUMMYFUNCTION("""COMPUTED_VALUE"""),13936.0)</f>
        <v>13936</v>
      </c>
      <c r="I5250" s="18">
        <f>IFERROR(__xludf.DUMMYFUNCTION("""COMPUTED_VALUE"""),9.0)</f>
        <v>9</v>
      </c>
      <c r="J5250" s="18">
        <f>IFERROR(__xludf.DUMMYFUNCTION("""COMPUTED_VALUE"""),9.0)</f>
        <v>9</v>
      </c>
      <c r="K5250" s="18">
        <f>IFERROR(__xludf.DUMMYFUNCTION("""COMPUTED_VALUE"""),9.0)</f>
        <v>9</v>
      </c>
      <c r="L5250" s="17">
        <f>IFERROR(__xludf.DUMMYFUNCTION("""COMPUTED_VALUE"""),3.122671273E9)</f>
        <v>3122671273</v>
      </c>
      <c r="M5250" s="17" t="str">
        <f>IFERROR(__xludf.DUMMYFUNCTION("""COMPUTED_VALUE"""),"#REF!")</f>
        <v>#REF!</v>
      </c>
      <c r="N5250" s="17"/>
      <c r="O5250" s="17"/>
      <c r="P5250" s="17" t="b">
        <f>IFERROR(__xludf.DUMMYFUNCTION("""COMPUTED_VALUE"""),FALSE)</f>
        <v>0</v>
      </c>
      <c r="Q5250" s="20" t="str">
        <f>IFERROR(__xludf.DUMMYFUNCTION("""COMPUTED_VALUE"""),"")</f>
        <v/>
      </c>
      <c r="R5250" s="21" t="str">
        <f>IFERROR(__xludf.DUMMYFUNCTION("""COMPUTED_VALUE"""),"https://drive.google.com/file/d/1R51URo4oGh98fJ7hsLj5hOXJO_PDKO9k/view?usp=drivesdk")</f>
        <v>https://drive.google.com/file/d/1R51URo4oGh98fJ7hsLj5hOXJO_PDKO9k/view?usp=drivesdk</v>
      </c>
    </row>
    <row r="5251">
      <c r="A5251" s="15">
        <f>IFERROR(__xludf.DUMMYFUNCTION("""COMPUTED_VALUE"""),45153.0)</f>
        <v>45153</v>
      </c>
      <c r="B5251" s="16" t="str">
        <f>IFERROR(__xludf.DUMMYFUNCTION("""COMPUTED_VALUE"""),"Johan Alexander Escobar Arroyo ")</f>
        <v>Johan Alexander Escobar Arroyo </v>
      </c>
      <c r="C5251" s="15" t="str">
        <f>IFERROR(__xludf.DUMMYFUNCTION("""COMPUTED_VALUE"""),"CALI")</f>
        <v>CALI</v>
      </c>
      <c r="D5251" s="15" t="str">
        <f>IFERROR(__xludf.DUMMYFUNCTION("""COMPUTED_VALUE"""),"BOGOTÁ")</f>
        <v>BOGOTÁ</v>
      </c>
      <c r="E5251" s="15" t="str">
        <f>IFERROR(__xludf.DUMMYFUNCTION("""COMPUTED_VALUE"""),"Frubits")</f>
        <v>Frubits</v>
      </c>
      <c r="F5251" s="17" t="str">
        <f>IFERROR(__xludf.DUMMYFUNCTION("""COMPUTED_VALUE"""),"Calle 66# 1-30 Altos del Parque Torre 4 apto 603 / Calle 66# 1-30 Altos del Parque Torre 4 apto 603 / Calle 66# 1-30 Altos del Parque Torre 4 apto 603")</f>
        <v>Calle 66# 1-30 Altos del Parque Torre 4 apto 603 / Calle 66# 1-30 Altos del Parque Torre 4 apto 603 / Calle 66# 1-30 Altos del Parque Torre 4 apto 603</v>
      </c>
      <c r="G5251" s="15" t="str">
        <f>IFERROR(__xludf.DUMMYFUNCTION("""COMPUTED_VALUE"""),"Erika Patricia Franco Manrique")</f>
        <v>Erika Patricia Franco Manrique</v>
      </c>
      <c r="H5251" s="16">
        <f>IFERROR(__xludf.DUMMYFUNCTION("""COMPUTED_VALUE"""),13983.0)</f>
        <v>13983</v>
      </c>
      <c r="I5251" s="18">
        <f>IFERROR(__xludf.DUMMYFUNCTION("""COMPUTED_VALUE"""),9.0)</f>
        <v>9</v>
      </c>
      <c r="J5251" s="18">
        <f>IFERROR(__xludf.DUMMYFUNCTION("""COMPUTED_VALUE"""),9.0)</f>
        <v>9</v>
      </c>
      <c r="K5251" s="18">
        <f>IFERROR(__xludf.DUMMYFUNCTION("""COMPUTED_VALUE"""),9.0)</f>
        <v>9</v>
      </c>
      <c r="L5251" s="17">
        <f>IFERROR(__xludf.DUMMYFUNCTION("""COMPUTED_VALUE"""),3.04291652E9)</f>
        <v>3042916520</v>
      </c>
      <c r="M5251" s="17" t="str">
        <f>IFERROR(__xludf.DUMMYFUNCTION("""COMPUTED_VALUE"""),"#REF!")</f>
        <v>#REF!</v>
      </c>
      <c r="N5251" s="17"/>
      <c r="O5251" s="17"/>
      <c r="P5251" s="17" t="b">
        <f>IFERROR(__xludf.DUMMYFUNCTION("""COMPUTED_VALUE"""),FALSE)</f>
        <v>0</v>
      </c>
      <c r="Q5251" s="20" t="str">
        <f>IFERROR(__xludf.DUMMYFUNCTION("""COMPUTED_VALUE"""),"")</f>
        <v/>
      </c>
      <c r="R5251" s="21" t="str">
        <f>IFERROR(__xludf.DUMMYFUNCTION("""COMPUTED_VALUE"""),"https://drive.google.com/file/d/1Yd2WPbvEAhCRnq0RFZNqbm2WJ-gWOvNp/view?usp=drivesdk")</f>
        <v>https://drive.google.com/file/d/1Yd2WPbvEAhCRnq0RFZNqbm2WJ-gWOvNp/view?usp=drivesdk</v>
      </c>
    </row>
    <row r="5252">
      <c r="A5252" s="15">
        <f>IFERROR(__xludf.DUMMYFUNCTION("""COMPUTED_VALUE"""),45153.0)</f>
        <v>45153</v>
      </c>
      <c r="B5252" s="16" t="str">
        <f>IFERROR(__xludf.DUMMYFUNCTION("""COMPUTED_VALUE"""),"Johan Alexander Escobar Arroyo ")</f>
        <v>Johan Alexander Escobar Arroyo </v>
      </c>
      <c r="C5252" s="15" t="str">
        <f>IFERROR(__xludf.DUMMYFUNCTION("""COMPUTED_VALUE"""),"CALI")</f>
        <v>CALI</v>
      </c>
      <c r="D5252" s="15" t="str">
        <f>IFERROR(__xludf.DUMMYFUNCTION("""COMPUTED_VALUE"""),"BOGOTÁ")</f>
        <v>BOGOTÁ</v>
      </c>
      <c r="E5252" s="15" t="str">
        <f>IFERROR(__xludf.DUMMYFUNCTION("""COMPUTED_VALUE"""),"Frubits")</f>
        <v>Frubits</v>
      </c>
      <c r="F5252" s="17" t="str">
        <f>IFERROR(__xludf.DUMMYFUNCTION("""COMPUTED_VALUE"""),"Carrera 125 # 4-60 Casa 4  Condominio Calicampo  Cali / Carrera 125 # 4-60 Casa 4  Condominio Calicampo  Cali / Carrera 125 # 4-60 Casa 4  Condominio Calicampo  Cali")</f>
        <v>Carrera 125 # 4-60 Casa 4  Condominio Calicampo  Cali / Carrera 125 # 4-60 Casa 4  Condominio Calicampo  Cali / Carrera 125 # 4-60 Casa 4  Condominio Calicampo  Cali</v>
      </c>
      <c r="G5252" s="15" t="str">
        <f>IFERROR(__xludf.DUMMYFUNCTION("""COMPUTED_VALUE"""),"Andrea Villegas")</f>
        <v>Andrea Villegas</v>
      </c>
      <c r="H5252" s="16">
        <f>IFERROR(__xludf.DUMMYFUNCTION("""COMPUTED_VALUE"""),13935.0)</f>
        <v>13935</v>
      </c>
      <c r="I5252" s="18">
        <f>IFERROR(__xludf.DUMMYFUNCTION("""COMPUTED_VALUE"""),9.0)</f>
        <v>9</v>
      </c>
      <c r="J5252" s="18">
        <f>IFERROR(__xludf.DUMMYFUNCTION("""COMPUTED_VALUE"""),9.0)</f>
        <v>9</v>
      </c>
      <c r="K5252" s="18">
        <f>IFERROR(__xludf.DUMMYFUNCTION("""COMPUTED_VALUE"""),9.0)</f>
        <v>9</v>
      </c>
      <c r="L5252" s="17">
        <f>IFERROR(__xludf.DUMMYFUNCTION("""COMPUTED_VALUE"""),3.185779284E9)</f>
        <v>3185779284</v>
      </c>
      <c r="M5252" s="17" t="str">
        <f>IFERROR(__xludf.DUMMYFUNCTION("""COMPUTED_VALUE"""),"#REF!")</f>
        <v>#REF!</v>
      </c>
      <c r="N5252" s="17"/>
      <c r="O5252" s="17"/>
      <c r="P5252" s="17" t="b">
        <f>IFERROR(__xludf.DUMMYFUNCTION("""COMPUTED_VALUE"""),FALSE)</f>
        <v>0</v>
      </c>
      <c r="Q5252" s="20" t="str">
        <f>IFERROR(__xludf.DUMMYFUNCTION("""COMPUTED_VALUE"""),"")</f>
        <v/>
      </c>
      <c r="R5252" s="21" t="str">
        <f>IFERROR(__xludf.DUMMYFUNCTION("""COMPUTED_VALUE"""),"https://drive.google.com/file/d/1WnNjQOUgB86U2UxnjfLRhC193fdFuttA/view?usp=drivesdk")</f>
        <v>https://drive.google.com/file/d/1WnNjQOUgB86U2UxnjfLRhC193fdFuttA/view?usp=drivesdk</v>
      </c>
    </row>
    <row r="5253">
      <c r="A5253" s="15">
        <f>IFERROR(__xludf.DUMMYFUNCTION("""COMPUTED_VALUE"""),45153.0)</f>
        <v>45153</v>
      </c>
      <c r="B5253" s="16" t="str">
        <f>IFERROR(__xludf.DUMMYFUNCTION("""COMPUTED_VALUE"""),"Johan Alexander Escobar Arroyo ")</f>
        <v>Johan Alexander Escobar Arroyo </v>
      </c>
      <c r="C5253" s="15" t="str">
        <f>IFERROR(__xludf.DUMMYFUNCTION("""COMPUTED_VALUE"""),"CALI")</f>
        <v>CALI</v>
      </c>
      <c r="D5253" s="15" t="str">
        <f>IFERROR(__xludf.DUMMYFUNCTION("""COMPUTED_VALUE"""),"BOGOTÁ")</f>
        <v>BOGOTÁ</v>
      </c>
      <c r="E5253" s="15" t="str">
        <f>IFERROR(__xludf.DUMMYFUNCTION("""COMPUTED_VALUE"""),"Frubits")</f>
        <v>Frubits</v>
      </c>
      <c r="F5253" s="17" t="str">
        <f>IFERROR(__xludf.DUMMYFUNCTION("""COMPUTED_VALUE"""),"Carrera 37 bis 1 a 49 apto 101 a la hojarasca, santa isabel, Cali  / Carrera 37 bis 1 a 49 apto 101 a la hojarasca, santa isabel, Cali  / Carrera 37 bis 1 a 49 apto 101 a la hojarasca, santa isabel, Cali")</f>
        <v>Carrera 37 bis 1 a 49 apto 101 a la hojarasca, santa isabel, Cali  / Carrera 37 bis 1 a 49 apto 101 a la hojarasca, santa isabel, Cali  / Carrera 37 bis 1 a 49 apto 101 a la hojarasca, santa isabel, Cali</v>
      </c>
      <c r="G5253" s="15" t="str">
        <f>IFERROR(__xludf.DUMMYFUNCTION("""COMPUTED_VALUE"""),"Claudia Luna Giraldo")</f>
        <v>Claudia Luna Giraldo</v>
      </c>
      <c r="H5253" s="16">
        <f>IFERROR(__xludf.DUMMYFUNCTION("""COMPUTED_VALUE"""),13934.0)</f>
        <v>13934</v>
      </c>
      <c r="I5253" s="18">
        <f>IFERROR(__xludf.DUMMYFUNCTION("""COMPUTED_VALUE"""),9.0)</f>
        <v>9</v>
      </c>
      <c r="J5253" s="18">
        <f>IFERROR(__xludf.DUMMYFUNCTION("""COMPUTED_VALUE"""),9.0)</f>
        <v>9</v>
      </c>
      <c r="K5253" s="18">
        <f>IFERROR(__xludf.DUMMYFUNCTION("""COMPUTED_VALUE"""),9.0)</f>
        <v>9</v>
      </c>
      <c r="L5253" s="17">
        <f>IFERROR(__xludf.DUMMYFUNCTION("""COMPUTED_VALUE"""),3.183927351E9)</f>
        <v>3183927351</v>
      </c>
      <c r="M5253" s="17" t="str">
        <f>IFERROR(__xludf.DUMMYFUNCTION("""COMPUTED_VALUE"""),"#REF!")</f>
        <v>#REF!</v>
      </c>
      <c r="N5253" s="17"/>
      <c r="O5253" s="17"/>
      <c r="P5253" s="17" t="b">
        <f>IFERROR(__xludf.DUMMYFUNCTION("""COMPUTED_VALUE"""),FALSE)</f>
        <v>0</v>
      </c>
      <c r="Q5253" s="20" t="str">
        <f>IFERROR(__xludf.DUMMYFUNCTION("""COMPUTED_VALUE"""),"")</f>
        <v/>
      </c>
      <c r="R5253" s="21" t="str">
        <f>IFERROR(__xludf.DUMMYFUNCTION("""COMPUTED_VALUE"""),"https://drive.google.com/file/d/1qgPZwrixkF2LFpXLPLi_af1f8YiQ1TnW/view?usp=drivesdk")</f>
        <v>https://drive.google.com/file/d/1qgPZwrixkF2LFpXLPLi_af1f8YiQ1TnW/view?usp=drivesdk</v>
      </c>
    </row>
    <row r="5254">
      <c r="A5254" s="15">
        <f>IFERROR(__xludf.DUMMYFUNCTION("""COMPUTED_VALUE"""),45153.0)</f>
        <v>45153</v>
      </c>
      <c r="B5254" s="16" t="str">
        <f>IFERROR(__xludf.DUMMYFUNCTION("""COMPUTED_VALUE"""),"Johan Alexander Escobar Arroyo ")</f>
        <v>Johan Alexander Escobar Arroyo </v>
      </c>
      <c r="C5254" s="15" t="str">
        <f>IFERROR(__xludf.DUMMYFUNCTION("""COMPUTED_VALUE"""),"IBAGUÉ")</f>
        <v>IBAGUÉ</v>
      </c>
      <c r="D5254" s="15" t="str">
        <f>IFERROR(__xludf.DUMMYFUNCTION("""COMPUTED_VALUE"""),"MEDELLÍN")</f>
        <v>MEDELLÍN</v>
      </c>
      <c r="E5254" s="15" t="str">
        <f>IFERROR(__xludf.DUMMYFUNCTION("""COMPUTED_VALUE"""),"AREPAS LA MARY")</f>
        <v>AREPAS LA MARY</v>
      </c>
      <c r="F5254" s="17" t="str">
        <f>IFERROR(__xludf.DUMMYFUNCTION("""COMPUTED_VALUE"""),"cra 14 # 75 a 29 / local 5 estancia del vergel")</f>
        <v>cra 14 # 75 a 29 / local 5 estancia del vergel</v>
      </c>
      <c r="G5254" s="15" t="str">
        <f>IFERROR(__xludf.DUMMYFUNCTION("""COMPUTED_VALUE"""),"soy natural market")</f>
        <v>soy natural market</v>
      </c>
      <c r="H5254" s="16">
        <f>IFERROR(__xludf.DUMMYFUNCTION("""COMPUTED_VALUE"""),13943.0)</f>
        <v>13943</v>
      </c>
      <c r="I5254" s="18">
        <f>IFERROR(__xludf.DUMMYFUNCTION("""COMPUTED_VALUE"""),89.0)</f>
        <v>89</v>
      </c>
      <c r="J5254" s="18">
        <f>IFERROR(__xludf.DUMMYFUNCTION("""COMPUTED_VALUE"""),1.0)</f>
        <v>1</v>
      </c>
      <c r="K5254" s="18">
        <f>IFERROR(__xludf.DUMMYFUNCTION("""COMPUTED_VALUE"""),10.0)</f>
        <v>10</v>
      </c>
      <c r="L5254" s="17">
        <f>IFERROR(__xludf.DUMMYFUNCTION("""COMPUTED_VALUE"""),3.177002909E9)</f>
        <v>3177002909</v>
      </c>
      <c r="M5254" s="17" t="str">
        <f>IFERROR(__xludf.DUMMYFUNCTION("""COMPUTED_VALUE"""),"#REF!")</f>
        <v>#REF!</v>
      </c>
      <c r="N5254" s="17"/>
      <c r="O5254" s="17"/>
      <c r="P5254" s="17" t="b">
        <f>IFERROR(__xludf.DUMMYFUNCTION("""COMPUTED_VALUE"""),FALSE)</f>
        <v>0</v>
      </c>
      <c r="Q5254" s="20" t="str">
        <f>IFERROR(__xludf.DUMMYFUNCTION("""COMPUTED_VALUE"""),"")</f>
        <v/>
      </c>
      <c r="R5254" s="22" t="str">
        <f>IFERROR(__xludf.DUMMYFUNCTION("""COMPUTED_VALUE"""),"")</f>
        <v/>
      </c>
    </row>
    <row r="5255">
      <c r="A5255" s="15">
        <f>IFERROR(__xludf.DUMMYFUNCTION("""COMPUTED_VALUE"""),45153.0)</f>
        <v>45153</v>
      </c>
      <c r="B5255" s="16" t="str">
        <f>IFERROR(__xludf.DUMMYFUNCTION("""COMPUTED_VALUE"""),"Johan Alexander Escobar Arroyo ")</f>
        <v>Johan Alexander Escobar Arroyo </v>
      </c>
      <c r="C5255" s="15" t="str">
        <f>IFERROR(__xludf.DUMMYFUNCTION("""COMPUTED_VALUE"""),"IBAGUÉ")</f>
        <v>IBAGUÉ</v>
      </c>
      <c r="D5255" s="15" t="str">
        <f>IFERROR(__xludf.DUMMYFUNCTION("""COMPUTED_VALUE"""),"MEDELLÍN")</f>
        <v>MEDELLÍN</v>
      </c>
      <c r="E5255" s="15" t="str">
        <f>IFERROR(__xludf.DUMMYFUNCTION("""COMPUTED_VALUE"""),"Helados swip")</f>
        <v>Helados swip</v>
      </c>
      <c r="F5255" s="17" t="str">
        <f>IFERROR(__xludf.DUMMYFUNCTION("""COMPUTED_VALUE"""),"CALLE 33 # 4A -44 / CADIZ / MERCADO SALUDABLE SILVESTRE")</f>
        <v>CALLE 33 # 4A -44 / CADIZ / MERCADO SALUDABLE SILVESTRE</v>
      </c>
      <c r="G5255" s="15" t="str">
        <f>IFERROR(__xludf.DUMMYFUNCTION("""COMPUTED_VALUE"""),"SILVESTRE MERCADO SALUDABLE")</f>
        <v>SILVESTRE MERCADO SALUDABLE</v>
      </c>
      <c r="H5255" s="16">
        <f>IFERROR(__xludf.DUMMYFUNCTION("""COMPUTED_VALUE"""),13895.0)</f>
        <v>13895</v>
      </c>
      <c r="I5255" s="18">
        <f>IFERROR(__xludf.DUMMYFUNCTION("""COMPUTED_VALUE"""),50.0)</f>
        <v>50</v>
      </c>
      <c r="J5255" s="18">
        <f>IFERROR(__xludf.DUMMYFUNCTION("""COMPUTED_VALUE"""),30.0)</f>
        <v>30</v>
      </c>
      <c r="K5255" s="18">
        <f>IFERROR(__xludf.DUMMYFUNCTION("""COMPUTED_VALUE"""),21.0)</f>
        <v>21</v>
      </c>
      <c r="L5255" s="17">
        <f>IFERROR(__xludf.DUMMYFUNCTION("""COMPUTED_VALUE"""),3.212130403E9)</f>
        <v>3212130403</v>
      </c>
      <c r="M5255" s="17" t="str">
        <f>IFERROR(__xludf.DUMMYFUNCTION("""COMPUTED_VALUE"""),"#REF!")</f>
        <v>#REF!</v>
      </c>
      <c r="N5255" s="17"/>
      <c r="O5255" s="17"/>
      <c r="P5255" s="17" t="b">
        <f>IFERROR(__xludf.DUMMYFUNCTION("""COMPUTED_VALUE"""),TRUE)</f>
        <v>1</v>
      </c>
      <c r="Q5255" s="20">
        <f>IFERROR(__xludf.DUMMYFUNCTION("""COMPUTED_VALUE"""),45153.724445011576)</f>
        <v>45153.72445</v>
      </c>
      <c r="R5255" s="22" t="str">
        <f>IFERROR(__xludf.DUMMYFUNCTION("""COMPUTED_VALUE"""),"")</f>
        <v/>
      </c>
    </row>
    <row r="5256">
      <c r="A5256" s="17" t="str">
        <f>IFERROR(__xludf.DUMMYFUNCTION("""COMPUTED_VALUE"""),"")</f>
        <v/>
      </c>
      <c r="B5256" s="17" t="str">
        <f>IFERROR(__xludf.DUMMYFUNCTION("""COMPUTED_VALUE"""),"")</f>
        <v/>
      </c>
      <c r="C5256" s="17" t="str">
        <f>IFERROR(__xludf.DUMMYFUNCTION("""COMPUTED_VALUE"""),"")</f>
        <v/>
      </c>
      <c r="D5256" s="17" t="str">
        <f>IFERROR(__xludf.DUMMYFUNCTION("""COMPUTED_VALUE"""),"")</f>
        <v/>
      </c>
      <c r="E5256" s="17" t="str">
        <f>IFERROR(__xludf.DUMMYFUNCTION("""COMPUTED_VALUE"""),"")</f>
        <v/>
      </c>
      <c r="F5256" s="17" t="str">
        <f>IFERROR(__xludf.DUMMYFUNCTION("""COMPUTED_VALUE"""),"")</f>
        <v/>
      </c>
      <c r="G5256" s="17" t="str">
        <f>IFERROR(__xludf.DUMMYFUNCTION("""COMPUTED_VALUE"""),"")</f>
        <v/>
      </c>
      <c r="H5256" s="17" t="str">
        <f>IFERROR(__xludf.DUMMYFUNCTION("""COMPUTED_VALUE"""),"")</f>
        <v/>
      </c>
      <c r="I5256" s="17" t="str">
        <f>IFERROR(__xludf.DUMMYFUNCTION("""COMPUTED_VALUE"""),"")</f>
        <v/>
      </c>
      <c r="J5256" s="17" t="str">
        <f>IFERROR(__xludf.DUMMYFUNCTION("""COMPUTED_VALUE"""),"")</f>
        <v/>
      </c>
      <c r="K5256" s="17" t="str">
        <f>IFERROR(__xludf.DUMMYFUNCTION("""COMPUTED_VALUE"""),"")</f>
        <v/>
      </c>
      <c r="L5256" s="17" t="str">
        <f>IFERROR(__xludf.DUMMYFUNCTION("""COMPUTED_VALUE"""),"")</f>
        <v/>
      </c>
      <c r="M5256" s="17" t="str">
        <f>IFERROR(__xludf.DUMMYFUNCTION("""COMPUTED_VALUE"""),"")</f>
        <v/>
      </c>
      <c r="N5256" s="17" t="str">
        <f>IFERROR(__xludf.DUMMYFUNCTION("""COMPUTED_VALUE"""),"")</f>
        <v/>
      </c>
      <c r="O5256" s="17" t="str">
        <f>IFERROR(__xludf.DUMMYFUNCTION("""COMPUTED_VALUE"""),"")</f>
        <v/>
      </c>
      <c r="P5256" s="17" t="str">
        <f>IFERROR(__xludf.DUMMYFUNCTION("""COMPUTED_VALUE"""),"")</f>
        <v/>
      </c>
      <c r="Q5256" s="17" t="str">
        <f>IFERROR(__xludf.DUMMYFUNCTION("""COMPUTED_VALUE"""),"")</f>
        <v/>
      </c>
      <c r="R5256" s="17" t="str">
        <f>IFERROR(__xludf.DUMMYFUNCTION("""COMPUTED_VALUE"""),"")</f>
        <v/>
      </c>
    </row>
    <row r="5257">
      <c r="A5257" s="15">
        <f>IFERROR(__xludf.DUMMYFUNCTION("""COMPUTED_VALUE"""),45153.0)</f>
        <v>45153</v>
      </c>
      <c r="B5257" s="16" t="str">
        <f>IFERROR(__xludf.DUMMYFUNCTION("""COMPUTED_VALUE"""),"Santiago Garces Restrepo")</f>
        <v>Santiago Garces Restrepo</v>
      </c>
      <c r="C5257" s="15" t="str">
        <f>IFERROR(__xludf.DUMMYFUNCTION("""COMPUTED_VALUE"""),"MEDELLÍN")</f>
        <v>MEDELLÍN</v>
      </c>
      <c r="D5257" s="15" t="str">
        <f>IFERROR(__xludf.DUMMYFUNCTION("""COMPUTED_VALUE"""),"BOGOTÁ")</f>
        <v>BOGOTÁ</v>
      </c>
      <c r="E5257" s="15" t="str">
        <f>IFERROR(__xludf.DUMMYFUNCTION("""COMPUTED_VALUE"""),"Asociacion Agropecuaria Juana Maria")</f>
        <v>Asociacion Agropecuaria Juana Maria</v>
      </c>
      <c r="F525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5257" s="15" t="str">
        <f>IFERROR(__xludf.DUMMYFUNCTION("""COMPUTED_VALUE"""),"Jennifer Sanchez Blandon")</f>
        <v>Jennifer Sanchez Blandon</v>
      </c>
      <c r="H5257" s="16">
        <f>IFERROR(__xludf.DUMMYFUNCTION("""COMPUTED_VALUE"""),13901.0)</f>
        <v>13901</v>
      </c>
      <c r="I5257" s="18">
        <f>IFERROR(__xludf.DUMMYFUNCTION("""COMPUTED_VALUE"""),22.0)</f>
        <v>22</v>
      </c>
      <c r="J5257" s="18">
        <f>IFERROR(__xludf.DUMMYFUNCTION("""COMPUTED_VALUE"""),15.0)</f>
        <v>15</v>
      </c>
      <c r="K5257" s="18">
        <f>IFERROR(__xludf.DUMMYFUNCTION("""COMPUTED_VALUE"""),3.0)</f>
        <v>3</v>
      </c>
      <c r="L5257" s="17">
        <f>IFERROR(__xludf.DUMMYFUNCTION("""COMPUTED_VALUE"""),3.016937674E9)</f>
        <v>3016937674</v>
      </c>
      <c r="M5257" s="17" t="str">
        <f>IFERROR(__xludf.DUMMYFUNCTION("""COMPUTED_VALUE"""),"#REF!")</f>
        <v>#REF!</v>
      </c>
      <c r="N5257" s="17"/>
      <c r="O5257" s="17"/>
      <c r="P5257" s="17" t="b">
        <f>IFERROR(__xludf.DUMMYFUNCTION("""COMPUTED_VALUE"""),FALSE)</f>
        <v>0</v>
      </c>
      <c r="Q5257" s="20" t="str">
        <f>IFERROR(__xludf.DUMMYFUNCTION("""COMPUTED_VALUE"""),"")</f>
        <v/>
      </c>
      <c r="R5257" s="22" t="str">
        <f>IFERROR(__xludf.DUMMYFUNCTION("""COMPUTED_VALUE"""),"")</f>
        <v/>
      </c>
    </row>
    <row r="5258">
      <c r="A5258" s="15">
        <f>IFERROR(__xludf.DUMMYFUNCTION("""COMPUTED_VALUE"""),45153.0)</f>
        <v>45153</v>
      </c>
      <c r="B5258" s="16" t="str">
        <f>IFERROR(__xludf.DUMMYFUNCTION("""COMPUTED_VALUE"""),"Santiago Garces Restrepo")</f>
        <v>Santiago Garces Restrepo</v>
      </c>
      <c r="C5258" s="15" t="str">
        <f>IFERROR(__xludf.DUMMYFUNCTION("""COMPUTED_VALUE"""),"MEDELLÍN")</f>
        <v>MEDELLÍN</v>
      </c>
      <c r="D5258" s="15" t="str">
        <f>IFERROR(__xludf.DUMMYFUNCTION("""COMPUTED_VALUE"""),"BOGOTÁ")</f>
        <v>BOGOTÁ</v>
      </c>
      <c r="E5258" s="15" t="str">
        <f>IFERROR(__xludf.DUMMYFUNCTION("""COMPUTED_VALUE"""),"Evamazzita")</f>
        <v>Evamazzita</v>
      </c>
      <c r="F5258" s="17" t="str">
        <f>IFERROR(__xludf.DUMMYFUNCTION("""COMPUTED_VALUE"""),"Carrera 15 BA #34D-44 / Inte 201 / Buenos Aires")</f>
        <v>Carrera 15 BA #34D-44 / Inte 201 / Buenos Aires</v>
      </c>
      <c r="G5258" s="15" t="str">
        <f>IFERROR(__xludf.DUMMYFUNCTION("""COMPUTED_VALUE"""),"DANIELA BEDOYA BLANDON")</f>
        <v>DANIELA BEDOYA BLANDON</v>
      </c>
      <c r="H5258" s="16">
        <f>IFERROR(__xludf.DUMMYFUNCTION("""COMPUTED_VALUE"""),13933.0)</f>
        <v>13933</v>
      </c>
      <c r="I5258" s="18">
        <f>IFERROR(__xludf.DUMMYFUNCTION("""COMPUTED_VALUE"""),18.0)</f>
        <v>18</v>
      </c>
      <c r="J5258" s="18">
        <f>IFERROR(__xludf.DUMMYFUNCTION("""COMPUTED_VALUE"""),45.0)</f>
        <v>45</v>
      </c>
      <c r="K5258" s="18">
        <f>IFERROR(__xludf.DUMMYFUNCTION("""COMPUTED_VALUE"""),28.0)</f>
        <v>28</v>
      </c>
      <c r="L5258" s="17">
        <f>IFERROR(__xludf.DUMMYFUNCTION("""COMPUTED_VALUE"""),3.14672822E9)</f>
        <v>3146728220</v>
      </c>
      <c r="M5258" s="17" t="str">
        <f>IFERROR(__xludf.DUMMYFUNCTION("""COMPUTED_VALUE"""),"#REF!")</f>
        <v>#REF!</v>
      </c>
      <c r="N5258" s="17"/>
      <c r="O5258" s="17"/>
      <c r="P5258" s="17" t="b">
        <f>IFERROR(__xludf.DUMMYFUNCTION("""COMPUTED_VALUE"""),FALSE)</f>
        <v>0</v>
      </c>
      <c r="Q5258" s="20" t="str">
        <f>IFERROR(__xludf.DUMMYFUNCTION("""COMPUTED_VALUE"""),"")</f>
        <v/>
      </c>
      <c r="R5258" s="22" t="str">
        <f>IFERROR(__xludf.DUMMYFUNCTION("""COMPUTED_VALUE"""),"")</f>
        <v/>
      </c>
    </row>
    <row r="5259">
      <c r="A5259" s="15">
        <f>IFERROR(__xludf.DUMMYFUNCTION("""COMPUTED_VALUE"""),45153.0)</f>
        <v>45153</v>
      </c>
      <c r="B5259" s="16" t="str">
        <f>IFERROR(__xludf.DUMMYFUNCTION("""COMPUTED_VALUE"""),"Santiago Garces Restrepo")</f>
        <v>Santiago Garces Restrepo</v>
      </c>
      <c r="C5259" s="15" t="str">
        <f>IFERROR(__xludf.DUMMYFUNCTION("""COMPUTED_VALUE"""),"MEDELLÍN")</f>
        <v>MEDELLÍN</v>
      </c>
      <c r="D5259" s="15" t="str">
        <f>IFERROR(__xludf.DUMMYFUNCTION("""COMPUTED_VALUE"""),"BOGOTÁ")</f>
        <v>BOGOTÁ</v>
      </c>
      <c r="E5259" s="15" t="str">
        <f>IFERROR(__xludf.DUMMYFUNCTION("""COMPUTED_VALUE"""),"Evamazzita")</f>
        <v>Evamazzita</v>
      </c>
      <c r="F5259" s="17" t="str">
        <f>IFERROR(__xludf.DUMMYFUNCTION("""COMPUTED_VALUE"""),"Cr 27g # 35 sur 175 / Apto 728 / URBANIZACION SALTA MONTE- BARRIO LA INMACULADA")</f>
        <v>Cr 27g # 35 sur 175 / Apto 728 / URBANIZACION SALTA MONTE- BARRIO LA INMACULADA</v>
      </c>
      <c r="G5259" s="15" t="str">
        <f>IFERROR(__xludf.DUMMYFUNCTION("""COMPUTED_VALUE"""),"GISELL GARCIA GIRALDO")</f>
        <v>GISELL GARCIA GIRALDO</v>
      </c>
      <c r="H5259" s="16">
        <f>IFERROR(__xludf.DUMMYFUNCTION("""COMPUTED_VALUE"""),13948.0)</f>
        <v>13948</v>
      </c>
      <c r="I5259" s="18">
        <f>IFERROR(__xludf.DUMMYFUNCTION("""COMPUTED_VALUE"""),1.0)</f>
        <v>1</v>
      </c>
      <c r="J5259" s="18">
        <f>IFERROR(__xludf.DUMMYFUNCTION("""COMPUTED_VALUE"""),1.0)</f>
        <v>1</v>
      </c>
      <c r="K5259" s="18">
        <f>IFERROR(__xludf.DUMMYFUNCTION("""COMPUTED_VALUE"""),1.0)</f>
        <v>1</v>
      </c>
      <c r="L5259" s="17">
        <f>IFERROR(__xludf.DUMMYFUNCTION("""COMPUTED_VALUE"""),3.168576931E9)</f>
        <v>3168576931</v>
      </c>
      <c r="M5259" s="17" t="str">
        <f>IFERROR(__xludf.DUMMYFUNCTION("""COMPUTED_VALUE"""),"#REF!")</f>
        <v>#REF!</v>
      </c>
      <c r="N5259" s="17"/>
      <c r="O5259" s="17"/>
      <c r="P5259" s="17" t="b">
        <f>IFERROR(__xludf.DUMMYFUNCTION("""COMPUTED_VALUE"""),TRUE)</f>
        <v>1</v>
      </c>
      <c r="Q5259" s="20">
        <f>IFERROR(__xludf.DUMMYFUNCTION("""COMPUTED_VALUE"""),45154.65781618055)</f>
        <v>45154.65782</v>
      </c>
      <c r="R5259" s="21" t="str">
        <f>IFERROR(__xludf.DUMMYFUNCTION("""COMPUTED_VALUE"""),"https://drive.google.com/file/d/1nPTIegfKZo-cSTjX_akXTkJ-ILZbA-uC/view?usp=drivesdk")</f>
        <v>https://drive.google.com/file/d/1nPTIegfKZo-cSTjX_akXTkJ-ILZbA-uC/view?usp=drivesdk</v>
      </c>
    </row>
    <row r="5260">
      <c r="A5260" s="15">
        <f>IFERROR(__xludf.DUMMYFUNCTION("""COMPUTED_VALUE"""),45153.0)</f>
        <v>45153</v>
      </c>
      <c r="B5260" s="16" t="str">
        <f>IFERROR(__xludf.DUMMYFUNCTION("""COMPUTED_VALUE"""),"Santiago Garces Restrepo")</f>
        <v>Santiago Garces Restrepo</v>
      </c>
      <c r="C5260" s="15" t="str">
        <f>IFERROR(__xludf.DUMMYFUNCTION("""COMPUTED_VALUE"""),"MEDELLÍN")</f>
        <v>MEDELLÍN</v>
      </c>
      <c r="D5260" s="15" t="str">
        <f>IFERROR(__xludf.DUMMYFUNCTION("""COMPUTED_VALUE"""),"BOGOTÁ")</f>
        <v>BOGOTÁ</v>
      </c>
      <c r="E5260" s="15" t="str">
        <f>IFERROR(__xludf.DUMMYFUNCTION("""COMPUTED_VALUE"""),"Evamazzita")</f>
        <v>Evamazzita</v>
      </c>
      <c r="F5260" s="17" t="str">
        <f>IFERROR(__xludf.DUMMYFUNCTION("""COMPUTED_VALUE"""),"Cr 29 c # 4 sur 130 / Casa 119 / URBANIZACION LA CAMPIÑA DEL POBLADO")</f>
        <v>Cr 29 c # 4 sur 130 / Casa 119 / URBANIZACION LA CAMPIÑA DEL POBLADO</v>
      </c>
      <c r="G5260" s="15" t="str">
        <f>IFERROR(__xludf.DUMMYFUNCTION("""COMPUTED_VALUE"""),"MARCELA GIL")</f>
        <v>MARCELA GIL</v>
      </c>
      <c r="H5260" s="16">
        <f>IFERROR(__xludf.DUMMYFUNCTION("""COMPUTED_VALUE"""),13944.0)</f>
        <v>13944</v>
      </c>
      <c r="I5260" s="18">
        <f>IFERROR(__xludf.DUMMYFUNCTION("""COMPUTED_VALUE"""),1.0)</f>
        <v>1</v>
      </c>
      <c r="J5260" s="18">
        <f>IFERROR(__xludf.DUMMYFUNCTION("""COMPUTED_VALUE"""),1.0)</f>
        <v>1</v>
      </c>
      <c r="K5260" s="18">
        <f>IFERROR(__xludf.DUMMYFUNCTION("""COMPUTED_VALUE"""),1.0)</f>
        <v>1</v>
      </c>
      <c r="L5260" s="17">
        <f>IFERROR(__xludf.DUMMYFUNCTION("""COMPUTED_VALUE"""),3.04382291E9)</f>
        <v>3043822910</v>
      </c>
      <c r="M5260" s="17" t="str">
        <f>IFERROR(__xludf.DUMMYFUNCTION("""COMPUTED_VALUE"""),"#REF!")</f>
        <v>#REF!</v>
      </c>
      <c r="N5260" s="17"/>
      <c r="O5260" s="17"/>
      <c r="P5260" s="17" t="b">
        <f>IFERROR(__xludf.DUMMYFUNCTION("""COMPUTED_VALUE"""),TRUE)</f>
        <v>1</v>
      </c>
      <c r="Q5260" s="20">
        <f>IFERROR(__xludf.DUMMYFUNCTION("""COMPUTED_VALUE"""),45155.43645199074)</f>
        <v>45155.43645</v>
      </c>
      <c r="R5260" s="21" t="str">
        <f>IFERROR(__xludf.DUMMYFUNCTION("""COMPUTED_VALUE"""),"https://drive.google.com/file/d/1ONTuxAsn601ho7unkS39rhJy9TQS0ojd/view?usp=drivesdk")</f>
        <v>https://drive.google.com/file/d/1ONTuxAsn601ho7unkS39rhJy9TQS0ojd/view?usp=drivesdk</v>
      </c>
    </row>
    <row r="5261">
      <c r="A5261" s="15">
        <f>IFERROR(__xludf.DUMMYFUNCTION("""COMPUTED_VALUE"""),45153.0)</f>
        <v>45153</v>
      </c>
      <c r="B5261" s="16" t="str">
        <f>IFERROR(__xludf.DUMMYFUNCTION("""COMPUTED_VALUE"""),"Santiago Garces Restrepo")</f>
        <v>Santiago Garces Restrepo</v>
      </c>
      <c r="C5261" s="15" t="str">
        <f>IFERROR(__xludf.DUMMYFUNCTION("""COMPUTED_VALUE"""),"MEDELLÍN")</f>
        <v>MEDELLÍN</v>
      </c>
      <c r="D5261" s="15" t="str">
        <f>IFERROR(__xludf.DUMMYFUNCTION("""COMPUTED_VALUE"""),"BOGOTÁ")</f>
        <v>BOGOTÁ</v>
      </c>
      <c r="E5261" s="15" t="str">
        <f>IFERROR(__xludf.DUMMYFUNCTION("""COMPUTED_VALUE"""),"Evamazzita")</f>
        <v>Evamazzita</v>
      </c>
      <c r="F5261" s="17" t="str">
        <f>IFERROR(__xludf.DUMMYFUNCTION("""COMPUTED_VALUE"""),"Cr 46 c # 80 sur 155 / Torre 3 Apto 2418 / URBANIZACION AMONTE - LOMA PAN DE AZUCAR")</f>
        <v>Cr 46 c # 80 sur 155 / Torre 3 Apto 2418 / URBANIZACION AMONTE - LOMA PAN DE AZUCAR</v>
      </c>
      <c r="G5261" s="15" t="str">
        <f>IFERROR(__xludf.DUMMYFUNCTION("""COMPUTED_VALUE"""),"GLORIA INES GAMBOA TAMAYO")</f>
        <v>GLORIA INES GAMBOA TAMAYO</v>
      </c>
      <c r="H5261" s="16">
        <f>IFERROR(__xludf.DUMMYFUNCTION("""COMPUTED_VALUE"""),13952.0)</f>
        <v>13952</v>
      </c>
      <c r="I5261" s="18">
        <f>IFERROR(__xludf.DUMMYFUNCTION("""COMPUTED_VALUE"""),1.0)</f>
        <v>1</v>
      </c>
      <c r="J5261" s="18">
        <f>IFERROR(__xludf.DUMMYFUNCTION("""COMPUTED_VALUE"""),1.0)</f>
        <v>1</v>
      </c>
      <c r="K5261" s="18">
        <f>IFERROR(__xludf.DUMMYFUNCTION("""COMPUTED_VALUE"""),1.0)</f>
        <v>1</v>
      </c>
      <c r="L5261" s="17">
        <f>IFERROR(__xludf.DUMMYFUNCTION("""COMPUTED_VALUE"""),3.133796035E9)</f>
        <v>3133796035</v>
      </c>
      <c r="M5261" s="17" t="str">
        <f>IFERROR(__xludf.DUMMYFUNCTION("""COMPUTED_VALUE"""),"#REF!")</f>
        <v>#REF!</v>
      </c>
      <c r="N5261" s="17"/>
      <c r="O5261" s="17"/>
      <c r="P5261" s="17" t="b">
        <f>IFERROR(__xludf.DUMMYFUNCTION("""COMPUTED_VALUE"""),TRUE)</f>
        <v>1</v>
      </c>
      <c r="Q5261" s="20">
        <f>IFERROR(__xludf.DUMMYFUNCTION("""COMPUTED_VALUE"""),45155.446890949075)</f>
        <v>45155.44689</v>
      </c>
      <c r="R5261" s="21" t="str">
        <f>IFERROR(__xludf.DUMMYFUNCTION("""COMPUTED_VALUE"""),"https://drive.google.com/file/d/1qtN8vhcSO12CKE0J0mTERyViShCFKCiP/view?usp=drivesdk")</f>
        <v>https://drive.google.com/file/d/1qtN8vhcSO12CKE0J0mTERyViShCFKCiP/view?usp=drivesdk</v>
      </c>
    </row>
    <row r="5262">
      <c r="A5262" s="15">
        <f>IFERROR(__xludf.DUMMYFUNCTION("""COMPUTED_VALUE"""),45153.0)</f>
        <v>45153</v>
      </c>
      <c r="B5262" s="16" t="str">
        <f>IFERROR(__xludf.DUMMYFUNCTION("""COMPUTED_VALUE"""),"Santiago Garces Restrepo")</f>
        <v>Santiago Garces Restrepo</v>
      </c>
      <c r="C5262" s="15" t="str">
        <f>IFERROR(__xludf.DUMMYFUNCTION("""COMPUTED_VALUE"""),"MEDELLÍN")</f>
        <v>MEDELLÍN</v>
      </c>
      <c r="D5262" s="15" t="str">
        <f>IFERROR(__xludf.DUMMYFUNCTION("""COMPUTED_VALUE"""),"BOGOTÁ")</f>
        <v>BOGOTÁ</v>
      </c>
      <c r="E5262" s="15" t="str">
        <f>IFERROR(__xludf.DUMMYFUNCTION("""COMPUTED_VALUE"""),"Evamazzita")</f>
        <v>Evamazzita</v>
      </c>
      <c r="F5262" s="17" t="str">
        <f>IFERROR(__xludf.DUMMYFUNCTION("""COMPUTED_VALUE"""),"Cr 47 b #17 a sur 35 / Apto 409 / EDIFICIO PORTONES DE SANTA MARIA")</f>
        <v>Cr 47 b #17 a sur 35 / Apto 409 / EDIFICIO PORTONES DE SANTA MARIA</v>
      </c>
      <c r="G5262" s="15" t="str">
        <f>IFERROR(__xludf.DUMMYFUNCTION("""COMPUTED_VALUE"""),"JULIANA GARCIA")</f>
        <v>JULIANA GARCIA</v>
      </c>
      <c r="H5262" s="16">
        <f>IFERROR(__xludf.DUMMYFUNCTION("""COMPUTED_VALUE"""),13945.0)</f>
        <v>13945</v>
      </c>
      <c r="I5262" s="18">
        <f>IFERROR(__xludf.DUMMYFUNCTION("""COMPUTED_VALUE"""),1.0)</f>
        <v>1</v>
      </c>
      <c r="J5262" s="18">
        <f>IFERROR(__xludf.DUMMYFUNCTION("""COMPUTED_VALUE"""),1.0)</f>
        <v>1</v>
      </c>
      <c r="K5262" s="18">
        <f>IFERROR(__xludf.DUMMYFUNCTION("""COMPUTED_VALUE"""),1.0)</f>
        <v>1</v>
      </c>
      <c r="L5262" s="17">
        <f>IFERROR(__xludf.DUMMYFUNCTION("""COMPUTED_VALUE"""),3.014017541E9)</f>
        <v>3014017541</v>
      </c>
      <c r="M5262" s="17" t="str">
        <f>IFERROR(__xludf.DUMMYFUNCTION("""COMPUTED_VALUE"""),"#REF!")</f>
        <v>#REF!</v>
      </c>
      <c r="N5262" s="17"/>
      <c r="O5262" s="17"/>
      <c r="P5262" s="17" t="b">
        <f>IFERROR(__xludf.DUMMYFUNCTION("""COMPUTED_VALUE"""),FALSE)</f>
        <v>0</v>
      </c>
      <c r="Q5262" s="20" t="str">
        <f>IFERROR(__xludf.DUMMYFUNCTION("""COMPUTED_VALUE"""),"")</f>
        <v/>
      </c>
      <c r="R5262" s="21" t="str">
        <f>IFERROR(__xludf.DUMMYFUNCTION("""COMPUTED_VALUE"""),"https://drive.google.com/file/d/1dToDKmBowSp6RBX9oBB7FdJqJoftszFh/view?usp=drivesdk")</f>
        <v>https://drive.google.com/file/d/1dToDKmBowSp6RBX9oBB7FdJqJoftszFh/view?usp=drivesdk</v>
      </c>
    </row>
    <row r="5263">
      <c r="A5263" s="15">
        <f>IFERROR(__xludf.DUMMYFUNCTION("""COMPUTED_VALUE"""),45153.0)</f>
        <v>45153</v>
      </c>
      <c r="B5263" s="16" t="str">
        <f>IFERROR(__xludf.DUMMYFUNCTION("""COMPUTED_VALUE"""),"Santiago Garces Restrepo")</f>
        <v>Santiago Garces Restrepo</v>
      </c>
      <c r="C5263" s="15" t="str">
        <f>IFERROR(__xludf.DUMMYFUNCTION("""COMPUTED_VALUE"""),"MEDELLÍN")</f>
        <v>MEDELLÍN</v>
      </c>
      <c r="D5263" s="15" t="str">
        <f>IFERROR(__xludf.DUMMYFUNCTION("""COMPUTED_VALUE"""),"BOGOTÁ")</f>
        <v>BOGOTÁ</v>
      </c>
      <c r="E5263" s="15" t="str">
        <f>IFERROR(__xludf.DUMMYFUNCTION("""COMPUTED_VALUE"""),"Evamazzita")</f>
        <v>Evamazzita</v>
      </c>
      <c r="F5263" s="17" t="str">
        <f>IFERROR(__xludf.DUMMYFUNCTION("""COMPUTED_VALUE"""),"Cr 58 # 60 14  / Apto 302 / Barrio Buenos Aires")</f>
        <v>Cr 58 # 60 14  / Apto 302 / Barrio Buenos Aires</v>
      </c>
      <c r="G5263" s="15" t="str">
        <f>IFERROR(__xludf.DUMMYFUNCTION("""COMPUTED_VALUE"""),"ALEJANDRA MARCELA PEREZ")</f>
        <v>ALEJANDRA MARCELA PEREZ</v>
      </c>
      <c r="H5263" s="16">
        <f>IFERROR(__xludf.DUMMYFUNCTION("""COMPUTED_VALUE"""),13947.0)</f>
        <v>13947</v>
      </c>
      <c r="I5263" s="18">
        <f>IFERROR(__xludf.DUMMYFUNCTION("""COMPUTED_VALUE"""),1.0)</f>
        <v>1</v>
      </c>
      <c r="J5263" s="18">
        <f>IFERROR(__xludf.DUMMYFUNCTION("""COMPUTED_VALUE"""),1.0)</f>
        <v>1</v>
      </c>
      <c r="K5263" s="18">
        <f>IFERROR(__xludf.DUMMYFUNCTION("""COMPUTED_VALUE"""),1.0)</f>
        <v>1</v>
      </c>
      <c r="L5263" s="17">
        <f>IFERROR(__xludf.DUMMYFUNCTION("""COMPUTED_VALUE"""),3.136858024E9)</f>
        <v>3136858024</v>
      </c>
      <c r="M5263" s="17" t="str">
        <f>IFERROR(__xludf.DUMMYFUNCTION("""COMPUTED_VALUE"""),"#REF!")</f>
        <v>#REF!</v>
      </c>
      <c r="N5263" s="17"/>
      <c r="O5263" s="17"/>
      <c r="P5263" s="17" t="b">
        <f>IFERROR(__xludf.DUMMYFUNCTION("""COMPUTED_VALUE"""),TRUE)</f>
        <v>1</v>
      </c>
      <c r="Q5263" s="20">
        <f>IFERROR(__xludf.DUMMYFUNCTION("""COMPUTED_VALUE"""),45155.44809334491)</f>
        <v>45155.44809</v>
      </c>
      <c r="R5263" s="21" t="str">
        <f>IFERROR(__xludf.DUMMYFUNCTION("""COMPUTED_VALUE"""),"https://drive.google.com/file/d/1Cw0MXwO_iywCinYbXAa_8Ts7UYVisD2w/view?usp=drivesdk")</f>
        <v>https://drive.google.com/file/d/1Cw0MXwO_iywCinYbXAa_8Ts7UYVisD2w/view?usp=drivesdk</v>
      </c>
    </row>
    <row r="5264">
      <c r="A5264" s="15">
        <f>IFERROR(__xludf.DUMMYFUNCTION("""COMPUTED_VALUE"""),45153.0)</f>
        <v>45153</v>
      </c>
      <c r="B5264" s="16" t="str">
        <f>IFERROR(__xludf.DUMMYFUNCTION("""COMPUTED_VALUE"""),"Santiago Garces Restrepo")</f>
        <v>Santiago Garces Restrepo</v>
      </c>
      <c r="C5264" s="15" t="str">
        <f>IFERROR(__xludf.DUMMYFUNCTION("""COMPUTED_VALUE"""),"MEDELLÍN")</f>
        <v>MEDELLÍN</v>
      </c>
      <c r="D5264" s="15" t="str">
        <f>IFERROR(__xludf.DUMMYFUNCTION("""COMPUTED_VALUE"""),"BOGOTÁ")</f>
        <v>BOGOTÁ</v>
      </c>
      <c r="E5264" s="15" t="str">
        <f>IFERROR(__xludf.DUMMYFUNCTION("""COMPUTED_VALUE"""),"Evamazzita")</f>
        <v>Evamazzita</v>
      </c>
      <c r="F5264" s="17" t="str">
        <f>IFERROR(__xludf.DUMMYFUNCTION("""COMPUTED_VALUE"""),"Cr 76 # 53 89 / APTO 1303 / Urb. PARQUE DE LOS COLORES - BARRIO LOS COLORES")</f>
        <v>Cr 76 # 53 89 / APTO 1303 / Urb. PARQUE DE LOS COLORES - BARRIO LOS COLORES</v>
      </c>
      <c r="G5264" s="15" t="str">
        <f>IFERROR(__xludf.DUMMYFUNCTION("""COMPUTED_VALUE"""),"MARCELA VAHOS")</f>
        <v>MARCELA VAHOS</v>
      </c>
      <c r="H5264" s="16">
        <f>IFERROR(__xludf.DUMMYFUNCTION("""COMPUTED_VALUE"""),13946.0)</f>
        <v>13946</v>
      </c>
      <c r="I5264" s="18">
        <f>IFERROR(__xludf.DUMMYFUNCTION("""COMPUTED_VALUE"""),1.0)</f>
        <v>1</v>
      </c>
      <c r="J5264" s="18">
        <f>IFERROR(__xludf.DUMMYFUNCTION("""COMPUTED_VALUE"""),1.0)</f>
        <v>1</v>
      </c>
      <c r="K5264" s="18">
        <f>IFERROR(__xludf.DUMMYFUNCTION("""COMPUTED_VALUE"""),1.0)</f>
        <v>1</v>
      </c>
      <c r="L5264" s="17">
        <f>IFERROR(__xludf.DUMMYFUNCTION("""COMPUTED_VALUE"""),3.147921305E9)</f>
        <v>3147921305</v>
      </c>
      <c r="M5264" s="17" t="str">
        <f>IFERROR(__xludf.DUMMYFUNCTION("""COMPUTED_VALUE"""),"#REF!")</f>
        <v>#REF!</v>
      </c>
      <c r="N5264" s="17"/>
      <c r="O5264" s="17"/>
      <c r="P5264" s="17" t="b">
        <f>IFERROR(__xludf.DUMMYFUNCTION("""COMPUTED_VALUE"""),TRUE)</f>
        <v>1</v>
      </c>
      <c r="Q5264" s="20">
        <f>IFERROR(__xludf.DUMMYFUNCTION("""COMPUTED_VALUE"""),45154.65781618055)</f>
        <v>45154.65782</v>
      </c>
      <c r="R5264" s="21" t="str">
        <f>IFERROR(__xludf.DUMMYFUNCTION("""COMPUTED_VALUE"""),"https://drive.google.com/file/d/1nC4YnDTR06UAlJzALWm-bR_IZZ9__h3V/view?usp=drivesdk")</f>
        <v>https://drive.google.com/file/d/1nC4YnDTR06UAlJzALWm-bR_IZZ9__h3V/view?usp=drivesdk</v>
      </c>
    </row>
    <row r="5265">
      <c r="A5265" s="15">
        <f>IFERROR(__xludf.DUMMYFUNCTION("""COMPUTED_VALUE"""),45153.0)</f>
        <v>45153</v>
      </c>
      <c r="B5265" s="16" t="str">
        <f>IFERROR(__xludf.DUMMYFUNCTION("""COMPUTED_VALUE"""),"Santiago Garces Restrepo")</f>
        <v>Santiago Garces Restrepo</v>
      </c>
      <c r="C5265" s="15" t="str">
        <f>IFERROR(__xludf.DUMMYFUNCTION("""COMPUTED_VALUE"""),"MEDELLÍN")</f>
        <v>MEDELLÍN</v>
      </c>
      <c r="D5265" s="15" t="str">
        <f>IFERROR(__xludf.DUMMYFUNCTION("""COMPUTED_VALUE"""),"BOGOTÁ")</f>
        <v>BOGOTÁ</v>
      </c>
      <c r="E5265" s="15" t="str">
        <f>IFERROR(__xludf.DUMMYFUNCTION("""COMPUTED_VALUE"""),"Evamazzita")</f>
        <v>Evamazzita</v>
      </c>
      <c r="F5265" s="17" t="str">
        <f>IFERROR(__xludf.DUMMYFUNCTION("""COMPUTED_VALUE"""),"Cr 81 b # 54 84  / Ap 503 / CONJUNTO IBERIA - BARRIO CALAZANS")</f>
        <v>Cr 81 b # 54 84  / Ap 503 / CONJUNTO IBERIA - BARRIO CALAZANS</v>
      </c>
      <c r="G5265" s="15" t="str">
        <f>IFERROR(__xludf.DUMMYFUNCTION("""COMPUTED_VALUE"""),"JAIZULLY SALAZAR LOZANO")</f>
        <v>JAIZULLY SALAZAR LOZANO</v>
      </c>
      <c r="H5265" s="16">
        <f>IFERROR(__xludf.DUMMYFUNCTION("""COMPUTED_VALUE"""),13950.0)</f>
        <v>13950</v>
      </c>
      <c r="I5265" s="18">
        <f>IFERROR(__xludf.DUMMYFUNCTION("""COMPUTED_VALUE"""),1.0)</f>
        <v>1</v>
      </c>
      <c r="J5265" s="18">
        <f>IFERROR(__xludf.DUMMYFUNCTION("""COMPUTED_VALUE"""),1.0)</f>
        <v>1</v>
      </c>
      <c r="K5265" s="18">
        <f>IFERROR(__xludf.DUMMYFUNCTION("""COMPUTED_VALUE"""),1.0)</f>
        <v>1</v>
      </c>
      <c r="L5265" s="17">
        <f>IFERROR(__xludf.DUMMYFUNCTION("""COMPUTED_VALUE"""),3.146191565E9)</f>
        <v>3146191565</v>
      </c>
      <c r="M5265" s="17" t="str">
        <f>IFERROR(__xludf.DUMMYFUNCTION("""COMPUTED_VALUE"""),"#REF!")</f>
        <v>#REF!</v>
      </c>
      <c r="N5265" s="17"/>
      <c r="O5265" s="17"/>
      <c r="P5265" s="17" t="b">
        <f>IFERROR(__xludf.DUMMYFUNCTION("""COMPUTED_VALUE"""),TRUE)</f>
        <v>1</v>
      </c>
      <c r="Q5265" s="20">
        <f>IFERROR(__xludf.DUMMYFUNCTION("""COMPUTED_VALUE"""),45155.44858292824)</f>
        <v>45155.44858</v>
      </c>
      <c r="R5265" s="21" t="str">
        <f>IFERROR(__xludf.DUMMYFUNCTION("""COMPUTED_VALUE"""),"https://drive.google.com/file/d/1uO6RGwp0VrIXJuzGA5ZdvC5SVQLy67jy/view?usp=drivesdk")</f>
        <v>https://drive.google.com/file/d/1uO6RGwp0VrIXJuzGA5ZdvC5SVQLy67jy/view?usp=drivesdk</v>
      </c>
    </row>
    <row r="5266">
      <c r="A5266" s="15">
        <f>IFERROR(__xludf.DUMMYFUNCTION("""COMPUTED_VALUE"""),45153.0)</f>
        <v>45153</v>
      </c>
      <c r="B5266" s="16" t="str">
        <f>IFERROR(__xludf.DUMMYFUNCTION("""COMPUTED_VALUE"""),"Santiago Garces Restrepo")</f>
        <v>Santiago Garces Restrepo</v>
      </c>
      <c r="C5266" s="15" t="str">
        <f>IFERROR(__xludf.DUMMYFUNCTION("""COMPUTED_VALUE"""),"MEDELLÍN")</f>
        <v>MEDELLÍN</v>
      </c>
      <c r="D5266" s="15" t="str">
        <f>IFERROR(__xludf.DUMMYFUNCTION("""COMPUTED_VALUE"""),"BOGOTÁ")</f>
        <v>BOGOTÁ</v>
      </c>
      <c r="E5266" s="15" t="str">
        <f>IFERROR(__xludf.DUMMYFUNCTION("""COMPUTED_VALUE"""),"Evamazzita")</f>
        <v>Evamazzita</v>
      </c>
      <c r="F5266" s="17" t="str">
        <f>IFERROR(__xludf.DUMMYFUNCTION("""COMPUTED_VALUE"""),"Tv 53 a # 65 70  / Apto 2102 / URB MADRID APARTAMENTOS - CARLOS E RESTREPO")</f>
        <v>Tv 53 a # 65 70  / Apto 2102 / URB MADRID APARTAMENTOS - CARLOS E RESTREPO</v>
      </c>
      <c r="G5266" s="15" t="str">
        <f>IFERROR(__xludf.DUMMYFUNCTION("""COMPUTED_VALUE"""),"MARIANA MOLINA GIRALDO")</f>
        <v>MARIANA MOLINA GIRALDO</v>
      </c>
      <c r="H5266" s="16">
        <f>IFERROR(__xludf.DUMMYFUNCTION("""COMPUTED_VALUE"""),13951.0)</f>
        <v>13951</v>
      </c>
      <c r="I5266" s="18">
        <f>IFERROR(__xludf.DUMMYFUNCTION("""COMPUTED_VALUE"""),1.0)</f>
        <v>1</v>
      </c>
      <c r="J5266" s="18">
        <f>IFERROR(__xludf.DUMMYFUNCTION("""COMPUTED_VALUE"""),1.0)</f>
        <v>1</v>
      </c>
      <c r="K5266" s="18">
        <f>IFERROR(__xludf.DUMMYFUNCTION("""COMPUTED_VALUE"""),1.0)</f>
        <v>1</v>
      </c>
      <c r="L5266" s="17">
        <f>IFERROR(__xludf.DUMMYFUNCTION("""COMPUTED_VALUE"""),3.127822656E9)</f>
        <v>3127822656</v>
      </c>
      <c r="M5266" s="17" t="str">
        <f>IFERROR(__xludf.DUMMYFUNCTION("""COMPUTED_VALUE"""),"#REF!")</f>
        <v>#REF!</v>
      </c>
      <c r="N5266" s="17"/>
      <c r="O5266" s="17"/>
      <c r="P5266" s="17" t="b">
        <f>IFERROR(__xludf.DUMMYFUNCTION("""COMPUTED_VALUE"""),TRUE)</f>
        <v>1</v>
      </c>
      <c r="Q5266" s="20">
        <f>IFERROR(__xludf.DUMMYFUNCTION("""COMPUTED_VALUE"""),45155.44917328704)</f>
        <v>45155.44917</v>
      </c>
      <c r="R5266" s="21" t="str">
        <f>IFERROR(__xludf.DUMMYFUNCTION("""COMPUTED_VALUE"""),"https://drive.google.com/file/d/1UgTxhqv9J_WTVDlDx7GhRtuNSMcaCcYb/view?usp=drivesdk")</f>
        <v>https://drive.google.com/file/d/1UgTxhqv9J_WTVDlDx7GhRtuNSMcaCcYb/view?usp=drivesdk</v>
      </c>
    </row>
    <row r="5267">
      <c r="A5267" s="15">
        <f>IFERROR(__xludf.DUMMYFUNCTION("""COMPUTED_VALUE"""),45153.0)</f>
        <v>45153</v>
      </c>
      <c r="B5267" s="16" t="str">
        <f>IFERROR(__xludf.DUMMYFUNCTION("""COMPUTED_VALUE"""),"Santiago Garces Restrepo")</f>
        <v>Santiago Garces Restrepo</v>
      </c>
      <c r="C5267" s="15" t="str">
        <f>IFERROR(__xludf.DUMMYFUNCTION("""COMPUTED_VALUE"""),"MEDELLÍN")</f>
        <v>MEDELLÍN</v>
      </c>
      <c r="D5267" s="15" t="str">
        <f>IFERROR(__xludf.DUMMYFUNCTION("""COMPUTED_VALUE"""),"BOGOTÁ")</f>
        <v>BOGOTÁ</v>
      </c>
      <c r="E5267" s="15" t="str">
        <f>IFERROR(__xludf.DUMMYFUNCTION("""COMPUTED_VALUE"""),"Loomifoods")</f>
        <v>Loomifoods</v>
      </c>
      <c r="F5267" s="17" t="str">
        <f>IFERROR(__xludf.DUMMYFUNCTION("""COMPUTED_VALUE"""),"Cra 15 BA no 34d - 44 / Interior 201 / medellin")</f>
        <v>Cra 15 BA no 34d - 44 / Interior 201 / medellin</v>
      </c>
      <c r="G5267" s="15" t="str">
        <f>IFERROR(__xludf.DUMMYFUNCTION("""COMPUTED_VALUE"""),"Daniela Bedoya")</f>
        <v>Daniela Bedoya</v>
      </c>
      <c r="H5267" s="16">
        <f>IFERROR(__xludf.DUMMYFUNCTION("""COMPUTED_VALUE"""),13955.0)</f>
        <v>13955</v>
      </c>
      <c r="I5267" s="18">
        <f>IFERROR(__xludf.DUMMYFUNCTION("""COMPUTED_VALUE"""),19.0)</f>
        <v>19</v>
      </c>
      <c r="J5267" s="18">
        <f>IFERROR(__xludf.DUMMYFUNCTION("""COMPUTED_VALUE"""),5.0)</f>
        <v>5</v>
      </c>
      <c r="K5267" s="18">
        <f>IFERROR(__xludf.DUMMYFUNCTION("""COMPUTED_VALUE"""),16.0)</f>
        <v>16</v>
      </c>
      <c r="L5267" s="17">
        <f>IFERROR(__xludf.DUMMYFUNCTION("""COMPUTED_VALUE"""),3.14672822E9)</f>
        <v>3146728220</v>
      </c>
      <c r="M5267" s="17" t="str">
        <f>IFERROR(__xludf.DUMMYFUNCTION("""COMPUTED_VALUE"""),"#REF!")</f>
        <v>#REF!</v>
      </c>
      <c r="N5267" s="17"/>
      <c r="O5267" s="17"/>
      <c r="P5267" s="17" t="b">
        <f>IFERROR(__xludf.DUMMYFUNCTION("""COMPUTED_VALUE"""),FALSE)</f>
        <v>0</v>
      </c>
      <c r="Q5267" s="20" t="str">
        <f>IFERROR(__xludf.DUMMYFUNCTION("""COMPUTED_VALUE"""),"")</f>
        <v/>
      </c>
      <c r="R5267" s="22" t="str">
        <f>IFERROR(__xludf.DUMMYFUNCTION("""COMPUTED_VALUE"""),"")</f>
        <v/>
      </c>
    </row>
    <row r="5268">
      <c r="A5268" s="15">
        <f>IFERROR(__xludf.DUMMYFUNCTION("""COMPUTED_VALUE"""),45153.0)</f>
        <v>45153</v>
      </c>
      <c r="B5268" s="16" t="str">
        <f>IFERROR(__xludf.DUMMYFUNCTION("""COMPUTED_VALUE"""),"Santiago Garces Restrepo")</f>
        <v>Santiago Garces Restrepo</v>
      </c>
      <c r="C5268" s="15" t="str">
        <f>IFERROR(__xludf.DUMMYFUNCTION("""COMPUTED_VALUE"""),"MEDELLÍN")</f>
        <v>MEDELLÍN</v>
      </c>
      <c r="D5268" s="15" t="str">
        <f>IFERROR(__xludf.DUMMYFUNCTION("""COMPUTED_VALUE"""),"BOGOTÁ")</f>
        <v>BOGOTÁ</v>
      </c>
      <c r="E5268" s="15" t="str">
        <f>IFERROR(__xludf.DUMMYFUNCTION("""COMPUTED_VALUE"""),"Lunchy Kids")</f>
        <v>Lunchy Kids</v>
      </c>
      <c r="F5268" s="17" t="str">
        <f>IFERROR(__xludf.DUMMYFUNCTION("""COMPUTED_VALUE"""),"Carrera 47 número 27 sur 59.  / Unidad Jardines de Otraparte 2. Apartamento 606.   / Barrio Jardines. Envigado-Antioquia")</f>
        <v>Carrera 47 número 27 sur 59.  / Unidad Jardines de Otraparte 2. Apartamento 606.   / Barrio Jardines. Envigado-Antioquia</v>
      </c>
      <c r="G5268" s="15" t="str">
        <f>IFERROR(__xludf.DUMMYFUNCTION("""COMPUTED_VALUE"""),"Natalia Goez")</f>
        <v>Natalia Goez</v>
      </c>
      <c r="H5268" s="16">
        <f>IFERROR(__xludf.DUMMYFUNCTION("""COMPUTED_VALUE"""),13994.0)</f>
        <v>13994</v>
      </c>
      <c r="I5268" s="18">
        <f>IFERROR(__xludf.DUMMYFUNCTION("""COMPUTED_VALUE"""),17.0)</f>
        <v>17</v>
      </c>
      <c r="J5268" s="18">
        <f>IFERROR(__xludf.DUMMYFUNCTION("""COMPUTED_VALUE"""),25.0)</f>
        <v>25</v>
      </c>
      <c r="K5268" s="18">
        <f>IFERROR(__xludf.DUMMYFUNCTION("""COMPUTED_VALUE"""),6.0)</f>
        <v>6</v>
      </c>
      <c r="L5268" s="17">
        <f>IFERROR(__xludf.DUMMYFUNCTION("""COMPUTED_VALUE"""),3.004638651E9)</f>
        <v>3004638651</v>
      </c>
      <c r="M5268" s="17" t="str">
        <f>IFERROR(__xludf.DUMMYFUNCTION("""COMPUTED_VALUE"""),"#REF!")</f>
        <v>#REF!</v>
      </c>
      <c r="N5268" s="17"/>
      <c r="O5268" s="17"/>
      <c r="P5268" s="17" t="b">
        <f>IFERROR(__xludf.DUMMYFUNCTION("""COMPUTED_VALUE"""),FALSE)</f>
        <v>0</v>
      </c>
      <c r="Q5268" s="20" t="str">
        <f>IFERROR(__xludf.DUMMYFUNCTION("""COMPUTED_VALUE"""),"")</f>
        <v/>
      </c>
      <c r="R5268" s="21" t="str">
        <f>IFERROR(__xludf.DUMMYFUNCTION("""COMPUTED_VALUE"""),"https://drive.google.com/file/d/124V5eqJTUYz-fxYqdvHuXCoC1jWEbjDs/view?usp=drivesdk")</f>
        <v>https://drive.google.com/file/d/124V5eqJTUYz-fxYqdvHuXCoC1jWEbjDs/view?usp=drivesdk</v>
      </c>
    </row>
    <row r="5269">
      <c r="A5269" s="15">
        <f>IFERROR(__xludf.DUMMYFUNCTION("""COMPUTED_VALUE"""),45153.0)</f>
        <v>45153</v>
      </c>
      <c r="B5269" s="16" t="str">
        <f>IFERROR(__xludf.DUMMYFUNCTION("""COMPUTED_VALUE"""),"Santiago Garces Restrepo")</f>
        <v>Santiago Garces Restrepo</v>
      </c>
      <c r="C5269" s="15" t="str">
        <f>IFERROR(__xludf.DUMMYFUNCTION("""COMPUTED_VALUE"""),"MEDELLÍN")</f>
        <v>MEDELLÍN</v>
      </c>
      <c r="D5269" s="15" t="str">
        <f>IFERROR(__xludf.DUMMYFUNCTION("""COMPUTED_VALUE"""),"BOGOTÁ")</f>
        <v>BOGOTÁ</v>
      </c>
      <c r="E5269" s="15" t="str">
        <f>IFERROR(__xludf.DUMMYFUNCTION("""COMPUTED_VALUE"""),"MAI ALIMENTOS S.A.S")</f>
        <v>MAI ALIMENTOS S.A.S</v>
      </c>
      <c r="F5269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5269" s="15" t="str">
        <f>IFERROR(__xludf.DUMMYFUNCTION("""COMPUTED_VALUE"""),"Novaventas")</f>
        <v>Novaventas</v>
      </c>
      <c r="H5269" s="16">
        <f>IFERROR(__xludf.DUMMYFUNCTION("""COMPUTED_VALUE"""),13915.0)</f>
        <v>13915</v>
      </c>
      <c r="I5269" s="18">
        <f>IFERROR(__xludf.DUMMYFUNCTION("""COMPUTED_VALUE"""),35.0)</f>
        <v>35</v>
      </c>
      <c r="J5269" s="18">
        <f>IFERROR(__xludf.DUMMYFUNCTION("""COMPUTED_VALUE"""),17.0)</f>
        <v>17</v>
      </c>
      <c r="K5269" s="18">
        <f>IFERROR(__xludf.DUMMYFUNCTION("""COMPUTED_VALUE"""),13.0)</f>
        <v>13</v>
      </c>
      <c r="L5269" s="17">
        <f>IFERROR(__xludf.DUMMYFUNCTION("""COMPUTED_VALUE"""),3.187351593E9)</f>
        <v>3187351593</v>
      </c>
      <c r="M5269" s="17" t="str">
        <f>IFERROR(__xludf.DUMMYFUNCTION("""COMPUTED_VALUE"""),"#REF!")</f>
        <v>#REF!</v>
      </c>
      <c r="N5269" s="17"/>
      <c r="O5269" s="17"/>
      <c r="P5269" s="17" t="b">
        <f>IFERROR(__xludf.DUMMYFUNCTION("""COMPUTED_VALUE"""),TRUE)</f>
        <v>1</v>
      </c>
      <c r="Q5269" s="20">
        <f>IFERROR(__xludf.DUMMYFUNCTION("""COMPUTED_VALUE"""),45155.449507418976)</f>
        <v>45155.44951</v>
      </c>
      <c r="R5269" s="22" t="str">
        <f>IFERROR(__xludf.DUMMYFUNCTION("""COMPUTED_VALUE"""),"")</f>
        <v/>
      </c>
    </row>
    <row r="5270">
      <c r="A5270" s="15">
        <f>IFERROR(__xludf.DUMMYFUNCTION("""COMPUTED_VALUE"""),45153.0)</f>
        <v>45153</v>
      </c>
      <c r="B5270" s="16" t="str">
        <f>IFERROR(__xludf.DUMMYFUNCTION("""COMPUTED_VALUE"""),"Santiago Garces Restrepo")</f>
        <v>Santiago Garces Restrepo</v>
      </c>
      <c r="C5270" s="15" t="str">
        <f>IFERROR(__xludf.DUMMYFUNCTION("""COMPUTED_VALUE"""),"MEDELLÍN")</f>
        <v>MEDELLÍN</v>
      </c>
      <c r="D5270" s="15" t="str">
        <f>IFERROR(__xludf.DUMMYFUNCTION("""COMPUTED_VALUE"""),"BOGOTÁ")</f>
        <v>BOGOTÁ</v>
      </c>
      <c r="E5270" s="15" t="str">
        <f>IFERROR(__xludf.DUMMYFUNCTION("""COMPUTED_VALUE"""),"Pan de Waffle")</f>
        <v>Pan de Waffle</v>
      </c>
      <c r="F5270" s="17" t="str">
        <f>IFERROR(__xludf.DUMMYFUNCTION("""COMPUTED_VALUE"""),"Carrera 94 # 48a - 11 Casa Santa Lucia 2 pisos / Carrera 94 # 48a - 11 Casa Santa Lucia 2 pisos / Carrera 94 # 48a - 11 Casa Santa Lucia 2 pisos")</f>
        <v>Carrera 94 # 48a - 11 Casa Santa Lucia 2 pisos / Carrera 94 # 48a - 11 Casa Santa Lucia 2 pisos / Carrera 94 # 48a - 11 Casa Santa Lucia 2 pisos</v>
      </c>
      <c r="G5270" s="15" t="str">
        <f>IFERROR(__xludf.DUMMYFUNCTION("""COMPUTED_VALUE"""),"CAMILOCARDONA")</f>
        <v>CAMILOCARDONA</v>
      </c>
      <c r="H5270" s="16">
        <f>IFERROR(__xludf.DUMMYFUNCTION("""COMPUTED_VALUE"""),13977.0)</f>
        <v>13977</v>
      </c>
      <c r="I5270" s="18">
        <f>IFERROR(__xludf.DUMMYFUNCTION("""COMPUTED_VALUE"""),40.0)</f>
        <v>40</v>
      </c>
      <c r="J5270" s="18">
        <f>IFERROR(__xludf.DUMMYFUNCTION("""COMPUTED_VALUE"""),40.0)</f>
        <v>40</v>
      </c>
      <c r="K5270" s="18">
        <f>IFERROR(__xludf.DUMMYFUNCTION("""COMPUTED_VALUE"""),30.0)</f>
        <v>30</v>
      </c>
      <c r="L5270" s="17">
        <f>IFERROR(__xludf.DUMMYFUNCTION("""COMPUTED_VALUE"""),3.045749098E9)</f>
        <v>3045749098</v>
      </c>
      <c r="M5270" s="17" t="str">
        <f>IFERROR(__xludf.DUMMYFUNCTION("""COMPUTED_VALUE"""),"#REF!")</f>
        <v>#REF!</v>
      </c>
      <c r="N5270" s="17"/>
      <c r="O5270" s="17"/>
      <c r="P5270" s="17" t="b">
        <f>IFERROR(__xludf.DUMMYFUNCTION("""COMPUTED_VALUE"""),TRUE)</f>
        <v>1</v>
      </c>
      <c r="Q5270" s="20">
        <f>IFERROR(__xludf.DUMMYFUNCTION("""COMPUTED_VALUE"""),45155.449850289355)</f>
        <v>45155.44985</v>
      </c>
      <c r="R5270" s="21" t="str">
        <f>IFERROR(__xludf.DUMMYFUNCTION("""COMPUTED_VALUE"""),"https://drive.google.com/file/d/1oSZXvi6J3fYZVa4DiGq1AC9TtNJlhi-A/view?usp=drivesdk")</f>
        <v>https://drive.google.com/file/d/1oSZXvi6J3fYZVa4DiGq1AC9TtNJlhi-A/view?usp=drivesdk</v>
      </c>
    </row>
    <row r="5271">
      <c r="A5271" s="17" t="str">
        <f>IFERROR(__xludf.DUMMYFUNCTION("""COMPUTED_VALUE"""),"")</f>
        <v/>
      </c>
      <c r="B5271" s="17" t="str">
        <f>IFERROR(__xludf.DUMMYFUNCTION("""COMPUTED_VALUE"""),"")</f>
        <v/>
      </c>
      <c r="C5271" s="17" t="str">
        <f>IFERROR(__xludf.DUMMYFUNCTION("""COMPUTED_VALUE"""),"")</f>
        <v/>
      </c>
      <c r="D5271" s="17" t="str">
        <f>IFERROR(__xludf.DUMMYFUNCTION("""COMPUTED_VALUE"""),"")</f>
        <v/>
      </c>
      <c r="E5271" s="17" t="str">
        <f>IFERROR(__xludf.DUMMYFUNCTION("""COMPUTED_VALUE"""),"")</f>
        <v/>
      </c>
      <c r="F5271" s="17" t="str">
        <f>IFERROR(__xludf.DUMMYFUNCTION("""COMPUTED_VALUE"""),"")</f>
        <v/>
      </c>
      <c r="G5271" s="17" t="str">
        <f>IFERROR(__xludf.DUMMYFUNCTION("""COMPUTED_VALUE"""),"")</f>
        <v/>
      </c>
      <c r="H5271" s="17" t="str">
        <f>IFERROR(__xludf.DUMMYFUNCTION("""COMPUTED_VALUE"""),"")</f>
        <v/>
      </c>
      <c r="I5271" s="17" t="str">
        <f>IFERROR(__xludf.DUMMYFUNCTION("""COMPUTED_VALUE"""),"")</f>
        <v/>
      </c>
      <c r="J5271" s="17" t="str">
        <f>IFERROR(__xludf.DUMMYFUNCTION("""COMPUTED_VALUE"""),"")</f>
        <v/>
      </c>
      <c r="K5271" s="17" t="str">
        <f>IFERROR(__xludf.DUMMYFUNCTION("""COMPUTED_VALUE"""),"")</f>
        <v/>
      </c>
      <c r="L5271" s="17" t="str">
        <f>IFERROR(__xludf.DUMMYFUNCTION("""COMPUTED_VALUE"""),"")</f>
        <v/>
      </c>
      <c r="M5271" s="17" t="str">
        <f>IFERROR(__xludf.DUMMYFUNCTION("""COMPUTED_VALUE"""),"")</f>
        <v/>
      </c>
      <c r="N5271" s="17" t="str">
        <f>IFERROR(__xludf.DUMMYFUNCTION("""COMPUTED_VALUE"""),"")</f>
        <v/>
      </c>
      <c r="O5271" s="17" t="str">
        <f>IFERROR(__xludf.DUMMYFUNCTION("""COMPUTED_VALUE"""),"")</f>
        <v/>
      </c>
      <c r="P5271" s="17" t="str">
        <f>IFERROR(__xludf.DUMMYFUNCTION("""COMPUTED_VALUE"""),"")</f>
        <v/>
      </c>
      <c r="Q5271" s="17" t="str">
        <f>IFERROR(__xludf.DUMMYFUNCTION("""COMPUTED_VALUE"""),"")</f>
        <v/>
      </c>
      <c r="R5271" s="17" t="str">
        <f>IFERROR(__xludf.DUMMYFUNCTION("""COMPUTED_VALUE"""),"")</f>
        <v/>
      </c>
    </row>
    <row r="5272">
      <c r="A5272" s="15">
        <f>IFERROR(__xludf.DUMMYFUNCTION("""COMPUTED_VALUE"""),45154.0)</f>
        <v>45154</v>
      </c>
      <c r="B5272" s="17"/>
      <c r="C5272" s="15" t="str">
        <f>IFERROR(__xludf.DUMMYFUNCTION("""COMPUTED_VALUE"""),"CALI")</f>
        <v>CALI</v>
      </c>
      <c r="D5272" s="15" t="str">
        <f>IFERROR(__xludf.DUMMYFUNCTION("""COMPUTED_VALUE"""),"MEDELLÍN")</f>
        <v>MEDELLÍN</v>
      </c>
      <c r="E5272" s="15" t="str">
        <f>IFERROR(__xludf.DUMMYFUNCTION("""COMPUTED_VALUE"""),"Moloso S.A.S")</f>
        <v>Moloso S.A.S</v>
      </c>
      <c r="F5272" s="17" t="str">
        <f>IFERROR(__xludf.DUMMYFUNCTION("""COMPUTED_VALUE"""),"AVENIDA 3 OESTE 13 94 / EDIF SOL DEL OESTE APT 702")</f>
        <v>AVENIDA 3 OESTE 13 94 / EDIF SOL DEL OESTE APT 702</v>
      </c>
      <c r="G5272" s="15" t="str">
        <f>IFERROR(__xludf.DUMMYFUNCTION("""COMPUTED_VALUE"""),"LAURA HERNÁNDEZ ALVIAR")</f>
        <v>LAURA HERNÁNDEZ ALVIAR</v>
      </c>
      <c r="H5272" s="16">
        <f>IFERROR(__xludf.DUMMYFUNCTION("""COMPUTED_VALUE"""),14025.0)</f>
        <v>14025</v>
      </c>
      <c r="I5272" s="18">
        <f>IFERROR(__xludf.DUMMYFUNCTION("""COMPUTED_VALUE"""),17.0)</f>
        <v>17</v>
      </c>
      <c r="J5272" s="18">
        <f>IFERROR(__xludf.DUMMYFUNCTION("""COMPUTED_VALUE"""),15.0)</f>
        <v>15</v>
      </c>
      <c r="K5272" s="18">
        <f>IFERROR(__xludf.DUMMYFUNCTION("""COMPUTED_VALUE"""),28.0)</f>
        <v>28</v>
      </c>
      <c r="L5272" s="17" t="str">
        <f>IFERROR(__xludf.DUMMYFUNCTION("""COMPUTED_VALUE"""),"315 5762974")</f>
        <v>315 5762974</v>
      </c>
      <c r="M5272" s="17" t="str">
        <f>IFERROR(__xludf.DUMMYFUNCTION("""COMPUTED_VALUE"""),"#REF!")</f>
        <v>#REF!</v>
      </c>
      <c r="N5272" s="17"/>
      <c r="O5272" s="17"/>
      <c r="P5272" s="17" t="b">
        <f>IFERROR(__xludf.DUMMYFUNCTION("""COMPUTED_VALUE"""),FALSE)</f>
        <v>0</v>
      </c>
      <c r="Q5272" s="20" t="str">
        <f>IFERROR(__xludf.DUMMYFUNCTION("""COMPUTED_VALUE"""),"")</f>
        <v/>
      </c>
      <c r="R5272" s="21" t="str">
        <f>IFERROR(__xludf.DUMMYFUNCTION("""COMPUTED_VALUE"""),"https://drive.google.com/file/d/1-lqYqUpIvw_r9OBXR9C-VyURv8DI0Ud2/view?usp=drivesdk")</f>
        <v>https://drive.google.com/file/d/1-lqYqUpIvw_r9OBXR9C-VyURv8DI0Ud2/view?usp=drivesdk</v>
      </c>
    </row>
    <row r="5273">
      <c r="A5273" s="15">
        <f>IFERROR(__xludf.DUMMYFUNCTION("""COMPUTED_VALUE"""),45154.0)</f>
        <v>45154</v>
      </c>
      <c r="B5273" s="17"/>
      <c r="C5273" s="15" t="str">
        <f>IFERROR(__xludf.DUMMYFUNCTION("""COMPUTED_VALUE"""),"CALI")</f>
        <v>CALI</v>
      </c>
      <c r="D5273" s="15" t="str">
        <f>IFERROR(__xludf.DUMMYFUNCTION("""COMPUTED_VALUE"""),"MEDELLÍN")</f>
        <v>MEDELLÍN</v>
      </c>
      <c r="E5273" s="15" t="str">
        <f>IFERROR(__xludf.DUMMYFUNCTION("""COMPUTED_VALUE"""),"Rambla")</f>
        <v>Rambla</v>
      </c>
      <c r="F5273" s="17" t="str">
        <f>IFERROR(__xludf.DUMMYFUNCTION("""COMPUTED_VALUE"""),"avenida 4 norte #7n-46 lc 129 centro comercial centenario  / - / -")</f>
        <v>avenida 4 norte #7n-46 lc 129 centro comercial centenario  / - / -</v>
      </c>
      <c r="G5273" s="15" t="str">
        <f>IFERROR(__xludf.DUMMYFUNCTION("""COMPUTED_VALUE"""),"Vitafitness")</f>
        <v>Vitafitness</v>
      </c>
      <c r="H5273" s="16">
        <f>IFERROR(__xludf.DUMMYFUNCTION("""COMPUTED_VALUE"""),14040.0)</f>
        <v>14040</v>
      </c>
      <c r="I5273" s="18">
        <f>IFERROR(__xludf.DUMMYFUNCTION("""COMPUTED_VALUE"""),33.0)</f>
        <v>33</v>
      </c>
      <c r="J5273" s="18">
        <f>IFERROR(__xludf.DUMMYFUNCTION("""COMPUTED_VALUE"""),30.0)</f>
        <v>30</v>
      </c>
      <c r="K5273" s="18">
        <f>IFERROR(__xludf.DUMMYFUNCTION("""COMPUTED_VALUE"""),36.0)</f>
        <v>36</v>
      </c>
      <c r="L5273" s="17">
        <f>IFERROR(__xludf.DUMMYFUNCTION("""COMPUTED_VALUE"""),3.226925759E9)</f>
        <v>3226925759</v>
      </c>
      <c r="M5273" s="17" t="str">
        <f>IFERROR(__xludf.DUMMYFUNCTION("""COMPUTED_VALUE"""),"#REF!")</f>
        <v>#REF!</v>
      </c>
      <c r="N5273" s="17"/>
      <c r="O5273" s="17"/>
      <c r="P5273" s="17" t="b">
        <f>IFERROR(__xludf.DUMMYFUNCTION("""COMPUTED_VALUE"""),FALSE)</f>
        <v>0</v>
      </c>
      <c r="Q5273" s="20" t="str">
        <f>IFERROR(__xludf.DUMMYFUNCTION("""COMPUTED_VALUE"""),"")</f>
        <v/>
      </c>
      <c r="R5273" s="22" t="str">
        <f>IFERROR(__xludf.DUMMYFUNCTION("""COMPUTED_VALUE"""),"")</f>
        <v/>
      </c>
    </row>
    <row r="5274">
      <c r="A5274" s="15">
        <f>IFERROR(__xludf.DUMMYFUNCTION("""COMPUTED_VALUE"""),45154.0)</f>
        <v>45154</v>
      </c>
      <c r="B5274" s="17"/>
      <c r="C5274" s="15" t="str">
        <f>IFERROR(__xludf.DUMMYFUNCTION("""COMPUTED_VALUE"""),"CALI")</f>
        <v>CALI</v>
      </c>
      <c r="D5274" s="15" t="str">
        <f>IFERROR(__xludf.DUMMYFUNCTION("""COMPUTED_VALUE"""),"MEDELLÍN")</f>
        <v>MEDELLÍN</v>
      </c>
      <c r="E5274" s="15" t="str">
        <f>IFERROR(__xludf.DUMMYFUNCTION("""COMPUTED_VALUE"""),"Todo Bufala")</f>
        <v>Todo Bufala</v>
      </c>
      <c r="F5274" s="17" t="str">
        <f>IFERROR(__xludf.DUMMYFUNCTION("""COMPUTED_VALUE"""),"Calle 8 #42-58")</f>
        <v>Calle 8 #42-58</v>
      </c>
      <c r="G5274" s="15" t="str">
        <f>IFERROR(__xludf.DUMMYFUNCTION("""COMPUTED_VALUE"""),"Grupo Hefe SAS")</f>
        <v>Grupo Hefe SAS</v>
      </c>
      <c r="H5274" s="16">
        <f>IFERROR(__xludf.DUMMYFUNCTION("""COMPUTED_VALUE"""),13898.0)</f>
        <v>13898</v>
      </c>
      <c r="I5274" s="18">
        <f>IFERROR(__xludf.DUMMYFUNCTION("""COMPUTED_VALUE"""),20.0)</f>
        <v>20</v>
      </c>
      <c r="J5274" s="18">
        <f>IFERROR(__xludf.DUMMYFUNCTION("""COMPUTED_VALUE"""),30.0)</f>
        <v>30</v>
      </c>
      <c r="K5274" s="18">
        <f>IFERROR(__xludf.DUMMYFUNCTION("""COMPUTED_VALUE"""),40.0)</f>
        <v>40</v>
      </c>
      <c r="L5274" s="17" t="str">
        <f>IFERROR(__xludf.DUMMYFUNCTION("""COMPUTED_VALUE"""),"320 7762289")</f>
        <v>320 7762289</v>
      </c>
      <c r="M5274" s="17" t="str">
        <f>IFERROR(__xludf.DUMMYFUNCTION("""COMPUTED_VALUE"""),"#REF!")</f>
        <v>#REF!</v>
      </c>
      <c r="N5274" s="17"/>
      <c r="O5274" s="17"/>
      <c r="P5274" s="17" t="b">
        <f>IFERROR(__xludf.DUMMYFUNCTION("""COMPUTED_VALUE"""),FALSE)</f>
        <v>0</v>
      </c>
      <c r="Q5274" s="20" t="str">
        <f>IFERROR(__xludf.DUMMYFUNCTION("""COMPUTED_VALUE"""),"")</f>
        <v/>
      </c>
      <c r="R5274" s="22" t="str">
        <f>IFERROR(__xludf.DUMMYFUNCTION("""COMPUTED_VALUE"""),"")</f>
        <v/>
      </c>
    </row>
    <row r="5275">
      <c r="A5275" s="17" t="str">
        <f>IFERROR(__xludf.DUMMYFUNCTION("""COMPUTED_VALUE"""),"")</f>
        <v/>
      </c>
      <c r="B5275" s="17" t="str">
        <f>IFERROR(__xludf.DUMMYFUNCTION("""COMPUTED_VALUE"""),"")</f>
        <v/>
      </c>
      <c r="C5275" s="17" t="str">
        <f>IFERROR(__xludf.DUMMYFUNCTION("""COMPUTED_VALUE"""),"")</f>
        <v/>
      </c>
      <c r="D5275" s="17" t="str">
        <f>IFERROR(__xludf.DUMMYFUNCTION("""COMPUTED_VALUE"""),"")</f>
        <v/>
      </c>
      <c r="E5275" s="17" t="str">
        <f>IFERROR(__xludf.DUMMYFUNCTION("""COMPUTED_VALUE"""),"")</f>
        <v/>
      </c>
      <c r="F5275" s="17" t="str">
        <f>IFERROR(__xludf.DUMMYFUNCTION("""COMPUTED_VALUE"""),"")</f>
        <v/>
      </c>
      <c r="G5275" s="17" t="str">
        <f>IFERROR(__xludf.DUMMYFUNCTION("""COMPUTED_VALUE"""),"")</f>
        <v/>
      </c>
      <c r="H5275" s="17" t="str">
        <f>IFERROR(__xludf.DUMMYFUNCTION("""COMPUTED_VALUE"""),"")</f>
        <v/>
      </c>
      <c r="I5275" s="17" t="str">
        <f>IFERROR(__xludf.DUMMYFUNCTION("""COMPUTED_VALUE"""),"")</f>
        <v/>
      </c>
      <c r="J5275" s="17" t="str">
        <f>IFERROR(__xludf.DUMMYFUNCTION("""COMPUTED_VALUE"""),"")</f>
        <v/>
      </c>
      <c r="K5275" s="17" t="str">
        <f>IFERROR(__xludf.DUMMYFUNCTION("""COMPUTED_VALUE"""),"")</f>
        <v/>
      </c>
      <c r="L5275" s="17" t="str">
        <f>IFERROR(__xludf.DUMMYFUNCTION("""COMPUTED_VALUE"""),"")</f>
        <v/>
      </c>
      <c r="M5275" s="17" t="str">
        <f>IFERROR(__xludf.DUMMYFUNCTION("""COMPUTED_VALUE"""),"")</f>
        <v/>
      </c>
      <c r="N5275" s="17" t="str">
        <f>IFERROR(__xludf.DUMMYFUNCTION("""COMPUTED_VALUE"""),"")</f>
        <v/>
      </c>
      <c r="O5275" s="17" t="str">
        <f>IFERROR(__xludf.DUMMYFUNCTION("""COMPUTED_VALUE"""),"")</f>
        <v/>
      </c>
      <c r="P5275" s="17" t="str">
        <f>IFERROR(__xludf.DUMMYFUNCTION("""COMPUTED_VALUE"""),"")</f>
        <v/>
      </c>
      <c r="Q5275" s="17" t="str">
        <f>IFERROR(__xludf.DUMMYFUNCTION("""COMPUTED_VALUE"""),"")</f>
        <v/>
      </c>
      <c r="R5275" s="17" t="str">
        <f>IFERROR(__xludf.DUMMYFUNCTION("""COMPUTED_VALUE"""),"")</f>
        <v/>
      </c>
    </row>
    <row r="5276">
      <c r="A5276" s="15">
        <f>IFERROR(__xludf.DUMMYFUNCTION("""COMPUTED_VALUE"""),45154.0)</f>
        <v>45154</v>
      </c>
      <c r="B5276" s="16" t="str">
        <f>IFERROR(__xludf.DUMMYFUNCTION("""COMPUTED_VALUE"""),"Envia")</f>
        <v>Envia</v>
      </c>
      <c r="C5276" s="15" t="str">
        <f>IFERROR(__xludf.DUMMYFUNCTION("""COMPUTED_VALUE"""),"BOGOTÁ")</f>
        <v>BOGOTÁ</v>
      </c>
      <c r="D5276" s="15" t="str">
        <f>IFERROR(__xludf.DUMMYFUNCTION("""COMPUTED_VALUE"""),"BARRANQUILLA")</f>
        <v>BARRANQUILLA</v>
      </c>
      <c r="E5276" s="15" t="str">
        <f>IFERROR(__xludf.DUMMYFUNCTION("""COMPUTED_VALUE"""),"Mochi")</f>
        <v>Mochi</v>
      </c>
      <c r="F5276" s="17" t="str">
        <f>IFERROR(__xludf.DUMMYFUNCTION("""COMPUTED_VALUE"""),"CR 23 69 35 / CR 23 69 35 / CR 23 69 35")</f>
        <v>CR 23 69 35 / CR 23 69 35 / CR 23 69 35</v>
      </c>
      <c r="G5276" s="15" t="str">
        <f>IFERROR(__xludf.DUMMYFUNCTION("""COMPUTED_VALUE"""),"MAURICIO MORA")</f>
        <v>MAURICIO MORA</v>
      </c>
      <c r="H5276" s="16">
        <f>IFERROR(__xludf.DUMMYFUNCTION("""COMPUTED_VALUE"""),14047.0)</f>
        <v>14047</v>
      </c>
      <c r="I5276" s="18">
        <f>IFERROR(__xludf.DUMMYFUNCTION("""COMPUTED_VALUE"""),100.0)</f>
        <v>100</v>
      </c>
      <c r="J5276" s="18">
        <f>IFERROR(__xludf.DUMMYFUNCTION("""COMPUTED_VALUE"""),100.0)</f>
        <v>100</v>
      </c>
      <c r="K5276" s="18">
        <f>IFERROR(__xludf.DUMMYFUNCTION("""COMPUTED_VALUE"""),200.0)</f>
        <v>200</v>
      </c>
      <c r="L5276" s="17">
        <f>IFERROR(__xludf.DUMMYFUNCTION("""COMPUTED_VALUE"""),3.115177645E9)</f>
        <v>3115177645</v>
      </c>
      <c r="M5276" s="17" t="str">
        <f>IFERROR(__xludf.DUMMYFUNCTION("""COMPUTED_VALUE"""),"#REF!")</f>
        <v>#REF!</v>
      </c>
      <c r="N5276" s="17"/>
      <c r="O5276" s="17"/>
      <c r="P5276" s="17" t="b">
        <f>IFERROR(__xludf.DUMMYFUNCTION("""COMPUTED_VALUE"""),FALSE)</f>
        <v>0</v>
      </c>
      <c r="Q5276" s="20" t="str">
        <f>IFERROR(__xludf.DUMMYFUNCTION("""COMPUTED_VALUE"""),"")</f>
        <v/>
      </c>
      <c r="R5276" s="22" t="str">
        <f>IFERROR(__xludf.DUMMYFUNCTION("""COMPUTED_VALUE"""),"")</f>
        <v/>
      </c>
    </row>
    <row r="5277">
      <c r="A5277" s="15">
        <f>IFERROR(__xludf.DUMMYFUNCTION("""COMPUTED_VALUE"""),45154.0)</f>
        <v>45154</v>
      </c>
      <c r="B5277" s="16" t="str">
        <f>IFERROR(__xludf.DUMMYFUNCTION("""COMPUTED_VALUE"""),"Envia")</f>
        <v>Envia</v>
      </c>
      <c r="C5277" s="15" t="str">
        <f>IFERROR(__xludf.DUMMYFUNCTION("""COMPUTED_VALUE"""),"BOGOTÁ")</f>
        <v>BOGOTÁ</v>
      </c>
      <c r="D5277" s="15" t="str">
        <f>IFERROR(__xludf.DUMMYFUNCTION("""COMPUTED_VALUE"""),"MEDELLÍN")</f>
        <v>MEDELLÍN</v>
      </c>
      <c r="E5277" s="15" t="str">
        <f>IFERROR(__xludf.DUMMYFUNCTION("""COMPUTED_VALUE"""),"Moloso S.A.S")</f>
        <v>Moloso S.A.S</v>
      </c>
      <c r="F5277" s="17" t="str">
        <f>IFERROR(__xludf.DUMMYFUNCTION("""COMPUTED_VALUE"""),"CRR 6 123A 12 / Torre 6 Apto 201 ENTREMONTES")</f>
        <v>CRR 6 123A 12 / Torre 6 Apto 201 ENTREMONTES</v>
      </c>
      <c r="G5277" s="15" t="str">
        <f>IFERROR(__xludf.DUMMYFUNCTION("""COMPUTED_VALUE"""),"MARCELA ARENAS SANIN")</f>
        <v>MARCELA ARENAS SANIN</v>
      </c>
      <c r="H5277" s="16">
        <f>IFERROR(__xludf.DUMMYFUNCTION("""COMPUTED_VALUE"""),14024.0)</f>
        <v>14024</v>
      </c>
      <c r="I5277" s="18">
        <f>IFERROR(__xludf.DUMMYFUNCTION("""COMPUTED_VALUE"""),17.0)</f>
        <v>17</v>
      </c>
      <c r="J5277" s="18">
        <f>IFERROR(__xludf.DUMMYFUNCTION("""COMPUTED_VALUE"""),15.0)</f>
        <v>15</v>
      </c>
      <c r="K5277" s="18">
        <f>IFERROR(__xludf.DUMMYFUNCTION("""COMPUTED_VALUE"""),28.0)</f>
        <v>28</v>
      </c>
      <c r="L5277" s="17" t="str">
        <f>IFERROR(__xludf.DUMMYFUNCTION("""COMPUTED_VALUE"""),"317 4008085")</f>
        <v>317 4008085</v>
      </c>
      <c r="M5277" s="17" t="str">
        <f>IFERROR(__xludf.DUMMYFUNCTION("""COMPUTED_VALUE"""),"#REF!")</f>
        <v>#REF!</v>
      </c>
      <c r="N5277" s="17"/>
      <c r="O5277" s="17"/>
      <c r="P5277" s="17" t="b">
        <f>IFERROR(__xludf.DUMMYFUNCTION("""COMPUTED_VALUE"""),FALSE)</f>
        <v>0</v>
      </c>
      <c r="Q5277" s="20" t="str">
        <f>IFERROR(__xludf.DUMMYFUNCTION("""COMPUTED_VALUE"""),"")</f>
        <v/>
      </c>
      <c r="R5277" s="21" t="str">
        <f>IFERROR(__xludf.DUMMYFUNCTION("""COMPUTED_VALUE"""),"https://drive.google.com/file/d/1Xe2_SAVI3Grvm5hgEqk3qtCPYGYL8MjJ/view?usp=drivesdk")</f>
        <v>https://drive.google.com/file/d/1Xe2_SAVI3Grvm5hgEqk3qtCPYGYL8MjJ/view?usp=drivesdk</v>
      </c>
    </row>
    <row r="5278">
      <c r="A5278" s="15">
        <f>IFERROR(__xludf.DUMMYFUNCTION("""COMPUTED_VALUE"""),45154.0)</f>
        <v>45154</v>
      </c>
      <c r="B5278" s="16" t="str">
        <f>IFERROR(__xludf.DUMMYFUNCTION("""COMPUTED_VALUE"""),"Envia")</f>
        <v>Envia</v>
      </c>
      <c r="C5278" s="15" t="str">
        <f>IFERROR(__xludf.DUMMYFUNCTION("""COMPUTED_VALUE"""),"BOGOTÁ")</f>
        <v>BOGOTÁ</v>
      </c>
      <c r="D5278" s="15" t="str">
        <f>IFERROR(__xludf.DUMMYFUNCTION("""COMPUTED_VALUE"""),"MEDELLÍN")</f>
        <v>MEDELLÍN</v>
      </c>
      <c r="E5278" s="15" t="str">
        <f>IFERROR(__xludf.DUMMYFUNCTION("""COMPUTED_VALUE"""),"Terravocado")</f>
        <v>Terravocado</v>
      </c>
      <c r="F5278" s="17" t="str">
        <f>IFERROR(__xludf.DUMMYFUNCTION("""COMPUTED_VALUE"""),"CRA 20 # 168 - 32 / BOGOTA  / BOGOTA")</f>
        <v>CRA 20 # 168 - 32 / BOGOTA  / BOGOTA</v>
      </c>
      <c r="G5278" s="15" t="str">
        <f>IFERROR(__xludf.DUMMYFUNCTION("""COMPUTED_VALUE"""),"BUKOI SAS")</f>
        <v>BUKOI SAS</v>
      </c>
      <c r="H5278" s="16">
        <f>IFERROR(__xludf.DUMMYFUNCTION("""COMPUTED_VALUE"""),13929.0)</f>
        <v>13929</v>
      </c>
      <c r="I5278" s="18">
        <f>IFERROR(__xludf.DUMMYFUNCTION("""COMPUTED_VALUE"""),20.0)</f>
        <v>20</v>
      </c>
      <c r="J5278" s="18">
        <f>IFERROR(__xludf.DUMMYFUNCTION("""COMPUTED_VALUE"""),24.0)</f>
        <v>24</v>
      </c>
      <c r="K5278" s="18">
        <f>IFERROR(__xludf.DUMMYFUNCTION("""COMPUTED_VALUE"""),34.0)</f>
        <v>34</v>
      </c>
      <c r="L5278" s="17">
        <f>IFERROR(__xludf.DUMMYFUNCTION("""COMPUTED_VALUE"""),3.103668164E9)</f>
        <v>3103668164</v>
      </c>
      <c r="M5278" s="17" t="str">
        <f>IFERROR(__xludf.DUMMYFUNCTION("""COMPUTED_VALUE"""),"#REF!")</f>
        <v>#REF!</v>
      </c>
      <c r="N5278" s="17"/>
      <c r="O5278" s="17"/>
      <c r="P5278" s="17" t="b">
        <f>IFERROR(__xludf.DUMMYFUNCTION("""COMPUTED_VALUE"""),FALSE)</f>
        <v>0</v>
      </c>
      <c r="Q5278" s="20" t="str">
        <f>IFERROR(__xludf.DUMMYFUNCTION("""COMPUTED_VALUE"""),"")</f>
        <v/>
      </c>
      <c r="R5278" s="21" t="str">
        <f>IFERROR(__xludf.DUMMYFUNCTION("""COMPUTED_VALUE"""),"https://drive.google.com/file/d/1ZCG9SjbPMkZHg6n0-4Yd7J9YHf2LjUW9/view?usp=drivesdk")</f>
        <v>https://drive.google.com/file/d/1ZCG9SjbPMkZHg6n0-4Yd7J9YHf2LjUW9/view?usp=drivesdk</v>
      </c>
    </row>
    <row r="5279">
      <c r="A5279" s="15">
        <f>IFERROR(__xludf.DUMMYFUNCTION("""COMPUTED_VALUE"""),45154.0)</f>
        <v>45154</v>
      </c>
      <c r="B5279" s="16" t="str">
        <f>IFERROR(__xludf.DUMMYFUNCTION("""COMPUTED_VALUE"""),"Envia")</f>
        <v>Envia</v>
      </c>
      <c r="C5279" s="15" t="str">
        <f>IFERROR(__xludf.DUMMYFUNCTION("""COMPUTED_VALUE"""),"BOGOTÁ")</f>
        <v>BOGOTÁ</v>
      </c>
      <c r="D5279" s="15" t="str">
        <f>IFERROR(__xludf.DUMMYFUNCTION("""COMPUTED_VALUE"""),"PEREIRA")</f>
        <v>PEREIRA</v>
      </c>
      <c r="E5279" s="15" t="str">
        <f>IFERROR(__xludf.DUMMYFUNCTION("""COMPUTED_VALUE"""),"Pan de Waffle")</f>
        <v>Pan de Waffle</v>
      </c>
      <c r="F5279" s="17" t="str">
        <f>IFERROR(__xludf.DUMMYFUNCTION("""COMPUTED_VALUE"""),"Calle 93 49 12  / Calle 93 49 12  / La Castellana")</f>
        <v>Calle 93 49 12  / Calle 93 49 12  / La Castellana</v>
      </c>
      <c r="G5279" s="15" t="str">
        <f>IFERROR(__xludf.DUMMYFUNCTION("""COMPUTED_VALUE"""),"Pandewaffle")</f>
        <v>Pandewaffle</v>
      </c>
      <c r="H5279" s="16">
        <f>IFERROR(__xludf.DUMMYFUNCTION("""COMPUTED_VALUE"""),14048.0)</f>
        <v>14048</v>
      </c>
      <c r="I5279" s="18">
        <f>IFERROR(__xludf.DUMMYFUNCTION("""COMPUTED_VALUE"""),40.0)</f>
        <v>40</v>
      </c>
      <c r="J5279" s="18">
        <f>IFERROR(__xludf.DUMMYFUNCTION("""COMPUTED_VALUE"""),30.0)</f>
        <v>30</v>
      </c>
      <c r="K5279" s="18">
        <f>IFERROR(__xludf.DUMMYFUNCTION("""COMPUTED_VALUE"""),40.0)</f>
        <v>40</v>
      </c>
      <c r="L5279" s="17">
        <f>IFERROR(__xludf.DUMMYFUNCTION("""COMPUTED_VALUE"""),3.20865425E9)</f>
        <v>3208654250</v>
      </c>
      <c r="M5279" s="17" t="str">
        <f>IFERROR(__xludf.DUMMYFUNCTION("""COMPUTED_VALUE"""),"#REF!")</f>
        <v>#REF!</v>
      </c>
      <c r="N5279" s="17"/>
      <c r="O5279" s="17"/>
      <c r="P5279" s="17" t="b">
        <f>IFERROR(__xludf.DUMMYFUNCTION("""COMPUTED_VALUE"""),FALSE)</f>
        <v>0</v>
      </c>
      <c r="Q5279" s="20" t="str">
        <f>IFERROR(__xludf.DUMMYFUNCTION("""COMPUTED_VALUE"""),"")</f>
        <v/>
      </c>
      <c r="R5279" s="22" t="str">
        <f>IFERROR(__xludf.DUMMYFUNCTION("""COMPUTED_VALUE"""),"")</f>
        <v/>
      </c>
    </row>
    <row r="5280">
      <c r="A5280" s="15">
        <f>IFERROR(__xludf.DUMMYFUNCTION("""COMPUTED_VALUE"""),45154.0)</f>
        <v>45154</v>
      </c>
      <c r="B5280" s="16" t="str">
        <f>IFERROR(__xludf.DUMMYFUNCTION("""COMPUTED_VALUE"""),"Envia")</f>
        <v>Envia</v>
      </c>
      <c r="C5280" s="15" t="str">
        <f>IFERROR(__xludf.DUMMYFUNCTION("""COMPUTED_VALUE"""),"CALI")</f>
        <v>CALI</v>
      </c>
      <c r="D5280" s="15" t="str">
        <f>IFERROR(__xludf.DUMMYFUNCTION("""COMPUTED_VALUE"""),"MEDELLÍN")</f>
        <v>MEDELLÍN</v>
      </c>
      <c r="E5280" s="15" t="str">
        <f>IFERROR(__xludf.DUMMYFUNCTION("""COMPUTED_VALUE"""),"AREPAS LA MARY")</f>
        <v>AREPAS LA MARY</v>
      </c>
      <c r="F5280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5280" s="15" t="str">
        <f>IFERROR(__xludf.DUMMYFUNCTION("""COMPUTED_VALUE"""),"VITALFINESS CALI")</f>
        <v>VITALFINESS CALI</v>
      </c>
      <c r="H5280" s="16">
        <f>IFERROR(__xludf.DUMMYFUNCTION("""COMPUTED_VALUE"""),14032.0)</f>
        <v>14032</v>
      </c>
      <c r="I5280" s="18">
        <f>IFERROR(__xludf.DUMMYFUNCTION("""COMPUTED_VALUE"""),89.0)</f>
        <v>89</v>
      </c>
      <c r="J5280" s="18">
        <f>IFERROR(__xludf.DUMMYFUNCTION("""COMPUTED_VALUE"""),1.0)</f>
        <v>1</v>
      </c>
      <c r="K5280" s="18">
        <f>IFERROR(__xludf.DUMMYFUNCTION("""COMPUTED_VALUE"""),10.0)</f>
        <v>10</v>
      </c>
      <c r="L5280" s="17">
        <f>IFERROR(__xludf.DUMMYFUNCTION("""COMPUTED_VALUE"""),3.226925759E9)</f>
        <v>3226925759</v>
      </c>
      <c r="M5280" s="17" t="str">
        <f>IFERROR(__xludf.DUMMYFUNCTION("""COMPUTED_VALUE"""),"#REF!")</f>
        <v>#REF!</v>
      </c>
      <c r="N5280" s="17"/>
      <c r="O5280" s="17"/>
      <c r="P5280" s="17" t="b">
        <f>IFERROR(__xludf.DUMMYFUNCTION("""COMPUTED_VALUE"""),FALSE)</f>
        <v>0</v>
      </c>
      <c r="Q5280" s="20" t="str">
        <f>IFERROR(__xludf.DUMMYFUNCTION("""COMPUTED_VALUE"""),"")</f>
        <v/>
      </c>
      <c r="R5280" s="22" t="str">
        <f>IFERROR(__xludf.DUMMYFUNCTION("""COMPUTED_VALUE"""),"")</f>
        <v/>
      </c>
    </row>
    <row r="5281">
      <c r="A5281" s="15">
        <f>IFERROR(__xludf.DUMMYFUNCTION("""COMPUTED_VALUE"""),45154.0)</f>
        <v>45154</v>
      </c>
      <c r="B5281" s="16" t="str">
        <f>IFERROR(__xludf.DUMMYFUNCTION("""COMPUTED_VALUE"""),"Envia")</f>
        <v>Envia</v>
      </c>
      <c r="C5281" s="15" t="str">
        <f>IFERROR(__xludf.DUMMYFUNCTION("""COMPUTED_VALUE"""),"CARTAGENA")</f>
        <v>CARTAGENA</v>
      </c>
      <c r="D5281" s="15" t="str">
        <f>IFERROR(__xludf.DUMMYFUNCTION("""COMPUTED_VALUE"""),"BOGOTÁ")</f>
        <v>BOGOTÁ</v>
      </c>
      <c r="E5281" s="15" t="str">
        <f>IFERROR(__xludf.DUMMYFUNCTION("""COMPUTED_VALUE"""),"Mochi")</f>
        <v>Mochi</v>
      </c>
      <c r="F5281" s="17" t="str">
        <f>IFERROR(__xludf.DUMMYFUNCTION("""COMPUTED_VALUE"""),"Cra. 11 # 39-21, San Diego, Cartagena de Indias, Provincia de Cartagena, Bolívar / Cra. 11 # 39-21, San Diego, Cartagena de Indias, Provincia de Cartagena, Bolívar / Cra. 11 # 39-21, San Diego, Cartagena de Indias, Provincia de Cartagena, Bolívar")</f>
        <v>Cra. 11 # 39-21, San Diego, Cartagena de Indias, Provincia de Cartagena, Bolívar / Cra. 11 # 39-21, San Diego, Cartagena de Indias, Provincia de Cartagena, Bolívar / Cra. 11 # 39-21, San Diego, Cartagena de Indias, Provincia de Cartagena, Bolívar</v>
      </c>
      <c r="G5281" s="15" t="str">
        <f>IFERROR(__xludf.DUMMYFUNCTION("""COMPUTED_VALUE"""),"MARIA CAMILA")</f>
        <v>MARIA CAMILA</v>
      </c>
      <c r="H5281" s="16">
        <f>IFERROR(__xludf.DUMMYFUNCTION("""COMPUTED_VALUE"""),14045.0)</f>
        <v>14045</v>
      </c>
      <c r="I5281" s="18">
        <f>IFERROR(__xludf.DUMMYFUNCTION("""COMPUTED_VALUE"""),100.0)</f>
        <v>100</v>
      </c>
      <c r="J5281" s="18">
        <f>IFERROR(__xludf.DUMMYFUNCTION("""COMPUTED_VALUE"""),100.0)</f>
        <v>100</v>
      </c>
      <c r="K5281" s="18">
        <f>IFERROR(__xludf.DUMMYFUNCTION("""COMPUTED_VALUE"""),100.0)</f>
        <v>100</v>
      </c>
      <c r="L5281" s="17">
        <f>IFERROR(__xludf.DUMMYFUNCTION("""COMPUTED_VALUE"""),3.116026252E9)</f>
        <v>3116026252</v>
      </c>
      <c r="M5281" s="17" t="str">
        <f>IFERROR(__xludf.DUMMYFUNCTION("""COMPUTED_VALUE"""),"#REF!")</f>
        <v>#REF!</v>
      </c>
      <c r="N5281" s="17"/>
      <c r="O5281" s="17"/>
      <c r="P5281" s="17" t="b">
        <f>IFERROR(__xludf.DUMMYFUNCTION("""COMPUTED_VALUE"""),FALSE)</f>
        <v>0</v>
      </c>
      <c r="Q5281" s="20" t="str">
        <f>IFERROR(__xludf.DUMMYFUNCTION("""COMPUTED_VALUE"""),"")</f>
        <v/>
      </c>
      <c r="R5281" s="22" t="str">
        <f>IFERROR(__xludf.DUMMYFUNCTION("""COMPUTED_VALUE"""),"")</f>
        <v/>
      </c>
    </row>
    <row r="5282">
      <c r="A5282" s="15">
        <f>IFERROR(__xludf.DUMMYFUNCTION("""COMPUTED_VALUE"""),45154.0)</f>
        <v>45154</v>
      </c>
      <c r="B5282" s="16" t="str">
        <f>IFERROR(__xludf.DUMMYFUNCTION("""COMPUTED_VALUE"""),"Envia")</f>
        <v>Envia</v>
      </c>
      <c r="C5282" s="15" t="str">
        <f>IFERROR(__xludf.DUMMYFUNCTION("""COMPUTED_VALUE"""),"MEDELLÍN")</f>
        <v>MEDELLÍN</v>
      </c>
      <c r="D5282" s="15" t="str">
        <f>IFERROR(__xludf.DUMMYFUNCTION("""COMPUTED_VALUE"""),"BOGOTÁ")</f>
        <v>BOGOTÁ</v>
      </c>
      <c r="E5282" s="15" t="str">
        <f>IFERROR(__xludf.DUMMYFUNCTION("""COMPUTED_VALUE"""),"Ins. Alimento Vital")</f>
        <v>Ins. Alimento Vital</v>
      </c>
      <c r="F5282" s="17" t="str">
        <f>IFERROR(__xludf.DUMMYFUNCTION("""COMPUTED_VALUE"""),"CR 44 26 27 / BODEGA / EL POBLADO")</f>
        <v>CR 44 26 27 / BODEGA / EL POBLADO</v>
      </c>
      <c r="G5282" s="15" t="str">
        <f>IFERROR(__xludf.DUMMYFUNCTION("""COMPUTED_VALUE"""),"VELOCITY MEDELLIN")</f>
        <v>VELOCITY MEDELLIN</v>
      </c>
      <c r="H5282" s="16">
        <f>IFERROR(__xludf.DUMMYFUNCTION("""COMPUTED_VALUE"""),14004.0)</f>
        <v>14004</v>
      </c>
      <c r="I5282" s="18">
        <f>IFERROR(__xludf.DUMMYFUNCTION("""COMPUTED_VALUE"""),1.0)</f>
        <v>1</v>
      </c>
      <c r="J5282" s="18">
        <f>IFERROR(__xludf.DUMMYFUNCTION("""COMPUTED_VALUE"""),1.0)</f>
        <v>1</v>
      </c>
      <c r="K5282" s="18">
        <f>IFERROR(__xludf.DUMMYFUNCTION("""COMPUTED_VALUE"""),1.0)</f>
        <v>1</v>
      </c>
      <c r="L5282" s="17">
        <f>IFERROR(__xludf.DUMMYFUNCTION("""COMPUTED_VALUE"""),3.214683372E9)</f>
        <v>3214683372</v>
      </c>
      <c r="M5282" s="17" t="str">
        <f>IFERROR(__xludf.DUMMYFUNCTION("""COMPUTED_VALUE"""),"#REF!")</f>
        <v>#REF!</v>
      </c>
      <c r="N5282" s="17"/>
      <c r="O5282" s="17"/>
      <c r="P5282" s="17" t="b">
        <f>IFERROR(__xludf.DUMMYFUNCTION("""COMPUTED_VALUE"""),FALSE)</f>
        <v>0</v>
      </c>
      <c r="Q5282" s="20" t="str">
        <f>IFERROR(__xludf.DUMMYFUNCTION("""COMPUTED_VALUE"""),"")</f>
        <v/>
      </c>
      <c r="R5282" s="22" t="str">
        <f>IFERROR(__xludf.DUMMYFUNCTION("""COMPUTED_VALUE"""),"")</f>
        <v/>
      </c>
    </row>
    <row r="5283">
      <c r="A5283" s="15">
        <f>IFERROR(__xludf.DUMMYFUNCTION("""COMPUTED_VALUE"""),45154.0)</f>
        <v>45154</v>
      </c>
      <c r="B5283" s="16" t="str">
        <f>IFERROR(__xludf.DUMMYFUNCTION("""COMPUTED_VALUE"""),"Envia")</f>
        <v>Envia</v>
      </c>
      <c r="C5283" s="15" t="str">
        <f>IFERROR(__xludf.DUMMYFUNCTION("""COMPUTED_VALUE"""),"MEDELLÍN")</f>
        <v>MEDELLÍN</v>
      </c>
      <c r="D5283" s="15" t="str">
        <f>IFERROR(__xludf.DUMMYFUNCTION("""COMPUTED_VALUE"""),"BUCARAMANGA")</f>
        <v>BUCARAMANGA</v>
      </c>
      <c r="E5283" s="15" t="str">
        <f>IFERROR(__xludf.DUMMYFUNCTION("""COMPUTED_VALUE"""),"Yo Como Solito")</f>
        <v>Yo Como Solito</v>
      </c>
      <c r="F5283" s="17" t="str">
        <f>IFERROR(__xludf.DUMMYFUNCTION("""COMPUTED_VALUE"""),"Carrera 15 BA # 34D - 44 INT 201 Barrio Quinta Linda /  Carrera 15 BA # 34D - 44 INT 201 Barrio Quinta Linda /  Carrera 15 BA # 34D - 44 INT 201 Barrio Quinta Linda")</f>
        <v>Carrera 15 BA # 34D - 44 INT 201 Barrio Quinta Linda /  Carrera 15 BA # 34D - 44 INT 201 Barrio Quinta Linda /  Carrera 15 BA # 34D - 44 INT 201 Barrio Quinta Linda</v>
      </c>
      <c r="G5283" s="15" t="str">
        <f>IFERROR(__xludf.DUMMYFUNCTION("""COMPUTED_VALUE"""),"DANIELA BEDOYA")</f>
        <v>DANIELA BEDOYA</v>
      </c>
      <c r="H5283" s="16">
        <f>IFERROR(__xludf.DUMMYFUNCTION("""COMPUTED_VALUE"""),14008.0)</f>
        <v>14008</v>
      </c>
      <c r="I5283" s="18">
        <f>IFERROR(__xludf.DUMMYFUNCTION("""COMPUTED_VALUE"""),20.0)</f>
        <v>20</v>
      </c>
      <c r="J5283" s="18">
        <f>IFERROR(__xludf.DUMMYFUNCTION("""COMPUTED_VALUE"""),31.0)</f>
        <v>31</v>
      </c>
      <c r="K5283" s="18">
        <f>IFERROR(__xludf.DUMMYFUNCTION("""COMPUTED_VALUE"""),26.0)</f>
        <v>26</v>
      </c>
      <c r="L5283" s="17">
        <f>IFERROR(__xludf.DUMMYFUNCTION("""COMPUTED_VALUE"""),3.14672822E9)</f>
        <v>3146728220</v>
      </c>
      <c r="M5283" s="17" t="str">
        <f>IFERROR(__xludf.DUMMYFUNCTION("""COMPUTED_VALUE"""),"#REF!")</f>
        <v>#REF!</v>
      </c>
      <c r="N5283" s="17"/>
      <c r="O5283" s="17"/>
      <c r="P5283" s="17" t="b">
        <f>IFERROR(__xludf.DUMMYFUNCTION("""COMPUTED_VALUE"""),FALSE)</f>
        <v>0</v>
      </c>
      <c r="Q5283" s="20" t="str">
        <f>IFERROR(__xludf.DUMMYFUNCTION("""COMPUTED_VALUE"""),"")</f>
        <v/>
      </c>
      <c r="R5283" s="22" t="str">
        <f>IFERROR(__xludf.DUMMYFUNCTION("""COMPUTED_VALUE"""),"")</f>
        <v/>
      </c>
    </row>
    <row r="5284">
      <c r="A5284" s="15">
        <f>IFERROR(__xludf.DUMMYFUNCTION("""COMPUTED_VALUE"""),45154.0)</f>
        <v>45154</v>
      </c>
      <c r="B5284" s="16" t="str">
        <f>IFERROR(__xludf.DUMMYFUNCTION("""COMPUTED_VALUE"""),"Envia")</f>
        <v>Envia</v>
      </c>
      <c r="C5284" s="15" t="str">
        <f>IFERROR(__xludf.DUMMYFUNCTION("""COMPUTED_VALUE"""),"MONTERIA")</f>
        <v>MONTERIA</v>
      </c>
      <c r="D5284" s="15" t="str">
        <f>IFERROR(__xludf.DUMMYFUNCTION("""COMPUTED_VALUE"""),"BOGOTÁ")</f>
        <v>BOGOTÁ</v>
      </c>
      <c r="E5284" s="15" t="str">
        <f>IFERROR(__xludf.DUMMYFUNCTION("""COMPUTED_VALUE"""),"Asociacion Agropecuaria Juana Maria")</f>
        <v>Asociacion Agropecuaria Juana Maria</v>
      </c>
      <c r="F5284" s="17" t="str">
        <f>IFERROR(__xludf.DUMMYFUNCTION("""COMPUTED_VALUE"""),"Cra 14A #54-23 Barrio Monte Verde")</f>
        <v>Cra 14A #54-23 Barrio Monte Verde</v>
      </c>
      <c r="G5284" s="15" t="str">
        <f>IFERROR(__xludf.DUMMYFUNCTION("""COMPUTED_VALUE"""),"Emilia Miranda")</f>
        <v>Emilia Miranda</v>
      </c>
      <c r="H5284" s="16">
        <f>IFERROR(__xludf.DUMMYFUNCTION("""COMPUTED_VALUE"""),13909.0)</f>
        <v>13909</v>
      </c>
      <c r="I5284" s="18">
        <f>IFERROR(__xludf.DUMMYFUNCTION("""COMPUTED_VALUE"""),22.0)</f>
        <v>22</v>
      </c>
      <c r="J5284" s="18">
        <f>IFERROR(__xludf.DUMMYFUNCTION("""COMPUTED_VALUE"""),15.0)</f>
        <v>15</v>
      </c>
      <c r="K5284" s="18">
        <f>IFERROR(__xludf.DUMMYFUNCTION("""COMPUTED_VALUE"""),3.0)</f>
        <v>3</v>
      </c>
      <c r="L5284" s="17">
        <f>IFERROR(__xludf.DUMMYFUNCTION("""COMPUTED_VALUE"""),3.113438505E9)</f>
        <v>3113438505</v>
      </c>
      <c r="M5284" s="17" t="str">
        <f>IFERROR(__xludf.DUMMYFUNCTION("""COMPUTED_VALUE"""),"#REF!")</f>
        <v>#REF!</v>
      </c>
      <c r="N5284" s="17"/>
      <c r="O5284" s="17"/>
      <c r="P5284" s="17" t="b">
        <f>IFERROR(__xludf.DUMMYFUNCTION("""COMPUTED_VALUE"""),FALSE)</f>
        <v>0</v>
      </c>
      <c r="Q5284" s="20" t="str">
        <f>IFERROR(__xludf.DUMMYFUNCTION("""COMPUTED_VALUE"""),"")</f>
        <v/>
      </c>
      <c r="R5284" s="22" t="str">
        <f>IFERROR(__xludf.DUMMYFUNCTION("""COMPUTED_VALUE"""),"")</f>
        <v/>
      </c>
    </row>
    <row r="5285">
      <c r="A5285" s="15">
        <f>IFERROR(__xludf.DUMMYFUNCTION("""COMPUTED_VALUE"""),45154.0)</f>
        <v>45154</v>
      </c>
      <c r="B5285" s="16" t="str">
        <f>IFERROR(__xludf.DUMMYFUNCTION("""COMPUTED_VALUE"""),"Envia")</f>
        <v>Envia</v>
      </c>
      <c r="C5285" s="15" t="str">
        <f>IFERROR(__xludf.DUMMYFUNCTION("""COMPUTED_VALUE"""),"MONTERIA")</f>
        <v>MONTERIA</v>
      </c>
      <c r="D5285" s="15" t="str">
        <f>IFERROR(__xludf.DUMMYFUNCTION("""COMPUTED_VALUE"""),"BOGOTÁ")</f>
        <v>BOGOTÁ</v>
      </c>
      <c r="E5285" s="15" t="str">
        <f>IFERROR(__xludf.DUMMYFUNCTION("""COMPUTED_VALUE"""),"Asociacion Agropecuaria Juana Maria")</f>
        <v>Asociacion Agropecuaria Juana Maria</v>
      </c>
      <c r="F5285" s="17" t="str">
        <f>IFERROR(__xludf.DUMMYFUNCTION("""COMPUTED_VALUE"""),"Cra 14A #54-23 Barrio Monte Verde")</f>
        <v>Cra 14A #54-23 Barrio Monte Verde</v>
      </c>
      <c r="G5285" s="15" t="str">
        <f>IFERROR(__xludf.DUMMYFUNCTION("""COMPUTED_VALUE"""),"Emilia Miranda")</f>
        <v>Emilia Miranda</v>
      </c>
      <c r="H5285" s="16">
        <f>IFERROR(__xludf.DUMMYFUNCTION("""COMPUTED_VALUE"""),13910.0)</f>
        <v>13910</v>
      </c>
      <c r="I5285" s="18">
        <f>IFERROR(__xludf.DUMMYFUNCTION("""COMPUTED_VALUE"""),26.0)</f>
        <v>26</v>
      </c>
      <c r="J5285" s="18">
        <f>IFERROR(__xludf.DUMMYFUNCTION("""COMPUTED_VALUE"""),8.0)</f>
        <v>8</v>
      </c>
      <c r="K5285" s="18">
        <f>IFERROR(__xludf.DUMMYFUNCTION("""COMPUTED_VALUE"""),8.0)</f>
        <v>8</v>
      </c>
      <c r="L5285" s="17">
        <f>IFERROR(__xludf.DUMMYFUNCTION("""COMPUTED_VALUE"""),3.113438505E9)</f>
        <v>3113438505</v>
      </c>
      <c r="M5285" s="17" t="str">
        <f>IFERROR(__xludf.DUMMYFUNCTION("""COMPUTED_VALUE"""),"#REF!")</f>
        <v>#REF!</v>
      </c>
      <c r="N5285" s="17"/>
      <c r="O5285" s="17"/>
      <c r="P5285" s="17" t="b">
        <f>IFERROR(__xludf.DUMMYFUNCTION("""COMPUTED_VALUE"""),FALSE)</f>
        <v>0</v>
      </c>
      <c r="Q5285" s="20" t="str">
        <f>IFERROR(__xludf.DUMMYFUNCTION("""COMPUTED_VALUE"""),"")</f>
        <v/>
      </c>
      <c r="R5285" s="22" t="str">
        <f>IFERROR(__xludf.DUMMYFUNCTION("""COMPUTED_VALUE"""),"")</f>
        <v/>
      </c>
    </row>
    <row r="5286">
      <c r="A5286" s="17" t="str">
        <f>IFERROR(__xludf.DUMMYFUNCTION("""COMPUTED_VALUE"""),"")</f>
        <v/>
      </c>
      <c r="B5286" s="17" t="str">
        <f>IFERROR(__xludf.DUMMYFUNCTION("""COMPUTED_VALUE"""),"")</f>
        <v/>
      </c>
      <c r="C5286" s="17" t="str">
        <f>IFERROR(__xludf.DUMMYFUNCTION("""COMPUTED_VALUE"""),"")</f>
        <v/>
      </c>
      <c r="D5286" s="17" t="str">
        <f>IFERROR(__xludf.DUMMYFUNCTION("""COMPUTED_VALUE"""),"")</f>
        <v/>
      </c>
      <c r="E5286" s="17" t="str">
        <f>IFERROR(__xludf.DUMMYFUNCTION("""COMPUTED_VALUE"""),"")</f>
        <v/>
      </c>
      <c r="F5286" s="17" t="str">
        <f>IFERROR(__xludf.DUMMYFUNCTION("""COMPUTED_VALUE"""),"")</f>
        <v/>
      </c>
      <c r="G5286" s="17" t="str">
        <f>IFERROR(__xludf.DUMMYFUNCTION("""COMPUTED_VALUE"""),"")</f>
        <v/>
      </c>
      <c r="H5286" s="17" t="str">
        <f>IFERROR(__xludf.DUMMYFUNCTION("""COMPUTED_VALUE"""),"")</f>
        <v/>
      </c>
      <c r="I5286" s="17" t="str">
        <f>IFERROR(__xludf.DUMMYFUNCTION("""COMPUTED_VALUE"""),"")</f>
        <v/>
      </c>
      <c r="J5286" s="17" t="str">
        <f>IFERROR(__xludf.DUMMYFUNCTION("""COMPUTED_VALUE"""),"")</f>
        <v/>
      </c>
      <c r="K5286" s="17" t="str">
        <f>IFERROR(__xludf.DUMMYFUNCTION("""COMPUTED_VALUE"""),"")</f>
        <v/>
      </c>
      <c r="L5286" s="17" t="str">
        <f>IFERROR(__xludf.DUMMYFUNCTION("""COMPUTED_VALUE"""),"")</f>
        <v/>
      </c>
      <c r="M5286" s="17" t="str">
        <f>IFERROR(__xludf.DUMMYFUNCTION("""COMPUTED_VALUE"""),"")</f>
        <v/>
      </c>
      <c r="N5286" s="17" t="str">
        <f>IFERROR(__xludf.DUMMYFUNCTION("""COMPUTED_VALUE"""),"")</f>
        <v/>
      </c>
      <c r="O5286" s="17" t="str">
        <f>IFERROR(__xludf.DUMMYFUNCTION("""COMPUTED_VALUE"""),"")</f>
        <v/>
      </c>
      <c r="P5286" s="17" t="str">
        <f>IFERROR(__xludf.DUMMYFUNCTION("""COMPUTED_VALUE"""),"")</f>
        <v/>
      </c>
      <c r="Q5286" s="17" t="str">
        <f>IFERROR(__xludf.DUMMYFUNCTION("""COMPUTED_VALUE"""),"")</f>
        <v/>
      </c>
      <c r="R5286" s="17" t="str">
        <f>IFERROR(__xludf.DUMMYFUNCTION("""COMPUTED_VALUE"""),"")</f>
        <v/>
      </c>
    </row>
    <row r="5287">
      <c r="A5287" s="15">
        <f>IFERROR(__xludf.DUMMYFUNCTION("""COMPUTED_VALUE"""),45154.0)</f>
        <v>45154</v>
      </c>
      <c r="B5287" s="16" t="str">
        <f>IFERROR(__xludf.DUMMYFUNCTION("""COMPUTED_VALUE"""),"Jeison Rubiano")</f>
        <v>Jeison Rubiano</v>
      </c>
      <c r="C5287" s="15" t="str">
        <f>IFERROR(__xludf.DUMMYFUNCTION("""COMPUTED_VALUE"""),"BOGOTÁ")</f>
        <v>BOGOTÁ</v>
      </c>
      <c r="D5287" s="15" t="str">
        <f>IFERROR(__xludf.DUMMYFUNCTION("""COMPUTED_VALUE"""),"BUCARAMANGA")</f>
        <v>BUCARAMANGA</v>
      </c>
      <c r="E5287" s="15" t="str">
        <f>IFERROR(__xludf.DUMMYFUNCTION("""COMPUTED_VALUE"""),"Yo Como Solito")</f>
        <v>Yo Como Solito</v>
      </c>
      <c r="F5287" s="17" t="str">
        <f>IFERROR(__xludf.DUMMYFUNCTION("""COMPUTED_VALUE"""),"Calle 145 # 57-36 Int 12 apto 102 Conjunto Alameda de Santa Clara 3 (porteria sur) Colina Campestre  /  Calle 145 # 57-36 Int 12 apto 102 Conjunto Alameda de Santa Clara 3 (porteria sur) Colina Campestre  /  Calle 145 # 57-36 Int 12 apto 102 Conjunto Alam"&amp;"eda de Santa Clara 3 (porteria sur) Colina Campestre")</f>
        <v>Calle 145 # 57-36 Int 12 apto 102 Conjunto Alameda de Santa Clara 3 (porteria sur) Colina Campestre  /  Calle 145 # 57-36 Int 12 apto 102 Conjunto Alameda de Santa Clara 3 (porteria sur) Colina Campestre  /  Calle 145 # 57-36 Int 12 apto 102 Conjunto Alameda de Santa Clara 3 (porteria sur) Colina Campestre</v>
      </c>
      <c r="G5287" s="15" t="str">
        <f>IFERROR(__xludf.DUMMYFUNCTION("""COMPUTED_VALUE"""),"LINA PAOLA RAMIREZ")</f>
        <v>LINA PAOLA RAMIREZ</v>
      </c>
      <c r="H5287" s="16">
        <f>IFERROR(__xludf.DUMMYFUNCTION("""COMPUTED_VALUE"""),14007.0)</f>
        <v>14007</v>
      </c>
      <c r="I5287" s="18">
        <f>IFERROR(__xludf.DUMMYFUNCTION("""COMPUTED_VALUE"""),12.0)</f>
        <v>12</v>
      </c>
      <c r="J5287" s="18">
        <f>IFERROR(__xludf.DUMMYFUNCTION("""COMPUTED_VALUE"""),33.0)</f>
        <v>33</v>
      </c>
      <c r="K5287" s="18">
        <f>IFERROR(__xludf.DUMMYFUNCTION("""COMPUTED_VALUE"""),49.0)</f>
        <v>49</v>
      </c>
      <c r="L5287" s="17">
        <f>IFERROR(__xludf.DUMMYFUNCTION("""COMPUTED_VALUE"""),3.12327346E9)</f>
        <v>3123273460</v>
      </c>
      <c r="M5287" s="17" t="str">
        <f>IFERROR(__xludf.DUMMYFUNCTION("""COMPUTED_VALUE"""),"#REF!")</f>
        <v>#REF!</v>
      </c>
      <c r="N5287" s="17"/>
      <c r="O5287" s="17"/>
      <c r="P5287" s="17" t="b">
        <f>IFERROR(__xludf.DUMMYFUNCTION("""COMPUTED_VALUE"""),FALSE)</f>
        <v>0</v>
      </c>
      <c r="Q5287" s="20" t="str">
        <f>IFERROR(__xludf.DUMMYFUNCTION("""COMPUTED_VALUE"""),"")</f>
        <v/>
      </c>
      <c r="R5287" s="21" t="str">
        <f>IFERROR(__xludf.DUMMYFUNCTION("""COMPUTED_VALUE"""),"https://drive.google.com/file/d/1T7pRu_rs_ixdU4ids6oh6vfhT1zB9zKD/view?usp=drivesdk")</f>
        <v>https://drive.google.com/file/d/1T7pRu_rs_ixdU4ids6oh6vfhT1zB9zKD/view?usp=drivesdk</v>
      </c>
    </row>
    <row r="5288">
      <c r="A5288" s="15">
        <f>IFERROR(__xludf.DUMMYFUNCTION("""COMPUTED_VALUE"""),45154.0)</f>
        <v>45154</v>
      </c>
      <c r="B5288" s="16" t="str">
        <f>IFERROR(__xludf.DUMMYFUNCTION("""COMPUTED_VALUE"""),"Jeison Rubiano")</f>
        <v>Jeison Rubiano</v>
      </c>
      <c r="C5288" s="15" t="str">
        <f>IFERROR(__xludf.DUMMYFUNCTION("""COMPUTED_VALUE"""),"BOGOTÁ")</f>
        <v>BOGOTÁ</v>
      </c>
      <c r="D5288" s="15" t="str">
        <f>IFERROR(__xludf.DUMMYFUNCTION("""COMPUTED_VALUE"""),"CARTAGENA")</f>
        <v>CARTAGENA</v>
      </c>
      <c r="E5288" s="15" t="str">
        <f>IFERROR(__xludf.DUMMYFUNCTION("""COMPUTED_VALUE"""),"Mochi")</f>
        <v>Mochi</v>
      </c>
      <c r="F5288" s="17" t="str">
        <f>IFERROR(__xludf.DUMMYFUNCTION("""COMPUTED_VALUE"""),"CR 23 69 35 / 7 DE AGOSTO / 7 DE AGOSTO")</f>
        <v>CR 23 69 35 / 7 DE AGOSTO / 7 DE AGOSTO</v>
      </c>
      <c r="G5288" s="15" t="str">
        <f>IFERROR(__xludf.DUMMYFUNCTION("""COMPUTED_VALUE"""),"MAURICIO MORA")</f>
        <v>MAURICIO MORA</v>
      </c>
      <c r="H5288" s="16">
        <f>IFERROR(__xludf.DUMMYFUNCTION("""COMPUTED_VALUE"""),14046.0)</f>
        <v>14046</v>
      </c>
      <c r="I5288" s="18">
        <f>IFERROR(__xludf.DUMMYFUNCTION("""COMPUTED_VALUE"""),100.0)</f>
        <v>100</v>
      </c>
      <c r="J5288" s="18">
        <f>IFERROR(__xludf.DUMMYFUNCTION("""COMPUTED_VALUE"""),200.0)</f>
        <v>200</v>
      </c>
      <c r="K5288" s="18">
        <f>IFERROR(__xludf.DUMMYFUNCTION("""COMPUTED_VALUE"""),200.0)</f>
        <v>200</v>
      </c>
      <c r="L5288" s="17">
        <f>IFERROR(__xludf.DUMMYFUNCTION("""COMPUTED_VALUE"""),3.115177645E9)</f>
        <v>3115177645</v>
      </c>
      <c r="M5288" s="17" t="str">
        <f>IFERROR(__xludf.DUMMYFUNCTION("""COMPUTED_VALUE"""),"#REF!")</f>
        <v>#REF!</v>
      </c>
      <c r="N5288" s="17"/>
      <c r="O5288" s="17"/>
      <c r="P5288" s="17" t="b">
        <f>IFERROR(__xludf.DUMMYFUNCTION("""COMPUTED_VALUE"""),FALSE)</f>
        <v>0</v>
      </c>
      <c r="Q5288" s="20" t="str">
        <f>IFERROR(__xludf.DUMMYFUNCTION("""COMPUTED_VALUE"""),"")</f>
        <v/>
      </c>
      <c r="R5288" s="22" t="str">
        <f>IFERROR(__xludf.DUMMYFUNCTION("""COMPUTED_VALUE"""),"")</f>
        <v/>
      </c>
    </row>
    <row r="5289">
      <c r="A5289" s="15">
        <f>IFERROR(__xludf.DUMMYFUNCTION("""COMPUTED_VALUE"""),45154.0)</f>
        <v>45154</v>
      </c>
      <c r="B5289" s="16" t="str">
        <f>IFERROR(__xludf.DUMMYFUNCTION("""COMPUTED_VALUE"""),"Jeison Rubiano")</f>
        <v>Jeison Rubiano</v>
      </c>
      <c r="C5289" s="15" t="str">
        <f>IFERROR(__xludf.DUMMYFUNCTION("""COMPUTED_VALUE"""),"BOGOTÁ")</f>
        <v>BOGOTÁ</v>
      </c>
      <c r="D5289" s="15" t="str">
        <f>IFERROR(__xludf.DUMMYFUNCTION("""COMPUTED_VALUE"""),"MEDELLÍN")</f>
        <v>MEDELLÍN</v>
      </c>
      <c r="E5289" s="15" t="str">
        <f>IFERROR(__xludf.DUMMYFUNCTION("""COMPUTED_VALUE"""),"AREPAS LA MARY")</f>
        <v>AREPAS LA MARY</v>
      </c>
      <c r="F5289" s="17" t="str">
        <f>IFERROR(__xludf.DUMMYFUNCTION("""COMPUTED_VALUE"""),"Calle 63F # 75-13, Apartamento 503 / bogota")</f>
        <v>Calle 63F # 75-13, Apartamento 503 / bogota</v>
      </c>
      <c r="G5289" s="15" t="str">
        <f>IFERROR(__xludf.DUMMYFUNCTION("""COMPUTED_VALUE"""),"ANGELA RESTREPO")</f>
        <v>ANGELA RESTREPO</v>
      </c>
      <c r="H5289" s="16">
        <f>IFERROR(__xludf.DUMMYFUNCTION("""COMPUTED_VALUE"""),14016.0)</f>
        <v>14016</v>
      </c>
      <c r="I5289" s="18">
        <f>IFERROR(__xludf.DUMMYFUNCTION("""COMPUTED_VALUE"""),89.0)</f>
        <v>89</v>
      </c>
      <c r="J5289" s="18">
        <f>IFERROR(__xludf.DUMMYFUNCTION("""COMPUTED_VALUE"""),1.0)</f>
        <v>1</v>
      </c>
      <c r="K5289" s="18">
        <f>IFERROR(__xludf.DUMMYFUNCTION("""COMPUTED_VALUE"""),10.0)</f>
        <v>10</v>
      </c>
      <c r="L5289" s="17" t="str">
        <f>IFERROR(__xludf.DUMMYFUNCTION("""COMPUTED_VALUE"""),"316 7514587")</f>
        <v>316 7514587</v>
      </c>
      <c r="M5289" s="17" t="str">
        <f>IFERROR(__xludf.DUMMYFUNCTION("""COMPUTED_VALUE"""),"#REF!")</f>
        <v>#REF!</v>
      </c>
      <c r="N5289" s="17"/>
      <c r="O5289" s="17"/>
      <c r="P5289" s="17" t="b">
        <f>IFERROR(__xludf.DUMMYFUNCTION("""COMPUTED_VALUE"""),FALSE)</f>
        <v>0</v>
      </c>
      <c r="Q5289" s="20" t="str">
        <f>IFERROR(__xludf.DUMMYFUNCTION("""COMPUTED_VALUE"""),"")</f>
        <v/>
      </c>
      <c r="R5289" s="21" t="str">
        <f>IFERROR(__xludf.DUMMYFUNCTION("""COMPUTED_VALUE"""),"https://drive.google.com/file/d/1rPyWJ8RKci0JOVLyJQrqzfQ6B4mjC5jO/view?usp=drivesdk")</f>
        <v>https://drive.google.com/file/d/1rPyWJ8RKci0JOVLyJQrqzfQ6B4mjC5jO/view?usp=drivesdk</v>
      </c>
    </row>
    <row r="5290">
      <c r="A5290" s="15">
        <f>IFERROR(__xludf.DUMMYFUNCTION("""COMPUTED_VALUE"""),45154.0)</f>
        <v>45154</v>
      </c>
      <c r="B5290" s="16" t="str">
        <f>IFERROR(__xludf.DUMMYFUNCTION("""COMPUTED_VALUE"""),"Jeison Rubiano")</f>
        <v>Jeison Rubiano</v>
      </c>
      <c r="C5290" s="15" t="str">
        <f>IFERROR(__xludf.DUMMYFUNCTION("""COMPUTED_VALUE"""),"BOGOTÁ")</f>
        <v>BOGOTÁ</v>
      </c>
      <c r="D5290" s="15" t="str">
        <f>IFERROR(__xludf.DUMMYFUNCTION("""COMPUTED_VALUE"""),"MEDELLÍN")</f>
        <v>MEDELLÍN</v>
      </c>
      <c r="E5290" s="15" t="str">
        <f>IFERROR(__xludf.DUMMYFUNCTION("""COMPUTED_VALUE"""),"AREPAS LA MARY")</f>
        <v>AREPAS LA MARY</v>
      </c>
      <c r="F5290" s="17" t="str">
        <f>IFERROR(__xludf.DUMMYFUNCTION("""COMPUTED_VALUE"""),"Carrera 72a 23f-36 torre 2 apto 302 / BOGOTA")</f>
        <v>Carrera 72a 23f-36 torre 2 apto 302 / BOGOTA</v>
      </c>
      <c r="G5290" s="15" t="str">
        <f>IFERROR(__xludf.DUMMYFUNCTION("""COMPUTED_VALUE"""),"ERIKA ELIANA ESCALANTE")</f>
        <v>ERIKA ELIANA ESCALANTE</v>
      </c>
      <c r="H5290" s="16">
        <f>IFERROR(__xludf.DUMMYFUNCTION("""COMPUTED_VALUE"""),14019.0)</f>
        <v>14019</v>
      </c>
      <c r="I5290" s="18">
        <f>IFERROR(__xludf.DUMMYFUNCTION("""COMPUTED_VALUE"""),89.0)</f>
        <v>89</v>
      </c>
      <c r="J5290" s="18">
        <f>IFERROR(__xludf.DUMMYFUNCTION("""COMPUTED_VALUE"""),1.0)</f>
        <v>1</v>
      </c>
      <c r="K5290" s="18">
        <f>IFERROR(__xludf.DUMMYFUNCTION("""COMPUTED_VALUE"""),10.0)</f>
        <v>10</v>
      </c>
      <c r="L5290" s="17">
        <f>IFERROR(__xludf.DUMMYFUNCTION("""COMPUTED_VALUE"""),3.138404794E9)</f>
        <v>3138404794</v>
      </c>
      <c r="M5290" s="17" t="str">
        <f>IFERROR(__xludf.DUMMYFUNCTION("""COMPUTED_VALUE"""),"#REF!")</f>
        <v>#REF!</v>
      </c>
      <c r="N5290" s="17"/>
      <c r="O5290" s="17"/>
      <c r="P5290" s="17" t="b">
        <f>IFERROR(__xludf.DUMMYFUNCTION("""COMPUTED_VALUE"""),FALSE)</f>
        <v>0</v>
      </c>
      <c r="Q5290" s="20" t="str">
        <f>IFERROR(__xludf.DUMMYFUNCTION("""COMPUTED_VALUE"""),"")</f>
        <v/>
      </c>
      <c r="R5290" s="21" t="str">
        <f>IFERROR(__xludf.DUMMYFUNCTION("""COMPUTED_VALUE"""),"https://drive.google.com/file/d/1sbmH9oGjy4BYvs2polMudNd610Tufm37/view?usp=drivesdk")</f>
        <v>https://drive.google.com/file/d/1sbmH9oGjy4BYvs2polMudNd610Tufm37/view?usp=drivesdk</v>
      </c>
    </row>
    <row r="5291">
      <c r="A5291" s="15">
        <f>IFERROR(__xludf.DUMMYFUNCTION("""COMPUTED_VALUE"""),45154.0)</f>
        <v>45154</v>
      </c>
      <c r="B5291" s="16" t="str">
        <f>IFERROR(__xludf.DUMMYFUNCTION("""COMPUTED_VALUE"""),"Jeison Rubiano")</f>
        <v>Jeison Rubiano</v>
      </c>
      <c r="C5291" s="15" t="str">
        <f>IFERROR(__xludf.DUMMYFUNCTION("""COMPUTED_VALUE"""),"BOGOTÁ")</f>
        <v>BOGOTÁ</v>
      </c>
      <c r="D5291" s="15" t="str">
        <f>IFERROR(__xludf.DUMMYFUNCTION("""COMPUTED_VALUE"""),"MEDELLÍN")</f>
        <v>MEDELLÍN</v>
      </c>
      <c r="E5291" s="15" t="str">
        <f>IFERROR(__xludf.DUMMYFUNCTION("""COMPUTED_VALUE"""),"AREPAS LA MARY")</f>
        <v>AREPAS LA MARY</v>
      </c>
      <c r="F5291" s="17" t="str">
        <f>IFERROR(__xludf.DUMMYFUNCTION("""COMPUTED_VALUE"""),"CRA 9 N.85 75 APTO 602 / bogota")</f>
        <v>CRA 9 N.85 75 APTO 602 / bogota</v>
      </c>
      <c r="G5291" s="15" t="str">
        <f>IFERROR(__xludf.DUMMYFUNCTION("""COMPUTED_VALUE"""),"LINA ENRIQUEZ")</f>
        <v>LINA ENRIQUEZ</v>
      </c>
      <c r="H5291" s="16">
        <f>IFERROR(__xludf.DUMMYFUNCTION("""COMPUTED_VALUE"""),14017.0)</f>
        <v>14017</v>
      </c>
      <c r="I5291" s="18">
        <f>IFERROR(__xludf.DUMMYFUNCTION("""COMPUTED_VALUE"""),89.0)</f>
        <v>89</v>
      </c>
      <c r="J5291" s="18">
        <f>IFERROR(__xludf.DUMMYFUNCTION("""COMPUTED_VALUE"""),1.0)</f>
        <v>1</v>
      </c>
      <c r="K5291" s="18">
        <f>IFERROR(__xludf.DUMMYFUNCTION("""COMPUTED_VALUE"""),10.0)</f>
        <v>10</v>
      </c>
      <c r="L5291" s="17">
        <f>IFERROR(__xludf.DUMMYFUNCTION("""COMPUTED_VALUE"""),3.214265812E9)</f>
        <v>3214265812</v>
      </c>
      <c r="M5291" s="17" t="str">
        <f>IFERROR(__xludf.DUMMYFUNCTION("""COMPUTED_VALUE"""),"#REF!")</f>
        <v>#REF!</v>
      </c>
      <c r="N5291" s="17"/>
      <c r="O5291" s="17"/>
      <c r="P5291" s="17" t="b">
        <f>IFERROR(__xludf.DUMMYFUNCTION("""COMPUTED_VALUE"""),FALSE)</f>
        <v>0</v>
      </c>
      <c r="Q5291" s="20" t="str">
        <f>IFERROR(__xludf.DUMMYFUNCTION("""COMPUTED_VALUE"""),"")</f>
        <v/>
      </c>
      <c r="R5291" s="21" t="str">
        <f>IFERROR(__xludf.DUMMYFUNCTION("""COMPUTED_VALUE"""),"https://drive.google.com/file/d/1bmHk-Bo03k7Mz10Mqvv-hR-sN1dRqTLr/view?usp=drivesdk")</f>
        <v>https://drive.google.com/file/d/1bmHk-Bo03k7Mz10Mqvv-hR-sN1dRqTLr/view?usp=drivesdk</v>
      </c>
    </row>
    <row r="5292">
      <c r="A5292" s="15">
        <f>IFERROR(__xludf.DUMMYFUNCTION("""COMPUTED_VALUE"""),45154.0)</f>
        <v>45154</v>
      </c>
      <c r="B5292" s="16" t="str">
        <f>IFERROR(__xludf.DUMMYFUNCTION("""COMPUTED_VALUE"""),"Jeison Rubiano")</f>
        <v>Jeison Rubiano</v>
      </c>
      <c r="C5292" s="15" t="str">
        <f>IFERROR(__xludf.DUMMYFUNCTION("""COMPUTED_VALUE"""),"BOGOTÁ")</f>
        <v>BOGOTÁ</v>
      </c>
      <c r="D5292" s="15" t="str">
        <f>IFERROR(__xludf.DUMMYFUNCTION("""COMPUTED_VALUE"""),"MEDELLÍN")</f>
        <v>MEDELLÍN</v>
      </c>
      <c r="E5292" s="15" t="str">
        <f>IFERROR(__xludf.DUMMYFUNCTION("""COMPUTED_VALUE"""),"Baby Chef")</f>
        <v>Baby Chef</v>
      </c>
      <c r="F5292" s="17" t="str">
        <f>IFERROR(__xludf.DUMMYFUNCTION("""COMPUTED_VALUE"""),"Calle 10 # 80-41 torre 5 apto 920 conjunto Oasis de Castilla - Barrio Castilla / Calle 10 # 80-41 torre 5 apto 920 conjunto Oasis de Castilla - Barrio Castilla / Calle 10 # 80-41 torre 5 apto 920 conjunto Oasis de Castilla - Barrio Castilla")</f>
        <v>Calle 10 # 80-41 torre 5 apto 920 conjunto Oasis de Castilla - Barrio Castilla / Calle 10 # 80-41 torre 5 apto 920 conjunto Oasis de Castilla - Barrio Castilla / Calle 10 # 80-41 torre 5 apto 920 conjunto Oasis de Castilla - Barrio Castilla</v>
      </c>
      <c r="G5292" s="15" t="str">
        <f>IFERROR(__xludf.DUMMYFUNCTION("""COMPUTED_VALUE"""),"Katherine Castro")</f>
        <v>Katherine Castro</v>
      </c>
      <c r="H5292" s="16">
        <f>IFERROR(__xludf.DUMMYFUNCTION("""COMPUTED_VALUE"""),14028.0)</f>
        <v>14028</v>
      </c>
      <c r="I5292" s="18">
        <f>IFERROR(__xludf.DUMMYFUNCTION("""COMPUTED_VALUE"""),8.0)</f>
        <v>8</v>
      </c>
      <c r="J5292" s="18">
        <f>IFERROR(__xludf.DUMMYFUNCTION("""COMPUTED_VALUE"""),20.0)</f>
        <v>20</v>
      </c>
      <c r="K5292" s="18">
        <f>IFERROR(__xludf.DUMMYFUNCTION("""COMPUTED_VALUE"""),21.0)</f>
        <v>21</v>
      </c>
      <c r="L5292" s="17">
        <f>IFERROR(__xludf.DUMMYFUNCTION("""COMPUTED_VALUE"""),3.005931932E9)</f>
        <v>3005931932</v>
      </c>
      <c r="M5292" s="17" t="str">
        <f>IFERROR(__xludf.DUMMYFUNCTION("""COMPUTED_VALUE"""),"#REF!")</f>
        <v>#REF!</v>
      </c>
      <c r="N5292" s="17"/>
      <c r="O5292" s="17"/>
      <c r="P5292" s="17" t="b">
        <f>IFERROR(__xludf.DUMMYFUNCTION("""COMPUTED_VALUE"""),FALSE)</f>
        <v>0</v>
      </c>
      <c r="Q5292" s="20" t="str">
        <f>IFERROR(__xludf.DUMMYFUNCTION("""COMPUTED_VALUE"""),"")</f>
        <v/>
      </c>
      <c r="R5292" s="21" t="str">
        <f>IFERROR(__xludf.DUMMYFUNCTION("""COMPUTED_VALUE"""),"https://drive.google.com/file/d/1_rqcT-eqtP6rMuqZ6prxIFFRWNZUbvh3/view?usp=drivesdk")</f>
        <v>https://drive.google.com/file/d/1_rqcT-eqtP6rMuqZ6prxIFFRWNZUbvh3/view?usp=drivesdk</v>
      </c>
    </row>
    <row r="5293">
      <c r="A5293" s="15">
        <f>IFERROR(__xludf.DUMMYFUNCTION("""COMPUTED_VALUE"""),45154.0)</f>
        <v>45154</v>
      </c>
      <c r="B5293" s="16" t="str">
        <f>IFERROR(__xludf.DUMMYFUNCTION("""COMPUTED_VALUE"""),"Jeison Rubiano")</f>
        <v>Jeison Rubiano</v>
      </c>
      <c r="C5293" s="15" t="str">
        <f>IFERROR(__xludf.DUMMYFUNCTION("""COMPUTED_VALUE"""),"BOGOTÁ")</f>
        <v>BOGOTÁ</v>
      </c>
      <c r="D5293" s="15" t="str">
        <f>IFERROR(__xludf.DUMMYFUNCTION("""COMPUTED_VALUE"""),"MEDELLÍN")</f>
        <v>MEDELLÍN</v>
      </c>
      <c r="E5293" s="15" t="str">
        <f>IFERROR(__xludf.DUMMYFUNCTION("""COMPUTED_VALUE"""),"Baby Chef")</f>
        <v>Baby Chef</v>
      </c>
      <c r="F5293" s="17" t="str">
        <f>IFERROR(__xludf.DUMMYFUNCTION("""COMPUTED_VALUE"""),"Calle 129 #54-75 interior 11 apto 303 Barrio prado jardin Conjunto el poblado  / Calle 129 #54-75 interior 11 apto 303 Barrio prado jardin Conjunto el poblado  / Calle 129 #54-75 interior 11 apto 303 Barrio prado jardin Conjunto el poblado")</f>
        <v>Calle 129 #54-75 interior 11 apto 303 Barrio prado jardin Conjunto el poblado  / Calle 129 #54-75 interior 11 apto 303 Barrio prado jardin Conjunto el poblado  / Calle 129 #54-75 interior 11 apto 303 Barrio prado jardin Conjunto el poblado</v>
      </c>
      <c r="G5293" s="15" t="str">
        <f>IFERROR(__xludf.DUMMYFUNCTION("""COMPUTED_VALUE"""),"Leidy Yate")</f>
        <v>Leidy Yate</v>
      </c>
      <c r="H5293" s="16">
        <f>IFERROR(__xludf.DUMMYFUNCTION("""COMPUTED_VALUE"""),14031.0)</f>
        <v>14031</v>
      </c>
      <c r="I5293" s="18">
        <f>IFERROR(__xludf.DUMMYFUNCTION("""COMPUTED_VALUE"""),8.0)</f>
        <v>8</v>
      </c>
      <c r="J5293" s="18">
        <f>IFERROR(__xludf.DUMMYFUNCTION("""COMPUTED_VALUE"""),30.0)</f>
        <v>30</v>
      </c>
      <c r="K5293" s="18">
        <f>IFERROR(__xludf.DUMMYFUNCTION("""COMPUTED_VALUE"""),22.0)</f>
        <v>22</v>
      </c>
      <c r="L5293" s="17">
        <f>IFERROR(__xludf.DUMMYFUNCTION("""COMPUTED_VALUE"""),3.058113207E9)</f>
        <v>3058113207</v>
      </c>
      <c r="M5293" s="17" t="str">
        <f>IFERROR(__xludf.DUMMYFUNCTION("""COMPUTED_VALUE"""),"#REF!")</f>
        <v>#REF!</v>
      </c>
      <c r="N5293" s="17"/>
      <c r="O5293" s="17"/>
      <c r="P5293" s="17" t="b">
        <f>IFERROR(__xludf.DUMMYFUNCTION("""COMPUTED_VALUE"""),TRUE)</f>
        <v>1</v>
      </c>
      <c r="Q5293" s="20">
        <f>IFERROR(__xludf.DUMMYFUNCTION("""COMPUTED_VALUE"""),45154.65781618055)</f>
        <v>45154.65782</v>
      </c>
      <c r="R5293" s="21" t="str">
        <f>IFERROR(__xludf.DUMMYFUNCTION("""COMPUTED_VALUE"""),"https://drive.google.com/file/d/1kibWlCNdKIhl1zji1Z_tMuAR34X9FdRq/view?usp=drivesdk")</f>
        <v>https://drive.google.com/file/d/1kibWlCNdKIhl1zji1Z_tMuAR34X9FdRq/view?usp=drivesdk</v>
      </c>
    </row>
    <row r="5294">
      <c r="A5294" s="15">
        <f>IFERROR(__xludf.DUMMYFUNCTION("""COMPUTED_VALUE"""),45154.0)</f>
        <v>45154</v>
      </c>
      <c r="B5294" s="16" t="str">
        <f>IFERROR(__xludf.DUMMYFUNCTION("""COMPUTED_VALUE"""),"Jeison Rubiano")</f>
        <v>Jeison Rubiano</v>
      </c>
      <c r="C5294" s="15" t="str">
        <f>IFERROR(__xludf.DUMMYFUNCTION("""COMPUTED_VALUE"""),"BOGOTÁ")</f>
        <v>BOGOTÁ</v>
      </c>
      <c r="D5294" s="15" t="str">
        <f>IFERROR(__xludf.DUMMYFUNCTION("""COMPUTED_VALUE"""),"MEDELLÍN")</f>
        <v>MEDELLÍN</v>
      </c>
      <c r="E5294" s="15" t="str">
        <f>IFERROR(__xludf.DUMMYFUNCTION("""COMPUTED_VALUE"""),"Baby Chef")</f>
        <v>Baby Chef</v>
      </c>
      <c r="F5294" s="17" t="str">
        <f>IFERROR(__xludf.DUMMYFUNCTION("""COMPUTED_VALUE"""),"Carrera 58#80-75 entrerios unidad 10 Apartamento 206 / ""Carrera 58#80-75 entrerios unidad 10 Apartamento 206"" / ""Carrera 58#80-75 entrerios unidad 10 Apartamento 206""")</f>
        <v>Carrera 58#80-75 entrerios unidad 10 Apartamento 206 / "Carrera 58#80-75 entrerios unidad 10 Apartamento 206" / "Carrera 58#80-75 entrerios unidad 10 Apartamento 206"</v>
      </c>
      <c r="G5294" s="15" t="str">
        <f>IFERROR(__xludf.DUMMYFUNCTION("""COMPUTED_VALUE"""),"Diana Cetina")</f>
        <v>Diana Cetina</v>
      </c>
      <c r="H5294" s="16">
        <f>IFERROR(__xludf.DUMMYFUNCTION("""COMPUTED_VALUE"""),14033.0)</f>
        <v>14033</v>
      </c>
      <c r="I5294" s="18">
        <f>IFERROR(__xludf.DUMMYFUNCTION("""COMPUTED_VALUE"""),8.0)</f>
        <v>8</v>
      </c>
      <c r="J5294" s="18">
        <f>IFERROR(__xludf.DUMMYFUNCTION("""COMPUTED_VALUE"""),28.0)</f>
        <v>28</v>
      </c>
      <c r="K5294" s="18">
        <f>IFERROR(__xludf.DUMMYFUNCTION("""COMPUTED_VALUE"""),20.0)</f>
        <v>20</v>
      </c>
      <c r="L5294" s="17">
        <f>IFERROR(__xludf.DUMMYFUNCTION("""COMPUTED_VALUE"""),3.142986203E9)</f>
        <v>3142986203</v>
      </c>
      <c r="M5294" s="17" t="str">
        <f>IFERROR(__xludf.DUMMYFUNCTION("""COMPUTED_VALUE"""),"#REF!")</f>
        <v>#REF!</v>
      </c>
      <c r="N5294" s="17"/>
      <c r="O5294" s="17"/>
      <c r="P5294" s="17" t="b">
        <f>IFERROR(__xludf.DUMMYFUNCTION("""COMPUTED_VALUE"""),FALSE)</f>
        <v>0</v>
      </c>
      <c r="Q5294" s="20" t="str">
        <f>IFERROR(__xludf.DUMMYFUNCTION("""COMPUTED_VALUE"""),"")</f>
        <v/>
      </c>
      <c r="R5294" s="22" t="str">
        <f>IFERROR(__xludf.DUMMYFUNCTION("""COMPUTED_VALUE"""),"")</f>
        <v/>
      </c>
    </row>
    <row r="5295">
      <c r="A5295" s="15">
        <f>IFERROR(__xludf.DUMMYFUNCTION("""COMPUTED_VALUE"""),45154.0)</f>
        <v>45154</v>
      </c>
      <c r="B5295" s="16" t="str">
        <f>IFERROR(__xludf.DUMMYFUNCTION("""COMPUTED_VALUE"""),"Jeison Rubiano")</f>
        <v>Jeison Rubiano</v>
      </c>
      <c r="C5295" s="15" t="str">
        <f>IFERROR(__xludf.DUMMYFUNCTION("""COMPUTED_VALUE"""),"BOGOTÁ")</f>
        <v>BOGOTÁ</v>
      </c>
      <c r="D5295" s="15" t="str">
        <f>IFERROR(__xludf.DUMMYFUNCTION("""COMPUTED_VALUE"""),"MEDELLÍN")</f>
        <v>MEDELLÍN</v>
      </c>
      <c r="E5295" s="15" t="str">
        <f>IFERROR(__xludf.DUMMYFUNCTION("""COMPUTED_VALUE"""),"Baby Chef")</f>
        <v>Baby Chef</v>
      </c>
      <c r="F5295" s="17" t="str">
        <f>IFERROR(__xludf.DUMMYFUNCTION("""COMPUTED_VALUE"""),"Cra 112 #22d-13 piso 1 bodega Atahualpa fontibon / Cra 112 #22d-13 piso 1 bodega Atahualpa fontibon / Cra 112 #22d-13 piso 1 bodega Atahualpa fontibon")</f>
        <v>Cra 112 #22d-13 piso 1 bodega Atahualpa fontibon / Cra 112 #22d-13 piso 1 bodega Atahualpa fontibon / Cra 112 #22d-13 piso 1 bodega Atahualpa fontibon</v>
      </c>
      <c r="G5295" s="15" t="str">
        <f>IFERROR(__xludf.DUMMYFUNCTION("""COMPUTED_VALUE"""),"Sebastian Suarez Acevedo")</f>
        <v>Sebastian Suarez Acevedo</v>
      </c>
      <c r="H5295" s="16">
        <f>IFERROR(__xludf.DUMMYFUNCTION("""COMPUTED_VALUE"""),14030.0)</f>
        <v>14030</v>
      </c>
      <c r="I5295" s="18">
        <f>IFERROR(__xludf.DUMMYFUNCTION("""COMPUTED_VALUE"""),8.0)</f>
        <v>8</v>
      </c>
      <c r="J5295" s="18">
        <f>IFERROR(__xludf.DUMMYFUNCTION("""COMPUTED_VALUE"""),35.0)</f>
        <v>35</v>
      </c>
      <c r="K5295" s="18">
        <f>IFERROR(__xludf.DUMMYFUNCTION("""COMPUTED_VALUE"""),27.0)</f>
        <v>27</v>
      </c>
      <c r="L5295" s="17">
        <f>IFERROR(__xludf.DUMMYFUNCTION("""COMPUTED_VALUE"""),3.214205121E9)</f>
        <v>3214205121</v>
      </c>
      <c r="M5295" s="17" t="str">
        <f>IFERROR(__xludf.DUMMYFUNCTION("""COMPUTED_VALUE"""),"#REF!")</f>
        <v>#REF!</v>
      </c>
      <c r="N5295" s="17"/>
      <c r="O5295" s="17"/>
      <c r="P5295" s="17" t="b">
        <f>IFERROR(__xludf.DUMMYFUNCTION("""COMPUTED_VALUE"""),FALSE)</f>
        <v>0</v>
      </c>
      <c r="Q5295" s="20" t="str">
        <f>IFERROR(__xludf.DUMMYFUNCTION("""COMPUTED_VALUE"""),"")</f>
        <v/>
      </c>
      <c r="R5295" s="21" t="str">
        <f>IFERROR(__xludf.DUMMYFUNCTION("""COMPUTED_VALUE"""),"https://drive.google.com/file/d/1NGlQ7bTJXHWlaXPRldD-oGnxjr0yp76D/view?usp=drivesdk")</f>
        <v>https://drive.google.com/file/d/1NGlQ7bTJXHWlaXPRldD-oGnxjr0yp76D/view?usp=drivesdk</v>
      </c>
    </row>
    <row r="5296">
      <c r="A5296" s="15">
        <f>IFERROR(__xludf.DUMMYFUNCTION("""COMPUTED_VALUE"""),45154.0)</f>
        <v>45154</v>
      </c>
      <c r="B5296" s="16" t="str">
        <f>IFERROR(__xludf.DUMMYFUNCTION("""COMPUTED_VALUE"""),"Jeison Rubiano")</f>
        <v>Jeison Rubiano</v>
      </c>
      <c r="C5296" s="15" t="str">
        <f>IFERROR(__xludf.DUMMYFUNCTION("""COMPUTED_VALUE"""),"BOGOTÁ")</f>
        <v>BOGOTÁ</v>
      </c>
      <c r="D5296" s="15" t="str">
        <f>IFERROR(__xludf.DUMMYFUNCTION("""COMPUTED_VALUE"""),"MEDELLÍN")</f>
        <v>MEDELLÍN</v>
      </c>
      <c r="E5296" s="15" t="str">
        <f>IFERROR(__xludf.DUMMYFUNCTION("""COMPUTED_VALUE"""),"Baby Chef")</f>
        <v>Baby Chef</v>
      </c>
      <c r="F5296" s="17" t="str">
        <f>IFERROR(__xludf.DUMMYFUNCTION("""COMPUTED_VALUE"""),"Cra 81d 25c-31 barrio modelia casa  / Cra 81d 25c-31 barrio modelia casa  / Cra 81d 25c-31 barrio modelia casa")</f>
        <v>Cra 81d 25c-31 barrio modelia casa  / Cra 81d 25c-31 barrio modelia casa  / Cra 81d 25c-31 barrio modelia casa</v>
      </c>
      <c r="G5296" s="15" t="str">
        <f>IFERROR(__xludf.DUMMYFUNCTION("""COMPUTED_VALUE"""),"María de la Cruz ochoa")</f>
        <v>María de la Cruz ochoa</v>
      </c>
      <c r="H5296" s="16">
        <f>IFERROR(__xludf.DUMMYFUNCTION("""COMPUTED_VALUE"""),14037.0)</f>
        <v>14037</v>
      </c>
      <c r="I5296" s="18">
        <f>IFERROR(__xludf.DUMMYFUNCTION("""COMPUTED_VALUE"""),8.0)</f>
        <v>8</v>
      </c>
      <c r="J5296" s="18">
        <f>IFERROR(__xludf.DUMMYFUNCTION("""COMPUTED_VALUE"""),30.0)</f>
        <v>30</v>
      </c>
      <c r="K5296" s="18">
        <f>IFERROR(__xludf.DUMMYFUNCTION("""COMPUTED_VALUE"""),17.0)</f>
        <v>17</v>
      </c>
      <c r="L5296" s="17">
        <f>IFERROR(__xludf.DUMMYFUNCTION("""COMPUTED_VALUE"""),3.212060057E9)</f>
        <v>3212060057</v>
      </c>
      <c r="M5296" s="17" t="str">
        <f>IFERROR(__xludf.DUMMYFUNCTION("""COMPUTED_VALUE"""),"#REF!")</f>
        <v>#REF!</v>
      </c>
      <c r="N5296" s="17"/>
      <c r="O5296" s="17"/>
      <c r="P5296" s="17" t="b">
        <f>IFERROR(__xludf.DUMMYFUNCTION("""COMPUTED_VALUE"""),FALSE)</f>
        <v>0</v>
      </c>
      <c r="Q5296" s="20" t="str">
        <f>IFERROR(__xludf.DUMMYFUNCTION("""COMPUTED_VALUE"""),"")</f>
        <v/>
      </c>
      <c r="R5296" s="22" t="str">
        <f>IFERROR(__xludf.DUMMYFUNCTION("""COMPUTED_VALUE"""),"")</f>
        <v/>
      </c>
    </row>
    <row r="5297">
      <c r="A5297" s="15">
        <f>IFERROR(__xludf.DUMMYFUNCTION("""COMPUTED_VALUE"""),45154.0)</f>
        <v>45154</v>
      </c>
      <c r="B5297" s="16" t="str">
        <f>IFERROR(__xludf.DUMMYFUNCTION("""COMPUTED_VALUE"""),"Jeison Rubiano")</f>
        <v>Jeison Rubiano</v>
      </c>
      <c r="C5297" s="15" t="str">
        <f>IFERROR(__xludf.DUMMYFUNCTION("""COMPUTED_VALUE"""),"BOGOTÁ")</f>
        <v>BOGOTÁ</v>
      </c>
      <c r="D5297" s="15" t="str">
        <f>IFERROR(__xludf.DUMMYFUNCTION("""COMPUTED_VALUE"""),"MEDELLÍN")</f>
        <v>MEDELLÍN</v>
      </c>
      <c r="E5297" s="15" t="str">
        <f>IFERROR(__xludf.DUMMYFUNCTION("""COMPUTED_VALUE"""),"Baby Chef")</f>
        <v>Baby Chef</v>
      </c>
      <c r="F5297" s="17" t="str">
        <f>IFERROR(__xludf.DUMMYFUNCTION("""COMPUTED_VALUE"""),"CRA 96A 72-80 CASA / ""CRA 96A 72-80 CASA"" / ""CRA 96A 72-80 CASA""")</f>
        <v>CRA 96A 72-80 CASA / "CRA 96A 72-80 CASA" / "CRA 96A 72-80 CASA"</v>
      </c>
      <c r="G5297" s="15" t="str">
        <f>IFERROR(__xludf.DUMMYFUNCTION("""COMPUTED_VALUE"""),"Astrid Nayibe Torrado Nino")</f>
        <v>Astrid Nayibe Torrado Nino</v>
      </c>
      <c r="H5297" s="16">
        <f>IFERROR(__xludf.DUMMYFUNCTION("""COMPUTED_VALUE"""),14027.0)</f>
        <v>14027</v>
      </c>
      <c r="I5297" s="18">
        <f>IFERROR(__xludf.DUMMYFUNCTION("""COMPUTED_VALUE"""),8.0)</f>
        <v>8</v>
      </c>
      <c r="J5297" s="18">
        <f>IFERROR(__xludf.DUMMYFUNCTION("""COMPUTED_VALUE"""),22.0)</f>
        <v>22</v>
      </c>
      <c r="K5297" s="18">
        <f>IFERROR(__xludf.DUMMYFUNCTION("""COMPUTED_VALUE"""),21.0)</f>
        <v>21</v>
      </c>
      <c r="L5297" s="17">
        <f>IFERROR(__xludf.DUMMYFUNCTION("""COMPUTED_VALUE"""),3.223110276E9)</f>
        <v>3223110276</v>
      </c>
      <c r="M5297" s="17" t="str">
        <f>IFERROR(__xludf.DUMMYFUNCTION("""COMPUTED_VALUE"""),"#REF!")</f>
        <v>#REF!</v>
      </c>
      <c r="N5297" s="17"/>
      <c r="O5297" s="17"/>
      <c r="P5297" s="17" t="b">
        <f>IFERROR(__xludf.DUMMYFUNCTION("""COMPUTED_VALUE"""),FALSE)</f>
        <v>0</v>
      </c>
      <c r="Q5297" s="20" t="str">
        <f>IFERROR(__xludf.DUMMYFUNCTION("""COMPUTED_VALUE"""),"")</f>
        <v/>
      </c>
      <c r="R5297" s="21" t="str">
        <f>IFERROR(__xludf.DUMMYFUNCTION("""COMPUTED_VALUE"""),"https://drive.google.com/file/d/1GhBBiUuqlLma-JbxV2WDvr18XuFqkK1y/view?usp=drivesdk")</f>
        <v>https://drive.google.com/file/d/1GhBBiUuqlLma-JbxV2WDvr18XuFqkK1y/view?usp=drivesdk</v>
      </c>
    </row>
    <row r="5298">
      <c r="A5298" s="15">
        <f>IFERROR(__xludf.DUMMYFUNCTION("""COMPUTED_VALUE"""),45154.0)</f>
        <v>45154</v>
      </c>
      <c r="B5298" s="16" t="str">
        <f>IFERROR(__xludf.DUMMYFUNCTION("""COMPUTED_VALUE"""),"Jeison Rubiano")</f>
        <v>Jeison Rubiano</v>
      </c>
      <c r="C5298" s="15" t="str">
        <f>IFERROR(__xludf.DUMMYFUNCTION("""COMPUTED_VALUE"""),"BOGOTÁ")</f>
        <v>BOGOTÁ</v>
      </c>
      <c r="D5298" s="15" t="str">
        <f>IFERROR(__xludf.DUMMYFUNCTION("""COMPUTED_VALUE"""),"MEDELLÍN")</f>
        <v>MEDELLÍN</v>
      </c>
      <c r="E5298" s="15" t="str">
        <f>IFERROR(__xludf.DUMMYFUNCTION("""COMPUTED_VALUE"""),"Baby Chef")</f>
        <v>Baby Chef</v>
      </c>
      <c r="F5298" s="17" t="str">
        <f>IFERROR(__xludf.DUMMYFUNCTION("""COMPUTED_VALUE"""),"Transv 76 no 130-48 503 torre 1 / ""Transv 76 no 130-48 503 torre 1"" / ""Transv 76 no 130-48 503 torre 1""")</f>
        <v>Transv 76 no 130-48 503 torre 1 / "Transv 76 no 130-48 503 torre 1" / "Transv 76 no 130-48 503 torre 1"</v>
      </c>
      <c r="G5298" s="15" t="str">
        <f>IFERROR(__xludf.DUMMYFUNCTION("""COMPUTED_VALUE"""),"Diana Harker")</f>
        <v>Diana Harker</v>
      </c>
      <c r="H5298" s="16">
        <f>IFERROR(__xludf.DUMMYFUNCTION("""COMPUTED_VALUE"""),14029.0)</f>
        <v>14029</v>
      </c>
      <c r="I5298" s="18">
        <f>IFERROR(__xludf.DUMMYFUNCTION("""COMPUTED_VALUE"""),8.0)</f>
        <v>8</v>
      </c>
      <c r="J5298" s="18">
        <f>IFERROR(__xludf.DUMMYFUNCTION("""COMPUTED_VALUE"""),21.0)</f>
        <v>21</v>
      </c>
      <c r="K5298" s="18">
        <f>IFERROR(__xludf.DUMMYFUNCTION("""COMPUTED_VALUE"""),25.0)</f>
        <v>25</v>
      </c>
      <c r="L5298" s="17">
        <f>IFERROR(__xludf.DUMMYFUNCTION("""COMPUTED_VALUE"""),3.125210868E9)</f>
        <v>3125210868</v>
      </c>
      <c r="M5298" s="17" t="str">
        <f>IFERROR(__xludf.DUMMYFUNCTION("""COMPUTED_VALUE"""),"#REF!")</f>
        <v>#REF!</v>
      </c>
      <c r="N5298" s="17"/>
      <c r="O5298" s="17"/>
      <c r="P5298" s="17" t="b">
        <f>IFERROR(__xludf.DUMMYFUNCTION("""COMPUTED_VALUE"""),TRUE)</f>
        <v>1</v>
      </c>
      <c r="Q5298" s="20">
        <f>IFERROR(__xludf.DUMMYFUNCTION("""COMPUTED_VALUE"""),45154.6877192824)</f>
        <v>45154.68772</v>
      </c>
      <c r="R5298" s="21" t="str">
        <f>IFERROR(__xludf.DUMMYFUNCTION("""COMPUTED_VALUE"""),"https://drive.google.com/file/d/1ewb3yMxoUqnYfPLZPNvlumTwOhP8E4_E/view?usp=drivesdk")</f>
        <v>https://drive.google.com/file/d/1ewb3yMxoUqnYfPLZPNvlumTwOhP8E4_E/view?usp=drivesdk</v>
      </c>
    </row>
    <row r="5299">
      <c r="A5299" s="15">
        <f>IFERROR(__xludf.DUMMYFUNCTION("""COMPUTED_VALUE"""),45154.0)</f>
        <v>45154</v>
      </c>
      <c r="B5299" s="16" t="str">
        <f>IFERROR(__xludf.DUMMYFUNCTION("""COMPUTED_VALUE"""),"Jeison Rubiano")</f>
        <v>Jeison Rubiano</v>
      </c>
      <c r="C5299" s="15" t="str">
        <f>IFERROR(__xludf.DUMMYFUNCTION("""COMPUTED_VALUE"""),"BOGOTÁ")</f>
        <v>BOGOTÁ</v>
      </c>
      <c r="D5299" s="15" t="str">
        <f>IFERROR(__xludf.DUMMYFUNCTION("""COMPUTED_VALUE"""),"MEDELLÍN")</f>
        <v>MEDELLÍN</v>
      </c>
      <c r="E5299" s="15" t="str">
        <f>IFERROR(__xludf.DUMMYFUNCTION("""COMPUTED_VALUE"""),"Goyo Todo por ellos")</f>
        <v>Goyo Todo por ellos</v>
      </c>
      <c r="F5299" s="17" t="str">
        <f>IFERROR(__xludf.DUMMYFUNCTION("""COMPUTED_VALUE"""),"Calle 34 Sur #52 44 / Localidad Puente Aranda / Barrio Alcala")</f>
        <v>Calle 34 Sur #52 44 / Localidad Puente Aranda / Barrio Alcala</v>
      </c>
      <c r="G5299" s="15" t="str">
        <f>IFERROR(__xludf.DUMMYFUNCTION("""COMPUTED_VALUE"""),"Ana Maria Castañeda")</f>
        <v>Ana Maria Castañeda</v>
      </c>
      <c r="H5299" s="16">
        <f>IFERROR(__xludf.DUMMYFUNCTION("""COMPUTED_VALUE"""),14038.0)</f>
        <v>14038</v>
      </c>
      <c r="I5299" s="18">
        <f>IFERROR(__xludf.DUMMYFUNCTION("""COMPUTED_VALUE"""),23.0)</f>
        <v>23</v>
      </c>
      <c r="J5299" s="18">
        <f>IFERROR(__xludf.DUMMYFUNCTION("""COMPUTED_VALUE"""),30.0)</f>
        <v>30</v>
      </c>
      <c r="K5299" s="18">
        <f>IFERROR(__xludf.DUMMYFUNCTION("""COMPUTED_VALUE"""),24.0)</f>
        <v>24</v>
      </c>
      <c r="L5299" s="17">
        <f>IFERROR(__xludf.DUMMYFUNCTION("""COMPUTED_VALUE"""),3.02214082E9)</f>
        <v>3022140820</v>
      </c>
      <c r="M5299" s="17" t="str">
        <f>IFERROR(__xludf.DUMMYFUNCTION("""COMPUTED_VALUE"""),"#REF!")</f>
        <v>#REF!</v>
      </c>
      <c r="N5299" s="17"/>
      <c r="O5299" s="17"/>
      <c r="P5299" s="17" t="b">
        <f>IFERROR(__xludf.DUMMYFUNCTION("""COMPUTED_VALUE"""),FALSE)</f>
        <v>0</v>
      </c>
      <c r="Q5299" s="20" t="str">
        <f>IFERROR(__xludf.DUMMYFUNCTION("""COMPUTED_VALUE"""),"")</f>
        <v/>
      </c>
      <c r="R5299" s="22" t="str">
        <f>IFERROR(__xludf.DUMMYFUNCTION("""COMPUTED_VALUE"""),"")</f>
        <v/>
      </c>
    </row>
    <row r="5300">
      <c r="A5300" s="15">
        <f>IFERROR(__xludf.DUMMYFUNCTION("""COMPUTED_VALUE"""),45154.0)</f>
        <v>45154</v>
      </c>
      <c r="B5300" s="16" t="str">
        <f>IFERROR(__xludf.DUMMYFUNCTION("""COMPUTED_VALUE"""),"Jeison Rubiano")</f>
        <v>Jeison Rubiano</v>
      </c>
      <c r="C5300" s="15" t="str">
        <f>IFERROR(__xludf.DUMMYFUNCTION("""COMPUTED_VALUE"""),"BOGOTÁ")</f>
        <v>BOGOTÁ</v>
      </c>
      <c r="D5300" s="15" t="str">
        <f>IFERROR(__xludf.DUMMYFUNCTION("""COMPUTED_VALUE"""),"MEDELLÍN")</f>
        <v>MEDELLÍN</v>
      </c>
      <c r="E5300" s="15" t="str">
        <f>IFERROR(__xludf.DUMMYFUNCTION("""COMPUTED_VALUE"""),"Moloso S.A.S")</f>
        <v>Moloso S.A.S</v>
      </c>
      <c r="F5300" s="17" t="str">
        <f>IFERROR(__xludf.DUMMYFUNCTION("""COMPUTED_VALUE"""),"CL 23C 69B 56 TORRE 4 APT 804 / CONJUNTO ALBORARIA")</f>
        <v>CL 23C 69B 56 TORRE 4 APT 804 / CONJUNTO ALBORARIA</v>
      </c>
      <c r="G5300" s="15" t="str">
        <f>IFERROR(__xludf.DUMMYFUNCTION("""COMPUTED_VALUE"""),"CLAUDIA LILIANA SANCHEZ FINO")</f>
        <v>CLAUDIA LILIANA SANCHEZ FINO</v>
      </c>
      <c r="H5300" s="16">
        <f>IFERROR(__xludf.DUMMYFUNCTION("""COMPUTED_VALUE"""),14022.0)</f>
        <v>14022</v>
      </c>
      <c r="I5300" s="18">
        <f>IFERROR(__xludf.DUMMYFUNCTION("""COMPUTED_VALUE"""),17.0)</f>
        <v>17</v>
      </c>
      <c r="J5300" s="18">
        <f>IFERROR(__xludf.DUMMYFUNCTION("""COMPUTED_VALUE"""),15.0)</f>
        <v>15</v>
      </c>
      <c r="K5300" s="18">
        <f>IFERROR(__xludf.DUMMYFUNCTION("""COMPUTED_VALUE"""),28.0)</f>
        <v>28</v>
      </c>
      <c r="L5300" s="17" t="str">
        <f>IFERROR(__xludf.DUMMYFUNCTION("""COMPUTED_VALUE"""),"313 2626232")</f>
        <v>313 2626232</v>
      </c>
      <c r="M5300" s="17" t="str">
        <f>IFERROR(__xludf.DUMMYFUNCTION("""COMPUTED_VALUE"""),"#REF!")</f>
        <v>#REF!</v>
      </c>
      <c r="N5300" s="17"/>
      <c r="O5300" s="17"/>
      <c r="P5300" s="17" t="b">
        <f>IFERROR(__xludf.DUMMYFUNCTION("""COMPUTED_VALUE"""),FALSE)</f>
        <v>0</v>
      </c>
      <c r="Q5300" s="20" t="str">
        <f>IFERROR(__xludf.DUMMYFUNCTION("""COMPUTED_VALUE"""),"")</f>
        <v/>
      </c>
      <c r="R5300" s="21" t="str">
        <f>IFERROR(__xludf.DUMMYFUNCTION("""COMPUTED_VALUE"""),"https://drive.google.com/file/d/1rX639b-dgsM_Fxj9DUDvuF95a4fsw0Xy/view?usp=drivesdk")</f>
        <v>https://drive.google.com/file/d/1rX639b-dgsM_Fxj9DUDvuF95a4fsw0Xy/view?usp=drivesdk</v>
      </c>
    </row>
    <row r="5301">
      <c r="A5301" s="15">
        <f>IFERROR(__xludf.DUMMYFUNCTION("""COMPUTED_VALUE"""),45154.0)</f>
        <v>45154</v>
      </c>
      <c r="B5301" s="16" t="str">
        <f>IFERROR(__xludf.DUMMYFUNCTION("""COMPUTED_VALUE"""),"Jeison Rubiano")</f>
        <v>Jeison Rubiano</v>
      </c>
      <c r="C5301" s="15" t="str">
        <f>IFERROR(__xludf.DUMMYFUNCTION("""COMPUTED_VALUE"""),"BOGOTÁ")</f>
        <v>BOGOTÁ</v>
      </c>
      <c r="D5301" s="15" t="str">
        <f>IFERROR(__xludf.DUMMYFUNCTION("""COMPUTED_VALUE"""),"MEDELLÍN")</f>
        <v>MEDELLÍN</v>
      </c>
      <c r="E5301" s="15" t="str">
        <f>IFERROR(__xludf.DUMMYFUNCTION("""COMPUTED_VALUE"""),"Moloso S.A.S")</f>
        <v>Moloso S.A.S</v>
      </c>
      <c r="F5301" s="17" t="str">
        <f>IFERROR(__xludf.DUMMYFUNCTION("""COMPUTED_VALUE"""),"CR 78AN 58M 88 SUR / CJ PARQUES DE VILLA ANITA")</f>
        <v>CR 78AN 58M 88 SUR / CJ PARQUES DE VILLA ANITA</v>
      </c>
      <c r="G5301" s="15" t="str">
        <f>IFERROR(__xludf.DUMMYFUNCTION("""COMPUTED_VALUE"""),"VANESSA BELTRAN BUITRAGO")</f>
        <v>VANESSA BELTRAN BUITRAGO</v>
      </c>
      <c r="H5301" s="16">
        <f>IFERROR(__xludf.DUMMYFUNCTION("""COMPUTED_VALUE"""),14023.0)</f>
        <v>14023</v>
      </c>
      <c r="I5301" s="18">
        <f>IFERROR(__xludf.DUMMYFUNCTION("""COMPUTED_VALUE"""),17.0)</f>
        <v>17</v>
      </c>
      <c r="J5301" s="18">
        <f>IFERROR(__xludf.DUMMYFUNCTION("""COMPUTED_VALUE"""),15.0)</f>
        <v>15</v>
      </c>
      <c r="K5301" s="18">
        <f>IFERROR(__xludf.DUMMYFUNCTION("""COMPUTED_VALUE"""),28.0)</f>
        <v>28</v>
      </c>
      <c r="L5301" s="17" t="str">
        <f>IFERROR(__xludf.DUMMYFUNCTION("""COMPUTED_VALUE"""),"319 5025532")</f>
        <v>319 5025532</v>
      </c>
      <c r="M5301" s="17" t="str">
        <f>IFERROR(__xludf.DUMMYFUNCTION("""COMPUTED_VALUE"""),"#REF!")</f>
        <v>#REF!</v>
      </c>
      <c r="N5301" s="17"/>
      <c r="O5301" s="17"/>
      <c r="P5301" s="17" t="b">
        <f>IFERROR(__xludf.DUMMYFUNCTION("""COMPUTED_VALUE"""),FALSE)</f>
        <v>0</v>
      </c>
      <c r="Q5301" s="20" t="str">
        <f>IFERROR(__xludf.DUMMYFUNCTION("""COMPUTED_VALUE"""),"")</f>
        <v/>
      </c>
      <c r="R5301" s="21" t="str">
        <f>IFERROR(__xludf.DUMMYFUNCTION("""COMPUTED_VALUE"""),"https://drive.google.com/file/d/1t_I0rVu-L3yw74Q0wBQnxSNOfYLriKjp/view?usp=drivesdk")</f>
        <v>https://drive.google.com/file/d/1t_I0rVu-L3yw74Q0wBQnxSNOfYLriKjp/view?usp=drivesdk</v>
      </c>
    </row>
    <row r="5302">
      <c r="A5302" s="15">
        <f>IFERROR(__xludf.DUMMYFUNCTION("""COMPUTED_VALUE"""),45154.0)</f>
        <v>45154</v>
      </c>
      <c r="B5302" s="16" t="str">
        <f>IFERROR(__xludf.DUMMYFUNCTION("""COMPUTED_VALUE"""),"Jeison Rubiano")</f>
        <v>Jeison Rubiano</v>
      </c>
      <c r="C5302" s="15" t="str">
        <f>IFERROR(__xludf.DUMMYFUNCTION("""COMPUTED_VALUE"""),"BOGOTÁ")</f>
        <v>BOGOTÁ</v>
      </c>
      <c r="D5302" s="15" t="str">
        <f>IFERROR(__xludf.DUMMYFUNCTION("""COMPUTED_VALUE"""),"MEDELLÍN")</f>
        <v>MEDELLÍN</v>
      </c>
      <c r="E5302" s="15" t="str">
        <f>IFERROR(__xludf.DUMMYFUNCTION("""COMPUTED_VALUE"""),"Puro Verde")</f>
        <v>Puro Verde</v>
      </c>
      <c r="F5302" s="17" t="str">
        <f>IFERROR(__xludf.DUMMYFUNCTION("""COMPUTED_VALUE"""),"CRA 16A #77-23. / LOCAL 4 / BARRIO EL LAGO")</f>
        <v>CRA 16A #77-23. / LOCAL 4 / BARRIO EL LAGO</v>
      </c>
      <c r="G5302" s="15" t="str">
        <f>IFERROR(__xludf.DUMMYFUNCTION("""COMPUTED_VALUE"""),"DANDO CUERDA")</f>
        <v>DANDO CUERDA</v>
      </c>
      <c r="H5302" s="16">
        <f>IFERROR(__xludf.DUMMYFUNCTION("""COMPUTED_VALUE"""),14003.0)</f>
        <v>14003</v>
      </c>
      <c r="I5302" s="18">
        <f>IFERROR(__xludf.DUMMYFUNCTION("""COMPUTED_VALUE"""),45034.0)</f>
        <v>45034</v>
      </c>
      <c r="J5302" s="18" t="str">
        <f>IFERROR(__xludf.DUMMYFUNCTION("""COMPUTED_VALUE"""),"32.2")</f>
        <v>32.2</v>
      </c>
      <c r="K5302" s="18" t="str">
        <f>IFERROR(__xludf.DUMMYFUNCTION("""COMPUTED_VALUE"""),"39.4")</f>
        <v>39.4</v>
      </c>
      <c r="L5302" s="17">
        <f>IFERROR(__xludf.DUMMYFUNCTION("""COMPUTED_VALUE"""),3.163816691E9)</f>
        <v>3163816691</v>
      </c>
      <c r="M5302" s="17" t="str">
        <f>IFERROR(__xludf.DUMMYFUNCTION("""COMPUTED_VALUE"""),"#REF!")</f>
        <v>#REF!</v>
      </c>
      <c r="N5302" s="17"/>
      <c r="O5302" s="17"/>
      <c r="P5302" s="17" t="b">
        <f>IFERROR(__xludf.DUMMYFUNCTION("""COMPUTED_VALUE"""),FALSE)</f>
        <v>0</v>
      </c>
      <c r="Q5302" s="20" t="str">
        <f>IFERROR(__xludf.DUMMYFUNCTION("""COMPUTED_VALUE"""),"")</f>
        <v/>
      </c>
      <c r="R5302" s="22" t="str">
        <f>IFERROR(__xludf.DUMMYFUNCTION("""COMPUTED_VALUE"""),"")</f>
        <v/>
      </c>
    </row>
    <row r="5303">
      <c r="A5303" s="15">
        <f>IFERROR(__xludf.DUMMYFUNCTION("""COMPUTED_VALUE"""),45154.0)</f>
        <v>45154</v>
      </c>
      <c r="B5303" s="16" t="str">
        <f>IFERROR(__xludf.DUMMYFUNCTION("""COMPUTED_VALUE"""),"Jeison Rubiano")</f>
        <v>Jeison Rubiano</v>
      </c>
      <c r="C5303" s="15" t="str">
        <f>IFERROR(__xludf.DUMMYFUNCTION("""COMPUTED_VALUE"""),"BOGOTÁ")</f>
        <v>BOGOTÁ</v>
      </c>
      <c r="D5303" s="15" t="str">
        <f>IFERROR(__xludf.DUMMYFUNCTION("""COMPUTED_VALUE"""),"MEDELLÍN")</f>
        <v>MEDELLÍN</v>
      </c>
      <c r="E5303" s="15" t="str">
        <f>IFERROR(__xludf.DUMMYFUNCTION("""COMPUTED_VALUE"""),"Rambla")</f>
        <v>Rambla</v>
      </c>
      <c r="F5303" s="17" t="str">
        <f>IFERROR(__xludf.DUMMYFUNCTION("""COMPUTED_VALUE"""),"calle 134c # 53b 52 apto 301 casa gris tercer piso. Barrio spring / - / -")</f>
        <v>calle 134c # 53b 52 apto 301 casa gris tercer piso. Barrio spring / - / -</v>
      </c>
      <c r="G5303" s="15" t="str">
        <f>IFERROR(__xludf.DUMMYFUNCTION("""COMPUTED_VALUE"""),"Ana María Ríos Moreno")</f>
        <v>Ana María Ríos Moreno</v>
      </c>
      <c r="H5303" s="16">
        <f>IFERROR(__xludf.DUMMYFUNCTION("""COMPUTED_VALUE"""),14041.0)</f>
        <v>14041</v>
      </c>
      <c r="I5303" s="18">
        <f>IFERROR(__xludf.DUMMYFUNCTION("""COMPUTED_VALUE"""),18.0)</f>
        <v>18</v>
      </c>
      <c r="J5303" s="18">
        <f>IFERROR(__xludf.DUMMYFUNCTION("""COMPUTED_VALUE"""),14.0)</f>
        <v>14</v>
      </c>
      <c r="K5303" s="18">
        <f>IFERROR(__xludf.DUMMYFUNCTION("""COMPUTED_VALUE"""),20.0)</f>
        <v>20</v>
      </c>
      <c r="L5303" s="17">
        <f>IFERROR(__xludf.DUMMYFUNCTION("""COMPUTED_VALUE"""),3.00661678E9)</f>
        <v>3006616780</v>
      </c>
      <c r="M5303" s="17" t="str">
        <f>IFERROR(__xludf.DUMMYFUNCTION("""COMPUTED_VALUE"""),"#REF!")</f>
        <v>#REF!</v>
      </c>
      <c r="N5303" s="17"/>
      <c r="O5303" s="17"/>
      <c r="P5303" s="17" t="b">
        <f>IFERROR(__xludf.DUMMYFUNCTION("""COMPUTED_VALUE"""),TRUE)</f>
        <v>1</v>
      </c>
      <c r="Q5303" s="20">
        <f>IFERROR(__xludf.DUMMYFUNCTION("""COMPUTED_VALUE"""),45155.57979185185)</f>
        <v>45155.57979</v>
      </c>
      <c r="R5303" s="21" t="str">
        <f>IFERROR(__xludf.DUMMYFUNCTION("""COMPUTED_VALUE"""),"https://drive.google.com/file/d/1Ipp0e7abRB46ZSkdvLG1ldKr9CFKajRM/view?usp=drivesdk")</f>
        <v>https://drive.google.com/file/d/1Ipp0e7abRB46ZSkdvLG1ldKr9CFKajRM/view?usp=drivesdk</v>
      </c>
    </row>
    <row r="5304">
      <c r="A5304" s="15">
        <f>IFERROR(__xludf.DUMMYFUNCTION("""COMPUTED_VALUE"""),45154.0)</f>
        <v>45154</v>
      </c>
      <c r="B5304" s="16" t="str">
        <f>IFERROR(__xludf.DUMMYFUNCTION("""COMPUTED_VALUE"""),"Jeison Rubiano")</f>
        <v>Jeison Rubiano</v>
      </c>
      <c r="C5304" s="15" t="str">
        <f>IFERROR(__xludf.DUMMYFUNCTION("""COMPUTED_VALUE"""),"BOGOTÁ")</f>
        <v>BOGOTÁ</v>
      </c>
      <c r="D5304" s="15" t="str">
        <f>IFERROR(__xludf.DUMMYFUNCTION("""COMPUTED_VALUE"""),"MEDELLÍN")</f>
        <v>MEDELLÍN</v>
      </c>
      <c r="E5304" s="15" t="str">
        <f>IFERROR(__xludf.DUMMYFUNCTION("""COMPUTED_VALUE"""),"Rambla")</f>
        <v>Rambla</v>
      </c>
      <c r="F5304" s="17" t="str">
        <f>IFERROR(__xludf.DUMMYFUNCTION("""COMPUTED_VALUE"""),"Calle 41 a número 8-25 bulevar 42 apto 707 b / - / -")</f>
        <v>Calle 41 a número 8-25 bulevar 42 apto 707 b / - / -</v>
      </c>
      <c r="G5304" s="15" t="str">
        <f>IFERROR(__xludf.DUMMYFUNCTION("""COMPUTED_VALUE"""),"NUTRICLIC")</f>
        <v>NUTRICLIC</v>
      </c>
      <c r="H5304" s="16">
        <f>IFERROR(__xludf.DUMMYFUNCTION("""COMPUTED_VALUE"""),14042.0)</f>
        <v>14042</v>
      </c>
      <c r="I5304" s="18">
        <f>IFERROR(__xludf.DUMMYFUNCTION("""COMPUTED_VALUE"""),22.0)</f>
        <v>22</v>
      </c>
      <c r="J5304" s="18">
        <f>IFERROR(__xludf.DUMMYFUNCTION("""COMPUTED_VALUE"""),20.0)</f>
        <v>20</v>
      </c>
      <c r="K5304" s="18">
        <f>IFERROR(__xludf.DUMMYFUNCTION("""COMPUTED_VALUE"""),20.0)</f>
        <v>20</v>
      </c>
      <c r="L5304" s="17">
        <f>IFERROR(__xludf.DUMMYFUNCTION("""COMPUTED_VALUE"""),3.102661625E9)</f>
        <v>3102661625</v>
      </c>
      <c r="M5304" s="17" t="str">
        <f>IFERROR(__xludf.DUMMYFUNCTION("""COMPUTED_VALUE"""),"#REF!")</f>
        <v>#REF!</v>
      </c>
      <c r="N5304" s="17"/>
      <c r="O5304" s="17"/>
      <c r="P5304" s="17" t="b">
        <f>IFERROR(__xludf.DUMMYFUNCTION("""COMPUTED_VALUE"""),TRUE)</f>
        <v>1</v>
      </c>
      <c r="Q5304" s="20">
        <f>IFERROR(__xludf.DUMMYFUNCTION("""COMPUTED_VALUE"""),45155.47928994213)</f>
        <v>45155.47929</v>
      </c>
      <c r="R5304" s="21" t="str">
        <f>IFERROR(__xludf.DUMMYFUNCTION("""COMPUTED_VALUE"""),"https://drive.google.com/file/d/1CYZp-xq6RRyh4asJBKdKUg_Q-ms5i1DW/view?usp=drivesdk")</f>
        <v>https://drive.google.com/file/d/1CYZp-xq6RRyh4asJBKdKUg_Q-ms5i1DW/view?usp=drivesdk</v>
      </c>
    </row>
    <row r="5305">
      <c r="A5305" s="15">
        <f>IFERROR(__xludf.DUMMYFUNCTION("""COMPUTED_VALUE"""),45154.0)</f>
        <v>45154</v>
      </c>
      <c r="B5305" s="16" t="str">
        <f>IFERROR(__xludf.DUMMYFUNCTION("""COMPUTED_VALUE"""),"Jeison Rubiano")</f>
        <v>Jeison Rubiano</v>
      </c>
      <c r="C5305" s="15" t="str">
        <f>IFERROR(__xludf.DUMMYFUNCTION("""COMPUTED_VALUE"""),"BOGOTÁ")</f>
        <v>BOGOTÁ</v>
      </c>
      <c r="D5305" s="15" t="str">
        <f>IFERROR(__xludf.DUMMYFUNCTION("""COMPUTED_VALUE"""),"MEDELLÍN")</f>
        <v>MEDELLÍN</v>
      </c>
      <c r="E5305" s="15" t="str">
        <f>IFERROR(__xludf.DUMMYFUNCTION("""COMPUTED_VALUE"""),"Rambla")</f>
        <v>Rambla</v>
      </c>
      <c r="F5305" s="17" t="str">
        <f>IFERROR(__xludf.DUMMYFUNCTION("""COMPUTED_VALUE"""),"Cr26a#62-20 Of 2204 Edificio Zully 2 Barrio: San Nicolas / - / -")</f>
        <v>Cr26a#62-20 Of 2204 Edificio Zully 2 Barrio: San Nicolas / - / -</v>
      </c>
      <c r="G5305" s="15" t="str">
        <f>IFERROR(__xludf.DUMMYFUNCTION("""COMPUTED_VALUE"""),"Sinutre")</f>
        <v>Sinutre</v>
      </c>
      <c r="H5305" s="16">
        <f>IFERROR(__xludf.DUMMYFUNCTION("""COMPUTED_VALUE"""),14043.0)</f>
        <v>14043</v>
      </c>
      <c r="I5305" s="18">
        <f>IFERROR(__xludf.DUMMYFUNCTION("""COMPUTED_VALUE"""),22.0)</f>
        <v>22</v>
      </c>
      <c r="J5305" s="18">
        <f>IFERROR(__xludf.DUMMYFUNCTION("""COMPUTED_VALUE"""),24.0)</f>
        <v>24</v>
      </c>
      <c r="K5305" s="18">
        <f>IFERROR(__xludf.DUMMYFUNCTION("""COMPUTED_VALUE"""),20.0)</f>
        <v>20</v>
      </c>
      <c r="L5305" s="17">
        <f>IFERROR(__xludf.DUMMYFUNCTION("""COMPUTED_VALUE"""),1.551786131E9)</f>
        <v>1551786131</v>
      </c>
      <c r="M5305" s="17" t="str">
        <f>IFERROR(__xludf.DUMMYFUNCTION("""COMPUTED_VALUE"""),"#REF!")</f>
        <v>#REF!</v>
      </c>
      <c r="N5305" s="17"/>
      <c r="O5305" s="17"/>
      <c r="P5305" s="17" t="b">
        <f>IFERROR(__xludf.DUMMYFUNCTION("""COMPUTED_VALUE"""),FALSE)</f>
        <v>0</v>
      </c>
      <c r="Q5305" s="20" t="str">
        <f>IFERROR(__xludf.DUMMYFUNCTION("""COMPUTED_VALUE"""),"")</f>
        <v/>
      </c>
      <c r="R5305" s="21" t="str">
        <f>IFERROR(__xludf.DUMMYFUNCTION("""COMPUTED_VALUE"""),"https://drive.google.com/file/d/1qCqflCn2_MR-2VOxNN_s7GfZTse4iUv_/view?usp=drivesdk")</f>
        <v>https://drive.google.com/file/d/1qCqflCn2_MR-2VOxNN_s7GfZTse4iUv_/view?usp=drivesdk</v>
      </c>
    </row>
    <row r="5306">
      <c r="A5306" s="15">
        <f>IFERROR(__xludf.DUMMYFUNCTION("""COMPUTED_VALUE"""),45154.0)</f>
        <v>45154</v>
      </c>
      <c r="B5306" s="16" t="str">
        <f>IFERROR(__xludf.DUMMYFUNCTION("""COMPUTED_VALUE"""),"Jeison Rubiano")</f>
        <v>Jeison Rubiano</v>
      </c>
      <c r="C5306" s="15" t="str">
        <f>IFERROR(__xludf.DUMMYFUNCTION("""COMPUTED_VALUE"""),"MONTERIA")</f>
        <v>MONTERIA</v>
      </c>
      <c r="D5306" s="15" t="str">
        <f>IFERROR(__xludf.DUMMYFUNCTION("""COMPUTED_VALUE"""),"BOGOTÁ")</f>
        <v>BOGOTÁ</v>
      </c>
      <c r="E5306" s="15" t="str">
        <f>IFERROR(__xludf.DUMMYFUNCTION("""COMPUTED_VALUE"""),"Evamazzita")</f>
        <v>Evamazzita</v>
      </c>
      <c r="F5306" s="17" t="str">
        <f>IFERROR(__xludf.DUMMYFUNCTION("""COMPUTED_VALUE"""),"Cr 14 a # 54 23 / Barrio Monteverde / BARRIO MONTEVERDE")</f>
        <v>Cr 14 a # 54 23 / Barrio Monteverde / BARRIO MONTEVERDE</v>
      </c>
      <c r="G5306" s="15" t="str">
        <f>IFERROR(__xludf.DUMMYFUNCTION("""COMPUTED_VALUE"""),"EMILIA MIRANDA")</f>
        <v>EMILIA MIRANDA</v>
      </c>
      <c r="H5306" s="16">
        <f>IFERROR(__xludf.DUMMYFUNCTION("""COMPUTED_VALUE"""),13937.0)</f>
        <v>13937</v>
      </c>
      <c r="I5306" s="18">
        <f>IFERROR(__xludf.DUMMYFUNCTION("""COMPUTED_VALUE"""),18.0)</f>
        <v>18</v>
      </c>
      <c r="J5306" s="18">
        <f>IFERROR(__xludf.DUMMYFUNCTION("""COMPUTED_VALUE"""),44.0)</f>
        <v>44</v>
      </c>
      <c r="K5306" s="18">
        <f>IFERROR(__xludf.DUMMYFUNCTION("""COMPUTED_VALUE"""),28.0)</f>
        <v>28</v>
      </c>
      <c r="L5306" s="17">
        <f>IFERROR(__xludf.DUMMYFUNCTION("""COMPUTED_VALUE"""),3.113438505E9)</f>
        <v>3113438505</v>
      </c>
      <c r="M5306" s="17" t="str">
        <f>IFERROR(__xludf.DUMMYFUNCTION("""COMPUTED_VALUE"""),"#REF!")</f>
        <v>#REF!</v>
      </c>
      <c r="N5306" s="17"/>
      <c r="O5306" s="17"/>
      <c r="P5306" s="17" t="b">
        <f>IFERROR(__xludf.DUMMYFUNCTION("""COMPUTED_VALUE"""),FALSE)</f>
        <v>0</v>
      </c>
      <c r="Q5306" s="20" t="str">
        <f>IFERROR(__xludf.DUMMYFUNCTION("""COMPUTED_VALUE"""),"")</f>
        <v/>
      </c>
      <c r="R5306" s="22" t="str">
        <f>IFERROR(__xludf.DUMMYFUNCTION("""COMPUTED_VALUE"""),"")</f>
        <v/>
      </c>
    </row>
    <row r="5307">
      <c r="A5307" s="17" t="str">
        <f>IFERROR(__xludf.DUMMYFUNCTION("""COMPUTED_VALUE"""),"")</f>
        <v/>
      </c>
      <c r="B5307" s="17" t="str">
        <f>IFERROR(__xludf.DUMMYFUNCTION("""COMPUTED_VALUE"""),"")</f>
        <v/>
      </c>
      <c r="C5307" s="17" t="str">
        <f>IFERROR(__xludf.DUMMYFUNCTION("""COMPUTED_VALUE"""),"")</f>
        <v/>
      </c>
      <c r="D5307" s="17" t="str">
        <f>IFERROR(__xludf.DUMMYFUNCTION("""COMPUTED_VALUE"""),"")</f>
        <v/>
      </c>
      <c r="E5307" s="17" t="str">
        <f>IFERROR(__xludf.DUMMYFUNCTION("""COMPUTED_VALUE"""),"")</f>
        <v/>
      </c>
      <c r="F5307" s="17" t="str">
        <f>IFERROR(__xludf.DUMMYFUNCTION("""COMPUTED_VALUE"""),"")</f>
        <v/>
      </c>
      <c r="G5307" s="17" t="str">
        <f>IFERROR(__xludf.DUMMYFUNCTION("""COMPUTED_VALUE"""),"")</f>
        <v/>
      </c>
      <c r="H5307" s="17" t="str">
        <f>IFERROR(__xludf.DUMMYFUNCTION("""COMPUTED_VALUE"""),"")</f>
        <v/>
      </c>
      <c r="I5307" s="17" t="str">
        <f>IFERROR(__xludf.DUMMYFUNCTION("""COMPUTED_VALUE"""),"")</f>
        <v/>
      </c>
      <c r="J5307" s="17" t="str">
        <f>IFERROR(__xludf.DUMMYFUNCTION("""COMPUTED_VALUE"""),"")</f>
        <v/>
      </c>
      <c r="K5307" s="17" t="str">
        <f>IFERROR(__xludf.DUMMYFUNCTION("""COMPUTED_VALUE"""),"")</f>
        <v/>
      </c>
      <c r="L5307" s="17" t="str">
        <f>IFERROR(__xludf.DUMMYFUNCTION("""COMPUTED_VALUE"""),"")</f>
        <v/>
      </c>
      <c r="M5307" s="17" t="str">
        <f>IFERROR(__xludf.DUMMYFUNCTION("""COMPUTED_VALUE"""),"")</f>
        <v/>
      </c>
      <c r="N5307" s="17" t="str">
        <f>IFERROR(__xludf.DUMMYFUNCTION("""COMPUTED_VALUE"""),"")</f>
        <v/>
      </c>
      <c r="O5307" s="17" t="str">
        <f>IFERROR(__xludf.DUMMYFUNCTION("""COMPUTED_VALUE"""),"")</f>
        <v/>
      </c>
      <c r="P5307" s="17" t="str">
        <f>IFERROR(__xludf.DUMMYFUNCTION("""COMPUTED_VALUE"""),"")</f>
        <v/>
      </c>
      <c r="Q5307" s="17" t="str">
        <f>IFERROR(__xludf.DUMMYFUNCTION("""COMPUTED_VALUE"""),"")</f>
        <v/>
      </c>
      <c r="R5307" s="17" t="str">
        <f>IFERROR(__xludf.DUMMYFUNCTION("""COMPUTED_VALUE"""),"")</f>
        <v/>
      </c>
    </row>
    <row r="5308">
      <c r="A5308" s="15">
        <f>IFERROR(__xludf.DUMMYFUNCTION("""COMPUTED_VALUE"""),45154.0)</f>
        <v>45154</v>
      </c>
      <c r="B5308" s="16" t="str">
        <f>IFERROR(__xludf.DUMMYFUNCTION("""COMPUTED_VALUE"""),"Johan Alexander Escobar Arroyo ")</f>
        <v>Johan Alexander Escobar Arroyo </v>
      </c>
      <c r="C5308" s="15" t="str">
        <f>IFERROR(__xludf.DUMMYFUNCTION("""COMPUTED_VALUE"""),"CALI")</f>
        <v>CALI</v>
      </c>
      <c r="D5308" s="15" t="str">
        <f>IFERROR(__xludf.DUMMYFUNCTION("""COMPUTED_VALUE"""),"BOGOTÁ")</f>
        <v>BOGOTÁ</v>
      </c>
      <c r="E5308" s="15" t="str">
        <f>IFERROR(__xludf.DUMMYFUNCTION("""COMPUTED_VALUE"""),"Ins. Alimento Vital")</f>
        <v>Ins. Alimento Vital</v>
      </c>
      <c r="F5308" s="17" t="str">
        <f>IFERROR(__xludf.DUMMYFUNCTION("""COMPUTED_VALUE"""),"CL 34N 2BN 33 / BODEGA / SAN VICENTE")</f>
        <v>CL 34N 2BN 33 / BODEGA / SAN VICENTE</v>
      </c>
      <c r="G5308" s="15" t="str">
        <f>IFERROR(__xludf.DUMMYFUNCTION("""COMPUTED_VALUE"""),"VELOCITY CALI")</f>
        <v>VELOCITY CALI</v>
      </c>
      <c r="H5308" s="16">
        <f>IFERROR(__xludf.DUMMYFUNCTION("""COMPUTED_VALUE"""),14005.0)</f>
        <v>14005</v>
      </c>
      <c r="I5308" s="18">
        <f>IFERROR(__xludf.DUMMYFUNCTION("""COMPUTED_VALUE"""),1.0)</f>
        <v>1</v>
      </c>
      <c r="J5308" s="18">
        <f>IFERROR(__xludf.DUMMYFUNCTION("""COMPUTED_VALUE"""),1.0)</f>
        <v>1</v>
      </c>
      <c r="K5308" s="18">
        <f>IFERROR(__xludf.DUMMYFUNCTION("""COMPUTED_VALUE"""),1.0)</f>
        <v>1</v>
      </c>
      <c r="L5308" s="17">
        <f>IFERROR(__xludf.DUMMYFUNCTION("""COMPUTED_VALUE"""),3.117591055E9)</f>
        <v>3117591055</v>
      </c>
      <c r="M5308" s="17" t="str">
        <f>IFERROR(__xludf.DUMMYFUNCTION("""COMPUTED_VALUE"""),"#REF!")</f>
        <v>#REF!</v>
      </c>
      <c r="N5308" s="17"/>
      <c r="O5308" s="17"/>
      <c r="P5308" s="17" t="b">
        <f>IFERROR(__xludf.DUMMYFUNCTION("""COMPUTED_VALUE"""),FALSE)</f>
        <v>0</v>
      </c>
      <c r="Q5308" s="20" t="str">
        <f>IFERROR(__xludf.DUMMYFUNCTION("""COMPUTED_VALUE"""),"")</f>
        <v/>
      </c>
      <c r="R5308" s="22" t="str">
        <f>IFERROR(__xludf.DUMMYFUNCTION("""COMPUTED_VALUE"""),"")</f>
        <v/>
      </c>
    </row>
    <row r="5309">
      <c r="A5309" s="15">
        <f>IFERROR(__xludf.DUMMYFUNCTION("""COMPUTED_VALUE"""),45154.0)</f>
        <v>45154</v>
      </c>
      <c r="B5309" s="16" t="str">
        <f>IFERROR(__xludf.DUMMYFUNCTION("""COMPUTED_VALUE"""),"Johan Alexander Escobar Arroyo ")</f>
        <v>Johan Alexander Escobar Arroyo </v>
      </c>
      <c r="C5309" s="15" t="str">
        <f>IFERROR(__xludf.DUMMYFUNCTION("""COMPUTED_VALUE"""),"CALI")</f>
        <v>CALI</v>
      </c>
      <c r="D5309" s="15" t="str">
        <f>IFERROR(__xludf.DUMMYFUNCTION("""COMPUTED_VALUE"""),"MEDELLÍN")</f>
        <v>MEDELLÍN</v>
      </c>
      <c r="E5309" s="15" t="str">
        <f>IFERROR(__xludf.DUMMYFUNCTION("""COMPUTED_VALUE"""),"AREPAS LA MARY")</f>
        <v>AREPAS LA MARY</v>
      </c>
      <c r="F5309" s="17" t="str">
        <f>IFERROR(__xludf.DUMMYFUNCTION("""COMPUTED_VALUE"""),"Calle 32 #2-10 / CALI")</f>
        <v>Calle 32 #2-10 / CALI</v>
      </c>
      <c r="G5309" s="15" t="str">
        <f>IFERROR(__xludf.DUMMYFUNCTION("""COMPUTED_VALUE"""),"ANNY MILLAN")</f>
        <v>ANNY MILLAN</v>
      </c>
      <c r="H5309" s="16">
        <f>IFERROR(__xludf.DUMMYFUNCTION("""COMPUTED_VALUE"""),14014.0)</f>
        <v>14014</v>
      </c>
      <c r="I5309" s="18">
        <f>IFERROR(__xludf.DUMMYFUNCTION("""COMPUTED_VALUE"""),89.0)</f>
        <v>89</v>
      </c>
      <c r="J5309" s="18">
        <f>IFERROR(__xludf.DUMMYFUNCTION("""COMPUTED_VALUE"""),1.0)</f>
        <v>1</v>
      </c>
      <c r="K5309" s="18">
        <f>IFERROR(__xludf.DUMMYFUNCTION("""COMPUTED_VALUE"""),10.0)</f>
        <v>10</v>
      </c>
      <c r="L5309" s="17">
        <f>IFERROR(__xludf.DUMMYFUNCTION("""COMPUTED_VALUE"""),3.174521407E9)</f>
        <v>3174521407</v>
      </c>
      <c r="M5309" s="17" t="str">
        <f>IFERROR(__xludf.DUMMYFUNCTION("""COMPUTED_VALUE"""),"#REF!")</f>
        <v>#REF!</v>
      </c>
      <c r="N5309" s="17"/>
      <c r="O5309" s="17"/>
      <c r="P5309" s="17" t="b">
        <f>IFERROR(__xludf.DUMMYFUNCTION("""COMPUTED_VALUE"""),TRUE)</f>
        <v>1</v>
      </c>
      <c r="Q5309" s="20">
        <f>IFERROR(__xludf.DUMMYFUNCTION("""COMPUTED_VALUE"""),45155.92068164352)</f>
        <v>45155.92068</v>
      </c>
      <c r="R5309" s="22" t="str">
        <f>IFERROR(__xludf.DUMMYFUNCTION("""COMPUTED_VALUE"""),"")</f>
        <v/>
      </c>
    </row>
    <row r="5310">
      <c r="A5310" s="15">
        <f>IFERROR(__xludf.DUMMYFUNCTION("""COMPUTED_VALUE"""),45154.0)</f>
        <v>45154</v>
      </c>
      <c r="B5310" s="16" t="str">
        <f>IFERROR(__xludf.DUMMYFUNCTION("""COMPUTED_VALUE"""),"Johan Alexander Escobar Arroyo ")</f>
        <v>Johan Alexander Escobar Arroyo </v>
      </c>
      <c r="C5310" s="15" t="str">
        <f>IFERROR(__xludf.DUMMYFUNCTION("""COMPUTED_VALUE"""),"CALI")</f>
        <v>CALI</v>
      </c>
      <c r="D5310" s="15" t="str">
        <f>IFERROR(__xludf.DUMMYFUNCTION("""COMPUTED_VALUE"""),"MEDELLÍN")</f>
        <v>MEDELLÍN</v>
      </c>
      <c r="E5310" s="15" t="str">
        <f>IFERROR(__xludf.DUMMYFUNCTION("""COMPUTED_VALUE"""),"Baby Chef")</f>
        <v>Baby Chef</v>
      </c>
      <c r="F5310" s="17" t="str">
        <f>IFERROR(__xludf.DUMMYFUNCTION("""COMPUTED_VALUE"""),"Cra 61 # 18 - 16  Apto 375 torre s Cañaverales 3 / Cra 61 # 18 - 16  Apto 375 torre s Cañaverales 3 / Cra 61 # 18 - 16  Apto 375 torre s Cañaverales 3")</f>
        <v>Cra 61 # 18 - 16  Apto 375 torre s Cañaverales 3 / Cra 61 # 18 - 16  Apto 375 torre s Cañaverales 3 / Cra 61 # 18 - 16  Apto 375 torre s Cañaverales 3</v>
      </c>
      <c r="G5310" s="15" t="str">
        <f>IFERROR(__xludf.DUMMYFUNCTION("""COMPUTED_VALUE"""),"Marisol Agudelo")</f>
        <v>Marisol Agudelo</v>
      </c>
      <c r="H5310" s="16">
        <f>IFERROR(__xludf.DUMMYFUNCTION("""COMPUTED_VALUE"""),14035.0)</f>
        <v>14035</v>
      </c>
      <c r="I5310" s="18">
        <f>IFERROR(__xludf.DUMMYFUNCTION("""COMPUTED_VALUE"""),12.0)</f>
        <v>12</v>
      </c>
      <c r="J5310" s="18">
        <f>IFERROR(__xludf.DUMMYFUNCTION("""COMPUTED_VALUE"""),22.0)</f>
        <v>22</v>
      </c>
      <c r="K5310" s="18">
        <f>IFERROR(__xludf.DUMMYFUNCTION("""COMPUTED_VALUE"""),37.0)</f>
        <v>37</v>
      </c>
      <c r="L5310" s="17">
        <f>IFERROR(__xludf.DUMMYFUNCTION("""COMPUTED_VALUE"""),3.157082519E9)</f>
        <v>3157082519</v>
      </c>
      <c r="M5310" s="17" t="str">
        <f>IFERROR(__xludf.DUMMYFUNCTION("""COMPUTED_VALUE"""),"#REF!")</f>
        <v>#REF!</v>
      </c>
      <c r="N5310" s="17"/>
      <c r="O5310" s="17"/>
      <c r="P5310" s="17" t="b">
        <f>IFERROR(__xludf.DUMMYFUNCTION("""COMPUTED_VALUE"""),FALSE)</f>
        <v>0</v>
      </c>
      <c r="Q5310" s="20" t="str">
        <f>IFERROR(__xludf.DUMMYFUNCTION("""COMPUTED_VALUE"""),"")</f>
        <v/>
      </c>
      <c r="R5310" s="21" t="str">
        <f>IFERROR(__xludf.DUMMYFUNCTION("""COMPUTED_VALUE"""),"https://drive.google.com/file/d/1UmQxUCQj8cxKyza_EYIkXCK6fam5Gcon/view?usp=drivesdk")</f>
        <v>https://drive.google.com/file/d/1UmQxUCQj8cxKyza_EYIkXCK6fam5Gcon/view?usp=drivesdk</v>
      </c>
    </row>
    <row r="5311">
      <c r="A5311" s="15">
        <f>IFERROR(__xludf.DUMMYFUNCTION("""COMPUTED_VALUE"""),45154.0)</f>
        <v>45154</v>
      </c>
      <c r="B5311" s="16" t="str">
        <f>IFERROR(__xludf.DUMMYFUNCTION("""COMPUTED_VALUE"""),"Johan Alexander Escobar Arroyo ")</f>
        <v>Johan Alexander Escobar Arroyo </v>
      </c>
      <c r="C5311" s="15" t="str">
        <f>IFERROR(__xludf.DUMMYFUNCTION("""COMPUTED_VALUE"""),"CALI")</f>
        <v>CALI</v>
      </c>
      <c r="D5311" s="15" t="str">
        <f>IFERROR(__xludf.DUMMYFUNCTION("""COMPUTED_VALUE"""),"MEDELLÍN")</f>
        <v>MEDELLÍN</v>
      </c>
      <c r="E5311" s="15" t="str">
        <f>IFERROR(__xludf.DUMMYFUNCTION("""COMPUTED_VALUE"""),"Baby Chef")</f>
        <v>Baby Chef</v>
      </c>
      <c r="F5311" s="17" t="str">
        <f>IFERROR(__xludf.DUMMYFUNCTION("""COMPUTED_VALUE"""),"Hacienda el castillo. (Entrada sur de Cali)  Conjunto la herrería 4. Casa 9.  / Hacienda el castillo. (Entrada sur de Cali)  Conjunto la herrería 4. Casa 9.  / Hacienda el castillo. (Entrada sur de Cali)  Conjunto la herrería 4. Casa 9.")</f>
        <v>Hacienda el castillo. (Entrada sur de Cali)  Conjunto la herrería 4. Casa 9.  / Hacienda el castillo. (Entrada sur de Cali)  Conjunto la herrería 4. Casa 9.  / Hacienda el castillo. (Entrada sur de Cali)  Conjunto la herrería 4. Casa 9.</v>
      </c>
      <c r="G5311" s="15" t="str">
        <f>IFERROR(__xludf.DUMMYFUNCTION("""COMPUTED_VALUE"""),"Sara Hernández")</f>
        <v>Sara Hernández</v>
      </c>
      <c r="H5311" s="16">
        <f>IFERROR(__xludf.DUMMYFUNCTION("""COMPUTED_VALUE"""),14034.0)</f>
        <v>14034</v>
      </c>
      <c r="I5311" s="18">
        <f>IFERROR(__xludf.DUMMYFUNCTION("""COMPUTED_VALUE"""),8.0)</f>
        <v>8</v>
      </c>
      <c r="J5311" s="18">
        <f>IFERROR(__xludf.DUMMYFUNCTION("""COMPUTED_VALUE"""),24.0)</f>
        <v>24</v>
      </c>
      <c r="K5311" s="18">
        <f>IFERROR(__xludf.DUMMYFUNCTION("""COMPUTED_VALUE"""),22.0)</f>
        <v>22</v>
      </c>
      <c r="L5311" s="17">
        <f>IFERROR(__xludf.DUMMYFUNCTION("""COMPUTED_VALUE"""),3.116706816E9)</f>
        <v>3116706816</v>
      </c>
      <c r="M5311" s="17" t="str">
        <f>IFERROR(__xludf.DUMMYFUNCTION("""COMPUTED_VALUE"""),"#REF!")</f>
        <v>#REF!</v>
      </c>
      <c r="N5311" s="17"/>
      <c r="O5311" s="17"/>
      <c r="P5311" s="17" t="b">
        <f>IFERROR(__xludf.DUMMYFUNCTION("""COMPUTED_VALUE"""),FALSE)</f>
        <v>0</v>
      </c>
      <c r="Q5311" s="20" t="str">
        <f>IFERROR(__xludf.DUMMYFUNCTION("""COMPUTED_VALUE"""),"")</f>
        <v/>
      </c>
      <c r="R5311" s="22" t="str">
        <f>IFERROR(__xludf.DUMMYFUNCTION("""COMPUTED_VALUE"""),"")</f>
        <v/>
      </c>
    </row>
    <row r="5312">
      <c r="A5312" s="15">
        <f>IFERROR(__xludf.DUMMYFUNCTION("""COMPUTED_VALUE"""),45154.0)</f>
        <v>45154</v>
      </c>
      <c r="B5312" s="16" t="str">
        <f>IFERROR(__xludf.DUMMYFUNCTION("""COMPUTED_VALUE"""),"Johan Alexander Escobar Arroyo ")</f>
        <v>Johan Alexander Escobar Arroyo </v>
      </c>
      <c r="C5312" s="15" t="str">
        <f>IFERROR(__xludf.DUMMYFUNCTION("""COMPUTED_VALUE"""),"CALI")</f>
        <v>CALI</v>
      </c>
      <c r="D5312" s="15" t="str">
        <f>IFERROR(__xludf.DUMMYFUNCTION("""COMPUTED_VALUE"""),"MEDELLÍN")</f>
        <v>MEDELLÍN</v>
      </c>
      <c r="E5312" s="15" t="str">
        <f>IFERROR(__xludf.DUMMYFUNCTION("""COMPUTED_VALUE"""),"JD Bufala")</f>
        <v>JD Bufala</v>
      </c>
      <c r="F5312" s="17" t="str">
        <f>IFERROR(__xludf.DUMMYFUNCTION("""COMPUTED_VALUE"""),"Calle 51 norte # 4bn72 / Delhuertopizzeria  / La flora")</f>
        <v>Calle 51 norte # 4bn72 / Delhuertopizzeria  / La flora</v>
      </c>
      <c r="G5312" s="15" t="str">
        <f>IFERROR(__xludf.DUMMYFUNCTION("""COMPUTED_VALUE"""),"Jaiver Rodríguez")</f>
        <v>Jaiver Rodríguez</v>
      </c>
      <c r="H5312" s="16">
        <f>IFERROR(__xludf.DUMMYFUNCTION("""COMPUTED_VALUE"""),14018.0)</f>
        <v>14018</v>
      </c>
      <c r="I5312" s="18">
        <f>IFERROR(__xludf.DUMMYFUNCTION("""COMPUTED_VALUE"""),45066.0)</f>
        <v>45066</v>
      </c>
      <c r="J5312" s="18">
        <f>IFERROR(__xludf.DUMMYFUNCTION("""COMPUTED_VALUE"""),28.0)</f>
        <v>28</v>
      </c>
      <c r="K5312" s="18">
        <f>IFERROR(__xludf.DUMMYFUNCTION("""COMPUTED_VALUE"""),40.0)</f>
        <v>40</v>
      </c>
      <c r="L5312" s="17">
        <f>IFERROR(__xludf.DUMMYFUNCTION("""COMPUTED_VALUE"""),3.104919761E9)</f>
        <v>3104919761</v>
      </c>
      <c r="M5312" s="17" t="str">
        <f>IFERROR(__xludf.DUMMYFUNCTION("""COMPUTED_VALUE"""),"#REF!")</f>
        <v>#REF!</v>
      </c>
      <c r="N5312" s="17"/>
      <c r="O5312" s="17"/>
      <c r="P5312" s="17" t="b">
        <f>IFERROR(__xludf.DUMMYFUNCTION("""COMPUTED_VALUE"""),FALSE)</f>
        <v>0</v>
      </c>
      <c r="Q5312" s="20" t="str">
        <f>IFERROR(__xludf.DUMMYFUNCTION("""COMPUTED_VALUE"""),"")</f>
        <v/>
      </c>
      <c r="R5312" s="22" t="str">
        <f>IFERROR(__xludf.DUMMYFUNCTION("""COMPUTED_VALUE"""),"")</f>
        <v/>
      </c>
    </row>
    <row r="5313">
      <c r="A5313" s="15">
        <f>IFERROR(__xludf.DUMMYFUNCTION("""COMPUTED_VALUE"""),45154.0)</f>
        <v>45154</v>
      </c>
      <c r="B5313" s="16" t="str">
        <f>IFERROR(__xludf.DUMMYFUNCTION("""COMPUTED_VALUE"""),"Johan Alexander Escobar Arroyo ")</f>
        <v>Johan Alexander Escobar Arroyo </v>
      </c>
      <c r="C5313" s="15" t="str">
        <f>IFERROR(__xludf.DUMMYFUNCTION("""COMPUTED_VALUE"""),"CALI")</f>
        <v>CALI</v>
      </c>
      <c r="D5313" s="15" t="str">
        <f>IFERROR(__xludf.DUMMYFUNCTION("""COMPUTED_VALUE"""),"MEDELLÍN")</f>
        <v>MEDELLÍN</v>
      </c>
      <c r="E5313" s="15" t="str">
        <f>IFERROR(__xludf.DUMMYFUNCTION("""COMPUTED_VALUE"""),"JD Bufala")</f>
        <v>JD Bufala</v>
      </c>
      <c r="F5313" s="17" t="str">
        <f>IFERROR(__xludf.DUMMYFUNCTION("""COMPUTED_VALUE"""),"Cra76#3-80 / 1 piso  / Nápoles")</f>
        <v>Cra76#3-80 / 1 piso  / Nápoles</v>
      </c>
      <c r="G5313" s="15" t="str">
        <f>IFERROR(__xludf.DUMMYFUNCTION("""COMPUTED_VALUE"""),"Oscar pinta")</f>
        <v>Oscar pinta</v>
      </c>
      <c r="H5313" s="16">
        <f>IFERROR(__xludf.DUMMYFUNCTION("""COMPUTED_VALUE"""),14026.0)</f>
        <v>14026</v>
      </c>
      <c r="I5313" s="18">
        <f>IFERROR(__xludf.DUMMYFUNCTION("""COMPUTED_VALUE"""),10.0)</f>
        <v>10</v>
      </c>
      <c r="J5313" s="18">
        <f>IFERROR(__xludf.DUMMYFUNCTION("""COMPUTED_VALUE"""),8.0)</f>
        <v>8</v>
      </c>
      <c r="K5313" s="18">
        <f>IFERROR(__xludf.DUMMYFUNCTION("""COMPUTED_VALUE"""),28.0)</f>
        <v>28</v>
      </c>
      <c r="L5313" s="17">
        <f>IFERROR(__xludf.DUMMYFUNCTION("""COMPUTED_VALUE"""),3.043565366E9)</f>
        <v>3043565366</v>
      </c>
      <c r="M5313" s="17" t="str">
        <f>IFERROR(__xludf.DUMMYFUNCTION("""COMPUTED_VALUE"""),"#REF!")</f>
        <v>#REF!</v>
      </c>
      <c r="N5313" s="17"/>
      <c r="O5313" s="17"/>
      <c r="P5313" s="17" t="b">
        <f>IFERROR(__xludf.DUMMYFUNCTION("""COMPUTED_VALUE"""),FALSE)</f>
        <v>0</v>
      </c>
      <c r="Q5313" s="20" t="str">
        <f>IFERROR(__xludf.DUMMYFUNCTION("""COMPUTED_VALUE"""),"")</f>
        <v/>
      </c>
      <c r="R5313" s="22" t="str">
        <f>IFERROR(__xludf.DUMMYFUNCTION("""COMPUTED_VALUE"""),"")</f>
        <v/>
      </c>
    </row>
    <row r="5314">
      <c r="A5314" s="15">
        <f>IFERROR(__xludf.DUMMYFUNCTION("""COMPUTED_VALUE"""),45154.0)</f>
        <v>45154</v>
      </c>
      <c r="B5314" s="16" t="str">
        <f>IFERROR(__xludf.DUMMYFUNCTION("""COMPUTED_VALUE"""),"Johan Alexander Escobar Arroyo ")</f>
        <v>Johan Alexander Escobar Arroyo </v>
      </c>
      <c r="C5314" s="15" t="str">
        <f>IFERROR(__xludf.DUMMYFUNCTION("""COMPUTED_VALUE"""),"CÚCUTA")</f>
        <v>CÚCUTA</v>
      </c>
      <c r="D5314" s="15" t="str">
        <f>IFERROR(__xludf.DUMMYFUNCTION("""COMPUTED_VALUE"""),"MEDELLÍN")</f>
        <v>MEDELLÍN</v>
      </c>
      <c r="E5314" s="15" t="str">
        <f>IFERROR(__xludf.DUMMYFUNCTION("""COMPUTED_VALUE"""),"Momo Tea S.A.S Gabriel Echavarría")</f>
        <v>Momo Tea S.A.S Gabriel Echavarría</v>
      </c>
      <c r="F5314" s="17" t="str">
        <f>IFERROR(__xludf.DUMMYFUNCTION("""COMPUTED_VALUE"""),"CL 11 N 16 E 35 / CA B 1")</f>
        <v>CL 11 N 16 E 35 / CA B 1</v>
      </c>
      <c r="G5314" s="15" t="str">
        <f>IFERROR(__xludf.DUMMYFUNCTION("""COMPUTED_VALUE"""),"Gabriel Echavarría")</f>
        <v>Gabriel Echavarría</v>
      </c>
      <c r="H5314" s="16">
        <f>IFERROR(__xludf.DUMMYFUNCTION("""COMPUTED_VALUE"""),13967.0)</f>
        <v>13967</v>
      </c>
      <c r="I5314" s="18">
        <f>IFERROR(__xludf.DUMMYFUNCTION("""COMPUTED_VALUE"""),21.0)</f>
        <v>21</v>
      </c>
      <c r="J5314" s="18">
        <f>IFERROR(__xludf.DUMMYFUNCTION("""COMPUTED_VALUE"""),29.0)</f>
        <v>29</v>
      </c>
      <c r="K5314" s="18">
        <f>IFERROR(__xludf.DUMMYFUNCTION("""COMPUTED_VALUE"""),29.0)</f>
        <v>29</v>
      </c>
      <c r="L5314" s="17">
        <f>IFERROR(__xludf.DUMMYFUNCTION("""COMPUTED_VALUE"""),3.017909548E9)</f>
        <v>3017909548</v>
      </c>
      <c r="M5314" s="17" t="str">
        <f>IFERROR(__xludf.DUMMYFUNCTION("""COMPUTED_VALUE"""),"#REF!")</f>
        <v>#REF!</v>
      </c>
      <c r="N5314" s="17"/>
      <c r="O5314" s="17"/>
      <c r="P5314" s="17" t="b">
        <f>IFERROR(__xludf.DUMMYFUNCTION("""COMPUTED_VALUE"""),TRUE)</f>
        <v>1</v>
      </c>
      <c r="Q5314" s="20">
        <f>IFERROR(__xludf.DUMMYFUNCTION("""COMPUTED_VALUE"""),45155.92068164352)</f>
        <v>45155.92068</v>
      </c>
      <c r="R5314" s="22" t="str">
        <f>IFERROR(__xludf.DUMMYFUNCTION("""COMPUTED_VALUE"""),"")</f>
        <v/>
      </c>
    </row>
    <row r="5315">
      <c r="A5315" s="15">
        <f>IFERROR(__xludf.DUMMYFUNCTION("""COMPUTED_VALUE"""),45154.0)</f>
        <v>45154</v>
      </c>
      <c r="B5315" s="16" t="str">
        <f>IFERROR(__xludf.DUMMYFUNCTION("""COMPUTED_VALUE"""),"Johan Alexander Escobar Arroyo ")</f>
        <v>Johan Alexander Escobar Arroyo </v>
      </c>
      <c r="C5315" s="15" t="str">
        <f>IFERROR(__xludf.DUMMYFUNCTION("""COMPUTED_VALUE"""),"VILLAVICENCIO")</f>
        <v>VILLAVICENCIO</v>
      </c>
      <c r="D5315" s="15" t="str">
        <f>IFERROR(__xludf.DUMMYFUNCTION("""COMPUTED_VALUE"""),"BOGOTÁ")</f>
        <v>BOGOTÁ</v>
      </c>
      <c r="E5315" s="15" t="str">
        <f>IFERROR(__xludf.DUMMYFUNCTION("""COMPUTED_VALUE"""),"Mochi")</f>
        <v>Mochi</v>
      </c>
      <c r="F5315" s="17" t="str">
        <f>IFERROR(__xludf.DUMMYFUNCTION("""COMPUTED_VALUE"""),"Calle 7 Número 45 – 18 Quinta etapa, Villavicencio, Meta / Calle 7 Número 45 – 18 Quinta etapa, Villavicencio, Meta / Calle 7 Número 45 – 18 Quinta etapa, Villavicencio, Meta")</f>
        <v>Calle 7 Número 45 – 18 Quinta etapa, Villavicencio, Meta / Calle 7 Número 45 – 18 Quinta etapa, Villavicencio, Meta / Calle 7 Número 45 – 18 Quinta etapa, Villavicencio, Meta</v>
      </c>
      <c r="G5315" s="15" t="str">
        <f>IFERROR(__xludf.DUMMYFUNCTION("""COMPUTED_VALUE"""),"NATALIA")</f>
        <v>NATALIA</v>
      </c>
      <c r="H5315" s="16">
        <f>IFERROR(__xludf.DUMMYFUNCTION("""COMPUTED_VALUE"""),14044.0)</f>
        <v>14044</v>
      </c>
      <c r="I5315" s="18">
        <f>IFERROR(__xludf.DUMMYFUNCTION("""COMPUTED_VALUE"""),100.0)</f>
        <v>100</v>
      </c>
      <c r="J5315" s="18">
        <f>IFERROR(__xludf.DUMMYFUNCTION("""COMPUTED_VALUE"""),200.0)</f>
        <v>200</v>
      </c>
      <c r="K5315" s="18">
        <f>IFERROR(__xludf.DUMMYFUNCTION("""COMPUTED_VALUE"""),200.0)</f>
        <v>200</v>
      </c>
      <c r="L5315" s="17">
        <f>IFERROR(__xludf.DUMMYFUNCTION("""COMPUTED_VALUE"""),3.134100428E9)</f>
        <v>3134100428</v>
      </c>
      <c r="M5315" s="17" t="str">
        <f>IFERROR(__xludf.DUMMYFUNCTION("""COMPUTED_VALUE"""),"#REF!")</f>
        <v>#REF!</v>
      </c>
      <c r="N5315" s="17"/>
      <c r="O5315" s="17"/>
      <c r="P5315" s="17" t="b">
        <f>IFERROR(__xludf.DUMMYFUNCTION("""COMPUTED_VALUE"""),TRUE)</f>
        <v>1</v>
      </c>
      <c r="Q5315" s="20">
        <f>IFERROR(__xludf.DUMMYFUNCTION("""COMPUTED_VALUE"""),45155.92068164352)</f>
        <v>45155.92068</v>
      </c>
      <c r="R5315" s="22" t="str">
        <f>IFERROR(__xludf.DUMMYFUNCTION("""COMPUTED_VALUE"""),"")</f>
        <v/>
      </c>
    </row>
    <row r="5316">
      <c r="A5316" s="17" t="str">
        <f>IFERROR(__xludf.DUMMYFUNCTION("""COMPUTED_VALUE"""),"")</f>
        <v/>
      </c>
      <c r="B5316" s="17" t="str">
        <f>IFERROR(__xludf.DUMMYFUNCTION("""COMPUTED_VALUE"""),"")</f>
        <v/>
      </c>
      <c r="C5316" s="17" t="str">
        <f>IFERROR(__xludf.DUMMYFUNCTION("""COMPUTED_VALUE"""),"")</f>
        <v/>
      </c>
      <c r="D5316" s="17" t="str">
        <f>IFERROR(__xludf.DUMMYFUNCTION("""COMPUTED_VALUE"""),"")</f>
        <v/>
      </c>
      <c r="E5316" s="17" t="str">
        <f>IFERROR(__xludf.DUMMYFUNCTION("""COMPUTED_VALUE"""),"")</f>
        <v/>
      </c>
      <c r="F5316" s="17" t="str">
        <f>IFERROR(__xludf.DUMMYFUNCTION("""COMPUTED_VALUE"""),"")</f>
        <v/>
      </c>
      <c r="G5316" s="17" t="str">
        <f>IFERROR(__xludf.DUMMYFUNCTION("""COMPUTED_VALUE"""),"")</f>
        <v/>
      </c>
      <c r="H5316" s="17" t="str">
        <f>IFERROR(__xludf.DUMMYFUNCTION("""COMPUTED_VALUE"""),"")</f>
        <v/>
      </c>
      <c r="I5316" s="17" t="str">
        <f>IFERROR(__xludf.DUMMYFUNCTION("""COMPUTED_VALUE"""),"")</f>
        <v/>
      </c>
      <c r="J5316" s="17" t="str">
        <f>IFERROR(__xludf.DUMMYFUNCTION("""COMPUTED_VALUE"""),"")</f>
        <v/>
      </c>
      <c r="K5316" s="17" t="str">
        <f>IFERROR(__xludf.DUMMYFUNCTION("""COMPUTED_VALUE"""),"")</f>
        <v/>
      </c>
      <c r="L5316" s="17" t="str">
        <f>IFERROR(__xludf.DUMMYFUNCTION("""COMPUTED_VALUE"""),"")</f>
        <v/>
      </c>
      <c r="M5316" s="17" t="str">
        <f>IFERROR(__xludf.DUMMYFUNCTION("""COMPUTED_VALUE"""),"")</f>
        <v/>
      </c>
      <c r="N5316" s="17" t="str">
        <f>IFERROR(__xludf.DUMMYFUNCTION("""COMPUTED_VALUE"""),"")</f>
        <v/>
      </c>
      <c r="O5316" s="17" t="str">
        <f>IFERROR(__xludf.DUMMYFUNCTION("""COMPUTED_VALUE"""),"")</f>
        <v/>
      </c>
      <c r="P5316" s="17" t="str">
        <f>IFERROR(__xludf.DUMMYFUNCTION("""COMPUTED_VALUE"""),"")</f>
        <v/>
      </c>
      <c r="Q5316" s="17" t="str">
        <f>IFERROR(__xludf.DUMMYFUNCTION("""COMPUTED_VALUE"""),"")</f>
        <v/>
      </c>
      <c r="R5316" s="17" t="str">
        <f>IFERROR(__xludf.DUMMYFUNCTION("""COMPUTED_VALUE"""),"")</f>
        <v/>
      </c>
    </row>
    <row r="5317">
      <c r="A5317" s="15">
        <f>IFERROR(__xludf.DUMMYFUNCTION("""COMPUTED_VALUE"""),45155.0)</f>
        <v>45155</v>
      </c>
      <c r="B5317" s="17"/>
      <c r="C5317" s="15" t="str">
        <f>IFERROR(__xludf.DUMMYFUNCTION("""COMPUTED_VALUE"""),"MANIZALES")</f>
        <v>MANIZALES</v>
      </c>
      <c r="D5317" s="15" t="str">
        <f>IFERROR(__xludf.DUMMYFUNCTION("""COMPUTED_VALUE"""),"BUCARAMANGA")</f>
        <v>BUCARAMANGA</v>
      </c>
      <c r="E5317" s="15" t="str">
        <f>IFERROR(__xludf.DUMMYFUNCTION("""COMPUTED_VALUE"""),"Yo Como Solito")</f>
        <v>Yo Como Solito</v>
      </c>
      <c r="F5317" s="17" t="str">
        <f>IFERROR(__xludf.DUMMYFUNCTION("""COMPUTED_VALUE"""),"CARRER 23 NO. 75A-140 TORRE A APTO 402 CONJUNTO TORRES DE MILAN / CARRER 23 NO. 75A-140 TORRE A APTO 402 CONJUNTO TORRES DE MILAN / CARRER 23 NO. 75A-140 TORRE A APTO 402 CONJUNTO TORRES DE MILAN")</f>
        <v>CARRER 23 NO. 75A-140 TORRE A APTO 402 CONJUNTO TORRES DE MILAN / CARRER 23 NO. 75A-140 TORRE A APTO 402 CONJUNTO TORRES DE MILAN / CARRER 23 NO. 75A-140 TORRE A APTO 402 CONJUNTO TORRES DE MILAN</v>
      </c>
      <c r="G5317" s="15" t="str">
        <f>IFERROR(__xludf.DUMMYFUNCTION("""COMPUTED_VALUE"""),"JULIANA HINCAPIE GIRALDO")</f>
        <v>JULIANA HINCAPIE GIRALDO</v>
      </c>
      <c r="H5317" s="16">
        <f>IFERROR(__xludf.DUMMYFUNCTION("""COMPUTED_VALUE"""),14010.0)</f>
        <v>14010</v>
      </c>
      <c r="I5317" s="18">
        <f>IFERROR(__xludf.DUMMYFUNCTION("""COMPUTED_VALUE"""),17.0)</f>
        <v>17</v>
      </c>
      <c r="J5317" s="18">
        <f>IFERROR(__xludf.DUMMYFUNCTION("""COMPUTED_VALUE"""),22.0)</f>
        <v>22</v>
      </c>
      <c r="K5317" s="18">
        <f>IFERROR(__xludf.DUMMYFUNCTION("""COMPUTED_VALUE"""),28.0)</f>
        <v>28</v>
      </c>
      <c r="L5317" s="17">
        <f>IFERROR(__xludf.DUMMYFUNCTION("""COMPUTED_VALUE"""),3.104373701E9)</f>
        <v>3104373701</v>
      </c>
      <c r="M5317" s="17" t="str">
        <f>IFERROR(__xludf.DUMMYFUNCTION("""COMPUTED_VALUE"""),"#REF!")</f>
        <v>#REF!</v>
      </c>
      <c r="N5317" s="17"/>
      <c r="O5317" s="17"/>
      <c r="P5317" s="17" t="b">
        <f>IFERROR(__xludf.DUMMYFUNCTION("""COMPUTED_VALUE"""),TRUE)</f>
        <v>1</v>
      </c>
      <c r="Q5317" s="20">
        <f>IFERROR(__xludf.DUMMYFUNCTION("""COMPUTED_VALUE"""),45155.92068164352)</f>
        <v>45155.92068</v>
      </c>
      <c r="R5317" s="21" t="str">
        <f>IFERROR(__xludf.DUMMYFUNCTION("""COMPUTED_VALUE"""),"https://drive.google.com/file/d/1KzAec6KyyUoz6ujNZPjNIUhY1030uiMa/view?usp=drivesdk")</f>
        <v>https://drive.google.com/file/d/1KzAec6KyyUoz6ujNZPjNIUhY1030uiMa/view?usp=drivesdk</v>
      </c>
    </row>
    <row r="5318">
      <c r="A5318" s="15">
        <f>IFERROR(__xludf.DUMMYFUNCTION("""COMPUTED_VALUE"""),45155.0)</f>
        <v>45155</v>
      </c>
      <c r="B5318" s="17"/>
      <c r="C5318" s="15" t="str">
        <f>IFERROR(__xludf.DUMMYFUNCTION("""COMPUTED_VALUE"""),"MANIZALES")</f>
        <v>MANIZALES</v>
      </c>
      <c r="D5318" s="15" t="str">
        <f>IFERROR(__xludf.DUMMYFUNCTION("""COMPUTED_VALUE"""),"BUCARAMANGA")</f>
        <v>BUCARAMANGA</v>
      </c>
      <c r="E5318" s="15" t="str">
        <f>IFERROR(__xludf.DUMMYFUNCTION("""COMPUTED_VALUE"""),"Yo Como Solito")</f>
        <v>Yo Como Solito</v>
      </c>
      <c r="F5318" s="17" t="str">
        <f>IFERROR(__xludf.DUMMYFUNCTION("""COMPUTED_VALUE"""),"CARRERA 28D NO. 70-46 BARRIO PALERMO CASA / CARRERA 28D NO. 70-46 BARRIO PALERMO CASA / CARRERA 28D NO. 70-46 BARRIO PALERMO CASA")</f>
        <v>CARRERA 28D NO. 70-46 BARRIO PALERMO CASA / CARRERA 28D NO. 70-46 BARRIO PALERMO CASA / CARRERA 28D NO. 70-46 BARRIO PALERMO CASA</v>
      </c>
      <c r="G5318" s="15" t="str">
        <f>IFERROR(__xludf.DUMMYFUNCTION("""COMPUTED_VALUE"""),"PAULA XIMENA BOLAÑOS QUINTERO")</f>
        <v>PAULA XIMENA BOLAÑOS QUINTERO</v>
      </c>
      <c r="H5318" s="16">
        <f>IFERROR(__xludf.DUMMYFUNCTION("""COMPUTED_VALUE"""),14009.0)</f>
        <v>14009</v>
      </c>
      <c r="I5318" s="18">
        <f>IFERROR(__xludf.DUMMYFUNCTION("""COMPUTED_VALUE"""),17.0)</f>
        <v>17</v>
      </c>
      <c r="J5318" s="18">
        <f>IFERROR(__xludf.DUMMYFUNCTION("""COMPUTED_VALUE"""),31.0)</f>
        <v>31</v>
      </c>
      <c r="K5318" s="18">
        <f>IFERROR(__xludf.DUMMYFUNCTION("""COMPUTED_VALUE"""),49.0)</f>
        <v>49</v>
      </c>
      <c r="L5318" s="17">
        <f>IFERROR(__xludf.DUMMYFUNCTION("""COMPUTED_VALUE"""),3.10398467E9)</f>
        <v>3103984670</v>
      </c>
      <c r="M5318" s="17" t="str">
        <f>IFERROR(__xludf.DUMMYFUNCTION("""COMPUTED_VALUE"""),"#REF!")</f>
        <v>#REF!</v>
      </c>
      <c r="N5318" s="17"/>
      <c r="O5318" s="17"/>
      <c r="P5318" s="17" t="b">
        <f>IFERROR(__xludf.DUMMYFUNCTION("""COMPUTED_VALUE"""),TRUE)</f>
        <v>1</v>
      </c>
      <c r="Q5318" s="20">
        <f>IFERROR(__xludf.DUMMYFUNCTION("""COMPUTED_VALUE"""),45155.92068164352)</f>
        <v>45155.92068</v>
      </c>
      <c r="R5318" s="21" t="str">
        <f>IFERROR(__xludf.DUMMYFUNCTION("""COMPUTED_VALUE"""),"https://drive.google.com/file/d/1gD4_7v5dwSqait495muokMbkFs6B6oGR/view?usp=drivesdk")</f>
        <v>https://drive.google.com/file/d/1gD4_7v5dwSqait495muokMbkFs6B6oGR/view?usp=drivesdk</v>
      </c>
    </row>
    <row r="5319">
      <c r="A5319" s="15">
        <f>IFERROR(__xludf.DUMMYFUNCTION("""COMPUTED_VALUE"""),45155.0)</f>
        <v>45155</v>
      </c>
      <c r="B5319" s="17"/>
      <c r="C5319" s="15" t="str">
        <f>IFERROR(__xludf.DUMMYFUNCTION("""COMPUTED_VALUE"""),"MEDELLÍN")</f>
        <v>MEDELLÍN</v>
      </c>
      <c r="D5319" s="15" t="str">
        <f>IFERROR(__xludf.DUMMYFUNCTION("""COMPUTED_VALUE"""),"BOGOTÁ")</f>
        <v>BOGOTÁ</v>
      </c>
      <c r="E5319" s="15" t="str">
        <f>IFERROR(__xludf.DUMMYFUNCTION("""COMPUTED_VALUE"""),"Frubits")</f>
        <v>Frubits</v>
      </c>
      <c r="F5319" s="17" t="str">
        <f>IFERROR(__xludf.DUMMYFUNCTION("""COMPUTED_VALUE"""),"Cc DeModa Sótano 1 Local Cocinas Ocultas Cl. 14 #52A-250 (Sotano 1) / Cc DeModa Sótano 1 Local Cocinas Ocultas Cl. 14 #52A-250 (Sotano 1) / Cc DeModa Sótano 1 Local Cocinas Ocultas Cl. 14 #52A-250 (Sotano 1)")</f>
        <v>Cc DeModa Sótano 1 Local Cocinas Ocultas Cl. 14 #52A-250 (Sotano 1) / Cc DeModa Sótano 1 Local Cocinas Ocultas Cl. 14 #52A-250 (Sotano 1) / Cc DeModa Sótano 1 Local Cocinas Ocultas Cl. 14 #52A-250 (Sotano 1)</v>
      </c>
      <c r="G5319" s="15" t="str">
        <f>IFERROR(__xludf.DUMMYFUNCTION("""COMPUTED_VALUE"""),"Cocinas ocultas PiknPak Andres Hernandez")</f>
        <v>Cocinas ocultas PiknPak Andres Hernandez</v>
      </c>
      <c r="H5319" s="16">
        <f>IFERROR(__xludf.DUMMYFUNCTION("""COMPUTED_VALUE"""),14089.0)</f>
        <v>14089</v>
      </c>
      <c r="I5319" s="18">
        <f>IFERROR(__xludf.DUMMYFUNCTION("""COMPUTED_VALUE"""),9.0)</f>
        <v>9</v>
      </c>
      <c r="J5319" s="18">
        <f>IFERROR(__xludf.DUMMYFUNCTION("""COMPUTED_VALUE"""),9.0)</f>
        <v>9</v>
      </c>
      <c r="K5319" s="18">
        <f>IFERROR(__xludf.DUMMYFUNCTION("""COMPUTED_VALUE"""),9.0)</f>
        <v>9</v>
      </c>
      <c r="L5319" s="17">
        <f>IFERROR(__xludf.DUMMYFUNCTION("""COMPUTED_VALUE"""),3.214229567E9)</f>
        <v>3214229567</v>
      </c>
      <c r="M5319" s="17" t="str">
        <f>IFERROR(__xludf.DUMMYFUNCTION("""COMPUTED_VALUE"""),"#REF!")</f>
        <v>#REF!</v>
      </c>
      <c r="N5319" s="17"/>
      <c r="O5319" s="17"/>
      <c r="P5319" s="17" t="b">
        <f>IFERROR(__xludf.DUMMYFUNCTION("""COMPUTED_VALUE"""),FALSE)</f>
        <v>0</v>
      </c>
      <c r="Q5319" s="20" t="str">
        <f>IFERROR(__xludf.DUMMYFUNCTION("""COMPUTED_VALUE"""),"")</f>
        <v/>
      </c>
      <c r="R5319" s="22" t="str">
        <f>IFERROR(__xludf.DUMMYFUNCTION("""COMPUTED_VALUE"""),"")</f>
        <v/>
      </c>
    </row>
    <row r="5320">
      <c r="A5320" s="15">
        <f>IFERROR(__xludf.DUMMYFUNCTION("""COMPUTED_VALUE"""),45155.0)</f>
        <v>45155</v>
      </c>
      <c r="B5320" s="17"/>
      <c r="C5320" s="15" t="str">
        <f>IFERROR(__xludf.DUMMYFUNCTION("""COMPUTED_VALUE"""),"POPAYAN")</f>
        <v>POPAYAN</v>
      </c>
      <c r="D5320" s="15" t="str">
        <f>IFERROR(__xludf.DUMMYFUNCTION("""COMPUTED_VALUE"""),"BOGOTÁ")</f>
        <v>BOGOTÁ</v>
      </c>
      <c r="E5320" s="15" t="str">
        <f>IFERROR(__xludf.DUMMYFUNCTION("""COMPUTED_VALUE"""),"Ins. Alimento Vital")</f>
        <v>Ins. Alimento Vital</v>
      </c>
      <c r="F5320" s="17" t="str">
        <f>IFERROR(__xludf.DUMMYFUNCTION("""COMPUTED_VALUE"""),"CR 17 15 40 / CASA / LA LADERA")</f>
        <v>CR 17 15 40 / CASA / LA LADERA</v>
      </c>
      <c r="G5320" s="15" t="str">
        <f>IFERROR(__xludf.DUMMYFUNCTION("""COMPUTED_VALUE"""),"MARCELA GAVIRIA PAZ")</f>
        <v>MARCELA GAVIRIA PAZ</v>
      </c>
      <c r="H5320" s="16">
        <f>IFERROR(__xludf.DUMMYFUNCTION("""COMPUTED_VALUE"""),14080.0)</f>
        <v>14080</v>
      </c>
      <c r="I5320" s="18">
        <f>IFERROR(__xludf.DUMMYFUNCTION("""COMPUTED_VALUE"""),1.0)</f>
        <v>1</v>
      </c>
      <c r="J5320" s="18">
        <f>IFERROR(__xludf.DUMMYFUNCTION("""COMPUTED_VALUE"""),1.0)</f>
        <v>1</v>
      </c>
      <c r="K5320" s="18">
        <f>IFERROR(__xludf.DUMMYFUNCTION("""COMPUTED_VALUE"""),1.0)</f>
        <v>1</v>
      </c>
      <c r="L5320" s="17">
        <f>IFERROR(__xludf.DUMMYFUNCTION("""COMPUTED_VALUE"""),3.117038837E9)</f>
        <v>3117038837</v>
      </c>
      <c r="M5320" s="17" t="str">
        <f>IFERROR(__xludf.DUMMYFUNCTION("""COMPUTED_VALUE"""),"#REF!")</f>
        <v>#REF!</v>
      </c>
      <c r="N5320" s="17"/>
      <c r="O5320" s="17"/>
      <c r="P5320" s="17" t="b">
        <f>IFERROR(__xludf.DUMMYFUNCTION("""COMPUTED_VALUE"""),TRUE)</f>
        <v>1</v>
      </c>
      <c r="Q5320" s="20">
        <f>IFERROR(__xludf.DUMMYFUNCTION("""COMPUTED_VALUE"""),45155.46922054398)</f>
        <v>45155.46922</v>
      </c>
      <c r="R5320" s="22" t="str">
        <f>IFERROR(__xludf.DUMMYFUNCTION("""COMPUTED_VALUE"""),"")</f>
        <v/>
      </c>
    </row>
    <row r="5321">
      <c r="A5321" s="17" t="str">
        <f>IFERROR(__xludf.DUMMYFUNCTION("""COMPUTED_VALUE"""),"")</f>
        <v/>
      </c>
      <c r="B5321" s="17" t="str">
        <f>IFERROR(__xludf.DUMMYFUNCTION("""COMPUTED_VALUE"""),"")</f>
        <v/>
      </c>
      <c r="C5321" s="17" t="str">
        <f>IFERROR(__xludf.DUMMYFUNCTION("""COMPUTED_VALUE"""),"")</f>
        <v/>
      </c>
      <c r="D5321" s="17" t="str">
        <f>IFERROR(__xludf.DUMMYFUNCTION("""COMPUTED_VALUE"""),"")</f>
        <v/>
      </c>
      <c r="E5321" s="17" t="str">
        <f>IFERROR(__xludf.DUMMYFUNCTION("""COMPUTED_VALUE"""),"")</f>
        <v/>
      </c>
      <c r="F5321" s="17" t="str">
        <f>IFERROR(__xludf.DUMMYFUNCTION("""COMPUTED_VALUE"""),"")</f>
        <v/>
      </c>
      <c r="G5321" s="17" t="str">
        <f>IFERROR(__xludf.DUMMYFUNCTION("""COMPUTED_VALUE"""),"")</f>
        <v/>
      </c>
      <c r="H5321" s="17" t="str">
        <f>IFERROR(__xludf.DUMMYFUNCTION("""COMPUTED_VALUE"""),"")</f>
        <v/>
      </c>
      <c r="I5321" s="17" t="str">
        <f>IFERROR(__xludf.DUMMYFUNCTION("""COMPUTED_VALUE"""),"")</f>
        <v/>
      </c>
      <c r="J5321" s="17" t="str">
        <f>IFERROR(__xludf.DUMMYFUNCTION("""COMPUTED_VALUE"""),"")</f>
        <v/>
      </c>
      <c r="K5321" s="17" t="str">
        <f>IFERROR(__xludf.DUMMYFUNCTION("""COMPUTED_VALUE"""),"")</f>
        <v/>
      </c>
      <c r="L5321" s="17" t="str">
        <f>IFERROR(__xludf.DUMMYFUNCTION("""COMPUTED_VALUE"""),"")</f>
        <v/>
      </c>
      <c r="M5321" s="17" t="str">
        <f>IFERROR(__xludf.DUMMYFUNCTION("""COMPUTED_VALUE"""),"")</f>
        <v/>
      </c>
      <c r="N5321" s="17" t="str">
        <f>IFERROR(__xludf.DUMMYFUNCTION("""COMPUTED_VALUE"""),"")</f>
        <v/>
      </c>
      <c r="O5321" s="17" t="str">
        <f>IFERROR(__xludf.DUMMYFUNCTION("""COMPUTED_VALUE"""),"")</f>
        <v/>
      </c>
      <c r="P5321" s="17" t="str">
        <f>IFERROR(__xludf.DUMMYFUNCTION("""COMPUTED_VALUE"""),"")</f>
        <v/>
      </c>
      <c r="Q5321" s="17" t="str">
        <f>IFERROR(__xludf.DUMMYFUNCTION("""COMPUTED_VALUE"""),"")</f>
        <v/>
      </c>
      <c r="R5321" s="17" t="str">
        <f>IFERROR(__xludf.DUMMYFUNCTION("""COMPUTED_VALUE"""),"")</f>
        <v/>
      </c>
    </row>
    <row r="5322">
      <c r="A5322" s="15">
        <f>IFERROR(__xludf.DUMMYFUNCTION("""COMPUTED_VALUE"""),45155.0)</f>
        <v>45155</v>
      </c>
      <c r="B5322" s="16" t="str">
        <f>IFERROR(__xludf.DUMMYFUNCTION("""COMPUTED_VALUE"""),"David Sanmartin Bello")</f>
        <v>David Sanmartin Bello</v>
      </c>
      <c r="C5322" s="15" t="str">
        <f>IFERROR(__xludf.DUMMYFUNCTION("""COMPUTED_VALUE"""),"BARRANQUILLA")</f>
        <v>BARRANQUILLA</v>
      </c>
      <c r="D5322" s="15" t="str">
        <f>IFERROR(__xludf.DUMMYFUNCTION("""COMPUTED_VALUE"""),"MANIZALES")</f>
        <v>MANIZALES</v>
      </c>
      <c r="E5322" s="15" t="str">
        <f>IFERROR(__xludf.DUMMYFUNCTION("""COMPUTED_VALUE"""),"Congelados Típicos")</f>
        <v>Congelados Típicos</v>
      </c>
      <c r="F5322" s="17" t="str">
        <f>IFERROR(__xludf.DUMMYFUNCTION("""COMPUTED_VALUE"""),"COMPLEJO METROPARQUE INDSUTRIAL BODEGA 26  / RENTA FRIO  / COMPLEJO METROPARQUE")</f>
        <v>COMPLEJO METROPARQUE INDSUTRIAL BODEGA 26  / RENTA FRIO  / COMPLEJO METROPARQUE</v>
      </c>
      <c r="G5322" s="15" t="str">
        <f>IFERROR(__xludf.DUMMYFUNCTION("""COMPUTED_VALUE"""),"JOSE DAVID RODRIGUEZ")</f>
        <v>JOSE DAVID RODRIGUEZ</v>
      </c>
      <c r="H5322" s="16">
        <f>IFERROR(__xludf.DUMMYFUNCTION("""COMPUTED_VALUE"""),13996.0)</f>
        <v>13996</v>
      </c>
      <c r="I5322" s="18" t="str">
        <f>IFERROR(__xludf.DUMMYFUNCTION("""COMPUTED_VALUE"""),"52.5")</f>
        <v>52.5</v>
      </c>
      <c r="J5322" s="18">
        <f>IFERROR(__xludf.DUMMYFUNCTION("""COMPUTED_VALUE"""),45.0)</f>
        <v>45</v>
      </c>
      <c r="K5322" s="18">
        <f>IFERROR(__xludf.DUMMYFUNCTION("""COMPUTED_VALUE"""),55.0)</f>
        <v>55</v>
      </c>
      <c r="L5322" s="17">
        <f>IFERROR(__xludf.DUMMYFUNCTION("""COMPUTED_VALUE"""),3.001808407E9)</f>
        <v>3001808407</v>
      </c>
      <c r="M5322" s="17" t="str">
        <f>IFERROR(__xludf.DUMMYFUNCTION("""COMPUTED_VALUE"""),"#REF!")</f>
        <v>#REF!</v>
      </c>
      <c r="N5322" s="17"/>
      <c r="O5322" s="17"/>
      <c r="P5322" s="17" t="b">
        <f>IFERROR(__xludf.DUMMYFUNCTION("""COMPUTED_VALUE"""),TRUE)</f>
        <v>1</v>
      </c>
      <c r="Q5322" s="20">
        <f>IFERROR(__xludf.DUMMYFUNCTION("""COMPUTED_VALUE"""),45160.616063865746)</f>
        <v>45160.61606</v>
      </c>
      <c r="R5322" s="22" t="str">
        <f>IFERROR(__xludf.DUMMYFUNCTION("""COMPUTED_VALUE"""),"")</f>
        <v/>
      </c>
    </row>
    <row r="5323">
      <c r="A5323" s="15">
        <f>IFERROR(__xludf.DUMMYFUNCTION("""COMPUTED_VALUE"""),45155.0)</f>
        <v>45155</v>
      </c>
      <c r="B5323" s="16" t="str">
        <f>IFERROR(__xludf.DUMMYFUNCTION("""COMPUTED_VALUE"""),"David Sanmartin Bello")</f>
        <v>David Sanmartin Bello</v>
      </c>
      <c r="C5323" s="15" t="str">
        <f>IFERROR(__xludf.DUMMYFUNCTION("""COMPUTED_VALUE"""),"CARTAGENA")</f>
        <v>CARTAGENA</v>
      </c>
      <c r="D5323" s="15" t="str">
        <f>IFERROR(__xludf.DUMMYFUNCTION("""COMPUTED_VALUE"""),"BOGOTÁ")</f>
        <v>BOGOTÁ</v>
      </c>
      <c r="E5323" s="15" t="str">
        <f>IFERROR(__xludf.DUMMYFUNCTION("""COMPUTED_VALUE"""),"Asociacion Agropecuaria Juana Maria")</f>
        <v>Asociacion Agropecuaria Juana Maria</v>
      </c>
      <c r="F5323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5323" s="15" t="str">
        <f>IFERROR(__xludf.DUMMYFUNCTION("""COMPUTED_VALUE"""),"LUZ ELENA GIL BENAVIDES")</f>
        <v>LUZ ELENA GIL BENAVIDES</v>
      </c>
      <c r="H5323" s="16">
        <f>IFERROR(__xludf.DUMMYFUNCTION("""COMPUTED_VALUE"""),13907.0)</f>
        <v>13907</v>
      </c>
      <c r="I5323" s="18">
        <f>IFERROR(__xludf.DUMMYFUNCTION("""COMPUTED_VALUE"""),22.0)</f>
        <v>22</v>
      </c>
      <c r="J5323" s="18">
        <f>IFERROR(__xludf.DUMMYFUNCTION("""COMPUTED_VALUE"""),15.0)</f>
        <v>15</v>
      </c>
      <c r="K5323" s="18">
        <f>IFERROR(__xludf.DUMMYFUNCTION("""COMPUTED_VALUE"""),3.0)</f>
        <v>3</v>
      </c>
      <c r="L5323" s="17">
        <f>IFERROR(__xludf.DUMMYFUNCTION("""COMPUTED_VALUE"""),3.054312334E9)</f>
        <v>3054312334</v>
      </c>
      <c r="M5323" s="17" t="str">
        <f>IFERROR(__xludf.DUMMYFUNCTION("""COMPUTED_VALUE"""),"#REF!")</f>
        <v>#REF!</v>
      </c>
      <c r="N5323" s="17"/>
      <c r="O5323" s="17"/>
      <c r="P5323" s="17" t="b">
        <f>IFERROR(__xludf.DUMMYFUNCTION("""COMPUTED_VALUE"""),TRUE)</f>
        <v>1</v>
      </c>
      <c r="Q5323" s="20">
        <f>IFERROR(__xludf.DUMMYFUNCTION("""COMPUTED_VALUE"""),45160.616063865746)</f>
        <v>45160.61606</v>
      </c>
      <c r="R5323" s="21" t="str">
        <f>IFERROR(__xludf.DUMMYFUNCTION("""COMPUTED_VALUE"""),"https://drive.google.com/file/d/1XDxpfVPZBQlzw6Ij6qOMUeY5vOkRCFjL/view?usp=drivesdk")</f>
        <v>https://drive.google.com/file/d/1XDxpfVPZBQlzw6Ij6qOMUeY5vOkRCFjL/view?usp=drivesdk</v>
      </c>
    </row>
    <row r="5324">
      <c r="A5324" s="15">
        <f>IFERROR(__xludf.DUMMYFUNCTION("""COMPUTED_VALUE"""),45155.0)</f>
        <v>45155</v>
      </c>
      <c r="B5324" s="16" t="str">
        <f>IFERROR(__xludf.DUMMYFUNCTION("""COMPUTED_VALUE"""),"David Sanmartin Bello")</f>
        <v>David Sanmartin Bello</v>
      </c>
      <c r="C5324" s="15" t="str">
        <f>IFERROR(__xludf.DUMMYFUNCTION("""COMPUTED_VALUE"""),"CARTAGENA")</f>
        <v>CARTAGENA</v>
      </c>
      <c r="D5324" s="15" t="str">
        <f>IFERROR(__xludf.DUMMYFUNCTION("""COMPUTED_VALUE"""),"BOGOTÁ")</f>
        <v>BOGOTÁ</v>
      </c>
      <c r="E5324" s="15" t="str">
        <f>IFERROR(__xludf.DUMMYFUNCTION("""COMPUTED_VALUE"""),"Asociacion Agropecuaria Juana Maria")</f>
        <v>Asociacion Agropecuaria Juana Maria</v>
      </c>
      <c r="F5324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5324" s="15" t="str">
        <f>IFERROR(__xludf.DUMMYFUNCTION("""COMPUTED_VALUE"""),"LUZ ELENA GIL BENAVIDES")</f>
        <v>LUZ ELENA GIL BENAVIDES</v>
      </c>
      <c r="H5324" s="16">
        <f>IFERROR(__xludf.DUMMYFUNCTION("""COMPUTED_VALUE"""),13908.0)</f>
        <v>13908</v>
      </c>
      <c r="I5324" s="18">
        <f>IFERROR(__xludf.DUMMYFUNCTION("""COMPUTED_VALUE"""),26.0)</f>
        <v>26</v>
      </c>
      <c r="J5324" s="18">
        <f>IFERROR(__xludf.DUMMYFUNCTION("""COMPUTED_VALUE"""),8.0)</f>
        <v>8</v>
      </c>
      <c r="K5324" s="18">
        <f>IFERROR(__xludf.DUMMYFUNCTION("""COMPUTED_VALUE"""),8.0)</f>
        <v>8</v>
      </c>
      <c r="L5324" s="17">
        <f>IFERROR(__xludf.DUMMYFUNCTION("""COMPUTED_VALUE"""),3.054312334E9)</f>
        <v>3054312334</v>
      </c>
      <c r="M5324" s="17" t="str">
        <f>IFERROR(__xludf.DUMMYFUNCTION("""COMPUTED_VALUE"""),"#REF!")</f>
        <v>#REF!</v>
      </c>
      <c r="N5324" s="17"/>
      <c r="O5324" s="17"/>
      <c r="P5324" s="17" t="b">
        <f>IFERROR(__xludf.DUMMYFUNCTION("""COMPUTED_VALUE"""),TRUE)</f>
        <v>1</v>
      </c>
      <c r="Q5324" s="20">
        <f>IFERROR(__xludf.DUMMYFUNCTION("""COMPUTED_VALUE"""),45156.46497763889)</f>
        <v>45156.46498</v>
      </c>
      <c r="R5324" s="22" t="str">
        <f>IFERROR(__xludf.DUMMYFUNCTION("""COMPUTED_VALUE"""),"")</f>
        <v/>
      </c>
    </row>
    <row r="5325">
      <c r="A5325" s="15">
        <f>IFERROR(__xludf.DUMMYFUNCTION("""COMPUTED_VALUE"""),45155.0)</f>
        <v>45155</v>
      </c>
      <c r="B5325" s="16" t="str">
        <f>IFERROR(__xludf.DUMMYFUNCTION("""COMPUTED_VALUE"""),"David Sanmartin Bello")</f>
        <v>David Sanmartin Bello</v>
      </c>
      <c r="C5325" s="15" t="str">
        <f>IFERROR(__xludf.DUMMYFUNCTION("""COMPUTED_VALUE"""),"CARTAGENA")</f>
        <v>CARTAGENA</v>
      </c>
      <c r="D5325" s="15" t="str">
        <f>IFERROR(__xludf.DUMMYFUNCTION("""COMPUTED_VALUE"""),"BOGOTÁ")</f>
        <v>BOGOTÁ</v>
      </c>
      <c r="E5325" s="15" t="str">
        <f>IFERROR(__xludf.DUMMYFUNCTION("""COMPUTED_VALUE"""),"Evamazzita")</f>
        <v>Evamazzita</v>
      </c>
      <c r="F5325" s="17" t="str">
        <f>IFERROR(__xludf.DUMMYFUNCTION("""COMPUTED_VALUE"""),"Cll 32B No 80 589  / Condominio Copacabana T4 Apto 706   Villa Estrella / Condominio Copacabana T4 Apto 706   Villa Estrella""")</f>
        <v>Cll 32B No 80 589  / Condominio Copacabana T4 Apto 706   Villa Estrella / Condominio Copacabana T4 Apto 706   Villa Estrella"</v>
      </c>
      <c r="G5325" s="15" t="str">
        <f>IFERROR(__xludf.DUMMYFUNCTION("""COMPUTED_VALUE"""),"LUZ ELENA GIL BENAVIDES")</f>
        <v>LUZ ELENA GIL BENAVIDES</v>
      </c>
      <c r="H5325" s="16">
        <f>IFERROR(__xludf.DUMMYFUNCTION("""COMPUTED_VALUE"""),14021.0)</f>
        <v>14021</v>
      </c>
      <c r="I5325" s="18">
        <f>IFERROR(__xludf.DUMMYFUNCTION("""COMPUTED_VALUE"""),17.0)</f>
        <v>17</v>
      </c>
      <c r="J5325" s="18">
        <f>IFERROR(__xludf.DUMMYFUNCTION("""COMPUTED_VALUE"""),24.0)</f>
        <v>24</v>
      </c>
      <c r="K5325" s="18">
        <f>IFERROR(__xludf.DUMMYFUNCTION("""COMPUTED_VALUE"""),22.0)</f>
        <v>22</v>
      </c>
      <c r="L5325" s="17">
        <f>IFERROR(__xludf.DUMMYFUNCTION("""COMPUTED_VALUE"""),3.054312334E9)</f>
        <v>3054312334</v>
      </c>
      <c r="M5325" s="17" t="str">
        <f>IFERROR(__xludf.DUMMYFUNCTION("""COMPUTED_VALUE"""),"#REF!")</f>
        <v>#REF!</v>
      </c>
      <c r="N5325" s="17"/>
      <c r="O5325" s="17"/>
      <c r="P5325" s="17" t="b">
        <f>IFERROR(__xludf.DUMMYFUNCTION("""COMPUTED_VALUE"""),TRUE)</f>
        <v>1</v>
      </c>
      <c r="Q5325" s="20">
        <f>IFERROR(__xludf.DUMMYFUNCTION("""COMPUTED_VALUE"""),45155.48004559027)</f>
        <v>45155.48005</v>
      </c>
      <c r="R5325" s="21" t="str">
        <f>IFERROR(__xludf.DUMMYFUNCTION("""COMPUTED_VALUE"""),"https://drive.google.com/file/d/16NyjnoiZMC-ubWoGVBf22vAc6zrLUwLc/view?usp=drivesdk")</f>
        <v>https://drive.google.com/file/d/16NyjnoiZMC-ubWoGVBf22vAc6zrLUwLc/view?usp=drivesdk</v>
      </c>
    </row>
    <row r="5326">
      <c r="A5326" s="15">
        <f>IFERROR(__xludf.DUMMYFUNCTION("""COMPUTED_VALUE"""),45155.0)</f>
        <v>45155</v>
      </c>
      <c r="B5326" s="16" t="str">
        <f>IFERROR(__xludf.DUMMYFUNCTION("""COMPUTED_VALUE"""),"David Sanmartin Bello")</f>
        <v>David Sanmartin Bello</v>
      </c>
      <c r="C5326" s="15" t="str">
        <f>IFERROR(__xludf.DUMMYFUNCTION("""COMPUTED_VALUE"""),"CARTAGENA")</f>
        <v>CARTAGENA</v>
      </c>
      <c r="D5326" s="15" t="str">
        <f>IFERROR(__xludf.DUMMYFUNCTION("""COMPUTED_VALUE"""),"BOGOTÁ")</f>
        <v>BOGOTÁ</v>
      </c>
      <c r="E5326" s="15" t="str">
        <f>IFERROR(__xludf.DUMMYFUNCTION("""COMPUTED_VALUE"""),"MAI ALIMENTOS S.A.S")</f>
        <v>MAI ALIMENTOS S.A.S</v>
      </c>
      <c r="F5326" s="17" t="str">
        <f>IFERROR(__xludf.DUMMYFUNCTION("""COMPUTED_VALUE"""),"Carrera 3 A # 31 - 23 / Plaza Santa teresa / Restaurante Harry Sasson")</f>
        <v>Carrera 3 A # 31 - 23 / Plaza Santa teresa / Restaurante Harry Sasson</v>
      </c>
      <c r="G5326" s="15" t="str">
        <f>IFERROR(__xludf.DUMMYFUNCTION("""COMPUTED_VALUE"""),"Hoteles Charleston SAS")</f>
        <v>Hoteles Charleston SAS</v>
      </c>
      <c r="H5326" s="16">
        <f>IFERROR(__xludf.DUMMYFUNCTION("""COMPUTED_VALUE"""),13917.0)</f>
        <v>13917</v>
      </c>
      <c r="I5326" s="18">
        <f>IFERROR(__xludf.DUMMYFUNCTION("""COMPUTED_VALUE"""),35.0)</f>
        <v>35</v>
      </c>
      <c r="J5326" s="18">
        <f>IFERROR(__xludf.DUMMYFUNCTION("""COMPUTED_VALUE"""),17.0)</f>
        <v>17</v>
      </c>
      <c r="K5326" s="18">
        <f>IFERROR(__xludf.DUMMYFUNCTION("""COMPUTED_VALUE"""),13.0)</f>
        <v>13</v>
      </c>
      <c r="L5326" s="17">
        <f>IFERROR(__xludf.DUMMYFUNCTION("""COMPUTED_VALUE"""),3.174374246E9)</f>
        <v>3174374246</v>
      </c>
      <c r="M5326" s="17" t="str">
        <f>IFERROR(__xludf.DUMMYFUNCTION("""COMPUTED_VALUE"""),"#REF!")</f>
        <v>#REF!</v>
      </c>
      <c r="N5326" s="17"/>
      <c r="O5326" s="17"/>
      <c r="P5326" s="17" t="b">
        <f>IFERROR(__xludf.DUMMYFUNCTION("""COMPUTED_VALUE"""),TRUE)</f>
        <v>1</v>
      </c>
      <c r="Q5326" s="20">
        <f>IFERROR(__xludf.DUMMYFUNCTION("""COMPUTED_VALUE"""),45155.92068164352)</f>
        <v>45155.92068</v>
      </c>
      <c r="R5326" s="21" t="str">
        <f>IFERROR(__xludf.DUMMYFUNCTION("""COMPUTED_VALUE"""),"https://drive.google.com/file/d/1kcvkWj1WgbviE7lCjAcazqBoGvZ8Qh8-/view?usp=drivesdk")</f>
        <v>https://drive.google.com/file/d/1kcvkWj1WgbviE7lCjAcazqBoGvZ8Qh8-/view?usp=drivesdk</v>
      </c>
    </row>
    <row r="5327">
      <c r="A5327" s="15">
        <f>IFERROR(__xludf.DUMMYFUNCTION("""COMPUTED_VALUE"""),45155.0)</f>
        <v>45155</v>
      </c>
      <c r="B5327" s="16" t="str">
        <f>IFERROR(__xludf.DUMMYFUNCTION("""COMPUTED_VALUE"""),"David Sanmartin Bello")</f>
        <v>David Sanmartin Bello</v>
      </c>
      <c r="C5327" s="15" t="str">
        <f>IFERROR(__xludf.DUMMYFUNCTION("""COMPUTED_VALUE"""),"CARTAGENA")</f>
        <v>CARTAGENA</v>
      </c>
      <c r="D5327" s="15" t="str">
        <f>IFERROR(__xludf.DUMMYFUNCTION("""COMPUTED_VALUE"""),"BOGOTÁ")</f>
        <v>BOGOTÁ</v>
      </c>
      <c r="E5327" s="15" t="str">
        <f>IFERROR(__xludf.DUMMYFUNCTION("""COMPUTED_VALUE"""),"SISU PARTNERS SAS")</f>
        <v>SISU PARTNERS SAS</v>
      </c>
      <c r="F5327" s="17" t="str">
        <f>IFERROR(__xludf.DUMMYFUNCTION("""COMPUTED_VALUE"""),"Carrera 7 no. 38-48 local 3 / Local Mary &amp; George")</f>
        <v>Carrera 7 no. 38-48 local 3 / Local Mary &amp; George</v>
      </c>
      <c r="G5327" s="15" t="str">
        <f>IFERROR(__xludf.DUMMYFUNCTION("""COMPUTED_VALUE"""),"Carolyne Bailey")</f>
        <v>Carolyne Bailey</v>
      </c>
      <c r="H5327" s="16">
        <f>IFERROR(__xludf.DUMMYFUNCTION("""COMPUTED_VALUE"""),14077.0)</f>
        <v>14077</v>
      </c>
      <c r="I5327" s="18" t="str">
        <f>IFERROR(__xludf.DUMMYFUNCTION("""COMPUTED_VALUE"""),"52.5")</f>
        <v>52.5</v>
      </c>
      <c r="J5327" s="18">
        <f>IFERROR(__xludf.DUMMYFUNCTION("""COMPUTED_VALUE"""),45.0)</f>
        <v>45</v>
      </c>
      <c r="K5327" s="18">
        <f>IFERROR(__xludf.DUMMYFUNCTION("""COMPUTED_VALUE"""),55.0)</f>
        <v>55</v>
      </c>
      <c r="L5327" s="17">
        <f>IFERROR(__xludf.DUMMYFUNCTION("""COMPUTED_VALUE"""),3.105510381E9)</f>
        <v>3105510381</v>
      </c>
      <c r="M5327" s="17" t="str">
        <f>IFERROR(__xludf.DUMMYFUNCTION("""COMPUTED_VALUE"""),"#REF!")</f>
        <v>#REF!</v>
      </c>
      <c r="N5327" s="17"/>
      <c r="O5327" s="17"/>
      <c r="P5327" s="17" t="b">
        <f>IFERROR(__xludf.DUMMYFUNCTION("""COMPUTED_VALUE"""),TRUE)</f>
        <v>1</v>
      </c>
      <c r="Q5327" s="20">
        <f>IFERROR(__xludf.DUMMYFUNCTION("""COMPUTED_VALUE"""),45155.920681655094)</f>
        <v>45155.92068</v>
      </c>
      <c r="R5327" s="22" t="str">
        <f>IFERROR(__xludf.DUMMYFUNCTION("""COMPUTED_VALUE"""),"")</f>
        <v/>
      </c>
    </row>
    <row r="5328">
      <c r="A5328" s="15">
        <f>IFERROR(__xludf.DUMMYFUNCTION("""COMPUTED_VALUE"""),45155.0)</f>
        <v>45155</v>
      </c>
      <c r="B5328" s="16" t="str">
        <f>IFERROR(__xludf.DUMMYFUNCTION("""COMPUTED_VALUE"""),"David Sanmartin Bello")</f>
        <v>David Sanmartin Bello</v>
      </c>
      <c r="C5328" s="15" t="str">
        <f>IFERROR(__xludf.DUMMYFUNCTION("""COMPUTED_VALUE"""),"CARTAGENA")</f>
        <v>CARTAGENA</v>
      </c>
      <c r="D5328" s="15" t="str">
        <f>IFERROR(__xludf.DUMMYFUNCTION("""COMPUTED_VALUE"""),"BOGOTÁ")</f>
        <v>BOGOTÁ</v>
      </c>
      <c r="E5328" s="15" t="str">
        <f>IFERROR(__xludf.DUMMYFUNCTION("""COMPUTED_VALUE"""),"Top Spun")</f>
        <v>Top Spun</v>
      </c>
      <c r="F5328" s="17" t="str">
        <f>IFERROR(__xludf.DUMMYFUNCTION("""COMPUTED_VALUE"""),"KR 8 CL 5 A-85 / Tor B APT 1B  / Edificio Casa Blanca- Castillogrande")</f>
        <v>KR 8 CL 5 A-85 / Tor B APT 1B  / Edificio Casa Blanca- Castillogrande</v>
      </c>
      <c r="G5328" s="15" t="str">
        <f>IFERROR(__xludf.DUMMYFUNCTION("""COMPUTED_VALUE"""),"CYRIL PERETTI")</f>
        <v>CYRIL PERETTI</v>
      </c>
      <c r="H5328" s="16">
        <f>IFERROR(__xludf.DUMMYFUNCTION("""COMPUTED_VALUE"""),13888.0)</f>
        <v>13888</v>
      </c>
      <c r="I5328" s="18">
        <f>IFERROR(__xludf.DUMMYFUNCTION("""COMPUTED_VALUE"""),20.0)</f>
        <v>20</v>
      </c>
      <c r="J5328" s="18">
        <f>IFERROR(__xludf.DUMMYFUNCTION("""COMPUTED_VALUE"""),10.0)</f>
        <v>10</v>
      </c>
      <c r="K5328" s="18">
        <f>IFERROR(__xludf.DUMMYFUNCTION("""COMPUTED_VALUE"""),40.0)</f>
        <v>40</v>
      </c>
      <c r="L5328" s="17">
        <f>IFERROR(__xludf.DUMMYFUNCTION("""COMPUTED_VALUE"""),3.235276976E9)</f>
        <v>3235276976</v>
      </c>
      <c r="M5328" s="17" t="str">
        <f>IFERROR(__xludf.DUMMYFUNCTION("""COMPUTED_VALUE"""),"#REF!")</f>
        <v>#REF!</v>
      </c>
      <c r="N5328" s="17"/>
      <c r="O5328" s="17"/>
      <c r="P5328" s="17" t="b">
        <f>IFERROR(__xludf.DUMMYFUNCTION("""COMPUTED_VALUE"""),TRUE)</f>
        <v>1</v>
      </c>
      <c r="Q5328" s="20">
        <f>IFERROR(__xludf.DUMMYFUNCTION("""COMPUTED_VALUE"""),45155.920681655094)</f>
        <v>45155.92068</v>
      </c>
      <c r="R5328" s="22" t="str">
        <f>IFERROR(__xludf.DUMMYFUNCTION("""COMPUTED_VALUE"""),"")</f>
        <v/>
      </c>
    </row>
    <row r="5329">
      <c r="A5329" s="15">
        <f>IFERROR(__xludf.DUMMYFUNCTION("""COMPUTED_VALUE"""),45155.0)</f>
        <v>45155</v>
      </c>
      <c r="B5329" s="16" t="str">
        <f>IFERROR(__xludf.DUMMYFUNCTION("""COMPUTED_VALUE"""),"David Sanmartin Bello")</f>
        <v>David Sanmartin Bello</v>
      </c>
      <c r="C5329" s="15" t="str">
        <f>IFERROR(__xludf.DUMMYFUNCTION("""COMPUTED_VALUE"""),"CARTAGENA")</f>
        <v>CARTAGENA</v>
      </c>
      <c r="D5329" s="15" t="str">
        <f>IFERROR(__xludf.DUMMYFUNCTION("""COMPUTED_VALUE"""),"BUCARAMANGA")</f>
        <v>BUCARAMANGA</v>
      </c>
      <c r="E5329" s="15" t="str">
        <f>IFERROR(__xludf.DUMMYFUNCTION("""COMPUTED_VALUE"""),"Yo Como Solito")</f>
        <v>Yo Como Solito</v>
      </c>
      <c r="F5329" s="17" t="str">
        <f>IFERROR(__xludf.DUMMYFUNCTION("""COMPUTED_VALUE"""),"MANZANA 38 LOTE 17 SEGUNDO PISO BARRIO GAVIOTAS PRIMERA ETAPA  / MANZANA 38 LOTE 17 SEGUNDO PISO BARRIO GAVIOTAS PRIMERA ETAPA  / MANZANA 38 LOTE 17 SEGUNDO PISO BARRIO GAVIOTAS PRIMERA ETAPA")</f>
        <v>MANZANA 38 LOTE 17 SEGUNDO PISO BARRIO GAVIOTAS PRIMERA ETAPA  / MANZANA 38 LOTE 17 SEGUNDO PISO BARRIO GAVIOTAS PRIMERA ETAPA  / MANZANA 38 LOTE 17 SEGUNDO PISO BARRIO GAVIOTAS PRIMERA ETAPA</v>
      </c>
      <c r="G5329" s="15" t="str">
        <f>IFERROR(__xludf.DUMMYFUNCTION("""COMPUTED_VALUE"""),"VANESSA ELENA CARABALLO")</f>
        <v>VANESSA ELENA CARABALLO</v>
      </c>
      <c r="H5329" s="16">
        <f>IFERROR(__xludf.DUMMYFUNCTION("""COMPUTED_VALUE"""),14012.0)</f>
        <v>14012</v>
      </c>
      <c r="I5329" s="18">
        <f>IFERROR(__xludf.DUMMYFUNCTION("""COMPUTED_VALUE"""),37.0)</f>
        <v>37</v>
      </c>
      <c r="J5329" s="18">
        <f>IFERROR(__xludf.DUMMYFUNCTION("""COMPUTED_VALUE"""),24.0)</f>
        <v>24</v>
      </c>
      <c r="K5329" s="18">
        <f>IFERROR(__xludf.DUMMYFUNCTION("""COMPUTED_VALUE"""),40.0)</f>
        <v>40</v>
      </c>
      <c r="L5329" s="17">
        <f>IFERROR(__xludf.DUMMYFUNCTION("""COMPUTED_VALUE"""),3.163391533E9)</f>
        <v>3163391533</v>
      </c>
      <c r="M5329" s="17" t="str">
        <f>IFERROR(__xludf.DUMMYFUNCTION("""COMPUTED_VALUE"""),"#REF!")</f>
        <v>#REF!</v>
      </c>
      <c r="N5329" s="17"/>
      <c r="O5329" s="17"/>
      <c r="P5329" s="17" t="b">
        <f>IFERROR(__xludf.DUMMYFUNCTION("""COMPUTED_VALUE"""),TRUE)</f>
        <v>1</v>
      </c>
      <c r="Q5329" s="20">
        <f>IFERROR(__xludf.DUMMYFUNCTION("""COMPUTED_VALUE"""),45155.920681655094)</f>
        <v>45155.92068</v>
      </c>
      <c r="R5329" s="22" t="str">
        <f>IFERROR(__xludf.DUMMYFUNCTION("""COMPUTED_VALUE"""),"")</f>
        <v/>
      </c>
    </row>
    <row r="5330">
      <c r="A5330" s="15">
        <f>IFERROR(__xludf.DUMMYFUNCTION("""COMPUTED_VALUE"""),45155.0)</f>
        <v>45155</v>
      </c>
      <c r="B5330" s="16" t="str">
        <f>IFERROR(__xludf.DUMMYFUNCTION("""COMPUTED_VALUE"""),"David Sanmartin Bello")</f>
        <v>David Sanmartin Bello</v>
      </c>
      <c r="C5330" s="15" t="str">
        <f>IFERROR(__xludf.DUMMYFUNCTION("""COMPUTED_VALUE"""),"CARTAGENA")</f>
        <v>CARTAGENA</v>
      </c>
      <c r="D5330" s="15" t="str">
        <f>IFERROR(__xludf.DUMMYFUNCTION("""COMPUTED_VALUE"""),"MEDELLÍN")</f>
        <v>MEDELLÍN</v>
      </c>
      <c r="E5330" s="15" t="str">
        <f>IFERROR(__xludf.DUMMYFUNCTION("""COMPUTED_VALUE"""),"AREPAS LA MARY")</f>
        <v>AREPAS LA MARY</v>
      </c>
      <c r="F5330" s="17" t="str">
        <f>IFERROR(__xludf.DUMMYFUNCTION("""COMPUTED_VALUE"""),"CALLE 6 N 4 20 / CENTRO COMERCIAL LA ESTACION LOCAL 110")</f>
        <v>CALLE 6 N 4 20 / CENTRO COMERCIAL LA ESTACION LOCAL 110</v>
      </c>
      <c r="G5330" s="15" t="str">
        <f>IFERROR(__xludf.DUMMYFUNCTION("""COMPUTED_VALUE"""),"COCOFIT MERCADO SALUDABLE")</f>
        <v>COCOFIT MERCADO SALUDABLE</v>
      </c>
      <c r="H5330" s="16">
        <f>IFERROR(__xludf.DUMMYFUNCTION("""COMPUTED_VALUE"""),14013.0)</f>
        <v>14013</v>
      </c>
      <c r="I5330" s="18">
        <f>IFERROR(__xludf.DUMMYFUNCTION("""COMPUTED_VALUE"""),89.0)</f>
        <v>89</v>
      </c>
      <c r="J5330" s="18">
        <f>IFERROR(__xludf.DUMMYFUNCTION("""COMPUTED_VALUE"""),1.0)</f>
        <v>1</v>
      </c>
      <c r="K5330" s="18">
        <f>IFERROR(__xludf.DUMMYFUNCTION("""COMPUTED_VALUE"""),10.0)</f>
        <v>10</v>
      </c>
      <c r="L5330" s="17">
        <f>IFERROR(__xludf.DUMMYFUNCTION("""COMPUTED_VALUE"""),3.135781119E9)</f>
        <v>3135781119</v>
      </c>
      <c r="M5330" s="17" t="str">
        <f>IFERROR(__xludf.DUMMYFUNCTION("""COMPUTED_VALUE"""),"#REF!")</f>
        <v>#REF!</v>
      </c>
      <c r="N5330" s="17"/>
      <c r="O5330" s="17"/>
      <c r="P5330" s="17" t="b">
        <f>IFERROR(__xludf.DUMMYFUNCTION("""COMPUTED_VALUE"""),TRUE)</f>
        <v>1</v>
      </c>
      <c r="Q5330" s="20">
        <f>IFERROR(__xludf.DUMMYFUNCTION("""COMPUTED_VALUE"""),45155.920681655094)</f>
        <v>45155.92068</v>
      </c>
      <c r="R5330" s="22" t="str">
        <f>IFERROR(__xludf.DUMMYFUNCTION("""COMPUTED_VALUE"""),"")</f>
        <v/>
      </c>
    </row>
    <row r="5331">
      <c r="A5331" s="15">
        <f>IFERROR(__xludf.DUMMYFUNCTION("""COMPUTED_VALUE"""),45155.0)</f>
        <v>45155</v>
      </c>
      <c r="B5331" s="16" t="str">
        <f>IFERROR(__xludf.DUMMYFUNCTION("""COMPUTED_VALUE"""),"David Sanmartin Bello")</f>
        <v>David Sanmartin Bello</v>
      </c>
      <c r="C5331" s="15" t="str">
        <f>IFERROR(__xludf.DUMMYFUNCTION("""COMPUTED_VALUE"""),"MEDELLÍN")</f>
        <v>MEDELLÍN</v>
      </c>
      <c r="D5331" s="15" t="str">
        <f>IFERROR(__xludf.DUMMYFUNCTION("""COMPUTED_VALUE"""),"BOGOTÁ")</f>
        <v>BOGOTÁ</v>
      </c>
      <c r="E5331" s="15" t="str">
        <f>IFERROR(__xludf.DUMMYFUNCTION("""COMPUTED_VALUE"""),"Mochi")</f>
        <v>Mochi</v>
      </c>
      <c r="F5331" s="17" t="str">
        <f>IFERROR(__xludf.DUMMYFUNCTION("""COMPUTED_VALUE"""),"Cra. 48 #32B Sur-139, Zona 1, Envigado, Antioquia / Cra. 48 #32B Sur-139, Zona 1, Envigado, Antioquia / Cra. 48 #32B Sur-139, Zona 1, Envigado, Antioquia")</f>
        <v>Cra. 48 #32B Sur-139, Zona 1, Envigado, Antioquia / Cra. 48 #32B Sur-139, Zona 1, Envigado, Antioquia / Cra. 48 #32B Sur-139, Zona 1, Envigado, Antioquia</v>
      </c>
      <c r="G5331" s="15" t="str">
        <f>IFERROR(__xludf.DUMMYFUNCTION("""COMPUTED_VALUE"""),"tania")</f>
        <v>tania</v>
      </c>
      <c r="H5331" s="16">
        <f>IFERROR(__xludf.DUMMYFUNCTION("""COMPUTED_VALUE"""),14116.0)</f>
        <v>14116</v>
      </c>
      <c r="I5331" s="18">
        <f>IFERROR(__xludf.DUMMYFUNCTION("""COMPUTED_VALUE"""),100.0)</f>
        <v>100</v>
      </c>
      <c r="J5331" s="18">
        <f>IFERROR(__xludf.DUMMYFUNCTION("""COMPUTED_VALUE"""),200.0)</f>
        <v>200</v>
      </c>
      <c r="K5331" s="18">
        <f>IFERROR(__xludf.DUMMYFUNCTION("""COMPUTED_VALUE"""),200.0)</f>
        <v>200</v>
      </c>
      <c r="L5331" s="17">
        <f>IFERROR(__xludf.DUMMYFUNCTION("""COMPUTED_VALUE"""),3.142587995E9)</f>
        <v>3142587995</v>
      </c>
      <c r="M5331" s="17" t="str">
        <f>IFERROR(__xludf.DUMMYFUNCTION("""COMPUTED_VALUE"""),"#REF!")</f>
        <v>#REF!</v>
      </c>
      <c r="N5331" s="17"/>
      <c r="O5331" s="17"/>
      <c r="P5331" s="17" t="b">
        <f>IFERROR(__xludf.DUMMYFUNCTION("""COMPUTED_VALUE"""),TRUE)</f>
        <v>1</v>
      </c>
      <c r="Q5331" s="20">
        <f>IFERROR(__xludf.DUMMYFUNCTION("""COMPUTED_VALUE"""),45160.616063865746)</f>
        <v>45160.61606</v>
      </c>
      <c r="R5331" s="22" t="str">
        <f>IFERROR(__xludf.DUMMYFUNCTION("""COMPUTED_VALUE"""),"")</f>
        <v/>
      </c>
    </row>
    <row r="5332">
      <c r="A5332" s="17" t="str">
        <f>IFERROR(__xludf.DUMMYFUNCTION("""COMPUTED_VALUE"""),"")</f>
        <v/>
      </c>
      <c r="B5332" s="17" t="str">
        <f>IFERROR(__xludf.DUMMYFUNCTION("""COMPUTED_VALUE"""),"")</f>
        <v/>
      </c>
      <c r="C5332" s="17" t="str">
        <f>IFERROR(__xludf.DUMMYFUNCTION("""COMPUTED_VALUE"""),"")</f>
        <v/>
      </c>
      <c r="D5332" s="17" t="str">
        <f>IFERROR(__xludf.DUMMYFUNCTION("""COMPUTED_VALUE"""),"")</f>
        <v/>
      </c>
      <c r="E5332" s="17" t="str">
        <f>IFERROR(__xludf.DUMMYFUNCTION("""COMPUTED_VALUE"""),"")</f>
        <v/>
      </c>
      <c r="F5332" s="17" t="str">
        <f>IFERROR(__xludf.DUMMYFUNCTION("""COMPUTED_VALUE"""),"")</f>
        <v/>
      </c>
      <c r="G5332" s="17" t="str">
        <f>IFERROR(__xludf.DUMMYFUNCTION("""COMPUTED_VALUE"""),"")</f>
        <v/>
      </c>
      <c r="H5332" s="17" t="str">
        <f>IFERROR(__xludf.DUMMYFUNCTION("""COMPUTED_VALUE"""),"")</f>
        <v/>
      </c>
      <c r="I5332" s="17" t="str">
        <f>IFERROR(__xludf.DUMMYFUNCTION("""COMPUTED_VALUE"""),"")</f>
        <v/>
      </c>
      <c r="J5332" s="17" t="str">
        <f>IFERROR(__xludf.DUMMYFUNCTION("""COMPUTED_VALUE"""),"")</f>
        <v/>
      </c>
      <c r="K5332" s="17" t="str">
        <f>IFERROR(__xludf.DUMMYFUNCTION("""COMPUTED_VALUE"""),"")</f>
        <v/>
      </c>
      <c r="L5332" s="17" t="str">
        <f>IFERROR(__xludf.DUMMYFUNCTION("""COMPUTED_VALUE"""),"")</f>
        <v/>
      </c>
      <c r="M5332" s="17" t="str">
        <f>IFERROR(__xludf.DUMMYFUNCTION("""COMPUTED_VALUE"""),"")</f>
        <v/>
      </c>
      <c r="N5332" s="17" t="str">
        <f>IFERROR(__xludf.DUMMYFUNCTION("""COMPUTED_VALUE"""),"")</f>
        <v/>
      </c>
      <c r="O5332" s="17" t="str">
        <f>IFERROR(__xludf.DUMMYFUNCTION("""COMPUTED_VALUE"""),"")</f>
        <v/>
      </c>
      <c r="P5332" s="17" t="str">
        <f>IFERROR(__xludf.DUMMYFUNCTION("""COMPUTED_VALUE"""),"")</f>
        <v/>
      </c>
      <c r="Q5332" s="17" t="str">
        <f>IFERROR(__xludf.DUMMYFUNCTION("""COMPUTED_VALUE"""),"")</f>
        <v/>
      </c>
      <c r="R5332" s="17" t="str">
        <f>IFERROR(__xludf.DUMMYFUNCTION("""COMPUTED_VALUE"""),"")</f>
        <v/>
      </c>
    </row>
    <row r="5333">
      <c r="A5333" s="15">
        <f>IFERROR(__xludf.DUMMYFUNCTION("""COMPUTED_VALUE"""),45155.0)</f>
        <v>45155</v>
      </c>
      <c r="B5333" s="16" t="str">
        <f>IFERROR(__xludf.DUMMYFUNCTION("""COMPUTED_VALUE"""),"Envia")</f>
        <v>Envia</v>
      </c>
      <c r="C5333" s="15" t="str">
        <f>IFERROR(__xludf.DUMMYFUNCTION("""COMPUTED_VALUE"""),"CARTAGENA")</f>
        <v>CARTAGENA</v>
      </c>
      <c r="D5333" s="15" t="str">
        <f>IFERROR(__xludf.DUMMYFUNCTION("""COMPUTED_VALUE"""),"BOGOTÁ")</f>
        <v>BOGOTÁ</v>
      </c>
      <c r="E5333" s="15" t="str">
        <f>IFERROR(__xludf.DUMMYFUNCTION("""COMPUTED_VALUE"""),"Helados Socos")</f>
        <v>Helados Socos</v>
      </c>
      <c r="F5333" s="17" t="str">
        <f>IFERROR(__xludf.DUMMYFUNCTION("""COMPUTED_VALUE"""),"Calle real urbanización camino real / Casa 24 / Manga")</f>
        <v>Calle real urbanización camino real / Casa 24 / Manga</v>
      </c>
      <c r="G5333" s="15" t="str">
        <f>IFERROR(__xludf.DUMMYFUNCTION("""COMPUTED_VALUE"""),"Claudia Devoz")</f>
        <v>Claudia Devoz</v>
      </c>
      <c r="H5333" s="16">
        <f>IFERROR(__xludf.DUMMYFUNCTION("""COMPUTED_VALUE"""),14015.0)</f>
        <v>14015</v>
      </c>
      <c r="I5333" s="18">
        <f>IFERROR(__xludf.DUMMYFUNCTION("""COMPUTED_VALUE"""),18.0)</f>
        <v>18</v>
      </c>
      <c r="J5333" s="18">
        <f>IFERROR(__xludf.DUMMYFUNCTION("""COMPUTED_VALUE"""),10.0)</f>
        <v>10</v>
      </c>
      <c r="K5333" s="18">
        <f>IFERROR(__xludf.DUMMYFUNCTION("""COMPUTED_VALUE"""),15.0)</f>
        <v>15</v>
      </c>
      <c r="L5333" s="17">
        <f>IFERROR(__xludf.DUMMYFUNCTION("""COMPUTED_VALUE"""),3.17575092E9)</f>
        <v>3175750920</v>
      </c>
      <c r="M5333" s="17" t="str">
        <f>IFERROR(__xludf.DUMMYFUNCTION("""COMPUTED_VALUE"""),"#REF!")</f>
        <v>#REF!</v>
      </c>
      <c r="N5333" s="17"/>
      <c r="O5333" s="17"/>
      <c r="P5333" s="17" t="b">
        <f>IFERROR(__xludf.DUMMYFUNCTION("""COMPUTED_VALUE"""),FALSE)</f>
        <v>0</v>
      </c>
      <c r="Q5333" s="20" t="str">
        <f>IFERROR(__xludf.DUMMYFUNCTION("""COMPUTED_VALUE"""),"")</f>
        <v/>
      </c>
      <c r="R5333" s="21" t="str">
        <f>IFERROR(__xludf.DUMMYFUNCTION("""COMPUTED_VALUE"""),"https://drive.google.com/file/d/1QZcjMZrgLORJQtIMni2IsUcv7Jw5WH2X/view?usp=drivesdk")</f>
        <v>https://drive.google.com/file/d/1QZcjMZrgLORJQtIMni2IsUcv7Jw5WH2X/view?usp=drivesdk</v>
      </c>
    </row>
    <row r="5334">
      <c r="A5334" s="15">
        <f>IFERROR(__xludf.DUMMYFUNCTION("""COMPUTED_VALUE"""),45155.0)</f>
        <v>45155</v>
      </c>
      <c r="B5334" s="16" t="str">
        <f>IFERROR(__xludf.DUMMYFUNCTION("""COMPUTED_VALUE"""),"Envia")</f>
        <v>Envia</v>
      </c>
      <c r="C5334" s="15" t="str">
        <f>IFERROR(__xludf.DUMMYFUNCTION("""COMPUTED_VALUE"""),"CARTAGENA")</f>
        <v>CARTAGENA</v>
      </c>
      <c r="D5334" s="15" t="str">
        <f>IFERROR(__xludf.DUMMYFUNCTION("""COMPUTED_VALUE"""),"MEDELLÍN")</f>
        <v>MEDELLÍN</v>
      </c>
      <c r="E5334" s="15" t="str">
        <f>IFERROR(__xludf.DUMMYFUNCTION("""COMPUTED_VALUE"""),"Baby Chef")</f>
        <v>Baby Chef</v>
      </c>
      <c r="F5334" s="17" t="str">
        <f>IFERROR(__xludf.DUMMYFUNCTION("""COMPUTED_VALUE"""),"Cr 2 # 9 - 95 apto 803 ed el condor Barrio Bocagrande / Cr 2 # 9 - 95 apto 803 ed el condor Barrio Bocagrande / Cr 2 # 9 - 95 apto 803 ed el condor Barrio Bocagrande")</f>
        <v>Cr 2 # 9 - 95 apto 803 ed el condor Barrio Bocagrande / Cr 2 # 9 - 95 apto 803 ed el condor Barrio Bocagrande / Cr 2 # 9 - 95 apto 803 ed el condor Barrio Bocagrande</v>
      </c>
      <c r="G5334" s="15" t="str">
        <f>IFERROR(__xludf.DUMMYFUNCTION("""COMPUTED_VALUE"""),"Maria Fernanda Gómez")</f>
        <v>Maria Fernanda Gómez</v>
      </c>
      <c r="H5334" s="16">
        <f>IFERROR(__xludf.DUMMYFUNCTION("""COMPUTED_VALUE"""),14036.0)</f>
        <v>14036</v>
      </c>
      <c r="I5334" s="18">
        <f>IFERROR(__xludf.DUMMYFUNCTION("""COMPUTED_VALUE"""),5.0)</f>
        <v>5</v>
      </c>
      <c r="J5334" s="18">
        <f>IFERROR(__xludf.DUMMYFUNCTION("""COMPUTED_VALUE"""),24.0)</f>
        <v>24</v>
      </c>
      <c r="K5334" s="18">
        <f>IFERROR(__xludf.DUMMYFUNCTION("""COMPUTED_VALUE"""),22.0)</f>
        <v>22</v>
      </c>
      <c r="L5334" s="17">
        <f>IFERROR(__xludf.DUMMYFUNCTION("""COMPUTED_VALUE"""),3.176712375E9)</f>
        <v>3176712375</v>
      </c>
      <c r="M5334" s="17" t="str">
        <f>IFERROR(__xludf.DUMMYFUNCTION("""COMPUTED_VALUE"""),"#REF!")</f>
        <v>#REF!</v>
      </c>
      <c r="N5334" s="17"/>
      <c r="O5334" s="17"/>
      <c r="P5334" s="17" t="b">
        <f>IFERROR(__xludf.DUMMYFUNCTION("""COMPUTED_VALUE"""),TRUE)</f>
        <v>1</v>
      </c>
      <c r="Q5334" s="20">
        <f>IFERROR(__xludf.DUMMYFUNCTION("""COMPUTED_VALUE"""),45155.920681655094)</f>
        <v>45155.92068</v>
      </c>
      <c r="R5334" s="22" t="str">
        <f>IFERROR(__xludf.DUMMYFUNCTION("""COMPUTED_VALUE"""),"")</f>
        <v/>
      </c>
    </row>
    <row r="5335">
      <c r="A5335" s="15">
        <f>IFERROR(__xludf.DUMMYFUNCTION("""COMPUTED_VALUE"""),45155.0)</f>
        <v>45155</v>
      </c>
      <c r="B5335" s="16" t="str">
        <f>IFERROR(__xludf.DUMMYFUNCTION("""COMPUTED_VALUE"""),"Envia")</f>
        <v>Envia</v>
      </c>
      <c r="C5335" s="15" t="str">
        <f>IFERROR(__xludf.DUMMYFUNCTION("""COMPUTED_VALUE"""),"FLORIDABLANCA")</f>
        <v>FLORIDABLANCA</v>
      </c>
      <c r="D5335" s="15" t="str">
        <f>IFERROR(__xludf.DUMMYFUNCTION("""COMPUTED_VALUE"""),"BOGOTÁ")</f>
        <v>BOGOTÁ</v>
      </c>
      <c r="E5335" s="15" t="str">
        <f>IFERROR(__xludf.DUMMYFUNCTION("""COMPUTED_VALUE"""),"Ins. Alimento Vital")</f>
        <v>Ins. Alimento Vital</v>
      </c>
      <c r="F5335" s="17" t="str">
        <f>IFERROR(__xludf.DUMMYFUNCTION("""COMPUTED_VALUE"""),"CL 200 13 200 / TR 2 AP 1504 ED PARK 200 / EDIFICIO PARK 200")</f>
        <v>CL 200 13 200 / TR 2 AP 1504 ED PARK 200 / EDIFICIO PARK 200</v>
      </c>
      <c r="G5335" s="15" t="str">
        <f>IFERROR(__xludf.DUMMYFUNCTION("""COMPUTED_VALUE"""),"VIVIANA CECILIA GUZMAN GHISSAYS")</f>
        <v>VIVIANA CECILIA GUZMAN GHISSAYS</v>
      </c>
      <c r="H5335" s="16">
        <f>IFERROR(__xludf.DUMMYFUNCTION("""COMPUTED_VALUE"""),14081.0)</f>
        <v>14081</v>
      </c>
      <c r="I5335" s="18">
        <f>IFERROR(__xludf.DUMMYFUNCTION("""COMPUTED_VALUE"""),1.0)</f>
        <v>1</v>
      </c>
      <c r="J5335" s="18">
        <f>IFERROR(__xludf.DUMMYFUNCTION("""COMPUTED_VALUE"""),1.0)</f>
        <v>1</v>
      </c>
      <c r="K5335" s="18">
        <f>IFERROR(__xludf.DUMMYFUNCTION("""COMPUTED_VALUE"""),1.0)</f>
        <v>1</v>
      </c>
      <c r="L5335" s="17">
        <f>IFERROR(__xludf.DUMMYFUNCTION("""COMPUTED_VALUE"""),3.183879871E9)</f>
        <v>3183879871</v>
      </c>
      <c r="M5335" s="17" t="str">
        <f>IFERROR(__xludf.DUMMYFUNCTION("""COMPUTED_VALUE"""),"#REF!")</f>
        <v>#REF!</v>
      </c>
      <c r="N5335" s="17"/>
      <c r="O5335" s="17"/>
      <c r="P5335" s="17" t="b">
        <f>IFERROR(__xludf.DUMMYFUNCTION("""COMPUTED_VALUE"""),FALSE)</f>
        <v>0</v>
      </c>
      <c r="Q5335" s="20" t="str">
        <f>IFERROR(__xludf.DUMMYFUNCTION("""COMPUTED_VALUE"""),"")</f>
        <v/>
      </c>
      <c r="R5335" s="22" t="str">
        <f>IFERROR(__xludf.DUMMYFUNCTION("""COMPUTED_VALUE"""),"")</f>
        <v/>
      </c>
    </row>
    <row r="5336">
      <c r="A5336" s="15">
        <f>IFERROR(__xludf.DUMMYFUNCTION("""COMPUTED_VALUE"""),45155.0)</f>
        <v>45155</v>
      </c>
      <c r="B5336" s="16" t="str">
        <f>IFERROR(__xludf.DUMMYFUNCTION("""COMPUTED_VALUE"""),"Envia")</f>
        <v>Envia</v>
      </c>
      <c r="C5336" s="15" t="str">
        <f>IFERROR(__xludf.DUMMYFUNCTION("""COMPUTED_VALUE"""),"GIRÓN")</f>
        <v>GIRÓN</v>
      </c>
      <c r="D5336" s="15" t="str">
        <f>IFERROR(__xludf.DUMMYFUNCTION("""COMPUTED_VALUE"""),"BOGOTÁ")</f>
        <v>BOGOTÁ</v>
      </c>
      <c r="E5336" s="15" t="str">
        <f>IFERROR(__xludf.DUMMYFUNCTION("""COMPUTED_VALUE"""),"Evamazzita")</f>
        <v>Evamazzita</v>
      </c>
      <c r="F5336" s="17" t="str">
        <f>IFERROR(__xludf.DUMMYFUNCTION("""COMPUTED_VALUE"""),"Calle 37 #23- 105 /  piso 2 Barrio Poblado /  piso 2 Barrio Poblado")</f>
        <v>Calle 37 #23- 105 /  piso 2 Barrio Poblado /  piso 2 Barrio Poblado</v>
      </c>
      <c r="G5336" s="15" t="str">
        <f>IFERROR(__xludf.DUMMYFUNCTION("""COMPUTED_VALUE"""),"YESENIA RODRIGUEZ")</f>
        <v>YESENIA RODRIGUEZ</v>
      </c>
      <c r="H5336" s="16">
        <f>IFERROR(__xludf.DUMMYFUNCTION("""COMPUTED_VALUE"""),14085.0)</f>
        <v>14085</v>
      </c>
      <c r="I5336" s="18">
        <f>IFERROR(__xludf.DUMMYFUNCTION("""COMPUTED_VALUE"""),7.0)</f>
        <v>7</v>
      </c>
      <c r="J5336" s="18">
        <f>IFERROR(__xludf.DUMMYFUNCTION("""COMPUTED_VALUE"""),21.0)</f>
        <v>21</v>
      </c>
      <c r="K5336" s="18">
        <f>IFERROR(__xludf.DUMMYFUNCTION("""COMPUTED_VALUE"""),22.0)</f>
        <v>22</v>
      </c>
      <c r="L5336" s="17">
        <f>IFERROR(__xludf.DUMMYFUNCTION("""COMPUTED_VALUE"""),3.157756829E9)</f>
        <v>3157756829</v>
      </c>
      <c r="M5336" s="17" t="str">
        <f>IFERROR(__xludf.DUMMYFUNCTION("""COMPUTED_VALUE"""),"#REF!")</f>
        <v>#REF!</v>
      </c>
      <c r="N5336" s="17"/>
      <c r="O5336" s="17"/>
      <c r="P5336" s="17" t="b">
        <f>IFERROR(__xludf.DUMMYFUNCTION("""COMPUTED_VALUE"""),FALSE)</f>
        <v>0</v>
      </c>
      <c r="Q5336" s="20" t="str">
        <f>IFERROR(__xludf.DUMMYFUNCTION("""COMPUTED_VALUE"""),"")</f>
        <v/>
      </c>
      <c r="R5336" s="22" t="str">
        <f>IFERROR(__xludf.DUMMYFUNCTION("""COMPUTED_VALUE"""),"")</f>
        <v/>
      </c>
    </row>
    <row r="5337">
      <c r="A5337" s="15">
        <f>IFERROR(__xludf.DUMMYFUNCTION("""COMPUTED_VALUE"""),45155.0)</f>
        <v>45155</v>
      </c>
      <c r="B5337" s="16" t="str">
        <f>IFERROR(__xludf.DUMMYFUNCTION("""COMPUTED_VALUE"""),"Envia")</f>
        <v>Envia</v>
      </c>
      <c r="C5337" s="15" t="str">
        <f>IFERROR(__xludf.DUMMYFUNCTION("""COMPUTED_VALUE"""),"MONTERIA")</f>
        <v>MONTERIA</v>
      </c>
      <c r="D5337" s="15" t="str">
        <f>IFERROR(__xludf.DUMMYFUNCTION("""COMPUTED_VALUE"""),"MEDELLÍN")</f>
        <v>MEDELLÍN</v>
      </c>
      <c r="E5337" s="15" t="str">
        <f>IFERROR(__xludf.DUMMYFUNCTION("""COMPUTED_VALUE"""),"Helados swip")</f>
        <v>Helados swip</v>
      </c>
      <c r="F5337" s="17" t="str">
        <f>IFERROR(__xludf.DUMMYFUNCTION("""COMPUTED_VALUE"""),"CALLE 62# 645 X LA CARRERA 7 / LOCAL 2 / LOS ALCAZARES")</f>
        <v>CALLE 62# 645 X LA CARRERA 7 / LOCAL 2 / LOS ALCAZARES</v>
      </c>
      <c r="G5337" s="15" t="str">
        <f>IFERROR(__xludf.DUMMYFUNCTION("""COMPUTED_VALUE"""),"FEELI")</f>
        <v>FEELI</v>
      </c>
      <c r="H5337" s="16">
        <f>IFERROR(__xludf.DUMMYFUNCTION("""COMPUTED_VALUE"""),14114.0)</f>
        <v>14114</v>
      </c>
      <c r="I5337" s="18">
        <f>IFERROR(__xludf.DUMMYFUNCTION("""COMPUTED_VALUE"""),29.0)</f>
        <v>29</v>
      </c>
      <c r="J5337" s="18">
        <f>IFERROR(__xludf.DUMMYFUNCTION("""COMPUTED_VALUE"""),55.0)</f>
        <v>55</v>
      </c>
      <c r="K5337" s="18">
        <f>IFERROR(__xludf.DUMMYFUNCTION("""COMPUTED_VALUE"""),45.0)</f>
        <v>45</v>
      </c>
      <c r="L5337" s="17">
        <f>IFERROR(__xludf.DUMMYFUNCTION("""COMPUTED_VALUE"""),3.052261719E9)</f>
        <v>3052261719</v>
      </c>
      <c r="M5337" s="17" t="str">
        <f>IFERROR(__xludf.DUMMYFUNCTION("""COMPUTED_VALUE"""),"#REF!")</f>
        <v>#REF!</v>
      </c>
      <c r="N5337" s="17"/>
      <c r="O5337" s="17"/>
      <c r="P5337" s="17" t="b">
        <f>IFERROR(__xludf.DUMMYFUNCTION("""COMPUTED_VALUE"""),FALSE)</f>
        <v>0</v>
      </c>
      <c r="Q5337" s="20" t="str">
        <f>IFERROR(__xludf.DUMMYFUNCTION("""COMPUTED_VALUE"""),"")</f>
        <v/>
      </c>
      <c r="R5337" s="22" t="str">
        <f>IFERROR(__xludf.DUMMYFUNCTION("""COMPUTED_VALUE"""),"")</f>
        <v/>
      </c>
    </row>
    <row r="5338">
      <c r="A5338" s="15">
        <f>IFERROR(__xludf.DUMMYFUNCTION("""COMPUTED_VALUE"""),45155.0)</f>
        <v>45155</v>
      </c>
      <c r="B5338" s="16" t="str">
        <f>IFERROR(__xludf.DUMMYFUNCTION("""COMPUTED_VALUE"""),"Envia")</f>
        <v>Envia</v>
      </c>
      <c r="C5338" s="15" t="str">
        <f>IFERROR(__xludf.DUMMYFUNCTION("""COMPUTED_VALUE"""),"MOSQUERA")</f>
        <v>MOSQUERA</v>
      </c>
      <c r="D5338" s="15" t="str">
        <f>IFERROR(__xludf.DUMMYFUNCTION("""COMPUTED_VALUE"""),"MEDELLÍN")</f>
        <v>MEDELLÍN</v>
      </c>
      <c r="E5338" s="15" t="str">
        <f>IFERROR(__xludf.DUMMYFUNCTION("""COMPUTED_VALUE"""),"Helados swip")</f>
        <v>Helados swip</v>
      </c>
      <c r="F5338" s="17" t="str">
        <f>IFERROR(__xludf.DUMMYFUNCTION("""COMPUTED_VALUE"""),"CARRERA 5 # 5-95  / LOCAL 8 / ATTALEA")</f>
        <v>CARRERA 5 # 5-95  / LOCAL 8 / ATTALEA</v>
      </c>
      <c r="G5338" s="15" t="str">
        <f>IFERROR(__xludf.DUMMYFUNCTION("""COMPUTED_VALUE"""),"INVERSIONES CATALINA")</f>
        <v>INVERSIONES CATALINA</v>
      </c>
      <c r="H5338" s="16">
        <f>IFERROR(__xludf.DUMMYFUNCTION("""COMPUTED_VALUE"""),14115.0)</f>
        <v>14115</v>
      </c>
      <c r="I5338" s="18">
        <f>IFERROR(__xludf.DUMMYFUNCTION("""COMPUTED_VALUE"""),29.0)</f>
        <v>29</v>
      </c>
      <c r="J5338" s="18">
        <f>IFERROR(__xludf.DUMMYFUNCTION("""COMPUTED_VALUE"""),55.0)</f>
        <v>55</v>
      </c>
      <c r="K5338" s="18">
        <f>IFERROR(__xludf.DUMMYFUNCTION("""COMPUTED_VALUE"""),45.0)</f>
        <v>45</v>
      </c>
      <c r="L5338" s="17">
        <f>IFERROR(__xludf.DUMMYFUNCTION("""COMPUTED_VALUE"""),3.173811111E9)</f>
        <v>3173811111</v>
      </c>
      <c r="M5338" s="17" t="str">
        <f>IFERROR(__xludf.DUMMYFUNCTION("""COMPUTED_VALUE"""),"#REF!")</f>
        <v>#REF!</v>
      </c>
      <c r="N5338" s="17"/>
      <c r="O5338" s="17"/>
      <c r="P5338" s="17" t="b">
        <f>IFERROR(__xludf.DUMMYFUNCTION("""COMPUTED_VALUE"""),TRUE)</f>
        <v>1</v>
      </c>
      <c r="Q5338" s="20">
        <f>IFERROR(__xludf.DUMMYFUNCTION("""COMPUTED_VALUE"""),45155.920681655094)</f>
        <v>45155.92068</v>
      </c>
      <c r="R5338" s="22" t="str">
        <f>IFERROR(__xludf.DUMMYFUNCTION("""COMPUTED_VALUE"""),"")</f>
        <v/>
      </c>
    </row>
    <row r="5339">
      <c r="A5339" s="15">
        <f>IFERROR(__xludf.DUMMYFUNCTION("""COMPUTED_VALUE"""),45155.0)</f>
        <v>45155</v>
      </c>
      <c r="B5339" s="16" t="str">
        <f>IFERROR(__xludf.DUMMYFUNCTION("""COMPUTED_VALUE"""),"Envia")</f>
        <v>Envia</v>
      </c>
      <c r="C5339" s="15" t="str">
        <f>IFERROR(__xludf.DUMMYFUNCTION("""COMPUTED_VALUE"""),"NEIVA")</f>
        <v>NEIVA</v>
      </c>
      <c r="D5339" s="15" t="str">
        <f>IFERROR(__xludf.DUMMYFUNCTION("""COMPUTED_VALUE"""),"BOGOTÁ")</f>
        <v>BOGOTÁ</v>
      </c>
      <c r="E5339" s="15" t="str">
        <f>IFERROR(__xludf.DUMMYFUNCTION("""COMPUTED_VALUE"""),"Evamazzita")</f>
        <v>Evamazzita</v>
      </c>
      <c r="F5339" s="17" t="str">
        <f>IFERROR(__xludf.DUMMYFUNCTION("""COMPUTED_VALUE"""),"CALL 9 # 41 43 / BARRIO LOS GUADUALES / BARRIO LOS GUADUALES")</f>
        <v>CALL 9 # 41 43 / BARRIO LOS GUADUALES / BARRIO LOS GUADUALES</v>
      </c>
      <c r="G5339" s="15" t="str">
        <f>IFERROR(__xludf.DUMMYFUNCTION("""COMPUTED_VALUE"""),"DIANA ALEXANDRA MACIAS")</f>
        <v>DIANA ALEXANDRA MACIAS</v>
      </c>
      <c r="H5339" s="16">
        <f>IFERROR(__xludf.DUMMYFUNCTION("""COMPUTED_VALUE"""),14094.0)</f>
        <v>14094</v>
      </c>
      <c r="I5339" s="18">
        <f>IFERROR(__xludf.DUMMYFUNCTION("""COMPUTED_VALUE"""),5.0)</f>
        <v>5</v>
      </c>
      <c r="J5339" s="18">
        <f>IFERROR(__xludf.DUMMYFUNCTION("""COMPUTED_VALUE"""),17.0)</f>
        <v>17</v>
      </c>
      <c r="K5339" s="18">
        <f>IFERROR(__xludf.DUMMYFUNCTION("""COMPUTED_VALUE"""),23.0)</f>
        <v>23</v>
      </c>
      <c r="L5339" s="17">
        <f>IFERROR(__xludf.DUMMYFUNCTION("""COMPUTED_VALUE"""),3.115742393E9)</f>
        <v>3115742393</v>
      </c>
      <c r="M5339" s="17" t="str">
        <f>IFERROR(__xludf.DUMMYFUNCTION("""COMPUTED_VALUE"""),"#REF!")</f>
        <v>#REF!</v>
      </c>
      <c r="N5339" s="17"/>
      <c r="O5339" s="17"/>
      <c r="P5339" s="17" t="b">
        <f>IFERROR(__xludf.DUMMYFUNCTION("""COMPUTED_VALUE"""),TRUE)</f>
        <v>1</v>
      </c>
      <c r="Q5339" s="20">
        <f>IFERROR(__xludf.DUMMYFUNCTION("""COMPUTED_VALUE"""),45155.920681655094)</f>
        <v>45155.92068</v>
      </c>
      <c r="R5339" s="22" t="str">
        <f>IFERROR(__xludf.DUMMYFUNCTION("""COMPUTED_VALUE"""),"")</f>
        <v/>
      </c>
    </row>
    <row r="5340">
      <c r="A5340" s="15">
        <f>IFERROR(__xludf.DUMMYFUNCTION("""COMPUTED_VALUE"""),45155.0)</f>
        <v>45155</v>
      </c>
      <c r="B5340" s="16" t="str">
        <f>IFERROR(__xludf.DUMMYFUNCTION("""COMPUTED_VALUE"""),"Envia")</f>
        <v>Envia</v>
      </c>
      <c r="C5340" s="15" t="str">
        <f>IFERROR(__xludf.DUMMYFUNCTION("""COMPUTED_VALUE"""),"NEIVA")</f>
        <v>NEIVA</v>
      </c>
      <c r="D5340" s="15" t="str">
        <f>IFERROR(__xludf.DUMMYFUNCTION("""COMPUTED_VALUE"""),"BOGOTÁ")</f>
        <v>BOGOTÁ</v>
      </c>
      <c r="E5340" s="15" t="str">
        <f>IFERROR(__xludf.DUMMYFUNCTION("""COMPUTED_VALUE"""),"Nutrikids")</f>
        <v>Nutrikids</v>
      </c>
      <c r="F5340" s="17" t="str">
        <f>IFERROR(__xludf.DUMMYFUNCTION("""COMPUTED_VALUE"""),"Calle 27 bis # 50-92 barrio Alejandría neiva huila / Barrio alejandria / Alejandroa")</f>
        <v>Calle 27 bis # 50-92 barrio Alejandría neiva huila / Barrio alejandria / Alejandroa</v>
      </c>
      <c r="G5340" s="15" t="str">
        <f>IFERROR(__xludf.DUMMYFUNCTION("""COMPUTED_VALUE"""),"Karen nutrikids")</f>
        <v>Karen nutrikids</v>
      </c>
      <c r="H5340" s="16">
        <f>IFERROR(__xludf.DUMMYFUNCTION("""COMPUTED_VALUE"""),14125.0)</f>
        <v>14125</v>
      </c>
      <c r="I5340" s="18">
        <f>IFERROR(__xludf.DUMMYFUNCTION("""COMPUTED_VALUE"""),1.0)</f>
        <v>1</v>
      </c>
      <c r="J5340" s="18">
        <f>IFERROR(__xludf.DUMMYFUNCTION("""COMPUTED_VALUE"""),1.0)</f>
        <v>1</v>
      </c>
      <c r="K5340" s="18">
        <f>IFERROR(__xludf.DUMMYFUNCTION("""COMPUTED_VALUE"""),0.0)</f>
        <v>0</v>
      </c>
      <c r="L5340" s="17">
        <f>IFERROR(__xludf.DUMMYFUNCTION("""COMPUTED_VALUE"""),3.227714365E9)</f>
        <v>3227714365</v>
      </c>
      <c r="M5340" s="17" t="str">
        <f>IFERROR(__xludf.DUMMYFUNCTION("""COMPUTED_VALUE"""),"#REF!")</f>
        <v>#REF!</v>
      </c>
      <c r="N5340" s="17"/>
      <c r="O5340" s="17"/>
      <c r="P5340" s="17" t="b">
        <f>IFERROR(__xludf.DUMMYFUNCTION("""COMPUTED_VALUE"""),TRUE)</f>
        <v>1</v>
      </c>
      <c r="Q5340" s="20">
        <f>IFERROR(__xludf.DUMMYFUNCTION("""COMPUTED_VALUE"""),45155.920681655094)</f>
        <v>45155.92068</v>
      </c>
      <c r="R5340" s="22" t="str">
        <f>IFERROR(__xludf.DUMMYFUNCTION("""COMPUTED_VALUE"""),"")</f>
        <v/>
      </c>
    </row>
    <row r="5341">
      <c r="A5341" s="15">
        <f>IFERROR(__xludf.DUMMYFUNCTION("""COMPUTED_VALUE"""),45155.0)</f>
        <v>45155</v>
      </c>
      <c r="B5341" s="16" t="str">
        <f>IFERROR(__xludf.DUMMYFUNCTION("""COMPUTED_VALUE"""),"Envia")</f>
        <v>Envia</v>
      </c>
      <c r="C5341" s="15" t="str">
        <f>IFERROR(__xludf.DUMMYFUNCTION("""COMPUTED_VALUE"""),"NEIVA")</f>
        <v>NEIVA</v>
      </c>
      <c r="D5341" s="15" t="str">
        <f>IFERROR(__xludf.DUMMYFUNCTION("""COMPUTED_VALUE"""),"BOGOTÁ")</f>
        <v>BOGOTÁ</v>
      </c>
      <c r="E5341" s="15" t="str">
        <f>IFERROR(__xludf.DUMMYFUNCTION("""COMPUTED_VALUE"""),"Pan de Waffle")</f>
        <v>Pan de Waffle</v>
      </c>
      <c r="F5341" s="17" t="str">
        <f>IFERROR(__xludf.DUMMYFUNCTION("""COMPUTED_VALUE"""),"Calle 7 N 27-34 barrio la gaitana / Calle 7 N 27-34 barrio la gaitana / Calle 7 N 27-34 barrio la gaitana")</f>
        <v>Calle 7 N 27-34 barrio la gaitana / Calle 7 N 27-34 barrio la gaitana / Calle 7 N 27-34 barrio la gaitana</v>
      </c>
      <c r="G5341" s="15" t="str">
        <f>IFERROR(__xludf.DUMMYFUNCTION("""COMPUTED_VALUE"""),"CERESFIT NEIVA")</f>
        <v>CERESFIT NEIVA</v>
      </c>
      <c r="H5341" s="16">
        <f>IFERROR(__xludf.DUMMYFUNCTION("""COMPUTED_VALUE"""),13960.0)</f>
        <v>13960</v>
      </c>
      <c r="I5341" s="18">
        <f>IFERROR(__xludf.DUMMYFUNCTION("""COMPUTED_VALUE"""),40.0)</f>
        <v>40</v>
      </c>
      <c r="J5341" s="18">
        <f>IFERROR(__xludf.DUMMYFUNCTION("""COMPUTED_VALUE"""),40.0)</f>
        <v>40</v>
      </c>
      <c r="K5341" s="18">
        <f>IFERROR(__xludf.DUMMYFUNCTION("""COMPUTED_VALUE"""),40.0)</f>
        <v>40</v>
      </c>
      <c r="L5341" s="17">
        <f>IFERROR(__xludf.DUMMYFUNCTION("""COMPUTED_VALUE"""),3.00751896E9)</f>
        <v>3007518960</v>
      </c>
      <c r="M5341" s="17" t="str">
        <f>IFERROR(__xludf.DUMMYFUNCTION("""COMPUTED_VALUE"""),"#REF!")</f>
        <v>#REF!</v>
      </c>
      <c r="N5341" s="17"/>
      <c r="O5341" s="17"/>
      <c r="P5341" s="17" t="b">
        <f>IFERROR(__xludf.DUMMYFUNCTION("""COMPUTED_VALUE"""),TRUE)</f>
        <v>1</v>
      </c>
      <c r="Q5341" s="20">
        <f>IFERROR(__xludf.DUMMYFUNCTION("""COMPUTED_VALUE"""),45155.920681655094)</f>
        <v>45155.92068</v>
      </c>
      <c r="R5341" s="22" t="str">
        <f>IFERROR(__xludf.DUMMYFUNCTION("""COMPUTED_VALUE"""),"")</f>
        <v/>
      </c>
    </row>
    <row r="5342">
      <c r="A5342" s="15">
        <f>IFERROR(__xludf.DUMMYFUNCTION("""COMPUTED_VALUE"""),45155.0)</f>
        <v>45155</v>
      </c>
      <c r="B5342" s="16" t="str">
        <f>IFERROR(__xludf.DUMMYFUNCTION("""COMPUTED_VALUE"""),"Envia")</f>
        <v>Envia</v>
      </c>
      <c r="C5342" s="15" t="str">
        <f>IFERROR(__xludf.DUMMYFUNCTION("""COMPUTED_VALUE"""),"POPAYAN")</f>
        <v>POPAYAN</v>
      </c>
      <c r="D5342" s="15" t="str">
        <f>IFERROR(__xludf.DUMMYFUNCTION("""COMPUTED_VALUE"""),"BOGOTÁ")</f>
        <v>BOGOTÁ</v>
      </c>
      <c r="E5342" s="15" t="str">
        <f>IFERROR(__xludf.DUMMYFUNCTION("""COMPUTED_VALUE"""),"Ins. Alimento Vital")</f>
        <v>Ins. Alimento Vital</v>
      </c>
      <c r="F5342" s="17" t="str">
        <f>IFERROR(__xludf.DUMMYFUNCTION("""COMPUTED_VALUE"""),"ATARDECERES DE LA PRADERA / CASA C9 / AL CEMENTERIO JARDINES DE LA PAZ VARIANTE NORTE")</f>
        <v>ATARDECERES DE LA PRADERA / CASA C9 / AL CEMENTERIO JARDINES DE LA PAZ VARIANTE NORTE</v>
      </c>
      <c r="G5342" s="15" t="str">
        <f>IFERROR(__xludf.DUMMYFUNCTION("""COMPUTED_VALUE"""),"VICTOR HUGO MORALES HORMIGA")</f>
        <v>VICTOR HUGO MORALES HORMIGA</v>
      </c>
      <c r="H5342" s="16">
        <f>IFERROR(__xludf.DUMMYFUNCTION("""COMPUTED_VALUE"""),14082.0)</f>
        <v>14082</v>
      </c>
      <c r="I5342" s="18">
        <f>IFERROR(__xludf.DUMMYFUNCTION("""COMPUTED_VALUE"""),1.0)</f>
        <v>1</v>
      </c>
      <c r="J5342" s="18">
        <f>IFERROR(__xludf.DUMMYFUNCTION("""COMPUTED_VALUE"""),1.0)</f>
        <v>1</v>
      </c>
      <c r="K5342" s="18">
        <f>IFERROR(__xludf.DUMMYFUNCTION("""COMPUTED_VALUE"""),1.0)</f>
        <v>1</v>
      </c>
      <c r="L5342" s="17">
        <f>IFERROR(__xludf.DUMMYFUNCTION("""COMPUTED_VALUE"""),3.148536593E9)</f>
        <v>3148536593</v>
      </c>
      <c r="M5342" s="17" t="str">
        <f>IFERROR(__xludf.DUMMYFUNCTION("""COMPUTED_VALUE"""),"#REF!")</f>
        <v>#REF!</v>
      </c>
      <c r="N5342" s="17"/>
      <c r="O5342" s="17"/>
      <c r="P5342" s="17" t="b">
        <f>IFERROR(__xludf.DUMMYFUNCTION("""COMPUTED_VALUE"""),TRUE)</f>
        <v>1</v>
      </c>
      <c r="Q5342" s="20">
        <f>IFERROR(__xludf.DUMMYFUNCTION("""COMPUTED_VALUE"""),45155.920681655094)</f>
        <v>45155.92068</v>
      </c>
      <c r="R5342" s="22" t="str">
        <f>IFERROR(__xludf.DUMMYFUNCTION("""COMPUTED_VALUE"""),"")</f>
        <v/>
      </c>
    </row>
    <row r="5343">
      <c r="A5343" s="15">
        <f>IFERROR(__xludf.DUMMYFUNCTION("""COMPUTED_VALUE"""),45155.0)</f>
        <v>45155</v>
      </c>
      <c r="B5343" s="16" t="str">
        <f>IFERROR(__xludf.DUMMYFUNCTION("""COMPUTED_VALUE"""),"Envia")</f>
        <v>Envia</v>
      </c>
      <c r="C5343" s="15" t="str">
        <f>IFERROR(__xludf.DUMMYFUNCTION("""COMPUTED_VALUE"""),"POPAYAN")</f>
        <v>POPAYAN</v>
      </c>
      <c r="D5343" s="15" t="str">
        <f>IFERROR(__xludf.DUMMYFUNCTION("""COMPUTED_VALUE"""),"BOGOTÁ")</f>
        <v>BOGOTÁ</v>
      </c>
      <c r="E5343" s="15" t="str">
        <f>IFERROR(__xludf.DUMMYFUNCTION("""COMPUTED_VALUE"""),"Loomifoods")</f>
        <v>Loomifoods</v>
      </c>
      <c r="F5343" s="17" t="str">
        <f>IFERROR(__xludf.DUMMYFUNCTION("""COMPUTED_VALUE"""),"Calle 80 norte no. 7 - 76 / Conjunto Sendero de Eucaliptos / Casa 38")</f>
        <v>Calle 80 norte no. 7 - 76 / Conjunto Sendero de Eucaliptos / Casa 38</v>
      </c>
      <c r="G5343" s="15" t="str">
        <f>IFERROR(__xludf.DUMMYFUNCTION("""COMPUTED_VALUE"""),"Maria del Rosario Garzón")</f>
        <v>Maria del Rosario Garzón</v>
      </c>
      <c r="H5343" s="16">
        <f>IFERROR(__xludf.DUMMYFUNCTION("""COMPUTED_VALUE"""),14104.0)</f>
        <v>14104</v>
      </c>
      <c r="I5343" s="18">
        <f>IFERROR(__xludf.DUMMYFUNCTION("""COMPUTED_VALUE"""),19.0)</f>
        <v>19</v>
      </c>
      <c r="J5343" s="18">
        <f>IFERROR(__xludf.DUMMYFUNCTION("""COMPUTED_VALUE"""),10.0)</f>
        <v>10</v>
      </c>
      <c r="K5343" s="18">
        <f>IFERROR(__xludf.DUMMYFUNCTION("""COMPUTED_VALUE"""),16.0)</f>
        <v>16</v>
      </c>
      <c r="L5343" s="17">
        <f>IFERROR(__xludf.DUMMYFUNCTION("""COMPUTED_VALUE"""),3.017486069E9)</f>
        <v>3017486069</v>
      </c>
      <c r="M5343" s="17" t="str">
        <f>IFERROR(__xludf.DUMMYFUNCTION("""COMPUTED_VALUE"""),"#REF!")</f>
        <v>#REF!</v>
      </c>
      <c r="N5343" s="17"/>
      <c r="O5343" s="17"/>
      <c r="P5343" s="17" t="b">
        <f>IFERROR(__xludf.DUMMYFUNCTION("""COMPUTED_VALUE"""),TRUE)</f>
        <v>1</v>
      </c>
      <c r="Q5343" s="20">
        <f>IFERROR(__xludf.DUMMYFUNCTION("""COMPUTED_VALUE"""),45155.920681655094)</f>
        <v>45155.92068</v>
      </c>
      <c r="R5343" s="22" t="str">
        <f>IFERROR(__xludf.DUMMYFUNCTION("""COMPUTED_VALUE"""),"")</f>
        <v/>
      </c>
    </row>
    <row r="5344">
      <c r="A5344" s="15">
        <f>IFERROR(__xludf.DUMMYFUNCTION("""COMPUTED_VALUE"""),45155.0)</f>
        <v>45155</v>
      </c>
      <c r="B5344" s="16" t="str">
        <f>IFERROR(__xludf.DUMMYFUNCTION("""COMPUTED_VALUE"""),"Envia")</f>
        <v>Envia</v>
      </c>
      <c r="C5344" s="15" t="str">
        <f>IFERROR(__xludf.DUMMYFUNCTION("""COMPUTED_VALUE"""),"TULUA")</f>
        <v>TULUA</v>
      </c>
      <c r="D5344" s="15" t="str">
        <f>IFERROR(__xludf.DUMMYFUNCTION("""COMPUTED_VALUE"""),"BUCARAMANGA")</f>
        <v>BUCARAMANGA</v>
      </c>
      <c r="E5344" s="15" t="str">
        <f>IFERROR(__xludf.DUMMYFUNCTION("""COMPUTED_VALUE"""),"Yo Como Solito")</f>
        <v>Yo Como Solito</v>
      </c>
      <c r="F5344" s="17" t="str">
        <f>IFERROR(__xludf.DUMMYFUNCTION("""COMPUTED_VALUE"""),"MANZANA 17  CASA 5 BOSQUES DE MARACAIBO / MANZANA 17  CASA 5 BOSQUES DE MARACAIBO / MANZANA 17  CASA 5 BOSQUES DE MARACAIBO")</f>
        <v>MANZANA 17  CASA 5 BOSQUES DE MARACAIBO / MANZANA 17  CASA 5 BOSQUES DE MARACAIBO / MANZANA 17  CASA 5 BOSQUES DE MARACAIBO</v>
      </c>
      <c r="G5344" s="15" t="str">
        <f>IFERROR(__xludf.DUMMYFUNCTION("""COMPUTED_VALUE"""),"DIANA MOLINA")</f>
        <v>DIANA MOLINA</v>
      </c>
      <c r="H5344" s="16">
        <f>IFERROR(__xludf.DUMMYFUNCTION("""COMPUTED_VALUE"""),13866.0)</f>
        <v>13866</v>
      </c>
      <c r="I5344" s="18">
        <f>IFERROR(__xludf.DUMMYFUNCTION("""COMPUTED_VALUE"""),13.0)</f>
        <v>13</v>
      </c>
      <c r="J5344" s="18">
        <f>IFERROR(__xludf.DUMMYFUNCTION("""COMPUTED_VALUE"""),34.0)</f>
        <v>34</v>
      </c>
      <c r="K5344" s="18">
        <f>IFERROR(__xludf.DUMMYFUNCTION("""COMPUTED_VALUE"""),47.0)</f>
        <v>47</v>
      </c>
      <c r="L5344" s="17">
        <f>IFERROR(__xludf.DUMMYFUNCTION("""COMPUTED_VALUE"""),3.104417918E9)</f>
        <v>3104417918</v>
      </c>
      <c r="M5344" s="17" t="str">
        <f>IFERROR(__xludf.DUMMYFUNCTION("""COMPUTED_VALUE"""),"#REF!")</f>
        <v>#REF!</v>
      </c>
      <c r="N5344" s="17"/>
      <c r="O5344" s="17"/>
      <c r="P5344" s="17" t="b">
        <f>IFERROR(__xludf.DUMMYFUNCTION("""COMPUTED_VALUE"""),FALSE)</f>
        <v>0</v>
      </c>
      <c r="Q5344" s="20" t="str">
        <f>IFERROR(__xludf.DUMMYFUNCTION("""COMPUTED_VALUE"""),"")</f>
        <v/>
      </c>
      <c r="R5344" s="22" t="str">
        <f>IFERROR(__xludf.DUMMYFUNCTION("""COMPUTED_VALUE"""),"")</f>
        <v/>
      </c>
    </row>
    <row r="5345">
      <c r="A5345" s="15">
        <f>IFERROR(__xludf.DUMMYFUNCTION("""COMPUTED_VALUE"""),45155.0)</f>
        <v>45155</v>
      </c>
      <c r="B5345" s="16" t="str">
        <f>IFERROR(__xludf.DUMMYFUNCTION("""COMPUTED_VALUE"""),"Envia")</f>
        <v>Envia</v>
      </c>
      <c r="C5345" s="15" t="str">
        <f>IFERROR(__xludf.DUMMYFUNCTION("""COMPUTED_VALUE"""),"VILLAVICENCIO")</f>
        <v>VILLAVICENCIO</v>
      </c>
      <c r="D5345" s="15" t="str">
        <f>IFERROR(__xludf.DUMMYFUNCTION("""COMPUTED_VALUE"""),"BOGOTÁ")</f>
        <v>BOGOTÁ</v>
      </c>
      <c r="E5345" s="15" t="str">
        <f>IFERROR(__xludf.DUMMYFUNCTION("""COMPUTED_VALUE"""),"Ins. Alimento Vital")</f>
        <v>Ins. Alimento Vital</v>
      </c>
      <c r="F5345" s="17" t="str">
        <f>IFERROR(__xludf.DUMMYFUNCTION("""COMPUTED_VALUE"""),"CONJUNTO CERRADO HACIENDA LA PRADERA  / CASA 161 / RESTREPO META")</f>
        <v>CONJUNTO CERRADO HACIENDA LA PRADERA  / CASA 161 / RESTREPO META</v>
      </c>
      <c r="G5345" s="15" t="str">
        <f>IFERROR(__xludf.DUMMYFUNCTION("""COMPUTED_VALUE"""),"SANDRA MILENA SANCHEZ VALENCIA")</f>
        <v>SANDRA MILENA SANCHEZ VALENCIA</v>
      </c>
      <c r="H5345" s="16">
        <f>IFERROR(__xludf.DUMMYFUNCTION("""COMPUTED_VALUE"""),14079.0)</f>
        <v>14079</v>
      </c>
      <c r="I5345" s="18">
        <f>IFERROR(__xludf.DUMMYFUNCTION("""COMPUTED_VALUE"""),1.0)</f>
        <v>1</v>
      </c>
      <c r="J5345" s="18">
        <f>IFERROR(__xludf.DUMMYFUNCTION("""COMPUTED_VALUE"""),1.0)</f>
        <v>1</v>
      </c>
      <c r="K5345" s="18">
        <f>IFERROR(__xludf.DUMMYFUNCTION("""COMPUTED_VALUE"""),1.0)</f>
        <v>1</v>
      </c>
      <c r="L5345" s="17">
        <f>IFERROR(__xludf.DUMMYFUNCTION("""COMPUTED_VALUE"""),3.016581457E9)</f>
        <v>3016581457</v>
      </c>
      <c r="M5345" s="17" t="str">
        <f>IFERROR(__xludf.DUMMYFUNCTION("""COMPUTED_VALUE"""),"#REF!")</f>
        <v>#REF!</v>
      </c>
      <c r="N5345" s="17"/>
      <c r="O5345" s="17"/>
      <c r="P5345" s="17" t="b">
        <f>IFERROR(__xludf.DUMMYFUNCTION("""COMPUTED_VALUE"""),TRUE)</f>
        <v>1</v>
      </c>
      <c r="Q5345" s="20">
        <f>IFERROR(__xludf.DUMMYFUNCTION("""COMPUTED_VALUE"""),45155.920681655094)</f>
        <v>45155.92068</v>
      </c>
      <c r="R5345" s="21" t="str">
        <f>IFERROR(__xludf.DUMMYFUNCTION("""COMPUTED_VALUE"""),"https://drive.google.com/file/d/1IlxjgediMAyQGnxD2ELwBEqtUULSJ4MB/view?usp=drivesdk")</f>
        <v>https://drive.google.com/file/d/1IlxjgediMAyQGnxD2ELwBEqtUULSJ4MB/view?usp=drivesdk</v>
      </c>
    </row>
    <row r="5346">
      <c r="A5346" s="15">
        <f>IFERROR(__xludf.DUMMYFUNCTION("""COMPUTED_VALUE"""),45155.0)</f>
        <v>45155</v>
      </c>
      <c r="B5346" s="16" t="str">
        <f>IFERROR(__xludf.DUMMYFUNCTION("""COMPUTED_VALUE"""),"Envia")</f>
        <v>Envia</v>
      </c>
      <c r="C5346" s="15" t="str">
        <f>IFERROR(__xludf.DUMMYFUNCTION("""COMPUTED_VALUE"""),"VILLAVICENCIO")</f>
        <v>VILLAVICENCIO</v>
      </c>
      <c r="D5346" s="15" t="str">
        <f>IFERROR(__xludf.DUMMYFUNCTION("""COMPUTED_VALUE"""),"BOGOTÁ")</f>
        <v>BOGOTÁ</v>
      </c>
      <c r="E5346" s="15" t="str">
        <f>IFERROR(__xludf.DUMMYFUNCTION("""COMPUTED_VALUE"""),"Pan de Waffle")</f>
        <v>Pan de Waffle</v>
      </c>
      <c r="F5346" s="17" t="str">
        <f>IFERROR(__xludf.DUMMYFUNCTION("""COMPUTED_VALUE"""),"Calle 15 # 44D - 28 LOCAL 1 Edifi. Palos de Caña / Calle 15 # 44D - 28 LOCAL 1 Edifi. Palos de Caña / Calle 15 # 44D - 28 LOCAL 1 Edifi. Palos de Caña")</f>
        <v>Calle 15 # 44D - 28 LOCAL 1 Edifi. Palos de Caña / Calle 15 # 44D - 28 LOCAL 1 Edifi. Palos de Caña / Calle 15 # 44D - 28 LOCAL 1 Edifi. Palos de Caña</v>
      </c>
      <c r="G5346" s="15" t="str">
        <f>IFERROR(__xludf.DUMMYFUNCTION("""COMPUTED_VALUE"""),"SANA TENTACION")</f>
        <v>SANA TENTACION</v>
      </c>
      <c r="H5346" s="16">
        <f>IFERROR(__xludf.DUMMYFUNCTION("""COMPUTED_VALUE"""),14107.0)</f>
        <v>14107</v>
      </c>
      <c r="I5346" s="18">
        <f>IFERROR(__xludf.DUMMYFUNCTION("""COMPUTED_VALUE"""),40.0)</f>
        <v>40</v>
      </c>
      <c r="J5346" s="18">
        <f>IFERROR(__xludf.DUMMYFUNCTION("""COMPUTED_VALUE"""),30.0)</f>
        <v>30</v>
      </c>
      <c r="K5346" s="18">
        <f>IFERROR(__xludf.DUMMYFUNCTION("""COMPUTED_VALUE"""),30.0)</f>
        <v>30</v>
      </c>
      <c r="L5346" s="17">
        <f>IFERROR(__xludf.DUMMYFUNCTION("""COMPUTED_VALUE"""),3.008383033E9)</f>
        <v>3008383033</v>
      </c>
      <c r="M5346" s="17" t="str">
        <f>IFERROR(__xludf.DUMMYFUNCTION("""COMPUTED_VALUE"""),"#REF!")</f>
        <v>#REF!</v>
      </c>
      <c r="N5346" s="17"/>
      <c r="O5346" s="17"/>
      <c r="P5346" s="17" t="b">
        <f>IFERROR(__xludf.DUMMYFUNCTION("""COMPUTED_VALUE"""),TRUE)</f>
        <v>1</v>
      </c>
      <c r="Q5346" s="20">
        <f>IFERROR(__xludf.DUMMYFUNCTION("""COMPUTED_VALUE"""),45155.92068166667)</f>
        <v>45155.92068</v>
      </c>
      <c r="R5346" s="21" t="str">
        <f>IFERROR(__xludf.DUMMYFUNCTION("""COMPUTED_VALUE"""),"https://drive.google.com/file/d/1kFK0iioRFoEb5qc4tZNKFSf0o137ASWZ/view?usp=drivesdk")</f>
        <v>https://drive.google.com/file/d/1kFK0iioRFoEb5qc4tZNKFSf0o137ASWZ/view?usp=drivesdk</v>
      </c>
    </row>
    <row r="5347">
      <c r="A5347" s="17" t="str">
        <f>IFERROR(__xludf.DUMMYFUNCTION("""COMPUTED_VALUE"""),"")</f>
        <v/>
      </c>
      <c r="B5347" s="17" t="str">
        <f>IFERROR(__xludf.DUMMYFUNCTION("""COMPUTED_VALUE"""),"")</f>
        <v/>
      </c>
      <c r="C5347" s="17" t="str">
        <f>IFERROR(__xludf.DUMMYFUNCTION("""COMPUTED_VALUE"""),"")</f>
        <v/>
      </c>
      <c r="D5347" s="17" t="str">
        <f>IFERROR(__xludf.DUMMYFUNCTION("""COMPUTED_VALUE"""),"")</f>
        <v/>
      </c>
      <c r="E5347" s="17" t="str">
        <f>IFERROR(__xludf.DUMMYFUNCTION("""COMPUTED_VALUE"""),"")</f>
        <v/>
      </c>
      <c r="F5347" s="17" t="str">
        <f>IFERROR(__xludf.DUMMYFUNCTION("""COMPUTED_VALUE"""),"")</f>
        <v/>
      </c>
      <c r="G5347" s="17" t="str">
        <f>IFERROR(__xludf.DUMMYFUNCTION("""COMPUTED_VALUE"""),"")</f>
        <v/>
      </c>
      <c r="H5347" s="17" t="str">
        <f>IFERROR(__xludf.DUMMYFUNCTION("""COMPUTED_VALUE"""),"")</f>
        <v/>
      </c>
      <c r="I5347" s="17" t="str">
        <f>IFERROR(__xludf.DUMMYFUNCTION("""COMPUTED_VALUE"""),"")</f>
        <v/>
      </c>
      <c r="J5347" s="17" t="str">
        <f>IFERROR(__xludf.DUMMYFUNCTION("""COMPUTED_VALUE"""),"")</f>
        <v/>
      </c>
      <c r="K5347" s="17" t="str">
        <f>IFERROR(__xludf.DUMMYFUNCTION("""COMPUTED_VALUE"""),"")</f>
        <v/>
      </c>
      <c r="L5347" s="17" t="str">
        <f>IFERROR(__xludf.DUMMYFUNCTION("""COMPUTED_VALUE"""),"")</f>
        <v/>
      </c>
      <c r="M5347" s="17" t="str">
        <f>IFERROR(__xludf.DUMMYFUNCTION("""COMPUTED_VALUE"""),"")</f>
        <v/>
      </c>
      <c r="N5347" s="17" t="str">
        <f>IFERROR(__xludf.DUMMYFUNCTION("""COMPUTED_VALUE"""),"")</f>
        <v/>
      </c>
      <c r="O5347" s="17" t="str">
        <f>IFERROR(__xludf.DUMMYFUNCTION("""COMPUTED_VALUE"""),"")</f>
        <v/>
      </c>
      <c r="P5347" s="17" t="str">
        <f>IFERROR(__xludf.DUMMYFUNCTION("""COMPUTED_VALUE"""),"")</f>
        <v/>
      </c>
      <c r="Q5347" s="17" t="str">
        <f>IFERROR(__xludf.DUMMYFUNCTION("""COMPUTED_VALUE"""),"")</f>
        <v/>
      </c>
      <c r="R5347" s="17" t="str">
        <f>IFERROR(__xludf.DUMMYFUNCTION("""COMPUTED_VALUE"""),"")</f>
        <v/>
      </c>
    </row>
    <row r="5348">
      <c r="A5348" s="15">
        <f>IFERROR(__xludf.DUMMYFUNCTION("""COMPUTED_VALUE"""),45155.0)</f>
        <v>45155</v>
      </c>
      <c r="B5348" s="16" t="str">
        <f>IFERROR(__xludf.DUMMYFUNCTION("""COMPUTED_VALUE"""),"Ivan David Pirela Pirela")</f>
        <v>Ivan David Pirela Pirela</v>
      </c>
      <c r="C5348" s="15" t="str">
        <f>IFERROR(__xludf.DUMMYFUNCTION("""COMPUTED_VALUE"""),"BUCARAMANGA")</f>
        <v>BUCARAMANGA</v>
      </c>
      <c r="D5348" s="15" t="str">
        <f>IFERROR(__xludf.DUMMYFUNCTION("""COMPUTED_VALUE"""),"BOGOTÁ")</f>
        <v>BOGOTÁ</v>
      </c>
      <c r="E5348" s="15" t="str">
        <f>IFERROR(__xludf.DUMMYFUNCTION("""COMPUTED_VALUE"""),"Evamazzita")</f>
        <v>Evamazzita</v>
      </c>
      <c r="F5348" s="17" t="str">
        <f>IFERROR(__xludf.DUMMYFUNCTION("""COMPUTED_VALUE"""),"AVDA. 87 No. 24 - 09  / TORRE 1 APTO 2007  / CONJUNTO DIMANTI BARRIO DIAMANTE 2")</f>
        <v>AVDA. 87 No. 24 - 09  / TORRE 1 APTO 2007  / CONJUNTO DIMANTI BARRIO DIAMANTE 2</v>
      </c>
      <c r="G5348" s="15" t="str">
        <f>IFERROR(__xludf.DUMMYFUNCTION("""COMPUTED_VALUE"""),"ADRIANA TRUJILLO")</f>
        <v>ADRIANA TRUJILLO</v>
      </c>
      <c r="H5348" s="16">
        <f>IFERROR(__xludf.DUMMYFUNCTION("""COMPUTED_VALUE"""),14097.0)</f>
        <v>14097</v>
      </c>
      <c r="I5348" s="18">
        <f>IFERROR(__xludf.DUMMYFUNCTION("""COMPUTED_VALUE"""),1.0)</f>
        <v>1</v>
      </c>
      <c r="J5348" s="18">
        <f>IFERROR(__xludf.DUMMYFUNCTION("""COMPUTED_VALUE"""),1.0)</f>
        <v>1</v>
      </c>
      <c r="K5348" s="18">
        <f>IFERROR(__xludf.DUMMYFUNCTION("""COMPUTED_VALUE"""),1.0)</f>
        <v>1</v>
      </c>
      <c r="L5348" s="17">
        <f>IFERROR(__xludf.DUMMYFUNCTION("""COMPUTED_VALUE"""),3.125405063E9)</f>
        <v>3125405063</v>
      </c>
      <c r="M5348" s="17" t="str">
        <f>IFERROR(__xludf.DUMMYFUNCTION("""COMPUTED_VALUE"""),"#REF!")</f>
        <v>#REF!</v>
      </c>
      <c r="N5348" s="17"/>
      <c r="O5348" s="17"/>
      <c r="P5348" s="17" t="b">
        <f>IFERROR(__xludf.DUMMYFUNCTION("""COMPUTED_VALUE"""),TRUE)</f>
        <v>1</v>
      </c>
      <c r="Q5348" s="20">
        <f>IFERROR(__xludf.DUMMYFUNCTION("""COMPUTED_VALUE"""),45155.92068166667)</f>
        <v>45155.92068</v>
      </c>
      <c r="R5348" s="22" t="str">
        <f>IFERROR(__xludf.DUMMYFUNCTION("""COMPUTED_VALUE"""),"")</f>
        <v/>
      </c>
    </row>
    <row r="5349">
      <c r="A5349" s="15">
        <f>IFERROR(__xludf.DUMMYFUNCTION("""COMPUTED_VALUE"""),45155.0)</f>
        <v>45155</v>
      </c>
      <c r="B5349" s="16" t="str">
        <f>IFERROR(__xludf.DUMMYFUNCTION("""COMPUTED_VALUE"""),"Ivan David Pirela Pirela")</f>
        <v>Ivan David Pirela Pirela</v>
      </c>
      <c r="C5349" s="15" t="str">
        <f>IFERROR(__xludf.DUMMYFUNCTION("""COMPUTED_VALUE"""),"BUCARAMANGA")</f>
        <v>BUCARAMANGA</v>
      </c>
      <c r="D5349" s="15" t="str">
        <f>IFERROR(__xludf.DUMMYFUNCTION("""COMPUTED_VALUE"""),"BOGOTÁ")</f>
        <v>BOGOTÁ</v>
      </c>
      <c r="E5349" s="15" t="str">
        <f>IFERROR(__xludf.DUMMYFUNCTION("""COMPUTED_VALUE"""),"Evamazzita")</f>
        <v>Evamazzita</v>
      </c>
      <c r="F5349" s="17" t="str">
        <f>IFERROR(__xludf.DUMMYFUNCTION("""COMPUTED_VALUE"""),"Bloque 14 apt 101 Campo hermoso quinta estrella  / Bloque 14 apt 101 Campo hermoso quinta estrella  / Bloque 14 apt 101 Campo hermoso quinta estrella")</f>
        <v>Bloque 14 apt 101 Campo hermoso quinta estrella  / Bloque 14 apt 101 Campo hermoso quinta estrella  / Bloque 14 apt 101 Campo hermoso quinta estrella</v>
      </c>
      <c r="G5349" s="15" t="str">
        <f>IFERROR(__xludf.DUMMYFUNCTION("""COMPUTED_VALUE"""),"JIMENA OCHOA")</f>
        <v>JIMENA OCHOA</v>
      </c>
      <c r="H5349" s="16">
        <f>IFERROR(__xludf.DUMMYFUNCTION("""COMPUTED_VALUE"""),14099.0)</f>
        <v>14099</v>
      </c>
      <c r="I5349" s="18">
        <f>IFERROR(__xludf.DUMMYFUNCTION("""COMPUTED_VALUE"""),1.0)</f>
        <v>1</v>
      </c>
      <c r="J5349" s="18">
        <f>IFERROR(__xludf.DUMMYFUNCTION("""COMPUTED_VALUE"""),1.0)</f>
        <v>1</v>
      </c>
      <c r="K5349" s="18">
        <f>IFERROR(__xludf.DUMMYFUNCTION("""COMPUTED_VALUE"""),1.0)</f>
        <v>1</v>
      </c>
      <c r="L5349" s="17">
        <f>IFERROR(__xludf.DUMMYFUNCTION("""COMPUTED_VALUE"""),3.00358854E9)</f>
        <v>3003588540</v>
      </c>
      <c r="M5349" s="17" t="str">
        <f>IFERROR(__xludf.DUMMYFUNCTION("""COMPUTED_VALUE"""),"#REF!")</f>
        <v>#REF!</v>
      </c>
      <c r="N5349" s="17"/>
      <c r="O5349" s="17"/>
      <c r="P5349" s="17" t="b">
        <f>IFERROR(__xludf.DUMMYFUNCTION("""COMPUTED_VALUE"""),TRUE)</f>
        <v>1</v>
      </c>
      <c r="Q5349" s="20">
        <f>IFERROR(__xludf.DUMMYFUNCTION("""COMPUTED_VALUE"""),45155.92068166667)</f>
        <v>45155.92068</v>
      </c>
      <c r="R5349" s="21" t="str">
        <f>IFERROR(__xludf.DUMMYFUNCTION("""COMPUTED_VALUE"""),"https://drive.google.com/file/d/1ewVNdl4AgYsKRxYQ4kGfX3iBr8en0dcc/view?usp=drivesdk")</f>
        <v>https://drive.google.com/file/d/1ewVNdl4AgYsKRxYQ4kGfX3iBr8en0dcc/view?usp=drivesdk</v>
      </c>
    </row>
    <row r="5350">
      <c r="A5350" s="15">
        <f>IFERROR(__xludf.DUMMYFUNCTION("""COMPUTED_VALUE"""),45155.0)</f>
        <v>45155</v>
      </c>
      <c r="B5350" s="16" t="str">
        <f>IFERROR(__xludf.DUMMYFUNCTION("""COMPUTED_VALUE"""),"Ivan David Pirela Pirela")</f>
        <v>Ivan David Pirela Pirela</v>
      </c>
      <c r="C5350" s="15" t="str">
        <f>IFERROR(__xludf.DUMMYFUNCTION("""COMPUTED_VALUE"""),"BUCARAMANGA")</f>
        <v>BUCARAMANGA</v>
      </c>
      <c r="D5350" s="15" t="str">
        <f>IFERROR(__xludf.DUMMYFUNCTION("""COMPUTED_VALUE"""),"BOGOTÁ")</f>
        <v>BOGOTÁ</v>
      </c>
      <c r="E5350" s="15" t="str">
        <f>IFERROR(__xludf.DUMMYFUNCTION("""COMPUTED_VALUE"""),"Evamazzita")</f>
        <v>Evamazzita</v>
      </c>
      <c r="F5350" s="17" t="str">
        <f>IFERROR(__xludf.DUMMYFUNCTION("""COMPUTED_VALUE"""),"Calle 61 #1w- 35 casa 34  / casa 34 conjunto intimarca real de minas / casa 34 conjunto intimarca real de minas")</f>
        <v>Calle 61 #1w- 35 casa 34  / casa 34 conjunto intimarca real de minas / casa 34 conjunto intimarca real de minas</v>
      </c>
      <c r="G5350" s="15" t="str">
        <f>IFERROR(__xludf.DUMMYFUNCTION("""COMPUTED_VALUE"""),"DANIELA GONZALEZ")</f>
        <v>DANIELA GONZALEZ</v>
      </c>
      <c r="H5350" s="16">
        <f>IFERROR(__xludf.DUMMYFUNCTION("""COMPUTED_VALUE"""),14098.0)</f>
        <v>14098</v>
      </c>
      <c r="I5350" s="18">
        <f>IFERROR(__xludf.DUMMYFUNCTION("""COMPUTED_VALUE"""),1.0)</f>
        <v>1</v>
      </c>
      <c r="J5350" s="18">
        <f>IFERROR(__xludf.DUMMYFUNCTION("""COMPUTED_VALUE"""),1.0)</f>
        <v>1</v>
      </c>
      <c r="K5350" s="18">
        <f>IFERROR(__xludf.DUMMYFUNCTION("""COMPUTED_VALUE"""),1.0)</f>
        <v>1</v>
      </c>
      <c r="L5350" s="17">
        <f>IFERROR(__xludf.DUMMYFUNCTION("""COMPUTED_VALUE"""),3.183119574E9)</f>
        <v>3183119574</v>
      </c>
      <c r="M5350" s="17" t="str">
        <f>IFERROR(__xludf.DUMMYFUNCTION("""COMPUTED_VALUE"""),"#REF!")</f>
        <v>#REF!</v>
      </c>
      <c r="N5350" s="17"/>
      <c r="O5350" s="17"/>
      <c r="P5350" s="17" t="b">
        <f>IFERROR(__xludf.DUMMYFUNCTION("""COMPUTED_VALUE"""),TRUE)</f>
        <v>1</v>
      </c>
      <c r="Q5350" s="20">
        <f>IFERROR(__xludf.DUMMYFUNCTION("""COMPUTED_VALUE"""),45155.92068166667)</f>
        <v>45155.92068</v>
      </c>
      <c r="R5350" s="21" t="str">
        <f>IFERROR(__xludf.DUMMYFUNCTION("""COMPUTED_VALUE"""),"https://drive.google.com/file/d/1SxI6o5syOemEb5gnvdZaNoeYHDmBTf7M/view?usp=drivesdk")</f>
        <v>https://drive.google.com/file/d/1SxI6o5syOemEb5gnvdZaNoeYHDmBTf7M/view?usp=drivesdk</v>
      </c>
    </row>
    <row r="5351">
      <c r="A5351" s="15">
        <f>IFERROR(__xludf.DUMMYFUNCTION("""COMPUTED_VALUE"""),45155.0)</f>
        <v>45155</v>
      </c>
      <c r="B5351" s="16" t="str">
        <f>IFERROR(__xludf.DUMMYFUNCTION("""COMPUTED_VALUE"""),"Ivan David Pirela Pirela")</f>
        <v>Ivan David Pirela Pirela</v>
      </c>
      <c r="C5351" s="15" t="str">
        <f>IFERROR(__xludf.DUMMYFUNCTION("""COMPUTED_VALUE"""),"BUCARAMANGA")</f>
        <v>BUCARAMANGA</v>
      </c>
      <c r="D5351" s="15" t="str">
        <f>IFERROR(__xludf.DUMMYFUNCTION("""COMPUTED_VALUE"""),"BOGOTÁ")</f>
        <v>BOGOTÁ</v>
      </c>
      <c r="E5351" s="15" t="str">
        <f>IFERROR(__xludf.DUMMYFUNCTION("""COMPUTED_VALUE"""),"Evamazzita")</f>
        <v>Evamazzita</v>
      </c>
      <c r="F5351" s="17" t="str">
        <f>IFERROR(__xludf.DUMMYFUNCTION("""COMPUTED_VALUE"""),"CALLE 98 No. 16 - 77 / APTO 414 TORRES DE VILLA ALICIA / TORRES DE VILLA ALICIA")</f>
        <v>CALLE 98 No. 16 - 77 / APTO 414 TORRES DE VILLA ALICIA / TORRES DE VILLA ALICIA</v>
      </c>
      <c r="G5351" s="15" t="str">
        <f>IFERROR(__xludf.DUMMYFUNCTION("""COMPUTED_VALUE"""),"YAMILE GARCIA")</f>
        <v>YAMILE GARCIA</v>
      </c>
      <c r="H5351" s="16">
        <f>IFERROR(__xludf.DUMMYFUNCTION("""COMPUTED_VALUE"""),14095.0)</f>
        <v>14095</v>
      </c>
      <c r="I5351" s="18">
        <f>IFERROR(__xludf.DUMMYFUNCTION("""COMPUTED_VALUE"""),1.0)</f>
        <v>1</v>
      </c>
      <c r="J5351" s="18">
        <f>IFERROR(__xludf.DUMMYFUNCTION("""COMPUTED_VALUE"""),1.0)</f>
        <v>1</v>
      </c>
      <c r="K5351" s="18">
        <f>IFERROR(__xludf.DUMMYFUNCTION("""COMPUTED_VALUE"""),1.0)</f>
        <v>1</v>
      </c>
      <c r="L5351" s="17">
        <f>IFERROR(__xludf.DUMMYFUNCTION("""COMPUTED_VALUE"""),3.156113139E9)</f>
        <v>3156113139</v>
      </c>
      <c r="M5351" s="17" t="str">
        <f>IFERROR(__xludf.DUMMYFUNCTION("""COMPUTED_VALUE"""),"#REF!")</f>
        <v>#REF!</v>
      </c>
      <c r="N5351" s="17"/>
      <c r="O5351" s="17"/>
      <c r="P5351" s="17" t="b">
        <f>IFERROR(__xludf.DUMMYFUNCTION("""COMPUTED_VALUE"""),TRUE)</f>
        <v>1</v>
      </c>
      <c r="Q5351" s="20">
        <f>IFERROR(__xludf.DUMMYFUNCTION("""COMPUTED_VALUE"""),45155.92068166667)</f>
        <v>45155.92068</v>
      </c>
      <c r="R5351" s="21" t="str">
        <f>IFERROR(__xludf.DUMMYFUNCTION("""COMPUTED_VALUE"""),"https://drive.google.com/file/d/1Onkcig_Y1vB7GwqLI2xMEol_cl37WP43/view?usp=drivesdk")</f>
        <v>https://drive.google.com/file/d/1Onkcig_Y1vB7GwqLI2xMEol_cl37WP43/view?usp=drivesdk</v>
      </c>
    </row>
    <row r="5352">
      <c r="A5352" s="15">
        <f>IFERROR(__xludf.DUMMYFUNCTION("""COMPUTED_VALUE"""),45155.0)</f>
        <v>45155</v>
      </c>
      <c r="B5352" s="16" t="str">
        <f>IFERROR(__xludf.DUMMYFUNCTION("""COMPUTED_VALUE"""),"Ivan David Pirela Pirela")</f>
        <v>Ivan David Pirela Pirela</v>
      </c>
      <c r="C5352" s="15" t="str">
        <f>IFERROR(__xludf.DUMMYFUNCTION("""COMPUTED_VALUE"""),"BUCARAMANGA")</f>
        <v>BUCARAMANGA</v>
      </c>
      <c r="D5352" s="15" t="str">
        <f>IFERROR(__xludf.DUMMYFUNCTION("""COMPUTED_VALUE"""),"BOGOTÁ")</f>
        <v>BOGOTÁ</v>
      </c>
      <c r="E5352" s="15" t="str">
        <f>IFERROR(__xludf.DUMMYFUNCTION("""COMPUTED_VALUE"""),"Evamazzita")</f>
        <v>Evamazzita</v>
      </c>
      <c r="F5352" s="17" t="str">
        <f>IFERROR(__xludf.DUMMYFUNCTION("""COMPUTED_VALUE"""),"conjunto residencial prados de Santa bárbara - casa 19 / conjunto residencial prados de Santa bárbara - casa 19 / conjunto residencial prados de Santa bárbara - casa 19")</f>
        <v>conjunto residencial prados de Santa bárbara - casa 19 / conjunto residencial prados de Santa bárbara - casa 19 / conjunto residencial prados de Santa bárbara - casa 19</v>
      </c>
      <c r="G5352" s="15" t="str">
        <f>IFERROR(__xludf.DUMMYFUNCTION("""COMPUTED_VALUE"""),"JOHANNA AGUILAR")</f>
        <v>JOHANNA AGUILAR</v>
      </c>
      <c r="H5352" s="16">
        <f>IFERROR(__xludf.DUMMYFUNCTION("""COMPUTED_VALUE"""),14096.0)</f>
        <v>14096</v>
      </c>
      <c r="I5352" s="18">
        <f>IFERROR(__xludf.DUMMYFUNCTION("""COMPUTED_VALUE"""),1.0)</f>
        <v>1</v>
      </c>
      <c r="J5352" s="18">
        <f>IFERROR(__xludf.DUMMYFUNCTION("""COMPUTED_VALUE"""),1.0)</f>
        <v>1</v>
      </c>
      <c r="K5352" s="18">
        <f>IFERROR(__xludf.DUMMYFUNCTION("""COMPUTED_VALUE"""),1.0)</f>
        <v>1</v>
      </c>
      <c r="L5352" s="17">
        <f>IFERROR(__xludf.DUMMYFUNCTION("""COMPUTED_VALUE"""),3.044961629E9)</f>
        <v>3044961629</v>
      </c>
      <c r="M5352" s="17" t="str">
        <f>IFERROR(__xludf.DUMMYFUNCTION("""COMPUTED_VALUE"""),"#REF!")</f>
        <v>#REF!</v>
      </c>
      <c r="N5352" s="17"/>
      <c r="O5352" s="17"/>
      <c r="P5352" s="17" t="b">
        <f>IFERROR(__xludf.DUMMYFUNCTION("""COMPUTED_VALUE"""),FALSE)</f>
        <v>0</v>
      </c>
      <c r="Q5352" s="20" t="str">
        <f>IFERROR(__xludf.DUMMYFUNCTION("""COMPUTED_VALUE"""),"")</f>
        <v/>
      </c>
      <c r="R5352" s="22" t="str">
        <f>IFERROR(__xludf.DUMMYFUNCTION("""COMPUTED_VALUE"""),"")</f>
        <v/>
      </c>
    </row>
    <row r="5353">
      <c r="A5353" s="15">
        <f>IFERROR(__xludf.DUMMYFUNCTION("""COMPUTED_VALUE"""),45155.0)</f>
        <v>45155</v>
      </c>
      <c r="B5353" s="16" t="str">
        <f>IFERROR(__xludf.DUMMYFUNCTION("""COMPUTED_VALUE"""),"Ivan David Pirela Pirela")</f>
        <v>Ivan David Pirela Pirela</v>
      </c>
      <c r="C5353" s="15" t="str">
        <f>IFERROR(__xludf.DUMMYFUNCTION("""COMPUTED_VALUE"""),"BUCARAMANGA")</f>
        <v>BUCARAMANGA</v>
      </c>
      <c r="D5353" s="15" t="str">
        <f>IFERROR(__xludf.DUMMYFUNCTION("""COMPUTED_VALUE"""),"BOGOTÁ")</f>
        <v>BOGOTÁ</v>
      </c>
      <c r="E5353" s="15" t="str">
        <f>IFERROR(__xludf.DUMMYFUNCTION("""COMPUTED_VALUE"""),"Pan de Waffle")</f>
        <v>Pan de Waffle</v>
      </c>
      <c r="F5353" s="17" t="str">
        <f>IFERROR(__xludf.DUMMYFUNCTION("""COMPUTED_VALUE"""),"Carrera 31 # 50 - 27 / Carrera 31 # 50 - 27 / Carrera 31 # 50 - 27")</f>
        <v>Carrera 31 # 50 - 27 / Carrera 31 # 50 - 27 / Carrera 31 # 50 - 27</v>
      </c>
      <c r="G5353" s="15" t="str">
        <f>IFERROR(__xludf.DUMMYFUNCTION("""COMPUTED_VALUE"""),"FOODOLOGY")</f>
        <v>FOODOLOGY</v>
      </c>
      <c r="H5353" s="16">
        <f>IFERROR(__xludf.DUMMYFUNCTION("""COMPUTED_VALUE"""),14113.0)</f>
        <v>14113</v>
      </c>
      <c r="I5353" s="18">
        <f>IFERROR(__xludf.DUMMYFUNCTION("""COMPUTED_VALUE"""),40.0)</f>
        <v>40</v>
      </c>
      <c r="J5353" s="18">
        <f>IFERROR(__xludf.DUMMYFUNCTION("""COMPUTED_VALUE"""),30.0)</f>
        <v>30</v>
      </c>
      <c r="K5353" s="18">
        <f>IFERROR(__xludf.DUMMYFUNCTION("""COMPUTED_VALUE"""),30.0)</f>
        <v>30</v>
      </c>
      <c r="L5353" s="17">
        <f>IFERROR(__xludf.DUMMYFUNCTION("""COMPUTED_VALUE"""),3.017001909E9)</f>
        <v>3017001909</v>
      </c>
      <c r="M5353" s="17" t="str">
        <f>IFERROR(__xludf.DUMMYFUNCTION("""COMPUTED_VALUE"""),"#REF!")</f>
        <v>#REF!</v>
      </c>
      <c r="N5353" s="17"/>
      <c r="O5353" s="17"/>
      <c r="P5353" s="17" t="b">
        <f>IFERROR(__xludf.DUMMYFUNCTION("""COMPUTED_VALUE"""),FALSE)</f>
        <v>0</v>
      </c>
      <c r="Q5353" s="20" t="str">
        <f>IFERROR(__xludf.DUMMYFUNCTION("""COMPUTED_VALUE"""),"")</f>
        <v/>
      </c>
      <c r="R5353" s="22" t="str">
        <f>IFERROR(__xludf.DUMMYFUNCTION("""COMPUTED_VALUE"""),"")</f>
        <v/>
      </c>
    </row>
    <row r="5354">
      <c r="A5354" s="15">
        <f>IFERROR(__xludf.DUMMYFUNCTION("""COMPUTED_VALUE"""),45155.0)</f>
        <v>45155</v>
      </c>
      <c r="B5354" s="16" t="str">
        <f>IFERROR(__xludf.DUMMYFUNCTION("""COMPUTED_VALUE"""),"Ivan David Pirela Pirela")</f>
        <v>Ivan David Pirela Pirela</v>
      </c>
      <c r="C5354" s="15" t="str">
        <f>IFERROR(__xludf.DUMMYFUNCTION("""COMPUTED_VALUE"""),"FLORIDABLANCA")</f>
        <v>FLORIDABLANCA</v>
      </c>
      <c r="D5354" s="15" t="str">
        <f>IFERROR(__xludf.DUMMYFUNCTION("""COMPUTED_VALUE"""),"BOGOTÁ")</f>
        <v>BOGOTÁ</v>
      </c>
      <c r="E5354" s="15" t="str">
        <f>IFERROR(__xludf.DUMMYFUNCTION("""COMPUTED_VALUE"""),"Evamazzita")</f>
        <v>Evamazzita</v>
      </c>
      <c r="F5354" s="17" t="str">
        <f>IFERROR(__xludf.DUMMYFUNCTION("""COMPUTED_VALUE"""),"Cra 28 #19-53 / Urbanización Colon, Bloque 9, apartamento 101 / Urbanización Colon, Bloque 9, apartamento 101")</f>
        <v>Cra 28 #19-53 / Urbanización Colon, Bloque 9, apartamento 101 / Urbanización Colon, Bloque 9, apartamento 101</v>
      </c>
      <c r="G5354" s="15" t="str">
        <f>IFERROR(__xludf.DUMMYFUNCTION("""COMPUTED_VALUE"""),"SILVIA JULIANA PINTO HERNANDEZ")</f>
        <v>SILVIA JULIANA PINTO HERNANDEZ</v>
      </c>
      <c r="H5354" s="16">
        <f>IFERROR(__xludf.DUMMYFUNCTION("""COMPUTED_VALUE"""),14100.0)</f>
        <v>14100</v>
      </c>
      <c r="I5354" s="18">
        <f>IFERROR(__xludf.DUMMYFUNCTION("""COMPUTED_VALUE"""),1.0)</f>
        <v>1</v>
      </c>
      <c r="J5354" s="18">
        <f>IFERROR(__xludf.DUMMYFUNCTION("""COMPUTED_VALUE"""),1.0)</f>
        <v>1</v>
      </c>
      <c r="K5354" s="18">
        <f>IFERROR(__xludf.DUMMYFUNCTION("""COMPUTED_VALUE"""),1.0)</f>
        <v>1</v>
      </c>
      <c r="L5354" s="17">
        <f>IFERROR(__xludf.DUMMYFUNCTION("""COMPUTED_VALUE"""),3.0129633E9)</f>
        <v>3012963300</v>
      </c>
      <c r="M5354" s="17" t="str">
        <f>IFERROR(__xludf.DUMMYFUNCTION("""COMPUTED_VALUE"""),"#REF!")</f>
        <v>#REF!</v>
      </c>
      <c r="N5354" s="17"/>
      <c r="O5354" s="17"/>
      <c r="P5354" s="17" t="b">
        <f>IFERROR(__xludf.DUMMYFUNCTION("""COMPUTED_VALUE"""),FALSE)</f>
        <v>0</v>
      </c>
      <c r="Q5354" s="20" t="str">
        <f>IFERROR(__xludf.DUMMYFUNCTION("""COMPUTED_VALUE"""),"")</f>
        <v/>
      </c>
      <c r="R5354" s="21" t="str">
        <f>IFERROR(__xludf.DUMMYFUNCTION("""COMPUTED_VALUE"""),"https://drive.google.com/file/d/1jMkXoK_O1DAntoEnF4anYv8VtFK0y7ot/view?usp=drivesdk")</f>
        <v>https://drive.google.com/file/d/1jMkXoK_O1DAntoEnF4anYv8VtFK0y7ot/view?usp=drivesdk</v>
      </c>
    </row>
    <row r="5355">
      <c r="A5355" s="15">
        <f>IFERROR(__xludf.DUMMYFUNCTION("""COMPUTED_VALUE"""),45155.0)</f>
        <v>45155</v>
      </c>
      <c r="B5355" s="16" t="str">
        <f>IFERROR(__xludf.DUMMYFUNCTION("""COMPUTED_VALUE"""),"Ivan David Pirela Pirela")</f>
        <v>Ivan David Pirela Pirela</v>
      </c>
      <c r="C5355" s="15" t="str">
        <f>IFERROR(__xludf.DUMMYFUNCTION("""COMPUTED_VALUE"""),"FLORIDABLANCA")</f>
        <v>FLORIDABLANCA</v>
      </c>
      <c r="D5355" s="15" t="str">
        <f>IFERROR(__xludf.DUMMYFUNCTION("""COMPUTED_VALUE"""),"BOGOTÁ")</f>
        <v>BOGOTÁ</v>
      </c>
      <c r="E5355" s="15" t="str">
        <f>IFERROR(__xludf.DUMMYFUNCTION("""COMPUTED_VALUE"""),"Evamazzita")</f>
        <v>Evamazzita</v>
      </c>
      <c r="F5355" s="17" t="str">
        <f>IFERROR(__xludf.DUMMYFUNCTION("""COMPUTED_VALUE"""),"Cra 3 # 2-192 casa 15 /  quintas de florida /  quintas de florida")</f>
        <v>Cra 3 # 2-192 casa 15 /  quintas de florida /  quintas de florida</v>
      </c>
      <c r="G5355" s="15" t="str">
        <f>IFERROR(__xludf.DUMMYFUNCTION("""COMPUTED_VALUE"""),"LUZ KARIME GALVIS")</f>
        <v>LUZ KARIME GALVIS</v>
      </c>
      <c r="H5355" s="16">
        <f>IFERROR(__xludf.DUMMYFUNCTION("""COMPUTED_VALUE"""),14101.0)</f>
        <v>14101</v>
      </c>
      <c r="I5355" s="18">
        <f>IFERROR(__xludf.DUMMYFUNCTION("""COMPUTED_VALUE"""),1.0)</f>
        <v>1</v>
      </c>
      <c r="J5355" s="18">
        <f>IFERROR(__xludf.DUMMYFUNCTION("""COMPUTED_VALUE"""),1.0)</f>
        <v>1</v>
      </c>
      <c r="K5355" s="18">
        <f>IFERROR(__xludf.DUMMYFUNCTION("""COMPUTED_VALUE"""),1.0)</f>
        <v>1</v>
      </c>
      <c r="L5355" s="17">
        <f>IFERROR(__xludf.DUMMYFUNCTION("""COMPUTED_VALUE"""),3.203117927E9)</f>
        <v>3203117927</v>
      </c>
      <c r="M5355" s="17" t="str">
        <f>IFERROR(__xludf.DUMMYFUNCTION("""COMPUTED_VALUE"""),"#REF!")</f>
        <v>#REF!</v>
      </c>
      <c r="N5355" s="17"/>
      <c r="O5355" s="17"/>
      <c r="P5355" s="17" t="b">
        <f>IFERROR(__xludf.DUMMYFUNCTION("""COMPUTED_VALUE"""),FALSE)</f>
        <v>0</v>
      </c>
      <c r="Q5355" s="20" t="str">
        <f>IFERROR(__xludf.DUMMYFUNCTION("""COMPUTED_VALUE"""),"")</f>
        <v/>
      </c>
      <c r="R5355" s="22" t="str">
        <f>IFERROR(__xludf.DUMMYFUNCTION("""COMPUTED_VALUE"""),"")</f>
        <v/>
      </c>
    </row>
    <row r="5356">
      <c r="A5356" s="15">
        <f>IFERROR(__xludf.DUMMYFUNCTION("""COMPUTED_VALUE"""),45155.0)</f>
        <v>45155</v>
      </c>
      <c r="B5356" s="16" t="str">
        <f>IFERROR(__xludf.DUMMYFUNCTION("""COMPUTED_VALUE"""),"Ivan David Pirela Pirela")</f>
        <v>Ivan David Pirela Pirela</v>
      </c>
      <c r="C5356" s="15" t="str">
        <f>IFERROR(__xludf.DUMMYFUNCTION("""COMPUTED_VALUE"""),"PEREIRA")</f>
        <v>PEREIRA</v>
      </c>
      <c r="D5356" s="15" t="str">
        <f>IFERROR(__xludf.DUMMYFUNCTION("""COMPUTED_VALUE"""),"BOGOTÁ")</f>
        <v>BOGOTÁ</v>
      </c>
      <c r="E5356" s="15" t="str">
        <f>IFERROR(__xludf.DUMMYFUNCTION("""COMPUTED_VALUE"""),"Frubits")</f>
        <v>Frubits</v>
      </c>
      <c r="F5356" s="17" t="str">
        <f>IFERROR(__xludf.DUMMYFUNCTION("""COMPUTED_VALUE"""),"Calle 10#12b-30 edificio 1012 apto 902 torre 2, circunvalar, Pereira / Calle 10#12b-30 edificio 1012 apto 902 torre 2, circunvalar, Pereira / Calle 10#12b-30 edificio 1012 apto 902 torre 2, circunvalar, Pereira")</f>
        <v>Calle 10#12b-30 edificio 1012 apto 902 torre 2, circunvalar, Pereira / Calle 10#12b-30 edificio 1012 apto 902 torre 2, circunvalar, Pereira / Calle 10#12b-30 edificio 1012 apto 902 torre 2, circunvalar, Pereira</v>
      </c>
      <c r="G5356" s="15" t="str">
        <f>IFERROR(__xludf.DUMMYFUNCTION("""COMPUTED_VALUE"""),"Pamela Serrano Ayala")</f>
        <v>Pamela Serrano Ayala</v>
      </c>
      <c r="H5356" s="16">
        <f>IFERROR(__xludf.DUMMYFUNCTION("""COMPUTED_VALUE"""),14088.0)</f>
        <v>14088</v>
      </c>
      <c r="I5356" s="18">
        <f>IFERROR(__xludf.DUMMYFUNCTION("""COMPUTED_VALUE"""),9.0)</f>
        <v>9</v>
      </c>
      <c r="J5356" s="18">
        <f>IFERROR(__xludf.DUMMYFUNCTION("""COMPUTED_VALUE"""),9.0)</f>
        <v>9</v>
      </c>
      <c r="K5356" s="18">
        <f>IFERROR(__xludf.DUMMYFUNCTION("""COMPUTED_VALUE"""),9.0)</f>
        <v>9</v>
      </c>
      <c r="L5356" s="17">
        <f>IFERROR(__xludf.DUMMYFUNCTION("""COMPUTED_VALUE"""),3.217770034E9)</f>
        <v>3217770034</v>
      </c>
      <c r="M5356" s="17" t="str">
        <f>IFERROR(__xludf.DUMMYFUNCTION("""COMPUTED_VALUE"""),"#REF!")</f>
        <v>#REF!</v>
      </c>
      <c r="N5356" s="17"/>
      <c r="O5356" s="17"/>
      <c r="P5356" s="17" t="b">
        <f>IFERROR(__xludf.DUMMYFUNCTION("""COMPUTED_VALUE"""),FALSE)</f>
        <v>0</v>
      </c>
      <c r="Q5356" s="20" t="str">
        <f>IFERROR(__xludf.DUMMYFUNCTION("""COMPUTED_VALUE"""),"")</f>
        <v/>
      </c>
      <c r="R5356" s="22" t="str">
        <f>IFERROR(__xludf.DUMMYFUNCTION("""COMPUTED_VALUE"""),"")</f>
        <v/>
      </c>
    </row>
    <row r="5357">
      <c r="A5357" s="15">
        <f>IFERROR(__xludf.DUMMYFUNCTION("""COMPUTED_VALUE"""),45155.0)</f>
        <v>45155</v>
      </c>
      <c r="B5357" s="16" t="str">
        <f>IFERROR(__xludf.DUMMYFUNCTION("""COMPUTED_VALUE"""),"Ivan David Pirela Pirela")</f>
        <v>Ivan David Pirela Pirela</v>
      </c>
      <c r="C5357" s="15" t="str">
        <f>IFERROR(__xludf.DUMMYFUNCTION("""COMPUTED_VALUE"""),"VILLAVICENCIO")</f>
        <v>VILLAVICENCIO</v>
      </c>
      <c r="D5357" s="15" t="str">
        <f>IFERROR(__xludf.DUMMYFUNCTION("""COMPUTED_VALUE"""),"MEDELLÍN")</f>
        <v>MEDELLÍN</v>
      </c>
      <c r="E5357" s="15" t="str">
        <f>IFERROR(__xludf.DUMMYFUNCTION("""COMPUTED_VALUE"""),"Lácteos El Pino SAS")</f>
        <v>Lácteos El Pino SAS</v>
      </c>
      <c r="F5357" s="17" t="str">
        <f>IFERROR(__xludf.DUMMYFUNCTION("""COMPUTED_VALUE"""),"Cra. 32 #39-14 / CAFE BRA KAFFE")</f>
        <v>Cra. 32 #39-14 / CAFE BRA KAFFE</v>
      </c>
      <c r="G5357" s="15" t="str">
        <f>IFERROR(__xludf.DUMMYFUNCTION("""COMPUTED_VALUE"""),"BRA KAFFE SAS")</f>
        <v>BRA KAFFE SAS</v>
      </c>
      <c r="H5357" s="16">
        <f>IFERROR(__xludf.DUMMYFUNCTION("""COMPUTED_VALUE"""),14020.0)</f>
        <v>14020</v>
      </c>
      <c r="I5357" s="18">
        <f>IFERROR(__xludf.DUMMYFUNCTION("""COMPUTED_VALUE"""),10.0)</f>
        <v>10</v>
      </c>
      <c r="J5357" s="18">
        <f>IFERROR(__xludf.DUMMYFUNCTION("""COMPUTED_VALUE"""),16.0)</f>
        <v>16</v>
      </c>
      <c r="K5357" s="18">
        <f>IFERROR(__xludf.DUMMYFUNCTION("""COMPUTED_VALUE"""),24.0)</f>
        <v>24</v>
      </c>
      <c r="L5357" s="17">
        <f>IFERROR(__xludf.DUMMYFUNCTION("""COMPUTED_VALUE"""),3.188882386E9)</f>
        <v>3188882386</v>
      </c>
      <c r="M5357" s="17" t="str">
        <f>IFERROR(__xludf.DUMMYFUNCTION("""COMPUTED_VALUE"""),"#REF!")</f>
        <v>#REF!</v>
      </c>
      <c r="N5357" s="17"/>
      <c r="O5357" s="17"/>
      <c r="P5357" s="17" t="b">
        <f>IFERROR(__xludf.DUMMYFUNCTION("""COMPUTED_VALUE"""),FALSE)</f>
        <v>0</v>
      </c>
      <c r="Q5357" s="20" t="str">
        <f>IFERROR(__xludf.DUMMYFUNCTION("""COMPUTED_VALUE"""),"")</f>
        <v/>
      </c>
      <c r="R5357" s="21" t="str">
        <f>IFERROR(__xludf.DUMMYFUNCTION("""COMPUTED_VALUE"""),"https://drive.google.com/file/d/1O_F_lKSv17GPKF3mOIqCFHTnK07qfChW/view?usp=drivesdk")</f>
        <v>https://drive.google.com/file/d/1O_F_lKSv17GPKF3mOIqCFHTnK07qfChW/view?usp=drivesdk</v>
      </c>
    </row>
    <row r="5358">
      <c r="A5358" s="17" t="str">
        <f>IFERROR(__xludf.DUMMYFUNCTION("""COMPUTED_VALUE"""),"")</f>
        <v/>
      </c>
      <c r="B5358" s="17" t="str">
        <f>IFERROR(__xludf.DUMMYFUNCTION("""COMPUTED_VALUE"""),"")</f>
        <v/>
      </c>
      <c r="C5358" s="17" t="str">
        <f>IFERROR(__xludf.DUMMYFUNCTION("""COMPUTED_VALUE"""),"")</f>
        <v/>
      </c>
      <c r="D5358" s="17" t="str">
        <f>IFERROR(__xludf.DUMMYFUNCTION("""COMPUTED_VALUE"""),"")</f>
        <v/>
      </c>
      <c r="E5358" s="17" t="str">
        <f>IFERROR(__xludf.DUMMYFUNCTION("""COMPUTED_VALUE"""),"")</f>
        <v/>
      </c>
      <c r="F5358" s="17" t="str">
        <f>IFERROR(__xludf.DUMMYFUNCTION("""COMPUTED_VALUE"""),"")</f>
        <v/>
      </c>
      <c r="G5358" s="17" t="str">
        <f>IFERROR(__xludf.DUMMYFUNCTION("""COMPUTED_VALUE"""),"")</f>
        <v/>
      </c>
      <c r="H5358" s="17" t="str">
        <f>IFERROR(__xludf.DUMMYFUNCTION("""COMPUTED_VALUE"""),"")</f>
        <v/>
      </c>
      <c r="I5358" s="17" t="str">
        <f>IFERROR(__xludf.DUMMYFUNCTION("""COMPUTED_VALUE"""),"")</f>
        <v/>
      </c>
      <c r="J5358" s="17" t="str">
        <f>IFERROR(__xludf.DUMMYFUNCTION("""COMPUTED_VALUE"""),"")</f>
        <v/>
      </c>
      <c r="K5358" s="17" t="str">
        <f>IFERROR(__xludf.DUMMYFUNCTION("""COMPUTED_VALUE"""),"")</f>
        <v/>
      </c>
      <c r="L5358" s="17" t="str">
        <f>IFERROR(__xludf.DUMMYFUNCTION("""COMPUTED_VALUE"""),"")</f>
        <v/>
      </c>
      <c r="M5358" s="17" t="str">
        <f>IFERROR(__xludf.DUMMYFUNCTION("""COMPUTED_VALUE"""),"")</f>
        <v/>
      </c>
      <c r="N5358" s="17" t="str">
        <f>IFERROR(__xludf.DUMMYFUNCTION("""COMPUTED_VALUE"""),"")</f>
        <v/>
      </c>
      <c r="O5358" s="17" t="str">
        <f>IFERROR(__xludf.DUMMYFUNCTION("""COMPUTED_VALUE"""),"")</f>
        <v/>
      </c>
      <c r="P5358" s="17" t="str">
        <f>IFERROR(__xludf.DUMMYFUNCTION("""COMPUTED_VALUE"""),"")</f>
        <v/>
      </c>
      <c r="Q5358" s="17" t="str">
        <f>IFERROR(__xludf.DUMMYFUNCTION("""COMPUTED_VALUE"""),"")</f>
        <v/>
      </c>
      <c r="R5358" s="17" t="str">
        <f>IFERROR(__xludf.DUMMYFUNCTION("""COMPUTED_VALUE"""),"")</f>
        <v/>
      </c>
    </row>
    <row r="5359">
      <c r="A5359" s="15">
        <f>IFERROR(__xludf.DUMMYFUNCTION("""COMPUTED_VALUE"""),45155.0)</f>
        <v>45155</v>
      </c>
      <c r="B5359" s="16" t="str">
        <f>IFERROR(__xludf.DUMMYFUNCTION("""COMPUTED_VALUE"""),"Jhon Anderson Ceballos Hernandez")</f>
        <v>Jhon Anderson Ceballos Hernandez</v>
      </c>
      <c r="C5359" s="15" t="str">
        <f>IFERROR(__xludf.DUMMYFUNCTION("""COMPUTED_VALUE"""),"CARTAGENA")</f>
        <v>CARTAGENA</v>
      </c>
      <c r="D5359" s="15" t="str">
        <f>IFERROR(__xludf.DUMMYFUNCTION("""COMPUTED_VALUE"""),"MEDELLÍN")</f>
        <v>MEDELLÍN</v>
      </c>
      <c r="E5359" s="15" t="str">
        <f>IFERROR(__xludf.DUMMYFUNCTION("""COMPUTED_VALUE"""),"Rambla")</f>
        <v>Rambla</v>
      </c>
      <c r="F5359" s="17" t="str">
        <f>IFERROR(__xludf.DUMMYFUNCTION("""COMPUTED_VALUE"""),"CALLE 6 #20 CC LA ESTANCIA LC 1 10 BRR  CASTILLO GRANDE  / - / -")</f>
        <v>CALLE 6 #20 CC LA ESTANCIA LC 1 10 BRR  CASTILLO GRANDE  / - / -</v>
      </c>
      <c r="G5359" s="15" t="str">
        <f>IFERROR(__xludf.DUMMYFUNCTION("""COMPUTED_VALUE"""),"Cocofit")</f>
        <v>Cocofit</v>
      </c>
      <c r="H5359" s="16">
        <f>IFERROR(__xludf.DUMMYFUNCTION("""COMPUTED_VALUE"""),14039.0)</f>
        <v>14039</v>
      </c>
      <c r="I5359" s="18">
        <f>IFERROR(__xludf.DUMMYFUNCTION("""COMPUTED_VALUE"""),34.0)</f>
        <v>34</v>
      </c>
      <c r="J5359" s="18">
        <f>IFERROR(__xludf.DUMMYFUNCTION("""COMPUTED_VALUE"""),36.0)</f>
        <v>36</v>
      </c>
      <c r="K5359" s="18">
        <f>IFERROR(__xludf.DUMMYFUNCTION("""COMPUTED_VALUE"""),34.0)</f>
        <v>34</v>
      </c>
      <c r="L5359" s="17">
        <f>IFERROR(__xludf.DUMMYFUNCTION("""COMPUTED_VALUE"""),3.135781119E9)</f>
        <v>3135781119</v>
      </c>
      <c r="M5359" s="17" t="str">
        <f>IFERROR(__xludf.DUMMYFUNCTION("""COMPUTED_VALUE"""),"#REF!")</f>
        <v>#REF!</v>
      </c>
      <c r="N5359" s="17"/>
      <c r="O5359" s="17"/>
      <c r="P5359" s="17" t="b">
        <f>IFERROR(__xludf.DUMMYFUNCTION("""COMPUTED_VALUE"""),FALSE)</f>
        <v>0</v>
      </c>
      <c r="Q5359" s="20" t="str">
        <f>IFERROR(__xludf.DUMMYFUNCTION("""COMPUTED_VALUE"""),"")</f>
        <v/>
      </c>
      <c r="R5359" s="22" t="str">
        <f>IFERROR(__xludf.DUMMYFUNCTION("""COMPUTED_VALUE"""),"")</f>
        <v/>
      </c>
    </row>
    <row r="5360">
      <c r="A5360" s="15">
        <f>IFERROR(__xludf.DUMMYFUNCTION("""COMPUTED_VALUE"""),45155.0)</f>
        <v>45155</v>
      </c>
      <c r="B5360" s="16" t="str">
        <f>IFERROR(__xludf.DUMMYFUNCTION("""COMPUTED_VALUE"""),"Jhon Anderson Ceballos Hernandez")</f>
        <v>Jhon Anderson Ceballos Hernandez</v>
      </c>
      <c r="C5360" s="15" t="str">
        <f>IFERROR(__xludf.DUMMYFUNCTION("""COMPUTED_VALUE"""),"DUITAMA")</f>
        <v>DUITAMA</v>
      </c>
      <c r="D5360" s="15" t="str">
        <f>IFERROR(__xludf.DUMMYFUNCTION("""COMPUTED_VALUE"""),"BOGOTÁ")</f>
        <v>BOGOTÁ</v>
      </c>
      <c r="E5360" s="15" t="str">
        <f>IFERROR(__xludf.DUMMYFUNCTION("""COMPUTED_VALUE"""),"Top Spun")</f>
        <v>Top Spun</v>
      </c>
      <c r="F5360" s="17" t="str">
        <f>IFERROR(__xludf.DUMMYFUNCTION("""COMPUTED_VALUE"""),"Carrera 18 # 22 - 114 / Apto 401 / Duitama")</f>
        <v>Carrera 18 # 22 - 114 / Apto 401 / Duitama</v>
      </c>
      <c r="G5360" s="15" t="str">
        <f>IFERROR(__xludf.DUMMYFUNCTION("""COMPUTED_VALUE"""),"Lorena Cardenas")</f>
        <v>Lorena Cardenas</v>
      </c>
      <c r="H5360" s="16">
        <f>IFERROR(__xludf.DUMMYFUNCTION("""COMPUTED_VALUE"""),14002.0)</f>
        <v>14002</v>
      </c>
      <c r="I5360" s="18">
        <f>IFERROR(__xludf.DUMMYFUNCTION("""COMPUTED_VALUE"""),20.0)</f>
        <v>20</v>
      </c>
      <c r="J5360" s="18">
        <f>IFERROR(__xludf.DUMMYFUNCTION("""COMPUTED_VALUE"""),10.0)</f>
        <v>10</v>
      </c>
      <c r="K5360" s="18">
        <f>IFERROR(__xludf.DUMMYFUNCTION("""COMPUTED_VALUE"""),40.0)</f>
        <v>40</v>
      </c>
      <c r="L5360" s="17">
        <f>IFERROR(__xludf.DUMMYFUNCTION("""COMPUTED_VALUE"""),3.138201717E9)</f>
        <v>3138201717</v>
      </c>
      <c r="M5360" s="17" t="str">
        <f>IFERROR(__xludf.DUMMYFUNCTION("""COMPUTED_VALUE"""),"#REF!")</f>
        <v>#REF!</v>
      </c>
      <c r="N5360" s="17"/>
      <c r="O5360" s="17"/>
      <c r="P5360" s="17" t="b">
        <f>IFERROR(__xludf.DUMMYFUNCTION("""COMPUTED_VALUE"""),FALSE)</f>
        <v>0</v>
      </c>
      <c r="Q5360" s="20" t="str">
        <f>IFERROR(__xludf.DUMMYFUNCTION("""COMPUTED_VALUE"""),"")</f>
        <v/>
      </c>
      <c r="R5360" s="22" t="str">
        <f>IFERROR(__xludf.DUMMYFUNCTION("""COMPUTED_VALUE"""),"")</f>
        <v/>
      </c>
    </row>
    <row r="5361">
      <c r="A5361" s="17" t="str">
        <f>IFERROR(__xludf.DUMMYFUNCTION("""COMPUTED_VALUE"""),"")</f>
        <v/>
      </c>
      <c r="B5361" s="17" t="str">
        <f>IFERROR(__xludf.DUMMYFUNCTION("""COMPUTED_VALUE"""),"")</f>
        <v/>
      </c>
      <c r="C5361" s="17" t="str">
        <f>IFERROR(__xludf.DUMMYFUNCTION("""COMPUTED_VALUE"""),"")</f>
        <v/>
      </c>
      <c r="D5361" s="17" t="str">
        <f>IFERROR(__xludf.DUMMYFUNCTION("""COMPUTED_VALUE"""),"")</f>
        <v/>
      </c>
      <c r="E5361" s="17" t="str">
        <f>IFERROR(__xludf.DUMMYFUNCTION("""COMPUTED_VALUE"""),"")</f>
        <v/>
      </c>
      <c r="F5361" s="17" t="str">
        <f>IFERROR(__xludf.DUMMYFUNCTION("""COMPUTED_VALUE"""),"")</f>
        <v/>
      </c>
      <c r="G5361" s="17" t="str">
        <f>IFERROR(__xludf.DUMMYFUNCTION("""COMPUTED_VALUE"""),"")</f>
        <v/>
      </c>
      <c r="H5361" s="17" t="str">
        <f>IFERROR(__xludf.DUMMYFUNCTION("""COMPUTED_VALUE"""),"")</f>
        <v/>
      </c>
      <c r="I5361" s="17" t="str">
        <f>IFERROR(__xludf.DUMMYFUNCTION("""COMPUTED_VALUE"""),"")</f>
        <v/>
      </c>
      <c r="J5361" s="17" t="str">
        <f>IFERROR(__xludf.DUMMYFUNCTION("""COMPUTED_VALUE"""),"")</f>
        <v/>
      </c>
      <c r="K5361" s="17" t="str">
        <f>IFERROR(__xludf.DUMMYFUNCTION("""COMPUTED_VALUE"""),"")</f>
        <v/>
      </c>
      <c r="L5361" s="17" t="str">
        <f>IFERROR(__xludf.DUMMYFUNCTION("""COMPUTED_VALUE"""),"")</f>
        <v/>
      </c>
      <c r="M5361" s="17" t="str">
        <f>IFERROR(__xludf.DUMMYFUNCTION("""COMPUTED_VALUE"""),"")</f>
        <v/>
      </c>
      <c r="N5361" s="17" t="str">
        <f>IFERROR(__xludf.DUMMYFUNCTION("""COMPUTED_VALUE"""),"")</f>
        <v/>
      </c>
      <c r="O5361" s="17" t="str">
        <f>IFERROR(__xludf.DUMMYFUNCTION("""COMPUTED_VALUE"""),"")</f>
        <v/>
      </c>
      <c r="P5361" s="17" t="str">
        <f>IFERROR(__xludf.DUMMYFUNCTION("""COMPUTED_VALUE"""),"")</f>
        <v/>
      </c>
      <c r="Q5361" s="17" t="str">
        <f>IFERROR(__xludf.DUMMYFUNCTION("""COMPUTED_VALUE"""),"")</f>
        <v/>
      </c>
      <c r="R5361" s="17" t="str">
        <f>IFERROR(__xludf.DUMMYFUNCTION("""COMPUTED_VALUE"""),"")</f>
        <v/>
      </c>
    </row>
    <row r="5362">
      <c r="A5362" s="15">
        <f>IFERROR(__xludf.DUMMYFUNCTION("""COMPUTED_VALUE"""),45155.0)</f>
        <v>45155</v>
      </c>
      <c r="B5362" s="16" t="str">
        <f>IFERROR(__xludf.DUMMYFUNCTION("""COMPUTED_VALUE"""),"Juan José Giraldo (Sara)")</f>
        <v>Juan José Giraldo (Sara)</v>
      </c>
      <c r="C5362" s="15" t="str">
        <f>IFERROR(__xludf.DUMMYFUNCTION("""COMPUTED_VALUE"""),"CALI")</f>
        <v>CALI</v>
      </c>
      <c r="D5362" s="15" t="str">
        <f>IFERROR(__xludf.DUMMYFUNCTION("""COMPUTED_VALUE"""),"BOGOTÁ")</f>
        <v>BOGOTÁ</v>
      </c>
      <c r="E5362" s="15" t="str">
        <f>IFERROR(__xludf.DUMMYFUNCTION("""COMPUTED_VALUE"""),"Frambascolombia sas")</f>
        <v>Frambascolombia sas</v>
      </c>
      <c r="F5362" s="17" t="str">
        <f>IFERROR(__xludf.DUMMYFUNCTION("""COMPUTED_VALUE"""),"Cra 3 oeste # 3-18 / local 2")</f>
        <v>Cra 3 oeste # 3-18 / local 2</v>
      </c>
      <c r="G5362" s="15" t="str">
        <f>IFERROR(__xludf.DUMMYFUNCTION("""COMPUTED_VALUE"""),"D LILI CALI")</f>
        <v>D LILI CALI</v>
      </c>
      <c r="H5362" s="16">
        <f>IFERROR(__xludf.DUMMYFUNCTION("""COMPUTED_VALUE"""),14049.0)</f>
        <v>14049</v>
      </c>
      <c r="I5362" s="18" t="str">
        <f>IFERROR(__xludf.DUMMYFUNCTION("""COMPUTED_VALUE"""),"52.5")</f>
        <v>52.5</v>
      </c>
      <c r="J5362" s="18">
        <f>IFERROR(__xludf.DUMMYFUNCTION("""COMPUTED_VALUE"""),45.0)</f>
        <v>45</v>
      </c>
      <c r="K5362" s="18">
        <f>IFERROR(__xludf.DUMMYFUNCTION("""COMPUTED_VALUE"""),55.0)</f>
        <v>55</v>
      </c>
      <c r="L5362" s="17">
        <f>IFERROR(__xludf.DUMMYFUNCTION("""COMPUTED_VALUE"""),3.142892668E9)</f>
        <v>3142892668</v>
      </c>
      <c r="M5362" s="17" t="str">
        <f>IFERROR(__xludf.DUMMYFUNCTION("""COMPUTED_VALUE"""),"#REF!")</f>
        <v>#REF!</v>
      </c>
      <c r="N5362" s="17"/>
      <c r="O5362" s="17"/>
      <c r="P5362" s="17" t="b">
        <f>IFERROR(__xludf.DUMMYFUNCTION("""COMPUTED_VALUE"""),FALSE)</f>
        <v>0</v>
      </c>
      <c r="Q5362" s="20" t="str">
        <f>IFERROR(__xludf.DUMMYFUNCTION("""COMPUTED_VALUE"""),"")</f>
        <v/>
      </c>
      <c r="R5362" s="22" t="str">
        <f>IFERROR(__xludf.DUMMYFUNCTION("""COMPUTED_VALUE"""),"")</f>
        <v/>
      </c>
    </row>
    <row r="5363">
      <c r="A5363" s="15">
        <f>IFERROR(__xludf.DUMMYFUNCTION("""COMPUTED_VALUE"""),45155.0)</f>
        <v>45155</v>
      </c>
      <c r="B5363" s="16" t="str">
        <f>IFERROR(__xludf.DUMMYFUNCTION("""COMPUTED_VALUE"""),"Juan José Giraldo (Sara)")</f>
        <v>Juan José Giraldo (Sara)</v>
      </c>
      <c r="C5363" s="15" t="str">
        <f>IFERROR(__xludf.DUMMYFUNCTION("""COMPUTED_VALUE"""),"CALI")</f>
        <v>CALI</v>
      </c>
      <c r="D5363" s="15" t="str">
        <f>IFERROR(__xludf.DUMMYFUNCTION("""COMPUTED_VALUE"""),"BUCARAMANGA")</f>
        <v>BUCARAMANGA</v>
      </c>
      <c r="E5363" s="15" t="str">
        <f>IFERROR(__xludf.DUMMYFUNCTION("""COMPUTED_VALUE"""),"Yo Como Solito")</f>
        <v>Yo Como Solito</v>
      </c>
      <c r="F5363" s="17" t="str">
        <f>IFERROR(__xludf.DUMMYFUNCTION("""COMPUTED_VALUE"""),"CALLE 1B OESTE NO. 4 OESTE 209 APTO 504 PORTAL DE LA QUEBRADA / CALLE 1B OESTE NO. 4 OESTE 209 APTO 504 PORTAL DE LA QUEBRADA / CALLE 1B OESTE NO. 4 OESTE 209 APTO 504 PORTAL DE LA QUEBRADA")</f>
        <v>CALLE 1B OESTE NO. 4 OESTE 209 APTO 504 PORTAL DE LA QUEBRADA / CALLE 1B OESTE NO. 4 OESTE 209 APTO 504 PORTAL DE LA QUEBRADA / CALLE 1B OESTE NO. 4 OESTE 209 APTO 504 PORTAL DE LA QUEBRADA</v>
      </c>
      <c r="G5363" s="15" t="str">
        <f>IFERROR(__xludf.DUMMYFUNCTION("""COMPUTED_VALUE"""),"CAROLIA UPEGUI BECERRA")</f>
        <v>CAROLIA UPEGUI BECERRA</v>
      </c>
      <c r="H5363" s="16">
        <f>IFERROR(__xludf.DUMMYFUNCTION("""COMPUTED_VALUE"""),14006.0)</f>
        <v>14006</v>
      </c>
      <c r="I5363" s="18">
        <f>IFERROR(__xludf.DUMMYFUNCTION("""COMPUTED_VALUE"""),12.0)</f>
        <v>12</v>
      </c>
      <c r="J5363" s="18">
        <f>IFERROR(__xludf.DUMMYFUNCTION("""COMPUTED_VALUE"""),27.0)</f>
        <v>27</v>
      </c>
      <c r="K5363" s="18">
        <f>IFERROR(__xludf.DUMMYFUNCTION("""COMPUTED_VALUE"""),41.0)</f>
        <v>41</v>
      </c>
      <c r="L5363" s="17">
        <f>IFERROR(__xludf.DUMMYFUNCTION("""COMPUTED_VALUE"""),3.184095575E9)</f>
        <v>3184095575</v>
      </c>
      <c r="M5363" s="17" t="str">
        <f>IFERROR(__xludf.DUMMYFUNCTION("""COMPUTED_VALUE"""),"#REF!")</f>
        <v>#REF!</v>
      </c>
      <c r="N5363" s="17"/>
      <c r="O5363" s="17"/>
      <c r="P5363" s="17" t="b">
        <f>IFERROR(__xludf.DUMMYFUNCTION("""COMPUTED_VALUE"""),TRUE)</f>
        <v>1</v>
      </c>
      <c r="Q5363" s="20">
        <f>IFERROR(__xludf.DUMMYFUNCTION("""COMPUTED_VALUE"""),45160.616063877314)</f>
        <v>45160.61606</v>
      </c>
      <c r="R5363" s="22" t="str">
        <f>IFERROR(__xludf.DUMMYFUNCTION("""COMPUTED_VALUE"""),"")</f>
        <v/>
      </c>
    </row>
    <row r="5364">
      <c r="A5364" s="15">
        <f>IFERROR(__xludf.DUMMYFUNCTION("""COMPUTED_VALUE"""),45155.0)</f>
        <v>45155</v>
      </c>
      <c r="B5364" s="16" t="str">
        <f>IFERROR(__xludf.DUMMYFUNCTION("""COMPUTED_VALUE"""),"Juan José Giraldo (Sara)")</f>
        <v>Juan José Giraldo (Sara)</v>
      </c>
      <c r="C5364" s="15" t="str">
        <f>IFERROR(__xludf.DUMMYFUNCTION("""COMPUTED_VALUE"""),"TULUA")</f>
        <v>TULUA</v>
      </c>
      <c r="D5364" s="15" t="str">
        <f>IFERROR(__xludf.DUMMYFUNCTION("""COMPUTED_VALUE"""),"BOGOTÁ")</f>
        <v>BOGOTÁ</v>
      </c>
      <c r="E5364" s="15" t="str">
        <f>IFERROR(__xludf.DUMMYFUNCTION("""COMPUTED_VALUE"""),"Evamazzita")</f>
        <v>Evamazzita</v>
      </c>
      <c r="F5364" s="17" t="str">
        <f>IFERROR(__xludf.DUMMYFUNCTION("""COMPUTED_VALUE"""),"Cra 41 Este # 16B 81 / apto 106 Torre 8 / conjunto Sabana Grande")</f>
        <v>Cra 41 Este # 16B 81 / apto 106 Torre 8 / conjunto Sabana Grande</v>
      </c>
      <c r="G5364" s="15" t="str">
        <f>IFERROR(__xludf.DUMMYFUNCTION("""COMPUTED_VALUE"""),"YESSENIA CHALA TRUJILLO")</f>
        <v>YESSENIA CHALA TRUJILLO</v>
      </c>
      <c r="H5364" s="16">
        <f>IFERROR(__xludf.DUMMYFUNCTION("""COMPUTED_VALUE"""),14086.0)</f>
        <v>14086</v>
      </c>
      <c r="I5364" s="18">
        <f>IFERROR(__xludf.DUMMYFUNCTION("""COMPUTED_VALUE"""),8.0)</f>
        <v>8</v>
      </c>
      <c r="J5364" s="18">
        <f>IFERROR(__xludf.DUMMYFUNCTION("""COMPUTED_VALUE"""),18.0)</f>
        <v>18</v>
      </c>
      <c r="K5364" s="18">
        <f>IFERROR(__xludf.DUMMYFUNCTION("""COMPUTED_VALUE"""),20.0)</f>
        <v>20</v>
      </c>
      <c r="L5364" s="17">
        <f>IFERROR(__xludf.DUMMYFUNCTION("""COMPUTED_VALUE"""),3.218394286E9)</f>
        <v>3218394286</v>
      </c>
      <c r="M5364" s="17" t="str">
        <f>IFERROR(__xludf.DUMMYFUNCTION("""COMPUTED_VALUE"""),"#REF!")</f>
        <v>#REF!</v>
      </c>
      <c r="N5364" s="17"/>
      <c r="O5364" s="17"/>
      <c r="P5364" s="17" t="b">
        <f>IFERROR(__xludf.DUMMYFUNCTION("""COMPUTED_VALUE"""),FALSE)</f>
        <v>0</v>
      </c>
      <c r="Q5364" s="20" t="str">
        <f>IFERROR(__xludf.DUMMYFUNCTION("""COMPUTED_VALUE"""),"")</f>
        <v/>
      </c>
      <c r="R5364" s="22" t="str">
        <f>IFERROR(__xludf.DUMMYFUNCTION("""COMPUTED_VALUE"""),"")</f>
        <v/>
      </c>
    </row>
    <row r="5365">
      <c r="A5365" s="15">
        <f>IFERROR(__xludf.DUMMYFUNCTION("""COMPUTED_VALUE"""),45155.0)</f>
        <v>45155</v>
      </c>
      <c r="B5365" s="16" t="str">
        <f>IFERROR(__xludf.DUMMYFUNCTION("""COMPUTED_VALUE"""),"Juan José Giraldo (Sara)")</f>
        <v>Juan José Giraldo (Sara)</v>
      </c>
      <c r="C5365" s="15" t="str">
        <f>IFERROR(__xludf.DUMMYFUNCTION("""COMPUTED_VALUE"""),"TULUA")</f>
        <v>TULUA</v>
      </c>
      <c r="D5365" s="15" t="str">
        <f>IFERROR(__xludf.DUMMYFUNCTION("""COMPUTED_VALUE"""),"BUCARAMANGA")</f>
        <v>BUCARAMANGA</v>
      </c>
      <c r="E5365" s="15" t="str">
        <f>IFERROR(__xludf.DUMMYFUNCTION("""COMPUTED_VALUE"""),"Yo Como Solito")</f>
        <v>Yo Como Solito</v>
      </c>
      <c r="F5365" s="17" t="str">
        <f>IFERROR(__xludf.DUMMYFUNCTION("""COMPUTED_VALUE"""),"MANZANA 17  CASA 5 BOSQUES DE MARACAIBO / MANZANA 17  CASA 5 BOSQUES DE MARACAIBO / MANZANA 17  CASA 5 BOSQUES DE MARACAIBO")</f>
        <v>MANZANA 17  CASA 5 BOSQUES DE MARACAIBO / MANZANA 17  CASA 5 BOSQUES DE MARACAIBO / MANZANA 17  CASA 5 BOSQUES DE MARACAIBO</v>
      </c>
      <c r="G5365" s="15" t="str">
        <f>IFERROR(__xludf.DUMMYFUNCTION("""COMPUTED_VALUE"""),"DIANA MOLINA")</f>
        <v>DIANA MOLINA</v>
      </c>
      <c r="H5365" s="16">
        <f>IFERROR(__xludf.DUMMYFUNCTION("""COMPUTED_VALUE"""),13865.0)</f>
        <v>13865</v>
      </c>
      <c r="I5365" s="18">
        <f>IFERROR(__xludf.DUMMYFUNCTION("""COMPUTED_VALUE"""),17.0)</f>
        <v>17</v>
      </c>
      <c r="J5365" s="18">
        <f>IFERROR(__xludf.DUMMYFUNCTION("""COMPUTED_VALUE"""),32.0)</f>
        <v>32</v>
      </c>
      <c r="K5365" s="18">
        <f>IFERROR(__xludf.DUMMYFUNCTION("""COMPUTED_VALUE"""),46.0)</f>
        <v>46</v>
      </c>
      <c r="L5365" s="17">
        <f>IFERROR(__xludf.DUMMYFUNCTION("""COMPUTED_VALUE"""),3.104417918E9)</f>
        <v>3104417918</v>
      </c>
      <c r="M5365" s="17" t="str">
        <f>IFERROR(__xludf.DUMMYFUNCTION("""COMPUTED_VALUE"""),"#REF!")</f>
        <v>#REF!</v>
      </c>
      <c r="N5365" s="17"/>
      <c r="O5365" s="17"/>
      <c r="P5365" s="17" t="b">
        <f>IFERROR(__xludf.DUMMYFUNCTION("""COMPUTED_VALUE"""),FALSE)</f>
        <v>0</v>
      </c>
      <c r="Q5365" s="20" t="str">
        <f>IFERROR(__xludf.DUMMYFUNCTION("""COMPUTED_VALUE"""),"")</f>
        <v/>
      </c>
      <c r="R5365" s="22" t="str">
        <f>IFERROR(__xludf.DUMMYFUNCTION("""COMPUTED_VALUE"""),"")</f>
        <v/>
      </c>
    </row>
    <row r="5366">
      <c r="A5366" s="17" t="str">
        <f>IFERROR(__xludf.DUMMYFUNCTION("""COMPUTED_VALUE"""),"")</f>
        <v/>
      </c>
      <c r="B5366" s="17" t="str">
        <f>IFERROR(__xludf.DUMMYFUNCTION("""COMPUTED_VALUE"""),"")</f>
        <v/>
      </c>
      <c r="C5366" s="17" t="str">
        <f>IFERROR(__xludf.DUMMYFUNCTION("""COMPUTED_VALUE"""),"")</f>
        <v/>
      </c>
      <c r="D5366" s="17" t="str">
        <f>IFERROR(__xludf.DUMMYFUNCTION("""COMPUTED_VALUE"""),"")</f>
        <v/>
      </c>
      <c r="E5366" s="17" t="str">
        <f>IFERROR(__xludf.DUMMYFUNCTION("""COMPUTED_VALUE"""),"")</f>
        <v/>
      </c>
      <c r="F5366" s="17" t="str">
        <f>IFERROR(__xludf.DUMMYFUNCTION("""COMPUTED_VALUE"""),"")</f>
        <v/>
      </c>
      <c r="G5366" s="17" t="str">
        <f>IFERROR(__xludf.DUMMYFUNCTION("""COMPUTED_VALUE"""),"")</f>
        <v/>
      </c>
      <c r="H5366" s="17" t="str">
        <f>IFERROR(__xludf.DUMMYFUNCTION("""COMPUTED_VALUE"""),"")</f>
        <v/>
      </c>
      <c r="I5366" s="17" t="str">
        <f>IFERROR(__xludf.DUMMYFUNCTION("""COMPUTED_VALUE"""),"")</f>
        <v/>
      </c>
      <c r="J5366" s="17" t="str">
        <f>IFERROR(__xludf.DUMMYFUNCTION("""COMPUTED_VALUE"""),"")</f>
        <v/>
      </c>
      <c r="K5366" s="17" t="str">
        <f>IFERROR(__xludf.DUMMYFUNCTION("""COMPUTED_VALUE"""),"")</f>
        <v/>
      </c>
      <c r="L5366" s="17" t="str">
        <f>IFERROR(__xludf.DUMMYFUNCTION("""COMPUTED_VALUE"""),"")</f>
        <v/>
      </c>
      <c r="M5366" s="17" t="str">
        <f>IFERROR(__xludf.DUMMYFUNCTION("""COMPUTED_VALUE"""),"")</f>
        <v/>
      </c>
      <c r="N5366" s="17" t="str">
        <f>IFERROR(__xludf.DUMMYFUNCTION("""COMPUTED_VALUE"""),"")</f>
        <v/>
      </c>
      <c r="O5366" s="17" t="str">
        <f>IFERROR(__xludf.DUMMYFUNCTION("""COMPUTED_VALUE"""),"")</f>
        <v/>
      </c>
      <c r="P5366" s="17" t="str">
        <f>IFERROR(__xludf.DUMMYFUNCTION("""COMPUTED_VALUE"""),"")</f>
        <v/>
      </c>
      <c r="Q5366" s="17" t="str">
        <f>IFERROR(__xludf.DUMMYFUNCTION("""COMPUTED_VALUE"""),"")</f>
        <v/>
      </c>
      <c r="R5366" s="17" t="str">
        <f>IFERROR(__xludf.DUMMYFUNCTION("""COMPUTED_VALUE"""),"")</f>
        <v/>
      </c>
    </row>
    <row r="5367">
      <c r="A5367" s="15">
        <f>IFERROR(__xludf.DUMMYFUNCTION("""COMPUTED_VALUE"""),45155.0)</f>
        <v>45155</v>
      </c>
      <c r="B5367" s="16" t="str">
        <f>IFERROR(__xludf.DUMMYFUNCTION("""COMPUTED_VALUE"""),"Julian Calderon Rodriguez ")</f>
        <v>Julian Calderon Rodriguez </v>
      </c>
      <c r="C5367" s="15" t="str">
        <f>IFERROR(__xludf.DUMMYFUNCTION("""COMPUTED_VALUE"""),"NEIVA")</f>
        <v>NEIVA</v>
      </c>
      <c r="D5367" s="15" t="str">
        <f>IFERROR(__xludf.DUMMYFUNCTION("""COMPUTED_VALUE"""),"BOGOTÁ")</f>
        <v>BOGOTÁ</v>
      </c>
      <c r="E5367" s="15" t="str">
        <f>IFERROR(__xludf.DUMMYFUNCTION("""COMPUTED_VALUE"""),"Viiva Fermentados")</f>
        <v>Viiva Fermentados</v>
      </c>
      <c r="F5367" s="17" t="str">
        <f>IFERROR(__xludf.DUMMYFUNCTION("""COMPUTED_VALUE"""),"Calle 8 No. 30-121 / Tienda Ecovida / Las Brisas")</f>
        <v>Calle 8 No. 30-121 / Tienda Ecovida / Las Brisas</v>
      </c>
      <c r="G5367" s="15" t="str">
        <f>IFERROR(__xludf.DUMMYFUNCTION("""COMPUTED_VALUE"""),"Nury Dianey Vargas Bonilla - Ecovida")</f>
        <v>Nury Dianey Vargas Bonilla - Ecovida</v>
      </c>
      <c r="H5367" s="16">
        <f>IFERROR(__xludf.DUMMYFUNCTION("""COMPUTED_VALUE"""),13884.0)</f>
        <v>13884</v>
      </c>
      <c r="I5367" s="18">
        <f>IFERROR(__xludf.DUMMYFUNCTION("""COMPUTED_VALUE"""),25.0)</f>
        <v>25</v>
      </c>
      <c r="J5367" s="18">
        <f>IFERROR(__xludf.DUMMYFUNCTION("""COMPUTED_VALUE"""),24.0)</f>
        <v>24</v>
      </c>
      <c r="K5367" s="18">
        <f>IFERROR(__xludf.DUMMYFUNCTION("""COMPUTED_VALUE"""),36.0)</f>
        <v>36</v>
      </c>
      <c r="L5367" s="17">
        <f>IFERROR(__xludf.DUMMYFUNCTION("""COMPUTED_VALUE"""),3.16834206E9)</f>
        <v>3168342060</v>
      </c>
      <c r="M5367" s="17" t="str">
        <f>IFERROR(__xludf.DUMMYFUNCTION("""COMPUTED_VALUE"""),"#REF!")</f>
        <v>#REF!</v>
      </c>
      <c r="N5367" s="17"/>
      <c r="O5367" s="17"/>
      <c r="P5367" s="17" t="b">
        <f>IFERROR(__xludf.DUMMYFUNCTION("""COMPUTED_VALUE"""),TRUE)</f>
        <v>1</v>
      </c>
      <c r="Q5367" s="20">
        <f>IFERROR(__xludf.DUMMYFUNCTION("""COMPUTED_VALUE"""),45160.616063877314)</f>
        <v>45160.61606</v>
      </c>
      <c r="R5367" s="22" t="str">
        <f>IFERROR(__xludf.DUMMYFUNCTION("""COMPUTED_VALUE"""),"")</f>
        <v/>
      </c>
    </row>
    <row r="5368">
      <c r="A5368" s="15">
        <f>IFERROR(__xludf.DUMMYFUNCTION("""COMPUTED_VALUE"""),45155.0)</f>
        <v>45155</v>
      </c>
      <c r="B5368" s="16" t="str">
        <f>IFERROR(__xludf.DUMMYFUNCTION("""COMPUTED_VALUE"""),"Julian Calderon Rodriguez ")</f>
        <v>Julian Calderon Rodriguez </v>
      </c>
      <c r="C5368" s="15" t="str">
        <f>IFERROR(__xludf.DUMMYFUNCTION("""COMPUTED_VALUE"""),"NEIVA")</f>
        <v>NEIVA</v>
      </c>
      <c r="D5368" s="15" t="str">
        <f>IFERROR(__xludf.DUMMYFUNCTION("""COMPUTED_VALUE"""),"BOGOTÁ")</f>
        <v>BOGOTÁ</v>
      </c>
      <c r="E5368" s="15" t="str">
        <f>IFERROR(__xludf.DUMMYFUNCTION("""COMPUTED_VALUE"""),"Viiva Fermentados")</f>
        <v>Viiva Fermentados</v>
      </c>
      <c r="F5368" s="17" t="str">
        <f>IFERROR(__xludf.DUMMYFUNCTION("""COMPUTED_VALUE"""),"Carrera 7A #15-51, / EDIFICIO ATENEO / Neiva")</f>
        <v>Carrera 7A #15-51, / EDIFICIO ATENEO / Neiva</v>
      </c>
      <c r="G5368" s="15" t="str">
        <f>IFERROR(__xludf.DUMMYFUNCTION("""COMPUTED_VALUE"""),"Yolanda Giraldo")</f>
        <v>Yolanda Giraldo</v>
      </c>
      <c r="H5368" s="16">
        <f>IFERROR(__xludf.DUMMYFUNCTION("""COMPUTED_VALUE"""),13883.0)</f>
        <v>13883</v>
      </c>
      <c r="I5368" s="18">
        <f>IFERROR(__xludf.DUMMYFUNCTION("""COMPUTED_VALUE"""),20.0)</f>
        <v>20</v>
      </c>
      <c r="J5368" s="18">
        <f>IFERROR(__xludf.DUMMYFUNCTION("""COMPUTED_VALUE"""),18.0)</f>
        <v>18</v>
      </c>
      <c r="K5368" s="18">
        <f>IFERROR(__xludf.DUMMYFUNCTION("""COMPUTED_VALUE"""),18.0)</f>
        <v>18</v>
      </c>
      <c r="L5368" s="17">
        <f>IFERROR(__xludf.DUMMYFUNCTION("""COMPUTED_VALUE"""),3.163949051E9)</f>
        <v>3163949051</v>
      </c>
      <c r="M5368" s="17" t="str">
        <f>IFERROR(__xludf.DUMMYFUNCTION("""COMPUTED_VALUE"""),"#REF!")</f>
        <v>#REF!</v>
      </c>
      <c r="N5368" s="17"/>
      <c r="O5368" s="17"/>
      <c r="P5368" s="17" t="b">
        <f>IFERROR(__xludf.DUMMYFUNCTION("""COMPUTED_VALUE"""),FALSE)</f>
        <v>0</v>
      </c>
      <c r="Q5368" s="20" t="str">
        <f>IFERROR(__xludf.DUMMYFUNCTION("""COMPUTED_VALUE"""),"")</f>
        <v/>
      </c>
      <c r="R5368" s="22" t="str">
        <f>IFERROR(__xludf.DUMMYFUNCTION("""COMPUTED_VALUE"""),"")</f>
        <v/>
      </c>
    </row>
    <row r="5369">
      <c r="A5369" s="15">
        <f>IFERROR(__xludf.DUMMYFUNCTION("""COMPUTED_VALUE"""),45155.0)</f>
        <v>45155</v>
      </c>
      <c r="B5369" s="16" t="str">
        <f>IFERROR(__xludf.DUMMYFUNCTION("""COMPUTED_VALUE"""),"Julian Calderon Rodriguez ")</f>
        <v>Julian Calderon Rodriguez </v>
      </c>
      <c r="C5369" s="15" t="str">
        <f>IFERROR(__xludf.DUMMYFUNCTION("""COMPUTED_VALUE"""),"VILLAVICENCIO")</f>
        <v>VILLAVICENCIO</v>
      </c>
      <c r="D5369" s="15" t="str">
        <f>IFERROR(__xludf.DUMMYFUNCTION("""COMPUTED_VALUE"""),"BOGOTÁ")</f>
        <v>BOGOTÁ</v>
      </c>
      <c r="E5369" s="15" t="str">
        <f>IFERROR(__xludf.DUMMYFUNCTION("""COMPUTED_VALUE"""),"Evamazzita")</f>
        <v>Evamazzita</v>
      </c>
      <c r="F5369" s="17" t="str">
        <f>IFERROR(__xludf.DUMMYFUNCTION("""COMPUTED_VALUE"""),"Cra 41 Este # 16B 81 / apto 106 Torre 8 / conjunto Sabana Grande")</f>
        <v>Cra 41 Este # 16B 81 / apto 106 Torre 8 / conjunto Sabana Grande</v>
      </c>
      <c r="G5369" s="15" t="str">
        <f>IFERROR(__xludf.DUMMYFUNCTION("""COMPUTED_VALUE"""),"JEIMMY KATERINE  BERTEL CORTES")</f>
        <v>JEIMMY KATERINE  BERTEL CORTES</v>
      </c>
      <c r="H5369" s="16">
        <f>IFERROR(__xludf.DUMMYFUNCTION("""COMPUTED_VALUE"""),14087.0)</f>
        <v>14087</v>
      </c>
      <c r="I5369" s="18">
        <f>IFERROR(__xludf.DUMMYFUNCTION("""COMPUTED_VALUE"""),9.0)</f>
        <v>9</v>
      </c>
      <c r="J5369" s="18">
        <f>IFERROR(__xludf.DUMMYFUNCTION("""COMPUTED_VALUE"""),24.0)</f>
        <v>24</v>
      </c>
      <c r="K5369" s="18">
        <f>IFERROR(__xludf.DUMMYFUNCTION("""COMPUTED_VALUE"""),16.0)</f>
        <v>16</v>
      </c>
      <c r="L5369" s="17">
        <f>IFERROR(__xludf.DUMMYFUNCTION("""COMPUTED_VALUE"""),3.00235719E9)</f>
        <v>3002357190</v>
      </c>
      <c r="M5369" s="17" t="str">
        <f>IFERROR(__xludf.DUMMYFUNCTION("""COMPUTED_VALUE"""),"#REF!")</f>
        <v>#REF!</v>
      </c>
      <c r="N5369" s="17"/>
      <c r="O5369" s="17"/>
      <c r="P5369" s="17" t="b">
        <f>IFERROR(__xludf.DUMMYFUNCTION("""COMPUTED_VALUE"""),FALSE)</f>
        <v>0</v>
      </c>
      <c r="Q5369" s="20" t="str">
        <f>IFERROR(__xludf.DUMMYFUNCTION("""COMPUTED_VALUE"""),"")</f>
        <v/>
      </c>
      <c r="R5369" s="21" t="str">
        <f>IFERROR(__xludf.DUMMYFUNCTION("""COMPUTED_VALUE"""),"https://drive.google.com/file/d/188ea5cBfwEAxAlSQOKc9j72lqll_DZ9Y/view?usp=drivesdk")</f>
        <v>https://drive.google.com/file/d/188ea5cBfwEAxAlSQOKc9j72lqll_DZ9Y/view?usp=drivesdk</v>
      </c>
    </row>
    <row r="5370">
      <c r="A5370" s="15">
        <f>IFERROR(__xludf.DUMMYFUNCTION("""COMPUTED_VALUE"""),45155.0)</f>
        <v>45155</v>
      </c>
      <c r="B5370" s="16" t="str">
        <f>IFERROR(__xludf.DUMMYFUNCTION("""COMPUTED_VALUE"""),"Julian Calderon Rodriguez ")</f>
        <v>Julian Calderon Rodriguez </v>
      </c>
      <c r="C5370" s="15" t="str">
        <f>IFERROR(__xludf.DUMMYFUNCTION("""COMPUTED_VALUE"""),"VILLAVICENCIO")</f>
        <v>VILLAVICENCIO</v>
      </c>
      <c r="D5370" s="15" t="str">
        <f>IFERROR(__xludf.DUMMYFUNCTION("""COMPUTED_VALUE"""),"BOGOTÁ")</f>
        <v>BOGOTÁ</v>
      </c>
      <c r="E5370" s="15" t="str">
        <f>IFERROR(__xludf.DUMMYFUNCTION("""COMPUTED_VALUE"""),"Lunchy Kids")</f>
        <v>Lunchy Kids</v>
      </c>
      <c r="F5370" s="17" t="str">
        <f>IFERROR(__xludf.DUMMYFUNCTION("""COMPUTED_VALUE"""),"Manzana 12 casa 6A  / Bosques de Rosa Blanca  / Villavicencio")</f>
        <v>Manzana 12 casa 6A  / Bosques de Rosa Blanca  / Villavicencio</v>
      </c>
      <c r="G5370" s="15" t="str">
        <f>IFERROR(__xludf.DUMMYFUNCTION("""COMPUTED_VALUE"""),"Marcela Salazar")</f>
        <v>Marcela Salazar</v>
      </c>
      <c r="H5370" s="16">
        <f>IFERROR(__xludf.DUMMYFUNCTION("""COMPUTED_VALUE"""),14106.0)</f>
        <v>14106</v>
      </c>
      <c r="I5370" s="18">
        <f>IFERROR(__xludf.DUMMYFUNCTION("""COMPUTED_VALUE"""),9.0)</f>
        <v>9</v>
      </c>
      <c r="J5370" s="18">
        <f>IFERROR(__xludf.DUMMYFUNCTION("""COMPUTED_VALUE"""),30.0)</f>
        <v>30</v>
      </c>
      <c r="K5370" s="18">
        <f>IFERROR(__xludf.DUMMYFUNCTION("""COMPUTED_VALUE"""),20.0)</f>
        <v>20</v>
      </c>
      <c r="L5370" s="17">
        <f>IFERROR(__xludf.DUMMYFUNCTION("""COMPUTED_VALUE"""),3.133862898E9)</f>
        <v>3133862898</v>
      </c>
      <c r="M5370" s="17" t="str">
        <f>IFERROR(__xludf.DUMMYFUNCTION("""COMPUTED_VALUE"""),"#REF!")</f>
        <v>#REF!</v>
      </c>
      <c r="N5370" s="17"/>
      <c r="O5370" s="17"/>
      <c r="P5370" s="17" t="b">
        <f>IFERROR(__xludf.DUMMYFUNCTION("""COMPUTED_VALUE"""),FALSE)</f>
        <v>0</v>
      </c>
      <c r="Q5370" s="20" t="str">
        <f>IFERROR(__xludf.DUMMYFUNCTION("""COMPUTED_VALUE"""),"")</f>
        <v/>
      </c>
      <c r="R5370" s="21" t="str">
        <f>IFERROR(__xludf.DUMMYFUNCTION("""COMPUTED_VALUE"""),"https://drive.google.com/file/d/1qYxYo9n9ymOW_eVTEvzzFUt26HnKGKQ2/view?usp=drivesdk")</f>
        <v>https://drive.google.com/file/d/1qYxYo9n9ymOW_eVTEvzzFUt26HnKGKQ2/view?usp=drivesdk</v>
      </c>
    </row>
    <row r="5371">
      <c r="A5371" s="15">
        <f>IFERROR(__xludf.DUMMYFUNCTION("""COMPUTED_VALUE"""),45155.0)</f>
        <v>45155</v>
      </c>
      <c r="B5371" s="16" t="str">
        <f>IFERROR(__xludf.DUMMYFUNCTION("""COMPUTED_VALUE"""),"Julian Calderon Rodriguez ")</f>
        <v>Julian Calderon Rodriguez </v>
      </c>
      <c r="C5371" s="15" t="str">
        <f>IFERROR(__xludf.DUMMYFUNCTION("""COMPUTED_VALUE"""),"VILLAVICENCIO")</f>
        <v>VILLAVICENCIO</v>
      </c>
      <c r="D5371" s="15" t="str">
        <f>IFERROR(__xludf.DUMMYFUNCTION("""COMPUTED_VALUE"""),"BOGOTÁ")</f>
        <v>BOGOTÁ</v>
      </c>
      <c r="E5371" s="15" t="str">
        <f>IFERROR(__xludf.DUMMYFUNCTION("""COMPUTED_VALUE"""),"Mochi")</f>
        <v>Mochi</v>
      </c>
      <c r="F5371" s="17" t="str">
        <f>IFERROR(__xludf.DUMMYFUNCTION("""COMPUTED_VALUE"""),"Calle 7 Número 45 – 185 Quinta etapa, Villavicencio, Meta / Calle 7 Número 45 – 185 Quinta etapa, Villavicencio, Meta / Calle 7 Número 45 – 185 Quinta etapa, Villavicencio, Meta")</f>
        <v>Calle 7 Número 45 – 185 Quinta etapa, Villavicencio, Meta / Calle 7 Número 45 – 185 Quinta etapa, Villavicencio, Meta / Calle 7 Número 45 – 185 Quinta etapa, Villavicencio, Meta</v>
      </c>
      <c r="G5371" s="15" t="str">
        <f>IFERROR(__xludf.DUMMYFUNCTION("""COMPUTED_VALUE"""),"natalia daniela")</f>
        <v>natalia daniela</v>
      </c>
      <c r="H5371" s="16">
        <f>IFERROR(__xludf.DUMMYFUNCTION("""COMPUTED_VALUE"""),14117.0)</f>
        <v>14117</v>
      </c>
      <c r="I5371" s="18">
        <f>IFERROR(__xludf.DUMMYFUNCTION("""COMPUTED_VALUE"""),100.0)</f>
        <v>100</v>
      </c>
      <c r="J5371" s="18">
        <f>IFERROR(__xludf.DUMMYFUNCTION("""COMPUTED_VALUE"""),100.0)</f>
        <v>100</v>
      </c>
      <c r="K5371" s="18">
        <f>IFERROR(__xludf.DUMMYFUNCTION("""COMPUTED_VALUE"""),300.0)</f>
        <v>300</v>
      </c>
      <c r="L5371" s="17">
        <f>IFERROR(__xludf.DUMMYFUNCTION("""COMPUTED_VALUE"""),3.046482566E9)</f>
        <v>3046482566</v>
      </c>
      <c r="M5371" s="17" t="str">
        <f>IFERROR(__xludf.DUMMYFUNCTION("""COMPUTED_VALUE"""),"#REF!")</f>
        <v>#REF!</v>
      </c>
      <c r="N5371" s="17"/>
      <c r="O5371" s="17"/>
      <c r="P5371" s="17" t="b">
        <f>IFERROR(__xludf.DUMMYFUNCTION("""COMPUTED_VALUE"""),FALSE)</f>
        <v>0</v>
      </c>
      <c r="Q5371" s="20" t="str">
        <f>IFERROR(__xludf.DUMMYFUNCTION("""COMPUTED_VALUE"""),"")</f>
        <v/>
      </c>
      <c r="R5371" s="22" t="str">
        <f>IFERROR(__xludf.DUMMYFUNCTION("""COMPUTED_VALUE"""),"")</f>
        <v/>
      </c>
    </row>
    <row r="5372">
      <c r="A5372" s="17" t="str">
        <f>IFERROR(__xludf.DUMMYFUNCTION("""COMPUTED_VALUE"""),"")</f>
        <v/>
      </c>
      <c r="B5372" s="17" t="str">
        <f>IFERROR(__xludf.DUMMYFUNCTION("""COMPUTED_VALUE"""),"")</f>
        <v/>
      </c>
      <c r="C5372" s="17" t="str">
        <f>IFERROR(__xludf.DUMMYFUNCTION("""COMPUTED_VALUE"""),"")</f>
        <v/>
      </c>
      <c r="D5372" s="17" t="str">
        <f>IFERROR(__xludf.DUMMYFUNCTION("""COMPUTED_VALUE"""),"")</f>
        <v/>
      </c>
      <c r="E5372" s="17" t="str">
        <f>IFERROR(__xludf.DUMMYFUNCTION("""COMPUTED_VALUE"""),"")</f>
        <v/>
      </c>
      <c r="F5372" s="17" t="str">
        <f>IFERROR(__xludf.DUMMYFUNCTION("""COMPUTED_VALUE"""),"")</f>
        <v/>
      </c>
      <c r="G5372" s="17" t="str">
        <f>IFERROR(__xludf.DUMMYFUNCTION("""COMPUTED_VALUE"""),"")</f>
        <v/>
      </c>
      <c r="H5372" s="17" t="str">
        <f>IFERROR(__xludf.DUMMYFUNCTION("""COMPUTED_VALUE"""),"")</f>
        <v/>
      </c>
      <c r="I5372" s="17" t="str">
        <f>IFERROR(__xludf.DUMMYFUNCTION("""COMPUTED_VALUE"""),"")</f>
        <v/>
      </c>
      <c r="J5372" s="17" t="str">
        <f>IFERROR(__xludf.DUMMYFUNCTION("""COMPUTED_VALUE"""),"")</f>
        <v/>
      </c>
      <c r="K5372" s="17" t="str">
        <f>IFERROR(__xludf.DUMMYFUNCTION("""COMPUTED_VALUE"""),"")</f>
        <v/>
      </c>
      <c r="L5372" s="17" t="str">
        <f>IFERROR(__xludf.DUMMYFUNCTION("""COMPUTED_VALUE"""),"")</f>
        <v/>
      </c>
      <c r="M5372" s="17" t="str">
        <f>IFERROR(__xludf.DUMMYFUNCTION("""COMPUTED_VALUE"""),"")</f>
        <v/>
      </c>
      <c r="N5372" s="17" t="str">
        <f>IFERROR(__xludf.DUMMYFUNCTION("""COMPUTED_VALUE"""),"")</f>
        <v/>
      </c>
      <c r="O5372" s="17" t="str">
        <f>IFERROR(__xludf.DUMMYFUNCTION("""COMPUTED_VALUE"""),"")</f>
        <v/>
      </c>
      <c r="P5372" s="17" t="str">
        <f>IFERROR(__xludf.DUMMYFUNCTION("""COMPUTED_VALUE"""),"")</f>
        <v/>
      </c>
      <c r="Q5372" s="17" t="str">
        <f>IFERROR(__xludf.DUMMYFUNCTION("""COMPUTED_VALUE"""),"")</f>
        <v/>
      </c>
      <c r="R5372" s="17" t="str">
        <f>IFERROR(__xludf.DUMMYFUNCTION("""COMPUTED_VALUE"""),"")</f>
        <v/>
      </c>
    </row>
    <row r="5373">
      <c r="A5373" s="15">
        <f>IFERROR(__xludf.DUMMYFUNCTION("""COMPUTED_VALUE"""),45155.0)</f>
        <v>45155</v>
      </c>
      <c r="B5373" s="16" t="str">
        <f>IFERROR(__xludf.DUMMYFUNCTION("""COMPUTED_VALUE"""),"Santiago Garces Restrepo")</f>
        <v>Santiago Garces Restrepo</v>
      </c>
      <c r="C5373" s="15" t="str">
        <f>IFERROR(__xludf.DUMMYFUNCTION("""COMPUTED_VALUE"""),"TULUA")</f>
        <v>TULUA</v>
      </c>
      <c r="D5373" s="15" t="str">
        <f>IFERROR(__xludf.DUMMYFUNCTION("""COMPUTED_VALUE"""),"BUCARAMANGA")</f>
        <v>BUCARAMANGA</v>
      </c>
      <c r="E5373" s="15" t="str">
        <f>IFERROR(__xludf.DUMMYFUNCTION("""COMPUTED_VALUE"""),"Yo Como Solito")</f>
        <v>Yo Como Solito</v>
      </c>
      <c r="F5373" s="17" t="str">
        <f>IFERROR(__xludf.DUMMYFUNCTION("""COMPUTED_VALUE"""),"MANZANA 17  CASA 5 BOSQUES DE MARACAIBO / MANZANA 17  CASA 5 BOSQUES DE MARACAIBO / MANZANA 17  CASA 5 BOSQUES DE MARACAIBO")</f>
        <v>MANZANA 17  CASA 5 BOSQUES DE MARACAIBO / MANZANA 17  CASA 5 BOSQUES DE MARACAIBO / MANZANA 17  CASA 5 BOSQUES DE MARACAIBO</v>
      </c>
      <c r="G5373" s="15" t="str">
        <f>IFERROR(__xludf.DUMMYFUNCTION("""COMPUTED_VALUE"""),"DIANA MOLINA")</f>
        <v>DIANA MOLINA</v>
      </c>
      <c r="H5373" s="16">
        <f>IFERROR(__xludf.DUMMYFUNCTION("""COMPUTED_VALUE"""),13867.0)</f>
        <v>13867</v>
      </c>
      <c r="I5373" s="18">
        <f>IFERROR(__xludf.DUMMYFUNCTION("""COMPUTED_VALUE"""),25.0)</f>
        <v>25</v>
      </c>
      <c r="J5373" s="18">
        <f>IFERROR(__xludf.DUMMYFUNCTION("""COMPUTED_VALUE"""),39.0)</f>
        <v>39</v>
      </c>
      <c r="K5373" s="18">
        <f>IFERROR(__xludf.DUMMYFUNCTION("""COMPUTED_VALUE"""),25.0)</f>
        <v>25</v>
      </c>
      <c r="L5373" s="17">
        <f>IFERROR(__xludf.DUMMYFUNCTION("""COMPUTED_VALUE"""),3.104417918E9)</f>
        <v>3104417918</v>
      </c>
      <c r="M5373" s="17" t="str">
        <f>IFERROR(__xludf.DUMMYFUNCTION("""COMPUTED_VALUE"""),"#REF!")</f>
        <v>#REF!</v>
      </c>
      <c r="N5373" s="17"/>
      <c r="O5373" s="17"/>
      <c r="P5373" s="17" t="b">
        <f>IFERROR(__xludf.DUMMYFUNCTION("""COMPUTED_VALUE"""),FALSE)</f>
        <v>0</v>
      </c>
      <c r="Q5373" s="20" t="str">
        <f>IFERROR(__xludf.DUMMYFUNCTION("""COMPUTED_VALUE"""),"")</f>
        <v/>
      </c>
      <c r="R5373" s="22" t="str">
        <f>IFERROR(__xludf.DUMMYFUNCTION("""COMPUTED_VALUE"""),"")</f>
        <v/>
      </c>
    </row>
    <row r="5374">
      <c r="A5374" s="17" t="str">
        <f>IFERROR(__xludf.DUMMYFUNCTION("""COMPUTED_VALUE"""),"")</f>
        <v/>
      </c>
      <c r="B5374" s="17" t="str">
        <f>IFERROR(__xludf.DUMMYFUNCTION("""COMPUTED_VALUE"""),"")</f>
        <v/>
      </c>
      <c r="C5374" s="17" t="str">
        <f>IFERROR(__xludf.DUMMYFUNCTION("""COMPUTED_VALUE"""),"")</f>
        <v/>
      </c>
      <c r="D5374" s="17" t="str">
        <f>IFERROR(__xludf.DUMMYFUNCTION("""COMPUTED_VALUE"""),"")</f>
        <v/>
      </c>
      <c r="E5374" s="17" t="str">
        <f>IFERROR(__xludf.DUMMYFUNCTION("""COMPUTED_VALUE"""),"")</f>
        <v/>
      </c>
      <c r="F5374" s="17" t="str">
        <f>IFERROR(__xludf.DUMMYFUNCTION("""COMPUTED_VALUE"""),"")</f>
        <v/>
      </c>
      <c r="G5374" s="17" t="str">
        <f>IFERROR(__xludf.DUMMYFUNCTION("""COMPUTED_VALUE"""),"")</f>
        <v/>
      </c>
      <c r="H5374" s="17" t="str">
        <f>IFERROR(__xludf.DUMMYFUNCTION("""COMPUTED_VALUE"""),"")</f>
        <v/>
      </c>
      <c r="I5374" s="17" t="str">
        <f>IFERROR(__xludf.DUMMYFUNCTION("""COMPUTED_VALUE"""),"")</f>
        <v/>
      </c>
      <c r="J5374" s="17" t="str">
        <f>IFERROR(__xludf.DUMMYFUNCTION("""COMPUTED_VALUE"""),"")</f>
        <v/>
      </c>
      <c r="K5374" s="17" t="str">
        <f>IFERROR(__xludf.DUMMYFUNCTION("""COMPUTED_VALUE"""),"")</f>
        <v/>
      </c>
      <c r="L5374" s="17" t="str">
        <f>IFERROR(__xludf.DUMMYFUNCTION("""COMPUTED_VALUE"""),"")</f>
        <v/>
      </c>
      <c r="M5374" s="17" t="str">
        <f>IFERROR(__xludf.DUMMYFUNCTION("""COMPUTED_VALUE"""),"")</f>
        <v/>
      </c>
      <c r="N5374" s="17" t="str">
        <f>IFERROR(__xludf.DUMMYFUNCTION("""COMPUTED_VALUE"""),"")</f>
        <v/>
      </c>
      <c r="O5374" s="17" t="str">
        <f>IFERROR(__xludf.DUMMYFUNCTION("""COMPUTED_VALUE"""),"")</f>
        <v/>
      </c>
      <c r="P5374" s="17" t="str">
        <f>IFERROR(__xludf.DUMMYFUNCTION("""COMPUTED_VALUE"""),"")</f>
        <v/>
      </c>
      <c r="Q5374" s="17" t="str">
        <f>IFERROR(__xludf.DUMMYFUNCTION("""COMPUTED_VALUE"""),"")</f>
        <v/>
      </c>
      <c r="R5374" s="17" t="str">
        <f>IFERROR(__xludf.DUMMYFUNCTION("""COMPUTED_VALUE"""),"")</f>
        <v/>
      </c>
    </row>
    <row r="5375">
      <c r="A5375" s="15">
        <f>IFERROR(__xludf.DUMMYFUNCTION("""COMPUTED_VALUE"""),45156.0)</f>
        <v>45156</v>
      </c>
      <c r="B5375" s="17"/>
      <c r="C5375" s="15" t="str">
        <f>IFERROR(__xludf.DUMMYFUNCTION("""COMPUTED_VALUE"""),"CÚCUTA")</f>
        <v>CÚCUTA</v>
      </c>
      <c r="D5375" s="15" t="str">
        <f>IFERROR(__xludf.DUMMYFUNCTION("""COMPUTED_VALUE"""),"MEDELLÍN")</f>
        <v>MEDELLÍN</v>
      </c>
      <c r="E5375" s="15" t="str">
        <f>IFERROR(__xludf.DUMMYFUNCTION("""COMPUTED_VALUE"""),"Rambla")</f>
        <v>Rambla</v>
      </c>
      <c r="F5375" s="17" t="str">
        <f>IFERROR(__xludf.DUMMYFUNCTION("""COMPUTED_VALUE"""),"Av 2E # 15A -17 Caobos / - / -")</f>
        <v>Av 2E # 15A -17 Caobos / - / -</v>
      </c>
      <c r="G5375" s="15" t="str">
        <f>IFERROR(__xludf.DUMMYFUNCTION("""COMPUTED_VALUE"""),"Pistacho")</f>
        <v>Pistacho</v>
      </c>
      <c r="H5375" s="16">
        <f>IFERROR(__xludf.DUMMYFUNCTION("""COMPUTED_VALUE"""),14119.0)</f>
        <v>14119</v>
      </c>
      <c r="I5375" s="18">
        <f>IFERROR(__xludf.DUMMYFUNCTION("""COMPUTED_VALUE"""),24.0)</f>
        <v>24</v>
      </c>
      <c r="J5375" s="18">
        <f>IFERROR(__xludf.DUMMYFUNCTION("""COMPUTED_VALUE"""),24.0)</f>
        <v>24</v>
      </c>
      <c r="K5375" s="18">
        <f>IFERROR(__xludf.DUMMYFUNCTION("""COMPUTED_VALUE"""),22.0)</f>
        <v>22</v>
      </c>
      <c r="L5375" s="17">
        <f>IFERROR(__xludf.DUMMYFUNCTION("""COMPUTED_VALUE"""),3.133032295E9)</f>
        <v>3133032295</v>
      </c>
      <c r="M5375" s="17" t="str">
        <f>IFERROR(__xludf.DUMMYFUNCTION("""COMPUTED_VALUE"""),"#REF!")</f>
        <v>#REF!</v>
      </c>
      <c r="N5375" s="17"/>
      <c r="O5375" s="17"/>
      <c r="P5375" s="17" t="b">
        <f>IFERROR(__xludf.DUMMYFUNCTION("""COMPUTED_VALUE"""),TRUE)</f>
        <v>1</v>
      </c>
      <c r="Q5375" s="20">
        <f>IFERROR(__xludf.DUMMYFUNCTION("""COMPUTED_VALUE"""),45156.59510116898)</f>
        <v>45156.5951</v>
      </c>
      <c r="R5375" s="22" t="str">
        <f>IFERROR(__xludf.DUMMYFUNCTION("""COMPUTED_VALUE"""),"")</f>
        <v/>
      </c>
    </row>
    <row r="5376">
      <c r="A5376" s="15">
        <f>IFERROR(__xludf.DUMMYFUNCTION("""COMPUTED_VALUE"""),45156.0)</f>
        <v>45156</v>
      </c>
      <c r="B5376" s="17"/>
      <c r="C5376" s="15" t="str">
        <f>IFERROR(__xludf.DUMMYFUNCTION("""COMPUTED_VALUE"""),"IBAGUÉ")</f>
        <v>IBAGUÉ</v>
      </c>
      <c r="D5376" s="15" t="str">
        <f>IFERROR(__xludf.DUMMYFUNCTION("""COMPUTED_VALUE"""),"BOGOTÁ")</f>
        <v>BOGOTÁ</v>
      </c>
      <c r="E5376" s="15" t="str">
        <f>IFERROR(__xludf.DUMMYFUNCTION("""COMPUTED_VALUE"""),"Frambascolombia sas")</f>
        <v>Frambascolombia sas</v>
      </c>
      <c r="F5376" s="17" t="str">
        <f>IFERROR(__xludf.DUMMYFUNCTION("""COMPUTED_VALUE"""),"CR 16 Sur # 96-48 / local 2")</f>
        <v>CR 16 Sur # 96-48 / local 2</v>
      </c>
      <c r="G5376" s="15" t="str">
        <f>IFERROR(__xludf.DUMMYFUNCTION("""COMPUTED_VALUE"""),"EQUILIBRIO SANA NUTRICION")</f>
        <v>EQUILIBRIO SANA NUTRICION</v>
      </c>
      <c r="H5376" s="16">
        <f>IFERROR(__xludf.DUMMYFUNCTION("""COMPUTED_VALUE"""),13999.0)</f>
        <v>13999</v>
      </c>
      <c r="I5376" s="18">
        <f>IFERROR(__xludf.DUMMYFUNCTION("""COMPUTED_VALUE"""),45057.0)</f>
        <v>45057</v>
      </c>
      <c r="J5376" s="18">
        <f>IFERROR(__xludf.DUMMYFUNCTION("""COMPUTED_VALUE"""),10.0)</f>
        <v>10</v>
      </c>
      <c r="K5376" s="18">
        <f>IFERROR(__xludf.DUMMYFUNCTION("""COMPUTED_VALUE"""),10.0)</f>
        <v>10</v>
      </c>
      <c r="L5376" s="17">
        <f>IFERROR(__xludf.DUMMYFUNCTION("""COMPUTED_VALUE"""),3.116192364E9)</f>
        <v>3116192364</v>
      </c>
      <c r="M5376" s="17" t="str">
        <f>IFERROR(__xludf.DUMMYFUNCTION("""COMPUTED_VALUE"""),"#REF!")</f>
        <v>#REF!</v>
      </c>
      <c r="N5376" s="17"/>
      <c r="O5376" s="17"/>
      <c r="P5376" s="17" t="b">
        <f>IFERROR(__xludf.DUMMYFUNCTION("""COMPUTED_VALUE"""),FALSE)</f>
        <v>0</v>
      </c>
      <c r="Q5376" s="20" t="str">
        <f>IFERROR(__xludf.DUMMYFUNCTION("""COMPUTED_VALUE"""),"")</f>
        <v/>
      </c>
      <c r="R5376" s="22" t="str">
        <f>IFERROR(__xludf.DUMMYFUNCTION("""COMPUTED_VALUE"""),"")</f>
        <v/>
      </c>
    </row>
    <row r="5377">
      <c r="A5377" s="17" t="str">
        <f>IFERROR(__xludf.DUMMYFUNCTION("""COMPUTED_VALUE"""),"")</f>
        <v/>
      </c>
      <c r="B5377" s="17" t="str">
        <f>IFERROR(__xludf.DUMMYFUNCTION("""COMPUTED_VALUE"""),"")</f>
        <v/>
      </c>
      <c r="C5377" s="17" t="str">
        <f>IFERROR(__xludf.DUMMYFUNCTION("""COMPUTED_VALUE"""),"")</f>
        <v/>
      </c>
      <c r="D5377" s="17" t="str">
        <f>IFERROR(__xludf.DUMMYFUNCTION("""COMPUTED_VALUE"""),"")</f>
        <v/>
      </c>
      <c r="E5377" s="17" t="str">
        <f>IFERROR(__xludf.DUMMYFUNCTION("""COMPUTED_VALUE"""),"")</f>
        <v/>
      </c>
      <c r="F5377" s="17" t="str">
        <f>IFERROR(__xludf.DUMMYFUNCTION("""COMPUTED_VALUE"""),"")</f>
        <v/>
      </c>
      <c r="G5377" s="17" t="str">
        <f>IFERROR(__xludf.DUMMYFUNCTION("""COMPUTED_VALUE"""),"")</f>
        <v/>
      </c>
      <c r="H5377" s="17" t="str">
        <f>IFERROR(__xludf.DUMMYFUNCTION("""COMPUTED_VALUE"""),"")</f>
        <v/>
      </c>
      <c r="I5377" s="17" t="str">
        <f>IFERROR(__xludf.DUMMYFUNCTION("""COMPUTED_VALUE"""),"")</f>
        <v/>
      </c>
      <c r="J5377" s="17" t="str">
        <f>IFERROR(__xludf.DUMMYFUNCTION("""COMPUTED_VALUE"""),"")</f>
        <v/>
      </c>
      <c r="K5377" s="17" t="str">
        <f>IFERROR(__xludf.DUMMYFUNCTION("""COMPUTED_VALUE"""),"")</f>
        <v/>
      </c>
      <c r="L5377" s="17" t="str">
        <f>IFERROR(__xludf.DUMMYFUNCTION("""COMPUTED_VALUE"""),"")</f>
        <v/>
      </c>
      <c r="M5377" s="17" t="str">
        <f>IFERROR(__xludf.DUMMYFUNCTION("""COMPUTED_VALUE"""),"")</f>
        <v/>
      </c>
      <c r="N5377" s="17" t="str">
        <f>IFERROR(__xludf.DUMMYFUNCTION("""COMPUTED_VALUE"""),"")</f>
        <v/>
      </c>
      <c r="O5377" s="17" t="str">
        <f>IFERROR(__xludf.DUMMYFUNCTION("""COMPUTED_VALUE"""),"")</f>
        <v/>
      </c>
      <c r="P5377" s="17" t="str">
        <f>IFERROR(__xludf.DUMMYFUNCTION("""COMPUTED_VALUE"""),"")</f>
        <v/>
      </c>
      <c r="Q5377" s="17" t="str">
        <f>IFERROR(__xludf.DUMMYFUNCTION("""COMPUTED_VALUE"""),"")</f>
        <v/>
      </c>
      <c r="R5377" s="17" t="str">
        <f>IFERROR(__xludf.DUMMYFUNCTION("""COMPUTED_VALUE"""),"")</f>
        <v/>
      </c>
    </row>
    <row r="5378">
      <c r="A5378" s="15">
        <f>IFERROR(__xludf.DUMMYFUNCTION("""COMPUTED_VALUE"""),45156.0)</f>
        <v>45156</v>
      </c>
      <c r="B5378" s="16" t="str">
        <f>IFERROR(__xludf.DUMMYFUNCTION("""COMPUTED_VALUE"""),"Daniel José sandoval gonzalez")</f>
        <v>Daniel José sandoval gonzalez</v>
      </c>
      <c r="C5378" s="15" t="str">
        <f>IFERROR(__xludf.DUMMYFUNCTION("""COMPUTED_VALUE"""),"BARRANQUILLA")</f>
        <v>BARRANQUILLA</v>
      </c>
      <c r="D5378" s="15" t="str">
        <f>IFERROR(__xludf.DUMMYFUNCTION("""COMPUTED_VALUE"""),"BOGOTÁ")</f>
        <v>BOGOTÁ</v>
      </c>
      <c r="E5378" s="15" t="str">
        <f>IFERROR(__xludf.DUMMYFUNCTION("""COMPUTED_VALUE"""),"Evamazzita")</f>
        <v>Evamazzita</v>
      </c>
      <c r="F5378" s="17" t="str">
        <f>IFERROR(__xludf.DUMMYFUNCTION("""COMPUTED_VALUE"""),"CALLE 114 No. 43 - 204 / APTO 403 TORRE 1 / APTO 403 TORRE 1")</f>
        <v>CALLE 114 No. 43 - 204 / APTO 403 TORRE 1 / APTO 403 TORRE 1</v>
      </c>
      <c r="G5378" s="15" t="str">
        <f>IFERROR(__xludf.DUMMYFUNCTION("""COMPUTED_VALUE"""),"SHIRLIS NAYITH PACHECO BOCANEGRA")</f>
        <v>SHIRLIS NAYITH PACHECO BOCANEGRA</v>
      </c>
      <c r="H5378" s="16">
        <f>IFERROR(__xludf.DUMMYFUNCTION("""COMPUTED_VALUE"""),14084.0)</f>
        <v>14084</v>
      </c>
      <c r="I5378" s="18">
        <f>IFERROR(__xludf.DUMMYFUNCTION("""COMPUTED_VALUE"""),1.0)</f>
        <v>1</v>
      </c>
      <c r="J5378" s="18">
        <f>IFERROR(__xludf.DUMMYFUNCTION("""COMPUTED_VALUE"""),1.0)</f>
        <v>1</v>
      </c>
      <c r="K5378" s="18">
        <f>IFERROR(__xludf.DUMMYFUNCTION("""COMPUTED_VALUE"""),1.0)</f>
        <v>1</v>
      </c>
      <c r="L5378" s="17">
        <f>IFERROR(__xludf.DUMMYFUNCTION("""COMPUTED_VALUE"""),3.218338059E9)</f>
        <v>3218338059</v>
      </c>
      <c r="M5378" s="17" t="str">
        <f>IFERROR(__xludf.DUMMYFUNCTION("""COMPUTED_VALUE"""),"#REF!")</f>
        <v>#REF!</v>
      </c>
      <c r="N5378" s="17"/>
      <c r="O5378" s="17"/>
      <c r="P5378" s="17" t="b">
        <f>IFERROR(__xludf.DUMMYFUNCTION("""COMPUTED_VALUE"""),TRUE)</f>
        <v>1</v>
      </c>
      <c r="Q5378" s="20">
        <f>IFERROR(__xludf.DUMMYFUNCTION("""COMPUTED_VALUE"""),45156.464017997685)</f>
        <v>45156.46402</v>
      </c>
      <c r="R5378" s="21" t="str">
        <f>IFERROR(__xludf.DUMMYFUNCTION("""COMPUTED_VALUE"""),"https://drive.google.com/file/d/1Rug7H4ZJBNT5JL8vWuSk8LRy74bahZLO/view?usp=drivesdk")</f>
        <v>https://drive.google.com/file/d/1Rug7H4ZJBNT5JL8vWuSk8LRy74bahZLO/view?usp=drivesdk</v>
      </c>
    </row>
    <row r="5379">
      <c r="A5379" s="15">
        <f>IFERROR(__xludf.DUMMYFUNCTION("""COMPUTED_VALUE"""),45156.0)</f>
        <v>45156</v>
      </c>
      <c r="B5379" s="16" t="str">
        <f>IFERROR(__xludf.DUMMYFUNCTION("""COMPUTED_VALUE"""),"Daniel José sandoval gonzalez")</f>
        <v>Daniel José sandoval gonzalez</v>
      </c>
      <c r="C5379" s="15" t="str">
        <f>IFERROR(__xludf.DUMMYFUNCTION("""COMPUTED_VALUE"""),"BARRANQUILLA")</f>
        <v>BARRANQUILLA</v>
      </c>
      <c r="D5379" s="15" t="str">
        <f>IFERROR(__xludf.DUMMYFUNCTION("""COMPUTED_VALUE"""),"BOGOTÁ")</f>
        <v>BOGOTÁ</v>
      </c>
      <c r="E5379" s="15" t="str">
        <f>IFERROR(__xludf.DUMMYFUNCTION("""COMPUTED_VALUE"""),"Evamazzita")</f>
        <v>Evamazzita</v>
      </c>
      <c r="F5379" s="17" t="str">
        <f>IFERROR(__xludf.DUMMYFUNCTION("""COMPUTED_VALUE"""),"cra 44 # 85 - 130 / apto 701, edificio Évora 85 / Barrio La campiña")</f>
        <v>cra 44 # 85 - 130 / apto 701, edificio Évora 85 / Barrio La campiña</v>
      </c>
      <c r="G5379" s="15" t="str">
        <f>IFERROR(__xludf.DUMMYFUNCTION("""COMPUTED_VALUE"""),"SANDRA HAMBURGER ACOSTA")</f>
        <v>SANDRA HAMBURGER ACOSTA</v>
      </c>
      <c r="H5379" s="16">
        <f>IFERROR(__xludf.DUMMYFUNCTION("""COMPUTED_VALUE"""),14083.0)</f>
        <v>14083</v>
      </c>
      <c r="I5379" s="18">
        <f>IFERROR(__xludf.DUMMYFUNCTION("""COMPUTED_VALUE"""),1.0)</f>
        <v>1</v>
      </c>
      <c r="J5379" s="18">
        <f>IFERROR(__xludf.DUMMYFUNCTION("""COMPUTED_VALUE"""),1.0)</f>
        <v>1</v>
      </c>
      <c r="K5379" s="18">
        <f>IFERROR(__xludf.DUMMYFUNCTION("""COMPUTED_VALUE"""),1.0)</f>
        <v>1</v>
      </c>
      <c r="L5379" s="17">
        <f>IFERROR(__xludf.DUMMYFUNCTION("""COMPUTED_VALUE"""),3.00893007E9)</f>
        <v>3008930070</v>
      </c>
      <c r="M5379" s="17" t="str">
        <f>IFERROR(__xludf.DUMMYFUNCTION("""COMPUTED_VALUE"""),"#REF!")</f>
        <v>#REF!</v>
      </c>
      <c r="N5379" s="17"/>
      <c r="O5379" s="17"/>
      <c r="P5379" s="17" t="b">
        <f>IFERROR(__xludf.DUMMYFUNCTION("""COMPUTED_VALUE"""),FALSE)</f>
        <v>0</v>
      </c>
      <c r="Q5379" s="20" t="str">
        <f>IFERROR(__xludf.DUMMYFUNCTION("""COMPUTED_VALUE"""),"")</f>
        <v/>
      </c>
      <c r="R5379" s="21" t="str">
        <f>IFERROR(__xludf.DUMMYFUNCTION("""COMPUTED_VALUE"""),"https://drive.google.com/file/d/1Xd2yJ5gJTv2QOf3DrfIvFk-oo3jzqGNR/view?usp=drivesdk")</f>
        <v>https://drive.google.com/file/d/1Xd2yJ5gJTv2QOf3DrfIvFk-oo3jzqGNR/view?usp=drivesdk</v>
      </c>
    </row>
    <row r="5380">
      <c r="A5380" s="15">
        <f>IFERROR(__xludf.DUMMYFUNCTION("""COMPUTED_VALUE"""),45156.0)</f>
        <v>45156</v>
      </c>
      <c r="B5380" s="16" t="str">
        <f>IFERROR(__xludf.DUMMYFUNCTION("""COMPUTED_VALUE"""),"Daniel José sandoval gonzalez")</f>
        <v>Daniel José sandoval gonzalez</v>
      </c>
      <c r="C5380" s="15" t="str">
        <f>IFERROR(__xludf.DUMMYFUNCTION("""COMPUTED_VALUE"""),"BARRANQUILLA")</f>
        <v>BARRANQUILLA</v>
      </c>
      <c r="D5380" s="15" t="str">
        <f>IFERROR(__xludf.DUMMYFUNCTION("""COMPUTED_VALUE"""),"BOGOTÁ")</f>
        <v>BOGOTÁ</v>
      </c>
      <c r="E5380" s="15" t="str">
        <f>IFERROR(__xludf.DUMMYFUNCTION("""COMPUTED_VALUE"""),"Loomifoods")</f>
        <v>Loomifoods</v>
      </c>
      <c r="F5380" s="17" t="str">
        <f>IFERROR(__xludf.DUMMYFUNCTION("""COMPUTED_VALUE"""),"Cra 59b no. 94 - 15 / Edificio Azalea / Barranquilla")</f>
        <v>Cra 59b no. 94 - 15 / Edificio Azalea / Barranquilla</v>
      </c>
      <c r="G5380" s="15" t="str">
        <f>IFERROR(__xludf.DUMMYFUNCTION("""COMPUTED_VALUE"""),"Daniela Charris")</f>
        <v>Daniela Charris</v>
      </c>
      <c r="H5380" s="16">
        <f>IFERROR(__xludf.DUMMYFUNCTION("""COMPUTED_VALUE"""),14103.0)</f>
        <v>14103</v>
      </c>
      <c r="I5380" s="18">
        <f>IFERROR(__xludf.DUMMYFUNCTION("""COMPUTED_VALUE"""),19.0)</f>
        <v>19</v>
      </c>
      <c r="J5380" s="18">
        <f>IFERROR(__xludf.DUMMYFUNCTION("""COMPUTED_VALUE"""),5.0)</f>
        <v>5</v>
      </c>
      <c r="K5380" s="18">
        <f>IFERROR(__xludf.DUMMYFUNCTION("""COMPUTED_VALUE"""),16.0)</f>
        <v>16</v>
      </c>
      <c r="L5380" s="17">
        <f>IFERROR(__xludf.DUMMYFUNCTION("""COMPUTED_VALUE"""),3.184010797E9)</f>
        <v>3184010797</v>
      </c>
      <c r="M5380" s="17" t="str">
        <f>IFERROR(__xludf.DUMMYFUNCTION("""COMPUTED_VALUE"""),"#REF!")</f>
        <v>#REF!</v>
      </c>
      <c r="N5380" s="17"/>
      <c r="O5380" s="17"/>
      <c r="P5380" s="17" t="b">
        <f>IFERROR(__xludf.DUMMYFUNCTION("""COMPUTED_VALUE"""),TRUE)</f>
        <v>1</v>
      </c>
      <c r="Q5380" s="20">
        <f>IFERROR(__xludf.DUMMYFUNCTION("""COMPUTED_VALUE"""),45156.46440978009)</f>
        <v>45156.46441</v>
      </c>
      <c r="R5380" s="21" t="str">
        <f>IFERROR(__xludf.DUMMYFUNCTION("""COMPUTED_VALUE"""),"https://drive.google.com/file/d/1FPHAF_UFGJlLeA3CgCi7tdgfslPMoNaY/view?usp=drivesdk")</f>
        <v>https://drive.google.com/file/d/1FPHAF_UFGJlLeA3CgCi7tdgfslPMoNaY/view?usp=drivesdk</v>
      </c>
    </row>
    <row r="5381">
      <c r="A5381" s="15">
        <f>IFERROR(__xludf.DUMMYFUNCTION("""COMPUTED_VALUE"""),45156.0)</f>
        <v>45156</v>
      </c>
      <c r="B5381" s="16" t="str">
        <f>IFERROR(__xludf.DUMMYFUNCTION("""COMPUTED_VALUE"""),"Daniel José sandoval gonzalez")</f>
        <v>Daniel José sandoval gonzalez</v>
      </c>
      <c r="C5381" s="15" t="str">
        <f>IFERROR(__xludf.DUMMYFUNCTION("""COMPUTED_VALUE"""),"BARRANQUILLA")</f>
        <v>BARRANQUILLA</v>
      </c>
      <c r="D5381" s="15" t="str">
        <f>IFERROR(__xludf.DUMMYFUNCTION("""COMPUTED_VALUE"""),"BOGOTÁ")</f>
        <v>BOGOTÁ</v>
      </c>
      <c r="E5381" s="15" t="str">
        <f>IFERROR(__xludf.DUMMYFUNCTION("""COMPUTED_VALUE"""),"MAI ALIMENTOS S.A.S")</f>
        <v>MAI ALIMENTOS S.A.S</v>
      </c>
      <c r="F5381" s="17" t="str">
        <f>IFERROR(__xludf.DUMMYFUNCTION("""COMPUTED_VALUE"""),"Carrera 74 # 76 - 74 / Frente a la clínica Misericordia - Reciben de 8:00 am a 12:00 pm - Preguntar por: Hernán Cabas o Jos")</f>
        <v>Carrera 74 # 76 - 74 / Frente a la clínica Misericordia - Reciben de 8:00 am a 12:00 pm - Preguntar por: Hernán Cabas o Jos</v>
      </c>
      <c r="G5381" s="15" t="str">
        <f>IFERROR(__xludf.DUMMYFUNCTION("""COMPUTED_VALUE"""),"Fithub")</f>
        <v>Fithub</v>
      </c>
      <c r="H5381" s="16">
        <f>IFERROR(__xludf.DUMMYFUNCTION("""COMPUTED_VALUE"""),13916.0)</f>
        <v>13916</v>
      </c>
      <c r="I5381" s="18">
        <f>IFERROR(__xludf.DUMMYFUNCTION("""COMPUTED_VALUE"""),28.0)</f>
        <v>28</v>
      </c>
      <c r="J5381" s="18">
        <f>IFERROR(__xludf.DUMMYFUNCTION("""COMPUTED_VALUE"""),17.0)</f>
        <v>17</v>
      </c>
      <c r="K5381" s="18">
        <f>IFERROR(__xludf.DUMMYFUNCTION("""COMPUTED_VALUE"""),13.0)</f>
        <v>13</v>
      </c>
      <c r="L5381" s="17">
        <f>IFERROR(__xludf.DUMMYFUNCTION("""COMPUTED_VALUE"""),0.0)</f>
        <v>0</v>
      </c>
      <c r="M5381" s="17" t="str">
        <f>IFERROR(__xludf.DUMMYFUNCTION("""COMPUTED_VALUE"""),"#REF!")</f>
        <v>#REF!</v>
      </c>
      <c r="N5381" s="17"/>
      <c r="O5381" s="17"/>
      <c r="P5381" s="17" t="b">
        <f>IFERROR(__xludf.DUMMYFUNCTION("""COMPUTED_VALUE"""),TRUE)</f>
        <v>1</v>
      </c>
      <c r="Q5381" s="20">
        <f>IFERROR(__xludf.DUMMYFUNCTION("""COMPUTED_VALUE"""),45160.616063877314)</f>
        <v>45160.61606</v>
      </c>
      <c r="R5381" s="21" t="str">
        <f>IFERROR(__xludf.DUMMYFUNCTION("""COMPUTED_VALUE"""),"https://drive.google.com/file/d/1RsTd5E8a00I_wviLz-FfE8FBoYVCdtb6/view?usp=drivesdk")</f>
        <v>https://drive.google.com/file/d/1RsTd5E8a00I_wviLz-FfE8FBoYVCdtb6/view?usp=drivesdk</v>
      </c>
    </row>
    <row r="5382">
      <c r="A5382" s="15">
        <f>IFERROR(__xludf.DUMMYFUNCTION("""COMPUTED_VALUE"""),45156.0)</f>
        <v>45156</v>
      </c>
      <c r="B5382" s="16" t="str">
        <f>IFERROR(__xludf.DUMMYFUNCTION("""COMPUTED_VALUE"""),"Daniel José sandoval gonzalez")</f>
        <v>Daniel José sandoval gonzalez</v>
      </c>
      <c r="C5382" s="15" t="str">
        <f>IFERROR(__xludf.DUMMYFUNCTION("""COMPUTED_VALUE"""),"BARRANQUILLA")</f>
        <v>BARRANQUILLA</v>
      </c>
      <c r="D5382" s="15" t="str">
        <f>IFERROR(__xludf.DUMMYFUNCTION("""COMPUTED_VALUE"""),"BOGOTÁ")</f>
        <v>BOGOTÁ</v>
      </c>
      <c r="E5382" s="15" t="str">
        <f>IFERROR(__xludf.DUMMYFUNCTION("""COMPUTED_VALUE"""),"Pan de Waffle")</f>
        <v>Pan de Waffle</v>
      </c>
      <c r="F5382" s="17" t="str">
        <f>IFERROR(__xludf.DUMMYFUNCTION("""COMPUTED_VALUE"""),"CR 53 80 284 LC 8 / CR 53 80 284 LC 8 / CR 53 80 284 LC 8")</f>
        <v>CR 53 80 284 LC 8 / CR 53 80 284 LC 8 / CR 53 80 284 LC 8</v>
      </c>
      <c r="G5382" s="15" t="str">
        <f>IFERROR(__xludf.DUMMYFUNCTION("""COMPUTED_VALUE"""),"CORPOFIT")</f>
        <v>CORPOFIT</v>
      </c>
      <c r="H5382" s="16">
        <f>IFERROR(__xludf.DUMMYFUNCTION("""COMPUTED_VALUE"""),14108.0)</f>
        <v>14108</v>
      </c>
      <c r="I5382" s="18">
        <f>IFERROR(__xludf.DUMMYFUNCTION("""COMPUTED_VALUE"""),40.0)</f>
        <v>40</v>
      </c>
      <c r="J5382" s="18">
        <f>IFERROR(__xludf.DUMMYFUNCTION("""COMPUTED_VALUE"""),40.0)</f>
        <v>40</v>
      </c>
      <c r="K5382" s="18">
        <f>IFERROR(__xludf.DUMMYFUNCTION("""COMPUTED_VALUE"""),40.0)</f>
        <v>40</v>
      </c>
      <c r="L5382" s="17">
        <f>IFERROR(__xludf.DUMMYFUNCTION("""COMPUTED_VALUE"""),3.006125263E9)</f>
        <v>3006125263</v>
      </c>
      <c r="M5382" s="17" t="str">
        <f>IFERROR(__xludf.DUMMYFUNCTION("""COMPUTED_VALUE"""),"#REF!")</f>
        <v>#REF!</v>
      </c>
      <c r="N5382" s="17"/>
      <c r="O5382" s="17"/>
      <c r="P5382" s="17" t="b">
        <f>IFERROR(__xludf.DUMMYFUNCTION("""COMPUTED_VALUE"""),TRUE)</f>
        <v>1</v>
      </c>
      <c r="Q5382" s="20">
        <f>IFERROR(__xludf.DUMMYFUNCTION("""COMPUTED_VALUE"""),45160.61606388889)</f>
        <v>45160.61606</v>
      </c>
      <c r="R5382" s="22" t="str">
        <f>IFERROR(__xludf.DUMMYFUNCTION("""COMPUTED_VALUE"""),"")</f>
        <v/>
      </c>
    </row>
    <row r="5383">
      <c r="A5383" s="15">
        <f>IFERROR(__xludf.DUMMYFUNCTION("""COMPUTED_VALUE"""),45156.0)</f>
        <v>45156</v>
      </c>
      <c r="B5383" s="16" t="str">
        <f>IFERROR(__xludf.DUMMYFUNCTION("""COMPUTED_VALUE"""),"Daniel José sandoval gonzalez")</f>
        <v>Daniel José sandoval gonzalez</v>
      </c>
      <c r="C5383" s="15" t="str">
        <f>IFERROR(__xludf.DUMMYFUNCTION("""COMPUTED_VALUE"""),"BARRANQUILLA")</f>
        <v>BARRANQUILLA</v>
      </c>
      <c r="D5383" s="15" t="str">
        <f>IFERROR(__xludf.DUMMYFUNCTION("""COMPUTED_VALUE"""),"BOGOTÁ")</f>
        <v>BOGOTÁ</v>
      </c>
      <c r="E5383" s="15" t="str">
        <f>IFERROR(__xludf.DUMMYFUNCTION("""COMPUTED_VALUE"""),"Ser Fit")</f>
        <v>Ser Fit</v>
      </c>
      <c r="F5383" s="17" t="str">
        <f>IFERROR(__xludf.DUMMYFUNCTION("""COMPUTED_VALUE"""),"Cra. 51 #82-223 / barranquilla / barranquilla atlantico")</f>
        <v>Cra. 51 #82-223 / barranquilla / barranquilla atlantico</v>
      </c>
      <c r="G5383" s="15" t="str">
        <f>IFERROR(__xludf.DUMMYFUNCTION("""COMPUTED_VALUE"""),"fit hub")</f>
        <v>fit hub</v>
      </c>
      <c r="H5383" s="16">
        <f>IFERROR(__xludf.DUMMYFUNCTION("""COMPUTED_VALUE"""),14102.0)</f>
        <v>14102</v>
      </c>
      <c r="I5383" s="18">
        <f>IFERROR(__xludf.DUMMYFUNCTION("""COMPUTED_VALUE"""),20.0)</f>
        <v>20</v>
      </c>
      <c r="J5383" s="18">
        <f>IFERROR(__xludf.DUMMYFUNCTION("""COMPUTED_VALUE"""),24.0)</f>
        <v>24</v>
      </c>
      <c r="K5383" s="18">
        <f>IFERROR(__xludf.DUMMYFUNCTION("""COMPUTED_VALUE"""),33.0)</f>
        <v>33</v>
      </c>
      <c r="L5383" s="17">
        <f>IFERROR(__xludf.DUMMYFUNCTION("""COMPUTED_VALUE"""),3.157237432E9)</f>
        <v>3157237432</v>
      </c>
      <c r="M5383" s="17" t="str">
        <f>IFERROR(__xludf.DUMMYFUNCTION("""COMPUTED_VALUE"""),"#REF!")</f>
        <v>#REF!</v>
      </c>
      <c r="N5383" s="17"/>
      <c r="O5383" s="17"/>
      <c r="P5383" s="17" t="b">
        <f>IFERROR(__xludf.DUMMYFUNCTION("""COMPUTED_VALUE"""),TRUE)</f>
        <v>1</v>
      </c>
      <c r="Q5383" s="20">
        <f>IFERROR(__xludf.DUMMYFUNCTION("""COMPUTED_VALUE"""),45160.61606388889)</f>
        <v>45160.61606</v>
      </c>
      <c r="R5383" s="21" t="str">
        <f>IFERROR(__xludf.DUMMYFUNCTION("""COMPUTED_VALUE"""),"https://drive.google.com/file/d/1VvjR5DpONI247zR7o04q5iSLUgn45Css/view?usp=drivesdk")</f>
        <v>https://drive.google.com/file/d/1VvjR5DpONI247zR7o04q5iSLUgn45Css/view?usp=drivesdk</v>
      </c>
    </row>
    <row r="5384">
      <c r="A5384" s="15">
        <f>IFERROR(__xludf.DUMMYFUNCTION("""COMPUTED_VALUE"""),45156.0)</f>
        <v>45156</v>
      </c>
      <c r="B5384" s="16" t="str">
        <f>IFERROR(__xludf.DUMMYFUNCTION("""COMPUTED_VALUE"""),"Daniel José sandoval gonzalez")</f>
        <v>Daniel José sandoval gonzalez</v>
      </c>
      <c r="C5384" s="15" t="str">
        <f>IFERROR(__xludf.DUMMYFUNCTION("""COMPUTED_VALUE"""),"BARRANQUILLA")</f>
        <v>BARRANQUILLA</v>
      </c>
      <c r="D5384" s="15" t="str">
        <f>IFERROR(__xludf.DUMMYFUNCTION("""COMPUTED_VALUE"""),"BOGOTÁ")</f>
        <v>BOGOTÁ</v>
      </c>
      <c r="E5384" s="15" t="str">
        <f>IFERROR(__xludf.DUMMYFUNCTION("""COMPUTED_VALUE"""),"Viiva Fermentados")</f>
        <v>Viiva Fermentados</v>
      </c>
      <c r="F5384" s="17" t="str">
        <f>IFERROR(__xludf.DUMMYFUNCTION("""COMPUTED_VALUE"""),"Carrera 53 #68-55 / Bodegas pik an pak / Alto Prado")</f>
        <v>Carrera 53 #68-55 / Bodegas pik an pak / Alto Prado</v>
      </c>
      <c r="G5384" s="15" t="str">
        <f>IFERROR(__xludf.DUMMYFUNCTION("""COMPUTED_VALUE"""),"Pik n Pak")</f>
        <v>Pik n Pak</v>
      </c>
      <c r="H5384" s="16">
        <f>IFERROR(__xludf.DUMMYFUNCTION("""COMPUTED_VALUE"""),13886.0)</f>
        <v>13886</v>
      </c>
      <c r="I5384" s="18">
        <f>IFERROR(__xludf.DUMMYFUNCTION("""COMPUTED_VALUE"""),27.0)</f>
        <v>27</v>
      </c>
      <c r="J5384" s="18">
        <f>IFERROR(__xludf.DUMMYFUNCTION("""COMPUTED_VALUE"""),36.0)</f>
        <v>36</v>
      </c>
      <c r="K5384" s="18">
        <f>IFERROR(__xludf.DUMMYFUNCTION("""COMPUTED_VALUE"""),24.0)</f>
        <v>24</v>
      </c>
      <c r="L5384" s="17">
        <f>IFERROR(__xludf.DUMMYFUNCTION("""COMPUTED_VALUE"""),5.25539092815E11)</f>
        <v>525539092815</v>
      </c>
      <c r="M5384" s="17" t="str">
        <f>IFERROR(__xludf.DUMMYFUNCTION("""COMPUTED_VALUE"""),"#REF!")</f>
        <v>#REF!</v>
      </c>
      <c r="N5384" s="17"/>
      <c r="O5384" s="17"/>
      <c r="P5384" s="17" t="b">
        <f>IFERROR(__xludf.DUMMYFUNCTION("""COMPUTED_VALUE"""),FALSE)</f>
        <v>0</v>
      </c>
      <c r="Q5384" s="20" t="str">
        <f>IFERROR(__xludf.DUMMYFUNCTION("""COMPUTED_VALUE"""),"")</f>
        <v/>
      </c>
      <c r="R5384" s="22" t="str">
        <f>IFERROR(__xludf.DUMMYFUNCTION("""COMPUTED_VALUE"""),"")</f>
        <v/>
      </c>
    </row>
    <row r="5385">
      <c r="A5385" s="15">
        <f>IFERROR(__xludf.DUMMYFUNCTION("""COMPUTED_VALUE"""),45156.0)</f>
        <v>45156</v>
      </c>
      <c r="B5385" s="16" t="str">
        <f>IFERROR(__xludf.DUMMYFUNCTION("""COMPUTED_VALUE"""),"Daniel José sandoval gonzalez")</f>
        <v>Daniel José sandoval gonzalez</v>
      </c>
      <c r="C5385" s="15" t="str">
        <f>IFERROR(__xludf.DUMMYFUNCTION("""COMPUTED_VALUE"""),"BARRANQUILLA")</f>
        <v>BARRANQUILLA</v>
      </c>
      <c r="D5385" s="15" t="str">
        <f>IFERROR(__xludf.DUMMYFUNCTION("""COMPUTED_VALUE"""),"MEDELLÍN")</f>
        <v>MEDELLÍN</v>
      </c>
      <c r="E5385" s="15" t="str">
        <f>IFERROR(__xludf.DUMMYFUNCTION("""COMPUTED_VALUE"""),"Biota")</f>
        <v>Biota</v>
      </c>
      <c r="F5385" s="17" t="str">
        <f>IFERROR(__xludf.DUMMYFUNCTION("""COMPUTED_VALUE"""),"Cra 58 # 96 -187 Mall 98, Local 3, Barranquilla / Mall, local 3, Mercado saludable  / Mercado saludable")</f>
        <v>Cra 58 # 96 -187 Mall 98, Local 3, Barranquilla / Mall, local 3, Mercado saludable  / Mercado saludable</v>
      </c>
      <c r="G5385" s="15" t="str">
        <f>IFERROR(__xludf.DUMMYFUNCTION("""COMPUTED_VALUE"""),"Snackfitme")</f>
        <v>Snackfitme</v>
      </c>
      <c r="H5385" s="16">
        <f>IFERROR(__xludf.DUMMYFUNCTION("""COMPUTED_VALUE"""),14121.0)</f>
        <v>14121</v>
      </c>
      <c r="I5385" s="18">
        <f>IFERROR(__xludf.DUMMYFUNCTION("""COMPUTED_VALUE"""),7.0)</f>
        <v>7</v>
      </c>
      <c r="J5385" s="18">
        <f>IFERROR(__xludf.DUMMYFUNCTION("""COMPUTED_VALUE"""),10.0)</f>
        <v>10</v>
      </c>
      <c r="K5385" s="18">
        <f>IFERROR(__xludf.DUMMYFUNCTION("""COMPUTED_VALUE"""),20.0)</f>
        <v>20</v>
      </c>
      <c r="L5385" s="17">
        <f>IFERROR(__xludf.DUMMYFUNCTION("""COMPUTED_VALUE"""),3.21472746E9)</f>
        <v>3214727460</v>
      </c>
      <c r="M5385" s="17" t="str">
        <f>IFERROR(__xludf.DUMMYFUNCTION("""COMPUTED_VALUE"""),"#REF!")</f>
        <v>#REF!</v>
      </c>
      <c r="N5385" s="17"/>
      <c r="O5385" s="17"/>
      <c r="P5385" s="17" t="b">
        <f>IFERROR(__xludf.DUMMYFUNCTION("""COMPUTED_VALUE"""),TRUE)</f>
        <v>1</v>
      </c>
      <c r="Q5385" s="20">
        <f>IFERROR(__xludf.DUMMYFUNCTION("""COMPUTED_VALUE"""),45160.61606388889)</f>
        <v>45160.61606</v>
      </c>
      <c r="R5385" s="21" t="str">
        <f>IFERROR(__xludf.DUMMYFUNCTION("""COMPUTED_VALUE"""),"https://drive.google.com/file/d/1BXS8B6RvVZ60UDgnJtfn551rb3Za9Uao/view?usp=drivesdk")</f>
        <v>https://drive.google.com/file/d/1BXS8B6RvVZ60UDgnJtfn551rb3Za9Uao/view?usp=drivesdk</v>
      </c>
    </row>
    <row r="5386">
      <c r="A5386" s="15">
        <f>IFERROR(__xludf.DUMMYFUNCTION("""COMPUTED_VALUE"""),45156.0)</f>
        <v>45156</v>
      </c>
      <c r="B5386" s="16" t="str">
        <f>IFERROR(__xludf.DUMMYFUNCTION("""COMPUTED_VALUE"""),"Daniel José sandoval gonzalez")</f>
        <v>Daniel José sandoval gonzalez</v>
      </c>
      <c r="C5386" s="15" t="str">
        <f>IFERROR(__xludf.DUMMYFUNCTION("""COMPUTED_VALUE"""),"BARRANQUILLA")</f>
        <v>BARRANQUILLA</v>
      </c>
      <c r="D5386" s="15" t="str">
        <f>IFERROR(__xludf.DUMMYFUNCTION("""COMPUTED_VALUE"""),"MEDELLÍN")</f>
        <v>MEDELLÍN</v>
      </c>
      <c r="E5386" s="15" t="str">
        <f>IFERROR(__xludf.DUMMYFUNCTION("""COMPUTED_VALUE"""),"Rambla")</f>
        <v>Rambla</v>
      </c>
      <c r="F5386" s="17" t="str">
        <f>IFERROR(__xludf.DUMMYFUNCTION("""COMPUTED_VALUE"""),"CARRERA 74 #76-74 / - / -")</f>
        <v>CARRERA 74 #76-74 / - / -</v>
      </c>
      <c r="G5386" s="15" t="str">
        <f>IFERROR(__xludf.DUMMYFUNCTION("""COMPUTED_VALUE"""),"Fit Hub")</f>
        <v>Fit Hub</v>
      </c>
      <c r="H5386" s="16">
        <f>IFERROR(__xludf.DUMMYFUNCTION("""COMPUTED_VALUE"""),14118.0)</f>
        <v>14118</v>
      </c>
      <c r="I5386" s="18">
        <f>IFERROR(__xludf.DUMMYFUNCTION("""COMPUTED_VALUE"""),22.0)</f>
        <v>22</v>
      </c>
      <c r="J5386" s="18">
        <f>IFERROR(__xludf.DUMMYFUNCTION("""COMPUTED_VALUE"""),20.0)</f>
        <v>20</v>
      </c>
      <c r="K5386" s="18">
        <f>IFERROR(__xludf.DUMMYFUNCTION("""COMPUTED_VALUE"""),20.0)</f>
        <v>20</v>
      </c>
      <c r="L5386" s="17">
        <f>IFERROR(__xludf.DUMMYFUNCTION("""COMPUTED_VALUE"""),3.157039547E9)</f>
        <v>3157039547</v>
      </c>
      <c r="M5386" s="17" t="str">
        <f>IFERROR(__xludf.DUMMYFUNCTION("""COMPUTED_VALUE"""),"#REF!")</f>
        <v>#REF!</v>
      </c>
      <c r="N5386" s="17"/>
      <c r="O5386" s="17"/>
      <c r="P5386" s="17" t="b">
        <f>IFERROR(__xludf.DUMMYFUNCTION("""COMPUTED_VALUE"""),TRUE)</f>
        <v>1</v>
      </c>
      <c r="Q5386" s="20">
        <f>IFERROR(__xludf.DUMMYFUNCTION("""COMPUTED_VALUE"""),45160.61606388889)</f>
        <v>45160.61606</v>
      </c>
      <c r="R5386" s="22" t="str">
        <f>IFERROR(__xludf.DUMMYFUNCTION("""COMPUTED_VALUE"""),"")</f>
        <v/>
      </c>
    </row>
    <row r="5387">
      <c r="A5387" s="15">
        <f>IFERROR(__xludf.DUMMYFUNCTION("""COMPUTED_VALUE"""),45156.0)</f>
        <v>45156</v>
      </c>
      <c r="B5387" s="16" t="str">
        <f>IFERROR(__xludf.DUMMYFUNCTION("""COMPUTED_VALUE"""),"Daniel José sandoval gonzalez")</f>
        <v>Daniel José sandoval gonzalez</v>
      </c>
      <c r="C5387" s="15" t="str">
        <f>IFERROR(__xludf.DUMMYFUNCTION("""COMPUTED_VALUE"""),"BARRANQUILLA")</f>
        <v>BARRANQUILLA</v>
      </c>
      <c r="D5387" s="15" t="str">
        <f>IFERROR(__xludf.DUMMYFUNCTION("""COMPUTED_VALUE"""),"MEDELLÍN")</f>
        <v>MEDELLÍN</v>
      </c>
      <c r="E5387" s="15" t="str">
        <f>IFERROR(__xludf.DUMMYFUNCTION("""COMPUTED_VALUE"""),"Rambla")</f>
        <v>Rambla</v>
      </c>
      <c r="F5387" s="17" t="str">
        <f>IFERROR(__xludf.DUMMYFUNCTION("""COMPUTED_VALUE"""),"CRA 53 80 284 LC 8 / - / -")</f>
        <v>CRA 53 80 284 LC 8 / - / -</v>
      </c>
      <c r="G5387" s="15" t="str">
        <f>IFERROR(__xludf.DUMMYFUNCTION("""COMPUTED_VALUE"""),"Corpofit")</f>
        <v>Corpofit</v>
      </c>
      <c r="H5387" s="16">
        <f>IFERROR(__xludf.DUMMYFUNCTION("""COMPUTED_VALUE"""),14120.0)</f>
        <v>14120</v>
      </c>
      <c r="I5387" s="18">
        <f>IFERROR(__xludf.DUMMYFUNCTION("""COMPUTED_VALUE"""),20.0)</f>
        <v>20</v>
      </c>
      <c r="J5387" s="18">
        <f>IFERROR(__xludf.DUMMYFUNCTION("""COMPUTED_VALUE"""),23.0)</f>
        <v>23</v>
      </c>
      <c r="K5387" s="18">
        <f>IFERROR(__xludf.DUMMYFUNCTION("""COMPUTED_VALUE"""),32.0)</f>
        <v>32</v>
      </c>
      <c r="L5387" s="17">
        <f>IFERROR(__xludf.DUMMYFUNCTION("""COMPUTED_VALUE"""),3.162889776E9)</f>
        <v>3162889776</v>
      </c>
      <c r="M5387" s="17" t="str">
        <f>IFERROR(__xludf.DUMMYFUNCTION("""COMPUTED_VALUE"""),"#REF!")</f>
        <v>#REF!</v>
      </c>
      <c r="N5387" s="17"/>
      <c r="O5387" s="17"/>
      <c r="P5387" s="17" t="b">
        <f>IFERROR(__xludf.DUMMYFUNCTION("""COMPUTED_VALUE"""),TRUE)</f>
        <v>1</v>
      </c>
      <c r="Q5387" s="20">
        <f>IFERROR(__xludf.DUMMYFUNCTION("""COMPUTED_VALUE"""),45160.61606388889)</f>
        <v>45160.61606</v>
      </c>
      <c r="R5387" s="21" t="str">
        <f>IFERROR(__xludf.DUMMYFUNCTION("""COMPUTED_VALUE"""),"https://drive.google.com/file/d/1e7LyYY5Vs0V3zRJF14p2xFgXjzSAqDe1/view?usp=drivesdk")</f>
        <v>https://drive.google.com/file/d/1e7LyYY5Vs0V3zRJF14p2xFgXjzSAqDe1/view?usp=drivesdk</v>
      </c>
    </row>
    <row r="5388">
      <c r="A5388" s="15">
        <f>IFERROR(__xludf.DUMMYFUNCTION("""COMPUTED_VALUE"""),45156.0)</f>
        <v>45156</v>
      </c>
      <c r="B5388" s="16" t="str">
        <f>IFERROR(__xludf.DUMMYFUNCTION("""COMPUTED_VALUE"""),"Daniel José sandoval gonzalez")</f>
        <v>Daniel José sandoval gonzalez</v>
      </c>
      <c r="C5388" s="15" t="str">
        <f>IFERROR(__xludf.DUMMYFUNCTION("""COMPUTED_VALUE"""),"MEDELLÍN")</f>
        <v>MEDELLÍN</v>
      </c>
      <c r="D5388" s="15" t="str">
        <f>IFERROR(__xludf.DUMMYFUNCTION("""COMPUTED_VALUE"""),"BOGOTÁ")</f>
        <v>BOGOTÁ</v>
      </c>
      <c r="E5388" s="15" t="str">
        <f>IFERROR(__xludf.DUMMYFUNCTION("""COMPUTED_VALUE"""),"Viiva Fermentados")</f>
        <v>Viiva Fermentados</v>
      </c>
      <c r="F5388" s="17" t="str">
        <f>IFERROR(__xludf.DUMMYFUNCTION("""COMPUTED_VALUE"""),"Calle 98 #50b-19 / primer piso / aranjuez")</f>
        <v>Calle 98 #50b-19 / primer piso / aranjuez</v>
      </c>
      <c r="G5388" s="15" t="str">
        <f>IFERROR(__xludf.DUMMYFUNCTION("""COMPUTED_VALUE"""),"Bayron Rodriguez")</f>
        <v>Bayron Rodriguez</v>
      </c>
      <c r="H5388" s="16">
        <f>IFERROR(__xludf.DUMMYFUNCTION("""COMPUTED_VALUE"""),13885.0)</f>
        <v>13885</v>
      </c>
      <c r="I5388" s="18">
        <f>IFERROR(__xludf.DUMMYFUNCTION("""COMPUTED_VALUE"""),17.0)</f>
        <v>17</v>
      </c>
      <c r="J5388" s="18">
        <f>IFERROR(__xludf.DUMMYFUNCTION("""COMPUTED_VALUE"""),36.0)</f>
        <v>36</v>
      </c>
      <c r="K5388" s="18">
        <f>IFERROR(__xludf.DUMMYFUNCTION("""COMPUTED_VALUE"""),24.0)</f>
        <v>24</v>
      </c>
      <c r="L5388" s="17">
        <f>IFERROR(__xludf.DUMMYFUNCTION("""COMPUTED_VALUE"""),3.166261966E9)</f>
        <v>3166261966</v>
      </c>
      <c r="M5388" s="17" t="str">
        <f>IFERROR(__xludf.DUMMYFUNCTION("""COMPUTED_VALUE"""),"#REF!")</f>
        <v>#REF!</v>
      </c>
      <c r="N5388" s="17"/>
      <c r="O5388" s="17"/>
      <c r="P5388" s="17" t="b">
        <f>IFERROR(__xludf.DUMMYFUNCTION("""COMPUTED_VALUE"""),TRUE)</f>
        <v>1</v>
      </c>
      <c r="Q5388" s="20">
        <f>IFERROR(__xludf.DUMMYFUNCTION("""COMPUTED_VALUE"""),45160.61606388889)</f>
        <v>45160.61606</v>
      </c>
      <c r="R5388" s="22" t="str">
        <f>IFERROR(__xludf.DUMMYFUNCTION("""COMPUTED_VALUE"""),"")</f>
        <v/>
      </c>
    </row>
    <row r="5389">
      <c r="A5389" s="15">
        <f>IFERROR(__xludf.DUMMYFUNCTION("""COMPUTED_VALUE"""),45156.0)</f>
        <v>45156</v>
      </c>
      <c r="B5389" s="16" t="str">
        <f>IFERROR(__xludf.DUMMYFUNCTION("""COMPUTED_VALUE"""),"Daniel José sandoval gonzalez")</f>
        <v>Daniel José sandoval gonzalez</v>
      </c>
      <c r="C5389" s="15" t="str">
        <f>IFERROR(__xludf.DUMMYFUNCTION("""COMPUTED_VALUE"""),"MEDELLÍN")</f>
        <v>MEDELLÍN</v>
      </c>
      <c r="D5389" s="15" t="str">
        <f>IFERROR(__xludf.DUMMYFUNCTION("""COMPUTED_VALUE"""),"BOGOTÁ")</f>
        <v>BOGOTÁ</v>
      </c>
      <c r="E5389" s="15" t="str">
        <f>IFERROR(__xludf.DUMMYFUNCTION("""COMPUTED_VALUE"""),"Viiva Fermentados")</f>
        <v>Viiva Fermentados</v>
      </c>
      <c r="F5389" s="17" t="str">
        <f>IFERROR(__xludf.DUMMYFUNCTION("""COMPUTED_VALUE"""),"Transversal 39b#77-48 / int 302 / Laureles")</f>
        <v>Transversal 39b#77-48 / int 302 / Laureles</v>
      </c>
      <c r="G5389" s="15" t="str">
        <f>IFERROR(__xludf.DUMMYFUNCTION("""COMPUTED_VALUE"""),"VITA INTEGRAL SAS")</f>
        <v>VITA INTEGRAL SAS</v>
      </c>
      <c r="H5389" s="16">
        <f>IFERROR(__xludf.DUMMYFUNCTION("""COMPUTED_VALUE"""),13997.0)</f>
        <v>13997</v>
      </c>
      <c r="I5389" s="18">
        <f>IFERROR(__xludf.DUMMYFUNCTION("""COMPUTED_VALUE"""),24.0)</f>
        <v>24</v>
      </c>
      <c r="J5389" s="18">
        <f>IFERROR(__xludf.DUMMYFUNCTION("""COMPUTED_VALUE"""),36.0)</f>
        <v>36</v>
      </c>
      <c r="K5389" s="18">
        <f>IFERROR(__xludf.DUMMYFUNCTION("""COMPUTED_VALUE"""),24.0)</f>
        <v>24</v>
      </c>
      <c r="L5389" s="17">
        <f>IFERROR(__xludf.DUMMYFUNCTION("""COMPUTED_VALUE"""),3.188473468E9)</f>
        <v>3188473468</v>
      </c>
      <c r="M5389" s="17" t="str">
        <f>IFERROR(__xludf.DUMMYFUNCTION("""COMPUTED_VALUE"""),"#REF!")</f>
        <v>#REF!</v>
      </c>
      <c r="N5389" s="17"/>
      <c r="O5389" s="17"/>
      <c r="P5389" s="17" t="b">
        <f>IFERROR(__xludf.DUMMYFUNCTION("""COMPUTED_VALUE"""),FALSE)</f>
        <v>0</v>
      </c>
      <c r="Q5389" s="20" t="str">
        <f>IFERROR(__xludf.DUMMYFUNCTION("""COMPUTED_VALUE"""),"")</f>
        <v/>
      </c>
      <c r="R5389" s="22" t="str">
        <f>IFERROR(__xludf.DUMMYFUNCTION("""COMPUTED_VALUE"""),"")</f>
        <v/>
      </c>
    </row>
    <row r="5390">
      <c r="A5390" s="17" t="str">
        <f>IFERROR(__xludf.DUMMYFUNCTION("""COMPUTED_VALUE"""),"")</f>
        <v/>
      </c>
      <c r="B5390" s="17" t="str">
        <f>IFERROR(__xludf.DUMMYFUNCTION("""COMPUTED_VALUE"""),"")</f>
        <v/>
      </c>
      <c r="C5390" s="17" t="str">
        <f>IFERROR(__xludf.DUMMYFUNCTION("""COMPUTED_VALUE"""),"")</f>
        <v/>
      </c>
      <c r="D5390" s="17" t="str">
        <f>IFERROR(__xludf.DUMMYFUNCTION("""COMPUTED_VALUE"""),"")</f>
        <v/>
      </c>
      <c r="E5390" s="17" t="str">
        <f>IFERROR(__xludf.DUMMYFUNCTION("""COMPUTED_VALUE"""),"")</f>
        <v/>
      </c>
      <c r="F5390" s="17" t="str">
        <f>IFERROR(__xludf.DUMMYFUNCTION("""COMPUTED_VALUE"""),"")</f>
        <v/>
      </c>
      <c r="G5390" s="17" t="str">
        <f>IFERROR(__xludf.DUMMYFUNCTION("""COMPUTED_VALUE"""),"")</f>
        <v/>
      </c>
      <c r="H5390" s="17" t="str">
        <f>IFERROR(__xludf.DUMMYFUNCTION("""COMPUTED_VALUE"""),"")</f>
        <v/>
      </c>
      <c r="I5390" s="17" t="str">
        <f>IFERROR(__xludf.DUMMYFUNCTION("""COMPUTED_VALUE"""),"")</f>
        <v/>
      </c>
      <c r="J5390" s="17" t="str">
        <f>IFERROR(__xludf.DUMMYFUNCTION("""COMPUTED_VALUE"""),"")</f>
        <v/>
      </c>
      <c r="K5390" s="17" t="str">
        <f>IFERROR(__xludf.DUMMYFUNCTION("""COMPUTED_VALUE"""),"")</f>
        <v/>
      </c>
      <c r="L5390" s="17" t="str">
        <f>IFERROR(__xludf.DUMMYFUNCTION("""COMPUTED_VALUE"""),"")</f>
        <v/>
      </c>
      <c r="M5390" s="17" t="str">
        <f>IFERROR(__xludf.DUMMYFUNCTION("""COMPUTED_VALUE"""),"")</f>
        <v/>
      </c>
      <c r="N5390" s="17" t="str">
        <f>IFERROR(__xludf.DUMMYFUNCTION("""COMPUTED_VALUE"""),"")</f>
        <v/>
      </c>
      <c r="O5390" s="17" t="str">
        <f>IFERROR(__xludf.DUMMYFUNCTION("""COMPUTED_VALUE"""),"")</f>
        <v/>
      </c>
      <c r="P5390" s="17" t="str">
        <f>IFERROR(__xludf.DUMMYFUNCTION("""COMPUTED_VALUE"""),"")</f>
        <v/>
      </c>
      <c r="Q5390" s="17" t="str">
        <f>IFERROR(__xludf.DUMMYFUNCTION("""COMPUTED_VALUE"""),"")</f>
        <v/>
      </c>
      <c r="R5390" s="17" t="str">
        <f>IFERROR(__xludf.DUMMYFUNCTION("""COMPUTED_VALUE"""),"")</f>
        <v/>
      </c>
    </row>
    <row r="5391">
      <c r="A5391" s="15">
        <f>IFERROR(__xludf.DUMMYFUNCTION("""COMPUTED_VALUE"""),45156.0)</f>
        <v>45156</v>
      </c>
      <c r="B5391" s="16" t="str">
        <f>IFERROR(__xludf.DUMMYFUNCTION("""COMPUTED_VALUE"""),"Envia")</f>
        <v>Envia</v>
      </c>
      <c r="C5391" s="15" t="str">
        <f>IFERROR(__xludf.DUMMYFUNCTION("""COMPUTED_VALUE"""),"BARRANQUILLA")</f>
        <v>BARRANQUILLA</v>
      </c>
      <c r="D5391" s="15" t="str">
        <f>IFERROR(__xludf.DUMMYFUNCTION("""COMPUTED_VALUE"""),"BOGOTÁ")</f>
        <v>BOGOTÁ</v>
      </c>
      <c r="E5391" s="15" t="str">
        <f>IFERROR(__xludf.DUMMYFUNCTION("""COMPUTED_VALUE"""),"Lunchy Kids")</f>
        <v>Lunchy Kids</v>
      </c>
      <c r="F5391" s="17" t="str">
        <f>IFERROR(__xludf.DUMMYFUNCTION("""COMPUTED_VALUE"""),"Carrera 57 # 99-196  / Allegro T1 Apt 101   / Altos del parque")</f>
        <v>Carrera 57 # 99-196  / Allegro T1 Apt 101   / Altos del parque</v>
      </c>
      <c r="G5391" s="15" t="str">
        <f>IFERROR(__xludf.DUMMYFUNCTION("""COMPUTED_VALUE"""),"Salia Lastra")</f>
        <v>Salia Lastra</v>
      </c>
      <c r="H5391" s="16">
        <f>IFERROR(__xludf.DUMMYFUNCTION("""COMPUTED_VALUE"""),14105.0)</f>
        <v>14105</v>
      </c>
      <c r="I5391" s="18">
        <f>IFERROR(__xludf.DUMMYFUNCTION("""COMPUTED_VALUE"""),21.0)</f>
        <v>21</v>
      </c>
      <c r="J5391" s="18">
        <f>IFERROR(__xludf.DUMMYFUNCTION("""COMPUTED_VALUE"""),27.0)</f>
        <v>27</v>
      </c>
      <c r="K5391" s="18">
        <f>IFERROR(__xludf.DUMMYFUNCTION("""COMPUTED_VALUE"""),10.0)</f>
        <v>10</v>
      </c>
      <c r="L5391" s="17">
        <f>IFERROR(__xludf.DUMMYFUNCTION("""COMPUTED_VALUE"""),3.182165762E9)</f>
        <v>3182165762</v>
      </c>
      <c r="M5391" s="17" t="str">
        <f>IFERROR(__xludf.DUMMYFUNCTION("""COMPUTED_VALUE"""),"#REF!")</f>
        <v>#REF!</v>
      </c>
      <c r="N5391" s="17"/>
      <c r="O5391" s="17"/>
      <c r="P5391" s="17" t="b">
        <f>IFERROR(__xludf.DUMMYFUNCTION("""COMPUTED_VALUE"""),FALSE)</f>
        <v>0</v>
      </c>
      <c r="Q5391" s="20" t="str">
        <f>IFERROR(__xludf.DUMMYFUNCTION("""COMPUTED_VALUE"""),"")</f>
        <v/>
      </c>
      <c r="R5391" s="21" t="str">
        <f>IFERROR(__xludf.DUMMYFUNCTION("""COMPUTED_VALUE"""),"https://drive.google.com/file/d/1xksMJTqxvGfirpI-OfIidRz74ihXaNSv/view?usp=drivesdk")</f>
        <v>https://drive.google.com/file/d/1xksMJTqxvGfirpI-OfIidRz74ihXaNSv/view?usp=drivesdk</v>
      </c>
    </row>
    <row r="5392">
      <c r="A5392" s="15">
        <f>IFERROR(__xludf.DUMMYFUNCTION("""COMPUTED_VALUE"""),45156.0)</f>
        <v>45156</v>
      </c>
      <c r="B5392" s="16" t="str">
        <f>IFERROR(__xludf.DUMMYFUNCTION("""COMPUTED_VALUE"""),"Envia")</f>
        <v>Envia</v>
      </c>
      <c r="C5392" s="15" t="str">
        <f>IFERROR(__xludf.DUMMYFUNCTION("""COMPUTED_VALUE"""),"BARRANQUILLA")</f>
        <v>BARRANQUILLA</v>
      </c>
      <c r="D5392" s="15" t="str">
        <f>IFERROR(__xludf.DUMMYFUNCTION("""COMPUTED_VALUE"""),"MEDELLÍN")</f>
        <v>MEDELLÍN</v>
      </c>
      <c r="E5392" s="15" t="str">
        <f>IFERROR(__xludf.DUMMYFUNCTION("""COMPUTED_VALUE"""),"Biota")</f>
        <v>Biota</v>
      </c>
      <c r="F5392" s="17" t="str">
        <f>IFERROR(__xludf.DUMMYFUNCTION("""COMPUTED_VALUE"""),"Carrera 51b # 80-163 edificio costa del sol 1• piso  / Mercado saludable  green organic market  / Edificio costa del sol")</f>
        <v>Carrera 51b # 80-163 edificio costa del sol 1• piso  / Mercado saludable  green organic market  / Edificio costa del sol</v>
      </c>
      <c r="G5392" s="15" t="str">
        <f>IFERROR(__xludf.DUMMYFUNCTION("""COMPUTED_VALUE"""),"Green organic Market")</f>
        <v>Green organic Market</v>
      </c>
      <c r="H5392" s="16">
        <f>IFERROR(__xludf.DUMMYFUNCTION("""COMPUTED_VALUE"""),14123.0)</f>
        <v>14123</v>
      </c>
      <c r="I5392" s="18">
        <f>IFERROR(__xludf.DUMMYFUNCTION("""COMPUTED_VALUE"""),22.0)</f>
        <v>22</v>
      </c>
      <c r="J5392" s="18">
        <f>IFERROR(__xludf.DUMMYFUNCTION("""COMPUTED_VALUE"""),20.0)</f>
        <v>20</v>
      </c>
      <c r="K5392" s="18">
        <f>IFERROR(__xludf.DUMMYFUNCTION("""COMPUTED_VALUE"""),20.0)</f>
        <v>20</v>
      </c>
      <c r="L5392" s="17">
        <f>IFERROR(__xludf.DUMMYFUNCTION("""COMPUTED_VALUE"""),3.21472746E9)</f>
        <v>3214727460</v>
      </c>
      <c r="M5392" s="17" t="str">
        <f>IFERROR(__xludf.DUMMYFUNCTION("""COMPUTED_VALUE"""),"#REF!")</f>
        <v>#REF!</v>
      </c>
      <c r="N5392" s="17"/>
      <c r="O5392" s="17"/>
      <c r="P5392" s="17" t="b">
        <f>IFERROR(__xludf.DUMMYFUNCTION("""COMPUTED_VALUE"""),FALSE)</f>
        <v>0</v>
      </c>
      <c r="Q5392" s="20" t="str">
        <f>IFERROR(__xludf.DUMMYFUNCTION("""COMPUTED_VALUE"""),"")</f>
        <v/>
      </c>
      <c r="R5392" s="21" t="str">
        <f>IFERROR(__xludf.DUMMYFUNCTION("""COMPUTED_VALUE"""),"https://drive.google.com/file/d/1N04vSoMJc6m10NJ1S1XW8z7ngyHBplOS/view?usp=drivesdk")</f>
        <v>https://drive.google.com/file/d/1N04vSoMJc6m10NJ1S1XW8z7ngyHBplOS/view?usp=drivesdk</v>
      </c>
    </row>
    <row r="5393">
      <c r="A5393" s="15">
        <f>IFERROR(__xludf.DUMMYFUNCTION("""COMPUTED_VALUE"""),45156.0)</f>
        <v>45156</v>
      </c>
      <c r="B5393" s="16" t="str">
        <f>IFERROR(__xludf.DUMMYFUNCTION("""COMPUTED_VALUE"""),"Envia")</f>
        <v>Envia</v>
      </c>
      <c r="C5393" s="15" t="str">
        <f>IFERROR(__xludf.DUMMYFUNCTION("""COMPUTED_VALUE"""),"BOGOTÁ")</f>
        <v>BOGOTÁ</v>
      </c>
      <c r="D5393" s="15" t="str">
        <f>IFERROR(__xludf.DUMMYFUNCTION("""COMPUTED_VALUE"""),"MEDELLÍN")</f>
        <v>MEDELLÍN</v>
      </c>
      <c r="E5393" s="15" t="str">
        <f>IFERROR(__xludf.DUMMYFUNCTION("""COMPUTED_VALUE"""),"Carnicos Fricar")</f>
        <v>Carnicos Fricar</v>
      </c>
      <c r="F5393" s="17" t="str">
        <f>IFERROR(__xludf.DUMMYFUNCTION("""COMPUTED_VALUE"""),"Carrera 7 # 156-10 / torre krystal oficina 2205 / OFICINA")</f>
        <v>Carrera 7 # 156-10 / torre krystal oficina 2205 / OFICINA</v>
      </c>
      <c r="G5393" s="15" t="str">
        <f>IFERROR(__xludf.DUMMYFUNCTION("""COMPUTED_VALUE"""),"ANDRES PUERTA")</f>
        <v>ANDRES PUERTA</v>
      </c>
      <c r="H5393" s="16">
        <f>IFERROR(__xludf.DUMMYFUNCTION("""COMPUTED_VALUE"""),14147.0)</f>
        <v>14147</v>
      </c>
      <c r="I5393" s="18">
        <f>IFERROR(__xludf.DUMMYFUNCTION("""COMPUTED_VALUE"""),30.0)</f>
        <v>30</v>
      </c>
      <c r="J5393" s="18">
        <f>IFERROR(__xludf.DUMMYFUNCTION("""COMPUTED_VALUE"""),30.0)</f>
        <v>30</v>
      </c>
      <c r="K5393" s="18">
        <f>IFERROR(__xludf.DUMMYFUNCTION("""COMPUTED_VALUE"""),30.0)</f>
        <v>30</v>
      </c>
      <c r="L5393" s="17">
        <f>IFERROR(__xludf.DUMMYFUNCTION("""COMPUTED_VALUE"""),3.160489557E9)</f>
        <v>3160489557</v>
      </c>
      <c r="M5393" s="17" t="str">
        <f>IFERROR(__xludf.DUMMYFUNCTION("""COMPUTED_VALUE"""),"#REF!")</f>
        <v>#REF!</v>
      </c>
      <c r="N5393" s="17"/>
      <c r="O5393" s="17"/>
      <c r="P5393" s="17" t="b">
        <f>IFERROR(__xludf.DUMMYFUNCTION("""COMPUTED_VALUE"""),FALSE)</f>
        <v>0</v>
      </c>
      <c r="Q5393" s="20" t="str">
        <f>IFERROR(__xludf.DUMMYFUNCTION("""COMPUTED_VALUE"""),"")</f>
        <v/>
      </c>
      <c r="R5393" s="22" t="str">
        <f>IFERROR(__xludf.DUMMYFUNCTION("""COMPUTED_VALUE"""),"")</f>
        <v/>
      </c>
    </row>
    <row r="5394">
      <c r="A5394" s="15">
        <f>IFERROR(__xludf.DUMMYFUNCTION("""COMPUTED_VALUE"""),45156.0)</f>
        <v>45156</v>
      </c>
      <c r="B5394" s="16" t="str">
        <f>IFERROR(__xludf.DUMMYFUNCTION("""COMPUTED_VALUE"""),"Envia")</f>
        <v>Envia</v>
      </c>
      <c r="C5394" s="15" t="str">
        <f>IFERROR(__xludf.DUMMYFUNCTION("""COMPUTED_VALUE"""),"BOGOTÁ")</f>
        <v>BOGOTÁ</v>
      </c>
      <c r="D5394" s="15" t="str">
        <f>IFERROR(__xludf.DUMMYFUNCTION("""COMPUTED_VALUE"""),"MEDELLÍN")</f>
        <v>MEDELLÍN</v>
      </c>
      <c r="E5394" s="15" t="str">
        <f>IFERROR(__xludf.DUMMYFUNCTION("""COMPUTED_VALUE"""),"Felicidad Bakery Bogotá")</f>
        <v>Felicidad Bakery Bogotá</v>
      </c>
      <c r="F5394" s="17" t="str">
        <f>IFERROR(__xludf.DUMMYFUNCTION("""COMPUTED_VALUE"""),"Calle 92 #15-62 / Ed centro chico local 103 / Local 103")</f>
        <v>Calle 92 #15-62 / Ed centro chico local 103 / Local 103</v>
      </c>
      <c r="G5394" s="15" t="str">
        <f>IFERROR(__xludf.DUMMYFUNCTION("""COMPUTED_VALUE"""),"Camilo hernandez")</f>
        <v>Camilo hernandez</v>
      </c>
      <c r="H5394" s="16">
        <f>IFERROR(__xludf.DUMMYFUNCTION("""COMPUTED_VALUE"""),14134.0)</f>
        <v>14134</v>
      </c>
      <c r="I5394" s="18">
        <f>IFERROR(__xludf.DUMMYFUNCTION("""COMPUTED_VALUE"""),1.0)</f>
        <v>1</v>
      </c>
      <c r="J5394" s="18">
        <f>IFERROR(__xludf.DUMMYFUNCTION("""COMPUTED_VALUE"""),1.0)</f>
        <v>1</v>
      </c>
      <c r="K5394" s="18">
        <f>IFERROR(__xludf.DUMMYFUNCTION("""COMPUTED_VALUE"""),1.0)</f>
        <v>1</v>
      </c>
      <c r="L5394" s="17">
        <f>IFERROR(__xludf.DUMMYFUNCTION("""COMPUTED_VALUE"""),3.013527163E9)</f>
        <v>3013527163</v>
      </c>
      <c r="M5394" s="17" t="str">
        <f>IFERROR(__xludf.DUMMYFUNCTION("""COMPUTED_VALUE"""),"#REF!")</f>
        <v>#REF!</v>
      </c>
      <c r="N5394" s="17"/>
      <c r="O5394" s="17"/>
      <c r="P5394" s="17" t="b">
        <f>IFERROR(__xludf.DUMMYFUNCTION("""COMPUTED_VALUE"""),FALSE)</f>
        <v>0</v>
      </c>
      <c r="Q5394" s="20" t="str">
        <f>IFERROR(__xludf.DUMMYFUNCTION("""COMPUTED_VALUE"""),"")</f>
        <v/>
      </c>
      <c r="R5394" s="21" t="str">
        <f>IFERROR(__xludf.DUMMYFUNCTION("""COMPUTED_VALUE"""),"https://drive.google.com/file/d/1M7bA6UjBi362er4rauztelPfv9jo5eyN/view?usp=drivesdk")</f>
        <v>https://drive.google.com/file/d/1M7bA6UjBi362er4rauztelPfv9jo5eyN/view?usp=drivesdk</v>
      </c>
    </row>
    <row r="5395">
      <c r="A5395" s="15">
        <f>IFERROR(__xludf.DUMMYFUNCTION("""COMPUTED_VALUE"""),45156.0)</f>
        <v>45156</v>
      </c>
      <c r="B5395" s="16" t="str">
        <f>IFERROR(__xludf.DUMMYFUNCTION("""COMPUTED_VALUE"""),"Envia")</f>
        <v>Envia</v>
      </c>
      <c r="C5395" s="15" t="str">
        <f>IFERROR(__xludf.DUMMYFUNCTION("""COMPUTED_VALUE"""),"CALI")</f>
        <v>CALI</v>
      </c>
      <c r="D5395" s="15" t="str">
        <f>IFERROR(__xludf.DUMMYFUNCTION("""COMPUTED_VALUE"""),"BOGOTÁ")</f>
        <v>BOGOTÁ</v>
      </c>
      <c r="E5395" s="15" t="str">
        <f>IFERROR(__xludf.DUMMYFUNCTION("""COMPUTED_VALUE"""),"Mochi")</f>
        <v>Mochi</v>
      </c>
      <c r="F5395" s="17" t="str">
        <f>IFERROR(__xludf.DUMMYFUNCTION("""COMPUTED_VALUE"""),"Cl. 15 Nte. #9n-16, Granada,                Cali, Valle del Cauca / Cl. 15 Nte. #9n-16, Granada,                Cali, Valle del Cauca / Cl. 15 Nte. #9n-16, Granada,                Cali, Valle del Cauca")</f>
        <v>Cl. 15 Nte. #9n-16, Granada,                Cali, Valle del Cauca / Cl. 15 Nte. #9n-16, Granada,                Cali, Valle del Cauca / Cl. 15 Nte. #9n-16, Granada,                Cali, Valle del Cauca</v>
      </c>
      <c r="G5395" s="15" t="str">
        <f>IFERROR(__xludf.DUMMYFUNCTION("""COMPUTED_VALUE"""),"estefania")</f>
        <v>estefania</v>
      </c>
      <c r="H5395" s="16">
        <f>IFERROR(__xludf.DUMMYFUNCTION("""COMPUTED_VALUE"""),14133.0)</f>
        <v>14133</v>
      </c>
      <c r="I5395" s="18">
        <f>IFERROR(__xludf.DUMMYFUNCTION("""COMPUTED_VALUE"""),100.0)</f>
        <v>100</v>
      </c>
      <c r="J5395" s="18">
        <f>IFERROR(__xludf.DUMMYFUNCTION("""COMPUTED_VALUE"""),100.0)</f>
        <v>100</v>
      </c>
      <c r="K5395" s="18">
        <f>IFERROR(__xludf.DUMMYFUNCTION("""COMPUTED_VALUE"""),100.0)</f>
        <v>100</v>
      </c>
      <c r="L5395" s="17">
        <f>IFERROR(__xludf.DUMMYFUNCTION("""COMPUTED_VALUE"""),3.183028598E9)</f>
        <v>3183028598</v>
      </c>
      <c r="M5395" s="17" t="str">
        <f>IFERROR(__xludf.DUMMYFUNCTION("""COMPUTED_VALUE"""),"#REF!")</f>
        <v>#REF!</v>
      </c>
      <c r="N5395" s="17"/>
      <c r="O5395" s="17"/>
      <c r="P5395" s="17" t="b">
        <f>IFERROR(__xludf.DUMMYFUNCTION("""COMPUTED_VALUE"""),FALSE)</f>
        <v>0</v>
      </c>
      <c r="Q5395" s="20" t="str">
        <f>IFERROR(__xludf.DUMMYFUNCTION("""COMPUTED_VALUE"""),"")</f>
        <v/>
      </c>
      <c r="R5395" s="22" t="str">
        <f>IFERROR(__xludf.DUMMYFUNCTION("""COMPUTED_VALUE"""),"")</f>
        <v/>
      </c>
    </row>
    <row r="5396">
      <c r="A5396" s="15">
        <f>IFERROR(__xludf.DUMMYFUNCTION("""COMPUTED_VALUE"""),45156.0)</f>
        <v>45156</v>
      </c>
      <c r="B5396" s="16" t="str">
        <f>IFERROR(__xludf.DUMMYFUNCTION("""COMPUTED_VALUE"""),"Envia")</f>
        <v>Envia</v>
      </c>
      <c r="C5396" s="15" t="str">
        <f>IFERROR(__xludf.DUMMYFUNCTION("""COMPUTED_VALUE"""),"CÚCUTA")</f>
        <v>CÚCUTA</v>
      </c>
      <c r="D5396" s="15" t="str">
        <f>IFERROR(__xludf.DUMMYFUNCTION("""COMPUTED_VALUE"""),"MEDELLÍN")</f>
        <v>MEDELLÍN</v>
      </c>
      <c r="E5396" s="15" t="str">
        <f>IFERROR(__xludf.DUMMYFUNCTION("""COMPUTED_VALUE"""),"Moloso S.A.S")</f>
        <v>Moloso S.A.S</v>
      </c>
      <c r="F5396" s="17" t="str">
        <f>IFERROR(__xludf.DUMMYFUNCTION("""COMPUTED_VALUE"""),"CL 7 18 09 / ASTURIAS TORRES AP 402 TORRE A")</f>
        <v>CL 7 18 09 / ASTURIAS TORRES AP 402 TORRE A</v>
      </c>
      <c r="G5396" s="15" t="str">
        <f>IFERROR(__xludf.DUMMYFUNCTION("""COMPUTED_VALUE"""),"GENESIS VICTORIA MELENDEZ")</f>
        <v>GENESIS VICTORIA MELENDEZ</v>
      </c>
      <c r="H5396" s="16">
        <f>IFERROR(__xludf.DUMMYFUNCTION("""COMPUTED_VALUE"""),14122.0)</f>
        <v>14122</v>
      </c>
      <c r="I5396" s="18">
        <f>IFERROR(__xludf.DUMMYFUNCTION("""COMPUTED_VALUE"""),17.0)</f>
        <v>17</v>
      </c>
      <c r="J5396" s="18">
        <f>IFERROR(__xludf.DUMMYFUNCTION("""COMPUTED_VALUE"""),15.0)</f>
        <v>15</v>
      </c>
      <c r="K5396" s="18">
        <f>IFERROR(__xludf.DUMMYFUNCTION("""COMPUTED_VALUE"""),28.0)</f>
        <v>28</v>
      </c>
      <c r="L5396" s="17" t="str">
        <f>IFERROR(__xludf.DUMMYFUNCTION("""COMPUTED_VALUE"""),"317 3835451")</f>
        <v>317 3835451</v>
      </c>
      <c r="M5396" s="17" t="str">
        <f>IFERROR(__xludf.DUMMYFUNCTION("""COMPUTED_VALUE"""),"#REF!")</f>
        <v>#REF!</v>
      </c>
      <c r="N5396" s="17"/>
      <c r="O5396" s="17"/>
      <c r="P5396" s="17" t="b">
        <f>IFERROR(__xludf.DUMMYFUNCTION("""COMPUTED_VALUE"""),FALSE)</f>
        <v>0</v>
      </c>
      <c r="Q5396" s="20" t="str">
        <f>IFERROR(__xludf.DUMMYFUNCTION("""COMPUTED_VALUE"""),"")</f>
        <v/>
      </c>
      <c r="R5396" s="22" t="str">
        <f>IFERROR(__xludf.DUMMYFUNCTION("""COMPUTED_VALUE"""),"")</f>
        <v/>
      </c>
    </row>
    <row r="5397">
      <c r="A5397" s="15">
        <f>IFERROR(__xludf.DUMMYFUNCTION("""COMPUTED_VALUE"""),45156.0)</f>
        <v>45156</v>
      </c>
      <c r="B5397" s="16" t="str">
        <f>IFERROR(__xludf.DUMMYFUNCTION("""COMPUTED_VALUE"""),"Envia")</f>
        <v>Envia</v>
      </c>
      <c r="C5397" s="15" t="str">
        <f>IFERROR(__xludf.DUMMYFUNCTION("""COMPUTED_VALUE"""),"IBAGUÉ")</f>
        <v>IBAGUÉ</v>
      </c>
      <c r="D5397" s="15" t="str">
        <f>IFERROR(__xludf.DUMMYFUNCTION("""COMPUTED_VALUE"""),"BOGOTÁ")</f>
        <v>BOGOTÁ</v>
      </c>
      <c r="E5397" s="15" t="str">
        <f>IFERROR(__xludf.DUMMYFUNCTION("""COMPUTED_VALUE"""),"Frambascolombia sas")</f>
        <v>Frambascolombia sas</v>
      </c>
      <c r="F5397" s="17" t="str">
        <f>IFERROR(__xludf.DUMMYFUNCTION("""COMPUTED_VALUE"""),"Cra 14 # 75A-29 Local 5
 / local 2")</f>
        <v>Cra 14 # 75A-29 Local 5
 / local 2</v>
      </c>
      <c r="G5397" s="15" t="str">
        <f>IFERROR(__xludf.DUMMYFUNCTION("""COMPUTED_VALUE"""),"Daniela Tatiana Lopez Arbelaez")</f>
        <v>Daniela Tatiana Lopez Arbelaez</v>
      </c>
      <c r="H5397" s="16">
        <f>IFERROR(__xludf.DUMMYFUNCTION("""COMPUTED_VALUE"""),14000.0)</f>
        <v>14000</v>
      </c>
      <c r="I5397" s="18">
        <f>IFERROR(__xludf.DUMMYFUNCTION("""COMPUTED_VALUE"""),45057.0)</f>
        <v>45057</v>
      </c>
      <c r="J5397" s="18">
        <f>IFERROR(__xludf.DUMMYFUNCTION("""COMPUTED_VALUE"""),10.0)</f>
        <v>10</v>
      </c>
      <c r="K5397" s="18">
        <f>IFERROR(__xludf.DUMMYFUNCTION("""COMPUTED_VALUE"""),10.0)</f>
        <v>10</v>
      </c>
      <c r="L5397" s="17">
        <f>IFERROR(__xludf.DUMMYFUNCTION("""COMPUTED_VALUE"""),3.177002909E9)</f>
        <v>3177002909</v>
      </c>
      <c r="M5397" s="17" t="str">
        <f>IFERROR(__xludf.DUMMYFUNCTION("""COMPUTED_VALUE"""),"#REF!")</f>
        <v>#REF!</v>
      </c>
      <c r="N5397" s="17"/>
      <c r="O5397" s="17"/>
      <c r="P5397" s="17" t="b">
        <f>IFERROR(__xludf.DUMMYFUNCTION("""COMPUTED_VALUE"""),FALSE)</f>
        <v>0</v>
      </c>
      <c r="Q5397" s="20" t="str">
        <f>IFERROR(__xludf.DUMMYFUNCTION("""COMPUTED_VALUE"""),"")</f>
        <v/>
      </c>
      <c r="R5397" s="22" t="str">
        <f>IFERROR(__xludf.DUMMYFUNCTION("""COMPUTED_VALUE"""),"")</f>
        <v/>
      </c>
    </row>
    <row r="5398">
      <c r="A5398" s="15">
        <f>IFERROR(__xludf.DUMMYFUNCTION("""COMPUTED_VALUE"""),45156.0)</f>
        <v>45156</v>
      </c>
      <c r="B5398" s="16" t="str">
        <f>IFERROR(__xludf.DUMMYFUNCTION("""COMPUTED_VALUE"""),"Envia")</f>
        <v>Envia</v>
      </c>
      <c r="C5398" s="15" t="str">
        <f>IFERROR(__xludf.DUMMYFUNCTION("""COMPUTED_VALUE"""),"IBAGUÉ")</f>
        <v>IBAGUÉ</v>
      </c>
      <c r="D5398" s="15" t="str">
        <f>IFERROR(__xludf.DUMMYFUNCTION("""COMPUTED_VALUE"""),"BOGOTÁ")</f>
        <v>BOGOTÁ</v>
      </c>
      <c r="E5398" s="15" t="str">
        <f>IFERROR(__xludf.DUMMYFUNCTION("""COMPUTED_VALUE"""),"Frambascolombia sas")</f>
        <v>Frambascolombia sas</v>
      </c>
      <c r="F5398" s="17" t="str">
        <f>IFERROR(__xludf.DUMMYFUNCTION("""COMPUTED_VALUE"""),"Cra 14 # 75A-29 Local 5
 / local 2")</f>
        <v>Cra 14 # 75A-29 Local 5
 / local 2</v>
      </c>
      <c r="G5398" s="15" t="str">
        <f>IFERROR(__xludf.DUMMYFUNCTION("""COMPUTED_VALUE"""),"Daniela Tatiana Lopez Arbelaez")</f>
        <v>Daniela Tatiana Lopez Arbelaez</v>
      </c>
      <c r="H5398" s="16">
        <f>IFERROR(__xludf.DUMMYFUNCTION("""COMPUTED_VALUE"""),14001.0)</f>
        <v>14001</v>
      </c>
      <c r="I5398" s="18">
        <f>IFERROR(__xludf.DUMMYFUNCTION("""COMPUTED_VALUE"""),8.0)</f>
        <v>8</v>
      </c>
      <c r="J5398" s="18">
        <f>IFERROR(__xludf.DUMMYFUNCTION("""COMPUTED_VALUE"""),44992.0)</f>
        <v>44992</v>
      </c>
      <c r="K5398" s="18">
        <f>IFERROR(__xludf.DUMMYFUNCTION("""COMPUTED_VALUE"""),44992.0)</f>
        <v>44992</v>
      </c>
      <c r="L5398" s="17">
        <f>IFERROR(__xludf.DUMMYFUNCTION("""COMPUTED_VALUE"""),3.177002909E9)</f>
        <v>3177002909</v>
      </c>
      <c r="M5398" s="17" t="str">
        <f>IFERROR(__xludf.DUMMYFUNCTION("""COMPUTED_VALUE"""),"#REF!")</f>
        <v>#REF!</v>
      </c>
      <c r="N5398" s="17"/>
      <c r="O5398" s="17"/>
      <c r="P5398" s="17" t="b">
        <f>IFERROR(__xludf.DUMMYFUNCTION("""COMPUTED_VALUE"""),FALSE)</f>
        <v>0</v>
      </c>
      <c r="Q5398" s="20" t="str">
        <f>IFERROR(__xludf.DUMMYFUNCTION("""COMPUTED_VALUE"""),"")</f>
        <v/>
      </c>
      <c r="R5398" s="22" t="str">
        <f>IFERROR(__xludf.DUMMYFUNCTION("""COMPUTED_VALUE"""),"")</f>
        <v/>
      </c>
    </row>
    <row r="5399">
      <c r="A5399" s="15">
        <f>IFERROR(__xludf.DUMMYFUNCTION("""COMPUTED_VALUE"""),45156.0)</f>
        <v>45156</v>
      </c>
      <c r="B5399" s="16" t="str">
        <f>IFERROR(__xludf.DUMMYFUNCTION("""COMPUTED_VALUE"""),"Envia")</f>
        <v>Envia</v>
      </c>
      <c r="C5399" s="15" t="str">
        <f>IFERROR(__xludf.DUMMYFUNCTION("""COMPUTED_VALUE"""),"MEDELLÍN")</f>
        <v>MEDELLÍN</v>
      </c>
      <c r="D5399" s="15" t="str">
        <f>IFERROR(__xludf.DUMMYFUNCTION("""COMPUTED_VALUE"""),"BOGOTÁ")</f>
        <v>BOGOTÁ</v>
      </c>
      <c r="E5399" s="15" t="str">
        <f>IFERROR(__xludf.DUMMYFUNCTION("""COMPUTED_VALUE"""),"Forever Dog")</f>
        <v>Forever Dog</v>
      </c>
      <c r="F5399" s="17" t="str">
        <f>IFERROR(__xludf.DUMMYFUNCTION("""COMPUTED_VALUE"""),"Carrera 37# 10a-29 / Hotel click clack / habitación 408")</f>
        <v>Carrera 37# 10a-29 / Hotel click clack / habitación 408</v>
      </c>
      <c r="G5399" s="15" t="str">
        <f>IFERROR(__xludf.DUMMYFUNCTION("""COMPUTED_VALUE"""),"Jenny Sua")</f>
        <v>Jenny Sua</v>
      </c>
      <c r="H5399" s="16">
        <f>IFERROR(__xludf.DUMMYFUNCTION("""COMPUTED_VALUE"""),14132.0)</f>
        <v>14132</v>
      </c>
      <c r="I5399" s="18">
        <f>IFERROR(__xludf.DUMMYFUNCTION("""COMPUTED_VALUE"""),51.0)</f>
        <v>51</v>
      </c>
      <c r="J5399" s="18">
        <f>IFERROR(__xludf.DUMMYFUNCTION("""COMPUTED_VALUE"""),30.0)</f>
        <v>30</v>
      </c>
      <c r="K5399" s="18">
        <f>IFERROR(__xludf.DUMMYFUNCTION("""COMPUTED_VALUE"""),20.0)</f>
        <v>20</v>
      </c>
      <c r="L5399" s="17">
        <f>IFERROR(__xludf.DUMMYFUNCTION("""COMPUTED_VALUE"""),3.14202892E9)</f>
        <v>3142028920</v>
      </c>
      <c r="M5399" s="17" t="str">
        <f>IFERROR(__xludf.DUMMYFUNCTION("""COMPUTED_VALUE"""),"#REF!")</f>
        <v>#REF!</v>
      </c>
      <c r="N5399" s="17"/>
      <c r="O5399" s="17"/>
      <c r="P5399" s="17" t="b">
        <f>IFERROR(__xludf.DUMMYFUNCTION("""COMPUTED_VALUE"""),FALSE)</f>
        <v>0</v>
      </c>
      <c r="Q5399" s="20" t="str">
        <f>IFERROR(__xludf.DUMMYFUNCTION("""COMPUTED_VALUE"""),"")</f>
        <v/>
      </c>
      <c r="R5399" s="22" t="str">
        <f>IFERROR(__xludf.DUMMYFUNCTION("""COMPUTED_VALUE"""),"")</f>
        <v/>
      </c>
    </row>
    <row r="5400">
      <c r="A5400" s="15">
        <f>IFERROR(__xludf.DUMMYFUNCTION("""COMPUTED_VALUE"""),45156.0)</f>
        <v>45156</v>
      </c>
      <c r="B5400" s="16" t="str">
        <f>IFERROR(__xludf.DUMMYFUNCTION("""COMPUTED_VALUE"""),"Envia")</f>
        <v>Envia</v>
      </c>
      <c r="C5400" s="15" t="str">
        <f>IFERROR(__xludf.DUMMYFUNCTION("""COMPUTED_VALUE"""),"MEDELLÍN")</f>
        <v>MEDELLÍN</v>
      </c>
      <c r="D5400" s="15" t="str">
        <f>IFERROR(__xludf.DUMMYFUNCTION("""COMPUTED_VALUE"""),"BOGOTÁ")</f>
        <v>BOGOTÁ</v>
      </c>
      <c r="E5400" s="15" t="str">
        <f>IFERROR(__xludf.DUMMYFUNCTION("""COMPUTED_VALUE"""),"MAI ALIMENTOS S.A.S")</f>
        <v>MAI ALIMENTOS S.A.S</v>
      </c>
      <c r="F5400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5400" s="15" t="str">
        <f>IFERROR(__xludf.DUMMYFUNCTION("""COMPUTED_VALUE"""),"Novaventas - Medellin")</f>
        <v>Novaventas - Medellin</v>
      </c>
      <c r="H5400" s="16">
        <f>IFERROR(__xludf.DUMMYFUNCTION("""COMPUTED_VALUE"""),14126.0)</f>
        <v>14126</v>
      </c>
      <c r="I5400" s="18">
        <f>IFERROR(__xludf.DUMMYFUNCTION("""COMPUTED_VALUE"""),35.0)</f>
        <v>35</v>
      </c>
      <c r="J5400" s="18">
        <f>IFERROR(__xludf.DUMMYFUNCTION("""COMPUTED_VALUE"""),17.0)</f>
        <v>17</v>
      </c>
      <c r="K5400" s="18">
        <f>IFERROR(__xludf.DUMMYFUNCTION("""COMPUTED_VALUE"""),13.0)</f>
        <v>13</v>
      </c>
      <c r="L5400" s="17">
        <f>IFERROR(__xludf.DUMMYFUNCTION("""COMPUTED_VALUE"""),3.187351593E9)</f>
        <v>3187351593</v>
      </c>
      <c r="M5400" s="17" t="str">
        <f>IFERROR(__xludf.DUMMYFUNCTION("""COMPUTED_VALUE"""),"#REF!")</f>
        <v>#REF!</v>
      </c>
      <c r="N5400" s="17"/>
      <c r="O5400" s="17"/>
      <c r="P5400" s="17" t="b">
        <f>IFERROR(__xludf.DUMMYFUNCTION("""COMPUTED_VALUE"""),FALSE)</f>
        <v>0</v>
      </c>
      <c r="Q5400" s="20" t="str">
        <f>IFERROR(__xludf.DUMMYFUNCTION("""COMPUTED_VALUE"""),"")</f>
        <v/>
      </c>
      <c r="R5400" s="22" t="str">
        <f>IFERROR(__xludf.DUMMYFUNCTION("""COMPUTED_VALUE"""),"")</f>
        <v/>
      </c>
    </row>
    <row r="5401">
      <c r="A5401" s="15">
        <f>IFERROR(__xludf.DUMMYFUNCTION("""COMPUTED_VALUE"""),45156.0)</f>
        <v>45156</v>
      </c>
      <c r="B5401" s="16" t="str">
        <f>IFERROR(__xludf.DUMMYFUNCTION("""COMPUTED_VALUE"""),"Envia")</f>
        <v>Envia</v>
      </c>
      <c r="C5401" s="15" t="str">
        <f>IFERROR(__xludf.DUMMYFUNCTION("""COMPUTED_VALUE"""),"MEDELLÍN")</f>
        <v>MEDELLÍN</v>
      </c>
      <c r="D5401" s="15" t="str">
        <f>IFERROR(__xludf.DUMMYFUNCTION("""COMPUTED_VALUE"""),"BOGOTÁ")</f>
        <v>BOGOTÁ</v>
      </c>
      <c r="E5401" s="15" t="str">
        <f>IFERROR(__xludf.DUMMYFUNCTION("""COMPUTED_VALUE"""),"Ventura Productos Arg")</f>
        <v>Ventura Productos Arg</v>
      </c>
      <c r="F5401" s="17" t="str">
        <f>IFERROR(__xludf.DUMMYFUNCTION("""COMPUTED_VALUE"""),"Circular 1 #68-02 / Apto 203, Ed. Firenze")</f>
        <v>Circular 1 #68-02 / Apto 203, Ed. Firenze</v>
      </c>
      <c r="G5401" s="15" t="str">
        <f>IFERROR(__xludf.DUMMYFUNCTION("""COMPUTED_VALUE"""),"Daniela Avila")</f>
        <v>Daniela Avila</v>
      </c>
      <c r="H5401" s="16">
        <f>IFERROR(__xludf.DUMMYFUNCTION("""COMPUTED_VALUE"""),14076.0)</f>
        <v>14076</v>
      </c>
      <c r="I5401" s="18">
        <f>IFERROR(__xludf.DUMMYFUNCTION("""COMPUTED_VALUE"""),3.0)</f>
        <v>3</v>
      </c>
      <c r="J5401" s="18">
        <f>IFERROR(__xludf.DUMMYFUNCTION("""COMPUTED_VALUE"""),45060.0)</f>
        <v>45060</v>
      </c>
      <c r="K5401" s="18">
        <f>IFERROR(__xludf.DUMMYFUNCTION("""COMPUTED_VALUE"""),22.0)</f>
        <v>22</v>
      </c>
      <c r="L5401" s="17">
        <f>IFERROR(__xludf.DUMMYFUNCTION("""COMPUTED_VALUE"""),3.016887768E9)</f>
        <v>3016887768</v>
      </c>
      <c r="M5401" s="17" t="str">
        <f>IFERROR(__xludf.DUMMYFUNCTION("""COMPUTED_VALUE"""),"#REF!")</f>
        <v>#REF!</v>
      </c>
      <c r="N5401" s="17"/>
      <c r="O5401" s="17"/>
      <c r="P5401" s="17" t="b">
        <f>IFERROR(__xludf.DUMMYFUNCTION("""COMPUTED_VALUE"""),FALSE)</f>
        <v>0</v>
      </c>
      <c r="Q5401" s="20" t="str">
        <f>IFERROR(__xludf.DUMMYFUNCTION("""COMPUTED_VALUE"""),"")</f>
        <v/>
      </c>
      <c r="R5401" s="22" t="str">
        <f>IFERROR(__xludf.DUMMYFUNCTION("""COMPUTED_VALUE"""),"")</f>
        <v/>
      </c>
    </row>
    <row r="5402">
      <c r="A5402" s="15">
        <f>IFERROR(__xludf.DUMMYFUNCTION("""COMPUTED_VALUE"""),45156.0)</f>
        <v>45156</v>
      </c>
      <c r="B5402" s="16" t="str">
        <f>IFERROR(__xludf.DUMMYFUNCTION("""COMPUTED_VALUE"""),"Envia")</f>
        <v>Envia</v>
      </c>
      <c r="C5402" s="15" t="str">
        <f>IFERROR(__xludf.DUMMYFUNCTION("""COMPUTED_VALUE"""),"MEDELLÍN")</f>
        <v>MEDELLÍN</v>
      </c>
      <c r="D5402" s="15" t="str">
        <f>IFERROR(__xludf.DUMMYFUNCTION("""COMPUTED_VALUE"""),"BOGOTÁ")</f>
        <v>BOGOTÁ</v>
      </c>
      <c r="E5402" s="15" t="str">
        <f>IFERROR(__xludf.DUMMYFUNCTION("""COMPUTED_VALUE"""),"Viiva Fermentados")</f>
        <v>Viiva Fermentados</v>
      </c>
      <c r="F5402" s="17" t="str">
        <f>IFERROR(__xludf.DUMMYFUNCTION("""COMPUTED_VALUE"""),"Cll 31 Sur #47 A -15 / apto 502 / Urbanización Palmar de las Vegas Envigado")</f>
        <v>Cll 31 Sur #47 A -15 / apto 502 / Urbanización Palmar de las Vegas Envigado</v>
      </c>
      <c r="G5402" s="15" t="str">
        <f>IFERROR(__xludf.DUMMYFUNCTION("""COMPUTED_VALUE"""),"Alejandro Murillo")</f>
        <v>Alejandro Murillo</v>
      </c>
      <c r="H5402" s="16">
        <f>IFERROR(__xludf.DUMMYFUNCTION("""COMPUTED_VALUE"""),13998.0)</f>
        <v>13998</v>
      </c>
      <c r="I5402" s="18">
        <f>IFERROR(__xludf.DUMMYFUNCTION("""COMPUTED_VALUE"""),26.0)</f>
        <v>26</v>
      </c>
      <c r="J5402" s="18">
        <f>IFERROR(__xludf.DUMMYFUNCTION("""COMPUTED_VALUE"""),18.0)</f>
        <v>18</v>
      </c>
      <c r="K5402" s="18">
        <f>IFERROR(__xludf.DUMMYFUNCTION("""COMPUTED_VALUE"""),18.0)</f>
        <v>18</v>
      </c>
      <c r="L5402" s="17">
        <f>IFERROR(__xludf.DUMMYFUNCTION("""COMPUTED_VALUE"""),3.152390088E9)</f>
        <v>3152390088</v>
      </c>
      <c r="M5402" s="17" t="str">
        <f>IFERROR(__xludf.DUMMYFUNCTION("""COMPUTED_VALUE"""),"#REF!")</f>
        <v>#REF!</v>
      </c>
      <c r="N5402" s="17"/>
      <c r="O5402" s="17"/>
      <c r="P5402" s="17" t="b">
        <f>IFERROR(__xludf.DUMMYFUNCTION("""COMPUTED_VALUE"""),FALSE)</f>
        <v>0</v>
      </c>
      <c r="Q5402" s="20" t="str">
        <f>IFERROR(__xludf.DUMMYFUNCTION("""COMPUTED_VALUE"""),"")</f>
        <v/>
      </c>
      <c r="R5402" s="21" t="str">
        <f>IFERROR(__xludf.DUMMYFUNCTION("""COMPUTED_VALUE"""),"https://drive.google.com/file/d/1T6GLMNWJq6qnKigrVAugoqoNtu6LiMa3/view?usp=drivesdk")</f>
        <v>https://drive.google.com/file/d/1T6GLMNWJq6qnKigrVAugoqoNtu6LiMa3/view?usp=drivesdk</v>
      </c>
    </row>
    <row r="5403">
      <c r="A5403" s="15">
        <f>IFERROR(__xludf.DUMMYFUNCTION("""COMPUTED_VALUE"""),45156.0)</f>
        <v>45156</v>
      </c>
      <c r="B5403" s="16" t="str">
        <f>IFERROR(__xludf.DUMMYFUNCTION("""COMPUTED_VALUE"""),"Envia")</f>
        <v>Envia</v>
      </c>
      <c r="C5403" s="15" t="str">
        <f>IFERROR(__xludf.DUMMYFUNCTION("""COMPUTED_VALUE"""),"SANTA MARTA")</f>
        <v>SANTA MARTA</v>
      </c>
      <c r="D5403" s="15" t="str">
        <f>IFERROR(__xludf.DUMMYFUNCTION("""COMPUTED_VALUE"""),"BOGOTÁ")</f>
        <v>BOGOTÁ</v>
      </c>
      <c r="E5403" s="15" t="str">
        <f>IFERROR(__xludf.DUMMYFUNCTION("""COMPUTED_VALUE"""),"Lunchy Kids")</f>
        <v>Lunchy Kids</v>
      </c>
      <c r="F5403" s="17" t="str">
        <f>IFERROR(__xludf.DUMMYFUNCTION("""COMPUTED_VALUE"""),"Carrera 4 # 21-180   / casa 25 Condominio Puerto Banus / Rodadero")</f>
        <v>Carrera 4 # 21-180   / casa 25 Condominio Puerto Banus / Rodadero</v>
      </c>
      <c r="G5403" s="15" t="str">
        <f>IFERROR(__xludf.DUMMYFUNCTION("""COMPUTED_VALUE"""),"Karem Barbosa Padilla")</f>
        <v>Karem Barbosa Padilla</v>
      </c>
      <c r="H5403" s="16">
        <f>IFERROR(__xludf.DUMMYFUNCTION("""COMPUTED_VALUE"""),13914.0)</f>
        <v>13914</v>
      </c>
      <c r="I5403" s="18">
        <f>IFERROR(__xludf.DUMMYFUNCTION("""COMPUTED_VALUE"""),14.0)</f>
        <v>14</v>
      </c>
      <c r="J5403" s="18">
        <f>IFERROR(__xludf.DUMMYFUNCTION("""COMPUTED_VALUE"""),34.0)</f>
        <v>34</v>
      </c>
      <c r="K5403" s="18">
        <f>IFERROR(__xludf.DUMMYFUNCTION("""COMPUTED_VALUE"""),21.0)</f>
        <v>21</v>
      </c>
      <c r="L5403" s="17">
        <f>IFERROR(__xludf.DUMMYFUNCTION("""COMPUTED_VALUE"""),3.107696552E9)</f>
        <v>3107696552</v>
      </c>
      <c r="M5403" s="17" t="str">
        <f>IFERROR(__xludf.DUMMYFUNCTION("""COMPUTED_VALUE"""),"#REF!")</f>
        <v>#REF!</v>
      </c>
      <c r="N5403" s="17"/>
      <c r="O5403" s="17"/>
      <c r="P5403" s="17" t="b">
        <f>IFERROR(__xludf.DUMMYFUNCTION("""COMPUTED_VALUE"""),FALSE)</f>
        <v>0</v>
      </c>
      <c r="Q5403" s="20" t="str">
        <f>IFERROR(__xludf.DUMMYFUNCTION("""COMPUTED_VALUE"""),"")</f>
        <v/>
      </c>
      <c r="R5403" s="21" t="str">
        <f>IFERROR(__xludf.DUMMYFUNCTION("""COMPUTED_VALUE"""),"https://drive.google.com/file/d/1RRAdVfI1ytHeEEfKSlAl-Pl5D0wFl_Qb/view?usp=drivesdk")</f>
        <v>https://drive.google.com/file/d/1RRAdVfI1ytHeEEfKSlAl-Pl5D0wFl_Qb/view?usp=drivesdk</v>
      </c>
    </row>
    <row r="5404">
      <c r="A5404" s="15">
        <f>IFERROR(__xludf.DUMMYFUNCTION("""COMPUTED_VALUE"""),45156.0)</f>
        <v>45156</v>
      </c>
      <c r="B5404" s="16" t="str">
        <f>IFERROR(__xludf.DUMMYFUNCTION("""COMPUTED_VALUE"""),"Envia")</f>
        <v>Envia</v>
      </c>
      <c r="C5404" s="15" t="str">
        <f>IFERROR(__xludf.DUMMYFUNCTION("""COMPUTED_VALUE"""),"SANTA MARTA")</f>
        <v>SANTA MARTA</v>
      </c>
      <c r="D5404" s="15" t="str">
        <f>IFERROR(__xludf.DUMMYFUNCTION("""COMPUTED_VALUE"""),"BUCARAMANGA")</f>
        <v>BUCARAMANGA</v>
      </c>
      <c r="E5404" s="15" t="str">
        <f>IFERROR(__xludf.DUMMYFUNCTION("""COMPUTED_VALUE"""),"Yo Como Solito")</f>
        <v>Yo Como Solito</v>
      </c>
      <c r="F5404" s="17" t="str">
        <f>IFERROR(__xludf.DUMMYFUNCTION("""COMPUTED_VALUE"""),"CALLE 22 NO. 17-10 APTO 202 BARRIO ALCAZARES AL LADO DE ENVIA  / CALLE 22 NO. 17-10 APTO 202 BARRIO ALCAZARES AL LADO DE ENVIA  / CALLE 22 NO. 17-10 APTO 202 BARRIO ALCAZARES AL LADO DE ENVIA")</f>
        <v>CALLE 22 NO. 17-10 APTO 202 BARRIO ALCAZARES AL LADO DE ENVIA  / CALLE 22 NO. 17-10 APTO 202 BARRIO ALCAZARES AL LADO DE ENVIA  / CALLE 22 NO. 17-10 APTO 202 BARRIO ALCAZARES AL LADO DE ENVIA</v>
      </c>
      <c r="G5404" s="15" t="str">
        <f>IFERROR(__xludf.DUMMYFUNCTION("""COMPUTED_VALUE"""),"MARIA ANGELICA RINCON DIAZ")</f>
        <v>MARIA ANGELICA RINCON DIAZ</v>
      </c>
      <c r="H5404" s="16">
        <f>IFERROR(__xludf.DUMMYFUNCTION("""COMPUTED_VALUE"""),14011.0)</f>
        <v>14011</v>
      </c>
      <c r="I5404" s="18">
        <f>IFERROR(__xludf.DUMMYFUNCTION("""COMPUTED_VALUE"""),13.0)</f>
        <v>13</v>
      </c>
      <c r="J5404" s="18">
        <f>IFERROR(__xludf.DUMMYFUNCTION("""COMPUTED_VALUE"""),27.0)</f>
        <v>27</v>
      </c>
      <c r="K5404" s="18">
        <f>IFERROR(__xludf.DUMMYFUNCTION("""COMPUTED_VALUE"""),27.0)</f>
        <v>27</v>
      </c>
      <c r="L5404" s="17">
        <f>IFERROR(__xludf.DUMMYFUNCTION("""COMPUTED_VALUE"""),3.002700385E9)</f>
        <v>3002700385</v>
      </c>
      <c r="M5404" s="17" t="str">
        <f>IFERROR(__xludf.DUMMYFUNCTION("""COMPUTED_VALUE"""),"#REF!")</f>
        <v>#REF!</v>
      </c>
      <c r="N5404" s="17"/>
      <c r="O5404" s="17"/>
      <c r="P5404" s="17" t="b">
        <f>IFERROR(__xludf.DUMMYFUNCTION("""COMPUTED_VALUE"""),FALSE)</f>
        <v>0</v>
      </c>
      <c r="Q5404" s="20" t="str">
        <f>IFERROR(__xludf.DUMMYFUNCTION("""COMPUTED_VALUE"""),"")</f>
        <v/>
      </c>
      <c r="R5404" s="21" t="str">
        <f>IFERROR(__xludf.DUMMYFUNCTION("""COMPUTED_VALUE"""),"https://drive.google.com/file/d/1tGVYwkL-qxkW21HmguD80x5Q4vgtPtQe/view?usp=drivesdk")</f>
        <v>https://drive.google.com/file/d/1tGVYwkL-qxkW21HmguD80x5Q4vgtPtQe/view?usp=drivesdk</v>
      </c>
    </row>
    <row r="5405">
      <c r="A5405" s="15">
        <f>IFERROR(__xludf.DUMMYFUNCTION("""COMPUTED_VALUE"""),45156.0)</f>
        <v>45156</v>
      </c>
      <c r="B5405" s="16" t="str">
        <f>IFERROR(__xludf.DUMMYFUNCTION("""COMPUTED_VALUE"""),"Envia")</f>
        <v>Envia</v>
      </c>
      <c r="C5405" s="15" t="str">
        <f>IFERROR(__xludf.DUMMYFUNCTION("""COMPUTED_VALUE"""),"SOACHA")</f>
        <v>SOACHA</v>
      </c>
      <c r="D5405" s="15" t="str">
        <f>IFERROR(__xludf.DUMMYFUNCTION("""COMPUTED_VALUE"""),"MEDELLÍN")</f>
        <v>MEDELLÍN</v>
      </c>
      <c r="E5405" s="15" t="str">
        <f>IFERROR(__xludf.DUMMYFUNCTION("""COMPUTED_VALUE"""),"Rambla")</f>
        <v>Rambla</v>
      </c>
      <c r="F5405" s="17" t="str">
        <f>IFERROR(__xludf.DUMMYFUNCTION("""COMPUTED_VALUE"""),"Carrera 1A No. 20 - 138 Urbanizacion El Sol - Soacha / - / -")</f>
        <v>Carrera 1A No. 20 - 138 Urbanizacion El Sol - Soacha / - / -</v>
      </c>
      <c r="G5405" s="15" t="str">
        <f>IFERROR(__xludf.DUMMYFUNCTION("""COMPUTED_VALUE"""),"Diana Marcela Velasquez Castañeda")</f>
        <v>Diana Marcela Velasquez Castañeda</v>
      </c>
      <c r="H5405" s="16">
        <f>IFERROR(__xludf.DUMMYFUNCTION("""COMPUTED_VALUE"""),14145.0)</f>
        <v>14145</v>
      </c>
      <c r="I5405" s="18">
        <f>IFERROR(__xludf.DUMMYFUNCTION("""COMPUTED_VALUE"""),22.0)</f>
        <v>22</v>
      </c>
      <c r="J5405" s="18">
        <f>IFERROR(__xludf.DUMMYFUNCTION("""COMPUTED_VALUE"""),22.0)</f>
        <v>22</v>
      </c>
      <c r="K5405" s="18">
        <f>IFERROR(__xludf.DUMMYFUNCTION("""COMPUTED_VALUE"""),12.0)</f>
        <v>12</v>
      </c>
      <c r="L5405" s="17">
        <f>IFERROR(__xludf.DUMMYFUNCTION("""COMPUTED_VALUE"""),3.107768763E9)</f>
        <v>3107768763</v>
      </c>
      <c r="M5405" s="17" t="str">
        <f>IFERROR(__xludf.DUMMYFUNCTION("""COMPUTED_VALUE"""),"#REF!")</f>
        <v>#REF!</v>
      </c>
      <c r="N5405" s="17"/>
      <c r="O5405" s="17"/>
      <c r="P5405" s="17" t="b">
        <f>IFERROR(__xludf.DUMMYFUNCTION("""COMPUTED_VALUE"""),FALSE)</f>
        <v>0</v>
      </c>
      <c r="Q5405" s="20" t="str">
        <f>IFERROR(__xludf.DUMMYFUNCTION("""COMPUTED_VALUE"""),"")</f>
        <v/>
      </c>
      <c r="R5405" s="22" t="str">
        <f>IFERROR(__xludf.DUMMYFUNCTION("""COMPUTED_VALUE"""),"")</f>
        <v/>
      </c>
    </row>
    <row r="5406">
      <c r="A5406" s="17" t="str">
        <f>IFERROR(__xludf.DUMMYFUNCTION("""COMPUTED_VALUE"""),"")</f>
        <v/>
      </c>
      <c r="B5406" s="17" t="str">
        <f>IFERROR(__xludf.DUMMYFUNCTION("""COMPUTED_VALUE"""),"")</f>
        <v/>
      </c>
      <c r="C5406" s="17" t="str">
        <f>IFERROR(__xludf.DUMMYFUNCTION("""COMPUTED_VALUE"""),"")</f>
        <v/>
      </c>
      <c r="D5406" s="17" t="str">
        <f>IFERROR(__xludf.DUMMYFUNCTION("""COMPUTED_VALUE"""),"")</f>
        <v/>
      </c>
      <c r="E5406" s="17" t="str">
        <f>IFERROR(__xludf.DUMMYFUNCTION("""COMPUTED_VALUE"""),"")</f>
        <v/>
      </c>
      <c r="F5406" s="17" t="str">
        <f>IFERROR(__xludf.DUMMYFUNCTION("""COMPUTED_VALUE"""),"")</f>
        <v/>
      </c>
      <c r="G5406" s="17" t="str">
        <f>IFERROR(__xludf.DUMMYFUNCTION("""COMPUTED_VALUE"""),"")</f>
        <v/>
      </c>
      <c r="H5406" s="17" t="str">
        <f>IFERROR(__xludf.DUMMYFUNCTION("""COMPUTED_VALUE"""),"")</f>
        <v/>
      </c>
      <c r="I5406" s="17" t="str">
        <f>IFERROR(__xludf.DUMMYFUNCTION("""COMPUTED_VALUE"""),"")</f>
        <v/>
      </c>
      <c r="J5406" s="17" t="str">
        <f>IFERROR(__xludf.DUMMYFUNCTION("""COMPUTED_VALUE"""),"")</f>
        <v/>
      </c>
      <c r="K5406" s="17" t="str">
        <f>IFERROR(__xludf.DUMMYFUNCTION("""COMPUTED_VALUE"""),"")</f>
        <v/>
      </c>
      <c r="L5406" s="17" t="str">
        <f>IFERROR(__xludf.DUMMYFUNCTION("""COMPUTED_VALUE"""),"")</f>
        <v/>
      </c>
      <c r="M5406" s="17" t="str">
        <f>IFERROR(__xludf.DUMMYFUNCTION("""COMPUTED_VALUE"""),"")</f>
        <v/>
      </c>
      <c r="N5406" s="17" t="str">
        <f>IFERROR(__xludf.DUMMYFUNCTION("""COMPUTED_VALUE"""),"")</f>
        <v/>
      </c>
      <c r="O5406" s="17" t="str">
        <f>IFERROR(__xludf.DUMMYFUNCTION("""COMPUTED_VALUE"""),"")</f>
        <v/>
      </c>
      <c r="P5406" s="17" t="str">
        <f>IFERROR(__xludf.DUMMYFUNCTION("""COMPUTED_VALUE"""),"")</f>
        <v/>
      </c>
      <c r="Q5406" s="17" t="str">
        <f>IFERROR(__xludf.DUMMYFUNCTION("""COMPUTED_VALUE"""),"")</f>
        <v/>
      </c>
      <c r="R5406" s="17" t="str">
        <f>IFERROR(__xludf.DUMMYFUNCTION("""COMPUTED_VALUE"""),"")</f>
        <v/>
      </c>
    </row>
    <row r="5407">
      <c r="A5407" s="15">
        <f>IFERROR(__xludf.DUMMYFUNCTION("""COMPUTED_VALUE"""),45156.0)</f>
        <v>45156</v>
      </c>
      <c r="B5407" s="16" t="str">
        <f>IFERROR(__xludf.DUMMYFUNCTION("""COMPUTED_VALUE"""),"Jeison Rubiano")</f>
        <v>Jeison Rubiano</v>
      </c>
      <c r="C5407" s="15" t="str">
        <f>IFERROR(__xludf.DUMMYFUNCTION("""COMPUTED_VALUE"""),"BOGOTÁ")</f>
        <v>BOGOTÁ</v>
      </c>
      <c r="D5407" s="15" t="str">
        <f>IFERROR(__xludf.DUMMYFUNCTION("""COMPUTED_VALUE"""),"MEDELLÍN")</f>
        <v>MEDELLÍN</v>
      </c>
      <c r="E5407" s="15" t="str">
        <f>IFERROR(__xludf.DUMMYFUNCTION("""COMPUTED_VALUE"""),"Baby Chef")</f>
        <v>Baby Chef</v>
      </c>
      <c r="F5407" s="17" t="str">
        <f>IFERROR(__xludf.DUMMYFUNCTION("""COMPUTED_VALUE"""),"Calle 147 # 58c-80 apto 2002 edificio carrá / Calle 147 # 58c-80 apto 2002 edificio carrá / Calle 147 # 58c-80 apto 2002 edificio carrá")</f>
        <v>Calle 147 # 58c-80 apto 2002 edificio carrá / Calle 147 # 58c-80 apto 2002 edificio carrá / Calle 147 # 58c-80 apto 2002 edificio carrá</v>
      </c>
      <c r="G5407" s="15" t="str">
        <f>IFERROR(__xludf.DUMMYFUNCTION("""COMPUTED_VALUE"""),"Diana Duque")</f>
        <v>Diana Duque</v>
      </c>
      <c r="H5407" s="16">
        <f>IFERROR(__xludf.DUMMYFUNCTION("""COMPUTED_VALUE"""),14138.0)</f>
        <v>14138</v>
      </c>
      <c r="I5407" s="18">
        <f>IFERROR(__xludf.DUMMYFUNCTION("""COMPUTED_VALUE"""),7.0)</f>
        <v>7</v>
      </c>
      <c r="J5407" s="18">
        <f>IFERROR(__xludf.DUMMYFUNCTION("""COMPUTED_VALUE"""),33.0)</f>
        <v>33</v>
      </c>
      <c r="K5407" s="18">
        <f>IFERROR(__xludf.DUMMYFUNCTION("""COMPUTED_VALUE"""),21.0)</f>
        <v>21</v>
      </c>
      <c r="L5407" s="17">
        <f>IFERROR(__xludf.DUMMYFUNCTION("""COMPUTED_VALUE"""),3.173891282E9)</f>
        <v>3173891282</v>
      </c>
      <c r="M5407" s="17" t="str">
        <f>IFERROR(__xludf.DUMMYFUNCTION("""COMPUTED_VALUE"""),"#REF!")</f>
        <v>#REF!</v>
      </c>
      <c r="N5407" s="17"/>
      <c r="O5407" s="17"/>
      <c r="P5407" s="17" t="b">
        <f>IFERROR(__xludf.DUMMYFUNCTION("""COMPUTED_VALUE"""),FALSE)</f>
        <v>0</v>
      </c>
      <c r="Q5407" s="20" t="str">
        <f>IFERROR(__xludf.DUMMYFUNCTION("""COMPUTED_VALUE"""),"")</f>
        <v/>
      </c>
      <c r="R5407" s="21" t="str">
        <f>IFERROR(__xludf.DUMMYFUNCTION("""COMPUTED_VALUE"""),"https://drive.google.com/file/d/1U84IDLQtVatWXHtbCMpUtJJlv9C5-XAf/view?usp=drivesdk")</f>
        <v>https://drive.google.com/file/d/1U84IDLQtVatWXHtbCMpUtJJlv9C5-XAf/view?usp=drivesdk</v>
      </c>
    </row>
    <row r="5408">
      <c r="A5408" s="15">
        <f>IFERROR(__xludf.DUMMYFUNCTION("""COMPUTED_VALUE"""),45156.0)</f>
        <v>45156</v>
      </c>
      <c r="B5408" s="16" t="str">
        <f>IFERROR(__xludf.DUMMYFUNCTION("""COMPUTED_VALUE"""),"Jeison Rubiano")</f>
        <v>Jeison Rubiano</v>
      </c>
      <c r="C5408" s="15" t="str">
        <f>IFERROR(__xludf.DUMMYFUNCTION("""COMPUTED_VALUE"""),"BOGOTÁ")</f>
        <v>BOGOTÁ</v>
      </c>
      <c r="D5408" s="15" t="str">
        <f>IFERROR(__xludf.DUMMYFUNCTION("""COMPUTED_VALUE"""),"MEDELLÍN")</f>
        <v>MEDELLÍN</v>
      </c>
      <c r="E5408" s="15" t="str">
        <f>IFERROR(__xludf.DUMMYFUNCTION("""COMPUTED_VALUE"""),"Baby Chef")</f>
        <v>Baby Chef</v>
      </c>
      <c r="F5408" s="17" t="str">
        <f>IFERROR(__xludf.DUMMYFUNCTION("""COMPUTED_VALUE"""),"Calle 72F # 113a 85 torre 2 Apto 602 conjunto mirador de los cerezos 3, barrio villas de Granada / Calle 72F # 113a 85 torre 2 Apto 602 conjunto mirador de los cerezos 3, barrio villas de Granada / Calle 72F # 113a 85 torre 2 Apto 602 conjunto mirador de "&amp;"los cerezos 3, barrio villas de Granada")</f>
        <v>Calle 72F # 113a 85 torre 2 Apto 602 conjunto mirador de los cerezos 3, barrio villas de Granada / Calle 72F # 113a 85 torre 2 Apto 602 conjunto mirador de los cerezos 3, barrio villas de Granada / Calle 72F # 113a 85 torre 2 Apto 602 conjunto mirador de los cerezos 3, barrio villas de Granada</v>
      </c>
      <c r="G5408" s="15" t="str">
        <f>IFERROR(__xludf.DUMMYFUNCTION("""COMPUTED_VALUE"""),"Luz Angela Avellaneda")</f>
        <v>Luz Angela Avellaneda</v>
      </c>
      <c r="H5408" s="16">
        <f>IFERROR(__xludf.DUMMYFUNCTION("""COMPUTED_VALUE"""),14137.0)</f>
        <v>14137</v>
      </c>
      <c r="I5408" s="18">
        <f>IFERROR(__xludf.DUMMYFUNCTION("""COMPUTED_VALUE"""),8.0)</f>
        <v>8</v>
      </c>
      <c r="J5408" s="18">
        <f>IFERROR(__xludf.DUMMYFUNCTION("""COMPUTED_VALUE"""),21.0)</f>
        <v>21</v>
      </c>
      <c r="K5408" s="18">
        <f>IFERROR(__xludf.DUMMYFUNCTION("""COMPUTED_VALUE"""),30.0)</f>
        <v>30</v>
      </c>
      <c r="L5408" s="17">
        <f>IFERROR(__xludf.DUMMYFUNCTION("""COMPUTED_VALUE"""),3.014934303E9)</f>
        <v>3014934303</v>
      </c>
      <c r="M5408" s="17" t="str">
        <f>IFERROR(__xludf.DUMMYFUNCTION("""COMPUTED_VALUE"""),"#REF!")</f>
        <v>#REF!</v>
      </c>
      <c r="N5408" s="17"/>
      <c r="O5408" s="17"/>
      <c r="P5408" s="17" t="b">
        <f>IFERROR(__xludf.DUMMYFUNCTION("""COMPUTED_VALUE"""),FALSE)</f>
        <v>0</v>
      </c>
      <c r="Q5408" s="20" t="str">
        <f>IFERROR(__xludf.DUMMYFUNCTION("""COMPUTED_VALUE"""),"")</f>
        <v/>
      </c>
      <c r="R5408" s="21" t="str">
        <f>IFERROR(__xludf.DUMMYFUNCTION("""COMPUTED_VALUE"""),"https://drive.google.com/file/d/1oH3D_9wxVh8oPhuqBHALlpA3MbVgNFee/view?usp=drivesdk")</f>
        <v>https://drive.google.com/file/d/1oH3D_9wxVh8oPhuqBHALlpA3MbVgNFee/view?usp=drivesdk</v>
      </c>
    </row>
    <row r="5409">
      <c r="A5409" s="15">
        <f>IFERROR(__xludf.DUMMYFUNCTION("""COMPUTED_VALUE"""),45156.0)</f>
        <v>45156</v>
      </c>
      <c r="B5409" s="16" t="str">
        <f>IFERROR(__xludf.DUMMYFUNCTION("""COMPUTED_VALUE"""),"Jeison Rubiano")</f>
        <v>Jeison Rubiano</v>
      </c>
      <c r="C5409" s="15" t="str">
        <f>IFERROR(__xludf.DUMMYFUNCTION("""COMPUTED_VALUE"""),"BOGOTÁ")</f>
        <v>BOGOTÁ</v>
      </c>
      <c r="D5409" s="15" t="str">
        <f>IFERROR(__xludf.DUMMYFUNCTION("""COMPUTED_VALUE"""),"MEDELLÍN")</f>
        <v>MEDELLÍN</v>
      </c>
      <c r="E5409" s="15" t="str">
        <f>IFERROR(__xludf.DUMMYFUNCTION("""COMPUTED_VALUE"""),"Baby Chef")</f>
        <v>Baby Chef</v>
      </c>
      <c r="F5409" s="17" t="str">
        <f>IFERROR(__xludf.DUMMYFUNCTION("""COMPUTED_VALUE"""),"Cra 118 86 20 Conjunto los almendros interior 30 apto 103 / ""Cra 118 86 20 Conjunto los almendros interior 30 apto 103"" / ""Cra 118 86 20 Conjunto los almendros interior 30 apto 103""")</f>
        <v>Cra 118 86 20 Conjunto los almendros interior 30 apto 103 / "Cra 118 86 20 Conjunto los almendros interior 30 apto 103" / "Cra 118 86 20 Conjunto los almendros interior 30 apto 103"</v>
      </c>
      <c r="G5409" s="15" t="str">
        <f>IFERROR(__xludf.DUMMYFUNCTION("""COMPUTED_VALUE"""),"Shirley Roldán")</f>
        <v>Shirley Roldán</v>
      </c>
      <c r="H5409" s="16">
        <f>IFERROR(__xludf.DUMMYFUNCTION("""COMPUTED_VALUE"""),14135.0)</f>
        <v>14135</v>
      </c>
      <c r="I5409" s="18">
        <f>IFERROR(__xludf.DUMMYFUNCTION("""COMPUTED_VALUE"""),10.0)</f>
        <v>10</v>
      </c>
      <c r="J5409" s="18">
        <f>IFERROR(__xludf.DUMMYFUNCTION("""COMPUTED_VALUE"""),35.0)</f>
        <v>35</v>
      </c>
      <c r="K5409" s="18">
        <f>IFERROR(__xludf.DUMMYFUNCTION("""COMPUTED_VALUE"""),21.0)</f>
        <v>21</v>
      </c>
      <c r="L5409" s="17">
        <f>IFERROR(__xludf.DUMMYFUNCTION("""COMPUTED_VALUE"""),3.016725674E9)</f>
        <v>3016725674</v>
      </c>
      <c r="M5409" s="17" t="str">
        <f>IFERROR(__xludf.DUMMYFUNCTION("""COMPUTED_VALUE"""),"#REF!")</f>
        <v>#REF!</v>
      </c>
      <c r="N5409" s="17"/>
      <c r="O5409" s="17"/>
      <c r="P5409" s="17" t="b">
        <f>IFERROR(__xludf.DUMMYFUNCTION("""COMPUTED_VALUE"""),FALSE)</f>
        <v>0</v>
      </c>
      <c r="Q5409" s="20" t="str">
        <f>IFERROR(__xludf.DUMMYFUNCTION("""COMPUTED_VALUE"""),"")</f>
        <v/>
      </c>
      <c r="R5409" s="21" t="str">
        <f>IFERROR(__xludf.DUMMYFUNCTION("""COMPUTED_VALUE"""),"https://drive.google.com/file/d/18eBF_Sm-g8Bp8cyEKWuG5glIIVKZaQip/view?usp=drivesdk")</f>
        <v>https://drive.google.com/file/d/18eBF_Sm-g8Bp8cyEKWuG5glIIVKZaQip/view?usp=drivesdk</v>
      </c>
    </row>
    <row r="5410">
      <c r="A5410" s="15">
        <f>IFERROR(__xludf.DUMMYFUNCTION("""COMPUTED_VALUE"""),45156.0)</f>
        <v>45156</v>
      </c>
      <c r="B5410" s="16" t="str">
        <f>IFERROR(__xludf.DUMMYFUNCTION("""COMPUTED_VALUE"""),"Jeison Rubiano")</f>
        <v>Jeison Rubiano</v>
      </c>
      <c r="C5410" s="15" t="str">
        <f>IFERROR(__xludf.DUMMYFUNCTION("""COMPUTED_VALUE"""),"BOGOTÁ")</f>
        <v>BOGOTÁ</v>
      </c>
      <c r="D5410" s="15" t="str">
        <f>IFERROR(__xludf.DUMMYFUNCTION("""COMPUTED_VALUE"""),"MEDELLÍN")</f>
        <v>MEDELLÍN</v>
      </c>
      <c r="E5410" s="15" t="str">
        <f>IFERROR(__xludf.DUMMYFUNCTION("""COMPUTED_VALUE"""),"Baby Chef")</f>
        <v>Baby Chef</v>
      </c>
      <c r="F5410" s="17" t="str">
        <f>IFERROR(__xludf.DUMMYFUNCTION("""COMPUTED_VALUE"""),"Cra 82a # 6-37 Torre 7 apto 925 conjunto Tabaku Central / ""Cra 82a # 6-37 Torre 7 apto 925 conjunto Tabaku Central"" / ""Cra 82a # 6-37 Torre 7 apto 925 conjunto Tabaku Central""")</f>
        <v>Cra 82a # 6-37 Torre 7 apto 925 conjunto Tabaku Central / "Cra 82a # 6-37 Torre 7 apto 925 conjunto Tabaku Central" / "Cra 82a # 6-37 Torre 7 apto 925 conjunto Tabaku Central"</v>
      </c>
      <c r="G5410" s="15" t="str">
        <f>IFERROR(__xludf.DUMMYFUNCTION("""COMPUTED_VALUE"""),"Jessica Lozano Amado")</f>
        <v>Jessica Lozano Amado</v>
      </c>
      <c r="H5410" s="16">
        <f>IFERROR(__xludf.DUMMYFUNCTION("""COMPUTED_VALUE"""),14136.0)</f>
        <v>14136</v>
      </c>
      <c r="I5410" s="18">
        <f>IFERROR(__xludf.DUMMYFUNCTION("""COMPUTED_VALUE"""),6.0)</f>
        <v>6</v>
      </c>
      <c r="J5410" s="18">
        <f>IFERROR(__xludf.DUMMYFUNCTION("""COMPUTED_VALUE"""),36.0)</f>
        <v>36</v>
      </c>
      <c r="K5410" s="18">
        <f>IFERROR(__xludf.DUMMYFUNCTION("""COMPUTED_VALUE"""),14.0)</f>
        <v>14</v>
      </c>
      <c r="L5410" s="17">
        <f>IFERROR(__xludf.DUMMYFUNCTION("""COMPUTED_VALUE"""),3.168325436E9)</f>
        <v>3168325436</v>
      </c>
      <c r="M5410" s="17" t="str">
        <f>IFERROR(__xludf.DUMMYFUNCTION("""COMPUTED_VALUE"""),"#REF!")</f>
        <v>#REF!</v>
      </c>
      <c r="N5410" s="17"/>
      <c r="O5410" s="17"/>
      <c r="P5410" s="17" t="b">
        <f>IFERROR(__xludf.DUMMYFUNCTION("""COMPUTED_VALUE"""),TRUE)</f>
        <v>1</v>
      </c>
      <c r="Q5410" s="20">
        <f>IFERROR(__xludf.DUMMYFUNCTION("""COMPUTED_VALUE"""),45160.61606388889)</f>
        <v>45160.61606</v>
      </c>
      <c r="R5410" s="22" t="str">
        <f>IFERROR(__xludf.DUMMYFUNCTION("""COMPUTED_VALUE"""),"")</f>
        <v/>
      </c>
    </row>
    <row r="5411">
      <c r="A5411" s="15">
        <f>IFERROR(__xludf.DUMMYFUNCTION("""COMPUTED_VALUE"""),45156.0)</f>
        <v>45156</v>
      </c>
      <c r="B5411" s="16" t="str">
        <f>IFERROR(__xludf.DUMMYFUNCTION("""COMPUTED_VALUE"""),"Jeison Rubiano")</f>
        <v>Jeison Rubiano</v>
      </c>
      <c r="C5411" s="15" t="str">
        <f>IFERROR(__xludf.DUMMYFUNCTION("""COMPUTED_VALUE"""),"BOGOTÁ")</f>
        <v>BOGOTÁ</v>
      </c>
      <c r="D5411" s="15" t="str">
        <f>IFERROR(__xludf.DUMMYFUNCTION("""COMPUTED_VALUE"""),"MEDELLÍN")</f>
        <v>MEDELLÍN</v>
      </c>
      <c r="E5411" s="15" t="str">
        <f>IFERROR(__xludf.DUMMYFUNCTION("""COMPUTED_VALUE"""),"Biota")</f>
        <v>Biota</v>
      </c>
      <c r="F5411" s="17" t="str">
        <f>IFERROR(__xludf.DUMMYFUNCTION("""COMPUTED_VALUE"""),"Carrera 3d # 54-58 chapinero  / Mercado saludable en Chapinero  / Chapinero, el Konny, Mercado saludable")</f>
        <v>Carrera 3d # 54-58 chapinero  / Mercado saludable en Chapinero  / Chapinero, el Konny, Mercado saludable</v>
      </c>
      <c r="G5411" s="15" t="str">
        <f>IFERROR(__xludf.DUMMYFUNCTION("""COMPUTED_VALUE"""),"El konny Mercado saludable")</f>
        <v>El konny Mercado saludable</v>
      </c>
      <c r="H5411" s="16">
        <f>IFERROR(__xludf.DUMMYFUNCTION("""COMPUTED_VALUE"""),14131.0)</f>
        <v>14131</v>
      </c>
      <c r="I5411" s="18">
        <f>IFERROR(__xludf.DUMMYFUNCTION("""COMPUTED_VALUE"""),17.0)</f>
        <v>17</v>
      </c>
      <c r="J5411" s="18">
        <f>IFERROR(__xludf.DUMMYFUNCTION("""COMPUTED_VALUE"""),12.0)</f>
        <v>12</v>
      </c>
      <c r="K5411" s="18">
        <f>IFERROR(__xludf.DUMMYFUNCTION("""COMPUTED_VALUE"""),17.0)</f>
        <v>17</v>
      </c>
      <c r="L5411" s="17">
        <f>IFERROR(__xludf.DUMMYFUNCTION("""COMPUTED_VALUE"""),3.21472746E9)</f>
        <v>3214727460</v>
      </c>
      <c r="M5411" s="17" t="str">
        <f>IFERROR(__xludf.DUMMYFUNCTION("""COMPUTED_VALUE"""),"#REF!")</f>
        <v>#REF!</v>
      </c>
      <c r="N5411" s="17"/>
      <c r="O5411" s="17"/>
      <c r="P5411" s="17" t="b">
        <f>IFERROR(__xludf.DUMMYFUNCTION("""COMPUTED_VALUE"""),TRUE)</f>
        <v>1</v>
      </c>
      <c r="Q5411" s="20">
        <f>IFERROR(__xludf.DUMMYFUNCTION("""COMPUTED_VALUE"""),45160.61606388889)</f>
        <v>45160.61606</v>
      </c>
      <c r="R5411" s="21" t="str">
        <f>IFERROR(__xludf.DUMMYFUNCTION("""COMPUTED_VALUE"""),"https://drive.google.com/file/d/1fkGTLVxmkVaS6YDseap_O2nBBd-jRdsW/view?usp=drivesdk")</f>
        <v>https://drive.google.com/file/d/1fkGTLVxmkVaS6YDseap_O2nBBd-jRdsW/view?usp=drivesdk</v>
      </c>
    </row>
    <row r="5412">
      <c r="A5412" s="15">
        <f>IFERROR(__xludf.DUMMYFUNCTION("""COMPUTED_VALUE"""),45156.0)</f>
        <v>45156</v>
      </c>
      <c r="B5412" s="16" t="str">
        <f>IFERROR(__xludf.DUMMYFUNCTION("""COMPUTED_VALUE"""),"Jeison Rubiano")</f>
        <v>Jeison Rubiano</v>
      </c>
      <c r="C5412" s="15" t="str">
        <f>IFERROR(__xludf.DUMMYFUNCTION("""COMPUTED_VALUE"""),"BOGOTÁ")</f>
        <v>BOGOTÁ</v>
      </c>
      <c r="D5412" s="15" t="str">
        <f>IFERROR(__xludf.DUMMYFUNCTION("""COMPUTED_VALUE"""),"MEDELLÍN")</f>
        <v>MEDELLÍN</v>
      </c>
      <c r="E5412" s="15" t="str">
        <f>IFERROR(__xludf.DUMMYFUNCTION("""COMPUTED_VALUE"""),"Helados Artesanos")</f>
        <v>Helados Artesanos</v>
      </c>
      <c r="F5412" s="17" t="str">
        <f>IFERROR(__xludf.DUMMYFUNCTION("""COMPUTED_VALUE"""),"Receptoria principal Dando Cuerda / Oficinas de Dando Cuerda  / Centro de distribución Dando cuerda")</f>
        <v>Receptoria principal Dando Cuerda / Oficinas de Dando Cuerda  / Centro de distribución Dando cuerda</v>
      </c>
      <c r="G5412" s="15" t="str">
        <f>IFERROR(__xludf.DUMMYFUNCTION("""COMPUTED_VALUE"""),"María Daza")</f>
        <v>María Daza</v>
      </c>
      <c r="H5412" s="16">
        <f>IFERROR(__xludf.DUMMYFUNCTION("""COMPUTED_VALUE"""),14127.0)</f>
        <v>14127</v>
      </c>
      <c r="I5412" s="18">
        <f>IFERROR(__xludf.DUMMYFUNCTION("""COMPUTED_VALUE"""),26.0)</f>
        <v>26</v>
      </c>
      <c r="J5412" s="18">
        <f>IFERROR(__xludf.DUMMYFUNCTION("""COMPUTED_VALUE"""),16.0)</f>
        <v>16</v>
      </c>
      <c r="K5412" s="18">
        <f>IFERROR(__xludf.DUMMYFUNCTION("""COMPUTED_VALUE"""),24.0)</f>
        <v>24</v>
      </c>
      <c r="L5412" s="17">
        <f>IFERROR(__xludf.DUMMYFUNCTION("""COMPUTED_VALUE"""),3.204543715E9)</f>
        <v>3204543715</v>
      </c>
      <c r="M5412" s="17" t="str">
        <f>IFERROR(__xludf.DUMMYFUNCTION("""COMPUTED_VALUE"""),"#REF!")</f>
        <v>#REF!</v>
      </c>
      <c r="N5412" s="17"/>
      <c r="O5412" s="17"/>
      <c r="P5412" s="17" t="b">
        <f>IFERROR(__xludf.DUMMYFUNCTION("""COMPUTED_VALUE"""),TRUE)</f>
        <v>1</v>
      </c>
      <c r="Q5412" s="20">
        <f>IFERROR(__xludf.DUMMYFUNCTION("""COMPUTED_VALUE"""),45160.61606388889)</f>
        <v>45160.61606</v>
      </c>
      <c r="R5412" s="22" t="str">
        <f>IFERROR(__xludf.DUMMYFUNCTION("""COMPUTED_VALUE"""),"")</f>
        <v/>
      </c>
    </row>
    <row r="5413">
      <c r="A5413" s="15">
        <f>IFERROR(__xludf.DUMMYFUNCTION("""COMPUTED_VALUE"""),45156.0)</f>
        <v>45156</v>
      </c>
      <c r="B5413" s="16" t="str">
        <f>IFERROR(__xludf.DUMMYFUNCTION("""COMPUTED_VALUE"""),"Jeison Rubiano")</f>
        <v>Jeison Rubiano</v>
      </c>
      <c r="C5413" s="15" t="str">
        <f>IFERROR(__xludf.DUMMYFUNCTION("""COMPUTED_VALUE"""),"BOGOTÁ")</f>
        <v>BOGOTÁ</v>
      </c>
      <c r="D5413" s="15" t="str">
        <f>IFERROR(__xludf.DUMMYFUNCTION("""COMPUTED_VALUE"""),"MEDELLÍN")</f>
        <v>MEDELLÍN</v>
      </c>
      <c r="E5413" s="15" t="str">
        <f>IFERROR(__xludf.DUMMYFUNCTION("""COMPUTED_VALUE"""),"Magda")</f>
        <v>Magda</v>
      </c>
      <c r="F5413" s="17" t="str">
        <f>IFERROR(__xludf.DUMMYFUNCTION("""COMPUTED_VALUE"""),"Calle 71a # 14a22/26 / Cocinas ocultas / San Felipe")</f>
        <v>Calle 71a # 14a22/26 / Cocinas ocultas / San Felipe</v>
      </c>
      <c r="G5413" s="15" t="str">
        <f>IFERROR(__xludf.DUMMYFUNCTION("""COMPUTED_VALUE"""),"Andrés Hernández")</f>
        <v>Andrés Hernández</v>
      </c>
      <c r="H5413" s="16">
        <f>IFERROR(__xludf.DUMMYFUNCTION("""COMPUTED_VALUE"""),14112.0)</f>
        <v>14112</v>
      </c>
      <c r="I5413" s="18">
        <f>IFERROR(__xludf.DUMMYFUNCTION("""COMPUTED_VALUE"""),5.0)</f>
        <v>5</v>
      </c>
      <c r="J5413" s="18">
        <f>IFERROR(__xludf.DUMMYFUNCTION("""COMPUTED_VALUE"""),5.0)</f>
        <v>5</v>
      </c>
      <c r="K5413" s="18">
        <f>IFERROR(__xludf.DUMMYFUNCTION("""COMPUTED_VALUE"""),5.0)</f>
        <v>5</v>
      </c>
      <c r="L5413" s="17">
        <f>IFERROR(__xludf.DUMMYFUNCTION("""COMPUTED_VALUE"""),3.214229567E9)</f>
        <v>3214229567</v>
      </c>
      <c r="M5413" s="17" t="str">
        <f>IFERROR(__xludf.DUMMYFUNCTION("""COMPUTED_VALUE"""),"#REF!")</f>
        <v>#REF!</v>
      </c>
      <c r="N5413" s="17"/>
      <c r="O5413" s="17"/>
      <c r="P5413" s="17" t="b">
        <f>IFERROR(__xludf.DUMMYFUNCTION("""COMPUTED_VALUE"""),TRUE)</f>
        <v>1</v>
      </c>
      <c r="Q5413" s="20">
        <f>IFERROR(__xludf.DUMMYFUNCTION("""COMPUTED_VALUE"""),45160.61606388889)</f>
        <v>45160.61606</v>
      </c>
      <c r="R5413" s="22" t="str">
        <f>IFERROR(__xludf.DUMMYFUNCTION("""COMPUTED_VALUE"""),"")</f>
        <v/>
      </c>
    </row>
    <row r="5414">
      <c r="A5414" s="15">
        <f>IFERROR(__xludf.DUMMYFUNCTION("""COMPUTED_VALUE"""),45156.0)</f>
        <v>45156</v>
      </c>
      <c r="B5414" s="16" t="str">
        <f>IFERROR(__xludf.DUMMYFUNCTION("""COMPUTED_VALUE"""),"Jeison Rubiano")</f>
        <v>Jeison Rubiano</v>
      </c>
      <c r="C5414" s="15" t="str">
        <f>IFERROR(__xludf.DUMMYFUNCTION("""COMPUTED_VALUE"""),"BOGOTÁ")</f>
        <v>BOGOTÁ</v>
      </c>
      <c r="D5414" s="15" t="str">
        <f>IFERROR(__xludf.DUMMYFUNCTION("""COMPUTED_VALUE"""),"MEDELLÍN")</f>
        <v>MEDELLÍN</v>
      </c>
      <c r="E5414" s="15" t="str">
        <f>IFERROR(__xludf.DUMMYFUNCTION("""COMPUTED_VALUE"""),"Moloso S.A.S")</f>
        <v>Moloso S.A.S</v>
      </c>
      <c r="F5414" s="17" t="str">
        <f>IFERROR(__xludf.DUMMYFUNCTION("""COMPUTED_VALUE"""),"CR 71B BIS 12 60 / CONJUNTO RESIDENCIAL ALMANZA TORRE 3 AP 401")</f>
        <v>CR 71B BIS 12 60 / CONJUNTO RESIDENCIAL ALMANZA TORRE 3 AP 401</v>
      </c>
      <c r="G5414" s="15" t="str">
        <f>IFERROR(__xludf.DUMMYFUNCTION("""COMPUTED_VALUE"""),"DAVID PULIDO ROMERO")</f>
        <v>DAVID PULIDO ROMERO</v>
      </c>
      <c r="H5414" s="16">
        <f>IFERROR(__xludf.DUMMYFUNCTION("""COMPUTED_VALUE"""),14142.0)</f>
        <v>14142</v>
      </c>
      <c r="I5414" s="18">
        <f>IFERROR(__xludf.DUMMYFUNCTION("""COMPUTED_VALUE"""),17.0)</f>
        <v>17</v>
      </c>
      <c r="J5414" s="18">
        <f>IFERROR(__xludf.DUMMYFUNCTION("""COMPUTED_VALUE"""),15.0)</f>
        <v>15</v>
      </c>
      <c r="K5414" s="18">
        <f>IFERROR(__xludf.DUMMYFUNCTION("""COMPUTED_VALUE"""),28.0)</f>
        <v>28</v>
      </c>
      <c r="L5414" s="17">
        <f>IFERROR(__xludf.DUMMYFUNCTION("""COMPUTED_VALUE"""),3.053165403E9)</f>
        <v>3053165403</v>
      </c>
      <c r="M5414" s="17" t="str">
        <f>IFERROR(__xludf.DUMMYFUNCTION("""COMPUTED_VALUE"""),"#REF!")</f>
        <v>#REF!</v>
      </c>
      <c r="N5414" s="17"/>
      <c r="O5414" s="17"/>
      <c r="P5414" s="17" t="b">
        <f>IFERROR(__xludf.DUMMYFUNCTION("""COMPUTED_VALUE"""),FALSE)</f>
        <v>0</v>
      </c>
      <c r="Q5414" s="20" t="str">
        <f>IFERROR(__xludf.DUMMYFUNCTION("""COMPUTED_VALUE"""),"")</f>
        <v/>
      </c>
      <c r="R5414" s="22" t="str">
        <f>IFERROR(__xludf.DUMMYFUNCTION("""COMPUTED_VALUE"""),"")</f>
        <v/>
      </c>
    </row>
    <row r="5415">
      <c r="A5415" s="15">
        <f>IFERROR(__xludf.DUMMYFUNCTION("""COMPUTED_VALUE"""),45156.0)</f>
        <v>45156</v>
      </c>
      <c r="B5415" s="16" t="str">
        <f>IFERROR(__xludf.DUMMYFUNCTION("""COMPUTED_VALUE"""),"Jeison Rubiano")</f>
        <v>Jeison Rubiano</v>
      </c>
      <c r="C5415" s="15" t="str">
        <f>IFERROR(__xludf.DUMMYFUNCTION("""COMPUTED_VALUE"""),"BOGOTÁ")</f>
        <v>BOGOTÁ</v>
      </c>
      <c r="D5415" s="15" t="str">
        <f>IFERROR(__xludf.DUMMYFUNCTION("""COMPUTED_VALUE"""),"MEDELLÍN")</f>
        <v>MEDELLÍN</v>
      </c>
      <c r="E5415" s="15" t="str">
        <f>IFERROR(__xludf.DUMMYFUNCTION("""COMPUTED_VALUE"""),"Moloso S.A.S")</f>
        <v>Moloso S.A.S</v>
      </c>
      <c r="F5415" s="17" t="str">
        <f>IFERROR(__xludf.DUMMYFUNCTION("""COMPUTED_VALUE"""),"CR 75 24 D 70 / CIGARRERIA")</f>
        <v>CR 75 24 D 70 / CIGARRERIA</v>
      </c>
      <c r="G5415" s="15" t="str">
        <f>IFERROR(__xludf.DUMMYFUNCTION("""COMPUTED_VALUE"""),"MARIA JOSE MELO BONILLA")</f>
        <v>MARIA JOSE MELO BONILLA</v>
      </c>
      <c r="H5415" s="16">
        <f>IFERROR(__xludf.DUMMYFUNCTION("""COMPUTED_VALUE"""),14140.0)</f>
        <v>14140</v>
      </c>
      <c r="I5415" s="18">
        <f>IFERROR(__xludf.DUMMYFUNCTION("""COMPUTED_VALUE"""),17.0)</f>
        <v>17</v>
      </c>
      <c r="J5415" s="18">
        <f>IFERROR(__xludf.DUMMYFUNCTION("""COMPUTED_VALUE"""),15.0)</f>
        <v>15</v>
      </c>
      <c r="K5415" s="18">
        <f>IFERROR(__xludf.DUMMYFUNCTION("""COMPUTED_VALUE"""),28.0)</f>
        <v>28</v>
      </c>
      <c r="L5415" s="17">
        <f>IFERROR(__xludf.DUMMYFUNCTION("""COMPUTED_VALUE"""),3.143504351E9)</f>
        <v>3143504351</v>
      </c>
      <c r="M5415" s="17" t="str">
        <f>IFERROR(__xludf.DUMMYFUNCTION("""COMPUTED_VALUE"""),"#REF!")</f>
        <v>#REF!</v>
      </c>
      <c r="N5415" s="17"/>
      <c r="O5415" s="17"/>
      <c r="P5415" s="17" t="b">
        <f>IFERROR(__xludf.DUMMYFUNCTION("""COMPUTED_VALUE"""),FALSE)</f>
        <v>0</v>
      </c>
      <c r="Q5415" s="20" t="str">
        <f>IFERROR(__xludf.DUMMYFUNCTION("""COMPUTED_VALUE"""),"")</f>
        <v/>
      </c>
      <c r="R5415" s="21" t="str">
        <f>IFERROR(__xludf.DUMMYFUNCTION("""COMPUTED_VALUE"""),"https://drive.google.com/file/d/1XgyDZ8GkcN04sjTf7sXtqzd8a4PJ2HYC/view?usp=drivesdk")</f>
        <v>https://drive.google.com/file/d/1XgyDZ8GkcN04sjTf7sXtqzd8a4PJ2HYC/view?usp=drivesdk</v>
      </c>
    </row>
    <row r="5416">
      <c r="A5416" s="15">
        <f>IFERROR(__xludf.DUMMYFUNCTION("""COMPUTED_VALUE"""),45156.0)</f>
        <v>45156</v>
      </c>
      <c r="B5416" s="16" t="str">
        <f>IFERROR(__xludf.DUMMYFUNCTION("""COMPUTED_VALUE"""),"Jeison Rubiano")</f>
        <v>Jeison Rubiano</v>
      </c>
      <c r="C5416" s="15" t="str">
        <f>IFERROR(__xludf.DUMMYFUNCTION("""COMPUTED_VALUE"""),"BOGOTÁ")</f>
        <v>BOGOTÁ</v>
      </c>
      <c r="D5416" s="15" t="str">
        <f>IFERROR(__xludf.DUMMYFUNCTION("""COMPUTED_VALUE"""),"MEDELLÍN")</f>
        <v>MEDELLÍN</v>
      </c>
      <c r="E5416" s="15" t="str">
        <f>IFERROR(__xludf.DUMMYFUNCTION("""COMPUTED_VALUE"""),"Moloso S.A.S")</f>
        <v>Moloso S.A.S</v>
      </c>
      <c r="F5416" s="17" t="str">
        <f>IFERROR(__xludf.DUMMYFUNCTION("""COMPUTED_VALUE"""),"CRA 55 149 09 / CONJUNTO MONTECARLO 3 CASA 16")</f>
        <v>CRA 55 149 09 / CONJUNTO MONTECARLO 3 CASA 16</v>
      </c>
      <c r="G5416" s="15" t="str">
        <f>IFERROR(__xludf.DUMMYFUNCTION("""COMPUTED_VALUE"""),"CLAUDIA ADRIANA GARCIA FINO")</f>
        <v>CLAUDIA ADRIANA GARCIA FINO</v>
      </c>
      <c r="H5416" s="16">
        <f>IFERROR(__xludf.DUMMYFUNCTION("""COMPUTED_VALUE"""),14141.0)</f>
        <v>14141</v>
      </c>
      <c r="I5416" s="18">
        <f>IFERROR(__xludf.DUMMYFUNCTION("""COMPUTED_VALUE"""),17.0)</f>
        <v>17</v>
      </c>
      <c r="J5416" s="18">
        <f>IFERROR(__xludf.DUMMYFUNCTION("""COMPUTED_VALUE"""),15.0)</f>
        <v>15</v>
      </c>
      <c r="K5416" s="18">
        <f>IFERROR(__xludf.DUMMYFUNCTION("""COMPUTED_VALUE"""),28.0)</f>
        <v>28</v>
      </c>
      <c r="L5416" s="17" t="str">
        <f>IFERROR(__xludf.DUMMYFUNCTION("""COMPUTED_VALUE"""),"313 2628813")</f>
        <v>313 2628813</v>
      </c>
      <c r="M5416" s="17" t="str">
        <f>IFERROR(__xludf.DUMMYFUNCTION("""COMPUTED_VALUE"""),"#REF!")</f>
        <v>#REF!</v>
      </c>
      <c r="N5416" s="17"/>
      <c r="O5416" s="17"/>
      <c r="P5416" s="17" t="b">
        <f>IFERROR(__xludf.DUMMYFUNCTION("""COMPUTED_VALUE"""),FALSE)</f>
        <v>0</v>
      </c>
      <c r="Q5416" s="20" t="str">
        <f>IFERROR(__xludf.DUMMYFUNCTION("""COMPUTED_VALUE"""),"")</f>
        <v/>
      </c>
      <c r="R5416" s="22" t="str">
        <f>IFERROR(__xludf.DUMMYFUNCTION("""COMPUTED_VALUE"""),"")</f>
        <v/>
      </c>
    </row>
    <row r="5417">
      <c r="A5417" s="15">
        <f>IFERROR(__xludf.DUMMYFUNCTION("""COMPUTED_VALUE"""),45156.0)</f>
        <v>45156</v>
      </c>
      <c r="B5417" s="16" t="str">
        <f>IFERROR(__xludf.DUMMYFUNCTION("""COMPUTED_VALUE"""),"Jeison Rubiano")</f>
        <v>Jeison Rubiano</v>
      </c>
      <c r="C5417" s="15" t="str">
        <f>IFERROR(__xludf.DUMMYFUNCTION("""COMPUTED_VALUE"""),"BOGOTÁ")</f>
        <v>BOGOTÁ</v>
      </c>
      <c r="D5417" s="15" t="str">
        <f>IFERROR(__xludf.DUMMYFUNCTION("""COMPUTED_VALUE"""),"MEDELLÍN")</f>
        <v>MEDELLÍN</v>
      </c>
      <c r="E5417" s="15" t="str">
        <f>IFERROR(__xludf.DUMMYFUNCTION("""COMPUTED_VALUE"""),"Rambla")</f>
        <v>Rambla</v>
      </c>
      <c r="F5417" s="17" t="str">
        <f>IFERROR(__xludf.DUMMYFUNCTION("""COMPUTED_VALUE"""),"Calle 136 A # 73 A 69 / - / -")</f>
        <v>Calle 136 A # 73 A 69 / - / -</v>
      </c>
      <c r="G5417" s="15" t="str">
        <f>IFERROR(__xludf.DUMMYFUNCTION("""COMPUTED_VALUE"""),"Marguerita Omarini")</f>
        <v>Marguerita Omarini</v>
      </c>
      <c r="H5417" s="16">
        <f>IFERROR(__xludf.DUMMYFUNCTION("""COMPUTED_VALUE"""),14146.0)</f>
        <v>14146</v>
      </c>
      <c r="I5417" s="18">
        <f>IFERROR(__xludf.DUMMYFUNCTION("""COMPUTED_VALUE"""),22.0)</f>
        <v>22</v>
      </c>
      <c r="J5417" s="18">
        <f>IFERROR(__xludf.DUMMYFUNCTION("""COMPUTED_VALUE"""),22.0)</f>
        <v>22</v>
      </c>
      <c r="K5417" s="18">
        <f>IFERROR(__xludf.DUMMYFUNCTION("""COMPUTED_VALUE"""),12.0)</f>
        <v>12</v>
      </c>
      <c r="L5417" s="17">
        <f>IFERROR(__xludf.DUMMYFUNCTION("""COMPUTED_VALUE"""),3.164684094E9)</f>
        <v>3164684094</v>
      </c>
      <c r="M5417" s="17" t="str">
        <f>IFERROR(__xludf.DUMMYFUNCTION("""COMPUTED_VALUE"""),"#REF!")</f>
        <v>#REF!</v>
      </c>
      <c r="N5417" s="17"/>
      <c r="O5417" s="17"/>
      <c r="P5417" s="17" t="b">
        <f>IFERROR(__xludf.DUMMYFUNCTION("""COMPUTED_VALUE"""),FALSE)</f>
        <v>0</v>
      </c>
      <c r="Q5417" s="20" t="str">
        <f>IFERROR(__xludf.DUMMYFUNCTION("""COMPUTED_VALUE"""),"")</f>
        <v/>
      </c>
      <c r="R5417" s="21" t="str">
        <f>IFERROR(__xludf.DUMMYFUNCTION("""COMPUTED_VALUE"""),"https://drive.google.com/file/d/1TbpG_beHg1hbAmebwhNlhQRjD5hHPdFL/view?usp=drivesdk")</f>
        <v>https://drive.google.com/file/d/1TbpG_beHg1hbAmebwhNlhQRjD5hHPdFL/view?usp=drivesdk</v>
      </c>
    </row>
    <row r="5418">
      <c r="A5418" s="15">
        <f>IFERROR(__xludf.DUMMYFUNCTION("""COMPUTED_VALUE"""),45156.0)</f>
        <v>45156</v>
      </c>
      <c r="B5418" s="16" t="str">
        <f>IFERROR(__xludf.DUMMYFUNCTION("""COMPUTED_VALUE"""),"Jeison Rubiano")</f>
        <v>Jeison Rubiano</v>
      </c>
      <c r="C5418" s="15" t="str">
        <f>IFERROR(__xludf.DUMMYFUNCTION("""COMPUTED_VALUE"""),"BOGOTÁ")</f>
        <v>BOGOTÁ</v>
      </c>
      <c r="D5418" s="15" t="str">
        <f>IFERROR(__xludf.DUMMYFUNCTION("""COMPUTED_VALUE"""),"MEDELLÍN")</f>
        <v>MEDELLÍN</v>
      </c>
      <c r="E5418" s="15" t="str">
        <f>IFERROR(__xludf.DUMMYFUNCTION("""COMPUTED_VALUE"""),"Rambla")</f>
        <v>Rambla</v>
      </c>
      <c r="F5418" s="17" t="str">
        <f>IFERROR(__xludf.DUMMYFUNCTION("""COMPUTED_VALUE"""),"Cl. 93a #11-46, Barrio Chicó / - / -")</f>
        <v>Cl. 93a #11-46, Barrio Chicó / - / -</v>
      </c>
      <c r="G5418" s="15" t="str">
        <f>IFERROR(__xludf.DUMMYFUNCTION("""COMPUTED_VALUE"""),"Fit Hub #25916")</f>
        <v>Fit Hub #25916</v>
      </c>
      <c r="H5418" s="16">
        <f>IFERROR(__xludf.DUMMYFUNCTION("""COMPUTED_VALUE"""),14143.0)</f>
        <v>14143</v>
      </c>
      <c r="I5418" s="18">
        <f>IFERROR(__xludf.DUMMYFUNCTION("""COMPUTED_VALUE"""),22.0)</f>
        <v>22</v>
      </c>
      <c r="J5418" s="18">
        <f>IFERROR(__xludf.DUMMYFUNCTION("""COMPUTED_VALUE"""),22.0)</f>
        <v>22</v>
      </c>
      <c r="K5418" s="18">
        <f>IFERROR(__xludf.DUMMYFUNCTION("""COMPUTED_VALUE"""),12.0)</f>
        <v>12</v>
      </c>
      <c r="L5418" s="17">
        <f>IFERROR(__xludf.DUMMYFUNCTION("""COMPUTED_VALUE"""),3.015447307E9)</f>
        <v>3015447307</v>
      </c>
      <c r="M5418" s="17" t="str">
        <f>IFERROR(__xludf.DUMMYFUNCTION("""COMPUTED_VALUE"""),"#REF!")</f>
        <v>#REF!</v>
      </c>
      <c r="N5418" s="17"/>
      <c r="O5418" s="17"/>
      <c r="P5418" s="17" t="b">
        <f>IFERROR(__xludf.DUMMYFUNCTION("""COMPUTED_VALUE"""),FALSE)</f>
        <v>0</v>
      </c>
      <c r="Q5418" s="20" t="str">
        <f>IFERROR(__xludf.DUMMYFUNCTION("""COMPUTED_VALUE"""),"")</f>
        <v/>
      </c>
      <c r="R5418" s="21" t="str">
        <f>IFERROR(__xludf.DUMMYFUNCTION("""COMPUTED_VALUE"""),"https://drive.google.com/file/d/1L2NT6eqBTgXbz64bVO8FkwcaVdVyXHUO/view?usp=drivesdk")</f>
        <v>https://drive.google.com/file/d/1L2NT6eqBTgXbz64bVO8FkwcaVdVyXHUO/view?usp=drivesdk</v>
      </c>
    </row>
    <row r="5419">
      <c r="A5419" s="15">
        <f>IFERROR(__xludf.DUMMYFUNCTION("""COMPUTED_VALUE"""),45156.0)</f>
        <v>45156</v>
      </c>
      <c r="B5419" s="16" t="str">
        <f>IFERROR(__xludf.DUMMYFUNCTION("""COMPUTED_VALUE"""),"Jeison Rubiano")</f>
        <v>Jeison Rubiano</v>
      </c>
      <c r="C5419" s="15" t="str">
        <f>IFERROR(__xludf.DUMMYFUNCTION("""COMPUTED_VALUE"""),"SOLEDAD")</f>
        <v>SOLEDAD</v>
      </c>
      <c r="D5419" s="15" t="str">
        <f>IFERROR(__xludf.DUMMYFUNCTION("""COMPUTED_VALUE"""),"BOGOTÁ")</f>
        <v>BOGOTÁ</v>
      </c>
      <c r="E5419" s="15" t="str">
        <f>IFERROR(__xludf.DUMMYFUNCTION("""COMPUTED_VALUE"""),"Evamazzita")</f>
        <v>Evamazzita</v>
      </c>
      <c r="F5419" s="17" t="str">
        <f>IFERROR(__xludf.DUMMYFUNCTION("""COMPUTED_VALUE"""),"Calle 26 #17d-23 / conjunto más House Soledad torre 6 Apartamento 901  / Barrio San Antonio")</f>
        <v>Calle 26 #17d-23 / conjunto más House Soledad torre 6 Apartamento 901  / Barrio San Antonio</v>
      </c>
      <c r="G5419" s="15" t="str">
        <f>IFERROR(__xludf.DUMMYFUNCTION("""COMPUTED_VALUE"""),"WENDY KARINA AHUMADA PEREZ")</f>
        <v>WENDY KARINA AHUMADA PEREZ</v>
      </c>
      <c r="H5419" s="16">
        <f>IFERROR(__xludf.DUMMYFUNCTION("""COMPUTED_VALUE"""),14090.0)</f>
        <v>14090</v>
      </c>
      <c r="I5419" s="18">
        <f>IFERROR(__xludf.DUMMYFUNCTION("""COMPUTED_VALUE"""),1.0)</f>
        <v>1</v>
      </c>
      <c r="J5419" s="18">
        <f>IFERROR(__xludf.DUMMYFUNCTION("""COMPUTED_VALUE"""),1.0)</f>
        <v>1</v>
      </c>
      <c r="K5419" s="18">
        <f>IFERROR(__xludf.DUMMYFUNCTION("""COMPUTED_VALUE"""),1.0)</f>
        <v>1</v>
      </c>
      <c r="L5419" s="17">
        <f>IFERROR(__xludf.DUMMYFUNCTION("""COMPUTED_VALUE"""),3.184767842E9)</f>
        <v>3184767842</v>
      </c>
      <c r="M5419" s="17" t="str">
        <f>IFERROR(__xludf.DUMMYFUNCTION("""COMPUTED_VALUE"""),"#REF!")</f>
        <v>#REF!</v>
      </c>
      <c r="N5419" s="17"/>
      <c r="O5419" s="17"/>
      <c r="P5419" s="17" t="b">
        <f>IFERROR(__xludf.DUMMYFUNCTION("""COMPUTED_VALUE"""),FALSE)</f>
        <v>0</v>
      </c>
      <c r="Q5419" s="20" t="str">
        <f>IFERROR(__xludf.DUMMYFUNCTION("""COMPUTED_VALUE"""),"")</f>
        <v/>
      </c>
      <c r="R5419" s="21" t="str">
        <f>IFERROR(__xludf.DUMMYFUNCTION("""COMPUTED_VALUE"""),"https://drive.google.com/file/d/1zN4UHwp-gjXCmYrGL1LRgT_MGjnNKBfp/view?usp=drivesdk")</f>
        <v>https://drive.google.com/file/d/1zN4UHwp-gjXCmYrGL1LRgT_MGjnNKBfp/view?usp=drivesdk</v>
      </c>
    </row>
    <row r="5420">
      <c r="A5420" s="15">
        <f>IFERROR(__xludf.DUMMYFUNCTION("""COMPUTED_VALUE"""),45156.0)</f>
        <v>45156</v>
      </c>
      <c r="B5420" s="16" t="str">
        <f>IFERROR(__xludf.DUMMYFUNCTION("""COMPUTED_VALUE"""),"Jeison Rubiano")</f>
        <v>Jeison Rubiano</v>
      </c>
      <c r="C5420" s="15" t="str">
        <f>IFERROR(__xludf.DUMMYFUNCTION("""COMPUTED_VALUE"""),"SOLEDAD")</f>
        <v>SOLEDAD</v>
      </c>
      <c r="D5420" s="15" t="str">
        <f>IFERROR(__xludf.DUMMYFUNCTION("""COMPUTED_VALUE"""),"BOGOTÁ")</f>
        <v>BOGOTÁ</v>
      </c>
      <c r="E5420" s="15" t="str">
        <f>IFERROR(__xludf.DUMMYFUNCTION("""COMPUTED_VALUE"""),"Evamazzita")</f>
        <v>Evamazzita</v>
      </c>
      <c r="F5420" s="17" t="str">
        <f>IFERROR(__xludf.DUMMYFUNCTION("""COMPUTED_VALUE"""),"Cra 18 # 83-22 / Barrio los almendros  / Barrio los almendros")</f>
        <v>Cra 18 # 83-22 / Barrio los almendros  / Barrio los almendros</v>
      </c>
      <c r="G5420" s="15" t="str">
        <f>IFERROR(__xludf.DUMMYFUNCTION("""COMPUTED_VALUE"""),"DAYANA FUENTES")</f>
        <v>DAYANA FUENTES</v>
      </c>
      <c r="H5420" s="16">
        <f>IFERROR(__xludf.DUMMYFUNCTION("""COMPUTED_VALUE"""),14091.0)</f>
        <v>14091</v>
      </c>
      <c r="I5420" s="18">
        <f>IFERROR(__xludf.DUMMYFUNCTION("""COMPUTED_VALUE"""),1.0)</f>
        <v>1</v>
      </c>
      <c r="J5420" s="18">
        <f>IFERROR(__xludf.DUMMYFUNCTION("""COMPUTED_VALUE"""),1.0)</f>
        <v>1</v>
      </c>
      <c r="K5420" s="18">
        <f>IFERROR(__xludf.DUMMYFUNCTION("""COMPUTED_VALUE"""),1.0)</f>
        <v>1</v>
      </c>
      <c r="L5420" s="17">
        <f>IFERROR(__xludf.DUMMYFUNCTION("""COMPUTED_VALUE"""),3.104255199E9)</f>
        <v>3104255199</v>
      </c>
      <c r="M5420" s="17" t="str">
        <f>IFERROR(__xludf.DUMMYFUNCTION("""COMPUTED_VALUE"""),"#REF!")</f>
        <v>#REF!</v>
      </c>
      <c r="N5420" s="17"/>
      <c r="O5420" s="17"/>
      <c r="P5420" s="17" t="b">
        <f>IFERROR(__xludf.DUMMYFUNCTION("""COMPUTED_VALUE"""),FALSE)</f>
        <v>0</v>
      </c>
      <c r="Q5420" s="20" t="str">
        <f>IFERROR(__xludf.DUMMYFUNCTION("""COMPUTED_VALUE"""),"")</f>
        <v/>
      </c>
      <c r="R5420" s="21" t="str">
        <f>IFERROR(__xludf.DUMMYFUNCTION("""COMPUTED_VALUE"""),"https://drive.google.com/file/d/1XqrlVIUagpMkolTgOeH6G9nEf_rveUty/view?usp=drivesdk")</f>
        <v>https://drive.google.com/file/d/1XqrlVIUagpMkolTgOeH6G9nEf_rveUty/view?usp=drivesdk</v>
      </c>
    </row>
    <row r="5421">
      <c r="A5421" s="17" t="str">
        <f>IFERROR(__xludf.DUMMYFUNCTION("""COMPUTED_VALUE"""),"")</f>
        <v/>
      </c>
      <c r="B5421" s="17" t="str">
        <f>IFERROR(__xludf.DUMMYFUNCTION("""COMPUTED_VALUE"""),"")</f>
        <v/>
      </c>
      <c r="C5421" s="17" t="str">
        <f>IFERROR(__xludf.DUMMYFUNCTION("""COMPUTED_VALUE"""),"")</f>
        <v/>
      </c>
      <c r="D5421" s="17" t="str">
        <f>IFERROR(__xludf.DUMMYFUNCTION("""COMPUTED_VALUE"""),"")</f>
        <v/>
      </c>
      <c r="E5421" s="17" t="str">
        <f>IFERROR(__xludf.DUMMYFUNCTION("""COMPUTED_VALUE"""),"")</f>
        <v/>
      </c>
      <c r="F5421" s="17" t="str">
        <f>IFERROR(__xludf.DUMMYFUNCTION("""COMPUTED_VALUE"""),"")</f>
        <v/>
      </c>
      <c r="G5421" s="17" t="str">
        <f>IFERROR(__xludf.DUMMYFUNCTION("""COMPUTED_VALUE"""),"")</f>
        <v/>
      </c>
      <c r="H5421" s="17" t="str">
        <f>IFERROR(__xludf.DUMMYFUNCTION("""COMPUTED_VALUE"""),"")</f>
        <v/>
      </c>
      <c r="I5421" s="17" t="str">
        <f>IFERROR(__xludf.DUMMYFUNCTION("""COMPUTED_VALUE"""),"")</f>
        <v/>
      </c>
      <c r="J5421" s="17" t="str">
        <f>IFERROR(__xludf.DUMMYFUNCTION("""COMPUTED_VALUE"""),"")</f>
        <v/>
      </c>
      <c r="K5421" s="17" t="str">
        <f>IFERROR(__xludf.DUMMYFUNCTION("""COMPUTED_VALUE"""),"")</f>
        <v/>
      </c>
      <c r="L5421" s="17" t="str">
        <f>IFERROR(__xludf.DUMMYFUNCTION("""COMPUTED_VALUE"""),"")</f>
        <v/>
      </c>
      <c r="M5421" s="17" t="str">
        <f>IFERROR(__xludf.DUMMYFUNCTION("""COMPUTED_VALUE"""),"")</f>
        <v/>
      </c>
      <c r="N5421" s="17" t="str">
        <f>IFERROR(__xludf.DUMMYFUNCTION("""COMPUTED_VALUE"""),"")</f>
        <v/>
      </c>
      <c r="O5421" s="17" t="str">
        <f>IFERROR(__xludf.DUMMYFUNCTION("""COMPUTED_VALUE"""),"")</f>
        <v/>
      </c>
      <c r="P5421" s="17" t="str">
        <f>IFERROR(__xludf.DUMMYFUNCTION("""COMPUTED_VALUE"""),"")</f>
        <v/>
      </c>
      <c r="Q5421" s="17" t="str">
        <f>IFERROR(__xludf.DUMMYFUNCTION("""COMPUTED_VALUE"""),"")</f>
        <v/>
      </c>
      <c r="R5421" s="17" t="str">
        <f>IFERROR(__xludf.DUMMYFUNCTION("""COMPUTED_VALUE"""),"")</f>
        <v/>
      </c>
    </row>
    <row r="5422">
      <c r="A5422" s="15">
        <f>IFERROR(__xludf.DUMMYFUNCTION("""COMPUTED_VALUE"""),45156.0)</f>
        <v>45156</v>
      </c>
      <c r="B5422" s="16" t="str">
        <f>IFERROR(__xludf.DUMMYFUNCTION("""COMPUTED_VALUE"""),"Lina Gaona")</f>
        <v>Lina Gaona</v>
      </c>
      <c r="C5422" s="15" t="str">
        <f>IFERROR(__xludf.DUMMYFUNCTION("""COMPUTED_VALUE"""),"CÚCUTA")</f>
        <v>CÚCUTA</v>
      </c>
      <c r="D5422" s="15" t="str">
        <f>IFERROR(__xludf.DUMMYFUNCTION("""COMPUTED_VALUE"""),"BOGOTÁ")</f>
        <v>BOGOTÁ</v>
      </c>
      <c r="E5422" s="15" t="str">
        <f>IFERROR(__xludf.DUMMYFUNCTION("""COMPUTED_VALUE"""),"Athenas")</f>
        <v>Athenas</v>
      </c>
      <c r="F5422" s="17" t="str">
        <f>IFERROR(__xludf.DUMMYFUNCTION("""COMPUTED_VALUE"""),"Calle 11#2E-10 / Bodytech cafeteria / Caobos cucuta")</f>
        <v>Calle 11#2E-10 / Bodytech cafeteria / Caobos cucuta</v>
      </c>
      <c r="G5422" s="15" t="str">
        <f>IFERROR(__xludf.DUMMYFUNCTION("""COMPUTED_VALUE"""),"Fabian valderrama")</f>
        <v>Fabian valderrama</v>
      </c>
      <c r="H5422" s="16">
        <f>IFERROR(__xludf.DUMMYFUNCTION("""COMPUTED_VALUE"""),13924.0)</f>
        <v>13924</v>
      </c>
      <c r="I5422" s="18">
        <f>IFERROR(__xludf.DUMMYFUNCTION("""COMPUTED_VALUE"""),55.0)</f>
        <v>55</v>
      </c>
      <c r="J5422" s="18">
        <f>IFERROR(__xludf.DUMMYFUNCTION("""COMPUTED_VALUE"""),45.0)</f>
        <v>45</v>
      </c>
      <c r="K5422" s="18">
        <f>IFERROR(__xludf.DUMMYFUNCTION("""COMPUTED_VALUE"""),29.0)</f>
        <v>29</v>
      </c>
      <c r="L5422" s="17">
        <f>IFERROR(__xludf.DUMMYFUNCTION("""COMPUTED_VALUE"""),3.174922259E9)</f>
        <v>3174922259</v>
      </c>
      <c r="M5422" s="17" t="str">
        <f>IFERROR(__xludf.DUMMYFUNCTION("""COMPUTED_VALUE"""),"#REF!")</f>
        <v>#REF!</v>
      </c>
      <c r="N5422" s="17"/>
      <c r="O5422" s="17"/>
      <c r="P5422" s="17" t="b">
        <f>IFERROR(__xludf.DUMMYFUNCTION("""COMPUTED_VALUE"""),FALSE)</f>
        <v>0</v>
      </c>
      <c r="Q5422" s="20" t="str">
        <f>IFERROR(__xludf.DUMMYFUNCTION("""COMPUTED_VALUE"""),"")</f>
        <v/>
      </c>
      <c r="R5422" s="22" t="str">
        <f>IFERROR(__xludf.DUMMYFUNCTION("""COMPUTED_VALUE"""),"")</f>
        <v/>
      </c>
    </row>
    <row r="5423">
      <c r="A5423" s="15">
        <f>IFERROR(__xludf.DUMMYFUNCTION("""COMPUTED_VALUE"""),45156.0)</f>
        <v>45156</v>
      </c>
      <c r="B5423" s="16" t="str">
        <f>IFERROR(__xludf.DUMMYFUNCTION("""COMPUTED_VALUE"""),"Lina Gaona")</f>
        <v>Lina Gaona</v>
      </c>
      <c r="C5423" s="15" t="str">
        <f>IFERROR(__xludf.DUMMYFUNCTION("""COMPUTED_VALUE"""),"CÚCUTA")</f>
        <v>CÚCUTA</v>
      </c>
      <c r="D5423" s="15" t="str">
        <f>IFERROR(__xludf.DUMMYFUNCTION("""COMPUTED_VALUE"""),"BOGOTÁ")</f>
        <v>BOGOTÁ</v>
      </c>
      <c r="E5423" s="15" t="str">
        <f>IFERROR(__xludf.DUMMYFUNCTION("""COMPUTED_VALUE"""),"Evamazzita")</f>
        <v>Evamazzita</v>
      </c>
      <c r="F5423" s="17" t="str">
        <f>IFERROR(__xludf.DUMMYFUNCTION("""COMPUTED_VALUE"""),"Av 2E # 15A -17 Caobos /  Caobos / Caobos")</f>
        <v>Av 2E # 15A -17 Caobos /  Caobos / Caobos</v>
      </c>
      <c r="G5423" s="15" t="str">
        <f>IFERROR(__xludf.DUMMYFUNCTION("""COMPUTED_VALUE"""),"DACCY KARINA LOPEZ MORENO")</f>
        <v>DACCY KARINA LOPEZ MORENO</v>
      </c>
      <c r="H5423" s="16">
        <f>IFERROR(__xludf.DUMMYFUNCTION("""COMPUTED_VALUE"""),14092.0)</f>
        <v>14092</v>
      </c>
      <c r="I5423" s="18">
        <f>IFERROR(__xludf.DUMMYFUNCTION("""COMPUTED_VALUE"""),20.0)</f>
        <v>20</v>
      </c>
      <c r="J5423" s="18">
        <f>IFERROR(__xludf.DUMMYFUNCTION("""COMPUTED_VALUE"""),42.0)</f>
        <v>42</v>
      </c>
      <c r="K5423" s="18">
        <f>IFERROR(__xludf.DUMMYFUNCTION("""COMPUTED_VALUE"""),24.0)</f>
        <v>24</v>
      </c>
      <c r="L5423" s="17">
        <f>IFERROR(__xludf.DUMMYFUNCTION("""COMPUTED_VALUE"""),3.208615379E9)</f>
        <v>3208615379</v>
      </c>
      <c r="M5423" s="17" t="str">
        <f>IFERROR(__xludf.DUMMYFUNCTION("""COMPUTED_VALUE"""),"#REF!")</f>
        <v>#REF!</v>
      </c>
      <c r="N5423" s="17"/>
      <c r="O5423" s="17"/>
      <c r="P5423" s="17" t="b">
        <f>IFERROR(__xludf.DUMMYFUNCTION("""COMPUTED_VALUE"""),FALSE)</f>
        <v>0</v>
      </c>
      <c r="Q5423" s="20" t="str">
        <f>IFERROR(__xludf.DUMMYFUNCTION("""COMPUTED_VALUE"""),"")</f>
        <v/>
      </c>
      <c r="R5423" s="22" t="str">
        <f>IFERROR(__xludf.DUMMYFUNCTION("""COMPUTED_VALUE"""),"")</f>
        <v/>
      </c>
    </row>
    <row r="5424">
      <c r="A5424" s="15">
        <f>IFERROR(__xludf.DUMMYFUNCTION("""COMPUTED_VALUE"""),45156.0)</f>
        <v>45156</v>
      </c>
      <c r="B5424" s="16" t="str">
        <f>IFERROR(__xludf.DUMMYFUNCTION("""COMPUTED_VALUE"""),"Lina Gaona")</f>
        <v>Lina Gaona</v>
      </c>
      <c r="C5424" s="15" t="str">
        <f>IFERROR(__xludf.DUMMYFUNCTION("""COMPUTED_VALUE"""),"CÚCUTA")</f>
        <v>CÚCUTA</v>
      </c>
      <c r="D5424" s="15" t="str">
        <f>IFERROR(__xludf.DUMMYFUNCTION("""COMPUTED_VALUE"""),"BOGOTÁ")</f>
        <v>BOGOTÁ</v>
      </c>
      <c r="E5424" s="15" t="str">
        <f>IFERROR(__xludf.DUMMYFUNCTION("""COMPUTED_VALUE"""),"Karem foods")</f>
        <v>Karem foods</v>
      </c>
      <c r="F5424" s="17" t="str">
        <f>IFERROR(__xludf.DUMMYFUNCTION("""COMPUTED_VALUE"""),"Centro comercial pinar del rio local 2 Bellavista / Panadería del pinar del río  / -")</f>
        <v>Centro comercial pinar del rio local 2 Bellavista / Panadería del pinar del río  / -</v>
      </c>
      <c r="G5424" s="15" t="str">
        <f>IFERROR(__xludf.DUMMYFUNCTION("""COMPUTED_VALUE"""),"La panadería pinar del rio")</f>
        <v>La panadería pinar del rio</v>
      </c>
      <c r="H5424" s="16">
        <f>IFERROR(__xludf.DUMMYFUNCTION("""COMPUTED_VALUE"""),14109.0)</f>
        <v>14109</v>
      </c>
      <c r="I5424" s="18">
        <f>IFERROR(__xludf.DUMMYFUNCTION("""COMPUTED_VALUE"""),25.0)</f>
        <v>25</v>
      </c>
      <c r="J5424" s="18">
        <f>IFERROR(__xludf.DUMMYFUNCTION("""COMPUTED_VALUE"""),36.0)</f>
        <v>36</v>
      </c>
      <c r="K5424" s="18">
        <f>IFERROR(__xludf.DUMMYFUNCTION("""COMPUTED_VALUE"""),36.0)</f>
        <v>36</v>
      </c>
      <c r="L5424" s="17">
        <f>IFERROR(__xludf.DUMMYFUNCTION("""COMPUTED_VALUE"""),3.106091951E9)</f>
        <v>3106091951</v>
      </c>
      <c r="M5424" s="17" t="str">
        <f>IFERROR(__xludf.DUMMYFUNCTION("""COMPUTED_VALUE"""),"#REF!")</f>
        <v>#REF!</v>
      </c>
      <c r="N5424" s="17"/>
      <c r="O5424" s="17"/>
      <c r="P5424" s="17" t="b">
        <f>IFERROR(__xludf.DUMMYFUNCTION("""COMPUTED_VALUE"""),FALSE)</f>
        <v>0</v>
      </c>
      <c r="Q5424" s="20" t="str">
        <f>IFERROR(__xludf.DUMMYFUNCTION("""COMPUTED_VALUE"""),"")</f>
        <v/>
      </c>
      <c r="R5424" s="22" t="str">
        <f>IFERROR(__xludf.DUMMYFUNCTION("""COMPUTED_VALUE"""),"")</f>
        <v/>
      </c>
    </row>
    <row r="5425">
      <c r="A5425" s="15">
        <f>IFERROR(__xludf.DUMMYFUNCTION("""COMPUTED_VALUE"""),45156.0)</f>
        <v>45156</v>
      </c>
      <c r="B5425" s="16" t="str">
        <f>IFERROR(__xludf.DUMMYFUNCTION("""COMPUTED_VALUE"""),"Lina Gaona")</f>
        <v>Lina Gaona</v>
      </c>
      <c r="C5425" s="15" t="str">
        <f>IFERROR(__xludf.DUMMYFUNCTION("""COMPUTED_VALUE"""),"SANTA MARTA")</f>
        <v>SANTA MARTA</v>
      </c>
      <c r="D5425" s="15" t="str">
        <f>IFERROR(__xludf.DUMMYFUNCTION("""COMPUTED_VALUE"""),"MEDELLÍN")</f>
        <v>MEDELLÍN</v>
      </c>
      <c r="E5425" s="15" t="str">
        <f>IFERROR(__xludf.DUMMYFUNCTION("""COMPUTED_VALUE"""),"Magda")</f>
        <v>Magda</v>
      </c>
      <c r="F5425" s="17" t="str">
        <f>IFERROR(__xludf.DUMMYFUNCTION("""COMPUTED_VALUE"""),"Calle 22 # 6 - 82 / Local 27 Centro Comercial La 22 / Centro")</f>
        <v>Calle 22 # 6 - 82 / Local 27 Centro Comercial La 22 / Centro</v>
      </c>
      <c r="G5425" s="15" t="str">
        <f>IFERROR(__xludf.DUMMYFUNCTION("""COMPUTED_VALUE"""),"Shirley Manjarres")</f>
        <v>Shirley Manjarres</v>
      </c>
      <c r="H5425" s="16">
        <f>IFERROR(__xludf.DUMMYFUNCTION("""COMPUTED_VALUE"""),14110.0)</f>
        <v>14110</v>
      </c>
      <c r="I5425" s="18">
        <f>IFERROR(__xludf.DUMMYFUNCTION("""COMPUTED_VALUE"""),5.0)</f>
        <v>5</v>
      </c>
      <c r="J5425" s="18">
        <f>IFERROR(__xludf.DUMMYFUNCTION("""COMPUTED_VALUE"""),5.0)</f>
        <v>5</v>
      </c>
      <c r="K5425" s="18">
        <f>IFERROR(__xludf.DUMMYFUNCTION("""COMPUTED_VALUE"""),5.0)</f>
        <v>5</v>
      </c>
      <c r="L5425" s="17">
        <f>IFERROR(__xludf.DUMMYFUNCTION("""COMPUTED_VALUE"""),3.054269156E9)</f>
        <v>3054269156</v>
      </c>
      <c r="M5425" s="17" t="str">
        <f>IFERROR(__xludf.DUMMYFUNCTION("""COMPUTED_VALUE"""),"#REF!")</f>
        <v>#REF!</v>
      </c>
      <c r="N5425" s="17"/>
      <c r="O5425" s="17"/>
      <c r="P5425" s="17" t="b">
        <f>IFERROR(__xludf.DUMMYFUNCTION("""COMPUTED_VALUE"""),FALSE)</f>
        <v>0</v>
      </c>
      <c r="Q5425" s="20" t="str">
        <f>IFERROR(__xludf.DUMMYFUNCTION("""COMPUTED_VALUE"""),"")</f>
        <v/>
      </c>
      <c r="R5425" s="22" t="str">
        <f>IFERROR(__xludf.DUMMYFUNCTION("""COMPUTED_VALUE"""),"")</f>
        <v/>
      </c>
    </row>
    <row r="5426">
      <c r="A5426" s="17" t="str">
        <f>IFERROR(__xludf.DUMMYFUNCTION("""COMPUTED_VALUE"""),"")</f>
        <v/>
      </c>
      <c r="B5426" s="17" t="str">
        <f>IFERROR(__xludf.DUMMYFUNCTION("""COMPUTED_VALUE"""),"")</f>
        <v/>
      </c>
      <c r="C5426" s="17" t="str">
        <f>IFERROR(__xludf.DUMMYFUNCTION("""COMPUTED_VALUE"""),"")</f>
        <v/>
      </c>
      <c r="D5426" s="17" t="str">
        <f>IFERROR(__xludf.DUMMYFUNCTION("""COMPUTED_VALUE"""),"")</f>
        <v/>
      </c>
      <c r="E5426" s="17" t="str">
        <f>IFERROR(__xludf.DUMMYFUNCTION("""COMPUTED_VALUE"""),"")</f>
        <v/>
      </c>
      <c r="F5426" s="17" t="str">
        <f>IFERROR(__xludf.DUMMYFUNCTION("""COMPUTED_VALUE"""),"")</f>
        <v/>
      </c>
      <c r="G5426" s="17" t="str">
        <f>IFERROR(__xludf.DUMMYFUNCTION("""COMPUTED_VALUE"""),"")</f>
        <v/>
      </c>
      <c r="H5426" s="17" t="str">
        <f>IFERROR(__xludf.DUMMYFUNCTION("""COMPUTED_VALUE"""),"")</f>
        <v/>
      </c>
      <c r="I5426" s="17" t="str">
        <f>IFERROR(__xludf.DUMMYFUNCTION("""COMPUTED_VALUE"""),"")</f>
        <v/>
      </c>
      <c r="J5426" s="17" t="str">
        <f>IFERROR(__xludf.DUMMYFUNCTION("""COMPUTED_VALUE"""),"")</f>
        <v/>
      </c>
      <c r="K5426" s="17" t="str">
        <f>IFERROR(__xludf.DUMMYFUNCTION("""COMPUTED_VALUE"""),"")</f>
        <v/>
      </c>
      <c r="L5426" s="17" t="str">
        <f>IFERROR(__xludf.DUMMYFUNCTION("""COMPUTED_VALUE"""),"")</f>
        <v/>
      </c>
      <c r="M5426" s="17" t="str">
        <f>IFERROR(__xludf.DUMMYFUNCTION("""COMPUTED_VALUE"""),"")</f>
        <v/>
      </c>
      <c r="N5426" s="17" t="str">
        <f>IFERROR(__xludf.DUMMYFUNCTION("""COMPUTED_VALUE"""),"")</f>
        <v/>
      </c>
      <c r="O5426" s="17" t="str">
        <f>IFERROR(__xludf.DUMMYFUNCTION("""COMPUTED_VALUE"""),"")</f>
        <v/>
      </c>
      <c r="P5426" s="17" t="str">
        <f>IFERROR(__xludf.DUMMYFUNCTION("""COMPUTED_VALUE"""),"")</f>
        <v/>
      </c>
      <c r="Q5426" s="17" t="str">
        <f>IFERROR(__xludf.DUMMYFUNCTION("""COMPUTED_VALUE"""),"")</f>
        <v/>
      </c>
      <c r="R5426" s="17" t="str">
        <f>IFERROR(__xludf.DUMMYFUNCTION("""COMPUTED_VALUE"""),"")</f>
        <v/>
      </c>
    </row>
    <row r="5427">
      <c r="A5427" s="15">
        <f>IFERROR(__xludf.DUMMYFUNCTION("""COMPUTED_VALUE"""),45156.0)</f>
        <v>45156</v>
      </c>
      <c r="B5427" s="16" t="str">
        <f>IFERROR(__xludf.DUMMYFUNCTION("""COMPUTED_VALUE"""),"Orlando Urdaneta Rincon ")</f>
        <v>Orlando Urdaneta Rincon </v>
      </c>
      <c r="C5427" s="15" t="str">
        <f>IFERROR(__xludf.DUMMYFUNCTION("""COMPUTED_VALUE"""),"BARRANQUILLA")</f>
        <v>BARRANQUILLA</v>
      </c>
      <c r="D5427" s="15" t="str">
        <f>IFERROR(__xludf.DUMMYFUNCTION("""COMPUTED_VALUE"""),"MEDELLÍN")</f>
        <v>MEDELLÍN</v>
      </c>
      <c r="E5427" s="15" t="str">
        <f>IFERROR(__xludf.DUMMYFUNCTION("""COMPUTED_VALUE"""),"Magda")</f>
        <v>Magda</v>
      </c>
      <c r="F5427" s="17" t="str">
        <f>IFERROR(__xludf.DUMMYFUNCTION("""COMPUTED_VALUE"""),"Cra 53 No. 68-55 / Cocinas ocultas / Alto Prado")</f>
        <v>Cra 53 No. 68-55 / Cocinas ocultas / Alto Prado</v>
      </c>
      <c r="G5427" s="15" t="str">
        <f>IFERROR(__xludf.DUMMYFUNCTION("""COMPUTED_VALUE"""),"María José Cervantes")</f>
        <v>María José Cervantes</v>
      </c>
      <c r="H5427" s="16">
        <f>IFERROR(__xludf.DUMMYFUNCTION("""COMPUTED_VALUE"""),14111.0)</f>
        <v>14111</v>
      </c>
      <c r="I5427" s="18">
        <f>IFERROR(__xludf.DUMMYFUNCTION("""COMPUTED_VALUE"""),5.0)</f>
        <v>5</v>
      </c>
      <c r="J5427" s="18">
        <f>IFERROR(__xludf.DUMMYFUNCTION("""COMPUTED_VALUE"""),5.0)</f>
        <v>5</v>
      </c>
      <c r="K5427" s="18">
        <f>IFERROR(__xludf.DUMMYFUNCTION("""COMPUTED_VALUE"""),5.0)</f>
        <v>5</v>
      </c>
      <c r="L5427" s="17">
        <f>IFERROR(__xludf.DUMMYFUNCTION("""COMPUTED_VALUE"""),3.113152215E9)</f>
        <v>3113152215</v>
      </c>
      <c r="M5427" s="17" t="str">
        <f>IFERROR(__xludf.DUMMYFUNCTION("""COMPUTED_VALUE"""),"#REF!")</f>
        <v>#REF!</v>
      </c>
      <c r="N5427" s="17"/>
      <c r="O5427" s="17"/>
      <c r="P5427" s="17" t="b">
        <f>IFERROR(__xludf.DUMMYFUNCTION("""COMPUTED_VALUE"""),FALSE)</f>
        <v>0</v>
      </c>
      <c r="Q5427" s="20" t="str">
        <f>IFERROR(__xludf.DUMMYFUNCTION("""COMPUTED_VALUE"""),"")</f>
        <v/>
      </c>
      <c r="R5427" s="22" t="str">
        <f>IFERROR(__xludf.DUMMYFUNCTION("""COMPUTED_VALUE"""),"")</f>
        <v/>
      </c>
    </row>
    <row r="5428">
      <c r="A5428" s="15">
        <f>IFERROR(__xludf.DUMMYFUNCTION("""COMPUTED_VALUE"""),45156.0)</f>
        <v>45156</v>
      </c>
      <c r="B5428" s="16" t="str">
        <f>IFERROR(__xludf.DUMMYFUNCTION("""COMPUTED_VALUE"""),"Orlando Urdaneta Rincon ")</f>
        <v>Orlando Urdaneta Rincon </v>
      </c>
      <c r="C5428" s="15" t="str">
        <f>IFERROR(__xludf.DUMMYFUNCTION("""COMPUTED_VALUE"""),"BOGOTÁ")</f>
        <v>BOGOTÁ</v>
      </c>
      <c r="D5428" s="15" t="str">
        <f>IFERROR(__xludf.DUMMYFUNCTION("""COMPUTED_VALUE"""),"MEDELLÍN")</f>
        <v>MEDELLÍN</v>
      </c>
      <c r="E5428" s="15" t="str">
        <f>IFERROR(__xludf.DUMMYFUNCTION("""COMPUTED_VALUE"""),"Rambla")</f>
        <v>Rambla</v>
      </c>
      <c r="F5428" s="17" t="str">
        <f>IFERROR(__xludf.DUMMYFUNCTION("""COMPUTED_VALUE"""),"Calle 104#21-72 apto 501 / - / -")</f>
        <v>Calle 104#21-72 apto 501 / - / -</v>
      </c>
      <c r="G5428" s="15" t="str">
        <f>IFERROR(__xludf.DUMMYFUNCTION("""COMPUTED_VALUE"""),"Sofia Ortiz")</f>
        <v>Sofia Ortiz</v>
      </c>
      <c r="H5428" s="16">
        <f>IFERROR(__xludf.DUMMYFUNCTION("""COMPUTED_VALUE"""),14144.0)</f>
        <v>14144</v>
      </c>
      <c r="I5428" s="18">
        <f>IFERROR(__xludf.DUMMYFUNCTION("""COMPUTED_VALUE"""),22.0)</f>
        <v>22</v>
      </c>
      <c r="J5428" s="18">
        <f>IFERROR(__xludf.DUMMYFUNCTION("""COMPUTED_VALUE"""),22.0)</f>
        <v>22</v>
      </c>
      <c r="K5428" s="18">
        <f>IFERROR(__xludf.DUMMYFUNCTION("""COMPUTED_VALUE"""),12.0)</f>
        <v>12</v>
      </c>
      <c r="L5428" s="17">
        <f>IFERROR(__xludf.DUMMYFUNCTION("""COMPUTED_VALUE"""),3.006550271E9)</f>
        <v>3006550271</v>
      </c>
      <c r="M5428" s="17" t="str">
        <f>IFERROR(__xludf.DUMMYFUNCTION("""COMPUTED_VALUE"""),"#REF!")</f>
        <v>#REF!</v>
      </c>
      <c r="N5428" s="17"/>
      <c r="O5428" s="17"/>
      <c r="P5428" s="17" t="b">
        <f>IFERROR(__xludf.DUMMYFUNCTION("""COMPUTED_VALUE"""),FALSE)</f>
        <v>0</v>
      </c>
      <c r="Q5428" s="20" t="str">
        <f>IFERROR(__xludf.DUMMYFUNCTION("""COMPUTED_VALUE"""),"")</f>
        <v/>
      </c>
      <c r="R5428" s="21" t="str">
        <f>IFERROR(__xludf.DUMMYFUNCTION("""COMPUTED_VALUE"""),"https://drive.google.com/file/d/1ygvwkes2Yzw_VVPq7_Ea2CIhYUdPhKuv/view?usp=drivesdk")</f>
        <v>https://drive.google.com/file/d/1ygvwkes2Yzw_VVPq7_Ea2CIhYUdPhKuv/view?usp=drivesdk</v>
      </c>
    </row>
    <row r="5429">
      <c r="A5429" s="15">
        <f>IFERROR(__xludf.DUMMYFUNCTION("""COMPUTED_VALUE"""),45156.0)</f>
        <v>45156</v>
      </c>
      <c r="B5429" s="16" t="str">
        <f>IFERROR(__xludf.DUMMYFUNCTION("""COMPUTED_VALUE"""),"Orlando Urdaneta Rincon ")</f>
        <v>Orlando Urdaneta Rincon </v>
      </c>
      <c r="C5429" s="15" t="str">
        <f>IFERROR(__xludf.DUMMYFUNCTION("""COMPUTED_VALUE"""),"SANTA MARTA")</f>
        <v>SANTA MARTA</v>
      </c>
      <c r="D5429" s="15" t="str">
        <f>IFERROR(__xludf.DUMMYFUNCTION("""COMPUTED_VALUE"""),"BOGOTÁ")</f>
        <v>BOGOTÁ</v>
      </c>
      <c r="E5429" s="15" t="str">
        <f>IFERROR(__xludf.DUMMYFUNCTION("""COMPUTED_VALUE"""),"Evamazzita")</f>
        <v>Evamazzita</v>
      </c>
      <c r="F5429" s="17" t="str">
        <f>IFERROR(__xludf.DUMMYFUNCTION("""COMPUTED_VALUE"""),"AV. DEL LIBERTADOR # 29 - 125 / CASA 8 (CALLE FRETE A RESTAURANTE 18-08) / CASA 8 (CALLE FRETE A RESTAURANTE 18-08)")</f>
        <v>AV. DEL LIBERTADOR # 29 - 125 / CASA 8 (CALLE FRETE A RESTAURANTE 18-08) / CASA 8 (CALLE FRETE A RESTAURANTE 18-08)</v>
      </c>
      <c r="G5429" s="15" t="str">
        <f>IFERROR(__xludf.DUMMYFUNCTION("""COMPUTED_VALUE"""),"MAYA CADENA")</f>
        <v>MAYA CADENA</v>
      </c>
      <c r="H5429" s="16">
        <f>IFERROR(__xludf.DUMMYFUNCTION("""COMPUTED_VALUE"""),14093.0)</f>
        <v>14093</v>
      </c>
      <c r="I5429" s="18">
        <f>IFERROR(__xludf.DUMMYFUNCTION("""COMPUTED_VALUE"""),9.0)</f>
        <v>9</v>
      </c>
      <c r="J5429" s="18">
        <f>IFERROR(__xludf.DUMMYFUNCTION("""COMPUTED_VALUE"""),17.0)</f>
        <v>17</v>
      </c>
      <c r="K5429" s="18">
        <f>IFERROR(__xludf.DUMMYFUNCTION("""COMPUTED_VALUE"""),24.0)</f>
        <v>24</v>
      </c>
      <c r="L5429" s="17">
        <f>IFERROR(__xludf.DUMMYFUNCTION("""COMPUTED_VALUE"""),3.012318065E9)</f>
        <v>3012318065</v>
      </c>
      <c r="M5429" s="17" t="str">
        <f>IFERROR(__xludf.DUMMYFUNCTION("""COMPUTED_VALUE"""),"#REF!")</f>
        <v>#REF!</v>
      </c>
      <c r="N5429" s="17"/>
      <c r="O5429" s="17"/>
      <c r="P5429" s="17" t="b">
        <f>IFERROR(__xludf.DUMMYFUNCTION("""COMPUTED_VALUE"""),FALSE)</f>
        <v>0</v>
      </c>
      <c r="Q5429" s="20" t="str">
        <f>IFERROR(__xludf.DUMMYFUNCTION("""COMPUTED_VALUE"""),"")</f>
        <v/>
      </c>
      <c r="R5429" s="21" t="str">
        <f>IFERROR(__xludf.DUMMYFUNCTION("""COMPUTED_VALUE"""),"https://drive.google.com/file/d/1NNewcWywut_puQ_A_HKp6GoI25MrU336/view?usp=drivesdk")</f>
        <v>https://drive.google.com/file/d/1NNewcWywut_puQ_A_HKp6GoI25MrU336/view?usp=drivesdk</v>
      </c>
    </row>
    <row r="5430">
      <c r="A5430" s="15">
        <f>IFERROR(__xludf.DUMMYFUNCTION("""COMPUTED_VALUE"""),45156.0)</f>
        <v>45156</v>
      </c>
      <c r="B5430" s="16" t="str">
        <f>IFERROR(__xludf.DUMMYFUNCTION("""COMPUTED_VALUE"""),"Orlando Urdaneta Rincon ")</f>
        <v>Orlando Urdaneta Rincon </v>
      </c>
      <c r="C5430" s="15" t="str">
        <f>IFERROR(__xludf.DUMMYFUNCTION("""COMPUTED_VALUE"""),"SANTA MARTA")</f>
        <v>SANTA MARTA</v>
      </c>
      <c r="D5430" s="15" t="str">
        <f>IFERROR(__xludf.DUMMYFUNCTION("""COMPUTED_VALUE"""),"BOGOTÁ")</f>
        <v>BOGOTÁ</v>
      </c>
      <c r="E5430" s="15" t="str">
        <f>IFERROR(__xludf.DUMMYFUNCTION("""COMPUTED_VALUE"""),"Ins. Alimento Vital")</f>
        <v>Ins. Alimento Vital</v>
      </c>
      <c r="F5430" s="17" t="str">
        <f>IFERROR(__xludf.DUMMYFUNCTION("""COMPUTED_VALUE"""),"CR 1B 26A 109 / EDIFICIO ALMIRANTE APTO 501 / EDIFICIO ALMIRANTE")</f>
        <v>CR 1B 26A 109 / EDIFICIO ALMIRANTE APTO 501 / EDIFICIO ALMIRANTE</v>
      </c>
      <c r="G5430" s="15" t="str">
        <f>IFERROR(__xludf.DUMMYFUNCTION("""COMPUTED_VALUE"""),"VERONICA GOMEZ DE ZUBIRIA")</f>
        <v>VERONICA GOMEZ DE ZUBIRIA</v>
      </c>
      <c r="H5430" s="16">
        <f>IFERROR(__xludf.DUMMYFUNCTION("""COMPUTED_VALUE"""),14078.0)</f>
        <v>14078</v>
      </c>
      <c r="I5430" s="18">
        <f>IFERROR(__xludf.DUMMYFUNCTION("""COMPUTED_VALUE"""),1.0)</f>
        <v>1</v>
      </c>
      <c r="J5430" s="18">
        <f>IFERROR(__xludf.DUMMYFUNCTION("""COMPUTED_VALUE"""),1.0)</f>
        <v>1</v>
      </c>
      <c r="K5430" s="18">
        <f>IFERROR(__xludf.DUMMYFUNCTION("""COMPUTED_VALUE"""),1.0)</f>
        <v>1</v>
      </c>
      <c r="L5430" s="17">
        <f>IFERROR(__xludf.DUMMYFUNCTION("""COMPUTED_VALUE"""),3.107893555E9)</f>
        <v>3107893555</v>
      </c>
      <c r="M5430" s="17" t="str">
        <f>IFERROR(__xludf.DUMMYFUNCTION("""COMPUTED_VALUE"""),"#REF!")</f>
        <v>#REF!</v>
      </c>
      <c r="N5430" s="17"/>
      <c r="O5430" s="17"/>
      <c r="P5430" s="17" t="b">
        <f>IFERROR(__xludf.DUMMYFUNCTION("""COMPUTED_VALUE"""),FALSE)</f>
        <v>0</v>
      </c>
      <c r="Q5430" s="20" t="str">
        <f>IFERROR(__xludf.DUMMYFUNCTION("""COMPUTED_VALUE"""),"")</f>
        <v/>
      </c>
      <c r="R5430" s="22" t="str">
        <f>IFERROR(__xludf.DUMMYFUNCTION("""COMPUTED_VALUE"""),"")</f>
        <v/>
      </c>
    </row>
    <row r="5431">
      <c r="A5431" s="17" t="str">
        <f>IFERROR(__xludf.DUMMYFUNCTION("""COMPUTED_VALUE"""),"")</f>
        <v/>
      </c>
      <c r="B5431" s="17" t="str">
        <f>IFERROR(__xludf.DUMMYFUNCTION("""COMPUTED_VALUE"""),"")</f>
        <v/>
      </c>
      <c r="C5431" s="17" t="str">
        <f>IFERROR(__xludf.DUMMYFUNCTION("""COMPUTED_VALUE"""),"")</f>
        <v/>
      </c>
      <c r="D5431" s="17" t="str">
        <f>IFERROR(__xludf.DUMMYFUNCTION("""COMPUTED_VALUE"""),"")</f>
        <v/>
      </c>
      <c r="E5431" s="17" t="str">
        <f>IFERROR(__xludf.DUMMYFUNCTION("""COMPUTED_VALUE"""),"")</f>
        <v/>
      </c>
      <c r="F5431" s="17" t="str">
        <f>IFERROR(__xludf.DUMMYFUNCTION("""COMPUTED_VALUE"""),"")</f>
        <v/>
      </c>
      <c r="G5431" s="17" t="str">
        <f>IFERROR(__xludf.DUMMYFUNCTION("""COMPUTED_VALUE"""),"")</f>
        <v/>
      </c>
      <c r="H5431" s="17" t="str">
        <f>IFERROR(__xludf.DUMMYFUNCTION("""COMPUTED_VALUE"""),"")</f>
        <v/>
      </c>
      <c r="I5431" s="17" t="str">
        <f>IFERROR(__xludf.DUMMYFUNCTION("""COMPUTED_VALUE"""),"")</f>
        <v/>
      </c>
      <c r="J5431" s="17" t="str">
        <f>IFERROR(__xludf.DUMMYFUNCTION("""COMPUTED_VALUE"""),"")</f>
        <v/>
      </c>
      <c r="K5431" s="17" t="str">
        <f>IFERROR(__xludf.DUMMYFUNCTION("""COMPUTED_VALUE"""),"")</f>
        <v/>
      </c>
      <c r="L5431" s="17" t="str">
        <f>IFERROR(__xludf.DUMMYFUNCTION("""COMPUTED_VALUE"""),"")</f>
        <v/>
      </c>
      <c r="M5431" s="17" t="str">
        <f>IFERROR(__xludf.DUMMYFUNCTION("""COMPUTED_VALUE"""),"")</f>
        <v/>
      </c>
      <c r="N5431" s="17" t="str">
        <f>IFERROR(__xludf.DUMMYFUNCTION("""COMPUTED_VALUE"""),"")</f>
        <v/>
      </c>
      <c r="O5431" s="17" t="str">
        <f>IFERROR(__xludf.DUMMYFUNCTION("""COMPUTED_VALUE"""),"")</f>
        <v/>
      </c>
      <c r="P5431" s="17" t="str">
        <f>IFERROR(__xludf.DUMMYFUNCTION("""COMPUTED_VALUE"""),"")</f>
        <v/>
      </c>
      <c r="Q5431" s="17" t="str">
        <f>IFERROR(__xludf.DUMMYFUNCTION("""COMPUTED_VALUE"""),"")</f>
        <v/>
      </c>
      <c r="R5431" s="17" t="str">
        <f>IFERROR(__xludf.DUMMYFUNCTION("""COMPUTED_VALUE"""),"")</f>
        <v/>
      </c>
    </row>
    <row r="5432">
      <c r="A5432" s="15">
        <f>IFERROR(__xludf.DUMMYFUNCTION("""COMPUTED_VALUE"""),45156.0)</f>
        <v>45156</v>
      </c>
      <c r="B5432" s="16" t="str">
        <f>IFERROR(__xludf.DUMMYFUNCTION("""COMPUTED_VALUE"""),"Santiago Garces Restrepo")</f>
        <v>Santiago Garces Restrepo</v>
      </c>
      <c r="C5432" s="15" t="str">
        <f>IFERROR(__xludf.DUMMYFUNCTION("""COMPUTED_VALUE"""),"MEDELLÍN")</f>
        <v>MEDELLÍN</v>
      </c>
      <c r="D5432" s="15" t="str">
        <f>IFERROR(__xludf.DUMMYFUNCTION("""COMPUTED_VALUE"""),"BOGOTÁ")</f>
        <v>BOGOTÁ</v>
      </c>
      <c r="E5432" s="15" t="str">
        <f>IFERROR(__xludf.DUMMYFUNCTION("""COMPUTED_VALUE"""),"Frambascolombia sas")</f>
        <v>Frambascolombia sas</v>
      </c>
      <c r="F5432" s="17" t="str">
        <f>IFERROR(__xludf.DUMMYFUNCTION("""COMPUTED_VALUE"""),"cra 32 # 2 sur 47 / local 2")</f>
        <v>cra 32 # 2 sur 47 / local 2</v>
      </c>
      <c r="G5432" s="15" t="str">
        <f>IFERROR(__xludf.DUMMYFUNCTION("""COMPUTED_VALUE"""),"D LILI MEDELLIN")</f>
        <v>D LILI MEDELLIN</v>
      </c>
      <c r="H5432" s="16">
        <f>IFERROR(__xludf.DUMMYFUNCTION("""COMPUTED_VALUE"""),14050.0)</f>
        <v>14050</v>
      </c>
      <c r="I5432" s="18">
        <f>IFERROR(__xludf.DUMMYFUNCTION("""COMPUTED_VALUE"""),45057.0)</f>
        <v>45057</v>
      </c>
      <c r="J5432" s="18">
        <f>IFERROR(__xludf.DUMMYFUNCTION("""COMPUTED_VALUE"""),10.0)</f>
        <v>10</v>
      </c>
      <c r="K5432" s="18">
        <f>IFERROR(__xludf.DUMMYFUNCTION("""COMPUTED_VALUE"""),10.0)</f>
        <v>10</v>
      </c>
      <c r="L5432" s="17">
        <f>IFERROR(__xludf.DUMMYFUNCTION("""COMPUTED_VALUE"""),3.188377726E9)</f>
        <v>3188377726</v>
      </c>
      <c r="M5432" s="17" t="str">
        <f>IFERROR(__xludf.DUMMYFUNCTION("""COMPUTED_VALUE"""),"#REF!")</f>
        <v>#REF!</v>
      </c>
      <c r="N5432" s="17"/>
      <c r="O5432" s="17"/>
      <c r="P5432" s="17" t="b">
        <f>IFERROR(__xludf.DUMMYFUNCTION("""COMPUTED_VALUE"""),FALSE)</f>
        <v>0</v>
      </c>
      <c r="Q5432" s="20" t="str">
        <f>IFERROR(__xludf.DUMMYFUNCTION("""COMPUTED_VALUE"""),"")</f>
        <v/>
      </c>
      <c r="R5432" s="22" t="str">
        <f>IFERROR(__xludf.DUMMYFUNCTION("""COMPUTED_VALUE"""),"")</f>
        <v/>
      </c>
    </row>
    <row r="5433">
      <c r="A5433" s="15">
        <f>IFERROR(__xludf.DUMMYFUNCTION("""COMPUTED_VALUE"""),45156.0)</f>
        <v>45156</v>
      </c>
      <c r="B5433" s="16" t="str">
        <f>IFERROR(__xludf.DUMMYFUNCTION("""COMPUTED_VALUE"""),"Santiago Garces Restrepo")</f>
        <v>Santiago Garces Restrepo</v>
      </c>
      <c r="C5433" s="15" t="str">
        <f>IFERROR(__xludf.DUMMYFUNCTION("""COMPUTED_VALUE"""),"MEDELLÍN")</f>
        <v>MEDELLÍN</v>
      </c>
      <c r="D5433" s="15" t="str">
        <f>IFERROR(__xludf.DUMMYFUNCTION("""COMPUTED_VALUE"""),"BOGOTÁ")</f>
        <v>BOGOTÁ</v>
      </c>
      <c r="E5433" s="15" t="str">
        <f>IFERROR(__xludf.DUMMYFUNCTION("""COMPUTED_VALUE"""),"Pan de Waffle")</f>
        <v>Pan de Waffle</v>
      </c>
      <c r="F5433" s="17" t="str">
        <f>IFERROR(__xludf.DUMMYFUNCTION("""COMPUTED_VALUE"""),"Calle 63 # 76a - 42 Local 34 / Calle 63 # 76a - 42 Local 34 / Calle 63 # 76a - 42 Local 34")</f>
        <v>Calle 63 # 76a - 42 Local 34 / Calle 63 # 76a - 42 Local 34 / Calle 63 # 76a - 42 Local 34</v>
      </c>
      <c r="G5433" s="15" t="str">
        <f>IFERROR(__xludf.DUMMYFUNCTION("""COMPUTED_VALUE"""),"OVVO MARKET SAS")</f>
        <v>OVVO MARKET SAS</v>
      </c>
      <c r="H5433" s="16">
        <f>IFERROR(__xludf.DUMMYFUNCTION("""COMPUTED_VALUE"""),14139.0)</f>
        <v>14139</v>
      </c>
      <c r="I5433" s="18">
        <f>IFERROR(__xludf.DUMMYFUNCTION("""COMPUTED_VALUE"""),40.0)</f>
        <v>40</v>
      </c>
      <c r="J5433" s="18">
        <f>IFERROR(__xludf.DUMMYFUNCTION("""COMPUTED_VALUE"""),40.0)</f>
        <v>40</v>
      </c>
      <c r="K5433" s="18">
        <f>IFERROR(__xludf.DUMMYFUNCTION("""COMPUTED_VALUE"""),30.0)</f>
        <v>30</v>
      </c>
      <c r="L5433" s="17">
        <f>IFERROR(__xludf.DUMMYFUNCTION("""COMPUTED_VALUE"""),3.194133417E9)</f>
        <v>3194133417</v>
      </c>
      <c r="M5433" s="17" t="str">
        <f>IFERROR(__xludf.DUMMYFUNCTION("""COMPUTED_VALUE"""),"#REF!")</f>
        <v>#REF!</v>
      </c>
      <c r="N5433" s="17"/>
      <c r="O5433" s="17"/>
      <c r="P5433" s="17" t="b">
        <f>IFERROR(__xludf.DUMMYFUNCTION("""COMPUTED_VALUE"""),TRUE)</f>
        <v>1</v>
      </c>
      <c r="Q5433" s="20">
        <f>IFERROR(__xludf.DUMMYFUNCTION("""COMPUTED_VALUE"""),45161.615160381945)</f>
        <v>45161.61516</v>
      </c>
      <c r="R5433" s="21" t="str">
        <f>IFERROR(__xludf.DUMMYFUNCTION("""COMPUTED_VALUE"""),"https://drive.google.com/file/d/1EUIr3v6aoWUzm7UcS_SqSLj51UG7zsq6/view?usp=drivesdk")</f>
        <v>https://drive.google.com/file/d/1EUIr3v6aoWUzm7UcS_SqSLj51UG7zsq6/view?usp=drivesdk</v>
      </c>
    </row>
    <row r="5434">
      <c r="A5434" s="15">
        <f>IFERROR(__xludf.DUMMYFUNCTION("""COMPUTED_VALUE"""),45156.0)</f>
        <v>45156</v>
      </c>
      <c r="B5434" s="16" t="str">
        <f>IFERROR(__xludf.DUMMYFUNCTION("""COMPUTED_VALUE"""),"Santiago Garces Restrepo")</f>
        <v>Santiago Garces Restrepo</v>
      </c>
      <c r="C5434" s="15" t="str">
        <f>IFERROR(__xludf.DUMMYFUNCTION("""COMPUTED_VALUE"""),"MEDELLÍN")</f>
        <v>MEDELLÍN</v>
      </c>
      <c r="D5434" s="15" t="str">
        <f>IFERROR(__xludf.DUMMYFUNCTION("""COMPUTED_VALUE"""),"BOGOTÁ")</f>
        <v>BOGOTÁ</v>
      </c>
      <c r="E5434" s="15" t="str">
        <f>IFERROR(__xludf.DUMMYFUNCTION("""COMPUTED_VALUE"""),"Renata")</f>
        <v>Renata</v>
      </c>
      <c r="F5434" s="17" t="str">
        <f>IFERROR(__xludf.DUMMYFUNCTION("""COMPUTED_VALUE"""),"Cra 32d #9-43 / Seline y cowork - restaurante  / Provenza")</f>
        <v>Cra 32d #9-43 / Seline y cowork - restaurante  / Provenza</v>
      </c>
      <c r="G5434" s="15" t="str">
        <f>IFERROR(__xludf.DUMMYFUNCTION("""COMPUTED_VALUE"""),"Front y back hospitality group")</f>
        <v>Front y back hospitality group</v>
      </c>
      <c r="H5434" s="16">
        <f>IFERROR(__xludf.DUMMYFUNCTION("""COMPUTED_VALUE"""),14130.0)</f>
        <v>14130</v>
      </c>
      <c r="I5434" s="18">
        <f>IFERROR(__xludf.DUMMYFUNCTION("""COMPUTED_VALUE"""),90.0)</f>
        <v>90</v>
      </c>
      <c r="J5434" s="18">
        <f>IFERROR(__xludf.DUMMYFUNCTION("""COMPUTED_VALUE"""),70.0)</f>
        <v>70</v>
      </c>
      <c r="K5434" s="18">
        <f>IFERROR(__xludf.DUMMYFUNCTION("""COMPUTED_VALUE"""),60.0)</f>
        <v>60</v>
      </c>
      <c r="L5434" s="17">
        <f>IFERROR(__xludf.DUMMYFUNCTION("""COMPUTED_VALUE"""),3.104047368E9)</f>
        <v>3104047368</v>
      </c>
      <c r="M5434" s="17" t="str">
        <f>IFERROR(__xludf.DUMMYFUNCTION("""COMPUTED_VALUE"""),"#REF!")</f>
        <v>#REF!</v>
      </c>
      <c r="N5434" s="17"/>
      <c r="O5434" s="17"/>
      <c r="P5434" s="17" t="b">
        <f>IFERROR(__xludf.DUMMYFUNCTION("""COMPUTED_VALUE"""),TRUE)</f>
        <v>1</v>
      </c>
      <c r="Q5434" s="20">
        <f>IFERROR(__xludf.DUMMYFUNCTION("""COMPUTED_VALUE"""),45161.615160393514)</f>
        <v>45161.61516</v>
      </c>
      <c r="R5434" s="22" t="str">
        <f>IFERROR(__xludf.DUMMYFUNCTION("""COMPUTED_VALUE"""),"")</f>
        <v/>
      </c>
    </row>
    <row r="5435">
      <c r="A5435" s="15">
        <f>IFERROR(__xludf.DUMMYFUNCTION("""COMPUTED_VALUE"""),45156.0)</f>
        <v>45156</v>
      </c>
      <c r="B5435" s="16" t="str">
        <f>IFERROR(__xludf.DUMMYFUNCTION("""COMPUTED_VALUE"""),"Santiago Garces Restrepo")</f>
        <v>Santiago Garces Restrepo</v>
      </c>
      <c r="C5435" s="15" t="str">
        <f>IFERROR(__xludf.DUMMYFUNCTION("""COMPUTED_VALUE"""),"MEDELLÍN")</f>
        <v>MEDELLÍN</v>
      </c>
      <c r="D5435" s="15" t="str">
        <f>IFERROR(__xludf.DUMMYFUNCTION("""COMPUTED_VALUE"""),"BOGOTÁ")</f>
        <v>BOGOTÁ</v>
      </c>
      <c r="E5435" s="15" t="str">
        <f>IFERROR(__xludf.DUMMYFUNCTION("""COMPUTED_VALUE"""),"Top Spun")</f>
        <v>Top Spun</v>
      </c>
      <c r="F5435" s="17" t="str">
        <f>IFERROR(__xludf.DUMMYFUNCTION("""COMPUTED_VALUE"""),"Cra 27aa # 36 sur 200 / nativo agua 1602 / Loma del chocho - Envigado")</f>
        <v>Cra 27aa # 36 sur 200 / nativo agua 1602 / Loma del chocho - Envigado</v>
      </c>
      <c r="G5435" s="15" t="str">
        <f>IFERROR(__xludf.DUMMYFUNCTION("""COMPUTED_VALUE"""),"Camila Jaramillo")</f>
        <v>Camila Jaramillo</v>
      </c>
      <c r="H5435" s="16">
        <f>IFERROR(__xludf.DUMMYFUNCTION("""COMPUTED_VALUE"""),14124.0)</f>
        <v>14124</v>
      </c>
      <c r="I5435" s="18">
        <f>IFERROR(__xludf.DUMMYFUNCTION("""COMPUTED_VALUE"""),20.0)</f>
        <v>20</v>
      </c>
      <c r="J5435" s="18">
        <f>IFERROR(__xludf.DUMMYFUNCTION("""COMPUTED_VALUE"""),10.0)</f>
        <v>10</v>
      </c>
      <c r="K5435" s="18">
        <f>IFERROR(__xludf.DUMMYFUNCTION("""COMPUTED_VALUE"""),40.0)</f>
        <v>40</v>
      </c>
      <c r="L5435" s="17">
        <f>IFERROR(__xludf.DUMMYFUNCTION("""COMPUTED_VALUE"""),3.205974341E9)</f>
        <v>3205974341</v>
      </c>
      <c r="M5435" s="17" t="str">
        <f>IFERROR(__xludf.DUMMYFUNCTION("""COMPUTED_VALUE"""),"#REF!")</f>
        <v>#REF!</v>
      </c>
      <c r="N5435" s="17"/>
      <c r="O5435" s="17"/>
      <c r="P5435" s="17" t="b">
        <f>IFERROR(__xludf.DUMMYFUNCTION("""COMPUTED_VALUE"""),FALSE)</f>
        <v>0</v>
      </c>
      <c r="Q5435" s="20" t="str">
        <f>IFERROR(__xludf.DUMMYFUNCTION("""COMPUTED_VALUE"""),"")</f>
        <v/>
      </c>
      <c r="R5435" s="21" t="str">
        <f>IFERROR(__xludf.DUMMYFUNCTION("""COMPUTED_VALUE"""),"https://drive.google.com/file/d/1Wyn5kqc9jyK1__lXtT5qSyr18oZkIVB1/view?usp=drivesdk")</f>
        <v>https://drive.google.com/file/d/1Wyn5kqc9jyK1__lXtT5qSyr18oZkIVB1/view?usp=drivesdk</v>
      </c>
    </row>
    <row r="5436">
      <c r="A5436" s="17" t="str">
        <f>IFERROR(__xludf.DUMMYFUNCTION("""COMPUTED_VALUE"""),"")</f>
        <v/>
      </c>
      <c r="B5436" s="17" t="str">
        <f>IFERROR(__xludf.DUMMYFUNCTION("""COMPUTED_VALUE"""),"")</f>
        <v/>
      </c>
      <c r="C5436" s="17" t="str">
        <f>IFERROR(__xludf.DUMMYFUNCTION("""COMPUTED_VALUE"""),"")</f>
        <v/>
      </c>
      <c r="D5436" s="17" t="str">
        <f>IFERROR(__xludf.DUMMYFUNCTION("""COMPUTED_VALUE"""),"")</f>
        <v/>
      </c>
      <c r="E5436" s="17" t="str">
        <f>IFERROR(__xludf.DUMMYFUNCTION("""COMPUTED_VALUE"""),"")</f>
        <v/>
      </c>
      <c r="F5436" s="17" t="str">
        <f>IFERROR(__xludf.DUMMYFUNCTION("""COMPUTED_VALUE"""),"")</f>
        <v/>
      </c>
      <c r="G5436" s="17" t="str">
        <f>IFERROR(__xludf.DUMMYFUNCTION("""COMPUTED_VALUE"""),"")</f>
        <v/>
      </c>
      <c r="H5436" s="17" t="str">
        <f>IFERROR(__xludf.DUMMYFUNCTION("""COMPUTED_VALUE"""),"")</f>
        <v/>
      </c>
      <c r="I5436" s="17" t="str">
        <f>IFERROR(__xludf.DUMMYFUNCTION("""COMPUTED_VALUE"""),"")</f>
        <v/>
      </c>
      <c r="J5436" s="17" t="str">
        <f>IFERROR(__xludf.DUMMYFUNCTION("""COMPUTED_VALUE"""),"")</f>
        <v/>
      </c>
      <c r="K5436" s="17" t="str">
        <f>IFERROR(__xludf.DUMMYFUNCTION("""COMPUTED_VALUE"""),"")</f>
        <v/>
      </c>
      <c r="L5436" s="17" t="str">
        <f>IFERROR(__xludf.DUMMYFUNCTION("""COMPUTED_VALUE"""),"")</f>
        <v/>
      </c>
      <c r="M5436" s="17" t="str">
        <f>IFERROR(__xludf.DUMMYFUNCTION("""COMPUTED_VALUE"""),"")</f>
        <v/>
      </c>
      <c r="N5436" s="17" t="str">
        <f>IFERROR(__xludf.DUMMYFUNCTION("""COMPUTED_VALUE"""),"")</f>
        <v/>
      </c>
      <c r="O5436" s="17" t="str">
        <f>IFERROR(__xludf.DUMMYFUNCTION("""COMPUTED_VALUE"""),"")</f>
        <v/>
      </c>
      <c r="P5436" s="17" t="str">
        <f>IFERROR(__xludf.DUMMYFUNCTION("""COMPUTED_VALUE"""),"")</f>
        <v/>
      </c>
      <c r="Q5436" s="17" t="str">
        <f>IFERROR(__xludf.DUMMYFUNCTION("""COMPUTED_VALUE"""),"")</f>
        <v/>
      </c>
      <c r="R5436" s="17" t="str">
        <f>IFERROR(__xludf.DUMMYFUNCTION("""COMPUTED_VALUE"""),"")</f>
        <v/>
      </c>
    </row>
    <row r="5437">
      <c r="A5437" s="15">
        <f>IFERROR(__xludf.DUMMYFUNCTION("""COMPUTED_VALUE"""),45157.0)</f>
        <v>45157</v>
      </c>
      <c r="B5437" s="16" t="str">
        <f>IFERROR(__xludf.DUMMYFUNCTION("""COMPUTED_VALUE"""),"Envia")</f>
        <v>Envia</v>
      </c>
      <c r="C5437" s="15" t="str">
        <f>IFERROR(__xludf.DUMMYFUNCTION("""COMPUTED_VALUE"""),"BOGOTÁ")</f>
        <v>BOGOTÁ</v>
      </c>
      <c r="D5437" s="15" t="str">
        <f>IFERROR(__xludf.DUMMYFUNCTION("""COMPUTED_VALUE"""),"MEDELLÍN")</f>
        <v>MEDELLÍN</v>
      </c>
      <c r="E5437" s="15" t="str">
        <f>IFERROR(__xludf.DUMMYFUNCTION("""COMPUTED_VALUE"""),"Puro Verde")</f>
        <v>Puro Verde</v>
      </c>
      <c r="F5437" s="17" t="str">
        <f>IFERROR(__xludf.DUMMYFUNCTION("""COMPUTED_VALUE"""),"CRA 16A # 77-23.  / LOCAL 4 / BARRIO EL LAGO")</f>
        <v>CRA 16A # 77-23.  / LOCAL 4 / BARRIO EL LAGO</v>
      </c>
      <c r="G5437" s="15" t="str">
        <f>IFERROR(__xludf.DUMMYFUNCTION("""COMPUTED_VALUE"""),"DANDO CUERDA")</f>
        <v>DANDO CUERDA</v>
      </c>
      <c r="H5437" s="16">
        <f>IFERROR(__xludf.DUMMYFUNCTION("""COMPUTED_VALUE"""),14128.0)</f>
        <v>14128</v>
      </c>
      <c r="I5437" s="18">
        <f>IFERROR(__xludf.DUMMYFUNCTION("""COMPUTED_VALUE"""),55.0)</f>
        <v>55</v>
      </c>
      <c r="J5437" s="18">
        <f>IFERROR(__xludf.DUMMYFUNCTION("""COMPUTED_VALUE"""),45.0)</f>
        <v>45</v>
      </c>
      <c r="K5437" s="18" t="str">
        <f>IFERROR(__xludf.DUMMYFUNCTION("""COMPUTED_VALUE"""),"52.5")</f>
        <v>52.5</v>
      </c>
      <c r="L5437" s="17">
        <f>IFERROR(__xludf.DUMMYFUNCTION("""COMPUTED_VALUE"""),3.163816691E9)</f>
        <v>3163816691</v>
      </c>
      <c r="M5437" s="17" t="str">
        <f>IFERROR(__xludf.DUMMYFUNCTION("""COMPUTED_VALUE"""),"#REF!")</f>
        <v>#REF!</v>
      </c>
      <c r="N5437" s="17"/>
      <c r="O5437" s="17"/>
      <c r="P5437" s="17" t="b">
        <f>IFERROR(__xludf.DUMMYFUNCTION("""COMPUTED_VALUE"""),FALSE)</f>
        <v>0</v>
      </c>
      <c r="Q5437" s="20" t="str">
        <f>IFERROR(__xludf.DUMMYFUNCTION("""COMPUTED_VALUE"""),"")</f>
        <v/>
      </c>
      <c r="R5437" s="22" t="str">
        <f>IFERROR(__xludf.DUMMYFUNCTION("""COMPUTED_VALUE"""),"")</f>
        <v/>
      </c>
    </row>
    <row r="5438">
      <c r="A5438" s="17" t="str">
        <f>IFERROR(__xludf.DUMMYFUNCTION("""COMPUTED_VALUE"""),"")</f>
        <v/>
      </c>
      <c r="B5438" s="17" t="str">
        <f>IFERROR(__xludf.DUMMYFUNCTION("""COMPUTED_VALUE"""),"")</f>
        <v/>
      </c>
      <c r="C5438" s="17" t="str">
        <f>IFERROR(__xludf.DUMMYFUNCTION("""COMPUTED_VALUE"""),"")</f>
        <v/>
      </c>
      <c r="D5438" s="17" t="str">
        <f>IFERROR(__xludf.DUMMYFUNCTION("""COMPUTED_VALUE"""),"")</f>
        <v/>
      </c>
      <c r="E5438" s="17" t="str">
        <f>IFERROR(__xludf.DUMMYFUNCTION("""COMPUTED_VALUE"""),"")</f>
        <v/>
      </c>
      <c r="F5438" s="17" t="str">
        <f>IFERROR(__xludf.DUMMYFUNCTION("""COMPUTED_VALUE"""),"")</f>
        <v/>
      </c>
      <c r="G5438" s="17" t="str">
        <f>IFERROR(__xludf.DUMMYFUNCTION("""COMPUTED_VALUE"""),"")</f>
        <v/>
      </c>
      <c r="H5438" s="17" t="str">
        <f>IFERROR(__xludf.DUMMYFUNCTION("""COMPUTED_VALUE"""),"")</f>
        <v/>
      </c>
      <c r="I5438" s="17" t="str">
        <f>IFERROR(__xludf.DUMMYFUNCTION("""COMPUTED_VALUE"""),"")</f>
        <v/>
      </c>
      <c r="J5438" s="17" t="str">
        <f>IFERROR(__xludf.DUMMYFUNCTION("""COMPUTED_VALUE"""),"")</f>
        <v/>
      </c>
      <c r="K5438" s="17" t="str">
        <f>IFERROR(__xludf.DUMMYFUNCTION("""COMPUTED_VALUE"""),"")</f>
        <v/>
      </c>
      <c r="L5438" s="17" t="str">
        <f>IFERROR(__xludf.DUMMYFUNCTION("""COMPUTED_VALUE"""),"")</f>
        <v/>
      </c>
      <c r="M5438" s="17" t="str">
        <f>IFERROR(__xludf.DUMMYFUNCTION("""COMPUTED_VALUE"""),"")</f>
        <v/>
      </c>
      <c r="N5438" s="17" t="str">
        <f>IFERROR(__xludf.DUMMYFUNCTION("""COMPUTED_VALUE"""),"")</f>
        <v/>
      </c>
      <c r="O5438" s="17" t="str">
        <f>IFERROR(__xludf.DUMMYFUNCTION("""COMPUTED_VALUE"""),"")</f>
        <v/>
      </c>
      <c r="P5438" s="17" t="str">
        <f>IFERROR(__xludf.DUMMYFUNCTION("""COMPUTED_VALUE"""),"")</f>
        <v/>
      </c>
      <c r="Q5438" s="17" t="str">
        <f>IFERROR(__xludf.DUMMYFUNCTION("""COMPUTED_VALUE"""),"")</f>
        <v/>
      </c>
      <c r="R5438" s="17" t="str">
        <f>IFERROR(__xludf.DUMMYFUNCTION("""COMPUTED_VALUE"""),"")</f>
        <v/>
      </c>
    </row>
    <row r="5439">
      <c r="A5439" s="15">
        <f>IFERROR(__xludf.DUMMYFUNCTION("""COMPUTED_VALUE"""),45161.0)</f>
        <v>45161</v>
      </c>
      <c r="B5439" s="17"/>
      <c r="C5439" s="15" t="str">
        <f>IFERROR(__xludf.DUMMYFUNCTION("""COMPUTED_VALUE"""),"BUCARAMANGA")</f>
        <v>BUCARAMANGA</v>
      </c>
      <c r="D5439" s="15" t="str">
        <f>IFERROR(__xludf.DUMMYFUNCTION("""COMPUTED_VALUE"""),"MEDELLÍN")</f>
        <v>MEDELLÍN</v>
      </c>
      <c r="E5439" s="15" t="str">
        <f>IFERROR(__xludf.DUMMYFUNCTION("""COMPUTED_VALUE"""),"Puro Verde")</f>
        <v>Puro Verde</v>
      </c>
      <c r="F5439" s="17" t="str">
        <f>IFERROR(__xludf.DUMMYFUNCTION("""COMPUTED_VALUE"""),"CALLE 9 # 20-47 / APTO 601. EDIFICIO LG / BARRIO COMUNEROS")</f>
        <v>CALLE 9 # 20-47 / APTO 601. EDIFICIO LG / BARRIO COMUNEROS</v>
      </c>
      <c r="G5439" s="15" t="str">
        <f>IFERROR(__xludf.DUMMYFUNCTION("""COMPUTED_VALUE"""),"JUAN SEBASTIAN VESGA MORA")</f>
        <v>JUAN SEBASTIAN VESGA MORA</v>
      </c>
      <c r="H5439" s="16">
        <f>IFERROR(__xludf.DUMMYFUNCTION("""COMPUTED_VALUE"""),14129.0)</f>
        <v>14129</v>
      </c>
      <c r="I5439" s="18">
        <f>IFERROR(__xludf.DUMMYFUNCTION("""COMPUTED_VALUE"""),45149.0)</f>
        <v>45149</v>
      </c>
      <c r="J5439" s="18">
        <f>IFERROR(__xludf.DUMMYFUNCTION("""COMPUTED_VALUE"""),45185.0)</f>
        <v>45185</v>
      </c>
      <c r="K5439" s="18" t="str">
        <f>IFERROR(__xludf.DUMMYFUNCTION("""COMPUTED_VALUE"""),"44.1")</f>
        <v>44.1</v>
      </c>
      <c r="L5439" s="17">
        <f>IFERROR(__xludf.DUMMYFUNCTION("""COMPUTED_VALUE"""),3.504804649E9)</f>
        <v>3504804649</v>
      </c>
      <c r="M5439" s="17" t="str">
        <f>IFERROR(__xludf.DUMMYFUNCTION("""COMPUTED_VALUE"""),"#REF!")</f>
        <v>#REF!</v>
      </c>
      <c r="N5439" s="17"/>
      <c r="O5439" s="17"/>
      <c r="P5439" s="17" t="b">
        <f>IFERROR(__xludf.DUMMYFUNCTION("""COMPUTED_VALUE"""),FALSE)</f>
        <v>0</v>
      </c>
      <c r="Q5439" s="20" t="str">
        <f>IFERROR(__xludf.DUMMYFUNCTION("""COMPUTED_VALUE"""),"")</f>
        <v/>
      </c>
      <c r="R5439" s="21" t="str">
        <f>IFERROR(__xludf.DUMMYFUNCTION("""COMPUTED_VALUE"""),"https://drive.google.com/file/d/1yPtwJFI2GPmK1RCP0E4Z3B-VCn6ZORMA/view?usp=drivesdk")</f>
        <v>https://drive.google.com/file/d/1yPtwJFI2GPmK1RCP0E4Z3B-VCn6ZORMA/view?usp=drivesdk</v>
      </c>
    </row>
    <row r="5440">
      <c r="A5440" s="15">
        <f>IFERROR(__xludf.DUMMYFUNCTION("""COMPUTED_VALUE"""),45161.0)</f>
        <v>45161</v>
      </c>
      <c r="B5440" s="17"/>
      <c r="C5440" s="15" t="str">
        <f>IFERROR(__xludf.DUMMYFUNCTION("""COMPUTED_VALUE"""),"CALI")</f>
        <v>CALI</v>
      </c>
      <c r="D5440" s="15" t="str">
        <f>IFERROR(__xludf.DUMMYFUNCTION("""COMPUTED_VALUE"""),"BOGOTÁ")</f>
        <v>BOGOTÁ</v>
      </c>
      <c r="E5440" s="15" t="str">
        <f>IFERROR(__xludf.DUMMYFUNCTION("""COMPUTED_VALUE"""),"Ventura Productos Arg")</f>
        <v>Ventura Productos Arg</v>
      </c>
      <c r="F5440" s="17" t="str">
        <f>IFERROR(__xludf.DUMMYFUNCTION("""COMPUTED_VALUE"""),"Cra 86 #17-35 / Apto 301, Torre 3, El Arado")</f>
        <v>Cra 86 #17-35 / Apto 301, Torre 3, El Arado</v>
      </c>
      <c r="G5440" s="15" t="str">
        <f>IFERROR(__xludf.DUMMYFUNCTION("""COMPUTED_VALUE"""),"Sofia Diaz Florian")</f>
        <v>Sofia Diaz Florian</v>
      </c>
      <c r="H5440" s="16">
        <f>IFERROR(__xludf.DUMMYFUNCTION("""COMPUTED_VALUE"""),14182.0)</f>
        <v>14182</v>
      </c>
      <c r="I5440" s="18">
        <f>IFERROR(__xludf.DUMMYFUNCTION("""COMPUTED_VALUE"""),3.0)</f>
        <v>3</v>
      </c>
      <c r="J5440" s="18">
        <f>IFERROR(__xludf.DUMMYFUNCTION("""COMPUTED_VALUE"""),45060.0)</f>
        <v>45060</v>
      </c>
      <c r="K5440" s="18">
        <f>IFERROR(__xludf.DUMMYFUNCTION("""COMPUTED_VALUE"""),22.0)</f>
        <v>22</v>
      </c>
      <c r="L5440" s="17" t="str">
        <f>IFERROR(__xludf.DUMMYFUNCTION("""COMPUTED_VALUE"""),"318 235 2485")</f>
        <v>318 235 2485</v>
      </c>
      <c r="M5440" s="17" t="str">
        <f>IFERROR(__xludf.DUMMYFUNCTION("""COMPUTED_VALUE"""),"#REF!")</f>
        <v>#REF!</v>
      </c>
      <c r="N5440" s="17"/>
      <c r="O5440" s="17"/>
      <c r="P5440" s="17" t="b">
        <f>IFERROR(__xludf.DUMMYFUNCTION("""COMPUTED_VALUE"""),FALSE)</f>
        <v>0</v>
      </c>
      <c r="Q5440" s="20" t="str">
        <f>IFERROR(__xludf.DUMMYFUNCTION("""COMPUTED_VALUE"""),"")</f>
        <v/>
      </c>
      <c r="R5440" s="21" t="str">
        <f>IFERROR(__xludf.DUMMYFUNCTION("""COMPUTED_VALUE"""),"https://drive.google.com/file/d/1BVKlrwlsTR5iZfDBVGOzOB32JWmxImFU/view?usp=drivesdk")</f>
        <v>https://drive.google.com/file/d/1BVKlrwlsTR5iZfDBVGOzOB32JWmxImFU/view?usp=drivesdk</v>
      </c>
    </row>
    <row r="5441">
      <c r="A5441" s="15">
        <f>IFERROR(__xludf.DUMMYFUNCTION("""COMPUTED_VALUE"""),45161.0)</f>
        <v>45161</v>
      </c>
      <c r="B5441" s="17"/>
      <c r="C5441" s="15" t="str">
        <f>IFERROR(__xludf.DUMMYFUNCTION("""COMPUTED_VALUE"""),"MEDELLÍN")</f>
        <v>MEDELLÍN</v>
      </c>
      <c r="D5441" s="15" t="str">
        <f>IFERROR(__xludf.DUMMYFUNCTION("""COMPUTED_VALUE"""),"BOGOTÁ")</f>
        <v>BOGOTÁ</v>
      </c>
      <c r="E5441" s="15" t="str">
        <f>IFERROR(__xludf.DUMMYFUNCTION("""COMPUTED_VALUE"""),"Asociacion Agropecuaria Juana Maria")</f>
        <v>Asociacion Agropecuaria Juana Maria</v>
      </c>
      <c r="F5441" s="17" t="str">
        <f>IFERROR(__xludf.DUMMYFUNCTION("""COMPUTED_VALUE"""),"Carrera 15 BA # 30D-44 int 201")</f>
        <v>Carrera 15 BA # 30D-44 int 201</v>
      </c>
      <c r="G5441" s="15" t="str">
        <f>IFERROR(__xludf.DUMMYFUNCTION("""COMPUTED_VALUE"""),"Daniela Bedoya Blandon")</f>
        <v>Daniela Bedoya Blandon</v>
      </c>
      <c r="H5441" s="16">
        <f>IFERROR(__xludf.DUMMYFUNCTION("""COMPUTED_VALUE"""),14156.0)</f>
        <v>14156</v>
      </c>
      <c r="I5441" s="18">
        <f>IFERROR(__xludf.DUMMYFUNCTION("""COMPUTED_VALUE"""),22.0)</f>
        <v>22</v>
      </c>
      <c r="J5441" s="18">
        <f>IFERROR(__xludf.DUMMYFUNCTION("""COMPUTED_VALUE"""),15.0)</f>
        <v>15</v>
      </c>
      <c r="K5441" s="18">
        <f>IFERROR(__xludf.DUMMYFUNCTION("""COMPUTED_VALUE"""),3.0)</f>
        <v>3</v>
      </c>
      <c r="L5441" s="17">
        <f>IFERROR(__xludf.DUMMYFUNCTION("""COMPUTED_VALUE"""),3.14672822E9)</f>
        <v>3146728220</v>
      </c>
      <c r="M5441" s="17" t="str">
        <f>IFERROR(__xludf.DUMMYFUNCTION("""COMPUTED_VALUE"""),"#REF!")</f>
        <v>#REF!</v>
      </c>
      <c r="N5441" s="17"/>
      <c r="O5441" s="17"/>
      <c r="P5441" s="17" t="b">
        <f>IFERROR(__xludf.DUMMYFUNCTION("""COMPUTED_VALUE"""),FALSE)</f>
        <v>0</v>
      </c>
      <c r="Q5441" s="20" t="str">
        <f>IFERROR(__xludf.DUMMYFUNCTION("""COMPUTED_VALUE"""),"")</f>
        <v/>
      </c>
      <c r="R5441" s="22" t="str">
        <f>IFERROR(__xludf.DUMMYFUNCTION("""COMPUTED_VALUE"""),"")</f>
        <v/>
      </c>
    </row>
    <row r="5442">
      <c r="A5442" s="15">
        <f>IFERROR(__xludf.DUMMYFUNCTION("""COMPUTED_VALUE"""),45161.0)</f>
        <v>45161</v>
      </c>
      <c r="B5442" s="17"/>
      <c r="C5442" s="15" t="str">
        <f>IFERROR(__xludf.DUMMYFUNCTION("""COMPUTED_VALUE"""),"MEDELLÍN")</f>
        <v>MEDELLÍN</v>
      </c>
      <c r="D5442" s="15" t="str">
        <f>IFERROR(__xludf.DUMMYFUNCTION("""COMPUTED_VALUE"""),"BOGOTÁ")</f>
        <v>BOGOTÁ</v>
      </c>
      <c r="E5442" s="15" t="str">
        <f>IFERROR(__xludf.DUMMYFUNCTION("""COMPUTED_VALUE"""),"Asociacion Agropecuaria Juana Maria")</f>
        <v>Asociacion Agropecuaria Juana Maria</v>
      </c>
      <c r="F5442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5442" s="15" t="str">
        <f>IFERROR(__xludf.DUMMYFUNCTION("""COMPUTED_VALUE"""),"Jennifer Sanchez Blandon")</f>
        <v>Jennifer Sanchez Blandon</v>
      </c>
      <c r="H5442" s="16">
        <f>IFERROR(__xludf.DUMMYFUNCTION("""COMPUTED_VALUE"""),14157.0)</f>
        <v>14157</v>
      </c>
      <c r="I5442" s="18">
        <f>IFERROR(__xludf.DUMMYFUNCTION("""COMPUTED_VALUE"""),22.0)</f>
        <v>22</v>
      </c>
      <c r="J5442" s="18">
        <f>IFERROR(__xludf.DUMMYFUNCTION("""COMPUTED_VALUE"""),15.0)</f>
        <v>15</v>
      </c>
      <c r="K5442" s="18">
        <f>IFERROR(__xludf.DUMMYFUNCTION("""COMPUTED_VALUE"""),3.0)</f>
        <v>3</v>
      </c>
      <c r="L5442" s="17">
        <f>IFERROR(__xludf.DUMMYFUNCTION("""COMPUTED_VALUE"""),3.016937674E9)</f>
        <v>3016937674</v>
      </c>
      <c r="M5442" s="17" t="str">
        <f>IFERROR(__xludf.DUMMYFUNCTION("""COMPUTED_VALUE"""),"#REF!")</f>
        <v>#REF!</v>
      </c>
      <c r="N5442" s="17"/>
      <c r="O5442" s="17"/>
      <c r="P5442" s="17" t="b">
        <f>IFERROR(__xludf.DUMMYFUNCTION("""COMPUTED_VALUE"""),FALSE)</f>
        <v>0</v>
      </c>
      <c r="Q5442" s="20" t="str">
        <f>IFERROR(__xludf.DUMMYFUNCTION("""COMPUTED_VALUE"""),"")</f>
        <v/>
      </c>
      <c r="R5442" s="22" t="str">
        <f>IFERROR(__xludf.DUMMYFUNCTION("""COMPUTED_VALUE"""),"")</f>
        <v/>
      </c>
    </row>
    <row r="5443">
      <c r="A5443" s="15">
        <f>IFERROR(__xludf.DUMMYFUNCTION("""COMPUTED_VALUE"""),45161.0)</f>
        <v>45161</v>
      </c>
      <c r="B5443" s="17"/>
      <c r="C5443" s="15" t="str">
        <f>IFERROR(__xludf.DUMMYFUNCTION("""COMPUTED_VALUE"""),"MEDELLÍN")</f>
        <v>MEDELLÍN</v>
      </c>
      <c r="D5443" s="15" t="str">
        <f>IFERROR(__xludf.DUMMYFUNCTION("""COMPUTED_VALUE"""),"BOGOTÁ")</f>
        <v>BOGOTÁ</v>
      </c>
      <c r="E5443" s="15" t="str">
        <f>IFERROR(__xludf.DUMMYFUNCTION("""COMPUTED_VALUE"""),"Asociacion Agropecuaria Juana Maria")</f>
        <v>Asociacion Agropecuaria Juana Maria</v>
      </c>
      <c r="F5443" s="17" t="str">
        <f>IFERROR(__xludf.DUMMYFUNCTION("""COMPUTED_VALUE"""),"Cra 82C # 30A-100 apto 1202 urbanizacion Torres de Vicuña Belen los Alpes")</f>
        <v>Cra 82C # 30A-100 apto 1202 urbanizacion Torres de Vicuña Belen los Alpes</v>
      </c>
      <c r="G5443" s="15" t="str">
        <f>IFERROR(__xludf.DUMMYFUNCTION("""COMPUTED_VALUE"""),"Gloria Moreno")</f>
        <v>Gloria Moreno</v>
      </c>
      <c r="H5443" s="16">
        <f>IFERROR(__xludf.DUMMYFUNCTION("""COMPUTED_VALUE"""),14162.0)</f>
        <v>14162</v>
      </c>
      <c r="I5443" s="18">
        <f>IFERROR(__xludf.DUMMYFUNCTION("""COMPUTED_VALUE"""),22.0)</f>
        <v>22</v>
      </c>
      <c r="J5443" s="18">
        <f>IFERROR(__xludf.DUMMYFUNCTION("""COMPUTED_VALUE"""),15.0)</f>
        <v>15</v>
      </c>
      <c r="K5443" s="18">
        <f>IFERROR(__xludf.DUMMYFUNCTION("""COMPUTED_VALUE"""),3.0)</f>
        <v>3</v>
      </c>
      <c r="L5443" s="17">
        <f>IFERROR(__xludf.DUMMYFUNCTION("""COMPUTED_VALUE"""),3.162544201E9)</f>
        <v>3162544201</v>
      </c>
      <c r="M5443" s="17" t="str">
        <f>IFERROR(__xludf.DUMMYFUNCTION("""COMPUTED_VALUE"""),"#REF!")</f>
        <v>#REF!</v>
      </c>
      <c r="N5443" s="17"/>
      <c r="O5443" s="17"/>
      <c r="P5443" s="17" t="b">
        <f>IFERROR(__xludf.DUMMYFUNCTION("""COMPUTED_VALUE"""),FALSE)</f>
        <v>0</v>
      </c>
      <c r="Q5443" s="20" t="str">
        <f>IFERROR(__xludf.DUMMYFUNCTION("""COMPUTED_VALUE"""),"")</f>
        <v/>
      </c>
      <c r="R5443" s="22" t="str">
        <f>IFERROR(__xludf.DUMMYFUNCTION("""COMPUTED_VALUE"""),"")</f>
        <v/>
      </c>
    </row>
    <row r="5444">
      <c r="A5444" s="15">
        <f>IFERROR(__xludf.DUMMYFUNCTION("""COMPUTED_VALUE"""),45161.0)</f>
        <v>45161</v>
      </c>
      <c r="B5444" s="17"/>
      <c r="C5444" s="15" t="str">
        <f>IFERROR(__xludf.DUMMYFUNCTION("""COMPUTED_VALUE"""),"MEDELLÍN")</f>
        <v>MEDELLÍN</v>
      </c>
      <c r="D5444" s="15" t="str">
        <f>IFERROR(__xludf.DUMMYFUNCTION("""COMPUTED_VALUE"""),"BOGOTÁ")</f>
        <v>BOGOTÁ</v>
      </c>
      <c r="E5444" s="15" t="str">
        <f>IFERROR(__xludf.DUMMYFUNCTION("""COMPUTED_VALUE"""),"Asociacion Agropecuaria Juana Maria")</f>
        <v>Asociacion Agropecuaria Juana Maria</v>
      </c>
      <c r="F5444" s="17" t="str">
        <f>IFERROR(__xludf.DUMMYFUNCTION("""COMPUTED_VALUE"""),"Cra 82C # 30A-100 apto 1202 urbanizacion Torres de Vicuña Belen los Alpes")</f>
        <v>Cra 82C # 30A-100 apto 1202 urbanizacion Torres de Vicuña Belen los Alpes</v>
      </c>
      <c r="G5444" s="15" t="str">
        <f>IFERROR(__xludf.DUMMYFUNCTION("""COMPUTED_VALUE"""),"Gloria Moreno")</f>
        <v>Gloria Moreno</v>
      </c>
      <c r="H5444" s="16">
        <f>IFERROR(__xludf.DUMMYFUNCTION("""COMPUTED_VALUE"""),14164.0)</f>
        <v>14164</v>
      </c>
      <c r="I5444" s="18">
        <f>IFERROR(__xludf.DUMMYFUNCTION("""COMPUTED_VALUE"""),36.0)</f>
        <v>36</v>
      </c>
      <c r="J5444" s="18">
        <f>IFERROR(__xludf.DUMMYFUNCTION("""COMPUTED_VALUE"""),33.0)</f>
        <v>33</v>
      </c>
      <c r="K5444" s="18">
        <f>IFERROR(__xludf.DUMMYFUNCTION("""COMPUTED_VALUE"""),3.0)</f>
        <v>3</v>
      </c>
      <c r="L5444" s="17">
        <f>IFERROR(__xludf.DUMMYFUNCTION("""COMPUTED_VALUE"""),3.162544201E9)</f>
        <v>3162544201</v>
      </c>
      <c r="M5444" s="17" t="str">
        <f>IFERROR(__xludf.DUMMYFUNCTION("""COMPUTED_VALUE"""),"#REF!")</f>
        <v>#REF!</v>
      </c>
      <c r="N5444" s="17"/>
      <c r="O5444" s="17"/>
      <c r="P5444" s="17" t="b">
        <f>IFERROR(__xludf.DUMMYFUNCTION("""COMPUTED_VALUE"""),FALSE)</f>
        <v>0</v>
      </c>
      <c r="Q5444" s="20" t="str">
        <f>IFERROR(__xludf.DUMMYFUNCTION("""COMPUTED_VALUE"""),"")</f>
        <v/>
      </c>
      <c r="R5444" s="22" t="str">
        <f>IFERROR(__xludf.DUMMYFUNCTION("""COMPUTED_VALUE"""),"")</f>
        <v/>
      </c>
    </row>
    <row r="5445">
      <c r="A5445" s="15">
        <f>IFERROR(__xludf.DUMMYFUNCTION("""COMPUTED_VALUE"""),45161.0)</f>
        <v>45161</v>
      </c>
      <c r="B5445" s="17"/>
      <c r="C5445" s="15" t="str">
        <f>IFERROR(__xludf.DUMMYFUNCTION("""COMPUTED_VALUE"""),"MEDELLÍN")</f>
        <v>MEDELLÍN</v>
      </c>
      <c r="D5445" s="15" t="str">
        <f>IFERROR(__xludf.DUMMYFUNCTION("""COMPUTED_VALUE"""),"BOGOTÁ")</f>
        <v>BOGOTÁ</v>
      </c>
      <c r="E5445" s="15" t="str">
        <f>IFERROR(__xludf.DUMMYFUNCTION("""COMPUTED_VALUE"""),"Top Spun")</f>
        <v>Top Spun</v>
      </c>
      <c r="F5445" s="17" t="str">
        <f>IFERROR(__xludf.DUMMYFUNCTION("""COMPUTED_VALUE"""),"CIRCULAR 74 # 39 B 68 / TORRE LAURELES APTO 103 / BARRIO LAURELES MEDELLIN")</f>
        <v>CIRCULAR 74 # 39 B 68 / TORRE LAURELES APTO 103 / BARRIO LAURELES MEDELLIN</v>
      </c>
      <c r="G5445" s="15" t="str">
        <f>IFERROR(__xludf.DUMMYFUNCTION("""COMPUTED_VALUE"""),"LILIBETH SEOHANES")</f>
        <v>LILIBETH SEOHANES</v>
      </c>
      <c r="H5445" s="16">
        <f>IFERROR(__xludf.DUMMYFUNCTION("""COMPUTED_VALUE"""),14151.0)</f>
        <v>14151</v>
      </c>
      <c r="I5445" s="18">
        <f>IFERROR(__xludf.DUMMYFUNCTION("""COMPUTED_VALUE"""),20.0)</f>
        <v>20</v>
      </c>
      <c r="J5445" s="18">
        <f>IFERROR(__xludf.DUMMYFUNCTION("""COMPUTED_VALUE"""),10.0)</f>
        <v>10</v>
      </c>
      <c r="K5445" s="18">
        <f>IFERROR(__xludf.DUMMYFUNCTION("""COMPUTED_VALUE"""),40.0)</f>
        <v>40</v>
      </c>
      <c r="L5445" s="17">
        <f>IFERROR(__xludf.DUMMYFUNCTION("""COMPUTED_VALUE"""),3.108399454E9)</f>
        <v>3108399454</v>
      </c>
      <c r="M5445" s="17" t="str">
        <f>IFERROR(__xludf.DUMMYFUNCTION("""COMPUTED_VALUE"""),"#REF!")</f>
        <v>#REF!</v>
      </c>
      <c r="N5445" s="17"/>
      <c r="O5445" s="17"/>
      <c r="P5445" s="17" t="b">
        <f>IFERROR(__xludf.DUMMYFUNCTION("""COMPUTED_VALUE"""),FALSE)</f>
        <v>0</v>
      </c>
      <c r="Q5445" s="20" t="str">
        <f>IFERROR(__xludf.DUMMYFUNCTION("""COMPUTED_VALUE"""),"")</f>
        <v/>
      </c>
      <c r="R5445" s="22" t="str">
        <f>IFERROR(__xludf.DUMMYFUNCTION("""COMPUTED_VALUE"""),"")</f>
        <v/>
      </c>
    </row>
    <row r="5446">
      <c r="A5446" s="15">
        <f>IFERROR(__xludf.DUMMYFUNCTION("""COMPUTED_VALUE"""),45161.0)</f>
        <v>45161</v>
      </c>
      <c r="B5446" s="17"/>
      <c r="C5446" s="15" t="str">
        <f>IFERROR(__xludf.DUMMYFUNCTION("""COMPUTED_VALUE"""),"MEDELLÍN")</f>
        <v>MEDELLÍN</v>
      </c>
      <c r="D5446" s="15" t="str">
        <f>IFERROR(__xludf.DUMMYFUNCTION("""COMPUTED_VALUE"""),"BOGOTÁ")</f>
        <v>BOGOTÁ</v>
      </c>
      <c r="E5446" s="15" t="str">
        <f>IFERROR(__xludf.DUMMYFUNCTION("""COMPUTED_VALUE"""),"Ventura Productos Arg")</f>
        <v>Ventura Productos Arg</v>
      </c>
      <c r="F5446" s="17" t="str">
        <f>IFERROR(__xludf.DUMMYFUNCTION("""COMPUTED_VALUE"""),"Cll 53 #45-52 / Apto 1304, Edificio Bari")</f>
        <v>Cll 53 #45-52 / Apto 1304, Edificio Bari</v>
      </c>
      <c r="G5446" s="15" t="str">
        <f>IFERROR(__xludf.DUMMYFUNCTION("""COMPUTED_VALUE"""),"Carlos Alberto Mejia")</f>
        <v>Carlos Alberto Mejia</v>
      </c>
      <c r="H5446" s="16">
        <f>IFERROR(__xludf.DUMMYFUNCTION("""COMPUTED_VALUE"""),14184.0)</f>
        <v>14184</v>
      </c>
      <c r="I5446" s="18">
        <f>IFERROR(__xludf.DUMMYFUNCTION("""COMPUTED_VALUE"""),3.0)</f>
        <v>3</v>
      </c>
      <c r="J5446" s="18">
        <f>IFERROR(__xludf.DUMMYFUNCTION("""COMPUTED_VALUE"""),45053.0)</f>
        <v>45053</v>
      </c>
      <c r="K5446" s="18">
        <f>IFERROR(__xludf.DUMMYFUNCTION("""COMPUTED_VALUE"""),22.0)</f>
        <v>22</v>
      </c>
      <c r="L5446" s="17">
        <f>IFERROR(__xludf.DUMMYFUNCTION("""COMPUTED_VALUE"""),3.5036434E9)</f>
        <v>3503643400</v>
      </c>
      <c r="M5446" s="17" t="str">
        <f>IFERROR(__xludf.DUMMYFUNCTION("""COMPUTED_VALUE"""),"#REF!")</f>
        <v>#REF!</v>
      </c>
      <c r="N5446" s="17"/>
      <c r="O5446" s="17"/>
      <c r="P5446" s="17" t="b">
        <f>IFERROR(__xludf.DUMMYFUNCTION("""COMPUTED_VALUE"""),FALSE)</f>
        <v>0</v>
      </c>
      <c r="Q5446" s="20" t="str">
        <f>IFERROR(__xludf.DUMMYFUNCTION("""COMPUTED_VALUE"""),"")</f>
        <v/>
      </c>
      <c r="R5446" s="22" t="str">
        <f>IFERROR(__xludf.DUMMYFUNCTION("""COMPUTED_VALUE"""),"")</f>
        <v/>
      </c>
    </row>
    <row r="5447">
      <c r="A5447" s="15">
        <f>IFERROR(__xludf.DUMMYFUNCTION("""COMPUTED_VALUE"""),45161.0)</f>
        <v>45161</v>
      </c>
      <c r="B5447" s="17"/>
      <c r="C5447" s="15" t="str">
        <f>IFERROR(__xludf.DUMMYFUNCTION("""COMPUTED_VALUE"""),"PEREIRA")</f>
        <v>PEREIRA</v>
      </c>
      <c r="D5447" s="15" t="str">
        <f>IFERROR(__xludf.DUMMYFUNCTION("""COMPUTED_VALUE"""),"MEDELLÍN")</f>
        <v>MEDELLÍN</v>
      </c>
      <c r="E5447" s="15" t="str">
        <f>IFERROR(__xludf.DUMMYFUNCTION("""COMPUTED_VALUE"""),"Baby Chef")</f>
        <v>Baby Chef</v>
      </c>
      <c r="F5447" s="17" t="str">
        <f>IFERROR(__xludf.DUMMYFUNCTION("""COMPUTED_VALUE"""),"Calle 101# 16 -159 rincón de la palma Casa 49 / ""Calle 101# 16 -159 rincón de la palma Casa 49"" / ""Calle 101# 16 -159 rincón de la palma Casa 49""")</f>
        <v>Calle 101# 16 -159 rincón de la palma Casa 49 / "Calle 101# 16 -159 rincón de la palma Casa 49" / "Calle 101# 16 -159 rincón de la palma Casa 49"</v>
      </c>
      <c r="G5447" s="15" t="str">
        <f>IFERROR(__xludf.DUMMYFUNCTION("""COMPUTED_VALUE"""),"Stefanía Narvaez Rodas")</f>
        <v>Stefanía Narvaez Rodas</v>
      </c>
      <c r="H5447" s="16">
        <f>IFERROR(__xludf.DUMMYFUNCTION("""COMPUTED_VALUE"""),14277.0)</f>
        <v>14277</v>
      </c>
      <c r="I5447" s="18">
        <f>IFERROR(__xludf.DUMMYFUNCTION("""COMPUTED_VALUE"""),7.0)</f>
        <v>7</v>
      </c>
      <c r="J5447" s="18">
        <f>IFERROR(__xludf.DUMMYFUNCTION("""COMPUTED_VALUE"""),31.0)</f>
        <v>31</v>
      </c>
      <c r="K5447" s="18">
        <f>IFERROR(__xludf.DUMMYFUNCTION("""COMPUTED_VALUE"""),23.0)</f>
        <v>23</v>
      </c>
      <c r="L5447" s="17">
        <f>IFERROR(__xludf.DUMMYFUNCTION("""COMPUTED_VALUE"""),3.112767629E9)</f>
        <v>3112767629</v>
      </c>
      <c r="M5447" s="17" t="str">
        <f>IFERROR(__xludf.DUMMYFUNCTION("""COMPUTED_VALUE"""),"#REF!")</f>
        <v>#REF!</v>
      </c>
      <c r="N5447" s="17"/>
      <c r="O5447" s="17"/>
      <c r="P5447" s="17" t="b">
        <f>IFERROR(__xludf.DUMMYFUNCTION("""COMPUTED_VALUE"""),FALSE)</f>
        <v>0</v>
      </c>
      <c r="Q5447" s="20" t="str">
        <f>IFERROR(__xludf.DUMMYFUNCTION("""COMPUTED_VALUE"""),"")</f>
        <v/>
      </c>
      <c r="R5447" s="21" t="str">
        <f>IFERROR(__xludf.DUMMYFUNCTION("""COMPUTED_VALUE"""),"https://drive.google.com/file/d/1XjwzonqcJyOKPC9qiWxM6hgMFuDvixE7/view?usp=drivesdk")</f>
        <v>https://drive.google.com/file/d/1XjwzonqcJyOKPC9qiWxM6hgMFuDvixE7/view?usp=drivesdk</v>
      </c>
    </row>
    <row r="5448">
      <c r="A5448" s="17" t="str">
        <f>IFERROR(__xludf.DUMMYFUNCTION("""COMPUTED_VALUE"""),"")</f>
        <v/>
      </c>
      <c r="B5448" s="17" t="str">
        <f>IFERROR(__xludf.DUMMYFUNCTION("""COMPUTED_VALUE"""),"")</f>
        <v/>
      </c>
      <c r="C5448" s="17" t="str">
        <f>IFERROR(__xludf.DUMMYFUNCTION("""COMPUTED_VALUE"""),"")</f>
        <v/>
      </c>
      <c r="D5448" s="17" t="str">
        <f>IFERROR(__xludf.DUMMYFUNCTION("""COMPUTED_VALUE"""),"")</f>
        <v/>
      </c>
      <c r="E5448" s="17" t="str">
        <f>IFERROR(__xludf.DUMMYFUNCTION("""COMPUTED_VALUE"""),"")</f>
        <v/>
      </c>
      <c r="F5448" s="17" t="str">
        <f>IFERROR(__xludf.DUMMYFUNCTION("""COMPUTED_VALUE"""),"")</f>
        <v/>
      </c>
      <c r="G5448" s="17" t="str">
        <f>IFERROR(__xludf.DUMMYFUNCTION("""COMPUTED_VALUE"""),"")</f>
        <v/>
      </c>
      <c r="H5448" s="17" t="str">
        <f>IFERROR(__xludf.DUMMYFUNCTION("""COMPUTED_VALUE"""),"")</f>
        <v/>
      </c>
      <c r="I5448" s="17" t="str">
        <f>IFERROR(__xludf.DUMMYFUNCTION("""COMPUTED_VALUE"""),"")</f>
        <v/>
      </c>
      <c r="J5448" s="17" t="str">
        <f>IFERROR(__xludf.DUMMYFUNCTION("""COMPUTED_VALUE"""),"")</f>
        <v/>
      </c>
      <c r="K5448" s="17" t="str">
        <f>IFERROR(__xludf.DUMMYFUNCTION("""COMPUTED_VALUE"""),"")</f>
        <v/>
      </c>
      <c r="L5448" s="17" t="str">
        <f>IFERROR(__xludf.DUMMYFUNCTION("""COMPUTED_VALUE"""),"")</f>
        <v/>
      </c>
      <c r="M5448" s="17" t="str">
        <f>IFERROR(__xludf.DUMMYFUNCTION("""COMPUTED_VALUE"""),"")</f>
        <v/>
      </c>
      <c r="N5448" s="17" t="str">
        <f>IFERROR(__xludf.DUMMYFUNCTION("""COMPUTED_VALUE"""),"")</f>
        <v/>
      </c>
      <c r="O5448" s="17" t="str">
        <f>IFERROR(__xludf.DUMMYFUNCTION("""COMPUTED_VALUE"""),"")</f>
        <v/>
      </c>
      <c r="P5448" s="17" t="str">
        <f>IFERROR(__xludf.DUMMYFUNCTION("""COMPUTED_VALUE"""),"")</f>
        <v/>
      </c>
      <c r="Q5448" s="17" t="str">
        <f>IFERROR(__xludf.DUMMYFUNCTION("""COMPUTED_VALUE"""),"")</f>
        <v/>
      </c>
      <c r="R5448" s="17" t="str">
        <f>IFERROR(__xludf.DUMMYFUNCTION("""COMPUTED_VALUE"""),"")</f>
        <v/>
      </c>
    </row>
    <row r="5449">
      <c r="A5449" s="15">
        <f>IFERROR(__xludf.DUMMYFUNCTION("""COMPUTED_VALUE"""),45161.0)</f>
        <v>45161</v>
      </c>
      <c r="B5449" s="16" t="str">
        <f>IFERROR(__xludf.DUMMYFUNCTION("""COMPUTED_VALUE"""),"Carlos Andres Pirachican Numpaque (Mayerli)")</f>
        <v>Carlos Andres Pirachican Numpaque (Mayerli)</v>
      </c>
      <c r="C5449" s="15" t="str">
        <f>IFERROR(__xludf.DUMMYFUNCTION("""COMPUTED_VALUE"""),"CARTAGENA")</f>
        <v>CARTAGENA</v>
      </c>
      <c r="D5449" s="15" t="str">
        <f>IFERROR(__xludf.DUMMYFUNCTION("""COMPUTED_VALUE"""),"BOGOTÁ")</f>
        <v>BOGOTÁ</v>
      </c>
      <c r="E5449" s="15" t="str">
        <f>IFERROR(__xludf.DUMMYFUNCTION("""COMPUTED_VALUE"""),"Pan de Waffle")</f>
        <v>Pan de Waffle</v>
      </c>
      <c r="F5449" s="17" t="str">
        <f>IFERROR(__xludf.DUMMYFUNCTION("""COMPUTED_VALUE"""),"Carrera 1 # 46b - 6 Edif. Mar del Norte Local 3 / Carrera 1 # 46b - 6 Edif. Mar del Norte Local 3 / Carrera 1 # 46b - 6 Edif. Mar del Norte Local 3")</f>
        <v>Carrera 1 # 46b - 6 Edif. Mar del Norte Local 3 / Carrera 1 # 46b - 6 Edif. Mar del Norte Local 3 / Carrera 1 # 46b - 6 Edif. Mar del Norte Local 3</v>
      </c>
      <c r="G5449" s="15" t="str">
        <f>IFERROR(__xludf.DUMMYFUNCTION("""COMPUTED_VALUE"""),"RAPPI TURBO - MAR DEL NORTE")</f>
        <v>RAPPI TURBO - MAR DEL NORTE</v>
      </c>
      <c r="H5449" s="16">
        <f>IFERROR(__xludf.DUMMYFUNCTION("""COMPUTED_VALUE"""),14245.0)</f>
        <v>14245</v>
      </c>
      <c r="I5449" s="18">
        <f>IFERROR(__xludf.DUMMYFUNCTION("""COMPUTED_VALUE"""),30.0)</f>
        <v>30</v>
      </c>
      <c r="J5449" s="18">
        <f>IFERROR(__xludf.DUMMYFUNCTION("""COMPUTED_VALUE"""),30.0)</f>
        <v>30</v>
      </c>
      <c r="K5449" s="18">
        <f>IFERROR(__xludf.DUMMYFUNCTION("""COMPUTED_VALUE"""),40.0)</f>
        <v>40</v>
      </c>
      <c r="L5449" s="17">
        <f>IFERROR(__xludf.DUMMYFUNCTION("""COMPUTED_VALUE"""),3.175005565E9)</f>
        <v>3175005565</v>
      </c>
      <c r="M5449" s="17" t="str">
        <f>IFERROR(__xludf.DUMMYFUNCTION("""COMPUTED_VALUE"""),"#REF!")</f>
        <v>#REF!</v>
      </c>
      <c r="N5449" s="17"/>
      <c r="O5449" s="17"/>
      <c r="P5449" s="17" t="b">
        <f>IFERROR(__xludf.DUMMYFUNCTION("""COMPUTED_VALUE"""),FALSE)</f>
        <v>0</v>
      </c>
      <c r="Q5449" s="20" t="str">
        <f>IFERROR(__xludf.DUMMYFUNCTION("""COMPUTED_VALUE"""),"")</f>
        <v/>
      </c>
      <c r="R5449" s="21" t="str">
        <f>IFERROR(__xludf.DUMMYFUNCTION("""COMPUTED_VALUE"""),"https://drive.google.com/file/d/1bRGVxpVHGaSXQiPDZ99cPsfXm5WcOX5a/view?usp=drivesdk")</f>
        <v>https://drive.google.com/file/d/1bRGVxpVHGaSXQiPDZ99cPsfXm5WcOX5a/view?usp=drivesdk</v>
      </c>
    </row>
    <row r="5450">
      <c r="A5450" s="15">
        <f>IFERROR(__xludf.DUMMYFUNCTION("""COMPUTED_VALUE"""),45161.0)</f>
        <v>45161</v>
      </c>
      <c r="B5450" s="16" t="str">
        <f>IFERROR(__xludf.DUMMYFUNCTION("""COMPUTED_VALUE"""),"Carlos Andres Pirachican Numpaque (Mayerli)")</f>
        <v>Carlos Andres Pirachican Numpaque (Mayerli)</v>
      </c>
      <c r="C5450" s="15" t="str">
        <f>IFERROR(__xludf.DUMMYFUNCTION("""COMPUTED_VALUE"""),"CARTAGENA")</f>
        <v>CARTAGENA</v>
      </c>
      <c r="D5450" s="15" t="str">
        <f>IFERROR(__xludf.DUMMYFUNCTION("""COMPUTED_VALUE"""),"BOGOTÁ")</f>
        <v>BOGOTÁ</v>
      </c>
      <c r="E5450" s="15" t="str">
        <f>IFERROR(__xludf.DUMMYFUNCTION("""COMPUTED_VALUE"""),"Pan de Waffle")</f>
        <v>Pan de Waffle</v>
      </c>
      <c r="F5450" s="17" t="str">
        <f>IFERROR(__xludf.DUMMYFUNCTION("""COMPUTED_VALUE"""),"Carrera 2 # 10 - 175  / Carrera 2 # 10 - 175  / Carrera 2 # 10 - 175")</f>
        <v>Carrera 2 # 10 - 175  / Carrera 2 # 10 - 175  / Carrera 2 # 10 - 175</v>
      </c>
      <c r="G5450" s="15" t="str">
        <f>IFERROR(__xludf.DUMMYFUNCTION("""COMPUTED_VALUE"""),"RAPPI TURBO - BOCANEGRA")</f>
        <v>RAPPI TURBO - BOCANEGRA</v>
      </c>
      <c r="H5450" s="16">
        <f>IFERROR(__xludf.DUMMYFUNCTION("""COMPUTED_VALUE"""),14246.0)</f>
        <v>14246</v>
      </c>
      <c r="I5450" s="18">
        <f>IFERROR(__xludf.DUMMYFUNCTION("""COMPUTED_VALUE"""),40.0)</f>
        <v>40</v>
      </c>
      <c r="J5450" s="18">
        <f>IFERROR(__xludf.DUMMYFUNCTION("""COMPUTED_VALUE"""),30.0)</f>
        <v>30</v>
      </c>
      <c r="K5450" s="18">
        <f>IFERROR(__xludf.DUMMYFUNCTION("""COMPUTED_VALUE"""),40.0)</f>
        <v>40</v>
      </c>
      <c r="L5450" s="17">
        <f>IFERROR(__xludf.DUMMYFUNCTION("""COMPUTED_VALUE"""),3.01201642E9)</f>
        <v>3012016420</v>
      </c>
      <c r="M5450" s="17" t="str">
        <f>IFERROR(__xludf.DUMMYFUNCTION("""COMPUTED_VALUE"""),"#REF!")</f>
        <v>#REF!</v>
      </c>
      <c r="N5450" s="17"/>
      <c r="O5450" s="17"/>
      <c r="P5450" s="17" t="b">
        <f>IFERROR(__xludf.DUMMYFUNCTION("""COMPUTED_VALUE"""),FALSE)</f>
        <v>0</v>
      </c>
      <c r="Q5450" s="20" t="str">
        <f>IFERROR(__xludf.DUMMYFUNCTION("""COMPUTED_VALUE"""),"")</f>
        <v/>
      </c>
      <c r="R5450" s="21" t="str">
        <f>IFERROR(__xludf.DUMMYFUNCTION("""COMPUTED_VALUE"""),"https://drive.google.com/file/d/1HPVoN9DzEmb6DOoGlv9aOIE2JbG8shEU/view?usp=drivesdk")</f>
        <v>https://drive.google.com/file/d/1HPVoN9DzEmb6DOoGlv9aOIE2JbG8shEU/view?usp=drivesdk</v>
      </c>
    </row>
    <row r="5451">
      <c r="A5451" s="17" t="str">
        <f>IFERROR(__xludf.DUMMYFUNCTION("""COMPUTED_VALUE"""),"")</f>
        <v/>
      </c>
      <c r="B5451" s="17" t="str">
        <f>IFERROR(__xludf.DUMMYFUNCTION("""COMPUTED_VALUE"""),"")</f>
        <v/>
      </c>
      <c r="C5451" s="17" t="str">
        <f>IFERROR(__xludf.DUMMYFUNCTION("""COMPUTED_VALUE"""),"")</f>
        <v/>
      </c>
      <c r="D5451" s="17" t="str">
        <f>IFERROR(__xludf.DUMMYFUNCTION("""COMPUTED_VALUE"""),"")</f>
        <v/>
      </c>
      <c r="E5451" s="17" t="str">
        <f>IFERROR(__xludf.DUMMYFUNCTION("""COMPUTED_VALUE"""),"")</f>
        <v/>
      </c>
      <c r="F5451" s="17" t="str">
        <f>IFERROR(__xludf.DUMMYFUNCTION("""COMPUTED_VALUE"""),"")</f>
        <v/>
      </c>
      <c r="G5451" s="17" t="str">
        <f>IFERROR(__xludf.DUMMYFUNCTION("""COMPUTED_VALUE"""),"")</f>
        <v/>
      </c>
      <c r="H5451" s="17" t="str">
        <f>IFERROR(__xludf.DUMMYFUNCTION("""COMPUTED_VALUE"""),"")</f>
        <v/>
      </c>
      <c r="I5451" s="17" t="str">
        <f>IFERROR(__xludf.DUMMYFUNCTION("""COMPUTED_VALUE"""),"")</f>
        <v/>
      </c>
      <c r="J5451" s="17" t="str">
        <f>IFERROR(__xludf.DUMMYFUNCTION("""COMPUTED_VALUE"""),"")</f>
        <v/>
      </c>
      <c r="K5451" s="17" t="str">
        <f>IFERROR(__xludf.DUMMYFUNCTION("""COMPUTED_VALUE"""),"")</f>
        <v/>
      </c>
      <c r="L5451" s="17" t="str">
        <f>IFERROR(__xludf.DUMMYFUNCTION("""COMPUTED_VALUE"""),"")</f>
        <v/>
      </c>
      <c r="M5451" s="17" t="str">
        <f>IFERROR(__xludf.DUMMYFUNCTION("""COMPUTED_VALUE"""),"")</f>
        <v/>
      </c>
      <c r="N5451" s="17" t="str">
        <f>IFERROR(__xludf.DUMMYFUNCTION("""COMPUTED_VALUE"""),"")</f>
        <v/>
      </c>
      <c r="O5451" s="17" t="str">
        <f>IFERROR(__xludf.DUMMYFUNCTION("""COMPUTED_VALUE"""),"")</f>
        <v/>
      </c>
      <c r="P5451" s="17" t="str">
        <f>IFERROR(__xludf.DUMMYFUNCTION("""COMPUTED_VALUE"""),"")</f>
        <v/>
      </c>
      <c r="Q5451" s="17" t="str">
        <f>IFERROR(__xludf.DUMMYFUNCTION("""COMPUTED_VALUE"""),"")</f>
        <v/>
      </c>
      <c r="R5451" s="17" t="str">
        <f>IFERROR(__xludf.DUMMYFUNCTION("""COMPUTED_VALUE"""),"")</f>
        <v/>
      </c>
    </row>
    <row r="5452">
      <c r="A5452" s="15">
        <f>IFERROR(__xludf.DUMMYFUNCTION("""COMPUTED_VALUE"""),45161.0)</f>
        <v>45161</v>
      </c>
      <c r="B5452" s="16" t="str">
        <f>IFERROR(__xludf.DUMMYFUNCTION("""COMPUTED_VALUE"""),"David Sanmartin Bello")</f>
        <v>David Sanmartin Bello</v>
      </c>
      <c r="C5452" s="15" t="str">
        <f>IFERROR(__xludf.DUMMYFUNCTION("""COMPUTED_VALUE"""),"BARRANQUILLA")</f>
        <v>BARRANQUILLA</v>
      </c>
      <c r="D5452" s="15" t="str">
        <f>IFERROR(__xludf.DUMMYFUNCTION("""COMPUTED_VALUE"""),"BOGOTÁ")</f>
        <v>BOGOTÁ</v>
      </c>
      <c r="E5452" s="15" t="str">
        <f>IFERROR(__xludf.DUMMYFUNCTION("""COMPUTED_VALUE"""),"Mochi")</f>
        <v>Mochi</v>
      </c>
      <c r="F5452" s="17" t="str">
        <f>IFERROR(__xludf.DUMMYFUNCTION("""COMPUTED_VALUE"""),"Centro Comercial Viva, Cra. 51B #87-50, Riomar, / Centro Comercial Viva, Cra. 51B #87-50, Riomar, / Centro Comercial Viva, Cra. 51B #87-50, Riomar,")</f>
        <v>Centro Comercial Viva, Cra. 51B #87-50, Riomar, / Centro Comercial Viva, Cra. 51B #87-50, Riomar, / Centro Comercial Viva, Cra. 51B #87-50, Riomar,</v>
      </c>
      <c r="G5452" s="15" t="str">
        <f>IFERROR(__xludf.DUMMYFUNCTION("""COMPUTED_VALUE"""),"Yinna")</f>
        <v>Yinna</v>
      </c>
      <c r="H5452" s="16">
        <f>IFERROR(__xludf.DUMMYFUNCTION("""COMPUTED_VALUE"""),14281.0)</f>
        <v>14281</v>
      </c>
      <c r="I5452" s="18">
        <f>IFERROR(__xludf.DUMMYFUNCTION("""COMPUTED_VALUE"""),100.0)</f>
        <v>100</v>
      </c>
      <c r="J5452" s="18">
        <f>IFERROR(__xludf.DUMMYFUNCTION("""COMPUTED_VALUE"""),100.0)</f>
        <v>100</v>
      </c>
      <c r="K5452" s="18">
        <f>IFERROR(__xludf.DUMMYFUNCTION("""COMPUTED_VALUE"""),200.0)</f>
        <v>200</v>
      </c>
      <c r="L5452" s="17">
        <f>IFERROR(__xludf.DUMMYFUNCTION("""COMPUTED_VALUE"""),3.116026252E9)</f>
        <v>3116026252</v>
      </c>
      <c r="M5452" s="17" t="str">
        <f>IFERROR(__xludf.DUMMYFUNCTION("""COMPUTED_VALUE"""),"#REF!")</f>
        <v>#REF!</v>
      </c>
      <c r="N5452" s="17"/>
      <c r="O5452" s="17"/>
      <c r="P5452" s="17" t="b">
        <f>IFERROR(__xludf.DUMMYFUNCTION("""COMPUTED_VALUE"""),FALSE)</f>
        <v>0</v>
      </c>
      <c r="Q5452" s="20" t="str">
        <f>IFERROR(__xludf.DUMMYFUNCTION("""COMPUTED_VALUE"""),"")</f>
        <v/>
      </c>
      <c r="R5452" s="22" t="str">
        <f>IFERROR(__xludf.DUMMYFUNCTION("""COMPUTED_VALUE"""),"")</f>
        <v/>
      </c>
    </row>
    <row r="5453">
      <c r="A5453" s="15">
        <f>IFERROR(__xludf.DUMMYFUNCTION("""COMPUTED_VALUE"""),45161.0)</f>
        <v>45161</v>
      </c>
      <c r="B5453" s="16" t="str">
        <f>IFERROR(__xludf.DUMMYFUNCTION("""COMPUTED_VALUE"""),"David Sanmartin Bello")</f>
        <v>David Sanmartin Bello</v>
      </c>
      <c r="C5453" s="15" t="str">
        <f>IFERROR(__xludf.DUMMYFUNCTION("""COMPUTED_VALUE"""),"CARTAGENA")</f>
        <v>CARTAGENA</v>
      </c>
      <c r="D5453" s="15" t="str">
        <f>IFERROR(__xludf.DUMMYFUNCTION("""COMPUTED_VALUE"""),"BOGOTÁ")</f>
        <v>BOGOTÁ</v>
      </c>
      <c r="E5453" s="15" t="str">
        <f>IFERROR(__xludf.DUMMYFUNCTION("""COMPUTED_VALUE"""),"Asociacion Agropecuaria Juana Maria")</f>
        <v>Asociacion Agropecuaria Juana Maria</v>
      </c>
      <c r="F5453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5453" s="15" t="str">
        <f>IFERROR(__xludf.DUMMYFUNCTION("""COMPUTED_VALUE"""),"LUZ ELENA GIL BENAVIDES")</f>
        <v>LUZ ELENA GIL BENAVIDES</v>
      </c>
      <c r="H5453" s="16">
        <f>IFERROR(__xludf.DUMMYFUNCTION("""COMPUTED_VALUE"""),14170.0)</f>
        <v>14170</v>
      </c>
      <c r="I5453" s="18">
        <f>IFERROR(__xludf.DUMMYFUNCTION("""COMPUTED_VALUE"""),22.0)</f>
        <v>22</v>
      </c>
      <c r="J5453" s="18">
        <f>IFERROR(__xludf.DUMMYFUNCTION("""COMPUTED_VALUE"""),15.0)</f>
        <v>15</v>
      </c>
      <c r="K5453" s="18">
        <f>IFERROR(__xludf.DUMMYFUNCTION("""COMPUTED_VALUE"""),3.0)</f>
        <v>3</v>
      </c>
      <c r="L5453" s="17">
        <f>IFERROR(__xludf.DUMMYFUNCTION("""COMPUTED_VALUE"""),3.054312334E9)</f>
        <v>3054312334</v>
      </c>
      <c r="M5453" s="17" t="str">
        <f>IFERROR(__xludf.DUMMYFUNCTION("""COMPUTED_VALUE"""),"#REF!")</f>
        <v>#REF!</v>
      </c>
      <c r="N5453" s="17"/>
      <c r="O5453" s="17"/>
      <c r="P5453" s="17" t="b">
        <f>IFERROR(__xludf.DUMMYFUNCTION("""COMPUTED_VALUE"""),FALSE)</f>
        <v>0</v>
      </c>
      <c r="Q5453" s="20" t="str">
        <f>IFERROR(__xludf.DUMMYFUNCTION("""COMPUTED_VALUE"""),"")</f>
        <v/>
      </c>
      <c r="R5453" s="22" t="str">
        <f>IFERROR(__xludf.DUMMYFUNCTION("""COMPUTED_VALUE"""),"")</f>
        <v/>
      </c>
    </row>
    <row r="5454">
      <c r="A5454" s="15">
        <f>IFERROR(__xludf.DUMMYFUNCTION("""COMPUTED_VALUE"""),45161.0)</f>
        <v>45161</v>
      </c>
      <c r="B5454" s="16" t="str">
        <f>IFERROR(__xludf.DUMMYFUNCTION("""COMPUTED_VALUE"""),"David Sanmartin Bello")</f>
        <v>David Sanmartin Bello</v>
      </c>
      <c r="C5454" s="15" t="str">
        <f>IFERROR(__xludf.DUMMYFUNCTION("""COMPUTED_VALUE"""),"CARTAGENA")</f>
        <v>CARTAGENA</v>
      </c>
      <c r="D5454" s="15" t="str">
        <f>IFERROR(__xludf.DUMMYFUNCTION("""COMPUTED_VALUE"""),"BOGOTÁ")</f>
        <v>BOGOTÁ</v>
      </c>
      <c r="E5454" s="15" t="str">
        <f>IFERROR(__xludf.DUMMYFUNCTION("""COMPUTED_VALUE"""),"Asociacion Agropecuaria Juana Maria")</f>
        <v>Asociacion Agropecuaria Juana Maria</v>
      </c>
      <c r="F5454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5454" s="15" t="str">
        <f>IFERROR(__xludf.DUMMYFUNCTION("""COMPUTED_VALUE"""),"LUZ ELENA GIL BENAVIDES")</f>
        <v>LUZ ELENA GIL BENAVIDES</v>
      </c>
      <c r="H5454" s="16">
        <f>IFERROR(__xludf.DUMMYFUNCTION("""COMPUTED_VALUE"""),14171.0)</f>
        <v>14171</v>
      </c>
      <c r="I5454" s="18">
        <f>IFERROR(__xludf.DUMMYFUNCTION("""COMPUTED_VALUE"""),26.0)</f>
        <v>26</v>
      </c>
      <c r="J5454" s="18">
        <f>IFERROR(__xludf.DUMMYFUNCTION("""COMPUTED_VALUE"""),8.0)</f>
        <v>8</v>
      </c>
      <c r="K5454" s="18">
        <f>IFERROR(__xludf.DUMMYFUNCTION("""COMPUTED_VALUE"""),8.0)</f>
        <v>8</v>
      </c>
      <c r="L5454" s="17">
        <f>IFERROR(__xludf.DUMMYFUNCTION("""COMPUTED_VALUE"""),3.054312334E9)</f>
        <v>3054312334</v>
      </c>
      <c r="M5454" s="17" t="str">
        <f>IFERROR(__xludf.DUMMYFUNCTION("""COMPUTED_VALUE"""),"#REF!")</f>
        <v>#REF!</v>
      </c>
      <c r="N5454" s="17"/>
      <c r="O5454" s="17"/>
      <c r="P5454" s="17" t="b">
        <f>IFERROR(__xludf.DUMMYFUNCTION("""COMPUTED_VALUE"""),FALSE)</f>
        <v>0</v>
      </c>
      <c r="Q5454" s="20" t="str">
        <f>IFERROR(__xludf.DUMMYFUNCTION("""COMPUTED_VALUE"""),"")</f>
        <v/>
      </c>
      <c r="R5454" s="21" t="str">
        <f>IFERROR(__xludf.DUMMYFUNCTION("""COMPUTED_VALUE"""),"https://drive.google.com/file/d/1qFG1se7V1JPItCtCDL5hu1ab6ohPSAwb/view?usp=drivesdk")</f>
        <v>https://drive.google.com/file/d/1qFG1se7V1JPItCtCDL5hu1ab6ohPSAwb/view?usp=drivesdk</v>
      </c>
    </row>
    <row r="5455">
      <c r="A5455" s="15">
        <f>IFERROR(__xludf.DUMMYFUNCTION("""COMPUTED_VALUE"""),45161.0)</f>
        <v>45161</v>
      </c>
      <c r="B5455" s="16" t="str">
        <f>IFERROR(__xludf.DUMMYFUNCTION("""COMPUTED_VALUE"""),"David Sanmartin Bello")</f>
        <v>David Sanmartin Bello</v>
      </c>
      <c r="C5455" s="15" t="str">
        <f>IFERROR(__xludf.DUMMYFUNCTION("""COMPUTED_VALUE"""),"CARTAGENA")</f>
        <v>CARTAGENA</v>
      </c>
      <c r="D5455" s="15" t="str">
        <f>IFERROR(__xludf.DUMMYFUNCTION("""COMPUTED_VALUE"""),"BOGOTÁ")</f>
        <v>BOGOTÁ</v>
      </c>
      <c r="E5455" s="15" t="str">
        <f>IFERROR(__xludf.DUMMYFUNCTION("""COMPUTED_VALUE"""),"Evamazzita")</f>
        <v>Evamazzita</v>
      </c>
      <c r="F5455" s="17" t="str">
        <f>IFERROR(__xludf.DUMMYFUNCTION("""COMPUTED_VALUE"""),"Carrera 20A#29b-24 / Edificio Terra Club house / Apto 701 / Pie de la popa")</f>
        <v>Carrera 20A#29b-24 / Edificio Terra Club house / Apto 701 / Pie de la popa</v>
      </c>
      <c r="G5455" s="15" t="str">
        <f>IFERROR(__xludf.DUMMYFUNCTION("""COMPUTED_VALUE"""),"ANDREA BERDUGO OSORIO")</f>
        <v>ANDREA BERDUGO OSORIO</v>
      </c>
      <c r="H5455" s="16">
        <f>IFERROR(__xludf.DUMMYFUNCTION("""COMPUTED_VALUE"""),14214.0)</f>
        <v>14214</v>
      </c>
      <c r="I5455" s="18">
        <f>IFERROR(__xludf.DUMMYFUNCTION("""COMPUTED_VALUE"""),1.0)</f>
        <v>1</v>
      </c>
      <c r="J5455" s="18">
        <f>IFERROR(__xludf.DUMMYFUNCTION("""COMPUTED_VALUE"""),1.0)</f>
        <v>1</v>
      </c>
      <c r="K5455" s="18">
        <f>IFERROR(__xludf.DUMMYFUNCTION("""COMPUTED_VALUE"""),1.0)</f>
        <v>1</v>
      </c>
      <c r="L5455" s="17">
        <f>IFERROR(__xludf.DUMMYFUNCTION("""COMPUTED_VALUE"""),3.102979161E9)</f>
        <v>3102979161</v>
      </c>
      <c r="M5455" s="17" t="str">
        <f>IFERROR(__xludf.DUMMYFUNCTION("""COMPUTED_VALUE"""),"#REF!")</f>
        <v>#REF!</v>
      </c>
      <c r="N5455" s="17"/>
      <c r="O5455" s="17"/>
      <c r="P5455" s="17" t="b">
        <f>IFERROR(__xludf.DUMMYFUNCTION("""COMPUTED_VALUE"""),FALSE)</f>
        <v>0</v>
      </c>
      <c r="Q5455" s="20" t="str">
        <f>IFERROR(__xludf.DUMMYFUNCTION("""COMPUTED_VALUE"""),"")</f>
        <v/>
      </c>
      <c r="R5455" s="21" t="str">
        <f>IFERROR(__xludf.DUMMYFUNCTION("""COMPUTED_VALUE"""),"https://drive.google.com/file/d/1PqMtNPBNNh_NILyZ5AJ-bHVqJu5DYmAD/view?usp=drivesdk")</f>
        <v>https://drive.google.com/file/d/1PqMtNPBNNh_NILyZ5AJ-bHVqJu5DYmAD/view?usp=drivesdk</v>
      </c>
    </row>
    <row r="5456">
      <c r="A5456" s="15">
        <f>IFERROR(__xludf.DUMMYFUNCTION("""COMPUTED_VALUE"""),45161.0)</f>
        <v>45161</v>
      </c>
      <c r="B5456" s="16" t="str">
        <f>IFERROR(__xludf.DUMMYFUNCTION("""COMPUTED_VALUE"""),"David Sanmartin Bello")</f>
        <v>David Sanmartin Bello</v>
      </c>
      <c r="C5456" s="15" t="str">
        <f>IFERROR(__xludf.DUMMYFUNCTION("""COMPUTED_VALUE"""),"CARTAGENA")</f>
        <v>CARTAGENA</v>
      </c>
      <c r="D5456" s="15" t="str">
        <f>IFERROR(__xludf.DUMMYFUNCTION("""COMPUTED_VALUE"""),"BOGOTÁ")</f>
        <v>BOGOTÁ</v>
      </c>
      <c r="E5456" s="15" t="str">
        <f>IFERROR(__xludf.DUMMYFUNCTION("""COMPUTED_VALUE"""),"Evamazzita")</f>
        <v>Evamazzita</v>
      </c>
      <c r="F5456" s="17" t="str">
        <f>IFERROR(__xludf.DUMMYFUNCTION("""COMPUTED_VALUE"""),"Mz 15 Lote 16 / Tercera Etapa  / Barrio Las Gaviotas")</f>
        <v>Mz 15 Lote 16 / Tercera Etapa  / Barrio Las Gaviotas</v>
      </c>
      <c r="G5456" s="15" t="str">
        <f>IFERROR(__xludf.DUMMYFUNCTION("""COMPUTED_VALUE"""),"SOL MARINA RODRIGUEZ JULIO")</f>
        <v>SOL MARINA RODRIGUEZ JULIO</v>
      </c>
      <c r="H5456" s="16">
        <f>IFERROR(__xludf.DUMMYFUNCTION("""COMPUTED_VALUE"""),14215.0)</f>
        <v>14215</v>
      </c>
      <c r="I5456" s="18">
        <f>IFERROR(__xludf.DUMMYFUNCTION("""COMPUTED_VALUE"""),1.0)</f>
        <v>1</v>
      </c>
      <c r="J5456" s="18">
        <f>IFERROR(__xludf.DUMMYFUNCTION("""COMPUTED_VALUE"""),1.0)</f>
        <v>1</v>
      </c>
      <c r="K5456" s="18">
        <f>IFERROR(__xludf.DUMMYFUNCTION("""COMPUTED_VALUE"""),1.0)</f>
        <v>1</v>
      </c>
      <c r="L5456" s="17">
        <f>IFERROR(__xludf.DUMMYFUNCTION("""COMPUTED_VALUE"""),3.148409236E9)</f>
        <v>3148409236</v>
      </c>
      <c r="M5456" s="17" t="str">
        <f>IFERROR(__xludf.DUMMYFUNCTION("""COMPUTED_VALUE"""),"#REF!")</f>
        <v>#REF!</v>
      </c>
      <c r="N5456" s="17"/>
      <c r="O5456" s="17"/>
      <c r="P5456" s="17" t="b">
        <f>IFERROR(__xludf.DUMMYFUNCTION("""COMPUTED_VALUE"""),FALSE)</f>
        <v>0</v>
      </c>
      <c r="Q5456" s="20" t="str">
        <f>IFERROR(__xludf.DUMMYFUNCTION("""COMPUTED_VALUE"""),"")</f>
        <v/>
      </c>
      <c r="R5456" s="21" t="str">
        <f>IFERROR(__xludf.DUMMYFUNCTION("""COMPUTED_VALUE"""),"https://drive.google.com/file/d/15yDyuri92yEJ696ZfYq_vFxQcZKgtVa-/view?usp=drivesdk")</f>
        <v>https://drive.google.com/file/d/15yDyuri92yEJ696ZfYq_vFxQcZKgtVa-/view?usp=drivesdk</v>
      </c>
    </row>
    <row r="5457">
      <c r="A5457" s="15">
        <f>IFERROR(__xludf.DUMMYFUNCTION("""COMPUTED_VALUE"""),45161.0)</f>
        <v>45161</v>
      </c>
      <c r="B5457" s="16" t="str">
        <f>IFERROR(__xludf.DUMMYFUNCTION("""COMPUTED_VALUE"""),"David Sanmartin Bello")</f>
        <v>David Sanmartin Bello</v>
      </c>
      <c r="C5457" s="15" t="str">
        <f>IFERROR(__xludf.DUMMYFUNCTION("""COMPUTED_VALUE"""),"CARTAGENA")</f>
        <v>CARTAGENA</v>
      </c>
      <c r="D5457" s="15" t="str">
        <f>IFERROR(__xludf.DUMMYFUNCTION("""COMPUTED_VALUE"""),"BOGOTÁ")</f>
        <v>BOGOTÁ</v>
      </c>
      <c r="E5457" s="15" t="str">
        <f>IFERROR(__xludf.DUMMYFUNCTION("""COMPUTED_VALUE"""),"Ins. Alimento Vital")</f>
        <v>Ins. Alimento Vital</v>
      </c>
      <c r="F5457" s="17" t="str">
        <f>IFERROR(__xludf.DUMMYFUNCTION("""COMPUTED_VALUE"""),"CL 1 1 71  / CASA / LA CONCEPCION")</f>
        <v>CL 1 1 71  / CASA / LA CONCEPCION</v>
      </c>
      <c r="G5457" s="15" t="str">
        <f>IFERROR(__xludf.DUMMYFUNCTION("""COMPUTED_VALUE"""),"LAURA VANESA SABOGAL VILLADIEGO")</f>
        <v>LAURA VANESA SABOGAL VILLADIEGO</v>
      </c>
      <c r="H5457" s="16">
        <f>IFERROR(__xludf.DUMMYFUNCTION("""COMPUTED_VALUE"""),14192.0)</f>
        <v>14192</v>
      </c>
      <c r="I5457" s="18">
        <f>IFERROR(__xludf.DUMMYFUNCTION("""COMPUTED_VALUE"""),1.0)</f>
        <v>1</v>
      </c>
      <c r="J5457" s="18">
        <f>IFERROR(__xludf.DUMMYFUNCTION("""COMPUTED_VALUE"""),1.0)</f>
        <v>1</v>
      </c>
      <c r="K5457" s="18">
        <f>IFERROR(__xludf.DUMMYFUNCTION("""COMPUTED_VALUE"""),1.0)</f>
        <v>1</v>
      </c>
      <c r="L5457" s="17">
        <f>IFERROR(__xludf.DUMMYFUNCTION("""COMPUTED_VALUE"""),3.209402467E9)</f>
        <v>3209402467</v>
      </c>
      <c r="M5457" s="17" t="str">
        <f>IFERROR(__xludf.DUMMYFUNCTION("""COMPUTED_VALUE"""),"#REF!")</f>
        <v>#REF!</v>
      </c>
      <c r="N5457" s="17"/>
      <c r="O5457" s="17"/>
      <c r="P5457" s="17" t="b">
        <f>IFERROR(__xludf.DUMMYFUNCTION("""COMPUTED_VALUE"""),FALSE)</f>
        <v>0</v>
      </c>
      <c r="Q5457" s="20" t="str">
        <f>IFERROR(__xludf.DUMMYFUNCTION("""COMPUTED_VALUE"""),"")</f>
        <v/>
      </c>
      <c r="R5457" s="21" t="str">
        <f>IFERROR(__xludf.DUMMYFUNCTION("""COMPUTED_VALUE"""),"https://drive.google.com/file/d/1WwE1pMUXoxnozEWDJyl3oIzGmGoX1Zjc/view?usp=drivesdk")</f>
        <v>https://drive.google.com/file/d/1WwE1pMUXoxnozEWDJyl3oIzGmGoX1Zjc/view?usp=drivesdk</v>
      </c>
    </row>
    <row r="5458">
      <c r="A5458" s="15">
        <f>IFERROR(__xludf.DUMMYFUNCTION("""COMPUTED_VALUE"""),45161.0)</f>
        <v>45161</v>
      </c>
      <c r="B5458" s="16" t="str">
        <f>IFERROR(__xludf.DUMMYFUNCTION("""COMPUTED_VALUE"""),"David Sanmartin Bello")</f>
        <v>David Sanmartin Bello</v>
      </c>
      <c r="C5458" s="15" t="str">
        <f>IFERROR(__xludf.DUMMYFUNCTION("""COMPUTED_VALUE"""),"CARTAGENA")</f>
        <v>CARTAGENA</v>
      </c>
      <c r="D5458" s="15" t="str">
        <f>IFERROR(__xludf.DUMMYFUNCTION("""COMPUTED_VALUE"""),"BOGOTÁ")</f>
        <v>BOGOTÁ</v>
      </c>
      <c r="E5458" s="15" t="str">
        <f>IFERROR(__xludf.DUMMYFUNCTION("""COMPUTED_VALUE"""),"Loomifoods")</f>
        <v>Loomifoods</v>
      </c>
      <c r="F5458" s="17" t="str">
        <f>IFERROR(__xludf.DUMMYFUNCTION("""COMPUTED_VALUE"""),"Km 8 serena del mar.  / Conjunto cavana.   / Torre 10. Apto 301")</f>
        <v>Km 8 serena del mar.  / Conjunto cavana.   / Torre 10. Apto 301</v>
      </c>
      <c r="G5458" s="15" t="str">
        <f>IFERROR(__xludf.DUMMYFUNCTION("""COMPUTED_VALUE"""),"Laura Melon")</f>
        <v>Laura Melon</v>
      </c>
      <c r="H5458" s="16">
        <f>IFERROR(__xludf.DUMMYFUNCTION("""COMPUTED_VALUE"""),14199.0)</f>
        <v>14199</v>
      </c>
      <c r="I5458" s="18">
        <f>IFERROR(__xludf.DUMMYFUNCTION("""COMPUTED_VALUE"""),19.0)</f>
        <v>19</v>
      </c>
      <c r="J5458" s="18">
        <f>IFERROR(__xludf.DUMMYFUNCTION("""COMPUTED_VALUE"""),10.0)</f>
        <v>10</v>
      </c>
      <c r="K5458" s="18">
        <f>IFERROR(__xludf.DUMMYFUNCTION("""COMPUTED_VALUE"""),16.0)</f>
        <v>16</v>
      </c>
      <c r="L5458" s="17">
        <f>IFERROR(__xludf.DUMMYFUNCTION("""COMPUTED_VALUE"""),3.002021173E9)</f>
        <v>3002021173</v>
      </c>
      <c r="M5458" s="17" t="str">
        <f>IFERROR(__xludf.DUMMYFUNCTION("""COMPUTED_VALUE"""),"#REF!")</f>
        <v>#REF!</v>
      </c>
      <c r="N5458" s="17"/>
      <c r="O5458" s="17"/>
      <c r="P5458" s="17" t="b">
        <f>IFERROR(__xludf.DUMMYFUNCTION("""COMPUTED_VALUE"""),FALSE)</f>
        <v>0</v>
      </c>
      <c r="Q5458" s="20" t="str">
        <f>IFERROR(__xludf.DUMMYFUNCTION("""COMPUTED_VALUE"""),"")</f>
        <v/>
      </c>
      <c r="R5458" s="21" t="str">
        <f>IFERROR(__xludf.DUMMYFUNCTION("""COMPUTED_VALUE"""),"https://drive.google.com/file/d/1gMh8JjRgvlFJ9TaPVJeJXx4yqr321oF4/view?usp=drivesdk")</f>
        <v>https://drive.google.com/file/d/1gMh8JjRgvlFJ9TaPVJeJXx4yqr321oF4/view?usp=drivesdk</v>
      </c>
    </row>
    <row r="5459">
      <c r="A5459" s="15">
        <f>IFERROR(__xludf.DUMMYFUNCTION("""COMPUTED_VALUE"""),45161.0)</f>
        <v>45161</v>
      </c>
      <c r="B5459" s="16" t="str">
        <f>IFERROR(__xludf.DUMMYFUNCTION("""COMPUTED_VALUE"""),"David Sanmartin Bello")</f>
        <v>David Sanmartin Bello</v>
      </c>
      <c r="C5459" s="15" t="str">
        <f>IFERROR(__xludf.DUMMYFUNCTION("""COMPUTED_VALUE"""),"CARTAGENA")</f>
        <v>CARTAGENA</v>
      </c>
      <c r="D5459" s="15" t="str">
        <f>IFERROR(__xludf.DUMMYFUNCTION("""COMPUTED_VALUE"""),"BOGOTÁ")</f>
        <v>BOGOTÁ</v>
      </c>
      <c r="E5459" s="15" t="str">
        <f>IFERROR(__xludf.DUMMYFUNCTION("""COMPUTED_VALUE"""),"Mochi")</f>
        <v>Mochi</v>
      </c>
      <c r="F5459" s="17" t="str">
        <f>IFERROR(__xludf.DUMMYFUNCTION("""COMPUTED_VALUE"""),"Cra. 11 # 39-21, San Diego, Cartagena de Indias, Provincia de Cartagena, Bolívar / Cra. 11 # 39-21, San Diego, Cartagena de Indias, Provincia de Cartagena, Bolívar / Cra. 11 # 39-21, San Diego, Cartagena de Indias, Provincia de Cartagena, Bolívar")</f>
        <v>Cra. 11 # 39-21, San Diego, Cartagena de Indias, Provincia de Cartagena, Bolívar / Cra. 11 # 39-21, San Diego, Cartagena de Indias, Provincia de Cartagena, Bolívar / Cra. 11 # 39-21, San Diego, Cartagena de Indias, Provincia de Cartagena, Bolívar</v>
      </c>
      <c r="G5459" s="15" t="str">
        <f>IFERROR(__xludf.DUMMYFUNCTION("""COMPUTED_VALUE"""),"Maria Camila")</f>
        <v>Maria Camila</v>
      </c>
      <c r="H5459" s="16">
        <f>IFERROR(__xludf.DUMMYFUNCTION("""COMPUTED_VALUE"""),14280.0)</f>
        <v>14280</v>
      </c>
      <c r="I5459" s="18">
        <f>IFERROR(__xludf.DUMMYFUNCTION("""COMPUTED_VALUE"""),100.0)</f>
        <v>100</v>
      </c>
      <c r="J5459" s="18">
        <f>IFERROR(__xludf.DUMMYFUNCTION("""COMPUTED_VALUE"""),100.0)</f>
        <v>100</v>
      </c>
      <c r="K5459" s="18">
        <f>IFERROR(__xludf.DUMMYFUNCTION("""COMPUTED_VALUE"""),300.0)</f>
        <v>300</v>
      </c>
      <c r="L5459" s="17">
        <f>IFERROR(__xludf.DUMMYFUNCTION("""COMPUTED_VALUE"""),3.116026252E9)</f>
        <v>3116026252</v>
      </c>
      <c r="M5459" s="17" t="str">
        <f>IFERROR(__xludf.DUMMYFUNCTION("""COMPUTED_VALUE"""),"#REF!")</f>
        <v>#REF!</v>
      </c>
      <c r="N5459" s="17"/>
      <c r="O5459" s="17"/>
      <c r="P5459" s="17" t="b">
        <f>IFERROR(__xludf.DUMMYFUNCTION("""COMPUTED_VALUE"""),FALSE)</f>
        <v>0</v>
      </c>
      <c r="Q5459" s="20" t="str">
        <f>IFERROR(__xludf.DUMMYFUNCTION("""COMPUTED_VALUE"""),"")</f>
        <v/>
      </c>
      <c r="R5459" s="22" t="str">
        <f>IFERROR(__xludf.DUMMYFUNCTION("""COMPUTED_VALUE"""),"")</f>
        <v/>
      </c>
    </row>
    <row r="5460">
      <c r="A5460" s="15">
        <f>IFERROR(__xludf.DUMMYFUNCTION("""COMPUTED_VALUE"""),45161.0)</f>
        <v>45161</v>
      </c>
      <c r="B5460" s="16" t="str">
        <f>IFERROR(__xludf.DUMMYFUNCTION("""COMPUTED_VALUE"""),"David Sanmartin Bello")</f>
        <v>David Sanmartin Bello</v>
      </c>
      <c r="C5460" s="15" t="str">
        <f>IFERROR(__xludf.DUMMYFUNCTION("""COMPUTED_VALUE"""),"CARTAGO")</f>
        <v>CARTAGO</v>
      </c>
      <c r="D5460" s="15" t="str">
        <f>IFERROR(__xludf.DUMMYFUNCTION("""COMPUTED_VALUE"""),"BOGOTÁ")</f>
        <v>BOGOTÁ</v>
      </c>
      <c r="E5460" s="15" t="str">
        <f>IFERROR(__xludf.DUMMYFUNCTION("""COMPUTED_VALUE"""),"Pan de Waffle")</f>
        <v>Pan de Waffle</v>
      </c>
      <c r="F5460" s="17" t="str">
        <f>IFERROR(__xludf.DUMMYFUNCTION("""COMPUTED_VALUE"""),"CR 4 # 16 107 / CR 4 # 16 107 / CR 4 # 16 107")</f>
        <v>CR 4 # 16 107 / CR 4 # 16 107 / CR 4 # 16 107</v>
      </c>
      <c r="G5460" s="15" t="str">
        <f>IFERROR(__xludf.DUMMYFUNCTION("""COMPUTED_VALUE"""),"THE NATURAL CARTAGO")</f>
        <v>THE NATURAL CARTAGO</v>
      </c>
      <c r="H5460" s="16">
        <f>IFERROR(__xludf.DUMMYFUNCTION("""COMPUTED_VALUE"""),14237.0)</f>
        <v>14237</v>
      </c>
      <c r="I5460" s="18">
        <f>IFERROR(__xludf.DUMMYFUNCTION("""COMPUTED_VALUE"""),40.0)</f>
        <v>40</v>
      </c>
      <c r="J5460" s="18">
        <f>IFERROR(__xludf.DUMMYFUNCTION("""COMPUTED_VALUE"""),40.0)</f>
        <v>40</v>
      </c>
      <c r="K5460" s="18">
        <f>IFERROR(__xludf.DUMMYFUNCTION("""COMPUTED_VALUE"""),40.0)</f>
        <v>40</v>
      </c>
      <c r="L5460" s="17">
        <f>IFERROR(__xludf.DUMMYFUNCTION("""COMPUTED_VALUE"""),3.146025882E9)</f>
        <v>3146025882</v>
      </c>
      <c r="M5460" s="17" t="str">
        <f>IFERROR(__xludf.DUMMYFUNCTION("""COMPUTED_VALUE"""),"#REF!")</f>
        <v>#REF!</v>
      </c>
      <c r="N5460" s="17"/>
      <c r="O5460" s="17"/>
      <c r="P5460" s="17" t="b">
        <f>IFERROR(__xludf.DUMMYFUNCTION("""COMPUTED_VALUE"""),TRUE)</f>
        <v>1</v>
      </c>
      <c r="Q5460" s="20">
        <f>IFERROR(__xludf.DUMMYFUNCTION("""COMPUTED_VALUE"""),45161.75648251157)</f>
        <v>45161.75648</v>
      </c>
      <c r="R5460" s="22" t="str">
        <f>IFERROR(__xludf.DUMMYFUNCTION("""COMPUTED_VALUE"""),"")</f>
        <v/>
      </c>
    </row>
    <row r="5461">
      <c r="A5461" s="15">
        <f>IFERROR(__xludf.DUMMYFUNCTION("""COMPUTED_VALUE"""),45161.0)</f>
        <v>45161</v>
      </c>
      <c r="B5461" s="16" t="str">
        <f>IFERROR(__xludf.DUMMYFUNCTION("""COMPUTED_VALUE"""),"David Sanmartin Bello")</f>
        <v>David Sanmartin Bello</v>
      </c>
      <c r="C5461" s="15" t="str">
        <f>IFERROR(__xludf.DUMMYFUNCTION("""COMPUTED_VALUE"""),"JAMUNDI")</f>
        <v>JAMUNDI</v>
      </c>
      <c r="D5461" s="15" t="str">
        <f>IFERROR(__xludf.DUMMYFUNCTION("""COMPUTED_VALUE"""),"BOGOTÁ")</f>
        <v>BOGOTÁ</v>
      </c>
      <c r="E5461" s="15" t="str">
        <f>IFERROR(__xludf.DUMMYFUNCTION("""COMPUTED_VALUE"""),"Loomifoods")</f>
        <v>Loomifoods</v>
      </c>
      <c r="F5461" s="17" t="str">
        <f>IFERROR(__xludf.DUMMYFUNCTION("""COMPUTED_VALUE"""),"Calle 25 # 19-185  / apto 522 torre A  / unidad surcos de pangola - Jamund")</f>
        <v>Calle 25 # 19-185  / apto 522 torre A  / unidad surcos de pangola - Jamund</v>
      </c>
      <c r="G5461" s="15" t="str">
        <f>IFERROR(__xludf.DUMMYFUNCTION("""COMPUTED_VALUE"""),"Marcela Grueso")</f>
        <v>Marcela Grueso</v>
      </c>
      <c r="H5461" s="16">
        <f>IFERROR(__xludf.DUMMYFUNCTION("""COMPUTED_VALUE"""),14200.0)</f>
        <v>14200</v>
      </c>
      <c r="I5461" s="18">
        <f>IFERROR(__xludf.DUMMYFUNCTION("""COMPUTED_VALUE"""),19.0)</f>
        <v>19</v>
      </c>
      <c r="J5461" s="18">
        <f>IFERROR(__xludf.DUMMYFUNCTION("""COMPUTED_VALUE"""),10.0)</f>
        <v>10</v>
      </c>
      <c r="K5461" s="18">
        <f>IFERROR(__xludf.DUMMYFUNCTION("""COMPUTED_VALUE"""),16.0)</f>
        <v>16</v>
      </c>
      <c r="L5461" s="17">
        <f>IFERROR(__xludf.DUMMYFUNCTION("""COMPUTED_VALUE"""),3.183544086E9)</f>
        <v>3183544086</v>
      </c>
      <c r="M5461" s="17" t="str">
        <f>IFERROR(__xludf.DUMMYFUNCTION("""COMPUTED_VALUE"""),"#REF!")</f>
        <v>#REF!</v>
      </c>
      <c r="N5461" s="17"/>
      <c r="O5461" s="17"/>
      <c r="P5461" s="17" t="b">
        <f>IFERROR(__xludf.DUMMYFUNCTION("""COMPUTED_VALUE"""),TRUE)</f>
        <v>1</v>
      </c>
      <c r="Q5461" s="20">
        <f>IFERROR(__xludf.DUMMYFUNCTION("""COMPUTED_VALUE"""),45161.75648251157)</f>
        <v>45161.75648</v>
      </c>
      <c r="R5461" s="21" t="str">
        <f>IFERROR(__xludf.DUMMYFUNCTION("""COMPUTED_VALUE"""),"https://drive.google.com/file/d/1biAbNszh3UdTM2yO3kEeo5b_M0rb6O6q/view?usp=drivesdk")</f>
        <v>https://drive.google.com/file/d/1biAbNszh3UdTM2yO3kEeo5b_M0rb6O6q/view?usp=drivesdk</v>
      </c>
    </row>
    <row r="5462">
      <c r="A5462" s="17" t="str">
        <f>IFERROR(__xludf.DUMMYFUNCTION("""COMPUTED_VALUE"""),"")</f>
        <v/>
      </c>
      <c r="B5462" s="17" t="str">
        <f>IFERROR(__xludf.DUMMYFUNCTION("""COMPUTED_VALUE"""),"")</f>
        <v/>
      </c>
      <c r="C5462" s="17" t="str">
        <f>IFERROR(__xludf.DUMMYFUNCTION("""COMPUTED_VALUE"""),"")</f>
        <v/>
      </c>
      <c r="D5462" s="17" t="str">
        <f>IFERROR(__xludf.DUMMYFUNCTION("""COMPUTED_VALUE"""),"")</f>
        <v/>
      </c>
      <c r="E5462" s="17" t="str">
        <f>IFERROR(__xludf.DUMMYFUNCTION("""COMPUTED_VALUE"""),"")</f>
        <v/>
      </c>
      <c r="F5462" s="17" t="str">
        <f>IFERROR(__xludf.DUMMYFUNCTION("""COMPUTED_VALUE"""),"")</f>
        <v/>
      </c>
      <c r="G5462" s="17" t="str">
        <f>IFERROR(__xludf.DUMMYFUNCTION("""COMPUTED_VALUE"""),"")</f>
        <v/>
      </c>
      <c r="H5462" s="17" t="str">
        <f>IFERROR(__xludf.DUMMYFUNCTION("""COMPUTED_VALUE"""),"")</f>
        <v/>
      </c>
      <c r="I5462" s="17" t="str">
        <f>IFERROR(__xludf.DUMMYFUNCTION("""COMPUTED_VALUE"""),"")</f>
        <v/>
      </c>
      <c r="J5462" s="17" t="str">
        <f>IFERROR(__xludf.DUMMYFUNCTION("""COMPUTED_VALUE"""),"")</f>
        <v/>
      </c>
      <c r="K5462" s="17" t="str">
        <f>IFERROR(__xludf.DUMMYFUNCTION("""COMPUTED_VALUE"""),"")</f>
        <v/>
      </c>
      <c r="L5462" s="17" t="str">
        <f>IFERROR(__xludf.DUMMYFUNCTION("""COMPUTED_VALUE"""),"")</f>
        <v/>
      </c>
      <c r="M5462" s="17" t="str">
        <f>IFERROR(__xludf.DUMMYFUNCTION("""COMPUTED_VALUE"""),"")</f>
        <v/>
      </c>
      <c r="N5462" s="17" t="str">
        <f>IFERROR(__xludf.DUMMYFUNCTION("""COMPUTED_VALUE"""),"")</f>
        <v/>
      </c>
      <c r="O5462" s="17" t="str">
        <f>IFERROR(__xludf.DUMMYFUNCTION("""COMPUTED_VALUE"""),"")</f>
        <v/>
      </c>
      <c r="P5462" s="17" t="str">
        <f>IFERROR(__xludf.DUMMYFUNCTION("""COMPUTED_VALUE"""),"")</f>
        <v/>
      </c>
      <c r="Q5462" s="17" t="str">
        <f>IFERROR(__xludf.DUMMYFUNCTION("""COMPUTED_VALUE"""),"")</f>
        <v/>
      </c>
      <c r="R5462" s="17" t="str">
        <f>IFERROR(__xludf.DUMMYFUNCTION("""COMPUTED_VALUE"""),"")</f>
        <v/>
      </c>
    </row>
    <row r="5463">
      <c r="A5463" s="15">
        <f>IFERROR(__xludf.DUMMYFUNCTION("""COMPUTED_VALUE"""),45161.0)</f>
        <v>45161</v>
      </c>
      <c r="B5463" s="16" t="str">
        <f>IFERROR(__xludf.DUMMYFUNCTION("""COMPUTED_VALUE"""),"Deivi Alejandro Quintero Corrales")</f>
        <v>Deivi Alejandro Quintero Corrales</v>
      </c>
      <c r="C5463" s="15" t="str">
        <f>IFERROR(__xludf.DUMMYFUNCTION("""COMPUTED_VALUE"""),"ARMENIA")</f>
        <v>ARMENIA</v>
      </c>
      <c r="D5463" s="15" t="str">
        <f>IFERROR(__xludf.DUMMYFUNCTION("""COMPUTED_VALUE"""),"MEDELLÍN")</f>
        <v>MEDELLÍN</v>
      </c>
      <c r="E5463" s="15" t="str">
        <f>IFERROR(__xludf.DUMMYFUNCTION("""COMPUTED_VALUE"""),"Rambla")</f>
        <v>Rambla</v>
      </c>
      <c r="F5463" s="17" t="str">
        <f>IFERROR(__xludf.DUMMYFUNCTION("""COMPUTED_VALUE"""),"Cra 15 #22 norte 77 ed. Oasis de laureles local 1316 deagonal al teatro de la cruz roja Armenia / - / -")</f>
        <v>Cra 15 #22 norte 77 ed. Oasis de laureles local 1316 deagonal al teatro de la cruz roja Armenia / - / -</v>
      </c>
      <c r="G5463" s="15" t="str">
        <f>IFERROR(__xludf.DUMMYFUNCTION("""COMPUTED_VALUE"""),"Fitness Eco")</f>
        <v>Fitness Eco</v>
      </c>
      <c r="H5463" s="16">
        <f>IFERROR(__xludf.DUMMYFUNCTION("""COMPUTED_VALUE"""),14262.0)</f>
        <v>14262</v>
      </c>
      <c r="I5463" s="18">
        <f>IFERROR(__xludf.DUMMYFUNCTION("""COMPUTED_VALUE"""),30.0)</f>
        <v>30</v>
      </c>
      <c r="J5463" s="18">
        <f>IFERROR(__xludf.DUMMYFUNCTION("""COMPUTED_VALUE"""),16.0)</f>
        <v>16</v>
      </c>
      <c r="K5463" s="18">
        <f>IFERROR(__xludf.DUMMYFUNCTION("""COMPUTED_VALUE"""),12.0)</f>
        <v>12</v>
      </c>
      <c r="L5463" s="17">
        <f>IFERROR(__xludf.DUMMYFUNCTION("""COMPUTED_VALUE"""),3.217007417E9)</f>
        <v>3217007417</v>
      </c>
      <c r="M5463" s="17" t="str">
        <f>IFERROR(__xludf.DUMMYFUNCTION("""COMPUTED_VALUE"""),"#REF!")</f>
        <v>#REF!</v>
      </c>
      <c r="N5463" s="17"/>
      <c r="O5463" s="17"/>
      <c r="P5463" s="17" t="b">
        <f>IFERROR(__xludf.DUMMYFUNCTION("""COMPUTED_VALUE"""),TRUE)</f>
        <v>1</v>
      </c>
      <c r="Q5463" s="20">
        <f>IFERROR(__xludf.DUMMYFUNCTION("""COMPUTED_VALUE"""),45161.75648251157)</f>
        <v>45161.75648</v>
      </c>
      <c r="R5463" s="22" t="str">
        <f>IFERROR(__xludf.DUMMYFUNCTION("""COMPUTED_VALUE"""),"")</f>
        <v/>
      </c>
    </row>
    <row r="5464">
      <c r="A5464" s="15">
        <f>IFERROR(__xludf.DUMMYFUNCTION("""COMPUTED_VALUE"""),45161.0)</f>
        <v>45161</v>
      </c>
      <c r="B5464" s="16" t="str">
        <f>IFERROR(__xludf.DUMMYFUNCTION("""COMPUTED_VALUE"""),"Deivi Alejandro Quintero Corrales")</f>
        <v>Deivi Alejandro Quintero Corrales</v>
      </c>
      <c r="C5464" s="15" t="str">
        <f>IFERROR(__xludf.DUMMYFUNCTION("""COMPUTED_VALUE"""),"PEREIRA")</f>
        <v>PEREIRA</v>
      </c>
      <c r="D5464" s="15" t="str">
        <f>IFERROR(__xludf.DUMMYFUNCTION("""COMPUTED_VALUE"""),"BOGOTÁ")</f>
        <v>BOGOTÁ</v>
      </c>
      <c r="E5464" s="15" t="str">
        <f>IFERROR(__xludf.DUMMYFUNCTION("""COMPUTED_VALUE"""),"Ins. Alimento Vital")</f>
        <v>Ins. Alimento Vital</v>
      </c>
      <c r="F5464" s="17" t="str">
        <f>IFERROR(__xludf.DUMMYFUNCTION("""COMPUTED_VALUE"""),"CR 5 18 43 / EDIFICIO CHALJUB / BARRIO URIBE")</f>
        <v>CR 5 18 43 / EDIFICIO CHALJUB / BARRIO URIBE</v>
      </c>
      <c r="G5464" s="15" t="str">
        <f>IFERROR(__xludf.DUMMYFUNCTION("""COMPUTED_VALUE"""),"CHALJUB")</f>
        <v>CHALJUB</v>
      </c>
      <c r="H5464" s="16">
        <f>IFERROR(__xludf.DUMMYFUNCTION("""COMPUTED_VALUE"""),14229.0)</f>
        <v>14229</v>
      </c>
      <c r="I5464" s="18">
        <f>IFERROR(__xludf.DUMMYFUNCTION("""COMPUTED_VALUE"""),1.0)</f>
        <v>1</v>
      </c>
      <c r="J5464" s="18">
        <f>IFERROR(__xludf.DUMMYFUNCTION("""COMPUTED_VALUE"""),1.0)</f>
        <v>1</v>
      </c>
      <c r="K5464" s="18">
        <f>IFERROR(__xludf.DUMMYFUNCTION("""COMPUTED_VALUE"""),1.0)</f>
        <v>1</v>
      </c>
      <c r="L5464" s="17">
        <f>IFERROR(__xludf.DUMMYFUNCTION("""COMPUTED_VALUE"""),3.008252529E9)</f>
        <v>3008252529</v>
      </c>
      <c r="M5464" s="17" t="str">
        <f>IFERROR(__xludf.DUMMYFUNCTION("""COMPUTED_VALUE"""),"#REF!")</f>
        <v>#REF!</v>
      </c>
      <c r="N5464" s="17"/>
      <c r="O5464" s="17"/>
      <c r="P5464" s="17" t="b">
        <f>IFERROR(__xludf.DUMMYFUNCTION("""COMPUTED_VALUE"""),TRUE)</f>
        <v>1</v>
      </c>
      <c r="Q5464" s="20">
        <f>IFERROR(__xludf.DUMMYFUNCTION("""COMPUTED_VALUE"""),45161.75648251157)</f>
        <v>45161.75648</v>
      </c>
      <c r="R5464" s="22" t="str">
        <f>IFERROR(__xludf.DUMMYFUNCTION("""COMPUTED_VALUE"""),"")</f>
        <v/>
      </c>
    </row>
    <row r="5465">
      <c r="A5465" s="15">
        <f>IFERROR(__xludf.DUMMYFUNCTION("""COMPUTED_VALUE"""),45161.0)</f>
        <v>45161</v>
      </c>
      <c r="B5465" s="16" t="str">
        <f>IFERROR(__xludf.DUMMYFUNCTION("""COMPUTED_VALUE"""),"Deivi Alejandro Quintero Corrales")</f>
        <v>Deivi Alejandro Quintero Corrales</v>
      </c>
      <c r="C5465" s="15" t="str">
        <f>IFERROR(__xludf.DUMMYFUNCTION("""COMPUTED_VALUE"""),"PEREIRA")</f>
        <v>PEREIRA</v>
      </c>
      <c r="D5465" s="15" t="str">
        <f>IFERROR(__xludf.DUMMYFUNCTION("""COMPUTED_VALUE"""),"BOGOTÁ")</f>
        <v>BOGOTÁ</v>
      </c>
      <c r="E5465" s="15" t="str">
        <f>IFERROR(__xludf.DUMMYFUNCTION("""COMPUTED_VALUE"""),"Loomifoods")</f>
        <v>Loomifoods</v>
      </c>
      <c r="F5465" s="17" t="str">
        <f>IFERROR(__xludf.DUMMYFUNCTION("""COMPUTED_VALUE"""),"Calle 151 18-03  / manzana 7 casa 19   / Reservas del campo- Galicia.")</f>
        <v>Calle 151 18-03  / manzana 7 casa 19   / Reservas del campo- Galicia.</v>
      </c>
      <c r="G5465" s="15" t="str">
        <f>IFERROR(__xludf.DUMMYFUNCTION("""COMPUTED_VALUE"""),"NAthalia Toro")</f>
        <v>NAthalia Toro</v>
      </c>
      <c r="H5465" s="16">
        <f>IFERROR(__xludf.DUMMYFUNCTION("""COMPUTED_VALUE"""),14202.0)</f>
        <v>14202</v>
      </c>
      <c r="I5465" s="18">
        <f>IFERROR(__xludf.DUMMYFUNCTION("""COMPUTED_VALUE"""),19.0)</f>
        <v>19</v>
      </c>
      <c r="J5465" s="18">
        <f>IFERROR(__xludf.DUMMYFUNCTION("""COMPUTED_VALUE"""),10.0)</f>
        <v>10</v>
      </c>
      <c r="K5465" s="18">
        <f>IFERROR(__xludf.DUMMYFUNCTION("""COMPUTED_VALUE"""),16.0)</f>
        <v>16</v>
      </c>
      <c r="L5465" s="17">
        <f>IFERROR(__xludf.DUMMYFUNCTION("""COMPUTED_VALUE"""),3.113717211E9)</f>
        <v>3113717211</v>
      </c>
      <c r="M5465" s="17" t="str">
        <f>IFERROR(__xludf.DUMMYFUNCTION("""COMPUTED_VALUE"""),"#REF!")</f>
        <v>#REF!</v>
      </c>
      <c r="N5465" s="17"/>
      <c r="O5465" s="17"/>
      <c r="P5465" s="17" t="b">
        <f>IFERROR(__xludf.DUMMYFUNCTION("""COMPUTED_VALUE"""),TRUE)</f>
        <v>1</v>
      </c>
      <c r="Q5465" s="20">
        <f>IFERROR(__xludf.DUMMYFUNCTION("""COMPUTED_VALUE"""),45161.75648251157)</f>
        <v>45161.75648</v>
      </c>
      <c r="R5465" s="21" t="str">
        <f>IFERROR(__xludf.DUMMYFUNCTION("""COMPUTED_VALUE"""),"https://drive.google.com/file/d/1kl2twYYHcjuTGln5qRaz-VSKlpr6neGP/view?usp=drivesdk")</f>
        <v>https://drive.google.com/file/d/1kl2twYYHcjuTGln5qRaz-VSKlpr6neGP/view?usp=drivesdk</v>
      </c>
    </row>
    <row r="5466">
      <c r="A5466" s="15">
        <f>IFERROR(__xludf.DUMMYFUNCTION("""COMPUTED_VALUE"""),45161.0)</f>
        <v>45161</v>
      </c>
      <c r="B5466" s="16" t="str">
        <f>IFERROR(__xludf.DUMMYFUNCTION("""COMPUTED_VALUE"""),"Deivi Alejandro Quintero Corrales")</f>
        <v>Deivi Alejandro Quintero Corrales</v>
      </c>
      <c r="C5466" s="15" t="str">
        <f>IFERROR(__xludf.DUMMYFUNCTION("""COMPUTED_VALUE"""),"PEREIRA")</f>
        <v>PEREIRA</v>
      </c>
      <c r="D5466" s="15" t="str">
        <f>IFERROR(__xludf.DUMMYFUNCTION("""COMPUTED_VALUE"""),"BOGOTÁ")</f>
        <v>BOGOTÁ</v>
      </c>
      <c r="E5466" s="15" t="str">
        <f>IFERROR(__xludf.DUMMYFUNCTION("""COMPUTED_VALUE"""),"Top Spun")</f>
        <v>Top Spun</v>
      </c>
      <c r="F5466" s="17" t="str">
        <f>IFERROR(__xludf.DUMMYFUNCTION("""COMPUTED_VALUE"""),"AV LAS AMERICAS #85-80 / APTO 3015 / PARQUE RESIDENCIAL SAN SILVESTRE")</f>
        <v>AV LAS AMERICAS #85-80 / APTO 3015 / PARQUE RESIDENCIAL SAN SILVESTRE</v>
      </c>
      <c r="G5466" s="15" t="str">
        <f>IFERROR(__xludf.DUMMYFUNCTION("""COMPUTED_VALUE"""),"STEPHANY COLORADO")</f>
        <v>STEPHANY COLORADO</v>
      </c>
      <c r="H5466" s="16">
        <f>IFERROR(__xludf.DUMMYFUNCTION("""COMPUTED_VALUE"""),14152.0)</f>
        <v>14152</v>
      </c>
      <c r="I5466" s="18">
        <f>IFERROR(__xludf.DUMMYFUNCTION("""COMPUTED_VALUE"""),20.0)</f>
        <v>20</v>
      </c>
      <c r="J5466" s="18">
        <f>IFERROR(__xludf.DUMMYFUNCTION("""COMPUTED_VALUE"""),10.0)</f>
        <v>10</v>
      </c>
      <c r="K5466" s="18">
        <f>IFERROR(__xludf.DUMMYFUNCTION("""COMPUTED_VALUE"""),40.0)</f>
        <v>40</v>
      </c>
      <c r="L5466" s="17">
        <f>IFERROR(__xludf.DUMMYFUNCTION("""COMPUTED_VALUE"""),3.137239429E9)</f>
        <v>3137239429</v>
      </c>
      <c r="M5466" s="17" t="str">
        <f>IFERROR(__xludf.DUMMYFUNCTION("""COMPUTED_VALUE"""),"#REF!")</f>
        <v>#REF!</v>
      </c>
      <c r="N5466" s="17"/>
      <c r="O5466" s="17"/>
      <c r="P5466" s="17" t="b">
        <f>IFERROR(__xludf.DUMMYFUNCTION("""COMPUTED_VALUE"""),TRUE)</f>
        <v>1</v>
      </c>
      <c r="Q5466" s="20">
        <f>IFERROR(__xludf.DUMMYFUNCTION("""COMPUTED_VALUE"""),45161.75648251157)</f>
        <v>45161.75648</v>
      </c>
      <c r="R5466" s="21" t="str">
        <f>IFERROR(__xludf.DUMMYFUNCTION("""COMPUTED_VALUE"""),"https://drive.google.com/file/d/1n0ook7JSfE47S33hmUCJK1Mt1uM3NL78/view?usp=drivesdk")</f>
        <v>https://drive.google.com/file/d/1n0ook7JSfE47S33hmUCJK1Mt1uM3NL78/view?usp=drivesdk</v>
      </c>
    </row>
    <row r="5467">
      <c r="A5467" s="15">
        <f>IFERROR(__xludf.DUMMYFUNCTION("""COMPUTED_VALUE"""),45161.0)</f>
        <v>45161</v>
      </c>
      <c r="B5467" s="16" t="str">
        <f>IFERROR(__xludf.DUMMYFUNCTION("""COMPUTED_VALUE"""),"Deivi Alejandro Quintero Corrales")</f>
        <v>Deivi Alejandro Quintero Corrales</v>
      </c>
      <c r="C5467" s="15" t="str">
        <f>IFERROR(__xludf.DUMMYFUNCTION("""COMPUTED_VALUE"""),"PEREIRA")</f>
        <v>PEREIRA</v>
      </c>
      <c r="D5467" s="15" t="str">
        <f>IFERROR(__xludf.DUMMYFUNCTION("""COMPUTED_VALUE"""),"MEDELLÍN")</f>
        <v>MEDELLÍN</v>
      </c>
      <c r="E5467" s="15" t="str">
        <f>IFERROR(__xludf.DUMMYFUNCTION("""COMPUTED_VALUE"""),"AREPAS LA MARY")</f>
        <v>AREPAS LA MARY</v>
      </c>
      <c r="F5467" s="17" t="str">
        <f>IFERROR(__xludf.DUMMYFUNCTION("""COMPUTED_VALUE"""),"CC UNICENTRO / NIVEL 2 LOCAL B 04")</f>
        <v>CC UNICENTRO / NIVEL 2 LOCAL B 04</v>
      </c>
      <c r="G5467" s="15" t="str">
        <f>IFERROR(__xludf.DUMMYFUNCTION("""COMPUTED_VALUE"""),"TERRASANO")</f>
        <v>TERRASANO</v>
      </c>
      <c r="H5467" s="16">
        <f>IFERROR(__xludf.DUMMYFUNCTION("""COMPUTED_VALUE"""),14190.0)</f>
        <v>14190</v>
      </c>
      <c r="I5467" s="18">
        <f>IFERROR(__xludf.DUMMYFUNCTION("""COMPUTED_VALUE"""),89.0)</f>
        <v>89</v>
      </c>
      <c r="J5467" s="18">
        <f>IFERROR(__xludf.DUMMYFUNCTION("""COMPUTED_VALUE"""),1.0)</f>
        <v>1</v>
      </c>
      <c r="K5467" s="18">
        <f>IFERROR(__xludf.DUMMYFUNCTION("""COMPUTED_VALUE"""),10.0)</f>
        <v>10</v>
      </c>
      <c r="L5467" s="17">
        <f>IFERROR(__xludf.DUMMYFUNCTION("""COMPUTED_VALUE"""),3.234572533E9)</f>
        <v>3234572533</v>
      </c>
      <c r="M5467" s="17" t="str">
        <f>IFERROR(__xludf.DUMMYFUNCTION("""COMPUTED_VALUE"""),"#REF!")</f>
        <v>#REF!</v>
      </c>
      <c r="N5467" s="17"/>
      <c r="O5467" s="17"/>
      <c r="P5467" s="17" t="b">
        <f>IFERROR(__xludf.DUMMYFUNCTION("""COMPUTED_VALUE"""),TRUE)</f>
        <v>1</v>
      </c>
      <c r="Q5467" s="20">
        <f>IFERROR(__xludf.DUMMYFUNCTION("""COMPUTED_VALUE"""),45161.490860254635)</f>
        <v>45161.49086</v>
      </c>
      <c r="R5467" s="21" t="str">
        <f>IFERROR(__xludf.DUMMYFUNCTION("""COMPUTED_VALUE"""),"https://drive.google.com/file/d/1yopbQpTO6Hm4Jlv4DVPxemrSh7xqGEOa/view?usp=drivesdk")</f>
        <v>https://drive.google.com/file/d/1yopbQpTO6Hm4Jlv4DVPxemrSh7xqGEOa/view?usp=drivesdk</v>
      </c>
    </row>
    <row r="5468">
      <c r="A5468" s="15">
        <f>IFERROR(__xludf.DUMMYFUNCTION("""COMPUTED_VALUE"""),45161.0)</f>
        <v>45161</v>
      </c>
      <c r="B5468" s="16" t="str">
        <f>IFERROR(__xludf.DUMMYFUNCTION("""COMPUTED_VALUE"""),"Deivi Alejandro Quintero Corrales")</f>
        <v>Deivi Alejandro Quintero Corrales</v>
      </c>
      <c r="C5468" s="15" t="str">
        <f>IFERROR(__xludf.DUMMYFUNCTION("""COMPUTED_VALUE"""),"PEREIRA")</f>
        <v>PEREIRA</v>
      </c>
      <c r="D5468" s="15" t="str">
        <f>IFERROR(__xludf.DUMMYFUNCTION("""COMPUTED_VALUE"""),"MEDELLÍN")</f>
        <v>MEDELLÍN</v>
      </c>
      <c r="E5468" s="15" t="str">
        <f>IFERROR(__xludf.DUMMYFUNCTION("""COMPUTED_VALUE"""),"AREPAS LA MARY")</f>
        <v>AREPAS LA MARY</v>
      </c>
      <c r="F5468" s="17" t="str">
        <f>IFERROR(__xludf.DUMMYFUNCTION("""COMPUTED_VALUE"""),"CRA 14 N.12 55 CIRCUNVALAR / LOCAL")</f>
        <v>CRA 14 N.12 55 CIRCUNVALAR / LOCAL</v>
      </c>
      <c r="G5468" s="15" t="str">
        <f>IFERROR(__xludf.DUMMYFUNCTION("""COMPUTED_VALUE"""),"VITAECO MARKET")</f>
        <v>VITAECO MARKET</v>
      </c>
      <c r="H5468" s="16">
        <f>IFERROR(__xludf.DUMMYFUNCTION("""COMPUTED_VALUE"""),14221.0)</f>
        <v>14221</v>
      </c>
      <c r="I5468" s="18">
        <f>IFERROR(__xludf.DUMMYFUNCTION("""COMPUTED_VALUE"""),89.0)</f>
        <v>89</v>
      </c>
      <c r="J5468" s="18">
        <f>IFERROR(__xludf.DUMMYFUNCTION("""COMPUTED_VALUE"""),1.0)</f>
        <v>1</v>
      </c>
      <c r="K5468" s="18">
        <f>IFERROR(__xludf.DUMMYFUNCTION("""COMPUTED_VALUE"""),10.0)</f>
        <v>10</v>
      </c>
      <c r="L5468" s="17" t="str">
        <f>IFERROR(__xludf.DUMMYFUNCTION("""COMPUTED_VALUE"""),"314 6455280")</f>
        <v>314 6455280</v>
      </c>
      <c r="M5468" s="17" t="str">
        <f>IFERROR(__xludf.DUMMYFUNCTION("""COMPUTED_VALUE"""),"#REF!")</f>
        <v>#REF!</v>
      </c>
      <c r="N5468" s="17"/>
      <c r="O5468" s="17"/>
      <c r="P5468" s="17" t="b">
        <f>IFERROR(__xludf.DUMMYFUNCTION("""COMPUTED_VALUE"""),TRUE)</f>
        <v>1</v>
      </c>
      <c r="Q5468" s="20">
        <f>IFERROR(__xludf.DUMMYFUNCTION("""COMPUTED_VALUE"""),45161.495578368056)</f>
        <v>45161.49558</v>
      </c>
      <c r="R5468" s="21" t="str">
        <f>IFERROR(__xludf.DUMMYFUNCTION("""COMPUTED_VALUE"""),"https://drive.google.com/file/d/1fL9X9BDVjLo5f-4LLKObvOR1ieVkZdIX/view?usp=drivesdk")</f>
        <v>https://drive.google.com/file/d/1fL9X9BDVjLo5f-4LLKObvOR1ieVkZdIX/view?usp=drivesdk</v>
      </c>
    </row>
    <row r="5469">
      <c r="A5469" s="15">
        <f>IFERROR(__xludf.DUMMYFUNCTION("""COMPUTED_VALUE"""),45161.0)</f>
        <v>45161</v>
      </c>
      <c r="B5469" s="16" t="str">
        <f>IFERROR(__xludf.DUMMYFUNCTION("""COMPUTED_VALUE"""),"Deivi Alejandro Quintero Corrales")</f>
        <v>Deivi Alejandro Quintero Corrales</v>
      </c>
      <c r="C5469" s="15" t="str">
        <f>IFERROR(__xludf.DUMMYFUNCTION("""COMPUTED_VALUE"""),"PEREIRA")</f>
        <v>PEREIRA</v>
      </c>
      <c r="D5469" s="15" t="str">
        <f>IFERROR(__xludf.DUMMYFUNCTION("""COMPUTED_VALUE"""),"MEDELLÍN")</f>
        <v>MEDELLÍN</v>
      </c>
      <c r="E5469" s="15" t="str">
        <f>IFERROR(__xludf.DUMMYFUNCTION("""COMPUTED_VALUE"""),"Baby Chef")</f>
        <v>Baby Chef</v>
      </c>
      <c r="F5469" s="17" t="str">
        <f>IFERROR(__xludf.DUMMYFUNCTION("""COMPUTED_VALUE"""),"Calle 12#33-55 Ceiba grande de canaan torre 2A apto 503  Barrio alamos / Calle 12#33-55 Ceiba grande de canaan torre 2A apto 503  Barrio alamos / Calle 12#33-55 Ceiba grande de canaan torre 2A apto 503  Barrio alamos")</f>
        <v>Calle 12#33-55 Ceiba grande de canaan torre 2A apto 503  Barrio alamos / Calle 12#33-55 Ceiba grande de canaan torre 2A apto 503  Barrio alamos / Calle 12#33-55 Ceiba grande de canaan torre 2A apto 503  Barrio alamos</v>
      </c>
      <c r="G5469" s="15" t="str">
        <f>IFERROR(__xludf.DUMMYFUNCTION("""COMPUTED_VALUE"""),"Maria Alejandra Cobo")</f>
        <v>Maria Alejandra Cobo</v>
      </c>
      <c r="H5469" s="16">
        <f>IFERROR(__xludf.DUMMYFUNCTION("""COMPUTED_VALUE"""),14274.0)</f>
        <v>14274</v>
      </c>
      <c r="I5469" s="18">
        <f>IFERROR(__xludf.DUMMYFUNCTION("""COMPUTED_VALUE"""),6.0)</f>
        <v>6</v>
      </c>
      <c r="J5469" s="18">
        <f>IFERROR(__xludf.DUMMYFUNCTION("""COMPUTED_VALUE"""),43.0)</f>
        <v>43</v>
      </c>
      <c r="K5469" s="18">
        <f>IFERROR(__xludf.DUMMYFUNCTION("""COMPUTED_VALUE"""),22.0)</f>
        <v>22</v>
      </c>
      <c r="L5469" s="17">
        <f>IFERROR(__xludf.DUMMYFUNCTION("""COMPUTED_VALUE"""),3.206471502E9)</f>
        <v>3206471502</v>
      </c>
      <c r="M5469" s="17" t="str">
        <f>IFERROR(__xludf.DUMMYFUNCTION("""COMPUTED_VALUE"""),"#REF!")</f>
        <v>#REF!</v>
      </c>
      <c r="N5469" s="17"/>
      <c r="O5469" s="17"/>
      <c r="P5469" s="17" t="b">
        <f>IFERROR(__xludf.DUMMYFUNCTION("""COMPUTED_VALUE"""),TRUE)</f>
        <v>1</v>
      </c>
      <c r="Q5469" s="20">
        <f>IFERROR(__xludf.DUMMYFUNCTION("""COMPUTED_VALUE"""),45161.75648252315)</f>
        <v>45161.75648</v>
      </c>
      <c r="R5469" s="21" t="str">
        <f>IFERROR(__xludf.DUMMYFUNCTION("""COMPUTED_VALUE"""),"https://drive.google.com/file/d/1eW2LLhWdUCZHnXdjlI1QFyb8zSLVOkJQ/view?usp=drivesdk")</f>
        <v>https://drive.google.com/file/d/1eW2LLhWdUCZHnXdjlI1QFyb8zSLVOkJQ/view?usp=drivesdk</v>
      </c>
    </row>
    <row r="5470">
      <c r="A5470" s="15">
        <f>IFERROR(__xludf.DUMMYFUNCTION("""COMPUTED_VALUE"""),45161.0)</f>
        <v>45161</v>
      </c>
      <c r="B5470" s="16" t="str">
        <f>IFERROR(__xludf.DUMMYFUNCTION("""COMPUTED_VALUE"""),"Deivi Alejandro Quintero Corrales")</f>
        <v>Deivi Alejandro Quintero Corrales</v>
      </c>
      <c r="C5470" s="15" t="str">
        <f>IFERROR(__xludf.DUMMYFUNCTION("""COMPUTED_VALUE"""),"PEREIRA")</f>
        <v>PEREIRA</v>
      </c>
      <c r="D5470" s="15" t="str">
        <f>IFERROR(__xludf.DUMMYFUNCTION("""COMPUTED_VALUE"""),"MEDELLÍN")</f>
        <v>MEDELLÍN</v>
      </c>
      <c r="E5470" s="15" t="str">
        <f>IFERROR(__xludf.DUMMYFUNCTION("""COMPUTED_VALUE"""),"Baby Chef")</f>
        <v>Baby Chef</v>
      </c>
      <c r="F5470" s="17" t="str">
        <f>IFERROR(__xludf.DUMMYFUNCTION("""COMPUTED_VALUE"""),"vía condina Calle 82 n 36-95 Conjunto el retiro T1 APTO 306 / vía condina Calle 82 n 36-95 Conjunto el retiro T1 APTO 306 / vía condina Calle 82 n 36-95 Conjunto el retiro T1 APTO 306")</f>
        <v>vía condina Calle 82 n 36-95 Conjunto el retiro T1 APTO 306 / vía condina Calle 82 n 36-95 Conjunto el retiro T1 APTO 306 / vía condina Calle 82 n 36-95 Conjunto el retiro T1 APTO 306</v>
      </c>
      <c r="G5470" s="15" t="str">
        <f>IFERROR(__xludf.DUMMYFUNCTION("""COMPUTED_VALUE"""),"Liliana Torres Popayan")</f>
        <v>Liliana Torres Popayan</v>
      </c>
      <c r="H5470" s="16">
        <f>IFERROR(__xludf.DUMMYFUNCTION("""COMPUTED_VALUE"""),14278.0)</f>
        <v>14278</v>
      </c>
      <c r="I5470" s="18">
        <f>IFERROR(__xludf.DUMMYFUNCTION("""COMPUTED_VALUE"""),6.0)</f>
        <v>6</v>
      </c>
      <c r="J5470" s="18">
        <f>IFERROR(__xludf.DUMMYFUNCTION("""COMPUTED_VALUE"""),31.0)</f>
        <v>31</v>
      </c>
      <c r="K5470" s="18">
        <f>IFERROR(__xludf.DUMMYFUNCTION("""COMPUTED_VALUE"""),20.0)</f>
        <v>20</v>
      </c>
      <c r="L5470" s="17">
        <f>IFERROR(__xludf.DUMMYFUNCTION("""COMPUTED_VALUE"""),3.13227632E9)</f>
        <v>3132276320</v>
      </c>
      <c r="M5470" s="17" t="str">
        <f>IFERROR(__xludf.DUMMYFUNCTION("""COMPUTED_VALUE"""),"#REF!")</f>
        <v>#REF!</v>
      </c>
      <c r="N5470" s="17"/>
      <c r="O5470" s="17"/>
      <c r="P5470" s="17" t="b">
        <f>IFERROR(__xludf.DUMMYFUNCTION("""COMPUTED_VALUE"""),TRUE)</f>
        <v>1</v>
      </c>
      <c r="Q5470" s="20">
        <f>IFERROR(__xludf.DUMMYFUNCTION("""COMPUTED_VALUE"""),45161.75648252315)</f>
        <v>45161.75648</v>
      </c>
      <c r="R5470" s="21" t="str">
        <f>IFERROR(__xludf.DUMMYFUNCTION("""COMPUTED_VALUE"""),"https://drive.google.com/file/d/1HprI_zOyMw_zXps6qOSPRNszFLcuLHiZ/view?usp=drivesdk")</f>
        <v>https://drive.google.com/file/d/1HprI_zOyMw_zXps6qOSPRNszFLcuLHiZ/view?usp=drivesdk</v>
      </c>
    </row>
    <row r="5471">
      <c r="A5471" s="17" t="str">
        <f>IFERROR(__xludf.DUMMYFUNCTION("""COMPUTED_VALUE"""),"")</f>
        <v/>
      </c>
      <c r="B5471" s="17" t="str">
        <f>IFERROR(__xludf.DUMMYFUNCTION("""COMPUTED_VALUE"""),"")</f>
        <v/>
      </c>
      <c r="C5471" s="17" t="str">
        <f>IFERROR(__xludf.DUMMYFUNCTION("""COMPUTED_VALUE"""),"")</f>
        <v/>
      </c>
      <c r="D5471" s="17" t="str">
        <f>IFERROR(__xludf.DUMMYFUNCTION("""COMPUTED_VALUE"""),"")</f>
        <v/>
      </c>
      <c r="E5471" s="17" t="str">
        <f>IFERROR(__xludf.DUMMYFUNCTION("""COMPUTED_VALUE"""),"")</f>
        <v/>
      </c>
      <c r="F5471" s="17" t="str">
        <f>IFERROR(__xludf.DUMMYFUNCTION("""COMPUTED_VALUE"""),"")</f>
        <v/>
      </c>
      <c r="G5471" s="17" t="str">
        <f>IFERROR(__xludf.DUMMYFUNCTION("""COMPUTED_VALUE"""),"")</f>
        <v/>
      </c>
      <c r="H5471" s="17" t="str">
        <f>IFERROR(__xludf.DUMMYFUNCTION("""COMPUTED_VALUE"""),"")</f>
        <v/>
      </c>
      <c r="I5471" s="17" t="str">
        <f>IFERROR(__xludf.DUMMYFUNCTION("""COMPUTED_VALUE"""),"")</f>
        <v/>
      </c>
      <c r="J5471" s="17" t="str">
        <f>IFERROR(__xludf.DUMMYFUNCTION("""COMPUTED_VALUE"""),"")</f>
        <v/>
      </c>
      <c r="K5471" s="17" t="str">
        <f>IFERROR(__xludf.DUMMYFUNCTION("""COMPUTED_VALUE"""),"")</f>
        <v/>
      </c>
      <c r="L5471" s="17" t="str">
        <f>IFERROR(__xludf.DUMMYFUNCTION("""COMPUTED_VALUE"""),"")</f>
        <v/>
      </c>
      <c r="M5471" s="17" t="str">
        <f>IFERROR(__xludf.DUMMYFUNCTION("""COMPUTED_VALUE"""),"")</f>
        <v/>
      </c>
      <c r="N5471" s="17" t="str">
        <f>IFERROR(__xludf.DUMMYFUNCTION("""COMPUTED_VALUE"""),"")</f>
        <v/>
      </c>
      <c r="O5471" s="17" t="str">
        <f>IFERROR(__xludf.DUMMYFUNCTION("""COMPUTED_VALUE"""),"")</f>
        <v/>
      </c>
      <c r="P5471" s="17" t="str">
        <f>IFERROR(__xludf.DUMMYFUNCTION("""COMPUTED_VALUE"""),"")</f>
        <v/>
      </c>
      <c r="Q5471" s="17" t="str">
        <f>IFERROR(__xludf.DUMMYFUNCTION("""COMPUTED_VALUE"""),"")</f>
        <v/>
      </c>
      <c r="R5471" s="17" t="str">
        <f>IFERROR(__xludf.DUMMYFUNCTION("""COMPUTED_VALUE"""),"")</f>
        <v/>
      </c>
    </row>
    <row r="5472">
      <c r="A5472" s="15">
        <f>IFERROR(__xludf.DUMMYFUNCTION("""COMPUTED_VALUE"""),45161.0)</f>
        <v>45161</v>
      </c>
      <c r="B5472" s="16" t="str">
        <f>IFERROR(__xludf.DUMMYFUNCTION("""COMPUTED_VALUE"""),"Duvan Gabriel Alvarez Giron")</f>
        <v>Duvan Gabriel Alvarez Giron</v>
      </c>
      <c r="C5472" s="15" t="str">
        <f>IFERROR(__xludf.DUMMYFUNCTION("""COMPUTED_VALUE"""),"FLORIDABLANCA")</f>
        <v>FLORIDABLANCA</v>
      </c>
      <c r="D5472" s="15" t="str">
        <f>IFERROR(__xludf.DUMMYFUNCTION("""COMPUTED_VALUE"""),"BOGOTÁ")</f>
        <v>BOGOTÁ</v>
      </c>
      <c r="E5472" s="15" t="str">
        <f>IFERROR(__xludf.DUMMYFUNCTION("""COMPUTED_VALUE"""),"Pan de Waffle")</f>
        <v>Pan de Waffle</v>
      </c>
      <c r="F5472" s="17" t="str">
        <f>IFERROR(__xludf.DUMMYFUNCTION("""COMPUTED_VALUE"""),"Carrer 24 # 30 - 53 Local 2 / Carrer 24 # 30 - 53 Local 2 / Carrer 24 # 30 - 53 Local 2")</f>
        <v>Carrer 24 # 30 - 53 Local 2 / Carrer 24 # 30 - 53 Local 2 / Carrer 24 # 30 - 53 Local 2</v>
      </c>
      <c r="G5472" s="15" t="str">
        <f>IFERROR(__xludf.DUMMYFUNCTION("""COMPUTED_VALUE"""),"RAPPI TURBO - EXITO")</f>
        <v>RAPPI TURBO - EXITO</v>
      </c>
      <c r="H5472" s="16">
        <f>IFERROR(__xludf.DUMMYFUNCTION("""COMPUTED_VALUE"""),14244.0)</f>
        <v>14244</v>
      </c>
      <c r="I5472" s="18">
        <f>IFERROR(__xludf.DUMMYFUNCTION("""COMPUTED_VALUE"""),40.0)</f>
        <v>40</v>
      </c>
      <c r="J5472" s="18">
        <f>IFERROR(__xludf.DUMMYFUNCTION("""COMPUTED_VALUE"""),40.0)</f>
        <v>40</v>
      </c>
      <c r="K5472" s="18">
        <f>IFERROR(__xludf.DUMMYFUNCTION("""COMPUTED_VALUE"""),30.0)</f>
        <v>30</v>
      </c>
      <c r="L5472" s="17">
        <f>IFERROR(__xludf.DUMMYFUNCTION("""COMPUTED_VALUE"""),3.175005565E9)</f>
        <v>3175005565</v>
      </c>
      <c r="M5472" s="17" t="str">
        <f>IFERROR(__xludf.DUMMYFUNCTION("""COMPUTED_VALUE"""),"#REF!")</f>
        <v>#REF!</v>
      </c>
      <c r="N5472" s="17"/>
      <c r="O5472" s="17"/>
      <c r="P5472" s="17" t="b">
        <f>IFERROR(__xludf.DUMMYFUNCTION("""COMPUTED_VALUE"""),TRUE)</f>
        <v>1</v>
      </c>
      <c r="Q5472" s="20">
        <f>IFERROR(__xludf.DUMMYFUNCTION("""COMPUTED_VALUE"""),45161.75648252315)</f>
        <v>45161.75648</v>
      </c>
      <c r="R5472" s="21" t="str">
        <f>IFERROR(__xludf.DUMMYFUNCTION("""COMPUTED_VALUE"""),"https://drive.google.com/file/d/1nS0MKwTfaULDJ1OtcZlSK5qOl_eRm9i8/view?usp=drivesdk")</f>
        <v>https://drive.google.com/file/d/1nS0MKwTfaULDJ1OtcZlSK5qOl_eRm9i8/view?usp=drivesdk</v>
      </c>
    </row>
    <row r="5473">
      <c r="A5473" s="15">
        <f>IFERROR(__xludf.DUMMYFUNCTION("""COMPUTED_VALUE"""),45161.0)</f>
        <v>45161</v>
      </c>
      <c r="B5473" s="16" t="str">
        <f>IFERROR(__xludf.DUMMYFUNCTION("""COMPUTED_VALUE"""),"Duvan Gabriel Alvarez Giron")</f>
        <v>Duvan Gabriel Alvarez Giron</v>
      </c>
      <c r="C5473" s="15" t="str">
        <f>IFERROR(__xludf.DUMMYFUNCTION("""COMPUTED_VALUE"""),"IBAGUÉ")</f>
        <v>IBAGUÉ</v>
      </c>
      <c r="D5473" s="15" t="str">
        <f>IFERROR(__xludf.DUMMYFUNCTION("""COMPUTED_VALUE"""),"BOGOTÁ")</f>
        <v>BOGOTÁ</v>
      </c>
      <c r="E5473" s="15" t="str">
        <f>IFERROR(__xludf.DUMMYFUNCTION("""COMPUTED_VALUE"""),"Evamazzita")</f>
        <v>Evamazzita</v>
      </c>
      <c r="F5473" s="17" t="str">
        <f>IFERROR(__xludf.DUMMYFUNCTION("""COMPUTED_VALUE"""),"Carrera 9 #29-33 / N/A / Barrio la Granja")</f>
        <v>Carrera 9 #29-33 / N/A / Barrio la Granja</v>
      </c>
      <c r="G5473" s="15" t="str">
        <f>IFERROR(__xludf.DUMMYFUNCTION("""COMPUTED_VALUE"""),"LIZETH PAULINE MORALES GARZON")</f>
        <v>LIZETH PAULINE MORALES GARZON</v>
      </c>
      <c r="H5473" s="16">
        <f>IFERROR(__xludf.DUMMYFUNCTION("""COMPUTED_VALUE"""),14206.0)</f>
        <v>14206</v>
      </c>
      <c r="I5473" s="18">
        <f>IFERROR(__xludf.DUMMYFUNCTION("""COMPUTED_VALUE"""),8.0)</f>
        <v>8</v>
      </c>
      <c r="J5473" s="18">
        <f>IFERROR(__xludf.DUMMYFUNCTION("""COMPUTED_VALUE"""),18.0)</f>
        <v>18</v>
      </c>
      <c r="K5473" s="18">
        <f>IFERROR(__xludf.DUMMYFUNCTION("""COMPUTED_VALUE"""),22.0)</f>
        <v>22</v>
      </c>
      <c r="L5473" s="17">
        <f>IFERROR(__xludf.DUMMYFUNCTION("""COMPUTED_VALUE"""),3.213134159E9)</f>
        <v>3213134159</v>
      </c>
      <c r="M5473" s="17" t="str">
        <f>IFERROR(__xludf.DUMMYFUNCTION("""COMPUTED_VALUE"""),"#REF!")</f>
        <v>#REF!</v>
      </c>
      <c r="N5473" s="17"/>
      <c r="O5473" s="17"/>
      <c r="P5473" s="17" t="b">
        <f>IFERROR(__xludf.DUMMYFUNCTION("""COMPUTED_VALUE"""),TRUE)</f>
        <v>1</v>
      </c>
      <c r="Q5473" s="20">
        <f>IFERROR(__xludf.DUMMYFUNCTION("""COMPUTED_VALUE"""),45161.75648252315)</f>
        <v>45161.75648</v>
      </c>
      <c r="R5473" s="21" t="str">
        <f>IFERROR(__xludf.DUMMYFUNCTION("""COMPUTED_VALUE"""),"https://drive.google.com/file/d/1TjLjCWG6OCUncGwPpKGHlfiLN5bBe-Z3/view?usp=drivesdk")</f>
        <v>https://drive.google.com/file/d/1TjLjCWG6OCUncGwPpKGHlfiLN5bBe-Z3/view?usp=drivesdk</v>
      </c>
    </row>
    <row r="5474">
      <c r="A5474" s="15">
        <f>IFERROR(__xludf.DUMMYFUNCTION("""COMPUTED_VALUE"""),45161.0)</f>
        <v>45161</v>
      </c>
      <c r="B5474" s="16" t="str">
        <f>IFERROR(__xludf.DUMMYFUNCTION("""COMPUTED_VALUE"""),"Duvan Gabriel Alvarez Giron")</f>
        <v>Duvan Gabriel Alvarez Giron</v>
      </c>
      <c r="C5474" s="15" t="str">
        <f>IFERROR(__xludf.DUMMYFUNCTION("""COMPUTED_VALUE"""),"IBAGUÉ")</f>
        <v>IBAGUÉ</v>
      </c>
      <c r="D5474" s="15" t="str">
        <f>IFERROR(__xludf.DUMMYFUNCTION("""COMPUTED_VALUE"""),"BOGOTÁ")</f>
        <v>BOGOTÁ</v>
      </c>
      <c r="E5474" s="15" t="str">
        <f>IFERROR(__xludf.DUMMYFUNCTION("""COMPUTED_VALUE"""),"Frambascolombia sas")</f>
        <v>Frambascolombia sas</v>
      </c>
      <c r="F5474" s="17" t="str">
        <f>IFERROR(__xludf.DUMMYFUNCTION("""COMPUTED_VALUE"""),"CRA 12 SUR # 93-134 / local 2")</f>
        <v>CRA 12 SUR # 93-134 / local 2</v>
      </c>
      <c r="G5474" s="15" t="str">
        <f>IFERROR(__xludf.DUMMYFUNCTION("""COMPUTED_VALUE"""),"FARMACADIZ IBAGUE")</f>
        <v>FARMACADIZ IBAGUE</v>
      </c>
      <c r="H5474" s="16">
        <f>IFERROR(__xludf.DUMMYFUNCTION("""COMPUTED_VALUE"""),14191.0)</f>
        <v>14191</v>
      </c>
      <c r="I5474" s="18">
        <f>IFERROR(__xludf.DUMMYFUNCTION("""COMPUTED_VALUE"""),45057.0)</f>
        <v>45057</v>
      </c>
      <c r="J5474" s="18">
        <f>IFERROR(__xludf.DUMMYFUNCTION("""COMPUTED_VALUE"""),10.0)</f>
        <v>10</v>
      </c>
      <c r="K5474" s="18">
        <f>IFERROR(__xludf.DUMMYFUNCTION("""COMPUTED_VALUE"""),10.0)</f>
        <v>10</v>
      </c>
      <c r="L5474" s="17">
        <f>IFERROR(__xludf.DUMMYFUNCTION("""COMPUTED_VALUE"""),3.005210998E9)</f>
        <v>3005210998</v>
      </c>
      <c r="M5474" s="17" t="str">
        <f>IFERROR(__xludf.DUMMYFUNCTION("""COMPUTED_VALUE"""),"#REF!")</f>
        <v>#REF!</v>
      </c>
      <c r="N5474" s="17"/>
      <c r="O5474" s="17"/>
      <c r="P5474" s="17" t="b">
        <f>IFERROR(__xludf.DUMMYFUNCTION("""COMPUTED_VALUE"""),TRUE)</f>
        <v>1</v>
      </c>
      <c r="Q5474" s="20">
        <f>IFERROR(__xludf.DUMMYFUNCTION("""COMPUTED_VALUE"""),45161.75648252315)</f>
        <v>45161.75648</v>
      </c>
      <c r="R5474" s="22" t="str">
        <f>IFERROR(__xludf.DUMMYFUNCTION("""COMPUTED_VALUE"""),"")</f>
        <v/>
      </c>
    </row>
    <row r="5475">
      <c r="A5475" s="15">
        <f>IFERROR(__xludf.DUMMYFUNCTION("""COMPUTED_VALUE"""),45161.0)</f>
        <v>45161</v>
      </c>
      <c r="B5475" s="16" t="str">
        <f>IFERROR(__xludf.DUMMYFUNCTION("""COMPUTED_VALUE"""),"Duvan Gabriel Alvarez Giron")</f>
        <v>Duvan Gabriel Alvarez Giron</v>
      </c>
      <c r="C5475" s="15" t="str">
        <f>IFERROR(__xludf.DUMMYFUNCTION("""COMPUTED_VALUE"""),"IBAGUÉ")</f>
        <v>IBAGUÉ</v>
      </c>
      <c r="D5475" s="15" t="str">
        <f>IFERROR(__xludf.DUMMYFUNCTION("""COMPUTED_VALUE"""),"BOGOTÁ")</f>
        <v>BOGOTÁ</v>
      </c>
      <c r="E5475" s="15" t="str">
        <f>IFERROR(__xludf.DUMMYFUNCTION("""COMPUTED_VALUE"""),"Frutos Silvestres")</f>
        <v>Frutos Silvestres</v>
      </c>
      <c r="F5475" s="17" t="str">
        <f>IFERROR(__xludf.DUMMYFUNCTION("""COMPUTED_VALUE"""),"Manzana 12 casa 11  / Primer piso puerta negra  / Terrazas del tejar")</f>
        <v>Manzana 12 casa 11  / Primer piso puerta negra  / Terrazas del tejar</v>
      </c>
      <c r="G5475" s="15" t="str">
        <f>IFERROR(__xludf.DUMMYFUNCTION("""COMPUTED_VALUE"""),"Johanna Jaramillo")</f>
        <v>Johanna Jaramillo</v>
      </c>
      <c r="H5475" s="16">
        <f>IFERROR(__xludf.DUMMYFUNCTION("""COMPUTED_VALUE"""),14259.0)</f>
        <v>14259</v>
      </c>
      <c r="I5475" s="18">
        <f>IFERROR(__xludf.DUMMYFUNCTION("""COMPUTED_VALUE"""),22.0)</f>
        <v>22</v>
      </c>
      <c r="J5475" s="18">
        <f>IFERROR(__xludf.DUMMYFUNCTION("""COMPUTED_VALUE"""),32.0)</f>
        <v>32</v>
      </c>
      <c r="K5475" s="18">
        <f>IFERROR(__xludf.DUMMYFUNCTION("""COMPUTED_VALUE"""),28.0)</f>
        <v>28</v>
      </c>
      <c r="L5475" s="17">
        <f>IFERROR(__xludf.DUMMYFUNCTION("""COMPUTED_VALUE"""),3.245887861E9)</f>
        <v>3245887861</v>
      </c>
      <c r="M5475" s="17" t="str">
        <f>IFERROR(__xludf.DUMMYFUNCTION("""COMPUTED_VALUE"""),"#REF!")</f>
        <v>#REF!</v>
      </c>
      <c r="N5475" s="17"/>
      <c r="O5475" s="17"/>
      <c r="P5475" s="17" t="b">
        <f>IFERROR(__xludf.DUMMYFUNCTION("""COMPUTED_VALUE"""),TRUE)</f>
        <v>1</v>
      </c>
      <c r="Q5475" s="20">
        <f>IFERROR(__xludf.DUMMYFUNCTION("""COMPUTED_VALUE"""),45161.75648252315)</f>
        <v>45161.75648</v>
      </c>
      <c r="R5475" s="21" t="str">
        <f>IFERROR(__xludf.DUMMYFUNCTION("""COMPUTED_VALUE"""),"https://drive.google.com/file/d/1jCPCe83pB2vH9QqgNI8CiRcgDIA1I3qS/view?usp=drivesdk")</f>
        <v>https://drive.google.com/file/d/1jCPCe83pB2vH9QqgNI8CiRcgDIA1I3qS/view?usp=drivesdk</v>
      </c>
    </row>
    <row r="5476">
      <c r="A5476" s="15">
        <f>IFERROR(__xludf.DUMMYFUNCTION("""COMPUTED_VALUE"""),45161.0)</f>
        <v>45161</v>
      </c>
      <c r="B5476" s="16" t="str">
        <f>IFERROR(__xludf.DUMMYFUNCTION("""COMPUTED_VALUE"""),"Duvan Gabriel Alvarez Giron")</f>
        <v>Duvan Gabriel Alvarez Giron</v>
      </c>
      <c r="C5476" s="15" t="str">
        <f>IFERROR(__xludf.DUMMYFUNCTION("""COMPUTED_VALUE"""),"IBAGUÉ")</f>
        <v>IBAGUÉ</v>
      </c>
      <c r="D5476" s="15" t="str">
        <f>IFERROR(__xludf.DUMMYFUNCTION("""COMPUTED_VALUE"""),"BOGOTÁ")</f>
        <v>BOGOTÁ</v>
      </c>
      <c r="E5476" s="15" t="str">
        <f>IFERROR(__xludf.DUMMYFUNCTION("""COMPUTED_VALUE"""),"Lunchy Kids")</f>
        <v>Lunchy Kids</v>
      </c>
      <c r="F5476" s="17" t="str">
        <f>IFERROR(__xludf.DUMMYFUNCTION("""COMPUTED_VALUE"""),"Carrera 4 #105-39  / urbanización Aguamarina   / Ibagué")</f>
        <v>Carrera 4 #105-39  / urbanización Aguamarina   / Ibagué</v>
      </c>
      <c r="G5476" s="15" t="str">
        <f>IFERROR(__xludf.DUMMYFUNCTION("""COMPUTED_VALUE"""),"Jennifer Benavides")</f>
        <v>Jennifer Benavides</v>
      </c>
      <c r="H5476" s="16">
        <f>IFERROR(__xludf.DUMMYFUNCTION("""COMPUTED_VALUE"""),14195.0)</f>
        <v>14195</v>
      </c>
      <c r="I5476" s="18">
        <f>IFERROR(__xludf.DUMMYFUNCTION("""COMPUTED_VALUE"""),20.0)</f>
        <v>20</v>
      </c>
      <c r="J5476" s="18">
        <f>IFERROR(__xludf.DUMMYFUNCTION("""COMPUTED_VALUE"""),23.0)</f>
        <v>23</v>
      </c>
      <c r="K5476" s="18">
        <f>IFERROR(__xludf.DUMMYFUNCTION("""COMPUTED_VALUE"""),8.0)</f>
        <v>8</v>
      </c>
      <c r="L5476" s="17">
        <f>IFERROR(__xludf.DUMMYFUNCTION("""COMPUTED_VALUE"""),3.123080339E9)</f>
        <v>3123080339</v>
      </c>
      <c r="M5476" s="17" t="str">
        <f>IFERROR(__xludf.DUMMYFUNCTION("""COMPUTED_VALUE"""),"#REF!")</f>
        <v>#REF!</v>
      </c>
      <c r="N5476" s="17"/>
      <c r="O5476" s="17"/>
      <c r="P5476" s="17" t="b">
        <f>IFERROR(__xludf.DUMMYFUNCTION("""COMPUTED_VALUE"""),TRUE)</f>
        <v>1</v>
      </c>
      <c r="Q5476" s="20">
        <f>IFERROR(__xludf.DUMMYFUNCTION("""COMPUTED_VALUE"""),45161.75648252315)</f>
        <v>45161.75648</v>
      </c>
      <c r="R5476" s="21" t="str">
        <f>IFERROR(__xludf.DUMMYFUNCTION("""COMPUTED_VALUE"""),"https://drive.google.com/file/d/1dLrR_VhQ9a4-y6mL4OZRXkjlpJoS7FGe/view?usp=drivesdk")</f>
        <v>https://drive.google.com/file/d/1dLrR_VhQ9a4-y6mL4OZRXkjlpJoS7FGe/view?usp=drivesdk</v>
      </c>
    </row>
    <row r="5477">
      <c r="A5477" s="17" t="str">
        <f>IFERROR(__xludf.DUMMYFUNCTION("""COMPUTED_VALUE"""),"")</f>
        <v/>
      </c>
      <c r="B5477" s="17" t="str">
        <f>IFERROR(__xludf.DUMMYFUNCTION("""COMPUTED_VALUE"""),"")</f>
        <v/>
      </c>
      <c r="C5477" s="17" t="str">
        <f>IFERROR(__xludf.DUMMYFUNCTION("""COMPUTED_VALUE"""),"")</f>
        <v/>
      </c>
      <c r="D5477" s="17" t="str">
        <f>IFERROR(__xludf.DUMMYFUNCTION("""COMPUTED_VALUE"""),"")</f>
        <v/>
      </c>
      <c r="E5477" s="17" t="str">
        <f>IFERROR(__xludf.DUMMYFUNCTION("""COMPUTED_VALUE"""),"")</f>
        <v/>
      </c>
      <c r="F5477" s="17" t="str">
        <f>IFERROR(__xludf.DUMMYFUNCTION("""COMPUTED_VALUE"""),"")</f>
        <v/>
      </c>
      <c r="G5477" s="17" t="str">
        <f>IFERROR(__xludf.DUMMYFUNCTION("""COMPUTED_VALUE"""),"")</f>
        <v/>
      </c>
      <c r="H5477" s="17" t="str">
        <f>IFERROR(__xludf.DUMMYFUNCTION("""COMPUTED_VALUE"""),"")</f>
        <v/>
      </c>
      <c r="I5477" s="17" t="str">
        <f>IFERROR(__xludf.DUMMYFUNCTION("""COMPUTED_VALUE"""),"")</f>
        <v/>
      </c>
      <c r="J5477" s="17" t="str">
        <f>IFERROR(__xludf.DUMMYFUNCTION("""COMPUTED_VALUE"""),"")</f>
        <v/>
      </c>
      <c r="K5477" s="17" t="str">
        <f>IFERROR(__xludf.DUMMYFUNCTION("""COMPUTED_VALUE"""),"")</f>
        <v/>
      </c>
      <c r="L5477" s="17" t="str">
        <f>IFERROR(__xludf.DUMMYFUNCTION("""COMPUTED_VALUE"""),"")</f>
        <v/>
      </c>
      <c r="M5477" s="17" t="str">
        <f>IFERROR(__xludf.DUMMYFUNCTION("""COMPUTED_VALUE"""),"")</f>
        <v/>
      </c>
      <c r="N5477" s="17" t="str">
        <f>IFERROR(__xludf.DUMMYFUNCTION("""COMPUTED_VALUE"""),"")</f>
        <v/>
      </c>
      <c r="O5477" s="17" t="str">
        <f>IFERROR(__xludf.DUMMYFUNCTION("""COMPUTED_VALUE"""),"")</f>
        <v/>
      </c>
      <c r="P5477" s="17" t="str">
        <f>IFERROR(__xludf.DUMMYFUNCTION("""COMPUTED_VALUE"""),"")</f>
        <v/>
      </c>
      <c r="Q5477" s="17" t="str">
        <f>IFERROR(__xludf.DUMMYFUNCTION("""COMPUTED_VALUE"""),"")</f>
        <v/>
      </c>
      <c r="R5477" s="17" t="str">
        <f>IFERROR(__xludf.DUMMYFUNCTION("""COMPUTED_VALUE"""),"")</f>
        <v/>
      </c>
    </row>
    <row r="5478">
      <c r="A5478" s="15">
        <f>IFERROR(__xludf.DUMMYFUNCTION("""COMPUTED_VALUE"""),45161.0)</f>
        <v>45161</v>
      </c>
      <c r="B5478" s="16" t="str">
        <f>IFERROR(__xludf.DUMMYFUNCTION("""COMPUTED_VALUE"""),"Envia")</f>
        <v>Envia</v>
      </c>
      <c r="C5478" s="15" t="str">
        <f>IFERROR(__xludf.DUMMYFUNCTION("""COMPUTED_VALUE"""),"ARMENIA")</f>
        <v>ARMENIA</v>
      </c>
      <c r="D5478" s="15" t="str">
        <f>IFERROR(__xludf.DUMMYFUNCTION("""COMPUTED_VALUE"""),"MEDELLÍN")</f>
        <v>MEDELLÍN</v>
      </c>
      <c r="E5478" s="15" t="str">
        <f>IFERROR(__xludf.DUMMYFUNCTION("""COMPUTED_VALUE"""),"Baby Chef")</f>
        <v>Baby Chef</v>
      </c>
      <c r="F5478" s="17" t="str">
        <f>IFERROR(__xludf.DUMMYFUNCTION("""COMPUTED_VALUE"""),"Calle 6 Norte #16A 44 Edificio Valparaiso Apto 1102 Barrio los profesionales / Calle 6 Norte #16A 44 Edificio Valparaiso Apto 1102 Barrio los profesionales / Calle 6 Norte #16A 44 Edificio Valparaiso Apto 1102 Barrio los profesionales")</f>
        <v>Calle 6 Norte #16A 44 Edificio Valparaiso Apto 1102 Barrio los profesionales / Calle 6 Norte #16A 44 Edificio Valparaiso Apto 1102 Barrio los profesionales / Calle 6 Norte #16A 44 Edificio Valparaiso Apto 1102 Barrio los profesionales</v>
      </c>
      <c r="G5478" s="15" t="str">
        <f>IFERROR(__xludf.DUMMYFUNCTION("""COMPUTED_VALUE"""),"Leidy Echeverry Botero")</f>
        <v>Leidy Echeverry Botero</v>
      </c>
      <c r="H5478" s="16">
        <f>IFERROR(__xludf.DUMMYFUNCTION("""COMPUTED_VALUE"""),14273.0)</f>
        <v>14273</v>
      </c>
      <c r="I5478" s="18">
        <f>IFERROR(__xludf.DUMMYFUNCTION("""COMPUTED_VALUE"""),9.0)</f>
        <v>9</v>
      </c>
      <c r="J5478" s="18">
        <f>IFERROR(__xludf.DUMMYFUNCTION("""COMPUTED_VALUE"""),41.0)</f>
        <v>41</v>
      </c>
      <c r="K5478" s="18">
        <f>IFERROR(__xludf.DUMMYFUNCTION("""COMPUTED_VALUE"""),30.0)</f>
        <v>30</v>
      </c>
      <c r="L5478" s="17">
        <f>IFERROR(__xludf.DUMMYFUNCTION("""COMPUTED_VALUE"""),3.16575559E9)</f>
        <v>3165755590</v>
      </c>
      <c r="M5478" s="17" t="str">
        <f>IFERROR(__xludf.DUMMYFUNCTION("""COMPUTED_VALUE"""),"#REF!")</f>
        <v>#REF!</v>
      </c>
      <c r="N5478" s="17"/>
      <c r="O5478" s="17"/>
      <c r="P5478" s="17" t="b">
        <f>IFERROR(__xludf.DUMMYFUNCTION("""COMPUTED_VALUE"""),FALSE)</f>
        <v>0</v>
      </c>
      <c r="Q5478" s="20" t="str">
        <f>IFERROR(__xludf.DUMMYFUNCTION("""COMPUTED_VALUE"""),"")</f>
        <v/>
      </c>
      <c r="R5478" s="22" t="str">
        <f>IFERROR(__xludf.DUMMYFUNCTION("""COMPUTED_VALUE"""),"")</f>
        <v/>
      </c>
    </row>
    <row r="5479">
      <c r="A5479" s="15">
        <f>IFERROR(__xludf.DUMMYFUNCTION("""COMPUTED_VALUE"""),45161.0)</f>
        <v>45161</v>
      </c>
      <c r="B5479" s="16" t="str">
        <f>IFERROR(__xludf.DUMMYFUNCTION("""COMPUTED_VALUE"""),"Envia")</f>
        <v>Envia</v>
      </c>
      <c r="C5479" s="15" t="str">
        <f>IFERROR(__xludf.DUMMYFUNCTION("""COMPUTED_VALUE"""),"BOGOTÁ")</f>
        <v>BOGOTÁ</v>
      </c>
      <c r="D5479" s="15" t="str">
        <f>IFERROR(__xludf.DUMMYFUNCTION("""COMPUTED_VALUE"""),"MEDELLÍN")</f>
        <v>MEDELLÍN</v>
      </c>
      <c r="E5479" s="15" t="str">
        <f>IFERROR(__xludf.DUMMYFUNCTION("""COMPUTED_VALUE"""),"Terravocado")</f>
        <v>Terravocado</v>
      </c>
      <c r="F5479" s="17" t="str">
        <f>IFERROR(__xludf.DUMMYFUNCTION("""COMPUTED_VALUE"""),"CRA 13 # 98 - 48 / BOGOTA  / CHICO NORTE")</f>
        <v>CRA 13 # 98 - 48 / BOGOTA  / CHICO NORTE</v>
      </c>
      <c r="G5479" s="15" t="str">
        <f>IFERROR(__xludf.DUMMYFUNCTION("""COMPUTED_VALUE"""),"ALPARKE SAS")</f>
        <v>ALPARKE SAS</v>
      </c>
      <c r="H5479" s="16">
        <f>IFERROR(__xludf.DUMMYFUNCTION("""COMPUTED_VALUE"""),14148.0)</f>
        <v>14148</v>
      </c>
      <c r="I5479" s="18">
        <f>IFERROR(__xludf.DUMMYFUNCTION("""COMPUTED_VALUE"""),20.0)</f>
        <v>20</v>
      </c>
      <c r="J5479" s="18">
        <f>IFERROR(__xludf.DUMMYFUNCTION("""COMPUTED_VALUE"""),24.0)</f>
        <v>24</v>
      </c>
      <c r="K5479" s="18">
        <f>IFERROR(__xludf.DUMMYFUNCTION("""COMPUTED_VALUE"""),34.0)</f>
        <v>34</v>
      </c>
      <c r="L5479" s="17">
        <f>IFERROR(__xludf.DUMMYFUNCTION("""COMPUTED_VALUE"""),3.227737548E9)</f>
        <v>3227737548</v>
      </c>
      <c r="M5479" s="17" t="str">
        <f>IFERROR(__xludf.DUMMYFUNCTION("""COMPUTED_VALUE"""),"#REF!")</f>
        <v>#REF!</v>
      </c>
      <c r="N5479" s="17"/>
      <c r="O5479" s="17"/>
      <c r="P5479" s="17" t="b">
        <f>IFERROR(__xludf.DUMMYFUNCTION("""COMPUTED_VALUE"""),TRUE)</f>
        <v>1</v>
      </c>
      <c r="Q5479" s="20">
        <f>IFERROR(__xludf.DUMMYFUNCTION("""COMPUTED_VALUE"""),45161.75648252315)</f>
        <v>45161.75648</v>
      </c>
      <c r="R5479" s="22" t="str">
        <f>IFERROR(__xludf.DUMMYFUNCTION("""COMPUTED_VALUE"""),"")</f>
        <v/>
      </c>
    </row>
    <row r="5480">
      <c r="A5480" s="15">
        <f>IFERROR(__xludf.DUMMYFUNCTION("""COMPUTED_VALUE"""),45161.0)</f>
        <v>45161</v>
      </c>
      <c r="B5480" s="16" t="str">
        <f>IFERROR(__xludf.DUMMYFUNCTION("""COMPUTED_VALUE"""),"Envia")</f>
        <v>Envia</v>
      </c>
      <c r="C5480" s="15" t="str">
        <f>IFERROR(__xludf.DUMMYFUNCTION("""COMPUTED_VALUE"""),"CALI")</f>
        <v>CALI</v>
      </c>
      <c r="D5480" s="15" t="str">
        <f>IFERROR(__xludf.DUMMYFUNCTION("""COMPUTED_VALUE"""),"BOGOTÁ")</f>
        <v>BOGOTÁ</v>
      </c>
      <c r="E5480" s="15" t="str">
        <f>IFERROR(__xludf.DUMMYFUNCTION("""COMPUTED_VALUE"""),"Evamazzita")</f>
        <v>Evamazzita</v>
      </c>
      <c r="F5480" s="17" t="str">
        <f>IFERROR(__xludf.DUMMYFUNCTION("""COMPUTED_VALUE"""),"Carrera 80#5-220 / Valle de la feria 3/Apto 218 / Entregar después de las 2 pm")</f>
        <v>Carrera 80#5-220 / Valle de la feria 3/Apto 218 / Entregar después de las 2 pm</v>
      </c>
      <c r="G5480" s="15" t="str">
        <f>IFERROR(__xludf.DUMMYFUNCTION("""COMPUTED_VALUE"""),"NATALI CORRALES")</f>
        <v>NATALI CORRALES</v>
      </c>
      <c r="H5480" s="16">
        <f>IFERROR(__xludf.DUMMYFUNCTION("""COMPUTED_VALUE"""),14217.0)</f>
        <v>14217</v>
      </c>
      <c r="I5480" s="18">
        <f>IFERROR(__xludf.DUMMYFUNCTION("""COMPUTED_VALUE"""),1.0)</f>
        <v>1</v>
      </c>
      <c r="J5480" s="18">
        <f>IFERROR(__xludf.DUMMYFUNCTION("""COMPUTED_VALUE"""),1.0)</f>
        <v>1</v>
      </c>
      <c r="K5480" s="18">
        <f>IFERROR(__xludf.DUMMYFUNCTION("""COMPUTED_VALUE"""),1.0)</f>
        <v>1</v>
      </c>
      <c r="L5480" s="17">
        <f>IFERROR(__xludf.DUMMYFUNCTION("""COMPUTED_VALUE"""),3.128518205E9)</f>
        <v>3128518205</v>
      </c>
      <c r="M5480" s="17" t="str">
        <f>IFERROR(__xludf.DUMMYFUNCTION("""COMPUTED_VALUE"""),"#REF!")</f>
        <v>#REF!</v>
      </c>
      <c r="N5480" s="17"/>
      <c r="O5480" s="17"/>
      <c r="P5480" s="17" t="b">
        <f>IFERROR(__xludf.DUMMYFUNCTION("""COMPUTED_VALUE"""),FALSE)</f>
        <v>0</v>
      </c>
      <c r="Q5480" s="20" t="str">
        <f>IFERROR(__xludf.DUMMYFUNCTION("""COMPUTED_VALUE"""),"")</f>
        <v/>
      </c>
      <c r="R5480" s="21" t="str">
        <f>IFERROR(__xludf.DUMMYFUNCTION("""COMPUTED_VALUE"""),"https://drive.google.com/file/d/1llcu0yNxfDLZH2OxQMtt5NKSEtVryCie/view?usp=drivesdk")</f>
        <v>https://drive.google.com/file/d/1llcu0yNxfDLZH2OxQMtt5NKSEtVryCie/view?usp=drivesdk</v>
      </c>
    </row>
    <row r="5481">
      <c r="A5481" s="15">
        <f>IFERROR(__xludf.DUMMYFUNCTION("""COMPUTED_VALUE"""),45161.0)</f>
        <v>45161</v>
      </c>
      <c r="B5481" s="16" t="str">
        <f>IFERROR(__xludf.DUMMYFUNCTION("""COMPUTED_VALUE"""),"Envia")</f>
        <v>Envia</v>
      </c>
      <c r="C5481" s="15" t="str">
        <f>IFERROR(__xludf.DUMMYFUNCTION("""COMPUTED_VALUE"""),"CALI")</f>
        <v>CALI</v>
      </c>
      <c r="D5481" s="15" t="str">
        <f>IFERROR(__xludf.DUMMYFUNCTION("""COMPUTED_VALUE"""),"BOGOTÁ")</f>
        <v>BOGOTÁ</v>
      </c>
      <c r="E5481" s="15" t="str">
        <f>IFERROR(__xludf.DUMMYFUNCTION("""COMPUTED_VALUE"""),"Ventura Productos Arg")</f>
        <v>Ventura Productos Arg</v>
      </c>
      <c r="F5481" s="17" t="str">
        <f>IFERROR(__xludf.DUMMYFUNCTION("""COMPUTED_VALUE"""),"Cra 86 #17-35 / Apto 301, Torre 3, El Arado")</f>
        <v>Cra 86 #17-35 / Apto 301, Torre 3, El Arado</v>
      </c>
      <c r="G5481" s="15" t="str">
        <f>IFERROR(__xludf.DUMMYFUNCTION("""COMPUTED_VALUE"""),"Sofia Diaz Florian")</f>
        <v>Sofia Diaz Florian</v>
      </c>
      <c r="H5481" s="16">
        <f>IFERROR(__xludf.DUMMYFUNCTION("""COMPUTED_VALUE"""),14181.0)</f>
        <v>14181</v>
      </c>
      <c r="I5481" s="18">
        <f>IFERROR(__xludf.DUMMYFUNCTION("""COMPUTED_VALUE"""),3.0)</f>
        <v>3</v>
      </c>
      <c r="J5481" s="18">
        <f>IFERROR(__xludf.DUMMYFUNCTION("""COMPUTED_VALUE"""),45053.0)</f>
        <v>45053</v>
      </c>
      <c r="K5481" s="18">
        <f>IFERROR(__xludf.DUMMYFUNCTION("""COMPUTED_VALUE"""),22.0)</f>
        <v>22</v>
      </c>
      <c r="L5481" s="17" t="str">
        <f>IFERROR(__xludf.DUMMYFUNCTION("""COMPUTED_VALUE"""),"318 235 2485")</f>
        <v>318 235 2485</v>
      </c>
      <c r="M5481" s="17" t="str">
        <f>IFERROR(__xludf.DUMMYFUNCTION("""COMPUTED_VALUE"""),"#REF!")</f>
        <v>#REF!</v>
      </c>
      <c r="N5481" s="17"/>
      <c r="O5481" s="17"/>
      <c r="P5481" s="17" t="b">
        <f>IFERROR(__xludf.DUMMYFUNCTION("""COMPUTED_VALUE"""),FALSE)</f>
        <v>0</v>
      </c>
      <c r="Q5481" s="20" t="str">
        <f>IFERROR(__xludf.DUMMYFUNCTION("""COMPUTED_VALUE"""),"")</f>
        <v/>
      </c>
      <c r="R5481" s="22" t="str">
        <f>IFERROR(__xludf.DUMMYFUNCTION("""COMPUTED_VALUE"""),"")</f>
        <v/>
      </c>
    </row>
    <row r="5482">
      <c r="A5482" s="15">
        <f>IFERROR(__xludf.DUMMYFUNCTION("""COMPUTED_VALUE"""),45161.0)</f>
        <v>45161</v>
      </c>
      <c r="B5482" s="16" t="str">
        <f>IFERROR(__xludf.DUMMYFUNCTION("""COMPUTED_VALUE"""),"Envia")</f>
        <v>Envia</v>
      </c>
      <c r="C5482" s="15" t="str">
        <f>IFERROR(__xludf.DUMMYFUNCTION("""COMPUTED_VALUE"""),"CALI")</f>
        <v>CALI</v>
      </c>
      <c r="D5482" s="15" t="str">
        <f>IFERROR(__xludf.DUMMYFUNCTION("""COMPUTED_VALUE"""),"MEDELLÍN")</f>
        <v>MEDELLÍN</v>
      </c>
      <c r="E5482" s="15" t="str">
        <f>IFERROR(__xludf.DUMMYFUNCTION("""COMPUTED_VALUE"""),"Todo Bufala")</f>
        <v>Todo Bufala</v>
      </c>
      <c r="F5482" s="17" t="str">
        <f>IFERROR(__xludf.DUMMYFUNCTION("""COMPUTED_VALUE"""),"Calle 8 #42-58")</f>
        <v>Calle 8 #42-58</v>
      </c>
      <c r="G5482" s="15" t="str">
        <f>IFERROR(__xludf.DUMMYFUNCTION("""COMPUTED_VALUE"""),"Grupo Hefe SAS")</f>
        <v>Grupo Hefe SAS</v>
      </c>
      <c r="H5482" s="16">
        <f>IFERROR(__xludf.DUMMYFUNCTION("""COMPUTED_VALUE"""),14233.0)</f>
        <v>14233</v>
      </c>
      <c r="I5482" s="18">
        <f>IFERROR(__xludf.DUMMYFUNCTION("""COMPUTED_VALUE"""),76.0)</f>
        <v>76</v>
      </c>
      <c r="J5482" s="18">
        <f>IFERROR(__xludf.DUMMYFUNCTION("""COMPUTED_VALUE"""),49.0)</f>
        <v>49</v>
      </c>
      <c r="K5482" s="18">
        <f>IFERROR(__xludf.DUMMYFUNCTION("""COMPUTED_VALUE"""),54.0)</f>
        <v>54</v>
      </c>
      <c r="L5482" s="17" t="str">
        <f>IFERROR(__xludf.DUMMYFUNCTION("""COMPUTED_VALUE"""),"320 7762289")</f>
        <v>320 7762289</v>
      </c>
      <c r="M5482" s="17" t="str">
        <f>IFERROR(__xludf.DUMMYFUNCTION("""COMPUTED_VALUE"""),"#REF!")</f>
        <v>#REF!</v>
      </c>
      <c r="N5482" s="17"/>
      <c r="O5482" s="17"/>
      <c r="P5482" s="17" t="b">
        <f>IFERROR(__xludf.DUMMYFUNCTION("""COMPUTED_VALUE"""),FALSE)</f>
        <v>0</v>
      </c>
      <c r="Q5482" s="20" t="str">
        <f>IFERROR(__xludf.DUMMYFUNCTION("""COMPUTED_VALUE"""),"")</f>
        <v/>
      </c>
      <c r="R5482" s="22" t="str">
        <f>IFERROR(__xludf.DUMMYFUNCTION("""COMPUTED_VALUE"""),"")</f>
        <v/>
      </c>
    </row>
    <row r="5483">
      <c r="A5483" s="15">
        <f>IFERROR(__xludf.DUMMYFUNCTION("""COMPUTED_VALUE"""),45161.0)</f>
        <v>45161</v>
      </c>
      <c r="B5483" s="16" t="str">
        <f>IFERROR(__xludf.DUMMYFUNCTION("""COMPUTED_VALUE"""),"Envia")</f>
        <v>Envia</v>
      </c>
      <c r="C5483" s="15" t="str">
        <f>IFERROR(__xludf.DUMMYFUNCTION("""COMPUTED_VALUE"""),"CARTAGENA")</f>
        <v>CARTAGENA</v>
      </c>
      <c r="D5483" s="15" t="str">
        <f>IFERROR(__xludf.DUMMYFUNCTION("""COMPUTED_VALUE"""),"BOGOTÁ")</f>
        <v>BOGOTÁ</v>
      </c>
      <c r="E5483" s="15" t="str">
        <f>IFERROR(__xludf.DUMMYFUNCTION("""COMPUTED_VALUE"""),"Loomifoods")</f>
        <v>Loomifoods</v>
      </c>
      <c r="F5483" s="17" t="str">
        <f>IFERROR(__xludf.DUMMYFUNCTION("""COMPUTED_VALUE"""),"Edifício Sol Del Este Bocagrande,  / 1601 / cartagena")</f>
        <v>Edifício Sol Del Este Bocagrande,  / 1601 / cartagena</v>
      </c>
      <c r="G5483" s="15" t="str">
        <f>IFERROR(__xludf.DUMMYFUNCTION("""COMPUTED_VALUE"""),"Alison Bossuyt")</f>
        <v>Alison Bossuyt</v>
      </c>
      <c r="H5483" s="16">
        <f>IFERROR(__xludf.DUMMYFUNCTION("""COMPUTED_VALUE"""),14201.0)</f>
        <v>14201</v>
      </c>
      <c r="I5483" s="18">
        <f>IFERROR(__xludf.DUMMYFUNCTION("""COMPUTED_VALUE"""),19.0)</f>
        <v>19</v>
      </c>
      <c r="J5483" s="18">
        <f>IFERROR(__xludf.DUMMYFUNCTION("""COMPUTED_VALUE"""),10.0)</f>
        <v>10</v>
      </c>
      <c r="K5483" s="18">
        <f>IFERROR(__xludf.DUMMYFUNCTION("""COMPUTED_VALUE"""),16.0)</f>
        <v>16</v>
      </c>
      <c r="L5483" s="17">
        <f>IFERROR(__xludf.DUMMYFUNCTION("""COMPUTED_VALUE"""),3.153972475E9)</f>
        <v>3153972475</v>
      </c>
      <c r="M5483" s="17" t="str">
        <f>IFERROR(__xludf.DUMMYFUNCTION("""COMPUTED_VALUE"""),"#REF!")</f>
        <v>#REF!</v>
      </c>
      <c r="N5483" s="17"/>
      <c r="O5483" s="17"/>
      <c r="P5483" s="17" t="b">
        <f>IFERROR(__xludf.DUMMYFUNCTION("""COMPUTED_VALUE"""),FALSE)</f>
        <v>0</v>
      </c>
      <c r="Q5483" s="20" t="str">
        <f>IFERROR(__xludf.DUMMYFUNCTION("""COMPUTED_VALUE"""),"")</f>
        <v/>
      </c>
      <c r="R5483" s="21" t="str">
        <f>IFERROR(__xludf.DUMMYFUNCTION("""COMPUTED_VALUE"""),"https://drive.google.com/file/d/1T2YLhc_YI5BsI7E-QyevIGyIiiOFTSMu/view?usp=drivesdk")</f>
        <v>https://drive.google.com/file/d/1T2YLhc_YI5BsI7E-QyevIGyIiiOFTSMu/view?usp=drivesdk</v>
      </c>
    </row>
    <row r="5484">
      <c r="A5484" s="15">
        <f>IFERROR(__xludf.DUMMYFUNCTION("""COMPUTED_VALUE"""),45161.0)</f>
        <v>45161</v>
      </c>
      <c r="B5484" s="16" t="str">
        <f>IFERROR(__xludf.DUMMYFUNCTION("""COMPUTED_VALUE"""),"Envia")</f>
        <v>Envia</v>
      </c>
      <c r="C5484" s="15" t="str">
        <f>IFERROR(__xludf.DUMMYFUNCTION("""COMPUTED_VALUE"""),"CHÍA")</f>
        <v>CHÍA</v>
      </c>
      <c r="D5484" s="15" t="str">
        <f>IFERROR(__xludf.DUMMYFUNCTION("""COMPUTED_VALUE"""),"MEDELLÍN")</f>
        <v>MEDELLÍN</v>
      </c>
      <c r="E5484" s="15" t="str">
        <f>IFERROR(__xludf.DUMMYFUNCTION("""COMPUTED_VALUE"""),"Baby Chef")</f>
        <v>Baby Chef</v>
      </c>
      <c r="F5484" s="17" t="str">
        <f>IFERROR(__xludf.DUMMYFUNCTION("""COMPUTED_VALUE"""),"Cl 16A 0 15 TO 11 AP 504 Conjunto Lunaria TO 11 AP 504 / ""Cl 16A 0 15 TO 11 AP 504 Conjunto Lunaria TO 11 AP 504"" / ""Cl 16A 0 15 TO 11 AP 504 Conjunto Lunaria TO 11 AP 504""")</f>
        <v>Cl 16A 0 15 TO 11 AP 504 Conjunto Lunaria TO 11 AP 504 / "Cl 16A 0 15 TO 11 AP 504 Conjunto Lunaria TO 11 AP 504" / "Cl 16A 0 15 TO 11 AP 504 Conjunto Lunaria TO 11 AP 504"</v>
      </c>
      <c r="G5484" s="15" t="str">
        <f>IFERROR(__xludf.DUMMYFUNCTION("""COMPUTED_VALUE"""),"Veronica Molano Ventura")</f>
        <v>Veronica Molano Ventura</v>
      </c>
      <c r="H5484" s="16">
        <f>IFERROR(__xludf.DUMMYFUNCTION("""COMPUTED_VALUE"""),14266.0)</f>
        <v>14266</v>
      </c>
      <c r="I5484" s="18">
        <f>IFERROR(__xludf.DUMMYFUNCTION("""COMPUTED_VALUE"""),6.0)</f>
        <v>6</v>
      </c>
      <c r="J5484" s="18">
        <f>IFERROR(__xludf.DUMMYFUNCTION("""COMPUTED_VALUE"""),30.0)</f>
        <v>30</v>
      </c>
      <c r="K5484" s="18">
        <f>IFERROR(__xludf.DUMMYFUNCTION("""COMPUTED_VALUE"""),22.0)</f>
        <v>22</v>
      </c>
      <c r="L5484" s="17">
        <f>IFERROR(__xludf.DUMMYFUNCTION("""COMPUTED_VALUE"""),3.112421734E9)</f>
        <v>3112421734</v>
      </c>
      <c r="M5484" s="17" t="str">
        <f>IFERROR(__xludf.DUMMYFUNCTION("""COMPUTED_VALUE"""),"#REF!")</f>
        <v>#REF!</v>
      </c>
      <c r="N5484" s="17"/>
      <c r="O5484" s="17"/>
      <c r="P5484" s="17" t="b">
        <f>IFERROR(__xludf.DUMMYFUNCTION("""COMPUTED_VALUE"""),FALSE)</f>
        <v>0</v>
      </c>
      <c r="Q5484" s="20" t="str">
        <f>IFERROR(__xludf.DUMMYFUNCTION("""COMPUTED_VALUE"""),"")</f>
        <v/>
      </c>
      <c r="R5484" s="21" t="str">
        <f>IFERROR(__xludf.DUMMYFUNCTION("""COMPUTED_VALUE"""),"https://drive.google.com/file/d/1cMwDGOj1Q0rZZf4pRhSr0tgyRFPX5r9r/view?usp=drivesdk")</f>
        <v>https://drive.google.com/file/d/1cMwDGOj1Q0rZZf4pRhSr0tgyRFPX5r9r/view?usp=drivesdk</v>
      </c>
    </row>
    <row r="5485">
      <c r="A5485" s="15">
        <f>IFERROR(__xludf.DUMMYFUNCTION("""COMPUTED_VALUE"""),45161.0)</f>
        <v>45161</v>
      </c>
      <c r="B5485" s="16" t="str">
        <f>IFERROR(__xludf.DUMMYFUNCTION("""COMPUTED_VALUE"""),"Envia")</f>
        <v>Envia</v>
      </c>
      <c r="C5485" s="15" t="str">
        <f>IFERROR(__xludf.DUMMYFUNCTION("""COMPUTED_VALUE"""),"GIRÓN")</f>
        <v>GIRÓN</v>
      </c>
      <c r="D5485" s="15" t="str">
        <f>IFERROR(__xludf.DUMMYFUNCTION("""COMPUTED_VALUE"""),"BOGOTÁ")</f>
        <v>BOGOTÁ</v>
      </c>
      <c r="E5485" s="15" t="str">
        <f>IFERROR(__xludf.DUMMYFUNCTION("""COMPUTED_VALUE"""),"Evamazzita")</f>
        <v>Evamazzita</v>
      </c>
      <c r="F5485" s="17" t="str">
        <f>IFERROR(__xludf.DUMMYFUNCTION("""COMPUTED_VALUE"""),"Calle 35b-18A-09 / Corte Real 1 / N/A")</f>
        <v>Calle 35b-18A-09 / Corte Real 1 / N/A</v>
      </c>
      <c r="G5485" s="15" t="str">
        <f>IFERROR(__xludf.DUMMYFUNCTION("""COMPUTED_VALUE"""),"VIVIANA YILIVETH ESPINOSA BARAHONA")</f>
        <v>VIVIANA YILIVETH ESPINOSA BARAHONA</v>
      </c>
      <c r="H5485" s="16">
        <f>IFERROR(__xludf.DUMMYFUNCTION("""COMPUTED_VALUE"""),14208.0)</f>
        <v>14208</v>
      </c>
      <c r="I5485" s="18">
        <f>IFERROR(__xludf.DUMMYFUNCTION("""COMPUTED_VALUE"""),14.0)</f>
        <v>14</v>
      </c>
      <c r="J5485" s="18">
        <f>IFERROR(__xludf.DUMMYFUNCTION("""COMPUTED_VALUE"""),24.0)</f>
        <v>24</v>
      </c>
      <c r="K5485" s="18">
        <f>IFERROR(__xludf.DUMMYFUNCTION("""COMPUTED_VALUE"""),21.0)</f>
        <v>21</v>
      </c>
      <c r="L5485" s="17">
        <f>IFERROR(__xludf.DUMMYFUNCTION("""COMPUTED_VALUE"""),3.214058334E9)</f>
        <v>3214058334</v>
      </c>
      <c r="M5485" s="17" t="str">
        <f>IFERROR(__xludf.DUMMYFUNCTION("""COMPUTED_VALUE"""),"#REF!")</f>
        <v>#REF!</v>
      </c>
      <c r="N5485" s="17"/>
      <c r="O5485" s="17"/>
      <c r="P5485" s="17" t="b">
        <f>IFERROR(__xludf.DUMMYFUNCTION("""COMPUTED_VALUE"""),FALSE)</f>
        <v>0</v>
      </c>
      <c r="Q5485" s="20" t="str">
        <f>IFERROR(__xludf.DUMMYFUNCTION("""COMPUTED_VALUE"""),"")</f>
        <v/>
      </c>
      <c r="R5485" s="21" t="str">
        <f>IFERROR(__xludf.DUMMYFUNCTION("""COMPUTED_VALUE"""),"https://drive.google.com/file/d/1RC4fA-KW6fheNfZ30IAm-8oRC2B2IzLu/view?usp=drivesdk")</f>
        <v>https://drive.google.com/file/d/1RC4fA-KW6fheNfZ30IAm-8oRC2B2IzLu/view?usp=drivesdk</v>
      </c>
    </row>
    <row r="5486">
      <c r="A5486" s="15">
        <f>IFERROR(__xludf.DUMMYFUNCTION("""COMPUTED_VALUE"""),45161.0)</f>
        <v>45161</v>
      </c>
      <c r="B5486" s="16" t="str">
        <f>IFERROR(__xludf.DUMMYFUNCTION("""COMPUTED_VALUE"""),"Envia")</f>
        <v>Envia</v>
      </c>
      <c r="C5486" s="15" t="str">
        <f>IFERROR(__xludf.DUMMYFUNCTION("""COMPUTED_VALUE"""),"MEDELLÍN")</f>
        <v>MEDELLÍN</v>
      </c>
      <c r="D5486" s="15" t="str">
        <f>IFERROR(__xludf.DUMMYFUNCTION("""COMPUTED_VALUE"""),"BOGOTÁ")</f>
        <v>BOGOTÁ</v>
      </c>
      <c r="E5486" s="15" t="str">
        <f>IFERROR(__xludf.DUMMYFUNCTION("""COMPUTED_VALUE"""),"Asociacion Agropecuaria Juana Maria")</f>
        <v>Asociacion Agropecuaria Juana Maria</v>
      </c>
      <c r="F5486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5486" s="15" t="str">
        <f>IFERROR(__xludf.DUMMYFUNCTION("""COMPUTED_VALUE"""),"Jennifer Sanchez Blandon")</f>
        <v>Jennifer Sanchez Blandon</v>
      </c>
      <c r="H5486" s="16">
        <f>IFERROR(__xludf.DUMMYFUNCTION("""COMPUTED_VALUE"""),14158.0)</f>
        <v>14158</v>
      </c>
      <c r="I5486" s="18">
        <f>IFERROR(__xludf.DUMMYFUNCTION("""COMPUTED_VALUE"""),36.0)</f>
        <v>36</v>
      </c>
      <c r="J5486" s="18">
        <f>IFERROR(__xludf.DUMMYFUNCTION("""COMPUTED_VALUE"""),25.0)</f>
        <v>25</v>
      </c>
      <c r="K5486" s="18">
        <f>IFERROR(__xludf.DUMMYFUNCTION("""COMPUTED_VALUE"""),3.0)</f>
        <v>3</v>
      </c>
      <c r="L5486" s="17">
        <f>IFERROR(__xludf.DUMMYFUNCTION("""COMPUTED_VALUE"""),3.016937674E9)</f>
        <v>3016937674</v>
      </c>
      <c r="M5486" s="17" t="str">
        <f>IFERROR(__xludf.DUMMYFUNCTION("""COMPUTED_VALUE"""),"#REF!")</f>
        <v>#REF!</v>
      </c>
      <c r="N5486" s="17"/>
      <c r="O5486" s="17"/>
      <c r="P5486" s="17" t="b">
        <f>IFERROR(__xludf.DUMMYFUNCTION("""COMPUTED_VALUE"""),FALSE)</f>
        <v>0</v>
      </c>
      <c r="Q5486" s="20" t="str">
        <f>IFERROR(__xludf.DUMMYFUNCTION("""COMPUTED_VALUE"""),"")</f>
        <v/>
      </c>
      <c r="R5486" s="22" t="str">
        <f>IFERROR(__xludf.DUMMYFUNCTION("""COMPUTED_VALUE"""),"")</f>
        <v/>
      </c>
    </row>
    <row r="5487">
      <c r="A5487" s="15">
        <f>IFERROR(__xludf.DUMMYFUNCTION("""COMPUTED_VALUE"""),45161.0)</f>
        <v>45161</v>
      </c>
      <c r="B5487" s="16" t="str">
        <f>IFERROR(__xludf.DUMMYFUNCTION("""COMPUTED_VALUE"""),"Envia")</f>
        <v>Envia</v>
      </c>
      <c r="C5487" s="15" t="str">
        <f>IFERROR(__xludf.DUMMYFUNCTION("""COMPUTED_VALUE"""),"MEDELLÍN")</f>
        <v>MEDELLÍN</v>
      </c>
      <c r="D5487" s="15" t="str">
        <f>IFERROR(__xludf.DUMMYFUNCTION("""COMPUTED_VALUE"""),"BOGOTÁ")</f>
        <v>BOGOTÁ</v>
      </c>
      <c r="E5487" s="15" t="str">
        <f>IFERROR(__xludf.DUMMYFUNCTION("""COMPUTED_VALUE"""),"Diana Rodriguez")</f>
        <v>Diana Rodriguez</v>
      </c>
      <c r="F5487" s="17" t="str">
        <f>IFERROR(__xludf.DUMMYFUNCTION("""COMPUTED_VALUE"""),"Calle 10 B # 37-29 / Hotel click clack  / Barrio Provenza poblado")</f>
        <v>Calle 10 B # 37-29 / Hotel click clack  / Barrio Provenza poblado</v>
      </c>
      <c r="G5487" s="15" t="str">
        <f>IFERROR(__xludf.DUMMYFUNCTION("""COMPUTED_VALUE"""),"Michael Mejía")</f>
        <v>Michael Mejía</v>
      </c>
      <c r="H5487" s="16">
        <f>IFERROR(__xludf.DUMMYFUNCTION("""COMPUTED_VALUE"""),14177.0)</f>
        <v>14177</v>
      </c>
      <c r="I5487" s="18">
        <f>IFERROR(__xludf.DUMMYFUNCTION("""COMPUTED_VALUE"""),32.0)</f>
        <v>32</v>
      </c>
      <c r="J5487" s="18">
        <f>IFERROR(__xludf.DUMMYFUNCTION("""COMPUTED_VALUE"""),32.0)</f>
        <v>32</v>
      </c>
      <c r="K5487" s="18">
        <f>IFERROR(__xludf.DUMMYFUNCTION("""COMPUTED_VALUE"""),48.0)</f>
        <v>48</v>
      </c>
      <c r="L5487" s="17">
        <f>IFERROR(__xludf.DUMMYFUNCTION("""COMPUTED_VALUE"""),3.232793596E9)</f>
        <v>3232793596</v>
      </c>
      <c r="M5487" s="17" t="str">
        <f>IFERROR(__xludf.DUMMYFUNCTION("""COMPUTED_VALUE"""),"#REF!")</f>
        <v>#REF!</v>
      </c>
      <c r="N5487" s="17"/>
      <c r="O5487" s="17"/>
      <c r="P5487" s="17" t="b">
        <f>IFERROR(__xludf.DUMMYFUNCTION("""COMPUTED_VALUE"""),FALSE)</f>
        <v>0</v>
      </c>
      <c r="Q5487" s="20" t="str">
        <f>IFERROR(__xludf.DUMMYFUNCTION("""COMPUTED_VALUE"""),"")</f>
        <v/>
      </c>
      <c r="R5487" s="22" t="str">
        <f>IFERROR(__xludf.DUMMYFUNCTION("""COMPUTED_VALUE"""),"")</f>
        <v/>
      </c>
    </row>
    <row r="5488">
      <c r="A5488" s="15">
        <f>IFERROR(__xludf.DUMMYFUNCTION("""COMPUTED_VALUE"""),45161.0)</f>
        <v>45161</v>
      </c>
      <c r="B5488" s="16" t="str">
        <f>IFERROR(__xludf.DUMMYFUNCTION("""COMPUTED_VALUE"""),"Envia")</f>
        <v>Envia</v>
      </c>
      <c r="C5488" s="15" t="str">
        <f>IFERROR(__xludf.DUMMYFUNCTION("""COMPUTED_VALUE"""),"MEDELLÍN")</f>
        <v>MEDELLÍN</v>
      </c>
      <c r="D5488" s="15" t="str">
        <f>IFERROR(__xludf.DUMMYFUNCTION("""COMPUTED_VALUE"""),"BOGOTÁ")</f>
        <v>BOGOTÁ</v>
      </c>
      <c r="E5488" s="15" t="str">
        <f>IFERROR(__xludf.DUMMYFUNCTION("""COMPUTED_VALUE"""),"Evamazzita")</f>
        <v>Evamazzita</v>
      </c>
      <c r="F5488" s="17" t="str">
        <f>IFERROR(__xludf.DUMMYFUNCTION("""COMPUTED_VALUE"""),"Calle 35 #69A-33 / Itagui / San Gabriel")</f>
        <v>Calle 35 #69A-33 / Itagui / San Gabriel</v>
      </c>
      <c r="G5488" s="15" t="str">
        <f>IFERROR(__xludf.DUMMYFUNCTION("""COMPUTED_VALUE"""),"TATIANA QUINTERO ROJAS")</f>
        <v>TATIANA QUINTERO ROJAS</v>
      </c>
      <c r="H5488" s="16">
        <f>IFERROR(__xludf.DUMMYFUNCTION("""COMPUTED_VALUE"""),14209.0)</f>
        <v>14209</v>
      </c>
      <c r="I5488" s="18">
        <f>IFERROR(__xludf.DUMMYFUNCTION("""COMPUTED_VALUE"""),1.0)</f>
        <v>1</v>
      </c>
      <c r="J5488" s="18">
        <f>IFERROR(__xludf.DUMMYFUNCTION("""COMPUTED_VALUE"""),1.0)</f>
        <v>1</v>
      </c>
      <c r="K5488" s="18">
        <f>IFERROR(__xludf.DUMMYFUNCTION("""COMPUTED_VALUE"""),1.0)</f>
        <v>1</v>
      </c>
      <c r="L5488" s="17">
        <f>IFERROR(__xludf.DUMMYFUNCTION("""COMPUTED_VALUE"""),3.108485523E9)</f>
        <v>3108485523</v>
      </c>
      <c r="M5488" s="17" t="str">
        <f>IFERROR(__xludf.DUMMYFUNCTION("""COMPUTED_VALUE"""),"#REF!")</f>
        <v>#REF!</v>
      </c>
      <c r="N5488" s="17"/>
      <c r="O5488" s="17"/>
      <c r="P5488" s="17" t="b">
        <f>IFERROR(__xludf.DUMMYFUNCTION("""COMPUTED_VALUE"""),FALSE)</f>
        <v>0</v>
      </c>
      <c r="Q5488" s="20" t="str">
        <f>IFERROR(__xludf.DUMMYFUNCTION("""COMPUTED_VALUE"""),"")</f>
        <v/>
      </c>
      <c r="R5488" s="22" t="str">
        <f>IFERROR(__xludf.DUMMYFUNCTION("""COMPUTED_VALUE"""),"")</f>
        <v/>
      </c>
    </row>
    <row r="5489">
      <c r="A5489" s="15">
        <f>IFERROR(__xludf.DUMMYFUNCTION("""COMPUTED_VALUE"""),45161.0)</f>
        <v>45161</v>
      </c>
      <c r="B5489" s="16" t="str">
        <f>IFERROR(__xludf.DUMMYFUNCTION("""COMPUTED_VALUE"""),"Envia")</f>
        <v>Envia</v>
      </c>
      <c r="C5489" s="15" t="str">
        <f>IFERROR(__xludf.DUMMYFUNCTION("""COMPUTED_VALUE"""),"MEDELLÍN")</f>
        <v>MEDELLÍN</v>
      </c>
      <c r="D5489" s="15" t="str">
        <f>IFERROR(__xludf.DUMMYFUNCTION("""COMPUTED_VALUE"""),"BOGOTÁ")</f>
        <v>BOGOTÁ</v>
      </c>
      <c r="E5489" s="15" t="str">
        <f>IFERROR(__xludf.DUMMYFUNCTION("""COMPUTED_VALUE"""),"Loomifoods")</f>
        <v>Loomifoods</v>
      </c>
      <c r="F5489" s="17" t="str">
        <f>IFERROR(__xludf.DUMMYFUNCTION("""COMPUTED_VALUE"""),"Calle 54# 86c 220,  / Apto 306. /  Unidad Faro verde")</f>
        <v>Calle 54# 86c 220,  / Apto 306. /  Unidad Faro verde</v>
      </c>
      <c r="G5489" s="15" t="str">
        <f>IFERROR(__xludf.DUMMYFUNCTION("""COMPUTED_VALUE"""),"Alejandra Santana")</f>
        <v>Alejandra Santana</v>
      </c>
      <c r="H5489" s="16">
        <f>IFERROR(__xludf.DUMMYFUNCTION("""COMPUTED_VALUE"""),14203.0)</f>
        <v>14203</v>
      </c>
      <c r="I5489" s="18">
        <f>IFERROR(__xludf.DUMMYFUNCTION("""COMPUTED_VALUE"""),19.0)</f>
        <v>19</v>
      </c>
      <c r="J5489" s="18">
        <f>IFERROR(__xludf.DUMMYFUNCTION("""COMPUTED_VALUE"""),10.0)</f>
        <v>10</v>
      </c>
      <c r="K5489" s="18">
        <f>IFERROR(__xludf.DUMMYFUNCTION("""COMPUTED_VALUE"""),16.0)</f>
        <v>16</v>
      </c>
      <c r="L5489" s="17">
        <f>IFERROR(__xludf.DUMMYFUNCTION("""COMPUTED_VALUE"""),3.102986894E9)</f>
        <v>3102986894</v>
      </c>
      <c r="M5489" s="17" t="str">
        <f>IFERROR(__xludf.DUMMYFUNCTION("""COMPUTED_VALUE"""),"#REF!")</f>
        <v>#REF!</v>
      </c>
      <c r="N5489" s="17"/>
      <c r="O5489" s="17"/>
      <c r="P5489" s="17" t="b">
        <f>IFERROR(__xludf.DUMMYFUNCTION("""COMPUTED_VALUE"""),FALSE)</f>
        <v>0</v>
      </c>
      <c r="Q5489" s="20" t="str">
        <f>IFERROR(__xludf.DUMMYFUNCTION("""COMPUTED_VALUE"""),"")</f>
        <v/>
      </c>
      <c r="R5489" s="22" t="str">
        <f>IFERROR(__xludf.DUMMYFUNCTION("""COMPUTED_VALUE"""),"")</f>
        <v/>
      </c>
    </row>
    <row r="5490">
      <c r="A5490" s="15">
        <f>IFERROR(__xludf.DUMMYFUNCTION("""COMPUTED_VALUE"""),45161.0)</f>
        <v>45161</v>
      </c>
      <c r="B5490" s="16" t="str">
        <f>IFERROR(__xludf.DUMMYFUNCTION("""COMPUTED_VALUE"""),"Envia")</f>
        <v>Envia</v>
      </c>
      <c r="C5490" s="15" t="str">
        <f>IFERROR(__xludf.DUMMYFUNCTION("""COMPUTED_VALUE"""),"MEDELLÍN")</f>
        <v>MEDELLÍN</v>
      </c>
      <c r="D5490" s="15" t="str">
        <f>IFERROR(__xludf.DUMMYFUNCTION("""COMPUTED_VALUE"""),"BOGOTÁ")</f>
        <v>BOGOTÁ</v>
      </c>
      <c r="E5490" s="15" t="str">
        <f>IFERROR(__xludf.DUMMYFUNCTION("""COMPUTED_VALUE"""),"MAI ALIMENTOS S.A.S")</f>
        <v>MAI ALIMENTOS S.A.S</v>
      </c>
      <c r="F5490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5490" s="15" t="str">
        <f>IFERROR(__xludf.DUMMYFUNCTION("""COMPUTED_VALUE"""),"Novaventas - Medellin")</f>
        <v>Novaventas - Medellin</v>
      </c>
      <c r="H5490" s="16">
        <f>IFERROR(__xludf.DUMMYFUNCTION("""COMPUTED_VALUE"""),14150.0)</f>
        <v>14150</v>
      </c>
      <c r="I5490" s="18">
        <f>IFERROR(__xludf.DUMMYFUNCTION("""COMPUTED_VALUE"""),35.0)</f>
        <v>35</v>
      </c>
      <c r="J5490" s="18">
        <f>IFERROR(__xludf.DUMMYFUNCTION("""COMPUTED_VALUE"""),17.0)</f>
        <v>17</v>
      </c>
      <c r="K5490" s="18">
        <f>IFERROR(__xludf.DUMMYFUNCTION("""COMPUTED_VALUE"""),13.0)</f>
        <v>13</v>
      </c>
      <c r="L5490" s="17">
        <f>IFERROR(__xludf.DUMMYFUNCTION("""COMPUTED_VALUE"""),3.187351593E9)</f>
        <v>3187351593</v>
      </c>
      <c r="M5490" s="17" t="str">
        <f>IFERROR(__xludf.DUMMYFUNCTION("""COMPUTED_VALUE"""),"#REF!")</f>
        <v>#REF!</v>
      </c>
      <c r="N5490" s="17"/>
      <c r="O5490" s="17"/>
      <c r="P5490" s="17" t="b">
        <f>IFERROR(__xludf.DUMMYFUNCTION("""COMPUTED_VALUE"""),FALSE)</f>
        <v>0</v>
      </c>
      <c r="Q5490" s="20" t="str">
        <f>IFERROR(__xludf.DUMMYFUNCTION("""COMPUTED_VALUE"""),"")</f>
        <v/>
      </c>
      <c r="R5490" s="22" t="str">
        <f>IFERROR(__xludf.DUMMYFUNCTION("""COMPUTED_VALUE"""),"")</f>
        <v/>
      </c>
    </row>
    <row r="5491">
      <c r="A5491" s="15">
        <f>IFERROR(__xludf.DUMMYFUNCTION("""COMPUTED_VALUE"""),45161.0)</f>
        <v>45161</v>
      </c>
      <c r="B5491" s="16" t="str">
        <f>IFERROR(__xludf.DUMMYFUNCTION("""COMPUTED_VALUE"""),"Envia")</f>
        <v>Envia</v>
      </c>
      <c r="C5491" s="15" t="str">
        <f>IFERROR(__xludf.DUMMYFUNCTION("""COMPUTED_VALUE"""),"MEDELLÍN")</f>
        <v>MEDELLÍN</v>
      </c>
      <c r="D5491" s="15" t="str">
        <f>IFERROR(__xludf.DUMMYFUNCTION("""COMPUTED_VALUE"""),"BOGOTÁ")</f>
        <v>BOGOTÁ</v>
      </c>
      <c r="E5491" s="15" t="str">
        <f>IFERROR(__xludf.DUMMYFUNCTION("""COMPUTED_VALUE"""),"Pan de Waffle")</f>
        <v>Pan de Waffle</v>
      </c>
      <c r="F5491" s="17" t="str">
        <f>IFERROR(__xludf.DUMMYFUNCTION("""COMPUTED_VALUE"""),"Carrera 80 # 34B - 51  / Carrera 80 # 34B - 51  / Carrera 80 # 34B - 51")</f>
        <v>Carrera 80 # 34B - 51  / Carrera 80 # 34B - 51  / Carrera 80 # 34B - 51</v>
      </c>
      <c r="G5491" s="15" t="str">
        <f>IFERROR(__xludf.DUMMYFUNCTION("""COMPUTED_VALUE"""),"RAPPI TURBO - LAURELES")</f>
        <v>RAPPI TURBO - LAURELES</v>
      </c>
      <c r="H5491" s="16">
        <f>IFERROR(__xludf.DUMMYFUNCTION("""COMPUTED_VALUE"""),14243.0)</f>
        <v>14243</v>
      </c>
      <c r="I5491" s="18">
        <f>IFERROR(__xludf.DUMMYFUNCTION("""COMPUTED_VALUE"""),40.0)</f>
        <v>40</v>
      </c>
      <c r="J5491" s="18">
        <f>IFERROR(__xludf.DUMMYFUNCTION("""COMPUTED_VALUE"""),30.0)</f>
        <v>30</v>
      </c>
      <c r="K5491" s="18">
        <f>IFERROR(__xludf.DUMMYFUNCTION("""COMPUTED_VALUE"""),40.0)</f>
        <v>40</v>
      </c>
      <c r="L5491" s="17">
        <f>IFERROR(__xludf.DUMMYFUNCTION("""COMPUTED_VALUE"""),3.175005565E9)</f>
        <v>3175005565</v>
      </c>
      <c r="M5491" s="17" t="str">
        <f>IFERROR(__xludf.DUMMYFUNCTION("""COMPUTED_VALUE"""),"#REF!")</f>
        <v>#REF!</v>
      </c>
      <c r="N5491" s="17"/>
      <c r="O5491" s="17"/>
      <c r="P5491" s="17" t="b">
        <f>IFERROR(__xludf.DUMMYFUNCTION("""COMPUTED_VALUE"""),FALSE)</f>
        <v>0</v>
      </c>
      <c r="Q5491" s="20" t="str">
        <f>IFERROR(__xludf.DUMMYFUNCTION("""COMPUTED_VALUE"""),"")</f>
        <v/>
      </c>
      <c r="R5491" s="22" t="str">
        <f>IFERROR(__xludf.DUMMYFUNCTION("""COMPUTED_VALUE"""),"")</f>
        <v/>
      </c>
    </row>
    <row r="5492">
      <c r="A5492" s="15">
        <f>IFERROR(__xludf.DUMMYFUNCTION("""COMPUTED_VALUE"""),45161.0)</f>
        <v>45161</v>
      </c>
      <c r="B5492" s="16" t="str">
        <f>IFERROR(__xludf.DUMMYFUNCTION("""COMPUTED_VALUE"""),"Envia")</f>
        <v>Envia</v>
      </c>
      <c r="C5492" s="15" t="str">
        <f>IFERROR(__xludf.DUMMYFUNCTION("""COMPUTED_VALUE"""),"MEDELLÍN")</f>
        <v>MEDELLÍN</v>
      </c>
      <c r="D5492" s="15" t="str">
        <f>IFERROR(__xludf.DUMMYFUNCTION("""COMPUTED_VALUE"""),"BOGOTÁ")</f>
        <v>BOGOTÁ</v>
      </c>
      <c r="E5492" s="15" t="str">
        <f>IFERROR(__xludf.DUMMYFUNCTION("""COMPUTED_VALUE"""),"Ventura Productos Arg")</f>
        <v>Ventura Productos Arg</v>
      </c>
      <c r="F5492" s="17" t="str">
        <f>IFERROR(__xludf.DUMMYFUNCTION("""COMPUTED_VALUE"""),"Cll 53 #45-52 / Apto 1304, Edificio Bari")</f>
        <v>Cll 53 #45-52 / Apto 1304, Edificio Bari</v>
      </c>
      <c r="G5492" s="15" t="str">
        <f>IFERROR(__xludf.DUMMYFUNCTION("""COMPUTED_VALUE"""),"Carlos Alberto Mejia")</f>
        <v>Carlos Alberto Mejia</v>
      </c>
      <c r="H5492" s="16">
        <f>IFERROR(__xludf.DUMMYFUNCTION("""COMPUTED_VALUE"""),14183.0)</f>
        <v>14183</v>
      </c>
      <c r="I5492" s="18">
        <f>IFERROR(__xludf.DUMMYFUNCTION("""COMPUTED_VALUE"""),22.0)</f>
        <v>22</v>
      </c>
      <c r="J5492" s="18">
        <f>IFERROR(__xludf.DUMMYFUNCTION("""COMPUTED_VALUE"""),17.0)</f>
        <v>17</v>
      </c>
      <c r="K5492" s="18">
        <f>IFERROR(__xludf.DUMMYFUNCTION("""COMPUTED_VALUE"""),8.0)</f>
        <v>8</v>
      </c>
      <c r="L5492" s="17">
        <f>IFERROR(__xludf.DUMMYFUNCTION("""COMPUTED_VALUE"""),3.5036434E9)</f>
        <v>3503643400</v>
      </c>
      <c r="M5492" s="17" t="str">
        <f>IFERROR(__xludf.DUMMYFUNCTION("""COMPUTED_VALUE"""),"#REF!")</f>
        <v>#REF!</v>
      </c>
      <c r="N5492" s="17"/>
      <c r="O5492" s="17"/>
      <c r="P5492" s="17" t="b">
        <f>IFERROR(__xludf.DUMMYFUNCTION("""COMPUTED_VALUE"""),FALSE)</f>
        <v>0</v>
      </c>
      <c r="Q5492" s="20" t="str">
        <f>IFERROR(__xludf.DUMMYFUNCTION("""COMPUTED_VALUE"""),"")</f>
        <v/>
      </c>
      <c r="R5492" s="22" t="str">
        <f>IFERROR(__xludf.DUMMYFUNCTION("""COMPUTED_VALUE"""),"")</f>
        <v/>
      </c>
    </row>
    <row r="5493">
      <c r="A5493" s="15">
        <f>IFERROR(__xludf.DUMMYFUNCTION("""COMPUTED_VALUE"""),45161.0)</f>
        <v>45161</v>
      </c>
      <c r="B5493" s="16" t="str">
        <f>IFERROR(__xludf.DUMMYFUNCTION("""COMPUTED_VALUE"""),"Envia")</f>
        <v>Envia</v>
      </c>
      <c r="C5493" s="15" t="str">
        <f>IFERROR(__xludf.DUMMYFUNCTION("""COMPUTED_VALUE"""),"PEREIRA")</f>
        <v>PEREIRA</v>
      </c>
      <c r="D5493" s="15" t="str">
        <f>IFERROR(__xludf.DUMMYFUNCTION("""COMPUTED_VALUE"""),"MEDELLÍN")</f>
        <v>MEDELLÍN</v>
      </c>
      <c r="E5493" s="15" t="str">
        <f>IFERROR(__xludf.DUMMYFUNCTION("""COMPUTED_VALUE"""),"TOLEDALES S.A.S")</f>
        <v>TOLEDALES S.A.S</v>
      </c>
      <c r="F5493" s="17" t="str">
        <f>IFERROR(__xludf.DUMMYFUNCTION("""COMPUTED_VALUE"""),"Manzana 42 casa 13 piso 2 Samaria 1")</f>
        <v>Manzana 42 casa 13 piso 2 Samaria 1</v>
      </c>
      <c r="G5493" s="15" t="str">
        <f>IFERROR(__xludf.DUMMYFUNCTION("""COMPUTED_VALUE"""),"luz omaida jimenez")</f>
        <v>luz omaida jimenez</v>
      </c>
      <c r="H5493" s="16">
        <f>IFERROR(__xludf.DUMMYFUNCTION("""COMPUTED_VALUE"""),14189.0)</f>
        <v>14189</v>
      </c>
      <c r="I5493" s="18">
        <f>IFERROR(__xludf.DUMMYFUNCTION("""COMPUTED_VALUE"""),30.0)</f>
        <v>30</v>
      </c>
      <c r="J5493" s="18">
        <f>IFERROR(__xludf.DUMMYFUNCTION("""COMPUTED_VALUE"""),38.0)</f>
        <v>38</v>
      </c>
      <c r="K5493" s="18">
        <f>IFERROR(__xludf.DUMMYFUNCTION("""COMPUTED_VALUE"""),38.0)</f>
        <v>38</v>
      </c>
      <c r="L5493" s="17">
        <f>IFERROR(__xludf.DUMMYFUNCTION("""COMPUTED_VALUE"""),3.14562573E9)</f>
        <v>3145625730</v>
      </c>
      <c r="M5493" s="17" t="str">
        <f>IFERROR(__xludf.DUMMYFUNCTION("""COMPUTED_VALUE"""),"#REF!")</f>
        <v>#REF!</v>
      </c>
      <c r="N5493" s="17"/>
      <c r="O5493" s="17"/>
      <c r="P5493" s="17" t="b">
        <f>IFERROR(__xludf.DUMMYFUNCTION("""COMPUTED_VALUE"""),FALSE)</f>
        <v>0</v>
      </c>
      <c r="Q5493" s="20" t="str">
        <f>IFERROR(__xludf.DUMMYFUNCTION("""COMPUTED_VALUE"""),"")</f>
        <v/>
      </c>
      <c r="R5493" s="22" t="str">
        <f>IFERROR(__xludf.DUMMYFUNCTION("""COMPUTED_VALUE"""),"")</f>
        <v/>
      </c>
    </row>
    <row r="5494">
      <c r="A5494" s="15">
        <f>IFERROR(__xludf.DUMMYFUNCTION("""COMPUTED_VALUE"""),45161.0)</f>
        <v>45161</v>
      </c>
      <c r="B5494" s="16" t="str">
        <f>IFERROR(__xludf.DUMMYFUNCTION("""COMPUTED_VALUE"""),"Envia")</f>
        <v>Envia</v>
      </c>
      <c r="C5494" s="15" t="str">
        <f>IFERROR(__xludf.DUMMYFUNCTION("""COMPUTED_VALUE"""),"TUNJA")</f>
        <v>TUNJA</v>
      </c>
      <c r="D5494" s="15" t="str">
        <f>IFERROR(__xludf.DUMMYFUNCTION("""COMPUTED_VALUE"""),"BOGOTÁ")</f>
        <v>BOGOTÁ</v>
      </c>
      <c r="E5494" s="15" t="str">
        <f>IFERROR(__xludf.DUMMYFUNCTION("""COMPUTED_VALUE"""),"Evamazzita")</f>
        <v>Evamazzita</v>
      </c>
      <c r="F5494" s="17" t="str">
        <f>IFERROR(__xludf.DUMMYFUNCTION("""COMPUTED_VALUE"""),"Carrera 14A#12-49 / N/A / Barrio Urazandi")</f>
        <v>Carrera 14A#12-49 / N/A / Barrio Urazandi</v>
      </c>
      <c r="G5494" s="15" t="str">
        <f>IFERROR(__xludf.DUMMYFUNCTION("""COMPUTED_VALUE"""),"ANYI KATHERINE VILLAMIL ESPITIA")</f>
        <v>ANYI KATHERINE VILLAMIL ESPITIA</v>
      </c>
      <c r="H5494" s="16">
        <f>IFERROR(__xludf.DUMMYFUNCTION("""COMPUTED_VALUE"""),14212.0)</f>
        <v>14212</v>
      </c>
      <c r="I5494" s="18">
        <f>IFERROR(__xludf.DUMMYFUNCTION("""COMPUTED_VALUE"""),1.0)</f>
        <v>1</v>
      </c>
      <c r="J5494" s="18">
        <f>IFERROR(__xludf.DUMMYFUNCTION("""COMPUTED_VALUE"""),1.0)</f>
        <v>1</v>
      </c>
      <c r="K5494" s="18">
        <f>IFERROR(__xludf.DUMMYFUNCTION("""COMPUTED_VALUE"""),1.0)</f>
        <v>1</v>
      </c>
      <c r="L5494" s="17">
        <f>IFERROR(__xludf.DUMMYFUNCTION("""COMPUTED_VALUE"""),3.208544784E9)</f>
        <v>3208544784</v>
      </c>
      <c r="M5494" s="17" t="str">
        <f>IFERROR(__xludf.DUMMYFUNCTION("""COMPUTED_VALUE"""),"#REF!")</f>
        <v>#REF!</v>
      </c>
      <c r="N5494" s="17"/>
      <c r="O5494" s="17"/>
      <c r="P5494" s="17" t="b">
        <f>IFERROR(__xludf.DUMMYFUNCTION("""COMPUTED_VALUE"""),FALSE)</f>
        <v>0</v>
      </c>
      <c r="Q5494" s="20" t="str">
        <f>IFERROR(__xludf.DUMMYFUNCTION("""COMPUTED_VALUE"""),"")</f>
        <v/>
      </c>
      <c r="R5494" s="22" t="str">
        <f>IFERROR(__xludf.DUMMYFUNCTION("""COMPUTED_VALUE"""),"")</f>
        <v/>
      </c>
    </row>
    <row r="5495">
      <c r="A5495" s="15">
        <f>IFERROR(__xludf.DUMMYFUNCTION("""COMPUTED_VALUE"""),45161.0)</f>
        <v>45161</v>
      </c>
      <c r="B5495" s="16" t="str">
        <f>IFERROR(__xludf.DUMMYFUNCTION("""COMPUTED_VALUE"""),"Envia")</f>
        <v>Envia</v>
      </c>
      <c r="C5495" s="15" t="str">
        <f>IFERROR(__xludf.DUMMYFUNCTION("""COMPUTED_VALUE"""),"TUNJA")</f>
        <v>TUNJA</v>
      </c>
      <c r="D5495" s="15" t="str">
        <f>IFERROR(__xludf.DUMMYFUNCTION("""COMPUTED_VALUE"""),"BOGOTÁ")</f>
        <v>BOGOTÁ</v>
      </c>
      <c r="E5495" s="15" t="str">
        <f>IFERROR(__xludf.DUMMYFUNCTION("""COMPUTED_VALUE"""),"Evamazzita")</f>
        <v>Evamazzita</v>
      </c>
      <c r="F5495" s="17" t="str">
        <f>IFERROR(__xludf.DUMMYFUNCTION("""COMPUTED_VALUE"""),"Carrera 7 #15-63 / Hotel el consuelo / Barrio Consuelo")</f>
        <v>Carrera 7 #15-63 / Hotel el consuelo / Barrio Consuelo</v>
      </c>
      <c r="G5495" s="15" t="str">
        <f>IFERROR(__xludf.DUMMYFUNCTION("""COMPUTED_VALUE"""),"LILIANA PALACIOS")</f>
        <v>LILIANA PALACIOS</v>
      </c>
      <c r="H5495" s="16">
        <f>IFERROR(__xludf.DUMMYFUNCTION("""COMPUTED_VALUE"""),14213.0)</f>
        <v>14213</v>
      </c>
      <c r="I5495" s="18">
        <f>IFERROR(__xludf.DUMMYFUNCTION("""COMPUTED_VALUE"""),1.0)</f>
        <v>1</v>
      </c>
      <c r="J5495" s="18">
        <f>IFERROR(__xludf.DUMMYFUNCTION("""COMPUTED_VALUE"""),1.0)</f>
        <v>1</v>
      </c>
      <c r="K5495" s="18">
        <f>IFERROR(__xludf.DUMMYFUNCTION("""COMPUTED_VALUE"""),1.0)</f>
        <v>1</v>
      </c>
      <c r="L5495" s="17">
        <f>IFERROR(__xludf.DUMMYFUNCTION("""COMPUTED_VALUE"""),3.102487016E9)</f>
        <v>3102487016</v>
      </c>
      <c r="M5495" s="17" t="str">
        <f>IFERROR(__xludf.DUMMYFUNCTION("""COMPUTED_VALUE"""),"#REF!")</f>
        <v>#REF!</v>
      </c>
      <c r="N5495" s="17"/>
      <c r="O5495" s="17"/>
      <c r="P5495" s="17" t="b">
        <f>IFERROR(__xludf.DUMMYFUNCTION("""COMPUTED_VALUE"""),FALSE)</f>
        <v>0</v>
      </c>
      <c r="Q5495" s="20" t="str">
        <f>IFERROR(__xludf.DUMMYFUNCTION("""COMPUTED_VALUE"""),"")</f>
        <v/>
      </c>
      <c r="R5495" s="22" t="str">
        <f>IFERROR(__xludf.DUMMYFUNCTION("""COMPUTED_VALUE"""),"")</f>
        <v/>
      </c>
    </row>
    <row r="5496">
      <c r="A5496" s="17" t="str">
        <f>IFERROR(__xludf.DUMMYFUNCTION("""COMPUTED_VALUE"""),"")</f>
        <v/>
      </c>
      <c r="B5496" s="17" t="str">
        <f>IFERROR(__xludf.DUMMYFUNCTION("""COMPUTED_VALUE"""),"")</f>
        <v/>
      </c>
      <c r="C5496" s="17" t="str">
        <f>IFERROR(__xludf.DUMMYFUNCTION("""COMPUTED_VALUE"""),"")</f>
        <v/>
      </c>
      <c r="D5496" s="17" t="str">
        <f>IFERROR(__xludf.DUMMYFUNCTION("""COMPUTED_VALUE"""),"")</f>
        <v/>
      </c>
      <c r="E5496" s="17" t="str">
        <f>IFERROR(__xludf.DUMMYFUNCTION("""COMPUTED_VALUE"""),"")</f>
        <v/>
      </c>
      <c r="F5496" s="17" t="str">
        <f>IFERROR(__xludf.DUMMYFUNCTION("""COMPUTED_VALUE"""),"")</f>
        <v/>
      </c>
      <c r="G5496" s="17" t="str">
        <f>IFERROR(__xludf.DUMMYFUNCTION("""COMPUTED_VALUE"""),"")</f>
        <v/>
      </c>
      <c r="H5496" s="17" t="str">
        <f>IFERROR(__xludf.DUMMYFUNCTION("""COMPUTED_VALUE"""),"")</f>
        <v/>
      </c>
      <c r="I5496" s="17" t="str">
        <f>IFERROR(__xludf.DUMMYFUNCTION("""COMPUTED_VALUE"""),"")</f>
        <v/>
      </c>
      <c r="J5496" s="17" t="str">
        <f>IFERROR(__xludf.DUMMYFUNCTION("""COMPUTED_VALUE"""),"")</f>
        <v/>
      </c>
      <c r="K5496" s="17" t="str">
        <f>IFERROR(__xludf.DUMMYFUNCTION("""COMPUTED_VALUE"""),"")</f>
        <v/>
      </c>
      <c r="L5496" s="17" t="str">
        <f>IFERROR(__xludf.DUMMYFUNCTION("""COMPUTED_VALUE"""),"")</f>
        <v/>
      </c>
      <c r="M5496" s="17" t="str">
        <f>IFERROR(__xludf.DUMMYFUNCTION("""COMPUTED_VALUE"""),"")</f>
        <v/>
      </c>
      <c r="N5496" s="17" t="str">
        <f>IFERROR(__xludf.DUMMYFUNCTION("""COMPUTED_VALUE"""),"")</f>
        <v/>
      </c>
      <c r="O5496" s="17" t="str">
        <f>IFERROR(__xludf.DUMMYFUNCTION("""COMPUTED_VALUE"""),"")</f>
        <v/>
      </c>
      <c r="P5496" s="17" t="str">
        <f>IFERROR(__xludf.DUMMYFUNCTION("""COMPUTED_VALUE"""),"")</f>
        <v/>
      </c>
      <c r="Q5496" s="17" t="str">
        <f>IFERROR(__xludf.DUMMYFUNCTION("""COMPUTED_VALUE"""),"")</f>
        <v/>
      </c>
      <c r="R5496" s="17" t="str">
        <f>IFERROR(__xludf.DUMMYFUNCTION("""COMPUTED_VALUE"""),"")</f>
        <v/>
      </c>
    </row>
    <row r="5497">
      <c r="A5497" s="15">
        <f>IFERROR(__xludf.DUMMYFUNCTION("""COMPUTED_VALUE"""),45161.0)</f>
        <v>45161</v>
      </c>
      <c r="B5497" s="16" t="str">
        <f>IFERROR(__xludf.DUMMYFUNCTION("""COMPUTED_VALUE"""),"Ivan David Pirela Pirela")</f>
        <v>Ivan David Pirela Pirela</v>
      </c>
      <c r="C5497" s="15" t="str">
        <f>IFERROR(__xludf.DUMMYFUNCTION("""COMPUTED_VALUE"""),"BUCARAMANGA")</f>
        <v>BUCARAMANGA</v>
      </c>
      <c r="D5497" s="15" t="str">
        <f>IFERROR(__xludf.DUMMYFUNCTION("""COMPUTED_VALUE"""),"BOGOTÁ")</f>
        <v>BOGOTÁ</v>
      </c>
      <c r="E5497" s="15" t="str">
        <f>IFERROR(__xludf.DUMMYFUNCTION("""COMPUTED_VALUE"""),"Pan de Waffle")</f>
        <v>Pan de Waffle</v>
      </c>
      <c r="F5497" s="17" t="str">
        <f>IFERROR(__xludf.DUMMYFUNCTION("""COMPUTED_VALUE"""),"Carrera 31 # 32 - 41    / Carrera 31 # 32 - 41    / Carrera 31 # 32 - 41")</f>
        <v>Carrera 31 # 32 - 41    / Carrera 31 # 32 - 41    / Carrera 31 # 32 - 41</v>
      </c>
      <c r="G5497" s="15" t="str">
        <f>IFERROR(__xludf.DUMMYFUNCTION("""COMPUTED_VALUE"""),"RAPPI TURBO")</f>
        <v>RAPPI TURBO</v>
      </c>
      <c r="H5497" s="16">
        <f>IFERROR(__xludf.DUMMYFUNCTION("""COMPUTED_VALUE"""),14240.0)</f>
        <v>14240</v>
      </c>
      <c r="I5497" s="18">
        <f>IFERROR(__xludf.DUMMYFUNCTION("""COMPUTED_VALUE"""),40.0)</f>
        <v>40</v>
      </c>
      <c r="J5497" s="18">
        <f>IFERROR(__xludf.DUMMYFUNCTION("""COMPUTED_VALUE"""),40.0)</f>
        <v>40</v>
      </c>
      <c r="K5497" s="18">
        <f>IFERROR(__xludf.DUMMYFUNCTION("""COMPUTED_VALUE"""),30.0)</f>
        <v>30</v>
      </c>
      <c r="L5497" s="17">
        <f>IFERROR(__xludf.DUMMYFUNCTION("""COMPUTED_VALUE"""),3.138602774E9)</f>
        <v>3138602774</v>
      </c>
      <c r="M5497" s="17" t="str">
        <f>IFERROR(__xludf.DUMMYFUNCTION("""COMPUTED_VALUE"""),"#REF!")</f>
        <v>#REF!</v>
      </c>
      <c r="N5497" s="17"/>
      <c r="O5497" s="17"/>
      <c r="P5497" s="17" t="b">
        <f>IFERROR(__xludf.DUMMYFUNCTION("""COMPUTED_VALUE"""),FALSE)</f>
        <v>0</v>
      </c>
      <c r="Q5497" s="20" t="str">
        <f>IFERROR(__xludf.DUMMYFUNCTION("""COMPUTED_VALUE"""),"")</f>
        <v/>
      </c>
      <c r="R5497" s="21" t="str">
        <f>IFERROR(__xludf.DUMMYFUNCTION("""COMPUTED_VALUE"""),"https://drive.google.com/file/d/1XJYWJHRtTH7jzNcQCNFbSmXQ_MYWmX2W/view?usp=drivesdk")</f>
        <v>https://drive.google.com/file/d/1XJYWJHRtTH7jzNcQCNFbSmXQ_MYWmX2W/view?usp=drivesdk</v>
      </c>
    </row>
    <row r="5498">
      <c r="A5498" s="15">
        <f>IFERROR(__xludf.DUMMYFUNCTION("""COMPUTED_VALUE"""),45161.0)</f>
        <v>45161</v>
      </c>
      <c r="B5498" s="16" t="str">
        <f>IFERROR(__xludf.DUMMYFUNCTION("""COMPUTED_VALUE"""),"Ivan David Pirela Pirela")</f>
        <v>Ivan David Pirela Pirela</v>
      </c>
      <c r="C5498" s="15" t="str">
        <f>IFERROR(__xludf.DUMMYFUNCTION("""COMPUTED_VALUE"""),"BUCARAMANGA")</f>
        <v>BUCARAMANGA</v>
      </c>
      <c r="D5498" s="15" t="str">
        <f>IFERROR(__xludf.DUMMYFUNCTION("""COMPUTED_VALUE"""),"BOGOTÁ")</f>
        <v>BOGOTÁ</v>
      </c>
      <c r="E5498" s="15" t="str">
        <f>IFERROR(__xludf.DUMMYFUNCTION("""COMPUTED_VALUE"""),"Pan de Yuca")</f>
        <v>Pan de Yuca</v>
      </c>
      <c r="F5498" s="17" t="str">
        <f>IFERROR(__xludf.DUMMYFUNCTION("""COMPUTED_VALUE"""),"Carrera 37 # 53 - 08 / Casa / Cabecera")</f>
        <v>Carrera 37 # 53 - 08 / Casa / Cabecera</v>
      </c>
      <c r="G5498" s="15" t="str">
        <f>IFERROR(__xludf.DUMMYFUNCTION("""COMPUTED_VALUE"""),"Daniela Ordóñez")</f>
        <v>Daniela Ordóñez</v>
      </c>
      <c r="H5498" s="16">
        <f>IFERROR(__xludf.DUMMYFUNCTION("""COMPUTED_VALUE"""),14235.0)</f>
        <v>14235</v>
      </c>
      <c r="I5498" s="18">
        <f>IFERROR(__xludf.DUMMYFUNCTION("""COMPUTED_VALUE"""),30.0)</f>
        <v>30</v>
      </c>
      <c r="J5498" s="18">
        <f>IFERROR(__xludf.DUMMYFUNCTION("""COMPUTED_VALUE"""),32.0)</f>
        <v>32</v>
      </c>
      <c r="K5498" s="18">
        <f>IFERROR(__xludf.DUMMYFUNCTION("""COMPUTED_VALUE"""),43.0)</f>
        <v>43</v>
      </c>
      <c r="L5498" s="17">
        <f>IFERROR(__xludf.DUMMYFUNCTION("""COMPUTED_VALUE"""),3.002833712E9)</f>
        <v>3002833712</v>
      </c>
      <c r="M5498" s="17" t="str">
        <f>IFERROR(__xludf.DUMMYFUNCTION("""COMPUTED_VALUE"""),"#REF!")</f>
        <v>#REF!</v>
      </c>
      <c r="N5498" s="17"/>
      <c r="O5498" s="17"/>
      <c r="P5498" s="17" t="b">
        <f>IFERROR(__xludf.DUMMYFUNCTION("""COMPUTED_VALUE"""),FALSE)</f>
        <v>0</v>
      </c>
      <c r="Q5498" s="20" t="str">
        <f>IFERROR(__xludf.DUMMYFUNCTION("""COMPUTED_VALUE"""),"")</f>
        <v/>
      </c>
      <c r="R5498" s="22" t="str">
        <f>IFERROR(__xludf.DUMMYFUNCTION("""COMPUTED_VALUE"""),"")</f>
        <v/>
      </c>
    </row>
    <row r="5499">
      <c r="A5499" s="15">
        <f>IFERROR(__xludf.DUMMYFUNCTION("""COMPUTED_VALUE"""),45161.0)</f>
        <v>45161</v>
      </c>
      <c r="B5499" s="16" t="str">
        <f>IFERROR(__xludf.DUMMYFUNCTION("""COMPUTED_VALUE"""),"Ivan David Pirela Pirela")</f>
        <v>Ivan David Pirela Pirela</v>
      </c>
      <c r="C5499" s="15" t="str">
        <f>IFERROR(__xludf.DUMMYFUNCTION("""COMPUTED_VALUE"""),"BUCARAMANGA")</f>
        <v>BUCARAMANGA</v>
      </c>
      <c r="D5499" s="15" t="str">
        <f>IFERROR(__xludf.DUMMYFUNCTION("""COMPUTED_VALUE"""),"BOGOTÁ")</f>
        <v>BOGOTÁ</v>
      </c>
      <c r="E5499" s="15" t="str">
        <f>IFERROR(__xludf.DUMMYFUNCTION("""COMPUTED_VALUE"""),"Viiva Fermentados")</f>
        <v>Viiva Fermentados</v>
      </c>
      <c r="F5499" s="17" t="str">
        <f>IFERROR(__xludf.DUMMYFUNCTION("""COMPUTED_VALUE"""),"Transversal 93 N° 34 ­ 99 El Tejar  / Centro comercial El Cacique Local 424 y 425 / El Tejar")</f>
        <v>Transversal 93 N° 34 ­ 99 El Tejar  / Centro comercial El Cacique Local 424 y 425 / El Tejar</v>
      </c>
      <c r="G5499" s="15" t="str">
        <f>IFERROR(__xludf.DUMMYFUNCTION("""COMPUTED_VALUE"""),"Senda Natural")</f>
        <v>Senda Natural</v>
      </c>
      <c r="H5499" s="16">
        <f>IFERROR(__xludf.DUMMYFUNCTION("""COMPUTED_VALUE"""),14176.0)</f>
        <v>14176</v>
      </c>
      <c r="I5499" s="18">
        <f>IFERROR(__xludf.DUMMYFUNCTION("""COMPUTED_VALUE"""),27.0)</f>
        <v>27</v>
      </c>
      <c r="J5499" s="18">
        <f>IFERROR(__xludf.DUMMYFUNCTION("""COMPUTED_VALUE"""),24.0)</f>
        <v>24</v>
      </c>
      <c r="K5499" s="18">
        <f>IFERROR(__xludf.DUMMYFUNCTION("""COMPUTED_VALUE"""),36.0)</f>
        <v>36</v>
      </c>
      <c r="L5499" s="17">
        <f>IFERROR(__xludf.DUMMYFUNCTION("""COMPUTED_VALUE"""),3.045967069E9)</f>
        <v>3045967069</v>
      </c>
      <c r="M5499" s="17" t="str">
        <f>IFERROR(__xludf.DUMMYFUNCTION("""COMPUTED_VALUE"""),"#REF!")</f>
        <v>#REF!</v>
      </c>
      <c r="N5499" s="17"/>
      <c r="O5499" s="17"/>
      <c r="P5499" s="17" t="b">
        <f>IFERROR(__xludf.DUMMYFUNCTION("""COMPUTED_VALUE"""),FALSE)</f>
        <v>0</v>
      </c>
      <c r="Q5499" s="20" t="str">
        <f>IFERROR(__xludf.DUMMYFUNCTION("""COMPUTED_VALUE"""),"")</f>
        <v/>
      </c>
      <c r="R5499" s="21" t="str">
        <f>IFERROR(__xludf.DUMMYFUNCTION("""COMPUTED_VALUE"""),"https://drive.google.com/file/d/1tp3zbLJQHJRPamdW2lH7FGBc14tDe68e/view?usp=drivesdk")</f>
        <v>https://drive.google.com/file/d/1tp3zbLJQHJRPamdW2lH7FGBc14tDe68e/view?usp=drivesdk</v>
      </c>
    </row>
    <row r="5500">
      <c r="A5500" s="15">
        <f>IFERROR(__xludf.DUMMYFUNCTION("""COMPUTED_VALUE"""),45161.0)</f>
        <v>45161</v>
      </c>
      <c r="B5500" s="16" t="str">
        <f>IFERROR(__xludf.DUMMYFUNCTION("""COMPUTED_VALUE"""),"Ivan David Pirela Pirela")</f>
        <v>Ivan David Pirela Pirela</v>
      </c>
      <c r="C5500" s="15" t="str">
        <f>IFERROR(__xludf.DUMMYFUNCTION("""COMPUTED_VALUE"""),"BUCARAMANGA")</f>
        <v>BUCARAMANGA</v>
      </c>
      <c r="D5500" s="15" t="str">
        <f>IFERROR(__xludf.DUMMYFUNCTION("""COMPUTED_VALUE"""),"MEDELLÍN")</f>
        <v>MEDELLÍN</v>
      </c>
      <c r="E5500" s="15" t="str">
        <f>IFERROR(__xludf.DUMMYFUNCTION("""COMPUTED_VALUE"""),"AREPAS LA MARY")</f>
        <v>AREPAS LA MARY</v>
      </c>
      <c r="F5500" s="17" t="str">
        <f>IFERROR(__xludf.DUMMYFUNCTION("""COMPUTED_VALUE"""),"CALLE 45 # 28-64")</f>
        <v>CALLE 45 # 28-64</v>
      </c>
      <c r="G5500" s="15" t="str">
        <f>IFERROR(__xludf.DUMMYFUNCTION("""COMPUTED_VALUE"""),"FITBUK")</f>
        <v>FITBUK</v>
      </c>
      <c r="H5500" s="16">
        <f>IFERROR(__xludf.DUMMYFUNCTION("""COMPUTED_VALUE"""),14225.0)</f>
        <v>14225</v>
      </c>
      <c r="I5500" s="18">
        <f>IFERROR(__xludf.DUMMYFUNCTION("""COMPUTED_VALUE"""),89.0)</f>
        <v>89</v>
      </c>
      <c r="J5500" s="18">
        <f>IFERROR(__xludf.DUMMYFUNCTION("""COMPUTED_VALUE"""),1.0)</f>
        <v>1</v>
      </c>
      <c r="K5500" s="18">
        <f>IFERROR(__xludf.DUMMYFUNCTION("""COMPUTED_VALUE"""),10.0)</f>
        <v>10</v>
      </c>
      <c r="L5500" s="17">
        <f>IFERROR(__xludf.DUMMYFUNCTION("""COMPUTED_VALUE"""),3.214652576E9)</f>
        <v>3214652576</v>
      </c>
      <c r="M5500" s="17" t="str">
        <f>IFERROR(__xludf.DUMMYFUNCTION("""COMPUTED_VALUE"""),"#REF!")</f>
        <v>#REF!</v>
      </c>
      <c r="N5500" s="17"/>
      <c r="O5500" s="17"/>
      <c r="P5500" s="17" t="b">
        <f>IFERROR(__xludf.DUMMYFUNCTION("""COMPUTED_VALUE"""),FALSE)</f>
        <v>0</v>
      </c>
      <c r="Q5500" s="20" t="str">
        <f>IFERROR(__xludf.DUMMYFUNCTION("""COMPUTED_VALUE"""),"")</f>
        <v/>
      </c>
      <c r="R5500" s="22" t="str">
        <f>IFERROR(__xludf.DUMMYFUNCTION("""COMPUTED_VALUE"""),"")</f>
        <v/>
      </c>
    </row>
    <row r="5501">
      <c r="A5501" s="15">
        <f>IFERROR(__xludf.DUMMYFUNCTION("""COMPUTED_VALUE"""),45161.0)</f>
        <v>45161</v>
      </c>
      <c r="B5501" s="16" t="str">
        <f>IFERROR(__xludf.DUMMYFUNCTION("""COMPUTED_VALUE"""),"Ivan David Pirela Pirela")</f>
        <v>Ivan David Pirela Pirela</v>
      </c>
      <c r="C5501" s="15" t="str">
        <f>IFERROR(__xludf.DUMMYFUNCTION("""COMPUTED_VALUE"""),"BUCARAMANGA")</f>
        <v>BUCARAMANGA</v>
      </c>
      <c r="D5501" s="15" t="str">
        <f>IFERROR(__xludf.DUMMYFUNCTION("""COMPUTED_VALUE"""),"MEDELLÍN")</f>
        <v>MEDELLÍN</v>
      </c>
      <c r="E5501" s="15" t="str">
        <f>IFERROR(__xludf.DUMMYFUNCTION("""COMPUTED_VALUE"""),"AREPAS LA MARY")</f>
        <v>AREPAS LA MARY</v>
      </c>
      <c r="F5501" s="17" t="str">
        <f>IFERROR(__xludf.DUMMYFUNCTION("""COMPUTED_VALUE"""),"calle 60 # 6 - 10 / barrio real de minas BUCARAMANGA")</f>
        <v>calle 60 # 6 - 10 / barrio real de minas BUCARAMANGA</v>
      </c>
      <c r="G5501" s="15" t="str">
        <f>IFERROR(__xludf.DUMMYFUNCTION("""COMPUTED_VALUE"""),"CLAUDIA SANGUINO")</f>
        <v>CLAUDIA SANGUINO</v>
      </c>
      <c r="H5501" s="16">
        <f>IFERROR(__xludf.DUMMYFUNCTION("""COMPUTED_VALUE"""),14227.0)</f>
        <v>14227</v>
      </c>
      <c r="I5501" s="18">
        <f>IFERROR(__xludf.DUMMYFUNCTION("""COMPUTED_VALUE"""),89.0)</f>
        <v>89</v>
      </c>
      <c r="J5501" s="18">
        <f>IFERROR(__xludf.DUMMYFUNCTION("""COMPUTED_VALUE"""),1.0)</f>
        <v>1</v>
      </c>
      <c r="K5501" s="18">
        <f>IFERROR(__xludf.DUMMYFUNCTION("""COMPUTED_VALUE"""),10.0)</f>
        <v>10</v>
      </c>
      <c r="L5501" s="17" t="str">
        <f>IFERROR(__xludf.DUMMYFUNCTION("""COMPUTED_VALUE"""),"315 2811191")</f>
        <v>315 2811191</v>
      </c>
      <c r="M5501" s="17" t="str">
        <f>IFERROR(__xludf.DUMMYFUNCTION("""COMPUTED_VALUE"""),"#REF!")</f>
        <v>#REF!</v>
      </c>
      <c r="N5501" s="17"/>
      <c r="O5501" s="17"/>
      <c r="P5501" s="17" t="b">
        <f>IFERROR(__xludf.DUMMYFUNCTION("""COMPUTED_VALUE"""),FALSE)</f>
        <v>0</v>
      </c>
      <c r="Q5501" s="20" t="str">
        <f>IFERROR(__xludf.DUMMYFUNCTION("""COMPUTED_VALUE"""),"")</f>
        <v/>
      </c>
      <c r="R5501" s="22" t="str">
        <f>IFERROR(__xludf.DUMMYFUNCTION("""COMPUTED_VALUE"""),"")</f>
        <v/>
      </c>
    </row>
    <row r="5502">
      <c r="A5502" s="15">
        <f>IFERROR(__xludf.DUMMYFUNCTION("""COMPUTED_VALUE"""),45161.0)</f>
        <v>45161</v>
      </c>
      <c r="B5502" s="16" t="str">
        <f>IFERROR(__xludf.DUMMYFUNCTION("""COMPUTED_VALUE"""),"Ivan David Pirela Pirela")</f>
        <v>Ivan David Pirela Pirela</v>
      </c>
      <c r="C5502" s="15" t="str">
        <f>IFERROR(__xludf.DUMMYFUNCTION("""COMPUTED_VALUE"""),"FLORIDABLANCA")</f>
        <v>FLORIDABLANCA</v>
      </c>
      <c r="D5502" s="15" t="str">
        <f>IFERROR(__xludf.DUMMYFUNCTION("""COMPUTED_VALUE"""),"BOGOTÁ")</f>
        <v>BOGOTÁ</v>
      </c>
      <c r="E5502" s="15" t="str">
        <f>IFERROR(__xludf.DUMMYFUNCTION("""COMPUTED_VALUE"""),"Asociacion Agropecuaria Juana Maria")</f>
        <v>Asociacion Agropecuaria Juana Maria</v>
      </c>
      <c r="F5502" s="17" t="str">
        <f>IFERROR(__xludf.DUMMYFUNCTION("""COMPUTED_VALUE"""),"Calle 19 #11-37 Guanatá FLORIDABLANCA")</f>
        <v>Calle 19 #11-37 Guanatá FLORIDABLANCA</v>
      </c>
      <c r="G5502" s="15" t="str">
        <f>IFERROR(__xludf.DUMMYFUNCTION("""COMPUTED_VALUE"""),"Claudia Gonzalez")</f>
        <v>Claudia Gonzalez</v>
      </c>
      <c r="H5502" s="16">
        <f>IFERROR(__xludf.DUMMYFUNCTION("""COMPUTED_VALUE"""),14160.0)</f>
        <v>14160</v>
      </c>
      <c r="I5502" s="18">
        <f>IFERROR(__xludf.DUMMYFUNCTION("""COMPUTED_VALUE"""),22.0)</f>
        <v>22</v>
      </c>
      <c r="J5502" s="18">
        <f>IFERROR(__xludf.DUMMYFUNCTION("""COMPUTED_VALUE"""),15.0)</f>
        <v>15</v>
      </c>
      <c r="K5502" s="18">
        <f>IFERROR(__xludf.DUMMYFUNCTION("""COMPUTED_VALUE"""),3.0)</f>
        <v>3</v>
      </c>
      <c r="L5502" s="17">
        <f>IFERROR(__xludf.DUMMYFUNCTION("""COMPUTED_VALUE"""),3.002802001E9)</f>
        <v>3002802001</v>
      </c>
      <c r="M5502" s="17" t="str">
        <f>IFERROR(__xludf.DUMMYFUNCTION("""COMPUTED_VALUE"""),"#REF!")</f>
        <v>#REF!</v>
      </c>
      <c r="N5502" s="17"/>
      <c r="O5502" s="17"/>
      <c r="P5502" s="17" t="b">
        <f>IFERROR(__xludf.DUMMYFUNCTION("""COMPUTED_VALUE"""),FALSE)</f>
        <v>0</v>
      </c>
      <c r="Q5502" s="20" t="str">
        <f>IFERROR(__xludf.DUMMYFUNCTION("""COMPUTED_VALUE"""),"")</f>
        <v/>
      </c>
      <c r="R5502" s="21" t="str">
        <f>IFERROR(__xludf.DUMMYFUNCTION("""COMPUTED_VALUE"""),"https://drive.google.com/file/d/1GJxGMM_cg7LpvKMD_7OGfg3zI-JiSsbb/view?usp=drivesdk")</f>
        <v>https://drive.google.com/file/d/1GJxGMM_cg7LpvKMD_7OGfg3zI-JiSsbb/view?usp=drivesdk</v>
      </c>
    </row>
    <row r="5503">
      <c r="A5503" s="15">
        <f>IFERROR(__xludf.DUMMYFUNCTION("""COMPUTED_VALUE"""),45161.0)</f>
        <v>45161</v>
      </c>
      <c r="B5503" s="16" t="str">
        <f>IFERROR(__xludf.DUMMYFUNCTION("""COMPUTED_VALUE"""),"Ivan David Pirela Pirela")</f>
        <v>Ivan David Pirela Pirela</v>
      </c>
      <c r="C5503" s="15" t="str">
        <f>IFERROR(__xludf.DUMMYFUNCTION("""COMPUTED_VALUE"""),"FLORIDABLANCA")</f>
        <v>FLORIDABLANCA</v>
      </c>
      <c r="D5503" s="15" t="str">
        <f>IFERROR(__xludf.DUMMYFUNCTION("""COMPUTED_VALUE"""),"BOGOTÁ")</f>
        <v>BOGOTÁ</v>
      </c>
      <c r="E5503" s="15" t="str">
        <f>IFERROR(__xludf.DUMMYFUNCTION("""COMPUTED_VALUE"""),"Asociacion Agropecuaria Juana Maria")</f>
        <v>Asociacion Agropecuaria Juana Maria</v>
      </c>
      <c r="F5503" s="17" t="str">
        <f>IFERROR(__xludf.DUMMYFUNCTION("""COMPUTED_VALUE"""),"Calle 19 #11-37 Guanatá FLORIDABLANCA")</f>
        <v>Calle 19 #11-37 Guanatá FLORIDABLANCA</v>
      </c>
      <c r="G5503" s="15" t="str">
        <f>IFERROR(__xludf.DUMMYFUNCTION("""COMPUTED_VALUE"""),"Claudia Gonzalez")</f>
        <v>Claudia Gonzalez</v>
      </c>
      <c r="H5503" s="16">
        <f>IFERROR(__xludf.DUMMYFUNCTION("""COMPUTED_VALUE"""),14161.0)</f>
        <v>14161</v>
      </c>
      <c r="I5503" s="18">
        <f>IFERROR(__xludf.DUMMYFUNCTION("""COMPUTED_VALUE"""),36.0)</f>
        <v>36</v>
      </c>
      <c r="J5503" s="18">
        <f>IFERROR(__xludf.DUMMYFUNCTION("""COMPUTED_VALUE"""),25.0)</f>
        <v>25</v>
      </c>
      <c r="K5503" s="18">
        <f>IFERROR(__xludf.DUMMYFUNCTION("""COMPUTED_VALUE"""),3.0)</f>
        <v>3</v>
      </c>
      <c r="L5503" s="17">
        <f>IFERROR(__xludf.DUMMYFUNCTION("""COMPUTED_VALUE"""),3.002802001E9)</f>
        <v>3002802001</v>
      </c>
      <c r="M5503" s="17" t="str">
        <f>IFERROR(__xludf.DUMMYFUNCTION("""COMPUTED_VALUE"""),"#REF!")</f>
        <v>#REF!</v>
      </c>
      <c r="N5503" s="17"/>
      <c r="O5503" s="17"/>
      <c r="P5503" s="17" t="b">
        <f>IFERROR(__xludf.DUMMYFUNCTION("""COMPUTED_VALUE"""),FALSE)</f>
        <v>0</v>
      </c>
      <c r="Q5503" s="20" t="str">
        <f>IFERROR(__xludf.DUMMYFUNCTION("""COMPUTED_VALUE"""),"")</f>
        <v/>
      </c>
      <c r="R5503" s="22" t="str">
        <f>IFERROR(__xludf.DUMMYFUNCTION("""COMPUTED_VALUE"""),"")</f>
        <v/>
      </c>
    </row>
    <row r="5504">
      <c r="A5504" s="15">
        <f>IFERROR(__xludf.DUMMYFUNCTION("""COMPUTED_VALUE"""),45161.0)</f>
        <v>45161</v>
      </c>
      <c r="B5504" s="16" t="str">
        <f>IFERROR(__xludf.DUMMYFUNCTION("""COMPUTED_VALUE"""),"Ivan David Pirela Pirela")</f>
        <v>Ivan David Pirela Pirela</v>
      </c>
      <c r="C5504" s="15" t="str">
        <f>IFERROR(__xludf.DUMMYFUNCTION("""COMPUTED_VALUE"""),"FLORIDABLANCA")</f>
        <v>FLORIDABLANCA</v>
      </c>
      <c r="D5504" s="15" t="str">
        <f>IFERROR(__xludf.DUMMYFUNCTION("""COMPUTED_VALUE"""),"BOGOTÁ")</f>
        <v>BOGOTÁ</v>
      </c>
      <c r="E5504" s="15" t="str">
        <f>IFERROR(__xludf.DUMMYFUNCTION("""COMPUTED_VALUE"""),"Loomifoods")</f>
        <v>Loomifoods</v>
      </c>
      <c r="F5504" s="17" t="str">
        <f>IFERROR(__xludf.DUMMYFUNCTION("""COMPUTED_VALUE"""),"ruitoque condominio,  / conjunto ruitoque gold,  / casa 10")</f>
        <v>ruitoque condominio,  / conjunto ruitoque gold,  / casa 10</v>
      </c>
      <c r="G5504" s="15" t="str">
        <f>IFERROR(__xludf.DUMMYFUNCTION("""COMPUTED_VALUE"""),"Maria Juliana Ricaurte")</f>
        <v>Maria Juliana Ricaurte</v>
      </c>
      <c r="H5504" s="16">
        <f>IFERROR(__xludf.DUMMYFUNCTION("""COMPUTED_VALUE"""),14204.0)</f>
        <v>14204</v>
      </c>
      <c r="I5504" s="18">
        <f>IFERROR(__xludf.DUMMYFUNCTION("""COMPUTED_VALUE"""),19.0)</f>
        <v>19</v>
      </c>
      <c r="J5504" s="18">
        <f>IFERROR(__xludf.DUMMYFUNCTION("""COMPUTED_VALUE"""),10.0)</f>
        <v>10</v>
      </c>
      <c r="K5504" s="18">
        <f>IFERROR(__xludf.DUMMYFUNCTION("""COMPUTED_VALUE"""),16.0)</f>
        <v>16</v>
      </c>
      <c r="L5504" s="17">
        <f>IFERROR(__xludf.DUMMYFUNCTION("""COMPUTED_VALUE"""),3.158726933E9)</f>
        <v>3158726933</v>
      </c>
      <c r="M5504" s="17" t="str">
        <f>IFERROR(__xludf.DUMMYFUNCTION("""COMPUTED_VALUE"""),"#REF!")</f>
        <v>#REF!</v>
      </c>
      <c r="N5504" s="17"/>
      <c r="O5504" s="17"/>
      <c r="P5504" s="17" t="b">
        <f>IFERROR(__xludf.DUMMYFUNCTION("""COMPUTED_VALUE"""),FALSE)</f>
        <v>0</v>
      </c>
      <c r="Q5504" s="20" t="str">
        <f>IFERROR(__xludf.DUMMYFUNCTION("""COMPUTED_VALUE"""),"")</f>
        <v/>
      </c>
      <c r="R5504" s="21" t="str">
        <f>IFERROR(__xludf.DUMMYFUNCTION("""COMPUTED_VALUE"""),"https://drive.google.com/file/d/1H-OUkNbJvHSjWJlBXy-u-b9UnsY3dTlW/view?usp=drivesdk")</f>
        <v>https://drive.google.com/file/d/1H-OUkNbJvHSjWJlBXy-u-b9UnsY3dTlW/view?usp=drivesdk</v>
      </c>
    </row>
    <row r="5505">
      <c r="A5505" s="15">
        <f>IFERROR(__xludf.DUMMYFUNCTION("""COMPUTED_VALUE"""),45161.0)</f>
        <v>45161</v>
      </c>
      <c r="B5505" s="16" t="str">
        <f>IFERROR(__xludf.DUMMYFUNCTION("""COMPUTED_VALUE"""),"Ivan David Pirela Pirela")</f>
        <v>Ivan David Pirela Pirela</v>
      </c>
      <c r="C5505" s="15" t="str">
        <f>IFERROR(__xludf.DUMMYFUNCTION("""COMPUTED_VALUE"""),"PEREIRA")</f>
        <v>PEREIRA</v>
      </c>
      <c r="D5505" s="15" t="str">
        <f>IFERROR(__xludf.DUMMYFUNCTION("""COMPUTED_VALUE"""),"MEDELLÍN")</f>
        <v>MEDELLÍN</v>
      </c>
      <c r="E5505" s="15" t="str">
        <f>IFERROR(__xludf.DUMMYFUNCTION("""COMPUTED_VALUE"""),"TOLEDALES S.A.S")</f>
        <v>TOLEDALES S.A.S</v>
      </c>
      <c r="F5505" s="17" t="str">
        <f>IFERROR(__xludf.DUMMYFUNCTION("""COMPUTED_VALUE"""),"Manzana 42")</f>
        <v>Manzana 42</v>
      </c>
      <c r="G5505" s="15" t="str">
        <f>IFERROR(__xludf.DUMMYFUNCTION("""COMPUTED_VALUE"""),"luz omaida jimenez")</f>
        <v>luz omaida jimenez</v>
      </c>
      <c r="H5505" s="16">
        <f>IFERROR(__xludf.DUMMYFUNCTION("""COMPUTED_VALUE"""),14185.0)</f>
        <v>14185</v>
      </c>
      <c r="I5505" s="18">
        <f>IFERROR(__xludf.DUMMYFUNCTION("""COMPUTED_VALUE"""),24.0)</f>
        <v>24</v>
      </c>
      <c r="J5505" s="18">
        <f>IFERROR(__xludf.DUMMYFUNCTION("""COMPUTED_VALUE"""),36.0)</f>
        <v>36</v>
      </c>
      <c r="K5505" s="18">
        <f>IFERROR(__xludf.DUMMYFUNCTION("""COMPUTED_VALUE"""),36.0)</f>
        <v>36</v>
      </c>
      <c r="L5505" s="17">
        <f>IFERROR(__xludf.DUMMYFUNCTION("""COMPUTED_VALUE"""),3.14562573E9)</f>
        <v>3145625730</v>
      </c>
      <c r="M5505" s="17" t="str">
        <f>IFERROR(__xludf.DUMMYFUNCTION("""COMPUTED_VALUE"""),"#REF!")</f>
        <v>#REF!</v>
      </c>
      <c r="N5505" s="17"/>
      <c r="O5505" s="17"/>
      <c r="P5505" s="17" t="b">
        <f>IFERROR(__xludf.DUMMYFUNCTION("""COMPUTED_VALUE"""),FALSE)</f>
        <v>0</v>
      </c>
      <c r="Q5505" s="20" t="str">
        <f>IFERROR(__xludf.DUMMYFUNCTION("""COMPUTED_VALUE"""),"")</f>
        <v/>
      </c>
      <c r="R5505" s="21" t="str">
        <f>IFERROR(__xludf.DUMMYFUNCTION("""COMPUTED_VALUE"""),"https://drive.google.com/file/d/1fijMjiUO2bLmhFN8oVQl6iLaJRyz5jtR/view?usp=drivesdk")</f>
        <v>https://drive.google.com/file/d/1fijMjiUO2bLmhFN8oVQl6iLaJRyz5jtR/view?usp=drivesdk</v>
      </c>
    </row>
    <row r="5506">
      <c r="A5506" s="17" t="str">
        <f>IFERROR(__xludf.DUMMYFUNCTION("""COMPUTED_VALUE"""),"")</f>
        <v/>
      </c>
      <c r="B5506" s="17" t="str">
        <f>IFERROR(__xludf.DUMMYFUNCTION("""COMPUTED_VALUE"""),"")</f>
        <v/>
      </c>
      <c r="C5506" s="17" t="str">
        <f>IFERROR(__xludf.DUMMYFUNCTION("""COMPUTED_VALUE"""),"")</f>
        <v/>
      </c>
      <c r="D5506" s="17" t="str">
        <f>IFERROR(__xludf.DUMMYFUNCTION("""COMPUTED_VALUE"""),"")</f>
        <v/>
      </c>
      <c r="E5506" s="17" t="str">
        <f>IFERROR(__xludf.DUMMYFUNCTION("""COMPUTED_VALUE"""),"")</f>
        <v/>
      </c>
      <c r="F5506" s="17" t="str">
        <f>IFERROR(__xludf.DUMMYFUNCTION("""COMPUTED_VALUE"""),"")</f>
        <v/>
      </c>
      <c r="G5506" s="17" t="str">
        <f>IFERROR(__xludf.DUMMYFUNCTION("""COMPUTED_VALUE"""),"")</f>
        <v/>
      </c>
      <c r="H5506" s="17" t="str">
        <f>IFERROR(__xludf.DUMMYFUNCTION("""COMPUTED_VALUE"""),"")</f>
        <v/>
      </c>
      <c r="I5506" s="17" t="str">
        <f>IFERROR(__xludf.DUMMYFUNCTION("""COMPUTED_VALUE"""),"")</f>
        <v/>
      </c>
      <c r="J5506" s="17" t="str">
        <f>IFERROR(__xludf.DUMMYFUNCTION("""COMPUTED_VALUE"""),"")</f>
        <v/>
      </c>
      <c r="K5506" s="17" t="str">
        <f>IFERROR(__xludf.DUMMYFUNCTION("""COMPUTED_VALUE"""),"")</f>
        <v/>
      </c>
      <c r="L5506" s="17" t="str">
        <f>IFERROR(__xludf.DUMMYFUNCTION("""COMPUTED_VALUE"""),"")</f>
        <v/>
      </c>
      <c r="M5506" s="17" t="str">
        <f>IFERROR(__xludf.DUMMYFUNCTION("""COMPUTED_VALUE"""),"")</f>
        <v/>
      </c>
      <c r="N5506" s="17" t="str">
        <f>IFERROR(__xludf.DUMMYFUNCTION("""COMPUTED_VALUE"""),"")</f>
        <v/>
      </c>
      <c r="O5506" s="17" t="str">
        <f>IFERROR(__xludf.DUMMYFUNCTION("""COMPUTED_VALUE"""),"")</f>
        <v/>
      </c>
      <c r="P5506" s="17" t="str">
        <f>IFERROR(__xludf.DUMMYFUNCTION("""COMPUTED_VALUE"""),"")</f>
        <v/>
      </c>
      <c r="Q5506" s="17" t="str">
        <f>IFERROR(__xludf.DUMMYFUNCTION("""COMPUTED_VALUE"""),"")</f>
        <v/>
      </c>
      <c r="R5506" s="17" t="str">
        <f>IFERROR(__xludf.DUMMYFUNCTION("""COMPUTED_VALUE"""),"")</f>
        <v/>
      </c>
    </row>
    <row r="5507">
      <c r="A5507" s="15">
        <f>IFERROR(__xludf.DUMMYFUNCTION("""COMPUTED_VALUE"""),45161.0)</f>
        <v>45161</v>
      </c>
      <c r="B5507" s="16" t="str">
        <f>IFERROR(__xludf.DUMMYFUNCTION("""COMPUTED_VALUE"""),"Jeison Rubiano")</f>
        <v>Jeison Rubiano</v>
      </c>
      <c r="C5507" s="15" t="str">
        <f>IFERROR(__xludf.DUMMYFUNCTION("""COMPUTED_VALUE"""),"BOGOTÁ")</f>
        <v>BOGOTÁ</v>
      </c>
      <c r="D5507" s="15" t="str">
        <f>IFERROR(__xludf.DUMMYFUNCTION("""COMPUTED_VALUE"""),"MEDELLÍN")</f>
        <v>MEDELLÍN</v>
      </c>
      <c r="E5507" s="15" t="str">
        <f>IFERROR(__xludf.DUMMYFUNCTION("""COMPUTED_VALUE"""),"AREPAS LA MARY")</f>
        <v>AREPAS LA MARY</v>
      </c>
      <c r="F5507" s="17" t="str">
        <f>IFERROR(__xludf.DUMMYFUNCTION("""COMPUTED_VALUE"""),"Calle 146 #6-31 manzana 3 torre 1 apto 402 / CEDRITOS BOGOTA")</f>
        <v>Calle 146 #6-31 manzana 3 torre 1 apto 402 / CEDRITOS BOGOTA</v>
      </c>
      <c r="G5507" s="15" t="str">
        <f>IFERROR(__xludf.DUMMYFUNCTION("""COMPUTED_VALUE"""),"LAURA JARAMILLO")</f>
        <v>LAURA JARAMILLO</v>
      </c>
      <c r="H5507" s="16">
        <f>IFERROR(__xludf.DUMMYFUNCTION("""COMPUTED_VALUE"""),14250.0)</f>
        <v>14250</v>
      </c>
      <c r="I5507" s="18">
        <f>IFERROR(__xludf.DUMMYFUNCTION("""COMPUTED_VALUE"""),89.0)</f>
        <v>89</v>
      </c>
      <c r="J5507" s="18">
        <f>IFERROR(__xludf.DUMMYFUNCTION("""COMPUTED_VALUE"""),1.0)</f>
        <v>1</v>
      </c>
      <c r="K5507" s="18">
        <f>IFERROR(__xludf.DUMMYFUNCTION("""COMPUTED_VALUE"""),10.0)</f>
        <v>10</v>
      </c>
      <c r="L5507" s="17">
        <f>IFERROR(__xludf.DUMMYFUNCTION("""COMPUTED_VALUE"""),3.108614288E9)</f>
        <v>3108614288</v>
      </c>
      <c r="M5507" s="17" t="str">
        <f>IFERROR(__xludf.DUMMYFUNCTION("""COMPUTED_VALUE"""),"#REF!")</f>
        <v>#REF!</v>
      </c>
      <c r="N5507" s="17"/>
      <c r="O5507" s="17"/>
      <c r="P5507" s="17" t="b">
        <f>IFERROR(__xludf.DUMMYFUNCTION("""COMPUTED_VALUE"""),FALSE)</f>
        <v>0</v>
      </c>
      <c r="Q5507" s="20" t="str">
        <f>IFERROR(__xludf.DUMMYFUNCTION("""COMPUTED_VALUE"""),"")</f>
        <v/>
      </c>
      <c r="R5507" s="21" t="str">
        <f>IFERROR(__xludf.DUMMYFUNCTION("""COMPUTED_VALUE"""),"https://drive.google.com/file/d/18fFscHkg2228BqCvlWNhvagveOEnlU2T/view?usp=drivesdk")</f>
        <v>https://drive.google.com/file/d/18fFscHkg2228BqCvlWNhvagveOEnlU2T/view?usp=drivesdk</v>
      </c>
    </row>
    <row r="5508">
      <c r="A5508" s="15">
        <f>IFERROR(__xludf.DUMMYFUNCTION("""COMPUTED_VALUE"""),45161.0)</f>
        <v>45161</v>
      </c>
      <c r="B5508" s="16" t="str">
        <f>IFERROR(__xludf.DUMMYFUNCTION("""COMPUTED_VALUE"""),"Jeison Rubiano")</f>
        <v>Jeison Rubiano</v>
      </c>
      <c r="C5508" s="15" t="str">
        <f>IFERROR(__xludf.DUMMYFUNCTION("""COMPUTED_VALUE"""),"BOGOTÁ")</f>
        <v>BOGOTÁ</v>
      </c>
      <c r="D5508" s="15" t="str">
        <f>IFERROR(__xludf.DUMMYFUNCTION("""COMPUTED_VALUE"""),"MEDELLÍN")</f>
        <v>MEDELLÍN</v>
      </c>
      <c r="E5508" s="15" t="str">
        <f>IFERROR(__xludf.DUMMYFUNCTION("""COMPUTED_VALUE"""),"AREPAS LA MARY")</f>
        <v>AREPAS LA MARY</v>
      </c>
      <c r="F5508" s="17" t="str">
        <f>IFERROR(__xludf.DUMMYFUNCTION("""COMPUTED_VALUE"""),"Calle 89 #19a-38 apto 703 / CAMINOS DE VIRREY")</f>
        <v>Calle 89 #19a-38 apto 703 / CAMINOS DE VIRREY</v>
      </c>
      <c r="G5508" s="15" t="str">
        <f>IFERROR(__xludf.DUMMYFUNCTION("""COMPUTED_VALUE"""),"MARIA JOSE VELEZ")</f>
        <v>MARIA JOSE VELEZ</v>
      </c>
      <c r="H5508" s="16">
        <f>IFERROR(__xludf.DUMMYFUNCTION("""COMPUTED_VALUE"""),14252.0)</f>
        <v>14252</v>
      </c>
      <c r="I5508" s="18">
        <f>IFERROR(__xludf.DUMMYFUNCTION("""COMPUTED_VALUE"""),89.0)</f>
        <v>89</v>
      </c>
      <c r="J5508" s="18">
        <f>IFERROR(__xludf.DUMMYFUNCTION("""COMPUTED_VALUE"""),1.0)</f>
        <v>1</v>
      </c>
      <c r="K5508" s="18">
        <f>IFERROR(__xludf.DUMMYFUNCTION("""COMPUTED_VALUE"""),10.0)</f>
        <v>10</v>
      </c>
      <c r="L5508" s="17">
        <f>IFERROR(__xludf.DUMMYFUNCTION("""COMPUTED_VALUE"""),3.208462338E9)</f>
        <v>3208462338</v>
      </c>
      <c r="M5508" s="17" t="str">
        <f>IFERROR(__xludf.DUMMYFUNCTION("""COMPUTED_VALUE"""),"#REF!")</f>
        <v>#REF!</v>
      </c>
      <c r="N5508" s="17"/>
      <c r="O5508" s="17"/>
      <c r="P5508" s="17" t="b">
        <f>IFERROR(__xludf.DUMMYFUNCTION("""COMPUTED_VALUE"""),FALSE)</f>
        <v>0</v>
      </c>
      <c r="Q5508" s="20" t="str">
        <f>IFERROR(__xludf.DUMMYFUNCTION("""COMPUTED_VALUE"""),"")</f>
        <v/>
      </c>
      <c r="R5508" s="22" t="str">
        <f>IFERROR(__xludf.DUMMYFUNCTION("""COMPUTED_VALUE"""),"")</f>
        <v/>
      </c>
    </row>
    <row r="5509">
      <c r="A5509" s="15">
        <f>IFERROR(__xludf.DUMMYFUNCTION("""COMPUTED_VALUE"""),45161.0)</f>
        <v>45161</v>
      </c>
      <c r="B5509" s="16" t="str">
        <f>IFERROR(__xludf.DUMMYFUNCTION("""COMPUTED_VALUE"""),"Jeison Rubiano")</f>
        <v>Jeison Rubiano</v>
      </c>
      <c r="C5509" s="15" t="str">
        <f>IFERROR(__xludf.DUMMYFUNCTION("""COMPUTED_VALUE"""),"BOGOTÁ")</f>
        <v>BOGOTÁ</v>
      </c>
      <c r="D5509" s="15" t="str">
        <f>IFERROR(__xludf.DUMMYFUNCTION("""COMPUTED_VALUE"""),"MEDELLÍN")</f>
        <v>MEDELLÍN</v>
      </c>
      <c r="E5509" s="15" t="str">
        <f>IFERROR(__xludf.DUMMYFUNCTION("""COMPUTED_VALUE"""),"AREPAS LA MARY")</f>
        <v>AREPAS LA MARY</v>
      </c>
      <c r="F5509" s="17" t="str">
        <f>IFERROR(__xludf.DUMMYFUNCTION("""COMPUTED_VALUE"""),"Cll 129 7d 23 Ap. 308 / USAQUEN BOGOTA")</f>
        <v>Cll 129 7d 23 Ap. 308 / USAQUEN BOGOTA</v>
      </c>
      <c r="G5509" s="15" t="str">
        <f>IFERROR(__xludf.DUMMYFUNCTION("""COMPUTED_VALUE"""),"JORGE ANDRES RODRIGUEZ")</f>
        <v>JORGE ANDRES RODRIGUEZ</v>
      </c>
      <c r="H5509" s="16">
        <f>IFERROR(__xludf.DUMMYFUNCTION("""COMPUTED_VALUE"""),14251.0)</f>
        <v>14251</v>
      </c>
      <c r="I5509" s="18">
        <f>IFERROR(__xludf.DUMMYFUNCTION("""COMPUTED_VALUE"""),89.0)</f>
        <v>89</v>
      </c>
      <c r="J5509" s="18">
        <f>IFERROR(__xludf.DUMMYFUNCTION("""COMPUTED_VALUE"""),1.0)</f>
        <v>1</v>
      </c>
      <c r="K5509" s="18">
        <f>IFERROR(__xludf.DUMMYFUNCTION("""COMPUTED_VALUE"""),10.0)</f>
        <v>10</v>
      </c>
      <c r="L5509" s="17">
        <f>IFERROR(__xludf.DUMMYFUNCTION("""COMPUTED_VALUE"""),3.107727464E9)</f>
        <v>3107727464</v>
      </c>
      <c r="M5509" s="17" t="str">
        <f>IFERROR(__xludf.DUMMYFUNCTION("""COMPUTED_VALUE"""),"#REF!")</f>
        <v>#REF!</v>
      </c>
      <c r="N5509" s="17"/>
      <c r="O5509" s="17"/>
      <c r="P5509" s="17" t="b">
        <f>IFERROR(__xludf.DUMMYFUNCTION("""COMPUTED_VALUE"""),FALSE)</f>
        <v>0</v>
      </c>
      <c r="Q5509" s="20" t="str">
        <f>IFERROR(__xludf.DUMMYFUNCTION("""COMPUTED_VALUE"""),"")</f>
        <v/>
      </c>
      <c r="R5509" s="21" t="str">
        <f>IFERROR(__xludf.DUMMYFUNCTION("""COMPUTED_VALUE"""),"https://drive.google.com/file/d/1bzqs4SwwXCsO_4LTJsQFbbKuzM151gup/view?usp=drivesdk")</f>
        <v>https://drive.google.com/file/d/1bzqs4SwwXCsO_4LTJsQFbbKuzM151gup/view?usp=drivesdk</v>
      </c>
    </row>
    <row r="5510">
      <c r="A5510" s="15">
        <f>IFERROR(__xludf.DUMMYFUNCTION("""COMPUTED_VALUE"""),45161.0)</f>
        <v>45161</v>
      </c>
      <c r="B5510" s="16" t="str">
        <f>IFERROR(__xludf.DUMMYFUNCTION("""COMPUTED_VALUE"""),"Jeison Rubiano")</f>
        <v>Jeison Rubiano</v>
      </c>
      <c r="C5510" s="15" t="str">
        <f>IFERROR(__xludf.DUMMYFUNCTION("""COMPUTED_VALUE"""),"BOGOTÁ")</f>
        <v>BOGOTÁ</v>
      </c>
      <c r="D5510" s="15" t="str">
        <f>IFERROR(__xludf.DUMMYFUNCTION("""COMPUTED_VALUE"""),"MEDELLÍN")</f>
        <v>MEDELLÍN</v>
      </c>
      <c r="E5510" s="15" t="str">
        <f>IFERROR(__xludf.DUMMYFUNCTION("""COMPUTED_VALUE"""),"AREPAS LA MARY")</f>
        <v>AREPAS LA MARY</v>
      </c>
      <c r="F5510" s="17" t="str">
        <f>IFERROR(__xludf.DUMMYFUNCTION("""COMPUTED_VALUE"""),"Cra 29 40A-53 apto.701 / barrio La Soledad BOGOTA")</f>
        <v>Cra 29 40A-53 apto.701 / barrio La Soledad BOGOTA</v>
      </c>
      <c r="G5510" s="15" t="str">
        <f>IFERROR(__xludf.DUMMYFUNCTION("""COMPUTED_VALUE"""),"BIBIANA CARVAJAL")</f>
        <v>BIBIANA CARVAJAL</v>
      </c>
      <c r="H5510" s="16">
        <f>IFERROR(__xludf.DUMMYFUNCTION("""COMPUTED_VALUE"""),14249.0)</f>
        <v>14249</v>
      </c>
      <c r="I5510" s="18">
        <f>IFERROR(__xludf.DUMMYFUNCTION("""COMPUTED_VALUE"""),89.0)</f>
        <v>89</v>
      </c>
      <c r="J5510" s="18">
        <f>IFERROR(__xludf.DUMMYFUNCTION("""COMPUTED_VALUE"""),1.0)</f>
        <v>1</v>
      </c>
      <c r="K5510" s="18">
        <f>IFERROR(__xludf.DUMMYFUNCTION("""COMPUTED_VALUE"""),10.0)</f>
        <v>10</v>
      </c>
      <c r="L5510" s="17">
        <f>IFERROR(__xludf.DUMMYFUNCTION("""COMPUTED_VALUE"""),3.167176573E9)</f>
        <v>3167176573</v>
      </c>
      <c r="M5510" s="17" t="str">
        <f>IFERROR(__xludf.DUMMYFUNCTION("""COMPUTED_VALUE"""),"#REF!")</f>
        <v>#REF!</v>
      </c>
      <c r="N5510" s="17"/>
      <c r="O5510" s="17"/>
      <c r="P5510" s="17" t="b">
        <f>IFERROR(__xludf.DUMMYFUNCTION("""COMPUTED_VALUE"""),FALSE)</f>
        <v>0</v>
      </c>
      <c r="Q5510" s="20" t="str">
        <f>IFERROR(__xludf.DUMMYFUNCTION("""COMPUTED_VALUE"""),"")</f>
        <v/>
      </c>
      <c r="R5510" s="22" t="str">
        <f>IFERROR(__xludf.DUMMYFUNCTION("""COMPUTED_VALUE"""),"")</f>
        <v/>
      </c>
    </row>
    <row r="5511">
      <c r="A5511" s="15">
        <f>IFERROR(__xludf.DUMMYFUNCTION("""COMPUTED_VALUE"""),45161.0)</f>
        <v>45161</v>
      </c>
      <c r="B5511" s="16" t="str">
        <f>IFERROR(__xludf.DUMMYFUNCTION("""COMPUTED_VALUE"""),"Jeison Rubiano")</f>
        <v>Jeison Rubiano</v>
      </c>
      <c r="C5511" s="15" t="str">
        <f>IFERROR(__xludf.DUMMYFUNCTION("""COMPUTED_VALUE"""),"BOGOTÁ")</f>
        <v>BOGOTÁ</v>
      </c>
      <c r="D5511" s="15" t="str">
        <f>IFERROR(__xludf.DUMMYFUNCTION("""COMPUTED_VALUE"""),"MEDELLÍN")</f>
        <v>MEDELLÍN</v>
      </c>
      <c r="E5511" s="15" t="str">
        <f>IFERROR(__xludf.DUMMYFUNCTION("""COMPUTED_VALUE"""),"AREPAS LA MARY")</f>
        <v>AREPAS LA MARY</v>
      </c>
      <c r="F5511" s="17" t="str">
        <f>IFERROR(__xludf.DUMMYFUNCTION("""COMPUTED_VALUE"""),"CRA 51 N.103B 60 APTO 501 / BOGOTA")</f>
        <v>CRA 51 N.103B 60 APTO 501 / BOGOTA</v>
      </c>
      <c r="G5511" s="15" t="str">
        <f>IFERROR(__xludf.DUMMYFUNCTION("""COMPUTED_VALUE"""),"DIANA GUALDRON")</f>
        <v>DIANA GUALDRON</v>
      </c>
      <c r="H5511" s="16">
        <f>IFERROR(__xludf.DUMMYFUNCTION("""COMPUTED_VALUE"""),14253.0)</f>
        <v>14253</v>
      </c>
      <c r="I5511" s="18">
        <f>IFERROR(__xludf.DUMMYFUNCTION("""COMPUTED_VALUE"""),89.0)</f>
        <v>89</v>
      </c>
      <c r="J5511" s="18">
        <f>IFERROR(__xludf.DUMMYFUNCTION("""COMPUTED_VALUE"""),1.0)</f>
        <v>1</v>
      </c>
      <c r="K5511" s="18">
        <f>IFERROR(__xludf.DUMMYFUNCTION("""COMPUTED_VALUE"""),10.0)</f>
        <v>10</v>
      </c>
      <c r="L5511" s="17">
        <f>IFERROR(__xludf.DUMMYFUNCTION("""COMPUTED_VALUE"""),3.138701806E9)</f>
        <v>3138701806</v>
      </c>
      <c r="M5511" s="17" t="str">
        <f>IFERROR(__xludf.DUMMYFUNCTION("""COMPUTED_VALUE"""),"#REF!")</f>
        <v>#REF!</v>
      </c>
      <c r="N5511" s="17"/>
      <c r="O5511" s="17"/>
      <c r="P5511" s="17" t="b">
        <f>IFERROR(__xludf.DUMMYFUNCTION("""COMPUTED_VALUE"""),FALSE)</f>
        <v>0</v>
      </c>
      <c r="Q5511" s="20" t="str">
        <f>IFERROR(__xludf.DUMMYFUNCTION("""COMPUTED_VALUE"""),"")</f>
        <v/>
      </c>
      <c r="R5511" s="21" t="str">
        <f>IFERROR(__xludf.DUMMYFUNCTION("""COMPUTED_VALUE"""),"https://drive.google.com/file/d/1cj3AJuWGsB-RZdEXrZY8hnMK5x--734F/view?usp=drivesdk")</f>
        <v>https://drive.google.com/file/d/1cj3AJuWGsB-RZdEXrZY8hnMK5x--734F/view?usp=drivesdk</v>
      </c>
    </row>
    <row r="5512">
      <c r="A5512" s="15">
        <f>IFERROR(__xludf.DUMMYFUNCTION("""COMPUTED_VALUE"""),45161.0)</f>
        <v>45161</v>
      </c>
      <c r="B5512" s="16" t="str">
        <f>IFERROR(__xludf.DUMMYFUNCTION("""COMPUTED_VALUE"""),"Jeison Rubiano")</f>
        <v>Jeison Rubiano</v>
      </c>
      <c r="C5512" s="15" t="str">
        <f>IFERROR(__xludf.DUMMYFUNCTION("""COMPUTED_VALUE"""),"BOGOTÁ")</f>
        <v>BOGOTÁ</v>
      </c>
      <c r="D5512" s="15" t="str">
        <f>IFERROR(__xludf.DUMMYFUNCTION("""COMPUTED_VALUE"""),"MEDELLÍN")</f>
        <v>MEDELLÍN</v>
      </c>
      <c r="E5512" s="15" t="str">
        <f>IFERROR(__xludf.DUMMYFUNCTION("""COMPUTED_VALUE"""),"AREPAS LA MARY")</f>
        <v>AREPAS LA MARY</v>
      </c>
      <c r="F5512" s="17" t="str">
        <f>IFERROR(__xludf.DUMMYFUNCTION("""COMPUTED_VALUE"""),"Cra 7 # 93 A 05 APTO 504 / CHICO BOGOTA")</f>
        <v>Cra 7 # 93 A 05 APTO 504 / CHICO BOGOTA</v>
      </c>
      <c r="G5512" s="15" t="str">
        <f>IFERROR(__xludf.DUMMYFUNCTION("""COMPUTED_VALUE"""),"MONICA SEINJET")</f>
        <v>MONICA SEINJET</v>
      </c>
      <c r="H5512" s="16">
        <f>IFERROR(__xludf.DUMMYFUNCTION("""COMPUTED_VALUE"""),14228.0)</f>
        <v>14228</v>
      </c>
      <c r="I5512" s="18">
        <f>IFERROR(__xludf.DUMMYFUNCTION("""COMPUTED_VALUE"""),89.0)</f>
        <v>89</v>
      </c>
      <c r="J5512" s="18">
        <f>IFERROR(__xludf.DUMMYFUNCTION("""COMPUTED_VALUE"""),1.0)</f>
        <v>1</v>
      </c>
      <c r="K5512" s="18">
        <f>IFERROR(__xludf.DUMMYFUNCTION("""COMPUTED_VALUE"""),10.0)</f>
        <v>10</v>
      </c>
      <c r="L5512" s="17">
        <f>IFERROR(__xludf.DUMMYFUNCTION("""COMPUTED_VALUE"""),3.102725733E9)</f>
        <v>3102725733</v>
      </c>
      <c r="M5512" s="17" t="str">
        <f>IFERROR(__xludf.DUMMYFUNCTION("""COMPUTED_VALUE"""),"#REF!")</f>
        <v>#REF!</v>
      </c>
      <c r="N5512" s="17"/>
      <c r="O5512" s="17"/>
      <c r="P5512" s="17" t="b">
        <f>IFERROR(__xludf.DUMMYFUNCTION("""COMPUTED_VALUE"""),FALSE)</f>
        <v>0</v>
      </c>
      <c r="Q5512" s="20" t="str">
        <f>IFERROR(__xludf.DUMMYFUNCTION("""COMPUTED_VALUE"""),"")</f>
        <v/>
      </c>
      <c r="R5512" s="22" t="str">
        <f>IFERROR(__xludf.DUMMYFUNCTION("""COMPUTED_VALUE"""),"")</f>
        <v/>
      </c>
    </row>
    <row r="5513">
      <c r="A5513" s="15">
        <f>IFERROR(__xludf.DUMMYFUNCTION("""COMPUTED_VALUE"""),45161.0)</f>
        <v>45161</v>
      </c>
      <c r="B5513" s="16" t="str">
        <f>IFERROR(__xludf.DUMMYFUNCTION("""COMPUTED_VALUE"""),"Jeison Rubiano")</f>
        <v>Jeison Rubiano</v>
      </c>
      <c r="C5513" s="15" t="str">
        <f>IFERROR(__xludf.DUMMYFUNCTION("""COMPUTED_VALUE"""),"BOGOTÁ")</f>
        <v>BOGOTÁ</v>
      </c>
      <c r="D5513" s="15" t="str">
        <f>IFERROR(__xludf.DUMMYFUNCTION("""COMPUTED_VALUE"""),"MEDELLÍN")</f>
        <v>MEDELLÍN</v>
      </c>
      <c r="E5513" s="15" t="str">
        <f>IFERROR(__xludf.DUMMYFUNCTION("""COMPUTED_VALUE"""),"AREPAS LA MARY")</f>
        <v>AREPAS LA MARY</v>
      </c>
      <c r="F5513" s="17" t="str">
        <f>IFERROR(__xludf.DUMMYFUNCTION("""COMPUTED_VALUE"""),"CRA 9 N.85 75 APTO 602 / bogota")</f>
        <v>CRA 9 N.85 75 APTO 602 / bogota</v>
      </c>
      <c r="G5513" s="15" t="str">
        <f>IFERROR(__xludf.DUMMYFUNCTION("""COMPUTED_VALUE"""),"LINA ENRIQUEZ")</f>
        <v>LINA ENRIQUEZ</v>
      </c>
      <c r="H5513" s="16">
        <f>IFERROR(__xludf.DUMMYFUNCTION("""COMPUTED_VALUE"""),14248.0)</f>
        <v>14248</v>
      </c>
      <c r="I5513" s="18">
        <f>IFERROR(__xludf.DUMMYFUNCTION("""COMPUTED_VALUE"""),89.0)</f>
        <v>89</v>
      </c>
      <c r="J5513" s="18">
        <f>IFERROR(__xludf.DUMMYFUNCTION("""COMPUTED_VALUE"""),1.0)</f>
        <v>1</v>
      </c>
      <c r="K5513" s="18">
        <f>IFERROR(__xludf.DUMMYFUNCTION("""COMPUTED_VALUE"""),10.0)</f>
        <v>10</v>
      </c>
      <c r="L5513" s="17">
        <f>IFERROR(__xludf.DUMMYFUNCTION("""COMPUTED_VALUE"""),3.214265812E9)</f>
        <v>3214265812</v>
      </c>
      <c r="M5513" s="17" t="str">
        <f>IFERROR(__xludf.DUMMYFUNCTION("""COMPUTED_VALUE"""),"#REF!")</f>
        <v>#REF!</v>
      </c>
      <c r="N5513" s="17"/>
      <c r="O5513" s="17"/>
      <c r="P5513" s="17" t="b">
        <f>IFERROR(__xludf.DUMMYFUNCTION("""COMPUTED_VALUE"""),TRUE)</f>
        <v>1</v>
      </c>
      <c r="Q5513" s="20">
        <f>IFERROR(__xludf.DUMMYFUNCTION("""COMPUTED_VALUE"""),45161.615160393514)</f>
        <v>45161.61516</v>
      </c>
      <c r="R5513" s="22" t="str">
        <f>IFERROR(__xludf.DUMMYFUNCTION("""COMPUTED_VALUE"""),"")</f>
        <v/>
      </c>
    </row>
    <row r="5514">
      <c r="A5514" s="15">
        <f>IFERROR(__xludf.DUMMYFUNCTION("""COMPUTED_VALUE"""),45161.0)</f>
        <v>45161</v>
      </c>
      <c r="B5514" s="16" t="str">
        <f>IFERROR(__xludf.DUMMYFUNCTION("""COMPUTED_VALUE"""),"Jeison Rubiano")</f>
        <v>Jeison Rubiano</v>
      </c>
      <c r="C5514" s="15" t="str">
        <f>IFERROR(__xludf.DUMMYFUNCTION("""COMPUTED_VALUE"""),"BOGOTÁ")</f>
        <v>BOGOTÁ</v>
      </c>
      <c r="D5514" s="15" t="str">
        <f>IFERROR(__xludf.DUMMYFUNCTION("""COMPUTED_VALUE"""),"MEDELLÍN")</f>
        <v>MEDELLÍN</v>
      </c>
      <c r="E5514" s="15" t="str">
        <f>IFERROR(__xludf.DUMMYFUNCTION("""COMPUTED_VALUE"""),"AREPAS LA MARY")</f>
        <v>AREPAS LA MARY</v>
      </c>
      <c r="F5514" s="17" t="str">
        <f>IFERROR(__xludf.DUMMYFUNCTION("""COMPUTED_VALUE"""),"KM 6 VIA SIBERIA COTA / BOGOTA")</f>
        <v>KM 6 VIA SIBERIA COTA / BOGOTA</v>
      </c>
      <c r="G5514" s="15" t="str">
        <f>IFERROR(__xludf.DUMMYFUNCTION("""COMPUTED_VALUE"""),"MARIA ALEXANDRA CAMACHO")</f>
        <v>MARIA ALEXANDRA CAMACHO</v>
      </c>
      <c r="H5514" s="16">
        <f>IFERROR(__xludf.DUMMYFUNCTION("""COMPUTED_VALUE"""),14232.0)</f>
        <v>14232</v>
      </c>
      <c r="I5514" s="18">
        <f>IFERROR(__xludf.DUMMYFUNCTION("""COMPUTED_VALUE"""),89.0)</f>
        <v>89</v>
      </c>
      <c r="J5514" s="18">
        <f>IFERROR(__xludf.DUMMYFUNCTION("""COMPUTED_VALUE"""),1.0)</f>
        <v>1</v>
      </c>
      <c r="K5514" s="18">
        <f>IFERROR(__xludf.DUMMYFUNCTION("""COMPUTED_VALUE"""),10.0)</f>
        <v>10</v>
      </c>
      <c r="L5514" s="17">
        <f>IFERROR(__xludf.DUMMYFUNCTION("""COMPUTED_VALUE"""),3.017859206E9)</f>
        <v>3017859206</v>
      </c>
      <c r="M5514" s="17" t="str">
        <f>IFERROR(__xludf.DUMMYFUNCTION("""COMPUTED_VALUE"""),"#REF!")</f>
        <v>#REF!</v>
      </c>
      <c r="N5514" s="17"/>
      <c r="O5514" s="17"/>
      <c r="P5514" s="17" t="b">
        <f>IFERROR(__xludf.DUMMYFUNCTION("""COMPUTED_VALUE"""),TRUE)</f>
        <v>1</v>
      </c>
      <c r="Q5514" s="20">
        <f>IFERROR(__xludf.DUMMYFUNCTION("""COMPUTED_VALUE"""),45161.6151604051)</f>
        <v>45161.61516</v>
      </c>
      <c r="R5514" s="22" t="str">
        <f>IFERROR(__xludf.DUMMYFUNCTION("""COMPUTED_VALUE"""),"")</f>
        <v/>
      </c>
    </row>
    <row r="5515">
      <c r="A5515" s="15">
        <f>IFERROR(__xludf.DUMMYFUNCTION("""COMPUTED_VALUE"""),45161.0)</f>
        <v>45161</v>
      </c>
      <c r="B5515" s="16" t="str">
        <f>IFERROR(__xludf.DUMMYFUNCTION("""COMPUTED_VALUE"""),"Jeison Rubiano")</f>
        <v>Jeison Rubiano</v>
      </c>
      <c r="C5515" s="15" t="str">
        <f>IFERROR(__xludf.DUMMYFUNCTION("""COMPUTED_VALUE"""),"BOGOTÁ")</f>
        <v>BOGOTÁ</v>
      </c>
      <c r="D5515" s="15" t="str">
        <f>IFERROR(__xludf.DUMMYFUNCTION("""COMPUTED_VALUE"""),"MEDELLÍN")</f>
        <v>MEDELLÍN</v>
      </c>
      <c r="E5515" s="15" t="str">
        <f>IFERROR(__xludf.DUMMYFUNCTION("""COMPUTED_VALUE"""),"Aurea Foods SAS")</f>
        <v>Aurea Foods SAS</v>
      </c>
      <c r="F5515" s="17" t="str">
        <f>IFERROR(__xludf.DUMMYFUNCTION("""COMPUTED_VALUE"""),"Carrera 49b# 102a-37  / Edf.Torre San Simón, Apto 605 / Barrio Pasadena")</f>
        <v>Carrera 49b# 102a-37  / Edf.Torre San Simón, Apto 605 / Barrio Pasadena</v>
      </c>
      <c r="G5515" s="15" t="str">
        <f>IFERROR(__xludf.DUMMYFUNCTION("""COMPUTED_VALUE"""),"Sofía Posada Escobar")</f>
        <v>Sofía Posada Escobar</v>
      </c>
      <c r="H5515" s="16">
        <f>IFERROR(__xludf.DUMMYFUNCTION("""COMPUTED_VALUE"""),14188.0)</f>
        <v>14188</v>
      </c>
      <c r="I5515" s="18">
        <f>IFERROR(__xludf.DUMMYFUNCTION("""COMPUTED_VALUE"""),45057.0)</f>
        <v>45057</v>
      </c>
      <c r="J5515" s="18">
        <f>IFERROR(__xludf.DUMMYFUNCTION("""COMPUTED_VALUE"""),23.0)</f>
        <v>23</v>
      </c>
      <c r="K5515" s="18">
        <f>IFERROR(__xludf.DUMMYFUNCTION("""COMPUTED_VALUE"""),17.0)</f>
        <v>17</v>
      </c>
      <c r="L5515" s="17">
        <f>IFERROR(__xludf.DUMMYFUNCTION("""COMPUTED_VALUE"""),3.115984359E9)</f>
        <v>3115984359</v>
      </c>
      <c r="M5515" s="17" t="str">
        <f>IFERROR(__xludf.DUMMYFUNCTION("""COMPUTED_VALUE"""),"#REF!")</f>
        <v>#REF!</v>
      </c>
      <c r="N5515" s="17"/>
      <c r="O5515" s="17"/>
      <c r="P5515" s="17" t="b">
        <f>IFERROR(__xludf.DUMMYFUNCTION("""COMPUTED_VALUE"""),TRUE)</f>
        <v>1</v>
      </c>
      <c r="Q5515" s="20">
        <f>IFERROR(__xludf.DUMMYFUNCTION("""COMPUTED_VALUE"""),45161.6151604051)</f>
        <v>45161.61516</v>
      </c>
      <c r="R5515" s="21" t="str">
        <f>IFERROR(__xludf.DUMMYFUNCTION("""COMPUTED_VALUE"""),"https://drive.google.com/file/d/1zz-zbsUkp7pLPceYFQh--JZJf50jqto8/view?usp=drivesdk")</f>
        <v>https://drive.google.com/file/d/1zz-zbsUkp7pLPceYFQh--JZJf50jqto8/view?usp=drivesdk</v>
      </c>
    </row>
    <row r="5516">
      <c r="A5516" s="15">
        <f>IFERROR(__xludf.DUMMYFUNCTION("""COMPUTED_VALUE"""),45161.0)</f>
        <v>45161</v>
      </c>
      <c r="B5516" s="16" t="str">
        <f>IFERROR(__xludf.DUMMYFUNCTION("""COMPUTED_VALUE"""),"Jeison Rubiano")</f>
        <v>Jeison Rubiano</v>
      </c>
      <c r="C5516" s="15" t="str">
        <f>IFERROR(__xludf.DUMMYFUNCTION("""COMPUTED_VALUE"""),"BOGOTÁ")</f>
        <v>BOGOTÁ</v>
      </c>
      <c r="D5516" s="15" t="str">
        <f>IFERROR(__xludf.DUMMYFUNCTION("""COMPUTED_VALUE"""),"MEDELLÍN")</f>
        <v>MEDELLÍN</v>
      </c>
      <c r="E5516" s="15" t="str">
        <f>IFERROR(__xludf.DUMMYFUNCTION("""COMPUTED_VALUE"""),"Baby Chef")</f>
        <v>Baby Chef</v>
      </c>
      <c r="F5516" s="17" t="str">
        <f>IFERROR(__xludf.DUMMYFUNCTION("""COMPUTED_VALUE"""),"Calle 77 b # 119 61 Torre 1 apartamento 901 / ""Calle 77 b # 119 61 Torre 1 apartamento 901"" / ""Calle 77 b # 119 61 Torre 1 apartamento 901""")</f>
        <v>Calle 77 b # 119 61 Torre 1 apartamento 901 / "Calle 77 b # 119 61 Torre 1 apartamento 901" / "Calle 77 b # 119 61 Torre 1 apartamento 901"</v>
      </c>
      <c r="G5516" s="15" t="str">
        <f>IFERROR(__xludf.DUMMYFUNCTION("""COMPUTED_VALUE"""),"Maricel Turriago")</f>
        <v>Maricel Turriago</v>
      </c>
      <c r="H5516" s="16">
        <f>IFERROR(__xludf.DUMMYFUNCTION("""COMPUTED_VALUE"""),14265.0)</f>
        <v>14265</v>
      </c>
      <c r="I5516" s="18">
        <f>IFERROR(__xludf.DUMMYFUNCTION("""COMPUTED_VALUE"""),6.0)</f>
        <v>6</v>
      </c>
      <c r="J5516" s="18">
        <f>IFERROR(__xludf.DUMMYFUNCTION("""COMPUTED_VALUE"""),36.0)</f>
        <v>36</v>
      </c>
      <c r="K5516" s="18">
        <f>IFERROR(__xludf.DUMMYFUNCTION("""COMPUTED_VALUE"""),24.0)</f>
        <v>24</v>
      </c>
      <c r="L5516" s="17">
        <f>IFERROR(__xludf.DUMMYFUNCTION("""COMPUTED_VALUE"""),3.143360996E9)</f>
        <v>3143360996</v>
      </c>
      <c r="M5516" s="17" t="str">
        <f>IFERROR(__xludf.DUMMYFUNCTION("""COMPUTED_VALUE"""),"#REF!")</f>
        <v>#REF!</v>
      </c>
      <c r="N5516" s="17"/>
      <c r="O5516" s="17"/>
      <c r="P5516" s="17" t="b">
        <f>IFERROR(__xludf.DUMMYFUNCTION("""COMPUTED_VALUE"""),FALSE)</f>
        <v>0</v>
      </c>
      <c r="Q5516" s="20" t="str">
        <f>IFERROR(__xludf.DUMMYFUNCTION("""COMPUTED_VALUE"""),"")</f>
        <v/>
      </c>
      <c r="R5516" s="22" t="str">
        <f>IFERROR(__xludf.DUMMYFUNCTION("""COMPUTED_VALUE"""),"")</f>
        <v/>
      </c>
    </row>
    <row r="5517">
      <c r="A5517" s="15">
        <f>IFERROR(__xludf.DUMMYFUNCTION("""COMPUTED_VALUE"""),45161.0)</f>
        <v>45161</v>
      </c>
      <c r="B5517" s="16" t="str">
        <f>IFERROR(__xludf.DUMMYFUNCTION("""COMPUTED_VALUE"""),"Jeison Rubiano")</f>
        <v>Jeison Rubiano</v>
      </c>
      <c r="C5517" s="15" t="str">
        <f>IFERROR(__xludf.DUMMYFUNCTION("""COMPUTED_VALUE"""),"BOGOTÁ")</f>
        <v>BOGOTÁ</v>
      </c>
      <c r="D5517" s="15" t="str">
        <f>IFERROR(__xludf.DUMMYFUNCTION("""COMPUTED_VALUE"""),"MEDELLÍN")</f>
        <v>MEDELLÍN</v>
      </c>
      <c r="E5517" s="15" t="str">
        <f>IFERROR(__xludf.DUMMYFUNCTION("""COMPUTED_VALUE"""),"Baby Chef")</f>
        <v>Baby Chef</v>
      </c>
      <c r="F5517" s="17" t="str">
        <f>IFERROR(__xludf.DUMMYFUNCTION("""COMPUTED_VALUE"""),"Carrera 19B # 86A 47 apt 401  Barrio Antiguo Country / Carrera 19B # 86A 47 apt 401  Barrio Antiguo Country / Carrera 19B # 86A 47 apt 401  Barrio Antiguo Country")</f>
        <v>Carrera 19B # 86A 47 apt 401  Barrio Antiguo Country / Carrera 19B # 86A 47 apt 401  Barrio Antiguo Country / Carrera 19B # 86A 47 apt 401  Barrio Antiguo Country</v>
      </c>
      <c r="G5517" s="15" t="str">
        <f>IFERROR(__xludf.DUMMYFUNCTION("""COMPUTED_VALUE"""),"Olga Lucia Mariño")</f>
        <v>Olga Lucia Mariño</v>
      </c>
      <c r="H5517" s="16">
        <f>IFERROR(__xludf.DUMMYFUNCTION("""COMPUTED_VALUE"""),14271.0)</f>
        <v>14271</v>
      </c>
      <c r="I5517" s="18">
        <f>IFERROR(__xludf.DUMMYFUNCTION("""COMPUTED_VALUE"""),5.0)</f>
        <v>5</v>
      </c>
      <c r="J5517" s="18">
        <f>IFERROR(__xludf.DUMMYFUNCTION("""COMPUTED_VALUE"""),28.0)</f>
        <v>28</v>
      </c>
      <c r="K5517" s="18">
        <f>IFERROR(__xludf.DUMMYFUNCTION("""COMPUTED_VALUE"""),19.0)</f>
        <v>19</v>
      </c>
      <c r="L5517" s="17">
        <f>IFERROR(__xludf.DUMMYFUNCTION("""COMPUTED_VALUE"""),3.005548003E9)</f>
        <v>3005548003</v>
      </c>
      <c r="M5517" s="17" t="str">
        <f>IFERROR(__xludf.DUMMYFUNCTION("""COMPUTED_VALUE"""),"#REF!")</f>
        <v>#REF!</v>
      </c>
      <c r="N5517" s="17"/>
      <c r="O5517" s="17"/>
      <c r="P5517" s="17" t="b">
        <f>IFERROR(__xludf.DUMMYFUNCTION("""COMPUTED_VALUE"""),FALSE)</f>
        <v>0</v>
      </c>
      <c r="Q5517" s="20" t="str">
        <f>IFERROR(__xludf.DUMMYFUNCTION("""COMPUTED_VALUE"""),"")</f>
        <v/>
      </c>
      <c r="R5517" s="22" t="str">
        <f>IFERROR(__xludf.DUMMYFUNCTION("""COMPUTED_VALUE"""),"")</f>
        <v/>
      </c>
    </row>
    <row r="5518">
      <c r="A5518" s="15">
        <f>IFERROR(__xludf.DUMMYFUNCTION("""COMPUTED_VALUE"""),45161.0)</f>
        <v>45161</v>
      </c>
      <c r="B5518" s="16" t="str">
        <f>IFERROR(__xludf.DUMMYFUNCTION("""COMPUTED_VALUE"""),"Jeison Rubiano")</f>
        <v>Jeison Rubiano</v>
      </c>
      <c r="C5518" s="15" t="str">
        <f>IFERROR(__xludf.DUMMYFUNCTION("""COMPUTED_VALUE"""),"BOGOTÁ")</f>
        <v>BOGOTÁ</v>
      </c>
      <c r="D5518" s="15" t="str">
        <f>IFERROR(__xludf.DUMMYFUNCTION("""COMPUTED_VALUE"""),"MEDELLÍN")</f>
        <v>MEDELLÍN</v>
      </c>
      <c r="E5518" s="15" t="str">
        <f>IFERROR(__xludf.DUMMYFUNCTION("""COMPUTED_VALUE"""),"Baby Chef")</f>
        <v>Baby Chef</v>
      </c>
      <c r="F5518" s="17" t="str">
        <f>IFERROR(__xludf.DUMMYFUNCTION("""COMPUTED_VALUE"""),"CONJUNTO RESIDENCIAL BOSQUE DE SUBA DOS P.H. CRA 95a N° 138-58 SUBA-BOGOTÁ Interior 6 apto 301 / CONJUNTO RESIDENCIAL BOSQUE DE SUBA DOS P.H. CRA 95a N° 138-58 SUBA-BOGOTÁ Interior 6 apto 301 / CONJUNTO RESIDENCIAL BOSQUE DE SUBA DOS P.H. CRA 95a N° 138-5"&amp;"8 SUBA-BOGOTÁ Interior 6 apto 301")</f>
        <v>CONJUNTO RESIDENCIAL BOSQUE DE SUBA DOS P.H. CRA 95a N° 138-58 SUBA-BOGOTÁ Interior 6 apto 301 / CONJUNTO RESIDENCIAL BOSQUE DE SUBA DOS P.H. CRA 95a N° 138-58 SUBA-BOGOTÁ Interior 6 apto 301 / CONJUNTO RESIDENCIAL BOSQUE DE SUBA DOS P.H. CRA 95a N° 138-58 SUBA-BOGOTÁ Interior 6 apto 301</v>
      </c>
      <c r="G5518" s="15" t="str">
        <f>IFERROR(__xludf.DUMMYFUNCTION("""COMPUTED_VALUE"""),"Michell Moreno Villalobos")</f>
        <v>Michell Moreno Villalobos</v>
      </c>
      <c r="H5518" s="16">
        <f>IFERROR(__xludf.DUMMYFUNCTION("""COMPUTED_VALUE"""),14268.0)</f>
        <v>14268</v>
      </c>
      <c r="I5518" s="18">
        <f>IFERROR(__xludf.DUMMYFUNCTION("""COMPUTED_VALUE"""),6.0)</f>
        <v>6</v>
      </c>
      <c r="J5518" s="18">
        <f>IFERROR(__xludf.DUMMYFUNCTION("""COMPUTED_VALUE"""),31.0)</f>
        <v>31</v>
      </c>
      <c r="K5518" s="18">
        <f>IFERROR(__xludf.DUMMYFUNCTION("""COMPUTED_VALUE"""),22.0)</f>
        <v>22</v>
      </c>
      <c r="L5518" s="17">
        <f>IFERROR(__xludf.DUMMYFUNCTION("""COMPUTED_VALUE"""),3.154944965E9)</f>
        <v>3154944965</v>
      </c>
      <c r="M5518" s="17" t="str">
        <f>IFERROR(__xludf.DUMMYFUNCTION("""COMPUTED_VALUE"""),"#REF!")</f>
        <v>#REF!</v>
      </c>
      <c r="N5518" s="17"/>
      <c r="O5518" s="17"/>
      <c r="P5518" s="17" t="b">
        <f>IFERROR(__xludf.DUMMYFUNCTION("""COMPUTED_VALUE"""),FALSE)</f>
        <v>0</v>
      </c>
      <c r="Q5518" s="20" t="str">
        <f>IFERROR(__xludf.DUMMYFUNCTION("""COMPUTED_VALUE"""),"")</f>
        <v/>
      </c>
      <c r="R5518" s="21" t="str">
        <f>IFERROR(__xludf.DUMMYFUNCTION("""COMPUTED_VALUE"""),"https://drive.google.com/file/d/1iWSCLjQIF4gGqlKRc5FmCi5f0ArvA63d/view?usp=drivesdk")</f>
        <v>https://drive.google.com/file/d/1iWSCLjQIF4gGqlKRc5FmCi5f0ArvA63d/view?usp=drivesdk</v>
      </c>
    </row>
    <row r="5519">
      <c r="A5519" s="15">
        <f>IFERROR(__xludf.DUMMYFUNCTION("""COMPUTED_VALUE"""),45161.0)</f>
        <v>45161</v>
      </c>
      <c r="B5519" s="16" t="str">
        <f>IFERROR(__xludf.DUMMYFUNCTION("""COMPUTED_VALUE"""),"Jeison Rubiano")</f>
        <v>Jeison Rubiano</v>
      </c>
      <c r="C5519" s="15" t="str">
        <f>IFERROR(__xludf.DUMMYFUNCTION("""COMPUTED_VALUE"""),"BOGOTÁ")</f>
        <v>BOGOTÁ</v>
      </c>
      <c r="D5519" s="15" t="str">
        <f>IFERROR(__xludf.DUMMYFUNCTION("""COMPUTED_VALUE"""),"MEDELLÍN")</f>
        <v>MEDELLÍN</v>
      </c>
      <c r="E5519" s="15" t="str">
        <f>IFERROR(__xludf.DUMMYFUNCTION("""COMPUTED_VALUE"""),"Baby Chef")</f>
        <v>Baby Chef</v>
      </c>
      <c r="F5519" s="17" t="str">
        <f>IFERROR(__xludf.DUMMYFUNCTION("""COMPUTED_VALUE"""),"Cra 19a # 85-32 edificio Ideo  Apto 601 Barrio antiguo country  Chapinero bogota / Cra 19a # 85-32 edificio Ideo  Apto 601 Barrio antiguo country  Chapinero bogota / Cra 19a # 85-32 edificio Ideo  Apto 601 Barrio antiguo country  Chapinero bogota")</f>
        <v>Cra 19a # 85-32 edificio Ideo  Apto 601 Barrio antiguo country  Chapinero bogota / Cra 19a # 85-32 edificio Ideo  Apto 601 Barrio antiguo country  Chapinero bogota / Cra 19a # 85-32 edificio Ideo  Apto 601 Barrio antiguo country  Chapinero bogota</v>
      </c>
      <c r="G5519" s="15" t="str">
        <f>IFERROR(__xludf.DUMMYFUNCTION("""COMPUTED_VALUE"""),"Ana Isabel Palacio")</f>
        <v>Ana Isabel Palacio</v>
      </c>
      <c r="H5519" s="16">
        <f>IFERROR(__xludf.DUMMYFUNCTION("""COMPUTED_VALUE"""),14267.0)</f>
        <v>14267</v>
      </c>
      <c r="I5519" s="18">
        <f>IFERROR(__xludf.DUMMYFUNCTION("""COMPUTED_VALUE"""),5.0)</f>
        <v>5</v>
      </c>
      <c r="J5519" s="18">
        <f>IFERROR(__xludf.DUMMYFUNCTION("""COMPUTED_VALUE"""),21.0)</f>
        <v>21</v>
      </c>
      <c r="K5519" s="18">
        <f>IFERROR(__xludf.DUMMYFUNCTION("""COMPUTED_VALUE"""),27.0)</f>
        <v>27</v>
      </c>
      <c r="L5519" s="17">
        <f>IFERROR(__xludf.DUMMYFUNCTION("""COMPUTED_VALUE"""),3.003664222E9)</f>
        <v>3003664222</v>
      </c>
      <c r="M5519" s="17" t="str">
        <f>IFERROR(__xludf.DUMMYFUNCTION("""COMPUTED_VALUE"""),"#REF!")</f>
        <v>#REF!</v>
      </c>
      <c r="N5519" s="17"/>
      <c r="O5519" s="17"/>
      <c r="P5519" s="17" t="b">
        <f>IFERROR(__xludf.DUMMYFUNCTION("""COMPUTED_VALUE"""),FALSE)</f>
        <v>0</v>
      </c>
      <c r="Q5519" s="20" t="str">
        <f>IFERROR(__xludf.DUMMYFUNCTION("""COMPUTED_VALUE"""),"")</f>
        <v/>
      </c>
      <c r="R5519" s="22" t="str">
        <f>IFERROR(__xludf.DUMMYFUNCTION("""COMPUTED_VALUE"""),"")</f>
        <v/>
      </c>
    </row>
    <row r="5520">
      <c r="A5520" s="15">
        <f>IFERROR(__xludf.DUMMYFUNCTION("""COMPUTED_VALUE"""),45161.0)</f>
        <v>45161</v>
      </c>
      <c r="B5520" s="16" t="str">
        <f>IFERROR(__xludf.DUMMYFUNCTION("""COMPUTED_VALUE"""),"Jeison Rubiano")</f>
        <v>Jeison Rubiano</v>
      </c>
      <c r="C5520" s="15" t="str">
        <f>IFERROR(__xludf.DUMMYFUNCTION("""COMPUTED_VALUE"""),"BOGOTÁ")</f>
        <v>BOGOTÁ</v>
      </c>
      <c r="D5520" s="15" t="str">
        <f>IFERROR(__xludf.DUMMYFUNCTION("""COMPUTED_VALUE"""),"MEDELLÍN")</f>
        <v>MEDELLÍN</v>
      </c>
      <c r="E5520" s="15" t="str">
        <f>IFERROR(__xludf.DUMMYFUNCTION("""COMPUTED_VALUE"""),"Baby Chef")</f>
        <v>Baby Chef</v>
      </c>
      <c r="F5520" s="17" t="str">
        <f>IFERROR(__xludf.DUMMYFUNCTION("""COMPUTED_VALUE"""),"Cra 71 b # 71 - 53 Int 19 apto 401 palo blanco / ""Cra 71 b # 71 - 53 Int 19 apto 401 palo blanco"" / ""Cra 71 b # 71 - 53 Int 19 apto 401 palo blanco""")</f>
        <v>Cra 71 b # 71 - 53 Int 19 apto 401 palo blanco / "Cra 71 b # 71 - 53 Int 19 apto 401 palo blanco" / "Cra 71 b # 71 - 53 Int 19 apto 401 palo blanco"</v>
      </c>
      <c r="G5520" s="15" t="str">
        <f>IFERROR(__xludf.DUMMYFUNCTION("""COMPUTED_VALUE"""),"Carol Borda")</f>
        <v>Carol Borda</v>
      </c>
      <c r="H5520" s="16">
        <f>IFERROR(__xludf.DUMMYFUNCTION("""COMPUTED_VALUE"""),14269.0)</f>
        <v>14269</v>
      </c>
      <c r="I5520" s="18">
        <f>IFERROR(__xludf.DUMMYFUNCTION("""COMPUTED_VALUE"""),6.0)</f>
        <v>6</v>
      </c>
      <c r="J5520" s="18">
        <f>IFERROR(__xludf.DUMMYFUNCTION("""COMPUTED_VALUE"""),32.0)</f>
        <v>32</v>
      </c>
      <c r="K5520" s="18">
        <f>IFERROR(__xludf.DUMMYFUNCTION("""COMPUTED_VALUE"""),21.0)</f>
        <v>21</v>
      </c>
      <c r="L5520" s="17">
        <f>IFERROR(__xludf.DUMMYFUNCTION("""COMPUTED_VALUE"""),3.228550961E9)</f>
        <v>3228550961</v>
      </c>
      <c r="M5520" s="17" t="str">
        <f>IFERROR(__xludf.DUMMYFUNCTION("""COMPUTED_VALUE"""),"#REF!")</f>
        <v>#REF!</v>
      </c>
      <c r="N5520" s="17"/>
      <c r="O5520" s="17"/>
      <c r="P5520" s="17" t="b">
        <f>IFERROR(__xludf.DUMMYFUNCTION("""COMPUTED_VALUE"""),FALSE)</f>
        <v>0</v>
      </c>
      <c r="Q5520" s="20" t="str">
        <f>IFERROR(__xludf.DUMMYFUNCTION("""COMPUTED_VALUE"""),"")</f>
        <v/>
      </c>
      <c r="R5520" s="22" t="str">
        <f>IFERROR(__xludf.DUMMYFUNCTION("""COMPUTED_VALUE"""),"")</f>
        <v/>
      </c>
    </row>
    <row r="5521">
      <c r="A5521" s="15">
        <f>IFERROR(__xludf.DUMMYFUNCTION("""COMPUTED_VALUE"""),45161.0)</f>
        <v>45161</v>
      </c>
      <c r="B5521" s="16" t="str">
        <f>IFERROR(__xludf.DUMMYFUNCTION("""COMPUTED_VALUE"""),"Jeison Rubiano")</f>
        <v>Jeison Rubiano</v>
      </c>
      <c r="C5521" s="15" t="str">
        <f>IFERROR(__xludf.DUMMYFUNCTION("""COMPUTED_VALUE"""),"BOGOTÁ")</f>
        <v>BOGOTÁ</v>
      </c>
      <c r="D5521" s="15" t="str">
        <f>IFERROR(__xludf.DUMMYFUNCTION("""COMPUTED_VALUE"""),"MEDELLÍN")</f>
        <v>MEDELLÍN</v>
      </c>
      <c r="E5521" s="15" t="str">
        <f>IFERROR(__xludf.DUMMYFUNCTION("""COMPUTED_VALUE"""),"Baby Chef")</f>
        <v>Baby Chef</v>
      </c>
      <c r="F5521" s="17" t="str">
        <f>IFERROR(__xludf.DUMMYFUNCTION("""COMPUTED_VALUE"""),"Diagonal 16B #104-23 int 9 apto 303 lote 2 primera etapa Centenario Fontibon / Diagonal 16B #104-23 int 9 apto 303 lote 2 primera etapa Centenario Fontibon / Diagonal 16B #104-23 int 9 apto 303 lote 2 primera etapa Centenario Fontibon")</f>
        <v>Diagonal 16B #104-23 int 9 apto 303 lote 2 primera etapa Centenario Fontibon / Diagonal 16B #104-23 int 9 apto 303 lote 2 primera etapa Centenario Fontibon / Diagonal 16B #104-23 int 9 apto 303 lote 2 primera etapa Centenario Fontibon</v>
      </c>
      <c r="G5521" s="15" t="str">
        <f>IFERROR(__xludf.DUMMYFUNCTION("""COMPUTED_VALUE"""),"Lina Jacquelyn Caicedo Velasco")</f>
        <v>Lina Jacquelyn Caicedo Velasco</v>
      </c>
      <c r="H5521" s="16">
        <f>IFERROR(__xludf.DUMMYFUNCTION("""COMPUTED_VALUE"""),14270.0)</f>
        <v>14270</v>
      </c>
      <c r="I5521" s="18">
        <f>IFERROR(__xludf.DUMMYFUNCTION("""COMPUTED_VALUE"""),7.0)</f>
        <v>7</v>
      </c>
      <c r="J5521" s="18">
        <f>IFERROR(__xludf.DUMMYFUNCTION("""COMPUTED_VALUE"""),44.0)</f>
        <v>44</v>
      </c>
      <c r="K5521" s="18">
        <f>IFERROR(__xludf.DUMMYFUNCTION("""COMPUTED_VALUE"""),24.0)</f>
        <v>24</v>
      </c>
      <c r="L5521" s="17">
        <f>IFERROR(__xludf.DUMMYFUNCTION("""COMPUTED_VALUE"""),3.108888253E9)</f>
        <v>3108888253</v>
      </c>
      <c r="M5521" s="17" t="str">
        <f>IFERROR(__xludf.DUMMYFUNCTION("""COMPUTED_VALUE"""),"#REF!")</f>
        <v>#REF!</v>
      </c>
      <c r="N5521" s="17"/>
      <c r="O5521" s="17"/>
      <c r="P5521" s="17" t="b">
        <f>IFERROR(__xludf.DUMMYFUNCTION("""COMPUTED_VALUE"""),FALSE)</f>
        <v>0</v>
      </c>
      <c r="Q5521" s="20" t="str">
        <f>IFERROR(__xludf.DUMMYFUNCTION("""COMPUTED_VALUE"""),"")</f>
        <v/>
      </c>
      <c r="R5521" s="21" t="str">
        <f>IFERROR(__xludf.DUMMYFUNCTION("""COMPUTED_VALUE"""),"https://drive.google.com/file/d/1VhjTo2cElkf_gKaSOAckYTwM1D0Jgwn_/view?usp=drivesdk")</f>
        <v>https://drive.google.com/file/d/1VhjTo2cElkf_gKaSOAckYTwM1D0Jgwn_/view?usp=drivesdk</v>
      </c>
    </row>
    <row r="5522">
      <c r="A5522" s="15">
        <f>IFERROR(__xludf.DUMMYFUNCTION("""COMPUTED_VALUE"""),45161.0)</f>
        <v>45161</v>
      </c>
      <c r="B5522" s="16" t="str">
        <f>IFERROR(__xludf.DUMMYFUNCTION("""COMPUTED_VALUE"""),"Jeison Rubiano")</f>
        <v>Jeison Rubiano</v>
      </c>
      <c r="C5522" s="15" t="str">
        <f>IFERROR(__xludf.DUMMYFUNCTION("""COMPUTED_VALUE"""),"BOGOTÁ")</f>
        <v>BOGOTÁ</v>
      </c>
      <c r="D5522" s="15" t="str">
        <f>IFERROR(__xludf.DUMMYFUNCTION("""COMPUTED_VALUE"""),"MEDELLÍN")</f>
        <v>MEDELLÍN</v>
      </c>
      <c r="E5522" s="15" t="str">
        <f>IFERROR(__xludf.DUMMYFUNCTION("""COMPUTED_VALUE"""),"Lácteos El Pino SAS")</f>
        <v>Lácteos El Pino SAS</v>
      </c>
      <c r="F5522" s="17" t="str">
        <f>IFERROR(__xludf.DUMMYFUNCTION("""COMPUTED_VALUE"""),"CARRERA 54 # 65 - 25 / ENTREGAR  ENDIRECCION")</f>
        <v>CARRERA 54 # 65 - 25 / ENTREGAR  ENDIRECCION</v>
      </c>
      <c r="G5522" s="15" t="str">
        <f>IFERROR(__xludf.DUMMYFUNCTION("""COMPUTED_VALUE"""),"FELIPE MARIO PASCUA AGUIRRE")</f>
        <v>FELIPE MARIO PASCUA AGUIRRE</v>
      </c>
      <c r="H5522" s="16">
        <f>IFERROR(__xludf.DUMMYFUNCTION("""COMPUTED_VALUE"""),14175.0)</f>
        <v>14175</v>
      </c>
      <c r="I5522" s="18">
        <f>IFERROR(__xludf.DUMMYFUNCTION("""COMPUTED_VALUE"""),33.0)</f>
        <v>33</v>
      </c>
      <c r="J5522" s="18">
        <f>IFERROR(__xludf.DUMMYFUNCTION("""COMPUTED_VALUE"""),22.0)</f>
        <v>22</v>
      </c>
      <c r="K5522" s="18">
        <f>IFERROR(__xludf.DUMMYFUNCTION("""COMPUTED_VALUE"""),36.0)</f>
        <v>36</v>
      </c>
      <c r="L5522" s="17">
        <f>IFERROR(__xludf.DUMMYFUNCTION("""COMPUTED_VALUE"""),3.208334704E9)</f>
        <v>3208334704</v>
      </c>
      <c r="M5522" s="17" t="str">
        <f>IFERROR(__xludf.DUMMYFUNCTION("""COMPUTED_VALUE"""),"#REF!")</f>
        <v>#REF!</v>
      </c>
      <c r="N5522" s="17"/>
      <c r="O5522" s="17"/>
      <c r="P5522" s="17" t="b">
        <f>IFERROR(__xludf.DUMMYFUNCTION("""COMPUTED_VALUE"""),FALSE)</f>
        <v>0</v>
      </c>
      <c r="Q5522" s="20" t="str">
        <f>IFERROR(__xludf.DUMMYFUNCTION("""COMPUTED_VALUE"""),"")</f>
        <v/>
      </c>
      <c r="R5522" s="21" t="str">
        <f>IFERROR(__xludf.DUMMYFUNCTION("""COMPUTED_VALUE"""),"https://drive.google.com/file/d/1kMwqnOtRBSXUD503Wk5S61GpxObURonD/view?usp=drivesdk")</f>
        <v>https://drive.google.com/file/d/1kMwqnOtRBSXUD503Wk5S61GpxObURonD/view?usp=drivesdk</v>
      </c>
    </row>
    <row r="5523">
      <c r="A5523" s="15">
        <f>IFERROR(__xludf.DUMMYFUNCTION("""COMPUTED_VALUE"""),45161.0)</f>
        <v>45161</v>
      </c>
      <c r="B5523" s="16" t="str">
        <f>IFERROR(__xludf.DUMMYFUNCTION("""COMPUTED_VALUE"""),"Jeison Rubiano")</f>
        <v>Jeison Rubiano</v>
      </c>
      <c r="C5523" s="15" t="str">
        <f>IFERROR(__xludf.DUMMYFUNCTION("""COMPUTED_VALUE"""),"BOGOTÁ")</f>
        <v>BOGOTÁ</v>
      </c>
      <c r="D5523" s="15" t="str">
        <f>IFERROR(__xludf.DUMMYFUNCTION("""COMPUTED_VALUE"""),"MEDELLÍN")</f>
        <v>MEDELLÍN</v>
      </c>
      <c r="E5523" s="15" t="str">
        <f>IFERROR(__xludf.DUMMYFUNCTION("""COMPUTED_VALUE"""),"Moloso S.A.S")</f>
        <v>Moloso S.A.S</v>
      </c>
      <c r="F5523" s="17" t="str">
        <f>IFERROR(__xludf.DUMMYFUNCTION("""COMPUTED_VALUE"""),"CL 10B 135A 20 / ED AGAVE  AP 301")</f>
        <v>CL 10B 135A 20 / ED AGAVE  AP 301</v>
      </c>
      <c r="G5523" s="15" t="str">
        <f>IFERROR(__xludf.DUMMYFUNCTION("""COMPUTED_VALUE"""),"ALEJANDRA MARIA QUIÑONES")</f>
        <v>ALEJANDRA MARIA QUIÑONES</v>
      </c>
      <c r="H5523" s="16">
        <f>IFERROR(__xludf.DUMMYFUNCTION("""COMPUTED_VALUE"""),14255.0)</f>
        <v>14255</v>
      </c>
      <c r="I5523" s="18">
        <f>IFERROR(__xludf.DUMMYFUNCTION("""COMPUTED_VALUE"""),17.0)</f>
        <v>17</v>
      </c>
      <c r="J5523" s="18">
        <f>IFERROR(__xludf.DUMMYFUNCTION("""COMPUTED_VALUE"""),15.0)</f>
        <v>15</v>
      </c>
      <c r="K5523" s="18">
        <f>IFERROR(__xludf.DUMMYFUNCTION("""COMPUTED_VALUE"""),28.0)</f>
        <v>28</v>
      </c>
      <c r="L5523" s="17" t="str">
        <f>IFERROR(__xludf.DUMMYFUNCTION("""COMPUTED_VALUE"""),"317 6391522")</f>
        <v>317 6391522</v>
      </c>
      <c r="M5523" s="17" t="str">
        <f>IFERROR(__xludf.DUMMYFUNCTION("""COMPUTED_VALUE"""),"#REF!")</f>
        <v>#REF!</v>
      </c>
      <c r="N5523" s="17"/>
      <c r="O5523" s="17"/>
      <c r="P5523" s="17" t="b">
        <f>IFERROR(__xludf.DUMMYFUNCTION("""COMPUTED_VALUE"""),FALSE)</f>
        <v>0</v>
      </c>
      <c r="Q5523" s="20" t="str">
        <f>IFERROR(__xludf.DUMMYFUNCTION("""COMPUTED_VALUE"""),"")</f>
        <v/>
      </c>
      <c r="R5523" s="21" t="str">
        <f>IFERROR(__xludf.DUMMYFUNCTION("""COMPUTED_VALUE"""),"https://drive.google.com/file/d/1WsQUYwzhulgQPYgDesixLhDY7spZCaat/view?usp=drivesdk")</f>
        <v>https://drive.google.com/file/d/1WsQUYwzhulgQPYgDesixLhDY7spZCaat/view?usp=drivesdk</v>
      </c>
    </row>
    <row r="5524">
      <c r="A5524" s="15">
        <f>IFERROR(__xludf.DUMMYFUNCTION("""COMPUTED_VALUE"""),45161.0)</f>
        <v>45161</v>
      </c>
      <c r="B5524" s="16" t="str">
        <f>IFERROR(__xludf.DUMMYFUNCTION("""COMPUTED_VALUE"""),"Jeison Rubiano")</f>
        <v>Jeison Rubiano</v>
      </c>
      <c r="C5524" s="15" t="str">
        <f>IFERROR(__xludf.DUMMYFUNCTION("""COMPUTED_VALUE"""),"BOGOTÁ")</f>
        <v>BOGOTÁ</v>
      </c>
      <c r="D5524" s="15" t="str">
        <f>IFERROR(__xludf.DUMMYFUNCTION("""COMPUTED_VALUE"""),"MEDELLÍN")</f>
        <v>MEDELLÍN</v>
      </c>
      <c r="E5524" s="15" t="str">
        <f>IFERROR(__xludf.DUMMYFUNCTION("""COMPUTED_VALUE"""),"Moloso S.A.S")</f>
        <v>Moloso S.A.S</v>
      </c>
      <c r="F5524" s="17" t="str">
        <f>IFERROR(__xludf.DUMMYFUNCTION("""COMPUTED_VALUE"""),"CL 90 9A 51 / ED MT3 AP 403")</f>
        <v>CL 90 9A 51 / ED MT3 AP 403</v>
      </c>
      <c r="G5524" s="15" t="str">
        <f>IFERROR(__xludf.DUMMYFUNCTION("""COMPUTED_VALUE"""),"MARIA XIMENA GUZMAN DEL CASTILLO")</f>
        <v>MARIA XIMENA GUZMAN DEL CASTILLO</v>
      </c>
      <c r="H5524" s="16">
        <f>IFERROR(__xludf.DUMMYFUNCTION("""COMPUTED_VALUE"""),14254.0)</f>
        <v>14254</v>
      </c>
      <c r="I5524" s="18">
        <f>IFERROR(__xludf.DUMMYFUNCTION("""COMPUTED_VALUE"""),17.0)</f>
        <v>17</v>
      </c>
      <c r="J5524" s="18">
        <f>IFERROR(__xludf.DUMMYFUNCTION("""COMPUTED_VALUE"""),15.0)</f>
        <v>15</v>
      </c>
      <c r="K5524" s="18">
        <f>IFERROR(__xludf.DUMMYFUNCTION("""COMPUTED_VALUE"""),28.0)</f>
        <v>28</v>
      </c>
      <c r="L5524" s="17" t="str">
        <f>IFERROR(__xludf.DUMMYFUNCTION("""COMPUTED_VALUE"""),"311 2848381")</f>
        <v>311 2848381</v>
      </c>
      <c r="M5524" s="17" t="str">
        <f>IFERROR(__xludf.DUMMYFUNCTION("""COMPUTED_VALUE"""),"#REF!")</f>
        <v>#REF!</v>
      </c>
      <c r="N5524" s="17"/>
      <c r="O5524" s="17"/>
      <c r="P5524" s="17" t="b">
        <f>IFERROR(__xludf.DUMMYFUNCTION("""COMPUTED_VALUE"""),FALSE)</f>
        <v>0</v>
      </c>
      <c r="Q5524" s="20" t="str">
        <f>IFERROR(__xludf.DUMMYFUNCTION("""COMPUTED_VALUE"""),"")</f>
        <v/>
      </c>
      <c r="R5524" s="22" t="str">
        <f>IFERROR(__xludf.DUMMYFUNCTION("""COMPUTED_VALUE"""),"")</f>
        <v/>
      </c>
    </row>
    <row r="5525">
      <c r="A5525" s="15">
        <f>IFERROR(__xludf.DUMMYFUNCTION("""COMPUTED_VALUE"""),45161.0)</f>
        <v>45161</v>
      </c>
      <c r="B5525" s="16" t="str">
        <f>IFERROR(__xludf.DUMMYFUNCTION("""COMPUTED_VALUE"""),"Jeison Rubiano")</f>
        <v>Jeison Rubiano</v>
      </c>
      <c r="C5525" s="15" t="str">
        <f>IFERROR(__xludf.DUMMYFUNCTION("""COMPUTED_VALUE"""),"BOGOTÁ")</f>
        <v>BOGOTÁ</v>
      </c>
      <c r="D5525" s="15" t="str">
        <f>IFERROR(__xludf.DUMMYFUNCTION("""COMPUTED_VALUE"""),"MEDELLÍN")</f>
        <v>MEDELLÍN</v>
      </c>
      <c r="E5525" s="15" t="str">
        <f>IFERROR(__xludf.DUMMYFUNCTION("""COMPUTED_VALUE"""),"Rambla")</f>
        <v>Rambla</v>
      </c>
      <c r="F5525" s="17" t="str">
        <f>IFERROR(__xludf.DUMMYFUNCTION("""COMPUTED_VALUE"""),"Cll 8 sur # 39 _34. Ciudad montes / - / -")</f>
        <v>Cll 8 sur # 39 _34. Ciudad montes / - / -</v>
      </c>
      <c r="G5525" s="15" t="str">
        <f>IFERROR(__xludf.DUMMYFUNCTION("""COMPUTED_VALUE"""),"Tierra fertil")</f>
        <v>Tierra fertil</v>
      </c>
      <c r="H5525" s="16">
        <f>IFERROR(__xludf.DUMMYFUNCTION("""COMPUTED_VALUE"""),14264.0)</f>
        <v>14264</v>
      </c>
      <c r="I5525" s="18">
        <f>IFERROR(__xludf.DUMMYFUNCTION("""COMPUTED_VALUE"""),30.0)</f>
        <v>30</v>
      </c>
      <c r="J5525" s="18">
        <f>IFERROR(__xludf.DUMMYFUNCTION("""COMPUTED_VALUE"""),21.0)</f>
        <v>21</v>
      </c>
      <c r="K5525" s="18">
        <f>IFERROR(__xludf.DUMMYFUNCTION("""COMPUTED_VALUE"""),14.0)</f>
        <v>14</v>
      </c>
      <c r="L5525" s="17">
        <f>IFERROR(__xludf.DUMMYFUNCTION("""COMPUTED_VALUE"""),3.112876801E9)</f>
        <v>3112876801</v>
      </c>
      <c r="M5525" s="17" t="str">
        <f>IFERROR(__xludf.DUMMYFUNCTION("""COMPUTED_VALUE"""),"#REF!")</f>
        <v>#REF!</v>
      </c>
      <c r="N5525" s="17"/>
      <c r="O5525" s="17"/>
      <c r="P5525" s="17" t="b">
        <f>IFERROR(__xludf.DUMMYFUNCTION("""COMPUTED_VALUE"""),FALSE)</f>
        <v>0</v>
      </c>
      <c r="Q5525" s="20" t="str">
        <f>IFERROR(__xludf.DUMMYFUNCTION("""COMPUTED_VALUE"""),"")</f>
        <v/>
      </c>
      <c r="R5525" s="21" t="str">
        <f>IFERROR(__xludf.DUMMYFUNCTION("""COMPUTED_VALUE"""),"https://drive.google.com/file/d/1N30Org-N1Hqh1N3w1vP6dt3vV1Tw_lcP/view?usp=drivesdk")</f>
        <v>https://drive.google.com/file/d/1N30Org-N1Hqh1N3w1vP6dt3vV1Tw_lcP/view?usp=drivesdk</v>
      </c>
    </row>
    <row r="5526">
      <c r="A5526" s="15">
        <f>IFERROR(__xludf.DUMMYFUNCTION("""COMPUTED_VALUE"""),45161.0)</f>
        <v>45161</v>
      </c>
      <c r="B5526" s="16" t="str">
        <f>IFERROR(__xludf.DUMMYFUNCTION("""COMPUTED_VALUE"""),"Jeison Rubiano")</f>
        <v>Jeison Rubiano</v>
      </c>
      <c r="C5526" s="15" t="str">
        <f>IFERROR(__xludf.DUMMYFUNCTION("""COMPUTED_VALUE"""),"MANIZALES")</f>
        <v>MANIZALES</v>
      </c>
      <c r="D5526" s="15" t="str">
        <f>IFERROR(__xludf.DUMMYFUNCTION("""COMPUTED_VALUE"""),"BOGOTÁ")</f>
        <v>BOGOTÁ</v>
      </c>
      <c r="E5526" s="15" t="str">
        <f>IFERROR(__xludf.DUMMYFUNCTION("""COMPUTED_VALUE"""),"Evamazzita")</f>
        <v>Evamazzita</v>
      </c>
      <c r="F5526" s="17" t="str">
        <f>IFERROR(__xludf.DUMMYFUNCTION("""COMPUTED_VALUE"""),"Calle 54#34-32 / Edificio Torres de barcelona/ apto 203 / torre B / Barrio Eucaliptos")</f>
        <v>Calle 54#34-32 / Edificio Torres de barcelona/ apto 203 / torre B / Barrio Eucaliptos</v>
      </c>
      <c r="G5526" s="15" t="str">
        <f>IFERROR(__xludf.DUMMYFUNCTION("""COMPUTED_VALUE"""),"ADRIANA CORREA")</f>
        <v>ADRIANA CORREA</v>
      </c>
      <c r="H5526" s="16">
        <f>IFERROR(__xludf.DUMMYFUNCTION("""COMPUTED_VALUE"""),14207.0)</f>
        <v>14207</v>
      </c>
      <c r="I5526" s="18">
        <f>IFERROR(__xludf.DUMMYFUNCTION("""COMPUTED_VALUE"""),7.0)</f>
        <v>7</v>
      </c>
      <c r="J5526" s="18">
        <f>IFERROR(__xludf.DUMMYFUNCTION("""COMPUTED_VALUE"""),23.0)</f>
        <v>23</v>
      </c>
      <c r="K5526" s="18">
        <f>IFERROR(__xludf.DUMMYFUNCTION("""COMPUTED_VALUE"""),10.0)</f>
        <v>10</v>
      </c>
      <c r="L5526" s="17">
        <f>IFERROR(__xludf.DUMMYFUNCTION("""COMPUTED_VALUE"""),3.154310387E9)</f>
        <v>3154310387</v>
      </c>
      <c r="M5526" s="17" t="str">
        <f>IFERROR(__xludf.DUMMYFUNCTION("""COMPUTED_VALUE"""),"#REF!")</f>
        <v>#REF!</v>
      </c>
      <c r="N5526" s="17"/>
      <c r="O5526" s="17"/>
      <c r="P5526" s="17" t="b">
        <f>IFERROR(__xludf.DUMMYFUNCTION("""COMPUTED_VALUE"""),FALSE)</f>
        <v>0</v>
      </c>
      <c r="Q5526" s="20" t="str">
        <f>IFERROR(__xludf.DUMMYFUNCTION("""COMPUTED_VALUE"""),"")</f>
        <v/>
      </c>
      <c r="R5526" s="22" t="str">
        <f>IFERROR(__xludf.DUMMYFUNCTION("""COMPUTED_VALUE"""),"")</f>
        <v/>
      </c>
    </row>
    <row r="5527">
      <c r="A5527" s="15">
        <f>IFERROR(__xludf.DUMMYFUNCTION("""COMPUTED_VALUE"""),45161.0)</f>
        <v>45161</v>
      </c>
      <c r="B5527" s="16" t="str">
        <f>IFERROR(__xludf.DUMMYFUNCTION("""COMPUTED_VALUE"""),"Jeison Rubiano")</f>
        <v>Jeison Rubiano</v>
      </c>
      <c r="C5527" s="15" t="str">
        <f>IFERROR(__xludf.DUMMYFUNCTION("""COMPUTED_VALUE"""),"MANIZALES")</f>
        <v>MANIZALES</v>
      </c>
      <c r="D5527" s="15" t="str">
        <f>IFERROR(__xludf.DUMMYFUNCTION("""COMPUTED_VALUE"""),"MEDELLÍN")</f>
        <v>MEDELLÍN</v>
      </c>
      <c r="E5527" s="15" t="str">
        <f>IFERROR(__xludf.DUMMYFUNCTION("""COMPUTED_VALUE"""),"Todo Bufala")</f>
        <v>Todo Bufala</v>
      </c>
      <c r="F5527" s="17" t="str">
        <f>IFERROR(__xludf.DUMMYFUNCTION("""COMPUTED_VALUE"""),"Call 66 #23B - 211 / Edifico calle larga, local 5c")</f>
        <v>Call 66 #23B - 211 / Edifico calle larga, local 5c</v>
      </c>
      <c r="G5527" s="15" t="str">
        <f>IFERROR(__xludf.DUMMYFUNCTION("""COMPUTED_VALUE"""),"Sebastian Perez Pineda")</f>
        <v>Sebastian Perez Pineda</v>
      </c>
      <c r="H5527" s="16">
        <f>IFERROR(__xludf.DUMMYFUNCTION("""COMPUTED_VALUE"""),14172.0)</f>
        <v>14172</v>
      </c>
      <c r="I5527" s="18">
        <f>IFERROR(__xludf.DUMMYFUNCTION("""COMPUTED_VALUE"""),20.0)</f>
        <v>20</v>
      </c>
      <c r="J5527" s="18">
        <f>IFERROR(__xludf.DUMMYFUNCTION("""COMPUTED_VALUE"""),30.0)</f>
        <v>30</v>
      </c>
      <c r="K5527" s="18">
        <f>IFERROR(__xludf.DUMMYFUNCTION("""COMPUTED_VALUE"""),40.0)</f>
        <v>40</v>
      </c>
      <c r="L5527" s="17">
        <f>IFERROR(__xludf.DUMMYFUNCTION("""COMPUTED_VALUE"""),3.106974621E9)</f>
        <v>3106974621</v>
      </c>
      <c r="M5527" s="17" t="str">
        <f>IFERROR(__xludf.DUMMYFUNCTION("""COMPUTED_VALUE"""),"#REF!")</f>
        <v>#REF!</v>
      </c>
      <c r="N5527" s="17"/>
      <c r="O5527" s="17"/>
      <c r="P5527" s="17" t="b">
        <f>IFERROR(__xludf.DUMMYFUNCTION("""COMPUTED_VALUE"""),FALSE)</f>
        <v>0</v>
      </c>
      <c r="Q5527" s="20" t="str">
        <f>IFERROR(__xludf.DUMMYFUNCTION("""COMPUTED_VALUE"""),"")</f>
        <v/>
      </c>
      <c r="R5527" s="22" t="str">
        <f>IFERROR(__xludf.DUMMYFUNCTION("""COMPUTED_VALUE"""),"")</f>
        <v/>
      </c>
    </row>
    <row r="5528">
      <c r="A5528" s="17" t="str">
        <f>IFERROR(__xludf.DUMMYFUNCTION("""COMPUTED_VALUE"""),"")</f>
        <v/>
      </c>
      <c r="B5528" s="17" t="str">
        <f>IFERROR(__xludf.DUMMYFUNCTION("""COMPUTED_VALUE"""),"")</f>
        <v/>
      </c>
      <c r="C5528" s="17" t="str">
        <f>IFERROR(__xludf.DUMMYFUNCTION("""COMPUTED_VALUE"""),"")</f>
        <v/>
      </c>
      <c r="D5528" s="17" t="str">
        <f>IFERROR(__xludf.DUMMYFUNCTION("""COMPUTED_VALUE"""),"")</f>
        <v/>
      </c>
      <c r="E5528" s="17" t="str">
        <f>IFERROR(__xludf.DUMMYFUNCTION("""COMPUTED_VALUE"""),"")</f>
        <v/>
      </c>
      <c r="F5528" s="17" t="str">
        <f>IFERROR(__xludf.DUMMYFUNCTION("""COMPUTED_VALUE"""),"")</f>
        <v/>
      </c>
      <c r="G5528" s="17" t="str">
        <f>IFERROR(__xludf.DUMMYFUNCTION("""COMPUTED_VALUE"""),"")</f>
        <v/>
      </c>
      <c r="H5528" s="17" t="str">
        <f>IFERROR(__xludf.DUMMYFUNCTION("""COMPUTED_VALUE"""),"")</f>
        <v/>
      </c>
      <c r="I5528" s="17" t="str">
        <f>IFERROR(__xludf.DUMMYFUNCTION("""COMPUTED_VALUE"""),"")</f>
        <v/>
      </c>
      <c r="J5528" s="17" t="str">
        <f>IFERROR(__xludf.DUMMYFUNCTION("""COMPUTED_VALUE"""),"")</f>
        <v/>
      </c>
      <c r="K5528" s="17" t="str">
        <f>IFERROR(__xludf.DUMMYFUNCTION("""COMPUTED_VALUE"""),"")</f>
        <v/>
      </c>
      <c r="L5528" s="17" t="str">
        <f>IFERROR(__xludf.DUMMYFUNCTION("""COMPUTED_VALUE"""),"")</f>
        <v/>
      </c>
      <c r="M5528" s="17" t="str">
        <f>IFERROR(__xludf.DUMMYFUNCTION("""COMPUTED_VALUE"""),"")</f>
        <v/>
      </c>
      <c r="N5528" s="17" t="str">
        <f>IFERROR(__xludf.DUMMYFUNCTION("""COMPUTED_VALUE"""),"")</f>
        <v/>
      </c>
      <c r="O5528" s="17" t="str">
        <f>IFERROR(__xludf.DUMMYFUNCTION("""COMPUTED_VALUE"""),"")</f>
        <v/>
      </c>
      <c r="P5528" s="17" t="str">
        <f>IFERROR(__xludf.DUMMYFUNCTION("""COMPUTED_VALUE"""),"")</f>
        <v/>
      </c>
      <c r="Q5528" s="17" t="str">
        <f>IFERROR(__xludf.DUMMYFUNCTION("""COMPUTED_VALUE"""),"")</f>
        <v/>
      </c>
      <c r="R5528" s="17" t="str">
        <f>IFERROR(__xludf.DUMMYFUNCTION("""COMPUTED_VALUE"""),"")</f>
        <v/>
      </c>
    </row>
    <row r="5529">
      <c r="A5529" s="15">
        <f>IFERROR(__xludf.DUMMYFUNCTION("""COMPUTED_VALUE"""),45161.0)</f>
        <v>45161</v>
      </c>
      <c r="B5529" s="16" t="str">
        <f>IFERROR(__xludf.DUMMYFUNCTION("""COMPUTED_VALUE"""),"Jhon Freddy González")</f>
        <v>Jhon Freddy González</v>
      </c>
      <c r="C5529" s="15" t="str">
        <f>IFERROR(__xludf.DUMMYFUNCTION("""COMPUTED_VALUE"""),"ARMENIA")</f>
        <v>ARMENIA</v>
      </c>
      <c r="D5529" s="15" t="str">
        <f>IFERROR(__xludf.DUMMYFUNCTION("""COMPUTED_VALUE"""),"MEDELLÍN")</f>
        <v>MEDELLÍN</v>
      </c>
      <c r="E5529" s="15" t="str">
        <f>IFERROR(__xludf.DUMMYFUNCTION("""COMPUTED_VALUE"""),"AREPAS LA MARY")</f>
        <v>AREPAS LA MARY</v>
      </c>
      <c r="F5529" s="17" t="str">
        <f>IFERROR(__xludf.DUMMYFUNCTION("""COMPUTED_VALUE"""),"CARRERA 10 NÚMERO 11N-05 APARTAMENTO 405 TORRE 1")</f>
        <v>CARRERA 10 NÚMERO 11N-05 APARTAMENTO 405 TORRE 1</v>
      </c>
      <c r="G5529" s="15" t="str">
        <f>IFERROR(__xludf.DUMMYFUNCTION("""COMPUTED_VALUE"""),"CLAUDIA FERNANDA VILLAMIZAR")</f>
        <v>CLAUDIA FERNANDA VILLAMIZAR</v>
      </c>
      <c r="H5529" s="16">
        <f>IFERROR(__xludf.DUMMYFUNCTION("""COMPUTED_VALUE"""),14222.0)</f>
        <v>14222</v>
      </c>
      <c r="I5529" s="18">
        <f>IFERROR(__xludf.DUMMYFUNCTION("""COMPUTED_VALUE"""),89.0)</f>
        <v>89</v>
      </c>
      <c r="J5529" s="18">
        <f>IFERROR(__xludf.DUMMYFUNCTION("""COMPUTED_VALUE"""),1.0)</f>
        <v>1</v>
      </c>
      <c r="K5529" s="18">
        <f>IFERROR(__xludf.DUMMYFUNCTION("""COMPUTED_VALUE"""),10.0)</f>
        <v>10</v>
      </c>
      <c r="L5529" s="17">
        <f>IFERROR(__xludf.DUMMYFUNCTION("""COMPUTED_VALUE"""),3.225175611E9)</f>
        <v>3225175611</v>
      </c>
      <c r="M5529" s="17" t="str">
        <f>IFERROR(__xludf.DUMMYFUNCTION("""COMPUTED_VALUE"""),"#REF!")</f>
        <v>#REF!</v>
      </c>
      <c r="N5529" s="17"/>
      <c r="O5529" s="17"/>
      <c r="P5529" s="17" t="b">
        <f>IFERROR(__xludf.DUMMYFUNCTION("""COMPUTED_VALUE"""),FALSE)</f>
        <v>0</v>
      </c>
      <c r="Q5529" s="20" t="str">
        <f>IFERROR(__xludf.DUMMYFUNCTION("""COMPUTED_VALUE"""),"")</f>
        <v/>
      </c>
      <c r="R5529" s="22" t="str">
        <f>IFERROR(__xludf.DUMMYFUNCTION("""COMPUTED_VALUE"""),"")</f>
        <v/>
      </c>
    </row>
    <row r="5530">
      <c r="A5530" s="15">
        <f>IFERROR(__xludf.DUMMYFUNCTION("""COMPUTED_VALUE"""),45161.0)</f>
        <v>45161</v>
      </c>
      <c r="B5530" s="16" t="str">
        <f>IFERROR(__xludf.DUMMYFUNCTION("""COMPUTED_VALUE"""),"Jhon Freddy González")</f>
        <v>Jhon Freddy González</v>
      </c>
      <c r="C5530" s="15" t="str">
        <f>IFERROR(__xludf.DUMMYFUNCTION("""COMPUTED_VALUE"""),"SANTA MARTA")</f>
        <v>SANTA MARTA</v>
      </c>
      <c r="D5530" s="15" t="str">
        <f>IFERROR(__xludf.DUMMYFUNCTION("""COMPUTED_VALUE"""),"BOGOTÁ")</f>
        <v>BOGOTÁ</v>
      </c>
      <c r="E5530" s="15" t="str">
        <f>IFERROR(__xludf.DUMMYFUNCTION("""COMPUTED_VALUE"""),"Gourmet Xperts")</f>
        <v>Gourmet Xperts</v>
      </c>
      <c r="F5530" s="17" t="str">
        <f>IFERROR(__xludf.DUMMYFUNCTION("""COMPUTED_VALUE"""),"Calle 29 #1-65 / Edificio Ámbar Oceanic apto 1405 / Playa Salguero, Santa Marta")</f>
        <v>Calle 29 #1-65 / Edificio Ámbar Oceanic apto 1405 / Playa Salguero, Santa Marta</v>
      </c>
      <c r="G5530" s="15" t="str">
        <f>IFERROR(__xludf.DUMMYFUNCTION("""COMPUTED_VALUE"""),"Liliana Diaz")</f>
        <v>Liliana Diaz</v>
      </c>
      <c r="H5530" s="16">
        <f>IFERROR(__xludf.DUMMYFUNCTION("""COMPUTED_VALUE"""),14196.0)</f>
        <v>14196</v>
      </c>
      <c r="I5530" s="18">
        <f>IFERROR(__xludf.DUMMYFUNCTION("""COMPUTED_VALUE"""),29.0)</f>
        <v>29</v>
      </c>
      <c r="J5530" s="18">
        <f>IFERROR(__xludf.DUMMYFUNCTION("""COMPUTED_VALUE"""),55.0)</f>
        <v>55</v>
      </c>
      <c r="K5530" s="18">
        <f>IFERROR(__xludf.DUMMYFUNCTION("""COMPUTED_VALUE"""),45.0)</f>
        <v>45</v>
      </c>
      <c r="L5530" s="17">
        <f>IFERROR(__xludf.DUMMYFUNCTION("""COMPUTED_VALUE"""),3.204305027E9)</f>
        <v>3204305027</v>
      </c>
      <c r="M5530" s="17" t="str">
        <f>IFERROR(__xludf.DUMMYFUNCTION("""COMPUTED_VALUE"""),"#REF!")</f>
        <v>#REF!</v>
      </c>
      <c r="N5530" s="17"/>
      <c r="O5530" s="17"/>
      <c r="P5530" s="17" t="b">
        <f>IFERROR(__xludf.DUMMYFUNCTION("""COMPUTED_VALUE"""),FALSE)</f>
        <v>0</v>
      </c>
      <c r="Q5530" s="20" t="str">
        <f>IFERROR(__xludf.DUMMYFUNCTION("""COMPUTED_VALUE"""),"")</f>
        <v/>
      </c>
      <c r="R5530" s="22" t="str">
        <f>IFERROR(__xludf.DUMMYFUNCTION("""COMPUTED_VALUE"""),"")</f>
        <v/>
      </c>
    </row>
    <row r="5531">
      <c r="A5531" s="15">
        <f>IFERROR(__xludf.DUMMYFUNCTION("""COMPUTED_VALUE"""),45161.0)</f>
        <v>45161</v>
      </c>
      <c r="B5531" s="16" t="str">
        <f>IFERROR(__xludf.DUMMYFUNCTION("""COMPUTED_VALUE"""),"Jhon Freddy González")</f>
        <v>Jhon Freddy González</v>
      </c>
      <c r="C5531" s="15" t="str">
        <f>IFERROR(__xludf.DUMMYFUNCTION("""COMPUTED_VALUE"""),"SANTA MARTA")</f>
        <v>SANTA MARTA</v>
      </c>
      <c r="D5531" s="15" t="str">
        <f>IFERROR(__xludf.DUMMYFUNCTION("""COMPUTED_VALUE"""),"BOGOTÁ")</f>
        <v>BOGOTÁ</v>
      </c>
      <c r="E5531" s="15" t="str">
        <f>IFERROR(__xludf.DUMMYFUNCTION("""COMPUTED_VALUE"""),"Gourmet Xperts")</f>
        <v>Gourmet Xperts</v>
      </c>
      <c r="F5531" s="17" t="str">
        <f>IFERROR(__xludf.DUMMYFUNCTION("""COMPUTED_VALUE"""),"Calle 29#1-65 / Ambar Oceanic Apto 1405 Playa Salguero, Santa Marta / Apto 1405 Playa Salguero, Santa Marta")</f>
        <v>Calle 29#1-65 / Ambar Oceanic Apto 1405 Playa Salguero, Santa Marta / Apto 1405 Playa Salguero, Santa Marta</v>
      </c>
      <c r="G5531" s="15" t="str">
        <f>IFERROR(__xludf.DUMMYFUNCTION("""COMPUTED_VALUE"""),"Liliana Díaz / Nicolás Camacho")</f>
        <v>Liliana Díaz / Nicolás Camacho</v>
      </c>
      <c r="H5531" s="16">
        <f>IFERROR(__xludf.DUMMYFUNCTION("""COMPUTED_VALUE"""),14155.0)</f>
        <v>14155</v>
      </c>
      <c r="I5531" s="18">
        <f>IFERROR(__xludf.DUMMYFUNCTION("""COMPUTED_VALUE"""),52.0)</f>
        <v>52</v>
      </c>
      <c r="J5531" s="18">
        <f>IFERROR(__xludf.DUMMYFUNCTION("""COMPUTED_VALUE"""),45.0)</f>
        <v>45</v>
      </c>
      <c r="K5531" s="18">
        <f>IFERROR(__xludf.DUMMYFUNCTION("""COMPUTED_VALUE"""),55.0)</f>
        <v>55</v>
      </c>
      <c r="L5531" s="17">
        <f>IFERROR(__xludf.DUMMYFUNCTION("""COMPUTED_VALUE"""),3.204305027E9)</f>
        <v>3204305027</v>
      </c>
      <c r="M5531" s="17" t="str">
        <f>IFERROR(__xludf.DUMMYFUNCTION("""COMPUTED_VALUE"""),"#REF!")</f>
        <v>#REF!</v>
      </c>
      <c r="N5531" s="17"/>
      <c r="O5531" s="17"/>
      <c r="P5531" s="17" t="b">
        <f>IFERROR(__xludf.DUMMYFUNCTION("""COMPUTED_VALUE"""),FALSE)</f>
        <v>0</v>
      </c>
      <c r="Q5531" s="20" t="str">
        <f>IFERROR(__xludf.DUMMYFUNCTION("""COMPUTED_VALUE"""),"")</f>
        <v/>
      </c>
      <c r="R5531" s="22" t="str">
        <f>IFERROR(__xludf.DUMMYFUNCTION("""COMPUTED_VALUE"""),"")</f>
        <v/>
      </c>
    </row>
    <row r="5532">
      <c r="A5532" s="17" t="str">
        <f>IFERROR(__xludf.DUMMYFUNCTION("""COMPUTED_VALUE"""),"")</f>
        <v/>
      </c>
      <c r="B5532" s="17" t="str">
        <f>IFERROR(__xludf.DUMMYFUNCTION("""COMPUTED_VALUE"""),"")</f>
        <v/>
      </c>
      <c r="C5532" s="17" t="str">
        <f>IFERROR(__xludf.DUMMYFUNCTION("""COMPUTED_VALUE"""),"")</f>
        <v/>
      </c>
      <c r="D5532" s="17" t="str">
        <f>IFERROR(__xludf.DUMMYFUNCTION("""COMPUTED_VALUE"""),"")</f>
        <v/>
      </c>
      <c r="E5532" s="17" t="str">
        <f>IFERROR(__xludf.DUMMYFUNCTION("""COMPUTED_VALUE"""),"")</f>
        <v/>
      </c>
      <c r="F5532" s="17" t="str">
        <f>IFERROR(__xludf.DUMMYFUNCTION("""COMPUTED_VALUE"""),"")</f>
        <v/>
      </c>
      <c r="G5532" s="17" t="str">
        <f>IFERROR(__xludf.DUMMYFUNCTION("""COMPUTED_VALUE"""),"")</f>
        <v/>
      </c>
      <c r="H5532" s="17" t="str">
        <f>IFERROR(__xludf.DUMMYFUNCTION("""COMPUTED_VALUE"""),"")</f>
        <v/>
      </c>
      <c r="I5532" s="17" t="str">
        <f>IFERROR(__xludf.DUMMYFUNCTION("""COMPUTED_VALUE"""),"")</f>
        <v/>
      </c>
      <c r="J5532" s="17" t="str">
        <f>IFERROR(__xludf.DUMMYFUNCTION("""COMPUTED_VALUE"""),"")</f>
        <v/>
      </c>
      <c r="K5532" s="17" t="str">
        <f>IFERROR(__xludf.DUMMYFUNCTION("""COMPUTED_VALUE"""),"")</f>
        <v/>
      </c>
      <c r="L5532" s="17" t="str">
        <f>IFERROR(__xludf.DUMMYFUNCTION("""COMPUTED_VALUE"""),"")</f>
        <v/>
      </c>
      <c r="M5532" s="17" t="str">
        <f>IFERROR(__xludf.DUMMYFUNCTION("""COMPUTED_VALUE"""),"")</f>
        <v/>
      </c>
      <c r="N5532" s="17" t="str">
        <f>IFERROR(__xludf.DUMMYFUNCTION("""COMPUTED_VALUE"""),"")</f>
        <v/>
      </c>
      <c r="O5532" s="17" t="str">
        <f>IFERROR(__xludf.DUMMYFUNCTION("""COMPUTED_VALUE"""),"")</f>
        <v/>
      </c>
      <c r="P5532" s="17" t="str">
        <f>IFERROR(__xludf.DUMMYFUNCTION("""COMPUTED_VALUE"""),"")</f>
        <v/>
      </c>
      <c r="Q5532" s="17" t="str">
        <f>IFERROR(__xludf.DUMMYFUNCTION("""COMPUTED_VALUE"""),"")</f>
        <v/>
      </c>
      <c r="R5532" s="17" t="str">
        <f>IFERROR(__xludf.DUMMYFUNCTION("""COMPUTED_VALUE"""),"")</f>
        <v/>
      </c>
    </row>
    <row r="5533">
      <c r="A5533" s="15">
        <f>IFERROR(__xludf.DUMMYFUNCTION("""COMPUTED_VALUE"""),45161.0)</f>
        <v>45161</v>
      </c>
      <c r="B5533" s="16" t="str">
        <f>IFERROR(__xludf.DUMMYFUNCTION("""COMPUTED_VALUE"""),"Johan Alexander Escobar Arroyo ")</f>
        <v>Johan Alexander Escobar Arroyo </v>
      </c>
      <c r="C5533" s="15" t="str">
        <f>IFERROR(__xludf.DUMMYFUNCTION("""COMPUTED_VALUE"""),"CALI")</f>
        <v>CALI</v>
      </c>
      <c r="D5533" s="15" t="str">
        <f>IFERROR(__xludf.DUMMYFUNCTION("""COMPUTED_VALUE"""),"BOGOTÁ")</f>
        <v>BOGOTÁ</v>
      </c>
      <c r="E5533" s="15" t="str">
        <f>IFERROR(__xludf.DUMMYFUNCTION("""COMPUTED_VALUE"""),"Asociacion Agropecuaria Juana Maria")</f>
        <v>Asociacion Agropecuaria Juana Maria</v>
      </c>
      <c r="F5533" s="17" t="str">
        <f>IFERROR(__xludf.DUMMYFUNCTION("""COMPUTED_VALUE"""),"Carrera 17B # 33E-33 La Floresta vieja")</f>
        <v>Carrera 17B # 33E-33 La Floresta vieja</v>
      </c>
      <c r="G5533" s="15" t="str">
        <f>IFERROR(__xludf.DUMMYFUNCTION("""COMPUTED_VALUE"""),"Johanna acuña  Molina")</f>
        <v>Johanna acuña  Molina</v>
      </c>
      <c r="H5533" s="16">
        <f>IFERROR(__xludf.DUMMYFUNCTION("""COMPUTED_VALUE"""),14165.0)</f>
        <v>14165</v>
      </c>
      <c r="I5533" s="18">
        <f>IFERROR(__xludf.DUMMYFUNCTION("""COMPUTED_VALUE"""),22.0)</f>
        <v>22</v>
      </c>
      <c r="J5533" s="18">
        <f>IFERROR(__xludf.DUMMYFUNCTION("""COMPUTED_VALUE"""),15.0)</f>
        <v>15</v>
      </c>
      <c r="K5533" s="18">
        <f>IFERROR(__xludf.DUMMYFUNCTION("""COMPUTED_VALUE"""),3.0)</f>
        <v>3</v>
      </c>
      <c r="L5533" s="17">
        <f>IFERROR(__xludf.DUMMYFUNCTION("""COMPUTED_VALUE"""),3.218700343E9)</f>
        <v>3218700343</v>
      </c>
      <c r="M5533" s="17" t="str">
        <f>IFERROR(__xludf.DUMMYFUNCTION("""COMPUTED_VALUE"""),"#REF!")</f>
        <v>#REF!</v>
      </c>
      <c r="N5533" s="17"/>
      <c r="O5533" s="17"/>
      <c r="P5533" s="17" t="b">
        <f>IFERROR(__xludf.DUMMYFUNCTION("""COMPUTED_VALUE"""),TRUE)</f>
        <v>1</v>
      </c>
      <c r="Q5533" s="20">
        <f>IFERROR(__xludf.DUMMYFUNCTION("""COMPUTED_VALUE"""),45161.75648252315)</f>
        <v>45161.75648</v>
      </c>
      <c r="R5533" s="21" t="str">
        <f>IFERROR(__xludf.DUMMYFUNCTION("""COMPUTED_VALUE"""),"https://drive.google.com/file/d/1klqsmed3lJK8_HxGsiP9y7AlMnhwQsAl/view?usp=drivesdk")</f>
        <v>https://drive.google.com/file/d/1klqsmed3lJK8_HxGsiP9y7AlMnhwQsAl/view?usp=drivesdk</v>
      </c>
    </row>
    <row r="5534">
      <c r="A5534" s="15">
        <f>IFERROR(__xludf.DUMMYFUNCTION("""COMPUTED_VALUE"""),45161.0)</f>
        <v>45161</v>
      </c>
      <c r="B5534" s="16" t="str">
        <f>IFERROR(__xludf.DUMMYFUNCTION("""COMPUTED_VALUE"""),"Johan Alexander Escobar Arroyo ")</f>
        <v>Johan Alexander Escobar Arroyo </v>
      </c>
      <c r="C5534" s="15" t="str">
        <f>IFERROR(__xludf.DUMMYFUNCTION("""COMPUTED_VALUE"""),"CALI")</f>
        <v>CALI</v>
      </c>
      <c r="D5534" s="15" t="str">
        <f>IFERROR(__xludf.DUMMYFUNCTION("""COMPUTED_VALUE"""),"BOGOTÁ")</f>
        <v>BOGOTÁ</v>
      </c>
      <c r="E5534" s="15" t="str">
        <f>IFERROR(__xludf.DUMMYFUNCTION("""COMPUTED_VALUE"""),"Evamazzita")</f>
        <v>Evamazzita</v>
      </c>
      <c r="F5534" s="17" t="str">
        <f>IFERROR(__xludf.DUMMYFUNCTION("""COMPUTED_VALUE"""),"Carrera 1h#60-40 / Tercer piso  / Barrio los almendros")</f>
        <v>Carrera 1h#60-40 / Tercer piso  / Barrio los almendros</v>
      </c>
      <c r="G5534" s="15" t="str">
        <f>IFERROR(__xludf.DUMMYFUNCTION("""COMPUTED_VALUE"""),"ALEJANDRA MUÑOZ")</f>
        <v>ALEJANDRA MUÑOZ</v>
      </c>
      <c r="H5534" s="16">
        <f>IFERROR(__xludf.DUMMYFUNCTION("""COMPUTED_VALUE"""),14218.0)</f>
        <v>14218</v>
      </c>
      <c r="I5534" s="18">
        <f>IFERROR(__xludf.DUMMYFUNCTION("""COMPUTED_VALUE"""),1.0)</f>
        <v>1</v>
      </c>
      <c r="J5534" s="18">
        <f>IFERROR(__xludf.DUMMYFUNCTION("""COMPUTED_VALUE"""),1.0)</f>
        <v>1</v>
      </c>
      <c r="K5534" s="18">
        <f>IFERROR(__xludf.DUMMYFUNCTION("""COMPUTED_VALUE"""),1.0)</f>
        <v>1</v>
      </c>
      <c r="L5534" s="17">
        <f>IFERROR(__xludf.DUMMYFUNCTION("""COMPUTED_VALUE"""),3.128408361E9)</f>
        <v>3128408361</v>
      </c>
      <c r="M5534" s="17" t="str">
        <f>IFERROR(__xludf.DUMMYFUNCTION("""COMPUTED_VALUE"""),"#REF!")</f>
        <v>#REF!</v>
      </c>
      <c r="N5534" s="17"/>
      <c r="O5534" s="17"/>
      <c r="P5534" s="17" t="b">
        <f>IFERROR(__xludf.DUMMYFUNCTION("""COMPUTED_VALUE"""),TRUE)</f>
        <v>1</v>
      </c>
      <c r="Q5534" s="20">
        <f>IFERROR(__xludf.DUMMYFUNCTION("""COMPUTED_VALUE"""),45161.539212013886)</f>
        <v>45161.53921</v>
      </c>
      <c r="R5534" s="21" t="str">
        <f>IFERROR(__xludf.DUMMYFUNCTION("""COMPUTED_VALUE"""),"https://drive.google.com/file/d/1QDm36UJ32Mzk5XSmgxACru1IGHznWv2f/view?usp=drivesdk")</f>
        <v>https://drive.google.com/file/d/1QDm36UJ32Mzk5XSmgxACru1IGHznWv2f/view?usp=drivesdk</v>
      </c>
    </row>
    <row r="5535">
      <c r="A5535" s="15">
        <f>IFERROR(__xludf.DUMMYFUNCTION("""COMPUTED_VALUE"""),45161.0)</f>
        <v>45161</v>
      </c>
      <c r="B5535" s="16" t="str">
        <f>IFERROR(__xludf.DUMMYFUNCTION("""COMPUTED_VALUE"""),"Johan Alexander Escobar Arroyo ")</f>
        <v>Johan Alexander Escobar Arroyo </v>
      </c>
      <c r="C5535" s="15" t="str">
        <f>IFERROR(__xludf.DUMMYFUNCTION("""COMPUTED_VALUE"""),"CALI")</f>
        <v>CALI</v>
      </c>
      <c r="D5535" s="15" t="str">
        <f>IFERROR(__xludf.DUMMYFUNCTION("""COMPUTED_VALUE"""),"BOGOTÁ")</f>
        <v>BOGOTÁ</v>
      </c>
      <c r="E5535" s="15" t="str">
        <f>IFERROR(__xludf.DUMMYFUNCTION("""COMPUTED_VALUE"""),"Evamazzita")</f>
        <v>Evamazzita</v>
      </c>
      <c r="F5535" s="17" t="str">
        <f>IFERROR(__xludf.DUMMYFUNCTION("""COMPUTED_VALUE"""),"Carrera 23 #11-68 / N/A / Barrio El Junin (Es en una esquina, ferretería el junin)")</f>
        <v>Carrera 23 #11-68 / N/A / Barrio El Junin (Es en una esquina, ferretería el junin)</v>
      </c>
      <c r="G5535" s="15" t="str">
        <f>IFERROR(__xludf.DUMMYFUNCTION("""COMPUTED_VALUE"""),"JULIANA POSADA MONTOYA")</f>
        <v>JULIANA POSADA MONTOYA</v>
      </c>
      <c r="H5535" s="16">
        <f>IFERROR(__xludf.DUMMYFUNCTION("""COMPUTED_VALUE"""),14216.0)</f>
        <v>14216</v>
      </c>
      <c r="I5535" s="18">
        <f>IFERROR(__xludf.DUMMYFUNCTION("""COMPUTED_VALUE"""),1.0)</f>
        <v>1</v>
      </c>
      <c r="J5535" s="18">
        <f>IFERROR(__xludf.DUMMYFUNCTION("""COMPUTED_VALUE"""),1.0)</f>
        <v>1</v>
      </c>
      <c r="K5535" s="18">
        <f>IFERROR(__xludf.DUMMYFUNCTION("""COMPUTED_VALUE"""),1.0)</f>
        <v>1</v>
      </c>
      <c r="L5535" s="17">
        <f>IFERROR(__xludf.DUMMYFUNCTION("""COMPUTED_VALUE"""),3.176992692E9)</f>
        <v>3176992692</v>
      </c>
      <c r="M5535" s="17" t="str">
        <f>IFERROR(__xludf.DUMMYFUNCTION("""COMPUTED_VALUE"""),"#REF!")</f>
        <v>#REF!</v>
      </c>
      <c r="N5535" s="17"/>
      <c r="O5535" s="17"/>
      <c r="P5535" s="17" t="b">
        <f>IFERROR(__xludf.DUMMYFUNCTION("""COMPUTED_VALUE"""),TRUE)</f>
        <v>1</v>
      </c>
      <c r="Q5535" s="20">
        <f>IFERROR(__xludf.DUMMYFUNCTION("""COMPUTED_VALUE"""),45161.6151604051)</f>
        <v>45161.61516</v>
      </c>
      <c r="R5535" s="21" t="str">
        <f>IFERROR(__xludf.DUMMYFUNCTION("""COMPUTED_VALUE"""),"https://drive.google.com/file/d/1m8cG_ojjW3Dhfn9ZoeQnjzOee8g2EiFm/view?usp=drivesdk")</f>
        <v>https://drive.google.com/file/d/1m8cG_ojjW3Dhfn9ZoeQnjzOee8g2EiFm/view?usp=drivesdk</v>
      </c>
    </row>
    <row r="5536">
      <c r="A5536" s="15">
        <f>IFERROR(__xludf.DUMMYFUNCTION("""COMPUTED_VALUE"""),45161.0)</f>
        <v>45161</v>
      </c>
      <c r="B5536" s="16" t="str">
        <f>IFERROR(__xludf.DUMMYFUNCTION("""COMPUTED_VALUE"""),"Johan Alexander Escobar Arroyo ")</f>
        <v>Johan Alexander Escobar Arroyo </v>
      </c>
      <c r="C5536" s="15" t="str">
        <f>IFERROR(__xludf.DUMMYFUNCTION("""COMPUTED_VALUE"""),"CALI")</f>
        <v>CALI</v>
      </c>
      <c r="D5536" s="15" t="str">
        <f>IFERROR(__xludf.DUMMYFUNCTION("""COMPUTED_VALUE"""),"BOGOTÁ")</f>
        <v>BOGOTÁ</v>
      </c>
      <c r="E5536" s="15" t="str">
        <f>IFERROR(__xludf.DUMMYFUNCTION("""COMPUTED_VALUE"""),"Evamazzita")</f>
        <v>Evamazzita</v>
      </c>
      <c r="F5536" s="17" t="str">
        <f>IFERROR(__xludf.DUMMYFUNCTION("""COMPUTED_VALUE"""),"Carrera 5 #10-63 / Edificio Colseguros /oficina 828 / Centro Plaza Caicedo")</f>
        <v>Carrera 5 #10-63 / Edificio Colseguros /oficina 828 / Centro Plaza Caicedo</v>
      </c>
      <c r="G5536" s="15" t="str">
        <f>IFERROR(__xludf.DUMMYFUNCTION("""COMPUTED_VALUE"""),"LINA MARCELA PIEDRAHITA ERAZO")</f>
        <v>LINA MARCELA PIEDRAHITA ERAZO</v>
      </c>
      <c r="H5536" s="16">
        <f>IFERROR(__xludf.DUMMYFUNCTION("""COMPUTED_VALUE"""),14220.0)</f>
        <v>14220</v>
      </c>
      <c r="I5536" s="18">
        <f>IFERROR(__xludf.DUMMYFUNCTION("""COMPUTED_VALUE"""),1.0)</f>
        <v>1</v>
      </c>
      <c r="J5536" s="18">
        <f>IFERROR(__xludf.DUMMYFUNCTION("""COMPUTED_VALUE"""),1.0)</f>
        <v>1</v>
      </c>
      <c r="K5536" s="18">
        <f>IFERROR(__xludf.DUMMYFUNCTION("""COMPUTED_VALUE"""),1.0)</f>
        <v>1</v>
      </c>
      <c r="L5536" s="17">
        <f>IFERROR(__xludf.DUMMYFUNCTION("""COMPUTED_VALUE"""),3.216861055E9)</f>
        <v>3216861055</v>
      </c>
      <c r="M5536" s="17" t="str">
        <f>IFERROR(__xludf.DUMMYFUNCTION("""COMPUTED_VALUE"""),"#REF!")</f>
        <v>#REF!</v>
      </c>
      <c r="N5536" s="17"/>
      <c r="O5536" s="17"/>
      <c r="P5536" s="17" t="b">
        <f>IFERROR(__xludf.DUMMYFUNCTION("""COMPUTED_VALUE"""),TRUE)</f>
        <v>1</v>
      </c>
      <c r="Q5536" s="20">
        <f>IFERROR(__xludf.DUMMYFUNCTION("""COMPUTED_VALUE"""),45161.639083437505)</f>
        <v>45161.63908</v>
      </c>
      <c r="R5536" s="21" t="str">
        <f>IFERROR(__xludf.DUMMYFUNCTION("""COMPUTED_VALUE"""),"https://drive.google.com/file/d/1q123mO7g3t8QH-RqGd77eUBBRj5oO9YI/view?usp=drivesdk")</f>
        <v>https://drive.google.com/file/d/1q123mO7g3t8QH-RqGd77eUBBRj5oO9YI/view?usp=drivesdk</v>
      </c>
    </row>
    <row r="5537">
      <c r="A5537" s="15">
        <f>IFERROR(__xludf.DUMMYFUNCTION("""COMPUTED_VALUE"""),45161.0)</f>
        <v>45161</v>
      </c>
      <c r="B5537" s="16" t="str">
        <f>IFERROR(__xludf.DUMMYFUNCTION("""COMPUTED_VALUE"""),"Johan Alexander Escobar Arroyo ")</f>
        <v>Johan Alexander Escobar Arroyo </v>
      </c>
      <c r="C5537" s="15" t="str">
        <f>IFERROR(__xludf.DUMMYFUNCTION("""COMPUTED_VALUE"""),"CALI")</f>
        <v>CALI</v>
      </c>
      <c r="D5537" s="15" t="str">
        <f>IFERROR(__xludf.DUMMYFUNCTION("""COMPUTED_VALUE"""),"BOGOTÁ")</f>
        <v>BOGOTÁ</v>
      </c>
      <c r="E5537" s="15" t="str">
        <f>IFERROR(__xludf.DUMMYFUNCTION("""COMPUTED_VALUE"""),"Evamazzita")</f>
        <v>Evamazzita</v>
      </c>
      <c r="F5537" s="17" t="str">
        <f>IFERROR(__xludf.DUMMYFUNCTION("""COMPUTED_VALUE"""),"Carrera79#13b-110 / Apto 203 c/ torres de santorino  / Barrio quintas de don simon")</f>
        <v>Carrera79#13b-110 / Apto 203 c/ torres de santorino  / Barrio quintas de don simon</v>
      </c>
      <c r="G5537" s="15" t="str">
        <f>IFERROR(__xludf.DUMMYFUNCTION("""COMPUTED_VALUE"""),"CAROLINA RUBIANO ARANGO")</f>
        <v>CAROLINA RUBIANO ARANGO</v>
      </c>
      <c r="H5537" s="16">
        <f>IFERROR(__xludf.DUMMYFUNCTION("""COMPUTED_VALUE"""),14219.0)</f>
        <v>14219</v>
      </c>
      <c r="I5537" s="18">
        <f>IFERROR(__xludf.DUMMYFUNCTION("""COMPUTED_VALUE"""),1.0)</f>
        <v>1</v>
      </c>
      <c r="J5537" s="18">
        <f>IFERROR(__xludf.DUMMYFUNCTION("""COMPUTED_VALUE"""),1.0)</f>
        <v>1</v>
      </c>
      <c r="K5537" s="18">
        <f>IFERROR(__xludf.DUMMYFUNCTION("""COMPUTED_VALUE"""),1.0)</f>
        <v>1</v>
      </c>
      <c r="L5537" s="17">
        <f>IFERROR(__xludf.DUMMYFUNCTION("""COMPUTED_VALUE"""),3.113311218E9)</f>
        <v>3113311218</v>
      </c>
      <c r="M5537" s="17" t="str">
        <f>IFERROR(__xludf.DUMMYFUNCTION("""COMPUTED_VALUE"""),"#REF!")</f>
        <v>#REF!</v>
      </c>
      <c r="N5537" s="17"/>
      <c r="O5537" s="17"/>
      <c r="P5537" s="17" t="b">
        <f>IFERROR(__xludf.DUMMYFUNCTION("""COMPUTED_VALUE"""),TRUE)</f>
        <v>1</v>
      </c>
      <c r="Q5537" s="20">
        <f>IFERROR(__xludf.DUMMYFUNCTION("""COMPUTED_VALUE"""),45161.75648253472)</f>
        <v>45161.75648</v>
      </c>
      <c r="R5537" s="21" t="str">
        <f>IFERROR(__xludf.DUMMYFUNCTION("""COMPUTED_VALUE"""),"https://drive.google.com/file/d/1EFFqeAfxyjvv5GjHD1gmNjio0dolIWXG/view?usp=drivesdk")</f>
        <v>https://drive.google.com/file/d/1EFFqeAfxyjvv5GjHD1gmNjio0dolIWXG/view?usp=drivesdk</v>
      </c>
    </row>
    <row r="5538">
      <c r="A5538" s="15">
        <f>IFERROR(__xludf.DUMMYFUNCTION("""COMPUTED_VALUE"""),45161.0)</f>
        <v>45161</v>
      </c>
      <c r="B5538" s="16" t="str">
        <f>IFERROR(__xludf.DUMMYFUNCTION("""COMPUTED_VALUE"""),"Johan Alexander Escobar Arroyo ")</f>
        <v>Johan Alexander Escobar Arroyo </v>
      </c>
      <c r="C5538" s="15" t="str">
        <f>IFERROR(__xludf.DUMMYFUNCTION("""COMPUTED_VALUE"""),"CALI")</f>
        <v>CALI</v>
      </c>
      <c r="D5538" s="15" t="str">
        <f>IFERROR(__xludf.DUMMYFUNCTION("""COMPUTED_VALUE"""),"BOGOTÁ")</f>
        <v>BOGOTÁ</v>
      </c>
      <c r="E5538" s="15" t="str">
        <f>IFERROR(__xludf.DUMMYFUNCTION("""COMPUTED_VALUE"""),"Frambascolombia sas")</f>
        <v>Frambascolombia sas</v>
      </c>
      <c r="F5538" s="17" t="str">
        <f>IFERROR(__xludf.DUMMYFUNCTION("""COMPUTED_VALUE"""),"Av 5a Nte. # 25n18 / local 2")</f>
        <v>Av 5a Nte. # 25n18 / local 2</v>
      </c>
      <c r="G5538" s="15" t="str">
        <f>IFERROR(__xludf.DUMMYFUNCTION("""COMPUTED_VALUE"""),"PikNPak Cali")</f>
        <v>PikNPak Cali</v>
      </c>
      <c r="H5538" s="16">
        <f>IFERROR(__xludf.DUMMYFUNCTION("""COMPUTED_VALUE"""),14187.0)</f>
        <v>14187</v>
      </c>
      <c r="I5538" s="18">
        <f>IFERROR(__xludf.DUMMYFUNCTION("""COMPUTED_VALUE"""),45057.0)</f>
        <v>45057</v>
      </c>
      <c r="J5538" s="18">
        <f>IFERROR(__xludf.DUMMYFUNCTION("""COMPUTED_VALUE"""),10.0)</f>
        <v>10</v>
      </c>
      <c r="K5538" s="18">
        <f>IFERROR(__xludf.DUMMYFUNCTION("""COMPUTED_VALUE"""),10.0)</f>
        <v>10</v>
      </c>
      <c r="L5538" s="17" t="str">
        <f>IFERROR(__xludf.DUMMYFUNCTION("""COMPUTED_VALUE"""),"321 4229567")</f>
        <v>321 4229567</v>
      </c>
      <c r="M5538" s="17" t="str">
        <f>IFERROR(__xludf.DUMMYFUNCTION("""COMPUTED_VALUE"""),"#REF!")</f>
        <v>#REF!</v>
      </c>
      <c r="N5538" s="17"/>
      <c r="O5538" s="17"/>
      <c r="P5538" s="17" t="b">
        <f>IFERROR(__xludf.DUMMYFUNCTION("""COMPUTED_VALUE"""),TRUE)</f>
        <v>1</v>
      </c>
      <c r="Q5538" s="20">
        <f>IFERROR(__xludf.DUMMYFUNCTION("""COMPUTED_VALUE"""),45161.53968292824)</f>
        <v>45161.53968</v>
      </c>
      <c r="R5538" s="21" t="str">
        <f>IFERROR(__xludf.DUMMYFUNCTION("""COMPUTED_VALUE"""),"https://drive.google.com/file/d/1D66IRnAEWgO06HMNq3LuQAiNyv4Lh_HE/view?usp=drivesdk")</f>
        <v>https://drive.google.com/file/d/1D66IRnAEWgO06HMNq3LuQAiNyv4Lh_HE/view?usp=drivesdk</v>
      </c>
    </row>
    <row r="5539">
      <c r="A5539" s="15">
        <f>IFERROR(__xludf.DUMMYFUNCTION("""COMPUTED_VALUE"""),45161.0)</f>
        <v>45161</v>
      </c>
      <c r="B5539" s="16" t="str">
        <f>IFERROR(__xludf.DUMMYFUNCTION("""COMPUTED_VALUE"""),"Johan Alexander Escobar Arroyo ")</f>
        <v>Johan Alexander Escobar Arroyo </v>
      </c>
      <c r="C5539" s="15" t="str">
        <f>IFERROR(__xludf.DUMMYFUNCTION("""COMPUTED_VALUE"""),"CALI")</f>
        <v>CALI</v>
      </c>
      <c r="D5539" s="15" t="str">
        <f>IFERROR(__xludf.DUMMYFUNCTION("""COMPUTED_VALUE"""),"BOGOTÁ")</f>
        <v>BOGOTÁ</v>
      </c>
      <c r="E5539" s="15" t="str">
        <f>IFERROR(__xludf.DUMMYFUNCTION("""COMPUTED_VALUE"""),"Ins. Alimento Vital")</f>
        <v>Ins. Alimento Vital</v>
      </c>
      <c r="F5539" s="17" t="str">
        <f>IFERROR(__xludf.DUMMYFUNCTION("""COMPUTED_VALUE"""),"CL 34N 2BN 33 / BODEGA / SAN VICENTE")</f>
        <v>CL 34N 2BN 33 / BODEGA / SAN VICENTE</v>
      </c>
      <c r="G5539" s="15" t="str">
        <f>IFERROR(__xludf.DUMMYFUNCTION("""COMPUTED_VALUE"""),"VELOCITY CALI")</f>
        <v>VELOCITY CALI</v>
      </c>
      <c r="H5539" s="16">
        <f>IFERROR(__xludf.DUMMYFUNCTION("""COMPUTED_VALUE"""),14230.0)</f>
        <v>14230</v>
      </c>
      <c r="I5539" s="18">
        <f>IFERROR(__xludf.DUMMYFUNCTION("""COMPUTED_VALUE"""),1.0)</f>
        <v>1</v>
      </c>
      <c r="J5539" s="18">
        <f>IFERROR(__xludf.DUMMYFUNCTION("""COMPUTED_VALUE"""),1.0)</f>
        <v>1</v>
      </c>
      <c r="K5539" s="18">
        <f>IFERROR(__xludf.DUMMYFUNCTION("""COMPUTED_VALUE"""),1.0)</f>
        <v>1</v>
      </c>
      <c r="L5539" s="17">
        <f>IFERROR(__xludf.DUMMYFUNCTION("""COMPUTED_VALUE"""),3.117591055E9)</f>
        <v>3117591055</v>
      </c>
      <c r="M5539" s="17" t="str">
        <f>IFERROR(__xludf.DUMMYFUNCTION("""COMPUTED_VALUE"""),"#REF!")</f>
        <v>#REF!</v>
      </c>
      <c r="N5539" s="17"/>
      <c r="O5539" s="17"/>
      <c r="P5539" s="17" t="b">
        <f>IFERROR(__xludf.DUMMYFUNCTION("""COMPUTED_VALUE"""),TRUE)</f>
        <v>1</v>
      </c>
      <c r="Q5539" s="20">
        <f>IFERROR(__xludf.DUMMYFUNCTION("""COMPUTED_VALUE"""),45161.53956534722)</f>
        <v>45161.53957</v>
      </c>
      <c r="R5539" s="22" t="str">
        <f>IFERROR(__xludf.DUMMYFUNCTION("""COMPUTED_VALUE"""),"")</f>
        <v/>
      </c>
    </row>
    <row r="5540">
      <c r="A5540" s="15">
        <f>IFERROR(__xludf.DUMMYFUNCTION("""COMPUTED_VALUE"""),45161.0)</f>
        <v>45161</v>
      </c>
      <c r="B5540" s="16" t="str">
        <f>IFERROR(__xludf.DUMMYFUNCTION("""COMPUTED_VALUE"""),"Johan Alexander Escobar Arroyo ")</f>
        <v>Johan Alexander Escobar Arroyo </v>
      </c>
      <c r="C5540" s="15" t="str">
        <f>IFERROR(__xludf.DUMMYFUNCTION("""COMPUTED_VALUE"""),"CALI")</f>
        <v>CALI</v>
      </c>
      <c r="D5540" s="15" t="str">
        <f>IFERROR(__xludf.DUMMYFUNCTION("""COMPUTED_VALUE"""),"BOGOTÁ")</f>
        <v>BOGOTÁ</v>
      </c>
      <c r="E5540" s="15" t="str">
        <f>IFERROR(__xludf.DUMMYFUNCTION("""COMPUTED_VALUE"""),"My Choice")</f>
        <v>My Choice</v>
      </c>
      <c r="F5540" s="17" t="str">
        <f>IFERROR(__xludf.DUMMYFUNCTION("""COMPUTED_VALUE"""),"Av 3a E N # 62-93 / Conjunto villas d Ema candelaria  / La flora")</f>
        <v>Av 3a E N # 62-93 / Conjunto villas d Ema candelaria  / La flora</v>
      </c>
      <c r="G5540" s="15" t="str">
        <f>IFERROR(__xludf.DUMMYFUNCTION("""COMPUTED_VALUE"""),"Andrea Jaramillo")</f>
        <v>Andrea Jaramillo</v>
      </c>
      <c r="H5540" s="16">
        <f>IFERROR(__xludf.DUMMYFUNCTION("""COMPUTED_VALUE"""),14258.0)</f>
        <v>14258</v>
      </c>
      <c r="I5540" s="18">
        <f>IFERROR(__xludf.DUMMYFUNCTION("""COMPUTED_VALUE"""),1.0)</f>
        <v>1</v>
      </c>
      <c r="J5540" s="18">
        <f>IFERROR(__xludf.DUMMYFUNCTION("""COMPUTED_VALUE"""),1.0)</f>
        <v>1</v>
      </c>
      <c r="K5540" s="18">
        <f>IFERROR(__xludf.DUMMYFUNCTION("""COMPUTED_VALUE"""),1.0)</f>
        <v>1</v>
      </c>
      <c r="L5540" s="17">
        <f>IFERROR(__xludf.DUMMYFUNCTION("""COMPUTED_VALUE"""),3.004797103E9)</f>
        <v>3004797103</v>
      </c>
      <c r="M5540" s="17" t="str">
        <f>IFERROR(__xludf.DUMMYFUNCTION("""COMPUTED_VALUE"""),"#REF!")</f>
        <v>#REF!</v>
      </c>
      <c r="N5540" s="17"/>
      <c r="O5540" s="17"/>
      <c r="P5540" s="17" t="b">
        <f>IFERROR(__xludf.DUMMYFUNCTION("""COMPUTED_VALUE"""),TRUE)</f>
        <v>1</v>
      </c>
      <c r="Q5540" s="20">
        <f>IFERROR(__xludf.DUMMYFUNCTION("""COMPUTED_VALUE"""),45161.63897667824)</f>
        <v>45161.63898</v>
      </c>
      <c r="R5540" s="21" t="str">
        <f>IFERROR(__xludf.DUMMYFUNCTION("""COMPUTED_VALUE"""),"https://drive.google.com/file/d/13gltN34mGe5ERqqCW9ifU_FVkfYkVDjF/view?usp=drivesdk")</f>
        <v>https://drive.google.com/file/d/13gltN34mGe5ERqqCW9ifU_FVkfYkVDjF/view?usp=drivesdk</v>
      </c>
    </row>
    <row r="5541">
      <c r="A5541" s="15">
        <f>IFERROR(__xludf.DUMMYFUNCTION("""COMPUTED_VALUE"""),45161.0)</f>
        <v>45161</v>
      </c>
      <c r="B5541" s="16" t="str">
        <f>IFERROR(__xludf.DUMMYFUNCTION("""COMPUTED_VALUE"""),"Johan Alexander Escobar Arroyo ")</f>
        <v>Johan Alexander Escobar Arroyo </v>
      </c>
      <c r="C5541" s="15" t="str">
        <f>IFERROR(__xludf.DUMMYFUNCTION("""COMPUTED_VALUE"""),"CALI")</f>
        <v>CALI</v>
      </c>
      <c r="D5541" s="15" t="str">
        <f>IFERROR(__xludf.DUMMYFUNCTION("""COMPUTED_VALUE"""),"BOGOTÁ")</f>
        <v>BOGOTÁ</v>
      </c>
      <c r="E5541" s="15" t="str">
        <f>IFERROR(__xludf.DUMMYFUNCTION("""COMPUTED_VALUE"""),"My Choice")</f>
        <v>My Choice</v>
      </c>
      <c r="F5541" s="17" t="str">
        <f>IFERROR(__xludf.DUMMYFUNCTION("""COMPUTED_VALUE"""),"Calle 5 oeste 3A 50 / Edifico el peñón apto 202 / Peñón")</f>
        <v>Calle 5 oeste 3A 50 / Edifico el peñón apto 202 / Peñón</v>
      </c>
      <c r="G5541" s="15" t="str">
        <f>IFERROR(__xludf.DUMMYFUNCTION("""COMPUTED_VALUE"""),"Catalina Chaparro")</f>
        <v>Catalina Chaparro</v>
      </c>
      <c r="H5541" s="16">
        <f>IFERROR(__xludf.DUMMYFUNCTION("""COMPUTED_VALUE"""),14257.0)</f>
        <v>14257</v>
      </c>
      <c r="I5541" s="18">
        <f>IFERROR(__xludf.DUMMYFUNCTION("""COMPUTED_VALUE"""),16.0)</f>
        <v>16</v>
      </c>
      <c r="J5541" s="18">
        <f>IFERROR(__xludf.DUMMYFUNCTION("""COMPUTED_VALUE"""),28.0)</f>
        <v>28</v>
      </c>
      <c r="K5541" s="18">
        <f>IFERROR(__xludf.DUMMYFUNCTION("""COMPUTED_VALUE"""),26.0)</f>
        <v>26</v>
      </c>
      <c r="L5541" s="17">
        <f>IFERROR(__xludf.DUMMYFUNCTION("""COMPUTED_VALUE"""),3.10523737E9)</f>
        <v>3105237370</v>
      </c>
      <c r="M5541" s="17" t="str">
        <f>IFERROR(__xludf.DUMMYFUNCTION("""COMPUTED_VALUE"""),"#REF!")</f>
        <v>#REF!</v>
      </c>
      <c r="N5541" s="17"/>
      <c r="O5541" s="17"/>
      <c r="P5541" s="17" t="b">
        <f>IFERROR(__xludf.DUMMYFUNCTION("""COMPUTED_VALUE"""),TRUE)</f>
        <v>1</v>
      </c>
      <c r="Q5541" s="20">
        <f>IFERROR(__xludf.DUMMYFUNCTION("""COMPUTED_VALUE"""),45161.6151604051)</f>
        <v>45161.61516</v>
      </c>
      <c r="R5541" s="21" t="str">
        <f>IFERROR(__xludf.DUMMYFUNCTION("""COMPUTED_VALUE"""),"https://drive.google.com/file/d/1EV2tid0XteBIqD3ZdK9V7GTSX1oPBVDb/view?usp=drivesdk")</f>
        <v>https://drive.google.com/file/d/1EV2tid0XteBIqD3ZdK9V7GTSX1oPBVDb/view?usp=drivesdk</v>
      </c>
    </row>
    <row r="5542">
      <c r="A5542" s="15">
        <f>IFERROR(__xludf.DUMMYFUNCTION("""COMPUTED_VALUE"""),45161.0)</f>
        <v>45161</v>
      </c>
      <c r="B5542" s="16" t="str">
        <f>IFERROR(__xludf.DUMMYFUNCTION("""COMPUTED_VALUE"""),"Johan Alexander Escobar Arroyo ")</f>
        <v>Johan Alexander Escobar Arroyo </v>
      </c>
      <c r="C5542" s="15" t="str">
        <f>IFERROR(__xludf.DUMMYFUNCTION("""COMPUTED_VALUE"""),"CALI")</f>
        <v>CALI</v>
      </c>
      <c r="D5542" s="15" t="str">
        <f>IFERROR(__xludf.DUMMYFUNCTION("""COMPUTED_VALUE"""),"MEDELLÍN")</f>
        <v>MEDELLÍN</v>
      </c>
      <c r="E5542" s="15" t="str">
        <f>IFERROR(__xludf.DUMMYFUNCTION("""COMPUTED_VALUE"""),"Todo Bufala")</f>
        <v>Todo Bufala</v>
      </c>
      <c r="F5542" s="17" t="str">
        <f>IFERROR(__xludf.DUMMYFUNCTION("""COMPUTED_VALUE"""),"Calle 8 #42-58")</f>
        <v>Calle 8 #42-58</v>
      </c>
      <c r="G5542" s="15" t="str">
        <f>IFERROR(__xludf.DUMMYFUNCTION("""COMPUTED_VALUE"""),"Grupo Hefe SAS")</f>
        <v>Grupo Hefe SAS</v>
      </c>
      <c r="H5542" s="16">
        <f>IFERROR(__xludf.DUMMYFUNCTION("""COMPUTED_VALUE"""),14234.0)</f>
        <v>14234</v>
      </c>
      <c r="I5542" s="18" t="str">
        <f>IFERROR(__xludf.DUMMYFUNCTION("""COMPUTED_VALUE"""),"52.5")</f>
        <v>52.5</v>
      </c>
      <c r="J5542" s="18">
        <f>IFERROR(__xludf.DUMMYFUNCTION("""COMPUTED_VALUE"""),45.0)</f>
        <v>45</v>
      </c>
      <c r="K5542" s="18">
        <f>IFERROR(__xludf.DUMMYFUNCTION("""COMPUTED_VALUE"""),55.0)</f>
        <v>55</v>
      </c>
      <c r="L5542" s="17" t="str">
        <f>IFERROR(__xludf.DUMMYFUNCTION("""COMPUTED_VALUE"""),"320 7762289")</f>
        <v>320 7762289</v>
      </c>
      <c r="M5542" s="17" t="str">
        <f>IFERROR(__xludf.DUMMYFUNCTION("""COMPUTED_VALUE"""),"#REF!")</f>
        <v>#REF!</v>
      </c>
      <c r="N5542" s="17"/>
      <c r="O5542" s="17"/>
      <c r="P5542" s="17" t="b">
        <f>IFERROR(__xludf.DUMMYFUNCTION("""COMPUTED_VALUE"""),TRUE)</f>
        <v>1</v>
      </c>
      <c r="Q5542" s="20">
        <f>IFERROR(__xludf.DUMMYFUNCTION("""COMPUTED_VALUE"""),45161.53991575231)</f>
        <v>45161.53992</v>
      </c>
      <c r="R5542" s="22" t="str">
        <f>IFERROR(__xludf.DUMMYFUNCTION("""COMPUTED_VALUE"""),"")</f>
        <v/>
      </c>
    </row>
    <row r="5543">
      <c r="A5543" s="15">
        <f>IFERROR(__xludf.DUMMYFUNCTION("""COMPUTED_VALUE"""),45161.0)</f>
        <v>45161</v>
      </c>
      <c r="B5543" s="16" t="str">
        <f>IFERROR(__xludf.DUMMYFUNCTION("""COMPUTED_VALUE"""),"Johan Alexander Escobar Arroyo ")</f>
        <v>Johan Alexander Escobar Arroyo </v>
      </c>
      <c r="C5543" s="15" t="str">
        <f>IFERROR(__xludf.DUMMYFUNCTION("""COMPUTED_VALUE"""),"IBAGUÉ")</f>
        <v>IBAGUÉ</v>
      </c>
      <c r="D5543" s="15" t="str">
        <f>IFERROR(__xludf.DUMMYFUNCTION("""COMPUTED_VALUE"""),"MEDELLÍN")</f>
        <v>MEDELLÍN</v>
      </c>
      <c r="E5543" s="15" t="str">
        <f>IFERROR(__xludf.DUMMYFUNCTION("""COMPUTED_VALUE"""),"Baby Chef")</f>
        <v>Baby Chef</v>
      </c>
      <c r="F5543" s="17" t="str">
        <f>IFERROR(__xludf.DUMMYFUNCTION("""COMPUTED_VALUE"""),"Biventi apto 1208 torre sur Vergel - Ibagué / Biventi apto 1208 torre sur Vergel - Ibagué / Biventi apto 1208 torre sur Vergel - Ibagué")</f>
        <v>Biventi apto 1208 torre sur Vergel - Ibagué / Biventi apto 1208 torre sur Vergel - Ibagué / Biventi apto 1208 torre sur Vergel - Ibagué</v>
      </c>
      <c r="G5543" s="15" t="str">
        <f>IFERROR(__xludf.DUMMYFUNCTION("""COMPUTED_VALUE"""),"Isabella Villegas")</f>
        <v>Isabella Villegas</v>
      </c>
      <c r="H5543" s="16">
        <f>IFERROR(__xludf.DUMMYFUNCTION("""COMPUTED_VALUE"""),14279.0)</f>
        <v>14279</v>
      </c>
      <c r="I5543" s="18">
        <f>IFERROR(__xludf.DUMMYFUNCTION("""COMPUTED_VALUE"""),8.0)</f>
        <v>8</v>
      </c>
      <c r="J5543" s="18">
        <f>IFERROR(__xludf.DUMMYFUNCTION("""COMPUTED_VALUE"""),22.0)</f>
        <v>22</v>
      </c>
      <c r="K5543" s="18">
        <f>IFERROR(__xludf.DUMMYFUNCTION("""COMPUTED_VALUE"""),34.0)</f>
        <v>34</v>
      </c>
      <c r="L5543" s="17">
        <f>IFERROR(__xludf.DUMMYFUNCTION("""COMPUTED_VALUE"""),3.184010772E9)</f>
        <v>3184010772</v>
      </c>
      <c r="M5543" s="17" t="str">
        <f>IFERROR(__xludf.DUMMYFUNCTION("""COMPUTED_VALUE"""),"#REF!")</f>
        <v>#REF!</v>
      </c>
      <c r="N5543" s="17"/>
      <c r="O5543" s="17"/>
      <c r="P5543" s="17" t="b">
        <f>IFERROR(__xludf.DUMMYFUNCTION("""COMPUTED_VALUE"""),TRUE)</f>
        <v>1</v>
      </c>
      <c r="Q5543" s="20">
        <f>IFERROR(__xludf.DUMMYFUNCTION("""COMPUTED_VALUE"""),45161.539794641205)</f>
        <v>45161.53979</v>
      </c>
      <c r="R5543" s="21" t="str">
        <f>IFERROR(__xludf.DUMMYFUNCTION("""COMPUTED_VALUE"""),"https://drive.google.com/file/d/1h_xoRNYBT__3IhIbo-2ejsa4x-cFrcEw/view?usp=drivesdk")</f>
        <v>https://drive.google.com/file/d/1h_xoRNYBT__3IhIbo-2ejsa4x-cFrcEw/view?usp=drivesdk</v>
      </c>
    </row>
    <row r="5544">
      <c r="A5544" s="15">
        <f>IFERROR(__xludf.DUMMYFUNCTION("""COMPUTED_VALUE"""),45161.0)</f>
        <v>45161</v>
      </c>
      <c r="B5544" s="16" t="str">
        <f>IFERROR(__xludf.DUMMYFUNCTION("""COMPUTED_VALUE"""),"Johan Alexander Escobar Arroyo ")</f>
        <v>Johan Alexander Escobar Arroyo </v>
      </c>
      <c r="C5544" s="15" t="str">
        <f>IFERROR(__xludf.DUMMYFUNCTION("""COMPUTED_VALUE"""),"IBAGUÉ")</f>
        <v>IBAGUÉ</v>
      </c>
      <c r="D5544" s="15" t="str">
        <f>IFERROR(__xludf.DUMMYFUNCTION("""COMPUTED_VALUE"""),"MEDELLÍN")</f>
        <v>MEDELLÍN</v>
      </c>
      <c r="E5544" s="15" t="str">
        <f>IFERROR(__xludf.DUMMYFUNCTION("""COMPUTED_VALUE"""),"Rambla")</f>
        <v>Rambla</v>
      </c>
      <c r="F5544" s="17" t="str">
        <f>IFERROR(__xludf.DUMMYFUNCTION("""COMPUTED_VALUE"""),"Cra 14 #75A-29 local 5 estancia del vergel ibague - Tolima / - / -")</f>
        <v>Cra 14 #75A-29 local 5 estancia del vergel ibague - Tolima / - / -</v>
      </c>
      <c r="G5544" s="15" t="str">
        <f>IFERROR(__xludf.DUMMYFUNCTION("""COMPUTED_VALUE"""),"Natural Market")</f>
        <v>Natural Market</v>
      </c>
      <c r="H5544" s="16">
        <f>IFERROR(__xludf.DUMMYFUNCTION("""COMPUTED_VALUE"""),14261.0)</f>
        <v>14261</v>
      </c>
      <c r="I5544" s="18">
        <f>IFERROR(__xludf.DUMMYFUNCTION("""COMPUTED_VALUE"""),20.0)</f>
        <v>20</v>
      </c>
      <c r="J5544" s="18">
        <f>IFERROR(__xludf.DUMMYFUNCTION("""COMPUTED_VALUE"""),21.0)</f>
        <v>21</v>
      </c>
      <c r="K5544" s="18">
        <f>IFERROR(__xludf.DUMMYFUNCTION("""COMPUTED_VALUE"""),30.0)</f>
        <v>30</v>
      </c>
      <c r="L5544" s="17">
        <f>IFERROR(__xludf.DUMMYFUNCTION("""COMPUTED_VALUE"""),3.177002909E9)</f>
        <v>3177002909</v>
      </c>
      <c r="M5544" s="17" t="str">
        <f>IFERROR(__xludf.DUMMYFUNCTION("""COMPUTED_VALUE"""),"#REF!")</f>
        <v>#REF!</v>
      </c>
      <c r="N5544" s="17"/>
      <c r="O5544" s="17"/>
      <c r="P5544" s="17" t="b">
        <f>IFERROR(__xludf.DUMMYFUNCTION("""COMPUTED_VALUE"""),TRUE)</f>
        <v>1</v>
      </c>
      <c r="Q5544" s="20">
        <f>IFERROR(__xludf.DUMMYFUNCTION("""COMPUTED_VALUE"""),45161.638890462964)</f>
        <v>45161.63889</v>
      </c>
      <c r="R5544" s="21" t="str">
        <f>IFERROR(__xludf.DUMMYFUNCTION("""COMPUTED_VALUE"""),"https://drive.google.com/file/d/1AmxGp0MKOhhs-s6U4-r1PuMT1kcZwJGD/view?usp=drivesdk")</f>
        <v>https://drive.google.com/file/d/1AmxGp0MKOhhs-s6U4-r1PuMT1kcZwJGD/view?usp=drivesdk</v>
      </c>
    </row>
    <row r="5545">
      <c r="A5545" s="17" t="str">
        <f>IFERROR(__xludf.DUMMYFUNCTION("""COMPUTED_VALUE"""),"")</f>
        <v/>
      </c>
      <c r="B5545" s="17" t="str">
        <f>IFERROR(__xludf.DUMMYFUNCTION("""COMPUTED_VALUE"""),"")</f>
        <v/>
      </c>
      <c r="C5545" s="17" t="str">
        <f>IFERROR(__xludf.DUMMYFUNCTION("""COMPUTED_VALUE"""),"")</f>
        <v/>
      </c>
      <c r="D5545" s="17" t="str">
        <f>IFERROR(__xludf.DUMMYFUNCTION("""COMPUTED_VALUE"""),"")</f>
        <v/>
      </c>
      <c r="E5545" s="17" t="str">
        <f>IFERROR(__xludf.DUMMYFUNCTION("""COMPUTED_VALUE"""),"")</f>
        <v/>
      </c>
      <c r="F5545" s="17" t="str">
        <f>IFERROR(__xludf.DUMMYFUNCTION("""COMPUTED_VALUE"""),"")</f>
        <v/>
      </c>
      <c r="G5545" s="17" t="str">
        <f>IFERROR(__xludf.DUMMYFUNCTION("""COMPUTED_VALUE"""),"")</f>
        <v/>
      </c>
      <c r="H5545" s="17" t="str">
        <f>IFERROR(__xludf.DUMMYFUNCTION("""COMPUTED_VALUE"""),"")</f>
        <v/>
      </c>
      <c r="I5545" s="17" t="str">
        <f>IFERROR(__xludf.DUMMYFUNCTION("""COMPUTED_VALUE"""),"")</f>
        <v/>
      </c>
      <c r="J5545" s="17" t="str">
        <f>IFERROR(__xludf.DUMMYFUNCTION("""COMPUTED_VALUE"""),"")</f>
        <v/>
      </c>
      <c r="K5545" s="17" t="str">
        <f>IFERROR(__xludf.DUMMYFUNCTION("""COMPUTED_VALUE"""),"")</f>
        <v/>
      </c>
      <c r="L5545" s="17" t="str">
        <f>IFERROR(__xludf.DUMMYFUNCTION("""COMPUTED_VALUE"""),"")</f>
        <v/>
      </c>
      <c r="M5545" s="17" t="str">
        <f>IFERROR(__xludf.DUMMYFUNCTION("""COMPUTED_VALUE"""),"")</f>
        <v/>
      </c>
      <c r="N5545" s="17" t="str">
        <f>IFERROR(__xludf.DUMMYFUNCTION("""COMPUTED_VALUE"""),"")</f>
        <v/>
      </c>
      <c r="O5545" s="17" t="str">
        <f>IFERROR(__xludf.DUMMYFUNCTION("""COMPUTED_VALUE"""),"")</f>
        <v/>
      </c>
      <c r="P5545" s="17" t="str">
        <f>IFERROR(__xludf.DUMMYFUNCTION("""COMPUTED_VALUE"""),"")</f>
        <v/>
      </c>
      <c r="Q5545" s="17" t="str">
        <f>IFERROR(__xludf.DUMMYFUNCTION("""COMPUTED_VALUE"""),"")</f>
        <v/>
      </c>
      <c r="R5545" s="17" t="str">
        <f>IFERROR(__xludf.DUMMYFUNCTION("""COMPUTED_VALUE"""),"")</f>
        <v/>
      </c>
    </row>
    <row r="5546">
      <c r="A5546" s="15">
        <f>IFERROR(__xludf.DUMMYFUNCTION("""COMPUTED_VALUE"""),45161.0)</f>
        <v>45161</v>
      </c>
      <c r="B5546" s="16" t="str">
        <f>IFERROR(__xludf.DUMMYFUNCTION("""COMPUTED_VALUE"""),"Santiago Garces Restrepo")</f>
        <v>Santiago Garces Restrepo</v>
      </c>
      <c r="C5546" s="15" t="str">
        <f>IFERROR(__xludf.DUMMYFUNCTION("""COMPUTED_VALUE"""),"MEDELLÍN")</f>
        <v>MEDELLÍN</v>
      </c>
      <c r="D5546" s="15" t="str">
        <f>IFERROR(__xludf.DUMMYFUNCTION("""COMPUTED_VALUE"""),"BOGOTÁ")</f>
        <v>BOGOTÁ</v>
      </c>
      <c r="E5546" s="15" t="str">
        <f>IFERROR(__xludf.DUMMYFUNCTION("""COMPUTED_VALUE"""),"Asociacion Agropecuaria Juana Maria")</f>
        <v>Asociacion Agropecuaria Juana Maria</v>
      </c>
      <c r="F5546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5546" s="15" t="str">
        <f>IFERROR(__xludf.DUMMYFUNCTION("""COMPUTED_VALUE"""),"Jennifer Sanchez Blandon")</f>
        <v>Jennifer Sanchez Blandon</v>
      </c>
      <c r="H5546" s="16">
        <f>IFERROR(__xludf.DUMMYFUNCTION("""COMPUTED_VALUE"""),14159.0)</f>
        <v>14159</v>
      </c>
      <c r="I5546" s="18">
        <f>IFERROR(__xludf.DUMMYFUNCTION("""COMPUTED_VALUE"""),26.0)</f>
        <v>26</v>
      </c>
      <c r="J5546" s="18">
        <f>IFERROR(__xludf.DUMMYFUNCTION("""COMPUTED_VALUE"""),8.0)</f>
        <v>8</v>
      </c>
      <c r="K5546" s="18">
        <f>IFERROR(__xludf.DUMMYFUNCTION("""COMPUTED_VALUE"""),8.0)</f>
        <v>8</v>
      </c>
      <c r="L5546" s="17">
        <f>IFERROR(__xludf.DUMMYFUNCTION("""COMPUTED_VALUE"""),3.016937674E9)</f>
        <v>3016937674</v>
      </c>
      <c r="M5546" s="17" t="str">
        <f>IFERROR(__xludf.DUMMYFUNCTION("""COMPUTED_VALUE"""),"#REF!")</f>
        <v>#REF!</v>
      </c>
      <c r="N5546" s="17"/>
      <c r="O5546" s="17"/>
      <c r="P5546" s="17" t="b">
        <f>IFERROR(__xludf.DUMMYFUNCTION("""COMPUTED_VALUE"""),FALSE)</f>
        <v>0</v>
      </c>
      <c r="Q5546" s="20" t="str">
        <f>IFERROR(__xludf.DUMMYFUNCTION("""COMPUTED_VALUE"""),"")</f>
        <v/>
      </c>
      <c r="R5546" s="22" t="str">
        <f>IFERROR(__xludf.DUMMYFUNCTION("""COMPUTED_VALUE"""),"")</f>
        <v/>
      </c>
    </row>
    <row r="5547">
      <c r="A5547" s="15">
        <f>IFERROR(__xludf.DUMMYFUNCTION("""COMPUTED_VALUE"""),45161.0)</f>
        <v>45161</v>
      </c>
      <c r="B5547" s="16" t="str">
        <f>IFERROR(__xludf.DUMMYFUNCTION("""COMPUTED_VALUE"""),"Santiago Garces Restrepo")</f>
        <v>Santiago Garces Restrepo</v>
      </c>
      <c r="C5547" s="15" t="str">
        <f>IFERROR(__xludf.DUMMYFUNCTION("""COMPUTED_VALUE"""),"MEDELLÍN")</f>
        <v>MEDELLÍN</v>
      </c>
      <c r="D5547" s="15" t="str">
        <f>IFERROR(__xludf.DUMMYFUNCTION("""COMPUTED_VALUE"""),"BOGOTÁ")</f>
        <v>BOGOTÁ</v>
      </c>
      <c r="E5547" s="15" t="str">
        <f>IFERROR(__xludf.DUMMYFUNCTION("""COMPUTED_VALUE"""),"Asociacion Agropecuaria Juana Maria")</f>
        <v>Asociacion Agropecuaria Juana Maria</v>
      </c>
      <c r="F5547" s="17" t="str">
        <f>IFERROR(__xludf.DUMMYFUNCTION("""COMPUTED_VALUE"""),"Cra 82C # 30A-100 apto 1202 urbanizacion Torres de Vicuña Belen los Alpes")</f>
        <v>Cra 82C # 30A-100 apto 1202 urbanizacion Torres de Vicuña Belen los Alpes</v>
      </c>
      <c r="G5547" s="15" t="str">
        <f>IFERROR(__xludf.DUMMYFUNCTION("""COMPUTED_VALUE"""),"Gloria Moreno")</f>
        <v>Gloria Moreno</v>
      </c>
      <c r="H5547" s="16">
        <f>IFERROR(__xludf.DUMMYFUNCTION("""COMPUTED_VALUE"""),14163.0)</f>
        <v>14163</v>
      </c>
      <c r="I5547" s="18">
        <f>IFERROR(__xludf.DUMMYFUNCTION("""COMPUTED_VALUE"""),36.0)</f>
        <v>36</v>
      </c>
      <c r="J5547" s="18">
        <f>IFERROR(__xludf.DUMMYFUNCTION("""COMPUTED_VALUE"""),25.0)</f>
        <v>25</v>
      </c>
      <c r="K5547" s="18">
        <f>IFERROR(__xludf.DUMMYFUNCTION("""COMPUTED_VALUE"""),3.0)</f>
        <v>3</v>
      </c>
      <c r="L5547" s="17">
        <f>IFERROR(__xludf.DUMMYFUNCTION("""COMPUTED_VALUE"""),3.162544201E9)</f>
        <v>3162544201</v>
      </c>
      <c r="M5547" s="17" t="str">
        <f>IFERROR(__xludf.DUMMYFUNCTION("""COMPUTED_VALUE"""),"#REF!")</f>
        <v>#REF!</v>
      </c>
      <c r="N5547" s="17"/>
      <c r="O5547" s="17"/>
      <c r="P5547" s="17" t="b">
        <f>IFERROR(__xludf.DUMMYFUNCTION("""COMPUTED_VALUE"""),FALSE)</f>
        <v>0</v>
      </c>
      <c r="Q5547" s="20" t="str">
        <f>IFERROR(__xludf.DUMMYFUNCTION("""COMPUTED_VALUE"""),"")</f>
        <v/>
      </c>
      <c r="R5547" s="22" t="str">
        <f>IFERROR(__xludf.DUMMYFUNCTION("""COMPUTED_VALUE"""),"")</f>
        <v/>
      </c>
    </row>
    <row r="5548">
      <c r="A5548" s="15">
        <f>IFERROR(__xludf.DUMMYFUNCTION("""COMPUTED_VALUE"""),45161.0)</f>
        <v>45161</v>
      </c>
      <c r="B5548" s="16" t="str">
        <f>IFERROR(__xludf.DUMMYFUNCTION("""COMPUTED_VALUE"""),"Santiago Garces Restrepo")</f>
        <v>Santiago Garces Restrepo</v>
      </c>
      <c r="C5548" s="15" t="str">
        <f>IFERROR(__xludf.DUMMYFUNCTION("""COMPUTED_VALUE"""),"MEDELLÍN")</f>
        <v>MEDELLÍN</v>
      </c>
      <c r="D5548" s="15" t="str">
        <f>IFERROR(__xludf.DUMMYFUNCTION("""COMPUTED_VALUE"""),"BOGOTÁ")</f>
        <v>BOGOTÁ</v>
      </c>
      <c r="E5548" s="15" t="str">
        <f>IFERROR(__xludf.DUMMYFUNCTION("""COMPUTED_VALUE"""),"Cala Trading")</f>
        <v>Cala Trading</v>
      </c>
      <c r="F5548" s="17" t="str">
        <f>IFERROR(__xludf.DUMMYFUNCTION("""COMPUTED_VALUE"""),"Calle 64 # 56A - 47 / BODEGA E INSTALACIONES FRICAR / Barrio Chagualo")</f>
        <v>Calle 64 # 56A - 47 / BODEGA E INSTALACIONES FRICAR / Barrio Chagualo</v>
      </c>
      <c r="G5548" s="15" t="str">
        <f>IFERROR(__xludf.DUMMYFUNCTION("""COMPUTED_VALUE"""),"Camilo Soto Santana - FRICAR")</f>
        <v>Camilo Soto Santana - FRICAR</v>
      </c>
      <c r="H5548" s="16">
        <f>IFERROR(__xludf.DUMMYFUNCTION("""COMPUTED_VALUE"""),14247.0)</f>
        <v>14247</v>
      </c>
      <c r="I5548" s="18">
        <f>IFERROR(__xludf.DUMMYFUNCTION("""COMPUTED_VALUE"""),40.0)</f>
        <v>40</v>
      </c>
      <c r="J5548" s="18">
        <f>IFERROR(__xludf.DUMMYFUNCTION("""COMPUTED_VALUE"""),35.0)</f>
        <v>35</v>
      </c>
      <c r="K5548" s="18">
        <f>IFERROR(__xludf.DUMMYFUNCTION("""COMPUTED_VALUE"""),60.0)</f>
        <v>60</v>
      </c>
      <c r="L5548" s="17">
        <f>IFERROR(__xludf.DUMMYFUNCTION("""COMPUTED_VALUE"""),3.043873662E9)</f>
        <v>3043873662</v>
      </c>
      <c r="M5548" s="17" t="str">
        <f>IFERROR(__xludf.DUMMYFUNCTION("""COMPUTED_VALUE"""),"#REF!")</f>
        <v>#REF!</v>
      </c>
      <c r="N5548" s="17"/>
      <c r="O5548" s="17"/>
      <c r="P5548" s="17" t="b">
        <f>IFERROR(__xludf.DUMMYFUNCTION("""COMPUTED_VALUE"""),FALSE)</f>
        <v>0</v>
      </c>
      <c r="Q5548" s="20" t="str">
        <f>IFERROR(__xludf.DUMMYFUNCTION("""COMPUTED_VALUE"""),"")</f>
        <v/>
      </c>
      <c r="R5548" s="22" t="str">
        <f>IFERROR(__xludf.DUMMYFUNCTION("""COMPUTED_VALUE"""),"")</f>
        <v/>
      </c>
    </row>
    <row r="5549">
      <c r="A5549" s="15">
        <f>IFERROR(__xludf.DUMMYFUNCTION("""COMPUTED_VALUE"""),45161.0)</f>
        <v>45161</v>
      </c>
      <c r="B5549" s="16" t="str">
        <f>IFERROR(__xludf.DUMMYFUNCTION("""COMPUTED_VALUE"""),"Santiago Garces Restrepo")</f>
        <v>Santiago Garces Restrepo</v>
      </c>
      <c r="C5549" s="15" t="str">
        <f>IFERROR(__xludf.DUMMYFUNCTION("""COMPUTED_VALUE"""),"MEDELLÍN")</f>
        <v>MEDELLÍN</v>
      </c>
      <c r="D5549" s="15" t="str">
        <f>IFERROR(__xludf.DUMMYFUNCTION("""COMPUTED_VALUE"""),"BOGOTÁ")</f>
        <v>BOGOTÁ</v>
      </c>
      <c r="E5549" s="15" t="str">
        <f>IFERROR(__xludf.DUMMYFUNCTION("""COMPUTED_VALUE"""),"Evamazzita")</f>
        <v>Evamazzita</v>
      </c>
      <c r="F5549" s="17" t="str">
        <f>IFERROR(__xludf.DUMMYFUNCTION("""COMPUTED_VALUE"""),"Calle 77a#88-35 / Casa 36/urbanizacion Villa Fernanda / Barrio Robledo")</f>
        <v>Calle 77a#88-35 / Casa 36/urbanizacion Villa Fernanda / Barrio Robledo</v>
      </c>
      <c r="G5549" s="15" t="str">
        <f>IFERROR(__xludf.DUMMYFUNCTION("""COMPUTED_VALUE"""),"BLANCA INES GOMEZ ALVAREZ")</f>
        <v>BLANCA INES GOMEZ ALVAREZ</v>
      </c>
      <c r="H5549" s="16">
        <f>IFERROR(__xludf.DUMMYFUNCTION("""COMPUTED_VALUE"""),14210.0)</f>
        <v>14210</v>
      </c>
      <c r="I5549" s="18">
        <f>IFERROR(__xludf.DUMMYFUNCTION("""COMPUTED_VALUE"""),1.0)</f>
        <v>1</v>
      </c>
      <c r="J5549" s="18">
        <f>IFERROR(__xludf.DUMMYFUNCTION("""COMPUTED_VALUE"""),1.0)</f>
        <v>1</v>
      </c>
      <c r="K5549" s="18">
        <f>IFERROR(__xludf.DUMMYFUNCTION("""COMPUTED_VALUE"""),1.0)</f>
        <v>1</v>
      </c>
      <c r="L5549" s="17">
        <f>IFERROR(__xludf.DUMMYFUNCTION("""COMPUTED_VALUE"""),3.137121846E9)</f>
        <v>3137121846</v>
      </c>
      <c r="M5549" s="17" t="str">
        <f>IFERROR(__xludf.DUMMYFUNCTION("""COMPUTED_VALUE"""),"#REF!")</f>
        <v>#REF!</v>
      </c>
      <c r="N5549" s="17"/>
      <c r="O5549" s="17"/>
      <c r="P5549" s="17" t="b">
        <f>IFERROR(__xludf.DUMMYFUNCTION("""COMPUTED_VALUE"""),FALSE)</f>
        <v>0</v>
      </c>
      <c r="Q5549" s="20" t="str">
        <f>IFERROR(__xludf.DUMMYFUNCTION("""COMPUTED_VALUE"""),"")</f>
        <v/>
      </c>
      <c r="R5549" s="22" t="str">
        <f>IFERROR(__xludf.DUMMYFUNCTION("""COMPUTED_VALUE"""),"")</f>
        <v/>
      </c>
    </row>
    <row r="5550">
      <c r="A5550" s="15">
        <f>IFERROR(__xludf.DUMMYFUNCTION("""COMPUTED_VALUE"""),45161.0)</f>
        <v>45161</v>
      </c>
      <c r="B5550" s="16" t="str">
        <f>IFERROR(__xludf.DUMMYFUNCTION("""COMPUTED_VALUE"""),"Santiago Garces Restrepo")</f>
        <v>Santiago Garces Restrepo</v>
      </c>
      <c r="C5550" s="15" t="str">
        <f>IFERROR(__xludf.DUMMYFUNCTION("""COMPUTED_VALUE"""),"MEDELLÍN")</f>
        <v>MEDELLÍN</v>
      </c>
      <c r="D5550" s="15" t="str">
        <f>IFERROR(__xludf.DUMMYFUNCTION("""COMPUTED_VALUE"""),"BOGOTÁ")</f>
        <v>BOGOTÁ</v>
      </c>
      <c r="E5550" s="15" t="str">
        <f>IFERROR(__xludf.DUMMYFUNCTION("""COMPUTED_VALUE"""),"Evamazzita")</f>
        <v>Evamazzita</v>
      </c>
      <c r="F5550" s="17" t="str">
        <f>IFERROR(__xludf.DUMMYFUNCTION("""COMPUTED_VALUE"""),"Carrera 40#74sur 90 / Edificio San Basilio/apto 1623 / Barrio Aves Maria")</f>
        <v>Carrera 40#74sur 90 / Edificio San Basilio/apto 1623 / Barrio Aves Maria</v>
      </c>
      <c r="G5550" s="15" t="str">
        <f>IFERROR(__xludf.DUMMYFUNCTION("""COMPUTED_VALUE"""),"MARIA CAMILA MORALES RIVERA")</f>
        <v>MARIA CAMILA MORALES RIVERA</v>
      </c>
      <c r="H5550" s="16">
        <f>IFERROR(__xludf.DUMMYFUNCTION("""COMPUTED_VALUE"""),14211.0)</f>
        <v>14211</v>
      </c>
      <c r="I5550" s="18">
        <f>IFERROR(__xludf.DUMMYFUNCTION("""COMPUTED_VALUE"""),1.0)</f>
        <v>1</v>
      </c>
      <c r="J5550" s="18">
        <f>IFERROR(__xludf.DUMMYFUNCTION("""COMPUTED_VALUE"""),1.0)</f>
        <v>1</v>
      </c>
      <c r="K5550" s="18">
        <f>IFERROR(__xludf.DUMMYFUNCTION("""COMPUTED_VALUE"""),1.0)</f>
        <v>1</v>
      </c>
      <c r="L5550" s="17">
        <f>IFERROR(__xludf.DUMMYFUNCTION("""COMPUTED_VALUE"""),3.042181932E9)</f>
        <v>3042181932</v>
      </c>
      <c r="M5550" s="17" t="str">
        <f>IFERROR(__xludf.DUMMYFUNCTION("""COMPUTED_VALUE"""),"#REF!")</f>
        <v>#REF!</v>
      </c>
      <c r="N5550" s="17"/>
      <c r="O5550" s="17"/>
      <c r="P5550" s="17" t="b">
        <f>IFERROR(__xludf.DUMMYFUNCTION("""COMPUTED_VALUE"""),TRUE)</f>
        <v>1</v>
      </c>
      <c r="Q5550" s="20">
        <f>IFERROR(__xludf.DUMMYFUNCTION("""COMPUTED_VALUE"""),45166.59361355324)</f>
        <v>45166.59361</v>
      </c>
      <c r="R5550" s="22" t="str">
        <f>IFERROR(__xludf.DUMMYFUNCTION("""COMPUTED_VALUE"""),"")</f>
        <v/>
      </c>
    </row>
    <row r="5551">
      <c r="A5551" s="15">
        <f>IFERROR(__xludf.DUMMYFUNCTION("""COMPUTED_VALUE"""),45161.0)</f>
        <v>45161</v>
      </c>
      <c r="B5551" s="16" t="str">
        <f>IFERROR(__xludf.DUMMYFUNCTION("""COMPUTED_VALUE"""),"Santiago Garces Restrepo")</f>
        <v>Santiago Garces Restrepo</v>
      </c>
      <c r="C5551" s="15" t="str">
        <f>IFERROR(__xludf.DUMMYFUNCTION("""COMPUTED_VALUE"""),"MEDELLÍN")</f>
        <v>MEDELLÍN</v>
      </c>
      <c r="D5551" s="15" t="str">
        <f>IFERROR(__xludf.DUMMYFUNCTION("""COMPUTED_VALUE"""),"BOGOTÁ")</f>
        <v>BOGOTÁ</v>
      </c>
      <c r="E5551" s="15" t="str">
        <f>IFERROR(__xludf.DUMMYFUNCTION("""COMPUTED_VALUE"""),"Evamazzita")</f>
        <v>Evamazzita</v>
      </c>
      <c r="F5551" s="17" t="str">
        <f>IFERROR(__xludf.DUMMYFUNCTION("""COMPUTED_VALUE"""),"Crarrera 15 BA#34D-44 / Int 201 / Buenos Aires")</f>
        <v>Crarrera 15 BA#34D-44 / Int 201 / Buenos Aires</v>
      </c>
      <c r="G5551" s="15" t="str">
        <f>IFERROR(__xludf.DUMMYFUNCTION("""COMPUTED_VALUE"""),"DANIELA BEDOYA BLANDON")</f>
        <v>DANIELA BEDOYA BLANDON</v>
      </c>
      <c r="H5551" s="16">
        <f>IFERROR(__xludf.DUMMYFUNCTION("""COMPUTED_VALUE"""),14205.0)</f>
        <v>14205</v>
      </c>
      <c r="I5551" s="18">
        <f>IFERROR(__xludf.DUMMYFUNCTION("""COMPUTED_VALUE"""),13.0)</f>
        <v>13</v>
      </c>
      <c r="J5551" s="18">
        <f>IFERROR(__xludf.DUMMYFUNCTION("""COMPUTED_VALUE"""),37.0)</f>
        <v>37</v>
      </c>
      <c r="K5551" s="18">
        <f>IFERROR(__xludf.DUMMYFUNCTION("""COMPUTED_VALUE"""),31.0)</f>
        <v>31</v>
      </c>
      <c r="L5551" s="17">
        <f>IFERROR(__xludf.DUMMYFUNCTION("""COMPUTED_VALUE"""),3.14672822E9)</f>
        <v>3146728220</v>
      </c>
      <c r="M5551" s="17" t="str">
        <f>IFERROR(__xludf.DUMMYFUNCTION("""COMPUTED_VALUE"""),"#REF!")</f>
        <v>#REF!</v>
      </c>
      <c r="N5551" s="17"/>
      <c r="O5551" s="17"/>
      <c r="P5551" s="17" t="b">
        <f>IFERROR(__xludf.DUMMYFUNCTION("""COMPUTED_VALUE"""),TRUE)</f>
        <v>1</v>
      </c>
      <c r="Q5551" s="20">
        <f>IFERROR(__xludf.DUMMYFUNCTION("""COMPUTED_VALUE"""),45166.593613564815)</f>
        <v>45166.59361</v>
      </c>
      <c r="R5551" s="22" t="str">
        <f>IFERROR(__xludf.DUMMYFUNCTION("""COMPUTED_VALUE"""),"")</f>
        <v/>
      </c>
    </row>
    <row r="5552">
      <c r="A5552" s="15">
        <f>IFERROR(__xludf.DUMMYFUNCTION("""COMPUTED_VALUE"""),45161.0)</f>
        <v>45161</v>
      </c>
      <c r="B5552" s="16" t="str">
        <f>IFERROR(__xludf.DUMMYFUNCTION("""COMPUTED_VALUE"""),"Santiago Garces Restrepo")</f>
        <v>Santiago Garces Restrepo</v>
      </c>
      <c r="C5552" s="15" t="str">
        <f>IFERROR(__xludf.DUMMYFUNCTION("""COMPUTED_VALUE"""),"MEDELLÍN")</f>
        <v>MEDELLÍN</v>
      </c>
      <c r="D5552" s="15" t="str">
        <f>IFERROR(__xludf.DUMMYFUNCTION("""COMPUTED_VALUE"""),"BOGOTÁ")</f>
        <v>BOGOTÁ</v>
      </c>
      <c r="E5552" s="15" t="str">
        <f>IFERROR(__xludf.DUMMYFUNCTION("""COMPUTED_VALUE"""),"Frambascolombia sas")</f>
        <v>Frambascolombia sas</v>
      </c>
      <c r="F5552" s="17" t="str">
        <f>IFERROR(__xludf.DUMMYFUNCTION("""COMPUTED_VALUE"""),"Cl. 16 #55-129 / local 2")</f>
        <v>Cl. 16 #55-129 / local 2</v>
      </c>
      <c r="G5552" s="15" t="str">
        <f>IFERROR(__xludf.DUMMYFUNCTION("""COMPUTED_VALUE"""),"PikNPak Medellín")</f>
        <v>PikNPak Medellín</v>
      </c>
      <c r="H5552" s="16">
        <f>IFERROR(__xludf.DUMMYFUNCTION("""COMPUTED_VALUE"""),14186.0)</f>
        <v>14186</v>
      </c>
      <c r="I5552" s="18">
        <f>IFERROR(__xludf.DUMMYFUNCTION("""COMPUTED_VALUE"""),45057.0)</f>
        <v>45057</v>
      </c>
      <c r="J5552" s="18">
        <f>IFERROR(__xludf.DUMMYFUNCTION("""COMPUTED_VALUE"""),10.0)</f>
        <v>10</v>
      </c>
      <c r="K5552" s="18">
        <f>IFERROR(__xludf.DUMMYFUNCTION("""COMPUTED_VALUE"""),10.0)</f>
        <v>10</v>
      </c>
      <c r="L5552" s="17" t="str">
        <f>IFERROR(__xludf.DUMMYFUNCTION("""COMPUTED_VALUE"""),"321 4229567")</f>
        <v>321 4229567</v>
      </c>
      <c r="M5552" s="17" t="str">
        <f>IFERROR(__xludf.DUMMYFUNCTION("""COMPUTED_VALUE"""),"#REF!")</f>
        <v>#REF!</v>
      </c>
      <c r="N5552" s="17"/>
      <c r="O5552" s="17"/>
      <c r="P5552" s="17" t="b">
        <f>IFERROR(__xludf.DUMMYFUNCTION("""COMPUTED_VALUE"""),TRUE)</f>
        <v>1</v>
      </c>
      <c r="Q5552" s="20">
        <f>IFERROR(__xludf.DUMMYFUNCTION("""COMPUTED_VALUE"""),45166.593613564815)</f>
        <v>45166.59361</v>
      </c>
      <c r="R5552" s="22" t="str">
        <f>IFERROR(__xludf.DUMMYFUNCTION("""COMPUTED_VALUE"""),"")</f>
        <v/>
      </c>
    </row>
    <row r="5553">
      <c r="A5553" s="15">
        <f>IFERROR(__xludf.DUMMYFUNCTION("""COMPUTED_VALUE"""),45161.0)</f>
        <v>45161</v>
      </c>
      <c r="B5553" s="16" t="str">
        <f>IFERROR(__xludf.DUMMYFUNCTION("""COMPUTED_VALUE"""),"Santiago Garces Restrepo")</f>
        <v>Santiago Garces Restrepo</v>
      </c>
      <c r="C5553" s="15" t="str">
        <f>IFERROR(__xludf.DUMMYFUNCTION("""COMPUTED_VALUE"""),"MEDELLÍN")</f>
        <v>MEDELLÍN</v>
      </c>
      <c r="D5553" s="15" t="str">
        <f>IFERROR(__xludf.DUMMYFUNCTION("""COMPUTED_VALUE"""),"BOGOTÁ")</f>
        <v>BOGOTÁ</v>
      </c>
      <c r="E5553" s="15" t="str">
        <f>IFERROR(__xludf.DUMMYFUNCTION("""COMPUTED_VALUE"""),"Ins. Alimento Vital")</f>
        <v>Ins. Alimento Vital</v>
      </c>
      <c r="F5553" s="17" t="str">
        <f>IFERROR(__xludf.DUMMYFUNCTION("""COMPUTED_VALUE"""),"CR 44 26 27 / BODEGA / EL POBLADO")</f>
        <v>CR 44 26 27 / BODEGA / EL POBLADO</v>
      </c>
      <c r="G5553" s="15" t="str">
        <f>IFERROR(__xludf.DUMMYFUNCTION("""COMPUTED_VALUE"""),"VELOCITY MEDELLIN")</f>
        <v>VELOCITY MEDELLIN</v>
      </c>
      <c r="H5553" s="16">
        <f>IFERROR(__xludf.DUMMYFUNCTION("""COMPUTED_VALUE"""),14231.0)</f>
        <v>14231</v>
      </c>
      <c r="I5553" s="18">
        <f>IFERROR(__xludf.DUMMYFUNCTION("""COMPUTED_VALUE"""),1.0)</f>
        <v>1</v>
      </c>
      <c r="J5553" s="18">
        <f>IFERROR(__xludf.DUMMYFUNCTION("""COMPUTED_VALUE"""),1.0)</f>
        <v>1</v>
      </c>
      <c r="K5553" s="18">
        <f>IFERROR(__xludf.DUMMYFUNCTION("""COMPUTED_VALUE"""),1.0)</f>
        <v>1</v>
      </c>
      <c r="L5553" s="17">
        <f>IFERROR(__xludf.DUMMYFUNCTION("""COMPUTED_VALUE"""),3.214683372E9)</f>
        <v>3214683372</v>
      </c>
      <c r="M5553" s="17" t="str">
        <f>IFERROR(__xludf.DUMMYFUNCTION("""COMPUTED_VALUE"""),"#REF!")</f>
        <v>#REF!</v>
      </c>
      <c r="N5553" s="17"/>
      <c r="O5553" s="17"/>
      <c r="P5553" s="17" t="b">
        <f>IFERROR(__xludf.DUMMYFUNCTION("""COMPUTED_VALUE"""),TRUE)</f>
        <v>1</v>
      </c>
      <c r="Q5553" s="20">
        <f>IFERROR(__xludf.DUMMYFUNCTION("""COMPUTED_VALUE"""),45166.593613564815)</f>
        <v>45166.59361</v>
      </c>
      <c r="R5553" s="22" t="str">
        <f>IFERROR(__xludf.DUMMYFUNCTION("""COMPUTED_VALUE"""),"")</f>
        <v/>
      </c>
    </row>
    <row r="5554">
      <c r="A5554" s="15">
        <f>IFERROR(__xludf.DUMMYFUNCTION("""COMPUTED_VALUE"""),45161.0)</f>
        <v>45161</v>
      </c>
      <c r="B5554" s="16" t="str">
        <f>IFERROR(__xludf.DUMMYFUNCTION("""COMPUTED_VALUE"""),"Santiago Garces Restrepo")</f>
        <v>Santiago Garces Restrepo</v>
      </c>
      <c r="C5554" s="15" t="str">
        <f>IFERROR(__xludf.DUMMYFUNCTION("""COMPUTED_VALUE"""),"MEDELLÍN")</f>
        <v>MEDELLÍN</v>
      </c>
      <c r="D5554" s="15" t="str">
        <f>IFERROR(__xludf.DUMMYFUNCTION("""COMPUTED_VALUE"""),"BOGOTÁ")</f>
        <v>BOGOTÁ</v>
      </c>
      <c r="E5554" s="15" t="str">
        <f>IFERROR(__xludf.DUMMYFUNCTION("""COMPUTED_VALUE"""),"Lunchy Kids")</f>
        <v>Lunchy Kids</v>
      </c>
      <c r="F5554" s="17" t="str">
        <f>IFERROR(__xludf.DUMMYFUNCTION("""COMPUTED_VALUE"""),"Diagonal 43 # 34e - 20   / Torre 5 Apartamento 1639  / Bello")</f>
        <v>Diagonal 43 # 34e - 20   / Torre 5 Apartamento 1639  / Bello</v>
      </c>
      <c r="G5554" s="15" t="str">
        <f>IFERROR(__xludf.DUMMYFUNCTION("""COMPUTED_VALUE"""),"Julissa Anaya")</f>
        <v>Julissa Anaya</v>
      </c>
      <c r="H5554" s="16">
        <f>IFERROR(__xludf.DUMMYFUNCTION("""COMPUTED_VALUE"""),14193.0)</f>
        <v>14193</v>
      </c>
      <c r="I5554" s="18">
        <f>IFERROR(__xludf.DUMMYFUNCTION("""COMPUTED_VALUE"""),10.0)</f>
        <v>10</v>
      </c>
      <c r="J5554" s="18">
        <f>IFERROR(__xludf.DUMMYFUNCTION("""COMPUTED_VALUE"""),25.0)</f>
        <v>25</v>
      </c>
      <c r="K5554" s="18">
        <f>IFERROR(__xludf.DUMMYFUNCTION("""COMPUTED_VALUE"""),26.0)</f>
        <v>26</v>
      </c>
      <c r="L5554" s="17">
        <f>IFERROR(__xludf.DUMMYFUNCTION("""COMPUTED_VALUE"""),3.104301008E9)</f>
        <v>3104301008</v>
      </c>
      <c r="M5554" s="17" t="str">
        <f>IFERROR(__xludf.DUMMYFUNCTION("""COMPUTED_VALUE"""),"#REF!")</f>
        <v>#REF!</v>
      </c>
      <c r="N5554" s="17"/>
      <c r="O5554" s="17"/>
      <c r="P5554" s="17" t="b">
        <f>IFERROR(__xludf.DUMMYFUNCTION("""COMPUTED_VALUE"""),FALSE)</f>
        <v>0</v>
      </c>
      <c r="Q5554" s="20" t="str">
        <f>IFERROR(__xludf.DUMMYFUNCTION("""COMPUTED_VALUE"""),"")</f>
        <v/>
      </c>
      <c r="R5554" s="22" t="str">
        <f>IFERROR(__xludf.DUMMYFUNCTION("""COMPUTED_VALUE"""),"")</f>
        <v/>
      </c>
    </row>
    <row r="5555">
      <c r="A5555" s="15">
        <f>IFERROR(__xludf.DUMMYFUNCTION("""COMPUTED_VALUE"""),45161.0)</f>
        <v>45161</v>
      </c>
      <c r="B5555" s="16" t="str">
        <f>IFERROR(__xludf.DUMMYFUNCTION("""COMPUTED_VALUE"""),"Santiago Garces Restrepo")</f>
        <v>Santiago Garces Restrepo</v>
      </c>
      <c r="C5555" s="15" t="str">
        <f>IFERROR(__xludf.DUMMYFUNCTION("""COMPUTED_VALUE"""),"MEDELLÍN")</f>
        <v>MEDELLÍN</v>
      </c>
      <c r="D5555" s="15" t="str">
        <f>IFERROR(__xludf.DUMMYFUNCTION("""COMPUTED_VALUE"""),"BOGOTÁ")</f>
        <v>BOGOTÁ</v>
      </c>
      <c r="E5555" s="15" t="str">
        <f>IFERROR(__xludf.DUMMYFUNCTION("""COMPUTED_VALUE"""),"My Choice")</f>
        <v>My Choice</v>
      </c>
      <c r="F5555" s="17" t="str">
        <f>IFERROR(__xludf.DUMMYFUNCTION("""COMPUTED_VALUE"""),"Cra. 22a ##20a Sur-19 Apto 303  Puente Aviñon- Por san lucas  / Puente Aviñón  / San Lucas")</f>
        <v>Cra. 22a ##20a Sur-19 Apto 303  Puente Aviñon- Por san lucas  / Puente Aviñón  / San Lucas</v>
      </c>
      <c r="G5555" s="15" t="str">
        <f>IFERROR(__xludf.DUMMYFUNCTION("""COMPUTED_VALUE"""),"Juanita mess")</f>
        <v>Juanita mess</v>
      </c>
      <c r="H5555" s="16">
        <f>IFERROR(__xludf.DUMMYFUNCTION("""COMPUTED_VALUE"""),14256.0)</f>
        <v>14256</v>
      </c>
      <c r="I5555" s="18">
        <f>IFERROR(__xludf.DUMMYFUNCTION("""COMPUTED_VALUE"""),13.0)</f>
        <v>13</v>
      </c>
      <c r="J5555" s="18">
        <f>IFERROR(__xludf.DUMMYFUNCTION("""COMPUTED_VALUE"""),26.0)</f>
        <v>26</v>
      </c>
      <c r="K5555" s="18">
        <f>IFERROR(__xludf.DUMMYFUNCTION("""COMPUTED_VALUE"""),29.0)</f>
        <v>29</v>
      </c>
      <c r="L5555" s="17">
        <f>IFERROR(__xludf.DUMMYFUNCTION("""COMPUTED_VALUE"""),3.008534213E9)</f>
        <v>3008534213</v>
      </c>
      <c r="M5555" s="17" t="str">
        <f>IFERROR(__xludf.DUMMYFUNCTION("""COMPUTED_VALUE"""),"#REF!")</f>
        <v>#REF!</v>
      </c>
      <c r="N5555" s="17"/>
      <c r="O5555" s="17"/>
      <c r="P5555" s="17" t="b">
        <f>IFERROR(__xludf.DUMMYFUNCTION("""COMPUTED_VALUE"""),FALSE)</f>
        <v>0</v>
      </c>
      <c r="Q5555" s="20" t="str">
        <f>IFERROR(__xludf.DUMMYFUNCTION("""COMPUTED_VALUE"""),"")</f>
        <v/>
      </c>
      <c r="R5555" s="22" t="str">
        <f>IFERROR(__xludf.DUMMYFUNCTION("""COMPUTED_VALUE"""),"")</f>
        <v/>
      </c>
    </row>
    <row r="5556">
      <c r="A5556" s="15">
        <f>IFERROR(__xludf.DUMMYFUNCTION("""COMPUTED_VALUE"""),45161.0)</f>
        <v>45161</v>
      </c>
      <c r="B5556" s="16" t="str">
        <f>IFERROR(__xludf.DUMMYFUNCTION("""COMPUTED_VALUE"""),"Santiago Garces Restrepo")</f>
        <v>Santiago Garces Restrepo</v>
      </c>
      <c r="C5556" s="15" t="str">
        <f>IFERROR(__xludf.DUMMYFUNCTION("""COMPUTED_VALUE"""),"MEDELLÍN")</f>
        <v>MEDELLÍN</v>
      </c>
      <c r="D5556" s="15" t="str">
        <f>IFERROR(__xludf.DUMMYFUNCTION("""COMPUTED_VALUE"""),"BOGOTÁ")</f>
        <v>BOGOTÁ</v>
      </c>
      <c r="E5556" s="15" t="str">
        <f>IFERROR(__xludf.DUMMYFUNCTION("""COMPUTED_VALUE"""),"Pan de Waffle")</f>
        <v>Pan de Waffle</v>
      </c>
      <c r="F5556" s="17" t="str">
        <f>IFERROR(__xludf.DUMMYFUNCTION("""COMPUTED_VALUE"""),"Carrera 39 # 59 - 32 / Carrera 39 # 59 - 32 / Carrera 39 # 59 - 32")</f>
        <v>Carrera 39 # 59 - 32 / Carrera 39 # 59 - 32 / Carrera 39 # 59 - 32</v>
      </c>
      <c r="G5556" s="15" t="str">
        <f>IFERROR(__xludf.DUMMYFUNCTION("""COMPUTED_VALUE"""),"FOODOLOGY")</f>
        <v>FOODOLOGY</v>
      </c>
      <c r="H5556" s="16">
        <f>IFERROR(__xludf.DUMMYFUNCTION("""COMPUTED_VALUE"""),14239.0)</f>
        <v>14239</v>
      </c>
      <c r="I5556" s="18">
        <f>IFERROR(__xludf.DUMMYFUNCTION("""COMPUTED_VALUE"""),40.0)</f>
        <v>40</v>
      </c>
      <c r="J5556" s="18">
        <f>IFERROR(__xludf.DUMMYFUNCTION("""COMPUTED_VALUE"""),30.0)</f>
        <v>30</v>
      </c>
      <c r="K5556" s="18">
        <f>IFERROR(__xludf.DUMMYFUNCTION("""COMPUTED_VALUE"""),40.0)</f>
        <v>40</v>
      </c>
      <c r="L5556" s="17">
        <f>IFERROR(__xludf.DUMMYFUNCTION("""COMPUTED_VALUE"""),3.123558292E9)</f>
        <v>3123558292</v>
      </c>
      <c r="M5556" s="17" t="str">
        <f>IFERROR(__xludf.DUMMYFUNCTION("""COMPUTED_VALUE"""),"#REF!")</f>
        <v>#REF!</v>
      </c>
      <c r="N5556" s="17"/>
      <c r="O5556" s="17"/>
      <c r="P5556" s="17" t="b">
        <f>IFERROR(__xludf.DUMMYFUNCTION("""COMPUTED_VALUE"""),FALSE)</f>
        <v>0</v>
      </c>
      <c r="Q5556" s="20" t="str">
        <f>IFERROR(__xludf.DUMMYFUNCTION("""COMPUTED_VALUE"""),"")</f>
        <v/>
      </c>
      <c r="R5556" s="22" t="str">
        <f>IFERROR(__xludf.DUMMYFUNCTION("""COMPUTED_VALUE"""),"")</f>
        <v/>
      </c>
    </row>
    <row r="5557">
      <c r="A5557" s="15">
        <f>IFERROR(__xludf.DUMMYFUNCTION("""COMPUTED_VALUE"""),45161.0)</f>
        <v>45161</v>
      </c>
      <c r="B5557" s="16" t="str">
        <f>IFERROR(__xludf.DUMMYFUNCTION("""COMPUTED_VALUE"""),"Santiago Garces Restrepo")</f>
        <v>Santiago Garces Restrepo</v>
      </c>
      <c r="C5557" s="15" t="str">
        <f>IFERROR(__xludf.DUMMYFUNCTION("""COMPUTED_VALUE"""),"MEDELLÍN")</f>
        <v>MEDELLÍN</v>
      </c>
      <c r="D5557" s="15" t="str">
        <f>IFERROR(__xludf.DUMMYFUNCTION("""COMPUTED_VALUE"""),"BOGOTÁ")</f>
        <v>BOGOTÁ</v>
      </c>
      <c r="E5557" s="15" t="str">
        <f>IFERROR(__xludf.DUMMYFUNCTION("""COMPUTED_VALUE"""),"Pan de Waffle")</f>
        <v>Pan de Waffle</v>
      </c>
      <c r="F5557" s="17" t="str">
        <f>IFERROR(__xludf.DUMMYFUNCTION("""COMPUTED_VALUE"""),"Carrera 39a # 18B sur - 111 / Carrera 39a # 18B sur - 111 / Carrera 39a # 18B sur - 111")</f>
        <v>Carrera 39a # 18B sur - 111 / Carrera 39a # 18B sur - 111 / Carrera 39a # 18B sur - 111</v>
      </c>
      <c r="G5557" s="15" t="str">
        <f>IFERROR(__xludf.DUMMYFUNCTION("""COMPUTED_VALUE"""),"RAPPITURBO LA FRONTERA")</f>
        <v>RAPPITURBO LA FRONTERA</v>
      </c>
      <c r="H5557" s="16">
        <f>IFERROR(__xludf.DUMMYFUNCTION("""COMPUTED_VALUE"""),14241.0)</f>
        <v>14241</v>
      </c>
      <c r="I5557" s="18">
        <f>IFERROR(__xludf.DUMMYFUNCTION("""COMPUTED_VALUE"""),40.0)</f>
        <v>40</v>
      </c>
      <c r="J5557" s="18">
        <f>IFERROR(__xludf.DUMMYFUNCTION("""COMPUTED_VALUE"""),40.0)</f>
        <v>40</v>
      </c>
      <c r="K5557" s="18">
        <f>IFERROR(__xludf.DUMMYFUNCTION("""COMPUTED_VALUE"""),40.0)</f>
        <v>40</v>
      </c>
      <c r="L5557" s="17">
        <f>IFERROR(__xludf.DUMMYFUNCTION("""COMPUTED_VALUE"""),3.012888007E9)</f>
        <v>3012888007</v>
      </c>
      <c r="M5557" s="17" t="str">
        <f>IFERROR(__xludf.DUMMYFUNCTION("""COMPUTED_VALUE"""),"#REF!")</f>
        <v>#REF!</v>
      </c>
      <c r="N5557" s="17"/>
      <c r="O5557" s="17"/>
      <c r="P5557" s="17" t="b">
        <f>IFERROR(__xludf.DUMMYFUNCTION("""COMPUTED_VALUE"""),FALSE)</f>
        <v>0</v>
      </c>
      <c r="Q5557" s="20" t="str">
        <f>IFERROR(__xludf.DUMMYFUNCTION("""COMPUTED_VALUE"""),"")</f>
        <v/>
      </c>
      <c r="R5557" s="22" t="str">
        <f>IFERROR(__xludf.DUMMYFUNCTION("""COMPUTED_VALUE"""),"")</f>
        <v/>
      </c>
    </row>
    <row r="5558">
      <c r="A5558" s="15">
        <f>IFERROR(__xludf.DUMMYFUNCTION("""COMPUTED_VALUE"""),45161.0)</f>
        <v>45161</v>
      </c>
      <c r="B5558" s="16" t="str">
        <f>IFERROR(__xludf.DUMMYFUNCTION("""COMPUTED_VALUE"""),"Santiago Garces Restrepo")</f>
        <v>Santiago Garces Restrepo</v>
      </c>
      <c r="C5558" s="15" t="str">
        <f>IFERROR(__xludf.DUMMYFUNCTION("""COMPUTED_VALUE"""),"MEDELLÍN")</f>
        <v>MEDELLÍN</v>
      </c>
      <c r="D5558" s="15" t="str">
        <f>IFERROR(__xludf.DUMMYFUNCTION("""COMPUTED_VALUE"""),"BOGOTÁ")</f>
        <v>BOGOTÁ</v>
      </c>
      <c r="E5558" s="15" t="str">
        <f>IFERROR(__xludf.DUMMYFUNCTION("""COMPUTED_VALUE"""),"Pan de Waffle")</f>
        <v>Pan de Waffle</v>
      </c>
      <c r="F5558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5558" s="15" t="str">
        <f>IFERROR(__xludf.DUMMYFUNCTION("""COMPUTED_VALUE"""),"VITA INTEGRAL")</f>
        <v>VITA INTEGRAL</v>
      </c>
      <c r="H5558" s="16">
        <f>IFERROR(__xludf.DUMMYFUNCTION("""COMPUTED_VALUE"""),14238.0)</f>
        <v>14238</v>
      </c>
      <c r="I5558" s="18">
        <f>IFERROR(__xludf.DUMMYFUNCTION("""COMPUTED_VALUE"""),30.0)</f>
        <v>30</v>
      </c>
      <c r="J5558" s="18">
        <f>IFERROR(__xludf.DUMMYFUNCTION("""COMPUTED_VALUE"""),40.0)</f>
        <v>40</v>
      </c>
      <c r="K5558" s="18">
        <f>IFERROR(__xludf.DUMMYFUNCTION("""COMPUTED_VALUE"""),30.0)</f>
        <v>30</v>
      </c>
      <c r="L5558" s="17">
        <f>IFERROR(__xludf.DUMMYFUNCTION("""COMPUTED_VALUE"""),3.20865425E9)</f>
        <v>3208654250</v>
      </c>
      <c r="M5558" s="17" t="str">
        <f>IFERROR(__xludf.DUMMYFUNCTION("""COMPUTED_VALUE"""),"#REF!")</f>
        <v>#REF!</v>
      </c>
      <c r="N5558" s="17"/>
      <c r="O5558" s="17"/>
      <c r="P5558" s="17" t="b">
        <f>IFERROR(__xludf.DUMMYFUNCTION("""COMPUTED_VALUE"""),FALSE)</f>
        <v>0</v>
      </c>
      <c r="Q5558" s="20" t="str">
        <f>IFERROR(__xludf.DUMMYFUNCTION("""COMPUTED_VALUE"""),"")</f>
        <v/>
      </c>
      <c r="R5558" s="22" t="str">
        <f>IFERROR(__xludf.DUMMYFUNCTION("""COMPUTED_VALUE"""),"")</f>
        <v/>
      </c>
    </row>
    <row r="5559">
      <c r="A5559" s="15">
        <f>IFERROR(__xludf.DUMMYFUNCTION("""COMPUTED_VALUE"""),45161.0)</f>
        <v>45161</v>
      </c>
      <c r="B5559" s="16" t="str">
        <f>IFERROR(__xludf.DUMMYFUNCTION("""COMPUTED_VALUE"""),"Santiago Garces Restrepo")</f>
        <v>Santiago Garces Restrepo</v>
      </c>
      <c r="C5559" s="15" t="str">
        <f>IFERROR(__xludf.DUMMYFUNCTION("""COMPUTED_VALUE"""),"MEDELLÍN")</f>
        <v>MEDELLÍN</v>
      </c>
      <c r="D5559" s="15" t="str">
        <f>IFERROR(__xludf.DUMMYFUNCTION("""COMPUTED_VALUE"""),"BOGOTÁ")</f>
        <v>BOGOTÁ</v>
      </c>
      <c r="E5559" s="15" t="str">
        <f>IFERROR(__xludf.DUMMYFUNCTION("""COMPUTED_VALUE"""),"Spirulina Fresca")</f>
        <v>Spirulina Fresca</v>
      </c>
      <c r="F5559" s="17" t="str">
        <f>IFERROR(__xludf.DUMMYFUNCTION("""COMPUTED_VALUE"""),"Carrera 29c no 10c-50  / Edificio la florida El poblado / El poblado")</f>
        <v>Carrera 29c no 10c-50  / Edificio la florida El poblado / El poblado</v>
      </c>
      <c r="G5559" s="15" t="str">
        <f>IFERROR(__xludf.DUMMYFUNCTION("""COMPUTED_VALUE"""),"Toya Montoya")</f>
        <v>Toya Montoya</v>
      </c>
      <c r="H5559" s="16">
        <f>IFERROR(__xludf.DUMMYFUNCTION("""COMPUTED_VALUE"""),14179.0)</f>
        <v>14179</v>
      </c>
      <c r="I5559" s="18">
        <f>IFERROR(__xludf.DUMMYFUNCTION("""COMPUTED_VALUE"""),8.0)</f>
        <v>8</v>
      </c>
      <c r="J5559" s="18">
        <f>IFERROR(__xludf.DUMMYFUNCTION("""COMPUTED_VALUE"""),15.0)</f>
        <v>15</v>
      </c>
      <c r="K5559" s="18">
        <f>IFERROR(__xludf.DUMMYFUNCTION("""COMPUTED_VALUE"""),17.0)</f>
        <v>17</v>
      </c>
      <c r="L5559" s="17">
        <f>IFERROR(__xludf.DUMMYFUNCTION("""COMPUTED_VALUE"""),3.20768476E9)</f>
        <v>3207684760</v>
      </c>
      <c r="M5559" s="17" t="str">
        <f>IFERROR(__xludf.DUMMYFUNCTION("""COMPUTED_VALUE"""),"#REF!")</f>
        <v>#REF!</v>
      </c>
      <c r="N5559" s="17"/>
      <c r="O5559" s="17"/>
      <c r="P5559" s="17" t="b">
        <f>IFERROR(__xludf.DUMMYFUNCTION("""COMPUTED_VALUE"""),FALSE)</f>
        <v>0</v>
      </c>
      <c r="Q5559" s="20" t="str">
        <f>IFERROR(__xludf.DUMMYFUNCTION("""COMPUTED_VALUE"""),"")</f>
        <v/>
      </c>
      <c r="R5559" s="22" t="str">
        <f>IFERROR(__xludf.DUMMYFUNCTION("""COMPUTED_VALUE"""),"")</f>
        <v/>
      </c>
    </row>
    <row r="5560">
      <c r="A5560" s="15">
        <f>IFERROR(__xludf.DUMMYFUNCTION("""COMPUTED_VALUE"""),45161.0)</f>
        <v>45161</v>
      </c>
      <c r="B5560" s="16" t="str">
        <f>IFERROR(__xludf.DUMMYFUNCTION("""COMPUTED_VALUE"""),"Santiago Garces Restrepo")</f>
        <v>Santiago Garces Restrepo</v>
      </c>
      <c r="C5560" s="15" t="str">
        <f>IFERROR(__xludf.DUMMYFUNCTION("""COMPUTED_VALUE"""),"MEDELLÍN")</f>
        <v>MEDELLÍN</v>
      </c>
      <c r="D5560" s="15" t="str">
        <f>IFERROR(__xludf.DUMMYFUNCTION("""COMPUTED_VALUE"""),"BOGOTÁ")</f>
        <v>BOGOTÁ</v>
      </c>
      <c r="E5560" s="15" t="str">
        <f>IFERROR(__xludf.DUMMYFUNCTION("""COMPUTED_VALUE"""),"Spirulina Fresca")</f>
        <v>Spirulina Fresca</v>
      </c>
      <c r="F5560" s="17" t="str">
        <f>IFERROR(__xludf.DUMMYFUNCTION("""COMPUTED_VALUE"""),"Carrera 30 #5F - 185  / apto 609 Edificio plaza manzanares / El poblado")</f>
        <v>Carrera 30 #5F - 185  / apto 609 Edificio plaza manzanares / El poblado</v>
      </c>
      <c r="G5560" s="15" t="str">
        <f>IFERROR(__xludf.DUMMYFUNCTION("""COMPUTED_VALUE"""),"Martha Grajales")</f>
        <v>Martha Grajales</v>
      </c>
      <c r="H5560" s="16">
        <f>IFERROR(__xludf.DUMMYFUNCTION("""COMPUTED_VALUE"""),14197.0)</f>
        <v>14197</v>
      </c>
      <c r="I5560" s="18">
        <f>IFERROR(__xludf.DUMMYFUNCTION("""COMPUTED_VALUE"""),15.0)</f>
        <v>15</v>
      </c>
      <c r="J5560" s="18">
        <f>IFERROR(__xludf.DUMMYFUNCTION("""COMPUTED_VALUE"""),17.0)</f>
        <v>17</v>
      </c>
      <c r="K5560" s="18">
        <f>IFERROR(__xludf.DUMMYFUNCTION("""COMPUTED_VALUE"""),25.0)</f>
        <v>25</v>
      </c>
      <c r="L5560" s="17">
        <f>IFERROR(__xludf.DUMMYFUNCTION("""COMPUTED_VALUE"""),3.10895785E9)</f>
        <v>3108957850</v>
      </c>
      <c r="M5560" s="17" t="str">
        <f>IFERROR(__xludf.DUMMYFUNCTION("""COMPUTED_VALUE"""),"#REF!")</f>
        <v>#REF!</v>
      </c>
      <c r="N5560" s="17"/>
      <c r="O5560" s="17"/>
      <c r="P5560" s="17" t="b">
        <f>IFERROR(__xludf.DUMMYFUNCTION("""COMPUTED_VALUE"""),FALSE)</f>
        <v>0</v>
      </c>
      <c r="Q5560" s="20" t="str">
        <f>IFERROR(__xludf.DUMMYFUNCTION("""COMPUTED_VALUE"""),"")</f>
        <v/>
      </c>
      <c r="R5560" s="22" t="str">
        <f>IFERROR(__xludf.DUMMYFUNCTION("""COMPUTED_VALUE"""),"")</f>
        <v/>
      </c>
    </row>
    <row r="5561">
      <c r="A5561" s="15">
        <f>IFERROR(__xludf.DUMMYFUNCTION("""COMPUTED_VALUE"""),45161.0)</f>
        <v>45161</v>
      </c>
      <c r="B5561" s="16" t="str">
        <f>IFERROR(__xludf.DUMMYFUNCTION("""COMPUTED_VALUE"""),"Santiago Garces Restrepo")</f>
        <v>Santiago Garces Restrepo</v>
      </c>
      <c r="C5561" s="15" t="str">
        <f>IFERROR(__xludf.DUMMYFUNCTION("""COMPUTED_VALUE"""),"MEDELLÍN")</f>
        <v>MEDELLÍN</v>
      </c>
      <c r="D5561" s="15" t="str">
        <f>IFERROR(__xludf.DUMMYFUNCTION("""COMPUTED_VALUE"""),"BOGOTÁ")</f>
        <v>BOGOTÁ</v>
      </c>
      <c r="E5561" s="15" t="str">
        <f>IFERROR(__xludf.DUMMYFUNCTION("""COMPUTED_VALUE"""),"Spirulina Fresca")</f>
        <v>Spirulina Fresca</v>
      </c>
      <c r="F5561" s="17" t="str">
        <f>IFERROR(__xludf.DUMMYFUNCTION("""COMPUTED_VALUE"""),"Cra 37 # 4a sur 50 / edificio granada 2 Apto 101 / El poblado")</f>
        <v>Cra 37 # 4a sur 50 / edificio granada 2 Apto 101 / El poblado</v>
      </c>
      <c r="G5561" s="15" t="str">
        <f>IFERROR(__xludf.DUMMYFUNCTION("""COMPUTED_VALUE"""),"Lucia Restrepo")</f>
        <v>Lucia Restrepo</v>
      </c>
      <c r="H5561" s="16">
        <f>IFERROR(__xludf.DUMMYFUNCTION("""COMPUTED_VALUE"""),14178.0)</f>
        <v>14178</v>
      </c>
      <c r="I5561" s="18">
        <f>IFERROR(__xludf.DUMMYFUNCTION("""COMPUTED_VALUE"""),8.0)</f>
        <v>8</v>
      </c>
      <c r="J5561" s="18">
        <f>IFERROR(__xludf.DUMMYFUNCTION("""COMPUTED_VALUE"""),15.0)</f>
        <v>15</v>
      </c>
      <c r="K5561" s="18">
        <f>IFERROR(__xludf.DUMMYFUNCTION("""COMPUTED_VALUE"""),17.0)</f>
        <v>17</v>
      </c>
      <c r="L5561" s="17">
        <f>IFERROR(__xludf.DUMMYFUNCTION("""COMPUTED_VALUE"""),3.104316105E9)</f>
        <v>3104316105</v>
      </c>
      <c r="M5561" s="17" t="str">
        <f>IFERROR(__xludf.DUMMYFUNCTION("""COMPUTED_VALUE"""),"#REF!")</f>
        <v>#REF!</v>
      </c>
      <c r="N5561" s="17"/>
      <c r="O5561" s="17"/>
      <c r="P5561" s="17" t="b">
        <f>IFERROR(__xludf.DUMMYFUNCTION("""COMPUTED_VALUE"""),FALSE)</f>
        <v>0</v>
      </c>
      <c r="Q5561" s="20" t="str">
        <f>IFERROR(__xludf.DUMMYFUNCTION("""COMPUTED_VALUE"""),"")</f>
        <v/>
      </c>
      <c r="R5561" s="22" t="str">
        <f>IFERROR(__xludf.DUMMYFUNCTION("""COMPUTED_VALUE"""),"")</f>
        <v/>
      </c>
    </row>
    <row r="5562">
      <c r="A5562" s="17" t="str">
        <f>IFERROR(__xludf.DUMMYFUNCTION("""COMPUTED_VALUE"""),"")</f>
        <v/>
      </c>
      <c r="B5562" s="17" t="str">
        <f>IFERROR(__xludf.DUMMYFUNCTION("""COMPUTED_VALUE"""),"")</f>
        <v/>
      </c>
      <c r="C5562" s="17" t="str">
        <f>IFERROR(__xludf.DUMMYFUNCTION("""COMPUTED_VALUE"""),"")</f>
        <v/>
      </c>
      <c r="D5562" s="17" t="str">
        <f>IFERROR(__xludf.DUMMYFUNCTION("""COMPUTED_VALUE"""),"")</f>
        <v/>
      </c>
      <c r="E5562" s="17" t="str">
        <f>IFERROR(__xludf.DUMMYFUNCTION("""COMPUTED_VALUE"""),"")</f>
        <v/>
      </c>
      <c r="F5562" s="17" t="str">
        <f>IFERROR(__xludf.DUMMYFUNCTION("""COMPUTED_VALUE"""),"")</f>
        <v/>
      </c>
      <c r="G5562" s="17" t="str">
        <f>IFERROR(__xludf.DUMMYFUNCTION("""COMPUTED_VALUE"""),"")</f>
        <v/>
      </c>
      <c r="H5562" s="17" t="str">
        <f>IFERROR(__xludf.DUMMYFUNCTION("""COMPUTED_VALUE"""),"")</f>
        <v/>
      </c>
      <c r="I5562" s="17" t="str">
        <f>IFERROR(__xludf.DUMMYFUNCTION("""COMPUTED_VALUE"""),"")</f>
        <v/>
      </c>
      <c r="J5562" s="17" t="str">
        <f>IFERROR(__xludf.DUMMYFUNCTION("""COMPUTED_VALUE"""),"")</f>
        <v/>
      </c>
      <c r="K5562" s="17" t="str">
        <f>IFERROR(__xludf.DUMMYFUNCTION("""COMPUTED_VALUE"""),"")</f>
        <v/>
      </c>
      <c r="L5562" s="17" t="str">
        <f>IFERROR(__xludf.DUMMYFUNCTION("""COMPUTED_VALUE"""),"")</f>
        <v/>
      </c>
      <c r="M5562" s="17" t="str">
        <f>IFERROR(__xludf.DUMMYFUNCTION("""COMPUTED_VALUE"""),"")</f>
        <v/>
      </c>
      <c r="N5562" s="17" t="str">
        <f>IFERROR(__xludf.DUMMYFUNCTION("""COMPUTED_VALUE"""),"")</f>
        <v/>
      </c>
      <c r="O5562" s="17" t="str">
        <f>IFERROR(__xludf.DUMMYFUNCTION("""COMPUTED_VALUE"""),"")</f>
        <v/>
      </c>
      <c r="P5562" s="17" t="str">
        <f>IFERROR(__xludf.DUMMYFUNCTION("""COMPUTED_VALUE"""),"")</f>
        <v/>
      </c>
      <c r="Q5562" s="17" t="str">
        <f>IFERROR(__xludf.DUMMYFUNCTION("""COMPUTED_VALUE"""),"")</f>
        <v/>
      </c>
      <c r="R5562" s="17" t="str">
        <f>IFERROR(__xludf.DUMMYFUNCTION("""COMPUTED_VALUE"""),"")</f>
        <v/>
      </c>
    </row>
    <row r="5563">
      <c r="A5563" s="15">
        <f>IFERROR(__xludf.DUMMYFUNCTION("""COMPUTED_VALUE"""),45162.0)</f>
        <v>45162</v>
      </c>
      <c r="B5563" s="17"/>
      <c r="C5563" s="15" t="str">
        <f>IFERROR(__xludf.DUMMYFUNCTION("""COMPUTED_VALUE"""),"CALI")</f>
        <v>CALI</v>
      </c>
      <c r="D5563" s="15" t="str">
        <f>IFERROR(__xludf.DUMMYFUNCTION("""COMPUTED_VALUE"""),"MEDELLÍN")</f>
        <v>MEDELLÍN</v>
      </c>
      <c r="E5563" s="15" t="str">
        <f>IFERROR(__xludf.DUMMYFUNCTION("""COMPUTED_VALUE"""),"JD Bufala")</f>
        <v>JD Bufala</v>
      </c>
      <c r="F5563" s="17" t="str">
        <f>IFERROR(__xludf.DUMMYFUNCTION("""COMPUTED_VALUE"""),"Calle 51 norte # 4bn72 / Delhuertopizzeria  / La flora")</f>
        <v>Calle 51 norte # 4bn72 / Delhuertopizzeria  / La flora</v>
      </c>
      <c r="G5563" s="15" t="str">
        <f>IFERROR(__xludf.DUMMYFUNCTION("""COMPUTED_VALUE"""),"Jaiver Rodríguez")</f>
        <v>Jaiver Rodríguez</v>
      </c>
      <c r="H5563" s="16">
        <f>IFERROR(__xludf.DUMMYFUNCTION("""COMPUTED_VALUE"""),14319.0)</f>
        <v>14319</v>
      </c>
      <c r="I5563" s="18">
        <f>IFERROR(__xludf.DUMMYFUNCTION("""COMPUTED_VALUE"""),45066.0)</f>
        <v>45066</v>
      </c>
      <c r="J5563" s="18">
        <f>IFERROR(__xludf.DUMMYFUNCTION("""COMPUTED_VALUE"""),28.0)</f>
        <v>28</v>
      </c>
      <c r="K5563" s="18">
        <f>IFERROR(__xludf.DUMMYFUNCTION("""COMPUTED_VALUE"""),40.0)</f>
        <v>40</v>
      </c>
      <c r="L5563" s="17">
        <f>IFERROR(__xludf.DUMMYFUNCTION("""COMPUTED_VALUE"""),3.104919761E9)</f>
        <v>3104919761</v>
      </c>
      <c r="M5563" s="17" t="str">
        <f>IFERROR(__xludf.DUMMYFUNCTION("""COMPUTED_VALUE"""),"#REF!")</f>
        <v>#REF!</v>
      </c>
      <c r="N5563" s="17"/>
      <c r="O5563" s="17"/>
      <c r="P5563" s="17" t="b">
        <f>IFERROR(__xludf.DUMMYFUNCTION("""COMPUTED_VALUE"""),FALSE)</f>
        <v>0</v>
      </c>
      <c r="Q5563" s="20" t="str">
        <f>IFERROR(__xludf.DUMMYFUNCTION("""COMPUTED_VALUE"""),"")</f>
        <v/>
      </c>
      <c r="R5563" s="22" t="str">
        <f>IFERROR(__xludf.DUMMYFUNCTION("""COMPUTED_VALUE"""),"")</f>
        <v/>
      </c>
    </row>
    <row r="5564">
      <c r="A5564" s="15">
        <f>IFERROR(__xludf.DUMMYFUNCTION("""COMPUTED_VALUE"""),45162.0)</f>
        <v>45162</v>
      </c>
      <c r="B5564" s="17"/>
      <c r="C5564" s="15" t="str">
        <f>IFERROR(__xludf.DUMMYFUNCTION("""COMPUTED_VALUE"""),"POPAYAN")</f>
        <v>POPAYAN</v>
      </c>
      <c r="D5564" s="15" t="str">
        <f>IFERROR(__xludf.DUMMYFUNCTION("""COMPUTED_VALUE"""),"BOGOTÁ")</f>
        <v>BOGOTÁ</v>
      </c>
      <c r="E5564" s="15" t="str">
        <f>IFERROR(__xludf.DUMMYFUNCTION("""COMPUTED_VALUE"""),"Top Spun")</f>
        <v>Top Spun</v>
      </c>
      <c r="F5564" s="17" t="str">
        <f>IFERROR(__xludf.DUMMYFUNCTION("""COMPUTED_VALUE"""),"Calle 80 Norte # 7 - 76 / Casa 38 / Conjunto Sendero de Eucaliptos")</f>
        <v>Calle 80 Norte # 7 - 76 / Casa 38 / Conjunto Sendero de Eucaliptos</v>
      </c>
      <c r="G5564" s="15" t="str">
        <f>IFERROR(__xludf.DUMMYFUNCTION("""COMPUTED_VALUE"""),"MARIA DEL ROSARIO GARZON")</f>
        <v>MARIA DEL ROSARIO GARZON</v>
      </c>
      <c r="H5564" s="16">
        <f>IFERROR(__xludf.DUMMYFUNCTION("""COMPUTED_VALUE"""),14153.0)</f>
        <v>14153</v>
      </c>
      <c r="I5564" s="18">
        <f>IFERROR(__xludf.DUMMYFUNCTION("""COMPUTED_VALUE"""),30.0)</f>
        <v>30</v>
      </c>
      <c r="J5564" s="18">
        <f>IFERROR(__xludf.DUMMYFUNCTION("""COMPUTED_VALUE"""),40.0)</f>
        <v>40</v>
      </c>
      <c r="K5564" s="18">
        <f>IFERROR(__xludf.DUMMYFUNCTION("""COMPUTED_VALUE"""),25.0)</f>
        <v>25</v>
      </c>
      <c r="L5564" s="17">
        <f>IFERROR(__xludf.DUMMYFUNCTION("""COMPUTED_VALUE"""),3.017486069E9)</f>
        <v>3017486069</v>
      </c>
      <c r="M5564" s="17" t="str">
        <f>IFERROR(__xludf.DUMMYFUNCTION("""COMPUTED_VALUE"""),"#REF!")</f>
        <v>#REF!</v>
      </c>
      <c r="N5564" s="17"/>
      <c r="O5564" s="17"/>
      <c r="P5564" s="17" t="b">
        <f>IFERROR(__xludf.DUMMYFUNCTION("""COMPUTED_VALUE"""),TRUE)</f>
        <v>1</v>
      </c>
      <c r="Q5564" s="20">
        <f>IFERROR(__xludf.DUMMYFUNCTION("""COMPUTED_VALUE"""),45162.50633128472)</f>
        <v>45162.50633</v>
      </c>
      <c r="R5564" s="22" t="str">
        <f>IFERROR(__xludf.DUMMYFUNCTION("""COMPUTED_VALUE"""),"")</f>
        <v/>
      </c>
    </row>
    <row r="5565">
      <c r="A5565" s="17" t="str">
        <f>IFERROR(__xludf.DUMMYFUNCTION("""COMPUTED_VALUE"""),"")</f>
        <v/>
      </c>
      <c r="B5565" s="17" t="str">
        <f>IFERROR(__xludf.DUMMYFUNCTION("""COMPUTED_VALUE"""),"")</f>
        <v/>
      </c>
      <c r="C5565" s="17" t="str">
        <f>IFERROR(__xludf.DUMMYFUNCTION("""COMPUTED_VALUE"""),"")</f>
        <v/>
      </c>
      <c r="D5565" s="17" t="str">
        <f>IFERROR(__xludf.DUMMYFUNCTION("""COMPUTED_VALUE"""),"")</f>
        <v/>
      </c>
      <c r="E5565" s="17" t="str">
        <f>IFERROR(__xludf.DUMMYFUNCTION("""COMPUTED_VALUE"""),"")</f>
        <v/>
      </c>
      <c r="F5565" s="17" t="str">
        <f>IFERROR(__xludf.DUMMYFUNCTION("""COMPUTED_VALUE"""),"")</f>
        <v/>
      </c>
      <c r="G5565" s="17" t="str">
        <f>IFERROR(__xludf.DUMMYFUNCTION("""COMPUTED_VALUE"""),"")</f>
        <v/>
      </c>
      <c r="H5565" s="17" t="str">
        <f>IFERROR(__xludf.DUMMYFUNCTION("""COMPUTED_VALUE"""),"")</f>
        <v/>
      </c>
      <c r="I5565" s="17" t="str">
        <f>IFERROR(__xludf.DUMMYFUNCTION("""COMPUTED_VALUE"""),"")</f>
        <v/>
      </c>
      <c r="J5565" s="17" t="str">
        <f>IFERROR(__xludf.DUMMYFUNCTION("""COMPUTED_VALUE"""),"")</f>
        <v/>
      </c>
      <c r="K5565" s="17" t="str">
        <f>IFERROR(__xludf.DUMMYFUNCTION("""COMPUTED_VALUE"""),"")</f>
        <v/>
      </c>
      <c r="L5565" s="17" t="str">
        <f>IFERROR(__xludf.DUMMYFUNCTION("""COMPUTED_VALUE"""),"")</f>
        <v/>
      </c>
      <c r="M5565" s="17" t="str">
        <f>IFERROR(__xludf.DUMMYFUNCTION("""COMPUTED_VALUE"""),"")</f>
        <v/>
      </c>
      <c r="N5565" s="17" t="str">
        <f>IFERROR(__xludf.DUMMYFUNCTION("""COMPUTED_VALUE"""),"")</f>
        <v/>
      </c>
      <c r="O5565" s="17" t="str">
        <f>IFERROR(__xludf.DUMMYFUNCTION("""COMPUTED_VALUE"""),"")</f>
        <v/>
      </c>
      <c r="P5565" s="17" t="str">
        <f>IFERROR(__xludf.DUMMYFUNCTION("""COMPUTED_VALUE"""),"")</f>
        <v/>
      </c>
      <c r="Q5565" s="17" t="str">
        <f>IFERROR(__xludf.DUMMYFUNCTION("""COMPUTED_VALUE"""),"")</f>
        <v/>
      </c>
      <c r="R5565" s="17" t="str">
        <f>IFERROR(__xludf.DUMMYFUNCTION("""COMPUTED_VALUE"""),"")</f>
        <v/>
      </c>
    </row>
    <row r="5566">
      <c r="A5566" s="15">
        <f>IFERROR(__xludf.DUMMYFUNCTION("""COMPUTED_VALUE"""),45162.0)</f>
        <v>45162</v>
      </c>
      <c r="B5566" s="16" t="str">
        <f>IFERROR(__xludf.DUMMYFUNCTION("""COMPUTED_VALUE"""),"Angie Daniela Meneses ")</f>
        <v>Angie Daniela Meneses </v>
      </c>
      <c r="C5566" s="15" t="str">
        <f>IFERROR(__xludf.DUMMYFUNCTION("""COMPUTED_VALUE"""),"CARTAGENA")</f>
        <v>CARTAGENA</v>
      </c>
      <c r="D5566" s="15" t="str">
        <f>IFERROR(__xludf.DUMMYFUNCTION("""COMPUTED_VALUE"""),"MEDELLÍN")</f>
        <v>MEDELLÍN</v>
      </c>
      <c r="E5566" s="15" t="str">
        <f>IFERROR(__xludf.DUMMYFUNCTION("""COMPUTED_VALUE"""),"Rambla")</f>
        <v>Rambla</v>
      </c>
      <c r="F5566" s="17" t="str">
        <f>IFERROR(__xludf.DUMMYFUNCTION("""COMPUTED_VALUE"""),"barrio bocagrande  av san martin 9 -161 / - / -")</f>
        <v>barrio bocagrande  av san martin 9 -161 / - / -</v>
      </c>
      <c r="G5566" s="15" t="str">
        <f>IFERROR(__xludf.DUMMYFUNCTION("""COMPUTED_VALUE"""),"SALUTE")</f>
        <v>SALUTE</v>
      </c>
      <c r="H5566" s="16">
        <f>IFERROR(__xludf.DUMMYFUNCTION("""COMPUTED_VALUE"""),14260.0)</f>
        <v>14260</v>
      </c>
      <c r="I5566" s="18">
        <f>IFERROR(__xludf.DUMMYFUNCTION("""COMPUTED_VALUE"""),21.0)</f>
        <v>21</v>
      </c>
      <c r="J5566" s="18">
        <f>IFERROR(__xludf.DUMMYFUNCTION("""COMPUTED_VALUE"""),30.0)</f>
        <v>30</v>
      </c>
      <c r="K5566" s="18">
        <f>IFERROR(__xludf.DUMMYFUNCTION("""COMPUTED_VALUE"""),30.0)</f>
        <v>30</v>
      </c>
      <c r="L5566" s="17">
        <f>IFERROR(__xludf.DUMMYFUNCTION("""COMPUTED_VALUE"""),3.205661519E9)</f>
        <v>3205661519</v>
      </c>
      <c r="M5566" s="17" t="str">
        <f>IFERROR(__xludf.DUMMYFUNCTION("""COMPUTED_VALUE"""),"#REF!")</f>
        <v>#REF!</v>
      </c>
      <c r="N5566" s="17"/>
      <c r="O5566" s="17"/>
      <c r="P5566" s="17" t="b">
        <f>IFERROR(__xludf.DUMMYFUNCTION("""COMPUTED_VALUE"""),TRUE)</f>
        <v>1</v>
      </c>
      <c r="Q5566" s="20">
        <f>IFERROR(__xludf.DUMMYFUNCTION("""COMPUTED_VALUE"""),45162.73304211805)</f>
        <v>45162.73304</v>
      </c>
      <c r="R5566" s="21" t="str">
        <f>IFERROR(__xludf.DUMMYFUNCTION("""COMPUTED_VALUE"""),"https://drive.google.com/file/d/1XSvWv-3GyutfMM2IKS5eDaqHy-u2_3ZB/view?usp=drivesdk")</f>
        <v>https://drive.google.com/file/d/1XSvWv-3GyutfMM2IKS5eDaqHy-u2_3ZB/view?usp=drivesdk</v>
      </c>
    </row>
    <row r="5567">
      <c r="A5567" s="15">
        <f>IFERROR(__xludf.DUMMYFUNCTION("""COMPUTED_VALUE"""),45162.0)</f>
        <v>45162</v>
      </c>
      <c r="B5567" s="16" t="str">
        <f>IFERROR(__xludf.DUMMYFUNCTION("""COMPUTED_VALUE"""),"Angie Daniela Meneses ")</f>
        <v>Angie Daniela Meneses </v>
      </c>
      <c r="C5567" s="15" t="str">
        <f>IFERROR(__xludf.DUMMYFUNCTION("""COMPUTED_VALUE"""),"CARTAGENA")</f>
        <v>CARTAGENA</v>
      </c>
      <c r="D5567" s="15" t="str">
        <f>IFERROR(__xludf.DUMMYFUNCTION("""COMPUTED_VALUE"""),"MEDELLÍN")</f>
        <v>MEDELLÍN</v>
      </c>
      <c r="E5567" s="15" t="str">
        <f>IFERROR(__xludf.DUMMYFUNCTION("""COMPUTED_VALUE"""),"Rambla")</f>
        <v>Rambla</v>
      </c>
      <c r="F5567" s="17" t="str">
        <f>IFERROR(__xludf.DUMMYFUNCTION("""COMPUTED_VALUE"""),"cra 2 #7-47 local 3 barrio bocagrande / - / -")</f>
        <v>cra 2 #7-47 local 3 barrio bocagrande / - / -</v>
      </c>
      <c r="G5567" s="15" t="str">
        <f>IFERROR(__xludf.DUMMYFUNCTION("""COMPUTED_VALUE"""),"Enjoy")</f>
        <v>Enjoy</v>
      </c>
      <c r="H5567" s="16">
        <f>IFERROR(__xludf.DUMMYFUNCTION("""COMPUTED_VALUE"""),14263.0)</f>
        <v>14263</v>
      </c>
      <c r="I5567" s="18">
        <f>IFERROR(__xludf.DUMMYFUNCTION("""COMPUTED_VALUE"""),30.0)</f>
        <v>30</v>
      </c>
      <c r="J5567" s="18">
        <f>IFERROR(__xludf.DUMMYFUNCTION("""COMPUTED_VALUE"""),21.0)</f>
        <v>21</v>
      </c>
      <c r="K5567" s="18">
        <f>IFERROR(__xludf.DUMMYFUNCTION("""COMPUTED_VALUE"""),14.0)</f>
        <v>14</v>
      </c>
      <c r="L5567" s="17">
        <f>IFERROR(__xludf.DUMMYFUNCTION("""COMPUTED_VALUE"""),3.228800692E9)</f>
        <v>3228800692</v>
      </c>
      <c r="M5567" s="17" t="str">
        <f>IFERROR(__xludf.DUMMYFUNCTION("""COMPUTED_VALUE"""),"#REF!")</f>
        <v>#REF!</v>
      </c>
      <c r="N5567" s="17"/>
      <c r="O5567" s="17"/>
      <c r="P5567" s="17" t="b">
        <f>IFERROR(__xludf.DUMMYFUNCTION("""COMPUTED_VALUE"""),TRUE)</f>
        <v>1</v>
      </c>
      <c r="Q5567" s="20">
        <f>IFERROR(__xludf.DUMMYFUNCTION("""COMPUTED_VALUE"""),45162.68503483797)</f>
        <v>45162.68503</v>
      </c>
      <c r="R5567" s="21" t="str">
        <f>IFERROR(__xludf.DUMMYFUNCTION("""COMPUTED_VALUE"""),"https://drive.google.com/file/d/1D93JV2VVj9kxc3-zvvRf1qSsFEkgmhm6/view?usp=drivesdk")</f>
        <v>https://drive.google.com/file/d/1D93JV2VVj9kxc3-zvvRf1qSsFEkgmhm6/view?usp=drivesdk</v>
      </c>
    </row>
    <row r="5568">
      <c r="A5568" s="15">
        <f>IFERROR(__xludf.DUMMYFUNCTION("""COMPUTED_VALUE"""),45162.0)</f>
        <v>45162</v>
      </c>
      <c r="B5568" s="16" t="str">
        <f>IFERROR(__xludf.DUMMYFUNCTION("""COMPUTED_VALUE"""),"Angie Daniela Meneses ")</f>
        <v>Angie Daniela Meneses </v>
      </c>
      <c r="C5568" s="15" t="str">
        <f>IFERROR(__xludf.DUMMYFUNCTION("""COMPUTED_VALUE"""),"POPAYAN")</f>
        <v>POPAYAN</v>
      </c>
      <c r="D5568" s="15" t="str">
        <f>IFERROR(__xludf.DUMMYFUNCTION("""COMPUTED_VALUE"""),"BOGOTÁ")</f>
        <v>BOGOTÁ</v>
      </c>
      <c r="E5568" s="15" t="str">
        <f>IFERROR(__xludf.DUMMYFUNCTION("""COMPUTED_VALUE"""),"Evamazzita")</f>
        <v>Evamazzita</v>
      </c>
      <c r="F5568" s="17" t="str">
        <f>IFERROR(__xludf.DUMMYFUNCTION("""COMPUTED_VALUE"""),"CRA 6 # 27N - 58 /  LOCAL 1 VIVEA MERCADO SALUDABLE / BARRIO LOS HOYOS")</f>
        <v>CRA 6 # 27N - 58 /  LOCAL 1 VIVEA MERCADO SALUDABLE / BARRIO LOS HOYOS</v>
      </c>
      <c r="G5568" s="15" t="str">
        <f>IFERROR(__xludf.DUMMYFUNCTION("""COMPUTED_VALUE"""),"VIVIANA ANDREA CHAMORRO YANZA")</f>
        <v>VIVIANA ANDREA CHAMORRO YANZA</v>
      </c>
      <c r="H5568" s="16">
        <f>IFERROR(__xludf.DUMMYFUNCTION("""COMPUTED_VALUE"""),14322.0)</f>
        <v>14322</v>
      </c>
      <c r="I5568" s="18">
        <f>IFERROR(__xludf.DUMMYFUNCTION("""COMPUTED_VALUE"""),17.0)</f>
        <v>17</v>
      </c>
      <c r="J5568" s="18">
        <f>IFERROR(__xludf.DUMMYFUNCTION("""COMPUTED_VALUE"""),30.0)</f>
        <v>30</v>
      </c>
      <c r="K5568" s="18">
        <f>IFERROR(__xludf.DUMMYFUNCTION("""COMPUTED_VALUE"""),24.0)</f>
        <v>24</v>
      </c>
      <c r="L5568" s="17">
        <f>IFERROR(__xludf.DUMMYFUNCTION("""COMPUTED_VALUE"""),3.122971002E9)</f>
        <v>3122971002</v>
      </c>
      <c r="M5568" s="17" t="str">
        <f>IFERROR(__xludf.DUMMYFUNCTION("""COMPUTED_VALUE"""),"#REF!")</f>
        <v>#REF!</v>
      </c>
      <c r="N5568" s="17"/>
      <c r="O5568" s="17"/>
      <c r="P5568" s="17" t="b">
        <f>IFERROR(__xludf.DUMMYFUNCTION("""COMPUTED_VALUE"""),TRUE)</f>
        <v>1</v>
      </c>
      <c r="Q5568" s="20">
        <f>IFERROR(__xludf.DUMMYFUNCTION("""COMPUTED_VALUE"""),45162.68503483797)</f>
        <v>45162.68503</v>
      </c>
      <c r="R5568" s="22" t="str">
        <f>IFERROR(__xludf.DUMMYFUNCTION("""COMPUTED_VALUE"""),"")</f>
        <v/>
      </c>
    </row>
    <row r="5569">
      <c r="A5569" s="15">
        <f>IFERROR(__xludf.DUMMYFUNCTION("""COMPUTED_VALUE"""),45162.0)</f>
        <v>45162</v>
      </c>
      <c r="B5569" s="16" t="str">
        <f>IFERROR(__xludf.DUMMYFUNCTION("""COMPUTED_VALUE"""),"Angie Daniela Meneses ")</f>
        <v>Angie Daniela Meneses </v>
      </c>
      <c r="C5569" s="15" t="str">
        <f>IFERROR(__xludf.DUMMYFUNCTION("""COMPUTED_VALUE"""),"POPAYAN")</f>
        <v>POPAYAN</v>
      </c>
      <c r="D5569" s="15" t="str">
        <f>IFERROR(__xludf.DUMMYFUNCTION("""COMPUTED_VALUE"""),"BOGOTÁ")</f>
        <v>BOGOTÁ</v>
      </c>
      <c r="E5569" s="15" t="str">
        <f>IFERROR(__xludf.DUMMYFUNCTION("""COMPUTED_VALUE"""),"Ventura Productos Arg")</f>
        <v>Ventura Productos Arg</v>
      </c>
      <c r="F5569" s="17" t="str">
        <f>IFERROR(__xludf.DUMMYFUNCTION("""COMPUTED_VALUE"""),"Calle 20 norte #16-20 / Casa")</f>
        <v>Calle 20 norte #16-20 / Casa</v>
      </c>
      <c r="G5569" s="15" t="str">
        <f>IFERROR(__xludf.DUMMYFUNCTION("""COMPUTED_VALUE"""),"Virginia Olano")</f>
        <v>Virginia Olano</v>
      </c>
      <c r="H5569" s="16">
        <f>IFERROR(__xludf.DUMMYFUNCTION("""COMPUTED_VALUE"""),14275.0)</f>
        <v>14275</v>
      </c>
      <c r="I5569" s="18">
        <f>IFERROR(__xludf.DUMMYFUNCTION("""COMPUTED_VALUE"""),22.0)</f>
        <v>22</v>
      </c>
      <c r="J5569" s="18">
        <f>IFERROR(__xludf.DUMMYFUNCTION("""COMPUTED_VALUE"""),17.0)</f>
        <v>17</v>
      </c>
      <c r="K5569" s="18">
        <f>IFERROR(__xludf.DUMMYFUNCTION("""COMPUTED_VALUE"""),8.0)</f>
        <v>8</v>
      </c>
      <c r="L5569" s="17"/>
      <c r="M5569" s="17" t="str">
        <f>IFERROR(__xludf.DUMMYFUNCTION("""COMPUTED_VALUE"""),"#REF!")</f>
        <v>#REF!</v>
      </c>
      <c r="N5569" s="17"/>
      <c r="O5569" s="17"/>
      <c r="P5569" s="17" t="b">
        <f>IFERROR(__xludf.DUMMYFUNCTION("""COMPUTED_VALUE"""),TRUE)</f>
        <v>1</v>
      </c>
      <c r="Q5569" s="20">
        <f>IFERROR(__xludf.DUMMYFUNCTION("""COMPUTED_VALUE"""),45162.68503483797)</f>
        <v>45162.68503</v>
      </c>
      <c r="R5569" s="22" t="str">
        <f>IFERROR(__xludf.DUMMYFUNCTION("""COMPUTED_VALUE"""),"")</f>
        <v/>
      </c>
    </row>
    <row r="5570">
      <c r="A5570" s="17" t="str">
        <f>IFERROR(__xludf.DUMMYFUNCTION("""COMPUTED_VALUE"""),"")</f>
        <v/>
      </c>
      <c r="B5570" s="17" t="str">
        <f>IFERROR(__xludf.DUMMYFUNCTION("""COMPUTED_VALUE"""),"")</f>
        <v/>
      </c>
      <c r="C5570" s="17" t="str">
        <f>IFERROR(__xludf.DUMMYFUNCTION("""COMPUTED_VALUE"""),"")</f>
        <v/>
      </c>
      <c r="D5570" s="17" t="str">
        <f>IFERROR(__xludf.DUMMYFUNCTION("""COMPUTED_VALUE"""),"")</f>
        <v/>
      </c>
      <c r="E5570" s="17" t="str">
        <f>IFERROR(__xludf.DUMMYFUNCTION("""COMPUTED_VALUE"""),"")</f>
        <v/>
      </c>
      <c r="F5570" s="17" t="str">
        <f>IFERROR(__xludf.DUMMYFUNCTION("""COMPUTED_VALUE"""),"")</f>
        <v/>
      </c>
      <c r="G5570" s="17" t="str">
        <f>IFERROR(__xludf.DUMMYFUNCTION("""COMPUTED_VALUE"""),"")</f>
        <v/>
      </c>
      <c r="H5570" s="17" t="str">
        <f>IFERROR(__xludf.DUMMYFUNCTION("""COMPUTED_VALUE"""),"")</f>
        <v/>
      </c>
      <c r="I5570" s="17" t="str">
        <f>IFERROR(__xludf.DUMMYFUNCTION("""COMPUTED_VALUE"""),"")</f>
        <v/>
      </c>
      <c r="J5570" s="17" t="str">
        <f>IFERROR(__xludf.DUMMYFUNCTION("""COMPUTED_VALUE"""),"")</f>
        <v/>
      </c>
      <c r="K5570" s="17" t="str">
        <f>IFERROR(__xludf.DUMMYFUNCTION("""COMPUTED_VALUE"""),"")</f>
        <v/>
      </c>
      <c r="L5570" s="17" t="str">
        <f>IFERROR(__xludf.DUMMYFUNCTION("""COMPUTED_VALUE"""),"")</f>
        <v/>
      </c>
      <c r="M5570" s="17" t="str">
        <f>IFERROR(__xludf.DUMMYFUNCTION("""COMPUTED_VALUE"""),"")</f>
        <v/>
      </c>
      <c r="N5570" s="17" t="str">
        <f>IFERROR(__xludf.DUMMYFUNCTION("""COMPUTED_VALUE"""),"")</f>
        <v/>
      </c>
      <c r="O5570" s="17" t="str">
        <f>IFERROR(__xludf.DUMMYFUNCTION("""COMPUTED_VALUE"""),"")</f>
        <v/>
      </c>
      <c r="P5570" s="17" t="str">
        <f>IFERROR(__xludf.DUMMYFUNCTION("""COMPUTED_VALUE"""),"")</f>
        <v/>
      </c>
      <c r="Q5570" s="17" t="str">
        <f>IFERROR(__xludf.DUMMYFUNCTION("""COMPUTED_VALUE"""),"")</f>
        <v/>
      </c>
      <c r="R5570" s="17" t="str">
        <f>IFERROR(__xludf.DUMMYFUNCTION("""COMPUTED_VALUE"""),"")</f>
        <v/>
      </c>
    </row>
    <row r="5571">
      <c r="A5571" s="15">
        <f>IFERROR(__xludf.DUMMYFUNCTION("""COMPUTED_VALUE"""),45162.0)</f>
        <v>45162</v>
      </c>
      <c r="B5571" s="16" t="str">
        <f>IFERROR(__xludf.DUMMYFUNCTION("""COMPUTED_VALUE"""),"Anuar suarez jimenez ")</f>
        <v>Anuar suarez jimenez </v>
      </c>
      <c r="C5571" s="15" t="str">
        <f>IFERROR(__xludf.DUMMYFUNCTION("""COMPUTED_VALUE"""),"MONTERIA")</f>
        <v>MONTERIA</v>
      </c>
      <c r="D5571" s="15" t="str">
        <f>IFERROR(__xludf.DUMMYFUNCTION("""COMPUTED_VALUE"""),"BOGOTÁ")</f>
        <v>BOGOTÁ</v>
      </c>
      <c r="E5571" s="15" t="str">
        <f>IFERROR(__xludf.DUMMYFUNCTION("""COMPUTED_VALUE"""),"Frubits")</f>
        <v>Frubits</v>
      </c>
      <c r="F5571" s="17" t="str">
        <f>IFERROR(__xludf.DUMMYFUNCTION("""COMPUTED_VALUE"""),"dirrecion mz 7 lote 16 barrio rancho grande casa,  / dirrecion mz 7 lote 16 barrio rancho grande casa,  / dirrecion mz 7 lote 16 barrio rancho grande casa,")</f>
        <v>dirrecion mz 7 lote 16 barrio rancho grande casa,  / dirrecion mz 7 lote 16 barrio rancho grande casa,  / dirrecion mz 7 lote 16 barrio rancho grande casa,</v>
      </c>
      <c r="G5571" s="15" t="str">
        <f>IFERROR(__xludf.DUMMYFUNCTION("""COMPUTED_VALUE"""),"Adriana ramos pacheco")</f>
        <v>Adriana ramos pacheco</v>
      </c>
      <c r="H5571" s="16">
        <f>IFERROR(__xludf.DUMMYFUNCTION("""COMPUTED_VALUE"""),14223.0)</f>
        <v>14223</v>
      </c>
      <c r="I5571" s="18">
        <f>IFERROR(__xludf.DUMMYFUNCTION("""COMPUTED_VALUE"""),9.0)</f>
        <v>9</v>
      </c>
      <c r="J5571" s="18">
        <f>IFERROR(__xludf.DUMMYFUNCTION("""COMPUTED_VALUE"""),9.0)</f>
        <v>9</v>
      </c>
      <c r="K5571" s="18">
        <f>IFERROR(__xludf.DUMMYFUNCTION("""COMPUTED_VALUE"""),9.0)</f>
        <v>9</v>
      </c>
      <c r="L5571" s="17">
        <f>IFERROR(__xludf.DUMMYFUNCTION("""COMPUTED_VALUE"""),3.218513282E9)</f>
        <v>3218513282</v>
      </c>
      <c r="M5571" s="17" t="str">
        <f>IFERROR(__xludf.DUMMYFUNCTION("""COMPUTED_VALUE"""),"#REF!")</f>
        <v>#REF!</v>
      </c>
      <c r="N5571" s="17"/>
      <c r="O5571" s="17"/>
      <c r="P5571" s="17" t="b">
        <f>IFERROR(__xludf.DUMMYFUNCTION("""COMPUTED_VALUE"""),FALSE)</f>
        <v>0</v>
      </c>
      <c r="Q5571" s="20" t="str">
        <f>IFERROR(__xludf.DUMMYFUNCTION("""COMPUTED_VALUE"""),"")</f>
        <v/>
      </c>
      <c r="R5571" s="21" t="str">
        <f>IFERROR(__xludf.DUMMYFUNCTION("""COMPUTED_VALUE"""),"https://drive.google.com/file/d/1IJLnmo7GbowdjxMAiqfrp_fddN5Gc-Bz/view?usp=drivesdk")</f>
        <v>https://drive.google.com/file/d/1IJLnmo7GbowdjxMAiqfrp_fddN5Gc-Bz/view?usp=drivesdk</v>
      </c>
    </row>
    <row r="5572">
      <c r="A5572" s="15">
        <f>IFERROR(__xludf.DUMMYFUNCTION("""COMPUTED_VALUE"""),45162.0)</f>
        <v>45162</v>
      </c>
      <c r="B5572" s="16" t="str">
        <f>IFERROR(__xludf.DUMMYFUNCTION("""COMPUTED_VALUE"""),"Anuar suarez jimenez ")</f>
        <v>Anuar suarez jimenez </v>
      </c>
      <c r="C5572" s="15" t="str">
        <f>IFERROR(__xludf.DUMMYFUNCTION("""COMPUTED_VALUE"""),"MONTERIA")</f>
        <v>MONTERIA</v>
      </c>
      <c r="D5572" s="15" t="str">
        <f>IFERROR(__xludf.DUMMYFUNCTION("""COMPUTED_VALUE"""),"BOGOTÁ")</f>
        <v>BOGOTÁ</v>
      </c>
      <c r="E5572" s="15" t="str">
        <f>IFERROR(__xludf.DUMMYFUNCTION("""COMPUTED_VALUE"""),"Top Spun")</f>
        <v>Top Spun</v>
      </c>
      <c r="F5572" s="17" t="str">
        <f>IFERROR(__xludf.DUMMYFUNCTION("""COMPUTED_VALUE"""),"Calle 78 # 6 - 225 /  Casa 27 / Portal de picacho")</f>
        <v>Calle 78 # 6 - 225 /  Casa 27 / Portal de picacho</v>
      </c>
      <c r="G5572" s="15" t="str">
        <f>IFERROR(__xludf.DUMMYFUNCTION("""COMPUTED_VALUE"""),"Laura Olmos")</f>
        <v>Laura Olmos</v>
      </c>
      <c r="H5572" s="16">
        <f>IFERROR(__xludf.DUMMYFUNCTION("""COMPUTED_VALUE"""),14154.0)</f>
        <v>14154</v>
      </c>
      <c r="I5572" s="18">
        <f>IFERROR(__xludf.DUMMYFUNCTION("""COMPUTED_VALUE"""),20.0)</f>
        <v>20</v>
      </c>
      <c r="J5572" s="18">
        <f>IFERROR(__xludf.DUMMYFUNCTION("""COMPUTED_VALUE"""),10.0)</f>
        <v>10</v>
      </c>
      <c r="K5572" s="18">
        <f>IFERROR(__xludf.DUMMYFUNCTION("""COMPUTED_VALUE"""),40.0)</f>
        <v>40</v>
      </c>
      <c r="L5572" s="17">
        <f>IFERROR(__xludf.DUMMYFUNCTION("""COMPUTED_VALUE"""),3.176403298E9)</f>
        <v>3176403298</v>
      </c>
      <c r="M5572" s="17" t="str">
        <f>IFERROR(__xludf.DUMMYFUNCTION("""COMPUTED_VALUE"""),"#REF!")</f>
        <v>#REF!</v>
      </c>
      <c r="N5572" s="17"/>
      <c r="O5572" s="17"/>
      <c r="P5572" s="17" t="b">
        <f>IFERROR(__xludf.DUMMYFUNCTION("""COMPUTED_VALUE"""),FALSE)</f>
        <v>0</v>
      </c>
      <c r="Q5572" s="20" t="str">
        <f>IFERROR(__xludf.DUMMYFUNCTION("""COMPUTED_VALUE"""),"")</f>
        <v/>
      </c>
      <c r="R5572" s="21" t="str">
        <f>IFERROR(__xludf.DUMMYFUNCTION("""COMPUTED_VALUE"""),"https://drive.google.com/file/d/1NleGseQuak31PyDy10Aizi_3PhuE7G32/view?usp=drivesdk")</f>
        <v>https://drive.google.com/file/d/1NleGseQuak31PyDy10Aizi_3PhuE7G32/view?usp=drivesdk</v>
      </c>
    </row>
    <row r="5573">
      <c r="A5573" s="15">
        <f>IFERROR(__xludf.DUMMYFUNCTION("""COMPUTED_VALUE"""),45162.0)</f>
        <v>45162</v>
      </c>
      <c r="B5573" s="16" t="str">
        <f>IFERROR(__xludf.DUMMYFUNCTION("""COMPUTED_VALUE"""),"Anuar suarez jimenez ")</f>
        <v>Anuar suarez jimenez </v>
      </c>
      <c r="C5573" s="15" t="str">
        <f>IFERROR(__xludf.DUMMYFUNCTION("""COMPUTED_VALUE"""),"MONTERIA")</f>
        <v>MONTERIA</v>
      </c>
      <c r="D5573" s="15" t="str">
        <f>IFERROR(__xludf.DUMMYFUNCTION("""COMPUTED_VALUE"""),"BOGOTÁ")</f>
        <v>BOGOTÁ</v>
      </c>
      <c r="E5573" s="15" t="str">
        <f>IFERROR(__xludf.DUMMYFUNCTION("""COMPUTED_VALUE"""),"Ventura Productos Arg")</f>
        <v>Ventura Productos Arg</v>
      </c>
      <c r="F5573" s="17" t="str">
        <f>IFERROR(__xludf.DUMMYFUNCTION("""COMPUTED_VALUE"""),"Calle 68#1C-37 / Apto 901, Edificio San Rosse")</f>
        <v>Calle 68#1C-37 / Apto 901, Edificio San Rosse</v>
      </c>
      <c r="G5573" s="15" t="str">
        <f>IFERROR(__xludf.DUMMYFUNCTION("""COMPUTED_VALUE"""),"Nicolas Taboada")</f>
        <v>Nicolas Taboada</v>
      </c>
      <c r="H5573" s="16">
        <f>IFERROR(__xludf.DUMMYFUNCTION("""COMPUTED_VALUE"""),14149.0)</f>
        <v>14149</v>
      </c>
      <c r="I5573" s="18">
        <f>IFERROR(__xludf.DUMMYFUNCTION("""COMPUTED_VALUE"""),3.0)</f>
        <v>3</v>
      </c>
      <c r="J5573" s="18">
        <f>IFERROR(__xludf.DUMMYFUNCTION("""COMPUTED_VALUE"""),45060.0)</f>
        <v>45060</v>
      </c>
      <c r="K5573" s="18">
        <f>IFERROR(__xludf.DUMMYFUNCTION("""COMPUTED_VALUE"""),22.0)</f>
        <v>22</v>
      </c>
      <c r="L5573" s="17" t="str">
        <f>IFERROR(__xludf.DUMMYFUNCTION("""COMPUTED_VALUE"""),"57 300 8092030")</f>
        <v>57 300 8092030</v>
      </c>
      <c r="M5573" s="17" t="str">
        <f>IFERROR(__xludf.DUMMYFUNCTION("""COMPUTED_VALUE"""),"#REF!")</f>
        <v>#REF!</v>
      </c>
      <c r="N5573" s="17"/>
      <c r="O5573" s="17"/>
      <c r="P5573" s="17" t="b">
        <f>IFERROR(__xludf.DUMMYFUNCTION("""COMPUTED_VALUE"""),TRUE)</f>
        <v>1</v>
      </c>
      <c r="Q5573" s="20">
        <f>IFERROR(__xludf.DUMMYFUNCTION("""COMPUTED_VALUE"""),45162.73312109953)</f>
        <v>45162.73312</v>
      </c>
      <c r="R5573" s="21" t="str">
        <f>IFERROR(__xludf.DUMMYFUNCTION("""COMPUTED_VALUE"""),"https://drive.google.com/file/d/1PKSjRn_RPXNa6o7mELQokzzrNAIrMJK1/view?usp=drivesdk")</f>
        <v>https://drive.google.com/file/d/1PKSjRn_RPXNa6o7mELQokzzrNAIrMJK1/view?usp=drivesdk</v>
      </c>
    </row>
    <row r="5574">
      <c r="A5574" s="15">
        <f>IFERROR(__xludf.DUMMYFUNCTION("""COMPUTED_VALUE"""),45162.0)</f>
        <v>45162</v>
      </c>
      <c r="B5574" s="16" t="str">
        <f>IFERROR(__xludf.DUMMYFUNCTION("""COMPUTED_VALUE"""),"Anuar suarez jimenez ")</f>
        <v>Anuar suarez jimenez </v>
      </c>
      <c r="C5574" s="15" t="str">
        <f>IFERROR(__xludf.DUMMYFUNCTION("""COMPUTED_VALUE"""),"POPAYAN")</f>
        <v>POPAYAN</v>
      </c>
      <c r="D5574" s="15" t="str">
        <f>IFERROR(__xludf.DUMMYFUNCTION("""COMPUTED_VALUE"""),"BOGOTÁ")</f>
        <v>BOGOTÁ</v>
      </c>
      <c r="E5574" s="15" t="str">
        <f>IFERROR(__xludf.DUMMYFUNCTION("""COMPUTED_VALUE"""),"Ventura Productos Arg")</f>
        <v>Ventura Productos Arg</v>
      </c>
      <c r="F5574" s="17" t="str">
        <f>IFERROR(__xludf.DUMMYFUNCTION("""COMPUTED_VALUE"""),"Calle 20 norte #16-20 / Casa")</f>
        <v>Calle 20 norte #16-20 / Casa</v>
      </c>
      <c r="G5574" s="15" t="str">
        <f>IFERROR(__xludf.DUMMYFUNCTION("""COMPUTED_VALUE"""),"Virginia Olano")</f>
        <v>Virginia Olano</v>
      </c>
      <c r="H5574" s="16">
        <f>IFERROR(__xludf.DUMMYFUNCTION("""COMPUTED_VALUE"""),14276.0)</f>
        <v>14276</v>
      </c>
      <c r="I5574" s="18">
        <f>IFERROR(__xludf.DUMMYFUNCTION("""COMPUTED_VALUE"""),3.0)</f>
        <v>3</v>
      </c>
      <c r="J5574" s="18">
        <f>IFERROR(__xludf.DUMMYFUNCTION("""COMPUTED_VALUE"""),45053.0)</f>
        <v>45053</v>
      </c>
      <c r="K5574" s="18">
        <f>IFERROR(__xludf.DUMMYFUNCTION("""COMPUTED_VALUE"""),22.0)</f>
        <v>22</v>
      </c>
      <c r="L5574" s="17"/>
      <c r="M5574" s="17" t="str">
        <f>IFERROR(__xludf.DUMMYFUNCTION("""COMPUTED_VALUE"""),"#REF!")</f>
        <v>#REF!</v>
      </c>
      <c r="N5574" s="17"/>
      <c r="O5574" s="17"/>
      <c r="P5574" s="17" t="b">
        <f>IFERROR(__xludf.DUMMYFUNCTION("""COMPUTED_VALUE"""),FALSE)</f>
        <v>0</v>
      </c>
      <c r="Q5574" s="20" t="str">
        <f>IFERROR(__xludf.DUMMYFUNCTION("""COMPUTED_VALUE"""),"")</f>
        <v/>
      </c>
      <c r="R5574" s="22" t="str">
        <f>IFERROR(__xludf.DUMMYFUNCTION("""COMPUTED_VALUE"""),"")</f>
        <v/>
      </c>
    </row>
    <row r="5575">
      <c r="A5575" s="15">
        <f>IFERROR(__xludf.DUMMYFUNCTION("""COMPUTED_VALUE"""),45162.0)</f>
        <v>45162</v>
      </c>
      <c r="B5575" s="16" t="str">
        <f>IFERROR(__xludf.DUMMYFUNCTION("""COMPUTED_VALUE"""),"Anuar suarez jimenez ")</f>
        <v>Anuar suarez jimenez </v>
      </c>
      <c r="C5575" s="15" t="str">
        <f>IFERROR(__xludf.DUMMYFUNCTION("""COMPUTED_VALUE"""),"POPAYAN")</f>
        <v>POPAYAN</v>
      </c>
      <c r="D5575" s="15" t="str">
        <f>IFERROR(__xludf.DUMMYFUNCTION("""COMPUTED_VALUE"""),"BOGOTÁ")</f>
        <v>BOGOTÁ</v>
      </c>
      <c r="E5575" s="15" t="str">
        <f>IFERROR(__xludf.DUMMYFUNCTION("""COMPUTED_VALUE"""),"Viiva Fermentados")</f>
        <v>Viiva Fermentados</v>
      </c>
      <c r="F5575" s="17" t="str">
        <f>IFERROR(__xludf.DUMMYFUNCTION("""COMPUTED_VALUE"""),"Cra 9 # 21Norte -36  / Tienda In Aqua / Ciudad Jardin Norte")</f>
        <v>Cra 9 # 21Norte -36  / Tienda In Aqua / Ciudad Jardin Norte</v>
      </c>
      <c r="G5575" s="15" t="str">
        <f>IFERROR(__xludf.DUMMYFUNCTION("""COMPUTED_VALUE"""),"In Aqua Leonardo Camacho")</f>
        <v>In Aqua Leonardo Camacho</v>
      </c>
      <c r="H5575" s="16">
        <f>IFERROR(__xludf.DUMMYFUNCTION("""COMPUTED_VALUE"""),14180.0)</f>
        <v>14180</v>
      </c>
      <c r="I5575" s="18">
        <f>IFERROR(__xludf.DUMMYFUNCTION("""COMPUTED_VALUE"""),17.0)</f>
        <v>17</v>
      </c>
      <c r="J5575" s="18">
        <f>IFERROR(__xludf.DUMMYFUNCTION("""COMPUTED_VALUE"""),36.0)</f>
        <v>36</v>
      </c>
      <c r="K5575" s="18">
        <f>IFERROR(__xludf.DUMMYFUNCTION("""COMPUTED_VALUE"""),24.0)</f>
        <v>24</v>
      </c>
      <c r="L5575" s="17">
        <f>IFERROR(__xludf.DUMMYFUNCTION("""COMPUTED_VALUE"""),3.013160676E9)</f>
        <v>3013160676</v>
      </c>
      <c r="M5575" s="17" t="str">
        <f>IFERROR(__xludf.DUMMYFUNCTION("""COMPUTED_VALUE"""),"#REF!")</f>
        <v>#REF!</v>
      </c>
      <c r="N5575" s="17"/>
      <c r="O5575" s="17"/>
      <c r="P5575" s="17" t="b">
        <f>IFERROR(__xludf.DUMMYFUNCTION("""COMPUTED_VALUE"""),FALSE)</f>
        <v>0</v>
      </c>
      <c r="Q5575" s="20" t="str">
        <f>IFERROR(__xludf.DUMMYFUNCTION("""COMPUTED_VALUE"""),"")</f>
        <v/>
      </c>
      <c r="R5575" s="22" t="str">
        <f>IFERROR(__xludf.DUMMYFUNCTION("""COMPUTED_VALUE"""),"")</f>
        <v/>
      </c>
    </row>
    <row r="5576">
      <c r="A5576" s="17" t="str">
        <f>IFERROR(__xludf.DUMMYFUNCTION("""COMPUTED_VALUE"""),"")</f>
        <v/>
      </c>
      <c r="B5576" s="17" t="str">
        <f>IFERROR(__xludf.DUMMYFUNCTION("""COMPUTED_VALUE"""),"")</f>
        <v/>
      </c>
      <c r="C5576" s="17" t="str">
        <f>IFERROR(__xludf.DUMMYFUNCTION("""COMPUTED_VALUE"""),"")</f>
        <v/>
      </c>
      <c r="D5576" s="17" t="str">
        <f>IFERROR(__xludf.DUMMYFUNCTION("""COMPUTED_VALUE"""),"")</f>
        <v/>
      </c>
      <c r="E5576" s="17" t="str">
        <f>IFERROR(__xludf.DUMMYFUNCTION("""COMPUTED_VALUE"""),"")</f>
        <v/>
      </c>
      <c r="F5576" s="17" t="str">
        <f>IFERROR(__xludf.DUMMYFUNCTION("""COMPUTED_VALUE"""),"")</f>
        <v/>
      </c>
      <c r="G5576" s="17" t="str">
        <f>IFERROR(__xludf.DUMMYFUNCTION("""COMPUTED_VALUE"""),"")</f>
        <v/>
      </c>
      <c r="H5576" s="17" t="str">
        <f>IFERROR(__xludf.DUMMYFUNCTION("""COMPUTED_VALUE"""),"")</f>
        <v/>
      </c>
      <c r="I5576" s="17" t="str">
        <f>IFERROR(__xludf.DUMMYFUNCTION("""COMPUTED_VALUE"""),"")</f>
        <v/>
      </c>
      <c r="J5576" s="17" t="str">
        <f>IFERROR(__xludf.DUMMYFUNCTION("""COMPUTED_VALUE"""),"")</f>
        <v/>
      </c>
      <c r="K5576" s="17" t="str">
        <f>IFERROR(__xludf.DUMMYFUNCTION("""COMPUTED_VALUE"""),"")</f>
        <v/>
      </c>
      <c r="L5576" s="17" t="str">
        <f>IFERROR(__xludf.DUMMYFUNCTION("""COMPUTED_VALUE"""),"")</f>
        <v/>
      </c>
      <c r="M5576" s="17" t="str">
        <f>IFERROR(__xludf.DUMMYFUNCTION("""COMPUTED_VALUE"""),"")</f>
        <v/>
      </c>
      <c r="N5576" s="17" t="str">
        <f>IFERROR(__xludf.DUMMYFUNCTION("""COMPUTED_VALUE"""),"")</f>
        <v/>
      </c>
      <c r="O5576" s="17" t="str">
        <f>IFERROR(__xludf.DUMMYFUNCTION("""COMPUTED_VALUE"""),"")</f>
        <v/>
      </c>
      <c r="P5576" s="17" t="str">
        <f>IFERROR(__xludf.DUMMYFUNCTION("""COMPUTED_VALUE"""),"")</f>
        <v/>
      </c>
      <c r="Q5576" s="17" t="str">
        <f>IFERROR(__xludf.DUMMYFUNCTION("""COMPUTED_VALUE"""),"")</f>
        <v/>
      </c>
      <c r="R5576" s="17" t="str">
        <f>IFERROR(__xludf.DUMMYFUNCTION("""COMPUTED_VALUE"""),"")</f>
        <v/>
      </c>
    </row>
    <row r="5577">
      <c r="A5577" s="15">
        <f>IFERROR(__xludf.DUMMYFUNCTION("""COMPUTED_VALUE"""),45162.0)</f>
        <v>45162</v>
      </c>
      <c r="B5577" s="16" t="str">
        <f>IFERROR(__xludf.DUMMYFUNCTION("""COMPUTED_VALUE"""),"Envia")</f>
        <v>Envia</v>
      </c>
      <c r="C5577" s="15" t="str">
        <f>IFERROR(__xludf.DUMMYFUNCTION("""COMPUTED_VALUE"""),"BOGOTÁ")</f>
        <v>BOGOTÁ</v>
      </c>
      <c r="D5577" s="15" t="str">
        <f>IFERROR(__xludf.DUMMYFUNCTION("""COMPUTED_VALUE"""),"MEDELLÍN")</f>
        <v>MEDELLÍN</v>
      </c>
      <c r="E5577" s="15" t="str">
        <f>IFERROR(__xludf.DUMMYFUNCTION("""COMPUTED_VALUE"""),"Pura Karne")</f>
        <v>Pura Karne</v>
      </c>
      <c r="F5577" s="17" t="str">
        <f>IFERROR(__xludf.DUMMYFUNCTION("""COMPUTED_VALUE"""),"CARRERA 7 # 155C-30 TORRE E PISO 38  / NORTH POINT  PISO 38 / NORTE")</f>
        <v>CARRERA 7 # 155C-30 TORRE E PISO 38  / NORTH POINT  PISO 38 / NORTE</v>
      </c>
      <c r="G5577" s="15" t="str">
        <f>IFERROR(__xludf.DUMMYFUNCTION("""COMPUTED_VALUE"""),"ADRIANA FARFAN")</f>
        <v>ADRIANA FARFAN</v>
      </c>
      <c r="H5577" s="16">
        <f>IFERROR(__xludf.DUMMYFUNCTION("""COMPUTED_VALUE"""),14357.0)</f>
        <v>14357</v>
      </c>
      <c r="I5577" s="18">
        <f>IFERROR(__xludf.DUMMYFUNCTION("""COMPUTED_VALUE"""),13.0)</f>
        <v>13</v>
      </c>
      <c r="J5577" s="18">
        <f>IFERROR(__xludf.DUMMYFUNCTION("""COMPUTED_VALUE"""),31.0)</f>
        <v>31</v>
      </c>
      <c r="K5577" s="18">
        <f>IFERROR(__xludf.DUMMYFUNCTION("""COMPUTED_VALUE"""),28.0)</f>
        <v>28</v>
      </c>
      <c r="L5577" s="17">
        <f>IFERROR(__xludf.DUMMYFUNCTION("""COMPUTED_VALUE"""),3.185893324E9)</f>
        <v>3185893324</v>
      </c>
      <c r="M5577" s="17" t="str">
        <f>IFERROR(__xludf.DUMMYFUNCTION("""COMPUTED_VALUE"""),"#REF!")</f>
        <v>#REF!</v>
      </c>
      <c r="N5577" s="17"/>
      <c r="O5577" s="17"/>
      <c r="P5577" s="17" t="b">
        <f>IFERROR(__xludf.DUMMYFUNCTION("""COMPUTED_VALUE"""),FALSE)</f>
        <v>0</v>
      </c>
      <c r="Q5577" s="20" t="str">
        <f>IFERROR(__xludf.DUMMYFUNCTION("""COMPUTED_VALUE"""),"")</f>
        <v/>
      </c>
      <c r="R5577" s="21" t="str">
        <f>IFERROR(__xludf.DUMMYFUNCTION("""COMPUTED_VALUE"""),"https://drive.google.com/file/d/1vvIu9_2RV960SKJt7zOUdYQOtuBGaD_b/view?usp=drivesdk")</f>
        <v>https://drive.google.com/file/d/1vvIu9_2RV960SKJt7zOUdYQOtuBGaD_b/view?usp=drivesdk</v>
      </c>
    </row>
    <row r="5578">
      <c r="A5578" s="15">
        <f>IFERROR(__xludf.DUMMYFUNCTION("""COMPUTED_VALUE"""),45162.0)</f>
        <v>45162</v>
      </c>
      <c r="B5578" s="16" t="str">
        <f>IFERROR(__xludf.DUMMYFUNCTION("""COMPUTED_VALUE"""),"Envia")</f>
        <v>Envia</v>
      </c>
      <c r="C5578" s="15" t="str">
        <f>IFERROR(__xludf.DUMMYFUNCTION("""COMPUTED_VALUE"""),"CAJICÁ")</f>
        <v>CAJICÁ</v>
      </c>
      <c r="D5578" s="15" t="str">
        <f>IFERROR(__xludf.DUMMYFUNCTION("""COMPUTED_VALUE"""),"BUCARAMANGA")</f>
        <v>BUCARAMANGA</v>
      </c>
      <c r="E5578" s="15" t="str">
        <f>IFERROR(__xludf.DUMMYFUNCTION("""COMPUTED_VALUE"""),"Yo Como Solito")</f>
        <v>Yo Como Solito</v>
      </c>
      <c r="F5578" s="17" t="str">
        <f>IFERROR(__xludf.DUMMYFUNCTION("""COMPUTED_VALUE"""),"CARRERA 11 AESTE 8A-36 TORRE 1 APTO 505 CONJUNTO VIANTT / CARRERA 11 AESTE 8A-36 TORRE 1 APTO 505 CONJUNTO VIANTT / CARRERA 11 AESTE 8A-36 TORRE 1 APTO 505 CONJUNTO VIANTT")</f>
        <v>CARRERA 11 AESTE 8A-36 TORRE 1 APTO 505 CONJUNTO VIANTT / CARRERA 11 AESTE 8A-36 TORRE 1 APTO 505 CONJUNTO VIANTT / CARRERA 11 AESTE 8A-36 TORRE 1 APTO 505 CONJUNTO VIANTT</v>
      </c>
      <c r="G5578" s="15" t="str">
        <f>IFERROR(__xludf.DUMMYFUNCTION("""COMPUTED_VALUE"""),"MARITZA PRADA")</f>
        <v>MARITZA PRADA</v>
      </c>
      <c r="H5578" s="16">
        <f>IFERROR(__xludf.DUMMYFUNCTION("""COMPUTED_VALUE"""),14316.0)</f>
        <v>14316</v>
      </c>
      <c r="I5578" s="18">
        <f>IFERROR(__xludf.DUMMYFUNCTION("""COMPUTED_VALUE"""),13.0)</f>
        <v>13</v>
      </c>
      <c r="J5578" s="18">
        <f>IFERROR(__xludf.DUMMYFUNCTION("""COMPUTED_VALUE"""),28.0)</f>
        <v>28</v>
      </c>
      <c r="K5578" s="18">
        <f>IFERROR(__xludf.DUMMYFUNCTION("""COMPUTED_VALUE"""),33.0)</f>
        <v>33</v>
      </c>
      <c r="L5578" s="17">
        <f>IFERROR(__xludf.DUMMYFUNCTION("""COMPUTED_VALUE"""),3.016777657E9)</f>
        <v>3016777657</v>
      </c>
      <c r="M5578" s="17" t="str">
        <f>IFERROR(__xludf.DUMMYFUNCTION("""COMPUTED_VALUE"""),"#REF!")</f>
        <v>#REF!</v>
      </c>
      <c r="N5578" s="17"/>
      <c r="O5578" s="17"/>
      <c r="P5578" s="17" t="b">
        <f>IFERROR(__xludf.DUMMYFUNCTION("""COMPUTED_VALUE"""),FALSE)</f>
        <v>0</v>
      </c>
      <c r="Q5578" s="20" t="str">
        <f>IFERROR(__xludf.DUMMYFUNCTION("""COMPUTED_VALUE"""),"")</f>
        <v/>
      </c>
      <c r="R5578" s="21" t="str">
        <f>IFERROR(__xludf.DUMMYFUNCTION("""COMPUTED_VALUE"""),"https://drive.google.com/file/d/1M2vBWS-JQrWeqv1MlDSBiz21kseLS4xq/view?usp=drivesdk")</f>
        <v>https://drive.google.com/file/d/1M2vBWS-JQrWeqv1MlDSBiz21kseLS4xq/view?usp=drivesdk</v>
      </c>
    </row>
    <row r="5579">
      <c r="A5579" s="15">
        <f>IFERROR(__xludf.DUMMYFUNCTION("""COMPUTED_VALUE"""),45162.0)</f>
        <v>45162</v>
      </c>
      <c r="B5579" s="16" t="str">
        <f>IFERROR(__xludf.DUMMYFUNCTION("""COMPUTED_VALUE"""),"Envia")</f>
        <v>Envia</v>
      </c>
      <c r="C5579" s="15" t="str">
        <f>IFERROR(__xludf.DUMMYFUNCTION("""COMPUTED_VALUE"""),"CALI")</f>
        <v>CALI</v>
      </c>
      <c r="D5579" s="15" t="str">
        <f>IFERROR(__xludf.DUMMYFUNCTION("""COMPUTED_VALUE"""),"MEDELLÍN")</f>
        <v>MEDELLÍN</v>
      </c>
      <c r="E5579" s="15" t="str">
        <f>IFERROR(__xludf.DUMMYFUNCTION("""COMPUTED_VALUE"""),"Baby Chef")</f>
        <v>Baby Chef</v>
      </c>
      <c r="F5579" s="17" t="str">
        <f>IFERROR(__xludf.DUMMYFUNCTION("""COMPUTED_VALUE"""),"Cra 103 no 12 c-50 casa A3  Barrio: Ciudad Jardin / ""Cra 103 no 12 c-50 casa A3  Barrio: Ciudad Jardin"" / ""Cra 103 no 12 c-50 casa A3  Barrio: Ciudad Jardin""")</f>
        <v>Cra 103 no 12 c-50 casa A3  Barrio: Ciudad Jardin / "Cra 103 no 12 c-50 casa A3  Barrio: Ciudad Jardin" / "Cra 103 no 12 c-50 casa A3  Barrio: Ciudad Jardin"</v>
      </c>
      <c r="G5579" s="15" t="str">
        <f>IFERROR(__xludf.DUMMYFUNCTION("""COMPUTED_VALUE"""),"Lina Velasquez")</f>
        <v>Lina Velasquez</v>
      </c>
      <c r="H5579" s="16">
        <f>IFERROR(__xludf.DUMMYFUNCTION("""COMPUTED_VALUE"""),14325.0)</f>
        <v>14325</v>
      </c>
      <c r="I5579" s="18">
        <f>IFERROR(__xludf.DUMMYFUNCTION("""COMPUTED_VALUE"""),13.0)</f>
        <v>13</v>
      </c>
      <c r="J5579" s="18">
        <f>IFERROR(__xludf.DUMMYFUNCTION("""COMPUTED_VALUE"""),37.0)</f>
        <v>37</v>
      </c>
      <c r="K5579" s="18">
        <f>IFERROR(__xludf.DUMMYFUNCTION("""COMPUTED_VALUE"""),31.0)</f>
        <v>31</v>
      </c>
      <c r="L5579" s="17">
        <f>IFERROR(__xludf.DUMMYFUNCTION("""COMPUTED_VALUE"""),3.00613134E9)</f>
        <v>3006131340</v>
      </c>
      <c r="M5579" s="17" t="str">
        <f>IFERROR(__xludf.DUMMYFUNCTION("""COMPUTED_VALUE"""),"#REF!")</f>
        <v>#REF!</v>
      </c>
      <c r="N5579" s="17"/>
      <c r="O5579" s="17"/>
      <c r="P5579" s="17" t="b">
        <f>IFERROR(__xludf.DUMMYFUNCTION("""COMPUTED_VALUE"""),FALSE)</f>
        <v>0</v>
      </c>
      <c r="Q5579" s="20" t="str">
        <f>IFERROR(__xludf.DUMMYFUNCTION("""COMPUTED_VALUE"""),"")</f>
        <v/>
      </c>
      <c r="R5579" s="21" t="str">
        <f>IFERROR(__xludf.DUMMYFUNCTION("""COMPUTED_VALUE"""),"https://drive.google.com/file/d/1lH42w5Z-0Kzxsw4dxSFSf9m8WZy0oxQJ/view?usp=drivesdk")</f>
        <v>https://drive.google.com/file/d/1lH42w5Z-0Kzxsw4dxSFSf9m8WZy0oxQJ/view?usp=drivesdk</v>
      </c>
    </row>
    <row r="5580">
      <c r="A5580" s="15">
        <f>IFERROR(__xludf.DUMMYFUNCTION("""COMPUTED_VALUE"""),45162.0)</f>
        <v>45162</v>
      </c>
      <c r="B5580" s="16" t="str">
        <f>IFERROR(__xludf.DUMMYFUNCTION("""COMPUTED_VALUE"""),"Envia")</f>
        <v>Envia</v>
      </c>
      <c r="C5580" s="15" t="str">
        <f>IFERROR(__xludf.DUMMYFUNCTION("""COMPUTED_VALUE"""),"CALI")</f>
        <v>CALI</v>
      </c>
      <c r="D5580" s="15" t="str">
        <f>IFERROR(__xludf.DUMMYFUNCTION("""COMPUTED_VALUE"""),"MEDELLÍN")</f>
        <v>MEDELLÍN</v>
      </c>
      <c r="E5580" s="15" t="str">
        <f>IFERROR(__xludf.DUMMYFUNCTION("""COMPUTED_VALUE"""),"Terravocado")</f>
        <v>Terravocado</v>
      </c>
      <c r="F5580" s="17" t="str">
        <f>IFERROR(__xludf.DUMMYFUNCTION("""COMPUTED_VALUE"""),"CLL 34 N # 2 BN 33 / COCINA 1 / SAN VICENTE ENTRE LA 14 DE LA 6 TA  Y EL DEPORTIVO CALI")</f>
        <v>CLL 34 N # 2 BN 33 / COCINA 1 / SAN VICENTE ENTRE LA 14 DE LA 6 TA  Y EL DEPORTIVO CALI</v>
      </c>
      <c r="G5580" s="15" t="str">
        <f>IFERROR(__xludf.DUMMYFUNCTION("""COMPUTED_VALUE"""),"CONTINENTAL KITCHENS")</f>
        <v>CONTINENTAL KITCHENS</v>
      </c>
      <c r="H5580" s="16">
        <f>IFERROR(__xludf.DUMMYFUNCTION("""COMPUTED_VALUE"""),14282.0)</f>
        <v>14282</v>
      </c>
      <c r="I5580" s="18">
        <f>IFERROR(__xludf.DUMMYFUNCTION("""COMPUTED_VALUE"""),20.0)</f>
        <v>20</v>
      </c>
      <c r="J5580" s="18">
        <f>IFERROR(__xludf.DUMMYFUNCTION("""COMPUTED_VALUE"""),24.0)</f>
        <v>24</v>
      </c>
      <c r="K5580" s="18">
        <f>IFERROR(__xludf.DUMMYFUNCTION("""COMPUTED_VALUE"""),34.0)</f>
        <v>34</v>
      </c>
      <c r="L5580" s="17">
        <f>IFERROR(__xludf.DUMMYFUNCTION("""COMPUTED_VALUE"""),3.112634547E9)</f>
        <v>3112634547</v>
      </c>
      <c r="M5580" s="17" t="str">
        <f>IFERROR(__xludf.DUMMYFUNCTION("""COMPUTED_VALUE"""),"#REF!")</f>
        <v>#REF!</v>
      </c>
      <c r="N5580" s="17"/>
      <c r="O5580" s="17"/>
      <c r="P5580" s="17" t="b">
        <f>IFERROR(__xludf.DUMMYFUNCTION("""COMPUTED_VALUE"""),FALSE)</f>
        <v>0</v>
      </c>
      <c r="Q5580" s="20" t="str">
        <f>IFERROR(__xludf.DUMMYFUNCTION("""COMPUTED_VALUE"""),"")</f>
        <v/>
      </c>
      <c r="R5580" s="21" t="str">
        <f>IFERROR(__xludf.DUMMYFUNCTION("""COMPUTED_VALUE"""),"https://drive.google.com/file/d/1cuncxd2zxoANbFyg_u0kayugfBVf9CIu/view?usp=drivesdk")</f>
        <v>https://drive.google.com/file/d/1cuncxd2zxoANbFyg_u0kayugfBVf9CIu/view?usp=drivesdk</v>
      </c>
    </row>
    <row r="5581">
      <c r="A5581" s="15">
        <f>IFERROR(__xludf.DUMMYFUNCTION("""COMPUTED_VALUE"""),45162.0)</f>
        <v>45162</v>
      </c>
      <c r="B5581" s="16" t="str">
        <f>IFERROR(__xludf.DUMMYFUNCTION("""COMPUTED_VALUE"""),"Envia")</f>
        <v>Envia</v>
      </c>
      <c r="C5581" s="15" t="str">
        <f>IFERROR(__xludf.DUMMYFUNCTION("""COMPUTED_VALUE"""),"FUSAGASUGA")</f>
        <v>FUSAGASUGA</v>
      </c>
      <c r="D5581" s="15" t="str">
        <f>IFERROR(__xludf.DUMMYFUNCTION("""COMPUTED_VALUE"""),"BOGOTÁ")</f>
        <v>BOGOTÁ</v>
      </c>
      <c r="E5581" s="15" t="str">
        <f>IFERROR(__xludf.DUMMYFUNCTION("""COMPUTED_VALUE"""),"Evamazzita")</f>
        <v>Evamazzita</v>
      </c>
      <c r="F5581" s="17" t="str">
        <f>IFERROR(__xludf.DUMMYFUNCTION("""COMPUTED_VALUE"""),"CARRERA 39 C # 22 C - 05  / ETAPA 2 APTO. 601 / TORRES DE PALMETO")</f>
        <v>CARRERA 39 C # 22 C - 05  / ETAPA 2 APTO. 601 / TORRES DE PALMETO</v>
      </c>
      <c r="G5581" s="15" t="str">
        <f>IFERROR(__xludf.DUMMYFUNCTION("""COMPUTED_VALUE"""),"YESICA TATIANA GALLEGO OCAMPO")</f>
        <v>YESICA TATIANA GALLEGO OCAMPO</v>
      </c>
      <c r="H5581" s="16">
        <f>IFERROR(__xludf.DUMMYFUNCTION("""COMPUTED_VALUE"""),14323.0)</f>
        <v>14323</v>
      </c>
      <c r="I5581" s="18">
        <f>IFERROR(__xludf.DUMMYFUNCTION("""COMPUTED_VALUE"""),6.0)</f>
        <v>6</v>
      </c>
      <c r="J5581" s="18">
        <f>IFERROR(__xludf.DUMMYFUNCTION("""COMPUTED_VALUE"""),22.0)</f>
        <v>22</v>
      </c>
      <c r="K5581" s="18">
        <f>IFERROR(__xludf.DUMMYFUNCTION("""COMPUTED_VALUE"""),22.0)</f>
        <v>22</v>
      </c>
      <c r="L5581" s="17">
        <f>IFERROR(__xludf.DUMMYFUNCTION("""COMPUTED_VALUE"""),3.244761309E9)</f>
        <v>3244761309</v>
      </c>
      <c r="M5581" s="17" t="str">
        <f>IFERROR(__xludf.DUMMYFUNCTION("""COMPUTED_VALUE"""),"#REF!")</f>
        <v>#REF!</v>
      </c>
      <c r="N5581" s="17"/>
      <c r="O5581" s="17"/>
      <c r="P5581" s="17" t="b">
        <f>IFERROR(__xludf.DUMMYFUNCTION("""COMPUTED_VALUE"""),FALSE)</f>
        <v>0</v>
      </c>
      <c r="Q5581" s="20" t="str">
        <f>IFERROR(__xludf.DUMMYFUNCTION("""COMPUTED_VALUE"""),"")</f>
        <v/>
      </c>
      <c r="R5581" s="22" t="str">
        <f>IFERROR(__xludf.DUMMYFUNCTION("""COMPUTED_VALUE"""),"")</f>
        <v/>
      </c>
    </row>
    <row r="5582">
      <c r="A5582" s="15">
        <f>IFERROR(__xludf.DUMMYFUNCTION("""COMPUTED_VALUE"""),45162.0)</f>
        <v>45162</v>
      </c>
      <c r="B5582" s="16" t="str">
        <f>IFERROR(__xludf.DUMMYFUNCTION("""COMPUTED_VALUE"""),"Envia")</f>
        <v>Envia</v>
      </c>
      <c r="C5582" s="15" t="str">
        <f>IFERROR(__xludf.DUMMYFUNCTION("""COMPUTED_VALUE"""),"MONTERIA")</f>
        <v>MONTERIA</v>
      </c>
      <c r="D5582" s="15" t="str">
        <f>IFERROR(__xludf.DUMMYFUNCTION("""COMPUTED_VALUE"""),"MEDELLÍN")</f>
        <v>MEDELLÍN</v>
      </c>
      <c r="E5582" s="15" t="str">
        <f>IFERROR(__xludf.DUMMYFUNCTION("""COMPUTED_VALUE"""),"Baby Chef")</f>
        <v>Baby Chef</v>
      </c>
      <c r="F5582" s="17" t="str">
        <f>IFERROR(__xludf.DUMMYFUNCTION("""COMPUTED_VALUE"""),"Cra 9 #24-19 centro local 3 Ciudad: Montería Córdoba  / ""Cra 9 #24-19 centro local 3 Ciudad: Montería Córdoba "" / ""Cra 9 #24-19 centro local 3 Ciudad: Montería Córdoba """)</f>
        <v>Cra 9 #24-19 centro local 3 Ciudad: Montería Córdoba  / "Cra 9 #24-19 centro local 3 Ciudad: Montería Córdoba " / "Cra 9 #24-19 centro local 3 Ciudad: Montería Córdoba "</v>
      </c>
      <c r="G5582" s="15" t="str">
        <f>IFERROR(__xludf.DUMMYFUNCTION("""COMPUTED_VALUE"""),"Vanessa herrera Oquendo")</f>
        <v>Vanessa herrera Oquendo</v>
      </c>
      <c r="H5582" s="16">
        <f>IFERROR(__xludf.DUMMYFUNCTION("""COMPUTED_VALUE"""),14328.0)</f>
        <v>14328</v>
      </c>
      <c r="I5582" s="18">
        <f>IFERROR(__xludf.DUMMYFUNCTION("""COMPUTED_VALUE"""),4.0)</f>
        <v>4</v>
      </c>
      <c r="J5582" s="18">
        <f>IFERROR(__xludf.DUMMYFUNCTION("""COMPUTED_VALUE"""),20.0)</f>
        <v>20</v>
      </c>
      <c r="K5582" s="18">
        <f>IFERROR(__xludf.DUMMYFUNCTION("""COMPUTED_VALUE"""),16.0)</f>
        <v>16</v>
      </c>
      <c r="L5582" s="17">
        <f>IFERROR(__xludf.DUMMYFUNCTION("""COMPUTED_VALUE"""),3.043505147E9)</f>
        <v>3043505147</v>
      </c>
      <c r="M5582" s="17" t="str">
        <f>IFERROR(__xludf.DUMMYFUNCTION("""COMPUTED_VALUE"""),"#REF!")</f>
        <v>#REF!</v>
      </c>
      <c r="N5582" s="17"/>
      <c r="O5582" s="17"/>
      <c r="P5582" s="17" t="b">
        <f>IFERROR(__xludf.DUMMYFUNCTION("""COMPUTED_VALUE"""),FALSE)</f>
        <v>0</v>
      </c>
      <c r="Q5582" s="20" t="str">
        <f>IFERROR(__xludf.DUMMYFUNCTION("""COMPUTED_VALUE"""),"")</f>
        <v/>
      </c>
      <c r="R5582" s="21" t="str">
        <f>IFERROR(__xludf.DUMMYFUNCTION("""COMPUTED_VALUE"""),"https://drive.google.com/file/d/1AnyrswQ4caX_6Z8p9yv5ZHqgY6o_vtpx/view?usp=drivesdk")</f>
        <v>https://drive.google.com/file/d/1AnyrswQ4caX_6Z8p9yv5ZHqgY6o_vtpx/view?usp=drivesdk</v>
      </c>
    </row>
    <row r="5583">
      <c r="A5583" s="15">
        <f>IFERROR(__xludf.DUMMYFUNCTION("""COMPUTED_VALUE"""),45162.0)</f>
        <v>45162</v>
      </c>
      <c r="B5583" s="16" t="str">
        <f>IFERROR(__xludf.DUMMYFUNCTION("""COMPUTED_VALUE"""),"Envia")</f>
        <v>Envia</v>
      </c>
      <c r="C5583" s="15" t="str">
        <f>IFERROR(__xludf.DUMMYFUNCTION("""COMPUTED_VALUE"""),"NEIVA")</f>
        <v>NEIVA</v>
      </c>
      <c r="D5583" s="15" t="str">
        <f>IFERROR(__xludf.DUMMYFUNCTION("""COMPUTED_VALUE"""),"BOGOTÁ")</f>
        <v>BOGOTÁ</v>
      </c>
      <c r="E5583" s="15" t="str">
        <f>IFERROR(__xludf.DUMMYFUNCTION("""COMPUTED_VALUE"""),"Once Trigos")</f>
        <v>Once Trigos</v>
      </c>
      <c r="F5583" s="17" t="str">
        <f>IFERROR(__xludf.DUMMYFUNCTION("""COMPUTED_VALUE"""),"Cra 5 # 23-10 / Restaurante  / Sevilla")</f>
        <v>Cra 5 # 23-10 / Restaurante  / Sevilla</v>
      </c>
      <c r="G5583" s="15" t="str">
        <f>IFERROR(__xludf.DUMMYFUNCTION("""COMPUTED_VALUE"""),"San agusto cocina y despensa SAS")</f>
        <v>San agusto cocina y despensa SAS</v>
      </c>
      <c r="H5583" s="16">
        <f>IFERROR(__xludf.DUMMYFUNCTION("""COMPUTED_VALUE"""),14336.0)</f>
        <v>14336</v>
      </c>
      <c r="I5583" s="18">
        <f>IFERROR(__xludf.DUMMYFUNCTION("""COMPUTED_VALUE"""),45053.0)</f>
        <v>45053</v>
      </c>
      <c r="J5583" s="18">
        <f>IFERROR(__xludf.DUMMYFUNCTION("""COMPUTED_VALUE"""),34.0)</f>
        <v>34</v>
      </c>
      <c r="K5583" s="18">
        <f>IFERROR(__xludf.DUMMYFUNCTION("""COMPUTED_VALUE"""),55.0)</f>
        <v>55</v>
      </c>
      <c r="L5583" s="17">
        <f>IFERROR(__xludf.DUMMYFUNCTION("""COMPUTED_VALUE"""),3.203983927E9)</f>
        <v>3203983927</v>
      </c>
      <c r="M5583" s="17" t="str">
        <f>IFERROR(__xludf.DUMMYFUNCTION("""COMPUTED_VALUE"""),"#REF!")</f>
        <v>#REF!</v>
      </c>
      <c r="N5583" s="17"/>
      <c r="O5583" s="17"/>
      <c r="P5583" s="17" t="b">
        <f>IFERROR(__xludf.DUMMYFUNCTION("""COMPUTED_VALUE"""),FALSE)</f>
        <v>0</v>
      </c>
      <c r="Q5583" s="20" t="str">
        <f>IFERROR(__xludf.DUMMYFUNCTION("""COMPUTED_VALUE"""),"")</f>
        <v/>
      </c>
      <c r="R5583" s="22" t="str">
        <f>IFERROR(__xludf.DUMMYFUNCTION("""COMPUTED_VALUE"""),"")</f>
        <v/>
      </c>
    </row>
    <row r="5584">
      <c r="A5584" s="17" t="str">
        <f>IFERROR(__xludf.DUMMYFUNCTION("""COMPUTED_VALUE"""),"")</f>
        <v/>
      </c>
      <c r="B5584" s="17" t="str">
        <f>IFERROR(__xludf.DUMMYFUNCTION("""COMPUTED_VALUE"""),"")</f>
        <v/>
      </c>
      <c r="C5584" s="17" t="str">
        <f>IFERROR(__xludf.DUMMYFUNCTION("""COMPUTED_VALUE"""),"")</f>
        <v/>
      </c>
      <c r="D5584" s="17" t="str">
        <f>IFERROR(__xludf.DUMMYFUNCTION("""COMPUTED_VALUE"""),"")</f>
        <v/>
      </c>
      <c r="E5584" s="17" t="str">
        <f>IFERROR(__xludf.DUMMYFUNCTION("""COMPUTED_VALUE"""),"")</f>
        <v/>
      </c>
      <c r="F5584" s="17" t="str">
        <f>IFERROR(__xludf.DUMMYFUNCTION("""COMPUTED_VALUE"""),"")</f>
        <v/>
      </c>
      <c r="G5584" s="17" t="str">
        <f>IFERROR(__xludf.DUMMYFUNCTION("""COMPUTED_VALUE"""),"")</f>
        <v/>
      </c>
      <c r="H5584" s="17" t="str">
        <f>IFERROR(__xludf.DUMMYFUNCTION("""COMPUTED_VALUE"""),"")</f>
        <v/>
      </c>
      <c r="I5584" s="17" t="str">
        <f>IFERROR(__xludf.DUMMYFUNCTION("""COMPUTED_VALUE"""),"")</f>
        <v/>
      </c>
      <c r="J5584" s="17" t="str">
        <f>IFERROR(__xludf.DUMMYFUNCTION("""COMPUTED_VALUE"""),"")</f>
        <v/>
      </c>
      <c r="K5584" s="17" t="str">
        <f>IFERROR(__xludf.DUMMYFUNCTION("""COMPUTED_VALUE"""),"")</f>
        <v/>
      </c>
      <c r="L5584" s="17" t="str">
        <f>IFERROR(__xludf.DUMMYFUNCTION("""COMPUTED_VALUE"""),"")</f>
        <v/>
      </c>
      <c r="M5584" s="17" t="str">
        <f>IFERROR(__xludf.DUMMYFUNCTION("""COMPUTED_VALUE"""),"")</f>
        <v/>
      </c>
      <c r="N5584" s="17" t="str">
        <f>IFERROR(__xludf.DUMMYFUNCTION("""COMPUTED_VALUE"""),"")</f>
        <v/>
      </c>
      <c r="O5584" s="17" t="str">
        <f>IFERROR(__xludf.DUMMYFUNCTION("""COMPUTED_VALUE"""),"")</f>
        <v/>
      </c>
      <c r="P5584" s="17" t="str">
        <f>IFERROR(__xludf.DUMMYFUNCTION("""COMPUTED_VALUE"""),"")</f>
        <v/>
      </c>
      <c r="Q5584" s="17" t="str">
        <f>IFERROR(__xludf.DUMMYFUNCTION("""COMPUTED_VALUE"""),"")</f>
        <v/>
      </c>
      <c r="R5584" s="17" t="str">
        <f>IFERROR(__xludf.DUMMYFUNCTION("""COMPUTED_VALUE"""),"")</f>
        <v/>
      </c>
    </row>
    <row r="5585">
      <c r="A5585" s="15">
        <f>IFERROR(__xludf.DUMMYFUNCTION("""COMPUTED_VALUE"""),45162.0)</f>
        <v>45162</v>
      </c>
      <c r="B5585" s="16" t="str">
        <f>IFERROR(__xludf.DUMMYFUNCTION("""COMPUTED_VALUE"""),"Jeison Rubiano")</f>
        <v>Jeison Rubiano</v>
      </c>
      <c r="C5585" s="15" t="str">
        <f>IFERROR(__xludf.DUMMYFUNCTION("""COMPUTED_VALUE"""),"BOGOTÁ")</f>
        <v>BOGOTÁ</v>
      </c>
      <c r="D5585" s="15" t="str">
        <f>IFERROR(__xludf.DUMMYFUNCTION("""COMPUTED_VALUE"""),"CALI")</f>
        <v>CALI</v>
      </c>
      <c r="E5585" s="15" t="str">
        <f>IFERROR(__xludf.DUMMYFUNCTION("""COMPUTED_VALUE"""),"Natalia Carreño")</f>
        <v>Natalia Carreño</v>
      </c>
      <c r="F5585" s="17" t="str">
        <f>IFERROR(__xludf.DUMMYFUNCTION("""COMPUTED_VALUE"""),"Carrera 27 #70-83 / Casa rosada / Barrio los alcázares")</f>
        <v>Carrera 27 #70-83 / Casa rosada / Barrio los alcázares</v>
      </c>
      <c r="G5585" s="15" t="str">
        <f>IFERROR(__xludf.DUMMYFUNCTION("""COMPUTED_VALUE"""),"Natalia Carreño")</f>
        <v>Natalia Carreño</v>
      </c>
      <c r="H5585" s="16">
        <f>IFERROR(__xludf.DUMMYFUNCTION("""COMPUTED_VALUE"""),14226.0)</f>
        <v>14226</v>
      </c>
      <c r="I5585" s="18">
        <f>IFERROR(__xludf.DUMMYFUNCTION("""COMPUTED_VALUE"""),40.0)</f>
        <v>40</v>
      </c>
      <c r="J5585" s="18">
        <f>IFERROR(__xludf.DUMMYFUNCTION("""COMPUTED_VALUE"""),60.0)</f>
        <v>60</v>
      </c>
      <c r="K5585" s="18">
        <f>IFERROR(__xludf.DUMMYFUNCTION("""COMPUTED_VALUE"""),40.0)</f>
        <v>40</v>
      </c>
      <c r="L5585" s="17">
        <f>IFERROR(__xludf.DUMMYFUNCTION("""COMPUTED_VALUE"""),3.11561131E9)</f>
        <v>3115611310</v>
      </c>
      <c r="M5585" s="17" t="str">
        <f>IFERROR(__xludf.DUMMYFUNCTION("""COMPUTED_VALUE"""),"#REF!")</f>
        <v>#REF!</v>
      </c>
      <c r="N5585" s="17"/>
      <c r="O5585" s="17"/>
      <c r="P5585" s="17" t="b">
        <f>IFERROR(__xludf.DUMMYFUNCTION("""COMPUTED_VALUE"""),FALSE)</f>
        <v>0</v>
      </c>
      <c r="Q5585" s="20" t="str">
        <f>IFERROR(__xludf.DUMMYFUNCTION("""COMPUTED_VALUE"""),"")</f>
        <v/>
      </c>
      <c r="R5585" s="22" t="str">
        <f>IFERROR(__xludf.DUMMYFUNCTION("""COMPUTED_VALUE"""),"")</f>
        <v/>
      </c>
    </row>
    <row r="5586">
      <c r="A5586" s="15">
        <f>IFERROR(__xludf.DUMMYFUNCTION("""COMPUTED_VALUE"""),45162.0)</f>
        <v>45162</v>
      </c>
      <c r="B5586" s="16" t="str">
        <f>IFERROR(__xludf.DUMMYFUNCTION("""COMPUTED_VALUE"""),"Jeison Rubiano")</f>
        <v>Jeison Rubiano</v>
      </c>
      <c r="C5586" s="15" t="str">
        <f>IFERROR(__xludf.DUMMYFUNCTION("""COMPUTED_VALUE"""),"BOGOTÁ")</f>
        <v>BOGOTÁ</v>
      </c>
      <c r="D5586" s="15" t="str">
        <f>IFERROR(__xludf.DUMMYFUNCTION("""COMPUTED_VALUE"""),"MEDELLÍN")</f>
        <v>MEDELLÍN</v>
      </c>
      <c r="E5586" s="15" t="str">
        <f>IFERROR(__xludf.DUMMYFUNCTION("""COMPUTED_VALUE"""),"AREPAS LA MARY")</f>
        <v>AREPAS LA MARY</v>
      </c>
      <c r="F5586" s="17" t="str">
        <f>IFERROR(__xludf.DUMMYFUNCTION("""COMPUTED_VALUE"""),"Cra 3a # 30-10 apto 02 / BOGOTA")</f>
        <v>Cra 3a # 30-10 apto 02 / BOGOTA</v>
      </c>
      <c r="G5586" s="15" t="str">
        <f>IFERROR(__xludf.DUMMYFUNCTION("""COMPUTED_VALUE"""),"CESAR EDUARDO VARGAS")</f>
        <v>CESAR EDUARDO VARGAS</v>
      </c>
      <c r="H5586" s="16">
        <f>IFERROR(__xludf.DUMMYFUNCTION("""COMPUTED_VALUE"""),14356.0)</f>
        <v>14356</v>
      </c>
      <c r="I5586" s="18">
        <f>IFERROR(__xludf.DUMMYFUNCTION("""COMPUTED_VALUE"""),89.0)</f>
        <v>89</v>
      </c>
      <c r="J5586" s="18">
        <f>IFERROR(__xludf.DUMMYFUNCTION("""COMPUTED_VALUE"""),1.0)</f>
        <v>1</v>
      </c>
      <c r="K5586" s="18">
        <f>IFERROR(__xludf.DUMMYFUNCTION("""COMPUTED_VALUE"""),10.0)</f>
        <v>10</v>
      </c>
      <c r="L5586" s="17">
        <f>IFERROR(__xludf.DUMMYFUNCTION("""COMPUTED_VALUE"""),3.102262867E9)</f>
        <v>3102262867</v>
      </c>
      <c r="M5586" s="17" t="str">
        <f>IFERROR(__xludf.DUMMYFUNCTION("""COMPUTED_VALUE"""),"#REF!")</f>
        <v>#REF!</v>
      </c>
      <c r="N5586" s="17"/>
      <c r="O5586" s="17"/>
      <c r="P5586" s="17" t="b">
        <f>IFERROR(__xludf.DUMMYFUNCTION("""COMPUTED_VALUE"""),FALSE)</f>
        <v>0</v>
      </c>
      <c r="Q5586" s="20" t="str">
        <f>IFERROR(__xludf.DUMMYFUNCTION("""COMPUTED_VALUE"""),"")</f>
        <v/>
      </c>
      <c r="R5586" s="22" t="str">
        <f>IFERROR(__xludf.DUMMYFUNCTION("""COMPUTED_VALUE"""),"")</f>
        <v/>
      </c>
    </row>
    <row r="5587">
      <c r="A5587" s="15">
        <f>IFERROR(__xludf.DUMMYFUNCTION("""COMPUTED_VALUE"""),45162.0)</f>
        <v>45162</v>
      </c>
      <c r="B5587" s="16" t="str">
        <f>IFERROR(__xludf.DUMMYFUNCTION("""COMPUTED_VALUE"""),"Jeison Rubiano")</f>
        <v>Jeison Rubiano</v>
      </c>
      <c r="C5587" s="15" t="str">
        <f>IFERROR(__xludf.DUMMYFUNCTION("""COMPUTED_VALUE"""),"MONTERIA")</f>
        <v>MONTERIA</v>
      </c>
      <c r="D5587" s="15" t="str">
        <f>IFERROR(__xludf.DUMMYFUNCTION("""COMPUTED_VALUE"""),"MEDELLÍN")</f>
        <v>MEDELLÍN</v>
      </c>
      <c r="E5587" s="15" t="str">
        <f>IFERROR(__xludf.DUMMYFUNCTION("""COMPUTED_VALUE"""),"Rambla")</f>
        <v>Rambla</v>
      </c>
      <c r="F5587" s="17" t="str">
        <f>IFERROR(__xludf.DUMMYFUNCTION("""COMPUTED_VALUE"""),"calle 62  #6 45lc  2 barrio los alcazares cr7 / - / -")</f>
        <v>calle 62  #6 45lc  2 barrio los alcazares cr7 / - / -</v>
      </c>
      <c r="G5587" s="15" t="str">
        <f>IFERROR(__xludf.DUMMYFUNCTION("""COMPUTED_VALUE"""),"Feli")</f>
        <v>Feli</v>
      </c>
      <c r="H5587" s="16">
        <f>IFERROR(__xludf.DUMMYFUNCTION("""COMPUTED_VALUE"""),14329.0)</f>
        <v>14329</v>
      </c>
      <c r="I5587" s="18">
        <f>IFERROR(__xludf.DUMMYFUNCTION("""COMPUTED_VALUE"""),30.0)</f>
        <v>30</v>
      </c>
      <c r="J5587" s="18">
        <f>IFERROR(__xludf.DUMMYFUNCTION("""COMPUTED_VALUE"""),28.0)</f>
        <v>28</v>
      </c>
      <c r="K5587" s="18">
        <f>IFERROR(__xludf.DUMMYFUNCTION("""COMPUTED_VALUE"""),15.0)</f>
        <v>15</v>
      </c>
      <c r="L5587" s="17">
        <f>IFERROR(__xludf.DUMMYFUNCTION("""COMPUTED_VALUE"""),3.052261719E9)</f>
        <v>3052261719</v>
      </c>
      <c r="M5587" s="17" t="str">
        <f>IFERROR(__xludf.DUMMYFUNCTION("""COMPUTED_VALUE"""),"#REF!")</f>
        <v>#REF!</v>
      </c>
      <c r="N5587" s="17"/>
      <c r="O5587" s="17"/>
      <c r="P5587" s="17" t="b">
        <f>IFERROR(__xludf.DUMMYFUNCTION("""COMPUTED_VALUE"""),FALSE)</f>
        <v>0</v>
      </c>
      <c r="Q5587" s="20" t="str">
        <f>IFERROR(__xludf.DUMMYFUNCTION("""COMPUTED_VALUE"""),"")</f>
        <v/>
      </c>
      <c r="R5587" s="21" t="str">
        <f>IFERROR(__xludf.DUMMYFUNCTION("""COMPUTED_VALUE"""),"https://drive.google.com/file/d/17wlKXNC1yuxo3_eiSrWY3giTrw9EmFp8/view?usp=drivesdk")</f>
        <v>https://drive.google.com/file/d/17wlKXNC1yuxo3_eiSrWY3giTrw9EmFp8/view?usp=drivesdk</v>
      </c>
    </row>
    <row r="5588">
      <c r="A5588" s="17" t="str">
        <f>IFERROR(__xludf.DUMMYFUNCTION("""COMPUTED_VALUE"""),"")</f>
        <v/>
      </c>
      <c r="B5588" s="17" t="str">
        <f>IFERROR(__xludf.DUMMYFUNCTION("""COMPUTED_VALUE"""),"")</f>
        <v/>
      </c>
      <c r="C5588" s="17" t="str">
        <f>IFERROR(__xludf.DUMMYFUNCTION("""COMPUTED_VALUE"""),"")</f>
        <v/>
      </c>
      <c r="D5588" s="17" t="str">
        <f>IFERROR(__xludf.DUMMYFUNCTION("""COMPUTED_VALUE"""),"")</f>
        <v/>
      </c>
      <c r="E5588" s="17" t="str">
        <f>IFERROR(__xludf.DUMMYFUNCTION("""COMPUTED_VALUE"""),"")</f>
        <v/>
      </c>
      <c r="F5588" s="17" t="str">
        <f>IFERROR(__xludf.DUMMYFUNCTION("""COMPUTED_VALUE"""),"")</f>
        <v/>
      </c>
      <c r="G5588" s="17" t="str">
        <f>IFERROR(__xludf.DUMMYFUNCTION("""COMPUTED_VALUE"""),"")</f>
        <v/>
      </c>
      <c r="H5588" s="17" t="str">
        <f>IFERROR(__xludf.DUMMYFUNCTION("""COMPUTED_VALUE"""),"")</f>
        <v/>
      </c>
      <c r="I5588" s="17" t="str">
        <f>IFERROR(__xludf.DUMMYFUNCTION("""COMPUTED_VALUE"""),"")</f>
        <v/>
      </c>
      <c r="J5588" s="17" t="str">
        <f>IFERROR(__xludf.DUMMYFUNCTION("""COMPUTED_VALUE"""),"")</f>
        <v/>
      </c>
      <c r="K5588" s="17" t="str">
        <f>IFERROR(__xludf.DUMMYFUNCTION("""COMPUTED_VALUE"""),"")</f>
        <v/>
      </c>
      <c r="L5588" s="17" t="str">
        <f>IFERROR(__xludf.DUMMYFUNCTION("""COMPUTED_VALUE"""),"")</f>
        <v/>
      </c>
      <c r="M5588" s="17" t="str">
        <f>IFERROR(__xludf.DUMMYFUNCTION("""COMPUTED_VALUE"""),"")</f>
        <v/>
      </c>
      <c r="N5588" s="17" t="str">
        <f>IFERROR(__xludf.DUMMYFUNCTION("""COMPUTED_VALUE"""),"")</f>
        <v/>
      </c>
      <c r="O5588" s="17" t="str">
        <f>IFERROR(__xludf.DUMMYFUNCTION("""COMPUTED_VALUE"""),"")</f>
        <v/>
      </c>
      <c r="P5588" s="17" t="str">
        <f>IFERROR(__xludf.DUMMYFUNCTION("""COMPUTED_VALUE"""),"")</f>
        <v/>
      </c>
      <c r="Q5588" s="17" t="str">
        <f>IFERROR(__xludf.DUMMYFUNCTION("""COMPUTED_VALUE"""),"")</f>
        <v/>
      </c>
      <c r="R5588" s="17" t="str">
        <f>IFERROR(__xludf.DUMMYFUNCTION("""COMPUTED_VALUE"""),"")</f>
        <v/>
      </c>
    </row>
    <row r="5589">
      <c r="A5589" s="15">
        <f>IFERROR(__xludf.DUMMYFUNCTION("""COMPUTED_VALUE"""),45162.0)</f>
        <v>45162</v>
      </c>
      <c r="B5589" s="16" t="str">
        <f>IFERROR(__xludf.DUMMYFUNCTION("""COMPUTED_VALUE"""),"Johan Alexander Escobar Arroyo ")</f>
        <v>Johan Alexander Escobar Arroyo </v>
      </c>
      <c r="C5589" s="15" t="str">
        <f>IFERROR(__xludf.DUMMYFUNCTION("""COMPUTED_VALUE"""),"CALI")</f>
        <v>CALI</v>
      </c>
      <c r="D5589" s="15" t="str">
        <f>IFERROR(__xludf.DUMMYFUNCTION("""COMPUTED_VALUE"""),"MEDELLÍN")</f>
        <v>MEDELLÍN</v>
      </c>
      <c r="E5589" s="15" t="str">
        <f>IFERROR(__xludf.DUMMYFUNCTION("""COMPUTED_VALUE"""),"Baby Chef")</f>
        <v>Baby Chef</v>
      </c>
      <c r="F5589" s="17" t="str">
        <f>IFERROR(__xludf.DUMMYFUNCTION("""COMPUTED_VALUE"""),"Cra 138 # 4-133, “Condominio Batik”,  Casa 75. Barrio Pance  / Cra 138 # 4-133, “Condominio Batik”,  Casa 75. Barrio Pance  / Cra 138 # 4-133, “Condominio Batik”,  Casa 75. Barrio Pance")</f>
        <v>Cra 138 # 4-133, “Condominio Batik”,  Casa 75. Barrio Pance  / Cra 138 # 4-133, “Condominio Batik”,  Casa 75. Barrio Pance  / Cra 138 # 4-133, “Condominio Batik”,  Casa 75. Barrio Pance</v>
      </c>
      <c r="G5589" s="15" t="str">
        <f>IFERROR(__xludf.DUMMYFUNCTION("""COMPUTED_VALUE"""),"Carolina Cerón")</f>
        <v>Carolina Cerón</v>
      </c>
      <c r="H5589" s="16">
        <f>IFERROR(__xludf.DUMMYFUNCTION("""COMPUTED_VALUE"""),14324.0)</f>
        <v>14324</v>
      </c>
      <c r="I5589" s="18">
        <f>IFERROR(__xludf.DUMMYFUNCTION("""COMPUTED_VALUE"""),7.0)</f>
        <v>7</v>
      </c>
      <c r="J5589" s="18">
        <f>IFERROR(__xludf.DUMMYFUNCTION("""COMPUTED_VALUE"""),30.0)</f>
        <v>30</v>
      </c>
      <c r="K5589" s="18">
        <f>IFERROR(__xludf.DUMMYFUNCTION("""COMPUTED_VALUE"""),21.0)</f>
        <v>21</v>
      </c>
      <c r="L5589" s="17">
        <f>IFERROR(__xludf.DUMMYFUNCTION("""COMPUTED_VALUE"""),3.00419566E9)</f>
        <v>3004195660</v>
      </c>
      <c r="M5589" s="17" t="str">
        <f>IFERROR(__xludf.DUMMYFUNCTION("""COMPUTED_VALUE"""),"#REF!")</f>
        <v>#REF!</v>
      </c>
      <c r="N5589" s="17"/>
      <c r="O5589" s="17"/>
      <c r="P5589" s="17" t="b">
        <f>IFERROR(__xludf.DUMMYFUNCTION("""COMPUTED_VALUE"""),FALSE)</f>
        <v>0</v>
      </c>
      <c r="Q5589" s="20" t="str">
        <f>IFERROR(__xludf.DUMMYFUNCTION("""COMPUTED_VALUE"""),"")</f>
        <v/>
      </c>
      <c r="R5589" s="21" t="str">
        <f>IFERROR(__xludf.DUMMYFUNCTION("""COMPUTED_VALUE"""),"https://drive.google.com/file/d/1Hg3ebdXDoNSopuKTV6h4lvJLIvEAPfoo/view?usp=drivesdk")</f>
        <v>https://drive.google.com/file/d/1Hg3ebdXDoNSopuKTV6h4lvJLIvEAPfoo/view?usp=drivesdk</v>
      </c>
    </row>
    <row r="5590">
      <c r="A5590" s="15">
        <f>IFERROR(__xludf.DUMMYFUNCTION("""COMPUTED_VALUE"""),45162.0)</f>
        <v>45162</v>
      </c>
      <c r="B5590" s="16" t="str">
        <f>IFERROR(__xludf.DUMMYFUNCTION("""COMPUTED_VALUE"""),"Johan Alexander Escobar Arroyo ")</f>
        <v>Johan Alexander Escobar Arroyo </v>
      </c>
      <c r="C5590" s="15" t="str">
        <f>IFERROR(__xludf.DUMMYFUNCTION("""COMPUTED_VALUE"""),"CALI")</f>
        <v>CALI</v>
      </c>
      <c r="D5590" s="15" t="str">
        <f>IFERROR(__xludf.DUMMYFUNCTION("""COMPUTED_VALUE"""),"MEDELLÍN")</f>
        <v>MEDELLÍN</v>
      </c>
      <c r="E5590" s="15" t="str">
        <f>IFERROR(__xludf.DUMMYFUNCTION("""COMPUTED_VALUE"""),"Baby Chef")</f>
        <v>Baby Chef</v>
      </c>
      <c r="F5590" s="17" t="str">
        <f>IFERROR(__xludf.DUMMYFUNCTION("""COMPUTED_VALUE"""),"Hacienda el castillo. (Entrada sur de Cali)  Conjunto la herrería 4. Casa 9.  / Hacienda el castillo. (Entrada sur de Cali)  Conjunto la herrería 4. Casa 9.  / Hacienda el castillo. (Entrada sur de Cali)  Conjunto la herrería 4. Casa 9.")</f>
        <v>Hacienda el castillo. (Entrada sur de Cali)  Conjunto la herrería 4. Casa 9.  / Hacienda el castillo. (Entrada sur de Cali)  Conjunto la herrería 4. Casa 9.  / Hacienda el castillo. (Entrada sur de Cali)  Conjunto la herrería 4. Casa 9.</v>
      </c>
      <c r="G5590" s="15" t="str">
        <f>IFERROR(__xludf.DUMMYFUNCTION("""COMPUTED_VALUE"""),"Sara Hernández")</f>
        <v>Sara Hernández</v>
      </c>
      <c r="H5590" s="16">
        <f>IFERROR(__xludf.DUMMYFUNCTION("""COMPUTED_VALUE"""),14326.0)</f>
        <v>14326</v>
      </c>
      <c r="I5590" s="18">
        <f>IFERROR(__xludf.DUMMYFUNCTION("""COMPUTED_VALUE"""),9.0)</f>
        <v>9</v>
      </c>
      <c r="J5590" s="18">
        <f>IFERROR(__xludf.DUMMYFUNCTION("""COMPUTED_VALUE"""),22.0)</f>
        <v>22</v>
      </c>
      <c r="K5590" s="18">
        <f>IFERROR(__xludf.DUMMYFUNCTION("""COMPUTED_VALUE"""),35.0)</f>
        <v>35</v>
      </c>
      <c r="L5590" s="17">
        <f>IFERROR(__xludf.DUMMYFUNCTION("""COMPUTED_VALUE"""),3.116706816E9)</f>
        <v>3116706816</v>
      </c>
      <c r="M5590" s="17" t="str">
        <f>IFERROR(__xludf.DUMMYFUNCTION("""COMPUTED_VALUE"""),"#REF!")</f>
        <v>#REF!</v>
      </c>
      <c r="N5590" s="17"/>
      <c r="O5590" s="17"/>
      <c r="P5590" s="17" t="b">
        <f>IFERROR(__xludf.DUMMYFUNCTION("""COMPUTED_VALUE"""),FALSE)</f>
        <v>0</v>
      </c>
      <c r="Q5590" s="20" t="str">
        <f>IFERROR(__xludf.DUMMYFUNCTION("""COMPUTED_VALUE"""),"")</f>
        <v/>
      </c>
      <c r="R5590" s="21" t="str">
        <f>IFERROR(__xludf.DUMMYFUNCTION("""COMPUTED_VALUE"""),"https://drive.google.com/file/d/1d_Ls_R0_xvNpNsOh9l-_HBgOEZOvFqGz/view?usp=drivesdk")</f>
        <v>https://drive.google.com/file/d/1d_Ls_R0_xvNpNsOh9l-_HBgOEZOvFqGz/view?usp=drivesdk</v>
      </c>
    </row>
    <row r="5591">
      <c r="A5591" s="15">
        <f>IFERROR(__xludf.DUMMYFUNCTION("""COMPUTED_VALUE"""),45162.0)</f>
        <v>45162</v>
      </c>
      <c r="B5591" s="16" t="str">
        <f>IFERROR(__xludf.DUMMYFUNCTION("""COMPUTED_VALUE"""),"Johan Alexander Escobar Arroyo ")</f>
        <v>Johan Alexander Escobar Arroyo </v>
      </c>
      <c r="C5591" s="15" t="str">
        <f>IFERROR(__xludf.DUMMYFUNCTION("""COMPUTED_VALUE"""),"CALI")</f>
        <v>CALI</v>
      </c>
      <c r="D5591" s="15" t="str">
        <f>IFERROR(__xludf.DUMMYFUNCTION("""COMPUTED_VALUE"""),"MEDELLÍN")</f>
        <v>MEDELLÍN</v>
      </c>
      <c r="E5591" s="15" t="str">
        <f>IFERROR(__xludf.DUMMYFUNCTION("""COMPUTED_VALUE"""),"Lácteos El Pino SAS")</f>
        <v>Lácteos El Pino SAS</v>
      </c>
      <c r="F5591" s="17" t="str">
        <f>IFERROR(__xludf.DUMMYFUNCTION("""COMPUTED_VALUE"""),"CRA 100 15 A 90 LOCAL 104 / ENTREGAR EN LOCAL 104")</f>
        <v>CRA 100 15 A 90 LOCAL 104 / ENTREGAR EN LOCAL 104</v>
      </c>
      <c r="G5591" s="15" t="str">
        <f>IFERROR(__xludf.DUMMYFUNCTION("""COMPUTED_VALUE"""),"NUTRILIGHT INVERSIONES SALUDABLES")</f>
        <v>NUTRILIGHT INVERSIONES SALUDABLES</v>
      </c>
      <c r="H5591" s="16">
        <f>IFERROR(__xludf.DUMMYFUNCTION("""COMPUTED_VALUE"""),14173.0)</f>
        <v>14173</v>
      </c>
      <c r="I5591" s="18">
        <f>IFERROR(__xludf.DUMMYFUNCTION("""COMPUTED_VALUE"""),33.0)</f>
        <v>33</v>
      </c>
      <c r="J5591" s="18">
        <f>IFERROR(__xludf.DUMMYFUNCTION("""COMPUTED_VALUE"""),22.0)</f>
        <v>22</v>
      </c>
      <c r="K5591" s="18">
        <f>IFERROR(__xludf.DUMMYFUNCTION("""COMPUTED_VALUE"""),36.0)</f>
        <v>36</v>
      </c>
      <c r="L5591" s="17" t="str">
        <f>IFERROR(__xludf.DUMMYFUNCTION("""COMPUTED_VALUE"""),"314 6112262")</f>
        <v>314 6112262</v>
      </c>
      <c r="M5591" s="17" t="str">
        <f>IFERROR(__xludf.DUMMYFUNCTION("""COMPUTED_VALUE"""),"#REF!")</f>
        <v>#REF!</v>
      </c>
      <c r="N5591" s="17"/>
      <c r="O5591" s="17"/>
      <c r="P5591" s="17" t="b">
        <f>IFERROR(__xludf.DUMMYFUNCTION("""COMPUTED_VALUE"""),FALSE)</f>
        <v>0</v>
      </c>
      <c r="Q5591" s="20" t="str">
        <f>IFERROR(__xludf.DUMMYFUNCTION("""COMPUTED_VALUE"""),"")</f>
        <v/>
      </c>
      <c r="R5591" s="21" t="str">
        <f>IFERROR(__xludf.DUMMYFUNCTION("""COMPUTED_VALUE"""),"https://drive.google.com/file/d/11vMJLssT5lA1kgo_5W3UlaZUtZC0DDcu/view?usp=drivesdk")</f>
        <v>https://drive.google.com/file/d/11vMJLssT5lA1kgo_5W3UlaZUtZC0DDcu/view?usp=drivesdk</v>
      </c>
    </row>
    <row r="5592">
      <c r="A5592" s="15">
        <f>IFERROR(__xludf.DUMMYFUNCTION("""COMPUTED_VALUE"""),45162.0)</f>
        <v>45162</v>
      </c>
      <c r="B5592" s="16" t="str">
        <f>IFERROR(__xludf.DUMMYFUNCTION("""COMPUTED_VALUE"""),"Johan Alexander Escobar Arroyo ")</f>
        <v>Johan Alexander Escobar Arroyo </v>
      </c>
      <c r="C5592" s="15" t="str">
        <f>IFERROR(__xludf.DUMMYFUNCTION("""COMPUTED_VALUE"""),"CALI")</f>
        <v>CALI</v>
      </c>
      <c r="D5592" s="15" t="str">
        <f>IFERROR(__xludf.DUMMYFUNCTION("""COMPUTED_VALUE"""),"MEDELLÍN")</f>
        <v>MEDELLÍN</v>
      </c>
      <c r="E5592" s="15" t="str">
        <f>IFERROR(__xludf.DUMMYFUNCTION("""COMPUTED_VALUE"""),"Lácteos El Pino SAS")</f>
        <v>Lácteos El Pino SAS</v>
      </c>
      <c r="F5592" s="17" t="str">
        <f>IFERROR(__xludf.DUMMYFUNCTION("""COMPUTED_VALUE"""),"CRA 100 15 A 90 LOCAL 104 / ENTREGAR EN LOCAL 104")</f>
        <v>CRA 100 15 A 90 LOCAL 104 / ENTREGAR EN LOCAL 104</v>
      </c>
      <c r="G5592" s="15" t="str">
        <f>IFERROR(__xludf.DUMMYFUNCTION("""COMPUTED_VALUE"""),"NUTRILIGHT INVERSIONES SALUDABLES")</f>
        <v>NUTRILIGHT INVERSIONES SALUDABLES</v>
      </c>
      <c r="H5592" s="16">
        <f>IFERROR(__xludf.DUMMYFUNCTION("""COMPUTED_VALUE"""),14174.0)</f>
        <v>14174</v>
      </c>
      <c r="I5592" s="18">
        <f>IFERROR(__xludf.DUMMYFUNCTION("""COMPUTED_VALUE"""),18.0)</f>
        <v>18</v>
      </c>
      <c r="J5592" s="18">
        <f>IFERROR(__xludf.DUMMYFUNCTION("""COMPUTED_VALUE"""),21.0)</f>
        <v>21</v>
      </c>
      <c r="K5592" s="18">
        <f>IFERROR(__xludf.DUMMYFUNCTION("""COMPUTED_VALUE"""),36.0)</f>
        <v>36</v>
      </c>
      <c r="L5592" s="17" t="str">
        <f>IFERROR(__xludf.DUMMYFUNCTION("""COMPUTED_VALUE"""),"314 6112262")</f>
        <v>314 6112262</v>
      </c>
      <c r="M5592" s="17" t="str">
        <f>IFERROR(__xludf.DUMMYFUNCTION("""COMPUTED_VALUE"""),"#REF!")</f>
        <v>#REF!</v>
      </c>
      <c r="N5592" s="17"/>
      <c r="O5592" s="17"/>
      <c r="P5592" s="17" t="b">
        <f>IFERROR(__xludf.DUMMYFUNCTION("""COMPUTED_VALUE"""),FALSE)</f>
        <v>0</v>
      </c>
      <c r="Q5592" s="20" t="str">
        <f>IFERROR(__xludf.DUMMYFUNCTION("""COMPUTED_VALUE"""),"")</f>
        <v/>
      </c>
      <c r="R5592" s="22" t="str">
        <f>IFERROR(__xludf.DUMMYFUNCTION("""COMPUTED_VALUE"""),"")</f>
        <v/>
      </c>
    </row>
    <row r="5593">
      <c r="A5593" s="15">
        <f>IFERROR(__xludf.DUMMYFUNCTION("""COMPUTED_VALUE"""),45162.0)</f>
        <v>45162</v>
      </c>
      <c r="B5593" s="16" t="str">
        <f>IFERROR(__xludf.DUMMYFUNCTION("""COMPUTED_VALUE"""),"Johan Alexander Escobar Arroyo ")</f>
        <v>Johan Alexander Escobar Arroyo </v>
      </c>
      <c r="C5593" s="15" t="str">
        <f>IFERROR(__xludf.DUMMYFUNCTION("""COMPUTED_VALUE"""),"CALI")</f>
        <v>CALI</v>
      </c>
      <c r="D5593" s="15" t="str">
        <f>IFERROR(__xludf.DUMMYFUNCTION("""COMPUTED_VALUE"""),"MEDELLÍN")</f>
        <v>MEDELLÍN</v>
      </c>
      <c r="E5593" s="15" t="str">
        <f>IFERROR(__xludf.DUMMYFUNCTION("""COMPUTED_VALUE"""),"Puro Verde")</f>
        <v>Puro Verde</v>
      </c>
      <c r="F5593" s="17" t="str">
        <f>IFERROR(__xludf.DUMMYFUNCTION("""COMPUTED_VALUE"""),"CRA 75 # 13A - 191.  / APTO 305. EDIF HUERTOS DE DON SIMON ORIENTE / BARRIO LAS QUINTAS DE DON SIMON")</f>
        <v>CRA 75 # 13A - 191.  / APTO 305. EDIF HUERTOS DE DON SIMON ORIENTE / BARRIO LAS QUINTAS DE DON SIMON</v>
      </c>
      <c r="G5593" s="15" t="str">
        <f>IFERROR(__xludf.DUMMYFUNCTION("""COMPUTED_VALUE"""),"LEONARDO PATIÑO")</f>
        <v>LEONARDO PATIÑO</v>
      </c>
      <c r="H5593" s="16">
        <f>IFERROR(__xludf.DUMMYFUNCTION("""COMPUTED_VALUE"""),14236.0)</f>
        <v>14236</v>
      </c>
      <c r="I5593" s="18">
        <f>IFERROR(__xludf.DUMMYFUNCTION("""COMPUTED_VALUE"""),45149.0)</f>
        <v>45149</v>
      </c>
      <c r="J5593" s="18">
        <f>IFERROR(__xludf.DUMMYFUNCTION("""COMPUTED_VALUE"""),45185.0)</f>
        <v>45185</v>
      </c>
      <c r="K5593" s="18" t="str">
        <f>IFERROR(__xludf.DUMMYFUNCTION("""COMPUTED_VALUE"""),"44.1")</f>
        <v>44.1</v>
      </c>
      <c r="L5593" s="17">
        <f>IFERROR(__xludf.DUMMYFUNCTION("""COMPUTED_VALUE"""),3.136145284E9)</f>
        <v>3136145284</v>
      </c>
      <c r="M5593" s="17" t="str">
        <f>IFERROR(__xludf.DUMMYFUNCTION("""COMPUTED_VALUE"""),"#REF!")</f>
        <v>#REF!</v>
      </c>
      <c r="N5593" s="17"/>
      <c r="O5593" s="17"/>
      <c r="P5593" s="17" t="b">
        <f>IFERROR(__xludf.DUMMYFUNCTION("""COMPUTED_VALUE"""),FALSE)</f>
        <v>0</v>
      </c>
      <c r="Q5593" s="20" t="str">
        <f>IFERROR(__xludf.DUMMYFUNCTION("""COMPUTED_VALUE"""),"")</f>
        <v/>
      </c>
      <c r="R5593" s="21" t="str">
        <f>IFERROR(__xludf.DUMMYFUNCTION("""COMPUTED_VALUE"""),"https://drive.google.com/file/d/1uoDMyPo1oSW1JUMkpHrAQKKbVZafbmel/view?usp=drivesdk")</f>
        <v>https://drive.google.com/file/d/1uoDMyPo1oSW1JUMkpHrAQKKbVZafbmel/view?usp=drivesdk</v>
      </c>
    </row>
    <row r="5594">
      <c r="A5594" s="15">
        <f>IFERROR(__xludf.DUMMYFUNCTION("""COMPUTED_VALUE"""),45162.0)</f>
        <v>45162</v>
      </c>
      <c r="B5594" s="16" t="str">
        <f>IFERROR(__xludf.DUMMYFUNCTION("""COMPUTED_VALUE"""),"Johan Alexander Escobar Arroyo ")</f>
        <v>Johan Alexander Escobar Arroyo </v>
      </c>
      <c r="C5594" s="15" t="str">
        <f>IFERROR(__xludf.DUMMYFUNCTION("""COMPUTED_VALUE"""),"CÚCUTA")</f>
        <v>CÚCUTA</v>
      </c>
      <c r="D5594" s="15" t="str">
        <f>IFERROR(__xludf.DUMMYFUNCTION("""COMPUTED_VALUE"""),"BUCARAMANGA")</f>
        <v>BUCARAMANGA</v>
      </c>
      <c r="E5594" s="15" t="str">
        <f>IFERROR(__xludf.DUMMYFUNCTION("""COMPUTED_VALUE"""),"Yo Como Solito")</f>
        <v>Yo Como Solito</v>
      </c>
      <c r="F5594" s="17" t="str">
        <f>IFERROR(__xludf.DUMMYFUNCTION("""COMPUTED_VALUE"""),"Avenida 2E # 15A 17 CAOBOS AL FRENTE DEL COLEGIO CARMELITAS / CAOBOS AL FRENTE DEL COLEGIO CARMELITAS / CAOBOS AL FRENTE DEL COLEGIO CARMELITAS")</f>
        <v>Avenida 2E # 15A 17 CAOBOS AL FRENTE DEL COLEGIO CARMELITAS / CAOBOS AL FRENTE DEL COLEGIO CARMELITAS / CAOBOS AL FRENTE DEL COLEGIO CARMELITAS</v>
      </c>
      <c r="G5594" s="15" t="str">
        <f>IFERROR(__xludf.DUMMYFUNCTION("""COMPUTED_VALUE"""),"Daccy Karina Lopez Moreno")</f>
        <v>Daccy Karina Lopez Moreno</v>
      </c>
      <c r="H5594" s="16">
        <f>IFERROR(__xludf.DUMMYFUNCTION("""COMPUTED_VALUE"""),14350.0)</f>
        <v>14350</v>
      </c>
      <c r="I5594" s="18">
        <f>IFERROR(__xludf.DUMMYFUNCTION("""COMPUTED_VALUE"""),13.0)</f>
        <v>13</v>
      </c>
      <c r="J5594" s="18">
        <f>IFERROR(__xludf.DUMMYFUNCTION("""COMPUTED_VALUE"""),23.0)</f>
        <v>23</v>
      </c>
      <c r="K5594" s="18">
        <f>IFERROR(__xludf.DUMMYFUNCTION("""COMPUTED_VALUE"""),29.0)</f>
        <v>29</v>
      </c>
      <c r="L5594" s="17">
        <f>IFERROR(__xludf.DUMMYFUNCTION("""COMPUTED_VALUE"""),3.133032295E9)</f>
        <v>3133032295</v>
      </c>
      <c r="M5594" s="17" t="str">
        <f>IFERROR(__xludf.DUMMYFUNCTION("""COMPUTED_VALUE"""),"#REF!")</f>
        <v>#REF!</v>
      </c>
      <c r="N5594" s="17"/>
      <c r="O5594" s="17"/>
      <c r="P5594" s="17" t="b">
        <f>IFERROR(__xludf.DUMMYFUNCTION("""COMPUTED_VALUE"""),FALSE)</f>
        <v>0</v>
      </c>
      <c r="Q5594" s="20" t="str">
        <f>IFERROR(__xludf.DUMMYFUNCTION("""COMPUTED_VALUE"""),"")</f>
        <v/>
      </c>
      <c r="R5594" s="22" t="str">
        <f>IFERROR(__xludf.DUMMYFUNCTION("""COMPUTED_VALUE"""),"")</f>
        <v/>
      </c>
    </row>
    <row r="5595">
      <c r="A5595" s="15">
        <f>IFERROR(__xludf.DUMMYFUNCTION("""COMPUTED_VALUE"""),45162.0)</f>
        <v>45162</v>
      </c>
      <c r="B5595" s="16" t="str">
        <f>IFERROR(__xludf.DUMMYFUNCTION("""COMPUTED_VALUE"""),"Johan Alexander Escobar Arroyo ")</f>
        <v>Johan Alexander Escobar Arroyo </v>
      </c>
      <c r="C5595" s="15" t="str">
        <f>IFERROR(__xludf.DUMMYFUNCTION("""COMPUTED_VALUE"""),"NEIVA")</f>
        <v>NEIVA</v>
      </c>
      <c r="D5595" s="15" t="str">
        <f>IFERROR(__xludf.DUMMYFUNCTION("""COMPUTED_VALUE"""),"MEDELLÍN")</f>
        <v>MEDELLÍN</v>
      </c>
      <c r="E5595" s="15" t="str">
        <f>IFERROR(__xludf.DUMMYFUNCTION("""COMPUTED_VALUE"""),"Baby Chef")</f>
        <v>Baby Chef</v>
      </c>
      <c r="F5595" s="17" t="str">
        <f>IFERROR(__xludf.DUMMYFUNCTION("""COMPUTED_VALUE"""),"Cra 46 # 6-29 conjunto antawara apto 303 neiva Huila Barrio Ipanema / Cra 46 # 6-29 conjunto antawara apto 303 neiva Huila Barrio Ipanema / Cra 46 # 6-29 conjunto antawara apto 303 neiva Huila Barrio Ipanema")</f>
        <v>Cra 46 # 6-29 conjunto antawara apto 303 neiva Huila Barrio Ipanema / Cra 46 # 6-29 conjunto antawara apto 303 neiva Huila Barrio Ipanema / Cra 46 # 6-29 conjunto antawara apto 303 neiva Huila Barrio Ipanema</v>
      </c>
      <c r="G5595" s="15" t="str">
        <f>IFERROR(__xludf.DUMMYFUNCTION("""COMPUTED_VALUE"""),"Maria Paola Cardenas Sandoval")</f>
        <v>Maria Paola Cardenas Sandoval</v>
      </c>
      <c r="H5595" s="16">
        <f>IFERROR(__xludf.DUMMYFUNCTION("""COMPUTED_VALUE"""),14272.0)</f>
        <v>14272</v>
      </c>
      <c r="I5595" s="18">
        <f>IFERROR(__xludf.DUMMYFUNCTION("""COMPUTED_VALUE"""),6.0)</f>
        <v>6</v>
      </c>
      <c r="J5595" s="18">
        <f>IFERROR(__xludf.DUMMYFUNCTION("""COMPUTED_VALUE"""),21.0)</f>
        <v>21</v>
      </c>
      <c r="K5595" s="18">
        <f>IFERROR(__xludf.DUMMYFUNCTION("""COMPUTED_VALUE"""),30.0)</f>
        <v>30</v>
      </c>
      <c r="L5595" s="17">
        <f>IFERROR(__xludf.DUMMYFUNCTION("""COMPUTED_VALUE"""),3.10578461E9)</f>
        <v>3105784610</v>
      </c>
      <c r="M5595" s="17" t="str">
        <f>IFERROR(__xludf.DUMMYFUNCTION("""COMPUTED_VALUE"""),"#REF!")</f>
        <v>#REF!</v>
      </c>
      <c r="N5595" s="17"/>
      <c r="O5595" s="17"/>
      <c r="P5595" s="17" t="b">
        <f>IFERROR(__xludf.DUMMYFUNCTION("""COMPUTED_VALUE"""),FALSE)</f>
        <v>0</v>
      </c>
      <c r="Q5595" s="20" t="str">
        <f>IFERROR(__xludf.DUMMYFUNCTION("""COMPUTED_VALUE"""),"")</f>
        <v/>
      </c>
      <c r="R5595" s="22" t="str">
        <f>IFERROR(__xludf.DUMMYFUNCTION("""COMPUTED_VALUE"""),"")</f>
        <v/>
      </c>
    </row>
    <row r="5596">
      <c r="A5596" s="17" t="str">
        <f>IFERROR(__xludf.DUMMYFUNCTION("""COMPUTED_VALUE"""),"")</f>
        <v/>
      </c>
      <c r="B5596" s="17" t="str">
        <f>IFERROR(__xludf.DUMMYFUNCTION("""COMPUTED_VALUE"""),"")</f>
        <v/>
      </c>
      <c r="C5596" s="17" t="str">
        <f>IFERROR(__xludf.DUMMYFUNCTION("""COMPUTED_VALUE"""),"")</f>
        <v/>
      </c>
      <c r="D5596" s="17" t="str">
        <f>IFERROR(__xludf.DUMMYFUNCTION("""COMPUTED_VALUE"""),"")</f>
        <v/>
      </c>
      <c r="E5596" s="17" t="str">
        <f>IFERROR(__xludf.DUMMYFUNCTION("""COMPUTED_VALUE"""),"")</f>
        <v/>
      </c>
      <c r="F5596" s="17" t="str">
        <f>IFERROR(__xludf.DUMMYFUNCTION("""COMPUTED_VALUE"""),"")</f>
        <v/>
      </c>
      <c r="G5596" s="17" t="str">
        <f>IFERROR(__xludf.DUMMYFUNCTION("""COMPUTED_VALUE"""),"")</f>
        <v/>
      </c>
      <c r="H5596" s="17" t="str">
        <f>IFERROR(__xludf.DUMMYFUNCTION("""COMPUTED_VALUE"""),"")</f>
        <v/>
      </c>
      <c r="I5596" s="17" t="str">
        <f>IFERROR(__xludf.DUMMYFUNCTION("""COMPUTED_VALUE"""),"")</f>
        <v/>
      </c>
      <c r="J5596" s="17" t="str">
        <f>IFERROR(__xludf.DUMMYFUNCTION("""COMPUTED_VALUE"""),"")</f>
        <v/>
      </c>
      <c r="K5596" s="17" t="str">
        <f>IFERROR(__xludf.DUMMYFUNCTION("""COMPUTED_VALUE"""),"")</f>
        <v/>
      </c>
      <c r="L5596" s="17" t="str">
        <f>IFERROR(__xludf.DUMMYFUNCTION("""COMPUTED_VALUE"""),"")</f>
        <v/>
      </c>
      <c r="M5596" s="17" t="str">
        <f>IFERROR(__xludf.DUMMYFUNCTION("""COMPUTED_VALUE"""),"")</f>
        <v/>
      </c>
      <c r="N5596" s="17" t="str">
        <f>IFERROR(__xludf.DUMMYFUNCTION("""COMPUTED_VALUE"""),"")</f>
        <v/>
      </c>
      <c r="O5596" s="17" t="str">
        <f>IFERROR(__xludf.DUMMYFUNCTION("""COMPUTED_VALUE"""),"")</f>
        <v/>
      </c>
      <c r="P5596" s="17" t="str">
        <f>IFERROR(__xludf.DUMMYFUNCTION("""COMPUTED_VALUE"""),"")</f>
        <v/>
      </c>
      <c r="Q5596" s="17" t="str">
        <f>IFERROR(__xludf.DUMMYFUNCTION("""COMPUTED_VALUE"""),"")</f>
        <v/>
      </c>
      <c r="R5596" s="17" t="str">
        <f>IFERROR(__xludf.DUMMYFUNCTION("""COMPUTED_VALUE"""),"")</f>
        <v/>
      </c>
    </row>
    <row r="5597">
      <c r="A5597" s="15">
        <f>IFERROR(__xludf.DUMMYFUNCTION("""COMPUTED_VALUE"""),45162.0)</f>
        <v>45162</v>
      </c>
      <c r="B5597" s="16" t="str">
        <f>IFERROR(__xludf.DUMMYFUNCTION("""COMPUTED_VALUE"""),"Santiago Garces Restrepo")</f>
        <v>Santiago Garces Restrepo</v>
      </c>
      <c r="C5597" s="15" t="str">
        <f>IFERROR(__xludf.DUMMYFUNCTION("""COMPUTED_VALUE"""),"CALI")</f>
        <v>CALI</v>
      </c>
      <c r="D5597" s="15" t="str">
        <f>IFERROR(__xludf.DUMMYFUNCTION("""COMPUTED_VALUE"""),"MEDELLÍN")</f>
        <v>MEDELLÍN</v>
      </c>
      <c r="E5597" s="15" t="str">
        <f>IFERROR(__xludf.DUMMYFUNCTION("""COMPUTED_VALUE"""),"Rambla")</f>
        <v>Rambla</v>
      </c>
      <c r="F5597" s="17" t="str">
        <f>IFERROR(__xludf.DUMMYFUNCTION("""COMPUTED_VALUE"""),"CRA 105 #15B45 LOCAL 15 CENTRO COMERCIAL LAS VELAS  cali / - / -")</f>
        <v>CRA 105 #15B45 LOCAL 15 CENTRO COMERCIAL LAS VELAS  cali / - / -</v>
      </c>
      <c r="G5597" s="15" t="str">
        <f>IFERROR(__xludf.DUMMYFUNCTION("""COMPUTED_VALUE"""),"Wealthy Market")</f>
        <v>Wealthy Market</v>
      </c>
      <c r="H5597" s="16">
        <f>IFERROR(__xludf.DUMMYFUNCTION("""COMPUTED_VALUE"""),14332.0)</f>
        <v>14332</v>
      </c>
      <c r="I5597" s="18">
        <f>IFERROR(__xludf.DUMMYFUNCTION("""COMPUTED_VALUE"""),22.0)</f>
        <v>22</v>
      </c>
      <c r="J5597" s="18">
        <f>IFERROR(__xludf.DUMMYFUNCTION("""COMPUTED_VALUE"""),26.0)</f>
        <v>26</v>
      </c>
      <c r="K5597" s="18">
        <f>IFERROR(__xludf.DUMMYFUNCTION("""COMPUTED_VALUE"""),24.0)</f>
        <v>24</v>
      </c>
      <c r="L5597" s="17">
        <f>IFERROR(__xludf.DUMMYFUNCTION("""COMPUTED_VALUE"""),3.152542618E9)</f>
        <v>3152542618</v>
      </c>
      <c r="M5597" s="17" t="str">
        <f>IFERROR(__xludf.DUMMYFUNCTION("""COMPUTED_VALUE"""),"#REF!")</f>
        <v>#REF!</v>
      </c>
      <c r="N5597" s="17"/>
      <c r="O5597" s="17"/>
      <c r="P5597" s="17" t="b">
        <f>IFERROR(__xludf.DUMMYFUNCTION("""COMPUTED_VALUE"""),FALSE)</f>
        <v>0</v>
      </c>
      <c r="Q5597" s="20" t="str">
        <f>IFERROR(__xludf.DUMMYFUNCTION("""COMPUTED_VALUE"""),"")</f>
        <v/>
      </c>
      <c r="R5597" s="21" t="str">
        <f>IFERROR(__xludf.DUMMYFUNCTION("""COMPUTED_VALUE"""),"https://drive.google.com/file/d/1GNIHbZ3v7yoW3vPTRdjQjqnuSPS5G8Cl/view?usp=drivesdk")</f>
        <v>https://drive.google.com/file/d/1GNIHbZ3v7yoW3vPTRdjQjqnuSPS5G8Cl/view?usp=drivesdk</v>
      </c>
    </row>
    <row r="5598">
      <c r="A5598" s="17" t="str">
        <f>IFERROR(__xludf.DUMMYFUNCTION("""COMPUTED_VALUE"""),"")</f>
        <v/>
      </c>
      <c r="B5598" s="17" t="str">
        <f>IFERROR(__xludf.DUMMYFUNCTION("""COMPUTED_VALUE"""),"")</f>
        <v/>
      </c>
      <c r="C5598" s="17" t="str">
        <f>IFERROR(__xludf.DUMMYFUNCTION("""COMPUTED_VALUE"""),"")</f>
        <v/>
      </c>
      <c r="D5598" s="17" t="str">
        <f>IFERROR(__xludf.DUMMYFUNCTION("""COMPUTED_VALUE"""),"")</f>
        <v/>
      </c>
      <c r="E5598" s="17" t="str">
        <f>IFERROR(__xludf.DUMMYFUNCTION("""COMPUTED_VALUE"""),"")</f>
        <v/>
      </c>
      <c r="F5598" s="17" t="str">
        <f>IFERROR(__xludf.DUMMYFUNCTION("""COMPUTED_VALUE"""),"")</f>
        <v/>
      </c>
      <c r="G5598" s="17" t="str">
        <f>IFERROR(__xludf.DUMMYFUNCTION("""COMPUTED_VALUE"""),"")</f>
        <v/>
      </c>
      <c r="H5598" s="17" t="str">
        <f>IFERROR(__xludf.DUMMYFUNCTION("""COMPUTED_VALUE"""),"")</f>
        <v/>
      </c>
      <c r="I5598" s="17" t="str">
        <f>IFERROR(__xludf.DUMMYFUNCTION("""COMPUTED_VALUE"""),"")</f>
        <v/>
      </c>
      <c r="J5598" s="17" t="str">
        <f>IFERROR(__xludf.DUMMYFUNCTION("""COMPUTED_VALUE"""),"")</f>
        <v/>
      </c>
      <c r="K5598" s="17" t="str">
        <f>IFERROR(__xludf.DUMMYFUNCTION("""COMPUTED_VALUE"""),"")</f>
        <v/>
      </c>
      <c r="L5598" s="17" t="str">
        <f>IFERROR(__xludf.DUMMYFUNCTION("""COMPUTED_VALUE"""),"")</f>
        <v/>
      </c>
      <c r="M5598" s="17" t="str">
        <f>IFERROR(__xludf.DUMMYFUNCTION("""COMPUTED_VALUE"""),"")</f>
        <v/>
      </c>
      <c r="N5598" s="17" t="str">
        <f>IFERROR(__xludf.DUMMYFUNCTION("""COMPUTED_VALUE"""),"")</f>
        <v/>
      </c>
      <c r="O5598" s="17" t="str">
        <f>IFERROR(__xludf.DUMMYFUNCTION("""COMPUTED_VALUE"""),"")</f>
        <v/>
      </c>
      <c r="P5598" s="17" t="str">
        <f>IFERROR(__xludf.DUMMYFUNCTION("""COMPUTED_VALUE"""),"")</f>
        <v/>
      </c>
      <c r="Q5598" s="17" t="str">
        <f>IFERROR(__xludf.DUMMYFUNCTION("""COMPUTED_VALUE"""),"")</f>
        <v/>
      </c>
      <c r="R5598" s="17" t="str">
        <f>IFERROR(__xludf.DUMMYFUNCTION("""COMPUTED_VALUE"""),"")</f>
        <v/>
      </c>
    </row>
    <row r="5599">
      <c r="A5599" s="15">
        <f>IFERROR(__xludf.DUMMYFUNCTION("""COMPUTED_VALUE"""),45163.0)</f>
        <v>45163</v>
      </c>
      <c r="B5599" s="17"/>
      <c r="C5599" s="15" t="str">
        <f>IFERROR(__xludf.DUMMYFUNCTION("""COMPUTED_VALUE"""),"CÚCUTA")</f>
        <v>CÚCUTA</v>
      </c>
      <c r="D5599" s="15" t="str">
        <f>IFERROR(__xludf.DUMMYFUNCTION("""COMPUTED_VALUE"""),"BOGOTÁ")</f>
        <v>BOGOTÁ</v>
      </c>
      <c r="E5599" s="15" t="str">
        <f>IFERROR(__xludf.DUMMYFUNCTION("""COMPUTED_VALUE"""),"Asociacion Agropecuaria Juana Maria")</f>
        <v>Asociacion Agropecuaria Juana Maria</v>
      </c>
      <c r="F5599" s="17" t="str">
        <f>IFERROR(__xludf.DUMMYFUNCTION("""COMPUTED_VALUE"""),"AV. 2E # 15 A -17   PISTACHO FIT MARKET BARRIO CAOBOS")</f>
        <v>AV. 2E # 15 A -17   PISTACHO FIT MARKET BARRIO CAOBOS</v>
      </c>
      <c r="G5599" s="15" t="str">
        <f>IFERROR(__xludf.DUMMYFUNCTION("""COMPUTED_VALUE"""),"DACCY KARINA LOPEZ")</f>
        <v>DACCY KARINA LOPEZ</v>
      </c>
      <c r="H5599" s="16">
        <f>IFERROR(__xludf.DUMMYFUNCTION("""COMPUTED_VALUE"""),14167.0)</f>
        <v>14167</v>
      </c>
      <c r="I5599" s="18">
        <f>IFERROR(__xludf.DUMMYFUNCTION("""COMPUTED_VALUE"""),22.0)</f>
        <v>22</v>
      </c>
      <c r="J5599" s="18">
        <f>IFERROR(__xludf.DUMMYFUNCTION("""COMPUTED_VALUE"""),15.0)</f>
        <v>15</v>
      </c>
      <c r="K5599" s="18">
        <f>IFERROR(__xludf.DUMMYFUNCTION("""COMPUTED_VALUE"""),3.0)</f>
        <v>3</v>
      </c>
      <c r="L5599" s="17">
        <f>IFERROR(__xludf.DUMMYFUNCTION("""COMPUTED_VALUE"""),3.208615379E9)</f>
        <v>3208615379</v>
      </c>
      <c r="M5599" s="17" t="str">
        <f>IFERROR(__xludf.DUMMYFUNCTION("""COMPUTED_VALUE"""),"#REF!")</f>
        <v>#REF!</v>
      </c>
      <c r="N5599" s="17"/>
      <c r="O5599" s="17"/>
      <c r="P5599" s="17" t="b">
        <f>IFERROR(__xludf.DUMMYFUNCTION("""COMPUTED_VALUE"""),TRUE)</f>
        <v>1</v>
      </c>
      <c r="Q5599" s="20">
        <f>IFERROR(__xludf.DUMMYFUNCTION("""COMPUTED_VALUE"""),45166.593613564815)</f>
        <v>45166.59361</v>
      </c>
      <c r="R5599" s="22" t="str">
        <f>IFERROR(__xludf.DUMMYFUNCTION("""COMPUTED_VALUE"""),"")</f>
        <v/>
      </c>
    </row>
    <row r="5600">
      <c r="A5600" s="15">
        <f>IFERROR(__xludf.DUMMYFUNCTION("""COMPUTED_VALUE"""),45163.0)</f>
        <v>45163</v>
      </c>
      <c r="B5600" s="17"/>
      <c r="C5600" s="15" t="str">
        <f>IFERROR(__xludf.DUMMYFUNCTION("""COMPUTED_VALUE"""),"MEDELLÍN")</f>
        <v>MEDELLÍN</v>
      </c>
      <c r="D5600" s="15" t="str">
        <f>IFERROR(__xludf.DUMMYFUNCTION("""COMPUTED_VALUE"""),"BOGOTÁ")</f>
        <v>BOGOTÁ</v>
      </c>
      <c r="E5600" s="15" t="str">
        <f>IFERROR(__xludf.DUMMYFUNCTION("""COMPUTED_VALUE"""),"Pan de Waffle")</f>
        <v>Pan de Waffle</v>
      </c>
      <c r="F5600" s="17" t="str">
        <f>IFERROR(__xludf.DUMMYFUNCTION("""COMPUTED_VALUE"""),"Carrera 47 # 19sur 136 Edificio Zuñiga Apto 202 / Carrera 47 # 19sur 136 Edificio Zuñiga Apto 202 / Carrera 47 # 19sur 136 Edificio Zuñiga Apto 202")</f>
        <v>Carrera 47 # 19sur 136 Edificio Zuñiga Apto 202 / Carrera 47 # 19sur 136 Edificio Zuñiga Apto 202 / Carrera 47 # 19sur 136 Edificio Zuñiga Apto 202</v>
      </c>
      <c r="G5600" s="15" t="str">
        <f>IFERROR(__xludf.DUMMYFUNCTION("""COMPUTED_VALUE"""),"VITAL MARKET")</f>
        <v>VITAL MARKET</v>
      </c>
      <c r="H5600" s="16">
        <f>IFERROR(__xludf.DUMMYFUNCTION("""COMPUTED_VALUE"""),14393.0)</f>
        <v>14393</v>
      </c>
      <c r="I5600" s="18">
        <f>IFERROR(__xludf.DUMMYFUNCTION("""COMPUTED_VALUE"""),40.0)</f>
        <v>40</v>
      </c>
      <c r="J5600" s="18">
        <f>IFERROR(__xludf.DUMMYFUNCTION("""COMPUTED_VALUE"""),40.0)</f>
        <v>40</v>
      </c>
      <c r="K5600" s="18">
        <f>IFERROR(__xludf.DUMMYFUNCTION("""COMPUTED_VALUE"""),30.0)</f>
        <v>30</v>
      </c>
      <c r="L5600" s="17">
        <f>IFERROR(__xludf.DUMMYFUNCTION("""COMPUTED_VALUE"""),3.104477232E9)</f>
        <v>3104477232</v>
      </c>
      <c r="M5600" s="17" t="str">
        <f>IFERROR(__xludf.DUMMYFUNCTION("""COMPUTED_VALUE"""),"#REF!")</f>
        <v>#REF!</v>
      </c>
      <c r="N5600" s="17"/>
      <c r="O5600" s="17"/>
      <c r="P5600" s="17" t="b">
        <f>IFERROR(__xludf.DUMMYFUNCTION("""COMPUTED_VALUE"""),FALSE)</f>
        <v>0</v>
      </c>
      <c r="Q5600" s="20" t="str">
        <f>IFERROR(__xludf.DUMMYFUNCTION("""COMPUTED_VALUE"""),"")</f>
        <v/>
      </c>
      <c r="R5600" s="21" t="str">
        <f>IFERROR(__xludf.DUMMYFUNCTION("""COMPUTED_VALUE"""),"https://drive.google.com/file/d/1qVP_huG0k3ubBWGnWUFMtQsiLAcbuQFz/view?usp=drivesdk")</f>
        <v>https://drive.google.com/file/d/1qVP_huG0k3ubBWGnWUFMtQsiLAcbuQFz/view?usp=drivesdk</v>
      </c>
    </row>
    <row r="5601">
      <c r="A5601" s="15">
        <f>IFERROR(__xludf.DUMMYFUNCTION("""COMPUTED_VALUE"""),45163.0)</f>
        <v>45163</v>
      </c>
      <c r="B5601" s="17"/>
      <c r="C5601" s="15" t="str">
        <f>IFERROR(__xludf.DUMMYFUNCTION("""COMPUTED_VALUE"""),"SANTA MARTA")</f>
        <v>SANTA MARTA</v>
      </c>
      <c r="D5601" s="15" t="str">
        <f>IFERROR(__xludf.DUMMYFUNCTION("""COMPUTED_VALUE"""),"MEDELLÍN")</f>
        <v>MEDELLÍN</v>
      </c>
      <c r="E5601" s="15" t="str">
        <f>IFERROR(__xludf.DUMMYFUNCTION("""COMPUTED_VALUE"""),"Rambla")</f>
        <v>Rambla</v>
      </c>
      <c r="F5601" s="17" t="str">
        <f>IFERROR(__xludf.DUMMYFUNCTION("""COMPUTED_VALUE"""),"CR 4 26 40 CC PRADO PLAZA LC 117 / - / -")</f>
        <v>CR 4 26 40 CC PRADO PLAZA LC 117 / - / -</v>
      </c>
      <c r="G5601" s="15" t="str">
        <f>IFERROR(__xludf.DUMMYFUNCTION("""COMPUTED_VALUE"""),"Hecho en casa")</f>
        <v>Hecho en casa</v>
      </c>
      <c r="H5601" s="16">
        <f>IFERROR(__xludf.DUMMYFUNCTION("""COMPUTED_VALUE"""),14334.0)</f>
        <v>14334</v>
      </c>
      <c r="I5601" s="18">
        <f>IFERROR(__xludf.DUMMYFUNCTION("""COMPUTED_VALUE"""),20.0)</f>
        <v>20</v>
      </c>
      <c r="J5601" s="18">
        <f>IFERROR(__xludf.DUMMYFUNCTION("""COMPUTED_VALUE"""),20.0)</f>
        <v>20</v>
      </c>
      <c r="K5601" s="18">
        <f>IFERROR(__xludf.DUMMYFUNCTION("""COMPUTED_VALUE"""),25.0)</f>
        <v>25</v>
      </c>
      <c r="L5601" s="17">
        <f>IFERROR(__xludf.DUMMYFUNCTION("""COMPUTED_VALUE"""),3.176455877E9)</f>
        <v>3176455877</v>
      </c>
      <c r="M5601" s="17" t="str">
        <f>IFERROR(__xludf.DUMMYFUNCTION("""COMPUTED_VALUE"""),"#REF!")</f>
        <v>#REF!</v>
      </c>
      <c r="N5601" s="17"/>
      <c r="O5601" s="17"/>
      <c r="P5601" s="17" t="b">
        <f>IFERROR(__xludf.DUMMYFUNCTION("""COMPUTED_VALUE"""),FALSE)</f>
        <v>0</v>
      </c>
      <c r="Q5601" s="20" t="str">
        <f>IFERROR(__xludf.DUMMYFUNCTION("""COMPUTED_VALUE"""),"")</f>
        <v/>
      </c>
      <c r="R5601" s="21" t="str">
        <f>IFERROR(__xludf.DUMMYFUNCTION("""COMPUTED_VALUE"""),"https://drive.google.com/file/d/1Wcz3VA7a2zCXmrmMeO76HguUtTMc7rNK/view?usp=drivesdk")</f>
        <v>https://drive.google.com/file/d/1Wcz3VA7a2zCXmrmMeO76HguUtTMc7rNK/view?usp=drivesdk</v>
      </c>
    </row>
    <row r="5602">
      <c r="A5602" s="17" t="str">
        <f>IFERROR(__xludf.DUMMYFUNCTION("""COMPUTED_VALUE"""),"")</f>
        <v/>
      </c>
      <c r="B5602" s="17" t="str">
        <f>IFERROR(__xludf.DUMMYFUNCTION("""COMPUTED_VALUE"""),"")</f>
        <v/>
      </c>
      <c r="C5602" s="17" t="str">
        <f>IFERROR(__xludf.DUMMYFUNCTION("""COMPUTED_VALUE"""),"")</f>
        <v/>
      </c>
      <c r="D5602" s="17" t="str">
        <f>IFERROR(__xludf.DUMMYFUNCTION("""COMPUTED_VALUE"""),"")</f>
        <v/>
      </c>
      <c r="E5602" s="17" t="str">
        <f>IFERROR(__xludf.DUMMYFUNCTION("""COMPUTED_VALUE"""),"")</f>
        <v/>
      </c>
      <c r="F5602" s="17" t="str">
        <f>IFERROR(__xludf.DUMMYFUNCTION("""COMPUTED_VALUE"""),"")</f>
        <v/>
      </c>
      <c r="G5602" s="17" t="str">
        <f>IFERROR(__xludf.DUMMYFUNCTION("""COMPUTED_VALUE"""),"")</f>
        <v/>
      </c>
      <c r="H5602" s="17" t="str">
        <f>IFERROR(__xludf.DUMMYFUNCTION("""COMPUTED_VALUE"""),"")</f>
        <v/>
      </c>
      <c r="I5602" s="17" t="str">
        <f>IFERROR(__xludf.DUMMYFUNCTION("""COMPUTED_VALUE"""),"")</f>
        <v/>
      </c>
      <c r="J5602" s="17" t="str">
        <f>IFERROR(__xludf.DUMMYFUNCTION("""COMPUTED_VALUE"""),"")</f>
        <v/>
      </c>
      <c r="K5602" s="17" t="str">
        <f>IFERROR(__xludf.DUMMYFUNCTION("""COMPUTED_VALUE"""),"")</f>
        <v/>
      </c>
      <c r="L5602" s="17" t="str">
        <f>IFERROR(__xludf.DUMMYFUNCTION("""COMPUTED_VALUE"""),"")</f>
        <v/>
      </c>
      <c r="M5602" s="17" t="str">
        <f>IFERROR(__xludf.DUMMYFUNCTION("""COMPUTED_VALUE"""),"")</f>
        <v/>
      </c>
      <c r="N5602" s="17" t="str">
        <f>IFERROR(__xludf.DUMMYFUNCTION("""COMPUTED_VALUE"""),"")</f>
        <v/>
      </c>
      <c r="O5602" s="17" t="str">
        <f>IFERROR(__xludf.DUMMYFUNCTION("""COMPUTED_VALUE"""),"")</f>
        <v/>
      </c>
      <c r="P5602" s="17" t="str">
        <f>IFERROR(__xludf.DUMMYFUNCTION("""COMPUTED_VALUE"""),"")</f>
        <v/>
      </c>
      <c r="Q5602" s="17" t="str">
        <f>IFERROR(__xludf.DUMMYFUNCTION("""COMPUTED_VALUE"""),"")</f>
        <v/>
      </c>
      <c r="R5602" s="17" t="str">
        <f>IFERROR(__xludf.DUMMYFUNCTION("""COMPUTED_VALUE"""),"")</f>
        <v/>
      </c>
    </row>
    <row r="5603">
      <c r="A5603" s="15">
        <f>IFERROR(__xludf.DUMMYFUNCTION("""COMPUTED_VALUE"""),45163.0)</f>
        <v>45163</v>
      </c>
      <c r="B5603" s="16" t="str">
        <f>IFERROR(__xludf.DUMMYFUNCTION("""COMPUTED_VALUE"""),"Daniel José sandoval gonzalez")</f>
        <v>Daniel José sandoval gonzalez</v>
      </c>
      <c r="C5603" s="15" t="str">
        <f>IFERROR(__xludf.DUMMYFUNCTION("""COMPUTED_VALUE"""),"BARRANQUILLA")</f>
        <v>BARRANQUILLA</v>
      </c>
      <c r="D5603" s="15" t="str">
        <f>IFERROR(__xludf.DUMMYFUNCTION("""COMPUTED_VALUE"""),"BOGOTÁ")</f>
        <v>BOGOTÁ</v>
      </c>
      <c r="E5603" s="15" t="str">
        <f>IFERROR(__xludf.DUMMYFUNCTION("""COMPUTED_VALUE"""),"Frambascolombia sas")</f>
        <v>Frambascolombia sas</v>
      </c>
      <c r="F5603" s="17" t="str">
        <f>IFERROR(__xludf.DUMMYFUNCTION("""COMPUTED_VALUE"""),"Cra. 53 # 68-55 / local 2")</f>
        <v>Cra. 53 # 68-55 / local 2</v>
      </c>
      <c r="G5603" s="15" t="str">
        <f>IFERROR(__xludf.DUMMYFUNCTION("""COMPUTED_VALUE"""),"PikNPak Barranquilla")</f>
        <v>PikNPak Barranquilla</v>
      </c>
      <c r="H5603" s="16">
        <f>IFERROR(__xludf.DUMMYFUNCTION("""COMPUTED_VALUE"""),14395.0)</f>
        <v>14395</v>
      </c>
      <c r="I5603" s="18">
        <f>IFERROR(__xludf.DUMMYFUNCTION("""COMPUTED_VALUE"""),45057.0)</f>
        <v>45057</v>
      </c>
      <c r="J5603" s="18">
        <f>IFERROR(__xludf.DUMMYFUNCTION("""COMPUTED_VALUE"""),10.0)</f>
        <v>10</v>
      </c>
      <c r="K5603" s="18">
        <f>IFERROR(__xludf.DUMMYFUNCTION("""COMPUTED_VALUE"""),10.0)</f>
        <v>10</v>
      </c>
      <c r="L5603" s="17" t="str">
        <f>IFERROR(__xludf.DUMMYFUNCTION("""COMPUTED_VALUE"""),"321 4229567")</f>
        <v>321 4229567</v>
      </c>
      <c r="M5603" s="17" t="str">
        <f>IFERROR(__xludf.DUMMYFUNCTION("""COMPUTED_VALUE"""),"#REF!")</f>
        <v>#REF!</v>
      </c>
      <c r="N5603" s="17"/>
      <c r="O5603" s="17"/>
      <c r="P5603" s="17" t="b">
        <f>IFERROR(__xludf.DUMMYFUNCTION("""COMPUTED_VALUE"""),TRUE)</f>
        <v>1</v>
      </c>
      <c r="Q5603" s="20">
        <f>IFERROR(__xludf.DUMMYFUNCTION("""COMPUTED_VALUE"""),45166.593613564815)</f>
        <v>45166.59361</v>
      </c>
      <c r="R5603" s="21" t="str">
        <f>IFERROR(__xludf.DUMMYFUNCTION("""COMPUTED_VALUE"""),"https://drive.google.com/file/d/1QJxX51Zlv2WP2UOw4gOa3dxcD5Ly0QAb/view?usp=drivesdk")</f>
        <v>https://drive.google.com/file/d/1QJxX51Zlv2WP2UOw4gOa3dxcD5Ly0QAb/view?usp=drivesdk</v>
      </c>
    </row>
    <row r="5604">
      <c r="A5604" s="15">
        <f>IFERROR(__xludf.DUMMYFUNCTION("""COMPUTED_VALUE"""),45163.0)</f>
        <v>45163</v>
      </c>
      <c r="B5604" s="16" t="str">
        <f>IFERROR(__xludf.DUMMYFUNCTION("""COMPUTED_VALUE"""),"Daniel José sandoval gonzalez")</f>
        <v>Daniel José sandoval gonzalez</v>
      </c>
      <c r="C5604" s="15" t="str">
        <f>IFERROR(__xludf.DUMMYFUNCTION("""COMPUTED_VALUE"""),"BARRANQUILLA")</f>
        <v>BARRANQUILLA</v>
      </c>
      <c r="D5604" s="15" t="str">
        <f>IFERROR(__xludf.DUMMYFUNCTION("""COMPUTED_VALUE"""),"BOGOTÁ")</f>
        <v>BOGOTÁ</v>
      </c>
      <c r="E5604" s="15" t="str">
        <f>IFERROR(__xludf.DUMMYFUNCTION("""COMPUTED_VALUE"""),"Mochi")</f>
        <v>Mochi</v>
      </c>
      <c r="F5604" s="17" t="str">
        <f>IFERROR(__xludf.DUMMYFUNCTION("""COMPUTED_VALUE"""),"Carrera 51B #87-50 Barranquilla, Atlántico - Colombia / Carrera 51B #87-50 Barranquilla, Atlántico - Colombia / Carrera 51B #87-50 Barranquilla, Atlántico - Colombia")</f>
        <v>Carrera 51B #87-50 Barranquilla, Atlántico - Colombia / Carrera 51B #87-50 Barranquilla, Atlántico - Colombia / Carrera 51B #87-50 Barranquilla, Atlántico - Colombia</v>
      </c>
      <c r="G5604" s="15" t="str">
        <f>IFERROR(__xludf.DUMMYFUNCTION("""COMPUTED_VALUE"""),"yina")</f>
        <v>yina</v>
      </c>
      <c r="H5604" s="16">
        <f>IFERROR(__xludf.DUMMYFUNCTION("""COMPUTED_VALUE"""),14377.0)</f>
        <v>14377</v>
      </c>
      <c r="I5604" s="18">
        <f>IFERROR(__xludf.DUMMYFUNCTION("""COMPUTED_VALUE"""),100.0)</f>
        <v>100</v>
      </c>
      <c r="J5604" s="18">
        <f>IFERROR(__xludf.DUMMYFUNCTION("""COMPUTED_VALUE"""),100.0)</f>
        <v>100</v>
      </c>
      <c r="K5604" s="18">
        <f>IFERROR(__xludf.DUMMYFUNCTION("""COMPUTED_VALUE"""),200.0)</f>
        <v>200</v>
      </c>
      <c r="L5604" s="17">
        <f>IFERROR(__xludf.DUMMYFUNCTION("""COMPUTED_VALUE"""),3.216528485E9)</f>
        <v>3216528485</v>
      </c>
      <c r="M5604" s="17" t="str">
        <f>IFERROR(__xludf.DUMMYFUNCTION("""COMPUTED_VALUE"""),"#REF!")</f>
        <v>#REF!</v>
      </c>
      <c r="N5604" s="17"/>
      <c r="O5604" s="17"/>
      <c r="P5604" s="17" t="b">
        <f>IFERROR(__xludf.DUMMYFUNCTION("""COMPUTED_VALUE"""),TRUE)</f>
        <v>1</v>
      </c>
      <c r="Q5604" s="20">
        <f>IFERROR(__xludf.DUMMYFUNCTION("""COMPUTED_VALUE"""),45166.593613564815)</f>
        <v>45166.59361</v>
      </c>
      <c r="R5604" s="22" t="str">
        <f>IFERROR(__xludf.DUMMYFUNCTION("""COMPUTED_VALUE"""),"")</f>
        <v/>
      </c>
    </row>
    <row r="5605">
      <c r="A5605" s="15">
        <f>IFERROR(__xludf.DUMMYFUNCTION("""COMPUTED_VALUE"""),45163.0)</f>
        <v>45163</v>
      </c>
      <c r="B5605" s="16" t="str">
        <f>IFERROR(__xludf.DUMMYFUNCTION("""COMPUTED_VALUE"""),"Daniel José sandoval gonzalez")</f>
        <v>Daniel José sandoval gonzalez</v>
      </c>
      <c r="C5605" s="15" t="str">
        <f>IFERROR(__xludf.DUMMYFUNCTION("""COMPUTED_VALUE"""),"BARRANQUILLA")</f>
        <v>BARRANQUILLA</v>
      </c>
      <c r="D5605" s="15" t="str">
        <f>IFERROR(__xludf.DUMMYFUNCTION("""COMPUTED_VALUE"""),"BOGOTÁ")</f>
        <v>BOGOTÁ</v>
      </c>
      <c r="E5605" s="15" t="str">
        <f>IFERROR(__xludf.DUMMYFUNCTION("""COMPUTED_VALUE"""),"Pan de Waffle")</f>
        <v>Pan de Waffle</v>
      </c>
      <c r="F5605" s="17" t="str">
        <f>IFERROR(__xludf.DUMMYFUNCTION("""COMPUTED_VALUE"""),"Calle 80 # 65 - 07 / Calle 80 # 65 - 07 / Calle 80 # 65 - 07")</f>
        <v>Calle 80 # 65 - 07 / Calle 80 # 65 - 07 / Calle 80 # 65 - 07</v>
      </c>
      <c r="G5605" s="15" t="str">
        <f>IFERROR(__xludf.DUMMYFUNCTION("""COMPUTED_VALUE"""),"RAPPI TRUBO SEDE ANDA LUCIA BAQ")</f>
        <v>RAPPI TRUBO SEDE ANDA LUCIA BAQ</v>
      </c>
      <c r="H5605" s="16">
        <f>IFERROR(__xludf.DUMMYFUNCTION("""COMPUTED_VALUE"""),14349.0)</f>
        <v>14349</v>
      </c>
      <c r="I5605" s="18">
        <f>IFERROR(__xludf.DUMMYFUNCTION("""COMPUTED_VALUE"""),40.0)</f>
        <v>40</v>
      </c>
      <c r="J5605" s="18">
        <f>IFERROR(__xludf.DUMMYFUNCTION("""COMPUTED_VALUE"""),40.0)</f>
        <v>40</v>
      </c>
      <c r="K5605" s="18">
        <f>IFERROR(__xludf.DUMMYFUNCTION("""COMPUTED_VALUE"""),30.0)</f>
        <v>30</v>
      </c>
      <c r="L5605" s="17">
        <f>IFERROR(__xludf.DUMMYFUNCTION("""COMPUTED_VALUE"""),3.017032143E9)</f>
        <v>3017032143</v>
      </c>
      <c r="M5605" s="17" t="str">
        <f>IFERROR(__xludf.DUMMYFUNCTION("""COMPUTED_VALUE"""),"#REF!")</f>
        <v>#REF!</v>
      </c>
      <c r="N5605" s="17"/>
      <c r="O5605" s="17"/>
      <c r="P5605" s="17" t="b">
        <f>IFERROR(__xludf.DUMMYFUNCTION("""COMPUTED_VALUE"""),TRUE)</f>
        <v>1</v>
      </c>
      <c r="Q5605" s="20">
        <f>IFERROR(__xludf.DUMMYFUNCTION("""COMPUTED_VALUE"""),45166.593613564815)</f>
        <v>45166.59361</v>
      </c>
      <c r="R5605" s="21" t="str">
        <f>IFERROR(__xludf.DUMMYFUNCTION("""COMPUTED_VALUE"""),"https://drive.google.com/file/d/1WCCsQBk5ONMfqjqx6AONb4TXTGQhYVVh/view?usp=drivesdk")</f>
        <v>https://drive.google.com/file/d/1WCCsQBk5ONMfqjqx6AONb4TXTGQhYVVh/view?usp=drivesdk</v>
      </c>
    </row>
    <row r="5606">
      <c r="A5606" s="15">
        <f>IFERROR(__xludf.DUMMYFUNCTION("""COMPUTED_VALUE"""),45163.0)</f>
        <v>45163</v>
      </c>
      <c r="B5606" s="16" t="str">
        <f>IFERROR(__xludf.DUMMYFUNCTION("""COMPUTED_VALUE"""),"Daniel José sandoval gonzalez")</f>
        <v>Daniel José sandoval gonzalez</v>
      </c>
      <c r="C5606" s="15" t="str">
        <f>IFERROR(__xludf.DUMMYFUNCTION("""COMPUTED_VALUE"""),"BARRANQUILLA")</f>
        <v>BARRANQUILLA</v>
      </c>
      <c r="D5606" s="15" t="str">
        <f>IFERROR(__xludf.DUMMYFUNCTION("""COMPUTED_VALUE"""),"BOGOTÁ")</f>
        <v>BOGOTÁ</v>
      </c>
      <c r="E5606" s="15" t="str">
        <f>IFERROR(__xludf.DUMMYFUNCTION("""COMPUTED_VALUE"""),"Pan de Waffle")</f>
        <v>Pan de Waffle</v>
      </c>
      <c r="F5606" s="17" t="str">
        <f>IFERROR(__xludf.DUMMYFUNCTION("""COMPUTED_VALUE"""),"Carrera 38 # 76 - 50 / Carrera 38 # 76 - 50 / Carrera 38 # 76 - 50")</f>
        <v>Carrera 38 # 76 - 50 / Carrera 38 # 76 - 50 / Carrera 38 # 76 - 50</v>
      </c>
      <c r="G5606" s="15" t="str">
        <f>IFERROR(__xludf.DUMMYFUNCTION("""COMPUTED_VALUE"""),"RAPPI TURBO LAS COLINAS")</f>
        <v>RAPPI TURBO LAS COLINAS</v>
      </c>
      <c r="H5606" s="16">
        <f>IFERROR(__xludf.DUMMYFUNCTION("""COMPUTED_VALUE"""),14347.0)</f>
        <v>14347</v>
      </c>
      <c r="I5606" s="18">
        <f>IFERROR(__xludf.DUMMYFUNCTION("""COMPUTED_VALUE"""),30.0)</f>
        <v>30</v>
      </c>
      <c r="J5606" s="18">
        <f>IFERROR(__xludf.DUMMYFUNCTION("""COMPUTED_VALUE"""),30.0)</f>
        <v>30</v>
      </c>
      <c r="K5606" s="18">
        <f>IFERROR(__xludf.DUMMYFUNCTION("""COMPUTED_VALUE"""),40.0)</f>
        <v>40</v>
      </c>
      <c r="L5606" s="17">
        <f>IFERROR(__xludf.DUMMYFUNCTION("""COMPUTED_VALUE"""),3.017032143E9)</f>
        <v>3017032143</v>
      </c>
      <c r="M5606" s="17" t="str">
        <f>IFERROR(__xludf.DUMMYFUNCTION("""COMPUTED_VALUE"""),"#REF!")</f>
        <v>#REF!</v>
      </c>
      <c r="N5606" s="17"/>
      <c r="O5606" s="17"/>
      <c r="P5606" s="17" t="b">
        <f>IFERROR(__xludf.DUMMYFUNCTION("""COMPUTED_VALUE"""),TRUE)</f>
        <v>1</v>
      </c>
      <c r="Q5606" s="20">
        <f>IFERROR(__xludf.DUMMYFUNCTION("""COMPUTED_VALUE"""),45167.65813952546)</f>
        <v>45167.65814</v>
      </c>
      <c r="R5606" s="21" t="str">
        <f>IFERROR(__xludf.DUMMYFUNCTION("""COMPUTED_VALUE"""),"https://drive.google.com/file/d/1lpRkiePpS5t2-fFCTcPwJNm_LYkluP0H/view?usp=drivesdk")</f>
        <v>https://drive.google.com/file/d/1lpRkiePpS5t2-fFCTcPwJNm_LYkluP0H/view?usp=drivesdk</v>
      </c>
    </row>
    <row r="5607">
      <c r="A5607" s="15">
        <f>IFERROR(__xludf.DUMMYFUNCTION("""COMPUTED_VALUE"""),45163.0)</f>
        <v>45163</v>
      </c>
      <c r="B5607" s="16" t="str">
        <f>IFERROR(__xludf.DUMMYFUNCTION("""COMPUTED_VALUE"""),"Daniel José sandoval gonzalez")</f>
        <v>Daniel José sandoval gonzalez</v>
      </c>
      <c r="C5607" s="15" t="str">
        <f>IFERROR(__xludf.DUMMYFUNCTION("""COMPUTED_VALUE"""),"BARRANQUILLA")</f>
        <v>BARRANQUILLA</v>
      </c>
      <c r="D5607" s="15" t="str">
        <f>IFERROR(__xludf.DUMMYFUNCTION("""COMPUTED_VALUE"""),"BOGOTÁ")</f>
        <v>BOGOTÁ</v>
      </c>
      <c r="E5607" s="15" t="str">
        <f>IFERROR(__xludf.DUMMYFUNCTION("""COMPUTED_VALUE"""),"Ser Fit")</f>
        <v>Ser Fit</v>
      </c>
      <c r="F5607" s="17" t="str">
        <f>IFERROR(__xludf.DUMMYFUNCTION("""COMPUTED_VALUE"""),"Cra. 74 # 76 - 74, / barranquilla  / barranquilla")</f>
        <v>Cra. 74 # 76 - 74, / barranquilla  / barranquilla</v>
      </c>
      <c r="G5607" s="15" t="str">
        <f>IFERROR(__xludf.DUMMYFUNCTION("""COMPUTED_VALUE"""),"fit hub")</f>
        <v>fit hub</v>
      </c>
      <c r="H5607" s="16">
        <f>IFERROR(__xludf.DUMMYFUNCTION("""COMPUTED_VALUE"""),14383.0)</f>
        <v>14383</v>
      </c>
      <c r="I5607" s="18">
        <f>IFERROR(__xludf.DUMMYFUNCTION("""COMPUTED_VALUE"""),16.0)</f>
        <v>16</v>
      </c>
      <c r="J5607" s="18">
        <f>IFERROR(__xludf.DUMMYFUNCTION("""COMPUTED_VALUE"""),36.0)</f>
        <v>36</v>
      </c>
      <c r="K5607" s="18">
        <f>IFERROR(__xludf.DUMMYFUNCTION("""COMPUTED_VALUE"""),70.0)</f>
        <v>70</v>
      </c>
      <c r="L5607" s="17">
        <f>IFERROR(__xludf.DUMMYFUNCTION("""COMPUTED_VALUE"""),3.157237432E9)</f>
        <v>3157237432</v>
      </c>
      <c r="M5607" s="17" t="str">
        <f>IFERROR(__xludf.DUMMYFUNCTION("""COMPUTED_VALUE"""),"#REF!")</f>
        <v>#REF!</v>
      </c>
      <c r="N5607" s="17"/>
      <c r="O5607" s="17"/>
      <c r="P5607" s="17" t="b">
        <f>IFERROR(__xludf.DUMMYFUNCTION("""COMPUTED_VALUE"""),TRUE)</f>
        <v>1</v>
      </c>
      <c r="Q5607" s="20">
        <f>IFERROR(__xludf.DUMMYFUNCTION("""COMPUTED_VALUE"""),45166.593613564815)</f>
        <v>45166.59361</v>
      </c>
      <c r="R5607" s="22" t="str">
        <f>IFERROR(__xludf.DUMMYFUNCTION("""COMPUTED_VALUE"""),"")</f>
        <v/>
      </c>
    </row>
    <row r="5608">
      <c r="A5608" s="15">
        <f>IFERROR(__xludf.DUMMYFUNCTION("""COMPUTED_VALUE"""),45163.0)</f>
        <v>45163</v>
      </c>
      <c r="B5608" s="16" t="str">
        <f>IFERROR(__xludf.DUMMYFUNCTION("""COMPUTED_VALUE"""),"Daniel José sandoval gonzalez")</f>
        <v>Daniel José sandoval gonzalez</v>
      </c>
      <c r="C5608" s="15" t="str">
        <f>IFERROR(__xludf.DUMMYFUNCTION("""COMPUTED_VALUE"""),"BARRANQUILLA")</f>
        <v>BARRANQUILLA</v>
      </c>
      <c r="D5608" s="15" t="str">
        <f>IFERROR(__xludf.DUMMYFUNCTION("""COMPUTED_VALUE"""),"BOGOTÁ")</f>
        <v>BOGOTÁ</v>
      </c>
      <c r="E5608" s="15" t="str">
        <f>IFERROR(__xludf.DUMMYFUNCTION("""COMPUTED_VALUE"""),"Top Spun")</f>
        <v>Top Spun</v>
      </c>
      <c r="F5608" s="17" t="str">
        <f>IFERROR(__xludf.DUMMYFUNCTION("""COMPUTED_VALUE"""),"Cra 59B # 84-100 / Apto 1606 / Torre 3 Duville")</f>
        <v>Cra 59B # 84-100 / Apto 1606 / Torre 3 Duville</v>
      </c>
      <c r="G5608" s="15" t="str">
        <f>IFERROR(__xludf.DUMMYFUNCTION("""COMPUTED_VALUE"""),"Daniella Tejada")</f>
        <v>Daniella Tejada</v>
      </c>
      <c r="H5608" s="16">
        <f>IFERROR(__xludf.DUMMYFUNCTION("""COMPUTED_VALUE"""),14224.0)</f>
        <v>14224</v>
      </c>
      <c r="I5608" s="18">
        <f>IFERROR(__xludf.DUMMYFUNCTION("""COMPUTED_VALUE"""),20.0)</f>
        <v>20</v>
      </c>
      <c r="J5608" s="18">
        <f>IFERROR(__xludf.DUMMYFUNCTION("""COMPUTED_VALUE"""),10.0)</f>
        <v>10</v>
      </c>
      <c r="K5608" s="18">
        <f>IFERROR(__xludf.DUMMYFUNCTION("""COMPUTED_VALUE"""),40.0)</f>
        <v>40</v>
      </c>
      <c r="L5608" s="17">
        <f>IFERROR(__xludf.DUMMYFUNCTION("""COMPUTED_VALUE"""),3.135830967E9)</f>
        <v>3135830967</v>
      </c>
      <c r="M5608" s="17" t="str">
        <f>IFERROR(__xludf.DUMMYFUNCTION("""COMPUTED_VALUE"""),"#REF!")</f>
        <v>#REF!</v>
      </c>
      <c r="N5608" s="17"/>
      <c r="O5608" s="17"/>
      <c r="P5608" s="17" t="b">
        <f>IFERROR(__xludf.DUMMYFUNCTION("""COMPUTED_VALUE"""),TRUE)</f>
        <v>1</v>
      </c>
      <c r="Q5608" s="20">
        <f>IFERROR(__xludf.DUMMYFUNCTION("""COMPUTED_VALUE"""),45166.593613564815)</f>
        <v>45166.59361</v>
      </c>
      <c r="R5608" s="21" t="str">
        <f>IFERROR(__xludf.DUMMYFUNCTION("""COMPUTED_VALUE"""),"https://drive.google.com/file/d/12C_KvuesO7uiI45hvBLAuz9GNdLOz9jp/view?usp=drivesdk")</f>
        <v>https://drive.google.com/file/d/12C_KvuesO7uiI45hvBLAuz9GNdLOz9jp/view?usp=drivesdk</v>
      </c>
    </row>
    <row r="5609">
      <c r="A5609" s="15">
        <f>IFERROR(__xludf.DUMMYFUNCTION("""COMPUTED_VALUE"""),45163.0)</f>
        <v>45163</v>
      </c>
      <c r="B5609" s="16" t="str">
        <f>IFERROR(__xludf.DUMMYFUNCTION("""COMPUTED_VALUE"""),"Daniel José sandoval gonzalez")</f>
        <v>Daniel José sandoval gonzalez</v>
      </c>
      <c r="C5609" s="15" t="str">
        <f>IFERROR(__xludf.DUMMYFUNCTION("""COMPUTED_VALUE"""),"BARRANQUILLA")</f>
        <v>BARRANQUILLA</v>
      </c>
      <c r="D5609" s="15" t="str">
        <f>IFERROR(__xludf.DUMMYFUNCTION("""COMPUTED_VALUE"""),"MEDELLÍN")</f>
        <v>MEDELLÍN</v>
      </c>
      <c r="E5609" s="15" t="str">
        <f>IFERROR(__xludf.DUMMYFUNCTION("""COMPUTED_VALUE"""),"Expoclover")</f>
        <v>Expoclover</v>
      </c>
      <c r="F5609" s="17" t="str">
        <f>IFERROR(__xludf.DUMMYFUNCTION("""COMPUTED_VALUE"""),"Calle 85 # 50-159  / Of 1005 / Edificio quantum")</f>
        <v>Calle 85 # 50-159  / Of 1005 / Edificio quantum</v>
      </c>
      <c r="G5609" s="15" t="str">
        <f>IFERROR(__xludf.DUMMYFUNCTION("""COMPUTED_VALUE"""),"Daniel moncada")</f>
        <v>Daniel moncada</v>
      </c>
      <c r="H5609" s="16">
        <f>IFERROR(__xludf.DUMMYFUNCTION("""COMPUTED_VALUE"""),14318.0)</f>
        <v>14318</v>
      </c>
      <c r="I5609" s="18">
        <f>IFERROR(__xludf.DUMMYFUNCTION("""COMPUTED_VALUE"""),18.0)</f>
        <v>18</v>
      </c>
      <c r="J5609" s="18">
        <f>IFERROR(__xludf.DUMMYFUNCTION("""COMPUTED_VALUE"""),13.0)</f>
        <v>13</v>
      </c>
      <c r="K5609" s="18">
        <f>IFERROR(__xludf.DUMMYFUNCTION("""COMPUTED_VALUE"""),20.0)</f>
        <v>20</v>
      </c>
      <c r="L5609" s="17">
        <f>IFERROR(__xludf.DUMMYFUNCTION("""COMPUTED_VALUE"""),3.007765566E9)</f>
        <v>3007765566</v>
      </c>
      <c r="M5609" s="17" t="str">
        <f>IFERROR(__xludf.DUMMYFUNCTION("""COMPUTED_VALUE"""),"#REF!")</f>
        <v>#REF!</v>
      </c>
      <c r="N5609" s="17"/>
      <c r="O5609" s="17"/>
      <c r="P5609" s="17" t="b">
        <f>IFERROR(__xludf.DUMMYFUNCTION("""COMPUTED_VALUE"""),TRUE)</f>
        <v>1</v>
      </c>
      <c r="Q5609" s="20">
        <f>IFERROR(__xludf.DUMMYFUNCTION("""COMPUTED_VALUE"""),45166.593613564815)</f>
        <v>45166.59361</v>
      </c>
      <c r="R5609" s="21" t="str">
        <f>IFERROR(__xludf.DUMMYFUNCTION("""COMPUTED_VALUE"""),"https://drive.google.com/file/d/1QV7gYgUIGa0hKMo1yKh2C_-m3IyL1ALx/view?usp=drivesdk")</f>
        <v>https://drive.google.com/file/d/1QV7gYgUIGa0hKMo1yKh2C_-m3IyL1ALx/view?usp=drivesdk</v>
      </c>
    </row>
    <row r="5610">
      <c r="A5610" s="15">
        <f>IFERROR(__xludf.DUMMYFUNCTION("""COMPUTED_VALUE"""),45163.0)</f>
        <v>45163</v>
      </c>
      <c r="B5610" s="16" t="str">
        <f>IFERROR(__xludf.DUMMYFUNCTION("""COMPUTED_VALUE"""),"Daniel José sandoval gonzalez")</f>
        <v>Daniel José sandoval gonzalez</v>
      </c>
      <c r="C5610" s="15" t="str">
        <f>IFERROR(__xludf.DUMMYFUNCTION("""COMPUTED_VALUE"""),"MEDELLÍN")</f>
        <v>MEDELLÍN</v>
      </c>
      <c r="D5610" s="15" t="str">
        <f>IFERROR(__xludf.DUMMYFUNCTION("""COMPUTED_VALUE"""),"BOGOTÁ")</f>
        <v>BOGOTÁ</v>
      </c>
      <c r="E5610" s="15" t="str">
        <f>IFERROR(__xludf.DUMMYFUNCTION("""COMPUTED_VALUE"""),"Ventura Productos Arg")</f>
        <v>Ventura Productos Arg</v>
      </c>
      <c r="F5610" s="17" t="str">
        <f>IFERROR(__xludf.DUMMYFUNCTION("""COMPUTED_VALUE"""),"Cll 9 #43b-62 / Casa, GOLPEAR VENTANA, TIMBRE NO FUNCIONA")</f>
        <v>Cll 9 #43b-62 / Casa, GOLPEAR VENTANA, TIMBRE NO FUNCIONA</v>
      </c>
      <c r="G5610" s="15" t="str">
        <f>IFERROR(__xludf.DUMMYFUNCTION("""COMPUTED_VALUE"""),"Leandro Fischman")</f>
        <v>Leandro Fischman</v>
      </c>
      <c r="H5610" s="16">
        <f>IFERROR(__xludf.DUMMYFUNCTION("""COMPUTED_VALUE"""),14353.0)</f>
        <v>14353</v>
      </c>
      <c r="I5610" s="18">
        <f>IFERROR(__xludf.DUMMYFUNCTION("""COMPUTED_VALUE"""),3.0)</f>
        <v>3</v>
      </c>
      <c r="J5610" s="18">
        <f>IFERROR(__xludf.DUMMYFUNCTION("""COMPUTED_VALUE"""),45060.0)</f>
        <v>45060</v>
      </c>
      <c r="K5610" s="18">
        <f>IFERROR(__xludf.DUMMYFUNCTION("""COMPUTED_VALUE"""),22.0)</f>
        <v>22</v>
      </c>
      <c r="L5610" s="17" t="str">
        <f>IFERROR(__xludf.DUMMYFUNCTION("""COMPUTED_VALUE"""),"301 469 3977")</f>
        <v>301 469 3977</v>
      </c>
      <c r="M5610" s="17" t="str">
        <f>IFERROR(__xludf.DUMMYFUNCTION("""COMPUTED_VALUE"""),"#REF!")</f>
        <v>#REF!</v>
      </c>
      <c r="N5610" s="17"/>
      <c r="O5610" s="17"/>
      <c r="P5610" s="17" t="b">
        <f>IFERROR(__xludf.DUMMYFUNCTION("""COMPUTED_VALUE"""),TRUE)</f>
        <v>1</v>
      </c>
      <c r="Q5610" s="20">
        <f>IFERROR(__xludf.DUMMYFUNCTION("""COMPUTED_VALUE"""),45166.59361357639)</f>
        <v>45166.59361</v>
      </c>
      <c r="R5610" s="22" t="str">
        <f>IFERROR(__xludf.DUMMYFUNCTION("""COMPUTED_VALUE"""),"")</f>
        <v/>
      </c>
    </row>
    <row r="5611">
      <c r="A5611" s="17" t="str">
        <f>IFERROR(__xludf.DUMMYFUNCTION("""COMPUTED_VALUE"""),"")</f>
        <v/>
      </c>
      <c r="B5611" s="17" t="str">
        <f>IFERROR(__xludf.DUMMYFUNCTION("""COMPUTED_VALUE"""),"")</f>
        <v/>
      </c>
      <c r="C5611" s="17" t="str">
        <f>IFERROR(__xludf.DUMMYFUNCTION("""COMPUTED_VALUE"""),"")</f>
        <v/>
      </c>
      <c r="D5611" s="17" t="str">
        <f>IFERROR(__xludf.DUMMYFUNCTION("""COMPUTED_VALUE"""),"")</f>
        <v/>
      </c>
      <c r="E5611" s="17" t="str">
        <f>IFERROR(__xludf.DUMMYFUNCTION("""COMPUTED_VALUE"""),"")</f>
        <v/>
      </c>
      <c r="F5611" s="17" t="str">
        <f>IFERROR(__xludf.DUMMYFUNCTION("""COMPUTED_VALUE"""),"")</f>
        <v/>
      </c>
      <c r="G5611" s="17" t="str">
        <f>IFERROR(__xludf.DUMMYFUNCTION("""COMPUTED_VALUE"""),"")</f>
        <v/>
      </c>
      <c r="H5611" s="17" t="str">
        <f>IFERROR(__xludf.DUMMYFUNCTION("""COMPUTED_VALUE"""),"")</f>
        <v/>
      </c>
      <c r="I5611" s="17" t="str">
        <f>IFERROR(__xludf.DUMMYFUNCTION("""COMPUTED_VALUE"""),"")</f>
        <v/>
      </c>
      <c r="J5611" s="17" t="str">
        <f>IFERROR(__xludf.DUMMYFUNCTION("""COMPUTED_VALUE"""),"")</f>
        <v/>
      </c>
      <c r="K5611" s="17" t="str">
        <f>IFERROR(__xludf.DUMMYFUNCTION("""COMPUTED_VALUE"""),"")</f>
        <v/>
      </c>
      <c r="L5611" s="17" t="str">
        <f>IFERROR(__xludf.DUMMYFUNCTION("""COMPUTED_VALUE"""),"")</f>
        <v/>
      </c>
      <c r="M5611" s="17" t="str">
        <f>IFERROR(__xludf.DUMMYFUNCTION("""COMPUTED_VALUE"""),"")</f>
        <v/>
      </c>
      <c r="N5611" s="17" t="str">
        <f>IFERROR(__xludf.DUMMYFUNCTION("""COMPUTED_VALUE"""),"")</f>
        <v/>
      </c>
      <c r="O5611" s="17" t="str">
        <f>IFERROR(__xludf.DUMMYFUNCTION("""COMPUTED_VALUE"""),"")</f>
        <v/>
      </c>
      <c r="P5611" s="17" t="str">
        <f>IFERROR(__xludf.DUMMYFUNCTION("""COMPUTED_VALUE"""),"")</f>
        <v/>
      </c>
      <c r="Q5611" s="17" t="str">
        <f>IFERROR(__xludf.DUMMYFUNCTION("""COMPUTED_VALUE"""),"")</f>
        <v/>
      </c>
      <c r="R5611" s="17" t="str">
        <f>IFERROR(__xludf.DUMMYFUNCTION("""COMPUTED_VALUE"""),"")</f>
        <v/>
      </c>
    </row>
    <row r="5612">
      <c r="A5612" s="15">
        <f>IFERROR(__xludf.DUMMYFUNCTION("""COMPUTED_VALUE"""),45163.0)</f>
        <v>45163</v>
      </c>
      <c r="B5612" s="16" t="str">
        <f>IFERROR(__xludf.DUMMYFUNCTION("""COMPUTED_VALUE"""),"Envia")</f>
        <v>Envia</v>
      </c>
      <c r="C5612" s="15" t="str">
        <f>IFERROR(__xludf.DUMMYFUNCTION("""COMPUTED_VALUE"""),"BARRANQUILLA")</f>
        <v>BARRANQUILLA</v>
      </c>
      <c r="D5612" s="15" t="str">
        <f>IFERROR(__xludf.DUMMYFUNCTION("""COMPUTED_VALUE"""),"BOGOTÁ")</f>
        <v>BOGOTÁ</v>
      </c>
      <c r="E5612" s="15" t="str">
        <f>IFERROR(__xludf.DUMMYFUNCTION("""COMPUTED_VALUE"""),"Pan de Waffle")</f>
        <v>Pan de Waffle</v>
      </c>
      <c r="F5612" s="17" t="str">
        <f>IFERROR(__xludf.DUMMYFUNCTION("""COMPUTED_VALUE"""),"Calle 93 # 43 - 138  / Calle 93 # 43 - 138  / Calle 93 # 43 - 138")</f>
        <v>Calle 93 # 43 - 138  / Calle 93 # 43 - 138  / Calle 93 # 43 - 138</v>
      </c>
      <c r="G5612" s="15" t="str">
        <f>IFERROR(__xludf.DUMMYFUNCTION("""COMPUTED_VALUE"""),"RAPPI TURBO EL POBLADO")</f>
        <v>RAPPI TURBO EL POBLADO</v>
      </c>
      <c r="H5612" s="16">
        <f>IFERROR(__xludf.DUMMYFUNCTION("""COMPUTED_VALUE"""),14348.0)</f>
        <v>14348</v>
      </c>
      <c r="I5612" s="18">
        <f>IFERROR(__xludf.DUMMYFUNCTION("""COMPUTED_VALUE"""),30.0)</f>
        <v>30</v>
      </c>
      <c r="J5612" s="18">
        <f>IFERROR(__xludf.DUMMYFUNCTION("""COMPUTED_VALUE"""),40.0)</f>
        <v>40</v>
      </c>
      <c r="K5612" s="18">
        <f>IFERROR(__xludf.DUMMYFUNCTION("""COMPUTED_VALUE"""),30.0)</f>
        <v>30</v>
      </c>
      <c r="L5612" s="17">
        <f>IFERROR(__xludf.DUMMYFUNCTION("""COMPUTED_VALUE"""),3.017032143E9)</f>
        <v>3017032143</v>
      </c>
      <c r="M5612" s="17" t="str">
        <f>IFERROR(__xludf.DUMMYFUNCTION("""COMPUTED_VALUE"""),"#REF!")</f>
        <v>#REF!</v>
      </c>
      <c r="N5612" s="17"/>
      <c r="O5612" s="17"/>
      <c r="P5612" s="17" t="b">
        <f>IFERROR(__xludf.DUMMYFUNCTION("""COMPUTED_VALUE"""),TRUE)</f>
        <v>1</v>
      </c>
      <c r="Q5612" s="20">
        <f>IFERROR(__xludf.DUMMYFUNCTION("""COMPUTED_VALUE"""),45166.59361357639)</f>
        <v>45166.59361</v>
      </c>
      <c r="R5612" s="21" t="str">
        <f>IFERROR(__xludf.DUMMYFUNCTION("""COMPUTED_VALUE"""),"https://drive.google.com/file/d/1KYDFeS-IupjA6Xww-h9X6F85d4SFknj0/view?usp=drivesdk")</f>
        <v>https://drive.google.com/file/d/1KYDFeS-IupjA6Xww-h9X6F85d4SFknj0/view?usp=drivesdk</v>
      </c>
    </row>
    <row r="5613">
      <c r="A5613" s="15">
        <f>IFERROR(__xludf.DUMMYFUNCTION("""COMPUTED_VALUE"""),45163.0)</f>
        <v>45163</v>
      </c>
      <c r="B5613" s="16" t="str">
        <f>IFERROR(__xludf.DUMMYFUNCTION("""COMPUTED_VALUE"""),"Envia")</f>
        <v>Envia</v>
      </c>
      <c r="C5613" s="15" t="str">
        <f>IFERROR(__xludf.DUMMYFUNCTION("""COMPUTED_VALUE"""),"BARRANQUILLA")</f>
        <v>BARRANQUILLA</v>
      </c>
      <c r="D5613" s="15" t="str">
        <f>IFERROR(__xludf.DUMMYFUNCTION("""COMPUTED_VALUE"""),"BOGOTÁ")</f>
        <v>BOGOTÁ</v>
      </c>
      <c r="E5613" s="15" t="str">
        <f>IFERROR(__xludf.DUMMYFUNCTION("""COMPUTED_VALUE"""),"Top Spun")</f>
        <v>Top Spun</v>
      </c>
      <c r="F5613" s="17" t="str">
        <f>IFERROR(__xludf.DUMMYFUNCTION("""COMPUTED_VALUE"""),"Cra 59B # 84 - 48 / Apto 1401 / Barranquilla")</f>
        <v>Cra 59B # 84 - 48 / Apto 1401 / Barranquilla</v>
      </c>
      <c r="G5613" s="15" t="str">
        <f>IFERROR(__xludf.DUMMYFUNCTION("""COMPUTED_VALUE"""),"Camilo Trujillo")</f>
        <v>Camilo Trujillo</v>
      </c>
      <c r="H5613" s="16">
        <f>IFERROR(__xludf.DUMMYFUNCTION("""COMPUTED_VALUE"""),14242.0)</f>
        <v>14242</v>
      </c>
      <c r="I5613" s="18">
        <f>IFERROR(__xludf.DUMMYFUNCTION("""COMPUTED_VALUE"""),20.0)</f>
        <v>20</v>
      </c>
      <c r="J5613" s="18">
        <f>IFERROR(__xludf.DUMMYFUNCTION("""COMPUTED_VALUE"""),10.0)</f>
        <v>10</v>
      </c>
      <c r="K5613" s="18">
        <f>IFERROR(__xludf.DUMMYFUNCTION("""COMPUTED_VALUE"""),40.0)</f>
        <v>40</v>
      </c>
      <c r="L5613" s="17">
        <f>IFERROR(__xludf.DUMMYFUNCTION("""COMPUTED_VALUE"""),3.185480618E9)</f>
        <v>3185480618</v>
      </c>
      <c r="M5613" s="17" t="str">
        <f>IFERROR(__xludf.DUMMYFUNCTION("""COMPUTED_VALUE"""),"#REF!")</f>
        <v>#REF!</v>
      </c>
      <c r="N5613" s="17"/>
      <c r="O5613" s="17"/>
      <c r="P5613" s="17" t="b">
        <f>IFERROR(__xludf.DUMMYFUNCTION("""COMPUTED_VALUE"""),TRUE)</f>
        <v>1</v>
      </c>
      <c r="Q5613" s="20">
        <f>IFERROR(__xludf.DUMMYFUNCTION("""COMPUTED_VALUE"""),45166.59361357639)</f>
        <v>45166.59361</v>
      </c>
      <c r="R5613" s="21" t="str">
        <f>IFERROR(__xludf.DUMMYFUNCTION("""COMPUTED_VALUE"""),"https://drive.google.com/file/d/1rkvchtNC0JcDOZl1PZ7g4hW9YDWwq1_B/view?usp=drivesdk")</f>
        <v>https://drive.google.com/file/d/1rkvchtNC0JcDOZl1PZ7g4hW9YDWwq1_B/view?usp=drivesdk</v>
      </c>
    </row>
    <row r="5614">
      <c r="A5614" s="15">
        <f>IFERROR(__xludf.DUMMYFUNCTION("""COMPUTED_VALUE"""),45163.0)</f>
        <v>45163</v>
      </c>
      <c r="B5614" s="16" t="str">
        <f>IFERROR(__xludf.DUMMYFUNCTION("""COMPUTED_VALUE"""),"Envia")</f>
        <v>Envia</v>
      </c>
      <c r="C5614" s="15" t="str">
        <f>IFERROR(__xludf.DUMMYFUNCTION("""COMPUTED_VALUE"""),"BARRANQUILLA")</f>
        <v>BARRANQUILLA</v>
      </c>
      <c r="D5614" s="15" t="str">
        <f>IFERROR(__xludf.DUMMYFUNCTION("""COMPUTED_VALUE"""),"BOGOTÁ")</f>
        <v>BOGOTÁ</v>
      </c>
      <c r="E5614" s="15" t="str">
        <f>IFERROR(__xludf.DUMMYFUNCTION("""COMPUTED_VALUE"""),"Viral Brands")</f>
        <v>Viral Brands</v>
      </c>
      <c r="F5614" s="17" t="str">
        <f>IFERROR(__xludf.DUMMYFUNCTION("""COMPUTED_VALUE"""),"cra 58 n 96 -187 / restaurante maya- gaucho / buenavista")</f>
        <v>cra 58 n 96 -187 / restaurante maya- gaucho / buenavista</v>
      </c>
      <c r="G5614" s="15" t="str">
        <f>IFERROR(__xludf.DUMMYFUNCTION("""COMPUTED_VALUE"""),"MANUEL ORTIZ")</f>
        <v>MANUEL ORTIZ</v>
      </c>
      <c r="H5614" s="16">
        <f>IFERROR(__xludf.DUMMYFUNCTION("""COMPUTED_VALUE"""),14355.0)</f>
        <v>14355</v>
      </c>
      <c r="I5614" s="18">
        <f>IFERROR(__xludf.DUMMYFUNCTION("""COMPUTED_VALUE"""),50.0)</f>
        <v>50</v>
      </c>
      <c r="J5614" s="18">
        <f>IFERROR(__xludf.DUMMYFUNCTION("""COMPUTED_VALUE"""),30.0)</f>
        <v>30</v>
      </c>
      <c r="K5614" s="18">
        <f>IFERROR(__xludf.DUMMYFUNCTION("""COMPUTED_VALUE"""),21.0)</f>
        <v>21</v>
      </c>
      <c r="L5614" s="17">
        <f>IFERROR(__xludf.DUMMYFUNCTION("""COMPUTED_VALUE"""),3.122454394E9)</f>
        <v>3122454394</v>
      </c>
      <c r="M5614" s="17" t="str">
        <f>IFERROR(__xludf.DUMMYFUNCTION("""COMPUTED_VALUE"""),"#REF!")</f>
        <v>#REF!</v>
      </c>
      <c r="N5614" s="17"/>
      <c r="O5614" s="17"/>
      <c r="P5614" s="17" t="b">
        <f>IFERROR(__xludf.DUMMYFUNCTION("""COMPUTED_VALUE"""),TRUE)</f>
        <v>1</v>
      </c>
      <c r="Q5614" s="20">
        <f>IFERROR(__xludf.DUMMYFUNCTION("""COMPUTED_VALUE"""),45166.59361357639)</f>
        <v>45166.59361</v>
      </c>
      <c r="R5614" s="22" t="str">
        <f>IFERROR(__xludf.DUMMYFUNCTION("""COMPUTED_VALUE"""),"")</f>
        <v/>
      </c>
    </row>
    <row r="5615">
      <c r="A5615" s="15">
        <f>IFERROR(__xludf.DUMMYFUNCTION("""COMPUTED_VALUE"""),45163.0)</f>
        <v>45163</v>
      </c>
      <c r="B5615" s="16" t="str">
        <f>IFERROR(__xludf.DUMMYFUNCTION("""COMPUTED_VALUE"""),"Envia")</f>
        <v>Envia</v>
      </c>
      <c r="C5615" s="15" t="str">
        <f>IFERROR(__xludf.DUMMYFUNCTION("""COMPUTED_VALUE"""),"BARRANQUILLA")</f>
        <v>BARRANQUILLA</v>
      </c>
      <c r="D5615" s="15" t="str">
        <f>IFERROR(__xludf.DUMMYFUNCTION("""COMPUTED_VALUE"""),"MEDELLÍN")</f>
        <v>MEDELLÍN</v>
      </c>
      <c r="E5615" s="15" t="str">
        <f>IFERROR(__xludf.DUMMYFUNCTION("""COMPUTED_VALUE"""),"Magda")</f>
        <v>Magda</v>
      </c>
      <c r="F5615" s="17" t="str">
        <f>IFERROR(__xludf.DUMMYFUNCTION("""COMPUTED_VALUE"""),"Cra 53 No. 68-55 / Cocinas ocultas / Alto Prado")</f>
        <v>Cra 53 No. 68-55 / Cocinas ocultas / Alto Prado</v>
      </c>
      <c r="G5615" s="15" t="str">
        <f>IFERROR(__xludf.DUMMYFUNCTION("""COMPUTED_VALUE"""),"María José Cervantes")</f>
        <v>María José Cervantes</v>
      </c>
      <c r="H5615" s="16">
        <f>IFERROR(__xludf.DUMMYFUNCTION("""COMPUTED_VALUE"""),14359.0)</f>
        <v>14359</v>
      </c>
      <c r="I5615" s="18">
        <f>IFERROR(__xludf.DUMMYFUNCTION("""COMPUTED_VALUE"""),5.0)</f>
        <v>5</v>
      </c>
      <c r="J5615" s="18">
        <f>IFERROR(__xludf.DUMMYFUNCTION("""COMPUTED_VALUE"""),5.0)</f>
        <v>5</v>
      </c>
      <c r="K5615" s="18">
        <f>IFERROR(__xludf.DUMMYFUNCTION("""COMPUTED_VALUE"""),5.0)</f>
        <v>5</v>
      </c>
      <c r="L5615" s="17">
        <f>IFERROR(__xludf.DUMMYFUNCTION("""COMPUTED_VALUE"""),3.113152215E9)</f>
        <v>3113152215</v>
      </c>
      <c r="M5615" s="17" t="str">
        <f>IFERROR(__xludf.DUMMYFUNCTION("""COMPUTED_VALUE"""),"#REF!")</f>
        <v>#REF!</v>
      </c>
      <c r="N5615" s="17"/>
      <c r="O5615" s="17"/>
      <c r="P5615" s="17" t="b">
        <f>IFERROR(__xludf.DUMMYFUNCTION("""COMPUTED_VALUE"""),TRUE)</f>
        <v>1</v>
      </c>
      <c r="Q5615" s="20">
        <f>IFERROR(__xludf.DUMMYFUNCTION("""COMPUTED_VALUE"""),45166.59361357639)</f>
        <v>45166.59361</v>
      </c>
      <c r="R5615" s="22" t="str">
        <f>IFERROR(__xludf.DUMMYFUNCTION("""COMPUTED_VALUE"""),"")</f>
        <v/>
      </c>
    </row>
    <row r="5616">
      <c r="A5616" s="15">
        <f>IFERROR(__xludf.DUMMYFUNCTION("""COMPUTED_VALUE"""),45163.0)</f>
        <v>45163</v>
      </c>
      <c r="B5616" s="16" t="str">
        <f>IFERROR(__xludf.DUMMYFUNCTION("""COMPUTED_VALUE"""),"Envia")</f>
        <v>Envia</v>
      </c>
      <c r="C5616" s="15" t="str">
        <f>IFERROR(__xludf.DUMMYFUNCTION("""COMPUTED_VALUE"""),"BARRANQUILLA")</f>
        <v>BARRANQUILLA</v>
      </c>
      <c r="D5616" s="15" t="str">
        <f>IFERROR(__xludf.DUMMYFUNCTION("""COMPUTED_VALUE"""),"MEDELLÍN")</f>
        <v>MEDELLÍN</v>
      </c>
      <c r="E5616" s="15" t="str">
        <f>IFERROR(__xludf.DUMMYFUNCTION("""COMPUTED_VALUE"""),"Rambla")</f>
        <v>Rambla</v>
      </c>
      <c r="F5616" s="17" t="str">
        <f>IFERROR(__xludf.DUMMYFUNCTION("""COMPUTED_VALUE"""),"CARRERA 74 #76-74 / - / -")</f>
        <v>CARRERA 74 #76-74 / - / -</v>
      </c>
      <c r="G5616" s="15" t="str">
        <f>IFERROR(__xludf.DUMMYFUNCTION("""COMPUTED_VALUE"""),"Fit Hub #26206")</f>
        <v>Fit Hub #26206</v>
      </c>
      <c r="H5616" s="16">
        <f>IFERROR(__xludf.DUMMYFUNCTION("""COMPUTED_VALUE"""),14333.0)</f>
        <v>14333</v>
      </c>
      <c r="I5616" s="18">
        <f>IFERROR(__xludf.DUMMYFUNCTION("""COMPUTED_VALUE"""),16.0)</f>
        <v>16</v>
      </c>
      <c r="J5616" s="18">
        <f>IFERROR(__xludf.DUMMYFUNCTION("""COMPUTED_VALUE"""),18.0)</f>
        <v>18</v>
      </c>
      <c r="K5616" s="18">
        <f>IFERROR(__xludf.DUMMYFUNCTION("""COMPUTED_VALUE"""),14.0)</f>
        <v>14</v>
      </c>
      <c r="L5616" s="17">
        <f>IFERROR(__xludf.DUMMYFUNCTION("""COMPUTED_VALUE"""),3.157039547E9)</f>
        <v>3157039547</v>
      </c>
      <c r="M5616" s="17" t="str">
        <f>IFERROR(__xludf.DUMMYFUNCTION("""COMPUTED_VALUE"""),"#REF!")</f>
        <v>#REF!</v>
      </c>
      <c r="N5616" s="17"/>
      <c r="O5616" s="17"/>
      <c r="P5616" s="17" t="b">
        <f>IFERROR(__xludf.DUMMYFUNCTION("""COMPUTED_VALUE"""),TRUE)</f>
        <v>1</v>
      </c>
      <c r="Q5616" s="20">
        <f>IFERROR(__xludf.DUMMYFUNCTION("""COMPUTED_VALUE"""),45166.59361357639)</f>
        <v>45166.59361</v>
      </c>
      <c r="R5616" s="21" t="str">
        <f>IFERROR(__xludf.DUMMYFUNCTION("""COMPUTED_VALUE"""),"https://drive.google.com/file/d/1W0TFn_MujSVWHYQ-3M7yHWo7MBGPTvf3/view?usp=drivesdk")</f>
        <v>https://drive.google.com/file/d/1W0TFn_MujSVWHYQ-3M7yHWo7MBGPTvf3/view?usp=drivesdk</v>
      </c>
    </row>
    <row r="5617">
      <c r="A5617" s="15">
        <f>IFERROR(__xludf.DUMMYFUNCTION("""COMPUTED_VALUE"""),45163.0)</f>
        <v>45163</v>
      </c>
      <c r="B5617" s="16" t="str">
        <f>IFERROR(__xludf.DUMMYFUNCTION("""COMPUTED_VALUE"""),"Envia")</f>
        <v>Envia</v>
      </c>
      <c r="C5617" s="15" t="str">
        <f>IFERROR(__xludf.DUMMYFUNCTION("""COMPUTED_VALUE"""),"BOGOTÁ")</f>
        <v>BOGOTÁ</v>
      </c>
      <c r="D5617" s="15" t="str">
        <f>IFERROR(__xludf.DUMMYFUNCTION("""COMPUTED_VALUE"""),"MEDELLÍN")</f>
        <v>MEDELLÍN</v>
      </c>
      <c r="E5617" s="15" t="str">
        <f>IFERROR(__xludf.DUMMYFUNCTION("""COMPUTED_VALUE"""),"AREPAS LA MARY")</f>
        <v>AREPAS LA MARY</v>
      </c>
      <c r="F5617" s="17" t="str">
        <f>IFERROR(__xludf.DUMMYFUNCTION("""COMPUTED_VALUE"""),"Tv. 2a #68-61 / CHAPINERO BOGOTA")</f>
        <v>Tv. 2a #68-61 / CHAPINERO BOGOTA</v>
      </c>
      <c r="G5617" s="15" t="str">
        <f>IFERROR(__xludf.DUMMYFUNCTION("""COMPUTED_VALUE"""),"TATIANA PEREIRA")</f>
        <v>TATIANA PEREIRA</v>
      </c>
      <c r="H5617" s="16">
        <f>IFERROR(__xludf.DUMMYFUNCTION("""COMPUTED_VALUE"""),14386.0)</f>
        <v>14386</v>
      </c>
      <c r="I5617" s="18">
        <f>IFERROR(__xludf.DUMMYFUNCTION("""COMPUTED_VALUE"""),89.0)</f>
        <v>89</v>
      </c>
      <c r="J5617" s="18">
        <f>IFERROR(__xludf.DUMMYFUNCTION("""COMPUTED_VALUE"""),1.0)</f>
        <v>1</v>
      </c>
      <c r="K5617" s="18">
        <f>IFERROR(__xludf.DUMMYFUNCTION("""COMPUTED_VALUE"""),10.0)</f>
        <v>10</v>
      </c>
      <c r="L5617" s="17">
        <f>IFERROR(__xludf.DUMMYFUNCTION("""COMPUTED_VALUE"""),3.126230617E9)</f>
        <v>3126230617</v>
      </c>
      <c r="M5617" s="17" t="str">
        <f>IFERROR(__xludf.DUMMYFUNCTION("""COMPUTED_VALUE"""),"#REF!")</f>
        <v>#REF!</v>
      </c>
      <c r="N5617" s="17"/>
      <c r="O5617" s="17"/>
      <c r="P5617" s="17" t="b">
        <f>IFERROR(__xludf.DUMMYFUNCTION("""COMPUTED_VALUE"""),TRUE)</f>
        <v>1</v>
      </c>
      <c r="Q5617" s="20">
        <f>IFERROR(__xludf.DUMMYFUNCTION("""COMPUTED_VALUE"""),45166.59361357639)</f>
        <v>45166.59361</v>
      </c>
      <c r="R5617" s="21" t="str">
        <f>IFERROR(__xludf.DUMMYFUNCTION("""COMPUTED_VALUE"""),"https://drive.google.com/file/d/1ETKq0ezFrz3ggoRmN5L9cXj3df_ZwcaQ/view?usp=drivesdk")</f>
        <v>https://drive.google.com/file/d/1ETKq0ezFrz3ggoRmN5L9cXj3df_ZwcaQ/view?usp=drivesdk</v>
      </c>
    </row>
    <row r="5618">
      <c r="A5618" s="15">
        <f>IFERROR(__xludf.DUMMYFUNCTION("""COMPUTED_VALUE"""),45163.0)</f>
        <v>45163</v>
      </c>
      <c r="B5618" s="16" t="str">
        <f>IFERROR(__xludf.DUMMYFUNCTION("""COMPUTED_VALUE"""),"Envia")</f>
        <v>Envia</v>
      </c>
      <c r="C5618" s="15" t="str">
        <f>IFERROR(__xludf.DUMMYFUNCTION("""COMPUTED_VALUE"""),"BOGOTÁ")</f>
        <v>BOGOTÁ</v>
      </c>
      <c r="D5618" s="15" t="str">
        <f>IFERROR(__xludf.DUMMYFUNCTION("""COMPUTED_VALUE"""),"MEDELLÍN")</f>
        <v>MEDELLÍN</v>
      </c>
      <c r="E5618" s="15" t="str">
        <f>IFERROR(__xludf.DUMMYFUNCTION("""COMPUTED_VALUE"""),"Lácteos El Pino SAS")</f>
        <v>Lácteos El Pino SAS</v>
      </c>
      <c r="F5618" s="17" t="str">
        <f>IFERROR(__xludf.DUMMYFUNCTION("""COMPUTED_VALUE"""),"CARRERA 54 # 65 - 25 / ENTREGAR EN EL LOCAL")</f>
        <v>CARRERA 54 # 65 - 25 / ENTREGAR EN EL LOCAL</v>
      </c>
      <c r="G5618" s="15" t="str">
        <f>IFERROR(__xludf.DUMMYFUNCTION("""COMPUTED_VALUE"""),"KIM")</f>
        <v>KIM</v>
      </c>
      <c r="H5618" s="16">
        <f>IFERROR(__xludf.DUMMYFUNCTION("""COMPUTED_VALUE"""),14351.0)</f>
        <v>14351</v>
      </c>
      <c r="I5618" s="18">
        <f>IFERROR(__xludf.DUMMYFUNCTION("""COMPUTED_VALUE"""),33.0)</f>
        <v>33</v>
      </c>
      <c r="J5618" s="18">
        <f>IFERROR(__xludf.DUMMYFUNCTION("""COMPUTED_VALUE"""),22.0)</f>
        <v>22</v>
      </c>
      <c r="K5618" s="18">
        <f>IFERROR(__xludf.DUMMYFUNCTION("""COMPUTED_VALUE"""),36.0)</f>
        <v>36</v>
      </c>
      <c r="L5618" s="17">
        <f>IFERROR(__xludf.DUMMYFUNCTION("""COMPUTED_VALUE"""),3.24566062E9)</f>
        <v>3245660620</v>
      </c>
      <c r="M5618" s="17" t="str">
        <f>IFERROR(__xludf.DUMMYFUNCTION("""COMPUTED_VALUE"""),"#REF!")</f>
        <v>#REF!</v>
      </c>
      <c r="N5618" s="17"/>
      <c r="O5618" s="17"/>
      <c r="P5618" s="17" t="b">
        <f>IFERROR(__xludf.DUMMYFUNCTION("""COMPUTED_VALUE"""),FALSE)</f>
        <v>0</v>
      </c>
      <c r="Q5618" s="20" t="str">
        <f>IFERROR(__xludf.DUMMYFUNCTION("""COMPUTED_VALUE"""),"")</f>
        <v/>
      </c>
      <c r="R5618" s="22" t="str">
        <f>IFERROR(__xludf.DUMMYFUNCTION("""COMPUTED_VALUE"""),"")</f>
        <v/>
      </c>
    </row>
    <row r="5619">
      <c r="A5619" s="15">
        <f>IFERROR(__xludf.DUMMYFUNCTION("""COMPUTED_VALUE"""),45163.0)</f>
        <v>45163</v>
      </c>
      <c r="B5619" s="16" t="str">
        <f>IFERROR(__xludf.DUMMYFUNCTION("""COMPUTED_VALUE"""),"Envia")</f>
        <v>Envia</v>
      </c>
      <c r="C5619" s="15" t="str">
        <f>IFERROR(__xludf.DUMMYFUNCTION("""COMPUTED_VALUE"""),"BOGOTÁ")</f>
        <v>BOGOTÁ</v>
      </c>
      <c r="D5619" s="15" t="str">
        <f>IFERROR(__xludf.DUMMYFUNCTION("""COMPUTED_VALUE"""),"MEDELLÍN")</f>
        <v>MEDELLÍN</v>
      </c>
      <c r="E5619" s="15" t="str">
        <f>IFERROR(__xludf.DUMMYFUNCTION("""COMPUTED_VALUE"""),"Rambla")</f>
        <v>Rambla</v>
      </c>
      <c r="F5619" s="17" t="str">
        <f>IFERROR(__xludf.DUMMYFUNCTION("""COMPUTED_VALUE"""),"Calle 95# 71-11 bloque 1 apto 801 parque central Pontevedra 3  / - / -")</f>
        <v>Calle 95# 71-11 bloque 1 apto 801 parque central Pontevedra 3  / - / -</v>
      </c>
      <c r="G5619" s="15" t="str">
        <f>IFERROR(__xludf.DUMMYFUNCTION("""COMPUTED_VALUE"""),"Marcela Delgado")</f>
        <v>Marcela Delgado</v>
      </c>
      <c r="H5619" s="16">
        <f>IFERROR(__xludf.DUMMYFUNCTION("""COMPUTED_VALUE"""),14388.0)</f>
        <v>14388</v>
      </c>
      <c r="I5619" s="18">
        <f>IFERROR(__xludf.DUMMYFUNCTION("""COMPUTED_VALUE"""),12.0)</f>
        <v>12</v>
      </c>
      <c r="J5619" s="18">
        <f>IFERROR(__xludf.DUMMYFUNCTION("""COMPUTED_VALUE"""),12.0)</f>
        <v>12</v>
      </c>
      <c r="K5619" s="18">
        <f>IFERROR(__xludf.DUMMYFUNCTION("""COMPUTED_VALUE"""),14.0)</f>
        <v>14</v>
      </c>
      <c r="L5619" s="17">
        <f>IFERROR(__xludf.DUMMYFUNCTION("""COMPUTED_VALUE"""),3.16691461E9)</f>
        <v>3166914610</v>
      </c>
      <c r="M5619" s="17" t="str">
        <f>IFERROR(__xludf.DUMMYFUNCTION("""COMPUTED_VALUE"""),"#REF!")</f>
        <v>#REF!</v>
      </c>
      <c r="N5619" s="17"/>
      <c r="O5619" s="17"/>
      <c r="P5619" s="17" t="b">
        <f>IFERROR(__xludf.DUMMYFUNCTION("""COMPUTED_VALUE"""),FALSE)</f>
        <v>0</v>
      </c>
      <c r="Q5619" s="20" t="str">
        <f>IFERROR(__xludf.DUMMYFUNCTION("""COMPUTED_VALUE"""),"")</f>
        <v/>
      </c>
      <c r="R5619" s="21" t="str">
        <f>IFERROR(__xludf.DUMMYFUNCTION("""COMPUTED_VALUE"""),"https://drive.google.com/file/d/1FKIP2czq4oMQY8TTrwb6bGttnGJJRfUK/view?usp=drivesdk")</f>
        <v>https://drive.google.com/file/d/1FKIP2czq4oMQY8TTrwb6bGttnGJJRfUK/view?usp=drivesdk</v>
      </c>
    </row>
    <row r="5620">
      <c r="A5620" s="15">
        <f>IFERROR(__xludf.DUMMYFUNCTION("""COMPUTED_VALUE"""),45163.0)</f>
        <v>45163</v>
      </c>
      <c r="B5620" s="16" t="str">
        <f>IFERROR(__xludf.DUMMYFUNCTION("""COMPUTED_VALUE"""),"Envia")</f>
        <v>Envia</v>
      </c>
      <c r="C5620" s="15" t="str">
        <f>IFERROR(__xludf.DUMMYFUNCTION("""COMPUTED_VALUE"""),"BUCARAMANGA")</f>
        <v>BUCARAMANGA</v>
      </c>
      <c r="D5620" s="15" t="str">
        <f>IFERROR(__xludf.DUMMYFUNCTION("""COMPUTED_VALUE"""),"BOGOTÁ")</f>
        <v>BOGOTÁ</v>
      </c>
      <c r="E5620" s="15" t="str">
        <f>IFERROR(__xludf.DUMMYFUNCTION("""COMPUTED_VALUE"""),"Ins. Alimento Vital")</f>
        <v>Ins. Alimento Vital</v>
      </c>
      <c r="F5620" s="17" t="str">
        <f>IFERROR(__xludf.DUMMYFUNCTION("""COMPUTED_VALUE"""),"CL 31 30 08 / AP 501 AURORA ROYAL / AURORA ROYAL")</f>
        <v>CL 31 30 08 / AP 501 AURORA ROYAL / AURORA ROYAL</v>
      </c>
      <c r="G5620" s="15" t="str">
        <f>IFERROR(__xludf.DUMMYFUNCTION("""COMPUTED_VALUE"""),"LARRY ALBERTO LOPEZ MACANA")</f>
        <v>LARRY ALBERTO LOPEZ MACANA</v>
      </c>
      <c r="H5620" s="16">
        <f>IFERROR(__xludf.DUMMYFUNCTION("""COMPUTED_VALUE"""),14365.0)</f>
        <v>14365</v>
      </c>
      <c r="I5620" s="18">
        <f>IFERROR(__xludf.DUMMYFUNCTION("""COMPUTED_VALUE"""),1.0)</f>
        <v>1</v>
      </c>
      <c r="J5620" s="18">
        <f>IFERROR(__xludf.DUMMYFUNCTION("""COMPUTED_VALUE"""),1.0)</f>
        <v>1</v>
      </c>
      <c r="K5620" s="18">
        <f>IFERROR(__xludf.DUMMYFUNCTION("""COMPUTED_VALUE"""),1.0)</f>
        <v>1</v>
      </c>
      <c r="L5620" s="17">
        <f>IFERROR(__xludf.DUMMYFUNCTION("""COMPUTED_VALUE"""),3.185709801E9)</f>
        <v>3185709801</v>
      </c>
      <c r="M5620" s="17" t="str">
        <f>IFERROR(__xludf.DUMMYFUNCTION("""COMPUTED_VALUE"""),"#REF!")</f>
        <v>#REF!</v>
      </c>
      <c r="N5620" s="17"/>
      <c r="O5620" s="17"/>
      <c r="P5620" s="17" t="b">
        <f>IFERROR(__xludf.DUMMYFUNCTION("""COMPUTED_VALUE"""),FALSE)</f>
        <v>0</v>
      </c>
      <c r="Q5620" s="20" t="str">
        <f>IFERROR(__xludf.DUMMYFUNCTION("""COMPUTED_VALUE"""),"")</f>
        <v/>
      </c>
      <c r="R5620" s="21" t="str">
        <f>IFERROR(__xludf.DUMMYFUNCTION("""COMPUTED_VALUE"""),"https://drive.google.com/file/d/1kSfLDqzRolOdo3cnukF7_QV7XuIEXwmd/view?usp=drivesdk")</f>
        <v>https://drive.google.com/file/d/1kSfLDqzRolOdo3cnukF7_QV7XuIEXwmd/view?usp=drivesdk</v>
      </c>
    </row>
    <row r="5621">
      <c r="A5621" s="15">
        <f>IFERROR(__xludf.DUMMYFUNCTION("""COMPUTED_VALUE"""),45163.0)</f>
        <v>45163</v>
      </c>
      <c r="B5621" s="16" t="str">
        <f>IFERROR(__xludf.DUMMYFUNCTION("""COMPUTED_VALUE"""),"Envia")</f>
        <v>Envia</v>
      </c>
      <c r="C5621" s="15" t="str">
        <f>IFERROR(__xludf.DUMMYFUNCTION("""COMPUTED_VALUE"""),"CALI")</f>
        <v>CALI</v>
      </c>
      <c r="D5621" s="15" t="str">
        <f>IFERROR(__xludf.DUMMYFUNCTION("""COMPUTED_VALUE"""),"BOGOTÁ")</f>
        <v>BOGOTÁ</v>
      </c>
      <c r="E5621" s="15" t="str">
        <f>IFERROR(__xludf.DUMMYFUNCTION("""COMPUTED_VALUE"""),"Chocao")</f>
        <v>Chocao</v>
      </c>
      <c r="F5621" s="17" t="str">
        <f>IFERROR(__xludf.DUMMYFUNCTION("""COMPUTED_VALUE"""),"Calle 51 norte # 3 / B/ La Flora int 8  / restaurante")</f>
        <v>Calle 51 norte # 3 / B/ La Flora int 8  / restaurante</v>
      </c>
      <c r="G5621" s="15" t="str">
        <f>IFERROR(__xludf.DUMMYFUNCTION("""COMPUTED_VALUE"""),"Edgar Mejia de Pop Lovers")</f>
        <v>Edgar Mejia de Pop Lovers</v>
      </c>
      <c r="H5621" s="16">
        <f>IFERROR(__xludf.DUMMYFUNCTION("""COMPUTED_VALUE"""),14389.0)</f>
        <v>14389</v>
      </c>
      <c r="I5621" s="18">
        <f>IFERROR(__xludf.DUMMYFUNCTION("""COMPUTED_VALUE"""),20.0)</f>
        <v>20</v>
      </c>
      <c r="J5621" s="18">
        <f>IFERROR(__xludf.DUMMYFUNCTION("""COMPUTED_VALUE"""),30.0)</f>
        <v>30</v>
      </c>
      <c r="K5621" s="18">
        <f>IFERROR(__xludf.DUMMYFUNCTION("""COMPUTED_VALUE"""),40.0)</f>
        <v>40</v>
      </c>
      <c r="L5621" s="17">
        <f>IFERROR(__xludf.DUMMYFUNCTION("""COMPUTED_VALUE"""),3.192525211E9)</f>
        <v>3192525211</v>
      </c>
      <c r="M5621" s="17" t="str">
        <f>IFERROR(__xludf.DUMMYFUNCTION("""COMPUTED_VALUE"""),"#REF!")</f>
        <v>#REF!</v>
      </c>
      <c r="N5621" s="17"/>
      <c r="O5621" s="17"/>
      <c r="P5621" s="17" t="b">
        <f>IFERROR(__xludf.DUMMYFUNCTION("""COMPUTED_VALUE"""),FALSE)</f>
        <v>0</v>
      </c>
      <c r="Q5621" s="20" t="str">
        <f>IFERROR(__xludf.DUMMYFUNCTION("""COMPUTED_VALUE"""),"")</f>
        <v/>
      </c>
      <c r="R5621" s="22" t="str">
        <f>IFERROR(__xludf.DUMMYFUNCTION("""COMPUTED_VALUE"""),"")</f>
        <v/>
      </c>
    </row>
    <row r="5622">
      <c r="A5622" s="15">
        <f>IFERROR(__xludf.DUMMYFUNCTION("""COMPUTED_VALUE"""),45163.0)</f>
        <v>45163</v>
      </c>
      <c r="B5622" s="16" t="str">
        <f>IFERROR(__xludf.DUMMYFUNCTION("""COMPUTED_VALUE"""),"Envia")</f>
        <v>Envia</v>
      </c>
      <c r="C5622" s="15" t="str">
        <f>IFERROR(__xludf.DUMMYFUNCTION("""COMPUTED_VALUE"""),"CALI")</f>
        <v>CALI</v>
      </c>
      <c r="D5622" s="15" t="str">
        <f>IFERROR(__xludf.DUMMYFUNCTION("""COMPUTED_VALUE"""),"BOGOTÁ")</f>
        <v>BOGOTÁ</v>
      </c>
      <c r="E5622" s="15" t="str">
        <f>IFERROR(__xludf.DUMMYFUNCTION("""COMPUTED_VALUE"""),"Renata")</f>
        <v>Renata</v>
      </c>
      <c r="F5622" s="17" t="str">
        <f>IFERROR(__xludf.DUMMYFUNCTION("""COMPUTED_VALUE"""),"Carrera 3#3a-83 / Patio 34 food containers -restaurante  / San Fernando")</f>
        <v>Carrera 3#3a-83 / Patio 34 food containers -restaurante  / San Fernando</v>
      </c>
      <c r="G5622" s="15" t="str">
        <f>IFERROR(__xludf.DUMMYFUNCTION("""COMPUTED_VALUE"""),"Retaco sas")</f>
        <v>Retaco sas</v>
      </c>
      <c r="H5622" s="16">
        <f>IFERROR(__xludf.DUMMYFUNCTION("""COMPUTED_VALUE"""),14379.0)</f>
        <v>14379</v>
      </c>
      <c r="I5622" s="18">
        <f>IFERROR(__xludf.DUMMYFUNCTION("""COMPUTED_VALUE"""),90.0)</f>
        <v>90</v>
      </c>
      <c r="J5622" s="18">
        <f>IFERROR(__xludf.DUMMYFUNCTION("""COMPUTED_VALUE"""),70.0)</f>
        <v>70</v>
      </c>
      <c r="K5622" s="18">
        <f>IFERROR(__xludf.DUMMYFUNCTION("""COMPUTED_VALUE"""),60.0)</f>
        <v>60</v>
      </c>
      <c r="L5622" s="17">
        <f>IFERROR(__xludf.DUMMYFUNCTION("""COMPUTED_VALUE"""),3.134720976E9)</f>
        <v>3134720976</v>
      </c>
      <c r="M5622" s="17" t="str">
        <f>IFERROR(__xludf.DUMMYFUNCTION("""COMPUTED_VALUE"""),"#REF!")</f>
        <v>#REF!</v>
      </c>
      <c r="N5622" s="17"/>
      <c r="O5622" s="17"/>
      <c r="P5622" s="17" t="b">
        <f>IFERROR(__xludf.DUMMYFUNCTION("""COMPUTED_VALUE"""),FALSE)</f>
        <v>0</v>
      </c>
      <c r="Q5622" s="20" t="str">
        <f>IFERROR(__xludf.DUMMYFUNCTION("""COMPUTED_VALUE"""),"")</f>
        <v/>
      </c>
      <c r="R5622" s="22" t="str">
        <f>IFERROR(__xludf.DUMMYFUNCTION("""COMPUTED_VALUE"""),"")</f>
        <v/>
      </c>
    </row>
    <row r="5623">
      <c r="A5623" s="15">
        <f>IFERROR(__xludf.DUMMYFUNCTION("""COMPUTED_VALUE"""),45163.0)</f>
        <v>45163</v>
      </c>
      <c r="B5623" s="16" t="str">
        <f>IFERROR(__xludf.DUMMYFUNCTION("""COMPUTED_VALUE"""),"Envia")</f>
        <v>Envia</v>
      </c>
      <c r="C5623" s="15" t="str">
        <f>IFERROR(__xludf.DUMMYFUNCTION("""COMPUTED_VALUE"""),"CALI")</f>
        <v>CALI</v>
      </c>
      <c r="D5623" s="15" t="str">
        <f>IFERROR(__xludf.DUMMYFUNCTION("""COMPUTED_VALUE"""),"MEDELLÍN")</f>
        <v>MEDELLÍN</v>
      </c>
      <c r="E5623" s="15" t="str">
        <f>IFERROR(__xludf.DUMMYFUNCTION("""COMPUTED_VALUE"""),"Helados swip")</f>
        <v>Helados swip</v>
      </c>
      <c r="F5623" s="17" t="str">
        <f>IFERROR(__xludf.DUMMYFUNCTION("""COMPUTED_VALUE"""),"AV 4 NORTE # 7N 46  / LOCAL 129 / C.C CENTENARIO")</f>
        <v>AV 4 NORTE # 7N 46  / LOCAL 129 / C.C CENTENARIO</v>
      </c>
      <c r="G5623" s="15" t="str">
        <f>IFERROR(__xludf.DUMMYFUNCTION("""COMPUTED_VALUE"""),"VITAFITNESS")</f>
        <v>VITAFITNESS</v>
      </c>
      <c r="H5623" s="16">
        <f>IFERROR(__xludf.DUMMYFUNCTION("""COMPUTED_VALUE"""),14380.0)</f>
        <v>14380</v>
      </c>
      <c r="I5623" s="18">
        <f>IFERROR(__xludf.DUMMYFUNCTION("""COMPUTED_VALUE"""),29.0)</f>
        <v>29</v>
      </c>
      <c r="J5623" s="18">
        <f>IFERROR(__xludf.DUMMYFUNCTION("""COMPUTED_VALUE"""),55.0)</f>
        <v>55</v>
      </c>
      <c r="K5623" s="18">
        <f>IFERROR(__xludf.DUMMYFUNCTION("""COMPUTED_VALUE"""),45.0)</f>
        <v>45</v>
      </c>
      <c r="L5623" s="17">
        <f>IFERROR(__xludf.DUMMYFUNCTION("""COMPUTED_VALUE"""),3.10443232E9)</f>
        <v>3104432320</v>
      </c>
      <c r="M5623" s="17" t="str">
        <f>IFERROR(__xludf.DUMMYFUNCTION("""COMPUTED_VALUE"""),"#REF!")</f>
        <v>#REF!</v>
      </c>
      <c r="N5623" s="17"/>
      <c r="O5623" s="17"/>
      <c r="P5623" s="17" t="b">
        <f>IFERROR(__xludf.DUMMYFUNCTION("""COMPUTED_VALUE"""),FALSE)</f>
        <v>0</v>
      </c>
      <c r="Q5623" s="20" t="str">
        <f>IFERROR(__xludf.DUMMYFUNCTION("""COMPUTED_VALUE"""),"")</f>
        <v/>
      </c>
      <c r="R5623" s="22" t="str">
        <f>IFERROR(__xludf.DUMMYFUNCTION("""COMPUTED_VALUE"""),"")</f>
        <v/>
      </c>
    </row>
    <row r="5624">
      <c r="A5624" s="15">
        <f>IFERROR(__xludf.DUMMYFUNCTION("""COMPUTED_VALUE"""),45163.0)</f>
        <v>45163</v>
      </c>
      <c r="B5624" s="16" t="str">
        <f>IFERROR(__xludf.DUMMYFUNCTION("""COMPUTED_VALUE"""),"Envia")</f>
        <v>Envia</v>
      </c>
      <c r="C5624" s="15" t="str">
        <f>IFERROR(__xludf.DUMMYFUNCTION("""COMPUTED_VALUE"""),"CÚCUTA")</f>
        <v>CÚCUTA</v>
      </c>
      <c r="D5624" s="15" t="str">
        <f>IFERROR(__xludf.DUMMYFUNCTION("""COMPUTED_VALUE"""),"BOGOTÁ")</f>
        <v>BOGOTÁ</v>
      </c>
      <c r="E5624" s="15" t="str">
        <f>IFERROR(__xludf.DUMMYFUNCTION("""COMPUTED_VALUE"""),"Asociacion Agropecuaria Juana Maria")</f>
        <v>Asociacion Agropecuaria Juana Maria</v>
      </c>
      <c r="F5624" s="17" t="str">
        <f>IFERROR(__xludf.DUMMYFUNCTION("""COMPUTED_VALUE"""),"AV. 2E # 15 A -17   PISTACHO FIT MARKET BARRIO CAOBOS")</f>
        <v>AV. 2E # 15 A -17   PISTACHO FIT MARKET BARRIO CAOBOS</v>
      </c>
      <c r="G5624" s="15" t="str">
        <f>IFERROR(__xludf.DUMMYFUNCTION("""COMPUTED_VALUE"""),"DACCY KARINA LOPEZ")</f>
        <v>DACCY KARINA LOPEZ</v>
      </c>
      <c r="H5624" s="16">
        <f>IFERROR(__xludf.DUMMYFUNCTION("""COMPUTED_VALUE"""),14168.0)</f>
        <v>14168</v>
      </c>
      <c r="I5624" s="18">
        <f>IFERROR(__xludf.DUMMYFUNCTION("""COMPUTED_VALUE"""),36.0)</f>
        <v>36</v>
      </c>
      <c r="J5624" s="18">
        <f>IFERROR(__xludf.DUMMYFUNCTION("""COMPUTED_VALUE"""),25.0)</f>
        <v>25</v>
      </c>
      <c r="K5624" s="18">
        <f>IFERROR(__xludf.DUMMYFUNCTION("""COMPUTED_VALUE"""),3.0)</f>
        <v>3</v>
      </c>
      <c r="L5624" s="17">
        <f>IFERROR(__xludf.DUMMYFUNCTION("""COMPUTED_VALUE"""),3.208615379E9)</f>
        <v>3208615379</v>
      </c>
      <c r="M5624" s="17" t="str">
        <f>IFERROR(__xludf.DUMMYFUNCTION("""COMPUTED_VALUE"""),"#REF!")</f>
        <v>#REF!</v>
      </c>
      <c r="N5624" s="17"/>
      <c r="O5624" s="17"/>
      <c r="P5624" s="17" t="b">
        <f>IFERROR(__xludf.DUMMYFUNCTION("""COMPUTED_VALUE"""),FALSE)</f>
        <v>0</v>
      </c>
      <c r="Q5624" s="20" t="str">
        <f>IFERROR(__xludf.DUMMYFUNCTION("""COMPUTED_VALUE"""),"")</f>
        <v/>
      </c>
      <c r="R5624" s="22" t="str">
        <f>IFERROR(__xludf.DUMMYFUNCTION("""COMPUTED_VALUE"""),"")</f>
        <v/>
      </c>
    </row>
    <row r="5625">
      <c r="A5625" s="15">
        <f>IFERROR(__xludf.DUMMYFUNCTION("""COMPUTED_VALUE"""),45163.0)</f>
        <v>45163</v>
      </c>
      <c r="B5625" s="16" t="str">
        <f>IFERROR(__xludf.DUMMYFUNCTION("""COMPUTED_VALUE"""),"Envia")</f>
        <v>Envia</v>
      </c>
      <c r="C5625" s="15" t="str">
        <f>IFERROR(__xludf.DUMMYFUNCTION("""COMPUTED_VALUE"""),"CÚCUTA")</f>
        <v>CÚCUTA</v>
      </c>
      <c r="D5625" s="15" t="str">
        <f>IFERROR(__xludf.DUMMYFUNCTION("""COMPUTED_VALUE"""),"MEDELLÍN")</f>
        <v>MEDELLÍN</v>
      </c>
      <c r="E5625" s="15" t="str">
        <f>IFERROR(__xludf.DUMMYFUNCTION("""COMPUTED_VALUE"""),"AREPAS LA MARY")</f>
        <v>AREPAS LA MARY</v>
      </c>
      <c r="F5625" s="17" t="str">
        <f>IFERROR(__xludf.DUMMYFUNCTION("""COMPUTED_VALUE"""),"AV. 11E N.1 35 AV. GUAIMARAL LC 3")</f>
        <v>AV. 11E N.1 35 AV. GUAIMARAL LC 3</v>
      </c>
      <c r="G5625" s="15" t="str">
        <f>IFERROR(__xludf.DUMMYFUNCTION("""COMPUTED_VALUE"""),"VITALFIT CUCUTA")</f>
        <v>VITALFIT CUCUTA</v>
      </c>
      <c r="H5625" s="16">
        <f>IFERROR(__xludf.DUMMYFUNCTION("""COMPUTED_VALUE"""),14314.0)</f>
        <v>14314</v>
      </c>
      <c r="I5625" s="18">
        <f>IFERROR(__xludf.DUMMYFUNCTION("""COMPUTED_VALUE"""),89.0)</f>
        <v>89</v>
      </c>
      <c r="J5625" s="18">
        <f>IFERROR(__xludf.DUMMYFUNCTION("""COMPUTED_VALUE"""),1.0)</f>
        <v>1</v>
      </c>
      <c r="K5625" s="18">
        <f>IFERROR(__xludf.DUMMYFUNCTION("""COMPUTED_VALUE"""),10.0)</f>
        <v>10</v>
      </c>
      <c r="L5625" s="17">
        <f>IFERROR(__xludf.DUMMYFUNCTION("""COMPUTED_VALUE"""),3.01782078E9)</f>
        <v>3017820780</v>
      </c>
      <c r="M5625" s="17" t="str">
        <f>IFERROR(__xludf.DUMMYFUNCTION("""COMPUTED_VALUE"""),"#REF!")</f>
        <v>#REF!</v>
      </c>
      <c r="N5625" s="17"/>
      <c r="O5625" s="17"/>
      <c r="P5625" s="17" t="b">
        <f>IFERROR(__xludf.DUMMYFUNCTION("""COMPUTED_VALUE"""),FALSE)</f>
        <v>0</v>
      </c>
      <c r="Q5625" s="20" t="str">
        <f>IFERROR(__xludf.DUMMYFUNCTION("""COMPUTED_VALUE"""),"")</f>
        <v/>
      </c>
      <c r="R5625" s="22" t="str">
        <f>IFERROR(__xludf.DUMMYFUNCTION("""COMPUTED_VALUE"""),"")</f>
        <v/>
      </c>
    </row>
    <row r="5626">
      <c r="A5626" s="15">
        <f>IFERROR(__xludf.DUMMYFUNCTION("""COMPUTED_VALUE"""),45163.0)</f>
        <v>45163</v>
      </c>
      <c r="B5626" s="16" t="str">
        <f>IFERROR(__xludf.DUMMYFUNCTION("""COMPUTED_VALUE"""),"Envia")</f>
        <v>Envia</v>
      </c>
      <c r="C5626" s="15" t="str">
        <f>IFERROR(__xludf.DUMMYFUNCTION("""COMPUTED_VALUE"""),"CÚCUTA")</f>
        <v>CÚCUTA</v>
      </c>
      <c r="D5626" s="15" t="str">
        <f>IFERROR(__xludf.DUMMYFUNCTION("""COMPUTED_VALUE"""),"MEDELLÍN")</f>
        <v>MEDELLÍN</v>
      </c>
      <c r="E5626" s="15" t="str">
        <f>IFERROR(__xludf.DUMMYFUNCTION("""COMPUTED_VALUE"""),"Momo Tea S.A.S Gabriel Echavarría")</f>
        <v>Momo Tea S.A.S Gabriel Echavarría</v>
      </c>
      <c r="F5626" s="17" t="str">
        <f>IFERROR(__xludf.DUMMYFUNCTION("""COMPUTED_VALUE"""),"CL 11 N 16 E 35 / CA B 1")</f>
        <v>CL 11 N 16 E 35 / CA B 1</v>
      </c>
      <c r="G5626" s="15" t="str">
        <f>IFERROR(__xludf.DUMMYFUNCTION("""COMPUTED_VALUE"""),"Gabriel Echavarría")</f>
        <v>Gabriel Echavarría</v>
      </c>
      <c r="H5626" s="16">
        <f>IFERROR(__xludf.DUMMYFUNCTION("""COMPUTED_VALUE"""),14338.0)</f>
        <v>14338</v>
      </c>
      <c r="I5626" s="18">
        <f>IFERROR(__xludf.DUMMYFUNCTION("""COMPUTED_VALUE"""),21.0)</f>
        <v>21</v>
      </c>
      <c r="J5626" s="18">
        <f>IFERROR(__xludf.DUMMYFUNCTION("""COMPUTED_VALUE"""),29.0)</f>
        <v>29</v>
      </c>
      <c r="K5626" s="18">
        <f>IFERROR(__xludf.DUMMYFUNCTION("""COMPUTED_VALUE"""),29.0)</f>
        <v>29</v>
      </c>
      <c r="L5626" s="17">
        <f>IFERROR(__xludf.DUMMYFUNCTION("""COMPUTED_VALUE"""),3.017909548E9)</f>
        <v>3017909548</v>
      </c>
      <c r="M5626" s="17" t="str">
        <f>IFERROR(__xludf.DUMMYFUNCTION("""COMPUTED_VALUE"""),"#REF!")</f>
        <v>#REF!</v>
      </c>
      <c r="N5626" s="17"/>
      <c r="O5626" s="17"/>
      <c r="P5626" s="17" t="b">
        <f>IFERROR(__xludf.DUMMYFUNCTION("""COMPUTED_VALUE"""),FALSE)</f>
        <v>0</v>
      </c>
      <c r="Q5626" s="20" t="str">
        <f>IFERROR(__xludf.DUMMYFUNCTION("""COMPUTED_VALUE"""),"")</f>
        <v/>
      </c>
      <c r="R5626" s="22" t="str">
        <f>IFERROR(__xludf.DUMMYFUNCTION("""COMPUTED_VALUE"""),"")</f>
        <v/>
      </c>
    </row>
    <row r="5627">
      <c r="A5627" s="15">
        <f>IFERROR(__xludf.DUMMYFUNCTION("""COMPUTED_VALUE"""),45163.0)</f>
        <v>45163</v>
      </c>
      <c r="B5627" s="16" t="str">
        <f>IFERROR(__xludf.DUMMYFUNCTION("""COMPUTED_VALUE"""),"Envia")</f>
        <v>Envia</v>
      </c>
      <c r="C5627" s="15" t="str">
        <f>IFERROR(__xludf.DUMMYFUNCTION("""COMPUTED_VALUE"""),"FLORIDABLANCA")</f>
        <v>FLORIDABLANCA</v>
      </c>
      <c r="D5627" s="15" t="str">
        <f>IFERROR(__xludf.DUMMYFUNCTION("""COMPUTED_VALUE"""),"BOGOTÁ")</f>
        <v>BOGOTÁ</v>
      </c>
      <c r="E5627" s="15" t="str">
        <f>IFERROR(__xludf.DUMMYFUNCTION("""COMPUTED_VALUE"""),"Evamazzita")</f>
        <v>Evamazzita</v>
      </c>
      <c r="F5627" s="17" t="str">
        <f>IFERROR(__xludf.DUMMYFUNCTION("""COMPUTED_VALUE"""),"Transversal 154 # 24-125  / Torre 1 Apto 1003 Conjunto Vista azul campestre  / Conjunto Vista azul campestre """)</f>
        <v>Transversal 154 # 24-125  / Torre 1 Apto 1003 Conjunto Vista azul campestre  / Conjunto Vista azul campestre "</v>
      </c>
      <c r="G5627" s="15" t="str">
        <f>IFERROR(__xludf.DUMMYFUNCTION("""COMPUTED_VALUE"""),"LEIDY TRESPALACIOS")</f>
        <v>LEIDY TRESPALACIOS</v>
      </c>
      <c r="H5627" s="16">
        <f>IFERROR(__xludf.DUMMYFUNCTION("""COMPUTED_VALUE"""),14370.0)</f>
        <v>14370</v>
      </c>
      <c r="I5627" s="18">
        <f>IFERROR(__xludf.DUMMYFUNCTION("""COMPUTED_VALUE"""),1.0)</f>
        <v>1</v>
      </c>
      <c r="J5627" s="18">
        <f>IFERROR(__xludf.DUMMYFUNCTION("""COMPUTED_VALUE"""),1.0)</f>
        <v>1</v>
      </c>
      <c r="K5627" s="18">
        <f>IFERROR(__xludf.DUMMYFUNCTION("""COMPUTED_VALUE"""),1.0)</f>
        <v>1</v>
      </c>
      <c r="L5627" s="17">
        <f>IFERROR(__xludf.DUMMYFUNCTION("""COMPUTED_VALUE"""),3.173768302E9)</f>
        <v>3173768302</v>
      </c>
      <c r="M5627" s="17" t="str">
        <f>IFERROR(__xludf.DUMMYFUNCTION("""COMPUTED_VALUE"""),"#REF!")</f>
        <v>#REF!</v>
      </c>
      <c r="N5627" s="17"/>
      <c r="O5627" s="17"/>
      <c r="P5627" s="17" t="b">
        <f>IFERROR(__xludf.DUMMYFUNCTION("""COMPUTED_VALUE"""),FALSE)</f>
        <v>0</v>
      </c>
      <c r="Q5627" s="20" t="str">
        <f>IFERROR(__xludf.DUMMYFUNCTION("""COMPUTED_VALUE"""),"")</f>
        <v/>
      </c>
      <c r="R5627" s="21" t="str">
        <f>IFERROR(__xludf.DUMMYFUNCTION("""COMPUTED_VALUE"""),"https://drive.google.com/file/d/1XgF2okZ55d3cbi-hZ0RvXDlFHTX1mIAY/view?usp=drivesdk")</f>
        <v>https://drive.google.com/file/d/1XgF2okZ55d3cbi-hZ0RvXDlFHTX1mIAY/view?usp=drivesdk</v>
      </c>
    </row>
    <row r="5628">
      <c r="A5628" s="15">
        <f>IFERROR(__xludf.DUMMYFUNCTION("""COMPUTED_VALUE"""),45163.0)</f>
        <v>45163</v>
      </c>
      <c r="B5628" s="16" t="str">
        <f>IFERROR(__xludf.DUMMYFUNCTION("""COMPUTED_VALUE"""),"Envia")</f>
        <v>Envia</v>
      </c>
      <c r="C5628" s="15" t="str">
        <f>IFERROR(__xludf.DUMMYFUNCTION("""COMPUTED_VALUE"""),"MEDELLÍN")</f>
        <v>MEDELLÍN</v>
      </c>
      <c r="D5628" s="15" t="str">
        <f>IFERROR(__xludf.DUMMYFUNCTION("""COMPUTED_VALUE"""),"BOGOTÁ")</f>
        <v>BOGOTÁ</v>
      </c>
      <c r="E5628" s="15" t="str">
        <f>IFERROR(__xludf.DUMMYFUNCTION("""COMPUTED_VALUE"""),"Browreos")</f>
        <v>Browreos</v>
      </c>
      <c r="F5628" s="17" t="str">
        <f>IFERROR(__xludf.DUMMYFUNCTION("""COMPUTED_VALUE"""),"Cra 82 #9A sur - 79 / Apto308 / Urbanización Florence - Barrio rodeo alto")</f>
        <v>Cra 82 #9A sur - 79 / Apto308 / Urbanización Florence - Barrio rodeo alto</v>
      </c>
      <c r="G5628" s="15" t="str">
        <f>IFERROR(__xludf.DUMMYFUNCTION("""COMPUTED_VALUE"""),"Camilo Medina")</f>
        <v>Camilo Medina</v>
      </c>
      <c r="H5628" s="16">
        <f>IFERROR(__xludf.DUMMYFUNCTION("""COMPUTED_VALUE"""),14362.0)</f>
        <v>14362</v>
      </c>
      <c r="I5628" s="18">
        <f>IFERROR(__xludf.DUMMYFUNCTION("""COMPUTED_VALUE"""),3.0)</f>
        <v>3</v>
      </c>
      <c r="J5628" s="18">
        <f>IFERROR(__xludf.DUMMYFUNCTION("""COMPUTED_VALUE"""),10.0)</f>
        <v>10</v>
      </c>
      <c r="K5628" s="18">
        <f>IFERROR(__xludf.DUMMYFUNCTION("""COMPUTED_VALUE"""),45059.0)</f>
        <v>45059</v>
      </c>
      <c r="L5628" s="17">
        <f>IFERROR(__xludf.DUMMYFUNCTION("""COMPUTED_VALUE"""),3.138738943E9)</f>
        <v>3138738943</v>
      </c>
      <c r="M5628" s="17" t="str">
        <f>IFERROR(__xludf.DUMMYFUNCTION("""COMPUTED_VALUE"""),"#REF!")</f>
        <v>#REF!</v>
      </c>
      <c r="N5628" s="17"/>
      <c r="O5628" s="17"/>
      <c r="P5628" s="17" t="b">
        <f>IFERROR(__xludf.DUMMYFUNCTION("""COMPUTED_VALUE"""),FALSE)</f>
        <v>0</v>
      </c>
      <c r="Q5628" s="20" t="str">
        <f>IFERROR(__xludf.DUMMYFUNCTION("""COMPUTED_VALUE"""),"")</f>
        <v/>
      </c>
      <c r="R5628" s="21" t="str">
        <f>IFERROR(__xludf.DUMMYFUNCTION("""COMPUTED_VALUE"""),"https://drive.google.com/file/d/14YiC36a9R4X3U0ys0oj59y_EYIISUffi/view?usp=drivesdk")</f>
        <v>https://drive.google.com/file/d/14YiC36a9R4X3U0ys0oj59y_EYIISUffi/view?usp=drivesdk</v>
      </c>
    </row>
    <row r="5629">
      <c r="A5629" s="15">
        <f>IFERROR(__xludf.DUMMYFUNCTION("""COMPUTED_VALUE"""),45163.0)</f>
        <v>45163</v>
      </c>
      <c r="B5629" s="16" t="str">
        <f>IFERROR(__xludf.DUMMYFUNCTION("""COMPUTED_VALUE"""),"Envia")</f>
        <v>Envia</v>
      </c>
      <c r="C5629" s="15" t="str">
        <f>IFERROR(__xludf.DUMMYFUNCTION("""COMPUTED_VALUE"""),"MEDELLÍN")</f>
        <v>MEDELLÍN</v>
      </c>
      <c r="D5629" s="15" t="str">
        <f>IFERROR(__xludf.DUMMYFUNCTION("""COMPUTED_VALUE"""),"BOGOTÁ")</f>
        <v>BOGOTÁ</v>
      </c>
      <c r="E5629" s="15" t="str">
        <f>IFERROR(__xludf.DUMMYFUNCTION("""COMPUTED_VALUE"""),"Magda")</f>
        <v>Magda</v>
      </c>
      <c r="F5629" s="17" t="str">
        <f>IFERROR(__xludf.DUMMYFUNCTION("""COMPUTED_VALUE"""),"Calle 10 # 52 A 18 / Centro integral la 10 int. 109 / Guayabal")</f>
        <v>Calle 10 # 52 A 18 / Centro integral la 10 int. 109 / Guayabal</v>
      </c>
      <c r="G5629" s="15" t="str">
        <f>IFERROR(__xludf.DUMMYFUNCTION("""COMPUTED_VALUE"""),"Mariana Isaza")</f>
        <v>Mariana Isaza</v>
      </c>
      <c r="H5629" s="16">
        <f>IFERROR(__xludf.DUMMYFUNCTION("""COMPUTED_VALUE"""),14396.0)</f>
        <v>14396</v>
      </c>
      <c r="I5629" s="18">
        <f>IFERROR(__xludf.DUMMYFUNCTION("""COMPUTED_VALUE"""),5.0)</f>
        <v>5</v>
      </c>
      <c r="J5629" s="18">
        <f>IFERROR(__xludf.DUMMYFUNCTION("""COMPUTED_VALUE"""),5.0)</f>
        <v>5</v>
      </c>
      <c r="K5629" s="18">
        <f>IFERROR(__xludf.DUMMYFUNCTION("""COMPUTED_VALUE"""),5.0)</f>
        <v>5</v>
      </c>
      <c r="L5629" s="17">
        <f>IFERROR(__xludf.DUMMYFUNCTION("""COMPUTED_VALUE"""),3.122581483E9)</f>
        <v>3122581483</v>
      </c>
      <c r="M5629" s="17" t="str">
        <f>IFERROR(__xludf.DUMMYFUNCTION("""COMPUTED_VALUE"""),"#REF!")</f>
        <v>#REF!</v>
      </c>
      <c r="N5629" s="17"/>
      <c r="O5629" s="17"/>
      <c r="P5629" s="17" t="b">
        <f>IFERROR(__xludf.DUMMYFUNCTION("""COMPUTED_VALUE"""),FALSE)</f>
        <v>0</v>
      </c>
      <c r="Q5629" s="20" t="str">
        <f>IFERROR(__xludf.DUMMYFUNCTION("""COMPUTED_VALUE"""),"")</f>
        <v/>
      </c>
      <c r="R5629" s="22" t="str">
        <f>IFERROR(__xludf.DUMMYFUNCTION("""COMPUTED_VALUE"""),"")</f>
        <v/>
      </c>
    </row>
    <row r="5630">
      <c r="A5630" s="15">
        <f>IFERROR(__xludf.DUMMYFUNCTION("""COMPUTED_VALUE"""),45163.0)</f>
        <v>45163</v>
      </c>
      <c r="B5630" s="16" t="str">
        <f>IFERROR(__xludf.DUMMYFUNCTION("""COMPUTED_VALUE"""),"Envia")</f>
        <v>Envia</v>
      </c>
      <c r="C5630" s="15" t="str">
        <f>IFERROR(__xludf.DUMMYFUNCTION("""COMPUTED_VALUE"""),"MEDELLÍN")</f>
        <v>MEDELLÍN</v>
      </c>
      <c r="D5630" s="15" t="str">
        <f>IFERROR(__xludf.DUMMYFUNCTION("""COMPUTED_VALUE"""),"BOGOTÁ")</f>
        <v>BOGOTÁ</v>
      </c>
      <c r="E5630" s="15" t="str">
        <f>IFERROR(__xludf.DUMMYFUNCTION("""COMPUTED_VALUE"""),"Ventura Productos Arg")</f>
        <v>Ventura Productos Arg</v>
      </c>
      <c r="F5630" s="17" t="str">
        <f>IFERROR(__xludf.DUMMYFUNCTION("""COMPUTED_VALUE"""),"Cll 9 #43b-62 / Casa, GOLPEAR VENTANA, TIMBRE NO FUNCIONA")</f>
        <v>Cll 9 #43b-62 / Casa, GOLPEAR VENTANA, TIMBRE NO FUNCIONA</v>
      </c>
      <c r="G5630" s="15" t="str">
        <f>IFERROR(__xludf.DUMMYFUNCTION("""COMPUTED_VALUE"""),"Leandro Fischman")</f>
        <v>Leandro Fischman</v>
      </c>
      <c r="H5630" s="16">
        <f>IFERROR(__xludf.DUMMYFUNCTION("""COMPUTED_VALUE"""),14352.0)</f>
        <v>14352</v>
      </c>
      <c r="I5630" s="18">
        <f>IFERROR(__xludf.DUMMYFUNCTION("""COMPUTED_VALUE"""),3.0)</f>
        <v>3</v>
      </c>
      <c r="J5630" s="18">
        <f>IFERROR(__xludf.DUMMYFUNCTION("""COMPUTED_VALUE"""),45053.0)</f>
        <v>45053</v>
      </c>
      <c r="K5630" s="18">
        <f>IFERROR(__xludf.DUMMYFUNCTION("""COMPUTED_VALUE"""),22.0)</f>
        <v>22</v>
      </c>
      <c r="L5630" s="17" t="str">
        <f>IFERROR(__xludf.DUMMYFUNCTION("""COMPUTED_VALUE"""),"301 469 3977")</f>
        <v>301 469 3977</v>
      </c>
      <c r="M5630" s="17" t="str">
        <f>IFERROR(__xludf.DUMMYFUNCTION("""COMPUTED_VALUE"""),"#REF!")</f>
        <v>#REF!</v>
      </c>
      <c r="N5630" s="17"/>
      <c r="O5630" s="17"/>
      <c r="P5630" s="17" t="b">
        <f>IFERROR(__xludf.DUMMYFUNCTION("""COMPUTED_VALUE"""),FALSE)</f>
        <v>0</v>
      </c>
      <c r="Q5630" s="20" t="str">
        <f>IFERROR(__xludf.DUMMYFUNCTION("""COMPUTED_VALUE"""),"")</f>
        <v/>
      </c>
      <c r="R5630" s="21" t="str">
        <f>IFERROR(__xludf.DUMMYFUNCTION("""COMPUTED_VALUE"""),"https://drive.google.com/file/d/1vyzupDtx40f762COvur9EV01lVyxfUuP/view?usp=drivesdk")</f>
        <v>https://drive.google.com/file/d/1vyzupDtx40f762COvur9EV01lVyxfUuP/view?usp=drivesdk</v>
      </c>
    </row>
    <row r="5631">
      <c r="A5631" s="15">
        <f>IFERROR(__xludf.DUMMYFUNCTION("""COMPUTED_VALUE"""),45163.0)</f>
        <v>45163</v>
      </c>
      <c r="B5631" s="16" t="str">
        <f>IFERROR(__xludf.DUMMYFUNCTION("""COMPUTED_VALUE"""),"Envia")</f>
        <v>Envia</v>
      </c>
      <c r="C5631" s="15" t="str">
        <f>IFERROR(__xludf.DUMMYFUNCTION("""COMPUTED_VALUE"""),"MEDELLÍN")</f>
        <v>MEDELLÍN</v>
      </c>
      <c r="D5631" s="15" t="str">
        <f>IFERROR(__xludf.DUMMYFUNCTION("""COMPUTED_VALUE"""),"CALI")</f>
        <v>CALI</v>
      </c>
      <c r="E5631" s="15" t="str">
        <f>IFERROR(__xludf.DUMMYFUNCTION("""COMPUTED_VALUE"""),"Juan Campo panadería")</f>
        <v>Juan Campo panadería</v>
      </c>
      <c r="F5631" s="17" t="str">
        <f>IFERROR(__xludf.DUMMYFUNCTION("""COMPUTED_VALUE"""),"CRA 51c # 12b sur - 146 / N.A / San Fernando")</f>
        <v>CRA 51c # 12b sur - 146 / N.A / San Fernando</v>
      </c>
      <c r="G5631" s="15" t="str">
        <f>IFERROR(__xludf.DUMMYFUNCTION("""COMPUTED_VALUE"""),"Compañía de alimentos catering SAS")</f>
        <v>Compañía de alimentos catering SAS</v>
      </c>
      <c r="H5631" s="16">
        <f>IFERROR(__xludf.DUMMYFUNCTION("""COMPUTED_VALUE"""),14382.0)</f>
        <v>14382</v>
      </c>
      <c r="I5631" s="18">
        <f>IFERROR(__xludf.DUMMYFUNCTION("""COMPUTED_VALUE"""),7.0)</f>
        <v>7</v>
      </c>
      <c r="J5631" s="18">
        <f>IFERROR(__xludf.DUMMYFUNCTION("""COMPUTED_VALUE"""),20.0)</f>
        <v>20</v>
      </c>
      <c r="K5631" s="18">
        <f>IFERROR(__xludf.DUMMYFUNCTION("""COMPUTED_VALUE"""),20.0)</f>
        <v>20</v>
      </c>
      <c r="L5631" s="17">
        <f>IFERROR(__xludf.DUMMYFUNCTION("""COMPUTED_VALUE"""),6.043664429E9)</f>
        <v>6043664429</v>
      </c>
      <c r="M5631" s="17" t="str">
        <f>IFERROR(__xludf.DUMMYFUNCTION("""COMPUTED_VALUE"""),"#REF!")</f>
        <v>#REF!</v>
      </c>
      <c r="N5631" s="17"/>
      <c r="O5631" s="17"/>
      <c r="P5631" s="17" t="b">
        <f>IFERROR(__xludf.DUMMYFUNCTION("""COMPUTED_VALUE"""),FALSE)</f>
        <v>0</v>
      </c>
      <c r="Q5631" s="20" t="str">
        <f>IFERROR(__xludf.DUMMYFUNCTION("""COMPUTED_VALUE"""),"")</f>
        <v/>
      </c>
      <c r="R5631" s="22" t="str">
        <f>IFERROR(__xludf.DUMMYFUNCTION("""COMPUTED_VALUE"""),"")</f>
        <v/>
      </c>
    </row>
    <row r="5632">
      <c r="A5632" s="15">
        <f>IFERROR(__xludf.DUMMYFUNCTION("""COMPUTED_VALUE"""),45163.0)</f>
        <v>45163</v>
      </c>
      <c r="B5632" s="16" t="str">
        <f>IFERROR(__xludf.DUMMYFUNCTION("""COMPUTED_VALUE"""),"Envia")</f>
        <v>Envia</v>
      </c>
      <c r="C5632" s="15" t="str">
        <f>IFERROR(__xludf.DUMMYFUNCTION("""COMPUTED_VALUE"""),"SANTA MARTA")</f>
        <v>SANTA MARTA</v>
      </c>
      <c r="D5632" s="15" t="str">
        <f>IFERROR(__xludf.DUMMYFUNCTION("""COMPUTED_VALUE"""),"BOGOTÁ")</f>
        <v>BOGOTÁ</v>
      </c>
      <c r="E5632" s="15" t="str">
        <f>IFERROR(__xludf.DUMMYFUNCTION("""COMPUTED_VALUE"""),"Loomifoods")</f>
        <v>Loomifoods</v>
      </c>
      <c r="F5632" s="17" t="str">
        <f>IFERROR(__xludf.DUMMYFUNCTION("""COMPUTED_VALUE"""),"Calle 28e no. 13a - 12 / APTO 2101 / Edificio baltimore")</f>
        <v>Calle 28e no. 13a - 12 / APTO 2101 / Edificio baltimore</v>
      </c>
      <c r="G5632" s="15" t="str">
        <f>IFERROR(__xludf.DUMMYFUNCTION("""COMPUTED_VALUE"""),"Carolina Murcia")</f>
        <v>Carolina Murcia</v>
      </c>
      <c r="H5632" s="16">
        <f>IFERROR(__xludf.DUMMYFUNCTION("""COMPUTED_VALUE"""),14198.0)</f>
        <v>14198</v>
      </c>
      <c r="I5632" s="18">
        <f>IFERROR(__xludf.DUMMYFUNCTION("""COMPUTED_VALUE"""),19.0)</f>
        <v>19</v>
      </c>
      <c r="J5632" s="18">
        <f>IFERROR(__xludf.DUMMYFUNCTION("""COMPUTED_VALUE"""),10.0)</f>
        <v>10</v>
      </c>
      <c r="K5632" s="18">
        <f>IFERROR(__xludf.DUMMYFUNCTION("""COMPUTED_VALUE"""),16.0)</f>
        <v>16</v>
      </c>
      <c r="L5632" s="17">
        <f>IFERROR(__xludf.DUMMYFUNCTION("""COMPUTED_VALUE"""),3.145790696E9)</f>
        <v>3145790696</v>
      </c>
      <c r="M5632" s="17" t="str">
        <f>IFERROR(__xludf.DUMMYFUNCTION("""COMPUTED_VALUE"""),"#REF!")</f>
        <v>#REF!</v>
      </c>
      <c r="N5632" s="17"/>
      <c r="O5632" s="17"/>
      <c r="P5632" s="17" t="b">
        <f>IFERROR(__xludf.DUMMYFUNCTION("""COMPUTED_VALUE"""),FALSE)</f>
        <v>0</v>
      </c>
      <c r="Q5632" s="20" t="str">
        <f>IFERROR(__xludf.DUMMYFUNCTION("""COMPUTED_VALUE"""),"")</f>
        <v/>
      </c>
      <c r="R5632" s="21" t="str">
        <f>IFERROR(__xludf.DUMMYFUNCTION("""COMPUTED_VALUE"""),"https://drive.google.com/file/d/1yblmIXntGL2ukANnx9MzwLrz6eDwhO5d/view?usp=drivesdk")</f>
        <v>https://drive.google.com/file/d/1yblmIXntGL2ukANnx9MzwLrz6eDwhO5d/view?usp=drivesdk</v>
      </c>
    </row>
    <row r="5633">
      <c r="A5633" s="15">
        <f>IFERROR(__xludf.DUMMYFUNCTION("""COMPUTED_VALUE"""),45163.0)</f>
        <v>45163</v>
      </c>
      <c r="B5633" s="16" t="str">
        <f>IFERROR(__xludf.DUMMYFUNCTION("""COMPUTED_VALUE"""),"Envia")</f>
        <v>Envia</v>
      </c>
      <c r="C5633" s="15" t="str">
        <f>IFERROR(__xludf.DUMMYFUNCTION("""COMPUTED_VALUE"""),"SANTA MARTA")</f>
        <v>SANTA MARTA</v>
      </c>
      <c r="D5633" s="15" t="str">
        <f>IFERROR(__xludf.DUMMYFUNCTION("""COMPUTED_VALUE"""),"MEDELLÍN")</f>
        <v>MEDELLÍN</v>
      </c>
      <c r="E5633" s="15" t="str">
        <f>IFERROR(__xludf.DUMMYFUNCTION("""COMPUTED_VALUE"""),"Rambla")</f>
        <v>Rambla</v>
      </c>
      <c r="F5633" s="17" t="str">
        <f>IFERROR(__xludf.DUMMYFUNCTION("""COMPUTED_VALUE"""),"calle 24a #2-39 bella vista ed san marino lc 1 / - / -")</f>
        <v>calle 24a #2-39 bella vista ed san marino lc 1 / - / -</v>
      </c>
      <c r="G5633" s="15" t="str">
        <f>IFERROR(__xludf.DUMMYFUNCTION("""COMPUTED_VALUE"""),"Corozo")</f>
        <v>Corozo</v>
      </c>
      <c r="H5633" s="16">
        <f>IFERROR(__xludf.DUMMYFUNCTION("""COMPUTED_VALUE"""),14330.0)</f>
        <v>14330</v>
      </c>
      <c r="I5633" s="18">
        <f>IFERROR(__xludf.DUMMYFUNCTION("""COMPUTED_VALUE"""),30.0)</f>
        <v>30</v>
      </c>
      <c r="J5633" s="18">
        <f>IFERROR(__xludf.DUMMYFUNCTION("""COMPUTED_VALUE"""),28.0)</f>
        <v>28</v>
      </c>
      <c r="K5633" s="18">
        <f>IFERROR(__xludf.DUMMYFUNCTION("""COMPUTED_VALUE"""),19.0)</f>
        <v>19</v>
      </c>
      <c r="L5633" s="17">
        <f>IFERROR(__xludf.DUMMYFUNCTION("""COMPUTED_VALUE"""),3.206763524E9)</f>
        <v>3206763524</v>
      </c>
      <c r="M5633" s="17" t="str">
        <f>IFERROR(__xludf.DUMMYFUNCTION("""COMPUTED_VALUE"""),"#REF!")</f>
        <v>#REF!</v>
      </c>
      <c r="N5633" s="17"/>
      <c r="O5633" s="17"/>
      <c r="P5633" s="17" t="b">
        <f>IFERROR(__xludf.DUMMYFUNCTION("""COMPUTED_VALUE"""),FALSE)</f>
        <v>0</v>
      </c>
      <c r="Q5633" s="20" t="str">
        <f>IFERROR(__xludf.DUMMYFUNCTION("""COMPUTED_VALUE"""),"")</f>
        <v/>
      </c>
      <c r="R5633" s="21" t="str">
        <f>IFERROR(__xludf.DUMMYFUNCTION("""COMPUTED_VALUE"""),"https://drive.google.com/file/d/1cqhDRKB6waDBAWRCFgHC_DOVxAeP83-1/view?usp=drivesdk")</f>
        <v>https://drive.google.com/file/d/1cqhDRKB6waDBAWRCFgHC_DOVxAeP83-1/view?usp=drivesdk</v>
      </c>
    </row>
    <row r="5634">
      <c r="A5634" s="15">
        <f>IFERROR(__xludf.DUMMYFUNCTION("""COMPUTED_VALUE"""),45163.0)</f>
        <v>45163</v>
      </c>
      <c r="B5634" s="16" t="str">
        <f>IFERROR(__xludf.DUMMYFUNCTION("""COMPUTED_VALUE"""),"Envia")</f>
        <v>Envia</v>
      </c>
      <c r="C5634" s="15" t="str">
        <f>IFERROR(__xludf.DUMMYFUNCTION("""COMPUTED_VALUE"""),"SINCELEJO")</f>
        <v>SINCELEJO</v>
      </c>
      <c r="D5634" s="15" t="str">
        <f>IFERROR(__xludf.DUMMYFUNCTION("""COMPUTED_VALUE"""),"MEDELLÍN")</f>
        <v>MEDELLÍN</v>
      </c>
      <c r="E5634" s="15" t="str">
        <f>IFERROR(__xludf.DUMMYFUNCTION("""COMPUTED_VALUE"""),"Rambla")</f>
        <v>Rambla</v>
      </c>
      <c r="F5634" s="17" t="str">
        <f>IFERROR(__xludf.DUMMYFUNCTION("""COMPUTED_VALUE"""),"Calle 25 # 28b - 194 Barrio el socorro Edificio Juan Pablo II / - / -")</f>
        <v>Calle 25 # 28b - 194 Barrio el socorro Edificio Juan Pablo II / - / -</v>
      </c>
      <c r="G5634" s="15" t="str">
        <f>IFERROR(__xludf.DUMMYFUNCTION("""COMPUTED_VALUE"""),"Nutrefit")</f>
        <v>Nutrefit</v>
      </c>
      <c r="H5634" s="16">
        <f>IFERROR(__xludf.DUMMYFUNCTION("""COMPUTED_VALUE"""),14331.0)</f>
        <v>14331</v>
      </c>
      <c r="I5634" s="18">
        <f>IFERROR(__xludf.DUMMYFUNCTION("""COMPUTED_VALUE"""),22.0)</f>
        <v>22</v>
      </c>
      <c r="J5634" s="18">
        <f>IFERROR(__xludf.DUMMYFUNCTION("""COMPUTED_VALUE"""),26.0)</f>
        <v>26</v>
      </c>
      <c r="K5634" s="18">
        <f>IFERROR(__xludf.DUMMYFUNCTION("""COMPUTED_VALUE"""),19.0)</f>
        <v>19</v>
      </c>
      <c r="L5634" s="17">
        <f>IFERROR(__xludf.DUMMYFUNCTION("""COMPUTED_VALUE"""),3.228516794E9)</f>
        <v>3228516794</v>
      </c>
      <c r="M5634" s="17" t="str">
        <f>IFERROR(__xludf.DUMMYFUNCTION("""COMPUTED_VALUE"""),"#REF!")</f>
        <v>#REF!</v>
      </c>
      <c r="N5634" s="17"/>
      <c r="O5634" s="17"/>
      <c r="P5634" s="17" t="b">
        <f>IFERROR(__xludf.DUMMYFUNCTION("""COMPUTED_VALUE"""),FALSE)</f>
        <v>0</v>
      </c>
      <c r="Q5634" s="20" t="str">
        <f>IFERROR(__xludf.DUMMYFUNCTION("""COMPUTED_VALUE"""),"")</f>
        <v/>
      </c>
      <c r="R5634" s="22" t="str">
        <f>IFERROR(__xludf.DUMMYFUNCTION("""COMPUTED_VALUE"""),"")</f>
        <v/>
      </c>
    </row>
    <row r="5635">
      <c r="A5635" s="17" t="str">
        <f>IFERROR(__xludf.DUMMYFUNCTION("""COMPUTED_VALUE"""),"")</f>
        <v/>
      </c>
      <c r="B5635" s="17" t="str">
        <f>IFERROR(__xludf.DUMMYFUNCTION("""COMPUTED_VALUE"""),"")</f>
        <v/>
      </c>
      <c r="C5635" s="17" t="str">
        <f>IFERROR(__xludf.DUMMYFUNCTION("""COMPUTED_VALUE"""),"")</f>
        <v/>
      </c>
      <c r="D5635" s="17" t="str">
        <f>IFERROR(__xludf.DUMMYFUNCTION("""COMPUTED_VALUE"""),"")</f>
        <v/>
      </c>
      <c r="E5635" s="17" t="str">
        <f>IFERROR(__xludf.DUMMYFUNCTION("""COMPUTED_VALUE"""),"")</f>
        <v/>
      </c>
      <c r="F5635" s="17" t="str">
        <f>IFERROR(__xludf.DUMMYFUNCTION("""COMPUTED_VALUE"""),"")</f>
        <v/>
      </c>
      <c r="G5635" s="17" t="str">
        <f>IFERROR(__xludf.DUMMYFUNCTION("""COMPUTED_VALUE"""),"")</f>
        <v/>
      </c>
      <c r="H5635" s="17" t="str">
        <f>IFERROR(__xludf.DUMMYFUNCTION("""COMPUTED_VALUE"""),"")</f>
        <v/>
      </c>
      <c r="I5635" s="17" t="str">
        <f>IFERROR(__xludf.DUMMYFUNCTION("""COMPUTED_VALUE"""),"")</f>
        <v/>
      </c>
      <c r="J5635" s="17" t="str">
        <f>IFERROR(__xludf.DUMMYFUNCTION("""COMPUTED_VALUE"""),"")</f>
        <v/>
      </c>
      <c r="K5635" s="17" t="str">
        <f>IFERROR(__xludf.DUMMYFUNCTION("""COMPUTED_VALUE"""),"")</f>
        <v/>
      </c>
      <c r="L5635" s="17" t="str">
        <f>IFERROR(__xludf.DUMMYFUNCTION("""COMPUTED_VALUE"""),"")</f>
        <v/>
      </c>
      <c r="M5635" s="17" t="str">
        <f>IFERROR(__xludf.DUMMYFUNCTION("""COMPUTED_VALUE"""),"")</f>
        <v/>
      </c>
      <c r="N5635" s="17" t="str">
        <f>IFERROR(__xludf.DUMMYFUNCTION("""COMPUTED_VALUE"""),"")</f>
        <v/>
      </c>
      <c r="O5635" s="17" t="str">
        <f>IFERROR(__xludf.DUMMYFUNCTION("""COMPUTED_VALUE"""),"")</f>
        <v/>
      </c>
      <c r="P5635" s="17" t="str">
        <f>IFERROR(__xludf.DUMMYFUNCTION("""COMPUTED_VALUE"""),"")</f>
        <v/>
      </c>
      <c r="Q5635" s="17" t="str">
        <f>IFERROR(__xludf.DUMMYFUNCTION("""COMPUTED_VALUE"""),"")</f>
        <v/>
      </c>
      <c r="R5635" s="17" t="str">
        <f>IFERROR(__xludf.DUMMYFUNCTION("""COMPUTED_VALUE"""),"")</f>
        <v/>
      </c>
    </row>
    <row r="5636">
      <c r="A5636" s="15">
        <f>IFERROR(__xludf.DUMMYFUNCTION("""COMPUTED_VALUE"""),45163.0)</f>
        <v>45163</v>
      </c>
      <c r="B5636" s="16" t="str">
        <f>IFERROR(__xludf.DUMMYFUNCTION("""COMPUTED_VALUE"""),"Ivan David Pirela Pirela")</f>
        <v>Ivan David Pirela Pirela</v>
      </c>
      <c r="C5636" s="15" t="str">
        <f>IFERROR(__xludf.DUMMYFUNCTION("""COMPUTED_VALUE"""),"BUCARAMANGA")</f>
        <v>BUCARAMANGA</v>
      </c>
      <c r="D5636" s="15" t="str">
        <f>IFERROR(__xludf.DUMMYFUNCTION("""COMPUTED_VALUE"""),"BOGOTÁ")</f>
        <v>BOGOTÁ</v>
      </c>
      <c r="E5636" s="15" t="str">
        <f>IFERROR(__xludf.DUMMYFUNCTION("""COMPUTED_VALUE"""),"Athenas")</f>
        <v>Athenas</v>
      </c>
      <c r="F5636" s="17" t="str">
        <f>IFERROR(__xludf.DUMMYFUNCTION("""COMPUTED_VALUE"""),"Transversal el bosque #29-145  / local 503 sede  Bodytech caracoli cafeteria / Caracoli")</f>
        <v>Transversal el bosque #29-145  / local 503 sede  Bodytech caracoli cafeteria / Caracoli</v>
      </c>
      <c r="G5636" s="15" t="str">
        <f>IFERROR(__xludf.DUMMYFUNCTION("""COMPUTED_VALUE"""),"Mónica Núñez")</f>
        <v>Mónica Núñez</v>
      </c>
      <c r="H5636" s="16">
        <f>IFERROR(__xludf.DUMMYFUNCTION("""COMPUTED_VALUE"""),14375.0)</f>
        <v>14375</v>
      </c>
      <c r="I5636" s="18">
        <f>IFERROR(__xludf.DUMMYFUNCTION("""COMPUTED_VALUE"""),55.0)</f>
        <v>55</v>
      </c>
      <c r="J5636" s="18">
        <f>IFERROR(__xludf.DUMMYFUNCTION("""COMPUTED_VALUE"""),45.0)</f>
        <v>45</v>
      </c>
      <c r="K5636" s="18">
        <f>IFERROR(__xludf.DUMMYFUNCTION("""COMPUTED_VALUE"""),52.0)</f>
        <v>52</v>
      </c>
      <c r="L5636" s="17">
        <f>IFERROR(__xludf.DUMMYFUNCTION("""COMPUTED_VALUE"""),3.223812644E9)</f>
        <v>3223812644</v>
      </c>
      <c r="M5636" s="17" t="str">
        <f>IFERROR(__xludf.DUMMYFUNCTION("""COMPUTED_VALUE"""),"#REF!")</f>
        <v>#REF!</v>
      </c>
      <c r="N5636" s="17"/>
      <c r="O5636" s="17"/>
      <c r="P5636" s="17" t="b">
        <f>IFERROR(__xludf.DUMMYFUNCTION("""COMPUTED_VALUE"""),FALSE)</f>
        <v>0</v>
      </c>
      <c r="Q5636" s="20" t="str">
        <f>IFERROR(__xludf.DUMMYFUNCTION("""COMPUTED_VALUE"""),"")</f>
        <v/>
      </c>
      <c r="R5636" s="22" t="str">
        <f>IFERROR(__xludf.DUMMYFUNCTION("""COMPUTED_VALUE"""),"")</f>
        <v/>
      </c>
    </row>
    <row r="5637">
      <c r="A5637" s="15">
        <f>IFERROR(__xludf.DUMMYFUNCTION("""COMPUTED_VALUE"""),45163.0)</f>
        <v>45163</v>
      </c>
      <c r="B5637" s="16" t="str">
        <f>IFERROR(__xludf.DUMMYFUNCTION("""COMPUTED_VALUE"""),"Ivan David Pirela Pirela")</f>
        <v>Ivan David Pirela Pirela</v>
      </c>
      <c r="C5637" s="15" t="str">
        <f>IFERROR(__xludf.DUMMYFUNCTION("""COMPUTED_VALUE"""),"BUCARAMANGA")</f>
        <v>BUCARAMANGA</v>
      </c>
      <c r="D5637" s="15" t="str">
        <f>IFERROR(__xludf.DUMMYFUNCTION("""COMPUTED_VALUE"""),"BOGOTÁ")</f>
        <v>BOGOTÁ</v>
      </c>
      <c r="E5637" s="15" t="str">
        <f>IFERROR(__xludf.DUMMYFUNCTION("""COMPUTED_VALUE"""),"Evamazzita")</f>
        <v>Evamazzita</v>
      </c>
      <c r="F5637" s="17" t="str">
        <f>IFERROR(__xludf.DUMMYFUNCTION("""COMPUTED_VALUE"""),"Calle 115 32 08 Barrio NiZa  / Barrio NiZa  / Barrio NiZa")</f>
        <v>Calle 115 32 08 Barrio NiZa  / Barrio NiZa  / Barrio NiZa</v>
      </c>
      <c r="G5637" s="15" t="str">
        <f>IFERROR(__xludf.DUMMYFUNCTION("""COMPUTED_VALUE"""),"DIANA CAROLINA ARIAS ROMERO")</f>
        <v>DIANA CAROLINA ARIAS ROMERO</v>
      </c>
      <c r="H5637" s="16">
        <f>IFERROR(__xludf.DUMMYFUNCTION("""COMPUTED_VALUE"""),14366.0)</f>
        <v>14366</v>
      </c>
      <c r="I5637" s="18">
        <f>IFERROR(__xludf.DUMMYFUNCTION("""COMPUTED_VALUE"""),1.0)</f>
        <v>1</v>
      </c>
      <c r="J5637" s="18">
        <f>IFERROR(__xludf.DUMMYFUNCTION("""COMPUTED_VALUE"""),1.0)</f>
        <v>1</v>
      </c>
      <c r="K5637" s="18">
        <f>IFERROR(__xludf.DUMMYFUNCTION("""COMPUTED_VALUE"""),1.0)</f>
        <v>1</v>
      </c>
      <c r="L5637" s="17">
        <f>IFERROR(__xludf.DUMMYFUNCTION("""COMPUTED_VALUE"""),3.173018251E9)</f>
        <v>3173018251</v>
      </c>
      <c r="M5637" s="17" t="str">
        <f>IFERROR(__xludf.DUMMYFUNCTION("""COMPUTED_VALUE"""),"#REF!")</f>
        <v>#REF!</v>
      </c>
      <c r="N5637" s="17"/>
      <c r="O5637" s="17"/>
      <c r="P5637" s="17" t="b">
        <f>IFERROR(__xludf.DUMMYFUNCTION("""COMPUTED_VALUE"""),FALSE)</f>
        <v>0</v>
      </c>
      <c r="Q5637" s="20" t="str">
        <f>IFERROR(__xludf.DUMMYFUNCTION("""COMPUTED_VALUE"""),"")</f>
        <v/>
      </c>
      <c r="R5637" s="21" t="str">
        <f>IFERROR(__xludf.DUMMYFUNCTION("""COMPUTED_VALUE"""),"https://drive.google.com/file/d/1BWj_-GMRzeC-Wei89YffWyFA_b3HoNci/view?usp=drivesdk")</f>
        <v>https://drive.google.com/file/d/1BWj_-GMRzeC-Wei89YffWyFA_b3HoNci/view?usp=drivesdk</v>
      </c>
    </row>
    <row r="5638">
      <c r="A5638" s="15">
        <f>IFERROR(__xludf.DUMMYFUNCTION("""COMPUTED_VALUE"""),45163.0)</f>
        <v>45163</v>
      </c>
      <c r="B5638" s="16" t="str">
        <f>IFERROR(__xludf.DUMMYFUNCTION("""COMPUTED_VALUE"""),"Ivan David Pirela Pirela")</f>
        <v>Ivan David Pirela Pirela</v>
      </c>
      <c r="C5638" s="15" t="str">
        <f>IFERROR(__xludf.DUMMYFUNCTION("""COMPUTED_VALUE"""),"BUCARAMANGA")</f>
        <v>BUCARAMANGA</v>
      </c>
      <c r="D5638" s="15" t="str">
        <f>IFERROR(__xludf.DUMMYFUNCTION("""COMPUTED_VALUE"""),"BOGOTÁ")</f>
        <v>BOGOTÁ</v>
      </c>
      <c r="E5638" s="15" t="str">
        <f>IFERROR(__xludf.DUMMYFUNCTION("""COMPUTED_VALUE"""),"Evamazzita")</f>
        <v>Evamazzita</v>
      </c>
      <c r="F5638" s="17" t="str">
        <f>IFERROR(__xludf.DUMMYFUNCTION("""COMPUTED_VALUE"""),"CALLE 90 # 20 - 133 BARRIO DIAMANTE 2 /  BARRIO DIAMANTE 2"" / BARRIO DIAMANTE 2""")</f>
        <v>CALLE 90 # 20 - 133 BARRIO DIAMANTE 2 /  BARRIO DIAMANTE 2" / BARRIO DIAMANTE 2"</v>
      </c>
      <c r="G5638" s="15" t="str">
        <f>IFERROR(__xludf.DUMMYFUNCTION("""COMPUTED_VALUE"""),"SILVIA JULIANA RIOS")</f>
        <v>SILVIA JULIANA RIOS</v>
      </c>
      <c r="H5638" s="16">
        <f>IFERROR(__xludf.DUMMYFUNCTION("""COMPUTED_VALUE"""),14369.0)</f>
        <v>14369</v>
      </c>
      <c r="I5638" s="18">
        <f>IFERROR(__xludf.DUMMYFUNCTION("""COMPUTED_VALUE"""),1.0)</f>
        <v>1</v>
      </c>
      <c r="J5638" s="18">
        <f>IFERROR(__xludf.DUMMYFUNCTION("""COMPUTED_VALUE"""),1.0)</f>
        <v>1</v>
      </c>
      <c r="K5638" s="18">
        <f>IFERROR(__xludf.DUMMYFUNCTION("""COMPUTED_VALUE"""),1.0)</f>
        <v>1</v>
      </c>
      <c r="L5638" s="17">
        <f>IFERROR(__xludf.DUMMYFUNCTION("""COMPUTED_VALUE"""),3.18576826E9)</f>
        <v>3185768260</v>
      </c>
      <c r="M5638" s="17" t="str">
        <f>IFERROR(__xludf.DUMMYFUNCTION("""COMPUTED_VALUE"""),"#REF!")</f>
        <v>#REF!</v>
      </c>
      <c r="N5638" s="17"/>
      <c r="O5638" s="17"/>
      <c r="P5638" s="17" t="b">
        <f>IFERROR(__xludf.DUMMYFUNCTION("""COMPUTED_VALUE"""),FALSE)</f>
        <v>0</v>
      </c>
      <c r="Q5638" s="20" t="str">
        <f>IFERROR(__xludf.DUMMYFUNCTION("""COMPUTED_VALUE"""),"")</f>
        <v/>
      </c>
      <c r="R5638" s="21" t="str">
        <f>IFERROR(__xludf.DUMMYFUNCTION("""COMPUTED_VALUE"""),"https://drive.google.com/file/d/1sJKEGCZ_ox4GIx3RSlAJWsGpE1EecYEc/view?usp=drivesdk")</f>
        <v>https://drive.google.com/file/d/1sJKEGCZ_ox4GIx3RSlAJWsGpE1EecYEc/view?usp=drivesdk</v>
      </c>
    </row>
    <row r="5639">
      <c r="A5639" s="15">
        <f>IFERROR(__xludf.DUMMYFUNCTION("""COMPUTED_VALUE"""),45163.0)</f>
        <v>45163</v>
      </c>
      <c r="B5639" s="16" t="str">
        <f>IFERROR(__xludf.DUMMYFUNCTION("""COMPUTED_VALUE"""),"Ivan David Pirela Pirela")</f>
        <v>Ivan David Pirela Pirela</v>
      </c>
      <c r="C5639" s="15" t="str">
        <f>IFERROR(__xludf.DUMMYFUNCTION("""COMPUTED_VALUE"""),"BUCARAMANGA")</f>
        <v>BUCARAMANGA</v>
      </c>
      <c r="D5639" s="15" t="str">
        <f>IFERROR(__xludf.DUMMYFUNCTION("""COMPUTED_VALUE"""),"BOGOTÁ")</f>
        <v>BOGOTÁ</v>
      </c>
      <c r="E5639" s="15" t="str">
        <f>IFERROR(__xludf.DUMMYFUNCTION("""COMPUTED_VALUE"""),"Evamazzita")</f>
        <v>Evamazzita</v>
      </c>
      <c r="F5639" s="17" t="str">
        <f>IFERROR(__xludf.DUMMYFUNCTION("""COMPUTED_VALUE"""),"Circunvalar 35 # 92-156  / conjunto británia Torre 2 apto 1708 /  Barrio el tejar")</f>
        <v>Circunvalar 35 # 92-156  / conjunto británia Torre 2 apto 1708 /  Barrio el tejar</v>
      </c>
      <c r="G5639" s="15" t="str">
        <f>IFERROR(__xludf.DUMMYFUNCTION("""COMPUTED_VALUE"""),"MARCELA JAIMES")</f>
        <v>MARCELA JAIMES</v>
      </c>
      <c r="H5639" s="16">
        <f>IFERROR(__xludf.DUMMYFUNCTION("""COMPUTED_VALUE"""),14367.0)</f>
        <v>14367</v>
      </c>
      <c r="I5639" s="18">
        <f>IFERROR(__xludf.DUMMYFUNCTION("""COMPUTED_VALUE"""),1.0)</f>
        <v>1</v>
      </c>
      <c r="J5639" s="18">
        <f>IFERROR(__xludf.DUMMYFUNCTION("""COMPUTED_VALUE"""),1.0)</f>
        <v>1</v>
      </c>
      <c r="K5639" s="18">
        <f>IFERROR(__xludf.DUMMYFUNCTION("""COMPUTED_VALUE"""),1.0)</f>
        <v>1</v>
      </c>
      <c r="L5639" s="17">
        <f>IFERROR(__xludf.DUMMYFUNCTION("""COMPUTED_VALUE"""),3.164222887E9)</f>
        <v>3164222887</v>
      </c>
      <c r="M5639" s="17" t="str">
        <f>IFERROR(__xludf.DUMMYFUNCTION("""COMPUTED_VALUE"""),"#REF!")</f>
        <v>#REF!</v>
      </c>
      <c r="N5639" s="17"/>
      <c r="O5639" s="17"/>
      <c r="P5639" s="17" t="b">
        <f>IFERROR(__xludf.DUMMYFUNCTION("""COMPUTED_VALUE"""),FALSE)</f>
        <v>0</v>
      </c>
      <c r="Q5639" s="20" t="str">
        <f>IFERROR(__xludf.DUMMYFUNCTION("""COMPUTED_VALUE"""),"")</f>
        <v/>
      </c>
      <c r="R5639" s="21" t="str">
        <f>IFERROR(__xludf.DUMMYFUNCTION("""COMPUTED_VALUE"""),"https://drive.google.com/file/d/10VX3YLIHqnLClCT3dHTPewkt2VAiVFjN/view?usp=drivesdk")</f>
        <v>https://drive.google.com/file/d/10VX3YLIHqnLClCT3dHTPewkt2VAiVFjN/view?usp=drivesdk</v>
      </c>
    </row>
    <row r="5640">
      <c r="A5640" s="15">
        <f>IFERROR(__xludf.DUMMYFUNCTION("""COMPUTED_VALUE"""),45163.0)</f>
        <v>45163</v>
      </c>
      <c r="B5640" s="16" t="str">
        <f>IFERROR(__xludf.DUMMYFUNCTION("""COMPUTED_VALUE"""),"Ivan David Pirela Pirela")</f>
        <v>Ivan David Pirela Pirela</v>
      </c>
      <c r="C5640" s="15" t="str">
        <f>IFERROR(__xludf.DUMMYFUNCTION("""COMPUTED_VALUE"""),"BUCARAMANGA")</f>
        <v>BUCARAMANGA</v>
      </c>
      <c r="D5640" s="15" t="str">
        <f>IFERROR(__xludf.DUMMYFUNCTION("""COMPUTED_VALUE"""),"BOGOTÁ")</f>
        <v>BOGOTÁ</v>
      </c>
      <c r="E5640" s="15" t="str">
        <f>IFERROR(__xludf.DUMMYFUNCTION("""COMPUTED_VALUE"""),"Evamazzita")</f>
        <v>Evamazzita</v>
      </c>
      <c r="F5640" s="17" t="str">
        <f>IFERROR(__xludf.DUMMYFUNCTION("""COMPUTED_VALUE"""),"CRA 26 No. 31 - 66  / EDIFICIO VERDETTO APTO 904  / BARRIO ANTONIA SANTOS")</f>
        <v>CRA 26 No. 31 - 66  / EDIFICIO VERDETTO APTO 904  / BARRIO ANTONIA SANTOS</v>
      </c>
      <c r="G5640" s="15" t="str">
        <f>IFERROR(__xludf.DUMMYFUNCTION("""COMPUTED_VALUE"""),"SILVIA JULIANA AMAYA")</f>
        <v>SILVIA JULIANA AMAYA</v>
      </c>
      <c r="H5640" s="16">
        <f>IFERROR(__xludf.DUMMYFUNCTION("""COMPUTED_VALUE"""),14368.0)</f>
        <v>14368</v>
      </c>
      <c r="I5640" s="18">
        <f>IFERROR(__xludf.DUMMYFUNCTION("""COMPUTED_VALUE"""),1.0)</f>
        <v>1</v>
      </c>
      <c r="J5640" s="18">
        <f>IFERROR(__xludf.DUMMYFUNCTION("""COMPUTED_VALUE"""),1.0)</f>
        <v>1</v>
      </c>
      <c r="K5640" s="18">
        <f>IFERROR(__xludf.DUMMYFUNCTION("""COMPUTED_VALUE"""),1.0)</f>
        <v>1</v>
      </c>
      <c r="L5640" s="17">
        <f>IFERROR(__xludf.DUMMYFUNCTION("""COMPUTED_VALUE"""),3.158212527E9)</f>
        <v>3158212527</v>
      </c>
      <c r="M5640" s="17" t="str">
        <f>IFERROR(__xludf.DUMMYFUNCTION("""COMPUTED_VALUE"""),"#REF!")</f>
        <v>#REF!</v>
      </c>
      <c r="N5640" s="17"/>
      <c r="O5640" s="17"/>
      <c r="P5640" s="17" t="b">
        <f>IFERROR(__xludf.DUMMYFUNCTION("""COMPUTED_VALUE"""),FALSE)</f>
        <v>0</v>
      </c>
      <c r="Q5640" s="20" t="str">
        <f>IFERROR(__xludf.DUMMYFUNCTION("""COMPUTED_VALUE"""),"")</f>
        <v/>
      </c>
      <c r="R5640" s="21" t="str">
        <f>IFERROR(__xludf.DUMMYFUNCTION("""COMPUTED_VALUE"""),"https://drive.google.com/file/d/1_vfZJ2Djo711l_BqfUzCSnhF4NpVZSb3/view?usp=drivesdk")</f>
        <v>https://drive.google.com/file/d/1_vfZJ2Djo711l_BqfUzCSnhF4NpVZSb3/view?usp=drivesdk</v>
      </c>
    </row>
    <row r="5641">
      <c r="A5641" s="15">
        <f>IFERROR(__xludf.DUMMYFUNCTION("""COMPUTED_VALUE"""),45163.0)</f>
        <v>45163</v>
      </c>
      <c r="B5641" s="16" t="str">
        <f>IFERROR(__xludf.DUMMYFUNCTION("""COMPUTED_VALUE"""),"Ivan David Pirela Pirela")</f>
        <v>Ivan David Pirela Pirela</v>
      </c>
      <c r="C5641" s="15" t="str">
        <f>IFERROR(__xludf.DUMMYFUNCTION("""COMPUTED_VALUE"""),"CÚCUTA")</f>
        <v>CÚCUTA</v>
      </c>
      <c r="D5641" s="15" t="str">
        <f>IFERROR(__xludf.DUMMYFUNCTION("""COMPUTED_VALUE"""),"MEDELLÍN")</f>
        <v>MEDELLÍN</v>
      </c>
      <c r="E5641" s="15" t="str">
        <f>IFERROR(__xludf.DUMMYFUNCTION("""COMPUTED_VALUE"""),"Rambla")</f>
        <v>Rambla</v>
      </c>
      <c r="F5641" s="17" t="str">
        <f>IFERROR(__xludf.DUMMYFUNCTION("""COMPUTED_VALUE"""),"Av 9e # 7-12 la Riviera / - / -")</f>
        <v>Av 9e # 7-12 la Riviera / - / -</v>
      </c>
      <c r="G5641" s="15" t="str">
        <f>IFERROR(__xludf.DUMMYFUNCTION("""COMPUTED_VALUE"""),"Sexto Sentido")</f>
        <v>Sexto Sentido</v>
      </c>
      <c r="H5641" s="16">
        <f>IFERROR(__xludf.DUMMYFUNCTION("""COMPUTED_VALUE"""),14335.0)</f>
        <v>14335</v>
      </c>
      <c r="I5641" s="18">
        <f>IFERROR(__xludf.DUMMYFUNCTION("""COMPUTED_VALUE"""),28.0)</f>
        <v>28</v>
      </c>
      <c r="J5641" s="18">
        <f>IFERROR(__xludf.DUMMYFUNCTION("""COMPUTED_VALUE"""),22.0)</f>
        <v>22</v>
      </c>
      <c r="K5641" s="18">
        <f>IFERROR(__xludf.DUMMYFUNCTION("""COMPUTED_VALUE"""),24.0)</f>
        <v>24</v>
      </c>
      <c r="L5641" s="17">
        <f>IFERROR(__xludf.DUMMYFUNCTION("""COMPUTED_VALUE"""),3.154996494E9)</f>
        <v>3154996494</v>
      </c>
      <c r="M5641" s="17" t="str">
        <f>IFERROR(__xludf.DUMMYFUNCTION("""COMPUTED_VALUE"""),"#REF!")</f>
        <v>#REF!</v>
      </c>
      <c r="N5641" s="17"/>
      <c r="O5641" s="17"/>
      <c r="P5641" s="17" t="b">
        <f>IFERROR(__xludf.DUMMYFUNCTION("""COMPUTED_VALUE"""),FALSE)</f>
        <v>0</v>
      </c>
      <c r="Q5641" s="20" t="str">
        <f>IFERROR(__xludf.DUMMYFUNCTION("""COMPUTED_VALUE"""),"")</f>
        <v/>
      </c>
      <c r="R5641" s="22" t="str">
        <f>IFERROR(__xludf.DUMMYFUNCTION("""COMPUTED_VALUE"""),"")</f>
        <v/>
      </c>
    </row>
    <row r="5642">
      <c r="A5642" s="17" t="str">
        <f>IFERROR(__xludf.DUMMYFUNCTION("""COMPUTED_VALUE"""),"")</f>
        <v/>
      </c>
      <c r="B5642" s="17" t="str">
        <f>IFERROR(__xludf.DUMMYFUNCTION("""COMPUTED_VALUE"""),"")</f>
        <v/>
      </c>
      <c r="C5642" s="17" t="str">
        <f>IFERROR(__xludf.DUMMYFUNCTION("""COMPUTED_VALUE"""),"")</f>
        <v/>
      </c>
      <c r="D5642" s="17" t="str">
        <f>IFERROR(__xludf.DUMMYFUNCTION("""COMPUTED_VALUE"""),"")</f>
        <v/>
      </c>
      <c r="E5642" s="17" t="str">
        <f>IFERROR(__xludf.DUMMYFUNCTION("""COMPUTED_VALUE"""),"")</f>
        <v/>
      </c>
      <c r="F5642" s="17" t="str">
        <f>IFERROR(__xludf.DUMMYFUNCTION("""COMPUTED_VALUE"""),"")</f>
        <v/>
      </c>
      <c r="G5642" s="17" t="str">
        <f>IFERROR(__xludf.DUMMYFUNCTION("""COMPUTED_VALUE"""),"")</f>
        <v/>
      </c>
      <c r="H5642" s="17" t="str">
        <f>IFERROR(__xludf.DUMMYFUNCTION("""COMPUTED_VALUE"""),"")</f>
        <v/>
      </c>
      <c r="I5642" s="17" t="str">
        <f>IFERROR(__xludf.DUMMYFUNCTION("""COMPUTED_VALUE"""),"")</f>
        <v/>
      </c>
      <c r="J5642" s="17" t="str">
        <f>IFERROR(__xludf.DUMMYFUNCTION("""COMPUTED_VALUE"""),"")</f>
        <v/>
      </c>
      <c r="K5642" s="17" t="str">
        <f>IFERROR(__xludf.DUMMYFUNCTION("""COMPUTED_VALUE"""),"")</f>
        <v/>
      </c>
      <c r="L5642" s="17" t="str">
        <f>IFERROR(__xludf.DUMMYFUNCTION("""COMPUTED_VALUE"""),"")</f>
        <v/>
      </c>
      <c r="M5642" s="17" t="str">
        <f>IFERROR(__xludf.DUMMYFUNCTION("""COMPUTED_VALUE"""),"")</f>
        <v/>
      </c>
      <c r="N5642" s="17" t="str">
        <f>IFERROR(__xludf.DUMMYFUNCTION("""COMPUTED_VALUE"""),"")</f>
        <v/>
      </c>
      <c r="O5642" s="17" t="str">
        <f>IFERROR(__xludf.DUMMYFUNCTION("""COMPUTED_VALUE"""),"")</f>
        <v/>
      </c>
      <c r="P5642" s="17" t="str">
        <f>IFERROR(__xludf.DUMMYFUNCTION("""COMPUTED_VALUE"""),"")</f>
        <v/>
      </c>
      <c r="Q5642" s="17" t="str">
        <f>IFERROR(__xludf.DUMMYFUNCTION("""COMPUTED_VALUE"""),"")</f>
        <v/>
      </c>
      <c r="R5642" s="17" t="str">
        <f>IFERROR(__xludf.DUMMYFUNCTION("""COMPUTED_VALUE"""),"")</f>
        <v/>
      </c>
    </row>
    <row r="5643">
      <c r="A5643" s="15">
        <f>IFERROR(__xludf.DUMMYFUNCTION("""COMPUTED_VALUE"""),45163.0)</f>
        <v>45163</v>
      </c>
      <c r="B5643" s="16" t="str">
        <f>IFERROR(__xludf.DUMMYFUNCTION("""COMPUTED_VALUE"""),"Jeison Rubiano")</f>
        <v>Jeison Rubiano</v>
      </c>
      <c r="C5643" s="15" t="str">
        <f>IFERROR(__xludf.DUMMYFUNCTION("""COMPUTED_VALUE"""),"BOGOTÁ")</f>
        <v>BOGOTÁ</v>
      </c>
      <c r="D5643" s="15" t="str">
        <f>IFERROR(__xludf.DUMMYFUNCTION("""COMPUTED_VALUE"""),"BOGOTÁ")</f>
        <v>BOGOTÁ</v>
      </c>
      <c r="E5643" s="15" t="str">
        <f>IFERROR(__xludf.DUMMYFUNCTION("""COMPUTED_VALUE"""),"Browreos")</f>
        <v>Browreos</v>
      </c>
      <c r="F5643" s="17" t="str">
        <f>IFERROR(__xludf.DUMMYFUNCTION("""COMPUTED_VALUE"""),"93 b # 57a-29 / 4to piso - Barrio Rionegro. / Barrio rionegro")</f>
        <v>93 b # 57a-29 / 4to piso - Barrio Rionegro. / Barrio rionegro</v>
      </c>
      <c r="G5643" s="15" t="str">
        <f>IFERROR(__xludf.DUMMYFUNCTION("""COMPUTED_VALUE"""),"Lina María Rodríguez")</f>
        <v>Lina María Rodríguez</v>
      </c>
      <c r="H5643" s="16">
        <f>IFERROR(__xludf.DUMMYFUNCTION("""COMPUTED_VALUE"""),14363.0)</f>
        <v>14363</v>
      </c>
      <c r="I5643" s="18">
        <f>IFERROR(__xludf.DUMMYFUNCTION("""COMPUTED_VALUE"""),3.0)</f>
        <v>3</v>
      </c>
      <c r="J5643" s="18">
        <f>IFERROR(__xludf.DUMMYFUNCTION("""COMPUTED_VALUE"""),10.0)</f>
        <v>10</v>
      </c>
      <c r="K5643" s="18">
        <f>IFERROR(__xludf.DUMMYFUNCTION("""COMPUTED_VALUE"""),45059.0)</f>
        <v>45059</v>
      </c>
      <c r="L5643" s="17">
        <f>IFERROR(__xludf.DUMMYFUNCTION("""COMPUTED_VALUE"""),3.134235611E9)</f>
        <v>3134235611</v>
      </c>
      <c r="M5643" s="17" t="str">
        <f>IFERROR(__xludf.DUMMYFUNCTION("""COMPUTED_VALUE"""),"#REF!")</f>
        <v>#REF!</v>
      </c>
      <c r="N5643" s="17"/>
      <c r="O5643" s="17"/>
      <c r="P5643" s="17" t="b">
        <f>IFERROR(__xludf.DUMMYFUNCTION("""COMPUTED_VALUE"""),FALSE)</f>
        <v>0</v>
      </c>
      <c r="Q5643" s="20" t="str">
        <f>IFERROR(__xludf.DUMMYFUNCTION("""COMPUTED_VALUE"""),"")</f>
        <v/>
      </c>
      <c r="R5643" s="21" t="str">
        <f>IFERROR(__xludf.DUMMYFUNCTION("""COMPUTED_VALUE"""),"https://drive.google.com/file/d/10RHW6N5GgBSTdGMAq2TjfpXR8N9r5yo-/view?usp=drivesdk")</f>
        <v>https://drive.google.com/file/d/10RHW6N5GgBSTdGMAq2TjfpXR8N9r5yo-/view?usp=drivesdk</v>
      </c>
    </row>
    <row r="5644">
      <c r="A5644" s="15">
        <f>IFERROR(__xludf.DUMMYFUNCTION("""COMPUTED_VALUE"""),45163.0)</f>
        <v>45163</v>
      </c>
      <c r="B5644" s="16" t="str">
        <f>IFERROR(__xludf.DUMMYFUNCTION("""COMPUTED_VALUE"""),"Jeison Rubiano")</f>
        <v>Jeison Rubiano</v>
      </c>
      <c r="C5644" s="15" t="str">
        <f>IFERROR(__xludf.DUMMYFUNCTION("""COMPUTED_VALUE"""),"BOGOTÁ")</f>
        <v>BOGOTÁ</v>
      </c>
      <c r="D5644" s="15" t="str">
        <f>IFERROR(__xludf.DUMMYFUNCTION("""COMPUTED_VALUE"""),"MEDELLÍN")</f>
        <v>MEDELLÍN</v>
      </c>
      <c r="E5644" s="15" t="str">
        <f>IFERROR(__xludf.DUMMYFUNCTION("""COMPUTED_VALUE"""),"AREPAS LA MARY")</f>
        <v>AREPAS LA MARY</v>
      </c>
      <c r="F5644" s="17" t="str">
        <f>IFERROR(__xludf.DUMMYFUNCTION("""COMPUTED_VALUE"""),"CALLE 116 A # 71D -55 / PONTEVEDRA")</f>
        <v>CALLE 116 A # 71D -55 / PONTEVEDRA</v>
      </c>
      <c r="G5644" s="15" t="str">
        <f>IFERROR(__xludf.DUMMYFUNCTION("""COMPUTED_VALUE"""),"KATHERINE TORRES")</f>
        <v>KATHERINE TORRES</v>
      </c>
      <c r="H5644" s="16">
        <f>IFERROR(__xludf.DUMMYFUNCTION("""COMPUTED_VALUE"""),14385.0)</f>
        <v>14385</v>
      </c>
      <c r="I5644" s="18">
        <f>IFERROR(__xludf.DUMMYFUNCTION("""COMPUTED_VALUE"""),89.0)</f>
        <v>89</v>
      </c>
      <c r="J5644" s="18">
        <f>IFERROR(__xludf.DUMMYFUNCTION("""COMPUTED_VALUE"""),1.0)</f>
        <v>1</v>
      </c>
      <c r="K5644" s="18">
        <f>IFERROR(__xludf.DUMMYFUNCTION("""COMPUTED_VALUE"""),10.0)</f>
        <v>10</v>
      </c>
      <c r="L5644" s="17">
        <f>IFERROR(__xludf.DUMMYFUNCTION("""COMPUTED_VALUE"""),3.043823322E9)</f>
        <v>3043823322</v>
      </c>
      <c r="M5644" s="17" t="str">
        <f>IFERROR(__xludf.DUMMYFUNCTION("""COMPUTED_VALUE"""),"#REF!")</f>
        <v>#REF!</v>
      </c>
      <c r="N5644" s="17"/>
      <c r="O5644" s="17"/>
      <c r="P5644" s="17" t="b">
        <f>IFERROR(__xludf.DUMMYFUNCTION("""COMPUTED_VALUE"""),FALSE)</f>
        <v>0</v>
      </c>
      <c r="Q5644" s="20" t="str">
        <f>IFERROR(__xludf.DUMMYFUNCTION("""COMPUTED_VALUE"""),"")</f>
        <v/>
      </c>
      <c r="R5644" s="21" t="str">
        <f>IFERROR(__xludf.DUMMYFUNCTION("""COMPUTED_VALUE"""),"https://drive.google.com/file/d/1dMXQVgeqi18-Hgs0_NPW45L3D2CT5XaI/view?usp=drivesdk")</f>
        <v>https://drive.google.com/file/d/1dMXQVgeqi18-Hgs0_NPW45L3D2CT5XaI/view?usp=drivesdk</v>
      </c>
    </row>
    <row r="5645">
      <c r="A5645" s="15">
        <f>IFERROR(__xludf.DUMMYFUNCTION("""COMPUTED_VALUE"""),45163.0)</f>
        <v>45163</v>
      </c>
      <c r="B5645" s="16" t="str">
        <f>IFERROR(__xludf.DUMMYFUNCTION("""COMPUTED_VALUE"""),"Jeison Rubiano")</f>
        <v>Jeison Rubiano</v>
      </c>
      <c r="C5645" s="15" t="str">
        <f>IFERROR(__xludf.DUMMYFUNCTION("""COMPUTED_VALUE"""),"BOGOTÁ")</f>
        <v>BOGOTÁ</v>
      </c>
      <c r="D5645" s="15" t="str">
        <f>IFERROR(__xludf.DUMMYFUNCTION("""COMPUTED_VALUE"""),"MEDELLÍN")</f>
        <v>MEDELLÍN</v>
      </c>
      <c r="E5645" s="15" t="str">
        <f>IFERROR(__xludf.DUMMYFUNCTION("""COMPUTED_VALUE"""),"AREPAS LA MARY")</f>
        <v>AREPAS LA MARY</v>
      </c>
      <c r="F5645" s="17" t="str">
        <f>IFERROR(__xludf.DUMMYFUNCTION("""COMPUTED_VALUE"""),"calle 66bis #2b-41 apto 702 / CHAPINERO BOGOTA")</f>
        <v>calle 66bis #2b-41 apto 702 / CHAPINERO BOGOTA</v>
      </c>
      <c r="G5645" s="15" t="str">
        <f>IFERROR(__xludf.DUMMYFUNCTION("""COMPUTED_VALUE"""),"ALEJANDRA MEDINA")</f>
        <v>ALEJANDRA MEDINA</v>
      </c>
      <c r="H5645" s="16">
        <f>IFERROR(__xludf.DUMMYFUNCTION("""COMPUTED_VALUE"""),14394.0)</f>
        <v>14394</v>
      </c>
      <c r="I5645" s="18">
        <f>IFERROR(__xludf.DUMMYFUNCTION("""COMPUTED_VALUE"""),89.0)</f>
        <v>89</v>
      </c>
      <c r="J5645" s="18">
        <f>IFERROR(__xludf.DUMMYFUNCTION("""COMPUTED_VALUE"""),1.0)</f>
        <v>1</v>
      </c>
      <c r="K5645" s="18">
        <f>IFERROR(__xludf.DUMMYFUNCTION("""COMPUTED_VALUE"""),10.0)</f>
        <v>10</v>
      </c>
      <c r="L5645" s="17">
        <f>IFERROR(__xludf.DUMMYFUNCTION("""COMPUTED_VALUE"""),3.158355511E9)</f>
        <v>3158355511</v>
      </c>
      <c r="M5645" s="17" t="str">
        <f>IFERROR(__xludf.DUMMYFUNCTION("""COMPUTED_VALUE"""),"#REF!")</f>
        <v>#REF!</v>
      </c>
      <c r="N5645" s="17"/>
      <c r="O5645" s="17"/>
      <c r="P5645" s="17" t="b">
        <f>IFERROR(__xludf.DUMMYFUNCTION("""COMPUTED_VALUE"""),FALSE)</f>
        <v>0</v>
      </c>
      <c r="Q5645" s="20" t="str">
        <f>IFERROR(__xludf.DUMMYFUNCTION("""COMPUTED_VALUE"""),"")</f>
        <v/>
      </c>
      <c r="R5645" s="21" t="str">
        <f>IFERROR(__xludf.DUMMYFUNCTION("""COMPUTED_VALUE"""),"https://drive.google.com/file/d/1aa8YDL94bEE2w9DZeEGWBkO2lBpNa429/view?usp=drivesdk")</f>
        <v>https://drive.google.com/file/d/1aa8YDL94bEE2w9DZeEGWBkO2lBpNa429/view?usp=drivesdk</v>
      </c>
    </row>
    <row r="5646">
      <c r="A5646" s="15">
        <f>IFERROR(__xludf.DUMMYFUNCTION("""COMPUTED_VALUE"""),45163.0)</f>
        <v>45163</v>
      </c>
      <c r="B5646" s="16" t="str">
        <f>IFERROR(__xludf.DUMMYFUNCTION("""COMPUTED_VALUE"""),"Jeison Rubiano")</f>
        <v>Jeison Rubiano</v>
      </c>
      <c r="C5646" s="15" t="str">
        <f>IFERROR(__xludf.DUMMYFUNCTION("""COMPUTED_VALUE"""),"BOGOTÁ")</f>
        <v>BOGOTÁ</v>
      </c>
      <c r="D5646" s="15" t="str">
        <f>IFERROR(__xludf.DUMMYFUNCTION("""COMPUTED_VALUE"""),"MEDELLÍN")</f>
        <v>MEDELLÍN</v>
      </c>
      <c r="E5646" s="15" t="str">
        <f>IFERROR(__xludf.DUMMYFUNCTION("""COMPUTED_VALUE"""),"AREPAS LA MARY")</f>
        <v>AREPAS LA MARY</v>
      </c>
      <c r="F5646" s="17" t="str">
        <f>IFERROR(__xludf.DUMMYFUNCTION("""COMPUTED_VALUE"""),"CRA 13 # 93-13 LOCAL 103 / LOCAL 103")</f>
        <v>CRA 13 # 93-13 LOCAL 103 / LOCAL 103</v>
      </c>
      <c r="G5646" s="15" t="str">
        <f>IFERROR(__xludf.DUMMYFUNCTION("""COMPUTED_VALUE"""),"HEALING FOODS")</f>
        <v>HEALING FOODS</v>
      </c>
      <c r="H5646" s="16">
        <f>IFERROR(__xludf.DUMMYFUNCTION("""COMPUTED_VALUE"""),14315.0)</f>
        <v>14315</v>
      </c>
      <c r="I5646" s="18">
        <f>IFERROR(__xludf.DUMMYFUNCTION("""COMPUTED_VALUE"""),89.0)</f>
        <v>89</v>
      </c>
      <c r="J5646" s="18">
        <f>IFERROR(__xludf.DUMMYFUNCTION("""COMPUTED_VALUE"""),1.0)</f>
        <v>1</v>
      </c>
      <c r="K5646" s="18">
        <f>IFERROR(__xludf.DUMMYFUNCTION("""COMPUTED_VALUE"""),10.0)</f>
        <v>10</v>
      </c>
      <c r="L5646" s="17">
        <f>IFERROR(__xludf.DUMMYFUNCTION("""COMPUTED_VALUE"""),3.142647408E9)</f>
        <v>3142647408</v>
      </c>
      <c r="M5646" s="17" t="str">
        <f>IFERROR(__xludf.DUMMYFUNCTION("""COMPUTED_VALUE"""),"#REF!")</f>
        <v>#REF!</v>
      </c>
      <c r="N5646" s="17"/>
      <c r="O5646" s="17"/>
      <c r="P5646" s="17" t="b">
        <f>IFERROR(__xludf.DUMMYFUNCTION("""COMPUTED_VALUE"""),FALSE)</f>
        <v>0</v>
      </c>
      <c r="Q5646" s="20" t="str">
        <f>IFERROR(__xludf.DUMMYFUNCTION("""COMPUTED_VALUE"""),"")</f>
        <v/>
      </c>
      <c r="R5646" s="21" t="str">
        <f>IFERROR(__xludf.DUMMYFUNCTION("""COMPUTED_VALUE"""),"https://drive.google.com/file/d/1izG9TT1jWXM9WBaziLseIjQiS-GJqfun/view?usp=drivesdk")</f>
        <v>https://drive.google.com/file/d/1izG9TT1jWXM9WBaziLseIjQiS-GJqfun/view?usp=drivesdk</v>
      </c>
    </row>
    <row r="5647">
      <c r="A5647" s="15">
        <f>IFERROR(__xludf.DUMMYFUNCTION("""COMPUTED_VALUE"""),45163.0)</f>
        <v>45163</v>
      </c>
      <c r="B5647" s="16" t="str">
        <f>IFERROR(__xludf.DUMMYFUNCTION("""COMPUTED_VALUE"""),"Jeison Rubiano")</f>
        <v>Jeison Rubiano</v>
      </c>
      <c r="C5647" s="15" t="str">
        <f>IFERROR(__xludf.DUMMYFUNCTION("""COMPUTED_VALUE"""),"BOGOTÁ")</f>
        <v>BOGOTÁ</v>
      </c>
      <c r="D5647" s="15" t="str">
        <f>IFERROR(__xludf.DUMMYFUNCTION("""COMPUTED_VALUE"""),"MEDELLÍN")</f>
        <v>MEDELLÍN</v>
      </c>
      <c r="E5647" s="15" t="str">
        <f>IFERROR(__xludf.DUMMYFUNCTION("""COMPUTED_VALUE"""),"Baby Chef")</f>
        <v>Baby Chef</v>
      </c>
      <c r="F5647" s="17" t="str">
        <f>IFERROR(__xludf.DUMMYFUNCTION("""COMPUTED_VALUE"""),"Calle 98b#70c-38 Torre 1 apto 204  Pontevedra  / Calle 98b#70c-38 Torre 1 apto 204  Pontevedra  / Calle 98b#70c-38 Torre 1 apto 204  Pontevedra")</f>
        <v>Calle 98b#70c-38 Torre 1 apto 204  Pontevedra  / Calle 98b#70c-38 Torre 1 apto 204  Pontevedra  / Calle 98b#70c-38 Torre 1 apto 204  Pontevedra</v>
      </c>
      <c r="G5647" s="15" t="str">
        <f>IFERROR(__xludf.DUMMYFUNCTION("""COMPUTED_VALUE"""),"Xiomara Leon")</f>
        <v>Xiomara Leon</v>
      </c>
      <c r="H5647" s="16">
        <f>IFERROR(__xludf.DUMMYFUNCTION("""COMPUTED_VALUE"""),14387.0)</f>
        <v>14387</v>
      </c>
      <c r="I5647" s="18">
        <f>IFERROR(__xludf.DUMMYFUNCTION("""COMPUTED_VALUE"""),6.0)</f>
        <v>6</v>
      </c>
      <c r="J5647" s="18">
        <f>IFERROR(__xludf.DUMMYFUNCTION("""COMPUTED_VALUE"""),32.0)</f>
        <v>32</v>
      </c>
      <c r="K5647" s="18">
        <f>IFERROR(__xludf.DUMMYFUNCTION("""COMPUTED_VALUE"""),20.0)</f>
        <v>20</v>
      </c>
      <c r="L5647" s="17">
        <f>IFERROR(__xludf.DUMMYFUNCTION("""COMPUTED_VALUE"""),3.133041926E9)</f>
        <v>3133041926</v>
      </c>
      <c r="M5647" s="17" t="str">
        <f>IFERROR(__xludf.DUMMYFUNCTION("""COMPUTED_VALUE"""),"#REF!")</f>
        <v>#REF!</v>
      </c>
      <c r="N5647" s="17"/>
      <c r="O5647" s="17"/>
      <c r="P5647" s="17" t="b">
        <f>IFERROR(__xludf.DUMMYFUNCTION("""COMPUTED_VALUE"""),FALSE)</f>
        <v>0</v>
      </c>
      <c r="Q5647" s="20" t="str">
        <f>IFERROR(__xludf.DUMMYFUNCTION("""COMPUTED_VALUE"""),"")</f>
        <v/>
      </c>
      <c r="R5647" s="21" t="str">
        <f>IFERROR(__xludf.DUMMYFUNCTION("""COMPUTED_VALUE"""),"https://drive.google.com/file/d/10gr9fLKXUg8EAip_aP5UzYcBxSFcHH_J/view?usp=drivesdk")</f>
        <v>https://drive.google.com/file/d/10gr9fLKXUg8EAip_aP5UzYcBxSFcHH_J/view?usp=drivesdk</v>
      </c>
    </row>
    <row r="5648">
      <c r="A5648" s="15">
        <f>IFERROR(__xludf.DUMMYFUNCTION("""COMPUTED_VALUE"""),45163.0)</f>
        <v>45163</v>
      </c>
      <c r="B5648" s="16" t="str">
        <f>IFERROR(__xludf.DUMMYFUNCTION("""COMPUTED_VALUE"""),"Jeison Rubiano")</f>
        <v>Jeison Rubiano</v>
      </c>
      <c r="C5648" s="15" t="str">
        <f>IFERROR(__xludf.DUMMYFUNCTION("""COMPUTED_VALUE"""),"BOGOTÁ")</f>
        <v>BOGOTÁ</v>
      </c>
      <c r="D5648" s="15" t="str">
        <f>IFERROR(__xludf.DUMMYFUNCTION("""COMPUTED_VALUE"""),"MEDELLÍN")</f>
        <v>MEDELLÍN</v>
      </c>
      <c r="E5648" s="15" t="str">
        <f>IFERROR(__xludf.DUMMYFUNCTION("""COMPUTED_VALUE"""),"Moloso S.A.S")</f>
        <v>Moloso S.A.S</v>
      </c>
      <c r="F5648" s="17" t="str">
        <f>IFERROR(__xludf.DUMMYFUNCTION("""COMPUTED_VALUE"""),"CR 78AN 58M 88 SUR / CJ PARQUES DE VILLA ANITA")</f>
        <v>CR 78AN 58M 88 SUR / CJ PARQUES DE VILLA ANITA</v>
      </c>
      <c r="G5648" s="15" t="str">
        <f>IFERROR(__xludf.DUMMYFUNCTION("""COMPUTED_VALUE"""),"VANESSA BELTRAN BUITRAGO")</f>
        <v>VANESSA BELTRAN BUITRAGO</v>
      </c>
      <c r="H5648" s="16">
        <f>IFERROR(__xludf.DUMMYFUNCTION("""COMPUTED_VALUE"""),14384.0)</f>
        <v>14384</v>
      </c>
      <c r="I5648" s="18">
        <f>IFERROR(__xludf.DUMMYFUNCTION("""COMPUTED_VALUE"""),17.0)</f>
        <v>17</v>
      </c>
      <c r="J5648" s="18">
        <f>IFERROR(__xludf.DUMMYFUNCTION("""COMPUTED_VALUE"""),15.0)</f>
        <v>15</v>
      </c>
      <c r="K5648" s="18">
        <f>IFERROR(__xludf.DUMMYFUNCTION("""COMPUTED_VALUE"""),28.0)</f>
        <v>28</v>
      </c>
      <c r="L5648" s="17" t="str">
        <f>IFERROR(__xludf.DUMMYFUNCTION("""COMPUTED_VALUE"""),"319 5025532")</f>
        <v>319 5025532</v>
      </c>
      <c r="M5648" s="17" t="str">
        <f>IFERROR(__xludf.DUMMYFUNCTION("""COMPUTED_VALUE"""),"#REF!")</f>
        <v>#REF!</v>
      </c>
      <c r="N5648" s="17"/>
      <c r="O5648" s="17"/>
      <c r="P5648" s="17" t="b">
        <f>IFERROR(__xludf.DUMMYFUNCTION("""COMPUTED_VALUE"""),FALSE)</f>
        <v>0</v>
      </c>
      <c r="Q5648" s="20" t="str">
        <f>IFERROR(__xludf.DUMMYFUNCTION("""COMPUTED_VALUE"""),"")</f>
        <v/>
      </c>
      <c r="R5648" s="21" t="str">
        <f>IFERROR(__xludf.DUMMYFUNCTION("""COMPUTED_VALUE"""),"https://drive.google.com/file/d/1veLibJ0b5XRGtYKbdBTxLtb2h8LB-wZk/view?usp=drivesdk")</f>
        <v>https://drive.google.com/file/d/1veLibJ0b5XRGtYKbdBTxLtb2h8LB-wZk/view?usp=drivesdk</v>
      </c>
    </row>
    <row r="5649">
      <c r="A5649" s="15">
        <f>IFERROR(__xludf.DUMMYFUNCTION("""COMPUTED_VALUE"""),45163.0)</f>
        <v>45163</v>
      </c>
      <c r="B5649" s="16" t="str">
        <f>IFERROR(__xludf.DUMMYFUNCTION("""COMPUTED_VALUE"""),"Jeison Rubiano")</f>
        <v>Jeison Rubiano</v>
      </c>
      <c r="C5649" s="15" t="str">
        <f>IFERROR(__xludf.DUMMYFUNCTION("""COMPUTED_VALUE"""),"BOGOTÁ")</f>
        <v>BOGOTÁ</v>
      </c>
      <c r="D5649" s="15" t="str">
        <f>IFERROR(__xludf.DUMMYFUNCTION("""COMPUTED_VALUE"""),"MEDELLÍN")</f>
        <v>MEDELLÍN</v>
      </c>
      <c r="E5649" s="15" t="str">
        <f>IFERROR(__xludf.DUMMYFUNCTION("""COMPUTED_VALUE"""),"Puro Verde")</f>
        <v>Puro Verde</v>
      </c>
      <c r="F5649" s="17" t="str">
        <f>IFERROR(__xludf.DUMMYFUNCTION("""COMPUTED_VALUE"""),"CRA 16A # 77-23 / LOCAL 4 / BARRIO EL LAGO")</f>
        <v>CRA 16A # 77-23 / LOCAL 4 / BARRIO EL LAGO</v>
      </c>
      <c r="G5649" s="15" t="str">
        <f>IFERROR(__xludf.DUMMYFUNCTION("""COMPUTED_VALUE"""),"DANDO CUERDA")</f>
        <v>DANDO CUERDA</v>
      </c>
      <c r="H5649" s="16">
        <f>IFERROR(__xludf.DUMMYFUNCTION("""COMPUTED_VALUE"""),14337.0)</f>
        <v>14337</v>
      </c>
      <c r="I5649" s="18">
        <f>IFERROR(__xludf.DUMMYFUNCTION("""COMPUTED_VALUE"""),55.0)</f>
        <v>55</v>
      </c>
      <c r="J5649" s="18">
        <f>IFERROR(__xludf.DUMMYFUNCTION("""COMPUTED_VALUE"""),45.0)</f>
        <v>45</v>
      </c>
      <c r="K5649" s="18" t="str">
        <f>IFERROR(__xludf.DUMMYFUNCTION("""COMPUTED_VALUE"""),"52.5")</f>
        <v>52.5</v>
      </c>
      <c r="L5649" s="17">
        <f>IFERROR(__xludf.DUMMYFUNCTION("""COMPUTED_VALUE"""),3.163816691E9)</f>
        <v>3163816691</v>
      </c>
      <c r="M5649" s="17" t="str">
        <f>IFERROR(__xludf.DUMMYFUNCTION("""COMPUTED_VALUE"""),"#REF!")</f>
        <v>#REF!</v>
      </c>
      <c r="N5649" s="17"/>
      <c r="O5649" s="17"/>
      <c r="P5649" s="17" t="b">
        <f>IFERROR(__xludf.DUMMYFUNCTION("""COMPUTED_VALUE"""),FALSE)</f>
        <v>0</v>
      </c>
      <c r="Q5649" s="20" t="str">
        <f>IFERROR(__xludf.DUMMYFUNCTION("""COMPUTED_VALUE"""),"")</f>
        <v/>
      </c>
      <c r="R5649" s="22" t="str">
        <f>IFERROR(__xludf.DUMMYFUNCTION("""COMPUTED_VALUE"""),"")</f>
        <v/>
      </c>
    </row>
    <row r="5650">
      <c r="A5650" s="15">
        <f>IFERROR(__xludf.DUMMYFUNCTION("""COMPUTED_VALUE"""),45163.0)</f>
        <v>45163</v>
      </c>
      <c r="B5650" s="16" t="str">
        <f>IFERROR(__xludf.DUMMYFUNCTION("""COMPUTED_VALUE"""),"Jeison Rubiano")</f>
        <v>Jeison Rubiano</v>
      </c>
      <c r="C5650" s="15" t="str">
        <f>IFERROR(__xludf.DUMMYFUNCTION("""COMPUTED_VALUE"""),"BOGOTÁ")</f>
        <v>BOGOTÁ</v>
      </c>
      <c r="D5650" s="15" t="str">
        <f>IFERROR(__xludf.DUMMYFUNCTION("""COMPUTED_VALUE"""),"MEDELLÍN")</f>
        <v>MEDELLÍN</v>
      </c>
      <c r="E5650" s="15" t="str">
        <f>IFERROR(__xludf.DUMMYFUNCTION("""COMPUTED_VALUE"""),"Rambla")</f>
        <v>Rambla</v>
      </c>
      <c r="F5650" s="17" t="str">
        <f>IFERROR(__xludf.DUMMYFUNCTION("""COMPUTED_VALUE"""),"Av Cra 9 # 113-52 local 306 / - / -")</f>
        <v>Av Cra 9 # 113-52 local 306 / - / -</v>
      </c>
      <c r="G5650" s="15" t="str">
        <f>IFERROR(__xludf.DUMMYFUNCTION("""COMPUTED_VALUE"""),"Fresh Co")</f>
        <v>Fresh Co</v>
      </c>
      <c r="H5650" s="16">
        <f>IFERROR(__xludf.DUMMYFUNCTION("""COMPUTED_VALUE"""),14381.0)</f>
        <v>14381</v>
      </c>
      <c r="I5650" s="18">
        <f>IFERROR(__xludf.DUMMYFUNCTION("""COMPUTED_VALUE"""),23.0)</f>
        <v>23</v>
      </c>
      <c r="J5650" s="18">
        <f>IFERROR(__xludf.DUMMYFUNCTION("""COMPUTED_VALUE"""),22.0)</f>
        <v>22</v>
      </c>
      <c r="K5650" s="18">
        <f>IFERROR(__xludf.DUMMYFUNCTION("""COMPUTED_VALUE"""),25.0)</f>
        <v>25</v>
      </c>
      <c r="L5650" s="17">
        <f>IFERROR(__xludf.DUMMYFUNCTION("""COMPUTED_VALUE"""),3.229417869E9)</f>
        <v>3229417869</v>
      </c>
      <c r="M5650" s="17" t="str">
        <f>IFERROR(__xludf.DUMMYFUNCTION("""COMPUTED_VALUE"""),"#REF!")</f>
        <v>#REF!</v>
      </c>
      <c r="N5650" s="17"/>
      <c r="O5650" s="17"/>
      <c r="P5650" s="17" t="b">
        <f>IFERROR(__xludf.DUMMYFUNCTION("""COMPUTED_VALUE"""),FALSE)</f>
        <v>0</v>
      </c>
      <c r="Q5650" s="20" t="str">
        <f>IFERROR(__xludf.DUMMYFUNCTION("""COMPUTED_VALUE"""),"")</f>
        <v/>
      </c>
      <c r="R5650" s="21" t="str">
        <f>IFERROR(__xludf.DUMMYFUNCTION("""COMPUTED_VALUE"""),"https://drive.google.com/file/d/1MoQ7X4x7k_3fmRUUeiXqfzWrxWxfKaM2/view?usp=drivesdk")</f>
        <v>https://drive.google.com/file/d/1MoQ7X4x7k_3fmRUUeiXqfzWrxWxfKaM2/view?usp=drivesdk</v>
      </c>
    </row>
    <row r="5651">
      <c r="A5651" s="15">
        <f>IFERROR(__xludf.DUMMYFUNCTION("""COMPUTED_VALUE"""),45163.0)</f>
        <v>45163</v>
      </c>
      <c r="B5651" s="16" t="str">
        <f>IFERROR(__xludf.DUMMYFUNCTION("""COMPUTED_VALUE"""),"Jeison Rubiano")</f>
        <v>Jeison Rubiano</v>
      </c>
      <c r="C5651" s="15" t="str">
        <f>IFERROR(__xludf.DUMMYFUNCTION("""COMPUTED_VALUE"""),"BOGOTÁ")</f>
        <v>BOGOTÁ</v>
      </c>
      <c r="D5651" s="15" t="str">
        <f>IFERROR(__xludf.DUMMYFUNCTION("""COMPUTED_VALUE"""),"MEDELLÍN")</f>
        <v>MEDELLÍN</v>
      </c>
      <c r="E5651" s="15" t="str">
        <f>IFERROR(__xludf.DUMMYFUNCTION("""COMPUTED_VALUE"""),"Rambla")</f>
        <v>Rambla</v>
      </c>
      <c r="F5651" s="17" t="str">
        <f>IFERROR(__xludf.DUMMYFUNCTION("""COMPUTED_VALUE"""),"Carrera 5 # 86-58 / - / -")</f>
        <v>Carrera 5 # 86-58 / - / -</v>
      </c>
      <c r="G5651" s="15" t="str">
        <f>IFERROR(__xludf.DUMMYFUNCTION("""COMPUTED_VALUE"""),"Alicia Maldonado")</f>
        <v>Alicia Maldonado</v>
      </c>
      <c r="H5651" s="16">
        <f>IFERROR(__xludf.DUMMYFUNCTION("""COMPUTED_VALUE"""),14374.0)</f>
        <v>14374</v>
      </c>
      <c r="I5651" s="18">
        <f>IFERROR(__xludf.DUMMYFUNCTION("""COMPUTED_VALUE"""),22.0)</f>
        <v>22</v>
      </c>
      <c r="J5651" s="18">
        <f>IFERROR(__xludf.DUMMYFUNCTION("""COMPUTED_VALUE"""),22.0)</f>
        <v>22</v>
      </c>
      <c r="K5651" s="18">
        <f>IFERROR(__xludf.DUMMYFUNCTION("""COMPUTED_VALUE"""),25.0)</f>
        <v>25</v>
      </c>
      <c r="L5651" s="17">
        <f>IFERROR(__xludf.DUMMYFUNCTION("""COMPUTED_VALUE"""),3.208309047E9)</f>
        <v>3208309047</v>
      </c>
      <c r="M5651" s="17" t="str">
        <f>IFERROR(__xludf.DUMMYFUNCTION("""COMPUTED_VALUE"""),"#REF!")</f>
        <v>#REF!</v>
      </c>
      <c r="N5651" s="17"/>
      <c r="O5651" s="17"/>
      <c r="P5651" s="17" t="b">
        <f>IFERROR(__xludf.DUMMYFUNCTION("""COMPUTED_VALUE"""),FALSE)</f>
        <v>0</v>
      </c>
      <c r="Q5651" s="20" t="str">
        <f>IFERROR(__xludf.DUMMYFUNCTION("""COMPUTED_VALUE"""),"")</f>
        <v/>
      </c>
      <c r="R5651" s="21" t="str">
        <f>IFERROR(__xludf.DUMMYFUNCTION("""COMPUTED_VALUE"""),"https://drive.google.com/file/d/1kOybi5bgM2Cp6y_15JQiD5LAM7Hn8NrQ/view?usp=drivesdk")</f>
        <v>https://drive.google.com/file/d/1kOybi5bgM2Cp6y_15JQiD5LAM7Hn8NrQ/view?usp=drivesdk</v>
      </c>
    </row>
    <row r="5652">
      <c r="A5652" s="15">
        <f>IFERROR(__xludf.DUMMYFUNCTION("""COMPUTED_VALUE"""),45163.0)</f>
        <v>45163</v>
      </c>
      <c r="B5652" s="16" t="str">
        <f>IFERROR(__xludf.DUMMYFUNCTION("""COMPUTED_VALUE"""),"Jeison Rubiano")</f>
        <v>Jeison Rubiano</v>
      </c>
      <c r="C5652" s="15" t="str">
        <f>IFERROR(__xludf.DUMMYFUNCTION("""COMPUTED_VALUE"""),"BOGOTÁ")</f>
        <v>BOGOTÁ</v>
      </c>
      <c r="D5652" s="15" t="str">
        <f>IFERROR(__xludf.DUMMYFUNCTION("""COMPUTED_VALUE"""),"MEDELLÍN")</f>
        <v>MEDELLÍN</v>
      </c>
      <c r="E5652" s="15" t="str">
        <f>IFERROR(__xludf.DUMMYFUNCTION("""COMPUTED_VALUE"""),"Rambla")</f>
        <v>Rambla</v>
      </c>
      <c r="F5652" s="17" t="str">
        <f>IFERROR(__xludf.DUMMYFUNCTION("""COMPUTED_VALUE"""),"Cl. 93a #11-46, Barrio Chicó / - / -")</f>
        <v>Cl. 93a #11-46, Barrio Chicó / - / -</v>
      </c>
      <c r="G5652" s="15" t="str">
        <f>IFERROR(__xludf.DUMMYFUNCTION("""COMPUTED_VALUE"""),"Fit Hub #26168")</f>
        <v>Fit Hub #26168</v>
      </c>
      <c r="H5652" s="16">
        <f>IFERROR(__xludf.DUMMYFUNCTION("""COMPUTED_VALUE"""),14371.0)</f>
        <v>14371</v>
      </c>
      <c r="I5652" s="18">
        <f>IFERROR(__xludf.DUMMYFUNCTION("""COMPUTED_VALUE"""),22.0)</f>
        <v>22</v>
      </c>
      <c r="J5652" s="18">
        <f>IFERROR(__xludf.DUMMYFUNCTION("""COMPUTED_VALUE"""),22.0)</f>
        <v>22</v>
      </c>
      <c r="K5652" s="18">
        <f>IFERROR(__xludf.DUMMYFUNCTION("""COMPUTED_VALUE"""),25.0)</f>
        <v>25</v>
      </c>
      <c r="L5652" s="17">
        <f>IFERROR(__xludf.DUMMYFUNCTION("""COMPUTED_VALUE"""),3.015447307E9)</f>
        <v>3015447307</v>
      </c>
      <c r="M5652" s="17" t="str">
        <f>IFERROR(__xludf.DUMMYFUNCTION("""COMPUTED_VALUE"""),"#REF!")</f>
        <v>#REF!</v>
      </c>
      <c r="N5652" s="17"/>
      <c r="O5652" s="17"/>
      <c r="P5652" s="17" t="b">
        <f>IFERROR(__xludf.DUMMYFUNCTION("""COMPUTED_VALUE"""),FALSE)</f>
        <v>0</v>
      </c>
      <c r="Q5652" s="20" t="str">
        <f>IFERROR(__xludf.DUMMYFUNCTION("""COMPUTED_VALUE"""),"")</f>
        <v/>
      </c>
      <c r="R5652" s="21" t="str">
        <f>IFERROR(__xludf.DUMMYFUNCTION("""COMPUTED_VALUE"""),"https://drive.google.com/file/d/1mkOMENzNnLGBL9k56d1M6T9PJlufZ2_p/view?usp=drivesdk")</f>
        <v>https://drive.google.com/file/d/1mkOMENzNnLGBL9k56d1M6T9PJlufZ2_p/view?usp=drivesdk</v>
      </c>
    </row>
    <row r="5653">
      <c r="A5653" s="15">
        <f>IFERROR(__xludf.DUMMYFUNCTION("""COMPUTED_VALUE"""),45163.0)</f>
        <v>45163</v>
      </c>
      <c r="B5653" s="16" t="str">
        <f>IFERROR(__xludf.DUMMYFUNCTION("""COMPUTED_VALUE"""),"Jeison Rubiano")</f>
        <v>Jeison Rubiano</v>
      </c>
      <c r="C5653" s="15" t="str">
        <f>IFERROR(__xludf.DUMMYFUNCTION("""COMPUTED_VALUE"""),"BOGOTÁ")</f>
        <v>BOGOTÁ</v>
      </c>
      <c r="D5653" s="15" t="str">
        <f>IFERROR(__xludf.DUMMYFUNCTION("""COMPUTED_VALUE"""),"MEDELLÍN")</f>
        <v>MEDELLÍN</v>
      </c>
      <c r="E5653" s="15" t="str">
        <f>IFERROR(__xludf.DUMMYFUNCTION("""COMPUTED_VALUE"""),"Rambla")</f>
        <v>Rambla</v>
      </c>
      <c r="F5653" s="17" t="str">
        <f>IFERROR(__xludf.DUMMYFUNCTION("""COMPUTED_VALUE"""),"CR 58 128 27 LC 102 / - / -")</f>
        <v>CR 58 128 27 LC 102 / - / -</v>
      </c>
      <c r="G5653" s="15" t="str">
        <f>IFERROR(__xludf.DUMMYFUNCTION("""COMPUTED_VALUE"""),"Amarte Market")</f>
        <v>Amarte Market</v>
      </c>
      <c r="H5653" s="16">
        <f>IFERROR(__xludf.DUMMYFUNCTION("""COMPUTED_VALUE"""),14373.0)</f>
        <v>14373</v>
      </c>
      <c r="I5653" s="18">
        <f>IFERROR(__xludf.DUMMYFUNCTION("""COMPUTED_VALUE"""),22.0)</f>
        <v>22</v>
      </c>
      <c r="J5653" s="18">
        <f>IFERROR(__xludf.DUMMYFUNCTION("""COMPUTED_VALUE"""),22.0)</f>
        <v>22</v>
      </c>
      <c r="K5653" s="18">
        <f>IFERROR(__xludf.DUMMYFUNCTION("""COMPUTED_VALUE"""),25.0)</f>
        <v>25</v>
      </c>
      <c r="L5653" s="17">
        <f>IFERROR(__xludf.DUMMYFUNCTION("""COMPUTED_VALUE"""),3.013659771E9)</f>
        <v>3013659771</v>
      </c>
      <c r="M5653" s="17" t="str">
        <f>IFERROR(__xludf.DUMMYFUNCTION("""COMPUTED_VALUE"""),"#REF!")</f>
        <v>#REF!</v>
      </c>
      <c r="N5653" s="17"/>
      <c r="O5653" s="17"/>
      <c r="P5653" s="17" t="b">
        <f>IFERROR(__xludf.DUMMYFUNCTION("""COMPUTED_VALUE"""),FALSE)</f>
        <v>0</v>
      </c>
      <c r="Q5653" s="20" t="str">
        <f>IFERROR(__xludf.DUMMYFUNCTION("""COMPUTED_VALUE"""),"")</f>
        <v/>
      </c>
      <c r="R5653" s="21" t="str">
        <f>IFERROR(__xludf.DUMMYFUNCTION("""COMPUTED_VALUE"""),"https://drive.google.com/file/d/1jxWeGFheQkqUSR_Z3-s2mqlrprc9CSWD/view?usp=drivesdk")</f>
        <v>https://drive.google.com/file/d/1jxWeGFheQkqUSR_Z3-s2mqlrprc9CSWD/view?usp=drivesdk</v>
      </c>
    </row>
    <row r="5654">
      <c r="A5654" s="15">
        <f>IFERROR(__xludf.DUMMYFUNCTION("""COMPUTED_VALUE"""),45163.0)</f>
        <v>45163</v>
      </c>
      <c r="B5654" s="16" t="str">
        <f>IFERROR(__xludf.DUMMYFUNCTION("""COMPUTED_VALUE"""),"Jeison Rubiano")</f>
        <v>Jeison Rubiano</v>
      </c>
      <c r="C5654" s="15" t="str">
        <f>IFERROR(__xludf.DUMMYFUNCTION("""COMPUTED_VALUE"""),"CARTAGENA")</f>
        <v>CARTAGENA</v>
      </c>
      <c r="D5654" s="15" t="str">
        <f>IFERROR(__xludf.DUMMYFUNCTION("""COMPUTED_VALUE"""),"BOGOTÁ")</f>
        <v>BOGOTÁ</v>
      </c>
      <c r="E5654" s="15" t="str">
        <f>IFERROR(__xludf.DUMMYFUNCTION("""COMPUTED_VALUE"""),"Mochi")</f>
        <v>Mochi</v>
      </c>
      <c r="F5654" s="17" t="str">
        <f>IFERROR(__xludf.DUMMYFUNCTION("""COMPUTED_VALUE"""),"Cra. 11 # 39-21, San Diego, Cartagena de Indias, Provincia de Cartagena, Bolíva / Cra. 11 # 39-21, San Diego, Cartagena de Indias, Provincia de Cartagena, Bolíva / Cra. 11 # 39-21, San Diego, Cartagena de Indias, Provincia de Cartagena, Bolíva")</f>
        <v>Cra. 11 # 39-21, San Diego, Cartagena de Indias, Provincia de Cartagena, Bolíva / Cra. 11 # 39-21, San Diego, Cartagena de Indias, Provincia de Cartagena, Bolíva / Cra. 11 # 39-21, San Diego, Cartagena de Indias, Provincia de Cartagena, Bolíva</v>
      </c>
      <c r="G5654" s="15" t="str">
        <f>IFERROR(__xludf.DUMMYFUNCTION("""COMPUTED_VALUE"""),"Maria Camila")</f>
        <v>Maria Camila</v>
      </c>
      <c r="H5654" s="16">
        <f>IFERROR(__xludf.DUMMYFUNCTION("""COMPUTED_VALUE"""),14378.0)</f>
        <v>14378</v>
      </c>
      <c r="I5654" s="18">
        <f>IFERROR(__xludf.DUMMYFUNCTION("""COMPUTED_VALUE"""),100.0)</f>
        <v>100</v>
      </c>
      <c r="J5654" s="18">
        <f>IFERROR(__xludf.DUMMYFUNCTION("""COMPUTED_VALUE"""),100.0)</f>
        <v>100</v>
      </c>
      <c r="K5654" s="18">
        <f>IFERROR(__xludf.DUMMYFUNCTION("""COMPUTED_VALUE"""),300.0)</f>
        <v>300</v>
      </c>
      <c r="L5654" s="17">
        <f>IFERROR(__xludf.DUMMYFUNCTION("""COMPUTED_VALUE"""),3.116026252E9)</f>
        <v>3116026252</v>
      </c>
      <c r="M5654" s="17" t="str">
        <f>IFERROR(__xludf.DUMMYFUNCTION("""COMPUTED_VALUE"""),"#REF!")</f>
        <v>#REF!</v>
      </c>
      <c r="N5654" s="17"/>
      <c r="O5654" s="17"/>
      <c r="P5654" s="17" t="b">
        <f>IFERROR(__xludf.DUMMYFUNCTION("""COMPUTED_VALUE"""),FALSE)</f>
        <v>0</v>
      </c>
      <c r="Q5654" s="20" t="str">
        <f>IFERROR(__xludf.DUMMYFUNCTION("""COMPUTED_VALUE"""),"")</f>
        <v/>
      </c>
      <c r="R5654" s="22" t="str">
        <f>IFERROR(__xludf.DUMMYFUNCTION("""COMPUTED_VALUE"""),"")</f>
        <v/>
      </c>
    </row>
    <row r="5655">
      <c r="A5655" s="15">
        <f>IFERROR(__xludf.DUMMYFUNCTION("""COMPUTED_VALUE"""),45163.0)</f>
        <v>45163</v>
      </c>
      <c r="B5655" s="16" t="str">
        <f>IFERROR(__xludf.DUMMYFUNCTION("""COMPUTED_VALUE"""),"Jeison Rubiano")</f>
        <v>Jeison Rubiano</v>
      </c>
      <c r="C5655" s="15" t="str">
        <f>IFERROR(__xludf.DUMMYFUNCTION("""COMPUTED_VALUE"""),"CARTAGENA")</f>
        <v>CARTAGENA</v>
      </c>
      <c r="D5655" s="15" t="str">
        <f>IFERROR(__xludf.DUMMYFUNCTION("""COMPUTED_VALUE"""),"BOGOTÁ")</f>
        <v>BOGOTÁ</v>
      </c>
      <c r="E5655" s="15" t="str">
        <f>IFERROR(__xludf.DUMMYFUNCTION("""COMPUTED_VALUE"""),"SISU PARTNERS SAS")</f>
        <v>SISU PARTNERS SAS</v>
      </c>
      <c r="F5655" s="17" t="str">
        <f>IFERROR(__xludf.DUMMYFUNCTION("""COMPUTED_VALUE"""),"Carrera 7 no. 38-48 local 3 / Local Mary &amp; George")</f>
        <v>Carrera 7 no. 38-48 local 3 / Local Mary &amp; George</v>
      </c>
      <c r="G5655" s="15" t="str">
        <f>IFERROR(__xludf.DUMMYFUNCTION("""COMPUTED_VALUE"""),"Carolyne Bailey")</f>
        <v>Carolyne Bailey</v>
      </c>
      <c r="H5655" s="16">
        <f>IFERROR(__xludf.DUMMYFUNCTION("""COMPUTED_VALUE"""),14364.0)</f>
        <v>14364</v>
      </c>
      <c r="I5655" s="18" t="str">
        <f>IFERROR(__xludf.DUMMYFUNCTION("""COMPUTED_VALUE"""),"52.5")</f>
        <v>52.5</v>
      </c>
      <c r="J5655" s="18">
        <f>IFERROR(__xludf.DUMMYFUNCTION("""COMPUTED_VALUE"""),45.0)</f>
        <v>45</v>
      </c>
      <c r="K5655" s="18">
        <f>IFERROR(__xludf.DUMMYFUNCTION("""COMPUTED_VALUE"""),55.0)</f>
        <v>55</v>
      </c>
      <c r="L5655" s="17">
        <f>IFERROR(__xludf.DUMMYFUNCTION("""COMPUTED_VALUE"""),3.105510381E9)</f>
        <v>3105510381</v>
      </c>
      <c r="M5655" s="17" t="str">
        <f>IFERROR(__xludf.DUMMYFUNCTION("""COMPUTED_VALUE"""),"#REF!")</f>
        <v>#REF!</v>
      </c>
      <c r="N5655" s="17"/>
      <c r="O5655" s="17"/>
      <c r="P5655" s="17" t="b">
        <f>IFERROR(__xludf.DUMMYFUNCTION("""COMPUTED_VALUE"""),FALSE)</f>
        <v>0</v>
      </c>
      <c r="Q5655" s="20" t="str">
        <f>IFERROR(__xludf.DUMMYFUNCTION("""COMPUTED_VALUE"""),"")</f>
        <v/>
      </c>
      <c r="R5655" s="22" t="str">
        <f>IFERROR(__xludf.DUMMYFUNCTION("""COMPUTED_VALUE"""),"")</f>
        <v/>
      </c>
    </row>
    <row r="5656">
      <c r="A5656" s="17" t="str">
        <f>IFERROR(__xludf.DUMMYFUNCTION("""COMPUTED_VALUE"""),"")</f>
        <v/>
      </c>
      <c r="B5656" s="17" t="str">
        <f>IFERROR(__xludf.DUMMYFUNCTION("""COMPUTED_VALUE"""),"")</f>
        <v/>
      </c>
      <c r="C5656" s="17" t="str">
        <f>IFERROR(__xludf.DUMMYFUNCTION("""COMPUTED_VALUE"""),"")</f>
        <v/>
      </c>
      <c r="D5656" s="17" t="str">
        <f>IFERROR(__xludf.DUMMYFUNCTION("""COMPUTED_VALUE"""),"")</f>
        <v/>
      </c>
      <c r="E5656" s="17" t="str">
        <f>IFERROR(__xludf.DUMMYFUNCTION("""COMPUTED_VALUE"""),"")</f>
        <v/>
      </c>
      <c r="F5656" s="17" t="str">
        <f>IFERROR(__xludf.DUMMYFUNCTION("""COMPUTED_VALUE"""),"")</f>
        <v/>
      </c>
      <c r="G5656" s="17" t="str">
        <f>IFERROR(__xludf.DUMMYFUNCTION("""COMPUTED_VALUE"""),"")</f>
        <v/>
      </c>
      <c r="H5656" s="17" t="str">
        <f>IFERROR(__xludf.DUMMYFUNCTION("""COMPUTED_VALUE"""),"")</f>
        <v/>
      </c>
      <c r="I5656" s="17" t="str">
        <f>IFERROR(__xludf.DUMMYFUNCTION("""COMPUTED_VALUE"""),"")</f>
        <v/>
      </c>
      <c r="J5656" s="17" t="str">
        <f>IFERROR(__xludf.DUMMYFUNCTION("""COMPUTED_VALUE"""),"")</f>
        <v/>
      </c>
      <c r="K5656" s="17" t="str">
        <f>IFERROR(__xludf.DUMMYFUNCTION("""COMPUTED_VALUE"""),"")</f>
        <v/>
      </c>
      <c r="L5656" s="17" t="str">
        <f>IFERROR(__xludf.DUMMYFUNCTION("""COMPUTED_VALUE"""),"")</f>
        <v/>
      </c>
      <c r="M5656" s="17" t="str">
        <f>IFERROR(__xludf.DUMMYFUNCTION("""COMPUTED_VALUE"""),"")</f>
        <v/>
      </c>
      <c r="N5656" s="17" t="str">
        <f>IFERROR(__xludf.DUMMYFUNCTION("""COMPUTED_VALUE"""),"")</f>
        <v/>
      </c>
      <c r="O5656" s="17" t="str">
        <f>IFERROR(__xludf.DUMMYFUNCTION("""COMPUTED_VALUE"""),"")</f>
        <v/>
      </c>
      <c r="P5656" s="17" t="str">
        <f>IFERROR(__xludf.DUMMYFUNCTION("""COMPUTED_VALUE"""),"")</f>
        <v/>
      </c>
      <c r="Q5656" s="17" t="str">
        <f>IFERROR(__xludf.DUMMYFUNCTION("""COMPUTED_VALUE"""),"")</f>
        <v/>
      </c>
      <c r="R5656" s="17" t="str">
        <f>IFERROR(__xludf.DUMMYFUNCTION("""COMPUTED_VALUE"""),"")</f>
        <v/>
      </c>
    </row>
    <row r="5657">
      <c r="A5657" s="15">
        <f>IFERROR(__xludf.DUMMYFUNCTION("""COMPUTED_VALUE"""),45163.0)</f>
        <v>45163</v>
      </c>
      <c r="B5657" s="16" t="str">
        <f>IFERROR(__xludf.DUMMYFUNCTION("""COMPUTED_VALUE"""),"Lina Gaona")</f>
        <v>Lina Gaona</v>
      </c>
      <c r="C5657" s="15" t="str">
        <f>IFERROR(__xludf.DUMMYFUNCTION("""COMPUTED_VALUE"""),"CÚCUTA")</f>
        <v>CÚCUTA</v>
      </c>
      <c r="D5657" s="15" t="str">
        <f>IFERROR(__xludf.DUMMYFUNCTION("""COMPUTED_VALUE"""),"BOGOTÁ")</f>
        <v>BOGOTÁ</v>
      </c>
      <c r="E5657" s="15" t="str">
        <f>IFERROR(__xludf.DUMMYFUNCTION("""COMPUTED_VALUE"""),"Asociacion Agropecuaria Juana Maria")</f>
        <v>Asociacion Agropecuaria Juana Maria</v>
      </c>
      <c r="F5657" s="17" t="str">
        <f>IFERROR(__xludf.DUMMYFUNCTION("""COMPUTED_VALUE"""),"AV. 2E # 15 A -17   PISTACHO FIT MARKET BARRIO CAOBOS")</f>
        <v>AV. 2E # 15 A -17   PISTACHO FIT MARKET BARRIO CAOBOS</v>
      </c>
      <c r="G5657" s="15" t="str">
        <f>IFERROR(__xludf.DUMMYFUNCTION("""COMPUTED_VALUE"""),"DACCY KARINA LOPEZ")</f>
        <v>DACCY KARINA LOPEZ</v>
      </c>
      <c r="H5657" s="16">
        <f>IFERROR(__xludf.DUMMYFUNCTION("""COMPUTED_VALUE"""),14169.0)</f>
        <v>14169</v>
      </c>
      <c r="I5657" s="18">
        <f>IFERROR(__xludf.DUMMYFUNCTION("""COMPUTED_VALUE"""),26.0)</f>
        <v>26</v>
      </c>
      <c r="J5657" s="18">
        <f>IFERROR(__xludf.DUMMYFUNCTION("""COMPUTED_VALUE"""),8.0)</f>
        <v>8</v>
      </c>
      <c r="K5657" s="18">
        <f>IFERROR(__xludf.DUMMYFUNCTION("""COMPUTED_VALUE"""),8.0)</f>
        <v>8</v>
      </c>
      <c r="L5657" s="17">
        <f>IFERROR(__xludf.DUMMYFUNCTION("""COMPUTED_VALUE"""),3.208615379E9)</f>
        <v>3208615379</v>
      </c>
      <c r="M5657" s="17" t="str">
        <f>IFERROR(__xludf.DUMMYFUNCTION("""COMPUTED_VALUE"""),"#REF!")</f>
        <v>#REF!</v>
      </c>
      <c r="N5657" s="17"/>
      <c r="O5657" s="17"/>
      <c r="P5657" s="17" t="b">
        <f>IFERROR(__xludf.DUMMYFUNCTION("""COMPUTED_VALUE"""),FALSE)</f>
        <v>0</v>
      </c>
      <c r="Q5657" s="20" t="str">
        <f>IFERROR(__xludf.DUMMYFUNCTION("""COMPUTED_VALUE"""),"")</f>
        <v/>
      </c>
      <c r="R5657" s="22" t="str">
        <f>IFERROR(__xludf.DUMMYFUNCTION("""COMPUTED_VALUE"""),"")</f>
        <v/>
      </c>
    </row>
    <row r="5658">
      <c r="A5658" s="15">
        <f>IFERROR(__xludf.DUMMYFUNCTION("""COMPUTED_VALUE"""),45163.0)</f>
        <v>45163</v>
      </c>
      <c r="B5658" s="16" t="str">
        <f>IFERROR(__xludf.DUMMYFUNCTION("""COMPUTED_VALUE"""),"Lina Gaona")</f>
        <v>Lina Gaona</v>
      </c>
      <c r="C5658" s="15" t="str">
        <f>IFERROR(__xludf.DUMMYFUNCTION("""COMPUTED_VALUE"""),"CÚCUTA")</f>
        <v>CÚCUTA</v>
      </c>
      <c r="D5658" s="15" t="str">
        <f>IFERROR(__xludf.DUMMYFUNCTION("""COMPUTED_VALUE"""),"BOGOTÁ")</f>
        <v>BOGOTÁ</v>
      </c>
      <c r="E5658" s="15" t="str">
        <f>IFERROR(__xludf.DUMMYFUNCTION("""COMPUTED_VALUE"""),"Evamazzita")</f>
        <v>Evamazzita</v>
      </c>
      <c r="F5658" s="17" t="str">
        <f>IFERROR(__xludf.DUMMYFUNCTION("""COMPUTED_VALUE"""),"Av 2E # 15A -17 Caobos / Av 2E # 15A -17 Caobos / Av 2E # 15A -17 Caobos")</f>
        <v>Av 2E # 15A -17 Caobos / Av 2E # 15A -17 Caobos / Av 2E # 15A -17 Caobos</v>
      </c>
      <c r="G5658" s="15" t="str">
        <f>IFERROR(__xludf.DUMMYFUNCTION("""COMPUTED_VALUE"""),"DACCY KARINA LOPEZ MORENO")</f>
        <v>DACCY KARINA LOPEZ MORENO</v>
      </c>
      <c r="H5658" s="16">
        <f>IFERROR(__xludf.DUMMYFUNCTION("""COMPUTED_VALUE"""),14321.0)</f>
        <v>14321</v>
      </c>
      <c r="I5658" s="18">
        <f>IFERROR(__xludf.DUMMYFUNCTION("""COMPUTED_VALUE"""),17.0)</f>
        <v>17</v>
      </c>
      <c r="J5658" s="18">
        <f>IFERROR(__xludf.DUMMYFUNCTION("""COMPUTED_VALUE"""),34.0)</f>
        <v>34</v>
      </c>
      <c r="K5658" s="18">
        <f>IFERROR(__xludf.DUMMYFUNCTION("""COMPUTED_VALUE"""),27.0)</f>
        <v>27</v>
      </c>
      <c r="L5658" s="17">
        <f>IFERROR(__xludf.DUMMYFUNCTION("""COMPUTED_VALUE"""),3.208615379E9)</f>
        <v>3208615379</v>
      </c>
      <c r="M5658" s="17" t="str">
        <f>IFERROR(__xludf.DUMMYFUNCTION("""COMPUTED_VALUE"""),"#REF!")</f>
        <v>#REF!</v>
      </c>
      <c r="N5658" s="17"/>
      <c r="O5658" s="17"/>
      <c r="P5658" s="17" t="b">
        <f>IFERROR(__xludf.DUMMYFUNCTION("""COMPUTED_VALUE"""),FALSE)</f>
        <v>0</v>
      </c>
      <c r="Q5658" s="20" t="str">
        <f>IFERROR(__xludf.DUMMYFUNCTION("""COMPUTED_VALUE"""),"")</f>
        <v/>
      </c>
      <c r="R5658" s="22" t="str">
        <f>IFERROR(__xludf.DUMMYFUNCTION("""COMPUTED_VALUE"""),"")</f>
        <v/>
      </c>
    </row>
    <row r="5659">
      <c r="A5659" s="15">
        <f>IFERROR(__xludf.DUMMYFUNCTION("""COMPUTED_VALUE"""),45163.0)</f>
        <v>45163</v>
      </c>
      <c r="B5659" s="16" t="str">
        <f>IFERROR(__xludf.DUMMYFUNCTION("""COMPUTED_VALUE"""),"Lina Gaona")</f>
        <v>Lina Gaona</v>
      </c>
      <c r="C5659" s="15" t="str">
        <f>IFERROR(__xludf.DUMMYFUNCTION("""COMPUTED_VALUE"""),"CÚCUTA")</f>
        <v>CÚCUTA</v>
      </c>
      <c r="D5659" s="15" t="str">
        <f>IFERROR(__xludf.DUMMYFUNCTION("""COMPUTED_VALUE"""),"BOGOTÁ")</f>
        <v>BOGOTÁ</v>
      </c>
      <c r="E5659" s="15" t="str">
        <f>IFERROR(__xludf.DUMMYFUNCTION("""COMPUTED_VALUE"""),"Evamazzita")</f>
        <v>Evamazzita</v>
      </c>
      <c r="F5659" s="17" t="str">
        <f>IFERROR(__xludf.DUMMYFUNCTION("""COMPUTED_VALUE"""),"CALLE 14 No. 13AN - 85  / APTO 202  / BARRIO OCHO DE DICIEMBRE - AV LAS AMERICAS")</f>
        <v>CALLE 14 No. 13AN - 85  / APTO 202  / BARRIO OCHO DE DICIEMBRE - AV LAS AMERICAS</v>
      </c>
      <c r="G5659" s="15" t="str">
        <f>IFERROR(__xludf.DUMMYFUNCTION("""COMPUTED_VALUE"""),"LEIDY JOHANNA RODRIGUEZ CARREÑO")</f>
        <v>LEIDY JOHANNA RODRIGUEZ CARREÑO</v>
      </c>
      <c r="H5659" s="16">
        <f>IFERROR(__xludf.DUMMYFUNCTION("""COMPUTED_VALUE"""),14320.0)</f>
        <v>14320</v>
      </c>
      <c r="I5659" s="18">
        <f>IFERROR(__xludf.DUMMYFUNCTION("""COMPUTED_VALUE"""),5.0)</f>
        <v>5</v>
      </c>
      <c r="J5659" s="18">
        <f>IFERROR(__xludf.DUMMYFUNCTION("""COMPUTED_VALUE"""),23.0)</f>
        <v>23</v>
      </c>
      <c r="K5659" s="18">
        <f>IFERROR(__xludf.DUMMYFUNCTION("""COMPUTED_VALUE"""),19.0)</f>
        <v>19</v>
      </c>
      <c r="L5659" s="17">
        <f>IFERROR(__xludf.DUMMYFUNCTION("""COMPUTED_VALUE"""),3.125904031E9)</f>
        <v>3125904031</v>
      </c>
      <c r="M5659" s="17" t="str">
        <f>IFERROR(__xludf.DUMMYFUNCTION("""COMPUTED_VALUE"""),"#REF!")</f>
        <v>#REF!</v>
      </c>
      <c r="N5659" s="17"/>
      <c r="O5659" s="17"/>
      <c r="P5659" s="17" t="b">
        <f>IFERROR(__xludf.DUMMYFUNCTION("""COMPUTED_VALUE"""),FALSE)</f>
        <v>0</v>
      </c>
      <c r="Q5659" s="20" t="str">
        <f>IFERROR(__xludf.DUMMYFUNCTION("""COMPUTED_VALUE"""),"")</f>
        <v/>
      </c>
      <c r="R5659" s="22" t="str">
        <f>IFERROR(__xludf.DUMMYFUNCTION("""COMPUTED_VALUE"""),"")</f>
        <v/>
      </c>
    </row>
    <row r="5660">
      <c r="A5660" s="15">
        <f>IFERROR(__xludf.DUMMYFUNCTION("""COMPUTED_VALUE"""),45163.0)</f>
        <v>45163</v>
      </c>
      <c r="B5660" s="16" t="str">
        <f>IFERROR(__xludf.DUMMYFUNCTION("""COMPUTED_VALUE"""),"Lina Gaona")</f>
        <v>Lina Gaona</v>
      </c>
      <c r="C5660" s="15" t="str">
        <f>IFERROR(__xludf.DUMMYFUNCTION("""COMPUTED_VALUE"""),"CÚCUTA")</f>
        <v>CÚCUTA</v>
      </c>
      <c r="D5660" s="15" t="str">
        <f>IFERROR(__xludf.DUMMYFUNCTION("""COMPUTED_VALUE"""),"BOGOTÁ")</f>
        <v>BOGOTÁ</v>
      </c>
      <c r="E5660" s="15" t="str">
        <f>IFERROR(__xludf.DUMMYFUNCTION("""COMPUTED_VALUE"""),"Lunchy Kids")</f>
        <v>Lunchy Kids</v>
      </c>
      <c r="F5660" s="17" t="str">
        <f>IFERROR(__xludf.DUMMYFUNCTION("""COMPUTED_VALUE"""),"Centro comercial Alejandria la Nueva presentación - Calle 8 entrada 17 / Local 14 - 055 / Cúcuta")</f>
        <v>Centro comercial Alejandria la Nueva presentación - Calle 8 entrada 17 / Local 14 - 055 / Cúcuta</v>
      </c>
      <c r="G5660" s="15" t="str">
        <f>IFERROR(__xludf.DUMMYFUNCTION("""COMPUTED_VALUE"""),"Marisol Ramirez")</f>
        <v>Marisol Ramirez</v>
      </c>
      <c r="H5660" s="16">
        <f>IFERROR(__xludf.DUMMYFUNCTION("""COMPUTED_VALUE"""),14194.0)</f>
        <v>14194</v>
      </c>
      <c r="I5660" s="18">
        <f>IFERROR(__xludf.DUMMYFUNCTION("""COMPUTED_VALUE"""),17.0)</f>
        <v>17</v>
      </c>
      <c r="J5660" s="18">
        <f>IFERROR(__xludf.DUMMYFUNCTION("""COMPUTED_VALUE"""),25.0)</f>
        <v>25</v>
      </c>
      <c r="K5660" s="18">
        <f>IFERROR(__xludf.DUMMYFUNCTION("""COMPUTED_VALUE"""),19.0)</f>
        <v>19</v>
      </c>
      <c r="L5660" s="17">
        <f>IFERROR(__xludf.DUMMYFUNCTION("""COMPUTED_VALUE"""),3.224139217E9)</f>
        <v>3224139217</v>
      </c>
      <c r="M5660" s="17" t="str">
        <f>IFERROR(__xludf.DUMMYFUNCTION("""COMPUTED_VALUE"""),"#REF!")</f>
        <v>#REF!</v>
      </c>
      <c r="N5660" s="17"/>
      <c r="O5660" s="17"/>
      <c r="P5660" s="17" t="b">
        <f>IFERROR(__xludf.DUMMYFUNCTION("""COMPUTED_VALUE"""),FALSE)</f>
        <v>0</v>
      </c>
      <c r="Q5660" s="20" t="str">
        <f>IFERROR(__xludf.DUMMYFUNCTION("""COMPUTED_VALUE"""),"")</f>
        <v/>
      </c>
      <c r="R5660" s="21" t="str">
        <f>IFERROR(__xludf.DUMMYFUNCTION("""COMPUTED_VALUE"""),"https://drive.google.com/file/d/1AtRNoFtqDaNe0BwbRtn0RXwdcC33_1_k/view?usp=drivesdk")</f>
        <v>https://drive.google.com/file/d/1AtRNoFtqDaNe0BwbRtn0RXwdcC33_1_k/view?usp=drivesdk</v>
      </c>
    </row>
    <row r="5661">
      <c r="A5661" s="15">
        <f>IFERROR(__xludf.DUMMYFUNCTION("""COMPUTED_VALUE"""),45163.0)</f>
        <v>45163</v>
      </c>
      <c r="B5661" s="16" t="str">
        <f>IFERROR(__xludf.DUMMYFUNCTION("""COMPUTED_VALUE"""),"Lina Gaona")</f>
        <v>Lina Gaona</v>
      </c>
      <c r="C5661" s="15" t="str">
        <f>IFERROR(__xludf.DUMMYFUNCTION("""COMPUTED_VALUE"""),"CÚCUTA")</f>
        <v>CÚCUTA</v>
      </c>
      <c r="D5661" s="15" t="str">
        <f>IFERROR(__xludf.DUMMYFUNCTION("""COMPUTED_VALUE"""),"MEDELLÍN")</f>
        <v>MEDELLÍN</v>
      </c>
      <c r="E5661" s="15" t="str">
        <f>IFERROR(__xludf.DUMMYFUNCTION("""COMPUTED_VALUE"""),"Cliente Nuevo")</f>
        <v>Cliente Nuevo</v>
      </c>
      <c r="F5661" s="17" t="str">
        <f>IFERROR(__xludf.DUMMYFUNCTION("""COMPUTED_VALUE"""),"Av 3e No 6cn-12 ceiba dos / Local comercial / Ceiba dos")</f>
        <v>Av 3e No 6cn-12 ceiba dos / Local comercial / Ceiba dos</v>
      </c>
      <c r="G5661" s="15" t="str">
        <f>IFERROR(__xludf.DUMMYFUNCTION("""COMPUTED_VALUE"""),"La bodeguita market fit")</f>
        <v>La bodeguita market fit</v>
      </c>
      <c r="H5661" s="16">
        <f>IFERROR(__xludf.DUMMYFUNCTION("""COMPUTED_VALUE"""),14354.0)</f>
        <v>14354</v>
      </c>
      <c r="I5661" s="18">
        <f>IFERROR(__xludf.DUMMYFUNCTION("""COMPUTED_VALUE"""),20.0)</f>
        <v>20</v>
      </c>
      <c r="J5661" s="18">
        <f>IFERROR(__xludf.DUMMYFUNCTION("""COMPUTED_VALUE"""),37.0)</f>
        <v>37</v>
      </c>
      <c r="K5661" s="18">
        <f>IFERROR(__xludf.DUMMYFUNCTION("""COMPUTED_VALUE"""),50.0)</f>
        <v>50</v>
      </c>
      <c r="L5661" s="17">
        <f>IFERROR(__xludf.DUMMYFUNCTION("""COMPUTED_VALUE"""),3.209091389E9)</f>
        <v>3209091389</v>
      </c>
      <c r="M5661" s="17" t="str">
        <f>IFERROR(__xludf.DUMMYFUNCTION("""COMPUTED_VALUE"""),"#REF!")</f>
        <v>#REF!</v>
      </c>
      <c r="N5661" s="17"/>
      <c r="O5661" s="17"/>
      <c r="P5661" s="17" t="b">
        <f>IFERROR(__xludf.DUMMYFUNCTION("""COMPUTED_VALUE"""),FALSE)</f>
        <v>0</v>
      </c>
      <c r="Q5661" s="20" t="str">
        <f>IFERROR(__xludf.DUMMYFUNCTION("""COMPUTED_VALUE"""),"")</f>
        <v/>
      </c>
      <c r="R5661" s="21" t="str">
        <f>IFERROR(__xludf.DUMMYFUNCTION("""COMPUTED_VALUE"""),"https://drive.google.com/file/d/1UtGUr-qwBucTRpvyOMmyCiXETBlouDYN/view?usp=drivesdk")</f>
        <v>https://drive.google.com/file/d/1UtGUr-qwBucTRpvyOMmyCiXETBlouDYN/view?usp=drivesdk</v>
      </c>
    </row>
    <row r="5662">
      <c r="A5662" s="17" t="str">
        <f>IFERROR(__xludf.DUMMYFUNCTION("""COMPUTED_VALUE"""),"")</f>
        <v/>
      </c>
      <c r="B5662" s="17" t="str">
        <f>IFERROR(__xludf.DUMMYFUNCTION("""COMPUTED_VALUE"""),"")</f>
        <v/>
      </c>
      <c r="C5662" s="17" t="str">
        <f>IFERROR(__xludf.DUMMYFUNCTION("""COMPUTED_VALUE"""),"")</f>
        <v/>
      </c>
      <c r="D5662" s="17" t="str">
        <f>IFERROR(__xludf.DUMMYFUNCTION("""COMPUTED_VALUE"""),"")</f>
        <v/>
      </c>
      <c r="E5662" s="17" t="str">
        <f>IFERROR(__xludf.DUMMYFUNCTION("""COMPUTED_VALUE"""),"")</f>
        <v/>
      </c>
      <c r="F5662" s="17" t="str">
        <f>IFERROR(__xludf.DUMMYFUNCTION("""COMPUTED_VALUE"""),"")</f>
        <v/>
      </c>
      <c r="G5662" s="17" t="str">
        <f>IFERROR(__xludf.DUMMYFUNCTION("""COMPUTED_VALUE"""),"")</f>
        <v/>
      </c>
      <c r="H5662" s="17" t="str">
        <f>IFERROR(__xludf.DUMMYFUNCTION("""COMPUTED_VALUE"""),"")</f>
        <v/>
      </c>
      <c r="I5662" s="17" t="str">
        <f>IFERROR(__xludf.DUMMYFUNCTION("""COMPUTED_VALUE"""),"")</f>
        <v/>
      </c>
      <c r="J5662" s="17" t="str">
        <f>IFERROR(__xludf.DUMMYFUNCTION("""COMPUTED_VALUE"""),"")</f>
        <v/>
      </c>
      <c r="K5662" s="17" t="str">
        <f>IFERROR(__xludf.DUMMYFUNCTION("""COMPUTED_VALUE"""),"")</f>
        <v/>
      </c>
      <c r="L5662" s="17" t="str">
        <f>IFERROR(__xludf.DUMMYFUNCTION("""COMPUTED_VALUE"""),"")</f>
        <v/>
      </c>
      <c r="M5662" s="17" t="str">
        <f>IFERROR(__xludf.DUMMYFUNCTION("""COMPUTED_VALUE"""),"")</f>
        <v/>
      </c>
      <c r="N5662" s="17" t="str">
        <f>IFERROR(__xludf.DUMMYFUNCTION("""COMPUTED_VALUE"""),"")</f>
        <v/>
      </c>
      <c r="O5662" s="17" t="str">
        <f>IFERROR(__xludf.DUMMYFUNCTION("""COMPUTED_VALUE"""),"")</f>
        <v/>
      </c>
      <c r="P5662" s="17" t="str">
        <f>IFERROR(__xludf.DUMMYFUNCTION("""COMPUTED_VALUE"""),"")</f>
        <v/>
      </c>
      <c r="Q5662" s="17" t="str">
        <f>IFERROR(__xludf.DUMMYFUNCTION("""COMPUTED_VALUE"""),"")</f>
        <v/>
      </c>
      <c r="R5662" s="17" t="str">
        <f>IFERROR(__xludf.DUMMYFUNCTION("""COMPUTED_VALUE"""),"")</f>
        <v/>
      </c>
    </row>
    <row r="5663">
      <c r="A5663" s="15">
        <f>IFERROR(__xludf.DUMMYFUNCTION("""COMPUTED_VALUE"""),45163.0)</f>
        <v>45163</v>
      </c>
      <c r="B5663" s="16" t="str">
        <f>IFERROR(__xludf.DUMMYFUNCTION("""COMPUTED_VALUE"""),"Orlando Urdaneta Rincon ")</f>
        <v>Orlando Urdaneta Rincon </v>
      </c>
      <c r="C5663" s="15" t="str">
        <f>IFERROR(__xludf.DUMMYFUNCTION("""COMPUTED_VALUE"""),"CHÍA")</f>
        <v>CHÍA</v>
      </c>
      <c r="D5663" s="15" t="str">
        <f>IFERROR(__xludf.DUMMYFUNCTION("""COMPUTED_VALUE"""),"MEDELLÍN")</f>
        <v>MEDELLÍN</v>
      </c>
      <c r="E5663" s="15" t="str">
        <f>IFERROR(__xludf.DUMMYFUNCTION("""COMPUTED_VALUE"""),"Rambla")</f>
        <v>Rambla</v>
      </c>
      <c r="F5663" s="17" t="str">
        <f>IFERROR(__xludf.DUMMYFUNCTION("""COMPUTED_VALUE"""),"Km 1.5 via Chia Cajica 100 mts antes de Fontanar / - / -")</f>
        <v>Km 1.5 via Chia Cajica 100 mts antes de Fontanar / - / -</v>
      </c>
      <c r="G5663" s="15" t="str">
        <f>IFERROR(__xludf.DUMMYFUNCTION("""COMPUTED_VALUE"""),"The Choice")</f>
        <v>The Choice</v>
      </c>
      <c r="H5663" s="16">
        <f>IFERROR(__xludf.DUMMYFUNCTION("""COMPUTED_VALUE"""),14372.0)</f>
        <v>14372</v>
      </c>
      <c r="I5663" s="18">
        <f>IFERROR(__xludf.DUMMYFUNCTION("""COMPUTED_VALUE"""),22.0)</f>
        <v>22</v>
      </c>
      <c r="J5663" s="18">
        <f>IFERROR(__xludf.DUMMYFUNCTION("""COMPUTED_VALUE"""),22.0)</f>
        <v>22</v>
      </c>
      <c r="K5663" s="18">
        <f>IFERROR(__xludf.DUMMYFUNCTION("""COMPUTED_VALUE"""),25.0)</f>
        <v>25</v>
      </c>
      <c r="L5663" s="17">
        <f>IFERROR(__xludf.DUMMYFUNCTION("""COMPUTED_VALUE"""),3.212415592E9)</f>
        <v>3212415592</v>
      </c>
      <c r="M5663" s="17" t="str">
        <f>IFERROR(__xludf.DUMMYFUNCTION("""COMPUTED_VALUE"""),"#REF!")</f>
        <v>#REF!</v>
      </c>
      <c r="N5663" s="17"/>
      <c r="O5663" s="17"/>
      <c r="P5663" s="17" t="b">
        <f>IFERROR(__xludf.DUMMYFUNCTION("""COMPUTED_VALUE"""),FALSE)</f>
        <v>0</v>
      </c>
      <c r="Q5663" s="20" t="str">
        <f>IFERROR(__xludf.DUMMYFUNCTION("""COMPUTED_VALUE"""),"")</f>
        <v/>
      </c>
      <c r="R5663" s="21" t="str">
        <f>IFERROR(__xludf.DUMMYFUNCTION("""COMPUTED_VALUE"""),"https://drive.google.com/file/d/1OuhXevyCNXvYA_b87X1yevSHyzd4t0jD/view?usp=drivesdk")</f>
        <v>https://drive.google.com/file/d/1OuhXevyCNXvYA_b87X1yevSHyzd4t0jD/view?usp=drivesdk</v>
      </c>
    </row>
    <row r="5664">
      <c r="A5664" s="15">
        <f>IFERROR(__xludf.DUMMYFUNCTION("""COMPUTED_VALUE"""),45163.0)</f>
        <v>45163</v>
      </c>
      <c r="B5664" s="16" t="str">
        <f>IFERROR(__xludf.DUMMYFUNCTION("""COMPUTED_VALUE"""),"Orlando Urdaneta Rincon ")</f>
        <v>Orlando Urdaneta Rincon </v>
      </c>
      <c r="C5664" s="15" t="str">
        <f>IFERROR(__xludf.DUMMYFUNCTION("""COMPUTED_VALUE"""),"SANTA MARTA")</f>
        <v>SANTA MARTA</v>
      </c>
      <c r="D5664" s="15" t="str">
        <f>IFERROR(__xludf.DUMMYFUNCTION("""COMPUTED_VALUE"""),"BOGOTÁ")</f>
        <v>BOGOTÁ</v>
      </c>
      <c r="E5664" s="15" t="str">
        <f>IFERROR(__xludf.DUMMYFUNCTION("""COMPUTED_VALUE"""),"Juan Carlos Aponte")</f>
        <v>Juan Carlos Aponte</v>
      </c>
      <c r="F5664" s="17" t="str">
        <f>IFERROR(__xludf.DUMMYFUNCTION("""COMPUTED_VALUE"""),"Km 14 - 278 Carrera 90 Entrando por Irotama al fondo, a la derecha, después de la Torre de Irotama Siglo XXI, a la izquierda, edificio a la izquierda Calle 113 / Edificio Balcones de Andalucía Apto B54  / Sector Bello Horizonte")</f>
        <v>Km 14 - 278 Carrera 90 Entrando por Irotama al fondo, a la derecha, después de la Torre de Irotama Siglo XXI, a la izquierda, edificio a la izquierda Calle 113 / Edificio Balcones de Andalucía Apto B54  / Sector Bello Horizonte</v>
      </c>
      <c r="G5664" s="15" t="str">
        <f>IFERROR(__xludf.DUMMYFUNCTION("""COMPUTED_VALUE"""),"JUAN CARLOS APONTE ORDÓÑEZ")</f>
        <v>JUAN CARLOS APONTE ORDÓÑEZ</v>
      </c>
      <c r="H5664" s="16">
        <f>IFERROR(__xludf.DUMMYFUNCTION("""COMPUTED_VALUE"""),14358.0)</f>
        <v>14358</v>
      </c>
      <c r="I5664" s="18">
        <f>IFERROR(__xludf.DUMMYFUNCTION("""COMPUTED_VALUE"""),50.0)</f>
        <v>50</v>
      </c>
      <c r="J5664" s="18">
        <f>IFERROR(__xludf.DUMMYFUNCTION("""COMPUTED_VALUE"""),50.0)</f>
        <v>50</v>
      </c>
      <c r="K5664" s="18">
        <f>IFERROR(__xludf.DUMMYFUNCTION("""COMPUTED_VALUE"""),50.0)</f>
        <v>50</v>
      </c>
      <c r="L5664" s="17">
        <f>IFERROR(__xludf.DUMMYFUNCTION("""COMPUTED_VALUE"""),3.157835032E9)</f>
        <v>3157835032</v>
      </c>
      <c r="M5664" s="17" t="str">
        <f>IFERROR(__xludf.DUMMYFUNCTION("""COMPUTED_VALUE"""),"#REF!")</f>
        <v>#REF!</v>
      </c>
      <c r="N5664" s="17"/>
      <c r="O5664" s="17"/>
      <c r="P5664" s="17" t="b">
        <f>IFERROR(__xludf.DUMMYFUNCTION("""COMPUTED_VALUE"""),FALSE)</f>
        <v>0</v>
      </c>
      <c r="Q5664" s="20" t="str">
        <f>IFERROR(__xludf.DUMMYFUNCTION("""COMPUTED_VALUE"""),"")</f>
        <v/>
      </c>
      <c r="R5664" s="22" t="str">
        <f>IFERROR(__xludf.DUMMYFUNCTION("""COMPUTED_VALUE"""),"")</f>
        <v/>
      </c>
    </row>
    <row r="5665">
      <c r="A5665" s="15">
        <f>IFERROR(__xludf.DUMMYFUNCTION("""COMPUTED_VALUE"""),45163.0)</f>
        <v>45163</v>
      </c>
      <c r="B5665" s="16" t="str">
        <f>IFERROR(__xludf.DUMMYFUNCTION("""COMPUTED_VALUE"""),"Orlando Urdaneta Rincon ")</f>
        <v>Orlando Urdaneta Rincon </v>
      </c>
      <c r="C5665" s="15" t="str">
        <f>IFERROR(__xludf.DUMMYFUNCTION("""COMPUTED_VALUE"""),"SANTA MARTA")</f>
        <v>SANTA MARTA</v>
      </c>
      <c r="D5665" s="15" t="str">
        <f>IFERROR(__xludf.DUMMYFUNCTION("""COMPUTED_VALUE"""),"MEDELLÍN")</f>
        <v>MEDELLÍN</v>
      </c>
      <c r="E5665" s="15" t="str">
        <f>IFERROR(__xludf.DUMMYFUNCTION("""COMPUTED_VALUE"""),"Baby Chef")</f>
        <v>Baby Chef</v>
      </c>
      <c r="F5665" s="17" t="str">
        <f>IFERROR(__xludf.DUMMYFUNCTION("""COMPUTED_VALUE"""),"Calle 46 N 64-59 Conjunto Parques de Bolivar Etapa 1 torre 17 Apto 101  / Calle 46 N 64-59 Conjunto Parques de Bolivar Etapa 1 torre 17 Apto 101  / Calle 46 N 64-59 Conjunto Parques de Bolivar Etapa 1 torre 17 Apto 101")</f>
        <v>Calle 46 N 64-59 Conjunto Parques de Bolivar Etapa 1 torre 17 Apto 101  / Calle 46 N 64-59 Conjunto Parques de Bolivar Etapa 1 torre 17 Apto 101  / Calle 46 N 64-59 Conjunto Parques de Bolivar Etapa 1 torre 17 Apto 101</v>
      </c>
      <c r="G5665" s="15" t="str">
        <f>IFERROR(__xludf.DUMMYFUNCTION("""COMPUTED_VALUE"""),"Yanneris Guerrero")</f>
        <v>Yanneris Guerrero</v>
      </c>
      <c r="H5665" s="16">
        <f>IFERROR(__xludf.DUMMYFUNCTION("""COMPUTED_VALUE"""),14327.0)</f>
        <v>14327</v>
      </c>
      <c r="I5665" s="18">
        <f>IFERROR(__xludf.DUMMYFUNCTION("""COMPUTED_VALUE"""),4.0)</f>
        <v>4</v>
      </c>
      <c r="J5665" s="18">
        <f>IFERROR(__xludf.DUMMYFUNCTION("""COMPUTED_VALUE"""),34.0)</f>
        <v>34</v>
      </c>
      <c r="K5665" s="18">
        <f>IFERROR(__xludf.DUMMYFUNCTION("""COMPUTED_VALUE"""),20.0)</f>
        <v>20</v>
      </c>
      <c r="L5665" s="17">
        <f>IFERROR(__xludf.DUMMYFUNCTION("""COMPUTED_VALUE"""),3.045465901E9)</f>
        <v>3045465901</v>
      </c>
      <c r="M5665" s="17" t="str">
        <f>IFERROR(__xludf.DUMMYFUNCTION("""COMPUTED_VALUE"""),"#REF!")</f>
        <v>#REF!</v>
      </c>
      <c r="N5665" s="17"/>
      <c r="O5665" s="17"/>
      <c r="P5665" s="17" t="b">
        <f>IFERROR(__xludf.DUMMYFUNCTION("""COMPUTED_VALUE"""),FALSE)</f>
        <v>0</v>
      </c>
      <c r="Q5665" s="20" t="str">
        <f>IFERROR(__xludf.DUMMYFUNCTION("""COMPUTED_VALUE"""),"")</f>
        <v/>
      </c>
      <c r="R5665" s="21" t="str">
        <f>IFERROR(__xludf.DUMMYFUNCTION("""COMPUTED_VALUE"""),"https://drive.google.com/file/d/1q8TWlg7VlvRtHd_JsXE4FSj-NDcWFx61/view?usp=drivesdk")</f>
        <v>https://drive.google.com/file/d/1q8TWlg7VlvRtHd_JsXE4FSj-NDcWFx61/view?usp=drivesdk</v>
      </c>
    </row>
    <row r="5666">
      <c r="A5666" s="15">
        <f>IFERROR(__xludf.DUMMYFUNCTION("""COMPUTED_VALUE"""),45163.0)</f>
        <v>45163</v>
      </c>
      <c r="B5666" s="16" t="str">
        <f>IFERROR(__xludf.DUMMYFUNCTION("""COMPUTED_VALUE"""),"Orlando Urdaneta Rincon ")</f>
        <v>Orlando Urdaneta Rincon </v>
      </c>
      <c r="C5666" s="15" t="str">
        <f>IFERROR(__xludf.DUMMYFUNCTION("""COMPUTED_VALUE"""),"SANTA MARTA")</f>
        <v>SANTA MARTA</v>
      </c>
      <c r="D5666" s="15" t="str">
        <f>IFERROR(__xludf.DUMMYFUNCTION("""COMPUTED_VALUE"""),"MEDELLÍN")</f>
        <v>MEDELLÍN</v>
      </c>
      <c r="E5666" s="15" t="str">
        <f>IFERROR(__xludf.DUMMYFUNCTION("""COMPUTED_VALUE"""),"Magda")</f>
        <v>Magda</v>
      </c>
      <c r="F5666" s="17" t="str">
        <f>IFERROR(__xludf.DUMMYFUNCTION("""COMPUTED_VALUE"""),"Calle 22 # 6 - 82 / Local 27 Centro Comercial La 22 / Centro")</f>
        <v>Calle 22 # 6 - 82 / Local 27 Centro Comercial La 22 / Centro</v>
      </c>
      <c r="G5666" s="15" t="str">
        <f>IFERROR(__xludf.DUMMYFUNCTION("""COMPUTED_VALUE"""),"Shirley Manjarres")</f>
        <v>Shirley Manjarres</v>
      </c>
      <c r="H5666" s="16">
        <f>IFERROR(__xludf.DUMMYFUNCTION("""COMPUTED_VALUE"""),14360.0)</f>
        <v>14360</v>
      </c>
      <c r="I5666" s="18">
        <f>IFERROR(__xludf.DUMMYFUNCTION("""COMPUTED_VALUE"""),5.0)</f>
        <v>5</v>
      </c>
      <c r="J5666" s="18">
        <f>IFERROR(__xludf.DUMMYFUNCTION("""COMPUTED_VALUE"""),5.0)</f>
        <v>5</v>
      </c>
      <c r="K5666" s="18">
        <f>IFERROR(__xludf.DUMMYFUNCTION("""COMPUTED_VALUE"""),5.0)</f>
        <v>5</v>
      </c>
      <c r="L5666" s="17">
        <f>IFERROR(__xludf.DUMMYFUNCTION("""COMPUTED_VALUE"""),3.054269156E9)</f>
        <v>3054269156</v>
      </c>
      <c r="M5666" s="17" t="str">
        <f>IFERROR(__xludf.DUMMYFUNCTION("""COMPUTED_VALUE"""),"#REF!")</f>
        <v>#REF!</v>
      </c>
      <c r="N5666" s="17"/>
      <c r="O5666" s="17"/>
      <c r="P5666" s="17" t="b">
        <f>IFERROR(__xludf.DUMMYFUNCTION("""COMPUTED_VALUE"""),FALSE)</f>
        <v>0</v>
      </c>
      <c r="Q5666" s="20" t="str">
        <f>IFERROR(__xludf.DUMMYFUNCTION("""COMPUTED_VALUE"""),"")</f>
        <v/>
      </c>
      <c r="R5666" s="22" t="str">
        <f>IFERROR(__xludf.DUMMYFUNCTION("""COMPUTED_VALUE"""),"")</f>
        <v/>
      </c>
    </row>
    <row r="5667">
      <c r="A5667" s="17" t="str">
        <f>IFERROR(__xludf.DUMMYFUNCTION("""COMPUTED_VALUE"""),"")</f>
        <v/>
      </c>
      <c r="B5667" s="17" t="str">
        <f>IFERROR(__xludf.DUMMYFUNCTION("""COMPUTED_VALUE"""),"")</f>
        <v/>
      </c>
      <c r="C5667" s="17" t="str">
        <f>IFERROR(__xludf.DUMMYFUNCTION("""COMPUTED_VALUE"""),"")</f>
        <v/>
      </c>
      <c r="D5667" s="17" t="str">
        <f>IFERROR(__xludf.DUMMYFUNCTION("""COMPUTED_VALUE"""),"")</f>
        <v/>
      </c>
      <c r="E5667" s="17" t="str">
        <f>IFERROR(__xludf.DUMMYFUNCTION("""COMPUTED_VALUE"""),"")</f>
        <v/>
      </c>
      <c r="F5667" s="17" t="str">
        <f>IFERROR(__xludf.DUMMYFUNCTION("""COMPUTED_VALUE"""),"")</f>
        <v/>
      </c>
      <c r="G5667" s="17" t="str">
        <f>IFERROR(__xludf.DUMMYFUNCTION("""COMPUTED_VALUE"""),"")</f>
        <v/>
      </c>
      <c r="H5667" s="17" t="str">
        <f>IFERROR(__xludf.DUMMYFUNCTION("""COMPUTED_VALUE"""),"")</f>
        <v/>
      </c>
      <c r="I5667" s="17" t="str">
        <f>IFERROR(__xludf.DUMMYFUNCTION("""COMPUTED_VALUE"""),"")</f>
        <v/>
      </c>
      <c r="J5667" s="17" t="str">
        <f>IFERROR(__xludf.DUMMYFUNCTION("""COMPUTED_VALUE"""),"")</f>
        <v/>
      </c>
      <c r="K5667" s="17" t="str">
        <f>IFERROR(__xludf.DUMMYFUNCTION("""COMPUTED_VALUE"""),"")</f>
        <v/>
      </c>
      <c r="L5667" s="17" t="str">
        <f>IFERROR(__xludf.DUMMYFUNCTION("""COMPUTED_VALUE"""),"")</f>
        <v/>
      </c>
      <c r="M5667" s="17" t="str">
        <f>IFERROR(__xludf.DUMMYFUNCTION("""COMPUTED_VALUE"""),"")</f>
        <v/>
      </c>
      <c r="N5667" s="17" t="str">
        <f>IFERROR(__xludf.DUMMYFUNCTION("""COMPUTED_VALUE"""),"")</f>
        <v/>
      </c>
      <c r="O5667" s="17" t="str">
        <f>IFERROR(__xludf.DUMMYFUNCTION("""COMPUTED_VALUE"""),"")</f>
        <v/>
      </c>
      <c r="P5667" s="17" t="str">
        <f>IFERROR(__xludf.DUMMYFUNCTION("""COMPUTED_VALUE"""),"")</f>
        <v/>
      </c>
      <c r="Q5667" s="17" t="str">
        <f>IFERROR(__xludf.DUMMYFUNCTION("""COMPUTED_VALUE"""),"")</f>
        <v/>
      </c>
      <c r="R5667" s="17" t="str">
        <f>IFERROR(__xludf.DUMMYFUNCTION("""COMPUTED_VALUE"""),"")</f>
        <v/>
      </c>
    </row>
    <row r="5668">
      <c r="A5668" s="15">
        <f>IFERROR(__xludf.DUMMYFUNCTION("""COMPUTED_VALUE"""),45163.0)</f>
        <v>45163</v>
      </c>
      <c r="B5668" s="16" t="str">
        <f>IFERROR(__xludf.DUMMYFUNCTION("""COMPUTED_VALUE"""),"Santiago Garces Restrepo")</f>
        <v>Santiago Garces Restrepo</v>
      </c>
      <c r="C5668" s="15" t="str">
        <f>IFERROR(__xludf.DUMMYFUNCTION("""COMPUTED_VALUE"""),"MEDELLÍN")</f>
        <v>MEDELLÍN</v>
      </c>
      <c r="D5668" s="15" t="str">
        <f>IFERROR(__xludf.DUMMYFUNCTION("""COMPUTED_VALUE"""),"BOGOTÁ")</f>
        <v>BOGOTÁ</v>
      </c>
      <c r="E5668" s="15" t="str">
        <f>IFERROR(__xludf.DUMMYFUNCTION("""COMPUTED_VALUE"""),"MAI ALIMENTOS S.A.S")</f>
        <v>MAI ALIMENTOS S.A.S</v>
      </c>
      <c r="F5668" s="17" t="str">
        <f>IFERROR(__xludf.DUMMYFUNCTION("""COMPUTED_VALUE"""),"Cra 42 No. 75 – 367 / Novaventa, Bodega 111- 112, Centro Industrial del Sur. Bodega 111- 112. Itagui, Antioquia,")</f>
        <v>Cra 42 No. 75 – 367 / Novaventa, Bodega 111- 112, Centro Industrial del Sur. Bodega 111- 112. Itagui, Antioquia,</v>
      </c>
      <c r="G5668" s="15" t="str">
        <f>IFERROR(__xludf.DUMMYFUNCTION("""COMPUTED_VALUE"""),"Novaventas - Medellin")</f>
        <v>Novaventas - Medellin</v>
      </c>
      <c r="H5668" s="16">
        <f>IFERROR(__xludf.DUMMYFUNCTION("""COMPUTED_VALUE"""),14283.0)</f>
        <v>14283</v>
      </c>
      <c r="I5668" s="18">
        <f>IFERROR(__xludf.DUMMYFUNCTION("""COMPUTED_VALUE"""),35.0)</f>
        <v>35</v>
      </c>
      <c r="J5668" s="18">
        <f>IFERROR(__xludf.DUMMYFUNCTION("""COMPUTED_VALUE"""),17.0)</f>
        <v>17</v>
      </c>
      <c r="K5668" s="18">
        <f>IFERROR(__xludf.DUMMYFUNCTION("""COMPUTED_VALUE"""),13.0)</f>
        <v>13</v>
      </c>
      <c r="L5668" s="17">
        <f>IFERROR(__xludf.DUMMYFUNCTION("""COMPUTED_VALUE"""),3.187351593E9)</f>
        <v>3187351593</v>
      </c>
      <c r="M5668" s="17" t="str">
        <f>IFERROR(__xludf.DUMMYFUNCTION("""COMPUTED_VALUE"""),"#REF!")</f>
        <v>#REF!</v>
      </c>
      <c r="N5668" s="17"/>
      <c r="O5668" s="17"/>
      <c r="P5668" s="17" t="b">
        <f>IFERROR(__xludf.DUMMYFUNCTION("""COMPUTED_VALUE"""),FALSE)</f>
        <v>0</v>
      </c>
      <c r="Q5668" s="20" t="str">
        <f>IFERROR(__xludf.DUMMYFUNCTION("""COMPUTED_VALUE"""),"")</f>
        <v/>
      </c>
      <c r="R5668" s="22" t="str">
        <f>IFERROR(__xludf.DUMMYFUNCTION("""COMPUTED_VALUE"""),"")</f>
        <v/>
      </c>
    </row>
    <row r="5669">
      <c r="A5669" s="15">
        <f>IFERROR(__xludf.DUMMYFUNCTION("""COMPUTED_VALUE"""),45163.0)</f>
        <v>45163</v>
      </c>
      <c r="B5669" s="16" t="str">
        <f>IFERROR(__xludf.DUMMYFUNCTION("""COMPUTED_VALUE"""),"Santiago Garces Restrepo")</f>
        <v>Santiago Garces Restrepo</v>
      </c>
      <c r="C5669" s="15" t="str">
        <f>IFERROR(__xludf.DUMMYFUNCTION("""COMPUTED_VALUE"""),"MEDELLÍN")</f>
        <v>MEDELLÍN</v>
      </c>
      <c r="D5669" s="15" t="str">
        <f>IFERROR(__xludf.DUMMYFUNCTION("""COMPUTED_VALUE"""),"BOGOTÁ")</f>
        <v>BOGOTÁ</v>
      </c>
      <c r="E5669" s="15" t="str">
        <f>IFERROR(__xludf.DUMMYFUNCTION("""COMPUTED_VALUE"""),"Mochi")</f>
        <v>Mochi</v>
      </c>
      <c r="F5669" s="17" t="str">
        <f>IFERROR(__xludf.DUMMYFUNCTION("""COMPUTED_VALUE"""),"Cra. 48 #32B Sur-139, Zona 1, Envigado, Antioquia / Cra. 48 #32B Sur-139, Zona 1, Envigado, Antioquia / Cra. 48 #32B Sur-139, Zona 1, Envigado, Antioquia")</f>
        <v>Cra. 48 #32B Sur-139, Zona 1, Envigado, Antioquia / Cra. 48 #32B Sur-139, Zona 1, Envigado, Antioquia / Cra. 48 #32B Sur-139, Zona 1, Envigado, Antioquia</v>
      </c>
      <c r="G5669" s="15" t="str">
        <f>IFERROR(__xludf.DUMMYFUNCTION("""COMPUTED_VALUE"""),"Tania Vellojin")</f>
        <v>Tania Vellojin</v>
      </c>
      <c r="H5669" s="16">
        <f>IFERROR(__xludf.DUMMYFUNCTION("""COMPUTED_VALUE"""),14376.0)</f>
        <v>14376</v>
      </c>
      <c r="I5669" s="18">
        <f>IFERROR(__xludf.DUMMYFUNCTION("""COMPUTED_VALUE"""),100.0)</f>
        <v>100</v>
      </c>
      <c r="J5669" s="18">
        <f>IFERROR(__xludf.DUMMYFUNCTION("""COMPUTED_VALUE"""),100.0)</f>
        <v>100</v>
      </c>
      <c r="K5669" s="18">
        <f>IFERROR(__xludf.DUMMYFUNCTION("""COMPUTED_VALUE"""),400.0)</f>
        <v>400</v>
      </c>
      <c r="L5669" s="17">
        <f>IFERROR(__xludf.DUMMYFUNCTION("""COMPUTED_VALUE"""),3.142587995E9)</f>
        <v>3142587995</v>
      </c>
      <c r="M5669" s="17" t="str">
        <f>IFERROR(__xludf.DUMMYFUNCTION("""COMPUTED_VALUE"""),"#REF!")</f>
        <v>#REF!</v>
      </c>
      <c r="N5669" s="17"/>
      <c r="O5669" s="17"/>
      <c r="P5669" s="17" t="b">
        <f>IFERROR(__xludf.DUMMYFUNCTION("""COMPUTED_VALUE"""),FALSE)</f>
        <v>0</v>
      </c>
      <c r="Q5669" s="20" t="str">
        <f>IFERROR(__xludf.DUMMYFUNCTION("""COMPUTED_VALUE"""),"")</f>
        <v/>
      </c>
      <c r="R5669" s="22" t="str">
        <f>IFERROR(__xludf.DUMMYFUNCTION("""COMPUTED_VALUE"""),"")</f>
        <v/>
      </c>
    </row>
    <row r="5670">
      <c r="A5670" s="15">
        <f>IFERROR(__xludf.DUMMYFUNCTION("""COMPUTED_VALUE"""),45163.0)</f>
        <v>45163</v>
      </c>
      <c r="B5670" s="16" t="str">
        <f>IFERROR(__xludf.DUMMYFUNCTION("""COMPUTED_VALUE"""),"Santiago Garces Restrepo")</f>
        <v>Santiago Garces Restrepo</v>
      </c>
      <c r="C5670" s="15" t="str">
        <f>IFERROR(__xludf.DUMMYFUNCTION("""COMPUTED_VALUE"""),"MEDELLÍN")</f>
        <v>MEDELLÍN</v>
      </c>
      <c r="D5670" s="15" t="str">
        <f>IFERROR(__xludf.DUMMYFUNCTION("""COMPUTED_VALUE"""),"BOGOTÁ")</f>
        <v>BOGOTÁ</v>
      </c>
      <c r="E5670" s="15" t="str">
        <f>IFERROR(__xludf.DUMMYFUNCTION("""COMPUTED_VALUE"""),"Pan de Waffle")</f>
        <v>Pan de Waffle</v>
      </c>
      <c r="F5670" s="17" t="str">
        <f>IFERROR(__xludf.DUMMYFUNCTION("""COMPUTED_VALUE"""),"Calle 01 # 29 - 354 / Calle 01 # 29 - 354 / Calle 01 # 29 - 354")</f>
        <v>Calle 01 # 29 - 354 / Calle 01 # 29 - 354 / Calle 01 # 29 - 354</v>
      </c>
      <c r="G5670" s="15" t="str">
        <f>IFERROR(__xludf.DUMMYFUNCTION("""COMPUTED_VALUE"""),"RAPPI TURBO TESORO")</f>
        <v>RAPPI TURBO TESORO</v>
      </c>
      <c r="H5670" s="16">
        <f>IFERROR(__xludf.DUMMYFUNCTION("""COMPUTED_VALUE"""),14391.0)</f>
        <v>14391</v>
      </c>
      <c r="I5670" s="18">
        <f>IFERROR(__xludf.DUMMYFUNCTION("""COMPUTED_VALUE"""),40.0)</f>
        <v>40</v>
      </c>
      <c r="J5670" s="18">
        <f>IFERROR(__xludf.DUMMYFUNCTION("""COMPUTED_VALUE"""),30.0)</f>
        <v>30</v>
      </c>
      <c r="K5670" s="18">
        <f>IFERROR(__xludf.DUMMYFUNCTION("""COMPUTED_VALUE"""),40.0)</f>
        <v>40</v>
      </c>
      <c r="L5670" s="17">
        <f>IFERROR(__xludf.DUMMYFUNCTION("""COMPUTED_VALUE"""),3.20865425E9)</f>
        <v>3208654250</v>
      </c>
      <c r="M5670" s="17" t="str">
        <f>IFERROR(__xludf.DUMMYFUNCTION("""COMPUTED_VALUE"""),"#REF!")</f>
        <v>#REF!</v>
      </c>
      <c r="N5670" s="17"/>
      <c r="O5670" s="17"/>
      <c r="P5670" s="17" t="b">
        <f>IFERROR(__xludf.DUMMYFUNCTION("""COMPUTED_VALUE"""),FALSE)</f>
        <v>0</v>
      </c>
      <c r="Q5670" s="20" t="str">
        <f>IFERROR(__xludf.DUMMYFUNCTION("""COMPUTED_VALUE"""),"")</f>
        <v/>
      </c>
      <c r="R5670" s="21" t="str">
        <f>IFERROR(__xludf.DUMMYFUNCTION("""COMPUTED_VALUE"""),"https://drive.google.com/file/d/1zMl0cKGDivM270s9aXNWMyNRFIFwwHc9/view?usp=drivesdk")</f>
        <v>https://drive.google.com/file/d/1zMl0cKGDivM270s9aXNWMyNRFIFwwHc9/view?usp=drivesdk</v>
      </c>
    </row>
    <row r="5671">
      <c r="A5671" s="15">
        <f>IFERROR(__xludf.DUMMYFUNCTION("""COMPUTED_VALUE"""),45163.0)</f>
        <v>45163</v>
      </c>
      <c r="B5671" s="16" t="str">
        <f>IFERROR(__xludf.DUMMYFUNCTION("""COMPUTED_VALUE"""),"Santiago Garces Restrepo")</f>
        <v>Santiago Garces Restrepo</v>
      </c>
      <c r="C5671" s="15" t="str">
        <f>IFERROR(__xludf.DUMMYFUNCTION("""COMPUTED_VALUE"""),"MEDELLÍN")</f>
        <v>MEDELLÍN</v>
      </c>
      <c r="D5671" s="15" t="str">
        <f>IFERROR(__xludf.DUMMYFUNCTION("""COMPUTED_VALUE"""),"BOGOTÁ")</f>
        <v>BOGOTÁ</v>
      </c>
      <c r="E5671" s="15" t="str">
        <f>IFERROR(__xludf.DUMMYFUNCTION("""COMPUTED_VALUE"""),"Pan de Waffle")</f>
        <v>Pan de Waffle</v>
      </c>
      <c r="F5671" s="17" t="str">
        <f>IFERROR(__xludf.DUMMYFUNCTION("""COMPUTED_VALUE"""),"Calle 75sur # 34 - 140 Local 102 / Calle 75sur # 34 - 140 Local 102 / Calle 75sur # 34 - 140 Local 102")</f>
        <v>Calle 75sur # 34 - 140 Local 102 / Calle 75sur # 34 - 140 Local 102 / Calle 75sur # 34 - 140 Local 102</v>
      </c>
      <c r="G5671" s="15" t="str">
        <f>IFERROR(__xludf.DUMMYFUNCTION("""COMPUTED_VALUE"""),"RAPPI TURBO SABANETA")</f>
        <v>RAPPI TURBO SABANETA</v>
      </c>
      <c r="H5671" s="16">
        <f>IFERROR(__xludf.DUMMYFUNCTION("""COMPUTED_VALUE"""),14392.0)</f>
        <v>14392</v>
      </c>
      <c r="I5671" s="18">
        <f>IFERROR(__xludf.DUMMYFUNCTION("""COMPUTED_VALUE"""),40.0)</f>
        <v>40</v>
      </c>
      <c r="J5671" s="18">
        <f>IFERROR(__xludf.DUMMYFUNCTION("""COMPUTED_VALUE"""),40.0)</f>
        <v>40</v>
      </c>
      <c r="K5671" s="18">
        <f>IFERROR(__xludf.DUMMYFUNCTION("""COMPUTED_VALUE"""),30.0)</f>
        <v>30</v>
      </c>
      <c r="L5671" s="17">
        <f>IFERROR(__xludf.DUMMYFUNCTION("""COMPUTED_VALUE"""),3.012888007E9)</f>
        <v>3012888007</v>
      </c>
      <c r="M5671" s="17" t="str">
        <f>IFERROR(__xludf.DUMMYFUNCTION("""COMPUTED_VALUE"""),"#REF!")</f>
        <v>#REF!</v>
      </c>
      <c r="N5671" s="17"/>
      <c r="O5671" s="17"/>
      <c r="P5671" s="17" t="b">
        <f>IFERROR(__xludf.DUMMYFUNCTION("""COMPUTED_VALUE"""),FALSE)</f>
        <v>0</v>
      </c>
      <c r="Q5671" s="20" t="str">
        <f>IFERROR(__xludf.DUMMYFUNCTION("""COMPUTED_VALUE"""),"")</f>
        <v/>
      </c>
      <c r="R5671" s="21" t="str">
        <f>IFERROR(__xludf.DUMMYFUNCTION("""COMPUTED_VALUE"""),"https://drive.google.com/file/d/1qO2uWQvB34owpBp8gxrFyKNVyr4f8cZK/view?usp=drivesdk")</f>
        <v>https://drive.google.com/file/d/1qO2uWQvB34owpBp8gxrFyKNVyr4f8cZK/view?usp=drivesdk</v>
      </c>
    </row>
    <row r="5672">
      <c r="A5672" s="15">
        <f>IFERROR(__xludf.DUMMYFUNCTION("""COMPUTED_VALUE"""),45163.0)</f>
        <v>45163</v>
      </c>
      <c r="B5672" s="16" t="str">
        <f>IFERROR(__xludf.DUMMYFUNCTION("""COMPUTED_VALUE"""),"Santiago Garces Restrepo")</f>
        <v>Santiago Garces Restrepo</v>
      </c>
      <c r="C5672" s="15" t="str">
        <f>IFERROR(__xludf.DUMMYFUNCTION("""COMPUTED_VALUE"""),"MEDELLÍN")</f>
        <v>MEDELLÍN</v>
      </c>
      <c r="D5672" s="15" t="str">
        <f>IFERROR(__xludf.DUMMYFUNCTION("""COMPUTED_VALUE"""),"BOGOTÁ")</f>
        <v>BOGOTÁ</v>
      </c>
      <c r="E5672" s="15" t="str">
        <f>IFERROR(__xludf.DUMMYFUNCTION("""COMPUTED_VALUE"""),"Pan de Waffle")</f>
        <v>Pan de Waffle</v>
      </c>
      <c r="F5672" s="17" t="str">
        <f>IFERROR(__xludf.DUMMYFUNCTION("""COMPUTED_VALUE"""),"Carrera 46 # 14 - 140 / Carrera 46 # 14 - 140 / Carrera 46 # 14 - 140")</f>
        <v>Carrera 46 # 14 - 140 / Carrera 46 # 14 - 140 / Carrera 46 # 14 - 140</v>
      </c>
      <c r="G5672" s="15" t="str">
        <f>IFERROR(__xludf.DUMMYFUNCTION("""COMPUTED_VALUE"""),"RAPPI TURBO MANILA")</f>
        <v>RAPPI TURBO MANILA</v>
      </c>
      <c r="H5672" s="16">
        <f>IFERROR(__xludf.DUMMYFUNCTION("""COMPUTED_VALUE"""),14390.0)</f>
        <v>14390</v>
      </c>
      <c r="I5672" s="18">
        <f>IFERROR(__xludf.DUMMYFUNCTION("""COMPUTED_VALUE"""),40.0)</f>
        <v>40</v>
      </c>
      <c r="J5672" s="18">
        <f>IFERROR(__xludf.DUMMYFUNCTION("""COMPUTED_VALUE"""),40.0)</f>
        <v>40</v>
      </c>
      <c r="K5672" s="18">
        <f>IFERROR(__xludf.DUMMYFUNCTION("""COMPUTED_VALUE"""),30.0)</f>
        <v>30</v>
      </c>
      <c r="L5672" s="17">
        <f>IFERROR(__xludf.DUMMYFUNCTION("""COMPUTED_VALUE"""),3.175005565E9)</f>
        <v>3175005565</v>
      </c>
      <c r="M5672" s="17" t="str">
        <f>IFERROR(__xludf.DUMMYFUNCTION("""COMPUTED_VALUE"""),"#REF!")</f>
        <v>#REF!</v>
      </c>
      <c r="N5672" s="17"/>
      <c r="O5672" s="17"/>
      <c r="P5672" s="17" t="b">
        <f>IFERROR(__xludf.DUMMYFUNCTION("""COMPUTED_VALUE"""),FALSE)</f>
        <v>0</v>
      </c>
      <c r="Q5672" s="20" t="str">
        <f>IFERROR(__xludf.DUMMYFUNCTION("""COMPUTED_VALUE"""),"")</f>
        <v/>
      </c>
      <c r="R5672" s="21" t="str">
        <f>IFERROR(__xludf.DUMMYFUNCTION("""COMPUTED_VALUE"""),"https://drive.google.com/file/d/1g5Kf2K3pl-IfHNjeSZTBv2Jy6l960lKY/view?usp=drivesdk")</f>
        <v>https://drive.google.com/file/d/1g5Kf2K3pl-IfHNjeSZTBv2Jy6l960lKY/view?usp=drivesdk</v>
      </c>
    </row>
    <row r="5673">
      <c r="A5673" s="17" t="str">
        <f>IFERROR(__xludf.DUMMYFUNCTION("""COMPUTED_VALUE"""),"")</f>
        <v/>
      </c>
      <c r="B5673" s="17" t="str">
        <f>IFERROR(__xludf.DUMMYFUNCTION("""COMPUTED_VALUE"""),"")</f>
        <v/>
      </c>
      <c r="C5673" s="17" t="str">
        <f>IFERROR(__xludf.DUMMYFUNCTION("""COMPUTED_VALUE"""),"")</f>
        <v/>
      </c>
      <c r="D5673" s="17" t="str">
        <f>IFERROR(__xludf.DUMMYFUNCTION("""COMPUTED_VALUE"""),"")</f>
        <v/>
      </c>
      <c r="E5673" s="17" t="str">
        <f>IFERROR(__xludf.DUMMYFUNCTION("""COMPUTED_VALUE"""),"")</f>
        <v/>
      </c>
      <c r="F5673" s="17" t="str">
        <f>IFERROR(__xludf.DUMMYFUNCTION("""COMPUTED_VALUE"""),"")</f>
        <v/>
      </c>
      <c r="G5673" s="17" t="str">
        <f>IFERROR(__xludf.DUMMYFUNCTION("""COMPUTED_VALUE"""),"")</f>
        <v/>
      </c>
      <c r="H5673" s="17" t="str">
        <f>IFERROR(__xludf.DUMMYFUNCTION("""COMPUTED_VALUE"""),"")</f>
        <v/>
      </c>
      <c r="I5673" s="17" t="str">
        <f>IFERROR(__xludf.DUMMYFUNCTION("""COMPUTED_VALUE"""),"")</f>
        <v/>
      </c>
      <c r="J5673" s="17" t="str">
        <f>IFERROR(__xludf.DUMMYFUNCTION("""COMPUTED_VALUE"""),"")</f>
        <v/>
      </c>
      <c r="K5673" s="17" t="str">
        <f>IFERROR(__xludf.DUMMYFUNCTION("""COMPUTED_VALUE"""),"")</f>
        <v/>
      </c>
      <c r="L5673" s="17" t="str">
        <f>IFERROR(__xludf.DUMMYFUNCTION("""COMPUTED_VALUE"""),"")</f>
        <v/>
      </c>
      <c r="M5673" s="17" t="str">
        <f>IFERROR(__xludf.DUMMYFUNCTION("""COMPUTED_VALUE"""),"")</f>
        <v/>
      </c>
      <c r="N5673" s="17" t="str">
        <f>IFERROR(__xludf.DUMMYFUNCTION("""COMPUTED_VALUE"""),"")</f>
        <v/>
      </c>
      <c r="O5673" s="17" t="str">
        <f>IFERROR(__xludf.DUMMYFUNCTION("""COMPUTED_VALUE"""),"")</f>
        <v/>
      </c>
      <c r="P5673" s="17" t="str">
        <f>IFERROR(__xludf.DUMMYFUNCTION("""COMPUTED_VALUE"""),"")</f>
        <v/>
      </c>
      <c r="Q5673" s="17" t="str">
        <f>IFERROR(__xludf.DUMMYFUNCTION("""COMPUTED_VALUE"""),"")</f>
        <v/>
      </c>
      <c r="R5673" s="17" t="str">
        <f>IFERROR(__xludf.DUMMYFUNCTION("""COMPUTED_VALUE"""),"")</f>
        <v/>
      </c>
    </row>
    <row r="5674">
      <c r="A5674" s="15">
        <f>IFERROR(__xludf.DUMMYFUNCTION("""COMPUTED_VALUE"""),45167.0)</f>
        <v>45167</v>
      </c>
      <c r="B5674" s="17"/>
      <c r="C5674" s="15" t="str">
        <f>IFERROR(__xludf.DUMMYFUNCTION("""COMPUTED_VALUE"""),"BUCARAMANGA")</f>
        <v>BUCARAMANGA</v>
      </c>
      <c r="D5674" s="15" t="str">
        <f>IFERROR(__xludf.DUMMYFUNCTION("""COMPUTED_VALUE"""),"MEDELLÍN")</f>
        <v>MEDELLÍN</v>
      </c>
      <c r="E5674" s="15" t="str">
        <f>IFERROR(__xludf.DUMMYFUNCTION("""COMPUTED_VALUE"""),"Baby Chef")</f>
        <v>Baby Chef</v>
      </c>
      <c r="F5674" s="17" t="str">
        <f>IFERROR(__xludf.DUMMYFUNCTION("""COMPUTED_VALUE"""),"Cra 27 No 84 18 conjunto Terranova T2 apto 903 Diamante 2 / bucaramanga / bucaramanga")</f>
        <v>Cra 27 No 84 18 conjunto Terranova T2 apto 903 Diamante 2 / bucaramanga / bucaramanga</v>
      </c>
      <c r="G5674" s="15" t="str">
        <f>IFERROR(__xludf.DUMMYFUNCTION("""COMPUTED_VALUE"""),"Laura Becerra")</f>
        <v>Laura Becerra</v>
      </c>
      <c r="H5674" s="16">
        <f>IFERROR(__xludf.DUMMYFUNCTION("""COMPUTED_VALUE"""),14487.0)</f>
        <v>14487</v>
      </c>
      <c r="I5674" s="17"/>
      <c r="J5674" s="17"/>
      <c r="K5674" s="17"/>
      <c r="L5674" s="17">
        <f>IFERROR(__xludf.DUMMYFUNCTION("""COMPUTED_VALUE"""),3.164540927E9)</f>
        <v>3164540927</v>
      </c>
      <c r="M5674" s="17" t="str">
        <f>IFERROR(__xludf.DUMMYFUNCTION("""COMPUTED_VALUE"""),"#REF!")</f>
        <v>#REF!</v>
      </c>
      <c r="N5674" s="17"/>
      <c r="O5674" s="17"/>
      <c r="P5674" s="17" t="b">
        <f>IFERROR(__xludf.DUMMYFUNCTION("""COMPUTED_VALUE"""),FALSE)</f>
        <v>0</v>
      </c>
      <c r="Q5674" s="20" t="str">
        <f>IFERROR(__xludf.DUMMYFUNCTION("""COMPUTED_VALUE"""),"")</f>
        <v/>
      </c>
      <c r="R5674" s="22" t="str">
        <f>IFERROR(__xludf.DUMMYFUNCTION("""COMPUTED_VALUE"""),"")</f>
        <v/>
      </c>
    </row>
    <row r="5675">
      <c r="A5675" s="15">
        <f>IFERROR(__xludf.DUMMYFUNCTION("""COMPUTED_VALUE"""),45167.0)</f>
        <v>45167</v>
      </c>
      <c r="B5675" s="17"/>
      <c r="C5675" s="15" t="str">
        <f>IFERROR(__xludf.DUMMYFUNCTION("""COMPUTED_VALUE"""),"MEDELLÍN")</f>
        <v>MEDELLÍN</v>
      </c>
      <c r="D5675" s="15" t="str">
        <f>IFERROR(__xludf.DUMMYFUNCTION("""COMPUTED_VALUE"""),"BOGOTÁ")</f>
        <v>BOGOTÁ</v>
      </c>
      <c r="E5675" s="15" t="str">
        <f>IFERROR(__xludf.DUMMYFUNCTION("""COMPUTED_VALUE"""),"Evamazzita")</f>
        <v>Evamazzita</v>
      </c>
      <c r="F5675" s="17" t="str">
        <f>IFERROR(__xludf.DUMMYFUNCTION("""COMPUTED_VALUE"""),"CALLE 47 SUR No. 64D - 92 /  EL VERGEL SAN ANTONIO DE PRADO 922  TORRE 3 VILLAS DEL BOSQUE /  VILLAS DEL BOSQUE")</f>
        <v>CALLE 47 SUR No. 64D - 92 /  EL VERGEL SAN ANTONIO DE PRADO 922  TORRE 3 VILLAS DEL BOSQUE /  VILLAS DEL BOSQUE</v>
      </c>
      <c r="G5675" s="15" t="str">
        <f>IFERROR(__xludf.DUMMYFUNCTION("""COMPUTED_VALUE"""),"VERONICA ALZATE")</f>
        <v>VERONICA ALZATE</v>
      </c>
      <c r="H5675" s="16">
        <f>IFERROR(__xludf.DUMMYFUNCTION("""COMPUTED_VALUE"""),14455.0)</f>
        <v>14455</v>
      </c>
      <c r="I5675" s="18">
        <f>IFERROR(__xludf.DUMMYFUNCTION("""COMPUTED_VALUE"""),1.0)</f>
        <v>1</v>
      </c>
      <c r="J5675" s="18">
        <f>IFERROR(__xludf.DUMMYFUNCTION("""COMPUTED_VALUE"""),1.0)</f>
        <v>1</v>
      </c>
      <c r="K5675" s="18">
        <f>IFERROR(__xludf.DUMMYFUNCTION("""COMPUTED_VALUE"""),1.0)</f>
        <v>1</v>
      </c>
      <c r="L5675" s="17">
        <f>IFERROR(__xludf.DUMMYFUNCTION("""COMPUTED_VALUE"""),3.116118935E9)</f>
        <v>3116118935</v>
      </c>
      <c r="M5675" s="17" t="str">
        <f>IFERROR(__xludf.DUMMYFUNCTION("""COMPUTED_VALUE"""),"#REF!")</f>
        <v>#REF!</v>
      </c>
      <c r="N5675" s="17"/>
      <c r="O5675" s="17"/>
      <c r="P5675" s="17" t="b">
        <f>IFERROR(__xludf.DUMMYFUNCTION("""COMPUTED_VALUE"""),FALSE)</f>
        <v>0</v>
      </c>
      <c r="Q5675" s="20" t="str">
        <f>IFERROR(__xludf.DUMMYFUNCTION("""COMPUTED_VALUE"""),"")</f>
        <v/>
      </c>
      <c r="R5675" s="21" t="str">
        <f>IFERROR(__xludf.DUMMYFUNCTION("""COMPUTED_VALUE"""),"https://drive.google.com/file/d/1nS5LSGI6olBIZv4XHW6KzxPne_dSwwf2/view?usp=drivesdk")</f>
        <v>https://drive.google.com/file/d/1nS5LSGI6olBIZv4XHW6KzxPne_dSwwf2/view?usp=drivesdk</v>
      </c>
    </row>
    <row r="5676">
      <c r="A5676" s="15">
        <f>IFERROR(__xludf.DUMMYFUNCTION("""COMPUTED_VALUE"""),45167.0)</f>
        <v>45167</v>
      </c>
      <c r="B5676" s="17"/>
      <c r="C5676" s="15" t="str">
        <f>IFERROR(__xludf.DUMMYFUNCTION("""COMPUTED_VALUE"""),"MEDELLÍN")</f>
        <v>MEDELLÍN</v>
      </c>
      <c r="D5676" s="15" t="str">
        <f>IFERROR(__xludf.DUMMYFUNCTION("""COMPUTED_VALUE"""),"BOGOTÁ")</f>
        <v>BOGOTÁ</v>
      </c>
      <c r="E5676" s="15" t="str">
        <f>IFERROR(__xludf.DUMMYFUNCTION("""COMPUTED_VALUE"""),"Loomifoods")</f>
        <v>Loomifoods</v>
      </c>
      <c r="F5676" s="17" t="str">
        <f>IFERROR(__xludf.DUMMYFUNCTION("""COMPUTED_VALUE"""),"cra 15 Ba no. 34d - 44 / interior 201 / medellin")</f>
        <v>cra 15 Ba no. 34d - 44 / interior 201 / medellin</v>
      </c>
      <c r="G5676" s="15" t="str">
        <f>IFERROR(__xludf.DUMMYFUNCTION("""COMPUTED_VALUE"""),"Daniela Bedoya")</f>
        <v>Daniela Bedoya</v>
      </c>
      <c r="H5676" s="16">
        <f>IFERROR(__xludf.DUMMYFUNCTION("""COMPUTED_VALUE"""),14434.0)</f>
        <v>14434</v>
      </c>
      <c r="I5676" s="18">
        <f>IFERROR(__xludf.DUMMYFUNCTION("""COMPUTED_VALUE"""),19.0)</f>
        <v>19</v>
      </c>
      <c r="J5676" s="18">
        <f>IFERROR(__xludf.DUMMYFUNCTION("""COMPUTED_VALUE"""),5.0)</f>
        <v>5</v>
      </c>
      <c r="K5676" s="18">
        <f>IFERROR(__xludf.DUMMYFUNCTION("""COMPUTED_VALUE"""),16.0)</f>
        <v>16</v>
      </c>
      <c r="L5676" s="17">
        <f>IFERROR(__xludf.DUMMYFUNCTION("""COMPUTED_VALUE"""),3.14672822E9)</f>
        <v>3146728220</v>
      </c>
      <c r="M5676" s="17" t="str">
        <f>IFERROR(__xludf.DUMMYFUNCTION("""COMPUTED_VALUE"""),"#REF!")</f>
        <v>#REF!</v>
      </c>
      <c r="N5676" s="17"/>
      <c r="O5676" s="17"/>
      <c r="P5676" s="17" t="b">
        <f>IFERROR(__xludf.DUMMYFUNCTION("""COMPUTED_VALUE"""),FALSE)</f>
        <v>0</v>
      </c>
      <c r="Q5676" s="20" t="str">
        <f>IFERROR(__xludf.DUMMYFUNCTION("""COMPUTED_VALUE"""),"")</f>
        <v/>
      </c>
      <c r="R5676" s="22" t="str">
        <f>IFERROR(__xludf.DUMMYFUNCTION("""COMPUTED_VALUE"""),"")</f>
        <v/>
      </c>
    </row>
    <row r="5677">
      <c r="A5677" s="15">
        <f>IFERROR(__xludf.DUMMYFUNCTION("""COMPUTED_VALUE"""),45167.0)</f>
        <v>45167</v>
      </c>
      <c r="B5677" s="17"/>
      <c r="C5677" s="15" t="str">
        <f>IFERROR(__xludf.DUMMYFUNCTION("""COMPUTED_VALUE"""),"MEDELLÍN")</f>
        <v>MEDELLÍN</v>
      </c>
      <c r="D5677" s="15" t="str">
        <f>IFERROR(__xludf.DUMMYFUNCTION("""COMPUTED_VALUE"""),"BOGOTÁ")</f>
        <v>BOGOTÁ</v>
      </c>
      <c r="E5677" s="15" t="str">
        <f>IFERROR(__xludf.DUMMYFUNCTION("""COMPUTED_VALUE"""),"MAI ALIMENTOS S.A.S")</f>
        <v>MAI ALIMENTOS S.A.S</v>
      </c>
      <c r="F5677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5677" s="15" t="str">
        <f>IFERROR(__xludf.DUMMYFUNCTION("""COMPUTED_VALUE"""),"Novaventas")</f>
        <v>Novaventas</v>
      </c>
      <c r="H5677" s="16">
        <f>IFERROR(__xludf.DUMMYFUNCTION("""COMPUTED_VALUE"""),14505.0)</f>
        <v>14505</v>
      </c>
      <c r="I5677" s="18">
        <f>IFERROR(__xludf.DUMMYFUNCTION("""COMPUTED_VALUE"""),35.0)</f>
        <v>35</v>
      </c>
      <c r="J5677" s="18">
        <f>IFERROR(__xludf.DUMMYFUNCTION("""COMPUTED_VALUE"""),17.0)</f>
        <v>17</v>
      </c>
      <c r="K5677" s="18">
        <f>IFERROR(__xludf.DUMMYFUNCTION("""COMPUTED_VALUE"""),13.0)</f>
        <v>13</v>
      </c>
      <c r="L5677" s="17"/>
      <c r="M5677" s="17" t="str">
        <f>IFERROR(__xludf.DUMMYFUNCTION("""COMPUTED_VALUE"""),"#REF!")</f>
        <v>#REF!</v>
      </c>
      <c r="N5677" s="17"/>
      <c r="O5677" s="17"/>
      <c r="P5677" s="17" t="b">
        <f>IFERROR(__xludf.DUMMYFUNCTION("""COMPUTED_VALUE"""),FALSE)</f>
        <v>0</v>
      </c>
      <c r="Q5677" s="20" t="str">
        <f>IFERROR(__xludf.DUMMYFUNCTION("""COMPUTED_VALUE"""),"")</f>
        <v/>
      </c>
      <c r="R5677" s="22" t="str">
        <f>IFERROR(__xludf.DUMMYFUNCTION("""COMPUTED_VALUE"""),"")</f>
        <v/>
      </c>
    </row>
    <row r="5678">
      <c r="A5678" s="15">
        <f>IFERROR(__xludf.DUMMYFUNCTION("""COMPUTED_VALUE"""),45167.0)</f>
        <v>45167</v>
      </c>
      <c r="B5678" s="17"/>
      <c r="C5678" s="15" t="str">
        <f>IFERROR(__xludf.DUMMYFUNCTION("""COMPUTED_VALUE"""),"PIEDECUESTA")</f>
        <v>PIEDECUESTA</v>
      </c>
      <c r="D5678" s="15" t="str">
        <f>IFERROR(__xludf.DUMMYFUNCTION("""COMPUTED_VALUE"""),"BOGOTÁ")</f>
        <v>BOGOTÁ</v>
      </c>
      <c r="E5678" s="15" t="str">
        <f>IFERROR(__xludf.DUMMYFUNCTION("""COMPUTED_VALUE"""),"Ins. Alimento Vital")</f>
        <v>Ins. Alimento Vital</v>
      </c>
      <c r="F5678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5678" s="15" t="str">
        <f>IFERROR(__xludf.DUMMYFUNCTION("""COMPUTED_VALUE"""),"LORENA GRANADOS BARCO")</f>
        <v>LORENA GRANADOS BARCO</v>
      </c>
      <c r="H5678" s="16">
        <f>IFERROR(__xludf.DUMMYFUNCTION("""COMPUTED_VALUE"""),14427.0)</f>
        <v>14427</v>
      </c>
      <c r="I5678" s="18">
        <f>IFERROR(__xludf.DUMMYFUNCTION("""COMPUTED_VALUE"""),1.0)</f>
        <v>1</v>
      </c>
      <c r="J5678" s="18">
        <f>IFERROR(__xludf.DUMMYFUNCTION("""COMPUTED_VALUE"""),1.0)</f>
        <v>1</v>
      </c>
      <c r="K5678" s="18">
        <f>IFERROR(__xludf.DUMMYFUNCTION("""COMPUTED_VALUE"""),1.0)</f>
        <v>1</v>
      </c>
      <c r="L5678" s="17">
        <f>IFERROR(__xludf.DUMMYFUNCTION("""COMPUTED_VALUE"""),3.003286319E9)</f>
        <v>3003286319</v>
      </c>
      <c r="M5678" s="17" t="str">
        <f>IFERROR(__xludf.DUMMYFUNCTION("""COMPUTED_VALUE"""),"#REF!")</f>
        <v>#REF!</v>
      </c>
      <c r="N5678" s="17"/>
      <c r="O5678" s="17"/>
      <c r="P5678" s="17" t="b">
        <f>IFERROR(__xludf.DUMMYFUNCTION("""COMPUTED_VALUE"""),FALSE)</f>
        <v>0</v>
      </c>
      <c r="Q5678" s="20" t="str">
        <f>IFERROR(__xludf.DUMMYFUNCTION("""COMPUTED_VALUE"""),"")</f>
        <v/>
      </c>
      <c r="R5678" s="22" t="str">
        <f>IFERROR(__xludf.DUMMYFUNCTION("""COMPUTED_VALUE"""),"")</f>
        <v/>
      </c>
    </row>
    <row r="5679">
      <c r="A5679" s="17" t="str">
        <f>IFERROR(__xludf.DUMMYFUNCTION("""COMPUTED_VALUE"""),"")</f>
        <v/>
      </c>
      <c r="B5679" s="17" t="str">
        <f>IFERROR(__xludf.DUMMYFUNCTION("""COMPUTED_VALUE"""),"")</f>
        <v/>
      </c>
      <c r="C5679" s="17" t="str">
        <f>IFERROR(__xludf.DUMMYFUNCTION("""COMPUTED_VALUE"""),"")</f>
        <v/>
      </c>
      <c r="D5679" s="17" t="str">
        <f>IFERROR(__xludf.DUMMYFUNCTION("""COMPUTED_VALUE"""),"")</f>
        <v/>
      </c>
      <c r="E5679" s="17" t="str">
        <f>IFERROR(__xludf.DUMMYFUNCTION("""COMPUTED_VALUE"""),"")</f>
        <v/>
      </c>
      <c r="F5679" s="17" t="str">
        <f>IFERROR(__xludf.DUMMYFUNCTION("""COMPUTED_VALUE"""),"")</f>
        <v/>
      </c>
      <c r="G5679" s="17" t="str">
        <f>IFERROR(__xludf.DUMMYFUNCTION("""COMPUTED_VALUE"""),"")</f>
        <v/>
      </c>
      <c r="H5679" s="17" t="str">
        <f>IFERROR(__xludf.DUMMYFUNCTION("""COMPUTED_VALUE"""),"")</f>
        <v/>
      </c>
      <c r="I5679" s="17" t="str">
        <f>IFERROR(__xludf.DUMMYFUNCTION("""COMPUTED_VALUE"""),"")</f>
        <v/>
      </c>
      <c r="J5679" s="17" t="str">
        <f>IFERROR(__xludf.DUMMYFUNCTION("""COMPUTED_VALUE"""),"")</f>
        <v/>
      </c>
      <c r="K5679" s="17" t="str">
        <f>IFERROR(__xludf.DUMMYFUNCTION("""COMPUTED_VALUE"""),"")</f>
        <v/>
      </c>
      <c r="L5679" s="17" t="str">
        <f>IFERROR(__xludf.DUMMYFUNCTION("""COMPUTED_VALUE"""),"")</f>
        <v/>
      </c>
      <c r="M5679" s="17" t="str">
        <f>IFERROR(__xludf.DUMMYFUNCTION("""COMPUTED_VALUE"""),"")</f>
        <v/>
      </c>
      <c r="N5679" s="17" t="str">
        <f>IFERROR(__xludf.DUMMYFUNCTION("""COMPUTED_VALUE"""),"")</f>
        <v/>
      </c>
      <c r="O5679" s="17" t="str">
        <f>IFERROR(__xludf.DUMMYFUNCTION("""COMPUTED_VALUE"""),"")</f>
        <v/>
      </c>
      <c r="P5679" s="17" t="str">
        <f>IFERROR(__xludf.DUMMYFUNCTION("""COMPUTED_VALUE"""),"")</f>
        <v/>
      </c>
      <c r="Q5679" s="17" t="str">
        <f>IFERROR(__xludf.DUMMYFUNCTION("""COMPUTED_VALUE"""),"")</f>
        <v/>
      </c>
      <c r="R5679" s="17" t="str">
        <f>IFERROR(__xludf.DUMMYFUNCTION("""COMPUTED_VALUE"""),"")</f>
        <v/>
      </c>
    </row>
    <row r="5680">
      <c r="A5680" s="15">
        <f>IFERROR(__xludf.DUMMYFUNCTION("""COMPUTED_VALUE"""),45167.0)</f>
        <v>45167</v>
      </c>
      <c r="B5680" s="16" t="str">
        <f>IFERROR(__xludf.DUMMYFUNCTION("""COMPUTED_VALUE"""),"Deivi Alejandro Quintero Corrales")</f>
        <v>Deivi Alejandro Quintero Corrales</v>
      </c>
      <c r="C5680" s="15" t="str">
        <f>IFERROR(__xludf.DUMMYFUNCTION("""COMPUTED_VALUE"""),"CIRCASIA")</f>
        <v>CIRCASIA</v>
      </c>
      <c r="D5680" s="15" t="str">
        <f>IFERROR(__xludf.DUMMYFUNCTION("""COMPUTED_VALUE"""),"BOGOTÁ")</f>
        <v>BOGOTÁ</v>
      </c>
      <c r="E5680" s="15" t="str">
        <f>IFERROR(__xludf.DUMMYFUNCTION("""COMPUTED_VALUE"""),"Loomifoods")</f>
        <v>Loomifoods</v>
      </c>
      <c r="F5680" s="17" t="str">
        <f>IFERROR(__xludf.DUMMYFUNCTION("""COMPUTED_VALUE"""),"calle 6 no. 18 - 22 / casa 2, manzana h / urbanización cantabria")</f>
        <v>calle 6 no. 18 - 22 / casa 2, manzana h / urbanización cantabria</v>
      </c>
      <c r="G5680" s="15" t="str">
        <f>IFERROR(__xludf.DUMMYFUNCTION("""COMPUTED_VALUE"""),"Hilary Montes")</f>
        <v>Hilary Montes</v>
      </c>
      <c r="H5680" s="16">
        <f>IFERROR(__xludf.DUMMYFUNCTION("""COMPUTED_VALUE"""),14435.0)</f>
        <v>14435</v>
      </c>
      <c r="I5680" s="18">
        <f>IFERROR(__xludf.DUMMYFUNCTION("""COMPUTED_VALUE"""),19.0)</f>
        <v>19</v>
      </c>
      <c r="J5680" s="18">
        <f>IFERROR(__xludf.DUMMYFUNCTION("""COMPUTED_VALUE"""),5.0)</f>
        <v>5</v>
      </c>
      <c r="K5680" s="18">
        <f>IFERROR(__xludf.DUMMYFUNCTION("""COMPUTED_VALUE"""),16.0)</f>
        <v>16</v>
      </c>
      <c r="L5680" s="17">
        <f>IFERROR(__xludf.DUMMYFUNCTION("""COMPUTED_VALUE"""),3.167864881E9)</f>
        <v>3167864881</v>
      </c>
      <c r="M5680" s="17" t="str">
        <f>IFERROR(__xludf.DUMMYFUNCTION("""COMPUTED_VALUE"""),"#REF!")</f>
        <v>#REF!</v>
      </c>
      <c r="N5680" s="17"/>
      <c r="O5680" s="17"/>
      <c r="P5680" s="17" t="b">
        <f>IFERROR(__xludf.DUMMYFUNCTION("""COMPUTED_VALUE"""),FALSE)</f>
        <v>0</v>
      </c>
      <c r="Q5680" s="20" t="str">
        <f>IFERROR(__xludf.DUMMYFUNCTION("""COMPUTED_VALUE"""),"")</f>
        <v/>
      </c>
      <c r="R5680" s="21" t="str">
        <f>IFERROR(__xludf.DUMMYFUNCTION("""COMPUTED_VALUE"""),"https://drive.google.com/file/d/1pJw8L_dC4q2lWgLAIdSFhN63kKIFy4wY/view?usp=drivesdk")</f>
        <v>https://drive.google.com/file/d/1pJw8L_dC4q2lWgLAIdSFhN63kKIFy4wY/view?usp=drivesdk</v>
      </c>
    </row>
    <row r="5681">
      <c r="A5681" s="15">
        <f>IFERROR(__xludf.DUMMYFUNCTION("""COMPUTED_VALUE"""),45167.0)</f>
        <v>45167</v>
      </c>
      <c r="B5681" s="16" t="str">
        <f>IFERROR(__xludf.DUMMYFUNCTION("""COMPUTED_VALUE"""),"Deivi Alejandro Quintero Corrales")</f>
        <v>Deivi Alejandro Quintero Corrales</v>
      </c>
      <c r="C5681" s="15" t="str">
        <f>IFERROR(__xludf.DUMMYFUNCTION("""COMPUTED_VALUE"""),"PEREIRA")</f>
        <v>PEREIRA</v>
      </c>
      <c r="D5681" s="15" t="str">
        <f>IFERROR(__xludf.DUMMYFUNCTION("""COMPUTED_VALUE"""),"BOGOTÁ")</f>
        <v>BOGOTÁ</v>
      </c>
      <c r="E5681" s="15" t="str">
        <f>IFERROR(__xludf.DUMMYFUNCTION("""COMPUTED_VALUE"""),"MAI ALIMENTOS S.A.S")</f>
        <v>MAI ALIMENTOS S.A.S</v>
      </c>
      <c r="F5681" s="17"/>
      <c r="G5681" s="15" t="str">
        <f>IFERROR(__xludf.DUMMYFUNCTION("""COMPUTED_VALUE"""),"Novaventas")</f>
        <v>Novaventas</v>
      </c>
      <c r="H5681" s="16">
        <f>IFERROR(__xludf.DUMMYFUNCTION("""COMPUTED_VALUE"""),14503.0)</f>
        <v>14503</v>
      </c>
      <c r="I5681" s="18">
        <f>IFERROR(__xludf.DUMMYFUNCTION("""COMPUTED_VALUE"""),35.0)</f>
        <v>35</v>
      </c>
      <c r="J5681" s="18">
        <f>IFERROR(__xludf.DUMMYFUNCTION("""COMPUTED_VALUE"""),17.0)</f>
        <v>17</v>
      </c>
      <c r="K5681" s="18">
        <f>IFERROR(__xludf.DUMMYFUNCTION("""COMPUTED_VALUE"""),13.0)</f>
        <v>13</v>
      </c>
      <c r="L5681" s="17"/>
      <c r="M5681" s="17" t="str">
        <f>IFERROR(__xludf.DUMMYFUNCTION("""COMPUTED_VALUE"""),"#REF!")</f>
        <v>#REF!</v>
      </c>
      <c r="N5681" s="17"/>
      <c r="O5681" s="17"/>
      <c r="P5681" s="17" t="b">
        <f>IFERROR(__xludf.DUMMYFUNCTION("""COMPUTED_VALUE"""),TRUE)</f>
        <v>1</v>
      </c>
      <c r="Q5681" s="20">
        <f>IFERROR(__xludf.DUMMYFUNCTION("""COMPUTED_VALUE"""),45167.64906621528)</f>
        <v>45167.64907</v>
      </c>
      <c r="R5681" s="21" t="str">
        <f>IFERROR(__xludf.DUMMYFUNCTION("""COMPUTED_VALUE"""),"https://drive.google.com/file/d/17XPYoTPOGEXSXodR70AkEjz362s1WrnC/view?usp=drivesdk")</f>
        <v>https://drive.google.com/file/d/17XPYoTPOGEXSXodR70AkEjz362s1WrnC/view?usp=drivesdk</v>
      </c>
    </row>
    <row r="5682">
      <c r="A5682" s="15">
        <f>IFERROR(__xludf.DUMMYFUNCTION("""COMPUTED_VALUE"""),45167.0)</f>
        <v>45167</v>
      </c>
      <c r="B5682" s="16" t="str">
        <f>IFERROR(__xludf.DUMMYFUNCTION("""COMPUTED_VALUE"""),"Deivi Alejandro Quintero Corrales")</f>
        <v>Deivi Alejandro Quintero Corrales</v>
      </c>
      <c r="C5682" s="15" t="str">
        <f>IFERROR(__xludf.DUMMYFUNCTION("""COMPUTED_VALUE"""),"PEREIRA")</f>
        <v>PEREIRA</v>
      </c>
      <c r="D5682" s="15" t="str">
        <f>IFERROR(__xludf.DUMMYFUNCTION("""COMPUTED_VALUE"""),"BOGOTÁ")</f>
        <v>BOGOTÁ</v>
      </c>
      <c r="E5682" s="15" t="str">
        <f>IFERROR(__xludf.DUMMYFUNCTION("""COMPUTED_VALUE"""),"Pan de Waffle")</f>
        <v>Pan de Waffle</v>
      </c>
      <c r="F5682" s="17" t="str">
        <f>IFERROR(__xludf.DUMMYFUNCTION("""COMPUTED_VALUE"""),"Calle 14 # 14 - 15 San José sur circunvalar / Calle 14 # 14 - 15 San José sur circunvalar / Calle 14 # 14 - 15 San José sur circunvalar")</f>
        <v>Calle 14 # 14 - 15 San José sur circunvalar / Calle 14 # 14 - 15 San José sur circunvalar / Calle 14 # 14 - 15 San José sur circunvalar</v>
      </c>
      <c r="G5682" s="15" t="str">
        <f>IFERROR(__xludf.DUMMYFUNCTION("""COMPUTED_VALUE"""),"MAJANA FIT")</f>
        <v>MAJANA FIT</v>
      </c>
      <c r="H5682" s="16">
        <f>IFERROR(__xludf.DUMMYFUNCTION("""COMPUTED_VALUE"""),14508.0)</f>
        <v>14508</v>
      </c>
      <c r="I5682" s="18">
        <f>IFERROR(__xludf.DUMMYFUNCTION("""COMPUTED_VALUE"""),40.0)</f>
        <v>40</v>
      </c>
      <c r="J5682" s="18">
        <f>IFERROR(__xludf.DUMMYFUNCTION("""COMPUTED_VALUE"""),40.0)</f>
        <v>40</v>
      </c>
      <c r="K5682" s="18">
        <f>IFERROR(__xludf.DUMMYFUNCTION("""COMPUTED_VALUE"""),30.0)</f>
        <v>30</v>
      </c>
      <c r="L5682" s="17">
        <f>IFERROR(__xludf.DUMMYFUNCTION("""COMPUTED_VALUE"""),3.148112262E9)</f>
        <v>3148112262</v>
      </c>
      <c r="M5682" s="17" t="str">
        <f>IFERROR(__xludf.DUMMYFUNCTION("""COMPUTED_VALUE"""),"#REF!")</f>
        <v>#REF!</v>
      </c>
      <c r="N5682" s="17"/>
      <c r="O5682" s="17"/>
      <c r="P5682" s="17" t="b">
        <f>IFERROR(__xludf.DUMMYFUNCTION("""COMPUTED_VALUE"""),TRUE)</f>
        <v>1</v>
      </c>
      <c r="Q5682" s="20">
        <f>IFERROR(__xludf.DUMMYFUNCTION("""COMPUTED_VALUE"""),45167.539896828705)</f>
        <v>45167.5399</v>
      </c>
      <c r="R5682" s="22" t="str">
        <f>IFERROR(__xludf.DUMMYFUNCTION("""COMPUTED_VALUE"""),"")</f>
        <v/>
      </c>
    </row>
    <row r="5683">
      <c r="A5683" s="15">
        <f>IFERROR(__xludf.DUMMYFUNCTION("""COMPUTED_VALUE"""),45167.0)</f>
        <v>45167</v>
      </c>
      <c r="B5683" s="16" t="str">
        <f>IFERROR(__xludf.DUMMYFUNCTION("""COMPUTED_VALUE"""),"Deivi Alejandro Quintero Corrales")</f>
        <v>Deivi Alejandro Quintero Corrales</v>
      </c>
      <c r="C5683" s="15" t="str">
        <f>IFERROR(__xludf.DUMMYFUNCTION("""COMPUTED_VALUE"""),"PEREIRA")</f>
        <v>PEREIRA</v>
      </c>
      <c r="D5683" s="15" t="str">
        <f>IFERROR(__xludf.DUMMYFUNCTION("""COMPUTED_VALUE"""),"BOGOTÁ")</f>
        <v>BOGOTÁ</v>
      </c>
      <c r="E5683" s="15" t="str">
        <f>IFERROR(__xludf.DUMMYFUNCTION("""COMPUTED_VALUE"""),"Spirulina Fresca")</f>
        <v>Spirulina Fresca</v>
      </c>
      <c r="F5683" s="17" t="str">
        <f>IFERROR(__xludf.DUMMYFUNCTION("""COMPUTED_VALUE"""),"carrera 1B 19-64 / 1 / Pereira")</f>
        <v>carrera 1B 19-64 / 1 / Pereira</v>
      </c>
      <c r="G5683" s="15" t="str">
        <f>IFERROR(__xludf.DUMMYFUNCTION("""COMPUTED_VALUE"""),"Yurani Lopez")</f>
        <v>Yurani Lopez</v>
      </c>
      <c r="H5683" s="16">
        <f>IFERROR(__xludf.DUMMYFUNCTION("""COMPUTED_VALUE"""),14419.0)</f>
        <v>14419</v>
      </c>
      <c r="I5683" s="18">
        <f>IFERROR(__xludf.DUMMYFUNCTION("""COMPUTED_VALUE"""),12.0)</f>
        <v>12</v>
      </c>
      <c r="J5683" s="18">
        <f>IFERROR(__xludf.DUMMYFUNCTION("""COMPUTED_VALUE"""),12.0)</f>
        <v>12</v>
      </c>
      <c r="K5683" s="18">
        <f>IFERROR(__xludf.DUMMYFUNCTION("""COMPUTED_VALUE"""),15.0)</f>
        <v>15</v>
      </c>
      <c r="L5683" s="17">
        <f>IFERROR(__xludf.DUMMYFUNCTION("""COMPUTED_VALUE"""),3.2095166E9)</f>
        <v>3209516600</v>
      </c>
      <c r="M5683" s="17" t="str">
        <f>IFERROR(__xludf.DUMMYFUNCTION("""COMPUTED_VALUE"""),"#REF!")</f>
        <v>#REF!</v>
      </c>
      <c r="N5683" s="17"/>
      <c r="O5683" s="17"/>
      <c r="P5683" s="17" t="b">
        <f>IFERROR(__xludf.DUMMYFUNCTION("""COMPUTED_VALUE"""),TRUE)</f>
        <v>1</v>
      </c>
      <c r="Q5683" s="20">
        <f>IFERROR(__xludf.DUMMYFUNCTION("""COMPUTED_VALUE"""),45167.652782453704)</f>
        <v>45167.65278</v>
      </c>
      <c r="R5683" s="21" t="str">
        <f>IFERROR(__xludf.DUMMYFUNCTION("""COMPUTED_VALUE"""),"https://drive.google.com/file/d/18yFSBmsv3R5UccjQ7bnE6L3Q15RgCxXp/view?usp=drivesdk")</f>
        <v>https://drive.google.com/file/d/18yFSBmsv3R5UccjQ7bnE6L3Q15RgCxXp/view?usp=drivesdk</v>
      </c>
    </row>
    <row r="5684">
      <c r="A5684" s="15">
        <f>IFERROR(__xludf.DUMMYFUNCTION("""COMPUTED_VALUE"""),45167.0)</f>
        <v>45167</v>
      </c>
      <c r="B5684" s="16" t="str">
        <f>IFERROR(__xludf.DUMMYFUNCTION("""COMPUTED_VALUE"""),"Deivi Alejandro Quintero Corrales")</f>
        <v>Deivi Alejandro Quintero Corrales</v>
      </c>
      <c r="C5684" s="15" t="str">
        <f>IFERROR(__xludf.DUMMYFUNCTION("""COMPUTED_VALUE"""),"PEREIRA")</f>
        <v>PEREIRA</v>
      </c>
      <c r="D5684" s="15" t="str">
        <f>IFERROR(__xludf.DUMMYFUNCTION("""COMPUTED_VALUE"""),"BOGOTÁ")</f>
        <v>BOGOTÁ</v>
      </c>
      <c r="E5684" s="15" t="str">
        <f>IFERROR(__xludf.DUMMYFUNCTION("""COMPUTED_VALUE"""),"Top Spun")</f>
        <v>Top Spun</v>
      </c>
      <c r="F5684" s="17" t="str">
        <f>IFERROR(__xludf.DUMMYFUNCTION("""COMPUTED_VALUE"""),"Calle 82# 37-97 / Torres de Alejandría / Torre 1 apto 203")</f>
        <v>Calle 82# 37-97 / Torres de Alejandría / Torre 1 apto 203</v>
      </c>
      <c r="G5684" s="15" t="str">
        <f>IFERROR(__xludf.DUMMYFUNCTION("""COMPUTED_VALUE"""),"Mariana García")</f>
        <v>Mariana García</v>
      </c>
      <c r="H5684" s="16">
        <f>IFERROR(__xludf.DUMMYFUNCTION("""COMPUTED_VALUE"""),14405.0)</f>
        <v>14405</v>
      </c>
      <c r="I5684" s="18">
        <f>IFERROR(__xludf.DUMMYFUNCTION("""COMPUTED_VALUE"""),20.0)</f>
        <v>20</v>
      </c>
      <c r="J5684" s="18">
        <f>IFERROR(__xludf.DUMMYFUNCTION("""COMPUTED_VALUE"""),10.0)</f>
        <v>10</v>
      </c>
      <c r="K5684" s="18">
        <f>IFERROR(__xludf.DUMMYFUNCTION("""COMPUTED_VALUE"""),40.0)</f>
        <v>40</v>
      </c>
      <c r="L5684" s="17">
        <f>IFERROR(__xludf.DUMMYFUNCTION("""COMPUTED_VALUE"""),3.004724276E9)</f>
        <v>3004724276</v>
      </c>
      <c r="M5684" s="17" t="str">
        <f>IFERROR(__xludf.DUMMYFUNCTION("""COMPUTED_VALUE"""),"#REF!")</f>
        <v>#REF!</v>
      </c>
      <c r="N5684" s="17"/>
      <c r="O5684" s="17"/>
      <c r="P5684" s="17" t="b">
        <f>IFERROR(__xludf.DUMMYFUNCTION("""COMPUTED_VALUE"""),FALSE)</f>
        <v>0</v>
      </c>
      <c r="Q5684" s="20" t="str">
        <f>IFERROR(__xludf.DUMMYFUNCTION("""COMPUTED_VALUE"""),"")</f>
        <v/>
      </c>
      <c r="R5684" s="22" t="str">
        <f>IFERROR(__xludf.DUMMYFUNCTION("""COMPUTED_VALUE"""),"")</f>
        <v/>
      </c>
    </row>
    <row r="5685">
      <c r="A5685" s="15">
        <f>IFERROR(__xludf.DUMMYFUNCTION("""COMPUTED_VALUE"""),45167.0)</f>
        <v>45167</v>
      </c>
      <c r="B5685" s="16" t="str">
        <f>IFERROR(__xludf.DUMMYFUNCTION("""COMPUTED_VALUE"""),"Deivi Alejandro Quintero Corrales")</f>
        <v>Deivi Alejandro Quintero Corrales</v>
      </c>
      <c r="C5685" s="15" t="str">
        <f>IFERROR(__xludf.DUMMYFUNCTION("""COMPUTED_VALUE"""),"PEREIRA")</f>
        <v>PEREIRA</v>
      </c>
      <c r="D5685" s="15" t="str">
        <f>IFERROR(__xludf.DUMMYFUNCTION("""COMPUTED_VALUE"""),"MEDELLÍN")</f>
        <v>MEDELLÍN</v>
      </c>
      <c r="E5685" s="15" t="str">
        <f>IFERROR(__xludf.DUMMYFUNCTION("""COMPUTED_VALUE"""),"Baby Chef")</f>
        <v>Baby Chef</v>
      </c>
      <c r="F5685" s="17" t="str">
        <f>IFERROR(__xludf.DUMMYFUNCTION("""COMPUTED_VALUE"""),"Calle 8 bis no 15-51 edif parque central Apto 1602 / Pereira / barrio los alpes")</f>
        <v>Calle 8 bis no 15-51 edif parque central Apto 1602 / Pereira / barrio los alpes</v>
      </c>
      <c r="G5685" s="15" t="str">
        <f>IFERROR(__xludf.DUMMYFUNCTION("""COMPUTED_VALUE"""),"Luisa Holguin")</f>
        <v>Luisa Holguin</v>
      </c>
      <c r="H5685" s="16">
        <f>IFERROR(__xludf.DUMMYFUNCTION("""COMPUTED_VALUE"""),14484.0)</f>
        <v>14484</v>
      </c>
      <c r="I5685" s="18">
        <f>IFERROR(__xludf.DUMMYFUNCTION("""COMPUTED_VALUE"""),11.0)</f>
        <v>11</v>
      </c>
      <c r="J5685" s="18">
        <f>IFERROR(__xludf.DUMMYFUNCTION("""COMPUTED_VALUE"""),25.0)</f>
        <v>25</v>
      </c>
      <c r="K5685" s="18">
        <f>IFERROR(__xludf.DUMMYFUNCTION("""COMPUTED_VALUE"""),30.0)</f>
        <v>30</v>
      </c>
      <c r="L5685" s="17">
        <f>IFERROR(__xludf.DUMMYFUNCTION("""COMPUTED_VALUE"""),3.008427381E9)</f>
        <v>3008427381</v>
      </c>
      <c r="M5685" s="17" t="str">
        <f>IFERROR(__xludf.DUMMYFUNCTION("""COMPUTED_VALUE"""),"#REF!")</f>
        <v>#REF!</v>
      </c>
      <c r="N5685" s="17"/>
      <c r="O5685" s="17"/>
      <c r="P5685" s="17" t="b">
        <f>IFERROR(__xludf.DUMMYFUNCTION("""COMPUTED_VALUE"""),TRUE)</f>
        <v>1</v>
      </c>
      <c r="Q5685" s="20">
        <f>IFERROR(__xludf.DUMMYFUNCTION("""COMPUTED_VALUE"""),45167.647586273146)</f>
        <v>45167.64759</v>
      </c>
      <c r="R5685" s="21" t="str">
        <f>IFERROR(__xludf.DUMMYFUNCTION("""COMPUTED_VALUE"""),"https://drive.google.com/file/d/13wdz6hC7CIcF1vshbJJro7pY3Y0uYM_9/view?usp=drivesdk")</f>
        <v>https://drive.google.com/file/d/13wdz6hC7CIcF1vshbJJro7pY3Y0uYM_9/view?usp=drivesdk</v>
      </c>
    </row>
    <row r="5686">
      <c r="A5686" s="15">
        <f>IFERROR(__xludf.DUMMYFUNCTION("""COMPUTED_VALUE"""),45167.0)</f>
        <v>45167</v>
      </c>
      <c r="B5686" s="16" t="str">
        <f>IFERROR(__xludf.DUMMYFUNCTION("""COMPUTED_VALUE"""),"Deivi Alejandro Quintero Corrales")</f>
        <v>Deivi Alejandro Quintero Corrales</v>
      </c>
      <c r="C5686" s="15" t="str">
        <f>IFERROR(__xludf.DUMMYFUNCTION("""COMPUTED_VALUE"""),"PEREIRA")</f>
        <v>PEREIRA</v>
      </c>
      <c r="D5686" s="15" t="str">
        <f>IFERROR(__xludf.DUMMYFUNCTION("""COMPUTED_VALUE"""),"MEDELLÍN")</f>
        <v>MEDELLÍN</v>
      </c>
      <c r="E5686" s="15" t="str">
        <f>IFERROR(__xludf.DUMMYFUNCTION("""COMPUTED_VALUE"""),"Baby Chef")</f>
        <v>Baby Chef</v>
      </c>
      <c r="F5686" s="17" t="str">
        <f>IFERROR(__xludf.DUMMYFUNCTION("""COMPUTED_VALUE"""),"Carrera 18 no 9 - 45, casa 17, conjunto residencial bahia palma, casa 17  / bahia palma pinares pereira / pereira")</f>
        <v>Carrera 18 no 9 - 45, casa 17, conjunto residencial bahia palma, casa 17  / bahia palma pinares pereira / pereira</v>
      </c>
      <c r="G5686" s="15" t="str">
        <f>IFERROR(__xludf.DUMMYFUNCTION("""COMPUTED_VALUE"""),"Mariana Ripol")</f>
        <v>Mariana Ripol</v>
      </c>
      <c r="H5686" s="16">
        <f>IFERROR(__xludf.DUMMYFUNCTION("""COMPUTED_VALUE"""),14485.0)</f>
        <v>14485</v>
      </c>
      <c r="I5686" s="18">
        <f>IFERROR(__xludf.DUMMYFUNCTION("""COMPUTED_VALUE"""),9.0)</f>
        <v>9</v>
      </c>
      <c r="J5686" s="18">
        <f>IFERROR(__xludf.DUMMYFUNCTION("""COMPUTED_VALUE"""),29.0)</f>
        <v>29</v>
      </c>
      <c r="K5686" s="18">
        <f>IFERROR(__xludf.DUMMYFUNCTION("""COMPUTED_VALUE"""),36.0)</f>
        <v>36</v>
      </c>
      <c r="L5686" s="17">
        <f>IFERROR(__xludf.DUMMYFUNCTION("""COMPUTED_VALUE"""),3.136858427E9)</f>
        <v>3136858427</v>
      </c>
      <c r="M5686" s="17" t="str">
        <f>IFERROR(__xludf.DUMMYFUNCTION("""COMPUTED_VALUE"""),"#REF!")</f>
        <v>#REF!</v>
      </c>
      <c r="N5686" s="17"/>
      <c r="O5686" s="17"/>
      <c r="P5686" s="17" t="b">
        <f>IFERROR(__xludf.DUMMYFUNCTION("""COMPUTED_VALUE"""),TRUE)</f>
        <v>1</v>
      </c>
      <c r="Q5686" s="20">
        <f>IFERROR(__xludf.DUMMYFUNCTION("""COMPUTED_VALUE"""),45167.646921990745)</f>
        <v>45167.64692</v>
      </c>
      <c r="R5686" s="21" t="str">
        <f>IFERROR(__xludf.DUMMYFUNCTION("""COMPUTED_VALUE"""),"https://drive.google.com/file/d/1btzjUQm2Wlnebe2-vAuWz-jm46wlpRpc/view?usp=drivesdk")</f>
        <v>https://drive.google.com/file/d/1btzjUQm2Wlnebe2-vAuWz-jm46wlpRpc/view?usp=drivesdk</v>
      </c>
    </row>
    <row r="5687">
      <c r="A5687" s="15">
        <f>IFERROR(__xludf.DUMMYFUNCTION("""COMPUTED_VALUE"""),45167.0)</f>
        <v>45167</v>
      </c>
      <c r="B5687" s="16" t="str">
        <f>IFERROR(__xludf.DUMMYFUNCTION("""COMPUTED_VALUE"""),"Deivi Alejandro Quintero Corrales")</f>
        <v>Deivi Alejandro Quintero Corrales</v>
      </c>
      <c r="C5687" s="15" t="str">
        <f>IFERROR(__xludf.DUMMYFUNCTION("""COMPUTED_VALUE"""),"PEREIRA")</f>
        <v>PEREIRA</v>
      </c>
      <c r="D5687" s="15" t="str">
        <f>IFERROR(__xludf.DUMMYFUNCTION("""COMPUTED_VALUE"""),"MEDELLÍN")</f>
        <v>MEDELLÍN</v>
      </c>
      <c r="E5687" s="15" t="str">
        <f>IFERROR(__xludf.DUMMYFUNCTION("""COMPUTED_VALUE"""),"Goyo Todo por ellos")</f>
        <v>Goyo Todo por ellos</v>
      </c>
      <c r="F5687" s="17" t="str">
        <f>IFERROR(__xludf.DUMMYFUNCTION("""COMPUTED_VALUE"""),"Calle 12 Bis #16 18  / Casa Hoja Comunidad Consciente  / Barrio Pinares")</f>
        <v>Calle 12 Bis #16 18  / Casa Hoja Comunidad Consciente  / Barrio Pinares</v>
      </c>
      <c r="G5687" s="15" t="str">
        <f>IFERROR(__xludf.DUMMYFUNCTION("""COMPUTED_VALUE"""),"Hector Hernandez")</f>
        <v>Hector Hernandez</v>
      </c>
      <c r="H5687" s="16">
        <f>IFERROR(__xludf.DUMMYFUNCTION("""COMPUTED_VALUE"""),14480.0)</f>
        <v>14480</v>
      </c>
      <c r="I5687" s="18">
        <f>IFERROR(__xludf.DUMMYFUNCTION("""COMPUTED_VALUE"""),16.0)</f>
        <v>16</v>
      </c>
      <c r="J5687" s="18">
        <f>IFERROR(__xludf.DUMMYFUNCTION("""COMPUTED_VALUE"""),35.0)</f>
        <v>35</v>
      </c>
      <c r="K5687" s="18">
        <f>IFERROR(__xludf.DUMMYFUNCTION("""COMPUTED_VALUE"""),35.0)</f>
        <v>35</v>
      </c>
      <c r="L5687" s="17">
        <f>IFERROR(__xludf.DUMMYFUNCTION("""COMPUTED_VALUE"""),3.18591145E9)</f>
        <v>3185911450</v>
      </c>
      <c r="M5687" s="17" t="str">
        <f>IFERROR(__xludf.DUMMYFUNCTION("""COMPUTED_VALUE"""),"#REF!")</f>
        <v>#REF!</v>
      </c>
      <c r="N5687" s="17"/>
      <c r="O5687" s="17"/>
      <c r="P5687" s="17" t="b">
        <f>IFERROR(__xludf.DUMMYFUNCTION("""COMPUTED_VALUE"""),TRUE)</f>
        <v>1</v>
      </c>
      <c r="Q5687" s="20">
        <f>IFERROR(__xludf.DUMMYFUNCTION("""COMPUTED_VALUE"""),45167.74633487269)</f>
        <v>45167.74633</v>
      </c>
      <c r="R5687" s="21" t="str">
        <f>IFERROR(__xludf.DUMMYFUNCTION("""COMPUTED_VALUE"""),"https://drive.google.com/file/d/1F4bHO3O1SxfJoPtLVX4vcpsF4_k_9SUF/view?usp=drivesdk")</f>
        <v>https://drive.google.com/file/d/1F4bHO3O1SxfJoPtLVX4vcpsF4_k_9SUF/view?usp=drivesdk</v>
      </c>
    </row>
    <row r="5688">
      <c r="A5688" s="15">
        <f>IFERROR(__xludf.DUMMYFUNCTION("""COMPUTED_VALUE"""),45167.0)</f>
        <v>45167</v>
      </c>
      <c r="B5688" s="16" t="str">
        <f>IFERROR(__xludf.DUMMYFUNCTION("""COMPUTED_VALUE"""),"Deivi Alejandro Quintero Corrales")</f>
        <v>Deivi Alejandro Quintero Corrales</v>
      </c>
      <c r="C5688" s="15" t="str">
        <f>IFERROR(__xludf.DUMMYFUNCTION("""COMPUTED_VALUE"""),"PEREIRA")</f>
        <v>PEREIRA</v>
      </c>
      <c r="D5688" s="15" t="str">
        <f>IFERROR(__xludf.DUMMYFUNCTION("""COMPUTED_VALUE"""),"MEDELLÍN")</f>
        <v>MEDELLÍN</v>
      </c>
      <c r="E5688" s="15" t="str">
        <f>IFERROR(__xludf.DUMMYFUNCTION("""COMPUTED_VALUE"""),"Puro Verde")</f>
        <v>Puro Verde</v>
      </c>
      <c r="F5688" s="17" t="str">
        <f>IFERROR(__xludf.DUMMYFUNCTION("""COMPUTED_VALUE"""),"CALLE 11 # 15-52 / APTO 404. EDIFICIO MIRARI / BARRIO LOS ALPES")</f>
        <v>CALLE 11 # 15-52 / APTO 404. EDIFICIO MIRARI / BARRIO LOS ALPES</v>
      </c>
      <c r="G5688" s="15" t="str">
        <f>IFERROR(__xludf.DUMMYFUNCTION("""COMPUTED_VALUE"""),"ISABELLA HENAO")</f>
        <v>ISABELLA HENAO</v>
      </c>
      <c r="H5688" s="16">
        <f>IFERROR(__xludf.DUMMYFUNCTION("""COMPUTED_VALUE"""),14402.0)</f>
        <v>14402</v>
      </c>
      <c r="I5688" s="18">
        <f>IFERROR(__xludf.DUMMYFUNCTION("""COMPUTED_VALUE"""),45034.0)</f>
        <v>45034</v>
      </c>
      <c r="J5688" s="18" t="str">
        <f>IFERROR(__xludf.DUMMYFUNCTION("""COMPUTED_VALUE"""),"32.2")</f>
        <v>32.2</v>
      </c>
      <c r="K5688" s="18" t="str">
        <f>IFERROR(__xludf.DUMMYFUNCTION("""COMPUTED_VALUE"""),"39.4")</f>
        <v>39.4</v>
      </c>
      <c r="L5688" s="17">
        <f>IFERROR(__xludf.DUMMYFUNCTION("""COMPUTED_VALUE"""),3.175120717E9)</f>
        <v>3175120717</v>
      </c>
      <c r="M5688" s="17" t="str">
        <f>IFERROR(__xludf.DUMMYFUNCTION("""COMPUTED_VALUE"""),"#REF!")</f>
        <v>#REF!</v>
      </c>
      <c r="N5688" s="17"/>
      <c r="O5688" s="17"/>
      <c r="P5688" s="17" t="b">
        <f>IFERROR(__xludf.DUMMYFUNCTION("""COMPUTED_VALUE"""),TRUE)</f>
        <v>1</v>
      </c>
      <c r="Q5688" s="20">
        <f>IFERROR(__xludf.DUMMYFUNCTION("""COMPUTED_VALUE"""),45167.539896828705)</f>
        <v>45167.5399</v>
      </c>
      <c r="R5688" s="21" t="str">
        <f>IFERROR(__xludf.DUMMYFUNCTION("""COMPUTED_VALUE"""),"https://drive.google.com/file/d/1fddy75Zl-4xWs3qJEccIaED6LyTqaQbw/view?usp=drivesdk")</f>
        <v>https://drive.google.com/file/d/1fddy75Zl-4xWs3qJEccIaED6LyTqaQbw/view?usp=drivesdk</v>
      </c>
    </row>
    <row r="5689">
      <c r="A5689" s="15">
        <f>IFERROR(__xludf.DUMMYFUNCTION("""COMPUTED_VALUE"""),45167.0)</f>
        <v>45167</v>
      </c>
      <c r="B5689" s="16" t="str">
        <f>IFERROR(__xludf.DUMMYFUNCTION("""COMPUTED_VALUE"""),"Deivi Alejandro Quintero Corrales")</f>
        <v>Deivi Alejandro Quintero Corrales</v>
      </c>
      <c r="C5689" s="15" t="str">
        <f>IFERROR(__xludf.DUMMYFUNCTION("""COMPUTED_VALUE"""),"PEREIRA")</f>
        <v>PEREIRA</v>
      </c>
      <c r="D5689" s="15" t="str">
        <f>IFERROR(__xludf.DUMMYFUNCTION("""COMPUTED_VALUE"""),"MEDELLÍN")</f>
        <v>MEDELLÍN</v>
      </c>
      <c r="E5689" s="15" t="str">
        <f>IFERROR(__xludf.DUMMYFUNCTION("""COMPUTED_VALUE"""),"Rambla")</f>
        <v>Rambla</v>
      </c>
      <c r="F5689" s="17" t="str">
        <f>IFERROR(__xludf.DUMMYFUNCTION("""COMPUTED_VALUE"""),"Avenida 30 agosto # 48-175 BRR MARAYA / . / .")</f>
        <v>Avenida 30 agosto # 48-175 BRR MARAYA / . / .</v>
      </c>
      <c r="G5689" s="15" t="str">
        <f>IFERROR(__xludf.DUMMYFUNCTION("""COMPUTED_VALUE"""),"MANDARIN")</f>
        <v>MANDARIN</v>
      </c>
      <c r="H5689" s="16">
        <f>IFERROR(__xludf.DUMMYFUNCTION("""COMPUTED_VALUE"""),14499.0)</f>
        <v>14499</v>
      </c>
      <c r="I5689" s="18">
        <f>IFERROR(__xludf.DUMMYFUNCTION("""COMPUTED_VALUE"""),20.0)</f>
        <v>20</v>
      </c>
      <c r="J5689" s="18">
        <f>IFERROR(__xludf.DUMMYFUNCTION("""COMPUTED_VALUE"""),12.0)</f>
        <v>12</v>
      </c>
      <c r="K5689" s="18">
        <f>IFERROR(__xludf.DUMMYFUNCTION("""COMPUTED_VALUE"""),12.0)</f>
        <v>12</v>
      </c>
      <c r="L5689" s="17">
        <f>IFERROR(__xludf.DUMMYFUNCTION("""COMPUTED_VALUE"""),3.008423006E9)</f>
        <v>3008423006</v>
      </c>
      <c r="M5689" s="17" t="str">
        <f>IFERROR(__xludf.DUMMYFUNCTION("""COMPUTED_VALUE"""),"#REF!")</f>
        <v>#REF!</v>
      </c>
      <c r="N5689" s="17"/>
      <c r="O5689" s="17"/>
      <c r="P5689" s="17" t="b">
        <f>IFERROR(__xludf.DUMMYFUNCTION("""COMPUTED_VALUE"""),TRUE)</f>
        <v>1</v>
      </c>
      <c r="Q5689" s="20">
        <f>IFERROR(__xludf.DUMMYFUNCTION("""COMPUTED_VALUE"""),45167.656587199075)</f>
        <v>45167.65659</v>
      </c>
      <c r="R5689" s="21" t="str">
        <f>IFERROR(__xludf.DUMMYFUNCTION("""COMPUTED_VALUE"""),"https://drive.google.com/file/d/1P7WON9ZVoMZUzl8Gm0NSUih_yDBUB2n6/view?usp=drivesdk")</f>
        <v>https://drive.google.com/file/d/1P7WON9ZVoMZUzl8Gm0NSUih_yDBUB2n6/view?usp=drivesdk</v>
      </c>
    </row>
    <row r="5690">
      <c r="A5690" s="15">
        <f>IFERROR(__xludf.DUMMYFUNCTION("""COMPUTED_VALUE"""),45167.0)</f>
        <v>45167</v>
      </c>
      <c r="B5690" s="16" t="str">
        <f>IFERROR(__xludf.DUMMYFUNCTION("""COMPUTED_VALUE"""),"Deivi Alejandro Quintero Corrales")</f>
        <v>Deivi Alejandro Quintero Corrales</v>
      </c>
      <c r="C5690" s="15" t="str">
        <f>IFERROR(__xludf.DUMMYFUNCTION("""COMPUTED_VALUE"""),"PEREIRA")</f>
        <v>PEREIRA</v>
      </c>
      <c r="D5690" s="15" t="str">
        <f>IFERROR(__xludf.DUMMYFUNCTION("""COMPUTED_VALUE"""),"MEDELLÍN")</f>
        <v>MEDELLÍN</v>
      </c>
      <c r="E5690" s="15" t="str">
        <f>IFERROR(__xludf.DUMMYFUNCTION("""COMPUTED_VALUE"""),"Rambla")</f>
        <v>Rambla</v>
      </c>
      <c r="F5690" s="17" t="str">
        <f>IFERROR(__xludf.DUMMYFUNCTION("""COMPUTED_VALUE"""),"calle 14 # 14-15 San José sur circunvalar Pereira / - / -")</f>
        <v>calle 14 # 14-15 San José sur circunvalar Pereira / - / -</v>
      </c>
      <c r="G5690" s="15" t="str">
        <f>IFERROR(__xludf.DUMMYFUNCTION("""COMPUTED_VALUE"""),"Majana")</f>
        <v>Majana</v>
      </c>
      <c r="H5690" s="16">
        <f>IFERROR(__xludf.DUMMYFUNCTION("""COMPUTED_VALUE"""),14497.0)</f>
        <v>14497</v>
      </c>
      <c r="I5690" s="18">
        <f>IFERROR(__xludf.DUMMYFUNCTION("""COMPUTED_VALUE"""),30.0)</f>
        <v>30</v>
      </c>
      <c r="J5690" s="18">
        <f>IFERROR(__xludf.DUMMYFUNCTION("""COMPUTED_VALUE"""),35.0)</f>
        <v>35</v>
      </c>
      <c r="K5690" s="18">
        <f>IFERROR(__xludf.DUMMYFUNCTION("""COMPUTED_VALUE"""),32.0)</f>
        <v>32</v>
      </c>
      <c r="L5690" s="17">
        <f>IFERROR(__xludf.DUMMYFUNCTION("""COMPUTED_VALUE"""),3.148112262E9)</f>
        <v>3148112262</v>
      </c>
      <c r="M5690" s="17" t="str">
        <f>IFERROR(__xludf.DUMMYFUNCTION("""COMPUTED_VALUE"""),"#REF!")</f>
        <v>#REF!</v>
      </c>
      <c r="N5690" s="17"/>
      <c r="O5690" s="17"/>
      <c r="P5690" s="17" t="b">
        <f>IFERROR(__xludf.DUMMYFUNCTION("""COMPUTED_VALUE"""),TRUE)</f>
        <v>1</v>
      </c>
      <c r="Q5690" s="20">
        <f>IFERROR(__xludf.DUMMYFUNCTION("""COMPUTED_VALUE"""),45167.657013749995)</f>
        <v>45167.65701</v>
      </c>
      <c r="R5690" s="21" t="str">
        <f>IFERROR(__xludf.DUMMYFUNCTION("""COMPUTED_VALUE"""),"https://drive.google.com/file/d/1gbY9JRfORUh2OPSoqMPBXR28VZaNmXCy/view?usp=drivesdk")</f>
        <v>https://drive.google.com/file/d/1gbY9JRfORUh2OPSoqMPBXR28VZaNmXCy/view?usp=drivesdk</v>
      </c>
    </row>
    <row r="5691">
      <c r="A5691" s="17" t="str">
        <f>IFERROR(__xludf.DUMMYFUNCTION("""COMPUTED_VALUE"""),"")</f>
        <v/>
      </c>
      <c r="B5691" s="17" t="str">
        <f>IFERROR(__xludf.DUMMYFUNCTION("""COMPUTED_VALUE"""),"")</f>
        <v/>
      </c>
      <c r="C5691" s="17" t="str">
        <f>IFERROR(__xludf.DUMMYFUNCTION("""COMPUTED_VALUE"""),"")</f>
        <v/>
      </c>
      <c r="D5691" s="17" t="str">
        <f>IFERROR(__xludf.DUMMYFUNCTION("""COMPUTED_VALUE"""),"")</f>
        <v/>
      </c>
      <c r="E5691" s="17" t="str">
        <f>IFERROR(__xludf.DUMMYFUNCTION("""COMPUTED_VALUE"""),"")</f>
        <v/>
      </c>
      <c r="F5691" s="17" t="str">
        <f>IFERROR(__xludf.DUMMYFUNCTION("""COMPUTED_VALUE"""),"")</f>
        <v/>
      </c>
      <c r="G5691" s="17" t="str">
        <f>IFERROR(__xludf.DUMMYFUNCTION("""COMPUTED_VALUE"""),"")</f>
        <v/>
      </c>
      <c r="H5691" s="17" t="str">
        <f>IFERROR(__xludf.DUMMYFUNCTION("""COMPUTED_VALUE"""),"")</f>
        <v/>
      </c>
      <c r="I5691" s="17" t="str">
        <f>IFERROR(__xludf.DUMMYFUNCTION("""COMPUTED_VALUE"""),"")</f>
        <v/>
      </c>
      <c r="J5691" s="17" t="str">
        <f>IFERROR(__xludf.DUMMYFUNCTION("""COMPUTED_VALUE"""),"")</f>
        <v/>
      </c>
      <c r="K5691" s="17" t="str">
        <f>IFERROR(__xludf.DUMMYFUNCTION("""COMPUTED_VALUE"""),"")</f>
        <v/>
      </c>
      <c r="L5691" s="17" t="str">
        <f>IFERROR(__xludf.DUMMYFUNCTION("""COMPUTED_VALUE"""),"")</f>
        <v/>
      </c>
      <c r="M5691" s="17" t="str">
        <f>IFERROR(__xludf.DUMMYFUNCTION("""COMPUTED_VALUE"""),"")</f>
        <v/>
      </c>
      <c r="N5691" s="17" t="str">
        <f>IFERROR(__xludf.DUMMYFUNCTION("""COMPUTED_VALUE"""),"")</f>
        <v/>
      </c>
      <c r="O5691" s="17" t="str">
        <f>IFERROR(__xludf.DUMMYFUNCTION("""COMPUTED_VALUE"""),"")</f>
        <v/>
      </c>
      <c r="P5691" s="17" t="str">
        <f>IFERROR(__xludf.DUMMYFUNCTION("""COMPUTED_VALUE"""),"")</f>
        <v/>
      </c>
      <c r="Q5691" s="17" t="str">
        <f>IFERROR(__xludf.DUMMYFUNCTION("""COMPUTED_VALUE"""),"")</f>
        <v/>
      </c>
      <c r="R5691" s="17" t="str">
        <f>IFERROR(__xludf.DUMMYFUNCTION("""COMPUTED_VALUE"""),"")</f>
        <v/>
      </c>
    </row>
    <row r="5692">
      <c r="A5692" s="15">
        <f>IFERROR(__xludf.DUMMYFUNCTION("""COMPUTED_VALUE"""),45167.0)</f>
        <v>45167</v>
      </c>
      <c r="B5692" s="16" t="str">
        <f>IFERROR(__xludf.DUMMYFUNCTION("""COMPUTED_VALUE"""),"Duvan Gabriel Alvarez Giron")</f>
        <v>Duvan Gabriel Alvarez Giron</v>
      </c>
      <c r="C5692" s="15" t="str">
        <f>IFERROR(__xludf.DUMMYFUNCTION("""COMPUTED_VALUE"""),"IBAGUÉ")</f>
        <v>IBAGUÉ</v>
      </c>
      <c r="D5692" s="15" t="str">
        <f>IFERROR(__xludf.DUMMYFUNCTION("""COMPUTED_VALUE"""),"BOGOTÁ")</f>
        <v>BOGOTÁ</v>
      </c>
      <c r="E5692" s="15" t="str">
        <f>IFERROR(__xludf.DUMMYFUNCTION("""COMPUTED_VALUE"""),"Asociacion Agropecuaria Juana Maria")</f>
        <v>Asociacion Agropecuaria Juana Maria</v>
      </c>
      <c r="F5692" s="17" t="str">
        <f>IFERROR(__xludf.DUMMYFUNCTION("""COMPUTED_VALUE"""),"Calle 93 # 7 Sur-90 torre 7 apto 701 Conjunto Residencial Altagracia")</f>
        <v>Calle 93 # 7 Sur-90 torre 7 apto 701 Conjunto Residencial Altagracia</v>
      </c>
      <c r="G5692" s="15" t="str">
        <f>IFERROR(__xludf.DUMMYFUNCTION("""COMPUTED_VALUE"""),"Mariam Yasmin Murillo Rubio")</f>
        <v>Mariam Yasmin Murillo Rubio</v>
      </c>
      <c r="H5692" s="16">
        <f>IFERROR(__xludf.DUMMYFUNCTION("""COMPUTED_VALUE"""),14415.0)</f>
        <v>14415</v>
      </c>
      <c r="I5692" s="18">
        <f>IFERROR(__xludf.DUMMYFUNCTION("""COMPUTED_VALUE"""),36.0)</f>
        <v>36</v>
      </c>
      <c r="J5692" s="18">
        <f>IFERROR(__xludf.DUMMYFUNCTION("""COMPUTED_VALUE"""),25.0)</f>
        <v>25</v>
      </c>
      <c r="K5692" s="18">
        <f>IFERROR(__xludf.DUMMYFUNCTION("""COMPUTED_VALUE"""),3.0)</f>
        <v>3</v>
      </c>
      <c r="L5692" s="17">
        <f>IFERROR(__xludf.DUMMYFUNCTION("""COMPUTED_VALUE"""),3.105789664E9)</f>
        <v>3105789664</v>
      </c>
      <c r="M5692" s="17" t="str">
        <f>IFERROR(__xludf.DUMMYFUNCTION("""COMPUTED_VALUE"""),"#REF!")</f>
        <v>#REF!</v>
      </c>
      <c r="N5692" s="17"/>
      <c r="O5692" s="17"/>
      <c r="P5692" s="17" t="b">
        <f>IFERROR(__xludf.DUMMYFUNCTION("""COMPUTED_VALUE"""),TRUE)</f>
        <v>1</v>
      </c>
      <c r="Q5692" s="20">
        <f>IFERROR(__xludf.DUMMYFUNCTION("""COMPUTED_VALUE"""),45167.74633487269)</f>
        <v>45167.74633</v>
      </c>
      <c r="R5692" s="22" t="str">
        <f>IFERROR(__xludf.DUMMYFUNCTION("""COMPUTED_VALUE"""),"")</f>
        <v/>
      </c>
    </row>
    <row r="5693">
      <c r="A5693" s="15">
        <f>IFERROR(__xludf.DUMMYFUNCTION("""COMPUTED_VALUE"""),45167.0)</f>
        <v>45167</v>
      </c>
      <c r="B5693" s="16" t="str">
        <f>IFERROR(__xludf.DUMMYFUNCTION("""COMPUTED_VALUE"""),"Duvan Gabriel Alvarez Giron")</f>
        <v>Duvan Gabriel Alvarez Giron</v>
      </c>
      <c r="C5693" s="15" t="str">
        <f>IFERROR(__xludf.DUMMYFUNCTION("""COMPUTED_VALUE"""),"IBAGUÉ")</f>
        <v>IBAGUÉ</v>
      </c>
      <c r="D5693" s="15" t="str">
        <f>IFERROR(__xludf.DUMMYFUNCTION("""COMPUTED_VALUE"""),"BOGOTÁ")</f>
        <v>BOGOTÁ</v>
      </c>
      <c r="E5693" s="15" t="str">
        <f>IFERROR(__xludf.DUMMYFUNCTION("""COMPUTED_VALUE"""),"Frutos Silvestres")</f>
        <v>Frutos Silvestres</v>
      </c>
      <c r="F5693" s="17" t="str">
        <f>IFERROR(__xludf.DUMMYFUNCTION("""COMPUTED_VALUE"""),"Manzana 12 casa 11  / Primer piso puerta negra  / Terrazas del tejar")</f>
        <v>Manzana 12 casa 11  / Primer piso puerta negra  / Terrazas del tejar</v>
      </c>
      <c r="G5693" s="15" t="str">
        <f>IFERROR(__xludf.DUMMYFUNCTION("""COMPUTED_VALUE"""),"Johanna Jaramillo")</f>
        <v>Johanna Jaramillo</v>
      </c>
      <c r="H5693" s="16">
        <f>IFERROR(__xludf.DUMMYFUNCTION("""COMPUTED_VALUE"""),14510.0)</f>
        <v>14510</v>
      </c>
      <c r="I5693" s="18">
        <f>IFERROR(__xludf.DUMMYFUNCTION("""COMPUTED_VALUE"""),23.0)</f>
        <v>23</v>
      </c>
      <c r="J5693" s="18">
        <f>IFERROR(__xludf.DUMMYFUNCTION("""COMPUTED_VALUE"""),19.0)</f>
        <v>19</v>
      </c>
      <c r="K5693" s="18">
        <f>IFERROR(__xludf.DUMMYFUNCTION("""COMPUTED_VALUE"""),27.0)</f>
        <v>27</v>
      </c>
      <c r="L5693" s="17">
        <f>IFERROR(__xludf.DUMMYFUNCTION("""COMPUTED_VALUE"""),3.245887861E9)</f>
        <v>3245887861</v>
      </c>
      <c r="M5693" s="17" t="str">
        <f>IFERROR(__xludf.DUMMYFUNCTION("""COMPUTED_VALUE"""),"#REF!")</f>
        <v>#REF!</v>
      </c>
      <c r="N5693" s="17"/>
      <c r="O5693" s="17"/>
      <c r="P5693" s="17" t="b">
        <f>IFERROR(__xludf.DUMMYFUNCTION("""COMPUTED_VALUE"""),FALSE)</f>
        <v>0</v>
      </c>
      <c r="Q5693" s="20" t="str">
        <f>IFERROR(__xludf.DUMMYFUNCTION("""COMPUTED_VALUE"""),"")</f>
        <v/>
      </c>
      <c r="R5693" s="21" t="str">
        <f>IFERROR(__xludf.DUMMYFUNCTION("""COMPUTED_VALUE"""),"https://drive.google.com/file/d/1gi0GJbIlkJjEv-XYL11jwkExnbHzdQNs/view?usp=drivesdk")</f>
        <v>https://drive.google.com/file/d/1gi0GJbIlkJjEv-XYL11jwkExnbHzdQNs/view?usp=drivesdk</v>
      </c>
    </row>
    <row r="5694">
      <c r="A5694" s="15">
        <f>IFERROR(__xludf.DUMMYFUNCTION("""COMPUTED_VALUE"""),45167.0)</f>
        <v>45167</v>
      </c>
      <c r="B5694" s="16" t="str">
        <f>IFERROR(__xludf.DUMMYFUNCTION("""COMPUTED_VALUE"""),"Duvan Gabriel Alvarez Giron")</f>
        <v>Duvan Gabriel Alvarez Giron</v>
      </c>
      <c r="C5694" s="15" t="str">
        <f>IFERROR(__xludf.DUMMYFUNCTION("""COMPUTED_VALUE"""),"IBAGUÉ")</f>
        <v>IBAGUÉ</v>
      </c>
      <c r="D5694" s="15" t="str">
        <f>IFERROR(__xludf.DUMMYFUNCTION("""COMPUTED_VALUE"""),"BOGOTÁ")</f>
        <v>BOGOTÁ</v>
      </c>
      <c r="E5694" s="15" t="str">
        <f>IFERROR(__xludf.DUMMYFUNCTION("""COMPUTED_VALUE"""),"Ins. Alimento Vital")</f>
        <v>Ins. Alimento Vital</v>
      </c>
      <c r="F5694" s="17" t="str">
        <f>IFERROR(__xludf.DUMMYFUNCTION("""COMPUTED_VALUE"""),"CONJUNTO RESIDENCIAL LA ARBOLEDA VIA PICALEÑA CONJUNTO DE SOLO CASAS / MANZANA 13 CASA 26 / CONJUNTO RESIDENCIAL LA ARBOLEDA")</f>
        <v>CONJUNTO RESIDENCIAL LA ARBOLEDA VIA PICALEÑA CONJUNTO DE SOLO CASAS / MANZANA 13 CASA 26 / CONJUNTO RESIDENCIAL LA ARBOLEDA</v>
      </c>
      <c r="G5694" s="15" t="str">
        <f>IFERROR(__xludf.DUMMYFUNCTION("""COMPUTED_VALUE"""),"IVONNE MARITZA ESPINOSA RODRIGUEZ")</f>
        <v>IVONNE MARITZA ESPINOSA RODRIGUEZ</v>
      </c>
      <c r="H5694" s="16">
        <f>IFERROR(__xludf.DUMMYFUNCTION("""COMPUTED_VALUE"""),14428.0)</f>
        <v>14428</v>
      </c>
      <c r="I5694" s="18">
        <f>IFERROR(__xludf.DUMMYFUNCTION("""COMPUTED_VALUE"""),1.0)</f>
        <v>1</v>
      </c>
      <c r="J5694" s="18">
        <f>IFERROR(__xludf.DUMMYFUNCTION("""COMPUTED_VALUE"""),1.0)</f>
        <v>1</v>
      </c>
      <c r="K5694" s="18">
        <f>IFERROR(__xludf.DUMMYFUNCTION("""COMPUTED_VALUE"""),1.0)</f>
        <v>1</v>
      </c>
      <c r="L5694" s="17">
        <f>IFERROR(__xludf.DUMMYFUNCTION("""COMPUTED_VALUE"""),3.017288399E9)</f>
        <v>3017288399</v>
      </c>
      <c r="M5694" s="17" t="str">
        <f>IFERROR(__xludf.DUMMYFUNCTION("""COMPUTED_VALUE"""),"#REF!")</f>
        <v>#REF!</v>
      </c>
      <c r="N5694" s="17"/>
      <c r="O5694" s="17"/>
      <c r="P5694" s="17" t="b">
        <f>IFERROR(__xludf.DUMMYFUNCTION("""COMPUTED_VALUE"""),FALSE)</f>
        <v>0</v>
      </c>
      <c r="Q5694" s="20" t="str">
        <f>IFERROR(__xludf.DUMMYFUNCTION("""COMPUTED_VALUE"""),"")</f>
        <v/>
      </c>
      <c r="R5694" s="22" t="str">
        <f>IFERROR(__xludf.DUMMYFUNCTION("""COMPUTED_VALUE"""),"")</f>
        <v/>
      </c>
    </row>
    <row r="5695">
      <c r="A5695" s="15">
        <f>IFERROR(__xludf.DUMMYFUNCTION("""COMPUTED_VALUE"""),45167.0)</f>
        <v>45167</v>
      </c>
      <c r="B5695" s="16" t="str">
        <f>IFERROR(__xludf.DUMMYFUNCTION("""COMPUTED_VALUE"""),"Duvan Gabriel Alvarez Giron")</f>
        <v>Duvan Gabriel Alvarez Giron</v>
      </c>
      <c r="C5695" s="15" t="str">
        <f>IFERROR(__xludf.DUMMYFUNCTION("""COMPUTED_VALUE"""),"IBAGUÉ")</f>
        <v>IBAGUÉ</v>
      </c>
      <c r="D5695" s="15" t="str">
        <f>IFERROR(__xludf.DUMMYFUNCTION("""COMPUTED_VALUE"""),"BOGOTÁ")</f>
        <v>BOGOTÁ</v>
      </c>
      <c r="E5695" s="15" t="str">
        <f>IFERROR(__xludf.DUMMYFUNCTION("""COMPUTED_VALUE"""),"Karem foods")</f>
        <v>Karem foods</v>
      </c>
      <c r="F5695" s="17" t="str">
        <f>IFERROR(__xludf.DUMMYFUNCTION("""COMPUTED_VALUE"""),"Cra 14 # 75A-29 Local 5 Estancia del Vergel / local / -")</f>
        <v>Cra 14 # 75A-29 Local 5 Estancia del Vergel / local / -</v>
      </c>
      <c r="G5695" s="15" t="str">
        <f>IFERROR(__xludf.DUMMYFUNCTION("""COMPUTED_VALUE"""),"Soy Natural Market - Daniel Arbelaez")</f>
        <v>Soy Natural Market - Daniel Arbelaez</v>
      </c>
      <c r="H5695" s="16">
        <f>IFERROR(__xludf.DUMMYFUNCTION("""COMPUTED_VALUE"""),14490.0)</f>
        <v>14490</v>
      </c>
      <c r="I5695" s="18">
        <f>IFERROR(__xludf.DUMMYFUNCTION("""COMPUTED_VALUE"""),20.0)</f>
        <v>20</v>
      </c>
      <c r="J5695" s="18">
        <f>IFERROR(__xludf.DUMMYFUNCTION("""COMPUTED_VALUE"""),30.0)</f>
        <v>30</v>
      </c>
      <c r="K5695" s="18">
        <f>IFERROR(__xludf.DUMMYFUNCTION("""COMPUTED_VALUE"""),20.0)</f>
        <v>20</v>
      </c>
      <c r="L5695" s="17">
        <f>IFERROR(__xludf.DUMMYFUNCTION("""COMPUTED_VALUE"""),3.177002909E9)</f>
        <v>3177002909</v>
      </c>
      <c r="M5695" s="17" t="str">
        <f>IFERROR(__xludf.DUMMYFUNCTION("""COMPUTED_VALUE"""),"#REF!")</f>
        <v>#REF!</v>
      </c>
      <c r="N5695" s="17"/>
      <c r="O5695" s="17"/>
      <c r="P5695" s="17" t="b">
        <f>IFERROR(__xludf.DUMMYFUNCTION("""COMPUTED_VALUE"""),TRUE)</f>
        <v>1</v>
      </c>
      <c r="Q5695" s="20">
        <f>IFERROR(__xludf.DUMMYFUNCTION("""COMPUTED_VALUE"""),45167.74633488426)</f>
        <v>45167.74633</v>
      </c>
      <c r="R5695" s="21" t="str">
        <f>IFERROR(__xludf.DUMMYFUNCTION("""COMPUTED_VALUE"""),"https://drive.google.com/file/d/1LK93tOCPQN8dsQxxTt9Cp2TXvJW0Msdl/view?usp=drivesdk")</f>
        <v>https://drive.google.com/file/d/1LK93tOCPQN8dsQxxTt9Cp2TXvJW0Msdl/view?usp=drivesdk</v>
      </c>
    </row>
    <row r="5696">
      <c r="A5696" s="17" t="str">
        <f>IFERROR(__xludf.DUMMYFUNCTION("""COMPUTED_VALUE"""),"")</f>
        <v/>
      </c>
      <c r="B5696" s="17" t="str">
        <f>IFERROR(__xludf.DUMMYFUNCTION("""COMPUTED_VALUE"""),"")</f>
        <v/>
      </c>
      <c r="C5696" s="17" t="str">
        <f>IFERROR(__xludf.DUMMYFUNCTION("""COMPUTED_VALUE"""),"")</f>
        <v/>
      </c>
      <c r="D5696" s="17" t="str">
        <f>IFERROR(__xludf.DUMMYFUNCTION("""COMPUTED_VALUE"""),"")</f>
        <v/>
      </c>
      <c r="E5696" s="17" t="str">
        <f>IFERROR(__xludf.DUMMYFUNCTION("""COMPUTED_VALUE"""),"")</f>
        <v/>
      </c>
      <c r="F5696" s="17" t="str">
        <f>IFERROR(__xludf.DUMMYFUNCTION("""COMPUTED_VALUE"""),"")</f>
        <v/>
      </c>
      <c r="G5696" s="17" t="str">
        <f>IFERROR(__xludf.DUMMYFUNCTION("""COMPUTED_VALUE"""),"")</f>
        <v/>
      </c>
      <c r="H5696" s="17" t="str">
        <f>IFERROR(__xludf.DUMMYFUNCTION("""COMPUTED_VALUE"""),"")</f>
        <v/>
      </c>
      <c r="I5696" s="17" t="str">
        <f>IFERROR(__xludf.DUMMYFUNCTION("""COMPUTED_VALUE"""),"")</f>
        <v/>
      </c>
      <c r="J5696" s="17" t="str">
        <f>IFERROR(__xludf.DUMMYFUNCTION("""COMPUTED_VALUE"""),"")</f>
        <v/>
      </c>
      <c r="K5696" s="17" t="str">
        <f>IFERROR(__xludf.DUMMYFUNCTION("""COMPUTED_VALUE"""),"")</f>
        <v/>
      </c>
      <c r="L5696" s="17" t="str">
        <f>IFERROR(__xludf.DUMMYFUNCTION("""COMPUTED_VALUE"""),"")</f>
        <v/>
      </c>
      <c r="M5696" s="17" t="str">
        <f>IFERROR(__xludf.DUMMYFUNCTION("""COMPUTED_VALUE"""),"")</f>
        <v/>
      </c>
      <c r="N5696" s="17" t="str">
        <f>IFERROR(__xludf.DUMMYFUNCTION("""COMPUTED_VALUE"""),"")</f>
        <v/>
      </c>
      <c r="O5696" s="17" t="str">
        <f>IFERROR(__xludf.DUMMYFUNCTION("""COMPUTED_VALUE"""),"")</f>
        <v/>
      </c>
      <c r="P5696" s="17" t="str">
        <f>IFERROR(__xludf.DUMMYFUNCTION("""COMPUTED_VALUE"""),"")</f>
        <v/>
      </c>
      <c r="Q5696" s="17" t="str">
        <f>IFERROR(__xludf.DUMMYFUNCTION("""COMPUTED_VALUE"""),"")</f>
        <v/>
      </c>
      <c r="R5696" s="17" t="str">
        <f>IFERROR(__xludf.DUMMYFUNCTION("""COMPUTED_VALUE"""),"")</f>
        <v/>
      </c>
    </row>
    <row r="5697">
      <c r="A5697" s="15">
        <f>IFERROR(__xludf.DUMMYFUNCTION("""COMPUTED_VALUE"""),45167.0)</f>
        <v>45167</v>
      </c>
      <c r="B5697" s="16" t="str">
        <f>IFERROR(__xludf.DUMMYFUNCTION("""COMPUTED_VALUE"""),"Envia")</f>
        <v>Envia</v>
      </c>
      <c r="C5697" s="15" t="str">
        <f>IFERROR(__xludf.DUMMYFUNCTION("""COMPUTED_VALUE"""),"ARMENIA")</f>
        <v>ARMENIA</v>
      </c>
      <c r="D5697" s="15" t="str">
        <f>IFERROR(__xludf.DUMMYFUNCTION("""COMPUTED_VALUE"""),"BOGOTÁ")</f>
        <v>BOGOTÁ</v>
      </c>
      <c r="E5697" s="15" t="str">
        <f>IFERROR(__xludf.DUMMYFUNCTION("""COMPUTED_VALUE"""),"Evamazzita")</f>
        <v>Evamazzita</v>
      </c>
      <c r="F5697" s="17" t="str">
        <f>IFERROR(__xludf.DUMMYFUNCTION("""COMPUTED_VALUE"""),"Calle 30 #30-11 / N/A / Barrio Quindio")</f>
        <v>Calle 30 #30-11 / N/A / Barrio Quindio</v>
      </c>
      <c r="G5697" s="15" t="str">
        <f>IFERROR(__xludf.DUMMYFUNCTION("""COMPUTED_VALUE"""),"YORMARY JIMENEZ")</f>
        <v>YORMARY JIMENEZ</v>
      </c>
      <c r="H5697" s="16">
        <f>IFERROR(__xludf.DUMMYFUNCTION("""COMPUTED_VALUE"""),14451.0)</f>
        <v>14451</v>
      </c>
      <c r="I5697" s="18">
        <f>IFERROR(__xludf.DUMMYFUNCTION("""COMPUTED_VALUE"""),12.0)</f>
        <v>12</v>
      </c>
      <c r="J5697" s="18">
        <f>IFERROR(__xludf.DUMMYFUNCTION("""COMPUTED_VALUE"""),35.0)</f>
        <v>35</v>
      </c>
      <c r="K5697" s="18">
        <f>IFERROR(__xludf.DUMMYFUNCTION("""COMPUTED_VALUE"""),27.0)</f>
        <v>27</v>
      </c>
      <c r="L5697" s="17">
        <f>IFERROR(__xludf.DUMMYFUNCTION("""COMPUTED_VALUE"""),3.113196178E9)</f>
        <v>3113196178</v>
      </c>
      <c r="M5697" s="17" t="str">
        <f>IFERROR(__xludf.DUMMYFUNCTION("""COMPUTED_VALUE"""),"#REF!")</f>
        <v>#REF!</v>
      </c>
      <c r="N5697" s="17"/>
      <c r="O5697" s="17"/>
      <c r="P5697" s="17" t="b">
        <f>IFERROR(__xludf.DUMMYFUNCTION("""COMPUTED_VALUE"""),FALSE)</f>
        <v>0</v>
      </c>
      <c r="Q5697" s="20" t="str">
        <f>IFERROR(__xludf.DUMMYFUNCTION("""COMPUTED_VALUE"""),"")</f>
        <v/>
      </c>
      <c r="R5697" s="21" t="str">
        <f>IFERROR(__xludf.DUMMYFUNCTION("""COMPUTED_VALUE"""),"https://drive.google.com/file/d/1mCGN_KB4xdYmEOS9Qyq6SVN-xlNjgARR/view?usp=drivesdk")</f>
        <v>https://drive.google.com/file/d/1mCGN_KB4xdYmEOS9Qyq6SVN-xlNjgARR/view?usp=drivesdk</v>
      </c>
    </row>
    <row r="5698">
      <c r="A5698" s="15">
        <f>IFERROR(__xludf.DUMMYFUNCTION("""COMPUTED_VALUE"""),45167.0)</f>
        <v>45167</v>
      </c>
      <c r="B5698" s="16" t="str">
        <f>IFERROR(__xludf.DUMMYFUNCTION("""COMPUTED_VALUE"""),"Envia")</f>
        <v>Envia</v>
      </c>
      <c r="C5698" s="15" t="str">
        <f>IFERROR(__xludf.DUMMYFUNCTION("""COMPUTED_VALUE"""),"ARMENIA")</f>
        <v>ARMENIA</v>
      </c>
      <c r="D5698" s="15" t="str">
        <f>IFERROR(__xludf.DUMMYFUNCTION("""COMPUTED_VALUE"""),"MEDELLÍN")</f>
        <v>MEDELLÍN</v>
      </c>
      <c r="E5698" s="15" t="str">
        <f>IFERROR(__xludf.DUMMYFUNCTION("""COMPUTED_VALUE"""),"Puro Verde")</f>
        <v>Puro Verde</v>
      </c>
      <c r="F5698" s="17" t="str">
        <f>IFERROR(__xludf.DUMMYFUNCTION("""COMPUTED_VALUE"""),"CALLE 4 NORTE # 13-77 / APTO 610. EDIFICIO TORRE 100. / BARRIO ALCAZAR")</f>
        <v>CALLE 4 NORTE # 13-77 / APTO 610. EDIFICIO TORRE 100. / BARRIO ALCAZAR</v>
      </c>
      <c r="G5698" s="15" t="str">
        <f>IFERROR(__xludf.DUMMYFUNCTION("""COMPUTED_VALUE"""),"THOMAS KLEPPINGER")</f>
        <v>THOMAS KLEPPINGER</v>
      </c>
      <c r="H5698" s="16">
        <f>IFERROR(__xludf.DUMMYFUNCTION("""COMPUTED_VALUE"""),14398.0)</f>
        <v>14398</v>
      </c>
      <c r="I5698" s="18">
        <f>IFERROR(__xludf.DUMMYFUNCTION("""COMPUTED_VALUE"""),45149.0)</f>
        <v>45149</v>
      </c>
      <c r="J5698" s="18">
        <f>IFERROR(__xludf.DUMMYFUNCTION("""COMPUTED_VALUE"""),45185.0)</f>
        <v>45185</v>
      </c>
      <c r="K5698" s="18" t="str">
        <f>IFERROR(__xludf.DUMMYFUNCTION("""COMPUTED_VALUE"""),"44.1")</f>
        <v>44.1</v>
      </c>
      <c r="L5698" s="17">
        <f>IFERROR(__xludf.DUMMYFUNCTION("""COMPUTED_VALUE"""),3.017869712E9)</f>
        <v>3017869712</v>
      </c>
      <c r="M5698" s="17" t="str">
        <f>IFERROR(__xludf.DUMMYFUNCTION("""COMPUTED_VALUE"""),"#REF!")</f>
        <v>#REF!</v>
      </c>
      <c r="N5698" s="17"/>
      <c r="O5698" s="17"/>
      <c r="P5698" s="17" t="b">
        <f>IFERROR(__xludf.DUMMYFUNCTION("""COMPUTED_VALUE"""),TRUE)</f>
        <v>1</v>
      </c>
      <c r="Q5698" s="20">
        <f>IFERROR(__xludf.DUMMYFUNCTION("""COMPUTED_VALUE"""),45167.539896828705)</f>
        <v>45167.5399</v>
      </c>
      <c r="R5698" s="22" t="str">
        <f>IFERROR(__xludf.DUMMYFUNCTION("""COMPUTED_VALUE"""),"")</f>
        <v/>
      </c>
    </row>
    <row r="5699">
      <c r="A5699" s="15">
        <f>IFERROR(__xludf.DUMMYFUNCTION("""COMPUTED_VALUE"""),45167.0)</f>
        <v>45167</v>
      </c>
      <c r="B5699" s="16" t="str">
        <f>IFERROR(__xludf.DUMMYFUNCTION("""COMPUTED_VALUE"""),"Envia")</f>
        <v>Envia</v>
      </c>
      <c r="C5699" s="15" t="str">
        <f>IFERROR(__xludf.DUMMYFUNCTION("""COMPUTED_VALUE"""),"CALI")</f>
        <v>CALI</v>
      </c>
      <c r="D5699" s="15" t="str">
        <f>IFERROR(__xludf.DUMMYFUNCTION("""COMPUTED_VALUE"""),"BOGOTÁ")</f>
        <v>BOGOTÁ</v>
      </c>
      <c r="E5699" s="15" t="str">
        <f>IFERROR(__xludf.DUMMYFUNCTION("""COMPUTED_VALUE"""),"Evamazzita")</f>
        <v>Evamazzita</v>
      </c>
      <c r="F5699" s="17" t="str">
        <f>IFERROR(__xludf.DUMMYFUNCTION("""COMPUTED_VALUE"""),"Calle 6 # 29-104 avenida Roosvelt Cali.  / ""Recibe: Jhonatan Castillo  Cel.: 3128308962 / Local Ferrollaves Ortiz """)</f>
        <v>Calle 6 # 29-104 avenida Roosvelt Cali.  / "Recibe: Jhonatan Castillo  Cel.: 3128308962 / Local Ferrollaves Ortiz "</v>
      </c>
      <c r="G5699" s="15" t="str">
        <f>IFERROR(__xludf.DUMMYFUNCTION("""COMPUTED_VALUE"""),"YINA MARCELA GUERRERO ESPAÑA")</f>
        <v>YINA MARCELA GUERRERO ESPAÑA</v>
      </c>
      <c r="H5699" s="16">
        <f>IFERROR(__xludf.DUMMYFUNCTION("""COMPUTED_VALUE"""),14467.0)</f>
        <v>14467</v>
      </c>
      <c r="I5699" s="18">
        <f>IFERROR(__xludf.DUMMYFUNCTION("""COMPUTED_VALUE"""),1.0)</f>
        <v>1</v>
      </c>
      <c r="J5699" s="18">
        <f>IFERROR(__xludf.DUMMYFUNCTION("""COMPUTED_VALUE"""),1.0)</f>
        <v>1</v>
      </c>
      <c r="K5699" s="18">
        <f>IFERROR(__xludf.DUMMYFUNCTION("""COMPUTED_VALUE"""),1.0)</f>
        <v>1</v>
      </c>
      <c r="L5699" s="17">
        <f>IFERROR(__xludf.DUMMYFUNCTION("""COMPUTED_VALUE"""),3.157731149E9)</f>
        <v>3157731149</v>
      </c>
      <c r="M5699" s="17" t="str">
        <f>IFERROR(__xludf.DUMMYFUNCTION("""COMPUTED_VALUE"""),"#REF!")</f>
        <v>#REF!</v>
      </c>
      <c r="N5699" s="17"/>
      <c r="O5699" s="17"/>
      <c r="P5699" s="17" t="b">
        <f>IFERROR(__xludf.DUMMYFUNCTION("""COMPUTED_VALUE"""),TRUE)</f>
        <v>1</v>
      </c>
      <c r="Q5699" s="20">
        <f>IFERROR(__xludf.DUMMYFUNCTION("""COMPUTED_VALUE"""),45167.74633488426)</f>
        <v>45167.74633</v>
      </c>
      <c r="R5699" s="21" t="str">
        <f>IFERROR(__xludf.DUMMYFUNCTION("""COMPUTED_VALUE"""),"https://drive.google.com/file/d/1yQARLzZDKTNVaFvFla_C9bDUPoOMhXiR/view?usp=drivesdk")</f>
        <v>https://drive.google.com/file/d/1yQARLzZDKTNVaFvFla_C9bDUPoOMhXiR/view?usp=drivesdk</v>
      </c>
    </row>
    <row r="5700">
      <c r="A5700" s="15">
        <f>IFERROR(__xludf.DUMMYFUNCTION("""COMPUTED_VALUE"""),45167.0)</f>
        <v>45167</v>
      </c>
      <c r="B5700" s="16" t="str">
        <f>IFERROR(__xludf.DUMMYFUNCTION("""COMPUTED_VALUE"""),"Envia")</f>
        <v>Envia</v>
      </c>
      <c r="C5700" s="15" t="str">
        <f>IFERROR(__xludf.DUMMYFUNCTION("""COMPUTED_VALUE"""),"CALI")</f>
        <v>CALI</v>
      </c>
      <c r="D5700" s="15" t="str">
        <f>IFERROR(__xludf.DUMMYFUNCTION("""COMPUTED_VALUE"""),"BOGOTÁ")</f>
        <v>BOGOTÁ</v>
      </c>
      <c r="E5700" s="15" t="str">
        <f>IFERROR(__xludf.DUMMYFUNCTION("""COMPUTED_VALUE"""),"Pan de Waffle")</f>
        <v>Pan de Waffle</v>
      </c>
      <c r="F5700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5700" s="15" t="str">
        <f>IFERROR(__xludf.DUMMYFUNCTION("""COMPUTED_VALUE"""),"FOODOLOGY")</f>
        <v>FOODOLOGY</v>
      </c>
      <c r="H5700" s="16">
        <f>IFERROR(__xludf.DUMMYFUNCTION("""COMPUTED_VALUE"""),14509.0)</f>
        <v>14509</v>
      </c>
      <c r="I5700" s="18">
        <f>IFERROR(__xludf.DUMMYFUNCTION("""COMPUTED_VALUE"""),30.0)</f>
        <v>30</v>
      </c>
      <c r="J5700" s="18">
        <f>IFERROR(__xludf.DUMMYFUNCTION("""COMPUTED_VALUE"""),40.0)</f>
        <v>40</v>
      </c>
      <c r="K5700" s="18">
        <f>IFERROR(__xludf.DUMMYFUNCTION("""COMPUTED_VALUE"""),30.0)</f>
        <v>30</v>
      </c>
      <c r="L5700" s="17">
        <f>IFERROR(__xludf.DUMMYFUNCTION("""COMPUTED_VALUE"""),3.158323233E9)</f>
        <v>3158323233</v>
      </c>
      <c r="M5700" s="17" t="str">
        <f>IFERROR(__xludf.DUMMYFUNCTION("""COMPUTED_VALUE"""),"#REF!")</f>
        <v>#REF!</v>
      </c>
      <c r="N5700" s="17"/>
      <c r="O5700" s="17"/>
      <c r="P5700" s="17" t="b">
        <f>IFERROR(__xludf.DUMMYFUNCTION("""COMPUTED_VALUE"""),FALSE)</f>
        <v>0</v>
      </c>
      <c r="Q5700" s="20" t="str">
        <f>IFERROR(__xludf.DUMMYFUNCTION("""COMPUTED_VALUE"""),"")</f>
        <v/>
      </c>
      <c r="R5700" s="21" t="str">
        <f>IFERROR(__xludf.DUMMYFUNCTION("""COMPUTED_VALUE"""),"https://drive.google.com/file/d/1McbhQedTFuTPu42i9TaUukp3KUHefcuW/view?usp=drivesdk")</f>
        <v>https://drive.google.com/file/d/1McbhQedTFuTPu42i9TaUukp3KUHefcuW/view?usp=drivesdk</v>
      </c>
    </row>
    <row r="5701">
      <c r="A5701" s="15">
        <f>IFERROR(__xludf.DUMMYFUNCTION("""COMPUTED_VALUE"""),45167.0)</f>
        <v>45167</v>
      </c>
      <c r="B5701" s="16" t="str">
        <f>IFERROR(__xludf.DUMMYFUNCTION("""COMPUTED_VALUE"""),"Envia")</f>
        <v>Envia</v>
      </c>
      <c r="C5701" s="15" t="str">
        <f>IFERROR(__xludf.DUMMYFUNCTION("""COMPUTED_VALUE"""),"CALI")</f>
        <v>CALI</v>
      </c>
      <c r="D5701" s="15" t="str">
        <f>IFERROR(__xludf.DUMMYFUNCTION("""COMPUTED_VALUE"""),"BOGOTÁ")</f>
        <v>BOGOTÁ</v>
      </c>
      <c r="E5701" s="15" t="str">
        <f>IFERROR(__xludf.DUMMYFUNCTION("""COMPUTED_VALUE"""),"Top Spun")</f>
        <v>Top Spun</v>
      </c>
      <c r="F5701" s="17" t="str">
        <f>IFERROR(__xludf.DUMMYFUNCTION("""COMPUTED_VALUE"""),"Cra 84 # 5-100  / Apto 307 / Reloj")</f>
        <v>Cra 84 # 5-100  / Apto 307 / Reloj</v>
      </c>
      <c r="G5701" s="15" t="str">
        <f>IFERROR(__xludf.DUMMYFUNCTION("""COMPUTED_VALUE"""),"Estefania Atehortua")</f>
        <v>Estefania Atehortua</v>
      </c>
      <c r="H5701" s="16">
        <f>IFERROR(__xludf.DUMMYFUNCTION("""COMPUTED_VALUE"""),14404.0)</f>
        <v>14404</v>
      </c>
      <c r="I5701" s="18">
        <f>IFERROR(__xludf.DUMMYFUNCTION("""COMPUTED_VALUE"""),20.0)</f>
        <v>20</v>
      </c>
      <c r="J5701" s="18">
        <f>IFERROR(__xludf.DUMMYFUNCTION("""COMPUTED_VALUE"""),10.0)</f>
        <v>10</v>
      </c>
      <c r="K5701" s="18">
        <f>IFERROR(__xludf.DUMMYFUNCTION("""COMPUTED_VALUE"""),40.0)</f>
        <v>40</v>
      </c>
      <c r="L5701" s="17">
        <f>IFERROR(__xludf.DUMMYFUNCTION("""COMPUTED_VALUE"""),3.165341531E9)</f>
        <v>3165341531</v>
      </c>
      <c r="M5701" s="17" t="str">
        <f>IFERROR(__xludf.DUMMYFUNCTION("""COMPUTED_VALUE"""),"#REF!")</f>
        <v>#REF!</v>
      </c>
      <c r="N5701" s="17"/>
      <c r="O5701" s="17"/>
      <c r="P5701" s="17" t="b">
        <f>IFERROR(__xludf.DUMMYFUNCTION("""COMPUTED_VALUE"""),TRUE)</f>
        <v>1</v>
      </c>
      <c r="Q5701" s="20">
        <f>IFERROR(__xludf.DUMMYFUNCTION("""COMPUTED_VALUE"""),45167.654165659726)</f>
        <v>45167.65417</v>
      </c>
      <c r="R5701" s="22" t="str">
        <f>IFERROR(__xludf.DUMMYFUNCTION("""COMPUTED_VALUE"""),"")</f>
        <v/>
      </c>
    </row>
    <row r="5702">
      <c r="A5702" s="15">
        <f>IFERROR(__xludf.DUMMYFUNCTION("""COMPUTED_VALUE"""),45167.0)</f>
        <v>45167</v>
      </c>
      <c r="B5702" s="16" t="str">
        <f>IFERROR(__xludf.DUMMYFUNCTION("""COMPUTED_VALUE"""),"Envia")</f>
        <v>Envia</v>
      </c>
      <c r="C5702" s="15" t="str">
        <f>IFERROR(__xludf.DUMMYFUNCTION("""COMPUTED_VALUE"""),"GIRÓN")</f>
        <v>GIRÓN</v>
      </c>
      <c r="D5702" s="15" t="str">
        <f>IFERROR(__xludf.DUMMYFUNCTION("""COMPUTED_VALUE"""),"BOGOTÁ")</f>
        <v>BOGOTÁ</v>
      </c>
      <c r="E5702" s="15" t="str">
        <f>IFERROR(__xludf.DUMMYFUNCTION("""COMPUTED_VALUE"""),"Evamazzita")</f>
        <v>Evamazzita</v>
      </c>
      <c r="F5702" s="17" t="str">
        <f>IFERROR(__xludf.DUMMYFUNCTION("""COMPUTED_VALUE"""),"Calle 22 #15-38 / Toree 3 /Apto 924  / Conjunto Los Robles")</f>
        <v>Calle 22 #15-38 / Toree 3 /Apto 924  / Conjunto Los Robles</v>
      </c>
      <c r="G5702" s="15" t="str">
        <f>IFERROR(__xludf.DUMMYFUNCTION("""COMPUTED_VALUE"""),"KAROLL MARCELA VARGAS ZAMBRANO")</f>
        <v>KAROLL MARCELA VARGAS ZAMBRANO</v>
      </c>
      <c r="H5702" s="16">
        <f>IFERROR(__xludf.DUMMYFUNCTION("""COMPUTED_VALUE"""),14459.0)</f>
        <v>14459</v>
      </c>
      <c r="I5702" s="18">
        <f>IFERROR(__xludf.DUMMYFUNCTION("""COMPUTED_VALUE"""),9.0)</f>
        <v>9</v>
      </c>
      <c r="J5702" s="18">
        <f>IFERROR(__xludf.DUMMYFUNCTION("""COMPUTED_VALUE"""),23.0)</f>
        <v>23</v>
      </c>
      <c r="K5702" s="18">
        <f>IFERROR(__xludf.DUMMYFUNCTION("""COMPUTED_VALUE"""),20.0)</f>
        <v>20</v>
      </c>
      <c r="L5702" s="17">
        <f>IFERROR(__xludf.DUMMYFUNCTION("""COMPUTED_VALUE"""),3.043370015E9)</f>
        <v>3043370015</v>
      </c>
      <c r="M5702" s="17" t="str">
        <f>IFERROR(__xludf.DUMMYFUNCTION("""COMPUTED_VALUE"""),"#REF!")</f>
        <v>#REF!</v>
      </c>
      <c r="N5702" s="17"/>
      <c r="O5702" s="17"/>
      <c r="P5702" s="17" t="b">
        <f>IFERROR(__xludf.DUMMYFUNCTION("""COMPUTED_VALUE"""),TRUE)</f>
        <v>1</v>
      </c>
      <c r="Q5702" s="20">
        <f>IFERROR(__xludf.DUMMYFUNCTION("""COMPUTED_VALUE"""),45167.74633488426)</f>
        <v>45167.74633</v>
      </c>
      <c r="R5702" s="22" t="str">
        <f>IFERROR(__xludf.DUMMYFUNCTION("""COMPUTED_VALUE"""),"")</f>
        <v/>
      </c>
    </row>
    <row r="5703">
      <c r="A5703" s="15">
        <f>IFERROR(__xludf.DUMMYFUNCTION("""COMPUTED_VALUE"""),45167.0)</f>
        <v>45167</v>
      </c>
      <c r="B5703" s="16" t="str">
        <f>IFERROR(__xludf.DUMMYFUNCTION("""COMPUTED_VALUE"""),"Envia")</f>
        <v>Envia</v>
      </c>
      <c r="C5703" s="15" t="str">
        <f>IFERROR(__xludf.DUMMYFUNCTION("""COMPUTED_VALUE"""),"IBAGUÉ")</f>
        <v>IBAGUÉ</v>
      </c>
      <c r="D5703" s="15" t="str">
        <f>IFERROR(__xludf.DUMMYFUNCTION("""COMPUTED_VALUE"""),"BOGOTÁ")</f>
        <v>BOGOTÁ</v>
      </c>
      <c r="E5703" s="15" t="str">
        <f>IFERROR(__xludf.DUMMYFUNCTION("""COMPUTED_VALUE"""),"Asociacion Agropecuaria Juana Maria")</f>
        <v>Asociacion Agropecuaria Juana Maria</v>
      </c>
      <c r="F5703" s="17" t="str">
        <f>IFERROR(__xludf.DUMMYFUNCTION("""COMPUTED_VALUE"""),"Calle 93 # 7 Sur-90 torre 7 apto 701 Conjunto Residencial Altagracia")</f>
        <v>Calle 93 # 7 Sur-90 torre 7 apto 701 Conjunto Residencial Altagracia</v>
      </c>
      <c r="G5703" s="15" t="str">
        <f>IFERROR(__xludf.DUMMYFUNCTION("""COMPUTED_VALUE"""),"Mariam Yasmin Murillo Rubio")</f>
        <v>Mariam Yasmin Murillo Rubio</v>
      </c>
      <c r="H5703" s="16">
        <f>IFERROR(__xludf.DUMMYFUNCTION("""COMPUTED_VALUE"""),14414.0)</f>
        <v>14414</v>
      </c>
      <c r="I5703" s="18">
        <f>IFERROR(__xludf.DUMMYFUNCTION("""COMPUTED_VALUE"""),22.0)</f>
        <v>22</v>
      </c>
      <c r="J5703" s="18">
        <f>IFERROR(__xludf.DUMMYFUNCTION("""COMPUTED_VALUE"""),15.0)</f>
        <v>15</v>
      </c>
      <c r="K5703" s="18">
        <f>IFERROR(__xludf.DUMMYFUNCTION("""COMPUTED_VALUE"""),3.0)</f>
        <v>3</v>
      </c>
      <c r="L5703" s="17">
        <f>IFERROR(__xludf.DUMMYFUNCTION("""COMPUTED_VALUE"""),3.105789664E9)</f>
        <v>3105789664</v>
      </c>
      <c r="M5703" s="17" t="str">
        <f>IFERROR(__xludf.DUMMYFUNCTION("""COMPUTED_VALUE"""),"#REF!")</f>
        <v>#REF!</v>
      </c>
      <c r="N5703" s="17"/>
      <c r="O5703" s="17"/>
      <c r="P5703" s="17" t="b">
        <f>IFERROR(__xludf.DUMMYFUNCTION("""COMPUTED_VALUE"""),TRUE)</f>
        <v>1</v>
      </c>
      <c r="Q5703" s="20">
        <f>IFERROR(__xludf.DUMMYFUNCTION("""COMPUTED_VALUE"""),45167.74633488426)</f>
        <v>45167.74633</v>
      </c>
      <c r="R5703" s="22" t="str">
        <f>IFERROR(__xludf.DUMMYFUNCTION("""COMPUTED_VALUE"""),"")</f>
        <v/>
      </c>
    </row>
    <row r="5704">
      <c r="A5704" s="15">
        <f>IFERROR(__xludf.DUMMYFUNCTION("""COMPUTED_VALUE"""),45167.0)</f>
        <v>45167</v>
      </c>
      <c r="B5704" s="16" t="str">
        <f>IFERROR(__xludf.DUMMYFUNCTION("""COMPUTED_VALUE"""),"Envia")</f>
        <v>Envia</v>
      </c>
      <c r="C5704" s="15" t="str">
        <f>IFERROR(__xludf.DUMMYFUNCTION("""COMPUTED_VALUE"""),"IBAGUÉ")</f>
        <v>IBAGUÉ</v>
      </c>
      <c r="D5704" s="15" t="str">
        <f>IFERROR(__xludf.DUMMYFUNCTION("""COMPUTED_VALUE"""),"BOGOTÁ")</f>
        <v>BOGOTÁ</v>
      </c>
      <c r="E5704" s="15" t="str">
        <f>IFERROR(__xludf.DUMMYFUNCTION("""COMPUTED_VALUE"""),"Evamazzita")</f>
        <v>Evamazzita</v>
      </c>
      <c r="F5704" s="17" t="str">
        <f>IFERROR(__xludf.DUMMYFUNCTION("""COMPUTED_VALUE"""),"Calle 93 #7sur-90 / Torre 7/apto701 / Conjunto Parque Residencial Altagracia")</f>
        <v>Calle 93 #7sur-90 / Torre 7/apto701 / Conjunto Parque Residencial Altagracia</v>
      </c>
      <c r="G5704" s="15" t="str">
        <f>IFERROR(__xludf.DUMMYFUNCTION("""COMPUTED_VALUE"""),"MARIAM MURRILLO")</f>
        <v>MARIAM MURRILLO</v>
      </c>
      <c r="H5704" s="16">
        <f>IFERROR(__xludf.DUMMYFUNCTION("""COMPUTED_VALUE"""),14452.0)</f>
        <v>14452</v>
      </c>
      <c r="I5704" s="18">
        <f>IFERROR(__xludf.DUMMYFUNCTION("""COMPUTED_VALUE"""),20.0)</f>
        <v>20</v>
      </c>
      <c r="J5704" s="18">
        <f>IFERROR(__xludf.DUMMYFUNCTION("""COMPUTED_VALUE"""),35.0)</f>
        <v>35</v>
      </c>
      <c r="K5704" s="18">
        <f>IFERROR(__xludf.DUMMYFUNCTION("""COMPUTED_VALUE"""),27.0)</f>
        <v>27</v>
      </c>
      <c r="L5704" s="17">
        <f>IFERROR(__xludf.DUMMYFUNCTION("""COMPUTED_VALUE"""),3.105789664E9)</f>
        <v>3105789664</v>
      </c>
      <c r="M5704" s="17" t="str">
        <f>IFERROR(__xludf.DUMMYFUNCTION("""COMPUTED_VALUE"""),"#REF!")</f>
        <v>#REF!</v>
      </c>
      <c r="N5704" s="17"/>
      <c r="O5704" s="17"/>
      <c r="P5704" s="17" t="b">
        <f>IFERROR(__xludf.DUMMYFUNCTION("""COMPUTED_VALUE"""),TRUE)</f>
        <v>1</v>
      </c>
      <c r="Q5704" s="20">
        <f>IFERROR(__xludf.DUMMYFUNCTION("""COMPUTED_VALUE"""),45167.74633488426)</f>
        <v>45167.74633</v>
      </c>
      <c r="R5704" s="22" t="str">
        <f>IFERROR(__xludf.DUMMYFUNCTION("""COMPUTED_VALUE"""),"")</f>
        <v/>
      </c>
    </row>
    <row r="5705">
      <c r="A5705" s="15">
        <f>IFERROR(__xludf.DUMMYFUNCTION("""COMPUTED_VALUE"""),45167.0)</f>
        <v>45167</v>
      </c>
      <c r="B5705" s="16" t="str">
        <f>IFERROR(__xludf.DUMMYFUNCTION("""COMPUTED_VALUE"""),"Envia")</f>
        <v>Envia</v>
      </c>
      <c r="C5705" s="15" t="str">
        <f>IFERROR(__xludf.DUMMYFUNCTION("""COMPUTED_VALUE"""),"IBAGUÉ")</f>
        <v>IBAGUÉ</v>
      </c>
      <c r="D5705" s="15" t="str">
        <f>IFERROR(__xludf.DUMMYFUNCTION("""COMPUTED_VALUE"""),"BOGOTÁ")</f>
        <v>BOGOTÁ</v>
      </c>
      <c r="E5705" s="15" t="str">
        <f>IFERROR(__xludf.DUMMYFUNCTION("""COMPUTED_VALUE"""),"Ins. Alimento Vital")</f>
        <v>Ins. Alimento Vital</v>
      </c>
      <c r="F5705" s="17" t="str">
        <f>IFERROR(__xludf.DUMMYFUNCTION("""COMPUTED_VALUE"""),"Manzana M casa 2B barrio Arkalá / Manzana M casa 2B  /  barrio Arkalá")</f>
        <v>Manzana M casa 2B barrio Arkalá / Manzana M casa 2B  /  barrio Arkalá</v>
      </c>
      <c r="G5705" s="15" t="str">
        <f>IFERROR(__xludf.DUMMYFUNCTION("""COMPUTED_VALUE"""),"YINA LIZETH DIAZ TORRES")</f>
        <v>YINA LIZETH DIAZ TORRES</v>
      </c>
      <c r="H5705" s="16">
        <f>IFERROR(__xludf.DUMMYFUNCTION("""COMPUTED_VALUE"""),14479.0)</f>
        <v>14479</v>
      </c>
      <c r="I5705" s="18">
        <f>IFERROR(__xludf.DUMMYFUNCTION("""COMPUTED_VALUE"""),1.0)</f>
        <v>1</v>
      </c>
      <c r="J5705" s="18">
        <f>IFERROR(__xludf.DUMMYFUNCTION("""COMPUTED_VALUE"""),1.0)</f>
        <v>1</v>
      </c>
      <c r="K5705" s="18">
        <f>IFERROR(__xludf.DUMMYFUNCTION("""COMPUTED_VALUE"""),1.0)</f>
        <v>1</v>
      </c>
      <c r="L5705" s="17">
        <f>IFERROR(__xludf.DUMMYFUNCTION("""COMPUTED_VALUE"""),3.134502277E9)</f>
        <v>3134502277</v>
      </c>
      <c r="M5705" s="17" t="str">
        <f>IFERROR(__xludf.DUMMYFUNCTION("""COMPUTED_VALUE"""),"#REF!")</f>
        <v>#REF!</v>
      </c>
      <c r="N5705" s="17"/>
      <c r="O5705" s="17"/>
      <c r="P5705" s="17" t="b">
        <f>IFERROR(__xludf.DUMMYFUNCTION("""COMPUTED_VALUE"""),TRUE)</f>
        <v>1</v>
      </c>
      <c r="Q5705" s="20">
        <f>IFERROR(__xludf.DUMMYFUNCTION("""COMPUTED_VALUE"""),45167.74633488426)</f>
        <v>45167.74633</v>
      </c>
      <c r="R5705" s="21" t="str">
        <f>IFERROR(__xludf.DUMMYFUNCTION("""COMPUTED_VALUE"""),"https://drive.google.com/file/d/1Wwv_V0DBHRN1Qdw8xVrfuvu8n89rMD85/view?usp=drivesdk")</f>
        <v>https://drive.google.com/file/d/1Wwv_V0DBHRN1Qdw8xVrfuvu8n89rMD85/view?usp=drivesdk</v>
      </c>
    </row>
    <row r="5706">
      <c r="A5706" s="15">
        <f>IFERROR(__xludf.DUMMYFUNCTION("""COMPUTED_VALUE"""),45167.0)</f>
        <v>45167</v>
      </c>
      <c r="B5706" s="16" t="str">
        <f>IFERROR(__xludf.DUMMYFUNCTION("""COMPUTED_VALUE"""),"Envia")</f>
        <v>Envia</v>
      </c>
      <c r="C5706" s="15" t="str">
        <f>IFERROR(__xludf.DUMMYFUNCTION("""COMPUTED_VALUE"""),"IBAGUÉ")</f>
        <v>IBAGUÉ</v>
      </c>
      <c r="D5706" s="15" t="str">
        <f>IFERROR(__xludf.DUMMYFUNCTION("""COMPUTED_VALUE"""),"BOGOTÁ")</f>
        <v>BOGOTÁ</v>
      </c>
      <c r="E5706" s="15" t="str">
        <f>IFERROR(__xludf.DUMMYFUNCTION("""COMPUTED_VALUE"""),"Le Puff")</f>
        <v>Le Puff</v>
      </c>
      <c r="F5706" s="17" t="str">
        <f>IFERROR(__xludf.DUMMYFUNCTION("""COMPUTED_VALUE"""),"Carrera 8 Sur #60 - 512 Zona Industrial el Papayo / Centro de Acopio  / Zona industrial el papayo")</f>
        <v>Carrera 8 Sur #60 - 512 Zona Industrial el Papayo / Centro de Acopio  / Zona industrial el papayo</v>
      </c>
      <c r="G5706" s="15" t="str">
        <f>IFERROR(__xludf.DUMMYFUNCTION("""COMPUTED_VALUE"""),"Catherine Traslaviña")</f>
        <v>Catherine Traslaviña</v>
      </c>
      <c r="H5706" s="16">
        <f>IFERROR(__xludf.DUMMYFUNCTION("""COMPUTED_VALUE"""),14403.0)</f>
        <v>14403</v>
      </c>
      <c r="I5706" s="18">
        <f>IFERROR(__xludf.DUMMYFUNCTION("""COMPUTED_VALUE"""),75.0)</f>
        <v>75</v>
      </c>
      <c r="J5706" s="18">
        <f>IFERROR(__xludf.DUMMYFUNCTION("""COMPUTED_VALUE"""),50.0)</f>
        <v>50</v>
      </c>
      <c r="K5706" s="18">
        <f>IFERROR(__xludf.DUMMYFUNCTION("""COMPUTED_VALUE"""),32.0)</f>
        <v>32</v>
      </c>
      <c r="L5706" s="17">
        <f>IFERROR(__xludf.DUMMYFUNCTION("""COMPUTED_VALUE"""),3.178939709E9)</f>
        <v>3178939709</v>
      </c>
      <c r="M5706" s="17" t="str">
        <f>IFERROR(__xludf.DUMMYFUNCTION("""COMPUTED_VALUE"""),"#REF!")</f>
        <v>#REF!</v>
      </c>
      <c r="N5706" s="17"/>
      <c r="O5706" s="17"/>
      <c r="P5706" s="17" t="b">
        <f>IFERROR(__xludf.DUMMYFUNCTION("""COMPUTED_VALUE"""),FALSE)</f>
        <v>0</v>
      </c>
      <c r="Q5706" s="20" t="str">
        <f>IFERROR(__xludf.DUMMYFUNCTION("""COMPUTED_VALUE"""),"")</f>
        <v/>
      </c>
      <c r="R5706" s="22" t="str">
        <f>IFERROR(__xludf.DUMMYFUNCTION("""COMPUTED_VALUE"""),"")</f>
        <v/>
      </c>
    </row>
    <row r="5707">
      <c r="A5707" s="15">
        <f>IFERROR(__xludf.DUMMYFUNCTION("""COMPUTED_VALUE"""),45167.0)</f>
        <v>45167</v>
      </c>
      <c r="B5707" s="16" t="str">
        <f>IFERROR(__xludf.DUMMYFUNCTION("""COMPUTED_VALUE"""),"Envia")</f>
        <v>Envia</v>
      </c>
      <c r="C5707" s="15" t="str">
        <f>IFERROR(__xludf.DUMMYFUNCTION("""COMPUTED_VALUE"""),"IBAGUÉ")</f>
        <v>IBAGUÉ</v>
      </c>
      <c r="D5707" s="15" t="str">
        <f>IFERROR(__xludf.DUMMYFUNCTION("""COMPUTED_VALUE"""),"BOGOTÁ")</f>
        <v>BOGOTÁ</v>
      </c>
      <c r="E5707" s="15" t="str">
        <f>IFERROR(__xludf.DUMMYFUNCTION("""COMPUTED_VALUE"""),"Loomifoods")</f>
        <v>Loomifoods</v>
      </c>
      <c r="F5707" s="17" t="str">
        <f>IFERROR(__xludf.DUMMYFUNCTION("""COMPUTED_VALUE"""),"Calle 80 #10-04  / Campiña Mz E Casa 2  / Conjunto Ladera")</f>
        <v>Calle 80 #10-04  / Campiña Mz E Casa 2  / Conjunto Ladera</v>
      </c>
      <c r="G5707" s="15" t="str">
        <f>IFERROR(__xludf.DUMMYFUNCTION("""COMPUTED_VALUE"""),"Laura Galvis")</f>
        <v>Laura Galvis</v>
      </c>
      <c r="H5707" s="16">
        <f>IFERROR(__xludf.DUMMYFUNCTION("""COMPUTED_VALUE"""),14496.0)</f>
        <v>14496</v>
      </c>
      <c r="I5707" s="18">
        <f>IFERROR(__xludf.DUMMYFUNCTION("""COMPUTED_VALUE"""),19.0)</f>
        <v>19</v>
      </c>
      <c r="J5707" s="18">
        <f>IFERROR(__xludf.DUMMYFUNCTION("""COMPUTED_VALUE"""),10.0)</f>
        <v>10</v>
      </c>
      <c r="K5707" s="18">
        <f>IFERROR(__xludf.DUMMYFUNCTION("""COMPUTED_VALUE"""),16.0)</f>
        <v>16</v>
      </c>
      <c r="L5707" s="17">
        <f>IFERROR(__xludf.DUMMYFUNCTION("""COMPUTED_VALUE"""),3.157804484E9)</f>
        <v>3157804484</v>
      </c>
      <c r="M5707" s="17" t="str">
        <f>IFERROR(__xludf.DUMMYFUNCTION("""COMPUTED_VALUE"""),"#REF!")</f>
        <v>#REF!</v>
      </c>
      <c r="N5707" s="17"/>
      <c r="O5707" s="17"/>
      <c r="P5707" s="17" t="b">
        <f>IFERROR(__xludf.DUMMYFUNCTION("""COMPUTED_VALUE"""),TRUE)</f>
        <v>1</v>
      </c>
      <c r="Q5707" s="20">
        <f>IFERROR(__xludf.DUMMYFUNCTION("""COMPUTED_VALUE"""),45167.62160804398)</f>
        <v>45167.62161</v>
      </c>
      <c r="R5707" s="21" t="str">
        <f>IFERROR(__xludf.DUMMYFUNCTION("""COMPUTED_VALUE"""),"https://drive.google.com/file/d/1NuN-hDx1byOPurtKDS2vIMwlYlPmH64Q/view?usp=drivesdk")</f>
        <v>https://drive.google.com/file/d/1NuN-hDx1byOPurtKDS2vIMwlYlPmH64Q/view?usp=drivesdk</v>
      </c>
    </row>
    <row r="5708">
      <c r="A5708" s="15">
        <f>IFERROR(__xludf.DUMMYFUNCTION("""COMPUTED_VALUE"""),45167.0)</f>
        <v>45167</v>
      </c>
      <c r="B5708" s="16" t="str">
        <f>IFERROR(__xludf.DUMMYFUNCTION("""COMPUTED_VALUE"""),"Envia")</f>
        <v>Envia</v>
      </c>
      <c r="C5708" s="15" t="str">
        <f>IFERROR(__xludf.DUMMYFUNCTION("""COMPUTED_VALUE"""),"MANIZALES")</f>
        <v>MANIZALES</v>
      </c>
      <c r="D5708" s="15" t="str">
        <f>IFERROR(__xludf.DUMMYFUNCTION("""COMPUTED_VALUE"""),"BOGOTÁ")</f>
        <v>BOGOTÁ</v>
      </c>
      <c r="E5708" s="15" t="str">
        <f>IFERROR(__xludf.DUMMYFUNCTION("""COMPUTED_VALUE"""),"Lunchy Kids")</f>
        <v>Lunchy Kids</v>
      </c>
      <c r="F5708" s="17" t="str">
        <f>IFERROR(__xludf.DUMMYFUNCTION("""COMPUTED_VALUE"""),"Calle 21 # 21-18 / Cafeteria Bin Ban  / Centro")</f>
        <v>Calle 21 # 21-18 / Cafeteria Bin Ban  / Centro</v>
      </c>
      <c r="G5708" s="15" t="str">
        <f>IFERROR(__xludf.DUMMYFUNCTION("""COMPUTED_VALUE"""),"Alex Giraldo")</f>
        <v>Alex Giraldo</v>
      </c>
      <c r="H5708" s="16">
        <f>IFERROR(__xludf.DUMMYFUNCTION("""COMPUTED_VALUE"""),14425.0)</f>
        <v>14425</v>
      </c>
      <c r="I5708" s="18">
        <f>IFERROR(__xludf.DUMMYFUNCTION("""COMPUTED_VALUE"""),20.0)</f>
        <v>20</v>
      </c>
      <c r="J5708" s="18">
        <f>IFERROR(__xludf.DUMMYFUNCTION("""COMPUTED_VALUE"""),31.0)</f>
        <v>31</v>
      </c>
      <c r="K5708" s="18">
        <f>IFERROR(__xludf.DUMMYFUNCTION("""COMPUTED_VALUE"""),8.0)</f>
        <v>8</v>
      </c>
      <c r="L5708" s="17">
        <f>IFERROR(__xludf.DUMMYFUNCTION("""COMPUTED_VALUE"""),3.225539552E9)</f>
        <v>3225539552</v>
      </c>
      <c r="M5708" s="17" t="str">
        <f>IFERROR(__xludf.DUMMYFUNCTION("""COMPUTED_VALUE"""),"#REF!")</f>
        <v>#REF!</v>
      </c>
      <c r="N5708" s="17"/>
      <c r="O5708" s="17"/>
      <c r="P5708" s="17" t="b">
        <f>IFERROR(__xludf.DUMMYFUNCTION("""COMPUTED_VALUE"""),TRUE)</f>
        <v>1</v>
      </c>
      <c r="Q5708" s="20">
        <f>IFERROR(__xludf.DUMMYFUNCTION("""COMPUTED_VALUE"""),45167.62167042824)</f>
        <v>45167.62167</v>
      </c>
      <c r="R5708" s="21" t="str">
        <f>IFERROR(__xludf.DUMMYFUNCTION("""COMPUTED_VALUE"""),"https://drive.google.com/file/d/1B2lXmiSiDtU8TymTaGNMULS_dKYZVVhq/view?usp=drivesdk")</f>
        <v>https://drive.google.com/file/d/1B2lXmiSiDtU8TymTaGNMULS_dKYZVVhq/view?usp=drivesdk</v>
      </c>
    </row>
    <row r="5709">
      <c r="A5709" s="15">
        <f>IFERROR(__xludf.DUMMYFUNCTION("""COMPUTED_VALUE"""),45167.0)</f>
        <v>45167</v>
      </c>
      <c r="B5709" s="16" t="str">
        <f>IFERROR(__xludf.DUMMYFUNCTION("""COMPUTED_VALUE"""),"Envia")</f>
        <v>Envia</v>
      </c>
      <c r="C5709" s="15" t="str">
        <f>IFERROR(__xludf.DUMMYFUNCTION("""COMPUTED_VALUE"""),"MANIZALES")</f>
        <v>MANIZALES</v>
      </c>
      <c r="D5709" s="15" t="str">
        <f>IFERROR(__xludf.DUMMYFUNCTION("""COMPUTED_VALUE"""),"BOGOTÁ")</f>
        <v>BOGOTÁ</v>
      </c>
      <c r="E5709" s="15" t="str">
        <f>IFERROR(__xludf.DUMMYFUNCTION("""COMPUTED_VALUE"""),"Top Spun")</f>
        <v>Top Spun</v>
      </c>
      <c r="F5709" s="17" t="str">
        <f>IFERROR(__xludf.DUMMYFUNCTION("""COMPUTED_VALUE"""),"CALLE 23 # 23 - 16 / OFICINA 1001 /  EDIFICIO CAJA SOCIAL")</f>
        <v>CALLE 23 # 23 - 16 / OFICINA 1001 /  EDIFICIO CAJA SOCIAL</v>
      </c>
      <c r="G5709" s="15" t="str">
        <f>IFERROR(__xludf.DUMMYFUNCTION("""COMPUTED_VALUE"""),"MANUELA LOPEZ VALENCIA")</f>
        <v>MANUELA LOPEZ VALENCIA</v>
      </c>
      <c r="H5709" s="16">
        <f>IFERROR(__xludf.DUMMYFUNCTION("""COMPUTED_VALUE"""),14406.0)</f>
        <v>14406</v>
      </c>
      <c r="I5709" s="18">
        <f>IFERROR(__xludf.DUMMYFUNCTION("""COMPUTED_VALUE"""),20.0)</f>
        <v>20</v>
      </c>
      <c r="J5709" s="18">
        <f>IFERROR(__xludf.DUMMYFUNCTION("""COMPUTED_VALUE"""),10.0)</f>
        <v>10</v>
      </c>
      <c r="K5709" s="18">
        <f>IFERROR(__xludf.DUMMYFUNCTION("""COMPUTED_VALUE"""),40.0)</f>
        <v>40</v>
      </c>
      <c r="L5709" s="17">
        <f>IFERROR(__xludf.DUMMYFUNCTION("""COMPUTED_VALUE"""),3.173755897E9)</f>
        <v>3173755897</v>
      </c>
      <c r="M5709" s="17" t="str">
        <f>IFERROR(__xludf.DUMMYFUNCTION("""COMPUTED_VALUE"""),"#REF!")</f>
        <v>#REF!</v>
      </c>
      <c r="N5709" s="17"/>
      <c r="O5709" s="17"/>
      <c r="P5709" s="17" t="b">
        <f>IFERROR(__xludf.DUMMYFUNCTION("""COMPUTED_VALUE"""),TRUE)</f>
        <v>1</v>
      </c>
      <c r="Q5709" s="20">
        <f>IFERROR(__xludf.DUMMYFUNCTION("""COMPUTED_VALUE"""),45167.62167042824)</f>
        <v>45167.62167</v>
      </c>
      <c r="R5709" s="21" t="str">
        <f>IFERROR(__xludf.DUMMYFUNCTION("""COMPUTED_VALUE"""),"https://drive.google.com/file/d/1c2Is9731SR24mKSJwo23ICBBOOQYSr7G/view?usp=drivesdk")</f>
        <v>https://drive.google.com/file/d/1c2Is9731SR24mKSJwo23ICBBOOQYSr7G/view?usp=drivesdk</v>
      </c>
    </row>
    <row r="5710">
      <c r="A5710" s="15">
        <f>IFERROR(__xludf.DUMMYFUNCTION("""COMPUTED_VALUE"""),45167.0)</f>
        <v>45167</v>
      </c>
      <c r="B5710" s="16" t="str">
        <f>IFERROR(__xludf.DUMMYFUNCTION("""COMPUTED_VALUE"""),"Envia")</f>
        <v>Envia</v>
      </c>
      <c r="C5710" s="15" t="str">
        <f>IFERROR(__xludf.DUMMYFUNCTION("""COMPUTED_VALUE"""),"MANIZALES")</f>
        <v>MANIZALES</v>
      </c>
      <c r="D5710" s="15" t="str">
        <f>IFERROR(__xludf.DUMMYFUNCTION("""COMPUTED_VALUE"""),"MEDELLÍN")</f>
        <v>MEDELLÍN</v>
      </c>
      <c r="E5710" s="15" t="str">
        <f>IFERROR(__xludf.DUMMYFUNCTION("""COMPUTED_VALUE"""),"Todo Bufala")</f>
        <v>Todo Bufala</v>
      </c>
      <c r="F5710" s="17" t="str">
        <f>IFERROR(__xludf.DUMMYFUNCTION("""COMPUTED_VALUE"""),"Call 66 #23B - 211 / Edifico calle larga, local 5c")</f>
        <v>Call 66 #23B - 211 / Edifico calle larga, local 5c</v>
      </c>
      <c r="G5710" s="15" t="str">
        <f>IFERROR(__xludf.DUMMYFUNCTION("""COMPUTED_VALUE"""),"Sebastian Perez Pineda")</f>
        <v>Sebastian Perez Pineda</v>
      </c>
      <c r="H5710" s="16">
        <f>IFERROR(__xludf.DUMMYFUNCTION("""COMPUTED_VALUE"""),14407.0)</f>
        <v>14407</v>
      </c>
      <c r="I5710" s="18">
        <f>IFERROR(__xludf.DUMMYFUNCTION("""COMPUTED_VALUE"""),20.0)</f>
        <v>20</v>
      </c>
      <c r="J5710" s="18">
        <f>IFERROR(__xludf.DUMMYFUNCTION("""COMPUTED_VALUE"""),30.0)</f>
        <v>30</v>
      </c>
      <c r="K5710" s="18">
        <f>IFERROR(__xludf.DUMMYFUNCTION("""COMPUTED_VALUE"""),40.0)</f>
        <v>40</v>
      </c>
      <c r="L5710" s="17">
        <f>IFERROR(__xludf.DUMMYFUNCTION("""COMPUTED_VALUE"""),3.106974621E9)</f>
        <v>3106974621</v>
      </c>
      <c r="M5710" s="17" t="str">
        <f>IFERROR(__xludf.DUMMYFUNCTION("""COMPUTED_VALUE"""),"#REF!")</f>
        <v>#REF!</v>
      </c>
      <c r="N5710" s="17"/>
      <c r="O5710" s="17"/>
      <c r="P5710" s="17" t="b">
        <f>IFERROR(__xludf.DUMMYFUNCTION("""COMPUTED_VALUE"""),TRUE)</f>
        <v>1</v>
      </c>
      <c r="Q5710" s="20">
        <f>IFERROR(__xludf.DUMMYFUNCTION("""COMPUTED_VALUE"""),45167.62167042824)</f>
        <v>45167.62167</v>
      </c>
      <c r="R5710" s="22" t="str">
        <f>IFERROR(__xludf.DUMMYFUNCTION("""COMPUTED_VALUE"""),"")</f>
        <v/>
      </c>
    </row>
    <row r="5711">
      <c r="A5711" s="15">
        <f>IFERROR(__xludf.DUMMYFUNCTION("""COMPUTED_VALUE"""),45167.0)</f>
        <v>45167</v>
      </c>
      <c r="B5711" s="16" t="str">
        <f>IFERROR(__xludf.DUMMYFUNCTION("""COMPUTED_VALUE"""),"Envia")</f>
        <v>Envia</v>
      </c>
      <c r="C5711" s="15" t="str">
        <f>IFERROR(__xludf.DUMMYFUNCTION("""COMPUTED_VALUE"""),"MEDELLÍN")</f>
        <v>MEDELLÍN</v>
      </c>
      <c r="D5711" s="15" t="str">
        <f>IFERROR(__xludf.DUMMYFUNCTION("""COMPUTED_VALUE"""),"BOGOTÁ")</f>
        <v>BOGOTÁ</v>
      </c>
      <c r="E5711" s="15" t="str">
        <f>IFERROR(__xludf.DUMMYFUNCTION("""COMPUTED_VALUE"""),"Evamazzita")</f>
        <v>Evamazzita</v>
      </c>
      <c r="F5711" s="17" t="str">
        <f>IFERROR(__xludf.DUMMYFUNCTION("""COMPUTED_VALUE"""),"Cll 77 sur # 50 a 184   / Viña del mar Suramérica  Apto 1221 torre 6   / Barrio Suramérica  La Estrella ")</f>
        <v>Cll 77 sur # 50 a 184   / Viña del mar Suramérica  Apto 1221 torre 6   / Barrio Suramérica  La Estrella </v>
      </c>
      <c r="G5711" s="15" t="str">
        <f>IFERROR(__xludf.DUMMYFUNCTION("""COMPUTED_VALUE"""),"ALEJANDRA ACOSTA MORALES")</f>
        <v>ALEJANDRA ACOSTA MORALES</v>
      </c>
      <c r="H5711" s="16">
        <f>IFERROR(__xludf.DUMMYFUNCTION("""COMPUTED_VALUE"""),14446.0)</f>
        <v>14446</v>
      </c>
      <c r="I5711" s="18">
        <f>IFERROR(__xludf.DUMMYFUNCTION("""COMPUTED_VALUE"""),1.0)</f>
        <v>1</v>
      </c>
      <c r="J5711" s="18">
        <f>IFERROR(__xludf.DUMMYFUNCTION("""COMPUTED_VALUE"""),1.0)</f>
        <v>1</v>
      </c>
      <c r="K5711" s="18">
        <f>IFERROR(__xludf.DUMMYFUNCTION("""COMPUTED_VALUE"""),1.0)</f>
        <v>1</v>
      </c>
      <c r="L5711" s="17">
        <f>IFERROR(__xludf.DUMMYFUNCTION("""COMPUTED_VALUE"""),3.023734592E9)</f>
        <v>3023734592</v>
      </c>
      <c r="M5711" s="17" t="str">
        <f>IFERROR(__xludf.DUMMYFUNCTION("""COMPUTED_VALUE"""),"#REF!")</f>
        <v>#REF!</v>
      </c>
      <c r="N5711" s="17"/>
      <c r="O5711" s="17"/>
      <c r="P5711" s="17" t="b">
        <f>IFERROR(__xludf.DUMMYFUNCTION("""COMPUTED_VALUE"""),TRUE)</f>
        <v>1</v>
      </c>
      <c r="Q5711" s="20">
        <f>IFERROR(__xludf.DUMMYFUNCTION("""COMPUTED_VALUE"""),45167.62167042824)</f>
        <v>45167.62167</v>
      </c>
      <c r="R5711" s="21" t="str">
        <f>IFERROR(__xludf.DUMMYFUNCTION("""COMPUTED_VALUE"""),"https://drive.google.com/file/d/1_pktnphOnB2ozyLGcJondWofThjspm9s/view?usp=drivesdk")</f>
        <v>https://drive.google.com/file/d/1_pktnphOnB2ozyLGcJondWofThjspm9s/view?usp=drivesdk</v>
      </c>
    </row>
    <row r="5712">
      <c r="A5712" s="15">
        <f>IFERROR(__xludf.DUMMYFUNCTION("""COMPUTED_VALUE"""),45167.0)</f>
        <v>45167</v>
      </c>
      <c r="B5712" s="16" t="str">
        <f>IFERROR(__xludf.DUMMYFUNCTION("""COMPUTED_VALUE"""),"Envia")</f>
        <v>Envia</v>
      </c>
      <c r="C5712" s="15" t="str">
        <f>IFERROR(__xludf.DUMMYFUNCTION("""COMPUTED_VALUE"""),"MEDELLÍN")</f>
        <v>MEDELLÍN</v>
      </c>
      <c r="D5712" s="15" t="str">
        <f>IFERROR(__xludf.DUMMYFUNCTION("""COMPUTED_VALUE"""),"BOGOTÁ")</f>
        <v>BOGOTÁ</v>
      </c>
      <c r="E5712" s="15" t="str">
        <f>IFERROR(__xludf.DUMMYFUNCTION("""COMPUTED_VALUE"""),"FamiliaReal S.A.S")</f>
        <v>FamiliaReal S.A.S</v>
      </c>
      <c r="F5712" s="17" t="str">
        <f>IFERROR(__xludf.DUMMYFUNCTION("""COMPUTED_VALUE"""),"Km15 alto de las palmas Le mont comercio, / Local 143")</f>
        <v>Km15 alto de las palmas Le mont comercio, / Local 143</v>
      </c>
      <c r="G5712" s="15" t="str">
        <f>IFERROR(__xludf.DUMMYFUNCTION("""COMPUTED_VALUE"""),"FamiliaReal S.A.S")</f>
        <v>FamiliaReal S.A.S</v>
      </c>
      <c r="H5712" s="16">
        <f>IFERROR(__xludf.DUMMYFUNCTION("""COMPUTED_VALUE"""),14400.0)</f>
        <v>14400</v>
      </c>
      <c r="I5712" s="18">
        <f>IFERROR(__xludf.DUMMYFUNCTION("""COMPUTED_VALUE"""),26.0)</f>
        <v>26</v>
      </c>
      <c r="J5712" s="18">
        <f>IFERROR(__xludf.DUMMYFUNCTION("""COMPUTED_VALUE"""),45115.0)</f>
        <v>45115</v>
      </c>
      <c r="K5712" s="18">
        <f>IFERROR(__xludf.DUMMYFUNCTION("""COMPUTED_VALUE"""),45115.0)</f>
        <v>45115</v>
      </c>
      <c r="L5712" s="17">
        <f>IFERROR(__xludf.DUMMYFUNCTION("""COMPUTED_VALUE"""),3.116528093E9)</f>
        <v>3116528093</v>
      </c>
      <c r="M5712" s="17" t="str">
        <f>IFERROR(__xludf.DUMMYFUNCTION("""COMPUTED_VALUE"""),"#REF!")</f>
        <v>#REF!</v>
      </c>
      <c r="N5712" s="17"/>
      <c r="O5712" s="17"/>
      <c r="P5712" s="17" t="b">
        <f>IFERROR(__xludf.DUMMYFUNCTION("""COMPUTED_VALUE"""),TRUE)</f>
        <v>1</v>
      </c>
      <c r="Q5712" s="20">
        <f>IFERROR(__xludf.DUMMYFUNCTION("""COMPUTED_VALUE"""),45167.62167042824)</f>
        <v>45167.62167</v>
      </c>
      <c r="R5712" s="22" t="str">
        <f>IFERROR(__xludf.DUMMYFUNCTION("""COMPUTED_VALUE"""),"")</f>
        <v/>
      </c>
    </row>
    <row r="5713">
      <c r="A5713" s="15">
        <f>IFERROR(__xludf.DUMMYFUNCTION("""COMPUTED_VALUE"""),45167.0)</f>
        <v>45167</v>
      </c>
      <c r="B5713" s="16" t="str">
        <f>IFERROR(__xludf.DUMMYFUNCTION("""COMPUTED_VALUE"""),"Envia")</f>
        <v>Envia</v>
      </c>
      <c r="C5713" s="15" t="str">
        <f>IFERROR(__xludf.DUMMYFUNCTION("""COMPUTED_VALUE"""),"MEDELLÍN")</f>
        <v>MEDELLÍN</v>
      </c>
      <c r="D5713" s="15" t="str">
        <f>IFERROR(__xludf.DUMMYFUNCTION("""COMPUTED_VALUE"""),"BOGOTÁ")</f>
        <v>BOGOTÁ</v>
      </c>
      <c r="E5713" s="15" t="str">
        <f>IFERROR(__xludf.DUMMYFUNCTION("""COMPUTED_VALUE"""),"FamiliaReal S.A.S")</f>
        <v>FamiliaReal S.A.S</v>
      </c>
      <c r="F5713" s="17" t="str">
        <f>IFERROR(__xludf.DUMMYFUNCTION("""COMPUTED_VALUE"""),"Km15 alto de las palmas Le mont comercio, / Local 143")</f>
        <v>Km15 alto de las palmas Le mont comercio, / Local 143</v>
      </c>
      <c r="G5713" s="15" t="str">
        <f>IFERROR(__xludf.DUMMYFUNCTION("""COMPUTED_VALUE"""),"FamiliaReal S.A.S")</f>
        <v>FamiliaReal S.A.S</v>
      </c>
      <c r="H5713" s="16">
        <f>IFERROR(__xludf.DUMMYFUNCTION("""COMPUTED_VALUE"""),14401.0)</f>
        <v>14401</v>
      </c>
      <c r="I5713" s="18">
        <f>IFERROR(__xludf.DUMMYFUNCTION("""COMPUTED_VALUE"""),45068.0)</f>
        <v>45068</v>
      </c>
      <c r="J5713" s="18">
        <f>IFERROR(__xludf.DUMMYFUNCTION("""COMPUTED_VALUE"""),45053.0)</f>
        <v>45053</v>
      </c>
      <c r="K5713" s="18">
        <f>IFERROR(__xludf.DUMMYFUNCTION("""COMPUTED_VALUE"""),45053.0)</f>
        <v>45053</v>
      </c>
      <c r="L5713" s="17">
        <f>IFERROR(__xludf.DUMMYFUNCTION("""COMPUTED_VALUE"""),3.116528093E9)</f>
        <v>3116528093</v>
      </c>
      <c r="M5713" s="17" t="str">
        <f>IFERROR(__xludf.DUMMYFUNCTION("""COMPUTED_VALUE"""),"#REF!")</f>
        <v>#REF!</v>
      </c>
      <c r="N5713" s="17"/>
      <c r="O5713" s="17"/>
      <c r="P5713" s="17" t="b">
        <f>IFERROR(__xludf.DUMMYFUNCTION("""COMPUTED_VALUE"""),TRUE)</f>
        <v>1</v>
      </c>
      <c r="Q5713" s="20">
        <f>IFERROR(__xludf.DUMMYFUNCTION("""COMPUTED_VALUE"""),45167.62167042824)</f>
        <v>45167.62167</v>
      </c>
      <c r="R5713" s="22" t="str">
        <f>IFERROR(__xludf.DUMMYFUNCTION("""COMPUTED_VALUE"""),"")</f>
        <v/>
      </c>
    </row>
    <row r="5714">
      <c r="A5714" s="15">
        <f>IFERROR(__xludf.DUMMYFUNCTION("""COMPUTED_VALUE"""),45167.0)</f>
        <v>45167</v>
      </c>
      <c r="B5714" s="16" t="str">
        <f>IFERROR(__xludf.DUMMYFUNCTION("""COMPUTED_VALUE"""),"Envia")</f>
        <v>Envia</v>
      </c>
      <c r="C5714" s="15" t="str">
        <f>IFERROR(__xludf.DUMMYFUNCTION("""COMPUTED_VALUE"""),"MEDELLÍN")</f>
        <v>MEDELLÍN</v>
      </c>
      <c r="D5714" s="15" t="str">
        <f>IFERROR(__xludf.DUMMYFUNCTION("""COMPUTED_VALUE"""),"BOGOTÁ")</f>
        <v>BOGOTÁ</v>
      </c>
      <c r="E5714" s="15" t="str">
        <f>IFERROR(__xludf.DUMMYFUNCTION("""COMPUTED_VALUE"""),"Frubits")</f>
        <v>Frubits</v>
      </c>
      <c r="F5714" s="17" t="str">
        <f>IFERROR(__xludf.DUMMYFUNCTION("""COMPUTED_VALUE"""),"CA Dando Cuerda Medellín /  CA Dando Cuerda Medellín /  CA Dando Cuerda Medellín")</f>
        <v>CA Dando Cuerda Medellín /  CA Dando Cuerda Medellín /  CA Dando Cuerda Medellín</v>
      </c>
      <c r="G5714" s="15" t="str">
        <f>IFERROR(__xludf.DUMMYFUNCTION("""COMPUTED_VALUE"""),"CA Dando Cuerda Medellín")</f>
        <v>CA Dando Cuerda Medellín</v>
      </c>
      <c r="H5714" s="16">
        <f>IFERROR(__xludf.DUMMYFUNCTION("""COMPUTED_VALUE"""),14493.0)</f>
        <v>14493</v>
      </c>
      <c r="I5714" s="18">
        <f>IFERROR(__xludf.DUMMYFUNCTION("""COMPUTED_VALUE"""),15.0)</f>
        <v>15</v>
      </c>
      <c r="J5714" s="18">
        <f>IFERROR(__xludf.DUMMYFUNCTION("""COMPUTED_VALUE"""),15.0)</f>
        <v>15</v>
      </c>
      <c r="K5714" s="18">
        <f>IFERROR(__xludf.DUMMYFUNCTION("""COMPUTED_VALUE"""),15.0)</f>
        <v>15</v>
      </c>
      <c r="L5714" s="17">
        <f>IFERROR(__xludf.DUMMYFUNCTION("""COMPUTED_VALUE"""),3.163816691E9)</f>
        <v>3163816691</v>
      </c>
      <c r="M5714" s="17" t="str">
        <f>IFERROR(__xludf.DUMMYFUNCTION("""COMPUTED_VALUE"""),"#REF!")</f>
        <v>#REF!</v>
      </c>
      <c r="N5714" s="17"/>
      <c r="O5714" s="17"/>
      <c r="P5714" s="17" t="b">
        <f>IFERROR(__xludf.DUMMYFUNCTION("""COMPUTED_VALUE"""),TRUE)</f>
        <v>1</v>
      </c>
      <c r="Q5714" s="20">
        <f>IFERROR(__xludf.DUMMYFUNCTION("""COMPUTED_VALUE"""),45167.62173799769)</f>
        <v>45167.62174</v>
      </c>
      <c r="R5714" s="22" t="str">
        <f>IFERROR(__xludf.DUMMYFUNCTION("""COMPUTED_VALUE"""),"")</f>
        <v/>
      </c>
    </row>
    <row r="5715">
      <c r="A5715" s="15">
        <f>IFERROR(__xludf.DUMMYFUNCTION("""COMPUTED_VALUE"""),45167.0)</f>
        <v>45167</v>
      </c>
      <c r="B5715" s="16" t="str">
        <f>IFERROR(__xludf.DUMMYFUNCTION("""COMPUTED_VALUE"""),"Envia")</f>
        <v>Envia</v>
      </c>
      <c r="C5715" s="15" t="str">
        <f>IFERROR(__xludf.DUMMYFUNCTION("""COMPUTED_VALUE"""),"MEDELLÍN")</f>
        <v>MEDELLÍN</v>
      </c>
      <c r="D5715" s="15" t="str">
        <f>IFERROR(__xludf.DUMMYFUNCTION("""COMPUTED_VALUE"""),"BOGOTÁ")</f>
        <v>BOGOTÁ</v>
      </c>
      <c r="E5715" s="15" t="str">
        <f>IFERROR(__xludf.DUMMYFUNCTION("""COMPUTED_VALUE"""),"Ins. Alimento Vital")</f>
        <v>Ins. Alimento Vital</v>
      </c>
      <c r="F5715" s="17" t="str">
        <f>IFERROR(__xludf.DUMMYFUNCTION("""COMPUTED_VALUE"""),"CR 44 26 27 / BODEGA / EL POBLADO")</f>
        <v>CR 44 26 27 / BODEGA / EL POBLADO</v>
      </c>
      <c r="G5715" s="15" t="str">
        <f>IFERROR(__xludf.DUMMYFUNCTION("""COMPUTED_VALUE"""),"VELOCITY MEDELLIN")</f>
        <v>VELOCITY MEDELLIN</v>
      </c>
      <c r="H5715" s="16">
        <f>IFERROR(__xludf.DUMMYFUNCTION("""COMPUTED_VALUE"""),14478.0)</f>
        <v>14478</v>
      </c>
      <c r="I5715" s="18">
        <f>IFERROR(__xludf.DUMMYFUNCTION("""COMPUTED_VALUE"""),1.0)</f>
        <v>1</v>
      </c>
      <c r="J5715" s="18">
        <f>IFERROR(__xludf.DUMMYFUNCTION("""COMPUTED_VALUE"""),1.0)</f>
        <v>1</v>
      </c>
      <c r="K5715" s="18">
        <f>IFERROR(__xludf.DUMMYFUNCTION("""COMPUTED_VALUE"""),1.0)</f>
        <v>1</v>
      </c>
      <c r="L5715" s="17">
        <f>IFERROR(__xludf.DUMMYFUNCTION("""COMPUTED_VALUE"""),3.214683372E9)</f>
        <v>3214683372</v>
      </c>
      <c r="M5715" s="17" t="str">
        <f>IFERROR(__xludf.DUMMYFUNCTION("""COMPUTED_VALUE"""),"#REF!")</f>
        <v>#REF!</v>
      </c>
      <c r="N5715" s="17"/>
      <c r="O5715" s="17"/>
      <c r="P5715" s="17" t="b">
        <f>IFERROR(__xludf.DUMMYFUNCTION("""COMPUTED_VALUE"""),FALSE)</f>
        <v>0</v>
      </c>
      <c r="Q5715" s="20" t="str">
        <f>IFERROR(__xludf.DUMMYFUNCTION("""COMPUTED_VALUE"""),"")</f>
        <v/>
      </c>
      <c r="R5715" s="22" t="str">
        <f>IFERROR(__xludf.DUMMYFUNCTION("""COMPUTED_VALUE"""),"")</f>
        <v/>
      </c>
    </row>
    <row r="5716">
      <c r="A5716" s="15">
        <f>IFERROR(__xludf.DUMMYFUNCTION("""COMPUTED_VALUE"""),45167.0)</f>
        <v>45167</v>
      </c>
      <c r="B5716" s="16" t="str">
        <f>IFERROR(__xludf.DUMMYFUNCTION("""COMPUTED_VALUE"""),"Envia")</f>
        <v>Envia</v>
      </c>
      <c r="C5716" s="15" t="str">
        <f>IFERROR(__xludf.DUMMYFUNCTION("""COMPUTED_VALUE"""),"MEDELLÍN")</f>
        <v>MEDELLÍN</v>
      </c>
      <c r="D5716" s="15" t="str">
        <f>IFERROR(__xludf.DUMMYFUNCTION("""COMPUTED_VALUE"""),"BOGOTÁ")</f>
        <v>BOGOTÁ</v>
      </c>
      <c r="E5716" s="15" t="str">
        <f>IFERROR(__xludf.DUMMYFUNCTION("""COMPUTED_VALUE"""),"MAI ALIMENTOS S.A.S")</f>
        <v>MAI ALIMENTOS S.A.S</v>
      </c>
      <c r="F5716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5716" s="15" t="str">
        <f>IFERROR(__xludf.DUMMYFUNCTION("""COMPUTED_VALUE"""),"Novaventas")</f>
        <v>Novaventas</v>
      </c>
      <c r="H5716" s="16">
        <f>IFERROR(__xludf.DUMMYFUNCTION("""COMPUTED_VALUE"""),14421.0)</f>
        <v>14421</v>
      </c>
      <c r="I5716" s="18">
        <f>IFERROR(__xludf.DUMMYFUNCTION("""COMPUTED_VALUE"""),35.0)</f>
        <v>35</v>
      </c>
      <c r="J5716" s="18">
        <f>IFERROR(__xludf.DUMMYFUNCTION("""COMPUTED_VALUE"""),17.0)</f>
        <v>17</v>
      </c>
      <c r="K5716" s="18">
        <f>IFERROR(__xludf.DUMMYFUNCTION("""COMPUTED_VALUE"""),13.0)</f>
        <v>13</v>
      </c>
      <c r="L5716" s="17">
        <f>IFERROR(__xludf.DUMMYFUNCTION("""COMPUTED_VALUE"""),3.187351593E9)</f>
        <v>3187351593</v>
      </c>
      <c r="M5716" s="17" t="str">
        <f>IFERROR(__xludf.DUMMYFUNCTION("""COMPUTED_VALUE"""),"#REF!")</f>
        <v>#REF!</v>
      </c>
      <c r="N5716" s="17"/>
      <c r="O5716" s="17"/>
      <c r="P5716" s="17" t="b">
        <f>IFERROR(__xludf.DUMMYFUNCTION("""COMPUTED_VALUE"""),FALSE)</f>
        <v>0</v>
      </c>
      <c r="Q5716" s="20" t="str">
        <f>IFERROR(__xludf.DUMMYFUNCTION("""COMPUTED_VALUE"""),"")</f>
        <v/>
      </c>
      <c r="R5716" s="22" t="str">
        <f>IFERROR(__xludf.DUMMYFUNCTION("""COMPUTED_VALUE"""),"")</f>
        <v/>
      </c>
    </row>
    <row r="5717">
      <c r="A5717" s="15">
        <f>IFERROR(__xludf.DUMMYFUNCTION("""COMPUTED_VALUE"""),45167.0)</f>
        <v>45167</v>
      </c>
      <c r="B5717" s="16" t="str">
        <f>IFERROR(__xludf.DUMMYFUNCTION("""COMPUTED_VALUE"""),"Envia")</f>
        <v>Envia</v>
      </c>
      <c r="C5717" s="15" t="str">
        <f>IFERROR(__xludf.DUMMYFUNCTION("""COMPUTED_VALUE"""),"MEDELLÍN")</f>
        <v>MEDELLÍN</v>
      </c>
      <c r="D5717" s="15" t="str">
        <f>IFERROR(__xludf.DUMMYFUNCTION("""COMPUTED_VALUE"""),"BOGOTÁ")</f>
        <v>BOGOTÁ</v>
      </c>
      <c r="E5717" s="15" t="str">
        <f>IFERROR(__xludf.DUMMYFUNCTION("""COMPUTED_VALUE"""),"MAI ALIMENTOS S.A.S")</f>
        <v>MAI ALIMENTOS S.A.S</v>
      </c>
      <c r="F5717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5717" s="15" t="str">
        <f>IFERROR(__xludf.DUMMYFUNCTION("""COMPUTED_VALUE"""),"Novaventas")</f>
        <v>Novaventas</v>
      </c>
      <c r="H5717" s="16">
        <f>IFERROR(__xludf.DUMMYFUNCTION("""COMPUTED_VALUE"""),14501.0)</f>
        <v>14501</v>
      </c>
      <c r="I5717" s="18">
        <f>IFERROR(__xludf.DUMMYFUNCTION("""COMPUTED_VALUE"""),35.0)</f>
        <v>35</v>
      </c>
      <c r="J5717" s="18">
        <f>IFERROR(__xludf.DUMMYFUNCTION("""COMPUTED_VALUE"""),17.0)</f>
        <v>17</v>
      </c>
      <c r="K5717" s="18">
        <f>IFERROR(__xludf.DUMMYFUNCTION("""COMPUTED_VALUE"""),13.0)</f>
        <v>13</v>
      </c>
      <c r="L5717" s="17">
        <f>IFERROR(__xludf.DUMMYFUNCTION("""COMPUTED_VALUE"""),3.187351593E9)</f>
        <v>3187351593</v>
      </c>
      <c r="M5717" s="17" t="str">
        <f>IFERROR(__xludf.DUMMYFUNCTION("""COMPUTED_VALUE"""),"#REF!")</f>
        <v>#REF!</v>
      </c>
      <c r="N5717" s="17"/>
      <c r="O5717" s="17"/>
      <c r="P5717" s="17" t="b">
        <f>IFERROR(__xludf.DUMMYFUNCTION("""COMPUTED_VALUE"""),FALSE)</f>
        <v>0</v>
      </c>
      <c r="Q5717" s="20" t="str">
        <f>IFERROR(__xludf.DUMMYFUNCTION("""COMPUTED_VALUE"""),"")</f>
        <v/>
      </c>
      <c r="R5717" s="22" t="str">
        <f>IFERROR(__xludf.DUMMYFUNCTION("""COMPUTED_VALUE"""),"")</f>
        <v/>
      </c>
    </row>
    <row r="5718">
      <c r="A5718" s="15">
        <f>IFERROR(__xludf.DUMMYFUNCTION("""COMPUTED_VALUE"""),45167.0)</f>
        <v>45167</v>
      </c>
      <c r="B5718" s="16" t="str">
        <f>IFERROR(__xludf.DUMMYFUNCTION("""COMPUTED_VALUE"""),"Envia")</f>
        <v>Envia</v>
      </c>
      <c r="C5718" s="15" t="str">
        <f>IFERROR(__xludf.DUMMYFUNCTION("""COMPUTED_VALUE"""),"MEDELLÍN")</f>
        <v>MEDELLÍN</v>
      </c>
      <c r="D5718" s="15" t="str">
        <f>IFERROR(__xludf.DUMMYFUNCTION("""COMPUTED_VALUE"""),"BOGOTÁ")</f>
        <v>BOGOTÁ</v>
      </c>
      <c r="E5718" s="15" t="str">
        <f>IFERROR(__xludf.DUMMYFUNCTION("""COMPUTED_VALUE"""),"Pan de Waffle")</f>
        <v>Pan de Waffle</v>
      </c>
      <c r="F5718" s="17" t="str">
        <f>IFERROR(__xludf.DUMMYFUNCTION("""COMPUTED_VALUE"""),"Carrera 39 # 59 - 32 / Carrera 39 # 59 - 32 / Carrera 39 # 59 - 32")</f>
        <v>Carrera 39 # 59 - 32 / Carrera 39 # 59 - 32 / Carrera 39 # 59 - 32</v>
      </c>
      <c r="G5718" s="15" t="str">
        <f>IFERROR(__xludf.DUMMYFUNCTION("""COMPUTED_VALUE"""),"FOODOLOGY MEDELLIN")</f>
        <v>FOODOLOGY MEDELLIN</v>
      </c>
      <c r="H5718" s="16">
        <f>IFERROR(__xludf.DUMMYFUNCTION("""COMPUTED_VALUE"""),14507.0)</f>
        <v>14507</v>
      </c>
      <c r="I5718" s="18">
        <f>IFERROR(__xludf.DUMMYFUNCTION("""COMPUTED_VALUE"""),40.0)</f>
        <v>40</v>
      </c>
      <c r="J5718" s="18">
        <f>IFERROR(__xludf.DUMMYFUNCTION("""COMPUTED_VALUE"""),40.0)</f>
        <v>40</v>
      </c>
      <c r="K5718" s="18">
        <f>IFERROR(__xludf.DUMMYFUNCTION("""COMPUTED_VALUE"""),40.0)</f>
        <v>40</v>
      </c>
      <c r="L5718" s="17">
        <f>IFERROR(__xludf.DUMMYFUNCTION("""COMPUTED_VALUE"""),3.123558292E9)</f>
        <v>3123558292</v>
      </c>
      <c r="M5718" s="17" t="str">
        <f>IFERROR(__xludf.DUMMYFUNCTION("""COMPUTED_VALUE"""),"#REF!")</f>
        <v>#REF!</v>
      </c>
      <c r="N5718" s="17"/>
      <c r="O5718" s="17"/>
      <c r="P5718" s="17" t="b">
        <f>IFERROR(__xludf.DUMMYFUNCTION("""COMPUTED_VALUE"""),FALSE)</f>
        <v>0</v>
      </c>
      <c r="Q5718" s="20" t="str">
        <f>IFERROR(__xludf.DUMMYFUNCTION("""COMPUTED_VALUE"""),"")</f>
        <v/>
      </c>
      <c r="R5718" s="22" t="str">
        <f>IFERROR(__xludf.DUMMYFUNCTION("""COMPUTED_VALUE"""),"")</f>
        <v/>
      </c>
    </row>
    <row r="5719">
      <c r="A5719" s="15">
        <f>IFERROR(__xludf.DUMMYFUNCTION("""COMPUTED_VALUE"""),45167.0)</f>
        <v>45167</v>
      </c>
      <c r="B5719" s="16" t="str">
        <f>IFERROR(__xludf.DUMMYFUNCTION("""COMPUTED_VALUE"""),"Envia")</f>
        <v>Envia</v>
      </c>
      <c r="C5719" s="15" t="str">
        <f>IFERROR(__xludf.DUMMYFUNCTION("""COMPUTED_VALUE"""),"MEDELLÍN")</f>
        <v>MEDELLÍN</v>
      </c>
      <c r="D5719" s="15" t="str">
        <f>IFERROR(__xludf.DUMMYFUNCTION("""COMPUTED_VALUE"""),"BOGOTÁ")</f>
        <v>BOGOTÁ</v>
      </c>
      <c r="E5719" s="15" t="str">
        <f>IFERROR(__xludf.DUMMYFUNCTION("""COMPUTED_VALUE"""),"Viiva Fermentados")</f>
        <v>Viiva Fermentados</v>
      </c>
      <c r="F5719" s="17" t="str">
        <f>IFERROR(__xludf.DUMMYFUNCTION("""COMPUTED_VALUE"""),"Calle 98 #50b-19 / primer piso  Preguntar por Doña Fabiola / Aranjuez")</f>
        <v>Calle 98 #50b-19 / primer piso  Preguntar por Doña Fabiola / Aranjuez</v>
      </c>
      <c r="G5719" s="15" t="str">
        <f>IFERROR(__xludf.DUMMYFUNCTION("""COMPUTED_VALUE"""),"Bayron Rodriguez")</f>
        <v>Bayron Rodriguez</v>
      </c>
      <c r="H5719" s="16">
        <f>IFERROR(__xludf.DUMMYFUNCTION("""COMPUTED_VALUE"""),14423.0)</f>
        <v>14423</v>
      </c>
      <c r="I5719" s="18">
        <f>IFERROR(__xludf.DUMMYFUNCTION("""COMPUTED_VALUE"""),17.0)</f>
        <v>17</v>
      </c>
      <c r="J5719" s="18">
        <f>IFERROR(__xludf.DUMMYFUNCTION("""COMPUTED_VALUE"""),36.0)</f>
        <v>36</v>
      </c>
      <c r="K5719" s="18">
        <f>IFERROR(__xludf.DUMMYFUNCTION("""COMPUTED_VALUE"""),24.0)</f>
        <v>24</v>
      </c>
      <c r="L5719" s="17">
        <f>IFERROR(__xludf.DUMMYFUNCTION("""COMPUTED_VALUE"""),3.166261966E9)</f>
        <v>3166261966</v>
      </c>
      <c r="M5719" s="17" t="str">
        <f>IFERROR(__xludf.DUMMYFUNCTION("""COMPUTED_VALUE"""),"#REF!")</f>
        <v>#REF!</v>
      </c>
      <c r="N5719" s="17"/>
      <c r="O5719" s="17"/>
      <c r="P5719" s="17" t="b">
        <f>IFERROR(__xludf.DUMMYFUNCTION("""COMPUTED_VALUE"""),FALSE)</f>
        <v>0</v>
      </c>
      <c r="Q5719" s="20" t="str">
        <f>IFERROR(__xludf.DUMMYFUNCTION("""COMPUTED_VALUE"""),"")</f>
        <v/>
      </c>
      <c r="R5719" s="22" t="str">
        <f>IFERROR(__xludf.DUMMYFUNCTION("""COMPUTED_VALUE"""),"")</f>
        <v/>
      </c>
    </row>
    <row r="5720">
      <c r="A5720" s="15">
        <f>IFERROR(__xludf.DUMMYFUNCTION("""COMPUTED_VALUE"""),45167.0)</f>
        <v>45167</v>
      </c>
      <c r="B5720" s="16" t="str">
        <f>IFERROR(__xludf.DUMMYFUNCTION("""COMPUTED_VALUE"""),"Envia")</f>
        <v>Envia</v>
      </c>
      <c r="C5720" s="15" t="str">
        <f>IFERROR(__xludf.DUMMYFUNCTION("""COMPUTED_VALUE"""),"PEREIRA")</f>
        <v>PEREIRA</v>
      </c>
      <c r="D5720" s="15" t="str">
        <f>IFERROR(__xludf.DUMMYFUNCTION("""COMPUTED_VALUE"""),"BOGOTÁ")</f>
        <v>BOGOTÁ</v>
      </c>
      <c r="E5720" s="15" t="str">
        <f>IFERROR(__xludf.DUMMYFUNCTION("""COMPUTED_VALUE"""),"Ins. Alimento Vital")</f>
        <v>Ins. Alimento Vital</v>
      </c>
      <c r="F5720" s="17" t="str">
        <f>IFERROR(__xludf.DUMMYFUNCTION("""COMPUTED_VALUE"""),"CR 5 18 43 / EDIFICIO CHALJUB / BARRIO URIBE")</f>
        <v>CR 5 18 43 / EDIFICIO CHALJUB / BARRIO URIBE</v>
      </c>
      <c r="G5720" s="15" t="str">
        <f>IFERROR(__xludf.DUMMYFUNCTION("""COMPUTED_VALUE"""),"CHALJUB")</f>
        <v>CHALJUB</v>
      </c>
      <c r="H5720" s="16">
        <f>IFERROR(__xludf.DUMMYFUNCTION("""COMPUTED_VALUE"""),14476.0)</f>
        <v>14476</v>
      </c>
      <c r="I5720" s="18">
        <f>IFERROR(__xludf.DUMMYFUNCTION("""COMPUTED_VALUE"""),1.0)</f>
        <v>1</v>
      </c>
      <c r="J5720" s="18">
        <f>IFERROR(__xludf.DUMMYFUNCTION("""COMPUTED_VALUE"""),1.0)</f>
        <v>1</v>
      </c>
      <c r="K5720" s="18">
        <f>IFERROR(__xludf.DUMMYFUNCTION("""COMPUTED_VALUE"""),1.0)</f>
        <v>1</v>
      </c>
      <c r="L5720" s="17">
        <f>IFERROR(__xludf.DUMMYFUNCTION("""COMPUTED_VALUE"""),3.008252529E9)</f>
        <v>3008252529</v>
      </c>
      <c r="M5720" s="17" t="str">
        <f>IFERROR(__xludf.DUMMYFUNCTION("""COMPUTED_VALUE"""),"#REF!")</f>
        <v>#REF!</v>
      </c>
      <c r="N5720" s="17"/>
      <c r="O5720" s="17"/>
      <c r="P5720" s="17" t="b">
        <f>IFERROR(__xludf.DUMMYFUNCTION("""COMPUTED_VALUE"""),FALSE)</f>
        <v>0</v>
      </c>
      <c r="Q5720" s="20" t="str">
        <f>IFERROR(__xludf.DUMMYFUNCTION("""COMPUTED_VALUE"""),"")</f>
        <v/>
      </c>
      <c r="R5720" s="22" t="str">
        <f>IFERROR(__xludf.DUMMYFUNCTION("""COMPUTED_VALUE"""),"")</f>
        <v/>
      </c>
    </row>
    <row r="5721">
      <c r="A5721" s="15">
        <f>IFERROR(__xludf.DUMMYFUNCTION("""COMPUTED_VALUE"""),45167.0)</f>
        <v>45167</v>
      </c>
      <c r="B5721" s="16" t="str">
        <f>IFERROR(__xludf.DUMMYFUNCTION("""COMPUTED_VALUE"""),"Envia")</f>
        <v>Envia</v>
      </c>
      <c r="C5721" s="15" t="str">
        <f>IFERROR(__xludf.DUMMYFUNCTION("""COMPUTED_VALUE"""),"VILLAVICENCIO")</f>
        <v>VILLAVICENCIO</v>
      </c>
      <c r="D5721" s="15" t="str">
        <f>IFERROR(__xludf.DUMMYFUNCTION("""COMPUTED_VALUE"""),"BUCARAMANGA")</f>
        <v>BUCARAMANGA</v>
      </c>
      <c r="E5721" s="15" t="str">
        <f>IFERROR(__xludf.DUMMYFUNCTION("""COMPUTED_VALUE"""),"Yo Como Solito")</f>
        <v>Yo Como Solito</v>
      </c>
      <c r="F5721" s="17" t="str">
        <f>IFERROR(__xludf.DUMMYFUNCTION("""COMPUTED_VALUE"""),"HACIENDA ROSA BLANCA CONJUNTO ALCARABAN TORRE 8 APTO 305 / HACIENDA ROSA BLANCA CONJUNTO ALCARABAN TORRE 8 APTO 305 / HACIENDA ROSA BLANCA CONJUNTO ALCARABAN TORRE 8 APTO 305")</f>
        <v>HACIENDA ROSA BLANCA CONJUNTO ALCARABAN TORRE 8 APTO 305 / HACIENDA ROSA BLANCA CONJUNTO ALCARABAN TORRE 8 APTO 305 / HACIENDA ROSA BLANCA CONJUNTO ALCARABAN TORRE 8 APTO 305</v>
      </c>
      <c r="G5721" s="15" t="str">
        <f>IFERROR(__xludf.DUMMYFUNCTION("""COMPUTED_VALUE"""),"TATIANA CORTES GONZALES")</f>
        <v>TATIANA CORTES GONZALES</v>
      </c>
      <c r="H5721" s="16">
        <f>IFERROR(__xludf.DUMMYFUNCTION("""COMPUTED_VALUE"""),14317.0)</f>
        <v>14317</v>
      </c>
      <c r="I5721" s="18">
        <f>IFERROR(__xludf.DUMMYFUNCTION("""COMPUTED_VALUE"""),18.0)</f>
        <v>18</v>
      </c>
      <c r="J5721" s="18">
        <f>IFERROR(__xludf.DUMMYFUNCTION("""COMPUTED_VALUE"""),31.0)</f>
        <v>31</v>
      </c>
      <c r="K5721" s="18">
        <f>IFERROR(__xludf.DUMMYFUNCTION("""COMPUTED_VALUE"""),40.0)</f>
        <v>40</v>
      </c>
      <c r="L5721" s="17">
        <f>IFERROR(__xludf.DUMMYFUNCTION("""COMPUTED_VALUE"""),3.006485514E9)</f>
        <v>3006485514</v>
      </c>
      <c r="M5721" s="17" t="str">
        <f>IFERROR(__xludf.DUMMYFUNCTION("""COMPUTED_VALUE"""),"#REF!")</f>
        <v>#REF!</v>
      </c>
      <c r="N5721" s="17"/>
      <c r="O5721" s="17"/>
      <c r="P5721" s="17" t="b">
        <f>IFERROR(__xludf.DUMMYFUNCTION("""COMPUTED_VALUE"""),FALSE)</f>
        <v>0</v>
      </c>
      <c r="Q5721" s="20" t="str">
        <f>IFERROR(__xludf.DUMMYFUNCTION("""COMPUTED_VALUE"""),"")</f>
        <v/>
      </c>
      <c r="R5721" s="22" t="str">
        <f>IFERROR(__xludf.DUMMYFUNCTION("""COMPUTED_VALUE"""),"")</f>
        <v/>
      </c>
    </row>
    <row r="5722">
      <c r="A5722" s="17" t="str">
        <f>IFERROR(__xludf.DUMMYFUNCTION("""COMPUTED_VALUE"""),"")</f>
        <v/>
      </c>
      <c r="B5722" s="17" t="str">
        <f>IFERROR(__xludf.DUMMYFUNCTION("""COMPUTED_VALUE"""),"")</f>
        <v/>
      </c>
      <c r="C5722" s="17" t="str">
        <f>IFERROR(__xludf.DUMMYFUNCTION("""COMPUTED_VALUE"""),"")</f>
        <v/>
      </c>
      <c r="D5722" s="17" t="str">
        <f>IFERROR(__xludf.DUMMYFUNCTION("""COMPUTED_VALUE"""),"")</f>
        <v/>
      </c>
      <c r="E5722" s="17" t="str">
        <f>IFERROR(__xludf.DUMMYFUNCTION("""COMPUTED_VALUE"""),"")</f>
        <v/>
      </c>
      <c r="F5722" s="17" t="str">
        <f>IFERROR(__xludf.DUMMYFUNCTION("""COMPUTED_VALUE"""),"")</f>
        <v/>
      </c>
      <c r="G5722" s="17" t="str">
        <f>IFERROR(__xludf.DUMMYFUNCTION("""COMPUTED_VALUE"""),"")</f>
        <v/>
      </c>
      <c r="H5722" s="17" t="str">
        <f>IFERROR(__xludf.DUMMYFUNCTION("""COMPUTED_VALUE"""),"")</f>
        <v/>
      </c>
      <c r="I5722" s="17" t="str">
        <f>IFERROR(__xludf.DUMMYFUNCTION("""COMPUTED_VALUE"""),"")</f>
        <v/>
      </c>
      <c r="J5722" s="17" t="str">
        <f>IFERROR(__xludf.DUMMYFUNCTION("""COMPUTED_VALUE"""),"")</f>
        <v/>
      </c>
      <c r="K5722" s="17" t="str">
        <f>IFERROR(__xludf.DUMMYFUNCTION("""COMPUTED_VALUE"""),"")</f>
        <v/>
      </c>
      <c r="L5722" s="17" t="str">
        <f>IFERROR(__xludf.DUMMYFUNCTION("""COMPUTED_VALUE"""),"")</f>
        <v/>
      </c>
      <c r="M5722" s="17" t="str">
        <f>IFERROR(__xludf.DUMMYFUNCTION("""COMPUTED_VALUE"""),"")</f>
        <v/>
      </c>
      <c r="N5722" s="17" t="str">
        <f>IFERROR(__xludf.DUMMYFUNCTION("""COMPUTED_VALUE"""),"")</f>
        <v/>
      </c>
      <c r="O5722" s="17" t="str">
        <f>IFERROR(__xludf.DUMMYFUNCTION("""COMPUTED_VALUE"""),"")</f>
        <v/>
      </c>
      <c r="P5722" s="17" t="str">
        <f>IFERROR(__xludf.DUMMYFUNCTION("""COMPUTED_VALUE"""),"")</f>
        <v/>
      </c>
      <c r="Q5722" s="17" t="str">
        <f>IFERROR(__xludf.DUMMYFUNCTION("""COMPUTED_VALUE"""),"")</f>
        <v/>
      </c>
      <c r="R5722" s="17" t="str">
        <f>IFERROR(__xludf.DUMMYFUNCTION("""COMPUTED_VALUE"""),"")</f>
        <v/>
      </c>
    </row>
    <row r="5723">
      <c r="A5723" s="15">
        <f>IFERROR(__xludf.DUMMYFUNCTION("""COMPUTED_VALUE"""),45167.0)</f>
        <v>45167</v>
      </c>
      <c r="B5723" s="16" t="str">
        <f>IFERROR(__xludf.DUMMYFUNCTION("""COMPUTED_VALUE"""),"Ivan Andres Romero Herrera")</f>
        <v>Ivan Andres Romero Herrera</v>
      </c>
      <c r="C5723" s="15" t="str">
        <f>IFERROR(__xludf.DUMMYFUNCTION("""COMPUTED_VALUE"""),"BUCARAMANGA")</f>
        <v>BUCARAMANGA</v>
      </c>
      <c r="D5723" s="15" t="str">
        <f>IFERROR(__xludf.DUMMYFUNCTION("""COMPUTED_VALUE"""),"BOGOTÁ")</f>
        <v>BOGOTÁ</v>
      </c>
      <c r="E5723" s="15" t="str">
        <f>IFERROR(__xludf.DUMMYFUNCTION("""COMPUTED_VALUE"""),"Ins. Alimento Vital")</f>
        <v>Ins. Alimento Vital</v>
      </c>
      <c r="F5723" s="17" t="str">
        <f>IFERROR(__xludf.DUMMYFUNCTION("""COMPUTED_VALUE"""),"CL 71 53 97 / CASA 12 CON ALTOS DE LA CANTARELA / BARRIO LAGOS DEL CACIQUE")</f>
        <v>CL 71 53 97 / CASA 12 CON ALTOS DE LA CANTARELA / BARRIO LAGOS DEL CACIQUE</v>
      </c>
      <c r="G5723" s="15" t="str">
        <f>IFERROR(__xludf.DUMMYFUNCTION("""COMPUTED_VALUE"""),"YAMILE EDILMA FRANCO RUEDA")</f>
        <v>YAMILE EDILMA FRANCO RUEDA</v>
      </c>
      <c r="H5723" s="16">
        <f>IFERROR(__xludf.DUMMYFUNCTION("""COMPUTED_VALUE"""),14443.0)</f>
        <v>14443</v>
      </c>
      <c r="I5723" s="18">
        <f>IFERROR(__xludf.DUMMYFUNCTION("""COMPUTED_VALUE"""),1.0)</f>
        <v>1</v>
      </c>
      <c r="J5723" s="18">
        <f>IFERROR(__xludf.DUMMYFUNCTION("""COMPUTED_VALUE"""),1.0)</f>
        <v>1</v>
      </c>
      <c r="K5723" s="18">
        <f>IFERROR(__xludf.DUMMYFUNCTION("""COMPUTED_VALUE"""),1.0)</f>
        <v>1</v>
      </c>
      <c r="L5723" s="17">
        <f>IFERROR(__xludf.DUMMYFUNCTION("""COMPUTED_VALUE"""),3.144711356E9)</f>
        <v>3144711356</v>
      </c>
      <c r="M5723" s="17" t="str">
        <f>IFERROR(__xludf.DUMMYFUNCTION("""COMPUTED_VALUE"""),"#REF!")</f>
        <v>#REF!</v>
      </c>
      <c r="N5723" s="17"/>
      <c r="O5723" s="17"/>
      <c r="P5723" s="17" t="b">
        <f>IFERROR(__xludf.DUMMYFUNCTION("""COMPUTED_VALUE"""),FALSE)</f>
        <v>0</v>
      </c>
      <c r="Q5723" s="20" t="str">
        <f>IFERROR(__xludf.DUMMYFUNCTION("""COMPUTED_VALUE"""),"")</f>
        <v/>
      </c>
      <c r="R5723" s="22" t="str">
        <f>IFERROR(__xludf.DUMMYFUNCTION("""COMPUTED_VALUE"""),"")</f>
        <v/>
      </c>
    </row>
    <row r="5724">
      <c r="A5724" s="15">
        <f>IFERROR(__xludf.DUMMYFUNCTION("""COMPUTED_VALUE"""),45167.0)</f>
        <v>45167</v>
      </c>
      <c r="B5724" s="16" t="str">
        <f>IFERROR(__xludf.DUMMYFUNCTION("""COMPUTED_VALUE"""),"Ivan Andres Romero Herrera")</f>
        <v>Ivan Andres Romero Herrera</v>
      </c>
      <c r="C5724" s="15" t="str">
        <f>IFERROR(__xludf.DUMMYFUNCTION("""COMPUTED_VALUE"""),"BUCARAMANGA")</f>
        <v>BUCARAMANGA</v>
      </c>
      <c r="D5724" s="15" t="str">
        <f>IFERROR(__xludf.DUMMYFUNCTION("""COMPUTED_VALUE"""),"BOGOTÁ")</f>
        <v>BOGOTÁ</v>
      </c>
      <c r="E5724" s="15" t="str">
        <f>IFERROR(__xludf.DUMMYFUNCTION("""COMPUTED_VALUE"""),"Ins. Alimento Vital")</f>
        <v>Ins. Alimento Vital</v>
      </c>
      <c r="F5724" s="17" t="str">
        <f>IFERROR(__xludf.DUMMYFUNCTION("""COMPUTED_VALUE"""),"CR 23 31 63 / EDIFICIO MILANO XXIII AP 1206 / EDIFICIO MILANO XXIII")</f>
        <v>CR 23 31 63 / EDIFICIO MILANO XXIII AP 1206 / EDIFICIO MILANO XXIII</v>
      </c>
      <c r="G5724" s="15" t="str">
        <f>IFERROR(__xludf.DUMMYFUNCTION("""COMPUTED_VALUE"""),"DIEGO MAURICIO RODRIGUEZ BELTRAN")</f>
        <v>DIEGO MAURICIO RODRIGUEZ BELTRAN</v>
      </c>
      <c r="H5724" s="16">
        <f>IFERROR(__xludf.DUMMYFUNCTION("""COMPUTED_VALUE"""),14429.0)</f>
        <v>14429</v>
      </c>
      <c r="I5724" s="18">
        <f>IFERROR(__xludf.DUMMYFUNCTION("""COMPUTED_VALUE"""),1.0)</f>
        <v>1</v>
      </c>
      <c r="J5724" s="18">
        <f>IFERROR(__xludf.DUMMYFUNCTION("""COMPUTED_VALUE"""),1.0)</f>
        <v>1</v>
      </c>
      <c r="K5724" s="18">
        <f>IFERROR(__xludf.DUMMYFUNCTION("""COMPUTED_VALUE"""),1.0)</f>
        <v>1</v>
      </c>
      <c r="L5724" s="17">
        <f>IFERROR(__xludf.DUMMYFUNCTION("""COMPUTED_VALUE"""),3.178064951E9)</f>
        <v>3178064951</v>
      </c>
      <c r="M5724" s="17" t="str">
        <f>IFERROR(__xludf.DUMMYFUNCTION("""COMPUTED_VALUE"""),"#REF!")</f>
        <v>#REF!</v>
      </c>
      <c r="N5724" s="17"/>
      <c r="O5724" s="17"/>
      <c r="P5724" s="17" t="b">
        <f>IFERROR(__xludf.DUMMYFUNCTION("""COMPUTED_VALUE"""),FALSE)</f>
        <v>0</v>
      </c>
      <c r="Q5724" s="20" t="str">
        <f>IFERROR(__xludf.DUMMYFUNCTION("""COMPUTED_VALUE"""),"")</f>
        <v/>
      </c>
      <c r="R5724" s="22" t="str">
        <f>IFERROR(__xludf.DUMMYFUNCTION("""COMPUTED_VALUE"""),"")</f>
        <v/>
      </c>
    </row>
    <row r="5725">
      <c r="A5725" s="15">
        <f>IFERROR(__xludf.DUMMYFUNCTION("""COMPUTED_VALUE"""),45167.0)</f>
        <v>45167</v>
      </c>
      <c r="B5725" s="16" t="str">
        <f>IFERROR(__xludf.DUMMYFUNCTION("""COMPUTED_VALUE"""),"Ivan Andres Romero Herrera")</f>
        <v>Ivan Andres Romero Herrera</v>
      </c>
      <c r="C5725" s="15" t="str">
        <f>IFERROR(__xludf.DUMMYFUNCTION("""COMPUTED_VALUE"""),"BUCARAMANGA")</f>
        <v>BUCARAMANGA</v>
      </c>
      <c r="D5725" s="15" t="str">
        <f>IFERROR(__xludf.DUMMYFUNCTION("""COMPUTED_VALUE"""),"BOGOTÁ")</f>
        <v>BOGOTÁ</v>
      </c>
      <c r="E5725" s="15" t="str">
        <f>IFERROR(__xludf.DUMMYFUNCTION("""COMPUTED_VALUE"""),"Loomifoods")</f>
        <v>Loomifoods</v>
      </c>
      <c r="F5725" s="17" t="str">
        <f>IFERROR(__xludf.DUMMYFUNCTION("""COMPUTED_VALUE"""),"calle 42 no. 34 - 54 / edificio balcones de ballarat, apto 601 / barrio cabecera")</f>
        <v>calle 42 no. 34 - 54 / edificio balcones de ballarat, apto 601 / barrio cabecera</v>
      </c>
      <c r="G5725" s="15" t="str">
        <f>IFERROR(__xludf.DUMMYFUNCTION("""COMPUTED_VALUE"""),"Lorena Tamayo")</f>
        <v>Lorena Tamayo</v>
      </c>
      <c r="H5725" s="16">
        <f>IFERROR(__xludf.DUMMYFUNCTION("""COMPUTED_VALUE"""),14436.0)</f>
        <v>14436</v>
      </c>
      <c r="I5725" s="18">
        <f>IFERROR(__xludf.DUMMYFUNCTION("""COMPUTED_VALUE"""),19.0)</f>
        <v>19</v>
      </c>
      <c r="J5725" s="18">
        <f>IFERROR(__xludf.DUMMYFUNCTION("""COMPUTED_VALUE"""),5.0)</f>
        <v>5</v>
      </c>
      <c r="K5725" s="18">
        <f>IFERROR(__xludf.DUMMYFUNCTION("""COMPUTED_VALUE"""),16.0)</f>
        <v>16</v>
      </c>
      <c r="L5725" s="17">
        <f>IFERROR(__xludf.DUMMYFUNCTION("""COMPUTED_VALUE"""),3.043627002E9)</f>
        <v>3043627002</v>
      </c>
      <c r="M5725" s="17" t="str">
        <f>IFERROR(__xludf.DUMMYFUNCTION("""COMPUTED_VALUE"""),"#REF!")</f>
        <v>#REF!</v>
      </c>
      <c r="N5725" s="17"/>
      <c r="O5725" s="17"/>
      <c r="P5725" s="17" t="b">
        <f>IFERROR(__xludf.DUMMYFUNCTION("""COMPUTED_VALUE"""),FALSE)</f>
        <v>0</v>
      </c>
      <c r="Q5725" s="20" t="str">
        <f>IFERROR(__xludf.DUMMYFUNCTION("""COMPUTED_VALUE"""),"")</f>
        <v/>
      </c>
      <c r="R5725" s="22" t="str">
        <f>IFERROR(__xludf.DUMMYFUNCTION("""COMPUTED_VALUE"""),"")</f>
        <v/>
      </c>
    </row>
    <row r="5726">
      <c r="A5726" s="15">
        <f>IFERROR(__xludf.DUMMYFUNCTION("""COMPUTED_VALUE"""),45167.0)</f>
        <v>45167</v>
      </c>
      <c r="B5726" s="16" t="str">
        <f>IFERROR(__xludf.DUMMYFUNCTION("""COMPUTED_VALUE"""),"Ivan Andres Romero Herrera")</f>
        <v>Ivan Andres Romero Herrera</v>
      </c>
      <c r="C5726" s="15" t="str">
        <f>IFERROR(__xludf.DUMMYFUNCTION("""COMPUTED_VALUE"""),"BUCARAMANGA")</f>
        <v>BUCARAMANGA</v>
      </c>
      <c r="D5726" s="15" t="str">
        <f>IFERROR(__xludf.DUMMYFUNCTION("""COMPUTED_VALUE"""),"MEDELLÍN")</f>
        <v>MEDELLÍN</v>
      </c>
      <c r="E5726" s="15" t="str">
        <f>IFERROR(__xludf.DUMMYFUNCTION("""COMPUTED_VALUE"""),"Baby Chef")</f>
        <v>Baby Chef</v>
      </c>
      <c r="F5726" s="17" t="str">
        <f>IFERROR(__xludf.DUMMYFUNCTION("""COMPUTED_VALUE"""),"Calle 111 no 22 b - 52, barrio provenza, edificio trivenza, torre 3 apto 1904 / BUCARAMANGA  / BUCARAMANGA")</f>
        <v>Calle 111 no 22 b - 52, barrio provenza, edificio trivenza, torre 3 apto 1904 / BUCARAMANGA  / BUCARAMANGA</v>
      </c>
      <c r="G5726" s="15" t="str">
        <f>IFERROR(__xludf.DUMMYFUNCTION("""COMPUTED_VALUE"""),"Angee Arguello")</f>
        <v>Angee Arguello</v>
      </c>
      <c r="H5726" s="16">
        <f>IFERROR(__xludf.DUMMYFUNCTION("""COMPUTED_VALUE"""),14488.0)</f>
        <v>14488</v>
      </c>
      <c r="I5726" s="18">
        <f>IFERROR(__xludf.DUMMYFUNCTION("""COMPUTED_VALUE"""),4.0)</f>
        <v>4</v>
      </c>
      <c r="J5726" s="18">
        <f>IFERROR(__xludf.DUMMYFUNCTION("""COMPUTED_VALUE"""),22.0)</f>
        <v>22</v>
      </c>
      <c r="K5726" s="18">
        <f>IFERROR(__xludf.DUMMYFUNCTION("""COMPUTED_VALUE"""),34.0)</f>
        <v>34</v>
      </c>
      <c r="L5726" s="17">
        <f>IFERROR(__xludf.DUMMYFUNCTION("""COMPUTED_VALUE"""),3.117998044E9)</f>
        <v>3117998044</v>
      </c>
      <c r="M5726" s="17" t="str">
        <f>IFERROR(__xludf.DUMMYFUNCTION("""COMPUTED_VALUE"""),"#REF!")</f>
        <v>#REF!</v>
      </c>
      <c r="N5726" s="17"/>
      <c r="O5726" s="17"/>
      <c r="P5726" s="17" t="b">
        <f>IFERROR(__xludf.DUMMYFUNCTION("""COMPUTED_VALUE"""),FALSE)</f>
        <v>0</v>
      </c>
      <c r="Q5726" s="20" t="str">
        <f>IFERROR(__xludf.DUMMYFUNCTION("""COMPUTED_VALUE"""),"")</f>
        <v/>
      </c>
      <c r="R5726" s="22" t="str">
        <f>IFERROR(__xludf.DUMMYFUNCTION("""COMPUTED_VALUE"""),"")</f>
        <v/>
      </c>
    </row>
    <row r="5727">
      <c r="A5727" s="15">
        <f>IFERROR(__xludf.DUMMYFUNCTION("""COMPUTED_VALUE"""),45167.0)</f>
        <v>45167</v>
      </c>
      <c r="B5727" s="16" t="str">
        <f>IFERROR(__xludf.DUMMYFUNCTION("""COMPUTED_VALUE"""),"Ivan Andres Romero Herrera")</f>
        <v>Ivan Andres Romero Herrera</v>
      </c>
      <c r="C5727" s="15" t="str">
        <f>IFERROR(__xludf.DUMMYFUNCTION("""COMPUTED_VALUE"""),"FLORIDABLANCA")</f>
        <v>FLORIDABLANCA</v>
      </c>
      <c r="D5727" s="15" t="str">
        <f>IFERROR(__xludf.DUMMYFUNCTION("""COMPUTED_VALUE"""),"BOGOTÁ")</f>
        <v>BOGOTÁ</v>
      </c>
      <c r="E5727" s="15" t="str">
        <f>IFERROR(__xludf.DUMMYFUNCTION("""COMPUTED_VALUE"""),"Asociacion Agropecuaria Juana Maria")</f>
        <v>Asociacion Agropecuaria Juana Maria</v>
      </c>
      <c r="F5727" s="17" t="str">
        <f>IFERROR(__xludf.DUMMYFUNCTION("""COMPUTED_VALUE"""),"Calle 19 #11-37 Guanatá FLORIDABLANCA")</f>
        <v>Calle 19 #11-37 Guanatá FLORIDABLANCA</v>
      </c>
      <c r="G5727" s="15" t="str">
        <f>IFERROR(__xludf.DUMMYFUNCTION("""COMPUTED_VALUE"""),"Claudia Gonzalez")</f>
        <v>Claudia Gonzalez</v>
      </c>
      <c r="H5727" s="16">
        <f>IFERROR(__xludf.DUMMYFUNCTION("""COMPUTED_VALUE"""),14411.0)</f>
        <v>14411</v>
      </c>
      <c r="I5727" s="18">
        <f>IFERROR(__xludf.DUMMYFUNCTION("""COMPUTED_VALUE"""),21.0)</f>
        <v>21</v>
      </c>
      <c r="J5727" s="18">
        <f>IFERROR(__xludf.DUMMYFUNCTION("""COMPUTED_VALUE"""),37.0)</f>
        <v>37</v>
      </c>
      <c r="K5727" s="18">
        <f>IFERROR(__xludf.DUMMYFUNCTION("""COMPUTED_VALUE"""),30.0)</f>
        <v>30</v>
      </c>
      <c r="L5727" s="17">
        <f>IFERROR(__xludf.DUMMYFUNCTION("""COMPUTED_VALUE"""),3.002802001E9)</f>
        <v>3002802001</v>
      </c>
      <c r="M5727" s="17" t="str">
        <f>IFERROR(__xludf.DUMMYFUNCTION("""COMPUTED_VALUE"""),"#REF!")</f>
        <v>#REF!</v>
      </c>
      <c r="N5727" s="17"/>
      <c r="O5727" s="17"/>
      <c r="P5727" s="17" t="b">
        <f>IFERROR(__xludf.DUMMYFUNCTION("""COMPUTED_VALUE"""),FALSE)</f>
        <v>0</v>
      </c>
      <c r="Q5727" s="20" t="str">
        <f>IFERROR(__xludf.DUMMYFUNCTION("""COMPUTED_VALUE"""),"")</f>
        <v/>
      </c>
      <c r="R5727" s="22" t="str">
        <f>IFERROR(__xludf.DUMMYFUNCTION("""COMPUTED_VALUE"""),"")</f>
        <v/>
      </c>
    </row>
    <row r="5728">
      <c r="A5728" s="15">
        <f>IFERROR(__xludf.DUMMYFUNCTION("""COMPUTED_VALUE"""),45167.0)</f>
        <v>45167</v>
      </c>
      <c r="B5728" s="16" t="str">
        <f>IFERROR(__xludf.DUMMYFUNCTION("""COMPUTED_VALUE"""),"Ivan Andres Romero Herrera")</f>
        <v>Ivan Andres Romero Herrera</v>
      </c>
      <c r="C5728" s="15" t="str">
        <f>IFERROR(__xludf.DUMMYFUNCTION("""COMPUTED_VALUE"""),"FLORIDABLANCA")</f>
        <v>FLORIDABLANCA</v>
      </c>
      <c r="D5728" s="15" t="str">
        <f>IFERROR(__xludf.DUMMYFUNCTION("""COMPUTED_VALUE"""),"BOGOTÁ")</f>
        <v>BOGOTÁ</v>
      </c>
      <c r="E5728" s="15" t="str">
        <f>IFERROR(__xludf.DUMMYFUNCTION("""COMPUTED_VALUE"""),"Asociacion Agropecuaria Juana Maria")</f>
        <v>Asociacion Agropecuaria Juana Maria</v>
      </c>
      <c r="F5728" s="17" t="str">
        <f>IFERROR(__xludf.DUMMYFUNCTION("""COMPUTED_VALUE"""),"Calle 19 #11-37 Guanatá FLORIDABLANCA")</f>
        <v>Calle 19 #11-37 Guanatá FLORIDABLANCA</v>
      </c>
      <c r="G5728" s="15" t="str">
        <f>IFERROR(__xludf.DUMMYFUNCTION("""COMPUTED_VALUE"""),"Claudia Gonzalez")</f>
        <v>Claudia Gonzalez</v>
      </c>
      <c r="H5728" s="16">
        <f>IFERROR(__xludf.DUMMYFUNCTION("""COMPUTED_VALUE"""),14412.0)</f>
        <v>14412</v>
      </c>
      <c r="I5728" s="18">
        <f>IFERROR(__xludf.DUMMYFUNCTION("""COMPUTED_VALUE"""),12.0)</f>
        <v>12</v>
      </c>
      <c r="J5728" s="18">
        <f>IFERROR(__xludf.DUMMYFUNCTION("""COMPUTED_VALUE"""),37.0)</f>
        <v>37</v>
      </c>
      <c r="K5728" s="18">
        <f>IFERROR(__xludf.DUMMYFUNCTION("""COMPUTED_VALUE"""),24.0)</f>
        <v>24</v>
      </c>
      <c r="L5728" s="17">
        <f>IFERROR(__xludf.DUMMYFUNCTION("""COMPUTED_VALUE"""),3.002802001E9)</f>
        <v>3002802001</v>
      </c>
      <c r="M5728" s="17" t="str">
        <f>IFERROR(__xludf.DUMMYFUNCTION("""COMPUTED_VALUE"""),"#REF!")</f>
        <v>#REF!</v>
      </c>
      <c r="N5728" s="17"/>
      <c r="O5728" s="17"/>
      <c r="P5728" s="17" t="b">
        <f>IFERROR(__xludf.DUMMYFUNCTION("""COMPUTED_VALUE"""),FALSE)</f>
        <v>0</v>
      </c>
      <c r="Q5728" s="20" t="str">
        <f>IFERROR(__xludf.DUMMYFUNCTION("""COMPUTED_VALUE"""),"")</f>
        <v/>
      </c>
      <c r="R5728" s="22" t="str">
        <f>IFERROR(__xludf.DUMMYFUNCTION("""COMPUTED_VALUE"""),"")</f>
        <v/>
      </c>
    </row>
    <row r="5729">
      <c r="A5729" s="15">
        <f>IFERROR(__xludf.DUMMYFUNCTION("""COMPUTED_VALUE"""),45167.0)</f>
        <v>45167</v>
      </c>
      <c r="B5729" s="16" t="str">
        <f>IFERROR(__xludf.DUMMYFUNCTION("""COMPUTED_VALUE"""),"Ivan Andres Romero Herrera")</f>
        <v>Ivan Andres Romero Herrera</v>
      </c>
      <c r="C5729" s="15" t="str">
        <f>IFERROR(__xludf.DUMMYFUNCTION("""COMPUTED_VALUE"""),"PEREIRA")</f>
        <v>PEREIRA</v>
      </c>
      <c r="D5729" s="15" t="str">
        <f>IFERROR(__xludf.DUMMYFUNCTION("""COMPUTED_VALUE"""),"MEDELLÍN")</f>
        <v>MEDELLÍN</v>
      </c>
      <c r="E5729" s="15" t="str">
        <f>IFERROR(__xludf.DUMMYFUNCTION("""COMPUTED_VALUE"""),"Rambla")</f>
        <v>Rambla</v>
      </c>
      <c r="F5729" s="17" t="str">
        <f>IFERROR(__xludf.DUMMYFUNCTION("""COMPUTED_VALUE"""),"CARRERA 14 -12-55 / - / -")</f>
        <v>CARRERA 14 -12-55 / - / -</v>
      </c>
      <c r="G5729" s="15" t="str">
        <f>IFERROR(__xludf.DUMMYFUNCTION("""COMPUTED_VALUE"""),"Vita Eco")</f>
        <v>Vita Eco</v>
      </c>
      <c r="H5729" s="16">
        <f>IFERROR(__xludf.DUMMYFUNCTION("""COMPUTED_VALUE"""),14498.0)</f>
        <v>14498</v>
      </c>
      <c r="I5729" s="18">
        <f>IFERROR(__xludf.DUMMYFUNCTION("""COMPUTED_VALUE"""),26.0)</f>
        <v>26</v>
      </c>
      <c r="J5729" s="18">
        <f>IFERROR(__xludf.DUMMYFUNCTION("""COMPUTED_VALUE"""),24.0)</f>
        <v>24</v>
      </c>
      <c r="K5729" s="18">
        <f>IFERROR(__xludf.DUMMYFUNCTION("""COMPUTED_VALUE"""),22.0)</f>
        <v>22</v>
      </c>
      <c r="L5729" s="17">
        <f>IFERROR(__xludf.DUMMYFUNCTION("""COMPUTED_VALUE"""),3.215501948E9)</f>
        <v>3215501948</v>
      </c>
      <c r="M5729" s="17" t="str">
        <f>IFERROR(__xludf.DUMMYFUNCTION("""COMPUTED_VALUE"""),"#REF!")</f>
        <v>#REF!</v>
      </c>
      <c r="N5729" s="17"/>
      <c r="O5729" s="17"/>
      <c r="P5729" s="17" t="b">
        <f>IFERROR(__xludf.DUMMYFUNCTION("""COMPUTED_VALUE"""),FALSE)</f>
        <v>0</v>
      </c>
      <c r="Q5729" s="20" t="str">
        <f>IFERROR(__xludf.DUMMYFUNCTION("""COMPUTED_VALUE"""),"")</f>
        <v/>
      </c>
      <c r="R5729" s="21" t="str">
        <f>IFERROR(__xludf.DUMMYFUNCTION("""COMPUTED_VALUE"""),"https://drive.google.com/file/d/1zhOYO8NDf6YjlMpmLdRqz7O-t_nKGplv/view?usp=drivesdk")</f>
        <v>https://drive.google.com/file/d/1zhOYO8NDf6YjlMpmLdRqz7O-t_nKGplv/view?usp=drivesdk</v>
      </c>
    </row>
    <row r="5730">
      <c r="A5730" s="15">
        <f>IFERROR(__xludf.DUMMYFUNCTION("""COMPUTED_VALUE"""),45167.0)</f>
        <v>45167</v>
      </c>
      <c r="B5730" s="16" t="str">
        <f>IFERROR(__xludf.DUMMYFUNCTION("""COMPUTED_VALUE"""),"Ivan Andres Romero Herrera")</f>
        <v>Ivan Andres Romero Herrera</v>
      </c>
      <c r="C5730" s="15" t="str">
        <f>IFERROR(__xludf.DUMMYFUNCTION("""COMPUTED_VALUE"""),"PEREIRA")</f>
        <v>PEREIRA</v>
      </c>
      <c r="D5730" s="15" t="str">
        <f>IFERROR(__xludf.DUMMYFUNCTION("""COMPUTED_VALUE"""),"MEDELLÍN")</f>
        <v>MEDELLÍN</v>
      </c>
      <c r="E5730" s="15" t="str">
        <f>IFERROR(__xludf.DUMMYFUNCTION("""COMPUTED_VALUE"""),"Todo Bufala")</f>
        <v>Todo Bufala</v>
      </c>
      <c r="F5730" s="17" t="str">
        <f>IFERROR(__xludf.DUMMYFUNCTION("""COMPUTED_VALUE"""),"Cra 14 N 12-55 Circunvalar")</f>
        <v>Cra 14 N 12-55 Circunvalar</v>
      </c>
      <c r="G5730" s="15" t="str">
        <f>IFERROR(__xludf.DUMMYFUNCTION("""COMPUTED_VALUE"""),"Jeimy Jaramillo-Inversiones saludables vita SAS")</f>
        <v>Jeimy Jaramillo-Inversiones saludables vita SAS</v>
      </c>
      <c r="H5730" s="16">
        <f>IFERROR(__xludf.DUMMYFUNCTION("""COMPUTED_VALUE"""),14408.0)</f>
        <v>14408</v>
      </c>
      <c r="I5730" s="18">
        <f>IFERROR(__xludf.DUMMYFUNCTION("""COMPUTED_VALUE"""),20.0)</f>
        <v>20</v>
      </c>
      <c r="J5730" s="18">
        <f>IFERROR(__xludf.DUMMYFUNCTION("""COMPUTED_VALUE"""),30.0)</f>
        <v>30</v>
      </c>
      <c r="K5730" s="18">
        <f>IFERROR(__xludf.DUMMYFUNCTION("""COMPUTED_VALUE"""),40.0)</f>
        <v>40</v>
      </c>
      <c r="L5730" s="17">
        <f>IFERROR(__xludf.DUMMYFUNCTION("""COMPUTED_VALUE"""),3.14645528E9)</f>
        <v>3146455280</v>
      </c>
      <c r="M5730" s="17" t="str">
        <f>IFERROR(__xludf.DUMMYFUNCTION("""COMPUTED_VALUE"""),"#REF!")</f>
        <v>#REF!</v>
      </c>
      <c r="N5730" s="17"/>
      <c r="O5730" s="17"/>
      <c r="P5730" s="17" t="b">
        <f>IFERROR(__xludf.DUMMYFUNCTION("""COMPUTED_VALUE"""),FALSE)</f>
        <v>0</v>
      </c>
      <c r="Q5730" s="20" t="str">
        <f>IFERROR(__xludf.DUMMYFUNCTION("""COMPUTED_VALUE"""),"")</f>
        <v/>
      </c>
      <c r="R5730" s="21" t="str">
        <f>IFERROR(__xludf.DUMMYFUNCTION("""COMPUTED_VALUE"""),"https://drive.google.com/file/d/1ibp2kZ0zei2XEi9v9nOrC3eJfKnM5Bt9/view?usp=drivesdk")</f>
        <v>https://drive.google.com/file/d/1ibp2kZ0zei2XEi9v9nOrC3eJfKnM5Bt9/view?usp=drivesdk</v>
      </c>
    </row>
    <row r="5731">
      <c r="A5731" s="17" t="str">
        <f>IFERROR(__xludf.DUMMYFUNCTION("""COMPUTED_VALUE"""),"")</f>
        <v/>
      </c>
      <c r="B5731" s="17" t="str">
        <f>IFERROR(__xludf.DUMMYFUNCTION("""COMPUTED_VALUE"""),"")</f>
        <v/>
      </c>
      <c r="C5731" s="17" t="str">
        <f>IFERROR(__xludf.DUMMYFUNCTION("""COMPUTED_VALUE"""),"")</f>
        <v/>
      </c>
      <c r="D5731" s="17" t="str">
        <f>IFERROR(__xludf.DUMMYFUNCTION("""COMPUTED_VALUE"""),"")</f>
        <v/>
      </c>
      <c r="E5731" s="17" t="str">
        <f>IFERROR(__xludf.DUMMYFUNCTION("""COMPUTED_VALUE"""),"")</f>
        <v/>
      </c>
      <c r="F5731" s="17" t="str">
        <f>IFERROR(__xludf.DUMMYFUNCTION("""COMPUTED_VALUE"""),"")</f>
        <v/>
      </c>
      <c r="G5731" s="17" t="str">
        <f>IFERROR(__xludf.DUMMYFUNCTION("""COMPUTED_VALUE"""),"")</f>
        <v/>
      </c>
      <c r="H5731" s="17" t="str">
        <f>IFERROR(__xludf.DUMMYFUNCTION("""COMPUTED_VALUE"""),"")</f>
        <v/>
      </c>
      <c r="I5731" s="17" t="str">
        <f>IFERROR(__xludf.DUMMYFUNCTION("""COMPUTED_VALUE"""),"")</f>
        <v/>
      </c>
      <c r="J5731" s="17" t="str">
        <f>IFERROR(__xludf.DUMMYFUNCTION("""COMPUTED_VALUE"""),"")</f>
        <v/>
      </c>
      <c r="K5731" s="17" t="str">
        <f>IFERROR(__xludf.DUMMYFUNCTION("""COMPUTED_VALUE"""),"")</f>
        <v/>
      </c>
      <c r="L5731" s="17" t="str">
        <f>IFERROR(__xludf.DUMMYFUNCTION("""COMPUTED_VALUE"""),"")</f>
        <v/>
      </c>
      <c r="M5731" s="17" t="str">
        <f>IFERROR(__xludf.DUMMYFUNCTION("""COMPUTED_VALUE"""),"")</f>
        <v/>
      </c>
      <c r="N5731" s="17" t="str">
        <f>IFERROR(__xludf.DUMMYFUNCTION("""COMPUTED_VALUE"""),"")</f>
        <v/>
      </c>
      <c r="O5731" s="17" t="str">
        <f>IFERROR(__xludf.DUMMYFUNCTION("""COMPUTED_VALUE"""),"")</f>
        <v/>
      </c>
      <c r="P5731" s="17" t="str">
        <f>IFERROR(__xludf.DUMMYFUNCTION("""COMPUTED_VALUE"""),"")</f>
        <v/>
      </c>
      <c r="Q5731" s="17" t="str">
        <f>IFERROR(__xludf.DUMMYFUNCTION("""COMPUTED_VALUE"""),"")</f>
        <v/>
      </c>
      <c r="R5731" s="17" t="str">
        <f>IFERROR(__xludf.DUMMYFUNCTION("""COMPUTED_VALUE"""),"")</f>
        <v/>
      </c>
    </row>
    <row r="5732">
      <c r="A5732" s="15">
        <f>IFERROR(__xludf.DUMMYFUNCTION("""COMPUTED_VALUE"""),45167.0)</f>
        <v>45167</v>
      </c>
      <c r="B5732" s="16" t="str">
        <f>IFERROR(__xludf.DUMMYFUNCTION("""COMPUTED_VALUE"""),"Jhon Anderson Ceballos Hernandez")</f>
        <v>Jhon Anderson Ceballos Hernandez</v>
      </c>
      <c r="C5732" s="15" t="str">
        <f>IFERROR(__xludf.DUMMYFUNCTION("""COMPUTED_VALUE"""),"MANIZALES")</f>
        <v>MANIZALES</v>
      </c>
      <c r="D5732" s="15" t="str">
        <f>IFERROR(__xludf.DUMMYFUNCTION("""COMPUTED_VALUE"""),"BOGOTÁ")</f>
        <v>BOGOTÁ</v>
      </c>
      <c r="E5732" s="15" t="str">
        <f>IFERROR(__xludf.DUMMYFUNCTION("""COMPUTED_VALUE"""),"Evamazzita")</f>
        <v>Evamazzita</v>
      </c>
      <c r="F5732" s="17" t="str">
        <f>IFERROR(__xludf.DUMMYFUNCTION("""COMPUTED_VALUE"""),"Alto Tablazo Casa 43 / N/A / N/A")</f>
        <v>Alto Tablazo Casa 43 / N/A / N/A</v>
      </c>
      <c r="G5732" s="15" t="str">
        <f>IFERROR(__xludf.DUMMYFUNCTION("""COMPUTED_VALUE"""),"CAROLINA VARGAS ORLAS")</f>
        <v>CAROLINA VARGAS ORLAS</v>
      </c>
      <c r="H5732" s="16">
        <f>IFERROR(__xludf.DUMMYFUNCTION("""COMPUTED_VALUE"""),14439.0)</f>
        <v>14439</v>
      </c>
      <c r="I5732" s="18">
        <f>IFERROR(__xludf.DUMMYFUNCTION("""COMPUTED_VALUE"""),1.0)</f>
        <v>1</v>
      </c>
      <c r="J5732" s="18">
        <f>IFERROR(__xludf.DUMMYFUNCTION("""COMPUTED_VALUE"""),1.0)</f>
        <v>1</v>
      </c>
      <c r="K5732" s="18">
        <f>IFERROR(__xludf.DUMMYFUNCTION("""COMPUTED_VALUE"""),1.0)</f>
        <v>1</v>
      </c>
      <c r="L5732" s="17">
        <f>IFERROR(__xludf.DUMMYFUNCTION("""COMPUTED_VALUE"""),3.194146549E9)</f>
        <v>3194146549</v>
      </c>
      <c r="M5732" s="17" t="str">
        <f>IFERROR(__xludf.DUMMYFUNCTION("""COMPUTED_VALUE"""),"#REF!")</f>
        <v>#REF!</v>
      </c>
      <c r="N5732" s="17"/>
      <c r="O5732" s="17"/>
      <c r="P5732" s="17" t="b">
        <f>IFERROR(__xludf.DUMMYFUNCTION("""COMPUTED_VALUE"""),FALSE)</f>
        <v>0</v>
      </c>
      <c r="Q5732" s="20" t="str">
        <f>IFERROR(__xludf.DUMMYFUNCTION("""COMPUTED_VALUE"""),"")</f>
        <v/>
      </c>
      <c r="R5732" s="21" t="str">
        <f>IFERROR(__xludf.DUMMYFUNCTION("""COMPUTED_VALUE"""),"https://drive.google.com/file/d/1Vk_A1sKwvlbc6mKuq6iOSaeZoQqON_p4/view?usp=drivesdk")</f>
        <v>https://drive.google.com/file/d/1Vk_A1sKwvlbc6mKuq6iOSaeZoQqON_p4/view?usp=drivesdk</v>
      </c>
    </row>
    <row r="5733">
      <c r="A5733" s="15">
        <f>IFERROR(__xludf.DUMMYFUNCTION("""COMPUTED_VALUE"""),45167.0)</f>
        <v>45167</v>
      </c>
      <c r="B5733" s="16" t="str">
        <f>IFERROR(__xludf.DUMMYFUNCTION("""COMPUTED_VALUE"""),"Jhon Anderson Ceballos Hernandez")</f>
        <v>Jhon Anderson Ceballos Hernandez</v>
      </c>
      <c r="C5733" s="15" t="str">
        <f>IFERROR(__xludf.DUMMYFUNCTION("""COMPUTED_VALUE"""),"MANIZALES")</f>
        <v>MANIZALES</v>
      </c>
      <c r="D5733" s="15" t="str">
        <f>IFERROR(__xludf.DUMMYFUNCTION("""COMPUTED_VALUE"""),"BOGOTÁ")</f>
        <v>BOGOTÁ</v>
      </c>
      <c r="E5733" s="15" t="str">
        <f>IFERROR(__xludf.DUMMYFUNCTION("""COMPUTED_VALUE"""),"Evamazzita")</f>
        <v>Evamazzita</v>
      </c>
      <c r="F5733" s="17" t="str">
        <f>IFERROR(__xludf.DUMMYFUNCTION("""COMPUTED_VALUE"""),"Avenida Santander Carrera 23#49-30 / N/A / Hospital Infantil/ 3cer Piso/ (Entregar de 7 a 12 o de 1 a 5 pm)")</f>
        <v>Avenida Santander Carrera 23#49-30 / N/A / Hospital Infantil/ 3cer Piso/ (Entregar de 7 a 12 o de 1 a 5 pm)</v>
      </c>
      <c r="G5733" s="15" t="str">
        <f>IFERROR(__xludf.DUMMYFUNCTION("""COMPUTED_VALUE"""),"DANIEL FELIPE DIAZ CARDONA")</f>
        <v>DANIEL FELIPE DIAZ CARDONA</v>
      </c>
      <c r="H5733" s="16">
        <f>IFERROR(__xludf.DUMMYFUNCTION("""COMPUTED_VALUE"""),14438.0)</f>
        <v>14438</v>
      </c>
      <c r="I5733" s="18">
        <f>IFERROR(__xludf.DUMMYFUNCTION("""COMPUTED_VALUE"""),1.0)</f>
        <v>1</v>
      </c>
      <c r="J5733" s="18">
        <f>IFERROR(__xludf.DUMMYFUNCTION("""COMPUTED_VALUE"""),1.0)</f>
        <v>1</v>
      </c>
      <c r="K5733" s="18">
        <f>IFERROR(__xludf.DUMMYFUNCTION("""COMPUTED_VALUE"""),1.0)</f>
        <v>1</v>
      </c>
      <c r="L5733" s="17">
        <f>IFERROR(__xludf.DUMMYFUNCTION("""COMPUTED_VALUE"""),3.184785729E9)</f>
        <v>3184785729</v>
      </c>
      <c r="M5733" s="17" t="str">
        <f>IFERROR(__xludf.DUMMYFUNCTION("""COMPUTED_VALUE"""),"#REF!")</f>
        <v>#REF!</v>
      </c>
      <c r="N5733" s="17"/>
      <c r="O5733" s="17"/>
      <c r="P5733" s="17" t="b">
        <f>IFERROR(__xludf.DUMMYFUNCTION("""COMPUTED_VALUE"""),FALSE)</f>
        <v>0</v>
      </c>
      <c r="Q5733" s="20" t="str">
        <f>IFERROR(__xludf.DUMMYFUNCTION("""COMPUTED_VALUE"""),"")</f>
        <v/>
      </c>
      <c r="R5733" s="21" t="str">
        <f>IFERROR(__xludf.DUMMYFUNCTION("""COMPUTED_VALUE"""),"https://drive.google.com/file/d/1QohfHOewurk0-R4BHTylbhvB_nrA7PM9/view?usp=drivesdk")</f>
        <v>https://drive.google.com/file/d/1QohfHOewurk0-R4BHTylbhvB_nrA7PM9/view?usp=drivesdk</v>
      </c>
    </row>
    <row r="5734">
      <c r="A5734" s="15">
        <f>IFERROR(__xludf.DUMMYFUNCTION("""COMPUTED_VALUE"""),45167.0)</f>
        <v>45167</v>
      </c>
      <c r="B5734" s="16" t="str">
        <f>IFERROR(__xludf.DUMMYFUNCTION("""COMPUTED_VALUE"""),"Jhon Anderson Ceballos Hernandez")</f>
        <v>Jhon Anderson Ceballos Hernandez</v>
      </c>
      <c r="C5734" s="15" t="str">
        <f>IFERROR(__xludf.DUMMYFUNCTION("""COMPUTED_VALUE"""),"MANIZALES")</f>
        <v>MANIZALES</v>
      </c>
      <c r="D5734" s="15" t="str">
        <f>IFERROR(__xludf.DUMMYFUNCTION("""COMPUTED_VALUE"""),"BOGOTÁ")</f>
        <v>BOGOTÁ</v>
      </c>
      <c r="E5734" s="15" t="str">
        <f>IFERROR(__xludf.DUMMYFUNCTION("""COMPUTED_VALUE"""),"Evamazzita")</f>
        <v>Evamazzita</v>
      </c>
      <c r="F5734" s="17" t="str">
        <f>IFERROR(__xludf.DUMMYFUNCTION("""COMPUTED_VALUE"""),"Carrera 10e#57f-45 / Torre 6/ apto c3 / Terrazas del rio entrada la cartola")</f>
        <v>Carrera 10e#57f-45 / Torre 6/ apto c3 / Terrazas del rio entrada la cartola</v>
      </c>
      <c r="G5734" s="15" t="str">
        <f>IFERROR(__xludf.DUMMYFUNCTION("""COMPUTED_VALUE"""),"KATERINE OROZCO BEDOYA")</f>
        <v>KATERINE OROZCO BEDOYA</v>
      </c>
      <c r="H5734" s="16">
        <f>IFERROR(__xludf.DUMMYFUNCTION("""COMPUTED_VALUE"""),14441.0)</f>
        <v>14441</v>
      </c>
      <c r="I5734" s="18">
        <f>IFERROR(__xludf.DUMMYFUNCTION("""COMPUTED_VALUE"""),1.0)</f>
        <v>1</v>
      </c>
      <c r="J5734" s="18">
        <f>IFERROR(__xludf.DUMMYFUNCTION("""COMPUTED_VALUE"""),1.0)</f>
        <v>1</v>
      </c>
      <c r="K5734" s="18">
        <f>IFERROR(__xludf.DUMMYFUNCTION("""COMPUTED_VALUE"""),1.0)</f>
        <v>1</v>
      </c>
      <c r="L5734" s="17">
        <f>IFERROR(__xludf.DUMMYFUNCTION("""COMPUTED_VALUE"""),3.113934563E9)</f>
        <v>3113934563</v>
      </c>
      <c r="M5734" s="17" t="str">
        <f>IFERROR(__xludf.DUMMYFUNCTION("""COMPUTED_VALUE"""),"#REF!")</f>
        <v>#REF!</v>
      </c>
      <c r="N5734" s="17"/>
      <c r="O5734" s="17"/>
      <c r="P5734" s="17" t="b">
        <f>IFERROR(__xludf.DUMMYFUNCTION("""COMPUTED_VALUE"""),FALSE)</f>
        <v>0</v>
      </c>
      <c r="Q5734" s="20" t="str">
        <f>IFERROR(__xludf.DUMMYFUNCTION("""COMPUTED_VALUE"""),"")</f>
        <v/>
      </c>
      <c r="R5734" s="21" t="str">
        <f>IFERROR(__xludf.DUMMYFUNCTION("""COMPUTED_VALUE"""),"https://drive.google.com/file/d/1FhygsYt_k8oZBI5Z4VL4x57R38LQOgo0/view?usp=drivesdk")</f>
        <v>https://drive.google.com/file/d/1FhygsYt_k8oZBI5Z4VL4x57R38LQOgo0/view?usp=drivesdk</v>
      </c>
    </row>
    <row r="5735">
      <c r="A5735" s="15">
        <f>IFERROR(__xludf.DUMMYFUNCTION("""COMPUTED_VALUE"""),45167.0)</f>
        <v>45167</v>
      </c>
      <c r="B5735" s="16" t="str">
        <f>IFERROR(__xludf.DUMMYFUNCTION("""COMPUTED_VALUE"""),"Jhon Anderson Ceballos Hernandez")</f>
        <v>Jhon Anderson Ceballos Hernandez</v>
      </c>
      <c r="C5735" s="15" t="str">
        <f>IFERROR(__xludf.DUMMYFUNCTION("""COMPUTED_VALUE"""),"MANIZALES")</f>
        <v>MANIZALES</v>
      </c>
      <c r="D5735" s="15" t="str">
        <f>IFERROR(__xludf.DUMMYFUNCTION("""COMPUTED_VALUE"""),"BOGOTÁ")</f>
        <v>BOGOTÁ</v>
      </c>
      <c r="E5735" s="15" t="str">
        <f>IFERROR(__xludf.DUMMYFUNCTION("""COMPUTED_VALUE"""),"Evamazzita")</f>
        <v>Evamazzita</v>
      </c>
      <c r="F5735" s="17" t="str">
        <f>IFERROR(__xludf.DUMMYFUNCTION("""COMPUTED_VALUE"""),"Carrera 17#64A-106 / Apto 601B / Edificio urapanes  / N/A")</f>
        <v>Carrera 17#64A-106 / Apto 601B / Edificio urapanes  / N/A</v>
      </c>
      <c r="G5735" s="15" t="str">
        <f>IFERROR(__xludf.DUMMYFUNCTION("""COMPUTED_VALUE"""),"JENNY NATALIA GUEVARA")</f>
        <v>JENNY NATALIA GUEVARA</v>
      </c>
      <c r="H5735" s="16">
        <f>IFERROR(__xludf.DUMMYFUNCTION("""COMPUTED_VALUE"""),14440.0)</f>
        <v>14440</v>
      </c>
      <c r="I5735" s="18">
        <f>IFERROR(__xludf.DUMMYFUNCTION("""COMPUTED_VALUE"""),1.0)</f>
        <v>1</v>
      </c>
      <c r="J5735" s="18">
        <f>IFERROR(__xludf.DUMMYFUNCTION("""COMPUTED_VALUE"""),1.0)</f>
        <v>1</v>
      </c>
      <c r="K5735" s="18">
        <f>IFERROR(__xludf.DUMMYFUNCTION("""COMPUTED_VALUE"""),1.0)</f>
        <v>1</v>
      </c>
      <c r="L5735" s="17">
        <f>IFERROR(__xludf.DUMMYFUNCTION("""COMPUTED_VALUE"""),3.108367347E9)</f>
        <v>3108367347</v>
      </c>
      <c r="M5735" s="17" t="str">
        <f>IFERROR(__xludf.DUMMYFUNCTION("""COMPUTED_VALUE"""),"#REF!")</f>
        <v>#REF!</v>
      </c>
      <c r="N5735" s="17"/>
      <c r="O5735" s="17"/>
      <c r="P5735" s="17" t="b">
        <f>IFERROR(__xludf.DUMMYFUNCTION("""COMPUTED_VALUE"""),FALSE)</f>
        <v>0</v>
      </c>
      <c r="Q5735" s="20" t="str">
        <f>IFERROR(__xludf.DUMMYFUNCTION("""COMPUTED_VALUE"""),"")</f>
        <v/>
      </c>
      <c r="R5735" s="21" t="str">
        <f>IFERROR(__xludf.DUMMYFUNCTION("""COMPUTED_VALUE"""),"https://drive.google.com/file/d/1CGPXNv5CqkE6ODOpQ4o7kjwGEH4_vEDA/view?usp=drivesdk")</f>
        <v>https://drive.google.com/file/d/1CGPXNv5CqkE6ODOpQ4o7kjwGEH4_vEDA/view?usp=drivesdk</v>
      </c>
    </row>
    <row r="5736">
      <c r="A5736" s="15">
        <f>IFERROR(__xludf.DUMMYFUNCTION("""COMPUTED_VALUE"""),45167.0)</f>
        <v>45167</v>
      </c>
      <c r="B5736" s="16" t="str">
        <f>IFERROR(__xludf.DUMMYFUNCTION("""COMPUTED_VALUE"""),"Jhon Anderson Ceballos Hernandez")</f>
        <v>Jhon Anderson Ceballos Hernandez</v>
      </c>
      <c r="C5736" s="15" t="str">
        <f>IFERROR(__xludf.DUMMYFUNCTION("""COMPUTED_VALUE"""),"MANIZALES")</f>
        <v>MANIZALES</v>
      </c>
      <c r="D5736" s="15" t="str">
        <f>IFERROR(__xludf.DUMMYFUNCTION("""COMPUTED_VALUE"""),"BOGOTÁ")</f>
        <v>BOGOTÁ</v>
      </c>
      <c r="E5736" s="15" t="str">
        <f>IFERROR(__xludf.DUMMYFUNCTION("""COMPUTED_VALUE"""),"Evamazzita")</f>
        <v>Evamazzita</v>
      </c>
      <c r="F5736" s="17" t="str">
        <f>IFERROR(__xludf.DUMMYFUNCTION("""COMPUTED_VALUE"""),"Carrera 28D#70-46 / N/A / Palermo")</f>
        <v>Carrera 28D#70-46 / N/A / Palermo</v>
      </c>
      <c r="G5736" s="15" t="str">
        <f>IFERROR(__xludf.DUMMYFUNCTION("""COMPUTED_VALUE"""),"PAULA XIMENA BOLAÑOS")</f>
        <v>PAULA XIMENA BOLAÑOS</v>
      </c>
      <c r="H5736" s="16">
        <f>IFERROR(__xludf.DUMMYFUNCTION("""COMPUTED_VALUE"""),14442.0)</f>
        <v>14442</v>
      </c>
      <c r="I5736" s="18">
        <f>IFERROR(__xludf.DUMMYFUNCTION("""COMPUTED_VALUE"""),1.0)</f>
        <v>1</v>
      </c>
      <c r="J5736" s="18">
        <f>IFERROR(__xludf.DUMMYFUNCTION("""COMPUTED_VALUE"""),1.0)</f>
        <v>1</v>
      </c>
      <c r="K5736" s="18">
        <f>IFERROR(__xludf.DUMMYFUNCTION("""COMPUTED_VALUE"""),1.0)</f>
        <v>1</v>
      </c>
      <c r="L5736" s="17">
        <f>IFERROR(__xludf.DUMMYFUNCTION("""COMPUTED_VALUE"""),3.10398467E9)</f>
        <v>3103984670</v>
      </c>
      <c r="M5736" s="17" t="str">
        <f>IFERROR(__xludf.DUMMYFUNCTION("""COMPUTED_VALUE"""),"#REF!")</f>
        <v>#REF!</v>
      </c>
      <c r="N5736" s="17"/>
      <c r="O5736" s="17"/>
      <c r="P5736" s="17" t="b">
        <f>IFERROR(__xludf.DUMMYFUNCTION("""COMPUTED_VALUE"""),FALSE)</f>
        <v>0</v>
      </c>
      <c r="Q5736" s="20" t="str">
        <f>IFERROR(__xludf.DUMMYFUNCTION("""COMPUTED_VALUE"""),"")</f>
        <v/>
      </c>
      <c r="R5736" s="21" t="str">
        <f>IFERROR(__xludf.DUMMYFUNCTION("""COMPUTED_VALUE"""),"https://drive.google.com/file/d/1-Y8GvQ0Sy7vXwSy3NY3MdQnDhCUB6OVr/view?usp=drivesdk")</f>
        <v>https://drive.google.com/file/d/1-Y8GvQ0Sy7vXwSy3NY3MdQnDhCUB6OVr/view?usp=drivesdk</v>
      </c>
    </row>
    <row r="5737">
      <c r="A5737" s="15">
        <f>IFERROR(__xludf.DUMMYFUNCTION("""COMPUTED_VALUE"""),45167.0)</f>
        <v>45167</v>
      </c>
      <c r="B5737" s="16" t="str">
        <f>IFERROR(__xludf.DUMMYFUNCTION("""COMPUTED_VALUE"""),"Jhon Anderson Ceballos Hernandez")</f>
        <v>Jhon Anderson Ceballos Hernandez</v>
      </c>
      <c r="C5737" s="15" t="str">
        <f>IFERROR(__xludf.DUMMYFUNCTION("""COMPUTED_VALUE"""),"MEDELLÍN")</f>
        <v>MEDELLÍN</v>
      </c>
      <c r="D5737" s="15" t="str">
        <f>IFERROR(__xludf.DUMMYFUNCTION("""COMPUTED_VALUE"""),"BOGOTÁ")</f>
        <v>BOGOTÁ</v>
      </c>
      <c r="E5737" s="15" t="str">
        <f>IFERROR(__xludf.DUMMYFUNCTION("""COMPUTED_VALUE"""),"Viiva Fermentados")</f>
        <v>Viiva Fermentados</v>
      </c>
      <c r="F5737" s="17" t="str">
        <f>IFERROR(__xludf.DUMMYFUNCTION("""COMPUTED_VALUE"""),"CR 42 # 08 -39 / LC PISO 1  / Poblado")</f>
        <v>CR 42 # 08 -39 / LC PISO 1  / Poblado</v>
      </c>
      <c r="G5737" s="15" t="str">
        <f>IFERROR(__xludf.DUMMYFUNCTION("""COMPUTED_VALUE"""),"Julia Correa Ochoa La Real Vegetal")</f>
        <v>Julia Correa Ochoa La Real Vegetal</v>
      </c>
      <c r="H5737" s="16">
        <f>IFERROR(__xludf.DUMMYFUNCTION("""COMPUTED_VALUE"""),14422.0)</f>
        <v>14422</v>
      </c>
      <c r="I5737" s="18">
        <f>IFERROR(__xludf.DUMMYFUNCTION("""COMPUTED_VALUE"""),28.0)</f>
        <v>28</v>
      </c>
      <c r="J5737" s="18">
        <f>IFERROR(__xludf.DUMMYFUNCTION("""COMPUTED_VALUE"""),35.0)</f>
        <v>35</v>
      </c>
      <c r="K5737" s="18">
        <f>IFERROR(__xludf.DUMMYFUNCTION("""COMPUTED_VALUE"""),26.0)</f>
        <v>26</v>
      </c>
      <c r="L5737" s="17">
        <f>IFERROR(__xludf.DUMMYFUNCTION("""COMPUTED_VALUE"""),3.116345472E9)</f>
        <v>3116345472</v>
      </c>
      <c r="M5737" s="17" t="str">
        <f>IFERROR(__xludf.DUMMYFUNCTION("""COMPUTED_VALUE"""),"#REF!")</f>
        <v>#REF!</v>
      </c>
      <c r="N5737" s="17"/>
      <c r="O5737" s="17"/>
      <c r="P5737" s="17" t="b">
        <f>IFERROR(__xludf.DUMMYFUNCTION("""COMPUTED_VALUE"""),FALSE)</f>
        <v>0</v>
      </c>
      <c r="Q5737" s="20" t="str">
        <f>IFERROR(__xludf.DUMMYFUNCTION("""COMPUTED_VALUE"""),"")</f>
        <v/>
      </c>
      <c r="R5737" s="22" t="str">
        <f>IFERROR(__xludf.DUMMYFUNCTION("""COMPUTED_VALUE"""),"")</f>
        <v/>
      </c>
    </row>
    <row r="5738">
      <c r="A5738" s="15">
        <f>IFERROR(__xludf.DUMMYFUNCTION("""COMPUTED_VALUE"""),45167.0)</f>
        <v>45167</v>
      </c>
      <c r="B5738" s="16" t="str">
        <f>IFERROR(__xludf.DUMMYFUNCTION("""COMPUTED_VALUE"""),"Jhon Anderson Ceballos Hernandez")</f>
        <v>Jhon Anderson Ceballos Hernandez</v>
      </c>
      <c r="C5738" s="15" t="str">
        <f>IFERROR(__xludf.DUMMYFUNCTION("""COMPUTED_VALUE"""),"TUNJA")</f>
        <v>TUNJA</v>
      </c>
      <c r="D5738" s="15" t="str">
        <f>IFERROR(__xludf.DUMMYFUNCTION("""COMPUTED_VALUE"""),"BOGOTÁ")</f>
        <v>BOGOTÁ</v>
      </c>
      <c r="E5738" s="15" t="str">
        <f>IFERROR(__xludf.DUMMYFUNCTION("""COMPUTED_VALUE"""),"Evamazzita")</f>
        <v>Evamazzita</v>
      </c>
      <c r="F5738" s="17" t="str">
        <f>IFERROR(__xludf.DUMMYFUNCTION("""COMPUTED_VALUE"""),"Diagonal 66A#4-20 / N/A / Barrio Los Muisca")</f>
        <v>Diagonal 66A#4-20 / N/A / Barrio Los Muisca</v>
      </c>
      <c r="G5738" s="15" t="str">
        <f>IFERROR(__xludf.DUMMYFUNCTION("""COMPUTED_VALUE"""),"MERY YOLIMA URIBE RIOS")</f>
        <v>MERY YOLIMA URIBE RIOS</v>
      </c>
      <c r="H5738" s="16">
        <f>IFERROR(__xludf.DUMMYFUNCTION("""COMPUTED_VALUE"""),14449.0)</f>
        <v>14449</v>
      </c>
      <c r="I5738" s="18">
        <f>IFERROR(__xludf.DUMMYFUNCTION("""COMPUTED_VALUE"""),7.0)</f>
        <v>7</v>
      </c>
      <c r="J5738" s="18">
        <f>IFERROR(__xludf.DUMMYFUNCTION("""COMPUTED_VALUE"""),23.0)</f>
        <v>23</v>
      </c>
      <c r="K5738" s="18">
        <f>IFERROR(__xludf.DUMMYFUNCTION("""COMPUTED_VALUE"""),21.0)</f>
        <v>21</v>
      </c>
      <c r="L5738" s="17">
        <f>IFERROR(__xludf.DUMMYFUNCTION("""COMPUTED_VALUE"""),3.102399974E9)</f>
        <v>3102399974</v>
      </c>
      <c r="M5738" s="17" t="str">
        <f>IFERROR(__xludf.DUMMYFUNCTION("""COMPUTED_VALUE"""),"#REF!")</f>
        <v>#REF!</v>
      </c>
      <c r="N5738" s="17"/>
      <c r="O5738" s="17"/>
      <c r="P5738" s="17" t="b">
        <f>IFERROR(__xludf.DUMMYFUNCTION("""COMPUTED_VALUE"""),FALSE)</f>
        <v>0</v>
      </c>
      <c r="Q5738" s="20" t="str">
        <f>IFERROR(__xludf.DUMMYFUNCTION("""COMPUTED_VALUE"""),"")</f>
        <v/>
      </c>
      <c r="R5738" s="22" t="str">
        <f>IFERROR(__xludf.DUMMYFUNCTION("""COMPUTED_VALUE"""),"")</f>
        <v/>
      </c>
    </row>
    <row r="5739">
      <c r="A5739" s="17" t="str">
        <f>IFERROR(__xludf.DUMMYFUNCTION("""COMPUTED_VALUE"""),"")</f>
        <v/>
      </c>
      <c r="B5739" s="17" t="str">
        <f>IFERROR(__xludf.DUMMYFUNCTION("""COMPUTED_VALUE"""),"")</f>
        <v/>
      </c>
      <c r="C5739" s="17" t="str">
        <f>IFERROR(__xludf.DUMMYFUNCTION("""COMPUTED_VALUE"""),"")</f>
        <v/>
      </c>
      <c r="D5739" s="17" t="str">
        <f>IFERROR(__xludf.DUMMYFUNCTION("""COMPUTED_VALUE"""),"")</f>
        <v/>
      </c>
      <c r="E5739" s="17" t="str">
        <f>IFERROR(__xludf.DUMMYFUNCTION("""COMPUTED_VALUE"""),"")</f>
        <v/>
      </c>
      <c r="F5739" s="17" t="str">
        <f>IFERROR(__xludf.DUMMYFUNCTION("""COMPUTED_VALUE"""),"")</f>
        <v/>
      </c>
      <c r="G5739" s="17" t="str">
        <f>IFERROR(__xludf.DUMMYFUNCTION("""COMPUTED_VALUE"""),"")</f>
        <v/>
      </c>
      <c r="H5739" s="17" t="str">
        <f>IFERROR(__xludf.DUMMYFUNCTION("""COMPUTED_VALUE"""),"")</f>
        <v/>
      </c>
      <c r="I5739" s="17" t="str">
        <f>IFERROR(__xludf.DUMMYFUNCTION("""COMPUTED_VALUE"""),"")</f>
        <v/>
      </c>
      <c r="J5739" s="17" t="str">
        <f>IFERROR(__xludf.DUMMYFUNCTION("""COMPUTED_VALUE"""),"")</f>
        <v/>
      </c>
      <c r="K5739" s="17" t="str">
        <f>IFERROR(__xludf.DUMMYFUNCTION("""COMPUTED_VALUE"""),"")</f>
        <v/>
      </c>
      <c r="L5739" s="17" t="str">
        <f>IFERROR(__xludf.DUMMYFUNCTION("""COMPUTED_VALUE"""),"")</f>
        <v/>
      </c>
      <c r="M5739" s="17" t="str">
        <f>IFERROR(__xludf.DUMMYFUNCTION("""COMPUTED_VALUE"""),"")</f>
        <v/>
      </c>
      <c r="N5739" s="17" t="str">
        <f>IFERROR(__xludf.DUMMYFUNCTION("""COMPUTED_VALUE"""),"")</f>
        <v/>
      </c>
      <c r="O5739" s="17" t="str">
        <f>IFERROR(__xludf.DUMMYFUNCTION("""COMPUTED_VALUE"""),"")</f>
        <v/>
      </c>
      <c r="P5739" s="17" t="str">
        <f>IFERROR(__xludf.DUMMYFUNCTION("""COMPUTED_VALUE"""),"")</f>
        <v/>
      </c>
      <c r="Q5739" s="17" t="str">
        <f>IFERROR(__xludf.DUMMYFUNCTION("""COMPUTED_VALUE"""),"")</f>
        <v/>
      </c>
      <c r="R5739" s="17" t="str">
        <f>IFERROR(__xludf.DUMMYFUNCTION("""COMPUTED_VALUE"""),"")</f>
        <v/>
      </c>
    </row>
    <row r="5740">
      <c r="A5740" s="15">
        <f>IFERROR(__xludf.DUMMYFUNCTION("""COMPUTED_VALUE"""),45167.0)</f>
        <v>45167</v>
      </c>
      <c r="B5740" s="16" t="str">
        <f>IFERROR(__xludf.DUMMYFUNCTION("""COMPUTED_VALUE"""),"Johan Alexander Escobar Arroyo ")</f>
        <v>Johan Alexander Escobar Arroyo </v>
      </c>
      <c r="C5740" s="15" t="str">
        <f>IFERROR(__xludf.DUMMYFUNCTION("""COMPUTED_VALUE"""),"CALI")</f>
        <v>CALI</v>
      </c>
      <c r="D5740" s="15" t="str">
        <f>IFERROR(__xludf.DUMMYFUNCTION("""COMPUTED_VALUE"""),"BOGOTÁ")</f>
        <v>BOGOTÁ</v>
      </c>
      <c r="E5740" s="15" t="str">
        <f>IFERROR(__xludf.DUMMYFUNCTION("""COMPUTED_VALUE"""),"Asociacion Agropecuaria Juana Maria")</f>
        <v>Asociacion Agropecuaria Juana Maria</v>
      </c>
      <c r="F5740" s="17" t="str">
        <f>IFERROR(__xludf.DUMMYFUNCTION("""COMPUTED_VALUE"""),"Carrera 17B # 33E-33 La Floresta vieja")</f>
        <v>Carrera 17B # 33E-33 La Floresta vieja</v>
      </c>
      <c r="G5740" s="15" t="str">
        <f>IFERROR(__xludf.DUMMYFUNCTION("""COMPUTED_VALUE"""),"Johanna acuña  Molina")</f>
        <v>Johanna acuña  Molina</v>
      </c>
      <c r="H5740" s="16">
        <f>IFERROR(__xludf.DUMMYFUNCTION("""COMPUTED_VALUE"""),14413.0)</f>
        <v>14413</v>
      </c>
      <c r="I5740" s="18">
        <f>IFERROR(__xludf.DUMMYFUNCTION("""COMPUTED_VALUE"""),12.0)</f>
        <v>12</v>
      </c>
      <c r="J5740" s="18">
        <f>IFERROR(__xludf.DUMMYFUNCTION("""COMPUTED_VALUE"""),37.0)</f>
        <v>37</v>
      </c>
      <c r="K5740" s="18">
        <f>IFERROR(__xludf.DUMMYFUNCTION("""COMPUTED_VALUE"""),20.0)</f>
        <v>20</v>
      </c>
      <c r="L5740" s="17">
        <f>IFERROR(__xludf.DUMMYFUNCTION("""COMPUTED_VALUE"""),3.218700343E9)</f>
        <v>3218700343</v>
      </c>
      <c r="M5740" s="17" t="str">
        <f>IFERROR(__xludf.DUMMYFUNCTION("""COMPUTED_VALUE"""),"#REF!")</f>
        <v>#REF!</v>
      </c>
      <c r="N5740" s="17"/>
      <c r="O5740" s="17"/>
      <c r="P5740" s="17" t="b">
        <f>IFERROR(__xludf.DUMMYFUNCTION("""COMPUTED_VALUE"""),FALSE)</f>
        <v>0</v>
      </c>
      <c r="Q5740" s="20" t="str">
        <f>IFERROR(__xludf.DUMMYFUNCTION("""COMPUTED_VALUE"""),"")</f>
        <v/>
      </c>
      <c r="R5740" s="21" t="str">
        <f>IFERROR(__xludf.DUMMYFUNCTION("""COMPUTED_VALUE"""),"https://drive.google.com/file/d/1J-gQMTp0dZ6_Mg8AL_Ks9rRGb84R-vHM/view?usp=drivesdk")</f>
        <v>https://drive.google.com/file/d/1J-gQMTp0dZ6_Mg8AL_Ks9rRGb84R-vHM/view?usp=drivesdk</v>
      </c>
    </row>
    <row r="5741">
      <c r="A5741" s="15">
        <f>IFERROR(__xludf.DUMMYFUNCTION("""COMPUTED_VALUE"""),45167.0)</f>
        <v>45167</v>
      </c>
      <c r="B5741" s="16" t="str">
        <f>IFERROR(__xludf.DUMMYFUNCTION("""COMPUTED_VALUE"""),"Johan Alexander Escobar Arroyo ")</f>
        <v>Johan Alexander Escobar Arroyo </v>
      </c>
      <c r="C5741" s="15" t="str">
        <f>IFERROR(__xludf.DUMMYFUNCTION("""COMPUTED_VALUE"""),"CALI")</f>
        <v>CALI</v>
      </c>
      <c r="D5741" s="15" t="str">
        <f>IFERROR(__xludf.DUMMYFUNCTION("""COMPUTED_VALUE"""),"BOGOTÁ")</f>
        <v>BOGOTÁ</v>
      </c>
      <c r="E5741" s="15" t="str">
        <f>IFERROR(__xludf.DUMMYFUNCTION("""COMPUTED_VALUE"""),"Evamazzita")</f>
        <v>Evamazzita</v>
      </c>
      <c r="F5741" s="17" t="str">
        <f>IFERROR(__xludf.DUMMYFUNCTION("""COMPUTED_VALUE"""),"AV 9 NORTE # 56 NORTE - 140  / BARRIO MENGA APTO 907 UNIDAD ATIKO 66 / BARRIO MENGA APTO 907 UNIDAD ATIKO 66")</f>
        <v>AV 9 NORTE # 56 NORTE - 140  / BARRIO MENGA APTO 907 UNIDAD ATIKO 66 / BARRIO MENGA APTO 907 UNIDAD ATIKO 66</v>
      </c>
      <c r="G5741" s="15" t="str">
        <f>IFERROR(__xludf.DUMMYFUNCTION("""COMPUTED_VALUE"""),"VANESSA ERAZO ROJAS")</f>
        <v>VANESSA ERAZO ROJAS</v>
      </c>
      <c r="H5741" s="16">
        <f>IFERROR(__xludf.DUMMYFUNCTION("""COMPUTED_VALUE"""),14466.0)</f>
        <v>14466</v>
      </c>
      <c r="I5741" s="18">
        <f>IFERROR(__xludf.DUMMYFUNCTION("""COMPUTED_VALUE"""),1.0)</f>
        <v>1</v>
      </c>
      <c r="J5741" s="18">
        <f>IFERROR(__xludf.DUMMYFUNCTION("""COMPUTED_VALUE"""),1.0)</f>
        <v>1</v>
      </c>
      <c r="K5741" s="18">
        <f>IFERROR(__xludf.DUMMYFUNCTION("""COMPUTED_VALUE"""),1.0)</f>
        <v>1</v>
      </c>
      <c r="L5741" s="17">
        <f>IFERROR(__xludf.DUMMYFUNCTION("""COMPUTED_VALUE"""),3.11671249E9)</f>
        <v>3116712490</v>
      </c>
      <c r="M5741" s="17" t="str">
        <f>IFERROR(__xludf.DUMMYFUNCTION("""COMPUTED_VALUE"""),"#REF!")</f>
        <v>#REF!</v>
      </c>
      <c r="N5741" s="17"/>
      <c r="O5741" s="17"/>
      <c r="P5741" s="17" t="b">
        <f>IFERROR(__xludf.DUMMYFUNCTION("""COMPUTED_VALUE"""),TRUE)</f>
        <v>1</v>
      </c>
      <c r="Q5741" s="20">
        <f>IFERROR(__xludf.DUMMYFUNCTION("""COMPUTED_VALUE"""),45167.61624773148)</f>
        <v>45167.61625</v>
      </c>
      <c r="R5741" s="21" t="str">
        <f>IFERROR(__xludf.DUMMYFUNCTION("""COMPUTED_VALUE"""),"https://drive.google.com/file/d/11s0p_BN45Nwk2dXBmdmfAeAp6eH_AFZA/view?usp=drivesdk")</f>
        <v>https://drive.google.com/file/d/11s0p_BN45Nwk2dXBmdmfAeAp6eH_AFZA/view?usp=drivesdk</v>
      </c>
    </row>
    <row r="5742">
      <c r="A5742" s="15">
        <f>IFERROR(__xludf.DUMMYFUNCTION("""COMPUTED_VALUE"""),45167.0)</f>
        <v>45167</v>
      </c>
      <c r="B5742" s="16" t="str">
        <f>IFERROR(__xludf.DUMMYFUNCTION("""COMPUTED_VALUE"""),"Johan Alexander Escobar Arroyo ")</f>
        <v>Johan Alexander Escobar Arroyo </v>
      </c>
      <c r="C5742" s="15" t="str">
        <f>IFERROR(__xludf.DUMMYFUNCTION("""COMPUTED_VALUE"""),"CALI")</f>
        <v>CALI</v>
      </c>
      <c r="D5742" s="15" t="str">
        <f>IFERROR(__xludf.DUMMYFUNCTION("""COMPUTED_VALUE"""),"BOGOTÁ")</f>
        <v>BOGOTÁ</v>
      </c>
      <c r="E5742" s="15" t="str">
        <f>IFERROR(__xludf.DUMMYFUNCTION("""COMPUTED_VALUE"""),"Evamazzita")</f>
        <v>Evamazzita</v>
      </c>
      <c r="F5742" s="17" t="str">
        <f>IFERROR(__xludf.DUMMYFUNCTION("""COMPUTED_VALUE"""),"CALLE 50 # 94 32   /  UNIDAD RESIDENCIAL TAIRONA 104A VALLE DE LILI /  UNIDAD RESIDENCIAL TAIRONA 104A VALLE DE LILI")</f>
        <v>CALLE 50 # 94 32   /  UNIDAD RESIDENCIAL TAIRONA 104A VALLE DE LILI /  UNIDAD RESIDENCIAL TAIRONA 104A VALLE DE LILI</v>
      </c>
      <c r="G5742" s="15" t="str">
        <f>IFERROR(__xludf.DUMMYFUNCTION("""COMPUTED_VALUE"""),"DANIELA GOMEZ")</f>
        <v>DANIELA GOMEZ</v>
      </c>
      <c r="H5742" s="16">
        <f>IFERROR(__xludf.DUMMYFUNCTION("""COMPUTED_VALUE"""),14457.0)</f>
        <v>14457</v>
      </c>
      <c r="I5742" s="18">
        <f>IFERROR(__xludf.DUMMYFUNCTION("""COMPUTED_VALUE"""),1.0)</f>
        <v>1</v>
      </c>
      <c r="J5742" s="18">
        <f>IFERROR(__xludf.DUMMYFUNCTION("""COMPUTED_VALUE"""),1.0)</f>
        <v>1</v>
      </c>
      <c r="K5742" s="18">
        <f>IFERROR(__xludf.DUMMYFUNCTION("""COMPUTED_VALUE"""),1.0)</f>
        <v>1</v>
      </c>
      <c r="L5742" s="17">
        <f>IFERROR(__xludf.DUMMYFUNCTION("""COMPUTED_VALUE"""),3.146880862E9)</f>
        <v>3146880862</v>
      </c>
      <c r="M5742" s="17" t="str">
        <f>IFERROR(__xludf.DUMMYFUNCTION("""COMPUTED_VALUE"""),"#REF!")</f>
        <v>#REF!</v>
      </c>
      <c r="N5742" s="17"/>
      <c r="O5742" s="17"/>
      <c r="P5742" s="17" t="b">
        <f>IFERROR(__xludf.DUMMYFUNCTION("""COMPUTED_VALUE"""),TRUE)</f>
        <v>1</v>
      </c>
      <c r="Q5742" s="20">
        <f>IFERROR(__xludf.DUMMYFUNCTION("""COMPUTED_VALUE"""),45167.61630175926)</f>
        <v>45167.6163</v>
      </c>
      <c r="R5742" s="21" t="str">
        <f>IFERROR(__xludf.DUMMYFUNCTION("""COMPUTED_VALUE"""),"https://drive.google.com/file/d/1sEtyWHPyTjlZke65LOzoMFcdSpVLIPWt/view?usp=drivesdk")</f>
        <v>https://drive.google.com/file/d/1sEtyWHPyTjlZke65LOzoMFcdSpVLIPWt/view?usp=drivesdk</v>
      </c>
    </row>
    <row r="5743">
      <c r="A5743" s="15">
        <f>IFERROR(__xludf.DUMMYFUNCTION("""COMPUTED_VALUE"""),45167.0)</f>
        <v>45167</v>
      </c>
      <c r="B5743" s="16" t="str">
        <f>IFERROR(__xludf.DUMMYFUNCTION("""COMPUTED_VALUE"""),"Johan Alexander Escobar Arroyo ")</f>
        <v>Johan Alexander Escobar Arroyo </v>
      </c>
      <c r="C5743" s="15" t="str">
        <f>IFERROR(__xludf.DUMMYFUNCTION("""COMPUTED_VALUE"""),"CALI")</f>
        <v>CALI</v>
      </c>
      <c r="D5743" s="15" t="str">
        <f>IFERROR(__xludf.DUMMYFUNCTION("""COMPUTED_VALUE"""),"BOGOTÁ")</f>
        <v>BOGOTÁ</v>
      </c>
      <c r="E5743" s="15" t="str">
        <f>IFERROR(__xludf.DUMMYFUNCTION("""COMPUTED_VALUE"""),"Evamazzita")</f>
        <v>Evamazzita</v>
      </c>
      <c r="F5743" s="17" t="str">
        <f>IFERROR(__xludf.DUMMYFUNCTION("""COMPUTED_VALUE"""),"CALLE 60B No. 4D BIS - 41  / CALLE 60B No. 4D BIS - 41  / CALLE 60B No. 4D BIS - 41")</f>
        <v>CALLE 60B No. 4D BIS - 41  / CALLE 60B No. 4D BIS - 41  / CALLE 60B No. 4D BIS - 41</v>
      </c>
      <c r="G5743" s="15" t="str">
        <f>IFERROR(__xludf.DUMMYFUNCTION("""COMPUTED_VALUE"""),"GLORIA PERLAZA")</f>
        <v>GLORIA PERLAZA</v>
      </c>
      <c r="H5743" s="16">
        <f>IFERROR(__xludf.DUMMYFUNCTION("""COMPUTED_VALUE"""),14461.0)</f>
        <v>14461</v>
      </c>
      <c r="I5743" s="18">
        <f>IFERROR(__xludf.DUMMYFUNCTION("""COMPUTED_VALUE"""),1.0)</f>
        <v>1</v>
      </c>
      <c r="J5743" s="18">
        <f>IFERROR(__xludf.DUMMYFUNCTION("""COMPUTED_VALUE"""),1.0)</f>
        <v>1</v>
      </c>
      <c r="K5743" s="18">
        <f>IFERROR(__xludf.DUMMYFUNCTION("""COMPUTED_VALUE"""),1.0)</f>
        <v>1</v>
      </c>
      <c r="L5743" s="17">
        <f>IFERROR(__xludf.DUMMYFUNCTION("""COMPUTED_VALUE"""),3.045777494E9)</f>
        <v>3045777494</v>
      </c>
      <c r="M5743" s="17" t="str">
        <f>IFERROR(__xludf.DUMMYFUNCTION("""COMPUTED_VALUE"""),"#REF!")</f>
        <v>#REF!</v>
      </c>
      <c r="N5743" s="17"/>
      <c r="O5743" s="17"/>
      <c r="P5743" s="17" t="b">
        <f>IFERROR(__xludf.DUMMYFUNCTION("""COMPUTED_VALUE"""),FALSE)</f>
        <v>0</v>
      </c>
      <c r="Q5743" s="20" t="str">
        <f>IFERROR(__xludf.DUMMYFUNCTION("""COMPUTED_VALUE"""),"")</f>
        <v/>
      </c>
      <c r="R5743" s="21" t="str">
        <f>IFERROR(__xludf.DUMMYFUNCTION("""COMPUTED_VALUE"""),"https://drive.google.com/file/d/1qW55qFJSn0arO6FJnx4HH1XG-OXazEjg/view?usp=drivesdk")</f>
        <v>https://drive.google.com/file/d/1qW55qFJSn0arO6FJnx4HH1XG-OXazEjg/view?usp=drivesdk</v>
      </c>
    </row>
    <row r="5744">
      <c r="A5744" s="15">
        <f>IFERROR(__xludf.DUMMYFUNCTION("""COMPUTED_VALUE"""),45167.0)</f>
        <v>45167</v>
      </c>
      <c r="B5744" s="16" t="str">
        <f>IFERROR(__xludf.DUMMYFUNCTION("""COMPUTED_VALUE"""),"Johan Alexander Escobar Arroyo ")</f>
        <v>Johan Alexander Escobar Arroyo </v>
      </c>
      <c r="C5744" s="15" t="str">
        <f>IFERROR(__xludf.DUMMYFUNCTION("""COMPUTED_VALUE"""),"CALI")</f>
        <v>CALI</v>
      </c>
      <c r="D5744" s="15" t="str">
        <f>IFERROR(__xludf.DUMMYFUNCTION("""COMPUTED_VALUE"""),"BOGOTÁ")</f>
        <v>BOGOTÁ</v>
      </c>
      <c r="E5744" s="15" t="str">
        <f>IFERROR(__xludf.DUMMYFUNCTION("""COMPUTED_VALUE"""),"Evamazzita")</f>
        <v>Evamazzita</v>
      </c>
      <c r="F5744" s="17" t="str">
        <f>IFERROR(__xludf.DUMMYFUNCTION("""COMPUTED_VALUE"""),"Calle 9c #40a 57  / Apto 201 Barrio Los Cambulos / Apto 201 Barrio Los Cambulos")</f>
        <v>Calle 9c #40a 57  / Apto 201 Barrio Los Cambulos / Apto 201 Barrio Los Cambulos</v>
      </c>
      <c r="G5744" s="15" t="str">
        <f>IFERROR(__xludf.DUMMYFUNCTION("""COMPUTED_VALUE"""),"GABRIELA URBANO")</f>
        <v>GABRIELA URBANO</v>
      </c>
      <c r="H5744" s="16">
        <f>IFERROR(__xludf.DUMMYFUNCTION("""COMPUTED_VALUE"""),14458.0)</f>
        <v>14458</v>
      </c>
      <c r="I5744" s="18">
        <f>IFERROR(__xludf.DUMMYFUNCTION("""COMPUTED_VALUE"""),1.0)</f>
        <v>1</v>
      </c>
      <c r="J5744" s="18">
        <f>IFERROR(__xludf.DUMMYFUNCTION("""COMPUTED_VALUE"""),1.0)</f>
        <v>1</v>
      </c>
      <c r="K5744" s="18">
        <f>IFERROR(__xludf.DUMMYFUNCTION("""COMPUTED_VALUE"""),1.0)</f>
        <v>1</v>
      </c>
      <c r="L5744" s="17">
        <f>IFERROR(__xludf.DUMMYFUNCTION("""COMPUTED_VALUE"""),3.165364257E9)</f>
        <v>3165364257</v>
      </c>
      <c r="M5744" s="17" t="str">
        <f>IFERROR(__xludf.DUMMYFUNCTION("""COMPUTED_VALUE"""),"#REF!")</f>
        <v>#REF!</v>
      </c>
      <c r="N5744" s="17"/>
      <c r="O5744" s="17"/>
      <c r="P5744" s="17" t="b">
        <f>IFERROR(__xludf.DUMMYFUNCTION("""COMPUTED_VALUE"""),FALSE)</f>
        <v>0</v>
      </c>
      <c r="Q5744" s="20" t="str">
        <f>IFERROR(__xludf.DUMMYFUNCTION("""COMPUTED_VALUE"""),"")</f>
        <v/>
      </c>
      <c r="R5744" s="21" t="str">
        <f>IFERROR(__xludf.DUMMYFUNCTION("""COMPUTED_VALUE"""),"https://drive.google.com/file/d/1FsmkR5NSYHtfWb7pBfQTHGWoBfg__Kfe/view?usp=drivesdk")</f>
        <v>https://drive.google.com/file/d/1FsmkR5NSYHtfWb7pBfQTHGWoBfg__Kfe/view?usp=drivesdk</v>
      </c>
    </row>
    <row r="5745">
      <c r="A5745" s="15">
        <f>IFERROR(__xludf.DUMMYFUNCTION("""COMPUTED_VALUE"""),45167.0)</f>
        <v>45167</v>
      </c>
      <c r="B5745" s="16" t="str">
        <f>IFERROR(__xludf.DUMMYFUNCTION("""COMPUTED_VALUE"""),"Johan Alexander Escobar Arroyo ")</f>
        <v>Johan Alexander Escobar Arroyo </v>
      </c>
      <c r="C5745" s="15" t="str">
        <f>IFERROR(__xludf.DUMMYFUNCTION("""COMPUTED_VALUE"""),"CALI")</f>
        <v>CALI</v>
      </c>
      <c r="D5745" s="15" t="str">
        <f>IFERROR(__xludf.DUMMYFUNCTION("""COMPUTED_VALUE"""),"BOGOTÁ")</f>
        <v>BOGOTÁ</v>
      </c>
      <c r="E5745" s="15" t="str">
        <f>IFERROR(__xludf.DUMMYFUNCTION("""COMPUTED_VALUE"""),"Evamazzita")</f>
        <v>Evamazzita</v>
      </c>
      <c r="F5745" s="17" t="str">
        <f>IFERROR(__xludf.DUMMYFUNCTION("""COMPUTED_VALUE"""),"Cr 12#64-41 Nueva base, piso 3 / Nueva base, piso 3 / Nueva base, piso 3")</f>
        <v>Cr 12#64-41 Nueva base, piso 3 / Nueva base, piso 3 / Nueva base, piso 3</v>
      </c>
      <c r="G5745" s="15" t="str">
        <f>IFERROR(__xludf.DUMMYFUNCTION("""COMPUTED_VALUE"""),"YULIETH AYALA MURILLO")</f>
        <v>YULIETH AYALA MURILLO</v>
      </c>
      <c r="H5745" s="16">
        <f>IFERROR(__xludf.DUMMYFUNCTION("""COMPUTED_VALUE"""),14468.0)</f>
        <v>14468</v>
      </c>
      <c r="I5745" s="18">
        <f>IFERROR(__xludf.DUMMYFUNCTION("""COMPUTED_VALUE"""),1.0)</f>
        <v>1</v>
      </c>
      <c r="J5745" s="18">
        <f>IFERROR(__xludf.DUMMYFUNCTION("""COMPUTED_VALUE"""),1.0)</f>
        <v>1</v>
      </c>
      <c r="K5745" s="18">
        <f>IFERROR(__xludf.DUMMYFUNCTION("""COMPUTED_VALUE"""),1.0)</f>
        <v>1</v>
      </c>
      <c r="L5745" s="17">
        <f>IFERROR(__xludf.DUMMYFUNCTION("""COMPUTED_VALUE"""),3.183919715E9)</f>
        <v>3183919715</v>
      </c>
      <c r="M5745" s="17" t="str">
        <f>IFERROR(__xludf.DUMMYFUNCTION("""COMPUTED_VALUE"""),"#REF!")</f>
        <v>#REF!</v>
      </c>
      <c r="N5745" s="17"/>
      <c r="O5745" s="17"/>
      <c r="P5745" s="17" t="b">
        <f>IFERROR(__xludf.DUMMYFUNCTION("""COMPUTED_VALUE"""),FALSE)</f>
        <v>0</v>
      </c>
      <c r="Q5745" s="20" t="str">
        <f>IFERROR(__xludf.DUMMYFUNCTION("""COMPUTED_VALUE"""),"")</f>
        <v/>
      </c>
      <c r="R5745" s="21" t="str">
        <f>IFERROR(__xludf.DUMMYFUNCTION("""COMPUTED_VALUE"""),"https://drive.google.com/file/d/1zzljtGr0kYhuqfv-e_zqpbUf3Cato47H/view?usp=drivesdk")</f>
        <v>https://drive.google.com/file/d/1zzljtGr0kYhuqfv-e_zqpbUf3Cato47H/view?usp=drivesdk</v>
      </c>
    </row>
    <row r="5746">
      <c r="A5746" s="15">
        <f>IFERROR(__xludf.DUMMYFUNCTION("""COMPUTED_VALUE"""),45167.0)</f>
        <v>45167</v>
      </c>
      <c r="B5746" s="16" t="str">
        <f>IFERROR(__xludf.DUMMYFUNCTION("""COMPUTED_VALUE"""),"Johan Alexander Escobar Arroyo ")</f>
        <v>Johan Alexander Escobar Arroyo </v>
      </c>
      <c r="C5746" s="15" t="str">
        <f>IFERROR(__xludf.DUMMYFUNCTION("""COMPUTED_VALUE"""),"CALI")</f>
        <v>CALI</v>
      </c>
      <c r="D5746" s="15" t="str">
        <f>IFERROR(__xludf.DUMMYFUNCTION("""COMPUTED_VALUE"""),"BOGOTÁ")</f>
        <v>BOGOTÁ</v>
      </c>
      <c r="E5746" s="15" t="str">
        <f>IFERROR(__xludf.DUMMYFUNCTION("""COMPUTED_VALUE"""),"Evamazzita")</f>
        <v>Evamazzita</v>
      </c>
      <c r="F5746" s="17" t="str">
        <f>IFERROR(__xludf.DUMMYFUNCTION("""COMPUTED_VALUE"""),"Cra 121 # 18-81  / Apto : 101 Torre : D / Condominio Lago Club")</f>
        <v>Cra 121 # 18-81  / Apto : 101 Torre : D / Condominio Lago Club</v>
      </c>
      <c r="G5746" s="15" t="str">
        <f>IFERROR(__xludf.DUMMYFUNCTION("""COMPUTED_VALUE"""),"ADRIANA RAMOS")</f>
        <v>ADRIANA RAMOS</v>
      </c>
      <c r="H5746" s="16">
        <f>IFERROR(__xludf.DUMMYFUNCTION("""COMPUTED_VALUE"""),14456.0)</f>
        <v>14456</v>
      </c>
      <c r="I5746" s="18">
        <f>IFERROR(__xludf.DUMMYFUNCTION("""COMPUTED_VALUE"""),1.0)</f>
        <v>1</v>
      </c>
      <c r="J5746" s="18">
        <f>IFERROR(__xludf.DUMMYFUNCTION("""COMPUTED_VALUE"""),1.0)</f>
        <v>1</v>
      </c>
      <c r="K5746" s="18">
        <f>IFERROR(__xludf.DUMMYFUNCTION("""COMPUTED_VALUE"""),1.0)</f>
        <v>1</v>
      </c>
      <c r="L5746" s="17">
        <f>IFERROR(__xludf.DUMMYFUNCTION("""COMPUTED_VALUE"""),3.178641801E9)</f>
        <v>3178641801</v>
      </c>
      <c r="M5746" s="17" t="str">
        <f>IFERROR(__xludf.DUMMYFUNCTION("""COMPUTED_VALUE"""),"#REF!")</f>
        <v>#REF!</v>
      </c>
      <c r="N5746" s="17"/>
      <c r="O5746" s="17"/>
      <c r="P5746" s="17" t="b">
        <f>IFERROR(__xludf.DUMMYFUNCTION("""COMPUTED_VALUE"""),FALSE)</f>
        <v>0</v>
      </c>
      <c r="Q5746" s="20" t="str">
        <f>IFERROR(__xludf.DUMMYFUNCTION("""COMPUTED_VALUE"""),"")</f>
        <v/>
      </c>
      <c r="R5746" s="21" t="str">
        <f>IFERROR(__xludf.DUMMYFUNCTION("""COMPUTED_VALUE"""),"https://drive.google.com/file/d/1vDmEn59tb4hs37wkgXTPVEeqOo03K0QV/view?usp=drivesdk")</f>
        <v>https://drive.google.com/file/d/1vDmEn59tb4hs37wkgXTPVEeqOo03K0QV/view?usp=drivesdk</v>
      </c>
    </row>
    <row r="5747">
      <c r="A5747" s="15">
        <f>IFERROR(__xludf.DUMMYFUNCTION("""COMPUTED_VALUE"""),45167.0)</f>
        <v>45167</v>
      </c>
      <c r="B5747" s="16" t="str">
        <f>IFERROR(__xludf.DUMMYFUNCTION("""COMPUTED_VALUE"""),"Johan Alexander Escobar Arroyo ")</f>
        <v>Johan Alexander Escobar Arroyo </v>
      </c>
      <c r="C5747" s="15" t="str">
        <f>IFERROR(__xludf.DUMMYFUNCTION("""COMPUTED_VALUE"""),"CALI")</f>
        <v>CALI</v>
      </c>
      <c r="D5747" s="15" t="str">
        <f>IFERROR(__xludf.DUMMYFUNCTION("""COMPUTED_VALUE"""),"BOGOTÁ")</f>
        <v>BOGOTÁ</v>
      </c>
      <c r="E5747" s="15" t="str">
        <f>IFERROR(__xludf.DUMMYFUNCTION("""COMPUTED_VALUE"""),"Evamazzita")</f>
        <v>Evamazzita</v>
      </c>
      <c r="F5747" s="17" t="str">
        <f>IFERROR(__xludf.DUMMYFUNCTION("""COMPUTED_VALUE"""),"CRA 12A No. 45 - 57  / BARRIO EL TRONCAL / BARRIO EL TRONCAL")</f>
        <v>CRA 12A No. 45 - 57  / BARRIO EL TRONCAL / BARRIO EL TRONCAL</v>
      </c>
      <c r="G5747" s="15" t="str">
        <f>IFERROR(__xludf.DUMMYFUNCTION("""COMPUTED_VALUE"""),"PAOLA BADOS")</f>
        <v>PAOLA BADOS</v>
      </c>
      <c r="H5747" s="16">
        <f>IFERROR(__xludf.DUMMYFUNCTION("""COMPUTED_VALUE"""),14464.0)</f>
        <v>14464</v>
      </c>
      <c r="I5747" s="18">
        <f>IFERROR(__xludf.DUMMYFUNCTION("""COMPUTED_VALUE"""),1.0)</f>
        <v>1</v>
      </c>
      <c r="J5747" s="18">
        <f>IFERROR(__xludf.DUMMYFUNCTION("""COMPUTED_VALUE"""),1.0)</f>
        <v>1</v>
      </c>
      <c r="K5747" s="18">
        <f>IFERROR(__xludf.DUMMYFUNCTION("""COMPUTED_VALUE"""),1.0)</f>
        <v>1</v>
      </c>
      <c r="L5747" s="17">
        <f>IFERROR(__xludf.DUMMYFUNCTION("""COMPUTED_VALUE"""),3.004745794E9)</f>
        <v>3004745794</v>
      </c>
      <c r="M5747" s="17" t="str">
        <f>IFERROR(__xludf.DUMMYFUNCTION("""COMPUTED_VALUE"""),"#REF!")</f>
        <v>#REF!</v>
      </c>
      <c r="N5747" s="17"/>
      <c r="O5747" s="17"/>
      <c r="P5747" s="17" t="b">
        <f>IFERROR(__xludf.DUMMYFUNCTION("""COMPUTED_VALUE"""),FALSE)</f>
        <v>0</v>
      </c>
      <c r="Q5747" s="20" t="str">
        <f>IFERROR(__xludf.DUMMYFUNCTION("""COMPUTED_VALUE"""),"")</f>
        <v/>
      </c>
      <c r="R5747" s="21" t="str">
        <f>IFERROR(__xludf.DUMMYFUNCTION("""COMPUTED_VALUE"""),"https://drive.google.com/file/d/1pb9j47D0efYyYAYCR7bEyi_MwUs1DPJc/view?usp=drivesdk")</f>
        <v>https://drive.google.com/file/d/1pb9j47D0efYyYAYCR7bEyi_MwUs1DPJc/view?usp=drivesdk</v>
      </c>
    </row>
    <row r="5748">
      <c r="A5748" s="15">
        <f>IFERROR(__xludf.DUMMYFUNCTION("""COMPUTED_VALUE"""),45167.0)</f>
        <v>45167</v>
      </c>
      <c r="B5748" s="16" t="str">
        <f>IFERROR(__xludf.DUMMYFUNCTION("""COMPUTED_VALUE"""),"Johan Alexander Escobar Arroyo ")</f>
        <v>Johan Alexander Escobar Arroyo </v>
      </c>
      <c r="C5748" s="15" t="str">
        <f>IFERROR(__xludf.DUMMYFUNCTION("""COMPUTED_VALUE"""),"CALI")</f>
        <v>CALI</v>
      </c>
      <c r="D5748" s="15" t="str">
        <f>IFERROR(__xludf.DUMMYFUNCTION("""COMPUTED_VALUE"""),"BOGOTÁ")</f>
        <v>BOGOTÁ</v>
      </c>
      <c r="E5748" s="15" t="str">
        <f>IFERROR(__xludf.DUMMYFUNCTION("""COMPUTED_VALUE"""),"Evamazzita")</f>
        <v>Evamazzita</v>
      </c>
      <c r="F5748" s="17" t="str">
        <f>IFERROR(__xludf.DUMMYFUNCTION("""COMPUTED_VALUE"""),"Cra 2c #71-28 /  Barrio Jorge Eliecer Gaitán  /  Barrio Jorge Eliecer Gaitán """)</f>
        <v>Cra 2c #71-28 /  Barrio Jorge Eliecer Gaitán  /  Barrio Jorge Eliecer Gaitán "</v>
      </c>
      <c r="G5748" s="15" t="str">
        <f>IFERROR(__xludf.DUMMYFUNCTION("""COMPUTED_VALUE"""),"JULIANA PAREDES CASTRO")</f>
        <v>JULIANA PAREDES CASTRO</v>
      </c>
      <c r="H5748" s="16">
        <f>IFERROR(__xludf.DUMMYFUNCTION("""COMPUTED_VALUE"""),14463.0)</f>
        <v>14463</v>
      </c>
      <c r="I5748" s="18">
        <f>IFERROR(__xludf.DUMMYFUNCTION("""COMPUTED_VALUE"""),1.0)</f>
        <v>1</v>
      </c>
      <c r="J5748" s="18">
        <f>IFERROR(__xludf.DUMMYFUNCTION("""COMPUTED_VALUE"""),1.0)</f>
        <v>1</v>
      </c>
      <c r="K5748" s="18">
        <f>IFERROR(__xludf.DUMMYFUNCTION("""COMPUTED_VALUE"""),1.0)</f>
        <v>1</v>
      </c>
      <c r="L5748" s="17">
        <f>IFERROR(__xludf.DUMMYFUNCTION("""COMPUTED_VALUE"""),3.128880133E9)</f>
        <v>3128880133</v>
      </c>
      <c r="M5748" s="17" t="str">
        <f>IFERROR(__xludf.DUMMYFUNCTION("""COMPUTED_VALUE"""),"#REF!")</f>
        <v>#REF!</v>
      </c>
      <c r="N5748" s="17"/>
      <c r="O5748" s="17"/>
      <c r="P5748" s="17" t="b">
        <f>IFERROR(__xludf.DUMMYFUNCTION("""COMPUTED_VALUE"""),FALSE)</f>
        <v>0</v>
      </c>
      <c r="Q5748" s="20" t="str">
        <f>IFERROR(__xludf.DUMMYFUNCTION("""COMPUTED_VALUE"""),"")</f>
        <v/>
      </c>
      <c r="R5748" s="21" t="str">
        <f>IFERROR(__xludf.DUMMYFUNCTION("""COMPUTED_VALUE"""),"https://drive.google.com/file/d/13lkuxiJpy4dO85203Wtp1YbVSTPNXtRp/view?usp=drivesdk")</f>
        <v>https://drive.google.com/file/d/13lkuxiJpy4dO85203Wtp1YbVSTPNXtRp/view?usp=drivesdk</v>
      </c>
    </row>
    <row r="5749">
      <c r="A5749" s="15">
        <f>IFERROR(__xludf.DUMMYFUNCTION("""COMPUTED_VALUE"""),45167.0)</f>
        <v>45167</v>
      </c>
      <c r="B5749" s="16" t="str">
        <f>IFERROR(__xludf.DUMMYFUNCTION("""COMPUTED_VALUE"""),"Johan Alexander Escobar Arroyo ")</f>
        <v>Johan Alexander Escobar Arroyo </v>
      </c>
      <c r="C5749" s="15" t="str">
        <f>IFERROR(__xludf.DUMMYFUNCTION("""COMPUTED_VALUE"""),"CALI")</f>
        <v>CALI</v>
      </c>
      <c r="D5749" s="15" t="str">
        <f>IFERROR(__xludf.DUMMYFUNCTION("""COMPUTED_VALUE"""),"BOGOTÁ")</f>
        <v>BOGOTÁ</v>
      </c>
      <c r="E5749" s="15" t="str">
        <f>IFERROR(__xludf.DUMMYFUNCTION("""COMPUTED_VALUE"""),"Evamazzita")</f>
        <v>Evamazzita</v>
      </c>
      <c r="F5749" s="17" t="str">
        <f>IFERROR(__xludf.DUMMYFUNCTION("""COMPUTED_VALUE"""),"CRA 39 No. 15 - 23 /  CASA / BARRIO CRISTOBAL COLON /  CASA / BARRIO CRISTOBAL COLON")</f>
        <v>CRA 39 No. 15 - 23 /  CASA / BARRIO CRISTOBAL COLON /  CASA / BARRIO CRISTOBAL COLON</v>
      </c>
      <c r="G5749" s="15" t="str">
        <f>IFERROR(__xludf.DUMMYFUNCTION("""COMPUTED_VALUE"""),"JOVANNA BEDOYA HERRERA")</f>
        <v>JOVANNA BEDOYA HERRERA</v>
      </c>
      <c r="H5749" s="16">
        <f>IFERROR(__xludf.DUMMYFUNCTION("""COMPUTED_VALUE"""),14462.0)</f>
        <v>14462</v>
      </c>
      <c r="I5749" s="18">
        <f>IFERROR(__xludf.DUMMYFUNCTION("""COMPUTED_VALUE"""),1.0)</f>
        <v>1</v>
      </c>
      <c r="J5749" s="18">
        <f>IFERROR(__xludf.DUMMYFUNCTION("""COMPUTED_VALUE"""),1.0)</f>
        <v>1</v>
      </c>
      <c r="K5749" s="18">
        <f>IFERROR(__xludf.DUMMYFUNCTION("""COMPUTED_VALUE"""),1.0)</f>
        <v>1</v>
      </c>
      <c r="L5749" s="17">
        <f>IFERROR(__xludf.DUMMYFUNCTION("""COMPUTED_VALUE"""),3.163619374E9)</f>
        <v>3163619374</v>
      </c>
      <c r="M5749" s="17" t="str">
        <f>IFERROR(__xludf.DUMMYFUNCTION("""COMPUTED_VALUE"""),"#REF!")</f>
        <v>#REF!</v>
      </c>
      <c r="N5749" s="17"/>
      <c r="O5749" s="17"/>
      <c r="P5749" s="17" t="b">
        <f>IFERROR(__xludf.DUMMYFUNCTION("""COMPUTED_VALUE"""),FALSE)</f>
        <v>0</v>
      </c>
      <c r="Q5749" s="20" t="str">
        <f>IFERROR(__xludf.DUMMYFUNCTION("""COMPUTED_VALUE"""),"")</f>
        <v/>
      </c>
      <c r="R5749" s="21" t="str">
        <f>IFERROR(__xludf.DUMMYFUNCTION("""COMPUTED_VALUE"""),"https://drive.google.com/file/d/1kKoygeoR7QjCOAZc8MKBC9EHy-xbJ7Ky/view?usp=drivesdk")</f>
        <v>https://drive.google.com/file/d/1kKoygeoR7QjCOAZc8MKBC9EHy-xbJ7Ky/view?usp=drivesdk</v>
      </c>
    </row>
    <row r="5750">
      <c r="A5750" s="15">
        <f>IFERROR(__xludf.DUMMYFUNCTION("""COMPUTED_VALUE"""),45167.0)</f>
        <v>45167</v>
      </c>
      <c r="B5750" s="16" t="str">
        <f>IFERROR(__xludf.DUMMYFUNCTION("""COMPUTED_VALUE"""),"Johan Alexander Escobar Arroyo ")</f>
        <v>Johan Alexander Escobar Arroyo </v>
      </c>
      <c r="C5750" s="15" t="str">
        <f>IFERROR(__xludf.DUMMYFUNCTION("""COMPUTED_VALUE"""),"CALI")</f>
        <v>CALI</v>
      </c>
      <c r="D5750" s="15" t="str">
        <f>IFERROR(__xludf.DUMMYFUNCTION("""COMPUTED_VALUE"""),"BOGOTÁ")</f>
        <v>BOGOTÁ</v>
      </c>
      <c r="E5750" s="15" t="str">
        <f>IFERROR(__xludf.DUMMYFUNCTION("""COMPUTED_VALUE"""),"Evamazzita")</f>
        <v>Evamazzita</v>
      </c>
      <c r="F5750" s="17" t="str">
        <f>IFERROR(__xludf.DUMMYFUNCTION("""COMPUTED_VALUE"""),"cra 89# 18-61 casa 81  / villas de san joaquin 1 / villas de san joaquin 1")</f>
        <v>cra 89# 18-61 casa 81  / villas de san joaquin 1 / villas de san joaquin 1</v>
      </c>
      <c r="G5750" s="15" t="str">
        <f>IFERROR(__xludf.DUMMYFUNCTION("""COMPUTED_VALUE"""),"TATIANA GONZALEZ")</f>
        <v>TATIANA GONZALEZ</v>
      </c>
      <c r="H5750" s="16">
        <f>IFERROR(__xludf.DUMMYFUNCTION("""COMPUTED_VALUE"""),14465.0)</f>
        <v>14465</v>
      </c>
      <c r="I5750" s="18">
        <f>IFERROR(__xludf.DUMMYFUNCTION("""COMPUTED_VALUE"""),1.0)</f>
        <v>1</v>
      </c>
      <c r="J5750" s="18">
        <f>IFERROR(__xludf.DUMMYFUNCTION("""COMPUTED_VALUE"""),1.0)</f>
        <v>1</v>
      </c>
      <c r="K5750" s="18">
        <f>IFERROR(__xludf.DUMMYFUNCTION("""COMPUTED_VALUE"""),1.0)</f>
        <v>1</v>
      </c>
      <c r="L5750" s="17">
        <f>IFERROR(__xludf.DUMMYFUNCTION("""COMPUTED_VALUE"""),3.104643005E9)</f>
        <v>3104643005</v>
      </c>
      <c r="M5750" s="17" t="str">
        <f>IFERROR(__xludf.DUMMYFUNCTION("""COMPUTED_VALUE"""),"#REF!")</f>
        <v>#REF!</v>
      </c>
      <c r="N5750" s="17"/>
      <c r="O5750" s="17"/>
      <c r="P5750" s="17" t="b">
        <f>IFERROR(__xludf.DUMMYFUNCTION("""COMPUTED_VALUE"""),FALSE)</f>
        <v>0</v>
      </c>
      <c r="Q5750" s="20" t="str">
        <f>IFERROR(__xludf.DUMMYFUNCTION("""COMPUTED_VALUE"""),"")</f>
        <v/>
      </c>
      <c r="R5750" s="21" t="str">
        <f>IFERROR(__xludf.DUMMYFUNCTION("""COMPUTED_VALUE"""),"https://drive.google.com/file/d/1B2RLUnV1atj0DqCPQXXNMToa_q2PM7iF/view?usp=drivesdk")</f>
        <v>https://drive.google.com/file/d/1B2RLUnV1atj0DqCPQXXNMToa_q2PM7iF/view?usp=drivesdk</v>
      </c>
    </row>
    <row r="5751">
      <c r="A5751" s="15">
        <f>IFERROR(__xludf.DUMMYFUNCTION("""COMPUTED_VALUE"""),45167.0)</f>
        <v>45167</v>
      </c>
      <c r="B5751" s="16" t="str">
        <f>IFERROR(__xludf.DUMMYFUNCTION("""COMPUTED_VALUE"""),"Johan Alexander Escobar Arroyo ")</f>
        <v>Johan Alexander Escobar Arroyo </v>
      </c>
      <c r="C5751" s="15" t="str">
        <f>IFERROR(__xludf.DUMMYFUNCTION("""COMPUTED_VALUE"""),"CALI")</f>
        <v>CALI</v>
      </c>
      <c r="D5751" s="15" t="str">
        <f>IFERROR(__xludf.DUMMYFUNCTION("""COMPUTED_VALUE"""),"BOGOTÁ")</f>
        <v>BOGOTÁ</v>
      </c>
      <c r="E5751" s="15" t="str">
        <f>IFERROR(__xludf.DUMMYFUNCTION("""COMPUTED_VALUE"""),"Ins. Alimento Vital")</f>
        <v>Ins. Alimento Vital</v>
      </c>
      <c r="F5751" s="17" t="str">
        <f>IFERROR(__xludf.DUMMYFUNCTION("""COMPUTED_VALUE"""),"CL 34N 2BN 33 / BODEGA / SAN VICENTE")</f>
        <v>CL 34N 2BN 33 / BODEGA / SAN VICENTE</v>
      </c>
      <c r="G5751" s="15" t="str">
        <f>IFERROR(__xludf.DUMMYFUNCTION("""COMPUTED_VALUE"""),"VELOCITY CALI")</f>
        <v>VELOCITY CALI</v>
      </c>
      <c r="H5751" s="16">
        <f>IFERROR(__xludf.DUMMYFUNCTION("""COMPUTED_VALUE"""),14477.0)</f>
        <v>14477</v>
      </c>
      <c r="I5751" s="18">
        <f>IFERROR(__xludf.DUMMYFUNCTION("""COMPUTED_VALUE"""),1.0)</f>
        <v>1</v>
      </c>
      <c r="J5751" s="18">
        <f>IFERROR(__xludf.DUMMYFUNCTION("""COMPUTED_VALUE"""),1.0)</f>
        <v>1</v>
      </c>
      <c r="K5751" s="18">
        <f>IFERROR(__xludf.DUMMYFUNCTION("""COMPUTED_VALUE"""),1.0)</f>
        <v>1</v>
      </c>
      <c r="L5751" s="17">
        <f>IFERROR(__xludf.DUMMYFUNCTION("""COMPUTED_VALUE"""),3.117591055E9)</f>
        <v>3117591055</v>
      </c>
      <c r="M5751" s="17" t="str">
        <f>IFERROR(__xludf.DUMMYFUNCTION("""COMPUTED_VALUE"""),"#REF!")</f>
        <v>#REF!</v>
      </c>
      <c r="N5751" s="17"/>
      <c r="O5751" s="17"/>
      <c r="P5751" s="17" t="b">
        <f>IFERROR(__xludf.DUMMYFUNCTION("""COMPUTED_VALUE"""),FALSE)</f>
        <v>0</v>
      </c>
      <c r="Q5751" s="20" t="str">
        <f>IFERROR(__xludf.DUMMYFUNCTION("""COMPUTED_VALUE"""),"")</f>
        <v/>
      </c>
      <c r="R5751" s="22" t="str">
        <f>IFERROR(__xludf.DUMMYFUNCTION("""COMPUTED_VALUE"""),"")</f>
        <v/>
      </c>
    </row>
    <row r="5752">
      <c r="A5752" s="15">
        <f>IFERROR(__xludf.DUMMYFUNCTION("""COMPUTED_VALUE"""),45167.0)</f>
        <v>45167</v>
      </c>
      <c r="B5752" s="16" t="str">
        <f>IFERROR(__xludf.DUMMYFUNCTION("""COMPUTED_VALUE"""),"Johan Alexander Escobar Arroyo ")</f>
        <v>Johan Alexander Escobar Arroyo </v>
      </c>
      <c r="C5752" s="15" t="str">
        <f>IFERROR(__xludf.DUMMYFUNCTION("""COMPUTED_VALUE"""),"CALI")</f>
        <v>CALI</v>
      </c>
      <c r="D5752" s="15" t="str">
        <f>IFERROR(__xludf.DUMMYFUNCTION("""COMPUTED_VALUE"""),"BOGOTÁ")</f>
        <v>BOGOTÁ</v>
      </c>
      <c r="E5752" s="15" t="str">
        <f>IFERROR(__xludf.DUMMYFUNCTION("""COMPUTED_VALUE"""),"Karem foods")</f>
        <v>Karem foods</v>
      </c>
      <c r="F5752" s="17" t="str">
        <f>IFERROR(__xludf.DUMMYFUNCTION("""COMPUTED_VALUE"""),"Calle 2 #116-650  / casa 26 / -")</f>
        <v>Calle 2 #116-650  / casa 26 / -</v>
      </c>
      <c r="G5752" s="15" t="str">
        <f>IFERROR(__xludf.DUMMYFUNCTION("""COMPUTED_VALUE"""),"Angela M Botero")</f>
        <v>Angela M Botero</v>
      </c>
      <c r="H5752" s="16">
        <f>IFERROR(__xludf.DUMMYFUNCTION("""COMPUTED_VALUE"""),14489.0)</f>
        <v>14489</v>
      </c>
      <c r="I5752" s="18">
        <f>IFERROR(__xludf.DUMMYFUNCTION("""COMPUTED_VALUE"""),15.0)</f>
        <v>15</v>
      </c>
      <c r="J5752" s="18">
        <f>IFERROR(__xludf.DUMMYFUNCTION("""COMPUTED_VALUE"""),20.0)</f>
        <v>20</v>
      </c>
      <c r="K5752" s="18">
        <f>IFERROR(__xludf.DUMMYFUNCTION("""COMPUTED_VALUE"""),20.0)</f>
        <v>20</v>
      </c>
      <c r="L5752" s="17">
        <f>IFERROR(__xludf.DUMMYFUNCTION("""COMPUTED_VALUE"""),3.146312742E9)</f>
        <v>3146312742</v>
      </c>
      <c r="M5752" s="17" t="str">
        <f>IFERROR(__xludf.DUMMYFUNCTION("""COMPUTED_VALUE"""),"#REF!")</f>
        <v>#REF!</v>
      </c>
      <c r="N5752" s="17"/>
      <c r="O5752" s="17"/>
      <c r="P5752" s="17" t="b">
        <f>IFERROR(__xludf.DUMMYFUNCTION("""COMPUTED_VALUE"""),FALSE)</f>
        <v>0</v>
      </c>
      <c r="Q5752" s="20" t="str">
        <f>IFERROR(__xludf.DUMMYFUNCTION("""COMPUTED_VALUE"""),"")</f>
        <v/>
      </c>
      <c r="R5752" s="21" t="str">
        <f>IFERROR(__xludf.DUMMYFUNCTION("""COMPUTED_VALUE"""),"https://drive.google.com/file/d/1W-uks5wTUWSd5kFBScYz9c9v7e7i2xRM/view?usp=drivesdk")</f>
        <v>https://drive.google.com/file/d/1W-uks5wTUWSd5kFBScYz9c9v7e7i2xRM/view?usp=drivesdk</v>
      </c>
    </row>
    <row r="5753">
      <c r="A5753" s="15">
        <f>IFERROR(__xludf.DUMMYFUNCTION("""COMPUTED_VALUE"""),45167.0)</f>
        <v>45167</v>
      </c>
      <c r="B5753" s="16" t="str">
        <f>IFERROR(__xludf.DUMMYFUNCTION("""COMPUTED_VALUE"""),"Johan Alexander Escobar Arroyo ")</f>
        <v>Johan Alexander Escobar Arroyo </v>
      </c>
      <c r="C5753" s="15" t="str">
        <f>IFERROR(__xludf.DUMMYFUNCTION("""COMPUTED_VALUE"""),"CALI")</f>
        <v>CALI</v>
      </c>
      <c r="D5753" s="15" t="str">
        <f>IFERROR(__xludf.DUMMYFUNCTION("""COMPUTED_VALUE"""),"BOGOTÁ")</f>
        <v>BOGOTÁ</v>
      </c>
      <c r="E5753" s="15" t="str">
        <f>IFERROR(__xludf.DUMMYFUNCTION("""COMPUTED_VALUE"""),"MAI ALIMENTOS S.A.S")</f>
        <v>MAI ALIMENTOS S.A.S</v>
      </c>
      <c r="F5753" s="17"/>
      <c r="G5753" s="15" t="str">
        <f>IFERROR(__xludf.DUMMYFUNCTION("""COMPUTED_VALUE"""),"Novaventas")</f>
        <v>Novaventas</v>
      </c>
      <c r="H5753" s="16">
        <f>IFERROR(__xludf.DUMMYFUNCTION("""COMPUTED_VALUE"""),14504.0)</f>
        <v>14504</v>
      </c>
      <c r="I5753" s="18">
        <f>IFERROR(__xludf.DUMMYFUNCTION("""COMPUTED_VALUE"""),35.0)</f>
        <v>35</v>
      </c>
      <c r="J5753" s="18">
        <f>IFERROR(__xludf.DUMMYFUNCTION("""COMPUTED_VALUE"""),17.0)</f>
        <v>17</v>
      </c>
      <c r="K5753" s="18">
        <f>IFERROR(__xludf.DUMMYFUNCTION("""COMPUTED_VALUE"""),13.0)</f>
        <v>13</v>
      </c>
      <c r="L5753" s="17"/>
      <c r="M5753" s="17" t="str">
        <f>IFERROR(__xludf.DUMMYFUNCTION("""COMPUTED_VALUE"""),"#REF!")</f>
        <v>#REF!</v>
      </c>
      <c r="N5753" s="17"/>
      <c r="O5753" s="17"/>
      <c r="P5753" s="17" t="b">
        <f>IFERROR(__xludf.DUMMYFUNCTION("""COMPUTED_VALUE"""),TRUE)</f>
        <v>1</v>
      </c>
      <c r="Q5753" s="20">
        <f>IFERROR(__xludf.DUMMYFUNCTION("""COMPUTED_VALUE"""),45167.74633489583)</f>
        <v>45167.74633</v>
      </c>
      <c r="R5753" s="21" t="str">
        <f>IFERROR(__xludf.DUMMYFUNCTION("""COMPUTED_VALUE"""),"https://drive.google.com/file/d/1gvy3vuF7I8o-KC4SpZx-XgC2zCjMrlRr/view?usp=drivesdk")</f>
        <v>https://drive.google.com/file/d/1gvy3vuF7I8o-KC4SpZx-XgC2zCjMrlRr/view?usp=drivesdk</v>
      </c>
    </row>
    <row r="5754">
      <c r="A5754" s="15">
        <f>IFERROR(__xludf.DUMMYFUNCTION("""COMPUTED_VALUE"""),45167.0)</f>
        <v>45167</v>
      </c>
      <c r="B5754" s="16" t="str">
        <f>IFERROR(__xludf.DUMMYFUNCTION("""COMPUTED_VALUE"""),"Johan Alexander Escobar Arroyo ")</f>
        <v>Johan Alexander Escobar Arroyo </v>
      </c>
      <c r="C5754" s="15" t="str">
        <f>IFERROR(__xludf.DUMMYFUNCTION("""COMPUTED_VALUE"""),"IBAGUÉ")</f>
        <v>IBAGUÉ</v>
      </c>
      <c r="D5754" s="15" t="str">
        <f>IFERROR(__xludf.DUMMYFUNCTION("""COMPUTED_VALUE"""),"MEDELLÍN")</f>
        <v>MEDELLÍN</v>
      </c>
      <c r="E5754" s="15" t="str">
        <f>IFERROR(__xludf.DUMMYFUNCTION("""COMPUTED_VALUE"""),"Baby Chef")</f>
        <v>Baby Chef</v>
      </c>
      <c r="F5754" s="17" t="str">
        <f>IFERROR(__xludf.DUMMYFUNCTION("""COMPUTED_VALUE"""),"Calle 93 #20-40 Sur Torre1 Apto 1102 Mirador De Los Andes / ibague  / ibague")</f>
        <v>Calle 93 #20-40 Sur Torre1 Apto 1102 Mirador De Los Andes / ibague  / ibague</v>
      </c>
      <c r="G5754" s="15" t="str">
        <f>IFERROR(__xludf.DUMMYFUNCTION("""COMPUTED_VALUE"""),"Monica Suarez")</f>
        <v>Monica Suarez</v>
      </c>
      <c r="H5754" s="16">
        <f>IFERROR(__xludf.DUMMYFUNCTION("""COMPUTED_VALUE"""),14486.0)</f>
        <v>14486</v>
      </c>
      <c r="I5754" s="18">
        <f>IFERROR(__xludf.DUMMYFUNCTION("""COMPUTED_VALUE"""),4.0)</f>
        <v>4</v>
      </c>
      <c r="J5754" s="18">
        <f>IFERROR(__xludf.DUMMYFUNCTION("""COMPUTED_VALUE"""),31.0)</f>
        <v>31</v>
      </c>
      <c r="K5754" s="18">
        <f>IFERROR(__xludf.DUMMYFUNCTION("""COMPUTED_VALUE"""),15.0)</f>
        <v>15</v>
      </c>
      <c r="L5754" s="17">
        <f>IFERROR(__xludf.DUMMYFUNCTION("""COMPUTED_VALUE"""),3.154282865E9)</f>
        <v>3154282865</v>
      </c>
      <c r="M5754" s="17" t="str">
        <f>IFERROR(__xludf.DUMMYFUNCTION("""COMPUTED_VALUE"""),"#REF!")</f>
        <v>#REF!</v>
      </c>
      <c r="N5754" s="17"/>
      <c r="O5754" s="17"/>
      <c r="P5754" s="17" t="b">
        <f>IFERROR(__xludf.DUMMYFUNCTION("""COMPUTED_VALUE"""),FALSE)</f>
        <v>0</v>
      </c>
      <c r="Q5754" s="20" t="str">
        <f>IFERROR(__xludf.DUMMYFUNCTION("""COMPUTED_VALUE"""),"")</f>
        <v/>
      </c>
      <c r="R5754" s="22" t="str">
        <f>IFERROR(__xludf.DUMMYFUNCTION("""COMPUTED_VALUE"""),"")</f>
        <v/>
      </c>
    </row>
    <row r="5755">
      <c r="A5755" s="15">
        <f>IFERROR(__xludf.DUMMYFUNCTION("""COMPUTED_VALUE"""),45167.0)</f>
        <v>45167</v>
      </c>
      <c r="B5755" s="16" t="str">
        <f>IFERROR(__xludf.DUMMYFUNCTION("""COMPUTED_VALUE"""),"Johan Alexander Escobar Arroyo ")</f>
        <v>Johan Alexander Escobar Arroyo </v>
      </c>
      <c r="C5755" s="15" t="str">
        <f>IFERROR(__xludf.DUMMYFUNCTION("""COMPUTED_VALUE"""),"IBAGUÉ")</f>
        <v>IBAGUÉ</v>
      </c>
      <c r="D5755" s="15" t="str">
        <f>IFERROR(__xludf.DUMMYFUNCTION("""COMPUTED_VALUE"""),"MEDELLÍN")</f>
        <v>MEDELLÍN</v>
      </c>
      <c r="E5755" s="15" t="str">
        <f>IFERROR(__xludf.DUMMYFUNCTION("""COMPUTED_VALUE"""),"Helados swip")</f>
        <v>Helados swip</v>
      </c>
      <c r="F5755" s="17" t="str">
        <f>IFERROR(__xludf.DUMMYFUNCTION("""COMPUTED_VALUE"""),"CARRERA 14 # 75 A - 29 / LOCAL 5 / ESTANCIA DEL VERGEL")</f>
        <v>CARRERA 14 # 75 A - 29 / LOCAL 5 / ESTANCIA DEL VERGEL</v>
      </c>
      <c r="G5755" s="15" t="str">
        <f>IFERROR(__xludf.DUMMYFUNCTION("""COMPUTED_VALUE"""),"SOY NATURAL-  DANIELA ARBELAEZ")</f>
        <v>SOY NATURAL-  DANIELA ARBELAEZ</v>
      </c>
      <c r="H5755" s="16">
        <f>IFERROR(__xludf.DUMMYFUNCTION("""COMPUTED_VALUE"""),14433.0)</f>
        <v>14433</v>
      </c>
      <c r="I5755" s="18">
        <f>IFERROR(__xludf.DUMMYFUNCTION("""COMPUTED_VALUE"""),50.0)</f>
        <v>50</v>
      </c>
      <c r="J5755" s="18">
        <f>IFERROR(__xludf.DUMMYFUNCTION("""COMPUTED_VALUE"""),30.0)</f>
        <v>30</v>
      </c>
      <c r="K5755" s="18">
        <f>IFERROR(__xludf.DUMMYFUNCTION("""COMPUTED_VALUE"""),21.0)</f>
        <v>21</v>
      </c>
      <c r="L5755" s="17">
        <f>IFERROR(__xludf.DUMMYFUNCTION("""COMPUTED_VALUE"""),3.177002909E9)</f>
        <v>3177002909</v>
      </c>
      <c r="M5755" s="17" t="str">
        <f>IFERROR(__xludf.DUMMYFUNCTION("""COMPUTED_VALUE"""),"#REF!")</f>
        <v>#REF!</v>
      </c>
      <c r="N5755" s="17"/>
      <c r="O5755" s="17"/>
      <c r="P5755" s="17" t="b">
        <f>IFERROR(__xludf.DUMMYFUNCTION("""COMPUTED_VALUE"""),FALSE)</f>
        <v>0</v>
      </c>
      <c r="Q5755" s="20" t="str">
        <f>IFERROR(__xludf.DUMMYFUNCTION("""COMPUTED_VALUE"""),"")</f>
        <v/>
      </c>
      <c r="R5755" s="22" t="str">
        <f>IFERROR(__xludf.DUMMYFUNCTION("""COMPUTED_VALUE"""),"")</f>
        <v/>
      </c>
    </row>
    <row r="5756">
      <c r="A5756" s="17" t="str">
        <f>IFERROR(__xludf.DUMMYFUNCTION("""COMPUTED_VALUE"""),"")</f>
        <v/>
      </c>
      <c r="B5756" s="17" t="str">
        <f>IFERROR(__xludf.DUMMYFUNCTION("""COMPUTED_VALUE"""),"")</f>
        <v/>
      </c>
      <c r="C5756" s="17" t="str">
        <f>IFERROR(__xludf.DUMMYFUNCTION("""COMPUTED_VALUE"""),"")</f>
        <v/>
      </c>
      <c r="D5756" s="17" t="str">
        <f>IFERROR(__xludf.DUMMYFUNCTION("""COMPUTED_VALUE"""),"")</f>
        <v/>
      </c>
      <c r="E5756" s="17" t="str">
        <f>IFERROR(__xludf.DUMMYFUNCTION("""COMPUTED_VALUE"""),"")</f>
        <v/>
      </c>
      <c r="F5756" s="17" t="str">
        <f>IFERROR(__xludf.DUMMYFUNCTION("""COMPUTED_VALUE"""),"")</f>
        <v/>
      </c>
      <c r="G5756" s="17" t="str">
        <f>IFERROR(__xludf.DUMMYFUNCTION("""COMPUTED_VALUE"""),"")</f>
        <v/>
      </c>
      <c r="H5756" s="17" t="str">
        <f>IFERROR(__xludf.DUMMYFUNCTION("""COMPUTED_VALUE"""),"")</f>
        <v/>
      </c>
      <c r="I5756" s="17" t="str">
        <f>IFERROR(__xludf.DUMMYFUNCTION("""COMPUTED_VALUE"""),"")</f>
        <v/>
      </c>
      <c r="J5756" s="17" t="str">
        <f>IFERROR(__xludf.DUMMYFUNCTION("""COMPUTED_VALUE"""),"")</f>
        <v/>
      </c>
      <c r="K5756" s="17" t="str">
        <f>IFERROR(__xludf.DUMMYFUNCTION("""COMPUTED_VALUE"""),"")</f>
        <v/>
      </c>
      <c r="L5756" s="17" t="str">
        <f>IFERROR(__xludf.DUMMYFUNCTION("""COMPUTED_VALUE"""),"")</f>
        <v/>
      </c>
      <c r="M5756" s="17" t="str">
        <f>IFERROR(__xludf.DUMMYFUNCTION("""COMPUTED_VALUE"""),"")</f>
        <v/>
      </c>
      <c r="N5756" s="17" t="str">
        <f>IFERROR(__xludf.DUMMYFUNCTION("""COMPUTED_VALUE"""),"")</f>
        <v/>
      </c>
      <c r="O5756" s="17" t="str">
        <f>IFERROR(__xludf.DUMMYFUNCTION("""COMPUTED_VALUE"""),"")</f>
        <v/>
      </c>
      <c r="P5756" s="17" t="str">
        <f>IFERROR(__xludf.DUMMYFUNCTION("""COMPUTED_VALUE"""),"")</f>
        <v/>
      </c>
      <c r="Q5756" s="17" t="str">
        <f>IFERROR(__xludf.DUMMYFUNCTION("""COMPUTED_VALUE"""),"")</f>
        <v/>
      </c>
      <c r="R5756" s="17" t="str">
        <f>IFERROR(__xludf.DUMMYFUNCTION("""COMPUTED_VALUE"""),"")</f>
        <v/>
      </c>
    </row>
    <row r="5757">
      <c r="A5757" s="15">
        <f>IFERROR(__xludf.DUMMYFUNCTION("""COMPUTED_VALUE"""),45167.0)</f>
        <v>45167</v>
      </c>
      <c r="B5757" s="16" t="str">
        <f>IFERROR(__xludf.DUMMYFUNCTION("""COMPUTED_VALUE"""),"Julián Alexis salazar Anaya ")</f>
        <v>Julián Alexis salazar Anaya </v>
      </c>
      <c r="C5757" s="15" t="str">
        <f>IFERROR(__xludf.DUMMYFUNCTION("""COMPUTED_VALUE"""),"ARMENIA")</f>
        <v>ARMENIA</v>
      </c>
      <c r="D5757" s="15" t="str">
        <f>IFERROR(__xludf.DUMMYFUNCTION("""COMPUTED_VALUE"""),"BOGOTÁ")</f>
        <v>BOGOTÁ</v>
      </c>
      <c r="E5757" s="15" t="str">
        <f>IFERROR(__xludf.DUMMYFUNCTION("""COMPUTED_VALUE"""),"Pan de Waffle")</f>
        <v>Pan de Waffle</v>
      </c>
      <c r="F5757" s="17" t="str">
        <f>IFERROR(__xludf.DUMMYFUNCTION("""COMPUTED_VALUE"""),"carrera 13 # 9a - 58, local 5, con la castellana / carrera 13 # 9a - 58, local 5, con la castellana / carrera 13 # 9a - 58, local 5, con la castellana")</f>
        <v>carrera 13 # 9a - 58, local 5, con la castellana / carrera 13 # 9a - 58, local 5, con la castellana / carrera 13 # 9a - 58, local 5, con la castellana</v>
      </c>
      <c r="G5757" s="15" t="str">
        <f>IFERROR(__xludf.DUMMYFUNCTION("""COMPUTED_VALUE"""),"TIENDA FITNESS ECO")</f>
        <v>TIENDA FITNESS ECO</v>
      </c>
      <c r="H5757" s="16">
        <f>IFERROR(__xludf.DUMMYFUNCTION("""COMPUTED_VALUE"""),14506.0)</f>
        <v>14506</v>
      </c>
      <c r="I5757" s="18">
        <f>IFERROR(__xludf.DUMMYFUNCTION("""COMPUTED_VALUE"""),40.0)</f>
        <v>40</v>
      </c>
      <c r="J5757" s="18">
        <f>IFERROR(__xludf.DUMMYFUNCTION("""COMPUTED_VALUE"""),40.0)</f>
        <v>40</v>
      </c>
      <c r="K5757" s="18">
        <f>IFERROR(__xludf.DUMMYFUNCTION("""COMPUTED_VALUE"""),40.0)</f>
        <v>40</v>
      </c>
      <c r="L5757" s="17">
        <f>IFERROR(__xludf.DUMMYFUNCTION("""COMPUTED_VALUE"""),3.217007417E9)</f>
        <v>3217007417</v>
      </c>
      <c r="M5757" s="17" t="str">
        <f>IFERROR(__xludf.DUMMYFUNCTION("""COMPUTED_VALUE"""),"#REF!")</f>
        <v>#REF!</v>
      </c>
      <c r="N5757" s="17"/>
      <c r="O5757" s="17"/>
      <c r="P5757" s="17" t="b">
        <f>IFERROR(__xludf.DUMMYFUNCTION("""COMPUTED_VALUE"""),FALSE)</f>
        <v>0</v>
      </c>
      <c r="Q5757" s="20" t="str">
        <f>IFERROR(__xludf.DUMMYFUNCTION("""COMPUTED_VALUE"""),"")</f>
        <v/>
      </c>
      <c r="R5757" s="22" t="str">
        <f>IFERROR(__xludf.DUMMYFUNCTION("""COMPUTED_VALUE"""),"")</f>
        <v/>
      </c>
    </row>
    <row r="5758">
      <c r="A5758" s="15">
        <f>IFERROR(__xludf.DUMMYFUNCTION("""COMPUTED_VALUE"""),45167.0)</f>
        <v>45167</v>
      </c>
      <c r="B5758" s="16" t="str">
        <f>IFERROR(__xludf.DUMMYFUNCTION("""COMPUTED_VALUE"""),"Julián Alexis salazar Anaya ")</f>
        <v>Julián Alexis salazar Anaya </v>
      </c>
      <c r="C5758" s="15" t="str">
        <f>IFERROR(__xludf.DUMMYFUNCTION("""COMPUTED_VALUE"""),"VILLAVICENCIO")</f>
        <v>VILLAVICENCIO</v>
      </c>
      <c r="D5758" s="15" t="str">
        <f>IFERROR(__xludf.DUMMYFUNCTION("""COMPUTED_VALUE"""),"BOGOTÁ")</f>
        <v>BOGOTÁ</v>
      </c>
      <c r="E5758" s="15" t="str">
        <f>IFERROR(__xludf.DUMMYFUNCTION("""COMPUTED_VALUE"""),"Mochi")</f>
        <v>Mochi</v>
      </c>
      <c r="F5758" s="17" t="str">
        <f>IFERROR(__xludf.DUMMYFUNCTION("""COMPUTED_VALUE"""),"Calle 7 Número 45 – 18 Quinta etapa, Villavicencio, Meta / Calle 7 Número 45 – 18 Quinta etapa, Villavicencio, Meta / Calle 7 Número 45 – 18 Quinta etapa, Villavicencio, Meta")</f>
        <v>Calle 7 Número 45 – 18 Quinta etapa, Villavicencio, Meta / Calle 7 Número 45 – 18 Quinta etapa, Villavicencio, Meta / Calle 7 Número 45 – 18 Quinta etapa, Villavicencio, Meta</v>
      </c>
      <c r="G5758" s="15" t="str">
        <f>IFERROR(__xludf.DUMMYFUNCTION("""COMPUTED_VALUE"""),"natalia")</f>
        <v>natalia</v>
      </c>
      <c r="H5758" s="16">
        <f>IFERROR(__xludf.DUMMYFUNCTION("""COMPUTED_VALUE"""),14494.0)</f>
        <v>14494</v>
      </c>
      <c r="I5758" s="18">
        <f>IFERROR(__xludf.DUMMYFUNCTION("""COMPUTED_VALUE"""),100.0)</f>
        <v>100</v>
      </c>
      <c r="J5758" s="18">
        <f>IFERROR(__xludf.DUMMYFUNCTION("""COMPUTED_VALUE"""),200.0)</f>
        <v>200</v>
      </c>
      <c r="K5758" s="18">
        <f>IFERROR(__xludf.DUMMYFUNCTION("""COMPUTED_VALUE"""),200.0)</f>
        <v>200</v>
      </c>
      <c r="L5758" s="17">
        <f>IFERROR(__xludf.DUMMYFUNCTION("""COMPUTED_VALUE"""),3.134100428E9)</f>
        <v>3134100428</v>
      </c>
      <c r="M5758" s="17" t="str">
        <f>IFERROR(__xludf.DUMMYFUNCTION("""COMPUTED_VALUE"""),"#REF!")</f>
        <v>#REF!</v>
      </c>
      <c r="N5758" s="17"/>
      <c r="O5758" s="17"/>
      <c r="P5758" s="17" t="b">
        <f>IFERROR(__xludf.DUMMYFUNCTION("""COMPUTED_VALUE"""),FALSE)</f>
        <v>0</v>
      </c>
      <c r="Q5758" s="20" t="str">
        <f>IFERROR(__xludf.DUMMYFUNCTION("""COMPUTED_VALUE"""),"")</f>
        <v/>
      </c>
      <c r="R5758" s="22" t="str">
        <f>IFERROR(__xludf.DUMMYFUNCTION("""COMPUTED_VALUE"""),"")</f>
        <v/>
      </c>
    </row>
    <row r="5759">
      <c r="A5759" s="17" t="str">
        <f>IFERROR(__xludf.DUMMYFUNCTION("""COMPUTED_VALUE"""),"")</f>
        <v/>
      </c>
      <c r="B5759" s="17" t="str">
        <f>IFERROR(__xludf.DUMMYFUNCTION("""COMPUTED_VALUE"""),"")</f>
        <v/>
      </c>
      <c r="C5759" s="17" t="str">
        <f>IFERROR(__xludf.DUMMYFUNCTION("""COMPUTED_VALUE"""),"")</f>
        <v/>
      </c>
      <c r="D5759" s="17" t="str">
        <f>IFERROR(__xludf.DUMMYFUNCTION("""COMPUTED_VALUE"""),"")</f>
        <v/>
      </c>
      <c r="E5759" s="17" t="str">
        <f>IFERROR(__xludf.DUMMYFUNCTION("""COMPUTED_VALUE"""),"")</f>
        <v/>
      </c>
      <c r="F5759" s="17" t="str">
        <f>IFERROR(__xludf.DUMMYFUNCTION("""COMPUTED_VALUE"""),"")</f>
        <v/>
      </c>
      <c r="G5759" s="17" t="str">
        <f>IFERROR(__xludf.DUMMYFUNCTION("""COMPUTED_VALUE"""),"")</f>
        <v/>
      </c>
      <c r="H5759" s="17" t="str">
        <f>IFERROR(__xludf.DUMMYFUNCTION("""COMPUTED_VALUE"""),"")</f>
        <v/>
      </c>
      <c r="I5759" s="17" t="str">
        <f>IFERROR(__xludf.DUMMYFUNCTION("""COMPUTED_VALUE"""),"")</f>
        <v/>
      </c>
      <c r="J5759" s="17" t="str">
        <f>IFERROR(__xludf.DUMMYFUNCTION("""COMPUTED_VALUE"""),"")</f>
        <v/>
      </c>
      <c r="K5759" s="17" t="str">
        <f>IFERROR(__xludf.DUMMYFUNCTION("""COMPUTED_VALUE"""),"")</f>
        <v/>
      </c>
      <c r="L5759" s="17" t="str">
        <f>IFERROR(__xludf.DUMMYFUNCTION("""COMPUTED_VALUE"""),"")</f>
        <v/>
      </c>
      <c r="M5759" s="17" t="str">
        <f>IFERROR(__xludf.DUMMYFUNCTION("""COMPUTED_VALUE"""),"")</f>
        <v/>
      </c>
      <c r="N5759" s="17" t="str">
        <f>IFERROR(__xludf.DUMMYFUNCTION("""COMPUTED_VALUE"""),"")</f>
        <v/>
      </c>
      <c r="O5759" s="17" t="str">
        <f>IFERROR(__xludf.DUMMYFUNCTION("""COMPUTED_VALUE"""),"")</f>
        <v/>
      </c>
      <c r="P5759" s="17" t="str">
        <f>IFERROR(__xludf.DUMMYFUNCTION("""COMPUTED_VALUE"""),"")</f>
        <v/>
      </c>
      <c r="Q5759" s="17" t="str">
        <f>IFERROR(__xludf.DUMMYFUNCTION("""COMPUTED_VALUE"""),"")</f>
        <v/>
      </c>
      <c r="R5759" s="17" t="str">
        <f>IFERROR(__xludf.DUMMYFUNCTION("""COMPUTED_VALUE"""),"")</f>
        <v/>
      </c>
    </row>
    <row r="5760">
      <c r="A5760" s="15">
        <f>IFERROR(__xludf.DUMMYFUNCTION("""COMPUTED_VALUE"""),45167.0)</f>
        <v>45167</v>
      </c>
      <c r="B5760" s="16" t="str">
        <f>IFERROR(__xludf.DUMMYFUNCTION("""COMPUTED_VALUE"""),"Santiago Garces Restrepo")</f>
        <v>Santiago Garces Restrepo</v>
      </c>
      <c r="C5760" s="15" t="str">
        <f>IFERROR(__xludf.DUMMYFUNCTION("""COMPUTED_VALUE"""),"MEDELLÍN")</f>
        <v>MEDELLÍN</v>
      </c>
      <c r="D5760" s="15" t="str">
        <f>IFERROR(__xludf.DUMMYFUNCTION("""COMPUTED_VALUE"""),"BOGOTÁ")</f>
        <v>BOGOTÁ</v>
      </c>
      <c r="E5760" s="15" t="str">
        <f>IFERROR(__xludf.DUMMYFUNCTION("""COMPUTED_VALUE"""),"Asociacion Agropecuaria Juana Maria")</f>
        <v>Asociacion Agropecuaria Juana Maria</v>
      </c>
      <c r="F5760" s="17" t="str">
        <f>IFERROR(__xludf.DUMMYFUNCTION("""COMPUTED_VALUE"""),"Carrera 15 BA # 30D-44 int 201")</f>
        <v>Carrera 15 BA # 30D-44 int 201</v>
      </c>
      <c r="G5760" s="15" t="str">
        <f>IFERROR(__xludf.DUMMYFUNCTION("""COMPUTED_VALUE"""),"Daniela Bedoya Blandon")</f>
        <v>Daniela Bedoya Blandon</v>
      </c>
      <c r="H5760" s="16">
        <f>IFERROR(__xludf.DUMMYFUNCTION("""COMPUTED_VALUE"""),14409.0)</f>
        <v>14409</v>
      </c>
      <c r="I5760" s="18">
        <f>IFERROR(__xludf.DUMMYFUNCTION("""COMPUTED_VALUE"""),21.0)</f>
        <v>21</v>
      </c>
      <c r="J5760" s="18">
        <f>IFERROR(__xludf.DUMMYFUNCTION("""COMPUTED_VALUE"""),37.0)</f>
        <v>37</v>
      </c>
      <c r="K5760" s="18">
        <f>IFERROR(__xludf.DUMMYFUNCTION("""COMPUTED_VALUE"""),30.0)</f>
        <v>30</v>
      </c>
      <c r="L5760" s="17">
        <f>IFERROR(__xludf.DUMMYFUNCTION("""COMPUTED_VALUE"""),3.14672822E9)</f>
        <v>3146728220</v>
      </c>
      <c r="M5760" s="17" t="str">
        <f>IFERROR(__xludf.DUMMYFUNCTION("""COMPUTED_VALUE"""),"#REF!")</f>
        <v>#REF!</v>
      </c>
      <c r="N5760" s="17"/>
      <c r="O5760" s="17"/>
      <c r="P5760" s="17" t="b">
        <f>IFERROR(__xludf.DUMMYFUNCTION("""COMPUTED_VALUE"""),FALSE)</f>
        <v>0</v>
      </c>
      <c r="Q5760" s="20" t="str">
        <f>IFERROR(__xludf.DUMMYFUNCTION("""COMPUTED_VALUE"""),"")</f>
        <v/>
      </c>
      <c r="R5760" s="22" t="str">
        <f>IFERROR(__xludf.DUMMYFUNCTION("""COMPUTED_VALUE"""),"")</f>
        <v/>
      </c>
    </row>
    <row r="5761">
      <c r="A5761" s="15">
        <f>IFERROR(__xludf.DUMMYFUNCTION("""COMPUTED_VALUE"""),45167.0)</f>
        <v>45167</v>
      </c>
      <c r="B5761" s="16" t="str">
        <f>IFERROR(__xludf.DUMMYFUNCTION("""COMPUTED_VALUE"""),"Santiago Garces Restrepo")</f>
        <v>Santiago Garces Restrepo</v>
      </c>
      <c r="C5761" s="15" t="str">
        <f>IFERROR(__xludf.DUMMYFUNCTION("""COMPUTED_VALUE"""),"MEDELLÍN")</f>
        <v>MEDELLÍN</v>
      </c>
      <c r="D5761" s="15" t="str">
        <f>IFERROR(__xludf.DUMMYFUNCTION("""COMPUTED_VALUE"""),"BOGOTÁ")</f>
        <v>BOGOTÁ</v>
      </c>
      <c r="E5761" s="15" t="str">
        <f>IFERROR(__xludf.DUMMYFUNCTION("""COMPUTED_VALUE"""),"Asociacion Agropecuaria Juana Maria")</f>
        <v>Asociacion Agropecuaria Juana Maria</v>
      </c>
      <c r="F5761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5761" s="15" t="str">
        <f>IFERROR(__xludf.DUMMYFUNCTION("""COMPUTED_VALUE"""),"Jennifer Sanchez Blandon")</f>
        <v>Jennifer Sanchez Blandon</v>
      </c>
      <c r="H5761" s="16">
        <f>IFERROR(__xludf.DUMMYFUNCTION("""COMPUTED_VALUE"""),14410.0)</f>
        <v>14410</v>
      </c>
      <c r="I5761" s="18">
        <f>IFERROR(__xludf.DUMMYFUNCTION("""COMPUTED_VALUE"""),28.0)</f>
        <v>28</v>
      </c>
      <c r="J5761" s="18">
        <f>IFERROR(__xludf.DUMMYFUNCTION("""COMPUTED_VALUE"""),37.0)</f>
        <v>37</v>
      </c>
      <c r="K5761" s="18">
        <f>IFERROR(__xludf.DUMMYFUNCTION("""COMPUTED_VALUE"""),27.0)</f>
        <v>27</v>
      </c>
      <c r="L5761" s="17">
        <f>IFERROR(__xludf.DUMMYFUNCTION("""COMPUTED_VALUE"""),3.016937674E9)</f>
        <v>3016937674</v>
      </c>
      <c r="M5761" s="17" t="str">
        <f>IFERROR(__xludf.DUMMYFUNCTION("""COMPUTED_VALUE"""),"#REF!")</f>
        <v>#REF!</v>
      </c>
      <c r="N5761" s="17"/>
      <c r="O5761" s="17"/>
      <c r="P5761" s="17" t="b">
        <f>IFERROR(__xludf.DUMMYFUNCTION("""COMPUTED_VALUE"""),FALSE)</f>
        <v>0</v>
      </c>
      <c r="Q5761" s="20" t="str">
        <f>IFERROR(__xludf.DUMMYFUNCTION("""COMPUTED_VALUE"""),"")</f>
        <v/>
      </c>
      <c r="R5761" s="22" t="str">
        <f>IFERROR(__xludf.DUMMYFUNCTION("""COMPUTED_VALUE"""),"")</f>
        <v/>
      </c>
    </row>
    <row r="5762">
      <c r="A5762" s="15">
        <f>IFERROR(__xludf.DUMMYFUNCTION("""COMPUTED_VALUE"""),45167.0)</f>
        <v>45167</v>
      </c>
      <c r="B5762" s="16" t="str">
        <f>IFERROR(__xludf.DUMMYFUNCTION("""COMPUTED_VALUE"""),"Santiago Garces Restrepo")</f>
        <v>Santiago Garces Restrepo</v>
      </c>
      <c r="C5762" s="15" t="str">
        <f>IFERROR(__xludf.DUMMYFUNCTION("""COMPUTED_VALUE"""),"MEDELLÍN")</f>
        <v>MEDELLÍN</v>
      </c>
      <c r="D5762" s="15" t="str">
        <f>IFERROR(__xludf.DUMMYFUNCTION("""COMPUTED_VALUE"""),"BOGOTÁ")</f>
        <v>BOGOTÁ</v>
      </c>
      <c r="E5762" s="15" t="str">
        <f>IFERROR(__xludf.DUMMYFUNCTION("""COMPUTED_VALUE"""),"Evamazzita")</f>
        <v>Evamazzita</v>
      </c>
      <c r="F5762" s="17" t="str">
        <f>IFERROR(__xludf.DUMMYFUNCTION("""COMPUTED_VALUE"""),"CALLE 39 No. 52-95  / OCEANA CIUDAD FABRICATO APTO 1821 / BELLO")</f>
        <v>CALLE 39 No. 52-95  / OCEANA CIUDAD FABRICATO APTO 1821 / BELLO</v>
      </c>
      <c r="G5762" s="15" t="str">
        <f>IFERROR(__xludf.DUMMYFUNCTION("""COMPUTED_VALUE"""),"DANIELA GOMEZ RAMIREZ")</f>
        <v>DANIELA GOMEZ RAMIREZ</v>
      </c>
      <c r="H5762" s="16">
        <f>IFERROR(__xludf.DUMMYFUNCTION("""COMPUTED_VALUE"""),14444.0)</f>
        <v>14444</v>
      </c>
      <c r="I5762" s="18">
        <f>IFERROR(__xludf.DUMMYFUNCTION("""COMPUTED_VALUE"""),1.0)</f>
        <v>1</v>
      </c>
      <c r="J5762" s="18">
        <f>IFERROR(__xludf.DUMMYFUNCTION("""COMPUTED_VALUE"""),1.0)</f>
        <v>1</v>
      </c>
      <c r="K5762" s="18">
        <f>IFERROR(__xludf.DUMMYFUNCTION("""COMPUTED_VALUE"""),1.0)</f>
        <v>1</v>
      </c>
      <c r="L5762" s="17">
        <f>IFERROR(__xludf.DUMMYFUNCTION("""COMPUTED_VALUE"""),3.023763992E9)</f>
        <v>3023763992</v>
      </c>
      <c r="M5762" s="17" t="str">
        <f>IFERROR(__xludf.DUMMYFUNCTION("""COMPUTED_VALUE"""),"#REF!")</f>
        <v>#REF!</v>
      </c>
      <c r="N5762" s="17"/>
      <c r="O5762" s="17"/>
      <c r="P5762" s="17" t="b">
        <f>IFERROR(__xludf.DUMMYFUNCTION("""COMPUTED_VALUE"""),FALSE)</f>
        <v>0</v>
      </c>
      <c r="Q5762" s="20" t="str">
        <f>IFERROR(__xludf.DUMMYFUNCTION("""COMPUTED_VALUE"""),"")</f>
        <v/>
      </c>
      <c r="R5762" s="21" t="str">
        <f>IFERROR(__xludf.DUMMYFUNCTION("""COMPUTED_VALUE"""),"https://drive.google.com/file/d/1YRAUg7ugCO7k4CpPi13-4G99WkdQiOh-/view?usp=drivesdk")</f>
        <v>https://drive.google.com/file/d/1YRAUg7ugCO7k4CpPi13-4G99WkdQiOh-/view?usp=drivesdk</v>
      </c>
    </row>
    <row r="5763">
      <c r="A5763" s="15">
        <f>IFERROR(__xludf.DUMMYFUNCTION("""COMPUTED_VALUE"""),45167.0)</f>
        <v>45167</v>
      </c>
      <c r="B5763" s="16" t="str">
        <f>IFERROR(__xludf.DUMMYFUNCTION("""COMPUTED_VALUE"""),"Santiago Garces Restrepo")</f>
        <v>Santiago Garces Restrepo</v>
      </c>
      <c r="C5763" s="15" t="str">
        <f>IFERROR(__xludf.DUMMYFUNCTION("""COMPUTED_VALUE"""),"MEDELLÍN")</f>
        <v>MEDELLÍN</v>
      </c>
      <c r="D5763" s="15" t="str">
        <f>IFERROR(__xludf.DUMMYFUNCTION("""COMPUTED_VALUE"""),"BOGOTÁ")</f>
        <v>BOGOTÁ</v>
      </c>
      <c r="E5763" s="15" t="str">
        <f>IFERROR(__xludf.DUMMYFUNCTION("""COMPUTED_VALUE"""),"Evamazzita")</f>
        <v>Evamazzita</v>
      </c>
      <c r="F5763" s="17" t="str">
        <f>IFERROR(__xludf.DUMMYFUNCTION("""COMPUTED_VALUE"""),"Carrera 105 # 41 - 23  / Barrio San Javier / Barrio San Javier")</f>
        <v>Carrera 105 # 41 - 23  / Barrio San Javier / Barrio San Javier</v>
      </c>
      <c r="G5763" s="15" t="str">
        <f>IFERROR(__xludf.DUMMYFUNCTION("""COMPUTED_VALUE"""),"LAURA ALEXANDRA PALACIO MEJIA")</f>
        <v>LAURA ALEXANDRA PALACIO MEJIA</v>
      </c>
      <c r="H5763" s="16">
        <f>IFERROR(__xludf.DUMMYFUNCTION("""COMPUTED_VALUE"""),14448.0)</f>
        <v>14448</v>
      </c>
      <c r="I5763" s="18">
        <f>IFERROR(__xludf.DUMMYFUNCTION("""COMPUTED_VALUE"""),1.0)</f>
        <v>1</v>
      </c>
      <c r="J5763" s="18">
        <f>IFERROR(__xludf.DUMMYFUNCTION("""COMPUTED_VALUE"""),1.0)</f>
        <v>1</v>
      </c>
      <c r="K5763" s="18">
        <f>IFERROR(__xludf.DUMMYFUNCTION("""COMPUTED_VALUE"""),1.0)</f>
        <v>1</v>
      </c>
      <c r="L5763" s="17">
        <f>IFERROR(__xludf.DUMMYFUNCTION("""COMPUTED_VALUE"""),3.012716641E9)</f>
        <v>3012716641</v>
      </c>
      <c r="M5763" s="17" t="str">
        <f>IFERROR(__xludf.DUMMYFUNCTION("""COMPUTED_VALUE"""),"#REF!")</f>
        <v>#REF!</v>
      </c>
      <c r="N5763" s="17"/>
      <c r="O5763" s="17"/>
      <c r="P5763" s="17" t="b">
        <f>IFERROR(__xludf.DUMMYFUNCTION("""COMPUTED_VALUE"""),FALSE)</f>
        <v>0</v>
      </c>
      <c r="Q5763" s="20" t="str">
        <f>IFERROR(__xludf.DUMMYFUNCTION("""COMPUTED_VALUE"""),"")</f>
        <v/>
      </c>
      <c r="R5763" s="21" t="str">
        <f>IFERROR(__xludf.DUMMYFUNCTION("""COMPUTED_VALUE"""),"https://drive.google.com/file/d/1jvPnY45jS6B4Suwe1gNUq_gEMigLcKDY/view?usp=drivesdk")</f>
        <v>https://drive.google.com/file/d/1jvPnY45jS6B4Suwe1gNUq_gEMigLcKDY/view?usp=drivesdk</v>
      </c>
    </row>
    <row r="5764">
      <c r="A5764" s="15">
        <f>IFERROR(__xludf.DUMMYFUNCTION("""COMPUTED_VALUE"""),45167.0)</f>
        <v>45167</v>
      </c>
      <c r="B5764" s="16" t="str">
        <f>IFERROR(__xludf.DUMMYFUNCTION("""COMPUTED_VALUE"""),"Santiago Garces Restrepo")</f>
        <v>Santiago Garces Restrepo</v>
      </c>
      <c r="C5764" s="15" t="str">
        <f>IFERROR(__xludf.DUMMYFUNCTION("""COMPUTED_VALUE"""),"MEDELLÍN")</f>
        <v>MEDELLÍN</v>
      </c>
      <c r="D5764" s="15" t="str">
        <f>IFERROR(__xludf.DUMMYFUNCTION("""COMPUTED_VALUE"""),"BOGOTÁ")</f>
        <v>BOGOTÁ</v>
      </c>
      <c r="E5764" s="15" t="str">
        <f>IFERROR(__xludf.DUMMYFUNCTION("""COMPUTED_VALUE"""),"Evamazzita")</f>
        <v>Evamazzita</v>
      </c>
      <c r="F5764" s="17" t="str">
        <f>IFERROR(__xludf.DUMMYFUNCTION("""COMPUTED_VALUE"""),"Carrera 15 Ba #34D-44 / Int 201 / Buenos Aires")</f>
        <v>Carrera 15 Ba #34D-44 / Int 201 / Buenos Aires</v>
      </c>
      <c r="G5764" s="15" t="str">
        <f>IFERROR(__xludf.DUMMYFUNCTION("""COMPUTED_VALUE"""),"DANIELA BEDOYA BLANDON")</f>
        <v>DANIELA BEDOYA BLANDON</v>
      </c>
      <c r="H5764" s="16">
        <f>IFERROR(__xludf.DUMMYFUNCTION("""COMPUTED_VALUE"""),14453.0)</f>
        <v>14453</v>
      </c>
      <c r="I5764" s="18">
        <f>IFERROR(__xludf.DUMMYFUNCTION("""COMPUTED_VALUE"""),20.0)</f>
        <v>20</v>
      </c>
      <c r="J5764" s="18">
        <f>IFERROR(__xludf.DUMMYFUNCTION("""COMPUTED_VALUE"""),35.0)</f>
        <v>35</v>
      </c>
      <c r="K5764" s="18">
        <f>IFERROR(__xludf.DUMMYFUNCTION("""COMPUTED_VALUE"""),26.0)</f>
        <v>26</v>
      </c>
      <c r="L5764" s="17">
        <f>IFERROR(__xludf.DUMMYFUNCTION("""COMPUTED_VALUE"""),3.14672822E9)</f>
        <v>3146728220</v>
      </c>
      <c r="M5764" s="17" t="str">
        <f>IFERROR(__xludf.DUMMYFUNCTION("""COMPUTED_VALUE"""),"#REF!")</f>
        <v>#REF!</v>
      </c>
      <c r="N5764" s="17"/>
      <c r="O5764" s="17"/>
      <c r="P5764" s="17" t="b">
        <f>IFERROR(__xludf.DUMMYFUNCTION("""COMPUTED_VALUE"""),TRUE)</f>
        <v>1</v>
      </c>
      <c r="Q5764" s="20">
        <f>IFERROR(__xludf.DUMMYFUNCTION("""COMPUTED_VALUE"""),45168.4614325)</f>
        <v>45168.46143</v>
      </c>
      <c r="R5764" s="22" t="str">
        <f>IFERROR(__xludf.DUMMYFUNCTION("""COMPUTED_VALUE"""),"")</f>
        <v/>
      </c>
    </row>
    <row r="5765">
      <c r="A5765" s="15">
        <f>IFERROR(__xludf.DUMMYFUNCTION("""COMPUTED_VALUE"""),45167.0)</f>
        <v>45167</v>
      </c>
      <c r="B5765" s="16" t="str">
        <f>IFERROR(__xludf.DUMMYFUNCTION("""COMPUTED_VALUE"""),"Santiago Garces Restrepo")</f>
        <v>Santiago Garces Restrepo</v>
      </c>
      <c r="C5765" s="15" t="str">
        <f>IFERROR(__xludf.DUMMYFUNCTION("""COMPUTED_VALUE"""),"MEDELLÍN")</f>
        <v>MEDELLÍN</v>
      </c>
      <c r="D5765" s="15" t="str">
        <f>IFERROR(__xludf.DUMMYFUNCTION("""COMPUTED_VALUE"""),"BOGOTÁ")</f>
        <v>BOGOTÁ</v>
      </c>
      <c r="E5765" s="15" t="str">
        <f>IFERROR(__xludf.DUMMYFUNCTION("""COMPUTED_VALUE"""),"Evamazzita")</f>
        <v>Evamazzita</v>
      </c>
      <c r="F5765" s="17" t="str">
        <f>IFERROR(__xludf.DUMMYFUNCTION("""COMPUTED_VALUE"""),"Cra 53 N 73 sur 40  / Unidad entrebosques Apto 1513  /  Barrio Santa catalina ITAGUI")</f>
        <v>Cra 53 N 73 sur 40  / Unidad entrebosques Apto 1513  /  Barrio Santa catalina ITAGUI</v>
      </c>
      <c r="G5765" s="15" t="str">
        <f>IFERROR(__xludf.DUMMYFUNCTION("""COMPUTED_VALUE"""),"ALEJANDRA PEREZ GIL")</f>
        <v>ALEJANDRA PEREZ GIL</v>
      </c>
      <c r="H5765" s="16">
        <f>IFERROR(__xludf.DUMMYFUNCTION("""COMPUTED_VALUE"""),14445.0)</f>
        <v>14445</v>
      </c>
      <c r="I5765" s="18">
        <f>IFERROR(__xludf.DUMMYFUNCTION("""COMPUTED_VALUE"""),1.0)</f>
        <v>1</v>
      </c>
      <c r="J5765" s="18">
        <f>IFERROR(__xludf.DUMMYFUNCTION("""COMPUTED_VALUE"""),1.0)</f>
        <v>1</v>
      </c>
      <c r="K5765" s="18">
        <f>IFERROR(__xludf.DUMMYFUNCTION("""COMPUTED_VALUE"""),1.0)</f>
        <v>1</v>
      </c>
      <c r="L5765" s="17">
        <f>IFERROR(__xludf.DUMMYFUNCTION("""COMPUTED_VALUE"""),3.137292194E9)</f>
        <v>3137292194</v>
      </c>
      <c r="M5765" s="17" t="str">
        <f>IFERROR(__xludf.DUMMYFUNCTION("""COMPUTED_VALUE"""),"#REF!")</f>
        <v>#REF!</v>
      </c>
      <c r="N5765" s="17"/>
      <c r="O5765" s="17"/>
      <c r="P5765" s="17" t="b">
        <f>IFERROR(__xludf.DUMMYFUNCTION("""COMPUTED_VALUE"""),TRUE)</f>
        <v>1</v>
      </c>
      <c r="Q5765" s="20">
        <f>IFERROR(__xludf.DUMMYFUNCTION("""COMPUTED_VALUE"""),45168.66977334491)</f>
        <v>45168.66977</v>
      </c>
      <c r="R5765" s="21" t="str">
        <f>IFERROR(__xludf.DUMMYFUNCTION("""COMPUTED_VALUE"""),"https://drive.google.com/file/d/1FC0VSEkUfWNJLe1xd1FrKXOPTGFecU8g/view?usp=drivesdk")</f>
        <v>https://drive.google.com/file/d/1FC0VSEkUfWNJLe1xd1FrKXOPTGFecU8g/view?usp=drivesdk</v>
      </c>
    </row>
    <row r="5766">
      <c r="A5766" s="15">
        <f>IFERROR(__xludf.DUMMYFUNCTION("""COMPUTED_VALUE"""),45167.0)</f>
        <v>45167</v>
      </c>
      <c r="B5766" s="16" t="str">
        <f>IFERROR(__xludf.DUMMYFUNCTION("""COMPUTED_VALUE"""),"Santiago Garces Restrepo")</f>
        <v>Santiago Garces Restrepo</v>
      </c>
      <c r="C5766" s="15" t="str">
        <f>IFERROR(__xludf.DUMMYFUNCTION("""COMPUTED_VALUE"""),"MEDELLÍN")</f>
        <v>MEDELLÍN</v>
      </c>
      <c r="D5766" s="15" t="str">
        <f>IFERROR(__xludf.DUMMYFUNCTION("""COMPUTED_VALUE"""),"BOGOTÁ")</f>
        <v>BOGOTÁ</v>
      </c>
      <c r="E5766" s="15" t="str">
        <f>IFERROR(__xludf.DUMMYFUNCTION("""COMPUTED_VALUE"""),"Evamazzita")</f>
        <v>Evamazzita</v>
      </c>
      <c r="F5766" s="17" t="str">
        <f>IFERROR(__xludf.DUMMYFUNCTION("""COMPUTED_VALUE"""),"CRA 53 No. 54 - 23  / BARRIO CENTRO (LOCAL VITRINAS AA) / BARRIO CENTRO (LOCAL VITRINAS AA)")</f>
        <v>CRA 53 No. 54 - 23  / BARRIO CENTRO (LOCAL VITRINAS AA) / BARRIO CENTRO (LOCAL VITRINAS AA)</v>
      </c>
      <c r="G5766" s="15" t="str">
        <f>IFERROR(__xludf.DUMMYFUNCTION("""COMPUTED_VALUE"""),"JULIETH GIRALDO BUSTAMANTE")</f>
        <v>JULIETH GIRALDO BUSTAMANTE</v>
      </c>
      <c r="H5766" s="16">
        <f>IFERROR(__xludf.DUMMYFUNCTION("""COMPUTED_VALUE"""),14447.0)</f>
        <v>14447</v>
      </c>
      <c r="I5766" s="18">
        <f>IFERROR(__xludf.DUMMYFUNCTION("""COMPUTED_VALUE"""),1.0)</f>
        <v>1</v>
      </c>
      <c r="J5766" s="18">
        <f>IFERROR(__xludf.DUMMYFUNCTION("""COMPUTED_VALUE"""),1.0)</f>
        <v>1</v>
      </c>
      <c r="K5766" s="18">
        <f>IFERROR(__xludf.DUMMYFUNCTION("""COMPUTED_VALUE"""),1.0)</f>
        <v>1</v>
      </c>
      <c r="L5766" s="17">
        <f>IFERROR(__xludf.DUMMYFUNCTION("""COMPUTED_VALUE"""),3.014257939E9)</f>
        <v>3014257939</v>
      </c>
      <c r="M5766" s="17" t="str">
        <f>IFERROR(__xludf.DUMMYFUNCTION("""COMPUTED_VALUE"""),"#REF!")</f>
        <v>#REF!</v>
      </c>
      <c r="N5766" s="17"/>
      <c r="O5766" s="17"/>
      <c r="P5766" s="17" t="b">
        <f>IFERROR(__xludf.DUMMYFUNCTION("""COMPUTED_VALUE"""),FALSE)</f>
        <v>0</v>
      </c>
      <c r="Q5766" s="20" t="str">
        <f>IFERROR(__xludf.DUMMYFUNCTION("""COMPUTED_VALUE"""),"")</f>
        <v/>
      </c>
      <c r="R5766" s="21" t="str">
        <f>IFERROR(__xludf.DUMMYFUNCTION("""COMPUTED_VALUE"""),"https://drive.google.com/file/d/1JVgz-BJhDKsHiLo-Mlw0-CJzuQheXRfC/view?usp=drivesdk")</f>
        <v>https://drive.google.com/file/d/1JVgz-BJhDKsHiLo-Mlw0-CJzuQheXRfC/view?usp=drivesdk</v>
      </c>
    </row>
    <row r="5767">
      <c r="A5767" s="15">
        <f>IFERROR(__xludf.DUMMYFUNCTION("""COMPUTED_VALUE"""),45167.0)</f>
        <v>45167</v>
      </c>
      <c r="B5767" s="16" t="str">
        <f>IFERROR(__xludf.DUMMYFUNCTION("""COMPUTED_VALUE"""),"Santiago Garces Restrepo")</f>
        <v>Santiago Garces Restrepo</v>
      </c>
      <c r="C5767" s="15" t="str">
        <f>IFERROR(__xludf.DUMMYFUNCTION("""COMPUTED_VALUE"""),"MEDELLÍN")</f>
        <v>MEDELLÍN</v>
      </c>
      <c r="D5767" s="15" t="str">
        <f>IFERROR(__xludf.DUMMYFUNCTION("""COMPUTED_VALUE"""),"BOGOTÁ")</f>
        <v>BOGOTÁ</v>
      </c>
      <c r="E5767" s="15" t="str">
        <f>IFERROR(__xludf.DUMMYFUNCTION("""COMPUTED_VALUE"""),"Evamazzita")</f>
        <v>Evamazzita</v>
      </c>
      <c r="F5767" s="17" t="str">
        <f>IFERROR(__xludf.DUMMYFUNCTION("""COMPUTED_VALUE"""),"Crr 20 n 12 sur 424  / DuVille 805  Poblado  / DuVille 805  Poblado """)</f>
        <v>Crr 20 n 12 sur 424  / DuVille 805  Poblado  / DuVille 805  Poblado "</v>
      </c>
      <c r="G5767" s="15" t="str">
        <f>IFERROR(__xludf.DUMMYFUNCTION("""COMPUTED_VALUE"""),"MANUELA MONSALVE")</f>
        <v>MANUELA MONSALVE</v>
      </c>
      <c r="H5767" s="16">
        <f>IFERROR(__xludf.DUMMYFUNCTION("""COMPUTED_VALUE"""),14454.0)</f>
        <v>14454</v>
      </c>
      <c r="I5767" s="18">
        <f>IFERROR(__xludf.DUMMYFUNCTION("""COMPUTED_VALUE"""),1.0)</f>
        <v>1</v>
      </c>
      <c r="J5767" s="18">
        <f>IFERROR(__xludf.DUMMYFUNCTION("""COMPUTED_VALUE"""),1.0)</f>
        <v>1</v>
      </c>
      <c r="K5767" s="18">
        <f>IFERROR(__xludf.DUMMYFUNCTION("""COMPUTED_VALUE"""),1.0)</f>
        <v>1</v>
      </c>
      <c r="L5767" s="17">
        <f>IFERROR(__xludf.DUMMYFUNCTION("""COMPUTED_VALUE"""),3.18649839E9)</f>
        <v>3186498390</v>
      </c>
      <c r="M5767" s="17" t="str">
        <f>IFERROR(__xludf.DUMMYFUNCTION("""COMPUTED_VALUE"""),"#REF!")</f>
        <v>#REF!</v>
      </c>
      <c r="N5767" s="17"/>
      <c r="O5767" s="17"/>
      <c r="P5767" s="17" t="b">
        <f>IFERROR(__xludf.DUMMYFUNCTION("""COMPUTED_VALUE"""),TRUE)</f>
        <v>1</v>
      </c>
      <c r="Q5767" s="20">
        <f>IFERROR(__xludf.DUMMYFUNCTION("""COMPUTED_VALUE"""),45168.66840768518)</f>
        <v>45168.66841</v>
      </c>
      <c r="R5767" s="21" t="str">
        <f>IFERROR(__xludf.DUMMYFUNCTION("""COMPUTED_VALUE"""),"https://drive.google.com/file/d/1wRqccLohwkY_pYfNf5WBeenHrtukaivq/view?usp=drivesdk")</f>
        <v>https://drive.google.com/file/d/1wRqccLohwkY_pYfNf5WBeenHrtukaivq/view?usp=drivesdk</v>
      </c>
    </row>
    <row r="5768">
      <c r="A5768" s="17" t="str">
        <f>IFERROR(__xludf.DUMMYFUNCTION("""COMPUTED_VALUE"""),"")</f>
        <v/>
      </c>
      <c r="B5768" s="17" t="str">
        <f>IFERROR(__xludf.DUMMYFUNCTION("""COMPUTED_VALUE"""),"")</f>
        <v/>
      </c>
      <c r="C5768" s="17" t="str">
        <f>IFERROR(__xludf.DUMMYFUNCTION("""COMPUTED_VALUE"""),"")</f>
        <v/>
      </c>
      <c r="D5768" s="17" t="str">
        <f>IFERROR(__xludf.DUMMYFUNCTION("""COMPUTED_VALUE"""),"")</f>
        <v/>
      </c>
      <c r="E5768" s="17" t="str">
        <f>IFERROR(__xludf.DUMMYFUNCTION("""COMPUTED_VALUE"""),"")</f>
        <v/>
      </c>
      <c r="F5768" s="17" t="str">
        <f>IFERROR(__xludf.DUMMYFUNCTION("""COMPUTED_VALUE"""),"")</f>
        <v/>
      </c>
      <c r="G5768" s="17" t="str">
        <f>IFERROR(__xludf.DUMMYFUNCTION("""COMPUTED_VALUE"""),"")</f>
        <v/>
      </c>
      <c r="H5768" s="17" t="str">
        <f>IFERROR(__xludf.DUMMYFUNCTION("""COMPUTED_VALUE"""),"")</f>
        <v/>
      </c>
      <c r="I5768" s="17" t="str">
        <f>IFERROR(__xludf.DUMMYFUNCTION("""COMPUTED_VALUE"""),"")</f>
        <v/>
      </c>
      <c r="J5768" s="17" t="str">
        <f>IFERROR(__xludf.DUMMYFUNCTION("""COMPUTED_VALUE"""),"")</f>
        <v/>
      </c>
      <c r="K5768" s="17" t="str">
        <f>IFERROR(__xludf.DUMMYFUNCTION("""COMPUTED_VALUE"""),"")</f>
        <v/>
      </c>
      <c r="L5768" s="17" t="str">
        <f>IFERROR(__xludf.DUMMYFUNCTION("""COMPUTED_VALUE"""),"")</f>
        <v/>
      </c>
      <c r="M5768" s="17" t="str">
        <f>IFERROR(__xludf.DUMMYFUNCTION("""COMPUTED_VALUE"""),"")</f>
        <v/>
      </c>
      <c r="N5768" s="17" t="str">
        <f>IFERROR(__xludf.DUMMYFUNCTION("""COMPUTED_VALUE"""),"")</f>
        <v/>
      </c>
      <c r="O5768" s="17" t="str">
        <f>IFERROR(__xludf.DUMMYFUNCTION("""COMPUTED_VALUE"""),"")</f>
        <v/>
      </c>
      <c r="P5768" s="17" t="str">
        <f>IFERROR(__xludf.DUMMYFUNCTION("""COMPUTED_VALUE"""),"")</f>
        <v/>
      </c>
      <c r="Q5768" s="17" t="str">
        <f>IFERROR(__xludf.DUMMYFUNCTION("""COMPUTED_VALUE"""),"")</f>
        <v/>
      </c>
      <c r="R5768" s="17" t="str">
        <f>IFERROR(__xludf.DUMMYFUNCTION("""COMPUTED_VALUE"""),"")</f>
        <v/>
      </c>
    </row>
    <row r="5769">
      <c r="A5769" s="15">
        <f>IFERROR(__xludf.DUMMYFUNCTION("""COMPUTED_VALUE"""),45168.0)</f>
        <v>45168</v>
      </c>
      <c r="B5769" s="17"/>
      <c r="C5769" s="15" t="str">
        <f>IFERROR(__xludf.DUMMYFUNCTION("""COMPUTED_VALUE"""),"BOGOTÁ")</f>
        <v>BOGOTÁ</v>
      </c>
      <c r="D5769" s="15" t="str">
        <f>IFERROR(__xludf.DUMMYFUNCTION("""COMPUTED_VALUE"""),"MEDELLÍN")</f>
        <v>MEDELLÍN</v>
      </c>
      <c r="E5769" s="15" t="str">
        <f>IFERROR(__xludf.DUMMYFUNCTION("""COMPUTED_VALUE"""),"Baby Chef")</f>
        <v>Baby Chef</v>
      </c>
      <c r="F5769" s="17" t="str">
        <f>IFERROR(__xludf.DUMMYFUNCTION("""COMPUTED_VALUE"""),"calle 64 c no 68 b - 98, bloque 21, entrada 7 apto 101 / bogota  / bogota")</f>
        <v>calle 64 c no 68 b - 98, bloque 21, entrada 7 apto 101 / bogota  / bogota</v>
      </c>
      <c r="G5769" s="15" t="str">
        <f>IFERROR(__xludf.DUMMYFUNCTION("""COMPUTED_VALUE"""),"Tatiana Llorente")</f>
        <v>Tatiana Llorente</v>
      </c>
      <c r="H5769" s="16">
        <f>IFERROR(__xludf.DUMMYFUNCTION("""COMPUTED_VALUE"""),14542.0)</f>
        <v>14542</v>
      </c>
      <c r="I5769" s="18">
        <f>IFERROR(__xludf.DUMMYFUNCTION("""COMPUTED_VALUE"""),7.0)</f>
        <v>7</v>
      </c>
      <c r="J5769" s="18">
        <f>IFERROR(__xludf.DUMMYFUNCTION("""COMPUTED_VALUE"""),22.0)</f>
        <v>22</v>
      </c>
      <c r="K5769" s="18">
        <f>IFERROR(__xludf.DUMMYFUNCTION("""COMPUTED_VALUE"""),23.0)</f>
        <v>23</v>
      </c>
      <c r="L5769" s="17">
        <f>IFERROR(__xludf.DUMMYFUNCTION("""COMPUTED_VALUE"""),3.015358509E9)</f>
        <v>3015358509</v>
      </c>
      <c r="M5769" s="17" t="str">
        <f>IFERROR(__xludf.DUMMYFUNCTION("""COMPUTED_VALUE"""),"#REF!")</f>
        <v>#REF!</v>
      </c>
      <c r="N5769" s="17"/>
      <c r="O5769" s="17"/>
      <c r="P5769" s="17" t="b">
        <f>IFERROR(__xludf.DUMMYFUNCTION("""COMPUTED_VALUE"""),FALSE)</f>
        <v>0</v>
      </c>
      <c r="Q5769" s="20" t="str">
        <f>IFERROR(__xludf.DUMMYFUNCTION("""COMPUTED_VALUE"""),"")</f>
        <v/>
      </c>
      <c r="R5769" s="21" t="str">
        <f>IFERROR(__xludf.DUMMYFUNCTION("""COMPUTED_VALUE"""),"https://drive.google.com/file/d/1A3qh9zK7FtR2FcU5Nkbl05bReWQ_5cUf/view?usp=drivesdk")</f>
        <v>https://drive.google.com/file/d/1A3qh9zK7FtR2FcU5Nkbl05bReWQ_5cUf/view?usp=drivesdk</v>
      </c>
    </row>
    <row r="5770">
      <c r="A5770" s="15">
        <f>IFERROR(__xludf.DUMMYFUNCTION("""COMPUTED_VALUE"""),45168.0)</f>
        <v>45168</v>
      </c>
      <c r="B5770" s="17"/>
      <c r="C5770" s="15" t="str">
        <f>IFERROR(__xludf.DUMMYFUNCTION("""COMPUTED_VALUE"""),"CALI")</f>
        <v>CALI</v>
      </c>
      <c r="D5770" s="15" t="str">
        <f>IFERROR(__xludf.DUMMYFUNCTION("""COMPUTED_VALUE"""),"MEDELLÍN")</f>
        <v>MEDELLÍN</v>
      </c>
      <c r="E5770" s="15" t="str">
        <f>IFERROR(__xludf.DUMMYFUNCTION("""COMPUTED_VALUE"""),"JD Bufala")</f>
        <v>JD Bufala</v>
      </c>
      <c r="F5770" s="17" t="str">
        <f>IFERROR(__xludf.DUMMYFUNCTION("""COMPUTED_VALUE"""),"Calle 51norte # 4bn 72 / Delhuertopizzeria  / La flora")</f>
        <v>Calle 51norte # 4bn 72 / Delhuertopizzeria  / La flora</v>
      </c>
      <c r="G5770" s="15" t="str">
        <f>IFERROR(__xludf.DUMMYFUNCTION("""COMPUTED_VALUE"""),"Jaiver Rodríguez")</f>
        <v>Jaiver Rodríguez</v>
      </c>
      <c r="H5770" s="16">
        <f>IFERROR(__xludf.DUMMYFUNCTION("""COMPUTED_VALUE"""),14519.0)</f>
        <v>14519</v>
      </c>
      <c r="I5770" s="18">
        <f>IFERROR(__xludf.DUMMYFUNCTION("""COMPUTED_VALUE"""),45066.0)</f>
        <v>45066</v>
      </c>
      <c r="J5770" s="18">
        <f>IFERROR(__xludf.DUMMYFUNCTION("""COMPUTED_VALUE"""),28.0)</f>
        <v>28</v>
      </c>
      <c r="K5770" s="18">
        <f>IFERROR(__xludf.DUMMYFUNCTION("""COMPUTED_VALUE"""),40.0)</f>
        <v>40</v>
      </c>
      <c r="L5770" s="17">
        <f>IFERROR(__xludf.DUMMYFUNCTION("""COMPUTED_VALUE"""),3.104919761E9)</f>
        <v>3104919761</v>
      </c>
      <c r="M5770" s="17" t="str">
        <f>IFERROR(__xludf.DUMMYFUNCTION("""COMPUTED_VALUE"""),"#REF!")</f>
        <v>#REF!</v>
      </c>
      <c r="N5770" s="17"/>
      <c r="O5770" s="17"/>
      <c r="P5770" s="17" t="b">
        <f>IFERROR(__xludf.DUMMYFUNCTION("""COMPUTED_VALUE"""),FALSE)</f>
        <v>0</v>
      </c>
      <c r="Q5770" s="20" t="str">
        <f>IFERROR(__xludf.DUMMYFUNCTION("""COMPUTED_VALUE"""),"")</f>
        <v/>
      </c>
      <c r="R5770" s="22" t="str">
        <f>IFERROR(__xludf.DUMMYFUNCTION("""COMPUTED_VALUE"""),"")</f>
        <v/>
      </c>
    </row>
    <row r="5771">
      <c r="A5771" s="15">
        <f>IFERROR(__xludf.DUMMYFUNCTION("""COMPUTED_VALUE"""),45168.0)</f>
        <v>45168</v>
      </c>
      <c r="B5771" s="17"/>
      <c r="C5771" s="15" t="str">
        <f>IFERROR(__xludf.DUMMYFUNCTION("""COMPUTED_VALUE"""),"MONTERIA")</f>
        <v>MONTERIA</v>
      </c>
      <c r="D5771" s="15" t="str">
        <f>IFERROR(__xludf.DUMMYFUNCTION("""COMPUTED_VALUE"""),"BOGOTÁ")</f>
        <v>BOGOTÁ</v>
      </c>
      <c r="E5771" s="15" t="str">
        <f>IFERROR(__xludf.DUMMYFUNCTION("""COMPUTED_VALUE"""),"Evamazzita")</f>
        <v>Evamazzita</v>
      </c>
      <c r="F5771" s="17" t="str">
        <f>IFERROR(__xludf.DUMMYFUNCTION("""COMPUTED_VALUE"""),"Carrera 14A#54-23 / N/A / Barrio Monteverde")</f>
        <v>Carrera 14A#54-23 / N/A / Barrio Monteverde</v>
      </c>
      <c r="G5771" s="15" t="str">
        <f>IFERROR(__xludf.DUMMYFUNCTION("""COMPUTED_VALUE"""),"EMILIA MIRANDA")</f>
        <v>EMILIA MIRANDA</v>
      </c>
      <c r="H5771" s="16">
        <f>IFERROR(__xludf.DUMMYFUNCTION("""COMPUTED_VALUE"""),14460.0)</f>
        <v>14460</v>
      </c>
      <c r="I5771" s="18">
        <f>IFERROR(__xludf.DUMMYFUNCTION("""COMPUTED_VALUE"""),18.0)</f>
        <v>18</v>
      </c>
      <c r="J5771" s="18">
        <f>IFERROR(__xludf.DUMMYFUNCTION("""COMPUTED_VALUE"""),28.0)</f>
        <v>28</v>
      </c>
      <c r="K5771" s="18">
        <f>IFERROR(__xludf.DUMMYFUNCTION("""COMPUTED_VALUE"""),34.0)</f>
        <v>34</v>
      </c>
      <c r="L5771" s="17">
        <f>IFERROR(__xludf.DUMMYFUNCTION("""COMPUTED_VALUE"""),3.113438505E9)</f>
        <v>3113438505</v>
      </c>
      <c r="M5771" s="17" t="str">
        <f>IFERROR(__xludf.DUMMYFUNCTION("""COMPUTED_VALUE"""),"#REF!")</f>
        <v>#REF!</v>
      </c>
      <c r="N5771" s="17"/>
      <c r="O5771" s="17"/>
      <c r="P5771" s="17" t="b">
        <f>IFERROR(__xludf.DUMMYFUNCTION("""COMPUTED_VALUE"""),FALSE)</f>
        <v>0</v>
      </c>
      <c r="Q5771" s="20" t="str">
        <f>IFERROR(__xludf.DUMMYFUNCTION("""COMPUTED_VALUE"""),"")</f>
        <v/>
      </c>
      <c r="R5771" s="21" t="str">
        <f>IFERROR(__xludf.DUMMYFUNCTION("""COMPUTED_VALUE"""),"https://drive.google.com/file/d/1yiujwjQDhRS0f2rr7Jkor_n8JF3SSEFj/view?usp=drivesdk")</f>
        <v>https://drive.google.com/file/d/1yiujwjQDhRS0f2rr7Jkor_n8JF3SSEFj/view?usp=drivesdk</v>
      </c>
    </row>
    <row r="5772">
      <c r="A5772" s="15">
        <f>IFERROR(__xludf.DUMMYFUNCTION("""COMPUTED_VALUE"""),45168.0)</f>
        <v>45168</v>
      </c>
      <c r="B5772" s="17"/>
      <c r="C5772" s="15" t="str">
        <f>IFERROR(__xludf.DUMMYFUNCTION("""COMPUTED_VALUE"""),"MONTERIA")</f>
        <v>MONTERIA</v>
      </c>
      <c r="D5772" s="15" t="str">
        <f>IFERROR(__xludf.DUMMYFUNCTION("""COMPUTED_VALUE"""),"MEDELLÍN")</f>
        <v>MEDELLÍN</v>
      </c>
      <c r="E5772" s="15" t="str">
        <f>IFERROR(__xludf.DUMMYFUNCTION("""COMPUTED_VALUE"""),"Rambla")</f>
        <v>Rambla</v>
      </c>
      <c r="F5772" s="17" t="str">
        <f>IFERROR(__xludf.DUMMYFUNCTION("""COMPUTED_VALUE"""),"centro comercial place mall cra 6 #65-24 local: 18 barrio castellana / - / -")</f>
        <v>centro comercial place mall cra 6 #65-24 local: 18 barrio castellana / - / -</v>
      </c>
      <c r="G5772" s="15" t="str">
        <f>IFERROR(__xludf.DUMMYFUNCTION("""COMPUTED_VALUE"""),"Amate")</f>
        <v>Amate</v>
      </c>
      <c r="H5772" s="16">
        <f>IFERROR(__xludf.DUMMYFUNCTION("""COMPUTED_VALUE"""),14536.0)</f>
        <v>14536</v>
      </c>
      <c r="I5772" s="18">
        <f>IFERROR(__xludf.DUMMYFUNCTION("""COMPUTED_VALUE"""),18.0)</f>
        <v>18</v>
      </c>
      <c r="J5772" s="18">
        <f>IFERROR(__xludf.DUMMYFUNCTION("""COMPUTED_VALUE"""),30.0)</f>
        <v>30</v>
      </c>
      <c r="K5772" s="18">
        <f>IFERROR(__xludf.DUMMYFUNCTION("""COMPUTED_VALUE"""),24.0)</f>
        <v>24</v>
      </c>
      <c r="L5772" s="17">
        <f>IFERROR(__xludf.DUMMYFUNCTION("""COMPUTED_VALUE"""),3.005102494E9)</f>
        <v>3005102494</v>
      </c>
      <c r="M5772" s="17" t="str">
        <f>IFERROR(__xludf.DUMMYFUNCTION("""COMPUTED_VALUE"""),"#REF!")</f>
        <v>#REF!</v>
      </c>
      <c r="N5772" s="17"/>
      <c r="O5772" s="17"/>
      <c r="P5772" s="17" t="b">
        <f>IFERROR(__xludf.DUMMYFUNCTION("""COMPUTED_VALUE"""),FALSE)</f>
        <v>0</v>
      </c>
      <c r="Q5772" s="20" t="str">
        <f>IFERROR(__xludf.DUMMYFUNCTION("""COMPUTED_VALUE"""),"")</f>
        <v/>
      </c>
      <c r="R5772" s="21" t="str">
        <f>IFERROR(__xludf.DUMMYFUNCTION("""COMPUTED_VALUE"""),"https://drive.google.com/file/d/1-ols-wxiqqyFqJjYodxpAZ2eSu3W6krN/view?usp=drivesdk")</f>
        <v>https://drive.google.com/file/d/1-ols-wxiqqyFqJjYodxpAZ2eSu3W6krN/view?usp=drivesdk</v>
      </c>
    </row>
    <row r="5773">
      <c r="A5773" s="17" t="str">
        <f>IFERROR(__xludf.DUMMYFUNCTION("""COMPUTED_VALUE"""),"")</f>
        <v/>
      </c>
      <c r="B5773" s="17" t="str">
        <f>IFERROR(__xludf.DUMMYFUNCTION("""COMPUTED_VALUE"""),"")</f>
        <v/>
      </c>
      <c r="C5773" s="17" t="str">
        <f>IFERROR(__xludf.DUMMYFUNCTION("""COMPUTED_VALUE"""),"")</f>
        <v/>
      </c>
      <c r="D5773" s="17" t="str">
        <f>IFERROR(__xludf.DUMMYFUNCTION("""COMPUTED_VALUE"""),"")</f>
        <v/>
      </c>
      <c r="E5773" s="17" t="str">
        <f>IFERROR(__xludf.DUMMYFUNCTION("""COMPUTED_VALUE"""),"")</f>
        <v/>
      </c>
      <c r="F5773" s="17" t="str">
        <f>IFERROR(__xludf.DUMMYFUNCTION("""COMPUTED_VALUE"""),"")</f>
        <v/>
      </c>
      <c r="G5773" s="17" t="str">
        <f>IFERROR(__xludf.DUMMYFUNCTION("""COMPUTED_VALUE"""),"")</f>
        <v/>
      </c>
      <c r="H5773" s="17" t="str">
        <f>IFERROR(__xludf.DUMMYFUNCTION("""COMPUTED_VALUE"""),"")</f>
        <v/>
      </c>
      <c r="I5773" s="17" t="str">
        <f>IFERROR(__xludf.DUMMYFUNCTION("""COMPUTED_VALUE"""),"")</f>
        <v/>
      </c>
      <c r="J5773" s="17" t="str">
        <f>IFERROR(__xludf.DUMMYFUNCTION("""COMPUTED_VALUE"""),"")</f>
        <v/>
      </c>
      <c r="K5773" s="17" t="str">
        <f>IFERROR(__xludf.DUMMYFUNCTION("""COMPUTED_VALUE"""),"")</f>
        <v/>
      </c>
      <c r="L5773" s="17" t="str">
        <f>IFERROR(__xludf.DUMMYFUNCTION("""COMPUTED_VALUE"""),"")</f>
        <v/>
      </c>
      <c r="M5773" s="17" t="str">
        <f>IFERROR(__xludf.DUMMYFUNCTION("""COMPUTED_VALUE"""),"")</f>
        <v/>
      </c>
      <c r="N5773" s="17" t="str">
        <f>IFERROR(__xludf.DUMMYFUNCTION("""COMPUTED_VALUE"""),"")</f>
        <v/>
      </c>
      <c r="O5773" s="17" t="str">
        <f>IFERROR(__xludf.DUMMYFUNCTION("""COMPUTED_VALUE"""),"")</f>
        <v/>
      </c>
      <c r="P5773" s="17" t="str">
        <f>IFERROR(__xludf.DUMMYFUNCTION("""COMPUTED_VALUE"""),"")</f>
        <v/>
      </c>
      <c r="Q5773" s="17" t="str">
        <f>IFERROR(__xludf.DUMMYFUNCTION("""COMPUTED_VALUE"""),"")</f>
        <v/>
      </c>
      <c r="R5773" s="17" t="str">
        <f>IFERROR(__xludf.DUMMYFUNCTION("""COMPUTED_VALUE"""),"")</f>
        <v/>
      </c>
    </row>
    <row r="5774">
      <c r="A5774" s="15">
        <f>IFERROR(__xludf.DUMMYFUNCTION("""COMPUTED_VALUE"""),45168.0)</f>
        <v>45168</v>
      </c>
      <c r="B5774" s="16" t="str">
        <f>IFERROR(__xludf.DUMMYFUNCTION("""COMPUTED_VALUE"""),"Anuar suarez jimenez ")</f>
        <v>Anuar suarez jimenez </v>
      </c>
      <c r="C5774" s="15" t="str">
        <f>IFERROR(__xludf.DUMMYFUNCTION("""COMPUTED_VALUE"""),"BARRANQUILLA")</f>
        <v>BARRANQUILLA</v>
      </c>
      <c r="D5774" s="15" t="str">
        <f>IFERROR(__xludf.DUMMYFUNCTION("""COMPUTED_VALUE"""),"BOGOTÁ")</f>
        <v>BOGOTÁ</v>
      </c>
      <c r="E5774" s="15" t="str">
        <f>IFERROR(__xludf.DUMMYFUNCTION("""COMPUTED_VALUE"""),"Athenas")</f>
        <v>Athenas</v>
      </c>
      <c r="F5774" s="17" t="str">
        <f>IFERROR(__xludf.DUMMYFUNCTION("""COMPUTED_VALUE"""),"Carrera 43 #60 25 / Cafetería bodytech recreo / Recreo")</f>
        <v>Carrera 43 #60 25 / Cafetería bodytech recreo / Recreo</v>
      </c>
      <c r="G5774" s="15" t="str">
        <f>IFERROR(__xludf.DUMMYFUNCTION("""COMPUTED_VALUE"""),"Yasser Gutiérrez reales")</f>
        <v>Yasser Gutiérrez reales</v>
      </c>
      <c r="H5774" s="16">
        <f>IFERROR(__xludf.DUMMYFUNCTION("""COMPUTED_VALUE"""),14481.0)</f>
        <v>14481</v>
      </c>
      <c r="I5774" s="18">
        <f>IFERROR(__xludf.DUMMYFUNCTION("""COMPUTED_VALUE"""),50.0)</f>
        <v>50</v>
      </c>
      <c r="J5774" s="18">
        <f>IFERROR(__xludf.DUMMYFUNCTION("""COMPUTED_VALUE"""),30.0)</f>
        <v>30</v>
      </c>
      <c r="K5774" s="18">
        <f>IFERROR(__xludf.DUMMYFUNCTION("""COMPUTED_VALUE"""),21.0)</f>
        <v>21</v>
      </c>
      <c r="L5774" s="17">
        <f>IFERROR(__xludf.DUMMYFUNCTION("""COMPUTED_VALUE"""),3.106158334E9)</f>
        <v>3106158334</v>
      </c>
      <c r="M5774" s="17" t="str">
        <f>IFERROR(__xludf.DUMMYFUNCTION("""COMPUTED_VALUE"""),"#REF!")</f>
        <v>#REF!</v>
      </c>
      <c r="N5774" s="17"/>
      <c r="O5774" s="17"/>
      <c r="P5774" s="17" t="b">
        <f>IFERROR(__xludf.DUMMYFUNCTION("""COMPUTED_VALUE"""),FALSE)</f>
        <v>0</v>
      </c>
      <c r="Q5774" s="20" t="str">
        <f>IFERROR(__xludf.DUMMYFUNCTION("""COMPUTED_VALUE"""),"")</f>
        <v/>
      </c>
      <c r="R5774" s="22" t="str">
        <f>IFERROR(__xludf.DUMMYFUNCTION("""COMPUTED_VALUE"""),"")</f>
        <v/>
      </c>
    </row>
    <row r="5775">
      <c r="A5775" s="15">
        <f>IFERROR(__xludf.DUMMYFUNCTION("""COMPUTED_VALUE"""),45168.0)</f>
        <v>45168</v>
      </c>
      <c r="B5775" s="16" t="str">
        <f>IFERROR(__xludf.DUMMYFUNCTION("""COMPUTED_VALUE"""),"Anuar suarez jimenez ")</f>
        <v>Anuar suarez jimenez </v>
      </c>
      <c r="C5775" s="15" t="str">
        <f>IFERROR(__xludf.DUMMYFUNCTION("""COMPUTED_VALUE"""),"MEDELLÍN")</f>
        <v>MEDELLÍN</v>
      </c>
      <c r="D5775" s="15" t="str">
        <f>IFERROR(__xludf.DUMMYFUNCTION("""COMPUTED_VALUE"""),"BOGOTÁ")</f>
        <v>BOGOTÁ</v>
      </c>
      <c r="E5775" s="15" t="str">
        <f>IFERROR(__xludf.DUMMYFUNCTION("""COMPUTED_VALUE"""),"Mochi")</f>
        <v>Mochi</v>
      </c>
      <c r="F5775" s="17" t="str">
        <f>IFERROR(__xludf.DUMMYFUNCTION("""COMPUTED_VALUE"""),"Cra. 48 #32B Sur-139, Zona 1, Envigado, Antioquia / Cra. 48 #32B Sur-139, Zona 1, Envigado, Antioquia / Cra. 48 #32B Sur-139, Zona 1, Envigado, Antioquia")</f>
        <v>Cra. 48 #32B Sur-139, Zona 1, Envigado, Antioquia / Cra. 48 #32B Sur-139, Zona 1, Envigado, Antioquia / Cra. 48 #32B Sur-139, Zona 1, Envigado, Antioquia</v>
      </c>
      <c r="G5775" s="15" t="str">
        <f>IFERROR(__xludf.DUMMYFUNCTION("""COMPUTED_VALUE"""),"TANIA")</f>
        <v>TANIA</v>
      </c>
      <c r="H5775" s="16">
        <f>IFERROR(__xludf.DUMMYFUNCTION("""COMPUTED_VALUE"""),14546.0)</f>
        <v>14546</v>
      </c>
      <c r="I5775" s="18">
        <f>IFERROR(__xludf.DUMMYFUNCTION("""COMPUTED_VALUE"""),100.0)</f>
        <v>100</v>
      </c>
      <c r="J5775" s="18">
        <f>IFERROR(__xludf.DUMMYFUNCTION("""COMPUTED_VALUE"""),200.0)</f>
        <v>200</v>
      </c>
      <c r="K5775" s="18">
        <f>IFERROR(__xludf.DUMMYFUNCTION("""COMPUTED_VALUE"""),200.0)</f>
        <v>200</v>
      </c>
      <c r="L5775" s="17">
        <f>IFERROR(__xludf.DUMMYFUNCTION("""COMPUTED_VALUE"""),3.142587995E9)</f>
        <v>3142587995</v>
      </c>
      <c r="M5775" s="17" t="str">
        <f>IFERROR(__xludf.DUMMYFUNCTION("""COMPUTED_VALUE"""),"#REF!")</f>
        <v>#REF!</v>
      </c>
      <c r="N5775" s="17"/>
      <c r="O5775" s="17"/>
      <c r="P5775" s="17" t="b">
        <f>IFERROR(__xludf.DUMMYFUNCTION("""COMPUTED_VALUE"""),FALSE)</f>
        <v>0</v>
      </c>
      <c r="Q5775" s="20" t="str">
        <f>IFERROR(__xludf.DUMMYFUNCTION("""COMPUTED_VALUE"""),"")</f>
        <v/>
      </c>
      <c r="R5775" s="22" t="str">
        <f>IFERROR(__xludf.DUMMYFUNCTION("""COMPUTED_VALUE"""),"")</f>
        <v/>
      </c>
    </row>
    <row r="5776">
      <c r="A5776" s="15">
        <f>IFERROR(__xludf.DUMMYFUNCTION("""COMPUTED_VALUE"""),45168.0)</f>
        <v>45168</v>
      </c>
      <c r="B5776" s="16" t="str">
        <f>IFERROR(__xludf.DUMMYFUNCTION("""COMPUTED_VALUE"""),"Anuar suarez jimenez ")</f>
        <v>Anuar suarez jimenez </v>
      </c>
      <c r="C5776" s="15" t="str">
        <f>IFERROR(__xludf.DUMMYFUNCTION("""COMPUTED_VALUE"""),"MONTERIA")</f>
        <v>MONTERIA</v>
      </c>
      <c r="D5776" s="15" t="str">
        <f>IFERROR(__xludf.DUMMYFUNCTION("""COMPUTED_VALUE"""),"BOGOTÁ")</f>
        <v>BOGOTÁ</v>
      </c>
      <c r="E5776" s="15" t="str">
        <f>IFERROR(__xludf.DUMMYFUNCTION("""COMPUTED_VALUE"""),"Asociacion Agropecuaria Juana Maria")</f>
        <v>Asociacion Agropecuaria Juana Maria</v>
      </c>
      <c r="F5776" s="17" t="str">
        <f>IFERROR(__xludf.DUMMYFUNCTION("""COMPUTED_VALUE"""),"Cra 14A #54-23 Barrio Monte Verde")</f>
        <v>Cra 14A #54-23 Barrio Monte Verde</v>
      </c>
      <c r="G5776" s="15" t="str">
        <f>IFERROR(__xludf.DUMMYFUNCTION("""COMPUTED_VALUE"""),"Emilia Miranda")</f>
        <v>Emilia Miranda</v>
      </c>
      <c r="H5776" s="16">
        <f>IFERROR(__xludf.DUMMYFUNCTION("""COMPUTED_VALUE"""),14416.0)</f>
        <v>14416</v>
      </c>
      <c r="I5776" s="18">
        <f>IFERROR(__xludf.DUMMYFUNCTION("""COMPUTED_VALUE"""),21.0)</f>
        <v>21</v>
      </c>
      <c r="J5776" s="18">
        <f>IFERROR(__xludf.DUMMYFUNCTION("""COMPUTED_VALUE"""),37.0)</f>
        <v>37</v>
      </c>
      <c r="K5776" s="18">
        <f>IFERROR(__xludf.DUMMYFUNCTION("""COMPUTED_VALUE"""),30.0)</f>
        <v>30</v>
      </c>
      <c r="L5776" s="17">
        <f>IFERROR(__xludf.DUMMYFUNCTION("""COMPUTED_VALUE"""),3.113438505E9)</f>
        <v>3113438505</v>
      </c>
      <c r="M5776" s="17" t="str">
        <f>IFERROR(__xludf.DUMMYFUNCTION("""COMPUTED_VALUE"""),"#REF!")</f>
        <v>#REF!</v>
      </c>
      <c r="N5776" s="17"/>
      <c r="O5776" s="17"/>
      <c r="P5776" s="17" t="b">
        <f>IFERROR(__xludf.DUMMYFUNCTION("""COMPUTED_VALUE"""),FALSE)</f>
        <v>0</v>
      </c>
      <c r="Q5776" s="20" t="str">
        <f>IFERROR(__xludf.DUMMYFUNCTION("""COMPUTED_VALUE"""),"")</f>
        <v/>
      </c>
      <c r="R5776" s="21" t="str">
        <f>IFERROR(__xludf.DUMMYFUNCTION("""COMPUTED_VALUE"""),"https://drive.google.com/file/d/1s8qi5bOab8OmJc7QKleGj0sSXSAm2xpv/view?usp=drivesdk")</f>
        <v>https://drive.google.com/file/d/1s8qi5bOab8OmJc7QKleGj0sSXSAm2xpv/view?usp=drivesdk</v>
      </c>
    </row>
    <row r="5777">
      <c r="A5777" s="15">
        <f>IFERROR(__xludf.DUMMYFUNCTION("""COMPUTED_VALUE"""),45168.0)</f>
        <v>45168</v>
      </c>
      <c r="B5777" s="16" t="str">
        <f>IFERROR(__xludf.DUMMYFUNCTION("""COMPUTED_VALUE"""),"Anuar suarez jimenez ")</f>
        <v>Anuar suarez jimenez </v>
      </c>
      <c r="C5777" s="15" t="str">
        <f>IFERROR(__xludf.DUMMYFUNCTION("""COMPUTED_VALUE"""),"MONTERIA")</f>
        <v>MONTERIA</v>
      </c>
      <c r="D5777" s="15" t="str">
        <f>IFERROR(__xludf.DUMMYFUNCTION("""COMPUTED_VALUE"""),"BOGOTÁ")</f>
        <v>BOGOTÁ</v>
      </c>
      <c r="E5777" s="15" t="str">
        <f>IFERROR(__xludf.DUMMYFUNCTION("""COMPUTED_VALUE"""),"Once Trigos")</f>
        <v>Once Trigos</v>
      </c>
      <c r="F5777" s="17" t="str">
        <f>IFERROR(__xludf.DUMMYFUNCTION("""COMPUTED_VALUE"""),"CALLE 44 #  10-91  / CENTRO COMERCIAL  ALAMEDAS  / CENTRO COMERCIAL ALAMEDAS LOCAAL 4 ENJOY FIT")</f>
        <v>CALLE 44 #  10-91  / CENTRO COMERCIAL  ALAMEDAS  / CENTRO COMERCIAL ALAMEDAS LOCAAL 4 ENJOY FIT</v>
      </c>
      <c r="G5777" s="15" t="str">
        <f>IFERROR(__xludf.DUMMYFUNCTION("""COMPUTED_VALUE"""),"ENJOY FIT ALAMEDAS")</f>
        <v>ENJOY FIT ALAMEDAS</v>
      </c>
      <c r="H5777" s="16">
        <f>IFERROR(__xludf.DUMMYFUNCTION("""COMPUTED_VALUE"""),14482.0)</f>
        <v>14482</v>
      </c>
      <c r="I5777" s="18">
        <f>IFERROR(__xludf.DUMMYFUNCTION("""COMPUTED_VALUE"""),27.0)</f>
        <v>27</v>
      </c>
      <c r="J5777" s="18">
        <f>IFERROR(__xludf.DUMMYFUNCTION("""COMPUTED_VALUE"""),58.0)</f>
        <v>58</v>
      </c>
      <c r="K5777" s="18">
        <f>IFERROR(__xludf.DUMMYFUNCTION("""COMPUTED_VALUE"""),39.0)</f>
        <v>39</v>
      </c>
      <c r="L5777" s="17">
        <f>IFERROR(__xludf.DUMMYFUNCTION("""COMPUTED_VALUE"""),3.107294683E9)</f>
        <v>3107294683</v>
      </c>
      <c r="M5777" s="17" t="str">
        <f>IFERROR(__xludf.DUMMYFUNCTION("""COMPUTED_VALUE"""),"#REF!")</f>
        <v>#REF!</v>
      </c>
      <c r="N5777" s="17"/>
      <c r="O5777" s="17"/>
      <c r="P5777" s="17" t="b">
        <f>IFERROR(__xludf.DUMMYFUNCTION("""COMPUTED_VALUE"""),FALSE)</f>
        <v>0</v>
      </c>
      <c r="Q5777" s="20" t="str">
        <f>IFERROR(__xludf.DUMMYFUNCTION("""COMPUTED_VALUE"""),"")</f>
        <v/>
      </c>
      <c r="R5777" s="21" t="str">
        <f>IFERROR(__xludf.DUMMYFUNCTION("""COMPUTED_VALUE"""),"https://drive.google.com/file/d/1HK6TkwTSZWz5Dwn_X9cjqUIInJmGRXDO/view?usp=drivesdk")</f>
        <v>https://drive.google.com/file/d/1HK6TkwTSZWz5Dwn_X9cjqUIInJmGRXDO/view?usp=drivesdk</v>
      </c>
    </row>
    <row r="5778">
      <c r="A5778" s="17" t="str">
        <f>IFERROR(__xludf.DUMMYFUNCTION("""COMPUTED_VALUE"""),"")</f>
        <v/>
      </c>
      <c r="B5778" s="17" t="str">
        <f>IFERROR(__xludf.DUMMYFUNCTION("""COMPUTED_VALUE"""),"")</f>
        <v/>
      </c>
      <c r="C5778" s="17" t="str">
        <f>IFERROR(__xludf.DUMMYFUNCTION("""COMPUTED_VALUE"""),"")</f>
        <v/>
      </c>
      <c r="D5778" s="17" t="str">
        <f>IFERROR(__xludf.DUMMYFUNCTION("""COMPUTED_VALUE"""),"")</f>
        <v/>
      </c>
      <c r="E5778" s="17" t="str">
        <f>IFERROR(__xludf.DUMMYFUNCTION("""COMPUTED_VALUE"""),"")</f>
        <v/>
      </c>
      <c r="F5778" s="17" t="str">
        <f>IFERROR(__xludf.DUMMYFUNCTION("""COMPUTED_VALUE"""),"")</f>
        <v/>
      </c>
      <c r="G5778" s="17" t="str">
        <f>IFERROR(__xludf.DUMMYFUNCTION("""COMPUTED_VALUE"""),"")</f>
        <v/>
      </c>
      <c r="H5778" s="17" t="str">
        <f>IFERROR(__xludf.DUMMYFUNCTION("""COMPUTED_VALUE"""),"")</f>
        <v/>
      </c>
      <c r="I5778" s="17" t="str">
        <f>IFERROR(__xludf.DUMMYFUNCTION("""COMPUTED_VALUE"""),"")</f>
        <v/>
      </c>
      <c r="J5778" s="17" t="str">
        <f>IFERROR(__xludf.DUMMYFUNCTION("""COMPUTED_VALUE"""),"")</f>
        <v/>
      </c>
      <c r="K5778" s="17" t="str">
        <f>IFERROR(__xludf.DUMMYFUNCTION("""COMPUTED_VALUE"""),"")</f>
        <v/>
      </c>
      <c r="L5778" s="17" t="str">
        <f>IFERROR(__xludf.DUMMYFUNCTION("""COMPUTED_VALUE"""),"")</f>
        <v/>
      </c>
      <c r="M5778" s="17" t="str">
        <f>IFERROR(__xludf.DUMMYFUNCTION("""COMPUTED_VALUE"""),"")</f>
        <v/>
      </c>
      <c r="N5778" s="17" t="str">
        <f>IFERROR(__xludf.DUMMYFUNCTION("""COMPUTED_VALUE"""),"")</f>
        <v/>
      </c>
      <c r="O5778" s="17" t="str">
        <f>IFERROR(__xludf.DUMMYFUNCTION("""COMPUTED_VALUE"""),"")</f>
        <v/>
      </c>
      <c r="P5778" s="17" t="str">
        <f>IFERROR(__xludf.DUMMYFUNCTION("""COMPUTED_VALUE"""),"")</f>
        <v/>
      </c>
      <c r="Q5778" s="17" t="str">
        <f>IFERROR(__xludf.DUMMYFUNCTION("""COMPUTED_VALUE"""),"")</f>
        <v/>
      </c>
      <c r="R5778" s="17" t="str">
        <f>IFERROR(__xludf.DUMMYFUNCTION("""COMPUTED_VALUE"""),"")</f>
        <v/>
      </c>
    </row>
    <row r="5779">
      <c r="A5779" s="15">
        <f>IFERROR(__xludf.DUMMYFUNCTION("""COMPUTED_VALUE"""),45168.0)</f>
        <v>45168</v>
      </c>
      <c r="B5779" s="16" t="str">
        <f>IFERROR(__xludf.DUMMYFUNCTION("""COMPUTED_VALUE"""),"David Sanmartin Bello")</f>
        <v>David Sanmartin Bello</v>
      </c>
      <c r="C5779" s="15" t="str">
        <f>IFERROR(__xludf.DUMMYFUNCTION("""COMPUTED_VALUE"""),"CALI")</f>
        <v>CALI</v>
      </c>
      <c r="D5779" s="15" t="str">
        <f>IFERROR(__xludf.DUMMYFUNCTION("""COMPUTED_VALUE"""),"MEDELLÍN")</f>
        <v>MEDELLÍN</v>
      </c>
      <c r="E5779" s="15" t="str">
        <f>IFERROR(__xludf.DUMMYFUNCTION("""COMPUTED_VALUE"""),"Moloso S.A.S")</f>
        <v>Moloso S.A.S</v>
      </c>
      <c r="F5779" s="17" t="str">
        <f>IFERROR(__xludf.DUMMYFUNCTION("""COMPUTED_VALUE"""),"AVENIDA 3 OESTE 13 94 / EDIF SOL DEL OESTE APT 702")</f>
        <v>AVENIDA 3 OESTE 13 94 / EDIF SOL DEL OESTE APT 702</v>
      </c>
      <c r="G5779" s="15" t="str">
        <f>IFERROR(__xludf.DUMMYFUNCTION("""COMPUTED_VALUE"""),"LAURA HERNÁNDEZ ALVIAR")</f>
        <v>LAURA HERNÁNDEZ ALVIAR</v>
      </c>
      <c r="H5779" s="16">
        <f>IFERROR(__xludf.DUMMYFUNCTION("""COMPUTED_VALUE"""),14522.0)</f>
        <v>14522</v>
      </c>
      <c r="I5779" s="18">
        <f>IFERROR(__xludf.DUMMYFUNCTION("""COMPUTED_VALUE"""),17.0)</f>
        <v>17</v>
      </c>
      <c r="J5779" s="18">
        <f>IFERROR(__xludf.DUMMYFUNCTION("""COMPUTED_VALUE"""),15.0)</f>
        <v>15</v>
      </c>
      <c r="K5779" s="18">
        <f>IFERROR(__xludf.DUMMYFUNCTION("""COMPUTED_VALUE"""),28.0)</f>
        <v>28</v>
      </c>
      <c r="L5779" s="17" t="str">
        <f>IFERROR(__xludf.DUMMYFUNCTION("""COMPUTED_VALUE"""),"315 5762974")</f>
        <v>315 5762974</v>
      </c>
      <c r="M5779" s="17" t="str">
        <f>IFERROR(__xludf.DUMMYFUNCTION("""COMPUTED_VALUE"""),"#REF!")</f>
        <v>#REF!</v>
      </c>
      <c r="N5779" s="17"/>
      <c r="O5779" s="17"/>
      <c r="P5779" s="17" t="b">
        <f>IFERROR(__xludf.DUMMYFUNCTION("""COMPUTED_VALUE"""),FALSE)</f>
        <v>0</v>
      </c>
      <c r="Q5779" s="20" t="str">
        <f>IFERROR(__xludf.DUMMYFUNCTION("""COMPUTED_VALUE"""),"")</f>
        <v/>
      </c>
      <c r="R5779" s="22" t="str">
        <f>IFERROR(__xludf.DUMMYFUNCTION("""COMPUTED_VALUE"""),"")</f>
        <v/>
      </c>
    </row>
    <row r="5780">
      <c r="A5780" s="15">
        <f>IFERROR(__xludf.DUMMYFUNCTION("""COMPUTED_VALUE"""),45168.0)</f>
        <v>45168</v>
      </c>
      <c r="B5780" s="16" t="str">
        <f>IFERROR(__xludf.DUMMYFUNCTION("""COMPUTED_VALUE"""),"David Sanmartin Bello")</f>
        <v>David Sanmartin Bello</v>
      </c>
      <c r="C5780" s="15" t="str">
        <f>IFERROR(__xludf.DUMMYFUNCTION("""COMPUTED_VALUE"""),"CALI")</f>
        <v>CALI</v>
      </c>
      <c r="D5780" s="15" t="str">
        <f>IFERROR(__xludf.DUMMYFUNCTION("""COMPUTED_VALUE"""),"MEDELLÍN")</f>
        <v>MEDELLÍN</v>
      </c>
      <c r="E5780" s="15" t="str">
        <f>IFERROR(__xludf.DUMMYFUNCTION("""COMPUTED_VALUE"""),"Rambla")</f>
        <v>Rambla</v>
      </c>
      <c r="F5780" s="17" t="str">
        <f>IFERROR(__xludf.DUMMYFUNCTION("""COMPUTED_VALUE"""),"calle 49# 37 A-56 / - / -")</f>
        <v>calle 49# 37 A-56 / - / -</v>
      </c>
      <c r="G5780" s="15" t="str">
        <f>IFERROR(__xludf.DUMMYFUNCTION("""COMPUTED_VALUE"""),"Nutriligth")</f>
        <v>Nutriligth</v>
      </c>
      <c r="H5780" s="16">
        <f>IFERROR(__xludf.DUMMYFUNCTION("""COMPUTED_VALUE"""),14537.0)</f>
        <v>14537</v>
      </c>
      <c r="I5780" s="18">
        <f>IFERROR(__xludf.DUMMYFUNCTION("""COMPUTED_VALUE"""),15.0)</f>
        <v>15</v>
      </c>
      <c r="J5780" s="18">
        <f>IFERROR(__xludf.DUMMYFUNCTION("""COMPUTED_VALUE"""),24.0)</f>
        <v>24</v>
      </c>
      <c r="K5780" s="18">
        <f>IFERROR(__xludf.DUMMYFUNCTION("""COMPUTED_VALUE"""),24.0)</f>
        <v>24</v>
      </c>
      <c r="L5780" s="17">
        <f>IFERROR(__xludf.DUMMYFUNCTION("""COMPUTED_VALUE"""),3.016282811E9)</f>
        <v>3016282811</v>
      </c>
      <c r="M5780" s="17" t="str">
        <f>IFERROR(__xludf.DUMMYFUNCTION("""COMPUTED_VALUE"""),"#REF!")</f>
        <v>#REF!</v>
      </c>
      <c r="N5780" s="17"/>
      <c r="O5780" s="17"/>
      <c r="P5780" s="17" t="b">
        <f>IFERROR(__xludf.DUMMYFUNCTION("""COMPUTED_VALUE"""),FALSE)</f>
        <v>0</v>
      </c>
      <c r="Q5780" s="20" t="str">
        <f>IFERROR(__xludf.DUMMYFUNCTION("""COMPUTED_VALUE"""),"")</f>
        <v/>
      </c>
      <c r="R5780" s="21" t="str">
        <f>IFERROR(__xludf.DUMMYFUNCTION("""COMPUTED_VALUE"""),"https://drive.google.com/file/d/1qcsa42SXyeGBF3rKqVJlxqNPUmL9dGn5/view?usp=drivesdk")</f>
        <v>https://drive.google.com/file/d/1qcsa42SXyeGBF3rKqVJlxqNPUmL9dGn5/view?usp=drivesdk</v>
      </c>
    </row>
    <row r="5781">
      <c r="A5781" s="17" t="str">
        <f>IFERROR(__xludf.DUMMYFUNCTION("""COMPUTED_VALUE"""),"")</f>
        <v/>
      </c>
      <c r="B5781" s="17" t="str">
        <f>IFERROR(__xludf.DUMMYFUNCTION("""COMPUTED_VALUE"""),"")</f>
        <v/>
      </c>
      <c r="C5781" s="17" t="str">
        <f>IFERROR(__xludf.DUMMYFUNCTION("""COMPUTED_VALUE"""),"")</f>
        <v/>
      </c>
      <c r="D5781" s="17" t="str">
        <f>IFERROR(__xludf.DUMMYFUNCTION("""COMPUTED_VALUE"""),"")</f>
        <v/>
      </c>
      <c r="E5781" s="17" t="str">
        <f>IFERROR(__xludf.DUMMYFUNCTION("""COMPUTED_VALUE"""),"")</f>
        <v/>
      </c>
      <c r="F5781" s="17" t="str">
        <f>IFERROR(__xludf.DUMMYFUNCTION("""COMPUTED_VALUE"""),"")</f>
        <v/>
      </c>
      <c r="G5781" s="17" t="str">
        <f>IFERROR(__xludf.DUMMYFUNCTION("""COMPUTED_VALUE"""),"")</f>
        <v/>
      </c>
      <c r="H5781" s="17" t="str">
        <f>IFERROR(__xludf.DUMMYFUNCTION("""COMPUTED_VALUE"""),"")</f>
        <v/>
      </c>
      <c r="I5781" s="17" t="str">
        <f>IFERROR(__xludf.DUMMYFUNCTION("""COMPUTED_VALUE"""),"")</f>
        <v/>
      </c>
      <c r="J5781" s="17" t="str">
        <f>IFERROR(__xludf.DUMMYFUNCTION("""COMPUTED_VALUE"""),"")</f>
        <v/>
      </c>
      <c r="K5781" s="17" t="str">
        <f>IFERROR(__xludf.DUMMYFUNCTION("""COMPUTED_VALUE"""),"")</f>
        <v/>
      </c>
      <c r="L5781" s="17" t="str">
        <f>IFERROR(__xludf.DUMMYFUNCTION("""COMPUTED_VALUE"""),"")</f>
        <v/>
      </c>
      <c r="M5781" s="17" t="str">
        <f>IFERROR(__xludf.DUMMYFUNCTION("""COMPUTED_VALUE"""),"")</f>
        <v/>
      </c>
      <c r="N5781" s="17" t="str">
        <f>IFERROR(__xludf.DUMMYFUNCTION("""COMPUTED_VALUE"""),"")</f>
        <v/>
      </c>
      <c r="O5781" s="17" t="str">
        <f>IFERROR(__xludf.DUMMYFUNCTION("""COMPUTED_VALUE"""),"")</f>
        <v/>
      </c>
      <c r="P5781" s="17" t="str">
        <f>IFERROR(__xludf.DUMMYFUNCTION("""COMPUTED_VALUE"""),"")</f>
        <v/>
      </c>
      <c r="Q5781" s="17" t="str">
        <f>IFERROR(__xludf.DUMMYFUNCTION("""COMPUTED_VALUE"""),"")</f>
        <v/>
      </c>
      <c r="R5781" s="17" t="str">
        <f>IFERROR(__xludf.DUMMYFUNCTION("""COMPUTED_VALUE"""),"")</f>
        <v/>
      </c>
    </row>
    <row r="5782">
      <c r="A5782" s="15">
        <f>IFERROR(__xludf.DUMMYFUNCTION("""COMPUTED_VALUE"""),45168.0)</f>
        <v>45168</v>
      </c>
      <c r="B5782" s="16" t="str">
        <f>IFERROR(__xludf.DUMMYFUNCTION("""COMPUTED_VALUE"""),"Envia")</f>
        <v>Envia</v>
      </c>
      <c r="C5782" s="15" t="str">
        <f>IFERROR(__xludf.DUMMYFUNCTION("""COMPUTED_VALUE"""),"BOGOTÁ")</f>
        <v>BOGOTÁ</v>
      </c>
      <c r="D5782" s="15" t="str">
        <f>IFERROR(__xludf.DUMMYFUNCTION("""COMPUTED_VALUE"""),"MEDELLÍN")</f>
        <v>MEDELLÍN</v>
      </c>
      <c r="E5782" s="15" t="str">
        <f>IFERROR(__xludf.DUMMYFUNCTION("""COMPUTED_VALUE"""),"Terravocado")</f>
        <v>Terravocado</v>
      </c>
      <c r="F5782" s="17" t="str">
        <f>IFERROR(__xludf.DUMMYFUNCTION("""COMPUTED_VALUE"""),"CRA 20 # 168 - 30 / TOBERIN  / TOBERIN")</f>
        <v>CRA 20 # 168 - 30 / TOBERIN  / TOBERIN</v>
      </c>
      <c r="G5782" s="15" t="str">
        <f>IFERROR(__xludf.DUMMYFUNCTION("""COMPUTED_VALUE"""),"GRUPO KOI FU SAS")</f>
        <v>GRUPO KOI FU SAS</v>
      </c>
      <c r="H5782" s="16">
        <f>IFERROR(__xludf.DUMMYFUNCTION("""COMPUTED_VALUE"""),14431.0)</f>
        <v>14431</v>
      </c>
      <c r="I5782" s="18">
        <f>IFERROR(__xludf.DUMMYFUNCTION("""COMPUTED_VALUE"""),20.0)</f>
        <v>20</v>
      </c>
      <c r="J5782" s="18">
        <f>IFERROR(__xludf.DUMMYFUNCTION("""COMPUTED_VALUE"""),24.0)</f>
        <v>24</v>
      </c>
      <c r="K5782" s="18">
        <f>IFERROR(__xludf.DUMMYFUNCTION("""COMPUTED_VALUE"""),34.0)</f>
        <v>34</v>
      </c>
      <c r="L5782" s="17">
        <f>IFERROR(__xludf.DUMMYFUNCTION("""COMPUTED_VALUE"""),3.125489315E9)</f>
        <v>3125489315</v>
      </c>
      <c r="M5782" s="17" t="str">
        <f>IFERROR(__xludf.DUMMYFUNCTION("""COMPUTED_VALUE"""),"#REF!")</f>
        <v>#REF!</v>
      </c>
      <c r="N5782" s="17"/>
      <c r="O5782" s="17"/>
      <c r="P5782" s="17" t="b">
        <f>IFERROR(__xludf.DUMMYFUNCTION("""COMPUTED_VALUE"""),FALSE)</f>
        <v>0</v>
      </c>
      <c r="Q5782" s="20" t="str">
        <f>IFERROR(__xludf.DUMMYFUNCTION("""COMPUTED_VALUE"""),"")</f>
        <v/>
      </c>
      <c r="R5782" s="21" t="str">
        <f>IFERROR(__xludf.DUMMYFUNCTION("""COMPUTED_VALUE"""),"https://drive.google.com/file/d/1PEGZB1nAuzjK6qBZ96HvNfan1NMOoXJN/view?usp=drivesdk")</f>
        <v>https://drive.google.com/file/d/1PEGZB1nAuzjK6qBZ96HvNfan1NMOoXJN/view?usp=drivesdk</v>
      </c>
    </row>
    <row r="5783">
      <c r="A5783" s="15">
        <f>IFERROR(__xludf.DUMMYFUNCTION("""COMPUTED_VALUE"""),45168.0)</f>
        <v>45168</v>
      </c>
      <c r="B5783" s="16" t="str">
        <f>IFERROR(__xludf.DUMMYFUNCTION("""COMPUTED_VALUE"""),"Envia")</f>
        <v>Envia</v>
      </c>
      <c r="C5783" s="15" t="str">
        <f>IFERROR(__xludf.DUMMYFUNCTION("""COMPUTED_VALUE"""),"BOGOTÁ")</f>
        <v>BOGOTÁ</v>
      </c>
      <c r="D5783" s="15" t="str">
        <f>IFERROR(__xludf.DUMMYFUNCTION("""COMPUTED_VALUE"""),"MEDELLÍN")</f>
        <v>MEDELLÍN</v>
      </c>
      <c r="E5783" s="15" t="str">
        <f>IFERROR(__xludf.DUMMYFUNCTION("""COMPUTED_VALUE"""),"TOLEDALES S.A.S")</f>
        <v>TOLEDALES S.A.S</v>
      </c>
      <c r="F5783" s="17" t="str">
        <f>IFERROR(__xludf.DUMMYFUNCTION("""COMPUTED_VALUE"""),"Calle 103# 17A-62 / Apto 802.")</f>
        <v>Calle 103# 17A-62 / Apto 802.</v>
      </c>
      <c r="G5783" s="15" t="str">
        <f>IFERROR(__xludf.DUMMYFUNCTION("""COMPUTED_VALUE"""),"Luz Maria Sanches Duque")</f>
        <v>Luz Maria Sanches Duque</v>
      </c>
      <c r="H5783" s="16">
        <f>IFERROR(__xludf.DUMMYFUNCTION("""COMPUTED_VALUE"""),14437.0)</f>
        <v>14437</v>
      </c>
      <c r="I5783" s="18">
        <f>IFERROR(__xludf.DUMMYFUNCTION("""COMPUTED_VALUE"""),12.0)</f>
        <v>12</v>
      </c>
      <c r="J5783" s="18">
        <f>IFERROR(__xludf.DUMMYFUNCTION("""COMPUTED_VALUE"""),13.0)</f>
        <v>13</v>
      </c>
      <c r="K5783" s="18">
        <f>IFERROR(__xludf.DUMMYFUNCTION("""COMPUTED_VALUE"""),23.0)</f>
        <v>23</v>
      </c>
      <c r="L5783" s="17">
        <f>IFERROR(__xludf.DUMMYFUNCTION("""COMPUTED_VALUE"""),3.104139524E9)</f>
        <v>3104139524</v>
      </c>
      <c r="M5783" s="17" t="str">
        <f>IFERROR(__xludf.DUMMYFUNCTION("""COMPUTED_VALUE"""),"#REF!")</f>
        <v>#REF!</v>
      </c>
      <c r="N5783" s="17"/>
      <c r="O5783" s="17"/>
      <c r="P5783" s="17" t="b">
        <f>IFERROR(__xludf.DUMMYFUNCTION("""COMPUTED_VALUE"""),FALSE)</f>
        <v>0</v>
      </c>
      <c r="Q5783" s="20" t="str">
        <f>IFERROR(__xludf.DUMMYFUNCTION("""COMPUTED_VALUE"""),"")</f>
        <v/>
      </c>
      <c r="R5783" s="21" t="str">
        <f>IFERROR(__xludf.DUMMYFUNCTION("""COMPUTED_VALUE"""),"https://drive.google.com/file/d/1iqxOg6D5k2wx0Uq0nQzxdDB1hreMccuQ/view?usp=drivesdk")</f>
        <v>https://drive.google.com/file/d/1iqxOg6D5k2wx0Uq0nQzxdDB1hreMccuQ/view?usp=drivesdk</v>
      </c>
    </row>
    <row r="5784">
      <c r="A5784" s="15">
        <f>IFERROR(__xludf.DUMMYFUNCTION("""COMPUTED_VALUE"""),45168.0)</f>
        <v>45168</v>
      </c>
      <c r="B5784" s="16" t="str">
        <f>IFERROR(__xludf.DUMMYFUNCTION("""COMPUTED_VALUE"""),"Envia")</f>
        <v>Envia</v>
      </c>
      <c r="C5784" s="15" t="str">
        <f>IFERROR(__xludf.DUMMYFUNCTION("""COMPUTED_VALUE"""),"CALI")</f>
        <v>CALI</v>
      </c>
      <c r="D5784" s="15" t="str">
        <f>IFERROR(__xludf.DUMMYFUNCTION("""COMPUTED_VALUE"""),"MEDELLÍN")</f>
        <v>MEDELLÍN</v>
      </c>
      <c r="E5784" s="15" t="str">
        <f>IFERROR(__xludf.DUMMYFUNCTION("""COMPUTED_VALUE"""),"AREPAS LA MARY")</f>
        <v>AREPAS LA MARY</v>
      </c>
      <c r="F5784" s="17" t="str">
        <f>IFERROR(__xludf.DUMMYFUNCTION("""COMPUTED_VALUE"""),"av 4 norte 7 n 46 local 129 / centro comercial centenario local 129")</f>
        <v>av 4 norte 7 n 46 local 129 / centro comercial centenario local 129</v>
      </c>
      <c r="G5784" s="15" t="str">
        <f>IFERROR(__xludf.DUMMYFUNCTION("""COMPUTED_VALUE"""),"Vitafitness SAS cali")</f>
        <v>Vitafitness SAS cali</v>
      </c>
      <c r="H5784" s="16">
        <f>IFERROR(__xludf.DUMMYFUNCTION("""COMPUTED_VALUE"""),14475.0)</f>
        <v>14475</v>
      </c>
      <c r="I5784" s="18">
        <f>IFERROR(__xludf.DUMMYFUNCTION("""COMPUTED_VALUE"""),89.0)</f>
        <v>89</v>
      </c>
      <c r="J5784" s="18">
        <f>IFERROR(__xludf.DUMMYFUNCTION("""COMPUTED_VALUE"""),1.0)</f>
        <v>1</v>
      </c>
      <c r="K5784" s="18">
        <f>IFERROR(__xludf.DUMMYFUNCTION("""COMPUTED_VALUE"""),10.0)</f>
        <v>10</v>
      </c>
      <c r="L5784" s="17">
        <f>IFERROR(__xludf.DUMMYFUNCTION("""COMPUTED_VALUE"""),3.10443232E9)</f>
        <v>3104432320</v>
      </c>
      <c r="M5784" s="17" t="str">
        <f>IFERROR(__xludf.DUMMYFUNCTION("""COMPUTED_VALUE"""),"#REF!")</f>
        <v>#REF!</v>
      </c>
      <c r="N5784" s="17"/>
      <c r="O5784" s="17"/>
      <c r="P5784" s="17" t="b">
        <f>IFERROR(__xludf.DUMMYFUNCTION("""COMPUTED_VALUE"""),FALSE)</f>
        <v>0</v>
      </c>
      <c r="Q5784" s="20" t="str">
        <f>IFERROR(__xludf.DUMMYFUNCTION("""COMPUTED_VALUE"""),"")</f>
        <v/>
      </c>
      <c r="R5784" s="21" t="str">
        <f>IFERROR(__xludf.DUMMYFUNCTION("""COMPUTED_VALUE"""),"https://drive.google.com/file/d/1b60U1D4cvAWqhr6NKbdFaf0hHEDBfuLf/view?usp=drivesdk")</f>
        <v>https://drive.google.com/file/d/1b60U1D4cvAWqhr6NKbdFaf0hHEDBfuLf/view?usp=drivesdk</v>
      </c>
    </row>
    <row r="5785">
      <c r="A5785" s="15">
        <f>IFERROR(__xludf.DUMMYFUNCTION("""COMPUTED_VALUE"""),45168.0)</f>
        <v>45168</v>
      </c>
      <c r="B5785" s="16" t="str">
        <f>IFERROR(__xludf.DUMMYFUNCTION("""COMPUTED_VALUE"""),"Envia")</f>
        <v>Envia</v>
      </c>
      <c r="C5785" s="15" t="str">
        <f>IFERROR(__xludf.DUMMYFUNCTION("""COMPUTED_VALUE"""),"CÚCUTA")</f>
        <v>CÚCUTA</v>
      </c>
      <c r="D5785" s="15" t="str">
        <f>IFERROR(__xludf.DUMMYFUNCTION("""COMPUTED_VALUE"""),"BOGOTÁ")</f>
        <v>BOGOTÁ</v>
      </c>
      <c r="E5785" s="15" t="str">
        <f>IFERROR(__xludf.DUMMYFUNCTION("""COMPUTED_VALUE"""),"Asociacion Agropecuaria Juana Maria")</f>
        <v>Asociacion Agropecuaria Juana Maria</v>
      </c>
      <c r="F5785" s="17" t="str">
        <f>IFERROR(__xludf.DUMMYFUNCTION("""COMPUTED_VALUE"""),"AV. 2E # 15 A -17   PISTACHO FIT MARKET BARRIO CAOBOS")</f>
        <v>AV. 2E # 15 A -17   PISTACHO FIT MARKET BARRIO CAOBOS</v>
      </c>
      <c r="G5785" s="15" t="str">
        <f>IFERROR(__xludf.DUMMYFUNCTION("""COMPUTED_VALUE"""),"DACCY KARINA LOPEZ")</f>
        <v>DACCY KARINA LOPEZ</v>
      </c>
      <c r="H5785" s="16">
        <f>IFERROR(__xludf.DUMMYFUNCTION("""COMPUTED_VALUE"""),14418.0)</f>
        <v>14418</v>
      </c>
      <c r="I5785" s="18">
        <f>IFERROR(__xludf.DUMMYFUNCTION("""COMPUTED_VALUE"""),30.0)</f>
        <v>30</v>
      </c>
      <c r="J5785" s="18">
        <f>IFERROR(__xludf.DUMMYFUNCTION("""COMPUTED_VALUE"""),50.0)</f>
        <v>50</v>
      </c>
      <c r="K5785" s="18">
        <f>IFERROR(__xludf.DUMMYFUNCTION("""COMPUTED_VALUE"""),21.0)</f>
        <v>21</v>
      </c>
      <c r="L5785" s="17">
        <f>IFERROR(__xludf.DUMMYFUNCTION("""COMPUTED_VALUE"""),3.208615379E9)</f>
        <v>3208615379</v>
      </c>
      <c r="M5785" s="17" t="str">
        <f>IFERROR(__xludf.DUMMYFUNCTION("""COMPUTED_VALUE"""),"#REF!")</f>
        <v>#REF!</v>
      </c>
      <c r="N5785" s="17"/>
      <c r="O5785" s="17"/>
      <c r="P5785" s="17" t="b">
        <f>IFERROR(__xludf.DUMMYFUNCTION("""COMPUTED_VALUE"""),FALSE)</f>
        <v>0</v>
      </c>
      <c r="Q5785" s="20" t="str">
        <f>IFERROR(__xludf.DUMMYFUNCTION("""COMPUTED_VALUE"""),"")</f>
        <v/>
      </c>
      <c r="R5785" s="22" t="str">
        <f>IFERROR(__xludf.DUMMYFUNCTION("""COMPUTED_VALUE"""),"")</f>
        <v/>
      </c>
    </row>
    <row r="5786">
      <c r="A5786" s="17" t="str">
        <f>IFERROR(__xludf.DUMMYFUNCTION("""COMPUTED_VALUE"""),"")</f>
        <v/>
      </c>
      <c r="B5786" s="17" t="str">
        <f>IFERROR(__xludf.DUMMYFUNCTION("""COMPUTED_VALUE"""),"")</f>
        <v/>
      </c>
      <c r="C5786" s="17" t="str">
        <f>IFERROR(__xludf.DUMMYFUNCTION("""COMPUTED_VALUE"""),"")</f>
        <v/>
      </c>
      <c r="D5786" s="17" t="str">
        <f>IFERROR(__xludf.DUMMYFUNCTION("""COMPUTED_VALUE"""),"")</f>
        <v/>
      </c>
      <c r="E5786" s="17" t="str">
        <f>IFERROR(__xludf.DUMMYFUNCTION("""COMPUTED_VALUE"""),"")</f>
        <v/>
      </c>
      <c r="F5786" s="17" t="str">
        <f>IFERROR(__xludf.DUMMYFUNCTION("""COMPUTED_VALUE"""),"")</f>
        <v/>
      </c>
      <c r="G5786" s="17" t="str">
        <f>IFERROR(__xludf.DUMMYFUNCTION("""COMPUTED_VALUE"""),"")</f>
        <v/>
      </c>
      <c r="H5786" s="17" t="str">
        <f>IFERROR(__xludf.DUMMYFUNCTION("""COMPUTED_VALUE"""),"")</f>
        <v/>
      </c>
      <c r="I5786" s="17" t="str">
        <f>IFERROR(__xludf.DUMMYFUNCTION("""COMPUTED_VALUE"""),"")</f>
        <v/>
      </c>
      <c r="J5786" s="17" t="str">
        <f>IFERROR(__xludf.DUMMYFUNCTION("""COMPUTED_VALUE"""),"")</f>
        <v/>
      </c>
      <c r="K5786" s="17" t="str">
        <f>IFERROR(__xludf.DUMMYFUNCTION("""COMPUTED_VALUE"""),"")</f>
        <v/>
      </c>
      <c r="L5786" s="17" t="str">
        <f>IFERROR(__xludf.DUMMYFUNCTION("""COMPUTED_VALUE"""),"")</f>
        <v/>
      </c>
      <c r="M5786" s="17" t="str">
        <f>IFERROR(__xludf.DUMMYFUNCTION("""COMPUTED_VALUE"""),"")</f>
        <v/>
      </c>
      <c r="N5786" s="17" t="str">
        <f>IFERROR(__xludf.DUMMYFUNCTION("""COMPUTED_VALUE"""),"")</f>
        <v/>
      </c>
      <c r="O5786" s="17" t="str">
        <f>IFERROR(__xludf.DUMMYFUNCTION("""COMPUTED_VALUE"""),"")</f>
        <v/>
      </c>
      <c r="P5786" s="17" t="str">
        <f>IFERROR(__xludf.DUMMYFUNCTION("""COMPUTED_VALUE"""),"")</f>
        <v/>
      </c>
      <c r="Q5786" s="17" t="str">
        <f>IFERROR(__xludf.DUMMYFUNCTION("""COMPUTED_VALUE"""),"")</f>
        <v/>
      </c>
      <c r="R5786" s="17" t="str">
        <f>IFERROR(__xludf.DUMMYFUNCTION("""COMPUTED_VALUE"""),"")</f>
        <v/>
      </c>
    </row>
    <row r="5787">
      <c r="A5787" s="15">
        <f>IFERROR(__xludf.DUMMYFUNCTION("""COMPUTED_VALUE"""),45168.0)</f>
        <v>45168</v>
      </c>
      <c r="B5787" s="16" t="str">
        <f>IFERROR(__xludf.DUMMYFUNCTION("""COMPUTED_VALUE"""),"Jeison Rubiano")</f>
        <v>Jeison Rubiano</v>
      </c>
      <c r="C5787" s="15" t="str">
        <f>IFERROR(__xludf.DUMMYFUNCTION("""COMPUTED_VALUE"""),"BOGOTÁ")</f>
        <v>BOGOTÁ</v>
      </c>
      <c r="D5787" s="15" t="str">
        <f>IFERROR(__xludf.DUMMYFUNCTION("""COMPUTED_VALUE"""),"BUCARAMANGA")</f>
        <v>BUCARAMANGA</v>
      </c>
      <c r="E5787" s="15" t="str">
        <f>IFERROR(__xludf.DUMMYFUNCTION("""COMPUTED_VALUE"""),"Yo Como Solito")</f>
        <v>Yo Como Solito</v>
      </c>
      <c r="F5787" s="17" t="str">
        <f>IFERROR(__xludf.DUMMYFUNCTION("""COMPUTED_VALUE"""),"CALLE 59 SUR #22G - 52  / CASA PISO 4 / BARRIO PROTECHO")</f>
        <v>CALLE 59 SUR #22G - 52  / CASA PISO 4 / BARRIO PROTECHO</v>
      </c>
      <c r="G5787" s="15" t="str">
        <f>IFERROR(__xludf.DUMMYFUNCTION("""COMPUTED_VALUE"""),"LUPITA VELASCO")</f>
        <v>LUPITA VELASCO</v>
      </c>
      <c r="H5787" s="16">
        <f>IFERROR(__xludf.DUMMYFUNCTION("""COMPUTED_VALUE"""),14515.0)</f>
        <v>14515</v>
      </c>
      <c r="I5787" s="18">
        <f>IFERROR(__xludf.DUMMYFUNCTION("""COMPUTED_VALUE"""),13.0)</f>
        <v>13</v>
      </c>
      <c r="J5787" s="18">
        <f>IFERROR(__xludf.DUMMYFUNCTION("""COMPUTED_VALUE"""),27.0)</f>
        <v>27</v>
      </c>
      <c r="K5787" s="18">
        <f>IFERROR(__xludf.DUMMYFUNCTION("""COMPUTED_VALUE"""),38.0)</f>
        <v>38</v>
      </c>
      <c r="L5787" s="17">
        <f>IFERROR(__xludf.DUMMYFUNCTION("""COMPUTED_VALUE"""),3.202052577E9)</f>
        <v>3202052577</v>
      </c>
      <c r="M5787" s="17" t="str">
        <f>IFERROR(__xludf.DUMMYFUNCTION("""COMPUTED_VALUE"""),"#REF!")</f>
        <v>#REF!</v>
      </c>
      <c r="N5787" s="17"/>
      <c r="O5787" s="17"/>
      <c r="P5787" s="17" t="b">
        <f>IFERROR(__xludf.DUMMYFUNCTION("""COMPUTED_VALUE"""),FALSE)</f>
        <v>0</v>
      </c>
      <c r="Q5787" s="20" t="str">
        <f>IFERROR(__xludf.DUMMYFUNCTION("""COMPUTED_VALUE"""),"")</f>
        <v/>
      </c>
      <c r="R5787" s="22" t="str">
        <f>IFERROR(__xludf.DUMMYFUNCTION("""COMPUTED_VALUE"""),"")</f>
        <v/>
      </c>
    </row>
    <row r="5788">
      <c r="A5788" s="15">
        <f>IFERROR(__xludf.DUMMYFUNCTION("""COMPUTED_VALUE"""),45168.0)</f>
        <v>45168</v>
      </c>
      <c r="B5788" s="16" t="str">
        <f>IFERROR(__xludf.DUMMYFUNCTION("""COMPUTED_VALUE"""),"Jeison Rubiano")</f>
        <v>Jeison Rubiano</v>
      </c>
      <c r="C5788" s="15" t="str">
        <f>IFERROR(__xludf.DUMMYFUNCTION("""COMPUTED_VALUE"""),"BOGOTÁ")</f>
        <v>BOGOTÁ</v>
      </c>
      <c r="D5788" s="15" t="str">
        <f>IFERROR(__xludf.DUMMYFUNCTION("""COMPUTED_VALUE"""),"BUCARAMANGA")</f>
        <v>BUCARAMANGA</v>
      </c>
      <c r="E5788" s="15" t="str">
        <f>IFERROR(__xludf.DUMMYFUNCTION("""COMPUTED_VALUE"""),"Yo Como Solito")</f>
        <v>Yo Como Solito</v>
      </c>
      <c r="F5788" s="17" t="str">
        <f>IFERROR(__xludf.DUMMYFUNCTION("""COMPUTED_VALUE"""),"Carrera 45a # 128-62 / Carrera 45a # 128-62 / Carrera 45a # 128-62")</f>
        <v>Carrera 45a # 128-62 / Carrera 45a # 128-62 / Carrera 45a # 128-62</v>
      </c>
      <c r="G5788" s="15" t="str">
        <f>IFERROR(__xludf.DUMMYFUNCTION("""COMPUTED_VALUE"""),"LINA PAOLA RAMIREZ")</f>
        <v>LINA PAOLA RAMIREZ</v>
      </c>
      <c r="H5788" s="16">
        <f>IFERROR(__xludf.DUMMYFUNCTION("""COMPUTED_VALUE"""),14512.0)</f>
        <v>14512</v>
      </c>
      <c r="I5788" s="18">
        <f>IFERROR(__xludf.DUMMYFUNCTION("""COMPUTED_VALUE"""),14.0)</f>
        <v>14</v>
      </c>
      <c r="J5788" s="18">
        <f>IFERROR(__xludf.DUMMYFUNCTION("""COMPUTED_VALUE"""),34.0)</f>
        <v>34</v>
      </c>
      <c r="K5788" s="18">
        <f>IFERROR(__xludf.DUMMYFUNCTION("""COMPUTED_VALUE"""),50.0)</f>
        <v>50</v>
      </c>
      <c r="L5788" s="17">
        <f>IFERROR(__xludf.DUMMYFUNCTION("""COMPUTED_VALUE"""),3.12327346E9)</f>
        <v>3123273460</v>
      </c>
      <c r="M5788" s="17" t="str">
        <f>IFERROR(__xludf.DUMMYFUNCTION("""COMPUTED_VALUE"""),"#REF!")</f>
        <v>#REF!</v>
      </c>
      <c r="N5788" s="17"/>
      <c r="O5788" s="17"/>
      <c r="P5788" s="17" t="b">
        <f>IFERROR(__xludf.DUMMYFUNCTION("""COMPUTED_VALUE"""),FALSE)</f>
        <v>0</v>
      </c>
      <c r="Q5788" s="20" t="str">
        <f>IFERROR(__xludf.DUMMYFUNCTION("""COMPUTED_VALUE"""),"")</f>
        <v/>
      </c>
      <c r="R5788" s="22" t="str">
        <f>IFERROR(__xludf.DUMMYFUNCTION("""COMPUTED_VALUE"""),"")</f>
        <v/>
      </c>
    </row>
    <row r="5789">
      <c r="A5789" s="15">
        <f>IFERROR(__xludf.DUMMYFUNCTION("""COMPUTED_VALUE"""),45168.0)</f>
        <v>45168</v>
      </c>
      <c r="B5789" s="16" t="str">
        <f>IFERROR(__xludf.DUMMYFUNCTION("""COMPUTED_VALUE"""),"Jeison Rubiano")</f>
        <v>Jeison Rubiano</v>
      </c>
      <c r="C5789" s="15" t="str">
        <f>IFERROR(__xludf.DUMMYFUNCTION("""COMPUTED_VALUE"""),"BOGOTÁ")</f>
        <v>BOGOTÁ</v>
      </c>
      <c r="D5789" s="15" t="str">
        <f>IFERROR(__xludf.DUMMYFUNCTION("""COMPUTED_VALUE"""),"BUCARAMANGA")</f>
        <v>BUCARAMANGA</v>
      </c>
      <c r="E5789" s="15" t="str">
        <f>IFERROR(__xludf.DUMMYFUNCTION("""COMPUTED_VALUE"""),"Yo Como Solito")</f>
        <v>Yo Como Solito</v>
      </c>
      <c r="F5789" s="17" t="str">
        <f>IFERROR(__xludf.DUMMYFUNCTION("""COMPUTED_VALUE"""),"CARRERA 45A #128-62 / CARRERA 45A #128-62 / CARRERA 45A #128-62")</f>
        <v>CARRERA 45A #128-62 / CARRERA 45A #128-62 / CARRERA 45A #128-62</v>
      </c>
      <c r="G5789" s="15" t="str">
        <f>IFERROR(__xludf.DUMMYFUNCTION("""COMPUTED_VALUE"""),"LINA PAOLA RAMIREZ")</f>
        <v>LINA PAOLA RAMIREZ</v>
      </c>
      <c r="H5789" s="16">
        <f>IFERROR(__xludf.DUMMYFUNCTION("""COMPUTED_VALUE"""),14513.0)</f>
        <v>14513</v>
      </c>
      <c r="I5789" s="18">
        <f>IFERROR(__xludf.DUMMYFUNCTION("""COMPUTED_VALUE"""),18.0)</f>
        <v>18</v>
      </c>
      <c r="J5789" s="18">
        <f>IFERROR(__xludf.DUMMYFUNCTION("""COMPUTED_VALUE"""),26.0)</f>
        <v>26</v>
      </c>
      <c r="K5789" s="18">
        <f>IFERROR(__xludf.DUMMYFUNCTION("""COMPUTED_VALUE"""),40.0)</f>
        <v>40</v>
      </c>
      <c r="L5789" s="17">
        <f>IFERROR(__xludf.DUMMYFUNCTION("""COMPUTED_VALUE"""),3.12327346E9)</f>
        <v>3123273460</v>
      </c>
      <c r="M5789" s="17" t="str">
        <f>IFERROR(__xludf.DUMMYFUNCTION("""COMPUTED_VALUE"""),"#REF!")</f>
        <v>#REF!</v>
      </c>
      <c r="N5789" s="17"/>
      <c r="O5789" s="17"/>
      <c r="P5789" s="17" t="b">
        <f>IFERROR(__xludf.DUMMYFUNCTION("""COMPUTED_VALUE"""),FALSE)</f>
        <v>0</v>
      </c>
      <c r="Q5789" s="20" t="str">
        <f>IFERROR(__xludf.DUMMYFUNCTION("""COMPUTED_VALUE"""),"")</f>
        <v/>
      </c>
      <c r="R5789" s="22" t="str">
        <f>IFERROR(__xludf.DUMMYFUNCTION("""COMPUTED_VALUE"""),"")</f>
        <v/>
      </c>
    </row>
    <row r="5790">
      <c r="A5790" s="15">
        <f>IFERROR(__xludf.DUMMYFUNCTION("""COMPUTED_VALUE"""),45168.0)</f>
        <v>45168</v>
      </c>
      <c r="B5790" s="16" t="str">
        <f>IFERROR(__xludf.DUMMYFUNCTION("""COMPUTED_VALUE"""),"Jeison Rubiano")</f>
        <v>Jeison Rubiano</v>
      </c>
      <c r="C5790" s="15" t="str">
        <f>IFERROR(__xludf.DUMMYFUNCTION("""COMPUTED_VALUE"""),"BOGOTÁ")</f>
        <v>BOGOTÁ</v>
      </c>
      <c r="D5790" s="15" t="str">
        <f>IFERROR(__xludf.DUMMYFUNCTION("""COMPUTED_VALUE"""),"MEDELLÍN")</f>
        <v>MEDELLÍN</v>
      </c>
      <c r="E5790" s="15" t="str">
        <f>IFERROR(__xludf.DUMMYFUNCTION("""COMPUTED_VALUE"""),"AREPAS LA MARY")</f>
        <v>AREPAS LA MARY</v>
      </c>
      <c r="F5790" s="17" t="str">
        <f>IFERROR(__xludf.DUMMYFUNCTION("""COMPUTED_VALUE"""),"CALLE 117 N.6 55 CASA 1 / USAQUEN BOGOTA")</f>
        <v>CALLE 117 N.6 55 CASA 1 / USAQUEN BOGOTA</v>
      </c>
      <c r="G5790" s="15" t="str">
        <f>IFERROR(__xludf.DUMMYFUNCTION("""COMPUTED_VALUE"""),"CATALINA ESCOBAR")</f>
        <v>CATALINA ESCOBAR</v>
      </c>
      <c r="H5790" s="16">
        <f>IFERROR(__xludf.DUMMYFUNCTION("""COMPUTED_VALUE"""),14470.0)</f>
        <v>14470</v>
      </c>
      <c r="I5790" s="18">
        <f>IFERROR(__xludf.DUMMYFUNCTION("""COMPUTED_VALUE"""),89.0)</f>
        <v>89</v>
      </c>
      <c r="J5790" s="18">
        <f>IFERROR(__xludf.DUMMYFUNCTION("""COMPUTED_VALUE"""),1.0)</f>
        <v>1</v>
      </c>
      <c r="K5790" s="18">
        <f>IFERROR(__xludf.DUMMYFUNCTION("""COMPUTED_VALUE"""),10.0)</f>
        <v>10</v>
      </c>
      <c r="L5790" s="17">
        <f>IFERROR(__xludf.DUMMYFUNCTION("""COMPUTED_VALUE"""),3.165317727E9)</f>
        <v>3165317727</v>
      </c>
      <c r="M5790" s="17" t="str">
        <f>IFERROR(__xludf.DUMMYFUNCTION("""COMPUTED_VALUE"""),"#REF!")</f>
        <v>#REF!</v>
      </c>
      <c r="N5790" s="17"/>
      <c r="O5790" s="17"/>
      <c r="P5790" s="17" t="b">
        <f>IFERROR(__xludf.DUMMYFUNCTION("""COMPUTED_VALUE"""),FALSE)</f>
        <v>0</v>
      </c>
      <c r="Q5790" s="20" t="str">
        <f>IFERROR(__xludf.DUMMYFUNCTION("""COMPUTED_VALUE"""),"")</f>
        <v/>
      </c>
      <c r="R5790" s="21" t="str">
        <f>IFERROR(__xludf.DUMMYFUNCTION("""COMPUTED_VALUE"""),"https://drive.google.com/file/d/120BdRF_zzUKLBk-Cl8BXpFKIpmcabLrA/view?usp=drivesdk")</f>
        <v>https://drive.google.com/file/d/120BdRF_zzUKLBk-Cl8BXpFKIpmcabLrA/view?usp=drivesdk</v>
      </c>
    </row>
    <row r="5791">
      <c r="A5791" s="15">
        <f>IFERROR(__xludf.DUMMYFUNCTION("""COMPUTED_VALUE"""),45168.0)</f>
        <v>45168</v>
      </c>
      <c r="B5791" s="16" t="str">
        <f>IFERROR(__xludf.DUMMYFUNCTION("""COMPUTED_VALUE"""),"Jeison Rubiano")</f>
        <v>Jeison Rubiano</v>
      </c>
      <c r="C5791" s="15" t="str">
        <f>IFERROR(__xludf.DUMMYFUNCTION("""COMPUTED_VALUE"""),"BOGOTÁ")</f>
        <v>BOGOTÁ</v>
      </c>
      <c r="D5791" s="15" t="str">
        <f>IFERROR(__xludf.DUMMYFUNCTION("""COMPUTED_VALUE"""),"MEDELLÍN")</f>
        <v>MEDELLÍN</v>
      </c>
      <c r="E5791" s="15" t="str">
        <f>IFERROR(__xludf.DUMMYFUNCTION("""COMPUTED_VALUE"""),"AREPAS LA MARY")</f>
        <v>AREPAS LA MARY</v>
      </c>
      <c r="F5791" s="17" t="str">
        <f>IFERROR(__xludf.DUMMYFUNCTION("""COMPUTED_VALUE"""),"Calle 81 # 9 - 36 APTO 703 / EL NOGAL BOGOTA")</f>
        <v>Calle 81 # 9 - 36 APTO 703 / EL NOGAL BOGOTA</v>
      </c>
      <c r="G5791" s="15" t="str">
        <f>IFERROR(__xludf.DUMMYFUNCTION("""COMPUTED_VALUE"""),"FLOR AYDEE AVELLANEDA")</f>
        <v>FLOR AYDEE AVELLANEDA</v>
      </c>
      <c r="H5791" s="16">
        <f>IFERROR(__xludf.DUMMYFUNCTION("""COMPUTED_VALUE"""),14474.0)</f>
        <v>14474</v>
      </c>
      <c r="I5791" s="18">
        <f>IFERROR(__xludf.DUMMYFUNCTION("""COMPUTED_VALUE"""),89.0)</f>
        <v>89</v>
      </c>
      <c r="J5791" s="18">
        <f>IFERROR(__xludf.DUMMYFUNCTION("""COMPUTED_VALUE"""),1.0)</f>
        <v>1</v>
      </c>
      <c r="K5791" s="18">
        <f>IFERROR(__xludf.DUMMYFUNCTION("""COMPUTED_VALUE"""),10.0)</f>
        <v>10</v>
      </c>
      <c r="L5791" s="17" t="str">
        <f>IFERROR(__xludf.DUMMYFUNCTION("""COMPUTED_VALUE"""),"311-5897710")</f>
        <v>311-5897710</v>
      </c>
      <c r="M5791" s="17" t="str">
        <f>IFERROR(__xludf.DUMMYFUNCTION("""COMPUTED_VALUE"""),"#REF!")</f>
        <v>#REF!</v>
      </c>
      <c r="N5791" s="17"/>
      <c r="O5791" s="17"/>
      <c r="P5791" s="17" t="b">
        <f>IFERROR(__xludf.DUMMYFUNCTION("""COMPUTED_VALUE"""),TRUE)</f>
        <v>1</v>
      </c>
      <c r="Q5791" s="20">
        <f>IFERROR(__xludf.DUMMYFUNCTION("""COMPUTED_VALUE"""),45168.461896215274)</f>
        <v>45168.4619</v>
      </c>
      <c r="R5791" s="21" t="str">
        <f>IFERROR(__xludf.DUMMYFUNCTION("""COMPUTED_VALUE"""),"https://drive.google.com/file/d/1LPYIgkgg9XQQ-1WBmUZ-GN9B_xQ8FTlN/view?usp=drivesdk")</f>
        <v>https://drive.google.com/file/d/1LPYIgkgg9XQQ-1WBmUZ-GN9B_xQ8FTlN/view?usp=drivesdk</v>
      </c>
    </row>
    <row r="5792">
      <c r="A5792" s="15">
        <f>IFERROR(__xludf.DUMMYFUNCTION("""COMPUTED_VALUE"""),45168.0)</f>
        <v>45168</v>
      </c>
      <c r="B5792" s="16" t="str">
        <f>IFERROR(__xludf.DUMMYFUNCTION("""COMPUTED_VALUE"""),"Jeison Rubiano")</f>
        <v>Jeison Rubiano</v>
      </c>
      <c r="C5792" s="15" t="str">
        <f>IFERROR(__xludf.DUMMYFUNCTION("""COMPUTED_VALUE"""),"BOGOTÁ")</f>
        <v>BOGOTÁ</v>
      </c>
      <c r="D5792" s="15" t="str">
        <f>IFERROR(__xludf.DUMMYFUNCTION("""COMPUTED_VALUE"""),"MEDELLÍN")</f>
        <v>MEDELLÍN</v>
      </c>
      <c r="E5792" s="15" t="str">
        <f>IFERROR(__xludf.DUMMYFUNCTION("""COMPUTED_VALUE"""),"AREPAS LA MARY")</f>
        <v>AREPAS LA MARY</v>
      </c>
      <c r="F5792" s="17" t="str">
        <f>IFERROR(__xludf.DUMMYFUNCTION("""COMPUTED_VALUE"""),"Calle 98 #21-53 / CHICO BOGOTA")</f>
        <v>Calle 98 #21-53 / CHICO BOGOTA</v>
      </c>
      <c r="G5792" s="15" t="str">
        <f>IFERROR(__xludf.DUMMYFUNCTION("""COMPUTED_VALUE"""),"ANA CRISTINA MORALES")</f>
        <v>ANA CRISTINA MORALES</v>
      </c>
      <c r="H5792" s="16">
        <f>IFERROR(__xludf.DUMMYFUNCTION("""COMPUTED_VALUE"""),14472.0)</f>
        <v>14472</v>
      </c>
      <c r="I5792" s="18">
        <f>IFERROR(__xludf.DUMMYFUNCTION("""COMPUTED_VALUE"""),89.0)</f>
        <v>89</v>
      </c>
      <c r="J5792" s="18">
        <f>IFERROR(__xludf.DUMMYFUNCTION("""COMPUTED_VALUE"""),1.0)</f>
        <v>1</v>
      </c>
      <c r="K5792" s="18">
        <f>IFERROR(__xludf.DUMMYFUNCTION("""COMPUTED_VALUE"""),10.0)</f>
        <v>10</v>
      </c>
      <c r="L5792" s="17">
        <f>IFERROR(__xludf.DUMMYFUNCTION("""COMPUTED_VALUE"""),3.205495309E9)</f>
        <v>3205495309</v>
      </c>
      <c r="M5792" s="17" t="str">
        <f>IFERROR(__xludf.DUMMYFUNCTION("""COMPUTED_VALUE"""),"#REF!")</f>
        <v>#REF!</v>
      </c>
      <c r="N5792" s="17"/>
      <c r="O5792" s="17"/>
      <c r="P5792" s="17" t="b">
        <f>IFERROR(__xludf.DUMMYFUNCTION("""COMPUTED_VALUE"""),FALSE)</f>
        <v>0</v>
      </c>
      <c r="Q5792" s="20" t="str">
        <f>IFERROR(__xludf.DUMMYFUNCTION("""COMPUTED_VALUE"""),"")</f>
        <v/>
      </c>
      <c r="R5792" s="21" t="str">
        <f>IFERROR(__xludf.DUMMYFUNCTION("""COMPUTED_VALUE"""),"https://drive.google.com/file/d/1i1AozNWlNFsBvHEuwS7_4jVbaAvLTUJP/view?usp=drivesdk")</f>
        <v>https://drive.google.com/file/d/1i1AozNWlNFsBvHEuwS7_4jVbaAvLTUJP/view?usp=drivesdk</v>
      </c>
    </row>
    <row r="5793">
      <c r="A5793" s="15">
        <f>IFERROR(__xludf.DUMMYFUNCTION("""COMPUTED_VALUE"""),45168.0)</f>
        <v>45168</v>
      </c>
      <c r="B5793" s="16" t="str">
        <f>IFERROR(__xludf.DUMMYFUNCTION("""COMPUTED_VALUE"""),"Jeison Rubiano")</f>
        <v>Jeison Rubiano</v>
      </c>
      <c r="C5793" s="15" t="str">
        <f>IFERROR(__xludf.DUMMYFUNCTION("""COMPUTED_VALUE"""),"BOGOTÁ")</f>
        <v>BOGOTÁ</v>
      </c>
      <c r="D5793" s="15" t="str">
        <f>IFERROR(__xludf.DUMMYFUNCTION("""COMPUTED_VALUE"""),"MEDELLÍN")</f>
        <v>MEDELLÍN</v>
      </c>
      <c r="E5793" s="15" t="str">
        <f>IFERROR(__xludf.DUMMYFUNCTION("""COMPUTED_VALUE"""),"AREPAS LA MARY")</f>
        <v>AREPAS LA MARY</v>
      </c>
      <c r="F5793" s="17" t="str">
        <f>IFERROR(__xludf.DUMMYFUNCTION("""COMPUTED_VALUE"""),"Carrera 17 # 118-32 / Edificio siempreverde 118")</f>
        <v>Carrera 17 # 118-32 / Edificio siempreverde 118</v>
      </c>
      <c r="G5793" s="15" t="str">
        <f>IFERROR(__xludf.DUMMYFUNCTION("""COMPUTED_VALUE"""),"ANGELA GARZON")</f>
        <v>ANGELA GARZON</v>
      </c>
      <c r="H5793" s="16">
        <f>IFERROR(__xludf.DUMMYFUNCTION("""COMPUTED_VALUE"""),14551.0)</f>
        <v>14551</v>
      </c>
      <c r="I5793" s="18">
        <f>IFERROR(__xludf.DUMMYFUNCTION("""COMPUTED_VALUE"""),89.0)</f>
        <v>89</v>
      </c>
      <c r="J5793" s="18">
        <f>IFERROR(__xludf.DUMMYFUNCTION("""COMPUTED_VALUE"""),1.0)</f>
        <v>1</v>
      </c>
      <c r="K5793" s="18">
        <f>IFERROR(__xludf.DUMMYFUNCTION("""COMPUTED_VALUE"""),10.0)</f>
        <v>10</v>
      </c>
      <c r="L5793" s="17">
        <f>IFERROR(__xludf.DUMMYFUNCTION("""COMPUTED_VALUE"""),3.007382248E9)</f>
        <v>3007382248</v>
      </c>
      <c r="M5793" s="17" t="str">
        <f>IFERROR(__xludf.DUMMYFUNCTION("""COMPUTED_VALUE"""),"#REF!")</f>
        <v>#REF!</v>
      </c>
      <c r="N5793" s="17"/>
      <c r="O5793" s="17"/>
      <c r="P5793" s="17" t="b">
        <f>IFERROR(__xludf.DUMMYFUNCTION("""COMPUTED_VALUE"""),FALSE)</f>
        <v>0</v>
      </c>
      <c r="Q5793" s="20" t="str">
        <f>IFERROR(__xludf.DUMMYFUNCTION("""COMPUTED_VALUE"""),"")</f>
        <v/>
      </c>
      <c r="R5793" s="21" t="str">
        <f>IFERROR(__xludf.DUMMYFUNCTION("""COMPUTED_VALUE"""),"https://drive.google.com/file/d/1m7SoMCangfGG_RCY5GP9l_q9f5-CeshE/view?usp=drivesdk")</f>
        <v>https://drive.google.com/file/d/1m7SoMCangfGG_RCY5GP9l_q9f5-CeshE/view?usp=drivesdk</v>
      </c>
    </row>
    <row r="5794">
      <c r="A5794" s="15">
        <f>IFERROR(__xludf.DUMMYFUNCTION("""COMPUTED_VALUE"""),45168.0)</f>
        <v>45168</v>
      </c>
      <c r="B5794" s="16" t="str">
        <f>IFERROR(__xludf.DUMMYFUNCTION("""COMPUTED_VALUE"""),"Jeison Rubiano")</f>
        <v>Jeison Rubiano</v>
      </c>
      <c r="C5794" s="15" t="str">
        <f>IFERROR(__xludf.DUMMYFUNCTION("""COMPUTED_VALUE"""),"BOGOTÁ")</f>
        <v>BOGOTÁ</v>
      </c>
      <c r="D5794" s="15" t="str">
        <f>IFERROR(__xludf.DUMMYFUNCTION("""COMPUTED_VALUE"""),"MEDELLÍN")</f>
        <v>MEDELLÍN</v>
      </c>
      <c r="E5794" s="15" t="str">
        <f>IFERROR(__xludf.DUMMYFUNCTION("""COMPUTED_VALUE"""),"AREPAS LA MARY")</f>
        <v>AREPAS LA MARY</v>
      </c>
      <c r="F5794" s="17" t="str">
        <f>IFERROR(__xludf.DUMMYFUNCTION("""COMPUTED_VALUE"""),"Cl. 152B # 73B-51 T2 Apto 505 / Gratamira BOGOTA")</f>
        <v>Cl. 152B # 73B-51 T2 Apto 505 / Gratamira BOGOTA</v>
      </c>
      <c r="G5794" s="15" t="str">
        <f>IFERROR(__xludf.DUMMYFUNCTION("""COMPUTED_VALUE"""),"MARECELA GUZMAN")</f>
        <v>MARECELA GUZMAN</v>
      </c>
      <c r="H5794" s="16">
        <f>IFERROR(__xludf.DUMMYFUNCTION("""COMPUTED_VALUE"""),14473.0)</f>
        <v>14473</v>
      </c>
      <c r="I5794" s="18">
        <f>IFERROR(__xludf.DUMMYFUNCTION("""COMPUTED_VALUE"""),89.0)</f>
        <v>89</v>
      </c>
      <c r="J5794" s="18">
        <f>IFERROR(__xludf.DUMMYFUNCTION("""COMPUTED_VALUE"""),1.0)</f>
        <v>1</v>
      </c>
      <c r="K5794" s="18">
        <f>IFERROR(__xludf.DUMMYFUNCTION("""COMPUTED_VALUE"""),10.0)</f>
        <v>10</v>
      </c>
      <c r="L5794" s="17">
        <f>IFERROR(__xludf.DUMMYFUNCTION("""COMPUTED_VALUE"""),3.152524319E9)</f>
        <v>3152524319</v>
      </c>
      <c r="M5794" s="17" t="str">
        <f>IFERROR(__xludf.DUMMYFUNCTION("""COMPUTED_VALUE"""),"#REF!")</f>
        <v>#REF!</v>
      </c>
      <c r="N5794" s="17"/>
      <c r="O5794" s="17"/>
      <c r="P5794" s="17" t="b">
        <f>IFERROR(__xludf.DUMMYFUNCTION("""COMPUTED_VALUE"""),FALSE)</f>
        <v>0</v>
      </c>
      <c r="Q5794" s="20" t="str">
        <f>IFERROR(__xludf.DUMMYFUNCTION("""COMPUTED_VALUE"""),"")</f>
        <v/>
      </c>
      <c r="R5794" s="21" t="str">
        <f>IFERROR(__xludf.DUMMYFUNCTION("""COMPUTED_VALUE"""),"https://drive.google.com/file/d/1euOATqQUp_MCJtX6zYeNpe73sA9trsIX/view?usp=drivesdk")</f>
        <v>https://drive.google.com/file/d/1euOATqQUp_MCJtX6zYeNpe73sA9trsIX/view?usp=drivesdk</v>
      </c>
    </row>
    <row r="5795">
      <c r="A5795" s="15">
        <f>IFERROR(__xludf.DUMMYFUNCTION("""COMPUTED_VALUE"""),45168.0)</f>
        <v>45168</v>
      </c>
      <c r="B5795" s="16" t="str">
        <f>IFERROR(__xludf.DUMMYFUNCTION("""COMPUTED_VALUE"""),"Jeison Rubiano")</f>
        <v>Jeison Rubiano</v>
      </c>
      <c r="C5795" s="15" t="str">
        <f>IFERROR(__xludf.DUMMYFUNCTION("""COMPUTED_VALUE"""),"BOGOTÁ")</f>
        <v>BOGOTÁ</v>
      </c>
      <c r="D5795" s="15" t="str">
        <f>IFERROR(__xludf.DUMMYFUNCTION("""COMPUTED_VALUE"""),"MEDELLÍN")</f>
        <v>MEDELLÍN</v>
      </c>
      <c r="E5795" s="15" t="str">
        <f>IFERROR(__xludf.DUMMYFUNCTION("""COMPUTED_VALUE"""),"AREPAS LA MARY")</f>
        <v>AREPAS LA MARY</v>
      </c>
      <c r="F5795" s="17" t="str">
        <f>IFERROR(__xludf.DUMMYFUNCTION("""COMPUTED_VALUE"""),"Cra 7 bis A #124-33 / SANTA BARBARA BOGOTA")</f>
        <v>Cra 7 bis A #124-33 / SANTA BARBARA BOGOTA</v>
      </c>
      <c r="G5795" s="15" t="str">
        <f>IFERROR(__xludf.DUMMYFUNCTION("""COMPUTED_VALUE"""),"GABRIEL AYALA")</f>
        <v>GABRIEL AYALA</v>
      </c>
      <c r="H5795" s="16">
        <f>IFERROR(__xludf.DUMMYFUNCTION("""COMPUTED_VALUE"""),14471.0)</f>
        <v>14471</v>
      </c>
      <c r="I5795" s="18">
        <f>IFERROR(__xludf.DUMMYFUNCTION("""COMPUTED_VALUE"""),89.0)</f>
        <v>89</v>
      </c>
      <c r="J5795" s="18">
        <f>IFERROR(__xludf.DUMMYFUNCTION("""COMPUTED_VALUE"""),1.0)</f>
        <v>1</v>
      </c>
      <c r="K5795" s="18">
        <f>IFERROR(__xludf.DUMMYFUNCTION("""COMPUTED_VALUE"""),10.0)</f>
        <v>10</v>
      </c>
      <c r="L5795" s="17">
        <f>IFERROR(__xludf.DUMMYFUNCTION("""COMPUTED_VALUE"""),3.2148845E9)</f>
        <v>3214884500</v>
      </c>
      <c r="M5795" s="17" t="str">
        <f>IFERROR(__xludf.DUMMYFUNCTION("""COMPUTED_VALUE"""),"#REF!")</f>
        <v>#REF!</v>
      </c>
      <c r="N5795" s="17"/>
      <c r="O5795" s="17"/>
      <c r="P5795" s="17" t="b">
        <f>IFERROR(__xludf.DUMMYFUNCTION("""COMPUTED_VALUE"""),FALSE)</f>
        <v>0</v>
      </c>
      <c r="Q5795" s="20" t="str">
        <f>IFERROR(__xludf.DUMMYFUNCTION("""COMPUTED_VALUE"""),"")</f>
        <v/>
      </c>
      <c r="R5795" s="21" t="str">
        <f>IFERROR(__xludf.DUMMYFUNCTION("""COMPUTED_VALUE"""),"https://drive.google.com/file/d/1ZLaveGelzm_4H43Vf7acZCcK6oFdBAvb/view?usp=drivesdk")</f>
        <v>https://drive.google.com/file/d/1ZLaveGelzm_4H43Vf7acZCcK6oFdBAvb/view?usp=drivesdk</v>
      </c>
    </row>
    <row r="5796">
      <c r="A5796" s="15">
        <f>IFERROR(__xludf.DUMMYFUNCTION("""COMPUTED_VALUE"""),45168.0)</f>
        <v>45168</v>
      </c>
      <c r="B5796" s="16" t="str">
        <f>IFERROR(__xludf.DUMMYFUNCTION("""COMPUTED_VALUE"""),"Jeison Rubiano")</f>
        <v>Jeison Rubiano</v>
      </c>
      <c r="C5796" s="15" t="str">
        <f>IFERROR(__xludf.DUMMYFUNCTION("""COMPUTED_VALUE"""),"BOGOTÁ")</f>
        <v>BOGOTÁ</v>
      </c>
      <c r="D5796" s="15" t="str">
        <f>IFERROR(__xludf.DUMMYFUNCTION("""COMPUTED_VALUE"""),"MEDELLÍN")</f>
        <v>MEDELLÍN</v>
      </c>
      <c r="E5796" s="15" t="str">
        <f>IFERROR(__xludf.DUMMYFUNCTION("""COMPUTED_VALUE"""),"Baby Chef")</f>
        <v>Baby Chef</v>
      </c>
      <c r="F5796" s="17" t="str">
        <f>IFERROR(__xludf.DUMMYFUNCTION("""COMPUTED_VALUE"""),"Calle 139#108-36 Lugar de trabajo supermercado aliado SURTIMAX, las flores , horario de trabajo: 8:00 am a 9:00 pm "" / BOGOTA / BOGOTA")</f>
        <v>Calle 139#108-36 Lugar de trabajo supermercado aliado SURTIMAX, las flores , horario de trabajo: 8:00 am a 9:00 pm " / BOGOTA / BOGOTA</v>
      </c>
      <c r="G5796" s="15" t="str">
        <f>IFERROR(__xludf.DUMMYFUNCTION("""COMPUTED_VALUE"""),"Karen Natalia Rodríguez Bonilla")</f>
        <v>Karen Natalia Rodríguez Bonilla</v>
      </c>
      <c r="H5796" s="16">
        <f>IFERROR(__xludf.DUMMYFUNCTION("""COMPUTED_VALUE"""),14528.0)</f>
        <v>14528</v>
      </c>
      <c r="I5796" s="18">
        <f>IFERROR(__xludf.DUMMYFUNCTION("""COMPUTED_VALUE"""),8.0)</f>
        <v>8</v>
      </c>
      <c r="J5796" s="18">
        <f>IFERROR(__xludf.DUMMYFUNCTION("""COMPUTED_VALUE"""),23.0)</f>
        <v>23</v>
      </c>
      <c r="K5796" s="18">
        <f>IFERROR(__xludf.DUMMYFUNCTION("""COMPUTED_VALUE"""),37.0)</f>
        <v>37</v>
      </c>
      <c r="L5796" s="17">
        <f>IFERROR(__xludf.DUMMYFUNCTION("""COMPUTED_VALUE"""),3.193222454E9)</f>
        <v>3193222454</v>
      </c>
      <c r="M5796" s="17" t="str">
        <f>IFERROR(__xludf.DUMMYFUNCTION("""COMPUTED_VALUE"""),"#REF!")</f>
        <v>#REF!</v>
      </c>
      <c r="N5796" s="17"/>
      <c r="O5796" s="17"/>
      <c r="P5796" s="17" t="b">
        <f>IFERROR(__xludf.DUMMYFUNCTION("""COMPUTED_VALUE"""),FALSE)</f>
        <v>0</v>
      </c>
      <c r="Q5796" s="20" t="str">
        <f>IFERROR(__xludf.DUMMYFUNCTION("""COMPUTED_VALUE"""),"")</f>
        <v/>
      </c>
      <c r="R5796" s="21" t="str">
        <f>IFERROR(__xludf.DUMMYFUNCTION("""COMPUTED_VALUE"""),"https://drive.google.com/file/d/1kVNxi-lbZ4J3o0uuRjdyYn8MXJvf0dLl/view?usp=drivesdk")</f>
        <v>https://drive.google.com/file/d/1kVNxi-lbZ4J3o0uuRjdyYn8MXJvf0dLl/view?usp=drivesdk</v>
      </c>
    </row>
    <row r="5797">
      <c r="A5797" s="15">
        <f>IFERROR(__xludf.DUMMYFUNCTION("""COMPUTED_VALUE"""),45168.0)</f>
        <v>45168</v>
      </c>
      <c r="B5797" s="16" t="str">
        <f>IFERROR(__xludf.DUMMYFUNCTION("""COMPUTED_VALUE"""),"Jeison Rubiano")</f>
        <v>Jeison Rubiano</v>
      </c>
      <c r="C5797" s="15" t="str">
        <f>IFERROR(__xludf.DUMMYFUNCTION("""COMPUTED_VALUE"""),"BOGOTÁ")</f>
        <v>BOGOTÁ</v>
      </c>
      <c r="D5797" s="15" t="str">
        <f>IFERROR(__xludf.DUMMYFUNCTION("""COMPUTED_VALUE"""),"MEDELLÍN")</f>
        <v>MEDELLÍN</v>
      </c>
      <c r="E5797" s="15" t="str">
        <f>IFERROR(__xludf.DUMMYFUNCTION("""COMPUTED_VALUE"""),"Baby Chef")</f>
        <v>Baby Chef</v>
      </c>
      <c r="F5797" s="17" t="str">
        <f>IFERROR(__xludf.DUMMYFUNCTION("""COMPUTED_VALUE"""),"Calle 142 # 13 - 44 apto 416, cedritos Bogotá / bogota  / bogota")</f>
        <v>Calle 142 # 13 - 44 apto 416, cedritos Bogotá / bogota  / bogota</v>
      </c>
      <c r="G5797" s="15" t="str">
        <f>IFERROR(__xludf.DUMMYFUNCTION("""COMPUTED_VALUE"""),"Ana María Garzón")</f>
        <v>Ana María Garzón</v>
      </c>
      <c r="H5797" s="16">
        <f>IFERROR(__xludf.DUMMYFUNCTION("""COMPUTED_VALUE"""),14543.0)</f>
        <v>14543</v>
      </c>
      <c r="I5797" s="18">
        <f>IFERROR(__xludf.DUMMYFUNCTION("""COMPUTED_VALUE"""),4.0)</f>
        <v>4</v>
      </c>
      <c r="J5797" s="18">
        <f>IFERROR(__xludf.DUMMYFUNCTION("""COMPUTED_VALUE"""),22.0)</f>
        <v>22</v>
      </c>
      <c r="K5797" s="18">
        <f>IFERROR(__xludf.DUMMYFUNCTION("""COMPUTED_VALUE"""),23.0)</f>
        <v>23</v>
      </c>
      <c r="L5797" s="17">
        <f>IFERROR(__xludf.DUMMYFUNCTION("""COMPUTED_VALUE"""),3.142330063E9)</f>
        <v>3142330063</v>
      </c>
      <c r="M5797" s="17" t="str">
        <f>IFERROR(__xludf.DUMMYFUNCTION("""COMPUTED_VALUE"""),"#REF!")</f>
        <v>#REF!</v>
      </c>
      <c r="N5797" s="17"/>
      <c r="O5797" s="17"/>
      <c r="P5797" s="17" t="b">
        <f>IFERROR(__xludf.DUMMYFUNCTION("""COMPUTED_VALUE"""),FALSE)</f>
        <v>0</v>
      </c>
      <c r="Q5797" s="20" t="str">
        <f>IFERROR(__xludf.DUMMYFUNCTION("""COMPUTED_VALUE"""),"")</f>
        <v/>
      </c>
      <c r="R5797" s="21" t="str">
        <f>IFERROR(__xludf.DUMMYFUNCTION("""COMPUTED_VALUE"""),"https://drive.google.com/file/d/1mVW1mQ-nCnZYEqAf0X-7cDEEkpR9whWA/view?usp=drivesdk")</f>
        <v>https://drive.google.com/file/d/1mVW1mQ-nCnZYEqAf0X-7cDEEkpR9whWA/view?usp=drivesdk</v>
      </c>
    </row>
    <row r="5798">
      <c r="A5798" s="15">
        <f>IFERROR(__xludf.DUMMYFUNCTION("""COMPUTED_VALUE"""),45168.0)</f>
        <v>45168</v>
      </c>
      <c r="B5798" s="16" t="str">
        <f>IFERROR(__xludf.DUMMYFUNCTION("""COMPUTED_VALUE"""),"Jeison Rubiano")</f>
        <v>Jeison Rubiano</v>
      </c>
      <c r="C5798" s="15" t="str">
        <f>IFERROR(__xludf.DUMMYFUNCTION("""COMPUTED_VALUE"""),"BOGOTÁ")</f>
        <v>BOGOTÁ</v>
      </c>
      <c r="D5798" s="15" t="str">
        <f>IFERROR(__xludf.DUMMYFUNCTION("""COMPUTED_VALUE"""),"MEDELLÍN")</f>
        <v>MEDELLÍN</v>
      </c>
      <c r="E5798" s="15" t="str">
        <f>IFERROR(__xludf.DUMMYFUNCTION("""COMPUTED_VALUE"""),"Baby Chef")</f>
        <v>Baby Chef</v>
      </c>
      <c r="F5798" s="17" t="str">
        <f>IFERROR(__xludf.DUMMYFUNCTION("""COMPUTED_VALUE"""),"Carrera 104b bis 23b 56 Casa / BOGOTA / BOGOTA")</f>
        <v>Carrera 104b bis 23b 56 Casa / BOGOTA / BOGOTA</v>
      </c>
      <c r="G5798" s="15" t="str">
        <f>IFERROR(__xludf.DUMMYFUNCTION("""COMPUTED_VALUE"""),"Paola Elles")</f>
        <v>Paola Elles</v>
      </c>
      <c r="H5798" s="16">
        <f>IFERROR(__xludf.DUMMYFUNCTION("""COMPUTED_VALUE"""),14526.0)</f>
        <v>14526</v>
      </c>
      <c r="I5798" s="18">
        <f>IFERROR(__xludf.DUMMYFUNCTION("""COMPUTED_VALUE"""),7.0)</f>
        <v>7</v>
      </c>
      <c r="J5798" s="18">
        <f>IFERROR(__xludf.DUMMYFUNCTION("""COMPUTED_VALUE"""),21.0)</f>
        <v>21</v>
      </c>
      <c r="K5798" s="18">
        <f>IFERROR(__xludf.DUMMYFUNCTION("""COMPUTED_VALUE"""),31.0)</f>
        <v>31</v>
      </c>
      <c r="L5798" s="17">
        <f>IFERROR(__xludf.DUMMYFUNCTION("""COMPUTED_VALUE"""),3.115531515E9)</f>
        <v>3115531515</v>
      </c>
      <c r="M5798" s="17" t="str">
        <f>IFERROR(__xludf.DUMMYFUNCTION("""COMPUTED_VALUE"""),"#REF!")</f>
        <v>#REF!</v>
      </c>
      <c r="N5798" s="17"/>
      <c r="O5798" s="17"/>
      <c r="P5798" s="17" t="b">
        <f>IFERROR(__xludf.DUMMYFUNCTION("""COMPUTED_VALUE"""),FALSE)</f>
        <v>0</v>
      </c>
      <c r="Q5798" s="20" t="str">
        <f>IFERROR(__xludf.DUMMYFUNCTION("""COMPUTED_VALUE"""),"")</f>
        <v/>
      </c>
      <c r="R5798" s="21" t="str">
        <f>IFERROR(__xludf.DUMMYFUNCTION("""COMPUTED_VALUE"""),"https://drive.google.com/file/d/1fwIoMS_F_suQjGmP0YAcZIRN95InKyj-/view?usp=drivesdk")</f>
        <v>https://drive.google.com/file/d/1fwIoMS_F_suQjGmP0YAcZIRN95InKyj-/view?usp=drivesdk</v>
      </c>
    </row>
    <row r="5799">
      <c r="A5799" s="15">
        <f>IFERROR(__xludf.DUMMYFUNCTION("""COMPUTED_VALUE"""),45168.0)</f>
        <v>45168</v>
      </c>
      <c r="B5799" s="16" t="str">
        <f>IFERROR(__xludf.DUMMYFUNCTION("""COMPUTED_VALUE"""),"Jeison Rubiano")</f>
        <v>Jeison Rubiano</v>
      </c>
      <c r="C5799" s="15" t="str">
        <f>IFERROR(__xludf.DUMMYFUNCTION("""COMPUTED_VALUE"""),"BOGOTÁ")</f>
        <v>BOGOTÁ</v>
      </c>
      <c r="D5799" s="15" t="str">
        <f>IFERROR(__xludf.DUMMYFUNCTION("""COMPUTED_VALUE"""),"MEDELLÍN")</f>
        <v>MEDELLÍN</v>
      </c>
      <c r="E5799" s="15" t="str">
        <f>IFERROR(__xludf.DUMMYFUNCTION("""COMPUTED_VALUE"""),"Baby Chef")</f>
        <v>Baby Chef</v>
      </c>
      <c r="F5799" s="17" t="str">
        <f>IFERROR(__xludf.DUMMYFUNCTION("""COMPUTED_VALUE"""),"Carrera 77 # 64C - 16 Casa, barrio villa luz "" / bogota / bogota")</f>
        <v>Carrera 77 # 64C - 16 Casa, barrio villa luz " / bogota / bogota</v>
      </c>
      <c r="G5799" s="15" t="str">
        <f>IFERROR(__xludf.DUMMYFUNCTION("""COMPUTED_VALUE"""),"Heidi Pinilla")</f>
        <v>Heidi Pinilla</v>
      </c>
      <c r="H5799" s="16">
        <f>IFERROR(__xludf.DUMMYFUNCTION("""COMPUTED_VALUE"""),14529.0)</f>
        <v>14529</v>
      </c>
      <c r="I5799" s="18">
        <f>IFERROR(__xludf.DUMMYFUNCTION("""COMPUTED_VALUE"""),6.0)</f>
        <v>6</v>
      </c>
      <c r="J5799" s="18">
        <f>IFERROR(__xludf.DUMMYFUNCTION("""COMPUTED_VALUE"""),18.0)</f>
        <v>18</v>
      </c>
      <c r="K5799" s="18">
        <f>IFERROR(__xludf.DUMMYFUNCTION("""COMPUTED_VALUE"""),30.0)</f>
        <v>30</v>
      </c>
      <c r="L5799" s="17">
        <f>IFERROR(__xludf.DUMMYFUNCTION("""COMPUTED_VALUE"""),3.213748559E9)</f>
        <v>3213748559</v>
      </c>
      <c r="M5799" s="17" t="str">
        <f>IFERROR(__xludf.DUMMYFUNCTION("""COMPUTED_VALUE"""),"#REF!")</f>
        <v>#REF!</v>
      </c>
      <c r="N5799" s="17"/>
      <c r="O5799" s="17"/>
      <c r="P5799" s="17" t="b">
        <f>IFERROR(__xludf.DUMMYFUNCTION("""COMPUTED_VALUE"""),FALSE)</f>
        <v>0</v>
      </c>
      <c r="Q5799" s="20" t="str">
        <f>IFERROR(__xludf.DUMMYFUNCTION("""COMPUTED_VALUE"""),"")</f>
        <v/>
      </c>
      <c r="R5799" s="21" t="str">
        <f>IFERROR(__xludf.DUMMYFUNCTION("""COMPUTED_VALUE"""),"https://drive.google.com/file/d/1ycXC1KPi7rcTWPlBRzT6EojPbcUj4SI1/view?usp=drivesdk")</f>
        <v>https://drive.google.com/file/d/1ycXC1KPi7rcTWPlBRzT6EojPbcUj4SI1/view?usp=drivesdk</v>
      </c>
    </row>
    <row r="5800">
      <c r="A5800" s="15">
        <f>IFERROR(__xludf.DUMMYFUNCTION("""COMPUTED_VALUE"""),45168.0)</f>
        <v>45168</v>
      </c>
      <c r="B5800" s="16" t="str">
        <f>IFERROR(__xludf.DUMMYFUNCTION("""COMPUTED_VALUE"""),"Jeison Rubiano")</f>
        <v>Jeison Rubiano</v>
      </c>
      <c r="C5800" s="15" t="str">
        <f>IFERROR(__xludf.DUMMYFUNCTION("""COMPUTED_VALUE"""),"BOGOTÁ")</f>
        <v>BOGOTÁ</v>
      </c>
      <c r="D5800" s="15" t="str">
        <f>IFERROR(__xludf.DUMMYFUNCTION("""COMPUTED_VALUE"""),"MEDELLÍN")</f>
        <v>MEDELLÍN</v>
      </c>
      <c r="E5800" s="15" t="str">
        <f>IFERROR(__xludf.DUMMYFUNCTION("""COMPUTED_VALUE"""),"Baby Chef")</f>
        <v>Baby Chef</v>
      </c>
      <c r="F5800" s="17" t="str">
        <f>IFERROR(__xludf.DUMMYFUNCTION("""COMPUTED_VALUE"""),"Carrera 78 no. 63 b - 52, villa luz Bogota  / bogota  / bogota")</f>
        <v>Carrera 78 no. 63 b - 52, villa luz Bogota  / bogota  / bogota</v>
      </c>
      <c r="G5800" s="15" t="str">
        <f>IFERROR(__xludf.DUMMYFUNCTION("""COMPUTED_VALUE"""),"Lina Marcela Rojas")</f>
        <v>Lina Marcela Rojas</v>
      </c>
      <c r="H5800" s="16">
        <f>IFERROR(__xludf.DUMMYFUNCTION("""COMPUTED_VALUE"""),14532.0)</f>
        <v>14532</v>
      </c>
      <c r="I5800" s="18">
        <f>IFERROR(__xludf.DUMMYFUNCTION("""COMPUTED_VALUE"""),12.0)</f>
        <v>12</v>
      </c>
      <c r="J5800" s="18">
        <f>IFERROR(__xludf.DUMMYFUNCTION("""COMPUTED_VALUE"""),20.0)</f>
        <v>20</v>
      </c>
      <c r="K5800" s="18">
        <f>IFERROR(__xludf.DUMMYFUNCTION("""COMPUTED_VALUE"""),37.0)</f>
        <v>37</v>
      </c>
      <c r="L5800" s="17">
        <f>IFERROR(__xludf.DUMMYFUNCTION("""COMPUTED_VALUE"""),3.14437477E9)</f>
        <v>3144374770</v>
      </c>
      <c r="M5800" s="17" t="str">
        <f>IFERROR(__xludf.DUMMYFUNCTION("""COMPUTED_VALUE"""),"#REF!")</f>
        <v>#REF!</v>
      </c>
      <c r="N5800" s="17"/>
      <c r="O5800" s="17"/>
      <c r="P5800" s="17" t="b">
        <f>IFERROR(__xludf.DUMMYFUNCTION("""COMPUTED_VALUE"""),FALSE)</f>
        <v>0</v>
      </c>
      <c r="Q5800" s="20" t="str">
        <f>IFERROR(__xludf.DUMMYFUNCTION("""COMPUTED_VALUE"""),"")</f>
        <v/>
      </c>
      <c r="R5800" s="21" t="str">
        <f>IFERROR(__xludf.DUMMYFUNCTION("""COMPUTED_VALUE"""),"https://drive.google.com/file/d/12BvLqselodrY6iIyD2bE6V-rhcL9SXD1/view?usp=drivesdk")</f>
        <v>https://drive.google.com/file/d/12BvLqselodrY6iIyD2bE6V-rhcL9SXD1/view?usp=drivesdk</v>
      </c>
    </row>
    <row r="5801">
      <c r="A5801" s="15">
        <f>IFERROR(__xludf.DUMMYFUNCTION("""COMPUTED_VALUE"""),45168.0)</f>
        <v>45168</v>
      </c>
      <c r="B5801" s="16" t="str">
        <f>IFERROR(__xludf.DUMMYFUNCTION("""COMPUTED_VALUE"""),"Jeison Rubiano")</f>
        <v>Jeison Rubiano</v>
      </c>
      <c r="C5801" s="15" t="str">
        <f>IFERROR(__xludf.DUMMYFUNCTION("""COMPUTED_VALUE"""),"BOGOTÁ")</f>
        <v>BOGOTÁ</v>
      </c>
      <c r="D5801" s="15" t="str">
        <f>IFERROR(__xludf.DUMMYFUNCTION("""COMPUTED_VALUE"""),"MEDELLÍN")</f>
        <v>MEDELLÍN</v>
      </c>
      <c r="E5801" s="15" t="str">
        <f>IFERROR(__xludf.DUMMYFUNCTION("""COMPUTED_VALUE"""),"Baby Chef")</f>
        <v>Baby Chef</v>
      </c>
      <c r="F5801" s="17" t="str">
        <f>IFERROR(__xludf.DUMMYFUNCTION("""COMPUTED_VALUE"""),"Transversal 3 c no 49 - 45, edificio leoben apto 402, OJO: PUEDEN RECIBIR DE 7 AM A 4 PM O DESPUES DE LAS 7:30 PM  / OJO: PUEDEN RECIBIR DE 7 AM A 4 PM O DESPUES DE LAS 7:30 PM  / OJO: PUEDEN RECIBIR DE 7 AM A 4 PM O DESPUES DE LAS 7:30 PM")</f>
        <v>Transversal 3 c no 49 - 45, edificio leoben apto 402, OJO: PUEDEN RECIBIR DE 7 AM A 4 PM O DESPUES DE LAS 7:30 PM  / OJO: PUEDEN RECIBIR DE 7 AM A 4 PM O DESPUES DE LAS 7:30 PM  / OJO: PUEDEN RECIBIR DE 7 AM A 4 PM O DESPUES DE LAS 7:30 PM</v>
      </c>
      <c r="G5801" s="15" t="str">
        <f>IFERROR(__xludf.DUMMYFUNCTION("""COMPUTED_VALUE"""),"Julian Peñaloza")</f>
        <v>Julian Peñaloza</v>
      </c>
      <c r="H5801" s="16">
        <f>IFERROR(__xludf.DUMMYFUNCTION("""COMPUTED_VALUE"""),14530.0)</f>
        <v>14530</v>
      </c>
      <c r="I5801" s="18">
        <f>IFERROR(__xludf.DUMMYFUNCTION("""COMPUTED_VALUE"""),8.0)</f>
        <v>8</v>
      </c>
      <c r="J5801" s="18">
        <f>IFERROR(__xludf.DUMMYFUNCTION("""COMPUTED_VALUE"""),24.0)</f>
        <v>24</v>
      </c>
      <c r="K5801" s="18">
        <f>IFERROR(__xludf.DUMMYFUNCTION("""COMPUTED_VALUE"""),30.0)</f>
        <v>30</v>
      </c>
      <c r="L5801" s="17">
        <f>IFERROR(__xludf.DUMMYFUNCTION("""COMPUTED_VALUE"""),3.21457503E9)</f>
        <v>3214575030</v>
      </c>
      <c r="M5801" s="17" t="str">
        <f>IFERROR(__xludf.DUMMYFUNCTION("""COMPUTED_VALUE"""),"#REF!")</f>
        <v>#REF!</v>
      </c>
      <c r="N5801" s="17"/>
      <c r="O5801" s="17"/>
      <c r="P5801" s="17" t="b">
        <f>IFERROR(__xludf.DUMMYFUNCTION("""COMPUTED_VALUE"""),FALSE)</f>
        <v>0</v>
      </c>
      <c r="Q5801" s="20" t="str">
        <f>IFERROR(__xludf.DUMMYFUNCTION("""COMPUTED_VALUE"""),"")</f>
        <v/>
      </c>
      <c r="R5801" s="21" t="str">
        <f>IFERROR(__xludf.DUMMYFUNCTION("""COMPUTED_VALUE"""),"https://drive.google.com/file/d/158Qe7nHK0-HS_b6z7v448ugUGJpbF4_R/view?usp=drivesdk")</f>
        <v>https://drive.google.com/file/d/158Qe7nHK0-HS_b6z7v448ugUGJpbF4_R/view?usp=drivesdk</v>
      </c>
    </row>
    <row r="5802">
      <c r="A5802" s="15">
        <f>IFERROR(__xludf.DUMMYFUNCTION("""COMPUTED_VALUE"""),45168.0)</f>
        <v>45168</v>
      </c>
      <c r="B5802" s="16" t="str">
        <f>IFERROR(__xludf.DUMMYFUNCTION("""COMPUTED_VALUE"""),"Jeison Rubiano")</f>
        <v>Jeison Rubiano</v>
      </c>
      <c r="C5802" s="15" t="str">
        <f>IFERROR(__xludf.DUMMYFUNCTION("""COMPUTED_VALUE"""),"BOGOTÁ")</f>
        <v>BOGOTÁ</v>
      </c>
      <c r="D5802" s="15" t="str">
        <f>IFERROR(__xludf.DUMMYFUNCTION("""COMPUTED_VALUE"""),"MEDELLÍN")</f>
        <v>MEDELLÍN</v>
      </c>
      <c r="E5802" s="15" t="str">
        <f>IFERROR(__xludf.DUMMYFUNCTION("""COMPUTED_VALUE"""),"Baby Chef")</f>
        <v>Baby Chef</v>
      </c>
      <c r="F5802" s="17" t="str">
        <f>IFERROR(__xludf.DUMMYFUNCTION("""COMPUTED_VALUE"""),"Transversal 55a # 137-87, OIKOS COLINA III Torre 2 apto 701 / BOGOTA / BOGOTA")</f>
        <v>Transversal 55a # 137-87, OIKOS COLINA III Torre 2 apto 701 / BOGOTA / BOGOTA</v>
      </c>
      <c r="G5802" s="15" t="str">
        <f>IFERROR(__xludf.DUMMYFUNCTION("""COMPUTED_VALUE"""),"Catalina Bazurto")</f>
        <v>Catalina Bazurto</v>
      </c>
      <c r="H5802" s="16">
        <f>IFERROR(__xludf.DUMMYFUNCTION("""COMPUTED_VALUE"""),14527.0)</f>
        <v>14527</v>
      </c>
      <c r="I5802" s="18">
        <f>IFERROR(__xludf.DUMMYFUNCTION("""COMPUTED_VALUE"""),5.0)</f>
        <v>5</v>
      </c>
      <c r="J5802" s="18">
        <f>IFERROR(__xludf.DUMMYFUNCTION("""COMPUTED_VALUE"""),19.0)</f>
        <v>19</v>
      </c>
      <c r="K5802" s="18">
        <f>IFERROR(__xludf.DUMMYFUNCTION("""COMPUTED_VALUE"""),23.0)</f>
        <v>23</v>
      </c>
      <c r="L5802" s="17">
        <f>IFERROR(__xludf.DUMMYFUNCTION("""COMPUTED_VALUE"""),3.174276947E9)</f>
        <v>3174276947</v>
      </c>
      <c r="M5802" s="17" t="str">
        <f>IFERROR(__xludf.DUMMYFUNCTION("""COMPUTED_VALUE"""),"#REF!")</f>
        <v>#REF!</v>
      </c>
      <c r="N5802" s="17"/>
      <c r="O5802" s="17"/>
      <c r="P5802" s="17" t="b">
        <f>IFERROR(__xludf.DUMMYFUNCTION("""COMPUTED_VALUE"""),FALSE)</f>
        <v>0</v>
      </c>
      <c r="Q5802" s="20" t="str">
        <f>IFERROR(__xludf.DUMMYFUNCTION("""COMPUTED_VALUE"""),"")</f>
        <v/>
      </c>
      <c r="R5802" s="21" t="str">
        <f>IFERROR(__xludf.DUMMYFUNCTION("""COMPUTED_VALUE"""),"https://drive.google.com/file/d/1E2ug-ELpZNGSfq0o-qxCGU6St0PBix3z/view?usp=drivesdk")</f>
        <v>https://drive.google.com/file/d/1E2ug-ELpZNGSfq0o-qxCGU6St0PBix3z/view?usp=drivesdk</v>
      </c>
    </row>
    <row r="5803">
      <c r="A5803" s="15">
        <f>IFERROR(__xludf.DUMMYFUNCTION("""COMPUTED_VALUE"""),45168.0)</f>
        <v>45168</v>
      </c>
      <c r="B5803" s="16" t="str">
        <f>IFERROR(__xludf.DUMMYFUNCTION("""COMPUTED_VALUE"""),"Jeison Rubiano")</f>
        <v>Jeison Rubiano</v>
      </c>
      <c r="C5803" s="15" t="str">
        <f>IFERROR(__xludf.DUMMYFUNCTION("""COMPUTED_VALUE"""),"BOGOTÁ")</f>
        <v>BOGOTÁ</v>
      </c>
      <c r="D5803" s="15" t="str">
        <f>IFERROR(__xludf.DUMMYFUNCTION("""COMPUTED_VALUE"""),"MEDELLÍN")</f>
        <v>MEDELLÍN</v>
      </c>
      <c r="E5803" s="15" t="str">
        <f>IFERROR(__xludf.DUMMYFUNCTION("""COMPUTED_VALUE"""),"Baby Chef")</f>
        <v>Baby Chef</v>
      </c>
      <c r="F5803" s="17" t="str">
        <f>IFERROR(__xludf.DUMMYFUNCTION("""COMPUTED_VALUE"""),"Tv. 106 no 74 A -05, casa  / BOGOTA / ( SOLO PUEDE RECIBIR EN LA TARDE, DESDE LAS 2:00 PM )")</f>
        <v>Tv. 106 no 74 A -05, casa  / BOGOTA / ( SOLO PUEDE RECIBIR EN LA TARDE, DESDE LAS 2:00 PM )</v>
      </c>
      <c r="G5803" s="15" t="str">
        <f>IFERROR(__xludf.DUMMYFUNCTION("""COMPUTED_VALUE"""),"Erika Abril  ( SOLO PUEDE RECIBIR EN LA TARDE, DESDE LAS 2:00 PM )")</f>
        <v>Erika Abril  ( SOLO PUEDE RECIBIR EN LA TARDE, DESDE LAS 2:00 PM )</v>
      </c>
      <c r="H5803" s="16">
        <f>IFERROR(__xludf.DUMMYFUNCTION("""COMPUTED_VALUE"""),14533.0)</f>
        <v>14533</v>
      </c>
      <c r="I5803" s="18">
        <f>IFERROR(__xludf.DUMMYFUNCTION("""COMPUTED_VALUE"""),4.0)</f>
        <v>4</v>
      </c>
      <c r="J5803" s="18">
        <f>IFERROR(__xludf.DUMMYFUNCTION("""COMPUTED_VALUE"""),21.0)</f>
        <v>21</v>
      </c>
      <c r="K5803" s="18">
        <f>IFERROR(__xludf.DUMMYFUNCTION("""COMPUTED_VALUE"""),28.0)</f>
        <v>28</v>
      </c>
      <c r="L5803" s="17">
        <f>IFERROR(__xludf.DUMMYFUNCTION("""COMPUTED_VALUE"""),3.006559272E9)</f>
        <v>3006559272</v>
      </c>
      <c r="M5803" s="17" t="str">
        <f>IFERROR(__xludf.DUMMYFUNCTION("""COMPUTED_VALUE"""),"#REF!")</f>
        <v>#REF!</v>
      </c>
      <c r="N5803" s="17"/>
      <c r="O5803" s="17"/>
      <c r="P5803" s="17" t="b">
        <f>IFERROR(__xludf.DUMMYFUNCTION("""COMPUTED_VALUE"""),FALSE)</f>
        <v>0</v>
      </c>
      <c r="Q5803" s="20" t="str">
        <f>IFERROR(__xludf.DUMMYFUNCTION("""COMPUTED_VALUE"""),"")</f>
        <v/>
      </c>
      <c r="R5803" s="21" t="str">
        <f>IFERROR(__xludf.DUMMYFUNCTION("""COMPUTED_VALUE"""),"https://drive.google.com/file/d/1fTnEH3eRbV3w-F9vziGqO7UYtTfNgzt0/view?usp=drivesdk")</f>
        <v>https://drive.google.com/file/d/1fTnEH3eRbV3w-F9vziGqO7UYtTfNgzt0/view?usp=drivesdk</v>
      </c>
    </row>
    <row r="5804">
      <c r="A5804" s="15">
        <f>IFERROR(__xludf.DUMMYFUNCTION("""COMPUTED_VALUE"""),45168.0)</f>
        <v>45168</v>
      </c>
      <c r="B5804" s="16" t="str">
        <f>IFERROR(__xludf.DUMMYFUNCTION("""COMPUTED_VALUE"""),"Jeison Rubiano")</f>
        <v>Jeison Rubiano</v>
      </c>
      <c r="C5804" s="15" t="str">
        <f>IFERROR(__xludf.DUMMYFUNCTION("""COMPUTED_VALUE"""),"BOGOTÁ")</f>
        <v>BOGOTÁ</v>
      </c>
      <c r="D5804" s="15" t="str">
        <f>IFERROR(__xludf.DUMMYFUNCTION("""COMPUTED_VALUE"""),"MEDELLÍN")</f>
        <v>MEDELLÍN</v>
      </c>
      <c r="E5804" s="15" t="str">
        <f>IFERROR(__xludf.DUMMYFUNCTION("""COMPUTED_VALUE"""),"Baby Chef")</f>
        <v>Baby Chef</v>
      </c>
      <c r="F5804" s="17" t="str">
        <f>IFERROR(__xludf.DUMMYFUNCTION("""COMPUTED_VALUE"""),"Tv. 19 A no 94 a - 19, 809  / BOGOTA  / BOGOTA")</f>
        <v>Tv. 19 A no 94 a - 19, 809  / BOGOTA  / BOGOTA</v>
      </c>
      <c r="G5804" s="15" t="str">
        <f>IFERROR(__xludf.DUMMYFUNCTION("""COMPUTED_VALUE"""),"Lina Arguello")</f>
        <v>Lina Arguello</v>
      </c>
      <c r="H5804" s="16">
        <f>IFERROR(__xludf.DUMMYFUNCTION("""COMPUTED_VALUE"""),14531.0)</f>
        <v>14531</v>
      </c>
      <c r="I5804" s="18">
        <f>IFERROR(__xludf.DUMMYFUNCTION("""COMPUTED_VALUE"""),6.0)</f>
        <v>6</v>
      </c>
      <c r="J5804" s="18">
        <f>IFERROR(__xludf.DUMMYFUNCTION("""COMPUTED_VALUE"""),21.0)</f>
        <v>21</v>
      </c>
      <c r="K5804" s="18">
        <f>IFERROR(__xludf.DUMMYFUNCTION("""COMPUTED_VALUE"""),32.0)</f>
        <v>32</v>
      </c>
      <c r="L5804" s="17">
        <f>IFERROR(__xludf.DUMMYFUNCTION("""COMPUTED_VALUE"""),3.002129615E9)</f>
        <v>3002129615</v>
      </c>
      <c r="M5804" s="17" t="str">
        <f>IFERROR(__xludf.DUMMYFUNCTION("""COMPUTED_VALUE"""),"#REF!")</f>
        <v>#REF!</v>
      </c>
      <c r="N5804" s="17"/>
      <c r="O5804" s="17"/>
      <c r="P5804" s="17" t="b">
        <f>IFERROR(__xludf.DUMMYFUNCTION("""COMPUTED_VALUE"""),FALSE)</f>
        <v>0</v>
      </c>
      <c r="Q5804" s="20" t="str">
        <f>IFERROR(__xludf.DUMMYFUNCTION("""COMPUTED_VALUE"""),"")</f>
        <v/>
      </c>
      <c r="R5804" s="21" t="str">
        <f>IFERROR(__xludf.DUMMYFUNCTION("""COMPUTED_VALUE"""),"https://drive.google.com/file/d/1YXZ3V-WRlJl6lwc3IC2nvu1K2KCKv5DY/view?usp=drivesdk")</f>
        <v>https://drive.google.com/file/d/1YXZ3V-WRlJl6lwc3IC2nvu1K2KCKv5DY/view?usp=drivesdk</v>
      </c>
    </row>
    <row r="5805">
      <c r="A5805" s="15">
        <f>IFERROR(__xludf.DUMMYFUNCTION("""COMPUTED_VALUE"""),45168.0)</f>
        <v>45168</v>
      </c>
      <c r="B5805" s="16" t="str">
        <f>IFERROR(__xludf.DUMMYFUNCTION("""COMPUTED_VALUE"""),"Jeison Rubiano")</f>
        <v>Jeison Rubiano</v>
      </c>
      <c r="C5805" s="15" t="str">
        <f>IFERROR(__xludf.DUMMYFUNCTION("""COMPUTED_VALUE"""),"BOGOTÁ")</f>
        <v>BOGOTÁ</v>
      </c>
      <c r="D5805" s="15" t="str">
        <f>IFERROR(__xludf.DUMMYFUNCTION("""COMPUTED_VALUE"""),"MEDELLÍN")</f>
        <v>MEDELLÍN</v>
      </c>
      <c r="E5805" s="15" t="str">
        <f>IFERROR(__xludf.DUMMYFUNCTION("""COMPUTED_VALUE"""),"Biota")</f>
        <v>Biota</v>
      </c>
      <c r="F5805" s="17" t="str">
        <f>IFERROR(__xludf.DUMMYFUNCTION("""COMPUTED_VALUE"""),"carrera 15 # 116- 47 / Tienda organica  de productos saludables / Mercado saludable, frut sec")</f>
        <v>carrera 15 # 116- 47 / Tienda organica  de productos saludables / Mercado saludable, frut sec</v>
      </c>
      <c r="G5805" s="15" t="str">
        <f>IFERROR(__xludf.DUMMYFUNCTION("""COMPUTED_VALUE"""),"Frut sec")</f>
        <v>Frut sec</v>
      </c>
      <c r="H5805" s="16">
        <f>IFERROR(__xludf.DUMMYFUNCTION("""COMPUTED_VALUE"""),14549.0)</f>
        <v>14549</v>
      </c>
      <c r="I5805" s="18">
        <f>IFERROR(__xludf.DUMMYFUNCTION("""COMPUTED_VALUE"""),30.0)</f>
        <v>30</v>
      </c>
      <c r="J5805" s="18">
        <f>IFERROR(__xludf.DUMMYFUNCTION("""COMPUTED_VALUE"""),25.0)</f>
        <v>25</v>
      </c>
      <c r="K5805" s="18">
        <f>IFERROR(__xludf.DUMMYFUNCTION("""COMPUTED_VALUE"""),32.0)</f>
        <v>32</v>
      </c>
      <c r="L5805" s="17">
        <f>IFERROR(__xludf.DUMMYFUNCTION("""COMPUTED_VALUE"""),3.21472746E9)</f>
        <v>3214727460</v>
      </c>
      <c r="M5805" s="17" t="str">
        <f>IFERROR(__xludf.DUMMYFUNCTION("""COMPUTED_VALUE"""),"#REF!")</f>
        <v>#REF!</v>
      </c>
      <c r="N5805" s="17"/>
      <c r="O5805" s="17"/>
      <c r="P5805" s="17" t="b">
        <f>IFERROR(__xludf.DUMMYFUNCTION("""COMPUTED_VALUE"""),FALSE)</f>
        <v>0</v>
      </c>
      <c r="Q5805" s="20" t="str">
        <f>IFERROR(__xludf.DUMMYFUNCTION("""COMPUTED_VALUE"""),"")</f>
        <v/>
      </c>
      <c r="R5805" s="21" t="str">
        <f>IFERROR(__xludf.DUMMYFUNCTION("""COMPUTED_VALUE"""),"https://drive.google.com/file/d/1hUUS_dnwYNkzHS7kb7ket8xPj0aY9wf2/view?usp=drivesdk")</f>
        <v>https://drive.google.com/file/d/1hUUS_dnwYNkzHS7kb7ket8xPj0aY9wf2/view?usp=drivesdk</v>
      </c>
    </row>
    <row r="5806">
      <c r="A5806" s="15">
        <f>IFERROR(__xludf.DUMMYFUNCTION("""COMPUTED_VALUE"""),45168.0)</f>
        <v>45168</v>
      </c>
      <c r="B5806" s="16" t="str">
        <f>IFERROR(__xludf.DUMMYFUNCTION("""COMPUTED_VALUE"""),"Jeison Rubiano")</f>
        <v>Jeison Rubiano</v>
      </c>
      <c r="C5806" s="15" t="str">
        <f>IFERROR(__xludf.DUMMYFUNCTION("""COMPUTED_VALUE"""),"BOGOTÁ")</f>
        <v>BOGOTÁ</v>
      </c>
      <c r="D5806" s="15" t="str">
        <f>IFERROR(__xludf.DUMMYFUNCTION("""COMPUTED_VALUE"""),"MEDELLÍN")</f>
        <v>MEDELLÍN</v>
      </c>
      <c r="E5806" s="15" t="str">
        <f>IFERROR(__xludf.DUMMYFUNCTION("""COMPUTED_VALUE"""),"Biota")</f>
        <v>Biota</v>
      </c>
      <c r="F5806" s="17" t="str">
        <f>IFERROR(__xludf.DUMMYFUNCTION("""COMPUTED_VALUE"""),"carrera 15 # 116-47 / Tienda organica  de productos saludables  / Bogota, Frut sec, mercado saludable")</f>
        <v>carrera 15 # 116-47 / Tienda organica  de productos saludables  / Bogota, Frut sec, mercado saludable</v>
      </c>
      <c r="G5806" s="15" t="str">
        <f>IFERROR(__xludf.DUMMYFUNCTION("""COMPUTED_VALUE"""),"Frut sec")</f>
        <v>Frut sec</v>
      </c>
      <c r="H5806" s="16">
        <f>IFERROR(__xludf.DUMMYFUNCTION("""COMPUTED_VALUE"""),14548.0)</f>
        <v>14548</v>
      </c>
      <c r="I5806" s="18">
        <f>IFERROR(__xludf.DUMMYFUNCTION("""COMPUTED_VALUE"""),20.0)</f>
        <v>20</v>
      </c>
      <c r="J5806" s="18">
        <f>IFERROR(__xludf.DUMMYFUNCTION("""COMPUTED_VALUE"""),22.0)</f>
        <v>22</v>
      </c>
      <c r="K5806" s="18">
        <f>IFERROR(__xludf.DUMMYFUNCTION("""COMPUTED_VALUE"""),23.0)</f>
        <v>23</v>
      </c>
      <c r="L5806" s="17">
        <f>IFERROR(__xludf.DUMMYFUNCTION("""COMPUTED_VALUE"""),3.21472746E9)</f>
        <v>3214727460</v>
      </c>
      <c r="M5806" s="17" t="str">
        <f>IFERROR(__xludf.DUMMYFUNCTION("""COMPUTED_VALUE"""),"#REF!")</f>
        <v>#REF!</v>
      </c>
      <c r="N5806" s="17"/>
      <c r="O5806" s="17"/>
      <c r="P5806" s="17" t="b">
        <f>IFERROR(__xludf.DUMMYFUNCTION("""COMPUTED_VALUE"""),FALSE)</f>
        <v>0</v>
      </c>
      <c r="Q5806" s="20" t="str">
        <f>IFERROR(__xludf.DUMMYFUNCTION("""COMPUTED_VALUE"""),"")</f>
        <v/>
      </c>
      <c r="R5806" s="22" t="str">
        <f>IFERROR(__xludf.DUMMYFUNCTION("""COMPUTED_VALUE"""),"")</f>
        <v/>
      </c>
    </row>
    <row r="5807">
      <c r="A5807" s="15">
        <f>IFERROR(__xludf.DUMMYFUNCTION("""COMPUTED_VALUE"""),45168.0)</f>
        <v>45168</v>
      </c>
      <c r="B5807" s="16" t="str">
        <f>IFERROR(__xludf.DUMMYFUNCTION("""COMPUTED_VALUE"""),"Jeison Rubiano")</f>
        <v>Jeison Rubiano</v>
      </c>
      <c r="C5807" s="15" t="str">
        <f>IFERROR(__xludf.DUMMYFUNCTION("""COMPUTED_VALUE"""),"BOGOTÁ")</f>
        <v>BOGOTÁ</v>
      </c>
      <c r="D5807" s="15" t="str">
        <f>IFERROR(__xludf.DUMMYFUNCTION("""COMPUTED_VALUE"""),"MEDELLÍN")</f>
        <v>MEDELLÍN</v>
      </c>
      <c r="E5807" s="15" t="str">
        <f>IFERROR(__xludf.DUMMYFUNCTION("""COMPUTED_VALUE"""),"Biota")</f>
        <v>Biota</v>
      </c>
      <c r="F5807" s="17" t="str">
        <f>IFERROR(__xludf.DUMMYFUNCTION("""COMPUTED_VALUE"""),"Carrera 5 # 63-21 / Mercado de productos organicos  / tienda organica")</f>
        <v>Carrera 5 # 63-21 / Mercado de productos organicos  / tienda organica</v>
      </c>
      <c r="G5807" s="15" t="str">
        <f>IFERROR(__xludf.DUMMYFUNCTION("""COMPUTED_VALUE"""),"Hortalizas tienda organica")</f>
        <v>Hortalizas tienda organica</v>
      </c>
      <c r="H5807" s="16">
        <f>IFERROR(__xludf.DUMMYFUNCTION("""COMPUTED_VALUE"""),14550.0)</f>
        <v>14550</v>
      </c>
      <c r="I5807" s="18">
        <f>IFERROR(__xludf.DUMMYFUNCTION("""COMPUTED_VALUE"""),24.0)</f>
        <v>24</v>
      </c>
      <c r="J5807" s="18">
        <f>IFERROR(__xludf.DUMMYFUNCTION("""COMPUTED_VALUE"""),20.0)</f>
        <v>20</v>
      </c>
      <c r="K5807" s="18">
        <f>IFERROR(__xludf.DUMMYFUNCTION("""COMPUTED_VALUE"""),27.0)</f>
        <v>27</v>
      </c>
      <c r="L5807" s="17">
        <f>IFERROR(__xludf.DUMMYFUNCTION("""COMPUTED_VALUE"""),3.112209342E9)</f>
        <v>3112209342</v>
      </c>
      <c r="M5807" s="17" t="str">
        <f>IFERROR(__xludf.DUMMYFUNCTION("""COMPUTED_VALUE"""),"#REF!")</f>
        <v>#REF!</v>
      </c>
      <c r="N5807" s="17"/>
      <c r="O5807" s="17"/>
      <c r="P5807" s="17" t="b">
        <f>IFERROR(__xludf.DUMMYFUNCTION("""COMPUTED_VALUE"""),FALSE)</f>
        <v>0</v>
      </c>
      <c r="Q5807" s="20" t="str">
        <f>IFERROR(__xludf.DUMMYFUNCTION("""COMPUTED_VALUE"""),"")</f>
        <v/>
      </c>
      <c r="R5807" s="21" t="str">
        <f>IFERROR(__xludf.DUMMYFUNCTION("""COMPUTED_VALUE"""),"https://drive.google.com/file/d/1qsMfaVxUT3rR4yIcadlj5x9m33AOT92T/view?usp=drivesdk")</f>
        <v>https://drive.google.com/file/d/1qsMfaVxUT3rR4yIcadlj5x9m33AOT92T/view?usp=drivesdk</v>
      </c>
    </row>
    <row r="5808">
      <c r="A5808" s="15">
        <f>IFERROR(__xludf.DUMMYFUNCTION("""COMPUTED_VALUE"""),45168.0)</f>
        <v>45168</v>
      </c>
      <c r="B5808" s="16" t="str">
        <f>IFERROR(__xludf.DUMMYFUNCTION("""COMPUTED_VALUE"""),"Jeison Rubiano")</f>
        <v>Jeison Rubiano</v>
      </c>
      <c r="C5808" s="15" t="str">
        <f>IFERROR(__xludf.DUMMYFUNCTION("""COMPUTED_VALUE"""),"BOGOTÁ")</f>
        <v>BOGOTÁ</v>
      </c>
      <c r="D5808" s="15" t="str">
        <f>IFERROR(__xludf.DUMMYFUNCTION("""COMPUTED_VALUE"""),"MEDELLÍN")</f>
        <v>MEDELLÍN</v>
      </c>
      <c r="E5808" s="15" t="str">
        <f>IFERROR(__xludf.DUMMYFUNCTION("""COMPUTED_VALUE"""),"Felicidad Bakery Bogotá")</f>
        <v>Felicidad Bakery Bogotá</v>
      </c>
      <c r="F5808" s="17" t="str">
        <f>IFERROR(__xludf.DUMMYFUNCTION("""COMPUTED_VALUE"""),"Calle 92 #15-62  / Local 103  / Edificio centro Chicó")</f>
        <v>Calle 92 #15-62  / Local 103  / Edificio centro Chicó</v>
      </c>
      <c r="G5808" s="15" t="str">
        <f>IFERROR(__xludf.DUMMYFUNCTION("""COMPUTED_VALUE"""),"Camilo hernandez")</f>
        <v>Camilo hernandez</v>
      </c>
      <c r="H5808" s="16">
        <f>IFERROR(__xludf.DUMMYFUNCTION("""COMPUTED_VALUE"""),14544.0)</f>
        <v>14544</v>
      </c>
      <c r="I5808" s="18">
        <f>IFERROR(__xludf.DUMMYFUNCTION("""COMPUTED_VALUE"""),1.0)</f>
        <v>1</v>
      </c>
      <c r="J5808" s="18">
        <f>IFERROR(__xludf.DUMMYFUNCTION("""COMPUTED_VALUE"""),1.0)</f>
        <v>1</v>
      </c>
      <c r="K5808" s="18">
        <f>IFERROR(__xludf.DUMMYFUNCTION("""COMPUTED_VALUE"""),1.0)</f>
        <v>1</v>
      </c>
      <c r="L5808" s="17">
        <f>IFERROR(__xludf.DUMMYFUNCTION("""COMPUTED_VALUE"""),3.013527163E9)</f>
        <v>3013527163</v>
      </c>
      <c r="M5808" s="17" t="str">
        <f>IFERROR(__xludf.DUMMYFUNCTION("""COMPUTED_VALUE"""),"#REF!")</f>
        <v>#REF!</v>
      </c>
      <c r="N5808" s="17"/>
      <c r="O5808" s="17"/>
      <c r="P5808" s="17" t="b">
        <f>IFERROR(__xludf.DUMMYFUNCTION("""COMPUTED_VALUE"""),FALSE)</f>
        <v>0</v>
      </c>
      <c r="Q5808" s="20" t="str">
        <f>IFERROR(__xludf.DUMMYFUNCTION("""COMPUTED_VALUE"""),"")</f>
        <v/>
      </c>
      <c r="R5808" s="21" t="str">
        <f>IFERROR(__xludf.DUMMYFUNCTION("""COMPUTED_VALUE"""),"https://drive.google.com/file/d/1h6QjAllsXyzV44egrI-tVtbrzDohu1ur/view?usp=drivesdk")</f>
        <v>https://drive.google.com/file/d/1h6QjAllsXyzV44egrI-tVtbrzDohu1ur/view?usp=drivesdk</v>
      </c>
    </row>
    <row r="5809">
      <c r="A5809" s="15">
        <f>IFERROR(__xludf.DUMMYFUNCTION("""COMPUTED_VALUE"""),45168.0)</f>
        <v>45168</v>
      </c>
      <c r="B5809" s="16" t="str">
        <f>IFERROR(__xludf.DUMMYFUNCTION("""COMPUTED_VALUE"""),"Jeison Rubiano")</f>
        <v>Jeison Rubiano</v>
      </c>
      <c r="C5809" s="15" t="str">
        <f>IFERROR(__xludf.DUMMYFUNCTION("""COMPUTED_VALUE"""),"BOGOTÁ")</f>
        <v>BOGOTÁ</v>
      </c>
      <c r="D5809" s="15" t="str">
        <f>IFERROR(__xludf.DUMMYFUNCTION("""COMPUTED_VALUE"""),"MEDELLÍN")</f>
        <v>MEDELLÍN</v>
      </c>
      <c r="E5809" s="15" t="str">
        <f>IFERROR(__xludf.DUMMYFUNCTION("""COMPUTED_VALUE"""),"Rambla")</f>
        <v>Rambla</v>
      </c>
      <c r="F5809" s="17" t="str">
        <f>IFERROR(__xludf.DUMMYFUNCTION("""COMPUTED_VALUE"""),"Calle 24 80b 82 Modelia / - / -")</f>
        <v>Calle 24 80b 82 Modelia / - / -</v>
      </c>
      <c r="G5809" s="15" t="str">
        <f>IFERROR(__xludf.DUMMYFUNCTION("""COMPUTED_VALUE"""),"Fit Market")</f>
        <v>Fit Market</v>
      </c>
      <c r="H5809" s="16">
        <f>IFERROR(__xludf.DUMMYFUNCTION("""COMPUTED_VALUE"""),14538.0)</f>
        <v>14538</v>
      </c>
      <c r="I5809" s="18">
        <f>IFERROR(__xludf.DUMMYFUNCTION("""COMPUTED_VALUE"""),36.0)</f>
        <v>36</v>
      </c>
      <c r="J5809" s="18">
        <f>IFERROR(__xludf.DUMMYFUNCTION("""COMPUTED_VALUE"""),38.0)</f>
        <v>38</v>
      </c>
      <c r="K5809" s="18">
        <f>IFERROR(__xludf.DUMMYFUNCTION("""COMPUTED_VALUE"""),40.0)</f>
        <v>40</v>
      </c>
      <c r="L5809" s="17">
        <f>IFERROR(__xludf.DUMMYFUNCTION("""COMPUTED_VALUE"""),3.136299043E9)</f>
        <v>3136299043</v>
      </c>
      <c r="M5809" s="17" t="str">
        <f>IFERROR(__xludf.DUMMYFUNCTION("""COMPUTED_VALUE"""),"#REF!")</f>
        <v>#REF!</v>
      </c>
      <c r="N5809" s="17"/>
      <c r="O5809" s="17"/>
      <c r="P5809" s="17" t="b">
        <f>IFERROR(__xludf.DUMMYFUNCTION("""COMPUTED_VALUE"""),FALSE)</f>
        <v>0</v>
      </c>
      <c r="Q5809" s="20" t="str">
        <f>IFERROR(__xludf.DUMMYFUNCTION("""COMPUTED_VALUE"""),"")</f>
        <v/>
      </c>
      <c r="R5809" s="22" t="str">
        <f>IFERROR(__xludf.DUMMYFUNCTION("""COMPUTED_VALUE"""),"")</f>
        <v/>
      </c>
    </row>
    <row r="5810">
      <c r="A5810" s="15">
        <f>IFERROR(__xludf.DUMMYFUNCTION("""COMPUTED_VALUE"""),45168.0)</f>
        <v>45168</v>
      </c>
      <c r="B5810" s="16" t="str">
        <f>IFERROR(__xludf.DUMMYFUNCTION("""COMPUTED_VALUE"""),"Jeison Rubiano")</f>
        <v>Jeison Rubiano</v>
      </c>
      <c r="C5810" s="15" t="str">
        <f>IFERROR(__xludf.DUMMYFUNCTION("""COMPUTED_VALUE"""),"BOGOTÁ")</f>
        <v>BOGOTÁ</v>
      </c>
      <c r="D5810" s="15" t="str">
        <f>IFERROR(__xludf.DUMMYFUNCTION("""COMPUTED_VALUE"""),"MEDELLÍN")</f>
        <v>MEDELLÍN</v>
      </c>
      <c r="E5810" s="15" t="str">
        <f>IFERROR(__xludf.DUMMYFUNCTION("""COMPUTED_VALUE"""),"Rambla")</f>
        <v>Rambla</v>
      </c>
      <c r="F5810" s="17" t="str">
        <f>IFERROR(__xludf.DUMMYFUNCTION("""COMPUTED_VALUE"""),"Calle 25B # 70B - 50, Conjunto Gran reserva de Mallorca, Torre 3, Apto 1207, Barrio Salitre / - / -")</f>
        <v>Calle 25B # 70B - 50, Conjunto Gran reserva de Mallorca, Torre 3, Apto 1207, Barrio Salitre / - / -</v>
      </c>
      <c r="G5810" s="15" t="str">
        <f>IFERROR(__xludf.DUMMYFUNCTION("""COMPUTED_VALUE"""),"Andrés Hamón Silva")</f>
        <v>Andrés Hamón Silva</v>
      </c>
      <c r="H5810" s="16">
        <f>IFERROR(__xludf.DUMMYFUNCTION("""COMPUTED_VALUE"""),14540.0)</f>
        <v>14540</v>
      </c>
      <c r="I5810" s="18">
        <f>IFERROR(__xludf.DUMMYFUNCTION("""COMPUTED_VALUE"""),19.0)</f>
        <v>19</v>
      </c>
      <c r="J5810" s="18">
        <f>IFERROR(__xludf.DUMMYFUNCTION("""COMPUTED_VALUE"""),18.0)</f>
        <v>18</v>
      </c>
      <c r="K5810" s="18">
        <f>IFERROR(__xludf.DUMMYFUNCTION("""COMPUTED_VALUE"""),17.0)</f>
        <v>17</v>
      </c>
      <c r="L5810" s="17">
        <f>IFERROR(__xludf.DUMMYFUNCTION("""COMPUTED_VALUE"""),3.014772992E9)</f>
        <v>3014772992</v>
      </c>
      <c r="M5810" s="17" t="str">
        <f>IFERROR(__xludf.DUMMYFUNCTION("""COMPUTED_VALUE"""),"#REF!")</f>
        <v>#REF!</v>
      </c>
      <c r="N5810" s="17"/>
      <c r="O5810" s="17"/>
      <c r="P5810" s="17" t="b">
        <f>IFERROR(__xludf.DUMMYFUNCTION("""COMPUTED_VALUE"""),FALSE)</f>
        <v>0</v>
      </c>
      <c r="Q5810" s="20" t="str">
        <f>IFERROR(__xludf.DUMMYFUNCTION("""COMPUTED_VALUE"""),"")</f>
        <v/>
      </c>
      <c r="R5810" s="21" t="str">
        <f>IFERROR(__xludf.DUMMYFUNCTION("""COMPUTED_VALUE"""),"https://drive.google.com/file/d/1M2GBr0DfAicfu9H3Imm_s56i2PoflvNI/view?usp=drivesdk")</f>
        <v>https://drive.google.com/file/d/1M2GBr0DfAicfu9H3Imm_s56i2PoflvNI/view?usp=drivesdk</v>
      </c>
    </row>
    <row r="5811">
      <c r="A5811" s="15">
        <f>IFERROR(__xludf.DUMMYFUNCTION("""COMPUTED_VALUE"""),45168.0)</f>
        <v>45168</v>
      </c>
      <c r="B5811" s="16" t="str">
        <f>IFERROR(__xludf.DUMMYFUNCTION("""COMPUTED_VALUE"""),"Jeison Rubiano")</f>
        <v>Jeison Rubiano</v>
      </c>
      <c r="C5811" s="15" t="str">
        <f>IFERROR(__xludf.DUMMYFUNCTION("""COMPUTED_VALUE"""),"BOGOTÁ")</f>
        <v>BOGOTÁ</v>
      </c>
      <c r="D5811" s="15" t="str">
        <f>IFERROR(__xludf.DUMMYFUNCTION("""COMPUTED_VALUE"""),"MEDELLÍN")</f>
        <v>MEDELLÍN</v>
      </c>
      <c r="E5811" s="15" t="str">
        <f>IFERROR(__xludf.DUMMYFUNCTION("""COMPUTED_VALUE"""),"Rambla")</f>
        <v>Rambla</v>
      </c>
      <c r="F5811" s="17" t="str">
        <f>IFERROR(__xludf.DUMMYFUNCTION("""COMPUTED_VALUE"""),"Calle 77 # 9-20 apto 204 / - / -")</f>
        <v>Calle 77 # 9-20 apto 204 / - / -</v>
      </c>
      <c r="G5811" s="15" t="str">
        <f>IFERROR(__xludf.DUMMYFUNCTION("""COMPUTED_VALUE"""),"Carolina León")</f>
        <v>Carolina León</v>
      </c>
      <c r="H5811" s="16">
        <f>IFERROR(__xludf.DUMMYFUNCTION("""COMPUTED_VALUE"""),14539.0)</f>
        <v>14539</v>
      </c>
      <c r="I5811" s="18">
        <f>IFERROR(__xludf.DUMMYFUNCTION("""COMPUTED_VALUE"""),15.0)</f>
        <v>15</v>
      </c>
      <c r="J5811" s="18">
        <f>IFERROR(__xludf.DUMMYFUNCTION("""COMPUTED_VALUE"""),12.0)</f>
        <v>12</v>
      </c>
      <c r="K5811" s="18">
        <f>IFERROR(__xludf.DUMMYFUNCTION("""COMPUTED_VALUE"""),11.0)</f>
        <v>11</v>
      </c>
      <c r="L5811" s="17">
        <f>IFERROR(__xludf.DUMMYFUNCTION("""COMPUTED_VALUE"""),3.164698482E9)</f>
        <v>3164698482</v>
      </c>
      <c r="M5811" s="17" t="str">
        <f>IFERROR(__xludf.DUMMYFUNCTION("""COMPUTED_VALUE"""),"#REF!")</f>
        <v>#REF!</v>
      </c>
      <c r="N5811" s="17"/>
      <c r="O5811" s="17"/>
      <c r="P5811" s="17" t="b">
        <f>IFERROR(__xludf.DUMMYFUNCTION("""COMPUTED_VALUE"""),TRUE)</f>
        <v>1</v>
      </c>
      <c r="Q5811" s="20">
        <f>IFERROR(__xludf.DUMMYFUNCTION("""COMPUTED_VALUE"""),45169.74934090278)</f>
        <v>45169.74934</v>
      </c>
      <c r="R5811" s="21" t="str">
        <f>IFERROR(__xludf.DUMMYFUNCTION("""COMPUTED_VALUE"""),"https://drive.google.com/file/d/1SoYS2gBPS-Q5nuicH1TjL5xcwHWTd1wH/view?usp=drivesdk")</f>
        <v>https://drive.google.com/file/d/1SoYS2gBPS-Q5nuicH1TjL5xcwHWTd1wH/view?usp=drivesdk</v>
      </c>
    </row>
    <row r="5812">
      <c r="A5812" s="15">
        <f>IFERROR(__xludf.DUMMYFUNCTION("""COMPUTED_VALUE"""),45168.0)</f>
        <v>45168</v>
      </c>
      <c r="B5812" s="16" t="str">
        <f>IFERROR(__xludf.DUMMYFUNCTION("""COMPUTED_VALUE"""),"Jeison Rubiano")</f>
        <v>Jeison Rubiano</v>
      </c>
      <c r="C5812" s="15" t="str">
        <f>IFERROR(__xludf.DUMMYFUNCTION("""COMPUTED_VALUE"""),"BOGOTÁ")</f>
        <v>BOGOTÁ</v>
      </c>
      <c r="D5812" s="15" t="str">
        <f>IFERROR(__xludf.DUMMYFUNCTION("""COMPUTED_VALUE"""),"MEDELLÍN")</f>
        <v>MEDELLÍN</v>
      </c>
      <c r="E5812" s="15" t="str">
        <f>IFERROR(__xludf.DUMMYFUNCTION("""COMPUTED_VALUE"""),"Rambla")</f>
        <v>Rambla</v>
      </c>
      <c r="F5812" s="17" t="str">
        <f>IFERROR(__xludf.DUMMYFUNCTION("""COMPUTED_VALUE"""),"carrera 11 #118 96 apto 301 / - / -")</f>
        <v>carrera 11 #118 96 apto 301 / - / -</v>
      </c>
      <c r="G5812" s="15" t="str">
        <f>IFERROR(__xludf.DUMMYFUNCTION("""COMPUTED_VALUE"""),"Maná")</f>
        <v>Maná</v>
      </c>
      <c r="H5812" s="16">
        <f>IFERROR(__xludf.DUMMYFUNCTION("""COMPUTED_VALUE"""),14541.0)</f>
        <v>14541</v>
      </c>
      <c r="I5812" s="18">
        <f>IFERROR(__xludf.DUMMYFUNCTION("""COMPUTED_VALUE"""),22.0)</f>
        <v>22</v>
      </c>
      <c r="J5812" s="18">
        <f>IFERROR(__xludf.DUMMYFUNCTION("""COMPUTED_VALUE"""),24.0)</f>
        <v>24</v>
      </c>
      <c r="K5812" s="18">
        <f>IFERROR(__xludf.DUMMYFUNCTION("""COMPUTED_VALUE"""),24.0)</f>
        <v>24</v>
      </c>
      <c r="L5812" s="17">
        <f>IFERROR(__xludf.DUMMYFUNCTION("""COMPUTED_VALUE"""),3.053685385E9)</f>
        <v>3053685385</v>
      </c>
      <c r="M5812" s="17" t="str">
        <f>IFERROR(__xludf.DUMMYFUNCTION("""COMPUTED_VALUE"""),"#REF!")</f>
        <v>#REF!</v>
      </c>
      <c r="N5812" s="17"/>
      <c r="O5812" s="17"/>
      <c r="P5812" s="17" t="b">
        <f>IFERROR(__xludf.DUMMYFUNCTION("""COMPUTED_VALUE"""),TRUE)</f>
        <v>1</v>
      </c>
      <c r="Q5812" s="20">
        <f>IFERROR(__xludf.DUMMYFUNCTION("""COMPUTED_VALUE"""),45169.74934090278)</f>
        <v>45169.74934</v>
      </c>
      <c r="R5812" s="21" t="str">
        <f>IFERROR(__xludf.DUMMYFUNCTION("""COMPUTED_VALUE"""),"https://drive.google.com/file/d/13hKkWcVYdTIf3aofAwaFDJmRkzcjjge4/view?usp=drivesdk")</f>
        <v>https://drive.google.com/file/d/13hKkWcVYdTIf3aofAwaFDJmRkzcjjge4/view?usp=drivesdk</v>
      </c>
    </row>
    <row r="5813">
      <c r="A5813" s="15">
        <f>IFERROR(__xludf.DUMMYFUNCTION("""COMPUTED_VALUE"""),45168.0)</f>
        <v>45168</v>
      </c>
      <c r="B5813" s="16" t="str">
        <f>IFERROR(__xludf.DUMMYFUNCTION("""COMPUTED_VALUE"""),"Jeison Rubiano")</f>
        <v>Jeison Rubiano</v>
      </c>
      <c r="C5813" s="15" t="str">
        <f>IFERROR(__xludf.DUMMYFUNCTION("""COMPUTED_VALUE"""),"BOGOTÁ")</f>
        <v>BOGOTÁ</v>
      </c>
      <c r="D5813" s="15" t="str">
        <f>IFERROR(__xludf.DUMMYFUNCTION("""COMPUTED_VALUE"""),"MEDELLÍN")</f>
        <v>MEDELLÍN</v>
      </c>
      <c r="E5813" s="15" t="str">
        <f>IFERROR(__xludf.DUMMYFUNCTION("""COMPUTED_VALUE"""),"Terravocado")</f>
        <v>Terravocado</v>
      </c>
      <c r="F5813" s="17" t="str">
        <f>IFERROR(__xludf.DUMMYFUNCTION("""COMPUTED_VALUE"""),"CRA 20 # 168 - 32 / TOBERIN  / TOBERIN")</f>
        <v>CRA 20 # 168 - 32 / TOBERIN  / TOBERIN</v>
      </c>
      <c r="G5813" s="15" t="str">
        <f>IFERROR(__xludf.DUMMYFUNCTION("""COMPUTED_VALUE"""),"BUKOI")</f>
        <v>BUKOI</v>
      </c>
      <c r="H5813" s="16">
        <f>IFERROR(__xludf.DUMMYFUNCTION("""COMPUTED_VALUE"""),14432.0)</f>
        <v>14432</v>
      </c>
      <c r="I5813" s="18">
        <f>IFERROR(__xludf.DUMMYFUNCTION("""COMPUTED_VALUE"""),20.0)</f>
        <v>20</v>
      </c>
      <c r="J5813" s="18">
        <f>IFERROR(__xludf.DUMMYFUNCTION("""COMPUTED_VALUE"""),24.0)</f>
        <v>24</v>
      </c>
      <c r="K5813" s="18">
        <f>IFERROR(__xludf.DUMMYFUNCTION("""COMPUTED_VALUE"""),34.0)</f>
        <v>34</v>
      </c>
      <c r="L5813" s="17">
        <f>IFERROR(__xludf.DUMMYFUNCTION("""COMPUTED_VALUE"""),3.125489315E9)</f>
        <v>3125489315</v>
      </c>
      <c r="M5813" s="17" t="str">
        <f>IFERROR(__xludf.DUMMYFUNCTION("""COMPUTED_VALUE"""),"#REF!")</f>
        <v>#REF!</v>
      </c>
      <c r="N5813" s="17"/>
      <c r="O5813" s="17"/>
      <c r="P5813" s="17" t="b">
        <f>IFERROR(__xludf.DUMMYFUNCTION("""COMPUTED_VALUE"""),TRUE)</f>
        <v>1</v>
      </c>
      <c r="Q5813" s="20">
        <f>IFERROR(__xludf.DUMMYFUNCTION("""COMPUTED_VALUE"""),45170.44399447917)</f>
        <v>45170.44399</v>
      </c>
      <c r="R5813" s="21" t="str">
        <f>IFERROR(__xludf.DUMMYFUNCTION("""COMPUTED_VALUE"""),"https://drive.google.com/file/d/1FkT2FWLZW0bgqx3FXruKuAKD6F2MBKOa/view?usp=drivesdk")</f>
        <v>https://drive.google.com/file/d/1FkT2FWLZW0bgqx3FXruKuAKD6F2MBKOa/view?usp=drivesdk</v>
      </c>
    </row>
    <row r="5814">
      <c r="A5814" s="15">
        <f>IFERROR(__xludf.DUMMYFUNCTION("""COMPUTED_VALUE"""),45168.0)</f>
        <v>45168</v>
      </c>
      <c r="B5814" s="16" t="str">
        <f>IFERROR(__xludf.DUMMYFUNCTION("""COMPUTED_VALUE"""),"Jeison Rubiano")</f>
        <v>Jeison Rubiano</v>
      </c>
      <c r="C5814" s="15" t="str">
        <f>IFERROR(__xludf.DUMMYFUNCTION("""COMPUTED_VALUE"""),"MONTERIA")</f>
        <v>MONTERIA</v>
      </c>
      <c r="D5814" s="15" t="str">
        <f>IFERROR(__xludf.DUMMYFUNCTION("""COMPUTED_VALUE"""),"BOGOTÁ")</f>
        <v>BOGOTÁ</v>
      </c>
      <c r="E5814" s="15" t="str">
        <f>IFERROR(__xludf.DUMMYFUNCTION("""COMPUTED_VALUE"""),"Once Trigos")</f>
        <v>Once Trigos</v>
      </c>
      <c r="F5814" s="17" t="str">
        <f>IFERROR(__xludf.DUMMYFUNCTION("""COMPUTED_VALUE"""),"CALLE 44 # 10-91  / CENTRO COMERCIAL  ALAMEDAS  / LOCAL 4  ENJOY FIT")</f>
        <v>CALLE 44 # 10-91  / CENTRO COMERCIAL  ALAMEDAS  / LOCAL 4  ENJOY FIT</v>
      </c>
      <c r="G5814" s="15" t="str">
        <f>IFERROR(__xludf.DUMMYFUNCTION("""COMPUTED_VALUE"""),"ENJOY FIT ALAMEDAS")</f>
        <v>ENJOY FIT ALAMEDAS</v>
      </c>
      <c r="H5814" s="16">
        <f>IFERROR(__xludf.DUMMYFUNCTION("""COMPUTED_VALUE"""),14483.0)</f>
        <v>14483</v>
      </c>
      <c r="I5814" s="18">
        <f>IFERROR(__xludf.DUMMYFUNCTION("""COMPUTED_VALUE"""),25.0)</f>
        <v>25</v>
      </c>
      <c r="J5814" s="18">
        <f>IFERROR(__xludf.DUMMYFUNCTION("""COMPUTED_VALUE"""),30.0)</f>
        <v>30</v>
      </c>
      <c r="K5814" s="18">
        <f>IFERROR(__xludf.DUMMYFUNCTION("""COMPUTED_VALUE"""),30.0)</f>
        <v>30</v>
      </c>
      <c r="L5814" s="17">
        <f>IFERROR(__xludf.DUMMYFUNCTION("""COMPUTED_VALUE"""),3.107294683E9)</f>
        <v>3107294683</v>
      </c>
      <c r="M5814" s="17" t="str">
        <f>IFERROR(__xludf.DUMMYFUNCTION("""COMPUTED_VALUE"""),"#REF!")</f>
        <v>#REF!</v>
      </c>
      <c r="N5814" s="17"/>
      <c r="O5814" s="17"/>
      <c r="P5814" s="17" t="b">
        <f>IFERROR(__xludf.DUMMYFUNCTION("""COMPUTED_VALUE"""),TRUE)</f>
        <v>1</v>
      </c>
      <c r="Q5814" s="20">
        <f>IFERROR(__xludf.DUMMYFUNCTION("""COMPUTED_VALUE"""),45169.74934091435)</f>
        <v>45169.74934</v>
      </c>
      <c r="R5814" s="22" t="str">
        <f>IFERROR(__xludf.DUMMYFUNCTION("""COMPUTED_VALUE"""),"")</f>
        <v/>
      </c>
    </row>
    <row r="5815">
      <c r="A5815" s="17" t="str">
        <f>IFERROR(__xludf.DUMMYFUNCTION("""COMPUTED_VALUE"""),"")</f>
        <v/>
      </c>
      <c r="B5815" s="17" t="str">
        <f>IFERROR(__xludf.DUMMYFUNCTION("""COMPUTED_VALUE"""),"")</f>
        <v/>
      </c>
      <c r="C5815" s="17" t="str">
        <f>IFERROR(__xludf.DUMMYFUNCTION("""COMPUTED_VALUE"""),"")</f>
        <v/>
      </c>
      <c r="D5815" s="17" t="str">
        <f>IFERROR(__xludf.DUMMYFUNCTION("""COMPUTED_VALUE"""),"")</f>
        <v/>
      </c>
      <c r="E5815" s="17" t="str">
        <f>IFERROR(__xludf.DUMMYFUNCTION("""COMPUTED_VALUE"""),"")</f>
        <v/>
      </c>
      <c r="F5815" s="17" t="str">
        <f>IFERROR(__xludf.DUMMYFUNCTION("""COMPUTED_VALUE"""),"")</f>
        <v/>
      </c>
      <c r="G5815" s="17" t="str">
        <f>IFERROR(__xludf.DUMMYFUNCTION("""COMPUTED_VALUE"""),"")</f>
        <v/>
      </c>
      <c r="H5815" s="17" t="str">
        <f>IFERROR(__xludf.DUMMYFUNCTION("""COMPUTED_VALUE"""),"")</f>
        <v/>
      </c>
      <c r="I5815" s="17" t="str">
        <f>IFERROR(__xludf.DUMMYFUNCTION("""COMPUTED_VALUE"""),"")</f>
        <v/>
      </c>
      <c r="J5815" s="17" t="str">
        <f>IFERROR(__xludf.DUMMYFUNCTION("""COMPUTED_VALUE"""),"")</f>
        <v/>
      </c>
      <c r="K5815" s="17" t="str">
        <f>IFERROR(__xludf.DUMMYFUNCTION("""COMPUTED_VALUE"""),"")</f>
        <v/>
      </c>
      <c r="L5815" s="17" t="str">
        <f>IFERROR(__xludf.DUMMYFUNCTION("""COMPUTED_VALUE"""),"")</f>
        <v/>
      </c>
      <c r="M5815" s="17" t="str">
        <f>IFERROR(__xludf.DUMMYFUNCTION("""COMPUTED_VALUE"""),"")</f>
        <v/>
      </c>
      <c r="N5815" s="17" t="str">
        <f>IFERROR(__xludf.DUMMYFUNCTION("""COMPUTED_VALUE"""),"")</f>
        <v/>
      </c>
      <c r="O5815" s="17" t="str">
        <f>IFERROR(__xludf.DUMMYFUNCTION("""COMPUTED_VALUE"""),"")</f>
        <v/>
      </c>
      <c r="P5815" s="17" t="str">
        <f>IFERROR(__xludf.DUMMYFUNCTION("""COMPUTED_VALUE"""),"")</f>
        <v/>
      </c>
      <c r="Q5815" s="17" t="str">
        <f>IFERROR(__xludf.DUMMYFUNCTION("""COMPUTED_VALUE"""),"")</f>
        <v/>
      </c>
      <c r="R5815" s="17" t="str">
        <f>IFERROR(__xludf.DUMMYFUNCTION("""COMPUTED_VALUE"""),"")</f>
        <v/>
      </c>
    </row>
    <row r="5816">
      <c r="A5816" s="15">
        <f>IFERROR(__xludf.DUMMYFUNCTION("""COMPUTED_VALUE"""),45168.0)</f>
        <v>45168</v>
      </c>
      <c r="B5816" s="16" t="str">
        <f>IFERROR(__xludf.DUMMYFUNCTION("""COMPUTED_VALUE"""),"Johan Alexander Escobar Arroyo ")</f>
        <v>Johan Alexander Escobar Arroyo </v>
      </c>
      <c r="C5816" s="15" t="str">
        <f>IFERROR(__xludf.DUMMYFUNCTION("""COMPUTED_VALUE"""),"CALI")</f>
        <v>CALI</v>
      </c>
      <c r="D5816" s="15" t="str">
        <f>IFERROR(__xludf.DUMMYFUNCTION("""COMPUTED_VALUE"""),"BOGOTÁ")</f>
        <v>BOGOTÁ</v>
      </c>
      <c r="E5816" s="15" t="str">
        <f>IFERROR(__xludf.DUMMYFUNCTION("""COMPUTED_VALUE"""),"Mochi")</f>
        <v>Mochi</v>
      </c>
      <c r="F5816" s="17" t="str">
        <f>IFERROR(__xludf.DUMMYFUNCTION("""COMPUTED_VALUE"""),"cl. 15 Nte. #9n-16, Granada, Cali, Valle del Cauca / cl. 15 Nte. #9n-16, Granada, Cali, Valle del Cauca / cl. 15 Nte. #9n-16, Granada, Cali, Valle del Cauca")</f>
        <v>cl. 15 Nte. #9n-16, Granada, Cali, Valle del Cauca / cl. 15 Nte. #9n-16, Granada, Cali, Valle del Cauca / cl. 15 Nte. #9n-16, Granada, Cali, Valle del Cauca</v>
      </c>
      <c r="G5816" s="15" t="str">
        <f>IFERROR(__xludf.DUMMYFUNCTION("""COMPUTED_VALUE"""),"ESTEFANIA")</f>
        <v>ESTEFANIA</v>
      </c>
      <c r="H5816" s="16">
        <f>IFERROR(__xludf.DUMMYFUNCTION("""COMPUTED_VALUE"""),14547.0)</f>
        <v>14547</v>
      </c>
      <c r="I5816" s="18">
        <f>IFERROR(__xludf.DUMMYFUNCTION("""COMPUTED_VALUE"""),100.0)</f>
        <v>100</v>
      </c>
      <c r="J5816" s="18">
        <f>IFERROR(__xludf.DUMMYFUNCTION("""COMPUTED_VALUE"""),100.0)</f>
        <v>100</v>
      </c>
      <c r="K5816" s="18">
        <f>IFERROR(__xludf.DUMMYFUNCTION("""COMPUTED_VALUE"""),100.0)</f>
        <v>100</v>
      </c>
      <c r="L5816" s="17">
        <f>IFERROR(__xludf.DUMMYFUNCTION("""COMPUTED_VALUE"""),3.183028598E9)</f>
        <v>3183028598</v>
      </c>
      <c r="M5816" s="17" t="str">
        <f>IFERROR(__xludf.DUMMYFUNCTION("""COMPUTED_VALUE"""),"#REF!")</f>
        <v>#REF!</v>
      </c>
      <c r="N5816" s="17"/>
      <c r="O5816" s="17"/>
      <c r="P5816" s="17" t="b">
        <f>IFERROR(__xludf.DUMMYFUNCTION("""COMPUTED_VALUE"""),TRUE)</f>
        <v>1</v>
      </c>
      <c r="Q5816" s="20">
        <f>IFERROR(__xludf.DUMMYFUNCTION("""COMPUTED_VALUE"""),45169.74934091435)</f>
        <v>45169.74934</v>
      </c>
      <c r="R5816" s="22" t="str">
        <f>IFERROR(__xludf.DUMMYFUNCTION("""COMPUTED_VALUE"""),"")</f>
        <v/>
      </c>
    </row>
    <row r="5817">
      <c r="A5817" s="15">
        <f>IFERROR(__xludf.DUMMYFUNCTION("""COMPUTED_VALUE"""),45168.0)</f>
        <v>45168</v>
      </c>
      <c r="B5817" s="16" t="str">
        <f>IFERROR(__xludf.DUMMYFUNCTION("""COMPUTED_VALUE"""),"Johan Alexander Escobar Arroyo ")</f>
        <v>Johan Alexander Escobar Arroyo </v>
      </c>
      <c r="C5817" s="15" t="str">
        <f>IFERROR(__xludf.DUMMYFUNCTION("""COMPUTED_VALUE"""),"CALI")</f>
        <v>CALI</v>
      </c>
      <c r="D5817" s="15" t="str">
        <f>IFERROR(__xludf.DUMMYFUNCTION("""COMPUTED_VALUE"""),"MEDELLÍN")</f>
        <v>MEDELLÍN</v>
      </c>
      <c r="E5817" s="15" t="str">
        <f>IFERROR(__xludf.DUMMYFUNCTION("""COMPUTED_VALUE"""),"Baby Chef")</f>
        <v>Baby Chef</v>
      </c>
      <c r="F5817" s="17" t="str">
        <f>IFERROR(__xludf.DUMMYFUNCTION("""COMPUTED_VALUE"""),"Calle 20 no 116 - 105 casa 28, barrio pance  / casas del alferez  / casas del alferez")</f>
        <v>Calle 20 no 116 - 105 casa 28, barrio pance  / casas del alferez  / casas del alferez</v>
      </c>
      <c r="G5817" s="15" t="str">
        <f>IFERROR(__xludf.DUMMYFUNCTION("""COMPUTED_VALUE"""),"Marie Andrea Ortiz Lobo")</f>
        <v>Marie Andrea Ortiz Lobo</v>
      </c>
      <c r="H5817" s="16">
        <f>IFERROR(__xludf.DUMMYFUNCTION("""COMPUTED_VALUE"""),14534.0)</f>
        <v>14534</v>
      </c>
      <c r="I5817" s="18">
        <f>IFERROR(__xludf.DUMMYFUNCTION("""COMPUTED_VALUE"""),6.0)</f>
        <v>6</v>
      </c>
      <c r="J5817" s="18">
        <f>IFERROR(__xludf.DUMMYFUNCTION("""COMPUTED_VALUE"""),21.0)</f>
        <v>21</v>
      </c>
      <c r="K5817" s="18">
        <f>IFERROR(__xludf.DUMMYFUNCTION("""COMPUTED_VALUE"""),27.0)</f>
        <v>27</v>
      </c>
      <c r="L5817" s="17">
        <f>IFERROR(__xludf.DUMMYFUNCTION("""COMPUTED_VALUE"""),3.188133896E9)</f>
        <v>3188133896</v>
      </c>
      <c r="M5817" s="17" t="str">
        <f>IFERROR(__xludf.DUMMYFUNCTION("""COMPUTED_VALUE"""),"#REF!")</f>
        <v>#REF!</v>
      </c>
      <c r="N5817" s="17"/>
      <c r="O5817" s="17"/>
      <c r="P5817" s="17" t="b">
        <f>IFERROR(__xludf.DUMMYFUNCTION("""COMPUTED_VALUE"""),TRUE)</f>
        <v>1</v>
      </c>
      <c r="Q5817" s="20">
        <f>IFERROR(__xludf.DUMMYFUNCTION("""COMPUTED_VALUE"""),45170.44404645833)</f>
        <v>45170.44405</v>
      </c>
      <c r="R5817" s="21" t="str">
        <f>IFERROR(__xludf.DUMMYFUNCTION("""COMPUTED_VALUE"""),"https://drive.google.com/file/d/16laHxtjL2z23Rf6QfZH6KyIpMHqMSAP1/view?usp=drivesdk")</f>
        <v>https://drive.google.com/file/d/16laHxtjL2z23Rf6QfZH6KyIpMHqMSAP1/view?usp=drivesdk</v>
      </c>
    </row>
    <row r="5818">
      <c r="A5818" s="15">
        <f>IFERROR(__xludf.DUMMYFUNCTION("""COMPUTED_VALUE"""),45168.0)</f>
        <v>45168</v>
      </c>
      <c r="B5818" s="16" t="str">
        <f>IFERROR(__xludf.DUMMYFUNCTION("""COMPUTED_VALUE"""),"Johan Alexander Escobar Arroyo ")</f>
        <v>Johan Alexander Escobar Arroyo </v>
      </c>
      <c r="C5818" s="15" t="str">
        <f>IFERROR(__xludf.DUMMYFUNCTION("""COMPUTED_VALUE"""),"CALI")</f>
        <v>CALI</v>
      </c>
      <c r="D5818" s="15" t="str">
        <f>IFERROR(__xludf.DUMMYFUNCTION("""COMPUTED_VALUE"""),"MEDELLÍN")</f>
        <v>MEDELLÍN</v>
      </c>
      <c r="E5818" s="15" t="str">
        <f>IFERROR(__xludf.DUMMYFUNCTION("""COMPUTED_VALUE"""),"Moloso S.A.S")</f>
        <v>Moloso S.A.S</v>
      </c>
      <c r="F5818" s="17" t="str">
        <f>IFERROR(__xludf.DUMMYFUNCTION("""COMPUTED_VALUE"""),"AVENIDA 3 OESTE 13 94 / EDIF SOL DEL OESTE APT 702")</f>
        <v>AVENIDA 3 OESTE 13 94 / EDIF SOL DEL OESTE APT 702</v>
      </c>
      <c r="G5818" s="15" t="str">
        <f>IFERROR(__xludf.DUMMYFUNCTION("""COMPUTED_VALUE"""),"LAURA HERNÁNDEZ ALVIAR")</f>
        <v>LAURA HERNÁNDEZ ALVIAR</v>
      </c>
      <c r="H5818" s="16">
        <f>IFERROR(__xludf.DUMMYFUNCTION("""COMPUTED_VALUE"""),14520.0)</f>
        <v>14520</v>
      </c>
      <c r="I5818" s="18">
        <f>IFERROR(__xludf.DUMMYFUNCTION("""COMPUTED_VALUE"""),17.0)</f>
        <v>17</v>
      </c>
      <c r="J5818" s="18">
        <f>IFERROR(__xludf.DUMMYFUNCTION("""COMPUTED_VALUE"""),15.0)</f>
        <v>15</v>
      </c>
      <c r="K5818" s="18">
        <f>IFERROR(__xludf.DUMMYFUNCTION("""COMPUTED_VALUE"""),28.0)</f>
        <v>28</v>
      </c>
      <c r="L5818" s="17" t="str">
        <f>IFERROR(__xludf.DUMMYFUNCTION("""COMPUTED_VALUE"""),"315 5762974")</f>
        <v>315 5762974</v>
      </c>
      <c r="M5818" s="17" t="str">
        <f>IFERROR(__xludf.DUMMYFUNCTION("""COMPUTED_VALUE"""),"#REF!")</f>
        <v>#REF!</v>
      </c>
      <c r="N5818" s="17"/>
      <c r="O5818" s="17"/>
      <c r="P5818" s="17" t="b">
        <f>IFERROR(__xludf.DUMMYFUNCTION("""COMPUTED_VALUE"""),TRUE)</f>
        <v>1</v>
      </c>
      <c r="Q5818" s="20">
        <f>IFERROR(__xludf.DUMMYFUNCTION("""COMPUTED_VALUE"""),45169.74934091435)</f>
        <v>45169.74934</v>
      </c>
      <c r="R5818" s="21" t="str">
        <f>IFERROR(__xludf.DUMMYFUNCTION("""COMPUTED_VALUE"""),"https://drive.google.com/file/d/1njgrhYZexls7-FuqjAtldEdt69Odw5Zd/view?usp=drivesdk")</f>
        <v>https://drive.google.com/file/d/1njgrhYZexls7-FuqjAtldEdt69Odw5Zd/view?usp=drivesdk</v>
      </c>
    </row>
    <row r="5819">
      <c r="A5819" s="15">
        <f>IFERROR(__xludf.DUMMYFUNCTION("""COMPUTED_VALUE"""),45168.0)</f>
        <v>45168</v>
      </c>
      <c r="B5819" s="16" t="str">
        <f>IFERROR(__xludf.DUMMYFUNCTION("""COMPUTED_VALUE"""),"Johan Alexander Escobar Arroyo ")</f>
        <v>Johan Alexander Escobar Arroyo </v>
      </c>
      <c r="C5819" s="15" t="str">
        <f>IFERROR(__xludf.DUMMYFUNCTION("""COMPUTED_VALUE"""),"CÚCUTA")</f>
        <v>CÚCUTA</v>
      </c>
      <c r="D5819" s="15" t="str">
        <f>IFERROR(__xludf.DUMMYFUNCTION("""COMPUTED_VALUE"""),"BOGOTÁ")</f>
        <v>BOGOTÁ</v>
      </c>
      <c r="E5819" s="15" t="str">
        <f>IFERROR(__xludf.DUMMYFUNCTION("""COMPUTED_VALUE"""),"Ins. Alimento Vital")</f>
        <v>Ins. Alimento Vital</v>
      </c>
      <c r="F5819" s="17" t="str">
        <f>IFERROR(__xludf.DUMMYFUNCTION("""COMPUTED_VALUE"""),"CONJUNTO CERRADO VILLA CECILIA / CASA A 5 / VILLA DEL ROSARIO")</f>
        <v>CONJUNTO CERRADO VILLA CECILIA / CASA A 5 / VILLA DEL ROSARIO</v>
      </c>
      <c r="G5819" s="15" t="str">
        <f>IFERROR(__xludf.DUMMYFUNCTION("""COMPUTED_VALUE"""),"WILLIAM DIAZ PEÑALOZA")</f>
        <v>WILLIAM DIAZ PEÑALOZA</v>
      </c>
      <c r="H5819" s="16">
        <f>IFERROR(__xludf.DUMMYFUNCTION("""COMPUTED_VALUE"""),14430.0)</f>
        <v>14430</v>
      </c>
      <c r="I5819" s="18">
        <f>IFERROR(__xludf.DUMMYFUNCTION("""COMPUTED_VALUE"""),1.0)</f>
        <v>1</v>
      </c>
      <c r="J5819" s="18">
        <f>IFERROR(__xludf.DUMMYFUNCTION("""COMPUTED_VALUE"""),1.0)</f>
        <v>1</v>
      </c>
      <c r="K5819" s="18">
        <f>IFERROR(__xludf.DUMMYFUNCTION("""COMPUTED_VALUE"""),1.0)</f>
        <v>1</v>
      </c>
      <c r="L5819" s="17">
        <f>IFERROR(__xludf.DUMMYFUNCTION("""COMPUTED_VALUE"""),3.222766084E9)</f>
        <v>3222766084</v>
      </c>
      <c r="M5819" s="17" t="str">
        <f>IFERROR(__xludf.DUMMYFUNCTION("""COMPUTED_VALUE"""),"#REF!")</f>
        <v>#REF!</v>
      </c>
      <c r="N5819" s="17"/>
      <c r="O5819" s="17"/>
      <c r="P5819" s="17" t="b">
        <f>IFERROR(__xludf.DUMMYFUNCTION("""COMPUTED_VALUE"""),TRUE)</f>
        <v>1</v>
      </c>
      <c r="Q5819" s="20">
        <f>IFERROR(__xludf.DUMMYFUNCTION("""COMPUTED_VALUE"""),45169.74934091435)</f>
        <v>45169.74934</v>
      </c>
      <c r="R5819" s="22" t="str">
        <f>IFERROR(__xludf.DUMMYFUNCTION("""COMPUTED_VALUE"""),"")</f>
        <v/>
      </c>
    </row>
    <row r="5820">
      <c r="A5820" s="17" t="str">
        <f>IFERROR(__xludf.DUMMYFUNCTION("""COMPUTED_VALUE"""),"")</f>
        <v/>
      </c>
      <c r="B5820" s="17" t="str">
        <f>IFERROR(__xludf.DUMMYFUNCTION("""COMPUTED_VALUE"""),"")</f>
        <v/>
      </c>
      <c r="C5820" s="17" t="str">
        <f>IFERROR(__xludf.DUMMYFUNCTION("""COMPUTED_VALUE"""),"")</f>
        <v/>
      </c>
      <c r="D5820" s="17" t="str">
        <f>IFERROR(__xludf.DUMMYFUNCTION("""COMPUTED_VALUE"""),"")</f>
        <v/>
      </c>
      <c r="E5820" s="17" t="str">
        <f>IFERROR(__xludf.DUMMYFUNCTION("""COMPUTED_VALUE"""),"")</f>
        <v/>
      </c>
      <c r="F5820" s="17" t="str">
        <f>IFERROR(__xludf.DUMMYFUNCTION("""COMPUTED_VALUE"""),"")</f>
        <v/>
      </c>
      <c r="G5820" s="17" t="str">
        <f>IFERROR(__xludf.DUMMYFUNCTION("""COMPUTED_VALUE"""),"")</f>
        <v/>
      </c>
      <c r="H5820" s="17" t="str">
        <f>IFERROR(__xludf.DUMMYFUNCTION("""COMPUTED_VALUE"""),"")</f>
        <v/>
      </c>
      <c r="I5820" s="17" t="str">
        <f>IFERROR(__xludf.DUMMYFUNCTION("""COMPUTED_VALUE"""),"")</f>
        <v/>
      </c>
      <c r="J5820" s="17" t="str">
        <f>IFERROR(__xludf.DUMMYFUNCTION("""COMPUTED_VALUE"""),"")</f>
        <v/>
      </c>
      <c r="K5820" s="17" t="str">
        <f>IFERROR(__xludf.DUMMYFUNCTION("""COMPUTED_VALUE"""),"")</f>
        <v/>
      </c>
      <c r="L5820" s="17" t="str">
        <f>IFERROR(__xludf.DUMMYFUNCTION("""COMPUTED_VALUE"""),"")</f>
        <v/>
      </c>
      <c r="M5820" s="17" t="str">
        <f>IFERROR(__xludf.DUMMYFUNCTION("""COMPUTED_VALUE"""),"")</f>
        <v/>
      </c>
      <c r="N5820" s="17" t="str">
        <f>IFERROR(__xludf.DUMMYFUNCTION("""COMPUTED_VALUE"""),"")</f>
        <v/>
      </c>
      <c r="O5820" s="17" t="str">
        <f>IFERROR(__xludf.DUMMYFUNCTION("""COMPUTED_VALUE"""),"")</f>
        <v/>
      </c>
      <c r="P5820" s="17" t="str">
        <f>IFERROR(__xludf.DUMMYFUNCTION("""COMPUTED_VALUE"""),"")</f>
        <v/>
      </c>
      <c r="Q5820" s="17" t="str">
        <f>IFERROR(__xludf.DUMMYFUNCTION("""COMPUTED_VALUE"""),"")</f>
        <v/>
      </c>
      <c r="R5820" s="17" t="str">
        <f>IFERROR(__xludf.DUMMYFUNCTION("""COMPUTED_VALUE"""),"")</f>
        <v/>
      </c>
    </row>
    <row r="5821">
      <c r="A5821" s="15">
        <f>IFERROR(__xludf.DUMMYFUNCTION("""COMPUTED_VALUE"""),45169.0)</f>
        <v>45169</v>
      </c>
      <c r="B5821" s="16" t="str">
        <f>IFERROR(__xludf.DUMMYFUNCTION("""COMPUTED_VALUE"""),"David Sanmartin Bello")</f>
        <v>David Sanmartin Bello</v>
      </c>
      <c r="C5821" s="15" t="str">
        <f>IFERROR(__xludf.DUMMYFUNCTION("""COMPUTED_VALUE"""),"CARTAGENA")</f>
        <v>CARTAGENA</v>
      </c>
      <c r="D5821" s="15" t="str">
        <f>IFERROR(__xludf.DUMMYFUNCTION("""COMPUTED_VALUE"""),"BOGOTÁ")</f>
        <v>BOGOTÁ</v>
      </c>
      <c r="E5821" s="15" t="str">
        <f>IFERROR(__xludf.DUMMYFUNCTION("""COMPUTED_VALUE"""),"Evamazzita")</f>
        <v>Evamazzita</v>
      </c>
      <c r="F5821" s="17" t="str">
        <f>IFERROR(__xludf.DUMMYFUNCTION("""COMPUTED_VALUE"""),"Cll 68 #15 73  / Piso 2 Daniel Lemaitre / Entrando por el parque")</f>
        <v>Cll 68 #15 73  / Piso 2 Daniel Lemaitre / Entrando por el parque</v>
      </c>
      <c r="G5821" s="15" t="str">
        <f>IFERROR(__xludf.DUMMYFUNCTION("""COMPUTED_VALUE"""),"KATERIN ALIES ALVAREZ")</f>
        <v>KATERIN ALIES ALVAREZ</v>
      </c>
      <c r="H5821" s="16">
        <f>IFERROR(__xludf.DUMMYFUNCTION("""COMPUTED_VALUE"""),14516.0)</f>
        <v>14516</v>
      </c>
      <c r="I5821" s="18">
        <f>IFERROR(__xludf.DUMMYFUNCTION("""COMPUTED_VALUE"""),3.0)</f>
        <v>3</v>
      </c>
      <c r="J5821" s="18">
        <f>IFERROR(__xludf.DUMMYFUNCTION("""COMPUTED_VALUE"""),22.0)</f>
        <v>22</v>
      </c>
      <c r="K5821" s="18">
        <f>IFERROR(__xludf.DUMMYFUNCTION("""COMPUTED_VALUE"""),23.0)</f>
        <v>23</v>
      </c>
      <c r="L5821" s="17">
        <f>IFERROR(__xludf.DUMMYFUNCTION("""COMPUTED_VALUE"""),3.157537911E9)</f>
        <v>3157537911</v>
      </c>
      <c r="M5821" s="17" t="str">
        <f>IFERROR(__xludf.DUMMYFUNCTION("""COMPUTED_VALUE"""),"#REF!")</f>
        <v>#REF!</v>
      </c>
      <c r="N5821" s="17"/>
      <c r="O5821" s="17"/>
      <c r="P5821" s="17" t="b">
        <f>IFERROR(__xludf.DUMMYFUNCTION("""COMPUTED_VALUE"""),TRUE)</f>
        <v>1</v>
      </c>
      <c r="Q5821" s="20">
        <f>IFERROR(__xludf.DUMMYFUNCTION("""COMPUTED_VALUE"""),45169.74934091435)</f>
        <v>45169.74934</v>
      </c>
      <c r="R5821" s="21" t="str">
        <f>IFERROR(__xludf.DUMMYFUNCTION("""COMPUTED_VALUE"""),"https://drive.google.com/file/d/19sAzDCu9r2rQeNveGg9Kv_a9ntQERAOq/view?usp=drivesdk")</f>
        <v>https://drive.google.com/file/d/19sAzDCu9r2rQeNveGg9Kv_a9ntQERAOq/view?usp=drivesdk</v>
      </c>
    </row>
    <row r="5822">
      <c r="A5822" s="15">
        <f>IFERROR(__xludf.DUMMYFUNCTION("""COMPUTED_VALUE"""),45169.0)</f>
        <v>45169</v>
      </c>
      <c r="B5822" s="16" t="str">
        <f>IFERROR(__xludf.DUMMYFUNCTION("""COMPUTED_VALUE"""),"David Sanmartin Bello")</f>
        <v>David Sanmartin Bello</v>
      </c>
      <c r="C5822" s="15" t="str">
        <f>IFERROR(__xludf.DUMMYFUNCTION("""COMPUTED_VALUE"""),"CARTAGENA")</f>
        <v>CARTAGENA</v>
      </c>
      <c r="D5822" s="15" t="str">
        <f>IFERROR(__xludf.DUMMYFUNCTION("""COMPUTED_VALUE"""),"BOGOTÁ")</f>
        <v>BOGOTÁ</v>
      </c>
      <c r="E5822" s="15" t="str">
        <f>IFERROR(__xludf.DUMMYFUNCTION("""COMPUTED_VALUE"""),"Karem foods")</f>
        <v>Karem foods</v>
      </c>
      <c r="F5822" s="17" t="str">
        <f>IFERROR(__xludf.DUMMYFUNCTION("""COMPUTED_VALUE"""),"Calle 6 # 4 20  / CC la estacion local 1 barrio castillo grande / local")</f>
        <v>Calle 6 # 4 20  / CC la estacion local 1 barrio castillo grande / local</v>
      </c>
      <c r="G5822" s="15" t="str">
        <f>IFERROR(__xludf.DUMMYFUNCTION("""COMPUTED_VALUE"""),"COCOfit mercado saludable")</f>
        <v>COCOfit mercado saludable</v>
      </c>
      <c r="H5822" s="16">
        <f>IFERROR(__xludf.DUMMYFUNCTION("""COMPUTED_VALUE"""),14491.0)</f>
        <v>14491</v>
      </c>
      <c r="I5822" s="18">
        <f>IFERROR(__xludf.DUMMYFUNCTION("""COMPUTED_VALUE"""),20.0)</f>
        <v>20</v>
      </c>
      <c r="J5822" s="18">
        <f>IFERROR(__xludf.DUMMYFUNCTION("""COMPUTED_VALUE"""),20.0)</f>
        <v>20</v>
      </c>
      <c r="K5822" s="18">
        <f>IFERROR(__xludf.DUMMYFUNCTION("""COMPUTED_VALUE"""),20.0)</f>
        <v>20</v>
      </c>
      <c r="L5822" s="17">
        <f>IFERROR(__xludf.DUMMYFUNCTION("""COMPUTED_VALUE"""),3.105318059E9)</f>
        <v>3105318059</v>
      </c>
      <c r="M5822" s="17" t="str">
        <f>IFERROR(__xludf.DUMMYFUNCTION("""COMPUTED_VALUE"""),"#REF!")</f>
        <v>#REF!</v>
      </c>
      <c r="N5822" s="17"/>
      <c r="O5822" s="17"/>
      <c r="P5822" s="17" t="b">
        <f>IFERROR(__xludf.DUMMYFUNCTION("""COMPUTED_VALUE"""),TRUE)</f>
        <v>1</v>
      </c>
      <c r="Q5822" s="20">
        <f>IFERROR(__xludf.DUMMYFUNCTION("""COMPUTED_VALUE"""),45169.74934091435)</f>
        <v>45169.74934</v>
      </c>
      <c r="R5822" s="21" t="str">
        <f>IFERROR(__xludf.DUMMYFUNCTION("""COMPUTED_VALUE"""),"https://drive.google.com/file/d/11SLUMT4oGw07k6kWiP5aHbeQ0kKaU0za/view?usp=drivesdk")</f>
        <v>https://drive.google.com/file/d/11SLUMT4oGw07k6kWiP5aHbeQ0kKaU0za/view?usp=drivesdk</v>
      </c>
    </row>
    <row r="5823">
      <c r="A5823" s="17" t="str">
        <f>IFERROR(__xludf.DUMMYFUNCTION("""COMPUTED_VALUE"""),"")</f>
        <v/>
      </c>
      <c r="B5823" s="17" t="str">
        <f>IFERROR(__xludf.DUMMYFUNCTION("""COMPUTED_VALUE"""),"")</f>
        <v/>
      </c>
      <c r="C5823" s="17" t="str">
        <f>IFERROR(__xludf.DUMMYFUNCTION("""COMPUTED_VALUE"""),"")</f>
        <v/>
      </c>
      <c r="D5823" s="17" t="str">
        <f>IFERROR(__xludf.DUMMYFUNCTION("""COMPUTED_VALUE"""),"")</f>
        <v/>
      </c>
      <c r="E5823" s="17" t="str">
        <f>IFERROR(__xludf.DUMMYFUNCTION("""COMPUTED_VALUE"""),"")</f>
        <v/>
      </c>
      <c r="F5823" s="17" t="str">
        <f>IFERROR(__xludf.DUMMYFUNCTION("""COMPUTED_VALUE"""),"")</f>
        <v/>
      </c>
      <c r="G5823" s="17" t="str">
        <f>IFERROR(__xludf.DUMMYFUNCTION("""COMPUTED_VALUE"""),"")</f>
        <v/>
      </c>
      <c r="H5823" s="17" t="str">
        <f>IFERROR(__xludf.DUMMYFUNCTION("""COMPUTED_VALUE"""),"")</f>
        <v/>
      </c>
      <c r="I5823" s="17" t="str">
        <f>IFERROR(__xludf.DUMMYFUNCTION("""COMPUTED_VALUE"""),"")</f>
        <v/>
      </c>
      <c r="J5823" s="17" t="str">
        <f>IFERROR(__xludf.DUMMYFUNCTION("""COMPUTED_VALUE"""),"")</f>
        <v/>
      </c>
      <c r="K5823" s="17" t="str">
        <f>IFERROR(__xludf.DUMMYFUNCTION("""COMPUTED_VALUE"""),"")</f>
        <v/>
      </c>
      <c r="L5823" s="17" t="str">
        <f>IFERROR(__xludf.DUMMYFUNCTION("""COMPUTED_VALUE"""),"")</f>
        <v/>
      </c>
      <c r="M5823" s="17" t="str">
        <f>IFERROR(__xludf.DUMMYFUNCTION("""COMPUTED_VALUE"""),"")</f>
        <v/>
      </c>
      <c r="N5823" s="17" t="str">
        <f>IFERROR(__xludf.DUMMYFUNCTION("""COMPUTED_VALUE"""),"")</f>
        <v/>
      </c>
      <c r="O5823" s="17" t="str">
        <f>IFERROR(__xludf.DUMMYFUNCTION("""COMPUTED_VALUE"""),"")</f>
        <v/>
      </c>
      <c r="P5823" s="17" t="str">
        <f>IFERROR(__xludf.DUMMYFUNCTION("""COMPUTED_VALUE"""),"")</f>
        <v/>
      </c>
      <c r="Q5823" s="17" t="str">
        <f>IFERROR(__xludf.DUMMYFUNCTION("""COMPUTED_VALUE"""),"")</f>
        <v/>
      </c>
      <c r="R5823" s="17" t="str">
        <f>IFERROR(__xludf.DUMMYFUNCTION("""COMPUTED_VALUE"""),"")</f>
        <v/>
      </c>
    </row>
    <row r="5824">
      <c r="A5824" s="15">
        <f>IFERROR(__xludf.DUMMYFUNCTION("""COMPUTED_VALUE"""),45169.0)</f>
        <v>45169</v>
      </c>
      <c r="B5824" s="16" t="str">
        <f>IFERROR(__xludf.DUMMYFUNCTION("""COMPUTED_VALUE"""),"Edgardo Antonio Morales Gómez")</f>
        <v>Edgardo Antonio Morales Gómez</v>
      </c>
      <c r="C5824" s="15" t="str">
        <f>IFERROR(__xludf.DUMMYFUNCTION("""COMPUTED_VALUE"""),"FLORIDABLANCA")</f>
        <v>FLORIDABLANCA</v>
      </c>
      <c r="D5824" s="15" t="str">
        <f>IFERROR(__xludf.DUMMYFUNCTION("""COMPUTED_VALUE"""),"BOGOTÁ")</f>
        <v>BOGOTÁ</v>
      </c>
      <c r="E5824" s="15" t="str">
        <f>IFERROR(__xludf.DUMMYFUNCTION("""COMPUTED_VALUE"""),"Evamazzita")</f>
        <v>Evamazzita</v>
      </c>
      <c r="F5824" s="17" t="str">
        <f>IFERROR(__xludf.DUMMYFUNCTION("""COMPUTED_VALUE"""),"Calle 41 # 23-81 /  apto 305 edificio casa bosque cañaveral /  apto 305 edificio casa bosque cañaveral")</f>
        <v>Calle 41 # 23-81 /  apto 305 edificio casa bosque cañaveral /  apto 305 edificio casa bosque cañaveral</v>
      </c>
      <c r="G5824" s="15" t="str">
        <f>IFERROR(__xludf.DUMMYFUNCTION("""COMPUTED_VALUE"""),"SARA SUSANA RUEDA")</f>
        <v>SARA SUSANA RUEDA</v>
      </c>
      <c r="H5824" s="16">
        <f>IFERROR(__xludf.DUMMYFUNCTION("""COMPUTED_VALUE"""),14598.0)</f>
        <v>14598</v>
      </c>
      <c r="I5824" s="18">
        <f>IFERROR(__xludf.DUMMYFUNCTION("""COMPUTED_VALUE"""),1.0)</f>
        <v>1</v>
      </c>
      <c r="J5824" s="18">
        <f>IFERROR(__xludf.DUMMYFUNCTION("""COMPUTED_VALUE"""),1.0)</f>
        <v>1</v>
      </c>
      <c r="K5824" s="18">
        <f>IFERROR(__xludf.DUMMYFUNCTION("""COMPUTED_VALUE"""),1.0)</f>
        <v>1</v>
      </c>
      <c r="L5824" s="17">
        <f>IFERROR(__xludf.DUMMYFUNCTION("""COMPUTED_VALUE"""),3.18699283E9)</f>
        <v>3186992830</v>
      </c>
      <c r="M5824" s="17" t="str">
        <f>IFERROR(__xludf.DUMMYFUNCTION("""COMPUTED_VALUE"""),"#REF!")</f>
        <v>#REF!</v>
      </c>
      <c r="N5824" s="17"/>
      <c r="O5824" s="17"/>
      <c r="P5824" s="17" t="b">
        <f>IFERROR(__xludf.DUMMYFUNCTION("""COMPUTED_VALUE"""),TRUE)</f>
        <v>1</v>
      </c>
      <c r="Q5824" s="20">
        <f>IFERROR(__xludf.DUMMYFUNCTION("""COMPUTED_VALUE"""),45169.74934091435)</f>
        <v>45169.74934</v>
      </c>
      <c r="R5824" s="22" t="str">
        <f>IFERROR(__xludf.DUMMYFUNCTION("""COMPUTED_VALUE"""),"")</f>
        <v/>
      </c>
    </row>
    <row r="5825">
      <c r="A5825" s="15">
        <f>IFERROR(__xludf.DUMMYFUNCTION("""COMPUTED_VALUE"""),45169.0)</f>
        <v>45169</v>
      </c>
      <c r="B5825" s="16" t="str">
        <f>IFERROR(__xludf.DUMMYFUNCTION("""COMPUTED_VALUE"""),"Edgardo Antonio Morales Gómez")</f>
        <v>Edgardo Antonio Morales Gómez</v>
      </c>
      <c r="C5825" s="15" t="str">
        <f>IFERROR(__xludf.DUMMYFUNCTION("""COMPUTED_VALUE"""),"FLORIDABLANCA")</f>
        <v>FLORIDABLANCA</v>
      </c>
      <c r="D5825" s="15" t="str">
        <f>IFERROR(__xludf.DUMMYFUNCTION("""COMPUTED_VALUE"""),"MEDELLÍN")</f>
        <v>MEDELLÍN</v>
      </c>
      <c r="E5825" s="15" t="str">
        <f>IFERROR(__xludf.DUMMYFUNCTION("""COMPUTED_VALUE"""),"Helados swip")</f>
        <v>Helados swip</v>
      </c>
      <c r="F5825" s="17" t="str">
        <f>IFERROR(__xludf.DUMMYFUNCTION("""COMPUTED_VALUE"""),"CALLE 31 # 22-97  / MERCADO SALUDABLE FIT STORE EXPRESS  / CAÑAVERAL FLORIDABLANCA")</f>
        <v>CALLE 31 # 22-97  / MERCADO SALUDABLE FIT STORE EXPRESS  / CAÑAVERAL FLORIDABLANCA</v>
      </c>
      <c r="G5825" s="15" t="str">
        <f>IFERROR(__xludf.DUMMYFUNCTION("""COMPUTED_VALUE"""),"FIT STORE EXPRESS CLAUDIA PRADA")</f>
        <v>FIT STORE EXPRESS CLAUDIA PRADA</v>
      </c>
      <c r="H5825" s="16">
        <f>IFERROR(__xludf.DUMMYFUNCTION("""COMPUTED_VALUE"""),14562.0)</f>
        <v>14562</v>
      </c>
      <c r="I5825" s="18">
        <f>IFERROR(__xludf.DUMMYFUNCTION("""COMPUTED_VALUE"""),29.0)</f>
        <v>29</v>
      </c>
      <c r="J5825" s="18">
        <f>IFERROR(__xludf.DUMMYFUNCTION("""COMPUTED_VALUE"""),55.0)</f>
        <v>55</v>
      </c>
      <c r="K5825" s="18">
        <f>IFERROR(__xludf.DUMMYFUNCTION("""COMPUTED_VALUE"""),45.0)</f>
        <v>45</v>
      </c>
      <c r="L5825" s="17">
        <f>IFERROR(__xludf.DUMMYFUNCTION("""COMPUTED_VALUE"""),3.005711168E9)</f>
        <v>3005711168</v>
      </c>
      <c r="M5825" s="17" t="str">
        <f>IFERROR(__xludf.DUMMYFUNCTION("""COMPUTED_VALUE"""),"#REF!")</f>
        <v>#REF!</v>
      </c>
      <c r="N5825" s="17"/>
      <c r="O5825" s="17"/>
      <c r="P5825" s="17" t="b">
        <f>IFERROR(__xludf.DUMMYFUNCTION("""COMPUTED_VALUE"""),TRUE)</f>
        <v>1</v>
      </c>
      <c r="Q5825" s="20">
        <f>IFERROR(__xludf.DUMMYFUNCTION("""COMPUTED_VALUE"""),45169.497923773146)</f>
        <v>45169.49792</v>
      </c>
      <c r="R5825" s="22" t="str">
        <f>IFERROR(__xludf.DUMMYFUNCTION("""COMPUTED_VALUE"""),"")</f>
        <v/>
      </c>
    </row>
    <row r="5826">
      <c r="A5826" s="17" t="str">
        <f>IFERROR(__xludf.DUMMYFUNCTION("""COMPUTED_VALUE"""),"")</f>
        <v/>
      </c>
      <c r="B5826" s="17" t="str">
        <f>IFERROR(__xludf.DUMMYFUNCTION("""COMPUTED_VALUE"""),"")</f>
        <v/>
      </c>
      <c r="C5826" s="17" t="str">
        <f>IFERROR(__xludf.DUMMYFUNCTION("""COMPUTED_VALUE"""),"")</f>
        <v/>
      </c>
      <c r="D5826" s="17" t="str">
        <f>IFERROR(__xludf.DUMMYFUNCTION("""COMPUTED_VALUE"""),"")</f>
        <v/>
      </c>
      <c r="E5826" s="17" t="str">
        <f>IFERROR(__xludf.DUMMYFUNCTION("""COMPUTED_VALUE"""),"")</f>
        <v/>
      </c>
      <c r="F5826" s="17" t="str">
        <f>IFERROR(__xludf.DUMMYFUNCTION("""COMPUTED_VALUE"""),"")</f>
        <v/>
      </c>
      <c r="G5826" s="17" t="str">
        <f>IFERROR(__xludf.DUMMYFUNCTION("""COMPUTED_VALUE"""),"")</f>
        <v/>
      </c>
      <c r="H5826" s="17" t="str">
        <f>IFERROR(__xludf.DUMMYFUNCTION("""COMPUTED_VALUE"""),"")</f>
        <v/>
      </c>
      <c r="I5826" s="17" t="str">
        <f>IFERROR(__xludf.DUMMYFUNCTION("""COMPUTED_VALUE"""),"")</f>
        <v/>
      </c>
      <c r="J5826" s="17" t="str">
        <f>IFERROR(__xludf.DUMMYFUNCTION("""COMPUTED_VALUE"""),"")</f>
        <v/>
      </c>
      <c r="K5826" s="17" t="str">
        <f>IFERROR(__xludf.DUMMYFUNCTION("""COMPUTED_VALUE"""),"")</f>
        <v/>
      </c>
      <c r="L5826" s="17" t="str">
        <f>IFERROR(__xludf.DUMMYFUNCTION("""COMPUTED_VALUE"""),"")</f>
        <v/>
      </c>
      <c r="M5826" s="17" t="str">
        <f>IFERROR(__xludf.DUMMYFUNCTION("""COMPUTED_VALUE"""),"")</f>
        <v/>
      </c>
      <c r="N5826" s="17" t="str">
        <f>IFERROR(__xludf.DUMMYFUNCTION("""COMPUTED_VALUE"""),"")</f>
        <v/>
      </c>
      <c r="O5826" s="17" t="str">
        <f>IFERROR(__xludf.DUMMYFUNCTION("""COMPUTED_VALUE"""),"")</f>
        <v/>
      </c>
      <c r="P5826" s="17" t="str">
        <f>IFERROR(__xludf.DUMMYFUNCTION("""COMPUTED_VALUE"""),"")</f>
        <v/>
      </c>
      <c r="Q5826" s="17" t="str">
        <f>IFERROR(__xludf.DUMMYFUNCTION("""COMPUTED_VALUE"""),"")</f>
        <v/>
      </c>
      <c r="R5826" s="17" t="str">
        <f>IFERROR(__xludf.DUMMYFUNCTION("""COMPUTED_VALUE"""),"")</f>
        <v/>
      </c>
    </row>
    <row r="5827">
      <c r="A5827" s="15">
        <f>IFERROR(__xludf.DUMMYFUNCTION("""COMPUTED_VALUE"""),45169.0)</f>
        <v>45169</v>
      </c>
      <c r="B5827" s="16" t="str">
        <f>IFERROR(__xludf.DUMMYFUNCTION("""COMPUTED_VALUE"""),"Envia")</f>
        <v>Envia</v>
      </c>
      <c r="C5827" s="15" t="str">
        <f>IFERROR(__xludf.DUMMYFUNCTION("""COMPUTED_VALUE"""),"BOGOTÁ")</f>
        <v>BOGOTÁ</v>
      </c>
      <c r="D5827" s="15" t="str">
        <f>IFERROR(__xludf.DUMMYFUNCTION("""COMPUTED_VALUE"""),"CALI")</f>
        <v>CALI</v>
      </c>
      <c r="E5827" s="15" t="str">
        <f>IFERROR(__xludf.DUMMYFUNCTION("""COMPUTED_VALUE"""),"Neisa Palacios")</f>
        <v>Neisa Palacios</v>
      </c>
      <c r="F5827" s="17" t="str">
        <f>IFERROR(__xludf.DUMMYFUNCTION("""COMPUTED_VALUE"""),"Calle 78b No. 120 a 55 / Interior 5, Apto 319 Alameda de San Diago / Gran Granada")</f>
        <v>Calle 78b No. 120 a 55 / Interior 5, Apto 319 Alameda de San Diago / Gran Granada</v>
      </c>
      <c r="G5827" s="15" t="str">
        <f>IFERROR(__xludf.DUMMYFUNCTION("""COMPUTED_VALUE"""),"Gloria Stella Penagos")</f>
        <v>Gloria Stella Penagos</v>
      </c>
      <c r="H5827" s="16">
        <f>IFERROR(__xludf.DUMMYFUNCTION("""COMPUTED_VALUE"""),14608.0)</f>
        <v>14608</v>
      </c>
      <c r="I5827" s="18">
        <f>IFERROR(__xludf.DUMMYFUNCTION("""COMPUTED_VALUE"""),8.0)</f>
        <v>8</v>
      </c>
      <c r="J5827" s="18">
        <f>IFERROR(__xludf.DUMMYFUNCTION("""COMPUTED_VALUE"""),36.0)</f>
        <v>36</v>
      </c>
      <c r="K5827" s="18">
        <f>IFERROR(__xludf.DUMMYFUNCTION("""COMPUTED_VALUE"""),32.0)</f>
        <v>32</v>
      </c>
      <c r="L5827" s="17">
        <f>IFERROR(__xludf.DUMMYFUNCTION("""COMPUTED_VALUE"""),3.108748251E9)</f>
        <v>3108748251</v>
      </c>
      <c r="M5827" s="17" t="str">
        <f>IFERROR(__xludf.DUMMYFUNCTION("""COMPUTED_VALUE"""),"#REF!")</f>
        <v>#REF!</v>
      </c>
      <c r="N5827" s="17"/>
      <c r="O5827" s="17"/>
      <c r="P5827" s="17" t="b">
        <f>IFERROR(__xludf.DUMMYFUNCTION("""COMPUTED_VALUE"""),TRUE)</f>
        <v>1</v>
      </c>
      <c r="Q5827" s="20">
        <f>IFERROR(__xludf.DUMMYFUNCTION("""COMPUTED_VALUE"""),45169.74934091435)</f>
        <v>45169.74934</v>
      </c>
      <c r="R5827" s="21" t="str">
        <f>IFERROR(__xludf.DUMMYFUNCTION("""COMPUTED_VALUE"""),"https://drive.google.com/file/d/1ko1-RRD5qRduTilWJhnjaYe1W5c7xatm/view?usp=drivesdk")</f>
        <v>https://drive.google.com/file/d/1ko1-RRD5qRduTilWJhnjaYe1W5c7xatm/view?usp=drivesdk</v>
      </c>
    </row>
    <row r="5828">
      <c r="A5828" s="15">
        <f>IFERROR(__xludf.DUMMYFUNCTION("""COMPUTED_VALUE"""),45169.0)</f>
        <v>45169</v>
      </c>
      <c r="B5828" s="16" t="str">
        <f>IFERROR(__xludf.DUMMYFUNCTION("""COMPUTED_VALUE"""),"Envia")</f>
        <v>Envia</v>
      </c>
      <c r="C5828" s="15" t="str">
        <f>IFERROR(__xludf.DUMMYFUNCTION("""COMPUTED_VALUE"""),"BOGOTÁ")</f>
        <v>BOGOTÁ</v>
      </c>
      <c r="D5828" s="15" t="str">
        <f>IFERROR(__xludf.DUMMYFUNCTION("""COMPUTED_VALUE"""),"MEDELLÍN")</f>
        <v>MEDELLÍN</v>
      </c>
      <c r="E5828" s="15" t="str">
        <f>IFERROR(__xludf.DUMMYFUNCTION("""COMPUTED_VALUE"""),"Puro Verde")</f>
        <v>Puro Verde</v>
      </c>
      <c r="F5828" s="17" t="str">
        <f>IFERROR(__xludf.DUMMYFUNCTION("""COMPUTED_VALUE"""),"CRA 16A # 77-23 / LOCAL 4 / BARRIO EL LAGO")</f>
        <v>CRA 16A # 77-23 / LOCAL 4 / BARRIO EL LAGO</v>
      </c>
      <c r="G5828" s="15" t="str">
        <f>IFERROR(__xludf.DUMMYFUNCTION("""COMPUTED_VALUE"""),"DANDO CUERDA")</f>
        <v>DANDO CUERDA</v>
      </c>
      <c r="H5828" s="16">
        <f>IFERROR(__xludf.DUMMYFUNCTION("""COMPUTED_VALUE"""),14545.0)</f>
        <v>14545</v>
      </c>
      <c r="I5828" s="18">
        <f>IFERROR(__xludf.DUMMYFUNCTION("""COMPUTED_VALUE"""),55.0)</f>
        <v>55</v>
      </c>
      <c r="J5828" s="18">
        <f>IFERROR(__xludf.DUMMYFUNCTION("""COMPUTED_VALUE"""),45.0)</f>
        <v>45</v>
      </c>
      <c r="K5828" s="18" t="str">
        <f>IFERROR(__xludf.DUMMYFUNCTION("""COMPUTED_VALUE"""),"52.5")</f>
        <v>52.5</v>
      </c>
      <c r="L5828" s="17">
        <f>IFERROR(__xludf.DUMMYFUNCTION("""COMPUTED_VALUE"""),3.163816691E9)</f>
        <v>3163816691</v>
      </c>
      <c r="M5828" s="17" t="str">
        <f>IFERROR(__xludf.DUMMYFUNCTION("""COMPUTED_VALUE"""),"#REF!")</f>
        <v>#REF!</v>
      </c>
      <c r="N5828" s="17"/>
      <c r="O5828" s="17"/>
      <c r="P5828" s="17" t="b">
        <f>IFERROR(__xludf.DUMMYFUNCTION("""COMPUTED_VALUE"""),FALSE)</f>
        <v>0</v>
      </c>
      <c r="Q5828" s="20" t="str">
        <f>IFERROR(__xludf.DUMMYFUNCTION("""COMPUTED_VALUE"""),"")</f>
        <v/>
      </c>
      <c r="R5828" s="22" t="str">
        <f>IFERROR(__xludf.DUMMYFUNCTION("""COMPUTED_VALUE"""),"")</f>
        <v/>
      </c>
    </row>
    <row r="5829">
      <c r="A5829" s="15">
        <f>IFERROR(__xludf.DUMMYFUNCTION("""COMPUTED_VALUE"""),45169.0)</f>
        <v>45169</v>
      </c>
      <c r="B5829" s="16" t="str">
        <f>IFERROR(__xludf.DUMMYFUNCTION("""COMPUTED_VALUE"""),"Envia")</f>
        <v>Envia</v>
      </c>
      <c r="C5829" s="15" t="str">
        <f>IFERROR(__xludf.DUMMYFUNCTION("""COMPUTED_VALUE"""),"BOGOTÁ")</f>
        <v>BOGOTÁ</v>
      </c>
      <c r="D5829" s="15" t="str">
        <f>IFERROR(__xludf.DUMMYFUNCTION("""COMPUTED_VALUE"""),"NEIVA")</f>
        <v>NEIVA</v>
      </c>
      <c r="E5829" s="15" t="str">
        <f>IFERROR(__xludf.DUMMYFUNCTION("""COMPUTED_VALUE"""),"Natalia Carreño")</f>
        <v>Natalia Carreño</v>
      </c>
      <c r="F5829" s="17" t="str">
        <f>IFERROR(__xludf.DUMMYFUNCTION("""COMPUTED_VALUE"""),"Carrera 27 #70-83 / Casa curuba / Barrio los alcazares")</f>
        <v>Carrera 27 #70-83 / Casa curuba / Barrio los alcazares</v>
      </c>
      <c r="G5829" s="15" t="str">
        <f>IFERROR(__xludf.DUMMYFUNCTION("""COMPUTED_VALUE"""),"Natalia carreño")</f>
        <v>Natalia carreño</v>
      </c>
      <c r="H5829" s="16">
        <f>IFERROR(__xludf.DUMMYFUNCTION("""COMPUTED_VALUE"""),14611.0)</f>
        <v>14611</v>
      </c>
      <c r="I5829" s="18">
        <f>IFERROR(__xludf.DUMMYFUNCTION("""COMPUTED_VALUE"""),51.0)</f>
        <v>51</v>
      </c>
      <c r="J5829" s="18">
        <f>IFERROR(__xludf.DUMMYFUNCTION("""COMPUTED_VALUE"""),42.0)</f>
        <v>42</v>
      </c>
      <c r="K5829" s="18">
        <f>IFERROR(__xludf.DUMMYFUNCTION("""COMPUTED_VALUE"""),51.0)</f>
        <v>51</v>
      </c>
      <c r="L5829" s="17">
        <f>IFERROR(__xludf.DUMMYFUNCTION("""COMPUTED_VALUE"""),3.11561131E9)</f>
        <v>3115611310</v>
      </c>
      <c r="M5829" s="17" t="str">
        <f>IFERROR(__xludf.DUMMYFUNCTION("""COMPUTED_VALUE"""),"#REF!")</f>
        <v>#REF!</v>
      </c>
      <c r="N5829" s="17"/>
      <c r="O5829" s="17"/>
      <c r="P5829" s="17" t="b">
        <f>IFERROR(__xludf.DUMMYFUNCTION("""COMPUTED_VALUE"""),TRUE)</f>
        <v>1</v>
      </c>
      <c r="Q5829" s="20">
        <f>IFERROR(__xludf.DUMMYFUNCTION("""COMPUTED_VALUE"""),45169.63627030092)</f>
        <v>45169.63627</v>
      </c>
      <c r="R5829" s="22" t="str">
        <f>IFERROR(__xludf.DUMMYFUNCTION("""COMPUTED_VALUE"""),"")</f>
        <v/>
      </c>
    </row>
    <row r="5830">
      <c r="A5830" s="15">
        <f>IFERROR(__xludf.DUMMYFUNCTION("""COMPUTED_VALUE"""),45169.0)</f>
        <v>45169</v>
      </c>
      <c r="B5830" s="16" t="str">
        <f>IFERROR(__xludf.DUMMYFUNCTION("""COMPUTED_VALUE"""),"Envia")</f>
        <v>Envia</v>
      </c>
      <c r="C5830" s="15" t="str">
        <f>IFERROR(__xludf.DUMMYFUNCTION("""COMPUTED_VALUE"""),"CARTAGENA")</f>
        <v>CARTAGENA</v>
      </c>
      <c r="D5830" s="15" t="str">
        <f>IFERROR(__xludf.DUMMYFUNCTION("""COMPUTED_VALUE"""),"BOGOTÁ")</f>
        <v>BOGOTÁ</v>
      </c>
      <c r="E5830" s="15" t="str">
        <f>IFERROR(__xludf.DUMMYFUNCTION("""COMPUTED_VALUE"""),"Spirulina Fresca")</f>
        <v>Spirulina Fresca</v>
      </c>
      <c r="F5830" s="17" t="str">
        <f>IFERROR(__xludf.DUMMYFUNCTION("""COMPUTED_VALUE"""),"CRA 4 #46-42 / EDIFICIO LAGUNA DEL CABRERO APTO 1505L. Barrio MARBELLA / Cabrero")</f>
        <v>CRA 4 #46-42 / EDIFICIO LAGUNA DEL CABRERO APTO 1505L. Barrio MARBELLA / Cabrero</v>
      </c>
      <c r="G5830" s="15" t="str">
        <f>IFERROR(__xludf.DUMMYFUNCTION("""COMPUTED_VALUE"""),"Abdon Ramirez")</f>
        <v>Abdon Ramirez</v>
      </c>
      <c r="H5830" s="16">
        <f>IFERROR(__xludf.DUMMYFUNCTION("""COMPUTED_VALUE"""),14420.0)</f>
        <v>14420</v>
      </c>
      <c r="I5830" s="18">
        <f>IFERROR(__xludf.DUMMYFUNCTION("""COMPUTED_VALUE"""),12.0)</f>
        <v>12</v>
      </c>
      <c r="J5830" s="18">
        <f>IFERROR(__xludf.DUMMYFUNCTION("""COMPUTED_VALUE"""),12.0)</f>
        <v>12</v>
      </c>
      <c r="K5830" s="18">
        <f>IFERROR(__xludf.DUMMYFUNCTION("""COMPUTED_VALUE"""),15.0)</f>
        <v>15</v>
      </c>
      <c r="L5830" s="17">
        <f>IFERROR(__xludf.DUMMYFUNCTION("""COMPUTED_VALUE"""),3.008099663E9)</f>
        <v>3008099663</v>
      </c>
      <c r="M5830" s="17" t="str">
        <f>IFERROR(__xludf.DUMMYFUNCTION("""COMPUTED_VALUE"""),"#REF!")</f>
        <v>#REF!</v>
      </c>
      <c r="N5830" s="17"/>
      <c r="O5830" s="17"/>
      <c r="P5830" s="17" t="b">
        <f>IFERROR(__xludf.DUMMYFUNCTION("""COMPUTED_VALUE"""),TRUE)</f>
        <v>1</v>
      </c>
      <c r="Q5830" s="20">
        <f>IFERROR(__xludf.DUMMYFUNCTION("""COMPUTED_VALUE"""),45169.63627030092)</f>
        <v>45169.63627</v>
      </c>
      <c r="R5830" s="22" t="str">
        <f>IFERROR(__xludf.DUMMYFUNCTION("""COMPUTED_VALUE"""),"")</f>
        <v/>
      </c>
    </row>
    <row r="5831">
      <c r="A5831" s="15">
        <f>IFERROR(__xludf.DUMMYFUNCTION("""COMPUTED_VALUE"""),45169.0)</f>
        <v>45169</v>
      </c>
      <c r="B5831" s="16" t="str">
        <f>IFERROR(__xludf.DUMMYFUNCTION("""COMPUTED_VALUE"""),"Envia")</f>
        <v>Envia</v>
      </c>
      <c r="C5831" s="15" t="str">
        <f>IFERROR(__xludf.DUMMYFUNCTION("""COMPUTED_VALUE"""),"CARTAGENA")</f>
        <v>CARTAGENA</v>
      </c>
      <c r="D5831" s="15" t="str">
        <f>IFERROR(__xludf.DUMMYFUNCTION("""COMPUTED_VALUE"""),"BOGOTÁ")</f>
        <v>BOGOTÁ</v>
      </c>
      <c r="E5831" s="15" t="str">
        <f>IFERROR(__xludf.DUMMYFUNCTION("""COMPUTED_VALUE"""),"Top Spun")</f>
        <v>Top Spun</v>
      </c>
      <c r="F5831" s="17" t="str">
        <f>IFERROR(__xludf.DUMMYFUNCTION("""COMPUTED_VALUE"""),"Cra 8 N° 39-114 / Hotel Boutique Bóvedas de Santa Clara SUITE 401 / Calle del Torno, Barrio San Diego")</f>
        <v>Cra 8 N° 39-114 / Hotel Boutique Bóvedas de Santa Clara SUITE 401 / Calle del Torno, Barrio San Diego</v>
      </c>
      <c r="G5831" s="15" t="str">
        <f>IFERROR(__xludf.DUMMYFUNCTION("""COMPUTED_VALUE"""),"Emelin Quiroz/María Mallarino")</f>
        <v>Emelin Quiroz/María Mallarino</v>
      </c>
      <c r="H5831" s="16">
        <f>IFERROR(__xludf.DUMMYFUNCTION("""COMPUTED_VALUE"""),14495.0)</f>
        <v>14495</v>
      </c>
      <c r="I5831" s="18">
        <f>IFERROR(__xludf.DUMMYFUNCTION("""COMPUTED_VALUE"""),20.0)</f>
        <v>20</v>
      </c>
      <c r="J5831" s="18">
        <f>IFERROR(__xludf.DUMMYFUNCTION("""COMPUTED_VALUE"""),10.0)</f>
        <v>10</v>
      </c>
      <c r="K5831" s="18">
        <f>IFERROR(__xludf.DUMMYFUNCTION("""COMPUTED_VALUE"""),40.0)</f>
        <v>40</v>
      </c>
      <c r="L5831" s="17">
        <f>IFERROR(__xludf.DUMMYFUNCTION("""COMPUTED_VALUE"""),3.108660426E9)</f>
        <v>3108660426</v>
      </c>
      <c r="M5831" s="17" t="str">
        <f>IFERROR(__xludf.DUMMYFUNCTION("""COMPUTED_VALUE"""),"#REF!")</f>
        <v>#REF!</v>
      </c>
      <c r="N5831" s="17"/>
      <c r="O5831" s="17"/>
      <c r="P5831" s="17" t="b">
        <f>IFERROR(__xludf.DUMMYFUNCTION("""COMPUTED_VALUE"""),TRUE)</f>
        <v>1</v>
      </c>
      <c r="Q5831" s="20">
        <f>IFERROR(__xludf.DUMMYFUNCTION("""COMPUTED_VALUE"""),45169.63627030092)</f>
        <v>45169.63627</v>
      </c>
      <c r="R5831" s="21" t="str">
        <f>IFERROR(__xludf.DUMMYFUNCTION("""COMPUTED_VALUE"""),"https://drive.google.com/file/d/1IElJm6c1k7RQK1J_aGQAz0BqiSzmjYYc/view?usp=drivesdk")</f>
        <v>https://drive.google.com/file/d/1IElJm6c1k7RQK1J_aGQAz0BqiSzmjYYc/view?usp=drivesdk</v>
      </c>
    </row>
    <row r="5832">
      <c r="A5832" s="15">
        <f>IFERROR(__xludf.DUMMYFUNCTION("""COMPUTED_VALUE"""),45169.0)</f>
        <v>45169</v>
      </c>
      <c r="B5832" s="16" t="str">
        <f>IFERROR(__xludf.DUMMYFUNCTION("""COMPUTED_VALUE"""),"Envia")</f>
        <v>Envia</v>
      </c>
      <c r="C5832" s="15" t="str">
        <f>IFERROR(__xludf.DUMMYFUNCTION("""COMPUTED_VALUE"""),"FLORIDABLANCA")</f>
        <v>FLORIDABLANCA</v>
      </c>
      <c r="D5832" s="15" t="str">
        <f>IFERROR(__xludf.DUMMYFUNCTION("""COMPUTED_VALUE"""),"BOGOTÁ")</f>
        <v>BOGOTÁ</v>
      </c>
      <c r="E5832" s="15" t="str">
        <f>IFERROR(__xludf.DUMMYFUNCTION("""COMPUTED_VALUE"""),"Evamazzita")</f>
        <v>Evamazzita</v>
      </c>
      <c r="F5832" s="17" t="str">
        <f>IFERROR(__xludf.DUMMYFUNCTION("""COMPUTED_VALUE"""),"Calle 198 # 29 - 83  / Villas de San Francisco / Villas de San Francisco""")</f>
        <v>Calle 198 # 29 - 83  / Villas de San Francisco / Villas de San Francisco"</v>
      </c>
      <c r="G5832" s="15" t="str">
        <f>IFERROR(__xludf.DUMMYFUNCTION("""COMPUTED_VALUE"""),"MAYRA ALEJANDRA GUEVARA")</f>
        <v>MAYRA ALEJANDRA GUEVARA</v>
      </c>
      <c r="H5832" s="16">
        <f>IFERROR(__xludf.DUMMYFUNCTION("""COMPUTED_VALUE"""),14596.0)</f>
        <v>14596</v>
      </c>
      <c r="I5832" s="18">
        <f>IFERROR(__xludf.DUMMYFUNCTION("""COMPUTED_VALUE"""),1.0)</f>
        <v>1</v>
      </c>
      <c r="J5832" s="18">
        <f>IFERROR(__xludf.DUMMYFUNCTION("""COMPUTED_VALUE"""),1.0)</f>
        <v>1</v>
      </c>
      <c r="K5832" s="18">
        <f>IFERROR(__xludf.DUMMYFUNCTION("""COMPUTED_VALUE"""),1.0)</f>
        <v>1</v>
      </c>
      <c r="L5832" s="17">
        <f>IFERROR(__xludf.DUMMYFUNCTION("""COMPUTED_VALUE"""),3.22405814E9)</f>
        <v>3224058140</v>
      </c>
      <c r="M5832" s="17" t="str">
        <f>IFERROR(__xludf.DUMMYFUNCTION("""COMPUTED_VALUE"""),"#REF!")</f>
        <v>#REF!</v>
      </c>
      <c r="N5832" s="17"/>
      <c r="O5832" s="17"/>
      <c r="P5832" s="17" t="b">
        <f>IFERROR(__xludf.DUMMYFUNCTION("""COMPUTED_VALUE"""),TRUE)</f>
        <v>1</v>
      </c>
      <c r="Q5832" s="20">
        <f>IFERROR(__xludf.DUMMYFUNCTION("""COMPUTED_VALUE"""),45169.63627030092)</f>
        <v>45169.63627</v>
      </c>
      <c r="R5832" s="21" t="str">
        <f>IFERROR(__xludf.DUMMYFUNCTION("""COMPUTED_VALUE"""),"https://drive.google.com/file/d/1H2TXIVFbzy4B3DE6Pb1H3sJ3t_wbYVIW/view?usp=drivesdk")</f>
        <v>https://drive.google.com/file/d/1H2TXIVFbzy4B3DE6Pb1H3sJ3t_wbYVIW/view?usp=drivesdk</v>
      </c>
    </row>
    <row r="5833">
      <c r="A5833" s="15">
        <f>IFERROR(__xludf.DUMMYFUNCTION("""COMPUTED_VALUE"""),45169.0)</f>
        <v>45169</v>
      </c>
      <c r="B5833" s="16" t="str">
        <f>IFERROR(__xludf.DUMMYFUNCTION("""COMPUTED_VALUE"""),"Envia")</f>
        <v>Envia</v>
      </c>
      <c r="C5833" s="15" t="str">
        <f>IFERROR(__xludf.DUMMYFUNCTION("""COMPUTED_VALUE"""),"FLORIDABLANCA")</f>
        <v>FLORIDABLANCA</v>
      </c>
      <c r="D5833" s="15" t="str">
        <f>IFERROR(__xludf.DUMMYFUNCTION("""COMPUTED_VALUE"""),"BOGOTÁ")</f>
        <v>BOGOTÁ</v>
      </c>
      <c r="E5833" s="15" t="str">
        <f>IFERROR(__xludf.DUMMYFUNCTION("""COMPUTED_VALUE"""),"Evamazzita")</f>
        <v>Evamazzita</v>
      </c>
      <c r="F5833" s="17" t="str">
        <f>IFERROR(__xludf.DUMMYFUNCTION("""COMPUTED_VALUE"""),"CRA 21 No. 152 - 30  / TORRE 22 APTO 101 C.R. PARQUE SAN AGUSTIN  / BARRIO PALOMITAS")</f>
        <v>CRA 21 No. 152 - 30  / TORRE 22 APTO 101 C.R. PARQUE SAN AGUSTIN  / BARRIO PALOMITAS</v>
      </c>
      <c r="G5833" s="15" t="str">
        <f>IFERROR(__xludf.DUMMYFUNCTION("""COMPUTED_VALUE"""),"RUTH HERNANDEZ JAIMES")</f>
        <v>RUTH HERNANDEZ JAIMES</v>
      </c>
      <c r="H5833" s="16">
        <f>IFERROR(__xludf.DUMMYFUNCTION("""COMPUTED_VALUE"""),14597.0)</f>
        <v>14597</v>
      </c>
      <c r="I5833" s="18">
        <f>IFERROR(__xludf.DUMMYFUNCTION("""COMPUTED_VALUE"""),1.0)</f>
        <v>1</v>
      </c>
      <c r="J5833" s="18">
        <f>IFERROR(__xludf.DUMMYFUNCTION("""COMPUTED_VALUE"""),1.0)</f>
        <v>1</v>
      </c>
      <c r="K5833" s="18">
        <f>IFERROR(__xludf.DUMMYFUNCTION("""COMPUTED_VALUE"""),1.0)</f>
        <v>1</v>
      </c>
      <c r="L5833" s="17">
        <f>IFERROR(__xludf.DUMMYFUNCTION("""COMPUTED_VALUE"""),3.204995602E9)</f>
        <v>3204995602</v>
      </c>
      <c r="M5833" s="17" t="str">
        <f>IFERROR(__xludf.DUMMYFUNCTION("""COMPUTED_VALUE"""),"#REF!")</f>
        <v>#REF!</v>
      </c>
      <c r="N5833" s="17"/>
      <c r="O5833" s="17"/>
      <c r="P5833" s="17" t="b">
        <f>IFERROR(__xludf.DUMMYFUNCTION("""COMPUTED_VALUE"""),FALSE)</f>
        <v>0</v>
      </c>
      <c r="Q5833" s="20" t="str">
        <f>IFERROR(__xludf.DUMMYFUNCTION("""COMPUTED_VALUE"""),"")</f>
        <v/>
      </c>
      <c r="R5833" s="21" t="str">
        <f>IFERROR(__xludf.DUMMYFUNCTION("""COMPUTED_VALUE"""),"https://drive.google.com/file/d/1rnqSZQ18H9wJL8pMyqV2AKqMXVHGqZQI/view?usp=drivesdk")</f>
        <v>https://drive.google.com/file/d/1rnqSZQ18H9wJL8pMyqV2AKqMXVHGqZQI/view?usp=drivesdk</v>
      </c>
    </row>
    <row r="5834">
      <c r="A5834" s="15">
        <f>IFERROR(__xludf.DUMMYFUNCTION("""COMPUTED_VALUE"""),45169.0)</f>
        <v>45169</v>
      </c>
      <c r="B5834" s="16" t="str">
        <f>IFERROR(__xludf.DUMMYFUNCTION("""COMPUTED_VALUE"""),"Envia")</f>
        <v>Envia</v>
      </c>
      <c r="C5834" s="15" t="str">
        <f>IFERROR(__xludf.DUMMYFUNCTION("""COMPUTED_VALUE"""),"FLORIDABLANCA")</f>
        <v>FLORIDABLANCA</v>
      </c>
      <c r="D5834" s="15" t="str">
        <f>IFERROR(__xludf.DUMMYFUNCTION("""COMPUTED_VALUE"""),"MEDELLÍN")</f>
        <v>MEDELLÍN</v>
      </c>
      <c r="E5834" s="15" t="str">
        <f>IFERROR(__xludf.DUMMYFUNCTION("""COMPUTED_VALUE"""),"Helados swip")</f>
        <v>Helados swip</v>
      </c>
      <c r="F5834" s="17" t="str">
        <f>IFERROR(__xludf.DUMMYFUNCTION("""COMPUTED_VALUE"""),"CALLE 33 # 26-25 / AL LADO DE DROGAS PAGUE MENOS / AL LADO DROGAS PAGUE MENOS")</f>
        <v>CALLE 33 # 26-25 / AL LADO DE DROGAS PAGUE MENOS / AL LADO DROGAS PAGUE MENOS</v>
      </c>
      <c r="G5834" s="15" t="str">
        <f>IFERROR(__xludf.DUMMYFUNCTION("""COMPUTED_VALUE"""),"MULTIFIT CAÑAVERAL FLORIDABLANCA")</f>
        <v>MULTIFIT CAÑAVERAL FLORIDABLANCA</v>
      </c>
      <c r="H5834" s="16">
        <f>IFERROR(__xludf.DUMMYFUNCTION("""COMPUTED_VALUE"""),14560.0)</f>
        <v>14560</v>
      </c>
      <c r="I5834" s="18">
        <f>IFERROR(__xludf.DUMMYFUNCTION("""COMPUTED_VALUE"""),29.0)</f>
        <v>29</v>
      </c>
      <c r="J5834" s="18">
        <f>IFERROR(__xludf.DUMMYFUNCTION("""COMPUTED_VALUE"""),55.0)</f>
        <v>55</v>
      </c>
      <c r="K5834" s="18">
        <f>IFERROR(__xludf.DUMMYFUNCTION("""COMPUTED_VALUE"""),45.0)</f>
        <v>45</v>
      </c>
      <c r="L5834" s="17">
        <f>IFERROR(__xludf.DUMMYFUNCTION("""COMPUTED_VALUE"""),3.158785729E9)</f>
        <v>3158785729</v>
      </c>
      <c r="M5834" s="17" t="str">
        <f>IFERROR(__xludf.DUMMYFUNCTION("""COMPUTED_VALUE"""),"#REF!")</f>
        <v>#REF!</v>
      </c>
      <c r="N5834" s="17"/>
      <c r="O5834" s="17"/>
      <c r="P5834" s="17" t="b">
        <f>IFERROR(__xludf.DUMMYFUNCTION("""COMPUTED_VALUE"""),TRUE)</f>
        <v>1</v>
      </c>
      <c r="Q5834" s="20">
        <f>IFERROR(__xludf.DUMMYFUNCTION("""COMPUTED_VALUE"""),45169.63627030092)</f>
        <v>45169.63627</v>
      </c>
      <c r="R5834" s="22" t="str">
        <f>IFERROR(__xludf.DUMMYFUNCTION("""COMPUTED_VALUE"""),"")</f>
        <v/>
      </c>
    </row>
    <row r="5835">
      <c r="A5835" s="15">
        <f>IFERROR(__xludf.DUMMYFUNCTION("""COMPUTED_VALUE"""),45169.0)</f>
        <v>45169</v>
      </c>
      <c r="B5835" s="16" t="str">
        <f>IFERROR(__xludf.DUMMYFUNCTION("""COMPUTED_VALUE"""),"Envia")</f>
        <v>Envia</v>
      </c>
      <c r="C5835" s="15" t="str">
        <f>IFERROR(__xludf.DUMMYFUNCTION("""COMPUTED_VALUE"""),"NEIVA")</f>
        <v>NEIVA</v>
      </c>
      <c r="D5835" s="15" t="str">
        <f>IFERROR(__xludf.DUMMYFUNCTION("""COMPUTED_VALUE"""),"BOGOTÁ")</f>
        <v>BOGOTÁ</v>
      </c>
      <c r="E5835" s="15" t="str">
        <f>IFERROR(__xludf.DUMMYFUNCTION("""COMPUTED_VALUE"""),"Evamazzita")</f>
        <v>Evamazzita</v>
      </c>
      <c r="F5835" s="17" t="str">
        <f>IFERROR(__xludf.DUMMYFUNCTION("""COMPUTED_VALUE"""),"Calle 34 # 10-03 /  Casa S4 Etapa 5 La Coruña de Berdez /  Casa S4 Etapa 5 La Coruña de Berdez""")</f>
        <v>Calle 34 # 10-03 /  Casa S4 Etapa 5 La Coruña de Berdez /  Casa S4 Etapa 5 La Coruña de Berdez"</v>
      </c>
      <c r="G5835" s="15" t="str">
        <f>IFERROR(__xludf.DUMMYFUNCTION("""COMPUTED_VALUE"""),"YOLIMA RAMIREZ CEDEÑO")</f>
        <v>YOLIMA RAMIREZ CEDEÑO</v>
      </c>
      <c r="H5835" s="16">
        <f>IFERROR(__xludf.DUMMYFUNCTION("""COMPUTED_VALUE"""),14577.0)</f>
        <v>14577</v>
      </c>
      <c r="I5835" s="18">
        <f>IFERROR(__xludf.DUMMYFUNCTION("""COMPUTED_VALUE"""),1.0)</f>
        <v>1</v>
      </c>
      <c r="J5835" s="18">
        <f>IFERROR(__xludf.DUMMYFUNCTION("""COMPUTED_VALUE"""),1.0)</f>
        <v>1</v>
      </c>
      <c r="K5835" s="18">
        <f>IFERROR(__xludf.DUMMYFUNCTION("""COMPUTED_VALUE"""),1.0)</f>
        <v>1</v>
      </c>
      <c r="L5835" s="17">
        <f>IFERROR(__xludf.DUMMYFUNCTION("""COMPUTED_VALUE"""),3.156298262E9)</f>
        <v>3156298262</v>
      </c>
      <c r="M5835" s="17" t="str">
        <f>IFERROR(__xludf.DUMMYFUNCTION("""COMPUTED_VALUE"""),"#REF!")</f>
        <v>#REF!</v>
      </c>
      <c r="N5835" s="17"/>
      <c r="O5835" s="17"/>
      <c r="P5835" s="17" t="b">
        <f>IFERROR(__xludf.DUMMYFUNCTION("""COMPUTED_VALUE"""),FALSE)</f>
        <v>0</v>
      </c>
      <c r="Q5835" s="20" t="str">
        <f>IFERROR(__xludf.DUMMYFUNCTION("""COMPUTED_VALUE"""),"")</f>
        <v/>
      </c>
      <c r="R5835" s="22" t="str">
        <f>IFERROR(__xludf.DUMMYFUNCTION("""COMPUTED_VALUE"""),"")</f>
        <v/>
      </c>
    </row>
    <row r="5836">
      <c r="A5836" s="15">
        <f>IFERROR(__xludf.DUMMYFUNCTION("""COMPUTED_VALUE"""),45169.0)</f>
        <v>45169</v>
      </c>
      <c r="B5836" s="16" t="str">
        <f>IFERROR(__xludf.DUMMYFUNCTION("""COMPUTED_VALUE"""),"Envia")</f>
        <v>Envia</v>
      </c>
      <c r="C5836" s="15" t="str">
        <f>IFERROR(__xludf.DUMMYFUNCTION("""COMPUTED_VALUE"""),"NEIVA")</f>
        <v>NEIVA</v>
      </c>
      <c r="D5836" s="15" t="str">
        <f>IFERROR(__xludf.DUMMYFUNCTION("""COMPUTED_VALUE"""),"BOGOTÁ")</f>
        <v>BOGOTÁ</v>
      </c>
      <c r="E5836" s="15" t="str">
        <f>IFERROR(__xludf.DUMMYFUNCTION("""COMPUTED_VALUE"""),"Evamazzita")</f>
        <v>Evamazzita</v>
      </c>
      <c r="F5836" s="17" t="str">
        <f>IFERROR(__xludf.DUMMYFUNCTION("""COMPUTED_VALUE"""),"CALLE 78 No. 8 - 42  /  TORRE 5 APTO 303 / CONJUNTO CAMINOS DE LA PRIMAVERA")</f>
        <v>CALLE 78 No. 8 - 42  /  TORRE 5 APTO 303 / CONJUNTO CAMINOS DE LA PRIMAVERA</v>
      </c>
      <c r="G5836" s="15" t="str">
        <f>IFERROR(__xludf.DUMMYFUNCTION("""COMPUTED_VALUE"""),"DANIELA SANCHEZ ALVARADO")</f>
        <v>DANIELA SANCHEZ ALVARADO</v>
      </c>
      <c r="H5836" s="16">
        <f>IFERROR(__xludf.DUMMYFUNCTION("""COMPUTED_VALUE"""),14576.0)</f>
        <v>14576</v>
      </c>
      <c r="I5836" s="18">
        <f>IFERROR(__xludf.DUMMYFUNCTION("""COMPUTED_VALUE"""),1.0)</f>
        <v>1</v>
      </c>
      <c r="J5836" s="18">
        <f>IFERROR(__xludf.DUMMYFUNCTION("""COMPUTED_VALUE"""),1.0)</f>
        <v>1</v>
      </c>
      <c r="K5836" s="18">
        <f>IFERROR(__xludf.DUMMYFUNCTION("""COMPUTED_VALUE"""),1.0)</f>
        <v>1</v>
      </c>
      <c r="L5836" s="17">
        <f>IFERROR(__xludf.DUMMYFUNCTION("""COMPUTED_VALUE"""),3.163058589E9)</f>
        <v>3163058589</v>
      </c>
      <c r="M5836" s="17" t="str">
        <f>IFERROR(__xludf.DUMMYFUNCTION("""COMPUTED_VALUE"""),"#REF!")</f>
        <v>#REF!</v>
      </c>
      <c r="N5836" s="17"/>
      <c r="O5836" s="17"/>
      <c r="P5836" s="17" t="b">
        <f>IFERROR(__xludf.DUMMYFUNCTION("""COMPUTED_VALUE"""),FALSE)</f>
        <v>0</v>
      </c>
      <c r="Q5836" s="20" t="str">
        <f>IFERROR(__xludf.DUMMYFUNCTION("""COMPUTED_VALUE"""),"")</f>
        <v/>
      </c>
      <c r="R5836" s="22" t="str">
        <f>IFERROR(__xludf.DUMMYFUNCTION("""COMPUTED_VALUE"""),"")</f>
        <v/>
      </c>
    </row>
    <row r="5837">
      <c r="A5837" s="15">
        <f>IFERROR(__xludf.DUMMYFUNCTION("""COMPUTED_VALUE"""),45169.0)</f>
        <v>45169</v>
      </c>
      <c r="B5837" s="16" t="str">
        <f>IFERROR(__xludf.DUMMYFUNCTION("""COMPUTED_VALUE"""),"Envia")</f>
        <v>Envia</v>
      </c>
      <c r="C5837" s="15" t="str">
        <f>IFERROR(__xludf.DUMMYFUNCTION("""COMPUTED_VALUE"""),"NEIVA")</f>
        <v>NEIVA</v>
      </c>
      <c r="D5837" s="15" t="str">
        <f>IFERROR(__xludf.DUMMYFUNCTION("""COMPUTED_VALUE"""),"BOGOTÁ")</f>
        <v>BOGOTÁ</v>
      </c>
      <c r="E5837" s="15" t="str">
        <f>IFERROR(__xludf.DUMMYFUNCTION("""COMPUTED_VALUE"""),"Evamazzita")</f>
        <v>Evamazzita</v>
      </c>
      <c r="F5837" s="17" t="str">
        <f>IFERROR(__xludf.DUMMYFUNCTION("""COMPUTED_VALUE"""),"Carrera 3 # 29-137 Sur  / Casa 82 Conjunto Sendero del Rio / Casa 82 Conjunto Sendero del Rio")</f>
        <v>Carrera 3 # 29-137 Sur  / Casa 82 Conjunto Sendero del Rio / Casa 82 Conjunto Sendero del Rio</v>
      </c>
      <c r="G5837" s="15" t="str">
        <f>IFERROR(__xludf.DUMMYFUNCTION("""COMPUTED_VALUE"""),"ANA CAROLINA VARGAS POLANIA")</f>
        <v>ANA CAROLINA VARGAS POLANIA</v>
      </c>
      <c r="H5837" s="16">
        <f>IFERROR(__xludf.DUMMYFUNCTION("""COMPUTED_VALUE"""),14575.0)</f>
        <v>14575</v>
      </c>
      <c r="I5837" s="18">
        <f>IFERROR(__xludf.DUMMYFUNCTION("""COMPUTED_VALUE"""),1.0)</f>
        <v>1</v>
      </c>
      <c r="J5837" s="18">
        <f>IFERROR(__xludf.DUMMYFUNCTION("""COMPUTED_VALUE"""),1.0)</f>
        <v>1</v>
      </c>
      <c r="K5837" s="18">
        <f>IFERROR(__xludf.DUMMYFUNCTION("""COMPUTED_VALUE"""),1.0)</f>
        <v>1</v>
      </c>
      <c r="L5837" s="17">
        <f>IFERROR(__xludf.DUMMYFUNCTION("""COMPUTED_VALUE"""),3.112064994E9)</f>
        <v>3112064994</v>
      </c>
      <c r="M5837" s="17" t="str">
        <f>IFERROR(__xludf.DUMMYFUNCTION("""COMPUTED_VALUE"""),"#REF!")</f>
        <v>#REF!</v>
      </c>
      <c r="N5837" s="17"/>
      <c r="O5837" s="17"/>
      <c r="P5837" s="17" t="b">
        <f>IFERROR(__xludf.DUMMYFUNCTION("""COMPUTED_VALUE"""),FALSE)</f>
        <v>0</v>
      </c>
      <c r="Q5837" s="20" t="str">
        <f>IFERROR(__xludf.DUMMYFUNCTION("""COMPUTED_VALUE"""),"")</f>
        <v/>
      </c>
      <c r="R5837" s="22" t="str">
        <f>IFERROR(__xludf.DUMMYFUNCTION("""COMPUTED_VALUE"""),"")</f>
        <v/>
      </c>
    </row>
    <row r="5838">
      <c r="A5838" s="15">
        <f>IFERROR(__xludf.DUMMYFUNCTION("""COMPUTED_VALUE"""),45169.0)</f>
        <v>45169</v>
      </c>
      <c r="B5838" s="16" t="str">
        <f>IFERROR(__xludf.DUMMYFUNCTION("""COMPUTED_VALUE"""),"Envia")</f>
        <v>Envia</v>
      </c>
      <c r="C5838" s="15" t="str">
        <f>IFERROR(__xludf.DUMMYFUNCTION("""COMPUTED_VALUE"""),"SINCELEJO")</f>
        <v>SINCELEJO</v>
      </c>
      <c r="D5838" s="15" t="str">
        <f>IFERROR(__xludf.DUMMYFUNCTION("""COMPUTED_VALUE"""),"BOGOTÁ")</f>
        <v>BOGOTÁ</v>
      </c>
      <c r="E5838" s="15" t="str">
        <f>IFERROR(__xludf.DUMMYFUNCTION("""COMPUTED_VALUE"""),"Evamazzita")</f>
        <v>Evamazzita</v>
      </c>
      <c r="F5838" s="17" t="str">
        <f>IFERROR(__xludf.DUMMYFUNCTION("""COMPUTED_VALUE"""),"Calle 16A#7-38 / N/A / Barrio pablo 6")</f>
        <v>Calle 16A#7-38 / N/A / Barrio pablo 6</v>
      </c>
      <c r="G5838" s="15" t="str">
        <f>IFERROR(__xludf.DUMMYFUNCTION("""COMPUTED_VALUE"""),"ANDREA CAROLINA ALEAN MENDEZ")</f>
        <v>ANDREA CAROLINA ALEAN MENDEZ</v>
      </c>
      <c r="H5838" s="16">
        <f>IFERROR(__xludf.DUMMYFUNCTION("""COMPUTED_VALUE"""),14450.0)</f>
        <v>14450</v>
      </c>
      <c r="I5838" s="18">
        <f>IFERROR(__xludf.DUMMYFUNCTION("""COMPUTED_VALUE"""),5.0)</f>
        <v>5</v>
      </c>
      <c r="J5838" s="18">
        <f>IFERROR(__xludf.DUMMYFUNCTION("""COMPUTED_VALUE"""),16.0)</f>
        <v>16</v>
      </c>
      <c r="K5838" s="18">
        <f>IFERROR(__xludf.DUMMYFUNCTION("""COMPUTED_VALUE"""),23.0)</f>
        <v>23</v>
      </c>
      <c r="L5838" s="17">
        <f>IFERROR(__xludf.DUMMYFUNCTION("""COMPUTED_VALUE"""),3.015506029E9)</f>
        <v>3015506029</v>
      </c>
      <c r="M5838" s="17" t="str">
        <f>IFERROR(__xludf.DUMMYFUNCTION("""COMPUTED_VALUE"""),"#REF!")</f>
        <v>#REF!</v>
      </c>
      <c r="N5838" s="17"/>
      <c r="O5838" s="17"/>
      <c r="P5838" s="17" t="b">
        <f>IFERROR(__xludf.DUMMYFUNCTION("""COMPUTED_VALUE"""),FALSE)</f>
        <v>0</v>
      </c>
      <c r="Q5838" s="20" t="str">
        <f>IFERROR(__xludf.DUMMYFUNCTION("""COMPUTED_VALUE"""),"")</f>
        <v/>
      </c>
      <c r="R5838" s="22" t="str">
        <f>IFERROR(__xludf.DUMMYFUNCTION("""COMPUTED_VALUE"""),"")</f>
        <v/>
      </c>
    </row>
    <row r="5839">
      <c r="A5839" s="15">
        <f>IFERROR(__xludf.DUMMYFUNCTION("""COMPUTED_VALUE"""),45169.0)</f>
        <v>45169</v>
      </c>
      <c r="B5839" s="16" t="str">
        <f>IFERROR(__xludf.DUMMYFUNCTION("""COMPUTED_VALUE"""),"Envia")</f>
        <v>Envia</v>
      </c>
      <c r="C5839" s="15" t="str">
        <f>IFERROR(__xludf.DUMMYFUNCTION("""COMPUTED_VALUE"""),"SINCELEJO")</f>
        <v>SINCELEJO</v>
      </c>
      <c r="D5839" s="15" t="str">
        <f>IFERROR(__xludf.DUMMYFUNCTION("""COMPUTED_VALUE"""),"MEDELLÍN")</f>
        <v>MEDELLÍN</v>
      </c>
      <c r="E5839" s="15" t="str">
        <f>IFERROR(__xludf.DUMMYFUNCTION("""COMPUTED_VALUE"""),"Rambla")</f>
        <v>Rambla</v>
      </c>
      <c r="F5839" s="17" t="str">
        <f>IFERROR(__xludf.DUMMYFUNCTION("""COMPUTED_VALUE"""),"calle 32 #33 -119 local 101 cc living mall brr vene / - / -")</f>
        <v>calle 32 #33 -119 local 101 cc living mall brr vene / - / -</v>
      </c>
      <c r="G5839" s="15" t="str">
        <f>IFERROR(__xludf.DUMMYFUNCTION("""COMPUTED_VALUE"""),"Oliva")</f>
        <v>Oliva</v>
      </c>
      <c r="H5839" s="16">
        <f>IFERROR(__xludf.DUMMYFUNCTION("""COMPUTED_VALUE"""),14600.0)</f>
        <v>14600</v>
      </c>
      <c r="I5839" s="18">
        <f>IFERROR(__xludf.DUMMYFUNCTION("""COMPUTED_VALUE"""),32.0)</f>
        <v>32</v>
      </c>
      <c r="J5839" s="18">
        <f>IFERROR(__xludf.DUMMYFUNCTION("""COMPUTED_VALUE"""),26.0)</f>
        <v>26</v>
      </c>
      <c r="K5839" s="18">
        <f>IFERROR(__xludf.DUMMYFUNCTION("""COMPUTED_VALUE"""),24.0)</f>
        <v>24</v>
      </c>
      <c r="L5839" s="17">
        <f>IFERROR(__xludf.DUMMYFUNCTION("""COMPUTED_VALUE"""),3.022293728E9)</f>
        <v>3022293728</v>
      </c>
      <c r="M5839" s="17" t="str">
        <f>IFERROR(__xludf.DUMMYFUNCTION("""COMPUTED_VALUE"""),"#REF!")</f>
        <v>#REF!</v>
      </c>
      <c r="N5839" s="17"/>
      <c r="O5839" s="17"/>
      <c r="P5839" s="17" t="b">
        <f>IFERROR(__xludf.DUMMYFUNCTION("""COMPUTED_VALUE"""),FALSE)</f>
        <v>0</v>
      </c>
      <c r="Q5839" s="20" t="str">
        <f>IFERROR(__xludf.DUMMYFUNCTION("""COMPUTED_VALUE"""),"")</f>
        <v/>
      </c>
      <c r="R5839" s="22" t="str">
        <f>IFERROR(__xludf.DUMMYFUNCTION("""COMPUTED_VALUE"""),"")</f>
        <v/>
      </c>
    </row>
    <row r="5840">
      <c r="A5840" s="15">
        <f>IFERROR(__xludf.DUMMYFUNCTION("""COMPUTED_VALUE"""),45169.0)</f>
        <v>45169</v>
      </c>
      <c r="B5840" s="16" t="str">
        <f>IFERROR(__xludf.DUMMYFUNCTION("""COMPUTED_VALUE"""),"Envia")</f>
        <v>Envia</v>
      </c>
      <c r="C5840" s="15" t="str">
        <f>IFERROR(__xludf.DUMMYFUNCTION("""COMPUTED_VALUE"""),"VILLAVICENCIO")</f>
        <v>VILLAVICENCIO</v>
      </c>
      <c r="D5840" s="15" t="str">
        <f>IFERROR(__xludf.DUMMYFUNCTION("""COMPUTED_VALUE"""),"BOGOTÁ")</f>
        <v>BOGOTÁ</v>
      </c>
      <c r="E5840" s="15" t="str">
        <f>IFERROR(__xludf.DUMMYFUNCTION("""COMPUTED_VALUE"""),"Ins. Alimento Vital")</f>
        <v>Ins. Alimento Vital</v>
      </c>
      <c r="F5840" s="17" t="str">
        <f>IFERROR(__xludf.DUMMYFUNCTION("""COMPUTED_VALUE"""),"CL 40 14 108 / CASA / HIERBABUENA")</f>
        <v>CL 40 14 108 / CASA / HIERBABUENA</v>
      </c>
      <c r="G5840" s="15" t="str">
        <f>IFERROR(__xludf.DUMMYFUNCTION("""COMPUTED_VALUE"""),"ORLANDO HERNANDEZ SIERRA")</f>
        <v>ORLANDO HERNANDEZ SIERRA</v>
      </c>
      <c r="H5840" s="16">
        <f>IFERROR(__xludf.DUMMYFUNCTION("""COMPUTED_VALUE"""),14558.0)</f>
        <v>14558</v>
      </c>
      <c r="I5840" s="18">
        <f>IFERROR(__xludf.DUMMYFUNCTION("""COMPUTED_VALUE"""),1.0)</f>
        <v>1</v>
      </c>
      <c r="J5840" s="18">
        <f>IFERROR(__xludf.DUMMYFUNCTION("""COMPUTED_VALUE"""),1.0)</f>
        <v>1</v>
      </c>
      <c r="K5840" s="18">
        <f>IFERROR(__xludf.DUMMYFUNCTION("""COMPUTED_VALUE"""),1.0)</f>
        <v>1</v>
      </c>
      <c r="L5840" s="17">
        <f>IFERROR(__xludf.DUMMYFUNCTION("""COMPUTED_VALUE"""),3.045897192E9)</f>
        <v>3045897192</v>
      </c>
      <c r="M5840" s="17" t="str">
        <f>IFERROR(__xludf.DUMMYFUNCTION("""COMPUTED_VALUE"""),"#REF!")</f>
        <v>#REF!</v>
      </c>
      <c r="N5840" s="17"/>
      <c r="O5840" s="17"/>
      <c r="P5840" s="17" t="b">
        <f>IFERROR(__xludf.DUMMYFUNCTION("""COMPUTED_VALUE"""),FALSE)</f>
        <v>0</v>
      </c>
      <c r="Q5840" s="20" t="str">
        <f>IFERROR(__xludf.DUMMYFUNCTION("""COMPUTED_VALUE"""),"")</f>
        <v/>
      </c>
      <c r="R5840" s="21" t="str">
        <f>IFERROR(__xludf.DUMMYFUNCTION("""COMPUTED_VALUE"""),"https://drive.google.com/file/d/1FM9CzcGzoCssJRNeGWk3Wvr7PmDLFXL-/view?usp=drivesdk")</f>
        <v>https://drive.google.com/file/d/1FM9CzcGzoCssJRNeGWk3Wvr7PmDLFXL-/view?usp=drivesdk</v>
      </c>
    </row>
    <row r="5841">
      <c r="A5841" s="15">
        <f>IFERROR(__xludf.DUMMYFUNCTION("""COMPUTED_VALUE"""),45169.0)</f>
        <v>45169</v>
      </c>
      <c r="B5841" s="16" t="str">
        <f>IFERROR(__xludf.DUMMYFUNCTION("""COMPUTED_VALUE"""),"Envia")</f>
        <v>Envia</v>
      </c>
      <c r="C5841" s="15" t="str">
        <f>IFERROR(__xludf.DUMMYFUNCTION("""COMPUTED_VALUE"""),"YOPAL")</f>
        <v>YOPAL</v>
      </c>
      <c r="D5841" s="15" t="str">
        <f>IFERROR(__xludf.DUMMYFUNCTION("""COMPUTED_VALUE"""),"BOGOTÁ")</f>
        <v>BOGOTÁ</v>
      </c>
      <c r="E5841" s="15" t="str">
        <f>IFERROR(__xludf.DUMMYFUNCTION("""COMPUTED_VALUE"""),"Ins. Alimento Vital")</f>
        <v>Ins. Alimento Vital</v>
      </c>
      <c r="F5841" s="17" t="str">
        <f>IFERROR(__xludf.DUMMYFUNCTION("""COMPUTED_VALUE"""),"CL 31A 14 05 / CASA / YOPAL")</f>
        <v>CL 31A 14 05 / CASA / YOPAL</v>
      </c>
      <c r="G5841" s="15" t="str">
        <f>IFERROR(__xludf.DUMMYFUNCTION("""COMPUTED_VALUE"""),"YESSICA ANDREA HERNANDEZ MORALES")</f>
        <v>YESSICA ANDREA HERNANDEZ MORALES</v>
      </c>
      <c r="H5841" s="16">
        <f>IFERROR(__xludf.DUMMYFUNCTION("""COMPUTED_VALUE"""),14555.0)</f>
        <v>14555</v>
      </c>
      <c r="I5841" s="18">
        <f>IFERROR(__xludf.DUMMYFUNCTION("""COMPUTED_VALUE"""),1.0)</f>
        <v>1</v>
      </c>
      <c r="J5841" s="18">
        <f>IFERROR(__xludf.DUMMYFUNCTION("""COMPUTED_VALUE"""),1.0)</f>
        <v>1</v>
      </c>
      <c r="K5841" s="18">
        <f>IFERROR(__xludf.DUMMYFUNCTION("""COMPUTED_VALUE"""),1.0)</f>
        <v>1</v>
      </c>
      <c r="L5841" s="17">
        <f>IFERROR(__xludf.DUMMYFUNCTION("""COMPUTED_VALUE"""),3.107940644E9)</f>
        <v>3107940644</v>
      </c>
      <c r="M5841" s="17" t="str">
        <f>IFERROR(__xludf.DUMMYFUNCTION("""COMPUTED_VALUE"""),"#REF!")</f>
        <v>#REF!</v>
      </c>
      <c r="N5841" s="17"/>
      <c r="O5841" s="17"/>
      <c r="P5841" s="17" t="b">
        <f>IFERROR(__xludf.DUMMYFUNCTION("""COMPUTED_VALUE"""),FALSE)</f>
        <v>0</v>
      </c>
      <c r="Q5841" s="20" t="str">
        <f>IFERROR(__xludf.DUMMYFUNCTION("""COMPUTED_VALUE"""),"")</f>
        <v/>
      </c>
      <c r="R5841" s="22" t="str">
        <f>IFERROR(__xludf.DUMMYFUNCTION("""COMPUTED_VALUE"""),"")</f>
        <v/>
      </c>
    </row>
    <row r="5842">
      <c r="A5842" s="15">
        <f>IFERROR(__xludf.DUMMYFUNCTION("""COMPUTED_VALUE"""),45169.0)</f>
        <v>45169</v>
      </c>
      <c r="B5842" s="16" t="str">
        <f>IFERROR(__xludf.DUMMYFUNCTION("""COMPUTED_VALUE"""),"Envia")</f>
        <v>Envia</v>
      </c>
      <c r="C5842" s="15" t="str">
        <f>IFERROR(__xludf.DUMMYFUNCTION("""COMPUTED_VALUE"""),"ZIPAQUIRA")</f>
        <v>ZIPAQUIRA</v>
      </c>
      <c r="D5842" s="15" t="str">
        <f>IFERROR(__xludf.DUMMYFUNCTION("""COMPUTED_VALUE"""),"BUCARAMANGA")</f>
        <v>BUCARAMANGA</v>
      </c>
      <c r="E5842" s="15" t="str">
        <f>IFERROR(__xludf.DUMMYFUNCTION("""COMPUTED_VALUE"""),"Yo Como Solito")</f>
        <v>Yo Como Solito</v>
      </c>
      <c r="F5842" s="17" t="str">
        <f>IFERROR(__xludf.DUMMYFUNCTION("""COMPUTED_VALUE"""),"DIAGONAL 4B NO. 31-20 TORRE 11 APTO 644, SIENNA LA TOSCANA / DIAGONAL 4B NO. 31-20 TORRE 11 APTO 644, SIENNA LA TOSCANA / DIAGONAL 4B NO. 31-20 TORRE 11 APTO 644, SIENNA LA TOSCANA")</f>
        <v>DIAGONAL 4B NO. 31-20 TORRE 11 APTO 644, SIENNA LA TOSCANA / DIAGONAL 4B NO. 31-20 TORRE 11 APTO 644, SIENNA LA TOSCANA / DIAGONAL 4B NO. 31-20 TORRE 11 APTO 644, SIENNA LA TOSCANA</v>
      </c>
      <c r="G5842" s="15" t="str">
        <f>IFERROR(__xludf.DUMMYFUNCTION("""COMPUTED_VALUE"""),"DIANA CAROLINA DIAZ DURAN")</f>
        <v>DIANA CAROLINA DIAZ DURAN</v>
      </c>
      <c r="H5842" s="16">
        <f>IFERROR(__xludf.DUMMYFUNCTION("""COMPUTED_VALUE"""),14518.0)</f>
        <v>14518</v>
      </c>
      <c r="I5842" s="18">
        <f>IFERROR(__xludf.DUMMYFUNCTION("""COMPUTED_VALUE"""),15.0)</f>
        <v>15</v>
      </c>
      <c r="J5842" s="18">
        <f>IFERROR(__xludf.DUMMYFUNCTION("""COMPUTED_VALUE"""),22.0)</f>
        <v>22</v>
      </c>
      <c r="K5842" s="18">
        <f>IFERROR(__xludf.DUMMYFUNCTION("""COMPUTED_VALUE"""),26.0)</f>
        <v>26</v>
      </c>
      <c r="L5842" s="17">
        <f>IFERROR(__xludf.DUMMYFUNCTION("""COMPUTED_VALUE"""),3.185572046E9)</f>
        <v>3185572046</v>
      </c>
      <c r="M5842" s="17" t="str">
        <f>IFERROR(__xludf.DUMMYFUNCTION("""COMPUTED_VALUE"""),"#REF!")</f>
        <v>#REF!</v>
      </c>
      <c r="N5842" s="17"/>
      <c r="O5842" s="17"/>
      <c r="P5842" s="17" t="b">
        <f>IFERROR(__xludf.DUMMYFUNCTION("""COMPUTED_VALUE"""),FALSE)</f>
        <v>0</v>
      </c>
      <c r="Q5842" s="20" t="str">
        <f>IFERROR(__xludf.DUMMYFUNCTION("""COMPUTED_VALUE"""),"")</f>
        <v/>
      </c>
      <c r="R5842" s="22" t="str">
        <f>IFERROR(__xludf.DUMMYFUNCTION("""COMPUTED_VALUE"""),"")</f>
        <v/>
      </c>
    </row>
    <row r="5843">
      <c r="A5843" s="17" t="str">
        <f>IFERROR(__xludf.DUMMYFUNCTION("""COMPUTED_VALUE"""),"")</f>
        <v/>
      </c>
      <c r="B5843" s="17" t="str">
        <f>IFERROR(__xludf.DUMMYFUNCTION("""COMPUTED_VALUE"""),"")</f>
        <v/>
      </c>
      <c r="C5843" s="17" t="str">
        <f>IFERROR(__xludf.DUMMYFUNCTION("""COMPUTED_VALUE"""),"")</f>
        <v/>
      </c>
      <c r="D5843" s="17" t="str">
        <f>IFERROR(__xludf.DUMMYFUNCTION("""COMPUTED_VALUE"""),"")</f>
        <v/>
      </c>
      <c r="E5843" s="17" t="str">
        <f>IFERROR(__xludf.DUMMYFUNCTION("""COMPUTED_VALUE"""),"")</f>
        <v/>
      </c>
      <c r="F5843" s="17" t="str">
        <f>IFERROR(__xludf.DUMMYFUNCTION("""COMPUTED_VALUE"""),"")</f>
        <v/>
      </c>
      <c r="G5843" s="17" t="str">
        <f>IFERROR(__xludf.DUMMYFUNCTION("""COMPUTED_VALUE"""),"")</f>
        <v/>
      </c>
      <c r="H5843" s="17" t="str">
        <f>IFERROR(__xludf.DUMMYFUNCTION("""COMPUTED_VALUE"""),"")</f>
        <v/>
      </c>
      <c r="I5843" s="17" t="str">
        <f>IFERROR(__xludf.DUMMYFUNCTION("""COMPUTED_VALUE"""),"")</f>
        <v/>
      </c>
      <c r="J5843" s="17" t="str">
        <f>IFERROR(__xludf.DUMMYFUNCTION("""COMPUTED_VALUE"""),"")</f>
        <v/>
      </c>
      <c r="K5843" s="17" t="str">
        <f>IFERROR(__xludf.DUMMYFUNCTION("""COMPUTED_VALUE"""),"")</f>
        <v/>
      </c>
      <c r="L5843" s="17" t="str">
        <f>IFERROR(__xludf.DUMMYFUNCTION("""COMPUTED_VALUE"""),"")</f>
        <v/>
      </c>
      <c r="M5843" s="17" t="str">
        <f>IFERROR(__xludf.DUMMYFUNCTION("""COMPUTED_VALUE"""),"")</f>
        <v/>
      </c>
      <c r="N5843" s="17" t="str">
        <f>IFERROR(__xludf.DUMMYFUNCTION("""COMPUTED_VALUE"""),"")</f>
        <v/>
      </c>
      <c r="O5843" s="17" t="str">
        <f>IFERROR(__xludf.DUMMYFUNCTION("""COMPUTED_VALUE"""),"")</f>
        <v/>
      </c>
      <c r="P5843" s="17" t="str">
        <f>IFERROR(__xludf.DUMMYFUNCTION("""COMPUTED_VALUE"""),"")</f>
        <v/>
      </c>
      <c r="Q5843" s="17" t="str">
        <f>IFERROR(__xludf.DUMMYFUNCTION("""COMPUTED_VALUE"""),"")</f>
        <v/>
      </c>
      <c r="R5843" s="17" t="str">
        <f>IFERROR(__xludf.DUMMYFUNCTION("""COMPUTED_VALUE"""),"")</f>
        <v/>
      </c>
    </row>
    <row r="5844">
      <c r="A5844" s="15">
        <f>IFERROR(__xludf.DUMMYFUNCTION("""COMPUTED_VALUE"""),45169.0)</f>
        <v>45169</v>
      </c>
      <c r="B5844" s="16" t="str">
        <f>IFERROR(__xludf.DUMMYFUNCTION("""COMPUTED_VALUE"""),"Gustavo Medina Ibañez")</f>
        <v>Gustavo Medina Ibañez</v>
      </c>
      <c r="C5844" s="15" t="str">
        <f>IFERROR(__xludf.DUMMYFUNCTION("""COMPUTED_VALUE"""),"CARTAGENA")</f>
        <v>CARTAGENA</v>
      </c>
      <c r="D5844" s="15" t="str">
        <f>IFERROR(__xludf.DUMMYFUNCTION("""COMPUTED_VALUE"""),"MEDELLÍN")</f>
        <v>MEDELLÍN</v>
      </c>
      <c r="E5844" s="15" t="str">
        <f>IFERROR(__xludf.DUMMYFUNCTION("""COMPUTED_VALUE"""),"Panarte")</f>
        <v>Panarte</v>
      </c>
      <c r="F5844" s="17" t="str">
        <f>IFERROR(__xludf.DUMMYFUNCTION("""COMPUTED_VALUE"""),"Calle 27b #24 -92, barrio manga  / Local comercial, panadería La Panarte / Manga frente al parqueadero de la DIAN")</f>
        <v>Calle 27b #24 -92, barrio manga  / Local comercial, panadería La Panarte / Manga frente al parqueadero de la DIAN</v>
      </c>
      <c r="G5844" s="15" t="str">
        <f>IFERROR(__xludf.DUMMYFUNCTION("""COMPUTED_VALUE"""),"Catalina Osorio Gil")</f>
        <v>Catalina Osorio Gil</v>
      </c>
      <c r="H5844" s="16">
        <f>IFERROR(__xludf.DUMMYFUNCTION("""COMPUTED_VALUE"""),14525.0)</f>
        <v>14525</v>
      </c>
      <c r="I5844" s="18">
        <f>IFERROR(__xludf.DUMMYFUNCTION("""COMPUTED_VALUE"""),34.0)</f>
        <v>34</v>
      </c>
      <c r="J5844" s="18">
        <f>IFERROR(__xludf.DUMMYFUNCTION("""COMPUTED_VALUE"""),35.0)</f>
        <v>35</v>
      </c>
      <c r="K5844" s="18">
        <f>IFERROR(__xludf.DUMMYFUNCTION("""COMPUTED_VALUE"""),54.0)</f>
        <v>54</v>
      </c>
      <c r="L5844" s="17">
        <f>IFERROR(__xludf.DUMMYFUNCTION("""COMPUTED_VALUE"""),3.145536994E9)</f>
        <v>3145536994</v>
      </c>
      <c r="M5844" s="17" t="str">
        <f>IFERROR(__xludf.DUMMYFUNCTION("""COMPUTED_VALUE"""),"#REF!")</f>
        <v>#REF!</v>
      </c>
      <c r="N5844" s="17"/>
      <c r="O5844" s="17"/>
      <c r="P5844" s="17" t="b">
        <f>IFERROR(__xludf.DUMMYFUNCTION("""COMPUTED_VALUE"""),FALSE)</f>
        <v>0</v>
      </c>
      <c r="Q5844" s="20" t="str">
        <f>IFERROR(__xludf.DUMMYFUNCTION("""COMPUTED_VALUE"""),"")</f>
        <v/>
      </c>
      <c r="R5844" s="22" t="str">
        <f>IFERROR(__xludf.DUMMYFUNCTION("""COMPUTED_VALUE"""),"")</f>
        <v/>
      </c>
    </row>
    <row r="5845">
      <c r="A5845" s="15">
        <f>IFERROR(__xludf.DUMMYFUNCTION("""COMPUTED_VALUE"""),45169.0)</f>
        <v>45169</v>
      </c>
      <c r="B5845" s="16" t="str">
        <f>IFERROR(__xludf.DUMMYFUNCTION("""COMPUTED_VALUE"""),"Gustavo Medina Ibañez")</f>
        <v>Gustavo Medina Ibañez</v>
      </c>
      <c r="C5845" s="15" t="str">
        <f>IFERROR(__xludf.DUMMYFUNCTION("""COMPUTED_VALUE"""),"MANIZALES")</f>
        <v>MANIZALES</v>
      </c>
      <c r="D5845" s="15" t="str">
        <f>IFERROR(__xludf.DUMMYFUNCTION("""COMPUTED_VALUE"""),"BUCARAMANGA")</f>
        <v>BUCARAMANGA</v>
      </c>
      <c r="E5845" s="15" t="str">
        <f>IFERROR(__xludf.DUMMYFUNCTION("""COMPUTED_VALUE"""),"Yo Como Solito")</f>
        <v>Yo Como Solito</v>
      </c>
      <c r="F5845" s="17" t="str">
        <f>IFERROR(__xludf.DUMMYFUNCTION("""COMPUTED_VALUE"""),"Carrera 23 #75a -140 conjunto torres de Milan torre A apartamento 402 barrio Milan  / Carrera 23 #75a -140 conjunto torres de Milan torre A apartamento 402 barrio Milan  / Carrera 23 #75a -140 conjunto torres de Milan torre A apartamento 402 barrio Milan")</f>
        <v>Carrera 23 #75a -140 conjunto torres de Milan torre A apartamento 402 barrio Milan  / Carrera 23 #75a -140 conjunto torres de Milan torre A apartamento 402 barrio Milan  / Carrera 23 #75a -140 conjunto torres de Milan torre A apartamento 402 barrio Milan</v>
      </c>
      <c r="G5845" s="15" t="str">
        <f>IFERROR(__xludf.DUMMYFUNCTION("""COMPUTED_VALUE"""),"JULIANA HINCAPIE GIRALDO")</f>
        <v>JULIANA HINCAPIE GIRALDO</v>
      </c>
      <c r="H5845" s="16">
        <f>IFERROR(__xludf.DUMMYFUNCTION("""COMPUTED_VALUE"""),14511.0)</f>
        <v>14511</v>
      </c>
      <c r="I5845" s="18">
        <f>IFERROR(__xludf.DUMMYFUNCTION("""COMPUTED_VALUE"""),26.0)</f>
        <v>26</v>
      </c>
      <c r="J5845" s="18">
        <f>IFERROR(__xludf.DUMMYFUNCTION("""COMPUTED_VALUE"""),40.0)</f>
        <v>40</v>
      </c>
      <c r="K5845" s="18">
        <f>IFERROR(__xludf.DUMMYFUNCTION("""COMPUTED_VALUE"""),47.0)</f>
        <v>47</v>
      </c>
      <c r="L5845" s="17">
        <f>IFERROR(__xludf.DUMMYFUNCTION("""COMPUTED_VALUE"""),3.104373701E9)</f>
        <v>3104373701</v>
      </c>
      <c r="M5845" s="17" t="str">
        <f>IFERROR(__xludf.DUMMYFUNCTION("""COMPUTED_VALUE"""),"#REF!")</f>
        <v>#REF!</v>
      </c>
      <c r="N5845" s="17"/>
      <c r="O5845" s="17"/>
      <c r="P5845" s="17" t="b">
        <f>IFERROR(__xludf.DUMMYFUNCTION("""COMPUTED_VALUE"""),FALSE)</f>
        <v>0</v>
      </c>
      <c r="Q5845" s="20" t="str">
        <f>IFERROR(__xludf.DUMMYFUNCTION("""COMPUTED_VALUE"""),"")</f>
        <v/>
      </c>
      <c r="R5845" s="22" t="str">
        <f>IFERROR(__xludf.DUMMYFUNCTION("""COMPUTED_VALUE"""),"")</f>
        <v/>
      </c>
    </row>
    <row r="5846">
      <c r="A5846" s="15">
        <f>IFERROR(__xludf.DUMMYFUNCTION("""COMPUTED_VALUE"""),45169.0)</f>
        <v>45169</v>
      </c>
      <c r="B5846" s="16" t="str">
        <f>IFERROR(__xludf.DUMMYFUNCTION("""COMPUTED_VALUE"""),"Gustavo Medina Ibañez")</f>
        <v>Gustavo Medina Ibañez</v>
      </c>
      <c r="C5846" s="15" t="str">
        <f>IFERROR(__xludf.DUMMYFUNCTION("""COMPUTED_VALUE"""),"YOPAL")</f>
        <v>YOPAL</v>
      </c>
      <c r="D5846" s="15" t="str">
        <f>IFERROR(__xludf.DUMMYFUNCTION("""COMPUTED_VALUE"""),"BOGOTÁ")</f>
        <v>BOGOTÁ</v>
      </c>
      <c r="E5846" s="15" t="str">
        <f>IFERROR(__xludf.DUMMYFUNCTION("""COMPUTED_VALUE"""),"Evamazzita")</f>
        <v>Evamazzita</v>
      </c>
      <c r="F5846" s="17" t="str">
        <f>IFERROR(__xludf.DUMMYFUNCTION("""COMPUTED_VALUE"""),"conjunto caminos de sirivana torre B apto 501  / conjunto caminos de sirivana torre B apto 501  / conjunto caminos de sirivana torre B apto 501")</f>
        <v>conjunto caminos de sirivana torre B apto 501  / conjunto caminos de sirivana torre B apto 501  / conjunto caminos de sirivana torre B apto 501</v>
      </c>
      <c r="G5846" s="15" t="str">
        <f>IFERROR(__xludf.DUMMYFUNCTION("""COMPUTED_VALUE"""),"LAURA NIÑO")</f>
        <v>LAURA NIÑO</v>
      </c>
      <c r="H5846" s="16">
        <f>IFERROR(__xludf.DUMMYFUNCTION("""COMPUTED_VALUE"""),14572.0)</f>
        <v>14572</v>
      </c>
      <c r="I5846" s="18">
        <f>IFERROR(__xludf.DUMMYFUNCTION("""COMPUTED_VALUE"""),1.0)</f>
        <v>1</v>
      </c>
      <c r="J5846" s="18">
        <f>IFERROR(__xludf.DUMMYFUNCTION("""COMPUTED_VALUE"""),1.0)</f>
        <v>1</v>
      </c>
      <c r="K5846" s="18">
        <f>IFERROR(__xludf.DUMMYFUNCTION("""COMPUTED_VALUE"""),1.0)</f>
        <v>1</v>
      </c>
      <c r="L5846" s="17">
        <f>IFERROR(__xludf.DUMMYFUNCTION("""COMPUTED_VALUE"""),3.213237349E9)</f>
        <v>3213237349</v>
      </c>
      <c r="M5846" s="17" t="str">
        <f>IFERROR(__xludf.DUMMYFUNCTION("""COMPUTED_VALUE"""),"#REF!")</f>
        <v>#REF!</v>
      </c>
      <c r="N5846" s="17"/>
      <c r="O5846" s="17"/>
      <c r="P5846" s="17" t="b">
        <f>IFERROR(__xludf.DUMMYFUNCTION("""COMPUTED_VALUE"""),FALSE)</f>
        <v>0</v>
      </c>
      <c r="Q5846" s="20" t="str">
        <f>IFERROR(__xludf.DUMMYFUNCTION("""COMPUTED_VALUE"""),"")</f>
        <v/>
      </c>
      <c r="R5846" s="22" t="str">
        <f>IFERROR(__xludf.DUMMYFUNCTION("""COMPUTED_VALUE"""),"")</f>
        <v/>
      </c>
    </row>
    <row r="5847">
      <c r="A5847" s="15">
        <f>IFERROR(__xludf.DUMMYFUNCTION("""COMPUTED_VALUE"""),45169.0)</f>
        <v>45169</v>
      </c>
      <c r="B5847" s="16" t="str">
        <f>IFERROR(__xludf.DUMMYFUNCTION("""COMPUTED_VALUE"""),"Gustavo Medina Ibañez")</f>
        <v>Gustavo Medina Ibañez</v>
      </c>
      <c r="C5847" s="15" t="str">
        <f>IFERROR(__xludf.DUMMYFUNCTION("""COMPUTED_VALUE"""),"YOPAL")</f>
        <v>YOPAL</v>
      </c>
      <c r="D5847" s="15" t="str">
        <f>IFERROR(__xludf.DUMMYFUNCTION("""COMPUTED_VALUE"""),"BOGOTÁ")</f>
        <v>BOGOTÁ</v>
      </c>
      <c r="E5847" s="15" t="str">
        <f>IFERROR(__xludf.DUMMYFUNCTION("""COMPUTED_VALUE"""),"Evamazzita")</f>
        <v>Evamazzita</v>
      </c>
      <c r="F5847" s="17" t="str">
        <f>IFERROR(__xludf.DUMMYFUNCTION("""COMPUTED_VALUE"""),"CRA 20 No. 15 - 31 /  LOCAL COCHINITOS DEL LLANO BARRIO BELLO HORIZONTE /  LOCAL COCHINITOS DEL LLANO BARRIO BELLO HORIZONTE")</f>
        <v>CRA 20 No. 15 - 31 /  LOCAL COCHINITOS DEL LLANO BARRIO BELLO HORIZONTE /  LOCAL COCHINITOS DEL LLANO BARRIO BELLO HORIZONTE</v>
      </c>
      <c r="G5847" s="15" t="str">
        <f>IFERROR(__xludf.DUMMYFUNCTION("""COMPUTED_VALUE"""),"ANA YORNELLY MATEUS CUBIDES")</f>
        <v>ANA YORNELLY MATEUS CUBIDES</v>
      </c>
      <c r="H5847" s="16">
        <f>IFERROR(__xludf.DUMMYFUNCTION("""COMPUTED_VALUE"""),14571.0)</f>
        <v>14571</v>
      </c>
      <c r="I5847" s="18">
        <f>IFERROR(__xludf.DUMMYFUNCTION("""COMPUTED_VALUE"""),1.0)</f>
        <v>1</v>
      </c>
      <c r="J5847" s="18">
        <f>IFERROR(__xludf.DUMMYFUNCTION("""COMPUTED_VALUE"""),1.0)</f>
        <v>1</v>
      </c>
      <c r="K5847" s="18">
        <f>IFERROR(__xludf.DUMMYFUNCTION("""COMPUTED_VALUE"""),1.0)</f>
        <v>1</v>
      </c>
      <c r="L5847" s="17">
        <f>IFERROR(__xludf.DUMMYFUNCTION("""COMPUTED_VALUE"""),3.138698155E9)</f>
        <v>3138698155</v>
      </c>
      <c r="M5847" s="17" t="str">
        <f>IFERROR(__xludf.DUMMYFUNCTION("""COMPUTED_VALUE"""),"#REF!")</f>
        <v>#REF!</v>
      </c>
      <c r="N5847" s="17"/>
      <c r="O5847" s="17"/>
      <c r="P5847" s="17" t="b">
        <f>IFERROR(__xludf.DUMMYFUNCTION("""COMPUTED_VALUE"""),FALSE)</f>
        <v>0</v>
      </c>
      <c r="Q5847" s="20" t="str">
        <f>IFERROR(__xludf.DUMMYFUNCTION("""COMPUTED_VALUE"""),"")</f>
        <v/>
      </c>
      <c r="R5847" s="22" t="str">
        <f>IFERROR(__xludf.DUMMYFUNCTION("""COMPUTED_VALUE"""),"")</f>
        <v/>
      </c>
    </row>
    <row r="5848">
      <c r="A5848" s="17" t="str">
        <f>IFERROR(__xludf.DUMMYFUNCTION("""COMPUTED_VALUE"""),"")</f>
        <v/>
      </c>
      <c r="B5848" s="17" t="str">
        <f>IFERROR(__xludf.DUMMYFUNCTION("""COMPUTED_VALUE"""),"")</f>
        <v/>
      </c>
      <c r="C5848" s="17" t="str">
        <f>IFERROR(__xludf.DUMMYFUNCTION("""COMPUTED_VALUE"""),"")</f>
        <v/>
      </c>
      <c r="D5848" s="17" t="str">
        <f>IFERROR(__xludf.DUMMYFUNCTION("""COMPUTED_VALUE"""),"")</f>
        <v/>
      </c>
      <c r="E5848" s="17" t="str">
        <f>IFERROR(__xludf.DUMMYFUNCTION("""COMPUTED_VALUE"""),"")</f>
        <v/>
      </c>
      <c r="F5848" s="17" t="str">
        <f>IFERROR(__xludf.DUMMYFUNCTION("""COMPUTED_VALUE"""),"")</f>
        <v/>
      </c>
      <c r="G5848" s="17" t="str">
        <f>IFERROR(__xludf.DUMMYFUNCTION("""COMPUTED_VALUE"""),"")</f>
        <v/>
      </c>
      <c r="H5848" s="17" t="str">
        <f>IFERROR(__xludf.DUMMYFUNCTION("""COMPUTED_VALUE"""),"")</f>
        <v/>
      </c>
      <c r="I5848" s="17" t="str">
        <f>IFERROR(__xludf.DUMMYFUNCTION("""COMPUTED_VALUE"""),"")</f>
        <v/>
      </c>
      <c r="J5848" s="17" t="str">
        <f>IFERROR(__xludf.DUMMYFUNCTION("""COMPUTED_VALUE"""),"")</f>
        <v/>
      </c>
      <c r="K5848" s="17" t="str">
        <f>IFERROR(__xludf.DUMMYFUNCTION("""COMPUTED_VALUE"""),"")</f>
        <v/>
      </c>
      <c r="L5848" s="17" t="str">
        <f>IFERROR(__xludf.DUMMYFUNCTION("""COMPUTED_VALUE"""),"")</f>
        <v/>
      </c>
      <c r="M5848" s="17" t="str">
        <f>IFERROR(__xludf.DUMMYFUNCTION("""COMPUTED_VALUE"""),"")</f>
        <v/>
      </c>
      <c r="N5848" s="17" t="str">
        <f>IFERROR(__xludf.DUMMYFUNCTION("""COMPUTED_VALUE"""),"")</f>
        <v/>
      </c>
      <c r="O5848" s="17" t="str">
        <f>IFERROR(__xludf.DUMMYFUNCTION("""COMPUTED_VALUE"""),"")</f>
        <v/>
      </c>
      <c r="P5848" s="17" t="str">
        <f>IFERROR(__xludf.DUMMYFUNCTION("""COMPUTED_VALUE"""),"")</f>
        <v/>
      </c>
      <c r="Q5848" s="17" t="str">
        <f>IFERROR(__xludf.DUMMYFUNCTION("""COMPUTED_VALUE"""),"")</f>
        <v/>
      </c>
      <c r="R5848" s="17" t="str">
        <f>IFERROR(__xludf.DUMMYFUNCTION("""COMPUTED_VALUE"""),"")</f>
        <v/>
      </c>
    </row>
    <row r="5849">
      <c r="A5849" s="15">
        <f>IFERROR(__xludf.DUMMYFUNCTION("""COMPUTED_VALUE"""),45169.0)</f>
        <v>45169</v>
      </c>
      <c r="B5849" s="16" t="str">
        <f>IFERROR(__xludf.DUMMYFUNCTION("""COMPUTED_VALUE"""),"Ivan David Pirela Pirela")</f>
        <v>Ivan David Pirela Pirela</v>
      </c>
      <c r="C5849" s="15" t="str">
        <f>IFERROR(__xludf.DUMMYFUNCTION("""COMPUTED_VALUE"""),"ARMENIA")</f>
        <v>ARMENIA</v>
      </c>
      <c r="D5849" s="15" t="str">
        <f>IFERROR(__xludf.DUMMYFUNCTION("""COMPUTED_VALUE"""),"MEDELLÍN")</f>
        <v>MEDELLÍN</v>
      </c>
      <c r="E5849" s="15" t="str">
        <f>IFERROR(__xludf.DUMMYFUNCTION("""COMPUTED_VALUE"""),"Helados swip")</f>
        <v>Helados swip</v>
      </c>
      <c r="F5849" s="17" t="str">
        <f>IFERROR(__xludf.DUMMYFUNCTION("""COMPUTED_VALUE"""),"CARRERA 15 # 22 NORTE 77  / ED.OASIS DE LAURELES LOCAL 13 / ED.OASIS DE LAURELES")</f>
        <v>CARRERA 15 # 22 NORTE 77  / ED.OASIS DE LAURELES LOCAL 13 / ED.OASIS DE LAURELES</v>
      </c>
      <c r="G5849" s="15" t="str">
        <f>IFERROR(__xludf.DUMMYFUNCTION("""COMPUTED_VALUE"""),"TIENDA FITNESS ARMENIA")</f>
        <v>TIENDA FITNESS ARMENIA</v>
      </c>
      <c r="H5849" s="16">
        <f>IFERROR(__xludf.DUMMYFUNCTION("""COMPUTED_VALUE"""),14563.0)</f>
        <v>14563</v>
      </c>
      <c r="I5849" s="18">
        <f>IFERROR(__xludf.DUMMYFUNCTION("""COMPUTED_VALUE"""),29.0)</f>
        <v>29</v>
      </c>
      <c r="J5849" s="18">
        <f>IFERROR(__xludf.DUMMYFUNCTION("""COMPUTED_VALUE"""),55.0)</f>
        <v>55</v>
      </c>
      <c r="K5849" s="18">
        <f>IFERROR(__xludf.DUMMYFUNCTION("""COMPUTED_VALUE"""),45.0)</f>
        <v>45</v>
      </c>
      <c r="L5849" s="17">
        <f>IFERROR(__xludf.DUMMYFUNCTION("""COMPUTED_VALUE"""),3.217007417E9)</f>
        <v>3217007417</v>
      </c>
      <c r="M5849" s="17" t="str">
        <f>IFERROR(__xludf.DUMMYFUNCTION("""COMPUTED_VALUE"""),"#REF!")</f>
        <v>#REF!</v>
      </c>
      <c r="N5849" s="17"/>
      <c r="O5849" s="17"/>
      <c r="P5849" s="17" t="b">
        <f>IFERROR(__xludf.DUMMYFUNCTION("""COMPUTED_VALUE"""),FALSE)</f>
        <v>0</v>
      </c>
      <c r="Q5849" s="20" t="str">
        <f>IFERROR(__xludf.DUMMYFUNCTION("""COMPUTED_VALUE"""),"")</f>
        <v/>
      </c>
      <c r="R5849" s="22" t="str">
        <f>IFERROR(__xludf.DUMMYFUNCTION("""COMPUTED_VALUE"""),"")</f>
        <v/>
      </c>
    </row>
    <row r="5850">
      <c r="A5850" s="15">
        <f>IFERROR(__xludf.DUMMYFUNCTION("""COMPUTED_VALUE"""),45169.0)</f>
        <v>45169</v>
      </c>
      <c r="B5850" s="16" t="str">
        <f>IFERROR(__xludf.DUMMYFUNCTION("""COMPUTED_VALUE"""),"Ivan David Pirela Pirela")</f>
        <v>Ivan David Pirela Pirela</v>
      </c>
      <c r="C5850" s="15" t="str">
        <f>IFERROR(__xludf.DUMMYFUNCTION("""COMPUTED_VALUE"""),"BUCARAMANGA")</f>
        <v>BUCARAMANGA</v>
      </c>
      <c r="D5850" s="15" t="str">
        <f>IFERROR(__xludf.DUMMYFUNCTION("""COMPUTED_VALUE"""),"BOGOTÁ")</f>
        <v>BOGOTÁ</v>
      </c>
      <c r="E5850" s="15" t="str">
        <f>IFERROR(__xludf.DUMMYFUNCTION("""COMPUTED_VALUE"""),"Evamazzita")</f>
        <v>Evamazzita</v>
      </c>
      <c r="F5850" s="17" t="str">
        <f>IFERROR(__xludf.DUMMYFUNCTION("""COMPUTED_VALUE"""),"calle 14 nro 62b-28   / Morrorico / Morrorico")</f>
        <v>calle 14 nro 62b-28   / Morrorico / Morrorico</v>
      </c>
      <c r="G5850" s="15" t="str">
        <f>IFERROR(__xludf.DUMMYFUNCTION("""COMPUTED_VALUE"""),"CLAUDIA PATRICIA VEGA DELGADO")</f>
        <v>CLAUDIA PATRICIA VEGA DELGADO</v>
      </c>
      <c r="H5850" s="16">
        <f>IFERROR(__xludf.DUMMYFUNCTION("""COMPUTED_VALUE"""),14582.0)</f>
        <v>14582</v>
      </c>
      <c r="I5850" s="18">
        <f>IFERROR(__xludf.DUMMYFUNCTION("""COMPUTED_VALUE"""),1.0)</f>
        <v>1</v>
      </c>
      <c r="J5850" s="18">
        <f>IFERROR(__xludf.DUMMYFUNCTION("""COMPUTED_VALUE"""),1.0)</f>
        <v>1</v>
      </c>
      <c r="K5850" s="18">
        <f>IFERROR(__xludf.DUMMYFUNCTION("""COMPUTED_VALUE"""),1.0)</f>
        <v>1</v>
      </c>
      <c r="L5850" s="17">
        <f>IFERROR(__xludf.DUMMYFUNCTION("""COMPUTED_VALUE"""),3.188769629E9)</f>
        <v>3188769629</v>
      </c>
      <c r="M5850" s="17" t="str">
        <f>IFERROR(__xludf.DUMMYFUNCTION("""COMPUTED_VALUE"""),"#REF!")</f>
        <v>#REF!</v>
      </c>
      <c r="N5850" s="17"/>
      <c r="O5850" s="17"/>
      <c r="P5850" s="17" t="b">
        <f>IFERROR(__xludf.DUMMYFUNCTION("""COMPUTED_VALUE"""),FALSE)</f>
        <v>0</v>
      </c>
      <c r="Q5850" s="20" t="str">
        <f>IFERROR(__xludf.DUMMYFUNCTION("""COMPUTED_VALUE"""),"")</f>
        <v/>
      </c>
      <c r="R5850" s="21" t="str">
        <f>IFERROR(__xludf.DUMMYFUNCTION("""COMPUTED_VALUE"""),"https://drive.google.com/file/d/180ZWproIWQUc2ePmDolVT1L1thwxErk3/view?usp=drivesdk")</f>
        <v>https://drive.google.com/file/d/180ZWproIWQUc2ePmDolVT1L1thwxErk3/view?usp=drivesdk</v>
      </c>
    </row>
    <row r="5851">
      <c r="A5851" s="15">
        <f>IFERROR(__xludf.DUMMYFUNCTION("""COMPUTED_VALUE"""),45169.0)</f>
        <v>45169</v>
      </c>
      <c r="B5851" s="16" t="str">
        <f>IFERROR(__xludf.DUMMYFUNCTION("""COMPUTED_VALUE"""),"Ivan David Pirela Pirela")</f>
        <v>Ivan David Pirela Pirela</v>
      </c>
      <c r="C5851" s="15" t="str">
        <f>IFERROR(__xludf.DUMMYFUNCTION("""COMPUTED_VALUE"""),"BUCARAMANGA")</f>
        <v>BUCARAMANGA</v>
      </c>
      <c r="D5851" s="15" t="str">
        <f>IFERROR(__xludf.DUMMYFUNCTION("""COMPUTED_VALUE"""),"BOGOTÁ")</f>
        <v>BOGOTÁ</v>
      </c>
      <c r="E5851" s="15" t="str">
        <f>IFERROR(__xludf.DUMMYFUNCTION("""COMPUTED_VALUE"""),"Evamazzita")</f>
        <v>Evamazzita</v>
      </c>
      <c r="F5851" s="17" t="str">
        <f>IFERROR(__xludf.DUMMYFUNCTION("""COMPUTED_VALUE"""),"Calle 14#35-125  / apto 403. Edificio Quinta Alejandra / /  Barrio los pinos bucaramanga")</f>
        <v>Calle 14#35-125  / apto 403. Edificio Quinta Alejandra / /  Barrio los pinos bucaramanga</v>
      </c>
      <c r="G5851" s="15" t="str">
        <f>IFERROR(__xludf.DUMMYFUNCTION("""COMPUTED_VALUE"""),"LAURA SERRANO SEPULVEDA")</f>
        <v>LAURA SERRANO SEPULVEDA</v>
      </c>
      <c r="H5851" s="16">
        <f>IFERROR(__xludf.DUMMYFUNCTION("""COMPUTED_VALUE"""),14586.0)</f>
        <v>14586</v>
      </c>
      <c r="I5851" s="18">
        <f>IFERROR(__xludf.DUMMYFUNCTION("""COMPUTED_VALUE"""),1.0)</f>
        <v>1</v>
      </c>
      <c r="J5851" s="18">
        <f>IFERROR(__xludf.DUMMYFUNCTION("""COMPUTED_VALUE"""),1.0)</f>
        <v>1</v>
      </c>
      <c r="K5851" s="18">
        <f>IFERROR(__xludf.DUMMYFUNCTION("""COMPUTED_VALUE"""),1.0)</f>
        <v>1</v>
      </c>
      <c r="L5851" s="17">
        <f>IFERROR(__xludf.DUMMYFUNCTION("""COMPUTED_VALUE"""),3.1887692E9)</f>
        <v>3188769200</v>
      </c>
      <c r="M5851" s="17" t="str">
        <f>IFERROR(__xludf.DUMMYFUNCTION("""COMPUTED_VALUE"""),"#REF!")</f>
        <v>#REF!</v>
      </c>
      <c r="N5851" s="17"/>
      <c r="O5851" s="17"/>
      <c r="P5851" s="17" t="b">
        <f>IFERROR(__xludf.DUMMYFUNCTION("""COMPUTED_VALUE"""),FALSE)</f>
        <v>0</v>
      </c>
      <c r="Q5851" s="20" t="str">
        <f>IFERROR(__xludf.DUMMYFUNCTION("""COMPUTED_VALUE"""),"")</f>
        <v/>
      </c>
      <c r="R5851" s="21" t="str">
        <f>IFERROR(__xludf.DUMMYFUNCTION("""COMPUTED_VALUE"""),"https://drive.google.com/file/d/1b5wHDij2mDGKg8SEAGB7vlld0v5ObGGX/view?usp=drivesdk")</f>
        <v>https://drive.google.com/file/d/1b5wHDij2mDGKg8SEAGB7vlld0v5ObGGX/view?usp=drivesdk</v>
      </c>
    </row>
    <row r="5852">
      <c r="A5852" s="15">
        <f>IFERROR(__xludf.DUMMYFUNCTION("""COMPUTED_VALUE"""),45169.0)</f>
        <v>45169</v>
      </c>
      <c r="B5852" s="16" t="str">
        <f>IFERROR(__xludf.DUMMYFUNCTION("""COMPUTED_VALUE"""),"Ivan David Pirela Pirela")</f>
        <v>Ivan David Pirela Pirela</v>
      </c>
      <c r="C5852" s="15" t="str">
        <f>IFERROR(__xludf.DUMMYFUNCTION("""COMPUTED_VALUE"""),"BUCARAMANGA")</f>
        <v>BUCARAMANGA</v>
      </c>
      <c r="D5852" s="15" t="str">
        <f>IFERROR(__xludf.DUMMYFUNCTION("""COMPUTED_VALUE"""),"BOGOTÁ")</f>
        <v>BOGOTÁ</v>
      </c>
      <c r="E5852" s="15" t="str">
        <f>IFERROR(__xludf.DUMMYFUNCTION("""COMPUTED_VALUE"""),"Evamazzita")</f>
        <v>Evamazzita</v>
      </c>
      <c r="F5852" s="17" t="str">
        <f>IFERROR(__xludf.DUMMYFUNCTION("""COMPUTED_VALUE"""),"calle 17 No 25-10  / apto 501, edf morada de San Francisco / , barrio San Francisco")</f>
        <v>calle 17 No 25-10  / apto 501, edf morada de San Francisco / , barrio San Francisco</v>
      </c>
      <c r="G5852" s="15" t="str">
        <f>IFERROR(__xludf.DUMMYFUNCTION("""COMPUTED_VALUE"""),"ELIZABETH RAMIREZ MILLAN")</f>
        <v>ELIZABETH RAMIREZ MILLAN</v>
      </c>
      <c r="H5852" s="16">
        <f>IFERROR(__xludf.DUMMYFUNCTION("""COMPUTED_VALUE"""),14585.0)</f>
        <v>14585</v>
      </c>
      <c r="I5852" s="18">
        <f>IFERROR(__xludf.DUMMYFUNCTION("""COMPUTED_VALUE"""),1.0)</f>
        <v>1</v>
      </c>
      <c r="J5852" s="18">
        <f>IFERROR(__xludf.DUMMYFUNCTION("""COMPUTED_VALUE"""),1.0)</f>
        <v>1</v>
      </c>
      <c r="K5852" s="18">
        <f>IFERROR(__xludf.DUMMYFUNCTION("""COMPUTED_VALUE"""),1.0)</f>
        <v>1</v>
      </c>
      <c r="L5852" s="17">
        <f>IFERROR(__xludf.DUMMYFUNCTION("""COMPUTED_VALUE"""),3.18390395E9)</f>
        <v>3183903950</v>
      </c>
      <c r="M5852" s="17" t="str">
        <f>IFERROR(__xludf.DUMMYFUNCTION("""COMPUTED_VALUE"""),"#REF!")</f>
        <v>#REF!</v>
      </c>
      <c r="N5852" s="17"/>
      <c r="O5852" s="17"/>
      <c r="P5852" s="17" t="b">
        <f>IFERROR(__xludf.DUMMYFUNCTION("""COMPUTED_VALUE"""),FALSE)</f>
        <v>0</v>
      </c>
      <c r="Q5852" s="20" t="str">
        <f>IFERROR(__xludf.DUMMYFUNCTION("""COMPUTED_VALUE"""),"")</f>
        <v/>
      </c>
      <c r="R5852" s="21" t="str">
        <f>IFERROR(__xludf.DUMMYFUNCTION("""COMPUTED_VALUE"""),"https://drive.google.com/file/d/1PXeWho8I4ZcXktuK6jEw-IRpUMdF5s4B/view?usp=drivesdk")</f>
        <v>https://drive.google.com/file/d/1PXeWho8I4ZcXktuK6jEw-IRpUMdF5s4B/view?usp=drivesdk</v>
      </c>
    </row>
    <row r="5853">
      <c r="A5853" s="15">
        <f>IFERROR(__xludf.DUMMYFUNCTION("""COMPUTED_VALUE"""),45169.0)</f>
        <v>45169</v>
      </c>
      <c r="B5853" s="16" t="str">
        <f>IFERROR(__xludf.DUMMYFUNCTION("""COMPUTED_VALUE"""),"Ivan David Pirela Pirela")</f>
        <v>Ivan David Pirela Pirela</v>
      </c>
      <c r="C5853" s="15" t="str">
        <f>IFERROR(__xludf.DUMMYFUNCTION("""COMPUTED_VALUE"""),"BUCARAMANGA")</f>
        <v>BUCARAMANGA</v>
      </c>
      <c r="D5853" s="15" t="str">
        <f>IFERROR(__xludf.DUMMYFUNCTION("""COMPUTED_VALUE"""),"BOGOTÁ")</f>
        <v>BOGOTÁ</v>
      </c>
      <c r="E5853" s="15" t="str">
        <f>IFERROR(__xludf.DUMMYFUNCTION("""COMPUTED_VALUE"""),"Evamazzita")</f>
        <v>Evamazzita</v>
      </c>
      <c r="F5853" s="17" t="str">
        <f>IFERROR(__xludf.DUMMYFUNCTION("""COMPUTED_VALUE"""),"CALLE 98 No. 16 - 77  / APTO 414  / TORRES DE VILLA ALICIA")</f>
        <v>CALLE 98 No. 16 - 77  / APTO 414  / TORRES DE VILLA ALICIA</v>
      </c>
      <c r="G5853" s="15" t="str">
        <f>IFERROR(__xludf.DUMMYFUNCTION("""COMPUTED_VALUE"""),"YAMILE GARCIA")</f>
        <v>YAMILE GARCIA</v>
      </c>
      <c r="H5853" s="16">
        <f>IFERROR(__xludf.DUMMYFUNCTION("""COMPUTED_VALUE"""),14589.0)</f>
        <v>14589</v>
      </c>
      <c r="I5853" s="18">
        <f>IFERROR(__xludf.DUMMYFUNCTION("""COMPUTED_VALUE"""),1.0)</f>
        <v>1</v>
      </c>
      <c r="J5853" s="18">
        <f>IFERROR(__xludf.DUMMYFUNCTION("""COMPUTED_VALUE"""),1.0)</f>
        <v>1</v>
      </c>
      <c r="K5853" s="18">
        <f>IFERROR(__xludf.DUMMYFUNCTION("""COMPUTED_VALUE"""),1.0)</f>
        <v>1</v>
      </c>
      <c r="L5853" s="17">
        <f>IFERROR(__xludf.DUMMYFUNCTION("""COMPUTED_VALUE"""),3.156113139E9)</f>
        <v>3156113139</v>
      </c>
      <c r="M5853" s="17" t="str">
        <f>IFERROR(__xludf.DUMMYFUNCTION("""COMPUTED_VALUE"""),"#REF!")</f>
        <v>#REF!</v>
      </c>
      <c r="N5853" s="17"/>
      <c r="O5853" s="17"/>
      <c r="P5853" s="17" t="b">
        <f>IFERROR(__xludf.DUMMYFUNCTION("""COMPUTED_VALUE"""),FALSE)</f>
        <v>0</v>
      </c>
      <c r="Q5853" s="20" t="str">
        <f>IFERROR(__xludf.DUMMYFUNCTION("""COMPUTED_VALUE"""),"")</f>
        <v/>
      </c>
      <c r="R5853" s="21" t="str">
        <f>IFERROR(__xludf.DUMMYFUNCTION("""COMPUTED_VALUE"""),"https://drive.google.com/file/d/1gWdDjfmahYjjAgAGoiS5xqyIXDmxEeS_/view?usp=drivesdk")</f>
        <v>https://drive.google.com/file/d/1gWdDjfmahYjjAgAGoiS5xqyIXDmxEeS_/view?usp=drivesdk</v>
      </c>
    </row>
    <row r="5854">
      <c r="A5854" s="15">
        <f>IFERROR(__xludf.DUMMYFUNCTION("""COMPUTED_VALUE"""),45169.0)</f>
        <v>45169</v>
      </c>
      <c r="B5854" s="16" t="str">
        <f>IFERROR(__xludf.DUMMYFUNCTION("""COMPUTED_VALUE"""),"Ivan David Pirela Pirela")</f>
        <v>Ivan David Pirela Pirela</v>
      </c>
      <c r="C5854" s="15" t="str">
        <f>IFERROR(__xludf.DUMMYFUNCTION("""COMPUTED_VALUE"""),"BUCARAMANGA")</f>
        <v>BUCARAMANGA</v>
      </c>
      <c r="D5854" s="15" t="str">
        <f>IFERROR(__xludf.DUMMYFUNCTION("""COMPUTED_VALUE"""),"BOGOTÁ")</f>
        <v>BOGOTÁ</v>
      </c>
      <c r="E5854" s="15" t="str">
        <f>IFERROR(__xludf.DUMMYFUNCTION("""COMPUTED_VALUE"""),"Evamazzita")</f>
        <v>Evamazzita</v>
      </c>
      <c r="F5854" s="17" t="str">
        <f>IFERROR(__xludf.DUMMYFUNCTION("""COMPUTED_VALUE"""),"Carrera 16 numero 108-21  / Conjunto Campo Real, Manzana 3 Casa 22 / Barrio Toledo Plata,")</f>
        <v>Carrera 16 numero 108-21  / Conjunto Campo Real, Manzana 3 Casa 22 / Barrio Toledo Plata,</v>
      </c>
      <c r="G5854" s="15" t="str">
        <f>IFERROR(__xludf.DUMMYFUNCTION("""COMPUTED_VALUE"""),"MARY BETSAIDA PINTO VELANDIA")</f>
        <v>MARY BETSAIDA PINTO VELANDIA</v>
      </c>
      <c r="H5854" s="16">
        <f>IFERROR(__xludf.DUMMYFUNCTION("""COMPUTED_VALUE"""),14588.0)</f>
        <v>14588</v>
      </c>
      <c r="I5854" s="18">
        <f>IFERROR(__xludf.DUMMYFUNCTION("""COMPUTED_VALUE"""),1.0)</f>
        <v>1</v>
      </c>
      <c r="J5854" s="18">
        <f>IFERROR(__xludf.DUMMYFUNCTION("""COMPUTED_VALUE"""),1.0)</f>
        <v>1</v>
      </c>
      <c r="K5854" s="18">
        <f>IFERROR(__xludf.DUMMYFUNCTION("""COMPUTED_VALUE"""),1.0)</f>
        <v>1</v>
      </c>
      <c r="L5854" s="17">
        <f>IFERROR(__xludf.DUMMYFUNCTION("""COMPUTED_VALUE"""),3.176440733E9)</f>
        <v>3176440733</v>
      </c>
      <c r="M5854" s="17" t="str">
        <f>IFERROR(__xludf.DUMMYFUNCTION("""COMPUTED_VALUE"""),"#REF!")</f>
        <v>#REF!</v>
      </c>
      <c r="N5854" s="17"/>
      <c r="O5854" s="17"/>
      <c r="P5854" s="17" t="b">
        <f>IFERROR(__xludf.DUMMYFUNCTION("""COMPUTED_VALUE"""),TRUE)</f>
        <v>1</v>
      </c>
      <c r="Q5854" s="20">
        <f>IFERROR(__xludf.DUMMYFUNCTION("""COMPUTED_VALUE"""),45169.749340925926)</f>
        <v>45169.74934</v>
      </c>
      <c r="R5854" s="21" t="str">
        <f>IFERROR(__xludf.DUMMYFUNCTION("""COMPUTED_VALUE"""),"https://drive.google.com/file/d/15mqZxFSg9JkRMg7nqpskROi1O5Fv6uG2/view?usp=drivesdk")</f>
        <v>https://drive.google.com/file/d/15mqZxFSg9JkRMg7nqpskROi1O5Fv6uG2/view?usp=drivesdk</v>
      </c>
    </row>
    <row r="5855">
      <c r="A5855" s="15">
        <f>IFERROR(__xludf.DUMMYFUNCTION("""COMPUTED_VALUE"""),45169.0)</f>
        <v>45169</v>
      </c>
      <c r="B5855" s="16" t="str">
        <f>IFERROR(__xludf.DUMMYFUNCTION("""COMPUTED_VALUE"""),"Ivan David Pirela Pirela")</f>
        <v>Ivan David Pirela Pirela</v>
      </c>
      <c r="C5855" s="15" t="str">
        <f>IFERROR(__xludf.DUMMYFUNCTION("""COMPUTED_VALUE"""),"BUCARAMANGA")</f>
        <v>BUCARAMANGA</v>
      </c>
      <c r="D5855" s="15" t="str">
        <f>IFERROR(__xludf.DUMMYFUNCTION("""COMPUTED_VALUE"""),"BOGOTÁ")</f>
        <v>BOGOTÁ</v>
      </c>
      <c r="E5855" s="15" t="str">
        <f>IFERROR(__xludf.DUMMYFUNCTION("""COMPUTED_VALUE"""),"Evamazzita")</f>
        <v>Evamazzita</v>
      </c>
      <c r="F5855" s="17" t="str">
        <f>IFERROR(__xludf.DUMMYFUNCTION("""COMPUTED_VALUE"""),"Cll 22#21-37 /  apartamento 706 San Francisco /  apartamento 706 San Francisco")</f>
        <v>Cll 22#21-37 /  apartamento 706 San Francisco /  apartamento 706 San Francisco</v>
      </c>
      <c r="G5855" s="15" t="str">
        <f>IFERROR(__xludf.DUMMYFUNCTION("""COMPUTED_VALUE"""),"DANIELA VILLABONA")</f>
        <v>DANIELA VILLABONA</v>
      </c>
      <c r="H5855" s="16">
        <f>IFERROR(__xludf.DUMMYFUNCTION("""COMPUTED_VALUE"""),14583.0)</f>
        <v>14583</v>
      </c>
      <c r="I5855" s="18">
        <f>IFERROR(__xludf.DUMMYFUNCTION("""COMPUTED_VALUE"""),1.0)</f>
        <v>1</v>
      </c>
      <c r="J5855" s="18">
        <f>IFERROR(__xludf.DUMMYFUNCTION("""COMPUTED_VALUE"""),1.0)</f>
        <v>1</v>
      </c>
      <c r="K5855" s="18">
        <f>IFERROR(__xludf.DUMMYFUNCTION("""COMPUTED_VALUE"""),1.0)</f>
        <v>1</v>
      </c>
      <c r="L5855" s="17">
        <f>IFERROR(__xludf.DUMMYFUNCTION("""COMPUTED_VALUE"""),3.182358025E9)</f>
        <v>3182358025</v>
      </c>
      <c r="M5855" s="17" t="str">
        <f>IFERROR(__xludf.DUMMYFUNCTION("""COMPUTED_VALUE"""),"#REF!")</f>
        <v>#REF!</v>
      </c>
      <c r="N5855" s="17"/>
      <c r="O5855" s="17"/>
      <c r="P5855" s="17" t="b">
        <f>IFERROR(__xludf.DUMMYFUNCTION("""COMPUTED_VALUE"""),FALSE)</f>
        <v>0</v>
      </c>
      <c r="Q5855" s="20" t="str">
        <f>IFERROR(__xludf.DUMMYFUNCTION("""COMPUTED_VALUE"""),"")</f>
        <v/>
      </c>
      <c r="R5855" s="21" t="str">
        <f>IFERROR(__xludf.DUMMYFUNCTION("""COMPUTED_VALUE"""),"https://drive.google.com/file/d/12DXT-ThPyzBfjJHmkLBzjlp3CW1axcQz/view?usp=drivesdk")</f>
        <v>https://drive.google.com/file/d/12DXT-ThPyzBfjJHmkLBzjlp3CW1axcQz/view?usp=drivesdk</v>
      </c>
    </row>
    <row r="5856">
      <c r="A5856" s="15">
        <f>IFERROR(__xludf.DUMMYFUNCTION("""COMPUTED_VALUE"""),45169.0)</f>
        <v>45169</v>
      </c>
      <c r="B5856" s="16" t="str">
        <f>IFERROR(__xludf.DUMMYFUNCTION("""COMPUTED_VALUE"""),"Ivan David Pirela Pirela")</f>
        <v>Ivan David Pirela Pirela</v>
      </c>
      <c r="C5856" s="15" t="str">
        <f>IFERROR(__xludf.DUMMYFUNCTION("""COMPUTED_VALUE"""),"BUCARAMANGA")</f>
        <v>BUCARAMANGA</v>
      </c>
      <c r="D5856" s="15" t="str">
        <f>IFERROR(__xludf.DUMMYFUNCTION("""COMPUTED_VALUE"""),"BOGOTÁ")</f>
        <v>BOGOTÁ</v>
      </c>
      <c r="E5856" s="15" t="str">
        <f>IFERROR(__xludf.DUMMYFUNCTION("""COMPUTED_VALUE"""),"Evamazzita")</f>
        <v>Evamazzita</v>
      </c>
      <c r="F5856" s="17" t="str">
        <f>IFERROR(__xludf.DUMMYFUNCTION("""COMPUTED_VALUE"""),"Cr 2A # 55A - 15  / apto 301  Centauros  /  Centauros")</f>
        <v>Cr 2A # 55A - 15  / apto 301  Centauros  /  Centauros</v>
      </c>
      <c r="G5856" s="15" t="str">
        <f>IFERROR(__xludf.DUMMYFUNCTION("""COMPUTED_VALUE"""),"ELIANA BELLO")</f>
        <v>ELIANA BELLO</v>
      </c>
      <c r="H5856" s="16">
        <f>IFERROR(__xludf.DUMMYFUNCTION("""COMPUTED_VALUE"""),14584.0)</f>
        <v>14584</v>
      </c>
      <c r="I5856" s="18">
        <f>IFERROR(__xludf.DUMMYFUNCTION("""COMPUTED_VALUE"""),1.0)</f>
        <v>1</v>
      </c>
      <c r="J5856" s="18">
        <f>IFERROR(__xludf.DUMMYFUNCTION("""COMPUTED_VALUE"""),1.0)</f>
        <v>1</v>
      </c>
      <c r="K5856" s="18">
        <f>IFERROR(__xludf.DUMMYFUNCTION("""COMPUTED_VALUE"""),1.0)</f>
        <v>1</v>
      </c>
      <c r="L5856" s="17">
        <f>IFERROR(__xludf.DUMMYFUNCTION("""COMPUTED_VALUE"""),3.228462326E9)</f>
        <v>3228462326</v>
      </c>
      <c r="M5856" s="17" t="str">
        <f>IFERROR(__xludf.DUMMYFUNCTION("""COMPUTED_VALUE"""),"#REF!")</f>
        <v>#REF!</v>
      </c>
      <c r="N5856" s="17"/>
      <c r="O5856" s="17"/>
      <c r="P5856" s="17" t="b">
        <f>IFERROR(__xludf.DUMMYFUNCTION("""COMPUTED_VALUE"""),FALSE)</f>
        <v>0</v>
      </c>
      <c r="Q5856" s="20" t="str">
        <f>IFERROR(__xludf.DUMMYFUNCTION("""COMPUTED_VALUE"""),"")</f>
        <v/>
      </c>
      <c r="R5856" s="21" t="str">
        <f>IFERROR(__xludf.DUMMYFUNCTION("""COMPUTED_VALUE"""),"https://drive.google.com/file/d/13zexq89dU7yMVSAVDqIlndkqEy0kmfaA/view?usp=drivesdk")</f>
        <v>https://drive.google.com/file/d/13zexq89dU7yMVSAVDqIlndkqEy0kmfaA/view?usp=drivesdk</v>
      </c>
    </row>
    <row r="5857">
      <c r="A5857" s="15">
        <f>IFERROR(__xludf.DUMMYFUNCTION("""COMPUTED_VALUE"""),45169.0)</f>
        <v>45169</v>
      </c>
      <c r="B5857" s="16" t="str">
        <f>IFERROR(__xludf.DUMMYFUNCTION("""COMPUTED_VALUE"""),"Ivan David Pirela Pirela")</f>
        <v>Ivan David Pirela Pirela</v>
      </c>
      <c r="C5857" s="15" t="str">
        <f>IFERROR(__xludf.DUMMYFUNCTION("""COMPUTED_VALUE"""),"BUCARAMANGA")</f>
        <v>BUCARAMANGA</v>
      </c>
      <c r="D5857" s="15" t="str">
        <f>IFERROR(__xludf.DUMMYFUNCTION("""COMPUTED_VALUE"""),"BOGOTÁ")</f>
        <v>BOGOTÁ</v>
      </c>
      <c r="E5857" s="15" t="str">
        <f>IFERROR(__xludf.DUMMYFUNCTION("""COMPUTED_VALUE"""),"Evamazzita")</f>
        <v>Evamazzita</v>
      </c>
      <c r="F5857" s="17" t="str">
        <f>IFERROR(__xludf.DUMMYFUNCTION("""COMPUTED_VALUE"""),"CRA 20 No. 110 - 69  / CONJUNTO SAN LORENZO 2 APTO 1505 /  PROVENZA")</f>
        <v>CRA 20 No. 110 - 69  / CONJUNTO SAN LORENZO 2 APTO 1505 /  PROVENZA</v>
      </c>
      <c r="G5857" s="15" t="str">
        <f>IFERROR(__xludf.DUMMYFUNCTION("""COMPUTED_VALUE"""),"LAURA VANESSA PADILLA")</f>
        <v>LAURA VANESSA PADILLA</v>
      </c>
      <c r="H5857" s="16">
        <f>IFERROR(__xludf.DUMMYFUNCTION("""COMPUTED_VALUE"""),14587.0)</f>
        <v>14587</v>
      </c>
      <c r="I5857" s="18">
        <f>IFERROR(__xludf.DUMMYFUNCTION("""COMPUTED_VALUE"""),1.0)</f>
        <v>1</v>
      </c>
      <c r="J5857" s="18">
        <f>IFERROR(__xludf.DUMMYFUNCTION("""COMPUTED_VALUE"""),1.0)</f>
        <v>1</v>
      </c>
      <c r="K5857" s="18">
        <f>IFERROR(__xludf.DUMMYFUNCTION("""COMPUTED_VALUE"""),1.0)</f>
        <v>1</v>
      </c>
      <c r="L5857" s="17">
        <f>IFERROR(__xludf.DUMMYFUNCTION("""COMPUTED_VALUE"""),3.045236772E9)</f>
        <v>3045236772</v>
      </c>
      <c r="M5857" s="17" t="str">
        <f>IFERROR(__xludf.DUMMYFUNCTION("""COMPUTED_VALUE"""),"#REF!")</f>
        <v>#REF!</v>
      </c>
      <c r="N5857" s="17"/>
      <c r="O5857" s="17"/>
      <c r="P5857" s="17" t="b">
        <f>IFERROR(__xludf.DUMMYFUNCTION("""COMPUTED_VALUE"""),FALSE)</f>
        <v>0</v>
      </c>
      <c r="Q5857" s="20" t="str">
        <f>IFERROR(__xludf.DUMMYFUNCTION("""COMPUTED_VALUE"""),"")</f>
        <v/>
      </c>
      <c r="R5857" s="21" t="str">
        <f>IFERROR(__xludf.DUMMYFUNCTION("""COMPUTED_VALUE"""),"https://drive.google.com/file/d/1fVeu2yAAAAOGYND61i9TE8JjkdPj1n1w/view?usp=drivesdk")</f>
        <v>https://drive.google.com/file/d/1fVeu2yAAAAOGYND61i9TE8JjkdPj1n1w/view?usp=drivesdk</v>
      </c>
    </row>
    <row r="5858">
      <c r="A5858" s="15">
        <f>IFERROR(__xludf.DUMMYFUNCTION("""COMPUTED_VALUE"""),45169.0)</f>
        <v>45169</v>
      </c>
      <c r="B5858" s="16" t="str">
        <f>IFERROR(__xludf.DUMMYFUNCTION("""COMPUTED_VALUE"""),"Ivan David Pirela Pirela")</f>
        <v>Ivan David Pirela Pirela</v>
      </c>
      <c r="C5858" s="15" t="str">
        <f>IFERROR(__xludf.DUMMYFUNCTION("""COMPUTED_VALUE"""),"BUCARAMANGA")</f>
        <v>BUCARAMANGA</v>
      </c>
      <c r="D5858" s="15" t="str">
        <f>IFERROR(__xludf.DUMMYFUNCTION("""COMPUTED_VALUE"""),"BOGOTÁ")</f>
        <v>BOGOTÁ</v>
      </c>
      <c r="E5858" s="15" t="str">
        <f>IFERROR(__xludf.DUMMYFUNCTION("""COMPUTED_VALUE"""),"Evamazzita")</f>
        <v>Evamazzita</v>
      </c>
      <c r="F5858" s="17" t="str">
        <f>IFERROR(__xludf.DUMMYFUNCTION("""COMPUTED_VALUE"""),"CRA 38 No. 42-72 /  PORTAL DEL LLANO 1103 CABECERA /  PORTAL DEL LLANO 1103 CABECERA")</f>
        <v>CRA 38 No. 42-72 /  PORTAL DEL LLANO 1103 CABECERA /  PORTAL DEL LLANO 1103 CABECERA</v>
      </c>
      <c r="G5858" s="15" t="str">
        <f>IFERROR(__xludf.DUMMYFUNCTION("""COMPUTED_VALUE"""),"SILVIA JULIANA JAIMES MERCHAN")</f>
        <v>SILVIA JULIANA JAIMES MERCHAN</v>
      </c>
      <c r="H5858" s="16">
        <f>IFERROR(__xludf.DUMMYFUNCTION("""COMPUTED_VALUE"""),14590.0)</f>
        <v>14590</v>
      </c>
      <c r="I5858" s="18">
        <f>IFERROR(__xludf.DUMMYFUNCTION("""COMPUTED_VALUE"""),1.0)</f>
        <v>1</v>
      </c>
      <c r="J5858" s="18">
        <f>IFERROR(__xludf.DUMMYFUNCTION("""COMPUTED_VALUE"""),1.0)</f>
        <v>1</v>
      </c>
      <c r="K5858" s="18">
        <f>IFERROR(__xludf.DUMMYFUNCTION("""COMPUTED_VALUE"""),1.0)</f>
        <v>1</v>
      </c>
      <c r="L5858" s="17">
        <f>IFERROR(__xludf.DUMMYFUNCTION("""COMPUTED_VALUE"""),3.156711949E9)</f>
        <v>3156711949</v>
      </c>
      <c r="M5858" s="17" t="str">
        <f>IFERROR(__xludf.DUMMYFUNCTION("""COMPUTED_VALUE"""),"#REF!")</f>
        <v>#REF!</v>
      </c>
      <c r="N5858" s="17"/>
      <c r="O5858" s="17"/>
      <c r="P5858" s="17" t="b">
        <f>IFERROR(__xludf.DUMMYFUNCTION("""COMPUTED_VALUE"""),TRUE)</f>
        <v>1</v>
      </c>
      <c r="Q5858" s="20">
        <f>IFERROR(__xludf.DUMMYFUNCTION("""COMPUTED_VALUE"""),45169.56447431713)</f>
        <v>45169.56447</v>
      </c>
      <c r="R5858" s="21" t="str">
        <f>IFERROR(__xludf.DUMMYFUNCTION("""COMPUTED_VALUE"""),"https://drive.google.com/file/d/1ClalImkDus734XkjqS7FQVImznIcrRMi/view?usp=drivesdk")</f>
        <v>https://drive.google.com/file/d/1ClalImkDus734XkjqS7FQVImznIcrRMi/view?usp=drivesdk</v>
      </c>
    </row>
    <row r="5859">
      <c r="A5859" s="15">
        <f>IFERROR(__xludf.DUMMYFUNCTION("""COMPUTED_VALUE"""),45169.0)</f>
        <v>45169</v>
      </c>
      <c r="B5859" s="16" t="str">
        <f>IFERROR(__xludf.DUMMYFUNCTION("""COMPUTED_VALUE"""),"Ivan David Pirela Pirela")</f>
        <v>Ivan David Pirela Pirela</v>
      </c>
      <c r="C5859" s="15" t="str">
        <f>IFERROR(__xludf.DUMMYFUNCTION("""COMPUTED_VALUE"""),"BUCARAMANGA")</f>
        <v>BUCARAMANGA</v>
      </c>
      <c r="D5859" s="15" t="str">
        <f>IFERROR(__xludf.DUMMYFUNCTION("""COMPUTED_VALUE"""),"BOGOTÁ")</f>
        <v>BOGOTÁ</v>
      </c>
      <c r="E5859" s="15" t="str">
        <f>IFERROR(__xludf.DUMMYFUNCTION("""COMPUTED_VALUE"""),"Evamazzita")</f>
        <v>Evamazzita</v>
      </c>
      <c r="F5859" s="17" t="str">
        <f>IFERROR(__xludf.DUMMYFUNCTION("""COMPUTED_VALUE"""),"Cra 8 #61-132  / san remo 1 casa 131 Real de minas / san remo 1 casa 131 Real de minas")</f>
        <v>Cra 8 #61-132  / san remo 1 casa 131 Real de minas / san remo 1 casa 131 Real de minas</v>
      </c>
      <c r="G5859" s="15" t="str">
        <f>IFERROR(__xludf.DUMMYFUNCTION("""COMPUTED_VALUE"""),"ALEJANDRA PALOMINO")</f>
        <v>ALEJANDRA PALOMINO</v>
      </c>
      <c r="H5859" s="16">
        <f>IFERROR(__xludf.DUMMYFUNCTION("""COMPUTED_VALUE"""),14581.0)</f>
        <v>14581</v>
      </c>
      <c r="I5859" s="18">
        <f>IFERROR(__xludf.DUMMYFUNCTION("""COMPUTED_VALUE"""),1.0)</f>
        <v>1</v>
      </c>
      <c r="J5859" s="18">
        <f>IFERROR(__xludf.DUMMYFUNCTION("""COMPUTED_VALUE"""),1.0)</f>
        <v>1</v>
      </c>
      <c r="K5859" s="18">
        <f>IFERROR(__xludf.DUMMYFUNCTION("""COMPUTED_VALUE"""),1.0)</f>
        <v>1</v>
      </c>
      <c r="L5859" s="17">
        <f>IFERROR(__xludf.DUMMYFUNCTION("""COMPUTED_VALUE"""),3.106071688E9)</f>
        <v>3106071688</v>
      </c>
      <c r="M5859" s="17" t="str">
        <f>IFERROR(__xludf.DUMMYFUNCTION("""COMPUTED_VALUE"""),"#REF!")</f>
        <v>#REF!</v>
      </c>
      <c r="N5859" s="17"/>
      <c r="O5859" s="17"/>
      <c r="P5859" s="17" t="b">
        <f>IFERROR(__xludf.DUMMYFUNCTION("""COMPUTED_VALUE"""),FALSE)</f>
        <v>0</v>
      </c>
      <c r="Q5859" s="20" t="str">
        <f>IFERROR(__xludf.DUMMYFUNCTION("""COMPUTED_VALUE"""),"")</f>
        <v/>
      </c>
      <c r="R5859" s="21" t="str">
        <f>IFERROR(__xludf.DUMMYFUNCTION("""COMPUTED_VALUE"""),"https://drive.google.com/file/d/1r66xRglbEpkiwwFcw-3rl7bZmQpFDOv_/view?usp=drivesdk")</f>
        <v>https://drive.google.com/file/d/1r66xRglbEpkiwwFcw-3rl7bZmQpFDOv_/view?usp=drivesdk</v>
      </c>
    </row>
    <row r="5860">
      <c r="A5860" s="15">
        <f>IFERROR(__xludf.DUMMYFUNCTION("""COMPUTED_VALUE"""),45169.0)</f>
        <v>45169</v>
      </c>
      <c r="B5860" s="16" t="str">
        <f>IFERROR(__xludf.DUMMYFUNCTION("""COMPUTED_VALUE"""),"Ivan David Pirela Pirela")</f>
        <v>Ivan David Pirela Pirela</v>
      </c>
      <c r="C5860" s="15" t="str">
        <f>IFERROR(__xludf.DUMMYFUNCTION("""COMPUTED_VALUE"""),"FLORIDABLANCA")</f>
        <v>FLORIDABLANCA</v>
      </c>
      <c r="D5860" s="15" t="str">
        <f>IFERROR(__xludf.DUMMYFUNCTION("""COMPUTED_VALUE"""),"BOGOTÁ")</f>
        <v>BOGOTÁ</v>
      </c>
      <c r="E5860" s="15" t="str">
        <f>IFERROR(__xludf.DUMMYFUNCTION("""COMPUTED_VALUE"""),"Evamazzita")</f>
        <v>Evamazzita</v>
      </c>
      <c r="F5860" s="17" t="str">
        <f>IFERROR(__xludf.DUMMYFUNCTION("""COMPUTED_VALUE"""),"Anillo vial No. 21-462  / Caminos de Providenza torre 1 apto 603  Floridablanca  / Caminos de Providenza torre 1 apto 603  Floridablanca """)</f>
        <v>Anillo vial No. 21-462  / Caminos de Providenza torre 1 apto 603  Floridablanca  / Caminos de Providenza torre 1 apto 603  Floridablanca "</v>
      </c>
      <c r="G5860" s="15" t="str">
        <f>IFERROR(__xludf.DUMMYFUNCTION("""COMPUTED_VALUE"""),"GLORIA CARVAJAL")</f>
        <v>GLORIA CARVAJAL</v>
      </c>
      <c r="H5860" s="16">
        <f>IFERROR(__xludf.DUMMYFUNCTION("""COMPUTED_VALUE"""),14591.0)</f>
        <v>14591</v>
      </c>
      <c r="I5860" s="18">
        <f>IFERROR(__xludf.DUMMYFUNCTION("""COMPUTED_VALUE"""),1.0)</f>
        <v>1</v>
      </c>
      <c r="J5860" s="18">
        <f>IFERROR(__xludf.DUMMYFUNCTION("""COMPUTED_VALUE"""),1.0)</f>
        <v>1</v>
      </c>
      <c r="K5860" s="18">
        <f>IFERROR(__xludf.DUMMYFUNCTION("""COMPUTED_VALUE"""),1.0)</f>
        <v>1</v>
      </c>
      <c r="L5860" s="17">
        <f>IFERROR(__xludf.DUMMYFUNCTION("""COMPUTED_VALUE"""),3.112929039E9)</f>
        <v>3112929039</v>
      </c>
      <c r="M5860" s="17" t="str">
        <f>IFERROR(__xludf.DUMMYFUNCTION("""COMPUTED_VALUE"""),"#REF!")</f>
        <v>#REF!</v>
      </c>
      <c r="N5860" s="17"/>
      <c r="O5860" s="17"/>
      <c r="P5860" s="17" t="b">
        <f>IFERROR(__xludf.DUMMYFUNCTION("""COMPUTED_VALUE"""),TRUE)</f>
        <v>1</v>
      </c>
      <c r="Q5860" s="20">
        <f>IFERROR(__xludf.DUMMYFUNCTION("""COMPUTED_VALUE"""),45169.63627030092)</f>
        <v>45169.63627</v>
      </c>
      <c r="R5860" s="21" t="str">
        <f>IFERROR(__xludf.DUMMYFUNCTION("""COMPUTED_VALUE"""),"https://drive.google.com/file/d/1w3N9C853EklUwDvisevRIBQDFNR_3rHz/view?usp=drivesdk")</f>
        <v>https://drive.google.com/file/d/1w3N9C853EklUwDvisevRIBQDFNR_3rHz/view?usp=drivesdk</v>
      </c>
    </row>
    <row r="5861">
      <c r="A5861" s="15">
        <f>IFERROR(__xludf.DUMMYFUNCTION("""COMPUTED_VALUE"""),45169.0)</f>
        <v>45169</v>
      </c>
      <c r="B5861" s="16" t="str">
        <f>IFERROR(__xludf.DUMMYFUNCTION("""COMPUTED_VALUE"""),"Ivan David Pirela Pirela")</f>
        <v>Ivan David Pirela Pirela</v>
      </c>
      <c r="C5861" s="15" t="str">
        <f>IFERROR(__xludf.DUMMYFUNCTION("""COMPUTED_VALUE"""),"FLORIDABLANCA")</f>
        <v>FLORIDABLANCA</v>
      </c>
      <c r="D5861" s="15" t="str">
        <f>IFERROR(__xludf.DUMMYFUNCTION("""COMPUTED_VALUE"""),"BOGOTÁ")</f>
        <v>BOGOTÁ</v>
      </c>
      <c r="E5861" s="15" t="str">
        <f>IFERROR(__xludf.DUMMYFUNCTION("""COMPUTED_VALUE"""),"Evamazzita")</f>
        <v>Evamazzita</v>
      </c>
      <c r="F5861" s="17" t="str">
        <f>IFERROR(__xludf.DUMMYFUNCTION("""COMPUTED_VALUE"""),"Carrera 27 #105-250 /  Torre 7b apto 506"" / ""Conjunto trinitarios")</f>
        <v>Carrera 27 #105-250 /  Torre 7b apto 506" / "Conjunto trinitarios</v>
      </c>
      <c r="G5861" s="15" t="str">
        <f>IFERROR(__xludf.DUMMYFUNCTION("""COMPUTED_VALUE"""),"GONZALO SALINAS")</f>
        <v>GONZALO SALINAS</v>
      </c>
      <c r="H5861" s="16">
        <f>IFERROR(__xludf.DUMMYFUNCTION("""COMPUTED_VALUE"""),14592.0)</f>
        <v>14592</v>
      </c>
      <c r="I5861" s="18">
        <f>IFERROR(__xludf.DUMMYFUNCTION("""COMPUTED_VALUE"""),1.0)</f>
        <v>1</v>
      </c>
      <c r="J5861" s="18">
        <f>IFERROR(__xludf.DUMMYFUNCTION("""COMPUTED_VALUE"""),1.0)</f>
        <v>1</v>
      </c>
      <c r="K5861" s="18">
        <f>IFERROR(__xludf.DUMMYFUNCTION("""COMPUTED_VALUE"""),1.0)</f>
        <v>1</v>
      </c>
      <c r="L5861" s="17">
        <f>IFERROR(__xludf.DUMMYFUNCTION("""COMPUTED_VALUE"""),3.212808836E9)</f>
        <v>3212808836</v>
      </c>
      <c r="M5861" s="17" t="str">
        <f>IFERROR(__xludf.DUMMYFUNCTION("""COMPUTED_VALUE"""),"#REF!")</f>
        <v>#REF!</v>
      </c>
      <c r="N5861" s="17"/>
      <c r="O5861" s="17"/>
      <c r="P5861" s="17" t="b">
        <f>IFERROR(__xludf.DUMMYFUNCTION("""COMPUTED_VALUE"""),TRUE)</f>
        <v>1</v>
      </c>
      <c r="Q5861" s="20">
        <f>IFERROR(__xludf.DUMMYFUNCTION("""COMPUTED_VALUE"""),45169.63627030092)</f>
        <v>45169.63627</v>
      </c>
      <c r="R5861" s="21" t="str">
        <f>IFERROR(__xludf.DUMMYFUNCTION("""COMPUTED_VALUE"""),"https://drive.google.com/file/d/1IyLk60eAUV3oSnyyj5zwZLE_AeDTGCdg/view?usp=drivesdk")</f>
        <v>https://drive.google.com/file/d/1IyLk60eAUV3oSnyyj5zwZLE_AeDTGCdg/view?usp=drivesdk</v>
      </c>
    </row>
    <row r="5862">
      <c r="A5862" s="15">
        <f>IFERROR(__xludf.DUMMYFUNCTION("""COMPUTED_VALUE"""),45169.0)</f>
        <v>45169</v>
      </c>
      <c r="B5862" s="16" t="str">
        <f>IFERROR(__xludf.DUMMYFUNCTION("""COMPUTED_VALUE"""),"Ivan David Pirela Pirela")</f>
        <v>Ivan David Pirela Pirela</v>
      </c>
      <c r="C5862" s="15" t="str">
        <f>IFERROR(__xludf.DUMMYFUNCTION("""COMPUTED_VALUE"""),"FLORIDABLANCA")</f>
        <v>FLORIDABLANCA</v>
      </c>
      <c r="D5862" s="15" t="str">
        <f>IFERROR(__xludf.DUMMYFUNCTION("""COMPUTED_VALUE"""),"BOGOTÁ")</f>
        <v>BOGOTÁ</v>
      </c>
      <c r="E5862" s="15" t="str">
        <f>IFERROR(__xludf.DUMMYFUNCTION("""COMPUTED_VALUE"""),"Evamazzita")</f>
        <v>Evamazzita</v>
      </c>
      <c r="F5862" s="17" t="str">
        <f>IFERROR(__xludf.DUMMYFUNCTION("""COMPUTED_VALUE"""),"CRA 29 No. 29 - 59  / TORRE 1 APTO 1304 CONDOMINIO EL LAGO /  CONDOMINIO EL LAGO")</f>
        <v>CRA 29 No. 29 - 59  / TORRE 1 APTO 1304 CONDOMINIO EL LAGO /  CONDOMINIO EL LAGO</v>
      </c>
      <c r="G5862" s="15" t="str">
        <f>IFERROR(__xludf.DUMMYFUNCTION("""COMPUTED_VALUE"""),"KAREN DAYANA QUINTERO VILLALOBOS")</f>
        <v>KAREN DAYANA QUINTERO VILLALOBOS</v>
      </c>
      <c r="H5862" s="16">
        <f>IFERROR(__xludf.DUMMYFUNCTION("""COMPUTED_VALUE"""),14594.0)</f>
        <v>14594</v>
      </c>
      <c r="I5862" s="18">
        <f>IFERROR(__xludf.DUMMYFUNCTION("""COMPUTED_VALUE"""),1.0)</f>
        <v>1</v>
      </c>
      <c r="J5862" s="18">
        <f>IFERROR(__xludf.DUMMYFUNCTION("""COMPUTED_VALUE"""),1.0)</f>
        <v>1</v>
      </c>
      <c r="K5862" s="18">
        <f>IFERROR(__xludf.DUMMYFUNCTION("""COMPUTED_VALUE"""),1.0)</f>
        <v>1</v>
      </c>
      <c r="L5862" s="17">
        <f>IFERROR(__xludf.DUMMYFUNCTION("""COMPUTED_VALUE"""),3.176636576E9)</f>
        <v>3176636576</v>
      </c>
      <c r="M5862" s="17" t="str">
        <f>IFERROR(__xludf.DUMMYFUNCTION("""COMPUTED_VALUE"""),"#REF!")</f>
        <v>#REF!</v>
      </c>
      <c r="N5862" s="17"/>
      <c r="O5862" s="17"/>
      <c r="P5862" s="17" t="b">
        <f>IFERROR(__xludf.DUMMYFUNCTION("""COMPUTED_VALUE"""),TRUE)</f>
        <v>1</v>
      </c>
      <c r="Q5862" s="20">
        <f>IFERROR(__xludf.DUMMYFUNCTION("""COMPUTED_VALUE"""),45169.63627030092)</f>
        <v>45169.63627</v>
      </c>
      <c r="R5862" s="21" t="str">
        <f>IFERROR(__xludf.DUMMYFUNCTION("""COMPUTED_VALUE"""),"https://drive.google.com/file/d/1Wiam79_l_-Bs0XQz080DcDbJuw09rh11/view?usp=drivesdk")</f>
        <v>https://drive.google.com/file/d/1Wiam79_l_-Bs0XQz080DcDbJuw09rh11/view?usp=drivesdk</v>
      </c>
    </row>
    <row r="5863">
      <c r="A5863" s="15">
        <f>IFERROR(__xludf.DUMMYFUNCTION("""COMPUTED_VALUE"""),45169.0)</f>
        <v>45169</v>
      </c>
      <c r="B5863" s="16" t="str">
        <f>IFERROR(__xludf.DUMMYFUNCTION("""COMPUTED_VALUE"""),"Ivan David Pirela Pirela")</f>
        <v>Ivan David Pirela Pirela</v>
      </c>
      <c r="C5863" s="15" t="str">
        <f>IFERROR(__xludf.DUMMYFUNCTION("""COMPUTED_VALUE"""),"FLORIDABLANCA")</f>
        <v>FLORIDABLANCA</v>
      </c>
      <c r="D5863" s="15" t="str">
        <f>IFERROR(__xludf.DUMMYFUNCTION("""COMPUTED_VALUE"""),"BOGOTÁ")</f>
        <v>BOGOTÁ</v>
      </c>
      <c r="E5863" s="15" t="str">
        <f>IFERROR(__xludf.DUMMYFUNCTION("""COMPUTED_VALUE"""),"Evamazzita")</f>
        <v>Evamazzita</v>
      </c>
      <c r="F5863" s="17" t="str">
        <f>IFERROR(__xludf.DUMMYFUNCTION("""COMPUTED_VALUE"""),"TRANSVERSAL 198 # 200 - 260  / TORRE 2 APTO. 607 / CONJUNTO VERSALLES REAL")</f>
        <v>TRANSVERSAL 198 # 200 - 260  / TORRE 2 APTO. 607 / CONJUNTO VERSALLES REAL</v>
      </c>
      <c r="G5863" s="15" t="str">
        <f>IFERROR(__xludf.DUMMYFUNCTION("""COMPUTED_VALUE"""),"JULIANA IBAÑEZ GAMBOA")</f>
        <v>JULIANA IBAÑEZ GAMBOA</v>
      </c>
      <c r="H5863" s="16">
        <f>IFERROR(__xludf.DUMMYFUNCTION("""COMPUTED_VALUE"""),14593.0)</f>
        <v>14593</v>
      </c>
      <c r="I5863" s="18">
        <f>IFERROR(__xludf.DUMMYFUNCTION("""COMPUTED_VALUE"""),1.0)</f>
        <v>1</v>
      </c>
      <c r="J5863" s="18">
        <f>IFERROR(__xludf.DUMMYFUNCTION("""COMPUTED_VALUE"""),1.0)</f>
        <v>1</v>
      </c>
      <c r="K5863" s="18">
        <f>IFERROR(__xludf.DUMMYFUNCTION("""COMPUTED_VALUE"""),1.0)</f>
        <v>1</v>
      </c>
      <c r="L5863" s="17">
        <f>IFERROR(__xludf.DUMMYFUNCTION("""COMPUTED_VALUE"""),3.00304442E9)</f>
        <v>3003044420</v>
      </c>
      <c r="M5863" s="17" t="str">
        <f>IFERROR(__xludf.DUMMYFUNCTION("""COMPUTED_VALUE"""),"#REF!")</f>
        <v>#REF!</v>
      </c>
      <c r="N5863" s="17"/>
      <c r="O5863" s="17"/>
      <c r="P5863" s="17" t="b">
        <f>IFERROR(__xludf.DUMMYFUNCTION("""COMPUTED_VALUE"""),TRUE)</f>
        <v>1</v>
      </c>
      <c r="Q5863" s="20">
        <f>IFERROR(__xludf.DUMMYFUNCTION("""COMPUTED_VALUE"""),45169.63627030092)</f>
        <v>45169.63627</v>
      </c>
      <c r="R5863" s="21" t="str">
        <f>IFERROR(__xludf.DUMMYFUNCTION("""COMPUTED_VALUE"""),"https://drive.google.com/file/d/1LD4O3EKD3tjiXVXj98uypJKNex-Hoxjl/view?usp=drivesdk")</f>
        <v>https://drive.google.com/file/d/1LD4O3EKD3tjiXVXj98uypJKNex-Hoxjl/view?usp=drivesdk</v>
      </c>
    </row>
    <row r="5864">
      <c r="A5864" s="15">
        <f>IFERROR(__xludf.DUMMYFUNCTION("""COMPUTED_VALUE"""),45169.0)</f>
        <v>45169</v>
      </c>
      <c r="B5864" s="16" t="str">
        <f>IFERROR(__xludf.DUMMYFUNCTION("""COMPUTED_VALUE"""),"Ivan David Pirela Pirela")</f>
        <v>Ivan David Pirela Pirela</v>
      </c>
      <c r="C5864" s="15" t="str">
        <f>IFERROR(__xludf.DUMMYFUNCTION("""COMPUTED_VALUE"""),"VILLAVICENCIO")</f>
        <v>VILLAVICENCIO</v>
      </c>
      <c r="D5864" s="15" t="str">
        <f>IFERROR(__xludf.DUMMYFUNCTION("""COMPUTED_VALUE"""),"BOGOTÁ")</f>
        <v>BOGOTÁ</v>
      </c>
      <c r="E5864" s="15" t="str">
        <f>IFERROR(__xludf.DUMMYFUNCTION("""COMPUTED_VALUE"""),"Viiva Fermentados")</f>
        <v>Viiva Fermentados</v>
      </c>
      <c r="F5864" s="17" t="str">
        <f>IFERROR(__xludf.DUMMYFUNCTION("""COMPUTED_VALUE"""),"Calle 15 #44D-28 / local 1 / Edificio Palos de Caña")</f>
        <v>Calle 15 #44D-28 / local 1 / Edificio Palos de Caña</v>
      </c>
      <c r="G5864" s="15" t="str">
        <f>IFERROR(__xludf.DUMMYFUNCTION("""COMPUTED_VALUE"""),"Sana Tentación Sally")</f>
        <v>Sana Tentación Sally</v>
      </c>
      <c r="H5864" s="16">
        <f>IFERROR(__xludf.DUMMYFUNCTION("""COMPUTED_VALUE"""),14424.0)</f>
        <v>14424</v>
      </c>
      <c r="I5864" s="18">
        <f>IFERROR(__xludf.DUMMYFUNCTION("""COMPUTED_VALUE"""),27.0)</f>
        <v>27</v>
      </c>
      <c r="J5864" s="18">
        <f>IFERROR(__xludf.DUMMYFUNCTION("""COMPUTED_VALUE"""),27.0)</f>
        <v>27</v>
      </c>
      <c r="K5864" s="18">
        <f>IFERROR(__xludf.DUMMYFUNCTION("""COMPUTED_VALUE"""),36.0)</f>
        <v>36</v>
      </c>
      <c r="L5864" s="17">
        <f>IFERROR(__xludf.DUMMYFUNCTION("""COMPUTED_VALUE"""),3.008383044E9)</f>
        <v>3008383044</v>
      </c>
      <c r="M5864" s="17" t="str">
        <f>IFERROR(__xludf.DUMMYFUNCTION("""COMPUTED_VALUE"""),"#REF!")</f>
        <v>#REF!</v>
      </c>
      <c r="N5864" s="17"/>
      <c r="O5864" s="17"/>
      <c r="P5864" s="17" t="b">
        <f>IFERROR(__xludf.DUMMYFUNCTION("""COMPUTED_VALUE"""),TRUE)</f>
        <v>1</v>
      </c>
      <c r="Q5864" s="20">
        <f>IFERROR(__xludf.DUMMYFUNCTION("""COMPUTED_VALUE"""),45169.63627030092)</f>
        <v>45169.63627</v>
      </c>
      <c r="R5864" s="21" t="str">
        <f>IFERROR(__xludf.DUMMYFUNCTION("""COMPUTED_VALUE"""),"https://drive.google.com/file/d/1oIzHcNw8UHuP_QUYGQxQQ5v0lfD2h7kE/view?usp=drivesdk")</f>
        <v>https://drive.google.com/file/d/1oIzHcNw8UHuP_QUYGQxQQ5v0lfD2h7kE/view?usp=drivesdk</v>
      </c>
    </row>
    <row r="5865">
      <c r="A5865" s="15">
        <f>IFERROR(__xludf.DUMMYFUNCTION("""COMPUTED_VALUE"""),45169.0)</f>
        <v>45169</v>
      </c>
      <c r="B5865" s="16" t="str">
        <f>IFERROR(__xludf.DUMMYFUNCTION("""COMPUTED_VALUE"""),"Ivan David Pirela Pirela")</f>
        <v>Ivan David Pirela Pirela</v>
      </c>
      <c r="C5865" s="15" t="str">
        <f>IFERROR(__xludf.DUMMYFUNCTION("""COMPUTED_VALUE"""),"VILLAVICENCIO")</f>
        <v>VILLAVICENCIO</v>
      </c>
      <c r="D5865" s="15" t="str">
        <f>IFERROR(__xludf.DUMMYFUNCTION("""COMPUTED_VALUE"""),"MEDELLÍN")</f>
        <v>MEDELLÍN</v>
      </c>
      <c r="E5865" s="15" t="str">
        <f>IFERROR(__xludf.DUMMYFUNCTION("""COMPUTED_VALUE"""),"Baby Chef")</f>
        <v>Baby Chef</v>
      </c>
      <c r="F5865" s="17" t="str">
        <f>IFERROR(__xludf.DUMMYFUNCTION("""COMPUTED_VALUE"""),"Calle 1 número 24-03 Condominio San Sebastián Mult 6 casa 3 Remansos de rusa blanca "" / villavicencio / villavicencio")</f>
        <v>Calle 1 número 24-03 Condominio San Sebastián Mult 6 casa 3 Remansos de rusa blanca " / villavicencio / villavicencio</v>
      </c>
      <c r="G5865" s="15" t="str">
        <f>IFERROR(__xludf.DUMMYFUNCTION("""COMPUTED_VALUE"""),"Andrea Torres")</f>
        <v>Andrea Torres</v>
      </c>
      <c r="H5865" s="16">
        <f>IFERROR(__xludf.DUMMYFUNCTION("""COMPUTED_VALUE"""),14535.0)</f>
        <v>14535</v>
      </c>
      <c r="I5865" s="18">
        <f>IFERROR(__xludf.DUMMYFUNCTION("""COMPUTED_VALUE"""),6.0)</f>
        <v>6</v>
      </c>
      <c r="J5865" s="18">
        <f>IFERROR(__xludf.DUMMYFUNCTION("""COMPUTED_VALUE"""),21.0)</f>
        <v>21</v>
      </c>
      <c r="K5865" s="18">
        <f>IFERROR(__xludf.DUMMYFUNCTION("""COMPUTED_VALUE"""),27.0)</f>
        <v>27</v>
      </c>
      <c r="L5865" s="17">
        <f>IFERROR(__xludf.DUMMYFUNCTION("""COMPUTED_VALUE"""),3.125012245E9)</f>
        <v>3125012245</v>
      </c>
      <c r="M5865" s="17" t="str">
        <f>IFERROR(__xludf.DUMMYFUNCTION("""COMPUTED_VALUE"""),"#REF!")</f>
        <v>#REF!</v>
      </c>
      <c r="N5865" s="17"/>
      <c r="O5865" s="17"/>
      <c r="P5865" s="17" t="b">
        <f>IFERROR(__xludf.DUMMYFUNCTION("""COMPUTED_VALUE"""),FALSE)</f>
        <v>0</v>
      </c>
      <c r="Q5865" s="20" t="str">
        <f>IFERROR(__xludf.DUMMYFUNCTION("""COMPUTED_VALUE"""),"")</f>
        <v/>
      </c>
      <c r="R5865" s="22" t="str">
        <f>IFERROR(__xludf.DUMMYFUNCTION("""COMPUTED_VALUE"""),"")</f>
        <v/>
      </c>
    </row>
    <row r="5866">
      <c r="A5866" s="17" t="str">
        <f>IFERROR(__xludf.DUMMYFUNCTION("""COMPUTED_VALUE"""),"")</f>
        <v/>
      </c>
      <c r="B5866" s="17" t="str">
        <f>IFERROR(__xludf.DUMMYFUNCTION("""COMPUTED_VALUE"""),"")</f>
        <v/>
      </c>
      <c r="C5866" s="17" t="str">
        <f>IFERROR(__xludf.DUMMYFUNCTION("""COMPUTED_VALUE"""),"")</f>
        <v/>
      </c>
      <c r="D5866" s="17" t="str">
        <f>IFERROR(__xludf.DUMMYFUNCTION("""COMPUTED_VALUE"""),"")</f>
        <v/>
      </c>
      <c r="E5866" s="17" t="str">
        <f>IFERROR(__xludf.DUMMYFUNCTION("""COMPUTED_VALUE"""),"")</f>
        <v/>
      </c>
      <c r="F5866" s="17" t="str">
        <f>IFERROR(__xludf.DUMMYFUNCTION("""COMPUTED_VALUE"""),"")</f>
        <v/>
      </c>
      <c r="G5866" s="17" t="str">
        <f>IFERROR(__xludf.DUMMYFUNCTION("""COMPUTED_VALUE"""),"")</f>
        <v/>
      </c>
      <c r="H5866" s="17" t="str">
        <f>IFERROR(__xludf.DUMMYFUNCTION("""COMPUTED_VALUE"""),"")</f>
        <v/>
      </c>
      <c r="I5866" s="17" t="str">
        <f>IFERROR(__xludf.DUMMYFUNCTION("""COMPUTED_VALUE"""),"")</f>
        <v/>
      </c>
      <c r="J5866" s="17" t="str">
        <f>IFERROR(__xludf.DUMMYFUNCTION("""COMPUTED_VALUE"""),"")</f>
        <v/>
      </c>
      <c r="K5866" s="17" t="str">
        <f>IFERROR(__xludf.DUMMYFUNCTION("""COMPUTED_VALUE"""),"")</f>
        <v/>
      </c>
      <c r="L5866" s="17" t="str">
        <f>IFERROR(__xludf.DUMMYFUNCTION("""COMPUTED_VALUE"""),"")</f>
        <v/>
      </c>
      <c r="M5866" s="17" t="str">
        <f>IFERROR(__xludf.DUMMYFUNCTION("""COMPUTED_VALUE"""),"")</f>
        <v/>
      </c>
      <c r="N5866" s="17" t="str">
        <f>IFERROR(__xludf.DUMMYFUNCTION("""COMPUTED_VALUE"""),"")</f>
        <v/>
      </c>
      <c r="O5866" s="17" t="str">
        <f>IFERROR(__xludf.DUMMYFUNCTION("""COMPUTED_VALUE"""),"")</f>
        <v/>
      </c>
      <c r="P5866" s="17" t="str">
        <f>IFERROR(__xludf.DUMMYFUNCTION("""COMPUTED_VALUE"""),"")</f>
        <v/>
      </c>
      <c r="Q5866" s="17" t="str">
        <f>IFERROR(__xludf.DUMMYFUNCTION("""COMPUTED_VALUE"""),"")</f>
        <v/>
      </c>
      <c r="R5866" s="17" t="str">
        <f>IFERROR(__xludf.DUMMYFUNCTION("""COMPUTED_VALUE"""),"")</f>
        <v/>
      </c>
    </row>
    <row r="5867">
      <c r="A5867" s="15">
        <f>IFERROR(__xludf.DUMMYFUNCTION("""COMPUTED_VALUE"""),45169.0)</f>
        <v>45169</v>
      </c>
      <c r="B5867" s="16" t="str">
        <f>IFERROR(__xludf.DUMMYFUNCTION("""COMPUTED_VALUE"""),"Jeison Rubiano")</f>
        <v>Jeison Rubiano</v>
      </c>
      <c r="C5867" s="15" t="str">
        <f>IFERROR(__xludf.DUMMYFUNCTION("""COMPUTED_VALUE"""),"YOPAL")</f>
        <v>YOPAL</v>
      </c>
      <c r="D5867" s="15" t="str">
        <f>IFERROR(__xludf.DUMMYFUNCTION("""COMPUTED_VALUE"""),"BOGOTÁ")</f>
        <v>BOGOTÁ</v>
      </c>
      <c r="E5867" s="15" t="str">
        <f>IFERROR(__xludf.DUMMYFUNCTION("""COMPUTED_VALUE"""),"Evamazzita")</f>
        <v>Evamazzita</v>
      </c>
      <c r="F5867" s="17" t="str">
        <f>IFERROR(__xludf.DUMMYFUNCTION("""COMPUTED_VALUE"""),"CALLE 38 A # 1 C OESTE - 38  / BARRIO OCOBOS / BARRIO OCOBOS""")</f>
        <v>CALLE 38 A # 1 C OESTE - 38  / BARRIO OCOBOS / BARRIO OCOBOS"</v>
      </c>
      <c r="G5867" s="15" t="str">
        <f>IFERROR(__xludf.DUMMYFUNCTION("""COMPUTED_VALUE"""),"LIZETH ALEXANDRA RODRIGUEZ MOSCOSO")</f>
        <v>LIZETH ALEXANDRA RODRIGUEZ MOSCOSO</v>
      </c>
      <c r="H5867" s="16">
        <f>IFERROR(__xludf.DUMMYFUNCTION("""COMPUTED_VALUE"""),14573.0)</f>
        <v>14573</v>
      </c>
      <c r="I5867" s="18">
        <f>IFERROR(__xludf.DUMMYFUNCTION("""COMPUTED_VALUE"""),1.0)</f>
        <v>1</v>
      </c>
      <c r="J5867" s="18">
        <f>IFERROR(__xludf.DUMMYFUNCTION("""COMPUTED_VALUE"""),1.0)</f>
        <v>1</v>
      </c>
      <c r="K5867" s="18">
        <f>IFERROR(__xludf.DUMMYFUNCTION("""COMPUTED_VALUE"""),1.0)</f>
        <v>1</v>
      </c>
      <c r="L5867" s="17">
        <f>IFERROR(__xludf.DUMMYFUNCTION("""COMPUTED_VALUE"""),3.155400551E9)</f>
        <v>3155400551</v>
      </c>
      <c r="M5867" s="17" t="str">
        <f>IFERROR(__xludf.DUMMYFUNCTION("""COMPUTED_VALUE"""),"#REF!")</f>
        <v>#REF!</v>
      </c>
      <c r="N5867" s="17"/>
      <c r="O5867" s="17"/>
      <c r="P5867" s="17" t="b">
        <f>IFERROR(__xludf.DUMMYFUNCTION("""COMPUTED_VALUE"""),FALSE)</f>
        <v>0</v>
      </c>
      <c r="Q5867" s="20" t="str">
        <f>IFERROR(__xludf.DUMMYFUNCTION("""COMPUTED_VALUE"""),"")</f>
        <v/>
      </c>
      <c r="R5867" s="22" t="str">
        <f>IFERROR(__xludf.DUMMYFUNCTION("""COMPUTED_VALUE"""),"")</f>
        <v/>
      </c>
    </row>
    <row r="5868">
      <c r="A5868" s="17" t="str">
        <f>IFERROR(__xludf.DUMMYFUNCTION("""COMPUTED_VALUE"""),"")</f>
        <v/>
      </c>
      <c r="B5868" s="17" t="str">
        <f>IFERROR(__xludf.DUMMYFUNCTION("""COMPUTED_VALUE"""),"")</f>
        <v/>
      </c>
      <c r="C5868" s="17" t="str">
        <f>IFERROR(__xludf.DUMMYFUNCTION("""COMPUTED_VALUE"""),"")</f>
        <v/>
      </c>
      <c r="D5868" s="17" t="str">
        <f>IFERROR(__xludf.DUMMYFUNCTION("""COMPUTED_VALUE"""),"")</f>
        <v/>
      </c>
      <c r="E5868" s="17" t="str">
        <f>IFERROR(__xludf.DUMMYFUNCTION("""COMPUTED_VALUE"""),"")</f>
        <v/>
      </c>
      <c r="F5868" s="17" t="str">
        <f>IFERROR(__xludf.DUMMYFUNCTION("""COMPUTED_VALUE"""),"")</f>
        <v/>
      </c>
      <c r="G5868" s="17" t="str">
        <f>IFERROR(__xludf.DUMMYFUNCTION("""COMPUTED_VALUE"""),"")</f>
        <v/>
      </c>
      <c r="H5868" s="17" t="str">
        <f>IFERROR(__xludf.DUMMYFUNCTION("""COMPUTED_VALUE"""),"")</f>
        <v/>
      </c>
      <c r="I5868" s="17" t="str">
        <f>IFERROR(__xludf.DUMMYFUNCTION("""COMPUTED_VALUE"""),"")</f>
        <v/>
      </c>
      <c r="J5868" s="17" t="str">
        <f>IFERROR(__xludf.DUMMYFUNCTION("""COMPUTED_VALUE"""),"")</f>
        <v/>
      </c>
      <c r="K5868" s="17" t="str">
        <f>IFERROR(__xludf.DUMMYFUNCTION("""COMPUTED_VALUE"""),"")</f>
        <v/>
      </c>
      <c r="L5868" s="17" t="str">
        <f>IFERROR(__xludf.DUMMYFUNCTION("""COMPUTED_VALUE"""),"")</f>
        <v/>
      </c>
      <c r="M5868" s="17" t="str">
        <f>IFERROR(__xludf.DUMMYFUNCTION("""COMPUTED_VALUE"""),"")</f>
        <v/>
      </c>
      <c r="N5868" s="17" t="str">
        <f>IFERROR(__xludf.DUMMYFUNCTION("""COMPUTED_VALUE"""),"")</f>
        <v/>
      </c>
      <c r="O5868" s="17" t="str">
        <f>IFERROR(__xludf.DUMMYFUNCTION("""COMPUTED_VALUE"""),"")</f>
        <v/>
      </c>
      <c r="P5868" s="17" t="str">
        <f>IFERROR(__xludf.DUMMYFUNCTION("""COMPUTED_VALUE"""),"")</f>
        <v/>
      </c>
      <c r="Q5868" s="17" t="str">
        <f>IFERROR(__xludf.DUMMYFUNCTION("""COMPUTED_VALUE"""),"")</f>
        <v/>
      </c>
      <c r="R5868" s="17" t="str">
        <f>IFERROR(__xludf.DUMMYFUNCTION("""COMPUTED_VALUE"""),"")</f>
        <v/>
      </c>
    </row>
    <row r="5869">
      <c r="A5869" s="15">
        <f>IFERROR(__xludf.DUMMYFUNCTION("""COMPUTED_VALUE"""),45169.0)</f>
        <v>45169</v>
      </c>
      <c r="B5869" s="16" t="str">
        <f>IFERROR(__xludf.DUMMYFUNCTION("""COMPUTED_VALUE"""),"Julian Calderon Rodriguez ")</f>
        <v>Julian Calderon Rodriguez </v>
      </c>
      <c r="C5869" s="15" t="str">
        <f>IFERROR(__xludf.DUMMYFUNCTION("""COMPUTED_VALUE"""),"NEIVA")</f>
        <v>NEIVA</v>
      </c>
      <c r="D5869" s="15" t="str">
        <f>IFERROR(__xludf.DUMMYFUNCTION("""COMPUTED_VALUE"""),"BOGOTÁ")</f>
        <v>BOGOTÁ</v>
      </c>
      <c r="E5869" s="15" t="str">
        <f>IFERROR(__xludf.DUMMYFUNCTION("""COMPUTED_VALUE"""),"Ins. Alimento Vital")</f>
        <v>Ins. Alimento Vital</v>
      </c>
      <c r="F5869" s="17" t="str">
        <f>IFERROR(__xludf.DUMMYFUNCTION("""COMPUTED_VALUE"""),"CL 50B 25 75 / CIPRESES / CIPRESES")</f>
        <v>CL 50B 25 75 / CIPRESES / CIPRESES</v>
      </c>
      <c r="G5869" s="15" t="str">
        <f>IFERROR(__xludf.DUMMYFUNCTION("""COMPUTED_VALUE"""),"YANINY MARCELA LLANOS RAMIREZ")</f>
        <v>YANINY MARCELA LLANOS RAMIREZ</v>
      </c>
      <c r="H5869" s="16">
        <f>IFERROR(__xludf.DUMMYFUNCTION("""COMPUTED_VALUE"""),14557.0)</f>
        <v>14557</v>
      </c>
      <c r="I5869" s="18">
        <f>IFERROR(__xludf.DUMMYFUNCTION("""COMPUTED_VALUE"""),1.0)</f>
        <v>1</v>
      </c>
      <c r="J5869" s="18">
        <f>IFERROR(__xludf.DUMMYFUNCTION("""COMPUTED_VALUE"""),1.0)</f>
        <v>1</v>
      </c>
      <c r="K5869" s="18">
        <f>IFERROR(__xludf.DUMMYFUNCTION("""COMPUTED_VALUE"""),1.0)</f>
        <v>1</v>
      </c>
      <c r="L5869" s="17">
        <f>IFERROR(__xludf.DUMMYFUNCTION("""COMPUTED_VALUE"""),3.142676377E9)</f>
        <v>3142676377</v>
      </c>
      <c r="M5869" s="17" t="str">
        <f>IFERROR(__xludf.DUMMYFUNCTION("""COMPUTED_VALUE"""),"#REF!")</f>
        <v>#REF!</v>
      </c>
      <c r="N5869" s="17"/>
      <c r="O5869" s="17"/>
      <c r="P5869" s="17" t="b">
        <f>IFERROR(__xludf.DUMMYFUNCTION("""COMPUTED_VALUE"""),FALSE)</f>
        <v>0</v>
      </c>
      <c r="Q5869" s="20" t="str">
        <f>IFERROR(__xludf.DUMMYFUNCTION("""COMPUTED_VALUE"""),"")</f>
        <v/>
      </c>
      <c r="R5869" s="22" t="str">
        <f>IFERROR(__xludf.DUMMYFUNCTION("""COMPUTED_VALUE"""),"")</f>
        <v/>
      </c>
    </row>
    <row r="5870">
      <c r="A5870" s="15">
        <f>IFERROR(__xludf.DUMMYFUNCTION("""COMPUTED_VALUE"""),45169.0)</f>
        <v>45169</v>
      </c>
      <c r="B5870" s="16" t="str">
        <f>IFERROR(__xludf.DUMMYFUNCTION("""COMPUTED_VALUE"""),"Julian Calderon Rodriguez ")</f>
        <v>Julian Calderon Rodriguez </v>
      </c>
      <c r="C5870" s="15" t="str">
        <f>IFERROR(__xludf.DUMMYFUNCTION("""COMPUTED_VALUE"""),"NEIVA")</f>
        <v>NEIVA</v>
      </c>
      <c r="D5870" s="15" t="str">
        <f>IFERROR(__xludf.DUMMYFUNCTION("""COMPUTED_VALUE"""),"BOGOTÁ")</f>
        <v>BOGOTÁ</v>
      </c>
      <c r="E5870" s="15" t="str">
        <f>IFERROR(__xludf.DUMMYFUNCTION("""COMPUTED_VALUE"""),"Lunchy Kids")</f>
        <v>Lunchy Kids</v>
      </c>
      <c r="F5870" s="17" t="str">
        <f>IFERROR(__xludf.DUMMYFUNCTION("""COMPUTED_VALUE"""),"Cra 8A# 43-44   / Conjunto Nio Torre 1 Apto 1402  / Granjas")</f>
        <v>Cra 8A# 43-44   / Conjunto Nio Torre 1 Apto 1402  / Granjas</v>
      </c>
      <c r="G5870" s="15" t="str">
        <f>IFERROR(__xludf.DUMMYFUNCTION("""COMPUTED_VALUE"""),"Carolina Rueda")</f>
        <v>Carolina Rueda</v>
      </c>
      <c r="H5870" s="16">
        <f>IFERROR(__xludf.DUMMYFUNCTION("""COMPUTED_VALUE"""),14426.0)</f>
        <v>14426</v>
      </c>
      <c r="I5870" s="18">
        <f>IFERROR(__xludf.DUMMYFUNCTION("""COMPUTED_VALUE"""),21.0)</f>
        <v>21</v>
      </c>
      <c r="J5870" s="18">
        <f>IFERROR(__xludf.DUMMYFUNCTION("""COMPUTED_VALUE"""),28.0)</f>
        <v>28</v>
      </c>
      <c r="K5870" s="18">
        <f>IFERROR(__xludf.DUMMYFUNCTION("""COMPUTED_VALUE"""),11.0)</f>
        <v>11</v>
      </c>
      <c r="L5870" s="17">
        <f>IFERROR(__xludf.DUMMYFUNCTION("""COMPUTED_VALUE"""),3.165259958E9)</f>
        <v>3165259958</v>
      </c>
      <c r="M5870" s="17" t="str">
        <f>IFERROR(__xludf.DUMMYFUNCTION("""COMPUTED_VALUE"""),"#REF!")</f>
        <v>#REF!</v>
      </c>
      <c r="N5870" s="17"/>
      <c r="O5870" s="17"/>
      <c r="P5870" s="17" t="b">
        <f>IFERROR(__xludf.DUMMYFUNCTION("""COMPUTED_VALUE"""),FALSE)</f>
        <v>0</v>
      </c>
      <c r="Q5870" s="20" t="str">
        <f>IFERROR(__xludf.DUMMYFUNCTION("""COMPUTED_VALUE"""),"")</f>
        <v/>
      </c>
      <c r="R5870" s="22" t="str">
        <f>IFERROR(__xludf.DUMMYFUNCTION("""COMPUTED_VALUE"""),"")</f>
        <v/>
      </c>
    </row>
    <row r="5871">
      <c r="A5871" s="15">
        <f>IFERROR(__xludf.DUMMYFUNCTION("""COMPUTED_VALUE"""),45169.0)</f>
        <v>45169</v>
      </c>
      <c r="B5871" s="16" t="str">
        <f>IFERROR(__xludf.DUMMYFUNCTION("""COMPUTED_VALUE"""),"Julian Calderon Rodriguez ")</f>
        <v>Julian Calderon Rodriguez </v>
      </c>
      <c r="C5871" s="15" t="str">
        <f>IFERROR(__xludf.DUMMYFUNCTION("""COMPUTED_VALUE"""),"NEIVA")</f>
        <v>NEIVA</v>
      </c>
      <c r="D5871" s="15" t="str">
        <f>IFERROR(__xludf.DUMMYFUNCTION("""COMPUTED_VALUE"""),"BOGOTÁ")</f>
        <v>BOGOTÁ</v>
      </c>
      <c r="E5871" s="15" t="str">
        <f>IFERROR(__xludf.DUMMYFUNCTION("""COMPUTED_VALUE"""),"Once Trigos")</f>
        <v>Once Trigos</v>
      </c>
      <c r="F5871" s="17" t="str">
        <f>IFERROR(__xludf.DUMMYFUNCTION("""COMPUTED_VALUE"""),"cra 5 # 23-10  / frente al almacen metro / sevilla")</f>
        <v>cra 5 # 23-10  / frente al almacen metro / sevilla</v>
      </c>
      <c r="G5871" s="15" t="str">
        <f>IFERROR(__xludf.DUMMYFUNCTION("""COMPUTED_VALUE"""),"san agusto cocina y despensa")</f>
        <v>san agusto cocina y despensa</v>
      </c>
      <c r="H5871" s="16">
        <f>IFERROR(__xludf.DUMMYFUNCTION("""COMPUTED_VALUE"""),14606.0)</f>
        <v>14606</v>
      </c>
      <c r="I5871" s="18">
        <f>IFERROR(__xludf.DUMMYFUNCTION("""COMPUTED_VALUE"""),13.0)</f>
        <v>13</v>
      </c>
      <c r="J5871" s="18">
        <f>IFERROR(__xludf.DUMMYFUNCTION("""COMPUTED_VALUE"""),27.0)</f>
        <v>27</v>
      </c>
      <c r="K5871" s="18">
        <f>IFERROR(__xludf.DUMMYFUNCTION("""COMPUTED_VALUE"""),39.0)</f>
        <v>39</v>
      </c>
      <c r="L5871" s="17">
        <f>IFERROR(__xludf.DUMMYFUNCTION("""COMPUTED_VALUE"""),3.203983927E9)</f>
        <v>3203983927</v>
      </c>
      <c r="M5871" s="17" t="str">
        <f>IFERROR(__xludf.DUMMYFUNCTION("""COMPUTED_VALUE"""),"#REF!")</f>
        <v>#REF!</v>
      </c>
      <c r="N5871" s="17"/>
      <c r="O5871" s="17"/>
      <c r="P5871" s="17" t="b">
        <f>IFERROR(__xludf.DUMMYFUNCTION("""COMPUTED_VALUE"""),FALSE)</f>
        <v>0</v>
      </c>
      <c r="Q5871" s="20" t="str">
        <f>IFERROR(__xludf.DUMMYFUNCTION("""COMPUTED_VALUE"""),"")</f>
        <v/>
      </c>
      <c r="R5871" s="22" t="str">
        <f>IFERROR(__xludf.DUMMYFUNCTION("""COMPUTED_VALUE"""),"")</f>
        <v/>
      </c>
    </row>
    <row r="5872">
      <c r="A5872" s="15">
        <f>IFERROR(__xludf.DUMMYFUNCTION("""COMPUTED_VALUE"""),45169.0)</f>
        <v>45169</v>
      </c>
      <c r="B5872" s="16" t="str">
        <f>IFERROR(__xludf.DUMMYFUNCTION("""COMPUTED_VALUE"""),"Julian Calderon Rodriguez ")</f>
        <v>Julian Calderon Rodriguez </v>
      </c>
      <c r="C5872" s="15" t="str">
        <f>IFERROR(__xludf.DUMMYFUNCTION("""COMPUTED_VALUE"""),"VILLAVICENCIO")</f>
        <v>VILLAVICENCIO</v>
      </c>
      <c r="D5872" s="15" t="str">
        <f>IFERROR(__xludf.DUMMYFUNCTION("""COMPUTED_VALUE"""),"BOGOTÁ")</f>
        <v>BOGOTÁ</v>
      </c>
      <c r="E5872" s="15" t="str">
        <f>IFERROR(__xludf.DUMMYFUNCTION("""COMPUTED_VALUE"""),"Evamazzita")</f>
        <v>Evamazzita</v>
      </c>
      <c r="F5872" s="17" t="str">
        <f>IFERROR(__xludf.DUMMYFUNCTION("""COMPUTED_VALUE"""),"Cll 12 sur 18 07  / Barrio doña luz / Barrio doña luz""")</f>
        <v>Cll 12 sur 18 07  / Barrio doña luz / Barrio doña luz"</v>
      </c>
      <c r="G5872" s="15" t="str">
        <f>IFERROR(__xludf.DUMMYFUNCTION("""COMPUTED_VALUE"""),"LAURA MARIA ARGÜELLO PERDOMO")</f>
        <v>LAURA MARIA ARGÜELLO PERDOMO</v>
      </c>
      <c r="H5872" s="16">
        <f>IFERROR(__xludf.DUMMYFUNCTION("""COMPUTED_VALUE"""),14569.0)</f>
        <v>14569</v>
      </c>
      <c r="I5872" s="18">
        <f>IFERROR(__xludf.DUMMYFUNCTION("""COMPUTED_VALUE"""),1.0)</f>
        <v>1</v>
      </c>
      <c r="J5872" s="18">
        <f>IFERROR(__xludf.DUMMYFUNCTION("""COMPUTED_VALUE"""),1.0)</f>
        <v>1</v>
      </c>
      <c r="K5872" s="18">
        <f>IFERROR(__xludf.DUMMYFUNCTION("""COMPUTED_VALUE"""),1.0)</f>
        <v>1</v>
      </c>
      <c r="L5872" s="17">
        <f>IFERROR(__xludf.DUMMYFUNCTION("""COMPUTED_VALUE"""),3.21260194E9)</f>
        <v>3212601940</v>
      </c>
      <c r="M5872" s="17" t="str">
        <f>IFERROR(__xludf.DUMMYFUNCTION("""COMPUTED_VALUE"""),"#REF!")</f>
        <v>#REF!</v>
      </c>
      <c r="N5872" s="17"/>
      <c r="O5872" s="17"/>
      <c r="P5872" s="17" t="b">
        <f>IFERROR(__xludf.DUMMYFUNCTION("""COMPUTED_VALUE"""),FALSE)</f>
        <v>0</v>
      </c>
      <c r="Q5872" s="20" t="str">
        <f>IFERROR(__xludf.DUMMYFUNCTION("""COMPUTED_VALUE"""),"")</f>
        <v/>
      </c>
      <c r="R5872" s="21" t="str">
        <f>IFERROR(__xludf.DUMMYFUNCTION("""COMPUTED_VALUE"""),"https://drive.google.com/file/d/1gwVanKS4WJ9V3s-MmlhoZ5fjUgoSqvVT/view?usp=drivesdk")</f>
        <v>https://drive.google.com/file/d/1gwVanKS4WJ9V3s-MmlhoZ5fjUgoSqvVT/view?usp=drivesdk</v>
      </c>
    </row>
    <row r="5873">
      <c r="A5873" s="15">
        <f>IFERROR(__xludf.DUMMYFUNCTION("""COMPUTED_VALUE"""),45169.0)</f>
        <v>45169</v>
      </c>
      <c r="B5873" s="16" t="str">
        <f>IFERROR(__xludf.DUMMYFUNCTION("""COMPUTED_VALUE"""),"Julian Calderon Rodriguez ")</f>
        <v>Julian Calderon Rodriguez </v>
      </c>
      <c r="C5873" s="15" t="str">
        <f>IFERROR(__xludf.DUMMYFUNCTION("""COMPUTED_VALUE"""),"VILLAVICENCIO")</f>
        <v>VILLAVICENCIO</v>
      </c>
      <c r="D5873" s="15" t="str">
        <f>IFERROR(__xludf.DUMMYFUNCTION("""COMPUTED_VALUE"""),"BOGOTÁ")</f>
        <v>BOGOTÁ</v>
      </c>
      <c r="E5873" s="15" t="str">
        <f>IFERROR(__xludf.DUMMYFUNCTION("""COMPUTED_VALUE"""),"Evamazzita")</f>
        <v>Evamazzita</v>
      </c>
      <c r="F5873" s="17" t="str">
        <f>IFERROR(__xludf.DUMMYFUNCTION("""COMPUTED_VALUE"""),"Diagonal 6 sur n 42-110 /  Amarilo zainos  /  Amarilo zainos """)</f>
        <v>Diagonal 6 sur n 42-110 /  Amarilo zainos  /  Amarilo zainos "</v>
      </c>
      <c r="G5873" s="15" t="str">
        <f>IFERROR(__xludf.DUMMYFUNCTION("""COMPUTED_VALUE"""),"WENDY PARRA ALONSO")</f>
        <v>WENDY PARRA ALONSO</v>
      </c>
      <c r="H5873" s="16">
        <f>IFERROR(__xludf.DUMMYFUNCTION("""COMPUTED_VALUE"""),14570.0)</f>
        <v>14570</v>
      </c>
      <c r="I5873" s="18">
        <f>IFERROR(__xludf.DUMMYFUNCTION("""COMPUTED_VALUE"""),1.0)</f>
        <v>1</v>
      </c>
      <c r="J5873" s="18">
        <f>IFERROR(__xludf.DUMMYFUNCTION("""COMPUTED_VALUE"""),1.0)</f>
        <v>1</v>
      </c>
      <c r="K5873" s="18">
        <f>IFERROR(__xludf.DUMMYFUNCTION("""COMPUTED_VALUE"""),1.0)</f>
        <v>1</v>
      </c>
      <c r="L5873" s="17">
        <f>IFERROR(__xludf.DUMMYFUNCTION("""COMPUTED_VALUE"""),3.222412449E9)</f>
        <v>3222412449</v>
      </c>
      <c r="M5873" s="17" t="str">
        <f>IFERROR(__xludf.DUMMYFUNCTION("""COMPUTED_VALUE"""),"#REF!")</f>
        <v>#REF!</v>
      </c>
      <c r="N5873" s="17"/>
      <c r="O5873" s="17"/>
      <c r="P5873" s="17" t="b">
        <f>IFERROR(__xludf.DUMMYFUNCTION("""COMPUTED_VALUE"""),TRUE)</f>
        <v>1</v>
      </c>
      <c r="Q5873" s="20">
        <f>IFERROR(__xludf.DUMMYFUNCTION("""COMPUTED_VALUE"""),45173.39436364583)</f>
        <v>45173.39436</v>
      </c>
      <c r="R5873" s="21" t="str">
        <f>IFERROR(__xludf.DUMMYFUNCTION("""COMPUTED_VALUE"""),"https://drive.google.com/file/d/1d_Yeu891R4dD0eIYwVIR7aTLN1gvcu9d/view?usp=drivesdk")</f>
        <v>https://drive.google.com/file/d/1d_Yeu891R4dD0eIYwVIR7aTLN1gvcu9d/view?usp=drivesdk</v>
      </c>
    </row>
    <row r="5874">
      <c r="A5874" s="17" t="str">
        <f>IFERROR(__xludf.DUMMYFUNCTION("""COMPUTED_VALUE"""),"")</f>
        <v/>
      </c>
      <c r="B5874" s="17" t="str">
        <f>IFERROR(__xludf.DUMMYFUNCTION("""COMPUTED_VALUE"""),"")</f>
        <v/>
      </c>
      <c r="C5874" s="17" t="str">
        <f>IFERROR(__xludf.DUMMYFUNCTION("""COMPUTED_VALUE"""),"")</f>
        <v/>
      </c>
      <c r="D5874" s="17" t="str">
        <f>IFERROR(__xludf.DUMMYFUNCTION("""COMPUTED_VALUE"""),"")</f>
        <v/>
      </c>
      <c r="E5874" s="17" t="str">
        <f>IFERROR(__xludf.DUMMYFUNCTION("""COMPUTED_VALUE"""),"")</f>
        <v/>
      </c>
      <c r="F5874" s="17" t="str">
        <f>IFERROR(__xludf.DUMMYFUNCTION("""COMPUTED_VALUE"""),"")</f>
        <v/>
      </c>
      <c r="G5874" s="17" t="str">
        <f>IFERROR(__xludf.DUMMYFUNCTION("""COMPUTED_VALUE"""),"")</f>
        <v/>
      </c>
      <c r="H5874" s="17" t="str">
        <f>IFERROR(__xludf.DUMMYFUNCTION("""COMPUTED_VALUE"""),"")</f>
        <v/>
      </c>
      <c r="I5874" s="17" t="str">
        <f>IFERROR(__xludf.DUMMYFUNCTION("""COMPUTED_VALUE"""),"")</f>
        <v/>
      </c>
      <c r="J5874" s="17" t="str">
        <f>IFERROR(__xludf.DUMMYFUNCTION("""COMPUTED_VALUE"""),"")</f>
        <v/>
      </c>
      <c r="K5874" s="17" t="str">
        <f>IFERROR(__xludf.DUMMYFUNCTION("""COMPUTED_VALUE"""),"")</f>
        <v/>
      </c>
      <c r="L5874" s="17" t="str">
        <f>IFERROR(__xludf.DUMMYFUNCTION("""COMPUTED_VALUE"""),"")</f>
        <v/>
      </c>
      <c r="M5874" s="17" t="str">
        <f>IFERROR(__xludf.DUMMYFUNCTION("""COMPUTED_VALUE"""),"")</f>
        <v/>
      </c>
      <c r="N5874" s="17" t="str">
        <f>IFERROR(__xludf.DUMMYFUNCTION("""COMPUTED_VALUE"""),"")</f>
        <v/>
      </c>
      <c r="O5874" s="17" t="str">
        <f>IFERROR(__xludf.DUMMYFUNCTION("""COMPUTED_VALUE"""),"")</f>
        <v/>
      </c>
      <c r="P5874" s="17" t="str">
        <f>IFERROR(__xludf.DUMMYFUNCTION("""COMPUTED_VALUE"""),"")</f>
        <v/>
      </c>
      <c r="Q5874" s="17" t="str">
        <f>IFERROR(__xludf.DUMMYFUNCTION("""COMPUTED_VALUE"""),"")</f>
        <v/>
      </c>
      <c r="R5874" s="17" t="str">
        <f>IFERROR(__xludf.DUMMYFUNCTION("""COMPUTED_VALUE"""),"")</f>
        <v/>
      </c>
    </row>
    <row r="5875">
      <c r="A5875" s="15">
        <f>IFERROR(__xludf.DUMMYFUNCTION("""COMPUTED_VALUE"""),45169.0)</f>
        <v>45169</v>
      </c>
      <c r="B5875" s="16" t="str">
        <f>IFERROR(__xludf.DUMMYFUNCTION("""COMPUTED_VALUE"""),"Santiago Garces Restrepo")</f>
        <v>Santiago Garces Restrepo</v>
      </c>
      <c r="C5875" s="15" t="str">
        <f>IFERROR(__xludf.DUMMYFUNCTION("""COMPUTED_VALUE"""),"CALI")</f>
        <v>CALI</v>
      </c>
      <c r="D5875" s="15" t="str">
        <f>IFERROR(__xludf.DUMMYFUNCTION("""COMPUTED_VALUE"""),"BUCARAMANGA")</f>
        <v>BUCARAMANGA</v>
      </c>
      <c r="E5875" s="15" t="str">
        <f>IFERROR(__xludf.DUMMYFUNCTION("""COMPUTED_VALUE"""),"Yo Como Solito")</f>
        <v>Yo Como Solito</v>
      </c>
      <c r="F5875" s="17" t="str">
        <f>IFERROR(__xludf.DUMMYFUNCTION("""COMPUTED_VALUE"""),"CALLE 59 NO. 93-130 APTO 604 TORRE 2A, UNIDAD TERRACOTA A CIUDAD MELENDEZ / CALLE 59 NO. 93-130 APTO 604 TORRE 2A, UNIDAD TERRACOTA A CIUDAD MELENDEZ / CALLE 59 NO. 93-130 APTO 604 TORRE 2A, UNIDAD TERRACOTA A CIUDAD MELENDEZ")</f>
        <v>CALLE 59 NO. 93-130 APTO 604 TORRE 2A, UNIDAD TERRACOTA A CIUDAD MELENDEZ / CALLE 59 NO. 93-130 APTO 604 TORRE 2A, UNIDAD TERRACOTA A CIUDAD MELENDEZ / CALLE 59 NO. 93-130 APTO 604 TORRE 2A, UNIDAD TERRACOTA A CIUDAD MELENDEZ</v>
      </c>
      <c r="G5875" s="15" t="str">
        <f>IFERROR(__xludf.DUMMYFUNCTION("""COMPUTED_VALUE"""),"JIREH RAMOS")</f>
        <v>JIREH RAMOS</v>
      </c>
      <c r="H5875" s="16">
        <f>IFERROR(__xludf.DUMMYFUNCTION("""COMPUTED_VALUE"""),14517.0)</f>
        <v>14517</v>
      </c>
      <c r="I5875" s="18">
        <f>IFERROR(__xludf.DUMMYFUNCTION("""COMPUTED_VALUE"""),23.0)</f>
        <v>23</v>
      </c>
      <c r="J5875" s="18">
        <f>IFERROR(__xludf.DUMMYFUNCTION("""COMPUTED_VALUE"""),21.0)</f>
        <v>21</v>
      </c>
      <c r="K5875" s="18">
        <f>IFERROR(__xludf.DUMMYFUNCTION("""COMPUTED_VALUE"""),41.0)</f>
        <v>41</v>
      </c>
      <c r="L5875" s="17">
        <f>IFERROR(__xludf.DUMMYFUNCTION("""COMPUTED_VALUE"""),3.175170844E9)</f>
        <v>3175170844</v>
      </c>
      <c r="M5875" s="17" t="str">
        <f>IFERROR(__xludf.DUMMYFUNCTION("""COMPUTED_VALUE"""),"#REF!")</f>
        <v>#REF!</v>
      </c>
      <c r="N5875" s="17"/>
      <c r="O5875" s="17"/>
      <c r="P5875" s="17" t="b">
        <f>IFERROR(__xludf.DUMMYFUNCTION("""COMPUTED_VALUE"""),FALSE)</f>
        <v>0</v>
      </c>
      <c r="Q5875" s="20" t="str">
        <f>IFERROR(__xludf.DUMMYFUNCTION("""COMPUTED_VALUE"""),"")</f>
        <v/>
      </c>
      <c r="R5875" s="22" t="str">
        <f>IFERROR(__xludf.DUMMYFUNCTION("""COMPUTED_VALUE"""),"")</f>
        <v/>
      </c>
    </row>
    <row r="5876">
      <c r="A5876" s="17" t="str">
        <f>IFERROR(__xludf.DUMMYFUNCTION("""COMPUTED_VALUE"""),"")</f>
        <v/>
      </c>
      <c r="B5876" s="17" t="str">
        <f>IFERROR(__xludf.DUMMYFUNCTION("""COMPUTED_VALUE"""),"")</f>
        <v/>
      </c>
      <c r="C5876" s="17" t="str">
        <f>IFERROR(__xludf.DUMMYFUNCTION("""COMPUTED_VALUE"""),"")</f>
        <v/>
      </c>
      <c r="D5876" s="17" t="str">
        <f>IFERROR(__xludf.DUMMYFUNCTION("""COMPUTED_VALUE"""),"")</f>
        <v/>
      </c>
      <c r="E5876" s="17" t="str">
        <f>IFERROR(__xludf.DUMMYFUNCTION("""COMPUTED_VALUE"""),"")</f>
        <v/>
      </c>
      <c r="F5876" s="17" t="str">
        <f>IFERROR(__xludf.DUMMYFUNCTION("""COMPUTED_VALUE"""),"")</f>
        <v/>
      </c>
      <c r="G5876" s="17" t="str">
        <f>IFERROR(__xludf.DUMMYFUNCTION("""COMPUTED_VALUE"""),"")</f>
        <v/>
      </c>
      <c r="H5876" s="17" t="str">
        <f>IFERROR(__xludf.DUMMYFUNCTION("""COMPUTED_VALUE"""),"")</f>
        <v/>
      </c>
      <c r="I5876" s="17" t="str">
        <f>IFERROR(__xludf.DUMMYFUNCTION("""COMPUTED_VALUE"""),"")</f>
        <v/>
      </c>
      <c r="J5876" s="17" t="str">
        <f>IFERROR(__xludf.DUMMYFUNCTION("""COMPUTED_VALUE"""),"")</f>
        <v/>
      </c>
      <c r="K5876" s="17" t="str">
        <f>IFERROR(__xludf.DUMMYFUNCTION("""COMPUTED_VALUE"""),"")</f>
        <v/>
      </c>
      <c r="L5876" s="17" t="str">
        <f>IFERROR(__xludf.DUMMYFUNCTION("""COMPUTED_VALUE"""),"")</f>
        <v/>
      </c>
      <c r="M5876" s="17" t="str">
        <f>IFERROR(__xludf.DUMMYFUNCTION("""COMPUTED_VALUE"""),"")</f>
        <v/>
      </c>
      <c r="N5876" s="17" t="str">
        <f>IFERROR(__xludf.DUMMYFUNCTION("""COMPUTED_VALUE"""),"")</f>
        <v/>
      </c>
      <c r="O5876" s="17" t="str">
        <f>IFERROR(__xludf.DUMMYFUNCTION("""COMPUTED_VALUE"""),"")</f>
        <v/>
      </c>
      <c r="P5876" s="17" t="str">
        <f>IFERROR(__xludf.DUMMYFUNCTION("""COMPUTED_VALUE"""),"")</f>
        <v/>
      </c>
      <c r="Q5876" s="17" t="str">
        <f>IFERROR(__xludf.DUMMYFUNCTION("""COMPUTED_VALUE"""),"")</f>
        <v/>
      </c>
      <c r="R5876" s="17" t="str">
        <f>IFERROR(__xludf.DUMMYFUNCTION("""COMPUTED_VALUE"""),"")</f>
        <v/>
      </c>
    </row>
    <row r="5877">
      <c r="A5877" s="15">
        <f>IFERROR(__xludf.DUMMYFUNCTION("""COMPUTED_VALUE"""),45170.0)</f>
        <v>45170</v>
      </c>
      <c r="B5877" s="17"/>
      <c r="C5877" s="15" t="str">
        <f>IFERROR(__xludf.DUMMYFUNCTION("""COMPUTED_VALUE"""),"CARTAGENA")</f>
        <v>CARTAGENA</v>
      </c>
      <c r="D5877" s="15" t="str">
        <f>IFERROR(__xludf.DUMMYFUNCTION("""COMPUTED_VALUE"""),"BOGOTÁ")</f>
        <v>BOGOTÁ</v>
      </c>
      <c r="E5877" s="15" t="str">
        <f>IFERROR(__xludf.DUMMYFUNCTION("""COMPUTED_VALUE"""),"Athenas")</f>
        <v>Athenas</v>
      </c>
      <c r="F5877" s="17" t="str">
        <f>IFERROR(__xludf.DUMMYFUNCTION("""COMPUTED_VALUE"""),"Centro comercial plaza bocagrande / 5 piso Cafetería bodytech  / Bocagrande")</f>
        <v>Centro comercial plaza bocagrande / 5 piso Cafetería bodytech  / Bocagrande</v>
      </c>
      <c r="G5877" s="15" t="str">
        <f>IFERROR(__xludf.DUMMYFUNCTION("""COMPUTED_VALUE"""),"Meyler lee")</f>
        <v>Meyler lee</v>
      </c>
      <c r="H5877" s="16">
        <f>IFERROR(__xludf.DUMMYFUNCTION("""COMPUTED_VALUE"""),14559.0)</f>
        <v>14559</v>
      </c>
      <c r="I5877" s="18">
        <f>IFERROR(__xludf.DUMMYFUNCTION("""COMPUTED_VALUE"""),55.0)</f>
        <v>55</v>
      </c>
      <c r="J5877" s="18">
        <f>IFERROR(__xludf.DUMMYFUNCTION("""COMPUTED_VALUE"""),45.0)</f>
        <v>45</v>
      </c>
      <c r="K5877" s="18">
        <f>IFERROR(__xludf.DUMMYFUNCTION("""COMPUTED_VALUE"""),52.0)</f>
        <v>52</v>
      </c>
      <c r="L5877" s="17">
        <f>IFERROR(__xludf.DUMMYFUNCTION("""COMPUTED_VALUE"""),3.233856067E9)</f>
        <v>3233856067</v>
      </c>
      <c r="M5877" s="17" t="str">
        <f>IFERROR(__xludf.DUMMYFUNCTION("""COMPUTED_VALUE"""),"#REF!")</f>
        <v>#REF!</v>
      </c>
      <c r="N5877" s="17"/>
      <c r="O5877" s="17"/>
      <c r="P5877" s="17" t="b">
        <f>IFERROR(__xludf.DUMMYFUNCTION("""COMPUTED_VALUE"""),FALSE)</f>
        <v>0</v>
      </c>
      <c r="Q5877" s="20" t="str">
        <f>IFERROR(__xludf.DUMMYFUNCTION("""COMPUTED_VALUE"""),"")</f>
        <v/>
      </c>
      <c r="R5877" s="22" t="str">
        <f>IFERROR(__xludf.DUMMYFUNCTION("""COMPUTED_VALUE"""),"")</f>
        <v/>
      </c>
    </row>
    <row r="5878">
      <c r="A5878" s="15">
        <f>IFERROR(__xludf.DUMMYFUNCTION("""COMPUTED_VALUE"""),45170.0)</f>
        <v>45170</v>
      </c>
      <c r="B5878" s="17"/>
      <c r="C5878" s="15" t="str">
        <f>IFERROR(__xludf.DUMMYFUNCTION("""COMPUTED_VALUE"""),"CARTAGENA")</f>
        <v>CARTAGENA</v>
      </c>
      <c r="D5878" s="15" t="str">
        <f>IFERROR(__xludf.DUMMYFUNCTION("""COMPUTED_VALUE"""),"BOGOTÁ")</f>
        <v>BOGOTÁ</v>
      </c>
      <c r="E5878" s="15" t="str">
        <f>IFERROR(__xludf.DUMMYFUNCTION("""COMPUTED_VALUE"""),"Mochi")</f>
        <v>Mochi</v>
      </c>
      <c r="F5878" s="17" t="str">
        <f>IFERROR(__xludf.DUMMYFUNCTION("""COMPUTED_VALUE"""),"Cra. 11 # 39-21, San Diego, Cartagena de Indias, Provincia de Cartagena, Bolívar / Cra. 11 # 39-21, San Diego, Cartagena de Indias, Provincia de Cartagena, Bolívar / Cra. 11 # 39-21, San Diego, Cartagena de Indias, Provincia de Cartagena, Bolívar")</f>
        <v>Cra. 11 # 39-21, San Diego, Cartagena de Indias, Provincia de Cartagena, Bolívar / Cra. 11 # 39-21, San Diego, Cartagena de Indias, Provincia de Cartagena, Bolívar / Cra. 11 # 39-21, San Diego, Cartagena de Indias, Provincia de Cartagena, Bolívar</v>
      </c>
      <c r="G5878" s="15" t="str">
        <f>IFERROR(__xludf.DUMMYFUNCTION("""COMPUTED_VALUE"""),"maRIA caMILA")</f>
        <v>maRIA caMILA</v>
      </c>
      <c r="H5878" s="16">
        <f>IFERROR(__xludf.DUMMYFUNCTION("""COMPUTED_VALUE"""),14603.0)</f>
        <v>14603</v>
      </c>
      <c r="I5878" s="18">
        <f>IFERROR(__xludf.DUMMYFUNCTION("""COMPUTED_VALUE"""),100.0)</f>
        <v>100</v>
      </c>
      <c r="J5878" s="18">
        <f>IFERROR(__xludf.DUMMYFUNCTION("""COMPUTED_VALUE"""),200.0)</f>
        <v>200</v>
      </c>
      <c r="K5878" s="18">
        <f>IFERROR(__xludf.DUMMYFUNCTION("""COMPUTED_VALUE"""),200.0)</f>
        <v>200</v>
      </c>
      <c r="L5878" s="17">
        <f>IFERROR(__xludf.DUMMYFUNCTION("""COMPUTED_VALUE"""),3.116026252E9)</f>
        <v>3116026252</v>
      </c>
      <c r="M5878" s="17" t="str">
        <f>IFERROR(__xludf.DUMMYFUNCTION("""COMPUTED_VALUE"""),"#REF!")</f>
        <v>#REF!</v>
      </c>
      <c r="N5878" s="17"/>
      <c r="O5878" s="17"/>
      <c r="P5878" s="17" t="b">
        <f>IFERROR(__xludf.DUMMYFUNCTION("""COMPUTED_VALUE"""),TRUE)</f>
        <v>1</v>
      </c>
      <c r="Q5878" s="20">
        <f>IFERROR(__xludf.DUMMYFUNCTION("""COMPUTED_VALUE"""),45173.39436364583)</f>
        <v>45173.39436</v>
      </c>
      <c r="R5878" s="22" t="str">
        <f>IFERROR(__xludf.DUMMYFUNCTION("""COMPUTED_VALUE"""),"")</f>
        <v/>
      </c>
    </row>
    <row r="5879">
      <c r="A5879" s="15">
        <f>IFERROR(__xludf.DUMMYFUNCTION("""COMPUTED_VALUE"""),45170.0)</f>
        <v>45170</v>
      </c>
      <c r="B5879" s="17"/>
      <c r="C5879" s="15" t="str">
        <f>IFERROR(__xludf.DUMMYFUNCTION("""COMPUTED_VALUE"""),"MEDELLÍN")</f>
        <v>MEDELLÍN</v>
      </c>
      <c r="D5879" s="15" t="str">
        <f>IFERROR(__xludf.DUMMYFUNCTION("""COMPUTED_VALUE"""),"BOGOTÁ")</f>
        <v>BOGOTÁ</v>
      </c>
      <c r="E5879" s="15" t="str">
        <f>IFERROR(__xludf.DUMMYFUNCTION("""COMPUTED_VALUE"""),"Spirulina Fresca")</f>
        <v>Spirulina Fresca</v>
      </c>
      <c r="F5879" s="17" t="str">
        <f>IFERROR(__xludf.DUMMYFUNCTION("""COMPUTED_VALUE"""),"Cll20asur #22-160  / urbanizacion de casas Santa Cecilia casa 179 Medellín / Santa cecilia")</f>
        <v>Cll20asur #22-160  / urbanizacion de casas Santa Cecilia casa 179 Medellín / Santa cecilia</v>
      </c>
      <c r="G5879" s="15" t="str">
        <f>IFERROR(__xludf.DUMMYFUNCTION("""COMPUTED_VALUE"""),"Verónica Tobon")</f>
        <v>Verónica Tobon</v>
      </c>
      <c r="H5879" s="16">
        <f>IFERROR(__xludf.DUMMYFUNCTION("""COMPUTED_VALUE"""),14616.0)</f>
        <v>14616</v>
      </c>
      <c r="I5879" s="18">
        <f>IFERROR(__xludf.DUMMYFUNCTION("""COMPUTED_VALUE"""),12.0)</f>
        <v>12</v>
      </c>
      <c r="J5879" s="18">
        <f>IFERROR(__xludf.DUMMYFUNCTION("""COMPUTED_VALUE"""),12.0)</f>
        <v>12</v>
      </c>
      <c r="K5879" s="18">
        <f>IFERROR(__xludf.DUMMYFUNCTION("""COMPUTED_VALUE"""),15.0)</f>
        <v>15</v>
      </c>
      <c r="L5879" s="17">
        <f>IFERROR(__xludf.DUMMYFUNCTION("""COMPUTED_VALUE"""),3.104015215E9)</f>
        <v>3104015215</v>
      </c>
      <c r="M5879" s="17" t="str">
        <f>IFERROR(__xludf.DUMMYFUNCTION("""COMPUTED_VALUE"""),"#REF!")</f>
        <v>#REF!</v>
      </c>
      <c r="N5879" s="17"/>
      <c r="O5879" s="17"/>
      <c r="P5879" s="17" t="b">
        <f>IFERROR(__xludf.DUMMYFUNCTION("""COMPUTED_VALUE"""),TRUE)</f>
        <v>1</v>
      </c>
      <c r="Q5879" s="20">
        <f>IFERROR(__xludf.DUMMYFUNCTION("""COMPUTED_VALUE"""),45173.39436364583)</f>
        <v>45173.39436</v>
      </c>
      <c r="R5879" s="21" t="str">
        <f>IFERROR(__xludf.DUMMYFUNCTION("""COMPUTED_VALUE"""),"https://drive.google.com/file/d/15h13SDfIaT5Nh-3Im5G5VlOueEA2G-YB/view?usp=drivesdk")</f>
        <v>https://drive.google.com/file/d/15h13SDfIaT5Nh-3Im5G5VlOueEA2G-YB/view?usp=drivesdk</v>
      </c>
    </row>
    <row r="5880">
      <c r="A5880" s="17" t="str">
        <f>IFERROR(__xludf.DUMMYFUNCTION("""COMPUTED_VALUE"""),"")</f>
        <v/>
      </c>
      <c r="B5880" s="17" t="str">
        <f>IFERROR(__xludf.DUMMYFUNCTION("""COMPUTED_VALUE"""),"")</f>
        <v/>
      </c>
      <c r="C5880" s="17" t="str">
        <f>IFERROR(__xludf.DUMMYFUNCTION("""COMPUTED_VALUE"""),"")</f>
        <v/>
      </c>
      <c r="D5880" s="17" t="str">
        <f>IFERROR(__xludf.DUMMYFUNCTION("""COMPUTED_VALUE"""),"")</f>
        <v/>
      </c>
      <c r="E5880" s="17" t="str">
        <f>IFERROR(__xludf.DUMMYFUNCTION("""COMPUTED_VALUE"""),"")</f>
        <v/>
      </c>
      <c r="F5880" s="17" t="str">
        <f>IFERROR(__xludf.DUMMYFUNCTION("""COMPUTED_VALUE"""),"")</f>
        <v/>
      </c>
      <c r="G5880" s="17" t="str">
        <f>IFERROR(__xludf.DUMMYFUNCTION("""COMPUTED_VALUE"""),"")</f>
        <v/>
      </c>
      <c r="H5880" s="17" t="str">
        <f>IFERROR(__xludf.DUMMYFUNCTION("""COMPUTED_VALUE"""),"")</f>
        <v/>
      </c>
      <c r="I5880" s="17" t="str">
        <f>IFERROR(__xludf.DUMMYFUNCTION("""COMPUTED_VALUE"""),"")</f>
        <v/>
      </c>
      <c r="J5880" s="17" t="str">
        <f>IFERROR(__xludf.DUMMYFUNCTION("""COMPUTED_VALUE"""),"")</f>
        <v/>
      </c>
      <c r="K5880" s="17" t="str">
        <f>IFERROR(__xludf.DUMMYFUNCTION("""COMPUTED_VALUE"""),"")</f>
        <v/>
      </c>
      <c r="L5880" s="17" t="str">
        <f>IFERROR(__xludf.DUMMYFUNCTION("""COMPUTED_VALUE"""),"")</f>
        <v/>
      </c>
      <c r="M5880" s="17" t="str">
        <f>IFERROR(__xludf.DUMMYFUNCTION("""COMPUTED_VALUE"""),"")</f>
        <v/>
      </c>
      <c r="N5880" s="17" t="str">
        <f>IFERROR(__xludf.DUMMYFUNCTION("""COMPUTED_VALUE"""),"")</f>
        <v/>
      </c>
      <c r="O5880" s="17" t="str">
        <f>IFERROR(__xludf.DUMMYFUNCTION("""COMPUTED_VALUE"""),"")</f>
        <v/>
      </c>
      <c r="P5880" s="17" t="str">
        <f>IFERROR(__xludf.DUMMYFUNCTION("""COMPUTED_VALUE"""),"")</f>
        <v/>
      </c>
      <c r="Q5880" s="17" t="str">
        <f>IFERROR(__xludf.DUMMYFUNCTION("""COMPUTED_VALUE"""),"")</f>
        <v/>
      </c>
      <c r="R5880" s="17" t="str">
        <f>IFERROR(__xludf.DUMMYFUNCTION("""COMPUTED_VALUE"""),"")</f>
        <v/>
      </c>
    </row>
    <row r="5881">
      <c r="A5881" s="15">
        <f>IFERROR(__xludf.DUMMYFUNCTION("""COMPUTED_VALUE"""),45170.0)</f>
        <v>45170</v>
      </c>
      <c r="B5881" s="16" t="str">
        <f>IFERROR(__xludf.DUMMYFUNCTION("""COMPUTED_VALUE"""),"Daniel José sandoval gonzalez")</f>
        <v>Daniel José sandoval gonzalez</v>
      </c>
      <c r="C5881" s="15" t="str">
        <f>IFERROR(__xludf.DUMMYFUNCTION("""COMPUTED_VALUE"""),"BARRANQUILLA")</f>
        <v>BARRANQUILLA</v>
      </c>
      <c r="D5881" s="15" t="str">
        <f>IFERROR(__xludf.DUMMYFUNCTION("""COMPUTED_VALUE"""),"BOGOTÁ")</f>
        <v>BOGOTÁ</v>
      </c>
      <c r="E5881" s="15" t="str">
        <f>IFERROR(__xludf.DUMMYFUNCTION("""COMPUTED_VALUE"""),"Evamazzita")</f>
        <v>Evamazzita</v>
      </c>
      <c r="F5881" s="17" t="str">
        <f>IFERROR(__xludf.DUMMYFUNCTION("""COMPUTED_VALUE"""),"CALLE 64C No. 13A - 23  / VILLATE / CASA ENREJADA TECHO ROJO / VILLATE / CASA ENREJADA TECHO ROJO")</f>
        <v>CALLE 64C No. 13A - 23  / VILLATE / CASA ENREJADA TECHO ROJO / VILLATE / CASA ENREJADA TECHO ROJO</v>
      </c>
      <c r="G5881" s="15" t="str">
        <f>IFERROR(__xludf.DUMMYFUNCTION("""COMPUTED_VALUE"""),"GINETH MARTINEZ MORALES")</f>
        <v>GINETH MARTINEZ MORALES</v>
      </c>
      <c r="H5881" s="16">
        <f>IFERROR(__xludf.DUMMYFUNCTION("""COMPUTED_VALUE"""),14565.0)</f>
        <v>14565</v>
      </c>
      <c r="I5881" s="18">
        <f>IFERROR(__xludf.DUMMYFUNCTION("""COMPUTED_VALUE"""),1.0)</f>
        <v>1</v>
      </c>
      <c r="J5881" s="18">
        <f>IFERROR(__xludf.DUMMYFUNCTION("""COMPUTED_VALUE"""),1.0)</f>
        <v>1</v>
      </c>
      <c r="K5881" s="18">
        <f>IFERROR(__xludf.DUMMYFUNCTION("""COMPUTED_VALUE"""),1.0)</f>
        <v>1</v>
      </c>
      <c r="L5881" s="17">
        <f>IFERROR(__xludf.DUMMYFUNCTION("""COMPUTED_VALUE"""),3.164697867E9)</f>
        <v>3164697867</v>
      </c>
      <c r="M5881" s="17" t="str">
        <f>IFERROR(__xludf.DUMMYFUNCTION("""COMPUTED_VALUE"""),"#REF!")</f>
        <v>#REF!</v>
      </c>
      <c r="N5881" s="17"/>
      <c r="O5881" s="17"/>
      <c r="P5881" s="17" t="b">
        <f>IFERROR(__xludf.DUMMYFUNCTION("""COMPUTED_VALUE"""),TRUE)</f>
        <v>1</v>
      </c>
      <c r="Q5881" s="20">
        <f>IFERROR(__xludf.DUMMYFUNCTION("""COMPUTED_VALUE"""),45173.39436364583)</f>
        <v>45173.39436</v>
      </c>
      <c r="R5881" s="21" t="str">
        <f>IFERROR(__xludf.DUMMYFUNCTION("""COMPUTED_VALUE"""),"https://drive.google.com/file/d/1WK3qPNq7FuUWIE-PYcz0yVidCeTknXpD/view?usp=drivesdk")</f>
        <v>https://drive.google.com/file/d/1WK3qPNq7FuUWIE-PYcz0yVidCeTknXpD/view?usp=drivesdk</v>
      </c>
    </row>
    <row r="5882">
      <c r="A5882" s="15">
        <f>IFERROR(__xludf.DUMMYFUNCTION("""COMPUTED_VALUE"""),45170.0)</f>
        <v>45170</v>
      </c>
      <c r="B5882" s="16" t="str">
        <f>IFERROR(__xludf.DUMMYFUNCTION("""COMPUTED_VALUE"""),"Daniel José sandoval gonzalez")</f>
        <v>Daniel José sandoval gonzalez</v>
      </c>
      <c r="C5882" s="15" t="str">
        <f>IFERROR(__xludf.DUMMYFUNCTION("""COMPUTED_VALUE"""),"BARRANQUILLA")</f>
        <v>BARRANQUILLA</v>
      </c>
      <c r="D5882" s="15" t="str">
        <f>IFERROR(__xludf.DUMMYFUNCTION("""COMPUTED_VALUE"""),"BOGOTÁ")</f>
        <v>BOGOTÁ</v>
      </c>
      <c r="E5882" s="15" t="str">
        <f>IFERROR(__xludf.DUMMYFUNCTION("""COMPUTED_VALUE"""),"Evamazzita")</f>
        <v>Evamazzita</v>
      </c>
      <c r="F5882" s="17" t="str">
        <f>IFERROR(__xludf.DUMMYFUNCTION("""COMPUTED_VALUE"""),"TRANSV 44 No. 100-82  / CONJUNTO TOZCANA TORRE 5 APTO 318  / MIRAMAR")</f>
        <v>TRANSV 44 No. 100-82  / CONJUNTO TOZCANA TORRE 5 APTO 318  / MIRAMAR</v>
      </c>
      <c r="G5882" s="15" t="str">
        <f>IFERROR(__xludf.DUMMYFUNCTION("""COMPUTED_VALUE"""),"CAROLINA PARADA ACOSTA")</f>
        <v>CAROLINA PARADA ACOSTA</v>
      </c>
      <c r="H5882" s="16">
        <f>IFERROR(__xludf.DUMMYFUNCTION("""COMPUTED_VALUE"""),14564.0)</f>
        <v>14564</v>
      </c>
      <c r="I5882" s="18">
        <f>IFERROR(__xludf.DUMMYFUNCTION("""COMPUTED_VALUE"""),1.0)</f>
        <v>1</v>
      </c>
      <c r="J5882" s="18">
        <f>IFERROR(__xludf.DUMMYFUNCTION("""COMPUTED_VALUE"""),1.0)</f>
        <v>1</v>
      </c>
      <c r="K5882" s="18">
        <f>IFERROR(__xludf.DUMMYFUNCTION("""COMPUTED_VALUE"""),1.0)</f>
        <v>1</v>
      </c>
      <c r="L5882" s="17">
        <f>IFERROR(__xludf.DUMMYFUNCTION("""COMPUTED_VALUE"""),3.134122981E9)</f>
        <v>3134122981</v>
      </c>
      <c r="M5882" s="17" t="str">
        <f>IFERROR(__xludf.DUMMYFUNCTION("""COMPUTED_VALUE"""),"#REF!")</f>
        <v>#REF!</v>
      </c>
      <c r="N5882" s="17"/>
      <c r="O5882" s="17"/>
      <c r="P5882" s="17" t="b">
        <f>IFERROR(__xludf.DUMMYFUNCTION("""COMPUTED_VALUE"""),FALSE)</f>
        <v>0</v>
      </c>
      <c r="Q5882" s="20" t="str">
        <f>IFERROR(__xludf.DUMMYFUNCTION("""COMPUTED_VALUE"""),"")</f>
        <v/>
      </c>
      <c r="R5882" s="21" t="str">
        <f>IFERROR(__xludf.DUMMYFUNCTION("""COMPUTED_VALUE"""),"https://drive.google.com/file/d/1OQd2ibu0Id9juOcnjH03t1-P7arKuLeT/view?usp=drivesdk")</f>
        <v>https://drive.google.com/file/d/1OQd2ibu0Id9juOcnjH03t1-P7arKuLeT/view?usp=drivesdk</v>
      </c>
    </row>
    <row r="5883">
      <c r="A5883" s="15">
        <f>IFERROR(__xludf.DUMMYFUNCTION("""COMPUTED_VALUE"""),45170.0)</f>
        <v>45170</v>
      </c>
      <c r="B5883" s="16" t="str">
        <f>IFERROR(__xludf.DUMMYFUNCTION("""COMPUTED_VALUE"""),"Daniel José sandoval gonzalez")</f>
        <v>Daniel José sandoval gonzalez</v>
      </c>
      <c r="C5883" s="15" t="str">
        <f>IFERROR(__xludf.DUMMYFUNCTION("""COMPUTED_VALUE"""),"BARRANQUILLA")</f>
        <v>BARRANQUILLA</v>
      </c>
      <c r="D5883" s="15" t="str">
        <f>IFERROR(__xludf.DUMMYFUNCTION("""COMPUTED_VALUE"""),"BOGOTÁ")</f>
        <v>BOGOTÁ</v>
      </c>
      <c r="E5883" s="15" t="str">
        <f>IFERROR(__xludf.DUMMYFUNCTION("""COMPUTED_VALUE"""),"Mochi")</f>
        <v>Mochi</v>
      </c>
      <c r="F5883" s="17" t="str">
        <f>IFERROR(__xludf.DUMMYFUNCTION("""COMPUTED_VALUE"""),"Cra. 51B #87-50, Riomar, Barranquilla, Atlántico / Cra. 51B #87-50, Riomar, Barranquilla, Atlántico / Cra. 51B #87-50, Riomar, Barranquilla, Atlántico")</f>
        <v>Cra. 51B #87-50, Riomar, Barranquilla, Atlántico / Cra. 51B #87-50, Riomar, Barranquilla, Atlántico / Cra. 51B #87-50, Riomar, Barranquilla, Atlántico</v>
      </c>
      <c r="G5883" s="15" t="str">
        <f>IFERROR(__xludf.DUMMYFUNCTION("""COMPUTED_VALUE"""),"MAria camila")</f>
        <v>MAria camila</v>
      </c>
      <c r="H5883" s="16">
        <f>IFERROR(__xludf.DUMMYFUNCTION("""COMPUTED_VALUE"""),14658.0)</f>
        <v>14658</v>
      </c>
      <c r="I5883" s="18">
        <f>IFERROR(__xludf.DUMMYFUNCTION("""COMPUTED_VALUE"""),100.0)</f>
        <v>100</v>
      </c>
      <c r="J5883" s="18">
        <f>IFERROR(__xludf.DUMMYFUNCTION("""COMPUTED_VALUE"""),200.0)</f>
        <v>200</v>
      </c>
      <c r="K5883" s="18">
        <f>IFERROR(__xludf.DUMMYFUNCTION("""COMPUTED_VALUE"""),200.0)</f>
        <v>200</v>
      </c>
      <c r="L5883" s="17">
        <f>IFERROR(__xludf.DUMMYFUNCTION("""COMPUTED_VALUE"""),3.116026252E9)</f>
        <v>3116026252</v>
      </c>
      <c r="M5883" s="17" t="str">
        <f>IFERROR(__xludf.DUMMYFUNCTION("""COMPUTED_VALUE"""),"#REF!")</f>
        <v>#REF!</v>
      </c>
      <c r="N5883" s="17"/>
      <c r="O5883" s="17"/>
      <c r="P5883" s="17" t="b">
        <f>IFERROR(__xludf.DUMMYFUNCTION("""COMPUTED_VALUE"""),FALSE)</f>
        <v>0</v>
      </c>
      <c r="Q5883" s="20" t="str">
        <f>IFERROR(__xludf.DUMMYFUNCTION("""COMPUTED_VALUE"""),"")</f>
        <v/>
      </c>
      <c r="R5883" s="22" t="str">
        <f>IFERROR(__xludf.DUMMYFUNCTION("""COMPUTED_VALUE"""),"")</f>
        <v/>
      </c>
    </row>
    <row r="5884">
      <c r="A5884" s="15">
        <f>IFERROR(__xludf.DUMMYFUNCTION("""COMPUTED_VALUE"""),45170.0)</f>
        <v>45170</v>
      </c>
      <c r="B5884" s="16" t="str">
        <f>IFERROR(__xludf.DUMMYFUNCTION("""COMPUTED_VALUE"""),"Daniel José sandoval gonzalez")</f>
        <v>Daniel José sandoval gonzalez</v>
      </c>
      <c r="C5884" s="15" t="str">
        <f>IFERROR(__xludf.DUMMYFUNCTION("""COMPUTED_VALUE"""),"BARRANQUILLA")</f>
        <v>BARRANQUILLA</v>
      </c>
      <c r="D5884" s="15" t="str">
        <f>IFERROR(__xludf.DUMMYFUNCTION("""COMPUTED_VALUE"""),"BOGOTÁ")</f>
        <v>BOGOTÁ</v>
      </c>
      <c r="E5884" s="15" t="str">
        <f>IFERROR(__xludf.DUMMYFUNCTION("""COMPUTED_VALUE"""),"Once Trigos")</f>
        <v>Once Trigos</v>
      </c>
      <c r="F5884" s="17" t="str">
        <f>IFERROR(__xludf.DUMMYFUNCTION("""COMPUTED_VALUE"""),"av tajamares # 25-66  / apt 1901  / club tower 1 , barrio villa campestre")</f>
        <v>av tajamares # 25-66  / apt 1901  / club tower 1 , barrio villa campestre</v>
      </c>
      <c r="G5884" s="15" t="str">
        <f>IFERROR(__xludf.DUMMYFUNCTION("""COMPUTED_VALUE"""),"ana naumova")</f>
        <v>ana naumova</v>
      </c>
      <c r="H5884" s="16">
        <f>IFERROR(__xludf.DUMMYFUNCTION("""COMPUTED_VALUE"""),14607.0)</f>
        <v>14607</v>
      </c>
      <c r="I5884" s="18">
        <f>IFERROR(__xludf.DUMMYFUNCTION("""COMPUTED_VALUE"""),33.0)</f>
        <v>33</v>
      </c>
      <c r="J5884" s="18">
        <f>IFERROR(__xludf.DUMMYFUNCTION("""COMPUTED_VALUE"""),18.0)</f>
        <v>18</v>
      </c>
      <c r="K5884" s="18">
        <f>IFERROR(__xludf.DUMMYFUNCTION("""COMPUTED_VALUE"""),25.0)</f>
        <v>25</v>
      </c>
      <c r="L5884" s="17">
        <f>IFERROR(__xludf.DUMMYFUNCTION("""COMPUTED_VALUE"""),3.142077891E9)</f>
        <v>3142077891</v>
      </c>
      <c r="M5884" s="17" t="str">
        <f>IFERROR(__xludf.DUMMYFUNCTION("""COMPUTED_VALUE"""),"#REF!")</f>
        <v>#REF!</v>
      </c>
      <c r="N5884" s="17"/>
      <c r="O5884" s="17"/>
      <c r="P5884" s="17" t="b">
        <f>IFERROR(__xludf.DUMMYFUNCTION("""COMPUTED_VALUE"""),FALSE)</f>
        <v>0</v>
      </c>
      <c r="Q5884" s="20" t="str">
        <f>IFERROR(__xludf.DUMMYFUNCTION("""COMPUTED_VALUE"""),"")</f>
        <v/>
      </c>
      <c r="R5884" s="22" t="str">
        <f>IFERROR(__xludf.DUMMYFUNCTION("""COMPUTED_VALUE"""),"")</f>
        <v/>
      </c>
    </row>
    <row r="5885">
      <c r="A5885" s="15">
        <f>IFERROR(__xludf.DUMMYFUNCTION("""COMPUTED_VALUE"""),45170.0)</f>
        <v>45170</v>
      </c>
      <c r="B5885" s="16" t="str">
        <f>IFERROR(__xludf.DUMMYFUNCTION("""COMPUTED_VALUE"""),"Daniel José sandoval gonzalez")</f>
        <v>Daniel José sandoval gonzalez</v>
      </c>
      <c r="C5885" s="15" t="str">
        <f>IFERROR(__xludf.DUMMYFUNCTION("""COMPUTED_VALUE"""),"BARRANQUILLA")</f>
        <v>BARRANQUILLA</v>
      </c>
      <c r="D5885" s="15" t="str">
        <f>IFERROR(__xludf.DUMMYFUNCTION("""COMPUTED_VALUE"""),"MEDELLÍN")</f>
        <v>MEDELLÍN</v>
      </c>
      <c r="E5885" s="15" t="str">
        <f>IFERROR(__xludf.DUMMYFUNCTION("""COMPUTED_VALUE"""),"AREPAS LA MARY")</f>
        <v>AREPAS LA MARY</v>
      </c>
      <c r="F5885" s="17" t="str">
        <f>IFERROR(__xludf.DUMMYFUNCTION("""COMPUTED_VALUE"""),"CALLE 79 N.57 180 CASA 8 / BARRANQUILLA")</f>
        <v>CALLE 79 N.57 180 CASA 8 / BARRANQUILLA</v>
      </c>
      <c r="G5885" s="15" t="str">
        <f>IFERROR(__xludf.DUMMYFUNCTION("""COMPUTED_VALUE"""),"MARIA VICTORIA NIEBLES")</f>
        <v>MARIA VICTORIA NIEBLES</v>
      </c>
      <c r="H5885" s="16">
        <f>IFERROR(__xludf.DUMMYFUNCTION("""COMPUTED_VALUE"""),14469.0)</f>
        <v>14469</v>
      </c>
      <c r="I5885" s="18">
        <f>IFERROR(__xludf.DUMMYFUNCTION("""COMPUTED_VALUE"""),89.0)</f>
        <v>89</v>
      </c>
      <c r="J5885" s="18">
        <f>IFERROR(__xludf.DUMMYFUNCTION("""COMPUTED_VALUE"""),1.0)</f>
        <v>1</v>
      </c>
      <c r="K5885" s="18">
        <f>IFERROR(__xludf.DUMMYFUNCTION("""COMPUTED_VALUE"""),10.0)</f>
        <v>10</v>
      </c>
      <c r="L5885" s="17">
        <f>IFERROR(__xludf.DUMMYFUNCTION("""COMPUTED_VALUE"""),3.205211711E9)</f>
        <v>3205211711</v>
      </c>
      <c r="M5885" s="17" t="str">
        <f>IFERROR(__xludf.DUMMYFUNCTION("""COMPUTED_VALUE"""),"#REF!")</f>
        <v>#REF!</v>
      </c>
      <c r="N5885" s="17"/>
      <c r="O5885" s="17"/>
      <c r="P5885" s="17" t="b">
        <f>IFERROR(__xludf.DUMMYFUNCTION("""COMPUTED_VALUE"""),TRUE)</f>
        <v>1</v>
      </c>
      <c r="Q5885" s="20">
        <f>IFERROR(__xludf.DUMMYFUNCTION("""COMPUTED_VALUE"""),45169.49707557871)</f>
        <v>45169.49708</v>
      </c>
      <c r="R5885" s="21" t="str">
        <f>IFERROR(__xludf.DUMMYFUNCTION("""COMPUTED_VALUE"""),"https://drive.google.com/file/d/1wxI0qfSmVP4uluWNsRDtg2_CYNxSLUGe/view?usp=drivesdk")</f>
        <v>https://drive.google.com/file/d/1wxI0qfSmVP4uluWNsRDtg2_CYNxSLUGe/view?usp=drivesdk</v>
      </c>
    </row>
    <row r="5886">
      <c r="A5886" s="15">
        <f>IFERROR(__xludf.DUMMYFUNCTION("""COMPUTED_VALUE"""),45170.0)</f>
        <v>45170</v>
      </c>
      <c r="B5886" s="16" t="str">
        <f>IFERROR(__xludf.DUMMYFUNCTION("""COMPUTED_VALUE"""),"Daniel José sandoval gonzalez")</f>
        <v>Daniel José sandoval gonzalez</v>
      </c>
      <c r="C5886" s="15" t="str">
        <f>IFERROR(__xludf.DUMMYFUNCTION("""COMPUTED_VALUE"""),"BARRANQUILLA")</f>
        <v>BARRANQUILLA</v>
      </c>
      <c r="D5886" s="15" t="str">
        <f>IFERROR(__xludf.DUMMYFUNCTION("""COMPUTED_VALUE"""),"MEDELLÍN")</f>
        <v>MEDELLÍN</v>
      </c>
      <c r="E5886" s="15" t="str">
        <f>IFERROR(__xludf.DUMMYFUNCTION("""COMPUTED_VALUE"""),"Magda")</f>
        <v>Magda</v>
      </c>
      <c r="F5886" s="17" t="str">
        <f>IFERROR(__xludf.DUMMYFUNCTION("""COMPUTED_VALUE"""),"Cra 53 No. 68-55 / Cocinas ocultas / Alto Prado")</f>
        <v>Cra 53 No. 68-55 / Cocinas ocultas / Alto Prado</v>
      </c>
      <c r="G5886" s="15" t="str">
        <f>IFERROR(__xludf.DUMMYFUNCTION("""COMPUTED_VALUE"""),"María José Cervantes")</f>
        <v>María José Cervantes</v>
      </c>
      <c r="H5886" s="16">
        <f>IFERROR(__xludf.DUMMYFUNCTION("""COMPUTED_VALUE"""),14614.0)</f>
        <v>14614</v>
      </c>
      <c r="I5886" s="18">
        <f>IFERROR(__xludf.DUMMYFUNCTION("""COMPUTED_VALUE"""),5.0)</f>
        <v>5</v>
      </c>
      <c r="J5886" s="18">
        <f>IFERROR(__xludf.DUMMYFUNCTION("""COMPUTED_VALUE"""),5.0)</f>
        <v>5</v>
      </c>
      <c r="K5886" s="18">
        <f>IFERROR(__xludf.DUMMYFUNCTION("""COMPUTED_VALUE"""),5.0)</f>
        <v>5</v>
      </c>
      <c r="L5886" s="17">
        <f>IFERROR(__xludf.DUMMYFUNCTION("""COMPUTED_VALUE"""),3.113152215E9)</f>
        <v>3113152215</v>
      </c>
      <c r="M5886" s="17" t="str">
        <f>IFERROR(__xludf.DUMMYFUNCTION("""COMPUTED_VALUE"""),"#REF!")</f>
        <v>#REF!</v>
      </c>
      <c r="N5886" s="17"/>
      <c r="O5886" s="17"/>
      <c r="P5886" s="17" t="b">
        <f>IFERROR(__xludf.DUMMYFUNCTION("""COMPUTED_VALUE"""),TRUE)</f>
        <v>1</v>
      </c>
      <c r="Q5886" s="20">
        <f>IFERROR(__xludf.DUMMYFUNCTION("""COMPUTED_VALUE"""),45173.39436364583)</f>
        <v>45173.39436</v>
      </c>
      <c r="R5886" s="22" t="str">
        <f>IFERROR(__xludf.DUMMYFUNCTION("""COMPUTED_VALUE"""),"")</f>
        <v/>
      </c>
    </row>
    <row r="5887">
      <c r="A5887" s="15">
        <f>IFERROR(__xludf.DUMMYFUNCTION("""COMPUTED_VALUE"""),45170.0)</f>
        <v>45170</v>
      </c>
      <c r="B5887" s="16" t="str">
        <f>IFERROR(__xludf.DUMMYFUNCTION("""COMPUTED_VALUE"""),"Daniel José sandoval gonzalez")</f>
        <v>Daniel José sandoval gonzalez</v>
      </c>
      <c r="C5887" s="15" t="str">
        <f>IFERROR(__xludf.DUMMYFUNCTION("""COMPUTED_VALUE"""),"MEDELLÍN")</f>
        <v>MEDELLÍN</v>
      </c>
      <c r="D5887" s="15" t="str">
        <f>IFERROR(__xludf.DUMMYFUNCTION("""COMPUTED_VALUE"""),"BOGOTÁ")</f>
        <v>BOGOTÁ</v>
      </c>
      <c r="E5887" s="15" t="str">
        <f>IFERROR(__xludf.DUMMYFUNCTION("""COMPUTED_VALUE"""),"Ventura Productos Arg")</f>
        <v>Ventura Productos Arg</v>
      </c>
      <c r="F5887" s="17" t="str">
        <f>IFERROR(__xludf.DUMMYFUNCTION("""COMPUTED_VALUE"""),"Calle 25 sur x carrera 9A. Km 15 Vía Las Palmas / Urbanización Manantiales (Alto de Las Palmas)")</f>
        <v>Calle 25 sur x carrera 9A. Km 15 Vía Las Palmas / Urbanización Manantiales (Alto de Las Palmas)</v>
      </c>
      <c r="G5887" s="15" t="str">
        <f>IFERROR(__xludf.DUMMYFUNCTION("""COMPUTED_VALUE"""),"Luz Ofelia Jaramillo")</f>
        <v>Luz Ofelia Jaramillo</v>
      </c>
      <c r="H5887" s="16">
        <f>IFERROR(__xludf.DUMMYFUNCTION("""COMPUTED_VALUE"""),14552.0)</f>
        <v>14552</v>
      </c>
      <c r="I5887" s="18">
        <f>IFERROR(__xludf.DUMMYFUNCTION("""COMPUTED_VALUE"""),3.0)</f>
        <v>3</v>
      </c>
      <c r="J5887" s="18">
        <f>IFERROR(__xludf.DUMMYFUNCTION("""COMPUTED_VALUE"""),45053.0)</f>
        <v>45053</v>
      </c>
      <c r="K5887" s="18">
        <f>IFERROR(__xludf.DUMMYFUNCTION("""COMPUTED_VALUE"""),22.0)</f>
        <v>22</v>
      </c>
      <c r="L5887" s="17">
        <f>IFERROR(__xludf.DUMMYFUNCTION("""COMPUTED_VALUE"""),3.144844932E9)</f>
        <v>3144844932</v>
      </c>
      <c r="M5887" s="17" t="str">
        <f>IFERROR(__xludf.DUMMYFUNCTION("""COMPUTED_VALUE"""),"#REF!")</f>
        <v>#REF!</v>
      </c>
      <c r="N5887" s="17"/>
      <c r="O5887" s="17"/>
      <c r="P5887" s="17" t="b">
        <f>IFERROR(__xludf.DUMMYFUNCTION("""COMPUTED_VALUE"""),FALSE)</f>
        <v>0</v>
      </c>
      <c r="Q5887" s="20" t="str">
        <f>IFERROR(__xludf.DUMMYFUNCTION("""COMPUTED_VALUE"""),"")</f>
        <v/>
      </c>
      <c r="R5887" s="21" t="str">
        <f>IFERROR(__xludf.DUMMYFUNCTION("""COMPUTED_VALUE"""),"https://drive.google.com/file/d/1rrFI7SaZKzixzTN_-plBEe-5PVPauOvf/view?usp=drivesdk")</f>
        <v>https://drive.google.com/file/d/1rrFI7SaZKzixzTN_-plBEe-5PVPauOvf/view?usp=drivesdk</v>
      </c>
    </row>
    <row r="5888">
      <c r="A5888" s="15">
        <f>IFERROR(__xludf.DUMMYFUNCTION("""COMPUTED_VALUE"""),45170.0)</f>
        <v>45170</v>
      </c>
      <c r="B5888" s="16" t="str">
        <f>IFERROR(__xludf.DUMMYFUNCTION("""COMPUTED_VALUE"""),"Daniel José sandoval gonzalez")</f>
        <v>Daniel José sandoval gonzalez</v>
      </c>
      <c r="C5888" s="15" t="str">
        <f>IFERROR(__xludf.DUMMYFUNCTION("""COMPUTED_VALUE"""),"MEDELLÍN")</f>
        <v>MEDELLÍN</v>
      </c>
      <c r="D5888" s="15" t="str">
        <f>IFERROR(__xludf.DUMMYFUNCTION("""COMPUTED_VALUE"""),"BOGOTÁ")</f>
        <v>BOGOTÁ</v>
      </c>
      <c r="E5888" s="15" t="str">
        <f>IFERROR(__xludf.DUMMYFUNCTION("""COMPUTED_VALUE"""),"Ventura Productos Arg")</f>
        <v>Ventura Productos Arg</v>
      </c>
      <c r="F5888" s="17" t="str">
        <f>IFERROR(__xludf.DUMMYFUNCTION("""COMPUTED_VALUE"""),"Calle 25 sur x carrera 9A. Km 15 Vía Las Palmas / Urbanización Manantiales (Alto de Las Palmas)")</f>
        <v>Calle 25 sur x carrera 9A. Km 15 Vía Las Palmas / Urbanización Manantiales (Alto de Las Palmas)</v>
      </c>
      <c r="G5888" s="15" t="str">
        <f>IFERROR(__xludf.DUMMYFUNCTION("""COMPUTED_VALUE"""),"Luz Ofelia Jaramillo")</f>
        <v>Luz Ofelia Jaramillo</v>
      </c>
      <c r="H5888" s="16">
        <f>IFERROR(__xludf.DUMMYFUNCTION("""COMPUTED_VALUE"""),14553.0)</f>
        <v>14553</v>
      </c>
      <c r="I5888" s="18">
        <f>IFERROR(__xludf.DUMMYFUNCTION("""COMPUTED_VALUE"""),3.0)</f>
        <v>3</v>
      </c>
      <c r="J5888" s="18">
        <f>IFERROR(__xludf.DUMMYFUNCTION("""COMPUTED_VALUE"""),45060.0)</f>
        <v>45060</v>
      </c>
      <c r="K5888" s="18">
        <f>IFERROR(__xludf.DUMMYFUNCTION("""COMPUTED_VALUE"""),22.0)</f>
        <v>22</v>
      </c>
      <c r="L5888" s="17">
        <f>IFERROR(__xludf.DUMMYFUNCTION("""COMPUTED_VALUE"""),3.144844932E9)</f>
        <v>3144844932</v>
      </c>
      <c r="M5888" s="17" t="str">
        <f>IFERROR(__xludf.DUMMYFUNCTION("""COMPUTED_VALUE"""),"#REF!")</f>
        <v>#REF!</v>
      </c>
      <c r="N5888" s="17"/>
      <c r="O5888" s="17"/>
      <c r="P5888" s="17" t="b">
        <f>IFERROR(__xludf.DUMMYFUNCTION("""COMPUTED_VALUE"""),FALSE)</f>
        <v>0</v>
      </c>
      <c r="Q5888" s="20" t="str">
        <f>IFERROR(__xludf.DUMMYFUNCTION("""COMPUTED_VALUE"""),"")</f>
        <v/>
      </c>
      <c r="R5888" s="22" t="str">
        <f>IFERROR(__xludf.DUMMYFUNCTION("""COMPUTED_VALUE"""),"")</f>
        <v/>
      </c>
    </row>
    <row r="5889">
      <c r="A5889" s="17" t="str">
        <f>IFERROR(__xludf.DUMMYFUNCTION("""COMPUTED_VALUE"""),"")</f>
        <v/>
      </c>
      <c r="B5889" s="17" t="str">
        <f>IFERROR(__xludf.DUMMYFUNCTION("""COMPUTED_VALUE"""),"")</f>
        <v/>
      </c>
      <c r="C5889" s="17" t="str">
        <f>IFERROR(__xludf.DUMMYFUNCTION("""COMPUTED_VALUE"""),"")</f>
        <v/>
      </c>
      <c r="D5889" s="17" t="str">
        <f>IFERROR(__xludf.DUMMYFUNCTION("""COMPUTED_VALUE"""),"")</f>
        <v/>
      </c>
      <c r="E5889" s="17" t="str">
        <f>IFERROR(__xludf.DUMMYFUNCTION("""COMPUTED_VALUE"""),"")</f>
        <v/>
      </c>
      <c r="F5889" s="17" t="str">
        <f>IFERROR(__xludf.DUMMYFUNCTION("""COMPUTED_VALUE"""),"")</f>
        <v/>
      </c>
      <c r="G5889" s="17" t="str">
        <f>IFERROR(__xludf.DUMMYFUNCTION("""COMPUTED_VALUE"""),"")</f>
        <v/>
      </c>
      <c r="H5889" s="17" t="str">
        <f>IFERROR(__xludf.DUMMYFUNCTION("""COMPUTED_VALUE"""),"")</f>
        <v/>
      </c>
      <c r="I5889" s="17" t="str">
        <f>IFERROR(__xludf.DUMMYFUNCTION("""COMPUTED_VALUE"""),"")</f>
        <v/>
      </c>
      <c r="J5889" s="17" t="str">
        <f>IFERROR(__xludf.DUMMYFUNCTION("""COMPUTED_VALUE"""),"")</f>
        <v/>
      </c>
      <c r="K5889" s="17" t="str">
        <f>IFERROR(__xludf.DUMMYFUNCTION("""COMPUTED_VALUE"""),"")</f>
        <v/>
      </c>
      <c r="L5889" s="17" t="str">
        <f>IFERROR(__xludf.DUMMYFUNCTION("""COMPUTED_VALUE"""),"")</f>
        <v/>
      </c>
      <c r="M5889" s="17" t="str">
        <f>IFERROR(__xludf.DUMMYFUNCTION("""COMPUTED_VALUE"""),"")</f>
        <v/>
      </c>
      <c r="N5889" s="17" t="str">
        <f>IFERROR(__xludf.DUMMYFUNCTION("""COMPUTED_VALUE"""),"")</f>
        <v/>
      </c>
      <c r="O5889" s="17" t="str">
        <f>IFERROR(__xludf.DUMMYFUNCTION("""COMPUTED_VALUE"""),"")</f>
        <v/>
      </c>
      <c r="P5889" s="17" t="str">
        <f>IFERROR(__xludf.DUMMYFUNCTION("""COMPUTED_VALUE"""),"")</f>
        <v/>
      </c>
      <c r="Q5889" s="17" t="str">
        <f>IFERROR(__xludf.DUMMYFUNCTION("""COMPUTED_VALUE"""),"")</f>
        <v/>
      </c>
      <c r="R5889" s="17" t="str">
        <f>IFERROR(__xludf.DUMMYFUNCTION("""COMPUTED_VALUE"""),"")</f>
        <v/>
      </c>
    </row>
    <row r="5890">
      <c r="A5890" s="15">
        <f>IFERROR(__xludf.DUMMYFUNCTION("""COMPUTED_VALUE"""),45170.0)</f>
        <v>45170</v>
      </c>
      <c r="B5890" s="16" t="str">
        <f>IFERROR(__xludf.DUMMYFUNCTION("""COMPUTED_VALUE"""),"Envia")</f>
        <v>Envia</v>
      </c>
      <c r="C5890" s="15" t="str">
        <f>IFERROR(__xludf.DUMMYFUNCTION("""COMPUTED_VALUE"""),"BARRANQUILLA")</f>
        <v>BARRANQUILLA</v>
      </c>
      <c r="D5890" s="15" t="str">
        <f>IFERROR(__xludf.DUMMYFUNCTION("""COMPUTED_VALUE"""),"BOGOTÁ")</f>
        <v>BOGOTÁ</v>
      </c>
      <c r="E5890" s="15" t="str">
        <f>IFERROR(__xludf.DUMMYFUNCTION("""COMPUTED_VALUE"""),"MAI ALIMENTOS S.A.S")</f>
        <v>MAI ALIMENTOS S.A.S</v>
      </c>
      <c r="F5890" s="17" t="str">
        <f>IFERROR(__xludf.DUMMYFUNCTION("""COMPUTED_VALUE"""),"Calle 110 # 6 – 335 Bod. M10 - M11 Centro Industrial Metroparque / Ricardo Andres Velez Restrepo - Novaventas Barranquilla, Atlántico")</f>
        <v>Calle 110 # 6 – 335 Bod. M10 - M11 Centro Industrial Metroparque / Ricardo Andres Velez Restrepo - Novaventas Barranquilla, Atlántico</v>
      </c>
      <c r="G5890" s="15" t="str">
        <f>IFERROR(__xludf.DUMMYFUNCTION("""COMPUTED_VALUE"""),"Novaventas")</f>
        <v>Novaventas</v>
      </c>
      <c r="H5890" s="16">
        <f>IFERROR(__xludf.DUMMYFUNCTION("""COMPUTED_VALUE"""),14502.0)</f>
        <v>14502</v>
      </c>
      <c r="I5890" s="18">
        <f>IFERROR(__xludf.DUMMYFUNCTION("""COMPUTED_VALUE"""),28.0)</f>
        <v>28</v>
      </c>
      <c r="J5890" s="18">
        <f>IFERROR(__xludf.DUMMYFUNCTION("""COMPUTED_VALUE"""),17.0)</f>
        <v>17</v>
      </c>
      <c r="K5890" s="18">
        <f>IFERROR(__xludf.DUMMYFUNCTION("""COMPUTED_VALUE"""),13.0)</f>
        <v>13</v>
      </c>
      <c r="L5890" s="17"/>
      <c r="M5890" s="17" t="str">
        <f>IFERROR(__xludf.DUMMYFUNCTION("""COMPUTED_VALUE"""),"#REF!")</f>
        <v>#REF!</v>
      </c>
      <c r="N5890" s="17"/>
      <c r="O5890" s="17"/>
      <c r="P5890" s="17" t="b">
        <f>IFERROR(__xludf.DUMMYFUNCTION("""COMPUTED_VALUE"""),FALSE)</f>
        <v>0</v>
      </c>
      <c r="Q5890" s="20" t="str">
        <f>IFERROR(__xludf.DUMMYFUNCTION("""COMPUTED_VALUE"""),"")</f>
        <v/>
      </c>
      <c r="R5890" s="22" t="str">
        <f>IFERROR(__xludf.DUMMYFUNCTION("""COMPUTED_VALUE"""),"")</f>
        <v/>
      </c>
    </row>
    <row r="5891">
      <c r="A5891" s="15">
        <f>IFERROR(__xludf.DUMMYFUNCTION("""COMPUTED_VALUE"""),45170.0)</f>
        <v>45170</v>
      </c>
      <c r="B5891" s="16" t="str">
        <f>IFERROR(__xludf.DUMMYFUNCTION("""COMPUTED_VALUE"""),"Envia")</f>
        <v>Envia</v>
      </c>
      <c r="C5891" s="15" t="str">
        <f>IFERROR(__xludf.DUMMYFUNCTION("""COMPUTED_VALUE"""),"BARRANQUILLA")</f>
        <v>BARRANQUILLA</v>
      </c>
      <c r="D5891" s="15" t="str">
        <f>IFERROR(__xludf.DUMMYFUNCTION("""COMPUTED_VALUE"""),"BOGOTÁ")</f>
        <v>BOGOTÁ</v>
      </c>
      <c r="E5891" s="15" t="str">
        <f>IFERROR(__xludf.DUMMYFUNCTION("""COMPUTED_VALUE"""),"Pan de Waffle")</f>
        <v>Pan de Waffle</v>
      </c>
      <c r="F5891" s="17" t="str">
        <f>IFERROR(__xludf.DUMMYFUNCTION("""COMPUTED_VALUE"""),"Carrera 45 # 85 - 168 / Carrera 45 # 85 - 168 / Carrera 45 # 85 - 168")</f>
        <v>Carrera 45 # 85 - 168 / Carrera 45 # 85 - 168 / Carrera 45 # 85 - 168</v>
      </c>
      <c r="G5891" s="15" t="str">
        <f>IFERROR(__xludf.DUMMYFUNCTION("""COMPUTED_VALUE"""),"FOODOLOGY")</f>
        <v>FOODOLOGY</v>
      </c>
      <c r="H5891" s="16">
        <f>IFERROR(__xludf.DUMMYFUNCTION("""COMPUTED_VALUE"""),14610.0)</f>
        <v>14610</v>
      </c>
      <c r="I5891" s="18">
        <f>IFERROR(__xludf.DUMMYFUNCTION("""COMPUTED_VALUE"""),40.0)</f>
        <v>40</v>
      </c>
      <c r="J5891" s="18">
        <f>IFERROR(__xludf.DUMMYFUNCTION("""COMPUTED_VALUE"""),40.0)</f>
        <v>40</v>
      </c>
      <c r="K5891" s="18">
        <f>IFERROR(__xludf.DUMMYFUNCTION("""COMPUTED_VALUE"""),30.0)</f>
        <v>30</v>
      </c>
      <c r="L5891" s="17">
        <f>IFERROR(__xludf.DUMMYFUNCTION("""COMPUTED_VALUE"""),3.017001909E9)</f>
        <v>3017001909</v>
      </c>
      <c r="M5891" s="17" t="str">
        <f>IFERROR(__xludf.DUMMYFUNCTION("""COMPUTED_VALUE"""),"#REF!")</f>
        <v>#REF!</v>
      </c>
      <c r="N5891" s="17"/>
      <c r="O5891" s="17"/>
      <c r="P5891" s="17" t="b">
        <f>IFERROR(__xludf.DUMMYFUNCTION("""COMPUTED_VALUE"""),FALSE)</f>
        <v>0</v>
      </c>
      <c r="Q5891" s="20" t="str">
        <f>IFERROR(__xludf.DUMMYFUNCTION("""COMPUTED_VALUE"""),"")</f>
        <v/>
      </c>
      <c r="R5891" s="21" t="str">
        <f>IFERROR(__xludf.DUMMYFUNCTION("""COMPUTED_VALUE"""),"https://drive.google.com/file/d/1If6RQHCO4VHRM5qJ8AJalVm72RIjKzZQ/view?usp=drivesdk")</f>
        <v>https://drive.google.com/file/d/1If6RQHCO4VHRM5qJ8AJalVm72RIjKzZQ/view?usp=drivesdk</v>
      </c>
    </row>
    <row r="5892">
      <c r="A5892" s="15">
        <f>IFERROR(__xludf.DUMMYFUNCTION("""COMPUTED_VALUE"""),45170.0)</f>
        <v>45170</v>
      </c>
      <c r="B5892" s="16" t="str">
        <f>IFERROR(__xludf.DUMMYFUNCTION("""COMPUTED_VALUE"""),"Envia")</f>
        <v>Envia</v>
      </c>
      <c r="C5892" s="15" t="str">
        <f>IFERROR(__xludf.DUMMYFUNCTION("""COMPUTED_VALUE"""),"BARRANQUILLA")</f>
        <v>BARRANQUILLA</v>
      </c>
      <c r="D5892" s="15" t="str">
        <f>IFERROR(__xludf.DUMMYFUNCTION("""COMPUTED_VALUE"""),"MEDELLÍN")</f>
        <v>MEDELLÍN</v>
      </c>
      <c r="E5892" s="15" t="str">
        <f>IFERROR(__xludf.DUMMYFUNCTION("""COMPUTED_VALUE"""),"Moloso S.A.S")</f>
        <v>Moloso S.A.S</v>
      </c>
      <c r="F5892" s="17" t="str">
        <f>IFERROR(__xludf.DUMMYFUNCTION("""COMPUTED_VALUE"""),"CARRERA 49B  74 142 / APTO 303  ED MARTHA ELENA")</f>
        <v>CARRERA 49B  74 142 / APTO 303  ED MARTHA ELENA</v>
      </c>
      <c r="G5892" s="15" t="str">
        <f>IFERROR(__xludf.DUMMYFUNCTION("""COMPUTED_VALUE"""),"SILVANA RUBIO AFRICAN")</f>
        <v>SILVANA RUBIO AFRICAN</v>
      </c>
      <c r="H5892" s="16">
        <f>IFERROR(__xludf.DUMMYFUNCTION("""COMPUTED_VALUE"""),14605.0)</f>
        <v>14605</v>
      </c>
      <c r="I5892" s="18">
        <f>IFERROR(__xludf.DUMMYFUNCTION("""COMPUTED_VALUE"""),17.0)</f>
        <v>17</v>
      </c>
      <c r="J5892" s="18">
        <f>IFERROR(__xludf.DUMMYFUNCTION("""COMPUTED_VALUE"""),15.0)</f>
        <v>15</v>
      </c>
      <c r="K5892" s="18">
        <f>IFERROR(__xludf.DUMMYFUNCTION("""COMPUTED_VALUE"""),28.0)</f>
        <v>28</v>
      </c>
      <c r="L5892" s="17" t="str">
        <f>IFERROR(__xludf.DUMMYFUNCTION("""COMPUTED_VALUE"""),"300 3469905")</f>
        <v>300 3469905</v>
      </c>
      <c r="M5892" s="17" t="str">
        <f>IFERROR(__xludf.DUMMYFUNCTION("""COMPUTED_VALUE"""),"#REF!")</f>
        <v>#REF!</v>
      </c>
      <c r="N5892" s="17"/>
      <c r="O5892" s="17"/>
      <c r="P5892" s="17" t="b">
        <f>IFERROR(__xludf.DUMMYFUNCTION("""COMPUTED_VALUE"""),FALSE)</f>
        <v>0</v>
      </c>
      <c r="Q5892" s="20" t="str">
        <f>IFERROR(__xludf.DUMMYFUNCTION("""COMPUTED_VALUE"""),"")</f>
        <v/>
      </c>
      <c r="R5892" s="21" t="str">
        <f>IFERROR(__xludf.DUMMYFUNCTION("""COMPUTED_VALUE"""),"https://drive.google.com/file/d/1vsUZTPywjGL4Z591BUbVFAG1M2TdaWw2/view?usp=drivesdk")</f>
        <v>https://drive.google.com/file/d/1vsUZTPywjGL4Z591BUbVFAG1M2TdaWw2/view?usp=drivesdk</v>
      </c>
    </row>
    <row r="5893">
      <c r="A5893" s="15">
        <f>IFERROR(__xludf.DUMMYFUNCTION("""COMPUTED_VALUE"""),45170.0)</f>
        <v>45170</v>
      </c>
      <c r="B5893" s="16" t="str">
        <f>IFERROR(__xludf.DUMMYFUNCTION("""COMPUTED_VALUE"""),"Envia")</f>
        <v>Envia</v>
      </c>
      <c r="C5893" s="15" t="str">
        <f>IFERROR(__xludf.DUMMYFUNCTION("""COMPUTED_VALUE"""),"BARRANQUILLA")</f>
        <v>BARRANQUILLA</v>
      </c>
      <c r="D5893" s="15" t="str">
        <f>IFERROR(__xludf.DUMMYFUNCTION("""COMPUTED_VALUE"""),"MEDELLÍN")</f>
        <v>MEDELLÍN</v>
      </c>
      <c r="E5893" s="15" t="str">
        <f>IFERROR(__xludf.DUMMYFUNCTION("""COMPUTED_VALUE"""),"Rambla")</f>
        <v>Rambla</v>
      </c>
      <c r="F5893" s="17" t="str">
        <f>IFERROR(__xludf.DUMMYFUNCTION("""COMPUTED_VALUE"""),"Carrera 67 no 81-95 Barrio paraíso / - / -")</f>
        <v>Carrera 67 no 81-95 Barrio paraíso / - / -</v>
      </c>
      <c r="G5893" s="15" t="str">
        <f>IFERROR(__xludf.DUMMYFUNCTION("""COMPUTED_VALUE"""),"Santiago Arbelaez")</f>
        <v>Santiago Arbelaez</v>
      </c>
      <c r="H5893" s="16">
        <f>IFERROR(__xludf.DUMMYFUNCTION("""COMPUTED_VALUE"""),14602.0)</f>
        <v>14602</v>
      </c>
      <c r="I5893" s="18">
        <f>IFERROR(__xludf.DUMMYFUNCTION("""COMPUTED_VALUE"""),25.0)</f>
        <v>25</v>
      </c>
      <c r="J5893" s="18">
        <f>IFERROR(__xludf.DUMMYFUNCTION("""COMPUTED_VALUE"""),30.0)</f>
        <v>30</v>
      </c>
      <c r="K5893" s="18">
        <f>IFERROR(__xludf.DUMMYFUNCTION("""COMPUTED_VALUE"""),24.0)</f>
        <v>24</v>
      </c>
      <c r="L5893" s="17">
        <f>IFERROR(__xludf.DUMMYFUNCTION("""COMPUTED_VALUE"""),3.204749856E9)</f>
        <v>3204749856</v>
      </c>
      <c r="M5893" s="17" t="str">
        <f>IFERROR(__xludf.DUMMYFUNCTION("""COMPUTED_VALUE"""),"#REF!")</f>
        <v>#REF!</v>
      </c>
      <c r="N5893" s="17"/>
      <c r="O5893" s="17"/>
      <c r="P5893" s="17" t="b">
        <f>IFERROR(__xludf.DUMMYFUNCTION("""COMPUTED_VALUE"""),FALSE)</f>
        <v>0</v>
      </c>
      <c r="Q5893" s="20" t="str">
        <f>IFERROR(__xludf.DUMMYFUNCTION("""COMPUTED_VALUE"""),"")</f>
        <v/>
      </c>
      <c r="R5893" s="21" t="str">
        <f>IFERROR(__xludf.DUMMYFUNCTION("""COMPUTED_VALUE"""),"https://drive.google.com/file/d/1B3PbOT05bY7ZHJm-P4ikMAxo6zL_6_2H/view?usp=drivesdk")</f>
        <v>https://drive.google.com/file/d/1B3PbOT05bY7ZHJm-P4ikMAxo6zL_6_2H/view?usp=drivesdk</v>
      </c>
    </row>
    <row r="5894">
      <c r="A5894" s="15">
        <f>IFERROR(__xludf.DUMMYFUNCTION("""COMPUTED_VALUE"""),45170.0)</f>
        <v>45170</v>
      </c>
      <c r="B5894" s="16" t="str">
        <f>IFERROR(__xludf.DUMMYFUNCTION("""COMPUTED_VALUE"""),"Envia")</f>
        <v>Envia</v>
      </c>
      <c r="C5894" s="15" t="str">
        <f>IFERROR(__xludf.DUMMYFUNCTION("""COMPUTED_VALUE"""),"BOGOTÁ")</f>
        <v>BOGOTÁ</v>
      </c>
      <c r="D5894" s="15" t="str">
        <f>IFERROR(__xludf.DUMMYFUNCTION("""COMPUTED_VALUE"""),"MEDELLÍN")</f>
        <v>MEDELLÍN</v>
      </c>
      <c r="E5894" s="15" t="str">
        <f>IFERROR(__xludf.DUMMYFUNCTION("""COMPUTED_VALUE"""),"Baby Chef")</f>
        <v>Baby Chef</v>
      </c>
      <c r="F5894" s="17" t="str">
        <f>IFERROR(__xludf.DUMMYFUNCTION("""COMPUTED_VALUE"""),"carrera 17 173-52 torre 5 ap 1601, Barrio alameda / carrera 17 173-52 torre 5 ap 1601, Barrio alameda / BOGOTA")</f>
        <v>carrera 17 173-52 torre 5 ap 1601, Barrio alameda / carrera 17 173-52 torre 5 ap 1601, Barrio alameda / BOGOTA</v>
      </c>
      <c r="G5894" s="15" t="str">
        <f>IFERROR(__xludf.DUMMYFUNCTION("""COMPUTED_VALUE"""),"Natalia Buitrago")</f>
        <v>Natalia Buitrago</v>
      </c>
      <c r="H5894" s="16">
        <f>IFERROR(__xludf.DUMMYFUNCTION("""COMPUTED_VALUE"""),14641.0)</f>
        <v>14641</v>
      </c>
      <c r="I5894" s="18">
        <f>IFERROR(__xludf.DUMMYFUNCTION("""COMPUTED_VALUE"""),7.0)</f>
        <v>7</v>
      </c>
      <c r="J5894" s="18">
        <f>IFERROR(__xludf.DUMMYFUNCTION("""COMPUTED_VALUE"""),23.0)</f>
        <v>23</v>
      </c>
      <c r="K5894" s="18">
        <f>IFERROR(__xludf.DUMMYFUNCTION("""COMPUTED_VALUE"""),34.0)</f>
        <v>34</v>
      </c>
      <c r="L5894" s="17">
        <f>IFERROR(__xludf.DUMMYFUNCTION("""COMPUTED_VALUE"""),3.208996417E9)</f>
        <v>3208996417</v>
      </c>
      <c r="M5894" s="17" t="str">
        <f>IFERROR(__xludf.DUMMYFUNCTION("""COMPUTED_VALUE"""),"#REF!")</f>
        <v>#REF!</v>
      </c>
      <c r="N5894" s="17"/>
      <c r="O5894" s="17"/>
      <c r="P5894" s="17" t="b">
        <f>IFERROR(__xludf.DUMMYFUNCTION("""COMPUTED_VALUE"""),FALSE)</f>
        <v>0</v>
      </c>
      <c r="Q5894" s="20" t="str">
        <f>IFERROR(__xludf.DUMMYFUNCTION("""COMPUTED_VALUE"""),"")</f>
        <v/>
      </c>
      <c r="R5894" s="21" t="str">
        <f>IFERROR(__xludf.DUMMYFUNCTION("""COMPUTED_VALUE"""),"https://drive.google.com/file/d/1MTqZz_b4IYUX1LPkIPvG-sYe3oKs7XHj/view?usp=drivesdk")</f>
        <v>https://drive.google.com/file/d/1MTqZz_b4IYUX1LPkIPvG-sYe3oKs7XHj/view?usp=drivesdk</v>
      </c>
    </row>
    <row r="5895">
      <c r="A5895" s="15">
        <f>IFERROR(__xludf.DUMMYFUNCTION("""COMPUTED_VALUE"""),45170.0)</f>
        <v>45170</v>
      </c>
      <c r="B5895" s="16" t="str">
        <f>IFERROR(__xludf.DUMMYFUNCTION("""COMPUTED_VALUE"""),"Envia")</f>
        <v>Envia</v>
      </c>
      <c r="C5895" s="15" t="str">
        <f>IFERROR(__xludf.DUMMYFUNCTION("""COMPUTED_VALUE"""),"CÚCUTA")</f>
        <v>CÚCUTA</v>
      </c>
      <c r="D5895" s="15" t="str">
        <f>IFERROR(__xludf.DUMMYFUNCTION("""COMPUTED_VALUE"""),"BOGOTÁ")</f>
        <v>BOGOTÁ</v>
      </c>
      <c r="E5895" s="15" t="str">
        <f>IFERROR(__xludf.DUMMYFUNCTION("""COMPUTED_VALUE"""),"Evamazzita")</f>
        <v>Evamazzita</v>
      </c>
      <c r="F5895" s="17" t="str">
        <f>IFERROR(__xludf.DUMMYFUNCTION("""COMPUTED_VALUE"""),"Av 2E # 15A -17 /  Caobos /  Caobos")</f>
        <v>Av 2E # 15A -17 /  Caobos /  Caobos</v>
      </c>
      <c r="G5895" s="15" t="str">
        <f>IFERROR(__xludf.DUMMYFUNCTION("""COMPUTED_VALUE"""),"DACCY KARINA LOPEZ MORENO")</f>
        <v>DACCY KARINA LOPEZ MORENO</v>
      </c>
      <c r="H5895" s="16">
        <f>IFERROR(__xludf.DUMMYFUNCTION("""COMPUTED_VALUE"""),14568.0)</f>
        <v>14568</v>
      </c>
      <c r="I5895" s="18">
        <f>IFERROR(__xludf.DUMMYFUNCTION("""COMPUTED_VALUE"""),20.0)</f>
        <v>20</v>
      </c>
      <c r="J5895" s="18">
        <f>IFERROR(__xludf.DUMMYFUNCTION("""COMPUTED_VALUE"""),35.0)</f>
        <v>35</v>
      </c>
      <c r="K5895" s="18">
        <f>IFERROR(__xludf.DUMMYFUNCTION("""COMPUTED_VALUE"""),27.0)</f>
        <v>27</v>
      </c>
      <c r="L5895" s="17">
        <f>IFERROR(__xludf.DUMMYFUNCTION("""COMPUTED_VALUE"""),3.208615379E9)</f>
        <v>3208615379</v>
      </c>
      <c r="M5895" s="17" t="str">
        <f>IFERROR(__xludf.DUMMYFUNCTION("""COMPUTED_VALUE"""),"#REF!")</f>
        <v>#REF!</v>
      </c>
      <c r="N5895" s="17"/>
      <c r="O5895" s="17"/>
      <c r="P5895" s="17" t="b">
        <f>IFERROR(__xludf.DUMMYFUNCTION("""COMPUTED_VALUE"""),FALSE)</f>
        <v>0</v>
      </c>
      <c r="Q5895" s="20" t="str">
        <f>IFERROR(__xludf.DUMMYFUNCTION("""COMPUTED_VALUE"""),"")</f>
        <v/>
      </c>
      <c r="R5895" s="22" t="str">
        <f>IFERROR(__xludf.DUMMYFUNCTION("""COMPUTED_VALUE"""),"")</f>
        <v/>
      </c>
    </row>
    <row r="5896">
      <c r="A5896" s="15">
        <f>IFERROR(__xludf.DUMMYFUNCTION("""COMPUTED_VALUE"""),45170.0)</f>
        <v>45170</v>
      </c>
      <c r="B5896" s="16" t="str">
        <f>IFERROR(__xludf.DUMMYFUNCTION("""COMPUTED_VALUE"""),"Envia")</f>
        <v>Envia</v>
      </c>
      <c r="C5896" s="15" t="str">
        <f>IFERROR(__xludf.DUMMYFUNCTION("""COMPUTED_VALUE"""),"MEDELLÍN")</f>
        <v>MEDELLÍN</v>
      </c>
      <c r="D5896" s="15" t="str">
        <f>IFERROR(__xludf.DUMMYFUNCTION("""COMPUTED_VALUE"""),"BOGOTÁ")</f>
        <v>BOGOTÁ</v>
      </c>
      <c r="E5896" s="15" t="str">
        <f>IFERROR(__xludf.DUMMYFUNCTION("""COMPUTED_VALUE"""),"Loomifoods")</f>
        <v>Loomifoods</v>
      </c>
      <c r="F5896" s="17" t="str">
        <f>IFERROR(__xludf.DUMMYFUNCTION("""COMPUTED_VALUE"""),"Calle 21 # 81-70  / Urbanización Tierralta 1, Bloque 12 apto. 813  / detrás del consumo de la 80")</f>
        <v>Calle 21 # 81-70  / Urbanización Tierralta 1, Bloque 12 apto. 813  / detrás del consumo de la 80</v>
      </c>
      <c r="G5896" s="15" t="str">
        <f>IFERROR(__xludf.DUMMYFUNCTION("""COMPUTED_VALUE"""),"Sara Vargas")</f>
        <v>Sara Vargas</v>
      </c>
      <c r="H5896" s="16">
        <f>IFERROR(__xludf.DUMMYFUNCTION("""COMPUTED_VALUE"""),14654.0)</f>
        <v>14654</v>
      </c>
      <c r="I5896" s="18">
        <f>IFERROR(__xludf.DUMMYFUNCTION("""COMPUTED_VALUE"""),19.0)</f>
        <v>19</v>
      </c>
      <c r="J5896" s="18">
        <f>IFERROR(__xludf.DUMMYFUNCTION("""COMPUTED_VALUE"""),10.0)</f>
        <v>10</v>
      </c>
      <c r="K5896" s="18">
        <f>IFERROR(__xludf.DUMMYFUNCTION("""COMPUTED_VALUE"""),16.0)</f>
        <v>16</v>
      </c>
      <c r="L5896" s="17">
        <f>IFERROR(__xludf.DUMMYFUNCTION("""COMPUTED_VALUE"""),3.164282209E9)</f>
        <v>3164282209</v>
      </c>
      <c r="M5896" s="17" t="str">
        <f>IFERROR(__xludf.DUMMYFUNCTION("""COMPUTED_VALUE"""),"#REF!")</f>
        <v>#REF!</v>
      </c>
      <c r="N5896" s="17"/>
      <c r="O5896" s="17"/>
      <c r="P5896" s="17" t="b">
        <f>IFERROR(__xludf.DUMMYFUNCTION("""COMPUTED_VALUE"""),FALSE)</f>
        <v>0</v>
      </c>
      <c r="Q5896" s="20" t="str">
        <f>IFERROR(__xludf.DUMMYFUNCTION("""COMPUTED_VALUE"""),"")</f>
        <v/>
      </c>
      <c r="R5896" s="21" t="str">
        <f>IFERROR(__xludf.DUMMYFUNCTION("""COMPUTED_VALUE"""),"https://drive.google.com/file/d/1kYtqflEXeLLDJz0yZu4QU9ZI5WfDUiG4/view?usp=drivesdk")</f>
        <v>https://drive.google.com/file/d/1kYtqflEXeLLDJz0yZu4QU9ZI5WfDUiG4/view?usp=drivesdk</v>
      </c>
    </row>
    <row r="5897">
      <c r="A5897" s="15">
        <f>IFERROR(__xludf.DUMMYFUNCTION("""COMPUTED_VALUE"""),45170.0)</f>
        <v>45170</v>
      </c>
      <c r="B5897" s="16" t="str">
        <f>IFERROR(__xludf.DUMMYFUNCTION("""COMPUTED_VALUE"""),"Envia")</f>
        <v>Envia</v>
      </c>
      <c r="C5897" s="15" t="str">
        <f>IFERROR(__xludf.DUMMYFUNCTION("""COMPUTED_VALUE"""),"MEDELLÍN")</f>
        <v>MEDELLÍN</v>
      </c>
      <c r="D5897" s="15" t="str">
        <f>IFERROR(__xludf.DUMMYFUNCTION("""COMPUTED_VALUE"""),"BOGOTÁ")</f>
        <v>BOGOTÁ</v>
      </c>
      <c r="E5897" s="15" t="str">
        <f>IFERROR(__xludf.DUMMYFUNCTION("""COMPUTED_VALUE"""),"Loomifoods")</f>
        <v>Loomifoods</v>
      </c>
      <c r="F5897" s="17" t="str">
        <f>IFERROR(__xludf.DUMMYFUNCTION("""COMPUTED_VALUE"""),"Cra 46 n 19 sur 100  / edificio pinares de zuñiga apto 603  / envigado")</f>
        <v>Cra 46 n 19 sur 100  / edificio pinares de zuñiga apto 603  / envigado</v>
      </c>
      <c r="G5897" s="15" t="str">
        <f>IFERROR(__xludf.DUMMYFUNCTION("""COMPUTED_VALUE"""),"Paula Gomez")</f>
        <v>Paula Gomez</v>
      </c>
      <c r="H5897" s="16">
        <f>IFERROR(__xludf.DUMMYFUNCTION("""COMPUTED_VALUE"""),14653.0)</f>
        <v>14653</v>
      </c>
      <c r="I5897" s="18">
        <f>IFERROR(__xludf.DUMMYFUNCTION("""COMPUTED_VALUE"""),19.0)</f>
        <v>19</v>
      </c>
      <c r="J5897" s="18">
        <f>IFERROR(__xludf.DUMMYFUNCTION("""COMPUTED_VALUE"""),10.0)</f>
        <v>10</v>
      </c>
      <c r="K5897" s="18">
        <f>IFERROR(__xludf.DUMMYFUNCTION("""COMPUTED_VALUE"""),16.0)</f>
        <v>16</v>
      </c>
      <c r="L5897" s="17">
        <f>IFERROR(__xludf.DUMMYFUNCTION("""COMPUTED_VALUE"""),3.112548177E9)</f>
        <v>3112548177</v>
      </c>
      <c r="M5897" s="17" t="str">
        <f>IFERROR(__xludf.DUMMYFUNCTION("""COMPUTED_VALUE"""),"#REF!")</f>
        <v>#REF!</v>
      </c>
      <c r="N5897" s="17"/>
      <c r="O5897" s="17"/>
      <c r="P5897" s="17" t="b">
        <f>IFERROR(__xludf.DUMMYFUNCTION("""COMPUTED_VALUE"""),FALSE)</f>
        <v>0</v>
      </c>
      <c r="Q5897" s="20" t="str">
        <f>IFERROR(__xludf.DUMMYFUNCTION("""COMPUTED_VALUE"""),"")</f>
        <v/>
      </c>
      <c r="R5897" s="21" t="str">
        <f>IFERROR(__xludf.DUMMYFUNCTION("""COMPUTED_VALUE"""),"https://drive.google.com/file/d/16beAVR1VqT4QRik2I_FfHYEXUJdWZbFR/view?usp=drivesdk")</f>
        <v>https://drive.google.com/file/d/16beAVR1VqT4QRik2I_FfHYEXUJdWZbFR/view?usp=drivesdk</v>
      </c>
    </row>
    <row r="5898">
      <c r="A5898" s="15">
        <f>IFERROR(__xludf.DUMMYFUNCTION("""COMPUTED_VALUE"""),45170.0)</f>
        <v>45170</v>
      </c>
      <c r="B5898" s="16" t="str">
        <f>IFERROR(__xludf.DUMMYFUNCTION("""COMPUTED_VALUE"""),"Envia")</f>
        <v>Envia</v>
      </c>
      <c r="C5898" s="15" t="str">
        <f>IFERROR(__xludf.DUMMYFUNCTION("""COMPUTED_VALUE"""),"SANTA MARTA")</f>
        <v>SANTA MARTA</v>
      </c>
      <c r="D5898" s="15" t="str">
        <f>IFERROR(__xludf.DUMMYFUNCTION("""COMPUTED_VALUE"""),"BOGOTÁ")</f>
        <v>BOGOTÁ</v>
      </c>
      <c r="E5898" s="15" t="str">
        <f>IFERROR(__xludf.DUMMYFUNCTION("""COMPUTED_VALUE"""),"Evamazzita")</f>
        <v>Evamazzita</v>
      </c>
      <c r="F5898" s="17" t="str">
        <f>IFERROR(__xludf.DUMMYFUNCTION("""COMPUTED_VALUE"""),"MANZANA 8 CASA 5  / URBANIZACION SIERRA DENTRO / URBANIZACION SIERRA DENTRO")</f>
        <v>MANZANA 8 CASA 5  / URBANIZACION SIERRA DENTRO / URBANIZACION SIERRA DENTRO</v>
      </c>
      <c r="G5898" s="15" t="str">
        <f>IFERROR(__xludf.DUMMYFUNCTION("""COMPUTED_VALUE"""),"YULIANA MOSQUERA CASTAÑO")</f>
        <v>YULIANA MOSQUERA CASTAÑO</v>
      </c>
      <c r="H5898" s="16">
        <f>IFERROR(__xludf.DUMMYFUNCTION("""COMPUTED_VALUE"""),14580.0)</f>
        <v>14580</v>
      </c>
      <c r="I5898" s="18">
        <f>IFERROR(__xludf.DUMMYFUNCTION("""COMPUTED_VALUE"""),1.0)</f>
        <v>1</v>
      </c>
      <c r="J5898" s="18">
        <f>IFERROR(__xludf.DUMMYFUNCTION("""COMPUTED_VALUE"""),1.0)</f>
        <v>1</v>
      </c>
      <c r="K5898" s="18">
        <f>IFERROR(__xludf.DUMMYFUNCTION("""COMPUTED_VALUE"""),1.0)</f>
        <v>1</v>
      </c>
      <c r="L5898" s="17">
        <f>IFERROR(__xludf.DUMMYFUNCTION("""COMPUTED_VALUE"""),3.123318584E9)</f>
        <v>3123318584</v>
      </c>
      <c r="M5898" s="17" t="str">
        <f>IFERROR(__xludf.DUMMYFUNCTION("""COMPUTED_VALUE"""),"#REF!")</f>
        <v>#REF!</v>
      </c>
      <c r="N5898" s="17"/>
      <c r="O5898" s="17"/>
      <c r="P5898" s="17" t="b">
        <f>IFERROR(__xludf.DUMMYFUNCTION("""COMPUTED_VALUE"""),FALSE)</f>
        <v>0</v>
      </c>
      <c r="Q5898" s="20" t="str">
        <f>IFERROR(__xludf.DUMMYFUNCTION("""COMPUTED_VALUE"""),"")</f>
        <v/>
      </c>
      <c r="R5898" s="21" t="str">
        <f>IFERROR(__xludf.DUMMYFUNCTION("""COMPUTED_VALUE"""),"https://drive.google.com/file/d/1ib4NlMad3kRqW34T0uZdUBeTGQr_IKGk/view?usp=drivesdk")</f>
        <v>https://drive.google.com/file/d/1ib4NlMad3kRqW34T0uZdUBeTGQr_IKGk/view?usp=drivesdk</v>
      </c>
    </row>
    <row r="5899">
      <c r="A5899" s="15">
        <f>IFERROR(__xludf.DUMMYFUNCTION("""COMPUTED_VALUE"""),45170.0)</f>
        <v>45170</v>
      </c>
      <c r="B5899" s="16" t="str">
        <f>IFERROR(__xludf.DUMMYFUNCTION("""COMPUTED_VALUE"""),"Envia")</f>
        <v>Envia</v>
      </c>
      <c r="C5899" s="15" t="str">
        <f>IFERROR(__xludf.DUMMYFUNCTION("""COMPUTED_VALUE"""),"SANTA MARTA")</f>
        <v>SANTA MARTA</v>
      </c>
      <c r="D5899" s="15" t="str">
        <f>IFERROR(__xludf.DUMMYFUNCTION("""COMPUTED_VALUE"""),"BOGOTÁ")</f>
        <v>BOGOTÁ</v>
      </c>
      <c r="E5899" s="15" t="str">
        <f>IFERROR(__xludf.DUMMYFUNCTION("""COMPUTED_VALUE"""),"Ins. Alimento Vital")</f>
        <v>Ins. Alimento Vital</v>
      </c>
      <c r="F5899" s="17" t="str">
        <f>IFERROR(__xludf.DUMMYFUNCTION("""COMPUTED_VALUE"""),"CR 1B 26A 109 / EDIFICIO ALMIRANTE AP 501 / EDIFICIO ALMIRANTE")</f>
        <v>CR 1B 26A 109 / EDIFICIO ALMIRANTE AP 501 / EDIFICIO ALMIRANTE</v>
      </c>
      <c r="G5899" s="15" t="str">
        <f>IFERROR(__xludf.DUMMYFUNCTION("""COMPUTED_VALUE"""),"VERONICA GOMEZ DE ZUBIRIA")</f>
        <v>VERONICA GOMEZ DE ZUBIRIA</v>
      </c>
      <c r="H5899" s="16">
        <f>IFERROR(__xludf.DUMMYFUNCTION("""COMPUTED_VALUE"""),14556.0)</f>
        <v>14556</v>
      </c>
      <c r="I5899" s="18">
        <f>IFERROR(__xludf.DUMMYFUNCTION("""COMPUTED_VALUE"""),1.0)</f>
        <v>1</v>
      </c>
      <c r="J5899" s="18">
        <f>IFERROR(__xludf.DUMMYFUNCTION("""COMPUTED_VALUE"""),1.0)</f>
        <v>1</v>
      </c>
      <c r="K5899" s="18">
        <f>IFERROR(__xludf.DUMMYFUNCTION("""COMPUTED_VALUE"""),1.0)</f>
        <v>1</v>
      </c>
      <c r="L5899" s="17">
        <f>IFERROR(__xludf.DUMMYFUNCTION("""COMPUTED_VALUE"""),3.107893555E9)</f>
        <v>3107893555</v>
      </c>
      <c r="M5899" s="17" t="str">
        <f>IFERROR(__xludf.DUMMYFUNCTION("""COMPUTED_VALUE"""),"#REF!")</f>
        <v>#REF!</v>
      </c>
      <c r="N5899" s="17"/>
      <c r="O5899" s="17"/>
      <c r="P5899" s="17" t="b">
        <f>IFERROR(__xludf.DUMMYFUNCTION("""COMPUTED_VALUE"""),FALSE)</f>
        <v>0</v>
      </c>
      <c r="Q5899" s="20" t="str">
        <f>IFERROR(__xludf.DUMMYFUNCTION("""COMPUTED_VALUE"""),"")</f>
        <v/>
      </c>
      <c r="R5899" s="22" t="str">
        <f>IFERROR(__xludf.DUMMYFUNCTION("""COMPUTED_VALUE"""),"")</f>
        <v/>
      </c>
    </row>
    <row r="5900">
      <c r="A5900" s="15">
        <f>IFERROR(__xludf.DUMMYFUNCTION("""COMPUTED_VALUE"""),45170.0)</f>
        <v>45170</v>
      </c>
      <c r="B5900" s="16" t="str">
        <f>IFERROR(__xludf.DUMMYFUNCTION("""COMPUTED_VALUE"""),"Envia")</f>
        <v>Envia</v>
      </c>
      <c r="C5900" s="15" t="str">
        <f>IFERROR(__xludf.DUMMYFUNCTION("""COMPUTED_VALUE"""),"SINCELEJO")</f>
        <v>SINCELEJO</v>
      </c>
      <c r="D5900" s="15" t="str">
        <f>IFERROR(__xludf.DUMMYFUNCTION("""COMPUTED_VALUE"""),"MEDELLÍN")</f>
        <v>MEDELLÍN</v>
      </c>
      <c r="E5900" s="15" t="str">
        <f>IFERROR(__xludf.DUMMYFUNCTION("""COMPUTED_VALUE"""),"Helados swip")</f>
        <v>Helados swip</v>
      </c>
      <c r="F5900" s="17" t="str">
        <f>IFERROR(__xludf.DUMMYFUNCTION("""COMPUTED_VALUE"""),"CALLE 32# 33-119 / LOCAL 101 / VENECIA LIVING MALL")</f>
        <v>CALLE 32# 33-119 / LOCAL 101 / VENECIA LIVING MALL</v>
      </c>
      <c r="G5900" s="15" t="str">
        <f>IFERROR(__xludf.DUMMYFUNCTION("""COMPUTED_VALUE"""),"OLIVA MERCADO SALUDABLE")</f>
        <v>OLIVA MERCADO SALUDABLE</v>
      </c>
      <c r="H5900" s="16">
        <f>IFERROR(__xludf.DUMMYFUNCTION("""COMPUTED_VALUE"""),14561.0)</f>
        <v>14561</v>
      </c>
      <c r="I5900" s="18">
        <f>IFERROR(__xludf.DUMMYFUNCTION("""COMPUTED_VALUE"""),50.0)</f>
        <v>50</v>
      </c>
      <c r="J5900" s="18">
        <f>IFERROR(__xludf.DUMMYFUNCTION("""COMPUTED_VALUE"""),30.0)</f>
        <v>30</v>
      </c>
      <c r="K5900" s="18">
        <f>IFERROR(__xludf.DUMMYFUNCTION("""COMPUTED_VALUE"""),21.0)</f>
        <v>21</v>
      </c>
      <c r="L5900" s="17">
        <f>IFERROR(__xludf.DUMMYFUNCTION("""COMPUTED_VALUE"""),3.022293728E9)</f>
        <v>3022293728</v>
      </c>
      <c r="M5900" s="17" t="str">
        <f>IFERROR(__xludf.DUMMYFUNCTION("""COMPUTED_VALUE"""),"#REF!")</f>
        <v>#REF!</v>
      </c>
      <c r="N5900" s="17"/>
      <c r="O5900" s="17"/>
      <c r="P5900" s="17" t="b">
        <f>IFERROR(__xludf.DUMMYFUNCTION("""COMPUTED_VALUE"""),FALSE)</f>
        <v>0</v>
      </c>
      <c r="Q5900" s="20" t="str">
        <f>IFERROR(__xludf.DUMMYFUNCTION("""COMPUTED_VALUE"""),"")</f>
        <v/>
      </c>
      <c r="R5900" s="22" t="str">
        <f>IFERROR(__xludf.DUMMYFUNCTION("""COMPUTED_VALUE"""),"")</f>
        <v/>
      </c>
    </row>
    <row r="5901">
      <c r="A5901" s="17" t="str">
        <f>IFERROR(__xludf.DUMMYFUNCTION("""COMPUTED_VALUE"""),"")</f>
        <v/>
      </c>
      <c r="B5901" s="17" t="str">
        <f>IFERROR(__xludf.DUMMYFUNCTION("""COMPUTED_VALUE"""),"")</f>
        <v/>
      </c>
      <c r="C5901" s="17" t="str">
        <f>IFERROR(__xludf.DUMMYFUNCTION("""COMPUTED_VALUE"""),"")</f>
        <v/>
      </c>
      <c r="D5901" s="17" t="str">
        <f>IFERROR(__xludf.DUMMYFUNCTION("""COMPUTED_VALUE"""),"")</f>
        <v/>
      </c>
      <c r="E5901" s="17" t="str">
        <f>IFERROR(__xludf.DUMMYFUNCTION("""COMPUTED_VALUE"""),"")</f>
        <v/>
      </c>
      <c r="F5901" s="17" t="str">
        <f>IFERROR(__xludf.DUMMYFUNCTION("""COMPUTED_VALUE"""),"")</f>
        <v/>
      </c>
      <c r="G5901" s="17" t="str">
        <f>IFERROR(__xludf.DUMMYFUNCTION("""COMPUTED_VALUE"""),"")</f>
        <v/>
      </c>
      <c r="H5901" s="17" t="str">
        <f>IFERROR(__xludf.DUMMYFUNCTION("""COMPUTED_VALUE"""),"")</f>
        <v/>
      </c>
      <c r="I5901" s="17" t="str">
        <f>IFERROR(__xludf.DUMMYFUNCTION("""COMPUTED_VALUE"""),"")</f>
        <v/>
      </c>
      <c r="J5901" s="17" t="str">
        <f>IFERROR(__xludf.DUMMYFUNCTION("""COMPUTED_VALUE"""),"")</f>
        <v/>
      </c>
      <c r="K5901" s="17" t="str">
        <f>IFERROR(__xludf.DUMMYFUNCTION("""COMPUTED_VALUE"""),"")</f>
        <v/>
      </c>
      <c r="L5901" s="17" t="str">
        <f>IFERROR(__xludf.DUMMYFUNCTION("""COMPUTED_VALUE"""),"")</f>
        <v/>
      </c>
      <c r="M5901" s="17" t="str">
        <f>IFERROR(__xludf.DUMMYFUNCTION("""COMPUTED_VALUE"""),"")</f>
        <v/>
      </c>
      <c r="N5901" s="17" t="str">
        <f>IFERROR(__xludf.DUMMYFUNCTION("""COMPUTED_VALUE"""),"")</f>
        <v/>
      </c>
      <c r="O5901" s="17" t="str">
        <f>IFERROR(__xludf.DUMMYFUNCTION("""COMPUTED_VALUE"""),"")</f>
        <v/>
      </c>
      <c r="P5901" s="17" t="str">
        <f>IFERROR(__xludf.DUMMYFUNCTION("""COMPUTED_VALUE"""),"")</f>
        <v/>
      </c>
      <c r="Q5901" s="17" t="str">
        <f>IFERROR(__xludf.DUMMYFUNCTION("""COMPUTED_VALUE"""),"")</f>
        <v/>
      </c>
      <c r="R5901" s="17" t="str">
        <f>IFERROR(__xludf.DUMMYFUNCTION("""COMPUTED_VALUE"""),"")</f>
        <v/>
      </c>
    </row>
    <row r="5902">
      <c r="A5902" s="15">
        <f>IFERROR(__xludf.DUMMYFUNCTION("""COMPUTED_VALUE"""),45170.0)</f>
        <v>45170</v>
      </c>
      <c r="B5902" s="16" t="str">
        <f>IFERROR(__xludf.DUMMYFUNCTION("""COMPUTED_VALUE"""),"Gabriel Delgado Guerra")</f>
        <v>Gabriel Delgado Guerra</v>
      </c>
      <c r="C5902" s="15" t="str">
        <f>IFERROR(__xludf.DUMMYFUNCTION("""COMPUTED_VALUE"""),"SANTA MARTA")</f>
        <v>SANTA MARTA</v>
      </c>
      <c r="D5902" s="15" t="str">
        <f>IFERROR(__xludf.DUMMYFUNCTION("""COMPUTED_VALUE"""),"MEDELLÍN")</f>
        <v>MEDELLÍN</v>
      </c>
      <c r="E5902" s="15" t="str">
        <f>IFERROR(__xludf.DUMMYFUNCTION("""COMPUTED_VALUE"""),"Magda")</f>
        <v>Magda</v>
      </c>
      <c r="F5902" s="17" t="str">
        <f>IFERROR(__xludf.DUMMYFUNCTION("""COMPUTED_VALUE"""),"Calle 22 # 6 - 82 / Local 27 Centro Comercial La 22 / Centro")</f>
        <v>Calle 22 # 6 - 82 / Local 27 Centro Comercial La 22 / Centro</v>
      </c>
      <c r="G5902" s="15" t="str">
        <f>IFERROR(__xludf.DUMMYFUNCTION("""COMPUTED_VALUE"""),"Shirley Manjarres")</f>
        <v>Shirley Manjarres</v>
      </c>
      <c r="H5902" s="16">
        <f>IFERROR(__xludf.DUMMYFUNCTION("""COMPUTED_VALUE"""),14613.0)</f>
        <v>14613</v>
      </c>
      <c r="I5902" s="18">
        <f>IFERROR(__xludf.DUMMYFUNCTION("""COMPUTED_VALUE"""),5.0)</f>
        <v>5</v>
      </c>
      <c r="J5902" s="18">
        <f>IFERROR(__xludf.DUMMYFUNCTION("""COMPUTED_VALUE"""),5.0)</f>
        <v>5</v>
      </c>
      <c r="K5902" s="18">
        <f>IFERROR(__xludf.DUMMYFUNCTION("""COMPUTED_VALUE"""),5.0)</f>
        <v>5</v>
      </c>
      <c r="L5902" s="17">
        <f>IFERROR(__xludf.DUMMYFUNCTION("""COMPUTED_VALUE"""),3.054269156E9)</f>
        <v>3054269156</v>
      </c>
      <c r="M5902" s="17" t="str">
        <f>IFERROR(__xludf.DUMMYFUNCTION("""COMPUTED_VALUE"""),"#REF!")</f>
        <v>#REF!</v>
      </c>
      <c r="N5902" s="17"/>
      <c r="O5902" s="17"/>
      <c r="P5902" s="17" t="b">
        <f>IFERROR(__xludf.DUMMYFUNCTION("""COMPUTED_VALUE"""),FALSE)</f>
        <v>0</v>
      </c>
      <c r="Q5902" s="20" t="str">
        <f>IFERROR(__xludf.DUMMYFUNCTION("""COMPUTED_VALUE"""),"")</f>
        <v/>
      </c>
      <c r="R5902" s="22" t="str">
        <f>IFERROR(__xludf.DUMMYFUNCTION("""COMPUTED_VALUE"""),"")</f>
        <v/>
      </c>
    </row>
    <row r="5903">
      <c r="A5903" s="15">
        <f>IFERROR(__xludf.DUMMYFUNCTION("""COMPUTED_VALUE"""),45170.0)</f>
        <v>45170</v>
      </c>
      <c r="B5903" s="16" t="str">
        <f>IFERROR(__xludf.DUMMYFUNCTION("""COMPUTED_VALUE"""),"Gabriel Delgado Guerra")</f>
        <v>Gabriel Delgado Guerra</v>
      </c>
      <c r="C5903" s="15" t="str">
        <f>IFERROR(__xludf.DUMMYFUNCTION("""COMPUTED_VALUE"""),"SANTA MARTA")</f>
        <v>SANTA MARTA</v>
      </c>
      <c r="D5903" s="15" t="str">
        <f>IFERROR(__xludf.DUMMYFUNCTION("""COMPUTED_VALUE"""),"MEDELLÍN")</f>
        <v>MEDELLÍN</v>
      </c>
      <c r="E5903" s="15" t="str">
        <f>IFERROR(__xludf.DUMMYFUNCTION("""COMPUTED_VALUE"""),"Rambla")</f>
        <v>Rambla</v>
      </c>
      <c r="F5903" s="17" t="str">
        <f>IFERROR(__xludf.DUMMYFUNCTION("""COMPUTED_VALUE"""),"Carrera 2 # 11A - 23  En el crossfit del rodadero - santa marta / - / -")</f>
        <v>Carrera 2 # 11A - 23  En el crossfit del rodadero - santa marta / - / -</v>
      </c>
      <c r="G5903" s="15" t="str">
        <f>IFERROR(__xludf.DUMMYFUNCTION("""COMPUTED_VALUE"""),"Enjoy")</f>
        <v>Enjoy</v>
      </c>
      <c r="H5903" s="16">
        <f>IFERROR(__xludf.DUMMYFUNCTION("""COMPUTED_VALUE"""),14601.0)</f>
        <v>14601</v>
      </c>
      <c r="I5903" s="18">
        <f>IFERROR(__xludf.DUMMYFUNCTION("""COMPUTED_VALUE"""),28.0)</f>
        <v>28</v>
      </c>
      <c r="J5903" s="18">
        <f>IFERROR(__xludf.DUMMYFUNCTION("""COMPUTED_VALUE"""),24.0)</f>
        <v>24</v>
      </c>
      <c r="K5903" s="18">
        <f>IFERROR(__xludf.DUMMYFUNCTION("""COMPUTED_VALUE"""),12.0)</f>
        <v>12</v>
      </c>
      <c r="L5903" s="17">
        <f>IFERROR(__xludf.DUMMYFUNCTION("""COMPUTED_VALUE"""),3.105785099E9)</f>
        <v>3105785099</v>
      </c>
      <c r="M5903" s="17" t="str">
        <f>IFERROR(__xludf.DUMMYFUNCTION("""COMPUTED_VALUE"""),"#REF!")</f>
        <v>#REF!</v>
      </c>
      <c r="N5903" s="17"/>
      <c r="O5903" s="17"/>
      <c r="P5903" s="17" t="b">
        <f>IFERROR(__xludf.DUMMYFUNCTION("""COMPUTED_VALUE"""),FALSE)</f>
        <v>0</v>
      </c>
      <c r="Q5903" s="20" t="str">
        <f>IFERROR(__xludf.DUMMYFUNCTION("""COMPUTED_VALUE"""),"")</f>
        <v/>
      </c>
      <c r="R5903" s="22" t="str">
        <f>IFERROR(__xludf.DUMMYFUNCTION("""COMPUTED_VALUE"""),"")</f>
        <v/>
      </c>
    </row>
    <row r="5904">
      <c r="A5904" s="17" t="str">
        <f>IFERROR(__xludf.DUMMYFUNCTION("""COMPUTED_VALUE"""),"")</f>
        <v/>
      </c>
      <c r="B5904" s="17" t="str">
        <f>IFERROR(__xludf.DUMMYFUNCTION("""COMPUTED_VALUE"""),"")</f>
        <v/>
      </c>
      <c r="C5904" s="17" t="str">
        <f>IFERROR(__xludf.DUMMYFUNCTION("""COMPUTED_VALUE"""),"")</f>
        <v/>
      </c>
      <c r="D5904" s="17" t="str">
        <f>IFERROR(__xludf.DUMMYFUNCTION("""COMPUTED_VALUE"""),"")</f>
        <v/>
      </c>
      <c r="E5904" s="17" t="str">
        <f>IFERROR(__xludf.DUMMYFUNCTION("""COMPUTED_VALUE"""),"")</f>
        <v/>
      </c>
      <c r="F5904" s="17" t="str">
        <f>IFERROR(__xludf.DUMMYFUNCTION("""COMPUTED_VALUE"""),"")</f>
        <v/>
      </c>
      <c r="G5904" s="17" t="str">
        <f>IFERROR(__xludf.DUMMYFUNCTION("""COMPUTED_VALUE"""),"")</f>
        <v/>
      </c>
      <c r="H5904" s="17" t="str">
        <f>IFERROR(__xludf.DUMMYFUNCTION("""COMPUTED_VALUE"""),"")</f>
        <v/>
      </c>
      <c r="I5904" s="17" t="str">
        <f>IFERROR(__xludf.DUMMYFUNCTION("""COMPUTED_VALUE"""),"")</f>
        <v/>
      </c>
      <c r="J5904" s="17" t="str">
        <f>IFERROR(__xludf.DUMMYFUNCTION("""COMPUTED_VALUE"""),"")</f>
        <v/>
      </c>
      <c r="K5904" s="17" t="str">
        <f>IFERROR(__xludf.DUMMYFUNCTION("""COMPUTED_VALUE"""),"")</f>
        <v/>
      </c>
      <c r="L5904" s="17" t="str">
        <f>IFERROR(__xludf.DUMMYFUNCTION("""COMPUTED_VALUE"""),"")</f>
        <v/>
      </c>
      <c r="M5904" s="17" t="str">
        <f>IFERROR(__xludf.DUMMYFUNCTION("""COMPUTED_VALUE"""),"")</f>
        <v/>
      </c>
      <c r="N5904" s="17" t="str">
        <f>IFERROR(__xludf.DUMMYFUNCTION("""COMPUTED_VALUE"""),"")</f>
        <v/>
      </c>
      <c r="O5904" s="17" t="str">
        <f>IFERROR(__xludf.DUMMYFUNCTION("""COMPUTED_VALUE"""),"")</f>
        <v/>
      </c>
      <c r="P5904" s="17" t="str">
        <f>IFERROR(__xludf.DUMMYFUNCTION("""COMPUTED_VALUE"""),"")</f>
        <v/>
      </c>
      <c r="Q5904" s="17" t="str">
        <f>IFERROR(__xludf.DUMMYFUNCTION("""COMPUTED_VALUE"""),"")</f>
        <v/>
      </c>
      <c r="R5904" s="17" t="str">
        <f>IFERROR(__xludf.DUMMYFUNCTION("""COMPUTED_VALUE"""),"")</f>
        <v/>
      </c>
    </row>
    <row r="5905">
      <c r="A5905" s="15">
        <f>IFERROR(__xludf.DUMMYFUNCTION("""COMPUTED_VALUE"""),45170.0)</f>
        <v>45170</v>
      </c>
      <c r="B5905" s="16" t="str">
        <f>IFERROR(__xludf.DUMMYFUNCTION("""COMPUTED_VALUE"""),"Jeison Rubiano")</f>
        <v>Jeison Rubiano</v>
      </c>
      <c r="C5905" s="15" t="str">
        <f>IFERROR(__xludf.DUMMYFUNCTION("""COMPUTED_VALUE"""),"BOGOTÁ")</f>
        <v>BOGOTÁ</v>
      </c>
      <c r="D5905" s="15" t="str">
        <f>IFERROR(__xludf.DUMMYFUNCTION("""COMPUTED_VALUE"""),"BUCARAMANGA")</f>
        <v>BUCARAMANGA</v>
      </c>
      <c r="E5905" s="15" t="str">
        <f>IFERROR(__xludf.DUMMYFUNCTION("""COMPUTED_VALUE"""),"Yo Como Solito")</f>
        <v>Yo Como Solito</v>
      </c>
      <c r="F5905" s="17" t="str">
        <f>IFERROR(__xludf.DUMMYFUNCTION("""COMPUTED_VALUE"""),"CARRERA 45A # 128-62 / CARRERA 45A # 128-62 / CARRERA 45A # 128-62")</f>
        <v>CARRERA 45A # 128-62 / CARRERA 45A # 128-62 / CARRERA 45A # 128-62</v>
      </c>
      <c r="G5905" s="15" t="str">
        <f>IFERROR(__xludf.DUMMYFUNCTION("""COMPUTED_VALUE"""),"LINA PAOLA RAMIREZ")</f>
        <v>LINA PAOLA RAMIREZ</v>
      </c>
      <c r="H5905" s="16">
        <f>IFERROR(__xludf.DUMMYFUNCTION("""COMPUTED_VALUE"""),14623.0)</f>
        <v>14623</v>
      </c>
      <c r="I5905" s="18">
        <f>IFERROR(__xludf.DUMMYFUNCTION("""COMPUTED_VALUE"""),45065.0)</f>
        <v>45065</v>
      </c>
      <c r="J5905" s="18">
        <f>IFERROR(__xludf.DUMMYFUNCTION("""COMPUTED_VALUE"""),33.0)</f>
        <v>33</v>
      </c>
      <c r="K5905" s="18" t="str">
        <f>IFERROR(__xludf.DUMMYFUNCTION("""COMPUTED_VALUE"""),"49.5")</f>
        <v>49.5</v>
      </c>
      <c r="L5905" s="17">
        <f>IFERROR(__xludf.DUMMYFUNCTION("""COMPUTED_VALUE"""),3.12327346E9)</f>
        <v>3123273460</v>
      </c>
      <c r="M5905" s="17" t="str">
        <f>IFERROR(__xludf.DUMMYFUNCTION("""COMPUTED_VALUE"""),"#REF!")</f>
        <v>#REF!</v>
      </c>
      <c r="N5905" s="17"/>
      <c r="O5905" s="17"/>
      <c r="P5905" s="17" t="b">
        <f>IFERROR(__xludf.DUMMYFUNCTION("""COMPUTED_VALUE"""),FALSE)</f>
        <v>0</v>
      </c>
      <c r="Q5905" s="20" t="str">
        <f>IFERROR(__xludf.DUMMYFUNCTION("""COMPUTED_VALUE"""),"")</f>
        <v/>
      </c>
      <c r="R5905" s="22" t="str">
        <f>IFERROR(__xludf.DUMMYFUNCTION("""COMPUTED_VALUE"""),"")</f>
        <v/>
      </c>
    </row>
    <row r="5906">
      <c r="A5906" s="15">
        <f>IFERROR(__xludf.DUMMYFUNCTION("""COMPUTED_VALUE"""),45170.0)</f>
        <v>45170</v>
      </c>
      <c r="B5906" s="16" t="str">
        <f>IFERROR(__xludf.DUMMYFUNCTION("""COMPUTED_VALUE"""),"Jeison Rubiano")</f>
        <v>Jeison Rubiano</v>
      </c>
      <c r="C5906" s="15" t="str">
        <f>IFERROR(__xludf.DUMMYFUNCTION("""COMPUTED_VALUE"""),"BOGOTÁ")</f>
        <v>BOGOTÁ</v>
      </c>
      <c r="D5906" s="15" t="str">
        <f>IFERROR(__xludf.DUMMYFUNCTION("""COMPUTED_VALUE"""),"BUCARAMANGA")</f>
        <v>BUCARAMANGA</v>
      </c>
      <c r="E5906" s="15" t="str">
        <f>IFERROR(__xludf.DUMMYFUNCTION("""COMPUTED_VALUE"""),"Yo Como Solito")</f>
        <v>Yo Como Solito</v>
      </c>
      <c r="F5906" s="17" t="str">
        <f>IFERROR(__xludf.DUMMYFUNCTION("""COMPUTED_VALUE"""),"CARRERA 45A # 128-62 / CARRERA 45A # 128-62 / CARRERA 45A # 128-62")</f>
        <v>CARRERA 45A # 128-62 / CARRERA 45A # 128-62 / CARRERA 45A # 128-62</v>
      </c>
      <c r="G5906" s="15" t="str">
        <f>IFERROR(__xludf.DUMMYFUNCTION("""COMPUTED_VALUE"""),"LINA PAOLA RAMIREZ")</f>
        <v>LINA PAOLA RAMIREZ</v>
      </c>
      <c r="H5906" s="16">
        <f>IFERROR(__xludf.DUMMYFUNCTION("""COMPUTED_VALUE"""),14624.0)</f>
        <v>14624</v>
      </c>
      <c r="I5906" s="18">
        <f>IFERROR(__xludf.DUMMYFUNCTION("""COMPUTED_VALUE"""),14.0)</f>
        <v>14</v>
      </c>
      <c r="J5906" s="18">
        <f>IFERROR(__xludf.DUMMYFUNCTION("""COMPUTED_VALUE"""),50.0)</f>
        <v>50</v>
      </c>
      <c r="K5906" s="18">
        <f>IFERROR(__xludf.DUMMYFUNCTION("""COMPUTED_VALUE"""),40.0)</f>
        <v>40</v>
      </c>
      <c r="L5906" s="17">
        <f>IFERROR(__xludf.DUMMYFUNCTION("""COMPUTED_VALUE"""),3.12327346E9)</f>
        <v>3123273460</v>
      </c>
      <c r="M5906" s="17" t="str">
        <f>IFERROR(__xludf.DUMMYFUNCTION("""COMPUTED_VALUE"""),"#REF!")</f>
        <v>#REF!</v>
      </c>
      <c r="N5906" s="17"/>
      <c r="O5906" s="17"/>
      <c r="P5906" s="17" t="b">
        <f>IFERROR(__xludf.DUMMYFUNCTION("""COMPUTED_VALUE"""),FALSE)</f>
        <v>0</v>
      </c>
      <c r="Q5906" s="20" t="str">
        <f>IFERROR(__xludf.DUMMYFUNCTION("""COMPUTED_VALUE"""),"")</f>
        <v/>
      </c>
      <c r="R5906" s="22" t="str">
        <f>IFERROR(__xludf.DUMMYFUNCTION("""COMPUTED_VALUE"""),"")</f>
        <v/>
      </c>
    </row>
    <row r="5907">
      <c r="A5907" s="15">
        <f>IFERROR(__xludf.DUMMYFUNCTION("""COMPUTED_VALUE"""),45170.0)</f>
        <v>45170</v>
      </c>
      <c r="B5907" s="16" t="str">
        <f>IFERROR(__xludf.DUMMYFUNCTION("""COMPUTED_VALUE"""),"Jeison Rubiano")</f>
        <v>Jeison Rubiano</v>
      </c>
      <c r="C5907" s="15" t="str">
        <f>IFERROR(__xludf.DUMMYFUNCTION("""COMPUTED_VALUE"""),"BOGOTÁ")</f>
        <v>BOGOTÁ</v>
      </c>
      <c r="D5907" s="15" t="str">
        <f>IFERROR(__xludf.DUMMYFUNCTION("""COMPUTED_VALUE"""),"BUCARAMANGA")</f>
        <v>BUCARAMANGA</v>
      </c>
      <c r="E5907" s="15" t="str">
        <f>IFERROR(__xludf.DUMMYFUNCTION("""COMPUTED_VALUE"""),"Yo Como Solito")</f>
        <v>Yo Como Solito</v>
      </c>
      <c r="F5907" s="17" t="str">
        <f>IFERROR(__xludf.DUMMYFUNCTION("""COMPUTED_VALUE"""),"Carrera 45A #128-62 / Carrera 45A #128-62 / Carrera 45A #128-62")</f>
        <v>Carrera 45A #128-62 / Carrera 45A #128-62 / Carrera 45A #128-62</v>
      </c>
      <c r="G5907" s="15" t="str">
        <f>IFERROR(__xludf.DUMMYFUNCTION("""COMPUTED_VALUE"""),"LINA PAOLA RAMIREZ")</f>
        <v>LINA PAOLA RAMIREZ</v>
      </c>
      <c r="H5907" s="16">
        <f>IFERROR(__xludf.DUMMYFUNCTION("""COMPUTED_VALUE"""),14622.0)</f>
        <v>14622</v>
      </c>
      <c r="I5907" s="18">
        <f>IFERROR(__xludf.DUMMYFUNCTION("""COMPUTED_VALUE"""),45060.0)</f>
        <v>45060</v>
      </c>
      <c r="J5907" s="18">
        <f>IFERROR(__xludf.DUMMYFUNCTION("""COMPUTED_VALUE"""),36.0)</f>
        <v>36</v>
      </c>
      <c r="K5907" s="18" t="str">
        <f>IFERROR(__xludf.DUMMYFUNCTION("""COMPUTED_VALUE"""),"37.5")</f>
        <v>37.5</v>
      </c>
      <c r="L5907" s="17">
        <f>IFERROR(__xludf.DUMMYFUNCTION("""COMPUTED_VALUE"""),3.12327346E9)</f>
        <v>3123273460</v>
      </c>
      <c r="M5907" s="17" t="str">
        <f>IFERROR(__xludf.DUMMYFUNCTION("""COMPUTED_VALUE"""),"#REF!")</f>
        <v>#REF!</v>
      </c>
      <c r="N5907" s="17"/>
      <c r="O5907" s="17"/>
      <c r="P5907" s="17" t="b">
        <f>IFERROR(__xludf.DUMMYFUNCTION("""COMPUTED_VALUE"""),FALSE)</f>
        <v>0</v>
      </c>
      <c r="Q5907" s="20" t="str">
        <f>IFERROR(__xludf.DUMMYFUNCTION("""COMPUTED_VALUE"""),"")</f>
        <v/>
      </c>
      <c r="R5907" s="21" t="str">
        <f>IFERROR(__xludf.DUMMYFUNCTION("""COMPUTED_VALUE"""),"https://drive.google.com/file/d/1aPr409NiWX2aqgHmEcOMeDKm_5krz8kA/view?usp=drivesdk")</f>
        <v>https://drive.google.com/file/d/1aPr409NiWX2aqgHmEcOMeDKm_5krz8kA/view?usp=drivesdk</v>
      </c>
    </row>
    <row r="5908">
      <c r="A5908" s="15">
        <f>IFERROR(__xludf.DUMMYFUNCTION("""COMPUTED_VALUE"""),45170.0)</f>
        <v>45170</v>
      </c>
      <c r="B5908" s="16" t="str">
        <f>IFERROR(__xludf.DUMMYFUNCTION("""COMPUTED_VALUE"""),"Jeison Rubiano")</f>
        <v>Jeison Rubiano</v>
      </c>
      <c r="C5908" s="15" t="str">
        <f>IFERROR(__xludf.DUMMYFUNCTION("""COMPUTED_VALUE"""),"BOGOTÁ")</f>
        <v>BOGOTÁ</v>
      </c>
      <c r="D5908" s="15" t="str">
        <f>IFERROR(__xludf.DUMMYFUNCTION("""COMPUTED_VALUE"""),"MEDELLÍN")</f>
        <v>MEDELLÍN</v>
      </c>
      <c r="E5908" s="15" t="str">
        <f>IFERROR(__xludf.DUMMYFUNCTION("""COMPUTED_VALUE"""),"AREPAS LA MARY")</f>
        <v>AREPAS LA MARY</v>
      </c>
      <c r="F5908" s="17" t="str">
        <f>IFERROR(__xludf.DUMMYFUNCTION("""COMPUTED_VALUE"""),"Calle 147 7B-75 apartamento 604 / Cedro golf usaquen BOGOTA")</f>
        <v>Calle 147 7B-75 apartamento 604 / Cedro golf usaquen BOGOTA</v>
      </c>
      <c r="G5908" s="15" t="str">
        <f>IFERROR(__xludf.DUMMYFUNCTION("""COMPUTED_VALUE"""),"LILIANA CORTES")</f>
        <v>LILIANA CORTES</v>
      </c>
      <c r="H5908" s="16">
        <f>IFERROR(__xludf.DUMMYFUNCTION("""COMPUTED_VALUE"""),14635.0)</f>
        <v>14635</v>
      </c>
      <c r="I5908" s="18">
        <f>IFERROR(__xludf.DUMMYFUNCTION("""COMPUTED_VALUE"""),89.0)</f>
        <v>89</v>
      </c>
      <c r="J5908" s="18">
        <f>IFERROR(__xludf.DUMMYFUNCTION("""COMPUTED_VALUE"""),1.0)</f>
        <v>1</v>
      </c>
      <c r="K5908" s="18">
        <f>IFERROR(__xludf.DUMMYFUNCTION("""COMPUTED_VALUE"""),10.0)</f>
        <v>10</v>
      </c>
      <c r="L5908" s="17">
        <f>IFERROR(__xludf.DUMMYFUNCTION("""COMPUTED_VALUE"""),3.202302318E9)</f>
        <v>3202302318</v>
      </c>
      <c r="M5908" s="17" t="str">
        <f>IFERROR(__xludf.DUMMYFUNCTION("""COMPUTED_VALUE"""),"#REF!")</f>
        <v>#REF!</v>
      </c>
      <c r="N5908" s="17"/>
      <c r="O5908" s="17"/>
      <c r="P5908" s="17" t="b">
        <f>IFERROR(__xludf.DUMMYFUNCTION("""COMPUTED_VALUE"""),FALSE)</f>
        <v>0</v>
      </c>
      <c r="Q5908" s="20" t="str">
        <f>IFERROR(__xludf.DUMMYFUNCTION("""COMPUTED_VALUE"""),"")</f>
        <v/>
      </c>
      <c r="R5908" s="21" t="str">
        <f>IFERROR(__xludf.DUMMYFUNCTION("""COMPUTED_VALUE"""),"https://drive.google.com/file/d/1Itiae8wQZq1gs8SUYOrTcEn0vokOGz3N/view?usp=drivesdk")</f>
        <v>https://drive.google.com/file/d/1Itiae8wQZq1gs8SUYOrTcEn0vokOGz3N/view?usp=drivesdk</v>
      </c>
    </row>
    <row r="5909">
      <c r="A5909" s="15">
        <f>IFERROR(__xludf.DUMMYFUNCTION("""COMPUTED_VALUE"""),45170.0)</f>
        <v>45170</v>
      </c>
      <c r="B5909" s="16" t="str">
        <f>IFERROR(__xludf.DUMMYFUNCTION("""COMPUTED_VALUE"""),"Jeison Rubiano")</f>
        <v>Jeison Rubiano</v>
      </c>
      <c r="C5909" s="15" t="str">
        <f>IFERROR(__xludf.DUMMYFUNCTION("""COMPUTED_VALUE"""),"BOGOTÁ")</f>
        <v>BOGOTÁ</v>
      </c>
      <c r="D5909" s="15" t="str">
        <f>IFERROR(__xludf.DUMMYFUNCTION("""COMPUTED_VALUE"""),"MEDELLÍN")</f>
        <v>MEDELLÍN</v>
      </c>
      <c r="E5909" s="15" t="str">
        <f>IFERROR(__xludf.DUMMYFUNCTION("""COMPUTED_VALUE"""),"AREPAS LA MARY")</f>
        <v>AREPAS LA MARY</v>
      </c>
      <c r="F5909" s="17" t="str">
        <f>IFERROR(__xludf.DUMMYFUNCTION("""COMPUTED_VALUE"""),"calle 80 #12-15 apto 101 / Nogal BOGOTA")</f>
        <v>calle 80 #12-15 apto 101 / Nogal BOGOTA</v>
      </c>
      <c r="G5909" s="15" t="str">
        <f>IFERROR(__xludf.DUMMYFUNCTION("""COMPUTED_VALUE"""),"SERGIO ACOSTA")</f>
        <v>SERGIO ACOSTA</v>
      </c>
      <c r="H5909" s="16">
        <f>IFERROR(__xludf.DUMMYFUNCTION("""COMPUTED_VALUE"""),14634.0)</f>
        <v>14634</v>
      </c>
      <c r="I5909" s="18">
        <f>IFERROR(__xludf.DUMMYFUNCTION("""COMPUTED_VALUE"""),89.0)</f>
        <v>89</v>
      </c>
      <c r="J5909" s="18">
        <f>IFERROR(__xludf.DUMMYFUNCTION("""COMPUTED_VALUE"""),1.0)</f>
        <v>1</v>
      </c>
      <c r="K5909" s="18">
        <f>IFERROR(__xludf.DUMMYFUNCTION("""COMPUTED_VALUE"""),10.0)</f>
        <v>10</v>
      </c>
      <c r="L5909" s="17">
        <f>IFERROR(__xludf.DUMMYFUNCTION("""COMPUTED_VALUE"""),3.138853838E9)</f>
        <v>3138853838</v>
      </c>
      <c r="M5909" s="17" t="str">
        <f>IFERROR(__xludf.DUMMYFUNCTION("""COMPUTED_VALUE"""),"#REF!")</f>
        <v>#REF!</v>
      </c>
      <c r="N5909" s="17"/>
      <c r="O5909" s="17"/>
      <c r="P5909" s="17" t="b">
        <f>IFERROR(__xludf.DUMMYFUNCTION("""COMPUTED_VALUE"""),FALSE)</f>
        <v>0</v>
      </c>
      <c r="Q5909" s="20" t="str">
        <f>IFERROR(__xludf.DUMMYFUNCTION("""COMPUTED_VALUE"""),"")</f>
        <v/>
      </c>
      <c r="R5909" s="21" t="str">
        <f>IFERROR(__xludf.DUMMYFUNCTION("""COMPUTED_VALUE"""),"https://drive.google.com/file/d/1ex8matEnKpiLZpLQPbDGUpa9Dp3zL4yv/view?usp=drivesdk")</f>
        <v>https://drive.google.com/file/d/1ex8matEnKpiLZpLQPbDGUpa9Dp3zL4yv/view?usp=drivesdk</v>
      </c>
    </row>
    <row r="5910">
      <c r="A5910" s="15">
        <f>IFERROR(__xludf.DUMMYFUNCTION("""COMPUTED_VALUE"""),45170.0)</f>
        <v>45170</v>
      </c>
      <c r="B5910" s="16" t="str">
        <f>IFERROR(__xludf.DUMMYFUNCTION("""COMPUTED_VALUE"""),"Jeison Rubiano")</f>
        <v>Jeison Rubiano</v>
      </c>
      <c r="C5910" s="15" t="str">
        <f>IFERROR(__xludf.DUMMYFUNCTION("""COMPUTED_VALUE"""),"BOGOTÁ")</f>
        <v>BOGOTÁ</v>
      </c>
      <c r="D5910" s="15" t="str">
        <f>IFERROR(__xludf.DUMMYFUNCTION("""COMPUTED_VALUE"""),"MEDELLÍN")</f>
        <v>MEDELLÍN</v>
      </c>
      <c r="E5910" s="15" t="str">
        <f>IFERROR(__xludf.DUMMYFUNCTION("""COMPUTED_VALUE"""),"AREPAS LA MARY")</f>
        <v>AREPAS LA MARY</v>
      </c>
      <c r="F5910" s="17" t="str">
        <f>IFERROR(__xludf.DUMMYFUNCTION("""COMPUTED_VALUE"""),"Carrera 22 #137-79 APTO 303 / BOGOTA")</f>
        <v>Carrera 22 #137-79 APTO 303 / BOGOTA</v>
      </c>
      <c r="G5910" s="15" t="str">
        <f>IFERROR(__xludf.DUMMYFUNCTION("""COMPUTED_VALUE"""),"SOFIA PEREZ")</f>
        <v>SOFIA PEREZ</v>
      </c>
      <c r="H5910" s="16">
        <f>IFERROR(__xludf.DUMMYFUNCTION("""COMPUTED_VALUE"""),14638.0)</f>
        <v>14638</v>
      </c>
      <c r="I5910" s="18">
        <f>IFERROR(__xludf.DUMMYFUNCTION("""COMPUTED_VALUE"""),89.0)</f>
        <v>89</v>
      </c>
      <c r="J5910" s="18">
        <f>IFERROR(__xludf.DUMMYFUNCTION("""COMPUTED_VALUE"""),1.0)</f>
        <v>1</v>
      </c>
      <c r="K5910" s="18">
        <f>IFERROR(__xludf.DUMMYFUNCTION("""COMPUTED_VALUE"""),10.0)</f>
        <v>10</v>
      </c>
      <c r="L5910" s="17">
        <f>IFERROR(__xludf.DUMMYFUNCTION("""COMPUTED_VALUE"""),3.214916786E9)</f>
        <v>3214916786</v>
      </c>
      <c r="M5910" s="17" t="str">
        <f>IFERROR(__xludf.DUMMYFUNCTION("""COMPUTED_VALUE"""),"#REF!")</f>
        <v>#REF!</v>
      </c>
      <c r="N5910" s="17"/>
      <c r="O5910" s="17"/>
      <c r="P5910" s="17" t="b">
        <f>IFERROR(__xludf.DUMMYFUNCTION("""COMPUTED_VALUE"""),FALSE)</f>
        <v>0</v>
      </c>
      <c r="Q5910" s="20" t="str">
        <f>IFERROR(__xludf.DUMMYFUNCTION("""COMPUTED_VALUE"""),"")</f>
        <v/>
      </c>
      <c r="R5910" s="21" t="str">
        <f>IFERROR(__xludf.DUMMYFUNCTION("""COMPUTED_VALUE"""),"https://drive.google.com/file/d/1a-aL0GuidFq9dMRXLSVVxWpDwot2_0Cx/view?usp=drivesdk")</f>
        <v>https://drive.google.com/file/d/1a-aL0GuidFq9dMRXLSVVxWpDwot2_0Cx/view?usp=drivesdk</v>
      </c>
    </row>
    <row r="5911">
      <c r="A5911" s="15">
        <f>IFERROR(__xludf.DUMMYFUNCTION("""COMPUTED_VALUE"""),45170.0)</f>
        <v>45170</v>
      </c>
      <c r="B5911" s="16" t="str">
        <f>IFERROR(__xludf.DUMMYFUNCTION("""COMPUTED_VALUE"""),"Jeison Rubiano")</f>
        <v>Jeison Rubiano</v>
      </c>
      <c r="C5911" s="15" t="str">
        <f>IFERROR(__xludf.DUMMYFUNCTION("""COMPUTED_VALUE"""),"BOGOTÁ")</f>
        <v>BOGOTÁ</v>
      </c>
      <c r="D5911" s="15" t="str">
        <f>IFERROR(__xludf.DUMMYFUNCTION("""COMPUTED_VALUE"""),"MEDELLÍN")</f>
        <v>MEDELLÍN</v>
      </c>
      <c r="E5911" s="15" t="str">
        <f>IFERROR(__xludf.DUMMYFUNCTION("""COMPUTED_VALUE"""),"AREPAS LA MARY")</f>
        <v>AREPAS LA MARY</v>
      </c>
      <c r="F5911" s="17" t="str">
        <f>IFERROR(__xludf.DUMMYFUNCTION("""COMPUTED_VALUE"""),"Cl 77b 123a 86 t2 apto 301 / GRAN GRANADA BOGOTA")</f>
        <v>Cl 77b 123a 86 t2 apto 301 / GRAN GRANADA BOGOTA</v>
      </c>
      <c r="G5911" s="15" t="str">
        <f>IFERROR(__xludf.DUMMYFUNCTION("""COMPUTED_VALUE"""),"SANDRA VIVANA TORRES")</f>
        <v>SANDRA VIVANA TORRES</v>
      </c>
      <c r="H5911" s="16">
        <f>IFERROR(__xludf.DUMMYFUNCTION("""COMPUTED_VALUE"""),14636.0)</f>
        <v>14636</v>
      </c>
      <c r="I5911" s="18">
        <f>IFERROR(__xludf.DUMMYFUNCTION("""COMPUTED_VALUE"""),89.0)</f>
        <v>89</v>
      </c>
      <c r="J5911" s="18">
        <f>IFERROR(__xludf.DUMMYFUNCTION("""COMPUTED_VALUE"""),1.0)</f>
        <v>1</v>
      </c>
      <c r="K5911" s="18">
        <f>IFERROR(__xludf.DUMMYFUNCTION("""COMPUTED_VALUE"""),10.0)</f>
        <v>10</v>
      </c>
      <c r="L5911" s="17">
        <f>IFERROR(__xludf.DUMMYFUNCTION("""COMPUTED_VALUE"""),3.175019919E9)</f>
        <v>3175019919</v>
      </c>
      <c r="M5911" s="17" t="str">
        <f>IFERROR(__xludf.DUMMYFUNCTION("""COMPUTED_VALUE"""),"#REF!")</f>
        <v>#REF!</v>
      </c>
      <c r="N5911" s="17"/>
      <c r="O5911" s="17"/>
      <c r="P5911" s="17" t="b">
        <f>IFERROR(__xludf.DUMMYFUNCTION("""COMPUTED_VALUE"""),FALSE)</f>
        <v>0</v>
      </c>
      <c r="Q5911" s="20" t="str">
        <f>IFERROR(__xludf.DUMMYFUNCTION("""COMPUTED_VALUE"""),"")</f>
        <v/>
      </c>
      <c r="R5911" s="21" t="str">
        <f>IFERROR(__xludf.DUMMYFUNCTION("""COMPUTED_VALUE"""),"https://drive.google.com/file/d/11NIriMGZtC-1uJEz-GEFfUWSr8FZZEqH/view?usp=drivesdk")</f>
        <v>https://drive.google.com/file/d/11NIriMGZtC-1uJEz-GEFfUWSr8FZZEqH/view?usp=drivesdk</v>
      </c>
    </row>
    <row r="5912">
      <c r="A5912" s="15">
        <f>IFERROR(__xludf.DUMMYFUNCTION("""COMPUTED_VALUE"""),45170.0)</f>
        <v>45170</v>
      </c>
      <c r="B5912" s="16" t="str">
        <f>IFERROR(__xludf.DUMMYFUNCTION("""COMPUTED_VALUE"""),"Jeison Rubiano")</f>
        <v>Jeison Rubiano</v>
      </c>
      <c r="C5912" s="15" t="str">
        <f>IFERROR(__xludf.DUMMYFUNCTION("""COMPUTED_VALUE"""),"BOGOTÁ")</f>
        <v>BOGOTÁ</v>
      </c>
      <c r="D5912" s="15" t="str">
        <f>IFERROR(__xludf.DUMMYFUNCTION("""COMPUTED_VALUE"""),"MEDELLÍN")</f>
        <v>MEDELLÍN</v>
      </c>
      <c r="E5912" s="15" t="str">
        <f>IFERROR(__xludf.DUMMYFUNCTION("""COMPUTED_VALUE"""),"AREPAS LA MARY")</f>
        <v>AREPAS LA MARY</v>
      </c>
      <c r="F5912" s="17" t="str">
        <f>IFERROR(__xludf.DUMMYFUNCTION("""COMPUTED_VALUE"""),"cra 19 c # 88-33 / EL VIRREY BOGOTA")</f>
        <v>cra 19 c # 88-33 / EL VIRREY BOGOTA</v>
      </c>
      <c r="G5912" s="15" t="str">
        <f>IFERROR(__xludf.DUMMYFUNCTION("""COMPUTED_VALUE"""),"MARCELA POSADA")</f>
        <v>MARCELA POSADA</v>
      </c>
      <c r="H5912" s="16">
        <f>IFERROR(__xludf.DUMMYFUNCTION("""COMPUTED_VALUE"""),14637.0)</f>
        <v>14637</v>
      </c>
      <c r="I5912" s="18">
        <f>IFERROR(__xludf.DUMMYFUNCTION("""COMPUTED_VALUE"""),89.0)</f>
        <v>89</v>
      </c>
      <c r="J5912" s="18">
        <f>IFERROR(__xludf.DUMMYFUNCTION("""COMPUTED_VALUE"""),1.0)</f>
        <v>1</v>
      </c>
      <c r="K5912" s="18">
        <f>IFERROR(__xludf.DUMMYFUNCTION("""COMPUTED_VALUE"""),10.0)</f>
        <v>10</v>
      </c>
      <c r="L5912" s="17">
        <f>IFERROR(__xludf.DUMMYFUNCTION("""COMPUTED_VALUE"""),3.002536573E9)</f>
        <v>3002536573</v>
      </c>
      <c r="M5912" s="17" t="str">
        <f>IFERROR(__xludf.DUMMYFUNCTION("""COMPUTED_VALUE"""),"#REF!")</f>
        <v>#REF!</v>
      </c>
      <c r="N5912" s="17"/>
      <c r="O5912" s="17"/>
      <c r="P5912" s="17" t="b">
        <f>IFERROR(__xludf.DUMMYFUNCTION("""COMPUTED_VALUE"""),FALSE)</f>
        <v>0</v>
      </c>
      <c r="Q5912" s="20" t="str">
        <f>IFERROR(__xludf.DUMMYFUNCTION("""COMPUTED_VALUE"""),"")</f>
        <v/>
      </c>
      <c r="R5912" s="21" t="str">
        <f>IFERROR(__xludf.DUMMYFUNCTION("""COMPUTED_VALUE"""),"https://drive.google.com/file/d/1ZwQTDY0fAlMdEYzZ5LlxWW0ukDd_zfy9/view?usp=drivesdk")</f>
        <v>https://drive.google.com/file/d/1ZwQTDY0fAlMdEYzZ5LlxWW0ukDd_zfy9/view?usp=drivesdk</v>
      </c>
    </row>
    <row r="5913">
      <c r="A5913" s="15">
        <f>IFERROR(__xludf.DUMMYFUNCTION("""COMPUTED_VALUE"""),45170.0)</f>
        <v>45170</v>
      </c>
      <c r="B5913" s="16" t="str">
        <f>IFERROR(__xludf.DUMMYFUNCTION("""COMPUTED_VALUE"""),"Jeison Rubiano")</f>
        <v>Jeison Rubiano</v>
      </c>
      <c r="C5913" s="15" t="str">
        <f>IFERROR(__xludf.DUMMYFUNCTION("""COMPUTED_VALUE"""),"BOGOTÁ")</f>
        <v>BOGOTÁ</v>
      </c>
      <c r="D5913" s="15" t="str">
        <f>IFERROR(__xludf.DUMMYFUNCTION("""COMPUTED_VALUE"""),"MEDELLÍN")</f>
        <v>MEDELLÍN</v>
      </c>
      <c r="E5913" s="15" t="str">
        <f>IFERROR(__xludf.DUMMYFUNCTION("""COMPUTED_VALUE"""),"AREPAS LA MARY")</f>
        <v>AREPAS LA MARY</v>
      </c>
      <c r="F5913" s="17" t="str">
        <f>IFERROR(__xludf.DUMMYFUNCTION("""COMPUTED_VALUE"""),"CRA 3D 54 A 50 APTO 303 / CHAPINERO BOGOTA")</f>
        <v>CRA 3D 54 A 50 APTO 303 / CHAPINERO BOGOTA</v>
      </c>
      <c r="G5913" s="15" t="str">
        <f>IFERROR(__xludf.DUMMYFUNCTION("""COMPUTED_VALUE"""),"ANGELA JOHANA MARTINEZ")</f>
        <v>ANGELA JOHANA MARTINEZ</v>
      </c>
      <c r="H5913" s="16">
        <f>IFERROR(__xludf.DUMMYFUNCTION("""COMPUTED_VALUE"""),14640.0)</f>
        <v>14640</v>
      </c>
      <c r="I5913" s="18">
        <f>IFERROR(__xludf.DUMMYFUNCTION("""COMPUTED_VALUE"""),89.0)</f>
        <v>89</v>
      </c>
      <c r="J5913" s="18">
        <f>IFERROR(__xludf.DUMMYFUNCTION("""COMPUTED_VALUE"""),1.0)</f>
        <v>1</v>
      </c>
      <c r="K5913" s="18">
        <f>IFERROR(__xludf.DUMMYFUNCTION("""COMPUTED_VALUE"""),10.0)</f>
        <v>10</v>
      </c>
      <c r="L5913" s="17">
        <f>IFERROR(__xludf.DUMMYFUNCTION("""COMPUTED_VALUE"""),3.175351101E9)</f>
        <v>3175351101</v>
      </c>
      <c r="M5913" s="17" t="str">
        <f>IFERROR(__xludf.DUMMYFUNCTION("""COMPUTED_VALUE"""),"#REF!")</f>
        <v>#REF!</v>
      </c>
      <c r="N5913" s="17"/>
      <c r="O5913" s="17"/>
      <c r="P5913" s="17" t="b">
        <f>IFERROR(__xludf.DUMMYFUNCTION("""COMPUTED_VALUE"""),FALSE)</f>
        <v>0</v>
      </c>
      <c r="Q5913" s="20" t="str">
        <f>IFERROR(__xludf.DUMMYFUNCTION("""COMPUTED_VALUE"""),"")</f>
        <v/>
      </c>
      <c r="R5913" s="21" t="str">
        <f>IFERROR(__xludf.DUMMYFUNCTION("""COMPUTED_VALUE"""),"https://drive.google.com/file/d/15l2TUN5Nh4CFGsGCloZuIGlUQ-IWDnbk/view?usp=drivesdk")</f>
        <v>https://drive.google.com/file/d/15l2TUN5Nh4CFGsGCloZuIGlUQ-IWDnbk/view?usp=drivesdk</v>
      </c>
    </row>
    <row r="5914">
      <c r="A5914" s="15">
        <f>IFERROR(__xludf.DUMMYFUNCTION("""COMPUTED_VALUE"""),45170.0)</f>
        <v>45170</v>
      </c>
      <c r="B5914" s="16" t="str">
        <f>IFERROR(__xludf.DUMMYFUNCTION("""COMPUTED_VALUE"""),"Jeison Rubiano")</f>
        <v>Jeison Rubiano</v>
      </c>
      <c r="C5914" s="15" t="str">
        <f>IFERROR(__xludf.DUMMYFUNCTION("""COMPUTED_VALUE"""),"BOGOTÁ")</f>
        <v>BOGOTÁ</v>
      </c>
      <c r="D5914" s="15" t="str">
        <f>IFERROR(__xludf.DUMMYFUNCTION("""COMPUTED_VALUE"""),"MEDELLÍN")</f>
        <v>MEDELLÍN</v>
      </c>
      <c r="E5914" s="15" t="str">
        <f>IFERROR(__xludf.DUMMYFUNCTION("""COMPUTED_VALUE"""),"AREPAS LA MARY")</f>
        <v>AREPAS LA MARY</v>
      </c>
      <c r="F5914" s="17" t="str">
        <f>IFERROR(__xludf.DUMMYFUNCTION("""COMPUTED_VALUE"""),"CRA 9 N.85 75 APTO 602 / BOGOTA")</f>
        <v>CRA 9 N.85 75 APTO 602 / BOGOTA</v>
      </c>
      <c r="G5914" s="15" t="str">
        <f>IFERROR(__xludf.DUMMYFUNCTION("""COMPUTED_VALUE"""),"LINA ENRIQUEZ")</f>
        <v>LINA ENRIQUEZ</v>
      </c>
      <c r="H5914" s="16">
        <f>IFERROR(__xludf.DUMMYFUNCTION("""COMPUTED_VALUE"""),14639.0)</f>
        <v>14639</v>
      </c>
      <c r="I5914" s="18">
        <f>IFERROR(__xludf.DUMMYFUNCTION("""COMPUTED_VALUE"""),89.0)</f>
        <v>89</v>
      </c>
      <c r="J5914" s="18">
        <f>IFERROR(__xludf.DUMMYFUNCTION("""COMPUTED_VALUE"""),1.0)</f>
        <v>1</v>
      </c>
      <c r="K5914" s="18">
        <f>IFERROR(__xludf.DUMMYFUNCTION("""COMPUTED_VALUE"""),10.0)</f>
        <v>10</v>
      </c>
      <c r="L5914" s="17">
        <f>IFERROR(__xludf.DUMMYFUNCTION("""COMPUTED_VALUE"""),3.214265812E9)</f>
        <v>3214265812</v>
      </c>
      <c r="M5914" s="17" t="str">
        <f>IFERROR(__xludf.DUMMYFUNCTION("""COMPUTED_VALUE"""),"#REF!")</f>
        <v>#REF!</v>
      </c>
      <c r="N5914" s="17"/>
      <c r="O5914" s="17"/>
      <c r="P5914" s="17" t="b">
        <f>IFERROR(__xludf.DUMMYFUNCTION("""COMPUTED_VALUE"""),FALSE)</f>
        <v>0</v>
      </c>
      <c r="Q5914" s="20" t="str">
        <f>IFERROR(__xludf.DUMMYFUNCTION("""COMPUTED_VALUE"""),"")</f>
        <v/>
      </c>
      <c r="R5914" s="21" t="str">
        <f>IFERROR(__xludf.DUMMYFUNCTION("""COMPUTED_VALUE"""),"https://drive.google.com/file/d/1z2dvs6P809Fp7zl3AlXewXSzLugXGAHA/view?usp=drivesdk")</f>
        <v>https://drive.google.com/file/d/1z2dvs6P809Fp7zl3AlXewXSzLugXGAHA/view?usp=drivesdk</v>
      </c>
    </row>
    <row r="5915">
      <c r="A5915" s="15">
        <f>IFERROR(__xludf.DUMMYFUNCTION("""COMPUTED_VALUE"""),45170.0)</f>
        <v>45170</v>
      </c>
      <c r="B5915" s="16" t="str">
        <f>IFERROR(__xludf.DUMMYFUNCTION("""COMPUTED_VALUE"""),"Jeison Rubiano")</f>
        <v>Jeison Rubiano</v>
      </c>
      <c r="C5915" s="15" t="str">
        <f>IFERROR(__xludf.DUMMYFUNCTION("""COMPUTED_VALUE"""),"BOGOTÁ")</f>
        <v>BOGOTÁ</v>
      </c>
      <c r="D5915" s="15" t="str">
        <f>IFERROR(__xludf.DUMMYFUNCTION("""COMPUTED_VALUE"""),"MEDELLÍN")</f>
        <v>MEDELLÍN</v>
      </c>
      <c r="E5915" s="15" t="str">
        <f>IFERROR(__xludf.DUMMYFUNCTION("""COMPUTED_VALUE"""),"Baby Chef")</f>
        <v>Baby Chef</v>
      </c>
      <c r="F5915" s="17" t="str">
        <f>IFERROR(__xludf.DUMMYFUNCTION("""COMPUTED_VALUE"""),"Calle 18 n no 86 - 55, torres 10, apto 804, barrio hayuelos conjunto parque de ostende  / Calle 18 n no 86 - 55, torres 10, apto 804, barrio hayuelos conjunto parque de ostende  / Calle 18 n no 86 - 55, torres 10, apto 804, barrio hayuelos conjunto parque"&amp;" de ostende")</f>
        <v>Calle 18 n no 86 - 55, torres 10, apto 804, barrio hayuelos conjunto parque de ostende  / Calle 18 n no 86 - 55, torres 10, apto 804, barrio hayuelos conjunto parque de ostende  / Calle 18 n no 86 - 55, torres 10, apto 804, barrio hayuelos conjunto parque de ostende</v>
      </c>
      <c r="G5915" s="15" t="str">
        <f>IFERROR(__xludf.DUMMYFUNCTION("""COMPUTED_VALUE"""),"Lucy Benitez")</f>
        <v>Lucy Benitez</v>
      </c>
      <c r="H5915" s="16">
        <f>IFERROR(__xludf.DUMMYFUNCTION("""COMPUTED_VALUE"""),14646.0)</f>
        <v>14646</v>
      </c>
      <c r="I5915" s="18">
        <f>IFERROR(__xludf.DUMMYFUNCTION("""COMPUTED_VALUE"""),11.0)</f>
        <v>11</v>
      </c>
      <c r="J5915" s="18">
        <f>IFERROR(__xludf.DUMMYFUNCTION("""COMPUTED_VALUE"""),31.0)</f>
        <v>31</v>
      </c>
      <c r="K5915" s="18">
        <f>IFERROR(__xludf.DUMMYFUNCTION("""COMPUTED_VALUE"""),44.0)</f>
        <v>44</v>
      </c>
      <c r="L5915" s="17">
        <f>IFERROR(__xludf.DUMMYFUNCTION("""COMPUTED_VALUE"""),3.107615212E9)</f>
        <v>3107615212</v>
      </c>
      <c r="M5915" s="17" t="str">
        <f>IFERROR(__xludf.DUMMYFUNCTION("""COMPUTED_VALUE"""),"#REF!")</f>
        <v>#REF!</v>
      </c>
      <c r="N5915" s="17"/>
      <c r="O5915" s="17"/>
      <c r="P5915" s="17" t="b">
        <f>IFERROR(__xludf.DUMMYFUNCTION("""COMPUTED_VALUE"""),FALSE)</f>
        <v>0</v>
      </c>
      <c r="Q5915" s="20" t="str">
        <f>IFERROR(__xludf.DUMMYFUNCTION("""COMPUTED_VALUE"""),"")</f>
        <v/>
      </c>
      <c r="R5915" s="21" t="str">
        <f>IFERROR(__xludf.DUMMYFUNCTION("""COMPUTED_VALUE"""),"https://drive.google.com/file/d/1XQlggOM3xifyIhbHlTGu28XNpS2FpPqR/view?usp=drivesdk")</f>
        <v>https://drive.google.com/file/d/1XQlggOM3xifyIhbHlTGu28XNpS2FpPqR/view?usp=drivesdk</v>
      </c>
    </row>
    <row r="5916">
      <c r="A5916" s="15">
        <f>IFERROR(__xludf.DUMMYFUNCTION("""COMPUTED_VALUE"""),45170.0)</f>
        <v>45170</v>
      </c>
      <c r="B5916" s="16" t="str">
        <f>IFERROR(__xludf.DUMMYFUNCTION("""COMPUTED_VALUE"""),"Jeison Rubiano")</f>
        <v>Jeison Rubiano</v>
      </c>
      <c r="C5916" s="15" t="str">
        <f>IFERROR(__xludf.DUMMYFUNCTION("""COMPUTED_VALUE"""),"BOGOTÁ")</f>
        <v>BOGOTÁ</v>
      </c>
      <c r="D5916" s="15" t="str">
        <f>IFERROR(__xludf.DUMMYFUNCTION("""COMPUTED_VALUE"""),"MEDELLÍN")</f>
        <v>MEDELLÍN</v>
      </c>
      <c r="E5916" s="15" t="str">
        <f>IFERROR(__xludf.DUMMYFUNCTION("""COMPUTED_VALUE"""),"Baby Chef")</f>
        <v>Baby Chef</v>
      </c>
      <c r="F5916" s="17" t="str">
        <f>IFERROR(__xludf.DUMMYFUNCTION("""COMPUTED_VALUE"""),"Calle 33 no 6 - 37, apto 1603, edificio Frontier / Calle 33 no 6 - 37, apto 1603, edificio Frontier / Calle 33 no 6 - 37, apto 1603, edificio Frontier")</f>
        <v>Calle 33 no 6 - 37, apto 1603, edificio Frontier / Calle 33 no 6 - 37, apto 1603, edificio Frontier / Calle 33 no 6 - 37, apto 1603, edificio Frontier</v>
      </c>
      <c r="G5916" s="15" t="str">
        <f>IFERROR(__xludf.DUMMYFUNCTION("""COMPUTED_VALUE"""),"Andrea Montoya")</f>
        <v>Andrea Montoya</v>
      </c>
      <c r="H5916" s="16">
        <f>IFERROR(__xludf.DUMMYFUNCTION("""COMPUTED_VALUE"""),14643.0)</f>
        <v>14643</v>
      </c>
      <c r="I5916" s="18">
        <f>IFERROR(__xludf.DUMMYFUNCTION("""COMPUTED_VALUE"""),9.0)</f>
        <v>9</v>
      </c>
      <c r="J5916" s="18">
        <f>IFERROR(__xludf.DUMMYFUNCTION("""COMPUTED_VALUE"""),27.0)</f>
        <v>27</v>
      </c>
      <c r="K5916" s="18">
        <f>IFERROR(__xludf.DUMMYFUNCTION("""COMPUTED_VALUE"""),37.0)</f>
        <v>37</v>
      </c>
      <c r="L5916" s="17">
        <f>IFERROR(__xludf.DUMMYFUNCTION("""COMPUTED_VALUE"""),3.12895069E9)</f>
        <v>3128950690</v>
      </c>
      <c r="M5916" s="17" t="str">
        <f>IFERROR(__xludf.DUMMYFUNCTION("""COMPUTED_VALUE"""),"#REF!")</f>
        <v>#REF!</v>
      </c>
      <c r="N5916" s="17"/>
      <c r="O5916" s="17"/>
      <c r="P5916" s="17" t="b">
        <f>IFERROR(__xludf.DUMMYFUNCTION("""COMPUTED_VALUE"""),FALSE)</f>
        <v>0</v>
      </c>
      <c r="Q5916" s="20" t="str">
        <f>IFERROR(__xludf.DUMMYFUNCTION("""COMPUTED_VALUE"""),"")</f>
        <v/>
      </c>
      <c r="R5916" s="21" t="str">
        <f>IFERROR(__xludf.DUMMYFUNCTION("""COMPUTED_VALUE"""),"https://drive.google.com/file/d/1jf9gS1HFGy3A_Yq8gdr-MkwqA7bBd7vp/view?usp=drivesdk")</f>
        <v>https://drive.google.com/file/d/1jf9gS1HFGy3A_Yq8gdr-MkwqA7bBd7vp/view?usp=drivesdk</v>
      </c>
    </row>
    <row r="5917">
      <c r="A5917" s="15">
        <f>IFERROR(__xludf.DUMMYFUNCTION("""COMPUTED_VALUE"""),45170.0)</f>
        <v>45170</v>
      </c>
      <c r="B5917" s="16" t="str">
        <f>IFERROR(__xludf.DUMMYFUNCTION("""COMPUTED_VALUE"""),"Jeison Rubiano")</f>
        <v>Jeison Rubiano</v>
      </c>
      <c r="C5917" s="15" t="str">
        <f>IFERROR(__xludf.DUMMYFUNCTION("""COMPUTED_VALUE"""),"BOGOTÁ")</f>
        <v>BOGOTÁ</v>
      </c>
      <c r="D5917" s="15" t="str">
        <f>IFERROR(__xludf.DUMMYFUNCTION("""COMPUTED_VALUE"""),"MEDELLÍN")</f>
        <v>MEDELLÍN</v>
      </c>
      <c r="E5917" s="15" t="str">
        <f>IFERROR(__xludf.DUMMYFUNCTION("""COMPUTED_VALUE"""),"Baby Chef")</f>
        <v>Baby Chef</v>
      </c>
      <c r="F5917" s="17" t="str">
        <f>IFERROR(__xludf.DUMMYFUNCTION("""COMPUTED_VALUE"""),"Carrera 8 no 75 - 19, apto 301  / Carrera 8 no 75 - 19, apto 301  / Carrera 8 no 75 - 19, apto 301")</f>
        <v>Carrera 8 no 75 - 19, apto 301  / Carrera 8 no 75 - 19, apto 301  / Carrera 8 no 75 - 19, apto 301</v>
      </c>
      <c r="G5917" s="15" t="str">
        <f>IFERROR(__xludf.DUMMYFUNCTION("""COMPUTED_VALUE"""),"Juliana Raigoza")</f>
        <v>Juliana Raigoza</v>
      </c>
      <c r="H5917" s="16">
        <f>IFERROR(__xludf.DUMMYFUNCTION("""COMPUTED_VALUE"""),14645.0)</f>
        <v>14645</v>
      </c>
      <c r="I5917" s="18">
        <f>IFERROR(__xludf.DUMMYFUNCTION("""COMPUTED_VALUE"""),7.0)</f>
        <v>7</v>
      </c>
      <c r="J5917" s="18">
        <f>IFERROR(__xludf.DUMMYFUNCTION("""COMPUTED_VALUE"""),22.0)</f>
        <v>22</v>
      </c>
      <c r="K5917" s="18">
        <f>IFERROR(__xludf.DUMMYFUNCTION("""COMPUTED_VALUE"""),35.0)</f>
        <v>35</v>
      </c>
      <c r="L5917" s="17">
        <f>IFERROR(__xludf.DUMMYFUNCTION("""COMPUTED_VALUE"""),3.003485924E9)</f>
        <v>3003485924</v>
      </c>
      <c r="M5917" s="17" t="str">
        <f>IFERROR(__xludf.DUMMYFUNCTION("""COMPUTED_VALUE"""),"#REF!")</f>
        <v>#REF!</v>
      </c>
      <c r="N5917" s="17"/>
      <c r="O5917" s="17"/>
      <c r="P5917" s="17" t="b">
        <f>IFERROR(__xludf.DUMMYFUNCTION("""COMPUTED_VALUE"""),FALSE)</f>
        <v>0</v>
      </c>
      <c r="Q5917" s="20" t="str">
        <f>IFERROR(__xludf.DUMMYFUNCTION("""COMPUTED_VALUE"""),"")</f>
        <v/>
      </c>
      <c r="R5917" s="21" t="str">
        <f>IFERROR(__xludf.DUMMYFUNCTION("""COMPUTED_VALUE"""),"https://drive.google.com/file/d/1lOVuzhacFQIaV6f1QiIE0JZ0LtVu7J-2/view?usp=drivesdk")</f>
        <v>https://drive.google.com/file/d/1lOVuzhacFQIaV6f1QiIE0JZ0LtVu7J-2/view?usp=drivesdk</v>
      </c>
    </row>
    <row r="5918">
      <c r="A5918" s="15">
        <f>IFERROR(__xludf.DUMMYFUNCTION("""COMPUTED_VALUE"""),45170.0)</f>
        <v>45170</v>
      </c>
      <c r="B5918" s="16" t="str">
        <f>IFERROR(__xludf.DUMMYFUNCTION("""COMPUTED_VALUE"""),"Jeison Rubiano")</f>
        <v>Jeison Rubiano</v>
      </c>
      <c r="C5918" s="15" t="str">
        <f>IFERROR(__xludf.DUMMYFUNCTION("""COMPUTED_VALUE"""),"BOGOTÁ")</f>
        <v>BOGOTÁ</v>
      </c>
      <c r="D5918" s="15" t="str">
        <f>IFERROR(__xludf.DUMMYFUNCTION("""COMPUTED_VALUE"""),"MEDELLÍN")</f>
        <v>MEDELLÍN</v>
      </c>
      <c r="E5918" s="15" t="str">
        <f>IFERROR(__xludf.DUMMYFUNCTION("""COMPUTED_VALUE"""),"Baby Chef")</f>
        <v>Baby Chef</v>
      </c>
      <c r="F5918" s="17" t="str">
        <f>IFERROR(__xludf.DUMMYFUNCTION("""COMPUTED_VALUE"""),"cra 136 # 130a 31 casa 25D Conjunto Villaconfenalco / ""cra 136 # 130a 31 casa 25D Conjunto Villaconfenalco"" / ""cra 136 # 130a 31 casa 25D Conjunto Villaconfenalco""")</f>
        <v>cra 136 # 130a 31 casa 25D Conjunto Villaconfenalco / "cra 136 # 130a 31 casa 25D Conjunto Villaconfenalco" / "cra 136 # 130a 31 casa 25D Conjunto Villaconfenalco"</v>
      </c>
      <c r="G5918" s="15" t="str">
        <f>IFERROR(__xludf.DUMMYFUNCTION("""COMPUTED_VALUE"""),"Angie Lorena Gutierrez Carranza")</f>
        <v>Angie Lorena Gutierrez Carranza</v>
      </c>
      <c r="H5918" s="16">
        <f>IFERROR(__xludf.DUMMYFUNCTION("""COMPUTED_VALUE"""),14649.0)</f>
        <v>14649</v>
      </c>
      <c r="I5918" s="18">
        <f>IFERROR(__xludf.DUMMYFUNCTION("""COMPUTED_VALUE"""),8.0)</f>
        <v>8</v>
      </c>
      <c r="J5918" s="18">
        <f>IFERROR(__xludf.DUMMYFUNCTION("""COMPUTED_VALUE"""),30.0)</f>
        <v>30</v>
      </c>
      <c r="K5918" s="18">
        <f>IFERROR(__xludf.DUMMYFUNCTION("""COMPUTED_VALUE"""),37.0)</f>
        <v>37</v>
      </c>
      <c r="L5918" s="17">
        <f>IFERROR(__xludf.DUMMYFUNCTION("""COMPUTED_VALUE"""),3.195943737E9)</f>
        <v>3195943737</v>
      </c>
      <c r="M5918" s="17" t="str">
        <f>IFERROR(__xludf.DUMMYFUNCTION("""COMPUTED_VALUE"""),"#REF!")</f>
        <v>#REF!</v>
      </c>
      <c r="N5918" s="17"/>
      <c r="O5918" s="17"/>
      <c r="P5918" s="17" t="b">
        <f>IFERROR(__xludf.DUMMYFUNCTION("""COMPUTED_VALUE"""),FALSE)</f>
        <v>0</v>
      </c>
      <c r="Q5918" s="20" t="str">
        <f>IFERROR(__xludf.DUMMYFUNCTION("""COMPUTED_VALUE"""),"")</f>
        <v/>
      </c>
      <c r="R5918" s="21" t="str">
        <f>IFERROR(__xludf.DUMMYFUNCTION("""COMPUTED_VALUE"""),"https://drive.google.com/file/d/1SooMbFZE8hhWnVeHkvVd1PR4aCC7ZnVE/view?usp=drivesdk")</f>
        <v>https://drive.google.com/file/d/1SooMbFZE8hhWnVeHkvVd1PR4aCC7ZnVE/view?usp=drivesdk</v>
      </c>
    </row>
    <row r="5919">
      <c r="A5919" s="15">
        <f>IFERROR(__xludf.DUMMYFUNCTION("""COMPUTED_VALUE"""),45170.0)</f>
        <v>45170</v>
      </c>
      <c r="B5919" s="16" t="str">
        <f>IFERROR(__xludf.DUMMYFUNCTION("""COMPUTED_VALUE"""),"Jeison Rubiano")</f>
        <v>Jeison Rubiano</v>
      </c>
      <c r="C5919" s="15" t="str">
        <f>IFERROR(__xludf.DUMMYFUNCTION("""COMPUTED_VALUE"""),"BOGOTÁ")</f>
        <v>BOGOTÁ</v>
      </c>
      <c r="D5919" s="15" t="str">
        <f>IFERROR(__xludf.DUMMYFUNCTION("""COMPUTED_VALUE"""),"MEDELLÍN")</f>
        <v>MEDELLÍN</v>
      </c>
      <c r="E5919" s="15" t="str">
        <f>IFERROR(__xludf.DUMMYFUNCTION("""COMPUTED_VALUE"""),"Baby Chef")</f>
        <v>Baby Chef</v>
      </c>
      <c r="F5919" s="17" t="str">
        <f>IFERROR(__xludf.DUMMYFUNCTION("""COMPUTED_VALUE"""),"Cra 77 no 18 - 51, conjunto la arboleda torre 4 apto 402 / Cra 77 no 18 - 51, conjunto la arboleda torre 4 apto 402 / Cra 77 no 18 - 51, conjunto la arboleda torre 4 apto 402")</f>
        <v>Cra 77 no 18 - 51, conjunto la arboleda torre 4 apto 402 / Cra 77 no 18 - 51, conjunto la arboleda torre 4 apto 402 / Cra 77 no 18 - 51, conjunto la arboleda torre 4 apto 402</v>
      </c>
      <c r="G5919" s="15" t="str">
        <f>IFERROR(__xludf.DUMMYFUNCTION("""COMPUTED_VALUE"""),"Kate Figueroa")</f>
        <v>Kate Figueroa</v>
      </c>
      <c r="H5919" s="16">
        <f>IFERROR(__xludf.DUMMYFUNCTION("""COMPUTED_VALUE"""),14648.0)</f>
        <v>14648</v>
      </c>
      <c r="I5919" s="18">
        <f>IFERROR(__xludf.DUMMYFUNCTION("""COMPUTED_VALUE"""),8.0)</f>
        <v>8</v>
      </c>
      <c r="J5919" s="18">
        <f>IFERROR(__xludf.DUMMYFUNCTION("""COMPUTED_VALUE"""),23.0)</f>
        <v>23</v>
      </c>
      <c r="K5919" s="18">
        <f>IFERROR(__xludf.DUMMYFUNCTION("""COMPUTED_VALUE"""),35.0)</f>
        <v>35</v>
      </c>
      <c r="L5919" s="17">
        <f>IFERROR(__xludf.DUMMYFUNCTION("""COMPUTED_VALUE"""),3.502970217E9)</f>
        <v>3502970217</v>
      </c>
      <c r="M5919" s="17" t="str">
        <f>IFERROR(__xludf.DUMMYFUNCTION("""COMPUTED_VALUE"""),"#REF!")</f>
        <v>#REF!</v>
      </c>
      <c r="N5919" s="17"/>
      <c r="O5919" s="17"/>
      <c r="P5919" s="17" t="b">
        <f>IFERROR(__xludf.DUMMYFUNCTION("""COMPUTED_VALUE"""),TRUE)</f>
        <v>1</v>
      </c>
      <c r="Q5919" s="20">
        <f>IFERROR(__xludf.DUMMYFUNCTION("""COMPUTED_VALUE"""),45169.63627030092)</f>
        <v>45169.63627</v>
      </c>
      <c r="R5919" s="21" t="str">
        <f>IFERROR(__xludf.DUMMYFUNCTION("""COMPUTED_VALUE"""),"https://drive.google.com/file/d/1qfUA1SQSRKtQf3mmMzKwpJkhmaaNDjry/view?usp=drivesdk")</f>
        <v>https://drive.google.com/file/d/1qfUA1SQSRKtQf3mmMzKwpJkhmaaNDjry/view?usp=drivesdk</v>
      </c>
    </row>
    <row r="5920">
      <c r="A5920" s="15">
        <f>IFERROR(__xludf.DUMMYFUNCTION("""COMPUTED_VALUE"""),45170.0)</f>
        <v>45170</v>
      </c>
      <c r="B5920" s="16" t="str">
        <f>IFERROR(__xludf.DUMMYFUNCTION("""COMPUTED_VALUE"""),"Jeison Rubiano")</f>
        <v>Jeison Rubiano</v>
      </c>
      <c r="C5920" s="15" t="str">
        <f>IFERROR(__xludf.DUMMYFUNCTION("""COMPUTED_VALUE"""),"BOGOTÁ")</f>
        <v>BOGOTÁ</v>
      </c>
      <c r="D5920" s="15" t="str">
        <f>IFERROR(__xludf.DUMMYFUNCTION("""COMPUTED_VALUE"""),"MEDELLÍN")</f>
        <v>MEDELLÍN</v>
      </c>
      <c r="E5920" s="15" t="str">
        <f>IFERROR(__xludf.DUMMYFUNCTION("""COMPUTED_VALUE"""),"Baby Chef")</f>
        <v>Baby Chef</v>
      </c>
      <c r="F5920" s="17" t="str">
        <f>IFERROR(__xludf.DUMMYFUNCTION("""COMPUTED_VALUE"""),"Transversal 22 a no 60 a - 17, edificio alameda de san luis II, apto 1007, barrio san luis, bogota / Transversal 22 a no 60 a - 17, edificio alameda de san luis II, apto 1007, barrio san luis, bogota / Transversal 22 a no 60 a - 17, edificio alameda de sa"&amp;"n luis II, apto 1007, barrio san luis, bogota")</f>
        <v>Transversal 22 a no 60 a - 17, edificio alameda de san luis II, apto 1007, barrio san luis, bogota / Transversal 22 a no 60 a - 17, edificio alameda de san luis II, apto 1007, barrio san luis, bogota / Transversal 22 a no 60 a - 17, edificio alameda de san luis II, apto 1007, barrio san luis, bogota</v>
      </c>
      <c r="G5920" s="15" t="str">
        <f>IFERROR(__xludf.DUMMYFUNCTION("""COMPUTED_VALUE"""),"Lorena Benavides")</f>
        <v>Lorena Benavides</v>
      </c>
      <c r="H5920" s="16">
        <f>IFERROR(__xludf.DUMMYFUNCTION("""COMPUTED_VALUE"""),14642.0)</f>
        <v>14642</v>
      </c>
      <c r="I5920" s="18">
        <f>IFERROR(__xludf.DUMMYFUNCTION("""COMPUTED_VALUE"""),6.0)</f>
        <v>6</v>
      </c>
      <c r="J5920" s="18">
        <f>IFERROR(__xludf.DUMMYFUNCTION("""COMPUTED_VALUE"""),22.0)</f>
        <v>22</v>
      </c>
      <c r="K5920" s="18">
        <f>IFERROR(__xludf.DUMMYFUNCTION("""COMPUTED_VALUE"""),34.0)</f>
        <v>34</v>
      </c>
      <c r="L5920" s="17">
        <f>IFERROR(__xludf.DUMMYFUNCTION("""COMPUTED_VALUE"""),3.002064094E9)</f>
        <v>3002064094</v>
      </c>
      <c r="M5920" s="17" t="str">
        <f>IFERROR(__xludf.DUMMYFUNCTION("""COMPUTED_VALUE"""),"#REF!")</f>
        <v>#REF!</v>
      </c>
      <c r="N5920" s="17"/>
      <c r="O5920" s="17"/>
      <c r="P5920" s="17" t="b">
        <f>IFERROR(__xludf.DUMMYFUNCTION("""COMPUTED_VALUE"""),FALSE)</f>
        <v>0</v>
      </c>
      <c r="Q5920" s="20" t="str">
        <f>IFERROR(__xludf.DUMMYFUNCTION("""COMPUTED_VALUE"""),"")</f>
        <v/>
      </c>
      <c r="R5920" s="21" t="str">
        <f>IFERROR(__xludf.DUMMYFUNCTION("""COMPUTED_VALUE"""),"https://drive.google.com/file/d/1w_gaFOyntQ8DG2haLSicxmStmbuPMa3X/view?usp=drivesdk")</f>
        <v>https://drive.google.com/file/d/1w_gaFOyntQ8DG2haLSicxmStmbuPMa3X/view?usp=drivesdk</v>
      </c>
    </row>
    <row r="5921">
      <c r="A5921" s="15">
        <f>IFERROR(__xludf.DUMMYFUNCTION("""COMPUTED_VALUE"""),45170.0)</f>
        <v>45170</v>
      </c>
      <c r="B5921" s="16" t="str">
        <f>IFERROR(__xludf.DUMMYFUNCTION("""COMPUTED_VALUE"""),"Jeison Rubiano")</f>
        <v>Jeison Rubiano</v>
      </c>
      <c r="C5921" s="15" t="str">
        <f>IFERROR(__xludf.DUMMYFUNCTION("""COMPUTED_VALUE"""),"BOGOTÁ")</f>
        <v>BOGOTÁ</v>
      </c>
      <c r="D5921" s="15" t="str">
        <f>IFERROR(__xludf.DUMMYFUNCTION("""COMPUTED_VALUE"""),"MEDELLÍN")</f>
        <v>MEDELLÍN</v>
      </c>
      <c r="E5921" s="15" t="str">
        <f>IFERROR(__xludf.DUMMYFUNCTION("""COMPUTED_VALUE"""),"Baby Chef")</f>
        <v>Baby Chef</v>
      </c>
      <c r="F5921" s="17" t="str">
        <f>IFERROR(__xludf.DUMMYFUNCTION("""COMPUTED_VALUE"""),"Transversal 64 # 1-56 interior 12 apto 301 / Transversal 64 # 1-56 interior 12 apto 301 / Transversal 64 # 1-56 interior 12 apto 301")</f>
        <v>Transversal 64 # 1-56 interior 12 apto 301 / Transversal 64 # 1-56 interior 12 apto 301 / Transversal 64 # 1-56 interior 12 apto 301</v>
      </c>
      <c r="G5921" s="15" t="str">
        <f>IFERROR(__xludf.DUMMYFUNCTION("""COMPUTED_VALUE"""),"Patricia Arboleda")</f>
        <v>Patricia Arboleda</v>
      </c>
      <c r="H5921" s="16">
        <f>IFERROR(__xludf.DUMMYFUNCTION("""COMPUTED_VALUE"""),14644.0)</f>
        <v>14644</v>
      </c>
      <c r="I5921" s="18">
        <f>IFERROR(__xludf.DUMMYFUNCTION("""COMPUTED_VALUE"""),6.0)</f>
        <v>6</v>
      </c>
      <c r="J5921" s="18">
        <f>IFERROR(__xludf.DUMMYFUNCTION("""COMPUTED_VALUE"""),22.0)</f>
        <v>22</v>
      </c>
      <c r="K5921" s="18">
        <f>IFERROR(__xludf.DUMMYFUNCTION("""COMPUTED_VALUE"""),35.0)</f>
        <v>35</v>
      </c>
      <c r="L5921" s="17">
        <f>IFERROR(__xludf.DUMMYFUNCTION("""COMPUTED_VALUE"""),3.004116822E9)</f>
        <v>3004116822</v>
      </c>
      <c r="M5921" s="17" t="str">
        <f>IFERROR(__xludf.DUMMYFUNCTION("""COMPUTED_VALUE"""),"#REF!")</f>
        <v>#REF!</v>
      </c>
      <c r="N5921" s="17"/>
      <c r="O5921" s="17"/>
      <c r="P5921" s="17" t="b">
        <f>IFERROR(__xludf.DUMMYFUNCTION("""COMPUTED_VALUE"""),TRUE)</f>
        <v>1</v>
      </c>
      <c r="Q5921" s="20">
        <f>IFERROR(__xludf.DUMMYFUNCTION("""COMPUTED_VALUE"""),45173.39436364583)</f>
        <v>45173.39436</v>
      </c>
      <c r="R5921" s="21" t="str">
        <f>IFERROR(__xludf.DUMMYFUNCTION("""COMPUTED_VALUE"""),"https://drive.google.com/file/d/1JOgBHtGY_F0qIAlaokcP4_BBay4yDHwv/view?usp=drivesdk")</f>
        <v>https://drive.google.com/file/d/1JOgBHtGY_F0qIAlaokcP4_BBay4yDHwv/view?usp=drivesdk</v>
      </c>
    </row>
    <row r="5922">
      <c r="A5922" s="15">
        <f>IFERROR(__xludf.DUMMYFUNCTION("""COMPUTED_VALUE"""),45170.0)</f>
        <v>45170</v>
      </c>
      <c r="B5922" s="16" t="str">
        <f>IFERROR(__xludf.DUMMYFUNCTION("""COMPUTED_VALUE"""),"Jeison Rubiano")</f>
        <v>Jeison Rubiano</v>
      </c>
      <c r="C5922" s="15" t="str">
        <f>IFERROR(__xludf.DUMMYFUNCTION("""COMPUTED_VALUE"""),"BOGOTÁ")</f>
        <v>BOGOTÁ</v>
      </c>
      <c r="D5922" s="15" t="str">
        <f>IFERROR(__xludf.DUMMYFUNCTION("""COMPUTED_VALUE"""),"MEDELLÍN")</f>
        <v>MEDELLÍN</v>
      </c>
      <c r="E5922" s="15" t="str">
        <f>IFERROR(__xludf.DUMMYFUNCTION("""COMPUTED_VALUE"""),"Magda")</f>
        <v>Magda</v>
      </c>
      <c r="F5922" s="17" t="str">
        <f>IFERROR(__xludf.DUMMYFUNCTION("""COMPUTED_VALUE"""),"Calle 71a # 14a22/26 / Cocinas ocultas / San Felipe")</f>
        <v>Calle 71a # 14a22/26 / Cocinas ocultas / San Felipe</v>
      </c>
      <c r="G5922" s="15" t="str">
        <f>IFERROR(__xludf.DUMMYFUNCTION("""COMPUTED_VALUE"""),"Andrés Hernández")</f>
        <v>Andrés Hernández</v>
      </c>
      <c r="H5922" s="16">
        <f>IFERROR(__xludf.DUMMYFUNCTION("""COMPUTED_VALUE"""),14615.0)</f>
        <v>14615</v>
      </c>
      <c r="I5922" s="18">
        <f>IFERROR(__xludf.DUMMYFUNCTION("""COMPUTED_VALUE"""),5.0)</f>
        <v>5</v>
      </c>
      <c r="J5922" s="18">
        <f>IFERROR(__xludf.DUMMYFUNCTION("""COMPUTED_VALUE"""),5.0)</f>
        <v>5</v>
      </c>
      <c r="K5922" s="18">
        <f>IFERROR(__xludf.DUMMYFUNCTION("""COMPUTED_VALUE"""),5.0)</f>
        <v>5</v>
      </c>
      <c r="L5922" s="17">
        <f>IFERROR(__xludf.DUMMYFUNCTION("""COMPUTED_VALUE"""),3.214229567E9)</f>
        <v>3214229567</v>
      </c>
      <c r="M5922" s="17" t="str">
        <f>IFERROR(__xludf.DUMMYFUNCTION("""COMPUTED_VALUE"""),"#REF!")</f>
        <v>#REF!</v>
      </c>
      <c r="N5922" s="17"/>
      <c r="O5922" s="17"/>
      <c r="P5922" s="17" t="b">
        <f>IFERROR(__xludf.DUMMYFUNCTION("""COMPUTED_VALUE"""),TRUE)</f>
        <v>1</v>
      </c>
      <c r="Q5922" s="20">
        <f>IFERROR(__xludf.DUMMYFUNCTION("""COMPUTED_VALUE"""),45173.39436364583)</f>
        <v>45173.39436</v>
      </c>
      <c r="R5922" s="22" t="str">
        <f>IFERROR(__xludf.DUMMYFUNCTION("""COMPUTED_VALUE"""),"")</f>
        <v/>
      </c>
    </row>
    <row r="5923">
      <c r="A5923" s="15">
        <f>IFERROR(__xludf.DUMMYFUNCTION("""COMPUTED_VALUE"""),45170.0)</f>
        <v>45170</v>
      </c>
      <c r="B5923" s="16" t="str">
        <f>IFERROR(__xludf.DUMMYFUNCTION("""COMPUTED_VALUE"""),"Jeison Rubiano")</f>
        <v>Jeison Rubiano</v>
      </c>
      <c r="C5923" s="15" t="str">
        <f>IFERROR(__xludf.DUMMYFUNCTION("""COMPUTED_VALUE"""),"BOGOTÁ")</f>
        <v>BOGOTÁ</v>
      </c>
      <c r="D5923" s="15" t="str">
        <f>IFERROR(__xludf.DUMMYFUNCTION("""COMPUTED_VALUE"""),"MEDELLÍN")</f>
        <v>MEDELLÍN</v>
      </c>
      <c r="E5923" s="15" t="str">
        <f>IFERROR(__xludf.DUMMYFUNCTION("""COMPUTED_VALUE"""),"Moloso S.A.S")</f>
        <v>Moloso S.A.S</v>
      </c>
      <c r="F5923" s="17" t="str">
        <f>IFERROR(__xludf.DUMMYFUNCTION("""COMPUTED_VALUE"""),"CLL 118 16 32 / APT 502")</f>
        <v>CLL 118 16 32 / APT 502</v>
      </c>
      <c r="G5923" s="15" t="str">
        <f>IFERROR(__xludf.DUMMYFUNCTION("""COMPUTED_VALUE"""),"ANGELICA MANCILLA")</f>
        <v>ANGELICA MANCILLA</v>
      </c>
      <c r="H5923" s="16">
        <f>IFERROR(__xludf.DUMMYFUNCTION("""COMPUTED_VALUE"""),14657.0)</f>
        <v>14657</v>
      </c>
      <c r="I5923" s="18">
        <f>IFERROR(__xludf.DUMMYFUNCTION("""COMPUTED_VALUE"""),17.0)</f>
        <v>17</v>
      </c>
      <c r="J5923" s="18">
        <f>IFERROR(__xludf.DUMMYFUNCTION("""COMPUTED_VALUE"""),15.0)</f>
        <v>15</v>
      </c>
      <c r="K5923" s="18">
        <f>IFERROR(__xludf.DUMMYFUNCTION("""COMPUTED_VALUE"""),28.0)</f>
        <v>28</v>
      </c>
      <c r="L5923" s="17">
        <f>IFERROR(__xludf.DUMMYFUNCTION("""COMPUTED_VALUE"""),3.174401028E9)</f>
        <v>3174401028</v>
      </c>
      <c r="M5923" s="17" t="str">
        <f>IFERROR(__xludf.DUMMYFUNCTION("""COMPUTED_VALUE"""),"#REF!")</f>
        <v>#REF!</v>
      </c>
      <c r="N5923" s="17"/>
      <c r="O5923" s="17"/>
      <c r="P5923" s="17" t="b">
        <f>IFERROR(__xludf.DUMMYFUNCTION("""COMPUTED_VALUE"""),TRUE)</f>
        <v>1</v>
      </c>
      <c r="Q5923" s="20">
        <f>IFERROR(__xludf.DUMMYFUNCTION("""COMPUTED_VALUE"""),45173.39436364583)</f>
        <v>45173.39436</v>
      </c>
      <c r="R5923" s="21" t="str">
        <f>IFERROR(__xludf.DUMMYFUNCTION("""COMPUTED_VALUE"""),"https://drive.google.com/file/d/1c-1yx43I3ESCxSpbufj4xs0ViK2eeu9V/view?usp=drivesdk")</f>
        <v>https://drive.google.com/file/d/1c-1yx43I3ESCxSpbufj4xs0ViK2eeu9V/view?usp=drivesdk</v>
      </c>
    </row>
    <row r="5924">
      <c r="A5924" s="15">
        <f>IFERROR(__xludf.DUMMYFUNCTION("""COMPUTED_VALUE"""),45170.0)</f>
        <v>45170</v>
      </c>
      <c r="B5924" s="16" t="str">
        <f>IFERROR(__xludf.DUMMYFUNCTION("""COMPUTED_VALUE"""),"Jeison Rubiano")</f>
        <v>Jeison Rubiano</v>
      </c>
      <c r="C5924" s="15" t="str">
        <f>IFERROR(__xludf.DUMMYFUNCTION("""COMPUTED_VALUE"""),"BOGOTÁ")</f>
        <v>BOGOTÁ</v>
      </c>
      <c r="D5924" s="15" t="str">
        <f>IFERROR(__xludf.DUMMYFUNCTION("""COMPUTED_VALUE"""),"MEDELLÍN")</f>
        <v>MEDELLÍN</v>
      </c>
      <c r="E5924" s="15" t="str">
        <f>IFERROR(__xludf.DUMMYFUNCTION("""COMPUTED_VALUE"""),"Moloso S.A.S")</f>
        <v>Moloso S.A.S</v>
      </c>
      <c r="F5924" s="17" t="str">
        <f>IFERROR(__xludf.DUMMYFUNCTION("""COMPUTED_VALUE"""),"CR 23 106 B 64 / EDF MYSTIQUE 106")</f>
        <v>CR 23 106 B 64 / EDF MYSTIQUE 106</v>
      </c>
      <c r="G5924" s="15" t="str">
        <f>IFERROR(__xludf.DUMMYFUNCTION("""COMPUTED_VALUE"""),"MARIANA OSPINA")</f>
        <v>MARIANA OSPINA</v>
      </c>
      <c r="H5924" s="16">
        <f>IFERROR(__xludf.DUMMYFUNCTION("""COMPUTED_VALUE"""),14656.0)</f>
        <v>14656</v>
      </c>
      <c r="I5924" s="18">
        <f>IFERROR(__xludf.DUMMYFUNCTION("""COMPUTED_VALUE"""),17.0)</f>
        <v>17</v>
      </c>
      <c r="J5924" s="18">
        <f>IFERROR(__xludf.DUMMYFUNCTION("""COMPUTED_VALUE"""),15.0)</f>
        <v>15</v>
      </c>
      <c r="K5924" s="18">
        <f>IFERROR(__xludf.DUMMYFUNCTION("""COMPUTED_VALUE"""),28.0)</f>
        <v>28</v>
      </c>
      <c r="L5924" s="17">
        <f>IFERROR(__xludf.DUMMYFUNCTION("""COMPUTED_VALUE"""),3.017656611E9)</f>
        <v>3017656611</v>
      </c>
      <c r="M5924" s="17" t="str">
        <f>IFERROR(__xludf.DUMMYFUNCTION("""COMPUTED_VALUE"""),"#REF!")</f>
        <v>#REF!</v>
      </c>
      <c r="N5924" s="17"/>
      <c r="O5924" s="17"/>
      <c r="P5924" s="17" t="b">
        <f>IFERROR(__xludf.DUMMYFUNCTION("""COMPUTED_VALUE"""),TRUE)</f>
        <v>1</v>
      </c>
      <c r="Q5924" s="20">
        <f>IFERROR(__xludf.DUMMYFUNCTION("""COMPUTED_VALUE"""),45173.39436364583)</f>
        <v>45173.39436</v>
      </c>
      <c r="R5924" s="21" t="str">
        <f>IFERROR(__xludf.DUMMYFUNCTION("""COMPUTED_VALUE"""),"https://drive.google.com/file/d/1haJbeAMhGtbFOCb4lz5t19oYaF1RShhm/view?usp=drivesdk")</f>
        <v>https://drive.google.com/file/d/1haJbeAMhGtbFOCb4lz5t19oYaF1RShhm/view?usp=drivesdk</v>
      </c>
    </row>
    <row r="5925">
      <c r="A5925" s="15">
        <f>IFERROR(__xludf.DUMMYFUNCTION("""COMPUTED_VALUE"""),45170.0)</f>
        <v>45170</v>
      </c>
      <c r="B5925" s="16" t="str">
        <f>IFERROR(__xludf.DUMMYFUNCTION("""COMPUTED_VALUE"""),"Jeison Rubiano")</f>
        <v>Jeison Rubiano</v>
      </c>
      <c r="C5925" s="15" t="str">
        <f>IFERROR(__xludf.DUMMYFUNCTION("""COMPUTED_VALUE"""),"BOGOTÁ")</f>
        <v>BOGOTÁ</v>
      </c>
      <c r="D5925" s="15" t="str">
        <f>IFERROR(__xludf.DUMMYFUNCTION("""COMPUTED_VALUE"""),"MEDELLÍN")</f>
        <v>MEDELLÍN</v>
      </c>
      <c r="E5925" s="15" t="str">
        <f>IFERROR(__xludf.DUMMYFUNCTION("""COMPUTED_VALUE"""),"Moloso S.A.S")</f>
        <v>Moloso S.A.S</v>
      </c>
      <c r="F5925" s="17" t="str">
        <f>IFERROR(__xludf.DUMMYFUNCTION("""COMPUTED_VALUE"""),"CR 75 24 D 70 / CIGARRERIA")</f>
        <v>CR 75 24 D 70 / CIGARRERIA</v>
      </c>
      <c r="G5925" s="15" t="str">
        <f>IFERROR(__xludf.DUMMYFUNCTION("""COMPUTED_VALUE"""),"MARIA JOSE MELO BONILLA")</f>
        <v>MARIA JOSE MELO BONILLA</v>
      </c>
      <c r="H5925" s="16">
        <f>IFERROR(__xludf.DUMMYFUNCTION("""COMPUTED_VALUE"""),14633.0)</f>
        <v>14633</v>
      </c>
      <c r="I5925" s="18">
        <f>IFERROR(__xludf.DUMMYFUNCTION("""COMPUTED_VALUE"""),17.0)</f>
        <v>17</v>
      </c>
      <c r="J5925" s="18">
        <f>IFERROR(__xludf.DUMMYFUNCTION("""COMPUTED_VALUE"""),15.0)</f>
        <v>15</v>
      </c>
      <c r="K5925" s="18">
        <f>IFERROR(__xludf.DUMMYFUNCTION("""COMPUTED_VALUE"""),28.0)</f>
        <v>28</v>
      </c>
      <c r="L5925" s="17">
        <f>IFERROR(__xludf.DUMMYFUNCTION("""COMPUTED_VALUE"""),3.143504351E9)</f>
        <v>3143504351</v>
      </c>
      <c r="M5925" s="17" t="str">
        <f>IFERROR(__xludf.DUMMYFUNCTION("""COMPUTED_VALUE"""),"#REF!")</f>
        <v>#REF!</v>
      </c>
      <c r="N5925" s="17"/>
      <c r="O5925" s="17"/>
      <c r="P5925" s="17" t="b">
        <f>IFERROR(__xludf.DUMMYFUNCTION("""COMPUTED_VALUE"""),FALSE)</f>
        <v>0</v>
      </c>
      <c r="Q5925" s="20" t="str">
        <f>IFERROR(__xludf.DUMMYFUNCTION("""COMPUTED_VALUE"""),"")</f>
        <v/>
      </c>
      <c r="R5925" s="21" t="str">
        <f>IFERROR(__xludf.DUMMYFUNCTION("""COMPUTED_VALUE"""),"https://drive.google.com/file/d/1hUsGgHYA9EvUCUE6FkXHovaGPbQA9JpC/view?usp=drivesdk")</f>
        <v>https://drive.google.com/file/d/1hUsGgHYA9EvUCUE6FkXHovaGPbQA9JpC/view?usp=drivesdk</v>
      </c>
    </row>
    <row r="5926">
      <c r="A5926" s="15">
        <f>IFERROR(__xludf.DUMMYFUNCTION("""COMPUTED_VALUE"""),45170.0)</f>
        <v>45170</v>
      </c>
      <c r="B5926" s="16" t="str">
        <f>IFERROR(__xludf.DUMMYFUNCTION("""COMPUTED_VALUE"""),"Jeison Rubiano")</f>
        <v>Jeison Rubiano</v>
      </c>
      <c r="C5926" s="15" t="str">
        <f>IFERROR(__xludf.DUMMYFUNCTION("""COMPUTED_VALUE"""),"BOGOTÁ")</f>
        <v>BOGOTÁ</v>
      </c>
      <c r="D5926" s="15" t="str">
        <f>IFERROR(__xludf.DUMMYFUNCTION("""COMPUTED_VALUE"""),"MEDELLÍN")</f>
        <v>MEDELLÍN</v>
      </c>
      <c r="E5926" s="15" t="str">
        <f>IFERROR(__xludf.DUMMYFUNCTION("""COMPUTED_VALUE"""),"Rambla")</f>
        <v>Rambla</v>
      </c>
      <c r="F5926" s="17" t="str">
        <f>IFERROR(__xludf.DUMMYFUNCTION("""COMPUTED_VALUE"""),"Cl. 93a #11-46, Barrio Chicó / - / -")</f>
        <v>Cl. 93a #11-46, Barrio Chicó / - / -</v>
      </c>
      <c r="G5926" s="15" t="str">
        <f>IFERROR(__xludf.DUMMYFUNCTION("""COMPUTED_VALUE"""),"Fit Hub #26423")</f>
        <v>Fit Hub #26423</v>
      </c>
      <c r="H5926" s="16">
        <f>IFERROR(__xludf.DUMMYFUNCTION("""COMPUTED_VALUE"""),14628.0)</f>
        <v>14628</v>
      </c>
      <c r="I5926" s="18">
        <f>IFERROR(__xludf.DUMMYFUNCTION("""COMPUTED_VALUE"""),31.0)</f>
        <v>31</v>
      </c>
      <c r="J5926" s="18">
        <f>IFERROR(__xludf.DUMMYFUNCTION("""COMPUTED_VALUE"""),28.0)</f>
        <v>28</v>
      </c>
      <c r="K5926" s="18">
        <f>IFERROR(__xludf.DUMMYFUNCTION("""COMPUTED_VALUE"""),32.0)</f>
        <v>32</v>
      </c>
      <c r="L5926" s="17">
        <f>IFERROR(__xludf.DUMMYFUNCTION("""COMPUTED_VALUE"""),3.015447307E9)</f>
        <v>3015447307</v>
      </c>
      <c r="M5926" s="17" t="str">
        <f>IFERROR(__xludf.DUMMYFUNCTION("""COMPUTED_VALUE"""),"#REF!")</f>
        <v>#REF!</v>
      </c>
      <c r="N5926" s="17"/>
      <c r="O5926" s="17"/>
      <c r="P5926" s="17" t="b">
        <f>IFERROR(__xludf.DUMMYFUNCTION("""COMPUTED_VALUE"""),FALSE)</f>
        <v>0</v>
      </c>
      <c r="Q5926" s="20" t="str">
        <f>IFERROR(__xludf.DUMMYFUNCTION("""COMPUTED_VALUE"""),"")</f>
        <v/>
      </c>
      <c r="R5926" s="21" t="str">
        <f>IFERROR(__xludf.DUMMYFUNCTION("""COMPUTED_VALUE"""),"https://drive.google.com/file/d/1V1FBQbx0UHTT8tEX4UPE5F0zKszMFsOF/view?usp=drivesdk")</f>
        <v>https://drive.google.com/file/d/1V1FBQbx0UHTT8tEX4UPE5F0zKszMFsOF/view?usp=drivesdk</v>
      </c>
    </row>
    <row r="5927">
      <c r="A5927" s="17" t="str">
        <f>IFERROR(__xludf.DUMMYFUNCTION("""COMPUTED_VALUE"""),"")</f>
        <v/>
      </c>
      <c r="B5927" s="17" t="str">
        <f>IFERROR(__xludf.DUMMYFUNCTION("""COMPUTED_VALUE"""),"")</f>
        <v/>
      </c>
      <c r="C5927" s="17" t="str">
        <f>IFERROR(__xludf.DUMMYFUNCTION("""COMPUTED_VALUE"""),"")</f>
        <v/>
      </c>
      <c r="D5927" s="17" t="str">
        <f>IFERROR(__xludf.DUMMYFUNCTION("""COMPUTED_VALUE"""),"")</f>
        <v/>
      </c>
      <c r="E5927" s="17" t="str">
        <f>IFERROR(__xludf.DUMMYFUNCTION("""COMPUTED_VALUE"""),"")</f>
        <v/>
      </c>
      <c r="F5927" s="17" t="str">
        <f>IFERROR(__xludf.DUMMYFUNCTION("""COMPUTED_VALUE"""),"")</f>
        <v/>
      </c>
      <c r="G5927" s="17" t="str">
        <f>IFERROR(__xludf.DUMMYFUNCTION("""COMPUTED_VALUE"""),"")</f>
        <v/>
      </c>
      <c r="H5927" s="17" t="str">
        <f>IFERROR(__xludf.DUMMYFUNCTION("""COMPUTED_VALUE"""),"")</f>
        <v/>
      </c>
      <c r="I5927" s="17" t="str">
        <f>IFERROR(__xludf.DUMMYFUNCTION("""COMPUTED_VALUE"""),"")</f>
        <v/>
      </c>
      <c r="J5927" s="17" t="str">
        <f>IFERROR(__xludf.DUMMYFUNCTION("""COMPUTED_VALUE"""),"")</f>
        <v/>
      </c>
      <c r="K5927" s="17" t="str">
        <f>IFERROR(__xludf.DUMMYFUNCTION("""COMPUTED_VALUE"""),"")</f>
        <v/>
      </c>
      <c r="L5927" s="17" t="str">
        <f>IFERROR(__xludf.DUMMYFUNCTION("""COMPUTED_VALUE"""),"")</f>
        <v/>
      </c>
      <c r="M5927" s="17" t="str">
        <f>IFERROR(__xludf.DUMMYFUNCTION("""COMPUTED_VALUE"""),"")</f>
        <v/>
      </c>
      <c r="N5927" s="17" t="str">
        <f>IFERROR(__xludf.DUMMYFUNCTION("""COMPUTED_VALUE"""),"")</f>
        <v/>
      </c>
      <c r="O5927" s="17" t="str">
        <f>IFERROR(__xludf.DUMMYFUNCTION("""COMPUTED_VALUE"""),"")</f>
        <v/>
      </c>
      <c r="P5927" s="17" t="str">
        <f>IFERROR(__xludf.DUMMYFUNCTION("""COMPUTED_VALUE"""),"")</f>
        <v/>
      </c>
      <c r="Q5927" s="17" t="str">
        <f>IFERROR(__xludf.DUMMYFUNCTION("""COMPUTED_VALUE"""),"")</f>
        <v/>
      </c>
      <c r="R5927" s="17" t="str">
        <f>IFERROR(__xludf.DUMMYFUNCTION("""COMPUTED_VALUE"""),"")</f>
        <v/>
      </c>
    </row>
    <row r="5928">
      <c r="A5928" s="15">
        <f>IFERROR(__xludf.DUMMYFUNCTION("""COMPUTED_VALUE"""),45170.0)</f>
        <v>45170</v>
      </c>
      <c r="B5928" s="16" t="str">
        <f>IFERROR(__xludf.DUMMYFUNCTION("""COMPUTED_VALUE"""),"Johan Alexander Escobar Arroyo ")</f>
        <v>Johan Alexander Escobar Arroyo </v>
      </c>
      <c r="C5928" s="15" t="str">
        <f>IFERROR(__xludf.DUMMYFUNCTION("""COMPUTED_VALUE"""),"CALI")</f>
        <v>CALI</v>
      </c>
      <c r="D5928" s="15" t="str">
        <f>IFERROR(__xludf.DUMMYFUNCTION("""COMPUTED_VALUE"""),"BOGOTÁ")</f>
        <v>BOGOTÁ</v>
      </c>
      <c r="E5928" s="15" t="str">
        <f>IFERROR(__xludf.DUMMYFUNCTION("""COMPUTED_VALUE"""),"Karem foods")</f>
        <v>Karem foods</v>
      </c>
      <c r="F5928" s="17" t="str">
        <f>IFERROR(__xludf.DUMMYFUNCTION("""COMPUTED_VALUE"""),"AVE 6 OESTE NO. 5 OESTE - 200 / TORRE 2, APTO 502 / -")</f>
        <v>AVE 6 OESTE NO. 5 OESTE - 200 / TORRE 2, APTO 502 / -</v>
      </c>
      <c r="G5928" s="15" t="str">
        <f>IFERROR(__xludf.DUMMYFUNCTION("""COMPUTED_VALUE"""),"MARIA PAULA LOPEZ VELEZ")</f>
        <v>MARIA PAULA LOPEZ VELEZ</v>
      </c>
      <c r="H5928" s="16">
        <f>IFERROR(__xludf.DUMMYFUNCTION("""COMPUTED_VALUE"""),14523.0)</f>
        <v>14523</v>
      </c>
      <c r="I5928" s="18">
        <f>IFERROR(__xludf.DUMMYFUNCTION("""COMPUTED_VALUE"""),7.0)</f>
        <v>7</v>
      </c>
      <c r="J5928" s="18">
        <f>IFERROR(__xludf.DUMMYFUNCTION("""COMPUTED_VALUE"""),20.0)</f>
        <v>20</v>
      </c>
      <c r="K5928" s="18">
        <f>IFERROR(__xludf.DUMMYFUNCTION("""COMPUTED_VALUE"""),20.0)</f>
        <v>20</v>
      </c>
      <c r="L5928" s="17">
        <f>IFERROR(__xludf.DUMMYFUNCTION("""COMPUTED_VALUE"""),3.203416838E9)</f>
        <v>3203416838</v>
      </c>
      <c r="M5928" s="17" t="str">
        <f>IFERROR(__xludf.DUMMYFUNCTION("""COMPUTED_VALUE"""),"#REF!")</f>
        <v>#REF!</v>
      </c>
      <c r="N5928" s="17"/>
      <c r="O5928" s="17"/>
      <c r="P5928" s="17" t="b">
        <f>IFERROR(__xludf.DUMMYFUNCTION("""COMPUTED_VALUE"""),FALSE)</f>
        <v>0</v>
      </c>
      <c r="Q5928" s="20" t="str">
        <f>IFERROR(__xludf.DUMMYFUNCTION("""COMPUTED_VALUE"""),"")</f>
        <v/>
      </c>
      <c r="R5928" s="21" t="str">
        <f>IFERROR(__xludf.DUMMYFUNCTION("""COMPUTED_VALUE"""),"https://drive.google.com/file/d/1VWHobvB6B-obdR9EpFoaorIV4499C9pf/view?usp=drivesdk")</f>
        <v>https://drive.google.com/file/d/1VWHobvB6B-obdR9EpFoaorIV4499C9pf/view?usp=drivesdk</v>
      </c>
    </row>
    <row r="5929">
      <c r="A5929" s="15">
        <f>IFERROR(__xludf.DUMMYFUNCTION("""COMPUTED_VALUE"""),45170.0)</f>
        <v>45170</v>
      </c>
      <c r="B5929" s="16" t="str">
        <f>IFERROR(__xludf.DUMMYFUNCTION("""COMPUTED_VALUE"""),"Johan Alexander Escobar Arroyo ")</f>
        <v>Johan Alexander Escobar Arroyo </v>
      </c>
      <c r="C5929" s="15" t="str">
        <f>IFERROR(__xludf.DUMMYFUNCTION("""COMPUTED_VALUE"""),"CÚCUTA")</f>
        <v>CÚCUTA</v>
      </c>
      <c r="D5929" s="15" t="str">
        <f>IFERROR(__xludf.DUMMYFUNCTION("""COMPUTED_VALUE"""),"BOGOTÁ")</f>
        <v>BOGOTÁ</v>
      </c>
      <c r="E5929" s="15" t="str">
        <f>IFERROR(__xludf.DUMMYFUNCTION("""COMPUTED_VALUE"""),"Pan de Waffle")</f>
        <v>Pan de Waffle</v>
      </c>
      <c r="F5929" s="17" t="str">
        <f>IFERROR(__xludf.DUMMYFUNCTION("""COMPUTED_VALUE"""),"Avenida 3e # 6cn - 12 Ceiba 2 / Avenida 3e # 6cn - 12 Ceiba 2 / Avenida 3e # 6cn - 12 Ceiba 2")</f>
        <v>Avenida 3e # 6cn - 12 Ceiba 2 / Avenida 3e # 6cn - 12 Ceiba 2 / Avenida 3e # 6cn - 12 Ceiba 2</v>
      </c>
      <c r="G5929" s="15" t="str">
        <f>IFERROR(__xludf.DUMMYFUNCTION("""COMPUTED_VALUE"""),"LA BODEGUITA FIT MARKET")</f>
        <v>LA BODEGUITA FIT MARKET</v>
      </c>
      <c r="H5929" s="16">
        <f>IFERROR(__xludf.DUMMYFUNCTION("""COMPUTED_VALUE"""),14609.0)</f>
        <v>14609</v>
      </c>
      <c r="I5929" s="18">
        <f>IFERROR(__xludf.DUMMYFUNCTION("""COMPUTED_VALUE"""),40.0)</f>
        <v>40</v>
      </c>
      <c r="J5929" s="18">
        <f>IFERROR(__xludf.DUMMYFUNCTION("""COMPUTED_VALUE"""),40.0)</f>
        <v>40</v>
      </c>
      <c r="K5929" s="18">
        <f>IFERROR(__xludf.DUMMYFUNCTION("""COMPUTED_VALUE"""),30.0)</f>
        <v>30</v>
      </c>
      <c r="L5929" s="17">
        <f>IFERROR(__xludf.DUMMYFUNCTION("""COMPUTED_VALUE"""),3.00384312E9)</f>
        <v>3003843120</v>
      </c>
      <c r="M5929" s="17" t="str">
        <f>IFERROR(__xludf.DUMMYFUNCTION("""COMPUTED_VALUE"""),"#REF!")</f>
        <v>#REF!</v>
      </c>
      <c r="N5929" s="17"/>
      <c r="O5929" s="17"/>
      <c r="P5929" s="17" t="b">
        <f>IFERROR(__xludf.DUMMYFUNCTION("""COMPUTED_VALUE"""),FALSE)</f>
        <v>0</v>
      </c>
      <c r="Q5929" s="20" t="str">
        <f>IFERROR(__xludf.DUMMYFUNCTION("""COMPUTED_VALUE"""),"")</f>
        <v/>
      </c>
      <c r="R5929" s="22" t="str">
        <f>IFERROR(__xludf.DUMMYFUNCTION("""COMPUTED_VALUE"""),"")</f>
        <v/>
      </c>
    </row>
    <row r="5930">
      <c r="A5930" s="17" t="str">
        <f>IFERROR(__xludf.DUMMYFUNCTION("""COMPUTED_VALUE"""),"")</f>
        <v/>
      </c>
      <c r="B5930" s="17" t="str">
        <f>IFERROR(__xludf.DUMMYFUNCTION("""COMPUTED_VALUE"""),"")</f>
        <v/>
      </c>
      <c r="C5930" s="17" t="str">
        <f>IFERROR(__xludf.DUMMYFUNCTION("""COMPUTED_VALUE"""),"")</f>
        <v/>
      </c>
      <c r="D5930" s="17" t="str">
        <f>IFERROR(__xludf.DUMMYFUNCTION("""COMPUTED_VALUE"""),"")</f>
        <v/>
      </c>
      <c r="E5930" s="17" t="str">
        <f>IFERROR(__xludf.DUMMYFUNCTION("""COMPUTED_VALUE"""),"")</f>
        <v/>
      </c>
      <c r="F5930" s="17" t="str">
        <f>IFERROR(__xludf.DUMMYFUNCTION("""COMPUTED_VALUE"""),"")</f>
        <v/>
      </c>
      <c r="G5930" s="17" t="str">
        <f>IFERROR(__xludf.DUMMYFUNCTION("""COMPUTED_VALUE"""),"")</f>
        <v/>
      </c>
      <c r="H5930" s="17" t="str">
        <f>IFERROR(__xludf.DUMMYFUNCTION("""COMPUTED_VALUE"""),"")</f>
        <v/>
      </c>
      <c r="I5930" s="17" t="str">
        <f>IFERROR(__xludf.DUMMYFUNCTION("""COMPUTED_VALUE"""),"")</f>
        <v/>
      </c>
      <c r="J5930" s="17" t="str">
        <f>IFERROR(__xludf.DUMMYFUNCTION("""COMPUTED_VALUE"""),"")</f>
        <v/>
      </c>
      <c r="K5930" s="17" t="str">
        <f>IFERROR(__xludf.DUMMYFUNCTION("""COMPUTED_VALUE"""),"")</f>
        <v/>
      </c>
      <c r="L5930" s="17" t="str">
        <f>IFERROR(__xludf.DUMMYFUNCTION("""COMPUTED_VALUE"""),"")</f>
        <v/>
      </c>
      <c r="M5930" s="17" t="str">
        <f>IFERROR(__xludf.DUMMYFUNCTION("""COMPUTED_VALUE"""),"")</f>
        <v/>
      </c>
      <c r="N5930" s="17" t="str">
        <f>IFERROR(__xludf.DUMMYFUNCTION("""COMPUTED_VALUE"""),"")</f>
        <v/>
      </c>
      <c r="O5930" s="17" t="str">
        <f>IFERROR(__xludf.DUMMYFUNCTION("""COMPUTED_VALUE"""),"")</f>
        <v/>
      </c>
      <c r="P5930" s="17" t="str">
        <f>IFERROR(__xludf.DUMMYFUNCTION("""COMPUTED_VALUE"""),"")</f>
        <v/>
      </c>
      <c r="Q5930" s="17" t="str">
        <f>IFERROR(__xludf.DUMMYFUNCTION("""COMPUTED_VALUE"""),"")</f>
        <v/>
      </c>
      <c r="R5930" s="17" t="str">
        <f>IFERROR(__xludf.DUMMYFUNCTION("""COMPUTED_VALUE"""),"")</f>
        <v/>
      </c>
    </row>
    <row r="5931">
      <c r="A5931" s="15">
        <f>IFERROR(__xludf.DUMMYFUNCTION("""COMPUTED_VALUE"""),45170.0)</f>
        <v>45170</v>
      </c>
      <c r="B5931" s="16" t="str">
        <f>IFERROR(__xludf.DUMMYFUNCTION("""COMPUTED_VALUE"""),"Lina Gaona")</f>
        <v>Lina Gaona</v>
      </c>
      <c r="C5931" s="15" t="str">
        <f>IFERROR(__xludf.DUMMYFUNCTION("""COMPUTED_VALUE"""),"CÚCUTA")</f>
        <v>CÚCUTA</v>
      </c>
      <c r="D5931" s="15" t="str">
        <f>IFERROR(__xludf.DUMMYFUNCTION("""COMPUTED_VALUE"""),"BOGOTÁ")</f>
        <v>BOGOTÁ</v>
      </c>
      <c r="E5931" s="15" t="str">
        <f>IFERROR(__xludf.DUMMYFUNCTION("""COMPUTED_VALUE"""),"Asociacion Agropecuaria Juana Maria")</f>
        <v>Asociacion Agropecuaria Juana Maria</v>
      </c>
      <c r="F5931" s="17" t="str">
        <f>IFERROR(__xludf.DUMMYFUNCTION("""COMPUTED_VALUE"""),"Calle 18 N #4-31 edificio tulipán apto 702 Prados Norte")</f>
        <v>Calle 18 N #4-31 edificio tulipán apto 702 Prados Norte</v>
      </c>
      <c r="G5931" s="15" t="str">
        <f>IFERROR(__xludf.DUMMYFUNCTION("""COMPUTED_VALUE"""),"Yurley Camacho")</f>
        <v>Yurley Camacho</v>
      </c>
      <c r="H5931" s="16">
        <f>IFERROR(__xludf.DUMMYFUNCTION("""COMPUTED_VALUE"""),14417.0)</f>
        <v>14417</v>
      </c>
      <c r="I5931" s="18">
        <f>IFERROR(__xludf.DUMMYFUNCTION("""COMPUTED_VALUE"""),10.0)</f>
        <v>10</v>
      </c>
      <c r="J5931" s="18">
        <f>IFERROR(__xludf.DUMMYFUNCTION("""COMPUTED_VALUE"""),34.0)</f>
        <v>34</v>
      </c>
      <c r="K5931" s="18">
        <f>IFERROR(__xludf.DUMMYFUNCTION("""COMPUTED_VALUE"""),18.0)</f>
        <v>18</v>
      </c>
      <c r="L5931" s="17">
        <f>IFERROR(__xludf.DUMMYFUNCTION("""COMPUTED_VALUE"""),3.142544369E9)</f>
        <v>3142544369</v>
      </c>
      <c r="M5931" s="17" t="str">
        <f>IFERROR(__xludf.DUMMYFUNCTION("""COMPUTED_VALUE"""),"#REF!")</f>
        <v>#REF!</v>
      </c>
      <c r="N5931" s="17"/>
      <c r="O5931" s="17"/>
      <c r="P5931" s="17" t="b">
        <f>IFERROR(__xludf.DUMMYFUNCTION("""COMPUTED_VALUE"""),FALSE)</f>
        <v>0</v>
      </c>
      <c r="Q5931" s="20" t="str">
        <f>IFERROR(__xludf.DUMMYFUNCTION("""COMPUTED_VALUE"""),"")</f>
        <v/>
      </c>
      <c r="R5931" s="22" t="str">
        <f>IFERROR(__xludf.DUMMYFUNCTION("""COMPUTED_VALUE"""),"")</f>
        <v/>
      </c>
    </row>
    <row r="5932">
      <c r="A5932" s="15">
        <f>IFERROR(__xludf.DUMMYFUNCTION("""COMPUTED_VALUE"""),45170.0)</f>
        <v>45170</v>
      </c>
      <c r="B5932" s="16" t="str">
        <f>IFERROR(__xludf.DUMMYFUNCTION("""COMPUTED_VALUE"""),"Lina Gaona")</f>
        <v>Lina Gaona</v>
      </c>
      <c r="C5932" s="15" t="str">
        <f>IFERROR(__xludf.DUMMYFUNCTION("""COMPUTED_VALUE"""),"PASTO")</f>
        <v>PASTO</v>
      </c>
      <c r="D5932" s="15" t="str">
        <f>IFERROR(__xludf.DUMMYFUNCTION("""COMPUTED_VALUE"""),"BOGOTÁ")</f>
        <v>BOGOTÁ</v>
      </c>
      <c r="E5932" s="15" t="str">
        <f>IFERROR(__xludf.DUMMYFUNCTION("""COMPUTED_VALUE"""),"Karem foods")</f>
        <v>Karem foods</v>
      </c>
      <c r="F5932" s="17" t="str">
        <f>IFERROR(__xludf.DUMMYFUNCTION("""COMPUTED_VALUE"""),"Calle 18 # 31-88 Pasaje Comercial Novacentro / Local 19 / -")</f>
        <v>Calle 18 # 31-88 Pasaje Comercial Novacentro / Local 19 / -</v>
      </c>
      <c r="G5932" s="15" t="str">
        <f>IFERROR(__xludf.DUMMYFUNCTION("""COMPUTED_VALUE"""),"Diana María Meló Portilla- BioMarket Pasto")</f>
        <v>Diana María Meló Portilla- BioMarket Pasto</v>
      </c>
      <c r="H5932" s="16">
        <f>IFERROR(__xludf.DUMMYFUNCTION("""COMPUTED_VALUE"""),14524.0)</f>
        <v>14524</v>
      </c>
      <c r="I5932" s="18">
        <f>IFERROR(__xludf.DUMMYFUNCTION("""COMPUTED_VALUE"""),24.0)</f>
        <v>24</v>
      </c>
      <c r="J5932" s="18">
        <f>IFERROR(__xludf.DUMMYFUNCTION("""COMPUTED_VALUE"""),30.0)</f>
        <v>30</v>
      </c>
      <c r="K5932" s="18">
        <f>IFERROR(__xludf.DUMMYFUNCTION("""COMPUTED_VALUE"""),30.0)</f>
        <v>30</v>
      </c>
      <c r="L5932" s="17">
        <f>IFERROR(__xludf.DUMMYFUNCTION("""COMPUTED_VALUE"""),3.165760774E9)</f>
        <v>3165760774</v>
      </c>
      <c r="M5932" s="17" t="str">
        <f>IFERROR(__xludf.DUMMYFUNCTION("""COMPUTED_VALUE"""),"#REF!")</f>
        <v>#REF!</v>
      </c>
      <c r="N5932" s="17"/>
      <c r="O5932" s="17"/>
      <c r="P5932" s="17" t="b">
        <f>IFERROR(__xludf.DUMMYFUNCTION("""COMPUTED_VALUE"""),FALSE)</f>
        <v>0</v>
      </c>
      <c r="Q5932" s="20" t="str">
        <f>IFERROR(__xludf.DUMMYFUNCTION("""COMPUTED_VALUE"""),"")</f>
        <v/>
      </c>
      <c r="R5932" s="22" t="str">
        <f>IFERROR(__xludf.DUMMYFUNCTION("""COMPUTED_VALUE"""),"")</f>
        <v/>
      </c>
    </row>
    <row r="5933">
      <c r="A5933" s="15">
        <f>IFERROR(__xludf.DUMMYFUNCTION("""COMPUTED_VALUE"""),45170.0)</f>
        <v>45170</v>
      </c>
      <c r="B5933" s="16" t="str">
        <f>IFERROR(__xludf.DUMMYFUNCTION("""COMPUTED_VALUE"""),"Lina Gaona")</f>
        <v>Lina Gaona</v>
      </c>
      <c r="C5933" s="15" t="str">
        <f>IFERROR(__xludf.DUMMYFUNCTION("""COMPUTED_VALUE"""),"PASTO")</f>
        <v>PASTO</v>
      </c>
      <c r="D5933" s="15" t="str">
        <f>IFERROR(__xludf.DUMMYFUNCTION("""COMPUTED_VALUE"""),"BOGOTÁ")</f>
        <v>BOGOTÁ</v>
      </c>
      <c r="E5933" s="15" t="str">
        <f>IFERROR(__xludf.DUMMYFUNCTION("""COMPUTED_VALUE"""),"Karem foods")</f>
        <v>Karem foods</v>
      </c>
      <c r="F5933" s="17" t="str">
        <f>IFERROR(__xludf.DUMMYFUNCTION("""COMPUTED_VALUE"""),"Manzana 13  / Casa 9  / Barrio los Laureles CASA")</f>
        <v>Manzana 13  / Casa 9  / Barrio los Laureles CASA</v>
      </c>
      <c r="G5933" s="15" t="str">
        <f>IFERROR(__xludf.DUMMYFUNCTION("""COMPUTED_VALUE"""),"Alejandra Coral")</f>
        <v>Alejandra Coral</v>
      </c>
      <c r="H5933" s="16">
        <f>IFERROR(__xludf.DUMMYFUNCTION("""COMPUTED_VALUE"""),14492.0)</f>
        <v>14492</v>
      </c>
      <c r="I5933" s="18">
        <f>IFERROR(__xludf.DUMMYFUNCTION("""COMPUTED_VALUE"""),12.0)</f>
        <v>12</v>
      </c>
      <c r="J5933" s="18">
        <f>IFERROR(__xludf.DUMMYFUNCTION("""COMPUTED_VALUE"""),20.0)</f>
        <v>20</v>
      </c>
      <c r="K5933" s="18">
        <f>IFERROR(__xludf.DUMMYFUNCTION("""COMPUTED_VALUE"""),20.0)</f>
        <v>20</v>
      </c>
      <c r="L5933" s="17">
        <f>IFERROR(__xludf.DUMMYFUNCTION("""COMPUTED_VALUE"""),3.173988483E9)</f>
        <v>3173988483</v>
      </c>
      <c r="M5933" s="17" t="str">
        <f>IFERROR(__xludf.DUMMYFUNCTION("""COMPUTED_VALUE"""),"#REF!")</f>
        <v>#REF!</v>
      </c>
      <c r="N5933" s="17"/>
      <c r="O5933" s="17"/>
      <c r="P5933" s="17" t="b">
        <f>IFERROR(__xludf.DUMMYFUNCTION("""COMPUTED_VALUE"""),FALSE)</f>
        <v>0</v>
      </c>
      <c r="Q5933" s="20" t="str">
        <f>IFERROR(__xludf.DUMMYFUNCTION("""COMPUTED_VALUE"""),"")</f>
        <v/>
      </c>
      <c r="R5933" s="22" t="str">
        <f>IFERROR(__xludf.DUMMYFUNCTION("""COMPUTED_VALUE"""),"")</f>
        <v/>
      </c>
    </row>
    <row r="5934">
      <c r="A5934" s="17" t="str">
        <f>IFERROR(__xludf.DUMMYFUNCTION("""COMPUTED_VALUE"""),"")</f>
        <v/>
      </c>
      <c r="B5934" s="17" t="str">
        <f>IFERROR(__xludf.DUMMYFUNCTION("""COMPUTED_VALUE"""),"")</f>
        <v/>
      </c>
      <c r="C5934" s="17" t="str">
        <f>IFERROR(__xludf.DUMMYFUNCTION("""COMPUTED_VALUE"""),"")</f>
        <v/>
      </c>
      <c r="D5934" s="17" t="str">
        <f>IFERROR(__xludf.DUMMYFUNCTION("""COMPUTED_VALUE"""),"")</f>
        <v/>
      </c>
      <c r="E5934" s="17" t="str">
        <f>IFERROR(__xludf.DUMMYFUNCTION("""COMPUTED_VALUE"""),"")</f>
        <v/>
      </c>
      <c r="F5934" s="17" t="str">
        <f>IFERROR(__xludf.DUMMYFUNCTION("""COMPUTED_VALUE"""),"")</f>
        <v/>
      </c>
      <c r="G5934" s="17" t="str">
        <f>IFERROR(__xludf.DUMMYFUNCTION("""COMPUTED_VALUE"""),"")</f>
        <v/>
      </c>
      <c r="H5934" s="17" t="str">
        <f>IFERROR(__xludf.DUMMYFUNCTION("""COMPUTED_VALUE"""),"")</f>
        <v/>
      </c>
      <c r="I5934" s="17" t="str">
        <f>IFERROR(__xludf.DUMMYFUNCTION("""COMPUTED_VALUE"""),"")</f>
        <v/>
      </c>
      <c r="J5934" s="17" t="str">
        <f>IFERROR(__xludf.DUMMYFUNCTION("""COMPUTED_VALUE"""),"")</f>
        <v/>
      </c>
      <c r="K5934" s="17" t="str">
        <f>IFERROR(__xludf.DUMMYFUNCTION("""COMPUTED_VALUE"""),"")</f>
        <v/>
      </c>
      <c r="L5934" s="17" t="str">
        <f>IFERROR(__xludf.DUMMYFUNCTION("""COMPUTED_VALUE"""),"")</f>
        <v/>
      </c>
      <c r="M5934" s="17" t="str">
        <f>IFERROR(__xludf.DUMMYFUNCTION("""COMPUTED_VALUE"""),"")</f>
        <v/>
      </c>
      <c r="N5934" s="17" t="str">
        <f>IFERROR(__xludf.DUMMYFUNCTION("""COMPUTED_VALUE"""),"")</f>
        <v/>
      </c>
      <c r="O5934" s="17" t="str">
        <f>IFERROR(__xludf.DUMMYFUNCTION("""COMPUTED_VALUE"""),"")</f>
        <v/>
      </c>
      <c r="P5934" s="17" t="str">
        <f>IFERROR(__xludf.DUMMYFUNCTION("""COMPUTED_VALUE"""),"")</f>
        <v/>
      </c>
      <c r="Q5934" s="17" t="str">
        <f>IFERROR(__xludf.DUMMYFUNCTION("""COMPUTED_VALUE"""),"")</f>
        <v/>
      </c>
      <c r="R5934" s="17" t="str">
        <f>IFERROR(__xludf.DUMMYFUNCTION("""COMPUTED_VALUE"""),"")</f>
        <v/>
      </c>
    </row>
    <row r="5935">
      <c r="A5935" s="15">
        <f>IFERROR(__xludf.DUMMYFUNCTION("""COMPUTED_VALUE"""),45170.0)</f>
        <v>45170</v>
      </c>
      <c r="B5935" s="16" t="str">
        <f>IFERROR(__xludf.DUMMYFUNCTION("""COMPUTED_VALUE"""),"Orlando Urdaneta Rincon ")</f>
        <v>Orlando Urdaneta Rincon </v>
      </c>
      <c r="C5935" s="15" t="str">
        <f>IFERROR(__xludf.DUMMYFUNCTION("""COMPUTED_VALUE"""),"BARRANQUILLA")</f>
        <v>BARRANQUILLA</v>
      </c>
      <c r="D5935" s="15" t="str">
        <f>IFERROR(__xludf.DUMMYFUNCTION("""COMPUTED_VALUE"""),"BOGOTÁ")</f>
        <v>BOGOTÁ</v>
      </c>
      <c r="E5935" s="15" t="str">
        <f>IFERROR(__xludf.DUMMYFUNCTION("""COMPUTED_VALUE"""),"Evamazzita")</f>
        <v>Evamazzita</v>
      </c>
      <c r="F5935" s="17" t="str">
        <f>IFERROR(__xludf.DUMMYFUNCTION("""COMPUTED_VALUE"""),"Cra 42f no 79 60 ap  /  ap 304 Ciudad jardin /  ap 304 Ciudad jardin")</f>
        <v>Cra 42f no 79 60 ap  /  ap 304 Ciudad jardin /  ap 304 Ciudad jardin</v>
      </c>
      <c r="G5935" s="15" t="str">
        <f>IFERROR(__xludf.DUMMYFUNCTION("""COMPUTED_VALUE"""),"MARGARITA SILVA GARCIA")</f>
        <v>MARGARITA SILVA GARCIA</v>
      </c>
      <c r="H5935" s="16">
        <f>IFERROR(__xludf.DUMMYFUNCTION("""COMPUTED_VALUE"""),14566.0)</f>
        <v>14566</v>
      </c>
      <c r="I5935" s="18">
        <f>IFERROR(__xludf.DUMMYFUNCTION("""COMPUTED_VALUE"""),1.0)</f>
        <v>1</v>
      </c>
      <c r="J5935" s="18">
        <f>IFERROR(__xludf.DUMMYFUNCTION("""COMPUTED_VALUE"""),1.0)</f>
        <v>1</v>
      </c>
      <c r="K5935" s="18">
        <f>IFERROR(__xludf.DUMMYFUNCTION("""COMPUTED_VALUE"""),1.0)</f>
        <v>1</v>
      </c>
      <c r="L5935" s="17">
        <f>IFERROR(__xludf.DUMMYFUNCTION("""COMPUTED_VALUE"""),3.008157819E9)</f>
        <v>3008157819</v>
      </c>
      <c r="M5935" s="17" t="str">
        <f>IFERROR(__xludf.DUMMYFUNCTION("""COMPUTED_VALUE"""),"#REF!")</f>
        <v>#REF!</v>
      </c>
      <c r="N5935" s="17"/>
      <c r="O5935" s="17"/>
      <c r="P5935" s="17" t="b">
        <f>IFERROR(__xludf.DUMMYFUNCTION("""COMPUTED_VALUE"""),FALSE)</f>
        <v>0</v>
      </c>
      <c r="Q5935" s="20" t="str">
        <f>IFERROR(__xludf.DUMMYFUNCTION("""COMPUTED_VALUE"""),"")</f>
        <v/>
      </c>
      <c r="R5935" s="21" t="str">
        <f>IFERROR(__xludf.DUMMYFUNCTION("""COMPUTED_VALUE"""),"https://drive.google.com/file/d/1ZL30siWs_hEMK-E9-k9vk3ADqXBdlZCi/view?usp=drivesdk")</f>
        <v>https://drive.google.com/file/d/1ZL30siWs_hEMK-E9-k9vk3ADqXBdlZCi/view?usp=drivesdk</v>
      </c>
    </row>
    <row r="5936">
      <c r="A5936" s="15">
        <f>IFERROR(__xludf.DUMMYFUNCTION("""COMPUTED_VALUE"""),45170.0)</f>
        <v>45170</v>
      </c>
      <c r="B5936" s="16" t="str">
        <f>IFERROR(__xludf.DUMMYFUNCTION("""COMPUTED_VALUE"""),"Orlando Urdaneta Rincon ")</f>
        <v>Orlando Urdaneta Rincon </v>
      </c>
      <c r="C5936" s="15" t="str">
        <f>IFERROR(__xludf.DUMMYFUNCTION("""COMPUTED_VALUE"""),"BARRANQUILLA")</f>
        <v>BARRANQUILLA</v>
      </c>
      <c r="D5936" s="15" t="str">
        <f>IFERROR(__xludf.DUMMYFUNCTION("""COMPUTED_VALUE"""),"BOGOTÁ")</f>
        <v>BOGOTÁ</v>
      </c>
      <c r="E5936" s="15" t="str">
        <f>IFERROR(__xludf.DUMMYFUNCTION("""COMPUTED_VALUE"""),"Evamazzita")</f>
        <v>Evamazzita</v>
      </c>
      <c r="F5936" s="17" t="str">
        <f>IFERROR(__xludf.DUMMYFUNCTION("""COMPUTED_VALUE"""),"Cra 47#66-23  /  EDF marbert apto 202. Barrio Boston /  Barrio Boston""")</f>
        <v>Cra 47#66-23  /  EDF marbert apto 202. Barrio Boston /  Barrio Boston"</v>
      </c>
      <c r="G5936" s="15" t="str">
        <f>IFERROR(__xludf.DUMMYFUNCTION("""COMPUTED_VALUE"""),"MARIA FERNANDA  GONZALEZ")</f>
        <v>MARIA FERNANDA  GONZALEZ</v>
      </c>
      <c r="H5936" s="16">
        <f>IFERROR(__xludf.DUMMYFUNCTION("""COMPUTED_VALUE"""),14567.0)</f>
        <v>14567</v>
      </c>
      <c r="I5936" s="18">
        <f>IFERROR(__xludf.DUMMYFUNCTION("""COMPUTED_VALUE"""),1.0)</f>
        <v>1</v>
      </c>
      <c r="J5936" s="18">
        <f>IFERROR(__xludf.DUMMYFUNCTION("""COMPUTED_VALUE"""),1.0)</f>
        <v>1</v>
      </c>
      <c r="K5936" s="18">
        <f>IFERROR(__xludf.DUMMYFUNCTION("""COMPUTED_VALUE"""),1.0)</f>
        <v>1</v>
      </c>
      <c r="L5936" s="17">
        <f>IFERROR(__xludf.DUMMYFUNCTION("""COMPUTED_VALUE"""),3.178953446E9)</f>
        <v>3178953446</v>
      </c>
      <c r="M5936" s="17" t="str">
        <f>IFERROR(__xludf.DUMMYFUNCTION("""COMPUTED_VALUE"""),"#REF!")</f>
        <v>#REF!</v>
      </c>
      <c r="N5936" s="17"/>
      <c r="O5936" s="17"/>
      <c r="P5936" s="17" t="b">
        <f>IFERROR(__xludf.DUMMYFUNCTION("""COMPUTED_VALUE"""),TRUE)</f>
        <v>1</v>
      </c>
      <c r="Q5936" s="20">
        <f>IFERROR(__xludf.DUMMYFUNCTION("""COMPUTED_VALUE"""),45174.736957326386)</f>
        <v>45174.73696</v>
      </c>
      <c r="R5936" s="21" t="str">
        <f>IFERROR(__xludf.DUMMYFUNCTION("""COMPUTED_VALUE"""),"https://drive.google.com/file/d/1ST4YvzGTLdERaErDR5dHW1AvyRc4vPQg/view?usp=drivesdk")</f>
        <v>https://drive.google.com/file/d/1ST4YvzGTLdERaErDR5dHW1AvyRc4vPQg/view?usp=drivesdk</v>
      </c>
    </row>
    <row r="5937">
      <c r="A5937" s="15">
        <f>IFERROR(__xludf.DUMMYFUNCTION("""COMPUTED_VALUE"""),45170.0)</f>
        <v>45170</v>
      </c>
      <c r="B5937" s="16" t="str">
        <f>IFERROR(__xludf.DUMMYFUNCTION("""COMPUTED_VALUE"""),"Orlando Urdaneta Rincon ")</f>
        <v>Orlando Urdaneta Rincon </v>
      </c>
      <c r="C5937" s="15" t="str">
        <f>IFERROR(__xludf.DUMMYFUNCTION("""COMPUTED_VALUE"""),"BARRANQUILLA")</f>
        <v>BARRANQUILLA</v>
      </c>
      <c r="D5937" s="15" t="str">
        <f>IFERROR(__xludf.DUMMYFUNCTION("""COMPUTED_VALUE"""),"BOGOTÁ")</f>
        <v>BOGOTÁ</v>
      </c>
      <c r="E5937" s="15" t="str">
        <f>IFERROR(__xludf.DUMMYFUNCTION("""COMPUTED_VALUE"""),"Ins. Alimento Vital")</f>
        <v>Ins. Alimento Vital</v>
      </c>
      <c r="F5937" s="17" t="str">
        <f>IFERROR(__xludf.DUMMYFUNCTION("""COMPUTED_VALUE"""),"CL 93 71 117  / AP 819 TR 5 / BARRANQUILLA")</f>
        <v>CL 93 71 117  / AP 819 TR 5 / BARRANQUILLA</v>
      </c>
      <c r="G5937" s="15" t="str">
        <f>IFERROR(__xludf.DUMMYFUNCTION("""COMPUTED_VALUE"""),"JULIA SUSANA HERNANDEZ CARDENAS")</f>
        <v>JULIA SUSANA HERNANDEZ CARDENAS</v>
      </c>
      <c r="H5937" s="16">
        <f>IFERROR(__xludf.DUMMYFUNCTION("""COMPUTED_VALUE"""),14554.0)</f>
        <v>14554</v>
      </c>
      <c r="I5937" s="18">
        <f>IFERROR(__xludf.DUMMYFUNCTION("""COMPUTED_VALUE"""),1.0)</f>
        <v>1</v>
      </c>
      <c r="J5937" s="18">
        <f>IFERROR(__xludf.DUMMYFUNCTION("""COMPUTED_VALUE"""),1.0)</f>
        <v>1</v>
      </c>
      <c r="K5937" s="18">
        <f>IFERROR(__xludf.DUMMYFUNCTION("""COMPUTED_VALUE"""),1.0)</f>
        <v>1</v>
      </c>
      <c r="L5937" s="17">
        <f>IFERROR(__xludf.DUMMYFUNCTION("""COMPUTED_VALUE"""),3.042455587E9)</f>
        <v>3042455587</v>
      </c>
      <c r="M5937" s="17" t="str">
        <f>IFERROR(__xludf.DUMMYFUNCTION("""COMPUTED_VALUE"""),"#REF!")</f>
        <v>#REF!</v>
      </c>
      <c r="N5937" s="17"/>
      <c r="O5937" s="17"/>
      <c r="P5937" s="17" t="b">
        <f>IFERROR(__xludf.DUMMYFUNCTION("""COMPUTED_VALUE"""),FALSE)</f>
        <v>0</v>
      </c>
      <c r="Q5937" s="20" t="str">
        <f>IFERROR(__xludf.DUMMYFUNCTION("""COMPUTED_VALUE"""),"")</f>
        <v/>
      </c>
      <c r="R5937" s="22" t="str">
        <f>IFERROR(__xludf.DUMMYFUNCTION("""COMPUTED_VALUE"""),"")</f>
        <v/>
      </c>
    </row>
    <row r="5938">
      <c r="A5938" s="15">
        <f>IFERROR(__xludf.DUMMYFUNCTION("""COMPUTED_VALUE"""),45170.0)</f>
        <v>45170</v>
      </c>
      <c r="B5938" s="16" t="str">
        <f>IFERROR(__xludf.DUMMYFUNCTION("""COMPUTED_VALUE"""),"Orlando Urdaneta Rincon ")</f>
        <v>Orlando Urdaneta Rincon </v>
      </c>
      <c r="C5938" s="15" t="str">
        <f>IFERROR(__xludf.DUMMYFUNCTION("""COMPUTED_VALUE"""),"BOGOTÁ")</f>
        <v>BOGOTÁ</v>
      </c>
      <c r="D5938" s="15" t="str">
        <f>IFERROR(__xludf.DUMMYFUNCTION("""COMPUTED_VALUE"""),"MEDELLÍN")</f>
        <v>MEDELLÍN</v>
      </c>
      <c r="E5938" s="15" t="str">
        <f>IFERROR(__xludf.DUMMYFUNCTION("""COMPUTED_VALUE"""),"Todo Bufala")</f>
        <v>Todo Bufala</v>
      </c>
      <c r="F5938" s="17" t="str">
        <f>IFERROR(__xludf.DUMMYFUNCTION("""COMPUTED_VALUE"""),"CR 60 B #93 A-20 Bogotá D.C.")</f>
        <v>CR 60 B #93 A-20 Bogotá D.C.</v>
      </c>
      <c r="G5938" s="15" t="str">
        <f>IFERROR(__xludf.DUMMYFUNCTION("""COMPUTED_VALUE"""),"VERMARKET GLOBAL SAS")</f>
        <v>VERMARKET GLOBAL SAS</v>
      </c>
      <c r="H5938" s="16">
        <f>IFERROR(__xludf.DUMMYFUNCTION("""COMPUTED_VALUE"""),14521.0)</f>
        <v>14521</v>
      </c>
      <c r="I5938" s="18">
        <f>IFERROR(__xludf.DUMMYFUNCTION("""COMPUTED_VALUE"""),10.0)</f>
        <v>10</v>
      </c>
      <c r="J5938" s="18">
        <f>IFERROR(__xludf.DUMMYFUNCTION("""COMPUTED_VALUE"""),30.0)</f>
        <v>30</v>
      </c>
      <c r="K5938" s="18">
        <f>IFERROR(__xludf.DUMMYFUNCTION("""COMPUTED_VALUE"""),40.0)</f>
        <v>40</v>
      </c>
      <c r="L5938" s="17" t="str">
        <f>IFERROR(__xludf.DUMMYFUNCTION("""COMPUTED_VALUE"""),"301 2325711")</f>
        <v>301 2325711</v>
      </c>
      <c r="M5938" s="17" t="str">
        <f>IFERROR(__xludf.DUMMYFUNCTION("""COMPUTED_VALUE"""),"#REF!")</f>
        <v>#REF!</v>
      </c>
      <c r="N5938" s="17"/>
      <c r="O5938" s="17"/>
      <c r="P5938" s="17" t="b">
        <f>IFERROR(__xludf.DUMMYFUNCTION("""COMPUTED_VALUE"""),FALSE)</f>
        <v>0</v>
      </c>
      <c r="Q5938" s="20" t="str">
        <f>IFERROR(__xludf.DUMMYFUNCTION("""COMPUTED_VALUE"""),"")</f>
        <v/>
      </c>
      <c r="R5938" s="21" t="str">
        <f>IFERROR(__xludf.DUMMYFUNCTION("""COMPUTED_VALUE"""),"https://drive.google.com/file/d/199YR1fw3BukmTjxODcLr4y1gddVckIrK/view?usp=drivesdk")</f>
        <v>https://drive.google.com/file/d/199YR1fw3BukmTjxODcLr4y1gddVckIrK/view?usp=drivesdk</v>
      </c>
    </row>
    <row r="5939">
      <c r="A5939" s="15">
        <f>IFERROR(__xludf.DUMMYFUNCTION("""COMPUTED_VALUE"""),45170.0)</f>
        <v>45170</v>
      </c>
      <c r="B5939" s="16" t="str">
        <f>IFERROR(__xludf.DUMMYFUNCTION("""COMPUTED_VALUE"""),"Orlando Urdaneta Rincon ")</f>
        <v>Orlando Urdaneta Rincon </v>
      </c>
      <c r="C5939" s="15" t="str">
        <f>IFERROR(__xludf.DUMMYFUNCTION("""COMPUTED_VALUE"""),"MOSQUERA")</f>
        <v>MOSQUERA</v>
      </c>
      <c r="D5939" s="15" t="str">
        <f>IFERROR(__xludf.DUMMYFUNCTION("""COMPUTED_VALUE"""),"MEDELLÍN")</f>
        <v>MEDELLÍN</v>
      </c>
      <c r="E5939" s="15" t="str">
        <f>IFERROR(__xludf.DUMMYFUNCTION("""COMPUTED_VALUE"""),"Baby Chef")</f>
        <v>Baby Chef</v>
      </c>
      <c r="F5939" s="17" t="str">
        <f>IFERROR(__xludf.DUMMYFUNCTION("""COMPUTED_VALUE"""),"Hacienda alcala el roble casa 9 mosquera  / Mosquera  / Mosquera")</f>
        <v>Hacienda alcala el roble casa 9 mosquera  / Mosquera  / Mosquera</v>
      </c>
      <c r="G5939" s="15" t="str">
        <f>IFERROR(__xludf.DUMMYFUNCTION("""COMPUTED_VALUE"""),"Gloria Russi ( Mosquera)")</f>
        <v>Gloria Russi ( Mosquera)</v>
      </c>
      <c r="H5939" s="16">
        <f>IFERROR(__xludf.DUMMYFUNCTION("""COMPUTED_VALUE"""),14647.0)</f>
        <v>14647</v>
      </c>
      <c r="I5939" s="18">
        <f>IFERROR(__xludf.DUMMYFUNCTION("""COMPUTED_VALUE"""),3.0)</f>
        <v>3</v>
      </c>
      <c r="J5939" s="18">
        <f>IFERROR(__xludf.DUMMYFUNCTION("""COMPUTED_VALUE"""),14.0)</f>
        <v>14</v>
      </c>
      <c r="K5939" s="18">
        <f>IFERROR(__xludf.DUMMYFUNCTION("""COMPUTED_VALUE"""),24.0)</f>
        <v>24</v>
      </c>
      <c r="L5939" s="17">
        <f>IFERROR(__xludf.DUMMYFUNCTION("""COMPUTED_VALUE"""),3.213034209E9)</f>
        <v>3213034209</v>
      </c>
      <c r="M5939" s="17" t="str">
        <f>IFERROR(__xludf.DUMMYFUNCTION("""COMPUTED_VALUE"""),"#REF!")</f>
        <v>#REF!</v>
      </c>
      <c r="N5939" s="17"/>
      <c r="O5939" s="17"/>
      <c r="P5939" s="17" t="b">
        <f>IFERROR(__xludf.DUMMYFUNCTION("""COMPUTED_VALUE"""),FALSE)</f>
        <v>0</v>
      </c>
      <c r="Q5939" s="20" t="str">
        <f>IFERROR(__xludf.DUMMYFUNCTION("""COMPUTED_VALUE"""),"")</f>
        <v/>
      </c>
      <c r="R5939" s="21" t="str">
        <f>IFERROR(__xludf.DUMMYFUNCTION("""COMPUTED_VALUE"""),"https://drive.google.com/file/d/1svYU468ksBav5rzY9AmniBwcLv9PKQrg/view?usp=drivesdk")</f>
        <v>https://drive.google.com/file/d/1svYU468ksBav5rzY9AmniBwcLv9PKQrg/view?usp=drivesdk</v>
      </c>
    </row>
    <row r="5940">
      <c r="A5940" s="15">
        <f>IFERROR(__xludf.DUMMYFUNCTION("""COMPUTED_VALUE"""),45170.0)</f>
        <v>45170</v>
      </c>
      <c r="B5940" s="16" t="str">
        <f>IFERROR(__xludf.DUMMYFUNCTION("""COMPUTED_VALUE"""),"Orlando Urdaneta Rincon ")</f>
        <v>Orlando Urdaneta Rincon </v>
      </c>
      <c r="C5940" s="15" t="str">
        <f>IFERROR(__xludf.DUMMYFUNCTION("""COMPUTED_VALUE"""),"SANTA MARTA")</f>
        <v>SANTA MARTA</v>
      </c>
      <c r="D5940" s="15" t="str">
        <f>IFERROR(__xludf.DUMMYFUNCTION("""COMPUTED_VALUE"""),"BOGOTÁ")</f>
        <v>BOGOTÁ</v>
      </c>
      <c r="E5940" s="15" t="str">
        <f>IFERROR(__xludf.DUMMYFUNCTION("""COMPUTED_VALUE"""),"Evamazzita")</f>
        <v>Evamazzita</v>
      </c>
      <c r="F5940" s="17" t="str">
        <f>IFERROR(__xludf.DUMMYFUNCTION("""COMPUTED_VALUE"""),"Avenida del Río, calle 29#25-67  / (diagonal al puente de las Malvinas)  /  Barrio Villa del Río ")</f>
        <v>Avenida del Río, calle 29#25-67  / (diagonal al puente de las Malvinas)  /  Barrio Villa del Río </v>
      </c>
      <c r="G5940" s="15" t="str">
        <f>IFERROR(__xludf.DUMMYFUNCTION("""COMPUTED_VALUE"""),"EVELIN VANEGAS LUNA")</f>
        <v>EVELIN VANEGAS LUNA</v>
      </c>
      <c r="H5940" s="16">
        <f>IFERROR(__xludf.DUMMYFUNCTION("""COMPUTED_VALUE"""),14579.0)</f>
        <v>14579</v>
      </c>
      <c r="I5940" s="18">
        <f>IFERROR(__xludf.DUMMYFUNCTION("""COMPUTED_VALUE"""),1.0)</f>
        <v>1</v>
      </c>
      <c r="J5940" s="18">
        <f>IFERROR(__xludf.DUMMYFUNCTION("""COMPUTED_VALUE"""),1.0)</f>
        <v>1</v>
      </c>
      <c r="K5940" s="18">
        <f>IFERROR(__xludf.DUMMYFUNCTION("""COMPUTED_VALUE"""),1.0)</f>
        <v>1</v>
      </c>
      <c r="L5940" s="17">
        <f>IFERROR(__xludf.DUMMYFUNCTION("""COMPUTED_VALUE"""),3.003259661E9)</f>
        <v>3003259661</v>
      </c>
      <c r="M5940" s="17" t="str">
        <f>IFERROR(__xludf.DUMMYFUNCTION("""COMPUTED_VALUE"""),"#REF!")</f>
        <v>#REF!</v>
      </c>
      <c r="N5940" s="17"/>
      <c r="O5940" s="17"/>
      <c r="P5940" s="17" t="b">
        <f>IFERROR(__xludf.DUMMYFUNCTION("""COMPUTED_VALUE"""),TRUE)</f>
        <v>1</v>
      </c>
      <c r="Q5940" s="20">
        <f>IFERROR(__xludf.DUMMYFUNCTION("""COMPUTED_VALUE"""),45174.72945601852)</f>
        <v>45174.72946</v>
      </c>
      <c r="R5940" s="21" t="str">
        <f>IFERROR(__xludf.DUMMYFUNCTION("""COMPUTED_VALUE"""),"https://drive.google.com/file/d/1uilG8_Hf8DdHii7yWewKWH7plAVvh0IF/view?usp=drivesdk")</f>
        <v>https://drive.google.com/file/d/1uilG8_Hf8DdHii7yWewKWH7plAVvh0IF/view?usp=drivesdk</v>
      </c>
    </row>
    <row r="5941">
      <c r="A5941" s="15">
        <f>IFERROR(__xludf.DUMMYFUNCTION("""COMPUTED_VALUE"""),45170.0)</f>
        <v>45170</v>
      </c>
      <c r="B5941" s="16" t="str">
        <f>IFERROR(__xludf.DUMMYFUNCTION("""COMPUTED_VALUE"""),"Orlando Urdaneta Rincon ")</f>
        <v>Orlando Urdaneta Rincon </v>
      </c>
      <c r="C5941" s="15" t="str">
        <f>IFERROR(__xludf.DUMMYFUNCTION("""COMPUTED_VALUE"""),"SANTA MARTA")</f>
        <v>SANTA MARTA</v>
      </c>
      <c r="D5941" s="15" t="str">
        <f>IFERROR(__xludf.DUMMYFUNCTION("""COMPUTED_VALUE"""),"BOGOTÁ")</f>
        <v>BOGOTÁ</v>
      </c>
      <c r="E5941" s="15" t="str">
        <f>IFERROR(__xludf.DUMMYFUNCTION("""COMPUTED_VALUE"""),"Evamazzita")</f>
        <v>Evamazzita</v>
      </c>
      <c r="F5941" s="17" t="str">
        <f>IFERROR(__xludf.DUMMYFUNCTION("""COMPUTED_VALUE"""),"Calle 45A # 29C-22,  / casa 20 (conjunto cerrado villas de andalucia)  / Santa Cruz")</f>
        <v>Calle 45A # 29C-22,  / casa 20 (conjunto cerrado villas de andalucia)  / Santa Cruz</v>
      </c>
      <c r="G5941" s="15" t="str">
        <f>IFERROR(__xludf.DUMMYFUNCTION("""COMPUTED_VALUE"""),"ALEJANDRA JORDI")</f>
        <v>ALEJANDRA JORDI</v>
      </c>
      <c r="H5941" s="16">
        <f>IFERROR(__xludf.DUMMYFUNCTION("""COMPUTED_VALUE"""),14578.0)</f>
        <v>14578</v>
      </c>
      <c r="I5941" s="18">
        <f>IFERROR(__xludf.DUMMYFUNCTION("""COMPUTED_VALUE"""),1.0)</f>
        <v>1</v>
      </c>
      <c r="J5941" s="18">
        <f>IFERROR(__xludf.DUMMYFUNCTION("""COMPUTED_VALUE"""),1.0)</f>
        <v>1</v>
      </c>
      <c r="K5941" s="18">
        <f>IFERROR(__xludf.DUMMYFUNCTION("""COMPUTED_VALUE"""),1.0)</f>
        <v>1</v>
      </c>
      <c r="L5941" s="17">
        <f>IFERROR(__xludf.DUMMYFUNCTION("""COMPUTED_VALUE"""),3.017563592E9)</f>
        <v>3017563592</v>
      </c>
      <c r="M5941" s="17" t="str">
        <f>IFERROR(__xludf.DUMMYFUNCTION("""COMPUTED_VALUE"""),"#REF!")</f>
        <v>#REF!</v>
      </c>
      <c r="N5941" s="17"/>
      <c r="O5941" s="17"/>
      <c r="P5941" s="17" t="b">
        <f>IFERROR(__xludf.DUMMYFUNCTION("""COMPUTED_VALUE"""),FALSE)</f>
        <v>0</v>
      </c>
      <c r="Q5941" s="20" t="str">
        <f>IFERROR(__xludf.DUMMYFUNCTION("""COMPUTED_VALUE"""),"")</f>
        <v/>
      </c>
      <c r="R5941" s="21" t="str">
        <f>IFERROR(__xludf.DUMMYFUNCTION("""COMPUTED_VALUE"""),"https://drive.google.com/file/d/19kLPQzPY9BPF7QDYwGYWxQBzNwmvzL1Q/view?usp=drivesdk")</f>
        <v>https://drive.google.com/file/d/19kLPQzPY9BPF7QDYwGYWxQBzNwmvzL1Q/view?usp=drivesdk</v>
      </c>
    </row>
    <row r="5942">
      <c r="A5942" s="17" t="str">
        <f>IFERROR(__xludf.DUMMYFUNCTION("""COMPUTED_VALUE"""),"")</f>
        <v/>
      </c>
      <c r="B5942" s="17" t="str">
        <f>IFERROR(__xludf.DUMMYFUNCTION("""COMPUTED_VALUE"""),"")</f>
        <v/>
      </c>
      <c r="C5942" s="17" t="str">
        <f>IFERROR(__xludf.DUMMYFUNCTION("""COMPUTED_VALUE"""),"")</f>
        <v/>
      </c>
      <c r="D5942" s="17" t="str">
        <f>IFERROR(__xludf.DUMMYFUNCTION("""COMPUTED_VALUE"""),"")</f>
        <v/>
      </c>
      <c r="E5942" s="17" t="str">
        <f>IFERROR(__xludf.DUMMYFUNCTION("""COMPUTED_VALUE"""),"")</f>
        <v/>
      </c>
      <c r="F5942" s="17" t="str">
        <f>IFERROR(__xludf.DUMMYFUNCTION("""COMPUTED_VALUE"""),"")</f>
        <v/>
      </c>
      <c r="G5942" s="17" t="str">
        <f>IFERROR(__xludf.DUMMYFUNCTION("""COMPUTED_VALUE"""),"")</f>
        <v/>
      </c>
      <c r="H5942" s="17" t="str">
        <f>IFERROR(__xludf.DUMMYFUNCTION("""COMPUTED_VALUE"""),"")</f>
        <v/>
      </c>
      <c r="I5942" s="17" t="str">
        <f>IFERROR(__xludf.DUMMYFUNCTION("""COMPUTED_VALUE"""),"")</f>
        <v/>
      </c>
      <c r="J5942" s="17" t="str">
        <f>IFERROR(__xludf.DUMMYFUNCTION("""COMPUTED_VALUE"""),"")</f>
        <v/>
      </c>
      <c r="K5942" s="17" t="str">
        <f>IFERROR(__xludf.DUMMYFUNCTION("""COMPUTED_VALUE"""),"")</f>
        <v/>
      </c>
      <c r="L5942" s="17" t="str">
        <f>IFERROR(__xludf.DUMMYFUNCTION("""COMPUTED_VALUE"""),"")</f>
        <v/>
      </c>
      <c r="M5942" s="17" t="str">
        <f>IFERROR(__xludf.DUMMYFUNCTION("""COMPUTED_VALUE"""),"")</f>
        <v/>
      </c>
      <c r="N5942" s="17" t="str">
        <f>IFERROR(__xludf.DUMMYFUNCTION("""COMPUTED_VALUE"""),"")</f>
        <v/>
      </c>
      <c r="O5942" s="17" t="str">
        <f>IFERROR(__xludf.DUMMYFUNCTION("""COMPUTED_VALUE"""),"")</f>
        <v/>
      </c>
      <c r="P5942" s="17" t="str">
        <f>IFERROR(__xludf.DUMMYFUNCTION("""COMPUTED_VALUE"""),"")</f>
        <v/>
      </c>
      <c r="Q5942" s="17" t="str">
        <f>IFERROR(__xludf.DUMMYFUNCTION("""COMPUTED_VALUE"""),"")</f>
        <v/>
      </c>
      <c r="R5942" s="17" t="str">
        <f>IFERROR(__xludf.DUMMYFUNCTION("""COMPUTED_VALUE"""),"")</f>
        <v/>
      </c>
    </row>
    <row r="5943">
      <c r="A5943" s="15">
        <f>IFERROR(__xludf.DUMMYFUNCTION("""COMPUTED_VALUE"""),45170.0)</f>
        <v>45170</v>
      </c>
      <c r="B5943" s="16" t="str">
        <f>IFERROR(__xludf.DUMMYFUNCTION("""COMPUTED_VALUE"""),"Santiago Garces Restrepo")</f>
        <v>Santiago Garces Restrepo</v>
      </c>
      <c r="C5943" s="15" t="str">
        <f>IFERROR(__xludf.DUMMYFUNCTION("""COMPUTED_VALUE"""),"CALI")</f>
        <v>CALI</v>
      </c>
      <c r="D5943" s="15" t="str">
        <f>IFERROR(__xludf.DUMMYFUNCTION("""COMPUTED_VALUE"""),"BOGOTÁ")</f>
        <v>BOGOTÁ</v>
      </c>
      <c r="E5943" s="15" t="str">
        <f>IFERROR(__xludf.DUMMYFUNCTION("""COMPUTED_VALUE"""),"Viral Brands")</f>
        <v>Viral Brands</v>
      </c>
      <c r="F5943" s="17" t="str">
        <f>IFERROR(__xludf.DUMMYFUNCTION("""COMPUTED_VALUE"""),"Carre 81a n42 07 / Edificio 2 piso chuzales  / Barrio el caney")</f>
        <v>Carre 81a n42 07 / Edificio 2 piso chuzales  / Barrio el caney</v>
      </c>
      <c r="G5943" s="15" t="str">
        <f>IFERROR(__xludf.DUMMYFUNCTION("""COMPUTED_VALUE"""),"Lisbeth gamez")</f>
        <v>Lisbeth gamez</v>
      </c>
      <c r="H5943" s="16">
        <f>IFERROR(__xludf.DUMMYFUNCTION("""COMPUTED_VALUE"""),14661.0)</f>
        <v>14661</v>
      </c>
      <c r="I5943" s="18">
        <f>IFERROR(__xludf.DUMMYFUNCTION("""COMPUTED_VALUE"""),45.0)</f>
        <v>45</v>
      </c>
      <c r="J5943" s="18" t="str">
        <f>IFERROR(__xludf.DUMMYFUNCTION("""COMPUTED_VALUE"""),"42.5")</f>
        <v>42.5</v>
      </c>
      <c r="K5943" s="18">
        <f>IFERROR(__xludf.DUMMYFUNCTION("""COMPUTED_VALUE"""),55.0)</f>
        <v>55</v>
      </c>
      <c r="L5943" s="17">
        <f>IFERROR(__xludf.DUMMYFUNCTION("""COMPUTED_VALUE"""),3.218280504E9)</f>
        <v>3218280504</v>
      </c>
      <c r="M5943" s="17" t="str">
        <f>IFERROR(__xludf.DUMMYFUNCTION("""COMPUTED_VALUE"""),"#REF!")</f>
        <v>#REF!</v>
      </c>
      <c r="N5943" s="17"/>
      <c r="O5943" s="17"/>
      <c r="P5943" s="17" t="b">
        <f>IFERROR(__xludf.DUMMYFUNCTION("""COMPUTED_VALUE"""),TRUE)</f>
        <v>1</v>
      </c>
      <c r="Q5943" s="20">
        <f>IFERROR(__xludf.DUMMYFUNCTION("""COMPUTED_VALUE"""),45174.72945601852)</f>
        <v>45174.72946</v>
      </c>
      <c r="R5943" s="22" t="str">
        <f>IFERROR(__xludf.DUMMYFUNCTION("""COMPUTED_VALUE"""),"")</f>
        <v/>
      </c>
    </row>
    <row r="5944">
      <c r="A5944" s="15">
        <f>IFERROR(__xludf.DUMMYFUNCTION("""COMPUTED_VALUE"""),45170.0)</f>
        <v>45170</v>
      </c>
      <c r="B5944" s="16" t="str">
        <f>IFERROR(__xludf.DUMMYFUNCTION("""COMPUTED_VALUE"""),"Santiago Garces Restrepo")</f>
        <v>Santiago Garces Restrepo</v>
      </c>
      <c r="C5944" s="15" t="str">
        <f>IFERROR(__xludf.DUMMYFUNCTION("""COMPUTED_VALUE"""),"MEDELLÍN")</f>
        <v>MEDELLÍN</v>
      </c>
      <c r="D5944" s="15" t="str">
        <f>IFERROR(__xludf.DUMMYFUNCTION("""COMPUTED_VALUE"""),"BOGOTÁ")</f>
        <v>BOGOTÁ</v>
      </c>
      <c r="E5944" s="15" t="str">
        <f>IFERROR(__xludf.DUMMYFUNCTION("""COMPUTED_VALUE"""),"Forever Dog")</f>
        <v>Forever Dog</v>
      </c>
      <c r="F5944" s="17" t="str">
        <f>IFERROR(__xludf.DUMMYFUNCTION("""COMPUTED_VALUE"""),"Carrera 37# 10a-29 / Hotel click clack / habitación 408")</f>
        <v>Carrera 37# 10a-29 / Hotel click clack / habitación 408</v>
      </c>
      <c r="G5944" s="15" t="str">
        <f>IFERROR(__xludf.DUMMYFUNCTION("""COMPUTED_VALUE"""),"Jenn Sua")</f>
        <v>Jenn Sua</v>
      </c>
      <c r="H5944" s="16">
        <f>IFERROR(__xludf.DUMMYFUNCTION("""COMPUTED_VALUE"""),14595.0)</f>
        <v>14595</v>
      </c>
      <c r="I5944" s="18">
        <f>IFERROR(__xludf.DUMMYFUNCTION("""COMPUTED_VALUE"""),51.0)</f>
        <v>51</v>
      </c>
      <c r="J5944" s="18">
        <f>IFERROR(__xludf.DUMMYFUNCTION("""COMPUTED_VALUE"""),30.0)</f>
        <v>30</v>
      </c>
      <c r="K5944" s="18">
        <f>IFERROR(__xludf.DUMMYFUNCTION("""COMPUTED_VALUE"""),20.0)</f>
        <v>20</v>
      </c>
      <c r="L5944" s="17">
        <f>IFERROR(__xludf.DUMMYFUNCTION("""COMPUTED_VALUE"""),3.14202892E9)</f>
        <v>3142028920</v>
      </c>
      <c r="M5944" s="17" t="str">
        <f>IFERROR(__xludf.DUMMYFUNCTION("""COMPUTED_VALUE"""),"#REF!")</f>
        <v>#REF!</v>
      </c>
      <c r="N5944" s="17"/>
      <c r="O5944" s="17"/>
      <c r="P5944" s="17" t="b">
        <f>IFERROR(__xludf.DUMMYFUNCTION("""COMPUTED_VALUE"""),FALSE)</f>
        <v>0</v>
      </c>
      <c r="Q5944" s="20" t="str">
        <f>IFERROR(__xludf.DUMMYFUNCTION("""COMPUTED_VALUE"""),"")</f>
        <v/>
      </c>
      <c r="R5944" s="22" t="str">
        <f>IFERROR(__xludf.DUMMYFUNCTION("""COMPUTED_VALUE"""),"")</f>
        <v/>
      </c>
    </row>
    <row r="5945">
      <c r="A5945" s="15">
        <f>IFERROR(__xludf.DUMMYFUNCTION("""COMPUTED_VALUE"""),45170.0)</f>
        <v>45170</v>
      </c>
      <c r="B5945" s="16" t="str">
        <f>IFERROR(__xludf.DUMMYFUNCTION("""COMPUTED_VALUE"""),"Santiago Garces Restrepo")</f>
        <v>Santiago Garces Restrepo</v>
      </c>
      <c r="C5945" s="15" t="str">
        <f>IFERROR(__xludf.DUMMYFUNCTION("""COMPUTED_VALUE"""),"MEDELLÍN")</f>
        <v>MEDELLÍN</v>
      </c>
      <c r="D5945" s="15" t="str">
        <f>IFERROR(__xludf.DUMMYFUNCTION("""COMPUTED_VALUE"""),"BOGOTÁ")</f>
        <v>BOGOTÁ</v>
      </c>
      <c r="E5945" s="15" t="str">
        <f>IFERROR(__xludf.DUMMYFUNCTION("""COMPUTED_VALUE"""),"Frambascolombia sas")</f>
        <v>Frambascolombia sas</v>
      </c>
      <c r="F5945" s="17" t="str">
        <f>IFERROR(__xludf.DUMMYFUNCTION("""COMPUTED_VALUE"""),"cra 39e # 48 f sur - 150 / local 2")</f>
        <v>cra 39e # 48 f sur - 150 / local 2</v>
      </c>
      <c r="G5945" s="15" t="str">
        <f>IFERROR(__xludf.DUMMYFUNCTION("""COMPUTED_VALUE"""),"SEBASTIAN BARRAZA MEDELLIN")</f>
        <v>SEBASTIAN BARRAZA MEDELLIN</v>
      </c>
      <c r="H5945" s="16">
        <f>IFERROR(__xludf.DUMMYFUNCTION("""COMPUTED_VALUE"""),14621.0)</f>
        <v>14621</v>
      </c>
      <c r="I5945" s="18">
        <f>IFERROR(__xludf.DUMMYFUNCTION("""COMPUTED_VALUE"""),28.0)</f>
        <v>28</v>
      </c>
      <c r="J5945" s="18">
        <f>IFERROR(__xludf.DUMMYFUNCTION("""COMPUTED_VALUE"""),30.0)</f>
        <v>30</v>
      </c>
      <c r="K5945" s="18">
        <f>IFERROR(__xludf.DUMMYFUNCTION("""COMPUTED_VALUE"""),21.0)</f>
        <v>21</v>
      </c>
      <c r="L5945" s="17">
        <f>IFERROR(__xludf.DUMMYFUNCTION("""COMPUTED_VALUE"""),3.232279671E9)</f>
        <v>3232279671</v>
      </c>
      <c r="M5945" s="17" t="str">
        <f>IFERROR(__xludf.DUMMYFUNCTION("""COMPUTED_VALUE"""),"#REF!")</f>
        <v>#REF!</v>
      </c>
      <c r="N5945" s="17"/>
      <c r="O5945" s="17"/>
      <c r="P5945" s="17" t="b">
        <f>IFERROR(__xludf.DUMMYFUNCTION("""COMPUTED_VALUE"""),FALSE)</f>
        <v>0</v>
      </c>
      <c r="Q5945" s="20" t="str">
        <f>IFERROR(__xludf.DUMMYFUNCTION("""COMPUTED_VALUE"""),"")</f>
        <v/>
      </c>
      <c r="R5945" s="21" t="str">
        <f>IFERROR(__xludf.DUMMYFUNCTION("""COMPUTED_VALUE"""),"https://drive.google.com/file/d/1NZgraD7Td_3U7xKGE-m41ekPlZ-pLX71/view?usp=drivesdk")</f>
        <v>https://drive.google.com/file/d/1NZgraD7Td_3U7xKGE-m41ekPlZ-pLX71/view?usp=drivesdk</v>
      </c>
    </row>
    <row r="5946">
      <c r="A5946" s="15">
        <f>IFERROR(__xludf.DUMMYFUNCTION("""COMPUTED_VALUE"""),45170.0)</f>
        <v>45170</v>
      </c>
      <c r="B5946" s="16" t="str">
        <f>IFERROR(__xludf.DUMMYFUNCTION("""COMPUTED_VALUE"""),"Santiago Garces Restrepo")</f>
        <v>Santiago Garces Restrepo</v>
      </c>
      <c r="C5946" s="15" t="str">
        <f>IFERROR(__xludf.DUMMYFUNCTION("""COMPUTED_VALUE"""),"MEDELLÍN")</f>
        <v>MEDELLÍN</v>
      </c>
      <c r="D5946" s="15" t="str">
        <f>IFERROR(__xludf.DUMMYFUNCTION("""COMPUTED_VALUE"""),"BOGOTÁ")</f>
        <v>BOGOTÁ</v>
      </c>
      <c r="E5946" s="15" t="str">
        <f>IFERROR(__xludf.DUMMYFUNCTION("""COMPUTED_VALUE"""),"Frubits")</f>
        <v>Frubits</v>
      </c>
      <c r="F5946" s="17" t="str">
        <f>IFERROR(__xludf.DUMMYFUNCTION("""COMPUTED_VALUE"""),"Carrera 41 #14-27  El poblado. Castropol  Urbanización: Torreón de castropol Apto: 402 / Carrera 41 #14-27  El poblado. Castropol  Urbanización: Torreón de castropol Apto: 402 / Carrera 41 #14-27  El poblado. Castropol  Urbanización: Torreón de castropol "&amp;"Apto: 402")</f>
        <v>Carrera 41 #14-27  El poblado. Castropol  Urbanización: Torreón de castropol Apto: 402 / Carrera 41 #14-27  El poblado. Castropol  Urbanización: Torreón de castropol Apto: 402 / Carrera 41 #14-27  El poblado. Castropol  Urbanización: Torreón de castropol Apto: 402</v>
      </c>
      <c r="G5946" s="15" t="str">
        <f>IFERROR(__xludf.DUMMYFUNCTION("""COMPUTED_VALUE"""),"Paulina orozco")</f>
        <v>Paulina orozco</v>
      </c>
      <c r="H5946" s="16">
        <f>IFERROR(__xludf.DUMMYFUNCTION("""COMPUTED_VALUE"""),14630.0)</f>
        <v>14630</v>
      </c>
      <c r="I5946" s="18">
        <f>IFERROR(__xludf.DUMMYFUNCTION("""COMPUTED_VALUE"""),12.0)</f>
        <v>12</v>
      </c>
      <c r="J5946" s="18">
        <f>IFERROR(__xludf.DUMMYFUNCTION("""COMPUTED_VALUE"""),12.0)</f>
        <v>12</v>
      </c>
      <c r="K5946" s="18">
        <f>IFERROR(__xludf.DUMMYFUNCTION("""COMPUTED_VALUE"""),12.0)</f>
        <v>12</v>
      </c>
      <c r="L5946" s="17">
        <f>IFERROR(__xludf.DUMMYFUNCTION("""COMPUTED_VALUE"""),3.173139372E9)</f>
        <v>3173139372</v>
      </c>
      <c r="M5946" s="17" t="str">
        <f>IFERROR(__xludf.DUMMYFUNCTION("""COMPUTED_VALUE"""),"#REF!")</f>
        <v>#REF!</v>
      </c>
      <c r="N5946" s="17"/>
      <c r="O5946" s="17"/>
      <c r="P5946" s="17" t="b">
        <f>IFERROR(__xludf.DUMMYFUNCTION("""COMPUTED_VALUE"""),FALSE)</f>
        <v>0</v>
      </c>
      <c r="Q5946" s="20" t="str">
        <f>IFERROR(__xludf.DUMMYFUNCTION("""COMPUTED_VALUE"""),"")</f>
        <v/>
      </c>
      <c r="R5946" s="21" t="str">
        <f>IFERROR(__xludf.DUMMYFUNCTION("""COMPUTED_VALUE"""),"https://drive.google.com/file/d/1ds2BvoOhQ9H7gSX02-ztAdvY4V7vqBMi/view?usp=drivesdk")</f>
        <v>https://drive.google.com/file/d/1ds2BvoOhQ9H7gSX02-ztAdvY4V7vqBMi/view?usp=drivesdk</v>
      </c>
    </row>
    <row r="5947">
      <c r="A5947" s="15">
        <f>IFERROR(__xludf.DUMMYFUNCTION("""COMPUTED_VALUE"""),45170.0)</f>
        <v>45170</v>
      </c>
      <c r="B5947" s="16" t="str">
        <f>IFERROR(__xludf.DUMMYFUNCTION("""COMPUTED_VALUE"""),"Santiago Garces Restrepo")</f>
        <v>Santiago Garces Restrepo</v>
      </c>
      <c r="C5947" s="15" t="str">
        <f>IFERROR(__xludf.DUMMYFUNCTION("""COMPUTED_VALUE"""),"MEDELLÍN")</f>
        <v>MEDELLÍN</v>
      </c>
      <c r="D5947" s="15" t="str">
        <f>IFERROR(__xludf.DUMMYFUNCTION("""COMPUTED_VALUE"""),"BOGOTÁ")</f>
        <v>BOGOTÁ</v>
      </c>
      <c r="E5947" s="15" t="str">
        <f>IFERROR(__xludf.DUMMYFUNCTION("""COMPUTED_VALUE"""),"Frubits")</f>
        <v>Frubits</v>
      </c>
      <c r="F5947" s="17" t="str">
        <f>IFERROR(__xludf.DUMMYFUNCTION("""COMPUTED_VALUE"""),"Plaza Mayor Medellin /  Plaza Mayor Medellin /  Plaza Mayor Medellin")</f>
        <v>Plaza Mayor Medellin /  Plaza Mayor Medellin /  Plaza Mayor Medellin</v>
      </c>
      <c r="G5947" s="15" t="str">
        <f>IFERROR(__xludf.DUMMYFUNCTION("""COMPUTED_VALUE"""),"Catalina Alvarez")</f>
        <v>Catalina Alvarez</v>
      </c>
      <c r="H5947" s="16">
        <f>IFERROR(__xludf.DUMMYFUNCTION("""COMPUTED_VALUE"""),14652.0)</f>
        <v>14652</v>
      </c>
      <c r="I5947" s="18">
        <f>IFERROR(__xludf.DUMMYFUNCTION("""COMPUTED_VALUE"""),12.0)</f>
        <v>12</v>
      </c>
      <c r="J5947" s="18">
        <f>IFERROR(__xludf.DUMMYFUNCTION("""COMPUTED_VALUE"""),12.0)</f>
        <v>12</v>
      </c>
      <c r="K5947" s="18">
        <f>IFERROR(__xludf.DUMMYFUNCTION("""COMPUTED_VALUE"""),12.0)</f>
        <v>12</v>
      </c>
      <c r="L5947" s="17">
        <f>IFERROR(__xludf.DUMMYFUNCTION("""COMPUTED_VALUE"""),3.146820347E9)</f>
        <v>3146820347</v>
      </c>
      <c r="M5947" s="17" t="str">
        <f>IFERROR(__xludf.DUMMYFUNCTION("""COMPUTED_VALUE"""),"#REF!")</f>
        <v>#REF!</v>
      </c>
      <c r="N5947" s="17"/>
      <c r="O5947" s="17"/>
      <c r="P5947" s="17" t="b">
        <f>IFERROR(__xludf.DUMMYFUNCTION("""COMPUTED_VALUE"""),FALSE)</f>
        <v>0</v>
      </c>
      <c r="Q5947" s="20" t="str">
        <f>IFERROR(__xludf.DUMMYFUNCTION("""COMPUTED_VALUE"""),"")</f>
        <v/>
      </c>
      <c r="R5947" s="21" t="str">
        <f>IFERROR(__xludf.DUMMYFUNCTION("""COMPUTED_VALUE"""),"https://drive.google.com/file/d/1K2hKTucp1GGv-_oyrfWpN4GTvpQ6kiXj/view?usp=drivesdk")</f>
        <v>https://drive.google.com/file/d/1K2hKTucp1GGv-_oyrfWpN4GTvpQ6kiXj/view?usp=drivesdk</v>
      </c>
    </row>
    <row r="5948">
      <c r="A5948" s="15">
        <f>IFERROR(__xludf.DUMMYFUNCTION("""COMPUTED_VALUE"""),45170.0)</f>
        <v>45170</v>
      </c>
      <c r="B5948" s="16" t="str">
        <f>IFERROR(__xludf.DUMMYFUNCTION("""COMPUTED_VALUE"""),"Santiago Garces Restrepo")</f>
        <v>Santiago Garces Restrepo</v>
      </c>
      <c r="C5948" s="15" t="str">
        <f>IFERROR(__xludf.DUMMYFUNCTION("""COMPUTED_VALUE"""),"MEDELLÍN")</f>
        <v>MEDELLÍN</v>
      </c>
      <c r="D5948" s="15" t="str">
        <f>IFERROR(__xludf.DUMMYFUNCTION("""COMPUTED_VALUE"""),"BOGOTÁ")</f>
        <v>BOGOTÁ</v>
      </c>
      <c r="E5948" s="15" t="str">
        <f>IFERROR(__xludf.DUMMYFUNCTION("""COMPUTED_VALUE"""),"MAI ALIMENTOS S.A.S")</f>
        <v>MAI ALIMENTOS S.A.S</v>
      </c>
      <c r="F5948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5948" s="15" t="str">
        <f>IFERROR(__xludf.DUMMYFUNCTION("""COMPUTED_VALUE"""),"Novaventas")</f>
        <v>Novaventas</v>
      </c>
      <c r="H5948" s="16">
        <f>IFERROR(__xludf.DUMMYFUNCTION("""COMPUTED_VALUE"""),14659.0)</f>
        <v>14659</v>
      </c>
      <c r="I5948" s="18">
        <f>IFERROR(__xludf.DUMMYFUNCTION("""COMPUTED_VALUE"""),35.0)</f>
        <v>35</v>
      </c>
      <c r="J5948" s="18">
        <f>IFERROR(__xludf.DUMMYFUNCTION("""COMPUTED_VALUE"""),17.0)</f>
        <v>17</v>
      </c>
      <c r="K5948" s="18">
        <f>IFERROR(__xludf.DUMMYFUNCTION("""COMPUTED_VALUE"""),13.0)</f>
        <v>13</v>
      </c>
      <c r="L5948" s="17"/>
      <c r="M5948" s="17" t="str">
        <f>IFERROR(__xludf.DUMMYFUNCTION("""COMPUTED_VALUE"""),"#REF!")</f>
        <v>#REF!</v>
      </c>
      <c r="N5948" s="17"/>
      <c r="O5948" s="17"/>
      <c r="P5948" s="17" t="b">
        <f>IFERROR(__xludf.DUMMYFUNCTION("""COMPUTED_VALUE"""),FALSE)</f>
        <v>0</v>
      </c>
      <c r="Q5948" s="20" t="str">
        <f>IFERROR(__xludf.DUMMYFUNCTION("""COMPUTED_VALUE"""),"")</f>
        <v/>
      </c>
      <c r="R5948" s="22" t="str">
        <f>IFERROR(__xludf.DUMMYFUNCTION("""COMPUTED_VALUE"""),"")</f>
        <v/>
      </c>
    </row>
    <row r="5949">
      <c r="A5949" s="15">
        <f>IFERROR(__xludf.DUMMYFUNCTION("""COMPUTED_VALUE"""),45170.0)</f>
        <v>45170</v>
      </c>
      <c r="B5949" s="16" t="str">
        <f>IFERROR(__xludf.DUMMYFUNCTION("""COMPUTED_VALUE"""),"Santiago Garces Restrepo")</f>
        <v>Santiago Garces Restrepo</v>
      </c>
      <c r="C5949" s="15" t="str">
        <f>IFERROR(__xludf.DUMMYFUNCTION("""COMPUTED_VALUE"""),"MEDELLÍN")</f>
        <v>MEDELLÍN</v>
      </c>
      <c r="D5949" s="15" t="str">
        <f>IFERROR(__xludf.DUMMYFUNCTION("""COMPUTED_VALUE"""),"BOGOTÁ")</f>
        <v>BOGOTÁ</v>
      </c>
      <c r="E5949" s="15" t="str">
        <f>IFERROR(__xludf.DUMMYFUNCTION("""COMPUTED_VALUE"""),"Renata")</f>
        <v>Renata</v>
      </c>
      <c r="F5949" s="17" t="str">
        <f>IFERROR(__xludf.DUMMYFUNCTION("""COMPUTED_VALUE"""),"Carrera 32D #9-43 local 101 / Local 101  / Provenza-selina")</f>
        <v>Carrera 32D #9-43 local 101 / Local 101  / Provenza-selina</v>
      </c>
      <c r="G5949" s="15" t="str">
        <f>IFERROR(__xludf.DUMMYFUNCTION("""COMPUTED_VALUE"""),"Front y back hospitality group sas")</f>
        <v>Front y back hospitality group sas</v>
      </c>
      <c r="H5949" s="16">
        <f>IFERROR(__xludf.DUMMYFUNCTION("""COMPUTED_VALUE"""),14650.0)</f>
        <v>14650</v>
      </c>
      <c r="I5949" s="18">
        <f>IFERROR(__xludf.DUMMYFUNCTION("""COMPUTED_VALUE"""),70.0)</f>
        <v>70</v>
      </c>
      <c r="J5949" s="18">
        <f>IFERROR(__xludf.DUMMYFUNCTION("""COMPUTED_VALUE"""),70.0)</f>
        <v>70</v>
      </c>
      <c r="K5949" s="18">
        <f>IFERROR(__xludf.DUMMYFUNCTION("""COMPUTED_VALUE"""),70.0)</f>
        <v>70</v>
      </c>
      <c r="L5949" s="17">
        <f>IFERROR(__xludf.DUMMYFUNCTION("""COMPUTED_VALUE"""),6.042059699E9)</f>
        <v>6042059699</v>
      </c>
      <c r="M5949" s="17" t="str">
        <f>IFERROR(__xludf.DUMMYFUNCTION("""COMPUTED_VALUE"""),"#REF!")</f>
        <v>#REF!</v>
      </c>
      <c r="N5949" s="17"/>
      <c r="O5949" s="17"/>
      <c r="P5949" s="17" t="b">
        <f>IFERROR(__xludf.DUMMYFUNCTION("""COMPUTED_VALUE"""),FALSE)</f>
        <v>0</v>
      </c>
      <c r="Q5949" s="20" t="str">
        <f>IFERROR(__xludf.DUMMYFUNCTION("""COMPUTED_VALUE"""),"")</f>
        <v/>
      </c>
      <c r="R5949" s="22" t="str">
        <f>IFERROR(__xludf.DUMMYFUNCTION("""COMPUTED_VALUE"""),"")</f>
        <v/>
      </c>
    </row>
    <row r="5950">
      <c r="A5950" s="15">
        <f>IFERROR(__xludf.DUMMYFUNCTION("""COMPUTED_VALUE"""),45170.0)</f>
        <v>45170</v>
      </c>
      <c r="B5950" s="16" t="str">
        <f>IFERROR(__xludf.DUMMYFUNCTION("""COMPUTED_VALUE"""),"Santiago Garces Restrepo")</f>
        <v>Santiago Garces Restrepo</v>
      </c>
      <c r="C5950" s="15" t="str">
        <f>IFERROR(__xludf.DUMMYFUNCTION("""COMPUTED_VALUE"""),"MEDELLÍN")</f>
        <v>MEDELLÍN</v>
      </c>
      <c r="D5950" s="15" t="str">
        <f>IFERROR(__xludf.DUMMYFUNCTION("""COMPUTED_VALUE"""),"BOGOTÁ")</f>
        <v>BOGOTÁ</v>
      </c>
      <c r="E5950" s="15" t="str">
        <f>IFERROR(__xludf.DUMMYFUNCTION("""COMPUTED_VALUE"""),"Señora Pepa")</f>
        <v>Señora Pepa</v>
      </c>
      <c r="F5950" s="17" t="str">
        <f>IFERROR(__xludf.DUMMYFUNCTION("""COMPUTED_VALUE"""),"Calle 63B sur 32-552 ñ / Azalea apto 1120  Sabaneta  / Ciudadela monteflor")</f>
        <v>Calle 63B sur 32-552 ñ / Azalea apto 1120  Sabaneta  / Ciudadela monteflor</v>
      </c>
      <c r="G5950" s="15" t="str">
        <f>IFERROR(__xludf.DUMMYFUNCTION("""COMPUTED_VALUE"""),"Fanny Ruiz Avilez")</f>
        <v>Fanny Ruiz Avilez</v>
      </c>
      <c r="H5950" s="16">
        <f>IFERROR(__xludf.DUMMYFUNCTION("""COMPUTED_VALUE"""),14604.0)</f>
        <v>14604</v>
      </c>
      <c r="I5950" s="18">
        <f>IFERROR(__xludf.DUMMYFUNCTION("""COMPUTED_VALUE"""),30.0)</f>
        <v>30</v>
      </c>
      <c r="J5950" s="18">
        <f>IFERROR(__xludf.DUMMYFUNCTION("""COMPUTED_VALUE"""),23.0)</f>
        <v>23</v>
      </c>
      <c r="K5950" s="18">
        <f>IFERROR(__xludf.DUMMYFUNCTION("""COMPUTED_VALUE"""),34.0)</f>
        <v>34</v>
      </c>
      <c r="L5950" s="17">
        <f>IFERROR(__xludf.DUMMYFUNCTION("""COMPUTED_VALUE"""),3.015439202E9)</f>
        <v>3015439202</v>
      </c>
      <c r="M5950" s="17" t="str">
        <f>IFERROR(__xludf.DUMMYFUNCTION("""COMPUTED_VALUE"""),"#REF!")</f>
        <v>#REF!</v>
      </c>
      <c r="N5950" s="17"/>
      <c r="O5950" s="17"/>
      <c r="P5950" s="17" t="b">
        <f>IFERROR(__xludf.DUMMYFUNCTION("""COMPUTED_VALUE"""),FALSE)</f>
        <v>0</v>
      </c>
      <c r="Q5950" s="20" t="str">
        <f>IFERROR(__xludf.DUMMYFUNCTION("""COMPUTED_VALUE"""),"")</f>
        <v/>
      </c>
      <c r="R5950" s="21" t="str">
        <f>IFERROR(__xludf.DUMMYFUNCTION("""COMPUTED_VALUE"""),"https://drive.google.com/file/d/1NJ4XHy0wBM0TXMsTbXMf9UwCCUD3tSd0/view?usp=drivesdk")</f>
        <v>https://drive.google.com/file/d/1NJ4XHy0wBM0TXMsTbXMf9UwCCUD3tSd0/view?usp=drivesdk</v>
      </c>
    </row>
    <row r="5951">
      <c r="A5951" s="15">
        <f>IFERROR(__xludf.DUMMYFUNCTION("""COMPUTED_VALUE"""),45170.0)</f>
        <v>45170</v>
      </c>
      <c r="B5951" s="16" t="str">
        <f>IFERROR(__xludf.DUMMYFUNCTION("""COMPUTED_VALUE"""),"Santiago Garces Restrepo")</f>
        <v>Santiago Garces Restrepo</v>
      </c>
      <c r="C5951" s="15" t="str">
        <f>IFERROR(__xludf.DUMMYFUNCTION("""COMPUTED_VALUE"""),"MEDELLÍN")</f>
        <v>MEDELLÍN</v>
      </c>
      <c r="D5951" s="15" t="str">
        <f>IFERROR(__xludf.DUMMYFUNCTION("""COMPUTED_VALUE"""),"BOGOTÁ")</f>
        <v>BOGOTÁ</v>
      </c>
      <c r="E5951" s="15" t="str">
        <f>IFERROR(__xludf.DUMMYFUNCTION("""COMPUTED_VALUE"""),"Spirulina Fresca")</f>
        <v>Spirulina Fresca</v>
      </c>
      <c r="F5951" s="17" t="str">
        <f>IFERROR(__xludf.DUMMYFUNCTION("""COMPUTED_VALUE"""),"Calle 6 sur #43a 200  / ed Lugo cons 1603 / Medellin")</f>
        <v>Calle 6 sur #43a 200  / ed Lugo cons 1603 / Medellin</v>
      </c>
      <c r="G5951" s="15" t="str">
        <f>IFERROR(__xludf.DUMMYFUNCTION("""COMPUTED_VALUE"""),"María adelaida")</f>
        <v>María adelaida</v>
      </c>
      <c r="H5951" s="16">
        <f>IFERROR(__xludf.DUMMYFUNCTION("""COMPUTED_VALUE"""),14617.0)</f>
        <v>14617</v>
      </c>
      <c r="I5951" s="18">
        <f>IFERROR(__xludf.DUMMYFUNCTION("""COMPUTED_VALUE"""),12.0)</f>
        <v>12</v>
      </c>
      <c r="J5951" s="18">
        <f>IFERROR(__xludf.DUMMYFUNCTION("""COMPUTED_VALUE"""),12.0)</f>
        <v>12</v>
      </c>
      <c r="K5951" s="18">
        <f>IFERROR(__xludf.DUMMYFUNCTION("""COMPUTED_VALUE"""),15.0)</f>
        <v>15</v>
      </c>
      <c r="L5951" s="17">
        <f>IFERROR(__xludf.DUMMYFUNCTION("""COMPUTED_VALUE"""),3.104500548E9)</f>
        <v>3104500548</v>
      </c>
      <c r="M5951" s="17" t="str">
        <f>IFERROR(__xludf.DUMMYFUNCTION("""COMPUTED_VALUE"""),"#REF!")</f>
        <v>#REF!</v>
      </c>
      <c r="N5951" s="17"/>
      <c r="O5951" s="17"/>
      <c r="P5951" s="17" t="b">
        <f>IFERROR(__xludf.DUMMYFUNCTION("""COMPUTED_VALUE"""),TRUE)</f>
        <v>1</v>
      </c>
      <c r="Q5951" s="20">
        <f>IFERROR(__xludf.DUMMYFUNCTION("""COMPUTED_VALUE"""),45174.72945601852)</f>
        <v>45174.72946</v>
      </c>
      <c r="R5951" s="21" t="str">
        <f>IFERROR(__xludf.DUMMYFUNCTION("""COMPUTED_VALUE"""),"https://drive.google.com/file/d/12JEWwUibL-Ttccs7PV-FTHK59m5ulb5J/view?usp=drivesdk")</f>
        <v>https://drive.google.com/file/d/12JEWwUibL-Ttccs7PV-FTHK59m5ulb5J/view?usp=drivesdk</v>
      </c>
    </row>
    <row r="5952">
      <c r="A5952" s="15">
        <f>IFERROR(__xludf.DUMMYFUNCTION("""COMPUTED_VALUE"""),45170.0)</f>
        <v>45170</v>
      </c>
      <c r="B5952" s="16" t="str">
        <f>IFERROR(__xludf.DUMMYFUNCTION("""COMPUTED_VALUE"""),"Santiago Garces Restrepo")</f>
        <v>Santiago Garces Restrepo</v>
      </c>
      <c r="C5952" s="15" t="str">
        <f>IFERROR(__xludf.DUMMYFUNCTION("""COMPUTED_VALUE"""),"PALMIRA")</f>
        <v>PALMIRA</v>
      </c>
      <c r="D5952" s="15" t="str">
        <f>IFERROR(__xludf.DUMMYFUNCTION("""COMPUTED_VALUE"""),"BOGOTÁ")</f>
        <v>BOGOTÁ</v>
      </c>
      <c r="E5952" s="15" t="str">
        <f>IFERROR(__xludf.DUMMYFUNCTION("""COMPUTED_VALUE"""),"Karem foods")</f>
        <v>Karem foods</v>
      </c>
      <c r="F5952" s="17" t="str">
        <f>IFERROR(__xludf.DUMMYFUNCTION("""COMPUTED_VALUE"""),"diagonal 24c No. 6a - 91 / parques de la italia / -")</f>
        <v>diagonal 24c No. 6a - 91 / parques de la italia / -</v>
      </c>
      <c r="G5952" s="15" t="str">
        <f>IFERROR(__xludf.DUMMYFUNCTION("""COMPUTED_VALUE"""),"neide quintana")</f>
        <v>neide quintana</v>
      </c>
      <c r="H5952" s="16">
        <f>IFERROR(__xludf.DUMMYFUNCTION("""COMPUTED_VALUE"""),14651.0)</f>
        <v>14651</v>
      </c>
      <c r="I5952" s="18">
        <f>IFERROR(__xludf.DUMMYFUNCTION("""COMPUTED_VALUE"""),7.0)</f>
        <v>7</v>
      </c>
      <c r="J5952" s="18">
        <f>IFERROR(__xludf.DUMMYFUNCTION("""COMPUTED_VALUE"""),20.0)</f>
        <v>20</v>
      </c>
      <c r="K5952" s="18">
        <f>IFERROR(__xludf.DUMMYFUNCTION("""COMPUTED_VALUE"""),20.0)</f>
        <v>20</v>
      </c>
      <c r="L5952" s="17">
        <f>IFERROR(__xludf.DUMMYFUNCTION("""COMPUTED_VALUE"""),3.188492248E9)</f>
        <v>3188492248</v>
      </c>
      <c r="M5952" s="17" t="str">
        <f>IFERROR(__xludf.DUMMYFUNCTION("""COMPUTED_VALUE"""),"#REF!")</f>
        <v>#REF!</v>
      </c>
      <c r="N5952" s="17"/>
      <c r="O5952" s="17"/>
      <c r="P5952" s="17" t="b">
        <f>IFERROR(__xludf.DUMMYFUNCTION("""COMPUTED_VALUE"""),TRUE)</f>
        <v>1</v>
      </c>
      <c r="Q5952" s="20">
        <f>IFERROR(__xludf.DUMMYFUNCTION("""COMPUTED_VALUE"""),45174.72945601852)</f>
        <v>45174.72946</v>
      </c>
      <c r="R5952" s="21" t="str">
        <f>IFERROR(__xludf.DUMMYFUNCTION("""COMPUTED_VALUE"""),"https://drive.google.com/file/d/1sU0x1AVOnTwpiydYsQ9GJnTkuQ2DcMx8/view?usp=drivesdk")</f>
        <v>https://drive.google.com/file/d/1sU0x1AVOnTwpiydYsQ9GJnTkuQ2DcMx8/view?usp=drivesdk</v>
      </c>
    </row>
    <row r="5953">
      <c r="A5953" s="17" t="str">
        <f>IFERROR(__xludf.DUMMYFUNCTION("""COMPUTED_VALUE"""),"")</f>
        <v/>
      </c>
      <c r="B5953" s="17" t="str">
        <f>IFERROR(__xludf.DUMMYFUNCTION("""COMPUTED_VALUE"""),"")</f>
        <v/>
      </c>
      <c r="C5953" s="17" t="str">
        <f>IFERROR(__xludf.DUMMYFUNCTION("""COMPUTED_VALUE"""),"")</f>
        <v/>
      </c>
      <c r="D5953" s="17" t="str">
        <f>IFERROR(__xludf.DUMMYFUNCTION("""COMPUTED_VALUE"""),"")</f>
        <v/>
      </c>
      <c r="E5953" s="17" t="str">
        <f>IFERROR(__xludf.DUMMYFUNCTION("""COMPUTED_VALUE"""),"")</f>
        <v/>
      </c>
      <c r="F5953" s="17" t="str">
        <f>IFERROR(__xludf.DUMMYFUNCTION("""COMPUTED_VALUE"""),"")</f>
        <v/>
      </c>
      <c r="G5953" s="17" t="str">
        <f>IFERROR(__xludf.DUMMYFUNCTION("""COMPUTED_VALUE"""),"")</f>
        <v/>
      </c>
      <c r="H5953" s="17" t="str">
        <f>IFERROR(__xludf.DUMMYFUNCTION("""COMPUTED_VALUE"""),"")</f>
        <v/>
      </c>
      <c r="I5953" s="17" t="str">
        <f>IFERROR(__xludf.DUMMYFUNCTION("""COMPUTED_VALUE"""),"")</f>
        <v/>
      </c>
      <c r="J5953" s="17" t="str">
        <f>IFERROR(__xludf.DUMMYFUNCTION("""COMPUTED_VALUE"""),"")</f>
        <v/>
      </c>
      <c r="K5953" s="17" t="str">
        <f>IFERROR(__xludf.DUMMYFUNCTION("""COMPUTED_VALUE"""),"")</f>
        <v/>
      </c>
      <c r="L5953" s="17" t="str">
        <f>IFERROR(__xludf.DUMMYFUNCTION("""COMPUTED_VALUE"""),"")</f>
        <v/>
      </c>
      <c r="M5953" s="17" t="str">
        <f>IFERROR(__xludf.DUMMYFUNCTION("""COMPUTED_VALUE"""),"")</f>
        <v/>
      </c>
      <c r="N5953" s="17" t="str">
        <f>IFERROR(__xludf.DUMMYFUNCTION("""COMPUTED_VALUE"""),"")</f>
        <v/>
      </c>
      <c r="O5953" s="17" t="str">
        <f>IFERROR(__xludf.DUMMYFUNCTION("""COMPUTED_VALUE"""),"")</f>
        <v/>
      </c>
      <c r="P5953" s="17" t="str">
        <f>IFERROR(__xludf.DUMMYFUNCTION("""COMPUTED_VALUE"""),"")</f>
        <v/>
      </c>
      <c r="Q5953" s="17" t="str">
        <f>IFERROR(__xludf.DUMMYFUNCTION("""COMPUTED_VALUE"""),"")</f>
        <v/>
      </c>
      <c r="R5953" s="17" t="str">
        <f>IFERROR(__xludf.DUMMYFUNCTION("""COMPUTED_VALUE"""),"")</f>
        <v/>
      </c>
    </row>
    <row r="5954">
      <c r="A5954" s="15">
        <f>IFERROR(__xludf.DUMMYFUNCTION("""COMPUTED_VALUE"""),45174.0)</f>
        <v>45174</v>
      </c>
      <c r="B5954" s="17"/>
      <c r="C5954" s="15" t="str">
        <f>IFERROR(__xludf.DUMMYFUNCTION("""COMPUTED_VALUE"""),"MEDELLÍN")</f>
        <v>MEDELLÍN</v>
      </c>
      <c r="D5954" s="15" t="str">
        <f>IFERROR(__xludf.DUMMYFUNCTION("""COMPUTED_VALUE"""),"BOGOTÁ")</f>
        <v>BOGOTÁ</v>
      </c>
      <c r="E5954" s="15" t="str">
        <f>IFERROR(__xludf.DUMMYFUNCTION("""COMPUTED_VALUE"""),"Asociacion Agropecuaria Juana Maria")</f>
        <v>Asociacion Agropecuaria Juana Maria</v>
      </c>
      <c r="F5954" s="17" t="str">
        <f>IFERROR(__xludf.DUMMYFUNCTION("""COMPUTED_VALUE"""),"Cra 82C # 30A-100 apto 1202 urbanizacion Torres de Vicuña Belen los Alpes")</f>
        <v>Cra 82C # 30A-100 apto 1202 urbanizacion Torres de Vicuña Belen los Alpes</v>
      </c>
      <c r="G5954" s="15" t="str">
        <f>IFERROR(__xludf.DUMMYFUNCTION("""COMPUTED_VALUE"""),"Gloria Moreno")</f>
        <v>Gloria Moreno</v>
      </c>
      <c r="H5954" s="16">
        <f>IFERROR(__xludf.DUMMYFUNCTION("""COMPUTED_VALUE"""),14672.0)</f>
        <v>14672</v>
      </c>
      <c r="I5954" s="18">
        <f>IFERROR(__xludf.DUMMYFUNCTION("""COMPUTED_VALUE"""),21.0)</f>
        <v>21</v>
      </c>
      <c r="J5954" s="18">
        <f>IFERROR(__xludf.DUMMYFUNCTION("""COMPUTED_VALUE"""),37.0)</f>
        <v>37</v>
      </c>
      <c r="K5954" s="18">
        <f>IFERROR(__xludf.DUMMYFUNCTION("""COMPUTED_VALUE"""),30.0)</f>
        <v>30</v>
      </c>
      <c r="L5954" s="17">
        <f>IFERROR(__xludf.DUMMYFUNCTION("""COMPUTED_VALUE"""),3.162544201E9)</f>
        <v>3162544201</v>
      </c>
      <c r="M5954" s="17" t="str">
        <f>IFERROR(__xludf.DUMMYFUNCTION("""COMPUTED_VALUE"""),"#REF!")</f>
        <v>#REF!</v>
      </c>
      <c r="N5954" s="17"/>
      <c r="O5954" s="17"/>
      <c r="P5954" s="17" t="b">
        <f>IFERROR(__xludf.DUMMYFUNCTION("""COMPUTED_VALUE"""),TRUE)</f>
        <v>1</v>
      </c>
      <c r="Q5954" s="20">
        <f>IFERROR(__xludf.DUMMYFUNCTION("""COMPUTED_VALUE"""),45174.72945601852)</f>
        <v>45174.72946</v>
      </c>
      <c r="R5954" s="22" t="str">
        <f>IFERROR(__xludf.DUMMYFUNCTION("""COMPUTED_VALUE"""),"")</f>
        <v/>
      </c>
    </row>
    <row r="5955">
      <c r="A5955" s="15">
        <f>IFERROR(__xludf.DUMMYFUNCTION("""COMPUTED_VALUE"""),45174.0)</f>
        <v>45174</v>
      </c>
      <c r="B5955" s="17"/>
      <c r="C5955" s="15" t="str">
        <f>IFERROR(__xludf.DUMMYFUNCTION("""COMPUTED_VALUE"""),"MEDELLÍN")</f>
        <v>MEDELLÍN</v>
      </c>
      <c r="D5955" s="15" t="str">
        <f>IFERROR(__xludf.DUMMYFUNCTION("""COMPUTED_VALUE"""),"BOGOTÁ")</f>
        <v>BOGOTÁ</v>
      </c>
      <c r="E5955" s="15" t="str">
        <f>IFERROR(__xludf.DUMMYFUNCTION("""COMPUTED_VALUE"""),"Spirulina Fresca")</f>
        <v>Spirulina Fresca</v>
      </c>
      <c r="F5955" s="17" t="str">
        <f>IFERROR(__xludf.DUMMYFUNCTION("""COMPUTED_VALUE"""),"Carrera 30 #5F - 185 apto 609  / Edificio plaza manzanares / Poblado")</f>
        <v>Carrera 30 #5F - 185 apto 609  / Edificio plaza manzanares / Poblado</v>
      </c>
      <c r="G5955" s="15" t="str">
        <f>IFERROR(__xludf.DUMMYFUNCTION("""COMPUTED_VALUE"""),"Marta Grajales")</f>
        <v>Marta Grajales</v>
      </c>
      <c r="H5955" s="16">
        <f>IFERROR(__xludf.DUMMYFUNCTION("""COMPUTED_VALUE"""),14691.0)</f>
        <v>14691</v>
      </c>
      <c r="I5955" s="18">
        <f>IFERROR(__xludf.DUMMYFUNCTION("""COMPUTED_VALUE"""),15.0)</f>
        <v>15</v>
      </c>
      <c r="J5955" s="18">
        <f>IFERROR(__xludf.DUMMYFUNCTION("""COMPUTED_VALUE"""),10.0)</f>
        <v>10</v>
      </c>
      <c r="K5955" s="18">
        <f>IFERROR(__xludf.DUMMYFUNCTION("""COMPUTED_VALUE"""),15.0)</f>
        <v>15</v>
      </c>
      <c r="L5955" s="17">
        <f>IFERROR(__xludf.DUMMYFUNCTION("""COMPUTED_VALUE"""),3.10895785E9)</f>
        <v>3108957850</v>
      </c>
      <c r="M5955" s="17" t="str">
        <f>IFERROR(__xludf.DUMMYFUNCTION("""COMPUTED_VALUE"""),"#REF!")</f>
        <v>#REF!</v>
      </c>
      <c r="N5955" s="17"/>
      <c r="O5955" s="17"/>
      <c r="P5955" s="17" t="b">
        <f>IFERROR(__xludf.DUMMYFUNCTION("""COMPUTED_VALUE"""),TRUE)</f>
        <v>1</v>
      </c>
      <c r="Q5955" s="20">
        <f>IFERROR(__xludf.DUMMYFUNCTION("""COMPUTED_VALUE"""),45174.72945601852)</f>
        <v>45174.72946</v>
      </c>
      <c r="R5955" s="22" t="str">
        <f>IFERROR(__xludf.DUMMYFUNCTION("""COMPUTED_VALUE"""),"")</f>
        <v/>
      </c>
    </row>
    <row r="5956">
      <c r="A5956" s="15">
        <f>IFERROR(__xludf.DUMMYFUNCTION("""COMPUTED_VALUE"""),45174.0)</f>
        <v>45174</v>
      </c>
      <c r="B5956" s="17"/>
      <c r="C5956" s="15" t="str">
        <f>IFERROR(__xludf.DUMMYFUNCTION("""COMPUTED_VALUE"""),"MEDELLÍN")</f>
        <v>MEDELLÍN</v>
      </c>
      <c r="D5956" s="15" t="str">
        <f>IFERROR(__xludf.DUMMYFUNCTION("""COMPUTED_VALUE"""),"BOGOTÁ")</f>
        <v>BOGOTÁ</v>
      </c>
      <c r="E5956" s="15" t="str">
        <f>IFERROR(__xludf.DUMMYFUNCTION("""COMPUTED_VALUE"""),"Spirulina Fresca")</f>
        <v>Spirulina Fresca</v>
      </c>
      <c r="F5956" s="17" t="str">
        <f>IFERROR(__xludf.DUMMYFUNCTION("""COMPUTED_VALUE"""),"Diagonal 29 d#9a sur-150 / Casa 105 / Medellin")</f>
        <v>Diagonal 29 d#9a sur-150 / Casa 105 / Medellin</v>
      </c>
      <c r="G5956" s="15" t="str">
        <f>IFERROR(__xludf.DUMMYFUNCTION("""COMPUTED_VALUE"""),"Esteban Estarits")</f>
        <v>Esteban Estarits</v>
      </c>
      <c r="H5956" s="16">
        <f>IFERROR(__xludf.DUMMYFUNCTION("""COMPUTED_VALUE"""),14688.0)</f>
        <v>14688</v>
      </c>
      <c r="I5956" s="18">
        <f>IFERROR(__xludf.DUMMYFUNCTION("""COMPUTED_VALUE"""),15.0)</f>
        <v>15</v>
      </c>
      <c r="J5956" s="18">
        <f>IFERROR(__xludf.DUMMYFUNCTION("""COMPUTED_VALUE"""),5.0)</f>
        <v>5</v>
      </c>
      <c r="K5956" s="18">
        <f>IFERROR(__xludf.DUMMYFUNCTION("""COMPUTED_VALUE"""),15.0)</f>
        <v>15</v>
      </c>
      <c r="L5956" s="17">
        <f>IFERROR(__xludf.DUMMYFUNCTION("""COMPUTED_VALUE"""),3.015703767E9)</f>
        <v>3015703767</v>
      </c>
      <c r="M5956" s="17" t="str">
        <f>IFERROR(__xludf.DUMMYFUNCTION("""COMPUTED_VALUE"""),"#REF!")</f>
        <v>#REF!</v>
      </c>
      <c r="N5956" s="17"/>
      <c r="O5956" s="17"/>
      <c r="P5956" s="17" t="b">
        <f>IFERROR(__xludf.DUMMYFUNCTION("""COMPUTED_VALUE"""),FALSE)</f>
        <v>0</v>
      </c>
      <c r="Q5956" s="20" t="str">
        <f>IFERROR(__xludf.DUMMYFUNCTION("""COMPUTED_VALUE"""),"")</f>
        <v/>
      </c>
      <c r="R5956" s="21" t="str">
        <f>IFERROR(__xludf.DUMMYFUNCTION("""COMPUTED_VALUE"""),"https://drive.google.com/file/d/1emBDof7YWChoJlqSNdt3Ivq3_27gCtM3/view?usp=drivesdk")</f>
        <v>https://drive.google.com/file/d/1emBDof7YWChoJlqSNdt3Ivq3_27gCtM3/view?usp=drivesdk</v>
      </c>
    </row>
    <row r="5957">
      <c r="A5957" s="17" t="str">
        <f>IFERROR(__xludf.DUMMYFUNCTION("""COMPUTED_VALUE"""),"")</f>
        <v/>
      </c>
      <c r="B5957" s="17" t="str">
        <f>IFERROR(__xludf.DUMMYFUNCTION("""COMPUTED_VALUE"""),"")</f>
        <v/>
      </c>
      <c r="C5957" s="17" t="str">
        <f>IFERROR(__xludf.DUMMYFUNCTION("""COMPUTED_VALUE"""),"")</f>
        <v/>
      </c>
      <c r="D5957" s="17" t="str">
        <f>IFERROR(__xludf.DUMMYFUNCTION("""COMPUTED_VALUE"""),"")</f>
        <v/>
      </c>
      <c r="E5957" s="17" t="str">
        <f>IFERROR(__xludf.DUMMYFUNCTION("""COMPUTED_VALUE"""),"")</f>
        <v/>
      </c>
      <c r="F5957" s="17" t="str">
        <f>IFERROR(__xludf.DUMMYFUNCTION("""COMPUTED_VALUE"""),"")</f>
        <v/>
      </c>
      <c r="G5957" s="17" t="str">
        <f>IFERROR(__xludf.DUMMYFUNCTION("""COMPUTED_VALUE"""),"")</f>
        <v/>
      </c>
      <c r="H5957" s="17" t="str">
        <f>IFERROR(__xludf.DUMMYFUNCTION("""COMPUTED_VALUE"""),"")</f>
        <v/>
      </c>
      <c r="I5957" s="17" t="str">
        <f>IFERROR(__xludf.DUMMYFUNCTION("""COMPUTED_VALUE"""),"")</f>
        <v/>
      </c>
      <c r="J5957" s="17" t="str">
        <f>IFERROR(__xludf.DUMMYFUNCTION("""COMPUTED_VALUE"""),"")</f>
        <v/>
      </c>
      <c r="K5957" s="17" t="str">
        <f>IFERROR(__xludf.DUMMYFUNCTION("""COMPUTED_VALUE"""),"")</f>
        <v/>
      </c>
      <c r="L5957" s="17" t="str">
        <f>IFERROR(__xludf.DUMMYFUNCTION("""COMPUTED_VALUE"""),"")</f>
        <v/>
      </c>
      <c r="M5957" s="17" t="str">
        <f>IFERROR(__xludf.DUMMYFUNCTION("""COMPUTED_VALUE"""),"")</f>
        <v/>
      </c>
      <c r="N5957" s="17" t="str">
        <f>IFERROR(__xludf.DUMMYFUNCTION("""COMPUTED_VALUE"""),"")</f>
        <v/>
      </c>
      <c r="O5957" s="17" t="str">
        <f>IFERROR(__xludf.DUMMYFUNCTION("""COMPUTED_VALUE"""),"")</f>
        <v/>
      </c>
      <c r="P5957" s="17" t="str">
        <f>IFERROR(__xludf.DUMMYFUNCTION("""COMPUTED_VALUE"""),"")</f>
        <v/>
      </c>
      <c r="Q5957" s="17" t="str">
        <f>IFERROR(__xludf.DUMMYFUNCTION("""COMPUTED_VALUE"""),"")</f>
        <v/>
      </c>
      <c r="R5957" s="17" t="str">
        <f>IFERROR(__xludf.DUMMYFUNCTION("""COMPUTED_VALUE"""),"")</f>
        <v/>
      </c>
    </row>
    <row r="5958">
      <c r="A5958" s="15">
        <f>IFERROR(__xludf.DUMMYFUNCTION("""COMPUTED_VALUE"""),45174.0)</f>
        <v>45174</v>
      </c>
      <c r="B5958" s="16" t="str">
        <f>IFERROR(__xludf.DUMMYFUNCTION("""COMPUTED_VALUE"""),"Carlos Andres Pirachican Numpaque (Mayerli)")</f>
        <v>Carlos Andres Pirachican Numpaque (Mayerli)</v>
      </c>
      <c r="C5958" s="15" t="str">
        <f>IFERROR(__xludf.DUMMYFUNCTION("""COMPUTED_VALUE"""),"DUITAMA")</f>
        <v>DUITAMA</v>
      </c>
      <c r="D5958" s="15" t="str">
        <f>IFERROR(__xludf.DUMMYFUNCTION("""COMPUTED_VALUE"""),"BOGOTÁ")</f>
        <v>BOGOTÁ</v>
      </c>
      <c r="E5958" s="15" t="str">
        <f>IFERROR(__xludf.DUMMYFUNCTION("""COMPUTED_VALUE"""),"Evamazzita")</f>
        <v>Evamazzita</v>
      </c>
      <c r="F5958" s="17" t="str">
        <f>IFERROR(__xludf.DUMMYFUNCTION("""COMPUTED_VALUE"""),"CALLE 13 No. 17 - 48 / APTO 303 EL CARMEN")</f>
        <v>CALLE 13 No. 17 - 48 / APTO 303 EL CARMEN</v>
      </c>
      <c r="G5958" s="15" t="str">
        <f>IFERROR(__xludf.DUMMYFUNCTION("""COMPUTED_VALUE"""),"MARIA ELIZABETH LOZANO HERNANDEZ")</f>
        <v>MARIA ELIZABETH LOZANO HERNANDEZ</v>
      </c>
      <c r="H5958" s="16">
        <f>IFERROR(__xludf.DUMMYFUNCTION("""COMPUTED_VALUE"""),14742.0)</f>
        <v>14742</v>
      </c>
      <c r="I5958" s="18">
        <f>IFERROR(__xludf.DUMMYFUNCTION("""COMPUTED_VALUE"""),1.0)</f>
        <v>1</v>
      </c>
      <c r="J5958" s="18">
        <f>IFERROR(__xludf.DUMMYFUNCTION("""COMPUTED_VALUE"""),1.0)</f>
        <v>1</v>
      </c>
      <c r="K5958" s="18">
        <f>IFERROR(__xludf.DUMMYFUNCTION("""COMPUTED_VALUE"""),1.0)</f>
        <v>1</v>
      </c>
      <c r="L5958" s="17">
        <f>IFERROR(__xludf.DUMMYFUNCTION("""COMPUTED_VALUE"""),3.214637163E9)</f>
        <v>3214637163</v>
      </c>
      <c r="M5958" s="17" t="str">
        <f>IFERROR(__xludf.DUMMYFUNCTION("""COMPUTED_VALUE"""),"#REF!")</f>
        <v>#REF!</v>
      </c>
      <c r="N5958" s="17"/>
      <c r="O5958" s="17"/>
      <c r="P5958" s="17" t="b">
        <f>IFERROR(__xludf.DUMMYFUNCTION("""COMPUTED_VALUE"""),TRUE)</f>
        <v>1</v>
      </c>
      <c r="Q5958" s="20">
        <f>IFERROR(__xludf.DUMMYFUNCTION("""COMPUTED_VALUE"""),45174.72945601852)</f>
        <v>45174.72946</v>
      </c>
      <c r="R5958" s="22" t="str">
        <f>IFERROR(__xludf.DUMMYFUNCTION("""COMPUTED_VALUE"""),"")</f>
        <v/>
      </c>
    </row>
    <row r="5959">
      <c r="A5959" s="17" t="str">
        <f>IFERROR(__xludf.DUMMYFUNCTION("""COMPUTED_VALUE"""),"")</f>
        <v/>
      </c>
      <c r="B5959" s="17" t="str">
        <f>IFERROR(__xludf.DUMMYFUNCTION("""COMPUTED_VALUE"""),"")</f>
        <v/>
      </c>
      <c r="C5959" s="17" t="str">
        <f>IFERROR(__xludf.DUMMYFUNCTION("""COMPUTED_VALUE"""),"")</f>
        <v/>
      </c>
      <c r="D5959" s="17" t="str">
        <f>IFERROR(__xludf.DUMMYFUNCTION("""COMPUTED_VALUE"""),"")</f>
        <v/>
      </c>
      <c r="E5959" s="17" t="str">
        <f>IFERROR(__xludf.DUMMYFUNCTION("""COMPUTED_VALUE"""),"")</f>
        <v/>
      </c>
      <c r="F5959" s="17" t="str">
        <f>IFERROR(__xludf.DUMMYFUNCTION("""COMPUTED_VALUE"""),"")</f>
        <v/>
      </c>
      <c r="G5959" s="17" t="str">
        <f>IFERROR(__xludf.DUMMYFUNCTION("""COMPUTED_VALUE"""),"")</f>
        <v/>
      </c>
      <c r="H5959" s="17" t="str">
        <f>IFERROR(__xludf.DUMMYFUNCTION("""COMPUTED_VALUE"""),"")</f>
        <v/>
      </c>
      <c r="I5959" s="17" t="str">
        <f>IFERROR(__xludf.DUMMYFUNCTION("""COMPUTED_VALUE"""),"")</f>
        <v/>
      </c>
      <c r="J5959" s="17" t="str">
        <f>IFERROR(__xludf.DUMMYFUNCTION("""COMPUTED_VALUE"""),"")</f>
        <v/>
      </c>
      <c r="K5959" s="17" t="str">
        <f>IFERROR(__xludf.DUMMYFUNCTION("""COMPUTED_VALUE"""),"")</f>
        <v/>
      </c>
      <c r="L5959" s="17" t="str">
        <f>IFERROR(__xludf.DUMMYFUNCTION("""COMPUTED_VALUE"""),"")</f>
        <v/>
      </c>
      <c r="M5959" s="17" t="str">
        <f>IFERROR(__xludf.DUMMYFUNCTION("""COMPUTED_VALUE"""),"")</f>
        <v/>
      </c>
      <c r="N5959" s="17" t="str">
        <f>IFERROR(__xludf.DUMMYFUNCTION("""COMPUTED_VALUE"""),"")</f>
        <v/>
      </c>
      <c r="O5959" s="17" t="str">
        <f>IFERROR(__xludf.DUMMYFUNCTION("""COMPUTED_VALUE"""),"")</f>
        <v/>
      </c>
      <c r="P5959" s="17" t="str">
        <f>IFERROR(__xludf.DUMMYFUNCTION("""COMPUTED_VALUE"""),"")</f>
        <v/>
      </c>
      <c r="Q5959" s="17" t="str">
        <f>IFERROR(__xludf.DUMMYFUNCTION("""COMPUTED_VALUE"""),"")</f>
        <v/>
      </c>
      <c r="R5959" s="17" t="str">
        <f>IFERROR(__xludf.DUMMYFUNCTION("""COMPUTED_VALUE"""),"")</f>
        <v/>
      </c>
    </row>
    <row r="5960">
      <c r="A5960" s="15">
        <f>IFERROR(__xludf.DUMMYFUNCTION("""COMPUTED_VALUE"""),45174.0)</f>
        <v>45174</v>
      </c>
      <c r="B5960" s="16" t="str">
        <f>IFERROR(__xludf.DUMMYFUNCTION("""COMPUTED_VALUE"""),"Carlos Manuel Sosa")</f>
        <v>Carlos Manuel Sosa</v>
      </c>
      <c r="C5960" s="15" t="str">
        <f>IFERROR(__xludf.DUMMYFUNCTION("""COMPUTED_VALUE"""),"DUITAMA")</f>
        <v>DUITAMA</v>
      </c>
      <c r="D5960" s="15" t="str">
        <f>IFERROR(__xludf.DUMMYFUNCTION("""COMPUTED_VALUE"""),"BOGOTÁ")</f>
        <v>BOGOTÁ</v>
      </c>
      <c r="E5960" s="15" t="str">
        <f>IFERROR(__xludf.DUMMYFUNCTION("""COMPUTED_VALUE"""),"Evamazzita")</f>
        <v>Evamazzita</v>
      </c>
      <c r="F5960" s="17" t="str">
        <f>IFERROR(__xludf.DUMMYFUNCTION("""COMPUTED_VALUE"""),"Calle 13 # 27-60, / Apto. 506 Torre 2 Conjunto El Rincón de la Floresta Club")</f>
        <v>Calle 13 # 27-60, / Apto. 506 Torre 2 Conjunto El Rincón de la Floresta Club</v>
      </c>
      <c r="G5960" s="15" t="str">
        <f>IFERROR(__xludf.DUMMYFUNCTION("""COMPUTED_VALUE"""),"JOHELY LOPEZ ARENIZ")</f>
        <v>JOHELY LOPEZ ARENIZ</v>
      </c>
      <c r="H5960" s="16">
        <f>IFERROR(__xludf.DUMMYFUNCTION("""COMPUTED_VALUE"""),14740.0)</f>
        <v>14740</v>
      </c>
      <c r="I5960" s="18">
        <f>IFERROR(__xludf.DUMMYFUNCTION("""COMPUTED_VALUE"""),1.0)</f>
        <v>1</v>
      </c>
      <c r="J5960" s="18">
        <f>IFERROR(__xludf.DUMMYFUNCTION("""COMPUTED_VALUE"""),1.0)</f>
        <v>1</v>
      </c>
      <c r="K5960" s="18">
        <f>IFERROR(__xludf.DUMMYFUNCTION("""COMPUTED_VALUE"""),1.0)</f>
        <v>1</v>
      </c>
      <c r="L5960" s="17">
        <f>IFERROR(__xludf.DUMMYFUNCTION("""COMPUTED_VALUE"""),3.156555115E9)</f>
        <v>3156555115</v>
      </c>
      <c r="M5960" s="17" t="str">
        <f>IFERROR(__xludf.DUMMYFUNCTION("""COMPUTED_VALUE"""),"#REF!")</f>
        <v>#REF!</v>
      </c>
      <c r="N5960" s="17"/>
      <c r="O5960" s="17"/>
      <c r="P5960" s="17" t="b">
        <f>IFERROR(__xludf.DUMMYFUNCTION("""COMPUTED_VALUE"""),TRUE)</f>
        <v>1</v>
      </c>
      <c r="Q5960" s="20">
        <f>IFERROR(__xludf.DUMMYFUNCTION("""COMPUTED_VALUE"""),45175.62043887732)</f>
        <v>45175.62044</v>
      </c>
      <c r="R5960" s="22" t="str">
        <f>IFERROR(__xludf.DUMMYFUNCTION("""COMPUTED_VALUE"""),"")</f>
        <v/>
      </c>
    </row>
    <row r="5961">
      <c r="A5961" s="15">
        <f>IFERROR(__xludf.DUMMYFUNCTION("""COMPUTED_VALUE"""),45174.0)</f>
        <v>45174</v>
      </c>
      <c r="B5961" s="16" t="str">
        <f>IFERROR(__xludf.DUMMYFUNCTION("""COMPUTED_VALUE"""),"Carlos Manuel Sosa")</f>
        <v>Carlos Manuel Sosa</v>
      </c>
      <c r="C5961" s="15" t="str">
        <f>IFERROR(__xludf.DUMMYFUNCTION("""COMPUTED_VALUE"""),"MEDELLÍN")</f>
        <v>MEDELLÍN</v>
      </c>
      <c r="D5961" s="15" t="str">
        <f>IFERROR(__xludf.DUMMYFUNCTION("""COMPUTED_VALUE"""),"BOGOTÁ")</f>
        <v>BOGOTÁ</v>
      </c>
      <c r="E5961" s="15" t="str">
        <f>IFERROR(__xludf.DUMMYFUNCTION("""COMPUTED_VALUE"""),"Viiva Fermentados")</f>
        <v>Viiva Fermentados</v>
      </c>
      <c r="F5961" s="17" t="str">
        <f>IFERROR(__xludf.DUMMYFUNCTION("""COMPUTED_VALUE"""),"Transversal 39b#77-48 / int 302 / laureles")</f>
        <v>Transversal 39b#77-48 / int 302 / laureles</v>
      </c>
      <c r="G5961" s="15" t="str">
        <f>IFERROR(__xludf.DUMMYFUNCTION("""COMPUTED_VALUE"""),"VITA INTEGRAL SAS")</f>
        <v>VITA INTEGRAL SAS</v>
      </c>
      <c r="H5961" s="16">
        <f>IFERROR(__xludf.DUMMYFUNCTION("""COMPUTED_VALUE"""),14684.0)</f>
        <v>14684</v>
      </c>
      <c r="I5961" s="18">
        <f>IFERROR(__xludf.DUMMYFUNCTION("""COMPUTED_VALUE"""),24.0)</f>
        <v>24</v>
      </c>
      <c r="J5961" s="18">
        <f>IFERROR(__xludf.DUMMYFUNCTION("""COMPUTED_VALUE"""),39.0)</f>
        <v>39</v>
      </c>
      <c r="K5961" s="18">
        <f>IFERROR(__xludf.DUMMYFUNCTION("""COMPUTED_VALUE"""),27.0)</f>
        <v>27</v>
      </c>
      <c r="L5961" s="17">
        <f>IFERROR(__xludf.DUMMYFUNCTION("""COMPUTED_VALUE"""),3.188473468E9)</f>
        <v>3188473468</v>
      </c>
      <c r="M5961" s="17" t="str">
        <f>IFERROR(__xludf.DUMMYFUNCTION("""COMPUTED_VALUE"""),"#REF!")</f>
        <v>#REF!</v>
      </c>
      <c r="N5961" s="17"/>
      <c r="O5961" s="17"/>
      <c r="P5961" s="17" t="b">
        <f>IFERROR(__xludf.DUMMYFUNCTION("""COMPUTED_VALUE"""),FALSE)</f>
        <v>0</v>
      </c>
      <c r="Q5961" s="20" t="str">
        <f>IFERROR(__xludf.DUMMYFUNCTION("""COMPUTED_VALUE"""),"")</f>
        <v/>
      </c>
      <c r="R5961" s="21" t="str">
        <f>IFERROR(__xludf.DUMMYFUNCTION("""COMPUTED_VALUE"""),"https://drive.google.com/file/d/17uw57YjFf6etnkAte_c7jJYXqKoPFW4h/view?usp=drivesdk")</f>
        <v>https://drive.google.com/file/d/17uw57YjFf6etnkAte_c7jJYXqKoPFW4h/view?usp=drivesdk</v>
      </c>
    </row>
    <row r="5962">
      <c r="A5962" s="17" t="str">
        <f>IFERROR(__xludf.DUMMYFUNCTION("""COMPUTED_VALUE"""),"")</f>
        <v/>
      </c>
      <c r="B5962" s="17" t="str">
        <f>IFERROR(__xludf.DUMMYFUNCTION("""COMPUTED_VALUE"""),"")</f>
        <v/>
      </c>
      <c r="C5962" s="17" t="str">
        <f>IFERROR(__xludf.DUMMYFUNCTION("""COMPUTED_VALUE"""),"")</f>
        <v/>
      </c>
      <c r="D5962" s="17" t="str">
        <f>IFERROR(__xludf.DUMMYFUNCTION("""COMPUTED_VALUE"""),"")</f>
        <v/>
      </c>
      <c r="E5962" s="17" t="str">
        <f>IFERROR(__xludf.DUMMYFUNCTION("""COMPUTED_VALUE"""),"")</f>
        <v/>
      </c>
      <c r="F5962" s="17" t="str">
        <f>IFERROR(__xludf.DUMMYFUNCTION("""COMPUTED_VALUE"""),"")</f>
        <v/>
      </c>
      <c r="G5962" s="17" t="str">
        <f>IFERROR(__xludf.DUMMYFUNCTION("""COMPUTED_VALUE"""),"")</f>
        <v/>
      </c>
      <c r="H5962" s="17" t="str">
        <f>IFERROR(__xludf.DUMMYFUNCTION("""COMPUTED_VALUE"""),"")</f>
        <v/>
      </c>
      <c r="I5962" s="17" t="str">
        <f>IFERROR(__xludf.DUMMYFUNCTION("""COMPUTED_VALUE"""),"")</f>
        <v/>
      </c>
      <c r="J5962" s="17" t="str">
        <f>IFERROR(__xludf.DUMMYFUNCTION("""COMPUTED_VALUE"""),"")</f>
        <v/>
      </c>
      <c r="K5962" s="17" t="str">
        <f>IFERROR(__xludf.DUMMYFUNCTION("""COMPUTED_VALUE"""),"")</f>
        <v/>
      </c>
      <c r="L5962" s="17" t="str">
        <f>IFERROR(__xludf.DUMMYFUNCTION("""COMPUTED_VALUE"""),"")</f>
        <v/>
      </c>
      <c r="M5962" s="17" t="str">
        <f>IFERROR(__xludf.DUMMYFUNCTION("""COMPUTED_VALUE"""),"")</f>
        <v/>
      </c>
      <c r="N5962" s="17" t="str">
        <f>IFERROR(__xludf.DUMMYFUNCTION("""COMPUTED_VALUE"""),"")</f>
        <v/>
      </c>
      <c r="O5962" s="17" t="str">
        <f>IFERROR(__xludf.DUMMYFUNCTION("""COMPUTED_VALUE"""),"")</f>
        <v/>
      </c>
      <c r="P5962" s="17" t="str">
        <f>IFERROR(__xludf.DUMMYFUNCTION("""COMPUTED_VALUE"""),"")</f>
        <v/>
      </c>
      <c r="Q5962" s="17" t="str">
        <f>IFERROR(__xludf.DUMMYFUNCTION("""COMPUTED_VALUE"""),"")</f>
        <v/>
      </c>
      <c r="R5962" s="17" t="str">
        <f>IFERROR(__xludf.DUMMYFUNCTION("""COMPUTED_VALUE"""),"")</f>
        <v/>
      </c>
    </row>
    <row r="5963">
      <c r="A5963" s="15">
        <f>IFERROR(__xludf.DUMMYFUNCTION("""COMPUTED_VALUE"""),45174.0)</f>
        <v>45174</v>
      </c>
      <c r="B5963" s="16" t="str">
        <f>IFERROR(__xludf.DUMMYFUNCTION("""COMPUTED_VALUE"""),"Deivi Alejandro Quintero Corrales")</f>
        <v>Deivi Alejandro Quintero Corrales</v>
      </c>
      <c r="C5963" s="15" t="str">
        <f>IFERROR(__xludf.DUMMYFUNCTION("""COMPUTED_VALUE"""),"ARMENIA")</f>
        <v>ARMENIA</v>
      </c>
      <c r="D5963" s="15" t="str">
        <f>IFERROR(__xludf.DUMMYFUNCTION("""COMPUTED_VALUE"""),"MEDELLÍN")</f>
        <v>MEDELLÍN</v>
      </c>
      <c r="E5963" s="15" t="str">
        <f>IFERROR(__xludf.DUMMYFUNCTION("""COMPUTED_VALUE"""),"Puro Verde")</f>
        <v>Puro Verde</v>
      </c>
      <c r="F5963" s="17" t="str">
        <f>IFERROR(__xludf.DUMMYFUNCTION("""COMPUTED_VALUE"""),"CRA 10 # 11 N - 05.  / APTO 405. TORRE 1. CONJ RESIDENCIAL TERRA.  / BARRIO LA CASTELLANA")</f>
        <v>CRA 10 # 11 N - 05.  / APTO 405. TORRE 1. CONJ RESIDENCIAL TERRA.  / BARRIO LA CASTELLANA</v>
      </c>
      <c r="G5963" s="15" t="str">
        <f>IFERROR(__xludf.DUMMYFUNCTION("""COMPUTED_VALUE"""),"CLAUDIA VILLAMIZAR")</f>
        <v>CLAUDIA VILLAMIZAR</v>
      </c>
      <c r="H5963" s="16">
        <f>IFERROR(__xludf.DUMMYFUNCTION("""COMPUTED_VALUE"""),14701.0)</f>
        <v>14701</v>
      </c>
      <c r="I5963" s="18">
        <f>IFERROR(__xludf.DUMMYFUNCTION("""COMPUTED_VALUE"""),45034.0)</f>
        <v>45034</v>
      </c>
      <c r="J5963" s="18" t="str">
        <f>IFERROR(__xludf.DUMMYFUNCTION("""COMPUTED_VALUE"""),"32.2")</f>
        <v>32.2</v>
      </c>
      <c r="K5963" s="18" t="str">
        <f>IFERROR(__xludf.DUMMYFUNCTION("""COMPUTED_VALUE"""),"39.4")</f>
        <v>39.4</v>
      </c>
      <c r="L5963" s="17">
        <f>IFERROR(__xludf.DUMMYFUNCTION("""COMPUTED_VALUE"""),3.225175611E9)</f>
        <v>3225175611</v>
      </c>
      <c r="M5963" s="17" t="str">
        <f>IFERROR(__xludf.DUMMYFUNCTION("""COMPUTED_VALUE"""),"#REF!")</f>
        <v>#REF!</v>
      </c>
      <c r="N5963" s="17"/>
      <c r="O5963" s="17"/>
      <c r="P5963" s="17" t="b">
        <f>IFERROR(__xludf.DUMMYFUNCTION("""COMPUTED_VALUE"""),TRUE)</f>
        <v>1</v>
      </c>
      <c r="Q5963" s="20">
        <f>IFERROR(__xludf.DUMMYFUNCTION("""COMPUTED_VALUE"""),45174.72945601852)</f>
        <v>45174.72946</v>
      </c>
      <c r="R5963" s="21" t="str">
        <f>IFERROR(__xludf.DUMMYFUNCTION("""COMPUTED_VALUE"""),"https://drive.google.com/file/d/1AYw09l8pLuRU9h5LFElf4OR0C73TFe-r/view?usp=drivesdk")</f>
        <v>https://drive.google.com/file/d/1AYw09l8pLuRU9h5LFElf4OR0C73TFe-r/view?usp=drivesdk</v>
      </c>
    </row>
    <row r="5964">
      <c r="A5964" s="15">
        <f>IFERROR(__xludf.DUMMYFUNCTION("""COMPUTED_VALUE"""),45174.0)</f>
        <v>45174</v>
      </c>
      <c r="B5964" s="16" t="str">
        <f>IFERROR(__xludf.DUMMYFUNCTION("""COMPUTED_VALUE"""),"Deivi Alejandro Quintero Corrales")</f>
        <v>Deivi Alejandro Quintero Corrales</v>
      </c>
      <c r="C5964" s="15" t="str">
        <f>IFERROR(__xludf.DUMMYFUNCTION("""COMPUTED_VALUE"""),"ARMENIA")</f>
        <v>ARMENIA</v>
      </c>
      <c r="D5964" s="15" t="str">
        <f>IFERROR(__xludf.DUMMYFUNCTION("""COMPUTED_VALUE"""),"MEDELLÍN")</f>
        <v>MEDELLÍN</v>
      </c>
      <c r="E5964" s="15" t="str">
        <f>IFERROR(__xludf.DUMMYFUNCTION("""COMPUTED_VALUE"""),"TOLEDALES S.A.S")</f>
        <v>TOLEDALES S.A.S</v>
      </c>
      <c r="F5964" s="17" t="str">
        <f>IFERROR(__xludf.DUMMYFUNCTION("""COMPUTED_VALUE"""),"Cra 14 # 46 norte -41 mall zona de oro")</f>
        <v>Cra 14 # 46 norte -41 mall zona de oro</v>
      </c>
      <c r="G5964" s="15" t="str">
        <f>IFERROR(__xludf.DUMMYFUNCTION("""COMPUTED_VALUE"""),"paola andrea gomez")</f>
        <v>paola andrea gomez</v>
      </c>
      <c r="H5964" s="16">
        <f>IFERROR(__xludf.DUMMYFUNCTION("""COMPUTED_VALUE"""),14663.0)</f>
        <v>14663</v>
      </c>
      <c r="I5964" s="18">
        <f>IFERROR(__xludf.DUMMYFUNCTION("""COMPUTED_VALUE"""),22.0)</f>
        <v>22</v>
      </c>
      <c r="J5964" s="18">
        <f>IFERROR(__xludf.DUMMYFUNCTION("""COMPUTED_VALUE"""),31.0)</f>
        <v>31</v>
      </c>
      <c r="K5964" s="18">
        <f>IFERROR(__xludf.DUMMYFUNCTION("""COMPUTED_VALUE"""),19.0)</f>
        <v>19</v>
      </c>
      <c r="L5964" s="17">
        <f>IFERROR(__xludf.DUMMYFUNCTION("""COMPUTED_VALUE"""),3.003222972E9)</f>
        <v>3003222972</v>
      </c>
      <c r="M5964" s="17" t="str">
        <f>IFERROR(__xludf.DUMMYFUNCTION("""COMPUTED_VALUE"""),"#REF!")</f>
        <v>#REF!</v>
      </c>
      <c r="N5964" s="17"/>
      <c r="O5964" s="17"/>
      <c r="P5964" s="17" t="b">
        <f>IFERROR(__xludf.DUMMYFUNCTION("""COMPUTED_VALUE"""),TRUE)</f>
        <v>1</v>
      </c>
      <c r="Q5964" s="20">
        <f>IFERROR(__xludf.DUMMYFUNCTION("""COMPUTED_VALUE"""),45174.72945601852)</f>
        <v>45174.72946</v>
      </c>
      <c r="R5964" s="21" t="str">
        <f>IFERROR(__xludf.DUMMYFUNCTION("""COMPUTED_VALUE"""),"https://drive.google.com/file/d/1FcWpvUFfz9i97R4GIa45MVGbMtozoIcJ/view?usp=drivesdk")</f>
        <v>https://drive.google.com/file/d/1FcWpvUFfz9i97R4GIa45MVGbMtozoIcJ/view?usp=drivesdk</v>
      </c>
    </row>
    <row r="5965">
      <c r="A5965" s="15">
        <f>IFERROR(__xludf.DUMMYFUNCTION("""COMPUTED_VALUE"""),45174.0)</f>
        <v>45174</v>
      </c>
      <c r="B5965" s="16" t="str">
        <f>IFERROR(__xludf.DUMMYFUNCTION("""COMPUTED_VALUE"""),"Deivi Alejandro Quintero Corrales")</f>
        <v>Deivi Alejandro Quintero Corrales</v>
      </c>
      <c r="C5965" s="15" t="str">
        <f>IFERROR(__xludf.DUMMYFUNCTION("""COMPUTED_VALUE"""),"PEREIRA")</f>
        <v>PEREIRA</v>
      </c>
      <c r="D5965" s="15" t="str">
        <f>IFERROR(__xludf.DUMMYFUNCTION("""COMPUTED_VALUE"""),"BOGOTÁ")</f>
        <v>BOGOTÁ</v>
      </c>
      <c r="E5965" s="15" t="str">
        <f>IFERROR(__xludf.DUMMYFUNCTION("""COMPUTED_VALUE"""),"Pan de Waffle")</f>
        <v>Pan de Waffle</v>
      </c>
      <c r="F5965" s="17" t="str">
        <f>IFERROR(__xludf.DUMMYFUNCTION("""COMPUTED_VALUE"""),"Av. De las Americas Mercasa, zp 17 Bodega 2 - Pereira / Av. De las Americas Mercasa, zp 17 Bodega 2 - Pereira / Av. De las Americas Mercasa, zp 17 Bodega 2 - Pereira")</f>
        <v>Av. De las Americas Mercasa, zp 17 Bodega 2 - Pereira / Av. De las Americas Mercasa, zp 17 Bodega 2 - Pereira / Av. De las Americas Mercasa, zp 17 Bodega 2 - Pereira</v>
      </c>
      <c r="G5965" s="15" t="str">
        <f>IFERROR(__xludf.DUMMYFUNCTION("""COMPUTED_VALUE"""),"EL ORIGEN")</f>
        <v>EL ORIGEN</v>
      </c>
      <c r="H5965" s="16">
        <f>IFERROR(__xludf.DUMMYFUNCTION("""COMPUTED_VALUE"""),14730.0)</f>
        <v>14730</v>
      </c>
      <c r="I5965" s="18">
        <f>IFERROR(__xludf.DUMMYFUNCTION("""COMPUTED_VALUE"""),40.0)</f>
        <v>40</v>
      </c>
      <c r="J5965" s="18">
        <f>IFERROR(__xludf.DUMMYFUNCTION("""COMPUTED_VALUE"""),30.0)</f>
        <v>30</v>
      </c>
      <c r="K5965" s="18">
        <f>IFERROR(__xludf.DUMMYFUNCTION("""COMPUTED_VALUE"""),30.0)</f>
        <v>30</v>
      </c>
      <c r="L5965" s="17">
        <f>IFERROR(__xludf.DUMMYFUNCTION("""COMPUTED_VALUE"""),3.184341572E9)</f>
        <v>3184341572</v>
      </c>
      <c r="M5965" s="17" t="str">
        <f>IFERROR(__xludf.DUMMYFUNCTION("""COMPUTED_VALUE"""),"#REF!")</f>
        <v>#REF!</v>
      </c>
      <c r="N5965" s="17"/>
      <c r="O5965" s="17"/>
      <c r="P5965" s="17" t="b">
        <f>IFERROR(__xludf.DUMMYFUNCTION("""COMPUTED_VALUE"""),FALSE)</f>
        <v>0</v>
      </c>
      <c r="Q5965" s="20" t="str">
        <f>IFERROR(__xludf.DUMMYFUNCTION("""COMPUTED_VALUE"""),"")</f>
        <v/>
      </c>
      <c r="R5965" s="22" t="str">
        <f>IFERROR(__xludf.DUMMYFUNCTION("""COMPUTED_VALUE"""),"")</f>
        <v/>
      </c>
    </row>
    <row r="5966">
      <c r="A5966" s="15">
        <f>IFERROR(__xludf.DUMMYFUNCTION("""COMPUTED_VALUE"""),45174.0)</f>
        <v>45174</v>
      </c>
      <c r="B5966" s="16" t="str">
        <f>IFERROR(__xludf.DUMMYFUNCTION("""COMPUTED_VALUE"""),"Deivi Alejandro Quintero Corrales")</f>
        <v>Deivi Alejandro Quintero Corrales</v>
      </c>
      <c r="C5966" s="15" t="str">
        <f>IFERROR(__xludf.DUMMYFUNCTION("""COMPUTED_VALUE"""),"PEREIRA")</f>
        <v>PEREIRA</v>
      </c>
      <c r="D5966" s="15" t="str">
        <f>IFERROR(__xludf.DUMMYFUNCTION("""COMPUTED_VALUE"""),"BOGOTÁ")</f>
        <v>BOGOTÁ</v>
      </c>
      <c r="E5966" s="15" t="str">
        <f>IFERROR(__xludf.DUMMYFUNCTION("""COMPUTED_VALUE"""),"Pan de Waffle")</f>
        <v>Pan de Waffle</v>
      </c>
      <c r="F5966" s="17" t="str">
        <f>IFERROR(__xludf.DUMMYFUNCTION("""COMPUTED_VALUE"""),"Carrera 14 # 12 - 55 / Carrera 14 # 12 - 55 / Carrera 14 # 12 - 55")</f>
        <v>Carrera 14 # 12 - 55 / Carrera 14 # 12 - 55 / Carrera 14 # 12 - 55</v>
      </c>
      <c r="G5966" s="15" t="str">
        <f>IFERROR(__xludf.DUMMYFUNCTION("""COMPUTED_VALUE"""),"VITA ECO")</f>
        <v>VITA ECO</v>
      </c>
      <c r="H5966" s="16">
        <f>IFERROR(__xludf.DUMMYFUNCTION("""COMPUTED_VALUE"""),14733.0)</f>
        <v>14733</v>
      </c>
      <c r="I5966" s="18">
        <f>IFERROR(__xludf.DUMMYFUNCTION("""COMPUTED_VALUE"""),40.0)</f>
        <v>40</v>
      </c>
      <c r="J5966" s="18">
        <f>IFERROR(__xludf.DUMMYFUNCTION("""COMPUTED_VALUE"""),30.0)</f>
        <v>30</v>
      </c>
      <c r="K5966" s="18">
        <f>IFERROR(__xludf.DUMMYFUNCTION("""COMPUTED_VALUE"""),40.0)</f>
        <v>40</v>
      </c>
      <c r="L5966" s="17">
        <f>IFERROR(__xludf.DUMMYFUNCTION("""COMPUTED_VALUE"""),3.215501948E9)</f>
        <v>3215501948</v>
      </c>
      <c r="M5966" s="17" t="str">
        <f>IFERROR(__xludf.DUMMYFUNCTION("""COMPUTED_VALUE"""),"#REF!")</f>
        <v>#REF!</v>
      </c>
      <c r="N5966" s="17"/>
      <c r="O5966" s="17"/>
      <c r="P5966" s="17" t="b">
        <f>IFERROR(__xludf.DUMMYFUNCTION("""COMPUTED_VALUE"""),TRUE)</f>
        <v>1</v>
      </c>
      <c r="Q5966" s="20">
        <f>IFERROR(__xludf.DUMMYFUNCTION("""COMPUTED_VALUE"""),45174.72945601852)</f>
        <v>45174.72946</v>
      </c>
      <c r="R5966" s="22" t="str">
        <f>IFERROR(__xludf.DUMMYFUNCTION("""COMPUTED_VALUE"""),"")</f>
        <v/>
      </c>
    </row>
    <row r="5967">
      <c r="A5967" s="15">
        <f>IFERROR(__xludf.DUMMYFUNCTION("""COMPUTED_VALUE"""),45174.0)</f>
        <v>45174</v>
      </c>
      <c r="B5967" s="16" t="str">
        <f>IFERROR(__xludf.DUMMYFUNCTION("""COMPUTED_VALUE"""),"Deivi Alejandro Quintero Corrales")</f>
        <v>Deivi Alejandro Quintero Corrales</v>
      </c>
      <c r="C5967" s="15" t="str">
        <f>IFERROR(__xludf.DUMMYFUNCTION("""COMPUTED_VALUE"""),"PEREIRA")</f>
        <v>PEREIRA</v>
      </c>
      <c r="D5967" s="15" t="str">
        <f>IFERROR(__xludf.DUMMYFUNCTION("""COMPUTED_VALUE"""),"MEDELLÍN")</f>
        <v>MEDELLÍN</v>
      </c>
      <c r="E5967" s="15" t="str">
        <f>IFERROR(__xludf.DUMMYFUNCTION("""COMPUTED_VALUE"""),"Goyo Todo por ellos")</f>
        <v>Goyo Todo por ellos</v>
      </c>
      <c r="F5967" s="17" t="str">
        <f>IFERROR(__xludf.DUMMYFUNCTION("""COMPUTED_VALUE"""),"Calle 12 Bis #16 18 / Casa Hoja Comunidad Consciente  / Barrio Pinares")</f>
        <v>Calle 12 Bis #16 18 / Casa Hoja Comunidad Consciente  / Barrio Pinares</v>
      </c>
      <c r="G5967" s="15" t="str">
        <f>IFERROR(__xludf.DUMMYFUNCTION("""COMPUTED_VALUE"""),"Hector Hernandez")</f>
        <v>Hector Hernandez</v>
      </c>
      <c r="H5967" s="16">
        <f>IFERROR(__xludf.DUMMYFUNCTION("""COMPUTED_VALUE"""),14716.0)</f>
        <v>14716</v>
      </c>
      <c r="I5967" s="18">
        <f>IFERROR(__xludf.DUMMYFUNCTION("""COMPUTED_VALUE"""),16.0)</f>
        <v>16</v>
      </c>
      <c r="J5967" s="18">
        <f>IFERROR(__xludf.DUMMYFUNCTION("""COMPUTED_VALUE"""),26.0)</f>
        <v>26</v>
      </c>
      <c r="K5967" s="18">
        <f>IFERROR(__xludf.DUMMYFUNCTION("""COMPUTED_VALUE"""),26.0)</f>
        <v>26</v>
      </c>
      <c r="L5967" s="17">
        <f>IFERROR(__xludf.DUMMYFUNCTION("""COMPUTED_VALUE"""),3.18591145E9)</f>
        <v>3185911450</v>
      </c>
      <c r="M5967" s="17" t="str">
        <f>IFERROR(__xludf.DUMMYFUNCTION("""COMPUTED_VALUE"""),"#REF!")</f>
        <v>#REF!</v>
      </c>
      <c r="N5967" s="17"/>
      <c r="O5967" s="17"/>
      <c r="P5967" s="17" t="b">
        <f>IFERROR(__xludf.DUMMYFUNCTION("""COMPUTED_VALUE"""),TRUE)</f>
        <v>1</v>
      </c>
      <c r="Q5967" s="20">
        <f>IFERROR(__xludf.DUMMYFUNCTION("""COMPUTED_VALUE"""),45174.729456030094)</f>
        <v>45174.72946</v>
      </c>
      <c r="R5967" s="21" t="str">
        <f>IFERROR(__xludf.DUMMYFUNCTION("""COMPUTED_VALUE"""),"https://drive.google.com/file/d/1qzEm93HzGJjdXK7XBVa3i3klwryTiw0H/view?usp=drivesdk")</f>
        <v>https://drive.google.com/file/d/1qzEm93HzGJjdXK7XBVa3i3klwryTiw0H/view?usp=drivesdk</v>
      </c>
    </row>
    <row r="5968">
      <c r="A5968" s="17" t="str">
        <f>IFERROR(__xludf.DUMMYFUNCTION("""COMPUTED_VALUE"""),"")</f>
        <v/>
      </c>
      <c r="B5968" s="17" t="str">
        <f>IFERROR(__xludf.DUMMYFUNCTION("""COMPUTED_VALUE"""),"")</f>
        <v/>
      </c>
      <c r="C5968" s="17" t="str">
        <f>IFERROR(__xludf.DUMMYFUNCTION("""COMPUTED_VALUE"""),"")</f>
        <v/>
      </c>
      <c r="D5968" s="17" t="str">
        <f>IFERROR(__xludf.DUMMYFUNCTION("""COMPUTED_VALUE"""),"")</f>
        <v/>
      </c>
      <c r="E5968" s="17" t="str">
        <f>IFERROR(__xludf.DUMMYFUNCTION("""COMPUTED_VALUE"""),"")</f>
        <v/>
      </c>
      <c r="F5968" s="17" t="str">
        <f>IFERROR(__xludf.DUMMYFUNCTION("""COMPUTED_VALUE"""),"")</f>
        <v/>
      </c>
      <c r="G5968" s="17" t="str">
        <f>IFERROR(__xludf.DUMMYFUNCTION("""COMPUTED_VALUE"""),"")</f>
        <v/>
      </c>
      <c r="H5968" s="17" t="str">
        <f>IFERROR(__xludf.DUMMYFUNCTION("""COMPUTED_VALUE"""),"")</f>
        <v/>
      </c>
      <c r="I5968" s="17" t="str">
        <f>IFERROR(__xludf.DUMMYFUNCTION("""COMPUTED_VALUE"""),"")</f>
        <v/>
      </c>
      <c r="J5968" s="17" t="str">
        <f>IFERROR(__xludf.DUMMYFUNCTION("""COMPUTED_VALUE"""),"")</f>
        <v/>
      </c>
      <c r="K5968" s="17" t="str">
        <f>IFERROR(__xludf.DUMMYFUNCTION("""COMPUTED_VALUE"""),"")</f>
        <v/>
      </c>
      <c r="L5968" s="17" t="str">
        <f>IFERROR(__xludf.DUMMYFUNCTION("""COMPUTED_VALUE"""),"")</f>
        <v/>
      </c>
      <c r="M5968" s="17" t="str">
        <f>IFERROR(__xludf.DUMMYFUNCTION("""COMPUTED_VALUE"""),"")</f>
        <v/>
      </c>
      <c r="N5968" s="17" t="str">
        <f>IFERROR(__xludf.DUMMYFUNCTION("""COMPUTED_VALUE"""),"")</f>
        <v/>
      </c>
      <c r="O5968" s="17" t="str">
        <f>IFERROR(__xludf.DUMMYFUNCTION("""COMPUTED_VALUE"""),"")</f>
        <v/>
      </c>
      <c r="P5968" s="17" t="str">
        <f>IFERROR(__xludf.DUMMYFUNCTION("""COMPUTED_VALUE"""),"")</f>
        <v/>
      </c>
      <c r="Q5968" s="17" t="str">
        <f>IFERROR(__xludf.DUMMYFUNCTION("""COMPUTED_VALUE"""),"")</f>
        <v/>
      </c>
      <c r="R5968" s="17" t="str">
        <f>IFERROR(__xludf.DUMMYFUNCTION("""COMPUTED_VALUE"""),"")</f>
        <v/>
      </c>
    </row>
    <row r="5969">
      <c r="A5969" s="15">
        <f>IFERROR(__xludf.DUMMYFUNCTION("""COMPUTED_VALUE"""),45174.0)</f>
        <v>45174</v>
      </c>
      <c r="B5969" s="16" t="str">
        <f>IFERROR(__xludf.DUMMYFUNCTION("""COMPUTED_VALUE"""),"Duvan Gabriel Alvarez Giron")</f>
        <v>Duvan Gabriel Alvarez Giron</v>
      </c>
      <c r="C5969" s="15" t="str">
        <f>IFERROR(__xludf.DUMMYFUNCTION("""COMPUTED_VALUE"""),"IBAGUE")</f>
        <v>IBAGUE</v>
      </c>
      <c r="D5969" s="15" t="str">
        <f>IFERROR(__xludf.DUMMYFUNCTION("""COMPUTED_VALUE"""),"BOGOTÁ")</f>
        <v>BOGOTÁ</v>
      </c>
      <c r="E5969" s="15" t="str">
        <f>IFERROR(__xludf.DUMMYFUNCTION("""COMPUTED_VALUE"""),"Evamazzita")</f>
        <v>Evamazzita</v>
      </c>
      <c r="F5969" s="17" t="str">
        <f>IFERROR(__xludf.DUMMYFUNCTION("""COMPUTED_VALUE"""),"Conjunto Iwoka Torre 2 apto 1007 / preguntar por Lucero Mera por favor")</f>
        <v>Conjunto Iwoka Torre 2 apto 1007 / preguntar por Lucero Mera por favor</v>
      </c>
      <c r="G5969" s="15" t="str">
        <f>IFERROR(__xludf.DUMMYFUNCTION("""COMPUTED_VALUE"""),"DIANA PATRICIA PEÑA MERA")</f>
        <v>DIANA PATRICIA PEÑA MERA</v>
      </c>
      <c r="H5969" s="16">
        <f>IFERROR(__xludf.DUMMYFUNCTION("""COMPUTED_VALUE"""),14743.0)</f>
        <v>14743</v>
      </c>
      <c r="I5969" s="18">
        <f>IFERROR(__xludf.DUMMYFUNCTION("""COMPUTED_VALUE"""),1.0)</f>
        <v>1</v>
      </c>
      <c r="J5969" s="18">
        <f>IFERROR(__xludf.DUMMYFUNCTION("""COMPUTED_VALUE"""),1.0)</f>
        <v>1</v>
      </c>
      <c r="K5969" s="18">
        <f>IFERROR(__xludf.DUMMYFUNCTION("""COMPUTED_VALUE"""),1.0)</f>
        <v>1</v>
      </c>
      <c r="L5969" s="17">
        <f>IFERROR(__xludf.DUMMYFUNCTION("""COMPUTED_VALUE"""),3.184470133E9)</f>
        <v>3184470133</v>
      </c>
      <c r="M5969" s="17" t="str">
        <f>IFERROR(__xludf.DUMMYFUNCTION("""COMPUTED_VALUE"""),"#REF!")</f>
        <v>#REF!</v>
      </c>
      <c r="N5969" s="17"/>
      <c r="O5969" s="17"/>
      <c r="P5969" s="17" t="b">
        <f>IFERROR(__xludf.DUMMYFUNCTION("""COMPUTED_VALUE"""),FALSE)</f>
        <v>0</v>
      </c>
      <c r="Q5969" s="20" t="str">
        <f>IFERROR(__xludf.DUMMYFUNCTION("""COMPUTED_VALUE"""),"")</f>
        <v/>
      </c>
      <c r="R5969" s="21" t="str">
        <f>IFERROR(__xludf.DUMMYFUNCTION("""COMPUTED_VALUE"""),"https://drive.google.com/file/d/1kEW7HaiiB6gzOKux3mpcG8_CK7AP3ltb/view?usp=drivesdk")</f>
        <v>https://drive.google.com/file/d/1kEW7HaiiB6gzOKux3mpcG8_CK7AP3ltb/view?usp=drivesdk</v>
      </c>
    </row>
    <row r="5970">
      <c r="A5970" s="15">
        <f>IFERROR(__xludf.DUMMYFUNCTION("""COMPUTED_VALUE"""),45174.0)</f>
        <v>45174</v>
      </c>
      <c r="B5970" s="16" t="str">
        <f>IFERROR(__xludf.DUMMYFUNCTION("""COMPUTED_VALUE"""),"Duvan Gabriel Alvarez Giron")</f>
        <v>Duvan Gabriel Alvarez Giron</v>
      </c>
      <c r="C5970" s="15" t="str">
        <f>IFERROR(__xludf.DUMMYFUNCTION("""COMPUTED_VALUE"""),"IBAGUÉ")</f>
        <v>IBAGUÉ</v>
      </c>
      <c r="D5970" s="15" t="str">
        <f>IFERROR(__xludf.DUMMYFUNCTION("""COMPUTED_VALUE"""),"BOGOTÁ")</f>
        <v>BOGOTÁ</v>
      </c>
      <c r="E5970" s="15" t="str">
        <f>IFERROR(__xludf.DUMMYFUNCTION("""COMPUTED_VALUE"""),"Frambascolombia sas")</f>
        <v>Frambascolombia sas</v>
      </c>
      <c r="F5970" s="17" t="str">
        <f>IFERROR(__xludf.DUMMYFUNCTION("""COMPUTED_VALUE"""),"CR 16 Sur # 96-48 / local 2")</f>
        <v>CR 16 Sur # 96-48 / local 2</v>
      </c>
      <c r="G5970" s="15" t="str">
        <f>IFERROR(__xludf.DUMMYFUNCTION("""COMPUTED_VALUE"""),"EQUILIBRIO SANA NUTRICION")</f>
        <v>EQUILIBRIO SANA NUTRICION</v>
      </c>
      <c r="H5970" s="16">
        <f>IFERROR(__xludf.DUMMYFUNCTION("""COMPUTED_VALUE"""),14768.0)</f>
        <v>14768</v>
      </c>
      <c r="I5970" s="18">
        <f>IFERROR(__xludf.DUMMYFUNCTION("""COMPUTED_VALUE"""),45057.0)</f>
        <v>45057</v>
      </c>
      <c r="J5970" s="18">
        <f>IFERROR(__xludf.DUMMYFUNCTION("""COMPUTED_VALUE"""),10.0)</f>
        <v>10</v>
      </c>
      <c r="K5970" s="18">
        <f>IFERROR(__xludf.DUMMYFUNCTION("""COMPUTED_VALUE"""),10.0)</f>
        <v>10</v>
      </c>
      <c r="L5970" s="17">
        <f>IFERROR(__xludf.DUMMYFUNCTION("""COMPUTED_VALUE"""),3.116192364E9)</f>
        <v>3116192364</v>
      </c>
      <c r="M5970" s="17" t="str">
        <f>IFERROR(__xludf.DUMMYFUNCTION("""COMPUTED_VALUE"""),"#REF!")</f>
        <v>#REF!</v>
      </c>
      <c r="N5970" s="17"/>
      <c r="O5970" s="17"/>
      <c r="P5970" s="17" t="b">
        <f>IFERROR(__xludf.DUMMYFUNCTION("""COMPUTED_VALUE"""),TRUE)</f>
        <v>1</v>
      </c>
      <c r="Q5970" s="20">
        <f>IFERROR(__xludf.DUMMYFUNCTION("""COMPUTED_VALUE"""),45174.729456030094)</f>
        <v>45174.72946</v>
      </c>
      <c r="R5970" s="21" t="str">
        <f>IFERROR(__xludf.DUMMYFUNCTION("""COMPUTED_VALUE"""),"https://drive.google.com/file/d/1JGiBLIGeSDf0haCwR2fK1rphPTCda7sp/view?usp=drivesdk")</f>
        <v>https://drive.google.com/file/d/1JGiBLIGeSDf0haCwR2fK1rphPTCda7sp/view?usp=drivesdk</v>
      </c>
    </row>
    <row r="5971">
      <c r="A5971" s="15">
        <f>IFERROR(__xludf.DUMMYFUNCTION("""COMPUTED_VALUE"""),45174.0)</f>
        <v>45174</v>
      </c>
      <c r="B5971" s="16" t="str">
        <f>IFERROR(__xludf.DUMMYFUNCTION("""COMPUTED_VALUE"""),"Duvan Gabriel Alvarez Giron")</f>
        <v>Duvan Gabriel Alvarez Giron</v>
      </c>
      <c r="C5971" s="15" t="str">
        <f>IFERROR(__xludf.DUMMYFUNCTION("""COMPUTED_VALUE"""),"IBAGUÉ")</f>
        <v>IBAGUÉ</v>
      </c>
      <c r="D5971" s="15" t="str">
        <f>IFERROR(__xludf.DUMMYFUNCTION("""COMPUTED_VALUE"""),"BOGOTÁ")</f>
        <v>BOGOTÁ</v>
      </c>
      <c r="E5971" s="15" t="str">
        <f>IFERROR(__xludf.DUMMYFUNCTION("""COMPUTED_VALUE"""),"Pan de Waffle")</f>
        <v>Pan de Waffle</v>
      </c>
      <c r="F5971" s="17" t="str">
        <f>IFERROR(__xludf.DUMMYFUNCTION("""COMPUTED_VALUE"""),"Calle 10 # 3 - 01 local 2  / Calle 10 # 3 - 01 local 2  / Calle 10 # 3 - 01 local 2")</f>
        <v>Calle 10 # 3 - 01 local 2  / Calle 10 # 3 - 01 local 2  / Calle 10 # 3 - 01 local 2</v>
      </c>
      <c r="G5971" s="15" t="str">
        <f>IFERROR(__xludf.DUMMYFUNCTION("""COMPUTED_VALUE"""),"SOY NATURAL SEDE BOLIVAR")</f>
        <v>SOY NATURAL SEDE BOLIVAR</v>
      </c>
      <c r="H5971" s="16">
        <f>IFERROR(__xludf.DUMMYFUNCTION("""COMPUTED_VALUE"""),14735.0)</f>
        <v>14735</v>
      </c>
      <c r="I5971" s="18">
        <f>IFERROR(__xludf.DUMMYFUNCTION("""COMPUTED_VALUE"""),30.0)</f>
        <v>30</v>
      </c>
      <c r="J5971" s="18">
        <f>IFERROR(__xludf.DUMMYFUNCTION("""COMPUTED_VALUE"""),40.0)</f>
        <v>40</v>
      </c>
      <c r="K5971" s="18">
        <f>IFERROR(__xludf.DUMMYFUNCTION("""COMPUTED_VALUE"""),30.0)</f>
        <v>30</v>
      </c>
      <c r="L5971" s="17">
        <f>IFERROR(__xludf.DUMMYFUNCTION("""COMPUTED_VALUE"""),3.04665347E9)</f>
        <v>3046653470</v>
      </c>
      <c r="M5971" s="17" t="str">
        <f>IFERROR(__xludf.DUMMYFUNCTION("""COMPUTED_VALUE"""),"#REF!")</f>
        <v>#REF!</v>
      </c>
      <c r="N5971" s="17"/>
      <c r="O5971" s="17"/>
      <c r="P5971" s="17" t="b">
        <f>IFERROR(__xludf.DUMMYFUNCTION("""COMPUTED_VALUE"""),TRUE)</f>
        <v>1</v>
      </c>
      <c r="Q5971" s="20">
        <f>IFERROR(__xludf.DUMMYFUNCTION("""COMPUTED_VALUE"""),45174.729456030094)</f>
        <v>45174.72946</v>
      </c>
      <c r="R5971" s="21" t="str">
        <f>IFERROR(__xludf.DUMMYFUNCTION("""COMPUTED_VALUE"""),"https://drive.google.com/file/d/1bxI-Vkjq3R-r9HseTfZU9qTZ3bXLgELi/view?usp=drivesdk")</f>
        <v>https://drive.google.com/file/d/1bxI-Vkjq3R-r9HseTfZU9qTZ3bXLgELi/view?usp=drivesdk</v>
      </c>
    </row>
    <row r="5972">
      <c r="A5972" s="15">
        <f>IFERROR(__xludf.DUMMYFUNCTION("""COMPUTED_VALUE"""),45174.0)</f>
        <v>45174</v>
      </c>
      <c r="B5972" s="16" t="str">
        <f>IFERROR(__xludf.DUMMYFUNCTION("""COMPUTED_VALUE"""),"Duvan Gabriel Alvarez Giron")</f>
        <v>Duvan Gabriel Alvarez Giron</v>
      </c>
      <c r="C5972" s="15" t="str">
        <f>IFERROR(__xludf.DUMMYFUNCTION("""COMPUTED_VALUE"""),"PIEDECUESTA")</f>
        <v>PIEDECUESTA</v>
      </c>
      <c r="D5972" s="15" t="str">
        <f>IFERROR(__xludf.DUMMYFUNCTION("""COMPUTED_VALUE"""),"BOGOTÁ")</f>
        <v>BOGOTÁ</v>
      </c>
      <c r="E5972" s="15" t="str">
        <f>IFERROR(__xludf.DUMMYFUNCTION("""COMPUTED_VALUE"""),"Evamazzita")</f>
        <v>Evamazzita</v>
      </c>
      <c r="F5972" s="17" t="str">
        <f>IFERROR(__xludf.DUMMYFUNCTION("""COMPUTED_VALUE"""),"Avenida 10 Norte#16-02 / Casa 58/Conjunto Pinares de Granada  / N/A")</f>
        <v>Avenida 10 Norte#16-02 / Casa 58/Conjunto Pinares de Granada  / N/A</v>
      </c>
      <c r="G5972" s="15" t="str">
        <f>IFERROR(__xludf.DUMMYFUNCTION("""COMPUTED_VALUE"""),"NATALIA FIGUEROA BELTRAN")</f>
        <v>NATALIA FIGUEROA BELTRAN</v>
      </c>
      <c r="H5972" s="16">
        <f>IFERROR(__xludf.DUMMYFUNCTION("""COMPUTED_VALUE"""),14721.0)</f>
        <v>14721</v>
      </c>
      <c r="I5972" s="18">
        <f>IFERROR(__xludf.DUMMYFUNCTION("""COMPUTED_VALUE"""),1.0)</f>
        <v>1</v>
      </c>
      <c r="J5972" s="18">
        <f>IFERROR(__xludf.DUMMYFUNCTION("""COMPUTED_VALUE"""),1.0)</f>
        <v>1</v>
      </c>
      <c r="K5972" s="18">
        <f>IFERROR(__xludf.DUMMYFUNCTION("""COMPUTED_VALUE"""),1.0)</f>
        <v>1</v>
      </c>
      <c r="L5972" s="17">
        <f>IFERROR(__xludf.DUMMYFUNCTION("""COMPUTED_VALUE"""),3.158927652E9)</f>
        <v>3158927652</v>
      </c>
      <c r="M5972" s="17" t="str">
        <f>IFERROR(__xludf.DUMMYFUNCTION("""COMPUTED_VALUE"""),"#REF!")</f>
        <v>#REF!</v>
      </c>
      <c r="N5972" s="17"/>
      <c r="O5972" s="17"/>
      <c r="P5972" s="17" t="b">
        <f>IFERROR(__xludf.DUMMYFUNCTION("""COMPUTED_VALUE"""),FALSE)</f>
        <v>0</v>
      </c>
      <c r="Q5972" s="20" t="str">
        <f>IFERROR(__xludf.DUMMYFUNCTION("""COMPUTED_VALUE"""),"")</f>
        <v/>
      </c>
      <c r="R5972" s="21" t="str">
        <f>IFERROR(__xludf.DUMMYFUNCTION("""COMPUTED_VALUE"""),"https://drive.google.com/file/d/19GpemPvMSUuDqmGudp9AsL_Fm3yXPIHd/view?usp=drivesdk")</f>
        <v>https://drive.google.com/file/d/19GpemPvMSUuDqmGudp9AsL_Fm3yXPIHd/view?usp=drivesdk</v>
      </c>
    </row>
    <row r="5973">
      <c r="A5973" s="15">
        <f>IFERROR(__xludf.DUMMYFUNCTION("""COMPUTED_VALUE"""),45174.0)</f>
        <v>45174</v>
      </c>
      <c r="B5973" s="16" t="str">
        <f>IFERROR(__xludf.DUMMYFUNCTION("""COMPUTED_VALUE"""),"Duvan Gabriel Alvarez Giron")</f>
        <v>Duvan Gabriel Alvarez Giron</v>
      </c>
      <c r="C5973" s="15" t="str">
        <f>IFERROR(__xludf.DUMMYFUNCTION("""COMPUTED_VALUE"""),"PIEDECUESTA")</f>
        <v>PIEDECUESTA</v>
      </c>
      <c r="D5973" s="15" t="str">
        <f>IFERROR(__xludf.DUMMYFUNCTION("""COMPUTED_VALUE"""),"BOGOTÁ")</f>
        <v>BOGOTÁ</v>
      </c>
      <c r="E5973" s="15" t="str">
        <f>IFERROR(__xludf.DUMMYFUNCTION("""COMPUTED_VALUE"""),"Evamazzita")</f>
        <v>Evamazzita</v>
      </c>
      <c r="F5973" s="17" t="str">
        <f>IFERROR(__xludf.DUMMYFUNCTION("""COMPUTED_VALUE"""),"Calle 13N #2-81 / Rio del hato, conjunto Serrania del hato Torre 1 Apt 702")</f>
        <v>Calle 13N #2-81 / Rio del hato, conjunto Serrania del hato Torre 1 Apt 702</v>
      </c>
      <c r="G5973" s="15" t="str">
        <f>IFERROR(__xludf.DUMMYFUNCTION("""COMPUTED_VALUE"""),"ANGIE CAROLINA CRUZ")</f>
        <v>ANGIE CAROLINA CRUZ</v>
      </c>
      <c r="H5973" s="16">
        <f>IFERROR(__xludf.DUMMYFUNCTION("""COMPUTED_VALUE"""),14750.0)</f>
        <v>14750</v>
      </c>
      <c r="I5973" s="18">
        <f>IFERROR(__xludf.DUMMYFUNCTION("""COMPUTED_VALUE"""),1.0)</f>
        <v>1</v>
      </c>
      <c r="J5973" s="18">
        <f>IFERROR(__xludf.DUMMYFUNCTION("""COMPUTED_VALUE"""),1.0)</f>
        <v>1</v>
      </c>
      <c r="K5973" s="18">
        <f>IFERROR(__xludf.DUMMYFUNCTION("""COMPUTED_VALUE"""),1.0)</f>
        <v>1</v>
      </c>
      <c r="L5973" s="17">
        <f>IFERROR(__xludf.DUMMYFUNCTION("""COMPUTED_VALUE"""),3.502725893E9)</f>
        <v>3502725893</v>
      </c>
      <c r="M5973" s="17" t="str">
        <f>IFERROR(__xludf.DUMMYFUNCTION("""COMPUTED_VALUE"""),"#REF!")</f>
        <v>#REF!</v>
      </c>
      <c r="N5973" s="17"/>
      <c r="O5973" s="17"/>
      <c r="P5973" s="17" t="b">
        <f>IFERROR(__xludf.DUMMYFUNCTION("""COMPUTED_VALUE"""),FALSE)</f>
        <v>0</v>
      </c>
      <c r="Q5973" s="20" t="str">
        <f>IFERROR(__xludf.DUMMYFUNCTION("""COMPUTED_VALUE"""),"")</f>
        <v/>
      </c>
      <c r="R5973" s="21" t="str">
        <f>IFERROR(__xludf.DUMMYFUNCTION("""COMPUTED_VALUE"""),"https://drive.google.com/file/d/1h5PTppv7-I9VtW-mdoRG6BMgkGhYZRwu/view?usp=drivesdk")</f>
        <v>https://drive.google.com/file/d/1h5PTppv7-I9VtW-mdoRG6BMgkGhYZRwu/view?usp=drivesdk</v>
      </c>
    </row>
    <row r="5974">
      <c r="A5974" s="17" t="str">
        <f>IFERROR(__xludf.DUMMYFUNCTION("""COMPUTED_VALUE"""),"")</f>
        <v/>
      </c>
      <c r="B5974" s="17" t="str">
        <f>IFERROR(__xludf.DUMMYFUNCTION("""COMPUTED_VALUE"""),"")</f>
        <v/>
      </c>
      <c r="C5974" s="17" t="str">
        <f>IFERROR(__xludf.DUMMYFUNCTION("""COMPUTED_VALUE"""),"")</f>
        <v/>
      </c>
      <c r="D5974" s="17" t="str">
        <f>IFERROR(__xludf.DUMMYFUNCTION("""COMPUTED_VALUE"""),"")</f>
        <v/>
      </c>
      <c r="E5974" s="17" t="str">
        <f>IFERROR(__xludf.DUMMYFUNCTION("""COMPUTED_VALUE"""),"")</f>
        <v/>
      </c>
      <c r="F5974" s="17" t="str">
        <f>IFERROR(__xludf.DUMMYFUNCTION("""COMPUTED_VALUE"""),"")</f>
        <v/>
      </c>
      <c r="G5974" s="17" t="str">
        <f>IFERROR(__xludf.DUMMYFUNCTION("""COMPUTED_VALUE"""),"")</f>
        <v/>
      </c>
      <c r="H5974" s="17" t="str">
        <f>IFERROR(__xludf.DUMMYFUNCTION("""COMPUTED_VALUE"""),"")</f>
        <v/>
      </c>
      <c r="I5974" s="17" t="str">
        <f>IFERROR(__xludf.DUMMYFUNCTION("""COMPUTED_VALUE"""),"")</f>
        <v/>
      </c>
      <c r="J5974" s="17" t="str">
        <f>IFERROR(__xludf.DUMMYFUNCTION("""COMPUTED_VALUE"""),"")</f>
        <v/>
      </c>
      <c r="K5974" s="17" t="str">
        <f>IFERROR(__xludf.DUMMYFUNCTION("""COMPUTED_VALUE"""),"")</f>
        <v/>
      </c>
      <c r="L5974" s="17" t="str">
        <f>IFERROR(__xludf.DUMMYFUNCTION("""COMPUTED_VALUE"""),"")</f>
        <v/>
      </c>
      <c r="M5974" s="17" t="str">
        <f>IFERROR(__xludf.DUMMYFUNCTION("""COMPUTED_VALUE"""),"")</f>
        <v/>
      </c>
      <c r="N5974" s="17" t="str">
        <f>IFERROR(__xludf.DUMMYFUNCTION("""COMPUTED_VALUE"""),"")</f>
        <v/>
      </c>
      <c r="O5974" s="17" t="str">
        <f>IFERROR(__xludf.DUMMYFUNCTION("""COMPUTED_VALUE"""),"")</f>
        <v/>
      </c>
      <c r="P5974" s="17" t="str">
        <f>IFERROR(__xludf.DUMMYFUNCTION("""COMPUTED_VALUE"""),"")</f>
        <v/>
      </c>
      <c r="Q5974" s="17" t="str">
        <f>IFERROR(__xludf.DUMMYFUNCTION("""COMPUTED_VALUE"""),"")</f>
        <v/>
      </c>
      <c r="R5974" s="17" t="str">
        <f>IFERROR(__xludf.DUMMYFUNCTION("""COMPUTED_VALUE"""),"")</f>
        <v/>
      </c>
    </row>
    <row r="5975">
      <c r="A5975" s="15">
        <f>IFERROR(__xludf.DUMMYFUNCTION("""COMPUTED_VALUE"""),45174.0)</f>
        <v>45174</v>
      </c>
      <c r="B5975" s="16" t="str">
        <f>IFERROR(__xludf.DUMMYFUNCTION("""COMPUTED_VALUE"""),"Envia")</f>
        <v>Envia</v>
      </c>
      <c r="C5975" s="15" t="str">
        <f>IFERROR(__xludf.DUMMYFUNCTION("""COMPUTED_VALUE"""),"BUCARAMANGA")</f>
        <v>BUCARAMANGA</v>
      </c>
      <c r="D5975" s="15" t="str">
        <f>IFERROR(__xludf.DUMMYFUNCTION("""COMPUTED_VALUE"""),"MEDELLÍN")</f>
        <v>MEDELLÍN</v>
      </c>
      <c r="E5975" s="15" t="str">
        <f>IFERROR(__xludf.DUMMYFUNCTION("""COMPUTED_VALUE"""),"Baby Chef")</f>
        <v>Baby Chef</v>
      </c>
      <c r="F5975" s="17" t="str">
        <f>IFERROR(__xludf.DUMMYFUNCTION("""COMPUTED_VALUE"""),"Calle 100 # 18-117 Barrio Fontana / Calle 100 # 18-117 Barrio Fontana / Calle 100 # 18-117 Barrio Fontana")</f>
        <v>Calle 100 # 18-117 Barrio Fontana / Calle 100 # 18-117 Barrio Fontana / Calle 100 # 18-117 Barrio Fontana</v>
      </c>
      <c r="G5975" s="15" t="str">
        <f>IFERROR(__xludf.DUMMYFUNCTION("""COMPUTED_VALUE"""),"Laura Patricia Guerrero Ramirez")</f>
        <v>Laura Patricia Guerrero Ramirez</v>
      </c>
      <c r="H5975" s="16">
        <f>IFERROR(__xludf.DUMMYFUNCTION("""COMPUTED_VALUE"""),14727.0)</f>
        <v>14727</v>
      </c>
      <c r="I5975" s="18">
        <f>IFERROR(__xludf.DUMMYFUNCTION("""COMPUTED_VALUE"""),8.0)</f>
        <v>8</v>
      </c>
      <c r="J5975" s="18">
        <f>IFERROR(__xludf.DUMMYFUNCTION("""COMPUTED_VALUE"""),21.0)</f>
        <v>21</v>
      </c>
      <c r="K5975" s="18">
        <f>IFERROR(__xludf.DUMMYFUNCTION("""COMPUTED_VALUE"""),33.0)</f>
        <v>33</v>
      </c>
      <c r="L5975" s="17">
        <f>IFERROR(__xludf.DUMMYFUNCTION("""COMPUTED_VALUE"""),3.134324746E9)</f>
        <v>3134324746</v>
      </c>
      <c r="M5975" s="17" t="str">
        <f>IFERROR(__xludf.DUMMYFUNCTION("""COMPUTED_VALUE"""),"#REF!")</f>
        <v>#REF!</v>
      </c>
      <c r="N5975" s="17"/>
      <c r="O5975" s="17"/>
      <c r="P5975" s="17" t="b">
        <f>IFERROR(__xludf.DUMMYFUNCTION("""COMPUTED_VALUE"""),FALSE)</f>
        <v>0</v>
      </c>
      <c r="Q5975" s="20" t="str">
        <f>IFERROR(__xludf.DUMMYFUNCTION("""COMPUTED_VALUE"""),"")</f>
        <v/>
      </c>
      <c r="R5975" s="21" t="str">
        <f>IFERROR(__xludf.DUMMYFUNCTION("""COMPUTED_VALUE"""),"https://drive.google.com/file/d/1QZn0EPzjIqmn-LBhGYDKtSmOQxoxshCT/view?usp=drivesdk")</f>
        <v>https://drive.google.com/file/d/1QZn0EPzjIqmn-LBhGYDKtSmOQxoxshCT/view?usp=drivesdk</v>
      </c>
    </row>
    <row r="5976">
      <c r="A5976" s="15">
        <f>IFERROR(__xludf.DUMMYFUNCTION("""COMPUTED_VALUE"""),45174.0)</f>
        <v>45174</v>
      </c>
      <c r="B5976" s="16" t="str">
        <f>IFERROR(__xludf.DUMMYFUNCTION("""COMPUTED_VALUE"""),"Envia")</f>
        <v>Envia</v>
      </c>
      <c r="C5976" s="15" t="str">
        <f>IFERROR(__xludf.DUMMYFUNCTION("""COMPUTED_VALUE"""),"BUCARAMANGA")</f>
        <v>BUCARAMANGA</v>
      </c>
      <c r="D5976" s="15" t="str">
        <f>IFERROR(__xludf.DUMMYFUNCTION("""COMPUTED_VALUE"""),"MEDELLÍN")</f>
        <v>MEDELLÍN</v>
      </c>
      <c r="E5976" s="15" t="str">
        <f>IFERROR(__xludf.DUMMYFUNCTION("""COMPUTED_VALUE"""),"Terravocado")</f>
        <v>Terravocado</v>
      </c>
      <c r="F5976" s="17" t="str">
        <f>IFERROR(__xludf.DUMMYFUNCTION("""COMPUTED_VALUE"""),"CLL REAL 6 74  / PORTAL DE SAN SEBASTIAN TORRE 4 APT 702 / REAL DE MINAS")</f>
        <v>CLL REAL 6 74  / PORTAL DE SAN SEBASTIAN TORRE 4 APT 702 / REAL DE MINAS</v>
      </c>
      <c r="G5976" s="15" t="str">
        <f>IFERROR(__xludf.DUMMYFUNCTION("""COMPUTED_VALUE"""),"EGDGAR CONTRERAS")</f>
        <v>EGDGAR CONTRERAS</v>
      </c>
      <c r="H5976" s="16">
        <f>IFERROR(__xludf.DUMMYFUNCTION("""COMPUTED_VALUE"""),14660.0)</f>
        <v>14660</v>
      </c>
      <c r="I5976" s="18">
        <f>IFERROR(__xludf.DUMMYFUNCTION("""COMPUTED_VALUE"""),20.0)</f>
        <v>20</v>
      </c>
      <c r="J5976" s="18">
        <f>IFERROR(__xludf.DUMMYFUNCTION("""COMPUTED_VALUE"""),24.0)</f>
        <v>24</v>
      </c>
      <c r="K5976" s="18">
        <f>IFERROR(__xludf.DUMMYFUNCTION("""COMPUTED_VALUE"""),34.0)</f>
        <v>34</v>
      </c>
      <c r="L5976" s="17">
        <f>IFERROR(__xludf.DUMMYFUNCTION("""COMPUTED_VALUE"""),3.223626148E9)</f>
        <v>3223626148</v>
      </c>
      <c r="M5976" s="17" t="str">
        <f>IFERROR(__xludf.DUMMYFUNCTION("""COMPUTED_VALUE"""),"#REF!")</f>
        <v>#REF!</v>
      </c>
      <c r="N5976" s="17"/>
      <c r="O5976" s="17"/>
      <c r="P5976" s="17" t="b">
        <f>IFERROR(__xludf.DUMMYFUNCTION("""COMPUTED_VALUE"""),FALSE)</f>
        <v>0</v>
      </c>
      <c r="Q5976" s="20" t="str">
        <f>IFERROR(__xludf.DUMMYFUNCTION("""COMPUTED_VALUE"""),"")</f>
        <v/>
      </c>
      <c r="R5976" s="21" t="str">
        <f>IFERROR(__xludf.DUMMYFUNCTION("""COMPUTED_VALUE"""),"https://drive.google.com/file/d/1-d38z5rj45_wMEAwXiuxNeGOyRQvpQMT/view?usp=drivesdk")</f>
        <v>https://drive.google.com/file/d/1-d38z5rj45_wMEAwXiuxNeGOyRQvpQMT/view?usp=drivesdk</v>
      </c>
    </row>
    <row r="5977">
      <c r="A5977" s="15">
        <f>IFERROR(__xludf.DUMMYFUNCTION("""COMPUTED_VALUE"""),45174.0)</f>
        <v>45174</v>
      </c>
      <c r="B5977" s="16" t="str">
        <f>IFERROR(__xludf.DUMMYFUNCTION("""COMPUTED_VALUE"""),"Envia")</f>
        <v>Envia</v>
      </c>
      <c r="C5977" s="15" t="str">
        <f>IFERROR(__xludf.DUMMYFUNCTION("""COMPUTED_VALUE"""),"ENVIGADO")</f>
        <v>ENVIGADO</v>
      </c>
      <c r="D5977" s="15" t="str">
        <f>IFERROR(__xludf.DUMMYFUNCTION("""COMPUTED_VALUE"""),"BOGOTÁ")</f>
        <v>BOGOTÁ</v>
      </c>
      <c r="E5977" s="15" t="str">
        <f>IFERROR(__xludf.DUMMYFUNCTION("""COMPUTED_VALUE"""),"Evamazzita")</f>
        <v>Evamazzita</v>
      </c>
      <c r="F5977" s="17" t="str">
        <f>IFERROR(__xludf.DUMMYFUNCTION("""COMPUTED_VALUE"""),"Carrera 39e # 48c sur 36 / apartamento 216 torre 4 urbanización orinoco de la cuenca")</f>
        <v>Carrera 39e # 48c sur 36 / apartamento 216 torre 4 urbanización orinoco de la cuenca</v>
      </c>
      <c r="G5977" s="15" t="str">
        <f>IFERROR(__xludf.DUMMYFUNCTION("""COMPUTED_VALUE"""),"ANDREA GUZMAN ENVIGADO")</f>
        <v>ANDREA GUZMAN ENVIGADO</v>
      </c>
      <c r="H5977" s="16">
        <f>IFERROR(__xludf.DUMMYFUNCTION("""COMPUTED_VALUE"""),14748.0)</f>
        <v>14748</v>
      </c>
      <c r="I5977" s="18">
        <f>IFERROR(__xludf.DUMMYFUNCTION("""COMPUTED_VALUE"""),1.0)</f>
        <v>1</v>
      </c>
      <c r="J5977" s="18">
        <f>IFERROR(__xludf.DUMMYFUNCTION("""COMPUTED_VALUE"""),1.0)</f>
        <v>1</v>
      </c>
      <c r="K5977" s="18">
        <f>IFERROR(__xludf.DUMMYFUNCTION("""COMPUTED_VALUE"""),1.0)</f>
        <v>1</v>
      </c>
      <c r="L5977" s="17">
        <f>IFERROR(__xludf.DUMMYFUNCTION("""COMPUTED_VALUE"""),3.137348083E9)</f>
        <v>3137348083</v>
      </c>
      <c r="M5977" s="17" t="str">
        <f>IFERROR(__xludf.DUMMYFUNCTION("""COMPUTED_VALUE"""),"#REF!")</f>
        <v>#REF!</v>
      </c>
      <c r="N5977" s="17"/>
      <c r="O5977" s="17"/>
      <c r="P5977" s="17" t="b">
        <f>IFERROR(__xludf.DUMMYFUNCTION("""COMPUTED_VALUE"""),FALSE)</f>
        <v>0</v>
      </c>
      <c r="Q5977" s="20" t="str">
        <f>IFERROR(__xludf.DUMMYFUNCTION("""COMPUTED_VALUE"""),"")</f>
        <v/>
      </c>
      <c r="R5977" s="21" t="str">
        <f>IFERROR(__xludf.DUMMYFUNCTION("""COMPUTED_VALUE"""),"https://drive.google.com/file/d/1I7FHV9Ny0hjWpH7KXexx2UhoHS11SiAG/view?usp=drivesdk")</f>
        <v>https://drive.google.com/file/d/1I7FHV9Ny0hjWpH7KXexx2UhoHS11SiAG/view?usp=drivesdk</v>
      </c>
    </row>
    <row r="5978">
      <c r="A5978" s="15">
        <f>IFERROR(__xludf.DUMMYFUNCTION("""COMPUTED_VALUE"""),45174.0)</f>
        <v>45174</v>
      </c>
      <c r="B5978" s="16" t="str">
        <f>IFERROR(__xludf.DUMMYFUNCTION("""COMPUTED_VALUE"""),"Envia")</f>
        <v>Envia</v>
      </c>
      <c r="C5978" s="15" t="str">
        <f>IFERROR(__xludf.DUMMYFUNCTION("""COMPUTED_VALUE"""),"IBAGUÉ")</f>
        <v>IBAGUÉ</v>
      </c>
      <c r="D5978" s="15" t="str">
        <f>IFERROR(__xludf.DUMMYFUNCTION("""COMPUTED_VALUE"""),"BOGOTÁ")</f>
        <v>BOGOTÁ</v>
      </c>
      <c r="E5978" s="15" t="str">
        <f>IFERROR(__xludf.DUMMYFUNCTION("""COMPUTED_VALUE"""),"Top Spun")</f>
        <v>Top Spun</v>
      </c>
      <c r="F5978" s="17" t="str">
        <f>IFERROR(__xludf.DUMMYFUNCTION("""COMPUTED_VALUE"""),"Calle 3 # 7a-09 / apto 1206 / edificio altos de Belén")</f>
        <v>Calle 3 # 7a-09 / apto 1206 / edificio altos de Belén</v>
      </c>
      <c r="G5978" s="15" t="str">
        <f>IFERROR(__xludf.DUMMYFUNCTION("""COMPUTED_VALUE"""),"LAURA MEJIA DE LA PAVA")</f>
        <v>LAURA MEJIA DE LA PAVA</v>
      </c>
      <c r="H5978" s="16">
        <f>IFERROR(__xludf.DUMMYFUNCTION("""COMPUTED_VALUE"""),14765.0)</f>
        <v>14765</v>
      </c>
      <c r="I5978" s="18">
        <f>IFERROR(__xludf.DUMMYFUNCTION("""COMPUTED_VALUE"""),20.0)</f>
        <v>20</v>
      </c>
      <c r="J5978" s="18">
        <f>IFERROR(__xludf.DUMMYFUNCTION("""COMPUTED_VALUE"""),10.0)</f>
        <v>10</v>
      </c>
      <c r="K5978" s="18">
        <f>IFERROR(__xludf.DUMMYFUNCTION("""COMPUTED_VALUE"""),40.0)</f>
        <v>40</v>
      </c>
      <c r="L5978" s="17">
        <f>IFERROR(__xludf.DUMMYFUNCTION("""COMPUTED_VALUE"""),3.012901366E9)</f>
        <v>3012901366</v>
      </c>
      <c r="M5978" s="17" t="str">
        <f>IFERROR(__xludf.DUMMYFUNCTION("""COMPUTED_VALUE"""),"#REF!")</f>
        <v>#REF!</v>
      </c>
      <c r="N5978" s="17"/>
      <c r="O5978" s="17"/>
      <c r="P5978" s="17" t="b">
        <f>IFERROR(__xludf.DUMMYFUNCTION("""COMPUTED_VALUE"""),FALSE)</f>
        <v>0</v>
      </c>
      <c r="Q5978" s="20" t="str">
        <f>IFERROR(__xludf.DUMMYFUNCTION("""COMPUTED_VALUE"""),"")</f>
        <v/>
      </c>
      <c r="R5978" s="21" t="str">
        <f>IFERROR(__xludf.DUMMYFUNCTION("""COMPUTED_VALUE"""),"https://drive.google.com/file/d/1lD3ptYLtj5vWWOQxiNEDhL441-Pq4lex/view?usp=drivesdk")</f>
        <v>https://drive.google.com/file/d/1lD3ptYLtj5vWWOQxiNEDhL441-Pq4lex/view?usp=drivesdk</v>
      </c>
    </row>
    <row r="5979">
      <c r="A5979" s="15">
        <f>IFERROR(__xludf.DUMMYFUNCTION("""COMPUTED_VALUE"""),45174.0)</f>
        <v>45174</v>
      </c>
      <c r="B5979" s="16" t="str">
        <f>IFERROR(__xludf.DUMMYFUNCTION("""COMPUTED_VALUE"""),"Envia")</f>
        <v>Envia</v>
      </c>
      <c r="C5979" s="15" t="str">
        <f>IFERROR(__xludf.DUMMYFUNCTION("""COMPUTED_VALUE"""),"MANIZALES")</f>
        <v>MANIZALES</v>
      </c>
      <c r="D5979" s="15" t="str">
        <f>IFERROR(__xludf.DUMMYFUNCTION("""COMPUTED_VALUE"""),"MEDELLÍN")</f>
        <v>MEDELLÍN</v>
      </c>
      <c r="E5979" s="15" t="str">
        <f>IFERROR(__xludf.DUMMYFUNCTION("""COMPUTED_VALUE"""),"Rambla")</f>
        <v>Rambla</v>
      </c>
      <c r="F5979" s="17" t="str">
        <f>IFERROR(__xludf.DUMMYFUNCTION("""COMPUTED_VALUE"""),"Mall la florida Carrera 1# 71_ 13 Piso 1 Local 10 / Barrio la florida (manizales) / -")</f>
        <v>Mall la florida Carrera 1# 71_ 13 Piso 1 Local 10 / Barrio la florida (manizales) / -</v>
      </c>
      <c r="G5979" s="15" t="str">
        <f>IFERROR(__xludf.DUMMYFUNCTION("""COMPUTED_VALUE"""),"Mercafit la florida")</f>
        <v>Mercafit la florida</v>
      </c>
      <c r="H5979" s="16">
        <f>IFERROR(__xludf.DUMMYFUNCTION("""COMPUTED_VALUE"""),14738.0)</f>
        <v>14738</v>
      </c>
      <c r="I5979" s="18">
        <f>IFERROR(__xludf.DUMMYFUNCTION("""COMPUTED_VALUE"""),36.0)</f>
        <v>36</v>
      </c>
      <c r="J5979" s="18">
        <f>IFERROR(__xludf.DUMMYFUNCTION("""COMPUTED_VALUE"""),37.0)</f>
        <v>37</v>
      </c>
      <c r="K5979" s="18">
        <f>IFERROR(__xludf.DUMMYFUNCTION("""COMPUTED_VALUE"""),29.0)</f>
        <v>29</v>
      </c>
      <c r="L5979" s="17">
        <f>IFERROR(__xludf.DUMMYFUNCTION("""COMPUTED_VALUE"""),3.004648126E9)</f>
        <v>3004648126</v>
      </c>
      <c r="M5979" s="17" t="str">
        <f>IFERROR(__xludf.DUMMYFUNCTION("""COMPUTED_VALUE"""),"#REF!")</f>
        <v>#REF!</v>
      </c>
      <c r="N5979" s="17"/>
      <c r="O5979" s="17"/>
      <c r="P5979" s="17" t="b">
        <f>IFERROR(__xludf.DUMMYFUNCTION("""COMPUTED_VALUE"""),FALSE)</f>
        <v>0</v>
      </c>
      <c r="Q5979" s="20" t="str">
        <f>IFERROR(__xludf.DUMMYFUNCTION("""COMPUTED_VALUE"""),"")</f>
        <v/>
      </c>
      <c r="R5979" s="21" t="str">
        <f>IFERROR(__xludf.DUMMYFUNCTION("""COMPUTED_VALUE"""),"https://drive.google.com/file/d/1nXbBEIHDKhaw34kMI8ZEZJPx3OYixxUp/view?usp=drivesdk")</f>
        <v>https://drive.google.com/file/d/1nXbBEIHDKhaw34kMI8ZEZJPx3OYixxUp/view?usp=drivesdk</v>
      </c>
    </row>
    <row r="5980">
      <c r="A5980" s="15">
        <f>IFERROR(__xludf.DUMMYFUNCTION("""COMPUTED_VALUE"""),45174.0)</f>
        <v>45174</v>
      </c>
      <c r="B5980" s="16" t="str">
        <f>IFERROR(__xludf.DUMMYFUNCTION("""COMPUTED_VALUE"""),"Envia")</f>
        <v>Envia</v>
      </c>
      <c r="C5980" s="15" t="str">
        <f>IFERROR(__xludf.DUMMYFUNCTION("""COMPUTED_VALUE"""),"MANIZALES")</f>
        <v>MANIZALES</v>
      </c>
      <c r="D5980" s="15" t="str">
        <f>IFERROR(__xludf.DUMMYFUNCTION("""COMPUTED_VALUE"""),"MEDELLÍN")</f>
        <v>MEDELLÍN</v>
      </c>
      <c r="E5980" s="15" t="str">
        <f>IFERROR(__xludf.DUMMYFUNCTION("""COMPUTED_VALUE"""),"Todo Bufala")</f>
        <v>Todo Bufala</v>
      </c>
      <c r="F5980" s="17" t="str">
        <f>IFERROR(__xludf.DUMMYFUNCTION("""COMPUTED_VALUE"""),"Calle 66 #23B - 211 / Edifico calle larga, local 5c")</f>
        <v>Calle 66 #23B - 211 / Edifico calle larga, local 5c</v>
      </c>
      <c r="G5980" s="15" t="str">
        <f>IFERROR(__xludf.DUMMYFUNCTION("""COMPUTED_VALUE"""),"Sebastian Perez Pineda")</f>
        <v>Sebastian Perez Pineda</v>
      </c>
      <c r="H5980" s="16">
        <f>IFERROR(__xludf.DUMMYFUNCTION("""COMPUTED_VALUE"""),14681.0)</f>
        <v>14681</v>
      </c>
      <c r="I5980" s="18">
        <f>IFERROR(__xludf.DUMMYFUNCTION("""COMPUTED_VALUE"""),20.0)</f>
        <v>20</v>
      </c>
      <c r="J5980" s="18">
        <f>IFERROR(__xludf.DUMMYFUNCTION("""COMPUTED_VALUE"""),30.0)</f>
        <v>30</v>
      </c>
      <c r="K5980" s="18">
        <f>IFERROR(__xludf.DUMMYFUNCTION("""COMPUTED_VALUE"""),40.0)</f>
        <v>40</v>
      </c>
      <c r="L5980" s="17">
        <f>IFERROR(__xludf.DUMMYFUNCTION("""COMPUTED_VALUE"""),3.106974621E9)</f>
        <v>3106974621</v>
      </c>
      <c r="M5980" s="17" t="str">
        <f>IFERROR(__xludf.DUMMYFUNCTION("""COMPUTED_VALUE"""),"#REF!")</f>
        <v>#REF!</v>
      </c>
      <c r="N5980" s="17"/>
      <c r="O5980" s="17"/>
      <c r="P5980" s="17" t="b">
        <f>IFERROR(__xludf.DUMMYFUNCTION("""COMPUTED_VALUE"""),FALSE)</f>
        <v>0</v>
      </c>
      <c r="Q5980" s="20" t="str">
        <f>IFERROR(__xludf.DUMMYFUNCTION("""COMPUTED_VALUE"""),"")</f>
        <v/>
      </c>
      <c r="R5980" s="22" t="str">
        <f>IFERROR(__xludf.DUMMYFUNCTION("""COMPUTED_VALUE"""),"")</f>
        <v/>
      </c>
    </row>
    <row r="5981">
      <c r="A5981" s="15">
        <f>IFERROR(__xludf.DUMMYFUNCTION("""COMPUTED_VALUE"""),45174.0)</f>
        <v>45174</v>
      </c>
      <c r="B5981" s="16" t="str">
        <f>IFERROR(__xludf.DUMMYFUNCTION("""COMPUTED_VALUE"""),"Envia")</f>
        <v>Envia</v>
      </c>
      <c r="C5981" s="15" t="str">
        <f>IFERROR(__xludf.DUMMYFUNCTION("""COMPUTED_VALUE"""),"MEDELLÍN")</f>
        <v>MEDELLÍN</v>
      </c>
      <c r="D5981" s="15" t="str">
        <f>IFERROR(__xludf.DUMMYFUNCTION("""COMPUTED_VALUE"""),"BOGOTÁ")</f>
        <v>BOGOTÁ</v>
      </c>
      <c r="E5981" s="15" t="str">
        <f>IFERROR(__xludf.DUMMYFUNCTION("""COMPUTED_VALUE"""),"Evamazzita")</f>
        <v>Evamazzita</v>
      </c>
      <c r="F5981" s="17" t="str">
        <f>IFERROR(__xludf.DUMMYFUNCTION("""COMPUTED_VALUE"""),"calle 1c #66-50 / barrio guayabal""")</f>
        <v>calle 1c #66-50 / barrio guayabal"</v>
      </c>
      <c r="G5981" s="15" t="str">
        <f>IFERROR(__xludf.DUMMYFUNCTION("""COMPUTED_VALUE"""),"ANA MARIA RAMIREZ")</f>
        <v>ANA MARIA RAMIREZ</v>
      </c>
      <c r="H5981" s="16">
        <f>IFERROR(__xludf.DUMMYFUNCTION("""COMPUTED_VALUE"""),14747.0)</f>
        <v>14747</v>
      </c>
      <c r="I5981" s="18">
        <f>IFERROR(__xludf.DUMMYFUNCTION("""COMPUTED_VALUE"""),1.0)</f>
        <v>1</v>
      </c>
      <c r="J5981" s="18">
        <f>IFERROR(__xludf.DUMMYFUNCTION("""COMPUTED_VALUE"""),1.0)</f>
        <v>1</v>
      </c>
      <c r="K5981" s="18">
        <f>IFERROR(__xludf.DUMMYFUNCTION("""COMPUTED_VALUE"""),1.0)</f>
        <v>1</v>
      </c>
      <c r="L5981" s="17">
        <f>IFERROR(__xludf.DUMMYFUNCTION("""COMPUTED_VALUE"""),3.226649929E9)</f>
        <v>3226649929</v>
      </c>
      <c r="M5981" s="17" t="str">
        <f>IFERROR(__xludf.DUMMYFUNCTION("""COMPUTED_VALUE"""),"#REF!")</f>
        <v>#REF!</v>
      </c>
      <c r="N5981" s="17"/>
      <c r="O5981" s="17"/>
      <c r="P5981" s="17" t="b">
        <f>IFERROR(__xludf.DUMMYFUNCTION("""COMPUTED_VALUE"""),FALSE)</f>
        <v>0</v>
      </c>
      <c r="Q5981" s="20" t="str">
        <f>IFERROR(__xludf.DUMMYFUNCTION("""COMPUTED_VALUE"""),"")</f>
        <v/>
      </c>
      <c r="R5981" s="21" t="str">
        <f>IFERROR(__xludf.DUMMYFUNCTION("""COMPUTED_VALUE"""),"https://drive.google.com/file/d/1Fx7MUzN5xMYMvmWGUVzHijIGUWsMzZe5/view?usp=drivesdk")</f>
        <v>https://drive.google.com/file/d/1Fx7MUzN5xMYMvmWGUVzHijIGUWsMzZe5/view?usp=drivesdk</v>
      </c>
    </row>
    <row r="5982">
      <c r="A5982" s="15">
        <f>IFERROR(__xludf.DUMMYFUNCTION("""COMPUTED_VALUE"""),45174.0)</f>
        <v>45174</v>
      </c>
      <c r="B5982" s="16" t="str">
        <f>IFERROR(__xludf.DUMMYFUNCTION("""COMPUTED_VALUE"""),"Envia")</f>
        <v>Envia</v>
      </c>
      <c r="C5982" s="15" t="str">
        <f>IFERROR(__xludf.DUMMYFUNCTION("""COMPUTED_VALUE"""),"MEDELLÍN")</f>
        <v>MEDELLÍN</v>
      </c>
      <c r="D5982" s="15" t="str">
        <f>IFERROR(__xludf.DUMMYFUNCTION("""COMPUTED_VALUE"""),"BOGOTÁ")</f>
        <v>BOGOTÁ</v>
      </c>
      <c r="E5982" s="15" t="str">
        <f>IFERROR(__xludf.DUMMYFUNCTION("""COMPUTED_VALUE"""),"Evamazzita")</f>
        <v>Evamazzita</v>
      </c>
      <c r="F5982" s="17" t="str">
        <f>IFERROR(__xludf.DUMMYFUNCTION("""COMPUTED_VALUE"""),"Calle 93c#83a-81 / N/A / Barrio Robledo Primaveral")</f>
        <v>Calle 93c#83a-81 / N/A / Barrio Robledo Primaveral</v>
      </c>
      <c r="G5982" s="15" t="str">
        <f>IFERROR(__xludf.DUMMYFUNCTION("""COMPUTED_VALUE"""),"MILENA JARAMILLO ACEVEDO")</f>
        <v>MILENA JARAMILLO ACEVEDO</v>
      </c>
      <c r="H5982" s="16">
        <f>IFERROR(__xludf.DUMMYFUNCTION("""COMPUTED_VALUE"""),14719.0)</f>
        <v>14719</v>
      </c>
      <c r="I5982" s="18">
        <f>IFERROR(__xludf.DUMMYFUNCTION("""COMPUTED_VALUE"""),1.0)</f>
        <v>1</v>
      </c>
      <c r="J5982" s="18">
        <f>IFERROR(__xludf.DUMMYFUNCTION("""COMPUTED_VALUE"""),1.0)</f>
        <v>1</v>
      </c>
      <c r="K5982" s="18">
        <f>IFERROR(__xludf.DUMMYFUNCTION("""COMPUTED_VALUE"""),1.0)</f>
        <v>1</v>
      </c>
      <c r="L5982" s="17">
        <f>IFERROR(__xludf.DUMMYFUNCTION("""COMPUTED_VALUE"""),3.005579612E9)</f>
        <v>3005579612</v>
      </c>
      <c r="M5982" s="17" t="str">
        <f>IFERROR(__xludf.DUMMYFUNCTION("""COMPUTED_VALUE"""),"#REF!")</f>
        <v>#REF!</v>
      </c>
      <c r="N5982" s="17"/>
      <c r="O5982" s="17"/>
      <c r="P5982" s="17" t="b">
        <f>IFERROR(__xludf.DUMMYFUNCTION("""COMPUTED_VALUE"""),FALSE)</f>
        <v>0</v>
      </c>
      <c r="Q5982" s="20" t="str">
        <f>IFERROR(__xludf.DUMMYFUNCTION("""COMPUTED_VALUE"""),"")</f>
        <v/>
      </c>
      <c r="R5982" s="21" t="str">
        <f>IFERROR(__xludf.DUMMYFUNCTION("""COMPUTED_VALUE"""),"https://drive.google.com/file/d/1qE5dwEht_TYke34OCmOkpkWmvGPHHjuc/view?usp=drivesdk")</f>
        <v>https://drive.google.com/file/d/1qE5dwEht_TYke34OCmOkpkWmvGPHHjuc/view?usp=drivesdk</v>
      </c>
    </row>
    <row r="5983">
      <c r="A5983" s="15">
        <f>IFERROR(__xludf.DUMMYFUNCTION("""COMPUTED_VALUE"""),45174.0)</f>
        <v>45174</v>
      </c>
      <c r="B5983" s="16" t="str">
        <f>IFERROR(__xludf.DUMMYFUNCTION("""COMPUTED_VALUE"""),"Envia")</f>
        <v>Envia</v>
      </c>
      <c r="C5983" s="15" t="str">
        <f>IFERROR(__xludf.DUMMYFUNCTION("""COMPUTED_VALUE"""),"MEDELLÍN")</f>
        <v>MEDELLÍN</v>
      </c>
      <c r="D5983" s="15" t="str">
        <f>IFERROR(__xludf.DUMMYFUNCTION("""COMPUTED_VALUE"""),"BOGOTÁ")</f>
        <v>BOGOTÁ</v>
      </c>
      <c r="E5983" s="15" t="str">
        <f>IFERROR(__xludf.DUMMYFUNCTION("""COMPUTED_VALUE"""),"Evamazzita")</f>
        <v>Evamazzita</v>
      </c>
      <c r="F5983" s="17" t="str">
        <f>IFERROR(__xludf.DUMMYFUNCTION("""COMPUTED_VALUE"""),"CRA 15 BA No. 34D - 44 / INT 201")</f>
        <v>CRA 15 BA No. 34D - 44 / INT 201</v>
      </c>
      <c r="G5983" s="15" t="str">
        <f>IFERROR(__xludf.DUMMYFUNCTION("""COMPUTED_VALUE"""),"DANIELA BEDOYA BLANDON")</f>
        <v>DANIELA BEDOYA BLANDON</v>
      </c>
      <c r="H5983" s="16">
        <f>IFERROR(__xludf.DUMMYFUNCTION("""COMPUTED_VALUE"""),14741.0)</f>
        <v>14741</v>
      </c>
      <c r="I5983" s="18">
        <f>IFERROR(__xludf.DUMMYFUNCTION("""COMPUTED_VALUE"""),1.0)</f>
        <v>1</v>
      </c>
      <c r="J5983" s="18">
        <f>IFERROR(__xludf.DUMMYFUNCTION("""COMPUTED_VALUE"""),1.0)</f>
        <v>1</v>
      </c>
      <c r="K5983" s="18">
        <f>IFERROR(__xludf.DUMMYFUNCTION("""COMPUTED_VALUE"""),1.0)</f>
        <v>1</v>
      </c>
      <c r="L5983" s="17">
        <f>IFERROR(__xludf.DUMMYFUNCTION("""COMPUTED_VALUE"""),3.14672822E9)</f>
        <v>3146728220</v>
      </c>
      <c r="M5983" s="17" t="str">
        <f>IFERROR(__xludf.DUMMYFUNCTION("""COMPUTED_VALUE"""),"#REF!")</f>
        <v>#REF!</v>
      </c>
      <c r="N5983" s="17"/>
      <c r="O5983" s="17"/>
      <c r="P5983" s="17" t="b">
        <f>IFERROR(__xludf.DUMMYFUNCTION("""COMPUTED_VALUE"""),FALSE)</f>
        <v>0</v>
      </c>
      <c r="Q5983" s="20" t="str">
        <f>IFERROR(__xludf.DUMMYFUNCTION("""COMPUTED_VALUE"""),"")</f>
        <v/>
      </c>
      <c r="R5983" s="22" t="str">
        <f>IFERROR(__xludf.DUMMYFUNCTION("""COMPUTED_VALUE"""),"")</f>
        <v/>
      </c>
    </row>
    <row r="5984">
      <c r="A5984" s="15">
        <f>IFERROR(__xludf.DUMMYFUNCTION("""COMPUTED_VALUE"""),45174.0)</f>
        <v>45174</v>
      </c>
      <c r="B5984" s="16" t="str">
        <f>IFERROR(__xludf.DUMMYFUNCTION("""COMPUTED_VALUE"""),"Envia")</f>
        <v>Envia</v>
      </c>
      <c r="C5984" s="15" t="str">
        <f>IFERROR(__xludf.DUMMYFUNCTION("""COMPUTED_VALUE"""),"MEDELLÍN")</f>
        <v>MEDELLÍN</v>
      </c>
      <c r="D5984" s="15" t="str">
        <f>IFERROR(__xludf.DUMMYFUNCTION("""COMPUTED_VALUE"""),"BOGOTÁ")</f>
        <v>BOGOTÁ</v>
      </c>
      <c r="E5984" s="15" t="str">
        <f>IFERROR(__xludf.DUMMYFUNCTION("""COMPUTED_VALUE"""),"Loomifoods")</f>
        <v>Loomifoods</v>
      </c>
      <c r="F5984" s="17" t="str">
        <f>IFERROR(__xludf.DUMMYFUNCTION("""COMPUTED_VALUE"""),"Cra 15 ba no. 34d - 44 / apto 201 / medellin")</f>
        <v>Cra 15 ba no. 34d - 44 / apto 201 / medellin</v>
      </c>
      <c r="G5984" s="15" t="str">
        <f>IFERROR(__xludf.DUMMYFUNCTION("""COMPUTED_VALUE"""),"Daniela Bedoya")</f>
        <v>Daniela Bedoya</v>
      </c>
      <c r="H5984" s="16">
        <f>IFERROR(__xludf.DUMMYFUNCTION("""COMPUTED_VALUE"""),14714.0)</f>
        <v>14714</v>
      </c>
      <c r="I5984" s="18">
        <f>IFERROR(__xludf.DUMMYFUNCTION("""COMPUTED_VALUE"""),19.0)</f>
        <v>19</v>
      </c>
      <c r="J5984" s="18">
        <f>IFERROR(__xludf.DUMMYFUNCTION("""COMPUTED_VALUE"""),5.0)</f>
        <v>5</v>
      </c>
      <c r="K5984" s="18">
        <f>IFERROR(__xludf.DUMMYFUNCTION("""COMPUTED_VALUE"""),16.0)</f>
        <v>16</v>
      </c>
      <c r="L5984" s="17">
        <f>IFERROR(__xludf.DUMMYFUNCTION("""COMPUTED_VALUE"""),3.14672822E9)</f>
        <v>3146728220</v>
      </c>
      <c r="M5984" s="17" t="str">
        <f>IFERROR(__xludf.DUMMYFUNCTION("""COMPUTED_VALUE"""),"#REF!")</f>
        <v>#REF!</v>
      </c>
      <c r="N5984" s="17"/>
      <c r="O5984" s="17"/>
      <c r="P5984" s="17" t="b">
        <f>IFERROR(__xludf.DUMMYFUNCTION("""COMPUTED_VALUE"""),FALSE)</f>
        <v>0</v>
      </c>
      <c r="Q5984" s="20" t="str">
        <f>IFERROR(__xludf.DUMMYFUNCTION("""COMPUTED_VALUE"""),"")</f>
        <v/>
      </c>
      <c r="R5984" s="22" t="str">
        <f>IFERROR(__xludf.DUMMYFUNCTION("""COMPUTED_VALUE"""),"")</f>
        <v/>
      </c>
    </row>
    <row r="5985">
      <c r="A5985" s="15">
        <f>IFERROR(__xludf.DUMMYFUNCTION("""COMPUTED_VALUE"""),45174.0)</f>
        <v>45174</v>
      </c>
      <c r="B5985" s="16" t="str">
        <f>IFERROR(__xludf.DUMMYFUNCTION("""COMPUTED_VALUE"""),"Envia")</f>
        <v>Envia</v>
      </c>
      <c r="C5985" s="15" t="str">
        <f>IFERROR(__xludf.DUMMYFUNCTION("""COMPUTED_VALUE"""),"MEDELLÍN")</f>
        <v>MEDELLÍN</v>
      </c>
      <c r="D5985" s="15" t="str">
        <f>IFERROR(__xludf.DUMMYFUNCTION("""COMPUTED_VALUE"""),"BOGOTÁ")</f>
        <v>BOGOTÁ</v>
      </c>
      <c r="E5985" s="15" t="str">
        <f>IFERROR(__xludf.DUMMYFUNCTION("""COMPUTED_VALUE"""),"Loomifoods")</f>
        <v>Loomifoods</v>
      </c>
      <c r="F5985" s="17" t="str">
        <f>IFERROR(__xludf.DUMMYFUNCTION("""COMPUTED_VALUE"""),"Cra 46 n 19 sur 100  / edificio pinares de zuñiga apto 603  / envigado antioquia")</f>
        <v>Cra 46 n 19 sur 100  / edificio pinares de zuñiga apto 603  / envigado antioquia</v>
      </c>
      <c r="G5985" s="15" t="str">
        <f>IFERROR(__xludf.DUMMYFUNCTION("""COMPUTED_VALUE"""),"Paula Gomez")</f>
        <v>Paula Gomez</v>
      </c>
      <c r="H5985" s="16">
        <f>IFERROR(__xludf.DUMMYFUNCTION("""COMPUTED_VALUE"""),14715.0)</f>
        <v>14715</v>
      </c>
      <c r="I5985" s="18">
        <f>IFERROR(__xludf.DUMMYFUNCTION("""COMPUTED_VALUE"""),19.0)</f>
        <v>19</v>
      </c>
      <c r="J5985" s="18">
        <f>IFERROR(__xludf.DUMMYFUNCTION("""COMPUTED_VALUE"""),10.0)</f>
        <v>10</v>
      </c>
      <c r="K5985" s="18">
        <f>IFERROR(__xludf.DUMMYFUNCTION("""COMPUTED_VALUE"""),16.0)</f>
        <v>16</v>
      </c>
      <c r="L5985" s="17">
        <f>IFERROR(__xludf.DUMMYFUNCTION("""COMPUTED_VALUE"""),3.112548177E9)</f>
        <v>3112548177</v>
      </c>
      <c r="M5985" s="17" t="str">
        <f>IFERROR(__xludf.DUMMYFUNCTION("""COMPUTED_VALUE"""),"#REF!")</f>
        <v>#REF!</v>
      </c>
      <c r="N5985" s="17"/>
      <c r="O5985" s="17"/>
      <c r="P5985" s="17" t="b">
        <f>IFERROR(__xludf.DUMMYFUNCTION("""COMPUTED_VALUE"""),FALSE)</f>
        <v>0</v>
      </c>
      <c r="Q5985" s="20" t="str">
        <f>IFERROR(__xludf.DUMMYFUNCTION("""COMPUTED_VALUE"""),"")</f>
        <v/>
      </c>
      <c r="R5985" s="21" t="str">
        <f>IFERROR(__xludf.DUMMYFUNCTION("""COMPUTED_VALUE"""),"https://drive.google.com/file/d/1jfXwH9dwkZO0uLTUgtxUBIhI33qeAPVm/view?usp=drivesdk")</f>
        <v>https://drive.google.com/file/d/1jfXwH9dwkZO0uLTUgtxUBIhI33qeAPVm/view?usp=drivesdk</v>
      </c>
    </row>
    <row r="5986">
      <c r="A5986" s="15">
        <f>IFERROR(__xludf.DUMMYFUNCTION("""COMPUTED_VALUE"""),45174.0)</f>
        <v>45174</v>
      </c>
      <c r="B5986" s="16" t="str">
        <f>IFERROR(__xludf.DUMMYFUNCTION("""COMPUTED_VALUE"""),"Envia")</f>
        <v>Envia</v>
      </c>
      <c r="C5986" s="15" t="str">
        <f>IFERROR(__xludf.DUMMYFUNCTION("""COMPUTED_VALUE"""),"PEREIRA")</f>
        <v>PEREIRA</v>
      </c>
      <c r="D5986" s="15" t="str">
        <f>IFERROR(__xludf.DUMMYFUNCTION("""COMPUTED_VALUE"""),"BOGOTÁ")</f>
        <v>BOGOTÁ</v>
      </c>
      <c r="E5986" s="15" t="str">
        <f>IFERROR(__xludf.DUMMYFUNCTION("""COMPUTED_VALUE"""),"Evamazzita")</f>
        <v>Evamazzita</v>
      </c>
      <c r="F5986" s="17" t="str">
        <f>IFERROR(__xludf.DUMMYFUNCTION("""COMPUTED_VALUE"""),"CARRERA 18 E #42B-200 / Conjunto Amatista / Torre 4 /Apto 202 / Avenida Sur Detras Del Homecenter / entregar despues de 4pm")</f>
        <v>CARRERA 18 E #42B-200 / Conjunto Amatista / Torre 4 /Apto 202 / Avenida Sur Detras Del Homecenter / entregar despues de 4pm</v>
      </c>
      <c r="G5986" s="15" t="str">
        <f>IFERROR(__xludf.DUMMYFUNCTION("""COMPUTED_VALUE"""),"PAULA ANDREA GIRALDO ABAD")</f>
        <v>PAULA ANDREA GIRALDO ABAD</v>
      </c>
      <c r="H5986" s="16">
        <f>IFERROR(__xludf.DUMMYFUNCTION("""COMPUTED_VALUE"""),14720.0)</f>
        <v>14720</v>
      </c>
      <c r="I5986" s="18">
        <f>IFERROR(__xludf.DUMMYFUNCTION("""COMPUTED_VALUE"""),1.0)</f>
        <v>1</v>
      </c>
      <c r="J5986" s="18">
        <f>IFERROR(__xludf.DUMMYFUNCTION("""COMPUTED_VALUE"""),1.0)</f>
        <v>1</v>
      </c>
      <c r="K5986" s="18">
        <f>IFERROR(__xludf.DUMMYFUNCTION("""COMPUTED_VALUE"""),1.0)</f>
        <v>1</v>
      </c>
      <c r="L5986" s="17">
        <f>IFERROR(__xludf.DUMMYFUNCTION("""COMPUTED_VALUE"""),3.174184028E9)</f>
        <v>3174184028</v>
      </c>
      <c r="M5986" s="17" t="str">
        <f>IFERROR(__xludf.DUMMYFUNCTION("""COMPUTED_VALUE"""),"#REF!")</f>
        <v>#REF!</v>
      </c>
      <c r="N5986" s="17"/>
      <c r="O5986" s="17"/>
      <c r="P5986" s="17" t="b">
        <f>IFERROR(__xludf.DUMMYFUNCTION("""COMPUTED_VALUE"""),FALSE)</f>
        <v>0</v>
      </c>
      <c r="Q5986" s="20" t="str">
        <f>IFERROR(__xludf.DUMMYFUNCTION("""COMPUTED_VALUE"""),"")</f>
        <v/>
      </c>
      <c r="R5986" s="21" t="str">
        <f>IFERROR(__xludf.DUMMYFUNCTION("""COMPUTED_VALUE"""),"https://drive.google.com/file/d/10PYOd_mjVH6xTjtXHRsCkrPkb5afzp-y/view?usp=drivesdk")</f>
        <v>https://drive.google.com/file/d/10PYOd_mjVH6xTjtXHRsCkrPkb5afzp-y/view?usp=drivesdk</v>
      </c>
    </row>
    <row r="5987">
      <c r="A5987" s="15">
        <f>IFERROR(__xludf.DUMMYFUNCTION("""COMPUTED_VALUE"""),45174.0)</f>
        <v>45174</v>
      </c>
      <c r="B5987" s="16" t="str">
        <f>IFERROR(__xludf.DUMMYFUNCTION("""COMPUTED_VALUE"""),"Envia")</f>
        <v>Envia</v>
      </c>
      <c r="C5987" s="15" t="str">
        <f>IFERROR(__xludf.DUMMYFUNCTION("""COMPUTED_VALUE"""),"PEREIRA")</f>
        <v>PEREIRA</v>
      </c>
      <c r="D5987" s="15" t="str">
        <f>IFERROR(__xludf.DUMMYFUNCTION("""COMPUTED_VALUE"""),"BOGOTÁ")</f>
        <v>BOGOTÁ</v>
      </c>
      <c r="E5987" s="15" t="str">
        <f>IFERROR(__xludf.DUMMYFUNCTION("""COMPUTED_VALUE"""),"Evamazzita")</f>
        <v>Evamazzita</v>
      </c>
      <c r="F5987" s="17" t="str">
        <f>IFERROR(__xludf.DUMMYFUNCTION("""COMPUTED_VALUE"""),"Carrera 8A#15-107 / TORRES DE SANTA MARTA / Apto 701 / Torre 2 / DOS QUEBRADAS")</f>
        <v>Carrera 8A#15-107 / TORRES DE SANTA MARTA / Apto 701 / Torre 2 / DOS QUEBRADAS</v>
      </c>
      <c r="G5987" s="15" t="str">
        <f>IFERROR(__xludf.DUMMYFUNCTION("""COMPUTED_VALUE"""),"CLAUDIA LORENA DUQUE")</f>
        <v>CLAUDIA LORENA DUQUE</v>
      </c>
      <c r="H5987" s="16">
        <f>IFERROR(__xludf.DUMMYFUNCTION("""COMPUTED_VALUE"""),14722.0)</f>
        <v>14722</v>
      </c>
      <c r="I5987" s="18">
        <f>IFERROR(__xludf.DUMMYFUNCTION("""COMPUTED_VALUE"""),1.0)</f>
        <v>1</v>
      </c>
      <c r="J5987" s="18">
        <f>IFERROR(__xludf.DUMMYFUNCTION("""COMPUTED_VALUE"""),1.0)</f>
        <v>1</v>
      </c>
      <c r="K5987" s="18">
        <f>IFERROR(__xludf.DUMMYFUNCTION("""COMPUTED_VALUE"""),1.0)</f>
        <v>1</v>
      </c>
      <c r="L5987" s="17">
        <f>IFERROR(__xludf.DUMMYFUNCTION("""COMPUTED_VALUE"""),3.216059633E9)</f>
        <v>3216059633</v>
      </c>
      <c r="M5987" s="17" t="str">
        <f>IFERROR(__xludf.DUMMYFUNCTION("""COMPUTED_VALUE"""),"#REF!")</f>
        <v>#REF!</v>
      </c>
      <c r="N5987" s="17"/>
      <c r="O5987" s="17"/>
      <c r="P5987" s="17" t="b">
        <f>IFERROR(__xludf.DUMMYFUNCTION("""COMPUTED_VALUE"""),FALSE)</f>
        <v>0</v>
      </c>
      <c r="Q5987" s="20" t="str">
        <f>IFERROR(__xludf.DUMMYFUNCTION("""COMPUTED_VALUE"""),"")</f>
        <v/>
      </c>
      <c r="R5987" s="21" t="str">
        <f>IFERROR(__xludf.DUMMYFUNCTION("""COMPUTED_VALUE"""),"https://drive.google.com/file/d/1Fpj2gfxUrWIShkwyGMARDA3e-U3VooUt/view?usp=drivesdk")</f>
        <v>https://drive.google.com/file/d/1Fpj2gfxUrWIShkwyGMARDA3e-U3VooUt/view?usp=drivesdk</v>
      </c>
    </row>
    <row r="5988">
      <c r="A5988" s="15">
        <f>IFERROR(__xludf.DUMMYFUNCTION("""COMPUTED_VALUE"""),45174.0)</f>
        <v>45174</v>
      </c>
      <c r="B5988" s="16" t="str">
        <f>IFERROR(__xludf.DUMMYFUNCTION("""COMPUTED_VALUE"""),"Envia")</f>
        <v>Envia</v>
      </c>
      <c r="C5988" s="15" t="str">
        <f>IFERROR(__xludf.DUMMYFUNCTION("""COMPUTED_VALUE"""),"PEREIRA")</f>
        <v>PEREIRA</v>
      </c>
      <c r="D5988" s="15" t="str">
        <f>IFERROR(__xludf.DUMMYFUNCTION("""COMPUTED_VALUE"""),"BOGOTÁ")</f>
        <v>BOGOTÁ</v>
      </c>
      <c r="E5988" s="15" t="str">
        <f>IFERROR(__xludf.DUMMYFUNCTION("""COMPUTED_VALUE"""),"Ins. Alimento Vital")</f>
        <v>Ins. Alimento Vital</v>
      </c>
      <c r="F5988" s="17" t="str">
        <f>IFERROR(__xludf.DUMMYFUNCTION("""COMPUTED_VALUE"""),"CR 5 18 43 / EDIFICIO CHALJUB / BARRIO URIBE")</f>
        <v>CR 5 18 43 / EDIFICIO CHALJUB / BARRIO URIBE</v>
      </c>
      <c r="G5988" s="15" t="str">
        <f>IFERROR(__xludf.DUMMYFUNCTION("""COMPUTED_VALUE"""),"CHALJUB")</f>
        <v>CHALJUB</v>
      </c>
      <c r="H5988" s="16">
        <f>IFERROR(__xludf.DUMMYFUNCTION("""COMPUTED_VALUE"""),14702.0)</f>
        <v>14702</v>
      </c>
      <c r="I5988" s="18">
        <f>IFERROR(__xludf.DUMMYFUNCTION("""COMPUTED_VALUE"""),1.0)</f>
        <v>1</v>
      </c>
      <c r="J5988" s="18">
        <f>IFERROR(__xludf.DUMMYFUNCTION("""COMPUTED_VALUE"""),1.0)</f>
        <v>1</v>
      </c>
      <c r="K5988" s="18">
        <f>IFERROR(__xludf.DUMMYFUNCTION("""COMPUTED_VALUE"""),1.0)</f>
        <v>1</v>
      </c>
      <c r="L5988" s="17">
        <f>IFERROR(__xludf.DUMMYFUNCTION("""COMPUTED_VALUE"""),3.008252529E9)</f>
        <v>3008252529</v>
      </c>
      <c r="M5988" s="17" t="str">
        <f>IFERROR(__xludf.DUMMYFUNCTION("""COMPUTED_VALUE"""),"#REF!")</f>
        <v>#REF!</v>
      </c>
      <c r="N5988" s="17"/>
      <c r="O5988" s="17"/>
      <c r="P5988" s="17" t="b">
        <f>IFERROR(__xludf.DUMMYFUNCTION("""COMPUTED_VALUE"""),FALSE)</f>
        <v>0</v>
      </c>
      <c r="Q5988" s="20" t="str">
        <f>IFERROR(__xludf.DUMMYFUNCTION("""COMPUTED_VALUE"""),"")</f>
        <v/>
      </c>
      <c r="R5988" s="22" t="str">
        <f>IFERROR(__xludf.DUMMYFUNCTION("""COMPUTED_VALUE"""),"")</f>
        <v/>
      </c>
    </row>
    <row r="5989">
      <c r="A5989" s="15">
        <f>IFERROR(__xludf.DUMMYFUNCTION("""COMPUTED_VALUE"""),45174.0)</f>
        <v>45174</v>
      </c>
      <c r="B5989" s="16" t="str">
        <f>IFERROR(__xludf.DUMMYFUNCTION("""COMPUTED_VALUE"""),"Envia")</f>
        <v>Envia</v>
      </c>
      <c r="C5989" s="15" t="str">
        <f>IFERROR(__xludf.DUMMYFUNCTION("""COMPUTED_VALUE"""),"TUNJA")</f>
        <v>TUNJA</v>
      </c>
      <c r="D5989" s="15" t="str">
        <f>IFERROR(__xludf.DUMMYFUNCTION("""COMPUTED_VALUE"""),"BOGOTÁ")</f>
        <v>BOGOTÁ</v>
      </c>
      <c r="E5989" s="15" t="str">
        <f>IFERROR(__xludf.DUMMYFUNCTION("""COMPUTED_VALUE"""),"Loomifoods")</f>
        <v>Loomifoods</v>
      </c>
      <c r="F5989" s="17" t="str">
        <f>IFERROR(__xludf.DUMMYFUNCTION("""COMPUTED_VALUE"""),"Carrera 1 F # 40-63  / apto 204,  / edificio Murano.")</f>
        <v>Carrera 1 F # 40-63  / apto 204,  / edificio Murano.</v>
      </c>
      <c r="G5989" s="15" t="str">
        <f>IFERROR(__xludf.DUMMYFUNCTION("""COMPUTED_VALUE"""),"Sandra Grijalba")</f>
        <v>Sandra Grijalba</v>
      </c>
      <c r="H5989" s="16">
        <f>IFERROR(__xludf.DUMMYFUNCTION("""COMPUTED_VALUE"""),14717.0)</f>
        <v>14717</v>
      </c>
      <c r="I5989" s="18">
        <f>IFERROR(__xludf.DUMMYFUNCTION("""COMPUTED_VALUE"""),10.0)</f>
        <v>10</v>
      </c>
      <c r="J5989" s="18">
        <f>IFERROR(__xludf.DUMMYFUNCTION("""COMPUTED_VALUE"""),20.0)</f>
        <v>20</v>
      </c>
      <c r="K5989" s="18">
        <f>IFERROR(__xludf.DUMMYFUNCTION("""COMPUTED_VALUE"""),30.0)</f>
        <v>30</v>
      </c>
      <c r="L5989" s="17">
        <f>IFERROR(__xludf.DUMMYFUNCTION("""COMPUTED_VALUE"""),3.207676511E9)</f>
        <v>3207676511</v>
      </c>
      <c r="M5989" s="17" t="str">
        <f>IFERROR(__xludf.DUMMYFUNCTION("""COMPUTED_VALUE"""),"#REF!")</f>
        <v>#REF!</v>
      </c>
      <c r="N5989" s="17"/>
      <c r="O5989" s="17"/>
      <c r="P5989" s="17" t="b">
        <f>IFERROR(__xludf.DUMMYFUNCTION("""COMPUTED_VALUE"""),FALSE)</f>
        <v>0</v>
      </c>
      <c r="Q5989" s="20" t="str">
        <f>IFERROR(__xludf.DUMMYFUNCTION("""COMPUTED_VALUE"""),"")</f>
        <v/>
      </c>
      <c r="R5989" s="22" t="str">
        <f>IFERROR(__xludf.DUMMYFUNCTION("""COMPUTED_VALUE"""),"")</f>
        <v/>
      </c>
    </row>
    <row r="5990">
      <c r="A5990" s="15">
        <f>IFERROR(__xludf.DUMMYFUNCTION("""COMPUTED_VALUE"""),45174.0)</f>
        <v>45174</v>
      </c>
      <c r="B5990" s="16" t="str">
        <f>IFERROR(__xludf.DUMMYFUNCTION("""COMPUTED_VALUE"""),"Envia")</f>
        <v>Envia</v>
      </c>
      <c r="C5990" s="15" t="str">
        <f>IFERROR(__xludf.DUMMYFUNCTION("""COMPUTED_VALUE"""),"TUNJA")</f>
        <v>TUNJA</v>
      </c>
      <c r="D5990" s="15" t="str">
        <f>IFERROR(__xludf.DUMMYFUNCTION("""COMPUTED_VALUE"""),"MEDELLÍN")</f>
        <v>MEDELLÍN</v>
      </c>
      <c r="E5990" s="15" t="str">
        <f>IFERROR(__xludf.DUMMYFUNCTION("""COMPUTED_VALUE"""),"Baby Chef")</f>
        <v>Baby Chef</v>
      </c>
      <c r="F5990" s="17" t="str">
        <f>IFERROR(__xludf.DUMMYFUNCTION("""COMPUTED_VALUE"""),"Calle 28A # 7-47 / Calle 28A # 7-47 / urbanización San Juan Ciudad: Tunja- Boyaca")</f>
        <v>Calle 28A # 7-47 / Calle 28A # 7-47 / urbanización San Juan Ciudad: Tunja- Boyaca</v>
      </c>
      <c r="G5990" s="15" t="str">
        <f>IFERROR(__xludf.DUMMYFUNCTION("""COMPUTED_VALUE"""),"XIOMARA TOVAR PINZON")</f>
        <v>XIOMARA TOVAR PINZON</v>
      </c>
      <c r="H5990" s="16">
        <f>IFERROR(__xludf.DUMMYFUNCTION("""COMPUTED_VALUE"""),14655.0)</f>
        <v>14655</v>
      </c>
      <c r="I5990" s="18">
        <f>IFERROR(__xludf.DUMMYFUNCTION("""COMPUTED_VALUE"""),7.0)</f>
        <v>7</v>
      </c>
      <c r="J5990" s="18">
        <f>IFERROR(__xludf.DUMMYFUNCTION("""COMPUTED_VALUE"""),29.0)</f>
        <v>29</v>
      </c>
      <c r="K5990" s="18">
        <f>IFERROR(__xludf.DUMMYFUNCTION("""COMPUTED_VALUE"""),22.0)</f>
        <v>22</v>
      </c>
      <c r="L5990" s="17">
        <f>IFERROR(__xludf.DUMMYFUNCTION("""COMPUTED_VALUE"""),3.102929465E9)</f>
        <v>3102929465</v>
      </c>
      <c r="M5990" s="17" t="str">
        <f>IFERROR(__xludf.DUMMYFUNCTION("""COMPUTED_VALUE"""),"#REF!")</f>
        <v>#REF!</v>
      </c>
      <c r="N5990" s="17"/>
      <c r="O5990" s="17"/>
      <c r="P5990" s="17" t="b">
        <f>IFERROR(__xludf.DUMMYFUNCTION("""COMPUTED_VALUE"""),FALSE)</f>
        <v>0</v>
      </c>
      <c r="Q5990" s="20" t="str">
        <f>IFERROR(__xludf.DUMMYFUNCTION("""COMPUTED_VALUE"""),"")</f>
        <v/>
      </c>
      <c r="R5990" s="22" t="str">
        <f>IFERROR(__xludf.DUMMYFUNCTION("""COMPUTED_VALUE"""),"")</f>
        <v/>
      </c>
    </row>
    <row r="5991">
      <c r="A5991" s="17" t="str">
        <f>IFERROR(__xludf.DUMMYFUNCTION("""COMPUTED_VALUE"""),"")</f>
        <v/>
      </c>
      <c r="B5991" s="17" t="str">
        <f>IFERROR(__xludf.DUMMYFUNCTION("""COMPUTED_VALUE"""),"")</f>
        <v/>
      </c>
      <c r="C5991" s="17" t="str">
        <f>IFERROR(__xludf.DUMMYFUNCTION("""COMPUTED_VALUE"""),"")</f>
        <v/>
      </c>
      <c r="D5991" s="17" t="str">
        <f>IFERROR(__xludf.DUMMYFUNCTION("""COMPUTED_VALUE"""),"")</f>
        <v/>
      </c>
      <c r="E5991" s="17" t="str">
        <f>IFERROR(__xludf.DUMMYFUNCTION("""COMPUTED_VALUE"""),"")</f>
        <v/>
      </c>
      <c r="F5991" s="17" t="str">
        <f>IFERROR(__xludf.DUMMYFUNCTION("""COMPUTED_VALUE"""),"")</f>
        <v/>
      </c>
      <c r="G5991" s="17" t="str">
        <f>IFERROR(__xludf.DUMMYFUNCTION("""COMPUTED_VALUE"""),"")</f>
        <v/>
      </c>
      <c r="H5991" s="17" t="str">
        <f>IFERROR(__xludf.DUMMYFUNCTION("""COMPUTED_VALUE"""),"")</f>
        <v/>
      </c>
      <c r="I5991" s="17" t="str">
        <f>IFERROR(__xludf.DUMMYFUNCTION("""COMPUTED_VALUE"""),"")</f>
        <v/>
      </c>
      <c r="J5991" s="17" t="str">
        <f>IFERROR(__xludf.DUMMYFUNCTION("""COMPUTED_VALUE"""),"")</f>
        <v/>
      </c>
      <c r="K5991" s="17" t="str">
        <f>IFERROR(__xludf.DUMMYFUNCTION("""COMPUTED_VALUE"""),"")</f>
        <v/>
      </c>
      <c r="L5991" s="17" t="str">
        <f>IFERROR(__xludf.DUMMYFUNCTION("""COMPUTED_VALUE"""),"")</f>
        <v/>
      </c>
      <c r="M5991" s="17" t="str">
        <f>IFERROR(__xludf.DUMMYFUNCTION("""COMPUTED_VALUE"""),"")</f>
        <v/>
      </c>
      <c r="N5991" s="17" t="str">
        <f>IFERROR(__xludf.DUMMYFUNCTION("""COMPUTED_VALUE"""),"")</f>
        <v/>
      </c>
      <c r="O5991" s="17" t="str">
        <f>IFERROR(__xludf.DUMMYFUNCTION("""COMPUTED_VALUE"""),"")</f>
        <v/>
      </c>
      <c r="P5991" s="17" t="str">
        <f>IFERROR(__xludf.DUMMYFUNCTION("""COMPUTED_VALUE"""),"")</f>
        <v/>
      </c>
      <c r="Q5991" s="17" t="str">
        <f>IFERROR(__xludf.DUMMYFUNCTION("""COMPUTED_VALUE"""),"")</f>
        <v/>
      </c>
      <c r="R5991" s="17" t="str">
        <f>IFERROR(__xludf.DUMMYFUNCTION("""COMPUTED_VALUE"""),"")</f>
        <v/>
      </c>
    </row>
    <row r="5992">
      <c r="A5992" s="15">
        <f>IFERROR(__xludf.DUMMYFUNCTION("""COMPUTED_VALUE"""),45174.0)</f>
        <v>45174</v>
      </c>
      <c r="B5992" s="16" t="str">
        <f>IFERROR(__xludf.DUMMYFUNCTION("""COMPUTED_VALUE"""),"Guillermo")</f>
        <v>Guillermo</v>
      </c>
      <c r="C5992" s="15" t="str">
        <f>IFERROR(__xludf.DUMMYFUNCTION("""COMPUTED_VALUE"""),"BUCARAMANGA")</f>
        <v>BUCARAMANGA</v>
      </c>
      <c r="D5992" s="15" t="str">
        <f>IFERROR(__xludf.DUMMYFUNCTION("""COMPUTED_VALUE"""),"BOGOTÁ")</f>
        <v>BOGOTÁ</v>
      </c>
      <c r="E5992" s="15" t="str">
        <f>IFERROR(__xludf.DUMMYFUNCTION("""COMPUTED_VALUE"""),"Lunchy Kids")</f>
        <v>Lunchy Kids</v>
      </c>
      <c r="F5992" s="17" t="str">
        <f>IFERROR(__xludf.DUMMYFUNCTION("""COMPUTED_VALUE"""),"Cr 41 # 40 - 131   / Edificio aqua Apartamento 3002  / Cabecera")</f>
        <v>Cr 41 # 40 - 131   / Edificio aqua Apartamento 3002  / Cabecera</v>
      </c>
      <c r="G5992" s="15" t="str">
        <f>IFERROR(__xludf.DUMMYFUNCTION("""COMPUTED_VALUE"""),"Natalia Martínez Ardila")</f>
        <v>Natalia Martínez Ardila</v>
      </c>
      <c r="H5992" s="16">
        <f>IFERROR(__xludf.DUMMYFUNCTION("""COMPUTED_VALUE"""),14690.0)</f>
        <v>14690</v>
      </c>
      <c r="I5992" s="18">
        <f>IFERROR(__xludf.DUMMYFUNCTION("""COMPUTED_VALUE"""),15.0)</f>
        <v>15</v>
      </c>
      <c r="J5992" s="18">
        <f>IFERROR(__xludf.DUMMYFUNCTION("""COMPUTED_VALUE"""),25.0)</f>
        <v>25</v>
      </c>
      <c r="K5992" s="18">
        <f>IFERROR(__xludf.DUMMYFUNCTION("""COMPUTED_VALUE"""),5.0)</f>
        <v>5</v>
      </c>
      <c r="L5992" s="17">
        <f>IFERROR(__xludf.DUMMYFUNCTION("""COMPUTED_VALUE"""),3.185159428E9)</f>
        <v>3185159428</v>
      </c>
      <c r="M5992" s="17" t="str">
        <f>IFERROR(__xludf.DUMMYFUNCTION("""COMPUTED_VALUE"""),"#REF!")</f>
        <v>#REF!</v>
      </c>
      <c r="N5992" s="17"/>
      <c r="O5992" s="17"/>
      <c r="P5992" s="17" t="b">
        <f>IFERROR(__xludf.DUMMYFUNCTION("""COMPUTED_VALUE"""),FALSE)</f>
        <v>0</v>
      </c>
      <c r="Q5992" s="20" t="str">
        <f>IFERROR(__xludf.DUMMYFUNCTION("""COMPUTED_VALUE"""),"")</f>
        <v/>
      </c>
      <c r="R5992" s="21" t="str">
        <f>IFERROR(__xludf.DUMMYFUNCTION("""COMPUTED_VALUE"""),"https://drive.google.com/file/d/1A9lnN7hyHK86zJbNuJKONHoiytuXok4a/view?usp=drivesdk")</f>
        <v>https://drive.google.com/file/d/1A9lnN7hyHK86zJbNuJKONHoiytuXok4a/view?usp=drivesdk</v>
      </c>
    </row>
    <row r="5993">
      <c r="A5993" s="15">
        <f>IFERROR(__xludf.DUMMYFUNCTION("""COMPUTED_VALUE"""),45174.0)</f>
        <v>45174</v>
      </c>
      <c r="B5993" s="16" t="str">
        <f>IFERROR(__xludf.DUMMYFUNCTION("""COMPUTED_VALUE"""),"Guillermo")</f>
        <v>Guillermo</v>
      </c>
      <c r="C5993" s="15" t="str">
        <f>IFERROR(__xludf.DUMMYFUNCTION("""COMPUTED_VALUE"""),"BUCARAMANGA")</f>
        <v>BUCARAMANGA</v>
      </c>
      <c r="D5993" s="15" t="str">
        <f>IFERROR(__xludf.DUMMYFUNCTION("""COMPUTED_VALUE"""),"MEDELLÍN")</f>
        <v>MEDELLÍN</v>
      </c>
      <c r="E5993" s="15" t="str">
        <f>IFERROR(__xludf.DUMMYFUNCTION("""COMPUTED_VALUE"""),"AREPAS LA MARY")</f>
        <v>AREPAS LA MARY</v>
      </c>
      <c r="F5993" s="17" t="str">
        <f>IFERROR(__xludf.DUMMYFUNCTION("""COMPUTED_VALUE"""),"calle 59 n 9 a -96 / oficina de envia")</f>
        <v>calle 59 n 9 a -96 / oficina de envia</v>
      </c>
      <c r="G5993" s="15" t="str">
        <f>IFERROR(__xludf.DUMMYFUNCTION("""COMPUTED_VALUE"""),"andrea luna")</f>
        <v>andrea luna</v>
      </c>
      <c r="H5993" s="16">
        <f>IFERROR(__xludf.DUMMYFUNCTION("""COMPUTED_VALUE"""),14700.0)</f>
        <v>14700</v>
      </c>
      <c r="I5993" s="18">
        <f>IFERROR(__xludf.DUMMYFUNCTION("""COMPUTED_VALUE"""),89.0)</f>
        <v>89</v>
      </c>
      <c r="J5993" s="18">
        <f>IFERROR(__xludf.DUMMYFUNCTION("""COMPUTED_VALUE"""),1.0)</f>
        <v>1</v>
      </c>
      <c r="K5993" s="18">
        <f>IFERROR(__xludf.DUMMYFUNCTION("""COMPUTED_VALUE"""),10.0)</f>
        <v>10</v>
      </c>
      <c r="L5993" s="17"/>
      <c r="M5993" s="17" t="str">
        <f>IFERROR(__xludf.DUMMYFUNCTION("""COMPUTED_VALUE"""),"#REF!")</f>
        <v>#REF!</v>
      </c>
      <c r="N5993" s="17"/>
      <c r="O5993" s="17"/>
      <c r="P5993" s="17" t="b">
        <f>IFERROR(__xludf.DUMMYFUNCTION("""COMPUTED_VALUE"""),FALSE)</f>
        <v>0</v>
      </c>
      <c r="Q5993" s="20" t="str">
        <f>IFERROR(__xludf.DUMMYFUNCTION("""COMPUTED_VALUE"""),"")</f>
        <v/>
      </c>
      <c r="R5993" s="21" t="str">
        <f>IFERROR(__xludf.DUMMYFUNCTION("""COMPUTED_VALUE"""),"https://drive.google.com/file/d/1rBA66ignxPWZ2JLdsY_GxNf17nXTxsYT/view?usp=drivesdk")</f>
        <v>https://drive.google.com/file/d/1rBA66ignxPWZ2JLdsY_GxNf17nXTxsYT/view?usp=drivesdk</v>
      </c>
    </row>
    <row r="5994">
      <c r="A5994" s="15">
        <f>IFERROR(__xludf.DUMMYFUNCTION("""COMPUTED_VALUE"""),45174.0)</f>
        <v>45174</v>
      </c>
      <c r="B5994" s="16" t="str">
        <f>IFERROR(__xludf.DUMMYFUNCTION("""COMPUTED_VALUE"""),"Guillermo")</f>
        <v>Guillermo</v>
      </c>
      <c r="C5994" s="15" t="str">
        <f>IFERROR(__xludf.DUMMYFUNCTION("""COMPUTED_VALUE"""),"FLORIDABLANCA")</f>
        <v>FLORIDABLANCA</v>
      </c>
      <c r="D5994" s="15" t="str">
        <f>IFERROR(__xludf.DUMMYFUNCTION("""COMPUTED_VALUE"""),"BOGOTÁ")</f>
        <v>BOGOTÁ</v>
      </c>
      <c r="E5994" s="15" t="str">
        <f>IFERROR(__xludf.DUMMYFUNCTION("""COMPUTED_VALUE"""),"Asociacion Agropecuaria Juana Maria")</f>
        <v>Asociacion Agropecuaria Juana Maria</v>
      </c>
      <c r="F5994" s="17" t="str">
        <f>IFERROR(__xludf.DUMMYFUNCTION("""COMPUTED_VALUE"""),"Calle 19 #11-37 Guanatá FLORIDABLANCA")</f>
        <v>Calle 19 #11-37 Guanatá FLORIDABLANCA</v>
      </c>
      <c r="G5994" s="15" t="str">
        <f>IFERROR(__xludf.DUMMYFUNCTION("""COMPUTED_VALUE"""),"Claudia Gonzalez")</f>
        <v>Claudia Gonzalez</v>
      </c>
      <c r="H5994" s="16">
        <f>IFERROR(__xludf.DUMMYFUNCTION("""COMPUTED_VALUE"""),14675.0)</f>
        <v>14675</v>
      </c>
      <c r="I5994" s="18">
        <f>IFERROR(__xludf.DUMMYFUNCTION("""COMPUTED_VALUE"""),21.0)</f>
        <v>21</v>
      </c>
      <c r="J5994" s="18">
        <f>IFERROR(__xludf.DUMMYFUNCTION("""COMPUTED_VALUE"""),37.0)</f>
        <v>37</v>
      </c>
      <c r="K5994" s="18">
        <f>IFERROR(__xludf.DUMMYFUNCTION("""COMPUTED_VALUE"""),30.0)</f>
        <v>30</v>
      </c>
      <c r="L5994" s="17">
        <f>IFERROR(__xludf.DUMMYFUNCTION("""COMPUTED_VALUE"""),3.002802001E9)</f>
        <v>3002802001</v>
      </c>
      <c r="M5994" s="17" t="str">
        <f>IFERROR(__xludf.DUMMYFUNCTION("""COMPUTED_VALUE"""),"#REF!")</f>
        <v>#REF!</v>
      </c>
      <c r="N5994" s="17"/>
      <c r="O5994" s="17"/>
      <c r="P5994" s="17" t="b">
        <f>IFERROR(__xludf.DUMMYFUNCTION("""COMPUTED_VALUE"""),FALSE)</f>
        <v>0</v>
      </c>
      <c r="Q5994" s="20" t="str">
        <f>IFERROR(__xludf.DUMMYFUNCTION("""COMPUTED_VALUE"""),"")</f>
        <v/>
      </c>
      <c r="R5994" s="22" t="str">
        <f>IFERROR(__xludf.DUMMYFUNCTION("""COMPUTED_VALUE"""),"")</f>
        <v/>
      </c>
    </row>
    <row r="5995">
      <c r="A5995" s="15">
        <f>IFERROR(__xludf.DUMMYFUNCTION("""COMPUTED_VALUE"""),45174.0)</f>
        <v>45174</v>
      </c>
      <c r="B5995" s="16" t="str">
        <f>IFERROR(__xludf.DUMMYFUNCTION("""COMPUTED_VALUE"""),"Guillermo")</f>
        <v>Guillermo</v>
      </c>
      <c r="C5995" s="15" t="str">
        <f>IFERROR(__xludf.DUMMYFUNCTION("""COMPUTED_VALUE"""),"FLORIDABLANCA")</f>
        <v>FLORIDABLANCA</v>
      </c>
      <c r="D5995" s="15" t="str">
        <f>IFERROR(__xludf.DUMMYFUNCTION("""COMPUTED_VALUE"""),"BOGOTÁ")</f>
        <v>BOGOTÁ</v>
      </c>
      <c r="E5995" s="15" t="str">
        <f>IFERROR(__xludf.DUMMYFUNCTION("""COMPUTED_VALUE"""),"Asociacion Agropecuaria Juana Maria")</f>
        <v>Asociacion Agropecuaria Juana Maria</v>
      </c>
      <c r="F5995" s="17" t="str">
        <f>IFERROR(__xludf.DUMMYFUNCTION("""COMPUTED_VALUE"""),"Calle 19 #11-37 Guanatá FLORIDABLANCA")</f>
        <v>Calle 19 #11-37 Guanatá FLORIDABLANCA</v>
      </c>
      <c r="G5995" s="15" t="str">
        <f>IFERROR(__xludf.DUMMYFUNCTION("""COMPUTED_VALUE"""),"Claudia Gonzalez")</f>
        <v>Claudia Gonzalez</v>
      </c>
      <c r="H5995" s="16">
        <f>IFERROR(__xludf.DUMMYFUNCTION("""COMPUTED_VALUE"""),14676.0)</f>
        <v>14676</v>
      </c>
      <c r="I5995" s="18">
        <f>IFERROR(__xludf.DUMMYFUNCTION("""COMPUTED_VALUE"""),16.0)</f>
        <v>16</v>
      </c>
      <c r="J5995" s="18">
        <f>IFERROR(__xludf.DUMMYFUNCTION("""COMPUTED_VALUE"""),34.0)</f>
        <v>34</v>
      </c>
      <c r="K5995" s="18">
        <f>IFERROR(__xludf.DUMMYFUNCTION("""COMPUTED_VALUE"""),25.0)</f>
        <v>25</v>
      </c>
      <c r="L5995" s="17">
        <f>IFERROR(__xludf.DUMMYFUNCTION("""COMPUTED_VALUE"""),3.002802001E9)</f>
        <v>3002802001</v>
      </c>
      <c r="M5995" s="17" t="str">
        <f>IFERROR(__xludf.DUMMYFUNCTION("""COMPUTED_VALUE"""),"#REF!")</f>
        <v>#REF!</v>
      </c>
      <c r="N5995" s="17"/>
      <c r="O5995" s="17"/>
      <c r="P5995" s="17" t="b">
        <f>IFERROR(__xludf.DUMMYFUNCTION("""COMPUTED_VALUE"""),FALSE)</f>
        <v>0</v>
      </c>
      <c r="Q5995" s="20" t="str">
        <f>IFERROR(__xludf.DUMMYFUNCTION("""COMPUTED_VALUE"""),"")</f>
        <v/>
      </c>
      <c r="R5995" s="22" t="str">
        <f>IFERROR(__xludf.DUMMYFUNCTION("""COMPUTED_VALUE"""),"")</f>
        <v/>
      </c>
    </row>
    <row r="5996">
      <c r="A5996" s="15">
        <f>IFERROR(__xludf.DUMMYFUNCTION("""COMPUTED_VALUE"""),45174.0)</f>
        <v>45174</v>
      </c>
      <c r="B5996" s="16" t="str">
        <f>IFERROR(__xludf.DUMMYFUNCTION("""COMPUTED_VALUE"""),"Guillermo")</f>
        <v>Guillermo</v>
      </c>
      <c r="C5996" s="15" t="str">
        <f>IFERROR(__xludf.DUMMYFUNCTION("""COMPUTED_VALUE"""),"FLORIDABLANCA")</f>
        <v>FLORIDABLANCA</v>
      </c>
      <c r="D5996" s="15" t="str">
        <f>IFERROR(__xludf.DUMMYFUNCTION("""COMPUTED_VALUE"""),"BOGOTÁ")</f>
        <v>BOGOTÁ</v>
      </c>
      <c r="E5996" s="15" t="str">
        <f>IFERROR(__xludf.DUMMYFUNCTION("""COMPUTED_VALUE"""),"Ins. Alimento Vital")</f>
        <v>Ins. Alimento Vital</v>
      </c>
      <c r="F5996" s="17" t="str">
        <f>IFERROR(__xludf.DUMMYFUNCTION("""COMPUTED_VALUE"""),"AUT BUCARAMANGA FLORIDABLANCA 149 164  / TR 2 AP 1706, CONJUNTO PARALELA 150 / CONJUNTO PARALELA 150")</f>
        <v>AUT BUCARAMANGA FLORIDABLANCA 149 164  / TR 2 AP 1706, CONJUNTO PARALELA 150 / CONJUNTO PARALELA 150</v>
      </c>
      <c r="G5996" s="15" t="str">
        <f>IFERROR(__xludf.DUMMYFUNCTION("""COMPUTED_VALUE"""),"SAYDA VIVIANA ESTEVEZ PACHECO")</f>
        <v>SAYDA VIVIANA ESTEVEZ PACHECO</v>
      </c>
      <c r="H5996" s="16">
        <f>IFERROR(__xludf.DUMMYFUNCTION("""COMPUTED_VALUE"""),14704.0)</f>
        <v>14704</v>
      </c>
      <c r="I5996" s="18">
        <f>IFERROR(__xludf.DUMMYFUNCTION("""COMPUTED_VALUE"""),1.0)</f>
        <v>1</v>
      </c>
      <c r="J5996" s="18">
        <f>IFERROR(__xludf.DUMMYFUNCTION("""COMPUTED_VALUE"""),1.0)</f>
        <v>1</v>
      </c>
      <c r="K5996" s="18">
        <f>IFERROR(__xludf.DUMMYFUNCTION("""COMPUTED_VALUE"""),1.0)</f>
        <v>1</v>
      </c>
      <c r="L5996" s="17">
        <f>IFERROR(__xludf.DUMMYFUNCTION("""COMPUTED_VALUE"""),3.023723626E9)</f>
        <v>3023723626</v>
      </c>
      <c r="M5996" s="17" t="str">
        <f>IFERROR(__xludf.DUMMYFUNCTION("""COMPUTED_VALUE"""),"#REF!")</f>
        <v>#REF!</v>
      </c>
      <c r="N5996" s="17"/>
      <c r="O5996" s="17"/>
      <c r="P5996" s="17" t="b">
        <f>IFERROR(__xludf.DUMMYFUNCTION("""COMPUTED_VALUE"""),FALSE)</f>
        <v>0</v>
      </c>
      <c r="Q5996" s="20" t="str">
        <f>IFERROR(__xludf.DUMMYFUNCTION("""COMPUTED_VALUE"""),"")</f>
        <v/>
      </c>
      <c r="R5996" s="21" t="str">
        <f>IFERROR(__xludf.DUMMYFUNCTION("""COMPUTED_VALUE"""),"https://drive.google.com/file/d/1zQ2qWbxXMgZdFhMv0cfMqba27Qa2wzd0/view?usp=drivesdk")</f>
        <v>https://drive.google.com/file/d/1zQ2qWbxXMgZdFhMv0cfMqba27Qa2wzd0/view?usp=drivesdk</v>
      </c>
    </row>
    <row r="5997">
      <c r="A5997" s="15">
        <f>IFERROR(__xludf.DUMMYFUNCTION("""COMPUTED_VALUE"""),45174.0)</f>
        <v>45174</v>
      </c>
      <c r="B5997" s="16" t="str">
        <f>IFERROR(__xludf.DUMMYFUNCTION("""COMPUTED_VALUE"""),"Guillermo")</f>
        <v>Guillermo</v>
      </c>
      <c r="C5997" s="15" t="str">
        <f>IFERROR(__xludf.DUMMYFUNCTION("""COMPUTED_VALUE"""),"FLORIDABLANCA")</f>
        <v>FLORIDABLANCA</v>
      </c>
      <c r="D5997" s="15" t="str">
        <f>IFERROR(__xludf.DUMMYFUNCTION("""COMPUTED_VALUE"""),"BOGOTÁ")</f>
        <v>BOGOTÁ</v>
      </c>
      <c r="E5997" s="15" t="str">
        <f>IFERROR(__xludf.DUMMYFUNCTION("""COMPUTED_VALUE"""),"Ins. Alimento Vital")</f>
        <v>Ins. Alimento Vital</v>
      </c>
      <c r="F5997" s="17" t="str">
        <f>IFERROR(__xludf.DUMMYFUNCTION("""COMPUTED_VALUE"""),"Cra.24 # 35-200  / CASA 10 /  D  villa cañaveral floridablanca.. ")</f>
        <v>Cra.24 # 35-200  / CASA 10 /  D  villa cañaveral floridablanca.. </v>
      </c>
      <c r="G5997" s="15" t="str">
        <f>IFERROR(__xludf.DUMMYFUNCTION("""COMPUTED_VALUE"""),"GRUPO EMPRESARIAL INGEANDES ENERGIAS RENOVABLES")</f>
        <v>GRUPO EMPRESARIAL INGEANDES ENERGIAS RENOVABLES</v>
      </c>
      <c r="H5997" s="16">
        <f>IFERROR(__xludf.DUMMYFUNCTION("""COMPUTED_VALUE"""),14705.0)</f>
        <v>14705</v>
      </c>
      <c r="I5997" s="18">
        <f>IFERROR(__xludf.DUMMYFUNCTION("""COMPUTED_VALUE"""),1.0)</f>
        <v>1</v>
      </c>
      <c r="J5997" s="18">
        <f>IFERROR(__xludf.DUMMYFUNCTION("""COMPUTED_VALUE"""),1.0)</f>
        <v>1</v>
      </c>
      <c r="K5997" s="18">
        <f>IFERROR(__xludf.DUMMYFUNCTION("""COMPUTED_VALUE"""),1.0)</f>
        <v>1</v>
      </c>
      <c r="L5997" s="17">
        <f>IFERROR(__xludf.DUMMYFUNCTION("""COMPUTED_VALUE"""),3.219516971E9)</f>
        <v>3219516971</v>
      </c>
      <c r="M5997" s="17" t="str">
        <f>IFERROR(__xludf.DUMMYFUNCTION("""COMPUTED_VALUE"""),"#REF!")</f>
        <v>#REF!</v>
      </c>
      <c r="N5997" s="17"/>
      <c r="O5997" s="17"/>
      <c r="P5997" s="17" t="b">
        <f>IFERROR(__xludf.DUMMYFUNCTION("""COMPUTED_VALUE"""),FALSE)</f>
        <v>0</v>
      </c>
      <c r="Q5997" s="20" t="str">
        <f>IFERROR(__xludf.DUMMYFUNCTION("""COMPUTED_VALUE"""),"")</f>
        <v/>
      </c>
      <c r="R5997" s="21" t="str">
        <f>IFERROR(__xludf.DUMMYFUNCTION("""COMPUTED_VALUE"""),"https://drive.google.com/file/d/1b3vSK1LG30uwqpocsZMYprKuYI9gpZPI/view?usp=drivesdk")</f>
        <v>https://drive.google.com/file/d/1b3vSK1LG30uwqpocsZMYprKuYI9gpZPI/view?usp=drivesdk</v>
      </c>
    </row>
    <row r="5998">
      <c r="A5998" s="15">
        <f>IFERROR(__xludf.DUMMYFUNCTION("""COMPUTED_VALUE"""),45174.0)</f>
        <v>45174</v>
      </c>
      <c r="B5998" s="16" t="str">
        <f>IFERROR(__xludf.DUMMYFUNCTION("""COMPUTED_VALUE"""),"Guillermo")</f>
        <v>Guillermo</v>
      </c>
      <c r="C5998" s="15" t="str">
        <f>IFERROR(__xludf.DUMMYFUNCTION("""COMPUTED_VALUE"""),"FLORIDABLANCA")</f>
        <v>FLORIDABLANCA</v>
      </c>
      <c r="D5998" s="15" t="str">
        <f>IFERROR(__xludf.DUMMYFUNCTION("""COMPUTED_VALUE"""),"BOGOTÁ")</f>
        <v>BOGOTÁ</v>
      </c>
      <c r="E5998" s="15" t="str">
        <f>IFERROR(__xludf.DUMMYFUNCTION("""COMPUTED_VALUE"""),"Lunchy Kids")</f>
        <v>Lunchy Kids</v>
      </c>
      <c r="F5998" s="17" t="str">
        <f>IFERROR(__xludf.DUMMYFUNCTION("""COMPUTED_VALUE"""),"Cra 20 # 158-162   / casa 26  / Jardines del campestre")</f>
        <v>Cra 20 # 158-162   / casa 26  / Jardines del campestre</v>
      </c>
      <c r="G5998" s="15" t="str">
        <f>IFERROR(__xludf.DUMMYFUNCTION("""COMPUTED_VALUE"""),"Laura Parra")</f>
        <v>Laura Parra</v>
      </c>
      <c r="H5998" s="16">
        <f>IFERROR(__xludf.DUMMYFUNCTION("""COMPUTED_VALUE"""),14686.0)</f>
        <v>14686</v>
      </c>
      <c r="I5998" s="18">
        <f>IFERROR(__xludf.DUMMYFUNCTION("""COMPUTED_VALUE"""),19.0)</f>
        <v>19</v>
      </c>
      <c r="J5998" s="18">
        <f>IFERROR(__xludf.DUMMYFUNCTION("""COMPUTED_VALUE"""),22.0)</f>
        <v>22</v>
      </c>
      <c r="K5998" s="18">
        <f>IFERROR(__xludf.DUMMYFUNCTION("""COMPUTED_VALUE"""),6.0)</f>
        <v>6</v>
      </c>
      <c r="L5998" s="17">
        <f>IFERROR(__xludf.DUMMYFUNCTION("""COMPUTED_VALUE"""),3.003054789E9)</f>
        <v>3003054789</v>
      </c>
      <c r="M5998" s="17" t="str">
        <f>IFERROR(__xludf.DUMMYFUNCTION("""COMPUTED_VALUE"""),"#REF!")</f>
        <v>#REF!</v>
      </c>
      <c r="N5998" s="17"/>
      <c r="O5998" s="17"/>
      <c r="P5998" s="17" t="b">
        <f>IFERROR(__xludf.DUMMYFUNCTION("""COMPUTED_VALUE"""),FALSE)</f>
        <v>0</v>
      </c>
      <c r="Q5998" s="20" t="str">
        <f>IFERROR(__xludf.DUMMYFUNCTION("""COMPUTED_VALUE"""),"")</f>
        <v/>
      </c>
      <c r="R5998" s="21" t="str">
        <f>IFERROR(__xludf.DUMMYFUNCTION("""COMPUTED_VALUE"""),"https://drive.google.com/file/d/13Sfpr2KPijGC6XA4IfUcps5D8yf52z-r/view?usp=drivesdk")</f>
        <v>https://drive.google.com/file/d/13Sfpr2KPijGC6XA4IfUcps5D8yf52z-r/view?usp=drivesdk</v>
      </c>
    </row>
    <row r="5999">
      <c r="A5999" s="15">
        <f>IFERROR(__xludf.DUMMYFUNCTION("""COMPUTED_VALUE"""),45174.0)</f>
        <v>45174</v>
      </c>
      <c r="B5999" s="16" t="str">
        <f>IFERROR(__xludf.DUMMYFUNCTION("""COMPUTED_VALUE"""),"Guillermo")</f>
        <v>Guillermo</v>
      </c>
      <c r="C5999" s="15" t="str">
        <f>IFERROR(__xludf.DUMMYFUNCTION("""COMPUTED_VALUE"""),"PEREIRA")</f>
        <v>PEREIRA</v>
      </c>
      <c r="D5999" s="15" t="str">
        <f>IFERROR(__xludf.DUMMYFUNCTION("""COMPUTED_VALUE"""),"MEDELLÍN")</f>
        <v>MEDELLÍN</v>
      </c>
      <c r="E5999" s="15" t="str">
        <f>IFERROR(__xludf.DUMMYFUNCTION("""COMPUTED_VALUE"""),"Puro Verde")</f>
        <v>Puro Verde</v>
      </c>
      <c r="F5999" s="17" t="str">
        <f>IFERROR(__xludf.DUMMYFUNCTION("""COMPUTED_VALUE"""),"CALLE 34  #20-50.  / APTO 1908. CONJUNTO RESIDENCIAL INGA  / LA GRAN RESERVA")</f>
        <v>CALLE 34  #20-50.  / APTO 1908. CONJUNTO RESIDENCIAL INGA  / LA GRAN RESERVA</v>
      </c>
      <c r="G5999" s="15" t="str">
        <f>IFERROR(__xludf.DUMMYFUNCTION("""COMPUTED_VALUE"""),"JHON EDINSON GIRALDO")</f>
        <v>JHON EDINSON GIRALDO</v>
      </c>
      <c r="H5999" s="16">
        <f>IFERROR(__xludf.DUMMYFUNCTION("""COMPUTED_VALUE"""),14662.0)</f>
        <v>14662</v>
      </c>
      <c r="I5999" s="18">
        <f>IFERROR(__xludf.DUMMYFUNCTION("""COMPUTED_VALUE"""),45149.0)</f>
        <v>45149</v>
      </c>
      <c r="J5999" s="18">
        <f>IFERROR(__xludf.DUMMYFUNCTION("""COMPUTED_VALUE"""),45185.0)</f>
        <v>45185</v>
      </c>
      <c r="K5999" s="18" t="str">
        <f>IFERROR(__xludf.DUMMYFUNCTION("""COMPUTED_VALUE"""),"44.1")</f>
        <v>44.1</v>
      </c>
      <c r="L5999" s="17">
        <f>IFERROR(__xludf.DUMMYFUNCTION("""COMPUTED_VALUE"""),3.217712746E9)</f>
        <v>3217712746</v>
      </c>
      <c r="M5999" s="17" t="str">
        <f>IFERROR(__xludf.DUMMYFUNCTION("""COMPUTED_VALUE"""),"#REF!")</f>
        <v>#REF!</v>
      </c>
      <c r="N5999" s="17"/>
      <c r="O5999" s="17"/>
      <c r="P5999" s="17" t="b">
        <f>IFERROR(__xludf.DUMMYFUNCTION("""COMPUTED_VALUE"""),FALSE)</f>
        <v>0</v>
      </c>
      <c r="Q5999" s="20" t="str">
        <f>IFERROR(__xludf.DUMMYFUNCTION("""COMPUTED_VALUE"""),"")</f>
        <v/>
      </c>
      <c r="R5999" s="21" t="str">
        <f>IFERROR(__xludf.DUMMYFUNCTION("""COMPUTED_VALUE"""),"https://drive.google.com/file/d/1dhALf8tdEXnH8llZW8cIOr8VSxcBYO_4/view?usp=drivesdk")</f>
        <v>https://drive.google.com/file/d/1dhALf8tdEXnH8llZW8cIOr8VSxcBYO_4/view?usp=drivesdk</v>
      </c>
    </row>
    <row r="6000">
      <c r="A6000" s="15">
        <f>IFERROR(__xludf.DUMMYFUNCTION("""COMPUTED_VALUE"""),45174.0)</f>
        <v>45174</v>
      </c>
      <c r="B6000" s="16" t="str">
        <f>IFERROR(__xludf.DUMMYFUNCTION("""COMPUTED_VALUE"""),"Guillermo")</f>
        <v>Guillermo</v>
      </c>
      <c r="C6000" s="15" t="str">
        <f>IFERROR(__xludf.DUMMYFUNCTION("""COMPUTED_VALUE"""),"PEREIRA")</f>
        <v>PEREIRA</v>
      </c>
      <c r="D6000" s="15" t="str">
        <f>IFERROR(__xludf.DUMMYFUNCTION("""COMPUTED_VALUE"""),"MEDELLÍN")</f>
        <v>MEDELLÍN</v>
      </c>
      <c r="E6000" s="15" t="str">
        <f>IFERROR(__xludf.DUMMYFUNCTION("""COMPUTED_VALUE"""),"TOLEDALES S.A.S")</f>
        <v>TOLEDALES S.A.S</v>
      </c>
      <c r="F6000" s="17" t="str">
        <f>IFERROR(__xludf.DUMMYFUNCTION("""COMPUTED_VALUE"""),"Manzana 42 casa 13 piso 2 Samaria 1")</f>
        <v>Manzana 42 casa 13 piso 2 Samaria 1</v>
      </c>
      <c r="G6000" s="15" t="str">
        <f>IFERROR(__xludf.DUMMYFUNCTION("""COMPUTED_VALUE"""),"luz omaida jimenez")</f>
        <v>luz omaida jimenez</v>
      </c>
      <c r="H6000" s="16">
        <f>IFERROR(__xludf.DUMMYFUNCTION("""COMPUTED_VALUE"""),14664.0)</f>
        <v>14664</v>
      </c>
      <c r="I6000" s="18">
        <f>IFERROR(__xludf.DUMMYFUNCTION("""COMPUTED_VALUE"""),16.0)</f>
        <v>16</v>
      </c>
      <c r="J6000" s="18">
        <f>IFERROR(__xludf.DUMMYFUNCTION("""COMPUTED_VALUE"""),36.0)</f>
        <v>36</v>
      </c>
      <c r="K6000" s="18">
        <f>IFERROR(__xludf.DUMMYFUNCTION("""COMPUTED_VALUE"""),39.0)</f>
        <v>39</v>
      </c>
      <c r="L6000" s="17">
        <f>IFERROR(__xludf.DUMMYFUNCTION("""COMPUTED_VALUE"""),3.14562573E9)</f>
        <v>3145625730</v>
      </c>
      <c r="M6000" s="17" t="str">
        <f>IFERROR(__xludf.DUMMYFUNCTION("""COMPUTED_VALUE"""),"#REF!")</f>
        <v>#REF!</v>
      </c>
      <c r="N6000" s="17"/>
      <c r="O6000" s="17"/>
      <c r="P6000" s="17" t="b">
        <f>IFERROR(__xludf.DUMMYFUNCTION("""COMPUTED_VALUE"""),FALSE)</f>
        <v>0</v>
      </c>
      <c r="Q6000" s="20" t="str">
        <f>IFERROR(__xludf.DUMMYFUNCTION("""COMPUTED_VALUE"""),"")</f>
        <v/>
      </c>
      <c r="R6000" s="21" t="str">
        <f>IFERROR(__xludf.DUMMYFUNCTION("""COMPUTED_VALUE"""),"https://drive.google.com/file/d/1XX_RncJwt9qkmHYunM9BXQcj38_XVdni/view?usp=drivesdk")</f>
        <v>https://drive.google.com/file/d/1XX_RncJwt9qkmHYunM9BXQcj38_XVdni/view?usp=drivesdk</v>
      </c>
    </row>
    <row r="6001">
      <c r="A6001" s="15">
        <f>IFERROR(__xludf.DUMMYFUNCTION("""COMPUTED_VALUE"""),45174.0)</f>
        <v>45174</v>
      </c>
      <c r="B6001" s="16" t="str">
        <f>IFERROR(__xludf.DUMMYFUNCTION("""COMPUTED_VALUE"""),"Guillermo")</f>
        <v>Guillermo</v>
      </c>
      <c r="C6001" s="15" t="str">
        <f>IFERROR(__xludf.DUMMYFUNCTION("""COMPUTED_VALUE"""),"PIEDECUESTA")</f>
        <v>PIEDECUESTA</v>
      </c>
      <c r="D6001" s="15" t="str">
        <f>IFERROR(__xludf.DUMMYFUNCTION("""COMPUTED_VALUE"""),"BOGOTÁ")</f>
        <v>BOGOTÁ</v>
      </c>
      <c r="E6001" s="15" t="str">
        <f>IFERROR(__xludf.DUMMYFUNCTION("""COMPUTED_VALUE"""),"Evamazzita")</f>
        <v>Evamazzita</v>
      </c>
      <c r="F6001" s="17" t="str">
        <f>IFERROR(__xludf.DUMMYFUNCTION("""COMPUTED_VALUE"""),"Cra 18 No. 2A 56 CR / Terrazas de San Francisco, Apto. 807")</f>
        <v>Cra 18 No. 2A 56 CR / Terrazas de San Francisco, Apto. 807</v>
      </c>
      <c r="G6001" s="15" t="str">
        <f>IFERROR(__xludf.DUMMYFUNCTION("""COMPUTED_VALUE"""),"ALEJANDRA TELLEZ DELGADO")</f>
        <v>ALEJANDRA TELLEZ DELGADO</v>
      </c>
      <c r="H6001" s="16">
        <f>IFERROR(__xludf.DUMMYFUNCTION("""COMPUTED_VALUE"""),14749.0)</f>
        <v>14749</v>
      </c>
      <c r="I6001" s="18">
        <f>IFERROR(__xludf.DUMMYFUNCTION("""COMPUTED_VALUE"""),1.0)</f>
        <v>1</v>
      </c>
      <c r="J6001" s="18">
        <f>IFERROR(__xludf.DUMMYFUNCTION("""COMPUTED_VALUE"""),1.0)</f>
        <v>1</v>
      </c>
      <c r="K6001" s="18">
        <f>IFERROR(__xludf.DUMMYFUNCTION("""COMPUTED_VALUE"""),1.0)</f>
        <v>1</v>
      </c>
      <c r="L6001" s="17">
        <f>IFERROR(__xludf.DUMMYFUNCTION("""COMPUTED_VALUE"""),3.157767771E9)</f>
        <v>3157767771</v>
      </c>
      <c r="M6001" s="17" t="str">
        <f>IFERROR(__xludf.DUMMYFUNCTION("""COMPUTED_VALUE"""),"#REF!")</f>
        <v>#REF!</v>
      </c>
      <c r="N6001" s="17"/>
      <c r="O6001" s="17"/>
      <c r="P6001" s="17" t="b">
        <f>IFERROR(__xludf.DUMMYFUNCTION("""COMPUTED_VALUE"""),FALSE)</f>
        <v>0</v>
      </c>
      <c r="Q6001" s="20" t="str">
        <f>IFERROR(__xludf.DUMMYFUNCTION("""COMPUTED_VALUE"""),"")</f>
        <v/>
      </c>
      <c r="R6001" s="21" t="str">
        <f>IFERROR(__xludf.DUMMYFUNCTION("""COMPUTED_VALUE"""),"https://drive.google.com/file/d/1EmNKFtBtuGbmOZuj4qmiOk0BLyb6S5g8/view?usp=drivesdk")</f>
        <v>https://drive.google.com/file/d/1EmNKFtBtuGbmOZuj4qmiOk0BLyb6S5g8/view?usp=drivesdk</v>
      </c>
    </row>
    <row r="6002">
      <c r="A6002" s="17" t="str">
        <f>IFERROR(__xludf.DUMMYFUNCTION("""COMPUTED_VALUE"""),"")</f>
        <v/>
      </c>
      <c r="B6002" s="17" t="str">
        <f>IFERROR(__xludf.DUMMYFUNCTION("""COMPUTED_VALUE"""),"")</f>
        <v/>
      </c>
      <c r="C6002" s="17" t="str">
        <f>IFERROR(__xludf.DUMMYFUNCTION("""COMPUTED_VALUE"""),"")</f>
        <v/>
      </c>
      <c r="D6002" s="17" t="str">
        <f>IFERROR(__xludf.DUMMYFUNCTION("""COMPUTED_VALUE"""),"")</f>
        <v/>
      </c>
      <c r="E6002" s="17" t="str">
        <f>IFERROR(__xludf.DUMMYFUNCTION("""COMPUTED_VALUE"""),"")</f>
        <v/>
      </c>
      <c r="F6002" s="17" t="str">
        <f>IFERROR(__xludf.DUMMYFUNCTION("""COMPUTED_VALUE"""),"")</f>
        <v/>
      </c>
      <c r="G6002" s="17" t="str">
        <f>IFERROR(__xludf.DUMMYFUNCTION("""COMPUTED_VALUE"""),"")</f>
        <v/>
      </c>
      <c r="H6002" s="17" t="str">
        <f>IFERROR(__xludf.DUMMYFUNCTION("""COMPUTED_VALUE"""),"")</f>
        <v/>
      </c>
      <c r="I6002" s="17" t="str">
        <f>IFERROR(__xludf.DUMMYFUNCTION("""COMPUTED_VALUE"""),"")</f>
        <v/>
      </c>
      <c r="J6002" s="17" t="str">
        <f>IFERROR(__xludf.DUMMYFUNCTION("""COMPUTED_VALUE"""),"")</f>
        <v/>
      </c>
      <c r="K6002" s="17" t="str">
        <f>IFERROR(__xludf.DUMMYFUNCTION("""COMPUTED_VALUE"""),"")</f>
        <v/>
      </c>
      <c r="L6002" s="17" t="str">
        <f>IFERROR(__xludf.DUMMYFUNCTION("""COMPUTED_VALUE"""),"")</f>
        <v/>
      </c>
      <c r="M6002" s="17" t="str">
        <f>IFERROR(__xludf.DUMMYFUNCTION("""COMPUTED_VALUE"""),"")</f>
        <v/>
      </c>
      <c r="N6002" s="17" t="str">
        <f>IFERROR(__xludf.DUMMYFUNCTION("""COMPUTED_VALUE"""),"")</f>
        <v/>
      </c>
      <c r="O6002" s="17" t="str">
        <f>IFERROR(__xludf.DUMMYFUNCTION("""COMPUTED_VALUE"""),"")</f>
        <v/>
      </c>
      <c r="P6002" s="17" t="str">
        <f>IFERROR(__xludf.DUMMYFUNCTION("""COMPUTED_VALUE"""),"")</f>
        <v/>
      </c>
      <c r="Q6002" s="17" t="str">
        <f>IFERROR(__xludf.DUMMYFUNCTION("""COMPUTED_VALUE"""),"")</f>
        <v/>
      </c>
      <c r="R6002" s="17" t="str">
        <f>IFERROR(__xludf.DUMMYFUNCTION("""COMPUTED_VALUE"""),"")</f>
        <v/>
      </c>
    </row>
    <row r="6003">
      <c r="A6003" s="15">
        <f>IFERROR(__xludf.DUMMYFUNCTION("""COMPUTED_VALUE"""),45174.0)</f>
        <v>45174</v>
      </c>
      <c r="B6003" s="16" t="str">
        <f>IFERROR(__xludf.DUMMYFUNCTION("""COMPUTED_VALUE"""),"Jhon Anderson Ceballos Hernandez")</f>
        <v>Jhon Anderson Ceballos Hernandez</v>
      </c>
      <c r="C6003" s="15" t="str">
        <f>IFERROR(__xludf.DUMMYFUNCTION("""COMPUTED_VALUE"""),"MANIZALES")</f>
        <v>MANIZALES</v>
      </c>
      <c r="D6003" s="15" t="str">
        <f>IFERROR(__xludf.DUMMYFUNCTION("""COMPUTED_VALUE"""),"BOGOTÁ")</f>
        <v>BOGOTÁ</v>
      </c>
      <c r="E6003" s="15" t="str">
        <f>IFERROR(__xludf.DUMMYFUNCTION("""COMPUTED_VALUE"""),"Evamazzita")</f>
        <v>Evamazzita</v>
      </c>
      <c r="F6003" s="17" t="str">
        <f>IFERROR(__xludf.DUMMYFUNCTION("""COMPUTED_VALUE"""),"RECOJE CENTRO DE ACOPIO / CENTRO DE ACOPIO")</f>
        <v>RECOJE CENTRO DE ACOPIO / CENTRO DE ACOPIO</v>
      </c>
      <c r="G6003" s="15" t="str">
        <f>IFERROR(__xludf.DUMMYFUNCTION("""COMPUTED_VALUE"""),"DIANA CAROLINA DUQUE EUSSE")</f>
        <v>DIANA CAROLINA DUQUE EUSSE</v>
      </c>
      <c r="H6003" s="16">
        <f>IFERROR(__xludf.DUMMYFUNCTION("""COMPUTED_VALUE"""),14744.0)</f>
        <v>14744</v>
      </c>
      <c r="I6003" s="18">
        <f>IFERROR(__xludf.DUMMYFUNCTION("""COMPUTED_VALUE"""),1.0)</f>
        <v>1</v>
      </c>
      <c r="J6003" s="18">
        <f>IFERROR(__xludf.DUMMYFUNCTION("""COMPUTED_VALUE"""),1.0)</f>
        <v>1</v>
      </c>
      <c r="K6003" s="18">
        <f>IFERROR(__xludf.DUMMYFUNCTION("""COMPUTED_VALUE"""),1.0)</f>
        <v>1</v>
      </c>
      <c r="L6003" s="17">
        <f>IFERROR(__xludf.DUMMYFUNCTION("""COMPUTED_VALUE"""),3.113507939E9)</f>
        <v>3113507939</v>
      </c>
      <c r="M6003" s="17" t="str">
        <f>IFERROR(__xludf.DUMMYFUNCTION("""COMPUTED_VALUE"""),"#REF!")</f>
        <v>#REF!</v>
      </c>
      <c r="N6003" s="17"/>
      <c r="O6003" s="17"/>
      <c r="P6003" s="17" t="b">
        <f>IFERROR(__xludf.DUMMYFUNCTION("""COMPUTED_VALUE"""),FALSE)</f>
        <v>0</v>
      </c>
      <c r="Q6003" s="20" t="str">
        <f>IFERROR(__xludf.DUMMYFUNCTION("""COMPUTED_VALUE"""),"")</f>
        <v/>
      </c>
      <c r="R6003" s="22" t="str">
        <f>IFERROR(__xludf.DUMMYFUNCTION("""COMPUTED_VALUE"""),"")</f>
        <v/>
      </c>
    </row>
    <row r="6004">
      <c r="A6004" s="15">
        <f>IFERROR(__xludf.DUMMYFUNCTION("""COMPUTED_VALUE"""),45174.0)</f>
        <v>45174</v>
      </c>
      <c r="B6004" s="16" t="str">
        <f>IFERROR(__xludf.DUMMYFUNCTION("""COMPUTED_VALUE"""),"Jhon Anderson Ceballos Hernandez")</f>
        <v>Jhon Anderson Ceballos Hernandez</v>
      </c>
      <c r="C6004" s="15" t="str">
        <f>IFERROR(__xludf.DUMMYFUNCTION("""COMPUTED_VALUE"""),"MANIZALES")</f>
        <v>MANIZALES</v>
      </c>
      <c r="D6004" s="15" t="str">
        <f>IFERROR(__xludf.DUMMYFUNCTION("""COMPUTED_VALUE"""),"BOGOTÁ")</f>
        <v>BOGOTÁ</v>
      </c>
      <c r="E6004" s="15" t="str">
        <f>IFERROR(__xludf.DUMMYFUNCTION("""COMPUTED_VALUE"""),"Ins. Alimento Vital")</f>
        <v>Ins. Alimento Vital</v>
      </c>
      <c r="F6004" s="17" t="str">
        <f>IFERROR(__xludf.DUMMYFUNCTION("""COMPUTED_VALUE"""),"CL 71 1 516 / CASA 216 / CONJUNTO VALLES DE LA FLORIDA")</f>
        <v>CL 71 1 516 / CASA 216 / CONJUNTO VALLES DE LA FLORIDA</v>
      </c>
      <c r="G6004" s="15" t="str">
        <f>IFERROR(__xludf.DUMMYFUNCTION("""COMPUTED_VALUE"""),"DEYSI CRISTINA QUINTERO DIAZ")</f>
        <v>DEYSI CRISTINA QUINTERO DIAZ</v>
      </c>
      <c r="H6004" s="16">
        <f>IFERROR(__xludf.DUMMYFUNCTION("""COMPUTED_VALUE"""),14707.0)</f>
        <v>14707</v>
      </c>
      <c r="I6004" s="18">
        <f>IFERROR(__xludf.DUMMYFUNCTION("""COMPUTED_VALUE"""),1.0)</f>
        <v>1</v>
      </c>
      <c r="J6004" s="18">
        <f>IFERROR(__xludf.DUMMYFUNCTION("""COMPUTED_VALUE"""),1.0)</f>
        <v>1</v>
      </c>
      <c r="K6004" s="18">
        <f>IFERROR(__xludf.DUMMYFUNCTION("""COMPUTED_VALUE"""),1.0)</f>
        <v>1</v>
      </c>
      <c r="L6004" s="17">
        <f>IFERROR(__xludf.DUMMYFUNCTION("""COMPUTED_VALUE"""),3.008212071E9)</f>
        <v>3008212071</v>
      </c>
      <c r="M6004" s="17" t="str">
        <f>IFERROR(__xludf.DUMMYFUNCTION("""COMPUTED_VALUE"""),"#REF!")</f>
        <v>#REF!</v>
      </c>
      <c r="N6004" s="17"/>
      <c r="O6004" s="17"/>
      <c r="P6004" s="17" t="b">
        <f>IFERROR(__xludf.DUMMYFUNCTION("""COMPUTED_VALUE"""),FALSE)</f>
        <v>0</v>
      </c>
      <c r="Q6004" s="20" t="str">
        <f>IFERROR(__xludf.DUMMYFUNCTION("""COMPUTED_VALUE"""),"")</f>
        <v/>
      </c>
      <c r="R6004" s="22" t="str">
        <f>IFERROR(__xludf.DUMMYFUNCTION("""COMPUTED_VALUE"""),"")</f>
        <v/>
      </c>
    </row>
    <row r="6005">
      <c r="A6005" s="15">
        <f>IFERROR(__xludf.DUMMYFUNCTION("""COMPUTED_VALUE"""),45174.0)</f>
        <v>45174</v>
      </c>
      <c r="B6005" s="16" t="str">
        <f>IFERROR(__xludf.DUMMYFUNCTION("""COMPUTED_VALUE"""),"Jhon Anderson Ceballos Hernandez")</f>
        <v>Jhon Anderson Ceballos Hernandez</v>
      </c>
      <c r="C6005" s="15" t="str">
        <f>IFERROR(__xludf.DUMMYFUNCTION("""COMPUTED_VALUE"""),"MANIZALES")</f>
        <v>MANIZALES</v>
      </c>
      <c r="D6005" s="15" t="str">
        <f>IFERROR(__xludf.DUMMYFUNCTION("""COMPUTED_VALUE"""),"MEDELLÍN")</f>
        <v>MEDELLÍN</v>
      </c>
      <c r="E6005" s="15" t="str">
        <f>IFERROR(__xludf.DUMMYFUNCTION("""COMPUTED_VALUE"""),"AREPAS LA MARY")</f>
        <v>AREPAS LA MARY</v>
      </c>
      <c r="F6005" s="17" t="str">
        <f>IFERROR(__xludf.DUMMYFUNCTION("""COMPUTED_VALUE"""),"calle 12 n 3b 100 / pinares de cooprocal apto 302")</f>
        <v>calle 12 n 3b 100 / pinares de cooprocal apto 302</v>
      </c>
      <c r="G6005" s="15" t="str">
        <f>IFERROR(__xludf.DUMMYFUNCTION("""COMPUTED_VALUE"""),"estefania rodas")</f>
        <v>estefania rodas</v>
      </c>
      <c r="H6005" s="16">
        <f>IFERROR(__xludf.DUMMYFUNCTION("""COMPUTED_VALUE"""),14692.0)</f>
        <v>14692</v>
      </c>
      <c r="I6005" s="18">
        <f>IFERROR(__xludf.DUMMYFUNCTION("""COMPUTED_VALUE"""),89.0)</f>
        <v>89</v>
      </c>
      <c r="J6005" s="18">
        <f>IFERROR(__xludf.DUMMYFUNCTION("""COMPUTED_VALUE"""),1.0)</f>
        <v>1</v>
      </c>
      <c r="K6005" s="18">
        <f>IFERROR(__xludf.DUMMYFUNCTION("""COMPUTED_VALUE"""),10.0)</f>
        <v>10</v>
      </c>
      <c r="L6005" s="17">
        <f>IFERROR(__xludf.DUMMYFUNCTION("""COMPUTED_VALUE"""),3.185308099E9)</f>
        <v>3185308099</v>
      </c>
      <c r="M6005" s="17" t="str">
        <f>IFERROR(__xludf.DUMMYFUNCTION("""COMPUTED_VALUE"""),"#REF!")</f>
        <v>#REF!</v>
      </c>
      <c r="N6005" s="17"/>
      <c r="O6005" s="17"/>
      <c r="P6005" s="17" t="b">
        <f>IFERROR(__xludf.DUMMYFUNCTION("""COMPUTED_VALUE"""),FALSE)</f>
        <v>0</v>
      </c>
      <c r="Q6005" s="20" t="str">
        <f>IFERROR(__xludf.DUMMYFUNCTION("""COMPUTED_VALUE"""),"")</f>
        <v/>
      </c>
      <c r="R6005" s="21" t="str">
        <f>IFERROR(__xludf.DUMMYFUNCTION("""COMPUTED_VALUE"""),"https://drive.google.com/file/d/1ZUoUdDzdHL6Y7UyJ1MI_HHiodeW-Eui_/view?usp=drivesdk")</f>
        <v>https://drive.google.com/file/d/1ZUoUdDzdHL6Y7UyJ1MI_HHiodeW-Eui_/view?usp=drivesdk</v>
      </c>
    </row>
    <row r="6006">
      <c r="A6006" s="15">
        <f>IFERROR(__xludf.DUMMYFUNCTION("""COMPUTED_VALUE"""),45174.0)</f>
        <v>45174</v>
      </c>
      <c r="B6006" s="16" t="str">
        <f>IFERROR(__xludf.DUMMYFUNCTION("""COMPUTED_VALUE"""),"Jhon Anderson Ceballos Hernandez")</f>
        <v>Jhon Anderson Ceballos Hernandez</v>
      </c>
      <c r="C6006" s="15" t="str">
        <f>IFERROR(__xludf.DUMMYFUNCTION("""COMPUTED_VALUE"""),"MANIZALES")</f>
        <v>MANIZALES</v>
      </c>
      <c r="D6006" s="15" t="str">
        <f>IFERROR(__xludf.DUMMYFUNCTION("""COMPUTED_VALUE"""),"MEDELLÍN")</f>
        <v>MEDELLÍN</v>
      </c>
      <c r="E6006" s="15" t="str">
        <f>IFERROR(__xludf.DUMMYFUNCTION("""COMPUTED_VALUE"""),"Baby Chef")</f>
        <v>Baby Chef</v>
      </c>
      <c r="F6006" s="17" t="str">
        <f>IFERROR(__xludf.DUMMYFUNCTION("""COMPUTED_VALUE"""),"Cra 23A Nro. 59-45  Edificio Multicentro Estrella apto 701 Barrio Estrella  / Cra 23A Nro. 59-45  Edificio Multicentro Estrella apto 701 Barrio Estrella  / Cra 23A Nro. 59-45  Edificio Multicentro Estrella apto 701 Barrio Estrella")</f>
        <v>Cra 23A Nro. 59-45  Edificio Multicentro Estrella apto 701 Barrio Estrella  / Cra 23A Nro. 59-45  Edificio Multicentro Estrella apto 701 Barrio Estrella  / Cra 23A Nro. 59-45  Edificio Multicentro Estrella apto 701 Barrio Estrella</v>
      </c>
      <c r="G6006" s="15" t="str">
        <f>IFERROR(__xludf.DUMMYFUNCTION("""COMPUTED_VALUE"""),"Daniela Marulanda")</f>
        <v>Daniela Marulanda</v>
      </c>
      <c r="H6006" s="16">
        <f>IFERROR(__xludf.DUMMYFUNCTION("""COMPUTED_VALUE"""),14726.0)</f>
        <v>14726</v>
      </c>
      <c r="I6006" s="18">
        <f>IFERROR(__xludf.DUMMYFUNCTION("""COMPUTED_VALUE"""),7.0)</f>
        <v>7</v>
      </c>
      <c r="J6006" s="18">
        <f>IFERROR(__xludf.DUMMYFUNCTION("""COMPUTED_VALUE"""),21.0)</f>
        <v>21</v>
      </c>
      <c r="K6006" s="18">
        <f>IFERROR(__xludf.DUMMYFUNCTION("""COMPUTED_VALUE"""),33.0)</f>
        <v>33</v>
      </c>
      <c r="L6006" s="17">
        <f>IFERROR(__xludf.DUMMYFUNCTION("""COMPUTED_VALUE"""),3.103846096E9)</f>
        <v>3103846096</v>
      </c>
      <c r="M6006" s="17" t="str">
        <f>IFERROR(__xludf.DUMMYFUNCTION("""COMPUTED_VALUE"""),"#REF!")</f>
        <v>#REF!</v>
      </c>
      <c r="N6006" s="17"/>
      <c r="O6006" s="17"/>
      <c r="P6006" s="17" t="b">
        <f>IFERROR(__xludf.DUMMYFUNCTION("""COMPUTED_VALUE"""),FALSE)</f>
        <v>0</v>
      </c>
      <c r="Q6006" s="20" t="str">
        <f>IFERROR(__xludf.DUMMYFUNCTION("""COMPUTED_VALUE"""),"")</f>
        <v/>
      </c>
      <c r="R6006" s="21" t="str">
        <f>IFERROR(__xludf.DUMMYFUNCTION("""COMPUTED_VALUE"""),"https://drive.google.com/file/d/17T--hrV5-IJFkXo0FxZbtqf9phHV0WK4/view?usp=drivesdk")</f>
        <v>https://drive.google.com/file/d/17T--hrV5-IJFkXo0FxZbtqf9phHV0WK4/view?usp=drivesdk</v>
      </c>
    </row>
    <row r="6007">
      <c r="A6007" s="17" t="str">
        <f>IFERROR(__xludf.DUMMYFUNCTION("""COMPUTED_VALUE"""),"")</f>
        <v/>
      </c>
      <c r="B6007" s="17" t="str">
        <f>IFERROR(__xludf.DUMMYFUNCTION("""COMPUTED_VALUE"""),"")</f>
        <v/>
      </c>
      <c r="C6007" s="17" t="str">
        <f>IFERROR(__xludf.DUMMYFUNCTION("""COMPUTED_VALUE"""),"")</f>
        <v/>
      </c>
      <c r="D6007" s="17" t="str">
        <f>IFERROR(__xludf.DUMMYFUNCTION("""COMPUTED_VALUE"""),"")</f>
        <v/>
      </c>
      <c r="E6007" s="17" t="str">
        <f>IFERROR(__xludf.DUMMYFUNCTION("""COMPUTED_VALUE"""),"")</f>
        <v/>
      </c>
      <c r="F6007" s="17" t="str">
        <f>IFERROR(__xludf.DUMMYFUNCTION("""COMPUTED_VALUE"""),"")</f>
        <v/>
      </c>
      <c r="G6007" s="17" t="str">
        <f>IFERROR(__xludf.DUMMYFUNCTION("""COMPUTED_VALUE"""),"")</f>
        <v/>
      </c>
      <c r="H6007" s="17" t="str">
        <f>IFERROR(__xludf.DUMMYFUNCTION("""COMPUTED_VALUE"""),"")</f>
        <v/>
      </c>
      <c r="I6007" s="17" t="str">
        <f>IFERROR(__xludf.DUMMYFUNCTION("""COMPUTED_VALUE"""),"")</f>
        <v/>
      </c>
      <c r="J6007" s="17" t="str">
        <f>IFERROR(__xludf.DUMMYFUNCTION("""COMPUTED_VALUE"""),"")</f>
        <v/>
      </c>
      <c r="K6007" s="17" t="str">
        <f>IFERROR(__xludf.DUMMYFUNCTION("""COMPUTED_VALUE"""),"")</f>
        <v/>
      </c>
      <c r="L6007" s="17" t="str">
        <f>IFERROR(__xludf.DUMMYFUNCTION("""COMPUTED_VALUE"""),"")</f>
        <v/>
      </c>
      <c r="M6007" s="17" t="str">
        <f>IFERROR(__xludf.DUMMYFUNCTION("""COMPUTED_VALUE"""),"")</f>
        <v/>
      </c>
      <c r="N6007" s="17" t="str">
        <f>IFERROR(__xludf.DUMMYFUNCTION("""COMPUTED_VALUE"""),"")</f>
        <v/>
      </c>
      <c r="O6007" s="17" t="str">
        <f>IFERROR(__xludf.DUMMYFUNCTION("""COMPUTED_VALUE"""),"")</f>
        <v/>
      </c>
      <c r="P6007" s="17" t="str">
        <f>IFERROR(__xludf.DUMMYFUNCTION("""COMPUTED_VALUE"""),"")</f>
        <v/>
      </c>
      <c r="Q6007" s="17" t="str">
        <f>IFERROR(__xludf.DUMMYFUNCTION("""COMPUTED_VALUE"""),"")</f>
        <v/>
      </c>
      <c r="R6007" s="17" t="str">
        <f>IFERROR(__xludf.DUMMYFUNCTION("""COMPUTED_VALUE"""),"")</f>
        <v/>
      </c>
    </row>
    <row r="6008">
      <c r="A6008" s="15">
        <f>IFERROR(__xludf.DUMMYFUNCTION("""COMPUTED_VALUE"""),45174.0)</f>
        <v>45174</v>
      </c>
      <c r="B6008" s="16" t="str">
        <f>IFERROR(__xludf.DUMMYFUNCTION("""COMPUTED_VALUE"""),"Johan Alexander Escobar Arroyo ")</f>
        <v>Johan Alexander Escobar Arroyo </v>
      </c>
      <c r="C6008" s="15" t="str">
        <f>IFERROR(__xludf.DUMMYFUNCTION("""COMPUTED_VALUE"""),"CALI")</f>
        <v>CALI</v>
      </c>
      <c r="D6008" s="15" t="str">
        <f>IFERROR(__xludf.DUMMYFUNCTION("""COMPUTED_VALUE"""),"BOGOTÁ")</f>
        <v>BOGOTÁ</v>
      </c>
      <c r="E6008" s="15" t="str">
        <f>IFERROR(__xludf.DUMMYFUNCTION("""COMPUTED_VALUE"""),"Evamazzita")</f>
        <v>Evamazzita</v>
      </c>
      <c r="F6008" s="17" t="str">
        <f>IFERROR(__xludf.DUMMYFUNCTION("""COMPUTED_VALUE"""),"Av 5 #23A-74 esquina B / Versalles  Clinica Versalles""")</f>
        <v>Av 5 #23A-74 esquina B / Versalles  Clinica Versalles"</v>
      </c>
      <c r="G6008" s="15" t="str">
        <f>IFERROR(__xludf.DUMMYFUNCTION("""COMPUTED_VALUE"""),"YURIN LEANDRA ARREDONDO HURTADO")</f>
        <v>YURIN LEANDRA ARREDONDO HURTADO</v>
      </c>
      <c r="H6008" s="16">
        <f>IFERROR(__xludf.DUMMYFUNCTION("""COMPUTED_VALUE"""),14759.0)</f>
        <v>14759</v>
      </c>
      <c r="I6008" s="18">
        <f>IFERROR(__xludf.DUMMYFUNCTION("""COMPUTED_VALUE"""),1.0)</f>
        <v>1</v>
      </c>
      <c r="J6008" s="18">
        <f>IFERROR(__xludf.DUMMYFUNCTION("""COMPUTED_VALUE"""),1.0)</f>
        <v>1</v>
      </c>
      <c r="K6008" s="18">
        <f>IFERROR(__xludf.DUMMYFUNCTION("""COMPUTED_VALUE"""),1.0)</f>
        <v>1</v>
      </c>
      <c r="L6008" s="17">
        <f>IFERROR(__xludf.DUMMYFUNCTION("""COMPUTED_VALUE"""),3.114227011E9)</f>
        <v>3114227011</v>
      </c>
      <c r="M6008" s="17" t="str">
        <f>IFERROR(__xludf.DUMMYFUNCTION("""COMPUTED_VALUE"""),"#REF!")</f>
        <v>#REF!</v>
      </c>
      <c r="N6008" s="17"/>
      <c r="O6008" s="17"/>
      <c r="P6008" s="17" t="b">
        <f>IFERROR(__xludf.DUMMYFUNCTION("""COMPUTED_VALUE"""),FALSE)</f>
        <v>0</v>
      </c>
      <c r="Q6008" s="20" t="str">
        <f>IFERROR(__xludf.DUMMYFUNCTION("""COMPUTED_VALUE"""),"")</f>
        <v/>
      </c>
      <c r="R6008" s="21" t="str">
        <f>IFERROR(__xludf.DUMMYFUNCTION("""COMPUTED_VALUE"""),"https://drive.google.com/file/d/1hN5rB5El05v1gD7_LSwNWpLOm_IQ_OyD/view?usp=drivesdk")</f>
        <v>https://drive.google.com/file/d/1hN5rB5El05v1gD7_LSwNWpLOm_IQ_OyD/view?usp=drivesdk</v>
      </c>
    </row>
    <row r="6009">
      <c r="A6009" s="15">
        <f>IFERROR(__xludf.DUMMYFUNCTION("""COMPUTED_VALUE"""),45174.0)</f>
        <v>45174</v>
      </c>
      <c r="B6009" s="16" t="str">
        <f>IFERROR(__xludf.DUMMYFUNCTION("""COMPUTED_VALUE"""),"Johan Alexander Escobar Arroyo ")</f>
        <v>Johan Alexander Escobar Arroyo </v>
      </c>
      <c r="C6009" s="15" t="str">
        <f>IFERROR(__xludf.DUMMYFUNCTION("""COMPUTED_VALUE"""),"CALI")</f>
        <v>CALI</v>
      </c>
      <c r="D6009" s="15" t="str">
        <f>IFERROR(__xludf.DUMMYFUNCTION("""COMPUTED_VALUE"""),"BOGOTÁ")</f>
        <v>BOGOTÁ</v>
      </c>
      <c r="E6009" s="15" t="str">
        <f>IFERROR(__xludf.DUMMYFUNCTION("""COMPUTED_VALUE"""),"Evamazzita")</f>
        <v>Evamazzita</v>
      </c>
      <c r="F6009" s="17" t="str">
        <f>IFERROR(__xludf.DUMMYFUNCTION("""COMPUTED_VALUE"""),"Calle 33B #2BN 83 / apto D 302 unidad girasoles de la flora 1")</f>
        <v>Calle 33B #2BN 83 / apto D 302 unidad girasoles de la flora 1</v>
      </c>
      <c r="G6009" s="15" t="str">
        <f>IFERROR(__xludf.DUMMYFUNCTION("""COMPUTED_VALUE"""),"CAROLINA HINESTROZA")</f>
        <v>CAROLINA HINESTROZA</v>
      </c>
      <c r="H6009" s="16">
        <f>IFERROR(__xludf.DUMMYFUNCTION("""COMPUTED_VALUE"""),14754.0)</f>
        <v>14754</v>
      </c>
      <c r="I6009" s="18">
        <f>IFERROR(__xludf.DUMMYFUNCTION("""COMPUTED_VALUE"""),1.0)</f>
        <v>1</v>
      </c>
      <c r="J6009" s="18">
        <f>IFERROR(__xludf.DUMMYFUNCTION("""COMPUTED_VALUE"""),1.0)</f>
        <v>1</v>
      </c>
      <c r="K6009" s="18">
        <f>IFERROR(__xludf.DUMMYFUNCTION("""COMPUTED_VALUE"""),1.0)</f>
        <v>1</v>
      </c>
      <c r="L6009" s="17">
        <f>IFERROR(__xludf.DUMMYFUNCTION("""COMPUTED_VALUE"""),3.183964725E9)</f>
        <v>3183964725</v>
      </c>
      <c r="M6009" s="17" t="str">
        <f>IFERROR(__xludf.DUMMYFUNCTION("""COMPUTED_VALUE"""),"#REF!")</f>
        <v>#REF!</v>
      </c>
      <c r="N6009" s="17"/>
      <c r="O6009" s="17"/>
      <c r="P6009" s="17" t="b">
        <f>IFERROR(__xludf.DUMMYFUNCTION("""COMPUTED_VALUE"""),FALSE)</f>
        <v>0</v>
      </c>
      <c r="Q6009" s="20" t="str">
        <f>IFERROR(__xludf.DUMMYFUNCTION("""COMPUTED_VALUE"""),"")</f>
        <v/>
      </c>
      <c r="R6009" s="21" t="str">
        <f>IFERROR(__xludf.DUMMYFUNCTION("""COMPUTED_VALUE"""),"https://drive.google.com/file/d/1nUz-9SYbeWr0gkt7yr6VaZUSaogbCXsK/view?usp=drivesdk")</f>
        <v>https://drive.google.com/file/d/1nUz-9SYbeWr0gkt7yr6VaZUSaogbCXsK/view?usp=drivesdk</v>
      </c>
    </row>
    <row r="6010">
      <c r="A6010" s="15">
        <f>IFERROR(__xludf.DUMMYFUNCTION("""COMPUTED_VALUE"""),45174.0)</f>
        <v>45174</v>
      </c>
      <c r="B6010" s="16" t="str">
        <f>IFERROR(__xludf.DUMMYFUNCTION("""COMPUTED_VALUE"""),"Johan Alexander Escobar Arroyo ")</f>
        <v>Johan Alexander Escobar Arroyo </v>
      </c>
      <c r="C6010" s="15" t="str">
        <f>IFERROR(__xludf.DUMMYFUNCTION("""COMPUTED_VALUE"""),"CALI")</f>
        <v>CALI</v>
      </c>
      <c r="D6010" s="15" t="str">
        <f>IFERROR(__xludf.DUMMYFUNCTION("""COMPUTED_VALUE"""),"BOGOTÁ")</f>
        <v>BOGOTÁ</v>
      </c>
      <c r="E6010" s="15" t="str">
        <f>IFERROR(__xludf.DUMMYFUNCTION("""COMPUTED_VALUE"""),"Evamazzita")</f>
        <v>Evamazzita</v>
      </c>
      <c r="F6010" s="17" t="str">
        <f>IFERROR(__xludf.DUMMYFUNCTION("""COMPUTED_VALUE"""),"CALLE 73 1 J 49 / CALLE 73 1 J 49")</f>
        <v>CALLE 73 1 J 49 / CALLE 73 1 J 49</v>
      </c>
      <c r="G6010" s="15" t="str">
        <f>IFERROR(__xludf.DUMMYFUNCTION("""COMPUTED_VALUE"""),"LINA OTALVARO")</f>
        <v>LINA OTALVARO</v>
      </c>
      <c r="H6010" s="16">
        <f>IFERROR(__xludf.DUMMYFUNCTION("""COMPUTED_VALUE"""),14757.0)</f>
        <v>14757</v>
      </c>
      <c r="I6010" s="18">
        <f>IFERROR(__xludf.DUMMYFUNCTION("""COMPUTED_VALUE"""),1.0)</f>
        <v>1</v>
      </c>
      <c r="J6010" s="18">
        <f>IFERROR(__xludf.DUMMYFUNCTION("""COMPUTED_VALUE"""),1.0)</f>
        <v>1</v>
      </c>
      <c r="K6010" s="18">
        <f>IFERROR(__xludf.DUMMYFUNCTION("""COMPUTED_VALUE"""),1.0)</f>
        <v>1</v>
      </c>
      <c r="L6010" s="17">
        <f>IFERROR(__xludf.DUMMYFUNCTION("""COMPUTED_VALUE"""),3.148781509E9)</f>
        <v>3148781509</v>
      </c>
      <c r="M6010" s="17" t="str">
        <f>IFERROR(__xludf.DUMMYFUNCTION("""COMPUTED_VALUE"""),"#REF!")</f>
        <v>#REF!</v>
      </c>
      <c r="N6010" s="17"/>
      <c r="O6010" s="17"/>
      <c r="P6010" s="17" t="b">
        <f>IFERROR(__xludf.DUMMYFUNCTION("""COMPUTED_VALUE"""),FALSE)</f>
        <v>0</v>
      </c>
      <c r="Q6010" s="20" t="str">
        <f>IFERROR(__xludf.DUMMYFUNCTION("""COMPUTED_VALUE"""),"")</f>
        <v/>
      </c>
      <c r="R6010" s="21" t="str">
        <f>IFERROR(__xludf.DUMMYFUNCTION("""COMPUTED_VALUE"""),"https://drive.google.com/file/d/1EBt6lPWK39HwZ5ailUoJPcMHL8Vu4ygA/view?usp=drivesdk")</f>
        <v>https://drive.google.com/file/d/1EBt6lPWK39HwZ5ailUoJPcMHL8Vu4ygA/view?usp=drivesdk</v>
      </c>
    </row>
    <row r="6011">
      <c r="A6011" s="15">
        <f>IFERROR(__xludf.DUMMYFUNCTION("""COMPUTED_VALUE"""),45174.0)</f>
        <v>45174</v>
      </c>
      <c r="B6011" s="16" t="str">
        <f>IFERROR(__xludf.DUMMYFUNCTION("""COMPUTED_VALUE"""),"Johan Alexander Escobar Arroyo ")</f>
        <v>Johan Alexander Escobar Arroyo </v>
      </c>
      <c r="C6011" s="15" t="str">
        <f>IFERROR(__xludf.DUMMYFUNCTION("""COMPUTED_VALUE"""),"CALI")</f>
        <v>CALI</v>
      </c>
      <c r="D6011" s="15" t="str">
        <f>IFERROR(__xludf.DUMMYFUNCTION("""COMPUTED_VALUE"""),"BOGOTÁ")</f>
        <v>BOGOTÁ</v>
      </c>
      <c r="E6011" s="15" t="str">
        <f>IFERROR(__xludf.DUMMYFUNCTION("""COMPUTED_VALUE"""),"Evamazzita")</f>
        <v>Evamazzita</v>
      </c>
      <c r="F6011" s="17" t="str">
        <f>IFERROR(__xludf.DUMMYFUNCTION("""COMPUTED_VALUE"""),"Carrera 26p3#83-25 / Marroquín 2 """)</f>
        <v>Carrera 26p3#83-25 / Marroquín 2 "</v>
      </c>
      <c r="G6011" s="15" t="str">
        <f>IFERROR(__xludf.DUMMYFUNCTION("""COMPUTED_VALUE"""),"ESTEFANIA RUALES")</f>
        <v>ESTEFANIA RUALES</v>
      </c>
      <c r="H6011" s="16">
        <f>IFERROR(__xludf.DUMMYFUNCTION("""COMPUTED_VALUE"""),14756.0)</f>
        <v>14756</v>
      </c>
      <c r="I6011" s="18">
        <f>IFERROR(__xludf.DUMMYFUNCTION("""COMPUTED_VALUE"""),1.0)</f>
        <v>1</v>
      </c>
      <c r="J6011" s="18">
        <f>IFERROR(__xludf.DUMMYFUNCTION("""COMPUTED_VALUE"""),1.0)</f>
        <v>1</v>
      </c>
      <c r="K6011" s="18">
        <f>IFERROR(__xludf.DUMMYFUNCTION("""COMPUTED_VALUE"""),1.0)</f>
        <v>1</v>
      </c>
      <c r="L6011" s="17">
        <f>IFERROR(__xludf.DUMMYFUNCTION("""COMPUTED_VALUE"""),3.167401819E9)</f>
        <v>3167401819</v>
      </c>
      <c r="M6011" s="17" t="str">
        <f>IFERROR(__xludf.DUMMYFUNCTION("""COMPUTED_VALUE"""),"#REF!")</f>
        <v>#REF!</v>
      </c>
      <c r="N6011" s="17"/>
      <c r="O6011" s="17"/>
      <c r="P6011" s="17" t="b">
        <f>IFERROR(__xludf.DUMMYFUNCTION("""COMPUTED_VALUE"""),FALSE)</f>
        <v>0</v>
      </c>
      <c r="Q6011" s="20" t="str">
        <f>IFERROR(__xludf.DUMMYFUNCTION("""COMPUTED_VALUE"""),"")</f>
        <v/>
      </c>
      <c r="R6011" s="21" t="str">
        <f>IFERROR(__xludf.DUMMYFUNCTION("""COMPUTED_VALUE"""),"https://drive.google.com/file/d/1hQ3qT9EyX2b9gNuHGj34ItaB0DCmjH_t/view?usp=drivesdk")</f>
        <v>https://drive.google.com/file/d/1hQ3qT9EyX2b9gNuHGj34ItaB0DCmjH_t/view?usp=drivesdk</v>
      </c>
    </row>
    <row r="6012">
      <c r="A6012" s="15">
        <f>IFERROR(__xludf.DUMMYFUNCTION("""COMPUTED_VALUE"""),45174.0)</f>
        <v>45174</v>
      </c>
      <c r="B6012" s="16" t="str">
        <f>IFERROR(__xludf.DUMMYFUNCTION("""COMPUTED_VALUE"""),"Johan Alexander Escobar Arroyo ")</f>
        <v>Johan Alexander Escobar Arroyo </v>
      </c>
      <c r="C6012" s="15" t="str">
        <f>IFERROR(__xludf.DUMMYFUNCTION("""COMPUTED_VALUE"""),"CALI")</f>
        <v>CALI</v>
      </c>
      <c r="D6012" s="15" t="str">
        <f>IFERROR(__xludf.DUMMYFUNCTION("""COMPUTED_VALUE"""),"BOGOTÁ")</f>
        <v>BOGOTÁ</v>
      </c>
      <c r="E6012" s="15" t="str">
        <f>IFERROR(__xludf.DUMMYFUNCTION("""COMPUTED_VALUE"""),"Evamazzita")</f>
        <v>Evamazzita</v>
      </c>
      <c r="F6012" s="17" t="str">
        <f>IFERROR(__xludf.DUMMYFUNCTION("""COMPUTED_VALUE"""),"Carrera 47#13-29 / N/A / Barrio Santo Domingo")</f>
        <v>Carrera 47#13-29 / N/A / Barrio Santo Domingo</v>
      </c>
      <c r="G6012" s="15" t="str">
        <f>IFERROR(__xludf.DUMMYFUNCTION("""COMPUTED_VALUE"""),"JAVIER IBAÑEZ")</f>
        <v>JAVIER IBAÑEZ</v>
      </c>
      <c r="H6012" s="16">
        <f>IFERROR(__xludf.DUMMYFUNCTION("""COMPUTED_VALUE"""),14718.0)</f>
        <v>14718</v>
      </c>
      <c r="I6012" s="18">
        <f>IFERROR(__xludf.DUMMYFUNCTION("""COMPUTED_VALUE"""),1.0)</f>
        <v>1</v>
      </c>
      <c r="J6012" s="18">
        <f>IFERROR(__xludf.DUMMYFUNCTION("""COMPUTED_VALUE"""),1.0)</f>
        <v>1</v>
      </c>
      <c r="K6012" s="18">
        <f>IFERROR(__xludf.DUMMYFUNCTION("""COMPUTED_VALUE"""),1.0)</f>
        <v>1</v>
      </c>
      <c r="L6012" s="17">
        <f>IFERROR(__xludf.DUMMYFUNCTION("""COMPUTED_VALUE"""),3.017132415E9)</f>
        <v>3017132415</v>
      </c>
      <c r="M6012" s="17" t="str">
        <f>IFERROR(__xludf.DUMMYFUNCTION("""COMPUTED_VALUE"""),"#REF!")</f>
        <v>#REF!</v>
      </c>
      <c r="N6012" s="17"/>
      <c r="O6012" s="17"/>
      <c r="P6012" s="17" t="b">
        <f>IFERROR(__xludf.DUMMYFUNCTION("""COMPUTED_VALUE"""),FALSE)</f>
        <v>0</v>
      </c>
      <c r="Q6012" s="20" t="str">
        <f>IFERROR(__xludf.DUMMYFUNCTION("""COMPUTED_VALUE"""),"")</f>
        <v/>
      </c>
      <c r="R6012" s="21" t="str">
        <f>IFERROR(__xludf.DUMMYFUNCTION("""COMPUTED_VALUE"""),"https://drive.google.com/file/d/1t9F63Bgnse6bOvyAxUR3xl5QhcE6Efl_/view?usp=drivesdk")</f>
        <v>https://drive.google.com/file/d/1t9F63Bgnse6bOvyAxUR3xl5QhcE6Efl_/view?usp=drivesdk</v>
      </c>
    </row>
    <row r="6013">
      <c r="A6013" s="15">
        <f>IFERROR(__xludf.DUMMYFUNCTION("""COMPUTED_VALUE"""),45174.0)</f>
        <v>45174</v>
      </c>
      <c r="B6013" s="16" t="str">
        <f>IFERROR(__xludf.DUMMYFUNCTION("""COMPUTED_VALUE"""),"Johan Alexander Escobar Arroyo ")</f>
        <v>Johan Alexander Escobar Arroyo </v>
      </c>
      <c r="C6013" s="15" t="str">
        <f>IFERROR(__xludf.DUMMYFUNCTION("""COMPUTED_VALUE"""),"CALI")</f>
        <v>CALI</v>
      </c>
      <c r="D6013" s="15" t="str">
        <f>IFERROR(__xludf.DUMMYFUNCTION("""COMPUTED_VALUE"""),"BOGOTÁ")</f>
        <v>BOGOTÁ</v>
      </c>
      <c r="E6013" s="15" t="str">
        <f>IFERROR(__xludf.DUMMYFUNCTION("""COMPUTED_VALUE"""),"Evamazzita")</f>
        <v>Evamazzita</v>
      </c>
      <c r="F6013" s="17" t="str">
        <f>IFERROR(__xludf.DUMMYFUNCTION("""COMPUTED_VALUE"""),"CRA 46C No. 55A - 15 / BARRIO CIUDAD CORDOBA")</f>
        <v>CRA 46C No. 55A - 15 / BARRIO CIUDAD CORDOBA</v>
      </c>
      <c r="G6013" s="15" t="str">
        <f>IFERROR(__xludf.DUMMYFUNCTION("""COMPUTED_VALUE"""),"CLAUDIA CANTERO")</f>
        <v>CLAUDIA CANTERO</v>
      </c>
      <c r="H6013" s="16">
        <f>IFERROR(__xludf.DUMMYFUNCTION("""COMPUTED_VALUE"""),14755.0)</f>
        <v>14755</v>
      </c>
      <c r="I6013" s="18">
        <f>IFERROR(__xludf.DUMMYFUNCTION("""COMPUTED_VALUE"""),1.0)</f>
        <v>1</v>
      </c>
      <c r="J6013" s="18">
        <f>IFERROR(__xludf.DUMMYFUNCTION("""COMPUTED_VALUE"""),1.0)</f>
        <v>1</v>
      </c>
      <c r="K6013" s="18">
        <f>IFERROR(__xludf.DUMMYFUNCTION("""COMPUTED_VALUE"""),1.0)</f>
        <v>1</v>
      </c>
      <c r="L6013" s="17">
        <f>IFERROR(__xludf.DUMMYFUNCTION("""COMPUTED_VALUE"""),3.176248548E9)</f>
        <v>3176248548</v>
      </c>
      <c r="M6013" s="17" t="str">
        <f>IFERROR(__xludf.DUMMYFUNCTION("""COMPUTED_VALUE"""),"#REF!")</f>
        <v>#REF!</v>
      </c>
      <c r="N6013" s="17"/>
      <c r="O6013" s="17"/>
      <c r="P6013" s="17" t="b">
        <f>IFERROR(__xludf.DUMMYFUNCTION("""COMPUTED_VALUE"""),FALSE)</f>
        <v>0</v>
      </c>
      <c r="Q6013" s="20" t="str">
        <f>IFERROR(__xludf.DUMMYFUNCTION("""COMPUTED_VALUE"""),"")</f>
        <v/>
      </c>
      <c r="R6013" s="21" t="str">
        <f>IFERROR(__xludf.DUMMYFUNCTION("""COMPUTED_VALUE"""),"https://drive.google.com/file/d/17w6DiARtrwvaIyhDph46sNJW5OVydxo9/view?usp=drivesdk")</f>
        <v>https://drive.google.com/file/d/17w6DiARtrwvaIyhDph46sNJW5OVydxo9/view?usp=drivesdk</v>
      </c>
    </row>
    <row r="6014">
      <c r="A6014" s="15">
        <f>IFERROR(__xludf.DUMMYFUNCTION("""COMPUTED_VALUE"""),45174.0)</f>
        <v>45174</v>
      </c>
      <c r="B6014" s="16" t="str">
        <f>IFERROR(__xludf.DUMMYFUNCTION("""COMPUTED_VALUE"""),"Johan Alexander Escobar Arroyo ")</f>
        <v>Johan Alexander Escobar Arroyo </v>
      </c>
      <c r="C6014" s="15" t="str">
        <f>IFERROR(__xludf.DUMMYFUNCTION("""COMPUTED_VALUE"""),"CALI")</f>
        <v>CALI</v>
      </c>
      <c r="D6014" s="15" t="str">
        <f>IFERROR(__xludf.DUMMYFUNCTION("""COMPUTED_VALUE"""),"BOGOTÁ")</f>
        <v>BOGOTÁ</v>
      </c>
      <c r="E6014" s="15" t="str">
        <f>IFERROR(__xludf.DUMMYFUNCTION("""COMPUTED_VALUE"""),"Evamazzita")</f>
        <v>Evamazzita</v>
      </c>
      <c r="F6014" s="17" t="str">
        <f>IFERROR(__xludf.DUMMYFUNCTION("""COMPUTED_VALUE"""),"CRA 98B No. 60 -115 / ZAFIRO B TORRE 5B APTO 804")</f>
        <v>CRA 98B No. 60 -115 / ZAFIRO B TORRE 5B APTO 804</v>
      </c>
      <c r="G6014" s="15" t="str">
        <f>IFERROR(__xludf.DUMMYFUNCTION("""COMPUTED_VALUE"""),"PAOLA VARELA")</f>
        <v>PAOLA VARELA</v>
      </c>
      <c r="H6014" s="16">
        <f>IFERROR(__xludf.DUMMYFUNCTION("""COMPUTED_VALUE"""),14758.0)</f>
        <v>14758</v>
      </c>
      <c r="I6014" s="18">
        <f>IFERROR(__xludf.DUMMYFUNCTION("""COMPUTED_VALUE"""),1.0)</f>
        <v>1</v>
      </c>
      <c r="J6014" s="18">
        <f>IFERROR(__xludf.DUMMYFUNCTION("""COMPUTED_VALUE"""),1.0)</f>
        <v>1</v>
      </c>
      <c r="K6014" s="18">
        <f>IFERROR(__xludf.DUMMYFUNCTION("""COMPUTED_VALUE"""),1.0)</f>
        <v>1</v>
      </c>
      <c r="L6014" s="17">
        <f>IFERROR(__xludf.DUMMYFUNCTION("""COMPUTED_VALUE"""),3.01327837E9)</f>
        <v>3013278370</v>
      </c>
      <c r="M6014" s="17" t="str">
        <f>IFERROR(__xludf.DUMMYFUNCTION("""COMPUTED_VALUE"""),"#REF!")</f>
        <v>#REF!</v>
      </c>
      <c r="N6014" s="17"/>
      <c r="O6014" s="17"/>
      <c r="P6014" s="17" t="b">
        <f>IFERROR(__xludf.DUMMYFUNCTION("""COMPUTED_VALUE"""),FALSE)</f>
        <v>0</v>
      </c>
      <c r="Q6014" s="20" t="str">
        <f>IFERROR(__xludf.DUMMYFUNCTION("""COMPUTED_VALUE"""),"")</f>
        <v/>
      </c>
      <c r="R6014" s="21" t="str">
        <f>IFERROR(__xludf.DUMMYFUNCTION("""COMPUTED_VALUE"""),"https://drive.google.com/file/d/1rsIOJ2V0hJhbgtfAKeni5ChYroXHj2H_/view?usp=drivesdk")</f>
        <v>https://drive.google.com/file/d/1rsIOJ2V0hJhbgtfAKeni5ChYroXHj2H_/view?usp=drivesdk</v>
      </c>
    </row>
    <row r="6015">
      <c r="A6015" s="15">
        <f>IFERROR(__xludf.DUMMYFUNCTION("""COMPUTED_VALUE"""),45174.0)</f>
        <v>45174</v>
      </c>
      <c r="B6015" s="16" t="str">
        <f>IFERROR(__xludf.DUMMYFUNCTION("""COMPUTED_VALUE"""),"Johan Alexander Escobar Arroyo ")</f>
        <v>Johan Alexander Escobar Arroyo </v>
      </c>
      <c r="C6015" s="15" t="str">
        <f>IFERROR(__xludf.DUMMYFUNCTION("""COMPUTED_VALUE"""),"CALI")</f>
        <v>CALI</v>
      </c>
      <c r="D6015" s="15" t="str">
        <f>IFERROR(__xludf.DUMMYFUNCTION("""COMPUTED_VALUE"""),"BOGOTÁ")</f>
        <v>BOGOTÁ</v>
      </c>
      <c r="E6015" s="15" t="str">
        <f>IFERROR(__xludf.DUMMYFUNCTION("""COMPUTED_VALUE"""),"Frambascolombia sas")</f>
        <v>Frambascolombia sas</v>
      </c>
      <c r="F6015" s="17" t="str">
        <f>IFERROR(__xludf.DUMMYFUNCTION("""COMPUTED_VALUE"""),"Av 5a Nte. # 25n18 / local 2")</f>
        <v>Av 5a Nte. # 25n18 / local 2</v>
      </c>
      <c r="G6015" s="15" t="str">
        <f>IFERROR(__xludf.DUMMYFUNCTION("""COMPUTED_VALUE"""),"PikNPak Cali")</f>
        <v>PikNPak Cali</v>
      </c>
      <c r="H6015" s="16">
        <f>IFERROR(__xludf.DUMMYFUNCTION("""COMPUTED_VALUE"""),14682.0)</f>
        <v>14682</v>
      </c>
      <c r="I6015" s="18">
        <f>IFERROR(__xludf.DUMMYFUNCTION("""COMPUTED_VALUE"""),45057.0)</f>
        <v>45057</v>
      </c>
      <c r="J6015" s="18">
        <f>IFERROR(__xludf.DUMMYFUNCTION("""COMPUTED_VALUE"""),10.0)</f>
        <v>10</v>
      </c>
      <c r="K6015" s="18">
        <f>IFERROR(__xludf.DUMMYFUNCTION("""COMPUTED_VALUE"""),10.0)</f>
        <v>10</v>
      </c>
      <c r="L6015" s="17" t="str">
        <f>IFERROR(__xludf.DUMMYFUNCTION("""COMPUTED_VALUE"""),"321 4229567")</f>
        <v>321 4229567</v>
      </c>
      <c r="M6015" s="17" t="str">
        <f>IFERROR(__xludf.DUMMYFUNCTION("""COMPUTED_VALUE"""),"#REF!")</f>
        <v>#REF!</v>
      </c>
      <c r="N6015" s="17"/>
      <c r="O6015" s="17"/>
      <c r="P6015" s="17" t="b">
        <f>IFERROR(__xludf.DUMMYFUNCTION("""COMPUTED_VALUE"""),FALSE)</f>
        <v>0</v>
      </c>
      <c r="Q6015" s="20" t="str">
        <f>IFERROR(__xludf.DUMMYFUNCTION("""COMPUTED_VALUE"""),"")</f>
        <v/>
      </c>
      <c r="R6015" s="21" t="str">
        <f>IFERROR(__xludf.DUMMYFUNCTION("""COMPUTED_VALUE"""),"https://drive.google.com/file/d/18SFSg4EfzgUv2D7raxHjY8IQ8xP5FgIo/view?usp=drivesdk")</f>
        <v>https://drive.google.com/file/d/18SFSg4EfzgUv2D7raxHjY8IQ8xP5FgIo/view?usp=drivesdk</v>
      </c>
    </row>
    <row r="6016">
      <c r="A6016" s="15">
        <f>IFERROR(__xludf.DUMMYFUNCTION("""COMPUTED_VALUE"""),45174.0)</f>
        <v>45174</v>
      </c>
      <c r="B6016" s="16" t="str">
        <f>IFERROR(__xludf.DUMMYFUNCTION("""COMPUTED_VALUE"""),"Johan Alexander Escobar Arroyo ")</f>
        <v>Johan Alexander Escobar Arroyo </v>
      </c>
      <c r="C6016" s="15" t="str">
        <f>IFERROR(__xludf.DUMMYFUNCTION("""COMPUTED_VALUE"""),"CALI")</f>
        <v>CALI</v>
      </c>
      <c r="D6016" s="15" t="str">
        <f>IFERROR(__xludf.DUMMYFUNCTION("""COMPUTED_VALUE"""),"BOGOTÁ")</f>
        <v>BOGOTÁ</v>
      </c>
      <c r="E6016" s="15" t="str">
        <f>IFERROR(__xludf.DUMMYFUNCTION("""COMPUTED_VALUE"""),"Lunchy Kids")</f>
        <v>Lunchy Kids</v>
      </c>
      <c r="F6016" s="17" t="str">
        <f>IFERROR(__xludf.DUMMYFUNCTION("""COMPUTED_VALUE"""),"Kra 33d #35-21  / Casa  / La primavera")</f>
        <v>Kra 33d #35-21  / Casa  / La primavera</v>
      </c>
      <c r="G6016" s="15" t="str">
        <f>IFERROR(__xludf.DUMMYFUNCTION("""COMPUTED_VALUE"""),"Lucy Mora")</f>
        <v>Lucy Mora</v>
      </c>
      <c r="H6016" s="16">
        <f>IFERROR(__xludf.DUMMYFUNCTION("""COMPUTED_VALUE"""),14685.0)</f>
        <v>14685</v>
      </c>
      <c r="I6016" s="18">
        <f>IFERROR(__xludf.DUMMYFUNCTION("""COMPUTED_VALUE"""),21.0)</f>
        <v>21</v>
      </c>
      <c r="J6016" s="18">
        <f>IFERROR(__xludf.DUMMYFUNCTION("""COMPUTED_VALUE"""),30.0)</f>
        <v>30</v>
      </c>
      <c r="K6016" s="18">
        <f>IFERROR(__xludf.DUMMYFUNCTION("""COMPUTED_VALUE"""),10.0)</f>
        <v>10</v>
      </c>
      <c r="L6016" s="17">
        <f>IFERROR(__xludf.DUMMYFUNCTION("""COMPUTED_VALUE"""),3.157543158E9)</f>
        <v>3157543158</v>
      </c>
      <c r="M6016" s="17" t="str">
        <f>IFERROR(__xludf.DUMMYFUNCTION("""COMPUTED_VALUE"""),"#REF!")</f>
        <v>#REF!</v>
      </c>
      <c r="N6016" s="17"/>
      <c r="O6016" s="17"/>
      <c r="P6016" s="17" t="b">
        <f>IFERROR(__xludf.DUMMYFUNCTION("""COMPUTED_VALUE"""),FALSE)</f>
        <v>0</v>
      </c>
      <c r="Q6016" s="20" t="str">
        <f>IFERROR(__xludf.DUMMYFUNCTION("""COMPUTED_VALUE"""),"")</f>
        <v/>
      </c>
      <c r="R6016" s="21" t="str">
        <f>IFERROR(__xludf.DUMMYFUNCTION("""COMPUTED_VALUE"""),"https://drive.google.com/file/d/1U6MutoQCwugUY0xOYqotYCHbbZfw7ORR/view?usp=drivesdk")</f>
        <v>https://drive.google.com/file/d/1U6MutoQCwugUY0xOYqotYCHbbZfw7ORR/view?usp=drivesdk</v>
      </c>
    </row>
    <row r="6017">
      <c r="A6017" s="15">
        <f>IFERROR(__xludf.DUMMYFUNCTION("""COMPUTED_VALUE"""),45174.0)</f>
        <v>45174</v>
      </c>
      <c r="B6017" s="16" t="str">
        <f>IFERROR(__xludf.DUMMYFUNCTION("""COMPUTED_VALUE"""),"Johan Alexander Escobar Arroyo ")</f>
        <v>Johan Alexander Escobar Arroyo </v>
      </c>
      <c r="C6017" s="15" t="str">
        <f>IFERROR(__xludf.DUMMYFUNCTION("""COMPUTED_VALUE"""),"CALI")</f>
        <v>CALI</v>
      </c>
      <c r="D6017" s="15" t="str">
        <f>IFERROR(__xludf.DUMMYFUNCTION("""COMPUTED_VALUE"""),"BOGOTÁ")</f>
        <v>BOGOTÁ</v>
      </c>
      <c r="E6017" s="15" t="str">
        <f>IFERROR(__xludf.DUMMYFUNCTION("""COMPUTED_VALUE"""),"Pan de Waffle")</f>
        <v>Pan de Waffle</v>
      </c>
      <c r="F6017" s="17" t="str">
        <f>IFERROR(__xludf.DUMMYFUNCTION("""COMPUTED_VALUE"""),"Calle 18 norte # 9n-45 Cali  / Calle 18 norte # 9n-45 Cali  / Calle 18 norte # 9n-45 Cali")</f>
        <v>Calle 18 norte # 9n-45 Cali  / Calle 18 norte # 9n-45 Cali  / Calle 18 norte # 9n-45 Cali</v>
      </c>
      <c r="G6017" s="15" t="str">
        <f>IFERROR(__xludf.DUMMYFUNCTION("""COMPUTED_VALUE"""),"NUTRICION EN MOVIMIENTO")</f>
        <v>NUTRICION EN MOVIMIENTO</v>
      </c>
      <c r="H6017" s="16">
        <f>IFERROR(__xludf.DUMMYFUNCTION("""COMPUTED_VALUE"""),14731.0)</f>
        <v>14731</v>
      </c>
      <c r="I6017" s="18">
        <f>IFERROR(__xludf.DUMMYFUNCTION("""COMPUTED_VALUE"""),30.0)</f>
        <v>30</v>
      </c>
      <c r="J6017" s="18">
        <f>IFERROR(__xludf.DUMMYFUNCTION("""COMPUTED_VALUE"""),50.0)</f>
        <v>50</v>
      </c>
      <c r="K6017" s="18">
        <f>IFERROR(__xludf.DUMMYFUNCTION("""COMPUTED_VALUE"""),40.0)</f>
        <v>40</v>
      </c>
      <c r="L6017" s="17">
        <f>IFERROR(__xludf.DUMMYFUNCTION("""COMPUTED_VALUE"""),3.148101084E9)</f>
        <v>3148101084</v>
      </c>
      <c r="M6017" s="17" t="str">
        <f>IFERROR(__xludf.DUMMYFUNCTION("""COMPUTED_VALUE"""),"#REF!")</f>
        <v>#REF!</v>
      </c>
      <c r="N6017" s="17"/>
      <c r="O6017" s="17"/>
      <c r="P6017" s="17" t="b">
        <f>IFERROR(__xludf.DUMMYFUNCTION("""COMPUTED_VALUE"""),FALSE)</f>
        <v>0</v>
      </c>
      <c r="Q6017" s="20" t="str">
        <f>IFERROR(__xludf.DUMMYFUNCTION("""COMPUTED_VALUE"""),"")</f>
        <v/>
      </c>
      <c r="R6017" s="21" t="str">
        <f>IFERROR(__xludf.DUMMYFUNCTION("""COMPUTED_VALUE"""),"https://drive.google.com/file/d/1N4JWYvM_J9rOuzUGWCSq5kX9m3K6N9c8/view?usp=drivesdk")</f>
        <v>https://drive.google.com/file/d/1N4JWYvM_J9rOuzUGWCSq5kX9m3K6N9c8/view?usp=drivesdk</v>
      </c>
    </row>
    <row r="6018">
      <c r="A6018" s="15">
        <f>IFERROR(__xludf.DUMMYFUNCTION("""COMPUTED_VALUE"""),45174.0)</f>
        <v>45174</v>
      </c>
      <c r="B6018" s="16" t="str">
        <f>IFERROR(__xludf.DUMMYFUNCTION("""COMPUTED_VALUE"""),"Johan Alexander Escobar Arroyo ")</f>
        <v>Johan Alexander Escobar Arroyo </v>
      </c>
      <c r="C6018" s="15" t="str">
        <f>IFERROR(__xludf.DUMMYFUNCTION("""COMPUTED_VALUE"""),"CALI")</f>
        <v>CALI</v>
      </c>
      <c r="D6018" s="15" t="str">
        <f>IFERROR(__xludf.DUMMYFUNCTION("""COMPUTED_VALUE"""),"BOGOTÁ")</f>
        <v>BOGOTÁ</v>
      </c>
      <c r="E6018" s="15" t="str">
        <f>IFERROR(__xludf.DUMMYFUNCTION("""COMPUTED_VALUE"""),"Top Spun")</f>
        <v>Top Spun</v>
      </c>
      <c r="F6018" s="17" t="str">
        <f>IFERROR(__xludf.DUMMYFUNCTION("""COMPUTED_VALUE"""),"Azucenas del Castillo / casa 86 / vía Cali-Jamundí")</f>
        <v>Azucenas del Castillo / casa 86 / vía Cali-Jamundí</v>
      </c>
      <c r="G6018" s="15" t="str">
        <f>IFERROR(__xludf.DUMMYFUNCTION("""COMPUTED_VALUE"""),"Angelica Salazar")</f>
        <v>Angelica Salazar</v>
      </c>
      <c r="H6018" s="16">
        <f>IFERROR(__xludf.DUMMYFUNCTION("""COMPUTED_VALUE"""),14767.0)</f>
        <v>14767</v>
      </c>
      <c r="I6018" s="18">
        <f>IFERROR(__xludf.DUMMYFUNCTION("""COMPUTED_VALUE"""),20.0)</f>
        <v>20</v>
      </c>
      <c r="J6018" s="18">
        <f>IFERROR(__xludf.DUMMYFUNCTION("""COMPUTED_VALUE"""),10.0)</f>
        <v>10</v>
      </c>
      <c r="K6018" s="18">
        <f>IFERROR(__xludf.DUMMYFUNCTION("""COMPUTED_VALUE"""),40.0)</f>
        <v>40</v>
      </c>
      <c r="L6018" s="17">
        <f>IFERROR(__xludf.DUMMYFUNCTION("""COMPUTED_VALUE"""),3.117325374E9)</f>
        <v>3117325374</v>
      </c>
      <c r="M6018" s="17" t="str">
        <f>IFERROR(__xludf.DUMMYFUNCTION("""COMPUTED_VALUE"""),"#REF!")</f>
        <v>#REF!</v>
      </c>
      <c r="N6018" s="17"/>
      <c r="O6018" s="17"/>
      <c r="P6018" s="17" t="b">
        <f>IFERROR(__xludf.DUMMYFUNCTION("""COMPUTED_VALUE"""),FALSE)</f>
        <v>0</v>
      </c>
      <c r="Q6018" s="20" t="str">
        <f>IFERROR(__xludf.DUMMYFUNCTION("""COMPUTED_VALUE"""),"")</f>
        <v/>
      </c>
      <c r="R6018" s="21" t="str">
        <f>IFERROR(__xludf.DUMMYFUNCTION("""COMPUTED_VALUE"""),"https://drive.google.com/file/d/1yhAEIEFhFWFuteCcDP5suEzbhZqUQynh/view?usp=drivesdk")</f>
        <v>https://drive.google.com/file/d/1yhAEIEFhFWFuteCcDP5suEzbhZqUQynh/view?usp=drivesdk</v>
      </c>
    </row>
    <row r="6019">
      <c r="A6019" s="15">
        <f>IFERROR(__xludf.DUMMYFUNCTION("""COMPUTED_VALUE"""),45174.0)</f>
        <v>45174</v>
      </c>
      <c r="B6019" s="16" t="str">
        <f>IFERROR(__xludf.DUMMYFUNCTION("""COMPUTED_VALUE"""),"Johan Alexander Escobar Arroyo ")</f>
        <v>Johan Alexander Escobar Arroyo </v>
      </c>
      <c r="C6019" s="15" t="str">
        <f>IFERROR(__xludf.DUMMYFUNCTION("""COMPUTED_VALUE"""),"CALI")</f>
        <v>CALI</v>
      </c>
      <c r="D6019" s="15" t="str">
        <f>IFERROR(__xludf.DUMMYFUNCTION("""COMPUTED_VALUE"""),"BOGOTÁ")</f>
        <v>BOGOTÁ</v>
      </c>
      <c r="E6019" s="15" t="str">
        <f>IFERROR(__xludf.DUMMYFUNCTION("""COMPUTED_VALUE"""),"Viiva Fermentados")</f>
        <v>Viiva Fermentados</v>
      </c>
      <c r="F6019" s="17" t="str">
        <f>IFERROR(__xludf.DUMMYFUNCTION("""COMPUTED_VALUE"""),"Av 5 Nte # 42 - 42 / Tienda Ecohuerta / La Flora")</f>
        <v>Av 5 Nte # 42 - 42 / Tienda Ecohuerta / La Flora</v>
      </c>
      <c r="G6019" s="15" t="str">
        <f>IFERROR(__xludf.DUMMYFUNCTION("""COMPUTED_VALUE"""),"Ecohuerta Cali")</f>
        <v>Ecohuerta Cali</v>
      </c>
      <c r="H6019" s="16">
        <f>IFERROR(__xludf.DUMMYFUNCTION("""COMPUTED_VALUE"""),14683.0)</f>
        <v>14683</v>
      </c>
      <c r="I6019" s="18">
        <f>IFERROR(__xludf.DUMMYFUNCTION("""COMPUTED_VALUE"""),28.0)</f>
        <v>28</v>
      </c>
      <c r="J6019" s="18">
        <f>IFERROR(__xludf.DUMMYFUNCTION("""COMPUTED_VALUE"""),35.0)</f>
        <v>35</v>
      </c>
      <c r="K6019" s="18">
        <f>IFERROR(__xludf.DUMMYFUNCTION("""COMPUTED_VALUE"""),27.0)</f>
        <v>27</v>
      </c>
      <c r="L6019" s="17">
        <f>IFERROR(__xludf.DUMMYFUNCTION("""COMPUTED_VALUE"""),3.113856209E9)</f>
        <v>3113856209</v>
      </c>
      <c r="M6019" s="17" t="str">
        <f>IFERROR(__xludf.DUMMYFUNCTION("""COMPUTED_VALUE"""),"#REF!")</f>
        <v>#REF!</v>
      </c>
      <c r="N6019" s="17"/>
      <c r="O6019" s="17"/>
      <c r="P6019" s="17" t="b">
        <f>IFERROR(__xludf.DUMMYFUNCTION("""COMPUTED_VALUE"""),FALSE)</f>
        <v>0</v>
      </c>
      <c r="Q6019" s="20" t="str">
        <f>IFERROR(__xludf.DUMMYFUNCTION("""COMPUTED_VALUE"""),"")</f>
        <v/>
      </c>
      <c r="R6019" s="21" t="str">
        <f>IFERROR(__xludf.DUMMYFUNCTION("""COMPUTED_VALUE"""),"https://drive.google.com/file/d/1BIQhvLyDvrpgjWLwbrOjRB-X_ZyY4slN/view?usp=drivesdk")</f>
        <v>https://drive.google.com/file/d/1BIQhvLyDvrpgjWLwbrOjRB-X_ZyY4slN/view?usp=drivesdk</v>
      </c>
    </row>
    <row r="6020">
      <c r="A6020" s="15">
        <f>IFERROR(__xludf.DUMMYFUNCTION("""COMPUTED_VALUE"""),45174.0)</f>
        <v>45174</v>
      </c>
      <c r="B6020" s="16" t="str">
        <f>IFERROR(__xludf.DUMMYFUNCTION("""COMPUTED_VALUE"""),"Johan Alexander Escobar Arroyo ")</f>
        <v>Johan Alexander Escobar Arroyo </v>
      </c>
      <c r="C6020" s="15" t="str">
        <f>IFERROR(__xludf.DUMMYFUNCTION("""COMPUTED_VALUE"""),"CALI")</f>
        <v>CALI</v>
      </c>
      <c r="D6020" s="15" t="str">
        <f>IFERROR(__xludf.DUMMYFUNCTION("""COMPUTED_VALUE"""),"BUCARAMANGA")</f>
        <v>BUCARAMANGA</v>
      </c>
      <c r="E6020" s="15" t="str">
        <f>IFERROR(__xludf.DUMMYFUNCTION("""COMPUTED_VALUE"""),"Yo Como Solito")</f>
        <v>Yo Como Solito</v>
      </c>
      <c r="F6020" s="17" t="str">
        <f>IFERROR(__xludf.DUMMYFUNCTION("""COMPUTED_VALUE"""),"CARRERA 26i # 50-11B NUEVA FLORESTA -CASA- PISO 2  / CARRERA 26i # 50-11B NUEVA FLORESTA -CASA- PISO 2 / CARRERA 26i # 50-11B NUEVA FLORESTA -CASA- PISO 2")</f>
        <v>CARRERA 26i # 50-11B NUEVA FLORESTA -CASA- PISO 2  / CARRERA 26i # 50-11B NUEVA FLORESTA -CASA- PISO 2 / CARRERA 26i # 50-11B NUEVA FLORESTA -CASA- PISO 2</v>
      </c>
      <c r="G6020" s="15" t="str">
        <f>IFERROR(__xludf.DUMMYFUNCTION("""COMPUTED_VALUE"""),"ELIANA ALVAREZ")</f>
        <v>ELIANA ALVAREZ</v>
      </c>
      <c r="H6020" s="16">
        <f>IFERROR(__xludf.DUMMYFUNCTION("""COMPUTED_VALUE"""),14631.0)</f>
        <v>14631</v>
      </c>
      <c r="I6020" s="18">
        <f>IFERROR(__xludf.DUMMYFUNCTION("""COMPUTED_VALUE"""),13.0)</f>
        <v>13</v>
      </c>
      <c r="J6020" s="18">
        <f>IFERROR(__xludf.DUMMYFUNCTION("""COMPUTED_VALUE"""),25.0)</f>
        <v>25</v>
      </c>
      <c r="K6020" s="18">
        <f>IFERROR(__xludf.DUMMYFUNCTION("""COMPUTED_VALUE"""),25.0)</f>
        <v>25</v>
      </c>
      <c r="L6020" s="17">
        <f>IFERROR(__xludf.DUMMYFUNCTION("""COMPUTED_VALUE"""),3.164048865E9)</f>
        <v>3164048865</v>
      </c>
      <c r="M6020" s="17" t="str">
        <f>IFERROR(__xludf.DUMMYFUNCTION("""COMPUTED_VALUE"""),"#REF!")</f>
        <v>#REF!</v>
      </c>
      <c r="N6020" s="17"/>
      <c r="O6020" s="17"/>
      <c r="P6020" s="17" t="b">
        <f>IFERROR(__xludf.DUMMYFUNCTION("""COMPUTED_VALUE"""),FALSE)</f>
        <v>0</v>
      </c>
      <c r="Q6020" s="20" t="str">
        <f>IFERROR(__xludf.DUMMYFUNCTION("""COMPUTED_VALUE"""),"")</f>
        <v/>
      </c>
      <c r="R6020" s="21" t="str">
        <f>IFERROR(__xludf.DUMMYFUNCTION("""COMPUTED_VALUE"""),"https://drive.google.com/file/d/1EQVsV1DtEvD1L_TQzq4GzmjCEm-0omGS/view?usp=drivesdk")</f>
        <v>https://drive.google.com/file/d/1EQVsV1DtEvD1L_TQzq4GzmjCEm-0omGS/view?usp=drivesdk</v>
      </c>
    </row>
    <row r="6021">
      <c r="A6021" s="15">
        <f>IFERROR(__xludf.DUMMYFUNCTION("""COMPUTED_VALUE"""),45174.0)</f>
        <v>45174</v>
      </c>
      <c r="B6021" s="16" t="str">
        <f>IFERROR(__xludf.DUMMYFUNCTION("""COMPUTED_VALUE"""),"Johan Alexander Escobar Arroyo ")</f>
        <v>Johan Alexander Escobar Arroyo </v>
      </c>
      <c r="C6021" s="15" t="str">
        <f>IFERROR(__xludf.DUMMYFUNCTION("""COMPUTED_VALUE"""),"IBAGUÉ")</f>
        <v>IBAGUÉ</v>
      </c>
      <c r="D6021" s="15" t="str">
        <f>IFERROR(__xludf.DUMMYFUNCTION("""COMPUTED_VALUE"""),"BUCARAMANGA")</f>
        <v>BUCARAMANGA</v>
      </c>
      <c r="E6021" s="15" t="str">
        <f>IFERROR(__xludf.DUMMYFUNCTION("""COMPUTED_VALUE"""),"Yo Como Solito")</f>
        <v>Yo Como Solito</v>
      </c>
      <c r="F6021" s="17" t="str">
        <f>IFERROR(__xludf.DUMMYFUNCTION("""COMPUTED_VALUE"""),"CALLE 93 # 7SUR-90 TORRE 7 APARTAMENTO 701 CONJUNTO PARQUE RESINDECIAL ALTAGRACIA / CALLE 93 # 7SUR-90 TORRE 7 APARTAMENTO 701 CONJUNTO PARQUE RESINDECIAL ALTAGRACIA / CALLE 93 # 7SUR-90 TORRE 7 APARTAMENTO 701 CONJUNTO PARQUE RESINDECIAL ALTAGRACIA")</f>
        <v>CALLE 93 # 7SUR-90 TORRE 7 APARTAMENTO 701 CONJUNTO PARQUE RESINDECIAL ALTAGRACIA / CALLE 93 # 7SUR-90 TORRE 7 APARTAMENTO 701 CONJUNTO PARQUE RESINDECIAL ALTAGRACIA / CALLE 93 # 7SUR-90 TORRE 7 APARTAMENTO 701 CONJUNTO PARQUE RESINDECIAL ALTAGRACIA</v>
      </c>
      <c r="G6021" s="15" t="str">
        <f>IFERROR(__xludf.DUMMYFUNCTION("""COMPUTED_VALUE"""),"MARIAM YASMIN MURILLO RUBIO")</f>
        <v>MARIAM YASMIN MURILLO RUBIO</v>
      </c>
      <c r="H6021" s="16">
        <f>IFERROR(__xludf.DUMMYFUNCTION("""COMPUTED_VALUE"""),14627.0)</f>
        <v>14627</v>
      </c>
      <c r="I6021" s="18">
        <f>IFERROR(__xludf.DUMMYFUNCTION("""COMPUTED_VALUE"""),16.0)</f>
        <v>16</v>
      </c>
      <c r="J6021" s="18">
        <f>IFERROR(__xludf.DUMMYFUNCTION("""COMPUTED_VALUE"""),31.0)</f>
        <v>31</v>
      </c>
      <c r="K6021" s="18">
        <f>IFERROR(__xludf.DUMMYFUNCTION("""COMPUTED_VALUE"""),49.0)</f>
        <v>49</v>
      </c>
      <c r="L6021" s="17">
        <f>IFERROR(__xludf.DUMMYFUNCTION("""COMPUTED_VALUE"""),3.105789664E9)</f>
        <v>3105789664</v>
      </c>
      <c r="M6021" s="17" t="str">
        <f>IFERROR(__xludf.DUMMYFUNCTION("""COMPUTED_VALUE"""),"#REF!")</f>
        <v>#REF!</v>
      </c>
      <c r="N6021" s="17"/>
      <c r="O6021" s="17"/>
      <c r="P6021" s="17" t="b">
        <f>IFERROR(__xludf.DUMMYFUNCTION("""COMPUTED_VALUE"""),FALSE)</f>
        <v>0</v>
      </c>
      <c r="Q6021" s="20" t="str">
        <f>IFERROR(__xludf.DUMMYFUNCTION("""COMPUTED_VALUE"""),"")</f>
        <v/>
      </c>
      <c r="R6021" s="21" t="str">
        <f>IFERROR(__xludf.DUMMYFUNCTION("""COMPUTED_VALUE"""),"https://drive.google.com/file/d/1XppeGVAVKFRB0RdP1CIfeR7yKd9SiJbK/view?usp=drivesdk")</f>
        <v>https://drive.google.com/file/d/1XppeGVAVKFRB0RdP1CIfeR7yKd9SiJbK/view?usp=drivesdk</v>
      </c>
    </row>
    <row r="6022">
      <c r="A6022" s="15">
        <f>IFERROR(__xludf.DUMMYFUNCTION("""COMPUTED_VALUE"""),45174.0)</f>
        <v>45174</v>
      </c>
      <c r="B6022" s="16" t="str">
        <f>IFERROR(__xludf.DUMMYFUNCTION("""COMPUTED_VALUE"""),"Johan Alexander Escobar Arroyo ")</f>
        <v>Johan Alexander Escobar Arroyo </v>
      </c>
      <c r="C6022" s="15" t="str">
        <f>IFERROR(__xludf.DUMMYFUNCTION("""COMPUTED_VALUE"""),"IBAGUÉ")</f>
        <v>IBAGUÉ</v>
      </c>
      <c r="D6022" s="15" t="str">
        <f>IFERROR(__xludf.DUMMYFUNCTION("""COMPUTED_VALUE"""),"MEDELLÍN")</f>
        <v>MEDELLÍN</v>
      </c>
      <c r="E6022" s="15" t="str">
        <f>IFERROR(__xludf.DUMMYFUNCTION("""COMPUTED_VALUE"""),"Moloso S.A.S")</f>
        <v>Moloso S.A.S</v>
      </c>
      <c r="F6022" s="17" t="str">
        <f>IFERROR(__xludf.DUMMYFUNCTION("""COMPUTED_VALUE"""),"TRANS 19 A SUR 125 134 / RESERVAS DEL CAMPESTRE CS 32 ZONA 3")</f>
        <v>TRANS 19 A SUR 125 134 / RESERVAS DEL CAMPESTRE CS 32 ZONA 3</v>
      </c>
      <c r="G6022" s="15" t="str">
        <f>IFERROR(__xludf.DUMMYFUNCTION("""COMPUTED_VALUE"""),"LUIS FELIPE ESPINOSA CASTRO")</f>
        <v>LUIS FELIPE ESPINOSA CASTRO</v>
      </c>
      <c r="H6022" s="16">
        <f>IFERROR(__xludf.DUMMYFUNCTION("""COMPUTED_VALUE"""),14760.0)</f>
        <v>14760</v>
      </c>
      <c r="I6022" s="18">
        <f>IFERROR(__xludf.DUMMYFUNCTION("""COMPUTED_VALUE"""),17.0)</f>
        <v>17</v>
      </c>
      <c r="J6022" s="18">
        <f>IFERROR(__xludf.DUMMYFUNCTION("""COMPUTED_VALUE"""),15.0)</f>
        <v>15</v>
      </c>
      <c r="K6022" s="18">
        <f>IFERROR(__xludf.DUMMYFUNCTION("""COMPUTED_VALUE"""),28.0)</f>
        <v>28</v>
      </c>
      <c r="L6022" s="17" t="str">
        <f>IFERROR(__xludf.DUMMYFUNCTION("""COMPUTED_VALUE"""),"320 3033742")</f>
        <v>320 3033742</v>
      </c>
      <c r="M6022" s="17" t="str">
        <f>IFERROR(__xludf.DUMMYFUNCTION("""COMPUTED_VALUE"""),"#REF!")</f>
        <v>#REF!</v>
      </c>
      <c r="N6022" s="17"/>
      <c r="O6022" s="17"/>
      <c r="P6022" s="17" t="b">
        <f>IFERROR(__xludf.DUMMYFUNCTION("""COMPUTED_VALUE"""),FALSE)</f>
        <v>0</v>
      </c>
      <c r="Q6022" s="20" t="str">
        <f>IFERROR(__xludf.DUMMYFUNCTION("""COMPUTED_VALUE"""),"")</f>
        <v/>
      </c>
      <c r="R6022" s="22" t="str">
        <f>IFERROR(__xludf.DUMMYFUNCTION("""COMPUTED_VALUE"""),"")</f>
        <v/>
      </c>
    </row>
    <row r="6023">
      <c r="A6023" s="15">
        <f>IFERROR(__xludf.DUMMYFUNCTION("""COMPUTED_VALUE"""),45174.0)</f>
        <v>45174</v>
      </c>
      <c r="B6023" s="16" t="str">
        <f>IFERROR(__xludf.DUMMYFUNCTION("""COMPUTED_VALUE"""),"Johan Alexander Escobar Arroyo ")</f>
        <v>Johan Alexander Escobar Arroyo </v>
      </c>
      <c r="C6023" s="15" t="str">
        <f>IFERROR(__xludf.DUMMYFUNCTION("""COMPUTED_VALUE"""),"PALMIRA")</f>
        <v>PALMIRA</v>
      </c>
      <c r="D6023" s="15" t="str">
        <f>IFERROR(__xludf.DUMMYFUNCTION("""COMPUTED_VALUE"""),"BOGOTÁ")</f>
        <v>BOGOTÁ</v>
      </c>
      <c r="E6023" s="15" t="str">
        <f>IFERROR(__xludf.DUMMYFUNCTION("""COMPUTED_VALUE"""),"Evamazzita")</f>
        <v>Evamazzita</v>
      </c>
      <c r="F6023" s="17" t="str">
        <f>IFERROR(__xludf.DUMMYFUNCTION("""COMPUTED_VALUE"""),"CALLE 65C No. 25A - 24 / BULEVAR DE LAS MERCEDES")</f>
        <v>CALLE 65C No. 25A - 24 / BULEVAR DE LAS MERCEDES</v>
      </c>
      <c r="G6023" s="15" t="str">
        <f>IFERROR(__xludf.DUMMYFUNCTION("""COMPUTED_VALUE"""),"PAULINA BETANCOURT")</f>
        <v>PAULINA BETANCOURT</v>
      </c>
      <c r="H6023" s="16">
        <f>IFERROR(__xludf.DUMMYFUNCTION("""COMPUTED_VALUE"""),14751.0)</f>
        <v>14751</v>
      </c>
      <c r="I6023" s="18">
        <f>IFERROR(__xludf.DUMMYFUNCTION("""COMPUTED_VALUE"""),1.0)</f>
        <v>1</v>
      </c>
      <c r="J6023" s="18">
        <f>IFERROR(__xludf.DUMMYFUNCTION("""COMPUTED_VALUE"""),1.0)</f>
        <v>1</v>
      </c>
      <c r="K6023" s="18">
        <f>IFERROR(__xludf.DUMMYFUNCTION("""COMPUTED_VALUE"""),1.0)</f>
        <v>1</v>
      </c>
      <c r="L6023" s="17">
        <f>IFERROR(__xludf.DUMMYFUNCTION("""COMPUTED_VALUE"""),3.155339627E9)</f>
        <v>3155339627</v>
      </c>
      <c r="M6023" s="17" t="str">
        <f>IFERROR(__xludf.DUMMYFUNCTION("""COMPUTED_VALUE"""),"#REF!")</f>
        <v>#REF!</v>
      </c>
      <c r="N6023" s="17"/>
      <c r="O6023" s="17"/>
      <c r="P6023" s="17" t="b">
        <f>IFERROR(__xludf.DUMMYFUNCTION("""COMPUTED_VALUE"""),FALSE)</f>
        <v>0</v>
      </c>
      <c r="Q6023" s="20" t="str">
        <f>IFERROR(__xludf.DUMMYFUNCTION("""COMPUTED_VALUE"""),"")</f>
        <v/>
      </c>
      <c r="R6023" s="21" t="str">
        <f>IFERROR(__xludf.DUMMYFUNCTION("""COMPUTED_VALUE"""),"https://drive.google.com/file/d/1BCrsmkj2SHNujR8Krd2QgvygXl7uJMK8/view?usp=drivesdk")</f>
        <v>https://drive.google.com/file/d/1BCrsmkj2SHNujR8Krd2QgvygXl7uJMK8/view?usp=drivesdk</v>
      </c>
    </row>
    <row r="6024">
      <c r="A6024" s="17" t="str">
        <f>IFERROR(__xludf.DUMMYFUNCTION("""COMPUTED_VALUE"""),"")</f>
        <v/>
      </c>
      <c r="B6024" s="17" t="str">
        <f>IFERROR(__xludf.DUMMYFUNCTION("""COMPUTED_VALUE"""),"")</f>
        <v/>
      </c>
      <c r="C6024" s="17" t="str">
        <f>IFERROR(__xludf.DUMMYFUNCTION("""COMPUTED_VALUE"""),"")</f>
        <v/>
      </c>
      <c r="D6024" s="17" t="str">
        <f>IFERROR(__xludf.DUMMYFUNCTION("""COMPUTED_VALUE"""),"")</f>
        <v/>
      </c>
      <c r="E6024" s="17" t="str">
        <f>IFERROR(__xludf.DUMMYFUNCTION("""COMPUTED_VALUE"""),"")</f>
        <v/>
      </c>
      <c r="F6024" s="17" t="str">
        <f>IFERROR(__xludf.DUMMYFUNCTION("""COMPUTED_VALUE"""),"")</f>
        <v/>
      </c>
      <c r="G6024" s="17" t="str">
        <f>IFERROR(__xludf.DUMMYFUNCTION("""COMPUTED_VALUE"""),"")</f>
        <v/>
      </c>
      <c r="H6024" s="17" t="str">
        <f>IFERROR(__xludf.DUMMYFUNCTION("""COMPUTED_VALUE"""),"")</f>
        <v/>
      </c>
      <c r="I6024" s="17" t="str">
        <f>IFERROR(__xludf.DUMMYFUNCTION("""COMPUTED_VALUE"""),"")</f>
        <v/>
      </c>
      <c r="J6024" s="17" t="str">
        <f>IFERROR(__xludf.DUMMYFUNCTION("""COMPUTED_VALUE"""),"")</f>
        <v/>
      </c>
      <c r="K6024" s="17" t="str">
        <f>IFERROR(__xludf.DUMMYFUNCTION("""COMPUTED_VALUE"""),"")</f>
        <v/>
      </c>
      <c r="L6024" s="17" t="str">
        <f>IFERROR(__xludf.DUMMYFUNCTION("""COMPUTED_VALUE"""),"")</f>
        <v/>
      </c>
      <c r="M6024" s="17" t="str">
        <f>IFERROR(__xludf.DUMMYFUNCTION("""COMPUTED_VALUE"""),"")</f>
        <v/>
      </c>
      <c r="N6024" s="17" t="str">
        <f>IFERROR(__xludf.DUMMYFUNCTION("""COMPUTED_VALUE"""),"")</f>
        <v/>
      </c>
      <c r="O6024" s="17" t="str">
        <f>IFERROR(__xludf.DUMMYFUNCTION("""COMPUTED_VALUE"""),"")</f>
        <v/>
      </c>
      <c r="P6024" s="17" t="str">
        <f>IFERROR(__xludf.DUMMYFUNCTION("""COMPUTED_VALUE"""),"")</f>
        <v/>
      </c>
      <c r="Q6024" s="17" t="str">
        <f>IFERROR(__xludf.DUMMYFUNCTION("""COMPUTED_VALUE"""),"")</f>
        <v/>
      </c>
      <c r="R6024" s="17" t="str">
        <f>IFERROR(__xludf.DUMMYFUNCTION("""COMPUTED_VALUE"""),"")</f>
        <v/>
      </c>
    </row>
    <row r="6025">
      <c r="A6025" s="15">
        <f>IFERROR(__xludf.DUMMYFUNCTION("""COMPUTED_VALUE"""),45174.0)</f>
        <v>45174</v>
      </c>
      <c r="B6025" s="16" t="str">
        <f>IFERROR(__xludf.DUMMYFUNCTION("""COMPUTED_VALUE"""),"Julián Alexis salazar Anaya ")</f>
        <v>Julián Alexis salazar Anaya </v>
      </c>
      <c r="C6025" s="15" t="str">
        <f>IFERROR(__xludf.DUMMYFUNCTION("""COMPUTED_VALUE"""),"ARMENIA")</f>
        <v>ARMENIA</v>
      </c>
      <c r="D6025" s="15" t="str">
        <f>IFERROR(__xludf.DUMMYFUNCTION("""COMPUTED_VALUE"""),"BOGOTÁ")</f>
        <v>BOGOTÁ</v>
      </c>
      <c r="E6025" s="15" t="str">
        <f>IFERROR(__xludf.DUMMYFUNCTION("""COMPUTED_VALUE"""),"Asociacion Agropecuaria Juana Maria")</f>
        <v>Asociacion Agropecuaria Juana Maria</v>
      </c>
      <c r="F6025" s="17" t="str">
        <f>IFERROR(__xludf.DUMMYFUNCTION("""COMPUTED_VALUE"""),"calle 45 # 42 - 10 mz 7 cs 39 caminos del bosque")</f>
        <v>calle 45 # 42 - 10 mz 7 cs 39 caminos del bosque</v>
      </c>
      <c r="G6025" s="15" t="str">
        <f>IFERROR(__xludf.DUMMYFUNCTION("""COMPUTED_VALUE"""),"Sandra Maritza Lizarazo Bejarano")</f>
        <v>Sandra Maritza Lizarazo Bejarano</v>
      </c>
      <c r="H6025" s="16">
        <f>IFERROR(__xludf.DUMMYFUNCTION("""COMPUTED_VALUE"""),14680.0)</f>
        <v>14680</v>
      </c>
      <c r="I6025" s="18">
        <f>IFERROR(__xludf.DUMMYFUNCTION("""COMPUTED_VALUE"""),22.0)</f>
        <v>22</v>
      </c>
      <c r="J6025" s="18">
        <f>IFERROR(__xludf.DUMMYFUNCTION("""COMPUTED_VALUE"""),15.0)</f>
        <v>15</v>
      </c>
      <c r="K6025" s="18">
        <f>IFERROR(__xludf.DUMMYFUNCTION("""COMPUTED_VALUE"""),3.0)</f>
        <v>3</v>
      </c>
      <c r="L6025" s="17">
        <f>IFERROR(__xludf.DUMMYFUNCTION("""COMPUTED_VALUE"""),3.163412536E9)</f>
        <v>3163412536</v>
      </c>
      <c r="M6025" s="17" t="str">
        <f>IFERROR(__xludf.DUMMYFUNCTION("""COMPUTED_VALUE"""),"#REF!")</f>
        <v>#REF!</v>
      </c>
      <c r="N6025" s="17"/>
      <c r="O6025" s="17"/>
      <c r="P6025" s="17" t="b">
        <f>IFERROR(__xludf.DUMMYFUNCTION("""COMPUTED_VALUE"""),FALSE)</f>
        <v>0</v>
      </c>
      <c r="Q6025" s="20" t="str">
        <f>IFERROR(__xludf.DUMMYFUNCTION("""COMPUTED_VALUE"""),"")</f>
        <v/>
      </c>
      <c r="R6025" s="21" t="str">
        <f>IFERROR(__xludf.DUMMYFUNCTION("""COMPUTED_VALUE"""),"https://drive.google.com/file/d/13QkzM9QTXD4miliJMRhEg8-2idatM8wt/view?usp=drivesdk")</f>
        <v>https://drive.google.com/file/d/13QkzM9QTXD4miliJMRhEg8-2idatM8wt/view?usp=drivesdk</v>
      </c>
    </row>
    <row r="6026">
      <c r="A6026" s="15">
        <f>IFERROR(__xludf.DUMMYFUNCTION("""COMPUTED_VALUE"""),45174.0)</f>
        <v>45174</v>
      </c>
      <c r="B6026" s="16" t="str">
        <f>IFERROR(__xludf.DUMMYFUNCTION("""COMPUTED_VALUE"""),"Julián Alexis salazar Anaya ")</f>
        <v>Julián Alexis salazar Anaya </v>
      </c>
      <c r="C6026" s="15" t="str">
        <f>IFERROR(__xludf.DUMMYFUNCTION("""COMPUTED_VALUE"""),"ARMENIA")</f>
        <v>ARMENIA</v>
      </c>
      <c r="D6026" s="15" t="str">
        <f>IFERROR(__xludf.DUMMYFUNCTION("""COMPUTED_VALUE"""),"BOGOTÁ")</f>
        <v>BOGOTÁ</v>
      </c>
      <c r="E6026" s="15" t="str">
        <f>IFERROR(__xludf.DUMMYFUNCTION("""COMPUTED_VALUE"""),"Evamazzita")</f>
        <v>Evamazzita</v>
      </c>
      <c r="F6026" s="17" t="str">
        <f>IFERROR(__xludf.DUMMYFUNCTION("""COMPUTED_VALUE"""),"carrera 19 # 30norte-65 / mz B casa 7")</f>
        <v>carrera 19 # 30norte-65 / mz B casa 7</v>
      </c>
      <c r="G6026" s="15" t="str">
        <f>IFERROR(__xludf.DUMMYFUNCTION("""COMPUTED_VALUE"""),"MARIA DEL MAR HURTADO")</f>
        <v>MARIA DEL MAR HURTADO</v>
      </c>
      <c r="H6026" s="16">
        <f>IFERROR(__xludf.DUMMYFUNCTION("""COMPUTED_VALUE"""),14739.0)</f>
        <v>14739</v>
      </c>
      <c r="I6026" s="18">
        <f>IFERROR(__xludf.DUMMYFUNCTION("""COMPUTED_VALUE"""),1.0)</f>
        <v>1</v>
      </c>
      <c r="J6026" s="18">
        <f>IFERROR(__xludf.DUMMYFUNCTION("""COMPUTED_VALUE"""),1.0)</f>
        <v>1</v>
      </c>
      <c r="K6026" s="18">
        <f>IFERROR(__xludf.DUMMYFUNCTION("""COMPUTED_VALUE"""),1.0)</f>
        <v>1</v>
      </c>
      <c r="L6026" s="17">
        <f>IFERROR(__xludf.DUMMYFUNCTION("""COMPUTED_VALUE"""),3.024680664E9)</f>
        <v>3024680664</v>
      </c>
      <c r="M6026" s="17" t="str">
        <f>IFERROR(__xludf.DUMMYFUNCTION("""COMPUTED_VALUE"""),"#REF!")</f>
        <v>#REF!</v>
      </c>
      <c r="N6026" s="17"/>
      <c r="O6026" s="17"/>
      <c r="P6026" s="17" t="b">
        <f>IFERROR(__xludf.DUMMYFUNCTION("""COMPUTED_VALUE"""),FALSE)</f>
        <v>0</v>
      </c>
      <c r="Q6026" s="20" t="str">
        <f>IFERROR(__xludf.DUMMYFUNCTION("""COMPUTED_VALUE"""),"")</f>
        <v/>
      </c>
      <c r="R6026" s="21" t="str">
        <f>IFERROR(__xludf.DUMMYFUNCTION("""COMPUTED_VALUE"""),"https://drive.google.com/file/d/1l9dW-eOneKq_cXrqEzFt82be0t7_SFFY/view?usp=drivesdk")</f>
        <v>https://drive.google.com/file/d/1l9dW-eOneKq_cXrqEzFt82be0t7_SFFY/view?usp=drivesdk</v>
      </c>
    </row>
    <row r="6027">
      <c r="A6027" s="15">
        <f>IFERROR(__xludf.DUMMYFUNCTION("""COMPUTED_VALUE"""),45174.0)</f>
        <v>45174</v>
      </c>
      <c r="B6027" s="16" t="str">
        <f>IFERROR(__xludf.DUMMYFUNCTION("""COMPUTED_VALUE"""),"Julián Alexis salazar Anaya ")</f>
        <v>Julián Alexis salazar Anaya </v>
      </c>
      <c r="C6027" s="15" t="str">
        <f>IFERROR(__xludf.DUMMYFUNCTION("""COMPUTED_VALUE"""),"ARMENIA")</f>
        <v>ARMENIA</v>
      </c>
      <c r="D6027" s="15" t="str">
        <f>IFERROR(__xludf.DUMMYFUNCTION("""COMPUTED_VALUE"""),"BOGOTÁ")</f>
        <v>BOGOTÁ</v>
      </c>
      <c r="E6027" s="15" t="str">
        <f>IFERROR(__xludf.DUMMYFUNCTION("""COMPUTED_VALUE"""),"Pan de Waffle")</f>
        <v>Pan de Waffle</v>
      </c>
      <c r="F6027" s="17" t="str">
        <f>IFERROR(__xludf.DUMMYFUNCTION("""COMPUTED_VALUE"""),"Calle 45 # 42 - 10 Mz 4 Casa caminos del bosque barrios manantiales / Calle 45 # 42 - 10 Mz 4 Casa caminos del bosque barrios manantiales / Calle 45 # 42 - 10 Mz 4 Casa caminos del bosque barrios manantiales")</f>
        <v>Calle 45 # 42 - 10 Mz 4 Casa caminos del bosque barrios manantiales / Calle 45 # 42 - 10 Mz 4 Casa caminos del bosque barrios manantiales / Calle 45 # 42 - 10 Mz 4 Casa caminos del bosque barrios manantiales</v>
      </c>
      <c r="G6027" s="15" t="str">
        <f>IFERROR(__xludf.DUMMYFUNCTION("""COMPUTED_VALUE"""),"MARCELA GUEVARA")</f>
        <v>MARCELA GUEVARA</v>
      </c>
      <c r="H6027" s="16">
        <f>IFERROR(__xludf.DUMMYFUNCTION("""COMPUTED_VALUE"""),14737.0)</f>
        <v>14737</v>
      </c>
      <c r="I6027" s="18">
        <f>IFERROR(__xludf.DUMMYFUNCTION("""COMPUTED_VALUE"""),30.0)</f>
        <v>30</v>
      </c>
      <c r="J6027" s="18">
        <f>IFERROR(__xludf.DUMMYFUNCTION("""COMPUTED_VALUE"""),40.0)</f>
        <v>40</v>
      </c>
      <c r="K6027" s="18">
        <f>IFERROR(__xludf.DUMMYFUNCTION("""COMPUTED_VALUE"""),40.0)</f>
        <v>40</v>
      </c>
      <c r="L6027" s="17">
        <f>IFERROR(__xludf.DUMMYFUNCTION("""COMPUTED_VALUE"""),3.162298869E9)</f>
        <v>3162298869</v>
      </c>
      <c r="M6027" s="17" t="str">
        <f>IFERROR(__xludf.DUMMYFUNCTION("""COMPUTED_VALUE"""),"#REF!")</f>
        <v>#REF!</v>
      </c>
      <c r="N6027" s="17"/>
      <c r="O6027" s="17"/>
      <c r="P6027" s="17" t="b">
        <f>IFERROR(__xludf.DUMMYFUNCTION("""COMPUTED_VALUE"""),FALSE)</f>
        <v>0</v>
      </c>
      <c r="Q6027" s="20" t="str">
        <f>IFERROR(__xludf.DUMMYFUNCTION("""COMPUTED_VALUE"""),"")</f>
        <v/>
      </c>
      <c r="R6027" s="21" t="str">
        <f>IFERROR(__xludf.DUMMYFUNCTION("""COMPUTED_VALUE"""),"https://drive.google.com/file/d/1PF04Ur1bJI7s5M4zR53tzOPrnO25mej2/view?usp=drivesdk")</f>
        <v>https://drive.google.com/file/d/1PF04Ur1bJI7s5M4zR53tzOPrnO25mej2/view?usp=drivesdk</v>
      </c>
    </row>
    <row r="6028">
      <c r="A6028" s="15">
        <f>IFERROR(__xludf.DUMMYFUNCTION("""COMPUTED_VALUE"""),45174.0)</f>
        <v>45174</v>
      </c>
      <c r="B6028" s="16" t="str">
        <f>IFERROR(__xludf.DUMMYFUNCTION("""COMPUTED_VALUE"""),"Julián Alexis salazar Anaya ")</f>
        <v>Julián Alexis salazar Anaya </v>
      </c>
      <c r="C6028" s="15" t="str">
        <f>IFERROR(__xludf.DUMMYFUNCTION("""COMPUTED_VALUE"""),"ARMENIA")</f>
        <v>ARMENIA</v>
      </c>
      <c r="D6028" s="15" t="str">
        <f>IFERROR(__xludf.DUMMYFUNCTION("""COMPUTED_VALUE"""),"BOGOTÁ")</f>
        <v>BOGOTÁ</v>
      </c>
      <c r="E6028" s="15" t="str">
        <f>IFERROR(__xludf.DUMMYFUNCTION("""COMPUTED_VALUE"""),"Top Spun")</f>
        <v>Top Spun</v>
      </c>
      <c r="F6028" s="17" t="str">
        <f>IFERROR(__xludf.DUMMYFUNCTION("""COMPUTED_VALUE"""),"Calle 19Norte # 10-41 / Conjunto Castellon Manzana J Casa 16 / Armenia")</f>
        <v>Calle 19Norte # 10-41 / Conjunto Castellon Manzana J Casa 16 / Armenia</v>
      </c>
      <c r="G6028" s="15" t="str">
        <f>IFERROR(__xludf.DUMMYFUNCTION("""COMPUTED_VALUE"""),"Laura Cardona Tamayo")</f>
        <v>Laura Cardona Tamayo</v>
      </c>
      <c r="H6028" s="16">
        <f>IFERROR(__xludf.DUMMYFUNCTION("""COMPUTED_VALUE"""),14766.0)</f>
        <v>14766</v>
      </c>
      <c r="I6028" s="18">
        <f>IFERROR(__xludf.DUMMYFUNCTION("""COMPUTED_VALUE"""),20.0)</f>
        <v>20</v>
      </c>
      <c r="J6028" s="18">
        <f>IFERROR(__xludf.DUMMYFUNCTION("""COMPUTED_VALUE"""),40.0)</f>
        <v>40</v>
      </c>
      <c r="K6028" s="18">
        <f>IFERROR(__xludf.DUMMYFUNCTION("""COMPUTED_VALUE"""),10.0)</f>
        <v>10</v>
      </c>
      <c r="L6028" s="17">
        <f>IFERROR(__xludf.DUMMYFUNCTION("""COMPUTED_VALUE"""),3.01435952E9)</f>
        <v>3014359520</v>
      </c>
      <c r="M6028" s="17" t="str">
        <f>IFERROR(__xludf.DUMMYFUNCTION("""COMPUTED_VALUE"""),"#REF!")</f>
        <v>#REF!</v>
      </c>
      <c r="N6028" s="17"/>
      <c r="O6028" s="17"/>
      <c r="P6028" s="17" t="b">
        <f>IFERROR(__xludf.DUMMYFUNCTION("""COMPUTED_VALUE"""),FALSE)</f>
        <v>0</v>
      </c>
      <c r="Q6028" s="20" t="str">
        <f>IFERROR(__xludf.DUMMYFUNCTION("""COMPUTED_VALUE"""),"")</f>
        <v/>
      </c>
      <c r="R6028" s="21" t="str">
        <f>IFERROR(__xludf.DUMMYFUNCTION("""COMPUTED_VALUE"""),"https://drive.google.com/file/d/1OGPKWlzWqFqT401WMRkgPTOneWm7gDE7/view?usp=drivesdk")</f>
        <v>https://drive.google.com/file/d/1OGPKWlzWqFqT401WMRkgPTOneWm7gDE7/view?usp=drivesdk</v>
      </c>
    </row>
    <row r="6029">
      <c r="A6029" s="15">
        <f>IFERROR(__xludf.DUMMYFUNCTION("""COMPUTED_VALUE"""),45174.0)</f>
        <v>45174</v>
      </c>
      <c r="B6029" s="16" t="str">
        <f>IFERROR(__xludf.DUMMYFUNCTION("""COMPUTED_VALUE"""),"Julián Alexis salazar Anaya ")</f>
        <v>Julián Alexis salazar Anaya </v>
      </c>
      <c r="C6029" s="15" t="str">
        <f>IFERROR(__xludf.DUMMYFUNCTION("""COMPUTED_VALUE"""),"ARMENIA")</f>
        <v>ARMENIA</v>
      </c>
      <c r="D6029" s="15" t="str">
        <f>IFERROR(__xludf.DUMMYFUNCTION("""COMPUTED_VALUE"""),"MEDELLÍN")</f>
        <v>MEDELLÍN</v>
      </c>
      <c r="E6029" s="15" t="str">
        <f>IFERROR(__xludf.DUMMYFUNCTION("""COMPUTED_VALUE"""),"Baby Chef")</f>
        <v>Baby Chef</v>
      </c>
      <c r="F6029" s="17" t="str">
        <f>IFERROR(__xludf.DUMMYFUNCTION("""COMPUTED_VALUE"""),"Calle 19 Norte # 10-41 Castellon Manzana J Casa 16 Cerca al centro comercial Portal del Quindio / Calle 19 Norte # 10-41 Castellon Manzana J Casa 16 Cerca al centro comercial Portal del Quindio / Calle 19 Norte # 10-41 Castellon Manzana J Casa 16 Cerca al"&amp;" centro comercial Portal del Quindio")</f>
        <v>Calle 19 Norte # 10-41 Castellon Manzana J Casa 16 Cerca al centro comercial Portal del Quindio / Calle 19 Norte # 10-41 Castellon Manzana J Casa 16 Cerca al centro comercial Portal del Quindio / Calle 19 Norte # 10-41 Castellon Manzana J Casa 16 Cerca al centro comercial Portal del Quindio</v>
      </c>
      <c r="G6029" s="15" t="str">
        <f>IFERROR(__xludf.DUMMYFUNCTION("""COMPUTED_VALUE"""),"Laura Cardona")</f>
        <v>Laura Cardona</v>
      </c>
      <c r="H6029" s="16">
        <f>IFERROR(__xludf.DUMMYFUNCTION("""COMPUTED_VALUE"""),14724.0)</f>
        <v>14724</v>
      </c>
      <c r="I6029" s="18">
        <f>IFERROR(__xludf.DUMMYFUNCTION("""COMPUTED_VALUE"""),9.0)</f>
        <v>9</v>
      </c>
      <c r="J6029" s="18">
        <f>IFERROR(__xludf.DUMMYFUNCTION("""COMPUTED_VALUE"""),21.0)</f>
        <v>21</v>
      </c>
      <c r="K6029" s="18">
        <f>IFERROR(__xludf.DUMMYFUNCTION("""COMPUTED_VALUE"""),30.0)</f>
        <v>30</v>
      </c>
      <c r="L6029" s="17">
        <f>IFERROR(__xludf.DUMMYFUNCTION("""COMPUTED_VALUE"""),3.01435952E9)</f>
        <v>3014359520</v>
      </c>
      <c r="M6029" s="17" t="str">
        <f>IFERROR(__xludf.DUMMYFUNCTION("""COMPUTED_VALUE"""),"#REF!")</f>
        <v>#REF!</v>
      </c>
      <c r="N6029" s="17"/>
      <c r="O6029" s="17"/>
      <c r="P6029" s="17" t="b">
        <f>IFERROR(__xludf.DUMMYFUNCTION("""COMPUTED_VALUE"""),FALSE)</f>
        <v>0</v>
      </c>
      <c r="Q6029" s="20" t="str">
        <f>IFERROR(__xludf.DUMMYFUNCTION("""COMPUTED_VALUE"""),"")</f>
        <v/>
      </c>
      <c r="R6029" s="21" t="str">
        <f>IFERROR(__xludf.DUMMYFUNCTION("""COMPUTED_VALUE"""),"https://drive.google.com/file/d/1wFRsIxI9hYX86mNKs2l1xU4JZHE6SpWP/view?usp=drivesdk")</f>
        <v>https://drive.google.com/file/d/1wFRsIxI9hYX86mNKs2l1xU4JZHE6SpWP/view?usp=drivesdk</v>
      </c>
    </row>
    <row r="6030">
      <c r="A6030" s="15">
        <f>IFERROR(__xludf.DUMMYFUNCTION("""COMPUTED_VALUE"""),45174.0)</f>
        <v>45174</v>
      </c>
      <c r="B6030" s="16" t="str">
        <f>IFERROR(__xludf.DUMMYFUNCTION("""COMPUTED_VALUE"""),"Julián Alexis salazar Anaya ")</f>
        <v>Julián Alexis salazar Anaya </v>
      </c>
      <c r="C6030" s="15" t="str">
        <f>IFERROR(__xludf.DUMMYFUNCTION("""COMPUTED_VALUE"""),"ARMENIA")</f>
        <v>ARMENIA</v>
      </c>
      <c r="D6030" s="15" t="str">
        <f>IFERROR(__xludf.DUMMYFUNCTION("""COMPUTED_VALUE"""),"MEDELLÍN")</f>
        <v>MEDELLÍN</v>
      </c>
      <c r="E6030" s="15" t="str">
        <f>IFERROR(__xludf.DUMMYFUNCTION("""COMPUTED_VALUE"""),"Baby Chef")</f>
        <v>Baby Chef</v>
      </c>
      <c r="F6030" s="17" t="str">
        <f>IFERROR(__xludf.DUMMYFUNCTION("""COMPUTED_VALUE"""),"Calle 6 Norte #16A 44 Edificio Valparaiso Apto 1102 Barrio los profesionales / Calle 6 Norte #16A 44 Edificio Valparaiso Apto 1102 Barrio los profesionales / Calle 6 Norte #16A 44 Edificio Valparaiso Apto 1102 Barrio los profesionales")</f>
        <v>Calle 6 Norte #16A 44 Edificio Valparaiso Apto 1102 Barrio los profesionales / Calle 6 Norte #16A 44 Edificio Valparaiso Apto 1102 Barrio los profesionales / Calle 6 Norte #16A 44 Edificio Valparaiso Apto 1102 Barrio los profesionales</v>
      </c>
      <c r="G6030" s="15" t="str">
        <f>IFERROR(__xludf.DUMMYFUNCTION("""COMPUTED_VALUE"""),"Leydi Echeverry")</f>
        <v>Leydi Echeverry</v>
      </c>
      <c r="H6030" s="16">
        <f>IFERROR(__xludf.DUMMYFUNCTION("""COMPUTED_VALUE"""),14725.0)</f>
        <v>14725</v>
      </c>
      <c r="I6030" s="18">
        <f>IFERROR(__xludf.DUMMYFUNCTION("""COMPUTED_VALUE"""),8.0)</f>
        <v>8</v>
      </c>
      <c r="J6030" s="18">
        <f>IFERROR(__xludf.DUMMYFUNCTION("""COMPUTED_VALUE"""),20.0)</f>
        <v>20</v>
      </c>
      <c r="K6030" s="18">
        <f>IFERROR(__xludf.DUMMYFUNCTION("""COMPUTED_VALUE"""),33.0)</f>
        <v>33</v>
      </c>
      <c r="L6030" s="17">
        <f>IFERROR(__xludf.DUMMYFUNCTION("""COMPUTED_VALUE"""),3.16575559E9)</f>
        <v>3165755590</v>
      </c>
      <c r="M6030" s="17" t="str">
        <f>IFERROR(__xludf.DUMMYFUNCTION("""COMPUTED_VALUE"""),"#REF!")</f>
        <v>#REF!</v>
      </c>
      <c r="N6030" s="17"/>
      <c r="O6030" s="17"/>
      <c r="P6030" s="17" t="b">
        <f>IFERROR(__xludf.DUMMYFUNCTION("""COMPUTED_VALUE"""),FALSE)</f>
        <v>0</v>
      </c>
      <c r="Q6030" s="20" t="str">
        <f>IFERROR(__xludf.DUMMYFUNCTION("""COMPUTED_VALUE"""),"")</f>
        <v/>
      </c>
      <c r="R6030" s="21" t="str">
        <f>IFERROR(__xludf.DUMMYFUNCTION("""COMPUTED_VALUE"""),"https://drive.google.com/file/d/1FJYbrpcoj4TAffPia_Koijk9_-T9EDnp/view?usp=drivesdk")</f>
        <v>https://drive.google.com/file/d/1FJYbrpcoj4TAffPia_Koijk9_-T9EDnp/view?usp=drivesdk</v>
      </c>
    </row>
    <row r="6031">
      <c r="A6031" s="15">
        <f>IFERROR(__xludf.DUMMYFUNCTION("""COMPUTED_VALUE"""),45174.0)</f>
        <v>45174</v>
      </c>
      <c r="B6031" s="16" t="str">
        <f>IFERROR(__xludf.DUMMYFUNCTION("""COMPUTED_VALUE"""),"Julián Alexis salazar Anaya ")</f>
        <v>Julián Alexis salazar Anaya </v>
      </c>
      <c r="C6031" s="15" t="str">
        <f>IFERROR(__xludf.DUMMYFUNCTION("""COMPUTED_VALUE"""),"BOGOTÁ")</f>
        <v>BOGOTÁ</v>
      </c>
      <c r="D6031" s="15" t="str">
        <f>IFERROR(__xludf.DUMMYFUNCTION("""COMPUTED_VALUE"""),"MEDELLÍN")</f>
        <v>MEDELLÍN</v>
      </c>
      <c r="E6031" s="15" t="str">
        <f>IFERROR(__xludf.DUMMYFUNCTION("""COMPUTED_VALUE"""),"Cosmo Cookies")</f>
        <v>Cosmo Cookies</v>
      </c>
      <c r="F6031" s="17" t="str">
        <f>IFERROR(__xludf.DUMMYFUNCTION("""COMPUTED_VALUE"""),"Carrera 69 B No. 75 -62 / Bodega / Barrio Las ferias")</f>
        <v>Carrera 69 B No. 75 -62 / Bodega / Barrio Las ferias</v>
      </c>
      <c r="G6031" s="15" t="str">
        <f>IFERROR(__xludf.DUMMYFUNCTION("""COMPUTED_VALUE"""),"Daniel Gomez")</f>
        <v>Daniel Gomez</v>
      </c>
      <c r="H6031" s="16">
        <f>IFERROR(__xludf.DUMMYFUNCTION("""COMPUTED_VALUE"""),14723.0)</f>
        <v>14723</v>
      </c>
      <c r="I6031" s="18">
        <f>IFERROR(__xludf.DUMMYFUNCTION("""COMPUTED_VALUE"""),210.0)</f>
        <v>210</v>
      </c>
      <c r="J6031" s="18">
        <f>IFERROR(__xludf.DUMMYFUNCTION("""COMPUTED_VALUE"""),55.0)</f>
        <v>55</v>
      </c>
      <c r="K6031" s="18">
        <f>IFERROR(__xludf.DUMMYFUNCTION("""COMPUTED_VALUE"""),45.0)</f>
        <v>45</v>
      </c>
      <c r="L6031" s="17">
        <f>IFERROR(__xludf.DUMMYFUNCTION("""COMPUTED_VALUE"""),3.043398408E9)</f>
        <v>3043398408</v>
      </c>
      <c r="M6031" s="17" t="str">
        <f>IFERROR(__xludf.DUMMYFUNCTION("""COMPUTED_VALUE"""),"#REF!")</f>
        <v>#REF!</v>
      </c>
      <c r="N6031" s="17"/>
      <c r="O6031" s="17"/>
      <c r="P6031" s="17" t="b">
        <f>IFERROR(__xludf.DUMMYFUNCTION("""COMPUTED_VALUE"""),FALSE)</f>
        <v>0</v>
      </c>
      <c r="Q6031" s="20" t="str">
        <f>IFERROR(__xludf.DUMMYFUNCTION("""COMPUTED_VALUE"""),"")</f>
        <v/>
      </c>
      <c r="R6031" s="22" t="str">
        <f>IFERROR(__xludf.DUMMYFUNCTION("""COMPUTED_VALUE"""),"")</f>
        <v/>
      </c>
    </row>
    <row r="6032">
      <c r="A6032" s="15">
        <f>IFERROR(__xludf.DUMMYFUNCTION("""COMPUTED_VALUE"""),45174.0)</f>
        <v>45174</v>
      </c>
      <c r="B6032" s="16" t="str">
        <f>IFERROR(__xludf.DUMMYFUNCTION("""COMPUTED_VALUE"""),"Julián Alexis salazar Anaya ")</f>
        <v>Julián Alexis salazar Anaya </v>
      </c>
      <c r="C6032" s="15" t="str">
        <f>IFERROR(__xludf.DUMMYFUNCTION("""COMPUTED_VALUE"""),"ZIPAQUIRA")</f>
        <v>ZIPAQUIRA</v>
      </c>
      <c r="D6032" s="15" t="str">
        <f>IFERROR(__xludf.DUMMYFUNCTION("""COMPUTED_VALUE"""),"BUCARAMANGA")</f>
        <v>BUCARAMANGA</v>
      </c>
      <c r="E6032" s="15" t="str">
        <f>IFERROR(__xludf.DUMMYFUNCTION("""COMPUTED_VALUE"""),"Yo Como Solito")</f>
        <v>Yo Como Solito</v>
      </c>
      <c r="F6032" s="17" t="str">
        <f>IFERROR(__xludf.DUMMYFUNCTION("""COMPUTED_VALUE"""),"DIAGONAL 4B # 31-20 TORRE 11 APARTAMENTO 644 SIENNA LA TOSCANA / DIAGONAL 4B # 31-20 TORRE 11 APARTAMENTO 644 SIENNA LA TOSCANA / DIAGONAL 4B # 31-20 TORRE 11 APARTAMENTO 644 SIENNA LA TOSCANA")</f>
        <v>DIAGONAL 4B # 31-20 TORRE 11 APARTAMENTO 644 SIENNA LA TOSCANA / DIAGONAL 4B # 31-20 TORRE 11 APARTAMENTO 644 SIENNA LA TOSCANA / DIAGONAL 4B # 31-20 TORRE 11 APARTAMENTO 644 SIENNA LA TOSCANA</v>
      </c>
      <c r="G6032" s="15" t="str">
        <f>IFERROR(__xludf.DUMMYFUNCTION("""COMPUTED_VALUE"""),"DIANA CAROLINA DIAZ")</f>
        <v>DIANA CAROLINA DIAZ</v>
      </c>
      <c r="H6032" s="16">
        <f>IFERROR(__xludf.DUMMYFUNCTION("""COMPUTED_VALUE"""),14632.0)</f>
        <v>14632</v>
      </c>
      <c r="I6032" s="18">
        <f>IFERROR(__xludf.DUMMYFUNCTION("""COMPUTED_VALUE"""),18.0)</f>
        <v>18</v>
      </c>
      <c r="J6032" s="18">
        <f>IFERROR(__xludf.DUMMYFUNCTION("""COMPUTED_VALUE"""),27.0)</f>
        <v>27</v>
      </c>
      <c r="K6032" s="18">
        <f>IFERROR(__xludf.DUMMYFUNCTION("""COMPUTED_VALUE"""),36.0)</f>
        <v>36</v>
      </c>
      <c r="L6032" s="17">
        <f>IFERROR(__xludf.DUMMYFUNCTION("""COMPUTED_VALUE"""),3.185572046E9)</f>
        <v>3185572046</v>
      </c>
      <c r="M6032" s="17" t="str">
        <f>IFERROR(__xludf.DUMMYFUNCTION("""COMPUTED_VALUE"""),"#REF!")</f>
        <v>#REF!</v>
      </c>
      <c r="N6032" s="17"/>
      <c r="O6032" s="17"/>
      <c r="P6032" s="17" t="b">
        <f>IFERROR(__xludf.DUMMYFUNCTION("""COMPUTED_VALUE"""),FALSE)</f>
        <v>0</v>
      </c>
      <c r="Q6032" s="20" t="str">
        <f>IFERROR(__xludf.DUMMYFUNCTION("""COMPUTED_VALUE"""),"")</f>
        <v/>
      </c>
      <c r="R6032" s="22" t="str">
        <f>IFERROR(__xludf.DUMMYFUNCTION("""COMPUTED_VALUE"""),"")</f>
        <v/>
      </c>
    </row>
    <row r="6033">
      <c r="A6033" s="17" t="str">
        <f>IFERROR(__xludf.DUMMYFUNCTION("""COMPUTED_VALUE"""),"")</f>
        <v/>
      </c>
      <c r="B6033" s="17" t="str">
        <f>IFERROR(__xludf.DUMMYFUNCTION("""COMPUTED_VALUE"""),"")</f>
        <v/>
      </c>
      <c r="C6033" s="17" t="str">
        <f>IFERROR(__xludf.DUMMYFUNCTION("""COMPUTED_VALUE"""),"")</f>
        <v/>
      </c>
      <c r="D6033" s="17" t="str">
        <f>IFERROR(__xludf.DUMMYFUNCTION("""COMPUTED_VALUE"""),"")</f>
        <v/>
      </c>
      <c r="E6033" s="17" t="str">
        <f>IFERROR(__xludf.DUMMYFUNCTION("""COMPUTED_VALUE"""),"")</f>
        <v/>
      </c>
      <c r="F6033" s="17" t="str">
        <f>IFERROR(__xludf.DUMMYFUNCTION("""COMPUTED_VALUE"""),"")</f>
        <v/>
      </c>
      <c r="G6033" s="17" t="str">
        <f>IFERROR(__xludf.DUMMYFUNCTION("""COMPUTED_VALUE"""),"")</f>
        <v/>
      </c>
      <c r="H6033" s="17" t="str">
        <f>IFERROR(__xludf.DUMMYFUNCTION("""COMPUTED_VALUE"""),"")</f>
        <v/>
      </c>
      <c r="I6033" s="17" t="str">
        <f>IFERROR(__xludf.DUMMYFUNCTION("""COMPUTED_VALUE"""),"")</f>
        <v/>
      </c>
      <c r="J6033" s="17" t="str">
        <f>IFERROR(__xludf.DUMMYFUNCTION("""COMPUTED_VALUE"""),"")</f>
        <v/>
      </c>
      <c r="K6033" s="17" t="str">
        <f>IFERROR(__xludf.DUMMYFUNCTION("""COMPUTED_VALUE"""),"")</f>
        <v/>
      </c>
      <c r="L6033" s="17" t="str">
        <f>IFERROR(__xludf.DUMMYFUNCTION("""COMPUTED_VALUE"""),"")</f>
        <v/>
      </c>
      <c r="M6033" s="17" t="str">
        <f>IFERROR(__xludf.DUMMYFUNCTION("""COMPUTED_VALUE"""),"")</f>
        <v/>
      </c>
      <c r="N6033" s="17" t="str">
        <f>IFERROR(__xludf.DUMMYFUNCTION("""COMPUTED_VALUE"""),"")</f>
        <v/>
      </c>
      <c r="O6033" s="17" t="str">
        <f>IFERROR(__xludf.DUMMYFUNCTION("""COMPUTED_VALUE"""),"")</f>
        <v/>
      </c>
      <c r="P6033" s="17" t="str">
        <f>IFERROR(__xludf.DUMMYFUNCTION("""COMPUTED_VALUE"""),"")</f>
        <v/>
      </c>
      <c r="Q6033" s="17" t="str">
        <f>IFERROR(__xludf.DUMMYFUNCTION("""COMPUTED_VALUE"""),"")</f>
        <v/>
      </c>
      <c r="R6033" s="17" t="str">
        <f>IFERROR(__xludf.DUMMYFUNCTION("""COMPUTED_VALUE"""),"")</f>
        <v/>
      </c>
    </row>
    <row r="6034">
      <c r="A6034" s="15">
        <f>IFERROR(__xludf.DUMMYFUNCTION("""COMPUTED_VALUE"""),45174.0)</f>
        <v>45174</v>
      </c>
      <c r="B6034" s="16" t="str">
        <f>IFERROR(__xludf.DUMMYFUNCTION("""COMPUTED_VALUE"""),"Santiago Garces Restrepo")</f>
        <v>Santiago Garces Restrepo</v>
      </c>
      <c r="C6034" s="15" t="str">
        <f>IFERROR(__xludf.DUMMYFUNCTION("""COMPUTED_VALUE"""),"ITAGÜI")</f>
        <v>ITAGÜI</v>
      </c>
      <c r="D6034" s="15" t="str">
        <f>IFERROR(__xludf.DUMMYFUNCTION("""COMPUTED_VALUE"""),"BOGOTÁ")</f>
        <v>BOGOTÁ</v>
      </c>
      <c r="E6034" s="15" t="str">
        <f>IFERROR(__xludf.DUMMYFUNCTION("""COMPUTED_VALUE"""),"Evamazzita")</f>
        <v>Evamazzita</v>
      </c>
      <c r="F6034" s="17" t="str">
        <f>IFERROR(__xludf.DUMMYFUNCTION("""COMPUTED_VALUE"""),"Calle 61#55a55 / apartamento 202")</f>
        <v>Calle 61#55a55 / apartamento 202</v>
      </c>
      <c r="G6034" s="15" t="str">
        <f>IFERROR(__xludf.DUMMYFUNCTION("""COMPUTED_VALUE"""),"JOHANA OSORIO MARULANDA")</f>
        <v>JOHANA OSORIO MARULANDA</v>
      </c>
      <c r="H6034" s="16">
        <f>IFERROR(__xludf.DUMMYFUNCTION("""COMPUTED_VALUE"""),14745.0)</f>
        <v>14745</v>
      </c>
      <c r="I6034" s="18">
        <f>IFERROR(__xludf.DUMMYFUNCTION("""COMPUTED_VALUE"""),1.0)</f>
        <v>1</v>
      </c>
      <c r="J6034" s="18">
        <f>IFERROR(__xludf.DUMMYFUNCTION("""COMPUTED_VALUE"""),1.0)</f>
        <v>1</v>
      </c>
      <c r="K6034" s="18">
        <f>IFERROR(__xludf.DUMMYFUNCTION("""COMPUTED_VALUE"""),1.0)</f>
        <v>1</v>
      </c>
      <c r="L6034" s="17">
        <f>IFERROR(__xludf.DUMMYFUNCTION("""COMPUTED_VALUE"""),3.187881623E9)</f>
        <v>3187881623</v>
      </c>
      <c r="M6034" s="17" t="str">
        <f>IFERROR(__xludf.DUMMYFUNCTION("""COMPUTED_VALUE"""),"#REF!")</f>
        <v>#REF!</v>
      </c>
      <c r="N6034" s="17"/>
      <c r="O6034" s="17"/>
      <c r="P6034" s="17" t="b">
        <f>IFERROR(__xludf.DUMMYFUNCTION("""COMPUTED_VALUE"""),FALSE)</f>
        <v>0</v>
      </c>
      <c r="Q6034" s="20" t="str">
        <f>IFERROR(__xludf.DUMMYFUNCTION("""COMPUTED_VALUE"""),"")</f>
        <v/>
      </c>
      <c r="R6034" s="21" t="str">
        <f>IFERROR(__xludf.DUMMYFUNCTION("""COMPUTED_VALUE"""),"https://drive.google.com/file/d/1Mw_P4N6nN7mpJqYisV_LTNeTUAlQHCfL/view?usp=drivesdk")</f>
        <v>https://drive.google.com/file/d/1Mw_P4N6nN7mpJqYisV_LTNeTUAlQHCfL/view?usp=drivesdk</v>
      </c>
    </row>
    <row r="6035">
      <c r="A6035" s="15">
        <f>IFERROR(__xludf.DUMMYFUNCTION("""COMPUTED_VALUE"""),45174.0)</f>
        <v>45174</v>
      </c>
      <c r="B6035" s="16" t="str">
        <f>IFERROR(__xludf.DUMMYFUNCTION("""COMPUTED_VALUE"""),"Santiago Garces Restrepo")</f>
        <v>Santiago Garces Restrepo</v>
      </c>
      <c r="C6035" s="15" t="str">
        <f>IFERROR(__xludf.DUMMYFUNCTION("""COMPUTED_VALUE"""),"MEDELLÍN")</f>
        <v>MEDELLÍN</v>
      </c>
      <c r="D6035" s="15" t="str">
        <f>IFERROR(__xludf.DUMMYFUNCTION("""COMPUTED_VALUE"""),"BOGOTÁ")</f>
        <v>BOGOTÁ</v>
      </c>
      <c r="E6035" s="15" t="str">
        <f>IFERROR(__xludf.DUMMYFUNCTION("""COMPUTED_VALUE"""),"Asociacion Agropecuaria Juana Maria")</f>
        <v>Asociacion Agropecuaria Juana Maria</v>
      </c>
      <c r="F6035" s="17" t="str">
        <f>IFERROR(__xludf.DUMMYFUNCTION("""COMPUTED_VALUE"""),"Carrera 15 BA # 30D-44 int 201")</f>
        <v>Carrera 15 BA # 30D-44 int 201</v>
      </c>
      <c r="G6035" s="15" t="str">
        <f>IFERROR(__xludf.DUMMYFUNCTION("""COMPUTED_VALUE"""),"Daniela Bedoya Blandon")</f>
        <v>Daniela Bedoya Blandon</v>
      </c>
      <c r="H6035" s="16">
        <f>IFERROR(__xludf.DUMMYFUNCTION("""COMPUTED_VALUE"""),14671.0)</f>
        <v>14671</v>
      </c>
      <c r="I6035" s="18">
        <f>IFERROR(__xludf.DUMMYFUNCTION("""COMPUTED_VALUE"""),21.0)</f>
        <v>21</v>
      </c>
      <c r="J6035" s="18">
        <f>IFERROR(__xludf.DUMMYFUNCTION("""COMPUTED_VALUE"""),37.0)</f>
        <v>37</v>
      </c>
      <c r="K6035" s="18">
        <f>IFERROR(__xludf.DUMMYFUNCTION("""COMPUTED_VALUE"""),30.0)</f>
        <v>30</v>
      </c>
      <c r="L6035" s="17">
        <f>IFERROR(__xludf.DUMMYFUNCTION("""COMPUTED_VALUE"""),3.14672822E9)</f>
        <v>3146728220</v>
      </c>
      <c r="M6035" s="17" t="str">
        <f>IFERROR(__xludf.DUMMYFUNCTION("""COMPUTED_VALUE"""),"#REF!")</f>
        <v>#REF!</v>
      </c>
      <c r="N6035" s="17"/>
      <c r="O6035" s="17"/>
      <c r="P6035" s="17" t="b">
        <f>IFERROR(__xludf.DUMMYFUNCTION("""COMPUTED_VALUE"""),FALSE)</f>
        <v>0</v>
      </c>
      <c r="Q6035" s="20" t="str">
        <f>IFERROR(__xludf.DUMMYFUNCTION("""COMPUTED_VALUE"""),"")</f>
        <v/>
      </c>
      <c r="R6035" s="22" t="str">
        <f>IFERROR(__xludf.DUMMYFUNCTION("""COMPUTED_VALUE"""),"")</f>
        <v/>
      </c>
    </row>
    <row r="6036">
      <c r="A6036" s="15">
        <f>IFERROR(__xludf.DUMMYFUNCTION("""COMPUTED_VALUE"""),45174.0)</f>
        <v>45174</v>
      </c>
      <c r="B6036" s="16" t="str">
        <f>IFERROR(__xludf.DUMMYFUNCTION("""COMPUTED_VALUE"""),"Santiago Garces Restrepo")</f>
        <v>Santiago Garces Restrepo</v>
      </c>
      <c r="C6036" s="15" t="str">
        <f>IFERROR(__xludf.DUMMYFUNCTION("""COMPUTED_VALUE"""),"MEDELLÍN")</f>
        <v>MEDELLÍN</v>
      </c>
      <c r="D6036" s="15" t="str">
        <f>IFERROR(__xludf.DUMMYFUNCTION("""COMPUTED_VALUE"""),"BOGOTÁ")</f>
        <v>BOGOTÁ</v>
      </c>
      <c r="E6036" s="15" t="str">
        <f>IFERROR(__xludf.DUMMYFUNCTION("""COMPUTED_VALUE"""),"Asociacion Agropecuaria Juana Maria")</f>
        <v>Asociacion Agropecuaria Juana Maria</v>
      </c>
      <c r="F6036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6036" s="15" t="str">
        <f>IFERROR(__xludf.DUMMYFUNCTION("""COMPUTED_VALUE"""),"Jennifer Sanchez Blandon")</f>
        <v>Jennifer Sanchez Blandon</v>
      </c>
      <c r="H6036" s="16">
        <f>IFERROR(__xludf.DUMMYFUNCTION("""COMPUTED_VALUE"""),14673.0)</f>
        <v>14673</v>
      </c>
      <c r="I6036" s="18">
        <f>IFERROR(__xludf.DUMMYFUNCTION("""COMPUTED_VALUE"""),21.0)</f>
        <v>21</v>
      </c>
      <c r="J6036" s="18">
        <f>IFERROR(__xludf.DUMMYFUNCTION("""COMPUTED_VALUE"""),37.0)</f>
        <v>37</v>
      </c>
      <c r="K6036" s="18">
        <f>IFERROR(__xludf.DUMMYFUNCTION("""COMPUTED_VALUE"""),30.0)</f>
        <v>30</v>
      </c>
      <c r="L6036" s="17">
        <f>IFERROR(__xludf.DUMMYFUNCTION("""COMPUTED_VALUE"""),3.016937674E9)</f>
        <v>3016937674</v>
      </c>
      <c r="M6036" s="17" t="str">
        <f>IFERROR(__xludf.DUMMYFUNCTION("""COMPUTED_VALUE"""),"#REF!")</f>
        <v>#REF!</v>
      </c>
      <c r="N6036" s="17"/>
      <c r="O6036" s="17"/>
      <c r="P6036" s="17" t="b">
        <f>IFERROR(__xludf.DUMMYFUNCTION("""COMPUTED_VALUE"""),FALSE)</f>
        <v>0</v>
      </c>
      <c r="Q6036" s="20" t="str">
        <f>IFERROR(__xludf.DUMMYFUNCTION("""COMPUTED_VALUE"""),"")</f>
        <v/>
      </c>
      <c r="R6036" s="21" t="str">
        <f>IFERROR(__xludf.DUMMYFUNCTION("""COMPUTED_VALUE"""),"https://drive.google.com/file/d/1wsAbtJh_FzYleKaYmq3N0gQEie-bA3j9/view?usp=drivesdk")</f>
        <v>https://drive.google.com/file/d/1wsAbtJh_FzYleKaYmq3N0gQEie-bA3j9/view?usp=drivesdk</v>
      </c>
    </row>
    <row r="6037">
      <c r="A6037" s="15">
        <f>IFERROR(__xludf.DUMMYFUNCTION("""COMPUTED_VALUE"""),45174.0)</f>
        <v>45174</v>
      </c>
      <c r="B6037" s="16" t="str">
        <f>IFERROR(__xludf.DUMMYFUNCTION("""COMPUTED_VALUE"""),"Santiago Garces Restrepo")</f>
        <v>Santiago Garces Restrepo</v>
      </c>
      <c r="C6037" s="15" t="str">
        <f>IFERROR(__xludf.DUMMYFUNCTION("""COMPUTED_VALUE"""),"MEDELLÍN")</f>
        <v>MEDELLÍN</v>
      </c>
      <c r="D6037" s="15" t="str">
        <f>IFERROR(__xludf.DUMMYFUNCTION("""COMPUTED_VALUE"""),"BOGOTÁ")</f>
        <v>BOGOTÁ</v>
      </c>
      <c r="E6037" s="15" t="str">
        <f>IFERROR(__xludf.DUMMYFUNCTION("""COMPUTED_VALUE"""),"Asociacion Agropecuaria Juana Maria")</f>
        <v>Asociacion Agropecuaria Juana Maria</v>
      </c>
      <c r="F603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6037" s="15" t="str">
        <f>IFERROR(__xludf.DUMMYFUNCTION("""COMPUTED_VALUE"""),"Jennifer Sanchez Blandon")</f>
        <v>Jennifer Sanchez Blandon</v>
      </c>
      <c r="H6037" s="16">
        <f>IFERROR(__xludf.DUMMYFUNCTION("""COMPUTED_VALUE"""),14674.0)</f>
        <v>14674</v>
      </c>
      <c r="I6037" s="18">
        <f>IFERROR(__xludf.DUMMYFUNCTION("""COMPUTED_VALUE"""),12.0)</f>
        <v>12</v>
      </c>
      <c r="J6037" s="18">
        <f>IFERROR(__xludf.DUMMYFUNCTION("""COMPUTED_VALUE"""),37.0)</f>
        <v>37</v>
      </c>
      <c r="K6037" s="18">
        <f>IFERROR(__xludf.DUMMYFUNCTION("""COMPUTED_VALUE"""),24.0)</f>
        <v>24</v>
      </c>
      <c r="L6037" s="17">
        <f>IFERROR(__xludf.DUMMYFUNCTION("""COMPUTED_VALUE"""),3.016937674E9)</f>
        <v>3016937674</v>
      </c>
      <c r="M6037" s="17" t="str">
        <f>IFERROR(__xludf.DUMMYFUNCTION("""COMPUTED_VALUE"""),"#REF!")</f>
        <v>#REF!</v>
      </c>
      <c r="N6037" s="17"/>
      <c r="O6037" s="17"/>
      <c r="P6037" s="17" t="b">
        <f>IFERROR(__xludf.DUMMYFUNCTION("""COMPUTED_VALUE"""),FALSE)</f>
        <v>0</v>
      </c>
      <c r="Q6037" s="20" t="str">
        <f>IFERROR(__xludf.DUMMYFUNCTION("""COMPUTED_VALUE"""),"")</f>
        <v/>
      </c>
      <c r="R6037" s="22" t="str">
        <f>IFERROR(__xludf.DUMMYFUNCTION("""COMPUTED_VALUE"""),"")</f>
        <v/>
      </c>
    </row>
    <row r="6038">
      <c r="A6038" s="15">
        <f>IFERROR(__xludf.DUMMYFUNCTION("""COMPUTED_VALUE"""),45174.0)</f>
        <v>45174</v>
      </c>
      <c r="B6038" s="16" t="str">
        <f>IFERROR(__xludf.DUMMYFUNCTION("""COMPUTED_VALUE"""),"Santiago Garces Restrepo")</f>
        <v>Santiago Garces Restrepo</v>
      </c>
      <c r="C6038" s="15" t="str">
        <f>IFERROR(__xludf.DUMMYFUNCTION("""COMPUTED_VALUE"""),"MEDELLÍN")</f>
        <v>MEDELLÍN</v>
      </c>
      <c r="D6038" s="15" t="str">
        <f>IFERROR(__xludf.DUMMYFUNCTION("""COMPUTED_VALUE"""),"BOGOTÁ")</f>
        <v>BOGOTÁ</v>
      </c>
      <c r="E6038" s="15" t="str">
        <f>IFERROR(__xludf.DUMMYFUNCTION("""COMPUTED_VALUE"""),"Evamazzita")</f>
        <v>Evamazzita</v>
      </c>
      <c r="F6038" s="17" t="str">
        <f>IFERROR(__xludf.DUMMYFUNCTION("""COMPUTED_VALUE"""),"CLle 77a # 88-35 / casa 36 urbanización villa fernanda  Barrio robledo """)</f>
        <v>CLle 77a # 88-35 / casa 36 urbanización villa fernanda  Barrio robledo "</v>
      </c>
      <c r="G6038" s="15" t="str">
        <f>IFERROR(__xludf.DUMMYFUNCTION("""COMPUTED_VALUE"""),"BLANCA INES GOMEZ ALVAREZ")</f>
        <v>BLANCA INES GOMEZ ALVAREZ</v>
      </c>
      <c r="H6038" s="16">
        <f>IFERROR(__xludf.DUMMYFUNCTION("""COMPUTED_VALUE"""),14746.0)</f>
        <v>14746</v>
      </c>
      <c r="I6038" s="18">
        <f>IFERROR(__xludf.DUMMYFUNCTION("""COMPUTED_VALUE"""),1.0)</f>
        <v>1</v>
      </c>
      <c r="J6038" s="18">
        <f>IFERROR(__xludf.DUMMYFUNCTION("""COMPUTED_VALUE"""),1.0)</f>
        <v>1</v>
      </c>
      <c r="K6038" s="18">
        <f>IFERROR(__xludf.DUMMYFUNCTION("""COMPUTED_VALUE"""),1.0)</f>
        <v>1</v>
      </c>
      <c r="L6038" s="17">
        <f>IFERROR(__xludf.DUMMYFUNCTION("""COMPUTED_VALUE"""),3.137121846E9)</f>
        <v>3137121846</v>
      </c>
      <c r="M6038" s="17" t="str">
        <f>IFERROR(__xludf.DUMMYFUNCTION("""COMPUTED_VALUE"""),"#REF!")</f>
        <v>#REF!</v>
      </c>
      <c r="N6038" s="17"/>
      <c r="O6038" s="17"/>
      <c r="P6038" s="17" t="b">
        <f>IFERROR(__xludf.DUMMYFUNCTION("""COMPUTED_VALUE"""),FALSE)</f>
        <v>0</v>
      </c>
      <c r="Q6038" s="20" t="str">
        <f>IFERROR(__xludf.DUMMYFUNCTION("""COMPUTED_VALUE"""),"")</f>
        <v/>
      </c>
      <c r="R6038" s="21" t="str">
        <f>IFERROR(__xludf.DUMMYFUNCTION("""COMPUTED_VALUE"""),"https://drive.google.com/file/d/14U48cKhVJuDLi5ft1i6oubrye-mEELsx/view?usp=drivesdk")</f>
        <v>https://drive.google.com/file/d/14U48cKhVJuDLi5ft1i6oubrye-mEELsx/view?usp=drivesdk</v>
      </c>
    </row>
    <row r="6039">
      <c r="A6039" s="15">
        <f>IFERROR(__xludf.DUMMYFUNCTION("""COMPUTED_VALUE"""),45174.0)</f>
        <v>45174</v>
      </c>
      <c r="B6039" s="16" t="str">
        <f>IFERROR(__xludf.DUMMYFUNCTION("""COMPUTED_VALUE"""),"Santiago Garces Restrepo")</f>
        <v>Santiago Garces Restrepo</v>
      </c>
      <c r="C6039" s="15" t="str">
        <f>IFERROR(__xludf.DUMMYFUNCTION("""COMPUTED_VALUE"""),"MEDELLÍN")</f>
        <v>MEDELLÍN</v>
      </c>
      <c r="D6039" s="15" t="str">
        <f>IFERROR(__xludf.DUMMYFUNCTION("""COMPUTED_VALUE"""),"BOGOTÁ")</f>
        <v>BOGOTÁ</v>
      </c>
      <c r="E6039" s="15" t="str">
        <f>IFERROR(__xludf.DUMMYFUNCTION("""COMPUTED_VALUE"""),"Ins. Alimento Vital")</f>
        <v>Ins. Alimento Vital</v>
      </c>
      <c r="F6039" s="17" t="str">
        <f>IFERROR(__xludf.DUMMYFUNCTION("""COMPUTED_VALUE"""),"CR 44 26 27 / BODEGA / EL POBLADO")</f>
        <v>CR 44 26 27 / BODEGA / EL POBLADO</v>
      </c>
      <c r="G6039" s="15" t="str">
        <f>IFERROR(__xludf.DUMMYFUNCTION("""COMPUTED_VALUE"""),"VELOCITY MEDELLIN")</f>
        <v>VELOCITY MEDELLIN</v>
      </c>
      <c r="H6039" s="16">
        <f>IFERROR(__xludf.DUMMYFUNCTION("""COMPUTED_VALUE"""),14703.0)</f>
        <v>14703</v>
      </c>
      <c r="I6039" s="18">
        <f>IFERROR(__xludf.DUMMYFUNCTION("""COMPUTED_VALUE"""),1.0)</f>
        <v>1</v>
      </c>
      <c r="J6039" s="18">
        <f>IFERROR(__xludf.DUMMYFUNCTION("""COMPUTED_VALUE"""),1.0)</f>
        <v>1</v>
      </c>
      <c r="K6039" s="18">
        <f>IFERROR(__xludf.DUMMYFUNCTION("""COMPUTED_VALUE"""),1.0)</f>
        <v>1</v>
      </c>
      <c r="L6039" s="17">
        <f>IFERROR(__xludf.DUMMYFUNCTION("""COMPUTED_VALUE"""),3.214683372E9)</f>
        <v>3214683372</v>
      </c>
      <c r="M6039" s="17" t="str">
        <f>IFERROR(__xludf.DUMMYFUNCTION("""COMPUTED_VALUE"""),"#REF!")</f>
        <v>#REF!</v>
      </c>
      <c r="N6039" s="17"/>
      <c r="O6039" s="17"/>
      <c r="P6039" s="17" t="b">
        <f>IFERROR(__xludf.DUMMYFUNCTION("""COMPUTED_VALUE"""),FALSE)</f>
        <v>0</v>
      </c>
      <c r="Q6039" s="20" t="str">
        <f>IFERROR(__xludf.DUMMYFUNCTION("""COMPUTED_VALUE"""),"")</f>
        <v/>
      </c>
      <c r="R6039" s="22" t="str">
        <f>IFERROR(__xludf.DUMMYFUNCTION("""COMPUTED_VALUE"""),"")</f>
        <v/>
      </c>
    </row>
    <row r="6040">
      <c r="A6040" s="15">
        <f>IFERROR(__xludf.DUMMYFUNCTION("""COMPUTED_VALUE"""),45174.0)</f>
        <v>45174</v>
      </c>
      <c r="B6040" s="16" t="str">
        <f>IFERROR(__xludf.DUMMYFUNCTION("""COMPUTED_VALUE"""),"Santiago Garces Restrepo")</f>
        <v>Santiago Garces Restrepo</v>
      </c>
      <c r="C6040" s="15" t="str">
        <f>IFERROR(__xludf.DUMMYFUNCTION("""COMPUTED_VALUE"""),"MEDELLÍN")</f>
        <v>MEDELLÍN</v>
      </c>
      <c r="D6040" s="15" t="str">
        <f>IFERROR(__xludf.DUMMYFUNCTION("""COMPUTED_VALUE"""),"BOGOTÁ")</f>
        <v>BOGOTÁ</v>
      </c>
      <c r="E6040" s="15" t="str">
        <f>IFERROR(__xludf.DUMMYFUNCTION("""COMPUTED_VALUE"""),"MAI ALIMENTOS S.A.S")</f>
        <v>MAI ALIMENTOS S.A.S</v>
      </c>
      <c r="F6040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6040" s="15" t="str">
        <f>IFERROR(__xludf.DUMMYFUNCTION("""COMPUTED_VALUE"""),"Novaventas")</f>
        <v>Novaventas</v>
      </c>
      <c r="H6040" s="16">
        <f>IFERROR(__xludf.DUMMYFUNCTION("""COMPUTED_VALUE"""),14728.0)</f>
        <v>14728</v>
      </c>
      <c r="I6040" s="18">
        <f>IFERROR(__xludf.DUMMYFUNCTION("""COMPUTED_VALUE"""),35.0)</f>
        <v>35</v>
      </c>
      <c r="J6040" s="18">
        <f>IFERROR(__xludf.DUMMYFUNCTION("""COMPUTED_VALUE"""),17.0)</f>
        <v>17</v>
      </c>
      <c r="K6040" s="18">
        <f>IFERROR(__xludf.DUMMYFUNCTION("""COMPUTED_VALUE"""),13.0)</f>
        <v>13</v>
      </c>
      <c r="L6040" s="17"/>
      <c r="M6040" s="17" t="str">
        <f>IFERROR(__xludf.DUMMYFUNCTION("""COMPUTED_VALUE"""),"#REF!")</f>
        <v>#REF!</v>
      </c>
      <c r="N6040" s="17"/>
      <c r="O6040" s="17"/>
      <c r="P6040" s="17" t="b">
        <f>IFERROR(__xludf.DUMMYFUNCTION("""COMPUTED_VALUE"""),FALSE)</f>
        <v>0</v>
      </c>
      <c r="Q6040" s="20" t="str">
        <f>IFERROR(__xludf.DUMMYFUNCTION("""COMPUTED_VALUE"""),"")</f>
        <v/>
      </c>
      <c r="R6040" s="22" t="str">
        <f>IFERROR(__xludf.DUMMYFUNCTION("""COMPUTED_VALUE"""),"")</f>
        <v/>
      </c>
    </row>
    <row r="6041">
      <c r="A6041" s="15">
        <f>IFERROR(__xludf.DUMMYFUNCTION("""COMPUTED_VALUE"""),45174.0)</f>
        <v>45174</v>
      </c>
      <c r="B6041" s="16" t="str">
        <f>IFERROR(__xludf.DUMMYFUNCTION("""COMPUTED_VALUE"""),"Santiago Garces Restrepo")</f>
        <v>Santiago Garces Restrepo</v>
      </c>
      <c r="C6041" s="15" t="str">
        <f>IFERROR(__xludf.DUMMYFUNCTION("""COMPUTED_VALUE"""),"MEDELLÍN")</f>
        <v>MEDELLÍN</v>
      </c>
      <c r="D6041" s="15" t="str">
        <f>IFERROR(__xludf.DUMMYFUNCTION("""COMPUTED_VALUE"""),"BOGOTÁ")</f>
        <v>BOGOTÁ</v>
      </c>
      <c r="E6041" s="15" t="str">
        <f>IFERROR(__xludf.DUMMYFUNCTION("""COMPUTED_VALUE"""),"Mochi")</f>
        <v>Mochi</v>
      </c>
      <c r="F6041" s="17" t="str">
        <f>IFERROR(__xludf.DUMMYFUNCTION("""COMPUTED_VALUE"""),"	Cra. 48 #32B Sur-139, Zona 1, Envigado, Antioquia / 	Cra. 48 #32B Sur-139, Zona 1, Envigado, Antioquia / 	Cra. 48 #32B Sur-139, Zona 1, Envigado, Antioquia")</f>
        <v>	Cra. 48 #32B Sur-139, Zona 1, Envigado, Antioquia / 	Cra. 48 #32B Sur-139, Zona 1, Envigado, Antioquia / 	Cra. 48 #32B Sur-139, Zona 1, Envigado, Antioquia</v>
      </c>
      <c r="G6041" s="15" t="str">
        <f>IFERROR(__xludf.DUMMYFUNCTION("""COMPUTED_VALUE"""),"Tania vellojin")</f>
        <v>Tania vellojin</v>
      </c>
      <c r="H6041" s="16">
        <f>IFERROR(__xludf.DUMMYFUNCTION("""COMPUTED_VALUE"""),14729.0)</f>
        <v>14729</v>
      </c>
      <c r="I6041" s="18">
        <f>IFERROR(__xludf.DUMMYFUNCTION("""COMPUTED_VALUE"""),100.0)</f>
        <v>100</v>
      </c>
      <c r="J6041" s="18">
        <f>IFERROR(__xludf.DUMMYFUNCTION("""COMPUTED_VALUE"""),200.0)</f>
        <v>200</v>
      </c>
      <c r="K6041" s="18">
        <f>IFERROR(__xludf.DUMMYFUNCTION("""COMPUTED_VALUE"""),200.0)</f>
        <v>200</v>
      </c>
      <c r="L6041" s="17">
        <f>IFERROR(__xludf.DUMMYFUNCTION("""COMPUTED_VALUE"""),3.142587995E9)</f>
        <v>3142587995</v>
      </c>
      <c r="M6041" s="17" t="str">
        <f>IFERROR(__xludf.DUMMYFUNCTION("""COMPUTED_VALUE"""),"#REF!")</f>
        <v>#REF!</v>
      </c>
      <c r="N6041" s="17"/>
      <c r="O6041" s="17"/>
      <c r="P6041" s="17" t="b">
        <f>IFERROR(__xludf.DUMMYFUNCTION("""COMPUTED_VALUE"""),TRUE)</f>
        <v>1</v>
      </c>
      <c r="Q6041" s="20">
        <f>IFERROR(__xludf.DUMMYFUNCTION("""COMPUTED_VALUE"""),45175.62043887732)</f>
        <v>45175.62044</v>
      </c>
      <c r="R6041" s="22" t="str">
        <f>IFERROR(__xludf.DUMMYFUNCTION("""COMPUTED_VALUE"""),"")</f>
        <v/>
      </c>
    </row>
    <row r="6042">
      <c r="A6042" s="15">
        <f>IFERROR(__xludf.DUMMYFUNCTION("""COMPUTED_VALUE"""),45174.0)</f>
        <v>45174</v>
      </c>
      <c r="B6042" s="16" t="str">
        <f>IFERROR(__xludf.DUMMYFUNCTION("""COMPUTED_VALUE"""),"Santiago Garces Restrepo")</f>
        <v>Santiago Garces Restrepo</v>
      </c>
      <c r="C6042" s="15" t="str">
        <f>IFERROR(__xludf.DUMMYFUNCTION("""COMPUTED_VALUE"""),"MEDELLÍN")</f>
        <v>MEDELLÍN</v>
      </c>
      <c r="D6042" s="15" t="str">
        <f>IFERROR(__xludf.DUMMYFUNCTION("""COMPUTED_VALUE"""),"BOGOTÁ")</f>
        <v>BOGOTÁ</v>
      </c>
      <c r="E6042" s="15" t="str">
        <f>IFERROR(__xludf.DUMMYFUNCTION("""COMPUTED_VALUE"""),"Pan de Waffle")</f>
        <v>Pan de Waffle</v>
      </c>
      <c r="F6042" s="17" t="str">
        <f>IFERROR(__xludf.DUMMYFUNCTION("""COMPUTED_VALUE"""),"Carrera 39 # 59 - 32 / Carrera 39 # 59 - 32 / Carrera 39 # 59 - 32")</f>
        <v>Carrera 39 # 59 - 32 / Carrera 39 # 59 - 32 / Carrera 39 # 59 - 32</v>
      </c>
      <c r="G6042" s="15" t="str">
        <f>IFERROR(__xludf.DUMMYFUNCTION("""COMPUTED_VALUE"""),"FOODOLOGY")</f>
        <v>FOODOLOGY</v>
      </c>
      <c r="H6042" s="16">
        <f>IFERROR(__xludf.DUMMYFUNCTION("""COMPUTED_VALUE"""),14732.0)</f>
        <v>14732</v>
      </c>
      <c r="I6042" s="18">
        <f>IFERROR(__xludf.DUMMYFUNCTION("""COMPUTED_VALUE"""),30.0)</f>
        <v>30</v>
      </c>
      <c r="J6042" s="18">
        <f>IFERROR(__xludf.DUMMYFUNCTION("""COMPUTED_VALUE"""),50.0)</f>
        <v>50</v>
      </c>
      <c r="K6042" s="18">
        <f>IFERROR(__xludf.DUMMYFUNCTION("""COMPUTED_VALUE"""),40.0)</f>
        <v>40</v>
      </c>
      <c r="L6042" s="17">
        <f>IFERROR(__xludf.DUMMYFUNCTION("""COMPUTED_VALUE"""),3.123558292E9)</f>
        <v>3123558292</v>
      </c>
      <c r="M6042" s="17" t="str">
        <f>IFERROR(__xludf.DUMMYFUNCTION("""COMPUTED_VALUE"""),"#REF!")</f>
        <v>#REF!</v>
      </c>
      <c r="N6042" s="17"/>
      <c r="O6042" s="17"/>
      <c r="P6042" s="17" t="b">
        <f>IFERROR(__xludf.DUMMYFUNCTION("""COMPUTED_VALUE"""),FALSE)</f>
        <v>0</v>
      </c>
      <c r="Q6042" s="20" t="str">
        <f>IFERROR(__xludf.DUMMYFUNCTION("""COMPUTED_VALUE"""),"")</f>
        <v/>
      </c>
      <c r="R6042" s="21" t="str">
        <f>IFERROR(__xludf.DUMMYFUNCTION("""COMPUTED_VALUE"""),"https://drive.google.com/file/d/1W5VDxpMquHUwjJIUWUL6Nkvqp7c19SCK/view?usp=drivesdk")</f>
        <v>https://drive.google.com/file/d/1W5VDxpMquHUwjJIUWUL6Nkvqp7c19SCK/view?usp=drivesdk</v>
      </c>
    </row>
    <row r="6043">
      <c r="A6043" s="15">
        <f>IFERROR(__xludf.DUMMYFUNCTION("""COMPUTED_VALUE"""),45174.0)</f>
        <v>45174</v>
      </c>
      <c r="B6043" s="16" t="str">
        <f>IFERROR(__xludf.DUMMYFUNCTION("""COMPUTED_VALUE"""),"Santiago Garces Restrepo")</f>
        <v>Santiago Garces Restrepo</v>
      </c>
      <c r="C6043" s="15" t="str">
        <f>IFERROR(__xludf.DUMMYFUNCTION("""COMPUTED_VALUE"""),"MEDELLÍN")</f>
        <v>MEDELLÍN</v>
      </c>
      <c r="D6043" s="15" t="str">
        <f>IFERROR(__xludf.DUMMYFUNCTION("""COMPUTED_VALUE"""),"BOGOTÁ")</f>
        <v>BOGOTÁ</v>
      </c>
      <c r="E6043" s="15" t="str">
        <f>IFERROR(__xludf.DUMMYFUNCTION("""COMPUTED_VALUE"""),"Pan de Yuca")</f>
        <v>Pan de Yuca</v>
      </c>
      <c r="F6043" s="17" t="str">
        <f>IFERROR(__xludf.DUMMYFUNCTION("""COMPUTED_VALUE"""),"Calle 57 sur #43a-16 Terra Santa. Sabaneta Antioquia / Apto 909 / Terra Santa, Sabaneta Antioquia")</f>
        <v>Calle 57 sur #43a-16 Terra Santa. Sabaneta Antioquia / Apto 909 / Terra Santa, Sabaneta Antioquia</v>
      </c>
      <c r="G6043" s="15" t="str">
        <f>IFERROR(__xludf.DUMMYFUNCTION("""COMPUTED_VALUE"""),"Jessica Galvis")</f>
        <v>Jessica Galvis</v>
      </c>
      <c r="H6043" s="16">
        <f>IFERROR(__xludf.DUMMYFUNCTION("""COMPUTED_VALUE"""),14706.0)</f>
        <v>14706</v>
      </c>
      <c r="I6043" s="18">
        <f>IFERROR(__xludf.DUMMYFUNCTION("""COMPUTED_VALUE"""),20.0)</f>
        <v>20</v>
      </c>
      <c r="J6043" s="18">
        <f>IFERROR(__xludf.DUMMYFUNCTION("""COMPUTED_VALUE"""),33.0)</f>
        <v>33</v>
      </c>
      <c r="K6043" s="18">
        <f>IFERROR(__xludf.DUMMYFUNCTION("""COMPUTED_VALUE"""),25.0)</f>
        <v>25</v>
      </c>
      <c r="L6043" s="17">
        <f>IFERROR(__xludf.DUMMYFUNCTION("""COMPUTED_VALUE"""),3.0021976E9)</f>
        <v>3002197600</v>
      </c>
      <c r="M6043" s="17" t="str">
        <f>IFERROR(__xludf.DUMMYFUNCTION("""COMPUTED_VALUE"""),"#REF!")</f>
        <v>#REF!</v>
      </c>
      <c r="N6043" s="17"/>
      <c r="O6043" s="17"/>
      <c r="P6043" s="17" t="b">
        <f>IFERROR(__xludf.DUMMYFUNCTION("""COMPUTED_VALUE"""),FALSE)</f>
        <v>0</v>
      </c>
      <c r="Q6043" s="20" t="str">
        <f>IFERROR(__xludf.DUMMYFUNCTION("""COMPUTED_VALUE"""),"")</f>
        <v/>
      </c>
      <c r="R6043" s="21" t="str">
        <f>IFERROR(__xludf.DUMMYFUNCTION("""COMPUTED_VALUE"""),"https://drive.google.com/file/d/1r93tdtxerC4qp4ak5nHoG61w0bl481Gp/view?usp=drivesdk")</f>
        <v>https://drive.google.com/file/d/1r93tdtxerC4qp4ak5nHoG61w0bl481Gp/view?usp=drivesdk</v>
      </c>
    </row>
    <row r="6044">
      <c r="A6044" s="15">
        <f>IFERROR(__xludf.DUMMYFUNCTION("""COMPUTED_VALUE"""),45174.0)</f>
        <v>45174</v>
      </c>
      <c r="B6044" s="16" t="str">
        <f>IFERROR(__xludf.DUMMYFUNCTION("""COMPUTED_VALUE"""),"Santiago Garces Restrepo")</f>
        <v>Santiago Garces Restrepo</v>
      </c>
      <c r="C6044" s="15" t="str">
        <f>IFERROR(__xludf.DUMMYFUNCTION("""COMPUTED_VALUE"""),"MEDELLÍN")</f>
        <v>MEDELLÍN</v>
      </c>
      <c r="D6044" s="15" t="str">
        <f>IFERROR(__xludf.DUMMYFUNCTION("""COMPUTED_VALUE"""),"BOGOTÁ")</f>
        <v>BOGOTÁ</v>
      </c>
      <c r="E6044" s="15" t="str">
        <f>IFERROR(__xludf.DUMMYFUNCTION("""COMPUTED_VALUE"""),"Spirulina Fresca")</f>
        <v>Spirulina Fresca</v>
      </c>
      <c r="F6044" s="17" t="str">
        <f>IFERROR(__xludf.DUMMYFUNCTION("""COMPUTED_VALUE"""),"Carrera 30 #5F - 185 apto 609  / Edificio plaza manzanares / Poblado")</f>
        <v>Carrera 30 #5F - 185 apto 609  / Edificio plaza manzanares / Poblado</v>
      </c>
      <c r="G6044" s="15" t="str">
        <f>IFERROR(__xludf.DUMMYFUNCTION("""COMPUTED_VALUE"""),"Marta Grajales")</f>
        <v>Marta Grajales</v>
      </c>
      <c r="H6044" s="16">
        <f>IFERROR(__xludf.DUMMYFUNCTION("""COMPUTED_VALUE"""),14689.0)</f>
        <v>14689</v>
      </c>
      <c r="I6044" s="18">
        <f>IFERROR(__xludf.DUMMYFUNCTION("""COMPUTED_VALUE"""),15.0)</f>
        <v>15</v>
      </c>
      <c r="J6044" s="18">
        <f>IFERROR(__xludf.DUMMYFUNCTION("""COMPUTED_VALUE"""),5.0)</f>
        <v>5</v>
      </c>
      <c r="K6044" s="18">
        <f>IFERROR(__xludf.DUMMYFUNCTION("""COMPUTED_VALUE"""),15.0)</f>
        <v>15</v>
      </c>
      <c r="L6044" s="17">
        <f>IFERROR(__xludf.DUMMYFUNCTION("""COMPUTED_VALUE"""),3.10895785E9)</f>
        <v>3108957850</v>
      </c>
      <c r="M6044" s="17" t="str">
        <f>IFERROR(__xludf.DUMMYFUNCTION("""COMPUTED_VALUE"""),"#REF!")</f>
        <v>#REF!</v>
      </c>
      <c r="N6044" s="17"/>
      <c r="O6044" s="17"/>
      <c r="P6044" s="17" t="b">
        <f>IFERROR(__xludf.DUMMYFUNCTION("""COMPUTED_VALUE"""),FALSE)</f>
        <v>0</v>
      </c>
      <c r="Q6044" s="20" t="str">
        <f>IFERROR(__xludf.DUMMYFUNCTION("""COMPUTED_VALUE"""),"")</f>
        <v/>
      </c>
      <c r="R6044" s="21" t="str">
        <f>IFERROR(__xludf.DUMMYFUNCTION("""COMPUTED_VALUE"""),"https://drive.google.com/file/d/1BEmQpHpf0W5fFONaxOpCIEUTo-FvMfKg/view?usp=drivesdk")</f>
        <v>https://drive.google.com/file/d/1BEmQpHpf0W5fFONaxOpCIEUTo-FvMfKg/view?usp=drivesdk</v>
      </c>
    </row>
    <row r="6045">
      <c r="A6045" s="15">
        <f>IFERROR(__xludf.DUMMYFUNCTION("""COMPUTED_VALUE"""),45174.0)</f>
        <v>45174</v>
      </c>
      <c r="B6045" s="16" t="str">
        <f>IFERROR(__xludf.DUMMYFUNCTION("""COMPUTED_VALUE"""),"Santiago Garces Restrepo")</f>
        <v>Santiago Garces Restrepo</v>
      </c>
      <c r="C6045" s="15" t="str">
        <f>IFERROR(__xludf.DUMMYFUNCTION("""COMPUTED_VALUE"""),"MEDELLÍN")</f>
        <v>MEDELLÍN</v>
      </c>
      <c r="D6045" s="15" t="str">
        <f>IFERROR(__xludf.DUMMYFUNCTION("""COMPUTED_VALUE"""),"BOGOTÁ")</f>
        <v>BOGOTÁ</v>
      </c>
      <c r="E6045" s="15" t="str">
        <f>IFERROR(__xludf.DUMMYFUNCTION("""COMPUTED_VALUE"""),"Spirulina Fresca")</f>
        <v>Spirulina Fresca</v>
      </c>
      <c r="F6045" s="17" t="str">
        <f>IFERROR(__xludf.DUMMYFUNCTION("""COMPUTED_VALUE"""),"Cr75#42-28 / Casa / Medellin")</f>
        <v>Cr75#42-28 / Casa / Medellin</v>
      </c>
      <c r="G6045" s="15" t="str">
        <f>IFERROR(__xludf.DUMMYFUNCTION("""COMPUTED_VALUE"""),"Caros zapata")</f>
        <v>Caros zapata</v>
      </c>
      <c r="H6045" s="16">
        <f>IFERROR(__xludf.DUMMYFUNCTION("""COMPUTED_VALUE"""),14687.0)</f>
        <v>14687</v>
      </c>
      <c r="I6045" s="18">
        <f>IFERROR(__xludf.DUMMYFUNCTION("""COMPUTED_VALUE"""),15.0)</f>
        <v>15</v>
      </c>
      <c r="J6045" s="18">
        <f>IFERROR(__xludf.DUMMYFUNCTION("""COMPUTED_VALUE"""),5.0)</f>
        <v>5</v>
      </c>
      <c r="K6045" s="18">
        <f>IFERROR(__xludf.DUMMYFUNCTION("""COMPUTED_VALUE"""),15.0)</f>
        <v>15</v>
      </c>
      <c r="L6045" s="17">
        <f>IFERROR(__xludf.DUMMYFUNCTION("""COMPUTED_VALUE"""),3.218281211E9)</f>
        <v>3218281211</v>
      </c>
      <c r="M6045" s="17" t="str">
        <f>IFERROR(__xludf.DUMMYFUNCTION("""COMPUTED_VALUE"""),"#REF!")</f>
        <v>#REF!</v>
      </c>
      <c r="N6045" s="17"/>
      <c r="O6045" s="17"/>
      <c r="P6045" s="17" t="b">
        <f>IFERROR(__xludf.DUMMYFUNCTION("""COMPUTED_VALUE"""),FALSE)</f>
        <v>0</v>
      </c>
      <c r="Q6045" s="20" t="str">
        <f>IFERROR(__xludf.DUMMYFUNCTION("""COMPUTED_VALUE"""),"")</f>
        <v/>
      </c>
      <c r="R6045" s="21" t="str">
        <f>IFERROR(__xludf.DUMMYFUNCTION("""COMPUTED_VALUE"""),"https://drive.google.com/file/d/1v-o8IinMKtQCi3fOpeCFFTM7NOTHp104/view?usp=drivesdk")</f>
        <v>https://drive.google.com/file/d/1v-o8IinMKtQCi3fOpeCFFTM7NOTHp104/view?usp=drivesdk</v>
      </c>
    </row>
    <row r="6046">
      <c r="A6046" s="15">
        <f>IFERROR(__xludf.DUMMYFUNCTION("""COMPUTED_VALUE"""),45174.0)</f>
        <v>45174</v>
      </c>
      <c r="B6046" s="16" t="str">
        <f>IFERROR(__xludf.DUMMYFUNCTION("""COMPUTED_VALUE"""),"Santiago Garces Restrepo")</f>
        <v>Santiago Garces Restrepo</v>
      </c>
      <c r="C6046" s="15" t="str">
        <f>IFERROR(__xludf.DUMMYFUNCTION("""COMPUTED_VALUE"""),"PALMIRA")</f>
        <v>PALMIRA</v>
      </c>
      <c r="D6046" s="15" t="str">
        <f>IFERROR(__xludf.DUMMYFUNCTION("""COMPUTED_VALUE"""),"BOGOTÁ")</f>
        <v>BOGOTÁ</v>
      </c>
      <c r="E6046" s="15" t="str">
        <f>IFERROR(__xludf.DUMMYFUNCTION("""COMPUTED_VALUE"""),"Evamazzita")</f>
        <v>Evamazzita</v>
      </c>
      <c r="F6046" s="17" t="str">
        <f>IFERROR(__xludf.DUMMYFUNCTION("""COMPUTED_VALUE"""),"Calle 15a 25 101 / BARRIO LAS AMERICAS ENTREGAR DESPUES DE LA 1:30 PM")</f>
        <v>Calle 15a 25 101 / BARRIO LAS AMERICAS ENTREGAR DESPUES DE LA 1:30 PM</v>
      </c>
      <c r="G6046" s="15" t="str">
        <f>IFERROR(__xludf.DUMMYFUNCTION("""COMPUTED_VALUE"""),"SINDY VARGAS")</f>
        <v>SINDY VARGAS</v>
      </c>
      <c r="H6046" s="16">
        <f>IFERROR(__xludf.DUMMYFUNCTION("""COMPUTED_VALUE"""),14752.0)</f>
        <v>14752</v>
      </c>
      <c r="I6046" s="18">
        <f>IFERROR(__xludf.DUMMYFUNCTION("""COMPUTED_VALUE"""),1.0)</f>
        <v>1</v>
      </c>
      <c r="J6046" s="18">
        <f>IFERROR(__xludf.DUMMYFUNCTION("""COMPUTED_VALUE"""),1.0)</f>
        <v>1</v>
      </c>
      <c r="K6046" s="18">
        <f>IFERROR(__xludf.DUMMYFUNCTION("""COMPUTED_VALUE"""),1.0)</f>
        <v>1</v>
      </c>
      <c r="L6046" s="17">
        <f>IFERROR(__xludf.DUMMYFUNCTION("""COMPUTED_VALUE"""),3.2088865E9)</f>
        <v>3208886500</v>
      </c>
      <c r="M6046" s="17" t="str">
        <f>IFERROR(__xludf.DUMMYFUNCTION("""COMPUTED_VALUE"""),"#REF!")</f>
        <v>#REF!</v>
      </c>
      <c r="N6046" s="17"/>
      <c r="O6046" s="17"/>
      <c r="P6046" s="17" t="b">
        <f>IFERROR(__xludf.DUMMYFUNCTION("""COMPUTED_VALUE"""),FALSE)</f>
        <v>0</v>
      </c>
      <c r="Q6046" s="20" t="str">
        <f>IFERROR(__xludf.DUMMYFUNCTION("""COMPUTED_VALUE"""),"")</f>
        <v/>
      </c>
      <c r="R6046" s="21" t="str">
        <f>IFERROR(__xludf.DUMMYFUNCTION("""COMPUTED_VALUE"""),"https://drive.google.com/file/d/1mf8wBF6HSRbNr1M0XmKZuXNYt_wzm2kg/view?usp=drivesdk")</f>
        <v>https://drive.google.com/file/d/1mf8wBF6HSRbNr1M0XmKZuXNYt_wzm2kg/view?usp=drivesdk</v>
      </c>
    </row>
    <row r="6047">
      <c r="A6047" s="15">
        <f>IFERROR(__xludf.DUMMYFUNCTION("""COMPUTED_VALUE"""),45174.0)</f>
        <v>45174</v>
      </c>
      <c r="B6047" s="16" t="str">
        <f>IFERROR(__xludf.DUMMYFUNCTION("""COMPUTED_VALUE"""),"Santiago Garces Restrepo")</f>
        <v>Santiago Garces Restrepo</v>
      </c>
      <c r="C6047" s="15" t="str">
        <f>IFERROR(__xludf.DUMMYFUNCTION("""COMPUTED_VALUE"""),"PALMIRA")</f>
        <v>PALMIRA</v>
      </c>
      <c r="D6047" s="15" t="str">
        <f>IFERROR(__xludf.DUMMYFUNCTION("""COMPUTED_VALUE"""),"BOGOTÁ")</f>
        <v>BOGOTÁ</v>
      </c>
      <c r="E6047" s="15" t="str">
        <f>IFERROR(__xludf.DUMMYFUNCTION("""COMPUTED_VALUE"""),"Evamazzita")</f>
        <v>Evamazzita</v>
      </c>
      <c r="F6047" s="17" t="str">
        <f>IFERROR(__xludf.DUMMYFUNCTION("""COMPUTED_VALUE"""),"Calle 65 e 31 b 62 / villa Praga Zamorano""")</f>
        <v>Calle 65 e 31 b 62 / villa Praga Zamorano"</v>
      </c>
      <c r="G6047" s="15" t="str">
        <f>IFERROR(__xludf.DUMMYFUNCTION("""COMPUTED_VALUE"""),"YULI PATRICIA MALTE ROMERO")</f>
        <v>YULI PATRICIA MALTE ROMERO</v>
      </c>
      <c r="H6047" s="16">
        <f>IFERROR(__xludf.DUMMYFUNCTION("""COMPUTED_VALUE"""),14753.0)</f>
        <v>14753</v>
      </c>
      <c r="I6047" s="18">
        <f>IFERROR(__xludf.DUMMYFUNCTION("""COMPUTED_VALUE"""),1.0)</f>
        <v>1</v>
      </c>
      <c r="J6047" s="18">
        <f>IFERROR(__xludf.DUMMYFUNCTION("""COMPUTED_VALUE"""),1.0)</f>
        <v>1</v>
      </c>
      <c r="K6047" s="18">
        <f>IFERROR(__xludf.DUMMYFUNCTION("""COMPUTED_VALUE"""),1.0)</f>
        <v>1</v>
      </c>
      <c r="L6047" s="17">
        <f>IFERROR(__xludf.DUMMYFUNCTION("""COMPUTED_VALUE"""),3.186474996E9)</f>
        <v>3186474996</v>
      </c>
      <c r="M6047" s="17" t="str">
        <f>IFERROR(__xludf.DUMMYFUNCTION("""COMPUTED_VALUE"""),"#REF!")</f>
        <v>#REF!</v>
      </c>
      <c r="N6047" s="17"/>
      <c r="O6047" s="17"/>
      <c r="P6047" s="17" t="b">
        <f>IFERROR(__xludf.DUMMYFUNCTION("""COMPUTED_VALUE"""),FALSE)</f>
        <v>0</v>
      </c>
      <c r="Q6047" s="20" t="str">
        <f>IFERROR(__xludf.DUMMYFUNCTION("""COMPUTED_VALUE"""),"")</f>
        <v/>
      </c>
      <c r="R6047" s="21" t="str">
        <f>IFERROR(__xludf.DUMMYFUNCTION("""COMPUTED_VALUE"""),"https://drive.google.com/file/d/1msc5NWqkokjSAxURBJ_eTn6CLf_WJYYY/view?usp=drivesdk")</f>
        <v>https://drive.google.com/file/d/1msc5NWqkokjSAxURBJ_eTn6CLf_WJYYY/view?usp=drivesdk</v>
      </c>
    </row>
    <row r="6048">
      <c r="A6048" s="17" t="str">
        <f>IFERROR(__xludf.DUMMYFUNCTION("""COMPUTED_VALUE"""),"")</f>
        <v/>
      </c>
      <c r="B6048" s="17" t="str">
        <f>IFERROR(__xludf.DUMMYFUNCTION("""COMPUTED_VALUE"""),"")</f>
        <v/>
      </c>
      <c r="C6048" s="17" t="str">
        <f>IFERROR(__xludf.DUMMYFUNCTION("""COMPUTED_VALUE"""),"")</f>
        <v/>
      </c>
      <c r="D6048" s="17" t="str">
        <f>IFERROR(__xludf.DUMMYFUNCTION("""COMPUTED_VALUE"""),"")</f>
        <v/>
      </c>
      <c r="E6048" s="17" t="str">
        <f>IFERROR(__xludf.DUMMYFUNCTION("""COMPUTED_VALUE"""),"")</f>
        <v/>
      </c>
      <c r="F6048" s="17" t="str">
        <f>IFERROR(__xludf.DUMMYFUNCTION("""COMPUTED_VALUE"""),"")</f>
        <v/>
      </c>
      <c r="G6048" s="17" t="str">
        <f>IFERROR(__xludf.DUMMYFUNCTION("""COMPUTED_VALUE"""),"")</f>
        <v/>
      </c>
      <c r="H6048" s="17" t="str">
        <f>IFERROR(__xludf.DUMMYFUNCTION("""COMPUTED_VALUE"""),"")</f>
        <v/>
      </c>
      <c r="I6048" s="17" t="str">
        <f>IFERROR(__xludf.DUMMYFUNCTION("""COMPUTED_VALUE"""),"")</f>
        <v/>
      </c>
      <c r="J6048" s="17" t="str">
        <f>IFERROR(__xludf.DUMMYFUNCTION("""COMPUTED_VALUE"""),"")</f>
        <v/>
      </c>
      <c r="K6048" s="17" t="str">
        <f>IFERROR(__xludf.DUMMYFUNCTION("""COMPUTED_VALUE"""),"")</f>
        <v/>
      </c>
      <c r="L6048" s="17" t="str">
        <f>IFERROR(__xludf.DUMMYFUNCTION("""COMPUTED_VALUE"""),"")</f>
        <v/>
      </c>
      <c r="M6048" s="17" t="str">
        <f>IFERROR(__xludf.DUMMYFUNCTION("""COMPUTED_VALUE"""),"")</f>
        <v/>
      </c>
      <c r="N6048" s="17" t="str">
        <f>IFERROR(__xludf.DUMMYFUNCTION("""COMPUTED_VALUE"""),"")</f>
        <v/>
      </c>
      <c r="O6048" s="17" t="str">
        <f>IFERROR(__xludf.DUMMYFUNCTION("""COMPUTED_VALUE"""),"")</f>
        <v/>
      </c>
      <c r="P6048" s="17" t="str">
        <f>IFERROR(__xludf.DUMMYFUNCTION("""COMPUTED_VALUE"""),"")</f>
        <v/>
      </c>
      <c r="Q6048" s="17" t="str">
        <f>IFERROR(__xludf.DUMMYFUNCTION("""COMPUTED_VALUE"""),"")</f>
        <v/>
      </c>
      <c r="R6048" s="17" t="str">
        <f>IFERROR(__xludf.DUMMYFUNCTION("""COMPUTED_VALUE"""),"")</f>
        <v/>
      </c>
    </row>
    <row r="6049">
      <c r="A6049" s="15">
        <f>IFERROR(__xludf.DUMMYFUNCTION("""COMPUTED_VALUE"""),45175.0)</f>
        <v>45175</v>
      </c>
      <c r="B6049" s="16" t="str">
        <f>IFERROR(__xludf.DUMMYFUNCTION("""COMPUTED_VALUE"""),"Anuar suarez jimenez ")</f>
        <v>Anuar suarez jimenez </v>
      </c>
      <c r="C6049" s="15" t="str">
        <f>IFERROR(__xludf.DUMMYFUNCTION("""COMPUTED_VALUE"""),"CARTAGENA")</f>
        <v>CARTAGENA</v>
      </c>
      <c r="D6049" s="15" t="str">
        <f>IFERROR(__xludf.DUMMYFUNCTION("""COMPUTED_VALUE"""),"BOGOTÁ")</f>
        <v>BOGOTÁ</v>
      </c>
      <c r="E6049" s="15" t="str">
        <f>IFERROR(__xludf.DUMMYFUNCTION("""COMPUTED_VALUE"""),"Loomifoods")</f>
        <v>Loomifoods</v>
      </c>
      <c r="F6049" s="17" t="str">
        <f>IFERROR(__xludf.DUMMYFUNCTION("""COMPUTED_VALUE"""),"Cll 70a # 8-24  / conjunto residencial el Gloria torre 1 apto 303-  / Barrio Crespo.")</f>
        <v>Cll 70a # 8-24  / conjunto residencial el Gloria torre 1 apto 303-  / Barrio Crespo.</v>
      </c>
      <c r="G6049" s="15" t="str">
        <f>IFERROR(__xludf.DUMMYFUNCTION("""COMPUTED_VALUE"""),"Maira Miranda")</f>
        <v>Maira Miranda</v>
      </c>
      <c r="H6049" s="16">
        <f>IFERROR(__xludf.DUMMYFUNCTION("""COMPUTED_VALUE"""),14790.0)</f>
        <v>14790</v>
      </c>
      <c r="I6049" s="18">
        <f>IFERROR(__xludf.DUMMYFUNCTION("""COMPUTED_VALUE"""),19.0)</f>
        <v>19</v>
      </c>
      <c r="J6049" s="18">
        <f>IFERROR(__xludf.DUMMYFUNCTION("""COMPUTED_VALUE"""),5.0)</f>
        <v>5</v>
      </c>
      <c r="K6049" s="18">
        <f>IFERROR(__xludf.DUMMYFUNCTION("""COMPUTED_VALUE"""),16.0)</f>
        <v>16</v>
      </c>
      <c r="L6049" s="17">
        <f>IFERROR(__xludf.DUMMYFUNCTION("""COMPUTED_VALUE"""),3.137904502E9)</f>
        <v>3137904502</v>
      </c>
      <c r="M6049" s="17" t="str">
        <f>IFERROR(__xludf.DUMMYFUNCTION("""COMPUTED_VALUE"""),"#REF!")</f>
        <v>#REF!</v>
      </c>
      <c r="N6049" s="17"/>
      <c r="O6049" s="17"/>
      <c r="P6049" s="17" t="b">
        <f>IFERROR(__xludf.DUMMYFUNCTION("""COMPUTED_VALUE"""),FALSE)</f>
        <v>0</v>
      </c>
      <c r="Q6049" s="20" t="str">
        <f>IFERROR(__xludf.DUMMYFUNCTION("""COMPUTED_VALUE"""),"")</f>
        <v/>
      </c>
      <c r="R6049" s="21" t="str">
        <f>IFERROR(__xludf.DUMMYFUNCTION("""COMPUTED_VALUE"""),"https://drive.google.com/file/d/1lh2adsc_bXr46a9cxWbClajSb_y8rM9b/view?usp=drivesdk")</f>
        <v>https://drive.google.com/file/d/1lh2adsc_bXr46a9cxWbClajSb_y8rM9b/view?usp=drivesdk</v>
      </c>
    </row>
    <row r="6050">
      <c r="A6050" s="15">
        <f>IFERROR(__xludf.DUMMYFUNCTION("""COMPUTED_VALUE"""),45175.0)</f>
        <v>45175</v>
      </c>
      <c r="B6050" s="16" t="str">
        <f>IFERROR(__xludf.DUMMYFUNCTION("""COMPUTED_VALUE"""),"Anuar suarez jimenez ")</f>
        <v>Anuar suarez jimenez </v>
      </c>
      <c r="C6050" s="15" t="str">
        <f>IFERROR(__xludf.DUMMYFUNCTION("""COMPUTED_VALUE"""),"CARTAGENA")</f>
        <v>CARTAGENA</v>
      </c>
      <c r="D6050" s="15" t="str">
        <f>IFERROR(__xludf.DUMMYFUNCTION("""COMPUTED_VALUE"""),"BOGOTÁ")</f>
        <v>BOGOTÁ</v>
      </c>
      <c r="E6050" s="15" t="str">
        <f>IFERROR(__xludf.DUMMYFUNCTION("""COMPUTED_VALUE"""),"Top Spun")</f>
        <v>Top Spun</v>
      </c>
      <c r="F6050" s="17" t="str">
        <f>IFERROR(__xludf.DUMMYFUNCTION("""COMPUTED_VALUE"""),"Cra 8 N° 39-114 / Hotel Boutique Bóvedas de Santa Clara SUITE 401 / Calle del Torno, Barrio San Diego")</f>
        <v>Cra 8 N° 39-114 / Hotel Boutique Bóvedas de Santa Clara SUITE 401 / Calle del Torno, Barrio San Diego</v>
      </c>
      <c r="G6050" s="15" t="str">
        <f>IFERROR(__xludf.DUMMYFUNCTION("""COMPUTED_VALUE"""),"MARIA MALLARINO")</f>
        <v>MARIA MALLARINO</v>
      </c>
      <c r="H6050" s="16">
        <f>IFERROR(__xludf.DUMMYFUNCTION("""COMPUTED_VALUE"""),14772.0)</f>
        <v>14772</v>
      </c>
      <c r="I6050" s="18">
        <f>IFERROR(__xludf.DUMMYFUNCTION("""COMPUTED_VALUE"""),20.0)</f>
        <v>20</v>
      </c>
      <c r="J6050" s="18">
        <f>IFERROR(__xludf.DUMMYFUNCTION("""COMPUTED_VALUE"""),10.0)</f>
        <v>10</v>
      </c>
      <c r="K6050" s="18">
        <f>IFERROR(__xludf.DUMMYFUNCTION("""COMPUTED_VALUE"""),40.0)</f>
        <v>40</v>
      </c>
      <c r="L6050" s="17">
        <f>IFERROR(__xludf.DUMMYFUNCTION("""COMPUTED_VALUE"""),3.108660426E9)</f>
        <v>3108660426</v>
      </c>
      <c r="M6050" s="17" t="str">
        <f>IFERROR(__xludf.DUMMYFUNCTION("""COMPUTED_VALUE"""),"#REF!")</f>
        <v>#REF!</v>
      </c>
      <c r="N6050" s="17"/>
      <c r="O6050" s="17"/>
      <c r="P6050" s="17" t="b">
        <f>IFERROR(__xludf.DUMMYFUNCTION("""COMPUTED_VALUE"""),FALSE)</f>
        <v>0</v>
      </c>
      <c r="Q6050" s="20" t="str">
        <f>IFERROR(__xludf.DUMMYFUNCTION("""COMPUTED_VALUE"""),"")</f>
        <v/>
      </c>
      <c r="R6050" s="21" t="str">
        <f>IFERROR(__xludf.DUMMYFUNCTION("""COMPUTED_VALUE"""),"https://drive.google.com/file/d/1qjhJb3mbZwM26UWnQtidBzw4bO_bnK_f/view?usp=drivesdk")</f>
        <v>https://drive.google.com/file/d/1qjhJb3mbZwM26UWnQtidBzw4bO_bnK_f/view?usp=drivesdk</v>
      </c>
    </row>
    <row r="6051">
      <c r="A6051" s="17" t="str">
        <f>IFERROR(__xludf.DUMMYFUNCTION("""COMPUTED_VALUE"""),"")</f>
        <v/>
      </c>
      <c r="B6051" s="17" t="str">
        <f>IFERROR(__xludf.DUMMYFUNCTION("""COMPUTED_VALUE"""),"")</f>
        <v/>
      </c>
      <c r="C6051" s="17" t="str">
        <f>IFERROR(__xludf.DUMMYFUNCTION("""COMPUTED_VALUE"""),"")</f>
        <v/>
      </c>
      <c r="D6051" s="17" t="str">
        <f>IFERROR(__xludf.DUMMYFUNCTION("""COMPUTED_VALUE"""),"")</f>
        <v/>
      </c>
      <c r="E6051" s="17" t="str">
        <f>IFERROR(__xludf.DUMMYFUNCTION("""COMPUTED_VALUE"""),"")</f>
        <v/>
      </c>
      <c r="F6051" s="17" t="str">
        <f>IFERROR(__xludf.DUMMYFUNCTION("""COMPUTED_VALUE"""),"")</f>
        <v/>
      </c>
      <c r="G6051" s="17" t="str">
        <f>IFERROR(__xludf.DUMMYFUNCTION("""COMPUTED_VALUE"""),"")</f>
        <v/>
      </c>
      <c r="H6051" s="17" t="str">
        <f>IFERROR(__xludf.DUMMYFUNCTION("""COMPUTED_VALUE"""),"")</f>
        <v/>
      </c>
      <c r="I6051" s="17" t="str">
        <f>IFERROR(__xludf.DUMMYFUNCTION("""COMPUTED_VALUE"""),"")</f>
        <v/>
      </c>
      <c r="J6051" s="17" t="str">
        <f>IFERROR(__xludf.DUMMYFUNCTION("""COMPUTED_VALUE"""),"")</f>
        <v/>
      </c>
      <c r="K6051" s="17" t="str">
        <f>IFERROR(__xludf.DUMMYFUNCTION("""COMPUTED_VALUE"""),"")</f>
        <v/>
      </c>
      <c r="L6051" s="17" t="str">
        <f>IFERROR(__xludf.DUMMYFUNCTION("""COMPUTED_VALUE"""),"")</f>
        <v/>
      </c>
      <c r="M6051" s="17" t="str">
        <f>IFERROR(__xludf.DUMMYFUNCTION("""COMPUTED_VALUE"""),"")</f>
        <v/>
      </c>
      <c r="N6051" s="17" t="str">
        <f>IFERROR(__xludf.DUMMYFUNCTION("""COMPUTED_VALUE"""),"")</f>
        <v/>
      </c>
      <c r="O6051" s="17" t="str">
        <f>IFERROR(__xludf.DUMMYFUNCTION("""COMPUTED_VALUE"""),"")</f>
        <v/>
      </c>
      <c r="P6051" s="17" t="str">
        <f>IFERROR(__xludf.DUMMYFUNCTION("""COMPUTED_VALUE"""),"")</f>
        <v/>
      </c>
      <c r="Q6051" s="17" t="str">
        <f>IFERROR(__xludf.DUMMYFUNCTION("""COMPUTED_VALUE"""),"")</f>
        <v/>
      </c>
      <c r="R6051" s="17" t="str">
        <f>IFERROR(__xludf.DUMMYFUNCTION("""COMPUTED_VALUE"""),"")</f>
        <v/>
      </c>
    </row>
    <row r="6052">
      <c r="A6052" s="15">
        <f>IFERROR(__xludf.DUMMYFUNCTION("""COMPUTED_VALUE"""),45175.0)</f>
        <v>45175</v>
      </c>
      <c r="B6052" s="16" t="str">
        <f>IFERROR(__xludf.DUMMYFUNCTION("""COMPUTED_VALUE"""),"David Sanmartin Bello")</f>
        <v>David Sanmartin Bello</v>
      </c>
      <c r="C6052" s="15" t="str">
        <f>IFERROR(__xludf.DUMMYFUNCTION("""COMPUTED_VALUE"""),"CARTAGENA")</f>
        <v>CARTAGENA</v>
      </c>
      <c r="D6052" s="15" t="str">
        <f>IFERROR(__xludf.DUMMYFUNCTION("""COMPUTED_VALUE"""),"BOGOTÁ")</f>
        <v>BOGOTÁ</v>
      </c>
      <c r="E6052" s="15" t="str">
        <f>IFERROR(__xludf.DUMMYFUNCTION("""COMPUTED_VALUE"""),"Asociacion Agropecuaria Juana Maria")</f>
        <v>Asociacion Agropecuaria Juana Maria</v>
      </c>
      <c r="F6052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6052" s="15" t="str">
        <f>IFERROR(__xludf.DUMMYFUNCTION("""COMPUTED_VALUE"""),"LUZ ELENA GIL BENAVIDES")</f>
        <v>LUZ ELENA GIL BENAVIDES</v>
      </c>
      <c r="H6052" s="16">
        <f>IFERROR(__xludf.DUMMYFUNCTION("""COMPUTED_VALUE"""),14679.0)</f>
        <v>14679</v>
      </c>
      <c r="I6052" s="18">
        <f>IFERROR(__xludf.DUMMYFUNCTION("""COMPUTED_VALUE"""),21.0)</f>
        <v>21</v>
      </c>
      <c r="J6052" s="18">
        <f>IFERROR(__xludf.DUMMYFUNCTION("""COMPUTED_VALUE"""),37.0)</f>
        <v>37</v>
      </c>
      <c r="K6052" s="18">
        <f>IFERROR(__xludf.DUMMYFUNCTION("""COMPUTED_VALUE"""),30.0)</f>
        <v>30</v>
      </c>
      <c r="L6052" s="17">
        <f>IFERROR(__xludf.DUMMYFUNCTION("""COMPUTED_VALUE"""),3.054312334E9)</f>
        <v>3054312334</v>
      </c>
      <c r="M6052" s="17" t="str">
        <f>IFERROR(__xludf.DUMMYFUNCTION("""COMPUTED_VALUE"""),"#REF!")</f>
        <v>#REF!</v>
      </c>
      <c r="N6052" s="17"/>
      <c r="O6052" s="17"/>
      <c r="P6052" s="17" t="b">
        <f>IFERROR(__xludf.DUMMYFUNCTION("""COMPUTED_VALUE"""),FALSE)</f>
        <v>0</v>
      </c>
      <c r="Q6052" s="20" t="str">
        <f>IFERROR(__xludf.DUMMYFUNCTION("""COMPUTED_VALUE"""),"")</f>
        <v/>
      </c>
      <c r="R6052" s="21" t="str">
        <f>IFERROR(__xludf.DUMMYFUNCTION("""COMPUTED_VALUE"""),"https://drive.google.com/file/d/1tRJmmviNflTQTuUlKA78aLcVfa6m5SjO/view?usp=drivesdk")</f>
        <v>https://drive.google.com/file/d/1tRJmmviNflTQTuUlKA78aLcVfa6m5SjO/view?usp=drivesdk</v>
      </c>
    </row>
    <row r="6053">
      <c r="A6053" s="15">
        <f>IFERROR(__xludf.DUMMYFUNCTION("""COMPUTED_VALUE"""),45175.0)</f>
        <v>45175</v>
      </c>
      <c r="B6053" s="16" t="str">
        <f>IFERROR(__xludf.DUMMYFUNCTION("""COMPUTED_VALUE"""),"David Sanmartin Bello")</f>
        <v>David Sanmartin Bello</v>
      </c>
      <c r="C6053" s="15" t="str">
        <f>IFERROR(__xludf.DUMMYFUNCTION("""COMPUTED_VALUE"""),"CARTAGENA")</f>
        <v>CARTAGENA</v>
      </c>
      <c r="D6053" s="15" t="str">
        <f>IFERROR(__xludf.DUMMYFUNCTION("""COMPUTED_VALUE"""),"BOGOTÁ")</f>
        <v>BOGOTÁ</v>
      </c>
      <c r="E6053" s="15" t="str">
        <f>IFERROR(__xludf.DUMMYFUNCTION("""COMPUTED_VALUE"""),"Evamazzita")</f>
        <v>Evamazzita</v>
      </c>
      <c r="F6053" s="17" t="str">
        <f>IFERROR(__xludf.DUMMYFUNCTION("""COMPUTED_VALUE"""),"Cll 32B No 80 589 / Condominio Copacabana T4 Apto 706")</f>
        <v>Cll 32B No 80 589 / Condominio Copacabana T4 Apto 706</v>
      </c>
      <c r="G6053" s="15" t="str">
        <f>IFERROR(__xludf.DUMMYFUNCTION("""COMPUTED_VALUE"""),"LUZ ELENA GIL BENAVIDES")</f>
        <v>LUZ ELENA GIL BENAVIDES</v>
      </c>
      <c r="H6053" s="16">
        <f>IFERROR(__xludf.DUMMYFUNCTION("""COMPUTED_VALUE"""),14782.0)</f>
        <v>14782</v>
      </c>
      <c r="I6053" s="18">
        <f>IFERROR(__xludf.DUMMYFUNCTION("""COMPUTED_VALUE"""),1.0)</f>
        <v>1</v>
      </c>
      <c r="J6053" s="18">
        <f>IFERROR(__xludf.DUMMYFUNCTION("""COMPUTED_VALUE"""),1.0)</f>
        <v>1</v>
      </c>
      <c r="K6053" s="18">
        <f>IFERROR(__xludf.DUMMYFUNCTION("""COMPUTED_VALUE"""),1.0)</f>
        <v>1</v>
      </c>
      <c r="L6053" s="17">
        <f>IFERROR(__xludf.DUMMYFUNCTION("""COMPUTED_VALUE"""),3.054312334E9)</f>
        <v>3054312334</v>
      </c>
      <c r="M6053" s="17" t="str">
        <f>IFERROR(__xludf.DUMMYFUNCTION("""COMPUTED_VALUE"""),"#REF!")</f>
        <v>#REF!</v>
      </c>
      <c r="N6053" s="17"/>
      <c r="O6053" s="17"/>
      <c r="P6053" s="17" t="b">
        <f>IFERROR(__xludf.DUMMYFUNCTION("""COMPUTED_VALUE"""),FALSE)</f>
        <v>0</v>
      </c>
      <c r="Q6053" s="20" t="str">
        <f>IFERROR(__xludf.DUMMYFUNCTION("""COMPUTED_VALUE"""),"")</f>
        <v/>
      </c>
      <c r="R6053" s="21" t="str">
        <f>IFERROR(__xludf.DUMMYFUNCTION("""COMPUTED_VALUE"""),"https://drive.google.com/file/d/1ksw9WYygNWWeZv1JoHisBOUR7I6w7Y8Y/view?usp=drivesdk")</f>
        <v>https://drive.google.com/file/d/1ksw9WYygNWWeZv1JoHisBOUR7I6w7Y8Y/view?usp=drivesdk</v>
      </c>
    </row>
    <row r="6054">
      <c r="A6054" s="15">
        <f>IFERROR(__xludf.DUMMYFUNCTION("""COMPUTED_VALUE"""),45175.0)</f>
        <v>45175</v>
      </c>
      <c r="B6054" s="16" t="str">
        <f>IFERROR(__xludf.DUMMYFUNCTION("""COMPUTED_VALUE"""),"David Sanmartin Bello")</f>
        <v>David Sanmartin Bello</v>
      </c>
      <c r="C6054" s="15" t="str">
        <f>IFERROR(__xludf.DUMMYFUNCTION("""COMPUTED_VALUE"""),"CARTAGENA")</f>
        <v>CARTAGENA</v>
      </c>
      <c r="D6054" s="15" t="str">
        <f>IFERROR(__xludf.DUMMYFUNCTION("""COMPUTED_VALUE"""),"BOGOTÁ")</f>
        <v>BOGOTÁ</v>
      </c>
      <c r="E6054" s="15" t="str">
        <f>IFERROR(__xludf.DUMMYFUNCTION("""COMPUTED_VALUE"""),"Evamazzita")</f>
        <v>Evamazzita</v>
      </c>
      <c r="F6054" s="17" t="str">
        <f>IFERROR(__xludf.DUMMYFUNCTION("""COMPUTED_VALUE"""),"Cll 35 # 102 10 / Apto 407 b / Condominio torres de san luis barrio san jose de los campanos")</f>
        <v>Cll 35 # 102 10 / Apto 407 b / Condominio torres de san luis barrio san jose de los campanos</v>
      </c>
      <c r="G6054" s="15" t="str">
        <f>IFERROR(__xludf.DUMMYFUNCTION("""COMPUTED_VALUE"""),"FANNY CABARCAS ARTEAGA")</f>
        <v>FANNY CABARCAS ARTEAGA</v>
      </c>
      <c r="H6054" s="16">
        <f>IFERROR(__xludf.DUMMYFUNCTION("""COMPUTED_VALUE"""),14778.0)</f>
        <v>14778</v>
      </c>
      <c r="I6054" s="18">
        <f>IFERROR(__xludf.DUMMYFUNCTION("""COMPUTED_VALUE"""),1.0)</f>
        <v>1</v>
      </c>
      <c r="J6054" s="18">
        <f>IFERROR(__xludf.DUMMYFUNCTION("""COMPUTED_VALUE"""),1.0)</f>
        <v>1</v>
      </c>
      <c r="K6054" s="18">
        <f>IFERROR(__xludf.DUMMYFUNCTION("""COMPUTED_VALUE"""),1.0)</f>
        <v>1</v>
      </c>
      <c r="L6054" s="17">
        <f>IFERROR(__xludf.DUMMYFUNCTION("""COMPUTED_VALUE"""),3.014081162E9)</f>
        <v>3014081162</v>
      </c>
      <c r="M6054" s="17" t="str">
        <f>IFERROR(__xludf.DUMMYFUNCTION("""COMPUTED_VALUE"""),"#REF!")</f>
        <v>#REF!</v>
      </c>
      <c r="N6054" s="17"/>
      <c r="O6054" s="17"/>
      <c r="P6054" s="17" t="b">
        <f>IFERROR(__xludf.DUMMYFUNCTION("""COMPUTED_VALUE"""),FALSE)</f>
        <v>0</v>
      </c>
      <c r="Q6054" s="20" t="str">
        <f>IFERROR(__xludf.DUMMYFUNCTION("""COMPUTED_VALUE"""),"")</f>
        <v/>
      </c>
      <c r="R6054" s="21" t="str">
        <f>IFERROR(__xludf.DUMMYFUNCTION("""COMPUTED_VALUE"""),"https://drive.google.com/file/d/1JISxpMnZymhA72xzeTOCcpHogbbSbgLg/view?usp=drivesdk")</f>
        <v>https://drive.google.com/file/d/1JISxpMnZymhA72xzeTOCcpHogbbSbgLg/view?usp=drivesdk</v>
      </c>
    </row>
    <row r="6055">
      <c r="A6055" s="15">
        <f>IFERROR(__xludf.DUMMYFUNCTION("""COMPUTED_VALUE"""),45175.0)</f>
        <v>45175</v>
      </c>
      <c r="B6055" s="16" t="str">
        <f>IFERROR(__xludf.DUMMYFUNCTION("""COMPUTED_VALUE"""),"David Sanmartin Bello")</f>
        <v>David Sanmartin Bello</v>
      </c>
      <c r="C6055" s="15" t="str">
        <f>IFERROR(__xludf.DUMMYFUNCTION("""COMPUTED_VALUE"""),"CARTAGENA")</f>
        <v>CARTAGENA</v>
      </c>
      <c r="D6055" s="15" t="str">
        <f>IFERROR(__xludf.DUMMYFUNCTION("""COMPUTED_VALUE"""),"BOGOTÁ")</f>
        <v>BOGOTÁ</v>
      </c>
      <c r="E6055" s="15" t="str">
        <f>IFERROR(__xludf.DUMMYFUNCTION("""COMPUTED_VALUE"""),"Karem foods")</f>
        <v>Karem foods</v>
      </c>
      <c r="F6055" s="17" t="str">
        <f>IFERROR(__xludf.DUMMYFUNCTION("""COMPUTED_VALUE"""),"Calle 6 # 4 20 CC la estacion / local 1 / barrio castillo grande")</f>
        <v>Calle 6 # 4 20 CC la estacion / local 1 / barrio castillo grande</v>
      </c>
      <c r="G6055" s="15" t="str">
        <f>IFERROR(__xludf.DUMMYFUNCTION("""COMPUTED_VALUE"""),"Cocofit mercado saludable")</f>
        <v>Cocofit mercado saludable</v>
      </c>
      <c r="H6055" s="16">
        <f>IFERROR(__xludf.DUMMYFUNCTION("""COMPUTED_VALUE"""),14803.0)</f>
        <v>14803</v>
      </c>
      <c r="I6055" s="18">
        <f>IFERROR(__xludf.DUMMYFUNCTION("""COMPUTED_VALUE"""),15.0)</f>
        <v>15</v>
      </c>
      <c r="J6055" s="18">
        <f>IFERROR(__xludf.DUMMYFUNCTION("""COMPUTED_VALUE"""),20.0)</f>
        <v>20</v>
      </c>
      <c r="K6055" s="18">
        <f>IFERROR(__xludf.DUMMYFUNCTION("""COMPUTED_VALUE"""),20.0)</f>
        <v>20</v>
      </c>
      <c r="L6055" s="17">
        <f>IFERROR(__xludf.DUMMYFUNCTION("""COMPUTED_VALUE"""),3.105318059E9)</f>
        <v>3105318059</v>
      </c>
      <c r="M6055" s="17" t="str">
        <f>IFERROR(__xludf.DUMMYFUNCTION("""COMPUTED_VALUE"""),"#REF!")</f>
        <v>#REF!</v>
      </c>
      <c r="N6055" s="17"/>
      <c r="O6055" s="17"/>
      <c r="P6055" s="17" t="b">
        <f>IFERROR(__xludf.DUMMYFUNCTION("""COMPUTED_VALUE"""),FALSE)</f>
        <v>0</v>
      </c>
      <c r="Q6055" s="20" t="str">
        <f>IFERROR(__xludf.DUMMYFUNCTION("""COMPUTED_VALUE"""),"")</f>
        <v/>
      </c>
      <c r="R6055" s="21" t="str">
        <f>IFERROR(__xludf.DUMMYFUNCTION("""COMPUTED_VALUE"""),"https://drive.google.com/file/d/1VW2Mct_PRoZtmGK6u_jHciiY7uszXVYV/view?usp=drivesdk")</f>
        <v>https://drive.google.com/file/d/1VW2Mct_PRoZtmGK6u_jHciiY7uszXVYV/view?usp=drivesdk</v>
      </c>
    </row>
    <row r="6056">
      <c r="A6056" s="15">
        <f>IFERROR(__xludf.DUMMYFUNCTION("""COMPUTED_VALUE"""),45175.0)</f>
        <v>45175</v>
      </c>
      <c r="B6056" s="16" t="str">
        <f>IFERROR(__xludf.DUMMYFUNCTION("""COMPUTED_VALUE"""),"David Sanmartin Bello")</f>
        <v>David Sanmartin Bello</v>
      </c>
      <c r="C6056" s="15" t="str">
        <f>IFERROR(__xludf.DUMMYFUNCTION("""COMPUTED_VALUE"""),"MEDELLÍN")</f>
        <v>MEDELLÍN</v>
      </c>
      <c r="D6056" s="15" t="str">
        <f>IFERROR(__xludf.DUMMYFUNCTION("""COMPUTED_VALUE"""),"BUCARAMANGA")</f>
        <v>BUCARAMANGA</v>
      </c>
      <c r="E6056" s="15" t="str">
        <f>IFERROR(__xludf.DUMMYFUNCTION("""COMPUTED_VALUE"""),"Yo Como Solito")</f>
        <v>Yo Como Solito</v>
      </c>
      <c r="F6056" s="17" t="str">
        <f>IFERROR(__xludf.DUMMYFUNCTION("""COMPUTED_VALUE"""),"CARRERA 15 BA # 34D-44 INT 201 QUINTA LINDA  / CARRERA 15 BA # 34D-44 INT 201 QUINTA LINDA / CARRERA 15 BA # 34D-44 INT 201 QUINTA LINDA")</f>
        <v>CARRERA 15 BA # 34D-44 INT 201 QUINTA LINDA  / CARRERA 15 BA # 34D-44 INT 201 QUINTA LINDA / CARRERA 15 BA # 34D-44 INT 201 QUINTA LINDA</v>
      </c>
      <c r="G6056" s="15" t="str">
        <f>IFERROR(__xludf.DUMMYFUNCTION("""COMPUTED_VALUE"""),"DANIELA BEDOYA BLANDON")</f>
        <v>DANIELA BEDOYA BLANDON</v>
      </c>
      <c r="H6056" s="16">
        <f>IFERROR(__xludf.DUMMYFUNCTION("""COMPUTED_VALUE"""),14712.0)</f>
        <v>14712</v>
      </c>
      <c r="I6056" s="18">
        <f>IFERROR(__xludf.DUMMYFUNCTION("""COMPUTED_VALUE"""),20.0)</f>
        <v>20</v>
      </c>
      <c r="J6056" s="18">
        <f>IFERROR(__xludf.DUMMYFUNCTION("""COMPUTED_VALUE"""),40.0)</f>
        <v>40</v>
      </c>
      <c r="K6056" s="18">
        <f>IFERROR(__xludf.DUMMYFUNCTION("""COMPUTED_VALUE"""),41.0)</f>
        <v>41</v>
      </c>
      <c r="L6056" s="17">
        <f>IFERROR(__xludf.DUMMYFUNCTION("""COMPUTED_VALUE"""),3.14672822E9)</f>
        <v>3146728220</v>
      </c>
      <c r="M6056" s="17" t="str">
        <f>IFERROR(__xludf.DUMMYFUNCTION("""COMPUTED_VALUE"""),"#REF!")</f>
        <v>#REF!</v>
      </c>
      <c r="N6056" s="17"/>
      <c r="O6056" s="17"/>
      <c r="P6056" s="17" t="b">
        <f>IFERROR(__xludf.DUMMYFUNCTION("""COMPUTED_VALUE"""),FALSE)</f>
        <v>0</v>
      </c>
      <c r="Q6056" s="20" t="str">
        <f>IFERROR(__xludf.DUMMYFUNCTION("""COMPUTED_VALUE"""),"")</f>
        <v/>
      </c>
      <c r="R6056" s="21" t="str">
        <f>IFERROR(__xludf.DUMMYFUNCTION("""COMPUTED_VALUE"""),"https://drive.google.com/file/d/19fpEk97dXjgsP0879ExuX7kihrxUPT8s/view?usp=drivesdk")</f>
        <v>https://drive.google.com/file/d/19fpEk97dXjgsP0879ExuX7kihrxUPT8s/view?usp=drivesdk</v>
      </c>
    </row>
    <row r="6057">
      <c r="A6057" s="15">
        <f>IFERROR(__xludf.DUMMYFUNCTION("""COMPUTED_VALUE"""),45175.0)</f>
        <v>45175</v>
      </c>
      <c r="B6057" s="16" t="str">
        <f>IFERROR(__xludf.DUMMYFUNCTION("""COMPUTED_VALUE"""),"David Sanmartin Bello")</f>
        <v>David Sanmartin Bello</v>
      </c>
      <c r="C6057" s="15" t="str">
        <f>IFERROR(__xludf.DUMMYFUNCTION("""COMPUTED_VALUE"""),"MEDELLÍN")</f>
        <v>MEDELLÍN</v>
      </c>
      <c r="D6057" s="15" t="str">
        <f>IFERROR(__xludf.DUMMYFUNCTION("""COMPUTED_VALUE"""),"BUCARAMANGA")</f>
        <v>BUCARAMANGA</v>
      </c>
      <c r="E6057" s="15" t="str">
        <f>IFERROR(__xludf.DUMMYFUNCTION("""COMPUTED_VALUE"""),"Yo Como Solito")</f>
        <v>Yo Como Solito</v>
      </c>
      <c r="F6057" s="17" t="str">
        <f>IFERROR(__xludf.DUMMYFUNCTION("""COMPUTED_VALUE"""),"TRASVERSAL 37 # 71-140 APARTAMENTO 301 EDIFICIO SAN PEDRO DE ALCANTARA BARRIO LAURELES / TRASVERSAL 37 # 71-140 APARTAMENTO 301 EDIFICIO SAN PEDRO DE ALCANTARA BARRIO LAURELES / TRASVERSAL 37 # 71-140 APARTAMENTO 301 EDIFICIO SAN PEDRO DE ALCANTARA BARRIO"&amp;" LAURELES")</f>
        <v>TRASVERSAL 37 # 71-140 APARTAMENTO 301 EDIFICIO SAN PEDRO DE ALCANTARA BARRIO LAURELES / TRASVERSAL 37 # 71-140 APARTAMENTO 301 EDIFICIO SAN PEDRO DE ALCANTARA BARRIO LAURELES / TRASVERSAL 37 # 71-140 APARTAMENTO 301 EDIFICIO SAN PEDRO DE ALCANTARA BARRIO LAURELES</v>
      </c>
      <c r="G6057" s="15" t="str">
        <f>IFERROR(__xludf.DUMMYFUNCTION("""COMPUTED_VALUE"""),"LINA GIRALDO HOYOS")</f>
        <v>LINA GIRALDO HOYOS</v>
      </c>
      <c r="H6057" s="16">
        <f>IFERROR(__xludf.DUMMYFUNCTION("""COMPUTED_VALUE"""),14770.0)</f>
        <v>14770</v>
      </c>
      <c r="I6057" s="18">
        <f>IFERROR(__xludf.DUMMYFUNCTION("""COMPUTED_VALUE"""),20.0)</f>
        <v>20</v>
      </c>
      <c r="J6057" s="18">
        <f>IFERROR(__xludf.DUMMYFUNCTION("""COMPUTED_VALUE"""),28.0)</f>
        <v>28</v>
      </c>
      <c r="K6057" s="18">
        <f>IFERROR(__xludf.DUMMYFUNCTION("""COMPUTED_VALUE"""),39.0)</f>
        <v>39</v>
      </c>
      <c r="L6057" s="17">
        <f>IFERROR(__xludf.DUMMYFUNCTION("""COMPUTED_VALUE"""),3.11847959E9)</f>
        <v>3118479590</v>
      </c>
      <c r="M6057" s="17" t="str">
        <f>IFERROR(__xludf.DUMMYFUNCTION("""COMPUTED_VALUE"""),"#REF!")</f>
        <v>#REF!</v>
      </c>
      <c r="N6057" s="17"/>
      <c r="O6057" s="17"/>
      <c r="P6057" s="17" t="b">
        <f>IFERROR(__xludf.DUMMYFUNCTION("""COMPUTED_VALUE"""),FALSE)</f>
        <v>0</v>
      </c>
      <c r="Q6057" s="20" t="str">
        <f>IFERROR(__xludf.DUMMYFUNCTION("""COMPUTED_VALUE"""),"")</f>
        <v/>
      </c>
      <c r="R6057" s="21" t="str">
        <f>IFERROR(__xludf.DUMMYFUNCTION("""COMPUTED_VALUE"""),"https://drive.google.com/file/d/1q63xmjZty9ahnMqRMHfEe1_rRbQYhw6o/view?usp=drivesdk")</f>
        <v>https://drive.google.com/file/d/1q63xmjZty9ahnMqRMHfEe1_rRbQYhw6o/view?usp=drivesdk</v>
      </c>
    </row>
    <row r="6058">
      <c r="A6058" s="17" t="str">
        <f>IFERROR(__xludf.DUMMYFUNCTION("""COMPUTED_VALUE"""),"")</f>
        <v/>
      </c>
      <c r="B6058" s="17" t="str">
        <f>IFERROR(__xludf.DUMMYFUNCTION("""COMPUTED_VALUE"""),"")</f>
        <v/>
      </c>
      <c r="C6058" s="17" t="str">
        <f>IFERROR(__xludf.DUMMYFUNCTION("""COMPUTED_VALUE"""),"")</f>
        <v/>
      </c>
      <c r="D6058" s="17" t="str">
        <f>IFERROR(__xludf.DUMMYFUNCTION("""COMPUTED_VALUE"""),"")</f>
        <v/>
      </c>
      <c r="E6058" s="17" t="str">
        <f>IFERROR(__xludf.DUMMYFUNCTION("""COMPUTED_VALUE"""),"")</f>
        <v/>
      </c>
      <c r="F6058" s="17" t="str">
        <f>IFERROR(__xludf.DUMMYFUNCTION("""COMPUTED_VALUE"""),"")</f>
        <v/>
      </c>
      <c r="G6058" s="17" t="str">
        <f>IFERROR(__xludf.DUMMYFUNCTION("""COMPUTED_VALUE"""),"")</f>
        <v/>
      </c>
      <c r="H6058" s="17" t="str">
        <f>IFERROR(__xludf.DUMMYFUNCTION("""COMPUTED_VALUE"""),"")</f>
        <v/>
      </c>
      <c r="I6058" s="17" t="str">
        <f>IFERROR(__xludf.DUMMYFUNCTION("""COMPUTED_VALUE"""),"")</f>
        <v/>
      </c>
      <c r="J6058" s="17" t="str">
        <f>IFERROR(__xludf.DUMMYFUNCTION("""COMPUTED_VALUE"""),"")</f>
        <v/>
      </c>
      <c r="K6058" s="17" t="str">
        <f>IFERROR(__xludf.DUMMYFUNCTION("""COMPUTED_VALUE"""),"")</f>
        <v/>
      </c>
      <c r="L6058" s="17" t="str">
        <f>IFERROR(__xludf.DUMMYFUNCTION("""COMPUTED_VALUE"""),"")</f>
        <v/>
      </c>
      <c r="M6058" s="17" t="str">
        <f>IFERROR(__xludf.DUMMYFUNCTION("""COMPUTED_VALUE"""),"")</f>
        <v/>
      </c>
      <c r="N6058" s="17" t="str">
        <f>IFERROR(__xludf.DUMMYFUNCTION("""COMPUTED_VALUE"""),"")</f>
        <v/>
      </c>
      <c r="O6058" s="17" t="str">
        <f>IFERROR(__xludf.DUMMYFUNCTION("""COMPUTED_VALUE"""),"")</f>
        <v/>
      </c>
      <c r="P6058" s="17" t="str">
        <f>IFERROR(__xludf.DUMMYFUNCTION("""COMPUTED_VALUE"""),"")</f>
        <v/>
      </c>
      <c r="Q6058" s="17" t="str">
        <f>IFERROR(__xludf.DUMMYFUNCTION("""COMPUTED_VALUE"""),"")</f>
        <v/>
      </c>
      <c r="R6058" s="17" t="str">
        <f>IFERROR(__xludf.DUMMYFUNCTION("""COMPUTED_VALUE"""),"")</f>
        <v/>
      </c>
    </row>
    <row r="6059">
      <c r="A6059" s="15">
        <f>IFERROR(__xludf.DUMMYFUNCTION("""COMPUTED_VALUE"""),45175.0)</f>
        <v>45175</v>
      </c>
      <c r="B6059" s="16" t="str">
        <f>IFERROR(__xludf.DUMMYFUNCTION("""COMPUTED_VALUE"""),"Envia")</f>
        <v>Envia</v>
      </c>
      <c r="C6059" s="15" t="str">
        <f>IFERROR(__xludf.DUMMYFUNCTION("""COMPUTED_VALUE"""),"BOGOTÁ")</f>
        <v>BOGOTÁ</v>
      </c>
      <c r="D6059" s="15" t="str">
        <f>IFERROR(__xludf.DUMMYFUNCTION("""COMPUTED_VALUE"""),"MEDELLÍN")</f>
        <v>MEDELLÍN</v>
      </c>
      <c r="E6059" s="15" t="str">
        <f>IFERROR(__xludf.DUMMYFUNCTION("""COMPUTED_VALUE"""),"Rambla")</f>
        <v>Rambla</v>
      </c>
      <c r="F6059" s="17" t="str">
        <f>IFERROR(__xludf.DUMMYFUNCTION("""COMPUTED_VALUE"""),"Calle 176#51-49 torre 1-1309. Conjunto Entreverde club / - / -")</f>
        <v>Calle 176#51-49 torre 1-1309. Conjunto Entreverde club / - / -</v>
      </c>
      <c r="G6059" s="15" t="str">
        <f>IFERROR(__xludf.DUMMYFUNCTION("""COMPUTED_VALUE"""),"Valeria muñoz alzate")</f>
        <v>Valeria muñoz alzate</v>
      </c>
      <c r="H6059" s="16">
        <f>IFERROR(__xludf.DUMMYFUNCTION("""COMPUTED_VALUE"""),14812.0)</f>
        <v>14812</v>
      </c>
      <c r="I6059" s="18">
        <f>IFERROR(__xludf.DUMMYFUNCTION("""COMPUTED_VALUE"""),12.0)</f>
        <v>12</v>
      </c>
      <c r="J6059" s="18">
        <f>IFERROR(__xludf.DUMMYFUNCTION("""COMPUTED_VALUE"""),12.0)</f>
        <v>12</v>
      </c>
      <c r="K6059" s="18">
        <f>IFERROR(__xludf.DUMMYFUNCTION("""COMPUTED_VALUE"""),12.0)</f>
        <v>12</v>
      </c>
      <c r="L6059" s="17">
        <f>IFERROR(__xludf.DUMMYFUNCTION("""COMPUTED_VALUE"""),3.163474859E9)</f>
        <v>3163474859</v>
      </c>
      <c r="M6059" s="17" t="str">
        <f>IFERROR(__xludf.DUMMYFUNCTION("""COMPUTED_VALUE"""),"#REF!")</f>
        <v>#REF!</v>
      </c>
      <c r="N6059" s="17"/>
      <c r="O6059" s="17"/>
      <c r="P6059" s="17" t="b">
        <f>IFERROR(__xludf.DUMMYFUNCTION("""COMPUTED_VALUE"""),FALSE)</f>
        <v>0</v>
      </c>
      <c r="Q6059" s="20" t="str">
        <f>IFERROR(__xludf.DUMMYFUNCTION("""COMPUTED_VALUE"""),"")</f>
        <v/>
      </c>
      <c r="R6059" s="21" t="str">
        <f>IFERROR(__xludf.DUMMYFUNCTION("""COMPUTED_VALUE"""),"https://drive.google.com/file/d/1Q4wUYiWO6Z9G03vt5leT-Fo5--dS71O0/view?usp=drivesdk")</f>
        <v>https://drive.google.com/file/d/1Q4wUYiWO6Z9G03vt5leT-Fo5--dS71O0/view?usp=drivesdk</v>
      </c>
    </row>
    <row r="6060">
      <c r="A6060" s="15">
        <f>IFERROR(__xludf.DUMMYFUNCTION("""COMPUTED_VALUE"""),45175.0)</f>
        <v>45175</v>
      </c>
      <c r="B6060" s="16" t="str">
        <f>IFERROR(__xludf.DUMMYFUNCTION("""COMPUTED_VALUE"""),"Envia")</f>
        <v>Envia</v>
      </c>
      <c r="C6060" s="15" t="str">
        <f>IFERROR(__xludf.DUMMYFUNCTION("""COMPUTED_VALUE"""),"BOGOTÁ")</f>
        <v>BOGOTÁ</v>
      </c>
      <c r="D6060" s="15" t="str">
        <f>IFERROR(__xludf.DUMMYFUNCTION("""COMPUTED_VALUE"""),"MEDELLÍN")</f>
        <v>MEDELLÍN</v>
      </c>
      <c r="E6060" s="15" t="str">
        <f>IFERROR(__xludf.DUMMYFUNCTION("""COMPUTED_VALUE"""),"Rambla")</f>
        <v>Rambla</v>
      </c>
      <c r="F6060" s="17" t="str">
        <f>IFERROR(__xludf.DUMMYFUNCTION("""COMPUTED_VALUE"""),"Carrera 7b Bis # 126-59 apt 502  Bogota Barrio SantaBarbara / - / -")</f>
        <v>Carrera 7b Bis # 126-59 apt 502  Bogota Barrio SantaBarbara / - / -</v>
      </c>
      <c r="G6060" s="15" t="str">
        <f>IFERROR(__xludf.DUMMYFUNCTION("""COMPUTED_VALUE"""),"Ximena Obregon")</f>
        <v>Ximena Obregon</v>
      </c>
      <c r="H6060" s="16">
        <f>IFERROR(__xludf.DUMMYFUNCTION("""COMPUTED_VALUE"""),14811.0)</f>
        <v>14811</v>
      </c>
      <c r="I6060" s="18">
        <f>IFERROR(__xludf.DUMMYFUNCTION("""COMPUTED_VALUE"""),14.0)</f>
        <v>14</v>
      </c>
      <c r="J6060" s="18">
        <f>IFERROR(__xludf.DUMMYFUNCTION("""COMPUTED_VALUE"""),14.0)</f>
        <v>14</v>
      </c>
      <c r="K6060" s="18">
        <f>IFERROR(__xludf.DUMMYFUNCTION("""COMPUTED_VALUE"""),20.0)</f>
        <v>20</v>
      </c>
      <c r="L6060" s="17">
        <f>IFERROR(__xludf.DUMMYFUNCTION("""COMPUTED_VALUE"""),3.108691406E9)</f>
        <v>3108691406</v>
      </c>
      <c r="M6060" s="17" t="str">
        <f>IFERROR(__xludf.DUMMYFUNCTION("""COMPUTED_VALUE"""),"#REF!")</f>
        <v>#REF!</v>
      </c>
      <c r="N6060" s="17"/>
      <c r="O6060" s="17"/>
      <c r="P6060" s="17" t="b">
        <f>IFERROR(__xludf.DUMMYFUNCTION("""COMPUTED_VALUE"""),FALSE)</f>
        <v>0</v>
      </c>
      <c r="Q6060" s="20" t="str">
        <f>IFERROR(__xludf.DUMMYFUNCTION("""COMPUTED_VALUE"""),"")</f>
        <v/>
      </c>
      <c r="R6060" s="21" t="str">
        <f>IFERROR(__xludf.DUMMYFUNCTION("""COMPUTED_VALUE"""),"https://drive.google.com/file/d/1kY7Ow2R4Mwm_pJnSJKzrAxg3tk8TZDtk/view?usp=drivesdk")</f>
        <v>https://drive.google.com/file/d/1kY7Ow2R4Mwm_pJnSJKzrAxg3tk8TZDtk/view?usp=drivesdk</v>
      </c>
    </row>
    <row r="6061">
      <c r="A6061" s="15">
        <f>IFERROR(__xludf.DUMMYFUNCTION("""COMPUTED_VALUE"""),45175.0)</f>
        <v>45175</v>
      </c>
      <c r="B6061" s="16" t="str">
        <f>IFERROR(__xludf.DUMMYFUNCTION("""COMPUTED_VALUE"""),"Envia")</f>
        <v>Envia</v>
      </c>
      <c r="C6061" s="15" t="str">
        <f>IFERROR(__xludf.DUMMYFUNCTION("""COMPUTED_VALUE"""),"CALI")</f>
        <v>CALI</v>
      </c>
      <c r="D6061" s="15" t="str">
        <f>IFERROR(__xludf.DUMMYFUNCTION("""COMPUTED_VALUE"""),"MEDELLÍN")</f>
        <v>MEDELLÍN</v>
      </c>
      <c r="E6061" s="15" t="str">
        <f>IFERROR(__xludf.DUMMYFUNCTION("""COMPUTED_VALUE"""),"Baby Chef")</f>
        <v>Baby Chef</v>
      </c>
      <c r="F6061" s="17" t="str">
        <f>IFERROR(__xludf.DUMMYFUNCTION("""COMPUTED_VALUE"""),"Calle 13A # 66B - 60 Torre E apto 201 unidad Torres de la Fontana Cali Barrio la Hacienda / Calle 13A # 66B - 60 Torre E apto 201 unidad Torres de la Fontana Cali Barrio la Hacienda / Calle 13A # 66B - 60 Torre E apto 201 unidad Torres de la Fontana Cali "&amp;"Barrio la Hacienda")</f>
        <v>Calle 13A # 66B - 60 Torre E apto 201 unidad Torres de la Fontana Cali Barrio la Hacienda / Calle 13A # 66B - 60 Torre E apto 201 unidad Torres de la Fontana Cali Barrio la Hacienda / Calle 13A # 66B - 60 Torre E apto 201 unidad Torres de la Fontana Cali Barrio la Hacienda</v>
      </c>
      <c r="G6061" s="15" t="str">
        <f>IFERROR(__xludf.DUMMYFUNCTION("""COMPUTED_VALUE"""),"Maria Catalina Vargas")</f>
        <v>Maria Catalina Vargas</v>
      </c>
      <c r="H6061" s="16">
        <f>IFERROR(__xludf.DUMMYFUNCTION("""COMPUTED_VALUE"""),14795.0)</f>
        <v>14795</v>
      </c>
      <c r="I6061" s="18">
        <f>IFERROR(__xludf.DUMMYFUNCTION("""COMPUTED_VALUE"""),7.0)</f>
        <v>7</v>
      </c>
      <c r="J6061" s="18">
        <f>IFERROR(__xludf.DUMMYFUNCTION("""COMPUTED_VALUE"""),21.0)</f>
        <v>21</v>
      </c>
      <c r="K6061" s="18">
        <f>IFERROR(__xludf.DUMMYFUNCTION("""COMPUTED_VALUE"""),25.0)</f>
        <v>25</v>
      </c>
      <c r="L6061" s="17">
        <f>IFERROR(__xludf.DUMMYFUNCTION("""COMPUTED_VALUE"""),3.183917222E9)</f>
        <v>3183917222</v>
      </c>
      <c r="M6061" s="17" t="str">
        <f>IFERROR(__xludf.DUMMYFUNCTION("""COMPUTED_VALUE"""),"#REF!")</f>
        <v>#REF!</v>
      </c>
      <c r="N6061" s="17"/>
      <c r="O6061" s="17"/>
      <c r="P6061" s="17" t="b">
        <f>IFERROR(__xludf.DUMMYFUNCTION("""COMPUTED_VALUE"""),FALSE)</f>
        <v>0</v>
      </c>
      <c r="Q6061" s="20" t="str">
        <f>IFERROR(__xludf.DUMMYFUNCTION("""COMPUTED_VALUE"""),"")</f>
        <v/>
      </c>
      <c r="R6061" s="21" t="str">
        <f>IFERROR(__xludf.DUMMYFUNCTION("""COMPUTED_VALUE"""),"https://drive.google.com/file/d/1RMy40BfdlM6zrzEHkGRSoR22g8kwZQvx/view?usp=drivesdk")</f>
        <v>https://drive.google.com/file/d/1RMy40BfdlM6zrzEHkGRSoR22g8kwZQvx/view?usp=drivesdk</v>
      </c>
    </row>
    <row r="6062">
      <c r="A6062" s="15">
        <f>IFERROR(__xludf.DUMMYFUNCTION("""COMPUTED_VALUE"""),45175.0)</f>
        <v>45175</v>
      </c>
      <c r="B6062" s="16" t="str">
        <f>IFERROR(__xludf.DUMMYFUNCTION("""COMPUTED_VALUE"""),"Envia")</f>
        <v>Envia</v>
      </c>
      <c r="C6062" s="15" t="str">
        <f>IFERROR(__xludf.DUMMYFUNCTION("""COMPUTED_VALUE"""),"CALI")</f>
        <v>CALI</v>
      </c>
      <c r="D6062" s="15" t="str">
        <f>IFERROR(__xludf.DUMMYFUNCTION("""COMPUTED_VALUE"""),"MEDELLÍN")</f>
        <v>MEDELLÍN</v>
      </c>
      <c r="E6062" s="15" t="str">
        <f>IFERROR(__xludf.DUMMYFUNCTION("""COMPUTED_VALUE"""),"JD Bufala")</f>
        <v>JD Bufala</v>
      </c>
      <c r="F6062" s="17" t="str">
        <f>IFERROR(__xludf.DUMMYFUNCTION("""COMPUTED_VALUE"""),"Calle 51norte#4bn72 / Delhuertopizzeria  / La flora")</f>
        <v>Calle 51norte#4bn72 / Delhuertopizzeria  / La flora</v>
      </c>
      <c r="G6062" s="15" t="str">
        <f>IFERROR(__xludf.DUMMYFUNCTION("""COMPUTED_VALUE"""),"Jaiver Rodríguez")</f>
        <v>Jaiver Rodríguez</v>
      </c>
      <c r="H6062" s="16">
        <f>IFERROR(__xludf.DUMMYFUNCTION("""COMPUTED_VALUE"""),14780.0)</f>
        <v>14780</v>
      </c>
      <c r="I6062" s="18" t="str">
        <f>IFERROR(__xludf.DUMMYFUNCTION("""COMPUTED_VALUE"""),"102.5")</f>
        <v>102.5</v>
      </c>
      <c r="J6062" s="18">
        <f>IFERROR(__xludf.DUMMYFUNCTION("""COMPUTED_VALUE"""),28.0)</f>
        <v>28</v>
      </c>
      <c r="K6062" s="18">
        <f>IFERROR(__xludf.DUMMYFUNCTION("""COMPUTED_VALUE"""),40.0)</f>
        <v>40</v>
      </c>
      <c r="L6062" s="17">
        <f>IFERROR(__xludf.DUMMYFUNCTION("""COMPUTED_VALUE"""),3.104919761E9)</f>
        <v>3104919761</v>
      </c>
      <c r="M6062" s="17" t="str">
        <f>IFERROR(__xludf.DUMMYFUNCTION("""COMPUTED_VALUE"""),"#REF!")</f>
        <v>#REF!</v>
      </c>
      <c r="N6062" s="17"/>
      <c r="O6062" s="17"/>
      <c r="P6062" s="17" t="b">
        <f>IFERROR(__xludf.DUMMYFUNCTION("""COMPUTED_VALUE"""),FALSE)</f>
        <v>0</v>
      </c>
      <c r="Q6062" s="20" t="str">
        <f>IFERROR(__xludf.DUMMYFUNCTION("""COMPUTED_VALUE"""),"")</f>
        <v/>
      </c>
      <c r="R6062" s="22" t="str">
        <f>IFERROR(__xludf.DUMMYFUNCTION("""COMPUTED_VALUE"""),"")</f>
        <v/>
      </c>
    </row>
    <row r="6063">
      <c r="A6063" s="15">
        <f>IFERROR(__xludf.DUMMYFUNCTION("""COMPUTED_VALUE"""),45175.0)</f>
        <v>45175</v>
      </c>
      <c r="B6063" s="16" t="str">
        <f>IFERROR(__xludf.DUMMYFUNCTION("""COMPUTED_VALUE"""),"Envia")</f>
        <v>Envia</v>
      </c>
      <c r="C6063" s="15" t="str">
        <f>IFERROR(__xludf.DUMMYFUNCTION("""COMPUTED_VALUE"""),"CALI")</f>
        <v>CALI</v>
      </c>
      <c r="D6063" s="15" t="str">
        <f>IFERROR(__xludf.DUMMYFUNCTION("""COMPUTED_VALUE"""),"MEDELLÍN")</f>
        <v>MEDELLÍN</v>
      </c>
      <c r="E6063" s="15" t="str">
        <f>IFERROR(__xludf.DUMMYFUNCTION("""COMPUTED_VALUE"""),"Terravocado")</f>
        <v>Terravocado</v>
      </c>
      <c r="F6063" s="17" t="str">
        <f>IFERROR(__xludf.DUMMYFUNCTION("""COMPUTED_VALUE"""),"CLL 34 N # 2 BN 33 / COCINA 1ENTRE LA 14 DE LA SEXTA Y EL DEPORTIVO CALI  / SAN VICENTE")</f>
        <v>CLL 34 N # 2 BN 33 / COCINA 1ENTRE LA 14 DE LA SEXTA Y EL DEPORTIVO CALI  / SAN VICENTE</v>
      </c>
      <c r="G6063" s="15" t="str">
        <f>IFERROR(__xludf.DUMMYFUNCTION("""COMPUTED_VALUE"""),"CONTINENTAL KITCHENS")</f>
        <v>CONTINENTAL KITCHENS</v>
      </c>
      <c r="H6063" s="16">
        <f>IFERROR(__xludf.DUMMYFUNCTION("""COMPUTED_VALUE"""),14713.0)</f>
        <v>14713</v>
      </c>
      <c r="I6063" s="18">
        <f>IFERROR(__xludf.DUMMYFUNCTION("""COMPUTED_VALUE"""),20.0)</f>
        <v>20</v>
      </c>
      <c r="J6063" s="18">
        <f>IFERROR(__xludf.DUMMYFUNCTION("""COMPUTED_VALUE"""),24.0)</f>
        <v>24</v>
      </c>
      <c r="K6063" s="18">
        <f>IFERROR(__xludf.DUMMYFUNCTION("""COMPUTED_VALUE"""),34.0)</f>
        <v>34</v>
      </c>
      <c r="L6063" s="17">
        <f>IFERROR(__xludf.DUMMYFUNCTION("""COMPUTED_VALUE"""),3.112634547E9)</f>
        <v>3112634547</v>
      </c>
      <c r="M6063" s="17" t="str">
        <f>IFERROR(__xludf.DUMMYFUNCTION("""COMPUTED_VALUE"""),"#REF!")</f>
        <v>#REF!</v>
      </c>
      <c r="N6063" s="17"/>
      <c r="O6063" s="17"/>
      <c r="P6063" s="17" t="b">
        <f>IFERROR(__xludf.DUMMYFUNCTION("""COMPUTED_VALUE"""),FALSE)</f>
        <v>0</v>
      </c>
      <c r="Q6063" s="20" t="str">
        <f>IFERROR(__xludf.DUMMYFUNCTION("""COMPUTED_VALUE"""),"")</f>
        <v/>
      </c>
      <c r="R6063" s="21" t="str">
        <f>IFERROR(__xludf.DUMMYFUNCTION("""COMPUTED_VALUE"""),"https://drive.google.com/file/d/1mGNmLaXTP-Diu7dF9R5LP-3-IWSxWEw8/view?usp=drivesdk")</f>
        <v>https://drive.google.com/file/d/1mGNmLaXTP-Diu7dF9R5LP-3-IWSxWEw8/view?usp=drivesdk</v>
      </c>
    </row>
    <row r="6064">
      <c r="A6064" s="17" t="str">
        <f>IFERROR(__xludf.DUMMYFUNCTION("""COMPUTED_VALUE"""),"")</f>
        <v/>
      </c>
      <c r="B6064" s="17" t="str">
        <f>IFERROR(__xludf.DUMMYFUNCTION("""COMPUTED_VALUE"""),"")</f>
        <v/>
      </c>
      <c r="C6064" s="17" t="str">
        <f>IFERROR(__xludf.DUMMYFUNCTION("""COMPUTED_VALUE"""),"")</f>
        <v/>
      </c>
      <c r="D6064" s="17" t="str">
        <f>IFERROR(__xludf.DUMMYFUNCTION("""COMPUTED_VALUE"""),"")</f>
        <v/>
      </c>
      <c r="E6064" s="17" t="str">
        <f>IFERROR(__xludf.DUMMYFUNCTION("""COMPUTED_VALUE"""),"")</f>
        <v/>
      </c>
      <c r="F6064" s="17" t="str">
        <f>IFERROR(__xludf.DUMMYFUNCTION("""COMPUTED_VALUE"""),"")</f>
        <v/>
      </c>
      <c r="G6064" s="17" t="str">
        <f>IFERROR(__xludf.DUMMYFUNCTION("""COMPUTED_VALUE"""),"")</f>
        <v/>
      </c>
      <c r="H6064" s="17" t="str">
        <f>IFERROR(__xludf.DUMMYFUNCTION("""COMPUTED_VALUE"""),"")</f>
        <v/>
      </c>
      <c r="I6064" s="17" t="str">
        <f>IFERROR(__xludf.DUMMYFUNCTION("""COMPUTED_VALUE"""),"")</f>
        <v/>
      </c>
      <c r="J6064" s="17" t="str">
        <f>IFERROR(__xludf.DUMMYFUNCTION("""COMPUTED_VALUE"""),"")</f>
        <v/>
      </c>
      <c r="K6064" s="17" t="str">
        <f>IFERROR(__xludf.DUMMYFUNCTION("""COMPUTED_VALUE"""),"")</f>
        <v/>
      </c>
      <c r="L6064" s="17" t="str">
        <f>IFERROR(__xludf.DUMMYFUNCTION("""COMPUTED_VALUE"""),"")</f>
        <v/>
      </c>
      <c r="M6064" s="17" t="str">
        <f>IFERROR(__xludf.DUMMYFUNCTION("""COMPUTED_VALUE"""),"")</f>
        <v/>
      </c>
      <c r="N6064" s="17" t="str">
        <f>IFERROR(__xludf.DUMMYFUNCTION("""COMPUTED_VALUE"""),"")</f>
        <v/>
      </c>
      <c r="O6064" s="17" t="str">
        <f>IFERROR(__xludf.DUMMYFUNCTION("""COMPUTED_VALUE"""),"")</f>
        <v/>
      </c>
      <c r="P6064" s="17" t="str">
        <f>IFERROR(__xludf.DUMMYFUNCTION("""COMPUTED_VALUE"""),"")</f>
        <v/>
      </c>
      <c r="Q6064" s="17" t="str">
        <f>IFERROR(__xludf.DUMMYFUNCTION("""COMPUTED_VALUE"""),"")</f>
        <v/>
      </c>
      <c r="R6064" s="17" t="str">
        <f>IFERROR(__xludf.DUMMYFUNCTION("""COMPUTED_VALUE"""),"")</f>
        <v/>
      </c>
    </row>
    <row r="6065">
      <c r="A6065" s="15">
        <f>IFERROR(__xludf.DUMMYFUNCTION("""COMPUTED_VALUE"""),45175.0)</f>
        <v>45175</v>
      </c>
      <c r="B6065" s="16" t="str">
        <f>IFERROR(__xludf.DUMMYFUNCTION("""COMPUTED_VALUE"""),"Jeison Rubiano")</f>
        <v>Jeison Rubiano</v>
      </c>
      <c r="C6065" s="15" t="str">
        <f>IFERROR(__xludf.DUMMYFUNCTION("""COMPUTED_VALUE"""),"BOGOTÁ")</f>
        <v>BOGOTÁ</v>
      </c>
      <c r="D6065" s="15" t="str">
        <f>IFERROR(__xludf.DUMMYFUNCTION("""COMPUTED_VALUE"""),"BUCARAMANGA")</f>
        <v>BUCARAMANGA</v>
      </c>
      <c r="E6065" s="15" t="str">
        <f>IFERROR(__xludf.DUMMYFUNCTION("""COMPUTED_VALUE"""),"Yo Como Solito")</f>
        <v>Yo Como Solito</v>
      </c>
      <c r="F6065" s="17" t="str">
        <f>IFERROR(__xludf.DUMMYFUNCTION("""COMPUTED_VALUE"""),"CALLE 67B SUR #13-60 TORRE 4 APARTAMENTO 402 CONJUNTO RESIDENCIAL ALTAVISTA DEL PORTAL DE USME  / CALLE 67B SUR #13-60 TORRE 4 APARTAMENTO 402 CONJUNTO RESIDENCIAL ALTAVISTA DEL PORTAL DE USME  / CALLE 67B SUR #13-60 TORRE 4 APARTAMENTO 402 CONJUNTO RESID"&amp;"ENCIAL ALTAVISTA DEL PORTAL DE USME")</f>
        <v>CALLE 67B SUR #13-60 TORRE 4 APARTAMENTO 402 CONJUNTO RESIDENCIAL ALTAVISTA DEL PORTAL DE USME  / CALLE 67B SUR #13-60 TORRE 4 APARTAMENTO 402 CONJUNTO RESIDENCIAL ALTAVISTA DEL PORTAL DE USME  / CALLE 67B SUR #13-60 TORRE 4 APARTAMENTO 402 CONJUNTO RESIDENCIAL ALTAVISTA DEL PORTAL DE USME</v>
      </c>
      <c r="G6065" s="15" t="str">
        <f>IFERROR(__xludf.DUMMYFUNCTION("""COMPUTED_VALUE"""),"JOHANNA SERRANO")</f>
        <v>JOHANNA SERRANO</v>
      </c>
      <c r="H6065" s="16">
        <f>IFERROR(__xludf.DUMMYFUNCTION("""COMPUTED_VALUE"""),14711.0)</f>
        <v>14711</v>
      </c>
      <c r="I6065" s="18">
        <f>IFERROR(__xludf.DUMMYFUNCTION("""COMPUTED_VALUE"""),14.0)</f>
        <v>14</v>
      </c>
      <c r="J6065" s="18">
        <f>IFERROR(__xludf.DUMMYFUNCTION("""COMPUTED_VALUE"""),27.0)</f>
        <v>27</v>
      </c>
      <c r="K6065" s="18">
        <f>IFERROR(__xludf.DUMMYFUNCTION("""COMPUTED_VALUE"""),39.0)</f>
        <v>39</v>
      </c>
      <c r="L6065" s="17">
        <f>IFERROR(__xludf.DUMMYFUNCTION("""COMPUTED_VALUE"""),3.214195306E9)</f>
        <v>3214195306</v>
      </c>
      <c r="M6065" s="17" t="str">
        <f>IFERROR(__xludf.DUMMYFUNCTION("""COMPUTED_VALUE"""),"#REF!")</f>
        <v>#REF!</v>
      </c>
      <c r="N6065" s="17"/>
      <c r="O6065" s="17"/>
      <c r="P6065" s="17" t="b">
        <f>IFERROR(__xludf.DUMMYFUNCTION("""COMPUTED_VALUE"""),FALSE)</f>
        <v>0</v>
      </c>
      <c r="Q6065" s="20" t="str">
        <f>IFERROR(__xludf.DUMMYFUNCTION("""COMPUTED_VALUE"""),"")</f>
        <v/>
      </c>
      <c r="R6065" s="21" t="str">
        <f>IFERROR(__xludf.DUMMYFUNCTION("""COMPUTED_VALUE"""),"https://drive.google.com/file/d/1p60YKEhiCpnmLclTHhLyJhcseLsVKjym/view?usp=drivesdk")</f>
        <v>https://drive.google.com/file/d/1p60YKEhiCpnmLclTHhLyJhcseLsVKjym/view?usp=drivesdk</v>
      </c>
    </row>
    <row r="6066">
      <c r="A6066" s="15">
        <f>IFERROR(__xludf.DUMMYFUNCTION("""COMPUTED_VALUE"""),45175.0)</f>
        <v>45175</v>
      </c>
      <c r="B6066" s="16" t="str">
        <f>IFERROR(__xludf.DUMMYFUNCTION("""COMPUTED_VALUE"""),"Jeison Rubiano")</f>
        <v>Jeison Rubiano</v>
      </c>
      <c r="C6066" s="15" t="str">
        <f>IFERROR(__xludf.DUMMYFUNCTION("""COMPUTED_VALUE"""),"BOGOTÁ")</f>
        <v>BOGOTÁ</v>
      </c>
      <c r="D6066" s="15" t="str">
        <f>IFERROR(__xludf.DUMMYFUNCTION("""COMPUTED_VALUE"""),"MEDELLÍN")</f>
        <v>MEDELLÍN</v>
      </c>
      <c r="E6066" s="15" t="str">
        <f>IFERROR(__xludf.DUMMYFUNCTION("""COMPUTED_VALUE"""),"AREPAS LA MARY")</f>
        <v>AREPAS LA MARY</v>
      </c>
      <c r="F6066" s="17" t="str">
        <f>IFERROR(__xludf.DUMMYFUNCTION("""COMPUTED_VALUE"""),"CALLE 105 N.23 06 APTO 601 / CHICO BOGOTA")</f>
        <v>CALLE 105 N.23 06 APTO 601 / CHICO BOGOTA</v>
      </c>
      <c r="G6066" s="15" t="str">
        <f>IFERROR(__xludf.DUMMYFUNCTION("""COMPUTED_VALUE"""),"JOANNA HEANO")</f>
        <v>JOANNA HEANO</v>
      </c>
      <c r="H6066" s="16">
        <f>IFERROR(__xludf.DUMMYFUNCTION("""COMPUTED_VALUE"""),14804.0)</f>
        <v>14804</v>
      </c>
      <c r="I6066" s="18">
        <f>IFERROR(__xludf.DUMMYFUNCTION("""COMPUTED_VALUE"""),89.0)</f>
        <v>89</v>
      </c>
      <c r="J6066" s="18">
        <f>IFERROR(__xludf.DUMMYFUNCTION("""COMPUTED_VALUE"""),1.0)</f>
        <v>1</v>
      </c>
      <c r="K6066" s="18">
        <f>IFERROR(__xludf.DUMMYFUNCTION("""COMPUTED_VALUE"""),10.0)</f>
        <v>10</v>
      </c>
      <c r="L6066" s="17">
        <f>IFERROR(__xludf.DUMMYFUNCTION("""COMPUTED_VALUE"""),3.112286665E9)</f>
        <v>3112286665</v>
      </c>
      <c r="M6066" s="17" t="str">
        <f>IFERROR(__xludf.DUMMYFUNCTION("""COMPUTED_VALUE"""),"#REF!")</f>
        <v>#REF!</v>
      </c>
      <c r="N6066" s="17"/>
      <c r="O6066" s="17"/>
      <c r="P6066" s="17" t="b">
        <f>IFERROR(__xludf.DUMMYFUNCTION("""COMPUTED_VALUE"""),FALSE)</f>
        <v>0</v>
      </c>
      <c r="Q6066" s="20" t="str">
        <f>IFERROR(__xludf.DUMMYFUNCTION("""COMPUTED_VALUE"""),"")</f>
        <v/>
      </c>
      <c r="R6066" s="21" t="str">
        <f>IFERROR(__xludf.DUMMYFUNCTION("""COMPUTED_VALUE"""),"https://drive.google.com/file/d/18r-T_CWFh0mAH7urmEyE-Y_8Xb55BUdj/view?usp=drivesdk")</f>
        <v>https://drive.google.com/file/d/18r-T_CWFh0mAH7urmEyE-Y_8Xb55BUdj/view?usp=drivesdk</v>
      </c>
    </row>
    <row r="6067">
      <c r="A6067" s="15">
        <f>IFERROR(__xludf.DUMMYFUNCTION("""COMPUTED_VALUE"""),45175.0)</f>
        <v>45175</v>
      </c>
      <c r="B6067" s="16" t="str">
        <f>IFERROR(__xludf.DUMMYFUNCTION("""COMPUTED_VALUE"""),"Jeison Rubiano")</f>
        <v>Jeison Rubiano</v>
      </c>
      <c r="C6067" s="15" t="str">
        <f>IFERROR(__xludf.DUMMYFUNCTION("""COMPUTED_VALUE"""),"BOGOTÁ")</f>
        <v>BOGOTÁ</v>
      </c>
      <c r="D6067" s="15" t="str">
        <f>IFERROR(__xludf.DUMMYFUNCTION("""COMPUTED_VALUE"""),"MEDELLÍN")</f>
        <v>MEDELLÍN</v>
      </c>
      <c r="E6067" s="15" t="str">
        <f>IFERROR(__xludf.DUMMYFUNCTION("""COMPUTED_VALUE"""),"AREPAS LA MARY")</f>
        <v>AREPAS LA MARY</v>
      </c>
      <c r="F6067" s="17" t="str">
        <f>IFERROR(__xludf.DUMMYFUNCTION("""COMPUTED_VALUE"""),"calle 7A # 74-04 apto 502 int 12 / bogota")</f>
        <v>calle 7A # 74-04 apto 502 int 12 / bogota</v>
      </c>
      <c r="G6067" s="15" t="str">
        <f>IFERROR(__xludf.DUMMYFUNCTION("""COMPUTED_VALUE"""),"CARMEN BONILLA")</f>
        <v>CARMEN BONILLA</v>
      </c>
      <c r="H6067" s="16">
        <f>IFERROR(__xludf.DUMMYFUNCTION("""COMPUTED_VALUE"""),14697.0)</f>
        <v>14697</v>
      </c>
      <c r="I6067" s="18">
        <f>IFERROR(__xludf.DUMMYFUNCTION("""COMPUTED_VALUE"""),89.0)</f>
        <v>89</v>
      </c>
      <c r="J6067" s="18">
        <f>IFERROR(__xludf.DUMMYFUNCTION("""COMPUTED_VALUE"""),1.0)</f>
        <v>1</v>
      </c>
      <c r="K6067" s="18">
        <f>IFERROR(__xludf.DUMMYFUNCTION("""COMPUTED_VALUE"""),10.0)</f>
        <v>10</v>
      </c>
      <c r="L6067" s="17">
        <f>IFERROR(__xludf.DUMMYFUNCTION("""COMPUTED_VALUE"""),3.167475531E9)</f>
        <v>3167475531</v>
      </c>
      <c r="M6067" s="17" t="str">
        <f>IFERROR(__xludf.DUMMYFUNCTION("""COMPUTED_VALUE"""),"#REF!")</f>
        <v>#REF!</v>
      </c>
      <c r="N6067" s="17"/>
      <c r="O6067" s="17"/>
      <c r="P6067" s="17" t="b">
        <f>IFERROR(__xludf.DUMMYFUNCTION("""COMPUTED_VALUE"""),FALSE)</f>
        <v>0</v>
      </c>
      <c r="Q6067" s="20" t="str">
        <f>IFERROR(__xludf.DUMMYFUNCTION("""COMPUTED_VALUE"""),"")</f>
        <v/>
      </c>
      <c r="R6067" s="21" t="str">
        <f>IFERROR(__xludf.DUMMYFUNCTION("""COMPUTED_VALUE"""),"https://drive.google.com/file/d/1vDvsBpzcKV8TADITaEW8fRwq0JrACTMN/view?usp=drivesdk")</f>
        <v>https://drive.google.com/file/d/1vDvsBpzcKV8TADITaEW8fRwq0JrACTMN/view?usp=drivesdk</v>
      </c>
    </row>
    <row r="6068">
      <c r="A6068" s="15">
        <f>IFERROR(__xludf.DUMMYFUNCTION("""COMPUTED_VALUE"""),45175.0)</f>
        <v>45175</v>
      </c>
      <c r="B6068" s="16" t="str">
        <f>IFERROR(__xludf.DUMMYFUNCTION("""COMPUTED_VALUE"""),"Jeison Rubiano")</f>
        <v>Jeison Rubiano</v>
      </c>
      <c r="C6068" s="15" t="str">
        <f>IFERROR(__xludf.DUMMYFUNCTION("""COMPUTED_VALUE"""),"BOGOTÁ")</f>
        <v>BOGOTÁ</v>
      </c>
      <c r="D6068" s="15" t="str">
        <f>IFERROR(__xludf.DUMMYFUNCTION("""COMPUTED_VALUE"""),"MEDELLÍN")</f>
        <v>MEDELLÍN</v>
      </c>
      <c r="E6068" s="15" t="str">
        <f>IFERROR(__xludf.DUMMYFUNCTION("""COMPUTED_VALUE"""),"AREPAS LA MARY")</f>
        <v>AREPAS LA MARY</v>
      </c>
      <c r="F6068" s="17" t="str">
        <f>IFERROR(__xludf.DUMMYFUNCTION("""COMPUTED_VALUE"""),"CRA 10 N.134A 20 APTO 104 / CEDRITOS BOGOTA")</f>
        <v>CRA 10 N.134A 20 APTO 104 / CEDRITOS BOGOTA</v>
      </c>
      <c r="G6068" s="15" t="str">
        <f>IFERROR(__xludf.DUMMYFUNCTION("""COMPUTED_VALUE"""),"ALEXANDRA ALBINO")</f>
        <v>ALEXANDRA ALBINO</v>
      </c>
      <c r="H6068" s="16">
        <f>IFERROR(__xludf.DUMMYFUNCTION("""COMPUTED_VALUE"""),14805.0)</f>
        <v>14805</v>
      </c>
      <c r="I6068" s="18">
        <f>IFERROR(__xludf.DUMMYFUNCTION("""COMPUTED_VALUE"""),89.0)</f>
        <v>89</v>
      </c>
      <c r="J6068" s="18">
        <f>IFERROR(__xludf.DUMMYFUNCTION("""COMPUTED_VALUE"""),1.0)</f>
        <v>1</v>
      </c>
      <c r="K6068" s="18">
        <f>IFERROR(__xludf.DUMMYFUNCTION("""COMPUTED_VALUE"""),10.0)</f>
        <v>10</v>
      </c>
      <c r="L6068" s="17">
        <f>IFERROR(__xludf.DUMMYFUNCTION("""COMPUTED_VALUE"""),3.154727078E9)</f>
        <v>3154727078</v>
      </c>
      <c r="M6068" s="17" t="str">
        <f>IFERROR(__xludf.DUMMYFUNCTION("""COMPUTED_VALUE"""),"#REF!")</f>
        <v>#REF!</v>
      </c>
      <c r="N6068" s="17"/>
      <c r="O6068" s="17"/>
      <c r="P6068" s="17" t="b">
        <f>IFERROR(__xludf.DUMMYFUNCTION("""COMPUTED_VALUE"""),FALSE)</f>
        <v>0</v>
      </c>
      <c r="Q6068" s="20" t="str">
        <f>IFERROR(__xludf.DUMMYFUNCTION("""COMPUTED_VALUE"""),"")</f>
        <v/>
      </c>
      <c r="R6068" s="21" t="str">
        <f>IFERROR(__xludf.DUMMYFUNCTION("""COMPUTED_VALUE"""),"https://drive.google.com/file/d/1eqrAeZTtW7JJ5klDY9ARjGPwoXVXLRlh/view?usp=drivesdk")</f>
        <v>https://drive.google.com/file/d/1eqrAeZTtW7JJ5klDY9ARjGPwoXVXLRlh/view?usp=drivesdk</v>
      </c>
    </row>
    <row r="6069">
      <c r="A6069" s="15">
        <f>IFERROR(__xludf.DUMMYFUNCTION("""COMPUTED_VALUE"""),45175.0)</f>
        <v>45175</v>
      </c>
      <c r="B6069" s="16" t="str">
        <f>IFERROR(__xludf.DUMMYFUNCTION("""COMPUTED_VALUE"""),"Jeison Rubiano")</f>
        <v>Jeison Rubiano</v>
      </c>
      <c r="C6069" s="15" t="str">
        <f>IFERROR(__xludf.DUMMYFUNCTION("""COMPUTED_VALUE"""),"BOGOTÁ")</f>
        <v>BOGOTÁ</v>
      </c>
      <c r="D6069" s="15" t="str">
        <f>IFERROR(__xludf.DUMMYFUNCTION("""COMPUTED_VALUE"""),"MEDELLÍN")</f>
        <v>MEDELLÍN</v>
      </c>
      <c r="E6069" s="15" t="str">
        <f>IFERROR(__xludf.DUMMYFUNCTION("""COMPUTED_VALUE"""),"AREPAS LA MARY")</f>
        <v>AREPAS LA MARY</v>
      </c>
      <c r="F6069" s="17" t="str">
        <f>IFERROR(__xludf.DUMMYFUNCTION("""COMPUTED_VALUE"""),"CRA 13A 28 21 TORRE ALTA 3704 / CENTRO INTERNACIONAL BOGOTA")</f>
        <v>CRA 13A 28 21 TORRE ALTA 3704 / CENTRO INTERNACIONAL BOGOTA</v>
      </c>
      <c r="G6069" s="15" t="str">
        <f>IFERROR(__xludf.DUMMYFUNCTION("""COMPUTED_VALUE"""),"ADRIANA MILENA SANCHEZ")</f>
        <v>ADRIANA MILENA SANCHEZ</v>
      </c>
      <c r="H6069" s="16">
        <f>IFERROR(__xludf.DUMMYFUNCTION("""COMPUTED_VALUE"""),14699.0)</f>
        <v>14699</v>
      </c>
      <c r="I6069" s="18">
        <f>IFERROR(__xludf.DUMMYFUNCTION("""COMPUTED_VALUE"""),89.0)</f>
        <v>89</v>
      </c>
      <c r="J6069" s="18">
        <f>IFERROR(__xludf.DUMMYFUNCTION("""COMPUTED_VALUE"""),1.0)</f>
        <v>1</v>
      </c>
      <c r="K6069" s="18">
        <f>IFERROR(__xludf.DUMMYFUNCTION("""COMPUTED_VALUE"""),10.0)</f>
        <v>10</v>
      </c>
      <c r="L6069" s="17">
        <f>IFERROR(__xludf.DUMMYFUNCTION("""COMPUTED_VALUE"""),3.134379813E9)</f>
        <v>3134379813</v>
      </c>
      <c r="M6069" s="17" t="str">
        <f>IFERROR(__xludf.DUMMYFUNCTION("""COMPUTED_VALUE"""),"#REF!")</f>
        <v>#REF!</v>
      </c>
      <c r="N6069" s="17"/>
      <c r="O6069" s="17"/>
      <c r="P6069" s="17" t="b">
        <f>IFERROR(__xludf.DUMMYFUNCTION("""COMPUTED_VALUE"""),FALSE)</f>
        <v>0</v>
      </c>
      <c r="Q6069" s="20" t="str">
        <f>IFERROR(__xludf.DUMMYFUNCTION("""COMPUTED_VALUE"""),"")</f>
        <v/>
      </c>
      <c r="R6069" s="21" t="str">
        <f>IFERROR(__xludf.DUMMYFUNCTION("""COMPUTED_VALUE"""),"https://drive.google.com/file/d/1TXfUZW4zpWLK0fWDvWeN6Ij3JPjGOzp1/view?usp=drivesdk")</f>
        <v>https://drive.google.com/file/d/1TXfUZW4zpWLK0fWDvWeN6Ij3JPjGOzp1/view?usp=drivesdk</v>
      </c>
    </row>
    <row r="6070">
      <c r="A6070" s="15">
        <f>IFERROR(__xludf.DUMMYFUNCTION("""COMPUTED_VALUE"""),45175.0)</f>
        <v>45175</v>
      </c>
      <c r="B6070" s="16" t="str">
        <f>IFERROR(__xludf.DUMMYFUNCTION("""COMPUTED_VALUE"""),"Jeison Rubiano")</f>
        <v>Jeison Rubiano</v>
      </c>
      <c r="C6070" s="15" t="str">
        <f>IFERROR(__xludf.DUMMYFUNCTION("""COMPUTED_VALUE"""),"BOGOTÁ")</f>
        <v>BOGOTÁ</v>
      </c>
      <c r="D6070" s="15" t="str">
        <f>IFERROR(__xludf.DUMMYFUNCTION("""COMPUTED_VALUE"""),"MEDELLÍN")</f>
        <v>MEDELLÍN</v>
      </c>
      <c r="E6070" s="15" t="str">
        <f>IFERROR(__xludf.DUMMYFUNCTION("""COMPUTED_VALUE"""),"AREPAS LA MARY")</f>
        <v>AREPAS LA MARY</v>
      </c>
      <c r="F6070" s="17" t="str">
        <f>IFERROR(__xludf.DUMMYFUNCTION("""COMPUTED_VALUE"""),"CRA 62 N.64 10 / J VARGAS BOGOTA")</f>
        <v>CRA 62 N.64 10 / J VARGAS BOGOTA</v>
      </c>
      <c r="G6070" s="15" t="str">
        <f>IFERROR(__xludf.DUMMYFUNCTION("""COMPUTED_VALUE"""),"STEPHANY ECHAVARRIA")</f>
        <v>STEPHANY ECHAVARRIA</v>
      </c>
      <c r="H6070" s="16">
        <f>IFERROR(__xludf.DUMMYFUNCTION("""COMPUTED_VALUE"""),14698.0)</f>
        <v>14698</v>
      </c>
      <c r="I6070" s="18">
        <f>IFERROR(__xludf.DUMMYFUNCTION("""COMPUTED_VALUE"""),89.0)</f>
        <v>89</v>
      </c>
      <c r="J6070" s="18">
        <f>IFERROR(__xludf.DUMMYFUNCTION("""COMPUTED_VALUE"""),1.0)</f>
        <v>1</v>
      </c>
      <c r="K6070" s="18">
        <f>IFERROR(__xludf.DUMMYFUNCTION("""COMPUTED_VALUE"""),10.0)</f>
        <v>10</v>
      </c>
      <c r="L6070" s="17">
        <f>IFERROR(__xludf.DUMMYFUNCTION("""COMPUTED_VALUE"""),3.159260712E9)</f>
        <v>3159260712</v>
      </c>
      <c r="M6070" s="17" t="str">
        <f>IFERROR(__xludf.DUMMYFUNCTION("""COMPUTED_VALUE"""),"#REF!")</f>
        <v>#REF!</v>
      </c>
      <c r="N6070" s="17"/>
      <c r="O6070" s="17"/>
      <c r="P6070" s="17" t="b">
        <f>IFERROR(__xludf.DUMMYFUNCTION("""COMPUTED_VALUE"""),FALSE)</f>
        <v>0</v>
      </c>
      <c r="Q6070" s="20" t="str">
        <f>IFERROR(__xludf.DUMMYFUNCTION("""COMPUTED_VALUE"""),"")</f>
        <v/>
      </c>
      <c r="R6070" s="21" t="str">
        <f>IFERROR(__xludf.DUMMYFUNCTION("""COMPUTED_VALUE"""),"https://drive.google.com/file/d/1vzocvVw97e49hFwYkEm0V-nAuv-bJG7n/view?usp=drivesdk")</f>
        <v>https://drive.google.com/file/d/1vzocvVw97e49hFwYkEm0V-nAuv-bJG7n/view?usp=drivesdk</v>
      </c>
    </row>
    <row r="6071">
      <c r="A6071" s="15">
        <f>IFERROR(__xludf.DUMMYFUNCTION("""COMPUTED_VALUE"""),45175.0)</f>
        <v>45175</v>
      </c>
      <c r="B6071" s="16" t="str">
        <f>IFERROR(__xludf.DUMMYFUNCTION("""COMPUTED_VALUE"""),"Jeison Rubiano")</f>
        <v>Jeison Rubiano</v>
      </c>
      <c r="C6071" s="15" t="str">
        <f>IFERROR(__xludf.DUMMYFUNCTION("""COMPUTED_VALUE"""),"BOGOTÁ")</f>
        <v>BOGOTÁ</v>
      </c>
      <c r="D6071" s="15" t="str">
        <f>IFERROR(__xludf.DUMMYFUNCTION("""COMPUTED_VALUE"""),"MEDELLÍN")</f>
        <v>MEDELLÍN</v>
      </c>
      <c r="E6071" s="15" t="str">
        <f>IFERROR(__xludf.DUMMYFUNCTION("""COMPUTED_VALUE"""),"AREPAS LA MARY")</f>
        <v>AREPAS LA MARY</v>
      </c>
      <c r="F6071" s="17" t="str">
        <f>IFERROR(__xludf.DUMMYFUNCTION("""COMPUTED_VALUE"""),"Cra 8 no 85-24 apto 101 / CABRERA BOGOTA")</f>
        <v>Cra 8 no 85-24 apto 101 / CABRERA BOGOTA</v>
      </c>
      <c r="G6071" s="15" t="str">
        <f>IFERROR(__xludf.DUMMYFUNCTION("""COMPUTED_VALUE"""),"NATHALIE BURNSIDE")</f>
        <v>NATHALIE BURNSIDE</v>
      </c>
      <c r="H6071" s="16">
        <f>IFERROR(__xludf.DUMMYFUNCTION("""COMPUTED_VALUE"""),14694.0)</f>
        <v>14694</v>
      </c>
      <c r="I6071" s="18">
        <f>IFERROR(__xludf.DUMMYFUNCTION("""COMPUTED_VALUE"""),89.0)</f>
        <v>89</v>
      </c>
      <c r="J6071" s="18">
        <f>IFERROR(__xludf.DUMMYFUNCTION("""COMPUTED_VALUE"""),1.0)</f>
        <v>1</v>
      </c>
      <c r="K6071" s="18">
        <f>IFERROR(__xludf.DUMMYFUNCTION("""COMPUTED_VALUE"""),10.0)</f>
        <v>10</v>
      </c>
      <c r="L6071" s="17">
        <f>IFERROR(__xludf.DUMMYFUNCTION("""COMPUTED_VALUE"""),3.214683584E9)</f>
        <v>3214683584</v>
      </c>
      <c r="M6071" s="17" t="str">
        <f>IFERROR(__xludf.DUMMYFUNCTION("""COMPUTED_VALUE"""),"#REF!")</f>
        <v>#REF!</v>
      </c>
      <c r="N6071" s="17"/>
      <c r="O6071" s="17"/>
      <c r="P6071" s="17" t="b">
        <f>IFERROR(__xludf.DUMMYFUNCTION("""COMPUTED_VALUE"""),FALSE)</f>
        <v>0</v>
      </c>
      <c r="Q6071" s="20" t="str">
        <f>IFERROR(__xludf.DUMMYFUNCTION("""COMPUTED_VALUE"""),"")</f>
        <v/>
      </c>
      <c r="R6071" s="21" t="str">
        <f>IFERROR(__xludf.DUMMYFUNCTION("""COMPUTED_VALUE"""),"https://drive.google.com/file/d/1pkdwxBxXQ1KFU6lePu0fm0FMvGTEr_6q/view?usp=drivesdk")</f>
        <v>https://drive.google.com/file/d/1pkdwxBxXQ1KFU6lePu0fm0FMvGTEr_6q/view?usp=drivesdk</v>
      </c>
    </row>
    <row r="6072">
      <c r="A6072" s="15">
        <f>IFERROR(__xludf.DUMMYFUNCTION("""COMPUTED_VALUE"""),45175.0)</f>
        <v>45175</v>
      </c>
      <c r="B6072" s="16" t="str">
        <f>IFERROR(__xludf.DUMMYFUNCTION("""COMPUTED_VALUE"""),"Jeison Rubiano")</f>
        <v>Jeison Rubiano</v>
      </c>
      <c r="C6072" s="15" t="str">
        <f>IFERROR(__xludf.DUMMYFUNCTION("""COMPUTED_VALUE"""),"BOGOTÁ")</f>
        <v>BOGOTÁ</v>
      </c>
      <c r="D6072" s="15" t="str">
        <f>IFERROR(__xludf.DUMMYFUNCTION("""COMPUTED_VALUE"""),"MEDELLÍN")</f>
        <v>MEDELLÍN</v>
      </c>
      <c r="E6072" s="15" t="str">
        <f>IFERROR(__xludf.DUMMYFUNCTION("""COMPUTED_VALUE"""),"AREPAS LA MARY")</f>
        <v>AREPAS LA MARY</v>
      </c>
      <c r="F6072" s="17" t="str">
        <f>IFERROR(__xludf.DUMMYFUNCTION("""COMPUTED_VALUE"""),"Localidad de Suba / Barrio Bosques de San Jorge BOGOTA")</f>
        <v>Localidad de Suba / Barrio Bosques de San Jorge BOGOTA</v>
      </c>
      <c r="G6072" s="15" t="str">
        <f>IFERROR(__xludf.DUMMYFUNCTION("""COMPUTED_VALUE"""),"GERMAN CARDENAS")</f>
        <v>GERMAN CARDENAS</v>
      </c>
      <c r="H6072" s="16">
        <f>IFERROR(__xludf.DUMMYFUNCTION("""COMPUTED_VALUE"""),14695.0)</f>
        <v>14695</v>
      </c>
      <c r="I6072" s="18">
        <f>IFERROR(__xludf.DUMMYFUNCTION("""COMPUTED_VALUE"""),89.0)</f>
        <v>89</v>
      </c>
      <c r="J6072" s="18">
        <f>IFERROR(__xludf.DUMMYFUNCTION("""COMPUTED_VALUE"""),1.0)</f>
        <v>1</v>
      </c>
      <c r="K6072" s="18">
        <f>IFERROR(__xludf.DUMMYFUNCTION("""COMPUTED_VALUE"""),10.0)</f>
        <v>10</v>
      </c>
      <c r="L6072" s="17">
        <f>IFERROR(__xludf.DUMMYFUNCTION("""COMPUTED_VALUE"""),3.185850715E9)</f>
        <v>3185850715</v>
      </c>
      <c r="M6072" s="17" t="str">
        <f>IFERROR(__xludf.DUMMYFUNCTION("""COMPUTED_VALUE"""),"#REF!")</f>
        <v>#REF!</v>
      </c>
      <c r="N6072" s="17"/>
      <c r="O6072" s="17"/>
      <c r="P6072" s="17" t="b">
        <f>IFERROR(__xludf.DUMMYFUNCTION("""COMPUTED_VALUE"""),FALSE)</f>
        <v>0</v>
      </c>
      <c r="Q6072" s="20" t="str">
        <f>IFERROR(__xludf.DUMMYFUNCTION("""COMPUTED_VALUE"""),"")</f>
        <v/>
      </c>
      <c r="R6072" s="21" t="str">
        <f>IFERROR(__xludf.DUMMYFUNCTION("""COMPUTED_VALUE"""),"https://drive.google.com/file/d/1KlQWkDQaPdX73tN_tpMTRd1-OYGNlnSv/view?usp=drivesdk")</f>
        <v>https://drive.google.com/file/d/1KlQWkDQaPdX73tN_tpMTRd1-OYGNlnSv/view?usp=drivesdk</v>
      </c>
    </row>
    <row r="6073">
      <c r="A6073" s="15">
        <f>IFERROR(__xludf.DUMMYFUNCTION("""COMPUTED_VALUE"""),45175.0)</f>
        <v>45175</v>
      </c>
      <c r="B6073" s="16" t="str">
        <f>IFERROR(__xludf.DUMMYFUNCTION("""COMPUTED_VALUE"""),"Jeison Rubiano")</f>
        <v>Jeison Rubiano</v>
      </c>
      <c r="C6073" s="15" t="str">
        <f>IFERROR(__xludf.DUMMYFUNCTION("""COMPUTED_VALUE"""),"BOGOTÁ")</f>
        <v>BOGOTÁ</v>
      </c>
      <c r="D6073" s="15" t="str">
        <f>IFERROR(__xludf.DUMMYFUNCTION("""COMPUTED_VALUE"""),"MEDELLÍN")</f>
        <v>MEDELLÍN</v>
      </c>
      <c r="E6073" s="15" t="str">
        <f>IFERROR(__xludf.DUMMYFUNCTION("""COMPUTED_VALUE"""),"Baby Chef")</f>
        <v>Baby Chef</v>
      </c>
      <c r="F6073" s="17" t="str">
        <f>IFERROR(__xludf.DUMMYFUNCTION("""COMPUTED_VALUE"""),"Calle 127 b bis # 20-66 apto 306 edificio pórtico 3 barrio la calleja / Calle 127 b bis # 20-66 apto 306 edificio pórtico 3 barrio la calleja / Calle 127 b bis # 20-66 apto 306 edificio pórtico 3 barrio la calleja")</f>
        <v>Calle 127 b bis # 20-66 apto 306 edificio pórtico 3 barrio la calleja / Calle 127 b bis # 20-66 apto 306 edificio pórtico 3 barrio la calleja / Calle 127 b bis # 20-66 apto 306 edificio pórtico 3 barrio la calleja</v>
      </c>
      <c r="G6073" s="15" t="str">
        <f>IFERROR(__xludf.DUMMYFUNCTION("""COMPUTED_VALUE"""),"Viviana Fandiño")</f>
        <v>Viviana Fandiño</v>
      </c>
      <c r="H6073" s="16">
        <f>IFERROR(__xludf.DUMMYFUNCTION("""COMPUTED_VALUE"""),14787.0)</f>
        <v>14787</v>
      </c>
      <c r="I6073" s="18">
        <f>IFERROR(__xludf.DUMMYFUNCTION("""COMPUTED_VALUE"""),10.0)</f>
        <v>10</v>
      </c>
      <c r="J6073" s="18">
        <f>IFERROR(__xludf.DUMMYFUNCTION("""COMPUTED_VALUE"""),23.0)</f>
        <v>23</v>
      </c>
      <c r="K6073" s="18">
        <f>IFERROR(__xludf.DUMMYFUNCTION("""COMPUTED_VALUE"""),28.0)</f>
        <v>28</v>
      </c>
      <c r="L6073" s="17">
        <f>IFERROR(__xludf.DUMMYFUNCTION("""COMPUTED_VALUE"""),3.202185275E9)</f>
        <v>3202185275</v>
      </c>
      <c r="M6073" s="17" t="str">
        <f>IFERROR(__xludf.DUMMYFUNCTION("""COMPUTED_VALUE"""),"#REF!")</f>
        <v>#REF!</v>
      </c>
      <c r="N6073" s="17"/>
      <c r="O6073" s="17"/>
      <c r="P6073" s="17" t="b">
        <f>IFERROR(__xludf.DUMMYFUNCTION("""COMPUTED_VALUE"""),FALSE)</f>
        <v>0</v>
      </c>
      <c r="Q6073" s="20" t="str">
        <f>IFERROR(__xludf.DUMMYFUNCTION("""COMPUTED_VALUE"""),"")</f>
        <v/>
      </c>
      <c r="R6073" s="21" t="str">
        <f>IFERROR(__xludf.DUMMYFUNCTION("""COMPUTED_VALUE"""),"https://drive.google.com/file/d/1PCov-yXcRhZXjMufAklMgVy5UKl1SF6h/view?usp=drivesdk")</f>
        <v>https://drive.google.com/file/d/1PCov-yXcRhZXjMufAklMgVy5UKl1SF6h/view?usp=drivesdk</v>
      </c>
    </row>
    <row r="6074">
      <c r="A6074" s="15">
        <f>IFERROR(__xludf.DUMMYFUNCTION("""COMPUTED_VALUE"""),45175.0)</f>
        <v>45175</v>
      </c>
      <c r="B6074" s="16" t="str">
        <f>IFERROR(__xludf.DUMMYFUNCTION("""COMPUTED_VALUE"""),"Jeison Rubiano")</f>
        <v>Jeison Rubiano</v>
      </c>
      <c r="C6074" s="15" t="str">
        <f>IFERROR(__xludf.DUMMYFUNCTION("""COMPUTED_VALUE"""),"BOGOTÁ")</f>
        <v>BOGOTÁ</v>
      </c>
      <c r="D6074" s="15" t="str">
        <f>IFERROR(__xludf.DUMMYFUNCTION("""COMPUTED_VALUE"""),"MEDELLÍN")</f>
        <v>MEDELLÍN</v>
      </c>
      <c r="E6074" s="15" t="str">
        <f>IFERROR(__xludf.DUMMYFUNCTION("""COMPUTED_VALUE"""),"Baby Chef")</f>
        <v>Baby Chef</v>
      </c>
      <c r="F6074" s="17" t="str">
        <f>IFERROR(__xludf.DUMMYFUNCTION("""COMPUTED_VALUE"""),"Carrera 13A #10-34 Av. Caracas, San Victorino, detrás del CAI de la jimenez, local Importadora El Puerto / Carrera 13A #10-34 Av. Caracas, San Victorino, detrás del CAI de la jimenez, local Importadora El Puerto / Carrera 13A #10-34 Av. Caracas, San Victo"&amp;"rino, detrás del CAI de la jimenez, local Importadora El Puerto")</f>
        <v>Carrera 13A #10-34 Av. Caracas, San Victorino, detrás del CAI de la jimenez, local Importadora El Puerto / Carrera 13A #10-34 Av. Caracas, San Victorino, detrás del CAI de la jimenez, local Importadora El Puerto / Carrera 13A #10-34 Av. Caracas, San Victorino, detrás del CAI de la jimenez, local Importadora El Puerto</v>
      </c>
      <c r="G6074" s="15" t="str">
        <f>IFERROR(__xludf.DUMMYFUNCTION("""COMPUTED_VALUE"""),"Lina Chamorro")</f>
        <v>Lina Chamorro</v>
      </c>
      <c r="H6074" s="16">
        <f>IFERROR(__xludf.DUMMYFUNCTION("""COMPUTED_VALUE"""),14793.0)</f>
        <v>14793</v>
      </c>
      <c r="I6074" s="18">
        <f>IFERROR(__xludf.DUMMYFUNCTION("""COMPUTED_VALUE"""),6.0)</f>
        <v>6</v>
      </c>
      <c r="J6074" s="18">
        <f>IFERROR(__xludf.DUMMYFUNCTION("""COMPUTED_VALUE"""),20.0)</f>
        <v>20</v>
      </c>
      <c r="K6074" s="18">
        <f>IFERROR(__xludf.DUMMYFUNCTION("""COMPUTED_VALUE"""),29.0)</f>
        <v>29</v>
      </c>
      <c r="L6074" s="17">
        <f>IFERROR(__xludf.DUMMYFUNCTION("""COMPUTED_VALUE"""),3.103825144E9)</f>
        <v>3103825144</v>
      </c>
      <c r="M6074" s="17" t="str">
        <f>IFERROR(__xludf.DUMMYFUNCTION("""COMPUTED_VALUE"""),"#REF!")</f>
        <v>#REF!</v>
      </c>
      <c r="N6074" s="17"/>
      <c r="O6074" s="17"/>
      <c r="P6074" s="17" t="b">
        <f>IFERROR(__xludf.DUMMYFUNCTION("""COMPUTED_VALUE"""),FALSE)</f>
        <v>0</v>
      </c>
      <c r="Q6074" s="20" t="str">
        <f>IFERROR(__xludf.DUMMYFUNCTION("""COMPUTED_VALUE"""),"")</f>
        <v/>
      </c>
      <c r="R6074" s="21" t="str">
        <f>IFERROR(__xludf.DUMMYFUNCTION("""COMPUTED_VALUE"""),"https://drive.google.com/file/d/1D9cCDCfqPMJLbu20heuexCA8FEQzh-7D/view?usp=drivesdk")</f>
        <v>https://drive.google.com/file/d/1D9cCDCfqPMJLbu20heuexCA8FEQzh-7D/view?usp=drivesdk</v>
      </c>
    </row>
    <row r="6075">
      <c r="A6075" s="15">
        <f>IFERROR(__xludf.DUMMYFUNCTION("""COMPUTED_VALUE"""),45175.0)</f>
        <v>45175</v>
      </c>
      <c r="B6075" s="16" t="str">
        <f>IFERROR(__xludf.DUMMYFUNCTION("""COMPUTED_VALUE"""),"Jeison Rubiano")</f>
        <v>Jeison Rubiano</v>
      </c>
      <c r="C6075" s="15" t="str">
        <f>IFERROR(__xludf.DUMMYFUNCTION("""COMPUTED_VALUE"""),"BOGOTÁ")</f>
        <v>BOGOTÁ</v>
      </c>
      <c r="D6075" s="15" t="str">
        <f>IFERROR(__xludf.DUMMYFUNCTION("""COMPUTED_VALUE"""),"MEDELLÍN")</f>
        <v>MEDELLÍN</v>
      </c>
      <c r="E6075" s="15" t="str">
        <f>IFERROR(__xludf.DUMMYFUNCTION("""COMPUTED_VALUE"""),"Baby Chef")</f>
        <v>Baby Chef</v>
      </c>
      <c r="F6075" s="17" t="str">
        <f>IFERROR(__xludf.DUMMYFUNCTION("""COMPUTED_VALUE"""),"Carrera 21 114-20 apto 101 edificio Cerezo  Bogotá / Carrera 21 114-20 apto 101 edificio Cerezo  Bogotá / Carrera 21 114-20 apto 101 edificio Cerezo  Bogotá")</f>
        <v>Carrera 21 114-20 apto 101 edificio Cerezo  Bogotá / Carrera 21 114-20 apto 101 edificio Cerezo  Bogotá / Carrera 21 114-20 apto 101 edificio Cerezo  Bogotá</v>
      </c>
      <c r="G6075" s="15" t="str">
        <f>IFERROR(__xludf.DUMMYFUNCTION("""COMPUTED_VALUE"""),"Laura Martinez")</f>
        <v>Laura Martinez</v>
      </c>
      <c r="H6075" s="16">
        <f>IFERROR(__xludf.DUMMYFUNCTION("""COMPUTED_VALUE"""),14784.0)</f>
        <v>14784</v>
      </c>
      <c r="I6075" s="18">
        <f>IFERROR(__xludf.DUMMYFUNCTION("""COMPUTED_VALUE"""),8.0)</f>
        <v>8</v>
      </c>
      <c r="J6075" s="18">
        <f>IFERROR(__xludf.DUMMYFUNCTION("""COMPUTED_VALUE"""),32.0)</f>
        <v>32</v>
      </c>
      <c r="K6075" s="18">
        <f>IFERROR(__xludf.DUMMYFUNCTION("""COMPUTED_VALUE"""),21.0)</f>
        <v>21</v>
      </c>
      <c r="L6075" s="17">
        <f>IFERROR(__xludf.DUMMYFUNCTION("""COMPUTED_VALUE"""),3.152629963E9)</f>
        <v>3152629963</v>
      </c>
      <c r="M6075" s="17" t="str">
        <f>IFERROR(__xludf.DUMMYFUNCTION("""COMPUTED_VALUE"""),"#REF!")</f>
        <v>#REF!</v>
      </c>
      <c r="N6075" s="17"/>
      <c r="O6075" s="17"/>
      <c r="P6075" s="17" t="b">
        <f>IFERROR(__xludf.DUMMYFUNCTION("""COMPUTED_VALUE"""),FALSE)</f>
        <v>0</v>
      </c>
      <c r="Q6075" s="20" t="str">
        <f>IFERROR(__xludf.DUMMYFUNCTION("""COMPUTED_VALUE"""),"")</f>
        <v/>
      </c>
      <c r="R6075" s="21" t="str">
        <f>IFERROR(__xludf.DUMMYFUNCTION("""COMPUTED_VALUE"""),"https://drive.google.com/file/d/1RPI3BWuI7U_KmWb-p7hNaUlQV2_PXyzr/view?usp=drivesdk")</f>
        <v>https://drive.google.com/file/d/1RPI3BWuI7U_KmWb-p7hNaUlQV2_PXyzr/view?usp=drivesdk</v>
      </c>
    </row>
    <row r="6076">
      <c r="A6076" s="15">
        <f>IFERROR(__xludf.DUMMYFUNCTION("""COMPUTED_VALUE"""),45175.0)</f>
        <v>45175</v>
      </c>
      <c r="B6076" s="16" t="str">
        <f>IFERROR(__xludf.DUMMYFUNCTION("""COMPUTED_VALUE"""),"Jeison Rubiano")</f>
        <v>Jeison Rubiano</v>
      </c>
      <c r="C6076" s="15" t="str">
        <f>IFERROR(__xludf.DUMMYFUNCTION("""COMPUTED_VALUE"""),"BOGOTÁ")</f>
        <v>BOGOTÁ</v>
      </c>
      <c r="D6076" s="15" t="str">
        <f>IFERROR(__xludf.DUMMYFUNCTION("""COMPUTED_VALUE"""),"MEDELLÍN")</f>
        <v>MEDELLÍN</v>
      </c>
      <c r="E6076" s="15" t="str">
        <f>IFERROR(__xludf.DUMMYFUNCTION("""COMPUTED_VALUE"""),"Baby Chef")</f>
        <v>Baby Chef</v>
      </c>
      <c r="F6076" s="17" t="str">
        <f>IFERROR(__xludf.DUMMYFUNCTION("""COMPUTED_VALUE"""),"Cra 70 D 64 38 sur torre 5 apto 1901 parque central Bonavista 2 Barrio Perdomo.  / Cra 70 D 64 38 sur torre 5 apto 1901 parque central Bonavista 2 Barrio Perdomo.  / Cra 70 D 64 38 sur torre 5 apto 1901 parque central Bonavista 2 Barrio Perdomo.")</f>
        <v>Cra 70 D 64 38 sur torre 5 apto 1901 parque central Bonavista 2 Barrio Perdomo.  / Cra 70 D 64 38 sur torre 5 apto 1901 parque central Bonavista 2 Barrio Perdomo.  / Cra 70 D 64 38 sur torre 5 apto 1901 parque central Bonavista 2 Barrio Perdomo.</v>
      </c>
      <c r="G6076" s="15" t="str">
        <f>IFERROR(__xludf.DUMMYFUNCTION("""COMPUTED_VALUE"""),"Ingrid Rodriguez (ENTREGAR DESPUÉS DE LAS 3PM)")</f>
        <v>Ingrid Rodriguez (ENTREGAR DESPUÉS DE LAS 3PM)</v>
      </c>
      <c r="H6076" s="16">
        <f>IFERROR(__xludf.DUMMYFUNCTION("""COMPUTED_VALUE"""),14786.0)</f>
        <v>14786</v>
      </c>
      <c r="I6076" s="18">
        <f>IFERROR(__xludf.DUMMYFUNCTION("""COMPUTED_VALUE"""),11.0)</f>
        <v>11</v>
      </c>
      <c r="J6076" s="18">
        <f>IFERROR(__xludf.DUMMYFUNCTION("""COMPUTED_VALUE"""),23.0)</f>
        <v>23</v>
      </c>
      <c r="K6076" s="18">
        <f>IFERROR(__xludf.DUMMYFUNCTION("""COMPUTED_VALUE"""),18.0)</f>
        <v>18</v>
      </c>
      <c r="L6076" s="17">
        <f>IFERROR(__xludf.DUMMYFUNCTION("""COMPUTED_VALUE"""),3.138521725E9)</f>
        <v>3138521725</v>
      </c>
      <c r="M6076" s="17" t="str">
        <f>IFERROR(__xludf.DUMMYFUNCTION("""COMPUTED_VALUE"""),"#REF!")</f>
        <v>#REF!</v>
      </c>
      <c r="N6076" s="17"/>
      <c r="O6076" s="17"/>
      <c r="P6076" s="17" t="b">
        <f>IFERROR(__xludf.DUMMYFUNCTION("""COMPUTED_VALUE"""),FALSE)</f>
        <v>0</v>
      </c>
      <c r="Q6076" s="20" t="str">
        <f>IFERROR(__xludf.DUMMYFUNCTION("""COMPUTED_VALUE"""),"")</f>
        <v/>
      </c>
      <c r="R6076" s="21" t="str">
        <f>IFERROR(__xludf.DUMMYFUNCTION("""COMPUTED_VALUE"""),"https://drive.google.com/file/d/1asc8G7mqf1fxPa39fErRijOylaMMI5po/view?usp=drivesdk")</f>
        <v>https://drive.google.com/file/d/1asc8G7mqf1fxPa39fErRijOylaMMI5po/view?usp=drivesdk</v>
      </c>
    </row>
    <row r="6077">
      <c r="A6077" s="15">
        <f>IFERROR(__xludf.DUMMYFUNCTION("""COMPUTED_VALUE"""),45175.0)</f>
        <v>45175</v>
      </c>
      <c r="B6077" s="16" t="str">
        <f>IFERROR(__xludf.DUMMYFUNCTION("""COMPUTED_VALUE"""),"Jeison Rubiano")</f>
        <v>Jeison Rubiano</v>
      </c>
      <c r="C6077" s="15" t="str">
        <f>IFERROR(__xludf.DUMMYFUNCTION("""COMPUTED_VALUE"""),"BOGOTÁ")</f>
        <v>BOGOTÁ</v>
      </c>
      <c r="D6077" s="15" t="str">
        <f>IFERROR(__xludf.DUMMYFUNCTION("""COMPUTED_VALUE"""),"MEDELLÍN")</f>
        <v>MEDELLÍN</v>
      </c>
      <c r="E6077" s="15" t="str">
        <f>IFERROR(__xludf.DUMMYFUNCTION("""COMPUTED_VALUE"""),"Baby Chef")</f>
        <v>Baby Chef</v>
      </c>
      <c r="F6077" s="17" t="str">
        <f>IFERROR(__xludf.DUMMYFUNCTION("""COMPUTED_VALUE"""),"Cra 72 bis 81a 05 int 5 apto 104 Barrio Pontevedra Conjunto Residencial Terranova Club / Cra 72 bis 81a 05 int 5 apto 104 Barrio Pontevedra Conjunto Residencial Terranova Club / Cra 72 bis 81a 05 int 5 apto 104 Barrio Pontevedra Conjunto Residencial Terra"&amp;"nova Club")</f>
        <v>Cra 72 bis 81a 05 int 5 apto 104 Barrio Pontevedra Conjunto Residencial Terranova Club / Cra 72 bis 81a 05 int 5 apto 104 Barrio Pontevedra Conjunto Residencial Terranova Club / Cra 72 bis 81a 05 int 5 apto 104 Barrio Pontevedra Conjunto Residencial Terranova Club</v>
      </c>
      <c r="G6077" s="15" t="str">
        <f>IFERROR(__xludf.DUMMYFUNCTION("""COMPUTED_VALUE"""),"Natalia Ramírez")</f>
        <v>Natalia Ramírez</v>
      </c>
      <c r="H6077" s="16">
        <f>IFERROR(__xludf.DUMMYFUNCTION("""COMPUTED_VALUE"""),14785.0)</f>
        <v>14785</v>
      </c>
      <c r="I6077" s="18">
        <f>IFERROR(__xludf.DUMMYFUNCTION("""COMPUTED_VALUE"""),6.0)</f>
        <v>6</v>
      </c>
      <c r="J6077" s="18">
        <f>IFERROR(__xludf.DUMMYFUNCTION("""COMPUTED_VALUE"""),21.0)</f>
        <v>21</v>
      </c>
      <c r="K6077" s="18">
        <f>IFERROR(__xludf.DUMMYFUNCTION("""COMPUTED_VALUE"""),25.0)</f>
        <v>25</v>
      </c>
      <c r="L6077" s="17">
        <f>IFERROR(__xludf.DUMMYFUNCTION("""COMPUTED_VALUE"""),3.212700831E9)</f>
        <v>3212700831</v>
      </c>
      <c r="M6077" s="17" t="str">
        <f>IFERROR(__xludf.DUMMYFUNCTION("""COMPUTED_VALUE"""),"#REF!")</f>
        <v>#REF!</v>
      </c>
      <c r="N6077" s="17"/>
      <c r="O6077" s="17"/>
      <c r="P6077" s="17" t="b">
        <f>IFERROR(__xludf.DUMMYFUNCTION("""COMPUTED_VALUE"""),FALSE)</f>
        <v>0</v>
      </c>
      <c r="Q6077" s="20" t="str">
        <f>IFERROR(__xludf.DUMMYFUNCTION("""COMPUTED_VALUE"""),"")</f>
        <v/>
      </c>
      <c r="R6077" s="21" t="str">
        <f>IFERROR(__xludf.DUMMYFUNCTION("""COMPUTED_VALUE"""),"https://drive.google.com/file/d/1wjAsI49k5K2ZuGqSX7MOCa0LyCVCZSGT/view?usp=drivesdk")</f>
        <v>https://drive.google.com/file/d/1wjAsI49k5K2ZuGqSX7MOCa0LyCVCZSGT/view?usp=drivesdk</v>
      </c>
    </row>
    <row r="6078">
      <c r="A6078" s="15">
        <f>IFERROR(__xludf.DUMMYFUNCTION("""COMPUTED_VALUE"""),45175.0)</f>
        <v>45175</v>
      </c>
      <c r="B6078" s="16" t="str">
        <f>IFERROR(__xludf.DUMMYFUNCTION("""COMPUTED_VALUE"""),"Jeison Rubiano")</f>
        <v>Jeison Rubiano</v>
      </c>
      <c r="C6078" s="15" t="str">
        <f>IFERROR(__xludf.DUMMYFUNCTION("""COMPUTED_VALUE"""),"BOGOTÁ")</f>
        <v>BOGOTÁ</v>
      </c>
      <c r="D6078" s="15" t="str">
        <f>IFERROR(__xludf.DUMMYFUNCTION("""COMPUTED_VALUE"""),"MEDELLÍN")</f>
        <v>MEDELLÍN</v>
      </c>
      <c r="E6078" s="15" t="str">
        <f>IFERROR(__xludf.DUMMYFUNCTION("""COMPUTED_VALUE"""),"Baby Chef")</f>
        <v>Baby Chef</v>
      </c>
      <c r="F6078" s="17" t="str">
        <f>IFERROR(__xludf.DUMMYFUNCTION("""COMPUTED_VALUE"""),"Cra 77 18 51 barrio la felicidad conjunto la arboleda torre 4 apto 492 / Cra 77 18 51 barrio la felicidad conjunto la arboleda torre 4 apto 492 / Cra 77 18 51 barrio la felicidad conjunto la arboleda torre 4 apto 492")</f>
        <v>Cra 77 18 51 barrio la felicidad conjunto la arboleda torre 4 apto 492 / Cra 77 18 51 barrio la felicidad conjunto la arboleda torre 4 apto 492 / Cra 77 18 51 barrio la felicidad conjunto la arboleda torre 4 apto 492</v>
      </c>
      <c r="G6078" s="15" t="str">
        <f>IFERROR(__xludf.DUMMYFUNCTION("""COMPUTED_VALUE"""),"Kate Figueroa")</f>
        <v>Kate Figueroa</v>
      </c>
      <c r="H6078" s="16">
        <f>IFERROR(__xludf.DUMMYFUNCTION("""COMPUTED_VALUE"""),14788.0)</f>
        <v>14788</v>
      </c>
      <c r="I6078" s="18">
        <f>IFERROR(__xludf.DUMMYFUNCTION("""COMPUTED_VALUE"""),6.0)</f>
        <v>6</v>
      </c>
      <c r="J6078" s="18">
        <f>IFERROR(__xludf.DUMMYFUNCTION("""COMPUTED_VALUE"""),24.0)</f>
        <v>24</v>
      </c>
      <c r="K6078" s="18">
        <f>IFERROR(__xludf.DUMMYFUNCTION("""COMPUTED_VALUE"""),23.0)</f>
        <v>23</v>
      </c>
      <c r="L6078" s="17">
        <f>IFERROR(__xludf.DUMMYFUNCTION("""COMPUTED_VALUE"""),3.502970217E9)</f>
        <v>3502970217</v>
      </c>
      <c r="M6078" s="17" t="str">
        <f>IFERROR(__xludf.DUMMYFUNCTION("""COMPUTED_VALUE"""),"#REF!")</f>
        <v>#REF!</v>
      </c>
      <c r="N6078" s="17"/>
      <c r="O6078" s="17"/>
      <c r="P6078" s="17" t="b">
        <f>IFERROR(__xludf.DUMMYFUNCTION("""COMPUTED_VALUE"""),FALSE)</f>
        <v>0</v>
      </c>
      <c r="Q6078" s="20" t="str">
        <f>IFERROR(__xludf.DUMMYFUNCTION("""COMPUTED_VALUE"""),"")</f>
        <v/>
      </c>
      <c r="R6078" s="21" t="str">
        <f>IFERROR(__xludf.DUMMYFUNCTION("""COMPUTED_VALUE"""),"https://drive.google.com/file/d/1OyxKr4v007xmzVedFXTPGuxJVpq40wHJ/view?usp=drivesdk")</f>
        <v>https://drive.google.com/file/d/1OyxKr4v007xmzVedFXTPGuxJVpq40wHJ/view?usp=drivesdk</v>
      </c>
    </row>
    <row r="6079">
      <c r="A6079" s="15">
        <f>IFERROR(__xludf.DUMMYFUNCTION("""COMPUTED_VALUE"""),45175.0)</f>
        <v>45175</v>
      </c>
      <c r="B6079" s="16" t="str">
        <f>IFERROR(__xludf.DUMMYFUNCTION("""COMPUTED_VALUE"""),"Jeison Rubiano")</f>
        <v>Jeison Rubiano</v>
      </c>
      <c r="C6079" s="15" t="str">
        <f>IFERROR(__xludf.DUMMYFUNCTION("""COMPUTED_VALUE"""),"BOGOTÁ")</f>
        <v>BOGOTÁ</v>
      </c>
      <c r="D6079" s="15" t="str">
        <f>IFERROR(__xludf.DUMMYFUNCTION("""COMPUTED_VALUE"""),"MEDELLÍN")</f>
        <v>MEDELLÍN</v>
      </c>
      <c r="E6079" s="15" t="str">
        <f>IFERROR(__xludf.DUMMYFUNCTION("""COMPUTED_VALUE"""),"Baby Chef")</f>
        <v>Baby Chef</v>
      </c>
      <c r="F6079" s="17" t="str">
        <f>IFERROR(__xludf.DUMMYFUNCTION("""COMPUTED_VALUE"""),"Torre 1 Calle 77 B # 119 61 Apto 901 Barrio Gran Granada / Torre 1 Calle 77 B # 119 61 Apto 901 Barrio Gran Granada / Torre 1 Calle 77 B # 119 61 Apto 901 Barrio Gran Granada")</f>
        <v>Torre 1 Calle 77 B # 119 61 Apto 901 Barrio Gran Granada / Torre 1 Calle 77 B # 119 61 Apto 901 Barrio Gran Granada / Torre 1 Calle 77 B # 119 61 Apto 901 Barrio Gran Granada</v>
      </c>
      <c r="G6079" s="15" t="str">
        <f>IFERROR(__xludf.DUMMYFUNCTION("""COMPUTED_VALUE"""),"Maricel Turriago Turriago")</f>
        <v>Maricel Turriago Turriago</v>
      </c>
      <c r="H6079" s="16">
        <f>IFERROR(__xludf.DUMMYFUNCTION("""COMPUTED_VALUE"""),14792.0)</f>
        <v>14792</v>
      </c>
      <c r="I6079" s="18">
        <f>IFERROR(__xludf.DUMMYFUNCTION("""COMPUTED_VALUE"""),8.0)</f>
        <v>8</v>
      </c>
      <c r="J6079" s="18">
        <f>IFERROR(__xludf.DUMMYFUNCTION("""COMPUTED_VALUE"""),22.0)</f>
        <v>22</v>
      </c>
      <c r="K6079" s="18">
        <f>IFERROR(__xludf.DUMMYFUNCTION("""COMPUTED_VALUE"""),26.0)</f>
        <v>26</v>
      </c>
      <c r="L6079" s="17">
        <f>IFERROR(__xludf.DUMMYFUNCTION("""COMPUTED_VALUE"""),3.143360996E9)</f>
        <v>3143360996</v>
      </c>
      <c r="M6079" s="17" t="str">
        <f>IFERROR(__xludf.DUMMYFUNCTION("""COMPUTED_VALUE"""),"#REF!")</f>
        <v>#REF!</v>
      </c>
      <c r="N6079" s="17"/>
      <c r="O6079" s="17"/>
      <c r="P6079" s="17" t="b">
        <f>IFERROR(__xludf.DUMMYFUNCTION("""COMPUTED_VALUE"""),FALSE)</f>
        <v>0</v>
      </c>
      <c r="Q6079" s="20" t="str">
        <f>IFERROR(__xludf.DUMMYFUNCTION("""COMPUTED_VALUE"""),"")</f>
        <v/>
      </c>
      <c r="R6079" s="21" t="str">
        <f>IFERROR(__xludf.DUMMYFUNCTION("""COMPUTED_VALUE"""),"https://drive.google.com/file/d/1j07Ox8MpR6vtNF-jv2-CBClkrryN69BT/view?usp=drivesdk")</f>
        <v>https://drive.google.com/file/d/1j07Ox8MpR6vtNF-jv2-CBClkrryN69BT/view?usp=drivesdk</v>
      </c>
    </row>
    <row r="6080">
      <c r="A6080" s="15">
        <f>IFERROR(__xludf.DUMMYFUNCTION("""COMPUTED_VALUE"""),45175.0)</f>
        <v>45175</v>
      </c>
      <c r="B6080" s="16" t="str">
        <f>IFERROR(__xludf.DUMMYFUNCTION("""COMPUTED_VALUE"""),"Jeison Rubiano")</f>
        <v>Jeison Rubiano</v>
      </c>
      <c r="C6080" s="15" t="str">
        <f>IFERROR(__xludf.DUMMYFUNCTION("""COMPUTED_VALUE"""),"BOGOTÁ")</f>
        <v>BOGOTÁ</v>
      </c>
      <c r="D6080" s="15" t="str">
        <f>IFERROR(__xludf.DUMMYFUNCTION("""COMPUTED_VALUE"""),"MEDELLÍN")</f>
        <v>MEDELLÍN</v>
      </c>
      <c r="E6080" s="15" t="str">
        <f>IFERROR(__xludf.DUMMYFUNCTION("""COMPUTED_VALUE"""),"El Molde")</f>
        <v>El Molde</v>
      </c>
      <c r="F6080" s="17" t="str">
        <f>IFERROR(__xludf.DUMMYFUNCTION("""COMPUTED_VALUE"""),"calle 22d # 72-41 La Cascada Apto 1402 Torre 4")</f>
        <v>calle 22d # 72-41 La Cascada Apto 1402 Torre 4</v>
      </c>
      <c r="G6080" s="15" t="str">
        <f>IFERROR(__xludf.DUMMYFUNCTION("""COMPUTED_VALUE"""),"sabrina salim")</f>
        <v>sabrina salim</v>
      </c>
      <c r="H6080" s="16">
        <f>IFERROR(__xludf.DUMMYFUNCTION("""COMPUTED_VALUE"""),14789.0)</f>
        <v>14789</v>
      </c>
      <c r="I6080" s="18">
        <f>IFERROR(__xludf.DUMMYFUNCTION("""COMPUTED_VALUE"""),5.0)</f>
        <v>5</v>
      </c>
      <c r="J6080" s="18">
        <f>IFERROR(__xludf.DUMMYFUNCTION("""COMPUTED_VALUE"""),12.0)</f>
        <v>12</v>
      </c>
      <c r="K6080" s="18">
        <f>IFERROR(__xludf.DUMMYFUNCTION("""COMPUTED_VALUE"""),45060.0)</f>
        <v>45060</v>
      </c>
      <c r="L6080" s="17" t="str">
        <f>IFERROR(__xludf.DUMMYFUNCTION("""COMPUTED_VALUE"""),"311 2062550")</f>
        <v>311 2062550</v>
      </c>
      <c r="M6080" s="17" t="str">
        <f>IFERROR(__xludf.DUMMYFUNCTION("""COMPUTED_VALUE"""),"#REF!")</f>
        <v>#REF!</v>
      </c>
      <c r="N6080" s="17"/>
      <c r="O6080" s="17"/>
      <c r="P6080" s="17" t="b">
        <f>IFERROR(__xludf.DUMMYFUNCTION("""COMPUTED_VALUE"""),FALSE)</f>
        <v>0</v>
      </c>
      <c r="Q6080" s="20" t="str">
        <f>IFERROR(__xludf.DUMMYFUNCTION("""COMPUTED_VALUE"""),"")</f>
        <v/>
      </c>
      <c r="R6080" s="21" t="str">
        <f>IFERROR(__xludf.DUMMYFUNCTION("""COMPUTED_VALUE"""),"https://drive.google.com/file/d/1OkVZmZKj78nBvQbBF7Tb3KirF8vniw50/view?usp=drivesdk")</f>
        <v>https://drive.google.com/file/d/1OkVZmZKj78nBvQbBF7Tb3KirF8vniw50/view?usp=drivesdk</v>
      </c>
    </row>
    <row r="6081">
      <c r="A6081" s="15">
        <f>IFERROR(__xludf.DUMMYFUNCTION("""COMPUTED_VALUE"""),45175.0)</f>
        <v>45175</v>
      </c>
      <c r="B6081" s="16" t="str">
        <f>IFERROR(__xludf.DUMMYFUNCTION("""COMPUTED_VALUE"""),"Jeison Rubiano")</f>
        <v>Jeison Rubiano</v>
      </c>
      <c r="C6081" s="15" t="str">
        <f>IFERROR(__xludf.DUMMYFUNCTION("""COMPUTED_VALUE"""),"BOGOTÁ")</f>
        <v>BOGOTÁ</v>
      </c>
      <c r="D6081" s="15" t="str">
        <f>IFERROR(__xludf.DUMMYFUNCTION("""COMPUTED_VALUE"""),"MEDELLÍN")</f>
        <v>MEDELLÍN</v>
      </c>
      <c r="E6081" s="15" t="str">
        <f>IFERROR(__xludf.DUMMYFUNCTION("""COMPUTED_VALUE"""),"Goyo Todo por ellos")</f>
        <v>Goyo Todo por ellos</v>
      </c>
      <c r="F6081" s="17" t="str">
        <f>IFERROR(__xludf.DUMMYFUNCTION("""COMPUTED_VALUE"""),"Transversal 23 #97 54  / Edificio Area Uno apto 209 / Barrio Chico Norte")</f>
        <v>Transversal 23 #97 54  / Edificio Area Uno apto 209 / Barrio Chico Norte</v>
      </c>
      <c r="G6081" s="15" t="str">
        <f>IFERROR(__xludf.DUMMYFUNCTION("""COMPUTED_VALUE"""),"Andrea Moreno")</f>
        <v>Andrea Moreno</v>
      </c>
      <c r="H6081" s="16">
        <f>IFERROR(__xludf.DUMMYFUNCTION("""COMPUTED_VALUE"""),14779.0)</f>
        <v>14779</v>
      </c>
      <c r="I6081" s="18">
        <f>IFERROR(__xludf.DUMMYFUNCTION("""COMPUTED_VALUE"""),22.0)</f>
        <v>22</v>
      </c>
      <c r="J6081" s="18">
        <f>IFERROR(__xludf.DUMMYFUNCTION("""COMPUTED_VALUE"""),30.0)</f>
        <v>30</v>
      </c>
      <c r="K6081" s="18">
        <f>IFERROR(__xludf.DUMMYFUNCTION("""COMPUTED_VALUE"""),19.0)</f>
        <v>19</v>
      </c>
      <c r="L6081" s="17">
        <f>IFERROR(__xludf.DUMMYFUNCTION("""COMPUTED_VALUE"""),3.103593617E9)</f>
        <v>3103593617</v>
      </c>
      <c r="M6081" s="17" t="str">
        <f>IFERROR(__xludf.DUMMYFUNCTION("""COMPUTED_VALUE"""),"#REF!")</f>
        <v>#REF!</v>
      </c>
      <c r="N6081" s="17"/>
      <c r="O6081" s="17"/>
      <c r="P6081" s="17" t="b">
        <f>IFERROR(__xludf.DUMMYFUNCTION("""COMPUTED_VALUE"""),FALSE)</f>
        <v>0</v>
      </c>
      <c r="Q6081" s="20" t="str">
        <f>IFERROR(__xludf.DUMMYFUNCTION("""COMPUTED_VALUE"""),"")</f>
        <v/>
      </c>
      <c r="R6081" s="21" t="str">
        <f>IFERROR(__xludf.DUMMYFUNCTION("""COMPUTED_VALUE"""),"https://drive.google.com/file/d/1_INutSCYkHSY3dIE8y_aZQy7z5lDxP0T/view?usp=drivesdk")</f>
        <v>https://drive.google.com/file/d/1_INutSCYkHSY3dIE8y_aZQy7z5lDxP0T/view?usp=drivesdk</v>
      </c>
    </row>
    <row r="6082">
      <c r="A6082" s="15">
        <f>IFERROR(__xludf.DUMMYFUNCTION("""COMPUTED_VALUE"""),45175.0)</f>
        <v>45175</v>
      </c>
      <c r="B6082" s="16" t="str">
        <f>IFERROR(__xludf.DUMMYFUNCTION("""COMPUTED_VALUE"""),"Jeison Rubiano")</f>
        <v>Jeison Rubiano</v>
      </c>
      <c r="C6082" s="15" t="str">
        <f>IFERROR(__xludf.DUMMYFUNCTION("""COMPUTED_VALUE"""),"BOGOTÁ")</f>
        <v>BOGOTÁ</v>
      </c>
      <c r="D6082" s="15" t="str">
        <f>IFERROR(__xludf.DUMMYFUNCTION("""COMPUTED_VALUE"""),"MEDELLÍN")</f>
        <v>MEDELLÍN</v>
      </c>
      <c r="E6082" s="15" t="str">
        <f>IFERROR(__xludf.DUMMYFUNCTION("""COMPUTED_VALUE"""),"JD Bufala")</f>
        <v>JD Bufala</v>
      </c>
      <c r="F6082" s="17" t="str">
        <f>IFERROR(__xludf.DUMMYFUNCTION("""COMPUTED_VALUE"""),"Calle 127d bis a92c07 / Apartamento  / Localidad de suba rincón")</f>
        <v>Calle 127d bis a92c07 / Apartamento  / Localidad de suba rincón</v>
      </c>
      <c r="G6082" s="15" t="str">
        <f>IFERROR(__xludf.DUMMYFUNCTION("""COMPUTED_VALUE"""),"Nestor Fabián castellano")</f>
        <v>Nestor Fabián castellano</v>
      </c>
      <c r="H6082" s="16">
        <f>IFERROR(__xludf.DUMMYFUNCTION("""COMPUTED_VALUE"""),14781.0)</f>
        <v>14781</v>
      </c>
      <c r="I6082" s="18">
        <f>IFERROR(__xludf.DUMMYFUNCTION("""COMPUTED_VALUE"""),9.0)</f>
        <v>9</v>
      </c>
      <c r="J6082" s="18">
        <f>IFERROR(__xludf.DUMMYFUNCTION("""COMPUTED_VALUE"""),9.0)</f>
        <v>9</v>
      </c>
      <c r="K6082" s="18">
        <f>IFERROR(__xludf.DUMMYFUNCTION("""COMPUTED_VALUE"""),28.0)</f>
        <v>28</v>
      </c>
      <c r="L6082" s="17">
        <f>IFERROR(__xludf.DUMMYFUNCTION("""COMPUTED_VALUE"""),3.178544225E9)</f>
        <v>3178544225</v>
      </c>
      <c r="M6082" s="17" t="str">
        <f>IFERROR(__xludf.DUMMYFUNCTION("""COMPUTED_VALUE"""),"#REF!")</f>
        <v>#REF!</v>
      </c>
      <c r="N6082" s="17"/>
      <c r="O6082" s="17"/>
      <c r="P6082" s="17" t="b">
        <f>IFERROR(__xludf.DUMMYFUNCTION("""COMPUTED_VALUE"""),FALSE)</f>
        <v>0</v>
      </c>
      <c r="Q6082" s="20" t="str">
        <f>IFERROR(__xludf.DUMMYFUNCTION("""COMPUTED_VALUE"""),"")</f>
        <v/>
      </c>
      <c r="R6082" s="21" t="str">
        <f>IFERROR(__xludf.DUMMYFUNCTION("""COMPUTED_VALUE"""),"https://drive.google.com/file/d/1qwBE_OwpzPE9NQpSEdBVwC0f2F2pBc6s/view?usp=drivesdk")</f>
        <v>https://drive.google.com/file/d/1qwBE_OwpzPE9NQpSEdBVwC0f2F2pBc6s/view?usp=drivesdk</v>
      </c>
    </row>
    <row r="6083">
      <c r="A6083" s="15">
        <f>IFERROR(__xludf.DUMMYFUNCTION("""COMPUTED_VALUE"""),45175.0)</f>
        <v>45175</v>
      </c>
      <c r="B6083" s="16" t="str">
        <f>IFERROR(__xludf.DUMMYFUNCTION("""COMPUTED_VALUE"""),"Jeison Rubiano")</f>
        <v>Jeison Rubiano</v>
      </c>
      <c r="C6083" s="15" t="str">
        <f>IFERROR(__xludf.DUMMYFUNCTION("""COMPUTED_VALUE"""),"BOGOTÁ")</f>
        <v>BOGOTÁ</v>
      </c>
      <c r="D6083" s="15" t="str">
        <f>IFERROR(__xludf.DUMMYFUNCTION("""COMPUTED_VALUE"""),"MEDELLÍN")</f>
        <v>MEDELLÍN</v>
      </c>
      <c r="E6083" s="15" t="str">
        <f>IFERROR(__xludf.DUMMYFUNCTION("""COMPUTED_VALUE"""),"Panki Waffle")</f>
        <v>Panki Waffle</v>
      </c>
      <c r="F6083" s="17" t="str">
        <f>IFERROR(__xludf.DUMMYFUNCTION("""COMPUTED_VALUE"""),"Carrera 68 B # 22A-71  l / Apto 204 interior 10Carrera 68 B # 22A-71  Apto 204 interior 10  / Salitre Club Residencia")</f>
        <v>Carrera 68 B # 22A-71  l / Apto 204 interior 10Carrera 68 B # 22A-71  Apto 204 interior 10  / Salitre Club Residencia</v>
      </c>
      <c r="G6083" s="15" t="str">
        <f>IFERROR(__xludf.DUMMYFUNCTION("""COMPUTED_VALUE"""),"Esperanza Pérez")</f>
        <v>Esperanza Pérez</v>
      </c>
      <c r="H6083" s="16">
        <f>IFERROR(__xludf.DUMMYFUNCTION("""COMPUTED_VALUE"""),14776.0)</f>
        <v>14776</v>
      </c>
      <c r="I6083" s="18">
        <f>IFERROR(__xludf.DUMMYFUNCTION("""COMPUTED_VALUE"""),18.0)</f>
        <v>18</v>
      </c>
      <c r="J6083" s="18">
        <f>IFERROR(__xludf.DUMMYFUNCTION("""COMPUTED_VALUE"""),23.0)</f>
        <v>23</v>
      </c>
      <c r="K6083" s="18" t="str">
        <f>IFERROR(__xludf.DUMMYFUNCTION("""COMPUTED_VALUE"""),"35.5")</f>
        <v>35.5</v>
      </c>
      <c r="L6083" s="17">
        <f>IFERROR(__xludf.DUMMYFUNCTION("""COMPUTED_VALUE"""),3.108523039E9)</f>
        <v>3108523039</v>
      </c>
      <c r="M6083" s="17" t="str">
        <f>IFERROR(__xludf.DUMMYFUNCTION("""COMPUTED_VALUE"""),"#REF!")</f>
        <v>#REF!</v>
      </c>
      <c r="N6083" s="17"/>
      <c r="O6083" s="17"/>
      <c r="P6083" s="17" t="b">
        <f>IFERROR(__xludf.DUMMYFUNCTION("""COMPUTED_VALUE"""),FALSE)</f>
        <v>0</v>
      </c>
      <c r="Q6083" s="20" t="str">
        <f>IFERROR(__xludf.DUMMYFUNCTION("""COMPUTED_VALUE"""),"")</f>
        <v/>
      </c>
      <c r="R6083" s="21" t="str">
        <f>IFERROR(__xludf.DUMMYFUNCTION("""COMPUTED_VALUE"""),"https://drive.google.com/file/d/1ENAbw2Ne6iz-Fg1s0IBXy4TQCQlzGIZF/view?usp=drivesdk")</f>
        <v>https://drive.google.com/file/d/1ENAbw2Ne6iz-Fg1s0IBXy4TQCQlzGIZF/view?usp=drivesdk</v>
      </c>
    </row>
    <row r="6084">
      <c r="A6084" s="15">
        <f>IFERROR(__xludf.DUMMYFUNCTION("""COMPUTED_VALUE"""),45175.0)</f>
        <v>45175</v>
      </c>
      <c r="B6084" s="16" t="str">
        <f>IFERROR(__xludf.DUMMYFUNCTION("""COMPUTED_VALUE"""),"Jeison Rubiano")</f>
        <v>Jeison Rubiano</v>
      </c>
      <c r="C6084" s="15" t="str">
        <f>IFERROR(__xludf.DUMMYFUNCTION("""COMPUTED_VALUE"""),"BOGOTÁ")</f>
        <v>BOGOTÁ</v>
      </c>
      <c r="D6084" s="15" t="str">
        <f>IFERROR(__xludf.DUMMYFUNCTION("""COMPUTED_VALUE"""),"MEDELLÍN")</f>
        <v>MEDELLÍN</v>
      </c>
      <c r="E6084" s="15" t="str">
        <f>IFERROR(__xludf.DUMMYFUNCTION("""COMPUTED_VALUE"""),"Rambla")</f>
        <v>Rambla</v>
      </c>
      <c r="F6084" s="17" t="str">
        <f>IFERROR(__xludf.DUMMYFUNCTION("""COMPUTED_VALUE"""),"Calle 41 a número 8-25 bulevar 42 apto 707 b / - / -")</f>
        <v>Calle 41 a número 8-25 bulevar 42 apto 707 b / - / -</v>
      </c>
      <c r="G6084" s="15" t="str">
        <f>IFERROR(__xludf.DUMMYFUNCTION("""COMPUTED_VALUE"""),"Nutriclic")</f>
        <v>Nutriclic</v>
      </c>
      <c r="H6084" s="16">
        <f>IFERROR(__xludf.DUMMYFUNCTION("""COMPUTED_VALUE"""),14810.0)</f>
        <v>14810</v>
      </c>
      <c r="I6084" s="18">
        <f>IFERROR(__xludf.DUMMYFUNCTION("""COMPUTED_VALUE"""),14.0)</f>
        <v>14</v>
      </c>
      <c r="J6084" s="18">
        <f>IFERROR(__xludf.DUMMYFUNCTION("""COMPUTED_VALUE"""),23.0)</f>
        <v>23</v>
      </c>
      <c r="K6084" s="18">
        <f>IFERROR(__xludf.DUMMYFUNCTION("""COMPUTED_VALUE"""),24.0)</f>
        <v>24</v>
      </c>
      <c r="L6084" s="17">
        <f>IFERROR(__xludf.DUMMYFUNCTION("""COMPUTED_VALUE"""),3.102661625E9)</f>
        <v>3102661625</v>
      </c>
      <c r="M6084" s="17" t="str">
        <f>IFERROR(__xludf.DUMMYFUNCTION("""COMPUTED_VALUE"""),"#REF!")</f>
        <v>#REF!</v>
      </c>
      <c r="N6084" s="17"/>
      <c r="O6084" s="17"/>
      <c r="P6084" s="17" t="b">
        <f>IFERROR(__xludf.DUMMYFUNCTION("""COMPUTED_VALUE"""),FALSE)</f>
        <v>0</v>
      </c>
      <c r="Q6084" s="20" t="str">
        <f>IFERROR(__xludf.DUMMYFUNCTION("""COMPUTED_VALUE"""),"")</f>
        <v/>
      </c>
      <c r="R6084" s="21" t="str">
        <f>IFERROR(__xludf.DUMMYFUNCTION("""COMPUTED_VALUE"""),"https://drive.google.com/file/d/14zct-P9yUvF1LpLJxGHi6OYyP2_-jznP/view?usp=drivesdk")</f>
        <v>https://drive.google.com/file/d/14zct-P9yUvF1LpLJxGHi6OYyP2_-jznP/view?usp=drivesdk</v>
      </c>
    </row>
    <row r="6085">
      <c r="A6085" s="15">
        <f>IFERROR(__xludf.DUMMYFUNCTION("""COMPUTED_VALUE"""),45175.0)</f>
        <v>45175</v>
      </c>
      <c r="B6085" s="16" t="str">
        <f>IFERROR(__xludf.DUMMYFUNCTION("""COMPUTED_VALUE"""),"Jeison Rubiano")</f>
        <v>Jeison Rubiano</v>
      </c>
      <c r="C6085" s="15" t="str">
        <f>IFERROR(__xludf.DUMMYFUNCTION("""COMPUTED_VALUE"""),"MONTERIA")</f>
        <v>MONTERIA</v>
      </c>
      <c r="D6085" s="15" t="str">
        <f>IFERROR(__xludf.DUMMYFUNCTION("""COMPUTED_VALUE"""),"MEDELLÍN")</f>
        <v>MEDELLÍN</v>
      </c>
      <c r="E6085" s="15" t="str">
        <f>IFERROR(__xludf.DUMMYFUNCTION("""COMPUTED_VALUE"""),"Rambla")</f>
        <v>Rambla</v>
      </c>
      <c r="F6085" s="17" t="str">
        <f>IFERROR(__xludf.DUMMYFUNCTION("""COMPUTED_VALUE"""),"calle 62  #6 45lc  2 barrio los alcazares cr7 / - / -")</f>
        <v>calle 62  #6 45lc  2 barrio los alcazares cr7 / - / -</v>
      </c>
      <c r="G6085" s="15" t="str">
        <f>IFERROR(__xludf.DUMMYFUNCTION("""COMPUTED_VALUE"""),"Felii")</f>
        <v>Felii</v>
      </c>
      <c r="H6085" s="16">
        <f>IFERROR(__xludf.DUMMYFUNCTION("""COMPUTED_VALUE"""),14808.0)</f>
        <v>14808</v>
      </c>
      <c r="I6085" s="18">
        <f>IFERROR(__xludf.DUMMYFUNCTION("""COMPUTED_VALUE"""),22.0)</f>
        <v>22</v>
      </c>
      <c r="J6085" s="18">
        <f>IFERROR(__xludf.DUMMYFUNCTION("""COMPUTED_VALUE"""),26.0)</f>
        <v>26</v>
      </c>
      <c r="K6085" s="18">
        <f>IFERROR(__xludf.DUMMYFUNCTION("""COMPUTED_VALUE"""),26.0)</f>
        <v>26</v>
      </c>
      <c r="L6085" s="17">
        <f>IFERROR(__xludf.DUMMYFUNCTION("""COMPUTED_VALUE"""),3.052261719E9)</f>
        <v>3052261719</v>
      </c>
      <c r="M6085" s="17" t="str">
        <f>IFERROR(__xludf.DUMMYFUNCTION("""COMPUTED_VALUE"""),"#REF!")</f>
        <v>#REF!</v>
      </c>
      <c r="N6085" s="17"/>
      <c r="O6085" s="17"/>
      <c r="P6085" s="17" t="b">
        <f>IFERROR(__xludf.DUMMYFUNCTION("""COMPUTED_VALUE"""),FALSE)</f>
        <v>0</v>
      </c>
      <c r="Q6085" s="20" t="str">
        <f>IFERROR(__xludf.DUMMYFUNCTION("""COMPUTED_VALUE"""),"")</f>
        <v/>
      </c>
      <c r="R6085" s="21" t="str">
        <f>IFERROR(__xludf.DUMMYFUNCTION("""COMPUTED_VALUE"""),"https://drive.google.com/file/d/14jR4ptuGHmQamqWWK0ZIq0PQIOddq4Nn/view?usp=drivesdk")</f>
        <v>https://drive.google.com/file/d/14jR4ptuGHmQamqWWK0ZIq0PQIOddq4Nn/view?usp=drivesdk</v>
      </c>
    </row>
    <row r="6086">
      <c r="A6086" s="15">
        <f>IFERROR(__xludf.DUMMYFUNCTION("""COMPUTED_VALUE"""),45175.0)</f>
        <v>45175</v>
      </c>
      <c r="B6086" s="16" t="str">
        <f>IFERROR(__xludf.DUMMYFUNCTION("""COMPUTED_VALUE"""),"Jeison Rubiano")</f>
        <v>Jeison Rubiano</v>
      </c>
      <c r="C6086" s="15" t="str">
        <f>IFERROR(__xludf.DUMMYFUNCTION("""COMPUTED_VALUE"""),"MONTERIA")</f>
        <v>MONTERIA</v>
      </c>
      <c r="D6086" s="15" t="str">
        <f>IFERROR(__xludf.DUMMYFUNCTION("""COMPUTED_VALUE"""),"MEDELLÍN")</f>
        <v>MEDELLÍN</v>
      </c>
      <c r="E6086" s="15" t="str">
        <f>IFERROR(__xludf.DUMMYFUNCTION("""COMPUTED_VALUE"""),"Rambla")</f>
        <v>Rambla</v>
      </c>
      <c r="F6086" s="17" t="str">
        <f>IFERROR(__xludf.DUMMYFUNCTION("""COMPUTED_VALUE"""),"Cl. 44 #10 - 91 Centro comercial Alamedas Local 4 ENJOY FIT MA RKET Montería - Córdoba / - / -")</f>
        <v>Cl. 44 #10 - 91 Centro comercial Alamedas Local 4 ENJOY FIT MA RKET Montería - Córdoba / - / -</v>
      </c>
      <c r="G6086" s="15" t="str">
        <f>IFERROR(__xludf.DUMMYFUNCTION("""COMPUTED_VALUE"""),"Enjoy")</f>
        <v>Enjoy</v>
      </c>
      <c r="H6086" s="16">
        <f>IFERROR(__xludf.DUMMYFUNCTION("""COMPUTED_VALUE"""),14807.0)</f>
        <v>14807</v>
      </c>
      <c r="I6086" s="18">
        <f>IFERROR(__xludf.DUMMYFUNCTION("""COMPUTED_VALUE"""),20.0)</f>
        <v>20</v>
      </c>
      <c r="J6086" s="18">
        <f>IFERROR(__xludf.DUMMYFUNCTION("""COMPUTED_VALUE"""),26.0)</f>
        <v>26</v>
      </c>
      <c r="K6086" s="18">
        <f>IFERROR(__xludf.DUMMYFUNCTION("""COMPUTED_VALUE"""),26.0)</f>
        <v>26</v>
      </c>
      <c r="L6086" s="17">
        <f>IFERROR(__xludf.DUMMYFUNCTION("""COMPUTED_VALUE"""),3.228800692E9)</f>
        <v>3228800692</v>
      </c>
      <c r="M6086" s="17" t="str">
        <f>IFERROR(__xludf.DUMMYFUNCTION("""COMPUTED_VALUE"""),"#REF!")</f>
        <v>#REF!</v>
      </c>
      <c r="N6086" s="17"/>
      <c r="O6086" s="17"/>
      <c r="P6086" s="17" t="b">
        <f>IFERROR(__xludf.DUMMYFUNCTION("""COMPUTED_VALUE"""),TRUE)</f>
        <v>1</v>
      </c>
      <c r="Q6086" s="20">
        <f>IFERROR(__xludf.DUMMYFUNCTION("""COMPUTED_VALUE"""),45179.042997048615)</f>
        <v>45179.043</v>
      </c>
      <c r="R6086" s="21" t="str">
        <f>IFERROR(__xludf.DUMMYFUNCTION("""COMPUTED_VALUE"""),"https://drive.google.com/file/d/1l7yfpCTUjSumHjQJBPmzG0Uaa-ctmuah/view?usp=drivesdk")</f>
        <v>https://drive.google.com/file/d/1l7yfpCTUjSumHjQJBPmzG0Uaa-ctmuah/view?usp=drivesdk</v>
      </c>
    </row>
    <row r="6087">
      <c r="A6087" s="17" t="str">
        <f>IFERROR(__xludf.DUMMYFUNCTION("""COMPUTED_VALUE"""),"")</f>
        <v/>
      </c>
      <c r="B6087" s="17" t="str">
        <f>IFERROR(__xludf.DUMMYFUNCTION("""COMPUTED_VALUE"""),"")</f>
        <v/>
      </c>
      <c r="C6087" s="17" t="str">
        <f>IFERROR(__xludf.DUMMYFUNCTION("""COMPUTED_VALUE"""),"")</f>
        <v/>
      </c>
      <c r="D6087" s="17" t="str">
        <f>IFERROR(__xludf.DUMMYFUNCTION("""COMPUTED_VALUE"""),"")</f>
        <v/>
      </c>
      <c r="E6087" s="17" t="str">
        <f>IFERROR(__xludf.DUMMYFUNCTION("""COMPUTED_VALUE"""),"")</f>
        <v/>
      </c>
      <c r="F6087" s="17" t="str">
        <f>IFERROR(__xludf.DUMMYFUNCTION("""COMPUTED_VALUE"""),"")</f>
        <v/>
      </c>
      <c r="G6087" s="17" t="str">
        <f>IFERROR(__xludf.DUMMYFUNCTION("""COMPUTED_VALUE"""),"")</f>
        <v/>
      </c>
      <c r="H6087" s="17" t="str">
        <f>IFERROR(__xludf.DUMMYFUNCTION("""COMPUTED_VALUE"""),"")</f>
        <v/>
      </c>
      <c r="I6087" s="17" t="str">
        <f>IFERROR(__xludf.DUMMYFUNCTION("""COMPUTED_VALUE"""),"")</f>
        <v/>
      </c>
      <c r="J6087" s="17" t="str">
        <f>IFERROR(__xludf.DUMMYFUNCTION("""COMPUTED_VALUE"""),"")</f>
        <v/>
      </c>
      <c r="K6087" s="17" t="str">
        <f>IFERROR(__xludf.DUMMYFUNCTION("""COMPUTED_VALUE"""),"")</f>
        <v/>
      </c>
      <c r="L6087" s="17" t="str">
        <f>IFERROR(__xludf.DUMMYFUNCTION("""COMPUTED_VALUE"""),"")</f>
        <v/>
      </c>
      <c r="M6087" s="17" t="str">
        <f>IFERROR(__xludf.DUMMYFUNCTION("""COMPUTED_VALUE"""),"")</f>
        <v/>
      </c>
      <c r="N6087" s="17" t="str">
        <f>IFERROR(__xludf.DUMMYFUNCTION("""COMPUTED_VALUE"""),"")</f>
        <v/>
      </c>
      <c r="O6087" s="17" t="str">
        <f>IFERROR(__xludf.DUMMYFUNCTION("""COMPUTED_VALUE"""),"")</f>
        <v/>
      </c>
      <c r="P6087" s="17" t="str">
        <f>IFERROR(__xludf.DUMMYFUNCTION("""COMPUTED_VALUE"""),"")</f>
        <v/>
      </c>
      <c r="Q6087" s="17" t="str">
        <f>IFERROR(__xludf.DUMMYFUNCTION("""COMPUTED_VALUE"""),"")</f>
        <v/>
      </c>
      <c r="R6087" s="17" t="str">
        <f>IFERROR(__xludf.DUMMYFUNCTION("""COMPUTED_VALUE"""),"")</f>
        <v/>
      </c>
    </row>
    <row r="6088">
      <c r="A6088" s="15">
        <f>IFERROR(__xludf.DUMMYFUNCTION("""COMPUTED_VALUE"""),45175.0)</f>
        <v>45175</v>
      </c>
      <c r="B6088" s="16" t="str">
        <f>IFERROR(__xludf.DUMMYFUNCTION("""COMPUTED_VALUE"""),"Johan Alexander Escobar Arroyo ")</f>
        <v>Johan Alexander Escobar Arroyo </v>
      </c>
      <c r="C6088" s="15" t="str">
        <f>IFERROR(__xludf.DUMMYFUNCTION("""COMPUTED_VALUE"""),"CALI")</f>
        <v>CALI</v>
      </c>
      <c r="D6088" s="15" t="str">
        <f>IFERROR(__xludf.DUMMYFUNCTION("""COMPUTED_VALUE"""),"BOGOTÁ")</f>
        <v>BOGOTÁ</v>
      </c>
      <c r="E6088" s="15" t="str">
        <f>IFERROR(__xludf.DUMMYFUNCTION("""COMPUTED_VALUE"""),"Pan de Waffle")</f>
        <v>Pan de Waffle</v>
      </c>
      <c r="F6088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6088" s="15" t="str">
        <f>IFERROR(__xludf.DUMMYFUNCTION("""COMPUTED_VALUE"""),"FOODOLOGY")</f>
        <v>FOODOLOGY</v>
      </c>
      <c r="H6088" s="16">
        <f>IFERROR(__xludf.DUMMYFUNCTION("""COMPUTED_VALUE"""),14734.0)</f>
        <v>14734</v>
      </c>
      <c r="I6088" s="18">
        <f>IFERROR(__xludf.DUMMYFUNCTION("""COMPUTED_VALUE"""),40.0)</f>
        <v>40</v>
      </c>
      <c r="J6088" s="18">
        <f>IFERROR(__xludf.DUMMYFUNCTION("""COMPUTED_VALUE"""),40.0)</f>
        <v>40</v>
      </c>
      <c r="K6088" s="18">
        <f>IFERROR(__xludf.DUMMYFUNCTION("""COMPUTED_VALUE"""),30.0)</f>
        <v>30</v>
      </c>
      <c r="L6088" s="17">
        <f>IFERROR(__xludf.DUMMYFUNCTION("""COMPUTED_VALUE"""),3.158323233E9)</f>
        <v>3158323233</v>
      </c>
      <c r="M6088" s="17" t="str">
        <f>IFERROR(__xludf.DUMMYFUNCTION("""COMPUTED_VALUE"""),"#REF!")</f>
        <v>#REF!</v>
      </c>
      <c r="N6088" s="17"/>
      <c r="O6088" s="17"/>
      <c r="P6088" s="17" t="b">
        <f>IFERROR(__xludf.DUMMYFUNCTION("""COMPUTED_VALUE"""),TRUE)</f>
        <v>1</v>
      </c>
      <c r="Q6088" s="20">
        <f>IFERROR(__xludf.DUMMYFUNCTION("""COMPUTED_VALUE"""),45179.042997048615)</f>
        <v>45179.043</v>
      </c>
      <c r="R6088" s="22" t="str">
        <f>IFERROR(__xludf.DUMMYFUNCTION("""COMPUTED_VALUE"""),"")</f>
        <v/>
      </c>
    </row>
    <row r="6089">
      <c r="A6089" s="15">
        <f>IFERROR(__xludf.DUMMYFUNCTION("""COMPUTED_VALUE"""),45175.0)</f>
        <v>45175</v>
      </c>
      <c r="B6089" s="16" t="str">
        <f>IFERROR(__xludf.DUMMYFUNCTION("""COMPUTED_VALUE"""),"Johan Alexander Escobar Arroyo ")</f>
        <v>Johan Alexander Escobar Arroyo </v>
      </c>
      <c r="C6089" s="15" t="str">
        <f>IFERROR(__xludf.DUMMYFUNCTION("""COMPUTED_VALUE"""),"CALI")</f>
        <v>CALI</v>
      </c>
      <c r="D6089" s="15" t="str">
        <f>IFERROR(__xludf.DUMMYFUNCTION("""COMPUTED_VALUE"""),"MEDELLÍN")</f>
        <v>MEDELLÍN</v>
      </c>
      <c r="E6089" s="15" t="str">
        <f>IFERROR(__xludf.DUMMYFUNCTION("""COMPUTED_VALUE"""),"AREPAS LA MARY")</f>
        <v>AREPAS LA MARY</v>
      </c>
      <c r="F6089" s="17" t="str">
        <f>IFERROR(__xludf.DUMMYFUNCTION("""COMPUTED_VALUE"""),"Calle 28#98 75 apto 602 torre A / VALLE DEL LILI CALI")</f>
        <v>Calle 28#98 75 apto 602 torre A / VALLE DEL LILI CALI</v>
      </c>
      <c r="G6089" s="15" t="str">
        <f>IFERROR(__xludf.DUMMYFUNCTION("""COMPUTED_VALUE"""),"MARIA ANGELICA CASTILLO")</f>
        <v>MARIA ANGELICA CASTILLO</v>
      </c>
      <c r="H6089" s="16">
        <f>IFERROR(__xludf.DUMMYFUNCTION("""COMPUTED_VALUE"""),14693.0)</f>
        <v>14693</v>
      </c>
      <c r="I6089" s="18">
        <f>IFERROR(__xludf.DUMMYFUNCTION("""COMPUTED_VALUE"""),89.0)</f>
        <v>89</v>
      </c>
      <c r="J6089" s="18">
        <f>IFERROR(__xludf.DUMMYFUNCTION("""COMPUTED_VALUE"""),1.0)</f>
        <v>1</v>
      </c>
      <c r="K6089" s="18">
        <f>IFERROR(__xludf.DUMMYFUNCTION("""COMPUTED_VALUE"""),10.0)</f>
        <v>10</v>
      </c>
      <c r="L6089" s="17">
        <f>IFERROR(__xludf.DUMMYFUNCTION("""COMPUTED_VALUE"""),3.167738732E9)</f>
        <v>3167738732</v>
      </c>
      <c r="M6089" s="17" t="str">
        <f>IFERROR(__xludf.DUMMYFUNCTION("""COMPUTED_VALUE"""),"#REF!")</f>
        <v>#REF!</v>
      </c>
      <c r="N6089" s="17"/>
      <c r="O6089" s="17"/>
      <c r="P6089" s="17" t="b">
        <f>IFERROR(__xludf.DUMMYFUNCTION("""COMPUTED_VALUE"""),TRUE)</f>
        <v>1</v>
      </c>
      <c r="Q6089" s="20">
        <f>IFERROR(__xludf.DUMMYFUNCTION("""COMPUTED_VALUE"""),45179.04299706018)</f>
        <v>45179.043</v>
      </c>
      <c r="R6089" s="21" t="str">
        <f>IFERROR(__xludf.DUMMYFUNCTION("""COMPUTED_VALUE"""),"https://drive.google.com/file/d/1URcz0VlxLXrRUFRl6Qzx-rkGo9mbVwbj/view?usp=drivesdk")</f>
        <v>https://drive.google.com/file/d/1URcz0VlxLXrRUFRl6Qzx-rkGo9mbVwbj/view?usp=drivesdk</v>
      </c>
    </row>
    <row r="6090">
      <c r="A6090" s="15">
        <f>IFERROR(__xludf.DUMMYFUNCTION("""COMPUTED_VALUE"""),45175.0)</f>
        <v>45175</v>
      </c>
      <c r="B6090" s="16" t="str">
        <f>IFERROR(__xludf.DUMMYFUNCTION("""COMPUTED_VALUE"""),"Johan Alexander Escobar Arroyo ")</f>
        <v>Johan Alexander Escobar Arroyo </v>
      </c>
      <c r="C6090" s="15" t="str">
        <f>IFERROR(__xludf.DUMMYFUNCTION("""COMPUTED_VALUE"""),"CALI")</f>
        <v>CALI</v>
      </c>
      <c r="D6090" s="15" t="str">
        <f>IFERROR(__xludf.DUMMYFUNCTION("""COMPUTED_VALUE"""),"MEDELLÍN")</f>
        <v>MEDELLÍN</v>
      </c>
      <c r="E6090" s="15" t="str">
        <f>IFERROR(__xludf.DUMMYFUNCTION("""COMPUTED_VALUE"""),"Baby Chef")</f>
        <v>Baby Chef</v>
      </c>
      <c r="F6090" s="17" t="str">
        <f>IFERROR(__xludf.DUMMYFUNCTION("""COMPUTED_VALUE"""),"calle 12a#107-25 Jockey club 3 ciudad jardín - casa 29 / calle 12a#107-25 Jockey club 3 ciudad jardín - casa 29 / calle 12a#107-25 Jockey club 3 ciudad jardín - casa 29")</f>
        <v>calle 12a#107-25 Jockey club 3 ciudad jardín - casa 29 / calle 12a#107-25 Jockey club 3 ciudad jardín - casa 29 / calle 12a#107-25 Jockey club 3 ciudad jardín - casa 29</v>
      </c>
      <c r="G6090" s="15" t="str">
        <f>IFERROR(__xludf.DUMMYFUNCTION("""COMPUTED_VALUE"""),"Paula herrera")</f>
        <v>Paula herrera</v>
      </c>
      <c r="H6090" s="16">
        <f>IFERROR(__xludf.DUMMYFUNCTION("""COMPUTED_VALUE"""),14794.0)</f>
        <v>14794</v>
      </c>
      <c r="I6090" s="18">
        <f>IFERROR(__xludf.DUMMYFUNCTION("""COMPUTED_VALUE"""),6.0)</f>
        <v>6</v>
      </c>
      <c r="J6090" s="18">
        <f>IFERROR(__xludf.DUMMYFUNCTION("""COMPUTED_VALUE"""),24.0)</f>
        <v>24</v>
      </c>
      <c r="K6090" s="18">
        <f>IFERROR(__xludf.DUMMYFUNCTION("""COMPUTED_VALUE"""),20.0)</f>
        <v>20</v>
      </c>
      <c r="L6090" s="17">
        <f>IFERROR(__xludf.DUMMYFUNCTION("""COMPUTED_VALUE"""),3.148919484E9)</f>
        <v>3148919484</v>
      </c>
      <c r="M6090" s="17" t="str">
        <f>IFERROR(__xludf.DUMMYFUNCTION("""COMPUTED_VALUE"""),"#REF!")</f>
        <v>#REF!</v>
      </c>
      <c r="N6090" s="17"/>
      <c r="O6090" s="17"/>
      <c r="P6090" s="17" t="b">
        <f>IFERROR(__xludf.DUMMYFUNCTION("""COMPUTED_VALUE"""),TRUE)</f>
        <v>1</v>
      </c>
      <c r="Q6090" s="20">
        <f>IFERROR(__xludf.DUMMYFUNCTION("""COMPUTED_VALUE"""),45179.04299706018)</f>
        <v>45179.043</v>
      </c>
      <c r="R6090" s="21" t="str">
        <f>IFERROR(__xludf.DUMMYFUNCTION("""COMPUTED_VALUE"""),"https://drive.google.com/file/d/181euetTrq7aobAJQLRBf09T4UGDZjrx8/view?usp=drivesdk")</f>
        <v>https://drive.google.com/file/d/181euetTrq7aobAJQLRBf09T4UGDZjrx8/view?usp=drivesdk</v>
      </c>
    </row>
    <row r="6091">
      <c r="A6091" s="15">
        <f>IFERROR(__xludf.DUMMYFUNCTION("""COMPUTED_VALUE"""),45175.0)</f>
        <v>45175</v>
      </c>
      <c r="B6091" s="16" t="str">
        <f>IFERROR(__xludf.DUMMYFUNCTION("""COMPUTED_VALUE"""),"Johan Alexander Escobar Arroyo ")</f>
        <v>Johan Alexander Escobar Arroyo </v>
      </c>
      <c r="C6091" s="15" t="str">
        <f>IFERROR(__xludf.DUMMYFUNCTION("""COMPUTED_VALUE"""),"CALI")</f>
        <v>CALI</v>
      </c>
      <c r="D6091" s="15" t="str">
        <f>IFERROR(__xludf.DUMMYFUNCTION("""COMPUTED_VALUE"""),"MEDELLÍN")</f>
        <v>MEDELLÍN</v>
      </c>
      <c r="E6091" s="15" t="str">
        <f>IFERROR(__xludf.DUMMYFUNCTION("""COMPUTED_VALUE"""),"Baby Chef")</f>
        <v>Baby Chef</v>
      </c>
      <c r="F6091" s="17" t="str">
        <f>IFERROR(__xludf.DUMMYFUNCTION("""COMPUTED_VALUE"""),"Carrera 103 # 11 - 40 Casa L2 Sendero del Polo Club casa L2, Barrio Ciudad jardín / ""Carrera 103 # 11 - 40 Casa L2 Sendero del Polo Club casa L2, Barrio Ciudad jardín"" / ""Carrera 103 # 11 - 40 Casa L2 Sendero del Polo Club casa L2, Barrio Ciudad jardín"&amp;"""")</f>
        <v>Carrera 103 # 11 - 40 Casa L2 Sendero del Polo Club casa L2, Barrio Ciudad jardín / "Carrera 103 # 11 - 40 Casa L2 Sendero del Polo Club casa L2, Barrio Ciudad jardín" / "Carrera 103 # 11 - 40 Casa L2 Sendero del Polo Club casa L2, Barrio Ciudad jardín"</v>
      </c>
      <c r="G6091" s="15" t="str">
        <f>IFERROR(__xludf.DUMMYFUNCTION("""COMPUTED_VALUE"""),"Manuela Escobar")</f>
        <v>Manuela Escobar</v>
      </c>
      <c r="H6091" s="16">
        <f>IFERROR(__xludf.DUMMYFUNCTION("""COMPUTED_VALUE"""),14799.0)</f>
        <v>14799</v>
      </c>
      <c r="I6091" s="18">
        <f>IFERROR(__xludf.DUMMYFUNCTION("""COMPUTED_VALUE"""),7.0)</f>
        <v>7</v>
      </c>
      <c r="J6091" s="18">
        <f>IFERROR(__xludf.DUMMYFUNCTION("""COMPUTED_VALUE"""),22.0)</f>
        <v>22</v>
      </c>
      <c r="K6091" s="18">
        <f>IFERROR(__xludf.DUMMYFUNCTION("""COMPUTED_VALUE"""),40.0)</f>
        <v>40</v>
      </c>
      <c r="L6091" s="17">
        <f>IFERROR(__xludf.DUMMYFUNCTION("""COMPUTED_VALUE"""),3.103997635E9)</f>
        <v>3103997635</v>
      </c>
      <c r="M6091" s="17" t="str">
        <f>IFERROR(__xludf.DUMMYFUNCTION("""COMPUTED_VALUE"""),"#REF!")</f>
        <v>#REF!</v>
      </c>
      <c r="N6091" s="17"/>
      <c r="O6091" s="17"/>
      <c r="P6091" s="17" t="b">
        <f>IFERROR(__xludf.DUMMYFUNCTION("""COMPUTED_VALUE"""),TRUE)</f>
        <v>1</v>
      </c>
      <c r="Q6091" s="20">
        <f>IFERROR(__xludf.DUMMYFUNCTION("""COMPUTED_VALUE"""),45179.04299706018)</f>
        <v>45179.043</v>
      </c>
      <c r="R6091" s="21" t="str">
        <f>IFERROR(__xludf.DUMMYFUNCTION("""COMPUTED_VALUE"""),"https://drive.google.com/file/d/1JjjYH1wcMkcdpaTd7Reh1PzY54yMNLpj/view?usp=drivesdk")</f>
        <v>https://drive.google.com/file/d/1JjjYH1wcMkcdpaTd7Reh1PzY54yMNLpj/view?usp=drivesdk</v>
      </c>
    </row>
    <row r="6092">
      <c r="A6092" s="15">
        <f>IFERROR(__xludf.DUMMYFUNCTION("""COMPUTED_VALUE"""),45175.0)</f>
        <v>45175</v>
      </c>
      <c r="B6092" s="16" t="str">
        <f>IFERROR(__xludf.DUMMYFUNCTION("""COMPUTED_VALUE"""),"Johan Alexander Escobar Arroyo ")</f>
        <v>Johan Alexander Escobar Arroyo </v>
      </c>
      <c r="C6092" s="15" t="str">
        <f>IFERROR(__xludf.DUMMYFUNCTION("""COMPUTED_VALUE"""),"CALI")</f>
        <v>CALI</v>
      </c>
      <c r="D6092" s="15" t="str">
        <f>IFERROR(__xludf.DUMMYFUNCTION("""COMPUTED_VALUE"""),"MEDELLÍN")</f>
        <v>MEDELLÍN</v>
      </c>
      <c r="E6092" s="15" t="str">
        <f>IFERROR(__xludf.DUMMYFUNCTION("""COMPUTED_VALUE"""),"Baby Chef")</f>
        <v>Baby Chef</v>
      </c>
      <c r="F6092" s="17" t="str">
        <f>IFERROR(__xludf.DUMMYFUNCTION("""COMPUTED_VALUE"""),"Carrera 103 # 11-40 Sendero del Polo Club casa P1 / ""Carrera 103 # 11-40 Sendero del Polo Club casa P1"" / ""Carrera 103 # 11-40 Sendero del Polo Club casa P1""")</f>
        <v>Carrera 103 # 11-40 Sendero del Polo Club casa P1 / "Carrera 103 # 11-40 Sendero del Polo Club casa P1" / "Carrera 103 # 11-40 Sendero del Polo Club casa P1"</v>
      </c>
      <c r="G6092" s="15" t="str">
        <f>IFERROR(__xludf.DUMMYFUNCTION("""COMPUTED_VALUE"""),"Johanna Rojas")</f>
        <v>Johanna Rojas</v>
      </c>
      <c r="H6092" s="16">
        <f>IFERROR(__xludf.DUMMYFUNCTION("""COMPUTED_VALUE"""),14798.0)</f>
        <v>14798</v>
      </c>
      <c r="I6092" s="18">
        <f>IFERROR(__xludf.DUMMYFUNCTION("""COMPUTED_VALUE"""),7.0)</f>
        <v>7</v>
      </c>
      <c r="J6092" s="18">
        <f>IFERROR(__xludf.DUMMYFUNCTION("""COMPUTED_VALUE"""),26.0)</f>
        <v>26</v>
      </c>
      <c r="K6092" s="18">
        <f>IFERROR(__xludf.DUMMYFUNCTION("""COMPUTED_VALUE"""),28.0)</f>
        <v>28</v>
      </c>
      <c r="L6092" s="17">
        <f>IFERROR(__xludf.DUMMYFUNCTION("""COMPUTED_VALUE"""),3.183307191E9)</f>
        <v>3183307191</v>
      </c>
      <c r="M6092" s="17" t="str">
        <f>IFERROR(__xludf.DUMMYFUNCTION("""COMPUTED_VALUE"""),"#REF!")</f>
        <v>#REF!</v>
      </c>
      <c r="N6092" s="17"/>
      <c r="O6092" s="17"/>
      <c r="P6092" s="17" t="b">
        <f>IFERROR(__xludf.DUMMYFUNCTION("""COMPUTED_VALUE"""),TRUE)</f>
        <v>1</v>
      </c>
      <c r="Q6092" s="20">
        <f>IFERROR(__xludf.DUMMYFUNCTION("""COMPUTED_VALUE"""),45179.04299706018)</f>
        <v>45179.043</v>
      </c>
      <c r="R6092" s="21" t="str">
        <f>IFERROR(__xludf.DUMMYFUNCTION("""COMPUTED_VALUE"""),"https://drive.google.com/file/d/1VjtWADigPlhADMLMyhwNq4wND_PeEQmR/view?usp=drivesdk")</f>
        <v>https://drive.google.com/file/d/1VjtWADigPlhADMLMyhwNq4wND_PeEQmR/view?usp=drivesdk</v>
      </c>
    </row>
    <row r="6093">
      <c r="A6093" s="15">
        <f>IFERROR(__xludf.DUMMYFUNCTION("""COMPUTED_VALUE"""),45175.0)</f>
        <v>45175</v>
      </c>
      <c r="B6093" s="16" t="str">
        <f>IFERROR(__xludf.DUMMYFUNCTION("""COMPUTED_VALUE"""),"Johan Alexander Escobar Arroyo ")</f>
        <v>Johan Alexander Escobar Arroyo </v>
      </c>
      <c r="C6093" s="15" t="str">
        <f>IFERROR(__xludf.DUMMYFUNCTION("""COMPUTED_VALUE"""),"CALI")</f>
        <v>CALI</v>
      </c>
      <c r="D6093" s="15" t="str">
        <f>IFERROR(__xludf.DUMMYFUNCTION("""COMPUTED_VALUE"""),"MEDELLÍN")</f>
        <v>MEDELLÍN</v>
      </c>
      <c r="E6093" s="15" t="str">
        <f>IFERROR(__xludf.DUMMYFUNCTION("""COMPUTED_VALUE"""),"Baby Chef")</f>
        <v>Baby Chef</v>
      </c>
      <c r="F6093" s="17" t="str">
        <f>IFERROR(__xludf.DUMMYFUNCTION("""COMPUTED_VALUE"""),"CARRERA 28H #41-123, BARRIO EL DIAMANTE APTO 201 / CARRERA 28H #41-123, BARRIO EL DIAMANTE APTO 201 / CARRERA 28H #41-123, BARRIO EL DIAMANTE APTO 201")</f>
        <v>CARRERA 28H #41-123, BARRIO EL DIAMANTE APTO 201 / CARRERA 28H #41-123, BARRIO EL DIAMANTE APTO 201 / CARRERA 28H #41-123, BARRIO EL DIAMANTE APTO 201</v>
      </c>
      <c r="G6093" s="15" t="str">
        <f>IFERROR(__xludf.DUMMYFUNCTION("""COMPUTED_VALUE"""),"Carolina Nazarith")</f>
        <v>Carolina Nazarith</v>
      </c>
      <c r="H6093" s="16">
        <f>IFERROR(__xludf.DUMMYFUNCTION("""COMPUTED_VALUE"""),14796.0)</f>
        <v>14796</v>
      </c>
      <c r="I6093" s="18">
        <f>IFERROR(__xludf.DUMMYFUNCTION("""COMPUTED_VALUE"""),9.0)</f>
        <v>9</v>
      </c>
      <c r="J6093" s="18">
        <f>IFERROR(__xludf.DUMMYFUNCTION("""COMPUTED_VALUE"""),24.0)</f>
        <v>24</v>
      </c>
      <c r="K6093" s="18">
        <f>IFERROR(__xludf.DUMMYFUNCTION("""COMPUTED_VALUE"""),21.0)</f>
        <v>21</v>
      </c>
      <c r="L6093" s="17">
        <f>IFERROR(__xludf.DUMMYFUNCTION("""COMPUTED_VALUE"""),3.116069111E9)</f>
        <v>3116069111</v>
      </c>
      <c r="M6093" s="17" t="str">
        <f>IFERROR(__xludf.DUMMYFUNCTION("""COMPUTED_VALUE"""),"#REF!")</f>
        <v>#REF!</v>
      </c>
      <c r="N6093" s="17"/>
      <c r="O6093" s="17"/>
      <c r="P6093" s="17" t="b">
        <f>IFERROR(__xludf.DUMMYFUNCTION("""COMPUTED_VALUE"""),TRUE)</f>
        <v>1</v>
      </c>
      <c r="Q6093" s="20">
        <f>IFERROR(__xludf.DUMMYFUNCTION("""COMPUTED_VALUE"""),45179.04299706018)</f>
        <v>45179.043</v>
      </c>
      <c r="R6093" s="21" t="str">
        <f>IFERROR(__xludf.DUMMYFUNCTION("""COMPUTED_VALUE"""),"https://drive.google.com/file/d/1N8mjkvDORNySmOXsr2ZOMQz4CF33k9x8/view?usp=drivesdk")</f>
        <v>https://drive.google.com/file/d/1N8mjkvDORNySmOXsr2ZOMQz4CF33k9x8/view?usp=drivesdk</v>
      </c>
    </row>
    <row r="6094">
      <c r="A6094" s="15">
        <f>IFERROR(__xludf.DUMMYFUNCTION("""COMPUTED_VALUE"""),45175.0)</f>
        <v>45175</v>
      </c>
      <c r="B6094" s="16" t="str">
        <f>IFERROR(__xludf.DUMMYFUNCTION("""COMPUTED_VALUE"""),"Johan Alexander Escobar Arroyo ")</f>
        <v>Johan Alexander Escobar Arroyo </v>
      </c>
      <c r="C6094" s="15" t="str">
        <f>IFERROR(__xludf.DUMMYFUNCTION("""COMPUTED_VALUE"""),"CALI")</f>
        <v>CALI</v>
      </c>
      <c r="D6094" s="15" t="str">
        <f>IFERROR(__xludf.DUMMYFUNCTION("""COMPUTED_VALUE"""),"MEDELLÍN")</f>
        <v>MEDELLÍN</v>
      </c>
      <c r="E6094" s="15" t="str">
        <f>IFERROR(__xludf.DUMMYFUNCTION("""COMPUTED_VALUE"""),"Baby Chef")</f>
        <v>Baby Chef</v>
      </c>
      <c r="F6094" s="17" t="str">
        <f>IFERROR(__xludf.DUMMYFUNCTION("""COMPUTED_VALUE"""),"Carrera 36B#1oeste-75 Edificio Quadratto,apto 904 Barrio Cristales / Carrera 36B#1oeste-75 Edificio Quadratto,apto 904 Barrio Cristales / Carrera 36B#1oeste-75 Edificio Quadratto,apto 904 Barrio Cristales")</f>
        <v>Carrera 36B#1oeste-75 Edificio Quadratto,apto 904 Barrio Cristales / Carrera 36B#1oeste-75 Edificio Quadratto,apto 904 Barrio Cristales / Carrera 36B#1oeste-75 Edificio Quadratto,apto 904 Barrio Cristales</v>
      </c>
      <c r="G6094" s="15" t="str">
        <f>IFERROR(__xludf.DUMMYFUNCTION("""COMPUTED_VALUE"""),"Daniela Baraya")</f>
        <v>Daniela Baraya</v>
      </c>
      <c r="H6094" s="16">
        <f>IFERROR(__xludf.DUMMYFUNCTION("""COMPUTED_VALUE"""),14797.0)</f>
        <v>14797</v>
      </c>
      <c r="I6094" s="18">
        <f>IFERROR(__xludf.DUMMYFUNCTION("""COMPUTED_VALUE"""),8.0)</f>
        <v>8</v>
      </c>
      <c r="J6094" s="18">
        <f>IFERROR(__xludf.DUMMYFUNCTION("""COMPUTED_VALUE"""),21.0)</f>
        <v>21</v>
      </c>
      <c r="K6094" s="18">
        <f>IFERROR(__xludf.DUMMYFUNCTION("""COMPUTED_VALUE"""),21.0)</f>
        <v>21</v>
      </c>
      <c r="L6094" s="17">
        <f>IFERROR(__xludf.DUMMYFUNCTION("""COMPUTED_VALUE"""),3.218536044E9)</f>
        <v>3218536044</v>
      </c>
      <c r="M6094" s="17" t="str">
        <f>IFERROR(__xludf.DUMMYFUNCTION("""COMPUTED_VALUE"""),"#REF!")</f>
        <v>#REF!</v>
      </c>
      <c r="N6094" s="17"/>
      <c r="O6094" s="17"/>
      <c r="P6094" s="17" t="b">
        <f>IFERROR(__xludf.DUMMYFUNCTION("""COMPUTED_VALUE"""),TRUE)</f>
        <v>1</v>
      </c>
      <c r="Q6094" s="20">
        <f>IFERROR(__xludf.DUMMYFUNCTION("""COMPUTED_VALUE"""),45179.04299706018)</f>
        <v>45179.043</v>
      </c>
      <c r="R6094" s="21" t="str">
        <f>IFERROR(__xludf.DUMMYFUNCTION("""COMPUTED_VALUE"""),"https://drive.google.com/file/d/1YvhEGJnOyzbmnRmN8FqUDTSCPJUeR2fR/view?usp=drivesdk")</f>
        <v>https://drive.google.com/file/d/1YvhEGJnOyzbmnRmN8FqUDTSCPJUeR2fR/view?usp=drivesdk</v>
      </c>
    </row>
    <row r="6095">
      <c r="A6095" s="15">
        <f>IFERROR(__xludf.DUMMYFUNCTION("""COMPUTED_VALUE"""),45175.0)</f>
        <v>45175</v>
      </c>
      <c r="B6095" s="16" t="str">
        <f>IFERROR(__xludf.DUMMYFUNCTION("""COMPUTED_VALUE"""),"Johan Alexander Escobar Arroyo ")</f>
        <v>Johan Alexander Escobar Arroyo </v>
      </c>
      <c r="C6095" s="15" t="str">
        <f>IFERROR(__xludf.DUMMYFUNCTION("""COMPUTED_VALUE"""),"PEREIRA")</f>
        <v>PEREIRA</v>
      </c>
      <c r="D6095" s="15" t="str">
        <f>IFERROR(__xludf.DUMMYFUNCTION("""COMPUTED_VALUE"""),"BOGOTÁ")</f>
        <v>BOGOTÁ</v>
      </c>
      <c r="E6095" s="15" t="str">
        <f>IFERROR(__xludf.DUMMYFUNCTION("""COMPUTED_VALUE"""),"Athenas")</f>
        <v>Athenas</v>
      </c>
      <c r="F6095" s="17" t="str">
        <f>IFERROR(__xludf.DUMMYFUNCTION("""COMPUTED_VALUE"""),"Av circunvalar carrera 13 #13 40 / Piso 6 centro comercial uniplex cafetería bodytech  / Av circunvalar")</f>
        <v>Av circunvalar carrera 13 #13 40 / Piso 6 centro comercial uniplex cafetería bodytech  / Av circunvalar</v>
      </c>
      <c r="G6095" s="15" t="str">
        <f>IFERROR(__xludf.DUMMYFUNCTION("""COMPUTED_VALUE"""),"Adriana castro")</f>
        <v>Adriana castro</v>
      </c>
      <c r="H6095" s="16">
        <f>IFERROR(__xludf.DUMMYFUNCTION("""COMPUTED_VALUE"""),14761.0)</f>
        <v>14761</v>
      </c>
      <c r="I6095" s="18">
        <f>IFERROR(__xludf.DUMMYFUNCTION("""COMPUTED_VALUE"""),29.0)</f>
        <v>29</v>
      </c>
      <c r="J6095" s="18">
        <f>IFERROR(__xludf.DUMMYFUNCTION("""COMPUTED_VALUE"""),55.0)</f>
        <v>55</v>
      </c>
      <c r="K6095" s="18">
        <f>IFERROR(__xludf.DUMMYFUNCTION("""COMPUTED_VALUE"""),45.0)</f>
        <v>45</v>
      </c>
      <c r="L6095" s="17">
        <f>IFERROR(__xludf.DUMMYFUNCTION("""COMPUTED_VALUE"""),3.104011367E9)</f>
        <v>3104011367</v>
      </c>
      <c r="M6095" s="17" t="str">
        <f>IFERROR(__xludf.DUMMYFUNCTION("""COMPUTED_VALUE"""),"#REF!")</f>
        <v>#REF!</v>
      </c>
      <c r="N6095" s="17"/>
      <c r="O6095" s="17"/>
      <c r="P6095" s="17" t="b">
        <f>IFERROR(__xludf.DUMMYFUNCTION("""COMPUTED_VALUE"""),TRUE)</f>
        <v>1</v>
      </c>
      <c r="Q6095" s="20">
        <f>IFERROR(__xludf.DUMMYFUNCTION("""COMPUTED_VALUE"""),45179.04299706018)</f>
        <v>45179.043</v>
      </c>
      <c r="R6095" s="22" t="str">
        <f>IFERROR(__xludf.DUMMYFUNCTION("""COMPUTED_VALUE"""),"")</f>
        <v/>
      </c>
    </row>
    <row r="6096">
      <c r="A6096" s="17" t="str">
        <f>IFERROR(__xludf.DUMMYFUNCTION("""COMPUTED_VALUE"""),"")</f>
        <v/>
      </c>
      <c r="B6096" s="17" t="str">
        <f>IFERROR(__xludf.DUMMYFUNCTION("""COMPUTED_VALUE"""),"")</f>
        <v/>
      </c>
      <c r="C6096" s="17" t="str">
        <f>IFERROR(__xludf.DUMMYFUNCTION("""COMPUTED_VALUE"""),"")</f>
        <v/>
      </c>
      <c r="D6096" s="17" t="str">
        <f>IFERROR(__xludf.DUMMYFUNCTION("""COMPUTED_VALUE"""),"")</f>
        <v/>
      </c>
      <c r="E6096" s="17" t="str">
        <f>IFERROR(__xludf.DUMMYFUNCTION("""COMPUTED_VALUE"""),"")</f>
        <v/>
      </c>
      <c r="F6096" s="17" t="str">
        <f>IFERROR(__xludf.DUMMYFUNCTION("""COMPUTED_VALUE"""),"")</f>
        <v/>
      </c>
      <c r="G6096" s="17" t="str">
        <f>IFERROR(__xludf.DUMMYFUNCTION("""COMPUTED_VALUE"""),"")</f>
        <v/>
      </c>
      <c r="H6096" s="17" t="str">
        <f>IFERROR(__xludf.DUMMYFUNCTION("""COMPUTED_VALUE"""),"")</f>
        <v/>
      </c>
      <c r="I6096" s="17" t="str">
        <f>IFERROR(__xludf.DUMMYFUNCTION("""COMPUTED_VALUE"""),"")</f>
        <v/>
      </c>
      <c r="J6096" s="17" t="str">
        <f>IFERROR(__xludf.DUMMYFUNCTION("""COMPUTED_VALUE"""),"")</f>
        <v/>
      </c>
      <c r="K6096" s="17" t="str">
        <f>IFERROR(__xludf.DUMMYFUNCTION("""COMPUTED_VALUE"""),"")</f>
        <v/>
      </c>
      <c r="L6096" s="17" t="str">
        <f>IFERROR(__xludf.DUMMYFUNCTION("""COMPUTED_VALUE"""),"")</f>
        <v/>
      </c>
      <c r="M6096" s="17" t="str">
        <f>IFERROR(__xludf.DUMMYFUNCTION("""COMPUTED_VALUE"""),"")</f>
        <v/>
      </c>
      <c r="N6096" s="17" t="str">
        <f>IFERROR(__xludf.DUMMYFUNCTION("""COMPUTED_VALUE"""),"")</f>
        <v/>
      </c>
      <c r="O6096" s="17" t="str">
        <f>IFERROR(__xludf.DUMMYFUNCTION("""COMPUTED_VALUE"""),"")</f>
        <v/>
      </c>
      <c r="P6096" s="17" t="str">
        <f>IFERROR(__xludf.DUMMYFUNCTION("""COMPUTED_VALUE"""),"")</f>
        <v/>
      </c>
      <c r="Q6096" s="17" t="str">
        <f>IFERROR(__xludf.DUMMYFUNCTION("""COMPUTED_VALUE"""),"")</f>
        <v/>
      </c>
      <c r="R6096" s="17" t="str">
        <f>IFERROR(__xludf.DUMMYFUNCTION("""COMPUTED_VALUE"""),"")</f>
        <v/>
      </c>
    </row>
    <row r="6097">
      <c r="A6097" s="15">
        <f>IFERROR(__xludf.DUMMYFUNCTION("""COMPUTED_VALUE"""),45176.0)</f>
        <v>45176</v>
      </c>
      <c r="B6097" s="17"/>
      <c r="C6097" s="15" t="str">
        <f>IFERROR(__xludf.DUMMYFUNCTION("""COMPUTED_VALUE"""),"CARTAGENA")</f>
        <v>CARTAGENA</v>
      </c>
      <c r="D6097" s="15" t="str">
        <f>IFERROR(__xludf.DUMMYFUNCTION("""COMPUTED_VALUE"""),"BOGOTÁ")</f>
        <v>BOGOTÁ</v>
      </c>
      <c r="E6097" s="15" t="str">
        <f>IFERROR(__xludf.DUMMYFUNCTION("""COMPUTED_VALUE"""),"Mochi")</f>
        <v>Mochi</v>
      </c>
      <c r="F6097" s="17" t="str">
        <f>IFERROR(__xludf.DUMMYFUNCTION("""COMPUTED_VALUE"""),"Cra. 11 # 39-21 / San Diego, Cartagena de Indias,  / Provincia de Cartagena, Bolívar")</f>
        <v>Cra. 11 # 39-21 / San Diego, Cartagena de Indias,  / Provincia de Cartagena, Bolívar</v>
      </c>
      <c r="G6097" s="15" t="str">
        <f>IFERROR(__xludf.DUMMYFUNCTION("""COMPUTED_VALUE"""),"Maria Camila")</f>
        <v>Maria Camila</v>
      </c>
      <c r="H6097" s="16">
        <f>IFERROR(__xludf.DUMMYFUNCTION("""COMPUTED_VALUE"""),14882.0)</f>
        <v>14882</v>
      </c>
      <c r="I6097" s="18">
        <f>IFERROR(__xludf.DUMMYFUNCTION("""COMPUTED_VALUE"""),55.0)</f>
        <v>55</v>
      </c>
      <c r="J6097" s="18">
        <f>IFERROR(__xludf.DUMMYFUNCTION("""COMPUTED_VALUE"""),45.0)</f>
        <v>45</v>
      </c>
      <c r="K6097" s="18" t="str">
        <f>IFERROR(__xludf.DUMMYFUNCTION("""COMPUTED_VALUE"""),"52.5")</f>
        <v>52.5</v>
      </c>
      <c r="L6097" s="17">
        <f>IFERROR(__xludf.DUMMYFUNCTION("""COMPUTED_VALUE"""),3.116026252E9)</f>
        <v>3116026252</v>
      </c>
      <c r="M6097" s="17" t="str">
        <f>IFERROR(__xludf.DUMMYFUNCTION("""COMPUTED_VALUE"""),"#REF!")</f>
        <v>#REF!</v>
      </c>
      <c r="N6097" s="17"/>
      <c r="O6097" s="17"/>
      <c r="P6097" s="17" t="b">
        <f>IFERROR(__xludf.DUMMYFUNCTION("""COMPUTED_VALUE"""),TRUE)</f>
        <v>1</v>
      </c>
      <c r="Q6097" s="20">
        <f>IFERROR(__xludf.DUMMYFUNCTION("""COMPUTED_VALUE"""),45179.04299706018)</f>
        <v>45179.043</v>
      </c>
      <c r="R6097" s="22" t="str">
        <f>IFERROR(__xludf.DUMMYFUNCTION("""COMPUTED_VALUE"""),"")</f>
        <v/>
      </c>
    </row>
    <row r="6098">
      <c r="A6098" s="17" t="str">
        <f>IFERROR(__xludf.DUMMYFUNCTION("""COMPUTED_VALUE"""),"")</f>
        <v/>
      </c>
      <c r="B6098" s="17" t="str">
        <f>IFERROR(__xludf.DUMMYFUNCTION("""COMPUTED_VALUE"""),"")</f>
        <v/>
      </c>
      <c r="C6098" s="17" t="str">
        <f>IFERROR(__xludf.DUMMYFUNCTION("""COMPUTED_VALUE"""),"")</f>
        <v/>
      </c>
      <c r="D6098" s="17" t="str">
        <f>IFERROR(__xludf.DUMMYFUNCTION("""COMPUTED_VALUE"""),"")</f>
        <v/>
      </c>
      <c r="E6098" s="17" t="str">
        <f>IFERROR(__xludf.DUMMYFUNCTION("""COMPUTED_VALUE"""),"")</f>
        <v/>
      </c>
      <c r="F6098" s="17" t="str">
        <f>IFERROR(__xludf.DUMMYFUNCTION("""COMPUTED_VALUE"""),"")</f>
        <v/>
      </c>
      <c r="G6098" s="17" t="str">
        <f>IFERROR(__xludf.DUMMYFUNCTION("""COMPUTED_VALUE"""),"")</f>
        <v/>
      </c>
      <c r="H6098" s="17" t="str">
        <f>IFERROR(__xludf.DUMMYFUNCTION("""COMPUTED_VALUE"""),"")</f>
        <v/>
      </c>
      <c r="I6098" s="17" t="str">
        <f>IFERROR(__xludf.DUMMYFUNCTION("""COMPUTED_VALUE"""),"")</f>
        <v/>
      </c>
      <c r="J6098" s="17" t="str">
        <f>IFERROR(__xludf.DUMMYFUNCTION("""COMPUTED_VALUE"""),"")</f>
        <v/>
      </c>
      <c r="K6098" s="17" t="str">
        <f>IFERROR(__xludf.DUMMYFUNCTION("""COMPUTED_VALUE"""),"")</f>
        <v/>
      </c>
      <c r="L6098" s="17" t="str">
        <f>IFERROR(__xludf.DUMMYFUNCTION("""COMPUTED_VALUE"""),"")</f>
        <v/>
      </c>
      <c r="M6098" s="17" t="str">
        <f>IFERROR(__xludf.DUMMYFUNCTION("""COMPUTED_VALUE"""),"")</f>
        <v/>
      </c>
      <c r="N6098" s="17" t="str">
        <f>IFERROR(__xludf.DUMMYFUNCTION("""COMPUTED_VALUE"""),"")</f>
        <v/>
      </c>
      <c r="O6098" s="17" t="str">
        <f>IFERROR(__xludf.DUMMYFUNCTION("""COMPUTED_VALUE"""),"")</f>
        <v/>
      </c>
      <c r="P6098" s="17" t="str">
        <f>IFERROR(__xludf.DUMMYFUNCTION("""COMPUTED_VALUE"""),"")</f>
        <v/>
      </c>
      <c r="Q6098" s="17" t="str">
        <f>IFERROR(__xludf.DUMMYFUNCTION("""COMPUTED_VALUE"""),"")</f>
        <v/>
      </c>
      <c r="R6098" s="17" t="str">
        <f>IFERROR(__xludf.DUMMYFUNCTION("""COMPUTED_VALUE"""),"")</f>
        <v/>
      </c>
    </row>
    <row r="6099">
      <c r="A6099" s="15">
        <f>IFERROR(__xludf.DUMMYFUNCTION("""COMPUTED_VALUE"""),45176.0)</f>
        <v>45176</v>
      </c>
      <c r="B6099" s="16" t="str">
        <f>IFERROR(__xludf.DUMMYFUNCTION("""COMPUTED_VALUE"""),"David Sanmartin Bello")</f>
        <v>David Sanmartin Bello</v>
      </c>
      <c r="C6099" s="15" t="str">
        <f>IFERROR(__xludf.DUMMYFUNCTION("""COMPUTED_VALUE"""),"CARTAGENA")</f>
        <v>CARTAGENA</v>
      </c>
      <c r="D6099" s="15" t="str">
        <f>IFERROR(__xludf.DUMMYFUNCTION("""COMPUTED_VALUE"""),"BOGOTÁ")</f>
        <v>BOGOTÁ</v>
      </c>
      <c r="E6099" s="15" t="str">
        <f>IFERROR(__xludf.DUMMYFUNCTION("""COMPUTED_VALUE"""),"SISU PARTNERS SAS")</f>
        <v>SISU PARTNERS SAS</v>
      </c>
      <c r="F6099" s="17" t="str">
        <f>IFERROR(__xludf.DUMMYFUNCTION("""COMPUTED_VALUE"""),"Calle 16b No.23-17 Casa 145 / Mirador de Chuscalito")</f>
        <v>Calle 16b No.23-17 Casa 145 / Mirador de Chuscalito</v>
      </c>
      <c r="G6099" s="15" t="str">
        <f>IFERROR(__xludf.DUMMYFUNCTION("""COMPUTED_VALUE"""),"Carolyne Bailey")</f>
        <v>Carolyne Bailey</v>
      </c>
      <c r="H6099" s="16">
        <f>IFERROR(__xludf.DUMMYFUNCTION("""COMPUTED_VALUE"""),14775.0)</f>
        <v>14775</v>
      </c>
      <c r="I6099" s="18" t="str">
        <f>IFERROR(__xludf.DUMMYFUNCTION("""COMPUTED_VALUE"""),"52.5")</f>
        <v>52.5</v>
      </c>
      <c r="J6099" s="18">
        <f>IFERROR(__xludf.DUMMYFUNCTION("""COMPUTED_VALUE"""),45.0)</f>
        <v>45</v>
      </c>
      <c r="K6099" s="18">
        <f>IFERROR(__xludf.DUMMYFUNCTION("""COMPUTED_VALUE"""),55.0)</f>
        <v>55</v>
      </c>
      <c r="L6099" s="17">
        <f>IFERROR(__xludf.DUMMYFUNCTION("""COMPUTED_VALUE"""),3.105510381E9)</f>
        <v>3105510381</v>
      </c>
      <c r="M6099" s="17" t="str">
        <f>IFERROR(__xludf.DUMMYFUNCTION("""COMPUTED_VALUE"""),"#REF!")</f>
        <v>#REF!</v>
      </c>
      <c r="N6099" s="17"/>
      <c r="O6099" s="17"/>
      <c r="P6099" s="17" t="b">
        <f>IFERROR(__xludf.DUMMYFUNCTION("""COMPUTED_VALUE"""),TRUE)</f>
        <v>1</v>
      </c>
      <c r="Q6099" s="20">
        <f>IFERROR(__xludf.DUMMYFUNCTION("""COMPUTED_VALUE"""),45179.04299706018)</f>
        <v>45179.043</v>
      </c>
      <c r="R6099" s="22" t="str">
        <f>IFERROR(__xludf.DUMMYFUNCTION("""COMPUTED_VALUE"""),"")</f>
        <v/>
      </c>
    </row>
    <row r="6100">
      <c r="A6100" s="15">
        <f>IFERROR(__xludf.DUMMYFUNCTION("""COMPUTED_VALUE"""),45176.0)</f>
        <v>45176</v>
      </c>
      <c r="B6100" s="16" t="str">
        <f>IFERROR(__xludf.DUMMYFUNCTION("""COMPUTED_VALUE"""),"David Sanmartin Bello")</f>
        <v>David Sanmartin Bello</v>
      </c>
      <c r="C6100" s="15" t="str">
        <f>IFERROR(__xludf.DUMMYFUNCTION("""COMPUTED_VALUE"""),"CARTAGENA")</f>
        <v>CARTAGENA</v>
      </c>
      <c r="D6100" s="15" t="str">
        <f>IFERROR(__xludf.DUMMYFUNCTION("""COMPUTED_VALUE"""),"BUCARAMANGA")</f>
        <v>BUCARAMANGA</v>
      </c>
      <c r="E6100" s="15" t="str">
        <f>IFERROR(__xludf.DUMMYFUNCTION("""COMPUTED_VALUE"""),"Yo Como Solito")</f>
        <v>Yo Como Solito</v>
      </c>
      <c r="F6100" s="17" t="str">
        <f>IFERROR(__xludf.DUMMYFUNCTION("""COMPUTED_VALUE"""),"CONDOMINIO COPACABANA T4 APARTAMENTO 706 CALLE 32B # 80-289 BARRIO VILLA ESTRELLA / CONDOMINIO COPACABANA T4 APARTAMENTO 706 CALLE 32B # 80-289 BARRIO VILLA ESTRELLA / CONDOMINIO COPACABANA T4 APARTAMENTO 706 CALLE 32B # 80-289 BARRIO VILLA ESTRELLA")</f>
        <v>CONDOMINIO COPACABANA T4 APARTAMENTO 706 CALLE 32B # 80-289 BARRIO VILLA ESTRELLA / CONDOMINIO COPACABANA T4 APARTAMENTO 706 CALLE 32B # 80-289 BARRIO VILLA ESTRELLA / CONDOMINIO COPACABANA T4 APARTAMENTO 706 CALLE 32B # 80-289 BARRIO VILLA ESTRELLA</v>
      </c>
      <c r="G6100" s="15" t="str">
        <f>IFERROR(__xludf.DUMMYFUNCTION("""COMPUTED_VALUE"""),"LUZ ELENA GIL BENAVIDES")</f>
        <v>LUZ ELENA GIL BENAVIDES</v>
      </c>
      <c r="H6100" s="16">
        <f>IFERROR(__xludf.DUMMYFUNCTION("""COMPUTED_VALUE"""),14626.0)</f>
        <v>14626</v>
      </c>
      <c r="I6100" s="18">
        <f>IFERROR(__xludf.DUMMYFUNCTION("""COMPUTED_VALUE"""),25.0)</f>
        <v>25</v>
      </c>
      <c r="J6100" s="18">
        <f>IFERROR(__xludf.DUMMYFUNCTION("""COMPUTED_VALUE"""),26.0)</f>
        <v>26</v>
      </c>
      <c r="K6100" s="18">
        <f>IFERROR(__xludf.DUMMYFUNCTION("""COMPUTED_VALUE"""),40.0)</f>
        <v>40</v>
      </c>
      <c r="L6100" s="17">
        <f>IFERROR(__xludf.DUMMYFUNCTION("""COMPUTED_VALUE"""),3.216404194E9)</f>
        <v>3216404194</v>
      </c>
      <c r="M6100" s="17" t="str">
        <f>IFERROR(__xludf.DUMMYFUNCTION("""COMPUTED_VALUE"""),"#REF!")</f>
        <v>#REF!</v>
      </c>
      <c r="N6100" s="17"/>
      <c r="O6100" s="17"/>
      <c r="P6100" s="17" t="b">
        <f>IFERROR(__xludf.DUMMYFUNCTION("""COMPUTED_VALUE"""),TRUE)</f>
        <v>1</v>
      </c>
      <c r="Q6100" s="20">
        <f>IFERROR(__xludf.DUMMYFUNCTION("""COMPUTED_VALUE"""),45179.04299706018)</f>
        <v>45179.043</v>
      </c>
      <c r="R6100" s="22" t="str">
        <f>IFERROR(__xludf.DUMMYFUNCTION("""COMPUTED_VALUE"""),"")</f>
        <v/>
      </c>
    </row>
    <row r="6101">
      <c r="A6101" s="15">
        <f>IFERROR(__xludf.DUMMYFUNCTION("""COMPUTED_VALUE"""),45176.0)</f>
        <v>45176</v>
      </c>
      <c r="B6101" s="16" t="str">
        <f>IFERROR(__xludf.DUMMYFUNCTION("""COMPUTED_VALUE"""),"David Sanmartin Bello")</f>
        <v>David Sanmartin Bello</v>
      </c>
      <c r="C6101" s="15" t="str">
        <f>IFERROR(__xludf.DUMMYFUNCTION("""COMPUTED_VALUE"""),"CARTAGENA")</f>
        <v>CARTAGENA</v>
      </c>
      <c r="D6101" s="15" t="str">
        <f>IFERROR(__xludf.DUMMYFUNCTION("""COMPUTED_VALUE"""),"BUCARAMANGA")</f>
        <v>BUCARAMANGA</v>
      </c>
      <c r="E6101" s="15" t="str">
        <f>IFERROR(__xludf.DUMMYFUNCTION("""COMPUTED_VALUE"""),"Yo Como Solito")</f>
        <v>Yo Como Solito</v>
      </c>
      <c r="F6101" s="17" t="str">
        <f>IFERROR(__xludf.DUMMYFUNCTION("""COMPUTED_VALUE"""),"CONDOMINIO COPACABANA T4 APARTAMENTO 706 CALLE 32B #80-589 BARRIO VILLA ESTRELLA / CONDOMINIO COPACABANA T4 APARTAMENTO 706 CALLE 32B #80-589 BARRIO VILLA ESTRELLA / CONDOMINIO COPACABANA T4 APARTAMENTO 706 CALLE 32B #80-589 BARRIO VILLA ESTRELLA")</f>
        <v>CONDOMINIO COPACABANA T4 APARTAMENTO 706 CALLE 32B #80-589 BARRIO VILLA ESTRELLA / CONDOMINIO COPACABANA T4 APARTAMENTO 706 CALLE 32B #80-589 BARRIO VILLA ESTRELLA / CONDOMINIO COPACABANA T4 APARTAMENTO 706 CALLE 32B #80-589 BARRIO VILLA ESTRELLA</v>
      </c>
      <c r="G6101" s="15" t="str">
        <f>IFERROR(__xludf.DUMMYFUNCTION("""COMPUTED_VALUE"""),"LUZ ELENA GIL BENAVIDES")</f>
        <v>LUZ ELENA GIL BENAVIDES</v>
      </c>
      <c r="H6101" s="16">
        <f>IFERROR(__xludf.DUMMYFUNCTION("""COMPUTED_VALUE"""),14625.0)</f>
        <v>14625</v>
      </c>
      <c r="I6101" s="18">
        <f>IFERROR(__xludf.DUMMYFUNCTION("""COMPUTED_VALUE"""),17.0)</f>
        <v>17</v>
      </c>
      <c r="J6101" s="18">
        <f>IFERROR(__xludf.DUMMYFUNCTION("""COMPUTED_VALUE"""),26.0)</f>
        <v>26</v>
      </c>
      <c r="K6101" s="18">
        <f>IFERROR(__xludf.DUMMYFUNCTION("""COMPUTED_VALUE"""),50.0)</f>
        <v>50</v>
      </c>
      <c r="L6101" s="17">
        <f>IFERROR(__xludf.DUMMYFUNCTION("""COMPUTED_VALUE"""),3.216404194E9)</f>
        <v>3216404194</v>
      </c>
      <c r="M6101" s="17" t="str">
        <f>IFERROR(__xludf.DUMMYFUNCTION("""COMPUTED_VALUE"""),"#REF!")</f>
        <v>#REF!</v>
      </c>
      <c r="N6101" s="17"/>
      <c r="O6101" s="17"/>
      <c r="P6101" s="17" t="b">
        <f>IFERROR(__xludf.DUMMYFUNCTION("""COMPUTED_VALUE"""),FALSE)</f>
        <v>0</v>
      </c>
      <c r="Q6101" s="20" t="str">
        <f>IFERROR(__xludf.DUMMYFUNCTION("""COMPUTED_VALUE"""),"")</f>
        <v/>
      </c>
      <c r="R6101" s="21" t="str">
        <f>IFERROR(__xludf.DUMMYFUNCTION("""COMPUTED_VALUE"""),"https://drive.google.com/file/d/1JsrHTD1CH6ldQB5iYAdQyAlSb1bOawE8/view?usp=drivesdk")</f>
        <v>https://drive.google.com/file/d/1JsrHTD1CH6ldQB5iYAdQyAlSb1bOawE8/view?usp=drivesdk</v>
      </c>
    </row>
    <row r="6102">
      <c r="A6102" s="17" t="str">
        <f>IFERROR(__xludf.DUMMYFUNCTION("""COMPUTED_VALUE"""),"")</f>
        <v/>
      </c>
      <c r="B6102" s="17" t="str">
        <f>IFERROR(__xludf.DUMMYFUNCTION("""COMPUTED_VALUE"""),"")</f>
        <v/>
      </c>
      <c r="C6102" s="17" t="str">
        <f>IFERROR(__xludf.DUMMYFUNCTION("""COMPUTED_VALUE"""),"")</f>
        <v/>
      </c>
      <c r="D6102" s="17" t="str">
        <f>IFERROR(__xludf.DUMMYFUNCTION("""COMPUTED_VALUE"""),"")</f>
        <v/>
      </c>
      <c r="E6102" s="17" t="str">
        <f>IFERROR(__xludf.DUMMYFUNCTION("""COMPUTED_VALUE"""),"")</f>
        <v/>
      </c>
      <c r="F6102" s="17" t="str">
        <f>IFERROR(__xludf.DUMMYFUNCTION("""COMPUTED_VALUE"""),"")</f>
        <v/>
      </c>
      <c r="G6102" s="17" t="str">
        <f>IFERROR(__xludf.DUMMYFUNCTION("""COMPUTED_VALUE"""),"")</f>
        <v/>
      </c>
      <c r="H6102" s="17" t="str">
        <f>IFERROR(__xludf.DUMMYFUNCTION("""COMPUTED_VALUE"""),"")</f>
        <v/>
      </c>
      <c r="I6102" s="17" t="str">
        <f>IFERROR(__xludf.DUMMYFUNCTION("""COMPUTED_VALUE"""),"")</f>
        <v/>
      </c>
      <c r="J6102" s="17" t="str">
        <f>IFERROR(__xludf.DUMMYFUNCTION("""COMPUTED_VALUE"""),"")</f>
        <v/>
      </c>
      <c r="K6102" s="17" t="str">
        <f>IFERROR(__xludf.DUMMYFUNCTION("""COMPUTED_VALUE"""),"")</f>
        <v/>
      </c>
      <c r="L6102" s="17" t="str">
        <f>IFERROR(__xludf.DUMMYFUNCTION("""COMPUTED_VALUE"""),"")</f>
        <v/>
      </c>
      <c r="M6102" s="17" t="str">
        <f>IFERROR(__xludf.DUMMYFUNCTION("""COMPUTED_VALUE"""),"")</f>
        <v/>
      </c>
      <c r="N6102" s="17" t="str">
        <f>IFERROR(__xludf.DUMMYFUNCTION("""COMPUTED_VALUE"""),"")</f>
        <v/>
      </c>
      <c r="O6102" s="17" t="str">
        <f>IFERROR(__xludf.DUMMYFUNCTION("""COMPUTED_VALUE"""),"")</f>
        <v/>
      </c>
      <c r="P6102" s="17" t="str">
        <f>IFERROR(__xludf.DUMMYFUNCTION("""COMPUTED_VALUE"""),"")</f>
        <v/>
      </c>
      <c r="Q6102" s="17" t="str">
        <f>IFERROR(__xludf.DUMMYFUNCTION("""COMPUTED_VALUE"""),"")</f>
        <v/>
      </c>
      <c r="R6102" s="17" t="str">
        <f>IFERROR(__xludf.DUMMYFUNCTION("""COMPUTED_VALUE"""),"")</f>
        <v/>
      </c>
    </row>
    <row r="6103">
      <c r="A6103" s="15">
        <f>IFERROR(__xludf.DUMMYFUNCTION("""COMPUTED_VALUE"""),45176.0)</f>
        <v>45176</v>
      </c>
      <c r="B6103" s="16" t="str">
        <f>IFERROR(__xludf.DUMMYFUNCTION("""COMPUTED_VALUE"""),"Envia")</f>
        <v>Envia</v>
      </c>
      <c r="C6103" s="15" t="str">
        <f>IFERROR(__xludf.DUMMYFUNCTION("""COMPUTED_VALUE"""),"BARRANQUILLA")</f>
        <v>BARRANQUILLA</v>
      </c>
      <c r="D6103" s="15" t="str">
        <f>IFERROR(__xludf.DUMMYFUNCTION("""COMPUTED_VALUE"""),"BOGOTÁ")</f>
        <v>BOGOTÁ</v>
      </c>
      <c r="E6103" s="15" t="str">
        <f>IFERROR(__xludf.DUMMYFUNCTION("""COMPUTED_VALUE"""),"Mochi")</f>
        <v>Mochi</v>
      </c>
      <c r="F6103" s="17" t="str">
        <f>IFERROR(__xludf.DUMMYFUNCTION("""COMPUTED_VALUE"""),"Cra. 51B #87-50 / Riomar, Barranquilla, Atlántico / na")</f>
        <v>Cra. 51B #87-50 / Riomar, Barranquilla, Atlántico / na</v>
      </c>
      <c r="G6103" s="15" t="str">
        <f>IFERROR(__xludf.DUMMYFUNCTION("""COMPUTED_VALUE"""),"Maria camila")</f>
        <v>Maria camila</v>
      </c>
      <c r="H6103" s="16">
        <f>IFERROR(__xludf.DUMMYFUNCTION("""COMPUTED_VALUE"""),14881.0)</f>
        <v>14881</v>
      </c>
      <c r="I6103" s="18">
        <f>IFERROR(__xludf.DUMMYFUNCTION("""COMPUTED_VALUE"""),55.0)</f>
        <v>55</v>
      </c>
      <c r="J6103" s="18">
        <f>IFERROR(__xludf.DUMMYFUNCTION("""COMPUTED_VALUE"""),45.0)</f>
        <v>45</v>
      </c>
      <c r="K6103" s="18" t="str">
        <f>IFERROR(__xludf.DUMMYFUNCTION("""COMPUTED_VALUE"""),"52.5")</f>
        <v>52.5</v>
      </c>
      <c r="L6103" s="17">
        <f>IFERROR(__xludf.DUMMYFUNCTION("""COMPUTED_VALUE"""),3.116026252E9)</f>
        <v>3116026252</v>
      </c>
      <c r="M6103" s="17" t="str">
        <f>IFERROR(__xludf.DUMMYFUNCTION("""COMPUTED_VALUE"""),"#REF!")</f>
        <v>#REF!</v>
      </c>
      <c r="N6103" s="17"/>
      <c r="O6103" s="17"/>
      <c r="P6103" s="17" t="b">
        <f>IFERROR(__xludf.DUMMYFUNCTION("""COMPUTED_VALUE"""),FALSE)</f>
        <v>0</v>
      </c>
      <c r="Q6103" s="20" t="str">
        <f>IFERROR(__xludf.DUMMYFUNCTION("""COMPUTED_VALUE"""),"")</f>
        <v/>
      </c>
      <c r="R6103" s="22" t="str">
        <f>IFERROR(__xludf.DUMMYFUNCTION("""COMPUTED_VALUE"""),"")</f>
        <v/>
      </c>
    </row>
    <row r="6104">
      <c r="A6104" s="15">
        <f>IFERROR(__xludf.DUMMYFUNCTION("""COMPUTED_VALUE"""),45176.0)</f>
        <v>45176</v>
      </c>
      <c r="B6104" s="16" t="str">
        <f>IFERROR(__xludf.DUMMYFUNCTION("""COMPUTED_VALUE"""),"Envia")</f>
        <v>Envia</v>
      </c>
      <c r="C6104" s="15" t="str">
        <f>IFERROR(__xludf.DUMMYFUNCTION("""COMPUTED_VALUE"""),"BOGOTÁ")</f>
        <v>BOGOTÁ</v>
      </c>
      <c r="D6104" s="15" t="str">
        <f>IFERROR(__xludf.DUMMYFUNCTION("""COMPUTED_VALUE"""),"CALI")</f>
        <v>CALI</v>
      </c>
      <c r="E6104" s="15" t="str">
        <f>IFERROR(__xludf.DUMMYFUNCTION("""COMPUTED_VALUE"""),"Natalia Carreño")</f>
        <v>Natalia Carreño</v>
      </c>
      <c r="F6104" s="17" t="str">
        <f>IFERROR(__xludf.DUMMYFUNCTION("""COMPUTED_VALUE"""),"Carrera 27 #70-83 / Casa curuba / Barrio Alcázares")</f>
        <v>Carrera 27 #70-83 / Casa curuba / Barrio Alcázares</v>
      </c>
      <c r="G6104" s="15" t="str">
        <f>IFERROR(__xludf.DUMMYFUNCTION("""COMPUTED_VALUE"""),"Natalia Carreño")</f>
        <v>Natalia Carreño</v>
      </c>
      <c r="H6104" s="16">
        <f>IFERROR(__xludf.DUMMYFUNCTION("""COMPUTED_VALUE"""),14838.0)</f>
        <v>14838</v>
      </c>
      <c r="I6104" s="18">
        <f>IFERROR(__xludf.DUMMYFUNCTION("""COMPUTED_VALUE"""),51.0)</f>
        <v>51</v>
      </c>
      <c r="J6104" s="18">
        <f>IFERROR(__xludf.DUMMYFUNCTION("""COMPUTED_VALUE"""),42.0)</f>
        <v>42</v>
      </c>
      <c r="K6104" s="18">
        <f>IFERROR(__xludf.DUMMYFUNCTION("""COMPUTED_VALUE"""),51.0)</f>
        <v>51</v>
      </c>
      <c r="L6104" s="17">
        <f>IFERROR(__xludf.DUMMYFUNCTION("""COMPUTED_VALUE"""),3.11561131E9)</f>
        <v>3115611310</v>
      </c>
      <c r="M6104" s="17" t="str">
        <f>IFERROR(__xludf.DUMMYFUNCTION("""COMPUTED_VALUE"""),"#REF!")</f>
        <v>#REF!</v>
      </c>
      <c r="N6104" s="17"/>
      <c r="O6104" s="17"/>
      <c r="P6104" s="17" t="b">
        <f>IFERROR(__xludf.DUMMYFUNCTION("""COMPUTED_VALUE"""),FALSE)</f>
        <v>0</v>
      </c>
      <c r="Q6104" s="20" t="str">
        <f>IFERROR(__xludf.DUMMYFUNCTION("""COMPUTED_VALUE"""),"")</f>
        <v/>
      </c>
      <c r="R6104" s="22" t="str">
        <f>IFERROR(__xludf.DUMMYFUNCTION("""COMPUTED_VALUE"""),"")</f>
        <v/>
      </c>
    </row>
    <row r="6105">
      <c r="A6105" s="15">
        <f>IFERROR(__xludf.DUMMYFUNCTION("""COMPUTED_VALUE"""),45176.0)</f>
        <v>45176</v>
      </c>
      <c r="B6105" s="16" t="str">
        <f>IFERROR(__xludf.DUMMYFUNCTION("""COMPUTED_VALUE"""),"Envia")</f>
        <v>Envia</v>
      </c>
      <c r="C6105" s="15" t="str">
        <f>IFERROR(__xludf.DUMMYFUNCTION("""COMPUTED_VALUE"""),"BOGOTÁ")</f>
        <v>BOGOTÁ</v>
      </c>
      <c r="D6105" s="15" t="str">
        <f>IFERROR(__xludf.DUMMYFUNCTION("""COMPUTED_VALUE"""),"MEDELLÍN")</f>
        <v>MEDELLÍN</v>
      </c>
      <c r="E6105" s="15" t="str">
        <f>IFERROR(__xludf.DUMMYFUNCTION("""COMPUTED_VALUE"""),"Puro Verde")</f>
        <v>Puro Verde</v>
      </c>
      <c r="F6105" s="17" t="str">
        <f>IFERROR(__xludf.DUMMYFUNCTION("""COMPUTED_VALUE"""),"CRA 16A # 77-23.  / LOCAL 4 / BARRIO EL LAGO")</f>
        <v>CRA 16A # 77-23.  / LOCAL 4 / BARRIO EL LAGO</v>
      </c>
      <c r="G6105" s="15" t="str">
        <f>IFERROR(__xludf.DUMMYFUNCTION("""COMPUTED_VALUE"""),"DANDO CUERDA")</f>
        <v>DANDO CUERDA</v>
      </c>
      <c r="H6105" s="16">
        <f>IFERROR(__xludf.DUMMYFUNCTION("""COMPUTED_VALUE"""),14783.0)</f>
        <v>14783</v>
      </c>
      <c r="I6105" s="18">
        <f>IFERROR(__xludf.DUMMYFUNCTION("""COMPUTED_VALUE"""),55.0)</f>
        <v>55</v>
      </c>
      <c r="J6105" s="18">
        <f>IFERROR(__xludf.DUMMYFUNCTION("""COMPUTED_VALUE"""),45.0)</f>
        <v>45</v>
      </c>
      <c r="K6105" s="18" t="str">
        <f>IFERROR(__xludf.DUMMYFUNCTION("""COMPUTED_VALUE"""),"52.5")</f>
        <v>52.5</v>
      </c>
      <c r="L6105" s="17">
        <f>IFERROR(__xludf.DUMMYFUNCTION("""COMPUTED_VALUE"""),3.163816691E9)</f>
        <v>3163816691</v>
      </c>
      <c r="M6105" s="17" t="str">
        <f>IFERROR(__xludf.DUMMYFUNCTION("""COMPUTED_VALUE"""),"#REF!")</f>
        <v>#REF!</v>
      </c>
      <c r="N6105" s="17"/>
      <c r="O6105" s="17"/>
      <c r="P6105" s="17" t="b">
        <f>IFERROR(__xludf.DUMMYFUNCTION("""COMPUTED_VALUE"""),FALSE)</f>
        <v>0</v>
      </c>
      <c r="Q6105" s="20" t="str">
        <f>IFERROR(__xludf.DUMMYFUNCTION("""COMPUTED_VALUE"""),"")</f>
        <v/>
      </c>
      <c r="R6105" s="22" t="str">
        <f>IFERROR(__xludf.DUMMYFUNCTION("""COMPUTED_VALUE"""),"")</f>
        <v/>
      </c>
    </row>
    <row r="6106">
      <c r="A6106" s="15">
        <f>IFERROR(__xludf.DUMMYFUNCTION("""COMPUTED_VALUE"""),45176.0)</f>
        <v>45176</v>
      </c>
      <c r="B6106" s="16" t="str">
        <f>IFERROR(__xludf.DUMMYFUNCTION("""COMPUTED_VALUE"""),"Envia")</f>
        <v>Envia</v>
      </c>
      <c r="C6106" s="15" t="str">
        <f>IFERROR(__xludf.DUMMYFUNCTION("""COMPUTED_VALUE"""),"CARTAGENA")</f>
        <v>CARTAGENA</v>
      </c>
      <c r="D6106" s="15" t="str">
        <f>IFERROR(__xludf.DUMMYFUNCTION("""COMPUTED_VALUE"""),"BUCARAMANGA")</f>
        <v>BUCARAMANGA</v>
      </c>
      <c r="E6106" s="15" t="str">
        <f>IFERROR(__xludf.DUMMYFUNCTION("""COMPUTED_VALUE"""),"Yo Como Solito")</f>
        <v>Yo Como Solito</v>
      </c>
      <c r="F6106" s="17" t="str">
        <f>IFERROR(__xludf.DUMMYFUNCTION("""COMPUTED_VALUE"""),"MANZANA 38 LOTE 17 SEGUNDO PISO BARRIO GAVIOTAS PRIMERA ETAPA / MANZANA 38 LOTE 17 SEGUNDO PISO BARRIO GAVIOTAS PRIMERA ETAPA / MANZANA 38 LOTE 17 SEGUNDO PISO BARRIO GAVIOTAS PRIMERA ETAPA")</f>
        <v>MANZANA 38 LOTE 17 SEGUNDO PISO BARRIO GAVIOTAS PRIMERA ETAPA / MANZANA 38 LOTE 17 SEGUNDO PISO BARRIO GAVIOTAS PRIMERA ETAPA / MANZANA 38 LOTE 17 SEGUNDO PISO BARRIO GAVIOTAS PRIMERA ETAPA</v>
      </c>
      <c r="G6106" s="15" t="str">
        <f>IFERROR(__xludf.DUMMYFUNCTION("""COMPUTED_VALUE"""),"VANESSA ELENA CARABALLO GUZMÁN")</f>
        <v>VANESSA ELENA CARABALLO GUZMÁN</v>
      </c>
      <c r="H6106" s="16">
        <f>IFERROR(__xludf.DUMMYFUNCTION("""COMPUTED_VALUE"""),14709.0)</f>
        <v>14709</v>
      </c>
      <c r="I6106" s="18">
        <f>IFERROR(__xludf.DUMMYFUNCTION("""COMPUTED_VALUE"""),28.0)</f>
        <v>28</v>
      </c>
      <c r="J6106" s="18">
        <f>IFERROR(__xludf.DUMMYFUNCTION("""COMPUTED_VALUE"""),27.0)</f>
        <v>27</v>
      </c>
      <c r="K6106" s="18">
        <f>IFERROR(__xludf.DUMMYFUNCTION("""COMPUTED_VALUE"""),30.0)</f>
        <v>30</v>
      </c>
      <c r="L6106" s="17">
        <f>IFERROR(__xludf.DUMMYFUNCTION("""COMPUTED_VALUE"""),3.163391533E9)</f>
        <v>3163391533</v>
      </c>
      <c r="M6106" s="17" t="str">
        <f>IFERROR(__xludf.DUMMYFUNCTION("""COMPUTED_VALUE"""),"#REF!")</f>
        <v>#REF!</v>
      </c>
      <c r="N6106" s="17"/>
      <c r="O6106" s="17"/>
      <c r="P6106" s="17" t="b">
        <f>IFERROR(__xludf.DUMMYFUNCTION("""COMPUTED_VALUE"""),FALSE)</f>
        <v>0</v>
      </c>
      <c r="Q6106" s="20" t="str">
        <f>IFERROR(__xludf.DUMMYFUNCTION("""COMPUTED_VALUE"""),"")</f>
        <v/>
      </c>
      <c r="R6106" s="21" t="str">
        <f>IFERROR(__xludf.DUMMYFUNCTION("""COMPUTED_VALUE"""),"https://drive.google.com/file/d/1HmGZzA7AZXgDPZ1JJ32-OVR1iTKuda1h/view?usp=drivesdk")</f>
        <v>https://drive.google.com/file/d/1HmGZzA7AZXgDPZ1JJ32-OVR1iTKuda1h/view?usp=drivesdk</v>
      </c>
    </row>
    <row r="6107">
      <c r="A6107" s="15">
        <f>IFERROR(__xludf.DUMMYFUNCTION("""COMPUTED_VALUE"""),45176.0)</f>
        <v>45176</v>
      </c>
      <c r="B6107" s="16" t="str">
        <f>IFERROR(__xludf.DUMMYFUNCTION("""COMPUTED_VALUE"""),"Envia")</f>
        <v>Envia</v>
      </c>
      <c r="C6107" s="15" t="str">
        <f>IFERROR(__xludf.DUMMYFUNCTION("""COMPUTED_VALUE"""),"CARTAGENA")</f>
        <v>CARTAGENA</v>
      </c>
      <c r="D6107" s="15" t="str">
        <f>IFERROR(__xludf.DUMMYFUNCTION("""COMPUTED_VALUE"""),"MEDELLÍN")</f>
        <v>MEDELLÍN</v>
      </c>
      <c r="E6107" s="15" t="str">
        <f>IFERROR(__xludf.DUMMYFUNCTION("""COMPUTED_VALUE"""),"Baby Chef")</f>
        <v>Baby Chef</v>
      </c>
      <c r="F6107" s="17" t="str">
        <f>IFERROR(__xludf.DUMMYFUNCTION("""COMPUTED_VALUE"""),"La Concepción calle 3A #1-45 / La Concepción calle 3A #1-45 / La Concepción calle 3A #1-45")</f>
        <v>La Concepción calle 3A #1-45 / La Concepción calle 3A #1-45 / La Concepción calle 3A #1-45</v>
      </c>
      <c r="G6107" s="15" t="str">
        <f>IFERROR(__xludf.DUMMYFUNCTION("""COMPUTED_VALUE"""),"Enith Rodríguez")</f>
        <v>Enith Rodríguez</v>
      </c>
      <c r="H6107" s="16">
        <f>IFERROR(__xludf.DUMMYFUNCTION("""COMPUTED_VALUE"""),14800.0)</f>
        <v>14800</v>
      </c>
      <c r="I6107" s="18">
        <f>IFERROR(__xludf.DUMMYFUNCTION("""COMPUTED_VALUE"""),5.0)</f>
        <v>5</v>
      </c>
      <c r="J6107" s="18">
        <f>IFERROR(__xludf.DUMMYFUNCTION("""COMPUTED_VALUE"""),28.0)</f>
        <v>28</v>
      </c>
      <c r="K6107" s="18">
        <f>IFERROR(__xludf.DUMMYFUNCTION("""COMPUTED_VALUE"""),19.0)</f>
        <v>19</v>
      </c>
      <c r="L6107" s="17">
        <f>IFERROR(__xludf.DUMMYFUNCTION("""COMPUTED_VALUE"""),3.155388271E9)</f>
        <v>3155388271</v>
      </c>
      <c r="M6107" s="17" t="str">
        <f>IFERROR(__xludf.DUMMYFUNCTION("""COMPUTED_VALUE"""),"#REF!")</f>
        <v>#REF!</v>
      </c>
      <c r="N6107" s="17"/>
      <c r="O6107" s="17"/>
      <c r="P6107" s="17" t="b">
        <f>IFERROR(__xludf.DUMMYFUNCTION("""COMPUTED_VALUE"""),FALSE)</f>
        <v>0</v>
      </c>
      <c r="Q6107" s="20" t="str">
        <f>IFERROR(__xludf.DUMMYFUNCTION("""COMPUTED_VALUE"""),"")</f>
        <v/>
      </c>
      <c r="R6107" s="21" t="str">
        <f>IFERROR(__xludf.DUMMYFUNCTION("""COMPUTED_VALUE"""),"https://drive.google.com/file/d/10Sq6PAQZ29FUjciA8DmGTcEKF3JQL9T6/view?usp=drivesdk")</f>
        <v>https://drive.google.com/file/d/10Sq6PAQZ29FUjciA8DmGTcEKF3JQL9T6/view?usp=drivesdk</v>
      </c>
    </row>
    <row r="6108">
      <c r="A6108" s="15">
        <f>IFERROR(__xludf.DUMMYFUNCTION("""COMPUTED_VALUE"""),45176.0)</f>
        <v>45176</v>
      </c>
      <c r="B6108" s="16" t="str">
        <f>IFERROR(__xludf.DUMMYFUNCTION("""COMPUTED_VALUE"""),"Envia")</f>
        <v>Envia</v>
      </c>
      <c r="C6108" s="15" t="str">
        <f>IFERROR(__xludf.DUMMYFUNCTION("""COMPUTED_VALUE"""),"CARTAGENA")</f>
        <v>CARTAGENA</v>
      </c>
      <c r="D6108" s="15" t="str">
        <f>IFERROR(__xludf.DUMMYFUNCTION("""COMPUTED_VALUE"""),"MEDELLÍN")</f>
        <v>MEDELLÍN</v>
      </c>
      <c r="E6108" s="15" t="str">
        <f>IFERROR(__xludf.DUMMYFUNCTION("""COMPUTED_VALUE"""),"Rambla")</f>
        <v>Rambla</v>
      </c>
      <c r="F6108" s="17" t="str">
        <f>IFERROR(__xludf.DUMMYFUNCTION("""COMPUTED_VALUE"""),"CALLE 6 #20 CC LA ESTANCIA LC 1 10 BRR  CASTILLO GRANDE  / - / -")</f>
        <v>CALLE 6 #20 CC LA ESTANCIA LC 1 10 BRR  CASTILLO GRANDE  / - / -</v>
      </c>
      <c r="G6108" s="15" t="str">
        <f>IFERROR(__xludf.DUMMYFUNCTION("""COMPUTED_VALUE"""),"Cocofit")</f>
        <v>Cocofit</v>
      </c>
      <c r="H6108" s="16">
        <f>IFERROR(__xludf.DUMMYFUNCTION("""COMPUTED_VALUE"""),14809.0)</f>
        <v>14809</v>
      </c>
      <c r="I6108" s="18">
        <f>IFERROR(__xludf.DUMMYFUNCTION("""COMPUTED_VALUE"""),61.0)</f>
        <v>61</v>
      </c>
      <c r="J6108" s="18">
        <f>IFERROR(__xludf.DUMMYFUNCTION("""COMPUTED_VALUE"""),27.0)</f>
        <v>27</v>
      </c>
      <c r="K6108" s="18">
        <f>IFERROR(__xludf.DUMMYFUNCTION("""COMPUTED_VALUE"""),26.0)</f>
        <v>26</v>
      </c>
      <c r="L6108" s="17">
        <f>IFERROR(__xludf.DUMMYFUNCTION("""COMPUTED_VALUE"""),3.135781119E9)</f>
        <v>3135781119</v>
      </c>
      <c r="M6108" s="17" t="str">
        <f>IFERROR(__xludf.DUMMYFUNCTION("""COMPUTED_VALUE"""),"#REF!")</f>
        <v>#REF!</v>
      </c>
      <c r="N6108" s="17"/>
      <c r="O6108" s="17"/>
      <c r="P6108" s="17" t="b">
        <f>IFERROR(__xludf.DUMMYFUNCTION("""COMPUTED_VALUE"""),FALSE)</f>
        <v>0</v>
      </c>
      <c r="Q6108" s="20" t="str">
        <f>IFERROR(__xludf.DUMMYFUNCTION("""COMPUTED_VALUE"""),"")</f>
        <v/>
      </c>
      <c r="R6108" s="22" t="str">
        <f>IFERROR(__xludf.DUMMYFUNCTION("""COMPUTED_VALUE"""),"")</f>
        <v/>
      </c>
    </row>
    <row r="6109">
      <c r="A6109" s="15">
        <f>IFERROR(__xludf.DUMMYFUNCTION("""COMPUTED_VALUE"""),45176.0)</f>
        <v>45176</v>
      </c>
      <c r="B6109" s="16" t="str">
        <f>IFERROR(__xludf.DUMMYFUNCTION("""COMPUTED_VALUE"""),"Envia")</f>
        <v>Envia</v>
      </c>
      <c r="C6109" s="15" t="str">
        <f>IFERROR(__xludf.DUMMYFUNCTION("""COMPUTED_VALUE"""),"FLORIDABLANCA")</f>
        <v>FLORIDABLANCA</v>
      </c>
      <c r="D6109" s="15" t="str">
        <f>IFERROR(__xludf.DUMMYFUNCTION("""COMPUTED_VALUE"""),"BOGOTÁ")</f>
        <v>BOGOTÁ</v>
      </c>
      <c r="E6109" s="15" t="str">
        <f>IFERROR(__xludf.DUMMYFUNCTION("""COMPUTED_VALUE"""),"Evamazzita")</f>
        <v>Evamazzita</v>
      </c>
      <c r="F6109" s="17" t="str">
        <f>IFERROR(__xludf.DUMMYFUNCTION("""COMPUTED_VALUE"""),"Calle 200 # 22b-645 T-5 / Apto 420 Conjunto Mirador de Versalles")</f>
        <v>Calle 200 # 22b-645 T-5 / Apto 420 Conjunto Mirador de Versalles</v>
      </c>
      <c r="G6109" s="15" t="str">
        <f>IFERROR(__xludf.DUMMYFUNCTION("""COMPUTED_VALUE"""),"GENNY RIZO")</f>
        <v>GENNY RIZO</v>
      </c>
      <c r="H6109" s="16">
        <f>IFERROR(__xludf.DUMMYFUNCTION("""COMPUTED_VALUE"""),14878.0)</f>
        <v>14878</v>
      </c>
      <c r="I6109" s="18">
        <f>IFERROR(__xludf.DUMMYFUNCTION("""COMPUTED_VALUE"""),1.0)</f>
        <v>1</v>
      </c>
      <c r="J6109" s="18">
        <f>IFERROR(__xludf.DUMMYFUNCTION("""COMPUTED_VALUE"""),1.0)</f>
        <v>1</v>
      </c>
      <c r="K6109" s="18">
        <f>IFERROR(__xludf.DUMMYFUNCTION("""COMPUTED_VALUE"""),1.0)</f>
        <v>1</v>
      </c>
      <c r="L6109" s="17">
        <f>IFERROR(__xludf.DUMMYFUNCTION("""COMPUTED_VALUE"""),3.123290941E9)</f>
        <v>3123290941</v>
      </c>
      <c r="M6109" s="17" t="str">
        <f>IFERROR(__xludf.DUMMYFUNCTION("""COMPUTED_VALUE"""),"#REF!")</f>
        <v>#REF!</v>
      </c>
      <c r="N6109" s="17"/>
      <c r="O6109" s="17"/>
      <c r="P6109" s="17" t="b">
        <f>IFERROR(__xludf.DUMMYFUNCTION("""COMPUTED_VALUE"""),FALSE)</f>
        <v>0</v>
      </c>
      <c r="Q6109" s="20" t="str">
        <f>IFERROR(__xludf.DUMMYFUNCTION("""COMPUTED_VALUE"""),"")</f>
        <v/>
      </c>
      <c r="R6109" s="21" t="str">
        <f>IFERROR(__xludf.DUMMYFUNCTION("""COMPUTED_VALUE"""),"https://drive.google.com/file/d/11HIzhxFn3Hqzh_xT1dFJUq28pigm4MJN/view?usp=drivesdk")</f>
        <v>https://drive.google.com/file/d/11HIzhxFn3Hqzh_xT1dFJUq28pigm4MJN/view?usp=drivesdk</v>
      </c>
    </row>
    <row r="6110">
      <c r="A6110" s="15">
        <f>IFERROR(__xludf.DUMMYFUNCTION("""COMPUTED_VALUE"""),45176.0)</f>
        <v>45176</v>
      </c>
      <c r="B6110" s="16" t="str">
        <f>IFERROR(__xludf.DUMMYFUNCTION("""COMPUTED_VALUE"""),"Envia")</f>
        <v>Envia</v>
      </c>
      <c r="C6110" s="15" t="str">
        <f>IFERROR(__xludf.DUMMYFUNCTION("""COMPUTED_VALUE"""),"FLORIDABLANCA")</f>
        <v>FLORIDABLANCA</v>
      </c>
      <c r="D6110" s="15" t="str">
        <f>IFERROR(__xludf.DUMMYFUNCTION("""COMPUTED_VALUE"""),"BOGOTÁ")</f>
        <v>BOGOTÁ</v>
      </c>
      <c r="E6110" s="15" t="str">
        <f>IFERROR(__xludf.DUMMYFUNCTION("""COMPUTED_VALUE"""),"Evamazzita")</f>
        <v>Evamazzita</v>
      </c>
      <c r="F6110" s="17" t="str">
        <f>IFERROR(__xludf.DUMMYFUNCTION("""COMPUTED_VALUE"""),"Calle 5 # 14-102  Barrio Altamira / Barrio Altamira")</f>
        <v>Calle 5 # 14-102  Barrio Altamira / Barrio Altamira</v>
      </c>
      <c r="G6110" s="15" t="str">
        <f>IFERROR(__xludf.DUMMYFUNCTION("""COMPUTED_VALUE"""),"ANDREA DEL PILAR PAEZ ALDANA")</f>
        <v>ANDREA DEL PILAR PAEZ ALDANA</v>
      </c>
      <c r="H6110" s="16">
        <f>IFERROR(__xludf.DUMMYFUNCTION("""COMPUTED_VALUE"""),14877.0)</f>
        <v>14877</v>
      </c>
      <c r="I6110" s="18">
        <f>IFERROR(__xludf.DUMMYFUNCTION("""COMPUTED_VALUE"""),1.0)</f>
        <v>1</v>
      </c>
      <c r="J6110" s="18">
        <f>IFERROR(__xludf.DUMMYFUNCTION("""COMPUTED_VALUE"""),1.0)</f>
        <v>1</v>
      </c>
      <c r="K6110" s="18">
        <f>IFERROR(__xludf.DUMMYFUNCTION("""COMPUTED_VALUE"""),1.0)</f>
        <v>1</v>
      </c>
      <c r="L6110" s="17">
        <f>IFERROR(__xludf.DUMMYFUNCTION("""COMPUTED_VALUE"""),3.188277596E9)</f>
        <v>3188277596</v>
      </c>
      <c r="M6110" s="17" t="str">
        <f>IFERROR(__xludf.DUMMYFUNCTION("""COMPUTED_VALUE"""),"#REF!")</f>
        <v>#REF!</v>
      </c>
      <c r="N6110" s="17"/>
      <c r="O6110" s="17"/>
      <c r="P6110" s="17" t="b">
        <f>IFERROR(__xludf.DUMMYFUNCTION("""COMPUTED_VALUE"""),FALSE)</f>
        <v>0</v>
      </c>
      <c r="Q6110" s="20" t="str">
        <f>IFERROR(__xludf.DUMMYFUNCTION("""COMPUTED_VALUE"""),"")</f>
        <v/>
      </c>
      <c r="R6110" s="21" t="str">
        <f>IFERROR(__xludf.DUMMYFUNCTION("""COMPUTED_VALUE"""),"https://drive.google.com/file/d/1yOMYc6yoXfokz-YAkXSy0IuuztZbQfiw/view?usp=drivesdk")</f>
        <v>https://drive.google.com/file/d/1yOMYc6yoXfokz-YAkXSy0IuuztZbQfiw/view?usp=drivesdk</v>
      </c>
    </row>
    <row r="6111">
      <c r="A6111" s="15">
        <f>IFERROR(__xludf.DUMMYFUNCTION("""COMPUTED_VALUE"""),45176.0)</f>
        <v>45176</v>
      </c>
      <c r="B6111" s="16" t="str">
        <f>IFERROR(__xludf.DUMMYFUNCTION("""COMPUTED_VALUE"""),"Envia")</f>
        <v>Envia</v>
      </c>
      <c r="C6111" s="15" t="str">
        <f>IFERROR(__xludf.DUMMYFUNCTION("""COMPUTED_VALUE"""),"MONTERIA")</f>
        <v>MONTERIA</v>
      </c>
      <c r="D6111" s="15" t="str">
        <f>IFERROR(__xludf.DUMMYFUNCTION("""COMPUTED_VALUE"""),"BUCARAMANGA")</f>
        <v>BUCARAMANGA</v>
      </c>
      <c r="E6111" s="15" t="str">
        <f>IFERROR(__xludf.DUMMYFUNCTION("""COMPUTED_VALUE"""),"Yo Como Solito")</f>
        <v>Yo Como Solito</v>
      </c>
      <c r="F6111" s="17" t="str">
        <f>IFERROR(__xludf.DUMMYFUNCTION("""COMPUTED_VALUE"""),"TRANSVERSAL 13B #65-71 CONJUNTO RESIDENCIAL LIMA TORRE 7 APARTAMENTO 303 BARRIO LA CASTELLANA  / TRANSVERSAL 13B #65-71 CONJUNTO RESIDENCIAL LIMA TORRE 7 APARTAMENTO 303 BARRIO LA CASTELLANA / TRANSVERSAL 13B #65-71 CONJUNTO RESIDENCIAL LIMA TORRE 7 APART"&amp;"AMENTO 303 BARRIO LA CASTELLANA")</f>
        <v>TRANSVERSAL 13B #65-71 CONJUNTO RESIDENCIAL LIMA TORRE 7 APARTAMENTO 303 BARRIO LA CASTELLANA  / TRANSVERSAL 13B #65-71 CONJUNTO RESIDENCIAL LIMA TORRE 7 APARTAMENTO 303 BARRIO LA CASTELLANA / TRANSVERSAL 13B #65-71 CONJUNTO RESIDENCIAL LIMA TORRE 7 APARTAMENTO 303 BARRIO LA CASTELLANA</v>
      </c>
      <c r="G6111" s="15" t="str">
        <f>IFERROR(__xludf.DUMMYFUNCTION("""COMPUTED_VALUE"""),"JENIFER OVIEDO LARA")</f>
        <v>JENIFER OVIEDO LARA</v>
      </c>
      <c r="H6111" s="16">
        <f>IFERROR(__xludf.DUMMYFUNCTION("""COMPUTED_VALUE"""),14708.0)</f>
        <v>14708</v>
      </c>
      <c r="I6111" s="18">
        <f>IFERROR(__xludf.DUMMYFUNCTION("""COMPUTED_VALUE"""),20.0)</f>
        <v>20</v>
      </c>
      <c r="J6111" s="18">
        <f>IFERROR(__xludf.DUMMYFUNCTION("""COMPUTED_VALUE"""),40.0)</f>
        <v>40</v>
      </c>
      <c r="K6111" s="18">
        <f>IFERROR(__xludf.DUMMYFUNCTION("""COMPUTED_VALUE"""),40.0)</f>
        <v>40</v>
      </c>
      <c r="L6111" s="17">
        <f>IFERROR(__xludf.DUMMYFUNCTION("""COMPUTED_VALUE"""),3.013682027E9)</f>
        <v>3013682027</v>
      </c>
      <c r="M6111" s="17" t="str">
        <f>IFERROR(__xludf.DUMMYFUNCTION("""COMPUTED_VALUE"""),"#REF!")</f>
        <v>#REF!</v>
      </c>
      <c r="N6111" s="17"/>
      <c r="O6111" s="17"/>
      <c r="P6111" s="17" t="b">
        <f>IFERROR(__xludf.DUMMYFUNCTION("""COMPUTED_VALUE"""),FALSE)</f>
        <v>0</v>
      </c>
      <c r="Q6111" s="20" t="str">
        <f>IFERROR(__xludf.DUMMYFUNCTION("""COMPUTED_VALUE"""),"")</f>
        <v/>
      </c>
      <c r="R6111" s="22" t="str">
        <f>IFERROR(__xludf.DUMMYFUNCTION("""COMPUTED_VALUE"""),"")</f>
        <v/>
      </c>
    </row>
    <row r="6112">
      <c r="A6112" s="15">
        <f>IFERROR(__xludf.DUMMYFUNCTION("""COMPUTED_VALUE"""),45176.0)</f>
        <v>45176</v>
      </c>
      <c r="B6112" s="16" t="str">
        <f>IFERROR(__xludf.DUMMYFUNCTION("""COMPUTED_VALUE"""),"Envia")</f>
        <v>Envia</v>
      </c>
      <c r="C6112" s="15" t="str">
        <f>IFERROR(__xludf.DUMMYFUNCTION("""COMPUTED_VALUE"""),"NEIVA")</f>
        <v>NEIVA</v>
      </c>
      <c r="D6112" s="15" t="str">
        <f>IFERROR(__xludf.DUMMYFUNCTION("""COMPUTED_VALUE"""),"BOGOTÁ")</f>
        <v>BOGOTÁ</v>
      </c>
      <c r="E6112" s="15" t="str">
        <f>IFERROR(__xludf.DUMMYFUNCTION("""COMPUTED_VALUE"""),"Evamazzita")</f>
        <v>Evamazzita</v>
      </c>
      <c r="F6112" s="17" t="str">
        <f>IFERROR(__xludf.DUMMYFUNCTION("""COMPUTED_VALUE"""),"Calle 54 #8-21P / Villa Constanza")</f>
        <v>Calle 54 #8-21P / Villa Constanza</v>
      </c>
      <c r="G6112" s="15" t="str">
        <f>IFERROR(__xludf.DUMMYFUNCTION("""COMPUTED_VALUE"""),"LEIDY TATIANA PERDOMO BAHAMON")</f>
        <v>LEIDY TATIANA PERDOMO BAHAMON</v>
      </c>
      <c r="H6112" s="16">
        <f>IFERROR(__xludf.DUMMYFUNCTION("""COMPUTED_VALUE"""),14867.0)</f>
        <v>14867</v>
      </c>
      <c r="I6112" s="18">
        <f>IFERROR(__xludf.DUMMYFUNCTION("""COMPUTED_VALUE"""),1.0)</f>
        <v>1</v>
      </c>
      <c r="J6112" s="18">
        <f>IFERROR(__xludf.DUMMYFUNCTION("""COMPUTED_VALUE"""),1.0)</f>
        <v>1</v>
      </c>
      <c r="K6112" s="18">
        <f>IFERROR(__xludf.DUMMYFUNCTION("""COMPUTED_VALUE"""),1.0)</f>
        <v>1</v>
      </c>
      <c r="L6112" s="17">
        <f>IFERROR(__xludf.DUMMYFUNCTION("""COMPUTED_VALUE"""),3.115403292E9)</f>
        <v>3115403292</v>
      </c>
      <c r="M6112" s="17" t="str">
        <f>IFERROR(__xludf.DUMMYFUNCTION("""COMPUTED_VALUE"""),"#REF!")</f>
        <v>#REF!</v>
      </c>
      <c r="N6112" s="17"/>
      <c r="O6112" s="17"/>
      <c r="P6112" s="17" t="b">
        <f>IFERROR(__xludf.DUMMYFUNCTION("""COMPUTED_VALUE"""),FALSE)</f>
        <v>0</v>
      </c>
      <c r="Q6112" s="20" t="str">
        <f>IFERROR(__xludf.DUMMYFUNCTION("""COMPUTED_VALUE"""),"")</f>
        <v/>
      </c>
      <c r="R6112" s="22" t="str">
        <f>IFERROR(__xludf.DUMMYFUNCTION("""COMPUTED_VALUE"""),"")</f>
        <v/>
      </c>
    </row>
    <row r="6113">
      <c r="A6113" s="15">
        <f>IFERROR(__xludf.DUMMYFUNCTION("""COMPUTED_VALUE"""),45176.0)</f>
        <v>45176</v>
      </c>
      <c r="B6113" s="16" t="str">
        <f>IFERROR(__xludf.DUMMYFUNCTION("""COMPUTED_VALUE"""),"Envia")</f>
        <v>Envia</v>
      </c>
      <c r="C6113" s="15" t="str">
        <f>IFERROR(__xludf.DUMMYFUNCTION("""COMPUTED_VALUE"""),"NEIVA")</f>
        <v>NEIVA</v>
      </c>
      <c r="D6113" s="15" t="str">
        <f>IFERROR(__xludf.DUMMYFUNCTION("""COMPUTED_VALUE"""),"BOGOTÁ")</f>
        <v>BOGOTÁ</v>
      </c>
      <c r="E6113" s="15" t="str">
        <f>IFERROR(__xludf.DUMMYFUNCTION("""COMPUTED_VALUE"""),"Evamazzita")</f>
        <v>Evamazzita</v>
      </c>
      <c r="F6113" s="17" t="str">
        <f>IFERROR(__xludf.DUMMYFUNCTION("""COMPUTED_VALUE"""),"Calle 75A 1w 77 / Barrio calamari")</f>
        <v>Calle 75A 1w 77 / Barrio calamari</v>
      </c>
      <c r="G6113" s="15" t="str">
        <f>IFERROR(__xludf.DUMMYFUNCTION("""COMPUTED_VALUE"""),"DIANA MARCELA HORTA")</f>
        <v>DIANA MARCELA HORTA</v>
      </c>
      <c r="H6113" s="16">
        <f>IFERROR(__xludf.DUMMYFUNCTION("""COMPUTED_VALUE"""),14869.0)</f>
        <v>14869</v>
      </c>
      <c r="I6113" s="18">
        <f>IFERROR(__xludf.DUMMYFUNCTION("""COMPUTED_VALUE"""),1.0)</f>
        <v>1</v>
      </c>
      <c r="J6113" s="18">
        <f>IFERROR(__xludf.DUMMYFUNCTION("""COMPUTED_VALUE"""),1.0)</f>
        <v>1</v>
      </c>
      <c r="K6113" s="18">
        <f>IFERROR(__xludf.DUMMYFUNCTION("""COMPUTED_VALUE"""),1.0)</f>
        <v>1</v>
      </c>
      <c r="L6113" s="17">
        <f>IFERROR(__xludf.DUMMYFUNCTION("""COMPUTED_VALUE"""),3.167562064E9)</f>
        <v>3167562064</v>
      </c>
      <c r="M6113" s="17" t="str">
        <f>IFERROR(__xludf.DUMMYFUNCTION("""COMPUTED_VALUE"""),"#REF!")</f>
        <v>#REF!</v>
      </c>
      <c r="N6113" s="17"/>
      <c r="O6113" s="17"/>
      <c r="P6113" s="17" t="b">
        <f>IFERROR(__xludf.DUMMYFUNCTION("""COMPUTED_VALUE"""),FALSE)</f>
        <v>0</v>
      </c>
      <c r="Q6113" s="20" t="str">
        <f>IFERROR(__xludf.DUMMYFUNCTION("""COMPUTED_VALUE"""),"")</f>
        <v/>
      </c>
      <c r="R6113" s="22" t="str">
        <f>IFERROR(__xludf.DUMMYFUNCTION("""COMPUTED_VALUE"""),"")</f>
        <v/>
      </c>
    </row>
    <row r="6114">
      <c r="A6114" s="15">
        <f>IFERROR(__xludf.DUMMYFUNCTION("""COMPUTED_VALUE"""),45176.0)</f>
        <v>45176</v>
      </c>
      <c r="B6114" s="16" t="str">
        <f>IFERROR(__xludf.DUMMYFUNCTION("""COMPUTED_VALUE"""),"Envia")</f>
        <v>Envia</v>
      </c>
      <c r="C6114" s="15" t="str">
        <f>IFERROR(__xludf.DUMMYFUNCTION("""COMPUTED_VALUE"""),"NEIVA")</f>
        <v>NEIVA</v>
      </c>
      <c r="D6114" s="15" t="str">
        <f>IFERROR(__xludf.DUMMYFUNCTION("""COMPUTED_VALUE"""),"BOGOTÁ")</f>
        <v>BOGOTÁ</v>
      </c>
      <c r="E6114" s="15" t="str">
        <f>IFERROR(__xludf.DUMMYFUNCTION("""COMPUTED_VALUE"""),"Evamazzita")</f>
        <v>Evamazzita</v>
      </c>
      <c r="F6114" s="17" t="str">
        <f>IFERROR(__xludf.DUMMYFUNCTION("""COMPUTED_VALUE"""),"CRA 1D No. 71 - 46 / TORRE A APTO 120 CONJUNTO HACIENDA SANTA MARIA")</f>
        <v>CRA 1D No. 71 - 46 / TORRE A APTO 120 CONJUNTO HACIENDA SANTA MARIA</v>
      </c>
      <c r="G6114" s="15" t="str">
        <f>IFERROR(__xludf.DUMMYFUNCTION("""COMPUTED_VALUE"""),"EDNA LUCIA HERRERA")</f>
        <v>EDNA LUCIA HERRERA</v>
      </c>
      <c r="H6114" s="16">
        <f>IFERROR(__xludf.DUMMYFUNCTION("""COMPUTED_VALUE"""),14868.0)</f>
        <v>14868</v>
      </c>
      <c r="I6114" s="18">
        <f>IFERROR(__xludf.DUMMYFUNCTION("""COMPUTED_VALUE"""),1.0)</f>
        <v>1</v>
      </c>
      <c r="J6114" s="18">
        <f>IFERROR(__xludf.DUMMYFUNCTION("""COMPUTED_VALUE"""),1.0)</f>
        <v>1</v>
      </c>
      <c r="K6114" s="18">
        <f>IFERROR(__xludf.DUMMYFUNCTION("""COMPUTED_VALUE"""),1.0)</f>
        <v>1</v>
      </c>
      <c r="L6114" s="17">
        <f>IFERROR(__xludf.DUMMYFUNCTION("""COMPUTED_VALUE"""),3.187649163E9)</f>
        <v>3187649163</v>
      </c>
      <c r="M6114" s="17" t="str">
        <f>IFERROR(__xludf.DUMMYFUNCTION("""COMPUTED_VALUE"""),"#REF!")</f>
        <v>#REF!</v>
      </c>
      <c r="N6114" s="17"/>
      <c r="O6114" s="17"/>
      <c r="P6114" s="17" t="b">
        <f>IFERROR(__xludf.DUMMYFUNCTION("""COMPUTED_VALUE"""),FALSE)</f>
        <v>0</v>
      </c>
      <c r="Q6114" s="20" t="str">
        <f>IFERROR(__xludf.DUMMYFUNCTION("""COMPUTED_VALUE"""),"")</f>
        <v/>
      </c>
      <c r="R6114" s="22" t="str">
        <f>IFERROR(__xludf.DUMMYFUNCTION("""COMPUTED_VALUE"""),"")</f>
        <v/>
      </c>
    </row>
    <row r="6115">
      <c r="A6115" s="15">
        <f>IFERROR(__xludf.DUMMYFUNCTION("""COMPUTED_VALUE"""),45176.0)</f>
        <v>45176</v>
      </c>
      <c r="B6115" s="16" t="str">
        <f>IFERROR(__xludf.DUMMYFUNCTION("""COMPUTED_VALUE"""),"Envia")</f>
        <v>Envia</v>
      </c>
      <c r="C6115" s="15" t="str">
        <f>IFERROR(__xludf.DUMMYFUNCTION("""COMPUTED_VALUE"""),"NEIVA")</f>
        <v>NEIVA</v>
      </c>
      <c r="D6115" s="15" t="str">
        <f>IFERROR(__xludf.DUMMYFUNCTION("""COMPUTED_VALUE"""),"BOGOTÁ")</f>
        <v>BOGOTÁ</v>
      </c>
      <c r="E6115" s="15" t="str">
        <f>IFERROR(__xludf.DUMMYFUNCTION("""COMPUTED_VALUE"""),"Spirulina Fresca")</f>
        <v>Spirulina Fresca</v>
      </c>
      <c r="F6115" s="17" t="str">
        <f>IFERROR(__xludf.DUMMYFUNCTION("""COMPUTED_VALUE"""),"Calle 8#25-76 / Neiva / Neiva")</f>
        <v>Calle 8#25-76 / Neiva / Neiva</v>
      </c>
      <c r="G6115" s="15" t="str">
        <f>IFERROR(__xludf.DUMMYFUNCTION("""COMPUTED_VALUE"""),"Jhonny Sanchez")</f>
        <v>Jhonny Sanchez</v>
      </c>
      <c r="H6115" s="16">
        <f>IFERROR(__xludf.DUMMYFUNCTION("""COMPUTED_VALUE"""),14821.0)</f>
        <v>14821</v>
      </c>
      <c r="I6115" s="18">
        <f>IFERROR(__xludf.DUMMYFUNCTION("""COMPUTED_VALUE"""),15.0)</f>
        <v>15</v>
      </c>
      <c r="J6115" s="18">
        <f>IFERROR(__xludf.DUMMYFUNCTION("""COMPUTED_VALUE"""),10.0)</f>
        <v>10</v>
      </c>
      <c r="K6115" s="18">
        <f>IFERROR(__xludf.DUMMYFUNCTION("""COMPUTED_VALUE"""),15.0)</f>
        <v>15</v>
      </c>
      <c r="L6115" s="17">
        <f>IFERROR(__xludf.DUMMYFUNCTION("""COMPUTED_VALUE"""),3.003537343E9)</f>
        <v>3003537343</v>
      </c>
      <c r="M6115" s="17" t="str">
        <f>IFERROR(__xludf.DUMMYFUNCTION("""COMPUTED_VALUE"""),"#REF!")</f>
        <v>#REF!</v>
      </c>
      <c r="N6115" s="17"/>
      <c r="O6115" s="17"/>
      <c r="P6115" s="17" t="b">
        <f>IFERROR(__xludf.DUMMYFUNCTION("""COMPUTED_VALUE"""),FALSE)</f>
        <v>0</v>
      </c>
      <c r="Q6115" s="20" t="str">
        <f>IFERROR(__xludf.DUMMYFUNCTION("""COMPUTED_VALUE"""),"")</f>
        <v/>
      </c>
      <c r="R6115" s="22" t="str">
        <f>IFERROR(__xludf.DUMMYFUNCTION("""COMPUTED_VALUE"""),"")</f>
        <v/>
      </c>
    </row>
    <row r="6116">
      <c r="A6116" s="15">
        <f>IFERROR(__xludf.DUMMYFUNCTION("""COMPUTED_VALUE"""),45176.0)</f>
        <v>45176</v>
      </c>
      <c r="B6116" s="16" t="str">
        <f>IFERROR(__xludf.DUMMYFUNCTION("""COMPUTED_VALUE"""),"Envia")</f>
        <v>Envia</v>
      </c>
      <c r="C6116" s="15" t="str">
        <f>IFERROR(__xludf.DUMMYFUNCTION("""COMPUTED_VALUE"""),"POPAYAN")</f>
        <v>POPAYAN</v>
      </c>
      <c r="D6116" s="15" t="str">
        <f>IFERROR(__xludf.DUMMYFUNCTION("""COMPUTED_VALUE"""),"BOGOTÁ")</f>
        <v>BOGOTÁ</v>
      </c>
      <c r="E6116" s="15" t="str">
        <f>IFERROR(__xludf.DUMMYFUNCTION("""COMPUTED_VALUE"""),"Viiva Fermentados")</f>
        <v>Viiva Fermentados</v>
      </c>
      <c r="F6116" s="17" t="str">
        <f>IFERROR(__xludf.DUMMYFUNCTION("""COMPUTED_VALUE"""),"Cra 9 # 21Norte -36  / Tienda In Aqua / Ciudad Jardin")</f>
        <v>Cra 9 # 21Norte -36  / Tienda In Aqua / Ciudad Jardin</v>
      </c>
      <c r="G6116" s="15" t="str">
        <f>IFERROR(__xludf.DUMMYFUNCTION("""COMPUTED_VALUE"""),"In Aqua - Leonardo Camacho")</f>
        <v>In Aqua - Leonardo Camacho</v>
      </c>
      <c r="H6116" s="16">
        <f>IFERROR(__xludf.DUMMYFUNCTION("""COMPUTED_VALUE"""),14816.0)</f>
        <v>14816</v>
      </c>
      <c r="I6116" s="18">
        <f>IFERROR(__xludf.DUMMYFUNCTION("""COMPUTED_VALUE"""),45067.0)</f>
        <v>45067</v>
      </c>
      <c r="J6116" s="18">
        <f>IFERROR(__xludf.DUMMYFUNCTION("""COMPUTED_VALUE"""),24.0)</f>
        <v>24</v>
      </c>
      <c r="K6116" s="18">
        <f>IFERROR(__xludf.DUMMYFUNCTION("""COMPUTED_VALUE"""),39.0)</f>
        <v>39</v>
      </c>
      <c r="L6116" s="17">
        <f>IFERROR(__xludf.DUMMYFUNCTION("""COMPUTED_VALUE"""),3.013160676E9)</f>
        <v>3013160676</v>
      </c>
      <c r="M6116" s="17" t="str">
        <f>IFERROR(__xludf.DUMMYFUNCTION("""COMPUTED_VALUE"""),"#REF!")</f>
        <v>#REF!</v>
      </c>
      <c r="N6116" s="17"/>
      <c r="O6116" s="17"/>
      <c r="P6116" s="17" t="b">
        <f>IFERROR(__xludf.DUMMYFUNCTION("""COMPUTED_VALUE"""),TRUE)</f>
        <v>1</v>
      </c>
      <c r="Q6116" s="20">
        <f>IFERROR(__xludf.DUMMYFUNCTION("""COMPUTED_VALUE"""),45179.04299706018)</f>
        <v>45179.043</v>
      </c>
      <c r="R6116" s="22" t="str">
        <f>IFERROR(__xludf.DUMMYFUNCTION("""COMPUTED_VALUE"""),"")</f>
        <v/>
      </c>
    </row>
    <row r="6117">
      <c r="A6117" s="17" t="str">
        <f>IFERROR(__xludf.DUMMYFUNCTION("""COMPUTED_VALUE"""),"")</f>
        <v/>
      </c>
      <c r="B6117" s="17" t="str">
        <f>IFERROR(__xludf.DUMMYFUNCTION("""COMPUTED_VALUE"""),"")</f>
        <v/>
      </c>
      <c r="C6117" s="17" t="str">
        <f>IFERROR(__xludf.DUMMYFUNCTION("""COMPUTED_VALUE"""),"")</f>
        <v/>
      </c>
      <c r="D6117" s="17" t="str">
        <f>IFERROR(__xludf.DUMMYFUNCTION("""COMPUTED_VALUE"""),"")</f>
        <v/>
      </c>
      <c r="E6117" s="17" t="str">
        <f>IFERROR(__xludf.DUMMYFUNCTION("""COMPUTED_VALUE"""),"")</f>
        <v/>
      </c>
      <c r="F6117" s="17" t="str">
        <f>IFERROR(__xludf.DUMMYFUNCTION("""COMPUTED_VALUE"""),"")</f>
        <v/>
      </c>
      <c r="G6117" s="17" t="str">
        <f>IFERROR(__xludf.DUMMYFUNCTION("""COMPUTED_VALUE"""),"")</f>
        <v/>
      </c>
      <c r="H6117" s="17" t="str">
        <f>IFERROR(__xludf.DUMMYFUNCTION("""COMPUTED_VALUE"""),"")</f>
        <v/>
      </c>
      <c r="I6117" s="17" t="str">
        <f>IFERROR(__xludf.DUMMYFUNCTION("""COMPUTED_VALUE"""),"")</f>
        <v/>
      </c>
      <c r="J6117" s="17" t="str">
        <f>IFERROR(__xludf.DUMMYFUNCTION("""COMPUTED_VALUE"""),"")</f>
        <v/>
      </c>
      <c r="K6117" s="17" t="str">
        <f>IFERROR(__xludf.DUMMYFUNCTION("""COMPUTED_VALUE"""),"")</f>
        <v/>
      </c>
      <c r="L6117" s="17" t="str">
        <f>IFERROR(__xludf.DUMMYFUNCTION("""COMPUTED_VALUE"""),"")</f>
        <v/>
      </c>
      <c r="M6117" s="17" t="str">
        <f>IFERROR(__xludf.DUMMYFUNCTION("""COMPUTED_VALUE"""),"")</f>
        <v/>
      </c>
      <c r="N6117" s="17" t="str">
        <f>IFERROR(__xludf.DUMMYFUNCTION("""COMPUTED_VALUE"""),"")</f>
        <v/>
      </c>
      <c r="O6117" s="17" t="str">
        <f>IFERROR(__xludf.DUMMYFUNCTION("""COMPUTED_VALUE"""),"")</f>
        <v/>
      </c>
      <c r="P6117" s="17" t="str">
        <f>IFERROR(__xludf.DUMMYFUNCTION("""COMPUTED_VALUE"""),"")</f>
        <v/>
      </c>
      <c r="Q6117" s="17" t="str">
        <f>IFERROR(__xludf.DUMMYFUNCTION("""COMPUTED_VALUE"""),"")</f>
        <v/>
      </c>
      <c r="R6117" s="17" t="str">
        <f>IFERROR(__xludf.DUMMYFUNCTION("""COMPUTED_VALUE"""),"")</f>
        <v/>
      </c>
    </row>
    <row r="6118">
      <c r="A6118" s="15">
        <f>IFERROR(__xludf.DUMMYFUNCTION("""COMPUTED_VALUE"""),45176.0)</f>
        <v>45176</v>
      </c>
      <c r="B6118" s="16" t="str">
        <f>IFERROR(__xludf.DUMMYFUNCTION("""COMPUTED_VALUE"""),"Guillermo Valencia")</f>
        <v>Guillermo Valencia</v>
      </c>
      <c r="C6118" s="15" t="str">
        <f>IFERROR(__xludf.DUMMYFUNCTION("""COMPUTED_VALUE"""),"BUCARAMANGA")</f>
        <v>BUCARAMANGA</v>
      </c>
      <c r="D6118" s="15" t="str">
        <f>IFERROR(__xludf.DUMMYFUNCTION("""COMPUTED_VALUE"""),"BOGOTÁ")</f>
        <v>BOGOTÁ</v>
      </c>
      <c r="E6118" s="15" t="str">
        <f>IFERROR(__xludf.DUMMYFUNCTION("""COMPUTED_VALUE"""),"Evamazzita")</f>
        <v>Evamazzita</v>
      </c>
      <c r="F6118" s="17" t="str">
        <f>IFERROR(__xludf.DUMMYFUNCTION("""COMPUTED_VALUE"""),"Calle 103 #13-31 / san Fermín 2 torre 1 apto 604  Barrio jardines de coaviconsa")</f>
        <v>Calle 103 #13-31 / san Fermín 2 torre 1 apto 604  Barrio jardines de coaviconsa</v>
      </c>
      <c r="G6118" s="15" t="str">
        <f>IFERROR(__xludf.DUMMYFUNCTION("""COMPUTED_VALUE"""),"ANDRY SIRLEY PINZON MONTAÑEZ")</f>
        <v>ANDRY SIRLEY PINZON MONTAÑEZ</v>
      </c>
      <c r="H6118" s="16">
        <f>IFERROR(__xludf.DUMMYFUNCTION("""COMPUTED_VALUE"""),14875.0)</f>
        <v>14875</v>
      </c>
      <c r="I6118" s="18">
        <f>IFERROR(__xludf.DUMMYFUNCTION("""COMPUTED_VALUE"""),1.0)</f>
        <v>1</v>
      </c>
      <c r="J6118" s="18">
        <f>IFERROR(__xludf.DUMMYFUNCTION("""COMPUTED_VALUE"""),1.0)</f>
        <v>1</v>
      </c>
      <c r="K6118" s="18">
        <f>IFERROR(__xludf.DUMMYFUNCTION("""COMPUTED_VALUE"""),1.0)</f>
        <v>1</v>
      </c>
      <c r="L6118" s="17">
        <f>IFERROR(__xludf.DUMMYFUNCTION("""COMPUTED_VALUE"""),3.123919632E9)</f>
        <v>3123919632</v>
      </c>
      <c r="M6118" s="17" t="str">
        <f>IFERROR(__xludf.DUMMYFUNCTION("""COMPUTED_VALUE"""),"#REF!")</f>
        <v>#REF!</v>
      </c>
      <c r="N6118" s="17"/>
      <c r="O6118" s="17"/>
      <c r="P6118" s="17" t="b">
        <f>IFERROR(__xludf.DUMMYFUNCTION("""COMPUTED_VALUE"""),TRUE)</f>
        <v>1</v>
      </c>
      <c r="Q6118" s="20">
        <f>IFERROR(__xludf.DUMMYFUNCTION("""COMPUTED_VALUE"""),45179.04299706018)</f>
        <v>45179.043</v>
      </c>
      <c r="R6118" s="21" t="str">
        <f>IFERROR(__xludf.DUMMYFUNCTION("""COMPUTED_VALUE"""),"https://drive.google.com/file/d/1OVKUoAbv-SVBf2eoEFk0RBNezKdSrvYH/view?usp=drivesdk")</f>
        <v>https://drive.google.com/file/d/1OVKUoAbv-SVBf2eoEFk0RBNezKdSrvYH/view?usp=drivesdk</v>
      </c>
    </row>
    <row r="6119">
      <c r="A6119" s="15">
        <f>IFERROR(__xludf.DUMMYFUNCTION("""COMPUTED_VALUE"""),45176.0)</f>
        <v>45176</v>
      </c>
      <c r="B6119" s="16" t="str">
        <f>IFERROR(__xludf.DUMMYFUNCTION("""COMPUTED_VALUE"""),"Guillermo Valencia")</f>
        <v>Guillermo Valencia</v>
      </c>
      <c r="C6119" s="15" t="str">
        <f>IFERROR(__xludf.DUMMYFUNCTION("""COMPUTED_VALUE"""),"BUCARAMANGA")</f>
        <v>BUCARAMANGA</v>
      </c>
      <c r="D6119" s="15" t="str">
        <f>IFERROR(__xludf.DUMMYFUNCTION("""COMPUTED_VALUE"""),"BOGOTÁ")</f>
        <v>BOGOTÁ</v>
      </c>
      <c r="E6119" s="15" t="str">
        <f>IFERROR(__xludf.DUMMYFUNCTION("""COMPUTED_VALUE"""),"Evamazzita")</f>
        <v>Evamazzita</v>
      </c>
      <c r="F6119" s="17" t="str">
        <f>IFERROR(__xludf.DUMMYFUNCTION("""COMPUTED_VALUE"""),"Calle 12 n 35 60 / edificio quinta ana apto 204")</f>
        <v>Calle 12 n 35 60 / edificio quinta ana apto 204</v>
      </c>
      <c r="G6119" s="15" t="str">
        <f>IFERROR(__xludf.DUMMYFUNCTION("""COMPUTED_VALUE"""),"SILVIA JULIANA SERRANO PABON")</f>
        <v>SILVIA JULIANA SERRANO PABON</v>
      </c>
      <c r="H6119" s="16">
        <f>IFERROR(__xludf.DUMMYFUNCTION("""COMPUTED_VALUE"""),14874.0)</f>
        <v>14874</v>
      </c>
      <c r="I6119" s="18">
        <f>IFERROR(__xludf.DUMMYFUNCTION("""COMPUTED_VALUE"""),1.0)</f>
        <v>1</v>
      </c>
      <c r="J6119" s="18">
        <f>IFERROR(__xludf.DUMMYFUNCTION("""COMPUTED_VALUE"""),1.0)</f>
        <v>1</v>
      </c>
      <c r="K6119" s="18">
        <f>IFERROR(__xludf.DUMMYFUNCTION("""COMPUTED_VALUE"""),1.0)</f>
        <v>1</v>
      </c>
      <c r="L6119" s="17">
        <f>IFERROR(__xludf.DUMMYFUNCTION("""COMPUTED_VALUE"""),3.015074057E9)</f>
        <v>3015074057</v>
      </c>
      <c r="M6119" s="17" t="str">
        <f>IFERROR(__xludf.DUMMYFUNCTION("""COMPUTED_VALUE"""),"#REF!")</f>
        <v>#REF!</v>
      </c>
      <c r="N6119" s="17"/>
      <c r="O6119" s="17"/>
      <c r="P6119" s="17" t="b">
        <f>IFERROR(__xludf.DUMMYFUNCTION("""COMPUTED_VALUE"""),TRUE)</f>
        <v>1</v>
      </c>
      <c r="Q6119" s="20">
        <f>IFERROR(__xludf.DUMMYFUNCTION("""COMPUTED_VALUE"""),45179.04299706018)</f>
        <v>45179.043</v>
      </c>
      <c r="R6119" s="21" t="str">
        <f>IFERROR(__xludf.DUMMYFUNCTION("""COMPUTED_VALUE"""),"https://drive.google.com/file/d/1_FMcKChJmEv294IZiTVtp1kWdK_F3GXu/view?usp=drivesdk")</f>
        <v>https://drive.google.com/file/d/1_FMcKChJmEv294IZiTVtp1kWdK_F3GXu/view?usp=drivesdk</v>
      </c>
    </row>
    <row r="6120">
      <c r="A6120" s="15">
        <f>IFERROR(__xludf.DUMMYFUNCTION("""COMPUTED_VALUE"""),45176.0)</f>
        <v>45176</v>
      </c>
      <c r="B6120" s="16" t="str">
        <f>IFERROR(__xludf.DUMMYFUNCTION("""COMPUTED_VALUE"""),"Guillermo Valencia")</f>
        <v>Guillermo Valencia</v>
      </c>
      <c r="C6120" s="15" t="str">
        <f>IFERROR(__xludf.DUMMYFUNCTION("""COMPUTED_VALUE"""),"BUCARAMANGA")</f>
        <v>BUCARAMANGA</v>
      </c>
      <c r="D6120" s="15" t="str">
        <f>IFERROR(__xludf.DUMMYFUNCTION("""COMPUTED_VALUE"""),"BOGOTÁ")</f>
        <v>BOGOTÁ</v>
      </c>
      <c r="E6120" s="15" t="str">
        <f>IFERROR(__xludf.DUMMYFUNCTION("""COMPUTED_VALUE"""),"Evamazzita")</f>
        <v>Evamazzita</v>
      </c>
      <c r="F6120" s="17" t="str">
        <f>IFERROR(__xludf.DUMMYFUNCTION("""COMPUTED_VALUE"""),"Calle 37 #22-33 / Torre A Apto 501 Edificio Monterrey Barrio Bolivar")</f>
        <v>Calle 37 #22-33 / Torre A Apto 501 Edificio Monterrey Barrio Bolivar</v>
      </c>
      <c r="G6120" s="15" t="str">
        <f>IFERROR(__xludf.DUMMYFUNCTION("""COMPUTED_VALUE"""),"LEIDY RUGELES")</f>
        <v>LEIDY RUGELES</v>
      </c>
      <c r="H6120" s="16">
        <f>IFERROR(__xludf.DUMMYFUNCTION("""COMPUTED_VALUE"""),14872.0)</f>
        <v>14872</v>
      </c>
      <c r="I6120" s="18">
        <f>IFERROR(__xludf.DUMMYFUNCTION("""COMPUTED_VALUE"""),1.0)</f>
        <v>1</v>
      </c>
      <c r="J6120" s="18">
        <f>IFERROR(__xludf.DUMMYFUNCTION("""COMPUTED_VALUE"""),1.0)</f>
        <v>1</v>
      </c>
      <c r="K6120" s="18">
        <f>IFERROR(__xludf.DUMMYFUNCTION("""COMPUTED_VALUE"""),1.0)</f>
        <v>1</v>
      </c>
      <c r="L6120" s="17">
        <f>IFERROR(__xludf.DUMMYFUNCTION("""COMPUTED_VALUE"""),3.192986719E9)</f>
        <v>3192986719</v>
      </c>
      <c r="M6120" s="17" t="str">
        <f>IFERROR(__xludf.DUMMYFUNCTION("""COMPUTED_VALUE"""),"#REF!")</f>
        <v>#REF!</v>
      </c>
      <c r="N6120" s="17"/>
      <c r="O6120" s="17"/>
      <c r="P6120" s="17" t="b">
        <f>IFERROR(__xludf.DUMMYFUNCTION("""COMPUTED_VALUE"""),FALSE)</f>
        <v>0</v>
      </c>
      <c r="Q6120" s="20" t="str">
        <f>IFERROR(__xludf.DUMMYFUNCTION("""COMPUTED_VALUE"""),"")</f>
        <v/>
      </c>
      <c r="R6120" s="21" t="str">
        <f>IFERROR(__xludf.DUMMYFUNCTION("""COMPUTED_VALUE"""),"https://drive.google.com/file/d/1AGX_GOvLQLVxkB-ASMZuaIlB5Q8R0kBp/view?usp=drivesdk")</f>
        <v>https://drive.google.com/file/d/1AGX_GOvLQLVxkB-ASMZuaIlB5Q8R0kBp/view?usp=drivesdk</v>
      </c>
    </row>
    <row r="6121">
      <c r="A6121" s="15">
        <f>IFERROR(__xludf.DUMMYFUNCTION("""COMPUTED_VALUE"""),45176.0)</f>
        <v>45176</v>
      </c>
      <c r="B6121" s="16" t="str">
        <f>IFERROR(__xludf.DUMMYFUNCTION("""COMPUTED_VALUE"""),"Guillermo Valencia")</f>
        <v>Guillermo Valencia</v>
      </c>
      <c r="C6121" s="15" t="str">
        <f>IFERROR(__xludf.DUMMYFUNCTION("""COMPUTED_VALUE"""),"BUCARAMANGA")</f>
        <v>BUCARAMANGA</v>
      </c>
      <c r="D6121" s="15" t="str">
        <f>IFERROR(__xludf.DUMMYFUNCTION("""COMPUTED_VALUE"""),"BOGOTÁ")</f>
        <v>BOGOTÁ</v>
      </c>
      <c r="E6121" s="15" t="str">
        <f>IFERROR(__xludf.DUMMYFUNCTION("""COMPUTED_VALUE"""),"Evamazzita")</f>
        <v>Evamazzita</v>
      </c>
      <c r="F6121" s="17" t="str">
        <f>IFERROR(__xludf.DUMMYFUNCTION("""COMPUTED_VALUE"""),"Calle 47 No. 22-54 / barrio Nuevo Sotomayor")</f>
        <v>Calle 47 No. 22-54 / barrio Nuevo Sotomayor</v>
      </c>
      <c r="G6121" s="15" t="str">
        <f>IFERROR(__xludf.DUMMYFUNCTION("""COMPUTED_VALUE"""),"LUZ ANGELA NAVARRO")</f>
        <v>LUZ ANGELA NAVARRO</v>
      </c>
      <c r="H6121" s="16">
        <f>IFERROR(__xludf.DUMMYFUNCTION("""COMPUTED_VALUE"""),14876.0)</f>
        <v>14876</v>
      </c>
      <c r="I6121" s="18">
        <f>IFERROR(__xludf.DUMMYFUNCTION("""COMPUTED_VALUE"""),1.0)</f>
        <v>1</v>
      </c>
      <c r="J6121" s="18">
        <f>IFERROR(__xludf.DUMMYFUNCTION("""COMPUTED_VALUE"""),1.0)</f>
        <v>1</v>
      </c>
      <c r="K6121" s="18">
        <f>IFERROR(__xludf.DUMMYFUNCTION("""COMPUTED_VALUE"""),1.0)</f>
        <v>1</v>
      </c>
      <c r="L6121" s="17">
        <f>IFERROR(__xludf.DUMMYFUNCTION("""COMPUTED_VALUE"""),3.152063144E9)</f>
        <v>3152063144</v>
      </c>
      <c r="M6121" s="17" t="str">
        <f>IFERROR(__xludf.DUMMYFUNCTION("""COMPUTED_VALUE"""),"#REF!")</f>
        <v>#REF!</v>
      </c>
      <c r="N6121" s="17"/>
      <c r="O6121" s="17"/>
      <c r="P6121" s="17" t="b">
        <f>IFERROR(__xludf.DUMMYFUNCTION("""COMPUTED_VALUE"""),TRUE)</f>
        <v>1</v>
      </c>
      <c r="Q6121" s="20">
        <f>IFERROR(__xludf.DUMMYFUNCTION("""COMPUTED_VALUE"""),45176.654566446756)</f>
        <v>45176.65457</v>
      </c>
      <c r="R6121" s="21" t="str">
        <f>IFERROR(__xludf.DUMMYFUNCTION("""COMPUTED_VALUE"""),"https://drive.google.com/file/d/1wjXj6crndXh3N5CiQp5BPYq1M-JjzwL1/view?usp=drivesdk")</f>
        <v>https://drive.google.com/file/d/1wjXj6crndXh3N5CiQp5BPYq1M-JjzwL1/view?usp=drivesdk</v>
      </c>
    </row>
    <row r="6122">
      <c r="A6122" s="15">
        <f>IFERROR(__xludf.DUMMYFUNCTION("""COMPUTED_VALUE"""),45176.0)</f>
        <v>45176</v>
      </c>
      <c r="B6122" s="16" t="str">
        <f>IFERROR(__xludf.DUMMYFUNCTION("""COMPUTED_VALUE"""),"Guillermo Valencia")</f>
        <v>Guillermo Valencia</v>
      </c>
      <c r="C6122" s="15" t="str">
        <f>IFERROR(__xludf.DUMMYFUNCTION("""COMPUTED_VALUE"""),"BUCARAMANGA")</f>
        <v>BUCARAMANGA</v>
      </c>
      <c r="D6122" s="15" t="str">
        <f>IFERROR(__xludf.DUMMYFUNCTION("""COMPUTED_VALUE"""),"BOGOTÁ")</f>
        <v>BOGOTÁ</v>
      </c>
      <c r="E6122" s="15" t="str">
        <f>IFERROR(__xludf.DUMMYFUNCTION("""COMPUTED_VALUE"""),"Evamazzita")</f>
        <v>Evamazzita</v>
      </c>
      <c r="F6122" s="17" t="str">
        <f>IFERROR(__xludf.DUMMYFUNCTION("""COMPUTED_VALUE"""),"Calle 64 a # 17 a 86 / La Ceiba / LA CEIBA")</f>
        <v>Calle 64 a # 17 a 86 / La Ceiba / LA CEIBA</v>
      </c>
      <c r="G6122" s="15" t="str">
        <f>IFERROR(__xludf.DUMMYFUNCTION("""COMPUTED_VALUE"""),"MELISA AMAYA")</f>
        <v>MELISA AMAYA</v>
      </c>
      <c r="H6122" s="16">
        <f>IFERROR(__xludf.DUMMYFUNCTION("""COMPUTED_VALUE"""),14859.0)</f>
        <v>14859</v>
      </c>
      <c r="I6122" s="18">
        <f>IFERROR(__xludf.DUMMYFUNCTION("""COMPUTED_VALUE"""),1.0)</f>
        <v>1</v>
      </c>
      <c r="J6122" s="18">
        <f>IFERROR(__xludf.DUMMYFUNCTION("""COMPUTED_VALUE"""),1.0)</f>
        <v>1</v>
      </c>
      <c r="K6122" s="18">
        <f>IFERROR(__xludf.DUMMYFUNCTION("""COMPUTED_VALUE"""),1.0)</f>
        <v>1</v>
      </c>
      <c r="L6122" s="17">
        <f>IFERROR(__xludf.DUMMYFUNCTION("""COMPUTED_VALUE"""),3.045481271E9)</f>
        <v>3045481271</v>
      </c>
      <c r="M6122" s="17" t="str">
        <f>IFERROR(__xludf.DUMMYFUNCTION("""COMPUTED_VALUE"""),"#REF!")</f>
        <v>#REF!</v>
      </c>
      <c r="N6122" s="17"/>
      <c r="O6122" s="17"/>
      <c r="P6122" s="17" t="b">
        <f>IFERROR(__xludf.DUMMYFUNCTION("""COMPUTED_VALUE"""),FALSE)</f>
        <v>0</v>
      </c>
      <c r="Q6122" s="20" t="str">
        <f>IFERROR(__xludf.DUMMYFUNCTION("""COMPUTED_VALUE"""),"")</f>
        <v/>
      </c>
      <c r="R6122" s="21" t="str">
        <f>IFERROR(__xludf.DUMMYFUNCTION("""COMPUTED_VALUE"""),"https://drive.google.com/file/d/15wBONNr_a46R__AdPjrkhT4MiMsA_ehE/view?usp=drivesdk")</f>
        <v>https://drive.google.com/file/d/15wBONNr_a46R__AdPjrkhT4MiMsA_ehE/view?usp=drivesdk</v>
      </c>
    </row>
    <row r="6123">
      <c r="A6123" s="15">
        <f>IFERROR(__xludf.DUMMYFUNCTION("""COMPUTED_VALUE"""),45176.0)</f>
        <v>45176</v>
      </c>
      <c r="B6123" s="16" t="str">
        <f>IFERROR(__xludf.DUMMYFUNCTION("""COMPUTED_VALUE"""),"Guillermo Valencia")</f>
        <v>Guillermo Valencia</v>
      </c>
      <c r="C6123" s="15" t="str">
        <f>IFERROR(__xludf.DUMMYFUNCTION("""COMPUTED_VALUE"""),"BUCARAMANGA")</f>
        <v>BUCARAMANGA</v>
      </c>
      <c r="D6123" s="15" t="str">
        <f>IFERROR(__xludf.DUMMYFUNCTION("""COMPUTED_VALUE"""),"BOGOTÁ")</f>
        <v>BOGOTÁ</v>
      </c>
      <c r="E6123" s="15" t="str">
        <f>IFERROR(__xludf.DUMMYFUNCTION("""COMPUTED_VALUE"""),"Evamazzita")</f>
        <v>Evamazzita</v>
      </c>
      <c r="F6123" s="17" t="str">
        <f>IFERROR(__xludf.DUMMYFUNCTION("""COMPUTED_VALUE"""),"cr 20 nro 112-51 / apto 705 San Lorenzo de Provenza 1")</f>
        <v>cr 20 nro 112-51 / apto 705 San Lorenzo de Provenza 1</v>
      </c>
      <c r="G6123" s="15" t="str">
        <f>IFERROR(__xludf.DUMMYFUNCTION("""COMPUTED_VALUE"""),"YESENIA NEIRA")</f>
        <v>YESENIA NEIRA</v>
      </c>
      <c r="H6123" s="16">
        <f>IFERROR(__xludf.DUMMYFUNCTION("""COMPUTED_VALUE"""),14873.0)</f>
        <v>14873</v>
      </c>
      <c r="I6123" s="18">
        <f>IFERROR(__xludf.DUMMYFUNCTION("""COMPUTED_VALUE"""),1.0)</f>
        <v>1</v>
      </c>
      <c r="J6123" s="18">
        <f>IFERROR(__xludf.DUMMYFUNCTION("""COMPUTED_VALUE"""),1.0)</f>
        <v>1</v>
      </c>
      <c r="K6123" s="18">
        <f>IFERROR(__xludf.DUMMYFUNCTION("""COMPUTED_VALUE"""),1.0)</f>
        <v>1</v>
      </c>
      <c r="L6123" s="17">
        <f>IFERROR(__xludf.DUMMYFUNCTION("""COMPUTED_VALUE"""),3.107979618E9)</f>
        <v>3107979618</v>
      </c>
      <c r="M6123" s="17" t="str">
        <f>IFERROR(__xludf.DUMMYFUNCTION("""COMPUTED_VALUE"""),"#REF!")</f>
        <v>#REF!</v>
      </c>
      <c r="N6123" s="17"/>
      <c r="O6123" s="17"/>
      <c r="P6123" s="17" t="b">
        <f>IFERROR(__xludf.DUMMYFUNCTION("""COMPUTED_VALUE"""),TRUE)</f>
        <v>1</v>
      </c>
      <c r="Q6123" s="20">
        <f>IFERROR(__xludf.DUMMYFUNCTION("""COMPUTED_VALUE"""),45176.655094629634)</f>
        <v>45176.65509</v>
      </c>
      <c r="R6123" s="21" t="str">
        <f>IFERROR(__xludf.DUMMYFUNCTION("""COMPUTED_VALUE"""),"https://drive.google.com/file/d/1Wq4CFRzO0zk7GITerAArhCMUCebJg-kC/view?usp=drivesdk")</f>
        <v>https://drive.google.com/file/d/1Wq4CFRzO0zk7GITerAArhCMUCebJg-kC/view?usp=drivesdk</v>
      </c>
    </row>
    <row r="6124">
      <c r="A6124" s="15">
        <f>IFERROR(__xludf.DUMMYFUNCTION("""COMPUTED_VALUE"""),45176.0)</f>
        <v>45176</v>
      </c>
      <c r="B6124" s="16" t="str">
        <f>IFERROR(__xludf.DUMMYFUNCTION("""COMPUTED_VALUE"""),"Guillermo Valencia")</f>
        <v>Guillermo Valencia</v>
      </c>
      <c r="C6124" s="15" t="str">
        <f>IFERROR(__xludf.DUMMYFUNCTION("""COMPUTED_VALUE"""),"BUCARAMANGA")</f>
        <v>BUCARAMANGA</v>
      </c>
      <c r="D6124" s="15" t="str">
        <f>IFERROR(__xludf.DUMMYFUNCTION("""COMPUTED_VALUE"""),"BOGOTÁ")</f>
        <v>BOGOTÁ</v>
      </c>
      <c r="E6124" s="15" t="str">
        <f>IFERROR(__xludf.DUMMYFUNCTION("""COMPUTED_VALUE"""),"Evamazzita")</f>
        <v>Evamazzita</v>
      </c>
      <c r="F6124" s="17" t="str">
        <f>IFERROR(__xludf.DUMMYFUNCTION("""COMPUTED_VALUE"""),"Cr 25 # 20 15 / Apto 201 / SAN FRANCISCO")</f>
        <v>Cr 25 # 20 15 / Apto 201 / SAN FRANCISCO</v>
      </c>
      <c r="G6124" s="15" t="str">
        <f>IFERROR(__xludf.DUMMYFUNCTION("""COMPUTED_VALUE"""),"CLAUDIA TIBAMOZA")</f>
        <v>CLAUDIA TIBAMOZA</v>
      </c>
      <c r="H6124" s="16">
        <f>IFERROR(__xludf.DUMMYFUNCTION("""COMPUTED_VALUE"""),14860.0)</f>
        <v>14860</v>
      </c>
      <c r="I6124" s="18">
        <f>IFERROR(__xludf.DUMMYFUNCTION("""COMPUTED_VALUE"""),1.0)</f>
        <v>1</v>
      </c>
      <c r="J6124" s="18">
        <f>IFERROR(__xludf.DUMMYFUNCTION("""COMPUTED_VALUE"""),1.0)</f>
        <v>1</v>
      </c>
      <c r="K6124" s="18">
        <f>IFERROR(__xludf.DUMMYFUNCTION("""COMPUTED_VALUE"""),1.0)</f>
        <v>1</v>
      </c>
      <c r="L6124" s="17">
        <f>IFERROR(__xludf.DUMMYFUNCTION("""COMPUTED_VALUE"""),3.166240312E9)</f>
        <v>3166240312</v>
      </c>
      <c r="M6124" s="17" t="str">
        <f>IFERROR(__xludf.DUMMYFUNCTION("""COMPUTED_VALUE"""),"#REF!")</f>
        <v>#REF!</v>
      </c>
      <c r="N6124" s="17"/>
      <c r="O6124" s="17"/>
      <c r="P6124" s="17" t="b">
        <f>IFERROR(__xludf.DUMMYFUNCTION("""COMPUTED_VALUE"""),FALSE)</f>
        <v>0</v>
      </c>
      <c r="Q6124" s="20" t="str">
        <f>IFERROR(__xludf.DUMMYFUNCTION("""COMPUTED_VALUE"""),"")</f>
        <v/>
      </c>
      <c r="R6124" s="21" t="str">
        <f>IFERROR(__xludf.DUMMYFUNCTION("""COMPUTED_VALUE"""),"https://drive.google.com/file/d/1QkO8B8tVou1aWZQIOX6qDv4IWjTB6c9h/view?usp=drivesdk")</f>
        <v>https://drive.google.com/file/d/1QkO8B8tVou1aWZQIOX6qDv4IWjTB6c9h/view?usp=drivesdk</v>
      </c>
    </row>
    <row r="6125">
      <c r="A6125" s="15">
        <f>IFERROR(__xludf.DUMMYFUNCTION("""COMPUTED_VALUE"""),45176.0)</f>
        <v>45176</v>
      </c>
      <c r="B6125" s="16" t="str">
        <f>IFERROR(__xludf.DUMMYFUNCTION("""COMPUTED_VALUE"""),"Guillermo Valencia")</f>
        <v>Guillermo Valencia</v>
      </c>
      <c r="C6125" s="15" t="str">
        <f>IFERROR(__xludf.DUMMYFUNCTION("""COMPUTED_VALUE"""),"BUCARAMANGA")</f>
        <v>BUCARAMANGA</v>
      </c>
      <c r="D6125" s="15" t="str">
        <f>IFERROR(__xludf.DUMMYFUNCTION("""COMPUTED_VALUE"""),"BOGOTÁ")</f>
        <v>BOGOTÁ</v>
      </c>
      <c r="E6125" s="15" t="str">
        <f>IFERROR(__xludf.DUMMYFUNCTION("""COMPUTED_VALUE"""),"Evamazzita")</f>
        <v>Evamazzita</v>
      </c>
      <c r="F6125" s="17" t="str">
        <f>IFERROR(__xludf.DUMMYFUNCTION("""COMPUTED_VALUE"""),"TRANSV. 93 No. 34  - 99 / CC CACIQUE LOCAL 162 A MAC CENTER")</f>
        <v>TRANSV. 93 No. 34  - 99 / CC CACIQUE LOCAL 162 A MAC CENTER</v>
      </c>
      <c r="G6125" s="15" t="str">
        <f>IFERROR(__xludf.DUMMYFUNCTION("""COMPUTED_VALUE"""),"ALEXANDRA RIOS OLIVEROS")</f>
        <v>ALEXANDRA RIOS OLIVEROS</v>
      </c>
      <c r="H6125" s="16">
        <f>IFERROR(__xludf.DUMMYFUNCTION("""COMPUTED_VALUE"""),14871.0)</f>
        <v>14871</v>
      </c>
      <c r="I6125" s="18">
        <f>IFERROR(__xludf.DUMMYFUNCTION("""COMPUTED_VALUE"""),1.0)</f>
        <v>1</v>
      </c>
      <c r="J6125" s="18">
        <f>IFERROR(__xludf.DUMMYFUNCTION("""COMPUTED_VALUE"""),1.0)</f>
        <v>1</v>
      </c>
      <c r="K6125" s="18">
        <f>IFERROR(__xludf.DUMMYFUNCTION("""COMPUTED_VALUE"""),1.0)</f>
        <v>1</v>
      </c>
      <c r="L6125" s="17">
        <f>IFERROR(__xludf.DUMMYFUNCTION("""COMPUTED_VALUE"""),3.229099416E9)</f>
        <v>3229099416</v>
      </c>
      <c r="M6125" s="17" t="str">
        <f>IFERROR(__xludf.DUMMYFUNCTION("""COMPUTED_VALUE"""),"#REF!")</f>
        <v>#REF!</v>
      </c>
      <c r="N6125" s="17"/>
      <c r="O6125" s="17"/>
      <c r="P6125" s="17" t="b">
        <f>IFERROR(__xludf.DUMMYFUNCTION("""COMPUTED_VALUE"""),FALSE)</f>
        <v>0</v>
      </c>
      <c r="Q6125" s="20" t="str">
        <f>IFERROR(__xludf.DUMMYFUNCTION("""COMPUTED_VALUE"""),"")</f>
        <v/>
      </c>
      <c r="R6125" s="21" t="str">
        <f>IFERROR(__xludf.DUMMYFUNCTION("""COMPUTED_VALUE"""),"https://drive.google.com/file/d/1wBXWBjp7mgapNafC-5IuRZIJdYJ_X7FK/view?usp=drivesdk")</f>
        <v>https://drive.google.com/file/d/1wBXWBjp7mgapNafC-5IuRZIJdYJ_X7FK/view?usp=drivesdk</v>
      </c>
    </row>
    <row r="6126">
      <c r="A6126" s="15">
        <f>IFERROR(__xludf.DUMMYFUNCTION("""COMPUTED_VALUE"""),45176.0)</f>
        <v>45176</v>
      </c>
      <c r="B6126" s="16" t="str">
        <f>IFERROR(__xludf.DUMMYFUNCTION("""COMPUTED_VALUE"""),"Guillermo Valencia")</f>
        <v>Guillermo Valencia</v>
      </c>
      <c r="C6126" s="15" t="str">
        <f>IFERROR(__xludf.DUMMYFUNCTION("""COMPUTED_VALUE"""),"BUCARAMANGA")</f>
        <v>BUCARAMANGA</v>
      </c>
      <c r="D6126" s="15" t="str">
        <f>IFERROR(__xludf.DUMMYFUNCTION("""COMPUTED_VALUE"""),"BOGOTÁ")</f>
        <v>BOGOTÁ</v>
      </c>
      <c r="E6126" s="15" t="str">
        <f>IFERROR(__xludf.DUMMYFUNCTION("""COMPUTED_VALUE"""),"Ins. Alimento Vital")</f>
        <v>Ins. Alimento Vital</v>
      </c>
      <c r="F6126" s="17" t="str">
        <f>IFERROR(__xludf.DUMMYFUNCTION("""COMPUTED_VALUE"""),"CR 48 30 21 / TR 1 AP 204 EDIFICIO BOSQUES DEL VENADO / BOSQUES DEL VENADO")</f>
        <v>CR 48 30 21 / TR 1 AP 204 EDIFICIO BOSQUES DEL VENADO / BOSQUES DEL VENADO</v>
      </c>
      <c r="G6126" s="15" t="str">
        <f>IFERROR(__xludf.DUMMYFUNCTION("""COMPUTED_VALUE"""),"LEIDY CATERINE PATIÑO RODRIGUEZ")</f>
        <v>LEIDY CATERINE PATIÑO RODRIGUEZ</v>
      </c>
      <c r="H6126" s="16">
        <f>IFERROR(__xludf.DUMMYFUNCTION("""COMPUTED_VALUE"""),14830.0)</f>
        <v>14830</v>
      </c>
      <c r="I6126" s="18">
        <f>IFERROR(__xludf.DUMMYFUNCTION("""COMPUTED_VALUE"""),1.0)</f>
        <v>1</v>
      </c>
      <c r="J6126" s="18">
        <f>IFERROR(__xludf.DUMMYFUNCTION("""COMPUTED_VALUE"""),1.0)</f>
        <v>1</v>
      </c>
      <c r="K6126" s="18">
        <f>IFERROR(__xludf.DUMMYFUNCTION("""COMPUTED_VALUE"""),1.0)</f>
        <v>1</v>
      </c>
      <c r="L6126" s="17">
        <f>IFERROR(__xludf.DUMMYFUNCTION("""COMPUTED_VALUE"""),3.132936789E9)</f>
        <v>3132936789</v>
      </c>
      <c r="M6126" s="17" t="str">
        <f>IFERROR(__xludf.DUMMYFUNCTION("""COMPUTED_VALUE"""),"#REF!")</f>
        <v>#REF!</v>
      </c>
      <c r="N6126" s="17"/>
      <c r="O6126" s="17"/>
      <c r="P6126" s="17" t="b">
        <f>IFERROR(__xludf.DUMMYFUNCTION("""COMPUTED_VALUE"""),FALSE)</f>
        <v>0</v>
      </c>
      <c r="Q6126" s="20" t="str">
        <f>IFERROR(__xludf.DUMMYFUNCTION("""COMPUTED_VALUE"""),"")</f>
        <v/>
      </c>
      <c r="R6126" s="21" t="str">
        <f>IFERROR(__xludf.DUMMYFUNCTION("""COMPUTED_VALUE"""),"https://drive.google.com/file/d/1h1yzRXFIiycu9wPW7as4rXt8PqZ5mK22/view?usp=drivesdk")</f>
        <v>https://drive.google.com/file/d/1h1yzRXFIiycu9wPW7as4rXt8PqZ5mK22/view?usp=drivesdk</v>
      </c>
    </row>
    <row r="6127">
      <c r="A6127" s="15">
        <f>IFERROR(__xludf.DUMMYFUNCTION("""COMPUTED_VALUE"""),45176.0)</f>
        <v>45176</v>
      </c>
      <c r="B6127" s="16" t="str">
        <f>IFERROR(__xludf.DUMMYFUNCTION("""COMPUTED_VALUE"""),"Guillermo Valencia")</f>
        <v>Guillermo Valencia</v>
      </c>
      <c r="C6127" s="15" t="str">
        <f>IFERROR(__xludf.DUMMYFUNCTION("""COMPUTED_VALUE"""),"BUCARAMANGA")</f>
        <v>BUCARAMANGA</v>
      </c>
      <c r="D6127" s="15" t="str">
        <f>IFERROR(__xludf.DUMMYFUNCTION("""COMPUTED_VALUE"""),"BOGOTÁ")</f>
        <v>BOGOTÁ</v>
      </c>
      <c r="E6127" s="15" t="str">
        <f>IFERROR(__xludf.DUMMYFUNCTION("""COMPUTED_VALUE"""),"Pan de Waffle")</f>
        <v>Pan de Waffle</v>
      </c>
      <c r="F6127" s="17" t="str">
        <f>IFERROR(__xludf.DUMMYFUNCTION("""COMPUTED_VALUE"""),"Av. Samanes # 9 - 140 Ciudadela Real De Minas C.C. Acropolis Local 210A Piso 2 / Av. Samanes # 9 - 140 Ciudadela Real De Minas C.C. Acropolis Local 210A Piso 2 / Av. Samanes # 9 - 140 Ciudadela Real De Minas C.C. Acropolis Local 210A Piso 2")</f>
        <v>Av. Samanes # 9 - 140 Ciudadela Real De Minas C.C. Acropolis Local 210A Piso 2 / Av. Samanes # 9 - 140 Ciudadela Real De Minas C.C. Acropolis Local 210A Piso 2 / Av. Samanes # 9 - 140 Ciudadela Real De Minas C.C. Acropolis Local 210A Piso 2</v>
      </c>
      <c r="G6127" s="15" t="str">
        <f>IFERROR(__xludf.DUMMYFUNCTION("""COMPUTED_VALUE"""),"FITANICA SALUDABLE")</f>
        <v>FITANICA SALUDABLE</v>
      </c>
      <c r="H6127" s="16">
        <f>IFERROR(__xludf.DUMMYFUNCTION("""COMPUTED_VALUE"""),14842.0)</f>
        <v>14842</v>
      </c>
      <c r="I6127" s="18">
        <f>IFERROR(__xludf.DUMMYFUNCTION("""COMPUTED_VALUE"""),40.0)</f>
        <v>40</v>
      </c>
      <c r="J6127" s="18">
        <f>IFERROR(__xludf.DUMMYFUNCTION("""COMPUTED_VALUE"""),20.0)</f>
        <v>20</v>
      </c>
      <c r="K6127" s="18">
        <f>IFERROR(__xludf.DUMMYFUNCTION("""COMPUTED_VALUE"""),40.0)</f>
        <v>40</v>
      </c>
      <c r="L6127" s="17">
        <f>IFERROR(__xludf.DUMMYFUNCTION("""COMPUTED_VALUE"""),3.102563586E9)</f>
        <v>3102563586</v>
      </c>
      <c r="M6127" s="17" t="str">
        <f>IFERROR(__xludf.DUMMYFUNCTION("""COMPUTED_VALUE"""),"#REF!")</f>
        <v>#REF!</v>
      </c>
      <c r="N6127" s="17"/>
      <c r="O6127" s="17"/>
      <c r="P6127" s="17" t="b">
        <f>IFERROR(__xludf.DUMMYFUNCTION("""COMPUTED_VALUE"""),FALSE)</f>
        <v>0</v>
      </c>
      <c r="Q6127" s="20" t="str">
        <f>IFERROR(__xludf.DUMMYFUNCTION("""COMPUTED_VALUE"""),"")</f>
        <v/>
      </c>
      <c r="R6127" s="21" t="str">
        <f>IFERROR(__xludf.DUMMYFUNCTION("""COMPUTED_VALUE"""),"https://drive.google.com/file/d/1nBXcx3pV4wkHjqpoKLBX5VTp13wwFJ8n/view?usp=drivesdk")</f>
        <v>https://drive.google.com/file/d/1nBXcx3pV4wkHjqpoKLBX5VTp13wwFJ8n/view?usp=drivesdk</v>
      </c>
    </row>
    <row r="6128">
      <c r="A6128" s="15">
        <f>IFERROR(__xludf.DUMMYFUNCTION("""COMPUTED_VALUE"""),45176.0)</f>
        <v>45176</v>
      </c>
      <c r="B6128" s="16" t="str">
        <f>IFERROR(__xludf.DUMMYFUNCTION("""COMPUTED_VALUE"""),"Guillermo Valencia")</f>
        <v>Guillermo Valencia</v>
      </c>
      <c r="C6128" s="15" t="str">
        <f>IFERROR(__xludf.DUMMYFUNCTION("""COMPUTED_VALUE"""),"BUCARAMANGA")</f>
        <v>BUCARAMANGA</v>
      </c>
      <c r="D6128" s="15" t="str">
        <f>IFERROR(__xludf.DUMMYFUNCTION("""COMPUTED_VALUE"""),"BOGOTÁ")</f>
        <v>BOGOTÁ</v>
      </c>
      <c r="E6128" s="15" t="str">
        <f>IFERROR(__xludf.DUMMYFUNCTION("""COMPUTED_VALUE"""),"Pan de Waffle")</f>
        <v>Pan de Waffle</v>
      </c>
      <c r="F6128" s="17" t="str">
        <f>IFERROR(__xludf.DUMMYFUNCTION("""COMPUTED_VALUE"""),"Carrera 31 # 50 - 27 / Carrera 31 # 50 - 27 / Carrera 31 # 50 - 27")</f>
        <v>Carrera 31 # 50 - 27 / Carrera 31 # 50 - 27 / Carrera 31 # 50 - 27</v>
      </c>
      <c r="G6128" s="15" t="str">
        <f>IFERROR(__xludf.DUMMYFUNCTION("""COMPUTED_VALUE"""),"FOODOLOGY")</f>
        <v>FOODOLOGY</v>
      </c>
      <c r="H6128" s="16">
        <f>IFERROR(__xludf.DUMMYFUNCTION("""COMPUTED_VALUE"""),14839.0)</f>
        <v>14839</v>
      </c>
      <c r="I6128" s="18">
        <f>IFERROR(__xludf.DUMMYFUNCTION("""COMPUTED_VALUE"""),30.0)</f>
        <v>30</v>
      </c>
      <c r="J6128" s="18">
        <f>IFERROR(__xludf.DUMMYFUNCTION("""COMPUTED_VALUE"""),30.0)</f>
        <v>30</v>
      </c>
      <c r="K6128" s="18">
        <f>IFERROR(__xludf.DUMMYFUNCTION("""COMPUTED_VALUE"""),40.0)</f>
        <v>40</v>
      </c>
      <c r="L6128" s="17">
        <f>IFERROR(__xludf.DUMMYFUNCTION("""COMPUTED_VALUE"""),3.017001909E9)</f>
        <v>3017001909</v>
      </c>
      <c r="M6128" s="17" t="str">
        <f>IFERROR(__xludf.DUMMYFUNCTION("""COMPUTED_VALUE"""),"#REF!")</f>
        <v>#REF!</v>
      </c>
      <c r="N6128" s="17"/>
      <c r="O6128" s="17"/>
      <c r="P6128" s="17" t="b">
        <f>IFERROR(__xludf.DUMMYFUNCTION("""COMPUTED_VALUE"""),FALSE)</f>
        <v>0</v>
      </c>
      <c r="Q6128" s="20" t="str">
        <f>IFERROR(__xludf.DUMMYFUNCTION("""COMPUTED_VALUE"""),"")</f>
        <v/>
      </c>
      <c r="R6128" s="21" t="str">
        <f>IFERROR(__xludf.DUMMYFUNCTION("""COMPUTED_VALUE"""),"https://drive.google.com/file/d/1oimnkZN5SF8qq2s1JbAGQtmyjx-KlRB9/view?usp=drivesdk")</f>
        <v>https://drive.google.com/file/d/1oimnkZN5SF8qq2s1JbAGQtmyjx-KlRB9/view?usp=drivesdk</v>
      </c>
    </row>
    <row r="6129">
      <c r="A6129" s="15">
        <f>IFERROR(__xludf.DUMMYFUNCTION("""COMPUTED_VALUE"""),45176.0)</f>
        <v>45176</v>
      </c>
      <c r="B6129" s="16" t="str">
        <f>IFERROR(__xludf.DUMMYFUNCTION("""COMPUTED_VALUE"""),"Guillermo Valencia")</f>
        <v>Guillermo Valencia</v>
      </c>
      <c r="C6129" s="15" t="str">
        <f>IFERROR(__xludf.DUMMYFUNCTION("""COMPUTED_VALUE"""),"VILLAVICENCIO")</f>
        <v>VILLAVICENCIO</v>
      </c>
      <c r="D6129" s="15" t="str">
        <f>IFERROR(__xludf.DUMMYFUNCTION("""COMPUTED_VALUE"""),"BOGOTÁ")</f>
        <v>BOGOTÁ</v>
      </c>
      <c r="E6129" s="15" t="str">
        <f>IFERROR(__xludf.DUMMYFUNCTION("""COMPUTED_VALUE"""),"Spirulina Fresca")</f>
        <v>Spirulina Fresca</v>
      </c>
      <c r="F6129" s="17" t="str">
        <f>IFERROR(__xludf.DUMMYFUNCTION("""COMPUTED_VALUE"""),"Cale 15#5-64  / Casa G 11 palmas de Vallarta / Villavicencio")</f>
        <v>Cale 15#5-64  / Casa G 11 palmas de Vallarta / Villavicencio</v>
      </c>
      <c r="G6129" s="15" t="str">
        <f>IFERROR(__xludf.DUMMYFUNCTION("""COMPUTED_VALUE"""),"Alfonso Clavijo")</f>
        <v>Alfonso Clavijo</v>
      </c>
      <c r="H6129" s="16">
        <f>IFERROR(__xludf.DUMMYFUNCTION("""COMPUTED_VALUE"""),14823.0)</f>
        <v>14823</v>
      </c>
      <c r="I6129" s="18">
        <f>IFERROR(__xludf.DUMMYFUNCTION("""COMPUTED_VALUE"""),15.0)</f>
        <v>15</v>
      </c>
      <c r="J6129" s="18">
        <f>IFERROR(__xludf.DUMMYFUNCTION("""COMPUTED_VALUE"""),5.0)</f>
        <v>5</v>
      </c>
      <c r="K6129" s="18">
        <f>IFERROR(__xludf.DUMMYFUNCTION("""COMPUTED_VALUE"""),15.0)</f>
        <v>15</v>
      </c>
      <c r="L6129" s="17">
        <f>IFERROR(__xludf.DUMMYFUNCTION("""COMPUTED_VALUE"""),3.202053224E9)</f>
        <v>3202053224</v>
      </c>
      <c r="M6129" s="17" t="str">
        <f>IFERROR(__xludf.DUMMYFUNCTION("""COMPUTED_VALUE"""),"#REF!")</f>
        <v>#REF!</v>
      </c>
      <c r="N6129" s="17"/>
      <c r="O6129" s="17"/>
      <c r="P6129" s="17" t="b">
        <f>IFERROR(__xludf.DUMMYFUNCTION("""COMPUTED_VALUE"""),FALSE)</f>
        <v>0</v>
      </c>
      <c r="Q6129" s="20" t="str">
        <f>IFERROR(__xludf.DUMMYFUNCTION("""COMPUTED_VALUE"""),"")</f>
        <v/>
      </c>
      <c r="R6129" s="21" t="str">
        <f>IFERROR(__xludf.DUMMYFUNCTION("""COMPUTED_VALUE"""),"https://drive.google.com/file/d/1W69Z1mwGKn9sdEKMYEy02YIZ-shrVtFt/view?usp=drivesdk")</f>
        <v>https://drive.google.com/file/d/1W69Z1mwGKn9sdEKMYEy02YIZ-shrVtFt/view?usp=drivesdk</v>
      </c>
    </row>
    <row r="6130">
      <c r="A6130" s="15">
        <f>IFERROR(__xludf.DUMMYFUNCTION("""COMPUTED_VALUE"""),45176.0)</f>
        <v>45176</v>
      </c>
      <c r="B6130" s="16" t="str">
        <f>IFERROR(__xludf.DUMMYFUNCTION("""COMPUTED_VALUE"""),"Guillermo Valencia")</f>
        <v>Guillermo Valencia</v>
      </c>
      <c r="C6130" s="15" t="str">
        <f>IFERROR(__xludf.DUMMYFUNCTION("""COMPUTED_VALUE"""),"VILLAVICENCIO")</f>
        <v>VILLAVICENCIO</v>
      </c>
      <c r="D6130" s="15" t="str">
        <f>IFERROR(__xludf.DUMMYFUNCTION("""COMPUTED_VALUE"""),"BOGOTÁ")</f>
        <v>BOGOTÁ</v>
      </c>
      <c r="E6130" s="15" t="str">
        <f>IFERROR(__xludf.DUMMYFUNCTION("""COMPUTED_VALUE"""),"Spirulina Fresca")</f>
        <v>Spirulina Fresca</v>
      </c>
      <c r="F6130" s="17" t="str">
        <f>IFERROR(__xludf.DUMMYFUNCTION("""COMPUTED_VALUE"""),"calle 6 sur #23-51  / Casa 14 mz 1 Santa Maria II (remansos de Rosablanca) / Villavicencio")</f>
        <v>calle 6 sur #23-51  / Casa 14 mz 1 Santa Maria II (remansos de Rosablanca) / Villavicencio</v>
      </c>
      <c r="G6130" s="15" t="str">
        <f>IFERROR(__xludf.DUMMYFUNCTION("""COMPUTED_VALUE"""),"William Salguero")</f>
        <v>William Salguero</v>
      </c>
      <c r="H6130" s="16">
        <f>IFERROR(__xludf.DUMMYFUNCTION("""COMPUTED_VALUE"""),14824.0)</f>
        <v>14824</v>
      </c>
      <c r="I6130" s="18">
        <f>IFERROR(__xludf.DUMMYFUNCTION("""COMPUTED_VALUE"""),15.0)</f>
        <v>15</v>
      </c>
      <c r="J6130" s="18">
        <f>IFERROR(__xludf.DUMMYFUNCTION("""COMPUTED_VALUE"""),5.0)</f>
        <v>5</v>
      </c>
      <c r="K6130" s="18">
        <f>IFERROR(__xludf.DUMMYFUNCTION("""COMPUTED_VALUE"""),15.0)</f>
        <v>15</v>
      </c>
      <c r="L6130" s="17">
        <f>IFERROR(__xludf.DUMMYFUNCTION("""COMPUTED_VALUE"""),3.005311178E9)</f>
        <v>3005311178</v>
      </c>
      <c r="M6130" s="17" t="str">
        <f>IFERROR(__xludf.DUMMYFUNCTION("""COMPUTED_VALUE"""),"#REF!")</f>
        <v>#REF!</v>
      </c>
      <c r="N6130" s="17"/>
      <c r="O6130" s="17"/>
      <c r="P6130" s="17" t="b">
        <f>IFERROR(__xludf.DUMMYFUNCTION("""COMPUTED_VALUE"""),FALSE)</f>
        <v>0</v>
      </c>
      <c r="Q6130" s="20" t="str">
        <f>IFERROR(__xludf.DUMMYFUNCTION("""COMPUTED_VALUE"""),"")</f>
        <v/>
      </c>
      <c r="R6130" s="21" t="str">
        <f>IFERROR(__xludf.DUMMYFUNCTION("""COMPUTED_VALUE"""),"https://drive.google.com/file/d/1pzHP7Bp61yzXJqesH7ctMaa4De2KLcsZ/view?usp=drivesdk")</f>
        <v>https://drive.google.com/file/d/1pzHP7Bp61yzXJqesH7ctMaa4De2KLcsZ/view?usp=drivesdk</v>
      </c>
    </row>
    <row r="6131">
      <c r="A6131" s="17" t="str">
        <f>IFERROR(__xludf.DUMMYFUNCTION("""COMPUTED_VALUE"""),"")</f>
        <v/>
      </c>
      <c r="B6131" s="17" t="str">
        <f>IFERROR(__xludf.DUMMYFUNCTION("""COMPUTED_VALUE"""),"")</f>
        <v/>
      </c>
      <c r="C6131" s="17" t="str">
        <f>IFERROR(__xludf.DUMMYFUNCTION("""COMPUTED_VALUE"""),"")</f>
        <v/>
      </c>
      <c r="D6131" s="17" t="str">
        <f>IFERROR(__xludf.DUMMYFUNCTION("""COMPUTED_VALUE"""),"")</f>
        <v/>
      </c>
      <c r="E6131" s="17" t="str">
        <f>IFERROR(__xludf.DUMMYFUNCTION("""COMPUTED_VALUE"""),"")</f>
        <v/>
      </c>
      <c r="F6131" s="17" t="str">
        <f>IFERROR(__xludf.DUMMYFUNCTION("""COMPUTED_VALUE"""),"")</f>
        <v/>
      </c>
      <c r="G6131" s="17" t="str">
        <f>IFERROR(__xludf.DUMMYFUNCTION("""COMPUTED_VALUE"""),"")</f>
        <v/>
      </c>
      <c r="H6131" s="17" t="str">
        <f>IFERROR(__xludf.DUMMYFUNCTION("""COMPUTED_VALUE"""),"")</f>
        <v/>
      </c>
      <c r="I6131" s="17" t="str">
        <f>IFERROR(__xludf.DUMMYFUNCTION("""COMPUTED_VALUE"""),"")</f>
        <v/>
      </c>
      <c r="J6131" s="17" t="str">
        <f>IFERROR(__xludf.DUMMYFUNCTION("""COMPUTED_VALUE"""),"")</f>
        <v/>
      </c>
      <c r="K6131" s="17" t="str">
        <f>IFERROR(__xludf.DUMMYFUNCTION("""COMPUTED_VALUE"""),"")</f>
        <v/>
      </c>
      <c r="L6131" s="17" t="str">
        <f>IFERROR(__xludf.DUMMYFUNCTION("""COMPUTED_VALUE"""),"")</f>
        <v/>
      </c>
      <c r="M6131" s="17" t="str">
        <f>IFERROR(__xludf.DUMMYFUNCTION("""COMPUTED_VALUE"""),"")</f>
        <v/>
      </c>
      <c r="N6131" s="17" t="str">
        <f>IFERROR(__xludf.DUMMYFUNCTION("""COMPUTED_VALUE"""),"")</f>
        <v/>
      </c>
      <c r="O6131" s="17" t="str">
        <f>IFERROR(__xludf.DUMMYFUNCTION("""COMPUTED_VALUE"""),"")</f>
        <v/>
      </c>
      <c r="P6131" s="17" t="str">
        <f>IFERROR(__xludf.DUMMYFUNCTION("""COMPUTED_VALUE"""),"")</f>
        <v/>
      </c>
      <c r="Q6131" s="17" t="str">
        <f>IFERROR(__xludf.DUMMYFUNCTION("""COMPUTED_VALUE"""),"")</f>
        <v/>
      </c>
      <c r="R6131" s="17" t="str">
        <f>IFERROR(__xludf.DUMMYFUNCTION("""COMPUTED_VALUE"""),"")</f>
        <v/>
      </c>
    </row>
    <row r="6132">
      <c r="A6132" s="15">
        <f>IFERROR(__xludf.DUMMYFUNCTION("""COMPUTED_VALUE"""),45176.0)</f>
        <v>45176</v>
      </c>
      <c r="B6132" s="16" t="str">
        <f>IFERROR(__xludf.DUMMYFUNCTION("""COMPUTED_VALUE"""),"Julian Calderon Rodriguez ")</f>
        <v>Julian Calderon Rodriguez </v>
      </c>
      <c r="C6132" s="15" t="str">
        <f>IFERROR(__xludf.DUMMYFUNCTION("""COMPUTED_VALUE"""),"NEIVA")</f>
        <v>NEIVA</v>
      </c>
      <c r="D6132" s="15" t="str">
        <f>IFERROR(__xludf.DUMMYFUNCTION("""COMPUTED_VALUE"""),"BUCARAMANGA")</f>
        <v>BUCARAMANGA</v>
      </c>
      <c r="E6132" s="15" t="str">
        <f>IFERROR(__xludf.DUMMYFUNCTION("""COMPUTED_VALUE"""),"Yo Como Solito")</f>
        <v>Yo Como Solito</v>
      </c>
      <c r="F6132" s="17" t="str">
        <f>IFERROR(__xludf.DUMMYFUNCTION("""COMPUTED_VALUE"""),"CALLE 56 #1W-99 TORRE 7 APARTAMENTO 503 IPACARAI 1  / CALLE 56 #1W-99 TORRE 7 APARTAMENTO 503 IPACARAI 1 / CALLE 56 #1W-99 TORRE 7 APARTAMENTO 503 IPACARAI 1")</f>
        <v>CALLE 56 #1W-99 TORRE 7 APARTAMENTO 503 IPACARAI 1  / CALLE 56 #1W-99 TORRE 7 APARTAMENTO 503 IPACARAI 1 / CALLE 56 #1W-99 TORRE 7 APARTAMENTO 503 IPACARAI 1</v>
      </c>
      <c r="G6132" s="15" t="str">
        <f>IFERROR(__xludf.DUMMYFUNCTION("""COMPUTED_VALUE"""),"BELISARIO QUIROZ")</f>
        <v>BELISARIO QUIROZ</v>
      </c>
      <c r="H6132" s="16">
        <f>IFERROR(__xludf.DUMMYFUNCTION("""COMPUTED_VALUE"""),14771.0)</f>
        <v>14771</v>
      </c>
      <c r="I6132" s="18">
        <f>IFERROR(__xludf.DUMMYFUNCTION("""COMPUTED_VALUE"""),20.0)</f>
        <v>20</v>
      </c>
      <c r="J6132" s="18">
        <f>IFERROR(__xludf.DUMMYFUNCTION("""COMPUTED_VALUE"""),31.0)</f>
        <v>31</v>
      </c>
      <c r="K6132" s="18">
        <f>IFERROR(__xludf.DUMMYFUNCTION("""COMPUTED_VALUE"""),36.0)</f>
        <v>36</v>
      </c>
      <c r="L6132" s="17">
        <f>IFERROR(__xludf.DUMMYFUNCTION("""COMPUTED_VALUE"""),3.204143077E9)</f>
        <v>3204143077</v>
      </c>
      <c r="M6132" s="17" t="str">
        <f>IFERROR(__xludf.DUMMYFUNCTION("""COMPUTED_VALUE"""),"#REF!")</f>
        <v>#REF!</v>
      </c>
      <c r="N6132" s="17"/>
      <c r="O6132" s="17"/>
      <c r="P6132" s="17" t="b">
        <f>IFERROR(__xludf.DUMMYFUNCTION("""COMPUTED_VALUE"""),FALSE)</f>
        <v>0</v>
      </c>
      <c r="Q6132" s="20" t="str">
        <f>IFERROR(__xludf.DUMMYFUNCTION("""COMPUTED_VALUE"""),"")</f>
        <v/>
      </c>
      <c r="R6132" s="22" t="str">
        <f>IFERROR(__xludf.DUMMYFUNCTION("""COMPUTED_VALUE"""),"")</f>
        <v/>
      </c>
    </row>
    <row r="6133">
      <c r="A6133" s="15">
        <f>IFERROR(__xludf.DUMMYFUNCTION("""COMPUTED_VALUE"""),45176.0)</f>
        <v>45176</v>
      </c>
      <c r="B6133" s="16" t="str">
        <f>IFERROR(__xludf.DUMMYFUNCTION("""COMPUTED_VALUE"""),"Julian Calderon Rodriguez ")</f>
        <v>Julian Calderon Rodriguez </v>
      </c>
      <c r="C6133" s="15" t="str">
        <f>IFERROR(__xludf.DUMMYFUNCTION("""COMPUTED_VALUE"""),"VILLAVICENCIO")</f>
        <v>VILLAVICENCIO</v>
      </c>
      <c r="D6133" s="15" t="str">
        <f>IFERROR(__xludf.DUMMYFUNCTION("""COMPUTED_VALUE"""),"BOGOTÁ")</f>
        <v>BOGOTÁ</v>
      </c>
      <c r="E6133" s="15" t="str">
        <f>IFERROR(__xludf.DUMMYFUNCTION("""COMPUTED_VALUE"""),"Asociacion Agropecuaria Juana Maria")</f>
        <v>Asociacion Agropecuaria Juana Maria</v>
      </c>
      <c r="F6133" s="17" t="str">
        <f>IFERROR(__xludf.DUMMYFUNCTION("""COMPUTED_VALUE"""),"CRA 40 # 5A -41 SUR TORRE8 APTO 305")</f>
        <v>CRA 40 # 5A -41 SUR TORRE8 APTO 305</v>
      </c>
      <c r="G6133" s="15" t="str">
        <f>IFERROR(__xludf.DUMMYFUNCTION("""COMPUTED_VALUE"""),"Tatiana Cortes")</f>
        <v>Tatiana Cortes</v>
      </c>
      <c r="H6133" s="16">
        <f>IFERROR(__xludf.DUMMYFUNCTION("""COMPUTED_VALUE"""),14678.0)</f>
        <v>14678</v>
      </c>
      <c r="I6133" s="18">
        <f>IFERROR(__xludf.DUMMYFUNCTION("""COMPUTED_VALUE"""),21.0)</f>
        <v>21</v>
      </c>
      <c r="J6133" s="18">
        <f>IFERROR(__xludf.DUMMYFUNCTION("""COMPUTED_VALUE"""),37.0)</f>
        <v>37</v>
      </c>
      <c r="K6133" s="18">
        <f>IFERROR(__xludf.DUMMYFUNCTION("""COMPUTED_VALUE"""),30.0)</f>
        <v>30</v>
      </c>
      <c r="L6133" s="17">
        <f>IFERROR(__xludf.DUMMYFUNCTION("""COMPUTED_VALUE"""),3.006485514E9)</f>
        <v>3006485514</v>
      </c>
      <c r="M6133" s="17" t="str">
        <f>IFERROR(__xludf.DUMMYFUNCTION("""COMPUTED_VALUE"""),"#REF!")</f>
        <v>#REF!</v>
      </c>
      <c r="N6133" s="17"/>
      <c r="O6133" s="17"/>
      <c r="P6133" s="17" t="b">
        <f>IFERROR(__xludf.DUMMYFUNCTION("""COMPUTED_VALUE"""),FALSE)</f>
        <v>0</v>
      </c>
      <c r="Q6133" s="20" t="str">
        <f>IFERROR(__xludf.DUMMYFUNCTION("""COMPUTED_VALUE"""),"")</f>
        <v/>
      </c>
      <c r="R6133" s="22" t="str">
        <f>IFERROR(__xludf.DUMMYFUNCTION("""COMPUTED_VALUE"""),"")</f>
        <v/>
      </c>
    </row>
    <row r="6134">
      <c r="A6134" s="15">
        <f>IFERROR(__xludf.DUMMYFUNCTION("""COMPUTED_VALUE"""),45176.0)</f>
        <v>45176</v>
      </c>
      <c r="B6134" s="16" t="str">
        <f>IFERROR(__xludf.DUMMYFUNCTION("""COMPUTED_VALUE"""),"Julian Calderon Rodriguez ")</f>
        <v>Julian Calderon Rodriguez </v>
      </c>
      <c r="C6134" s="15" t="str">
        <f>IFERROR(__xludf.DUMMYFUNCTION("""COMPUTED_VALUE"""),"VILLAVICENCIO")</f>
        <v>VILLAVICENCIO</v>
      </c>
      <c r="D6134" s="15" t="str">
        <f>IFERROR(__xludf.DUMMYFUNCTION("""COMPUTED_VALUE"""),"BOGOTÁ")</f>
        <v>BOGOTÁ</v>
      </c>
      <c r="E6134" s="15" t="str">
        <f>IFERROR(__xludf.DUMMYFUNCTION("""COMPUTED_VALUE"""),"Loomifoods")</f>
        <v>Loomifoods</v>
      </c>
      <c r="F6134" s="17" t="str">
        <f>IFERROR(__xludf.DUMMYFUNCTION("""COMPUTED_VALUE"""),"Calle 7 #46-00  / conjunto umabari  / casa11 manzana 1")</f>
        <v>Calle 7 #46-00  / conjunto umabari  / casa11 manzana 1</v>
      </c>
      <c r="G6134" s="15" t="str">
        <f>IFERROR(__xludf.DUMMYFUNCTION("""COMPUTED_VALUE"""),"Cindy Palma")</f>
        <v>Cindy Palma</v>
      </c>
      <c r="H6134" s="16">
        <f>IFERROR(__xludf.DUMMYFUNCTION("""COMPUTED_VALUE"""),14880.0)</f>
        <v>14880</v>
      </c>
      <c r="I6134" s="18">
        <f>IFERROR(__xludf.DUMMYFUNCTION("""COMPUTED_VALUE"""),19.0)</f>
        <v>19</v>
      </c>
      <c r="J6134" s="18">
        <f>IFERROR(__xludf.DUMMYFUNCTION("""COMPUTED_VALUE"""),10.0)</f>
        <v>10</v>
      </c>
      <c r="K6134" s="18">
        <f>IFERROR(__xludf.DUMMYFUNCTION("""COMPUTED_VALUE"""),16.0)</f>
        <v>16</v>
      </c>
      <c r="L6134" s="17">
        <f>IFERROR(__xludf.DUMMYFUNCTION("""COMPUTED_VALUE"""),3.102822778E9)</f>
        <v>3102822778</v>
      </c>
      <c r="M6134" s="17" t="str">
        <f>IFERROR(__xludf.DUMMYFUNCTION("""COMPUTED_VALUE"""),"#REF!")</f>
        <v>#REF!</v>
      </c>
      <c r="N6134" s="17"/>
      <c r="O6134" s="17"/>
      <c r="P6134" s="17" t="b">
        <f>IFERROR(__xludf.DUMMYFUNCTION("""COMPUTED_VALUE"""),FALSE)</f>
        <v>0</v>
      </c>
      <c r="Q6134" s="20" t="str">
        <f>IFERROR(__xludf.DUMMYFUNCTION("""COMPUTED_VALUE"""),"")</f>
        <v/>
      </c>
      <c r="R6134" s="21" t="str">
        <f>IFERROR(__xludf.DUMMYFUNCTION("""COMPUTED_VALUE"""),"https://drive.google.com/file/d/1aM7X5lS8iOt6YlEFOv5iPy0HDxdmzGui/view?usp=drivesdk")</f>
        <v>https://drive.google.com/file/d/1aM7X5lS8iOt6YlEFOv5iPy0HDxdmzGui/view?usp=drivesdk</v>
      </c>
    </row>
    <row r="6135">
      <c r="A6135" s="15">
        <f>IFERROR(__xludf.DUMMYFUNCTION("""COMPUTED_VALUE"""),45176.0)</f>
        <v>45176</v>
      </c>
      <c r="B6135" s="16" t="str">
        <f>IFERROR(__xludf.DUMMYFUNCTION("""COMPUTED_VALUE"""),"Julian Calderon Rodriguez ")</f>
        <v>Julian Calderon Rodriguez </v>
      </c>
      <c r="C6135" s="15" t="str">
        <f>IFERROR(__xludf.DUMMYFUNCTION("""COMPUTED_VALUE"""),"VILLAVICENCIO")</f>
        <v>VILLAVICENCIO</v>
      </c>
      <c r="D6135" s="15" t="str">
        <f>IFERROR(__xludf.DUMMYFUNCTION("""COMPUTED_VALUE"""),"BOGOTÁ")</f>
        <v>BOGOTÁ</v>
      </c>
      <c r="E6135" s="15" t="str">
        <f>IFERROR(__xludf.DUMMYFUNCTION("""COMPUTED_VALUE"""),"Pan de Waffle")</f>
        <v>Pan de Waffle</v>
      </c>
      <c r="F6135" s="17" t="str">
        <f>IFERROR(__xludf.DUMMYFUNCTION("""COMPUTED_VALUE"""),"Calle 15 # 44D - 28 LOCAL 1 Edifi. Palos de Caña / Calle 15 # 44D - 28 LOCAL 1 Edifi. Palos de Caña / Calle 15 # 44D - 28 LOCAL 1 Edifi. Palos de Caña")</f>
        <v>Calle 15 # 44D - 28 LOCAL 1 Edifi. Palos de Caña / Calle 15 # 44D - 28 LOCAL 1 Edifi. Palos de Caña / Calle 15 # 44D - 28 LOCAL 1 Edifi. Palos de Caña</v>
      </c>
      <c r="G6135" s="15" t="str">
        <f>IFERROR(__xludf.DUMMYFUNCTION("""COMPUTED_VALUE"""),"SANA TENTACION")</f>
        <v>SANA TENTACION</v>
      </c>
      <c r="H6135" s="16">
        <f>IFERROR(__xludf.DUMMYFUNCTION("""COMPUTED_VALUE"""),14841.0)</f>
        <v>14841</v>
      </c>
      <c r="I6135" s="18">
        <f>IFERROR(__xludf.DUMMYFUNCTION("""COMPUTED_VALUE"""),40.0)</f>
        <v>40</v>
      </c>
      <c r="J6135" s="18">
        <f>IFERROR(__xludf.DUMMYFUNCTION("""COMPUTED_VALUE"""),40.0)</f>
        <v>40</v>
      </c>
      <c r="K6135" s="18">
        <f>IFERROR(__xludf.DUMMYFUNCTION("""COMPUTED_VALUE"""),40.0)</f>
        <v>40</v>
      </c>
      <c r="L6135" s="17">
        <f>IFERROR(__xludf.DUMMYFUNCTION("""COMPUTED_VALUE"""),3.008383033E9)</f>
        <v>3008383033</v>
      </c>
      <c r="M6135" s="17" t="str">
        <f>IFERROR(__xludf.DUMMYFUNCTION("""COMPUTED_VALUE"""),"#REF!")</f>
        <v>#REF!</v>
      </c>
      <c r="N6135" s="17"/>
      <c r="O6135" s="17"/>
      <c r="P6135" s="17" t="b">
        <f>IFERROR(__xludf.DUMMYFUNCTION("""COMPUTED_VALUE"""),FALSE)</f>
        <v>0</v>
      </c>
      <c r="Q6135" s="20" t="str">
        <f>IFERROR(__xludf.DUMMYFUNCTION("""COMPUTED_VALUE"""),"")</f>
        <v/>
      </c>
      <c r="R6135" s="21" t="str">
        <f>IFERROR(__xludf.DUMMYFUNCTION("""COMPUTED_VALUE"""),"https://drive.google.com/file/d/1T_PNeZ_J69RjQzUIOxOdEzCseBhExRNd/view?usp=drivesdk")</f>
        <v>https://drive.google.com/file/d/1T_PNeZ_J69RjQzUIOxOdEzCseBhExRNd/view?usp=drivesdk</v>
      </c>
    </row>
    <row r="6136">
      <c r="A6136" s="17" t="str">
        <f>IFERROR(__xludf.DUMMYFUNCTION("""COMPUTED_VALUE"""),"")</f>
        <v/>
      </c>
      <c r="B6136" s="17" t="str">
        <f>IFERROR(__xludf.DUMMYFUNCTION("""COMPUTED_VALUE"""),"")</f>
        <v/>
      </c>
      <c r="C6136" s="17" t="str">
        <f>IFERROR(__xludf.DUMMYFUNCTION("""COMPUTED_VALUE"""),"")</f>
        <v/>
      </c>
      <c r="D6136" s="17" t="str">
        <f>IFERROR(__xludf.DUMMYFUNCTION("""COMPUTED_VALUE"""),"")</f>
        <v/>
      </c>
      <c r="E6136" s="17" t="str">
        <f>IFERROR(__xludf.DUMMYFUNCTION("""COMPUTED_VALUE"""),"")</f>
        <v/>
      </c>
      <c r="F6136" s="17" t="str">
        <f>IFERROR(__xludf.DUMMYFUNCTION("""COMPUTED_VALUE"""),"")</f>
        <v/>
      </c>
      <c r="G6136" s="17" t="str">
        <f>IFERROR(__xludf.DUMMYFUNCTION("""COMPUTED_VALUE"""),"")</f>
        <v/>
      </c>
      <c r="H6136" s="17" t="str">
        <f>IFERROR(__xludf.DUMMYFUNCTION("""COMPUTED_VALUE"""),"")</f>
        <v/>
      </c>
      <c r="I6136" s="17" t="str">
        <f>IFERROR(__xludf.DUMMYFUNCTION("""COMPUTED_VALUE"""),"")</f>
        <v/>
      </c>
      <c r="J6136" s="17" t="str">
        <f>IFERROR(__xludf.DUMMYFUNCTION("""COMPUTED_VALUE"""),"")</f>
        <v/>
      </c>
      <c r="K6136" s="17" t="str">
        <f>IFERROR(__xludf.DUMMYFUNCTION("""COMPUTED_VALUE"""),"")</f>
        <v/>
      </c>
      <c r="L6136" s="17" t="str">
        <f>IFERROR(__xludf.DUMMYFUNCTION("""COMPUTED_VALUE"""),"")</f>
        <v/>
      </c>
      <c r="M6136" s="17" t="str">
        <f>IFERROR(__xludf.DUMMYFUNCTION("""COMPUTED_VALUE"""),"")</f>
        <v/>
      </c>
      <c r="N6136" s="17" t="str">
        <f>IFERROR(__xludf.DUMMYFUNCTION("""COMPUTED_VALUE"""),"")</f>
        <v/>
      </c>
      <c r="O6136" s="17" t="str">
        <f>IFERROR(__xludf.DUMMYFUNCTION("""COMPUTED_VALUE"""),"")</f>
        <v/>
      </c>
      <c r="P6136" s="17" t="str">
        <f>IFERROR(__xludf.DUMMYFUNCTION("""COMPUTED_VALUE"""),"")</f>
        <v/>
      </c>
      <c r="Q6136" s="17" t="str">
        <f>IFERROR(__xludf.DUMMYFUNCTION("""COMPUTED_VALUE"""),"")</f>
        <v/>
      </c>
      <c r="R6136" s="17" t="str">
        <f>IFERROR(__xludf.DUMMYFUNCTION("""COMPUTED_VALUE"""),"")</f>
        <v/>
      </c>
    </row>
    <row r="6137">
      <c r="A6137" s="15">
        <f>IFERROR(__xludf.DUMMYFUNCTION("""COMPUTED_VALUE"""),45176.0)</f>
        <v>45176</v>
      </c>
      <c r="B6137" s="16" t="str">
        <f>IFERROR(__xludf.DUMMYFUNCTION("""COMPUTED_VALUE"""),"Santiago Garces Restrepo")</f>
        <v>Santiago Garces Restrepo</v>
      </c>
      <c r="C6137" s="15" t="str">
        <f>IFERROR(__xludf.DUMMYFUNCTION("""COMPUTED_VALUE"""),"TULUA")</f>
        <v>TULUA</v>
      </c>
      <c r="D6137" s="15" t="str">
        <f>IFERROR(__xludf.DUMMYFUNCTION("""COMPUTED_VALUE"""),"BOGOTÁ")</f>
        <v>BOGOTÁ</v>
      </c>
      <c r="E6137" s="15" t="str">
        <f>IFERROR(__xludf.DUMMYFUNCTION("""COMPUTED_VALUE"""),"Evamazzita")</f>
        <v>Evamazzita</v>
      </c>
      <c r="F6137" s="17" t="str">
        <f>IFERROR(__xludf.DUMMYFUNCTION("""COMPUTED_VALUE"""),"MANZANA 17 CASA 5 / BOSQUES DE MARACAIBO")</f>
        <v>MANZANA 17 CASA 5 / BOSQUES DE MARACAIBO</v>
      </c>
      <c r="G6137" s="15" t="str">
        <f>IFERROR(__xludf.DUMMYFUNCTION("""COMPUTED_VALUE"""),"DIANA CAROLINA MOLINA VALENCIA")</f>
        <v>DIANA CAROLINA MOLINA VALENCIA</v>
      </c>
      <c r="H6137" s="16">
        <f>IFERROR(__xludf.DUMMYFUNCTION("""COMPUTED_VALUE"""),14879.0)</f>
        <v>14879</v>
      </c>
      <c r="I6137" s="18">
        <f>IFERROR(__xludf.DUMMYFUNCTION("""COMPUTED_VALUE"""),1.0)</f>
        <v>1</v>
      </c>
      <c r="J6137" s="18">
        <f>IFERROR(__xludf.DUMMYFUNCTION("""COMPUTED_VALUE"""),1.0)</f>
        <v>1</v>
      </c>
      <c r="K6137" s="18">
        <f>IFERROR(__xludf.DUMMYFUNCTION("""COMPUTED_VALUE"""),1.0)</f>
        <v>1</v>
      </c>
      <c r="L6137" s="17" t="str">
        <f>IFERROR(__xludf.DUMMYFUNCTION("""COMPUTED_VALUE"""),"3104417918 3186856539")</f>
        <v>3104417918 3186856539</v>
      </c>
      <c r="M6137" s="17" t="str">
        <f>IFERROR(__xludf.DUMMYFUNCTION("""COMPUTED_VALUE"""),"#REF!")</f>
        <v>#REF!</v>
      </c>
      <c r="N6137" s="17"/>
      <c r="O6137" s="17"/>
      <c r="P6137" s="17" t="b">
        <f>IFERROR(__xludf.DUMMYFUNCTION("""COMPUTED_VALUE"""),FALSE)</f>
        <v>0</v>
      </c>
      <c r="Q6137" s="20" t="str">
        <f>IFERROR(__xludf.DUMMYFUNCTION("""COMPUTED_VALUE"""),"")</f>
        <v/>
      </c>
      <c r="R6137" s="22" t="str">
        <f>IFERROR(__xludf.DUMMYFUNCTION("""COMPUTED_VALUE"""),"")</f>
        <v/>
      </c>
    </row>
    <row r="6138">
      <c r="A6138" s="17" t="str">
        <f>IFERROR(__xludf.DUMMYFUNCTION("""COMPUTED_VALUE"""),"")</f>
        <v/>
      </c>
      <c r="B6138" s="17" t="str">
        <f>IFERROR(__xludf.DUMMYFUNCTION("""COMPUTED_VALUE"""),"")</f>
        <v/>
      </c>
      <c r="C6138" s="17" t="str">
        <f>IFERROR(__xludf.DUMMYFUNCTION("""COMPUTED_VALUE"""),"")</f>
        <v/>
      </c>
      <c r="D6138" s="17" t="str">
        <f>IFERROR(__xludf.DUMMYFUNCTION("""COMPUTED_VALUE"""),"")</f>
        <v/>
      </c>
      <c r="E6138" s="17" t="str">
        <f>IFERROR(__xludf.DUMMYFUNCTION("""COMPUTED_VALUE"""),"")</f>
        <v/>
      </c>
      <c r="F6138" s="17" t="str">
        <f>IFERROR(__xludf.DUMMYFUNCTION("""COMPUTED_VALUE"""),"")</f>
        <v/>
      </c>
      <c r="G6138" s="17" t="str">
        <f>IFERROR(__xludf.DUMMYFUNCTION("""COMPUTED_VALUE"""),"")</f>
        <v/>
      </c>
      <c r="H6138" s="17" t="str">
        <f>IFERROR(__xludf.DUMMYFUNCTION("""COMPUTED_VALUE"""),"")</f>
        <v/>
      </c>
      <c r="I6138" s="17" t="str">
        <f>IFERROR(__xludf.DUMMYFUNCTION("""COMPUTED_VALUE"""),"")</f>
        <v/>
      </c>
      <c r="J6138" s="17" t="str">
        <f>IFERROR(__xludf.DUMMYFUNCTION("""COMPUTED_VALUE"""),"")</f>
        <v/>
      </c>
      <c r="K6138" s="17" t="str">
        <f>IFERROR(__xludf.DUMMYFUNCTION("""COMPUTED_VALUE"""),"")</f>
        <v/>
      </c>
      <c r="L6138" s="17" t="str">
        <f>IFERROR(__xludf.DUMMYFUNCTION("""COMPUTED_VALUE"""),"")</f>
        <v/>
      </c>
      <c r="M6138" s="17" t="str">
        <f>IFERROR(__xludf.DUMMYFUNCTION("""COMPUTED_VALUE"""),"")</f>
        <v/>
      </c>
      <c r="N6138" s="17" t="str">
        <f>IFERROR(__xludf.DUMMYFUNCTION("""COMPUTED_VALUE"""),"")</f>
        <v/>
      </c>
      <c r="O6138" s="17" t="str">
        <f>IFERROR(__xludf.DUMMYFUNCTION("""COMPUTED_VALUE"""),"")</f>
        <v/>
      </c>
      <c r="P6138" s="17" t="str">
        <f>IFERROR(__xludf.DUMMYFUNCTION("""COMPUTED_VALUE"""),"")</f>
        <v/>
      </c>
      <c r="Q6138" s="17" t="str">
        <f>IFERROR(__xludf.DUMMYFUNCTION("""COMPUTED_VALUE"""),"")</f>
        <v/>
      </c>
      <c r="R6138" s="17" t="str">
        <f>IFERROR(__xludf.DUMMYFUNCTION("""COMPUTED_VALUE"""),"")</f>
        <v/>
      </c>
    </row>
    <row r="6139">
      <c r="A6139" s="15">
        <f>IFERROR(__xludf.DUMMYFUNCTION("""COMPUTED_VALUE"""),45177.0)</f>
        <v>45177</v>
      </c>
      <c r="B6139" s="17"/>
      <c r="C6139" s="15" t="str">
        <f>IFERROR(__xludf.DUMMYFUNCTION("""COMPUTED_VALUE"""),"BOGOTÁ")</f>
        <v>BOGOTÁ</v>
      </c>
      <c r="D6139" s="15" t="str">
        <f>IFERROR(__xludf.DUMMYFUNCTION("""COMPUTED_VALUE"""),"MEDELLÍN")</f>
        <v>MEDELLÍN</v>
      </c>
      <c r="E6139" s="15" t="str">
        <f>IFERROR(__xludf.DUMMYFUNCTION("""COMPUTED_VALUE"""),"Lácteos El Pino SAS")</f>
        <v>Lácteos El Pino SAS</v>
      </c>
      <c r="F6139" s="17" t="str">
        <f>IFERROR(__xludf.DUMMYFUNCTION("""COMPUTED_VALUE"""),"CALLE 24A #57-60 / RECIBO EN ZONA DE CARGA POR EL DEPRIMIDO- COMPRAS")</f>
        <v>CALLE 24A #57-60 / RECIBO EN ZONA DE CARGA POR EL DEPRIMIDO- COMPRAS</v>
      </c>
      <c r="G6139" s="15" t="str">
        <f>IFERROR(__xludf.DUMMYFUNCTION("""COMPUTED_VALUE"""),"HOTEL GRAND HYATT BOGOTA")</f>
        <v>HOTEL GRAND HYATT BOGOTA</v>
      </c>
      <c r="H6139" s="16">
        <f>IFERROR(__xludf.DUMMYFUNCTION("""COMPUTED_VALUE"""),14923.0)</f>
        <v>14923</v>
      </c>
      <c r="I6139" s="18">
        <f>IFERROR(__xludf.DUMMYFUNCTION("""COMPUTED_VALUE"""),33.0)</f>
        <v>33</v>
      </c>
      <c r="J6139" s="18">
        <f>IFERROR(__xludf.DUMMYFUNCTION("""COMPUTED_VALUE"""),22.0)</f>
        <v>22</v>
      </c>
      <c r="K6139" s="18">
        <f>IFERROR(__xludf.DUMMYFUNCTION("""COMPUTED_VALUE"""),36.0)</f>
        <v>36</v>
      </c>
      <c r="L6139" s="17">
        <f>IFERROR(__xludf.DUMMYFUNCTION("""COMPUTED_VALUE"""),3.203093705E9)</f>
        <v>3203093705</v>
      </c>
      <c r="M6139" s="17" t="str">
        <f>IFERROR(__xludf.DUMMYFUNCTION("""COMPUTED_VALUE"""),"#REF!")</f>
        <v>#REF!</v>
      </c>
      <c r="N6139" s="17"/>
      <c r="O6139" s="17"/>
      <c r="P6139" s="17" t="b">
        <f>IFERROR(__xludf.DUMMYFUNCTION("""COMPUTED_VALUE"""),FALSE)</f>
        <v>0</v>
      </c>
      <c r="Q6139" s="20" t="str">
        <f>IFERROR(__xludf.DUMMYFUNCTION("""COMPUTED_VALUE"""),"")</f>
        <v/>
      </c>
      <c r="R6139" s="22" t="str">
        <f>IFERROR(__xludf.DUMMYFUNCTION("""COMPUTED_VALUE"""),"")</f>
        <v/>
      </c>
    </row>
    <row r="6140">
      <c r="A6140" s="17" t="str">
        <f>IFERROR(__xludf.DUMMYFUNCTION("""COMPUTED_VALUE"""),"")</f>
        <v/>
      </c>
      <c r="B6140" s="17" t="str">
        <f>IFERROR(__xludf.DUMMYFUNCTION("""COMPUTED_VALUE"""),"")</f>
        <v/>
      </c>
      <c r="C6140" s="17" t="str">
        <f>IFERROR(__xludf.DUMMYFUNCTION("""COMPUTED_VALUE"""),"")</f>
        <v/>
      </c>
      <c r="D6140" s="17" t="str">
        <f>IFERROR(__xludf.DUMMYFUNCTION("""COMPUTED_VALUE"""),"")</f>
        <v/>
      </c>
      <c r="E6140" s="17" t="str">
        <f>IFERROR(__xludf.DUMMYFUNCTION("""COMPUTED_VALUE"""),"")</f>
        <v/>
      </c>
      <c r="F6140" s="17" t="str">
        <f>IFERROR(__xludf.DUMMYFUNCTION("""COMPUTED_VALUE"""),"")</f>
        <v/>
      </c>
      <c r="G6140" s="17" t="str">
        <f>IFERROR(__xludf.DUMMYFUNCTION("""COMPUTED_VALUE"""),"")</f>
        <v/>
      </c>
      <c r="H6140" s="17" t="str">
        <f>IFERROR(__xludf.DUMMYFUNCTION("""COMPUTED_VALUE"""),"")</f>
        <v/>
      </c>
      <c r="I6140" s="17" t="str">
        <f>IFERROR(__xludf.DUMMYFUNCTION("""COMPUTED_VALUE"""),"")</f>
        <v/>
      </c>
      <c r="J6140" s="17" t="str">
        <f>IFERROR(__xludf.DUMMYFUNCTION("""COMPUTED_VALUE"""),"")</f>
        <v/>
      </c>
      <c r="K6140" s="17" t="str">
        <f>IFERROR(__xludf.DUMMYFUNCTION("""COMPUTED_VALUE"""),"")</f>
        <v/>
      </c>
      <c r="L6140" s="17" t="str">
        <f>IFERROR(__xludf.DUMMYFUNCTION("""COMPUTED_VALUE"""),"")</f>
        <v/>
      </c>
      <c r="M6140" s="17" t="str">
        <f>IFERROR(__xludf.DUMMYFUNCTION("""COMPUTED_VALUE"""),"")</f>
        <v/>
      </c>
      <c r="N6140" s="17" t="str">
        <f>IFERROR(__xludf.DUMMYFUNCTION("""COMPUTED_VALUE"""),"")</f>
        <v/>
      </c>
      <c r="O6140" s="17" t="str">
        <f>IFERROR(__xludf.DUMMYFUNCTION("""COMPUTED_VALUE"""),"")</f>
        <v/>
      </c>
      <c r="P6140" s="17" t="str">
        <f>IFERROR(__xludf.DUMMYFUNCTION("""COMPUTED_VALUE"""),"")</f>
        <v/>
      </c>
      <c r="Q6140" s="17" t="str">
        <f>IFERROR(__xludf.DUMMYFUNCTION("""COMPUTED_VALUE"""),"")</f>
        <v/>
      </c>
      <c r="R6140" s="17" t="str">
        <f>IFERROR(__xludf.DUMMYFUNCTION("""COMPUTED_VALUE"""),"")</f>
        <v/>
      </c>
    </row>
    <row r="6141">
      <c r="A6141" s="15">
        <f>IFERROR(__xludf.DUMMYFUNCTION("""COMPUTED_VALUE"""),45177.0)</f>
        <v>45177</v>
      </c>
      <c r="B6141" s="16" t="str">
        <f>IFERROR(__xludf.DUMMYFUNCTION("""COMPUTED_VALUE"""),"Daniel José sandoval gonzalez")</f>
        <v>Daniel José sandoval gonzalez</v>
      </c>
      <c r="C6141" s="15" t="str">
        <f>IFERROR(__xludf.DUMMYFUNCTION("""COMPUTED_VALUE"""),"BARRANQUILLA")</f>
        <v>BARRANQUILLA</v>
      </c>
      <c r="D6141" s="15" t="str">
        <f>IFERROR(__xludf.DUMMYFUNCTION("""COMPUTED_VALUE"""),"BOGOTÁ")</f>
        <v>BOGOTÁ</v>
      </c>
      <c r="E6141" s="15" t="str">
        <f>IFERROR(__xludf.DUMMYFUNCTION("""COMPUTED_VALUE"""),"Athenas")</f>
        <v>Athenas</v>
      </c>
      <c r="F6141" s="17" t="str">
        <f>IFERROR(__xludf.DUMMYFUNCTION("""COMPUTED_VALUE"""),"Carrera 43 # 99-50  / Cafetería Bodytech Miramar 3 piso / Miramar")</f>
        <v>Carrera 43 # 99-50  / Cafetería Bodytech Miramar 3 piso / Miramar</v>
      </c>
      <c r="G6141" s="15" t="str">
        <f>IFERROR(__xludf.DUMMYFUNCTION("""COMPUTED_VALUE"""),"Zobeyda Jiménez")</f>
        <v>Zobeyda Jiménez</v>
      </c>
      <c r="H6141" s="16">
        <f>IFERROR(__xludf.DUMMYFUNCTION("""COMPUTED_VALUE"""),14763.0)</f>
        <v>14763</v>
      </c>
      <c r="I6141" s="18">
        <f>IFERROR(__xludf.DUMMYFUNCTION("""COMPUTED_VALUE"""),55.0)</f>
        <v>55</v>
      </c>
      <c r="J6141" s="18">
        <f>IFERROR(__xludf.DUMMYFUNCTION("""COMPUTED_VALUE"""),45.0)</f>
        <v>45</v>
      </c>
      <c r="K6141" s="18">
        <f>IFERROR(__xludf.DUMMYFUNCTION("""COMPUTED_VALUE"""),29.0)</f>
        <v>29</v>
      </c>
      <c r="L6141" s="17">
        <f>IFERROR(__xludf.DUMMYFUNCTION("""COMPUTED_VALUE"""),3.106158334E9)</f>
        <v>3106158334</v>
      </c>
      <c r="M6141" s="17" t="str">
        <f>IFERROR(__xludf.DUMMYFUNCTION("""COMPUTED_VALUE"""),"#REF!")</f>
        <v>#REF!</v>
      </c>
      <c r="N6141" s="17"/>
      <c r="O6141" s="17"/>
      <c r="P6141" s="17" t="b">
        <f>IFERROR(__xludf.DUMMYFUNCTION("""COMPUTED_VALUE"""),FALSE)</f>
        <v>0</v>
      </c>
      <c r="Q6141" s="20" t="str">
        <f>IFERROR(__xludf.DUMMYFUNCTION("""COMPUTED_VALUE"""),"")</f>
        <v/>
      </c>
      <c r="R6141" s="22" t="str">
        <f>IFERROR(__xludf.DUMMYFUNCTION("""COMPUTED_VALUE"""),"")</f>
        <v/>
      </c>
    </row>
    <row r="6142">
      <c r="A6142" s="15">
        <f>IFERROR(__xludf.DUMMYFUNCTION("""COMPUTED_VALUE"""),45177.0)</f>
        <v>45177</v>
      </c>
      <c r="B6142" s="16" t="str">
        <f>IFERROR(__xludf.DUMMYFUNCTION("""COMPUTED_VALUE"""),"Daniel José sandoval gonzalez")</f>
        <v>Daniel José sandoval gonzalez</v>
      </c>
      <c r="C6142" s="15" t="str">
        <f>IFERROR(__xludf.DUMMYFUNCTION("""COMPUTED_VALUE"""),"BARRANQUILLA")</f>
        <v>BARRANQUILLA</v>
      </c>
      <c r="D6142" s="15" t="str">
        <f>IFERROR(__xludf.DUMMYFUNCTION("""COMPUTED_VALUE"""),"BOGOTÁ")</f>
        <v>BOGOTÁ</v>
      </c>
      <c r="E6142" s="15" t="str">
        <f>IFERROR(__xludf.DUMMYFUNCTION("""COMPUTED_VALUE"""),"Evamazzita")</f>
        <v>Evamazzita</v>
      </c>
      <c r="F6142" s="17" t="str">
        <f>IFERROR(__xludf.DUMMYFUNCTION("""COMPUTED_VALUE"""),"Cr 44 #85 140 / Apto 701 edificio Evora 85 / La campiña")</f>
        <v>Cr 44 #85 140 / Apto 701 edificio Evora 85 / La campiña</v>
      </c>
      <c r="G6142" s="15" t="str">
        <f>IFERROR(__xludf.DUMMYFUNCTION("""COMPUTED_VALUE"""),"SANDRA HAMBURGUER ACOSTA")</f>
        <v>SANDRA HAMBURGUER ACOSTA</v>
      </c>
      <c r="H6142" s="16">
        <f>IFERROR(__xludf.DUMMYFUNCTION("""COMPUTED_VALUE"""),14855.0)</f>
        <v>14855</v>
      </c>
      <c r="I6142" s="18">
        <f>IFERROR(__xludf.DUMMYFUNCTION("""COMPUTED_VALUE"""),1.0)</f>
        <v>1</v>
      </c>
      <c r="J6142" s="18">
        <f>IFERROR(__xludf.DUMMYFUNCTION("""COMPUTED_VALUE"""),1.0)</f>
        <v>1</v>
      </c>
      <c r="K6142" s="18">
        <f>IFERROR(__xludf.DUMMYFUNCTION("""COMPUTED_VALUE"""),1.0)</f>
        <v>1</v>
      </c>
      <c r="L6142" s="17">
        <f>IFERROR(__xludf.DUMMYFUNCTION("""COMPUTED_VALUE"""),3.00893007E9)</f>
        <v>3008930070</v>
      </c>
      <c r="M6142" s="17" t="str">
        <f>IFERROR(__xludf.DUMMYFUNCTION("""COMPUTED_VALUE"""),"#REF!")</f>
        <v>#REF!</v>
      </c>
      <c r="N6142" s="17"/>
      <c r="O6142" s="17"/>
      <c r="P6142" s="17" t="b">
        <f>IFERROR(__xludf.DUMMYFUNCTION("""COMPUTED_VALUE"""),FALSE)</f>
        <v>0</v>
      </c>
      <c r="Q6142" s="20" t="str">
        <f>IFERROR(__xludf.DUMMYFUNCTION("""COMPUTED_VALUE"""),"")</f>
        <v/>
      </c>
      <c r="R6142" s="21" t="str">
        <f>IFERROR(__xludf.DUMMYFUNCTION("""COMPUTED_VALUE"""),"https://drive.google.com/file/d/1mY5K8l9WLYZqLD_DXZtRTgd4ARlQaEqr/view?usp=drivesdk")</f>
        <v>https://drive.google.com/file/d/1mY5K8l9WLYZqLD_DXZtRTgd4ARlQaEqr/view?usp=drivesdk</v>
      </c>
    </row>
    <row r="6143">
      <c r="A6143" s="15">
        <f>IFERROR(__xludf.DUMMYFUNCTION("""COMPUTED_VALUE"""),45177.0)</f>
        <v>45177</v>
      </c>
      <c r="B6143" s="16" t="str">
        <f>IFERROR(__xludf.DUMMYFUNCTION("""COMPUTED_VALUE"""),"Daniel José sandoval gonzalez")</f>
        <v>Daniel José sandoval gonzalez</v>
      </c>
      <c r="C6143" s="15" t="str">
        <f>IFERROR(__xludf.DUMMYFUNCTION("""COMPUTED_VALUE"""),"BARRANQUILLA")</f>
        <v>BARRANQUILLA</v>
      </c>
      <c r="D6143" s="15" t="str">
        <f>IFERROR(__xludf.DUMMYFUNCTION("""COMPUTED_VALUE"""),"BOGOTÁ")</f>
        <v>BOGOTÁ</v>
      </c>
      <c r="E6143" s="15" t="str">
        <f>IFERROR(__xludf.DUMMYFUNCTION("""COMPUTED_VALUE"""),"Evamazzita")</f>
        <v>Evamazzita</v>
      </c>
      <c r="F6143" s="17" t="str">
        <f>IFERROR(__xludf.DUMMYFUNCTION("""COMPUTED_VALUE"""),"Cr 50 # 46 93 / Piso 2 apto 1 / Barrio  bajo")</f>
        <v>Cr 50 # 46 93 / Piso 2 apto 1 / Barrio  bajo</v>
      </c>
      <c r="G6143" s="15" t="str">
        <f>IFERROR(__xludf.DUMMYFUNCTION("""COMPUTED_VALUE"""),"IVETH BARRERA REINA")</f>
        <v>IVETH BARRERA REINA</v>
      </c>
      <c r="H6143" s="16">
        <f>IFERROR(__xludf.DUMMYFUNCTION("""COMPUTED_VALUE"""),14857.0)</f>
        <v>14857</v>
      </c>
      <c r="I6143" s="18">
        <f>IFERROR(__xludf.DUMMYFUNCTION("""COMPUTED_VALUE"""),1.0)</f>
        <v>1</v>
      </c>
      <c r="J6143" s="18">
        <f>IFERROR(__xludf.DUMMYFUNCTION("""COMPUTED_VALUE"""),1.0)</f>
        <v>1</v>
      </c>
      <c r="K6143" s="18">
        <f>IFERROR(__xludf.DUMMYFUNCTION("""COMPUTED_VALUE"""),1.0)</f>
        <v>1</v>
      </c>
      <c r="L6143" s="17">
        <f>IFERROR(__xludf.DUMMYFUNCTION("""COMPUTED_VALUE"""),3.013669213E9)</f>
        <v>3013669213</v>
      </c>
      <c r="M6143" s="17" t="str">
        <f>IFERROR(__xludf.DUMMYFUNCTION("""COMPUTED_VALUE"""),"#REF!")</f>
        <v>#REF!</v>
      </c>
      <c r="N6143" s="17"/>
      <c r="O6143" s="17"/>
      <c r="P6143" s="17" t="b">
        <f>IFERROR(__xludf.DUMMYFUNCTION("""COMPUTED_VALUE"""),TRUE)</f>
        <v>1</v>
      </c>
      <c r="Q6143" s="20">
        <f>IFERROR(__xludf.DUMMYFUNCTION("""COMPUTED_VALUE"""),45179.04299707176)</f>
        <v>45179.043</v>
      </c>
      <c r="R6143" s="21" t="str">
        <f>IFERROR(__xludf.DUMMYFUNCTION("""COMPUTED_VALUE"""),"https://drive.google.com/file/d/1cFU9RwUQQIPYchMzo1Y0Z_pkXS0OCBMr/view?usp=drivesdk")</f>
        <v>https://drive.google.com/file/d/1cFU9RwUQQIPYchMzo1Y0Z_pkXS0OCBMr/view?usp=drivesdk</v>
      </c>
    </row>
    <row r="6144">
      <c r="A6144" s="15">
        <f>IFERROR(__xludf.DUMMYFUNCTION("""COMPUTED_VALUE"""),45177.0)</f>
        <v>45177</v>
      </c>
      <c r="B6144" s="16" t="str">
        <f>IFERROR(__xludf.DUMMYFUNCTION("""COMPUTED_VALUE"""),"Daniel José sandoval gonzalez")</f>
        <v>Daniel José sandoval gonzalez</v>
      </c>
      <c r="C6144" s="15" t="str">
        <f>IFERROR(__xludf.DUMMYFUNCTION("""COMPUTED_VALUE"""),"BARRANQUILLA")</f>
        <v>BARRANQUILLA</v>
      </c>
      <c r="D6144" s="15" t="str">
        <f>IFERROR(__xludf.DUMMYFUNCTION("""COMPUTED_VALUE"""),"BOGOTÁ")</f>
        <v>BOGOTÁ</v>
      </c>
      <c r="E6144" s="15" t="str">
        <f>IFERROR(__xludf.DUMMYFUNCTION("""COMPUTED_VALUE"""),"Evamazzita")</f>
        <v>Evamazzita</v>
      </c>
      <c r="F6144" s="17" t="str">
        <f>IFERROR(__xludf.DUMMYFUNCTION("""COMPUTED_VALUE"""),"Cr 51 b # 76 27 / Of 202 / Of 202")</f>
        <v>Cr 51 b # 76 27 / Of 202 / Of 202</v>
      </c>
      <c r="G6144" s="15" t="str">
        <f>IFERROR(__xludf.DUMMYFUNCTION("""COMPUTED_VALUE"""),"INGRID JOHANA RICO")</f>
        <v>INGRID JOHANA RICO</v>
      </c>
      <c r="H6144" s="16">
        <f>IFERROR(__xludf.DUMMYFUNCTION("""COMPUTED_VALUE"""),14856.0)</f>
        <v>14856</v>
      </c>
      <c r="I6144" s="18">
        <f>IFERROR(__xludf.DUMMYFUNCTION("""COMPUTED_VALUE"""),1.0)</f>
        <v>1</v>
      </c>
      <c r="J6144" s="18">
        <f>IFERROR(__xludf.DUMMYFUNCTION("""COMPUTED_VALUE"""),1.0)</f>
        <v>1</v>
      </c>
      <c r="K6144" s="18">
        <f>IFERROR(__xludf.DUMMYFUNCTION("""COMPUTED_VALUE"""),1.0)</f>
        <v>1</v>
      </c>
      <c r="L6144" s="17">
        <f>IFERROR(__xludf.DUMMYFUNCTION("""COMPUTED_VALUE"""),3.012471115E9)</f>
        <v>3012471115</v>
      </c>
      <c r="M6144" s="17" t="str">
        <f>IFERROR(__xludf.DUMMYFUNCTION("""COMPUTED_VALUE"""),"#REF!")</f>
        <v>#REF!</v>
      </c>
      <c r="N6144" s="17"/>
      <c r="O6144" s="17"/>
      <c r="P6144" s="17" t="b">
        <f>IFERROR(__xludf.DUMMYFUNCTION("""COMPUTED_VALUE"""),TRUE)</f>
        <v>1</v>
      </c>
      <c r="Q6144" s="20">
        <f>IFERROR(__xludf.DUMMYFUNCTION("""COMPUTED_VALUE"""),45179.04299707176)</f>
        <v>45179.043</v>
      </c>
      <c r="R6144" s="21" t="str">
        <f>IFERROR(__xludf.DUMMYFUNCTION("""COMPUTED_VALUE"""),"https://drive.google.com/file/d/1r8--CTWJrpRrujfyMPRC-uzuBY1V97pG/view?usp=drivesdk")</f>
        <v>https://drive.google.com/file/d/1r8--CTWJrpRrujfyMPRC-uzuBY1V97pG/view?usp=drivesdk</v>
      </c>
    </row>
    <row r="6145">
      <c r="A6145" s="15">
        <f>IFERROR(__xludf.DUMMYFUNCTION("""COMPUTED_VALUE"""),45177.0)</f>
        <v>45177</v>
      </c>
      <c r="B6145" s="16" t="str">
        <f>IFERROR(__xludf.DUMMYFUNCTION("""COMPUTED_VALUE"""),"Daniel José sandoval gonzalez")</f>
        <v>Daniel José sandoval gonzalez</v>
      </c>
      <c r="C6145" s="15" t="str">
        <f>IFERROR(__xludf.DUMMYFUNCTION("""COMPUTED_VALUE"""),"BARRANQUILLA")</f>
        <v>BARRANQUILLA</v>
      </c>
      <c r="D6145" s="15" t="str">
        <f>IFERROR(__xludf.DUMMYFUNCTION("""COMPUTED_VALUE"""),"BOGOTÁ")</f>
        <v>BOGOTÁ</v>
      </c>
      <c r="E6145" s="15" t="str">
        <f>IFERROR(__xludf.DUMMYFUNCTION("""COMPUTED_VALUE"""),"Evamazzita")</f>
        <v>Evamazzita</v>
      </c>
      <c r="F6145" s="17" t="str">
        <f>IFERROR(__xludf.DUMMYFUNCTION("""COMPUTED_VALUE"""),"CRA 26 No. 3A - 40 / APTO 1303 VILLA CAMPESTRE")</f>
        <v>CRA 26 No. 3A - 40 / APTO 1303 VILLA CAMPESTRE</v>
      </c>
      <c r="G6145" s="15" t="str">
        <f>IFERROR(__xludf.DUMMYFUNCTION("""COMPUTED_VALUE"""),"LINA MARIA GARCIA BUITRAGO")</f>
        <v>LINA MARIA GARCIA BUITRAGO</v>
      </c>
      <c r="H6145" s="16">
        <f>IFERROR(__xludf.DUMMYFUNCTION("""COMPUTED_VALUE"""),14865.0)</f>
        <v>14865</v>
      </c>
      <c r="I6145" s="18">
        <f>IFERROR(__xludf.DUMMYFUNCTION("""COMPUTED_VALUE"""),1.0)</f>
        <v>1</v>
      </c>
      <c r="J6145" s="18">
        <f>IFERROR(__xludf.DUMMYFUNCTION("""COMPUTED_VALUE"""),1.0)</f>
        <v>1</v>
      </c>
      <c r="K6145" s="18">
        <f>IFERROR(__xludf.DUMMYFUNCTION("""COMPUTED_VALUE"""),1.0)</f>
        <v>1</v>
      </c>
      <c r="L6145" s="17">
        <f>IFERROR(__xludf.DUMMYFUNCTION("""COMPUTED_VALUE"""),3.014376571E9)</f>
        <v>3014376571</v>
      </c>
      <c r="M6145" s="17" t="str">
        <f>IFERROR(__xludf.DUMMYFUNCTION("""COMPUTED_VALUE"""),"#REF!")</f>
        <v>#REF!</v>
      </c>
      <c r="N6145" s="17"/>
      <c r="O6145" s="17"/>
      <c r="P6145" s="17" t="b">
        <f>IFERROR(__xludf.DUMMYFUNCTION("""COMPUTED_VALUE"""),TRUE)</f>
        <v>1</v>
      </c>
      <c r="Q6145" s="20">
        <f>IFERROR(__xludf.DUMMYFUNCTION("""COMPUTED_VALUE"""),45179.04299707176)</f>
        <v>45179.043</v>
      </c>
      <c r="R6145" s="21" t="str">
        <f>IFERROR(__xludf.DUMMYFUNCTION("""COMPUTED_VALUE"""),"https://drive.google.com/file/d/18eTBRZOQOYHHq6NmlMHHaY_l-gTqXUfP/view?usp=drivesdk")</f>
        <v>https://drive.google.com/file/d/18eTBRZOQOYHHq6NmlMHHaY_l-gTqXUfP/view?usp=drivesdk</v>
      </c>
    </row>
    <row r="6146">
      <c r="A6146" s="15">
        <f>IFERROR(__xludf.DUMMYFUNCTION("""COMPUTED_VALUE"""),45177.0)</f>
        <v>45177</v>
      </c>
      <c r="B6146" s="16" t="str">
        <f>IFERROR(__xludf.DUMMYFUNCTION("""COMPUTED_VALUE"""),"Daniel José sandoval gonzalez")</f>
        <v>Daniel José sandoval gonzalez</v>
      </c>
      <c r="C6146" s="15" t="str">
        <f>IFERROR(__xludf.DUMMYFUNCTION("""COMPUTED_VALUE"""),"BARRANQUILLA")</f>
        <v>BARRANQUILLA</v>
      </c>
      <c r="D6146" s="15" t="str">
        <f>IFERROR(__xludf.DUMMYFUNCTION("""COMPUTED_VALUE"""),"BOGOTÁ")</f>
        <v>BOGOTÁ</v>
      </c>
      <c r="E6146" s="15" t="str">
        <f>IFERROR(__xludf.DUMMYFUNCTION("""COMPUTED_VALUE"""),"Evamazzita")</f>
        <v>Evamazzita</v>
      </c>
      <c r="F6146" s="17" t="str">
        <f>IFERROR(__xludf.DUMMYFUNCTION("""COMPUTED_VALUE"""),"CRA 71 No. 85-32 APTO 1006 / EDIFICIO ANDALUCIA GRAN RESERVA")</f>
        <v>CRA 71 No. 85-32 APTO 1006 / EDIFICIO ANDALUCIA GRAN RESERVA</v>
      </c>
      <c r="G6146" s="15" t="str">
        <f>IFERROR(__xludf.DUMMYFUNCTION("""COMPUTED_VALUE"""),"GINA GALVIS")</f>
        <v>GINA GALVIS</v>
      </c>
      <c r="H6146" s="16">
        <f>IFERROR(__xludf.DUMMYFUNCTION("""COMPUTED_VALUE"""),14864.0)</f>
        <v>14864</v>
      </c>
      <c r="I6146" s="18">
        <f>IFERROR(__xludf.DUMMYFUNCTION("""COMPUTED_VALUE"""),1.0)</f>
        <v>1</v>
      </c>
      <c r="J6146" s="18">
        <f>IFERROR(__xludf.DUMMYFUNCTION("""COMPUTED_VALUE"""),1.0)</f>
        <v>1</v>
      </c>
      <c r="K6146" s="18">
        <f>IFERROR(__xludf.DUMMYFUNCTION("""COMPUTED_VALUE"""),1.0)</f>
        <v>1</v>
      </c>
      <c r="L6146" s="17">
        <f>IFERROR(__xludf.DUMMYFUNCTION("""COMPUTED_VALUE"""),3.016847063E9)</f>
        <v>3016847063</v>
      </c>
      <c r="M6146" s="17" t="str">
        <f>IFERROR(__xludf.DUMMYFUNCTION("""COMPUTED_VALUE"""),"#REF!")</f>
        <v>#REF!</v>
      </c>
      <c r="N6146" s="17"/>
      <c r="O6146" s="17"/>
      <c r="P6146" s="17" t="b">
        <f>IFERROR(__xludf.DUMMYFUNCTION("""COMPUTED_VALUE"""),TRUE)</f>
        <v>1</v>
      </c>
      <c r="Q6146" s="20">
        <f>IFERROR(__xludf.DUMMYFUNCTION("""COMPUTED_VALUE"""),45179.04299707176)</f>
        <v>45179.043</v>
      </c>
      <c r="R6146" s="21" t="str">
        <f>IFERROR(__xludf.DUMMYFUNCTION("""COMPUTED_VALUE"""),"https://drive.google.com/file/d/1tLXesuLsZLcmrA5-xs2UW9U-e0Kkdy-0/view?usp=drivesdk")</f>
        <v>https://drive.google.com/file/d/1tLXesuLsZLcmrA5-xs2UW9U-e0Kkdy-0/view?usp=drivesdk</v>
      </c>
    </row>
    <row r="6147">
      <c r="A6147" s="15">
        <f>IFERROR(__xludf.DUMMYFUNCTION("""COMPUTED_VALUE"""),45177.0)</f>
        <v>45177</v>
      </c>
      <c r="B6147" s="16" t="str">
        <f>IFERROR(__xludf.DUMMYFUNCTION("""COMPUTED_VALUE"""),"Daniel José sandoval gonzalez")</f>
        <v>Daniel José sandoval gonzalez</v>
      </c>
      <c r="C6147" s="15" t="str">
        <f>IFERROR(__xludf.DUMMYFUNCTION("""COMPUTED_VALUE"""),"BARRANQUILLA")</f>
        <v>BARRANQUILLA</v>
      </c>
      <c r="D6147" s="15" t="str">
        <f>IFERROR(__xludf.DUMMYFUNCTION("""COMPUTED_VALUE"""),"BOGOTÁ")</f>
        <v>BOGOTÁ</v>
      </c>
      <c r="E6147" s="15" t="str">
        <f>IFERROR(__xludf.DUMMYFUNCTION("""COMPUTED_VALUE"""),"Ins. Alimento Vital")</f>
        <v>Ins. Alimento Vital</v>
      </c>
      <c r="F6147" s="17" t="str">
        <f>IFERROR(__xludf.DUMMYFUNCTION("""COMPUTED_VALUE"""),"CL 98 65A 54  / TR 1 AP 803 / CONJUNTO BRISAS DEL RIO")</f>
        <v>CL 98 65A 54  / TR 1 AP 803 / CONJUNTO BRISAS DEL RIO</v>
      </c>
      <c r="G6147" s="15" t="str">
        <f>IFERROR(__xludf.DUMMYFUNCTION("""COMPUTED_VALUE"""),"ALEJANDRA LONDOÑO NAVARRO")</f>
        <v>ALEJANDRA LONDOÑO NAVARRO</v>
      </c>
      <c r="H6147" s="16">
        <f>IFERROR(__xludf.DUMMYFUNCTION("""COMPUTED_VALUE"""),14843.0)</f>
        <v>14843</v>
      </c>
      <c r="I6147" s="18">
        <f>IFERROR(__xludf.DUMMYFUNCTION("""COMPUTED_VALUE"""),1.0)</f>
        <v>1</v>
      </c>
      <c r="J6147" s="18">
        <f>IFERROR(__xludf.DUMMYFUNCTION("""COMPUTED_VALUE"""),1.0)</f>
        <v>1</v>
      </c>
      <c r="K6147" s="18">
        <f>IFERROR(__xludf.DUMMYFUNCTION("""COMPUTED_VALUE"""),1.0)</f>
        <v>1</v>
      </c>
      <c r="L6147" s="17">
        <f>IFERROR(__xludf.DUMMYFUNCTION("""COMPUTED_VALUE"""),3.186965499E9)</f>
        <v>3186965499</v>
      </c>
      <c r="M6147" s="17" t="str">
        <f>IFERROR(__xludf.DUMMYFUNCTION("""COMPUTED_VALUE"""),"#REF!")</f>
        <v>#REF!</v>
      </c>
      <c r="N6147" s="17"/>
      <c r="O6147" s="17"/>
      <c r="P6147" s="17" t="b">
        <f>IFERROR(__xludf.DUMMYFUNCTION("""COMPUTED_VALUE"""),TRUE)</f>
        <v>1</v>
      </c>
      <c r="Q6147" s="20">
        <f>IFERROR(__xludf.DUMMYFUNCTION("""COMPUTED_VALUE"""),45179.04299707176)</f>
        <v>45179.043</v>
      </c>
      <c r="R6147" s="21" t="str">
        <f>IFERROR(__xludf.DUMMYFUNCTION("""COMPUTED_VALUE"""),"https://drive.google.com/file/d/1YIymMYCyD2BwQ425btXPX4etg_G6rdkh/view?usp=drivesdk")</f>
        <v>https://drive.google.com/file/d/1YIymMYCyD2BwQ425btXPX4etg_G6rdkh/view?usp=drivesdk</v>
      </c>
    </row>
    <row r="6148">
      <c r="A6148" s="15">
        <f>IFERROR(__xludf.DUMMYFUNCTION("""COMPUTED_VALUE"""),45177.0)</f>
        <v>45177</v>
      </c>
      <c r="B6148" s="16" t="str">
        <f>IFERROR(__xludf.DUMMYFUNCTION("""COMPUTED_VALUE"""),"Daniel José sandoval gonzalez")</f>
        <v>Daniel José sandoval gonzalez</v>
      </c>
      <c r="C6148" s="15" t="str">
        <f>IFERROR(__xludf.DUMMYFUNCTION("""COMPUTED_VALUE"""),"BARRANQUILLA")</f>
        <v>BARRANQUILLA</v>
      </c>
      <c r="D6148" s="15" t="str">
        <f>IFERROR(__xludf.DUMMYFUNCTION("""COMPUTED_VALUE"""),"BOGOTÁ")</f>
        <v>BOGOTÁ</v>
      </c>
      <c r="E6148" s="15" t="str">
        <f>IFERROR(__xludf.DUMMYFUNCTION("""COMPUTED_VALUE"""),"Pan de Waffle")</f>
        <v>Pan de Waffle</v>
      </c>
      <c r="F6148" s="17" t="str">
        <f>IFERROR(__xludf.DUMMYFUNCTION("""COMPUTED_VALUE"""),"Carrera 45 # 85 - 168 / Carrera 45 # 85 - 168 / Carrera 45 # 85 - 168")</f>
        <v>Carrera 45 # 85 - 168 / Carrera 45 # 85 - 168 / Carrera 45 # 85 - 168</v>
      </c>
      <c r="G6148" s="15" t="str">
        <f>IFERROR(__xludf.DUMMYFUNCTION("""COMPUTED_VALUE"""),"FOODOLOGY")</f>
        <v>FOODOLOGY</v>
      </c>
      <c r="H6148" s="16">
        <f>IFERROR(__xludf.DUMMYFUNCTION("""COMPUTED_VALUE"""),14840.0)</f>
        <v>14840</v>
      </c>
      <c r="I6148" s="18">
        <f>IFERROR(__xludf.DUMMYFUNCTION("""COMPUTED_VALUE"""),30.0)</f>
        <v>30</v>
      </c>
      <c r="J6148" s="18">
        <f>IFERROR(__xludf.DUMMYFUNCTION("""COMPUTED_VALUE"""),30.0)</f>
        <v>30</v>
      </c>
      <c r="K6148" s="18">
        <f>IFERROR(__xludf.DUMMYFUNCTION("""COMPUTED_VALUE"""),40.0)</f>
        <v>40</v>
      </c>
      <c r="L6148" s="17">
        <f>IFERROR(__xludf.DUMMYFUNCTION("""COMPUTED_VALUE"""),3.017001909E9)</f>
        <v>3017001909</v>
      </c>
      <c r="M6148" s="17" t="str">
        <f>IFERROR(__xludf.DUMMYFUNCTION("""COMPUTED_VALUE"""),"#REF!")</f>
        <v>#REF!</v>
      </c>
      <c r="N6148" s="17"/>
      <c r="O6148" s="17"/>
      <c r="P6148" s="17" t="b">
        <f>IFERROR(__xludf.DUMMYFUNCTION("""COMPUTED_VALUE"""),TRUE)</f>
        <v>1</v>
      </c>
      <c r="Q6148" s="20">
        <f>IFERROR(__xludf.DUMMYFUNCTION("""COMPUTED_VALUE"""),45179.04299707176)</f>
        <v>45179.043</v>
      </c>
      <c r="R6148" s="22" t="str">
        <f>IFERROR(__xludf.DUMMYFUNCTION("""COMPUTED_VALUE"""),"")</f>
        <v/>
      </c>
    </row>
    <row r="6149">
      <c r="A6149" s="15">
        <f>IFERROR(__xludf.DUMMYFUNCTION("""COMPUTED_VALUE"""),45177.0)</f>
        <v>45177</v>
      </c>
      <c r="B6149" s="16" t="str">
        <f>IFERROR(__xludf.DUMMYFUNCTION("""COMPUTED_VALUE"""),"Daniel José sandoval gonzalez")</f>
        <v>Daniel José sandoval gonzalez</v>
      </c>
      <c r="C6149" s="15" t="str">
        <f>IFERROR(__xludf.DUMMYFUNCTION("""COMPUTED_VALUE"""),"BARRANQUILLA")</f>
        <v>BARRANQUILLA</v>
      </c>
      <c r="D6149" s="15" t="str">
        <f>IFERROR(__xludf.DUMMYFUNCTION("""COMPUTED_VALUE"""),"BOGOTÁ")</f>
        <v>BOGOTÁ</v>
      </c>
      <c r="E6149" s="15" t="str">
        <f>IFERROR(__xludf.DUMMYFUNCTION("""COMPUTED_VALUE"""),"Pan de Waffle")</f>
        <v>Pan de Waffle</v>
      </c>
      <c r="F6149" s="17" t="str">
        <f>IFERROR(__xludf.DUMMYFUNCTION("""COMPUTED_VALUE"""),"CR 53 80 284 LC 8 / CR 53 80 284 LC 8 / CR 53 80 284 LC 8")</f>
        <v>CR 53 80 284 LC 8 / CR 53 80 284 LC 8 / CR 53 80 284 LC 8</v>
      </c>
      <c r="G6149" s="15" t="str">
        <f>IFERROR(__xludf.DUMMYFUNCTION("""COMPUTED_VALUE"""),"CORPO FIT BARRANQUILLA")</f>
        <v>CORPO FIT BARRANQUILLA</v>
      </c>
      <c r="H6149" s="16">
        <f>IFERROR(__xludf.DUMMYFUNCTION("""COMPUTED_VALUE"""),14847.0)</f>
        <v>14847</v>
      </c>
      <c r="I6149" s="18">
        <f>IFERROR(__xludf.DUMMYFUNCTION("""COMPUTED_VALUE"""),40.0)</f>
        <v>40</v>
      </c>
      <c r="J6149" s="18">
        <f>IFERROR(__xludf.DUMMYFUNCTION("""COMPUTED_VALUE"""),30.0)</f>
        <v>30</v>
      </c>
      <c r="K6149" s="18">
        <f>IFERROR(__xludf.DUMMYFUNCTION("""COMPUTED_VALUE"""),40.0)</f>
        <v>40</v>
      </c>
      <c r="L6149" s="17">
        <f>IFERROR(__xludf.DUMMYFUNCTION("""COMPUTED_VALUE"""),3.006125263E9)</f>
        <v>3006125263</v>
      </c>
      <c r="M6149" s="17" t="str">
        <f>IFERROR(__xludf.DUMMYFUNCTION("""COMPUTED_VALUE"""),"#REF!")</f>
        <v>#REF!</v>
      </c>
      <c r="N6149" s="17"/>
      <c r="O6149" s="17"/>
      <c r="P6149" s="17" t="b">
        <f>IFERROR(__xludf.DUMMYFUNCTION("""COMPUTED_VALUE"""),TRUE)</f>
        <v>1</v>
      </c>
      <c r="Q6149" s="20">
        <f>IFERROR(__xludf.DUMMYFUNCTION("""COMPUTED_VALUE"""),45179.04299707176)</f>
        <v>45179.043</v>
      </c>
      <c r="R6149" s="21" t="str">
        <f>IFERROR(__xludf.DUMMYFUNCTION("""COMPUTED_VALUE"""),"https://drive.google.com/file/d/1kC8iWzre5MUI8YaKha76ZIZzC3OlqZkj/view?usp=drivesdk")</f>
        <v>https://drive.google.com/file/d/1kC8iWzre5MUI8YaKha76ZIZzC3OlqZkj/view?usp=drivesdk</v>
      </c>
    </row>
    <row r="6150">
      <c r="A6150" s="15">
        <f>IFERROR(__xludf.DUMMYFUNCTION("""COMPUTED_VALUE"""),45177.0)</f>
        <v>45177</v>
      </c>
      <c r="B6150" s="16" t="str">
        <f>IFERROR(__xludf.DUMMYFUNCTION("""COMPUTED_VALUE"""),"Daniel José sandoval gonzalez")</f>
        <v>Daniel José sandoval gonzalez</v>
      </c>
      <c r="C6150" s="15" t="str">
        <f>IFERROR(__xludf.DUMMYFUNCTION("""COMPUTED_VALUE"""),"BARRANQUILLA")</f>
        <v>BARRANQUILLA</v>
      </c>
      <c r="D6150" s="15" t="str">
        <f>IFERROR(__xludf.DUMMYFUNCTION("""COMPUTED_VALUE"""),"BOGOTÁ")</f>
        <v>BOGOTÁ</v>
      </c>
      <c r="E6150" s="15" t="str">
        <f>IFERROR(__xludf.DUMMYFUNCTION("""COMPUTED_VALUE"""),"Pan de Yuca")</f>
        <v>Pan de Yuca</v>
      </c>
      <c r="F6150" s="17" t="str">
        <f>IFERROR(__xludf.DUMMYFUNCTION("""COMPUTED_VALUE"""),"Calle 84 No 58-47  /  local 9 Centro Comercial Plaza 59   / Centro Comercial Plaza 59 . Local 9")</f>
        <v>Calle 84 No 58-47  /  local 9 Centro Comercial Plaza 59   / Centro Comercial Plaza 59 . Local 9</v>
      </c>
      <c r="G6150" s="15" t="str">
        <f>IFERROR(__xludf.DUMMYFUNCTION("""COMPUTED_VALUE"""),"Alejandro Córdoba")</f>
        <v>Alejandro Córdoba</v>
      </c>
      <c r="H6150" s="16">
        <f>IFERROR(__xludf.DUMMYFUNCTION("""COMPUTED_VALUE"""),14851.0)</f>
        <v>14851</v>
      </c>
      <c r="I6150" s="18">
        <f>IFERROR(__xludf.DUMMYFUNCTION("""COMPUTED_VALUE"""),44994.0)</f>
        <v>44994</v>
      </c>
      <c r="J6150" s="18">
        <f>IFERROR(__xludf.DUMMYFUNCTION("""COMPUTED_VALUE"""),45037.0)</f>
        <v>45037</v>
      </c>
      <c r="K6150" s="18">
        <f>IFERROR(__xludf.DUMMYFUNCTION("""COMPUTED_VALUE"""),45061.0)</f>
        <v>45061</v>
      </c>
      <c r="L6150" s="17">
        <f>IFERROR(__xludf.DUMMYFUNCTION("""COMPUTED_VALUE"""),3.003219814E9)</f>
        <v>3003219814</v>
      </c>
      <c r="M6150" s="17" t="str">
        <f>IFERROR(__xludf.DUMMYFUNCTION("""COMPUTED_VALUE"""),"#REF!")</f>
        <v>#REF!</v>
      </c>
      <c r="N6150" s="17"/>
      <c r="O6150" s="17"/>
      <c r="P6150" s="17" t="b">
        <f>IFERROR(__xludf.DUMMYFUNCTION("""COMPUTED_VALUE"""),TRUE)</f>
        <v>1</v>
      </c>
      <c r="Q6150" s="20">
        <f>IFERROR(__xludf.DUMMYFUNCTION("""COMPUTED_VALUE"""),45179.04299707176)</f>
        <v>45179.043</v>
      </c>
      <c r="R6150" s="21" t="str">
        <f>IFERROR(__xludf.DUMMYFUNCTION("""COMPUTED_VALUE"""),"https://drive.google.com/file/d/1pjRZZR6RcvlAef3qrQExMgAaEmfnOcVA/view?usp=drivesdk")</f>
        <v>https://drive.google.com/file/d/1pjRZZR6RcvlAef3qrQExMgAaEmfnOcVA/view?usp=drivesdk</v>
      </c>
    </row>
    <row r="6151">
      <c r="A6151" s="15">
        <f>IFERROR(__xludf.DUMMYFUNCTION("""COMPUTED_VALUE"""),45177.0)</f>
        <v>45177</v>
      </c>
      <c r="B6151" s="16" t="str">
        <f>IFERROR(__xludf.DUMMYFUNCTION("""COMPUTED_VALUE"""),"Daniel José sandoval gonzalez")</f>
        <v>Daniel José sandoval gonzalez</v>
      </c>
      <c r="C6151" s="15" t="str">
        <f>IFERROR(__xludf.DUMMYFUNCTION("""COMPUTED_VALUE"""),"BARRANQUILLA")</f>
        <v>BARRANQUILLA</v>
      </c>
      <c r="D6151" s="15" t="str">
        <f>IFERROR(__xludf.DUMMYFUNCTION("""COMPUTED_VALUE"""),"BOGOTÁ")</f>
        <v>BOGOTÁ</v>
      </c>
      <c r="E6151" s="15" t="str">
        <f>IFERROR(__xludf.DUMMYFUNCTION("""COMPUTED_VALUE"""),"Pave")</f>
        <v>Pave</v>
      </c>
      <c r="F6151" s="17" t="str">
        <f>IFERROR(__xludf.DUMMYFUNCTION("""COMPUTED_VALUE"""),"Cra64c#91a-47 casa 3 / Cra64c#91a-47 casa 3 / Cra64c#91a-47 casa 3")</f>
        <v>Cra64c#91a-47 casa 3 / Cra64c#91a-47 casa 3 / Cra64c#91a-47 casa 3</v>
      </c>
      <c r="G6151" s="15" t="str">
        <f>IFERROR(__xludf.DUMMYFUNCTION("""COMPUTED_VALUE"""),"Maria Cristina Ovalle")</f>
        <v>Maria Cristina Ovalle</v>
      </c>
      <c r="H6151" s="16">
        <f>IFERROR(__xludf.DUMMYFUNCTION("""COMPUTED_VALUE"""),14850.0)</f>
        <v>14850</v>
      </c>
      <c r="I6151" s="18">
        <f>IFERROR(__xludf.DUMMYFUNCTION("""COMPUTED_VALUE"""),6.0)</f>
        <v>6</v>
      </c>
      <c r="J6151" s="18">
        <f>IFERROR(__xludf.DUMMYFUNCTION("""COMPUTED_VALUE"""),12.0)</f>
        <v>12</v>
      </c>
      <c r="K6151" s="18">
        <f>IFERROR(__xludf.DUMMYFUNCTION("""COMPUTED_VALUE"""),12.0)</f>
        <v>12</v>
      </c>
      <c r="L6151" s="17">
        <f>IFERROR(__xludf.DUMMYFUNCTION("""COMPUTED_VALUE"""),3.145129077E9)</f>
        <v>3145129077</v>
      </c>
      <c r="M6151" s="17" t="str">
        <f>IFERROR(__xludf.DUMMYFUNCTION("""COMPUTED_VALUE"""),"#REF!")</f>
        <v>#REF!</v>
      </c>
      <c r="N6151" s="17"/>
      <c r="O6151" s="17"/>
      <c r="P6151" s="17" t="b">
        <f>IFERROR(__xludf.DUMMYFUNCTION("""COMPUTED_VALUE"""),TRUE)</f>
        <v>1</v>
      </c>
      <c r="Q6151" s="20">
        <f>IFERROR(__xludf.DUMMYFUNCTION("""COMPUTED_VALUE"""),45179.04299707176)</f>
        <v>45179.043</v>
      </c>
      <c r="R6151" s="21" t="str">
        <f>IFERROR(__xludf.DUMMYFUNCTION("""COMPUTED_VALUE"""),"https://drive.google.com/file/d/1Zy-vHeRzcp2eysGtSgrm008ww268wMWg/view?usp=drivesdk")</f>
        <v>https://drive.google.com/file/d/1Zy-vHeRzcp2eysGtSgrm008ww268wMWg/view?usp=drivesdk</v>
      </c>
    </row>
    <row r="6152">
      <c r="A6152" s="15">
        <f>IFERROR(__xludf.DUMMYFUNCTION("""COMPUTED_VALUE"""),45177.0)</f>
        <v>45177</v>
      </c>
      <c r="B6152" s="16" t="str">
        <f>IFERROR(__xludf.DUMMYFUNCTION("""COMPUTED_VALUE"""),"Daniel José sandoval gonzalez")</f>
        <v>Daniel José sandoval gonzalez</v>
      </c>
      <c r="C6152" s="15" t="str">
        <f>IFERROR(__xludf.DUMMYFUNCTION("""COMPUTED_VALUE"""),"BARRANQUILLA")</f>
        <v>BARRANQUILLA</v>
      </c>
      <c r="D6152" s="15" t="str">
        <f>IFERROR(__xludf.DUMMYFUNCTION("""COMPUTED_VALUE"""),"BOGOTÁ")</f>
        <v>BOGOTÁ</v>
      </c>
      <c r="E6152" s="15" t="str">
        <f>IFERROR(__xludf.DUMMYFUNCTION("""COMPUTED_VALUE"""),"Ser Fit")</f>
        <v>Ser Fit</v>
      </c>
      <c r="F6152" s="17" t="str">
        <f>IFERROR(__xludf.DUMMYFUNCTION("""COMPUTED_VALUE"""),"Cra. 51 #82-223 / fit hub / barranquilla")</f>
        <v>Cra. 51 #82-223 / fit hub / barranquilla</v>
      </c>
      <c r="G6152" s="15" t="str">
        <f>IFERROR(__xludf.DUMMYFUNCTION("""COMPUTED_VALUE"""),"fit hub")</f>
        <v>fit hub</v>
      </c>
      <c r="H6152" s="16">
        <f>IFERROR(__xludf.DUMMYFUNCTION("""COMPUTED_VALUE"""),14887.0)</f>
        <v>14887</v>
      </c>
      <c r="I6152" s="18">
        <f>IFERROR(__xludf.DUMMYFUNCTION("""COMPUTED_VALUE"""),45067.0)</f>
        <v>45067</v>
      </c>
      <c r="J6152" s="18">
        <f>IFERROR(__xludf.DUMMYFUNCTION("""COMPUTED_VALUE"""),30.0)</f>
        <v>30</v>
      </c>
      <c r="K6152" s="18">
        <f>IFERROR(__xludf.DUMMYFUNCTION("""COMPUTED_VALUE"""),50.0)</f>
        <v>50</v>
      </c>
      <c r="L6152" s="17">
        <f>IFERROR(__xludf.DUMMYFUNCTION("""COMPUTED_VALUE"""),3.157237432E9)</f>
        <v>3157237432</v>
      </c>
      <c r="M6152" s="17" t="str">
        <f>IFERROR(__xludf.DUMMYFUNCTION("""COMPUTED_VALUE"""),"#REF!")</f>
        <v>#REF!</v>
      </c>
      <c r="N6152" s="17"/>
      <c r="O6152" s="17"/>
      <c r="P6152" s="17" t="b">
        <f>IFERROR(__xludf.DUMMYFUNCTION("""COMPUTED_VALUE"""),TRUE)</f>
        <v>1</v>
      </c>
      <c r="Q6152" s="20">
        <f>IFERROR(__xludf.DUMMYFUNCTION("""COMPUTED_VALUE"""),45179.04299707176)</f>
        <v>45179.043</v>
      </c>
      <c r="R6152" s="22" t="str">
        <f>IFERROR(__xludf.DUMMYFUNCTION("""COMPUTED_VALUE"""),"")</f>
        <v/>
      </c>
    </row>
    <row r="6153">
      <c r="A6153" s="15">
        <f>IFERROR(__xludf.DUMMYFUNCTION("""COMPUTED_VALUE"""),45177.0)</f>
        <v>45177</v>
      </c>
      <c r="B6153" s="16" t="str">
        <f>IFERROR(__xludf.DUMMYFUNCTION("""COMPUTED_VALUE"""),"Daniel José sandoval gonzalez")</f>
        <v>Daniel José sandoval gonzalez</v>
      </c>
      <c r="C6153" s="15" t="str">
        <f>IFERROR(__xludf.DUMMYFUNCTION("""COMPUTED_VALUE"""),"BARRANQUILLA")</f>
        <v>BARRANQUILLA</v>
      </c>
      <c r="D6153" s="15" t="str">
        <f>IFERROR(__xludf.DUMMYFUNCTION("""COMPUTED_VALUE"""),"BOGOTÁ")</f>
        <v>BOGOTÁ</v>
      </c>
      <c r="E6153" s="15" t="str">
        <f>IFERROR(__xludf.DUMMYFUNCTION("""COMPUTED_VALUE"""),"Spirulina Fresca")</f>
        <v>Spirulina Fresca</v>
      </c>
      <c r="F6153" s="17" t="str">
        <f>IFERROR(__xludf.DUMMYFUNCTION("""COMPUTED_VALUE"""),"Cr 58#96-08 / Apto 301 / Barranquilla")</f>
        <v>Cr 58#96-08 / Apto 301 / Barranquilla</v>
      </c>
      <c r="G6153" s="15" t="str">
        <f>IFERROR(__xludf.DUMMYFUNCTION("""COMPUTED_VALUE"""),"Mario Arteta")</f>
        <v>Mario Arteta</v>
      </c>
      <c r="H6153" s="16">
        <f>IFERROR(__xludf.DUMMYFUNCTION("""COMPUTED_VALUE"""),14822.0)</f>
        <v>14822</v>
      </c>
      <c r="I6153" s="18">
        <f>IFERROR(__xludf.DUMMYFUNCTION("""COMPUTED_VALUE"""),15.0)</f>
        <v>15</v>
      </c>
      <c r="J6153" s="18">
        <f>IFERROR(__xludf.DUMMYFUNCTION("""COMPUTED_VALUE"""),5.0)</f>
        <v>5</v>
      </c>
      <c r="K6153" s="18">
        <f>IFERROR(__xludf.DUMMYFUNCTION("""COMPUTED_VALUE"""),15.0)</f>
        <v>15</v>
      </c>
      <c r="L6153" s="17">
        <f>IFERROR(__xludf.DUMMYFUNCTION("""COMPUTED_VALUE"""),3.01364239E9)</f>
        <v>3013642390</v>
      </c>
      <c r="M6153" s="17" t="str">
        <f>IFERROR(__xludf.DUMMYFUNCTION("""COMPUTED_VALUE"""),"#REF!")</f>
        <v>#REF!</v>
      </c>
      <c r="N6153" s="17"/>
      <c r="O6153" s="17"/>
      <c r="P6153" s="17" t="b">
        <f>IFERROR(__xludf.DUMMYFUNCTION("""COMPUTED_VALUE"""),TRUE)</f>
        <v>1</v>
      </c>
      <c r="Q6153" s="20">
        <f>IFERROR(__xludf.DUMMYFUNCTION("""COMPUTED_VALUE"""),45179.04299707176)</f>
        <v>45179.043</v>
      </c>
      <c r="R6153" s="21" t="str">
        <f>IFERROR(__xludf.DUMMYFUNCTION("""COMPUTED_VALUE"""),"https://drive.google.com/file/d/1EJPmfPhbWlihspPxaEL4-D2PwaRzCXYQ/view?usp=drivesdk")</f>
        <v>https://drive.google.com/file/d/1EJPmfPhbWlihspPxaEL4-D2PwaRzCXYQ/view?usp=drivesdk</v>
      </c>
    </row>
    <row r="6154">
      <c r="A6154" s="15">
        <f>IFERROR(__xludf.DUMMYFUNCTION("""COMPUTED_VALUE"""),45177.0)</f>
        <v>45177</v>
      </c>
      <c r="B6154" s="16" t="str">
        <f>IFERROR(__xludf.DUMMYFUNCTION("""COMPUTED_VALUE"""),"Daniel José sandoval gonzalez")</f>
        <v>Daniel José sandoval gonzalez</v>
      </c>
      <c r="C6154" s="15" t="str">
        <f>IFERROR(__xludf.DUMMYFUNCTION("""COMPUTED_VALUE"""),"BARRANQUILLA")</f>
        <v>BARRANQUILLA</v>
      </c>
      <c r="D6154" s="15" t="str">
        <f>IFERROR(__xludf.DUMMYFUNCTION("""COMPUTED_VALUE"""),"BOGOTÁ")</f>
        <v>BOGOTÁ</v>
      </c>
      <c r="E6154" s="15" t="str">
        <f>IFERROR(__xludf.DUMMYFUNCTION("""COMPUTED_VALUE"""),"Viral Brands")</f>
        <v>Viral Brands</v>
      </c>
      <c r="F6154" s="17" t="str">
        <f>IFERROR(__xludf.DUMMYFUNCTION("""COMPUTED_VALUE"""),"cra 58 n 96 -187 / lyd house 98 restauramte maya gaucho / buenavista")</f>
        <v>cra 58 n 96 -187 / lyd house 98 restauramte maya gaucho / buenavista</v>
      </c>
      <c r="G6154" s="15" t="str">
        <f>IFERROR(__xludf.DUMMYFUNCTION("""COMPUTED_VALUE"""),"restaurante maya")</f>
        <v>restaurante maya</v>
      </c>
      <c r="H6154" s="16">
        <f>IFERROR(__xludf.DUMMYFUNCTION("""COMPUTED_VALUE"""),14852.0)</f>
        <v>14852</v>
      </c>
      <c r="I6154" s="18">
        <f>IFERROR(__xludf.DUMMYFUNCTION("""COMPUTED_VALUE"""),50.0)</f>
        <v>50</v>
      </c>
      <c r="J6154" s="18">
        <f>IFERROR(__xludf.DUMMYFUNCTION("""COMPUTED_VALUE"""),30.0)</f>
        <v>30</v>
      </c>
      <c r="K6154" s="18">
        <f>IFERROR(__xludf.DUMMYFUNCTION("""COMPUTED_VALUE"""),21.0)</f>
        <v>21</v>
      </c>
      <c r="L6154" s="17">
        <f>IFERROR(__xludf.DUMMYFUNCTION("""COMPUTED_VALUE"""),3.122454394E9)</f>
        <v>3122454394</v>
      </c>
      <c r="M6154" s="17" t="str">
        <f>IFERROR(__xludf.DUMMYFUNCTION("""COMPUTED_VALUE"""),"#REF!")</f>
        <v>#REF!</v>
      </c>
      <c r="N6154" s="17"/>
      <c r="O6154" s="17"/>
      <c r="P6154" s="17" t="b">
        <f>IFERROR(__xludf.DUMMYFUNCTION("""COMPUTED_VALUE"""),TRUE)</f>
        <v>1</v>
      </c>
      <c r="Q6154" s="20">
        <f>IFERROR(__xludf.DUMMYFUNCTION("""COMPUTED_VALUE"""),45179.04299707176)</f>
        <v>45179.043</v>
      </c>
      <c r="R6154" s="22" t="str">
        <f>IFERROR(__xludf.DUMMYFUNCTION("""COMPUTED_VALUE"""),"")</f>
        <v/>
      </c>
    </row>
    <row r="6155">
      <c r="A6155" s="15">
        <f>IFERROR(__xludf.DUMMYFUNCTION("""COMPUTED_VALUE"""),45177.0)</f>
        <v>45177</v>
      </c>
      <c r="B6155" s="16" t="str">
        <f>IFERROR(__xludf.DUMMYFUNCTION("""COMPUTED_VALUE"""),"Daniel José sandoval gonzalez")</f>
        <v>Daniel José sandoval gonzalez</v>
      </c>
      <c r="C6155" s="15" t="str">
        <f>IFERROR(__xludf.DUMMYFUNCTION("""COMPUTED_VALUE"""),"BARRANQUILLA")</f>
        <v>BARRANQUILLA</v>
      </c>
      <c r="D6155" s="15" t="str">
        <f>IFERROR(__xludf.DUMMYFUNCTION("""COMPUTED_VALUE"""),"MEDELLÍN")</f>
        <v>MEDELLÍN</v>
      </c>
      <c r="E6155" s="15" t="str">
        <f>IFERROR(__xludf.DUMMYFUNCTION("""COMPUTED_VALUE"""),"AREPAS LA MARY")</f>
        <v>AREPAS LA MARY</v>
      </c>
      <c r="F6155" s="17" t="str">
        <f>IFERROR(__xludf.DUMMYFUNCTION("""COMPUTED_VALUE"""),"CRA 41 N.63 30 APTO 704 / BARRANQUILLA")</f>
        <v>CRA 41 N.63 30 APTO 704 / BARRANQUILLA</v>
      </c>
      <c r="G6155" s="15" t="str">
        <f>IFERROR(__xludf.DUMMYFUNCTION("""COMPUTED_VALUE"""),"CINDY GARCIA")</f>
        <v>CINDY GARCIA</v>
      </c>
      <c r="H6155" s="16">
        <f>IFERROR(__xludf.DUMMYFUNCTION("""COMPUTED_VALUE"""),14849.0)</f>
        <v>14849</v>
      </c>
      <c r="I6155" s="18">
        <f>IFERROR(__xludf.DUMMYFUNCTION("""COMPUTED_VALUE"""),89.0)</f>
        <v>89</v>
      </c>
      <c r="J6155" s="18">
        <f>IFERROR(__xludf.DUMMYFUNCTION("""COMPUTED_VALUE"""),1.0)</f>
        <v>1</v>
      </c>
      <c r="K6155" s="18">
        <f>IFERROR(__xludf.DUMMYFUNCTION("""COMPUTED_VALUE"""),10.0)</f>
        <v>10</v>
      </c>
      <c r="L6155" s="17">
        <f>IFERROR(__xludf.DUMMYFUNCTION("""COMPUTED_VALUE"""),3.017247359E9)</f>
        <v>3017247359</v>
      </c>
      <c r="M6155" s="17" t="str">
        <f>IFERROR(__xludf.DUMMYFUNCTION("""COMPUTED_VALUE"""),"#REF!")</f>
        <v>#REF!</v>
      </c>
      <c r="N6155" s="17"/>
      <c r="O6155" s="17"/>
      <c r="P6155" s="17" t="b">
        <f>IFERROR(__xludf.DUMMYFUNCTION("""COMPUTED_VALUE"""),TRUE)</f>
        <v>1</v>
      </c>
      <c r="Q6155" s="20">
        <f>IFERROR(__xludf.DUMMYFUNCTION("""COMPUTED_VALUE"""),45179.04299707176)</f>
        <v>45179.043</v>
      </c>
      <c r="R6155" s="21" t="str">
        <f>IFERROR(__xludf.DUMMYFUNCTION("""COMPUTED_VALUE"""),"https://drive.google.com/file/d/1EWvMD-vvM5xLJLmK8CdbdchP2fVG7qCx/view?usp=drivesdk")</f>
        <v>https://drive.google.com/file/d/1EWvMD-vvM5xLJLmK8CdbdchP2fVG7qCx/view?usp=drivesdk</v>
      </c>
    </row>
    <row r="6156">
      <c r="A6156" s="15">
        <f>IFERROR(__xludf.DUMMYFUNCTION("""COMPUTED_VALUE"""),45177.0)</f>
        <v>45177</v>
      </c>
      <c r="B6156" s="16" t="str">
        <f>IFERROR(__xludf.DUMMYFUNCTION("""COMPUTED_VALUE"""),"Daniel José sandoval gonzalez")</f>
        <v>Daniel José sandoval gonzalez</v>
      </c>
      <c r="C6156" s="15" t="str">
        <f>IFERROR(__xludf.DUMMYFUNCTION("""COMPUTED_VALUE"""),"BARRANQUILLA")</f>
        <v>BARRANQUILLA</v>
      </c>
      <c r="D6156" s="15" t="str">
        <f>IFERROR(__xludf.DUMMYFUNCTION("""COMPUTED_VALUE"""),"MEDELLÍN")</f>
        <v>MEDELLÍN</v>
      </c>
      <c r="E6156" s="15" t="str">
        <f>IFERROR(__xludf.DUMMYFUNCTION("""COMPUTED_VALUE"""),"Baby Chef")</f>
        <v>Baby Chef</v>
      </c>
      <c r="F6156" s="17" t="str">
        <f>IFERROR(__xludf.DUMMYFUNCTION("""COMPUTED_VALUE"""),"Calle 84 # 42c - 181  Edificio más house Nuevo Horizonte apto 406 Barranquilla Barrio Nuevo Horizonte / Calle 84 # 42c - 181  Edificio más house Nuevo Horizonte apto 406 Barranquilla Barrio Nuevo Horizonte / Calle 84 # 42c - 181  Edificio más house Nuevo "&amp;"Horizonte apto 406 Barranquilla Barrio Nuevo Horizonte")</f>
        <v>Calle 84 # 42c - 181  Edificio más house Nuevo Horizonte apto 406 Barranquilla Barrio Nuevo Horizonte / Calle 84 # 42c - 181  Edificio más house Nuevo Horizonte apto 406 Barranquilla Barrio Nuevo Horizonte / Calle 84 # 42c - 181  Edificio más house Nuevo Horizonte apto 406 Barranquilla Barrio Nuevo Horizonte</v>
      </c>
      <c r="G6156" s="15" t="str">
        <f>IFERROR(__xludf.DUMMYFUNCTION("""COMPUTED_VALUE"""),"Viviana Fontalvo Castillo")</f>
        <v>Viviana Fontalvo Castillo</v>
      </c>
      <c r="H6156" s="16">
        <f>IFERROR(__xludf.DUMMYFUNCTION("""COMPUTED_VALUE"""),14862.0)</f>
        <v>14862</v>
      </c>
      <c r="I6156" s="18">
        <f>IFERROR(__xludf.DUMMYFUNCTION("""COMPUTED_VALUE"""),7.0)</f>
        <v>7</v>
      </c>
      <c r="J6156" s="18">
        <f>IFERROR(__xludf.DUMMYFUNCTION("""COMPUTED_VALUE"""),21.0)</f>
        <v>21</v>
      </c>
      <c r="K6156" s="18">
        <f>IFERROR(__xludf.DUMMYFUNCTION("""COMPUTED_VALUE"""),32.0)</f>
        <v>32</v>
      </c>
      <c r="L6156" s="17">
        <f>IFERROR(__xludf.DUMMYFUNCTION("""COMPUTED_VALUE"""),3.003883187E9)</f>
        <v>3003883187</v>
      </c>
      <c r="M6156" s="17" t="str">
        <f>IFERROR(__xludf.DUMMYFUNCTION("""COMPUTED_VALUE"""),"#REF!")</f>
        <v>#REF!</v>
      </c>
      <c r="N6156" s="17"/>
      <c r="O6156" s="17"/>
      <c r="P6156" s="17" t="b">
        <f>IFERROR(__xludf.DUMMYFUNCTION("""COMPUTED_VALUE"""),TRUE)</f>
        <v>1</v>
      </c>
      <c r="Q6156" s="20">
        <f>IFERROR(__xludf.DUMMYFUNCTION("""COMPUTED_VALUE"""),45179.04299707176)</f>
        <v>45179.043</v>
      </c>
      <c r="R6156" s="22" t="str">
        <f>IFERROR(__xludf.DUMMYFUNCTION("""COMPUTED_VALUE"""),"")</f>
        <v/>
      </c>
    </row>
    <row r="6157">
      <c r="A6157" s="15">
        <f>IFERROR(__xludf.DUMMYFUNCTION("""COMPUTED_VALUE"""),45177.0)</f>
        <v>45177</v>
      </c>
      <c r="B6157" s="16" t="str">
        <f>IFERROR(__xludf.DUMMYFUNCTION("""COMPUTED_VALUE"""),"Daniel José sandoval gonzalez")</f>
        <v>Daniel José sandoval gonzalez</v>
      </c>
      <c r="C6157" s="15" t="str">
        <f>IFERROR(__xludf.DUMMYFUNCTION("""COMPUTED_VALUE"""),"BARRANQUILLA")</f>
        <v>BARRANQUILLA</v>
      </c>
      <c r="D6157" s="15" t="str">
        <f>IFERROR(__xludf.DUMMYFUNCTION("""COMPUTED_VALUE"""),"MEDELLÍN")</f>
        <v>MEDELLÍN</v>
      </c>
      <c r="E6157" s="15" t="str">
        <f>IFERROR(__xludf.DUMMYFUNCTION("""COMPUTED_VALUE"""),"Moloso S.A.S")</f>
        <v>Moloso S.A.S</v>
      </c>
      <c r="F6157" s="17" t="str">
        <f>IFERROR(__xludf.DUMMYFUNCTION("""COMPUTED_VALUE"""),"CRA 65 99 109 / EDF. CENTRAL GARDEN APTO 521 TORRE 4")</f>
        <v>CRA 65 99 109 / EDF. CENTRAL GARDEN APTO 521 TORRE 4</v>
      </c>
      <c r="G6157" s="15" t="str">
        <f>IFERROR(__xludf.DUMMYFUNCTION("""COMPUTED_VALUE"""),"LOURDES ACOSTA")</f>
        <v>LOURDES ACOSTA</v>
      </c>
      <c r="H6157" s="16">
        <f>IFERROR(__xludf.DUMMYFUNCTION("""COMPUTED_VALUE"""),14853.0)</f>
        <v>14853</v>
      </c>
      <c r="I6157" s="18">
        <f>IFERROR(__xludf.DUMMYFUNCTION("""COMPUTED_VALUE"""),17.0)</f>
        <v>17</v>
      </c>
      <c r="J6157" s="18">
        <f>IFERROR(__xludf.DUMMYFUNCTION("""COMPUTED_VALUE"""),15.0)</f>
        <v>15</v>
      </c>
      <c r="K6157" s="18">
        <f>IFERROR(__xludf.DUMMYFUNCTION("""COMPUTED_VALUE"""),28.0)</f>
        <v>28</v>
      </c>
      <c r="L6157" s="17" t="str">
        <f>IFERROR(__xludf.DUMMYFUNCTION("""COMPUTED_VALUE"""),"322 5119030")</f>
        <v>322 5119030</v>
      </c>
      <c r="M6157" s="17" t="str">
        <f>IFERROR(__xludf.DUMMYFUNCTION("""COMPUTED_VALUE"""),"#REF!")</f>
        <v>#REF!</v>
      </c>
      <c r="N6157" s="17"/>
      <c r="O6157" s="17"/>
      <c r="P6157" s="17" t="b">
        <f>IFERROR(__xludf.DUMMYFUNCTION("""COMPUTED_VALUE"""),TRUE)</f>
        <v>1</v>
      </c>
      <c r="Q6157" s="20">
        <f>IFERROR(__xludf.DUMMYFUNCTION("""COMPUTED_VALUE"""),45179.04299707176)</f>
        <v>45179.043</v>
      </c>
      <c r="R6157" s="22" t="str">
        <f>IFERROR(__xludf.DUMMYFUNCTION("""COMPUTED_VALUE"""),"")</f>
        <v/>
      </c>
    </row>
    <row r="6158">
      <c r="A6158" s="15">
        <f>IFERROR(__xludf.DUMMYFUNCTION("""COMPUTED_VALUE"""),45177.0)</f>
        <v>45177</v>
      </c>
      <c r="B6158" s="16" t="str">
        <f>IFERROR(__xludf.DUMMYFUNCTION("""COMPUTED_VALUE"""),"Daniel José sandoval gonzalez")</f>
        <v>Daniel José sandoval gonzalez</v>
      </c>
      <c r="C6158" s="15" t="str">
        <f>IFERROR(__xludf.DUMMYFUNCTION("""COMPUTED_VALUE"""),"BARRANQUILLA")</f>
        <v>BARRANQUILLA</v>
      </c>
      <c r="D6158" s="15" t="str">
        <f>IFERROR(__xludf.DUMMYFUNCTION("""COMPUTED_VALUE"""),"MEDELLÍN")</f>
        <v>MEDELLÍN</v>
      </c>
      <c r="E6158" s="15" t="str">
        <f>IFERROR(__xludf.DUMMYFUNCTION("""COMPUTED_VALUE"""),"Natusoya")</f>
        <v>Natusoya</v>
      </c>
      <c r="F6158" s="17" t="str">
        <f>IFERROR(__xludf.DUMMYFUNCTION("""COMPUTED_VALUE"""),"Cra 51b #80-163 / Edificio costa del sol 1° piso / Barranquilla")</f>
        <v>Cra 51b #80-163 / Edificio costa del sol 1° piso / Barranquilla</v>
      </c>
      <c r="G6158" s="15" t="str">
        <f>IFERROR(__xludf.DUMMYFUNCTION("""COMPUTED_VALUE"""),"Green Orgnic")</f>
        <v>Green Orgnic</v>
      </c>
      <c r="H6158" s="16">
        <f>IFERROR(__xludf.DUMMYFUNCTION("""COMPUTED_VALUE"""),14883.0)</f>
        <v>14883</v>
      </c>
      <c r="I6158" s="18">
        <f>IFERROR(__xludf.DUMMYFUNCTION("""COMPUTED_VALUE"""),20.0)</f>
        <v>20</v>
      </c>
      <c r="J6158" s="18">
        <f>IFERROR(__xludf.DUMMYFUNCTION("""COMPUTED_VALUE"""),34.0)</f>
        <v>34</v>
      </c>
      <c r="K6158" s="18">
        <f>IFERROR(__xludf.DUMMYFUNCTION("""COMPUTED_VALUE"""),24.0)</f>
        <v>24</v>
      </c>
      <c r="L6158" s="17">
        <f>IFERROR(__xludf.DUMMYFUNCTION("""COMPUTED_VALUE"""),3.008032038E9)</f>
        <v>3008032038</v>
      </c>
      <c r="M6158" s="17" t="str">
        <f>IFERROR(__xludf.DUMMYFUNCTION("""COMPUTED_VALUE"""),"#REF!")</f>
        <v>#REF!</v>
      </c>
      <c r="N6158" s="17"/>
      <c r="O6158" s="17"/>
      <c r="P6158" s="17" t="b">
        <f>IFERROR(__xludf.DUMMYFUNCTION("""COMPUTED_VALUE"""),TRUE)</f>
        <v>1</v>
      </c>
      <c r="Q6158" s="20">
        <f>IFERROR(__xludf.DUMMYFUNCTION("""COMPUTED_VALUE"""),45179.04299707176)</f>
        <v>45179.043</v>
      </c>
      <c r="R6158" s="22" t="str">
        <f>IFERROR(__xludf.DUMMYFUNCTION("""COMPUTED_VALUE"""),"")</f>
        <v/>
      </c>
    </row>
    <row r="6159">
      <c r="A6159" s="15">
        <f>IFERROR(__xludf.DUMMYFUNCTION("""COMPUTED_VALUE"""),45177.0)</f>
        <v>45177</v>
      </c>
      <c r="B6159" s="16" t="str">
        <f>IFERROR(__xludf.DUMMYFUNCTION("""COMPUTED_VALUE"""),"Daniel José sandoval gonzalez")</f>
        <v>Daniel José sandoval gonzalez</v>
      </c>
      <c r="C6159" s="15" t="str">
        <f>IFERROR(__xludf.DUMMYFUNCTION("""COMPUTED_VALUE"""),"BARRANQUILLA")</f>
        <v>BARRANQUILLA</v>
      </c>
      <c r="D6159" s="15" t="str">
        <f>IFERROR(__xludf.DUMMYFUNCTION("""COMPUTED_VALUE"""),"MEDELLÍN")</f>
        <v>MEDELLÍN</v>
      </c>
      <c r="E6159" s="15" t="str">
        <f>IFERROR(__xludf.DUMMYFUNCTION("""COMPUTED_VALUE"""),"Rambla")</f>
        <v>Rambla</v>
      </c>
      <c r="F6159" s="17" t="str">
        <f>IFERROR(__xludf.DUMMYFUNCTION("""COMPUTED_VALUE"""),"CARRERA 74 #76-74 / - / -")</f>
        <v>CARRERA 74 #76-74 / - / -</v>
      </c>
      <c r="G6159" s="15" t="str">
        <f>IFERROR(__xludf.DUMMYFUNCTION("""COMPUTED_VALUE"""),"Fit Hub")</f>
        <v>Fit Hub</v>
      </c>
      <c r="H6159" s="16">
        <f>IFERROR(__xludf.DUMMYFUNCTION("""COMPUTED_VALUE"""),14888.0)</f>
        <v>14888</v>
      </c>
      <c r="I6159" s="18">
        <f>IFERROR(__xludf.DUMMYFUNCTION("""COMPUTED_VALUE"""),32.0)</f>
        <v>32</v>
      </c>
      <c r="J6159" s="18">
        <f>IFERROR(__xludf.DUMMYFUNCTION("""COMPUTED_VALUE"""),24.0)</f>
        <v>24</v>
      </c>
      <c r="K6159" s="18">
        <f>IFERROR(__xludf.DUMMYFUNCTION("""COMPUTED_VALUE"""),24.0)</f>
        <v>24</v>
      </c>
      <c r="L6159" s="17">
        <f>IFERROR(__xludf.DUMMYFUNCTION("""COMPUTED_VALUE"""),3.157039547E9)</f>
        <v>3157039547</v>
      </c>
      <c r="M6159" s="17" t="str">
        <f>IFERROR(__xludf.DUMMYFUNCTION("""COMPUTED_VALUE"""),"#REF!")</f>
        <v>#REF!</v>
      </c>
      <c r="N6159" s="17"/>
      <c r="O6159" s="17"/>
      <c r="P6159" s="17" t="b">
        <f>IFERROR(__xludf.DUMMYFUNCTION("""COMPUTED_VALUE"""),TRUE)</f>
        <v>1</v>
      </c>
      <c r="Q6159" s="20">
        <f>IFERROR(__xludf.DUMMYFUNCTION("""COMPUTED_VALUE"""),45179.04299707176)</f>
        <v>45179.043</v>
      </c>
      <c r="R6159" s="22" t="str">
        <f>IFERROR(__xludf.DUMMYFUNCTION("""COMPUTED_VALUE"""),"")</f>
        <v/>
      </c>
    </row>
    <row r="6160">
      <c r="A6160" s="17" t="str">
        <f>IFERROR(__xludf.DUMMYFUNCTION("""COMPUTED_VALUE"""),"")</f>
        <v/>
      </c>
      <c r="B6160" s="17" t="str">
        <f>IFERROR(__xludf.DUMMYFUNCTION("""COMPUTED_VALUE"""),"")</f>
        <v/>
      </c>
      <c r="C6160" s="17" t="str">
        <f>IFERROR(__xludf.DUMMYFUNCTION("""COMPUTED_VALUE"""),"")</f>
        <v/>
      </c>
      <c r="D6160" s="17" t="str">
        <f>IFERROR(__xludf.DUMMYFUNCTION("""COMPUTED_VALUE"""),"")</f>
        <v/>
      </c>
      <c r="E6160" s="17" t="str">
        <f>IFERROR(__xludf.DUMMYFUNCTION("""COMPUTED_VALUE"""),"")</f>
        <v/>
      </c>
      <c r="F6160" s="17" t="str">
        <f>IFERROR(__xludf.DUMMYFUNCTION("""COMPUTED_VALUE"""),"")</f>
        <v/>
      </c>
      <c r="G6160" s="17" t="str">
        <f>IFERROR(__xludf.DUMMYFUNCTION("""COMPUTED_VALUE"""),"")</f>
        <v/>
      </c>
      <c r="H6160" s="17" t="str">
        <f>IFERROR(__xludf.DUMMYFUNCTION("""COMPUTED_VALUE"""),"")</f>
        <v/>
      </c>
      <c r="I6160" s="17" t="str">
        <f>IFERROR(__xludf.DUMMYFUNCTION("""COMPUTED_VALUE"""),"")</f>
        <v/>
      </c>
      <c r="J6160" s="17" t="str">
        <f>IFERROR(__xludf.DUMMYFUNCTION("""COMPUTED_VALUE"""),"")</f>
        <v/>
      </c>
      <c r="K6160" s="17" t="str">
        <f>IFERROR(__xludf.DUMMYFUNCTION("""COMPUTED_VALUE"""),"")</f>
        <v/>
      </c>
      <c r="L6160" s="17" t="str">
        <f>IFERROR(__xludf.DUMMYFUNCTION("""COMPUTED_VALUE"""),"")</f>
        <v/>
      </c>
      <c r="M6160" s="17" t="str">
        <f>IFERROR(__xludf.DUMMYFUNCTION("""COMPUTED_VALUE"""),"")</f>
        <v/>
      </c>
      <c r="N6160" s="17" t="str">
        <f>IFERROR(__xludf.DUMMYFUNCTION("""COMPUTED_VALUE"""),"")</f>
        <v/>
      </c>
      <c r="O6160" s="17" t="str">
        <f>IFERROR(__xludf.DUMMYFUNCTION("""COMPUTED_VALUE"""),"")</f>
        <v/>
      </c>
      <c r="P6160" s="17" t="str">
        <f>IFERROR(__xludf.DUMMYFUNCTION("""COMPUTED_VALUE"""),"")</f>
        <v/>
      </c>
      <c r="Q6160" s="17" t="str">
        <f>IFERROR(__xludf.DUMMYFUNCTION("""COMPUTED_VALUE"""),"")</f>
        <v/>
      </c>
      <c r="R6160" s="17" t="str">
        <f>IFERROR(__xludf.DUMMYFUNCTION("""COMPUTED_VALUE"""),"")</f>
        <v/>
      </c>
    </row>
    <row r="6161">
      <c r="A6161" s="15">
        <f>IFERROR(__xludf.DUMMYFUNCTION("""COMPUTED_VALUE"""),45177.0)</f>
        <v>45177</v>
      </c>
      <c r="B6161" s="16" t="str">
        <f>IFERROR(__xludf.DUMMYFUNCTION("""COMPUTED_VALUE"""),"Envia")</f>
        <v>Envia</v>
      </c>
      <c r="C6161" s="15" t="str">
        <f>IFERROR(__xludf.DUMMYFUNCTION("""COMPUTED_VALUE"""),"ARMENIA")</f>
        <v>ARMENIA</v>
      </c>
      <c r="D6161" s="15" t="str">
        <f>IFERROR(__xludf.DUMMYFUNCTION("""COMPUTED_VALUE"""),"BUCARAMANGA")</f>
        <v>BUCARAMANGA</v>
      </c>
      <c r="E6161" s="15" t="str">
        <f>IFERROR(__xludf.DUMMYFUNCTION("""COMPUTED_VALUE"""),"Yo Como Solito")</f>
        <v>Yo Como Solito</v>
      </c>
      <c r="F6161" s="17" t="str">
        <f>IFERROR(__xludf.DUMMYFUNCTION("""COMPUTED_VALUE"""),"URBANIZACIÓN CONSOTA BLOQUE 3A APARTAMENTO 503  / URBANIZACIÓN CONSOTA BLOQUE 3A APARTAMENTO 503 / URBANIZACIÓN CONSOTA BLOQUE 3A APARTAMENTO 503")</f>
        <v>URBANIZACIÓN CONSOTA BLOQUE 3A APARTAMENTO 503  / URBANIZACIÓN CONSOTA BLOQUE 3A APARTAMENTO 503 / URBANIZACIÓN CONSOTA BLOQUE 3A APARTAMENTO 503</v>
      </c>
      <c r="G6161" s="15" t="str">
        <f>IFERROR(__xludf.DUMMYFUNCTION("""COMPUTED_VALUE"""),"KAREN LORENA MARTINEZ MOJICA")</f>
        <v>KAREN LORENA MARTINEZ MOJICA</v>
      </c>
      <c r="H6161" s="16">
        <f>IFERROR(__xludf.DUMMYFUNCTION("""COMPUTED_VALUE"""),14710.0)</f>
        <v>14710</v>
      </c>
      <c r="I6161" s="18">
        <f>IFERROR(__xludf.DUMMYFUNCTION("""COMPUTED_VALUE"""),12.0)</f>
        <v>12</v>
      </c>
      <c r="J6161" s="18">
        <f>IFERROR(__xludf.DUMMYFUNCTION("""COMPUTED_VALUE"""),26.0)</f>
        <v>26</v>
      </c>
      <c r="K6161" s="18">
        <f>IFERROR(__xludf.DUMMYFUNCTION("""COMPUTED_VALUE"""),23.0)</f>
        <v>23</v>
      </c>
      <c r="L6161" s="17">
        <f>IFERROR(__xludf.DUMMYFUNCTION("""COMPUTED_VALUE"""),3.202775686E9)</f>
        <v>3202775686</v>
      </c>
      <c r="M6161" s="17" t="str">
        <f>IFERROR(__xludf.DUMMYFUNCTION("""COMPUTED_VALUE"""),"#REF!")</f>
        <v>#REF!</v>
      </c>
      <c r="N6161" s="17"/>
      <c r="O6161" s="17"/>
      <c r="P6161" s="17" t="b">
        <f>IFERROR(__xludf.DUMMYFUNCTION("""COMPUTED_VALUE"""),TRUE)</f>
        <v>1</v>
      </c>
      <c r="Q6161" s="20">
        <f>IFERROR(__xludf.DUMMYFUNCTION("""COMPUTED_VALUE"""),45179.04299707176)</f>
        <v>45179.043</v>
      </c>
      <c r="R6161" s="22" t="str">
        <f>IFERROR(__xludf.DUMMYFUNCTION("""COMPUTED_VALUE"""),"")</f>
        <v/>
      </c>
    </row>
    <row r="6162">
      <c r="A6162" s="15">
        <f>IFERROR(__xludf.DUMMYFUNCTION("""COMPUTED_VALUE"""),45177.0)</f>
        <v>45177</v>
      </c>
      <c r="B6162" s="16" t="str">
        <f>IFERROR(__xludf.DUMMYFUNCTION("""COMPUTED_VALUE"""),"Envia")</f>
        <v>Envia</v>
      </c>
      <c r="C6162" s="15" t="str">
        <f>IFERROR(__xludf.DUMMYFUNCTION("""COMPUTED_VALUE"""),"BARRANQUILLA")</f>
        <v>BARRANQUILLA</v>
      </c>
      <c r="D6162" s="15" t="str">
        <f>IFERROR(__xludf.DUMMYFUNCTION("""COMPUTED_VALUE"""),"BOGOTÁ")</f>
        <v>BOGOTÁ</v>
      </c>
      <c r="E6162" s="15" t="str">
        <f>IFERROR(__xludf.DUMMYFUNCTION("""COMPUTED_VALUE"""),"Athenas")</f>
        <v>Athenas</v>
      </c>
      <c r="F6162" s="17" t="str">
        <f>IFERROR(__xludf.DUMMYFUNCTION("""COMPUTED_VALUE"""),"Carrera 53 # 79-279 edificio royal washinton 2 piso bodytech / Edificio royal cafetería bodytech Washington  / Washington")</f>
        <v>Carrera 53 # 79-279 edificio royal washinton 2 piso bodytech / Edificio royal cafetería bodytech Washington  / Washington</v>
      </c>
      <c r="G6162" s="15" t="str">
        <f>IFERROR(__xludf.DUMMYFUNCTION("""COMPUTED_VALUE"""),"Yaser Gutiérrez")</f>
        <v>Yaser Gutiérrez</v>
      </c>
      <c r="H6162" s="16">
        <f>IFERROR(__xludf.DUMMYFUNCTION("""COMPUTED_VALUE"""),14762.0)</f>
        <v>14762</v>
      </c>
      <c r="I6162" s="18">
        <f>IFERROR(__xludf.DUMMYFUNCTION("""COMPUTED_VALUE"""),55.0)</f>
        <v>55</v>
      </c>
      <c r="J6162" s="18">
        <f>IFERROR(__xludf.DUMMYFUNCTION("""COMPUTED_VALUE"""),45.0)</f>
        <v>45</v>
      </c>
      <c r="K6162" s="18">
        <f>IFERROR(__xludf.DUMMYFUNCTION("""COMPUTED_VALUE"""),29.0)</f>
        <v>29</v>
      </c>
      <c r="L6162" s="17">
        <f>IFERROR(__xludf.DUMMYFUNCTION("""COMPUTED_VALUE"""),3.106158334E9)</f>
        <v>3106158334</v>
      </c>
      <c r="M6162" s="17" t="str">
        <f>IFERROR(__xludf.DUMMYFUNCTION("""COMPUTED_VALUE"""),"#REF!")</f>
        <v>#REF!</v>
      </c>
      <c r="N6162" s="17"/>
      <c r="O6162" s="17"/>
      <c r="P6162" s="17" t="b">
        <f>IFERROR(__xludf.DUMMYFUNCTION("""COMPUTED_VALUE"""),FALSE)</f>
        <v>0</v>
      </c>
      <c r="Q6162" s="20" t="str">
        <f>IFERROR(__xludf.DUMMYFUNCTION("""COMPUTED_VALUE"""),"")</f>
        <v/>
      </c>
      <c r="R6162" s="22" t="str">
        <f>IFERROR(__xludf.DUMMYFUNCTION("""COMPUTED_VALUE"""),"")</f>
        <v/>
      </c>
    </row>
    <row r="6163">
      <c r="A6163" s="15">
        <f>IFERROR(__xludf.DUMMYFUNCTION("""COMPUTED_VALUE"""),45177.0)</f>
        <v>45177</v>
      </c>
      <c r="B6163" s="16" t="str">
        <f>IFERROR(__xludf.DUMMYFUNCTION("""COMPUTED_VALUE"""),"Envia")</f>
        <v>Envia</v>
      </c>
      <c r="C6163" s="15" t="str">
        <f>IFERROR(__xludf.DUMMYFUNCTION("""COMPUTED_VALUE"""),"BARRANQUILLA")</f>
        <v>BARRANQUILLA</v>
      </c>
      <c r="D6163" s="15" t="str">
        <f>IFERROR(__xludf.DUMMYFUNCTION("""COMPUTED_VALUE"""),"BOGOTÁ")</f>
        <v>BOGOTÁ</v>
      </c>
      <c r="E6163" s="15" t="str">
        <f>IFERROR(__xludf.DUMMYFUNCTION("""COMPUTED_VALUE"""),"Ventura Productos Arg")</f>
        <v>Ventura Productos Arg</v>
      </c>
      <c r="F6163" s="17" t="str">
        <f>IFERROR(__xludf.DUMMYFUNCTION("""COMPUTED_VALUE"""),"Cra 64B # 96A - 28 / Jardines de Tivoli, Apto 903D")</f>
        <v>Cra 64B # 96A - 28 / Jardines de Tivoli, Apto 903D</v>
      </c>
      <c r="G6163" s="15" t="str">
        <f>IFERROR(__xludf.DUMMYFUNCTION("""COMPUTED_VALUE"""),"Angélica Moscotes")</f>
        <v>Angélica Moscotes</v>
      </c>
      <c r="H6163" s="16">
        <f>IFERROR(__xludf.DUMMYFUNCTION("""COMPUTED_VALUE"""),14769.0)</f>
        <v>14769</v>
      </c>
      <c r="I6163" s="18">
        <f>IFERROR(__xludf.DUMMYFUNCTION("""COMPUTED_VALUE"""),3.0)</f>
        <v>3</v>
      </c>
      <c r="J6163" s="18">
        <f>IFERROR(__xludf.DUMMYFUNCTION("""COMPUTED_VALUE"""),45060.0)</f>
        <v>45060</v>
      </c>
      <c r="K6163" s="18">
        <f>IFERROR(__xludf.DUMMYFUNCTION("""COMPUTED_VALUE"""),22.0)</f>
        <v>22</v>
      </c>
      <c r="L6163" s="17">
        <f>IFERROR(__xludf.DUMMYFUNCTION("""COMPUTED_VALUE"""),3.156961879E9)</f>
        <v>3156961879</v>
      </c>
      <c r="M6163" s="17" t="str">
        <f>IFERROR(__xludf.DUMMYFUNCTION("""COMPUTED_VALUE"""),"#REF!")</f>
        <v>#REF!</v>
      </c>
      <c r="N6163" s="17"/>
      <c r="O6163" s="17"/>
      <c r="P6163" s="17" t="b">
        <f>IFERROR(__xludf.DUMMYFUNCTION("""COMPUTED_VALUE"""),FALSE)</f>
        <v>0</v>
      </c>
      <c r="Q6163" s="20" t="str">
        <f>IFERROR(__xludf.DUMMYFUNCTION("""COMPUTED_VALUE"""),"")</f>
        <v/>
      </c>
      <c r="R6163" s="21" t="str">
        <f>IFERROR(__xludf.DUMMYFUNCTION("""COMPUTED_VALUE"""),"https://drive.google.com/file/d/1AefLXsqqsf0BHKT-c_YzreB0sTNkiNu2/view?usp=drivesdk")</f>
        <v>https://drive.google.com/file/d/1AefLXsqqsf0BHKT-c_YzreB0sTNkiNu2/view?usp=drivesdk</v>
      </c>
    </row>
    <row r="6164">
      <c r="A6164" s="15">
        <f>IFERROR(__xludf.DUMMYFUNCTION("""COMPUTED_VALUE"""),45177.0)</f>
        <v>45177</v>
      </c>
      <c r="B6164" s="16" t="str">
        <f>IFERROR(__xludf.DUMMYFUNCTION("""COMPUTED_VALUE"""),"Envia")</f>
        <v>Envia</v>
      </c>
      <c r="C6164" s="15" t="str">
        <f>IFERROR(__xludf.DUMMYFUNCTION("""COMPUTED_VALUE"""),"BOGOTÁ")</f>
        <v>BOGOTÁ</v>
      </c>
      <c r="D6164" s="15" t="str">
        <f>IFERROR(__xludf.DUMMYFUNCTION("""COMPUTED_VALUE"""),"MEDELLÍN")</f>
        <v>MEDELLÍN</v>
      </c>
      <c r="E6164" s="15" t="str">
        <f>IFERROR(__xludf.DUMMYFUNCTION("""COMPUTED_VALUE"""),"El Molde")</f>
        <v>El Molde</v>
      </c>
      <c r="F6164" s="17" t="str">
        <f>IFERROR(__xludf.DUMMYFUNCTION("""COMPUTED_VALUE"""),"carrera 19 #85-93 / edificio Caminos de Santiago Apto 406")</f>
        <v>carrera 19 #85-93 / edificio Caminos de Santiago Apto 406</v>
      </c>
      <c r="G6164" s="15" t="str">
        <f>IFERROR(__xludf.DUMMYFUNCTION("""COMPUTED_VALUE"""),"Valentina Vélez Ochoa")</f>
        <v>Valentina Vélez Ochoa</v>
      </c>
      <c r="H6164" s="16">
        <f>IFERROR(__xludf.DUMMYFUNCTION("""COMPUTED_VALUE"""),14844.0)</f>
        <v>14844</v>
      </c>
      <c r="I6164" s="18">
        <f>IFERROR(__xludf.DUMMYFUNCTION("""COMPUTED_VALUE"""),5.0)</f>
        <v>5</v>
      </c>
      <c r="J6164" s="18">
        <f>IFERROR(__xludf.DUMMYFUNCTION("""COMPUTED_VALUE"""),12.0)</f>
        <v>12</v>
      </c>
      <c r="K6164" s="18">
        <f>IFERROR(__xludf.DUMMYFUNCTION("""COMPUTED_VALUE"""),45060.0)</f>
        <v>45060</v>
      </c>
      <c r="L6164" s="17">
        <f>IFERROR(__xludf.DUMMYFUNCTION("""COMPUTED_VALUE"""),3.212401643E9)</f>
        <v>3212401643</v>
      </c>
      <c r="M6164" s="17" t="str">
        <f>IFERROR(__xludf.DUMMYFUNCTION("""COMPUTED_VALUE"""),"#REF!")</f>
        <v>#REF!</v>
      </c>
      <c r="N6164" s="17"/>
      <c r="O6164" s="17"/>
      <c r="P6164" s="17" t="b">
        <f>IFERROR(__xludf.DUMMYFUNCTION("""COMPUTED_VALUE"""),FALSE)</f>
        <v>0</v>
      </c>
      <c r="Q6164" s="20" t="str">
        <f>IFERROR(__xludf.DUMMYFUNCTION("""COMPUTED_VALUE"""),"")</f>
        <v/>
      </c>
      <c r="R6164" s="21" t="str">
        <f>IFERROR(__xludf.DUMMYFUNCTION("""COMPUTED_VALUE"""),"https://drive.google.com/file/d/1jVqxw9riMe95Psrtn77QU-yeoa0po-Te/view?usp=drivesdk")</f>
        <v>https://drive.google.com/file/d/1jVqxw9riMe95Psrtn77QU-yeoa0po-Te/view?usp=drivesdk</v>
      </c>
    </row>
    <row r="6165">
      <c r="A6165" s="15">
        <f>IFERROR(__xludf.DUMMYFUNCTION("""COMPUTED_VALUE"""),45177.0)</f>
        <v>45177</v>
      </c>
      <c r="B6165" s="16" t="str">
        <f>IFERROR(__xludf.DUMMYFUNCTION("""COMPUTED_VALUE"""),"Envia")</f>
        <v>Envia</v>
      </c>
      <c r="C6165" s="15" t="str">
        <f>IFERROR(__xludf.DUMMYFUNCTION("""COMPUTED_VALUE"""),"BOGOTÁ")</f>
        <v>BOGOTÁ</v>
      </c>
      <c r="D6165" s="15" t="str">
        <f>IFERROR(__xludf.DUMMYFUNCTION("""COMPUTED_VALUE"""),"MEDELLÍN")</f>
        <v>MEDELLÍN</v>
      </c>
      <c r="E6165" s="15" t="str">
        <f>IFERROR(__xludf.DUMMYFUNCTION("""COMPUTED_VALUE"""),"Inv. Jelb")</f>
        <v>Inv. Jelb</v>
      </c>
      <c r="F6165" s="17" t="str">
        <f>IFERROR(__xludf.DUMMYFUNCTION("""COMPUTED_VALUE"""),"Kilometro 19 via la calera Sopo conjuntonresidencial la pradera  de potosi / Casa molino 17 / La calera")</f>
        <v>Kilometro 19 via la calera Sopo conjuntonresidencial la pradera  de potosi / Casa molino 17 / La calera</v>
      </c>
      <c r="G6165" s="15" t="str">
        <f>IFERROR(__xludf.DUMMYFUNCTION("""COMPUTED_VALUE"""),"Nicolas mejia")</f>
        <v>Nicolas mejia</v>
      </c>
      <c r="H6165" s="16">
        <f>IFERROR(__xludf.DUMMYFUNCTION("""COMPUTED_VALUE"""),14935.0)</f>
        <v>14935</v>
      </c>
      <c r="I6165" s="18">
        <f>IFERROR(__xludf.DUMMYFUNCTION("""COMPUTED_VALUE"""),21.0)</f>
        <v>21</v>
      </c>
      <c r="J6165" s="18">
        <f>IFERROR(__xludf.DUMMYFUNCTION("""COMPUTED_VALUE"""),30.0)</f>
        <v>30</v>
      </c>
      <c r="K6165" s="18">
        <f>IFERROR(__xludf.DUMMYFUNCTION("""COMPUTED_VALUE"""),50.0)</f>
        <v>50</v>
      </c>
      <c r="L6165" s="17">
        <f>IFERROR(__xludf.DUMMYFUNCTION("""COMPUTED_VALUE"""),3.158504792E9)</f>
        <v>3158504792</v>
      </c>
      <c r="M6165" s="17" t="str">
        <f>IFERROR(__xludf.DUMMYFUNCTION("""COMPUTED_VALUE"""),"#REF!")</f>
        <v>#REF!</v>
      </c>
      <c r="N6165" s="17"/>
      <c r="O6165" s="17"/>
      <c r="P6165" s="17" t="b">
        <f>IFERROR(__xludf.DUMMYFUNCTION("""COMPUTED_VALUE"""),FALSE)</f>
        <v>0</v>
      </c>
      <c r="Q6165" s="20" t="str">
        <f>IFERROR(__xludf.DUMMYFUNCTION("""COMPUTED_VALUE"""),"")</f>
        <v/>
      </c>
      <c r="R6165" s="22" t="str">
        <f>IFERROR(__xludf.DUMMYFUNCTION("""COMPUTED_VALUE"""),"")</f>
        <v/>
      </c>
    </row>
    <row r="6166">
      <c r="A6166" s="15">
        <f>IFERROR(__xludf.DUMMYFUNCTION("""COMPUTED_VALUE"""),45177.0)</f>
        <v>45177</v>
      </c>
      <c r="B6166" s="16" t="str">
        <f>IFERROR(__xludf.DUMMYFUNCTION("""COMPUTED_VALUE"""),"Envia")</f>
        <v>Envia</v>
      </c>
      <c r="C6166" s="15" t="str">
        <f>IFERROR(__xludf.DUMMYFUNCTION("""COMPUTED_VALUE"""),"BOGOTÁ")</f>
        <v>BOGOTÁ</v>
      </c>
      <c r="D6166" s="15" t="str">
        <f>IFERROR(__xludf.DUMMYFUNCTION("""COMPUTED_VALUE"""),"MEDELLÍN")</f>
        <v>MEDELLÍN</v>
      </c>
      <c r="E6166" s="15" t="str">
        <f>IFERROR(__xludf.DUMMYFUNCTION("""COMPUTED_VALUE"""),"Lácteos El Pino SAS")</f>
        <v>Lácteos El Pino SAS</v>
      </c>
      <c r="F6166" s="17" t="str">
        <f>IFERROR(__xludf.DUMMYFUNCTION("""COMPUTED_VALUE"""),"CALLE 93# 18 -81 / ENTREGAR EN EL LOCAL")</f>
        <v>CALLE 93# 18 -81 / ENTREGAR EN EL LOCAL</v>
      </c>
      <c r="G6166" s="15" t="str">
        <f>IFERROR(__xludf.DUMMYFUNCTION("""COMPUTED_VALUE"""),"KIM")</f>
        <v>KIM</v>
      </c>
      <c r="H6166" s="16">
        <f>IFERROR(__xludf.DUMMYFUNCTION("""COMPUTED_VALUE"""),14925.0)</f>
        <v>14925</v>
      </c>
      <c r="I6166" s="18">
        <f>IFERROR(__xludf.DUMMYFUNCTION("""COMPUTED_VALUE"""),33.0)</f>
        <v>33</v>
      </c>
      <c r="J6166" s="18">
        <f>IFERROR(__xludf.DUMMYFUNCTION("""COMPUTED_VALUE"""),22.0)</f>
        <v>22</v>
      </c>
      <c r="K6166" s="18">
        <f>IFERROR(__xludf.DUMMYFUNCTION("""COMPUTED_VALUE"""),36.0)</f>
        <v>36</v>
      </c>
      <c r="L6166" s="17">
        <f>IFERROR(__xludf.DUMMYFUNCTION("""COMPUTED_VALUE"""),3.24566062E9)</f>
        <v>3245660620</v>
      </c>
      <c r="M6166" s="17" t="str">
        <f>IFERROR(__xludf.DUMMYFUNCTION("""COMPUTED_VALUE"""),"#REF!")</f>
        <v>#REF!</v>
      </c>
      <c r="N6166" s="17"/>
      <c r="O6166" s="17"/>
      <c r="P6166" s="17" t="b">
        <f>IFERROR(__xludf.DUMMYFUNCTION("""COMPUTED_VALUE"""),FALSE)</f>
        <v>0</v>
      </c>
      <c r="Q6166" s="20" t="str">
        <f>IFERROR(__xludf.DUMMYFUNCTION("""COMPUTED_VALUE"""),"")</f>
        <v/>
      </c>
      <c r="R6166" s="22" t="str">
        <f>IFERROR(__xludf.DUMMYFUNCTION("""COMPUTED_VALUE"""),"")</f>
        <v/>
      </c>
    </row>
    <row r="6167">
      <c r="A6167" s="15">
        <f>IFERROR(__xludf.DUMMYFUNCTION("""COMPUTED_VALUE"""),45177.0)</f>
        <v>45177</v>
      </c>
      <c r="B6167" s="16" t="str">
        <f>IFERROR(__xludf.DUMMYFUNCTION("""COMPUTED_VALUE"""),"Envia")</f>
        <v>Envia</v>
      </c>
      <c r="C6167" s="15" t="str">
        <f>IFERROR(__xludf.DUMMYFUNCTION("""COMPUTED_VALUE"""),"BUCARAMANGA")</f>
        <v>BUCARAMANGA</v>
      </c>
      <c r="D6167" s="15" t="str">
        <f>IFERROR(__xludf.DUMMYFUNCTION("""COMPUTED_VALUE"""),"MEDELLÍN")</f>
        <v>MEDELLÍN</v>
      </c>
      <c r="E6167" s="15" t="str">
        <f>IFERROR(__xludf.DUMMYFUNCTION("""COMPUTED_VALUE"""),"Baby Chef")</f>
        <v>Baby Chef</v>
      </c>
      <c r="F6167" s="17" t="str">
        <f>IFERROR(__xludf.DUMMYFUNCTION("""COMPUTED_VALUE"""),"Clle 58 diagonal 15-36 apto 1409 torre 3 edificio puerta mayor Bucaramanga  Barrio ricaute / Clle 58 diagonal 15-36 apto 1409 torre 3 edificio puerta mayor Bucaramanga  Barrio ricaute / Clle 58 diagonal 15-36 apto 1409 torre 3 edificio puerta mayor Bucara"&amp;"manga  Barrio ricaute")</f>
        <v>Clle 58 diagonal 15-36 apto 1409 torre 3 edificio puerta mayor Bucaramanga  Barrio ricaute / Clle 58 diagonal 15-36 apto 1409 torre 3 edificio puerta mayor Bucaramanga  Barrio ricaute / Clle 58 diagonal 15-36 apto 1409 torre 3 edificio puerta mayor Bucaramanga  Barrio ricaute</v>
      </c>
      <c r="G6167" s="15" t="str">
        <f>IFERROR(__xludf.DUMMYFUNCTION("""COMPUTED_VALUE"""),"Andrea Melissa daza royero")</f>
        <v>Andrea Melissa daza royero</v>
      </c>
      <c r="H6167" s="16">
        <f>IFERROR(__xludf.DUMMYFUNCTION("""COMPUTED_VALUE"""),14944.0)</f>
        <v>14944</v>
      </c>
      <c r="I6167" s="18">
        <f>IFERROR(__xludf.DUMMYFUNCTION("""COMPUTED_VALUE"""),7.0)</f>
        <v>7</v>
      </c>
      <c r="J6167" s="18">
        <f>IFERROR(__xludf.DUMMYFUNCTION("""COMPUTED_VALUE"""),22.0)</f>
        <v>22</v>
      </c>
      <c r="K6167" s="18">
        <f>IFERROR(__xludf.DUMMYFUNCTION("""COMPUTED_VALUE"""),35.0)</f>
        <v>35</v>
      </c>
      <c r="L6167" s="17">
        <f>IFERROR(__xludf.DUMMYFUNCTION("""COMPUTED_VALUE"""),3.158145727E9)</f>
        <v>3158145727</v>
      </c>
      <c r="M6167" s="17" t="str">
        <f>IFERROR(__xludf.DUMMYFUNCTION("""COMPUTED_VALUE"""),"#REF!")</f>
        <v>#REF!</v>
      </c>
      <c r="N6167" s="17"/>
      <c r="O6167" s="17"/>
      <c r="P6167" s="17" t="b">
        <f>IFERROR(__xludf.DUMMYFUNCTION("""COMPUTED_VALUE"""),FALSE)</f>
        <v>0</v>
      </c>
      <c r="Q6167" s="20" t="str">
        <f>IFERROR(__xludf.DUMMYFUNCTION("""COMPUTED_VALUE"""),"")</f>
        <v/>
      </c>
      <c r="R6167" s="22" t="str">
        <f>IFERROR(__xludf.DUMMYFUNCTION("""COMPUTED_VALUE"""),"")</f>
        <v/>
      </c>
    </row>
    <row r="6168">
      <c r="A6168" s="15">
        <f>IFERROR(__xludf.DUMMYFUNCTION("""COMPUTED_VALUE"""),45177.0)</f>
        <v>45177</v>
      </c>
      <c r="B6168" s="16" t="str">
        <f>IFERROR(__xludf.DUMMYFUNCTION("""COMPUTED_VALUE"""),"Envia")</f>
        <v>Envia</v>
      </c>
      <c r="C6168" s="15" t="str">
        <f>IFERROR(__xludf.DUMMYFUNCTION("""COMPUTED_VALUE"""),"CALI")</f>
        <v>CALI</v>
      </c>
      <c r="D6168" s="15" t="str">
        <f>IFERROR(__xludf.DUMMYFUNCTION("""COMPUTED_VALUE"""),"BOGOTÁ")</f>
        <v>BOGOTÁ</v>
      </c>
      <c r="E6168" s="15" t="str">
        <f>IFERROR(__xludf.DUMMYFUNCTION("""COMPUTED_VALUE"""),"Renata")</f>
        <v>Renata</v>
      </c>
      <c r="F6168" s="17" t="str">
        <f>IFERROR(__xludf.DUMMYFUNCTION("""COMPUTED_VALUE"""),"Carrera 3#3a-83 / Patio 34 food containers -restaurante  / San Fernando")</f>
        <v>Carrera 3#3a-83 / Patio 34 food containers -restaurante  / San Fernando</v>
      </c>
      <c r="G6168" s="15" t="str">
        <f>IFERROR(__xludf.DUMMYFUNCTION("""COMPUTED_VALUE"""),"Retaco sas")</f>
        <v>Retaco sas</v>
      </c>
      <c r="H6168" s="16">
        <f>IFERROR(__xludf.DUMMYFUNCTION("""COMPUTED_VALUE"""),14933.0)</f>
        <v>14933</v>
      </c>
      <c r="I6168" s="18">
        <f>IFERROR(__xludf.DUMMYFUNCTION("""COMPUTED_VALUE"""),90.0)</f>
        <v>90</v>
      </c>
      <c r="J6168" s="18">
        <f>IFERROR(__xludf.DUMMYFUNCTION("""COMPUTED_VALUE"""),70.0)</f>
        <v>70</v>
      </c>
      <c r="K6168" s="18">
        <f>IFERROR(__xludf.DUMMYFUNCTION("""COMPUTED_VALUE"""),60.0)</f>
        <v>60</v>
      </c>
      <c r="L6168" s="17">
        <f>IFERROR(__xludf.DUMMYFUNCTION("""COMPUTED_VALUE"""),3.134720976E9)</f>
        <v>3134720976</v>
      </c>
      <c r="M6168" s="17" t="str">
        <f>IFERROR(__xludf.DUMMYFUNCTION("""COMPUTED_VALUE"""),"#REF!")</f>
        <v>#REF!</v>
      </c>
      <c r="N6168" s="17"/>
      <c r="O6168" s="17"/>
      <c r="P6168" s="17" t="b">
        <f>IFERROR(__xludf.DUMMYFUNCTION("""COMPUTED_VALUE"""),FALSE)</f>
        <v>0</v>
      </c>
      <c r="Q6168" s="20" t="str">
        <f>IFERROR(__xludf.DUMMYFUNCTION("""COMPUTED_VALUE"""),"")</f>
        <v/>
      </c>
      <c r="R6168" s="22" t="str">
        <f>IFERROR(__xludf.DUMMYFUNCTION("""COMPUTED_VALUE"""),"")</f>
        <v/>
      </c>
    </row>
    <row r="6169">
      <c r="A6169" s="15">
        <f>IFERROR(__xludf.DUMMYFUNCTION("""COMPUTED_VALUE"""),45177.0)</f>
        <v>45177</v>
      </c>
      <c r="B6169" s="16" t="str">
        <f>IFERROR(__xludf.DUMMYFUNCTION("""COMPUTED_VALUE"""),"Envia")</f>
        <v>Envia</v>
      </c>
      <c r="C6169" s="15" t="str">
        <f>IFERROR(__xludf.DUMMYFUNCTION("""COMPUTED_VALUE"""),"CALI")</f>
        <v>CALI</v>
      </c>
      <c r="D6169" s="15" t="str">
        <f>IFERROR(__xludf.DUMMYFUNCTION("""COMPUTED_VALUE"""),"BOGOTÁ")</f>
        <v>BOGOTÁ</v>
      </c>
      <c r="E6169" s="15" t="str">
        <f>IFERROR(__xludf.DUMMYFUNCTION("""COMPUTED_VALUE"""),"Yo Como Solito")</f>
        <v>Yo Como Solito</v>
      </c>
      <c r="F6169" s="17" t="str">
        <f>IFERROR(__xludf.DUMMYFUNCTION("""COMPUTED_VALUE"""),"Carrera 26 i # 50-11 B / nueva floresta -casa -piso 2 / Carrera 26 i # 50-11 B / nueva floresta -casa -piso 2 / Carrera 26 i # 50-11 B / nueva floresta -casa -piso 2")</f>
        <v>Carrera 26 i # 50-11 B / nueva floresta -casa -piso 2 / Carrera 26 i # 50-11 B / nueva floresta -casa -piso 2 / Carrera 26 i # 50-11 B / nueva floresta -casa -piso 2</v>
      </c>
      <c r="G6169" s="15" t="str">
        <f>IFERROR(__xludf.DUMMYFUNCTION("""COMPUTED_VALUE"""),"ELIANA ALVAREZ")</f>
        <v>ELIANA ALVAREZ</v>
      </c>
      <c r="H6169" s="16">
        <f>IFERROR(__xludf.DUMMYFUNCTION("""COMPUTED_VALUE"""),14920.0)</f>
        <v>14920</v>
      </c>
      <c r="I6169" s="18">
        <f>IFERROR(__xludf.DUMMYFUNCTION("""COMPUTED_VALUE"""),18.0)</f>
        <v>18</v>
      </c>
      <c r="J6169" s="18">
        <f>IFERROR(__xludf.DUMMYFUNCTION("""COMPUTED_VALUE"""),27.0)</f>
        <v>27</v>
      </c>
      <c r="K6169" s="18">
        <f>IFERROR(__xludf.DUMMYFUNCTION("""COMPUTED_VALUE"""),35.0)</f>
        <v>35</v>
      </c>
      <c r="L6169" s="17">
        <f>IFERROR(__xludf.DUMMYFUNCTION("""COMPUTED_VALUE"""),3.164048865E9)</f>
        <v>3164048865</v>
      </c>
      <c r="M6169" s="17" t="str">
        <f>IFERROR(__xludf.DUMMYFUNCTION("""COMPUTED_VALUE"""),"#REF!")</f>
        <v>#REF!</v>
      </c>
      <c r="N6169" s="17"/>
      <c r="O6169" s="17"/>
      <c r="P6169" s="17" t="b">
        <f>IFERROR(__xludf.DUMMYFUNCTION("""COMPUTED_VALUE"""),FALSE)</f>
        <v>0</v>
      </c>
      <c r="Q6169" s="20" t="str">
        <f>IFERROR(__xludf.DUMMYFUNCTION("""COMPUTED_VALUE"""),"")</f>
        <v/>
      </c>
      <c r="R6169" s="22" t="str">
        <f>IFERROR(__xludf.DUMMYFUNCTION("""COMPUTED_VALUE"""),"")</f>
        <v/>
      </c>
    </row>
    <row r="6170">
      <c r="A6170" s="15">
        <f>IFERROR(__xludf.DUMMYFUNCTION("""COMPUTED_VALUE"""),45177.0)</f>
        <v>45177</v>
      </c>
      <c r="B6170" s="16" t="str">
        <f>IFERROR(__xludf.DUMMYFUNCTION("""COMPUTED_VALUE"""),"Envia")</f>
        <v>Envia</v>
      </c>
      <c r="C6170" s="15" t="str">
        <f>IFERROR(__xludf.DUMMYFUNCTION("""COMPUTED_VALUE"""),"CHÍA")</f>
        <v>CHÍA</v>
      </c>
      <c r="D6170" s="15" t="str">
        <f>IFERROR(__xludf.DUMMYFUNCTION("""COMPUTED_VALUE"""),"MEDELLÍN")</f>
        <v>MEDELLÍN</v>
      </c>
      <c r="E6170" s="15" t="str">
        <f>IFERROR(__xludf.DUMMYFUNCTION("""COMPUTED_VALUE"""),"Rambla")</f>
        <v>Rambla</v>
      </c>
      <c r="F6170" s="17" t="str">
        <f>IFERROR(__xludf.DUMMYFUNCTION("""COMPUTED_VALUE"""),"Km 1.5 via Chia Cajica 100 mts antes de Fontanar / - / -")</f>
        <v>Km 1.5 via Chia Cajica 100 mts antes de Fontanar / - / -</v>
      </c>
      <c r="G6170" s="15" t="str">
        <f>IFERROR(__xludf.DUMMYFUNCTION("""COMPUTED_VALUE"""),"The Choice")</f>
        <v>The Choice</v>
      </c>
      <c r="H6170" s="16">
        <f>IFERROR(__xludf.DUMMYFUNCTION("""COMPUTED_VALUE"""),14945.0)</f>
        <v>14945</v>
      </c>
      <c r="I6170" s="18">
        <f>IFERROR(__xludf.DUMMYFUNCTION("""COMPUTED_VALUE"""),24.0)</f>
        <v>24</v>
      </c>
      <c r="J6170" s="18">
        <f>IFERROR(__xludf.DUMMYFUNCTION("""COMPUTED_VALUE"""),26.0)</f>
        <v>26</v>
      </c>
      <c r="K6170" s="18">
        <f>IFERROR(__xludf.DUMMYFUNCTION("""COMPUTED_VALUE"""),30.0)</f>
        <v>30</v>
      </c>
      <c r="L6170" s="17">
        <f>IFERROR(__xludf.DUMMYFUNCTION("""COMPUTED_VALUE"""),3.212415592E9)</f>
        <v>3212415592</v>
      </c>
      <c r="M6170" s="17" t="str">
        <f>IFERROR(__xludf.DUMMYFUNCTION("""COMPUTED_VALUE"""),"#REF!")</f>
        <v>#REF!</v>
      </c>
      <c r="N6170" s="17"/>
      <c r="O6170" s="17"/>
      <c r="P6170" s="17" t="b">
        <f>IFERROR(__xludf.DUMMYFUNCTION("""COMPUTED_VALUE"""),FALSE)</f>
        <v>0</v>
      </c>
      <c r="Q6170" s="20" t="str">
        <f>IFERROR(__xludf.DUMMYFUNCTION("""COMPUTED_VALUE"""),"")</f>
        <v/>
      </c>
      <c r="R6170" s="21" t="str">
        <f>IFERROR(__xludf.DUMMYFUNCTION("""COMPUTED_VALUE"""),"https://drive.google.com/file/d/1CQNuBXhEL8IIDQFc8eAUVdUZPS6Mb-HK/view?usp=drivesdk")</f>
        <v>https://drive.google.com/file/d/1CQNuBXhEL8IIDQFc8eAUVdUZPS6Mb-HK/view?usp=drivesdk</v>
      </c>
    </row>
    <row r="6171">
      <c r="A6171" s="15">
        <f>IFERROR(__xludf.DUMMYFUNCTION("""COMPUTED_VALUE"""),45177.0)</f>
        <v>45177</v>
      </c>
      <c r="B6171" s="16" t="str">
        <f>IFERROR(__xludf.DUMMYFUNCTION("""COMPUTED_VALUE"""),"Envia")</f>
        <v>Envia</v>
      </c>
      <c r="C6171" s="15" t="str">
        <f>IFERROR(__xludf.DUMMYFUNCTION("""COMPUTED_VALUE"""),"CÚCUTA")</f>
        <v>CÚCUTA</v>
      </c>
      <c r="D6171" s="15" t="str">
        <f>IFERROR(__xludf.DUMMYFUNCTION("""COMPUTED_VALUE"""),"BOGOTÁ")</f>
        <v>BOGOTÁ</v>
      </c>
      <c r="E6171" s="15" t="str">
        <f>IFERROR(__xludf.DUMMYFUNCTION("""COMPUTED_VALUE"""),"Asociacion Agropecuaria Juana Maria")</f>
        <v>Asociacion Agropecuaria Juana Maria</v>
      </c>
      <c r="F6171" s="17" t="str">
        <f>IFERROR(__xludf.DUMMYFUNCTION("""COMPUTED_VALUE"""),"AV. 2E # 15 A -17   PISTACHO FIT MARKET BARRIO CAOBOS")</f>
        <v>AV. 2E # 15 A -17   PISTACHO FIT MARKET BARRIO CAOBOS</v>
      </c>
      <c r="G6171" s="15" t="str">
        <f>IFERROR(__xludf.DUMMYFUNCTION("""COMPUTED_VALUE"""),"DACCY KARINA LOPEZ")</f>
        <v>DACCY KARINA LOPEZ</v>
      </c>
      <c r="H6171" s="16">
        <f>IFERROR(__xludf.DUMMYFUNCTION("""COMPUTED_VALUE"""),14677.0)</f>
        <v>14677</v>
      </c>
      <c r="I6171" s="18">
        <f>IFERROR(__xludf.DUMMYFUNCTION("""COMPUTED_VALUE"""),21.0)</f>
        <v>21</v>
      </c>
      <c r="J6171" s="18">
        <f>IFERROR(__xludf.DUMMYFUNCTION("""COMPUTED_VALUE"""),37.0)</f>
        <v>37</v>
      </c>
      <c r="K6171" s="18">
        <f>IFERROR(__xludf.DUMMYFUNCTION("""COMPUTED_VALUE"""),30.0)</f>
        <v>30</v>
      </c>
      <c r="L6171" s="17">
        <f>IFERROR(__xludf.DUMMYFUNCTION("""COMPUTED_VALUE"""),3.208615379E9)</f>
        <v>3208615379</v>
      </c>
      <c r="M6171" s="17" t="str">
        <f>IFERROR(__xludf.DUMMYFUNCTION("""COMPUTED_VALUE"""),"#REF!")</f>
        <v>#REF!</v>
      </c>
      <c r="N6171" s="17"/>
      <c r="O6171" s="17"/>
      <c r="P6171" s="17" t="b">
        <f>IFERROR(__xludf.DUMMYFUNCTION("""COMPUTED_VALUE"""),FALSE)</f>
        <v>0</v>
      </c>
      <c r="Q6171" s="20" t="str">
        <f>IFERROR(__xludf.DUMMYFUNCTION("""COMPUTED_VALUE"""),"")</f>
        <v/>
      </c>
      <c r="R6171" s="22" t="str">
        <f>IFERROR(__xludf.DUMMYFUNCTION("""COMPUTED_VALUE"""),"")</f>
        <v/>
      </c>
    </row>
    <row r="6172">
      <c r="A6172" s="15">
        <f>IFERROR(__xludf.DUMMYFUNCTION("""COMPUTED_VALUE"""),45177.0)</f>
        <v>45177</v>
      </c>
      <c r="B6172" s="16" t="str">
        <f>IFERROR(__xludf.DUMMYFUNCTION("""COMPUTED_VALUE"""),"Envia")</f>
        <v>Envia</v>
      </c>
      <c r="C6172" s="15" t="str">
        <f>IFERROR(__xludf.DUMMYFUNCTION("""COMPUTED_VALUE"""),"CÚCUTA")</f>
        <v>CÚCUTA</v>
      </c>
      <c r="D6172" s="15" t="str">
        <f>IFERROR(__xludf.DUMMYFUNCTION("""COMPUTED_VALUE"""),"MEDELLÍN")</f>
        <v>MEDELLÍN</v>
      </c>
      <c r="E6172" s="15" t="str">
        <f>IFERROR(__xludf.DUMMYFUNCTION("""COMPUTED_VALUE"""),"Baby Chef")</f>
        <v>Baby Chef</v>
      </c>
      <c r="F6172" s="17" t="str">
        <f>IFERROR(__xludf.DUMMYFUNCTION("""COMPUTED_VALUE"""),"Av.5 Bis #9-26 prados del este. Conjunto Callejas del este A, casa B3. Cúcuta / Av.5 Bis #9-26 prados del este. Conjunto Callejas del este A, casa B3. Cúcuta / Av.5 Bis #9-26 prados del este. Conjunto Callejas del este A, casa B3. Cúcuta")</f>
        <v>Av.5 Bis #9-26 prados del este. Conjunto Callejas del este A, casa B3. Cúcuta / Av.5 Bis #9-26 prados del este. Conjunto Callejas del este A, casa B3. Cúcuta / Av.5 Bis #9-26 prados del este. Conjunto Callejas del este A, casa B3. Cúcuta</v>
      </c>
      <c r="G6172" s="15" t="str">
        <f>IFERROR(__xludf.DUMMYFUNCTION("""COMPUTED_VALUE"""),"Stephany Carreño")</f>
        <v>Stephany Carreño</v>
      </c>
      <c r="H6172" s="16">
        <f>IFERROR(__xludf.DUMMYFUNCTION("""COMPUTED_VALUE"""),14863.0)</f>
        <v>14863</v>
      </c>
      <c r="I6172" s="18">
        <f>IFERROR(__xludf.DUMMYFUNCTION("""COMPUTED_VALUE"""),11.0)</f>
        <v>11</v>
      </c>
      <c r="J6172" s="18">
        <f>IFERROR(__xludf.DUMMYFUNCTION("""COMPUTED_VALUE"""),21.0)</f>
        <v>21</v>
      </c>
      <c r="K6172" s="18">
        <f>IFERROR(__xludf.DUMMYFUNCTION("""COMPUTED_VALUE"""),35.0)</f>
        <v>35</v>
      </c>
      <c r="L6172" s="17">
        <f>IFERROR(__xludf.DUMMYFUNCTION("""COMPUTED_VALUE"""),3.004417055E9)</f>
        <v>3004417055</v>
      </c>
      <c r="M6172" s="17" t="str">
        <f>IFERROR(__xludf.DUMMYFUNCTION("""COMPUTED_VALUE"""),"#REF!")</f>
        <v>#REF!</v>
      </c>
      <c r="N6172" s="17"/>
      <c r="O6172" s="17"/>
      <c r="P6172" s="17" t="b">
        <f>IFERROR(__xludf.DUMMYFUNCTION("""COMPUTED_VALUE"""),FALSE)</f>
        <v>0</v>
      </c>
      <c r="Q6172" s="20" t="str">
        <f>IFERROR(__xludf.DUMMYFUNCTION("""COMPUTED_VALUE"""),"")</f>
        <v/>
      </c>
      <c r="R6172" s="22" t="str">
        <f>IFERROR(__xludf.DUMMYFUNCTION("""COMPUTED_VALUE"""),"")</f>
        <v/>
      </c>
    </row>
    <row r="6173">
      <c r="A6173" s="15">
        <f>IFERROR(__xludf.DUMMYFUNCTION("""COMPUTED_VALUE"""),45177.0)</f>
        <v>45177</v>
      </c>
      <c r="B6173" s="16" t="str">
        <f>IFERROR(__xludf.DUMMYFUNCTION("""COMPUTED_VALUE"""),"Envia")</f>
        <v>Envia</v>
      </c>
      <c r="C6173" s="15" t="str">
        <f>IFERROR(__xludf.DUMMYFUNCTION("""COMPUTED_VALUE"""),"CÚCUTA")</f>
        <v>CÚCUTA</v>
      </c>
      <c r="D6173" s="15" t="str">
        <f>IFERROR(__xludf.DUMMYFUNCTION("""COMPUTED_VALUE"""),"MEDELLÍN")</f>
        <v>MEDELLÍN</v>
      </c>
      <c r="E6173" s="15" t="str">
        <f>IFERROR(__xludf.DUMMYFUNCTION("""COMPUTED_VALUE"""),"Moloso S.A.S")</f>
        <v>Moloso S.A.S</v>
      </c>
      <c r="F6173" s="17" t="str">
        <f>IFERROR(__xludf.DUMMYFUNCTION("""COMPUTED_VALUE"""),"CL 7 18 09 / ASTURIAS TORRES AP 402 TORRE A")</f>
        <v>CL 7 18 09 / ASTURIAS TORRES AP 402 TORRE A</v>
      </c>
      <c r="G6173" s="15" t="str">
        <f>IFERROR(__xludf.DUMMYFUNCTION("""COMPUTED_VALUE"""),"GENESIS VICTORIA MELENDEZ")</f>
        <v>GENESIS VICTORIA MELENDEZ</v>
      </c>
      <c r="H6173" s="16">
        <f>IFERROR(__xludf.DUMMYFUNCTION("""COMPUTED_VALUE"""),14854.0)</f>
        <v>14854</v>
      </c>
      <c r="I6173" s="18">
        <f>IFERROR(__xludf.DUMMYFUNCTION("""COMPUTED_VALUE"""),17.0)</f>
        <v>17</v>
      </c>
      <c r="J6173" s="18">
        <f>IFERROR(__xludf.DUMMYFUNCTION("""COMPUTED_VALUE"""),15.0)</f>
        <v>15</v>
      </c>
      <c r="K6173" s="18">
        <f>IFERROR(__xludf.DUMMYFUNCTION("""COMPUTED_VALUE"""),28.0)</f>
        <v>28</v>
      </c>
      <c r="L6173" s="17" t="str">
        <f>IFERROR(__xludf.DUMMYFUNCTION("""COMPUTED_VALUE"""),"317 3835451")</f>
        <v>317 3835451</v>
      </c>
      <c r="M6173" s="17" t="str">
        <f>IFERROR(__xludf.DUMMYFUNCTION("""COMPUTED_VALUE"""),"#REF!")</f>
        <v>#REF!</v>
      </c>
      <c r="N6173" s="17"/>
      <c r="O6173" s="17"/>
      <c r="P6173" s="17" t="b">
        <f>IFERROR(__xludf.DUMMYFUNCTION("""COMPUTED_VALUE"""),FALSE)</f>
        <v>0</v>
      </c>
      <c r="Q6173" s="20" t="str">
        <f>IFERROR(__xludf.DUMMYFUNCTION("""COMPUTED_VALUE"""),"")</f>
        <v/>
      </c>
      <c r="R6173" s="22" t="str">
        <f>IFERROR(__xludf.DUMMYFUNCTION("""COMPUTED_VALUE"""),"")</f>
        <v/>
      </c>
    </row>
    <row r="6174">
      <c r="A6174" s="15">
        <f>IFERROR(__xludf.DUMMYFUNCTION("""COMPUTED_VALUE"""),45177.0)</f>
        <v>45177</v>
      </c>
      <c r="B6174" s="16" t="str">
        <f>IFERROR(__xludf.DUMMYFUNCTION("""COMPUTED_VALUE"""),"Envia")</f>
        <v>Envia</v>
      </c>
      <c r="C6174" s="15" t="str">
        <f>IFERROR(__xludf.DUMMYFUNCTION("""COMPUTED_VALUE"""),"MEDELLÍN")</f>
        <v>MEDELLÍN</v>
      </c>
      <c r="D6174" s="15" t="str">
        <f>IFERROR(__xludf.DUMMYFUNCTION("""COMPUTED_VALUE"""),"BOGOTÁ")</f>
        <v>BOGOTÁ</v>
      </c>
      <c r="E6174" s="15" t="str">
        <f>IFERROR(__xludf.DUMMYFUNCTION("""COMPUTED_VALUE"""),"Loomifoods")</f>
        <v>Loomifoods</v>
      </c>
      <c r="F6174" s="17" t="str">
        <f>IFERROR(__xludf.DUMMYFUNCTION("""COMPUTED_VALUE"""),"calle 41 no. 97 -39 / interior 101 / edificio san javier")</f>
        <v>calle 41 no. 97 -39 / interior 101 / edificio san javier</v>
      </c>
      <c r="G6174" s="15" t="str">
        <f>IFERROR(__xludf.DUMMYFUNCTION("""COMPUTED_VALUE"""),"Tatiana Oquendo")</f>
        <v>Tatiana Oquendo</v>
      </c>
      <c r="H6174" s="16">
        <f>IFERROR(__xludf.DUMMYFUNCTION("""COMPUTED_VALUE"""),14914.0)</f>
        <v>14914</v>
      </c>
      <c r="I6174" s="18">
        <f>IFERROR(__xludf.DUMMYFUNCTION("""COMPUTED_VALUE"""),19.0)</f>
        <v>19</v>
      </c>
      <c r="J6174" s="18">
        <f>IFERROR(__xludf.DUMMYFUNCTION("""COMPUTED_VALUE"""),10.0)</f>
        <v>10</v>
      </c>
      <c r="K6174" s="18">
        <f>IFERROR(__xludf.DUMMYFUNCTION("""COMPUTED_VALUE"""),16.0)</f>
        <v>16</v>
      </c>
      <c r="L6174" s="17">
        <f>IFERROR(__xludf.DUMMYFUNCTION("""COMPUTED_VALUE"""),3.148923472E9)</f>
        <v>3148923472</v>
      </c>
      <c r="M6174" s="17" t="str">
        <f>IFERROR(__xludf.DUMMYFUNCTION("""COMPUTED_VALUE"""),"#REF!")</f>
        <v>#REF!</v>
      </c>
      <c r="N6174" s="17"/>
      <c r="O6174" s="17"/>
      <c r="P6174" s="17" t="b">
        <f>IFERROR(__xludf.DUMMYFUNCTION("""COMPUTED_VALUE"""),FALSE)</f>
        <v>0</v>
      </c>
      <c r="Q6174" s="20" t="str">
        <f>IFERROR(__xludf.DUMMYFUNCTION("""COMPUTED_VALUE"""),"")</f>
        <v/>
      </c>
      <c r="R6174" s="21" t="str">
        <f>IFERROR(__xludf.DUMMYFUNCTION("""COMPUTED_VALUE"""),"https://drive.google.com/file/d/1Ie5r3Qns-CLfkW1uwMvd8eUX7koKTlr7/view?usp=drivesdk")</f>
        <v>https://drive.google.com/file/d/1Ie5r3Qns-CLfkW1uwMvd8eUX7koKTlr7/view?usp=drivesdk</v>
      </c>
    </row>
    <row r="6175">
      <c r="A6175" s="15">
        <f>IFERROR(__xludf.DUMMYFUNCTION("""COMPUTED_VALUE"""),45177.0)</f>
        <v>45177</v>
      </c>
      <c r="B6175" s="16" t="str">
        <f>IFERROR(__xludf.DUMMYFUNCTION("""COMPUTED_VALUE"""),"Envia")</f>
        <v>Envia</v>
      </c>
      <c r="C6175" s="15" t="str">
        <f>IFERROR(__xludf.DUMMYFUNCTION("""COMPUTED_VALUE"""),"MEDELLÍN")</f>
        <v>MEDELLÍN</v>
      </c>
      <c r="D6175" s="15" t="str">
        <f>IFERROR(__xludf.DUMMYFUNCTION("""COMPUTED_VALUE"""),"BOGOTÁ")</f>
        <v>BOGOTÁ</v>
      </c>
      <c r="E6175" s="15" t="str">
        <f>IFERROR(__xludf.DUMMYFUNCTION("""COMPUTED_VALUE"""),"MAI ALIMENTOS S.A.S")</f>
        <v>MAI ALIMENTOS S.A.S</v>
      </c>
      <c r="F6175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6175" s="15" t="str">
        <f>IFERROR(__xludf.DUMMYFUNCTION("""COMPUTED_VALUE"""),"Novaventas")</f>
        <v>Novaventas</v>
      </c>
      <c r="H6175" s="16">
        <f>IFERROR(__xludf.DUMMYFUNCTION("""COMPUTED_VALUE"""),14774.0)</f>
        <v>14774</v>
      </c>
      <c r="I6175" s="18">
        <f>IFERROR(__xludf.DUMMYFUNCTION("""COMPUTED_VALUE"""),35.0)</f>
        <v>35</v>
      </c>
      <c r="J6175" s="18">
        <f>IFERROR(__xludf.DUMMYFUNCTION("""COMPUTED_VALUE"""),17.0)</f>
        <v>17</v>
      </c>
      <c r="K6175" s="18">
        <f>IFERROR(__xludf.DUMMYFUNCTION("""COMPUTED_VALUE"""),13.0)</f>
        <v>13</v>
      </c>
      <c r="L6175" s="17"/>
      <c r="M6175" s="17" t="str">
        <f>IFERROR(__xludf.DUMMYFUNCTION("""COMPUTED_VALUE"""),"#REF!")</f>
        <v>#REF!</v>
      </c>
      <c r="N6175" s="17"/>
      <c r="O6175" s="17"/>
      <c r="P6175" s="17" t="b">
        <f>IFERROR(__xludf.DUMMYFUNCTION("""COMPUTED_VALUE"""),FALSE)</f>
        <v>0</v>
      </c>
      <c r="Q6175" s="20" t="str">
        <f>IFERROR(__xludf.DUMMYFUNCTION("""COMPUTED_VALUE"""),"")</f>
        <v/>
      </c>
      <c r="R6175" s="22" t="str">
        <f>IFERROR(__xludf.DUMMYFUNCTION("""COMPUTED_VALUE"""),"")</f>
        <v/>
      </c>
    </row>
    <row r="6176">
      <c r="A6176" s="15">
        <f>IFERROR(__xludf.DUMMYFUNCTION("""COMPUTED_VALUE"""),45177.0)</f>
        <v>45177</v>
      </c>
      <c r="B6176" s="16" t="str">
        <f>IFERROR(__xludf.DUMMYFUNCTION("""COMPUTED_VALUE"""),"Envia")</f>
        <v>Envia</v>
      </c>
      <c r="C6176" s="15" t="str">
        <f>IFERROR(__xludf.DUMMYFUNCTION("""COMPUTED_VALUE"""),"MEDELLÍN")</f>
        <v>MEDELLÍN</v>
      </c>
      <c r="D6176" s="15" t="str">
        <f>IFERROR(__xludf.DUMMYFUNCTION("""COMPUTED_VALUE"""),"BOGOTÁ")</f>
        <v>BOGOTÁ</v>
      </c>
      <c r="E6176" s="15" t="str">
        <f>IFERROR(__xludf.DUMMYFUNCTION("""COMPUTED_VALUE"""),"Viiva Fermentados")</f>
        <v>Viiva Fermentados</v>
      </c>
      <c r="F6176" s="17" t="str">
        <f>IFERROR(__xludf.DUMMYFUNCTION("""COMPUTED_VALUE"""),"Km 8.5 vía Llanogrande – Rionegro / Tienda Kanú / Via Llanograndre, Rionegro")</f>
        <v>Km 8.5 vía Llanogrande – Rionegro / Tienda Kanú / Via Llanograndre, Rionegro</v>
      </c>
      <c r="G6176" s="15" t="str">
        <f>IFERROR(__xludf.DUMMYFUNCTION("""COMPUTED_VALUE"""),"Jorge Daza - Tienda Kanu")</f>
        <v>Jorge Daza - Tienda Kanu</v>
      </c>
      <c r="H6176" s="16">
        <f>IFERROR(__xludf.DUMMYFUNCTION("""COMPUTED_VALUE"""),14813.0)</f>
        <v>14813</v>
      </c>
      <c r="I6176" s="18">
        <f>IFERROR(__xludf.DUMMYFUNCTION("""COMPUTED_VALUE"""),27.0)</f>
        <v>27</v>
      </c>
      <c r="J6176" s="18">
        <f>IFERROR(__xludf.DUMMYFUNCTION("""COMPUTED_VALUE"""),18.0)</f>
        <v>18</v>
      </c>
      <c r="K6176" s="18">
        <f>IFERROR(__xludf.DUMMYFUNCTION("""COMPUTED_VALUE"""),18.0)</f>
        <v>18</v>
      </c>
      <c r="L6176" s="17">
        <f>IFERROR(__xludf.DUMMYFUNCTION("""COMPUTED_VALUE"""),3.16693357E9)</f>
        <v>3166933570</v>
      </c>
      <c r="M6176" s="17" t="str">
        <f>IFERROR(__xludf.DUMMYFUNCTION("""COMPUTED_VALUE"""),"#REF!")</f>
        <v>#REF!</v>
      </c>
      <c r="N6176" s="17"/>
      <c r="O6176" s="17"/>
      <c r="P6176" s="17" t="b">
        <f>IFERROR(__xludf.DUMMYFUNCTION("""COMPUTED_VALUE"""),FALSE)</f>
        <v>0</v>
      </c>
      <c r="Q6176" s="20" t="str">
        <f>IFERROR(__xludf.DUMMYFUNCTION("""COMPUTED_VALUE"""),"")</f>
        <v/>
      </c>
      <c r="R6176" s="22" t="str">
        <f>IFERROR(__xludf.DUMMYFUNCTION("""COMPUTED_VALUE"""),"")</f>
        <v/>
      </c>
    </row>
    <row r="6177">
      <c r="A6177" s="15">
        <f>IFERROR(__xludf.DUMMYFUNCTION("""COMPUTED_VALUE"""),45177.0)</f>
        <v>45177</v>
      </c>
      <c r="B6177" s="16" t="str">
        <f>IFERROR(__xludf.DUMMYFUNCTION("""COMPUTED_VALUE"""),"Envia")</f>
        <v>Envia</v>
      </c>
      <c r="C6177" s="15" t="str">
        <f>IFERROR(__xludf.DUMMYFUNCTION("""COMPUTED_VALUE"""),"PASTO")</f>
        <v>PASTO</v>
      </c>
      <c r="D6177" s="15" t="str">
        <f>IFERROR(__xludf.DUMMYFUNCTION("""COMPUTED_VALUE"""),"BOGOTÁ")</f>
        <v>BOGOTÁ</v>
      </c>
      <c r="E6177" s="15" t="str">
        <f>IFERROR(__xludf.DUMMYFUNCTION("""COMPUTED_VALUE"""),"Viiva Fermentados")</f>
        <v>Viiva Fermentados</v>
      </c>
      <c r="F6177" s="17" t="str">
        <f>IFERROR(__xludf.DUMMYFUNCTION("""COMPUTED_VALUE"""),"Calle18 # 31-88 / LOCAL 13 NOVACENTRO / Barrio Pasaje Comercial Novacentro")</f>
        <v>Calle18 # 31-88 / LOCAL 13 NOVACENTRO / Barrio Pasaje Comercial Novacentro</v>
      </c>
      <c r="G6177" s="15" t="str">
        <f>IFERROR(__xludf.DUMMYFUNCTION("""COMPUTED_VALUE"""),"Diana Melo Biomarket Pasto")</f>
        <v>Diana Melo Biomarket Pasto</v>
      </c>
      <c r="H6177" s="16">
        <f>IFERROR(__xludf.DUMMYFUNCTION("""COMPUTED_VALUE"""),14814.0)</f>
        <v>14814</v>
      </c>
      <c r="I6177" s="18">
        <f>IFERROR(__xludf.DUMMYFUNCTION("""COMPUTED_VALUE"""),45067.0)</f>
        <v>45067</v>
      </c>
      <c r="J6177" s="18">
        <f>IFERROR(__xludf.DUMMYFUNCTION("""COMPUTED_VALUE"""),39.0)</f>
        <v>39</v>
      </c>
      <c r="K6177" s="18">
        <f>IFERROR(__xludf.DUMMYFUNCTION("""COMPUTED_VALUE"""),27.0)</f>
        <v>27</v>
      </c>
      <c r="L6177" s="17">
        <f>IFERROR(__xludf.DUMMYFUNCTION("""COMPUTED_VALUE"""),3.165760774E9)</f>
        <v>3165760774</v>
      </c>
      <c r="M6177" s="17" t="str">
        <f>IFERROR(__xludf.DUMMYFUNCTION("""COMPUTED_VALUE"""),"#REF!")</f>
        <v>#REF!</v>
      </c>
      <c r="N6177" s="17"/>
      <c r="O6177" s="17"/>
      <c r="P6177" s="17" t="b">
        <f>IFERROR(__xludf.DUMMYFUNCTION("""COMPUTED_VALUE"""),FALSE)</f>
        <v>0</v>
      </c>
      <c r="Q6177" s="20" t="str">
        <f>IFERROR(__xludf.DUMMYFUNCTION("""COMPUTED_VALUE"""),"")</f>
        <v/>
      </c>
      <c r="R6177" s="22" t="str">
        <f>IFERROR(__xludf.DUMMYFUNCTION("""COMPUTED_VALUE"""),"")</f>
        <v/>
      </c>
    </row>
    <row r="6178">
      <c r="A6178" s="15">
        <f>IFERROR(__xludf.DUMMYFUNCTION("""COMPUTED_VALUE"""),45177.0)</f>
        <v>45177</v>
      </c>
      <c r="B6178" s="16" t="str">
        <f>IFERROR(__xludf.DUMMYFUNCTION("""COMPUTED_VALUE"""),"Envia")</f>
        <v>Envia</v>
      </c>
      <c r="C6178" s="15" t="str">
        <f>IFERROR(__xludf.DUMMYFUNCTION("""COMPUTED_VALUE"""),"PITALITO")</f>
        <v>PITALITO</v>
      </c>
      <c r="D6178" s="15" t="str">
        <f>IFERROR(__xludf.DUMMYFUNCTION("""COMPUTED_VALUE"""),"MEDELLÍN")</f>
        <v>MEDELLÍN</v>
      </c>
      <c r="E6178" s="15" t="str">
        <f>IFERROR(__xludf.DUMMYFUNCTION("""COMPUTED_VALUE"""),"Rambla")</f>
        <v>Rambla</v>
      </c>
      <c r="F6178" s="17" t="str">
        <f>IFERROR(__xludf.DUMMYFUNCTION("""COMPUTED_VALUE"""),"Transversal 4 # 11 Sur 15 barrio la virginia, Pitalito Huila / - / -")</f>
        <v>Transversal 4 # 11 Sur 15 barrio la virginia, Pitalito Huila / - / -</v>
      </c>
      <c r="G6178" s="15" t="str">
        <f>IFERROR(__xludf.DUMMYFUNCTION("""COMPUTED_VALUE"""),"Natumarket")</f>
        <v>Natumarket</v>
      </c>
      <c r="H6178" s="16">
        <f>IFERROR(__xludf.DUMMYFUNCTION("""COMPUTED_VALUE"""),14892.0)</f>
        <v>14892</v>
      </c>
      <c r="I6178" s="18">
        <f>IFERROR(__xludf.DUMMYFUNCTION("""COMPUTED_VALUE"""),36.0)</f>
        <v>36</v>
      </c>
      <c r="J6178" s="18">
        <f>IFERROR(__xludf.DUMMYFUNCTION("""COMPUTED_VALUE"""),36.0)</f>
        <v>36</v>
      </c>
      <c r="K6178" s="18">
        <f>IFERROR(__xludf.DUMMYFUNCTION("""COMPUTED_VALUE"""),23.0)</f>
        <v>23</v>
      </c>
      <c r="L6178" s="17">
        <f>IFERROR(__xludf.DUMMYFUNCTION("""COMPUTED_VALUE"""),3.195561085E9)</f>
        <v>3195561085</v>
      </c>
      <c r="M6178" s="17" t="str">
        <f>IFERROR(__xludf.DUMMYFUNCTION("""COMPUTED_VALUE"""),"#REF!")</f>
        <v>#REF!</v>
      </c>
      <c r="N6178" s="17"/>
      <c r="O6178" s="17"/>
      <c r="P6178" s="17" t="b">
        <f>IFERROR(__xludf.DUMMYFUNCTION("""COMPUTED_VALUE"""),FALSE)</f>
        <v>0</v>
      </c>
      <c r="Q6178" s="20" t="str">
        <f>IFERROR(__xludf.DUMMYFUNCTION("""COMPUTED_VALUE"""),"")</f>
        <v/>
      </c>
      <c r="R6178" s="22" t="str">
        <f>IFERROR(__xludf.DUMMYFUNCTION("""COMPUTED_VALUE"""),"")</f>
        <v/>
      </c>
    </row>
    <row r="6179">
      <c r="A6179" s="15">
        <f>IFERROR(__xludf.DUMMYFUNCTION("""COMPUTED_VALUE"""),45177.0)</f>
        <v>45177</v>
      </c>
      <c r="B6179" s="16" t="str">
        <f>IFERROR(__xludf.DUMMYFUNCTION("""COMPUTED_VALUE"""),"Envia")</f>
        <v>Envia</v>
      </c>
      <c r="C6179" s="15" t="str">
        <f>IFERROR(__xludf.DUMMYFUNCTION("""COMPUTED_VALUE"""),"SANTA MARTA")</f>
        <v>SANTA MARTA</v>
      </c>
      <c r="D6179" s="15" t="str">
        <f>IFERROR(__xludf.DUMMYFUNCTION("""COMPUTED_VALUE"""),"BOGOTÁ")</f>
        <v>BOGOTÁ</v>
      </c>
      <c r="E6179" s="15" t="str">
        <f>IFERROR(__xludf.DUMMYFUNCTION("""COMPUTED_VALUE"""),"Top Spun")</f>
        <v>Top Spun</v>
      </c>
      <c r="F6179" s="17" t="str">
        <f>IFERROR(__xludf.DUMMYFUNCTION("""COMPUTED_VALUE"""),"Cra.1 # 17 - 195 / Apto 5C Edificio Esmeralda / Santa Marta")</f>
        <v>Cra.1 # 17 - 195 / Apto 5C Edificio Esmeralda / Santa Marta</v>
      </c>
      <c r="G6179" s="15" t="str">
        <f>IFERROR(__xludf.DUMMYFUNCTION("""COMPUTED_VALUE"""),"Caroline Thevenet")</f>
        <v>Caroline Thevenet</v>
      </c>
      <c r="H6179" s="16">
        <f>IFERROR(__xludf.DUMMYFUNCTION("""COMPUTED_VALUE"""),14806.0)</f>
        <v>14806</v>
      </c>
      <c r="I6179" s="18">
        <f>IFERROR(__xludf.DUMMYFUNCTION("""COMPUTED_VALUE"""),20.0)</f>
        <v>20</v>
      </c>
      <c r="J6179" s="18">
        <f>IFERROR(__xludf.DUMMYFUNCTION("""COMPUTED_VALUE"""),10.0)</f>
        <v>10</v>
      </c>
      <c r="K6179" s="18">
        <f>IFERROR(__xludf.DUMMYFUNCTION("""COMPUTED_VALUE"""),40.0)</f>
        <v>40</v>
      </c>
      <c r="L6179" s="17">
        <f>IFERROR(__xludf.DUMMYFUNCTION("""COMPUTED_VALUE"""),3.103051294E9)</f>
        <v>3103051294</v>
      </c>
      <c r="M6179" s="17" t="str">
        <f>IFERROR(__xludf.DUMMYFUNCTION("""COMPUTED_VALUE"""),"#REF!")</f>
        <v>#REF!</v>
      </c>
      <c r="N6179" s="17"/>
      <c r="O6179" s="17"/>
      <c r="P6179" s="17" t="b">
        <f>IFERROR(__xludf.DUMMYFUNCTION("""COMPUTED_VALUE"""),FALSE)</f>
        <v>0</v>
      </c>
      <c r="Q6179" s="20" t="str">
        <f>IFERROR(__xludf.DUMMYFUNCTION("""COMPUTED_VALUE"""),"")</f>
        <v/>
      </c>
      <c r="R6179" s="22" t="str">
        <f>IFERROR(__xludf.DUMMYFUNCTION("""COMPUTED_VALUE"""),"")</f>
        <v/>
      </c>
    </row>
    <row r="6180">
      <c r="A6180" s="15">
        <f>IFERROR(__xludf.DUMMYFUNCTION("""COMPUTED_VALUE"""),45177.0)</f>
        <v>45177</v>
      </c>
      <c r="B6180" s="16" t="str">
        <f>IFERROR(__xludf.DUMMYFUNCTION("""COMPUTED_VALUE"""),"Envia")</f>
        <v>Envia</v>
      </c>
      <c r="C6180" s="15" t="str">
        <f>IFERROR(__xludf.DUMMYFUNCTION("""COMPUTED_VALUE"""),"SANTA MARTA")</f>
        <v>SANTA MARTA</v>
      </c>
      <c r="D6180" s="15" t="str">
        <f>IFERROR(__xludf.DUMMYFUNCTION("""COMPUTED_VALUE"""),"MEDELLÍN")</f>
        <v>MEDELLÍN</v>
      </c>
      <c r="E6180" s="15" t="str">
        <f>IFERROR(__xludf.DUMMYFUNCTION("""COMPUTED_VALUE"""),"Rambla")</f>
        <v>Rambla</v>
      </c>
      <c r="F6180" s="17" t="str">
        <f>IFERROR(__xludf.DUMMYFUNCTION("""COMPUTED_VALUE"""),"cra 21 #21-153 local 105 centro comercial plaza jardín  / - / -")</f>
        <v>cra 21 #21-153 local 105 centro comercial plaza jardín  / - / -</v>
      </c>
      <c r="G6180" s="15" t="str">
        <f>IFERROR(__xludf.DUMMYFUNCTION("""COMPUTED_VALUE"""),"Punto Saludable")</f>
        <v>Punto Saludable</v>
      </c>
      <c r="H6180" s="16">
        <f>IFERROR(__xludf.DUMMYFUNCTION("""COMPUTED_VALUE"""),14889.0)</f>
        <v>14889</v>
      </c>
      <c r="I6180" s="18">
        <f>IFERROR(__xludf.DUMMYFUNCTION("""COMPUTED_VALUE"""),20.0)</f>
        <v>20</v>
      </c>
      <c r="J6180" s="18">
        <f>IFERROR(__xludf.DUMMYFUNCTION("""COMPUTED_VALUE"""),22.0)</f>
        <v>22</v>
      </c>
      <c r="K6180" s="18">
        <f>IFERROR(__xludf.DUMMYFUNCTION("""COMPUTED_VALUE"""),24.0)</f>
        <v>24</v>
      </c>
      <c r="L6180" s="17">
        <f>IFERROR(__xludf.DUMMYFUNCTION("""COMPUTED_VALUE"""),3.013146331E9)</f>
        <v>3013146331</v>
      </c>
      <c r="M6180" s="17" t="str">
        <f>IFERROR(__xludf.DUMMYFUNCTION("""COMPUTED_VALUE"""),"#REF!")</f>
        <v>#REF!</v>
      </c>
      <c r="N6180" s="17"/>
      <c r="O6180" s="17"/>
      <c r="P6180" s="17" t="b">
        <f>IFERROR(__xludf.DUMMYFUNCTION("""COMPUTED_VALUE"""),FALSE)</f>
        <v>0</v>
      </c>
      <c r="Q6180" s="20" t="str">
        <f>IFERROR(__xludf.DUMMYFUNCTION("""COMPUTED_VALUE"""),"")</f>
        <v/>
      </c>
      <c r="R6180" s="21" t="str">
        <f>IFERROR(__xludf.DUMMYFUNCTION("""COMPUTED_VALUE"""),"https://drive.google.com/file/d/1UkVZLEi8Kg_IQmf4lsCLK08fMyPe74kJ/view?usp=drivesdk")</f>
        <v>https://drive.google.com/file/d/1UkVZLEi8Kg_IQmf4lsCLK08fMyPe74kJ/view?usp=drivesdk</v>
      </c>
    </row>
    <row r="6181">
      <c r="A6181" s="17" t="str">
        <f>IFERROR(__xludf.DUMMYFUNCTION("""COMPUTED_VALUE"""),"")</f>
        <v/>
      </c>
      <c r="B6181" s="17" t="str">
        <f>IFERROR(__xludf.DUMMYFUNCTION("""COMPUTED_VALUE"""),"")</f>
        <v/>
      </c>
      <c r="C6181" s="17" t="str">
        <f>IFERROR(__xludf.DUMMYFUNCTION("""COMPUTED_VALUE"""),"")</f>
        <v/>
      </c>
      <c r="D6181" s="17" t="str">
        <f>IFERROR(__xludf.DUMMYFUNCTION("""COMPUTED_VALUE"""),"")</f>
        <v/>
      </c>
      <c r="E6181" s="17" t="str">
        <f>IFERROR(__xludf.DUMMYFUNCTION("""COMPUTED_VALUE"""),"")</f>
        <v/>
      </c>
      <c r="F6181" s="17" t="str">
        <f>IFERROR(__xludf.DUMMYFUNCTION("""COMPUTED_VALUE"""),"")</f>
        <v/>
      </c>
      <c r="G6181" s="17" t="str">
        <f>IFERROR(__xludf.DUMMYFUNCTION("""COMPUTED_VALUE"""),"")</f>
        <v/>
      </c>
      <c r="H6181" s="17" t="str">
        <f>IFERROR(__xludf.DUMMYFUNCTION("""COMPUTED_VALUE"""),"")</f>
        <v/>
      </c>
      <c r="I6181" s="17" t="str">
        <f>IFERROR(__xludf.DUMMYFUNCTION("""COMPUTED_VALUE"""),"")</f>
        <v/>
      </c>
      <c r="J6181" s="17" t="str">
        <f>IFERROR(__xludf.DUMMYFUNCTION("""COMPUTED_VALUE"""),"")</f>
        <v/>
      </c>
      <c r="K6181" s="17" t="str">
        <f>IFERROR(__xludf.DUMMYFUNCTION("""COMPUTED_VALUE"""),"")</f>
        <v/>
      </c>
      <c r="L6181" s="17" t="str">
        <f>IFERROR(__xludf.DUMMYFUNCTION("""COMPUTED_VALUE"""),"")</f>
        <v/>
      </c>
      <c r="M6181" s="17" t="str">
        <f>IFERROR(__xludf.DUMMYFUNCTION("""COMPUTED_VALUE"""),"")</f>
        <v/>
      </c>
      <c r="N6181" s="17" t="str">
        <f>IFERROR(__xludf.DUMMYFUNCTION("""COMPUTED_VALUE"""),"")</f>
        <v/>
      </c>
      <c r="O6181" s="17" t="str">
        <f>IFERROR(__xludf.DUMMYFUNCTION("""COMPUTED_VALUE"""),"")</f>
        <v/>
      </c>
      <c r="P6181" s="17" t="str">
        <f>IFERROR(__xludf.DUMMYFUNCTION("""COMPUTED_VALUE"""),"")</f>
        <v/>
      </c>
      <c r="Q6181" s="17" t="str">
        <f>IFERROR(__xludf.DUMMYFUNCTION("""COMPUTED_VALUE"""),"")</f>
        <v/>
      </c>
      <c r="R6181" s="17" t="str">
        <f>IFERROR(__xludf.DUMMYFUNCTION("""COMPUTED_VALUE"""),"")</f>
        <v/>
      </c>
    </row>
    <row r="6182">
      <c r="A6182" s="15">
        <f>IFERROR(__xludf.DUMMYFUNCTION("""COMPUTED_VALUE"""),45177.0)</f>
        <v>45177</v>
      </c>
      <c r="B6182" s="16" t="str">
        <f>IFERROR(__xludf.DUMMYFUNCTION("""COMPUTED_VALUE"""),"Jeison Rubiano")</f>
        <v>Jeison Rubiano</v>
      </c>
      <c r="C6182" s="15" t="str">
        <f>IFERROR(__xludf.DUMMYFUNCTION("""COMPUTED_VALUE"""),"BARRANQUILLA")</f>
        <v>BARRANQUILLA</v>
      </c>
      <c r="D6182" s="15" t="str">
        <f>IFERROR(__xludf.DUMMYFUNCTION("""COMPUTED_VALUE"""),"MEDELLÍN")</f>
        <v>MEDELLÍN</v>
      </c>
      <c r="E6182" s="15" t="str">
        <f>IFERROR(__xludf.DUMMYFUNCTION("""COMPUTED_VALUE"""),"Rambla")</f>
        <v>Rambla</v>
      </c>
      <c r="F6182" s="17" t="str">
        <f>IFERROR(__xludf.DUMMYFUNCTION("""COMPUTED_VALUE"""),"Carrera 67 no 81-95 Barrio paraíso / - / -")</f>
        <v>Carrera 67 no 81-95 Barrio paraíso / - / -</v>
      </c>
      <c r="G6182" s="15" t="str">
        <f>IFERROR(__xludf.DUMMYFUNCTION("""COMPUTED_VALUE"""),"Santiago Arbelaez")</f>
        <v>Santiago Arbelaez</v>
      </c>
      <c r="H6182" s="16">
        <f>IFERROR(__xludf.DUMMYFUNCTION("""COMPUTED_VALUE"""),14890.0)</f>
        <v>14890</v>
      </c>
      <c r="I6182" s="18">
        <f>IFERROR(__xludf.DUMMYFUNCTION("""COMPUTED_VALUE"""),28.0)</f>
        <v>28</v>
      </c>
      <c r="J6182" s="18">
        <f>IFERROR(__xludf.DUMMYFUNCTION("""COMPUTED_VALUE"""),22.0)</f>
        <v>22</v>
      </c>
      <c r="K6182" s="18">
        <f>IFERROR(__xludf.DUMMYFUNCTION("""COMPUTED_VALUE"""),24.0)</f>
        <v>24</v>
      </c>
      <c r="L6182" s="17">
        <f>IFERROR(__xludf.DUMMYFUNCTION("""COMPUTED_VALUE"""),3.204749856E9)</f>
        <v>3204749856</v>
      </c>
      <c r="M6182" s="17" t="str">
        <f>IFERROR(__xludf.DUMMYFUNCTION("""COMPUTED_VALUE"""),"#REF!")</f>
        <v>#REF!</v>
      </c>
      <c r="N6182" s="17"/>
      <c r="O6182" s="17"/>
      <c r="P6182" s="17" t="b">
        <f>IFERROR(__xludf.DUMMYFUNCTION("""COMPUTED_VALUE"""),FALSE)</f>
        <v>0</v>
      </c>
      <c r="Q6182" s="20" t="str">
        <f>IFERROR(__xludf.DUMMYFUNCTION("""COMPUTED_VALUE"""),"")</f>
        <v/>
      </c>
      <c r="R6182" s="21" t="str">
        <f>IFERROR(__xludf.DUMMYFUNCTION("""COMPUTED_VALUE"""),"https://drive.google.com/file/d/1QNsAXWlJDc8uhkDsKESbdrtAYrCNijIU/view?usp=drivesdk")</f>
        <v>https://drive.google.com/file/d/1QNsAXWlJDc8uhkDsKESbdrtAYrCNijIU/view?usp=drivesdk</v>
      </c>
    </row>
    <row r="6183">
      <c r="A6183" s="15">
        <f>IFERROR(__xludf.DUMMYFUNCTION("""COMPUTED_VALUE"""),45177.0)</f>
        <v>45177</v>
      </c>
      <c r="B6183" s="16" t="str">
        <f>IFERROR(__xludf.DUMMYFUNCTION("""COMPUTED_VALUE"""),"Jeison Rubiano")</f>
        <v>Jeison Rubiano</v>
      </c>
      <c r="C6183" s="15" t="str">
        <f>IFERROR(__xludf.DUMMYFUNCTION("""COMPUTED_VALUE"""),"BOGOTÁ")</f>
        <v>BOGOTÁ</v>
      </c>
      <c r="D6183" s="15" t="str">
        <f>IFERROR(__xludf.DUMMYFUNCTION("""COMPUTED_VALUE"""),"MEDELLÍN")</f>
        <v>MEDELLÍN</v>
      </c>
      <c r="E6183" s="15" t="str">
        <f>IFERROR(__xludf.DUMMYFUNCTION("""COMPUTED_VALUE"""),"AREPAS LA MARY")</f>
        <v>AREPAS LA MARY</v>
      </c>
      <c r="F6183" s="17" t="str">
        <f>IFERROR(__xludf.DUMMYFUNCTION("""COMPUTED_VALUE"""),"CALLE 86 N.7 86 APTO 303 / LA CABRERA BOGOTA")</f>
        <v>CALLE 86 N.7 86 APTO 303 / LA CABRERA BOGOTA</v>
      </c>
      <c r="G6183" s="15" t="str">
        <f>IFERROR(__xludf.DUMMYFUNCTION("""COMPUTED_VALUE"""),"ALEJANDRA ZAPATA")</f>
        <v>ALEJANDRA ZAPATA</v>
      </c>
      <c r="H6183" s="16">
        <f>IFERROR(__xludf.DUMMYFUNCTION("""COMPUTED_VALUE"""),14917.0)</f>
        <v>14917</v>
      </c>
      <c r="I6183" s="18">
        <f>IFERROR(__xludf.DUMMYFUNCTION("""COMPUTED_VALUE"""),89.0)</f>
        <v>89</v>
      </c>
      <c r="J6183" s="18">
        <f>IFERROR(__xludf.DUMMYFUNCTION("""COMPUTED_VALUE"""),1.0)</f>
        <v>1</v>
      </c>
      <c r="K6183" s="18">
        <f>IFERROR(__xludf.DUMMYFUNCTION("""COMPUTED_VALUE"""),10.0)</f>
        <v>10</v>
      </c>
      <c r="L6183" s="17">
        <f>IFERROR(__xludf.DUMMYFUNCTION("""COMPUTED_VALUE"""),3.152666136E9)</f>
        <v>3152666136</v>
      </c>
      <c r="M6183" s="17" t="str">
        <f>IFERROR(__xludf.DUMMYFUNCTION("""COMPUTED_VALUE"""),"#REF!")</f>
        <v>#REF!</v>
      </c>
      <c r="N6183" s="17"/>
      <c r="O6183" s="17"/>
      <c r="P6183" s="17" t="b">
        <f>IFERROR(__xludf.DUMMYFUNCTION("""COMPUTED_VALUE"""),FALSE)</f>
        <v>0</v>
      </c>
      <c r="Q6183" s="20" t="str">
        <f>IFERROR(__xludf.DUMMYFUNCTION("""COMPUTED_VALUE"""),"")</f>
        <v/>
      </c>
      <c r="R6183" s="21" t="str">
        <f>IFERROR(__xludf.DUMMYFUNCTION("""COMPUTED_VALUE"""),"https://drive.google.com/file/d/1ENYMd39v8RIz0bQmLA6d5Hvke3oPithD/view?usp=drivesdk")</f>
        <v>https://drive.google.com/file/d/1ENYMd39v8RIz0bQmLA6d5Hvke3oPithD/view?usp=drivesdk</v>
      </c>
    </row>
    <row r="6184">
      <c r="A6184" s="15">
        <f>IFERROR(__xludf.DUMMYFUNCTION("""COMPUTED_VALUE"""),45177.0)</f>
        <v>45177</v>
      </c>
      <c r="B6184" s="16" t="str">
        <f>IFERROR(__xludf.DUMMYFUNCTION("""COMPUTED_VALUE"""),"Jeison Rubiano")</f>
        <v>Jeison Rubiano</v>
      </c>
      <c r="C6184" s="15" t="str">
        <f>IFERROR(__xludf.DUMMYFUNCTION("""COMPUTED_VALUE"""),"BOGOTÁ")</f>
        <v>BOGOTÁ</v>
      </c>
      <c r="D6184" s="15" t="str">
        <f>IFERROR(__xludf.DUMMYFUNCTION("""COMPUTED_VALUE"""),"MEDELLÍN")</f>
        <v>MEDELLÍN</v>
      </c>
      <c r="E6184" s="15" t="str">
        <f>IFERROR(__xludf.DUMMYFUNCTION("""COMPUTED_VALUE"""),"AREPAS LA MARY")</f>
        <v>AREPAS LA MARY</v>
      </c>
      <c r="F6184" s="17" t="str">
        <f>IFERROR(__xludf.DUMMYFUNCTION("""COMPUTED_VALUE"""),"Calle 93B #15-34 chico norte local 211 / CHICO NORTE BOGOTA")</f>
        <v>Calle 93B #15-34 chico norte local 211 / CHICO NORTE BOGOTA</v>
      </c>
      <c r="G6184" s="15" t="str">
        <f>IFERROR(__xludf.DUMMYFUNCTION("""COMPUTED_VALUE"""),"HEALTHY MARHET (NUEVO)")</f>
        <v>HEALTHY MARHET (NUEVO)</v>
      </c>
      <c r="H6184" s="16">
        <f>IFERROR(__xludf.DUMMYFUNCTION("""COMPUTED_VALUE"""),14919.0)</f>
        <v>14919</v>
      </c>
      <c r="I6184" s="18">
        <f>IFERROR(__xludf.DUMMYFUNCTION("""COMPUTED_VALUE"""),89.0)</f>
        <v>89</v>
      </c>
      <c r="J6184" s="18">
        <f>IFERROR(__xludf.DUMMYFUNCTION("""COMPUTED_VALUE"""),1.0)</f>
        <v>1</v>
      </c>
      <c r="K6184" s="18">
        <f>IFERROR(__xludf.DUMMYFUNCTION("""COMPUTED_VALUE"""),10.0)</f>
        <v>10</v>
      </c>
      <c r="L6184" s="17">
        <f>IFERROR(__xludf.DUMMYFUNCTION("""COMPUTED_VALUE"""),3.212203021E9)</f>
        <v>3212203021</v>
      </c>
      <c r="M6184" s="17" t="str">
        <f>IFERROR(__xludf.DUMMYFUNCTION("""COMPUTED_VALUE"""),"#REF!")</f>
        <v>#REF!</v>
      </c>
      <c r="N6184" s="17"/>
      <c r="O6184" s="17"/>
      <c r="P6184" s="17" t="b">
        <f>IFERROR(__xludf.DUMMYFUNCTION("""COMPUTED_VALUE"""),FALSE)</f>
        <v>0</v>
      </c>
      <c r="Q6184" s="20" t="str">
        <f>IFERROR(__xludf.DUMMYFUNCTION("""COMPUTED_VALUE"""),"")</f>
        <v/>
      </c>
      <c r="R6184" s="21" t="str">
        <f>IFERROR(__xludf.DUMMYFUNCTION("""COMPUTED_VALUE"""),"https://drive.google.com/file/d/1MJ8Pky8EkOm5KJuUuVbp0m1sd6-Pz_4T/view?usp=drivesdk")</f>
        <v>https://drive.google.com/file/d/1MJ8Pky8EkOm5KJuUuVbp0m1sd6-Pz_4T/view?usp=drivesdk</v>
      </c>
    </row>
    <row r="6185">
      <c r="A6185" s="15">
        <f>IFERROR(__xludf.DUMMYFUNCTION("""COMPUTED_VALUE"""),45177.0)</f>
        <v>45177</v>
      </c>
      <c r="B6185" s="16" t="str">
        <f>IFERROR(__xludf.DUMMYFUNCTION("""COMPUTED_VALUE"""),"Jeison Rubiano")</f>
        <v>Jeison Rubiano</v>
      </c>
      <c r="C6185" s="15" t="str">
        <f>IFERROR(__xludf.DUMMYFUNCTION("""COMPUTED_VALUE"""),"BOGOTÁ")</f>
        <v>BOGOTÁ</v>
      </c>
      <c r="D6185" s="15" t="str">
        <f>IFERROR(__xludf.DUMMYFUNCTION("""COMPUTED_VALUE"""),"MEDELLÍN")</f>
        <v>MEDELLÍN</v>
      </c>
      <c r="E6185" s="15" t="str">
        <f>IFERROR(__xludf.DUMMYFUNCTION("""COMPUTED_VALUE"""),"AREPAS LA MARY")</f>
        <v>AREPAS LA MARY</v>
      </c>
      <c r="F6185" s="17" t="str">
        <f>IFERROR(__xludf.DUMMYFUNCTION("""COMPUTED_VALUE"""),"CRA 53 N.141 69 APTO 1207 / BOGOTA")</f>
        <v>CRA 53 N.141 69 APTO 1207 / BOGOTA</v>
      </c>
      <c r="G6185" s="15" t="str">
        <f>IFERROR(__xludf.DUMMYFUNCTION("""COMPUTED_VALUE"""),"CAMILA CASABIANCA")</f>
        <v>CAMILA CASABIANCA</v>
      </c>
      <c r="H6185" s="16">
        <f>IFERROR(__xludf.DUMMYFUNCTION("""COMPUTED_VALUE"""),14918.0)</f>
        <v>14918</v>
      </c>
      <c r="I6185" s="18">
        <f>IFERROR(__xludf.DUMMYFUNCTION("""COMPUTED_VALUE"""),89.0)</f>
        <v>89</v>
      </c>
      <c r="J6185" s="18">
        <f>IFERROR(__xludf.DUMMYFUNCTION("""COMPUTED_VALUE"""),1.0)</f>
        <v>1</v>
      </c>
      <c r="K6185" s="18">
        <f>IFERROR(__xludf.DUMMYFUNCTION("""COMPUTED_VALUE"""),10.0)</f>
        <v>10</v>
      </c>
      <c r="L6185" s="17">
        <f>IFERROR(__xludf.DUMMYFUNCTION("""COMPUTED_VALUE"""),3.006115867E9)</f>
        <v>3006115867</v>
      </c>
      <c r="M6185" s="17" t="str">
        <f>IFERROR(__xludf.DUMMYFUNCTION("""COMPUTED_VALUE"""),"#REF!")</f>
        <v>#REF!</v>
      </c>
      <c r="N6185" s="17"/>
      <c r="O6185" s="17"/>
      <c r="P6185" s="17" t="b">
        <f>IFERROR(__xludf.DUMMYFUNCTION("""COMPUTED_VALUE"""),FALSE)</f>
        <v>0</v>
      </c>
      <c r="Q6185" s="20" t="str">
        <f>IFERROR(__xludf.DUMMYFUNCTION("""COMPUTED_VALUE"""),"")</f>
        <v/>
      </c>
      <c r="R6185" s="21" t="str">
        <f>IFERROR(__xludf.DUMMYFUNCTION("""COMPUTED_VALUE"""),"https://drive.google.com/file/d/1l7mPqN_V4r7WJI_Uk-R3gk2lI0YM63uC/view?usp=drivesdk")</f>
        <v>https://drive.google.com/file/d/1l7mPqN_V4r7WJI_Uk-R3gk2lI0YM63uC/view?usp=drivesdk</v>
      </c>
    </row>
    <row r="6186">
      <c r="A6186" s="15">
        <f>IFERROR(__xludf.DUMMYFUNCTION("""COMPUTED_VALUE"""),45177.0)</f>
        <v>45177</v>
      </c>
      <c r="B6186" s="16" t="str">
        <f>IFERROR(__xludf.DUMMYFUNCTION("""COMPUTED_VALUE"""),"Jeison Rubiano")</f>
        <v>Jeison Rubiano</v>
      </c>
      <c r="C6186" s="15" t="str">
        <f>IFERROR(__xludf.DUMMYFUNCTION("""COMPUTED_VALUE"""),"BOGOTÁ")</f>
        <v>BOGOTÁ</v>
      </c>
      <c r="D6186" s="15" t="str">
        <f>IFERROR(__xludf.DUMMYFUNCTION("""COMPUTED_VALUE"""),"MEDELLÍN")</f>
        <v>MEDELLÍN</v>
      </c>
      <c r="E6186" s="15" t="str">
        <f>IFERROR(__xludf.DUMMYFUNCTION("""COMPUTED_VALUE"""),"AREPAS LA MARY")</f>
        <v>AREPAS LA MARY</v>
      </c>
      <c r="F6186" s="17" t="str">
        <f>IFERROR(__xludf.DUMMYFUNCTION("""COMPUTED_VALUE"""),"CRA 7 N75 98 APTO 102 / BOGOTA")</f>
        <v>CRA 7 N75 98 APTO 102 / BOGOTA</v>
      </c>
      <c r="G6186" s="15" t="str">
        <f>IFERROR(__xludf.DUMMYFUNCTION("""COMPUTED_VALUE"""),"SYLVIA BETANCOURT")</f>
        <v>SYLVIA BETANCOURT</v>
      </c>
      <c r="H6186" s="16">
        <f>IFERROR(__xludf.DUMMYFUNCTION("""COMPUTED_VALUE"""),14916.0)</f>
        <v>14916</v>
      </c>
      <c r="I6186" s="18">
        <f>IFERROR(__xludf.DUMMYFUNCTION("""COMPUTED_VALUE"""),89.0)</f>
        <v>89</v>
      </c>
      <c r="J6186" s="18">
        <f>IFERROR(__xludf.DUMMYFUNCTION("""COMPUTED_VALUE"""),1.0)</f>
        <v>1</v>
      </c>
      <c r="K6186" s="18">
        <f>IFERROR(__xludf.DUMMYFUNCTION("""COMPUTED_VALUE"""),10.0)</f>
        <v>10</v>
      </c>
      <c r="L6186" s="17">
        <f>IFERROR(__xludf.DUMMYFUNCTION("""COMPUTED_VALUE"""),3.102324941E9)</f>
        <v>3102324941</v>
      </c>
      <c r="M6186" s="17" t="str">
        <f>IFERROR(__xludf.DUMMYFUNCTION("""COMPUTED_VALUE"""),"#REF!")</f>
        <v>#REF!</v>
      </c>
      <c r="N6186" s="17"/>
      <c r="O6186" s="17"/>
      <c r="P6186" s="17" t="b">
        <f>IFERROR(__xludf.DUMMYFUNCTION("""COMPUTED_VALUE"""),FALSE)</f>
        <v>0</v>
      </c>
      <c r="Q6186" s="20" t="str">
        <f>IFERROR(__xludf.DUMMYFUNCTION("""COMPUTED_VALUE"""),"")</f>
        <v/>
      </c>
      <c r="R6186" s="22" t="str">
        <f>IFERROR(__xludf.DUMMYFUNCTION("""COMPUTED_VALUE"""),"")</f>
        <v/>
      </c>
    </row>
    <row r="6187">
      <c r="A6187" s="15">
        <f>IFERROR(__xludf.DUMMYFUNCTION("""COMPUTED_VALUE"""),45177.0)</f>
        <v>45177</v>
      </c>
      <c r="B6187" s="16" t="str">
        <f>IFERROR(__xludf.DUMMYFUNCTION("""COMPUTED_VALUE"""),"Jeison Rubiano")</f>
        <v>Jeison Rubiano</v>
      </c>
      <c r="C6187" s="15" t="str">
        <f>IFERROR(__xludf.DUMMYFUNCTION("""COMPUTED_VALUE"""),"BOGOTÁ")</f>
        <v>BOGOTÁ</v>
      </c>
      <c r="D6187" s="15" t="str">
        <f>IFERROR(__xludf.DUMMYFUNCTION("""COMPUTED_VALUE"""),"MEDELLÍN")</f>
        <v>MEDELLÍN</v>
      </c>
      <c r="E6187" s="15" t="str">
        <f>IFERROR(__xludf.DUMMYFUNCTION("""COMPUTED_VALUE"""),"Baby Chef")</f>
        <v>Baby Chef</v>
      </c>
      <c r="F6187" s="17" t="str">
        <f>IFERROR(__xludf.DUMMYFUNCTION("""COMPUTED_VALUE"""),"Calle 106 # 56 - 76 Cons 203 / Calle 106 # 56 - 76 Cons 203 / Calle 106 # 56 - 76 Cons 203")</f>
        <v>Calle 106 # 56 - 76 Cons 203 / Calle 106 # 56 - 76 Cons 203 / Calle 106 # 56 - 76 Cons 203</v>
      </c>
      <c r="G6187" s="15" t="str">
        <f>IFERROR(__xludf.DUMMYFUNCTION("""COMPUTED_VALUE"""),"Yesica Castillo")</f>
        <v>Yesica Castillo</v>
      </c>
      <c r="H6187" s="16">
        <f>IFERROR(__xludf.DUMMYFUNCTION("""COMPUTED_VALUE"""),14940.0)</f>
        <v>14940</v>
      </c>
      <c r="I6187" s="18">
        <f>IFERROR(__xludf.DUMMYFUNCTION("""COMPUTED_VALUE"""),6.0)</f>
        <v>6</v>
      </c>
      <c r="J6187" s="18">
        <f>IFERROR(__xludf.DUMMYFUNCTION("""COMPUTED_VALUE"""),21.0)</f>
        <v>21</v>
      </c>
      <c r="K6187" s="18">
        <f>IFERROR(__xludf.DUMMYFUNCTION("""COMPUTED_VALUE"""),32.0)</f>
        <v>32</v>
      </c>
      <c r="L6187" s="17">
        <f>IFERROR(__xludf.DUMMYFUNCTION("""COMPUTED_VALUE"""),3.044614909E9)</f>
        <v>3044614909</v>
      </c>
      <c r="M6187" s="17" t="str">
        <f>IFERROR(__xludf.DUMMYFUNCTION("""COMPUTED_VALUE"""),"#REF!")</f>
        <v>#REF!</v>
      </c>
      <c r="N6187" s="17"/>
      <c r="O6187" s="17"/>
      <c r="P6187" s="17" t="b">
        <f>IFERROR(__xludf.DUMMYFUNCTION("""COMPUTED_VALUE"""),FALSE)</f>
        <v>0</v>
      </c>
      <c r="Q6187" s="20" t="str">
        <f>IFERROR(__xludf.DUMMYFUNCTION("""COMPUTED_VALUE"""),"")</f>
        <v/>
      </c>
      <c r="R6187" s="21" t="str">
        <f>IFERROR(__xludf.DUMMYFUNCTION("""COMPUTED_VALUE"""),"https://drive.google.com/file/d/1o3EL4faWcW4GVsTbovoTUfZTvbNcH0kO/view?usp=drivesdk")</f>
        <v>https://drive.google.com/file/d/1o3EL4faWcW4GVsTbovoTUfZTvbNcH0kO/view?usp=drivesdk</v>
      </c>
    </row>
    <row r="6188">
      <c r="A6188" s="15">
        <f>IFERROR(__xludf.DUMMYFUNCTION("""COMPUTED_VALUE"""),45177.0)</f>
        <v>45177</v>
      </c>
      <c r="B6188" s="16" t="str">
        <f>IFERROR(__xludf.DUMMYFUNCTION("""COMPUTED_VALUE"""),"Jeison Rubiano")</f>
        <v>Jeison Rubiano</v>
      </c>
      <c r="C6188" s="15" t="str">
        <f>IFERROR(__xludf.DUMMYFUNCTION("""COMPUTED_VALUE"""),"BOGOTÁ")</f>
        <v>BOGOTÁ</v>
      </c>
      <c r="D6188" s="15" t="str">
        <f>IFERROR(__xludf.DUMMYFUNCTION("""COMPUTED_VALUE"""),"MEDELLÍN")</f>
        <v>MEDELLÍN</v>
      </c>
      <c r="E6188" s="15" t="str">
        <f>IFERROR(__xludf.DUMMYFUNCTION("""COMPUTED_VALUE"""),"Baby Chef")</f>
        <v>Baby Chef</v>
      </c>
      <c r="F6188" s="17" t="str">
        <f>IFERROR(__xludf.DUMMYFUNCTION("""COMPUTED_VALUE"""),"Calle 151 n 11-32 conjunto Lombardía torre 4 apto 914 Bogota -cedritos / Calle 151 n 11-32 conjunto Lombardía torre 4 apto 914 Bogota -cedritos / Calle 151 n 11-32 conjunto Lombardía torre 4 apto 914 Bogota -cedritos")</f>
        <v>Calle 151 n 11-32 conjunto Lombardía torre 4 apto 914 Bogota -cedritos / Calle 151 n 11-32 conjunto Lombardía torre 4 apto 914 Bogota -cedritos / Calle 151 n 11-32 conjunto Lombardía torre 4 apto 914 Bogota -cedritos</v>
      </c>
      <c r="G6188" s="15" t="str">
        <f>IFERROR(__xludf.DUMMYFUNCTION("""COMPUTED_VALUE"""),"Nathaly Vargas")</f>
        <v>Nathaly Vargas</v>
      </c>
      <c r="H6188" s="16">
        <f>IFERROR(__xludf.DUMMYFUNCTION("""COMPUTED_VALUE"""),14939.0)</f>
        <v>14939</v>
      </c>
      <c r="I6188" s="18">
        <f>IFERROR(__xludf.DUMMYFUNCTION("""COMPUTED_VALUE"""),7.0)</f>
        <v>7</v>
      </c>
      <c r="J6188" s="18">
        <f>IFERROR(__xludf.DUMMYFUNCTION("""COMPUTED_VALUE"""),22.0)</f>
        <v>22</v>
      </c>
      <c r="K6188" s="18">
        <f>IFERROR(__xludf.DUMMYFUNCTION("""COMPUTED_VALUE"""),44.0)</f>
        <v>44</v>
      </c>
      <c r="L6188" s="17">
        <f>IFERROR(__xludf.DUMMYFUNCTION("""COMPUTED_VALUE"""),3.233254363E9)</f>
        <v>3233254363</v>
      </c>
      <c r="M6188" s="17" t="str">
        <f>IFERROR(__xludf.DUMMYFUNCTION("""COMPUTED_VALUE"""),"#REF!")</f>
        <v>#REF!</v>
      </c>
      <c r="N6188" s="17"/>
      <c r="O6188" s="17"/>
      <c r="P6188" s="17" t="b">
        <f>IFERROR(__xludf.DUMMYFUNCTION("""COMPUTED_VALUE"""),FALSE)</f>
        <v>0</v>
      </c>
      <c r="Q6188" s="20" t="str">
        <f>IFERROR(__xludf.DUMMYFUNCTION("""COMPUTED_VALUE"""),"")</f>
        <v/>
      </c>
      <c r="R6188" s="21" t="str">
        <f>IFERROR(__xludf.DUMMYFUNCTION("""COMPUTED_VALUE"""),"https://drive.google.com/file/d/1gErIICkkephJYJKscc71nOswo2UcNGc7/view?usp=drivesdk")</f>
        <v>https://drive.google.com/file/d/1gErIICkkephJYJKscc71nOswo2UcNGc7/view?usp=drivesdk</v>
      </c>
    </row>
    <row r="6189">
      <c r="A6189" s="15">
        <f>IFERROR(__xludf.DUMMYFUNCTION("""COMPUTED_VALUE"""),45177.0)</f>
        <v>45177</v>
      </c>
      <c r="B6189" s="16" t="str">
        <f>IFERROR(__xludf.DUMMYFUNCTION("""COMPUTED_VALUE"""),"Jeison Rubiano")</f>
        <v>Jeison Rubiano</v>
      </c>
      <c r="C6189" s="15" t="str">
        <f>IFERROR(__xludf.DUMMYFUNCTION("""COMPUTED_VALUE"""),"BOGOTÁ")</f>
        <v>BOGOTÁ</v>
      </c>
      <c r="D6189" s="15" t="str">
        <f>IFERROR(__xludf.DUMMYFUNCTION("""COMPUTED_VALUE"""),"MEDELLÍN")</f>
        <v>MEDELLÍN</v>
      </c>
      <c r="E6189" s="15" t="str">
        <f>IFERROR(__xludf.DUMMYFUNCTION("""COMPUTED_VALUE"""),"Baby Chef")</f>
        <v>Baby Chef</v>
      </c>
      <c r="F6189" s="17" t="str">
        <f>IFERROR(__xludf.DUMMYFUNCTION("""COMPUTED_VALUE"""),"Calle 152 B # 55 - 65 Casa 66 Versalles Real 3  / Calle 152 B # 55 - 65 Casa 66 Versalles Real 3  / Calle 152 B # 55 - 65 Casa 66 Versalles Real 3")</f>
        <v>Calle 152 B # 55 - 65 Casa 66 Versalles Real 3  / Calle 152 B # 55 - 65 Casa 66 Versalles Real 3  / Calle 152 B # 55 - 65 Casa 66 Versalles Real 3</v>
      </c>
      <c r="G6189" s="15" t="str">
        <f>IFERROR(__xludf.DUMMYFUNCTION("""COMPUTED_VALUE"""),"Michelle Higuera")</f>
        <v>Michelle Higuera</v>
      </c>
      <c r="H6189" s="16">
        <f>IFERROR(__xludf.DUMMYFUNCTION("""COMPUTED_VALUE"""),14942.0)</f>
        <v>14942</v>
      </c>
      <c r="I6189" s="18">
        <f>IFERROR(__xludf.DUMMYFUNCTION("""COMPUTED_VALUE"""),6.0)</f>
        <v>6</v>
      </c>
      <c r="J6189" s="18">
        <f>IFERROR(__xludf.DUMMYFUNCTION("""COMPUTED_VALUE"""),21.0)</f>
        <v>21</v>
      </c>
      <c r="K6189" s="18">
        <f>IFERROR(__xludf.DUMMYFUNCTION("""COMPUTED_VALUE"""),32.0)</f>
        <v>32</v>
      </c>
      <c r="L6189" s="17">
        <f>IFERROR(__xludf.DUMMYFUNCTION("""COMPUTED_VALUE"""),3.242542083E9)</f>
        <v>3242542083</v>
      </c>
      <c r="M6189" s="17" t="str">
        <f>IFERROR(__xludf.DUMMYFUNCTION("""COMPUTED_VALUE"""),"#REF!")</f>
        <v>#REF!</v>
      </c>
      <c r="N6189" s="17"/>
      <c r="O6189" s="17"/>
      <c r="P6189" s="17" t="b">
        <f>IFERROR(__xludf.DUMMYFUNCTION("""COMPUTED_VALUE"""),FALSE)</f>
        <v>0</v>
      </c>
      <c r="Q6189" s="20" t="str">
        <f>IFERROR(__xludf.DUMMYFUNCTION("""COMPUTED_VALUE"""),"")</f>
        <v/>
      </c>
      <c r="R6189" s="21" t="str">
        <f>IFERROR(__xludf.DUMMYFUNCTION("""COMPUTED_VALUE"""),"https://drive.google.com/file/d/10vG_4EcFDFN_cHCY8NUqJ1DKaS7Mch0r/view?usp=drivesdk")</f>
        <v>https://drive.google.com/file/d/10vG_4EcFDFN_cHCY8NUqJ1DKaS7Mch0r/view?usp=drivesdk</v>
      </c>
    </row>
    <row r="6190">
      <c r="A6190" s="15">
        <f>IFERROR(__xludf.DUMMYFUNCTION("""COMPUTED_VALUE"""),45177.0)</f>
        <v>45177</v>
      </c>
      <c r="B6190" s="16" t="str">
        <f>IFERROR(__xludf.DUMMYFUNCTION("""COMPUTED_VALUE"""),"Jeison Rubiano")</f>
        <v>Jeison Rubiano</v>
      </c>
      <c r="C6190" s="15" t="str">
        <f>IFERROR(__xludf.DUMMYFUNCTION("""COMPUTED_VALUE"""),"BOGOTÁ")</f>
        <v>BOGOTÁ</v>
      </c>
      <c r="D6190" s="15" t="str">
        <f>IFERROR(__xludf.DUMMYFUNCTION("""COMPUTED_VALUE"""),"MEDELLÍN")</f>
        <v>MEDELLÍN</v>
      </c>
      <c r="E6190" s="15" t="str">
        <f>IFERROR(__xludf.DUMMYFUNCTION("""COMPUTED_VALUE"""),"Baby Chef")</f>
        <v>Baby Chef</v>
      </c>
      <c r="F6190" s="17" t="str">
        <f>IFERROR(__xludf.DUMMYFUNCTION("""COMPUTED_VALUE"""),"Cra 3 # 4 - 112 Sur Casa 7 Conjunto Golpe de Agua Barrio Centro - Cajicá / Cra 3 # 4 - 112 Sur Casa 7 Conjunto Golpe de Agua Barrio Centro - Cajicá / Cra 3 # 4 - 112 Sur Casa 7 Conjunto Golpe de Agua Barrio Centro - Cajicá")</f>
        <v>Cra 3 # 4 - 112 Sur Casa 7 Conjunto Golpe de Agua Barrio Centro - Cajicá / Cra 3 # 4 - 112 Sur Casa 7 Conjunto Golpe de Agua Barrio Centro - Cajicá / Cra 3 # 4 - 112 Sur Casa 7 Conjunto Golpe de Agua Barrio Centro - Cajicá</v>
      </c>
      <c r="G6190" s="15" t="str">
        <f>IFERROR(__xludf.DUMMYFUNCTION("""COMPUTED_VALUE"""),"Liliana Umaña")</f>
        <v>Liliana Umaña</v>
      </c>
      <c r="H6190" s="16">
        <f>IFERROR(__xludf.DUMMYFUNCTION("""COMPUTED_VALUE"""),14943.0)</f>
        <v>14943</v>
      </c>
      <c r="I6190" s="18">
        <f>IFERROR(__xludf.DUMMYFUNCTION("""COMPUTED_VALUE"""),6.0)</f>
        <v>6</v>
      </c>
      <c r="J6190" s="18">
        <f>IFERROR(__xludf.DUMMYFUNCTION("""COMPUTED_VALUE"""),21.0)</f>
        <v>21</v>
      </c>
      <c r="K6190" s="18">
        <f>IFERROR(__xludf.DUMMYFUNCTION("""COMPUTED_VALUE"""),32.0)</f>
        <v>32</v>
      </c>
      <c r="L6190" s="17">
        <f>IFERROR(__xludf.DUMMYFUNCTION("""COMPUTED_VALUE"""),3.007142258E9)</f>
        <v>3007142258</v>
      </c>
      <c r="M6190" s="17" t="str">
        <f>IFERROR(__xludf.DUMMYFUNCTION("""COMPUTED_VALUE"""),"#REF!")</f>
        <v>#REF!</v>
      </c>
      <c r="N6190" s="17"/>
      <c r="O6190" s="17"/>
      <c r="P6190" s="17" t="b">
        <f>IFERROR(__xludf.DUMMYFUNCTION("""COMPUTED_VALUE"""),FALSE)</f>
        <v>0</v>
      </c>
      <c r="Q6190" s="20" t="str">
        <f>IFERROR(__xludf.DUMMYFUNCTION("""COMPUTED_VALUE"""),"")</f>
        <v/>
      </c>
      <c r="R6190" s="21" t="str">
        <f>IFERROR(__xludf.DUMMYFUNCTION("""COMPUTED_VALUE"""),"https://drive.google.com/file/d/13gmn-dzR4AbyWNg9IdrrmX8Eo0cgaRb9/view?usp=drivesdk")</f>
        <v>https://drive.google.com/file/d/13gmn-dzR4AbyWNg9IdrrmX8Eo0cgaRb9/view?usp=drivesdk</v>
      </c>
    </row>
    <row r="6191">
      <c r="A6191" s="15">
        <f>IFERROR(__xludf.DUMMYFUNCTION("""COMPUTED_VALUE"""),45177.0)</f>
        <v>45177</v>
      </c>
      <c r="B6191" s="16" t="str">
        <f>IFERROR(__xludf.DUMMYFUNCTION("""COMPUTED_VALUE"""),"Jeison Rubiano")</f>
        <v>Jeison Rubiano</v>
      </c>
      <c r="C6191" s="15" t="str">
        <f>IFERROR(__xludf.DUMMYFUNCTION("""COMPUTED_VALUE"""),"BOGOTÁ")</f>
        <v>BOGOTÁ</v>
      </c>
      <c r="D6191" s="15" t="str">
        <f>IFERROR(__xludf.DUMMYFUNCTION("""COMPUTED_VALUE"""),"MEDELLÍN")</f>
        <v>MEDELLÍN</v>
      </c>
      <c r="E6191" s="15" t="str">
        <f>IFERROR(__xludf.DUMMYFUNCTION("""COMPUTED_VALUE"""),"Baby Chef")</f>
        <v>Baby Chef</v>
      </c>
      <c r="F6191" s="17" t="str">
        <f>IFERROR(__xludf.DUMMYFUNCTION("""COMPUTED_VALUE"""),"Cra 56 # 145-51 interior 5 apartamento 204 Edificio colinas de santa paula Interior 5 Ap 204 / Cra 56 # 145-51 interior 5 apartamento 204 Edificio colinas de santa paula Interior 5 Ap 204 / Cra 56 # 145-51 interior 5 apartamento 204 Edificio colinas de sa"&amp;"nta paula Interior 5 Ap 204")</f>
        <v>Cra 56 # 145-51 interior 5 apartamento 204 Edificio colinas de santa paula Interior 5 Ap 204 / Cra 56 # 145-51 interior 5 apartamento 204 Edificio colinas de santa paula Interior 5 Ap 204 / Cra 56 # 145-51 interior 5 apartamento 204 Edificio colinas de santa paula Interior 5 Ap 204</v>
      </c>
      <c r="G6191" s="15" t="str">
        <f>IFERROR(__xludf.DUMMYFUNCTION("""COMPUTED_VALUE"""),"Dunya Marcela Ortíz")</f>
        <v>Dunya Marcela Ortíz</v>
      </c>
      <c r="H6191" s="16">
        <f>IFERROR(__xludf.DUMMYFUNCTION("""COMPUTED_VALUE"""),14938.0)</f>
        <v>14938</v>
      </c>
      <c r="I6191" s="18">
        <f>IFERROR(__xludf.DUMMYFUNCTION("""COMPUTED_VALUE"""),7.0)</f>
        <v>7</v>
      </c>
      <c r="J6191" s="18">
        <f>IFERROR(__xludf.DUMMYFUNCTION("""COMPUTED_VALUE"""),23.0)</f>
        <v>23</v>
      </c>
      <c r="K6191" s="18">
        <f>IFERROR(__xludf.DUMMYFUNCTION("""COMPUTED_VALUE"""),45.0)</f>
        <v>45</v>
      </c>
      <c r="L6191" s="17">
        <f>IFERROR(__xludf.DUMMYFUNCTION("""COMPUTED_VALUE"""),3.008428993E9)</f>
        <v>3008428993</v>
      </c>
      <c r="M6191" s="17" t="str">
        <f>IFERROR(__xludf.DUMMYFUNCTION("""COMPUTED_VALUE"""),"#REF!")</f>
        <v>#REF!</v>
      </c>
      <c r="N6191" s="17"/>
      <c r="O6191" s="17"/>
      <c r="P6191" s="17" t="b">
        <f>IFERROR(__xludf.DUMMYFUNCTION("""COMPUTED_VALUE"""),FALSE)</f>
        <v>0</v>
      </c>
      <c r="Q6191" s="20" t="str">
        <f>IFERROR(__xludf.DUMMYFUNCTION("""COMPUTED_VALUE"""),"")</f>
        <v/>
      </c>
      <c r="R6191" s="21" t="str">
        <f>IFERROR(__xludf.DUMMYFUNCTION("""COMPUTED_VALUE"""),"https://drive.google.com/file/d/1ArYyJh_QEq3fdNf_0czAp9Ec2guWP8N9/view?usp=drivesdk")</f>
        <v>https://drive.google.com/file/d/1ArYyJh_QEq3fdNf_0czAp9Ec2guWP8N9/view?usp=drivesdk</v>
      </c>
    </row>
    <row r="6192">
      <c r="A6192" s="15">
        <f>IFERROR(__xludf.DUMMYFUNCTION("""COMPUTED_VALUE"""),45177.0)</f>
        <v>45177</v>
      </c>
      <c r="B6192" s="16" t="str">
        <f>IFERROR(__xludf.DUMMYFUNCTION("""COMPUTED_VALUE"""),"Jeison Rubiano")</f>
        <v>Jeison Rubiano</v>
      </c>
      <c r="C6192" s="15" t="str">
        <f>IFERROR(__xludf.DUMMYFUNCTION("""COMPUTED_VALUE"""),"BOGOTÁ")</f>
        <v>BOGOTÁ</v>
      </c>
      <c r="D6192" s="15" t="str">
        <f>IFERROR(__xludf.DUMMYFUNCTION("""COMPUTED_VALUE"""),"MEDELLÍN")</f>
        <v>MEDELLÍN</v>
      </c>
      <c r="E6192" s="15" t="str">
        <f>IFERROR(__xludf.DUMMYFUNCTION("""COMPUTED_VALUE"""),"Baby Chef")</f>
        <v>Baby Chef</v>
      </c>
      <c r="F6192" s="17" t="str">
        <f>IFERROR(__xludf.DUMMYFUNCTION("""COMPUTED_VALUE"""),"Cra 72 bis # 147 60 Torre 1 Apto 706 Conjunto Pratum / Cra 72 bis # 147 60 Torre 1 Apto 706 Conjunto Pratum / Cra 72 bis # 147 60 Torre 1 Apto 706 Conjunto Pratum")</f>
        <v>Cra 72 bis # 147 60 Torre 1 Apto 706 Conjunto Pratum / Cra 72 bis # 147 60 Torre 1 Apto 706 Conjunto Pratum / Cra 72 bis # 147 60 Torre 1 Apto 706 Conjunto Pratum</v>
      </c>
      <c r="G6192" s="15" t="str">
        <f>IFERROR(__xludf.DUMMYFUNCTION("""COMPUTED_VALUE"""),"Dayanna Galvis")</f>
        <v>Dayanna Galvis</v>
      </c>
      <c r="H6192" s="16">
        <f>IFERROR(__xludf.DUMMYFUNCTION("""COMPUTED_VALUE"""),14941.0)</f>
        <v>14941</v>
      </c>
      <c r="I6192" s="18">
        <f>IFERROR(__xludf.DUMMYFUNCTION("""COMPUTED_VALUE"""),6.0)</f>
        <v>6</v>
      </c>
      <c r="J6192" s="18">
        <f>IFERROR(__xludf.DUMMYFUNCTION("""COMPUTED_VALUE"""),21.0)</f>
        <v>21</v>
      </c>
      <c r="K6192" s="18">
        <f>IFERROR(__xludf.DUMMYFUNCTION("""COMPUTED_VALUE"""),32.0)</f>
        <v>32</v>
      </c>
      <c r="L6192" s="17">
        <f>IFERROR(__xludf.DUMMYFUNCTION("""COMPUTED_VALUE"""),3.163077559E9)</f>
        <v>3163077559</v>
      </c>
      <c r="M6192" s="17" t="str">
        <f>IFERROR(__xludf.DUMMYFUNCTION("""COMPUTED_VALUE"""),"#REF!")</f>
        <v>#REF!</v>
      </c>
      <c r="N6192" s="17"/>
      <c r="O6192" s="17"/>
      <c r="P6192" s="17" t="b">
        <f>IFERROR(__xludf.DUMMYFUNCTION("""COMPUTED_VALUE"""),FALSE)</f>
        <v>0</v>
      </c>
      <c r="Q6192" s="20" t="str">
        <f>IFERROR(__xludf.DUMMYFUNCTION("""COMPUTED_VALUE"""),"")</f>
        <v/>
      </c>
      <c r="R6192" s="21" t="str">
        <f>IFERROR(__xludf.DUMMYFUNCTION("""COMPUTED_VALUE"""),"https://drive.google.com/file/d/1TMjQCTwq0_uqh0DU0NHz3bgorgx4NA8j/view?usp=drivesdk")</f>
        <v>https://drive.google.com/file/d/1TMjQCTwq0_uqh0DU0NHz3bgorgx4NA8j/view?usp=drivesdk</v>
      </c>
    </row>
    <row r="6193">
      <c r="A6193" s="15">
        <f>IFERROR(__xludf.DUMMYFUNCTION("""COMPUTED_VALUE"""),45177.0)</f>
        <v>45177</v>
      </c>
      <c r="B6193" s="16" t="str">
        <f>IFERROR(__xludf.DUMMYFUNCTION("""COMPUTED_VALUE"""),"Jeison Rubiano")</f>
        <v>Jeison Rubiano</v>
      </c>
      <c r="C6193" s="15" t="str">
        <f>IFERROR(__xludf.DUMMYFUNCTION("""COMPUTED_VALUE"""),"BOGOTÁ")</f>
        <v>BOGOTÁ</v>
      </c>
      <c r="D6193" s="15" t="str">
        <f>IFERROR(__xludf.DUMMYFUNCTION("""COMPUTED_VALUE"""),"MEDELLÍN")</f>
        <v>MEDELLÍN</v>
      </c>
      <c r="E6193" s="15" t="str">
        <f>IFERROR(__xludf.DUMMYFUNCTION("""COMPUTED_VALUE"""),"Baby Chef")</f>
        <v>Baby Chef</v>
      </c>
      <c r="F6193" s="17" t="str">
        <f>IFERROR(__xludf.DUMMYFUNCTION("""COMPUTED_VALUE"""),"Diagonal 89 A No. 117-50 interior 8 Apartamento 501 / Diagonal 89 A No. 117-50 interior 8 Apartamento 501 / Diagonal 89 A No. 117-50 interior 8 Apartamento 501")</f>
        <v>Diagonal 89 A No. 117-50 interior 8 Apartamento 501 / Diagonal 89 A No. 117-50 interior 8 Apartamento 501 / Diagonal 89 A No. 117-50 interior 8 Apartamento 501</v>
      </c>
      <c r="G6193" s="15" t="str">
        <f>IFERROR(__xludf.DUMMYFUNCTION("""COMPUTED_VALUE"""),"Nataly Victoria Garzón")</f>
        <v>Nataly Victoria Garzón</v>
      </c>
      <c r="H6193" s="16">
        <f>IFERROR(__xludf.DUMMYFUNCTION("""COMPUTED_VALUE"""),14937.0)</f>
        <v>14937</v>
      </c>
      <c r="I6193" s="18">
        <f>IFERROR(__xludf.DUMMYFUNCTION("""COMPUTED_VALUE"""),6.0)</f>
        <v>6</v>
      </c>
      <c r="J6193" s="18">
        <f>IFERROR(__xludf.DUMMYFUNCTION("""COMPUTED_VALUE"""),21.0)</f>
        <v>21</v>
      </c>
      <c r="K6193" s="18">
        <f>IFERROR(__xludf.DUMMYFUNCTION("""COMPUTED_VALUE"""),35.0)</f>
        <v>35</v>
      </c>
      <c r="L6193" s="17">
        <f>IFERROR(__xludf.DUMMYFUNCTION("""COMPUTED_VALUE"""),3.152861102E9)</f>
        <v>3152861102</v>
      </c>
      <c r="M6193" s="17" t="str">
        <f>IFERROR(__xludf.DUMMYFUNCTION("""COMPUTED_VALUE"""),"#REF!")</f>
        <v>#REF!</v>
      </c>
      <c r="N6193" s="17"/>
      <c r="O6193" s="17"/>
      <c r="P6193" s="17" t="b">
        <f>IFERROR(__xludf.DUMMYFUNCTION("""COMPUTED_VALUE"""),FALSE)</f>
        <v>0</v>
      </c>
      <c r="Q6193" s="20" t="str">
        <f>IFERROR(__xludf.DUMMYFUNCTION("""COMPUTED_VALUE"""),"")</f>
        <v/>
      </c>
      <c r="R6193" s="21" t="str">
        <f>IFERROR(__xludf.DUMMYFUNCTION("""COMPUTED_VALUE"""),"https://drive.google.com/file/d/1qZgY6OutOTO53WyEf_cC8hucH2pRW1Jz/view?usp=drivesdk")</f>
        <v>https://drive.google.com/file/d/1qZgY6OutOTO53WyEf_cC8hucH2pRW1Jz/view?usp=drivesdk</v>
      </c>
    </row>
    <row r="6194">
      <c r="A6194" s="15">
        <f>IFERROR(__xludf.DUMMYFUNCTION("""COMPUTED_VALUE"""),45177.0)</f>
        <v>45177</v>
      </c>
      <c r="B6194" s="16" t="str">
        <f>IFERROR(__xludf.DUMMYFUNCTION("""COMPUTED_VALUE"""),"Jeison Rubiano")</f>
        <v>Jeison Rubiano</v>
      </c>
      <c r="C6194" s="15" t="str">
        <f>IFERROR(__xludf.DUMMYFUNCTION("""COMPUTED_VALUE"""),"BOGOTÁ")</f>
        <v>BOGOTÁ</v>
      </c>
      <c r="D6194" s="15" t="str">
        <f>IFERROR(__xludf.DUMMYFUNCTION("""COMPUTED_VALUE"""),"MEDELLÍN")</f>
        <v>MEDELLÍN</v>
      </c>
      <c r="E6194" s="15" t="str">
        <f>IFERROR(__xludf.DUMMYFUNCTION("""COMPUTED_VALUE"""),"Lácteos El Pino SAS")</f>
        <v>Lácteos El Pino SAS</v>
      </c>
      <c r="F6194" s="17" t="str">
        <f>IFERROR(__xludf.DUMMYFUNCTION("""COMPUTED_VALUE"""),"CALLE 24A #57-60 / RECIBO EN ZONA DE CARGA POR EL DEPRIMIDO- COMPRAS")</f>
        <v>CALLE 24A #57-60 / RECIBO EN ZONA DE CARGA POR EL DEPRIMIDO- COMPRAS</v>
      </c>
      <c r="G6194" s="15" t="str">
        <f>IFERROR(__xludf.DUMMYFUNCTION("""COMPUTED_VALUE"""),"HOTEL GRAND HYATT BOGOTA")</f>
        <v>HOTEL GRAND HYATT BOGOTA</v>
      </c>
      <c r="H6194" s="16">
        <f>IFERROR(__xludf.DUMMYFUNCTION("""COMPUTED_VALUE"""),14924.0)</f>
        <v>14924</v>
      </c>
      <c r="I6194" s="18" t="str">
        <f>IFERROR(__xludf.DUMMYFUNCTION("""COMPUTED_VALUE"""),"52.5")</f>
        <v>52.5</v>
      </c>
      <c r="J6194" s="18">
        <f>IFERROR(__xludf.DUMMYFUNCTION("""COMPUTED_VALUE"""),45.0)</f>
        <v>45</v>
      </c>
      <c r="K6194" s="18">
        <f>IFERROR(__xludf.DUMMYFUNCTION("""COMPUTED_VALUE"""),55.0)</f>
        <v>55</v>
      </c>
      <c r="L6194" s="17">
        <f>IFERROR(__xludf.DUMMYFUNCTION("""COMPUTED_VALUE"""),3.203093705E9)</f>
        <v>3203093705</v>
      </c>
      <c r="M6194" s="17" t="str">
        <f>IFERROR(__xludf.DUMMYFUNCTION("""COMPUTED_VALUE"""),"#REF!")</f>
        <v>#REF!</v>
      </c>
      <c r="N6194" s="17"/>
      <c r="O6194" s="17"/>
      <c r="P6194" s="17" t="b">
        <f>IFERROR(__xludf.DUMMYFUNCTION("""COMPUTED_VALUE"""),FALSE)</f>
        <v>0</v>
      </c>
      <c r="Q6194" s="20" t="str">
        <f>IFERROR(__xludf.DUMMYFUNCTION("""COMPUTED_VALUE"""),"")</f>
        <v/>
      </c>
      <c r="R6194" s="22" t="str">
        <f>IFERROR(__xludf.DUMMYFUNCTION("""COMPUTED_VALUE"""),"")</f>
        <v/>
      </c>
    </row>
    <row r="6195">
      <c r="A6195" s="15">
        <f>IFERROR(__xludf.DUMMYFUNCTION("""COMPUTED_VALUE"""),45177.0)</f>
        <v>45177</v>
      </c>
      <c r="B6195" s="16" t="str">
        <f>IFERROR(__xludf.DUMMYFUNCTION("""COMPUTED_VALUE"""),"Jeison Rubiano")</f>
        <v>Jeison Rubiano</v>
      </c>
      <c r="C6195" s="15" t="str">
        <f>IFERROR(__xludf.DUMMYFUNCTION("""COMPUTED_VALUE"""),"BOGOTÁ")</f>
        <v>BOGOTÁ</v>
      </c>
      <c r="D6195" s="15" t="str">
        <f>IFERROR(__xludf.DUMMYFUNCTION("""COMPUTED_VALUE"""),"MEDELLÍN")</f>
        <v>MEDELLÍN</v>
      </c>
      <c r="E6195" s="15" t="str">
        <f>IFERROR(__xludf.DUMMYFUNCTION("""COMPUTED_VALUE"""),"Magda")</f>
        <v>Magda</v>
      </c>
      <c r="F6195" s="17" t="str">
        <f>IFERROR(__xludf.DUMMYFUNCTION("""COMPUTED_VALUE"""),"Calle 71a # 14a22/26 / Cocinas ocultas / San Felipe")</f>
        <v>Calle 71a # 14a22/26 / Cocinas ocultas / San Felipe</v>
      </c>
      <c r="G6195" s="15" t="str">
        <f>IFERROR(__xludf.DUMMYFUNCTION("""COMPUTED_VALUE"""),"Andrés Hernández")</f>
        <v>Andrés Hernández</v>
      </c>
      <c r="H6195" s="16">
        <f>IFERROR(__xludf.DUMMYFUNCTION("""COMPUTED_VALUE"""),14886.0)</f>
        <v>14886</v>
      </c>
      <c r="I6195" s="18">
        <f>IFERROR(__xludf.DUMMYFUNCTION("""COMPUTED_VALUE"""),5.0)</f>
        <v>5</v>
      </c>
      <c r="J6195" s="18">
        <f>IFERROR(__xludf.DUMMYFUNCTION("""COMPUTED_VALUE"""),5.0)</f>
        <v>5</v>
      </c>
      <c r="K6195" s="18">
        <f>IFERROR(__xludf.DUMMYFUNCTION("""COMPUTED_VALUE"""),5.0)</f>
        <v>5</v>
      </c>
      <c r="L6195" s="17">
        <f>IFERROR(__xludf.DUMMYFUNCTION("""COMPUTED_VALUE"""),3.214229567E9)</f>
        <v>3214229567</v>
      </c>
      <c r="M6195" s="17" t="str">
        <f>IFERROR(__xludf.DUMMYFUNCTION("""COMPUTED_VALUE"""),"#REF!")</f>
        <v>#REF!</v>
      </c>
      <c r="N6195" s="17"/>
      <c r="O6195" s="17"/>
      <c r="P6195" s="17" t="b">
        <f>IFERROR(__xludf.DUMMYFUNCTION("""COMPUTED_VALUE"""),FALSE)</f>
        <v>0</v>
      </c>
      <c r="Q6195" s="20" t="str">
        <f>IFERROR(__xludf.DUMMYFUNCTION("""COMPUTED_VALUE"""),"")</f>
        <v/>
      </c>
      <c r="R6195" s="22" t="str">
        <f>IFERROR(__xludf.DUMMYFUNCTION("""COMPUTED_VALUE"""),"")</f>
        <v/>
      </c>
    </row>
    <row r="6196">
      <c r="A6196" s="15">
        <f>IFERROR(__xludf.DUMMYFUNCTION("""COMPUTED_VALUE"""),45177.0)</f>
        <v>45177</v>
      </c>
      <c r="B6196" s="16" t="str">
        <f>IFERROR(__xludf.DUMMYFUNCTION("""COMPUTED_VALUE"""),"Jeison Rubiano")</f>
        <v>Jeison Rubiano</v>
      </c>
      <c r="C6196" s="15" t="str">
        <f>IFERROR(__xludf.DUMMYFUNCTION("""COMPUTED_VALUE"""),"BOGOTÁ")</f>
        <v>BOGOTÁ</v>
      </c>
      <c r="D6196" s="15" t="str">
        <f>IFERROR(__xludf.DUMMYFUNCTION("""COMPUTED_VALUE"""),"MEDELLÍN")</f>
        <v>MEDELLÍN</v>
      </c>
      <c r="E6196" s="15" t="str">
        <f>IFERROR(__xludf.DUMMYFUNCTION("""COMPUTED_VALUE"""),"Moloso S.A.S")</f>
        <v>Moloso S.A.S</v>
      </c>
      <c r="F6196" s="17" t="str">
        <f>IFERROR(__xludf.DUMMYFUNCTION("""COMPUTED_VALUE"""),"CL 23C 69B 56 TORRE 4 APT 804 CONJUNTO ALBORARIA / CONJUNTO ALBORARIA")</f>
        <v>CL 23C 69B 56 TORRE 4 APT 804 CONJUNTO ALBORARIA / CONJUNTO ALBORARIA</v>
      </c>
      <c r="G6196" s="15" t="str">
        <f>IFERROR(__xludf.DUMMYFUNCTION("""COMPUTED_VALUE"""),"CLAUDIA LILIANA SANCHEZ FINO")</f>
        <v>CLAUDIA LILIANA SANCHEZ FINO</v>
      </c>
      <c r="H6196" s="16">
        <f>IFERROR(__xludf.DUMMYFUNCTION("""COMPUTED_VALUE"""),14930.0)</f>
        <v>14930</v>
      </c>
      <c r="I6196" s="18">
        <f>IFERROR(__xludf.DUMMYFUNCTION("""COMPUTED_VALUE"""),17.0)</f>
        <v>17</v>
      </c>
      <c r="J6196" s="18">
        <f>IFERROR(__xludf.DUMMYFUNCTION("""COMPUTED_VALUE"""),15.0)</f>
        <v>15</v>
      </c>
      <c r="K6196" s="18">
        <f>IFERROR(__xludf.DUMMYFUNCTION("""COMPUTED_VALUE"""),28.0)</f>
        <v>28</v>
      </c>
      <c r="L6196" s="17" t="str">
        <f>IFERROR(__xludf.DUMMYFUNCTION("""COMPUTED_VALUE"""),"313 2626232")</f>
        <v>313 2626232</v>
      </c>
      <c r="M6196" s="17" t="str">
        <f>IFERROR(__xludf.DUMMYFUNCTION("""COMPUTED_VALUE"""),"#REF!")</f>
        <v>#REF!</v>
      </c>
      <c r="N6196" s="17"/>
      <c r="O6196" s="17"/>
      <c r="P6196" s="17" t="b">
        <f>IFERROR(__xludf.DUMMYFUNCTION("""COMPUTED_VALUE"""),FALSE)</f>
        <v>0</v>
      </c>
      <c r="Q6196" s="20" t="str">
        <f>IFERROR(__xludf.DUMMYFUNCTION("""COMPUTED_VALUE"""),"")</f>
        <v/>
      </c>
      <c r="R6196" s="21" t="str">
        <f>IFERROR(__xludf.DUMMYFUNCTION("""COMPUTED_VALUE"""),"https://drive.google.com/file/d/1Xo46UjRrsZW6Yqy8CbQjU_rHwwPbSjm4/view?usp=drivesdk")</f>
        <v>https://drive.google.com/file/d/1Xo46UjRrsZW6Yqy8CbQjU_rHwwPbSjm4/view?usp=drivesdk</v>
      </c>
    </row>
    <row r="6197">
      <c r="A6197" s="15">
        <f>IFERROR(__xludf.DUMMYFUNCTION("""COMPUTED_VALUE"""),45177.0)</f>
        <v>45177</v>
      </c>
      <c r="B6197" s="16" t="str">
        <f>IFERROR(__xludf.DUMMYFUNCTION("""COMPUTED_VALUE"""),"Jeison Rubiano")</f>
        <v>Jeison Rubiano</v>
      </c>
      <c r="C6197" s="15" t="str">
        <f>IFERROR(__xludf.DUMMYFUNCTION("""COMPUTED_VALUE"""),"BOGOTÁ")</f>
        <v>BOGOTÁ</v>
      </c>
      <c r="D6197" s="15" t="str">
        <f>IFERROR(__xludf.DUMMYFUNCTION("""COMPUTED_VALUE"""),"MEDELLÍN")</f>
        <v>MEDELLÍN</v>
      </c>
      <c r="E6197" s="15" t="str">
        <f>IFERROR(__xludf.DUMMYFUNCTION("""COMPUTED_VALUE"""),"Moloso S.A.S")</f>
        <v>Moloso S.A.S</v>
      </c>
      <c r="F6197" s="17" t="str">
        <f>IFERROR(__xludf.DUMMYFUNCTION("""COMPUTED_VALUE"""),"CR 27 47A 65 ED ARK01 AP 1007 / ED ARK01 AP 1007")</f>
        <v>CR 27 47A 65 ED ARK01 AP 1007 / ED ARK01 AP 1007</v>
      </c>
      <c r="G6197" s="15" t="str">
        <f>IFERROR(__xludf.DUMMYFUNCTION("""COMPUTED_VALUE"""),"GINA MARCELA HINCAPIE")</f>
        <v>GINA MARCELA HINCAPIE</v>
      </c>
      <c r="H6197" s="16">
        <f>IFERROR(__xludf.DUMMYFUNCTION("""COMPUTED_VALUE"""),14932.0)</f>
        <v>14932</v>
      </c>
      <c r="I6197" s="18">
        <f>IFERROR(__xludf.DUMMYFUNCTION("""COMPUTED_VALUE"""),17.0)</f>
        <v>17</v>
      </c>
      <c r="J6197" s="18">
        <f>IFERROR(__xludf.DUMMYFUNCTION("""COMPUTED_VALUE"""),15.0)</f>
        <v>15</v>
      </c>
      <c r="K6197" s="18">
        <f>IFERROR(__xludf.DUMMYFUNCTION("""COMPUTED_VALUE"""),28.0)</f>
        <v>28</v>
      </c>
      <c r="L6197" s="17">
        <f>IFERROR(__xludf.DUMMYFUNCTION("""COMPUTED_VALUE"""),3.164832746E9)</f>
        <v>3164832746</v>
      </c>
      <c r="M6197" s="17" t="str">
        <f>IFERROR(__xludf.DUMMYFUNCTION("""COMPUTED_VALUE"""),"#REF!")</f>
        <v>#REF!</v>
      </c>
      <c r="N6197" s="17"/>
      <c r="O6197" s="17"/>
      <c r="P6197" s="17" t="b">
        <f>IFERROR(__xludf.DUMMYFUNCTION("""COMPUTED_VALUE"""),FALSE)</f>
        <v>0</v>
      </c>
      <c r="Q6197" s="20" t="str">
        <f>IFERROR(__xludf.DUMMYFUNCTION("""COMPUTED_VALUE"""),"")</f>
        <v/>
      </c>
      <c r="R6197" s="21" t="str">
        <f>IFERROR(__xludf.DUMMYFUNCTION("""COMPUTED_VALUE"""),"https://drive.google.com/file/d/1rMmdPakZmZ7J2Rq8gW--iOAQjsfj1-xA/view?usp=drivesdk")</f>
        <v>https://drive.google.com/file/d/1rMmdPakZmZ7J2Rq8gW--iOAQjsfj1-xA/view?usp=drivesdk</v>
      </c>
    </row>
    <row r="6198">
      <c r="A6198" s="15">
        <f>IFERROR(__xludf.DUMMYFUNCTION("""COMPUTED_VALUE"""),45177.0)</f>
        <v>45177</v>
      </c>
      <c r="B6198" s="16" t="str">
        <f>IFERROR(__xludf.DUMMYFUNCTION("""COMPUTED_VALUE"""),"Jeison Rubiano")</f>
        <v>Jeison Rubiano</v>
      </c>
      <c r="C6198" s="15" t="str">
        <f>IFERROR(__xludf.DUMMYFUNCTION("""COMPUTED_VALUE"""),"BOGOTÁ")</f>
        <v>BOGOTÁ</v>
      </c>
      <c r="D6198" s="15" t="str">
        <f>IFERROR(__xludf.DUMMYFUNCTION("""COMPUTED_VALUE"""),"MEDELLÍN")</f>
        <v>MEDELLÍN</v>
      </c>
      <c r="E6198" s="15" t="str">
        <f>IFERROR(__xludf.DUMMYFUNCTION("""COMPUTED_VALUE"""),"Moloso S.A.S")</f>
        <v>Moloso S.A.S</v>
      </c>
      <c r="F6198" s="17" t="str">
        <f>IFERROR(__xludf.DUMMYFUNCTION("""COMPUTED_VALUE"""),"CRA 55 149 09  CONJUNTO MONTECARLO 3 CASA 16 / CONJUNTO MONTECARLO 3 CASA 16")</f>
        <v>CRA 55 149 09  CONJUNTO MONTECARLO 3 CASA 16 / CONJUNTO MONTECARLO 3 CASA 16</v>
      </c>
      <c r="G6198" s="15" t="str">
        <f>IFERROR(__xludf.DUMMYFUNCTION("""COMPUTED_VALUE"""),"CLAUDIA ADRIANA GARCIA FINO")</f>
        <v>CLAUDIA ADRIANA GARCIA FINO</v>
      </c>
      <c r="H6198" s="16">
        <f>IFERROR(__xludf.DUMMYFUNCTION("""COMPUTED_VALUE"""),14931.0)</f>
        <v>14931</v>
      </c>
      <c r="I6198" s="18">
        <f>IFERROR(__xludf.DUMMYFUNCTION("""COMPUTED_VALUE"""),17.0)</f>
        <v>17</v>
      </c>
      <c r="J6198" s="18">
        <f>IFERROR(__xludf.DUMMYFUNCTION("""COMPUTED_VALUE"""),15.0)</f>
        <v>15</v>
      </c>
      <c r="K6198" s="18">
        <f>IFERROR(__xludf.DUMMYFUNCTION("""COMPUTED_VALUE"""),28.0)</f>
        <v>28</v>
      </c>
      <c r="L6198" s="17" t="str">
        <f>IFERROR(__xludf.DUMMYFUNCTION("""COMPUTED_VALUE"""),"313 2628813")</f>
        <v>313 2628813</v>
      </c>
      <c r="M6198" s="17" t="str">
        <f>IFERROR(__xludf.DUMMYFUNCTION("""COMPUTED_VALUE"""),"#REF!")</f>
        <v>#REF!</v>
      </c>
      <c r="N6198" s="17"/>
      <c r="O6198" s="17"/>
      <c r="P6198" s="17" t="b">
        <f>IFERROR(__xludf.DUMMYFUNCTION("""COMPUTED_VALUE"""),FALSE)</f>
        <v>0</v>
      </c>
      <c r="Q6198" s="20" t="str">
        <f>IFERROR(__xludf.DUMMYFUNCTION("""COMPUTED_VALUE"""),"")</f>
        <v/>
      </c>
      <c r="R6198" s="21" t="str">
        <f>IFERROR(__xludf.DUMMYFUNCTION("""COMPUTED_VALUE"""),"https://drive.google.com/file/d/1viTug6wMwP-MFe55u8jhMtE9IluWeozu/view?usp=drivesdk")</f>
        <v>https://drive.google.com/file/d/1viTug6wMwP-MFe55u8jhMtE9IluWeozu/view?usp=drivesdk</v>
      </c>
    </row>
    <row r="6199">
      <c r="A6199" s="15">
        <f>IFERROR(__xludf.DUMMYFUNCTION("""COMPUTED_VALUE"""),45177.0)</f>
        <v>45177</v>
      </c>
      <c r="B6199" s="16" t="str">
        <f>IFERROR(__xludf.DUMMYFUNCTION("""COMPUTED_VALUE"""),"Jeison Rubiano")</f>
        <v>Jeison Rubiano</v>
      </c>
      <c r="C6199" s="15" t="str">
        <f>IFERROR(__xludf.DUMMYFUNCTION("""COMPUTED_VALUE"""),"BOGOTÁ")</f>
        <v>BOGOTÁ</v>
      </c>
      <c r="D6199" s="15" t="str">
        <f>IFERROR(__xludf.DUMMYFUNCTION("""COMPUTED_VALUE"""),"MEDELLÍN")</f>
        <v>MEDELLÍN</v>
      </c>
      <c r="E6199" s="15" t="str">
        <f>IFERROR(__xludf.DUMMYFUNCTION("""COMPUTED_VALUE"""),"Puro Verde")</f>
        <v>Puro Verde</v>
      </c>
      <c r="F6199" s="17" t="str">
        <f>IFERROR(__xludf.DUMMYFUNCTION("""COMPUTED_VALUE"""),"CRA 12 #96-32.  / 4 PISO. EDIFICIO EMPORIUM / OFICINAS OXXO - FEMSA")</f>
        <v>CRA 12 #96-32.  / 4 PISO. EDIFICIO EMPORIUM / OFICINAS OXXO - FEMSA</v>
      </c>
      <c r="G6199" s="15" t="str">
        <f>IFERROR(__xludf.DUMMYFUNCTION("""COMPUTED_VALUE"""),"YULIANA VILLARREAL")</f>
        <v>YULIANA VILLARREAL</v>
      </c>
      <c r="H6199" s="16">
        <f>IFERROR(__xludf.DUMMYFUNCTION("""COMPUTED_VALUE"""),14915.0)</f>
        <v>14915</v>
      </c>
      <c r="I6199" s="18">
        <f>IFERROR(__xludf.DUMMYFUNCTION("""COMPUTED_VALUE"""),45060.0)</f>
        <v>45060</v>
      </c>
      <c r="J6199" s="18">
        <f>IFERROR(__xludf.DUMMYFUNCTION("""COMPUTED_VALUE"""),24.0)</f>
        <v>24</v>
      </c>
      <c r="K6199" s="18">
        <f>IFERROR(__xludf.DUMMYFUNCTION("""COMPUTED_VALUE"""),27.0)</f>
        <v>27</v>
      </c>
      <c r="L6199" s="17">
        <f>IFERROR(__xludf.DUMMYFUNCTION("""COMPUTED_VALUE"""),3.227891658E9)</f>
        <v>3227891658</v>
      </c>
      <c r="M6199" s="17" t="str">
        <f>IFERROR(__xludf.DUMMYFUNCTION("""COMPUTED_VALUE"""),"#REF!")</f>
        <v>#REF!</v>
      </c>
      <c r="N6199" s="17"/>
      <c r="O6199" s="17"/>
      <c r="P6199" s="17" t="b">
        <f>IFERROR(__xludf.DUMMYFUNCTION("""COMPUTED_VALUE"""),FALSE)</f>
        <v>0</v>
      </c>
      <c r="Q6199" s="20" t="str">
        <f>IFERROR(__xludf.DUMMYFUNCTION("""COMPUTED_VALUE"""),"")</f>
        <v/>
      </c>
      <c r="R6199" s="21" t="str">
        <f>IFERROR(__xludf.DUMMYFUNCTION("""COMPUTED_VALUE"""),"https://drive.google.com/file/d/1489xSro5jRsYO94fNthNReQ4AYSyKWDC/view?usp=drivesdk")</f>
        <v>https://drive.google.com/file/d/1489xSro5jRsYO94fNthNReQ4AYSyKWDC/view?usp=drivesdk</v>
      </c>
    </row>
    <row r="6200">
      <c r="A6200" s="15">
        <f>IFERROR(__xludf.DUMMYFUNCTION("""COMPUTED_VALUE"""),45177.0)</f>
        <v>45177</v>
      </c>
      <c r="B6200" s="16" t="str">
        <f>IFERROR(__xludf.DUMMYFUNCTION("""COMPUTED_VALUE"""),"Jeison Rubiano")</f>
        <v>Jeison Rubiano</v>
      </c>
      <c r="C6200" s="15" t="str">
        <f>IFERROR(__xludf.DUMMYFUNCTION("""COMPUTED_VALUE"""),"BOGOTÁ")</f>
        <v>BOGOTÁ</v>
      </c>
      <c r="D6200" s="15" t="str">
        <f>IFERROR(__xludf.DUMMYFUNCTION("""COMPUTED_VALUE"""),"MEDELLÍN")</f>
        <v>MEDELLÍN</v>
      </c>
      <c r="E6200" s="15" t="str">
        <f>IFERROR(__xludf.DUMMYFUNCTION("""COMPUTED_VALUE"""),"Rambla")</f>
        <v>Rambla</v>
      </c>
      <c r="F6200" s="17" t="str">
        <f>IFERROR(__xludf.DUMMYFUNCTION("""COMPUTED_VALUE"""),"Calle 136 A # 73 A 69 / - / -")</f>
        <v>Calle 136 A # 73 A 69 / - / -</v>
      </c>
      <c r="G6200" s="15" t="str">
        <f>IFERROR(__xludf.DUMMYFUNCTION("""COMPUTED_VALUE"""),"Margehrita Omarini")</f>
        <v>Margehrita Omarini</v>
      </c>
      <c r="H6200" s="16">
        <f>IFERROR(__xludf.DUMMYFUNCTION("""COMPUTED_VALUE"""),14949.0)</f>
        <v>14949</v>
      </c>
      <c r="I6200" s="18">
        <f>IFERROR(__xludf.DUMMYFUNCTION("""COMPUTED_VALUE"""),19.0)</f>
        <v>19</v>
      </c>
      <c r="J6200" s="18">
        <f>IFERROR(__xludf.DUMMYFUNCTION("""COMPUTED_VALUE"""),15.0)</f>
        <v>15</v>
      </c>
      <c r="K6200" s="18">
        <f>IFERROR(__xludf.DUMMYFUNCTION("""COMPUTED_VALUE"""),10.0)</f>
        <v>10</v>
      </c>
      <c r="L6200" s="17">
        <f>IFERROR(__xludf.DUMMYFUNCTION("""COMPUTED_VALUE"""),3.164684094E9)</f>
        <v>3164684094</v>
      </c>
      <c r="M6200" s="17" t="str">
        <f>IFERROR(__xludf.DUMMYFUNCTION("""COMPUTED_VALUE"""),"#REF!")</f>
        <v>#REF!</v>
      </c>
      <c r="N6200" s="17"/>
      <c r="O6200" s="17"/>
      <c r="P6200" s="17" t="b">
        <f>IFERROR(__xludf.DUMMYFUNCTION("""COMPUTED_VALUE"""),FALSE)</f>
        <v>0</v>
      </c>
      <c r="Q6200" s="20" t="str">
        <f>IFERROR(__xludf.DUMMYFUNCTION("""COMPUTED_VALUE"""),"")</f>
        <v/>
      </c>
      <c r="R6200" s="21" t="str">
        <f>IFERROR(__xludf.DUMMYFUNCTION("""COMPUTED_VALUE"""),"https://drive.google.com/file/d/1iox_RjcUrf4wbn1MsqFcIntqHFV7HJGD/view?usp=drivesdk")</f>
        <v>https://drive.google.com/file/d/1iox_RjcUrf4wbn1MsqFcIntqHFV7HJGD/view?usp=drivesdk</v>
      </c>
    </row>
    <row r="6201">
      <c r="A6201" s="15">
        <f>IFERROR(__xludf.DUMMYFUNCTION("""COMPUTED_VALUE"""),45177.0)</f>
        <v>45177</v>
      </c>
      <c r="B6201" s="16" t="str">
        <f>IFERROR(__xludf.DUMMYFUNCTION("""COMPUTED_VALUE"""),"Jeison Rubiano")</f>
        <v>Jeison Rubiano</v>
      </c>
      <c r="C6201" s="15" t="str">
        <f>IFERROR(__xludf.DUMMYFUNCTION("""COMPUTED_VALUE"""),"BOGOTÁ")</f>
        <v>BOGOTÁ</v>
      </c>
      <c r="D6201" s="15" t="str">
        <f>IFERROR(__xludf.DUMMYFUNCTION("""COMPUTED_VALUE"""),"MEDELLÍN")</f>
        <v>MEDELLÍN</v>
      </c>
      <c r="E6201" s="15" t="str">
        <f>IFERROR(__xludf.DUMMYFUNCTION("""COMPUTED_VALUE"""),"Rambla")</f>
        <v>Rambla</v>
      </c>
      <c r="F6201" s="17" t="str">
        <f>IFERROR(__xludf.DUMMYFUNCTION("""COMPUTED_VALUE"""),"Calle 147#58c-80, edificio residencial carra apto 2002 / - / -")</f>
        <v>Calle 147#58c-80, edificio residencial carra apto 2002 / - / -</v>
      </c>
      <c r="G6201" s="15" t="str">
        <f>IFERROR(__xludf.DUMMYFUNCTION("""COMPUTED_VALUE"""),"Diana Duque")</f>
        <v>Diana Duque</v>
      </c>
      <c r="H6201" s="16">
        <f>IFERROR(__xludf.DUMMYFUNCTION("""COMPUTED_VALUE"""),14948.0)</f>
        <v>14948</v>
      </c>
      <c r="I6201" s="18">
        <f>IFERROR(__xludf.DUMMYFUNCTION("""COMPUTED_VALUE"""),19.0)</f>
        <v>19</v>
      </c>
      <c r="J6201" s="18">
        <f>IFERROR(__xludf.DUMMYFUNCTION("""COMPUTED_VALUE"""),10.0)</f>
        <v>10</v>
      </c>
      <c r="K6201" s="18">
        <f>IFERROR(__xludf.DUMMYFUNCTION("""COMPUTED_VALUE"""),10.0)</f>
        <v>10</v>
      </c>
      <c r="L6201" s="17">
        <f>IFERROR(__xludf.DUMMYFUNCTION("""COMPUTED_VALUE"""),3.173891282E9)</f>
        <v>3173891282</v>
      </c>
      <c r="M6201" s="17" t="str">
        <f>IFERROR(__xludf.DUMMYFUNCTION("""COMPUTED_VALUE"""),"#REF!")</f>
        <v>#REF!</v>
      </c>
      <c r="N6201" s="17"/>
      <c r="O6201" s="17"/>
      <c r="P6201" s="17" t="b">
        <f>IFERROR(__xludf.DUMMYFUNCTION("""COMPUTED_VALUE"""),FALSE)</f>
        <v>0</v>
      </c>
      <c r="Q6201" s="20" t="str">
        <f>IFERROR(__xludf.DUMMYFUNCTION("""COMPUTED_VALUE"""),"")</f>
        <v/>
      </c>
      <c r="R6201" s="21" t="str">
        <f>IFERROR(__xludf.DUMMYFUNCTION("""COMPUTED_VALUE"""),"https://drive.google.com/file/d/1-DD13-vN0JgO35HsWmIP4fOtbCh0hUmp/view?usp=drivesdk")</f>
        <v>https://drive.google.com/file/d/1-DD13-vN0JgO35HsWmIP4fOtbCh0hUmp/view?usp=drivesdk</v>
      </c>
    </row>
    <row r="6202">
      <c r="A6202" s="15">
        <f>IFERROR(__xludf.DUMMYFUNCTION("""COMPUTED_VALUE"""),45177.0)</f>
        <v>45177</v>
      </c>
      <c r="B6202" s="16" t="str">
        <f>IFERROR(__xludf.DUMMYFUNCTION("""COMPUTED_VALUE"""),"Jeison Rubiano")</f>
        <v>Jeison Rubiano</v>
      </c>
      <c r="C6202" s="15" t="str">
        <f>IFERROR(__xludf.DUMMYFUNCTION("""COMPUTED_VALUE"""),"BOGOTÁ")</f>
        <v>BOGOTÁ</v>
      </c>
      <c r="D6202" s="15" t="str">
        <f>IFERROR(__xludf.DUMMYFUNCTION("""COMPUTED_VALUE"""),"MEDELLÍN")</f>
        <v>MEDELLÍN</v>
      </c>
      <c r="E6202" s="15" t="str">
        <f>IFERROR(__xludf.DUMMYFUNCTION("""COMPUTED_VALUE"""),"Rambla")</f>
        <v>Rambla</v>
      </c>
      <c r="F6202" s="17" t="str">
        <f>IFERROR(__xludf.DUMMYFUNCTION("""COMPUTED_VALUE"""),"Calle 20 sur # 12B 26 apto 402 barrio ciudad jardín sur / . / .")</f>
        <v>Calle 20 sur # 12B 26 apto 402 barrio ciudad jardín sur / . / .</v>
      </c>
      <c r="G6202" s="15" t="str">
        <f>IFERROR(__xludf.DUMMYFUNCTION("""COMPUTED_VALUE"""),"Elisa Joya")</f>
        <v>Elisa Joya</v>
      </c>
      <c r="H6202" s="16">
        <f>IFERROR(__xludf.DUMMYFUNCTION("""COMPUTED_VALUE"""),14952.0)</f>
        <v>14952</v>
      </c>
      <c r="I6202" s="18">
        <f>IFERROR(__xludf.DUMMYFUNCTION("""COMPUTED_VALUE"""),19.0)</f>
        <v>19</v>
      </c>
      <c r="J6202" s="18">
        <f>IFERROR(__xludf.DUMMYFUNCTION("""COMPUTED_VALUE"""),10.0)</f>
        <v>10</v>
      </c>
      <c r="K6202" s="18">
        <f>IFERROR(__xludf.DUMMYFUNCTION("""COMPUTED_VALUE"""),10.0)</f>
        <v>10</v>
      </c>
      <c r="L6202" s="17">
        <f>IFERROR(__xludf.DUMMYFUNCTION("""COMPUTED_VALUE"""),3.115842241E9)</f>
        <v>3115842241</v>
      </c>
      <c r="M6202" s="17" t="str">
        <f>IFERROR(__xludf.DUMMYFUNCTION("""COMPUTED_VALUE"""),"#REF!")</f>
        <v>#REF!</v>
      </c>
      <c r="N6202" s="17"/>
      <c r="O6202" s="17"/>
      <c r="P6202" s="17" t="b">
        <f>IFERROR(__xludf.DUMMYFUNCTION("""COMPUTED_VALUE"""),FALSE)</f>
        <v>0</v>
      </c>
      <c r="Q6202" s="20" t="str">
        <f>IFERROR(__xludf.DUMMYFUNCTION("""COMPUTED_VALUE"""),"")</f>
        <v/>
      </c>
      <c r="R6202" s="22" t="str">
        <f>IFERROR(__xludf.DUMMYFUNCTION("""COMPUTED_VALUE"""),"")</f>
        <v/>
      </c>
    </row>
    <row r="6203">
      <c r="A6203" s="15">
        <f>IFERROR(__xludf.DUMMYFUNCTION("""COMPUTED_VALUE"""),45177.0)</f>
        <v>45177</v>
      </c>
      <c r="B6203" s="16" t="str">
        <f>IFERROR(__xludf.DUMMYFUNCTION("""COMPUTED_VALUE"""),"Jeison Rubiano")</f>
        <v>Jeison Rubiano</v>
      </c>
      <c r="C6203" s="15" t="str">
        <f>IFERROR(__xludf.DUMMYFUNCTION("""COMPUTED_VALUE"""),"BOGOTÁ")</f>
        <v>BOGOTÁ</v>
      </c>
      <c r="D6203" s="15" t="str">
        <f>IFERROR(__xludf.DUMMYFUNCTION("""COMPUTED_VALUE"""),"MEDELLÍN")</f>
        <v>MEDELLÍN</v>
      </c>
      <c r="E6203" s="15" t="str">
        <f>IFERROR(__xludf.DUMMYFUNCTION("""COMPUTED_VALUE"""),"Rambla")</f>
        <v>Rambla</v>
      </c>
      <c r="F6203" s="17" t="str">
        <f>IFERROR(__xludf.DUMMYFUNCTION("""COMPUTED_VALUE"""),"Calle 95# 71-11 bloque 1 apto 801 parque central Pontevedra 3 / - / -")</f>
        <v>Calle 95# 71-11 bloque 1 apto 801 parque central Pontevedra 3 / - / -</v>
      </c>
      <c r="G6203" s="15" t="str">
        <f>IFERROR(__xludf.DUMMYFUNCTION("""COMPUTED_VALUE"""),"Marcela Delgado")</f>
        <v>Marcela Delgado</v>
      </c>
      <c r="H6203" s="16">
        <f>IFERROR(__xludf.DUMMYFUNCTION("""COMPUTED_VALUE"""),14950.0)</f>
        <v>14950</v>
      </c>
      <c r="I6203" s="18">
        <f>IFERROR(__xludf.DUMMYFUNCTION("""COMPUTED_VALUE"""),19.0)</f>
        <v>19</v>
      </c>
      <c r="J6203" s="18">
        <f>IFERROR(__xludf.DUMMYFUNCTION("""COMPUTED_VALUE"""),10.0)</f>
        <v>10</v>
      </c>
      <c r="K6203" s="18">
        <f>IFERROR(__xludf.DUMMYFUNCTION("""COMPUTED_VALUE"""),10.0)</f>
        <v>10</v>
      </c>
      <c r="L6203" s="17">
        <f>IFERROR(__xludf.DUMMYFUNCTION("""COMPUTED_VALUE"""),3.16691461E9)</f>
        <v>3166914610</v>
      </c>
      <c r="M6203" s="17" t="str">
        <f>IFERROR(__xludf.DUMMYFUNCTION("""COMPUTED_VALUE"""),"#REF!")</f>
        <v>#REF!</v>
      </c>
      <c r="N6203" s="17"/>
      <c r="O6203" s="17"/>
      <c r="P6203" s="17" t="b">
        <f>IFERROR(__xludf.DUMMYFUNCTION("""COMPUTED_VALUE"""),FALSE)</f>
        <v>0</v>
      </c>
      <c r="Q6203" s="20" t="str">
        <f>IFERROR(__xludf.DUMMYFUNCTION("""COMPUTED_VALUE"""),"")</f>
        <v/>
      </c>
      <c r="R6203" s="21" t="str">
        <f>IFERROR(__xludf.DUMMYFUNCTION("""COMPUTED_VALUE"""),"https://drive.google.com/file/d/1DoECrgNiNQaCB8xCWkN9RbRI74Algqw3/view?usp=drivesdk")</f>
        <v>https://drive.google.com/file/d/1DoECrgNiNQaCB8xCWkN9RbRI74Algqw3/view?usp=drivesdk</v>
      </c>
    </row>
    <row r="6204">
      <c r="A6204" s="15">
        <f>IFERROR(__xludf.DUMMYFUNCTION("""COMPUTED_VALUE"""),45177.0)</f>
        <v>45177</v>
      </c>
      <c r="B6204" s="16" t="str">
        <f>IFERROR(__xludf.DUMMYFUNCTION("""COMPUTED_VALUE"""),"Jeison Rubiano")</f>
        <v>Jeison Rubiano</v>
      </c>
      <c r="C6204" s="15" t="str">
        <f>IFERROR(__xludf.DUMMYFUNCTION("""COMPUTED_VALUE"""),"BOGOTÁ")</f>
        <v>BOGOTÁ</v>
      </c>
      <c r="D6204" s="15" t="str">
        <f>IFERROR(__xludf.DUMMYFUNCTION("""COMPUTED_VALUE"""),"MEDELLÍN")</f>
        <v>MEDELLÍN</v>
      </c>
      <c r="E6204" s="15" t="str">
        <f>IFERROR(__xludf.DUMMYFUNCTION("""COMPUTED_VALUE"""),"Rambla")</f>
        <v>Rambla</v>
      </c>
      <c r="F6204" s="17" t="str">
        <f>IFERROR(__xludf.DUMMYFUNCTION("""COMPUTED_VALUE"""),"Carrera 7B # 146-90 Local Bonsante / . / .")</f>
        <v>Carrera 7B # 146-90 Local Bonsante / . / .</v>
      </c>
      <c r="G6204" s="15" t="str">
        <f>IFERROR(__xludf.DUMMYFUNCTION("""COMPUTED_VALUE"""),"Bonsante")</f>
        <v>Bonsante</v>
      </c>
      <c r="H6204" s="16">
        <f>IFERROR(__xludf.DUMMYFUNCTION("""COMPUTED_VALUE"""),14947.0)</f>
        <v>14947</v>
      </c>
      <c r="I6204" s="18">
        <f>IFERROR(__xludf.DUMMYFUNCTION("""COMPUTED_VALUE"""),27.0)</f>
        <v>27</v>
      </c>
      <c r="J6204" s="18">
        <f>IFERROR(__xludf.DUMMYFUNCTION("""COMPUTED_VALUE"""),20.0)</f>
        <v>20</v>
      </c>
      <c r="K6204" s="18">
        <f>IFERROR(__xludf.DUMMYFUNCTION("""COMPUTED_VALUE"""),20.0)</f>
        <v>20</v>
      </c>
      <c r="L6204" s="17">
        <f>IFERROR(__xludf.DUMMYFUNCTION("""COMPUTED_VALUE"""),3.174291837E9)</f>
        <v>3174291837</v>
      </c>
      <c r="M6204" s="17" t="str">
        <f>IFERROR(__xludf.DUMMYFUNCTION("""COMPUTED_VALUE"""),"#REF!")</f>
        <v>#REF!</v>
      </c>
      <c r="N6204" s="17"/>
      <c r="O6204" s="17"/>
      <c r="P6204" s="17" t="b">
        <f>IFERROR(__xludf.DUMMYFUNCTION("""COMPUTED_VALUE"""),FALSE)</f>
        <v>0</v>
      </c>
      <c r="Q6204" s="20" t="str">
        <f>IFERROR(__xludf.DUMMYFUNCTION("""COMPUTED_VALUE"""),"")</f>
        <v/>
      </c>
      <c r="R6204" s="21" t="str">
        <f>IFERROR(__xludf.DUMMYFUNCTION("""COMPUTED_VALUE"""),"https://drive.google.com/file/d/1N6EZfB4ONDuQ0OQMg3a6f0jBO0LaZ_Ee/view?usp=drivesdk")</f>
        <v>https://drive.google.com/file/d/1N6EZfB4ONDuQ0OQMg3a6f0jBO0LaZ_Ee/view?usp=drivesdk</v>
      </c>
    </row>
    <row r="6205">
      <c r="A6205" s="15">
        <f>IFERROR(__xludf.DUMMYFUNCTION("""COMPUTED_VALUE"""),45177.0)</f>
        <v>45177</v>
      </c>
      <c r="B6205" s="16" t="str">
        <f>IFERROR(__xludf.DUMMYFUNCTION("""COMPUTED_VALUE"""),"Jeison Rubiano")</f>
        <v>Jeison Rubiano</v>
      </c>
      <c r="C6205" s="15" t="str">
        <f>IFERROR(__xludf.DUMMYFUNCTION("""COMPUTED_VALUE"""),"BOGOTÁ")</f>
        <v>BOGOTÁ</v>
      </c>
      <c r="D6205" s="15" t="str">
        <f>IFERROR(__xludf.DUMMYFUNCTION("""COMPUTED_VALUE"""),"MEDELLÍN")</f>
        <v>MEDELLÍN</v>
      </c>
      <c r="E6205" s="15" t="str">
        <f>IFERROR(__xludf.DUMMYFUNCTION("""COMPUTED_VALUE"""),"Rambla")</f>
        <v>Rambla</v>
      </c>
      <c r="F6205" s="17" t="str">
        <f>IFERROR(__xludf.DUMMYFUNCTION("""COMPUTED_VALUE"""),"Cl. 93a #11-46, Barrio Chicó / - / -")</f>
        <v>Cl. 93a #11-46, Barrio Chicó / - / -</v>
      </c>
      <c r="G6205" s="15" t="str">
        <f>IFERROR(__xludf.DUMMYFUNCTION("""COMPUTED_VALUE"""),"Fit Hub")</f>
        <v>Fit Hub</v>
      </c>
      <c r="H6205" s="16">
        <f>IFERROR(__xludf.DUMMYFUNCTION("""COMPUTED_VALUE"""),14946.0)</f>
        <v>14946</v>
      </c>
      <c r="I6205" s="18">
        <f>IFERROR(__xludf.DUMMYFUNCTION("""COMPUTED_VALUE"""),30.0)</f>
        <v>30</v>
      </c>
      <c r="J6205" s="18">
        <f>IFERROR(__xludf.DUMMYFUNCTION("""COMPUTED_VALUE"""),32.0)</f>
        <v>32</v>
      </c>
      <c r="K6205" s="18">
        <f>IFERROR(__xludf.DUMMYFUNCTION("""COMPUTED_VALUE"""),32.0)</f>
        <v>32</v>
      </c>
      <c r="L6205" s="17">
        <f>IFERROR(__xludf.DUMMYFUNCTION("""COMPUTED_VALUE"""),3.015447307E9)</f>
        <v>3015447307</v>
      </c>
      <c r="M6205" s="17" t="str">
        <f>IFERROR(__xludf.DUMMYFUNCTION("""COMPUTED_VALUE"""),"#REF!")</f>
        <v>#REF!</v>
      </c>
      <c r="N6205" s="17"/>
      <c r="O6205" s="17"/>
      <c r="P6205" s="17" t="b">
        <f>IFERROR(__xludf.DUMMYFUNCTION("""COMPUTED_VALUE"""),FALSE)</f>
        <v>0</v>
      </c>
      <c r="Q6205" s="20" t="str">
        <f>IFERROR(__xludf.DUMMYFUNCTION("""COMPUTED_VALUE"""),"")</f>
        <v/>
      </c>
      <c r="R6205" s="21" t="str">
        <f>IFERROR(__xludf.DUMMYFUNCTION("""COMPUTED_VALUE"""),"https://drive.google.com/file/d/1dFlU678evMFA6SwNfiLGHJWuPKBGLIrd/view?usp=drivesdk")</f>
        <v>https://drive.google.com/file/d/1dFlU678evMFA6SwNfiLGHJWuPKBGLIrd/view?usp=drivesdk</v>
      </c>
    </row>
    <row r="6206">
      <c r="A6206" s="15">
        <f>IFERROR(__xludf.DUMMYFUNCTION("""COMPUTED_VALUE"""),45177.0)</f>
        <v>45177</v>
      </c>
      <c r="B6206" s="16" t="str">
        <f>IFERROR(__xludf.DUMMYFUNCTION("""COMPUTED_VALUE"""),"Jeison Rubiano")</f>
        <v>Jeison Rubiano</v>
      </c>
      <c r="C6206" s="15" t="str">
        <f>IFERROR(__xludf.DUMMYFUNCTION("""COMPUTED_VALUE"""),"CAJICÁ")</f>
        <v>CAJICÁ</v>
      </c>
      <c r="D6206" s="15" t="str">
        <f>IFERROR(__xludf.DUMMYFUNCTION("""COMPUTED_VALUE"""),"MEDELLÍN")</f>
        <v>MEDELLÍN</v>
      </c>
      <c r="E6206" s="15" t="str">
        <f>IFERROR(__xludf.DUMMYFUNCTION("""COMPUTED_VALUE"""),"Rambla")</f>
        <v>Rambla</v>
      </c>
      <c r="F6206" s="17" t="str">
        <f>IFERROR(__xludf.DUMMYFUNCTION("""COMPUTED_VALUE"""),"Calle 10 A sur # 2A 128 Condominio Bosque madero Casa Bambú 15, Cajicá / - / -")</f>
        <v>Calle 10 A sur # 2A 128 Condominio Bosque madero Casa Bambú 15, Cajicá / - / -</v>
      </c>
      <c r="G6206" s="15" t="str">
        <f>IFERROR(__xludf.DUMMYFUNCTION("""COMPUTED_VALUE"""),"María Paula López")</f>
        <v>María Paula López</v>
      </c>
      <c r="H6206" s="16">
        <f>IFERROR(__xludf.DUMMYFUNCTION("""COMPUTED_VALUE"""),14951.0)</f>
        <v>14951</v>
      </c>
      <c r="I6206" s="18">
        <f>IFERROR(__xludf.DUMMYFUNCTION("""COMPUTED_VALUE"""),19.0)</f>
        <v>19</v>
      </c>
      <c r="J6206" s="18">
        <f>IFERROR(__xludf.DUMMYFUNCTION("""COMPUTED_VALUE"""),10.0)</f>
        <v>10</v>
      </c>
      <c r="K6206" s="18">
        <f>IFERROR(__xludf.DUMMYFUNCTION("""COMPUTED_VALUE"""),10.0)</f>
        <v>10</v>
      </c>
      <c r="L6206" s="17">
        <f>IFERROR(__xludf.DUMMYFUNCTION("""COMPUTED_VALUE"""),3.046568076E9)</f>
        <v>3046568076</v>
      </c>
      <c r="M6206" s="17" t="str">
        <f>IFERROR(__xludf.DUMMYFUNCTION("""COMPUTED_VALUE"""),"#REF!")</f>
        <v>#REF!</v>
      </c>
      <c r="N6206" s="17"/>
      <c r="O6206" s="17"/>
      <c r="P6206" s="17" t="b">
        <f>IFERROR(__xludf.DUMMYFUNCTION("""COMPUTED_VALUE"""),FALSE)</f>
        <v>0</v>
      </c>
      <c r="Q6206" s="20" t="str">
        <f>IFERROR(__xludf.DUMMYFUNCTION("""COMPUTED_VALUE"""),"")</f>
        <v/>
      </c>
      <c r="R6206" s="21" t="str">
        <f>IFERROR(__xludf.DUMMYFUNCTION("""COMPUTED_VALUE"""),"https://drive.google.com/file/d/1wPXl05_OnkA-l4qcIVgjcFRKpRM4Nk2s/view?usp=drivesdk")</f>
        <v>https://drive.google.com/file/d/1wPXl05_OnkA-l4qcIVgjcFRKpRM4Nk2s/view?usp=drivesdk</v>
      </c>
    </row>
    <row r="6207">
      <c r="A6207" s="17" t="str">
        <f>IFERROR(__xludf.DUMMYFUNCTION("""COMPUTED_VALUE"""),"")</f>
        <v/>
      </c>
      <c r="B6207" s="17" t="str">
        <f>IFERROR(__xludf.DUMMYFUNCTION("""COMPUTED_VALUE"""),"")</f>
        <v/>
      </c>
      <c r="C6207" s="17" t="str">
        <f>IFERROR(__xludf.DUMMYFUNCTION("""COMPUTED_VALUE"""),"")</f>
        <v/>
      </c>
      <c r="D6207" s="17" t="str">
        <f>IFERROR(__xludf.DUMMYFUNCTION("""COMPUTED_VALUE"""),"")</f>
        <v/>
      </c>
      <c r="E6207" s="17" t="str">
        <f>IFERROR(__xludf.DUMMYFUNCTION("""COMPUTED_VALUE"""),"")</f>
        <v/>
      </c>
      <c r="F6207" s="17" t="str">
        <f>IFERROR(__xludf.DUMMYFUNCTION("""COMPUTED_VALUE"""),"")</f>
        <v/>
      </c>
      <c r="G6207" s="17" t="str">
        <f>IFERROR(__xludf.DUMMYFUNCTION("""COMPUTED_VALUE"""),"")</f>
        <v/>
      </c>
      <c r="H6207" s="17" t="str">
        <f>IFERROR(__xludf.DUMMYFUNCTION("""COMPUTED_VALUE"""),"")</f>
        <v/>
      </c>
      <c r="I6207" s="17" t="str">
        <f>IFERROR(__xludf.DUMMYFUNCTION("""COMPUTED_VALUE"""),"")</f>
        <v/>
      </c>
      <c r="J6207" s="17" t="str">
        <f>IFERROR(__xludf.DUMMYFUNCTION("""COMPUTED_VALUE"""),"")</f>
        <v/>
      </c>
      <c r="K6207" s="17" t="str">
        <f>IFERROR(__xludf.DUMMYFUNCTION("""COMPUTED_VALUE"""),"")</f>
        <v/>
      </c>
      <c r="L6207" s="17" t="str">
        <f>IFERROR(__xludf.DUMMYFUNCTION("""COMPUTED_VALUE"""),"")</f>
        <v/>
      </c>
      <c r="M6207" s="17" t="str">
        <f>IFERROR(__xludf.DUMMYFUNCTION("""COMPUTED_VALUE"""),"")</f>
        <v/>
      </c>
      <c r="N6207" s="17" t="str">
        <f>IFERROR(__xludf.DUMMYFUNCTION("""COMPUTED_VALUE"""),"")</f>
        <v/>
      </c>
      <c r="O6207" s="17" t="str">
        <f>IFERROR(__xludf.DUMMYFUNCTION("""COMPUTED_VALUE"""),"")</f>
        <v/>
      </c>
      <c r="P6207" s="17" t="str">
        <f>IFERROR(__xludf.DUMMYFUNCTION("""COMPUTED_VALUE"""),"")</f>
        <v/>
      </c>
      <c r="Q6207" s="17" t="str">
        <f>IFERROR(__xludf.DUMMYFUNCTION("""COMPUTED_VALUE"""),"")</f>
        <v/>
      </c>
      <c r="R6207" s="17" t="str">
        <f>IFERROR(__xludf.DUMMYFUNCTION("""COMPUTED_VALUE"""),"")</f>
        <v/>
      </c>
    </row>
    <row r="6208">
      <c r="A6208" s="15">
        <f>IFERROR(__xludf.DUMMYFUNCTION("""COMPUTED_VALUE"""),45177.0)</f>
        <v>45177</v>
      </c>
      <c r="B6208" s="16" t="str">
        <f>IFERROR(__xludf.DUMMYFUNCTION("""COMPUTED_VALUE"""),"Lina Gaona")</f>
        <v>Lina Gaona</v>
      </c>
      <c r="C6208" s="15" t="str">
        <f>IFERROR(__xludf.DUMMYFUNCTION("""COMPUTED_VALUE"""),"CÚCUTA")</f>
        <v>CÚCUTA</v>
      </c>
      <c r="D6208" s="15" t="str">
        <f>IFERROR(__xludf.DUMMYFUNCTION("""COMPUTED_VALUE"""),"BOGOTÁ")</f>
        <v>BOGOTÁ</v>
      </c>
      <c r="E6208" s="15" t="str">
        <f>IFERROR(__xludf.DUMMYFUNCTION("""COMPUTED_VALUE"""),"Athenas")</f>
        <v>Athenas</v>
      </c>
      <c r="F6208" s="17" t="str">
        <f>IFERROR(__xludf.DUMMYFUNCTION("""COMPUTED_VALUE"""),"Calle 11 # 2 E  10 / Cafetería bodytech local 301  / Caobos")</f>
        <v>Calle 11 # 2 E  10 / Cafetería bodytech local 301  / Caobos</v>
      </c>
      <c r="G6208" s="15" t="str">
        <f>IFERROR(__xludf.DUMMYFUNCTION("""COMPUTED_VALUE"""),"Fabian valderrama")</f>
        <v>Fabian valderrama</v>
      </c>
      <c r="H6208" s="16">
        <f>IFERROR(__xludf.DUMMYFUNCTION("""COMPUTED_VALUE"""),14764.0)</f>
        <v>14764</v>
      </c>
      <c r="I6208" s="18">
        <f>IFERROR(__xludf.DUMMYFUNCTION("""COMPUTED_VALUE"""),55.0)</f>
        <v>55</v>
      </c>
      <c r="J6208" s="18">
        <f>IFERROR(__xludf.DUMMYFUNCTION("""COMPUTED_VALUE"""),45.0)</f>
        <v>45</v>
      </c>
      <c r="K6208" s="18" t="str">
        <f>IFERROR(__xludf.DUMMYFUNCTION("""COMPUTED_VALUE"""),"52.5")</f>
        <v>52.5</v>
      </c>
      <c r="L6208" s="17">
        <f>IFERROR(__xludf.DUMMYFUNCTION("""COMPUTED_VALUE"""),3.1749222259E10)</f>
        <v>31749222259</v>
      </c>
      <c r="M6208" s="17" t="str">
        <f>IFERROR(__xludf.DUMMYFUNCTION("""COMPUTED_VALUE"""),"#REF!")</f>
        <v>#REF!</v>
      </c>
      <c r="N6208" s="17"/>
      <c r="O6208" s="17"/>
      <c r="P6208" s="17" t="b">
        <f>IFERROR(__xludf.DUMMYFUNCTION("""COMPUTED_VALUE"""),FALSE)</f>
        <v>0</v>
      </c>
      <c r="Q6208" s="20" t="str">
        <f>IFERROR(__xludf.DUMMYFUNCTION("""COMPUTED_VALUE"""),"")</f>
        <v/>
      </c>
      <c r="R6208" s="22" t="str">
        <f>IFERROR(__xludf.DUMMYFUNCTION("""COMPUTED_VALUE"""),"")</f>
        <v/>
      </c>
    </row>
    <row r="6209">
      <c r="A6209" s="15">
        <f>IFERROR(__xludf.DUMMYFUNCTION("""COMPUTED_VALUE"""),45177.0)</f>
        <v>45177</v>
      </c>
      <c r="B6209" s="16" t="str">
        <f>IFERROR(__xludf.DUMMYFUNCTION("""COMPUTED_VALUE"""),"Lina Gaona")</f>
        <v>Lina Gaona</v>
      </c>
      <c r="C6209" s="15" t="str">
        <f>IFERROR(__xludf.DUMMYFUNCTION("""COMPUTED_VALUE"""),"CÚCUTA")</f>
        <v>CÚCUTA</v>
      </c>
      <c r="D6209" s="15" t="str">
        <f>IFERROR(__xludf.DUMMYFUNCTION("""COMPUTED_VALUE"""),"BOGOTÁ")</f>
        <v>BOGOTÁ</v>
      </c>
      <c r="E6209" s="15" t="str">
        <f>IFERROR(__xludf.DUMMYFUNCTION("""COMPUTED_VALUE"""),"Evamazzita")</f>
        <v>Evamazzita</v>
      </c>
      <c r="F6209" s="17" t="str">
        <f>IFERROR(__xludf.DUMMYFUNCTION("""COMPUTED_VALUE"""),"Av 2E # 15A -17 Caobos / Caobos")</f>
        <v>Av 2E # 15A -17 Caobos / Caobos</v>
      </c>
      <c r="G6209" s="15" t="str">
        <f>IFERROR(__xludf.DUMMYFUNCTION("""COMPUTED_VALUE"""),"DACCY KARINA LOPEZ MORENO")</f>
        <v>DACCY KARINA LOPEZ MORENO</v>
      </c>
      <c r="H6209" s="16">
        <f>IFERROR(__xludf.DUMMYFUNCTION("""COMPUTED_VALUE"""),14866.0)</f>
        <v>14866</v>
      </c>
      <c r="I6209" s="18">
        <f>IFERROR(__xludf.DUMMYFUNCTION("""COMPUTED_VALUE"""),1.0)</f>
        <v>1</v>
      </c>
      <c r="J6209" s="18">
        <f>IFERROR(__xludf.DUMMYFUNCTION("""COMPUTED_VALUE"""),1.0)</f>
        <v>1</v>
      </c>
      <c r="K6209" s="18">
        <f>IFERROR(__xludf.DUMMYFUNCTION("""COMPUTED_VALUE"""),1.0)</f>
        <v>1</v>
      </c>
      <c r="L6209" s="17">
        <f>IFERROR(__xludf.DUMMYFUNCTION("""COMPUTED_VALUE"""),3.208615379E9)</f>
        <v>3208615379</v>
      </c>
      <c r="M6209" s="17" t="str">
        <f>IFERROR(__xludf.DUMMYFUNCTION("""COMPUTED_VALUE"""),"#REF!")</f>
        <v>#REF!</v>
      </c>
      <c r="N6209" s="17"/>
      <c r="O6209" s="17"/>
      <c r="P6209" s="17" t="b">
        <f>IFERROR(__xludf.DUMMYFUNCTION("""COMPUTED_VALUE"""),FALSE)</f>
        <v>0</v>
      </c>
      <c r="Q6209" s="20" t="str">
        <f>IFERROR(__xludf.DUMMYFUNCTION("""COMPUTED_VALUE"""),"")</f>
        <v/>
      </c>
      <c r="R6209" s="22" t="str">
        <f>IFERROR(__xludf.DUMMYFUNCTION("""COMPUTED_VALUE"""),"")</f>
        <v/>
      </c>
    </row>
    <row r="6210">
      <c r="A6210" s="15">
        <f>IFERROR(__xludf.DUMMYFUNCTION("""COMPUTED_VALUE"""),45177.0)</f>
        <v>45177</v>
      </c>
      <c r="B6210" s="16" t="str">
        <f>IFERROR(__xludf.DUMMYFUNCTION("""COMPUTED_VALUE"""),"Lina Gaona")</f>
        <v>Lina Gaona</v>
      </c>
      <c r="C6210" s="15" t="str">
        <f>IFERROR(__xludf.DUMMYFUNCTION("""COMPUTED_VALUE"""),"CÚCUTA")</f>
        <v>CÚCUTA</v>
      </c>
      <c r="D6210" s="15" t="str">
        <f>IFERROR(__xludf.DUMMYFUNCTION("""COMPUTED_VALUE"""),"BOGOTÁ")</f>
        <v>BOGOTÁ</v>
      </c>
      <c r="E6210" s="15" t="str">
        <f>IFERROR(__xludf.DUMMYFUNCTION("""COMPUTED_VALUE"""),"Karem foods")</f>
        <v>Karem foods</v>
      </c>
      <c r="F6210" s="17" t="str">
        <f>IFERROR(__xludf.DUMMYFUNCTION("""COMPUTED_VALUE"""),"Centro comercial pinar del rio local 2 Bellavista cucuta / - / -")</f>
        <v>Centro comercial pinar del rio local 2 Bellavista cucuta / - / -</v>
      </c>
      <c r="G6210" s="15" t="str">
        <f>IFERROR(__xludf.DUMMYFUNCTION("""COMPUTED_VALUE"""),"La panadería pinar del rio")</f>
        <v>La panadería pinar del rio</v>
      </c>
      <c r="H6210" s="16">
        <f>IFERROR(__xludf.DUMMYFUNCTION("""COMPUTED_VALUE"""),14802.0)</f>
        <v>14802</v>
      </c>
      <c r="I6210" s="18">
        <f>IFERROR(__xludf.DUMMYFUNCTION("""COMPUTED_VALUE"""),20.0)</f>
        <v>20</v>
      </c>
      <c r="J6210" s="18">
        <f>IFERROR(__xludf.DUMMYFUNCTION("""COMPUTED_VALUE"""),30.0)</f>
        <v>30</v>
      </c>
      <c r="K6210" s="18">
        <f>IFERROR(__xludf.DUMMYFUNCTION("""COMPUTED_VALUE"""),20.0)</f>
        <v>20</v>
      </c>
      <c r="L6210" s="17">
        <f>IFERROR(__xludf.DUMMYFUNCTION("""COMPUTED_VALUE"""),3.106091951E9)</f>
        <v>3106091951</v>
      </c>
      <c r="M6210" s="17" t="str">
        <f>IFERROR(__xludf.DUMMYFUNCTION("""COMPUTED_VALUE"""),"#REF!")</f>
        <v>#REF!</v>
      </c>
      <c r="N6210" s="17"/>
      <c r="O6210" s="17"/>
      <c r="P6210" s="17" t="b">
        <f>IFERROR(__xludf.DUMMYFUNCTION("""COMPUTED_VALUE"""),FALSE)</f>
        <v>0</v>
      </c>
      <c r="Q6210" s="20" t="str">
        <f>IFERROR(__xludf.DUMMYFUNCTION("""COMPUTED_VALUE"""),"")</f>
        <v/>
      </c>
      <c r="R6210" s="22" t="str">
        <f>IFERROR(__xludf.DUMMYFUNCTION("""COMPUTED_VALUE"""),"")</f>
        <v/>
      </c>
    </row>
    <row r="6211">
      <c r="A6211" s="15">
        <f>IFERROR(__xludf.DUMMYFUNCTION("""COMPUTED_VALUE"""),45177.0)</f>
        <v>45177</v>
      </c>
      <c r="B6211" s="16" t="str">
        <f>IFERROR(__xludf.DUMMYFUNCTION("""COMPUTED_VALUE"""),"Lina Gaona")</f>
        <v>Lina Gaona</v>
      </c>
      <c r="C6211" s="15" t="str">
        <f>IFERROR(__xludf.DUMMYFUNCTION("""COMPUTED_VALUE"""),"CÚCUTA")</f>
        <v>CÚCUTA</v>
      </c>
      <c r="D6211" s="15" t="str">
        <f>IFERROR(__xludf.DUMMYFUNCTION("""COMPUTED_VALUE"""),"BOGOTÁ")</f>
        <v>BOGOTÁ</v>
      </c>
      <c r="E6211" s="15" t="str">
        <f>IFERROR(__xludf.DUMMYFUNCTION("""COMPUTED_VALUE"""),"Pan de Waffle")</f>
        <v>Pan de Waffle</v>
      </c>
      <c r="F6211" s="17" t="str">
        <f>IFERROR(__xludf.DUMMYFUNCTION("""COMPUTED_VALUE"""),"Av. 9e # 12 - 50 Local 12 - 56 Barrio La Riviera - San Jose de Cucuta / Av. 9e # 12 - 50 Local 12 - 56 Barrio La Riviera - San Jose de Cucuta / Av. 9e # 12 - 50 Local 12 - 56 Barrio La Riviera - San Jose de Cucuta")</f>
        <v>Av. 9e # 12 - 50 Local 12 - 56 Barrio La Riviera - San Jose de Cucuta / Av. 9e # 12 - 50 Local 12 - 56 Barrio La Riviera - San Jose de Cucuta / Av. 9e # 12 - 50 Local 12 - 56 Barrio La Riviera - San Jose de Cucuta</v>
      </c>
      <c r="G6211" s="15" t="str">
        <f>IFERROR(__xludf.DUMMYFUNCTION("""COMPUTED_VALUE"""),"BALANZI MARKET")</f>
        <v>BALANZI MARKET</v>
      </c>
      <c r="H6211" s="16">
        <f>IFERROR(__xludf.DUMMYFUNCTION("""COMPUTED_VALUE"""),14848.0)</f>
        <v>14848</v>
      </c>
      <c r="I6211" s="18">
        <f>IFERROR(__xludf.DUMMYFUNCTION("""COMPUTED_VALUE"""),40.0)</f>
        <v>40</v>
      </c>
      <c r="J6211" s="18">
        <f>IFERROR(__xludf.DUMMYFUNCTION("""COMPUTED_VALUE"""),40.0)</f>
        <v>40</v>
      </c>
      <c r="K6211" s="18">
        <f>IFERROR(__xludf.DUMMYFUNCTION("""COMPUTED_VALUE"""),30.0)</f>
        <v>30</v>
      </c>
      <c r="L6211" s="17">
        <f>IFERROR(__xludf.DUMMYFUNCTION("""COMPUTED_VALUE"""),3.234882569E9)</f>
        <v>3234882569</v>
      </c>
      <c r="M6211" s="17" t="str">
        <f>IFERROR(__xludf.DUMMYFUNCTION("""COMPUTED_VALUE"""),"#REF!")</f>
        <v>#REF!</v>
      </c>
      <c r="N6211" s="17"/>
      <c r="O6211" s="17"/>
      <c r="P6211" s="17" t="b">
        <f>IFERROR(__xludf.DUMMYFUNCTION("""COMPUTED_VALUE"""),FALSE)</f>
        <v>0</v>
      </c>
      <c r="Q6211" s="20" t="str">
        <f>IFERROR(__xludf.DUMMYFUNCTION("""COMPUTED_VALUE"""),"")</f>
        <v/>
      </c>
      <c r="R6211" s="22" t="str">
        <f>IFERROR(__xludf.DUMMYFUNCTION("""COMPUTED_VALUE"""),"")</f>
        <v/>
      </c>
    </row>
    <row r="6212">
      <c r="A6212" s="15">
        <f>IFERROR(__xludf.DUMMYFUNCTION("""COMPUTED_VALUE"""),45177.0)</f>
        <v>45177</v>
      </c>
      <c r="B6212" s="16" t="str">
        <f>IFERROR(__xludf.DUMMYFUNCTION("""COMPUTED_VALUE"""),"Lina Gaona")</f>
        <v>Lina Gaona</v>
      </c>
      <c r="C6212" s="15" t="str">
        <f>IFERROR(__xludf.DUMMYFUNCTION("""COMPUTED_VALUE"""),"CÚCUTA")</f>
        <v>CÚCUTA</v>
      </c>
      <c r="D6212" s="15" t="str">
        <f>IFERROR(__xludf.DUMMYFUNCTION("""COMPUTED_VALUE"""),"BOGOTÁ")</f>
        <v>BOGOTÁ</v>
      </c>
      <c r="E6212" s="15" t="str">
        <f>IFERROR(__xludf.DUMMYFUNCTION("""COMPUTED_VALUE"""),"Top Spun")</f>
        <v>Top Spun</v>
      </c>
      <c r="F6212" s="17" t="str">
        <f>IFERROR(__xludf.DUMMYFUNCTION("""COMPUTED_VALUE"""),"Calle 8A # 9E-12 / Apto 304 Edificio San Marino  / Barrio Colsag")</f>
        <v>Calle 8A # 9E-12 / Apto 304 Edificio San Marino  / Barrio Colsag</v>
      </c>
      <c r="G6212" s="15" t="str">
        <f>IFERROR(__xludf.DUMMYFUNCTION("""COMPUTED_VALUE"""),"Rossi Quero")</f>
        <v>Rossi Quero</v>
      </c>
      <c r="H6212" s="16">
        <f>IFERROR(__xludf.DUMMYFUNCTION("""COMPUTED_VALUE"""),14777.0)</f>
        <v>14777</v>
      </c>
      <c r="I6212" s="18">
        <f>IFERROR(__xludf.DUMMYFUNCTION("""COMPUTED_VALUE"""),20.0)</f>
        <v>20</v>
      </c>
      <c r="J6212" s="18">
        <f>IFERROR(__xludf.DUMMYFUNCTION("""COMPUTED_VALUE"""),10.0)</f>
        <v>10</v>
      </c>
      <c r="K6212" s="18">
        <f>IFERROR(__xludf.DUMMYFUNCTION("""COMPUTED_VALUE"""),40.0)</f>
        <v>40</v>
      </c>
      <c r="L6212" s="17">
        <f>IFERROR(__xludf.DUMMYFUNCTION("""COMPUTED_VALUE"""),3.002131521E9)</f>
        <v>3002131521</v>
      </c>
      <c r="M6212" s="17" t="str">
        <f>IFERROR(__xludf.DUMMYFUNCTION("""COMPUTED_VALUE"""),"#REF!")</f>
        <v>#REF!</v>
      </c>
      <c r="N6212" s="17"/>
      <c r="O6212" s="17"/>
      <c r="P6212" s="17" t="b">
        <f>IFERROR(__xludf.DUMMYFUNCTION("""COMPUTED_VALUE"""),FALSE)</f>
        <v>0</v>
      </c>
      <c r="Q6212" s="20" t="str">
        <f>IFERROR(__xludf.DUMMYFUNCTION("""COMPUTED_VALUE"""),"")</f>
        <v/>
      </c>
      <c r="R6212" s="22" t="str">
        <f>IFERROR(__xludf.DUMMYFUNCTION("""COMPUTED_VALUE"""),"")</f>
        <v/>
      </c>
    </row>
    <row r="6213">
      <c r="A6213" s="15">
        <f>IFERROR(__xludf.DUMMYFUNCTION("""COMPUTED_VALUE"""),45177.0)</f>
        <v>45177</v>
      </c>
      <c r="B6213" s="16" t="str">
        <f>IFERROR(__xludf.DUMMYFUNCTION("""COMPUTED_VALUE"""),"Lina Gaona")</f>
        <v>Lina Gaona</v>
      </c>
      <c r="C6213" s="15" t="str">
        <f>IFERROR(__xludf.DUMMYFUNCTION("""COMPUTED_VALUE"""),"CÚCUTA")</f>
        <v>CÚCUTA</v>
      </c>
      <c r="D6213" s="15" t="str">
        <f>IFERROR(__xludf.DUMMYFUNCTION("""COMPUTED_VALUE"""),"BOGOTÁ")</f>
        <v>BOGOTÁ</v>
      </c>
      <c r="E6213" s="15" t="str">
        <f>IFERROR(__xludf.DUMMYFUNCTION("""COMPUTED_VALUE"""),"Viiva Fermentados")</f>
        <v>Viiva Fermentados</v>
      </c>
      <c r="F6213" s="17" t="str">
        <f>IFERROR(__xludf.DUMMYFUNCTION("""COMPUTED_VALUE"""),"Av. 2 E #15A-17 / Tienda Pistacho Market / Cúcuta")</f>
        <v>Av. 2 E #15A-17 / Tienda Pistacho Market / Cúcuta</v>
      </c>
      <c r="G6213" s="15" t="str">
        <f>IFERROR(__xludf.DUMMYFUNCTION("""COMPUTED_VALUE"""),"Pistacho Market")</f>
        <v>Pistacho Market</v>
      </c>
      <c r="H6213" s="16">
        <f>IFERROR(__xludf.DUMMYFUNCTION("""COMPUTED_VALUE"""),14815.0)</f>
        <v>14815</v>
      </c>
      <c r="I6213" s="18">
        <f>IFERROR(__xludf.DUMMYFUNCTION("""COMPUTED_VALUE"""),45067.0)</f>
        <v>45067</v>
      </c>
      <c r="J6213" s="18">
        <f>IFERROR(__xludf.DUMMYFUNCTION("""COMPUTED_VALUE"""),39.0)</f>
        <v>39</v>
      </c>
      <c r="K6213" s="18">
        <f>IFERROR(__xludf.DUMMYFUNCTION("""COMPUTED_VALUE"""),27.0)</f>
        <v>27</v>
      </c>
      <c r="L6213" s="17">
        <f>IFERROR(__xludf.DUMMYFUNCTION("""COMPUTED_VALUE"""),3.133032295E9)</f>
        <v>3133032295</v>
      </c>
      <c r="M6213" s="17" t="str">
        <f>IFERROR(__xludf.DUMMYFUNCTION("""COMPUTED_VALUE"""),"#REF!")</f>
        <v>#REF!</v>
      </c>
      <c r="N6213" s="17"/>
      <c r="O6213" s="17"/>
      <c r="P6213" s="17" t="b">
        <f>IFERROR(__xludf.DUMMYFUNCTION("""COMPUTED_VALUE"""),FALSE)</f>
        <v>0</v>
      </c>
      <c r="Q6213" s="20" t="str">
        <f>IFERROR(__xludf.DUMMYFUNCTION("""COMPUTED_VALUE"""),"")</f>
        <v/>
      </c>
      <c r="R6213" s="22" t="str">
        <f>IFERROR(__xludf.DUMMYFUNCTION("""COMPUTED_VALUE"""),"")</f>
        <v/>
      </c>
    </row>
    <row r="6214">
      <c r="A6214" s="15">
        <f>IFERROR(__xludf.DUMMYFUNCTION("""COMPUTED_VALUE"""),45177.0)</f>
        <v>45177</v>
      </c>
      <c r="B6214" s="16" t="str">
        <f>IFERROR(__xludf.DUMMYFUNCTION("""COMPUTED_VALUE"""),"Lina Gaona")</f>
        <v>Lina Gaona</v>
      </c>
      <c r="C6214" s="15" t="str">
        <f>IFERROR(__xludf.DUMMYFUNCTION("""COMPUTED_VALUE"""),"CÚCUTA")</f>
        <v>CÚCUTA</v>
      </c>
      <c r="D6214" s="15" t="str">
        <f>IFERROR(__xludf.DUMMYFUNCTION("""COMPUTED_VALUE"""),"MEDELLÍN")</f>
        <v>MEDELLÍN</v>
      </c>
      <c r="E6214" s="15" t="str">
        <f>IFERROR(__xludf.DUMMYFUNCTION("""COMPUTED_VALUE"""),"AREPAS LA MARY")</f>
        <v>AREPAS LA MARY</v>
      </c>
      <c r="F6214" s="17" t="str">
        <f>IFERROR(__xludf.DUMMYFUNCTION("""COMPUTED_VALUE"""),"Calle 9N # 16E-35 INT 19 / CUCUTA")</f>
        <v>Calle 9N # 16E-35 INT 19 / CUCUTA</v>
      </c>
      <c r="G6214" s="15" t="str">
        <f>IFERROR(__xludf.DUMMYFUNCTION("""COMPUTED_VALUE"""),"CARLA GONZALEZ")</f>
        <v>CARLA GONZALEZ</v>
      </c>
      <c r="H6214" s="16">
        <f>IFERROR(__xludf.DUMMYFUNCTION("""COMPUTED_VALUE"""),14696.0)</f>
        <v>14696</v>
      </c>
      <c r="I6214" s="18">
        <f>IFERROR(__xludf.DUMMYFUNCTION("""COMPUTED_VALUE"""),89.0)</f>
        <v>89</v>
      </c>
      <c r="J6214" s="18">
        <f>IFERROR(__xludf.DUMMYFUNCTION("""COMPUTED_VALUE"""),1.0)</f>
        <v>1</v>
      </c>
      <c r="K6214" s="18">
        <f>IFERROR(__xludf.DUMMYFUNCTION("""COMPUTED_VALUE"""),10.0)</f>
        <v>10</v>
      </c>
      <c r="L6214" s="17">
        <f>IFERROR(__xludf.DUMMYFUNCTION("""COMPUTED_VALUE"""),3.184665689E9)</f>
        <v>3184665689</v>
      </c>
      <c r="M6214" s="17" t="str">
        <f>IFERROR(__xludf.DUMMYFUNCTION("""COMPUTED_VALUE"""),"#REF!")</f>
        <v>#REF!</v>
      </c>
      <c r="N6214" s="17"/>
      <c r="O6214" s="17"/>
      <c r="P6214" s="17" t="b">
        <f>IFERROR(__xludf.DUMMYFUNCTION("""COMPUTED_VALUE"""),FALSE)</f>
        <v>0</v>
      </c>
      <c r="Q6214" s="20" t="str">
        <f>IFERROR(__xludf.DUMMYFUNCTION("""COMPUTED_VALUE"""),"")</f>
        <v/>
      </c>
      <c r="R6214" s="22" t="str">
        <f>IFERROR(__xludf.DUMMYFUNCTION("""COMPUTED_VALUE"""),"")</f>
        <v/>
      </c>
    </row>
    <row r="6215">
      <c r="A6215" s="17" t="str">
        <f>IFERROR(__xludf.DUMMYFUNCTION("""COMPUTED_VALUE"""),"")</f>
        <v/>
      </c>
      <c r="B6215" s="17" t="str">
        <f>IFERROR(__xludf.DUMMYFUNCTION("""COMPUTED_VALUE"""),"")</f>
        <v/>
      </c>
      <c r="C6215" s="17" t="str">
        <f>IFERROR(__xludf.DUMMYFUNCTION("""COMPUTED_VALUE"""),"")</f>
        <v/>
      </c>
      <c r="D6215" s="17" t="str">
        <f>IFERROR(__xludf.DUMMYFUNCTION("""COMPUTED_VALUE"""),"")</f>
        <v/>
      </c>
      <c r="E6215" s="17" t="str">
        <f>IFERROR(__xludf.DUMMYFUNCTION("""COMPUTED_VALUE"""),"")</f>
        <v/>
      </c>
      <c r="F6215" s="17" t="str">
        <f>IFERROR(__xludf.DUMMYFUNCTION("""COMPUTED_VALUE"""),"")</f>
        <v/>
      </c>
      <c r="G6215" s="17" t="str">
        <f>IFERROR(__xludf.DUMMYFUNCTION("""COMPUTED_VALUE"""),"")</f>
        <v/>
      </c>
      <c r="H6215" s="17" t="str">
        <f>IFERROR(__xludf.DUMMYFUNCTION("""COMPUTED_VALUE"""),"")</f>
        <v/>
      </c>
      <c r="I6215" s="17" t="str">
        <f>IFERROR(__xludf.DUMMYFUNCTION("""COMPUTED_VALUE"""),"")</f>
        <v/>
      </c>
      <c r="J6215" s="17" t="str">
        <f>IFERROR(__xludf.DUMMYFUNCTION("""COMPUTED_VALUE"""),"")</f>
        <v/>
      </c>
      <c r="K6215" s="17" t="str">
        <f>IFERROR(__xludf.DUMMYFUNCTION("""COMPUTED_VALUE"""),"")</f>
        <v/>
      </c>
      <c r="L6215" s="17" t="str">
        <f>IFERROR(__xludf.DUMMYFUNCTION("""COMPUTED_VALUE"""),"")</f>
        <v/>
      </c>
      <c r="M6215" s="17" t="str">
        <f>IFERROR(__xludf.DUMMYFUNCTION("""COMPUTED_VALUE"""),"")</f>
        <v/>
      </c>
      <c r="N6215" s="17" t="str">
        <f>IFERROR(__xludf.DUMMYFUNCTION("""COMPUTED_VALUE"""),"")</f>
        <v/>
      </c>
      <c r="O6215" s="17" t="str">
        <f>IFERROR(__xludf.DUMMYFUNCTION("""COMPUTED_VALUE"""),"")</f>
        <v/>
      </c>
      <c r="P6215" s="17" t="str">
        <f>IFERROR(__xludf.DUMMYFUNCTION("""COMPUTED_VALUE"""),"")</f>
        <v/>
      </c>
      <c r="Q6215" s="17" t="str">
        <f>IFERROR(__xludf.DUMMYFUNCTION("""COMPUTED_VALUE"""),"")</f>
        <v/>
      </c>
      <c r="R6215" s="17" t="str">
        <f>IFERROR(__xludf.DUMMYFUNCTION("""COMPUTED_VALUE"""),"")</f>
        <v/>
      </c>
    </row>
    <row r="6216">
      <c r="A6216" s="15">
        <f>IFERROR(__xludf.DUMMYFUNCTION("""COMPUTED_VALUE"""),45177.0)</f>
        <v>45177</v>
      </c>
      <c r="B6216" s="16" t="str">
        <f>IFERROR(__xludf.DUMMYFUNCTION("""COMPUTED_VALUE"""),"Orlando Urdaneta Rincon ")</f>
        <v>Orlando Urdaneta Rincon </v>
      </c>
      <c r="C6216" s="15" t="str">
        <f>IFERROR(__xludf.DUMMYFUNCTION("""COMPUTED_VALUE"""),"SANTA MARTA")</f>
        <v>SANTA MARTA</v>
      </c>
      <c r="D6216" s="15" t="str">
        <f>IFERROR(__xludf.DUMMYFUNCTION("""COMPUTED_VALUE"""),"BOGOTÁ")</f>
        <v>BOGOTÁ</v>
      </c>
      <c r="E6216" s="15" t="str">
        <f>IFERROR(__xludf.DUMMYFUNCTION("""COMPUTED_VALUE"""),"Evamazzita")</f>
        <v>Evamazzita</v>
      </c>
      <c r="F6216" s="17" t="str">
        <f>IFERROR(__xludf.DUMMYFUNCTION("""COMPUTED_VALUE"""),"Calle 16 # 46 11 / El pantano / El pantano")</f>
        <v>Calle 16 # 46 11 / El pantano / El pantano</v>
      </c>
      <c r="G6216" s="15" t="str">
        <f>IFERROR(__xludf.DUMMYFUNCTION("""COMPUTED_VALUE"""),"KARLA DAYANA ROSELLON LOZANO")</f>
        <v>KARLA DAYANA ROSELLON LOZANO</v>
      </c>
      <c r="H6216" s="16">
        <f>IFERROR(__xludf.DUMMYFUNCTION("""COMPUTED_VALUE"""),14858.0)</f>
        <v>14858</v>
      </c>
      <c r="I6216" s="18">
        <f>IFERROR(__xludf.DUMMYFUNCTION("""COMPUTED_VALUE"""),1.0)</f>
        <v>1</v>
      </c>
      <c r="J6216" s="18">
        <f>IFERROR(__xludf.DUMMYFUNCTION("""COMPUTED_VALUE"""),1.0)</f>
        <v>1</v>
      </c>
      <c r="K6216" s="18">
        <f>IFERROR(__xludf.DUMMYFUNCTION("""COMPUTED_VALUE"""),1.0)</f>
        <v>1</v>
      </c>
      <c r="L6216" s="17">
        <f>IFERROR(__xludf.DUMMYFUNCTION("""COMPUTED_VALUE"""),3.215974573E9)</f>
        <v>3215974573</v>
      </c>
      <c r="M6216" s="17" t="str">
        <f>IFERROR(__xludf.DUMMYFUNCTION("""COMPUTED_VALUE"""),"#REF!")</f>
        <v>#REF!</v>
      </c>
      <c r="N6216" s="17"/>
      <c r="O6216" s="17"/>
      <c r="P6216" s="17" t="b">
        <f>IFERROR(__xludf.DUMMYFUNCTION("""COMPUTED_VALUE"""),FALSE)</f>
        <v>0</v>
      </c>
      <c r="Q6216" s="20" t="str">
        <f>IFERROR(__xludf.DUMMYFUNCTION("""COMPUTED_VALUE"""),"")</f>
        <v/>
      </c>
      <c r="R6216" s="21" t="str">
        <f>IFERROR(__xludf.DUMMYFUNCTION("""COMPUTED_VALUE"""),"https://drive.google.com/file/d/1kvxaiF-kgtmFD6OcP3O_k116Uq-3cCu8/view?usp=drivesdk")</f>
        <v>https://drive.google.com/file/d/1kvxaiF-kgtmFD6OcP3O_k116Uq-3cCu8/view?usp=drivesdk</v>
      </c>
    </row>
    <row r="6217">
      <c r="A6217" s="15">
        <f>IFERROR(__xludf.DUMMYFUNCTION("""COMPUTED_VALUE"""),45177.0)</f>
        <v>45177</v>
      </c>
      <c r="B6217" s="16" t="str">
        <f>IFERROR(__xludf.DUMMYFUNCTION("""COMPUTED_VALUE"""),"Orlando Urdaneta Rincon ")</f>
        <v>Orlando Urdaneta Rincon </v>
      </c>
      <c r="C6217" s="15" t="str">
        <f>IFERROR(__xludf.DUMMYFUNCTION("""COMPUTED_VALUE"""),"SANTA MARTA")</f>
        <v>SANTA MARTA</v>
      </c>
      <c r="D6217" s="15" t="str">
        <f>IFERROR(__xludf.DUMMYFUNCTION("""COMPUTED_VALUE"""),"BOGOTÁ")</f>
        <v>BOGOTÁ</v>
      </c>
      <c r="E6217" s="15" t="str">
        <f>IFERROR(__xludf.DUMMYFUNCTION("""COMPUTED_VALUE"""),"Evamazzita")</f>
        <v>Evamazzita</v>
      </c>
      <c r="F6217" s="17" t="str">
        <f>IFERROR(__xludf.DUMMYFUNCTION("""COMPUTED_VALUE"""),"CALLE 29 No. 31 - 35 / T.1 APTO 1401 EDIFICIO MIRADOR DE SAN PEDRO")</f>
        <v>CALLE 29 No. 31 - 35 / T.1 APTO 1401 EDIFICIO MIRADOR DE SAN PEDRO</v>
      </c>
      <c r="G6217" s="15" t="str">
        <f>IFERROR(__xludf.DUMMYFUNCTION("""COMPUTED_VALUE"""),"KATTIA CABAS HOYOS")</f>
        <v>KATTIA CABAS HOYOS</v>
      </c>
      <c r="H6217" s="16">
        <f>IFERROR(__xludf.DUMMYFUNCTION("""COMPUTED_VALUE"""),14870.0)</f>
        <v>14870</v>
      </c>
      <c r="I6217" s="18">
        <f>IFERROR(__xludf.DUMMYFUNCTION("""COMPUTED_VALUE"""),1.0)</f>
        <v>1</v>
      </c>
      <c r="J6217" s="18">
        <f>IFERROR(__xludf.DUMMYFUNCTION("""COMPUTED_VALUE"""),1.0)</f>
        <v>1</v>
      </c>
      <c r="K6217" s="18">
        <f>IFERROR(__xludf.DUMMYFUNCTION("""COMPUTED_VALUE"""),1.0)</f>
        <v>1</v>
      </c>
      <c r="L6217" s="17">
        <f>IFERROR(__xludf.DUMMYFUNCTION("""COMPUTED_VALUE"""),3.014396771E9)</f>
        <v>3014396771</v>
      </c>
      <c r="M6217" s="17" t="str">
        <f>IFERROR(__xludf.DUMMYFUNCTION("""COMPUTED_VALUE"""),"#REF!")</f>
        <v>#REF!</v>
      </c>
      <c r="N6217" s="17"/>
      <c r="O6217" s="17"/>
      <c r="P6217" s="17" t="b">
        <f>IFERROR(__xludf.DUMMYFUNCTION("""COMPUTED_VALUE"""),FALSE)</f>
        <v>0</v>
      </c>
      <c r="Q6217" s="20" t="str">
        <f>IFERROR(__xludf.DUMMYFUNCTION("""COMPUTED_VALUE"""),"")</f>
        <v/>
      </c>
      <c r="R6217" s="21" t="str">
        <f>IFERROR(__xludf.DUMMYFUNCTION("""COMPUTED_VALUE"""),"https://drive.google.com/file/d/14M9tGOGA1FwsSDxbM-4SJ3IwUfZ8-Krl/view?usp=drivesdk")</f>
        <v>https://drive.google.com/file/d/14M9tGOGA1FwsSDxbM-4SJ3IwUfZ8-Krl/view?usp=drivesdk</v>
      </c>
    </row>
    <row r="6218">
      <c r="A6218" s="15">
        <f>IFERROR(__xludf.DUMMYFUNCTION("""COMPUTED_VALUE"""),45177.0)</f>
        <v>45177</v>
      </c>
      <c r="B6218" s="16" t="str">
        <f>IFERROR(__xludf.DUMMYFUNCTION("""COMPUTED_VALUE"""),"Orlando Urdaneta Rincon ")</f>
        <v>Orlando Urdaneta Rincon </v>
      </c>
      <c r="C6218" s="15" t="str">
        <f>IFERROR(__xludf.DUMMYFUNCTION("""COMPUTED_VALUE"""),"SANTA MARTA")</f>
        <v>SANTA MARTA</v>
      </c>
      <c r="D6218" s="15" t="str">
        <f>IFERROR(__xludf.DUMMYFUNCTION("""COMPUTED_VALUE"""),"BOGOTÁ")</f>
        <v>BOGOTÁ</v>
      </c>
      <c r="E6218" s="15" t="str">
        <f>IFERROR(__xludf.DUMMYFUNCTION("""COMPUTED_VALUE"""),"Karem foods")</f>
        <v>Karem foods</v>
      </c>
      <c r="F6218" s="17" t="str">
        <f>IFERROR(__xludf.DUMMYFUNCTION("""COMPUTED_VALUE"""),"Conjunto Atardecer De La Sierra / Casa 125 / -")</f>
        <v>Conjunto Atardecer De La Sierra / Casa 125 / -</v>
      </c>
      <c r="G6218" s="15" t="str">
        <f>IFERROR(__xludf.DUMMYFUNCTION("""COMPUTED_VALUE"""),"Vivian Baute")</f>
        <v>Vivian Baute</v>
      </c>
      <c r="H6218" s="16">
        <f>IFERROR(__xludf.DUMMYFUNCTION("""COMPUTED_VALUE"""),14801.0)</f>
        <v>14801</v>
      </c>
      <c r="I6218" s="18">
        <f>IFERROR(__xludf.DUMMYFUNCTION("""COMPUTED_VALUE"""),7.0)</f>
        <v>7</v>
      </c>
      <c r="J6218" s="18">
        <f>IFERROR(__xludf.DUMMYFUNCTION("""COMPUTED_VALUE"""),20.0)</f>
        <v>20</v>
      </c>
      <c r="K6218" s="18">
        <f>IFERROR(__xludf.DUMMYFUNCTION("""COMPUTED_VALUE"""),20.0)</f>
        <v>20</v>
      </c>
      <c r="L6218" s="17">
        <f>IFERROR(__xludf.DUMMYFUNCTION("""COMPUTED_VALUE"""),3.002803334E9)</f>
        <v>3002803334</v>
      </c>
      <c r="M6218" s="17" t="str">
        <f>IFERROR(__xludf.DUMMYFUNCTION("""COMPUTED_VALUE"""),"#REF!")</f>
        <v>#REF!</v>
      </c>
      <c r="N6218" s="17"/>
      <c r="O6218" s="17"/>
      <c r="P6218" s="17" t="b">
        <f>IFERROR(__xludf.DUMMYFUNCTION("""COMPUTED_VALUE"""),FALSE)</f>
        <v>0</v>
      </c>
      <c r="Q6218" s="20" t="str">
        <f>IFERROR(__xludf.DUMMYFUNCTION("""COMPUTED_VALUE"""),"")</f>
        <v/>
      </c>
      <c r="R6218" s="21" t="str">
        <f>IFERROR(__xludf.DUMMYFUNCTION("""COMPUTED_VALUE"""),"https://drive.google.com/file/d/1aqGzfOB0MP5jpB_KmLvnkIS9mauVqTVx/view?usp=drivesdk")</f>
        <v>https://drive.google.com/file/d/1aqGzfOB0MP5jpB_KmLvnkIS9mauVqTVx/view?usp=drivesdk</v>
      </c>
    </row>
    <row r="6219">
      <c r="A6219" s="15">
        <f>IFERROR(__xludf.DUMMYFUNCTION("""COMPUTED_VALUE"""),45177.0)</f>
        <v>45177</v>
      </c>
      <c r="B6219" s="16" t="str">
        <f>IFERROR(__xludf.DUMMYFUNCTION("""COMPUTED_VALUE"""),"Orlando Urdaneta Rincon ")</f>
        <v>Orlando Urdaneta Rincon </v>
      </c>
      <c r="C6219" s="15" t="str">
        <f>IFERROR(__xludf.DUMMYFUNCTION("""COMPUTED_VALUE"""),"SANTA MARTA")</f>
        <v>SANTA MARTA</v>
      </c>
      <c r="D6219" s="15" t="str">
        <f>IFERROR(__xludf.DUMMYFUNCTION("""COMPUTED_VALUE"""),"BOGOTÁ")</f>
        <v>BOGOTÁ</v>
      </c>
      <c r="E6219" s="15" t="str">
        <f>IFERROR(__xludf.DUMMYFUNCTION("""COMPUTED_VALUE"""),"Pan de Waffle")</f>
        <v>Pan de Waffle</v>
      </c>
      <c r="F6219" s="17" t="str">
        <f>IFERROR(__xludf.DUMMYFUNCTION("""COMPUTED_VALUE"""),"Carrera 2 # 11a - 23 En el Crossfit del Rodadero / Carrera 2 # 11a - 23 En el Crossfit del Rodadero / Carrera 2 # 11a - 23 En el Crossfit del Rodadero")</f>
        <v>Carrera 2 # 11a - 23 En el Crossfit del Rodadero / Carrera 2 # 11a - 23 En el Crossfit del Rodadero / Carrera 2 # 11a - 23 En el Crossfit del Rodadero</v>
      </c>
      <c r="G6219" s="15" t="str">
        <f>IFERROR(__xludf.DUMMYFUNCTION("""COMPUTED_VALUE"""),"ENJOT FIT SANTA MARTA")</f>
        <v>ENJOT FIT SANTA MARTA</v>
      </c>
      <c r="H6219" s="16">
        <f>IFERROR(__xludf.DUMMYFUNCTION("""COMPUTED_VALUE"""),14736.0)</f>
        <v>14736</v>
      </c>
      <c r="I6219" s="18">
        <f>IFERROR(__xludf.DUMMYFUNCTION("""COMPUTED_VALUE"""),40.0)</f>
        <v>40</v>
      </c>
      <c r="J6219" s="18">
        <f>IFERROR(__xludf.DUMMYFUNCTION("""COMPUTED_VALUE"""),40.0)</f>
        <v>40</v>
      </c>
      <c r="K6219" s="18">
        <f>IFERROR(__xludf.DUMMYFUNCTION("""COMPUTED_VALUE"""),30.0)</f>
        <v>30</v>
      </c>
      <c r="L6219" s="17">
        <f>IFERROR(__xludf.DUMMYFUNCTION("""COMPUTED_VALUE"""),3.144759636E9)</f>
        <v>3144759636</v>
      </c>
      <c r="M6219" s="17" t="str">
        <f>IFERROR(__xludf.DUMMYFUNCTION("""COMPUTED_VALUE"""),"#REF!")</f>
        <v>#REF!</v>
      </c>
      <c r="N6219" s="17"/>
      <c r="O6219" s="17"/>
      <c r="P6219" s="17" t="b">
        <f>IFERROR(__xludf.DUMMYFUNCTION("""COMPUTED_VALUE"""),FALSE)</f>
        <v>0</v>
      </c>
      <c r="Q6219" s="20" t="str">
        <f>IFERROR(__xludf.DUMMYFUNCTION("""COMPUTED_VALUE"""),"")</f>
        <v/>
      </c>
      <c r="R6219" s="21" t="str">
        <f>IFERROR(__xludf.DUMMYFUNCTION("""COMPUTED_VALUE"""),"https://drive.google.com/file/d/1e1JeMpUZk-3V1afh7IzdcDyFMgUoUi39/view?usp=drivesdk")</f>
        <v>https://drive.google.com/file/d/1e1JeMpUZk-3V1afh7IzdcDyFMgUoUi39/view?usp=drivesdk</v>
      </c>
    </row>
    <row r="6220">
      <c r="A6220" s="15">
        <f>IFERROR(__xludf.DUMMYFUNCTION("""COMPUTED_VALUE"""),45177.0)</f>
        <v>45177</v>
      </c>
      <c r="B6220" s="16" t="str">
        <f>IFERROR(__xludf.DUMMYFUNCTION("""COMPUTED_VALUE"""),"Orlando Urdaneta Rincon ")</f>
        <v>Orlando Urdaneta Rincon </v>
      </c>
      <c r="C6220" s="15" t="str">
        <f>IFERROR(__xludf.DUMMYFUNCTION("""COMPUTED_VALUE"""),"SANTA MARTA")</f>
        <v>SANTA MARTA</v>
      </c>
      <c r="D6220" s="15" t="str">
        <f>IFERROR(__xludf.DUMMYFUNCTION("""COMPUTED_VALUE"""),"MEDELLÍN")</f>
        <v>MEDELLÍN</v>
      </c>
      <c r="E6220" s="15" t="str">
        <f>IFERROR(__xludf.DUMMYFUNCTION("""COMPUTED_VALUE"""),"Magda")</f>
        <v>Magda</v>
      </c>
      <c r="F6220" s="17" t="str">
        <f>IFERROR(__xludf.DUMMYFUNCTION("""COMPUTED_VALUE"""),"Calle 22 # 6 - 82 / Local 27 Centro Comercial La 22 / Centro")</f>
        <v>Calle 22 # 6 - 82 / Local 27 Centro Comercial La 22 / Centro</v>
      </c>
      <c r="G6220" s="15" t="str">
        <f>IFERROR(__xludf.DUMMYFUNCTION("""COMPUTED_VALUE"""),"Shirley Manjarres")</f>
        <v>Shirley Manjarres</v>
      </c>
      <c r="H6220" s="16">
        <f>IFERROR(__xludf.DUMMYFUNCTION("""COMPUTED_VALUE"""),14885.0)</f>
        <v>14885</v>
      </c>
      <c r="I6220" s="18">
        <f>IFERROR(__xludf.DUMMYFUNCTION("""COMPUTED_VALUE"""),5.0)</f>
        <v>5</v>
      </c>
      <c r="J6220" s="18">
        <f>IFERROR(__xludf.DUMMYFUNCTION("""COMPUTED_VALUE"""),5.0)</f>
        <v>5</v>
      </c>
      <c r="K6220" s="18">
        <f>IFERROR(__xludf.DUMMYFUNCTION("""COMPUTED_VALUE"""),5.0)</f>
        <v>5</v>
      </c>
      <c r="L6220" s="17">
        <f>IFERROR(__xludf.DUMMYFUNCTION("""COMPUTED_VALUE"""),3.054269156E9)</f>
        <v>3054269156</v>
      </c>
      <c r="M6220" s="17" t="str">
        <f>IFERROR(__xludf.DUMMYFUNCTION("""COMPUTED_VALUE"""),"#REF!")</f>
        <v>#REF!</v>
      </c>
      <c r="N6220" s="17"/>
      <c r="O6220" s="17"/>
      <c r="P6220" s="17" t="b">
        <f>IFERROR(__xludf.DUMMYFUNCTION("""COMPUTED_VALUE"""),FALSE)</f>
        <v>0</v>
      </c>
      <c r="Q6220" s="20" t="str">
        <f>IFERROR(__xludf.DUMMYFUNCTION("""COMPUTED_VALUE"""),"")</f>
        <v/>
      </c>
      <c r="R6220" s="22" t="str">
        <f>IFERROR(__xludf.DUMMYFUNCTION("""COMPUTED_VALUE"""),"")</f>
        <v/>
      </c>
    </row>
    <row r="6221">
      <c r="A6221" s="15">
        <f>IFERROR(__xludf.DUMMYFUNCTION("""COMPUTED_VALUE"""),45177.0)</f>
        <v>45177</v>
      </c>
      <c r="B6221" s="16" t="str">
        <f>IFERROR(__xludf.DUMMYFUNCTION("""COMPUTED_VALUE"""),"Orlando Urdaneta Rincon ")</f>
        <v>Orlando Urdaneta Rincon </v>
      </c>
      <c r="C6221" s="15" t="str">
        <f>IFERROR(__xludf.DUMMYFUNCTION("""COMPUTED_VALUE"""),"SANTA MARTA")</f>
        <v>SANTA MARTA</v>
      </c>
      <c r="D6221" s="15" t="str">
        <f>IFERROR(__xludf.DUMMYFUNCTION("""COMPUTED_VALUE"""),"MEDELLÍN")</f>
        <v>MEDELLÍN</v>
      </c>
      <c r="E6221" s="15" t="str">
        <f>IFERROR(__xludf.DUMMYFUNCTION("""COMPUTED_VALUE"""),"Rambla")</f>
        <v>Rambla</v>
      </c>
      <c r="F6221" s="17" t="str">
        <f>IFERROR(__xludf.DUMMYFUNCTION("""COMPUTED_VALUE"""),"CR 4 26 40 CC PRADO PLAZA LC 117 / - / -")</f>
        <v>CR 4 26 40 CC PRADO PLAZA LC 117 / - / -</v>
      </c>
      <c r="G6221" s="15" t="str">
        <f>IFERROR(__xludf.DUMMYFUNCTION("""COMPUTED_VALUE"""),"Hecho en casa")</f>
        <v>Hecho en casa</v>
      </c>
      <c r="H6221" s="16">
        <f>IFERROR(__xludf.DUMMYFUNCTION("""COMPUTED_VALUE"""),14891.0)</f>
        <v>14891</v>
      </c>
      <c r="I6221" s="18">
        <f>IFERROR(__xludf.DUMMYFUNCTION("""COMPUTED_VALUE"""),20.0)</f>
        <v>20</v>
      </c>
      <c r="J6221" s="18">
        <f>IFERROR(__xludf.DUMMYFUNCTION("""COMPUTED_VALUE"""),20.0)</f>
        <v>20</v>
      </c>
      <c r="K6221" s="18">
        <f>IFERROR(__xludf.DUMMYFUNCTION("""COMPUTED_VALUE"""),22.0)</f>
        <v>22</v>
      </c>
      <c r="L6221" s="17">
        <f>IFERROR(__xludf.DUMMYFUNCTION("""COMPUTED_VALUE"""),3.176455877E9)</f>
        <v>3176455877</v>
      </c>
      <c r="M6221" s="17" t="str">
        <f>IFERROR(__xludf.DUMMYFUNCTION("""COMPUTED_VALUE"""),"#REF!")</f>
        <v>#REF!</v>
      </c>
      <c r="N6221" s="17"/>
      <c r="O6221" s="17"/>
      <c r="P6221" s="17" t="b">
        <f>IFERROR(__xludf.DUMMYFUNCTION("""COMPUTED_VALUE"""),FALSE)</f>
        <v>0</v>
      </c>
      <c r="Q6221" s="20" t="str">
        <f>IFERROR(__xludf.DUMMYFUNCTION("""COMPUTED_VALUE"""),"")</f>
        <v/>
      </c>
      <c r="R6221" s="21" t="str">
        <f>IFERROR(__xludf.DUMMYFUNCTION("""COMPUTED_VALUE"""),"https://drive.google.com/file/d/1K87tO4e4qitvRw8rc7Y3esG5kgFHKirQ/view?usp=drivesdk")</f>
        <v>https://drive.google.com/file/d/1K87tO4e4qitvRw8rc7Y3esG5kgFHKirQ/view?usp=drivesdk</v>
      </c>
    </row>
    <row r="6222">
      <c r="A6222" s="15">
        <f>IFERROR(__xludf.DUMMYFUNCTION("""COMPUTED_VALUE"""),45177.0)</f>
        <v>45177</v>
      </c>
      <c r="B6222" s="16" t="str">
        <f>IFERROR(__xludf.DUMMYFUNCTION("""COMPUTED_VALUE"""),"Orlando Urdaneta Rincon ")</f>
        <v>Orlando Urdaneta Rincon </v>
      </c>
      <c r="C6222" s="15" t="str">
        <f>IFERROR(__xludf.DUMMYFUNCTION("""COMPUTED_VALUE"""),"ZIPAQUIRA")</f>
        <v>ZIPAQUIRA</v>
      </c>
      <c r="D6222" s="15" t="str">
        <f>IFERROR(__xludf.DUMMYFUNCTION("""COMPUTED_VALUE"""),"BOGOTÁ")</f>
        <v>BOGOTÁ</v>
      </c>
      <c r="E6222" s="15" t="str">
        <f>IFERROR(__xludf.DUMMYFUNCTION("""COMPUTED_VALUE"""),"Yo Como Solito")</f>
        <v>Yo Como Solito</v>
      </c>
      <c r="F6222" s="17" t="str">
        <f>IFERROR(__xludf.DUMMYFUNCTION("""COMPUTED_VALUE"""),"DIAGONAL 4B #31-20 TORRE 11 APARTAMENTO 644 SIENNA LA TOSCANA / DIAGONAL 4B #31-20 TORRE 11 APARTAMENTO 644 SIENNA LA TOSCANA / DIAGONAL 4B #31-20 TORRE 11 APARTAMENTO 644 SIENNA LA TOSCANA")</f>
        <v>DIAGONAL 4B #31-20 TORRE 11 APARTAMENTO 644 SIENNA LA TOSCANA / DIAGONAL 4B #31-20 TORRE 11 APARTAMENTO 644 SIENNA LA TOSCANA / DIAGONAL 4B #31-20 TORRE 11 APARTAMENTO 644 SIENNA LA TOSCANA</v>
      </c>
      <c r="G6222" s="15" t="str">
        <f>IFERROR(__xludf.DUMMYFUNCTION("""COMPUTED_VALUE"""),"DIANA CAROLINA DIAZ")</f>
        <v>DIANA CAROLINA DIAZ</v>
      </c>
      <c r="H6222" s="16">
        <f>IFERROR(__xludf.DUMMYFUNCTION("""COMPUTED_VALUE"""),14921.0)</f>
        <v>14921</v>
      </c>
      <c r="I6222" s="18">
        <f>IFERROR(__xludf.DUMMYFUNCTION("""COMPUTED_VALUE"""),13.0)</f>
        <v>13</v>
      </c>
      <c r="J6222" s="18">
        <f>IFERROR(__xludf.DUMMYFUNCTION("""COMPUTED_VALUE"""),25.0)</f>
        <v>25</v>
      </c>
      <c r="K6222" s="18">
        <f>IFERROR(__xludf.DUMMYFUNCTION("""COMPUTED_VALUE"""),25.0)</f>
        <v>25</v>
      </c>
      <c r="L6222" s="17">
        <f>IFERROR(__xludf.DUMMYFUNCTION("""COMPUTED_VALUE"""),3.185572046E9)</f>
        <v>3185572046</v>
      </c>
      <c r="M6222" s="17" t="str">
        <f>IFERROR(__xludf.DUMMYFUNCTION("""COMPUTED_VALUE"""),"#REF!")</f>
        <v>#REF!</v>
      </c>
      <c r="N6222" s="17"/>
      <c r="O6222" s="17"/>
      <c r="P6222" s="17" t="b">
        <f>IFERROR(__xludf.DUMMYFUNCTION("""COMPUTED_VALUE"""),FALSE)</f>
        <v>0</v>
      </c>
      <c r="Q6222" s="20" t="str">
        <f>IFERROR(__xludf.DUMMYFUNCTION("""COMPUTED_VALUE"""),"")</f>
        <v/>
      </c>
      <c r="R6222" s="22" t="str">
        <f>IFERROR(__xludf.DUMMYFUNCTION("""COMPUTED_VALUE"""),"")</f>
        <v/>
      </c>
    </row>
    <row r="6223">
      <c r="A6223" s="17" t="str">
        <f>IFERROR(__xludf.DUMMYFUNCTION("""COMPUTED_VALUE"""),"")</f>
        <v/>
      </c>
      <c r="B6223" s="17" t="str">
        <f>IFERROR(__xludf.DUMMYFUNCTION("""COMPUTED_VALUE"""),"")</f>
        <v/>
      </c>
      <c r="C6223" s="17" t="str">
        <f>IFERROR(__xludf.DUMMYFUNCTION("""COMPUTED_VALUE"""),"")</f>
        <v/>
      </c>
      <c r="D6223" s="17" t="str">
        <f>IFERROR(__xludf.DUMMYFUNCTION("""COMPUTED_VALUE"""),"")</f>
        <v/>
      </c>
      <c r="E6223" s="17" t="str">
        <f>IFERROR(__xludf.DUMMYFUNCTION("""COMPUTED_VALUE"""),"")</f>
        <v/>
      </c>
      <c r="F6223" s="17" t="str">
        <f>IFERROR(__xludf.DUMMYFUNCTION("""COMPUTED_VALUE"""),"")</f>
        <v/>
      </c>
      <c r="G6223" s="17" t="str">
        <f>IFERROR(__xludf.DUMMYFUNCTION("""COMPUTED_VALUE"""),"")</f>
        <v/>
      </c>
      <c r="H6223" s="17" t="str">
        <f>IFERROR(__xludf.DUMMYFUNCTION("""COMPUTED_VALUE"""),"")</f>
        <v/>
      </c>
      <c r="I6223" s="17" t="str">
        <f>IFERROR(__xludf.DUMMYFUNCTION("""COMPUTED_VALUE"""),"")</f>
        <v/>
      </c>
      <c r="J6223" s="17" t="str">
        <f>IFERROR(__xludf.DUMMYFUNCTION("""COMPUTED_VALUE"""),"")</f>
        <v/>
      </c>
      <c r="K6223" s="17" t="str">
        <f>IFERROR(__xludf.DUMMYFUNCTION("""COMPUTED_VALUE"""),"")</f>
        <v/>
      </c>
      <c r="L6223" s="17" t="str">
        <f>IFERROR(__xludf.DUMMYFUNCTION("""COMPUTED_VALUE"""),"")</f>
        <v/>
      </c>
      <c r="M6223" s="17" t="str">
        <f>IFERROR(__xludf.DUMMYFUNCTION("""COMPUTED_VALUE"""),"")</f>
        <v/>
      </c>
      <c r="N6223" s="17" t="str">
        <f>IFERROR(__xludf.DUMMYFUNCTION("""COMPUTED_VALUE"""),"")</f>
        <v/>
      </c>
      <c r="O6223" s="17" t="str">
        <f>IFERROR(__xludf.DUMMYFUNCTION("""COMPUTED_VALUE"""),"")</f>
        <v/>
      </c>
      <c r="P6223" s="17" t="str">
        <f>IFERROR(__xludf.DUMMYFUNCTION("""COMPUTED_VALUE"""),"")</f>
        <v/>
      </c>
      <c r="Q6223" s="17" t="str">
        <f>IFERROR(__xludf.DUMMYFUNCTION("""COMPUTED_VALUE"""),"")</f>
        <v/>
      </c>
      <c r="R6223" s="17" t="str">
        <f>IFERROR(__xludf.DUMMYFUNCTION("""COMPUTED_VALUE"""),"")</f>
        <v/>
      </c>
    </row>
    <row r="6224">
      <c r="A6224" s="15">
        <f>IFERROR(__xludf.DUMMYFUNCTION("""COMPUTED_VALUE"""),45177.0)</f>
        <v>45177</v>
      </c>
      <c r="B6224" s="16" t="str">
        <f>IFERROR(__xludf.DUMMYFUNCTION("""COMPUTED_VALUE"""),"Santiago Garces Restrepo")</f>
        <v>Santiago Garces Restrepo</v>
      </c>
      <c r="C6224" s="15" t="str">
        <f>IFERROR(__xludf.DUMMYFUNCTION("""COMPUTED_VALUE"""),"MEDELLÍN")</f>
        <v>MEDELLÍN</v>
      </c>
      <c r="D6224" s="15" t="str">
        <f>IFERROR(__xludf.DUMMYFUNCTION("""COMPUTED_VALUE"""),"BOGOTÁ")</f>
        <v>BOGOTÁ</v>
      </c>
      <c r="E6224" s="15" t="str">
        <f>IFERROR(__xludf.DUMMYFUNCTION("""COMPUTED_VALUE"""),"AREPAS LA MARY")</f>
        <v>AREPAS LA MARY</v>
      </c>
      <c r="F6224" s="17" t="str">
        <f>IFERROR(__xludf.DUMMYFUNCTION("""COMPUTED_VALUE"""),"CALLE 19 SUR # 17-333 / CASA BLANCA OCN AZUL")</f>
        <v>CALLE 19 SUR # 17-333 / CASA BLANCA OCN AZUL</v>
      </c>
      <c r="G6224" s="15" t="str">
        <f>IFERROR(__xludf.DUMMYFUNCTION("""COMPUTED_VALUE"""),"AREPAS LA MARY")</f>
        <v>AREPAS LA MARY</v>
      </c>
      <c r="H6224" s="16">
        <f>IFERROR(__xludf.DUMMYFUNCTION("""COMPUTED_VALUE"""),14929.0)</f>
        <v>14929</v>
      </c>
      <c r="I6224" s="18">
        <f>IFERROR(__xludf.DUMMYFUNCTION("""COMPUTED_VALUE"""),89.0)</f>
        <v>89</v>
      </c>
      <c r="J6224" s="18">
        <f>IFERROR(__xludf.DUMMYFUNCTION("""COMPUTED_VALUE"""),1.0)</f>
        <v>1</v>
      </c>
      <c r="K6224" s="18">
        <f>IFERROR(__xludf.DUMMYFUNCTION("""COMPUTED_VALUE"""),10.0)</f>
        <v>10</v>
      </c>
      <c r="L6224" s="17">
        <f>IFERROR(__xludf.DUMMYFUNCTION("""COMPUTED_VALUE"""),3.104660775E9)</f>
        <v>3104660775</v>
      </c>
      <c r="M6224" s="17" t="str">
        <f>IFERROR(__xludf.DUMMYFUNCTION("""COMPUTED_VALUE"""),"#REF!")</f>
        <v>#REF!</v>
      </c>
      <c r="N6224" s="17"/>
      <c r="O6224" s="17"/>
      <c r="P6224" s="17" t="b">
        <f>IFERROR(__xludf.DUMMYFUNCTION("""COMPUTED_VALUE"""),TRUE)</f>
        <v>1</v>
      </c>
      <c r="Q6224" s="20">
        <f>IFERROR(__xludf.DUMMYFUNCTION("""COMPUTED_VALUE"""),45181.49846107639)</f>
        <v>45181.49846</v>
      </c>
      <c r="R6224" s="22" t="str">
        <f>IFERROR(__xludf.DUMMYFUNCTION("""COMPUTED_VALUE"""),"")</f>
        <v/>
      </c>
    </row>
    <row r="6225">
      <c r="A6225" s="15">
        <f>IFERROR(__xludf.DUMMYFUNCTION("""COMPUTED_VALUE"""),45177.0)</f>
        <v>45177</v>
      </c>
      <c r="B6225" s="16" t="str">
        <f>IFERROR(__xludf.DUMMYFUNCTION("""COMPUTED_VALUE"""),"Santiago Garces Restrepo")</f>
        <v>Santiago Garces Restrepo</v>
      </c>
      <c r="C6225" s="15" t="str">
        <f>IFERROR(__xludf.DUMMYFUNCTION("""COMPUTED_VALUE"""),"MEDELLÍN")</f>
        <v>MEDELLÍN</v>
      </c>
      <c r="D6225" s="15" t="str">
        <f>IFERROR(__xludf.DUMMYFUNCTION("""COMPUTED_VALUE"""),"BOGOTÁ")</f>
        <v>BOGOTÁ</v>
      </c>
      <c r="E6225" s="15" t="str">
        <f>IFERROR(__xludf.DUMMYFUNCTION("""COMPUTED_VALUE"""),"FamiliaReal S.A.S")</f>
        <v>FamiliaReal S.A.S</v>
      </c>
      <c r="F6225" s="17" t="str">
        <f>IFERROR(__xludf.DUMMYFUNCTION("""COMPUTED_VALUE"""),"Calle 39 Sur No 25 AA 12 torre 1 Apto 1702 Sendero Fresco, Envigado Loma el Chingui")</f>
        <v>Calle 39 Sur No 25 AA 12 torre 1 Apto 1702 Sendero Fresco, Envigado Loma el Chingui</v>
      </c>
      <c r="G6225" s="15" t="str">
        <f>IFERROR(__xludf.DUMMYFUNCTION("""COMPUTED_VALUE"""),"Hans Rodríguez")</f>
        <v>Hans Rodríguez</v>
      </c>
      <c r="H6225" s="16">
        <f>IFERROR(__xludf.DUMMYFUNCTION("""COMPUTED_VALUE"""),14827.0)</f>
        <v>14827</v>
      </c>
      <c r="I6225" s="18">
        <f>IFERROR(__xludf.DUMMYFUNCTION("""COMPUTED_VALUE"""),26.0)</f>
        <v>26</v>
      </c>
      <c r="J6225" s="18">
        <f>IFERROR(__xludf.DUMMYFUNCTION("""COMPUTED_VALUE"""),45115.0)</f>
        <v>45115</v>
      </c>
      <c r="K6225" s="18">
        <f>IFERROR(__xludf.DUMMYFUNCTION("""COMPUTED_VALUE"""),45115.0)</f>
        <v>45115</v>
      </c>
      <c r="L6225" s="17" t="str">
        <f>IFERROR(__xludf.DUMMYFUNCTION("""COMPUTED_VALUE"""),"305 2364036")</f>
        <v>305 2364036</v>
      </c>
      <c r="M6225" s="17" t="str">
        <f>IFERROR(__xludf.DUMMYFUNCTION("""COMPUTED_VALUE"""),"#REF!")</f>
        <v>#REF!</v>
      </c>
      <c r="N6225" s="17"/>
      <c r="O6225" s="17"/>
      <c r="P6225" s="17" t="b">
        <f>IFERROR(__xludf.DUMMYFUNCTION("""COMPUTED_VALUE"""),TRUE)</f>
        <v>1</v>
      </c>
      <c r="Q6225" s="20">
        <f>IFERROR(__xludf.DUMMYFUNCTION("""COMPUTED_VALUE"""),45181.49512097222)</f>
        <v>45181.49512</v>
      </c>
      <c r="R6225" s="21" t="str">
        <f>IFERROR(__xludf.DUMMYFUNCTION("""COMPUTED_VALUE"""),"https://drive.google.com/file/d/1UrUaQ7NwCqmpTKbn4XUHJ7K1nYjjxPje/view?usp=drivesdk")</f>
        <v>https://drive.google.com/file/d/1UrUaQ7NwCqmpTKbn4XUHJ7K1nYjjxPje/view?usp=drivesdk</v>
      </c>
    </row>
    <row r="6226">
      <c r="A6226" s="15">
        <f>IFERROR(__xludf.DUMMYFUNCTION("""COMPUTED_VALUE"""),45177.0)</f>
        <v>45177</v>
      </c>
      <c r="B6226" s="16" t="str">
        <f>IFERROR(__xludf.DUMMYFUNCTION("""COMPUTED_VALUE"""),"Santiago Garces Restrepo")</f>
        <v>Santiago Garces Restrepo</v>
      </c>
      <c r="C6226" s="15" t="str">
        <f>IFERROR(__xludf.DUMMYFUNCTION("""COMPUTED_VALUE"""),"MEDELLÍN")</f>
        <v>MEDELLÍN</v>
      </c>
      <c r="D6226" s="15" t="str">
        <f>IFERROR(__xludf.DUMMYFUNCTION("""COMPUTED_VALUE"""),"BOGOTÁ")</f>
        <v>BOGOTÁ</v>
      </c>
      <c r="E6226" s="15" t="str">
        <f>IFERROR(__xludf.DUMMYFUNCTION("""COMPUTED_VALUE"""),"FamiliaReal S.A.S")</f>
        <v>FamiliaReal S.A.S</v>
      </c>
      <c r="F6226" s="17" t="str">
        <f>IFERROR(__xludf.DUMMYFUNCTION("""COMPUTED_VALUE"""),"calle 45e # 76-95 apto 602 edificio parque fontana (velodromo)")</f>
        <v>calle 45e # 76-95 apto 602 edificio parque fontana (velodromo)</v>
      </c>
      <c r="G6226" s="15" t="str">
        <f>IFERROR(__xludf.DUMMYFUNCTION("""COMPUTED_VALUE"""),"Lina Maria Perez")</f>
        <v>Lina Maria Perez</v>
      </c>
      <c r="H6226" s="16">
        <f>IFERROR(__xludf.DUMMYFUNCTION("""COMPUTED_VALUE"""),14828.0)</f>
        <v>14828</v>
      </c>
      <c r="I6226" s="18">
        <f>IFERROR(__xludf.DUMMYFUNCTION("""COMPUTED_VALUE"""),26.0)</f>
        <v>26</v>
      </c>
      <c r="J6226" s="18">
        <f>IFERROR(__xludf.DUMMYFUNCTION("""COMPUTED_VALUE"""),45115.0)</f>
        <v>45115</v>
      </c>
      <c r="K6226" s="18">
        <f>IFERROR(__xludf.DUMMYFUNCTION("""COMPUTED_VALUE"""),45115.0)</f>
        <v>45115</v>
      </c>
      <c r="L6226" s="17" t="str">
        <f>IFERROR(__xludf.DUMMYFUNCTION("""COMPUTED_VALUE"""),"320 7276237")</f>
        <v>320 7276237</v>
      </c>
      <c r="M6226" s="17" t="str">
        <f>IFERROR(__xludf.DUMMYFUNCTION("""COMPUTED_VALUE"""),"#REF!")</f>
        <v>#REF!</v>
      </c>
      <c r="N6226" s="17"/>
      <c r="O6226" s="17"/>
      <c r="P6226" s="17" t="b">
        <f>IFERROR(__xludf.DUMMYFUNCTION("""COMPUTED_VALUE"""),TRUE)</f>
        <v>1</v>
      </c>
      <c r="Q6226" s="20">
        <f>IFERROR(__xludf.DUMMYFUNCTION("""COMPUTED_VALUE"""),45181.498531944446)</f>
        <v>45181.49853</v>
      </c>
      <c r="R6226" s="21" t="str">
        <f>IFERROR(__xludf.DUMMYFUNCTION("""COMPUTED_VALUE"""),"https://drive.google.com/file/d/1c0fnlTZeSLltUGZr40-cT9TyvWGoYrmc/view?usp=drivesdk")</f>
        <v>https://drive.google.com/file/d/1c0fnlTZeSLltUGZr40-cT9TyvWGoYrmc/view?usp=drivesdk</v>
      </c>
    </row>
    <row r="6227">
      <c r="A6227" s="15">
        <f>IFERROR(__xludf.DUMMYFUNCTION("""COMPUTED_VALUE"""),45177.0)</f>
        <v>45177</v>
      </c>
      <c r="B6227" s="16" t="str">
        <f>IFERROR(__xludf.DUMMYFUNCTION("""COMPUTED_VALUE"""),"Santiago Garces Restrepo")</f>
        <v>Santiago Garces Restrepo</v>
      </c>
      <c r="C6227" s="15" t="str">
        <f>IFERROR(__xludf.DUMMYFUNCTION("""COMPUTED_VALUE"""),"MEDELLÍN")</f>
        <v>MEDELLÍN</v>
      </c>
      <c r="D6227" s="15" t="str">
        <f>IFERROR(__xludf.DUMMYFUNCTION("""COMPUTED_VALUE"""),"BOGOTÁ")</f>
        <v>BOGOTÁ</v>
      </c>
      <c r="E6227" s="15" t="str">
        <f>IFERROR(__xludf.DUMMYFUNCTION("""COMPUTED_VALUE"""),"FamiliaReal S.A.S")</f>
        <v>FamiliaReal S.A.S</v>
      </c>
      <c r="F6227" s="17" t="str">
        <f>IFERROR(__xludf.DUMMYFUNCTION("""COMPUTED_VALUE"""),"Calle 5 #76A-150 apartamento 1203 Urbanización Vitenza.Loma de los Bernal")</f>
        <v>Calle 5 #76A-150 apartamento 1203 Urbanización Vitenza.Loma de los Bernal</v>
      </c>
      <c r="G6227" s="15" t="str">
        <f>IFERROR(__xludf.DUMMYFUNCTION("""COMPUTED_VALUE"""),"Luz Santamaría")</f>
        <v>Luz Santamaría</v>
      </c>
      <c r="H6227" s="16">
        <f>IFERROR(__xludf.DUMMYFUNCTION("""COMPUTED_VALUE"""),14820.0)</f>
        <v>14820</v>
      </c>
      <c r="I6227" s="18">
        <f>IFERROR(__xludf.DUMMYFUNCTION("""COMPUTED_VALUE"""),26.0)</f>
        <v>26</v>
      </c>
      <c r="J6227" s="18">
        <f>IFERROR(__xludf.DUMMYFUNCTION("""COMPUTED_VALUE"""),45115.0)</f>
        <v>45115</v>
      </c>
      <c r="K6227" s="18">
        <f>IFERROR(__xludf.DUMMYFUNCTION("""COMPUTED_VALUE"""),45115.0)</f>
        <v>45115</v>
      </c>
      <c r="L6227" s="17">
        <f>IFERROR(__xludf.DUMMYFUNCTION("""COMPUTED_VALUE"""),3.00615077E9)</f>
        <v>3006150770</v>
      </c>
      <c r="M6227" s="17" t="str">
        <f>IFERROR(__xludf.DUMMYFUNCTION("""COMPUTED_VALUE"""),"#REF!")</f>
        <v>#REF!</v>
      </c>
      <c r="N6227" s="17"/>
      <c r="O6227" s="17"/>
      <c r="P6227" s="17" t="b">
        <f>IFERROR(__xludf.DUMMYFUNCTION("""COMPUTED_VALUE"""),TRUE)</f>
        <v>1</v>
      </c>
      <c r="Q6227" s="20">
        <f>IFERROR(__xludf.DUMMYFUNCTION("""COMPUTED_VALUE"""),45181.498531944446)</f>
        <v>45181.49853</v>
      </c>
      <c r="R6227" s="21" t="str">
        <f>IFERROR(__xludf.DUMMYFUNCTION("""COMPUTED_VALUE"""),"https://drive.google.com/file/d/1Jo0tOTR-UIYFi_TxOQUAbp1X3GCjGSCU/view?usp=drivesdk")</f>
        <v>https://drive.google.com/file/d/1Jo0tOTR-UIYFi_TxOQUAbp1X3GCjGSCU/view?usp=drivesdk</v>
      </c>
    </row>
    <row r="6228">
      <c r="A6228" s="15">
        <f>IFERROR(__xludf.DUMMYFUNCTION("""COMPUTED_VALUE"""),45177.0)</f>
        <v>45177</v>
      </c>
      <c r="B6228" s="16" t="str">
        <f>IFERROR(__xludf.DUMMYFUNCTION("""COMPUTED_VALUE"""),"Santiago Garces Restrepo")</f>
        <v>Santiago Garces Restrepo</v>
      </c>
      <c r="C6228" s="15" t="str">
        <f>IFERROR(__xludf.DUMMYFUNCTION("""COMPUTED_VALUE"""),"MEDELLÍN")</f>
        <v>MEDELLÍN</v>
      </c>
      <c r="D6228" s="15" t="str">
        <f>IFERROR(__xludf.DUMMYFUNCTION("""COMPUTED_VALUE"""),"BOGOTÁ")</f>
        <v>BOGOTÁ</v>
      </c>
      <c r="E6228" s="15" t="str">
        <f>IFERROR(__xludf.DUMMYFUNCTION("""COMPUTED_VALUE"""),"FamiliaReal S.A.S")</f>
        <v>FamiliaReal S.A.S</v>
      </c>
      <c r="F6228" s="17" t="str">
        <f>IFERROR(__xludf.DUMMYFUNCTION("""COMPUTED_VALUE"""),"Carrera 50 #52-50 Patio del unión, local 249")</f>
        <v>Carrera 50 #52-50 Patio del unión, local 249</v>
      </c>
      <c r="G6228" s="15" t="str">
        <f>IFERROR(__xludf.DUMMYFUNCTION("""COMPUTED_VALUE"""),"Jaider Carrascal")</f>
        <v>Jaider Carrascal</v>
      </c>
      <c r="H6228" s="16">
        <f>IFERROR(__xludf.DUMMYFUNCTION("""COMPUTED_VALUE"""),14825.0)</f>
        <v>14825</v>
      </c>
      <c r="I6228" s="18">
        <f>IFERROR(__xludf.DUMMYFUNCTION("""COMPUTED_VALUE"""),26.0)</f>
        <v>26</v>
      </c>
      <c r="J6228" s="18">
        <f>IFERROR(__xludf.DUMMYFUNCTION("""COMPUTED_VALUE"""),45115.0)</f>
        <v>45115</v>
      </c>
      <c r="K6228" s="18">
        <f>IFERROR(__xludf.DUMMYFUNCTION("""COMPUTED_VALUE"""),45115.0)</f>
        <v>45115</v>
      </c>
      <c r="L6228" s="17">
        <f>IFERROR(__xludf.DUMMYFUNCTION("""COMPUTED_VALUE"""),3.135943828E9)</f>
        <v>3135943828</v>
      </c>
      <c r="M6228" s="17" t="str">
        <f>IFERROR(__xludf.DUMMYFUNCTION("""COMPUTED_VALUE"""),"#REF!")</f>
        <v>#REF!</v>
      </c>
      <c r="N6228" s="17"/>
      <c r="O6228" s="17"/>
      <c r="P6228" s="17" t="b">
        <f>IFERROR(__xludf.DUMMYFUNCTION("""COMPUTED_VALUE"""),TRUE)</f>
        <v>1</v>
      </c>
      <c r="Q6228" s="20">
        <f>IFERROR(__xludf.DUMMYFUNCTION("""COMPUTED_VALUE"""),45181.498531944446)</f>
        <v>45181.49853</v>
      </c>
      <c r="R6228" s="21" t="str">
        <f>IFERROR(__xludf.DUMMYFUNCTION("""COMPUTED_VALUE"""),"https://drive.google.com/file/d/1ubjCzSPmwyEsvp8Cw_pVVlUX-OFrt-yY/view?usp=drivesdk")</f>
        <v>https://drive.google.com/file/d/1ubjCzSPmwyEsvp8Cw_pVVlUX-OFrt-yY/view?usp=drivesdk</v>
      </c>
    </row>
    <row r="6229">
      <c r="A6229" s="15">
        <f>IFERROR(__xludf.DUMMYFUNCTION("""COMPUTED_VALUE"""),45177.0)</f>
        <v>45177</v>
      </c>
      <c r="B6229" s="16" t="str">
        <f>IFERROR(__xludf.DUMMYFUNCTION("""COMPUTED_VALUE"""),"Santiago Garces Restrepo")</f>
        <v>Santiago Garces Restrepo</v>
      </c>
      <c r="C6229" s="15" t="str">
        <f>IFERROR(__xludf.DUMMYFUNCTION("""COMPUTED_VALUE"""),"MEDELLÍN")</f>
        <v>MEDELLÍN</v>
      </c>
      <c r="D6229" s="15" t="str">
        <f>IFERROR(__xludf.DUMMYFUNCTION("""COMPUTED_VALUE"""),"BOGOTÁ")</f>
        <v>BOGOTÁ</v>
      </c>
      <c r="E6229" s="15" t="str">
        <f>IFERROR(__xludf.DUMMYFUNCTION("""COMPUTED_VALUE"""),"FamiliaReal S.A.S")</f>
        <v>FamiliaReal S.A.S</v>
      </c>
      <c r="F6229" s="17" t="str">
        <f>IFERROR(__xludf.DUMMYFUNCTION("""COMPUTED_VALUE"""),"Carrera 98 # 41- 72 apto 302 barrio San Javier.")</f>
        <v>Carrera 98 # 41- 72 apto 302 barrio San Javier.</v>
      </c>
      <c r="G6229" s="15" t="str">
        <f>IFERROR(__xludf.DUMMYFUNCTION("""COMPUTED_VALUE"""),"Johana Zapata")</f>
        <v>Johana Zapata</v>
      </c>
      <c r="H6229" s="16">
        <f>IFERROR(__xludf.DUMMYFUNCTION("""COMPUTED_VALUE"""),14826.0)</f>
        <v>14826</v>
      </c>
      <c r="I6229" s="18">
        <f>IFERROR(__xludf.DUMMYFUNCTION("""COMPUTED_VALUE"""),26.0)</f>
        <v>26</v>
      </c>
      <c r="J6229" s="18">
        <f>IFERROR(__xludf.DUMMYFUNCTION("""COMPUTED_VALUE"""),45115.0)</f>
        <v>45115</v>
      </c>
      <c r="K6229" s="18">
        <f>IFERROR(__xludf.DUMMYFUNCTION("""COMPUTED_VALUE"""),45115.0)</f>
        <v>45115</v>
      </c>
      <c r="L6229" s="17" t="str">
        <f>IFERROR(__xludf.DUMMYFUNCTION("""COMPUTED_VALUE"""),"300 6262947")</f>
        <v>300 6262947</v>
      </c>
      <c r="M6229" s="17" t="str">
        <f>IFERROR(__xludf.DUMMYFUNCTION("""COMPUTED_VALUE"""),"#REF!")</f>
        <v>#REF!</v>
      </c>
      <c r="N6229" s="17"/>
      <c r="O6229" s="17"/>
      <c r="P6229" s="17" t="b">
        <f>IFERROR(__xludf.DUMMYFUNCTION("""COMPUTED_VALUE"""),FALSE)</f>
        <v>0</v>
      </c>
      <c r="Q6229" s="20" t="str">
        <f>IFERROR(__xludf.DUMMYFUNCTION("""COMPUTED_VALUE"""),"")</f>
        <v/>
      </c>
      <c r="R6229" s="21" t="str">
        <f>IFERROR(__xludf.DUMMYFUNCTION("""COMPUTED_VALUE"""),"https://drive.google.com/file/d/1yEJ_rj4w-g_RBSjx35at817-3PstiIch/view?usp=drivesdk")</f>
        <v>https://drive.google.com/file/d/1yEJ_rj4w-g_RBSjx35at817-3PstiIch/view?usp=drivesdk</v>
      </c>
    </row>
    <row r="6230">
      <c r="A6230" s="15">
        <f>IFERROR(__xludf.DUMMYFUNCTION("""COMPUTED_VALUE"""),45177.0)</f>
        <v>45177</v>
      </c>
      <c r="B6230" s="16" t="str">
        <f>IFERROR(__xludf.DUMMYFUNCTION("""COMPUTED_VALUE"""),"Santiago Garces Restrepo")</f>
        <v>Santiago Garces Restrepo</v>
      </c>
      <c r="C6230" s="15" t="str">
        <f>IFERROR(__xludf.DUMMYFUNCTION("""COMPUTED_VALUE"""),"MEDELLÍN")</f>
        <v>MEDELLÍN</v>
      </c>
      <c r="D6230" s="15" t="str">
        <f>IFERROR(__xludf.DUMMYFUNCTION("""COMPUTED_VALUE"""),"BOGOTÁ")</f>
        <v>BOGOTÁ</v>
      </c>
      <c r="E6230" s="15" t="str">
        <f>IFERROR(__xludf.DUMMYFUNCTION("""COMPUTED_VALUE"""),"FamiliaReal S.A.S")</f>
        <v>FamiliaReal S.A.S</v>
      </c>
      <c r="F6230" s="17" t="str">
        <f>IFERROR(__xludf.DUMMYFUNCTION("""COMPUTED_VALUE"""),"Centro de acopio Sabaneta")</f>
        <v>Centro de acopio Sabaneta</v>
      </c>
      <c r="G6230" s="15" t="str">
        <f>IFERROR(__xludf.DUMMYFUNCTION("""COMPUTED_VALUE"""),"Luisa Fernanda Osorno")</f>
        <v>Luisa Fernanda Osorno</v>
      </c>
      <c r="H6230" s="16">
        <f>IFERROR(__xludf.DUMMYFUNCTION("""COMPUTED_VALUE"""),14817.0)</f>
        <v>14817</v>
      </c>
      <c r="I6230" s="18">
        <f>IFERROR(__xludf.DUMMYFUNCTION("""COMPUTED_VALUE"""),26.0)</f>
        <v>26</v>
      </c>
      <c r="J6230" s="18">
        <f>IFERROR(__xludf.DUMMYFUNCTION("""COMPUTED_VALUE"""),45115.0)</f>
        <v>45115</v>
      </c>
      <c r="K6230" s="18">
        <f>IFERROR(__xludf.DUMMYFUNCTION("""COMPUTED_VALUE"""),45115.0)</f>
        <v>45115</v>
      </c>
      <c r="L6230" s="17">
        <f>IFERROR(__xludf.DUMMYFUNCTION("""COMPUTED_VALUE"""),3.122454765E9)</f>
        <v>3122454765</v>
      </c>
      <c r="M6230" s="17" t="str">
        <f>IFERROR(__xludf.DUMMYFUNCTION("""COMPUTED_VALUE"""),"#REF!")</f>
        <v>#REF!</v>
      </c>
      <c r="N6230" s="17"/>
      <c r="O6230" s="17"/>
      <c r="P6230" s="17" t="b">
        <f>IFERROR(__xludf.DUMMYFUNCTION("""COMPUTED_VALUE"""),FALSE)</f>
        <v>0</v>
      </c>
      <c r="Q6230" s="20" t="str">
        <f>IFERROR(__xludf.DUMMYFUNCTION("""COMPUTED_VALUE"""),"")</f>
        <v/>
      </c>
      <c r="R6230" s="22" t="str">
        <f>IFERROR(__xludf.DUMMYFUNCTION("""COMPUTED_VALUE"""),"")</f>
        <v/>
      </c>
    </row>
    <row r="6231">
      <c r="A6231" s="15">
        <f>IFERROR(__xludf.DUMMYFUNCTION("""COMPUTED_VALUE"""),45177.0)</f>
        <v>45177</v>
      </c>
      <c r="B6231" s="16" t="str">
        <f>IFERROR(__xludf.DUMMYFUNCTION("""COMPUTED_VALUE"""),"Santiago Garces Restrepo")</f>
        <v>Santiago Garces Restrepo</v>
      </c>
      <c r="C6231" s="15" t="str">
        <f>IFERROR(__xludf.DUMMYFUNCTION("""COMPUTED_VALUE"""),"MEDELLÍN")</f>
        <v>MEDELLÍN</v>
      </c>
      <c r="D6231" s="15" t="str">
        <f>IFERROR(__xludf.DUMMYFUNCTION("""COMPUTED_VALUE"""),"BOGOTÁ")</f>
        <v>BOGOTÁ</v>
      </c>
      <c r="E6231" s="15" t="str">
        <f>IFERROR(__xludf.DUMMYFUNCTION("""COMPUTED_VALUE"""),"FamiliaReal S.A.S")</f>
        <v>FamiliaReal S.A.S</v>
      </c>
      <c r="F6231" s="17" t="str">
        <f>IFERROR(__xludf.DUMMYFUNCTION("""COMPUTED_VALUE"""),"Cra. 27 # 23 Sur-68 Mall Comercial Distrito Avignon Mercado Saludable Local 106 Horario: 10 am - 7 pm")</f>
        <v>Cra. 27 # 23 Sur-68 Mall Comercial Distrito Avignon Mercado Saludable Local 106 Horario: 10 am - 7 pm</v>
      </c>
      <c r="G6231" s="15" t="str">
        <f>IFERROR(__xludf.DUMMYFUNCTION("""COMPUTED_VALUE"""),"Frutal Exotic SAS")</f>
        <v>Frutal Exotic SAS</v>
      </c>
      <c r="H6231" s="16">
        <f>IFERROR(__xludf.DUMMYFUNCTION("""COMPUTED_VALUE"""),14818.0)</f>
        <v>14818</v>
      </c>
      <c r="I6231" s="18">
        <f>IFERROR(__xludf.DUMMYFUNCTION("""COMPUTED_VALUE"""),26.0)</f>
        <v>26</v>
      </c>
      <c r="J6231" s="18">
        <f>IFERROR(__xludf.DUMMYFUNCTION("""COMPUTED_VALUE"""),45115.0)</f>
        <v>45115</v>
      </c>
      <c r="K6231" s="18">
        <f>IFERROR(__xludf.DUMMYFUNCTION("""COMPUTED_VALUE"""),45115.0)</f>
        <v>45115</v>
      </c>
      <c r="L6231" s="17">
        <f>IFERROR(__xludf.DUMMYFUNCTION("""COMPUTED_VALUE"""),3.218310603E9)</f>
        <v>3218310603</v>
      </c>
      <c r="M6231" s="17" t="str">
        <f>IFERROR(__xludf.DUMMYFUNCTION("""COMPUTED_VALUE"""),"#REF!")</f>
        <v>#REF!</v>
      </c>
      <c r="N6231" s="17"/>
      <c r="O6231" s="17"/>
      <c r="P6231" s="17" t="b">
        <f>IFERROR(__xludf.DUMMYFUNCTION("""COMPUTED_VALUE"""),FALSE)</f>
        <v>0</v>
      </c>
      <c r="Q6231" s="20" t="str">
        <f>IFERROR(__xludf.DUMMYFUNCTION("""COMPUTED_VALUE"""),"")</f>
        <v/>
      </c>
      <c r="R6231" s="22" t="str">
        <f>IFERROR(__xludf.DUMMYFUNCTION("""COMPUTED_VALUE"""),"")</f>
        <v/>
      </c>
    </row>
    <row r="6232">
      <c r="A6232" s="15">
        <f>IFERROR(__xludf.DUMMYFUNCTION("""COMPUTED_VALUE"""),45177.0)</f>
        <v>45177</v>
      </c>
      <c r="B6232" s="16" t="str">
        <f>IFERROR(__xludf.DUMMYFUNCTION("""COMPUTED_VALUE"""),"Santiago Garces Restrepo")</f>
        <v>Santiago Garces Restrepo</v>
      </c>
      <c r="C6232" s="15" t="str">
        <f>IFERROR(__xludf.DUMMYFUNCTION("""COMPUTED_VALUE"""),"MEDELLÍN")</f>
        <v>MEDELLÍN</v>
      </c>
      <c r="D6232" s="15" t="str">
        <f>IFERROR(__xludf.DUMMYFUNCTION("""COMPUTED_VALUE"""),"BOGOTÁ")</f>
        <v>BOGOTÁ</v>
      </c>
      <c r="E6232" s="15" t="str">
        <f>IFERROR(__xludf.DUMMYFUNCTION("""COMPUTED_VALUE"""),"FamiliaReal S.A.S")</f>
        <v>FamiliaReal S.A.S</v>
      </c>
      <c r="F6232" s="17" t="str">
        <f>IFERROR(__xludf.DUMMYFUNCTION("""COMPUTED_VALUE"""),"Cra. 27 # 23 Sur-68 Mall Comercial Distrito Avignon Mercado Saludable Local 106 Horario: 10 am - 7 pm")</f>
        <v>Cra. 27 # 23 Sur-68 Mall Comercial Distrito Avignon Mercado Saludable Local 106 Horario: 10 am - 7 pm</v>
      </c>
      <c r="G6232" s="15" t="str">
        <f>IFERROR(__xludf.DUMMYFUNCTION("""COMPUTED_VALUE"""),"Frutal Exotic SAS")</f>
        <v>Frutal Exotic SAS</v>
      </c>
      <c r="H6232" s="16">
        <f>IFERROR(__xludf.DUMMYFUNCTION("""COMPUTED_VALUE"""),14819.0)</f>
        <v>14819</v>
      </c>
      <c r="I6232" s="18">
        <f>IFERROR(__xludf.DUMMYFUNCTION("""COMPUTED_VALUE"""),45068.0)</f>
        <v>45068</v>
      </c>
      <c r="J6232" s="18">
        <f>IFERROR(__xludf.DUMMYFUNCTION("""COMPUTED_VALUE"""),45053.0)</f>
        <v>45053</v>
      </c>
      <c r="K6232" s="18">
        <f>IFERROR(__xludf.DUMMYFUNCTION("""COMPUTED_VALUE"""),45053.0)</f>
        <v>45053</v>
      </c>
      <c r="L6232" s="17">
        <f>IFERROR(__xludf.DUMMYFUNCTION("""COMPUTED_VALUE"""),3.218310603E9)</f>
        <v>3218310603</v>
      </c>
      <c r="M6232" s="17" t="str">
        <f>IFERROR(__xludf.DUMMYFUNCTION("""COMPUTED_VALUE"""),"#REF!")</f>
        <v>#REF!</v>
      </c>
      <c r="N6232" s="17"/>
      <c r="O6232" s="17"/>
      <c r="P6232" s="17" t="b">
        <f>IFERROR(__xludf.DUMMYFUNCTION("""COMPUTED_VALUE"""),FALSE)</f>
        <v>0</v>
      </c>
      <c r="Q6232" s="20" t="str">
        <f>IFERROR(__xludf.DUMMYFUNCTION("""COMPUTED_VALUE"""),"")</f>
        <v/>
      </c>
      <c r="R6232" s="21" t="str">
        <f>IFERROR(__xludf.DUMMYFUNCTION("""COMPUTED_VALUE"""),"https://drive.google.com/file/d/1QQky3JmC5hqi1P-5JP9jMAn9V1qQjfF5/view?usp=drivesdk")</f>
        <v>https://drive.google.com/file/d/1QQky3JmC5hqi1P-5JP9jMAn9V1qQjfF5/view?usp=drivesdk</v>
      </c>
    </row>
    <row r="6233">
      <c r="A6233" s="15">
        <f>IFERROR(__xludf.DUMMYFUNCTION("""COMPUTED_VALUE"""),45177.0)</f>
        <v>45177</v>
      </c>
      <c r="B6233" s="16" t="str">
        <f>IFERROR(__xludf.DUMMYFUNCTION("""COMPUTED_VALUE"""),"Santiago Garces Restrepo")</f>
        <v>Santiago Garces Restrepo</v>
      </c>
      <c r="C6233" s="15" t="str">
        <f>IFERROR(__xludf.DUMMYFUNCTION("""COMPUTED_VALUE"""),"MEDELLÍN")</f>
        <v>MEDELLÍN</v>
      </c>
      <c r="D6233" s="15" t="str">
        <f>IFERROR(__xludf.DUMMYFUNCTION("""COMPUTED_VALUE"""),"BOGOTÁ")</f>
        <v>BOGOTÁ</v>
      </c>
      <c r="E6233" s="15" t="str">
        <f>IFERROR(__xludf.DUMMYFUNCTION("""COMPUTED_VALUE"""),"Forever Dog")</f>
        <v>Forever Dog</v>
      </c>
      <c r="F6233" s="17" t="str">
        <f>IFERROR(__xludf.DUMMYFUNCTION("""COMPUTED_VALUE"""),"Calle 36 sur # 27 - 10 apto 9615 / torre 3 / unidad residencial entreparques")</f>
        <v>Calle 36 sur # 27 - 10 apto 9615 / torre 3 / unidad residencial entreparques</v>
      </c>
      <c r="G6233" s="15" t="str">
        <f>IFERROR(__xludf.DUMMYFUNCTION("""COMPUTED_VALUE"""),"Alejandra Maya")</f>
        <v>Alejandra Maya</v>
      </c>
      <c r="H6233" s="16">
        <f>IFERROR(__xludf.DUMMYFUNCTION("""COMPUTED_VALUE"""),14927.0)</f>
        <v>14927</v>
      </c>
      <c r="I6233" s="18">
        <f>IFERROR(__xludf.DUMMYFUNCTION("""COMPUTED_VALUE"""),26.0)</f>
        <v>26</v>
      </c>
      <c r="J6233" s="18">
        <f>IFERROR(__xludf.DUMMYFUNCTION("""COMPUTED_VALUE"""),25.0)</f>
        <v>25</v>
      </c>
      <c r="K6233" s="18">
        <f>IFERROR(__xludf.DUMMYFUNCTION("""COMPUTED_VALUE"""),38.0)</f>
        <v>38</v>
      </c>
      <c r="L6233" s="17">
        <f>IFERROR(__xludf.DUMMYFUNCTION("""COMPUTED_VALUE"""),3.016427229E9)</f>
        <v>3016427229</v>
      </c>
      <c r="M6233" s="17" t="str">
        <f>IFERROR(__xludf.DUMMYFUNCTION("""COMPUTED_VALUE"""),"#REF!")</f>
        <v>#REF!</v>
      </c>
      <c r="N6233" s="17"/>
      <c r="O6233" s="17"/>
      <c r="P6233" s="17" t="b">
        <f>IFERROR(__xludf.DUMMYFUNCTION("""COMPUTED_VALUE"""),FALSE)</f>
        <v>0</v>
      </c>
      <c r="Q6233" s="20" t="str">
        <f>IFERROR(__xludf.DUMMYFUNCTION("""COMPUTED_VALUE"""),"")</f>
        <v/>
      </c>
      <c r="R6233" s="21" t="str">
        <f>IFERROR(__xludf.DUMMYFUNCTION("""COMPUTED_VALUE"""),"https://drive.google.com/file/d/17sPsdkIIPJP2oH0ZyS5eJ81FdQHlyRgE/view?usp=drivesdk")</f>
        <v>https://drive.google.com/file/d/17sPsdkIIPJP2oH0ZyS5eJ81FdQHlyRgE/view?usp=drivesdk</v>
      </c>
    </row>
    <row r="6234">
      <c r="A6234" s="15">
        <f>IFERROR(__xludf.DUMMYFUNCTION("""COMPUTED_VALUE"""),45177.0)</f>
        <v>45177</v>
      </c>
      <c r="B6234" s="16" t="str">
        <f>IFERROR(__xludf.DUMMYFUNCTION("""COMPUTED_VALUE"""),"Santiago Garces Restrepo")</f>
        <v>Santiago Garces Restrepo</v>
      </c>
      <c r="C6234" s="15" t="str">
        <f>IFERROR(__xludf.DUMMYFUNCTION("""COMPUTED_VALUE"""),"MEDELLÍN")</f>
        <v>MEDELLÍN</v>
      </c>
      <c r="D6234" s="15" t="str">
        <f>IFERROR(__xludf.DUMMYFUNCTION("""COMPUTED_VALUE"""),"BOGOTÁ")</f>
        <v>BOGOTÁ</v>
      </c>
      <c r="E6234" s="15" t="str">
        <f>IFERROR(__xludf.DUMMYFUNCTION("""COMPUTED_VALUE"""),"Forever Dog")</f>
        <v>Forever Dog</v>
      </c>
      <c r="F6234" s="17" t="str">
        <f>IFERROR(__xludf.DUMMYFUNCTION("""COMPUTED_VALUE"""),"Cra 28# 37b sur  / Edf. Torre san miguel apto 501 / Envigado, Barrio Loma de las Brujas")</f>
        <v>Cra 28# 37b sur  / Edf. Torre san miguel apto 501 / Envigado, Barrio Loma de las Brujas</v>
      </c>
      <c r="G6234" s="15" t="str">
        <f>IFERROR(__xludf.DUMMYFUNCTION("""COMPUTED_VALUE"""),"Dustin Torres")</f>
        <v>Dustin Torres</v>
      </c>
      <c r="H6234" s="16">
        <f>IFERROR(__xludf.DUMMYFUNCTION("""COMPUTED_VALUE"""),14928.0)</f>
        <v>14928</v>
      </c>
      <c r="I6234" s="18">
        <f>IFERROR(__xludf.DUMMYFUNCTION("""COMPUTED_VALUE"""),18.0)</f>
        <v>18</v>
      </c>
      <c r="J6234" s="18">
        <f>IFERROR(__xludf.DUMMYFUNCTION("""COMPUTED_VALUE"""),20.0)</f>
        <v>20</v>
      </c>
      <c r="K6234" s="18">
        <f>IFERROR(__xludf.DUMMYFUNCTION("""COMPUTED_VALUE"""),36.0)</f>
        <v>36</v>
      </c>
      <c r="L6234" s="17">
        <f>IFERROR(__xludf.DUMMYFUNCTION("""COMPUTED_VALUE"""),3.013390836E9)</f>
        <v>3013390836</v>
      </c>
      <c r="M6234" s="17" t="str">
        <f>IFERROR(__xludf.DUMMYFUNCTION("""COMPUTED_VALUE"""),"#REF!")</f>
        <v>#REF!</v>
      </c>
      <c r="N6234" s="17"/>
      <c r="O6234" s="17"/>
      <c r="P6234" s="17" t="b">
        <f>IFERROR(__xludf.DUMMYFUNCTION("""COMPUTED_VALUE"""),FALSE)</f>
        <v>0</v>
      </c>
      <c r="Q6234" s="20" t="str">
        <f>IFERROR(__xludf.DUMMYFUNCTION("""COMPUTED_VALUE"""),"")</f>
        <v/>
      </c>
      <c r="R6234" s="21" t="str">
        <f>IFERROR(__xludf.DUMMYFUNCTION("""COMPUTED_VALUE"""),"https://drive.google.com/file/d/12cmht3hwAw3A3MDzLQYjwvaplZaY0Rz0/view?usp=drivesdk")</f>
        <v>https://drive.google.com/file/d/12cmht3hwAw3A3MDzLQYjwvaplZaY0Rz0/view?usp=drivesdk</v>
      </c>
    </row>
    <row r="6235">
      <c r="A6235" s="15">
        <f>IFERROR(__xludf.DUMMYFUNCTION("""COMPUTED_VALUE"""),45177.0)</f>
        <v>45177</v>
      </c>
      <c r="B6235" s="16" t="str">
        <f>IFERROR(__xludf.DUMMYFUNCTION("""COMPUTED_VALUE"""),"Santiago Garces Restrepo")</f>
        <v>Santiago Garces Restrepo</v>
      </c>
      <c r="C6235" s="15" t="str">
        <f>IFERROR(__xludf.DUMMYFUNCTION("""COMPUTED_VALUE"""),"MEDELLÍN")</f>
        <v>MEDELLÍN</v>
      </c>
      <c r="D6235" s="15" t="str">
        <f>IFERROR(__xludf.DUMMYFUNCTION("""COMPUTED_VALUE"""),"BOGOTÁ")</f>
        <v>BOGOTÁ</v>
      </c>
      <c r="E6235" s="15" t="str">
        <f>IFERROR(__xludf.DUMMYFUNCTION("""COMPUTED_VALUE"""),"Loomifoods")</f>
        <v>Loomifoods</v>
      </c>
      <c r="F6235" s="17" t="str">
        <f>IFERROR(__xludf.DUMMYFUNCTION("""COMPUTED_VALUE"""),"calle 4 sur no. 43 a - 195 / Oficina 253 c / el centro ejecutivo")</f>
        <v>calle 4 sur no. 43 a - 195 / Oficina 253 c / el centro ejecutivo</v>
      </c>
      <c r="G6235" s="15" t="str">
        <f>IFERROR(__xludf.DUMMYFUNCTION("""COMPUTED_VALUE"""),"Manuela Carvajal")</f>
        <v>Manuela Carvajal</v>
      </c>
      <c r="H6235" s="16">
        <f>IFERROR(__xludf.DUMMYFUNCTION("""COMPUTED_VALUE"""),14913.0)</f>
        <v>14913</v>
      </c>
      <c r="I6235" s="18">
        <f>IFERROR(__xludf.DUMMYFUNCTION("""COMPUTED_VALUE"""),19.0)</f>
        <v>19</v>
      </c>
      <c r="J6235" s="18">
        <f>IFERROR(__xludf.DUMMYFUNCTION("""COMPUTED_VALUE"""),10.0)</f>
        <v>10</v>
      </c>
      <c r="K6235" s="18">
        <f>IFERROR(__xludf.DUMMYFUNCTION("""COMPUTED_VALUE"""),16.0)</f>
        <v>16</v>
      </c>
      <c r="L6235" s="17">
        <f>IFERROR(__xludf.DUMMYFUNCTION("""COMPUTED_VALUE"""),3.206685131E9)</f>
        <v>3206685131</v>
      </c>
      <c r="M6235" s="17" t="str">
        <f>IFERROR(__xludf.DUMMYFUNCTION("""COMPUTED_VALUE"""),"#REF!")</f>
        <v>#REF!</v>
      </c>
      <c r="N6235" s="17"/>
      <c r="O6235" s="17"/>
      <c r="P6235" s="17" t="b">
        <f>IFERROR(__xludf.DUMMYFUNCTION("""COMPUTED_VALUE"""),FALSE)</f>
        <v>0</v>
      </c>
      <c r="Q6235" s="20" t="str">
        <f>IFERROR(__xludf.DUMMYFUNCTION("""COMPUTED_VALUE"""),"")</f>
        <v/>
      </c>
      <c r="R6235" s="21" t="str">
        <f>IFERROR(__xludf.DUMMYFUNCTION("""COMPUTED_VALUE"""),"https://drive.google.com/file/d/10u8xL2K6reXqqynwynyT-Lj_RfmYF6vA/view?usp=drivesdk")</f>
        <v>https://drive.google.com/file/d/10u8xL2K6reXqqynwynyT-Lj_RfmYF6vA/view?usp=drivesdk</v>
      </c>
    </row>
    <row r="6236">
      <c r="A6236" s="15">
        <f>IFERROR(__xludf.DUMMYFUNCTION("""COMPUTED_VALUE"""),45177.0)</f>
        <v>45177</v>
      </c>
      <c r="B6236" s="16" t="str">
        <f>IFERROR(__xludf.DUMMYFUNCTION("""COMPUTED_VALUE"""),"Santiago Garces Restrepo")</f>
        <v>Santiago Garces Restrepo</v>
      </c>
      <c r="C6236" s="15" t="str">
        <f>IFERROR(__xludf.DUMMYFUNCTION("""COMPUTED_VALUE"""),"MEDELLÍN")</f>
        <v>MEDELLÍN</v>
      </c>
      <c r="D6236" s="15" t="str">
        <f>IFERROR(__xludf.DUMMYFUNCTION("""COMPUTED_VALUE"""),"BOGOTÁ")</f>
        <v>BOGOTÁ</v>
      </c>
      <c r="E6236" s="15" t="str">
        <f>IFERROR(__xludf.DUMMYFUNCTION("""COMPUTED_VALUE"""),"Renata")</f>
        <v>Renata</v>
      </c>
      <c r="F6236" s="17" t="str">
        <f>IFERROR(__xludf.DUMMYFUNCTION("""COMPUTED_VALUE"""),"Carrera 32d#9-43 / Seline y cowork -restaurante  / Provenza")</f>
        <v>Carrera 32d#9-43 / Seline y cowork -restaurante  / Provenza</v>
      </c>
      <c r="G6236" s="15" t="str">
        <f>IFERROR(__xludf.DUMMYFUNCTION("""COMPUTED_VALUE"""),"Front y back hospitality group")</f>
        <v>Front y back hospitality group</v>
      </c>
      <c r="H6236" s="16">
        <f>IFERROR(__xludf.DUMMYFUNCTION("""COMPUTED_VALUE"""),14934.0)</f>
        <v>14934</v>
      </c>
      <c r="I6236" s="18">
        <f>IFERROR(__xludf.DUMMYFUNCTION("""COMPUTED_VALUE"""),90.0)</f>
        <v>90</v>
      </c>
      <c r="J6236" s="18">
        <f>IFERROR(__xludf.DUMMYFUNCTION("""COMPUTED_VALUE"""),70.0)</f>
        <v>70</v>
      </c>
      <c r="K6236" s="18">
        <f>IFERROR(__xludf.DUMMYFUNCTION("""COMPUTED_VALUE"""),60.0)</f>
        <v>60</v>
      </c>
      <c r="L6236" s="17">
        <f>IFERROR(__xludf.DUMMYFUNCTION("""COMPUTED_VALUE"""),3.104047368E9)</f>
        <v>3104047368</v>
      </c>
      <c r="M6236" s="17" t="str">
        <f>IFERROR(__xludf.DUMMYFUNCTION("""COMPUTED_VALUE"""),"#REF!")</f>
        <v>#REF!</v>
      </c>
      <c r="N6236" s="17"/>
      <c r="O6236" s="17"/>
      <c r="P6236" s="17" t="b">
        <f>IFERROR(__xludf.DUMMYFUNCTION("""COMPUTED_VALUE"""),FALSE)</f>
        <v>0</v>
      </c>
      <c r="Q6236" s="20" t="str">
        <f>IFERROR(__xludf.DUMMYFUNCTION("""COMPUTED_VALUE"""),"")</f>
        <v/>
      </c>
      <c r="R6236" s="22" t="str">
        <f>IFERROR(__xludf.DUMMYFUNCTION("""COMPUTED_VALUE"""),"")</f>
        <v/>
      </c>
    </row>
    <row r="6237">
      <c r="A6237" s="15">
        <f>IFERROR(__xludf.DUMMYFUNCTION("""COMPUTED_VALUE"""),45177.0)</f>
        <v>45177</v>
      </c>
      <c r="B6237" s="16" t="str">
        <f>IFERROR(__xludf.DUMMYFUNCTION("""COMPUTED_VALUE"""),"Santiago Garces Restrepo")</f>
        <v>Santiago Garces Restrepo</v>
      </c>
      <c r="C6237" s="15" t="str">
        <f>IFERROR(__xludf.DUMMYFUNCTION("""COMPUTED_VALUE"""),"MEDELLÍN")</f>
        <v>MEDELLÍN</v>
      </c>
      <c r="D6237" s="15" t="str">
        <f>IFERROR(__xludf.DUMMYFUNCTION("""COMPUTED_VALUE"""),"BOGOTÁ")</f>
        <v>BOGOTÁ</v>
      </c>
      <c r="E6237" s="15" t="str">
        <f>IFERROR(__xludf.DUMMYFUNCTION("""COMPUTED_VALUE"""),"Spirulina Fresca")</f>
        <v>Spirulina Fresca</v>
      </c>
      <c r="F6237" s="17" t="str">
        <f>IFERROR(__xludf.DUMMYFUNCTION("""COMPUTED_VALUE"""),"Carrera 43 B # 18 - 145 / Go rigo go / Medellin")</f>
        <v>Carrera 43 B # 18 - 145 / Go rigo go / Medellin</v>
      </c>
      <c r="G6237" s="15" t="str">
        <f>IFERROR(__xludf.DUMMYFUNCTION("""COMPUTED_VALUE"""),"Juan David Ariatizabal")</f>
        <v>Juan David Ariatizabal</v>
      </c>
      <c r="H6237" s="16">
        <f>IFERROR(__xludf.DUMMYFUNCTION("""COMPUTED_VALUE"""),14884.0)</f>
        <v>14884</v>
      </c>
      <c r="I6237" s="18">
        <f>IFERROR(__xludf.DUMMYFUNCTION("""COMPUTED_VALUE"""),15.0)</f>
        <v>15</v>
      </c>
      <c r="J6237" s="18">
        <f>IFERROR(__xludf.DUMMYFUNCTION("""COMPUTED_VALUE"""),5.0)</f>
        <v>5</v>
      </c>
      <c r="K6237" s="18">
        <f>IFERROR(__xludf.DUMMYFUNCTION("""COMPUTED_VALUE"""),15.0)</f>
        <v>15</v>
      </c>
      <c r="L6237" s="17">
        <f>IFERROR(__xludf.DUMMYFUNCTION("""COMPUTED_VALUE"""),3.103593607E9)</f>
        <v>3103593607</v>
      </c>
      <c r="M6237" s="17" t="str">
        <f>IFERROR(__xludf.DUMMYFUNCTION("""COMPUTED_VALUE"""),"#REF!")</f>
        <v>#REF!</v>
      </c>
      <c r="N6237" s="17"/>
      <c r="O6237" s="17"/>
      <c r="P6237" s="17" t="b">
        <f>IFERROR(__xludf.DUMMYFUNCTION("""COMPUTED_VALUE"""),FALSE)</f>
        <v>0</v>
      </c>
      <c r="Q6237" s="20" t="str">
        <f>IFERROR(__xludf.DUMMYFUNCTION("""COMPUTED_VALUE"""),"")</f>
        <v/>
      </c>
      <c r="R6237" s="22" t="str">
        <f>IFERROR(__xludf.DUMMYFUNCTION("""COMPUTED_VALUE"""),"")</f>
        <v/>
      </c>
    </row>
    <row r="6238">
      <c r="A6238" s="15">
        <f>IFERROR(__xludf.DUMMYFUNCTION("""COMPUTED_VALUE"""),45177.0)</f>
        <v>45177</v>
      </c>
      <c r="B6238" s="16" t="str">
        <f>IFERROR(__xludf.DUMMYFUNCTION("""COMPUTED_VALUE"""),"Santiago Garces Restrepo")</f>
        <v>Santiago Garces Restrepo</v>
      </c>
      <c r="C6238" s="15" t="str">
        <f>IFERROR(__xludf.DUMMYFUNCTION("""COMPUTED_VALUE"""),"MEDELLÍN")</f>
        <v>MEDELLÍN</v>
      </c>
      <c r="D6238" s="15" t="str">
        <f>IFERROR(__xludf.DUMMYFUNCTION("""COMPUTED_VALUE"""),"BOGOTÁ")</f>
        <v>BOGOTÁ</v>
      </c>
      <c r="E6238" s="15" t="str">
        <f>IFERROR(__xludf.DUMMYFUNCTION("""COMPUTED_VALUE"""),"Spirulina Fresca")</f>
        <v>Spirulina Fresca</v>
      </c>
      <c r="F6238" s="17" t="str">
        <f>IFERROR(__xludf.DUMMYFUNCTION("""COMPUTED_VALUE"""),"Cr18#12 sur -50 / Cantagitone cinque apto 601 / Poblado")</f>
        <v>Cr18#12 sur -50 / Cantagitone cinque apto 601 / Poblado</v>
      </c>
      <c r="G6238" s="15" t="str">
        <f>IFERROR(__xludf.DUMMYFUNCTION("""COMPUTED_VALUE"""),"Carolina Franco")</f>
        <v>Carolina Franco</v>
      </c>
      <c r="H6238" s="16">
        <f>IFERROR(__xludf.DUMMYFUNCTION("""COMPUTED_VALUE"""),14926.0)</f>
        <v>14926</v>
      </c>
      <c r="I6238" s="18">
        <f>IFERROR(__xludf.DUMMYFUNCTION("""COMPUTED_VALUE"""),15.0)</f>
        <v>15</v>
      </c>
      <c r="J6238" s="18">
        <f>IFERROR(__xludf.DUMMYFUNCTION("""COMPUTED_VALUE"""),5.0)</f>
        <v>5</v>
      </c>
      <c r="K6238" s="18">
        <f>IFERROR(__xludf.DUMMYFUNCTION("""COMPUTED_VALUE"""),15.0)</f>
        <v>15</v>
      </c>
      <c r="L6238" s="17">
        <f>IFERROR(__xludf.DUMMYFUNCTION("""COMPUTED_VALUE"""),3.103906174E9)</f>
        <v>3103906174</v>
      </c>
      <c r="M6238" s="17" t="str">
        <f>IFERROR(__xludf.DUMMYFUNCTION("""COMPUTED_VALUE"""),"#REF!")</f>
        <v>#REF!</v>
      </c>
      <c r="N6238" s="17"/>
      <c r="O6238" s="17"/>
      <c r="P6238" s="17" t="b">
        <f>IFERROR(__xludf.DUMMYFUNCTION("""COMPUTED_VALUE"""),FALSE)</f>
        <v>0</v>
      </c>
      <c r="Q6238" s="20" t="str">
        <f>IFERROR(__xludf.DUMMYFUNCTION("""COMPUTED_VALUE"""),"")</f>
        <v/>
      </c>
      <c r="R6238" s="22" t="str">
        <f>IFERROR(__xludf.DUMMYFUNCTION("""COMPUTED_VALUE"""),"")</f>
        <v/>
      </c>
    </row>
    <row r="6239">
      <c r="A6239" s="17" t="str">
        <f>IFERROR(__xludf.DUMMYFUNCTION("""COMPUTED_VALUE"""),"")</f>
        <v/>
      </c>
      <c r="B6239" s="17" t="str">
        <f>IFERROR(__xludf.DUMMYFUNCTION("""COMPUTED_VALUE"""),"")</f>
        <v/>
      </c>
      <c r="C6239" s="17" t="str">
        <f>IFERROR(__xludf.DUMMYFUNCTION("""COMPUTED_VALUE"""),"")</f>
        <v/>
      </c>
      <c r="D6239" s="17" t="str">
        <f>IFERROR(__xludf.DUMMYFUNCTION("""COMPUTED_VALUE"""),"")</f>
        <v/>
      </c>
      <c r="E6239" s="17" t="str">
        <f>IFERROR(__xludf.DUMMYFUNCTION("""COMPUTED_VALUE"""),"")</f>
        <v/>
      </c>
      <c r="F6239" s="17" t="str">
        <f>IFERROR(__xludf.DUMMYFUNCTION("""COMPUTED_VALUE"""),"")</f>
        <v/>
      </c>
      <c r="G6239" s="17" t="str">
        <f>IFERROR(__xludf.DUMMYFUNCTION("""COMPUTED_VALUE"""),"")</f>
        <v/>
      </c>
      <c r="H6239" s="17" t="str">
        <f>IFERROR(__xludf.DUMMYFUNCTION("""COMPUTED_VALUE"""),"")</f>
        <v/>
      </c>
      <c r="I6239" s="17" t="str">
        <f>IFERROR(__xludf.DUMMYFUNCTION("""COMPUTED_VALUE"""),"")</f>
        <v/>
      </c>
      <c r="J6239" s="17" t="str">
        <f>IFERROR(__xludf.DUMMYFUNCTION("""COMPUTED_VALUE"""),"")</f>
        <v/>
      </c>
      <c r="K6239" s="17" t="str">
        <f>IFERROR(__xludf.DUMMYFUNCTION("""COMPUTED_VALUE"""),"")</f>
        <v/>
      </c>
      <c r="L6239" s="17" t="str">
        <f>IFERROR(__xludf.DUMMYFUNCTION("""COMPUTED_VALUE"""),"")</f>
        <v/>
      </c>
      <c r="M6239" s="17" t="str">
        <f>IFERROR(__xludf.DUMMYFUNCTION("""COMPUTED_VALUE"""),"")</f>
        <v/>
      </c>
      <c r="N6239" s="17" t="str">
        <f>IFERROR(__xludf.DUMMYFUNCTION("""COMPUTED_VALUE"""),"")</f>
        <v/>
      </c>
      <c r="O6239" s="17" t="str">
        <f>IFERROR(__xludf.DUMMYFUNCTION("""COMPUTED_VALUE"""),"")</f>
        <v/>
      </c>
      <c r="P6239" s="17" t="str">
        <f>IFERROR(__xludf.DUMMYFUNCTION("""COMPUTED_VALUE"""),"")</f>
        <v/>
      </c>
      <c r="Q6239" s="17" t="str">
        <f>IFERROR(__xludf.DUMMYFUNCTION("""COMPUTED_VALUE"""),"")</f>
        <v/>
      </c>
      <c r="R6239" s="17" t="str">
        <f>IFERROR(__xludf.DUMMYFUNCTION("""COMPUTED_VALUE"""),"")</f>
        <v/>
      </c>
    </row>
    <row r="6240">
      <c r="A6240" s="15">
        <f>IFERROR(__xludf.DUMMYFUNCTION("""COMPUTED_VALUE"""),45181.0)</f>
        <v>45181</v>
      </c>
      <c r="B6240" s="17"/>
      <c r="C6240" s="15" t="str">
        <f>IFERROR(__xludf.DUMMYFUNCTION("""COMPUTED_VALUE"""),"PEREIRA")</f>
        <v>PEREIRA</v>
      </c>
      <c r="D6240" s="15" t="str">
        <f>IFERROR(__xludf.DUMMYFUNCTION("""COMPUTED_VALUE"""),"BOGOTÁ")</f>
        <v>BOGOTÁ</v>
      </c>
      <c r="E6240" s="15" t="str">
        <f>IFERROR(__xludf.DUMMYFUNCTION("""COMPUTED_VALUE"""),"Lunchy Kids")</f>
        <v>Lunchy Kids</v>
      </c>
      <c r="F6240" s="17" t="str">
        <f>IFERROR(__xludf.DUMMYFUNCTION("""COMPUTED_VALUE"""),"Mz 19 cs 22    / colinas del bosque / Dosquebradas RIS Colombia")</f>
        <v>Mz 19 cs 22    / colinas del bosque / Dosquebradas RIS Colombia</v>
      </c>
      <c r="G6240" s="15" t="str">
        <f>IFERROR(__xludf.DUMMYFUNCTION("""COMPUTED_VALUE"""),"Viviana Paola Jaramillo")</f>
        <v>Viviana Paola Jaramillo</v>
      </c>
      <c r="H6240" s="16">
        <f>IFERROR(__xludf.DUMMYFUNCTION("""COMPUTED_VALUE"""),15059.0)</f>
        <v>15059</v>
      </c>
      <c r="I6240" s="18">
        <f>IFERROR(__xludf.DUMMYFUNCTION("""COMPUTED_VALUE"""),20.0)</f>
        <v>20</v>
      </c>
      <c r="J6240" s="18">
        <f>IFERROR(__xludf.DUMMYFUNCTION("""COMPUTED_VALUE"""),30.0)</f>
        <v>30</v>
      </c>
      <c r="K6240" s="18">
        <f>IFERROR(__xludf.DUMMYFUNCTION("""COMPUTED_VALUE"""),10.0)</f>
        <v>10</v>
      </c>
      <c r="L6240" s="17">
        <f>IFERROR(__xludf.DUMMYFUNCTION("""COMPUTED_VALUE"""),3.136551321E9)</f>
        <v>3136551321</v>
      </c>
      <c r="M6240" s="17" t="str">
        <f>IFERROR(__xludf.DUMMYFUNCTION("""COMPUTED_VALUE"""),"#REF!")</f>
        <v>#REF!</v>
      </c>
      <c r="N6240" s="17"/>
      <c r="O6240" s="17"/>
      <c r="P6240" s="17" t="b">
        <f>IFERROR(__xludf.DUMMYFUNCTION("""COMPUTED_VALUE"""),FALSE)</f>
        <v>0</v>
      </c>
      <c r="Q6240" s="20" t="str">
        <f>IFERROR(__xludf.DUMMYFUNCTION("""COMPUTED_VALUE"""),"")</f>
        <v/>
      </c>
      <c r="R6240" s="22" t="str">
        <f>IFERROR(__xludf.DUMMYFUNCTION("""COMPUTED_VALUE"""),"")</f>
        <v/>
      </c>
    </row>
    <row r="6241">
      <c r="A6241" s="17" t="str">
        <f>IFERROR(__xludf.DUMMYFUNCTION("""COMPUTED_VALUE"""),"")</f>
        <v/>
      </c>
      <c r="B6241" s="17" t="str">
        <f>IFERROR(__xludf.DUMMYFUNCTION("""COMPUTED_VALUE"""),"")</f>
        <v/>
      </c>
      <c r="C6241" s="17" t="str">
        <f>IFERROR(__xludf.DUMMYFUNCTION("""COMPUTED_VALUE"""),"")</f>
        <v/>
      </c>
      <c r="D6241" s="17" t="str">
        <f>IFERROR(__xludf.DUMMYFUNCTION("""COMPUTED_VALUE"""),"")</f>
        <v/>
      </c>
      <c r="E6241" s="17" t="str">
        <f>IFERROR(__xludf.DUMMYFUNCTION("""COMPUTED_VALUE"""),"")</f>
        <v/>
      </c>
      <c r="F6241" s="17" t="str">
        <f>IFERROR(__xludf.DUMMYFUNCTION("""COMPUTED_VALUE"""),"")</f>
        <v/>
      </c>
      <c r="G6241" s="17" t="str">
        <f>IFERROR(__xludf.DUMMYFUNCTION("""COMPUTED_VALUE"""),"")</f>
        <v/>
      </c>
      <c r="H6241" s="17" t="str">
        <f>IFERROR(__xludf.DUMMYFUNCTION("""COMPUTED_VALUE"""),"")</f>
        <v/>
      </c>
      <c r="I6241" s="17" t="str">
        <f>IFERROR(__xludf.DUMMYFUNCTION("""COMPUTED_VALUE"""),"")</f>
        <v/>
      </c>
      <c r="J6241" s="17" t="str">
        <f>IFERROR(__xludf.DUMMYFUNCTION("""COMPUTED_VALUE"""),"")</f>
        <v/>
      </c>
      <c r="K6241" s="17" t="str">
        <f>IFERROR(__xludf.DUMMYFUNCTION("""COMPUTED_VALUE"""),"")</f>
        <v/>
      </c>
      <c r="L6241" s="17" t="str">
        <f>IFERROR(__xludf.DUMMYFUNCTION("""COMPUTED_VALUE"""),"")</f>
        <v/>
      </c>
      <c r="M6241" s="17" t="str">
        <f>IFERROR(__xludf.DUMMYFUNCTION("""COMPUTED_VALUE"""),"")</f>
        <v/>
      </c>
      <c r="N6241" s="17" t="str">
        <f>IFERROR(__xludf.DUMMYFUNCTION("""COMPUTED_VALUE"""),"")</f>
        <v/>
      </c>
      <c r="O6241" s="17" t="str">
        <f>IFERROR(__xludf.DUMMYFUNCTION("""COMPUTED_VALUE"""),"")</f>
        <v/>
      </c>
      <c r="P6241" s="17" t="str">
        <f>IFERROR(__xludf.DUMMYFUNCTION("""COMPUTED_VALUE"""),"")</f>
        <v/>
      </c>
      <c r="Q6241" s="17" t="str">
        <f>IFERROR(__xludf.DUMMYFUNCTION("""COMPUTED_VALUE"""),"")</f>
        <v/>
      </c>
      <c r="R6241" s="17" t="str">
        <f>IFERROR(__xludf.DUMMYFUNCTION("""COMPUTED_VALUE"""),"")</f>
        <v/>
      </c>
    </row>
    <row r="6242">
      <c r="A6242" s="15">
        <f>IFERROR(__xludf.DUMMYFUNCTION("""COMPUTED_VALUE"""),45181.0)</f>
        <v>45181</v>
      </c>
      <c r="B6242" s="16" t="str">
        <f>IFERROR(__xludf.DUMMYFUNCTION("""COMPUTED_VALUE"""),"Carlos Andres Pirachican Numpaque (Mayerli)")</f>
        <v>Carlos Andres Pirachican Numpaque (Mayerli)</v>
      </c>
      <c r="C6242" s="15" t="str">
        <f>IFERROR(__xludf.DUMMYFUNCTION("""COMPUTED_VALUE"""),"MANIZALES")</f>
        <v>MANIZALES</v>
      </c>
      <c r="D6242" s="15" t="str">
        <f>IFERROR(__xludf.DUMMYFUNCTION("""COMPUTED_VALUE"""),"BOGOTÁ")</f>
        <v>BOGOTÁ</v>
      </c>
      <c r="E6242" s="15" t="str">
        <f>IFERROR(__xludf.DUMMYFUNCTION("""COMPUTED_VALUE"""),"50 Gr Alfajores")</f>
        <v>50 Gr Alfajores</v>
      </c>
      <c r="F6242" s="17" t="str">
        <f>IFERROR(__xludf.DUMMYFUNCTION("""COMPUTED_VALUE"""),"Carrera 12A 65 153 /  Barrio la Sultana / mzales")</f>
        <v>Carrera 12A 65 153 /  Barrio la Sultana / mzales</v>
      </c>
      <c r="G6242" s="15" t="str">
        <f>IFERROR(__xludf.DUMMYFUNCTION("""COMPUTED_VALUE"""),"Castaño Tinoco Juan Pablo")</f>
        <v>Castaño Tinoco Juan Pablo</v>
      </c>
      <c r="H6242" s="16">
        <f>IFERROR(__xludf.DUMMYFUNCTION("""COMPUTED_VALUE"""),14975.0)</f>
        <v>14975</v>
      </c>
      <c r="I6242" s="18">
        <f>IFERROR(__xludf.DUMMYFUNCTION("""COMPUTED_VALUE"""),5.0)</f>
        <v>5</v>
      </c>
      <c r="J6242" s="18">
        <f>IFERROR(__xludf.DUMMYFUNCTION("""COMPUTED_VALUE"""),13.0)</f>
        <v>13</v>
      </c>
      <c r="K6242" s="18">
        <f>IFERROR(__xludf.DUMMYFUNCTION("""COMPUTED_VALUE"""),45064.0)</f>
        <v>45064</v>
      </c>
      <c r="L6242" s="17">
        <f>IFERROR(__xludf.DUMMYFUNCTION("""COMPUTED_VALUE"""),3.136367416E9)</f>
        <v>3136367416</v>
      </c>
      <c r="M6242" s="17" t="str">
        <f>IFERROR(__xludf.DUMMYFUNCTION("""COMPUTED_VALUE"""),"#REF!")</f>
        <v>#REF!</v>
      </c>
      <c r="N6242" s="17"/>
      <c r="O6242" s="17"/>
      <c r="P6242" s="17" t="b">
        <f>IFERROR(__xludf.DUMMYFUNCTION("""COMPUTED_VALUE"""),FALSE)</f>
        <v>0</v>
      </c>
      <c r="Q6242" s="20" t="str">
        <f>IFERROR(__xludf.DUMMYFUNCTION("""COMPUTED_VALUE"""),"")</f>
        <v/>
      </c>
      <c r="R6242" s="21" t="str">
        <f>IFERROR(__xludf.DUMMYFUNCTION("""COMPUTED_VALUE"""),"https://drive.google.com/file/d/1MTFIkIJjlIDRDo20WnudbzQz7QiS2eXX/view?usp=drivesdk")</f>
        <v>https://drive.google.com/file/d/1MTFIkIJjlIDRDo20WnudbzQz7QiS2eXX/view?usp=drivesdk</v>
      </c>
    </row>
    <row r="6243">
      <c r="A6243" s="15">
        <f>IFERROR(__xludf.DUMMYFUNCTION("""COMPUTED_VALUE"""),45181.0)</f>
        <v>45181</v>
      </c>
      <c r="B6243" s="16" t="str">
        <f>IFERROR(__xludf.DUMMYFUNCTION("""COMPUTED_VALUE"""),"Carlos Andres Pirachican Numpaque (Mayerli)")</f>
        <v>Carlos Andres Pirachican Numpaque (Mayerli)</v>
      </c>
      <c r="C6243" s="15" t="str">
        <f>IFERROR(__xludf.DUMMYFUNCTION("""COMPUTED_VALUE"""),"MANIZALES")</f>
        <v>MANIZALES</v>
      </c>
      <c r="D6243" s="15" t="str">
        <f>IFERROR(__xludf.DUMMYFUNCTION("""COMPUTED_VALUE"""),"BOGOTÁ")</f>
        <v>BOGOTÁ</v>
      </c>
      <c r="E6243" s="15" t="str">
        <f>IFERROR(__xludf.DUMMYFUNCTION("""COMPUTED_VALUE"""),"50 Gr Alfajores")</f>
        <v>50 Gr Alfajores</v>
      </c>
      <c r="F6243" s="17" t="str">
        <f>IFERROR(__xludf.DUMMYFUNCTION("""COMPUTED_VALUE"""),"Carrera 24 # 65-30 /  Ed Guayacan Real /  apto 503")</f>
        <v>Carrera 24 # 65-30 /  Ed Guayacan Real /  apto 503</v>
      </c>
      <c r="G6243" s="15" t="str">
        <f>IFERROR(__xludf.DUMMYFUNCTION("""COMPUTED_VALUE"""),"Gutiérrez Cruz Luis Carlos")</f>
        <v>Gutiérrez Cruz Luis Carlos</v>
      </c>
      <c r="H6243" s="16">
        <f>IFERROR(__xludf.DUMMYFUNCTION("""COMPUTED_VALUE"""),14973.0)</f>
        <v>14973</v>
      </c>
      <c r="I6243" s="18">
        <f>IFERROR(__xludf.DUMMYFUNCTION("""COMPUTED_VALUE"""),5.0)</f>
        <v>5</v>
      </c>
      <c r="J6243" s="18">
        <f>IFERROR(__xludf.DUMMYFUNCTION("""COMPUTED_VALUE"""),13.0)</f>
        <v>13</v>
      </c>
      <c r="K6243" s="18">
        <f>IFERROR(__xludf.DUMMYFUNCTION("""COMPUTED_VALUE"""),45064.0)</f>
        <v>45064</v>
      </c>
      <c r="L6243" s="17">
        <f>IFERROR(__xludf.DUMMYFUNCTION("""COMPUTED_VALUE"""),3.017816698E9)</f>
        <v>3017816698</v>
      </c>
      <c r="M6243" s="17" t="str">
        <f>IFERROR(__xludf.DUMMYFUNCTION("""COMPUTED_VALUE"""),"#REF!")</f>
        <v>#REF!</v>
      </c>
      <c r="N6243" s="17"/>
      <c r="O6243" s="17"/>
      <c r="P6243" s="17" t="b">
        <f>IFERROR(__xludf.DUMMYFUNCTION("""COMPUTED_VALUE"""),FALSE)</f>
        <v>0</v>
      </c>
      <c r="Q6243" s="20" t="str">
        <f>IFERROR(__xludf.DUMMYFUNCTION("""COMPUTED_VALUE"""),"")</f>
        <v/>
      </c>
      <c r="R6243" s="21" t="str">
        <f>IFERROR(__xludf.DUMMYFUNCTION("""COMPUTED_VALUE"""),"https://drive.google.com/file/d/1qitODeDzHPy1am7gQTxGS_oYV_gocWeA/view?usp=drivesdk")</f>
        <v>https://drive.google.com/file/d/1qitODeDzHPy1am7gQTxGS_oYV_gocWeA/view?usp=drivesdk</v>
      </c>
    </row>
    <row r="6244">
      <c r="A6244" s="15">
        <f>IFERROR(__xludf.DUMMYFUNCTION("""COMPUTED_VALUE"""),45181.0)</f>
        <v>45181</v>
      </c>
      <c r="B6244" s="16" t="str">
        <f>IFERROR(__xludf.DUMMYFUNCTION("""COMPUTED_VALUE"""),"Carlos Andres Pirachican Numpaque (Mayerli)")</f>
        <v>Carlos Andres Pirachican Numpaque (Mayerli)</v>
      </c>
      <c r="C6244" s="15" t="str">
        <f>IFERROR(__xludf.DUMMYFUNCTION("""COMPUTED_VALUE"""),"MANIZALES")</f>
        <v>MANIZALES</v>
      </c>
      <c r="D6244" s="15" t="str">
        <f>IFERROR(__xludf.DUMMYFUNCTION("""COMPUTED_VALUE"""),"BOGOTÁ")</f>
        <v>BOGOTÁ</v>
      </c>
      <c r="E6244" s="15" t="str">
        <f>IFERROR(__xludf.DUMMYFUNCTION("""COMPUTED_VALUE"""),"50 Gr Alfajores")</f>
        <v>50 Gr Alfajores</v>
      </c>
      <c r="F6244" s="17" t="str">
        <f>IFERROR(__xludf.DUMMYFUNCTION("""COMPUTED_VALUE"""),"CRA 10d # 57e-48 -  / barrio la carola -  / Casa")</f>
        <v>CRA 10d # 57e-48 -  / barrio la carola -  / Casa</v>
      </c>
      <c r="G6244" s="15" t="str">
        <f>IFERROR(__xludf.DUMMYFUNCTION("""COMPUTED_VALUE"""),"Gaviria Cárdenas Edwin")</f>
        <v>Gaviria Cárdenas Edwin</v>
      </c>
      <c r="H6244" s="16">
        <f>IFERROR(__xludf.DUMMYFUNCTION("""COMPUTED_VALUE"""),14974.0)</f>
        <v>14974</v>
      </c>
      <c r="I6244" s="18">
        <f>IFERROR(__xludf.DUMMYFUNCTION("""COMPUTED_VALUE"""),5.0)</f>
        <v>5</v>
      </c>
      <c r="J6244" s="18">
        <f>IFERROR(__xludf.DUMMYFUNCTION("""COMPUTED_VALUE"""),13.0)</f>
        <v>13</v>
      </c>
      <c r="K6244" s="18">
        <f>IFERROR(__xludf.DUMMYFUNCTION("""COMPUTED_VALUE"""),45064.0)</f>
        <v>45064</v>
      </c>
      <c r="L6244" s="17">
        <f>IFERROR(__xludf.DUMMYFUNCTION("""COMPUTED_VALUE"""),3.232264787E9)</f>
        <v>3232264787</v>
      </c>
      <c r="M6244" s="17" t="str">
        <f>IFERROR(__xludf.DUMMYFUNCTION("""COMPUTED_VALUE"""),"#REF!")</f>
        <v>#REF!</v>
      </c>
      <c r="N6244" s="17"/>
      <c r="O6244" s="17"/>
      <c r="P6244" s="17" t="b">
        <f>IFERROR(__xludf.DUMMYFUNCTION("""COMPUTED_VALUE"""),FALSE)</f>
        <v>0</v>
      </c>
      <c r="Q6244" s="20" t="str">
        <f>IFERROR(__xludf.DUMMYFUNCTION("""COMPUTED_VALUE"""),"")</f>
        <v/>
      </c>
      <c r="R6244" s="22" t="str">
        <f>IFERROR(__xludf.DUMMYFUNCTION("""COMPUTED_VALUE"""),"")</f>
        <v/>
      </c>
    </row>
    <row r="6245">
      <c r="A6245" s="15">
        <f>IFERROR(__xludf.DUMMYFUNCTION("""COMPUTED_VALUE"""),45181.0)</f>
        <v>45181</v>
      </c>
      <c r="B6245" s="16" t="str">
        <f>IFERROR(__xludf.DUMMYFUNCTION("""COMPUTED_VALUE"""),"Carlos Andres Pirachican Numpaque (Mayerli)")</f>
        <v>Carlos Andres Pirachican Numpaque (Mayerli)</v>
      </c>
      <c r="C6245" s="15" t="str">
        <f>IFERROR(__xludf.DUMMYFUNCTION("""COMPUTED_VALUE"""),"TUNJA")</f>
        <v>TUNJA</v>
      </c>
      <c r="D6245" s="15" t="str">
        <f>IFERROR(__xludf.DUMMYFUNCTION("""COMPUTED_VALUE"""),"BOGOTÁ")</f>
        <v>BOGOTÁ</v>
      </c>
      <c r="E6245" s="15" t="str">
        <f>IFERROR(__xludf.DUMMYFUNCTION("""COMPUTED_VALUE"""),"Evamazzita")</f>
        <v>Evamazzita</v>
      </c>
      <c r="F6245" s="17" t="str">
        <f>IFERROR(__xludf.DUMMYFUNCTION("""COMPUTED_VALUE"""),"Av universitaria # 49-50 / casa 51 conjunto portal de Altagracia")</f>
        <v>Av universitaria # 49-50 / casa 51 conjunto portal de Altagracia</v>
      </c>
      <c r="G6245" s="15" t="str">
        <f>IFERROR(__xludf.DUMMYFUNCTION("""COMPUTED_VALUE"""),"LINA FERNANDA CASTILLO AMAYA")</f>
        <v>LINA FERNANDA CASTILLO AMAYA</v>
      </c>
      <c r="H6245" s="16">
        <f>IFERROR(__xludf.DUMMYFUNCTION("""COMPUTED_VALUE"""),15091.0)</f>
        <v>15091</v>
      </c>
      <c r="I6245" s="18">
        <f>IFERROR(__xludf.DUMMYFUNCTION("""COMPUTED_VALUE"""),1.0)</f>
        <v>1</v>
      </c>
      <c r="J6245" s="18">
        <f>IFERROR(__xludf.DUMMYFUNCTION("""COMPUTED_VALUE"""),1.0)</f>
        <v>1</v>
      </c>
      <c r="K6245" s="18">
        <f>IFERROR(__xludf.DUMMYFUNCTION("""COMPUTED_VALUE"""),1.0)</f>
        <v>1</v>
      </c>
      <c r="L6245" s="17">
        <f>IFERROR(__xludf.DUMMYFUNCTION("""COMPUTED_VALUE"""),3.142230007E9)</f>
        <v>3142230007</v>
      </c>
      <c r="M6245" s="17" t="str">
        <f>IFERROR(__xludf.DUMMYFUNCTION("""COMPUTED_VALUE"""),"#REF!")</f>
        <v>#REF!</v>
      </c>
      <c r="N6245" s="17"/>
      <c r="O6245" s="17"/>
      <c r="P6245" s="17" t="b">
        <f>IFERROR(__xludf.DUMMYFUNCTION("""COMPUTED_VALUE"""),FALSE)</f>
        <v>0</v>
      </c>
      <c r="Q6245" s="20" t="str">
        <f>IFERROR(__xludf.DUMMYFUNCTION("""COMPUTED_VALUE"""),"")</f>
        <v/>
      </c>
      <c r="R6245" s="22" t="str">
        <f>IFERROR(__xludf.DUMMYFUNCTION("""COMPUTED_VALUE"""),"")</f>
        <v/>
      </c>
    </row>
    <row r="6246">
      <c r="A6246" s="15">
        <f>IFERROR(__xludf.DUMMYFUNCTION("""COMPUTED_VALUE"""),45181.0)</f>
        <v>45181</v>
      </c>
      <c r="B6246" s="16" t="str">
        <f>IFERROR(__xludf.DUMMYFUNCTION("""COMPUTED_VALUE"""),"Carlos Andres Pirachican Numpaque (Mayerli)")</f>
        <v>Carlos Andres Pirachican Numpaque (Mayerli)</v>
      </c>
      <c r="C6246" s="15" t="str">
        <f>IFERROR(__xludf.DUMMYFUNCTION("""COMPUTED_VALUE"""),"TUNJA")</f>
        <v>TUNJA</v>
      </c>
      <c r="D6246" s="15" t="str">
        <f>IFERROR(__xludf.DUMMYFUNCTION("""COMPUTED_VALUE"""),"BOGOTÁ")</f>
        <v>BOGOTÁ</v>
      </c>
      <c r="E6246" s="15" t="str">
        <f>IFERROR(__xludf.DUMMYFUNCTION("""COMPUTED_VALUE"""),"Evamazzita")</f>
        <v>Evamazzita</v>
      </c>
      <c r="F6246" s="17" t="str">
        <f>IFERROR(__xludf.DUMMYFUNCTION("""COMPUTED_VALUE"""),"Diagonal 66A # 4-20 / Barrio Los Muiscas")</f>
        <v>Diagonal 66A # 4-20 / Barrio Los Muiscas</v>
      </c>
      <c r="G6246" s="15" t="str">
        <f>IFERROR(__xludf.DUMMYFUNCTION("""COMPUTED_VALUE"""),"MERY YOLIMA URIBE RIOS")</f>
        <v>MERY YOLIMA URIBE RIOS</v>
      </c>
      <c r="H6246" s="16">
        <f>IFERROR(__xludf.DUMMYFUNCTION("""COMPUTED_VALUE"""),15092.0)</f>
        <v>15092</v>
      </c>
      <c r="I6246" s="18">
        <f>IFERROR(__xludf.DUMMYFUNCTION("""COMPUTED_VALUE"""),1.0)</f>
        <v>1</v>
      </c>
      <c r="J6246" s="18">
        <f>IFERROR(__xludf.DUMMYFUNCTION("""COMPUTED_VALUE"""),1.0)</f>
        <v>1</v>
      </c>
      <c r="K6246" s="18">
        <f>IFERROR(__xludf.DUMMYFUNCTION("""COMPUTED_VALUE"""),1.0)</f>
        <v>1</v>
      </c>
      <c r="L6246" s="17">
        <f>IFERROR(__xludf.DUMMYFUNCTION("""COMPUTED_VALUE"""),3.102399974E9)</f>
        <v>3102399974</v>
      </c>
      <c r="M6246" s="17" t="str">
        <f>IFERROR(__xludf.DUMMYFUNCTION("""COMPUTED_VALUE"""),"#REF!")</f>
        <v>#REF!</v>
      </c>
      <c r="N6246" s="17"/>
      <c r="O6246" s="17"/>
      <c r="P6246" s="17" t="b">
        <f>IFERROR(__xludf.DUMMYFUNCTION("""COMPUTED_VALUE"""),FALSE)</f>
        <v>0</v>
      </c>
      <c r="Q6246" s="20" t="str">
        <f>IFERROR(__xludf.DUMMYFUNCTION("""COMPUTED_VALUE"""),"")</f>
        <v/>
      </c>
      <c r="R6246" s="22" t="str">
        <f>IFERROR(__xludf.DUMMYFUNCTION("""COMPUTED_VALUE"""),"")</f>
        <v/>
      </c>
    </row>
    <row r="6247">
      <c r="A6247" s="17" t="str">
        <f>IFERROR(__xludf.DUMMYFUNCTION("""COMPUTED_VALUE"""),"")</f>
        <v/>
      </c>
      <c r="B6247" s="17" t="str">
        <f>IFERROR(__xludf.DUMMYFUNCTION("""COMPUTED_VALUE"""),"")</f>
        <v/>
      </c>
      <c r="C6247" s="17" t="str">
        <f>IFERROR(__xludf.DUMMYFUNCTION("""COMPUTED_VALUE"""),"")</f>
        <v/>
      </c>
      <c r="D6247" s="17" t="str">
        <f>IFERROR(__xludf.DUMMYFUNCTION("""COMPUTED_VALUE"""),"")</f>
        <v/>
      </c>
      <c r="E6247" s="17" t="str">
        <f>IFERROR(__xludf.DUMMYFUNCTION("""COMPUTED_VALUE"""),"")</f>
        <v/>
      </c>
      <c r="F6247" s="17" t="str">
        <f>IFERROR(__xludf.DUMMYFUNCTION("""COMPUTED_VALUE"""),"")</f>
        <v/>
      </c>
      <c r="G6247" s="17" t="str">
        <f>IFERROR(__xludf.DUMMYFUNCTION("""COMPUTED_VALUE"""),"")</f>
        <v/>
      </c>
      <c r="H6247" s="17" t="str">
        <f>IFERROR(__xludf.DUMMYFUNCTION("""COMPUTED_VALUE"""),"")</f>
        <v/>
      </c>
      <c r="I6247" s="17" t="str">
        <f>IFERROR(__xludf.DUMMYFUNCTION("""COMPUTED_VALUE"""),"")</f>
        <v/>
      </c>
      <c r="J6247" s="17" t="str">
        <f>IFERROR(__xludf.DUMMYFUNCTION("""COMPUTED_VALUE"""),"")</f>
        <v/>
      </c>
      <c r="K6247" s="17" t="str">
        <f>IFERROR(__xludf.DUMMYFUNCTION("""COMPUTED_VALUE"""),"")</f>
        <v/>
      </c>
      <c r="L6247" s="17" t="str">
        <f>IFERROR(__xludf.DUMMYFUNCTION("""COMPUTED_VALUE"""),"")</f>
        <v/>
      </c>
      <c r="M6247" s="17" t="str">
        <f>IFERROR(__xludf.DUMMYFUNCTION("""COMPUTED_VALUE"""),"")</f>
        <v/>
      </c>
      <c r="N6247" s="17" t="str">
        <f>IFERROR(__xludf.DUMMYFUNCTION("""COMPUTED_VALUE"""),"")</f>
        <v/>
      </c>
      <c r="O6247" s="17" t="str">
        <f>IFERROR(__xludf.DUMMYFUNCTION("""COMPUTED_VALUE"""),"")</f>
        <v/>
      </c>
      <c r="P6247" s="17" t="str">
        <f>IFERROR(__xludf.DUMMYFUNCTION("""COMPUTED_VALUE"""),"")</f>
        <v/>
      </c>
      <c r="Q6247" s="17" t="str">
        <f>IFERROR(__xludf.DUMMYFUNCTION("""COMPUTED_VALUE"""),"")</f>
        <v/>
      </c>
      <c r="R6247" s="17" t="str">
        <f>IFERROR(__xludf.DUMMYFUNCTION("""COMPUTED_VALUE"""),"")</f>
        <v/>
      </c>
    </row>
    <row r="6248">
      <c r="A6248" s="15">
        <f>IFERROR(__xludf.DUMMYFUNCTION("""COMPUTED_VALUE"""),45181.0)</f>
        <v>45181</v>
      </c>
      <c r="B6248" s="16" t="str">
        <f>IFERROR(__xludf.DUMMYFUNCTION("""COMPUTED_VALUE"""),"Deivi Alejandro Quintero Corrales")</f>
        <v>Deivi Alejandro Quintero Corrales</v>
      </c>
      <c r="C6248" s="15" t="str">
        <f>IFERROR(__xludf.DUMMYFUNCTION("""COMPUTED_VALUE"""),"PEREIRA")</f>
        <v>PEREIRA</v>
      </c>
      <c r="D6248" s="15" t="str">
        <f>IFERROR(__xludf.DUMMYFUNCTION("""COMPUTED_VALUE"""),"BOGOTÁ")</f>
        <v>BOGOTÁ</v>
      </c>
      <c r="E6248" s="15" t="str">
        <f>IFERROR(__xludf.DUMMYFUNCTION("""COMPUTED_VALUE"""),"50 Gr Alfajores")</f>
        <v>50 Gr Alfajores</v>
      </c>
      <c r="F6248" s="17" t="str">
        <f>IFERROR(__xludf.DUMMYFUNCTION("""COMPUTED_VALUE"""),"Carrera 16bis # 23-25  / apartamento 901  / Unidad residencial Los  Profesionales")</f>
        <v>Carrera 16bis # 23-25  / apartamento 901  / Unidad residencial Los  Profesionales</v>
      </c>
      <c r="G6248" s="15" t="str">
        <f>IFERROR(__xludf.DUMMYFUNCTION("""COMPUTED_VALUE"""),"Moreno Diaz Bryan Estefan")</f>
        <v>Moreno Diaz Bryan Estefan</v>
      </c>
      <c r="H6248" s="16">
        <f>IFERROR(__xludf.DUMMYFUNCTION("""COMPUTED_VALUE"""),15010.0)</f>
        <v>15010</v>
      </c>
      <c r="I6248" s="18">
        <f>IFERROR(__xludf.DUMMYFUNCTION("""COMPUTED_VALUE"""),5.0)</f>
        <v>5</v>
      </c>
      <c r="J6248" s="18">
        <f>IFERROR(__xludf.DUMMYFUNCTION("""COMPUTED_VALUE"""),13.0)</f>
        <v>13</v>
      </c>
      <c r="K6248" s="18">
        <f>IFERROR(__xludf.DUMMYFUNCTION("""COMPUTED_VALUE"""),45064.0)</f>
        <v>45064</v>
      </c>
      <c r="L6248" s="17">
        <f>IFERROR(__xludf.DUMMYFUNCTION("""COMPUTED_VALUE"""),3.113614439E9)</f>
        <v>3113614439</v>
      </c>
      <c r="M6248" s="17" t="str">
        <f>IFERROR(__xludf.DUMMYFUNCTION("""COMPUTED_VALUE"""),"#REF!")</f>
        <v>#REF!</v>
      </c>
      <c r="N6248" s="17"/>
      <c r="O6248" s="17"/>
      <c r="P6248" s="17" t="b">
        <f>IFERROR(__xludf.DUMMYFUNCTION("""COMPUTED_VALUE"""),TRUE)</f>
        <v>1</v>
      </c>
      <c r="Q6248" s="20">
        <f>IFERROR(__xludf.DUMMYFUNCTION("""COMPUTED_VALUE"""),45181.690381747685)</f>
        <v>45181.69038</v>
      </c>
      <c r="R6248" s="21" t="str">
        <f>IFERROR(__xludf.DUMMYFUNCTION("""COMPUTED_VALUE"""),"https://drive.google.com/file/d/1ej5PKEwDLeS6attDWY0jbhO-toSfv9zs/view?usp=drivesdk")</f>
        <v>https://drive.google.com/file/d/1ej5PKEwDLeS6attDWY0jbhO-toSfv9zs/view?usp=drivesdk</v>
      </c>
    </row>
    <row r="6249">
      <c r="A6249" s="15">
        <f>IFERROR(__xludf.DUMMYFUNCTION("""COMPUTED_VALUE"""),45181.0)</f>
        <v>45181</v>
      </c>
      <c r="B6249" s="16" t="str">
        <f>IFERROR(__xludf.DUMMYFUNCTION("""COMPUTED_VALUE"""),"Deivi Alejandro Quintero Corrales")</f>
        <v>Deivi Alejandro Quintero Corrales</v>
      </c>
      <c r="C6249" s="15" t="str">
        <f>IFERROR(__xludf.DUMMYFUNCTION("""COMPUTED_VALUE"""),"PEREIRA")</f>
        <v>PEREIRA</v>
      </c>
      <c r="D6249" s="15" t="str">
        <f>IFERROR(__xludf.DUMMYFUNCTION("""COMPUTED_VALUE"""),"BOGOTÁ")</f>
        <v>BOGOTÁ</v>
      </c>
      <c r="E6249" s="15" t="str">
        <f>IFERROR(__xludf.DUMMYFUNCTION("""COMPUTED_VALUE"""),"La Caja de Pan")</f>
        <v>La Caja de Pan</v>
      </c>
      <c r="F6249" s="17" t="str">
        <f>IFERROR(__xludf.DUMMYFUNCTION("""COMPUTED_VALUE"""),"cll 12 bis #16-18 / casa hoja / barrio pinares")</f>
        <v>cll 12 bis #16-18 / casa hoja / barrio pinares</v>
      </c>
      <c r="G6249" s="15" t="str">
        <f>IFERROR(__xludf.DUMMYFUNCTION("""COMPUTED_VALUE"""),"Hector Hernandez")</f>
        <v>Hector Hernandez</v>
      </c>
      <c r="H6249" s="16">
        <f>IFERROR(__xludf.DUMMYFUNCTION("""COMPUTED_VALUE"""),15068.0)</f>
        <v>15068</v>
      </c>
      <c r="I6249" s="18">
        <f>IFERROR(__xludf.DUMMYFUNCTION("""COMPUTED_VALUE"""),20.0)</f>
        <v>20</v>
      </c>
      <c r="J6249" s="18">
        <f>IFERROR(__xludf.DUMMYFUNCTION("""COMPUTED_VALUE"""),20.0)</f>
        <v>20</v>
      </c>
      <c r="K6249" s="18">
        <f>IFERROR(__xludf.DUMMYFUNCTION("""COMPUTED_VALUE"""),20.0)</f>
        <v>20</v>
      </c>
      <c r="L6249" s="17">
        <f>IFERROR(__xludf.DUMMYFUNCTION("""COMPUTED_VALUE"""),3.18591145E9)</f>
        <v>3185911450</v>
      </c>
      <c r="M6249" s="17" t="str">
        <f>IFERROR(__xludf.DUMMYFUNCTION("""COMPUTED_VALUE"""),"#REF!")</f>
        <v>#REF!</v>
      </c>
      <c r="N6249" s="17"/>
      <c r="O6249" s="17"/>
      <c r="P6249" s="17" t="b">
        <f>IFERROR(__xludf.DUMMYFUNCTION("""COMPUTED_VALUE"""),TRUE)</f>
        <v>1</v>
      </c>
      <c r="Q6249" s="20">
        <f>IFERROR(__xludf.DUMMYFUNCTION("""COMPUTED_VALUE"""),45181.60490116898)</f>
        <v>45181.6049</v>
      </c>
      <c r="R6249" s="21" t="str">
        <f>IFERROR(__xludf.DUMMYFUNCTION("""COMPUTED_VALUE"""),"https://drive.google.com/file/d/1Pzn8uJmTC-YGPxIuu40UH42gi9nAEmyl/view?usp=drivesdk")</f>
        <v>https://drive.google.com/file/d/1Pzn8uJmTC-YGPxIuu40UH42gi9nAEmyl/view?usp=drivesdk</v>
      </c>
    </row>
    <row r="6250">
      <c r="A6250" s="15">
        <f>IFERROR(__xludf.DUMMYFUNCTION("""COMPUTED_VALUE"""),45181.0)</f>
        <v>45181</v>
      </c>
      <c r="B6250" s="16" t="str">
        <f>IFERROR(__xludf.DUMMYFUNCTION("""COMPUTED_VALUE"""),"Deivi Alejandro Quintero Corrales")</f>
        <v>Deivi Alejandro Quintero Corrales</v>
      </c>
      <c r="C6250" s="15" t="str">
        <f>IFERROR(__xludf.DUMMYFUNCTION("""COMPUTED_VALUE"""),"PEREIRA")</f>
        <v>PEREIRA</v>
      </c>
      <c r="D6250" s="15" t="str">
        <f>IFERROR(__xludf.DUMMYFUNCTION("""COMPUTED_VALUE"""),"BOGOTÁ")</f>
        <v>BOGOTÁ</v>
      </c>
      <c r="E6250" s="15" t="str">
        <f>IFERROR(__xludf.DUMMYFUNCTION("""COMPUTED_VALUE"""),"Pan de Waffle")</f>
        <v>Pan de Waffle</v>
      </c>
      <c r="F6250" s="17" t="str">
        <f>IFERROR(__xludf.DUMMYFUNCTION("""COMPUTED_VALUE"""),"Torres de Alejandria Torre 3 Apto 804  / Torres de Alejandria Torre 3 Apto 804  / Torres de Alejandria Torre 3 Apto 804")</f>
        <v>Torres de Alejandria Torre 3 Apto 804  / Torres de Alejandria Torre 3 Apto 804  / Torres de Alejandria Torre 3 Apto 804</v>
      </c>
      <c r="G6250" s="15" t="str">
        <f>IFERROR(__xludf.DUMMYFUNCTION("""COMPUTED_VALUE"""),"TATIANA GUTIERREZ")</f>
        <v>TATIANA GUTIERREZ</v>
      </c>
      <c r="H6250" s="16">
        <f>IFERROR(__xludf.DUMMYFUNCTION("""COMPUTED_VALUE"""),15124.0)</f>
        <v>15124</v>
      </c>
      <c r="I6250" s="18">
        <f>IFERROR(__xludf.DUMMYFUNCTION("""COMPUTED_VALUE"""),30.0)</f>
        <v>30</v>
      </c>
      <c r="J6250" s="18">
        <f>IFERROR(__xludf.DUMMYFUNCTION("""COMPUTED_VALUE"""),30.0)</f>
        <v>30</v>
      </c>
      <c r="K6250" s="18">
        <f>IFERROR(__xludf.DUMMYFUNCTION("""COMPUTED_VALUE"""),40.0)</f>
        <v>40</v>
      </c>
      <c r="L6250" s="17">
        <f>IFERROR(__xludf.DUMMYFUNCTION("""COMPUTED_VALUE"""),3.144035599E9)</f>
        <v>3144035599</v>
      </c>
      <c r="M6250" s="17" t="str">
        <f>IFERROR(__xludf.DUMMYFUNCTION("""COMPUTED_VALUE"""),"#REF!")</f>
        <v>#REF!</v>
      </c>
      <c r="N6250" s="17"/>
      <c r="O6250" s="17"/>
      <c r="P6250" s="17" t="b">
        <f>IFERROR(__xludf.DUMMYFUNCTION("""COMPUTED_VALUE"""),TRUE)</f>
        <v>1</v>
      </c>
      <c r="Q6250" s="20">
        <f>IFERROR(__xludf.DUMMYFUNCTION("""COMPUTED_VALUE"""),45181.48654946759)</f>
        <v>45181.48655</v>
      </c>
      <c r="R6250" s="21" t="str">
        <f>IFERROR(__xludf.DUMMYFUNCTION("""COMPUTED_VALUE"""),"https://drive.google.com/file/d/1J5kbRGUL0wlMjzZVchrqE6D9LaKtmO26/view?usp=drivesdk")</f>
        <v>https://drive.google.com/file/d/1J5kbRGUL0wlMjzZVchrqE6D9LaKtmO26/view?usp=drivesdk</v>
      </c>
    </row>
    <row r="6251">
      <c r="A6251" s="15">
        <f>IFERROR(__xludf.DUMMYFUNCTION("""COMPUTED_VALUE"""),45181.0)</f>
        <v>45181</v>
      </c>
      <c r="B6251" s="16" t="str">
        <f>IFERROR(__xludf.DUMMYFUNCTION("""COMPUTED_VALUE"""),"Deivi Alejandro Quintero Corrales")</f>
        <v>Deivi Alejandro Quintero Corrales</v>
      </c>
      <c r="C6251" s="15" t="str">
        <f>IFERROR(__xludf.DUMMYFUNCTION("""COMPUTED_VALUE"""),"PEREIRA")</f>
        <v>PEREIRA</v>
      </c>
      <c r="D6251" s="15" t="str">
        <f>IFERROR(__xludf.DUMMYFUNCTION("""COMPUTED_VALUE"""),"BOGOTÁ")</f>
        <v>BOGOTÁ</v>
      </c>
      <c r="E6251" s="15" t="str">
        <f>IFERROR(__xludf.DUMMYFUNCTION("""COMPUTED_VALUE"""),"Spirulina Fresca")</f>
        <v>Spirulina Fresca</v>
      </c>
      <c r="F6251" s="17" t="str">
        <f>IFERROR(__xludf.DUMMYFUNCTION("""COMPUTED_VALUE"""),"o  Avenida 30 de agosto #52-364 EDS Terpel   / Terpel / Pereira")</f>
        <v>o  Avenida 30 de agosto #52-364 EDS Terpel   / Terpel / Pereira</v>
      </c>
      <c r="G6251" s="15" t="str">
        <f>IFERROR(__xludf.DUMMYFUNCTION("""COMPUTED_VALUE"""),"Raul salcedo")</f>
        <v>Raul salcedo</v>
      </c>
      <c r="H6251" s="16">
        <f>IFERROR(__xludf.DUMMYFUNCTION("""COMPUTED_VALUE"""),15033.0)</f>
        <v>15033</v>
      </c>
      <c r="I6251" s="18">
        <f>IFERROR(__xludf.DUMMYFUNCTION("""COMPUTED_VALUE"""),15.0)</f>
        <v>15</v>
      </c>
      <c r="J6251" s="18">
        <f>IFERROR(__xludf.DUMMYFUNCTION("""COMPUTED_VALUE"""),5.0)</f>
        <v>5</v>
      </c>
      <c r="K6251" s="18">
        <f>IFERROR(__xludf.DUMMYFUNCTION("""COMPUTED_VALUE"""),15.0)</f>
        <v>15</v>
      </c>
      <c r="L6251" s="17">
        <f>IFERROR(__xludf.DUMMYFUNCTION("""COMPUTED_VALUE"""),3.206929535E9)</f>
        <v>3206929535</v>
      </c>
      <c r="M6251" s="17" t="str">
        <f>IFERROR(__xludf.DUMMYFUNCTION("""COMPUTED_VALUE"""),"#REF!")</f>
        <v>#REF!</v>
      </c>
      <c r="N6251" s="17"/>
      <c r="O6251" s="17"/>
      <c r="P6251" s="17" t="b">
        <f>IFERROR(__xludf.DUMMYFUNCTION("""COMPUTED_VALUE"""),TRUE)</f>
        <v>1</v>
      </c>
      <c r="Q6251" s="20">
        <f>IFERROR(__xludf.DUMMYFUNCTION("""COMPUTED_VALUE"""),45181.605269884254)</f>
        <v>45181.60527</v>
      </c>
      <c r="R6251" s="21" t="str">
        <f>IFERROR(__xludf.DUMMYFUNCTION("""COMPUTED_VALUE"""),"https://drive.google.com/file/d/1-7i6lbgApiXgC3ZNLJtRrNC-iJ6OHQxK/view?usp=drivesdk")</f>
        <v>https://drive.google.com/file/d/1-7i6lbgApiXgC3ZNLJtRrNC-iJ6OHQxK/view?usp=drivesdk</v>
      </c>
    </row>
    <row r="6252">
      <c r="A6252" s="15">
        <f>IFERROR(__xludf.DUMMYFUNCTION("""COMPUTED_VALUE"""),45181.0)</f>
        <v>45181</v>
      </c>
      <c r="B6252" s="16" t="str">
        <f>IFERROR(__xludf.DUMMYFUNCTION("""COMPUTED_VALUE"""),"Deivi Alejandro Quintero Corrales")</f>
        <v>Deivi Alejandro Quintero Corrales</v>
      </c>
      <c r="C6252" s="15" t="str">
        <f>IFERROR(__xludf.DUMMYFUNCTION("""COMPUTED_VALUE"""),"PEREIRA")</f>
        <v>PEREIRA</v>
      </c>
      <c r="D6252" s="15" t="str">
        <f>IFERROR(__xludf.DUMMYFUNCTION("""COMPUTED_VALUE"""),"MEDELLÍN")</f>
        <v>MEDELLÍN</v>
      </c>
      <c r="E6252" s="15" t="str">
        <f>IFERROR(__xludf.DUMMYFUNCTION("""COMPUTED_VALUE"""),"Baby Chef")</f>
        <v>Baby Chef</v>
      </c>
      <c r="F6252" s="17" t="str">
        <f>IFERROR(__xludf.DUMMYFUNCTION("""COMPUTED_VALUE"""),"Calle 16 # 5-38 centro Pereira  Local cámaras -Hikvision / Calle 16 # 5-38 centro Pereira  Local cámaras -Hikvision / Calle 16 # 5-38 centro Pereira  Local cámaras -Hikvision")</f>
        <v>Calle 16 # 5-38 centro Pereira  Local cámaras -Hikvision / Calle 16 # 5-38 centro Pereira  Local cámaras -Hikvision / Calle 16 # 5-38 centro Pereira  Local cámaras -Hikvision</v>
      </c>
      <c r="G6252" s="15" t="str">
        <f>IFERROR(__xludf.DUMMYFUNCTION("""COMPUTED_VALUE"""),"Leydi Colorado")</f>
        <v>Leydi Colorado</v>
      </c>
      <c r="H6252" s="16">
        <f>IFERROR(__xludf.DUMMYFUNCTION("""COMPUTED_VALUE"""),15119.0)</f>
        <v>15119</v>
      </c>
      <c r="I6252" s="18">
        <f>IFERROR(__xludf.DUMMYFUNCTION("""COMPUTED_VALUE"""),5.0)</f>
        <v>5</v>
      </c>
      <c r="J6252" s="18">
        <f>IFERROR(__xludf.DUMMYFUNCTION("""COMPUTED_VALUE"""),18.0)</f>
        <v>18</v>
      </c>
      <c r="K6252" s="18">
        <f>IFERROR(__xludf.DUMMYFUNCTION("""COMPUTED_VALUE"""),32.0)</f>
        <v>32</v>
      </c>
      <c r="L6252" s="17">
        <f>IFERROR(__xludf.DUMMYFUNCTION("""COMPUTED_VALUE"""),3.17367338E9)</f>
        <v>3173673380</v>
      </c>
      <c r="M6252" s="17" t="str">
        <f>IFERROR(__xludf.DUMMYFUNCTION("""COMPUTED_VALUE"""),"#REF!")</f>
        <v>#REF!</v>
      </c>
      <c r="N6252" s="17"/>
      <c r="O6252" s="17"/>
      <c r="P6252" s="17" t="b">
        <f>IFERROR(__xludf.DUMMYFUNCTION("""COMPUTED_VALUE"""),TRUE)</f>
        <v>1</v>
      </c>
      <c r="Q6252" s="20">
        <f>IFERROR(__xludf.DUMMYFUNCTION("""COMPUTED_VALUE"""),45181.62711059028)</f>
        <v>45181.62711</v>
      </c>
      <c r="R6252" s="21" t="str">
        <f>IFERROR(__xludf.DUMMYFUNCTION("""COMPUTED_VALUE"""),"https://drive.google.com/file/d/1cuRXNLZYu7ThPe3vn_RL2v5ZCxnjQclB/view?usp=drivesdk")</f>
        <v>https://drive.google.com/file/d/1cuRXNLZYu7ThPe3vn_RL2v5ZCxnjQclB/view?usp=drivesdk</v>
      </c>
    </row>
    <row r="6253">
      <c r="A6253" s="15">
        <f>IFERROR(__xludf.DUMMYFUNCTION("""COMPUTED_VALUE"""),45181.0)</f>
        <v>45181</v>
      </c>
      <c r="B6253" s="16" t="str">
        <f>IFERROR(__xludf.DUMMYFUNCTION("""COMPUTED_VALUE"""),"Deivi Alejandro Quintero Corrales")</f>
        <v>Deivi Alejandro Quintero Corrales</v>
      </c>
      <c r="C6253" s="15" t="str">
        <f>IFERROR(__xludf.DUMMYFUNCTION("""COMPUTED_VALUE"""),"PEREIRA")</f>
        <v>PEREIRA</v>
      </c>
      <c r="D6253" s="15" t="str">
        <f>IFERROR(__xludf.DUMMYFUNCTION("""COMPUTED_VALUE"""),"MEDELLÍN")</f>
        <v>MEDELLÍN</v>
      </c>
      <c r="E6253" s="15" t="str">
        <f>IFERROR(__xludf.DUMMYFUNCTION("""COMPUTED_VALUE"""),"Baby Chef")</f>
        <v>Baby Chef</v>
      </c>
      <c r="F6253" s="17" t="str">
        <f>IFERROR(__xludf.DUMMYFUNCTION("""COMPUTED_VALUE"""),"Edificio blanco con locales comerciales en la parte de abajo, el timbre está en la reja negra / Edificio blanco con locales comerciales en la parte de abajo, el timbre está en la reja negra / Edificio blanco con locales comerciales en la parte de abajo, e"&amp;"l timbre está en la reja negra")</f>
        <v>Edificio blanco con locales comerciales en la parte de abajo, el timbre está en la reja negra / Edificio blanco con locales comerciales en la parte de abajo, el timbre está en la reja negra / Edificio blanco con locales comerciales en la parte de abajo, el timbre está en la reja negra</v>
      </c>
      <c r="G6253" s="15" t="str">
        <f>IFERROR(__xludf.DUMMYFUNCTION("""COMPUTED_VALUE"""),"Andrea Mesa Quiceno")</f>
        <v>Andrea Mesa Quiceno</v>
      </c>
      <c r="H6253" s="16">
        <f>IFERROR(__xludf.DUMMYFUNCTION("""COMPUTED_VALUE"""),15118.0)</f>
        <v>15118</v>
      </c>
      <c r="I6253" s="18">
        <f>IFERROR(__xludf.DUMMYFUNCTION("""COMPUTED_VALUE"""),7.0)</f>
        <v>7</v>
      </c>
      <c r="J6253" s="18">
        <f>IFERROR(__xludf.DUMMYFUNCTION("""COMPUTED_VALUE"""),20.0)</f>
        <v>20</v>
      </c>
      <c r="K6253" s="18">
        <f>IFERROR(__xludf.DUMMYFUNCTION("""COMPUTED_VALUE"""),40.0)</f>
        <v>40</v>
      </c>
      <c r="L6253" s="17">
        <f>IFERROR(__xludf.DUMMYFUNCTION("""COMPUTED_VALUE"""),3.128677028E9)</f>
        <v>3128677028</v>
      </c>
      <c r="M6253" s="17" t="str">
        <f>IFERROR(__xludf.DUMMYFUNCTION("""COMPUTED_VALUE"""),"#REF!")</f>
        <v>#REF!</v>
      </c>
      <c r="N6253" s="17"/>
      <c r="O6253" s="17"/>
      <c r="P6253" s="17" t="b">
        <f>IFERROR(__xludf.DUMMYFUNCTION("""COMPUTED_VALUE"""),TRUE)</f>
        <v>1</v>
      </c>
      <c r="Q6253" s="20">
        <f>IFERROR(__xludf.DUMMYFUNCTION("""COMPUTED_VALUE"""),45181.79435048611)</f>
        <v>45181.79435</v>
      </c>
      <c r="R6253" s="21" t="str">
        <f>IFERROR(__xludf.DUMMYFUNCTION("""COMPUTED_VALUE"""),"https://drive.google.com/file/d/1Dz4iQK-WWTg_j3Xo6DmzpjPJ7M-Qkrfb/view?usp=drivesdk")</f>
        <v>https://drive.google.com/file/d/1Dz4iQK-WWTg_j3Xo6DmzpjPJ7M-Qkrfb/view?usp=drivesdk</v>
      </c>
    </row>
    <row r="6254">
      <c r="A6254" s="15">
        <f>IFERROR(__xludf.DUMMYFUNCTION("""COMPUTED_VALUE"""),45181.0)</f>
        <v>45181</v>
      </c>
      <c r="B6254" s="16" t="str">
        <f>IFERROR(__xludf.DUMMYFUNCTION("""COMPUTED_VALUE"""),"Deivi Alejandro Quintero Corrales")</f>
        <v>Deivi Alejandro Quintero Corrales</v>
      </c>
      <c r="C6254" s="15" t="str">
        <f>IFERROR(__xludf.DUMMYFUNCTION("""COMPUTED_VALUE"""),"PEREIRA")</f>
        <v>PEREIRA</v>
      </c>
      <c r="D6254" s="15" t="str">
        <f>IFERROR(__xludf.DUMMYFUNCTION("""COMPUTED_VALUE"""),"MEDELLÍN")</f>
        <v>MEDELLÍN</v>
      </c>
      <c r="E6254" s="15" t="str">
        <f>IFERROR(__xludf.DUMMYFUNCTION("""COMPUTED_VALUE"""),"Baby Chef")</f>
        <v>Baby Chef</v>
      </c>
      <c r="F6254" s="17" t="str">
        <f>IFERROR(__xludf.DUMMYFUNCTION("""COMPUTED_VALUE"""),"Municipio Dosquebradas  Barrio: La Mariana  Conjunto cerrado Villa de Marcos manzana 3 casa 14 / Municipio Dosquebradas  Barrio: La Mariana  Conjunto cerrado Villa de Marcos manzana 3 casa 14 / Municipio Dosquebradas  Barrio: La Mariana  Conjunto cerrado "&amp;"Villa de Marcos manzana 3 casa 14")</f>
        <v>Municipio Dosquebradas  Barrio: La Mariana  Conjunto cerrado Villa de Marcos manzana 3 casa 14 / Municipio Dosquebradas  Barrio: La Mariana  Conjunto cerrado Villa de Marcos manzana 3 casa 14 / Municipio Dosquebradas  Barrio: La Mariana  Conjunto cerrado Villa de Marcos manzana 3 casa 14</v>
      </c>
      <c r="G6254" s="15" t="str">
        <f>IFERROR(__xludf.DUMMYFUNCTION("""COMPUTED_VALUE"""),"Diana Marcela Rosero")</f>
        <v>Diana Marcela Rosero</v>
      </c>
      <c r="H6254" s="16">
        <f>IFERROR(__xludf.DUMMYFUNCTION("""COMPUTED_VALUE"""),15127.0)</f>
        <v>15127</v>
      </c>
      <c r="I6254" s="18">
        <f>IFERROR(__xludf.DUMMYFUNCTION("""COMPUTED_VALUE"""),7.0)</f>
        <v>7</v>
      </c>
      <c r="J6254" s="18">
        <f>IFERROR(__xludf.DUMMYFUNCTION("""COMPUTED_VALUE"""),21.0)</f>
        <v>21</v>
      </c>
      <c r="K6254" s="18">
        <f>IFERROR(__xludf.DUMMYFUNCTION("""COMPUTED_VALUE"""),33.0)</f>
        <v>33</v>
      </c>
      <c r="L6254" s="17">
        <f>IFERROR(__xludf.DUMMYFUNCTION("""COMPUTED_VALUE"""),3.10458593E9)</f>
        <v>3104585930</v>
      </c>
      <c r="M6254" s="17" t="str">
        <f>IFERROR(__xludf.DUMMYFUNCTION("""COMPUTED_VALUE"""),"#REF!")</f>
        <v>#REF!</v>
      </c>
      <c r="N6254" s="17"/>
      <c r="O6254" s="17"/>
      <c r="P6254" s="17" t="b">
        <f>IFERROR(__xludf.DUMMYFUNCTION("""COMPUTED_VALUE"""),TRUE)</f>
        <v>1</v>
      </c>
      <c r="Q6254" s="20">
        <f>IFERROR(__xludf.DUMMYFUNCTION("""COMPUTED_VALUE"""),45181.49086657407)</f>
        <v>45181.49087</v>
      </c>
      <c r="R6254" s="21" t="str">
        <f>IFERROR(__xludf.DUMMYFUNCTION("""COMPUTED_VALUE"""),"https://drive.google.com/file/d/1OiRKCiPjlQDg3bsC90CpzPqeuj8b2CI0/view?usp=drivesdk")</f>
        <v>https://drive.google.com/file/d/1OiRKCiPjlQDg3bsC90CpzPqeuj8b2CI0/view?usp=drivesdk</v>
      </c>
    </row>
    <row r="6255">
      <c r="A6255" s="15">
        <f>IFERROR(__xludf.DUMMYFUNCTION("""COMPUTED_VALUE"""),45181.0)</f>
        <v>45181</v>
      </c>
      <c r="B6255" s="16" t="str">
        <f>IFERROR(__xludf.DUMMYFUNCTION("""COMPUTED_VALUE"""),"Deivi Alejandro Quintero Corrales")</f>
        <v>Deivi Alejandro Quintero Corrales</v>
      </c>
      <c r="C6255" s="15" t="str">
        <f>IFERROR(__xludf.DUMMYFUNCTION("""COMPUTED_VALUE"""),"PEREIRA")</f>
        <v>PEREIRA</v>
      </c>
      <c r="D6255" s="15" t="str">
        <f>IFERROR(__xludf.DUMMYFUNCTION("""COMPUTED_VALUE"""),"MEDELLÍN")</f>
        <v>MEDELLÍN</v>
      </c>
      <c r="E6255" s="15" t="str">
        <f>IFERROR(__xludf.DUMMYFUNCTION("""COMPUTED_VALUE"""),"Rambla")</f>
        <v>Rambla</v>
      </c>
      <c r="F6255" s="17" t="str">
        <f>IFERROR(__xludf.DUMMYFUNCTION("""COMPUTED_VALUE"""),"CARRERA 14 -12-55 / - / -")</f>
        <v>CARRERA 14 -12-55 / - / -</v>
      </c>
      <c r="G6255" s="15" t="str">
        <f>IFERROR(__xludf.DUMMYFUNCTION("""COMPUTED_VALUE"""),"Vita Eco")</f>
        <v>Vita Eco</v>
      </c>
      <c r="H6255" s="16">
        <f>IFERROR(__xludf.DUMMYFUNCTION("""COMPUTED_VALUE"""),15089.0)</f>
        <v>15089</v>
      </c>
      <c r="I6255" s="18">
        <f>IFERROR(__xludf.DUMMYFUNCTION("""COMPUTED_VALUE"""),24.0)</f>
        <v>24</v>
      </c>
      <c r="J6255" s="18">
        <f>IFERROR(__xludf.DUMMYFUNCTION("""COMPUTED_VALUE"""),24.0)</f>
        <v>24</v>
      </c>
      <c r="K6255" s="18">
        <f>IFERROR(__xludf.DUMMYFUNCTION("""COMPUTED_VALUE"""),24.0)</f>
        <v>24</v>
      </c>
      <c r="L6255" s="17">
        <f>IFERROR(__xludf.DUMMYFUNCTION("""COMPUTED_VALUE"""),3.215501948E9)</f>
        <v>3215501948</v>
      </c>
      <c r="M6255" s="17" t="str">
        <f>IFERROR(__xludf.DUMMYFUNCTION("""COMPUTED_VALUE"""),"#REF!")</f>
        <v>#REF!</v>
      </c>
      <c r="N6255" s="17"/>
      <c r="O6255" s="17"/>
      <c r="P6255" s="17" t="b">
        <f>IFERROR(__xludf.DUMMYFUNCTION("""COMPUTED_VALUE"""),TRUE)</f>
        <v>1</v>
      </c>
      <c r="Q6255" s="20">
        <f>IFERROR(__xludf.DUMMYFUNCTION("""COMPUTED_VALUE"""),45181.490936585644)</f>
        <v>45181.49094</v>
      </c>
      <c r="R6255" s="21" t="str">
        <f>IFERROR(__xludf.DUMMYFUNCTION("""COMPUTED_VALUE"""),"https://drive.google.com/file/d/1XsBgz9XLzoAjmpB_4LK1RnXAwTxwbpLv/view?usp=drivesdk")</f>
        <v>https://drive.google.com/file/d/1XsBgz9XLzoAjmpB_4LK1RnXAwTxwbpLv/view?usp=drivesdk</v>
      </c>
    </row>
    <row r="6256">
      <c r="A6256" s="15">
        <f>IFERROR(__xludf.DUMMYFUNCTION("""COMPUTED_VALUE"""),45181.0)</f>
        <v>45181</v>
      </c>
      <c r="B6256" s="16" t="str">
        <f>IFERROR(__xludf.DUMMYFUNCTION("""COMPUTED_VALUE"""),"Deivi Alejandro Quintero Corrales")</f>
        <v>Deivi Alejandro Quintero Corrales</v>
      </c>
      <c r="C6256" s="15" t="str">
        <f>IFERROR(__xludf.DUMMYFUNCTION("""COMPUTED_VALUE"""),"PEREIRA")</f>
        <v>PEREIRA</v>
      </c>
      <c r="D6256" s="15" t="str">
        <f>IFERROR(__xludf.DUMMYFUNCTION("""COMPUTED_VALUE"""),"MEDELLÍN")</f>
        <v>MEDELLÍN</v>
      </c>
      <c r="E6256" s="15" t="str">
        <f>IFERROR(__xludf.DUMMYFUNCTION("""COMPUTED_VALUE"""),"Todo Bufala")</f>
        <v>Todo Bufala</v>
      </c>
      <c r="F6256" s="17" t="str">
        <f>IFERROR(__xludf.DUMMYFUNCTION("""COMPUTED_VALUE"""),"Cra 14 N 12-55 Circunvalar")</f>
        <v>Cra 14 N 12-55 Circunvalar</v>
      </c>
      <c r="G6256" s="15" t="str">
        <f>IFERROR(__xludf.DUMMYFUNCTION("""COMPUTED_VALUE"""),"Jeimy Jaramillo-Inversiones saludables vita SAS")</f>
        <v>Jeimy Jaramillo-Inversiones saludables vita SAS</v>
      </c>
      <c r="H6256" s="16">
        <f>IFERROR(__xludf.DUMMYFUNCTION("""COMPUTED_VALUE"""),14965.0)</f>
        <v>14965</v>
      </c>
      <c r="I6256" s="18">
        <f>IFERROR(__xludf.DUMMYFUNCTION("""COMPUTED_VALUE"""),20.0)</f>
        <v>20</v>
      </c>
      <c r="J6256" s="18">
        <f>IFERROR(__xludf.DUMMYFUNCTION("""COMPUTED_VALUE"""),30.0)</f>
        <v>30</v>
      </c>
      <c r="K6256" s="18">
        <f>IFERROR(__xludf.DUMMYFUNCTION("""COMPUTED_VALUE"""),40.0)</f>
        <v>40</v>
      </c>
      <c r="L6256" s="17">
        <f>IFERROR(__xludf.DUMMYFUNCTION("""COMPUTED_VALUE"""),3.14645528E9)</f>
        <v>3146455280</v>
      </c>
      <c r="M6256" s="17" t="str">
        <f>IFERROR(__xludf.DUMMYFUNCTION("""COMPUTED_VALUE"""),"#REF!")</f>
        <v>#REF!</v>
      </c>
      <c r="N6256" s="17"/>
      <c r="O6256" s="17"/>
      <c r="P6256" s="17" t="b">
        <f>IFERROR(__xludf.DUMMYFUNCTION("""COMPUTED_VALUE"""),TRUE)</f>
        <v>1</v>
      </c>
      <c r="Q6256" s="20">
        <f>IFERROR(__xludf.DUMMYFUNCTION("""COMPUTED_VALUE"""),45181.75643850694)</f>
        <v>45181.75644</v>
      </c>
      <c r="R6256" s="21" t="str">
        <f>IFERROR(__xludf.DUMMYFUNCTION("""COMPUTED_VALUE"""),"https://drive.google.com/file/d/1ilvZ09oRLZPTX5Uvnaj7Pmr78MCY8lxU/view?usp=drivesdk")</f>
        <v>https://drive.google.com/file/d/1ilvZ09oRLZPTX5Uvnaj7Pmr78MCY8lxU/view?usp=drivesdk</v>
      </c>
    </row>
    <row r="6257">
      <c r="A6257" s="15">
        <f>IFERROR(__xludf.DUMMYFUNCTION("""COMPUTED_VALUE"""),45181.0)</f>
        <v>45181</v>
      </c>
      <c r="B6257" s="16" t="str">
        <f>IFERROR(__xludf.DUMMYFUNCTION("""COMPUTED_VALUE"""),"Deivi Alejandro Quintero Corrales")</f>
        <v>Deivi Alejandro Quintero Corrales</v>
      </c>
      <c r="C6257" s="15" t="str">
        <f>IFERROR(__xludf.DUMMYFUNCTION("""COMPUTED_VALUE"""),"PEREIRA")</f>
        <v>PEREIRA</v>
      </c>
      <c r="D6257" s="15" t="str">
        <f>IFERROR(__xludf.DUMMYFUNCTION("""COMPUTED_VALUE"""),"MEDELLÍN")</f>
        <v>MEDELLÍN</v>
      </c>
      <c r="E6257" s="15" t="str">
        <f>IFERROR(__xludf.DUMMYFUNCTION("""COMPUTED_VALUE"""),"Vivente")</f>
        <v>Vivente</v>
      </c>
      <c r="F6257" s="17" t="str">
        <f>IFERROR(__xludf.DUMMYFUNCTION("""COMPUTED_VALUE"""),"Calle 82 avenida el Caucho # 39 - 07 Toledo, Pereira, Risaralda /  Torre 2 apto 701 / Conjunto Residencial Toledo.")</f>
        <v>Calle 82 avenida el Caucho # 39 - 07 Toledo, Pereira, Risaralda /  Torre 2 apto 701 / Conjunto Residencial Toledo.</v>
      </c>
      <c r="G6257" s="15" t="str">
        <f>IFERROR(__xludf.DUMMYFUNCTION("""COMPUTED_VALUE"""),"Juan Camilo Pabon")</f>
        <v>Juan Camilo Pabon</v>
      </c>
      <c r="H6257" s="16">
        <f>IFERROR(__xludf.DUMMYFUNCTION("""COMPUTED_VALUE"""),15069.0)</f>
        <v>15069</v>
      </c>
      <c r="I6257" s="18">
        <f>IFERROR(__xludf.DUMMYFUNCTION("""COMPUTED_VALUE"""),25.0)</f>
        <v>25</v>
      </c>
      <c r="J6257" s="18">
        <f>IFERROR(__xludf.DUMMYFUNCTION("""COMPUTED_VALUE"""),45047.0)</f>
        <v>45047</v>
      </c>
      <c r="K6257" s="18">
        <f>IFERROR(__xludf.DUMMYFUNCTION("""COMPUTED_VALUE"""),25.0)</f>
        <v>25</v>
      </c>
      <c r="L6257" s="17">
        <f>IFERROR(__xludf.DUMMYFUNCTION("""COMPUTED_VALUE"""),3.225965362E9)</f>
        <v>3225965362</v>
      </c>
      <c r="M6257" s="17" t="str">
        <f>IFERROR(__xludf.DUMMYFUNCTION("""COMPUTED_VALUE"""),"#REF!")</f>
        <v>#REF!</v>
      </c>
      <c r="N6257" s="17"/>
      <c r="O6257" s="17"/>
      <c r="P6257" s="17" t="b">
        <f>IFERROR(__xludf.DUMMYFUNCTION("""COMPUTED_VALUE"""),TRUE)</f>
        <v>1</v>
      </c>
      <c r="Q6257" s="20">
        <f>IFERROR(__xludf.DUMMYFUNCTION("""COMPUTED_VALUE"""),45181.62630236111)</f>
        <v>45181.6263</v>
      </c>
      <c r="R6257" s="21" t="str">
        <f>IFERROR(__xludf.DUMMYFUNCTION("""COMPUTED_VALUE"""),"https://drive.google.com/file/d/1vfATj_3tH6aVK1ppvVCYxYrYYcrwTlYn/view?usp=drivesdk")</f>
        <v>https://drive.google.com/file/d/1vfATj_3tH6aVK1ppvVCYxYrYYcrwTlYn/view?usp=drivesdk</v>
      </c>
    </row>
    <row r="6258">
      <c r="A6258" s="17" t="str">
        <f>IFERROR(__xludf.DUMMYFUNCTION("""COMPUTED_VALUE"""),"")</f>
        <v/>
      </c>
      <c r="B6258" s="17" t="str">
        <f>IFERROR(__xludf.DUMMYFUNCTION("""COMPUTED_VALUE"""),"")</f>
        <v/>
      </c>
      <c r="C6258" s="17" t="str">
        <f>IFERROR(__xludf.DUMMYFUNCTION("""COMPUTED_VALUE"""),"")</f>
        <v/>
      </c>
      <c r="D6258" s="17" t="str">
        <f>IFERROR(__xludf.DUMMYFUNCTION("""COMPUTED_VALUE"""),"")</f>
        <v/>
      </c>
      <c r="E6258" s="17" t="str">
        <f>IFERROR(__xludf.DUMMYFUNCTION("""COMPUTED_VALUE"""),"")</f>
        <v/>
      </c>
      <c r="F6258" s="17" t="str">
        <f>IFERROR(__xludf.DUMMYFUNCTION("""COMPUTED_VALUE"""),"")</f>
        <v/>
      </c>
      <c r="G6258" s="17" t="str">
        <f>IFERROR(__xludf.DUMMYFUNCTION("""COMPUTED_VALUE"""),"")</f>
        <v/>
      </c>
      <c r="H6258" s="17" t="str">
        <f>IFERROR(__xludf.DUMMYFUNCTION("""COMPUTED_VALUE"""),"")</f>
        <v/>
      </c>
      <c r="I6258" s="17" t="str">
        <f>IFERROR(__xludf.DUMMYFUNCTION("""COMPUTED_VALUE"""),"")</f>
        <v/>
      </c>
      <c r="J6258" s="17" t="str">
        <f>IFERROR(__xludf.DUMMYFUNCTION("""COMPUTED_VALUE"""),"")</f>
        <v/>
      </c>
      <c r="K6258" s="17" t="str">
        <f>IFERROR(__xludf.DUMMYFUNCTION("""COMPUTED_VALUE"""),"")</f>
        <v/>
      </c>
      <c r="L6258" s="17" t="str">
        <f>IFERROR(__xludf.DUMMYFUNCTION("""COMPUTED_VALUE"""),"")</f>
        <v/>
      </c>
      <c r="M6258" s="17" t="str">
        <f>IFERROR(__xludf.DUMMYFUNCTION("""COMPUTED_VALUE"""),"")</f>
        <v/>
      </c>
      <c r="N6258" s="17" t="str">
        <f>IFERROR(__xludf.DUMMYFUNCTION("""COMPUTED_VALUE"""),"")</f>
        <v/>
      </c>
      <c r="O6258" s="17" t="str">
        <f>IFERROR(__xludf.DUMMYFUNCTION("""COMPUTED_VALUE"""),"")</f>
        <v/>
      </c>
      <c r="P6258" s="17" t="str">
        <f>IFERROR(__xludf.DUMMYFUNCTION("""COMPUTED_VALUE"""),"")</f>
        <v/>
      </c>
      <c r="Q6258" s="17" t="str">
        <f>IFERROR(__xludf.DUMMYFUNCTION("""COMPUTED_VALUE"""),"")</f>
        <v/>
      </c>
      <c r="R6258" s="17" t="str">
        <f>IFERROR(__xludf.DUMMYFUNCTION("""COMPUTED_VALUE"""),"")</f>
        <v/>
      </c>
    </row>
    <row r="6259">
      <c r="A6259" s="15">
        <f>IFERROR(__xludf.DUMMYFUNCTION("""COMPUTED_VALUE"""),45181.0)</f>
        <v>45181</v>
      </c>
      <c r="B6259" s="16" t="str">
        <f>IFERROR(__xludf.DUMMYFUNCTION("""COMPUTED_VALUE"""),"Duvan Gabriel Alvarez Giron")</f>
        <v>Duvan Gabriel Alvarez Giron</v>
      </c>
      <c r="C6259" s="15" t="str">
        <f>IFERROR(__xludf.DUMMYFUNCTION("""COMPUTED_VALUE"""),"ARMENIA")</f>
        <v>ARMENIA</v>
      </c>
      <c r="D6259" s="15" t="str">
        <f>IFERROR(__xludf.DUMMYFUNCTION("""COMPUTED_VALUE"""),"BOGOTÁ")</f>
        <v>BOGOTÁ</v>
      </c>
      <c r="E6259" s="15" t="str">
        <f>IFERROR(__xludf.DUMMYFUNCTION("""COMPUTED_VALUE"""),"50 Gr Alfajores")</f>
        <v>50 Gr Alfajores</v>
      </c>
      <c r="F6259" s="17" t="str">
        <f>IFERROR(__xludf.DUMMYFUNCTION("""COMPUTED_VALUE"""),"Carrera 14 #11N-109,  / Torre Epic  / Apto 1211")</f>
        <v>Carrera 14 #11N-109,  / Torre Epic  / Apto 1211</v>
      </c>
      <c r="G6259" s="15" t="str">
        <f>IFERROR(__xludf.DUMMYFUNCTION("""COMPUTED_VALUE"""),"Pelaez Gallego Pablo")</f>
        <v>Pelaez Gallego Pablo</v>
      </c>
      <c r="H6259" s="16">
        <f>IFERROR(__xludf.DUMMYFUNCTION("""COMPUTED_VALUE"""),15005.0)</f>
        <v>15005</v>
      </c>
      <c r="I6259" s="18">
        <f>IFERROR(__xludf.DUMMYFUNCTION("""COMPUTED_VALUE"""),5.0)</f>
        <v>5</v>
      </c>
      <c r="J6259" s="18">
        <f>IFERROR(__xludf.DUMMYFUNCTION("""COMPUTED_VALUE"""),13.0)</f>
        <v>13</v>
      </c>
      <c r="K6259" s="18">
        <f>IFERROR(__xludf.DUMMYFUNCTION("""COMPUTED_VALUE"""),45064.0)</f>
        <v>45064</v>
      </c>
      <c r="L6259" s="17">
        <f>IFERROR(__xludf.DUMMYFUNCTION("""COMPUTED_VALUE"""),3.173743989E9)</f>
        <v>3173743989</v>
      </c>
      <c r="M6259" s="17" t="str">
        <f>IFERROR(__xludf.DUMMYFUNCTION("""COMPUTED_VALUE"""),"#REF!")</f>
        <v>#REF!</v>
      </c>
      <c r="N6259" s="17"/>
      <c r="O6259" s="17"/>
      <c r="P6259" s="17" t="b">
        <f>IFERROR(__xludf.DUMMYFUNCTION("""COMPUTED_VALUE"""),TRUE)</f>
        <v>1</v>
      </c>
      <c r="Q6259" s="20">
        <f>IFERROR(__xludf.DUMMYFUNCTION("""COMPUTED_VALUE"""),45181.60490118056)</f>
        <v>45181.6049</v>
      </c>
      <c r="R6259" s="21" t="str">
        <f>IFERROR(__xludf.DUMMYFUNCTION("""COMPUTED_VALUE"""),"https://drive.google.com/file/d/1M7qV1Bt4dfZAGVS8UWWq-yWyRIRZo1iP/view?usp=drivesdk")</f>
        <v>https://drive.google.com/file/d/1M7qV1Bt4dfZAGVS8UWWq-yWyRIRZo1iP/view?usp=drivesdk</v>
      </c>
    </row>
    <row r="6260">
      <c r="A6260" s="15">
        <f>IFERROR(__xludf.DUMMYFUNCTION("""COMPUTED_VALUE"""),45181.0)</f>
        <v>45181</v>
      </c>
      <c r="B6260" s="16" t="str">
        <f>IFERROR(__xludf.DUMMYFUNCTION("""COMPUTED_VALUE"""),"Duvan Gabriel Alvarez Giron")</f>
        <v>Duvan Gabriel Alvarez Giron</v>
      </c>
      <c r="C6260" s="15" t="str">
        <f>IFERROR(__xludf.DUMMYFUNCTION("""COMPUTED_VALUE"""),"ARMENIA")</f>
        <v>ARMENIA</v>
      </c>
      <c r="D6260" s="15" t="str">
        <f>IFERROR(__xludf.DUMMYFUNCTION("""COMPUTED_VALUE"""),"BOGOTÁ")</f>
        <v>BOGOTÁ</v>
      </c>
      <c r="E6260" s="15" t="str">
        <f>IFERROR(__xludf.DUMMYFUNCTION("""COMPUTED_VALUE"""),"Asociacion Agropecuaria Juana Maria")</f>
        <v>Asociacion Agropecuaria Juana Maria</v>
      </c>
      <c r="F6260" s="17" t="str">
        <f>IFERROR(__xludf.DUMMYFUNCTION("""COMPUTED_VALUE"""),"URBANIZACION ENTREVERDES MANZANA 8 CASA 7")</f>
        <v>URBANIZACION ENTREVERDES MANZANA 8 CASA 7</v>
      </c>
      <c r="G6260" s="15" t="str">
        <f>IFERROR(__xludf.DUMMYFUNCTION("""COMPUTED_VALUE"""),"Claudia Castillo")</f>
        <v>Claudia Castillo</v>
      </c>
      <c r="H6260" s="16">
        <f>IFERROR(__xludf.DUMMYFUNCTION("""COMPUTED_VALUE"""),15025.0)</f>
        <v>15025</v>
      </c>
      <c r="I6260" s="18">
        <f>IFERROR(__xludf.DUMMYFUNCTION("""COMPUTED_VALUE"""),17.0)</f>
        <v>17</v>
      </c>
      <c r="J6260" s="18">
        <f>IFERROR(__xludf.DUMMYFUNCTION("""COMPUTED_VALUE"""),37.0)</f>
        <v>37</v>
      </c>
      <c r="K6260" s="18">
        <f>IFERROR(__xludf.DUMMYFUNCTION("""COMPUTED_VALUE"""),28.0)</f>
        <v>28</v>
      </c>
      <c r="L6260" s="17">
        <f>IFERROR(__xludf.DUMMYFUNCTION("""COMPUTED_VALUE"""),3.20804821E9)</f>
        <v>3208048210</v>
      </c>
      <c r="M6260" s="17" t="str">
        <f>IFERROR(__xludf.DUMMYFUNCTION("""COMPUTED_VALUE"""),"#REF!")</f>
        <v>#REF!</v>
      </c>
      <c r="N6260" s="17"/>
      <c r="O6260" s="17"/>
      <c r="P6260" s="17" t="b">
        <f>IFERROR(__xludf.DUMMYFUNCTION("""COMPUTED_VALUE"""),TRUE)</f>
        <v>1</v>
      </c>
      <c r="Q6260" s="20">
        <f>IFERROR(__xludf.DUMMYFUNCTION("""COMPUTED_VALUE"""),45181.695142662036)</f>
        <v>45181.69514</v>
      </c>
      <c r="R6260" s="21" t="str">
        <f>IFERROR(__xludf.DUMMYFUNCTION("""COMPUTED_VALUE"""),"https://drive.google.com/file/d/16md5aPVjiAssJQH8X_hiE2q8R44bAS-4/view?usp=drivesdk")</f>
        <v>https://drive.google.com/file/d/16md5aPVjiAssJQH8X_hiE2q8R44bAS-4/view?usp=drivesdk</v>
      </c>
    </row>
    <row r="6261">
      <c r="A6261" s="15">
        <f>IFERROR(__xludf.DUMMYFUNCTION("""COMPUTED_VALUE"""),45181.0)</f>
        <v>45181</v>
      </c>
      <c r="B6261" s="16" t="str">
        <f>IFERROR(__xludf.DUMMYFUNCTION("""COMPUTED_VALUE"""),"Duvan Gabriel Alvarez Giron")</f>
        <v>Duvan Gabriel Alvarez Giron</v>
      </c>
      <c r="C6261" s="15" t="str">
        <f>IFERROR(__xludf.DUMMYFUNCTION("""COMPUTED_VALUE"""),"ARMENIA")</f>
        <v>ARMENIA</v>
      </c>
      <c r="D6261" s="15" t="str">
        <f>IFERROR(__xludf.DUMMYFUNCTION("""COMPUTED_VALUE"""),"BOGOTÁ")</f>
        <v>BOGOTÁ</v>
      </c>
      <c r="E6261" s="15" t="str">
        <f>IFERROR(__xludf.DUMMYFUNCTION("""COMPUTED_VALUE"""),"Viiva Fermentados")</f>
        <v>Viiva Fermentados</v>
      </c>
      <c r="F6261" s="17" t="str">
        <f>IFERROR(__xludf.DUMMYFUNCTION("""COMPUTED_VALUE"""),"Cra 15#22 norte -77 / local 13 / edificio oasis de laureles")</f>
        <v>Cra 15#22 norte -77 / local 13 / edificio oasis de laureles</v>
      </c>
      <c r="G6261" s="15" t="str">
        <f>IFERROR(__xludf.DUMMYFUNCTION("""COMPUTED_VALUE"""),"Tienda fitness eco")</f>
        <v>Tienda fitness eco</v>
      </c>
      <c r="H6261" s="16">
        <f>IFERROR(__xludf.DUMMYFUNCTION("""COMPUTED_VALUE"""),15032.0)</f>
        <v>15032</v>
      </c>
      <c r="I6261" s="18">
        <f>IFERROR(__xludf.DUMMYFUNCTION("""COMPUTED_VALUE"""),21.0)</f>
        <v>21</v>
      </c>
      <c r="J6261" s="18">
        <f>IFERROR(__xludf.DUMMYFUNCTION("""COMPUTED_VALUE"""),36.0)</f>
        <v>36</v>
      </c>
      <c r="K6261" s="18">
        <f>IFERROR(__xludf.DUMMYFUNCTION("""COMPUTED_VALUE"""),24.0)</f>
        <v>24</v>
      </c>
      <c r="L6261" s="17">
        <f>IFERROR(__xludf.DUMMYFUNCTION("""COMPUTED_VALUE"""),3.217007417E9)</f>
        <v>3217007417</v>
      </c>
      <c r="M6261" s="17" t="str">
        <f>IFERROR(__xludf.DUMMYFUNCTION("""COMPUTED_VALUE"""),"#REF!")</f>
        <v>#REF!</v>
      </c>
      <c r="N6261" s="17"/>
      <c r="O6261" s="17"/>
      <c r="P6261" s="17" t="b">
        <f>IFERROR(__xludf.DUMMYFUNCTION("""COMPUTED_VALUE"""),TRUE)</f>
        <v>1</v>
      </c>
      <c r="Q6261" s="20">
        <f>IFERROR(__xludf.DUMMYFUNCTION("""COMPUTED_VALUE"""),45181.624808611115)</f>
        <v>45181.62481</v>
      </c>
      <c r="R6261" s="22" t="str">
        <f>IFERROR(__xludf.DUMMYFUNCTION("""COMPUTED_VALUE"""),"")</f>
        <v/>
      </c>
    </row>
    <row r="6262">
      <c r="A6262" s="15">
        <f>IFERROR(__xludf.DUMMYFUNCTION("""COMPUTED_VALUE"""),45181.0)</f>
        <v>45181</v>
      </c>
      <c r="B6262" s="16" t="str">
        <f>IFERROR(__xludf.DUMMYFUNCTION("""COMPUTED_VALUE"""),"Duvan Gabriel Alvarez Giron")</f>
        <v>Duvan Gabriel Alvarez Giron</v>
      </c>
      <c r="C6262" s="15" t="str">
        <f>IFERROR(__xludf.DUMMYFUNCTION("""COMPUTED_VALUE"""),"ARMENIA")</f>
        <v>ARMENIA</v>
      </c>
      <c r="D6262" s="15" t="str">
        <f>IFERROR(__xludf.DUMMYFUNCTION("""COMPUTED_VALUE"""),"MEDELLÍN")</f>
        <v>MEDELLÍN</v>
      </c>
      <c r="E6262" s="15" t="str">
        <f>IFERROR(__xludf.DUMMYFUNCTION("""COMPUTED_VALUE"""),"Rambla")</f>
        <v>Rambla</v>
      </c>
      <c r="F6262" s="17" t="str">
        <f>IFERROR(__xludf.DUMMYFUNCTION("""COMPUTED_VALUE"""),"Cra 15 #22 norte 77 ed. Oasis de laureles local 1316 deagonal al teatro de la cruz roja Armenia / - / -")</f>
        <v>Cra 15 #22 norte 77 ed. Oasis de laureles local 1316 deagonal al teatro de la cruz roja Armenia / - / -</v>
      </c>
      <c r="G6262" s="15" t="str">
        <f>IFERROR(__xludf.DUMMYFUNCTION("""COMPUTED_VALUE"""),"Fitness Eco")</f>
        <v>Fitness Eco</v>
      </c>
      <c r="H6262" s="16">
        <f>IFERROR(__xludf.DUMMYFUNCTION("""COMPUTED_VALUE"""),15088.0)</f>
        <v>15088</v>
      </c>
      <c r="I6262" s="18">
        <f>IFERROR(__xludf.DUMMYFUNCTION("""COMPUTED_VALUE"""),24.0)</f>
        <v>24</v>
      </c>
      <c r="J6262" s="18">
        <f>IFERROR(__xludf.DUMMYFUNCTION("""COMPUTED_VALUE"""),24.0)</f>
        <v>24</v>
      </c>
      <c r="K6262" s="18">
        <f>IFERROR(__xludf.DUMMYFUNCTION("""COMPUTED_VALUE"""),12.0)</f>
        <v>12</v>
      </c>
      <c r="L6262" s="17">
        <f>IFERROR(__xludf.DUMMYFUNCTION("""COMPUTED_VALUE"""),3.217007417E9)</f>
        <v>3217007417</v>
      </c>
      <c r="M6262" s="17" t="str">
        <f>IFERROR(__xludf.DUMMYFUNCTION("""COMPUTED_VALUE"""),"#REF!")</f>
        <v>#REF!</v>
      </c>
      <c r="N6262" s="17"/>
      <c r="O6262" s="17"/>
      <c r="P6262" s="17" t="b">
        <f>IFERROR(__xludf.DUMMYFUNCTION("""COMPUTED_VALUE"""),TRUE)</f>
        <v>1</v>
      </c>
      <c r="Q6262" s="20">
        <f>IFERROR(__xludf.DUMMYFUNCTION("""COMPUTED_VALUE"""),45181.62473296296)</f>
        <v>45181.62473</v>
      </c>
      <c r="R6262" s="22" t="str">
        <f>IFERROR(__xludf.DUMMYFUNCTION("""COMPUTED_VALUE"""),"")</f>
        <v/>
      </c>
    </row>
    <row r="6263">
      <c r="A6263" s="15">
        <f>IFERROR(__xludf.DUMMYFUNCTION("""COMPUTED_VALUE"""),45181.0)</f>
        <v>45181</v>
      </c>
      <c r="B6263" s="16" t="str">
        <f>IFERROR(__xludf.DUMMYFUNCTION("""COMPUTED_VALUE"""),"Duvan Gabriel Alvarez Giron")</f>
        <v>Duvan Gabriel Alvarez Giron</v>
      </c>
      <c r="C6263" s="15" t="str">
        <f>IFERROR(__xludf.DUMMYFUNCTION("""COMPUTED_VALUE"""),"LA CEJA")</f>
        <v>LA CEJA</v>
      </c>
      <c r="D6263" s="15" t="str">
        <f>IFERROR(__xludf.DUMMYFUNCTION("""COMPUTED_VALUE"""),"BOGOTÁ")</f>
        <v>BOGOTÁ</v>
      </c>
      <c r="E6263" s="15" t="str">
        <f>IFERROR(__xludf.DUMMYFUNCTION("""COMPUTED_VALUE"""),"50 Gr Alfajores")</f>
        <v>50 Gr Alfajores</v>
      </c>
      <c r="F6263" s="17" t="str">
        <f>IFERROR(__xludf.DUMMYFUNCTION("""COMPUTED_VALUE"""),"Calle 27, 13-221  / casa 14 / LA CEJA")</f>
        <v>Calle 27, 13-221  / casa 14 / LA CEJA</v>
      </c>
      <c r="G6263" s="15" t="str">
        <f>IFERROR(__xludf.DUMMYFUNCTION("""COMPUTED_VALUE"""),"Sotelo Grajales Axel William")</f>
        <v>Sotelo Grajales Axel William</v>
      </c>
      <c r="H6263" s="16">
        <f>IFERROR(__xludf.DUMMYFUNCTION("""COMPUTED_VALUE"""),15021.0)</f>
        <v>15021</v>
      </c>
      <c r="I6263" s="18">
        <f>IFERROR(__xludf.DUMMYFUNCTION("""COMPUTED_VALUE"""),5.0)</f>
        <v>5</v>
      </c>
      <c r="J6263" s="18">
        <f>IFERROR(__xludf.DUMMYFUNCTION("""COMPUTED_VALUE"""),13.0)</f>
        <v>13</v>
      </c>
      <c r="K6263" s="18">
        <f>IFERROR(__xludf.DUMMYFUNCTION("""COMPUTED_VALUE"""),45064.0)</f>
        <v>45064</v>
      </c>
      <c r="L6263" s="17">
        <f>IFERROR(__xludf.DUMMYFUNCTION("""COMPUTED_VALUE"""),3.04466404E9)</f>
        <v>3044664040</v>
      </c>
      <c r="M6263" s="17" t="str">
        <f>IFERROR(__xludf.DUMMYFUNCTION("""COMPUTED_VALUE"""),"#REF!")</f>
        <v>#REF!</v>
      </c>
      <c r="N6263" s="17"/>
      <c r="O6263" s="17"/>
      <c r="P6263" s="17" t="b">
        <f>IFERROR(__xludf.DUMMYFUNCTION("""COMPUTED_VALUE"""),TRUE)</f>
        <v>1</v>
      </c>
      <c r="Q6263" s="20">
        <f>IFERROR(__xludf.DUMMYFUNCTION("""COMPUTED_VALUE"""),45181.75643851852)</f>
        <v>45181.75644</v>
      </c>
      <c r="R6263" s="22" t="str">
        <f>IFERROR(__xludf.DUMMYFUNCTION("""COMPUTED_VALUE"""),"")</f>
        <v/>
      </c>
    </row>
    <row r="6264">
      <c r="A6264" s="17" t="str">
        <f>IFERROR(__xludf.DUMMYFUNCTION("""COMPUTED_VALUE"""),"")</f>
        <v/>
      </c>
      <c r="B6264" s="17" t="str">
        <f>IFERROR(__xludf.DUMMYFUNCTION("""COMPUTED_VALUE"""),"")</f>
        <v/>
      </c>
      <c r="C6264" s="17" t="str">
        <f>IFERROR(__xludf.DUMMYFUNCTION("""COMPUTED_VALUE"""),"")</f>
        <v/>
      </c>
      <c r="D6264" s="17" t="str">
        <f>IFERROR(__xludf.DUMMYFUNCTION("""COMPUTED_VALUE"""),"")</f>
        <v/>
      </c>
      <c r="E6264" s="17" t="str">
        <f>IFERROR(__xludf.DUMMYFUNCTION("""COMPUTED_VALUE"""),"")</f>
        <v/>
      </c>
      <c r="F6264" s="17" t="str">
        <f>IFERROR(__xludf.DUMMYFUNCTION("""COMPUTED_VALUE"""),"")</f>
        <v/>
      </c>
      <c r="G6264" s="17" t="str">
        <f>IFERROR(__xludf.DUMMYFUNCTION("""COMPUTED_VALUE"""),"")</f>
        <v/>
      </c>
      <c r="H6264" s="17" t="str">
        <f>IFERROR(__xludf.DUMMYFUNCTION("""COMPUTED_VALUE"""),"")</f>
        <v/>
      </c>
      <c r="I6264" s="17" t="str">
        <f>IFERROR(__xludf.DUMMYFUNCTION("""COMPUTED_VALUE"""),"")</f>
        <v/>
      </c>
      <c r="J6264" s="17" t="str">
        <f>IFERROR(__xludf.DUMMYFUNCTION("""COMPUTED_VALUE"""),"")</f>
        <v/>
      </c>
      <c r="K6264" s="17" t="str">
        <f>IFERROR(__xludf.DUMMYFUNCTION("""COMPUTED_VALUE"""),"")</f>
        <v/>
      </c>
      <c r="L6264" s="17" t="str">
        <f>IFERROR(__xludf.DUMMYFUNCTION("""COMPUTED_VALUE"""),"")</f>
        <v/>
      </c>
      <c r="M6264" s="17" t="str">
        <f>IFERROR(__xludf.DUMMYFUNCTION("""COMPUTED_VALUE"""),"")</f>
        <v/>
      </c>
      <c r="N6264" s="17" t="str">
        <f>IFERROR(__xludf.DUMMYFUNCTION("""COMPUTED_VALUE"""),"")</f>
        <v/>
      </c>
      <c r="O6264" s="17" t="str">
        <f>IFERROR(__xludf.DUMMYFUNCTION("""COMPUTED_VALUE"""),"")</f>
        <v/>
      </c>
      <c r="P6264" s="17" t="str">
        <f>IFERROR(__xludf.DUMMYFUNCTION("""COMPUTED_VALUE"""),"")</f>
        <v/>
      </c>
      <c r="Q6264" s="17" t="str">
        <f>IFERROR(__xludf.DUMMYFUNCTION("""COMPUTED_VALUE"""),"")</f>
        <v/>
      </c>
      <c r="R6264" s="17" t="str">
        <f>IFERROR(__xludf.DUMMYFUNCTION("""COMPUTED_VALUE"""),"")</f>
        <v/>
      </c>
    </row>
    <row r="6265">
      <c r="A6265" s="15">
        <f>IFERROR(__xludf.DUMMYFUNCTION("""COMPUTED_VALUE"""),45181.0)</f>
        <v>45181</v>
      </c>
      <c r="B6265" s="16" t="str">
        <f>IFERROR(__xludf.DUMMYFUNCTION("""COMPUTED_VALUE"""),"Envia")</f>
        <v>Envia</v>
      </c>
      <c r="C6265" s="15" t="str">
        <f>IFERROR(__xludf.DUMMYFUNCTION("""COMPUTED_VALUE"""),"ARMENIA")</f>
        <v>ARMENIA</v>
      </c>
      <c r="D6265" s="15" t="str">
        <f>IFERROR(__xludf.DUMMYFUNCTION("""COMPUTED_VALUE"""),"BOGOTÁ")</f>
        <v>BOGOTÁ</v>
      </c>
      <c r="E6265" s="15" t="str">
        <f>IFERROR(__xludf.DUMMYFUNCTION("""COMPUTED_VALUE"""),"50 Gr Alfajores")</f>
        <v>50 Gr Alfajores</v>
      </c>
      <c r="F6265" s="17" t="str">
        <f>IFERROR(__xludf.DUMMYFUNCTION("""COMPUTED_VALUE"""),"Avenida Bolivar 50N-42,  / Mattiz, torre A,  / apto 802B")</f>
        <v>Avenida Bolivar 50N-42,  / Mattiz, torre A,  / apto 802B</v>
      </c>
      <c r="G6265" s="15" t="str">
        <f>IFERROR(__xludf.DUMMYFUNCTION("""COMPUTED_VALUE"""),"Hoyos Castro Dival Mauricio")</f>
        <v>Hoyos Castro Dival Mauricio</v>
      </c>
      <c r="H6265" s="16">
        <f>IFERROR(__xludf.DUMMYFUNCTION("""COMPUTED_VALUE"""),15004.0)</f>
        <v>15004</v>
      </c>
      <c r="I6265" s="18">
        <f>IFERROR(__xludf.DUMMYFUNCTION("""COMPUTED_VALUE"""),5.0)</f>
        <v>5</v>
      </c>
      <c r="J6265" s="18">
        <f>IFERROR(__xludf.DUMMYFUNCTION("""COMPUTED_VALUE"""),13.0)</f>
        <v>13</v>
      </c>
      <c r="K6265" s="18">
        <f>IFERROR(__xludf.DUMMYFUNCTION("""COMPUTED_VALUE"""),45064.0)</f>
        <v>45064</v>
      </c>
      <c r="L6265" s="17">
        <f>IFERROR(__xludf.DUMMYFUNCTION("""COMPUTED_VALUE"""),3.127465236E9)</f>
        <v>3127465236</v>
      </c>
      <c r="M6265" s="17" t="str">
        <f>IFERROR(__xludf.DUMMYFUNCTION("""COMPUTED_VALUE"""),"#REF!")</f>
        <v>#REF!</v>
      </c>
      <c r="N6265" s="17"/>
      <c r="O6265" s="17"/>
      <c r="P6265" s="17" t="b">
        <f>IFERROR(__xludf.DUMMYFUNCTION("""COMPUTED_VALUE"""),TRUE)</f>
        <v>1</v>
      </c>
      <c r="Q6265" s="20">
        <f>IFERROR(__xludf.DUMMYFUNCTION("""COMPUTED_VALUE"""),45181.62336974537)</f>
        <v>45181.62337</v>
      </c>
      <c r="R6265" s="21" t="str">
        <f>IFERROR(__xludf.DUMMYFUNCTION("""COMPUTED_VALUE"""),"https://drive.google.com/file/d/16y7C3d2ql73jAymNRVmLDTMDp3H3tlYY/view?usp=drivesdk")</f>
        <v>https://drive.google.com/file/d/16y7C3d2ql73jAymNRVmLDTMDp3H3tlYY/view?usp=drivesdk</v>
      </c>
    </row>
    <row r="6266">
      <c r="A6266" s="15">
        <f>IFERROR(__xludf.DUMMYFUNCTION("""COMPUTED_VALUE"""),45181.0)</f>
        <v>45181</v>
      </c>
      <c r="B6266" s="16" t="str">
        <f>IFERROR(__xludf.DUMMYFUNCTION("""COMPUTED_VALUE"""),"Envia")</f>
        <v>Envia</v>
      </c>
      <c r="C6266" s="15" t="str">
        <f>IFERROR(__xludf.DUMMYFUNCTION("""COMPUTED_VALUE"""),"ARMENIA")</f>
        <v>ARMENIA</v>
      </c>
      <c r="D6266" s="15" t="str">
        <f>IFERROR(__xludf.DUMMYFUNCTION("""COMPUTED_VALUE"""),"BOGOTÁ")</f>
        <v>BOGOTÁ</v>
      </c>
      <c r="E6266" s="15" t="str">
        <f>IFERROR(__xludf.DUMMYFUNCTION("""COMPUTED_VALUE"""),"50 Gr Alfajores")</f>
        <v>50 Gr Alfajores</v>
      </c>
      <c r="F6266" s="17" t="str">
        <f>IFERROR(__xludf.DUMMYFUNCTION("""COMPUTED_VALUE"""),"Carrera 14 Calle 9N-40,  / Apartamento 803,  / Mocawa Plaza")</f>
        <v>Carrera 14 Calle 9N-40,  / Apartamento 803,  / Mocawa Plaza</v>
      </c>
      <c r="G6266" s="15" t="str">
        <f>IFERROR(__xludf.DUMMYFUNCTION("""COMPUTED_VALUE"""),"Cachaya Bolívar Christian Giovani")</f>
        <v>Cachaya Bolívar Christian Giovani</v>
      </c>
      <c r="H6266" s="16">
        <f>IFERROR(__xludf.DUMMYFUNCTION("""COMPUTED_VALUE"""),15003.0)</f>
        <v>15003</v>
      </c>
      <c r="I6266" s="18">
        <f>IFERROR(__xludf.DUMMYFUNCTION("""COMPUTED_VALUE"""),5.0)</f>
        <v>5</v>
      </c>
      <c r="J6266" s="18">
        <f>IFERROR(__xludf.DUMMYFUNCTION("""COMPUTED_VALUE"""),13.0)</f>
        <v>13</v>
      </c>
      <c r="K6266" s="18">
        <f>IFERROR(__xludf.DUMMYFUNCTION("""COMPUTED_VALUE"""),45064.0)</f>
        <v>45064</v>
      </c>
      <c r="L6266" s="17">
        <f>IFERROR(__xludf.DUMMYFUNCTION("""COMPUTED_VALUE"""),3.2350157E9)</f>
        <v>3235015700</v>
      </c>
      <c r="M6266" s="17" t="str">
        <f>IFERROR(__xludf.DUMMYFUNCTION("""COMPUTED_VALUE"""),"#REF!")</f>
        <v>#REF!</v>
      </c>
      <c r="N6266" s="17"/>
      <c r="O6266" s="17"/>
      <c r="P6266" s="17" t="b">
        <f>IFERROR(__xludf.DUMMYFUNCTION("""COMPUTED_VALUE"""),TRUE)</f>
        <v>1</v>
      </c>
      <c r="Q6266" s="20">
        <f>IFERROR(__xludf.DUMMYFUNCTION("""COMPUTED_VALUE"""),45181.60490118056)</f>
        <v>45181.6049</v>
      </c>
      <c r="R6266" s="21" t="str">
        <f>IFERROR(__xludf.DUMMYFUNCTION("""COMPUTED_VALUE"""),"https://drive.google.com/file/d/1LcQZRz0CbuKSh3b0AyMCaY48ioL9afSC/view?usp=drivesdk")</f>
        <v>https://drive.google.com/file/d/1LcQZRz0CbuKSh3b0AyMCaY48ioL9afSC/view?usp=drivesdk</v>
      </c>
    </row>
    <row r="6267">
      <c r="A6267" s="15">
        <f>IFERROR(__xludf.DUMMYFUNCTION("""COMPUTED_VALUE"""),45181.0)</f>
        <v>45181</v>
      </c>
      <c r="B6267" s="16" t="str">
        <f>IFERROR(__xludf.DUMMYFUNCTION("""COMPUTED_VALUE"""),"Envia")</f>
        <v>Envia</v>
      </c>
      <c r="C6267" s="15" t="str">
        <f>IFERROR(__xludf.DUMMYFUNCTION("""COMPUTED_VALUE"""),"BUCARAMANGA")</f>
        <v>BUCARAMANGA</v>
      </c>
      <c r="D6267" s="15" t="str">
        <f>IFERROR(__xludf.DUMMYFUNCTION("""COMPUTED_VALUE"""),"BOGOTÁ")</f>
        <v>BOGOTÁ</v>
      </c>
      <c r="E6267" s="15" t="str">
        <f>IFERROR(__xludf.DUMMYFUNCTION("""COMPUTED_VALUE"""),"Viiva Fermentados")</f>
        <v>Viiva Fermentados</v>
      </c>
      <c r="F6267" s="17" t="str">
        <f>IFERROR(__xludf.DUMMYFUNCTION("""COMPUTED_VALUE"""),"Transversal 93 N° 34 ­ 99 / Centro comercial El Cacique  Local 424 y 425 / El Tejar")</f>
        <v>Transversal 93 N° 34 ­ 99 / Centro comercial El Cacique  Local 424 y 425 / El Tejar</v>
      </c>
      <c r="G6267" s="15" t="str">
        <f>IFERROR(__xludf.DUMMYFUNCTION("""COMPUTED_VALUE"""),"SENDA NATURAL")</f>
        <v>SENDA NATURAL</v>
      </c>
      <c r="H6267" s="16">
        <f>IFERROR(__xludf.DUMMYFUNCTION("""COMPUTED_VALUE"""),15031.0)</f>
        <v>15031</v>
      </c>
      <c r="I6267" s="18">
        <f>IFERROR(__xludf.DUMMYFUNCTION("""COMPUTED_VALUE"""),21.0)</f>
        <v>21</v>
      </c>
      <c r="J6267" s="18">
        <f>IFERROR(__xludf.DUMMYFUNCTION("""COMPUTED_VALUE"""),36.0)</f>
        <v>36</v>
      </c>
      <c r="K6267" s="18">
        <f>IFERROR(__xludf.DUMMYFUNCTION("""COMPUTED_VALUE"""),24.0)</f>
        <v>24</v>
      </c>
      <c r="L6267" s="17">
        <f>IFERROR(__xludf.DUMMYFUNCTION("""COMPUTED_VALUE"""),3.045967069E9)</f>
        <v>3045967069</v>
      </c>
      <c r="M6267" s="17" t="str">
        <f>IFERROR(__xludf.DUMMYFUNCTION("""COMPUTED_VALUE"""),"#REF!")</f>
        <v>#REF!</v>
      </c>
      <c r="N6267" s="17"/>
      <c r="O6267" s="17"/>
      <c r="P6267" s="17" t="b">
        <f>IFERROR(__xludf.DUMMYFUNCTION("""COMPUTED_VALUE"""),TRUE)</f>
        <v>1</v>
      </c>
      <c r="Q6267" s="20">
        <f>IFERROR(__xludf.DUMMYFUNCTION("""COMPUTED_VALUE"""),45181.62418105324)</f>
        <v>45181.62418</v>
      </c>
      <c r="R6267" s="22" t="str">
        <f>IFERROR(__xludf.DUMMYFUNCTION("""COMPUTED_VALUE"""),"")</f>
        <v/>
      </c>
    </row>
    <row r="6268">
      <c r="A6268" s="15">
        <f>IFERROR(__xludf.DUMMYFUNCTION("""COMPUTED_VALUE"""),45181.0)</f>
        <v>45181</v>
      </c>
      <c r="B6268" s="16" t="str">
        <f>IFERROR(__xludf.DUMMYFUNCTION("""COMPUTED_VALUE"""),"Envia")</f>
        <v>Envia</v>
      </c>
      <c r="C6268" s="15" t="str">
        <f>IFERROR(__xludf.DUMMYFUNCTION("""COMPUTED_VALUE"""),"BUCARAMANGA")</f>
        <v>BUCARAMANGA</v>
      </c>
      <c r="D6268" s="15" t="str">
        <f>IFERROR(__xludf.DUMMYFUNCTION("""COMPUTED_VALUE"""),"MEDELLÍN")</f>
        <v>MEDELLÍN</v>
      </c>
      <c r="E6268" s="15" t="str">
        <f>IFERROR(__xludf.DUMMYFUNCTION("""COMPUTED_VALUE"""),"Baby Chef")</f>
        <v>Baby Chef</v>
      </c>
      <c r="F6268" s="17" t="str">
        <f>IFERROR(__xludf.DUMMYFUNCTION("""COMPUTED_VALUE"""),"Transv. 154 150-26 T1 apto.1206 Torres del bosque Barrio Palomitas Municipio Floridablanca, Santander / Transv. 154 150-26 T1 apto.1206 Torres del bosque Barrio Palomitas Municipio Floridablanca, Santander / Transv. 154 150-26 T1 apto.1206 Torres del bosq"&amp;"ue Barrio Palomitas Municipio Floridablanca, Santander")</f>
        <v>Transv. 154 150-26 T1 apto.1206 Torres del bosque Barrio Palomitas Municipio Floridablanca, Santander / Transv. 154 150-26 T1 apto.1206 Torres del bosque Barrio Palomitas Municipio Floridablanca, Santander / Transv. 154 150-26 T1 apto.1206 Torres del bosque Barrio Palomitas Municipio Floridablanca, Santander</v>
      </c>
      <c r="G6268" s="15" t="str">
        <f>IFERROR(__xludf.DUMMYFUNCTION("""COMPUTED_VALUE"""),"Nelly Carolina Barajas")</f>
        <v>Nelly Carolina Barajas</v>
      </c>
      <c r="H6268" s="16">
        <f>IFERROR(__xludf.DUMMYFUNCTION("""COMPUTED_VALUE"""),15128.0)</f>
        <v>15128</v>
      </c>
      <c r="I6268" s="18">
        <f>IFERROR(__xludf.DUMMYFUNCTION("""COMPUTED_VALUE"""),11.0)</f>
        <v>11</v>
      </c>
      <c r="J6268" s="18">
        <f>IFERROR(__xludf.DUMMYFUNCTION("""COMPUTED_VALUE"""),22.0)</f>
        <v>22</v>
      </c>
      <c r="K6268" s="18">
        <f>IFERROR(__xludf.DUMMYFUNCTION("""COMPUTED_VALUE"""),33.0)</f>
        <v>33</v>
      </c>
      <c r="L6268" s="17">
        <f>IFERROR(__xludf.DUMMYFUNCTION("""COMPUTED_VALUE"""),3.014247493E9)</f>
        <v>3014247493</v>
      </c>
      <c r="M6268" s="17" t="str">
        <f>IFERROR(__xludf.DUMMYFUNCTION("""COMPUTED_VALUE"""),"#REF!")</f>
        <v>#REF!</v>
      </c>
      <c r="N6268" s="17"/>
      <c r="O6268" s="17"/>
      <c r="P6268" s="17" t="b">
        <f>IFERROR(__xludf.DUMMYFUNCTION("""COMPUTED_VALUE"""),TRUE)</f>
        <v>1</v>
      </c>
      <c r="Q6268" s="20">
        <f>IFERROR(__xludf.DUMMYFUNCTION("""COMPUTED_VALUE"""),45181.69914060185)</f>
        <v>45181.69914</v>
      </c>
      <c r="R6268" s="22" t="str">
        <f>IFERROR(__xludf.DUMMYFUNCTION("""COMPUTED_VALUE"""),"")</f>
        <v/>
      </c>
    </row>
    <row r="6269">
      <c r="A6269" s="15">
        <f>IFERROR(__xludf.DUMMYFUNCTION("""COMPUTED_VALUE"""),45181.0)</f>
        <v>45181</v>
      </c>
      <c r="B6269" s="16" t="str">
        <f>IFERROR(__xludf.DUMMYFUNCTION("""COMPUTED_VALUE"""),"Envia")</f>
        <v>Envia</v>
      </c>
      <c r="C6269" s="15" t="str">
        <f>IFERROR(__xludf.DUMMYFUNCTION("""COMPUTED_VALUE"""),"CALI")</f>
        <v>CALI</v>
      </c>
      <c r="D6269" s="15" t="str">
        <f>IFERROR(__xludf.DUMMYFUNCTION("""COMPUTED_VALUE"""),"BOGOTÁ")</f>
        <v>BOGOTÁ</v>
      </c>
      <c r="E6269" s="15" t="str">
        <f>IFERROR(__xludf.DUMMYFUNCTION("""COMPUTED_VALUE"""),"Evamazzita")</f>
        <v>Evamazzita</v>
      </c>
      <c r="F6269" s="17" t="str">
        <f>IFERROR(__xludf.DUMMYFUNCTION("""COMPUTED_VALUE"""),"Calle 13b # 37-86 / apto 101 bloque 2")</f>
        <v>Calle 13b # 37-86 / apto 101 bloque 2</v>
      </c>
      <c r="G6269" s="15" t="str">
        <f>IFERROR(__xludf.DUMMYFUNCTION("""COMPUTED_VALUE"""),"YENI ARISTIZABAL")</f>
        <v>YENI ARISTIZABAL</v>
      </c>
      <c r="H6269" s="16">
        <f>IFERROR(__xludf.DUMMYFUNCTION("""COMPUTED_VALUE"""),15107.0)</f>
        <v>15107</v>
      </c>
      <c r="I6269" s="18">
        <f>IFERROR(__xludf.DUMMYFUNCTION("""COMPUTED_VALUE"""),1.0)</f>
        <v>1</v>
      </c>
      <c r="J6269" s="18">
        <f>IFERROR(__xludf.DUMMYFUNCTION("""COMPUTED_VALUE"""),1.0)</f>
        <v>1</v>
      </c>
      <c r="K6269" s="18">
        <f>IFERROR(__xludf.DUMMYFUNCTION("""COMPUTED_VALUE"""),1.0)</f>
        <v>1</v>
      </c>
      <c r="L6269" s="17">
        <f>IFERROR(__xludf.DUMMYFUNCTION("""COMPUTED_VALUE"""),3.113816929E9)</f>
        <v>3113816929</v>
      </c>
      <c r="M6269" s="17" t="str">
        <f>IFERROR(__xludf.DUMMYFUNCTION("""COMPUTED_VALUE"""),"#REF!")</f>
        <v>#REF!</v>
      </c>
      <c r="N6269" s="17"/>
      <c r="O6269" s="17"/>
      <c r="P6269" s="17" t="b">
        <f>IFERROR(__xludf.DUMMYFUNCTION("""COMPUTED_VALUE"""),TRUE)</f>
        <v>1</v>
      </c>
      <c r="Q6269" s="20">
        <f>IFERROR(__xludf.DUMMYFUNCTION("""COMPUTED_VALUE"""),45181.67937164352)</f>
        <v>45181.67937</v>
      </c>
      <c r="R6269" s="21" t="str">
        <f>IFERROR(__xludf.DUMMYFUNCTION("""COMPUTED_VALUE"""),"https://drive.google.com/file/d/1tZNyGwpgqbceVNrjEWZ9zawjU9-evcUE/view?usp=drivesdk")</f>
        <v>https://drive.google.com/file/d/1tZNyGwpgqbceVNrjEWZ9zawjU9-evcUE/view?usp=drivesdk</v>
      </c>
    </row>
    <row r="6270">
      <c r="A6270" s="15">
        <f>IFERROR(__xludf.DUMMYFUNCTION("""COMPUTED_VALUE"""),45181.0)</f>
        <v>45181</v>
      </c>
      <c r="B6270" s="16" t="str">
        <f>IFERROR(__xludf.DUMMYFUNCTION("""COMPUTED_VALUE"""),"Envia")</f>
        <v>Envia</v>
      </c>
      <c r="C6270" s="15" t="str">
        <f>IFERROR(__xludf.DUMMYFUNCTION("""COMPUTED_VALUE"""),"EL CARMEN DE VIBORAL")</f>
        <v>EL CARMEN DE VIBORAL</v>
      </c>
      <c r="D6270" s="15" t="str">
        <f>IFERROR(__xludf.DUMMYFUNCTION("""COMPUTED_VALUE"""),"BOGOTÁ")</f>
        <v>BOGOTÁ</v>
      </c>
      <c r="E6270" s="15" t="str">
        <f>IFERROR(__xludf.DUMMYFUNCTION("""COMPUTED_VALUE"""),"50 Gr Alfajores")</f>
        <v>50 Gr Alfajores</v>
      </c>
      <c r="F6270" s="17" t="str">
        <f>IFERROR(__xludf.DUMMYFUNCTION("""COMPUTED_VALUE"""),"calle 21a # 32-29  / barrio ospina -  / Casa El Carmen")</f>
        <v>calle 21a # 32-29  / barrio ospina -  / Casa El Carmen</v>
      </c>
      <c r="G6270" s="15" t="str">
        <f>IFERROR(__xludf.DUMMYFUNCTION("""COMPUTED_VALUE"""),"Franco Flores Jonathan")</f>
        <v>Franco Flores Jonathan</v>
      </c>
      <c r="H6270" s="16">
        <f>IFERROR(__xludf.DUMMYFUNCTION("""COMPUTED_VALUE"""),15022.0)</f>
        <v>15022</v>
      </c>
      <c r="I6270" s="18">
        <f>IFERROR(__xludf.DUMMYFUNCTION("""COMPUTED_VALUE"""),5.0)</f>
        <v>5</v>
      </c>
      <c r="J6270" s="18">
        <f>IFERROR(__xludf.DUMMYFUNCTION("""COMPUTED_VALUE"""),13.0)</f>
        <v>13</v>
      </c>
      <c r="K6270" s="18">
        <f>IFERROR(__xludf.DUMMYFUNCTION("""COMPUTED_VALUE"""),45064.0)</f>
        <v>45064</v>
      </c>
      <c r="L6270" s="17">
        <f>IFERROR(__xludf.DUMMYFUNCTION("""COMPUTED_VALUE"""),3.104582047E9)</f>
        <v>3104582047</v>
      </c>
      <c r="M6270" s="17" t="str">
        <f>IFERROR(__xludf.DUMMYFUNCTION("""COMPUTED_VALUE"""),"#REF!")</f>
        <v>#REF!</v>
      </c>
      <c r="N6270" s="17"/>
      <c r="O6270" s="17"/>
      <c r="P6270" s="17" t="b">
        <f>IFERROR(__xludf.DUMMYFUNCTION("""COMPUTED_VALUE"""),TRUE)</f>
        <v>1</v>
      </c>
      <c r="Q6270" s="20">
        <f>IFERROR(__xludf.DUMMYFUNCTION("""COMPUTED_VALUE"""),45181.68930604166)</f>
        <v>45181.68931</v>
      </c>
      <c r="R6270" s="22" t="str">
        <f>IFERROR(__xludf.DUMMYFUNCTION("""COMPUTED_VALUE"""),"")</f>
        <v/>
      </c>
    </row>
    <row r="6271">
      <c r="A6271" s="15">
        <f>IFERROR(__xludf.DUMMYFUNCTION("""COMPUTED_VALUE"""),45181.0)</f>
        <v>45181</v>
      </c>
      <c r="B6271" s="16" t="str">
        <f>IFERROR(__xludf.DUMMYFUNCTION("""COMPUTED_VALUE"""),"Envia")</f>
        <v>Envia</v>
      </c>
      <c r="C6271" s="15" t="str">
        <f>IFERROR(__xludf.DUMMYFUNCTION("""COMPUTED_VALUE"""),"EL CARMEN DE VIBORAL")</f>
        <v>EL CARMEN DE VIBORAL</v>
      </c>
      <c r="D6271" s="15" t="str">
        <f>IFERROR(__xludf.DUMMYFUNCTION("""COMPUTED_VALUE"""),"BOGOTÁ")</f>
        <v>BOGOTÁ</v>
      </c>
      <c r="E6271" s="15" t="str">
        <f>IFERROR(__xludf.DUMMYFUNCTION("""COMPUTED_VALUE"""),"50 Gr Alfajores")</f>
        <v>50 Gr Alfajores</v>
      </c>
      <c r="F6271" s="17" t="str">
        <f>IFERROR(__xludf.DUMMYFUNCTION("""COMPUTED_VALUE"""),"CALLE 43C N 35B 70 / El Carmen / Ant")</f>
        <v>CALLE 43C N 35B 70 / El Carmen / Ant</v>
      </c>
      <c r="G6271" s="15" t="str">
        <f>IFERROR(__xludf.DUMMYFUNCTION("""COMPUTED_VALUE"""),"Castaño Gómez Jose Mateo")</f>
        <v>Castaño Gómez Jose Mateo</v>
      </c>
      <c r="H6271" s="16">
        <f>IFERROR(__xludf.DUMMYFUNCTION("""COMPUTED_VALUE"""),15023.0)</f>
        <v>15023</v>
      </c>
      <c r="I6271" s="18">
        <f>IFERROR(__xludf.DUMMYFUNCTION("""COMPUTED_VALUE"""),5.0)</f>
        <v>5</v>
      </c>
      <c r="J6271" s="18">
        <f>IFERROR(__xludf.DUMMYFUNCTION("""COMPUTED_VALUE"""),13.0)</f>
        <v>13</v>
      </c>
      <c r="K6271" s="18">
        <f>IFERROR(__xludf.DUMMYFUNCTION("""COMPUTED_VALUE"""),45064.0)</f>
        <v>45064</v>
      </c>
      <c r="L6271" s="17">
        <f>IFERROR(__xludf.DUMMYFUNCTION("""COMPUTED_VALUE"""),3.12267324E9)</f>
        <v>3122673240</v>
      </c>
      <c r="M6271" s="17" t="str">
        <f>IFERROR(__xludf.DUMMYFUNCTION("""COMPUTED_VALUE"""),"#REF!")</f>
        <v>#REF!</v>
      </c>
      <c r="N6271" s="17"/>
      <c r="O6271" s="17"/>
      <c r="P6271" s="17" t="b">
        <f>IFERROR(__xludf.DUMMYFUNCTION("""COMPUTED_VALUE"""),TRUE)</f>
        <v>1</v>
      </c>
      <c r="Q6271" s="20">
        <f>IFERROR(__xludf.DUMMYFUNCTION("""COMPUTED_VALUE"""),45181.69693450231)</f>
        <v>45181.69693</v>
      </c>
      <c r="R6271" s="22" t="str">
        <f>IFERROR(__xludf.DUMMYFUNCTION("""COMPUTED_VALUE"""),"")</f>
        <v/>
      </c>
    </row>
    <row r="6272">
      <c r="A6272" s="15">
        <f>IFERROR(__xludf.DUMMYFUNCTION("""COMPUTED_VALUE"""),45181.0)</f>
        <v>45181</v>
      </c>
      <c r="B6272" s="16" t="str">
        <f>IFERROR(__xludf.DUMMYFUNCTION("""COMPUTED_VALUE"""),"Envia")</f>
        <v>Envia</v>
      </c>
      <c r="C6272" s="15" t="str">
        <f>IFERROR(__xludf.DUMMYFUNCTION("""COMPUTED_VALUE"""),"IBAGUÉ")</f>
        <v>IBAGUÉ</v>
      </c>
      <c r="D6272" s="15" t="str">
        <f>IFERROR(__xludf.DUMMYFUNCTION("""COMPUTED_VALUE"""),"BOGOTÁ")</f>
        <v>BOGOTÁ</v>
      </c>
      <c r="E6272" s="15" t="str">
        <f>IFERROR(__xludf.DUMMYFUNCTION("""COMPUTED_VALUE"""),"Pan de Waffle")</f>
        <v>Pan de Waffle</v>
      </c>
      <c r="F6272" s="17" t="str">
        <f>IFERROR(__xludf.DUMMYFUNCTION("""COMPUTED_VALUE"""),"Carrera 6a # 61 - 71 Prados del Norte / Carrera 6a # 61 - 71 Prados del Norte / Carrera 6a # 61 - 71 Prados del Norte")</f>
        <v>Carrera 6a # 61 - 71 Prados del Norte / Carrera 6a # 61 - 71 Prados del Norte / Carrera 6a # 61 - 71 Prados del Norte</v>
      </c>
      <c r="G6272" s="15" t="str">
        <f>IFERROR(__xludf.DUMMYFUNCTION("""COMPUTED_VALUE"""),"SOY NATURAL SEDE LA 60")</f>
        <v>SOY NATURAL SEDE LA 60</v>
      </c>
      <c r="H6272" s="16">
        <f>IFERROR(__xludf.DUMMYFUNCTION("""COMPUTED_VALUE"""),15131.0)</f>
        <v>15131</v>
      </c>
      <c r="I6272" s="18">
        <f>IFERROR(__xludf.DUMMYFUNCTION("""COMPUTED_VALUE"""),40.0)</f>
        <v>40</v>
      </c>
      <c r="J6272" s="18">
        <f>IFERROR(__xludf.DUMMYFUNCTION("""COMPUTED_VALUE"""),40.0)</f>
        <v>40</v>
      </c>
      <c r="K6272" s="18">
        <f>IFERROR(__xludf.DUMMYFUNCTION("""COMPUTED_VALUE"""),40.0)</f>
        <v>40</v>
      </c>
      <c r="L6272" s="17">
        <f>IFERROR(__xludf.DUMMYFUNCTION("""COMPUTED_VALUE"""),3.183851902E9)</f>
        <v>3183851902</v>
      </c>
      <c r="M6272" s="17" t="str">
        <f>IFERROR(__xludf.DUMMYFUNCTION("""COMPUTED_VALUE"""),"#REF!")</f>
        <v>#REF!</v>
      </c>
      <c r="N6272" s="17"/>
      <c r="O6272" s="17"/>
      <c r="P6272" s="17" t="b">
        <f>IFERROR(__xludf.DUMMYFUNCTION("""COMPUTED_VALUE"""),TRUE)</f>
        <v>1</v>
      </c>
      <c r="Q6272" s="20">
        <f>IFERROR(__xludf.DUMMYFUNCTION("""COMPUTED_VALUE"""),45181.69108481481)</f>
        <v>45181.69108</v>
      </c>
      <c r="R6272" s="21" t="str">
        <f>IFERROR(__xludf.DUMMYFUNCTION("""COMPUTED_VALUE"""),"https://drive.google.com/file/d/1PbrjXCs3uxDlWCOF03NH3FTuA3WbE8F4/view?usp=drivesdk")</f>
        <v>https://drive.google.com/file/d/1PbrjXCs3uxDlWCOF03NH3FTuA3WbE8F4/view?usp=drivesdk</v>
      </c>
    </row>
    <row r="6273">
      <c r="A6273" s="15">
        <f>IFERROR(__xludf.DUMMYFUNCTION("""COMPUTED_VALUE"""),45181.0)</f>
        <v>45181</v>
      </c>
      <c r="B6273" s="16" t="str">
        <f>IFERROR(__xludf.DUMMYFUNCTION("""COMPUTED_VALUE"""),"Envia")</f>
        <v>Envia</v>
      </c>
      <c r="C6273" s="15" t="str">
        <f>IFERROR(__xludf.DUMMYFUNCTION("""COMPUTED_VALUE"""),"LA CEJA")</f>
        <v>LA CEJA</v>
      </c>
      <c r="D6273" s="15" t="str">
        <f>IFERROR(__xludf.DUMMYFUNCTION("""COMPUTED_VALUE"""),"BOGOTÁ")</f>
        <v>BOGOTÁ</v>
      </c>
      <c r="E6273" s="15" t="str">
        <f>IFERROR(__xludf.DUMMYFUNCTION("""COMPUTED_VALUE"""),"50 Gr Alfajores")</f>
        <v>50 Gr Alfajores</v>
      </c>
      <c r="F6273" s="17" t="str">
        <f>IFERROR(__xludf.DUMMYFUNCTION("""COMPUTED_VALUE"""),"CALLE 13 No 18 - 20  / Barrio Villa Lorca / La Ceja")</f>
        <v>CALLE 13 No 18 - 20  / Barrio Villa Lorca / La Ceja</v>
      </c>
      <c r="G6273" s="15" t="str">
        <f>IFERROR(__xludf.DUMMYFUNCTION("""COMPUTED_VALUE"""),"Londoño Zuluaga Elizabeth")</f>
        <v>Londoño Zuluaga Elizabeth</v>
      </c>
      <c r="H6273" s="16">
        <f>IFERROR(__xludf.DUMMYFUNCTION("""COMPUTED_VALUE"""),15020.0)</f>
        <v>15020</v>
      </c>
      <c r="I6273" s="18">
        <f>IFERROR(__xludf.DUMMYFUNCTION("""COMPUTED_VALUE"""),5.0)</f>
        <v>5</v>
      </c>
      <c r="J6273" s="18">
        <f>IFERROR(__xludf.DUMMYFUNCTION("""COMPUTED_VALUE"""),13.0)</f>
        <v>13</v>
      </c>
      <c r="K6273" s="18">
        <f>IFERROR(__xludf.DUMMYFUNCTION("""COMPUTED_VALUE"""),45064.0)</f>
        <v>45064</v>
      </c>
      <c r="L6273" s="17">
        <f>IFERROR(__xludf.DUMMYFUNCTION("""COMPUTED_VALUE"""),3.014348316E9)</f>
        <v>3014348316</v>
      </c>
      <c r="M6273" s="17" t="str">
        <f>IFERROR(__xludf.DUMMYFUNCTION("""COMPUTED_VALUE"""),"#REF!")</f>
        <v>#REF!</v>
      </c>
      <c r="N6273" s="17"/>
      <c r="O6273" s="17"/>
      <c r="P6273" s="17" t="b">
        <f>IFERROR(__xludf.DUMMYFUNCTION("""COMPUTED_VALUE"""),TRUE)</f>
        <v>1</v>
      </c>
      <c r="Q6273" s="20">
        <f>IFERROR(__xludf.DUMMYFUNCTION("""COMPUTED_VALUE"""),45181.60490118056)</f>
        <v>45181.6049</v>
      </c>
      <c r="R6273" s="22" t="str">
        <f>IFERROR(__xludf.DUMMYFUNCTION("""COMPUTED_VALUE"""),"")</f>
        <v/>
      </c>
    </row>
    <row r="6274">
      <c r="A6274" s="15">
        <f>IFERROR(__xludf.DUMMYFUNCTION("""COMPUTED_VALUE"""),45181.0)</f>
        <v>45181</v>
      </c>
      <c r="B6274" s="16" t="str">
        <f>IFERROR(__xludf.DUMMYFUNCTION("""COMPUTED_VALUE"""),"Envia")</f>
        <v>Envia</v>
      </c>
      <c r="C6274" s="15" t="str">
        <f>IFERROR(__xludf.DUMMYFUNCTION("""COMPUTED_VALUE"""),"MARINILLA")</f>
        <v>MARINILLA</v>
      </c>
      <c r="D6274" s="15" t="str">
        <f>IFERROR(__xludf.DUMMYFUNCTION("""COMPUTED_VALUE"""),"BOGOTÁ")</f>
        <v>BOGOTÁ</v>
      </c>
      <c r="E6274" s="15" t="str">
        <f>IFERROR(__xludf.DUMMYFUNCTION("""COMPUTED_VALUE"""),"50 Gr Alfajores")</f>
        <v>50 Gr Alfajores</v>
      </c>
      <c r="F6274" s="17" t="str">
        <f>IFERROR(__xludf.DUMMYFUNCTION("""COMPUTED_VALUE"""),"Calle 29 # 34-16 / MARINILLA / ANT")</f>
        <v>Calle 29 # 34-16 / MARINILLA / ANT</v>
      </c>
      <c r="G6274" s="15" t="str">
        <f>IFERROR(__xludf.DUMMYFUNCTION("""COMPUTED_VALUE"""),"Jaramillo Ramírez Leon David")</f>
        <v>Jaramillo Ramírez Leon David</v>
      </c>
      <c r="H6274" s="16">
        <f>IFERROR(__xludf.DUMMYFUNCTION("""COMPUTED_VALUE"""),15019.0)</f>
        <v>15019</v>
      </c>
      <c r="I6274" s="18">
        <f>IFERROR(__xludf.DUMMYFUNCTION("""COMPUTED_VALUE"""),5.0)</f>
        <v>5</v>
      </c>
      <c r="J6274" s="18">
        <f>IFERROR(__xludf.DUMMYFUNCTION("""COMPUTED_VALUE"""),13.0)</f>
        <v>13</v>
      </c>
      <c r="K6274" s="18">
        <f>IFERROR(__xludf.DUMMYFUNCTION("""COMPUTED_VALUE"""),45064.0)</f>
        <v>45064</v>
      </c>
      <c r="L6274" s="17">
        <f>IFERROR(__xludf.DUMMYFUNCTION("""COMPUTED_VALUE"""),3.217649711E9)</f>
        <v>3217649711</v>
      </c>
      <c r="M6274" s="17" t="str">
        <f>IFERROR(__xludf.DUMMYFUNCTION("""COMPUTED_VALUE"""),"#REF!")</f>
        <v>#REF!</v>
      </c>
      <c r="N6274" s="17"/>
      <c r="O6274" s="17"/>
      <c r="P6274" s="17" t="b">
        <f>IFERROR(__xludf.DUMMYFUNCTION("""COMPUTED_VALUE"""),TRUE)</f>
        <v>1</v>
      </c>
      <c r="Q6274" s="20">
        <f>IFERROR(__xludf.DUMMYFUNCTION("""COMPUTED_VALUE"""),45181.69187296296)</f>
        <v>45181.69187</v>
      </c>
      <c r="R6274" s="22" t="str">
        <f>IFERROR(__xludf.DUMMYFUNCTION("""COMPUTED_VALUE"""),"")</f>
        <v/>
      </c>
    </row>
    <row r="6275">
      <c r="A6275" s="15">
        <f>IFERROR(__xludf.DUMMYFUNCTION("""COMPUTED_VALUE"""),45181.0)</f>
        <v>45181</v>
      </c>
      <c r="B6275" s="16" t="str">
        <f>IFERROR(__xludf.DUMMYFUNCTION("""COMPUTED_VALUE"""),"Envia")</f>
        <v>Envia</v>
      </c>
      <c r="C6275" s="15" t="str">
        <f>IFERROR(__xludf.DUMMYFUNCTION("""COMPUTED_VALUE"""),"MEDELLÍN")</f>
        <v>MEDELLÍN</v>
      </c>
      <c r="D6275" s="15" t="str">
        <f>IFERROR(__xludf.DUMMYFUNCTION("""COMPUTED_VALUE"""),"BOGOTÁ")</f>
        <v>BOGOTÁ</v>
      </c>
      <c r="E6275" s="15" t="str">
        <f>IFERROR(__xludf.DUMMYFUNCTION("""COMPUTED_VALUE"""),"Asociacion Agropecuaria Juana Maria")</f>
        <v>Asociacion Agropecuaria Juana Maria</v>
      </c>
      <c r="F6275" s="17" t="str">
        <f>IFERROR(__xludf.DUMMYFUNCTION("""COMPUTED_VALUE"""),"CALLE 33AA # 78ª-124 APTO 301 EDIFICIO ONTARIO LAURELES")</f>
        <v>CALLE 33AA # 78ª-124 APTO 301 EDIFICIO ONTARIO LAURELES</v>
      </c>
      <c r="G6275" s="15" t="str">
        <f>IFERROR(__xludf.DUMMYFUNCTION("""COMPUTED_VALUE"""),"Yuliana Lopez")</f>
        <v>Yuliana Lopez</v>
      </c>
      <c r="H6275" s="16">
        <f>IFERROR(__xludf.DUMMYFUNCTION("""COMPUTED_VALUE"""),14988.0)</f>
        <v>14988</v>
      </c>
      <c r="I6275" s="18">
        <f>IFERROR(__xludf.DUMMYFUNCTION("""COMPUTED_VALUE"""),21.0)</f>
        <v>21</v>
      </c>
      <c r="J6275" s="18">
        <f>IFERROR(__xludf.DUMMYFUNCTION("""COMPUTED_VALUE"""),37.0)</f>
        <v>37</v>
      </c>
      <c r="K6275" s="18">
        <f>IFERROR(__xludf.DUMMYFUNCTION("""COMPUTED_VALUE"""),30.0)</f>
        <v>30</v>
      </c>
      <c r="L6275" s="17">
        <f>IFERROR(__xludf.DUMMYFUNCTION("""COMPUTED_VALUE"""),3.136078393E9)</f>
        <v>3136078393</v>
      </c>
      <c r="M6275" s="17" t="str">
        <f>IFERROR(__xludf.DUMMYFUNCTION("""COMPUTED_VALUE"""),"#REF!")</f>
        <v>#REF!</v>
      </c>
      <c r="N6275" s="17"/>
      <c r="O6275" s="17"/>
      <c r="P6275" s="17" t="b">
        <f>IFERROR(__xludf.DUMMYFUNCTION("""COMPUTED_VALUE"""),TRUE)</f>
        <v>1</v>
      </c>
      <c r="Q6275" s="20">
        <f>IFERROR(__xludf.DUMMYFUNCTION("""COMPUTED_VALUE"""),45181.69348659722)</f>
        <v>45181.69349</v>
      </c>
      <c r="R6275" s="22" t="str">
        <f>IFERROR(__xludf.DUMMYFUNCTION("""COMPUTED_VALUE"""),"")</f>
        <v/>
      </c>
    </row>
    <row r="6276">
      <c r="A6276" s="15">
        <f>IFERROR(__xludf.DUMMYFUNCTION("""COMPUTED_VALUE"""),45181.0)</f>
        <v>45181</v>
      </c>
      <c r="B6276" s="16" t="str">
        <f>IFERROR(__xludf.DUMMYFUNCTION("""COMPUTED_VALUE"""),"Envia")</f>
        <v>Envia</v>
      </c>
      <c r="C6276" s="15" t="str">
        <f>IFERROR(__xludf.DUMMYFUNCTION("""COMPUTED_VALUE"""),"MEDELLÍN")</f>
        <v>MEDELLÍN</v>
      </c>
      <c r="D6276" s="15" t="str">
        <f>IFERROR(__xludf.DUMMYFUNCTION("""COMPUTED_VALUE"""),"BOGOTÁ")</f>
        <v>BOGOTÁ</v>
      </c>
      <c r="E6276" s="15" t="str">
        <f>IFERROR(__xludf.DUMMYFUNCTION("""COMPUTED_VALUE"""),"Asociacion Agropecuaria Juana Maria")</f>
        <v>Asociacion Agropecuaria Juana Maria</v>
      </c>
      <c r="F6276" s="17" t="str">
        <f>IFERROR(__xludf.DUMMYFUNCTION("""COMPUTED_VALUE"""),"Carrera 15 BA # 30D-44 int 201")</f>
        <v>Carrera 15 BA # 30D-44 int 201</v>
      </c>
      <c r="G6276" s="15" t="str">
        <f>IFERROR(__xludf.DUMMYFUNCTION("""COMPUTED_VALUE"""),"Daniela Bedoya Blandon")</f>
        <v>Daniela Bedoya Blandon</v>
      </c>
      <c r="H6276" s="16">
        <f>IFERROR(__xludf.DUMMYFUNCTION("""COMPUTED_VALUE"""),14982.0)</f>
        <v>14982</v>
      </c>
      <c r="I6276" s="18">
        <f>IFERROR(__xludf.DUMMYFUNCTION("""COMPUTED_VALUE"""),21.0)</f>
        <v>21</v>
      </c>
      <c r="J6276" s="18">
        <f>IFERROR(__xludf.DUMMYFUNCTION("""COMPUTED_VALUE"""),37.0)</f>
        <v>37</v>
      </c>
      <c r="K6276" s="18">
        <f>IFERROR(__xludf.DUMMYFUNCTION("""COMPUTED_VALUE"""),30.0)</f>
        <v>30</v>
      </c>
      <c r="L6276" s="17">
        <f>IFERROR(__xludf.DUMMYFUNCTION("""COMPUTED_VALUE"""),3.14672822E9)</f>
        <v>3146728220</v>
      </c>
      <c r="M6276" s="17" t="str">
        <f>IFERROR(__xludf.DUMMYFUNCTION("""COMPUTED_VALUE"""),"#REF!")</f>
        <v>#REF!</v>
      </c>
      <c r="N6276" s="17"/>
      <c r="O6276" s="17"/>
      <c r="P6276" s="17" t="b">
        <f>IFERROR(__xludf.DUMMYFUNCTION("""COMPUTED_VALUE"""),TRUE)</f>
        <v>1</v>
      </c>
      <c r="Q6276" s="20">
        <f>IFERROR(__xludf.DUMMYFUNCTION("""COMPUTED_VALUE"""),45181.69283210648)</f>
        <v>45181.69283</v>
      </c>
      <c r="R6276" s="22" t="str">
        <f>IFERROR(__xludf.DUMMYFUNCTION("""COMPUTED_VALUE"""),"")</f>
        <v/>
      </c>
    </row>
    <row r="6277">
      <c r="A6277" s="15">
        <f>IFERROR(__xludf.DUMMYFUNCTION("""COMPUTED_VALUE"""),45181.0)</f>
        <v>45181</v>
      </c>
      <c r="B6277" s="16" t="str">
        <f>IFERROR(__xludf.DUMMYFUNCTION("""COMPUTED_VALUE"""),"Envia")</f>
        <v>Envia</v>
      </c>
      <c r="C6277" s="15" t="str">
        <f>IFERROR(__xludf.DUMMYFUNCTION("""COMPUTED_VALUE"""),"MEDELLÍN")</f>
        <v>MEDELLÍN</v>
      </c>
      <c r="D6277" s="15" t="str">
        <f>IFERROR(__xludf.DUMMYFUNCTION("""COMPUTED_VALUE"""),"BOGOTÁ")</f>
        <v>BOGOTÁ</v>
      </c>
      <c r="E6277" s="15" t="str">
        <f>IFERROR(__xludf.DUMMYFUNCTION("""COMPUTED_VALUE"""),"Asociacion Agropecuaria Juana Maria")</f>
        <v>Asociacion Agropecuaria Juana Maria</v>
      </c>
      <c r="F627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6277" s="15" t="str">
        <f>IFERROR(__xludf.DUMMYFUNCTION("""COMPUTED_VALUE"""),"Jennifer Sanchez Blandon")</f>
        <v>Jennifer Sanchez Blandon</v>
      </c>
      <c r="H6277" s="16">
        <f>IFERROR(__xludf.DUMMYFUNCTION("""COMPUTED_VALUE"""),14994.0)</f>
        <v>14994</v>
      </c>
      <c r="I6277" s="18">
        <f>IFERROR(__xludf.DUMMYFUNCTION("""COMPUTED_VALUE"""),21.0)</f>
        <v>21</v>
      </c>
      <c r="J6277" s="18">
        <f>IFERROR(__xludf.DUMMYFUNCTION("""COMPUTED_VALUE"""),37.0)</f>
        <v>37</v>
      </c>
      <c r="K6277" s="18">
        <f>IFERROR(__xludf.DUMMYFUNCTION("""COMPUTED_VALUE"""),30.0)</f>
        <v>30</v>
      </c>
      <c r="L6277" s="17">
        <f>IFERROR(__xludf.DUMMYFUNCTION("""COMPUTED_VALUE"""),3.016937674E9)</f>
        <v>3016937674</v>
      </c>
      <c r="M6277" s="17" t="str">
        <f>IFERROR(__xludf.DUMMYFUNCTION("""COMPUTED_VALUE"""),"#REF!")</f>
        <v>#REF!</v>
      </c>
      <c r="N6277" s="17"/>
      <c r="O6277" s="17"/>
      <c r="P6277" s="17" t="b">
        <f>IFERROR(__xludf.DUMMYFUNCTION("""COMPUTED_VALUE"""),FALSE)</f>
        <v>0</v>
      </c>
      <c r="Q6277" s="20" t="str">
        <f>IFERROR(__xludf.DUMMYFUNCTION("""COMPUTED_VALUE"""),"")</f>
        <v/>
      </c>
      <c r="R6277" s="22" t="str">
        <f>IFERROR(__xludf.DUMMYFUNCTION("""COMPUTED_VALUE"""),"")</f>
        <v/>
      </c>
    </row>
    <row r="6278">
      <c r="A6278" s="15">
        <f>IFERROR(__xludf.DUMMYFUNCTION("""COMPUTED_VALUE"""),45181.0)</f>
        <v>45181</v>
      </c>
      <c r="B6278" s="16" t="str">
        <f>IFERROR(__xludf.DUMMYFUNCTION("""COMPUTED_VALUE"""),"Envia")</f>
        <v>Envia</v>
      </c>
      <c r="C6278" s="15" t="str">
        <f>IFERROR(__xludf.DUMMYFUNCTION("""COMPUTED_VALUE"""),"MEDELLÍN")</f>
        <v>MEDELLÍN</v>
      </c>
      <c r="D6278" s="15" t="str">
        <f>IFERROR(__xludf.DUMMYFUNCTION("""COMPUTED_VALUE"""),"BOGOTÁ")</f>
        <v>BOGOTÁ</v>
      </c>
      <c r="E6278" s="15" t="str">
        <f>IFERROR(__xludf.DUMMYFUNCTION("""COMPUTED_VALUE"""),"Evamazzita")</f>
        <v>Evamazzita</v>
      </c>
      <c r="F6278" s="17" t="str">
        <f>IFERROR(__xludf.DUMMYFUNCTION("""COMPUTED_VALUE"""),"CRA 15 BA No. 34D - 44 / INT 201")</f>
        <v>CRA 15 BA No. 34D - 44 / INT 201</v>
      </c>
      <c r="G6278" s="15" t="str">
        <f>IFERROR(__xludf.DUMMYFUNCTION("""COMPUTED_VALUE"""),"DANIELA BEDOYA BLANDON")</f>
        <v>DANIELA BEDOYA BLANDON</v>
      </c>
      <c r="H6278" s="16">
        <f>IFERROR(__xludf.DUMMYFUNCTION("""COMPUTED_VALUE"""),15095.0)</f>
        <v>15095</v>
      </c>
      <c r="I6278" s="18">
        <f>IFERROR(__xludf.DUMMYFUNCTION("""COMPUTED_VALUE"""),1.0)</f>
        <v>1</v>
      </c>
      <c r="J6278" s="18">
        <f>IFERROR(__xludf.DUMMYFUNCTION("""COMPUTED_VALUE"""),1.0)</f>
        <v>1</v>
      </c>
      <c r="K6278" s="18">
        <f>IFERROR(__xludf.DUMMYFUNCTION("""COMPUTED_VALUE"""),1.0)</f>
        <v>1</v>
      </c>
      <c r="L6278" s="17">
        <f>IFERROR(__xludf.DUMMYFUNCTION("""COMPUTED_VALUE"""),3.14672822E9)</f>
        <v>3146728220</v>
      </c>
      <c r="M6278" s="17" t="str">
        <f>IFERROR(__xludf.DUMMYFUNCTION("""COMPUTED_VALUE"""),"#REF!")</f>
        <v>#REF!</v>
      </c>
      <c r="N6278" s="17"/>
      <c r="O6278" s="17"/>
      <c r="P6278" s="17" t="b">
        <f>IFERROR(__xludf.DUMMYFUNCTION("""COMPUTED_VALUE"""),FALSE)</f>
        <v>0</v>
      </c>
      <c r="Q6278" s="20" t="str">
        <f>IFERROR(__xludf.DUMMYFUNCTION("""COMPUTED_VALUE"""),"")</f>
        <v/>
      </c>
      <c r="R6278" s="22" t="str">
        <f>IFERROR(__xludf.DUMMYFUNCTION("""COMPUTED_VALUE"""),"")</f>
        <v/>
      </c>
    </row>
    <row r="6279">
      <c r="A6279" s="15">
        <f>IFERROR(__xludf.DUMMYFUNCTION("""COMPUTED_VALUE"""),45181.0)</f>
        <v>45181</v>
      </c>
      <c r="B6279" s="16" t="str">
        <f>IFERROR(__xludf.DUMMYFUNCTION("""COMPUTED_VALUE"""),"Envia")</f>
        <v>Envia</v>
      </c>
      <c r="C6279" s="15" t="str">
        <f>IFERROR(__xludf.DUMMYFUNCTION("""COMPUTED_VALUE"""),"MEDELLÍN")</f>
        <v>MEDELLÍN</v>
      </c>
      <c r="D6279" s="15" t="str">
        <f>IFERROR(__xludf.DUMMYFUNCTION("""COMPUTED_VALUE"""),"BOGOTÁ")</f>
        <v>BOGOTÁ</v>
      </c>
      <c r="E6279" s="15" t="str">
        <f>IFERROR(__xludf.DUMMYFUNCTION("""COMPUTED_VALUE"""),"Ins. Alimento Vital")</f>
        <v>Ins. Alimento Vital</v>
      </c>
      <c r="F6279" s="17" t="str">
        <f>IFERROR(__xludf.DUMMYFUNCTION("""COMPUTED_VALUE"""),"CR 44 26 27 / BODEGA / EL POBLADO")</f>
        <v>CR 44 26 27 / BODEGA / EL POBLADO</v>
      </c>
      <c r="G6279" s="15" t="str">
        <f>IFERROR(__xludf.DUMMYFUNCTION("""COMPUTED_VALUE"""),"VELOCITY MEDELLIN")</f>
        <v>VELOCITY MEDELLIN</v>
      </c>
      <c r="H6279" s="16">
        <f>IFERROR(__xludf.DUMMYFUNCTION("""COMPUTED_VALUE"""),15065.0)</f>
        <v>15065</v>
      </c>
      <c r="I6279" s="18">
        <f>IFERROR(__xludf.DUMMYFUNCTION("""COMPUTED_VALUE"""),1.0)</f>
        <v>1</v>
      </c>
      <c r="J6279" s="18">
        <f>IFERROR(__xludf.DUMMYFUNCTION("""COMPUTED_VALUE"""),1.0)</f>
        <v>1</v>
      </c>
      <c r="K6279" s="18">
        <f>IFERROR(__xludf.DUMMYFUNCTION("""COMPUTED_VALUE"""),1.0)</f>
        <v>1</v>
      </c>
      <c r="L6279" s="17">
        <f>IFERROR(__xludf.DUMMYFUNCTION("""COMPUTED_VALUE"""),3.214683372E9)</f>
        <v>3214683372</v>
      </c>
      <c r="M6279" s="17" t="str">
        <f>IFERROR(__xludf.DUMMYFUNCTION("""COMPUTED_VALUE"""),"#REF!")</f>
        <v>#REF!</v>
      </c>
      <c r="N6279" s="17"/>
      <c r="O6279" s="17"/>
      <c r="P6279" s="17" t="b">
        <f>IFERROR(__xludf.DUMMYFUNCTION("""COMPUTED_VALUE"""),FALSE)</f>
        <v>0</v>
      </c>
      <c r="Q6279" s="20" t="str">
        <f>IFERROR(__xludf.DUMMYFUNCTION("""COMPUTED_VALUE"""),"")</f>
        <v/>
      </c>
      <c r="R6279" s="22" t="str">
        <f>IFERROR(__xludf.DUMMYFUNCTION("""COMPUTED_VALUE"""),"")</f>
        <v/>
      </c>
    </row>
    <row r="6280">
      <c r="A6280" s="15">
        <f>IFERROR(__xludf.DUMMYFUNCTION("""COMPUTED_VALUE"""),45181.0)</f>
        <v>45181</v>
      </c>
      <c r="B6280" s="16" t="str">
        <f>IFERROR(__xludf.DUMMYFUNCTION("""COMPUTED_VALUE"""),"Envia")</f>
        <v>Envia</v>
      </c>
      <c r="C6280" s="15" t="str">
        <f>IFERROR(__xludf.DUMMYFUNCTION("""COMPUTED_VALUE"""),"MEDELLÍN")</f>
        <v>MEDELLÍN</v>
      </c>
      <c r="D6280" s="15" t="str">
        <f>IFERROR(__xludf.DUMMYFUNCTION("""COMPUTED_VALUE"""),"BOGOTÁ")</f>
        <v>BOGOTÁ</v>
      </c>
      <c r="E6280" s="15" t="str">
        <f>IFERROR(__xludf.DUMMYFUNCTION("""COMPUTED_VALUE"""),"Mochi")</f>
        <v>Mochi</v>
      </c>
      <c r="F6280" s="17" t="str">
        <f>IFERROR(__xludf.DUMMYFUNCTION("""COMPUTED_VALUE"""),"Cra. 48 #32B Sur-139,  / Zona 1, /  Envigado, Antioquia")</f>
        <v>Cra. 48 #32B Sur-139,  / Zona 1, /  Envigado, Antioquia</v>
      </c>
      <c r="G6280" s="15" t="str">
        <f>IFERROR(__xludf.DUMMYFUNCTION("""COMPUTED_VALUE"""),"Tania vellojin")</f>
        <v>Tania vellojin</v>
      </c>
      <c r="H6280" s="16">
        <f>IFERROR(__xludf.DUMMYFUNCTION("""COMPUTED_VALUE"""),15134.0)</f>
        <v>15134</v>
      </c>
      <c r="I6280" s="18">
        <f>IFERROR(__xludf.DUMMYFUNCTION("""COMPUTED_VALUE"""),55.0)</f>
        <v>55</v>
      </c>
      <c r="J6280" s="18">
        <f>IFERROR(__xludf.DUMMYFUNCTION("""COMPUTED_VALUE"""),45.0)</f>
        <v>45</v>
      </c>
      <c r="K6280" s="18" t="str">
        <f>IFERROR(__xludf.DUMMYFUNCTION("""COMPUTED_VALUE"""),"52.5")</f>
        <v>52.5</v>
      </c>
      <c r="L6280" s="17">
        <f>IFERROR(__xludf.DUMMYFUNCTION("""COMPUTED_VALUE"""),3.142587995E9)</f>
        <v>3142587995</v>
      </c>
      <c r="M6280" s="17" t="str">
        <f>IFERROR(__xludf.DUMMYFUNCTION("""COMPUTED_VALUE"""),"#REF!")</f>
        <v>#REF!</v>
      </c>
      <c r="N6280" s="17"/>
      <c r="O6280" s="17"/>
      <c r="P6280" s="17" t="b">
        <f>IFERROR(__xludf.DUMMYFUNCTION("""COMPUTED_VALUE"""),FALSE)</f>
        <v>0</v>
      </c>
      <c r="Q6280" s="20" t="str">
        <f>IFERROR(__xludf.DUMMYFUNCTION("""COMPUTED_VALUE"""),"")</f>
        <v/>
      </c>
      <c r="R6280" s="22" t="str">
        <f>IFERROR(__xludf.DUMMYFUNCTION("""COMPUTED_VALUE"""),"")</f>
        <v/>
      </c>
    </row>
    <row r="6281">
      <c r="A6281" s="15">
        <f>IFERROR(__xludf.DUMMYFUNCTION("""COMPUTED_VALUE"""),45181.0)</f>
        <v>45181</v>
      </c>
      <c r="B6281" s="16" t="str">
        <f>IFERROR(__xludf.DUMMYFUNCTION("""COMPUTED_VALUE"""),"Envia")</f>
        <v>Envia</v>
      </c>
      <c r="C6281" s="15" t="str">
        <f>IFERROR(__xludf.DUMMYFUNCTION("""COMPUTED_VALUE"""),"MEDELLÍN")</f>
        <v>MEDELLÍN</v>
      </c>
      <c r="D6281" s="15" t="str">
        <f>IFERROR(__xludf.DUMMYFUNCTION("""COMPUTED_VALUE"""),"BOGOTÁ")</f>
        <v>BOGOTÁ</v>
      </c>
      <c r="E6281" s="15" t="str">
        <f>IFERROR(__xludf.DUMMYFUNCTION("""COMPUTED_VALUE"""),"Pan de Waffle")</f>
        <v>Pan de Waffle</v>
      </c>
      <c r="F6281" s="17" t="str">
        <f>IFERROR(__xludf.DUMMYFUNCTION("""COMPUTED_VALUE"""),"Carrera 39 # 59 - 32 / Carrera 39 # 59 - 32 / Carrera 39 # 59 - 32")</f>
        <v>Carrera 39 # 59 - 32 / Carrera 39 # 59 - 32 / Carrera 39 # 59 - 32</v>
      </c>
      <c r="G6281" s="15" t="str">
        <f>IFERROR(__xludf.DUMMYFUNCTION("""COMPUTED_VALUE"""),"FOODOLOGY MEDELLIN")</f>
        <v>FOODOLOGY MEDELLIN</v>
      </c>
      <c r="H6281" s="16">
        <f>IFERROR(__xludf.DUMMYFUNCTION("""COMPUTED_VALUE"""),15122.0)</f>
        <v>15122</v>
      </c>
      <c r="I6281" s="18">
        <f>IFERROR(__xludf.DUMMYFUNCTION("""COMPUTED_VALUE"""),30.0)</f>
        <v>30</v>
      </c>
      <c r="J6281" s="18">
        <f>IFERROR(__xludf.DUMMYFUNCTION("""COMPUTED_VALUE"""),40.0)</f>
        <v>40</v>
      </c>
      <c r="K6281" s="18">
        <f>IFERROR(__xludf.DUMMYFUNCTION("""COMPUTED_VALUE"""),30.0)</f>
        <v>30</v>
      </c>
      <c r="L6281" s="17">
        <f>IFERROR(__xludf.DUMMYFUNCTION("""COMPUTED_VALUE"""),3.123558292E9)</f>
        <v>3123558292</v>
      </c>
      <c r="M6281" s="17" t="str">
        <f>IFERROR(__xludf.DUMMYFUNCTION("""COMPUTED_VALUE"""),"#REF!")</f>
        <v>#REF!</v>
      </c>
      <c r="N6281" s="17"/>
      <c r="O6281" s="17"/>
      <c r="P6281" s="17" t="b">
        <f>IFERROR(__xludf.DUMMYFUNCTION("""COMPUTED_VALUE"""),TRUE)</f>
        <v>1</v>
      </c>
      <c r="Q6281" s="20">
        <f>IFERROR(__xludf.DUMMYFUNCTION("""COMPUTED_VALUE"""),45181.75643851852)</f>
        <v>45181.75644</v>
      </c>
      <c r="R6281" s="22" t="str">
        <f>IFERROR(__xludf.DUMMYFUNCTION("""COMPUTED_VALUE"""),"")</f>
        <v/>
      </c>
    </row>
    <row r="6282">
      <c r="A6282" s="15">
        <f>IFERROR(__xludf.DUMMYFUNCTION("""COMPUTED_VALUE"""),45181.0)</f>
        <v>45181</v>
      </c>
      <c r="B6282" s="16" t="str">
        <f>IFERROR(__xludf.DUMMYFUNCTION("""COMPUTED_VALUE"""),"Envia")</f>
        <v>Envia</v>
      </c>
      <c r="C6282" s="15" t="str">
        <f>IFERROR(__xludf.DUMMYFUNCTION("""COMPUTED_VALUE"""),"MEDELLÍN")</f>
        <v>MEDELLÍN</v>
      </c>
      <c r="D6282" s="15" t="str">
        <f>IFERROR(__xludf.DUMMYFUNCTION("""COMPUTED_VALUE"""),"BOGOTÁ")</f>
        <v>BOGOTÁ</v>
      </c>
      <c r="E6282" s="15" t="str">
        <f>IFERROR(__xludf.DUMMYFUNCTION("""COMPUTED_VALUE"""),"Pan de Waffle")</f>
        <v>Pan de Waffle</v>
      </c>
      <c r="F6282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6282" s="15" t="str">
        <f>IFERROR(__xludf.DUMMYFUNCTION("""COMPUTED_VALUE"""),"VITA INTEGRAL")</f>
        <v>VITA INTEGRAL</v>
      </c>
      <c r="H6282" s="16">
        <f>IFERROR(__xludf.DUMMYFUNCTION("""COMPUTED_VALUE"""),15129.0)</f>
        <v>15129</v>
      </c>
      <c r="I6282" s="18">
        <f>IFERROR(__xludf.DUMMYFUNCTION("""COMPUTED_VALUE"""),30.0)</f>
        <v>30</v>
      </c>
      <c r="J6282" s="18">
        <f>IFERROR(__xludf.DUMMYFUNCTION("""COMPUTED_VALUE"""),40.0)</f>
        <v>40</v>
      </c>
      <c r="K6282" s="18">
        <f>IFERROR(__xludf.DUMMYFUNCTION("""COMPUTED_VALUE"""),40.0)</f>
        <v>40</v>
      </c>
      <c r="L6282" s="17">
        <f>IFERROR(__xludf.DUMMYFUNCTION("""COMPUTED_VALUE"""),3.20865425E9)</f>
        <v>3208654250</v>
      </c>
      <c r="M6282" s="17" t="str">
        <f>IFERROR(__xludf.DUMMYFUNCTION("""COMPUTED_VALUE"""),"#REF!")</f>
        <v>#REF!</v>
      </c>
      <c r="N6282" s="17"/>
      <c r="O6282" s="17"/>
      <c r="P6282" s="17" t="b">
        <f>IFERROR(__xludf.DUMMYFUNCTION("""COMPUTED_VALUE"""),FALSE)</f>
        <v>0</v>
      </c>
      <c r="Q6282" s="20" t="str">
        <f>IFERROR(__xludf.DUMMYFUNCTION("""COMPUTED_VALUE"""),"")</f>
        <v/>
      </c>
      <c r="R6282" s="22" t="str">
        <f>IFERROR(__xludf.DUMMYFUNCTION("""COMPUTED_VALUE"""),"")</f>
        <v/>
      </c>
    </row>
    <row r="6283">
      <c r="A6283" s="15">
        <f>IFERROR(__xludf.DUMMYFUNCTION("""COMPUTED_VALUE"""),45181.0)</f>
        <v>45181</v>
      </c>
      <c r="B6283" s="16" t="str">
        <f>IFERROR(__xludf.DUMMYFUNCTION("""COMPUTED_VALUE"""),"Envia")</f>
        <v>Envia</v>
      </c>
      <c r="C6283" s="15" t="str">
        <f>IFERROR(__xludf.DUMMYFUNCTION("""COMPUTED_VALUE"""),"MEDELLÍN")</f>
        <v>MEDELLÍN</v>
      </c>
      <c r="D6283" s="15" t="str">
        <f>IFERROR(__xludf.DUMMYFUNCTION("""COMPUTED_VALUE"""),"BOGOTÁ")</f>
        <v>BOGOTÁ</v>
      </c>
      <c r="E6283" s="15" t="str">
        <f>IFERROR(__xludf.DUMMYFUNCTION("""COMPUTED_VALUE"""),"Spirulina Fresca")</f>
        <v>Spirulina Fresca</v>
      </c>
      <c r="F6283" s="17" t="str">
        <f>IFERROR(__xludf.DUMMYFUNCTION("""COMPUTED_VALUE"""),"Calle 5 F #30-101    / Urbanización villa del Poblado Apto 204 / El poblado")</f>
        <v>Calle 5 F #30-101    / Urbanización villa del Poblado Apto 204 / El poblado</v>
      </c>
      <c r="G6283" s="15" t="str">
        <f>IFERROR(__xludf.DUMMYFUNCTION("""COMPUTED_VALUE"""),"Isabel Estrada")</f>
        <v>Isabel Estrada</v>
      </c>
      <c r="H6283" s="16">
        <f>IFERROR(__xludf.DUMMYFUNCTION("""COMPUTED_VALUE"""),15070.0)</f>
        <v>15070</v>
      </c>
      <c r="I6283" s="18">
        <f>IFERROR(__xludf.DUMMYFUNCTION("""COMPUTED_VALUE"""),15.0)</f>
        <v>15</v>
      </c>
      <c r="J6283" s="18">
        <f>IFERROR(__xludf.DUMMYFUNCTION("""COMPUTED_VALUE"""),10.0)</f>
        <v>10</v>
      </c>
      <c r="K6283" s="18">
        <f>IFERROR(__xludf.DUMMYFUNCTION("""COMPUTED_VALUE"""),15.0)</f>
        <v>15</v>
      </c>
      <c r="L6283" s="17">
        <f>IFERROR(__xludf.DUMMYFUNCTION("""COMPUTED_VALUE"""),3.207257377E9)</f>
        <v>3207257377</v>
      </c>
      <c r="M6283" s="17" t="str">
        <f>IFERROR(__xludf.DUMMYFUNCTION("""COMPUTED_VALUE"""),"#REF!")</f>
        <v>#REF!</v>
      </c>
      <c r="N6283" s="17"/>
      <c r="O6283" s="17"/>
      <c r="P6283" s="17" t="b">
        <f>IFERROR(__xludf.DUMMYFUNCTION("""COMPUTED_VALUE"""),FALSE)</f>
        <v>0</v>
      </c>
      <c r="Q6283" s="20" t="str">
        <f>IFERROR(__xludf.DUMMYFUNCTION("""COMPUTED_VALUE"""),"")</f>
        <v/>
      </c>
      <c r="R6283" s="21" t="str">
        <f>IFERROR(__xludf.DUMMYFUNCTION("""COMPUTED_VALUE"""),"https://drive.google.com/file/d/1OEzOkBxn9l70IoICtYg4nKB5f8ManMLG/view?usp=drivesdk")</f>
        <v>https://drive.google.com/file/d/1OEzOkBxn9l70IoICtYg4nKB5f8ManMLG/view?usp=drivesdk</v>
      </c>
    </row>
    <row r="6284">
      <c r="A6284" s="15">
        <f>IFERROR(__xludf.DUMMYFUNCTION("""COMPUTED_VALUE"""),45181.0)</f>
        <v>45181</v>
      </c>
      <c r="B6284" s="16" t="str">
        <f>IFERROR(__xludf.DUMMYFUNCTION("""COMPUTED_VALUE"""),"Envia")</f>
        <v>Envia</v>
      </c>
      <c r="C6284" s="15" t="str">
        <f>IFERROR(__xludf.DUMMYFUNCTION("""COMPUTED_VALUE"""),"MEDELLÍN")</f>
        <v>MEDELLÍN</v>
      </c>
      <c r="D6284" s="15" t="str">
        <f>IFERROR(__xludf.DUMMYFUNCTION("""COMPUTED_VALUE"""),"BOGOTÁ")</f>
        <v>BOGOTÁ</v>
      </c>
      <c r="E6284" s="15" t="str">
        <f>IFERROR(__xludf.DUMMYFUNCTION("""COMPUTED_VALUE"""),"Ventura Productos Arg")</f>
        <v>Ventura Productos Arg</v>
      </c>
      <c r="F6284" s="17" t="str">
        <f>IFERROR(__xludf.DUMMYFUNCTION("""COMPUTED_VALUE"""),"Parque residencial cedro verde Kilómetro 12 vía las palmas casa 72 / Casa 72")</f>
        <v>Parque residencial cedro verde Kilómetro 12 vía las palmas casa 72 / Casa 72</v>
      </c>
      <c r="G6284" s="15" t="str">
        <f>IFERROR(__xludf.DUMMYFUNCTION("""COMPUTED_VALUE"""),"Juan Carlos Villa")</f>
        <v>Juan Carlos Villa</v>
      </c>
      <c r="H6284" s="16">
        <f>IFERROR(__xludf.DUMMYFUNCTION("""COMPUTED_VALUE"""),14956.0)</f>
        <v>14956</v>
      </c>
      <c r="I6284" s="18">
        <f>IFERROR(__xludf.DUMMYFUNCTION("""COMPUTED_VALUE"""),3.0)</f>
        <v>3</v>
      </c>
      <c r="J6284" s="18">
        <f>IFERROR(__xludf.DUMMYFUNCTION("""COMPUTED_VALUE"""),45060.0)</f>
        <v>45060</v>
      </c>
      <c r="K6284" s="18">
        <f>IFERROR(__xludf.DUMMYFUNCTION("""COMPUTED_VALUE"""),22.0)</f>
        <v>22</v>
      </c>
      <c r="L6284" s="17" t="str">
        <f>IFERROR(__xludf.DUMMYFUNCTION("""COMPUTED_VALUE"""),"310 4420399")</f>
        <v>310 4420399</v>
      </c>
      <c r="M6284" s="17" t="str">
        <f>IFERROR(__xludf.DUMMYFUNCTION("""COMPUTED_VALUE"""),"#REF!")</f>
        <v>#REF!</v>
      </c>
      <c r="N6284" s="17"/>
      <c r="O6284" s="17"/>
      <c r="P6284" s="17" t="b">
        <f>IFERROR(__xludf.DUMMYFUNCTION("""COMPUTED_VALUE"""),FALSE)</f>
        <v>0</v>
      </c>
      <c r="Q6284" s="20" t="str">
        <f>IFERROR(__xludf.DUMMYFUNCTION("""COMPUTED_VALUE"""),"")</f>
        <v/>
      </c>
      <c r="R6284" s="21" t="str">
        <f>IFERROR(__xludf.DUMMYFUNCTION("""COMPUTED_VALUE"""),"https://drive.google.com/file/d/16TvYduu3Cc32VmRf0J3QT8G8DnpqCWkX/view?usp=drivesdk")</f>
        <v>https://drive.google.com/file/d/16TvYduu3Cc32VmRf0J3QT8G8DnpqCWkX/view?usp=drivesdk</v>
      </c>
    </row>
    <row r="6285">
      <c r="A6285" s="15">
        <f>IFERROR(__xludf.DUMMYFUNCTION("""COMPUTED_VALUE"""),45181.0)</f>
        <v>45181</v>
      </c>
      <c r="B6285" s="16" t="str">
        <f>IFERROR(__xludf.DUMMYFUNCTION("""COMPUTED_VALUE"""),"Envia")</f>
        <v>Envia</v>
      </c>
      <c r="C6285" s="15" t="str">
        <f>IFERROR(__xludf.DUMMYFUNCTION("""COMPUTED_VALUE"""),"PALMIRA")</f>
        <v>PALMIRA</v>
      </c>
      <c r="D6285" s="15" t="str">
        <f>IFERROR(__xludf.DUMMYFUNCTION("""COMPUTED_VALUE"""),"BOGOTÁ")</f>
        <v>BOGOTÁ</v>
      </c>
      <c r="E6285" s="15" t="str">
        <f>IFERROR(__xludf.DUMMYFUNCTION("""COMPUTED_VALUE"""),"50 Gr Alfajores")</f>
        <v>50 Gr Alfajores</v>
      </c>
      <c r="F6285" s="17" t="str">
        <f>IFERROR(__xludf.DUMMYFUNCTION("""COMPUTED_VALUE"""),"Calle 36#3-68 / Palmira  / Valle")</f>
        <v>Calle 36#3-68 / Palmira  / Valle</v>
      </c>
      <c r="G6285" s="15" t="str">
        <f>IFERROR(__xludf.DUMMYFUNCTION("""COMPUTED_VALUE"""),"Castro Botina Oscar Marino")</f>
        <v>Castro Botina Oscar Marino</v>
      </c>
      <c r="H6285" s="16">
        <f>IFERROR(__xludf.DUMMYFUNCTION("""COMPUTED_VALUE"""),14986.0)</f>
        <v>14986</v>
      </c>
      <c r="I6285" s="18">
        <f>IFERROR(__xludf.DUMMYFUNCTION("""COMPUTED_VALUE"""),5.0)</f>
        <v>5</v>
      </c>
      <c r="J6285" s="18">
        <f>IFERROR(__xludf.DUMMYFUNCTION("""COMPUTED_VALUE"""),13.0)</f>
        <v>13</v>
      </c>
      <c r="K6285" s="18">
        <f>IFERROR(__xludf.DUMMYFUNCTION("""COMPUTED_VALUE"""),45064.0)</f>
        <v>45064</v>
      </c>
      <c r="L6285" s="17">
        <f>IFERROR(__xludf.DUMMYFUNCTION("""COMPUTED_VALUE"""),3.103777879E9)</f>
        <v>3103777879</v>
      </c>
      <c r="M6285" s="17" t="str">
        <f>IFERROR(__xludf.DUMMYFUNCTION("""COMPUTED_VALUE"""),"#REF!")</f>
        <v>#REF!</v>
      </c>
      <c r="N6285" s="17"/>
      <c r="O6285" s="17"/>
      <c r="P6285" s="17" t="b">
        <f>IFERROR(__xludf.DUMMYFUNCTION("""COMPUTED_VALUE"""),FALSE)</f>
        <v>0</v>
      </c>
      <c r="Q6285" s="20" t="str">
        <f>IFERROR(__xludf.DUMMYFUNCTION("""COMPUTED_VALUE"""),"")</f>
        <v/>
      </c>
      <c r="R6285" s="21" t="str">
        <f>IFERROR(__xludf.DUMMYFUNCTION("""COMPUTED_VALUE"""),"https://drive.google.com/file/d/1MIbfvAW606prxPHpbRpdPZnIBWQNiqrX/view?usp=drivesdk")</f>
        <v>https://drive.google.com/file/d/1MIbfvAW606prxPHpbRpdPZnIBWQNiqrX/view?usp=drivesdk</v>
      </c>
    </row>
    <row r="6286">
      <c r="A6286" s="15">
        <f>IFERROR(__xludf.DUMMYFUNCTION("""COMPUTED_VALUE"""),45181.0)</f>
        <v>45181</v>
      </c>
      <c r="B6286" s="16" t="str">
        <f>IFERROR(__xludf.DUMMYFUNCTION("""COMPUTED_VALUE"""),"Envia")</f>
        <v>Envia</v>
      </c>
      <c r="C6286" s="15" t="str">
        <f>IFERROR(__xludf.DUMMYFUNCTION("""COMPUTED_VALUE"""),"PALMIRA")</f>
        <v>PALMIRA</v>
      </c>
      <c r="D6286" s="15" t="str">
        <f>IFERROR(__xludf.DUMMYFUNCTION("""COMPUTED_VALUE"""),"BOGOTÁ")</f>
        <v>BOGOTÁ</v>
      </c>
      <c r="E6286" s="15" t="str">
        <f>IFERROR(__xludf.DUMMYFUNCTION("""COMPUTED_VALUE"""),"50 Gr Alfajores")</f>
        <v>50 Gr Alfajores</v>
      </c>
      <c r="F6286" s="17" t="str">
        <f>IFERROR(__xludf.DUMMYFUNCTION("""COMPUTED_VALUE"""),"CALLE 43B # 10 - 54,  / URBANIZACION CAMPESTRE / Palmira")</f>
        <v>CALLE 43B # 10 - 54,  / URBANIZACION CAMPESTRE / Palmira</v>
      </c>
      <c r="G6286" s="15" t="str">
        <f>IFERROR(__xludf.DUMMYFUNCTION("""COMPUTED_VALUE"""),"Cortes Rentería Bryan Paul")</f>
        <v>Cortes Rentería Bryan Paul</v>
      </c>
      <c r="H6286" s="16">
        <f>IFERROR(__xludf.DUMMYFUNCTION("""COMPUTED_VALUE"""),14987.0)</f>
        <v>14987</v>
      </c>
      <c r="I6286" s="18">
        <f>IFERROR(__xludf.DUMMYFUNCTION("""COMPUTED_VALUE"""),5.0)</f>
        <v>5</v>
      </c>
      <c r="J6286" s="18">
        <f>IFERROR(__xludf.DUMMYFUNCTION("""COMPUTED_VALUE"""),13.0)</f>
        <v>13</v>
      </c>
      <c r="K6286" s="18">
        <f>IFERROR(__xludf.DUMMYFUNCTION("""COMPUTED_VALUE"""),45064.0)</f>
        <v>45064</v>
      </c>
      <c r="L6286" s="17">
        <f>IFERROR(__xludf.DUMMYFUNCTION("""COMPUTED_VALUE"""),3.10822804E9)</f>
        <v>3108228040</v>
      </c>
      <c r="M6286" s="17" t="str">
        <f>IFERROR(__xludf.DUMMYFUNCTION("""COMPUTED_VALUE"""),"#REF!")</f>
        <v>#REF!</v>
      </c>
      <c r="N6286" s="17"/>
      <c r="O6286" s="17"/>
      <c r="P6286" s="17" t="b">
        <f>IFERROR(__xludf.DUMMYFUNCTION("""COMPUTED_VALUE"""),FALSE)</f>
        <v>0</v>
      </c>
      <c r="Q6286" s="20" t="str">
        <f>IFERROR(__xludf.DUMMYFUNCTION("""COMPUTED_VALUE"""),"")</f>
        <v/>
      </c>
      <c r="R6286" s="21" t="str">
        <f>IFERROR(__xludf.DUMMYFUNCTION("""COMPUTED_VALUE"""),"https://drive.google.com/file/d/1ACUFRxYS4lILcMyMlDCd01TPAel3-VLB/view?usp=drivesdk")</f>
        <v>https://drive.google.com/file/d/1ACUFRxYS4lILcMyMlDCd01TPAel3-VLB/view?usp=drivesdk</v>
      </c>
    </row>
    <row r="6287">
      <c r="A6287" s="15">
        <f>IFERROR(__xludf.DUMMYFUNCTION("""COMPUTED_VALUE"""),45181.0)</f>
        <v>45181</v>
      </c>
      <c r="B6287" s="16" t="str">
        <f>IFERROR(__xludf.DUMMYFUNCTION("""COMPUTED_VALUE"""),"Envia")</f>
        <v>Envia</v>
      </c>
      <c r="C6287" s="15" t="str">
        <f>IFERROR(__xludf.DUMMYFUNCTION("""COMPUTED_VALUE"""),"PEREIRA")</f>
        <v>PEREIRA</v>
      </c>
      <c r="D6287" s="15" t="str">
        <f>IFERROR(__xludf.DUMMYFUNCTION("""COMPUTED_VALUE"""),"BOGOTÁ")</f>
        <v>BOGOTÁ</v>
      </c>
      <c r="E6287" s="15" t="str">
        <f>IFERROR(__xludf.DUMMYFUNCTION("""COMPUTED_VALUE"""),"Asociacion Agropecuaria Juana Maria")</f>
        <v>Asociacion Agropecuaria Juana Maria</v>
      </c>
      <c r="F6287" s="17" t="str">
        <f>IFERROR(__xludf.DUMMYFUNCTION("""COMPUTED_VALUE"""),"Calle 153 # 23 -41 manzana 1 casa 9 sol de Galicia")</f>
        <v>Calle 153 # 23 -41 manzana 1 casa 9 sol de Galicia</v>
      </c>
      <c r="G6287" s="15" t="str">
        <f>IFERROR(__xludf.DUMMYFUNCTION("""COMPUTED_VALUE"""),"Paula Andrea Forero")</f>
        <v>Paula Andrea Forero</v>
      </c>
      <c r="H6287" s="16">
        <f>IFERROR(__xludf.DUMMYFUNCTION("""COMPUTED_VALUE"""),15013.0)</f>
        <v>15013</v>
      </c>
      <c r="I6287" s="18">
        <f>IFERROR(__xludf.DUMMYFUNCTION("""COMPUTED_VALUE"""),16.0)</f>
        <v>16</v>
      </c>
      <c r="J6287" s="18">
        <f>IFERROR(__xludf.DUMMYFUNCTION("""COMPUTED_VALUE"""),34.0)</f>
        <v>34</v>
      </c>
      <c r="K6287" s="18">
        <f>IFERROR(__xludf.DUMMYFUNCTION("""COMPUTED_VALUE"""),25.0)</f>
        <v>25</v>
      </c>
      <c r="L6287" s="17">
        <f>IFERROR(__xludf.DUMMYFUNCTION("""COMPUTED_VALUE"""),3.115760231E9)</f>
        <v>3115760231</v>
      </c>
      <c r="M6287" s="17" t="str">
        <f>IFERROR(__xludf.DUMMYFUNCTION("""COMPUTED_VALUE"""),"#REF!")</f>
        <v>#REF!</v>
      </c>
      <c r="N6287" s="17"/>
      <c r="O6287" s="17"/>
      <c r="P6287" s="17" t="b">
        <f>IFERROR(__xludf.DUMMYFUNCTION("""COMPUTED_VALUE"""),FALSE)</f>
        <v>0</v>
      </c>
      <c r="Q6287" s="20" t="str">
        <f>IFERROR(__xludf.DUMMYFUNCTION("""COMPUTED_VALUE"""),"")</f>
        <v/>
      </c>
      <c r="R6287" s="22" t="str">
        <f>IFERROR(__xludf.DUMMYFUNCTION("""COMPUTED_VALUE"""),"")</f>
        <v/>
      </c>
    </row>
    <row r="6288">
      <c r="A6288" s="15">
        <f>IFERROR(__xludf.DUMMYFUNCTION("""COMPUTED_VALUE"""),45181.0)</f>
        <v>45181</v>
      </c>
      <c r="B6288" s="16" t="str">
        <f>IFERROR(__xludf.DUMMYFUNCTION("""COMPUTED_VALUE"""),"Envia")</f>
        <v>Envia</v>
      </c>
      <c r="C6288" s="15" t="str">
        <f>IFERROR(__xludf.DUMMYFUNCTION("""COMPUTED_VALUE"""),"PEREIRA")</f>
        <v>PEREIRA</v>
      </c>
      <c r="D6288" s="15" t="str">
        <f>IFERROR(__xludf.DUMMYFUNCTION("""COMPUTED_VALUE"""),"BOGOTÁ")</f>
        <v>BOGOTÁ</v>
      </c>
      <c r="E6288" s="15" t="str">
        <f>IFERROR(__xludf.DUMMYFUNCTION("""COMPUTED_VALUE"""),"Athenas")</f>
        <v>Athenas</v>
      </c>
      <c r="F6288" s="17" t="str">
        <f>IFERROR(__xludf.DUMMYFUNCTION("""COMPUTED_VALUE"""),"AV CIRCUNVALAR CARRERA 13 #13-40 CENTRO COMERCIAL UNIPLEX / CAFETERIA BODYTECH SEXTO PISO CENTRO COMERCIAL UNIPLEX / CIRCUNVALAR")</f>
        <v>AV CIRCUNVALAR CARRERA 13 #13-40 CENTRO COMERCIAL UNIPLEX / CAFETERIA BODYTECH SEXTO PISO CENTRO COMERCIAL UNIPLEX / CIRCUNVALAR</v>
      </c>
      <c r="G6288" s="15" t="str">
        <f>IFERROR(__xludf.DUMMYFUNCTION("""COMPUTED_VALUE"""),"ADRIANA CASTRO")</f>
        <v>ADRIANA CASTRO</v>
      </c>
      <c r="H6288" s="16">
        <f>IFERROR(__xludf.DUMMYFUNCTION("""COMPUTED_VALUE"""),15061.0)</f>
        <v>15061</v>
      </c>
      <c r="I6288" s="18">
        <f>IFERROR(__xludf.DUMMYFUNCTION("""COMPUTED_VALUE"""),55.0)</f>
        <v>55</v>
      </c>
      <c r="J6288" s="18">
        <f>IFERROR(__xludf.DUMMYFUNCTION("""COMPUTED_VALUE"""),45.0)</f>
        <v>45</v>
      </c>
      <c r="K6288" s="18">
        <f>IFERROR(__xludf.DUMMYFUNCTION("""COMPUTED_VALUE"""),29.0)</f>
        <v>29</v>
      </c>
      <c r="L6288" s="17">
        <f>IFERROR(__xludf.DUMMYFUNCTION("""COMPUTED_VALUE"""),3.104011367E9)</f>
        <v>3104011367</v>
      </c>
      <c r="M6288" s="17" t="str">
        <f>IFERROR(__xludf.DUMMYFUNCTION("""COMPUTED_VALUE"""),"#REF!")</f>
        <v>#REF!</v>
      </c>
      <c r="N6288" s="17"/>
      <c r="O6288" s="17"/>
      <c r="P6288" s="17" t="b">
        <f>IFERROR(__xludf.DUMMYFUNCTION("""COMPUTED_VALUE"""),FALSE)</f>
        <v>0</v>
      </c>
      <c r="Q6288" s="20" t="str">
        <f>IFERROR(__xludf.DUMMYFUNCTION("""COMPUTED_VALUE"""),"")</f>
        <v/>
      </c>
      <c r="R6288" s="22" t="str">
        <f>IFERROR(__xludf.DUMMYFUNCTION("""COMPUTED_VALUE"""),"")</f>
        <v/>
      </c>
    </row>
    <row r="6289">
      <c r="A6289" s="15">
        <f>IFERROR(__xludf.DUMMYFUNCTION("""COMPUTED_VALUE"""),45181.0)</f>
        <v>45181</v>
      </c>
      <c r="B6289" s="16" t="str">
        <f>IFERROR(__xludf.DUMMYFUNCTION("""COMPUTED_VALUE"""),"Envia")</f>
        <v>Envia</v>
      </c>
      <c r="C6289" s="15" t="str">
        <f>IFERROR(__xludf.DUMMYFUNCTION("""COMPUTED_VALUE"""),"PEREIRA")</f>
        <v>PEREIRA</v>
      </c>
      <c r="D6289" s="15" t="str">
        <f>IFERROR(__xludf.DUMMYFUNCTION("""COMPUTED_VALUE"""),"BOGOTÁ")</f>
        <v>BOGOTÁ</v>
      </c>
      <c r="E6289" s="15" t="str">
        <f>IFERROR(__xludf.DUMMYFUNCTION("""COMPUTED_VALUE"""),"Evamazzita")</f>
        <v>Evamazzita</v>
      </c>
      <c r="F6289" s="17" t="str">
        <f>IFERROR(__xludf.DUMMYFUNCTION("""COMPUTED_VALUE"""),"CALLE 153 # 23 - 41 / SOL DE GALICIA MZ 1 CASA 9")</f>
        <v>CALLE 153 # 23 - 41 / SOL DE GALICIA MZ 1 CASA 9</v>
      </c>
      <c r="G6289" s="15" t="str">
        <f>IFERROR(__xludf.DUMMYFUNCTION("""COMPUTED_VALUE"""),"PAULA FORERO")</f>
        <v>PAULA FORERO</v>
      </c>
      <c r="H6289" s="16">
        <f>IFERROR(__xludf.DUMMYFUNCTION("""COMPUTED_VALUE"""),15097.0)</f>
        <v>15097</v>
      </c>
      <c r="I6289" s="18">
        <f>IFERROR(__xludf.DUMMYFUNCTION("""COMPUTED_VALUE"""),1.0)</f>
        <v>1</v>
      </c>
      <c r="J6289" s="18">
        <f>IFERROR(__xludf.DUMMYFUNCTION("""COMPUTED_VALUE"""),1.0)</f>
        <v>1</v>
      </c>
      <c r="K6289" s="18">
        <f>IFERROR(__xludf.DUMMYFUNCTION("""COMPUTED_VALUE"""),1.0)</f>
        <v>1</v>
      </c>
      <c r="L6289" s="17">
        <f>IFERROR(__xludf.DUMMYFUNCTION("""COMPUTED_VALUE"""),3.115760231E9)</f>
        <v>3115760231</v>
      </c>
      <c r="M6289" s="17" t="str">
        <f>IFERROR(__xludf.DUMMYFUNCTION("""COMPUTED_VALUE"""),"#REF!")</f>
        <v>#REF!</v>
      </c>
      <c r="N6289" s="17"/>
      <c r="O6289" s="17"/>
      <c r="P6289" s="17" t="b">
        <f>IFERROR(__xludf.DUMMYFUNCTION("""COMPUTED_VALUE"""),FALSE)</f>
        <v>0</v>
      </c>
      <c r="Q6289" s="20" t="str">
        <f>IFERROR(__xludf.DUMMYFUNCTION("""COMPUTED_VALUE"""),"")</f>
        <v/>
      </c>
      <c r="R6289" s="22" t="str">
        <f>IFERROR(__xludf.DUMMYFUNCTION("""COMPUTED_VALUE"""),"")</f>
        <v/>
      </c>
    </row>
    <row r="6290">
      <c r="A6290" s="15">
        <f>IFERROR(__xludf.DUMMYFUNCTION("""COMPUTED_VALUE"""),45181.0)</f>
        <v>45181</v>
      </c>
      <c r="B6290" s="16" t="str">
        <f>IFERROR(__xludf.DUMMYFUNCTION("""COMPUTED_VALUE"""),"Envia")</f>
        <v>Envia</v>
      </c>
      <c r="C6290" s="15" t="str">
        <f>IFERROR(__xludf.DUMMYFUNCTION("""COMPUTED_VALUE"""),"PEREIRA")</f>
        <v>PEREIRA</v>
      </c>
      <c r="D6290" s="15" t="str">
        <f>IFERROR(__xludf.DUMMYFUNCTION("""COMPUTED_VALUE"""),"BOGOTÁ")</f>
        <v>BOGOTÁ</v>
      </c>
      <c r="E6290" s="15" t="str">
        <f>IFERROR(__xludf.DUMMYFUNCTION("""COMPUTED_VALUE"""),"Ins. Alimento Vital")</f>
        <v>Ins. Alimento Vital</v>
      </c>
      <c r="F6290" s="17" t="str">
        <f>IFERROR(__xludf.DUMMYFUNCTION("""COMPUTED_VALUE"""),"CR 5 18 43  / EDIFICIO CHALJUB / BARRIO URIBE")</f>
        <v>CR 5 18 43  / EDIFICIO CHALJUB / BARRIO URIBE</v>
      </c>
      <c r="G6290" s="15" t="str">
        <f>IFERROR(__xludf.DUMMYFUNCTION("""COMPUTED_VALUE"""),"CHALJUB")</f>
        <v>CHALJUB</v>
      </c>
      <c r="H6290" s="16">
        <f>IFERROR(__xludf.DUMMYFUNCTION("""COMPUTED_VALUE"""),15066.0)</f>
        <v>15066</v>
      </c>
      <c r="I6290" s="18">
        <f>IFERROR(__xludf.DUMMYFUNCTION("""COMPUTED_VALUE"""),1.0)</f>
        <v>1</v>
      </c>
      <c r="J6290" s="18">
        <f>IFERROR(__xludf.DUMMYFUNCTION("""COMPUTED_VALUE"""),1.0)</f>
        <v>1</v>
      </c>
      <c r="K6290" s="18">
        <f>IFERROR(__xludf.DUMMYFUNCTION("""COMPUTED_VALUE"""),1.0)</f>
        <v>1</v>
      </c>
      <c r="L6290" s="17">
        <f>IFERROR(__xludf.DUMMYFUNCTION("""COMPUTED_VALUE"""),3.008252529E9)</f>
        <v>3008252529</v>
      </c>
      <c r="M6290" s="17" t="str">
        <f>IFERROR(__xludf.DUMMYFUNCTION("""COMPUTED_VALUE"""),"#REF!")</f>
        <v>#REF!</v>
      </c>
      <c r="N6290" s="17"/>
      <c r="O6290" s="17"/>
      <c r="P6290" s="17" t="b">
        <f>IFERROR(__xludf.DUMMYFUNCTION("""COMPUTED_VALUE"""),FALSE)</f>
        <v>0</v>
      </c>
      <c r="Q6290" s="20" t="str">
        <f>IFERROR(__xludf.DUMMYFUNCTION("""COMPUTED_VALUE"""),"")</f>
        <v/>
      </c>
      <c r="R6290" s="22" t="str">
        <f>IFERROR(__xludf.DUMMYFUNCTION("""COMPUTED_VALUE"""),"")</f>
        <v/>
      </c>
    </row>
    <row r="6291">
      <c r="A6291" s="15">
        <f>IFERROR(__xludf.DUMMYFUNCTION("""COMPUTED_VALUE"""),45181.0)</f>
        <v>45181</v>
      </c>
      <c r="B6291" s="16" t="str">
        <f>IFERROR(__xludf.DUMMYFUNCTION("""COMPUTED_VALUE"""),"Envia")</f>
        <v>Envia</v>
      </c>
      <c r="C6291" s="15" t="str">
        <f>IFERROR(__xludf.DUMMYFUNCTION("""COMPUTED_VALUE"""),"PEREIRA")</f>
        <v>PEREIRA</v>
      </c>
      <c r="D6291" s="15" t="str">
        <f>IFERROR(__xludf.DUMMYFUNCTION("""COMPUTED_VALUE"""),"MEDELLÍN")</f>
        <v>MEDELLÍN</v>
      </c>
      <c r="E6291" s="15" t="str">
        <f>IFERROR(__xludf.DUMMYFUNCTION("""COMPUTED_VALUE"""),"AREPAS LA MARY")</f>
        <v>AREPAS LA MARY</v>
      </c>
      <c r="F6291" s="17" t="str">
        <f>IFERROR(__xludf.DUMMYFUNCTION("""COMPUTED_VALUE"""),"CALLE 14 # 14-15")</f>
        <v>CALLE 14 # 14-15</v>
      </c>
      <c r="G6291" s="15" t="str">
        <f>IFERROR(__xludf.DUMMYFUNCTION("""COMPUTED_VALUE"""),"MAJANA FIT TIENDA 1")</f>
        <v>MAJANA FIT TIENDA 1</v>
      </c>
      <c r="H6291" s="16">
        <f>IFERROR(__xludf.DUMMYFUNCTION("""COMPUTED_VALUE"""),15071.0)</f>
        <v>15071</v>
      </c>
      <c r="I6291" s="18">
        <f>IFERROR(__xludf.DUMMYFUNCTION("""COMPUTED_VALUE"""),89.0)</f>
        <v>89</v>
      </c>
      <c r="J6291" s="18">
        <f>IFERROR(__xludf.DUMMYFUNCTION("""COMPUTED_VALUE"""),1.0)</f>
        <v>1</v>
      </c>
      <c r="K6291" s="18">
        <f>IFERROR(__xludf.DUMMYFUNCTION("""COMPUTED_VALUE"""),10.0)</f>
        <v>10</v>
      </c>
      <c r="L6291" s="17" t="str">
        <f>IFERROR(__xludf.DUMMYFUNCTION("""COMPUTED_VALUE"""),"311 6123447")</f>
        <v>311 6123447</v>
      </c>
      <c r="M6291" s="17" t="str">
        <f>IFERROR(__xludf.DUMMYFUNCTION("""COMPUTED_VALUE"""),"#REF!")</f>
        <v>#REF!</v>
      </c>
      <c r="N6291" s="17"/>
      <c r="O6291" s="17"/>
      <c r="P6291" s="17" t="b">
        <f>IFERROR(__xludf.DUMMYFUNCTION("""COMPUTED_VALUE"""),FALSE)</f>
        <v>0</v>
      </c>
      <c r="Q6291" s="20" t="str">
        <f>IFERROR(__xludf.DUMMYFUNCTION("""COMPUTED_VALUE"""),"")</f>
        <v/>
      </c>
      <c r="R6291" s="22" t="str">
        <f>IFERROR(__xludf.DUMMYFUNCTION("""COMPUTED_VALUE"""),"")</f>
        <v/>
      </c>
    </row>
    <row r="6292">
      <c r="A6292" s="15">
        <f>IFERROR(__xludf.DUMMYFUNCTION("""COMPUTED_VALUE"""),45181.0)</f>
        <v>45181</v>
      </c>
      <c r="B6292" s="16" t="str">
        <f>IFERROR(__xludf.DUMMYFUNCTION("""COMPUTED_VALUE"""),"Envia")</f>
        <v>Envia</v>
      </c>
      <c r="C6292" s="15" t="str">
        <f>IFERROR(__xludf.DUMMYFUNCTION("""COMPUTED_VALUE"""),"RIONEGRO")</f>
        <v>RIONEGRO</v>
      </c>
      <c r="D6292" s="15" t="str">
        <f>IFERROR(__xludf.DUMMYFUNCTION("""COMPUTED_VALUE"""),"BOGOTÁ")</f>
        <v>BOGOTÁ</v>
      </c>
      <c r="E6292" s="15" t="str">
        <f>IFERROR(__xludf.DUMMYFUNCTION("""COMPUTED_VALUE"""),"50 Gr Alfajores")</f>
        <v>50 Gr Alfajores</v>
      </c>
      <c r="F6292" s="17" t="str">
        <f>IFERROR(__xludf.DUMMYFUNCTION("""COMPUTED_VALUE"""),"Cll32 #52b-150  / Apto 604  / T3")</f>
        <v>Cll32 #52b-150  / Apto 604  / T3</v>
      </c>
      <c r="G6292" s="15" t="str">
        <f>IFERROR(__xludf.DUMMYFUNCTION("""COMPUTED_VALUE"""),"Valencia Yepes Sergio Andrés")</f>
        <v>Valencia Yepes Sergio Andrés</v>
      </c>
      <c r="H6292" s="16">
        <f>IFERROR(__xludf.DUMMYFUNCTION("""COMPUTED_VALUE"""),15016.0)</f>
        <v>15016</v>
      </c>
      <c r="I6292" s="18">
        <f>IFERROR(__xludf.DUMMYFUNCTION("""COMPUTED_VALUE"""),5.0)</f>
        <v>5</v>
      </c>
      <c r="J6292" s="18">
        <f>IFERROR(__xludf.DUMMYFUNCTION("""COMPUTED_VALUE"""),13.0)</f>
        <v>13</v>
      </c>
      <c r="K6292" s="18">
        <f>IFERROR(__xludf.DUMMYFUNCTION("""COMPUTED_VALUE"""),45064.0)</f>
        <v>45064</v>
      </c>
      <c r="L6292" s="17">
        <f>IFERROR(__xludf.DUMMYFUNCTION("""COMPUTED_VALUE"""),3.106566037E9)</f>
        <v>3106566037</v>
      </c>
      <c r="M6292" s="17" t="str">
        <f>IFERROR(__xludf.DUMMYFUNCTION("""COMPUTED_VALUE"""),"#REF!")</f>
        <v>#REF!</v>
      </c>
      <c r="N6292" s="17"/>
      <c r="O6292" s="17"/>
      <c r="P6292" s="17" t="b">
        <f>IFERROR(__xludf.DUMMYFUNCTION("""COMPUTED_VALUE"""),FALSE)</f>
        <v>0</v>
      </c>
      <c r="Q6292" s="20" t="str">
        <f>IFERROR(__xludf.DUMMYFUNCTION("""COMPUTED_VALUE"""),"")</f>
        <v/>
      </c>
      <c r="R6292" s="22" t="str">
        <f>IFERROR(__xludf.DUMMYFUNCTION("""COMPUTED_VALUE"""),"")</f>
        <v/>
      </c>
    </row>
    <row r="6293">
      <c r="A6293" s="15">
        <f>IFERROR(__xludf.DUMMYFUNCTION("""COMPUTED_VALUE"""),45181.0)</f>
        <v>45181</v>
      </c>
      <c r="B6293" s="16" t="str">
        <f>IFERROR(__xludf.DUMMYFUNCTION("""COMPUTED_VALUE"""),"Envia")</f>
        <v>Envia</v>
      </c>
      <c r="C6293" s="15" t="str">
        <f>IFERROR(__xludf.DUMMYFUNCTION("""COMPUTED_VALUE"""),"SABANETA")</f>
        <v>SABANETA</v>
      </c>
      <c r="D6293" s="15" t="str">
        <f>IFERROR(__xludf.DUMMYFUNCTION("""COMPUTED_VALUE"""),"BOGOTÁ")</f>
        <v>BOGOTÁ</v>
      </c>
      <c r="E6293" s="15" t="str">
        <f>IFERROR(__xludf.DUMMYFUNCTION("""COMPUTED_VALUE"""),"Evamazzita")</f>
        <v>Evamazzita</v>
      </c>
      <c r="F6293" s="17" t="str">
        <f>IFERROR(__xludf.DUMMYFUNCTION("""COMPUTED_VALUE"""),"Carrera 40#74 sur 90 / edif. San Basilio, apto. 1623 Barrio Aves Maria")</f>
        <v>Carrera 40#74 sur 90 / edif. San Basilio, apto. 1623 Barrio Aves Maria</v>
      </c>
      <c r="G6293" s="15" t="str">
        <f>IFERROR(__xludf.DUMMYFUNCTION("""COMPUTED_VALUE"""),"MARIA CAMILA MORALES RIVERA")</f>
        <v>MARIA CAMILA MORALES RIVERA</v>
      </c>
      <c r="H6293" s="16">
        <f>IFERROR(__xludf.DUMMYFUNCTION("""COMPUTED_VALUE"""),15105.0)</f>
        <v>15105</v>
      </c>
      <c r="I6293" s="18">
        <f>IFERROR(__xludf.DUMMYFUNCTION("""COMPUTED_VALUE"""),1.0)</f>
        <v>1</v>
      </c>
      <c r="J6293" s="18">
        <f>IFERROR(__xludf.DUMMYFUNCTION("""COMPUTED_VALUE"""),1.0)</f>
        <v>1</v>
      </c>
      <c r="K6293" s="18">
        <f>IFERROR(__xludf.DUMMYFUNCTION("""COMPUTED_VALUE"""),1.0)</f>
        <v>1</v>
      </c>
      <c r="L6293" s="17">
        <f>IFERROR(__xludf.DUMMYFUNCTION("""COMPUTED_VALUE"""),3.042181932E9)</f>
        <v>3042181932</v>
      </c>
      <c r="M6293" s="17" t="str">
        <f>IFERROR(__xludf.DUMMYFUNCTION("""COMPUTED_VALUE"""),"#REF!")</f>
        <v>#REF!</v>
      </c>
      <c r="N6293" s="17"/>
      <c r="O6293" s="17"/>
      <c r="P6293" s="17" t="b">
        <f>IFERROR(__xludf.DUMMYFUNCTION("""COMPUTED_VALUE"""),FALSE)</f>
        <v>0</v>
      </c>
      <c r="Q6293" s="20" t="str">
        <f>IFERROR(__xludf.DUMMYFUNCTION("""COMPUTED_VALUE"""),"")</f>
        <v/>
      </c>
      <c r="R6293" s="21" t="str">
        <f>IFERROR(__xludf.DUMMYFUNCTION("""COMPUTED_VALUE"""),"https://drive.google.com/file/d/1fIxnX8MP9quA81Eh5vMNE_geDUQuwJL2/view?usp=drivesdk")</f>
        <v>https://drive.google.com/file/d/1fIxnX8MP9quA81Eh5vMNE_geDUQuwJL2/view?usp=drivesdk</v>
      </c>
    </row>
    <row r="6294">
      <c r="A6294" s="15">
        <f>IFERROR(__xludf.DUMMYFUNCTION("""COMPUTED_VALUE"""),45181.0)</f>
        <v>45181</v>
      </c>
      <c r="B6294" s="16" t="str">
        <f>IFERROR(__xludf.DUMMYFUNCTION("""COMPUTED_VALUE"""),"Envia")</f>
        <v>Envia</v>
      </c>
      <c r="C6294" s="15" t="str">
        <f>IFERROR(__xludf.DUMMYFUNCTION("""COMPUTED_VALUE"""),"SABANETA")</f>
        <v>SABANETA</v>
      </c>
      <c r="D6294" s="15" t="str">
        <f>IFERROR(__xludf.DUMMYFUNCTION("""COMPUTED_VALUE"""),"BOGOTÁ")</f>
        <v>BOGOTÁ</v>
      </c>
      <c r="E6294" s="15" t="str">
        <f>IFERROR(__xludf.DUMMYFUNCTION("""COMPUTED_VALUE"""),"Evamazzita")</f>
        <v>Evamazzita</v>
      </c>
      <c r="F6294" s="17" t="str">
        <f>IFERROR(__xludf.DUMMYFUNCTION("""COMPUTED_VALUE"""),"carrera 46c #80sur-155 / Apto 2705 San José")</f>
        <v>carrera 46c #80sur-155 / Apto 2705 San José</v>
      </c>
      <c r="G6294" s="15" t="str">
        <f>IFERROR(__xludf.DUMMYFUNCTION("""COMPUTED_VALUE"""),"LAURA RUIZ RODRIGUEZ")</f>
        <v>LAURA RUIZ RODRIGUEZ</v>
      </c>
      <c r="H6294" s="16">
        <f>IFERROR(__xludf.DUMMYFUNCTION("""COMPUTED_VALUE"""),15106.0)</f>
        <v>15106</v>
      </c>
      <c r="I6294" s="18">
        <f>IFERROR(__xludf.DUMMYFUNCTION("""COMPUTED_VALUE"""),1.0)</f>
        <v>1</v>
      </c>
      <c r="J6294" s="18">
        <f>IFERROR(__xludf.DUMMYFUNCTION("""COMPUTED_VALUE"""),1.0)</f>
        <v>1</v>
      </c>
      <c r="K6294" s="18">
        <f>IFERROR(__xludf.DUMMYFUNCTION("""COMPUTED_VALUE"""),1.0)</f>
        <v>1</v>
      </c>
      <c r="L6294" s="17">
        <f>IFERROR(__xludf.DUMMYFUNCTION("""COMPUTED_VALUE"""),3.14795531E9)</f>
        <v>3147955310</v>
      </c>
      <c r="M6294" s="17" t="str">
        <f>IFERROR(__xludf.DUMMYFUNCTION("""COMPUTED_VALUE"""),"#REF!")</f>
        <v>#REF!</v>
      </c>
      <c r="N6294" s="17"/>
      <c r="O6294" s="17"/>
      <c r="P6294" s="17" t="b">
        <f>IFERROR(__xludf.DUMMYFUNCTION("""COMPUTED_VALUE"""),FALSE)</f>
        <v>0</v>
      </c>
      <c r="Q6294" s="20" t="str">
        <f>IFERROR(__xludf.DUMMYFUNCTION("""COMPUTED_VALUE"""),"")</f>
        <v/>
      </c>
      <c r="R6294" s="21" t="str">
        <f>IFERROR(__xludf.DUMMYFUNCTION("""COMPUTED_VALUE"""),"https://drive.google.com/file/d/1tbQyvUPxYz2homyFYlBnH1i2GTtl7JrU/view?usp=drivesdk")</f>
        <v>https://drive.google.com/file/d/1tbQyvUPxYz2homyFYlBnH1i2GTtl7JrU/view?usp=drivesdk</v>
      </c>
    </row>
    <row r="6295">
      <c r="A6295" s="15">
        <f>IFERROR(__xludf.DUMMYFUNCTION("""COMPUTED_VALUE"""),45181.0)</f>
        <v>45181</v>
      </c>
      <c r="B6295" s="16" t="str">
        <f>IFERROR(__xludf.DUMMYFUNCTION("""COMPUTED_VALUE"""),"Envia")</f>
        <v>Envia</v>
      </c>
      <c r="C6295" s="15" t="str">
        <f>IFERROR(__xludf.DUMMYFUNCTION("""COMPUTED_VALUE"""),"SABANETA")</f>
        <v>SABANETA</v>
      </c>
      <c r="D6295" s="15" t="str">
        <f>IFERROR(__xludf.DUMMYFUNCTION("""COMPUTED_VALUE"""),"BOGOTÁ")</f>
        <v>BOGOTÁ</v>
      </c>
      <c r="E6295" s="15" t="str">
        <f>IFERROR(__xludf.DUMMYFUNCTION("""COMPUTED_VALUE"""),"Evamazzita")</f>
        <v>Evamazzita</v>
      </c>
      <c r="F6295" s="17" t="str">
        <f>IFERROR(__xludf.DUMMYFUNCTION("""COMPUTED_VALUE"""),"Cra 44 No 60 sur 35 / Apto 1809 Urbanización Puerta de Mayorca")</f>
        <v>Cra 44 No 60 sur 35 / Apto 1809 Urbanización Puerta de Mayorca</v>
      </c>
      <c r="G6295" s="15" t="str">
        <f>IFERROR(__xludf.DUMMYFUNCTION("""COMPUTED_VALUE"""),"LINA ISABEL GONZALEZ")</f>
        <v>LINA ISABEL GONZALEZ</v>
      </c>
      <c r="H6295" s="16">
        <f>IFERROR(__xludf.DUMMYFUNCTION("""COMPUTED_VALUE"""),15104.0)</f>
        <v>15104</v>
      </c>
      <c r="I6295" s="18">
        <f>IFERROR(__xludf.DUMMYFUNCTION("""COMPUTED_VALUE"""),1.0)</f>
        <v>1</v>
      </c>
      <c r="J6295" s="18">
        <f>IFERROR(__xludf.DUMMYFUNCTION("""COMPUTED_VALUE"""),1.0)</f>
        <v>1</v>
      </c>
      <c r="K6295" s="18">
        <f>IFERROR(__xludf.DUMMYFUNCTION("""COMPUTED_VALUE"""),1.0)</f>
        <v>1</v>
      </c>
      <c r="L6295" s="17">
        <f>IFERROR(__xludf.DUMMYFUNCTION("""COMPUTED_VALUE"""),3.012163028E9)</f>
        <v>3012163028</v>
      </c>
      <c r="M6295" s="17" t="str">
        <f>IFERROR(__xludf.DUMMYFUNCTION("""COMPUTED_VALUE"""),"#REF!")</f>
        <v>#REF!</v>
      </c>
      <c r="N6295" s="17"/>
      <c r="O6295" s="17"/>
      <c r="P6295" s="17" t="b">
        <f>IFERROR(__xludf.DUMMYFUNCTION("""COMPUTED_VALUE"""),FALSE)</f>
        <v>0</v>
      </c>
      <c r="Q6295" s="20" t="str">
        <f>IFERROR(__xludf.DUMMYFUNCTION("""COMPUTED_VALUE"""),"")</f>
        <v/>
      </c>
      <c r="R6295" s="21" t="str">
        <f>IFERROR(__xludf.DUMMYFUNCTION("""COMPUTED_VALUE"""),"https://drive.google.com/file/d/15r58dyNwVTy_4_E2vhJlroPLkMOHEI_Q/view?usp=drivesdk")</f>
        <v>https://drive.google.com/file/d/15r58dyNwVTy_4_E2vhJlroPLkMOHEI_Q/view?usp=drivesdk</v>
      </c>
    </row>
    <row r="6296">
      <c r="A6296" s="17" t="str">
        <f>IFERROR(__xludf.DUMMYFUNCTION("""COMPUTED_VALUE"""),"")</f>
        <v/>
      </c>
      <c r="B6296" s="17" t="str">
        <f>IFERROR(__xludf.DUMMYFUNCTION("""COMPUTED_VALUE"""),"")</f>
        <v/>
      </c>
      <c r="C6296" s="17" t="str">
        <f>IFERROR(__xludf.DUMMYFUNCTION("""COMPUTED_VALUE"""),"")</f>
        <v/>
      </c>
      <c r="D6296" s="17" t="str">
        <f>IFERROR(__xludf.DUMMYFUNCTION("""COMPUTED_VALUE"""),"")</f>
        <v/>
      </c>
      <c r="E6296" s="17" t="str">
        <f>IFERROR(__xludf.DUMMYFUNCTION("""COMPUTED_VALUE"""),"")</f>
        <v/>
      </c>
      <c r="F6296" s="17" t="str">
        <f>IFERROR(__xludf.DUMMYFUNCTION("""COMPUTED_VALUE"""),"")</f>
        <v/>
      </c>
      <c r="G6296" s="17" t="str">
        <f>IFERROR(__xludf.DUMMYFUNCTION("""COMPUTED_VALUE"""),"")</f>
        <v/>
      </c>
      <c r="H6296" s="17" t="str">
        <f>IFERROR(__xludf.DUMMYFUNCTION("""COMPUTED_VALUE"""),"")</f>
        <v/>
      </c>
      <c r="I6296" s="17" t="str">
        <f>IFERROR(__xludf.DUMMYFUNCTION("""COMPUTED_VALUE"""),"")</f>
        <v/>
      </c>
      <c r="J6296" s="17" t="str">
        <f>IFERROR(__xludf.DUMMYFUNCTION("""COMPUTED_VALUE"""),"")</f>
        <v/>
      </c>
      <c r="K6296" s="17" t="str">
        <f>IFERROR(__xludf.DUMMYFUNCTION("""COMPUTED_VALUE"""),"")</f>
        <v/>
      </c>
      <c r="L6296" s="17" t="str">
        <f>IFERROR(__xludf.DUMMYFUNCTION("""COMPUTED_VALUE"""),"")</f>
        <v/>
      </c>
      <c r="M6296" s="17" t="str">
        <f>IFERROR(__xludf.DUMMYFUNCTION("""COMPUTED_VALUE"""),"")</f>
        <v/>
      </c>
      <c r="N6296" s="17" t="str">
        <f>IFERROR(__xludf.DUMMYFUNCTION("""COMPUTED_VALUE"""),"")</f>
        <v/>
      </c>
      <c r="O6296" s="17" t="str">
        <f>IFERROR(__xludf.DUMMYFUNCTION("""COMPUTED_VALUE"""),"")</f>
        <v/>
      </c>
      <c r="P6296" s="17" t="str">
        <f>IFERROR(__xludf.DUMMYFUNCTION("""COMPUTED_VALUE"""),"")</f>
        <v/>
      </c>
      <c r="Q6296" s="17" t="str">
        <f>IFERROR(__xludf.DUMMYFUNCTION("""COMPUTED_VALUE"""),"")</f>
        <v/>
      </c>
      <c r="R6296" s="17" t="str">
        <f>IFERROR(__xludf.DUMMYFUNCTION("""COMPUTED_VALUE"""),"")</f>
        <v/>
      </c>
    </row>
    <row r="6297">
      <c r="A6297" s="15">
        <f>IFERROR(__xludf.DUMMYFUNCTION("""COMPUTED_VALUE"""),45181.0)</f>
        <v>45181</v>
      </c>
      <c r="B6297" s="16" t="str">
        <f>IFERROR(__xludf.DUMMYFUNCTION("""COMPUTED_VALUE"""),"Jhon Anderson Ceballos Hernandez")</f>
        <v>Jhon Anderson Ceballos Hernandez</v>
      </c>
      <c r="C6297" s="15" t="str">
        <f>IFERROR(__xludf.DUMMYFUNCTION("""COMPUTED_VALUE"""),"BOGOTÁ")</f>
        <v>BOGOTÁ</v>
      </c>
      <c r="D6297" s="15" t="str">
        <f>IFERROR(__xludf.DUMMYFUNCTION("""COMPUTED_VALUE"""),"MEDELLÍN")</f>
        <v>MEDELLÍN</v>
      </c>
      <c r="E6297" s="15" t="str">
        <f>IFERROR(__xludf.DUMMYFUNCTION("""COMPUTED_VALUE"""),"Cosmo Cookies")</f>
        <v>Cosmo Cookies</v>
      </c>
      <c r="F6297" s="17" t="str">
        <f>IFERROR(__xludf.DUMMYFUNCTION("""COMPUTED_VALUE"""),"Barrio El Polo. CRA 24 # 86A 32 / Casa Barrio el Polo. CosmoCookies / Barrio El Polo")</f>
        <v>Barrio El Polo. CRA 24 # 86A 32 / Casa Barrio el Polo. CosmoCookies / Barrio El Polo</v>
      </c>
      <c r="G6297" s="15" t="str">
        <f>IFERROR(__xludf.DUMMYFUNCTION("""COMPUTED_VALUE"""),"Natalia")</f>
        <v>Natalia</v>
      </c>
      <c r="H6297" s="16">
        <f>IFERROR(__xludf.DUMMYFUNCTION("""COMPUTED_VALUE"""),15132.0)</f>
        <v>15132</v>
      </c>
      <c r="I6297" s="18">
        <f>IFERROR(__xludf.DUMMYFUNCTION("""COMPUTED_VALUE"""),300.0)</f>
        <v>300</v>
      </c>
      <c r="J6297" s="18">
        <f>IFERROR(__xludf.DUMMYFUNCTION("""COMPUTED_VALUE"""),55.0)</f>
        <v>55</v>
      </c>
      <c r="K6297" s="18">
        <f>IFERROR(__xludf.DUMMYFUNCTION("""COMPUTED_VALUE"""),45.0)</f>
        <v>45</v>
      </c>
      <c r="L6297" s="17">
        <f>IFERROR(__xludf.DUMMYFUNCTION("""COMPUTED_VALUE"""),3.20246862E9)</f>
        <v>3202468620</v>
      </c>
      <c r="M6297" s="17" t="str">
        <f>IFERROR(__xludf.DUMMYFUNCTION("""COMPUTED_VALUE"""),"#REF!")</f>
        <v>#REF!</v>
      </c>
      <c r="N6297" s="17"/>
      <c r="O6297" s="17"/>
      <c r="P6297" s="17" t="b">
        <f>IFERROR(__xludf.DUMMYFUNCTION("""COMPUTED_VALUE"""),FALSE)</f>
        <v>0</v>
      </c>
      <c r="Q6297" s="20" t="str">
        <f>IFERROR(__xludf.DUMMYFUNCTION("""COMPUTED_VALUE"""),"")</f>
        <v/>
      </c>
      <c r="R6297" s="22" t="str">
        <f>IFERROR(__xludf.DUMMYFUNCTION("""COMPUTED_VALUE"""),"")</f>
        <v/>
      </c>
    </row>
    <row r="6298">
      <c r="A6298" s="15">
        <f>IFERROR(__xludf.DUMMYFUNCTION("""COMPUTED_VALUE"""),45181.0)</f>
        <v>45181</v>
      </c>
      <c r="B6298" s="16" t="str">
        <f>IFERROR(__xludf.DUMMYFUNCTION("""COMPUTED_VALUE"""),"Jhon Anderson Ceballos Hernandez")</f>
        <v>Jhon Anderson Ceballos Hernandez</v>
      </c>
      <c r="C6298" s="15" t="str">
        <f>IFERROR(__xludf.DUMMYFUNCTION("""COMPUTED_VALUE"""),"MANIZALES")</f>
        <v>MANIZALES</v>
      </c>
      <c r="D6298" s="15" t="str">
        <f>IFERROR(__xludf.DUMMYFUNCTION("""COMPUTED_VALUE"""),"BOGOTÁ")</f>
        <v>BOGOTÁ</v>
      </c>
      <c r="E6298" s="15" t="str">
        <f>IFERROR(__xludf.DUMMYFUNCTION("""COMPUTED_VALUE"""),"50 Gr Alfajores")</f>
        <v>50 Gr Alfajores</v>
      </c>
      <c r="F6298" s="17" t="str">
        <f>IFERROR(__xludf.DUMMYFUNCTION("""COMPUTED_VALUE"""),"Cra 17 #64a - 236 /  APT 2206B / mzales")</f>
        <v>Cra 17 #64a - 236 /  APT 2206B / mzales</v>
      </c>
      <c r="G6298" s="15" t="str">
        <f>IFERROR(__xludf.DUMMYFUNCTION("""COMPUTED_VALUE"""),"Orrego Giraldo Leiner Fabian")</f>
        <v>Orrego Giraldo Leiner Fabian</v>
      </c>
      <c r="H6298" s="16">
        <f>IFERROR(__xludf.DUMMYFUNCTION("""COMPUTED_VALUE"""),14976.0)</f>
        <v>14976</v>
      </c>
      <c r="I6298" s="18">
        <f>IFERROR(__xludf.DUMMYFUNCTION("""COMPUTED_VALUE"""),5.0)</f>
        <v>5</v>
      </c>
      <c r="J6298" s="18">
        <f>IFERROR(__xludf.DUMMYFUNCTION("""COMPUTED_VALUE"""),13.0)</f>
        <v>13</v>
      </c>
      <c r="K6298" s="18">
        <f>IFERROR(__xludf.DUMMYFUNCTION("""COMPUTED_VALUE"""),45064.0)</f>
        <v>45064</v>
      </c>
      <c r="L6298" s="17">
        <f>IFERROR(__xludf.DUMMYFUNCTION("""COMPUTED_VALUE"""),3.164911528E9)</f>
        <v>3164911528</v>
      </c>
      <c r="M6298" s="17" t="str">
        <f>IFERROR(__xludf.DUMMYFUNCTION("""COMPUTED_VALUE"""),"#REF!")</f>
        <v>#REF!</v>
      </c>
      <c r="N6298" s="17"/>
      <c r="O6298" s="17"/>
      <c r="P6298" s="17" t="b">
        <f>IFERROR(__xludf.DUMMYFUNCTION("""COMPUTED_VALUE"""),FALSE)</f>
        <v>0</v>
      </c>
      <c r="Q6298" s="20" t="str">
        <f>IFERROR(__xludf.DUMMYFUNCTION("""COMPUTED_VALUE"""),"")</f>
        <v/>
      </c>
      <c r="R6298" s="21" t="str">
        <f>IFERROR(__xludf.DUMMYFUNCTION("""COMPUTED_VALUE"""),"https://drive.google.com/file/d/16MEPxxAk4Rhx0cQ72x0v8lNjb3lS_lCT/view?usp=drivesdk")</f>
        <v>https://drive.google.com/file/d/16MEPxxAk4Rhx0cQ72x0v8lNjb3lS_lCT/view?usp=drivesdk</v>
      </c>
    </row>
    <row r="6299">
      <c r="A6299" s="15">
        <f>IFERROR(__xludf.DUMMYFUNCTION("""COMPUTED_VALUE"""),45181.0)</f>
        <v>45181</v>
      </c>
      <c r="B6299" s="16" t="str">
        <f>IFERROR(__xludf.DUMMYFUNCTION("""COMPUTED_VALUE"""),"Jhon Anderson Ceballos Hernandez")</f>
        <v>Jhon Anderson Ceballos Hernandez</v>
      </c>
      <c r="C6299" s="15" t="str">
        <f>IFERROR(__xludf.DUMMYFUNCTION("""COMPUTED_VALUE"""),"MANIZALES")</f>
        <v>MANIZALES</v>
      </c>
      <c r="D6299" s="15" t="str">
        <f>IFERROR(__xludf.DUMMYFUNCTION("""COMPUTED_VALUE"""),"BOGOTÁ")</f>
        <v>BOGOTÁ</v>
      </c>
      <c r="E6299" s="15" t="str">
        <f>IFERROR(__xludf.DUMMYFUNCTION("""COMPUTED_VALUE"""),"50 Gr Alfajores")</f>
        <v>50 Gr Alfajores</v>
      </c>
      <c r="F6299" s="17" t="str">
        <f>IFERROR(__xludf.DUMMYFUNCTION("""COMPUTED_VALUE"""),"cra 22a # 70 - 60 / Manizales / Caldas")</f>
        <v>cra 22a # 70 - 60 / Manizales / Caldas</v>
      </c>
      <c r="G6299" s="15" t="str">
        <f>IFERROR(__xludf.DUMMYFUNCTION("""COMPUTED_VALUE"""),"Ortegón Arango Juan Sebastián")</f>
        <v>Ortegón Arango Juan Sebastián</v>
      </c>
      <c r="H6299" s="16">
        <f>IFERROR(__xludf.DUMMYFUNCTION("""COMPUTED_VALUE"""),14972.0)</f>
        <v>14972</v>
      </c>
      <c r="I6299" s="18">
        <f>IFERROR(__xludf.DUMMYFUNCTION("""COMPUTED_VALUE"""),5.0)</f>
        <v>5</v>
      </c>
      <c r="J6299" s="18">
        <f>IFERROR(__xludf.DUMMYFUNCTION("""COMPUTED_VALUE"""),13.0)</f>
        <v>13</v>
      </c>
      <c r="K6299" s="18">
        <f>IFERROR(__xludf.DUMMYFUNCTION("""COMPUTED_VALUE"""),45064.0)</f>
        <v>45064</v>
      </c>
      <c r="L6299" s="17">
        <f>IFERROR(__xludf.DUMMYFUNCTION("""COMPUTED_VALUE"""),3.005231027E9)</f>
        <v>3005231027</v>
      </c>
      <c r="M6299" s="17" t="str">
        <f>IFERROR(__xludf.DUMMYFUNCTION("""COMPUTED_VALUE"""),"#REF!")</f>
        <v>#REF!</v>
      </c>
      <c r="N6299" s="17"/>
      <c r="O6299" s="17"/>
      <c r="P6299" s="17" t="b">
        <f>IFERROR(__xludf.DUMMYFUNCTION("""COMPUTED_VALUE"""),FALSE)</f>
        <v>0</v>
      </c>
      <c r="Q6299" s="20" t="str">
        <f>IFERROR(__xludf.DUMMYFUNCTION("""COMPUTED_VALUE"""),"")</f>
        <v/>
      </c>
      <c r="R6299" s="21" t="str">
        <f>IFERROR(__xludf.DUMMYFUNCTION("""COMPUTED_VALUE"""),"https://drive.google.com/file/d/1RjnOM4zcJ9DDjDEnE7B4mEAnobbmtXIo/view?usp=drivesdk")</f>
        <v>https://drive.google.com/file/d/1RjnOM4zcJ9DDjDEnE7B4mEAnobbmtXIo/view?usp=drivesdk</v>
      </c>
    </row>
    <row r="6300">
      <c r="A6300" s="15">
        <f>IFERROR(__xludf.DUMMYFUNCTION("""COMPUTED_VALUE"""),45181.0)</f>
        <v>45181</v>
      </c>
      <c r="B6300" s="16" t="str">
        <f>IFERROR(__xludf.DUMMYFUNCTION("""COMPUTED_VALUE"""),"Jhon Anderson Ceballos Hernandez")</f>
        <v>Jhon Anderson Ceballos Hernandez</v>
      </c>
      <c r="C6300" s="15" t="str">
        <f>IFERROR(__xludf.DUMMYFUNCTION("""COMPUTED_VALUE"""),"MANIZALES")</f>
        <v>MANIZALES</v>
      </c>
      <c r="D6300" s="15" t="str">
        <f>IFERROR(__xludf.DUMMYFUNCTION("""COMPUTED_VALUE"""),"BOGOTÁ")</f>
        <v>BOGOTÁ</v>
      </c>
      <c r="E6300" s="15" t="str">
        <f>IFERROR(__xludf.DUMMYFUNCTION("""COMPUTED_VALUE"""),"Evamazzita")</f>
        <v>Evamazzita</v>
      </c>
      <c r="F6300" s="17" t="str">
        <f>IFERROR(__xludf.DUMMYFUNCTION("""COMPUTED_VALUE"""),"robles de bella suiza Apto 1808 Av Kevin Ángel  Manizales / robles de bella suiza Apto 1808 Av Kevin Ángel  Manizales")</f>
        <v>robles de bella suiza Apto 1808 Av Kevin Ángel  Manizales / robles de bella suiza Apto 1808 Av Kevin Ángel  Manizales</v>
      </c>
      <c r="G6300" s="15" t="str">
        <f>IFERROR(__xludf.DUMMYFUNCTION("""COMPUTED_VALUE"""),"LILIANA ANDREA TRUJILLO")</f>
        <v>LILIANA ANDREA TRUJILLO</v>
      </c>
      <c r="H6300" s="16">
        <f>IFERROR(__xludf.DUMMYFUNCTION("""COMPUTED_VALUE"""),15098.0)</f>
        <v>15098</v>
      </c>
      <c r="I6300" s="18">
        <f>IFERROR(__xludf.DUMMYFUNCTION("""COMPUTED_VALUE"""),1.0)</f>
        <v>1</v>
      </c>
      <c r="J6300" s="18">
        <f>IFERROR(__xludf.DUMMYFUNCTION("""COMPUTED_VALUE"""),1.0)</f>
        <v>1</v>
      </c>
      <c r="K6300" s="18">
        <f>IFERROR(__xludf.DUMMYFUNCTION("""COMPUTED_VALUE"""),1.0)</f>
        <v>1</v>
      </c>
      <c r="L6300" s="17">
        <f>IFERROR(__xludf.DUMMYFUNCTION("""COMPUTED_VALUE"""),3.20804821E9)</f>
        <v>3208048210</v>
      </c>
      <c r="M6300" s="17" t="str">
        <f>IFERROR(__xludf.DUMMYFUNCTION("""COMPUTED_VALUE"""),"#REF!")</f>
        <v>#REF!</v>
      </c>
      <c r="N6300" s="17"/>
      <c r="O6300" s="17"/>
      <c r="P6300" s="17" t="b">
        <f>IFERROR(__xludf.DUMMYFUNCTION("""COMPUTED_VALUE"""),FALSE)</f>
        <v>0</v>
      </c>
      <c r="Q6300" s="20" t="str">
        <f>IFERROR(__xludf.DUMMYFUNCTION("""COMPUTED_VALUE"""),"")</f>
        <v/>
      </c>
      <c r="R6300" s="21" t="str">
        <f>IFERROR(__xludf.DUMMYFUNCTION("""COMPUTED_VALUE"""),"https://drive.google.com/file/d/1U2_nlHAox-sd-CHg23DWLdbnrf9r2GCv/view?usp=drivesdk")</f>
        <v>https://drive.google.com/file/d/1U2_nlHAox-sd-CHg23DWLdbnrf9r2GCv/view?usp=drivesdk</v>
      </c>
    </row>
    <row r="6301">
      <c r="A6301" s="15">
        <f>IFERROR(__xludf.DUMMYFUNCTION("""COMPUTED_VALUE"""),45181.0)</f>
        <v>45181</v>
      </c>
      <c r="B6301" s="16" t="str">
        <f>IFERROR(__xludf.DUMMYFUNCTION("""COMPUTED_VALUE"""),"Jhon Anderson Ceballos Hernandez")</f>
        <v>Jhon Anderson Ceballos Hernandez</v>
      </c>
      <c r="C6301" s="15" t="str">
        <f>IFERROR(__xludf.DUMMYFUNCTION("""COMPUTED_VALUE"""),"MANIZALES")</f>
        <v>MANIZALES</v>
      </c>
      <c r="D6301" s="15" t="str">
        <f>IFERROR(__xludf.DUMMYFUNCTION("""COMPUTED_VALUE"""),"MEDELLÍN")</f>
        <v>MEDELLÍN</v>
      </c>
      <c r="E6301" s="15" t="str">
        <f>IFERROR(__xludf.DUMMYFUNCTION("""COMPUTED_VALUE"""),"Todo Bufala")</f>
        <v>Todo Bufala</v>
      </c>
      <c r="F6301" s="17" t="str">
        <f>IFERROR(__xludf.DUMMYFUNCTION("""COMPUTED_VALUE"""),"Calle 66 #23B - 211 / Edifico calle larga, local 5c")</f>
        <v>Calle 66 #23B - 211 / Edifico calle larga, local 5c</v>
      </c>
      <c r="G6301" s="15" t="str">
        <f>IFERROR(__xludf.DUMMYFUNCTION("""COMPUTED_VALUE"""),"Sebastian Perez Pineda")</f>
        <v>Sebastian Perez Pineda</v>
      </c>
      <c r="H6301" s="16">
        <f>IFERROR(__xludf.DUMMYFUNCTION("""COMPUTED_VALUE"""),14966.0)</f>
        <v>14966</v>
      </c>
      <c r="I6301" s="18">
        <f>IFERROR(__xludf.DUMMYFUNCTION("""COMPUTED_VALUE"""),20.0)</f>
        <v>20</v>
      </c>
      <c r="J6301" s="18">
        <f>IFERROR(__xludf.DUMMYFUNCTION("""COMPUTED_VALUE"""),30.0)</f>
        <v>30</v>
      </c>
      <c r="K6301" s="18">
        <f>IFERROR(__xludf.DUMMYFUNCTION("""COMPUTED_VALUE"""),40.0)</f>
        <v>40</v>
      </c>
      <c r="L6301" s="17">
        <f>IFERROR(__xludf.DUMMYFUNCTION("""COMPUTED_VALUE"""),3.106974621E9)</f>
        <v>3106974621</v>
      </c>
      <c r="M6301" s="17" t="str">
        <f>IFERROR(__xludf.DUMMYFUNCTION("""COMPUTED_VALUE"""),"#REF!")</f>
        <v>#REF!</v>
      </c>
      <c r="N6301" s="17"/>
      <c r="O6301" s="17"/>
      <c r="P6301" s="17" t="b">
        <f>IFERROR(__xludf.DUMMYFUNCTION("""COMPUTED_VALUE"""),FALSE)</f>
        <v>0</v>
      </c>
      <c r="Q6301" s="20" t="str">
        <f>IFERROR(__xludf.DUMMYFUNCTION("""COMPUTED_VALUE"""),"")</f>
        <v/>
      </c>
      <c r="R6301" s="22" t="str">
        <f>IFERROR(__xludf.DUMMYFUNCTION("""COMPUTED_VALUE"""),"")</f>
        <v/>
      </c>
    </row>
    <row r="6302">
      <c r="A6302" s="15">
        <f>IFERROR(__xludf.DUMMYFUNCTION("""COMPUTED_VALUE"""),45181.0)</f>
        <v>45181</v>
      </c>
      <c r="B6302" s="16" t="str">
        <f>IFERROR(__xludf.DUMMYFUNCTION("""COMPUTED_VALUE"""),"Jhon Anderson Ceballos Hernandez")</f>
        <v>Jhon Anderson Ceballos Hernandez</v>
      </c>
      <c r="C6302" s="15" t="str">
        <f>IFERROR(__xludf.DUMMYFUNCTION("""COMPUTED_VALUE"""),"ZIPAQUIRA")</f>
        <v>ZIPAQUIRA</v>
      </c>
      <c r="D6302" s="15" t="str">
        <f>IFERROR(__xludf.DUMMYFUNCTION("""COMPUTED_VALUE"""),"BUCARAMANGA")</f>
        <v>BUCARAMANGA</v>
      </c>
      <c r="E6302" s="15" t="str">
        <f>IFERROR(__xludf.DUMMYFUNCTION("""COMPUTED_VALUE"""),"Yo Como Solito")</f>
        <v>Yo Como Solito</v>
      </c>
      <c r="F6302" s="17" t="str">
        <f>IFERROR(__xludf.DUMMYFUNCTION("""COMPUTED_VALUE"""),"DIAGONAL 4B #31-20 TORRE 11 APTO 644 SIENNA LA TOSCANA / DIAGONAL 4B #31-20 TORRE 11 APTO 644 SIENNA LA TOSCANA / DIAGONAL 4B #31-20 TORRE 11 APTO 644 SIENNA LA TOSCANA")</f>
        <v>DIAGONAL 4B #31-20 TORRE 11 APTO 644 SIENNA LA TOSCANA / DIAGONAL 4B #31-20 TORRE 11 APTO 644 SIENNA LA TOSCANA / DIAGONAL 4B #31-20 TORRE 11 APTO 644 SIENNA LA TOSCANA</v>
      </c>
      <c r="G6302" s="15" t="str">
        <f>IFERROR(__xludf.DUMMYFUNCTION("""COMPUTED_VALUE"""),"DIANA CAROLINA DIAZ")</f>
        <v>DIANA CAROLINA DIAZ</v>
      </c>
      <c r="H6302" s="16">
        <f>IFERROR(__xludf.DUMMYFUNCTION("""COMPUTED_VALUE"""),14922.0)</f>
        <v>14922</v>
      </c>
      <c r="I6302" s="18">
        <f>IFERROR(__xludf.DUMMYFUNCTION("""COMPUTED_VALUE"""),9.0)</f>
        <v>9</v>
      </c>
      <c r="J6302" s="18">
        <f>IFERROR(__xludf.DUMMYFUNCTION("""COMPUTED_VALUE"""),21.0)</f>
        <v>21</v>
      </c>
      <c r="K6302" s="18">
        <f>IFERROR(__xludf.DUMMYFUNCTION("""COMPUTED_VALUE"""),26.0)</f>
        <v>26</v>
      </c>
      <c r="L6302" s="17">
        <f>IFERROR(__xludf.DUMMYFUNCTION("""COMPUTED_VALUE"""),3.185572046E9)</f>
        <v>3185572046</v>
      </c>
      <c r="M6302" s="17" t="str">
        <f>IFERROR(__xludf.DUMMYFUNCTION("""COMPUTED_VALUE"""),"#REF!")</f>
        <v>#REF!</v>
      </c>
      <c r="N6302" s="17"/>
      <c r="O6302" s="17"/>
      <c r="P6302" s="17" t="b">
        <f>IFERROR(__xludf.DUMMYFUNCTION("""COMPUTED_VALUE"""),FALSE)</f>
        <v>0</v>
      </c>
      <c r="Q6302" s="20" t="str">
        <f>IFERROR(__xludf.DUMMYFUNCTION("""COMPUTED_VALUE"""),"")</f>
        <v/>
      </c>
      <c r="R6302" s="22" t="str">
        <f>IFERROR(__xludf.DUMMYFUNCTION("""COMPUTED_VALUE"""),"")</f>
        <v/>
      </c>
    </row>
    <row r="6303">
      <c r="A6303" s="17" t="str">
        <f>IFERROR(__xludf.DUMMYFUNCTION("""COMPUTED_VALUE"""),"")</f>
        <v/>
      </c>
      <c r="B6303" s="17" t="str">
        <f>IFERROR(__xludf.DUMMYFUNCTION("""COMPUTED_VALUE"""),"")</f>
        <v/>
      </c>
      <c r="C6303" s="17" t="str">
        <f>IFERROR(__xludf.DUMMYFUNCTION("""COMPUTED_VALUE"""),"")</f>
        <v/>
      </c>
      <c r="D6303" s="17" t="str">
        <f>IFERROR(__xludf.DUMMYFUNCTION("""COMPUTED_VALUE"""),"")</f>
        <v/>
      </c>
      <c r="E6303" s="17" t="str">
        <f>IFERROR(__xludf.DUMMYFUNCTION("""COMPUTED_VALUE"""),"")</f>
        <v/>
      </c>
      <c r="F6303" s="17" t="str">
        <f>IFERROR(__xludf.DUMMYFUNCTION("""COMPUTED_VALUE"""),"")</f>
        <v/>
      </c>
      <c r="G6303" s="17" t="str">
        <f>IFERROR(__xludf.DUMMYFUNCTION("""COMPUTED_VALUE"""),"")</f>
        <v/>
      </c>
      <c r="H6303" s="17" t="str">
        <f>IFERROR(__xludf.DUMMYFUNCTION("""COMPUTED_VALUE"""),"")</f>
        <v/>
      </c>
      <c r="I6303" s="17" t="str">
        <f>IFERROR(__xludf.DUMMYFUNCTION("""COMPUTED_VALUE"""),"")</f>
        <v/>
      </c>
      <c r="J6303" s="17" t="str">
        <f>IFERROR(__xludf.DUMMYFUNCTION("""COMPUTED_VALUE"""),"")</f>
        <v/>
      </c>
      <c r="K6303" s="17" t="str">
        <f>IFERROR(__xludf.DUMMYFUNCTION("""COMPUTED_VALUE"""),"")</f>
        <v/>
      </c>
      <c r="L6303" s="17" t="str">
        <f>IFERROR(__xludf.DUMMYFUNCTION("""COMPUTED_VALUE"""),"")</f>
        <v/>
      </c>
      <c r="M6303" s="17" t="str">
        <f>IFERROR(__xludf.DUMMYFUNCTION("""COMPUTED_VALUE"""),"")</f>
        <v/>
      </c>
      <c r="N6303" s="17" t="str">
        <f>IFERROR(__xludf.DUMMYFUNCTION("""COMPUTED_VALUE"""),"")</f>
        <v/>
      </c>
      <c r="O6303" s="17" t="str">
        <f>IFERROR(__xludf.DUMMYFUNCTION("""COMPUTED_VALUE"""),"")</f>
        <v/>
      </c>
      <c r="P6303" s="17" t="str">
        <f>IFERROR(__xludf.DUMMYFUNCTION("""COMPUTED_VALUE"""),"")</f>
        <v/>
      </c>
      <c r="Q6303" s="17" t="str">
        <f>IFERROR(__xludf.DUMMYFUNCTION("""COMPUTED_VALUE"""),"")</f>
        <v/>
      </c>
      <c r="R6303" s="17" t="str">
        <f>IFERROR(__xludf.DUMMYFUNCTION("""COMPUTED_VALUE"""),"")</f>
        <v/>
      </c>
    </row>
    <row r="6304">
      <c r="A6304" s="15">
        <f>IFERROR(__xludf.DUMMYFUNCTION("""COMPUTED_VALUE"""),45181.0)</f>
        <v>45181</v>
      </c>
      <c r="B6304" s="16" t="str">
        <f>IFERROR(__xludf.DUMMYFUNCTION("""COMPUTED_VALUE"""),"Johan Alexander Escobar Arroyo ")</f>
        <v>Johan Alexander Escobar Arroyo </v>
      </c>
      <c r="C6304" s="15" t="str">
        <f>IFERROR(__xludf.DUMMYFUNCTION("""COMPUTED_VALUE"""),"CALI")</f>
        <v>CALI</v>
      </c>
      <c r="D6304" s="15" t="str">
        <f>IFERROR(__xludf.DUMMYFUNCTION("""COMPUTED_VALUE"""),"BOGOTÁ")</f>
        <v>BOGOTÁ</v>
      </c>
      <c r="E6304" s="15" t="str">
        <f>IFERROR(__xludf.DUMMYFUNCTION("""COMPUTED_VALUE"""),"50 Gr Alfajores")</f>
        <v>50 Gr Alfajores</v>
      </c>
      <c r="F6304" s="17" t="str">
        <f>IFERROR(__xludf.DUMMYFUNCTION("""COMPUTED_VALUE"""),"Av 9 norte # 24 an - 78 / Cali / Valle")</f>
        <v>Av 9 norte # 24 an - 78 / Cali / Valle</v>
      </c>
      <c r="G6304" s="15" t="str">
        <f>IFERROR(__xludf.DUMMYFUNCTION("""COMPUTED_VALUE"""),"Varela Navaez Mónica")</f>
        <v>Varela Navaez Mónica</v>
      </c>
      <c r="H6304" s="16">
        <f>IFERROR(__xludf.DUMMYFUNCTION("""COMPUTED_VALUE"""),14977.0)</f>
        <v>14977</v>
      </c>
      <c r="I6304" s="18">
        <f>IFERROR(__xludf.DUMMYFUNCTION("""COMPUTED_VALUE"""),5.0)</f>
        <v>5</v>
      </c>
      <c r="J6304" s="18">
        <f>IFERROR(__xludf.DUMMYFUNCTION("""COMPUTED_VALUE"""),13.0)</f>
        <v>13</v>
      </c>
      <c r="K6304" s="18">
        <f>IFERROR(__xludf.DUMMYFUNCTION("""COMPUTED_VALUE"""),45064.0)</f>
        <v>45064</v>
      </c>
      <c r="L6304" s="17">
        <f>IFERROR(__xludf.DUMMYFUNCTION("""COMPUTED_VALUE"""),3.117191114E9)</f>
        <v>3117191114</v>
      </c>
      <c r="M6304" s="17" t="str">
        <f>IFERROR(__xludf.DUMMYFUNCTION("""COMPUTED_VALUE"""),"#REF!")</f>
        <v>#REF!</v>
      </c>
      <c r="N6304" s="17"/>
      <c r="O6304" s="17"/>
      <c r="P6304" s="17" t="b">
        <f>IFERROR(__xludf.DUMMYFUNCTION("""COMPUTED_VALUE"""),FALSE)</f>
        <v>0</v>
      </c>
      <c r="Q6304" s="20" t="str">
        <f>IFERROR(__xludf.DUMMYFUNCTION("""COMPUTED_VALUE"""),"")</f>
        <v/>
      </c>
      <c r="R6304" s="21" t="str">
        <f>IFERROR(__xludf.DUMMYFUNCTION("""COMPUTED_VALUE"""),"https://drive.google.com/file/d/1jTXfdhFOv978-bCzgiB1zAUij2APCJm_/view?usp=drivesdk")</f>
        <v>https://drive.google.com/file/d/1jTXfdhFOv978-bCzgiB1zAUij2APCJm_/view?usp=drivesdk</v>
      </c>
    </row>
    <row r="6305">
      <c r="A6305" s="15">
        <f>IFERROR(__xludf.DUMMYFUNCTION("""COMPUTED_VALUE"""),45181.0)</f>
        <v>45181</v>
      </c>
      <c r="B6305" s="16" t="str">
        <f>IFERROR(__xludf.DUMMYFUNCTION("""COMPUTED_VALUE"""),"Johan Alexander Escobar Arroyo ")</f>
        <v>Johan Alexander Escobar Arroyo </v>
      </c>
      <c r="C6305" s="15" t="str">
        <f>IFERROR(__xludf.DUMMYFUNCTION("""COMPUTED_VALUE"""),"CALI")</f>
        <v>CALI</v>
      </c>
      <c r="D6305" s="15" t="str">
        <f>IFERROR(__xludf.DUMMYFUNCTION("""COMPUTED_VALUE"""),"BOGOTÁ")</f>
        <v>BOGOTÁ</v>
      </c>
      <c r="E6305" s="15" t="str">
        <f>IFERROR(__xludf.DUMMYFUNCTION("""COMPUTED_VALUE"""),"50 Gr Alfajores")</f>
        <v>50 Gr Alfajores</v>
      </c>
      <c r="F6305" s="17" t="str">
        <f>IFERROR(__xludf.DUMMYFUNCTION("""COMPUTED_VALUE"""),"Calle 15 #56 - 155,  / Sayab  / 402D")</f>
        <v>Calle 15 #56 - 155,  / Sayab  / 402D</v>
      </c>
      <c r="G6305" s="15" t="str">
        <f>IFERROR(__xludf.DUMMYFUNCTION("""COMPUTED_VALUE"""),"Gonzalez Campo Nilson Jacob")</f>
        <v>Gonzalez Campo Nilson Jacob</v>
      </c>
      <c r="H6305" s="16">
        <f>IFERROR(__xludf.DUMMYFUNCTION("""COMPUTED_VALUE"""),14979.0)</f>
        <v>14979</v>
      </c>
      <c r="I6305" s="18">
        <f>IFERROR(__xludf.DUMMYFUNCTION("""COMPUTED_VALUE"""),5.0)</f>
        <v>5</v>
      </c>
      <c r="J6305" s="18">
        <f>IFERROR(__xludf.DUMMYFUNCTION("""COMPUTED_VALUE"""),13.0)</f>
        <v>13</v>
      </c>
      <c r="K6305" s="18">
        <f>IFERROR(__xludf.DUMMYFUNCTION("""COMPUTED_VALUE"""),45064.0)</f>
        <v>45064</v>
      </c>
      <c r="L6305" s="17">
        <f>IFERROR(__xludf.DUMMYFUNCTION("""COMPUTED_VALUE"""),3.156994568E9)</f>
        <v>3156994568</v>
      </c>
      <c r="M6305" s="17" t="str">
        <f>IFERROR(__xludf.DUMMYFUNCTION("""COMPUTED_VALUE"""),"#REF!")</f>
        <v>#REF!</v>
      </c>
      <c r="N6305" s="17"/>
      <c r="O6305" s="17"/>
      <c r="P6305" s="17" t="b">
        <f>IFERROR(__xludf.DUMMYFUNCTION("""COMPUTED_VALUE"""),FALSE)</f>
        <v>0</v>
      </c>
      <c r="Q6305" s="20" t="str">
        <f>IFERROR(__xludf.DUMMYFUNCTION("""COMPUTED_VALUE"""),"")</f>
        <v/>
      </c>
      <c r="R6305" s="21" t="str">
        <f>IFERROR(__xludf.DUMMYFUNCTION("""COMPUTED_VALUE"""),"https://drive.google.com/file/d/1KIc00PLSIuHnWhnskWw8Gl301IhkAIl6/view?usp=drivesdk")</f>
        <v>https://drive.google.com/file/d/1KIc00PLSIuHnWhnskWw8Gl301IhkAIl6/view?usp=drivesdk</v>
      </c>
    </row>
    <row r="6306">
      <c r="A6306" s="15">
        <f>IFERROR(__xludf.DUMMYFUNCTION("""COMPUTED_VALUE"""),45181.0)</f>
        <v>45181</v>
      </c>
      <c r="B6306" s="16" t="str">
        <f>IFERROR(__xludf.DUMMYFUNCTION("""COMPUTED_VALUE"""),"Johan Alexander Escobar Arroyo ")</f>
        <v>Johan Alexander Escobar Arroyo </v>
      </c>
      <c r="C6306" s="15" t="str">
        <f>IFERROR(__xludf.DUMMYFUNCTION("""COMPUTED_VALUE"""),"CALI")</f>
        <v>CALI</v>
      </c>
      <c r="D6306" s="15" t="str">
        <f>IFERROR(__xludf.DUMMYFUNCTION("""COMPUTED_VALUE"""),"BOGOTÁ")</f>
        <v>BOGOTÁ</v>
      </c>
      <c r="E6306" s="15" t="str">
        <f>IFERROR(__xludf.DUMMYFUNCTION("""COMPUTED_VALUE"""),"50 Gr Alfajores")</f>
        <v>50 Gr Alfajores</v>
      </c>
      <c r="F6306" s="17" t="str">
        <f>IFERROR(__xludf.DUMMYFUNCTION("""COMPUTED_VALUE"""),"CALLE 18 # 83-29 -  / EDIFICIO TERRA CAÑA - / APTO 401")</f>
        <v>CALLE 18 # 83-29 -  / EDIFICIO TERRA CAÑA - / APTO 401</v>
      </c>
      <c r="G6306" s="15" t="str">
        <f>IFERROR(__xludf.DUMMYFUNCTION("""COMPUTED_VALUE"""),"Dueñas Libreros Guillermo Leon")</f>
        <v>Dueñas Libreros Guillermo Leon</v>
      </c>
      <c r="H6306" s="16">
        <f>IFERROR(__xludf.DUMMYFUNCTION("""COMPUTED_VALUE"""),14978.0)</f>
        <v>14978</v>
      </c>
      <c r="I6306" s="18">
        <f>IFERROR(__xludf.DUMMYFUNCTION("""COMPUTED_VALUE"""),5.0)</f>
        <v>5</v>
      </c>
      <c r="J6306" s="18">
        <f>IFERROR(__xludf.DUMMYFUNCTION("""COMPUTED_VALUE"""),13.0)</f>
        <v>13</v>
      </c>
      <c r="K6306" s="18">
        <f>IFERROR(__xludf.DUMMYFUNCTION("""COMPUTED_VALUE"""),45064.0)</f>
        <v>45064</v>
      </c>
      <c r="L6306" s="17">
        <f>IFERROR(__xludf.DUMMYFUNCTION("""COMPUTED_VALUE"""),3.233667911E9)</f>
        <v>3233667911</v>
      </c>
      <c r="M6306" s="17" t="str">
        <f>IFERROR(__xludf.DUMMYFUNCTION("""COMPUTED_VALUE"""),"#REF!")</f>
        <v>#REF!</v>
      </c>
      <c r="N6306" s="17"/>
      <c r="O6306" s="17"/>
      <c r="P6306" s="17" t="b">
        <f>IFERROR(__xludf.DUMMYFUNCTION("""COMPUTED_VALUE"""),TRUE)</f>
        <v>1</v>
      </c>
      <c r="Q6306" s="20">
        <f>IFERROR(__xludf.DUMMYFUNCTION("""COMPUTED_VALUE"""),45181.48825815972)</f>
        <v>45181.48826</v>
      </c>
      <c r="R6306" s="21" t="str">
        <f>IFERROR(__xludf.DUMMYFUNCTION("""COMPUTED_VALUE"""),"https://drive.google.com/file/d/1csJu2cmueyeakIl3T911zrwfkhUpTwPm/view?usp=drivesdk")</f>
        <v>https://drive.google.com/file/d/1csJu2cmueyeakIl3T911zrwfkhUpTwPm/view?usp=drivesdk</v>
      </c>
    </row>
    <row r="6307">
      <c r="A6307" s="15">
        <f>IFERROR(__xludf.DUMMYFUNCTION("""COMPUTED_VALUE"""),45181.0)</f>
        <v>45181</v>
      </c>
      <c r="B6307" s="16" t="str">
        <f>IFERROR(__xludf.DUMMYFUNCTION("""COMPUTED_VALUE"""),"Johan Alexander Escobar Arroyo ")</f>
        <v>Johan Alexander Escobar Arroyo </v>
      </c>
      <c r="C6307" s="15" t="str">
        <f>IFERROR(__xludf.DUMMYFUNCTION("""COMPUTED_VALUE"""),"CALI")</f>
        <v>CALI</v>
      </c>
      <c r="D6307" s="15" t="str">
        <f>IFERROR(__xludf.DUMMYFUNCTION("""COMPUTED_VALUE"""),"BOGOTÁ")</f>
        <v>BOGOTÁ</v>
      </c>
      <c r="E6307" s="15" t="str">
        <f>IFERROR(__xludf.DUMMYFUNCTION("""COMPUTED_VALUE"""),"50 Gr Alfajores")</f>
        <v>50 Gr Alfajores</v>
      </c>
      <c r="F6307" s="17" t="str">
        <f>IFERROR(__xludf.DUMMYFUNCTION("""COMPUTED_VALUE"""),"Calle 20 #101A-37 /  Apartment 815 / Cali")</f>
        <v>Calle 20 #101A-37 /  Apartment 815 / Cali</v>
      </c>
      <c r="G6307" s="15" t="str">
        <f>IFERROR(__xludf.DUMMYFUNCTION("""COMPUTED_VALUE"""),"Montes Cuevas Oscar Andrés")</f>
        <v>Montes Cuevas Oscar Andrés</v>
      </c>
      <c r="H6307" s="16">
        <f>IFERROR(__xludf.DUMMYFUNCTION("""COMPUTED_VALUE"""),14981.0)</f>
        <v>14981</v>
      </c>
      <c r="I6307" s="18">
        <f>IFERROR(__xludf.DUMMYFUNCTION("""COMPUTED_VALUE"""),5.0)</f>
        <v>5</v>
      </c>
      <c r="J6307" s="18">
        <f>IFERROR(__xludf.DUMMYFUNCTION("""COMPUTED_VALUE"""),13.0)</f>
        <v>13</v>
      </c>
      <c r="K6307" s="18">
        <f>IFERROR(__xludf.DUMMYFUNCTION("""COMPUTED_VALUE"""),45064.0)</f>
        <v>45064</v>
      </c>
      <c r="L6307" s="17">
        <f>IFERROR(__xludf.DUMMYFUNCTION("""COMPUTED_VALUE"""),3.057751378E9)</f>
        <v>3057751378</v>
      </c>
      <c r="M6307" s="17" t="str">
        <f>IFERROR(__xludf.DUMMYFUNCTION("""COMPUTED_VALUE"""),"#REF!")</f>
        <v>#REF!</v>
      </c>
      <c r="N6307" s="17"/>
      <c r="O6307" s="17"/>
      <c r="P6307" s="17" t="b">
        <f>IFERROR(__xludf.DUMMYFUNCTION("""COMPUTED_VALUE"""),FALSE)</f>
        <v>0</v>
      </c>
      <c r="Q6307" s="20" t="str">
        <f>IFERROR(__xludf.DUMMYFUNCTION("""COMPUTED_VALUE"""),"")</f>
        <v/>
      </c>
      <c r="R6307" s="21" t="str">
        <f>IFERROR(__xludf.DUMMYFUNCTION("""COMPUTED_VALUE"""),"https://drive.google.com/file/d/1p97nrl5LotXkPAKTCI4ZUSiFod4zVonJ/view?usp=drivesdk")</f>
        <v>https://drive.google.com/file/d/1p97nrl5LotXkPAKTCI4ZUSiFod4zVonJ/view?usp=drivesdk</v>
      </c>
    </row>
    <row r="6308">
      <c r="A6308" s="15">
        <f>IFERROR(__xludf.DUMMYFUNCTION("""COMPUTED_VALUE"""),45181.0)</f>
        <v>45181</v>
      </c>
      <c r="B6308" s="16" t="str">
        <f>IFERROR(__xludf.DUMMYFUNCTION("""COMPUTED_VALUE"""),"Johan Alexander Escobar Arroyo ")</f>
        <v>Johan Alexander Escobar Arroyo </v>
      </c>
      <c r="C6308" s="15" t="str">
        <f>IFERROR(__xludf.DUMMYFUNCTION("""COMPUTED_VALUE"""),"CALI")</f>
        <v>CALI</v>
      </c>
      <c r="D6308" s="15" t="str">
        <f>IFERROR(__xludf.DUMMYFUNCTION("""COMPUTED_VALUE"""),"BOGOTÁ")</f>
        <v>BOGOTÁ</v>
      </c>
      <c r="E6308" s="15" t="str">
        <f>IFERROR(__xludf.DUMMYFUNCTION("""COMPUTED_VALUE"""),"50 Gr Alfajores")</f>
        <v>50 Gr Alfajores</v>
      </c>
      <c r="F6308" s="17" t="str">
        <f>IFERROR(__xludf.DUMMYFUNCTION("""COMPUTED_VALUE"""),"Calle 50 No 99 - 74 /  Apto 1204 Torre 3  / Unidad BANYO")</f>
        <v>Calle 50 No 99 - 74 /  Apto 1204 Torre 3  / Unidad BANYO</v>
      </c>
      <c r="G6308" s="15" t="str">
        <f>IFERROR(__xludf.DUMMYFUNCTION("""COMPUTED_VALUE"""),"Vainstein Dani")</f>
        <v>Vainstein Dani</v>
      </c>
      <c r="H6308" s="16">
        <f>IFERROR(__xludf.DUMMYFUNCTION("""COMPUTED_VALUE"""),14980.0)</f>
        <v>14980</v>
      </c>
      <c r="I6308" s="18">
        <f>IFERROR(__xludf.DUMMYFUNCTION("""COMPUTED_VALUE"""),5.0)</f>
        <v>5</v>
      </c>
      <c r="J6308" s="18">
        <f>IFERROR(__xludf.DUMMYFUNCTION("""COMPUTED_VALUE"""),13.0)</f>
        <v>13</v>
      </c>
      <c r="K6308" s="18">
        <f>IFERROR(__xludf.DUMMYFUNCTION("""COMPUTED_VALUE"""),45064.0)</f>
        <v>45064</v>
      </c>
      <c r="L6308" s="17">
        <f>IFERROR(__xludf.DUMMYFUNCTION("""COMPUTED_VALUE"""),3.102634623E9)</f>
        <v>3102634623</v>
      </c>
      <c r="M6308" s="17" t="str">
        <f>IFERROR(__xludf.DUMMYFUNCTION("""COMPUTED_VALUE"""),"#REF!")</f>
        <v>#REF!</v>
      </c>
      <c r="N6308" s="17"/>
      <c r="O6308" s="17"/>
      <c r="P6308" s="17" t="b">
        <f>IFERROR(__xludf.DUMMYFUNCTION("""COMPUTED_VALUE"""),TRUE)</f>
        <v>1</v>
      </c>
      <c r="Q6308" s="20">
        <f>IFERROR(__xludf.DUMMYFUNCTION("""COMPUTED_VALUE"""),45181.60490118056)</f>
        <v>45181.6049</v>
      </c>
      <c r="R6308" s="21" t="str">
        <f>IFERROR(__xludf.DUMMYFUNCTION("""COMPUTED_VALUE"""),"https://drive.google.com/file/d/1JMJJ3FTU5nUUIaIUHzIfZmEj68cjjpDB/view?usp=drivesdk")</f>
        <v>https://drive.google.com/file/d/1JMJJ3FTU5nUUIaIUHzIfZmEj68cjjpDB/view?usp=drivesdk</v>
      </c>
    </row>
    <row r="6309">
      <c r="A6309" s="15">
        <f>IFERROR(__xludf.DUMMYFUNCTION("""COMPUTED_VALUE"""),45181.0)</f>
        <v>45181</v>
      </c>
      <c r="B6309" s="16" t="str">
        <f>IFERROR(__xludf.DUMMYFUNCTION("""COMPUTED_VALUE"""),"Johan Alexander Escobar Arroyo ")</f>
        <v>Johan Alexander Escobar Arroyo </v>
      </c>
      <c r="C6309" s="15" t="str">
        <f>IFERROR(__xludf.DUMMYFUNCTION("""COMPUTED_VALUE"""),"CALI")</f>
        <v>CALI</v>
      </c>
      <c r="D6309" s="15" t="str">
        <f>IFERROR(__xludf.DUMMYFUNCTION("""COMPUTED_VALUE"""),"BOGOTÁ")</f>
        <v>BOGOTÁ</v>
      </c>
      <c r="E6309" s="15" t="str">
        <f>IFERROR(__xludf.DUMMYFUNCTION("""COMPUTED_VALUE"""),"50 Gr Alfajores")</f>
        <v>50 Gr Alfajores</v>
      </c>
      <c r="F6309" s="17" t="str">
        <f>IFERROR(__xludf.DUMMYFUNCTION("""COMPUTED_VALUE"""),"Carrera 47 43-44 / Cali / Valle")</f>
        <v>Carrera 47 43-44 / Cali / Valle</v>
      </c>
      <c r="G6309" s="15" t="str">
        <f>IFERROR(__xludf.DUMMYFUNCTION("""COMPUTED_VALUE"""),"Sabogal Andrés Felipe")</f>
        <v>Sabogal Andrés Felipe</v>
      </c>
      <c r="H6309" s="16">
        <f>IFERROR(__xludf.DUMMYFUNCTION("""COMPUTED_VALUE"""),14984.0)</f>
        <v>14984</v>
      </c>
      <c r="I6309" s="18">
        <f>IFERROR(__xludf.DUMMYFUNCTION("""COMPUTED_VALUE"""),5.0)</f>
        <v>5</v>
      </c>
      <c r="J6309" s="18">
        <f>IFERROR(__xludf.DUMMYFUNCTION("""COMPUTED_VALUE"""),13.0)</f>
        <v>13</v>
      </c>
      <c r="K6309" s="18">
        <f>IFERROR(__xludf.DUMMYFUNCTION("""COMPUTED_VALUE"""),45064.0)</f>
        <v>45064</v>
      </c>
      <c r="L6309" s="17">
        <f>IFERROR(__xludf.DUMMYFUNCTION("""COMPUTED_VALUE"""),3.187950363E9)</f>
        <v>3187950363</v>
      </c>
      <c r="M6309" s="17" t="str">
        <f>IFERROR(__xludf.DUMMYFUNCTION("""COMPUTED_VALUE"""),"#REF!")</f>
        <v>#REF!</v>
      </c>
      <c r="N6309" s="17"/>
      <c r="O6309" s="17"/>
      <c r="P6309" s="17" t="b">
        <f>IFERROR(__xludf.DUMMYFUNCTION("""COMPUTED_VALUE"""),FALSE)</f>
        <v>0</v>
      </c>
      <c r="Q6309" s="20" t="str">
        <f>IFERROR(__xludf.DUMMYFUNCTION("""COMPUTED_VALUE"""),"")</f>
        <v/>
      </c>
      <c r="R6309" s="21" t="str">
        <f>IFERROR(__xludf.DUMMYFUNCTION("""COMPUTED_VALUE"""),"https://drive.google.com/file/d/1-Qa1ITwPkuQiRgmgG0Fc6nQyTa3PZ4je/view?usp=drivesdk")</f>
        <v>https://drive.google.com/file/d/1-Qa1ITwPkuQiRgmgG0Fc6nQyTa3PZ4je/view?usp=drivesdk</v>
      </c>
    </row>
    <row r="6310">
      <c r="A6310" s="15">
        <f>IFERROR(__xludf.DUMMYFUNCTION("""COMPUTED_VALUE"""),45181.0)</f>
        <v>45181</v>
      </c>
      <c r="B6310" s="16" t="str">
        <f>IFERROR(__xludf.DUMMYFUNCTION("""COMPUTED_VALUE"""),"Johan Alexander Escobar Arroyo ")</f>
        <v>Johan Alexander Escobar Arroyo </v>
      </c>
      <c r="C6310" s="15" t="str">
        <f>IFERROR(__xludf.DUMMYFUNCTION("""COMPUTED_VALUE"""),"CALI")</f>
        <v>CALI</v>
      </c>
      <c r="D6310" s="15" t="str">
        <f>IFERROR(__xludf.DUMMYFUNCTION("""COMPUTED_VALUE"""),"BOGOTÁ")</f>
        <v>BOGOTÁ</v>
      </c>
      <c r="E6310" s="15" t="str">
        <f>IFERROR(__xludf.DUMMYFUNCTION("""COMPUTED_VALUE"""),"50 Gr Alfajores")</f>
        <v>50 Gr Alfajores</v>
      </c>
      <c r="F6310" s="17" t="str">
        <f>IFERROR(__xludf.DUMMYFUNCTION("""COMPUTED_VALUE"""),"Cra 80 #5-220,  / apto 319  / Torre 6")</f>
        <v>Cra 80 #5-220,  / apto 319  / Torre 6</v>
      </c>
      <c r="G6310" s="15" t="str">
        <f>IFERROR(__xludf.DUMMYFUNCTION("""COMPUTED_VALUE"""),"Bayona Andrés Felipe")</f>
        <v>Bayona Andrés Felipe</v>
      </c>
      <c r="H6310" s="16">
        <f>IFERROR(__xludf.DUMMYFUNCTION("""COMPUTED_VALUE"""),14983.0)</f>
        <v>14983</v>
      </c>
      <c r="I6310" s="18">
        <f>IFERROR(__xludf.DUMMYFUNCTION("""COMPUTED_VALUE"""),5.0)</f>
        <v>5</v>
      </c>
      <c r="J6310" s="18">
        <f>IFERROR(__xludf.DUMMYFUNCTION("""COMPUTED_VALUE"""),13.0)</f>
        <v>13</v>
      </c>
      <c r="K6310" s="18">
        <f>IFERROR(__xludf.DUMMYFUNCTION("""COMPUTED_VALUE"""),45064.0)</f>
        <v>45064</v>
      </c>
      <c r="L6310" s="17">
        <f>IFERROR(__xludf.DUMMYFUNCTION("""COMPUTED_VALUE"""),3.224941405E9)</f>
        <v>3224941405</v>
      </c>
      <c r="M6310" s="17" t="str">
        <f>IFERROR(__xludf.DUMMYFUNCTION("""COMPUTED_VALUE"""),"#REF!")</f>
        <v>#REF!</v>
      </c>
      <c r="N6310" s="17"/>
      <c r="O6310" s="17"/>
      <c r="P6310" s="17" t="b">
        <f>IFERROR(__xludf.DUMMYFUNCTION("""COMPUTED_VALUE"""),FALSE)</f>
        <v>0</v>
      </c>
      <c r="Q6310" s="20" t="str">
        <f>IFERROR(__xludf.DUMMYFUNCTION("""COMPUTED_VALUE"""),"")</f>
        <v/>
      </c>
      <c r="R6310" s="21" t="str">
        <f>IFERROR(__xludf.DUMMYFUNCTION("""COMPUTED_VALUE"""),"https://drive.google.com/file/d/1j2KEGWZ4iTpg5ZNPJUYnQ7PN_O2Uv_E2/view?usp=drivesdk")</f>
        <v>https://drive.google.com/file/d/1j2KEGWZ4iTpg5ZNPJUYnQ7PN_O2Uv_E2/view?usp=drivesdk</v>
      </c>
    </row>
    <row r="6311">
      <c r="A6311" s="15">
        <f>IFERROR(__xludf.DUMMYFUNCTION("""COMPUTED_VALUE"""),45181.0)</f>
        <v>45181</v>
      </c>
      <c r="B6311" s="16" t="str">
        <f>IFERROR(__xludf.DUMMYFUNCTION("""COMPUTED_VALUE"""),"Johan Alexander Escobar Arroyo ")</f>
        <v>Johan Alexander Escobar Arroyo </v>
      </c>
      <c r="C6311" s="15" t="str">
        <f>IFERROR(__xludf.DUMMYFUNCTION("""COMPUTED_VALUE"""),"CALI")</f>
        <v>CALI</v>
      </c>
      <c r="D6311" s="15" t="str">
        <f>IFERROR(__xludf.DUMMYFUNCTION("""COMPUTED_VALUE"""),"BOGOTÁ")</f>
        <v>BOGOTÁ</v>
      </c>
      <c r="E6311" s="15" t="str">
        <f>IFERROR(__xludf.DUMMYFUNCTION("""COMPUTED_VALUE"""),"Asociacion Agropecuaria Juana Maria")</f>
        <v>Asociacion Agropecuaria Juana Maria</v>
      </c>
      <c r="F6311" s="17" t="str">
        <f>IFERROR(__xludf.DUMMYFUNCTION("""COMPUTED_VALUE"""),"Calle 50 # 94-32 Unidad Tairona 104 TORRE A Barrio valle del lili")</f>
        <v>Calle 50 # 94-32 Unidad Tairona 104 TORRE A Barrio valle del lili</v>
      </c>
      <c r="G6311" s="15" t="str">
        <f>IFERROR(__xludf.DUMMYFUNCTION("""COMPUTED_VALUE"""),"Daniela Gomez")</f>
        <v>Daniela Gomez</v>
      </c>
      <c r="H6311" s="16">
        <f>IFERROR(__xludf.DUMMYFUNCTION("""COMPUTED_VALUE"""),15028.0)</f>
        <v>15028</v>
      </c>
      <c r="I6311" s="18">
        <f>IFERROR(__xludf.DUMMYFUNCTION("""COMPUTED_VALUE"""),22.0)</f>
        <v>22</v>
      </c>
      <c r="J6311" s="18">
        <f>IFERROR(__xludf.DUMMYFUNCTION("""COMPUTED_VALUE"""),15.0)</f>
        <v>15</v>
      </c>
      <c r="K6311" s="18">
        <f>IFERROR(__xludf.DUMMYFUNCTION("""COMPUTED_VALUE"""),3.0)</f>
        <v>3</v>
      </c>
      <c r="L6311" s="17">
        <f>IFERROR(__xludf.DUMMYFUNCTION("""COMPUTED_VALUE"""),3.146880862E9)</f>
        <v>3146880862</v>
      </c>
      <c r="M6311" s="17" t="str">
        <f>IFERROR(__xludf.DUMMYFUNCTION("""COMPUTED_VALUE"""),"#REF!")</f>
        <v>#REF!</v>
      </c>
      <c r="N6311" s="17"/>
      <c r="O6311" s="17"/>
      <c r="P6311" s="17" t="b">
        <f>IFERROR(__xludf.DUMMYFUNCTION("""COMPUTED_VALUE"""),FALSE)</f>
        <v>0</v>
      </c>
      <c r="Q6311" s="20" t="str">
        <f>IFERROR(__xludf.DUMMYFUNCTION("""COMPUTED_VALUE"""),"")</f>
        <v/>
      </c>
      <c r="R6311" s="21" t="str">
        <f>IFERROR(__xludf.DUMMYFUNCTION("""COMPUTED_VALUE"""),"https://drive.google.com/file/d/1NH7mFLPKJ0aNu1mNgfq8NKR4TU2kcQv7/view?usp=drivesdk")</f>
        <v>https://drive.google.com/file/d/1NH7mFLPKJ0aNu1mNgfq8NKR4TU2kcQv7/view?usp=drivesdk</v>
      </c>
    </row>
    <row r="6312">
      <c r="A6312" s="15">
        <f>IFERROR(__xludf.DUMMYFUNCTION("""COMPUTED_VALUE"""),45181.0)</f>
        <v>45181</v>
      </c>
      <c r="B6312" s="16" t="str">
        <f>IFERROR(__xludf.DUMMYFUNCTION("""COMPUTED_VALUE"""),"Johan Alexander Escobar Arroyo ")</f>
        <v>Johan Alexander Escobar Arroyo </v>
      </c>
      <c r="C6312" s="15" t="str">
        <f>IFERROR(__xludf.DUMMYFUNCTION("""COMPUTED_VALUE"""),"CALI")</f>
        <v>CALI</v>
      </c>
      <c r="D6312" s="15" t="str">
        <f>IFERROR(__xludf.DUMMYFUNCTION("""COMPUTED_VALUE"""),"BOGOTÁ")</f>
        <v>BOGOTÁ</v>
      </c>
      <c r="E6312" s="15" t="str">
        <f>IFERROR(__xludf.DUMMYFUNCTION("""COMPUTED_VALUE"""),"Asociacion Agropecuaria Juana Maria")</f>
        <v>Asociacion Agropecuaria Juana Maria</v>
      </c>
      <c r="F6312" s="17" t="str">
        <f>IFERROR(__xludf.DUMMYFUNCTION("""COMPUTED_VALUE"""),"Carrera 17B # 33E-33 La Floresta vieja")</f>
        <v>Carrera 17B # 33E-33 La Floresta vieja</v>
      </c>
      <c r="G6312" s="15" t="str">
        <f>IFERROR(__xludf.DUMMYFUNCTION("""COMPUTED_VALUE"""),"Johanna acuña  Molina")</f>
        <v>Johanna acuña  Molina</v>
      </c>
      <c r="H6312" s="16">
        <f>IFERROR(__xludf.DUMMYFUNCTION("""COMPUTED_VALUE"""),15008.0)</f>
        <v>15008</v>
      </c>
      <c r="I6312" s="18">
        <f>IFERROR(__xludf.DUMMYFUNCTION("""COMPUTED_VALUE"""),17.0)</f>
        <v>17</v>
      </c>
      <c r="J6312" s="18">
        <f>IFERROR(__xludf.DUMMYFUNCTION("""COMPUTED_VALUE"""),37.0)</f>
        <v>37</v>
      </c>
      <c r="K6312" s="18">
        <f>IFERROR(__xludf.DUMMYFUNCTION("""COMPUTED_VALUE"""),28.0)</f>
        <v>28</v>
      </c>
      <c r="L6312" s="17">
        <f>IFERROR(__xludf.DUMMYFUNCTION("""COMPUTED_VALUE"""),3.218700343E9)</f>
        <v>3218700343</v>
      </c>
      <c r="M6312" s="17" t="str">
        <f>IFERROR(__xludf.DUMMYFUNCTION("""COMPUTED_VALUE"""),"#REF!")</f>
        <v>#REF!</v>
      </c>
      <c r="N6312" s="17"/>
      <c r="O6312" s="17"/>
      <c r="P6312" s="17" t="b">
        <f>IFERROR(__xludf.DUMMYFUNCTION("""COMPUTED_VALUE"""),FALSE)</f>
        <v>0</v>
      </c>
      <c r="Q6312" s="20" t="str">
        <f>IFERROR(__xludf.DUMMYFUNCTION("""COMPUTED_VALUE"""),"")</f>
        <v/>
      </c>
      <c r="R6312" s="21" t="str">
        <f>IFERROR(__xludf.DUMMYFUNCTION("""COMPUTED_VALUE"""),"https://drive.google.com/file/d/1xdUmGarAkdHrwUYeGbYn8wi_CjwB9aHJ/view?usp=drivesdk")</f>
        <v>https://drive.google.com/file/d/1xdUmGarAkdHrwUYeGbYn8wi_CjwB9aHJ/view?usp=drivesdk</v>
      </c>
    </row>
    <row r="6313">
      <c r="A6313" s="15">
        <f>IFERROR(__xludf.DUMMYFUNCTION("""COMPUTED_VALUE"""),45181.0)</f>
        <v>45181</v>
      </c>
      <c r="B6313" s="16" t="str">
        <f>IFERROR(__xludf.DUMMYFUNCTION("""COMPUTED_VALUE"""),"Johan Alexander Escobar Arroyo ")</f>
        <v>Johan Alexander Escobar Arroyo </v>
      </c>
      <c r="C6313" s="15" t="str">
        <f>IFERROR(__xludf.DUMMYFUNCTION("""COMPUTED_VALUE"""),"CALI")</f>
        <v>CALI</v>
      </c>
      <c r="D6313" s="15" t="str">
        <f>IFERROR(__xludf.DUMMYFUNCTION("""COMPUTED_VALUE"""),"BOGOTÁ")</f>
        <v>BOGOTÁ</v>
      </c>
      <c r="E6313" s="15" t="str">
        <f>IFERROR(__xludf.DUMMYFUNCTION("""COMPUTED_VALUE"""),"Evamazzita")</f>
        <v>Evamazzita</v>
      </c>
      <c r="F6313" s="17" t="str">
        <f>IFERROR(__xludf.DUMMYFUNCTION("""COMPUTED_VALUE"""),"Calle 13 A # 37-31 / apto 402 D Unidad Residencial Alambra 3 Barrio El Dorado")</f>
        <v>Calle 13 A # 37-31 / apto 402 D Unidad Residencial Alambra 3 Barrio El Dorado</v>
      </c>
      <c r="G6313" s="15" t="str">
        <f>IFERROR(__xludf.DUMMYFUNCTION("""COMPUTED_VALUE"""),"AURA SANCHEZ")</f>
        <v>AURA SANCHEZ</v>
      </c>
      <c r="H6313" s="16">
        <f>IFERROR(__xludf.DUMMYFUNCTION("""COMPUTED_VALUE"""),15114.0)</f>
        <v>15114</v>
      </c>
      <c r="I6313" s="18">
        <f>IFERROR(__xludf.DUMMYFUNCTION("""COMPUTED_VALUE"""),1.0)</f>
        <v>1</v>
      </c>
      <c r="J6313" s="18">
        <f>IFERROR(__xludf.DUMMYFUNCTION("""COMPUTED_VALUE"""),1.0)</f>
        <v>1</v>
      </c>
      <c r="K6313" s="18">
        <f>IFERROR(__xludf.DUMMYFUNCTION("""COMPUTED_VALUE"""),1.0)</f>
        <v>1</v>
      </c>
      <c r="L6313" s="17">
        <f>IFERROR(__xludf.DUMMYFUNCTION("""COMPUTED_VALUE"""),3.127255718E9)</f>
        <v>3127255718</v>
      </c>
      <c r="M6313" s="17" t="str">
        <f>IFERROR(__xludf.DUMMYFUNCTION("""COMPUTED_VALUE"""),"#REF!")</f>
        <v>#REF!</v>
      </c>
      <c r="N6313" s="17"/>
      <c r="O6313" s="17"/>
      <c r="P6313" s="17" t="b">
        <f>IFERROR(__xludf.DUMMYFUNCTION("""COMPUTED_VALUE"""),TRUE)</f>
        <v>1</v>
      </c>
      <c r="Q6313" s="20">
        <f>IFERROR(__xludf.DUMMYFUNCTION("""COMPUTED_VALUE"""),45181.49634488426)</f>
        <v>45181.49634</v>
      </c>
      <c r="R6313" s="21" t="str">
        <f>IFERROR(__xludf.DUMMYFUNCTION("""COMPUTED_VALUE"""),"https://drive.google.com/file/d/1LMGLKvRzHhpdYiPuyMcOllejAAuReNKE/view?usp=drivesdk")</f>
        <v>https://drive.google.com/file/d/1LMGLKvRzHhpdYiPuyMcOllejAAuReNKE/view?usp=drivesdk</v>
      </c>
    </row>
    <row r="6314">
      <c r="A6314" s="15">
        <f>IFERROR(__xludf.DUMMYFUNCTION("""COMPUTED_VALUE"""),45181.0)</f>
        <v>45181</v>
      </c>
      <c r="B6314" s="16" t="str">
        <f>IFERROR(__xludf.DUMMYFUNCTION("""COMPUTED_VALUE"""),"Johan Alexander Escobar Arroyo ")</f>
        <v>Johan Alexander Escobar Arroyo </v>
      </c>
      <c r="C6314" s="15" t="str">
        <f>IFERROR(__xludf.DUMMYFUNCTION("""COMPUTED_VALUE"""),"CALI")</f>
        <v>CALI</v>
      </c>
      <c r="D6314" s="15" t="str">
        <f>IFERROR(__xludf.DUMMYFUNCTION("""COMPUTED_VALUE"""),"BOGOTÁ")</f>
        <v>BOGOTÁ</v>
      </c>
      <c r="E6314" s="15" t="str">
        <f>IFERROR(__xludf.DUMMYFUNCTION("""COMPUTED_VALUE"""),"Evamazzita")</f>
        <v>Evamazzita</v>
      </c>
      <c r="F6314" s="17" t="str">
        <f>IFERROR(__xludf.DUMMYFUNCTION("""COMPUTED_VALUE"""),"CALLE 42A No. 67 - 63 / CIUDAD 2000")</f>
        <v>CALLE 42A No. 67 - 63 / CIUDAD 2000</v>
      </c>
      <c r="G6314" s="15" t="str">
        <f>IFERROR(__xludf.DUMMYFUNCTION("""COMPUTED_VALUE"""),"LUISA SANCHEZ")</f>
        <v>LUISA SANCHEZ</v>
      </c>
      <c r="H6314" s="16">
        <f>IFERROR(__xludf.DUMMYFUNCTION("""COMPUTED_VALUE"""),15115.0)</f>
        <v>15115</v>
      </c>
      <c r="I6314" s="18">
        <f>IFERROR(__xludf.DUMMYFUNCTION("""COMPUTED_VALUE"""),1.0)</f>
        <v>1</v>
      </c>
      <c r="J6314" s="18">
        <f>IFERROR(__xludf.DUMMYFUNCTION("""COMPUTED_VALUE"""),1.0)</f>
        <v>1</v>
      </c>
      <c r="K6314" s="18">
        <f>IFERROR(__xludf.DUMMYFUNCTION("""COMPUTED_VALUE"""),1.0)</f>
        <v>1</v>
      </c>
      <c r="L6314" s="17">
        <f>IFERROR(__xludf.DUMMYFUNCTION("""COMPUTED_VALUE"""),3.148399576E9)</f>
        <v>3148399576</v>
      </c>
      <c r="M6314" s="17" t="str">
        <f>IFERROR(__xludf.DUMMYFUNCTION("""COMPUTED_VALUE"""),"#REF!")</f>
        <v>#REF!</v>
      </c>
      <c r="N6314" s="17"/>
      <c r="O6314" s="17"/>
      <c r="P6314" s="17" t="b">
        <f>IFERROR(__xludf.DUMMYFUNCTION("""COMPUTED_VALUE"""),TRUE)</f>
        <v>1</v>
      </c>
      <c r="Q6314" s="20">
        <f>IFERROR(__xludf.DUMMYFUNCTION("""COMPUTED_VALUE"""),45181.49640379629)</f>
        <v>45181.4964</v>
      </c>
      <c r="R6314" s="21" t="str">
        <f>IFERROR(__xludf.DUMMYFUNCTION("""COMPUTED_VALUE"""),"https://drive.google.com/file/d/1oBMUvhcDxPUgE_Vxibn5rKaDTu82HU6I/view?usp=drivesdk")</f>
        <v>https://drive.google.com/file/d/1oBMUvhcDxPUgE_Vxibn5rKaDTu82HU6I/view?usp=drivesdk</v>
      </c>
    </row>
    <row r="6315">
      <c r="A6315" s="15">
        <f>IFERROR(__xludf.DUMMYFUNCTION("""COMPUTED_VALUE"""),45181.0)</f>
        <v>45181</v>
      </c>
      <c r="B6315" s="16" t="str">
        <f>IFERROR(__xludf.DUMMYFUNCTION("""COMPUTED_VALUE"""),"Johan Alexander Escobar Arroyo ")</f>
        <v>Johan Alexander Escobar Arroyo </v>
      </c>
      <c r="C6315" s="15" t="str">
        <f>IFERROR(__xludf.DUMMYFUNCTION("""COMPUTED_VALUE"""),"CALI")</f>
        <v>CALI</v>
      </c>
      <c r="D6315" s="15" t="str">
        <f>IFERROR(__xludf.DUMMYFUNCTION("""COMPUTED_VALUE"""),"BOGOTÁ")</f>
        <v>BOGOTÁ</v>
      </c>
      <c r="E6315" s="15" t="str">
        <f>IFERROR(__xludf.DUMMYFUNCTION("""COMPUTED_VALUE"""),"Evamazzita")</f>
        <v>Evamazzita</v>
      </c>
      <c r="F6315" s="17" t="str">
        <f>IFERROR(__xludf.DUMMYFUNCTION("""COMPUTED_VALUE"""),"CALLE 50 # 94 32 / UNIDAD RESIDENCIAL TAIRONA 104A VALLE DE LILI")</f>
        <v>CALLE 50 # 94 32 / UNIDAD RESIDENCIAL TAIRONA 104A VALLE DE LILI</v>
      </c>
      <c r="G6315" s="15" t="str">
        <f>IFERROR(__xludf.DUMMYFUNCTION("""COMPUTED_VALUE"""),"DANIELA GOMEZ - CALI")</f>
        <v>DANIELA GOMEZ - CALI</v>
      </c>
      <c r="H6315" s="16">
        <f>IFERROR(__xludf.DUMMYFUNCTION("""COMPUTED_VALUE"""),15111.0)</f>
        <v>15111</v>
      </c>
      <c r="I6315" s="18">
        <f>IFERROR(__xludf.DUMMYFUNCTION("""COMPUTED_VALUE"""),1.0)</f>
        <v>1</v>
      </c>
      <c r="J6315" s="18">
        <f>IFERROR(__xludf.DUMMYFUNCTION("""COMPUTED_VALUE"""),1.0)</f>
        <v>1</v>
      </c>
      <c r="K6315" s="18">
        <f>IFERROR(__xludf.DUMMYFUNCTION("""COMPUTED_VALUE"""),1.0)</f>
        <v>1</v>
      </c>
      <c r="L6315" s="17">
        <f>IFERROR(__xludf.DUMMYFUNCTION("""COMPUTED_VALUE"""),3.146880862E9)</f>
        <v>3146880862</v>
      </c>
      <c r="M6315" s="17" t="str">
        <f>IFERROR(__xludf.DUMMYFUNCTION("""COMPUTED_VALUE"""),"#REF!")</f>
        <v>#REF!</v>
      </c>
      <c r="N6315" s="17"/>
      <c r="O6315" s="17"/>
      <c r="P6315" s="17" t="b">
        <f>IFERROR(__xludf.DUMMYFUNCTION("""COMPUTED_VALUE"""),TRUE)</f>
        <v>1</v>
      </c>
      <c r="Q6315" s="20">
        <f>IFERROR(__xludf.DUMMYFUNCTION("""COMPUTED_VALUE"""),45181.49640379629)</f>
        <v>45181.4964</v>
      </c>
      <c r="R6315" s="21" t="str">
        <f>IFERROR(__xludf.DUMMYFUNCTION("""COMPUTED_VALUE"""),"https://drive.google.com/file/d/1u133LG9oVQgtVf5H6O9KoPSce6ftSZH9/view?usp=drivesdk")</f>
        <v>https://drive.google.com/file/d/1u133LG9oVQgtVf5H6O9KoPSce6ftSZH9/view?usp=drivesdk</v>
      </c>
    </row>
    <row r="6316">
      <c r="A6316" s="15">
        <f>IFERROR(__xludf.DUMMYFUNCTION("""COMPUTED_VALUE"""),45181.0)</f>
        <v>45181</v>
      </c>
      <c r="B6316" s="16" t="str">
        <f>IFERROR(__xludf.DUMMYFUNCTION("""COMPUTED_VALUE"""),"Johan Alexander Escobar Arroyo ")</f>
        <v>Johan Alexander Escobar Arroyo </v>
      </c>
      <c r="C6316" s="15" t="str">
        <f>IFERROR(__xludf.DUMMYFUNCTION("""COMPUTED_VALUE"""),"CALI")</f>
        <v>CALI</v>
      </c>
      <c r="D6316" s="15" t="str">
        <f>IFERROR(__xludf.DUMMYFUNCTION("""COMPUTED_VALUE"""),"BOGOTÁ")</f>
        <v>BOGOTÁ</v>
      </c>
      <c r="E6316" s="15" t="str">
        <f>IFERROR(__xludf.DUMMYFUNCTION("""COMPUTED_VALUE"""),"Evamazzita")</f>
        <v>Evamazzita</v>
      </c>
      <c r="F6316" s="17" t="str">
        <f>IFERROR(__xludf.DUMMYFUNCTION("""COMPUTED_VALUE"""),"Calle 72u # 25s 21 / barrio charco azul")</f>
        <v>Calle 72u # 25s 21 / barrio charco azul</v>
      </c>
      <c r="G6316" s="15" t="str">
        <f>IFERROR(__xludf.DUMMYFUNCTION("""COMPUTED_VALUE"""),"NIDIA LORENA JARAMILLO")</f>
        <v>NIDIA LORENA JARAMILLO</v>
      </c>
      <c r="H6316" s="16">
        <f>IFERROR(__xludf.DUMMYFUNCTION("""COMPUTED_VALUE"""),15113.0)</f>
        <v>15113</v>
      </c>
      <c r="I6316" s="18">
        <f>IFERROR(__xludf.DUMMYFUNCTION("""COMPUTED_VALUE"""),1.0)</f>
        <v>1</v>
      </c>
      <c r="J6316" s="18">
        <f>IFERROR(__xludf.DUMMYFUNCTION("""COMPUTED_VALUE"""),1.0)</f>
        <v>1</v>
      </c>
      <c r="K6316" s="18">
        <f>IFERROR(__xludf.DUMMYFUNCTION("""COMPUTED_VALUE"""),1.0)</f>
        <v>1</v>
      </c>
      <c r="L6316" s="17">
        <f>IFERROR(__xludf.DUMMYFUNCTION("""COMPUTED_VALUE"""),3.177455673E9)</f>
        <v>3177455673</v>
      </c>
      <c r="M6316" s="17" t="str">
        <f>IFERROR(__xludf.DUMMYFUNCTION("""COMPUTED_VALUE"""),"#REF!")</f>
        <v>#REF!</v>
      </c>
      <c r="N6316" s="17"/>
      <c r="O6316" s="17"/>
      <c r="P6316" s="17" t="b">
        <f>IFERROR(__xludf.DUMMYFUNCTION("""COMPUTED_VALUE"""),TRUE)</f>
        <v>1</v>
      </c>
      <c r="Q6316" s="20">
        <f>IFERROR(__xludf.DUMMYFUNCTION("""COMPUTED_VALUE"""),45181.49640379629)</f>
        <v>45181.4964</v>
      </c>
      <c r="R6316" s="21" t="str">
        <f>IFERROR(__xludf.DUMMYFUNCTION("""COMPUTED_VALUE"""),"https://drive.google.com/file/d/1aqu91QsFPRIZjkkcu1HOm4KHSFg4Gqw2/view?usp=drivesdk")</f>
        <v>https://drive.google.com/file/d/1aqu91QsFPRIZjkkcu1HOm4KHSFg4Gqw2/view?usp=drivesdk</v>
      </c>
    </row>
    <row r="6317">
      <c r="A6317" s="15">
        <f>IFERROR(__xludf.DUMMYFUNCTION("""COMPUTED_VALUE"""),45181.0)</f>
        <v>45181</v>
      </c>
      <c r="B6317" s="16" t="str">
        <f>IFERROR(__xludf.DUMMYFUNCTION("""COMPUTED_VALUE"""),"Johan Alexander Escobar Arroyo ")</f>
        <v>Johan Alexander Escobar Arroyo </v>
      </c>
      <c r="C6317" s="15" t="str">
        <f>IFERROR(__xludf.DUMMYFUNCTION("""COMPUTED_VALUE"""),"CALI")</f>
        <v>CALI</v>
      </c>
      <c r="D6317" s="15" t="str">
        <f>IFERROR(__xludf.DUMMYFUNCTION("""COMPUTED_VALUE"""),"BOGOTÁ")</f>
        <v>BOGOTÁ</v>
      </c>
      <c r="E6317" s="15" t="str">
        <f>IFERROR(__xludf.DUMMYFUNCTION("""COMPUTED_VALUE"""),"Evamazzita")</f>
        <v>Evamazzita</v>
      </c>
      <c r="F6317" s="17" t="str">
        <f>IFERROR(__xludf.DUMMYFUNCTION("""COMPUTED_VALUE"""),"carrera 69 # 16-60 / apto 201A Balcones de limonar III (ENTREGAR DE 9AM A 4:30 PM)")</f>
        <v>carrera 69 # 16-60 / apto 201A Balcones de limonar III (ENTREGAR DE 9AM A 4:30 PM)</v>
      </c>
      <c r="G6317" s="15" t="str">
        <f>IFERROR(__xludf.DUMMYFUNCTION("""COMPUTED_VALUE"""),"ALEJANDRA VALENCIA")</f>
        <v>ALEJANDRA VALENCIA</v>
      </c>
      <c r="H6317" s="16">
        <f>IFERROR(__xludf.DUMMYFUNCTION("""COMPUTED_VALUE"""),15108.0)</f>
        <v>15108</v>
      </c>
      <c r="I6317" s="18">
        <f>IFERROR(__xludf.DUMMYFUNCTION("""COMPUTED_VALUE"""),1.0)</f>
        <v>1</v>
      </c>
      <c r="J6317" s="18">
        <f>IFERROR(__xludf.DUMMYFUNCTION("""COMPUTED_VALUE"""),1.0)</f>
        <v>1</v>
      </c>
      <c r="K6317" s="18">
        <f>IFERROR(__xludf.DUMMYFUNCTION("""COMPUTED_VALUE"""),1.0)</f>
        <v>1</v>
      </c>
      <c r="L6317" s="17">
        <f>IFERROR(__xludf.DUMMYFUNCTION("""COMPUTED_VALUE"""),3.00221372E9)</f>
        <v>3002213720</v>
      </c>
      <c r="M6317" s="17" t="str">
        <f>IFERROR(__xludf.DUMMYFUNCTION("""COMPUTED_VALUE"""),"#REF!")</f>
        <v>#REF!</v>
      </c>
      <c r="N6317" s="17"/>
      <c r="O6317" s="17"/>
      <c r="P6317" s="17" t="b">
        <f>IFERROR(__xludf.DUMMYFUNCTION("""COMPUTED_VALUE"""),FALSE)</f>
        <v>0</v>
      </c>
      <c r="Q6317" s="20" t="str">
        <f>IFERROR(__xludf.DUMMYFUNCTION("""COMPUTED_VALUE"""),"")</f>
        <v/>
      </c>
      <c r="R6317" s="21" t="str">
        <f>IFERROR(__xludf.DUMMYFUNCTION("""COMPUTED_VALUE"""),"https://drive.google.com/file/d/1f22MA9E3d9cp0bHLIx0flpIYhk0X9WH3/view?usp=drivesdk")</f>
        <v>https://drive.google.com/file/d/1f22MA9E3d9cp0bHLIx0flpIYhk0X9WH3/view?usp=drivesdk</v>
      </c>
    </row>
    <row r="6318">
      <c r="A6318" s="15">
        <f>IFERROR(__xludf.DUMMYFUNCTION("""COMPUTED_VALUE"""),45181.0)</f>
        <v>45181</v>
      </c>
      <c r="B6318" s="16" t="str">
        <f>IFERROR(__xludf.DUMMYFUNCTION("""COMPUTED_VALUE"""),"Johan Alexander Escobar Arroyo ")</f>
        <v>Johan Alexander Escobar Arroyo </v>
      </c>
      <c r="C6318" s="15" t="str">
        <f>IFERROR(__xludf.DUMMYFUNCTION("""COMPUTED_VALUE"""),"CALI")</f>
        <v>CALI</v>
      </c>
      <c r="D6318" s="15" t="str">
        <f>IFERROR(__xludf.DUMMYFUNCTION("""COMPUTED_VALUE"""),"BOGOTÁ")</f>
        <v>BOGOTÁ</v>
      </c>
      <c r="E6318" s="15" t="str">
        <f>IFERROR(__xludf.DUMMYFUNCTION("""COMPUTED_VALUE"""),"Evamazzita")</f>
        <v>Evamazzita</v>
      </c>
      <c r="F6318" s="17" t="str">
        <f>IFERROR(__xludf.DUMMYFUNCTION("""COMPUTED_VALUE"""),"CR 2C #63 02 / TERCER PISO BARRIO LA RIVERA")</f>
        <v>CR 2C #63 02 / TERCER PISO BARRIO LA RIVERA</v>
      </c>
      <c r="G6318" s="15" t="str">
        <f>IFERROR(__xludf.DUMMYFUNCTION("""COMPUTED_VALUE"""),"LEIDY MIRANDA CALI")</f>
        <v>LEIDY MIRANDA CALI</v>
      </c>
      <c r="H6318" s="16">
        <f>IFERROR(__xludf.DUMMYFUNCTION("""COMPUTED_VALUE"""),15109.0)</f>
        <v>15109</v>
      </c>
      <c r="I6318" s="18">
        <f>IFERROR(__xludf.DUMMYFUNCTION("""COMPUTED_VALUE"""),1.0)</f>
        <v>1</v>
      </c>
      <c r="J6318" s="18">
        <f>IFERROR(__xludf.DUMMYFUNCTION("""COMPUTED_VALUE"""),1.0)</f>
        <v>1</v>
      </c>
      <c r="K6318" s="18">
        <f>IFERROR(__xludf.DUMMYFUNCTION("""COMPUTED_VALUE"""),1.0)</f>
        <v>1</v>
      </c>
      <c r="L6318" s="17">
        <f>IFERROR(__xludf.DUMMYFUNCTION("""COMPUTED_VALUE"""),3.14754608E9)</f>
        <v>3147546080</v>
      </c>
      <c r="M6318" s="17" t="str">
        <f>IFERROR(__xludf.DUMMYFUNCTION("""COMPUTED_VALUE"""),"#REF!")</f>
        <v>#REF!</v>
      </c>
      <c r="N6318" s="17"/>
      <c r="O6318" s="17"/>
      <c r="P6318" s="17" t="b">
        <f>IFERROR(__xludf.DUMMYFUNCTION("""COMPUTED_VALUE"""),FALSE)</f>
        <v>0</v>
      </c>
      <c r="Q6318" s="20" t="str">
        <f>IFERROR(__xludf.DUMMYFUNCTION("""COMPUTED_VALUE"""),"")</f>
        <v/>
      </c>
      <c r="R6318" s="21" t="str">
        <f>IFERROR(__xludf.DUMMYFUNCTION("""COMPUTED_VALUE"""),"https://drive.google.com/file/d/1jjvsK1ySccJpnQyXIWNe5YtywjFt0RFk/view?usp=drivesdk")</f>
        <v>https://drive.google.com/file/d/1jjvsK1ySccJpnQyXIWNe5YtywjFt0RFk/view?usp=drivesdk</v>
      </c>
    </row>
    <row r="6319">
      <c r="A6319" s="15">
        <f>IFERROR(__xludf.DUMMYFUNCTION("""COMPUTED_VALUE"""),45181.0)</f>
        <v>45181</v>
      </c>
      <c r="B6319" s="16" t="str">
        <f>IFERROR(__xludf.DUMMYFUNCTION("""COMPUTED_VALUE"""),"Johan Alexander Escobar Arroyo ")</f>
        <v>Johan Alexander Escobar Arroyo </v>
      </c>
      <c r="C6319" s="15" t="str">
        <f>IFERROR(__xludf.DUMMYFUNCTION("""COMPUTED_VALUE"""),"CALI")</f>
        <v>CALI</v>
      </c>
      <c r="D6319" s="15" t="str">
        <f>IFERROR(__xludf.DUMMYFUNCTION("""COMPUTED_VALUE"""),"BOGOTÁ")</f>
        <v>BOGOTÁ</v>
      </c>
      <c r="E6319" s="15" t="str">
        <f>IFERROR(__xludf.DUMMYFUNCTION("""COMPUTED_VALUE"""),"Evamazzita")</f>
        <v>Evamazzita</v>
      </c>
      <c r="F6319" s="17" t="str">
        <f>IFERROR(__xludf.DUMMYFUNCTION("""COMPUTED_VALUE"""),"CRA 121A No. 47A - 46 / APTO 203W VENTURA 2 CIUDAD PACIFICA")</f>
        <v>CRA 121A No. 47A - 46 / APTO 203W VENTURA 2 CIUDAD PACIFICA</v>
      </c>
      <c r="G6319" s="15" t="str">
        <f>IFERROR(__xludf.DUMMYFUNCTION("""COMPUTED_VALUE"""),"DIANA MARCELA RODRIGUEZ")</f>
        <v>DIANA MARCELA RODRIGUEZ</v>
      </c>
      <c r="H6319" s="16">
        <f>IFERROR(__xludf.DUMMYFUNCTION("""COMPUTED_VALUE"""),15110.0)</f>
        <v>15110</v>
      </c>
      <c r="I6319" s="18">
        <f>IFERROR(__xludf.DUMMYFUNCTION("""COMPUTED_VALUE"""),1.0)</f>
        <v>1</v>
      </c>
      <c r="J6319" s="18">
        <f>IFERROR(__xludf.DUMMYFUNCTION("""COMPUTED_VALUE"""),1.0)</f>
        <v>1</v>
      </c>
      <c r="K6319" s="18">
        <f>IFERROR(__xludf.DUMMYFUNCTION("""COMPUTED_VALUE"""),1.0)</f>
        <v>1</v>
      </c>
      <c r="L6319" s="17">
        <f>IFERROR(__xludf.DUMMYFUNCTION("""COMPUTED_VALUE"""),3.006301405E9)</f>
        <v>3006301405</v>
      </c>
      <c r="M6319" s="17" t="str">
        <f>IFERROR(__xludf.DUMMYFUNCTION("""COMPUTED_VALUE"""),"#REF!")</f>
        <v>#REF!</v>
      </c>
      <c r="N6319" s="17"/>
      <c r="O6319" s="17"/>
      <c r="P6319" s="17" t="b">
        <f>IFERROR(__xludf.DUMMYFUNCTION("""COMPUTED_VALUE"""),TRUE)</f>
        <v>1</v>
      </c>
      <c r="Q6319" s="20">
        <f>IFERROR(__xludf.DUMMYFUNCTION("""COMPUTED_VALUE"""),45181.62755842593)</f>
        <v>45181.62756</v>
      </c>
      <c r="R6319" s="21" t="str">
        <f>IFERROR(__xludf.DUMMYFUNCTION("""COMPUTED_VALUE"""),"https://drive.google.com/file/d/1y8dxpsq0JbR7F_BL7MzinAppcCU261S8/view?usp=drivesdk")</f>
        <v>https://drive.google.com/file/d/1y8dxpsq0JbR7F_BL7MzinAppcCU261S8/view?usp=drivesdk</v>
      </c>
    </row>
    <row r="6320">
      <c r="A6320" s="15">
        <f>IFERROR(__xludf.DUMMYFUNCTION("""COMPUTED_VALUE"""),45181.0)</f>
        <v>45181</v>
      </c>
      <c r="B6320" s="16" t="str">
        <f>IFERROR(__xludf.DUMMYFUNCTION("""COMPUTED_VALUE"""),"Johan Alexander Escobar Arroyo ")</f>
        <v>Johan Alexander Escobar Arroyo </v>
      </c>
      <c r="C6320" s="15" t="str">
        <f>IFERROR(__xludf.DUMMYFUNCTION("""COMPUTED_VALUE"""),"CALI")</f>
        <v>CALI</v>
      </c>
      <c r="D6320" s="15" t="str">
        <f>IFERROR(__xludf.DUMMYFUNCTION("""COMPUTED_VALUE"""),"BOGOTÁ")</f>
        <v>BOGOTÁ</v>
      </c>
      <c r="E6320" s="15" t="str">
        <f>IFERROR(__xludf.DUMMYFUNCTION("""COMPUTED_VALUE"""),"Evamazzita")</f>
        <v>Evamazzita</v>
      </c>
      <c r="F6320" s="17" t="str">
        <f>IFERROR(__xludf.DUMMYFUNCTION("""COMPUTED_VALUE"""),"CRA 44 No. 13 - 63 / GUABAL RESTAURANTE DRAGON ORIENTAL")</f>
        <v>CRA 44 No. 13 - 63 / GUABAL RESTAURANTE DRAGON ORIENTAL</v>
      </c>
      <c r="G6320" s="15" t="str">
        <f>IFERROR(__xludf.DUMMYFUNCTION("""COMPUTED_VALUE"""),"LINA CARDONA")</f>
        <v>LINA CARDONA</v>
      </c>
      <c r="H6320" s="16">
        <f>IFERROR(__xludf.DUMMYFUNCTION("""COMPUTED_VALUE"""),15112.0)</f>
        <v>15112</v>
      </c>
      <c r="I6320" s="18">
        <f>IFERROR(__xludf.DUMMYFUNCTION("""COMPUTED_VALUE"""),1.0)</f>
        <v>1</v>
      </c>
      <c r="J6320" s="18">
        <f>IFERROR(__xludf.DUMMYFUNCTION("""COMPUTED_VALUE"""),1.0)</f>
        <v>1</v>
      </c>
      <c r="K6320" s="18">
        <f>IFERROR(__xludf.DUMMYFUNCTION("""COMPUTED_VALUE"""),1.0)</f>
        <v>1</v>
      </c>
      <c r="L6320" s="17">
        <f>IFERROR(__xludf.DUMMYFUNCTION("""COMPUTED_VALUE"""),3.183849217E9)</f>
        <v>3183849217</v>
      </c>
      <c r="M6320" s="17" t="str">
        <f>IFERROR(__xludf.DUMMYFUNCTION("""COMPUTED_VALUE"""),"#REF!")</f>
        <v>#REF!</v>
      </c>
      <c r="N6320" s="17"/>
      <c r="O6320" s="17"/>
      <c r="P6320" s="17" t="b">
        <f>IFERROR(__xludf.DUMMYFUNCTION("""COMPUTED_VALUE"""),TRUE)</f>
        <v>1</v>
      </c>
      <c r="Q6320" s="20">
        <f>IFERROR(__xludf.DUMMYFUNCTION("""COMPUTED_VALUE"""),45181.756438530094)</f>
        <v>45181.75644</v>
      </c>
      <c r="R6320" s="21" t="str">
        <f>IFERROR(__xludf.DUMMYFUNCTION("""COMPUTED_VALUE"""),"https://drive.google.com/file/d/1UkOvHOooXu41jrFZTCPlb_U5EIBskY_S/view?usp=drivesdk")</f>
        <v>https://drive.google.com/file/d/1UkOvHOooXu41jrFZTCPlb_U5EIBskY_S/view?usp=drivesdk</v>
      </c>
    </row>
    <row r="6321">
      <c r="A6321" s="15">
        <f>IFERROR(__xludf.DUMMYFUNCTION("""COMPUTED_VALUE"""),45181.0)</f>
        <v>45181</v>
      </c>
      <c r="B6321" s="16" t="str">
        <f>IFERROR(__xludf.DUMMYFUNCTION("""COMPUTED_VALUE"""),"Johan Alexander Escobar Arroyo ")</f>
        <v>Johan Alexander Escobar Arroyo </v>
      </c>
      <c r="C6321" s="15" t="str">
        <f>IFERROR(__xludf.DUMMYFUNCTION("""COMPUTED_VALUE"""),"CALI")</f>
        <v>CALI</v>
      </c>
      <c r="D6321" s="15" t="str">
        <f>IFERROR(__xludf.DUMMYFUNCTION("""COMPUTED_VALUE"""),"BOGOTÁ")</f>
        <v>BOGOTÁ</v>
      </c>
      <c r="E6321" s="15" t="str">
        <f>IFERROR(__xludf.DUMMYFUNCTION("""COMPUTED_VALUE"""),"Helados Socos")</f>
        <v>Helados Socos</v>
      </c>
      <c r="F6321" s="17" t="str">
        <f>IFERROR(__xludf.DUMMYFUNCTION("""COMPUTED_VALUE"""),"Cra 1 oeste # 11 - 31  / apto 501 Edificio el canelo / Barrio Santa teresita")</f>
        <v>Cra 1 oeste # 11 - 31  / apto 501 Edificio el canelo / Barrio Santa teresita</v>
      </c>
      <c r="G6321" s="15" t="str">
        <f>IFERROR(__xludf.DUMMYFUNCTION("""COMPUTED_VALUE"""),"Olga Dorronsoro")</f>
        <v>Olga Dorronsoro</v>
      </c>
      <c r="H6321" s="16">
        <f>IFERROR(__xludf.DUMMYFUNCTION("""COMPUTED_VALUE"""),14964.0)</f>
        <v>14964</v>
      </c>
      <c r="I6321" s="18">
        <f>IFERROR(__xludf.DUMMYFUNCTION("""COMPUTED_VALUE"""),10.0)</f>
        <v>10</v>
      </c>
      <c r="J6321" s="18">
        <f>IFERROR(__xludf.DUMMYFUNCTION("""COMPUTED_VALUE"""),10.0)</f>
        <v>10</v>
      </c>
      <c r="K6321" s="18">
        <f>IFERROR(__xludf.DUMMYFUNCTION("""COMPUTED_VALUE"""),15.0)</f>
        <v>15</v>
      </c>
      <c r="L6321" s="17">
        <f>IFERROR(__xludf.DUMMYFUNCTION("""COMPUTED_VALUE"""),3.1176404E9)</f>
        <v>3117640400</v>
      </c>
      <c r="M6321" s="17" t="str">
        <f>IFERROR(__xludf.DUMMYFUNCTION("""COMPUTED_VALUE"""),"#REF!")</f>
        <v>#REF!</v>
      </c>
      <c r="N6321" s="17"/>
      <c r="O6321" s="17"/>
      <c r="P6321" s="17" t="b">
        <f>IFERROR(__xludf.DUMMYFUNCTION("""COMPUTED_VALUE"""),FALSE)</f>
        <v>0</v>
      </c>
      <c r="Q6321" s="20" t="str">
        <f>IFERROR(__xludf.DUMMYFUNCTION("""COMPUTED_VALUE"""),"")</f>
        <v/>
      </c>
      <c r="R6321" s="21" t="str">
        <f>IFERROR(__xludf.DUMMYFUNCTION("""COMPUTED_VALUE"""),"https://drive.google.com/file/d/1JEiXmn3kYsI_iEvdbpMfsd3dqbMLAo4T/view?usp=drivesdk")</f>
        <v>https://drive.google.com/file/d/1JEiXmn3kYsI_iEvdbpMfsd3dqbMLAo4T/view?usp=drivesdk</v>
      </c>
    </row>
    <row r="6322">
      <c r="A6322" s="15">
        <f>IFERROR(__xludf.DUMMYFUNCTION("""COMPUTED_VALUE"""),45181.0)</f>
        <v>45181</v>
      </c>
      <c r="B6322" s="16" t="str">
        <f>IFERROR(__xludf.DUMMYFUNCTION("""COMPUTED_VALUE"""),"Johan Alexander Escobar Arroyo ")</f>
        <v>Johan Alexander Escobar Arroyo </v>
      </c>
      <c r="C6322" s="15" t="str">
        <f>IFERROR(__xludf.DUMMYFUNCTION("""COMPUTED_VALUE"""),"CALI")</f>
        <v>CALI</v>
      </c>
      <c r="D6322" s="15" t="str">
        <f>IFERROR(__xludf.DUMMYFUNCTION("""COMPUTED_VALUE"""),"BOGOTÁ")</f>
        <v>BOGOTÁ</v>
      </c>
      <c r="E6322" s="15" t="str">
        <f>IFERROR(__xludf.DUMMYFUNCTION("""COMPUTED_VALUE"""),"Ins. Alimento Vital")</f>
        <v>Ins. Alimento Vital</v>
      </c>
      <c r="F6322" s="17" t="str">
        <f>IFERROR(__xludf.DUMMYFUNCTION("""COMPUTED_VALUE"""),"CL 34N 2BN 33 / BODEGA / BARRIO SAN VICENTE")</f>
        <v>CL 34N 2BN 33 / BODEGA / BARRIO SAN VICENTE</v>
      </c>
      <c r="G6322" s="15" t="str">
        <f>IFERROR(__xludf.DUMMYFUNCTION("""COMPUTED_VALUE"""),"VELOCITY CALI")</f>
        <v>VELOCITY CALI</v>
      </c>
      <c r="H6322" s="16">
        <f>IFERROR(__xludf.DUMMYFUNCTION("""COMPUTED_VALUE"""),15067.0)</f>
        <v>15067</v>
      </c>
      <c r="I6322" s="18">
        <f>IFERROR(__xludf.DUMMYFUNCTION("""COMPUTED_VALUE"""),1.0)</f>
        <v>1</v>
      </c>
      <c r="J6322" s="18">
        <f>IFERROR(__xludf.DUMMYFUNCTION("""COMPUTED_VALUE"""),1.0)</f>
        <v>1</v>
      </c>
      <c r="K6322" s="18">
        <f>IFERROR(__xludf.DUMMYFUNCTION("""COMPUTED_VALUE"""),1.0)</f>
        <v>1</v>
      </c>
      <c r="L6322" s="17">
        <f>IFERROR(__xludf.DUMMYFUNCTION("""COMPUTED_VALUE"""),3.117591055E9)</f>
        <v>3117591055</v>
      </c>
      <c r="M6322" s="17" t="str">
        <f>IFERROR(__xludf.DUMMYFUNCTION("""COMPUTED_VALUE"""),"#REF!")</f>
        <v>#REF!</v>
      </c>
      <c r="N6322" s="17"/>
      <c r="O6322" s="17"/>
      <c r="P6322" s="17" t="b">
        <f>IFERROR(__xludf.DUMMYFUNCTION("""COMPUTED_VALUE"""),FALSE)</f>
        <v>0</v>
      </c>
      <c r="Q6322" s="20" t="str">
        <f>IFERROR(__xludf.DUMMYFUNCTION("""COMPUTED_VALUE"""),"")</f>
        <v/>
      </c>
      <c r="R6322" s="22" t="str">
        <f>IFERROR(__xludf.DUMMYFUNCTION("""COMPUTED_VALUE"""),"")</f>
        <v/>
      </c>
    </row>
    <row r="6323">
      <c r="A6323" s="15">
        <f>IFERROR(__xludf.DUMMYFUNCTION("""COMPUTED_VALUE"""),45181.0)</f>
        <v>45181</v>
      </c>
      <c r="B6323" s="16" t="str">
        <f>IFERROR(__xludf.DUMMYFUNCTION("""COMPUTED_VALUE"""),"Johan Alexander Escobar Arroyo ")</f>
        <v>Johan Alexander Escobar Arroyo </v>
      </c>
      <c r="C6323" s="15" t="str">
        <f>IFERROR(__xludf.DUMMYFUNCTION("""COMPUTED_VALUE"""),"CALI")</f>
        <v>CALI</v>
      </c>
      <c r="D6323" s="15" t="str">
        <f>IFERROR(__xludf.DUMMYFUNCTION("""COMPUTED_VALUE"""),"BOGOTÁ")</f>
        <v>BOGOTÁ</v>
      </c>
      <c r="E6323" s="15" t="str">
        <f>IFERROR(__xludf.DUMMYFUNCTION("""COMPUTED_VALUE"""),"Karem foods")</f>
        <v>Karem foods</v>
      </c>
      <c r="F6323" s="17" t="str">
        <f>IFERROR(__xludf.DUMMYFUNCTION("""COMPUTED_VALUE"""),"Calle 35 AN # 2AN-95 / Santana de Prado apto 506-A / Prados del Norte")</f>
        <v>Calle 35 AN # 2AN-95 / Santana de Prado apto 506-A / Prados del Norte</v>
      </c>
      <c r="G6323" s="15" t="str">
        <f>IFERROR(__xludf.DUMMYFUNCTION("""COMPUTED_VALUE"""),"Viviana Leon")</f>
        <v>Viviana Leon</v>
      </c>
      <c r="H6323" s="16">
        <f>IFERROR(__xludf.DUMMYFUNCTION("""COMPUTED_VALUE"""),15090.0)</f>
        <v>15090</v>
      </c>
      <c r="I6323" s="18">
        <f>IFERROR(__xludf.DUMMYFUNCTION("""COMPUTED_VALUE"""),7.0)</f>
        <v>7</v>
      </c>
      <c r="J6323" s="18">
        <f>IFERROR(__xludf.DUMMYFUNCTION("""COMPUTED_VALUE"""),20.0)</f>
        <v>20</v>
      </c>
      <c r="K6323" s="18">
        <f>IFERROR(__xludf.DUMMYFUNCTION("""COMPUTED_VALUE"""),20.0)</f>
        <v>20</v>
      </c>
      <c r="L6323" s="17">
        <f>IFERROR(__xludf.DUMMYFUNCTION("""COMPUTED_VALUE"""),3.113423315E9)</f>
        <v>3113423315</v>
      </c>
      <c r="M6323" s="17" t="str">
        <f>IFERROR(__xludf.DUMMYFUNCTION("""COMPUTED_VALUE"""),"#REF!")</f>
        <v>#REF!</v>
      </c>
      <c r="N6323" s="17"/>
      <c r="O6323" s="17"/>
      <c r="P6323" s="17" t="b">
        <f>IFERROR(__xludf.DUMMYFUNCTION("""COMPUTED_VALUE"""),FALSE)</f>
        <v>0</v>
      </c>
      <c r="Q6323" s="20" t="str">
        <f>IFERROR(__xludf.DUMMYFUNCTION("""COMPUTED_VALUE"""),"")</f>
        <v/>
      </c>
      <c r="R6323" s="21" t="str">
        <f>IFERROR(__xludf.DUMMYFUNCTION("""COMPUTED_VALUE"""),"https://drive.google.com/file/d/1TRwHz5sXuu3WrPjCh7FaaNRlerlxrxmo/view?usp=drivesdk")</f>
        <v>https://drive.google.com/file/d/1TRwHz5sXuu3WrPjCh7FaaNRlerlxrxmo/view?usp=drivesdk</v>
      </c>
    </row>
    <row r="6324">
      <c r="A6324" s="15">
        <f>IFERROR(__xludf.DUMMYFUNCTION("""COMPUTED_VALUE"""),45181.0)</f>
        <v>45181</v>
      </c>
      <c r="B6324" s="16" t="str">
        <f>IFERROR(__xludf.DUMMYFUNCTION("""COMPUTED_VALUE"""),"Johan Alexander Escobar Arroyo ")</f>
        <v>Johan Alexander Escobar Arroyo </v>
      </c>
      <c r="C6324" s="15" t="str">
        <f>IFERROR(__xludf.DUMMYFUNCTION("""COMPUTED_VALUE"""),"CALI")</f>
        <v>CALI</v>
      </c>
      <c r="D6324" s="15" t="str">
        <f>IFERROR(__xludf.DUMMYFUNCTION("""COMPUTED_VALUE"""),"BOGOTÁ")</f>
        <v>BOGOTÁ</v>
      </c>
      <c r="E6324" s="15" t="str">
        <f>IFERROR(__xludf.DUMMYFUNCTION("""COMPUTED_VALUE"""),"Pan de Waffle")</f>
        <v>Pan de Waffle</v>
      </c>
      <c r="F6324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6324" s="15" t="str">
        <f>IFERROR(__xludf.DUMMYFUNCTION("""COMPUTED_VALUE"""),"FOODOLOGY")</f>
        <v>FOODOLOGY</v>
      </c>
      <c r="H6324" s="16">
        <f>IFERROR(__xludf.DUMMYFUNCTION("""COMPUTED_VALUE"""),15126.0)</f>
        <v>15126</v>
      </c>
      <c r="I6324" s="18">
        <f>IFERROR(__xludf.DUMMYFUNCTION("""COMPUTED_VALUE"""),40.0)</f>
        <v>40</v>
      </c>
      <c r="J6324" s="18">
        <f>IFERROR(__xludf.DUMMYFUNCTION("""COMPUTED_VALUE"""),30.0)</f>
        <v>30</v>
      </c>
      <c r="K6324" s="18">
        <f>IFERROR(__xludf.DUMMYFUNCTION("""COMPUTED_VALUE"""),30.0)</f>
        <v>30</v>
      </c>
      <c r="L6324" s="17">
        <f>IFERROR(__xludf.DUMMYFUNCTION("""COMPUTED_VALUE"""),3.158323233E9)</f>
        <v>3158323233</v>
      </c>
      <c r="M6324" s="17" t="str">
        <f>IFERROR(__xludf.DUMMYFUNCTION("""COMPUTED_VALUE"""),"#REF!")</f>
        <v>#REF!</v>
      </c>
      <c r="N6324" s="17"/>
      <c r="O6324" s="17"/>
      <c r="P6324" s="17" t="b">
        <f>IFERROR(__xludf.DUMMYFUNCTION("""COMPUTED_VALUE"""),FALSE)</f>
        <v>0</v>
      </c>
      <c r="Q6324" s="20" t="str">
        <f>IFERROR(__xludf.DUMMYFUNCTION("""COMPUTED_VALUE"""),"")</f>
        <v/>
      </c>
      <c r="R6324" s="22" t="str">
        <f>IFERROR(__xludf.DUMMYFUNCTION("""COMPUTED_VALUE"""),"")</f>
        <v/>
      </c>
    </row>
    <row r="6325">
      <c r="A6325" s="15">
        <f>IFERROR(__xludf.DUMMYFUNCTION("""COMPUTED_VALUE"""),45181.0)</f>
        <v>45181</v>
      </c>
      <c r="B6325" s="16" t="str">
        <f>IFERROR(__xludf.DUMMYFUNCTION("""COMPUTED_VALUE"""),"Johan Alexander Escobar Arroyo ")</f>
        <v>Johan Alexander Escobar Arroyo </v>
      </c>
      <c r="C6325" s="15" t="str">
        <f>IFERROR(__xludf.DUMMYFUNCTION("""COMPUTED_VALUE"""),"CALI")</f>
        <v>CALI</v>
      </c>
      <c r="D6325" s="15" t="str">
        <f>IFERROR(__xludf.DUMMYFUNCTION("""COMPUTED_VALUE"""),"BOGOTÁ")</f>
        <v>BOGOTÁ</v>
      </c>
      <c r="E6325" s="15" t="str">
        <f>IFERROR(__xludf.DUMMYFUNCTION("""COMPUTED_VALUE"""),"Top Spun")</f>
        <v>Top Spun</v>
      </c>
      <c r="F6325" s="17" t="str">
        <f>IFERROR(__xludf.DUMMYFUNCTION("""COMPUTED_VALUE"""),"Calle 15a #69-85 / Apto 103 Torre 1 / Reserva de la Hacienda")</f>
        <v>Calle 15a #69-85 / Apto 103 Torre 1 / Reserva de la Hacienda</v>
      </c>
      <c r="G6325" s="15" t="str">
        <f>IFERROR(__xludf.DUMMYFUNCTION("""COMPUTED_VALUE"""),"Katherine Echeverry")</f>
        <v>Katherine Echeverry</v>
      </c>
      <c r="H6325" s="16">
        <f>IFERROR(__xludf.DUMMYFUNCTION("""COMPUTED_VALUE"""),14959.0)</f>
        <v>14959</v>
      </c>
      <c r="I6325" s="18">
        <f>IFERROR(__xludf.DUMMYFUNCTION("""COMPUTED_VALUE"""),20.0)</f>
        <v>20</v>
      </c>
      <c r="J6325" s="18">
        <f>IFERROR(__xludf.DUMMYFUNCTION("""COMPUTED_VALUE"""),10.0)</f>
        <v>10</v>
      </c>
      <c r="K6325" s="18">
        <f>IFERROR(__xludf.DUMMYFUNCTION("""COMPUTED_VALUE"""),40.0)</f>
        <v>40</v>
      </c>
      <c r="L6325" s="17">
        <f>IFERROR(__xludf.DUMMYFUNCTION("""COMPUTED_VALUE"""),3.016132893E9)</f>
        <v>3016132893</v>
      </c>
      <c r="M6325" s="17" t="str">
        <f>IFERROR(__xludf.DUMMYFUNCTION("""COMPUTED_VALUE"""),"#REF!")</f>
        <v>#REF!</v>
      </c>
      <c r="N6325" s="17"/>
      <c r="O6325" s="17"/>
      <c r="P6325" s="17" t="b">
        <f>IFERROR(__xludf.DUMMYFUNCTION("""COMPUTED_VALUE"""),FALSE)</f>
        <v>0</v>
      </c>
      <c r="Q6325" s="20" t="str">
        <f>IFERROR(__xludf.DUMMYFUNCTION("""COMPUTED_VALUE"""),"")</f>
        <v/>
      </c>
      <c r="R6325" s="21" t="str">
        <f>IFERROR(__xludf.DUMMYFUNCTION("""COMPUTED_VALUE"""),"https://drive.google.com/file/d/1bLo7Up5SGuOPj3KuddYGpD4CBUlKsnMP/view?usp=drivesdk")</f>
        <v>https://drive.google.com/file/d/1bLo7Up5SGuOPj3KuddYGpD4CBUlKsnMP/view?usp=drivesdk</v>
      </c>
    </row>
    <row r="6326">
      <c r="A6326" s="15">
        <f>IFERROR(__xludf.DUMMYFUNCTION("""COMPUTED_VALUE"""),45181.0)</f>
        <v>45181</v>
      </c>
      <c r="B6326" s="16" t="str">
        <f>IFERROR(__xludf.DUMMYFUNCTION("""COMPUTED_VALUE"""),"Johan Alexander Escobar Arroyo ")</f>
        <v>Johan Alexander Escobar Arroyo </v>
      </c>
      <c r="C6326" s="15" t="str">
        <f>IFERROR(__xludf.DUMMYFUNCTION("""COMPUTED_VALUE"""),"CARTAGO")</f>
        <v>CARTAGO</v>
      </c>
      <c r="D6326" s="15" t="str">
        <f>IFERROR(__xludf.DUMMYFUNCTION("""COMPUTED_VALUE"""),"BOGOTÁ")</f>
        <v>BOGOTÁ</v>
      </c>
      <c r="E6326" s="15" t="str">
        <f>IFERROR(__xludf.DUMMYFUNCTION("""COMPUTED_VALUE"""),"Pan de Waffle")</f>
        <v>Pan de Waffle</v>
      </c>
      <c r="F6326" s="17" t="str">
        <f>IFERROR(__xludf.DUMMYFUNCTION("""COMPUTED_VALUE"""),"CR 4 # 16 107 / CR 4 # 16 107 / CR 4 # 16 107")</f>
        <v>CR 4 # 16 107 / CR 4 # 16 107 / CR 4 # 16 107</v>
      </c>
      <c r="G6326" s="15" t="str">
        <f>IFERROR(__xludf.DUMMYFUNCTION("""COMPUTED_VALUE"""),"THE NATURAL")</f>
        <v>THE NATURAL</v>
      </c>
      <c r="H6326" s="16">
        <f>IFERROR(__xludf.DUMMYFUNCTION("""COMPUTED_VALUE"""),15123.0)</f>
        <v>15123</v>
      </c>
      <c r="I6326" s="18">
        <f>IFERROR(__xludf.DUMMYFUNCTION("""COMPUTED_VALUE"""),30.0)</f>
        <v>30</v>
      </c>
      <c r="J6326" s="18">
        <f>IFERROR(__xludf.DUMMYFUNCTION("""COMPUTED_VALUE"""),30.0)</f>
        <v>30</v>
      </c>
      <c r="K6326" s="18">
        <f>IFERROR(__xludf.DUMMYFUNCTION("""COMPUTED_VALUE"""),40.0)</f>
        <v>40</v>
      </c>
      <c r="L6326" s="17">
        <f>IFERROR(__xludf.DUMMYFUNCTION("""COMPUTED_VALUE"""),3.146025882E9)</f>
        <v>3146025882</v>
      </c>
      <c r="M6326" s="17" t="str">
        <f>IFERROR(__xludf.DUMMYFUNCTION("""COMPUTED_VALUE"""),"#REF!")</f>
        <v>#REF!</v>
      </c>
      <c r="N6326" s="17"/>
      <c r="O6326" s="17"/>
      <c r="P6326" s="17" t="b">
        <f>IFERROR(__xludf.DUMMYFUNCTION("""COMPUTED_VALUE"""),FALSE)</f>
        <v>0</v>
      </c>
      <c r="Q6326" s="20" t="str">
        <f>IFERROR(__xludf.DUMMYFUNCTION("""COMPUTED_VALUE"""),"")</f>
        <v/>
      </c>
      <c r="R6326" s="22" t="str">
        <f>IFERROR(__xludf.DUMMYFUNCTION("""COMPUTED_VALUE"""),"")</f>
        <v/>
      </c>
    </row>
    <row r="6327">
      <c r="A6327" s="15">
        <f>IFERROR(__xludf.DUMMYFUNCTION("""COMPUTED_VALUE"""),45181.0)</f>
        <v>45181</v>
      </c>
      <c r="B6327" s="16" t="str">
        <f>IFERROR(__xludf.DUMMYFUNCTION("""COMPUTED_VALUE"""),"Johan Alexander Escobar Arroyo ")</f>
        <v>Johan Alexander Escobar Arroyo </v>
      </c>
      <c r="C6327" s="15" t="str">
        <f>IFERROR(__xludf.DUMMYFUNCTION("""COMPUTED_VALUE"""),"IBAGUÉ")</f>
        <v>IBAGUÉ</v>
      </c>
      <c r="D6327" s="15" t="str">
        <f>IFERROR(__xludf.DUMMYFUNCTION("""COMPUTED_VALUE"""),"MEDELLÍN")</f>
        <v>MEDELLÍN</v>
      </c>
      <c r="E6327" s="15" t="str">
        <f>IFERROR(__xludf.DUMMYFUNCTION("""COMPUTED_VALUE"""),"Baby Chef")</f>
        <v>Baby Chef</v>
      </c>
      <c r="F6327" s="17" t="str">
        <f>IFERROR(__xludf.DUMMYFUNCTION("""COMPUTED_VALUE"""),"Biventi apto 1208 torre sur  Vergel  Ibagué - tolima / Biventi apto 1208 torre sur  Vergel  Ibagué - tolima / Biventi apto 1208 torre sur  Vergel  Ibagué - tolima")</f>
        <v>Biventi apto 1208 torre sur  Vergel  Ibagué - tolima / Biventi apto 1208 torre sur  Vergel  Ibagué - tolima / Biventi apto 1208 torre sur  Vergel  Ibagué - tolima</v>
      </c>
      <c r="G6327" s="15" t="str">
        <f>IFERROR(__xludf.DUMMYFUNCTION("""COMPUTED_VALUE"""),"Isabella Villegas")</f>
        <v>Isabella Villegas</v>
      </c>
      <c r="H6327" s="16">
        <f>IFERROR(__xludf.DUMMYFUNCTION("""COMPUTED_VALUE"""),15120.0)</f>
        <v>15120</v>
      </c>
      <c r="I6327" s="18">
        <f>IFERROR(__xludf.DUMMYFUNCTION("""COMPUTED_VALUE"""),5.0)</f>
        <v>5</v>
      </c>
      <c r="J6327" s="18">
        <f>IFERROR(__xludf.DUMMYFUNCTION("""COMPUTED_VALUE"""),21.0)</f>
        <v>21</v>
      </c>
      <c r="K6327" s="18">
        <f>IFERROR(__xludf.DUMMYFUNCTION("""COMPUTED_VALUE"""),33.0)</f>
        <v>33</v>
      </c>
      <c r="L6327" s="17">
        <f>IFERROR(__xludf.DUMMYFUNCTION("""COMPUTED_VALUE"""),3.184010772E9)</f>
        <v>3184010772</v>
      </c>
      <c r="M6327" s="17" t="str">
        <f>IFERROR(__xludf.DUMMYFUNCTION("""COMPUTED_VALUE"""),"#REF!")</f>
        <v>#REF!</v>
      </c>
      <c r="N6327" s="17"/>
      <c r="O6327" s="17"/>
      <c r="P6327" s="17" t="b">
        <f>IFERROR(__xludf.DUMMYFUNCTION("""COMPUTED_VALUE"""),TRUE)</f>
        <v>1</v>
      </c>
      <c r="Q6327" s="20">
        <f>IFERROR(__xludf.DUMMYFUNCTION("""COMPUTED_VALUE"""),45181.62930744213)</f>
        <v>45181.62931</v>
      </c>
      <c r="R6327" s="21" t="str">
        <f>IFERROR(__xludf.DUMMYFUNCTION("""COMPUTED_VALUE"""),"https://drive.google.com/file/d/1ZL3h4HIxmL2hcdvIZvBSTbePqHJxYEr9/view?usp=drivesdk")</f>
        <v>https://drive.google.com/file/d/1ZL3h4HIxmL2hcdvIZvBSTbePqHJxYEr9/view?usp=drivesdk</v>
      </c>
    </row>
    <row r="6328">
      <c r="A6328" s="15">
        <f>IFERROR(__xludf.DUMMYFUNCTION("""COMPUTED_VALUE"""),45181.0)</f>
        <v>45181</v>
      </c>
      <c r="B6328" s="16" t="str">
        <f>IFERROR(__xludf.DUMMYFUNCTION("""COMPUTED_VALUE"""),"Johan Alexander Escobar Arroyo ")</f>
        <v>Johan Alexander Escobar Arroyo </v>
      </c>
      <c r="C6328" s="15" t="str">
        <f>IFERROR(__xludf.DUMMYFUNCTION("""COMPUTED_VALUE"""),"IBAGUÉ")</f>
        <v>IBAGUÉ</v>
      </c>
      <c r="D6328" s="15" t="str">
        <f>IFERROR(__xludf.DUMMYFUNCTION("""COMPUTED_VALUE"""),"MEDELLÍN")</f>
        <v>MEDELLÍN</v>
      </c>
      <c r="E6328" s="15" t="str">
        <f>IFERROR(__xludf.DUMMYFUNCTION("""COMPUTED_VALUE"""),"Rambla")</f>
        <v>Rambla</v>
      </c>
      <c r="F6328" s="17" t="str">
        <f>IFERROR(__xludf.DUMMYFUNCTION("""COMPUTED_VALUE"""),"Cra 14 #75A-29 local 5 estancia del vergel ibague - Tolima / - / -")</f>
        <v>Cra 14 #75A-29 local 5 estancia del vergel ibague - Tolima / - / -</v>
      </c>
      <c r="G6328" s="15" t="str">
        <f>IFERROR(__xludf.DUMMYFUNCTION("""COMPUTED_VALUE"""),"Soy Natural")</f>
        <v>Soy Natural</v>
      </c>
      <c r="H6328" s="16">
        <f>IFERROR(__xludf.DUMMYFUNCTION("""COMPUTED_VALUE"""),15087.0)</f>
        <v>15087</v>
      </c>
      <c r="I6328" s="18">
        <f>IFERROR(__xludf.DUMMYFUNCTION("""COMPUTED_VALUE"""),24.0)</f>
        <v>24</v>
      </c>
      <c r="J6328" s="18">
        <f>IFERROR(__xludf.DUMMYFUNCTION("""COMPUTED_VALUE"""),24.0)</f>
        <v>24</v>
      </c>
      <c r="K6328" s="18">
        <f>IFERROR(__xludf.DUMMYFUNCTION("""COMPUTED_VALUE"""),24.0)</f>
        <v>24</v>
      </c>
      <c r="L6328" s="17">
        <f>IFERROR(__xludf.DUMMYFUNCTION("""COMPUTED_VALUE"""),3.177002909E9)</f>
        <v>3177002909</v>
      </c>
      <c r="M6328" s="17" t="str">
        <f>IFERROR(__xludf.DUMMYFUNCTION("""COMPUTED_VALUE"""),"#REF!")</f>
        <v>#REF!</v>
      </c>
      <c r="N6328" s="17"/>
      <c r="O6328" s="17"/>
      <c r="P6328" s="17" t="b">
        <f>IFERROR(__xludf.DUMMYFUNCTION("""COMPUTED_VALUE"""),TRUE)</f>
        <v>1</v>
      </c>
      <c r="Q6328" s="20">
        <f>IFERROR(__xludf.DUMMYFUNCTION("""COMPUTED_VALUE"""),45181.756438530094)</f>
        <v>45181.75644</v>
      </c>
      <c r="R6328" s="21" t="str">
        <f>IFERROR(__xludf.DUMMYFUNCTION("""COMPUTED_VALUE"""),"https://drive.google.com/file/d/1FSTqio-aZRdUPXa3bT7ERjC5IBTj2jTK/view?usp=drivesdk")</f>
        <v>https://drive.google.com/file/d/1FSTqio-aZRdUPXa3bT7ERjC5IBTj2jTK/view?usp=drivesdk</v>
      </c>
    </row>
    <row r="6329">
      <c r="A6329" s="15">
        <f>IFERROR(__xludf.DUMMYFUNCTION("""COMPUTED_VALUE"""),45181.0)</f>
        <v>45181</v>
      </c>
      <c r="B6329" s="16" t="str">
        <f>IFERROR(__xludf.DUMMYFUNCTION("""COMPUTED_VALUE"""),"Johan Alexander Escobar Arroyo ")</f>
        <v>Johan Alexander Escobar Arroyo </v>
      </c>
      <c r="C6329" s="15" t="str">
        <f>IFERROR(__xludf.DUMMYFUNCTION("""COMPUTED_VALUE"""),"JAMUNDI")</f>
        <v>JAMUNDI</v>
      </c>
      <c r="D6329" s="15" t="str">
        <f>IFERROR(__xludf.DUMMYFUNCTION("""COMPUTED_VALUE"""),"BOGOTÁ")</f>
        <v>BOGOTÁ</v>
      </c>
      <c r="E6329" s="15" t="str">
        <f>IFERROR(__xludf.DUMMYFUNCTION("""COMPUTED_VALUE"""),"50 Gr Alfajores")</f>
        <v>50 Gr Alfajores</v>
      </c>
      <c r="F6329" s="17" t="str">
        <f>IFERROR(__xludf.DUMMYFUNCTION("""COMPUTED_VALUE"""),"Cra 19#6-08 /  apto 801 torre 2,  / los naranjos manzana 6")</f>
        <v>Cra 19#6-08 /  apto 801 torre 2,  / los naranjos manzana 6</v>
      </c>
      <c r="G6329" s="15" t="str">
        <f>IFERROR(__xludf.DUMMYFUNCTION("""COMPUTED_VALUE"""),"Cuervo Carlos Andres")</f>
        <v>Cuervo Carlos Andres</v>
      </c>
      <c r="H6329" s="16">
        <f>IFERROR(__xludf.DUMMYFUNCTION("""COMPUTED_VALUE"""),14985.0)</f>
        <v>14985</v>
      </c>
      <c r="I6329" s="18">
        <f>IFERROR(__xludf.DUMMYFUNCTION("""COMPUTED_VALUE"""),5.0)</f>
        <v>5</v>
      </c>
      <c r="J6329" s="18">
        <f>IFERROR(__xludf.DUMMYFUNCTION("""COMPUTED_VALUE"""),13.0)</f>
        <v>13</v>
      </c>
      <c r="K6329" s="18">
        <f>IFERROR(__xludf.DUMMYFUNCTION("""COMPUTED_VALUE"""),45064.0)</f>
        <v>45064</v>
      </c>
      <c r="L6329" s="17">
        <f>IFERROR(__xludf.DUMMYFUNCTION("""COMPUTED_VALUE"""),3.218012369E9)</f>
        <v>3218012369</v>
      </c>
      <c r="M6329" s="17" t="str">
        <f>IFERROR(__xludf.DUMMYFUNCTION("""COMPUTED_VALUE"""),"#REF!")</f>
        <v>#REF!</v>
      </c>
      <c r="N6329" s="17"/>
      <c r="O6329" s="17"/>
      <c r="P6329" s="17" t="b">
        <f>IFERROR(__xludf.DUMMYFUNCTION("""COMPUTED_VALUE"""),TRUE)</f>
        <v>1</v>
      </c>
      <c r="Q6329" s="20">
        <f>IFERROR(__xludf.DUMMYFUNCTION("""COMPUTED_VALUE"""),45181.76167976852)</f>
        <v>45181.76168</v>
      </c>
      <c r="R6329" s="21" t="str">
        <f>IFERROR(__xludf.DUMMYFUNCTION("""COMPUTED_VALUE"""),"https://drive.google.com/file/d/1yq-xuW3fbH5EbrwmU-qwMcUvcyuPuDvH/view?usp=drivesdk")</f>
        <v>https://drive.google.com/file/d/1yq-xuW3fbH5EbrwmU-qwMcUvcyuPuDvH/view?usp=drivesdk</v>
      </c>
    </row>
    <row r="6330">
      <c r="A6330" s="17" t="str">
        <f>IFERROR(__xludf.DUMMYFUNCTION("""COMPUTED_VALUE"""),"")</f>
        <v/>
      </c>
      <c r="B6330" s="17" t="str">
        <f>IFERROR(__xludf.DUMMYFUNCTION("""COMPUTED_VALUE"""),"")</f>
        <v/>
      </c>
      <c r="C6330" s="17" t="str">
        <f>IFERROR(__xludf.DUMMYFUNCTION("""COMPUTED_VALUE"""),"")</f>
        <v/>
      </c>
      <c r="D6330" s="17" t="str">
        <f>IFERROR(__xludf.DUMMYFUNCTION("""COMPUTED_VALUE"""),"")</f>
        <v/>
      </c>
      <c r="E6330" s="17" t="str">
        <f>IFERROR(__xludf.DUMMYFUNCTION("""COMPUTED_VALUE"""),"")</f>
        <v/>
      </c>
      <c r="F6330" s="17" t="str">
        <f>IFERROR(__xludf.DUMMYFUNCTION("""COMPUTED_VALUE"""),"")</f>
        <v/>
      </c>
      <c r="G6330" s="17" t="str">
        <f>IFERROR(__xludf.DUMMYFUNCTION("""COMPUTED_VALUE"""),"")</f>
        <v/>
      </c>
      <c r="H6330" s="17" t="str">
        <f>IFERROR(__xludf.DUMMYFUNCTION("""COMPUTED_VALUE"""),"")</f>
        <v/>
      </c>
      <c r="I6330" s="17" t="str">
        <f>IFERROR(__xludf.DUMMYFUNCTION("""COMPUTED_VALUE"""),"")</f>
        <v/>
      </c>
      <c r="J6330" s="17" t="str">
        <f>IFERROR(__xludf.DUMMYFUNCTION("""COMPUTED_VALUE"""),"")</f>
        <v/>
      </c>
      <c r="K6330" s="17" t="str">
        <f>IFERROR(__xludf.DUMMYFUNCTION("""COMPUTED_VALUE"""),"")</f>
        <v/>
      </c>
      <c r="L6330" s="17" t="str">
        <f>IFERROR(__xludf.DUMMYFUNCTION("""COMPUTED_VALUE"""),"")</f>
        <v/>
      </c>
      <c r="M6330" s="17" t="str">
        <f>IFERROR(__xludf.DUMMYFUNCTION("""COMPUTED_VALUE"""),"")</f>
        <v/>
      </c>
      <c r="N6330" s="17" t="str">
        <f>IFERROR(__xludf.DUMMYFUNCTION("""COMPUTED_VALUE"""),"")</f>
        <v/>
      </c>
      <c r="O6330" s="17" t="str">
        <f>IFERROR(__xludf.DUMMYFUNCTION("""COMPUTED_VALUE"""),"")</f>
        <v/>
      </c>
      <c r="P6330" s="17" t="str">
        <f>IFERROR(__xludf.DUMMYFUNCTION("""COMPUTED_VALUE"""),"")</f>
        <v/>
      </c>
      <c r="Q6330" s="17" t="str">
        <f>IFERROR(__xludf.DUMMYFUNCTION("""COMPUTED_VALUE"""),"")</f>
        <v/>
      </c>
      <c r="R6330" s="17" t="str">
        <f>IFERROR(__xludf.DUMMYFUNCTION("""COMPUTED_VALUE"""),"")</f>
        <v/>
      </c>
    </row>
    <row r="6331">
      <c r="A6331" s="15">
        <f>IFERROR(__xludf.DUMMYFUNCTION("""COMPUTED_VALUE"""),45181.0)</f>
        <v>45181</v>
      </c>
      <c r="B6331" s="16" t="str">
        <f>IFERROR(__xludf.DUMMYFUNCTION("""COMPUTED_VALUE"""),"Julián Alexis salazar Anaya ")</f>
        <v>Julián Alexis salazar Anaya </v>
      </c>
      <c r="C6331" s="15" t="str">
        <f>IFERROR(__xludf.DUMMYFUNCTION("""COMPUTED_VALUE"""),"BUCARAMANGA")</f>
        <v>BUCARAMANGA</v>
      </c>
      <c r="D6331" s="15" t="str">
        <f>IFERROR(__xludf.DUMMYFUNCTION("""COMPUTED_VALUE"""),"BOGOTÁ")</f>
        <v>BOGOTÁ</v>
      </c>
      <c r="E6331" s="15" t="str">
        <f>IFERROR(__xludf.DUMMYFUNCTION("""COMPUTED_VALUE"""),"Ins. Alimento Vital")</f>
        <v>Ins. Alimento Vital</v>
      </c>
      <c r="F6331" s="17" t="str">
        <f>IFERROR(__xludf.DUMMYFUNCTION("""COMPUTED_VALUE"""),"CR 44 64A 73 / TR 2 AP 801 EDIFICIO MONSERRAT / BARRIO LA FLORESTA")</f>
        <v>CR 44 64A 73 / TR 2 AP 801 EDIFICIO MONSERRAT / BARRIO LA FLORESTA</v>
      </c>
      <c r="G6331" s="15" t="str">
        <f>IFERROR(__xludf.DUMMYFUNCTION("""COMPUTED_VALUE"""),"LUISA FERNANDA CASTELLANOS RAMIREZ")</f>
        <v>LUISA FERNANDA CASTELLANOS RAMIREZ</v>
      </c>
      <c r="H6331" s="16">
        <f>IFERROR(__xludf.DUMMYFUNCTION("""COMPUTED_VALUE"""),15063.0)</f>
        <v>15063</v>
      </c>
      <c r="I6331" s="18">
        <f>IFERROR(__xludf.DUMMYFUNCTION("""COMPUTED_VALUE"""),1.0)</f>
        <v>1</v>
      </c>
      <c r="J6331" s="18">
        <f>IFERROR(__xludf.DUMMYFUNCTION("""COMPUTED_VALUE"""),1.0)</f>
        <v>1</v>
      </c>
      <c r="K6331" s="18">
        <f>IFERROR(__xludf.DUMMYFUNCTION("""COMPUTED_VALUE"""),1.0)</f>
        <v>1</v>
      </c>
      <c r="L6331" s="17">
        <f>IFERROR(__xludf.DUMMYFUNCTION("""COMPUTED_VALUE"""),3.153976486E9)</f>
        <v>3153976486</v>
      </c>
      <c r="M6331" s="17" t="str">
        <f>IFERROR(__xludf.DUMMYFUNCTION("""COMPUTED_VALUE"""),"#REF!")</f>
        <v>#REF!</v>
      </c>
      <c r="N6331" s="17"/>
      <c r="O6331" s="17"/>
      <c r="P6331" s="17" t="b">
        <f>IFERROR(__xludf.DUMMYFUNCTION("""COMPUTED_VALUE"""),FALSE)</f>
        <v>0</v>
      </c>
      <c r="Q6331" s="20" t="str">
        <f>IFERROR(__xludf.DUMMYFUNCTION("""COMPUTED_VALUE"""),"")</f>
        <v/>
      </c>
      <c r="R6331" s="22" t="str">
        <f>IFERROR(__xludf.DUMMYFUNCTION("""COMPUTED_VALUE"""),"")</f>
        <v/>
      </c>
    </row>
    <row r="6332">
      <c r="A6332" s="15">
        <f>IFERROR(__xludf.DUMMYFUNCTION("""COMPUTED_VALUE"""),45181.0)</f>
        <v>45181</v>
      </c>
      <c r="B6332" s="16" t="str">
        <f>IFERROR(__xludf.DUMMYFUNCTION("""COMPUTED_VALUE"""),"Julián Alexis salazar Anaya ")</f>
        <v>Julián Alexis salazar Anaya </v>
      </c>
      <c r="C6332" s="15" t="str">
        <f>IFERROR(__xludf.DUMMYFUNCTION("""COMPUTED_VALUE"""),"BUCARAMANGA")</f>
        <v>BUCARAMANGA</v>
      </c>
      <c r="D6332" s="15" t="str">
        <f>IFERROR(__xludf.DUMMYFUNCTION("""COMPUTED_VALUE"""),"BOGOTÁ")</f>
        <v>BOGOTÁ</v>
      </c>
      <c r="E6332" s="15" t="str">
        <f>IFERROR(__xludf.DUMMYFUNCTION("""COMPUTED_VALUE"""),"MAI ALIMENTOS S.A.S")</f>
        <v>MAI ALIMENTOS S.A.S</v>
      </c>
      <c r="F6332" s="17" t="str">
        <f>IFERROR(__xludf.DUMMYFUNCTION("""COMPUTED_VALUE"""),"Envia Bucaramanga / La cliente Rcoge en Envia")</f>
        <v>Envia Bucaramanga / La cliente Rcoge en Envia</v>
      </c>
      <c r="G6332" s="15" t="str">
        <f>IFERROR(__xludf.DUMMYFUNCTION("""COMPUTED_VALUE"""),"Fit Store Express")</f>
        <v>Fit Store Express</v>
      </c>
      <c r="H6332" s="16">
        <f>IFERROR(__xludf.DUMMYFUNCTION("""COMPUTED_VALUE"""),14969.0)</f>
        <v>14969</v>
      </c>
      <c r="I6332" s="18">
        <f>IFERROR(__xludf.DUMMYFUNCTION("""COMPUTED_VALUE"""),35.0)</f>
        <v>35</v>
      </c>
      <c r="J6332" s="18">
        <f>IFERROR(__xludf.DUMMYFUNCTION("""COMPUTED_VALUE"""),17.0)</f>
        <v>17</v>
      </c>
      <c r="K6332" s="18">
        <f>IFERROR(__xludf.DUMMYFUNCTION("""COMPUTED_VALUE"""),13.0)</f>
        <v>13</v>
      </c>
      <c r="L6332" s="17">
        <f>IFERROR(__xludf.DUMMYFUNCTION("""COMPUTED_VALUE"""),3.005711168E9)</f>
        <v>3005711168</v>
      </c>
      <c r="M6332" s="17" t="str">
        <f>IFERROR(__xludf.DUMMYFUNCTION("""COMPUTED_VALUE"""),"#REF!")</f>
        <v>#REF!</v>
      </c>
      <c r="N6332" s="17"/>
      <c r="O6332" s="17"/>
      <c r="P6332" s="17" t="b">
        <f>IFERROR(__xludf.DUMMYFUNCTION("""COMPUTED_VALUE"""),FALSE)</f>
        <v>0</v>
      </c>
      <c r="Q6332" s="20" t="str">
        <f>IFERROR(__xludf.DUMMYFUNCTION("""COMPUTED_VALUE"""),"")</f>
        <v/>
      </c>
      <c r="R6332" s="22" t="str">
        <f>IFERROR(__xludf.DUMMYFUNCTION("""COMPUTED_VALUE"""),"")</f>
        <v/>
      </c>
    </row>
    <row r="6333">
      <c r="A6333" s="15">
        <f>IFERROR(__xludf.DUMMYFUNCTION("""COMPUTED_VALUE"""),45181.0)</f>
        <v>45181</v>
      </c>
      <c r="B6333" s="16" t="str">
        <f>IFERROR(__xludf.DUMMYFUNCTION("""COMPUTED_VALUE"""),"Julián Alexis salazar Anaya ")</f>
        <v>Julián Alexis salazar Anaya </v>
      </c>
      <c r="C6333" s="15" t="str">
        <f>IFERROR(__xludf.DUMMYFUNCTION("""COMPUTED_VALUE"""),"BUCARAMANGA")</f>
        <v>BUCARAMANGA</v>
      </c>
      <c r="D6333" s="15" t="str">
        <f>IFERROR(__xludf.DUMMYFUNCTION("""COMPUTED_VALUE"""),"BOGOTÁ")</f>
        <v>BOGOTÁ</v>
      </c>
      <c r="E6333" s="15" t="str">
        <f>IFERROR(__xludf.DUMMYFUNCTION("""COMPUTED_VALUE"""),"Pan de Yuca")</f>
        <v>Pan de Yuca</v>
      </c>
      <c r="F6333" s="17" t="str">
        <f>IFERROR(__xludf.DUMMYFUNCTION("""COMPUTED_VALUE"""),"Carrera 27A #42 - 51   / Apto 601  Britania en Sotomayor  / Sotomayor")</f>
        <v>Carrera 27A #42 - 51   / Apto 601  Britania en Sotomayor  / Sotomayor</v>
      </c>
      <c r="G6333" s="15" t="str">
        <f>IFERROR(__xludf.DUMMYFUNCTION("""COMPUTED_VALUE"""),"Carmen Ines Santamaria")</f>
        <v>Carmen Ines Santamaria</v>
      </c>
      <c r="H6333" s="16">
        <f>IFERROR(__xludf.DUMMYFUNCTION("""COMPUTED_VALUE"""),15073.0)</f>
        <v>15073</v>
      </c>
      <c r="I6333" s="18">
        <f>IFERROR(__xludf.DUMMYFUNCTION("""COMPUTED_VALUE"""),45058.0)</f>
        <v>45058</v>
      </c>
      <c r="J6333" s="18">
        <f>IFERROR(__xludf.DUMMYFUNCTION("""COMPUTED_VALUE"""),31.0)</f>
        <v>31</v>
      </c>
      <c r="K6333" s="18">
        <f>IFERROR(__xludf.DUMMYFUNCTION("""COMPUTED_VALUE"""),45067.0)</f>
        <v>45067</v>
      </c>
      <c r="L6333" s="17">
        <f>IFERROR(__xludf.DUMMYFUNCTION("""COMPUTED_VALUE"""),3.176607489E9)</f>
        <v>3176607489</v>
      </c>
      <c r="M6333" s="17" t="str">
        <f>IFERROR(__xludf.DUMMYFUNCTION("""COMPUTED_VALUE"""),"#REF!")</f>
        <v>#REF!</v>
      </c>
      <c r="N6333" s="17"/>
      <c r="O6333" s="17"/>
      <c r="P6333" s="17" t="b">
        <f>IFERROR(__xludf.DUMMYFUNCTION("""COMPUTED_VALUE"""),FALSE)</f>
        <v>0</v>
      </c>
      <c r="Q6333" s="20" t="str">
        <f>IFERROR(__xludf.DUMMYFUNCTION("""COMPUTED_VALUE"""),"")</f>
        <v/>
      </c>
      <c r="R6333" s="22" t="str">
        <f>IFERROR(__xludf.DUMMYFUNCTION("""COMPUTED_VALUE"""),"")</f>
        <v/>
      </c>
    </row>
    <row r="6334">
      <c r="A6334" s="15">
        <f>IFERROR(__xludf.DUMMYFUNCTION("""COMPUTED_VALUE"""),45181.0)</f>
        <v>45181</v>
      </c>
      <c r="B6334" s="16" t="str">
        <f>IFERROR(__xludf.DUMMYFUNCTION("""COMPUTED_VALUE"""),"Julián Alexis salazar Anaya ")</f>
        <v>Julián Alexis salazar Anaya </v>
      </c>
      <c r="C6334" s="15" t="str">
        <f>IFERROR(__xludf.DUMMYFUNCTION("""COMPUTED_VALUE"""),"BUCARAMANGA")</f>
        <v>BUCARAMANGA</v>
      </c>
      <c r="D6334" s="15" t="str">
        <f>IFERROR(__xludf.DUMMYFUNCTION("""COMPUTED_VALUE"""),"BOGOTÁ")</f>
        <v>BOGOTÁ</v>
      </c>
      <c r="E6334" s="15" t="str">
        <f>IFERROR(__xludf.DUMMYFUNCTION("""COMPUTED_VALUE"""),"Top Spun")</f>
        <v>Top Spun</v>
      </c>
      <c r="F6334" s="17" t="str">
        <f>IFERROR(__xludf.DUMMYFUNCTION("""COMPUTED_VALUE"""),"CALLE 64A # 17A-50 / BARRIO LA CEIBA / Bucaramanga")</f>
        <v>CALLE 64A # 17A-50 / BARRIO LA CEIBA / Bucaramanga</v>
      </c>
      <c r="G6334" s="15" t="str">
        <f>IFERROR(__xludf.DUMMYFUNCTION("""COMPUTED_VALUE"""),"María José Reyes")</f>
        <v>María José Reyes</v>
      </c>
      <c r="H6334" s="16">
        <f>IFERROR(__xludf.DUMMYFUNCTION("""COMPUTED_VALUE"""),14961.0)</f>
        <v>14961</v>
      </c>
      <c r="I6334" s="18">
        <f>IFERROR(__xludf.DUMMYFUNCTION("""COMPUTED_VALUE"""),20.0)</f>
        <v>20</v>
      </c>
      <c r="J6334" s="18">
        <f>IFERROR(__xludf.DUMMYFUNCTION("""COMPUTED_VALUE"""),10.0)</f>
        <v>10</v>
      </c>
      <c r="K6334" s="18">
        <f>IFERROR(__xludf.DUMMYFUNCTION("""COMPUTED_VALUE"""),40.0)</f>
        <v>40</v>
      </c>
      <c r="L6334" s="17">
        <f>IFERROR(__xludf.DUMMYFUNCTION("""COMPUTED_VALUE"""),3.124296903E9)</f>
        <v>3124296903</v>
      </c>
      <c r="M6334" s="17" t="str">
        <f>IFERROR(__xludf.DUMMYFUNCTION("""COMPUTED_VALUE"""),"#REF!")</f>
        <v>#REF!</v>
      </c>
      <c r="N6334" s="17"/>
      <c r="O6334" s="17"/>
      <c r="P6334" s="17" t="b">
        <f>IFERROR(__xludf.DUMMYFUNCTION("""COMPUTED_VALUE"""),FALSE)</f>
        <v>0</v>
      </c>
      <c r="Q6334" s="20" t="str">
        <f>IFERROR(__xludf.DUMMYFUNCTION("""COMPUTED_VALUE"""),"")</f>
        <v/>
      </c>
      <c r="R6334" s="22" t="str">
        <f>IFERROR(__xludf.DUMMYFUNCTION("""COMPUTED_VALUE"""),"")</f>
        <v/>
      </c>
    </row>
    <row r="6335">
      <c r="A6335" s="17" t="str">
        <f>IFERROR(__xludf.DUMMYFUNCTION("""COMPUTED_VALUE"""),"")</f>
        <v/>
      </c>
      <c r="B6335" s="17" t="str">
        <f>IFERROR(__xludf.DUMMYFUNCTION("""COMPUTED_VALUE"""),"")</f>
        <v/>
      </c>
      <c r="C6335" s="17" t="str">
        <f>IFERROR(__xludf.DUMMYFUNCTION("""COMPUTED_VALUE"""),"")</f>
        <v/>
      </c>
      <c r="D6335" s="17" t="str">
        <f>IFERROR(__xludf.DUMMYFUNCTION("""COMPUTED_VALUE"""),"")</f>
        <v/>
      </c>
      <c r="E6335" s="17" t="str">
        <f>IFERROR(__xludf.DUMMYFUNCTION("""COMPUTED_VALUE"""),"")</f>
        <v/>
      </c>
      <c r="F6335" s="17" t="str">
        <f>IFERROR(__xludf.DUMMYFUNCTION("""COMPUTED_VALUE"""),"")</f>
        <v/>
      </c>
      <c r="G6335" s="17" t="str">
        <f>IFERROR(__xludf.DUMMYFUNCTION("""COMPUTED_VALUE"""),"")</f>
        <v/>
      </c>
      <c r="H6335" s="17" t="str">
        <f>IFERROR(__xludf.DUMMYFUNCTION("""COMPUTED_VALUE"""),"")</f>
        <v/>
      </c>
      <c r="I6335" s="17" t="str">
        <f>IFERROR(__xludf.DUMMYFUNCTION("""COMPUTED_VALUE"""),"")</f>
        <v/>
      </c>
      <c r="J6335" s="17" t="str">
        <f>IFERROR(__xludf.DUMMYFUNCTION("""COMPUTED_VALUE"""),"")</f>
        <v/>
      </c>
      <c r="K6335" s="17" t="str">
        <f>IFERROR(__xludf.DUMMYFUNCTION("""COMPUTED_VALUE"""),"")</f>
        <v/>
      </c>
      <c r="L6335" s="17" t="str">
        <f>IFERROR(__xludf.DUMMYFUNCTION("""COMPUTED_VALUE"""),"")</f>
        <v/>
      </c>
      <c r="M6335" s="17" t="str">
        <f>IFERROR(__xludf.DUMMYFUNCTION("""COMPUTED_VALUE"""),"")</f>
        <v/>
      </c>
      <c r="N6335" s="17" t="str">
        <f>IFERROR(__xludf.DUMMYFUNCTION("""COMPUTED_VALUE"""),"")</f>
        <v/>
      </c>
      <c r="O6335" s="17" t="str">
        <f>IFERROR(__xludf.DUMMYFUNCTION("""COMPUTED_VALUE"""),"")</f>
        <v/>
      </c>
      <c r="P6335" s="17" t="str">
        <f>IFERROR(__xludf.DUMMYFUNCTION("""COMPUTED_VALUE"""),"")</f>
        <v/>
      </c>
      <c r="Q6335" s="17" t="str">
        <f>IFERROR(__xludf.DUMMYFUNCTION("""COMPUTED_VALUE"""),"")</f>
        <v/>
      </c>
      <c r="R6335" s="17" t="str">
        <f>IFERROR(__xludf.DUMMYFUNCTION("""COMPUTED_VALUE"""),"")</f>
        <v/>
      </c>
    </row>
    <row r="6336">
      <c r="A6336" s="15">
        <f>IFERROR(__xludf.DUMMYFUNCTION("""COMPUTED_VALUE"""),45181.0)</f>
        <v>45181</v>
      </c>
      <c r="B6336" s="16" t="str">
        <f>IFERROR(__xludf.DUMMYFUNCTION("""COMPUTED_VALUE"""),"Santiago Garces Restrepo")</f>
        <v>Santiago Garces Restrepo</v>
      </c>
      <c r="C6336" s="15" t="str">
        <f>IFERROR(__xludf.DUMMYFUNCTION("""COMPUTED_VALUE"""),"ITAGÜI")</f>
        <v>ITAGÜI</v>
      </c>
      <c r="D6336" s="15" t="str">
        <f>IFERROR(__xludf.DUMMYFUNCTION("""COMPUTED_VALUE"""),"BOGOTÁ")</f>
        <v>BOGOTÁ</v>
      </c>
      <c r="E6336" s="15" t="str">
        <f>IFERROR(__xludf.DUMMYFUNCTION("""COMPUTED_VALUE"""),"Evamazzita")</f>
        <v>Evamazzita</v>
      </c>
      <c r="F6336" s="17" t="str">
        <f>IFERROR(__xludf.DUMMYFUNCTION("""COMPUTED_VALUE"""),"CALLE 83 B # 57 88 / PRIMER PISO VIVIENDAS DEL SUR")</f>
        <v>CALLE 83 B # 57 88 / PRIMER PISO VIVIENDAS DEL SUR</v>
      </c>
      <c r="G6336" s="15" t="str">
        <f>IFERROR(__xludf.DUMMYFUNCTION("""COMPUTED_VALUE"""),"JUSTINE COLORADO GUTIERREZ")</f>
        <v>JUSTINE COLORADO GUTIERREZ</v>
      </c>
      <c r="H6336" s="16">
        <f>IFERROR(__xludf.DUMMYFUNCTION("""COMPUTED_VALUE"""),15102.0)</f>
        <v>15102</v>
      </c>
      <c r="I6336" s="18">
        <f>IFERROR(__xludf.DUMMYFUNCTION("""COMPUTED_VALUE"""),1.0)</f>
        <v>1</v>
      </c>
      <c r="J6336" s="18">
        <f>IFERROR(__xludf.DUMMYFUNCTION("""COMPUTED_VALUE"""),1.0)</f>
        <v>1</v>
      </c>
      <c r="K6336" s="18">
        <f>IFERROR(__xludf.DUMMYFUNCTION("""COMPUTED_VALUE"""),1.0)</f>
        <v>1</v>
      </c>
      <c r="L6336" s="17">
        <f>IFERROR(__xludf.DUMMYFUNCTION("""COMPUTED_VALUE"""),3.146532342E9)</f>
        <v>3146532342</v>
      </c>
      <c r="M6336" s="17" t="str">
        <f>IFERROR(__xludf.DUMMYFUNCTION("""COMPUTED_VALUE"""),"#REF!")</f>
        <v>#REF!</v>
      </c>
      <c r="N6336" s="17"/>
      <c r="O6336" s="17"/>
      <c r="P6336" s="17" t="b">
        <f>IFERROR(__xludf.DUMMYFUNCTION("""COMPUTED_VALUE"""),TRUE)</f>
        <v>1</v>
      </c>
      <c r="Q6336" s="20">
        <f>IFERROR(__xludf.DUMMYFUNCTION("""COMPUTED_VALUE"""),45181.60490118056)</f>
        <v>45181.6049</v>
      </c>
      <c r="R6336" s="21" t="str">
        <f>IFERROR(__xludf.DUMMYFUNCTION("""COMPUTED_VALUE"""),"https://drive.google.com/file/d/1Y-7FecQ4q5tv1w_H7wbDuTVzeqfeEz7z/view?usp=drivesdk")</f>
        <v>https://drive.google.com/file/d/1Y-7FecQ4q5tv1w_H7wbDuTVzeqfeEz7z/view?usp=drivesdk</v>
      </c>
    </row>
    <row r="6337">
      <c r="A6337" s="15">
        <f>IFERROR(__xludf.DUMMYFUNCTION("""COMPUTED_VALUE"""),45181.0)</f>
        <v>45181</v>
      </c>
      <c r="B6337" s="16" t="str">
        <f>IFERROR(__xludf.DUMMYFUNCTION("""COMPUTED_VALUE"""),"Santiago Garces Restrepo")</f>
        <v>Santiago Garces Restrepo</v>
      </c>
      <c r="C6337" s="15" t="str">
        <f>IFERROR(__xludf.DUMMYFUNCTION("""COMPUTED_VALUE"""),"MEDELLÍN")</f>
        <v>MEDELLÍN</v>
      </c>
      <c r="D6337" s="15" t="str">
        <f>IFERROR(__xludf.DUMMYFUNCTION("""COMPUTED_VALUE"""),"BOGOTÁ")</f>
        <v>BOGOTÁ</v>
      </c>
      <c r="E6337" s="15" t="str">
        <f>IFERROR(__xludf.DUMMYFUNCTION("""COMPUTED_VALUE"""),"Evamazzita")</f>
        <v>Evamazzita</v>
      </c>
      <c r="F6337" s="17" t="str">
        <f>IFERROR(__xludf.DUMMYFUNCTION("""COMPUTED_VALUE"""),"Carrera 24b 17-25 / Casa 119  Casa milano  Poblado")</f>
        <v>Carrera 24b 17-25 / Casa 119  Casa milano  Poblado</v>
      </c>
      <c r="G6337" s="15" t="str">
        <f>IFERROR(__xludf.DUMMYFUNCTION("""COMPUTED_VALUE"""),"FERNANDA REYES")</f>
        <v>FERNANDA REYES</v>
      </c>
      <c r="H6337" s="16">
        <f>IFERROR(__xludf.DUMMYFUNCTION("""COMPUTED_VALUE"""),15099.0)</f>
        <v>15099</v>
      </c>
      <c r="I6337" s="18">
        <f>IFERROR(__xludf.DUMMYFUNCTION("""COMPUTED_VALUE"""),1.0)</f>
        <v>1</v>
      </c>
      <c r="J6337" s="18">
        <f>IFERROR(__xludf.DUMMYFUNCTION("""COMPUTED_VALUE"""),1.0)</f>
        <v>1</v>
      </c>
      <c r="K6337" s="18">
        <f>IFERROR(__xludf.DUMMYFUNCTION("""COMPUTED_VALUE"""),1.0)</f>
        <v>1</v>
      </c>
      <c r="L6337" s="17">
        <f>IFERROR(__xludf.DUMMYFUNCTION("""COMPUTED_VALUE"""),3.135976014E9)</f>
        <v>3135976014</v>
      </c>
      <c r="M6337" s="17" t="str">
        <f>IFERROR(__xludf.DUMMYFUNCTION("""COMPUTED_VALUE"""),"#REF!")</f>
        <v>#REF!</v>
      </c>
      <c r="N6337" s="17"/>
      <c r="O6337" s="17"/>
      <c r="P6337" s="17" t="b">
        <f>IFERROR(__xludf.DUMMYFUNCTION("""COMPUTED_VALUE"""),TRUE)</f>
        <v>1</v>
      </c>
      <c r="Q6337" s="20">
        <f>IFERROR(__xludf.DUMMYFUNCTION("""COMPUTED_VALUE"""),45181.49920795139)</f>
        <v>45181.49921</v>
      </c>
      <c r="R6337" s="21" t="str">
        <f>IFERROR(__xludf.DUMMYFUNCTION("""COMPUTED_VALUE"""),"https://drive.google.com/file/d/1yi6boMZT_2F1LQ9illuwZfa3UaZdMOrF/view?usp=drivesdk")</f>
        <v>https://drive.google.com/file/d/1yi6boMZT_2F1LQ9illuwZfa3UaZdMOrF/view?usp=drivesdk</v>
      </c>
    </row>
    <row r="6338">
      <c r="A6338" s="15">
        <f>IFERROR(__xludf.DUMMYFUNCTION("""COMPUTED_VALUE"""),45181.0)</f>
        <v>45181</v>
      </c>
      <c r="B6338" s="16" t="str">
        <f>IFERROR(__xludf.DUMMYFUNCTION("""COMPUTED_VALUE"""),"Santiago Garces Restrepo")</f>
        <v>Santiago Garces Restrepo</v>
      </c>
      <c r="C6338" s="15" t="str">
        <f>IFERROR(__xludf.DUMMYFUNCTION("""COMPUTED_VALUE"""),"MEDELLÍN")</f>
        <v>MEDELLÍN</v>
      </c>
      <c r="D6338" s="15" t="str">
        <f>IFERROR(__xludf.DUMMYFUNCTION("""COMPUTED_VALUE"""),"BOGOTÁ")</f>
        <v>BOGOTÁ</v>
      </c>
      <c r="E6338" s="15" t="str">
        <f>IFERROR(__xludf.DUMMYFUNCTION("""COMPUTED_VALUE"""),"Evamazzita")</f>
        <v>Evamazzita</v>
      </c>
      <c r="F6338" s="17" t="str">
        <f>IFERROR(__xludf.DUMMYFUNCTION("""COMPUTED_VALUE"""),"CRA 29C No. 4 SUR -130 / CASA 119 URBANIZACION LA CAMPIÑA DEL POBLADO")</f>
        <v>CRA 29C No. 4 SUR -130 / CASA 119 URBANIZACION LA CAMPIÑA DEL POBLADO</v>
      </c>
      <c r="G6338" s="15" t="str">
        <f>IFERROR(__xludf.DUMMYFUNCTION("""COMPUTED_VALUE"""),"MARCELA GIL")</f>
        <v>MARCELA GIL</v>
      </c>
      <c r="H6338" s="16">
        <f>IFERROR(__xludf.DUMMYFUNCTION("""COMPUTED_VALUE"""),15103.0)</f>
        <v>15103</v>
      </c>
      <c r="I6338" s="18">
        <f>IFERROR(__xludf.DUMMYFUNCTION("""COMPUTED_VALUE"""),1.0)</f>
        <v>1</v>
      </c>
      <c r="J6338" s="18">
        <f>IFERROR(__xludf.DUMMYFUNCTION("""COMPUTED_VALUE"""),1.0)</f>
        <v>1</v>
      </c>
      <c r="K6338" s="18">
        <f>IFERROR(__xludf.DUMMYFUNCTION("""COMPUTED_VALUE"""),1.0)</f>
        <v>1</v>
      </c>
      <c r="L6338" s="17">
        <f>IFERROR(__xludf.DUMMYFUNCTION("""COMPUTED_VALUE"""),3.04382291E9)</f>
        <v>3043822910</v>
      </c>
      <c r="M6338" s="17" t="str">
        <f>IFERROR(__xludf.DUMMYFUNCTION("""COMPUTED_VALUE"""),"#REF!")</f>
        <v>#REF!</v>
      </c>
      <c r="N6338" s="17"/>
      <c r="O6338" s="17"/>
      <c r="P6338" s="17" t="b">
        <f>IFERROR(__xludf.DUMMYFUNCTION("""COMPUTED_VALUE"""),TRUE)</f>
        <v>1</v>
      </c>
      <c r="Q6338" s="20">
        <f>IFERROR(__xludf.DUMMYFUNCTION("""COMPUTED_VALUE"""),45181.60490118056)</f>
        <v>45181.6049</v>
      </c>
      <c r="R6338" s="21" t="str">
        <f>IFERROR(__xludf.DUMMYFUNCTION("""COMPUTED_VALUE"""),"https://drive.google.com/file/d/1WPlqX5cTR7tMg8V5jgZc08vAQ57axtc5/view?usp=drivesdk")</f>
        <v>https://drive.google.com/file/d/1WPlqX5cTR7tMg8V5jgZc08vAQ57axtc5/view?usp=drivesdk</v>
      </c>
    </row>
    <row r="6339">
      <c r="A6339" s="15">
        <f>IFERROR(__xludf.DUMMYFUNCTION("""COMPUTED_VALUE"""),45181.0)</f>
        <v>45181</v>
      </c>
      <c r="B6339" s="16" t="str">
        <f>IFERROR(__xludf.DUMMYFUNCTION("""COMPUTED_VALUE"""),"Santiago Garces Restrepo")</f>
        <v>Santiago Garces Restrepo</v>
      </c>
      <c r="C6339" s="15" t="str">
        <f>IFERROR(__xludf.DUMMYFUNCTION("""COMPUTED_VALUE"""),"MEDELLÍN")</f>
        <v>MEDELLÍN</v>
      </c>
      <c r="D6339" s="15" t="str">
        <f>IFERROR(__xludf.DUMMYFUNCTION("""COMPUTED_VALUE"""),"BOGOTÁ")</f>
        <v>BOGOTÁ</v>
      </c>
      <c r="E6339" s="15" t="str">
        <f>IFERROR(__xludf.DUMMYFUNCTION("""COMPUTED_VALUE"""),"MAI ALIMENTOS S.A.S")</f>
        <v>MAI ALIMENTOS S.A.S</v>
      </c>
      <c r="F6339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6339" s="15" t="str">
        <f>IFERROR(__xludf.DUMMYFUNCTION("""COMPUTED_VALUE"""),"Novaventas")</f>
        <v>Novaventas</v>
      </c>
      <c r="H6339" s="16">
        <f>IFERROR(__xludf.DUMMYFUNCTION("""COMPUTED_VALUE"""),14968.0)</f>
        <v>14968</v>
      </c>
      <c r="I6339" s="18">
        <f>IFERROR(__xludf.DUMMYFUNCTION("""COMPUTED_VALUE"""),35.0)</f>
        <v>35</v>
      </c>
      <c r="J6339" s="18">
        <f>IFERROR(__xludf.DUMMYFUNCTION("""COMPUTED_VALUE"""),17.0)</f>
        <v>17</v>
      </c>
      <c r="K6339" s="18">
        <f>IFERROR(__xludf.DUMMYFUNCTION("""COMPUTED_VALUE"""),13.0)</f>
        <v>13</v>
      </c>
      <c r="L6339" s="17"/>
      <c r="M6339" s="17" t="str">
        <f>IFERROR(__xludf.DUMMYFUNCTION("""COMPUTED_VALUE"""),"#REF!")</f>
        <v>#REF!</v>
      </c>
      <c r="N6339" s="17"/>
      <c r="O6339" s="17"/>
      <c r="P6339" s="17" t="b">
        <f>IFERROR(__xludf.DUMMYFUNCTION("""COMPUTED_VALUE"""),TRUE)</f>
        <v>1</v>
      </c>
      <c r="Q6339" s="20">
        <f>IFERROR(__xludf.DUMMYFUNCTION("""COMPUTED_VALUE"""),45181.62840700231)</f>
        <v>45181.62841</v>
      </c>
      <c r="R6339" s="22" t="str">
        <f>IFERROR(__xludf.DUMMYFUNCTION("""COMPUTED_VALUE"""),"")</f>
        <v/>
      </c>
    </row>
    <row r="6340">
      <c r="A6340" s="15">
        <f>IFERROR(__xludf.DUMMYFUNCTION("""COMPUTED_VALUE"""),45181.0)</f>
        <v>45181</v>
      </c>
      <c r="B6340" s="16" t="str">
        <f>IFERROR(__xludf.DUMMYFUNCTION("""COMPUTED_VALUE"""),"Santiago Garces Restrepo")</f>
        <v>Santiago Garces Restrepo</v>
      </c>
      <c r="C6340" s="15" t="str">
        <f>IFERROR(__xludf.DUMMYFUNCTION("""COMPUTED_VALUE"""),"MEDELLÍN")</f>
        <v>MEDELLÍN</v>
      </c>
      <c r="D6340" s="15" t="str">
        <f>IFERROR(__xludf.DUMMYFUNCTION("""COMPUTED_VALUE"""),"BOGOTÁ")</f>
        <v>BOGOTÁ</v>
      </c>
      <c r="E6340" s="15" t="str">
        <f>IFERROR(__xludf.DUMMYFUNCTION("""COMPUTED_VALUE"""),"MAI ALIMENTOS S.A.S")</f>
        <v>MAI ALIMENTOS S.A.S</v>
      </c>
      <c r="F6340" s="17" t="str">
        <f>IFERROR(__xludf.DUMMYFUNCTION("""COMPUTED_VALUE"""),"Carrera 52#20-124 Guayabal / Carrera 52#20-124 Guayabal")</f>
        <v>Carrera 52#20-124 Guayabal / Carrera 52#20-124 Guayabal</v>
      </c>
      <c r="G6340" s="15" t="str">
        <f>IFERROR(__xludf.DUMMYFUNCTION("""COMPUTED_VALUE"""),"Yasmin Echavarria - Novaveventas Medellín Oficinas Principales")</f>
        <v>Yasmin Echavarria - Novaveventas Medellín Oficinas Principales</v>
      </c>
      <c r="H6340" s="16">
        <f>IFERROR(__xludf.DUMMYFUNCTION("""COMPUTED_VALUE"""),14971.0)</f>
        <v>14971</v>
      </c>
      <c r="I6340" s="18">
        <f>IFERROR(__xludf.DUMMYFUNCTION("""COMPUTED_VALUE"""),35.0)</f>
        <v>35</v>
      </c>
      <c r="J6340" s="18">
        <f>IFERROR(__xludf.DUMMYFUNCTION("""COMPUTED_VALUE"""),17.0)</f>
        <v>17</v>
      </c>
      <c r="K6340" s="18">
        <f>IFERROR(__xludf.DUMMYFUNCTION("""COMPUTED_VALUE"""),13.0)</f>
        <v>13</v>
      </c>
      <c r="L6340" s="17"/>
      <c r="M6340" s="17" t="str">
        <f>IFERROR(__xludf.DUMMYFUNCTION("""COMPUTED_VALUE"""),"#REF!")</f>
        <v>#REF!</v>
      </c>
      <c r="N6340" s="17"/>
      <c r="O6340" s="17"/>
      <c r="P6340" s="17" t="b">
        <f>IFERROR(__xludf.DUMMYFUNCTION("""COMPUTED_VALUE"""),TRUE)</f>
        <v>1</v>
      </c>
      <c r="Q6340" s="20">
        <f>IFERROR(__xludf.DUMMYFUNCTION("""COMPUTED_VALUE"""),45181.65924569445)</f>
        <v>45181.65925</v>
      </c>
      <c r="R6340" s="21" t="str">
        <f>IFERROR(__xludf.DUMMYFUNCTION("""COMPUTED_VALUE"""),"https://drive.google.com/file/d/19MLGoAGhYPS4auwKaC30iwABDjkjRtUb/view?usp=drivesdk")</f>
        <v>https://drive.google.com/file/d/19MLGoAGhYPS4auwKaC30iwABDjkjRtUb/view?usp=drivesdk</v>
      </c>
    </row>
    <row r="6341">
      <c r="A6341" s="15">
        <f>IFERROR(__xludf.DUMMYFUNCTION("""COMPUTED_VALUE"""),45181.0)</f>
        <v>45181</v>
      </c>
      <c r="B6341" s="16" t="str">
        <f>IFERROR(__xludf.DUMMYFUNCTION("""COMPUTED_VALUE"""),"Santiago Garces Restrepo")</f>
        <v>Santiago Garces Restrepo</v>
      </c>
      <c r="C6341" s="15" t="str">
        <f>IFERROR(__xludf.DUMMYFUNCTION("""COMPUTED_VALUE"""),"MEDELLÍN")</f>
        <v>MEDELLÍN</v>
      </c>
      <c r="D6341" s="15" t="str">
        <f>IFERROR(__xludf.DUMMYFUNCTION("""COMPUTED_VALUE"""),"BOGOTÁ")</f>
        <v>BOGOTÁ</v>
      </c>
      <c r="E6341" s="15" t="str">
        <f>IFERROR(__xludf.DUMMYFUNCTION("""COMPUTED_VALUE"""),"Pan de Waffle")</f>
        <v>Pan de Waffle</v>
      </c>
      <c r="F6341" s="17" t="str">
        <f>IFERROR(__xludf.DUMMYFUNCTION("""COMPUTED_VALUE"""),"Carrera 56C # 83ddsur 201. Apto 710 / Carrera 56C # 83ddsur 201. Apto 710 / Carrera 56C # 83ddsur 201. Apto 710")</f>
        <v>Carrera 56C # 83ddsur 201. Apto 710 / Carrera 56C # 83ddsur 201. Apto 710 / Carrera 56C # 83ddsur 201. Apto 710</v>
      </c>
      <c r="G6341" s="15" t="str">
        <f>IFERROR(__xludf.DUMMYFUNCTION("""COMPUTED_VALUE"""),"NATALIA CARDONA/MARCE CALLE")</f>
        <v>NATALIA CARDONA/MARCE CALLE</v>
      </c>
      <c r="H6341" s="16">
        <f>IFERROR(__xludf.DUMMYFUNCTION("""COMPUTED_VALUE"""),15130.0)</f>
        <v>15130</v>
      </c>
      <c r="I6341" s="18">
        <f>IFERROR(__xludf.DUMMYFUNCTION("""COMPUTED_VALUE"""),30.0)</f>
        <v>30</v>
      </c>
      <c r="J6341" s="18">
        <f>IFERROR(__xludf.DUMMYFUNCTION("""COMPUTED_VALUE"""),40.0)</f>
        <v>40</v>
      </c>
      <c r="K6341" s="18">
        <f>IFERROR(__xludf.DUMMYFUNCTION("""COMPUTED_VALUE"""),30.0)</f>
        <v>30</v>
      </c>
      <c r="L6341" s="17">
        <f>IFERROR(__xludf.DUMMYFUNCTION("""COMPUTED_VALUE"""),3.193425469E9)</f>
        <v>3193425469</v>
      </c>
      <c r="M6341" s="17" t="str">
        <f>IFERROR(__xludf.DUMMYFUNCTION("""COMPUTED_VALUE"""),"#REF!")</f>
        <v>#REF!</v>
      </c>
      <c r="N6341" s="17"/>
      <c r="O6341" s="17"/>
      <c r="P6341" s="17" t="b">
        <f>IFERROR(__xludf.DUMMYFUNCTION("""COMPUTED_VALUE"""),TRUE)</f>
        <v>1</v>
      </c>
      <c r="Q6341" s="20">
        <f>IFERROR(__xludf.DUMMYFUNCTION("""COMPUTED_VALUE"""),45181.77702996528)</f>
        <v>45181.77703</v>
      </c>
      <c r="R6341" s="21" t="str">
        <f>IFERROR(__xludf.DUMMYFUNCTION("""COMPUTED_VALUE"""),"https://drive.google.com/file/d/1L9Kw8YB8TzfaMvp3UYZKtjYWasq75Esd/view?usp=drivesdk")</f>
        <v>https://drive.google.com/file/d/1L9Kw8YB8TzfaMvp3UYZKtjYWasq75Esd/view?usp=drivesdk</v>
      </c>
    </row>
    <row r="6342">
      <c r="A6342" s="15">
        <f>IFERROR(__xludf.DUMMYFUNCTION("""COMPUTED_VALUE"""),45181.0)</f>
        <v>45181</v>
      </c>
      <c r="B6342" s="16" t="str">
        <f>IFERROR(__xludf.DUMMYFUNCTION("""COMPUTED_VALUE"""),"Santiago Garces Restrepo")</f>
        <v>Santiago Garces Restrepo</v>
      </c>
      <c r="C6342" s="15" t="str">
        <f>IFERROR(__xludf.DUMMYFUNCTION("""COMPUTED_VALUE"""),"MEDELLÍN")</f>
        <v>MEDELLÍN</v>
      </c>
      <c r="D6342" s="15" t="str">
        <f>IFERROR(__xludf.DUMMYFUNCTION("""COMPUTED_VALUE"""),"BOGOTÁ")</f>
        <v>BOGOTÁ</v>
      </c>
      <c r="E6342" s="15" t="str">
        <f>IFERROR(__xludf.DUMMYFUNCTION("""COMPUTED_VALUE"""),"Top Spun")</f>
        <v>Top Spun</v>
      </c>
      <c r="F6342" s="17" t="str">
        <f>IFERROR(__xludf.DUMMYFUNCTION("""COMPUTED_VALUE"""),"Carrera 20 # 12 Sur 425 / Apartamento 304 / La Foret Apartamentos")</f>
        <v>Carrera 20 # 12 Sur 425 / Apartamento 304 / La Foret Apartamentos</v>
      </c>
      <c r="G6342" s="15" t="str">
        <f>IFERROR(__xludf.DUMMYFUNCTION("""COMPUTED_VALUE"""),"Carolina Usme Bedoya")</f>
        <v>Carolina Usme Bedoya</v>
      </c>
      <c r="H6342" s="16">
        <f>IFERROR(__xludf.DUMMYFUNCTION("""COMPUTED_VALUE"""),14960.0)</f>
        <v>14960</v>
      </c>
      <c r="I6342" s="18">
        <f>IFERROR(__xludf.DUMMYFUNCTION("""COMPUTED_VALUE"""),20.0)</f>
        <v>20</v>
      </c>
      <c r="J6342" s="18">
        <f>IFERROR(__xludf.DUMMYFUNCTION("""COMPUTED_VALUE"""),10.0)</f>
        <v>10</v>
      </c>
      <c r="K6342" s="18">
        <f>IFERROR(__xludf.DUMMYFUNCTION("""COMPUTED_VALUE"""),40.0)</f>
        <v>40</v>
      </c>
      <c r="L6342" s="17">
        <f>IFERROR(__xludf.DUMMYFUNCTION("""COMPUTED_VALUE"""),3.104393079E9)</f>
        <v>3104393079</v>
      </c>
      <c r="M6342" s="17" t="str">
        <f>IFERROR(__xludf.DUMMYFUNCTION("""COMPUTED_VALUE"""),"#REF!")</f>
        <v>#REF!</v>
      </c>
      <c r="N6342" s="17"/>
      <c r="O6342" s="17"/>
      <c r="P6342" s="17" t="b">
        <f>IFERROR(__xludf.DUMMYFUNCTION("""COMPUTED_VALUE"""),TRUE)</f>
        <v>1</v>
      </c>
      <c r="Q6342" s="20">
        <f>IFERROR(__xludf.DUMMYFUNCTION("""COMPUTED_VALUE"""),45181.62828888889)</f>
        <v>45181.62829</v>
      </c>
      <c r="R6342" s="21" t="str">
        <f>IFERROR(__xludf.DUMMYFUNCTION("""COMPUTED_VALUE"""),"https://drive.google.com/file/d/1enlM58a7Tm9zv9XAQwlEy1yMYgkQb1ne/view?usp=drivesdk")</f>
        <v>https://drive.google.com/file/d/1enlM58a7Tm9zv9XAQwlEy1yMYgkQb1ne/view?usp=drivesdk</v>
      </c>
    </row>
    <row r="6343">
      <c r="A6343" s="15">
        <f>IFERROR(__xludf.DUMMYFUNCTION("""COMPUTED_VALUE"""),45181.0)</f>
        <v>45181</v>
      </c>
      <c r="B6343" s="16" t="str">
        <f>IFERROR(__xludf.DUMMYFUNCTION("""COMPUTED_VALUE"""),"Santiago Garces Restrepo")</f>
        <v>Santiago Garces Restrepo</v>
      </c>
      <c r="C6343" s="15" t="str">
        <f>IFERROR(__xludf.DUMMYFUNCTION("""COMPUTED_VALUE"""),"MEDELLÍN")</f>
        <v>MEDELLÍN</v>
      </c>
      <c r="D6343" s="15" t="str">
        <f>IFERROR(__xludf.DUMMYFUNCTION("""COMPUTED_VALUE"""),"BOGOTÁ")</f>
        <v>BOGOTÁ</v>
      </c>
      <c r="E6343" s="15" t="str">
        <f>IFERROR(__xludf.DUMMYFUNCTION("""COMPUTED_VALUE"""),"Viiva Fermentados")</f>
        <v>Viiva Fermentados</v>
      </c>
      <c r="F6343" s="17" t="str">
        <f>IFERROR(__xludf.DUMMYFUNCTION("""COMPUTED_VALUE"""),"Calle 98 #50b-19 / primer piso  Preguntar por Doña Fabiola / Aranjuez")</f>
        <v>Calle 98 #50b-19 / primer piso  Preguntar por Doña Fabiola / Aranjuez</v>
      </c>
      <c r="G6343" s="15" t="str">
        <f>IFERROR(__xludf.DUMMYFUNCTION("""COMPUTED_VALUE"""),"Bayron Rodriguez")</f>
        <v>Bayron Rodriguez</v>
      </c>
      <c r="H6343" s="16">
        <f>IFERROR(__xludf.DUMMYFUNCTION("""COMPUTED_VALUE"""),15029.0)</f>
        <v>15029</v>
      </c>
      <c r="I6343" s="18">
        <f>IFERROR(__xludf.DUMMYFUNCTION("""COMPUTED_VALUE"""),21.0)</f>
        <v>21</v>
      </c>
      <c r="J6343" s="18">
        <f>IFERROR(__xludf.DUMMYFUNCTION("""COMPUTED_VALUE"""),36.0)</f>
        <v>36</v>
      </c>
      <c r="K6343" s="18">
        <f>IFERROR(__xludf.DUMMYFUNCTION("""COMPUTED_VALUE"""),24.0)</f>
        <v>24</v>
      </c>
      <c r="L6343" s="17">
        <f>IFERROR(__xludf.DUMMYFUNCTION("""COMPUTED_VALUE"""),3.166261966E9)</f>
        <v>3166261966</v>
      </c>
      <c r="M6343" s="17" t="str">
        <f>IFERROR(__xludf.DUMMYFUNCTION("""COMPUTED_VALUE"""),"#REF!")</f>
        <v>#REF!</v>
      </c>
      <c r="N6343" s="17"/>
      <c r="O6343" s="17"/>
      <c r="P6343" s="17" t="b">
        <f>IFERROR(__xludf.DUMMYFUNCTION("""COMPUTED_VALUE"""),TRUE)</f>
        <v>1</v>
      </c>
      <c r="Q6343" s="20">
        <f>IFERROR(__xludf.DUMMYFUNCTION("""COMPUTED_VALUE"""),45181.62851491898)</f>
        <v>45181.62851</v>
      </c>
      <c r="R6343" s="22" t="str">
        <f>IFERROR(__xludf.DUMMYFUNCTION("""COMPUTED_VALUE"""),"")</f>
        <v/>
      </c>
    </row>
    <row r="6344">
      <c r="A6344" s="15">
        <f>IFERROR(__xludf.DUMMYFUNCTION("""COMPUTED_VALUE"""),45181.0)</f>
        <v>45181</v>
      </c>
      <c r="B6344" s="16" t="str">
        <f>IFERROR(__xludf.DUMMYFUNCTION("""COMPUTED_VALUE"""),"Santiago Garces Restrepo")</f>
        <v>Santiago Garces Restrepo</v>
      </c>
      <c r="C6344" s="15" t="str">
        <f>IFERROR(__xludf.DUMMYFUNCTION("""COMPUTED_VALUE"""),"MEDELLÍN")</f>
        <v>MEDELLÍN</v>
      </c>
      <c r="D6344" s="15" t="str">
        <f>IFERROR(__xludf.DUMMYFUNCTION("""COMPUTED_VALUE"""),"BOGOTÁ")</f>
        <v>BOGOTÁ</v>
      </c>
      <c r="E6344" s="15" t="str">
        <f>IFERROR(__xludf.DUMMYFUNCTION("""COMPUTED_VALUE"""),"Viiva Fermentados")</f>
        <v>Viiva Fermentados</v>
      </c>
      <c r="F6344" s="17" t="str">
        <f>IFERROR(__xludf.DUMMYFUNCTION("""COMPUTED_VALUE"""),"CR 42 # 08 -39 / Local primer piso / Poblado")</f>
        <v>CR 42 # 08 -39 / Local primer piso / Poblado</v>
      </c>
      <c r="G6344" s="15" t="str">
        <f>IFERROR(__xludf.DUMMYFUNCTION("""COMPUTED_VALUE"""),"Julia Correa Ochoa La Real Vegetal")</f>
        <v>Julia Correa Ochoa La Real Vegetal</v>
      </c>
      <c r="H6344" s="16">
        <f>IFERROR(__xludf.DUMMYFUNCTION("""COMPUTED_VALUE"""),15030.0)</f>
        <v>15030</v>
      </c>
      <c r="I6344" s="18">
        <f>IFERROR(__xludf.DUMMYFUNCTION("""COMPUTED_VALUE"""),27.0)</f>
        <v>27</v>
      </c>
      <c r="J6344" s="18">
        <f>IFERROR(__xludf.DUMMYFUNCTION("""COMPUTED_VALUE"""),36.0)</f>
        <v>36</v>
      </c>
      <c r="K6344" s="18">
        <f>IFERROR(__xludf.DUMMYFUNCTION("""COMPUTED_VALUE"""),24.0)</f>
        <v>24</v>
      </c>
      <c r="L6344" s="17">
        <f>IFERROR(__xludf.DUMMYFUNCTION("""COMPUTED_VALUE"""),3.116345472E9)</f>
        <v>3116345472</v>
      </c>
      <c r="M6344" s="17" t="str">
        <f>IFERROR(__xludf.DUMMYFUNCTION("""COMPUTED_VALUE"""),"#REF!")</f>
        <v>#REF!</v>
      </c>
      <c r="N6344" s="17"/>
      <c r="O6344" s="17"/>
      <c r="P6344" s="17" t="b">
        <f>IFERROR(__xludf.DUMMYFUNCTION("""COMPUTED_VALUE"""),TRUE)</f>
        <v>1</v>
      </c>
      <c r="Q6344" s="20">
        <f>IFERROR(__xludf.DUMMYFUNCTION("""COMPUTED_VALUE"""),45182.09801453704)</f>
        <v>45182.09801</v>
      </c>
      <c r="R6344" s="22" t="str">
        <f>IFERROR(__xludf.DUMMYFUNCTION("""COMPUTED_VALUE"""),"")</f>
        <v/>
      </c>
    </row>
    <row r="6345">
      <c r="A6345" s="15">
        <f>IFERROR(__xludf.DUMMYFUNCTION("""COMPUTED_VALUE"""),45181.0)</f>
        <v>45181</v>
      </c>
      <c r="B6345" s="16" t="str">
        <f>IFERROR(__xludf.DUMMYFUNCTION("""COMPUTED_VALUE"""),"Santiago Garces Restrepo")</f>
        <v>Santiago Garces Restrepo</v>
      </c>
      <c r="C6345" s="15" t="str">
        <f>IFERROR(__xludf.DUMMYFUNCTION("""COMPUTED_VALUE"""),"RIONEGRO")</f>
        <v>RIONEGRO</v>
      </c>
      <c r="D6345" s="15" t="str">
        <f>IFERROR(__xludf.DUMMYFUNCTION("""COMPUTED_VALUE"""),"BOGOTÁ")</f>
        <v>BOGOTÁ</v>
      </c>
      <c r="E6345" s="15" t="str">
        <f>IFERROR(__xludf.DUMMYFUNCTION("""COMPUTED_VALUE"""),"50 Gr Alfajores")</f>
        <v>50 Gr Alfajores</v>
      </c>
      <c r="F6345" s="17" t="str">
        <f>IFERROR(__xludf.DUMMYFUNCTION("""COMPUTED_VALUE"""),"Cra 61F # 41b - 05 / Rionegro / ANT")</f>
        <v>Cra 61F # 41b - 05 / Rionegro / ANT</v>
      </c>
      <c r="G6345" s="15" t="str">
        <f>IFERROR(__xludf.DUMMYFUNCTION("""COMPUTED_VALUE"""),"Eusse Echeverri Sebastián")</f>
        <v>Eusse Echeverri Sebastián</v>
      </c>
      <c r="H6345" s="16">
        <f>IFERROR(__xludf.DUMMYFUNCTION("""COMPUTED_VALUE"""),15015.0)</f>
        <v>15015</v>
      </c>
      <c r="I6345" s="18">
        <f>IFERROR(__xludf.DUMMYFUNCTION("""COMPUTED_VALUE"""),5.0)</f>
        <v>5</v>
      </c>
      <c r="J6345" s="18">
        <f>IFERROR(__xludf.DUMMYFUNCTION("""COMPUTED_VALUE"""),13.0)</f>
        <v>13</v>
      </c>
      <c r="K6345" s="18">
        <f>IFERROR(__xludf.DUMMYFUNCTION("""COMPUTED_VALUE"""),45064.0)</f>
        <v>45064</v>
      </c>
      <c r="L6345" s="17">
        <f>IFERROR(__xludf.DUMMYFUNCTION("""COMPUTED_VALUE"""),3.225372114E9)</f>
        <v>3225372114</v>
      </c>
      <c r="M6345" s="17" t="str">
        <f>IFERROR(__xludf.DUMMYFUNCTION("""COMPUTED_VALUE"""),"#REF!")</f>
        <v>#REF!</v>
      </c>
      <c r="N6345" s="17"/>
      <c r="O6345" s="17"/>
      <c r="P6345" s="17" t="b">
        <f>IFERROR(__xludf.DUMMYFUNCTION("""COMPUTED_VALUE"""),TRUE)</f>
        <v>1</v>
      </c>
      <c r="Q6345" s="20">
        <f>IFERROR(__xludf.DUMMYFUNCTION("""COMPUTED_VALUE"""),45182.09801453704)</f>
        <v>45182.09801</v>
      </c>
      <c r="R6345" s="22" t="str">
        <f>IFERROR(__xludf.DUMMYFUNCTION("""COMPUTED_VALUE"""),"")</f>
        <v/>
      </c>
    </row>
    <row r="6346">
      <c r="A6346" s="15">
        <f>IFERROR(__xludf.DUMMYFUNCTION("""COMPUTED_VALUE"""),45181.0)</f>
        <v>45181</v>
      </c>
      <c r="B6346" s="16" t="str">
        <f>IFERROR(__xludf.DUMMYFUNCTION("""COMPUTED_VALUE"""),"Santiago Garces Restrepo")</f>
        <v>Santiago Garces Restrepo</v>
      </c>
      <c r="C6346" s="15" t="str">
        <f>IFERROR(__xludf.DUMMYFUNCTION("""COMPUTED_VALUE"""),"RIONEGRO")</f>
        <v>RIONEGRO</v>
      </c>
      <c r="D6346" s="15" t="str">
        <f>IFERROR(__xludf.DUMMYFUNCTION("""COMPUTED_VALUE"""),"BOGOTÁ")</f>
        <v>BOGOTÁ</v>
      </c>
      <c r="E6346" s="15" t="str">
        <f>IFERROR(__xludf.DUMMYFUNCTION("""COMPUTED_VALUE"""),"50 Gr Alfajores")</f>
        <v>50 Gr Alfajores</v>
      </c>
      <c r="F6346" s="17" t="str">
        <f>IFERROR(__xludf.DUMMYFUNCTION("""COMPUTED_VALUE"""),"Diagonal 85B #39E 37  / Edificio Campus Natural,  / Apto 806")</f>
        <v>Diagonal 85B #39E 37  / Edificio Campus Natural,  / Apto 806</v>
      </c>
      <c r="G6346" s="15" t="str">
        <f>IFERROR(__xludf.DUMMYFUNCTION("""COMPUTED_VALUE"""),"Botero Gomez Carlos Mauricio")</f>
        <v>Botero Gomez Carlos Mauricio</v>
      </c>
      <c r="H6346" s="16">
        <f>IFERROR(__xludf.DUMMYFUNCTION("""COMPUTED_VALUE"""),15018.0)</f>
        <v>15018</v>
      </c>
      <c r="I6346" s="18">
        <f>IFERROR(__xludf.DUMMYFUNCTION("""COMPUTED_VALUE"""),5.0)</f>
        <v>5</v>
      </c>
      <c r="J6346" s="18">
        <f>IFERROR(__xludf.DUMMYFUNCTION("""COMPUTED_VALUE"""),13.0)</f>
        <v>13</v>
      </c>
      <c r="K6346" s="18">
        <f>IFERROR(__xludf.DUMMYFUNCTION("""COMPUTED_VALUE"""),45064.0)</f>
        <v>45064</v>
      </c>
      <c r="L6346" s="17">
        <f>IFERROR(__xludf.DUMMYFUNCTION("""COMPUTED_VALUE"""),3.192396805E9)</f>
        <v>3192396805</v>
      </c>
      <c r="M6346" s="17" t="str">
        <f>IFERROR(__xludf.DUMMYFUNCTION("""COMPUTED_VALUE"""),"#REF!")</f>
        <v>#REF!</v>
      </c>
      <c r="N6346" s="17"/>
      <c r="O6346" s="17"/>
      <c r="P6346" s="17" t="b">
        <f>IFERROR(__xludf.DUMMYFUNCTION("""COMPUTED_VALUE"""),FALSE)</f>
        <v>0</v>
      </c>
      <c r="Q6346" s="20" t="str">
        <f>IFERROR(__xludf.DUMMYFUNCTION("""COMPUTED_VALUE"""),"")</f>
        <v/>
      </c>
      <c r="R6346" s="22" t="str">
        <f>IFERROR(__xludf.DUMMYFUNCTION("""COMPUTED_VALUE"""),"")</f>
        <v/>
      </c>
    </row>
    <row r="6347">
      <c r="A6347" s="15">
        <f>IFERROR(__xludf.DUMMYFUNCTION("""COMPUTED_VALUE"""),45181.0)</f>
        <v>45181</v>
      </c>
      <c r="B6347" s="16" t="str">
        <f>IFERROR(__xludf.DUMMYFUNCTION("""COMPUTED_VALUE"""),"Santiago Garces Restrepo")</f>
        <v>Santiago Garces Restrepo</v>
      </c>
      <c r="C6347" s="15" t="str">
        <f>IFERROR(__xludf.DUMMYFUNCTION("""COMPUTED_VALUE"""),"RIONEGRO")</f>
        <v>RIONEGRO</v>
      </c>
      <c r="D6347" s="15" t="str">
        <f>IFERROR(__xludf.DUMMYFUNCTION("""COMPUTED_VALUE"""),"BOGOTÁ")</f>
        <v>BOGOTÁ</v>
      </c>
      <c r="E6347" s="15" t="str">
        <f>IFERROR(__xludf.DUMMYFUNCTION("""COMPUTED_VALUE"""),"50 Gr Alfajores")</f>
        <v>50 Gr Alfajores</v>
      </c>
      <c r="F6347" s="17" t="str">
        <f>IFERROR(__xludf.DUMMYFUNCTION("""COMPUTED_VALUE"""),"TV 39 A # 52 EA - 74  / IN 606 / RIONEGRO")</f>
        <v>TV 39 A # 52 EA - 74  / IN 606 / RIONEGRO</v>
      </c>
      <c r="G6347" s="15" t="str">
        <f>IFERROR(__xludf.DUMMYFUNCTION("""COMPUTED_VALUE"""),"Llamas Rensa Wilmer")</f>
        <v>Llamas Rensa Wilmer</v>
      </c>
      <c r="H6347" s="16">
        <f>IFERROR(__xludf.DUMMYFUNCTION("""COMPUTED_VALUE"""),15017.0)</f>
        <v>15017</v>
      </c>
      <c r="I6347" s="18">
        <f>IFERROR(__xludf.DUMMYFUNCTION("""COMPUTED_VALUE"""),5.0)</f>
        <v>5</v>
      </c>
      <c r="J6347" s="18">
        <f>IFERROR(__xludf.DUMMYFUNCTION("""COMPUTED_VALUE"""),13.0)</f>
        <v>13</v>
      </c>
      <c r="K6347" s="18">
        <f>IFERROR(__xludf.DUMMYFUNCTION("""COMPUTED_VALUE"""),45064.0)</f>
        <v>45064</v>
      </c>
      <c r="L6347" s="17">
        <f>IFERROR(__xludf.DUMMYFUNCTION("""COMPUTED_VALUE"""),3.007479022E9)</f>
        <v>3007479022</v>
      </c>
      <c r="M6347" s="17" t="str">
        <f>IFERROR(__xludf.DUMMYFUNCTION("""COMPUTED_VALUE"""),"#REF!")</f>
        <v>#REF!</v>
      </c>
      <c r="N6347" s="17"/>
      <c r="O6347" s="17"/>
      <c r="P6347" s="17" t="b">
        <f>IFERROR(__xludf.DUMMYFUNCTION("""COMPUTED_VALUE"""),FALSE)</f>
        <v>0</v>
      </c>
      <c r="Q6347" s="20" t="str">
        <f>IFERROR(__xludf.DUMMYFUNCTION("""COMPUTED_VALUE"""),"")</f>
        <v/>
      </c>
      <c r="R6347" s="22" t="str">
        <f>IFERROR(__xludf.DUMMYFUNCTION("""COMPUTED_VALUE"""),"")</f>
        <v/>
      </c>
    </row>
    <row r="6348">
      <c r="A6348" s="15">
        <f>IFERROR(__xludf.DUMMYFUNCTION("""COMPUTED_VALUE"""),45181.0)</f>
        <v>45181</v>
      </c>
      <c r="B6348" s="16" t="str">
        <f>IFERROR(__xludf.DUMMYFUNCTION("""COMPUTED_VALUE"""),"Santiago Garces Restrepo")</f>
        <v>Santiago Garces Restrepo</v>
      </c>
      <c r="C6348" s="15" t="str">
        <f>IFERROR(__xludf.DUMMYFUNCTION("""COMPUTED_VALUE"""),"SABANETA")</f>
        <v>SABANETA</v>
      </c>
      <c r="D6348" s="15" t="str">
        <f>IFERROR(__xludf.DUMMYFUNCTION("""COMPUTED_VALUE"""),"BOGOTÁ")</f>
        <v>BOGOTÁ</v>
      </c>
      <c r="E6348" s="15" t="str">
        <f>IFERROR(__xludf.DUMMYFUNCTION("""COMPUTED_VALUE"""),"Evamazzita")</f>
        <v>Evamazzita</v>
      </c>
      <c r="F6348" s="17" t="str">
        <f>IFERROR(__xludf.DUMMYFUNCTION("""COMPUTED_VALUE"""),"Carrera 47C N. 78 C Sur 92 . / Apto 208.  Unidad: Torres de Aldea Verde Sabaneta")</f>
        <v>Carrera 47C N. 78 C Sur 92 . / Apto 208.  Unidad: Torres de Aldea Verde Sabaneta</v>
      </c>
      <c r="G6348" s="15" t="str">
        <f>IFERROR(__xludf.DUMMYFUNCTION("""COMPUTED_VALUE"""),"PAULA OQUENDO")</f>
        <v>PAULA OQUENDO</v>
      </c>
      <c r="H6348" s="16">
        <f>IFERROR(__xludf.DUMMYFUNCTION("""COMPUTED_VALUE"""),15100.0)</f>
        <v>15100</v>
      </c>
      <c r="I6348" s="18">
        <f>IFERROR(__xludf.DUMMYFUNCTION("""COMPUTED_VALUE"""),1.0)</f>
        <v>1</v>
      </c>
      <c r="J6348" s="18">
        <f>IFERROR(__xludf.DUMMYFUNCTION("""COMPUTED_VALUE"""),1.0)</f>
        <v>1</v>
      </c>
      <c r="K6348" s="18">
        <f>IFERROR(__xludf.DUMMYFUNCTION("""COMPUTED_VALUE"""),1.0)</f>
        <v>1</v>
      </c>
      <c r="L6348" s="17">
        <f>IFERROR(__xludf.DUMMYFUNCTION("""COMPUTED_VALUE"""),3.164105195E9)</f>
        <v>3164105195</v>
      </c>
      <c r="M6348" s="17" t="str">
        <f>IFERROR(__xludf.DUMMYFUNCTION("""COMPUTED_VALUE"""),"#REF!")</f>
        <v>#REF!</v>
      </c>
      <c r="N6348" s="17"/>
      <c r="O6348" s="17"/>
      <c r="P6348" s="17" t="b">
        <f>IFERROR(__xludf.DUMMYFUNCTION("""COMPUTED_VALUE"""),FALSE)</f>
        <v>0</v>
      </c>
      <c r="Q6348" s="20" t="str">
        <f>IFERROR(__xludf.DUMMYFUNCTION("""COMPUTED_VALUE"""),"")</f>
        <v/>
      </c>
      <c r="R6348" s="21" t="str">
        <f>IFERROR(__xludf.DUMMYFUNCTION("""COMPUTED_VALUE"""),"https://drive.google.com/file/d/1CIHXIh5tnYRe2m0sv9J8GWehFH0A4mmX/view?usp=drivesdk")</f>
        <v>https://drive.google.com/file/d/1CIHXIh5tnYRe2m0sv9J8GWehFH0A4mmX/view?usp=drivesdk</v>
      </c>
    </row>
    <row r="6349">
      <c r="A6349" s="15">
        <f>IFERROR(__xludf.DUMMYFUNCTION("""COMPUTED_VALUE"""),45181.0)</f>
        <v>45181</v>
      </c>
      <c r="B6349" s="16" t="str">
        <f>IFERROR(__xludf.DUMMYFUNCTION("""COMPUTED_VALUE"""),"Santiago Garces Restrepo")</f>
        <v>Santiago Garces Restrepo</v>
      </c>
      <c r="C6349" s="15" t="str">
        <f>IFERROR(__xludf.DUMMYFUNCTION("""COMPUTED_VALUE"""),"SABANETA")</f>
        <v>SABANETA</v>
      </c>
      <c r="D6349" s="15" t="str">
        <f>IFERROR(__xludf.DUMMYFUNCTION("""COMPUTED_VALUE"""),"BOGOTÁ")</f>
        <v>BOGOTÁ</v>
      </c>
      <c r="E6349" s="15" t="str">
        <f>IFERROR(__xludf.DUMMYFUNCTION("""COMPUTED_VALUE"""),"Evamazzita")</f>
        <v>Evamazzita</v>
      </c>
      <c r="F6349" s="17" t="str">
        <f>IFERROR(__xludf.DUMMYFUNCTION("""COMPUTED_VALUE"""),"Cr 35 # 65 Sur 135 / EDIFICIO DUBLIN apto 2804 Las lomitas")</f>
        <v>Cr 35 # 65 Sur 135 / EDIFICIO DUBLIN apto 2804 Las lomitas</v>
      </c>
      <c r="G6349" s="15" t="str">
        <f>IFERROR(__xludf.DUMMYFUNCTION("""COMPUTED_VALUE"""),"VANESSA BEDOYA")</f>
        <v>VANESSA BEDOYA</v>
      </c>
      <c r="H6349" s="16">
        <f>IFERROR(__xludf.DUMMYFUNCTION("""COMPUTED_VALUE"""),15101.0)</f>
        <v>15101</v>
      </c>
      <c r="I6349" s="18">
        <f>IFERROR(__xludf.DUMMYFUNCTION("""COMPUTED_VALUE"""),1.0)</f>
        <v>1</v>
      </c>
      <c r="J6349" s="18">
        <f>IFERROR(__xludf.DUMMYFUNCTION("""COMPUTED_VALUE"""),1.0)</f>
        <v>1</v>
      </c>
      <c r="K6349" s="18">
        <f>IFERROR(__xludf.DUMMYFUNCTION("""COMPUTED_VALUE"""),1.0)</f>
        <v>1</v>
      </c>
      <c r="L6349" s="17">
        <f>IFERROR(__xludf.DUMMYFUNCTION("""COMPUTED_VALUE"""),3.1847212E9)</f>
        <v>3184721200</v>
      </c>
      <c r="M6349" s="17" t="str">
        <f>IFERROR(__xludf.DUMMYFUNCTION("""COMPUTED_VALUE"""),"#REF!")</f>
        <v>#REF!</v>
      </c>
      <c r="N6349" s="17"/>
      <c r="O6349" s="17"/>
      <c r="P6349" s="17" t="b">
        <f>IFERROR(__xludf.DUMMYFUNCTION("""COMPUTED_VALUE"""),FALSE)</f>
        <v>0</v>
      </c>
      <c r="Q6349" s="20" t="str">
        <f>IFERROR(__xludf.DUMMYFUNCTION("""COMPUTED_VALUE"""),"")</f>
        <v/>
      </c>
      <c r="R6349" s="21" t="str">
        <f>IFERROR(__xludf.DUMMYFUNCTION("""COMPUTED_VALUE"""),"https://drive.google.com/file/d/1NXIid0AaTgCXyN7ZnKcXOkwz1jA1hULp/view?usp=drivesdk")</f>
        <v>https://drive.google.com/file/d/1NXIid0AaTgCXyN7ZnKcXOkwz1jA1hULp/view?usp=drivesdk</v>
      </c>
    </row>
    <row r="6350">
      <c r="A6350" s="15">
        <f>IFERROR(__xludf.DUMMYFUNCTION("""COMPUTED_VALUE"""),45181.0)</f>
        <v>45181</v>
      </c>
      <c r="B6350" s="16" t="str">
        <f>IFERROR(__xludf.DUMMYFUNCTION("""COMPUTED_VALUE"""),"Santiago Garces Restrepo")</f>
        <v>Santiago Garces Restrepo</v>
      </c>
      <c r="C6350" s="15" t="str">
        <f>IFERROR(__xludf.DUMMYFUNCTION("""COMPUTED_VALUE"""),"TUNJA")</f>
        <v>TUNJA</v>
      </c>
      <c r="D6350" s="15" t="str">
        <f>IFERROR(__xludf.DUMMYFUNCTION("""COMPUTED_VALUE"""),"BOGOTÁ")</f>
        <v>BOGOTÁ</v>
      </c>
      <c r="E6350" s="15" t="str">
        <f>IFERROR(__xludf.DUMMYFUNCTION("""COMPUTED_VALUE"""),"50 Gr Alfajores")</f>
        <v>50 Gr Alfajores</v>
      </c>
      <c r="F6350" s="17" t="str">
        <f>IFERROR(__xludf.DUMMYFUNCTION("""COMPUTED_VALUE"""),"Diagonal 67 1A - 74  / Torre B,  / Apt 1001")</f>
        <v>Diagonal 67 1A - 74  / Torre B,  / Apt 1001</v>
      </c>
      <c r="G6350" s="15" t="str">
        <f>IFERROR(__xludf.DUMMYFUNCTION("""COMPUTED_VALUE"""),"Joya Nicolay")</f>
        <v>Joya Nicolay</v>
      </c>
      <c r="H6350" s="16">
        <f>IFERROR(__xludf.DUMMYFUNCTION("""COMPUTED_VALUE"""),14997.0)</f>
        <v>14997</v>
      </c>
      <c r="I6350" s="18">
        <f>IFERROR(__xludf.DUMMYFUNCTION("""COMPUTED_VALUE"""),5.0)</f>
        <v>5</v>
      </c>
      <c r="J6350" s="18">
        <f>IFERROR(__xludf.DUMMYFUNCTION("""COMPUTED_VALUE"""),13.0)</f>
        <v>13</v>
      </c>
      <c r="K6350" s="18">
        <f>IFERROR(__xludf.DUMMYFUNCTION("""COMPUTED_VALUE"""),45064.0)</f>
        <v>45064</v>
      </c>
      <c r="L6350" s="17">
        <f>IFERROR(__xludf.DUMMYFUNCTION("""COMPUTED_VALUE"""),3.194902583E9)</f>
        <v>3194902583</v>
      </c>
      <c r="M6350" s="17" t="str">
        <f>IFERROR(__xludf.DUMMYFUNCTION("""COMPUTED_VALUE"""),"#REF!")</f>
        <v>#REF!</v>
      </c>
      <c r="N6350" s="17"/>
      <c r="O6350" s="17"/>
      <c r="P6350" s="17" t="b">
        <f>IFERROR(__xludf.DUMMYFUNCTION("""COMPUTED_VALUE"""),FALSE)</f>
        <v>0</v>
      </c>
      <c r="Q6350" s="20" t="str">
        <f>IFERROR(__xludf.DUMMYFUNCTION("""COMPUTED_VALUE"""),"")</f>
        <v/>
      </c>
      <c r="R6350" s="22" t="str">
        <f>IFERROR(__xludf.DUMMYFUNCTION("""COMPUTED_VALUE"""),"")</f>
        <v/>
      </c>
    </row>
    <row r="6351">
      <c r="A6351" s="15">
        <f>IFERROR(__xludf.DUMMYFUNCTION("""COMPUTED_VALUE"""),45181.0)</f>
        <v>45181</v>
      </c>
      <c r="B6351" s="16" t="str">
        <f>IFERROR(__xludf.DUMMYFUNCTION("""COMPUTED_VALUE"""),"Santiago Garces Restrepo")</f>
        <v>Santiago Garces Restrepo</v>
      </c>
      <c r="C6351" s="15" t="str">
        <f>IFERROR(__xludf.DUMMYFUNCTION("""COMPUTED_VALUE"""),"TUNJA")</f>
        <v>TUNJA</v>
      </c>
      <c r="D6351" s="15" t="str">
        <f>IFERROR(__xludf.DUMMYFUNCTION("""COMPUTED_VALUE"""),"BOGOTÁ")</f>
        <v>BOGOTÁ</v>
      </c>
      <c r="E6351" s="15" t="str">
        <f>IFERROR(__xludf.DUMMYFUNCTION("""COMPUTED_VALUE"""),"Asociacion Agropecuaria Juana Maria")</f>
        <v>Asociacion Agropecuaria Juana Maria</v>
      </c>
      <c r="F6351" s="17" t="str">
        <f>IFERROR(__xludf.DUMMYFUNCTION("""COMPUTED_VALUE"""),"Carrera 2 A # 45b-03 barrio ""las quintas""")</f>
        <v>Carrera 2 A # 45b-03 barrio "las quintas"</v>
      </c>
      <c r="G6351" s="15" t="str">
        <f>IFERROR(__xludf.DUMMYFUNCTION("""COMPUTED_VALUE"""),"Adriana Paola Hernandez")</f>
        <v>Adriana Paola Hernandez</v>
      </c>
      <c r="H6351" s="16">
        <f>IFERROR(__xludf.DUMMYFUNCTION("""COMPUTED_VALUE"""),15027.0)</f>
        <v>15027</v>
      </c>
      <c r="I6351" s="18">
        <f>IFERROR(__xludf.DUMMYFUNCTION("""COMPUTED_VALUE"""),36.0)</f>
        <v>36</v>
      </c>
      <c r="J6351" s="18">
        <f>IFERROR(__xludf.DUMMYFUNCTION("""COMPUTED_VALUE"""),25.0)</f>
        <v>25</v>
      </c>
      <c r="K6351" s="18">
        <f>IFERROR(__xludf.DUMMYFUNCTION("""COMPUTED_VALUE"""),3.0)</f>
        <v>3</v>
      </c>
      <c r="L6351" s="17">
        <f>IFERROR(__xludf.DUMMYFUNCTION("""COMPUTED_VALUE"""),3.223853604E9)</f>
        <v>3223853604</v>
      </c>
      <c r="M6351" s="17" t="str">
        <f>IFERROR(__xludf.DUMMYFUNCTION("""COMPUTED_VALUE"""),"#REF!")</f>
        <v>#REF!</v>
      </c>
      <c r="N6351" s="17"/>
      <c r="O6351" s="17"/>
      <c r="P6351" s="17" t="b">
        <f>IFERROR(__xludf.DUMMYFUNCTION("""COMPUTED_VALUE"""),FALSE)</f>
        <v>0</v>
      </c>
      <c r="Q6351" s="20" t="str">
        <f>IFERROR(__xludf.DUMMYFUNCTION("""COMPUTED_VALUE"""),"")</f>
        <v/>
      </c>
      <c r="R6351" s="22" t="str">
        <f>IFERROR(__xludf.DUMMYFUNCTION("""COMPUTED_VALUE"""),"")</f>
        <v/>
      </c>
    </row>
    <row r="6352">
      <c r="A6352" s="15">
        <f>IFERROR(__xludf.DUMMYFUNCTION("""COMPUTED_VALUE"""),45181.0)</f>
        <v>45181</v>
      </c>
      <c r="B6352" s="16" t="str">
        <f>IFERROR(__xludf.DUMMYFUNCTION("""COMPUTED_VALUE"""),"Santiago Garces Restrepo")</f>
        <v>Santiago Garces Restrepo</v>
      </c>
      <c r="C6352" s="15" t="str">
        <f>IFERROR(__xludf.DUMMYFUNCTION("""COMPUTED_VALUE"""),"TUNJA")</f>
        <v>TUNJA</v>
      </c>
      <c r="D6352" s="15" t="str">
        <f>IFERROR(__xludf.DUMMYFUNCTION("""COMPUTED_VALUE"""),"BOGOTÁ")</f>
        <v>BOGOTÁ</v>
      </c>
      <c r="E6352" s="15" t="str">
        <f>IFERROR(__xludf.DUMMYFUNCTION("""COMPUTED_VALUE"""),"Evamazzita")</f>
        <v>Evamazzita</v>
      </c>
      <c r="F6352" s="17" t="str">
        <f>IFERROR(__xludf.DUMMYFUNCTION("""COMPUTED_VALUE"""),"CALLE 48A No. 1 - 19 ESTE / LOCAL 1 BARRIO LIRIO REAL")</f>
        <v>CALLE 48A No. 1 - 19 ESTE / LOCAL 1 BARRIO LIRIO REAL</v>
      </c>
      <c r="G6352" s="15" t="str">
        <f>IFERROR(__xludf.DUMMYFUNCTION("""COMPUTED_VALUE"""),"JULIANA PARDO SAENZ")</f>
        <v>JULIANA PARDO SAENZ</v>
      </c>
      <c r="H6352" s="16">
        <f>IFERROR(__xludf.DUMMYFUNCTION("""COMPUTED_VALUE"""),15093.0)</f>
        <v>15093</v>
      </c>
      <c r="I6352" s="18">
        <f>IFERROR(__xludf.DUMMYFUNCTION("""COMPUTED_VALUE"""),1.0)</f>
        <v>1</v>
      </c>
      <c r="J6352" s="18">
        <f>IFERROR(__xludf.DUMMYFUNCTION("""COMPUTED_VALUE"""),1.0)</f>
        <v>1</v>
      </c>
      <c r="K6352" s="18">
        <f>IFERROR(__xludf.DUMMYFUNCTION("""COMPUTED_VALUE"""),1.0)</f>
        <v>1</v>
      </c>
      <c r="L6352" s="17">
        <f>IFERROR(__xludf.DUMMYFUNCTION("""COMPUTED_VALUE"""),3.21879903E9)</f>
        <v>3218799030</v>
      </c>
      <c r="M6352" s="17" t="str">
        <f>IFERROR(__xludf.DUMMYFUNCTION("""COMPUTED_VALUE"""),"#REF!")</f>
        <v>#REF!</v>
      </c>
      <c r="N6352" s="17"/>
      <c r="O6352" s="17"/>
      <c r="P6352" s="17" t="b">
        <f>IFERROR(__xludf.DUMMYFUNCTION("""COMPUTED_VALUE"""),FALSE)</f>
        <v>0</v>
      </c>
      <c r="Q6352" s="20" t="str">
        <f>IFERROR(__xludf.DUMMYFUNCTION("""COMPUTED_VALUE"""),"")</f>
        <v/>
      </c>
      <c r="R6352" s="22" t="str">
        <f>IFERROR(__xludf.DUMMYFUNCTION("""COMPUTED_VALUE"""),"")</f>
        <v/>
      </c>
    </row>
    <row r="6353">
      <c r="A6353" s="17" t="str">
        <f>IFERROR(__xludf.DUMMYFUNCTION("""COMPUTED_VALUE"""),"")</f>
        <v/>
      </c>
      <c r="B6353" s="17" t="str">
        <f>IFERROR(__xludf.DUMMYFUNCTION("""COMPUTED_VALUE"""),"")</f>
        <v/>
      </c>
      <c r="C6353" s="17" t="str">
        <f>IFERROR(__xludf.DUMMYFUNCTION("""COMPUTED_VALUE"""),"")</f>
        <v/>
      </c>
      <c r="D6353" s="17" t="str">
        <f>IFERROR(__xludf.DUMMYFUNCTION("""COMPUTED_VALUE"""),"")</f>
        <v/>
      </c>
      <c r="E6353" s="17" t="str">
        <f>IFERROR(__xludf.DUMMYFUNCTION("""COMPUTED_VALUE"""),"")</f>
        <v/>
      </c>
      <c r="F6353" s="17" t="str">
        <f>IFERROR(__xludf.DUMMYFUNCTION("""COMPUTED_VALUE"""),"")</f>
        <v/>
      </c>
      <c r="G6353" s="17" t="str">
        <f>IFERROR(__xludf.DUMMYFUNCTION("""COMPUTED_VALUE"""),"")</f>
        <v/>
      </c>
      <c r="H6353" s="17" t="str">
        <f>IFERROR(__xludf.DUMMYFUNCTION("""COMPUTED_VALUE"""),"")</f>
        <v/>
      </c>
      <c r="I6353" s="17" t="str">
        <f>IFERROR(__xludf.DUMMYFUNCTION("""COMPUTED_VALUE"""),"")</f>
        <v/>
      </c>
      <c r="J6353" s="17" t="str">
        <f>IFERROR(__xludf.DUMMYFUNCTION("""COMPUTED_VALUE"""),"")</f>
        <v/>
      </c>
      <c r="K6353" s="17" t="str">
        <f>IFERROR(__xludf.DUMMYFUNCTION("""COMPUTED_VALUE"""),"")</f>
        <v/>
      </c>
      <c r="L6353" s="17" t="str">
        <f>IFERROR(__xludf.DUMMYFUNCTION("""COMPUTED_VALUE"""),"")</f>
        <v/>
      </c>
      <c r="M6353" s="17" t="str">
        <f>IFERROR(__xludf.DUMMYFUNCTION("""COMPUTED_VALUE"""),"")</f>
        <v/>
      </c>
      <c r="N6353" s="17" t="str">
        <f>IFERROR(__xludf.DUMMYFUNCTION("""COMPUTED_VALUE"""),"")</f>
        <v/>
      </c>
      <c r="O6353" s="17" t="str">
        <f>IFERROR(__xludf.DUMMYFUNCTION("""COMPUTED_VALUE"""),"")</f>
        <v/>
      </c>
      <c r="P6353" s="17" t="str">
        <f>IFERROR(__xludf.DUMMYFUNCTION("""COMPUTED_VALUE"""),"")</f>
        <v/>
      </c>
      <c r="Q6353" s="17" t="str">
        <f>IFERROR(__xludf.DUMMYFUNCTION("""COMPUTED_VALUE"""),"")</f>
        <v/>
      </c>
      <c r="R6353" s="17" t="str">
        <f>IFERROR(__xludf.DUMMYFUNCTION("""COMPUTED_VALUE"""),"")</f>
        <v/>
      </c>
    </row>
    <row r="6354">
      <c r="A6354" s="15">
        <f>IFERROR(__xludf.DUMMYFUNCTION("""COMPUTED_VALUE"""),45181.0)</f>
        <v>45181</v>
      </c>
      <c r="B6354" s="16" t="str">
        <f>IFERROR(__xludf.DUMMYFUNCTION("""COMPUTED_VALUE"""),"usuario nuevo")</f>
        <v>usuario nuevo</v>
      </c>
      <c r="C6354" s="15" t="str">
        <f>IFERROR(__xludf.DUMMYFUNCTION("""COMPUTED_VALUE"""),"BUCARAMANGA")</f>
        <v>BUCARAMANGA</v>
      </c>
      <c r="D6354" s="15" t="str">
        <f>IFERROR(__xludf.DUMMYFUNCTION("""COMPUTED_VALUE"""),"MEDELLÍN")</f>
        <v>MEDELLÍN</v>
      </c>
      <c r="E6354" s="15" t="str">
        <f>IFERROR(__xludf.DUMMYFUNCTION("""COMPUTED_VALUE"""),"Natusoya")</f>
        <v>Natusoya</v>
      </c>
      <c r="F6354" s="17" t="str">
        <f>IFERROR(__xludf.DUMMYFUNCTION("""COMPUTED_VALUE"""),"Carrera 37 #52-102 / Local int 102  / Barrio cabezera del llano")</f>
        <v>Carrera 37 #52-102 / Local int 102  / Barrio cabezera del llano</v>
      </c>
      <c r="G6354" s="15" t="str">
        <f>IFERROR(__xludf.DUMMYFUNCTION("""COMPUTED_VALUE"""),"Sara Orozco")</f>
        <v>Sara Orozco</v>
      </c>
      <c r="H6354" s="16">
        <f>IFERROR(__xludf.DUMMYFUNCTION("""COMPUTED_VALUE"""),15116.0)</f>
        <v>15116</v>
      </c>
      <c r="I6354" s="18">
        <f>IFERROR(__xludf.DUMMYFUNCTION("""COMPUTED_VALUE"""),10.0)</f>
        <v>10</v>
      </c>
      <c r="J6354" s="18">
        <f>IFERROR(__xludf.DUMMYFUNCTION("""COMPUTED_VALUE"""),20.0)</f>
        <v>20</v>
      </c>
      <c r="K6354" s="18">
        <f>IFERROR(__xludf.DUMMYFUNCTION("""COMPUTED_VALUE"""),25.0)</f>
        <v>25</v>
      </c>
      <c r="L6354" s="17">
        <f>IFERROR(__xludf.DUMMYFUNCTION("""COMPUTED_VALUE"""),3.176364622E9)</f>
        <v>3176364622</v>
      </c>
      <c r="M6354" s="17" t="str">
        <f>IFERROR(__xludf.DUMMYFUNCTION("""COMPUTED_VALUE"""),"#REF!")</f>
        <v>#REF!</v>
      </c>
      <c r="N6354" s="17"/>
      <c r="O6354" s="17"/>
      <c r="P6354" s="17" t="b">
        <f>IFERROR(__xludf.DUMMYFUNCTION("""COMPUTED_VALUE"""),FALSE)</f>
        <v>0</v>
      </c>
      <c r="Q6354" s="20" t="str">
        <f>IFERROR(__xludf.DUMMYFUNCTION("""COMPUTED_VALUE"""),"")</f>
        <v/>
      </c>
      <c r="R6354" s="22" t="str">
        <f>IFERROR(__xludf.DUMMYFUNCTION("""COMPUTED_VALUE"""),"")</f>
        <v/>
      </c>
    </row>
    <row r="6355">
      <c r="A6355" s="15">
        <f>IFERROR(__xludf.DUMMYFUNCTION("""COMPUTED_VALUE"""),45181.0)</f>
        <v>45181</v>
      </c>
      <c r="B6355" s="16" t="str">
        <f>IFERROR(__xludf.DUMMYFUNCTION("""COMPUTED_VALUE"""),"usuario nuevo")</f>
        <v>usuario nuevo</v>
      </c>
      <c r="C6355" s="15" t="str">
        <f>IFERROR(__xludf.DUMMYFUNCTION("""COMPUTED_VALUE"""),"BUCARAMANGA")</f>
        <v>BUCARAMANGA</v>
      </c>
      <c r="D6355" s="15" t="str">
        <f>IFERROR(__xludf.DUMMYFUNCTION("""COMPUTED_VALUE"""),"MEDELLÍN")</f>
        <v>MEDELLÍN</v>
      </c>
      <c r="E6355" s="15" t="str">
        <f>IFERROR(__xludf.DUMMYFUNCTION("""COMPUTED_VALUE"""),"Terravocado")</f>
        <v>Terravocado</v>
      </c>
      <c r="F6355" s="17" t="str">
        <f>IFERROR(__xludf.DUMMYFUNCTION("""COMPUTED_VALUE"""),"CLL 34 # 23 - 05 LOCAL 1 / LOCAL 1 / ANTONIA SANTOS CENTRO")</f>
        <v>CLL 34 # 23 - 05 LOCAL 1 / LOCAL 1 / ANTONIA SANTOS CENTRO</v>
      </c>
      <c r="G6355" s="15" t="str">
        <f>IFERROR(__xludf.DUMMYFUNCTION("""COMPUTED_VALUE"""),"AJDS HOUSE tienda de carnes y mas")</f>
        <v>AJDS HOUSE tienda de carnes y mas</v>
      </c>
      <c r="H6355" s="16">
        <f>IFERROR(__xludf.DUMMYFUNCTION("""COMPUTED_VALUE"""),15074.0)</f>
        <v>15074</v>
      </c>
      <c r="I6355" s="18">
        <f>IFERROR(__xludf.DUMMYFUNCTION("""COMPUTED_VALUE"""),20.0)</f>
        <v>20</v>
      </c>
      <c r="J6355" s="18">
        <f>IFERROR(__xludf.DUMMYFUNCTION("""COMPUTED_VALUE"""),24.0)</f>
        <v>24</v>
      </c>
      <c r="K6355" s="18">
        <f>IFERROR(__xludf.DUMMYFUNCTION("""COMPUTED_VALUE"""),34.0)</f>
        <v>34</v>
      </c>
      <c r="L6355" s="17">
        <f>IFERROR(__xludf.DUMMYFUNCTION("""COMPUTED_VALUE"""),3.158316485E9)</f>
        <v>3158316485</v>
      </c>
      <c r="M6355" s="17" t="str">
        <f>IFERROR(__xludf.DUMMYFUNCTION("""COMPUTED_VALUE"""),"#REF!")</f>
        <v>#REF!</v>
      </c>
      <c r="N6355" s="17"/>
      <c r="O6355" s="17"/>
      <c r="P6355" s="17" t="b">
        <f>IFERROR(__xludf.DUMMYFUNCTION("""COMPUTED_VALUE"""),TRUE)</f>
        <v>1</v>
      </c>
      <c r="Q6355" s="20">
        <f>IFERROR(__xludf.DUMMYFUNCTION("""COMPUTED_VALUE"""),45182.73357140046)</f>
        <v>45182.73357</v>
      </c>
      <c r="R6355" s="22" t="str">
        <f>IFERROR(__xludf.DUMMYFUNCTION("""COMPUTED_VALUE"""),"")</f>
        <v/>
      </c>
    </row>
    <row r="6356">
      <c r="A6356" s="15">
        <f>IFERROR(__xludf.DUMMYFUNCTION("""COMPUTED_VALUE"""),45181.0)</f>
        <v>45181</v>
      </c>
      <c r="B6356" s="16" t="str">
        <f>IFERROR(__xludf.DUMMYFUNCTION("""COMPUTED_VALUE"""),"usuario nuevo")</f>
        <v>usuario nuevo</v>
      </c>
      <c r="C6356" s="15" t="str">
        <f>IFERROR(__xludf.DUMMYFUNCTION("""COMPUTED_VALUE"""),"FLORIDABLANCA")</f>
        <v>FLORIDABLANCA</v>
      </c>
      <c r="D6356" s="15" t="str">
        <f>IFERROR(__xludf.DUMMYFUNCTION("""COMPUTED_VALUE"""),"BOGOTÁ")</f>
        <v>BOGOTÁ</v>
      </c>
      <c r="E6356" s="15" t="str">
        <f>IFERROR(__xludf.DUMMYFUNCTION("""COMPUTED_VALUE"""),"Asociacion Agropecuaria Juana Maria")</f>
        <v>Asociacion Agropecuaria Juana Maria</v>
      </c>
      <c r="F6356" s="17" t="str">
        <f>IFERROR(__xludf.DUMMYFUNCTION("""COMPUTED_VALUE"""),"Calle 19 #11-37 Guanatá FLORIDABLANCA")</f>
        <v>Calle 19 #11-37 Guanatá FLORIDABLANCA</v>
      </c>
      <c r="G6356" s="15" t="str">
        <f>IFERROR(__xludf.DUMMYFUNCTION("""COMPUTED_VALUE"""),"Claudia Gonzalez")</f>
        <v>Claudia Gonzalez</v>
      </c>
      <c r="H6356" s="16">
        <f>IFERROR(__xludf.DUMMYFUNCTION("""COMPUTED_VALUE"""),15001.0)</f>
        <v>15001</v>
      </c>
      <c r="I6356" s="18">
        <f>IFERROR(__xludf.DUMMYFUNCTION("""COMPUTED_VALUE"""),21.0)</f>
        <v>21</v>
      </c>
      <c r="J6356" s="18">
        <f>IFERROR(__xludf.DUMMYFUNCTION("""COMPUTED_VALUE"""),37.0)</f>
        <v>37</v>
      </c>
      <c r="K6356" s="18">
        <f>IFERROR(__xludf.DUMMYFUNCTION("""COMPUTED_VALUE"""),30.0)</f>
        <v>30</v>
      </c>
      <c r="L6356" s="17">
        <f>IFERROR(__xludf.DUMMYFUNCTION("""COMPUTED_VALUE"""),3.002802001E9)</f>
        <v>3002802001</v>
      </c>
      <c r="M6356" s="17" t="str">
        <f>IFERROR(__xludf.DUMMYFUNCTION("""COMPUTED_VALUE"""),"#REF!")</f>
        <v>#REF!</v>
      </c>
      <c r="N6356" s="17"/>
      <c r="O6356" s="17"/>
      <c r="P6356" s="17" t="b">
        <f>IFERROR(__xludf.DUMMYFUNCTION("""COMPUTED_VALUE"""),TRUE)</f>
        <v>1</v>
      </c>
      <c r="Q6356" s="20">
        <f>IFERROR(__xludf.DUMMYFUNCTION("""COMPUTED_VALUE"""),45183.72463303241)</f>
        <v>45183.72463</v>
      </c>
      <c r="R6356" s="22" t="str">
        <f>IFERROR(__xludf.DUMMYFUNCTION("""COMPUTED_VALUE"""),"")</f>
        <v/>
      </c>
    </row>
    <row r="6357">
      <c r="A6357" s="15">
        <f>IFERROR(__xludf.DUMMYFUNCTION("""COMPUTED_VALUE"""),45181.0)</f>
        <v>45181</v>
      </c>
      <c r="B6357" s="16" t="str">
        <f>IFERROR(__xludf.DUMMYFUNCTION("""COMPUTED_VALUE"""),"usuario nuevo")</f>
        <v>usuario nuevo</v>
      </c>
      <c r="C6357" s="15" t="str">
        <f>IFERROR(__xludf.DUMMYFUNCTION("""COMPUTED_VALUE"""),"FLORIDABLANCA")</f>
        <v>FLORIDABLANCA</v>
      </c>
      <c r="D6357" s="15" t="str">
        <f>IFERROR(__xludf.DUMMYFUNCTION("""COMPUTED_VALUE"""),"MEDELLÍN")</f>
        <v>MEDELLÍN</v>
      </c>
      <c r="E6357" s="15" t="str">
        <f>IFERROR(__xludf.DUMMYFUNCTION("""COMPUTED_VALUE"""),"Baby Chef")</f>
        <v>Baby Chef</v>
      </c>
      <c r="F6357" s="17" t="str">
        <f>IFERROR(__xludf.DUMMYFUNCTION("""COMPUTED_VALUE"""),"Calle 200 no 13-36 Barrio Versalles Floridablanca, Santander Edificio Montesol apartamentos club apto 803 / Calle 200 no 13-36 Barrio Versalles Floridablanca, Santander Edificio Montesol apartamentos club apto 803 / Calle 200 no 13-36 Barrio Versalles Flo"&amp;"ridablanca, Santander Edificio Montesol apartamentos club apto 803")</f>
        <v>Calle 200 no 13-36 Barrio Versalles Floridablanca, Santander Edificio Montesol apartamentos club apto 803 / Calle 200 no 13-36 Barrio Versalles Floridablanca, Santander Edificio Montesol apartamentos club apto 803 / Calle 200 no 13-36 Barrio Versalles Floridablanca, Santander Edificio Montesol apartamentos club apto 803</v>
      </c>
      <c r="G6357" s="15" t="str">
        <f>IFERROR(__xludf.DUMMYFUNCTION("""COMPUTED_VALUE"""),"Cindy Castro")</f>
        <v>Cindy Castro</v>
      </c>
      <c r="H6357" s="16">
        <f>IFERROR(__xludf.DUMMYFUNCTION("""COMPUTED_VALUE"""),15117.0)</f>
        <v>15117</v>
      </c>
      <c r="I6357" s="18">
        <f>IFERROR(__xludf.DUMMYFUNCTION("""COMPUTED_VALUE"""),9.0)</f>
        <v>9</v>
      </c>
      <c r="J6357" s="18">
        <f>IFERROR(__xludf.DUMMYFUNCTION("""COMPUTED_VALUE"""),26.0)</f>
        <v>26</v>
      </c>
      <c r="K6357" s="18">
        <f>IFERROR(__xludf.DUMMYFUNCTION("""COMPUTED_VALUE"""),45.0)</f>
        <v>45</v>
      </c>
      <c r="L6357" s="17">
        <f>IFERROR(__xludf.DUMMYFUNCTION("""COMPUTED_VALUE"""),3.173678048E9)</f>
        <v>3173678048</v>
      </c>
      <c r="M6357" s="17" t="str">
        <f>IFERROR(__xludf.DUMMYFUNCTION("""COMPUTED_VALUE"""),"#REF!")</f>
        <v>#REF!</v>
      </c>
      <c r="N6357" s="17"/>
      <c r="O6357" s="17"/>
      <c r="P6357" s="17" t="b">
        <f>IFERROR(__xludf.DUMMYFUNCTION("""COMPUTED_VALUE"""),TRUE)</f>
        <v>1</v>
      </c>
      <c r="Q6357" s="20">
        <f>IFERROR(__xludf.DUMMYFUNCTION("""COMPUTED_VALUE"""),45182.735405590276)</f>
        <v>45182.73541</v>
      </c>
      <c r="R6357" s="22" t="str">
        <f>IFERROR(__xludf.DUMMYFUNCTION("""COMPUTED_VALUE"""),"")</f>
        <v/>
      </c>
    </row>
    <row r="6358">
      <c r="A6358" s="15">
        <f>IFERROR(__xludf.DUMMYFUNCTION("""COMPUTED_VALUE"""),45181.0)</f>
        <v>45181</v>
      </c>
      <c r="B6358" s="16" t="str">
        <f>IFERROR(__xludf.DUMMYFUNCTION("""COMPUTED_VALUE"""),"usuario nuevo")</f>
        <v>usuario nuevo</v>
      </c>
      <c r="C6358" s="15" t="str">
        <f>IFERROR(__xludf.DUMMYFUNCTION("""COMPUTED_VALUE"""),"IBAGUÉ")</f>
        <v>IBAGUÉ</v>
      </c>
      <c r="D6358" s="15" t="str">
        <f>IFERROR(__xludf.DUMMYFUNCTION("""COMPUTED_VALUE"""),"BOGOTÁ")</f>
        <v>BOGOTÁ</v>
      </c>
      <c r="E6358" s="15" t="str">
        <f>IFERROR(__xludf.DUMMYFUNCTION("""COMPUTED_VALUE"""),"50 Gr Alfajores")</f>
        <v>50 Gr Alfajores</v>
      </c>
      <c r="F6358" s="17" t="str">
        <f>IFERROR(__xludf.DUMMYFUNCTION("""COMPUTED_VALUE"""),"Calle 59 #6b-21  / Ibague / Tolima")</f>
        <v>Calle 59 #6b-21  / Ibague / Tolima</v>
      </c>
      <c r="G6358" s="15" t="str">
        <f>IFERROR(__xludf.DUMMYFUNCTION("""COMPUTED_VALUE"""),"Hernández Molina Juan Felipe")</f>
        <v>Hernández Molina Juan Felipe</v>
      </c>
      <c r="H6358" s="16">
        <f>IFERROR(__xludf.DUMMYFUNCTION("""COMPUTED_VALUE"""),15009.0)</f>
        <v>15009</v>
      </c>
      <c r="I6358" s="18">
        <f>IFERROR(__xludf.DUMMYFUNCTION("""COMPUTED_VALUE"""),5.0)</f>
        <v>5</v>
      </c>
      <c r="J6358" s="18">
        <f>IFERROR(__xludf.DUMMYFUNCTION("""COMPUTED_VALUE"""),13.0)</f>
        <v>13</v>
      </c>
      <c r="K6358" s="18">
        <f>IFERROR(__xludf.DUMMYFUNCTION("""COMPUTED_VALUE"""),45064.0)</f>
        <v>45064</v>
      </c>
      <c r="L6358" s="17">
        <f>IFERROR(__xludf.DUMMYFUNCTION("""COMPUTED_VALUE"""),3.202828703E9)</f>
        <v>3202828703</v>
      </c>
      <c r="M6358" s="17" t="str">
        <f>IFERROR(__xludf.DUMMYFUNCTION("""COMPUTED_VALUE"""),"#REF!")</f>
        <v>#REF!</v>
      </c>
      <c r="N6358" s="17"/>
      <c r="O6358" s="17"/>
      <c r="P6358" s="17" t="b">
        <f>IFERROR(__xludf.DUMMYFUNCTION("""COMPUTED_VALUE"""),TRUE)</f>
        <v>1</v>
      </c>
      <c r="Q6358" s="20">
        <f>IFERROR(__xludf.DUMMYFUNCTION("""COMPUTED_VALUE"""),45183.724696192134)</f>
        <v>45183.7247</v>
      </c>
      <c r="R6358" s="21" t="str">
        <f>IFERROR(__xludf.DUMMYFUNCTION("""COMPUTED_VALUE"""),"https://drive.google.com/file/d/1gXWzSPyumJ0VNu6kRWAwe1lyriD3JLAm/view?usp=drivesdk")</f>
        <v>https://drive.google.com/file/d/1gXWzSPyumJ0VNu6kRWAwe1lyriD3JLAm/view?usp=drivesdk</v>
      </c>
    </row>
    <row r="6359">
      <c r="A6359" s="15">
        <f>IFERROR(__xludf.DUMMYFUNCTION("""COMPUTED_VALUE"""),45181.0)</f>
        <v>45181</v>
      </c>
      <c r="B6359" s="16" t="str">
        <f>IFERROR(__xludf.DUMMYFUNCTION("""COMPUTED_VALUE"""),"usuario nuevo")</f>
        <v>usuario nuevo</v>
      </c>
      <c r="C6359" s="15" t="str">
        <f>IFERROR(__xludf.DUMMYFUNCTION("""COMPUTED_VALUE"""),"IBAGUÉ")</f>
        <v>IBAGUÉ</v>
      </c>
      <c r="D6359" s="15" t="str">
        <f>IFERROR(__xludf.DUMMYFUNCTION("""COMPUTED_VALUE"""),"BOGOTÁ")</f>
        <v>BOGOTÁ</v>
      </c>
      <c r="E6359" s="15" t="str">
        <f>IFERROR(__xludf.DUMMYFUNCTION("""COMPUTED_VALUE"""),"Asociacion Agropecuaria Juana Maria")</f>
        <v>Asociacion Agropecuaria Juana Maria</v>
      </c>
      <c r="F6359" s="17" t="str">
        <f>IFERROR(__xludf.DUMMYFUNCTION("""COMPUTED_VALUE"""),"Calle 93 # 7 Sur-90 torre 7 apto 701 Conjunto Residencial Altagracia")</f>
        <v>Calle 93 # 7 Sur-90 torre 7 apto 701 Conjunto Residencial Altagracia</v>
      </c>
      <c r="G6359" s="15" t="str">
        <f>IFERROR(__xludf.DUMMYFUNCTION("""COMPUTED_VALUE"""),"Mariam Yasmin Murillo Rubio")</f>
        <v>Mariam Yasmin Murillo Rubio</v>
      </c>
      <c r="H6359" s="16">
        <f>IFERROR(__xludf.DUMMYFUNCTION("""COMPUTED_VALUE"""),14995.0)</f>
        <v>14995</v>
      </c>
      <c r="I6359" s="18">
        <f>IFERROR(__xludf.DUMMYFUNCTION("""COMPUTED_VALUE"""),21.0)</f>
        <v>21</v>
      </c>
      <c r="J6359" s="18">
        <f>IFERROR(__xludf.DUMMYFUNCTION("""COMPUTED_VALUE"""),37.0)</f>
        <v>37</v>
      </c>
      <c r="K6359" s="18">
        <f>IFERROR(__xludf.DUMMYFUNCTION("""COMPUTED_VALUE"""),30.0)</f>
        <v>30</v>
      </c>
      <c r="L6359" s="17">
        <f>IFERROR(__xludf.DUMMYFUNCTION("""COMPUTED_VALUE"""),3.105789664E9)</f>
        <v>3105789664</v>
      </c>
      <c r="M6359" s="17" t="str">
        <f>IFERROR(__xludf.DUMMYFUNCTION("""COMPUTED_VALUE"""),"#REF!")</f>
        <v>#REF!</v>
      </c>
      <c r="N6359" s="17"/>
      <c r="O6359" s="17"/>
      <c r="P6359" s="17" t="b">
        <f>IFERROR(__xludf.DUMMYFUNCTION("""COMPUTED_VALUE"""),TRUE)</f>
        <v>1</v>
      </c>
      <c r="Q6359" s="20">
        <f>IFERROR(__xludf.DUMMYFUNCTION("""COMPUTED_VALUE"""),45183.724696192134)</f>
        <v>45183.7247</v>
      </c>
      <c r="R6359" s="22" t="str">
        <f>IFERROR(__xludf.DUMMYFUNCTION("""COMPUTED_VALUE"""),"")</f>
        <v/>
      </c>
    </row>
    <row r="6360">
      <c r="A6360" s="15">
        <f>IFERROR(__xludf.DUMMYFUNCTION("""COMPUTED_VALUE"""),45181.0)</f>
        <v>45181</v>
      </c>
      <c r="B6360" s="16" t="str">
        <f>IFERROR(__xludf.DUMMYFUNCTION("""COMPUTED_VALUE"""),"usuario nuevo")</f>
        <v>usuario nuevo</v>
      </c>
      <c r="C6360" s="15" t="str">
        <f>IFERROR(__xludf.DUMMYFUNCTION("""COMPUTED_VALUE"""),"IBAGUÉ")</f>
        <v>IBAGUÉ</v>
      </c>
      <c r="D6360" s="15" t="str">
        <f>IFERROR(__xludf.DUMMYFUNCTION("""COMPUTED_VALUE"""),"BOGOTÁ")</f>
        <v>BOGOTÁ</v>
      </c>
      <c r="E6360" s="15" t="str">
        <f>IFERROR(__xludf.DUMMYFUNCTION("""COMPUTED_VALUE"""),"Evamazzita")</f>
        <v>Evamazzita</v>
      </c>
      <c r="F6360" s="17" t="str">
        <f>IFERROR(__xludf.DUMMYFUNCTION("""COMPUTED_VALUE"""),"CALLE 93 No. 7SUR - 90 / TORRE 7 APTO 701 CONJUNTO PARQUE RESIDENCIAL ALTAGRACIA")</f>
        <v>CALLE 93 No. 7SUR - 90 / TORRE 7 APTO 701 CONJUNTO PARQUE RESIDENCIAL ALTAGRACIA</v>
      </c>
      <c r="G6360" s="15" t="str">
        <f>IFERROR(__xludf.DUMMYFUNCTION("""COMPUTED_VALUE"""),"MARIAM MURILLO")</f>
        <v>MARIAM MURILLO</v>
      </c>
      <c r="H6360" s="16">
        <f>IFERROR(__xludf.DUMMYFUNCTION("""COMPUTED_VALUE"""),15094.0)</f>
        <v>15094</v>
      </c>
      <c r="I6360" s="18">
        <f>IFERROR(__xludf.DUMMYFUNCTION("""COMPUTED_VALUE"""),1.0)</f>
        <v>1</v>
      </c>
      <c r="J6360" s="18">
        <f>IFERROR(__xludf.DUMMYFUNCTION("""COMPUTED_VALUE"""),1.0)</f>
        <v>1</v>
      </c>
      <c r="K6360" s="18">
        <f>IFERROR(__xludf.DUMMYFUNCTION("""COMPUTED_VALUE"""),1.0)</f>
        <v>1</v>
      </c>
      <c r="L6360" s="17">
        <f>IFERROR(__xludf.DUMMYFUNCTION("""COMPUTED_VALUE"""),3.105789664E9)</f>
        <v>3105789664</v>
      </c>
      <c r="M6360" s="17" t="str">
        <f>IFERROR(__xludf.DUMMYFUNCTION("""COMPUTED_VALUE"""),"#REF!")</f>
        <v>#REF!</v>
      </c>
      <c r="N6360" s="17"/>
      <c r="O6360" s="17"/>
      <c r="P6360" s="17" t="b">
        <f>IFERROR(__xludf.DUMMYFUNCTION("""COMPUTED_VALUE"""),TRUE)</f>
        <v>1</v>
      </c>
      <c r="Q6360" s="20">
        <f>IFERROR(__xludf.DUMMYFUNCTION("""COMPUTED_VALUE"""),45183.724696192134)</f>
        <v>45183.7247</v>
      </c>
      <c r="R6360" s="22" t="str">
        <f>IFERROR(__xludf.DUMMYFUNCTION("""COMPUTED_VALUE"""),"")</f>
        <v/>
      </c>
    </row>
    <row r="6361">
      <c r="A6361" s="15">
        <f>IFERROR(__xludf.DUMMYFUNCTION("""COMPUTED_VALUE"""),45181.0)</f>
        <v>45181</v>
      </c>
      <c r="B6361" s="16" t="str">
        <f>IFERROR(__xludf.DUMMYFUNCTION("""COMPUTED_VALUE"""),"usuario nuevo")</f>
        <v>usuario nuevo</v>
      </c>
      <c r="C6361" s="15" t="str">
        <f>IFERROR(__xludf.DUMMYFUNCTION("""COMPUTED_VALUE"""),"IBAGUÉ")</f>
        <v>IBAGUÉ</v>
      </c>
      <c r="D6361" s="15" t="str">
        <f>IFERROR(__xludf.DUMMYFUNCTION("""COMPUTED_VALUE"""),"BOGOTÁ")</f>
        <v>BOGOTÁ</v>
      </c>
      <c r="E6361" s="15" t="str">
        <f>IFERROR(__xludf.DUMMYFUNCTION("""COMPUTED_VALUE"""),"Ins. Alimento Vital")</f>
        <v>Ins. Alimento Vital</v>
      </c>
      <c r="F6361" s="17" t="str">
        <f>IFERROR(__xludf.DUMMYFUNCTION("""COMPUTED_VALUE"""),"CASA 4B MANZANA 4 ALAMEDA LA CAMPIÑA SESCTOR CALATAYUD / CASA 4B MANZANA 4 ALAMEDA LA CAMPIÑA SESCTOR CALATAYUD / CASA 4B MANZANA 4 ALAMEDA LA CAMPIÑA SESCTOR CALATAYUD")</f>
        <v>CASA 4B MANZANA 4 ALAMEDA LA CAMPIÑA SESCTOR CALATAYUD / CASA 4B MANZANA 4 ALAMEDA LA CAMPIÑA SESCTOR CALATAYUD / CASA 4B MANZANA 4 ALAMEDA LA CAMPIÑA SESCTOR CALATAYUD</v>
      </c>
      <c r="G6361" s="15" t="str">
        <f>IFERROR(__xludf.DUMMYFUNCTION("""COMPUTED_VALUE"""),"JESUS DAVID DELGADO TASCON")</f>
        <v>JESUS DAVID DELGADO TASCON</v>
      </c>
      <c r="H6361" s="16">
        <f>IFERROR(__xludf.DUMMYFUNCTION("""COMPUTED_VALUE"""),15064.0)</f>
        <v>15064</v>
      </c>
      <c r="I6361" s="18">
        <f>IFERROR(__xludf.DUMMYFUNCTION("""COMPUTED_VALUE"""),1.0)</f>
        <v>1</v>
      </c>
      <c r="J6361" s="18">
        <f>IFERROR(__xludf.DUMMYFUNCTION("""COMPUTED_VALUE"""),1.0)</f>
        <v>1</v>
      </c>
      <c r="K6361" s="18">
        <f>IFERROR(__xludf.DUMMYFUNCTION("""COMPUTED_VALUE"""),1.0)</f>
        <v>1</v>
      </c>
      <c r="L6361" s="17">
        <f>IFERROR(__xludf.DUMMYFUNCTION("""COMPUTED_VALUE"""),3.196515049E9)</f>
        <v>3196515049</v>
      </c>
      <c r="M6361" s="17" t="str">
        <f>IFERROR(__xludf.DUMMYFUNCTION("""COMPUTED_VALUE"""),"#REF!")</f>
        <v>#REF!</v>
      </c>
      <c r="N6361" s="17"/>
      <c r="O6361" s="17"/>
      <c r="P6361" s="17" t="b">
        <f>IFERROR(__xludf.DUMMYFUNCTION("""COMPUTED_VALUE"""),TRUE)</f>
        <v>1</v>
      </c>
      <c r="Q6361" s="20">
        <f>IFERROR(__xludf.DUMMYFUNCTION("""COMPUTED_VALUE"""),45183.724696192134)</f>
        <v>45183.7247</v>
      </c>
      <c r="R6361" s="22" t="str">
        <f>IFERROR(__xludf.DUMMYFUNCTION("""COMPUTED_VALUE"""),"")</f>
        <v/>
      </c>
    </row>
    <row r="6362">
      <c r="A6362" s="15">
        <f>IFERROR(__xludf.DUMMYFUNCTION("""COMPUTED_VALUE"""),45181.0)</f>
        <v>45181</v>
      </c>
      <c r="B6362" s="16" t="str">
        <f>IFERROR(__xludf.DUMMYFUNCTION("""COMPUTED_VALUE"""),"usuario nuevo")</f>
        <v>usuario nuevo</v>
      </c>
      <c r="C6362" s="15" t="str">
        <f>IFERROR(__xludf.DUMMYFUNCTION("""COMPUTED_VALUE"""),"IBAGUÉ")</f>
        <v>IBAGUÉ</v>
      </c>
      <c r="D6362" s="15" t="str">
        <f>IFERROR(__xludf.DUMMYFUNCTION("""COMPUTED_VALUE"""),"MEDELLÍN")</f>
        <v>MEDELLÍN</v>
      </c>
      <c r="E6362" s="15" t="str">
        <f>IFERROR(__xludf.DUMMYFUNCTION("""COMPUTED_VALUE"""),"Baby Chef")</f>
        <v>Baby Chef</v>
      </c>
      <c r="F6362" s="17" t="str">
        <f>IFERROR(__xludf.DUMMYFUNCTION("""COMPUTED_VALUE"""),"cl 30 n 5 -29 edificio  m30 apto 1707  Brr belalcazar ibague  Ibague tolima / cl 30 n 5 -29 edificio  m30 apto 1707  Brr belalcazar ibague  Ibague tolima / cl 30 n 5 -29 edificio  m30 apto 1707  Brr belalcazar ibague  Ibague tolima")</f>
        <v>cl 30 n 5 -29 edificio  m30 apto 1707  Brr belalcazar ibague  Ibague tolima / cl 30 n 5 -29 edificio  m30 apto 1707  Brr belalcazar ibague  Ibague tolima / cl 30 n 5 -29 edificio  m30 apto 1707  Brr belalcazar ibague  Ibague tolima</v>
      </c>
      <c r="G6362" s="15" t="str">
        <f>IFERROR(__xludf.DUMMYFUNCTION("""COMPUTED_VALUE"""),"Claudia Vanessa Moya Ríos")</f>
        <v>Claudia Vanessa Moya Ríos</v>
      </c>
      <c r="H6362" s="16">
        <f>IFERROR(__xludf.DUMMYFUNCTION("""COMPUTED_VALUE"""),15121.0)</f>
        <v>15121</v>
      </c>
      <c r="I6362" s="18">
        <f>IFERROR(__xludf.DUMMYFUNCTION("""COMPUTED_VALUE"""),6.0)</f>
        <v>6</v>
      </c>
      <c r="J6362" s="18">
        <f>IFERROR(__xludf.DUMMYFUNCTION("""COMPUTED_VALUE"""),21.0)</f>
        <v>21</v>
      </c>
      <c r="K6362" s="18">
        <f>IFERROR(__xludf.DUMMYFUNCTION("""COMPUTED_VALUE"""),33.0)</f>
        <v>33</v>
      </c>
      <c r="L6362" s="17">
        <f>IFERROR(__xludf.DUMMYFUNCTION("""COMPUTED_VALUE"""),3.212960903E9)</f>
        <v>3212960903</v>
      </c>
      <c r="M6362" s="17" t="str">
        <f>IFERROR(__xludf.DUMMYFUNCTION("""COMPUTED_VALUE"""),"#REF!")</f>
        <v>#REF!</v>
      </c>
      <c r="N6362" s="17"/>
      <c r="O6362" s="17"/>
      <c r="P6362" s="17" t="b">
        <f>IFERROR(__xludf.DUMMYFUNCTION("""COMPUTED_VALUE"""),TRUE)</f>
        <v>1</v>
      </c>
      <c r="Q6362" s="20">
        <f>IFERROR(__xludf.DUMMYFUNCTION("""COMPUTED_VALUE"""),45183.724696192134)</f>
        <v>45183.7247</v>
      </c>
      <c r="R6362" s="21" t="str">
        <f>IFERROR(__xludf.DUMMYFUNCTION("""COMPUTED_VALUE"""),"https://drive.google.com/file/d/1ziqR6ClhtqRFSlU97J6Ufj214Lf9bS9h/view?usp=drivesdk")</f>
        <v>https://drive.google.com/file/d/1ziqR6ClhtqRFSlU97J6Ufj214Lf9bS9h/view?usp=drivesdk</v>
      </c>
    </row>
    <row r="6363">
      <c r="A6363" s="15">
        <f>IFERROR(__xludf.DUMMYFUNCTION("""COMPUTED_VALUE"""),45181.0)</f>
        <v>45181</v>
      </c>
      <c r="B6363" s="16" t="str">
        <f>IFERROR(__xludf.DUMMYFUNCTION("""COMPUTED_VALUE"""),"usuario nuevo")</f>
        <v>usuario nuevo</v>
      </c>
      <c r="C6363" s="15" t="str">
        <f>IFERROR(__xludf.DUMMYFUNCTION("""COMPUTED_VALUE"""),"PIEDECUESTA")</f>
        <v>PIEDECUESTA</v>
      </c>
      <c r="D6363" s="15" t="str">
        <f>IFERROR(__xludf.DUMMYFUNCTION("""COMPUTED_VALUE"""),"BOGOTÁ")</f>
        <v>BOGOTÁ</v>
      </c>
      <c r="E6363" s="15" t="str">
        <f>IFERROR(__xludf.DUMMYFUNCTION("""COMPUTED_VALUE"""),"Ins. Alimento Vital")</f>
        <v>Ins. Alimento Vital</v>
      </c>
      <c r="F6363" s="17" t="str">
        <f>IFERROR(__xludf.DUMMYFUNCTION("""COMPUTED_VALUE"""),"PARCELACION BRISAS DE LA PRADERA / PARCELACION BRISAS DE LA PRADERA / PARCELACION BRISAS DE LA PRADERA")</f>
        <v>PARCELACION BRISAS DE LA PRADERA / PARCELACION BRISAS DE LA PRADERA / PARCELACION BRISAS DE LA PRADERA</v>
      </c>
      <c r="G6363" s="15" t="str">
        <f>IFERROR(__xludf.DUMMYFUNCTION("""COMPUTED_VALUE"""),"LORENA GRANADOS BARCO")</f>
        <v>LORENA GRANADOS BARCO</v>
      </c>
      <c r="H6363" s="16">
        <f>IFERROR(__xludf.DUMMYFUNCTION("""COMPUTED_VALUE"""),15062.0)</f>
        <v>15062</v>
      </c>
      <c r="I6363" s="18">
        <f>IFERROR(__xludf.DUMMYFUNCTION("""COMPUTED_VALUE"""),1.0)</f>
        <v>1</v>
      </c>
      <c r="J6363" s="18">
        <f>IFERROR(__xludf.DUMMYFUNCTION("""COMPUTED_VALUE"""),1.0)</f>
        <v>1</v>
      </c>
      <c r="K6363" s="18">
        <f>IFERROR(__xludf.DUMMYFUNCTION("""COMPUTED_VALUE"""),1.0)</f>
        <v>1</v>
      </c>
      <c r="L6363" s="17">
        <f>IFERROR(__xludf.DUMMYFUNCTION("""COMPUTED_VALUE"""),3.003286319E9)</f>
        <v>3003286319</v>
      </c>
      <c r="M6363" s="17" t="str">
        <f>IFERROR(__xludf.DUMMYFUNCTION("""COMPUTED_VALUE"""),"#REF!")</f>
        <v>#REF!</v>
      </c>
      <c r="N6363" s="17"/>
      <c r="O6363" s="17"/>
      <c r="P6363" s="17" t="b">
        <f>IFERROR(__xludf.DUMMYFUNCTION("""COMPUTED_VALUE"""),TRUE)</f>
        <v>1</v>
      </c>
      <c r="Q6363" s="20">
        <f>IFERROR(__xludf.DUMMYFUNCTION("""COMPUTED_VALUE"""),45182.73651578704)</f>
        <v>45182.73652</v>
      </c>
      <c r="R6363" s="22" t="str">
        <f>IFERROR(__xludf.DUMMYFUNCTION("""COMPUTED_VALUE"""),"")</f>
        <v/>
      </c>
    </row>
    <row r="6364">
      <c r="A6364" s="17" t="str">
        <f>IFERROR(__xludf.DUMMYFUNCTION("""COMPUTED_VALUE"""),"")</f>
        <v/>
      </c>
      <c r="B6364" s="17" t="str">
        <f>IFERROR(__xludf.DUMMYFUNCTION("""COMPUTED_VALUE"""),"")</f>
        <v/>
      </c>
      <c r="C6364" s="17" t="str">
        <f>IFERROR(__xludf.DUMMYFUNCTION("""COMPUTED_VALUE"""),"")</f>
        <v/>
      </c>
      <c r="D6364" s="17" t="str">
        <f>IFERROR(__xludf.DUMMYFUNCTION("""COMPUTED_VALUE"""),"")</f>
        <v/>
      </c>
      <c r="E6364" s="17" t="str">
        <f>IFERROR(__xludf.DUMMYFUNCTION("""COMPUTED_VALUE"""),"")</f>
        <v/>
      </c>
      <c r="F6364" s="17" t="str">
        <f>IFERROR(__xludf.DUMMYFUNCTION("""COMPUTED_VALUE"""),"")</f>
        <v/>
      </c>
      <c r="G6364" s="17" t="str">
        <f>IFERROR(__xludf.DUMMYFUNCTION("""COMPUTED_VALUE"""),"")</f>
        <v/>
      </c>
      <c r="H6364" s="17" t="str">
        <f>IFERROR(__xludf.DUMMYFUNCTION("""COMPUTED_VALUE"""),"")</f>
        <v/>
      </c>
      <c r="I6364" s="17" t="str">
        <f>IFERROR(__xludf.DUMMYFUNCTION("""COMPUTED_VALUE"""),"")</f>
        <v/>
      </c>
      <c r="J6364" s="17" t="str">
        <f>IFERROR(__xludf.DUMMYFUNCTION("""COMPUTED_VALUE"""),"")</f>
        <v/>
      </c>
      <c r="K6364" s="17" t="str">
        <f>IFERROR(__xludf.DUMMYFUNCTION("""COMPUTED_VALUE"""),"")</f>
        <v/>
      </c>
      <c r="L6364" s="17" t="str">
        <f>IFERROR(__xludf.DUMMYFUNCTION("""COMPUTED_VALUE"""),"")</f>
        <v/>
      </c>
      <c r="M6364" s="17" t="str">
        <f>IFERROR(__xludf.DUMMYFUNCTION("""COMPUTED_VALUE"""),"")</f>
        <v/>
      </c>
      <c r="N6364" s="17" t="str">
        <f>IFERROR(__xludf.DUMMYFUNCTION("""COMPUTED_VALUE"""),"")</f>
        <v/>
      </c>
      <c r="O6364" s="17" t="str">
        <f>IFERROR(__xludf.DUMMYFUNCTION("""COMPUTED_VALUE"""),"")</f>
        <v/>
      </c>
      <c r="P6364" s="17" t="str">
        <f>IFERROR(__xludf.DUMMYFUNCTION("""COMPUTED_VALUE"""),"")</f>
        <v/>
      </c>
      <c r="Q6364" s="17" t="str">
        <f>IFERROR(__xludf.DUMMYFUNCTION("""COMPUTED_VALUE"""),"")</f>
        <v/>
      </c>
      <c r="R6364" s="17" t="str">
        <f>IFERROR(__xludf.DUMMYFUNCTION("""COMPUTED_VALUE"""),"")</f>
        <v/>
      </c>
    </row>
    <row r="6365">
      <c r="A6365" s="15">
        <f>IFERROR(__xludf.DUMMYFUNCTION("""COMPUTED_VALUE"""),45182.0)</f>
        <v>45182</v>
      </c>
      <c r="B6365" s="17"/>
      <c r="C6365" s="15" t="str">
        <f>IFERROR(__xludf.DUMMYFUNCTION("""COMPUTED_VALUE"""),"BOGOTÁ")</f>
        <v>BOGOTÁ</v>
      </c>
      <c r="D6365" s="15" t="str">
        <f>IFERROR(__xludf.DUMMYFUNCTION("""COMPUTED_VALUE"""),"BUCARAMANGA")</f>
        <v>BUCARAMANGA</v>
      </c>
      <c r="E6365" s="15" t="str">
        <f>IFERROR(__xludf.DUMMYFUNCTION("""COMPUTED_VALUE"""),"Yo Como Solito")</f>
        <v>Yo Como Solito</v>
      </c>
      <c r="F6365" s="17" t="str">
        <f>IFERROR(__xludf.DUMMYFUNCTION("""COMPUTED_VALUE"""),"CALLE 146#12A -20 APTO 903 ALMERIA II  / CALLE 146#12A -20 APTO 903 ALMERIA II  / CALLE 146#12A -20 APTO 903 ALMERIA II")</f>
        <v>CALLE 146#12A -20 APTO 903 ALMERIA II  / CALLE 146#12A -20 APTO 903 ALMERIA II  / CALLE 146#12A -20 APTO 903 ALMERIA II</v>
      </c>
      <c r="G6365" s="15" t="str">
        <f>IFERROR(__xludf.DUMMYFUNCTION("""COMPUTED_VALUE"""),"ADRIANA GARCIA")</f>
        <v>ADRIANA GARCIA</v>
      </c>
      <c r="H6365" s="16">
        <f>IFERROR(__xludf.DUMMYFUNCTION("""COMPUTED_VALUE"""),15136.0)</f>
        <v>15136</v>
      </c>
      <c r="I6365" s="18">
        <f>IFERROR(__xludf.DUMMYFUNCTION("""COMPUTED_VALUE"""),27.0)</f>
        <v>27</v>
      </c>
      <c r="J6365" s="18">
        <f>IFERROR(__xludf.DUMMYFUNCTION("""COMPUTED_VALUE"""),22.0)</f>
        <v>22</v>
      </c>
      <c r="K6365" s="18">
        <f>IFERROR(__xludf.DUMMYFUNCTION("""COMPUTED_VALUE"""),26.0)</f>
        <v>26</v>
      </c>
      <c r="L6365" s="17">
        <f>IFERROR(__xludf.DUMMYFUNCTION("""COMPUTED_VALUE"""),3.125952101E9)</f>
        <v>3125952101</v>
      </c>
      <c r="M6365" s="17" t="str">
        <f>IFERROR(__xludf.DUMMYFUNCTION("""COMPUTED_VALUE"""),"#REF!")</f>
        <v>#REF!</v>
      </c>
      <c r="N6365" s="17"/>
      <c r="O6365" s="17"/>
      <c r="P6365" s="17" t="b">
        <f>IFERROR(__xludf.DUMMYFUNCTION("""COMPUTED_VALUE"""),TRUE)</f>
        <v>1</v>
      </c>
      <c r="Q6365" s="20">
        <f>IFERROR(__xludf.DUMMYFUNCTION("""COMPUTED_VALUE"""),45183.724772546295)</f>
        <v>45183.72477</v>
      </c>
      <c r="R6365" s="21" t="str">
        <f>IFERROR(__xludf.DUMMYFUNCTION("""COMPUTED_VALUE"""),"https://drive.google.com/file/d/1D4oFqj-f4o5H_n36dNdueTDZ7arCyKwc/view?usp=drivesdk")</f>
        <v>https://drive.google.com/file/d/1D4oFqj-f4o5H_n36dNdueTDZ7arCyKwc/view?usp=drivesdk</v>
      </c>
    </row>
    <row r="6366">
      <c r="A6366" s="15">
        <f>IFERROR(__xludf.DUMMYFUNCTION("""COMPUTED_VALUE"""),45182.0)</f>
        <v>45182</v>
      </c>
      <c r="B6366" s="17"/>
      <c r="C6366" s="15" t="str">
        <f>IFERROR(__xludf.DUMMYFUNCTION("""COMPUTED_VALUE"""),"CALI")</f>
        <v>CALI</v>
      </c>
      <c r="D6366" s="15" t="str">
        <f>IFERROR(__xludf.DUMMYFUNCTION("""COMPUTED_VALUE"""),"MEDELLÍN")</f>
        <v>MEDELLÍN</v>
      </c>
      <c r="E6366" s="15" t="str">
        <f>IFERROR(__xludf.DUMMYFUNCTION("""COMPUTED_VALUE"""),"Rambla")</f>
        <v>Rambla</v>
      </c>
      <c r="F6366" s="17" t="str">
        <f>IFERROR(__xludf.DUMMYFUNCTION("""COMPUTED_VALUE"""),"avenida 4 norte #7n-46 lc 129 centro comercial centenario  / - / -")</f>
        <v>avenida 4 norte #7n-46 lc 129 centro comercial centenario  / - / -</v>
      </c>
      <c r="G6366" s="15" t="str">
        <f>IFERROR(__xludf.DUMMYFUNCTION("""COMPUTED_VALUE"""),"Vita fitness")</f>
        <v>Vita fitness</v>
      </c>
      <c r="H6366" s="16">
        <f>IFERROR(__xludf.DUMMYFUNCTION("""COMPUTED_VALUE"""),15184.0)</f>
        <v>15184</v>
      </c>
      <c r="I6366" s="18">
        <f>IFERROR(__xludf.DUMMYFUNCTION("""COMPUTED_VALUE"""),30.0)</f>
        <v>30</v>
      </c>
      <c r="J6366" s="18">
        <f>IFERROR(__xludf.DUMMYFUNCTION("""COMPUTED_VALUE"""),39.0)</f>
        <v>39</v>
      </c>
      <c r="K6366" s="18">
        <f>IFERROR(__xludf.DUMMYFUNCTION("""COMPUTED_VALUE"""),40.0)</f>
        <v>40</v>
      </c>
      <c r="L6366" s="17">
        <f>IFERROR(__xludf.DUMMYFUNCTION("""COMPUTED_VALUE"""),3.226925759E9)</f>
        <v>3226925759</v>
      </c>
      <c r="M6366" s="17" t="str">
        <f>IFERROR(__xludf.DUMMYFUNCTION("""COMPUTED_VALUE"""),"#REF!")</f>
        <v>#REF!</v>
      </c>
      <c r="N6366" s="17"/>
      <c r="O6366" s="17"/>
      <c r="P6366" s="17" t="b">
        <f>IFERROR(__xludf.DUMMYFUNCTION("""COMPUTED_VALUE"""),FALSE)</f>
        <v>0</v>
      </c>
      <c r="Q6366" s="20" t="str">
        <f>IFERROR(__xludf.DUMMYFUNCTION("""COMPUTED_VALUE"""),"")</f>
        <v/>
      </c>
      <c r="R6366" s="22" t="str">
        <f>IFERROR(__xludf.DUMMYFUNCTION("""COMPUTED_VALUE"""),"")</f>
        <v/>
      </c>
    </row>
    <row r="6367">
      <c r="A6367" s="17" t="str">
        <f>IFERROR(__xludf.DUMMYFUNCTION("""COMPUTED_VALUE"""),"")</f>
        <v/>
      </c>
      <c r="B6367" s="17" t="str">
        <f>IFERROR(__xludf.DUMMYFUNCTION("""COMPUTED_VALUE"""),"")</f>
        <v/>
      </c>
      <c r="C6367" s="17" t="str">
        <f>IFERROR(__xludf.DUMMYFUNCTION("""COMPUTED_VALUE"""),"")</f>
        <v/>
      </c>
      <c r="D6367" s="17" t="str">
        <f>IFERROR(__xludf.DUMMYFUNCTION("""COMPUTED_VALUE"""),"")</f>
        <v/>
      </c>
      <c r="E6367" s="17" t="str">
        <f>IFERROR(__xludf.DUMMYFUNCTION("""COMPUTED_VALUE"""),"")</f>
        <v/>
      </c>
      <c r="F6367" s="17" t="str">
        <f>IFERROR(__xludf.DUMMYFUNCTION("""COMPUTED_VALUE"""),"")</f>
        <v/>
      </c>
      <c r="G6367" s="17" t="str">
        <f>IFERROR(__xludf.DUMMYFUNCTION("""COMPUTED_VALUE"""),"")</f>
        <v/>
      </c>
      <c r="H6367" s="17" t="str">
        <f>IFERROR(__xludf.DUMMYFUNCTION("""COMPUTED_VALUE"""),"")</f>
        <v/>
      </c>
      <c r="I6367" s="17" t="str">
        <f>IFERROR(__xludf.DUMMYFUNCTION("""COMPUTED_VALUE"""),"")</f>
        <v/>
      </c>
      <c r="J6367" s="17" t="str">
        <f>IFERROR(__xludf.DUMMYFUNCTION("""COMPUTED_VALUE"""),"")</f>
        <v/>
      </c>
      <c r="K6367" s="17" t="str">
        <f>IFERROR(__xludf.DUMMYFUNCTION("""COMPUTED_VALUE"""),"")</f>
        <v/>
      </c>
      <c r="L6367" s="17" t="str">
        <f>IFERROR(__xludf.DUMMYFUNCTION("""COMPUTED_VALUE"""),"")</f>
        <v/>
      </c>
      <c r="M6367" s="17" t="str">
        <f>IFERROR(__xludf.DUMMYFUNCTION("""COMPUTED_VALUE"""),"")</f>
        <v/>
      </c>
      <c r="N6367" s="17" t="str">
        <f>IFERROR(__xludf.DUMMYFUNCTION("""COMPUTED_VALUE"""),"")</f>
        <v/>
      </c>
      <c r="O6367" s="17" t="str">
        <f>IFERROR(__xludf.DUMMYFUNCTION("""COMPUTED_VALUE"""),"")</f>
        <v/>
      </c>
      <c r="P6367" s="17" t="str">
        <f>IFERROR(__xludf.DUMMYFUNCTION("""COMPUTED_VALUE"""),"")</f>
        <v/>
      </c>
      <c r="Q6367" s="17" t="str">
        <f>IFERROR(__xludf.DUMMYFUNCTION("""COMPUTED_VALUE"""),"")</f>
        <v/>
      </c>
      <c r="R6367" s="17" t="str">
        <f>IFERROR(__xludf.DUMMYFUNCTION("""COMPUTED_VALUE"""),"")</f>
        <v/>
      </c>
    </row>
    <row r="6368">
      <c r="A6368" s="15">
        <f>IFERROR(__xludf.DUMMYFUNCTION("""COMPUTED_VALUE"""),45182.0)</f>
        <v>45182</v>
      </c>
      <c r="B6368" s="16" t="str">
        <f>IFERROR(__xludf.DUMMYFUNCTION("""COMPUTED_VALUE"""),"Anuar suarez jimenez ")</f>
        <v>Anuar suarez jimenez </v>
      </c>
      <c r="C6368" s="15" t="str">
        <f>IFERROR(__xludf.DUMMYFUNCTION("""COMPUTED_VALUE"""),"BARRANQUILLA")</f>
        <v>BARRANQUILLA</v>
      </c>
      <c r="D6368" s="15" t="str">
        <f>IFERROR(__xludf.DUMMYFUNCTION("""COMPUTED_VALUE"""),"BOGOTÁ")</f>
        <v>BOGOTÁ</v>
      </c>
      <c r="E6368" s="15" t="str">
        <f>IFERROR(__xludf.DUMMYFUNCTION("""COMPUTED_VALUE"""),"Mochi")</f>
        <v>Mochi</v>
      </c>
      <c r="F6368" s="17" t="str">
        <f>IFERROR(__xludf.DUMMYFUNCTION("""COMPUTED_VALUE"""),"Cra 51b # 87-50 / Centro comercial Barranquilla  / Rio mar")</f>
        <v>Cra 51b # 87-50 / Centro comercial Barranquilla  / Rio mar</v>
      </c>
      <c r="G6368" s="15" t="str">
        <f>IFERROR(__xludf.DUMMYFUNCTION("""COMPUTED_VALUE"""),"María Camila Giraldo")</f>
        <v>María Camila Giraldo</v>
      </c>
      <c r="H6368" s="16">
        <f>IFERROR(__xludf.DUMMYFUNCTION("""COMPUTED_VALUE"""),15176.0)</f>
        <v>15176</v>
      </c>
      <c r="I6368" s="18">
        <f>IFERROR(__xludf.DUMMYFUNCTION("""COMPUTED_VALUE"""),55.0)</f>
        <v>55</v>
      </c>
      <c r="J6368" s="18">
        <f>IFERROR(__xludf.DUMMYFUNCTION("""COMPUTED_VALUE"""),45.0)</f>
        <v>45</v>
      </c>
      <c r="K6368" s="18">
        <f>IFERROR(__xludf.DUMMYFUNCTION("""COMPUTED_VALUE"""),55.0)</f>
        <v>55</v>
      </c>
      <c r="L6368" s="17">
        <f>IFERROR(__xludf.DUMMYFUNCTION("""COMPUTED_VALUE"""),3.116026252E9)</f>
        <v>3116026252</v>
      </c>
      <c r="M6368" s="17" t="str">
        <f>IFERROR(__xludf.DUMMYFUNCTION("""COMPUTED_VALUE"""),"#REF!")</f>
        <v>#REF!</v>
      </c>
      <c r="N6368" s="17"/>
      <c r="O6368" s="17"/>
      <c r="P6368" s="17" t="b">
        <f>IFERROR(__xludf.DUMMYFUNCTION("""COMPUTED_VALUE"""),FALSE)</f>
        <v>0</v>
      </c>
      <c r="Q6368" s="20" t="str">
        <f>IFERROR(__xludf.DUMMYFUNCTION("""COMPUTED_VALUE"""),"")</f>
        <v/>
      </c>
      <c r="R6368" s="22" t="str">
        <f>IFERROR(__xludf.DUMMYFUNCTION("""COMPUTED_VALUE"""),"")</f>
        <v/>
      </c>
    </row>
    <row r="6369">
      <c r="A6369" s="15">
        <f>IFERROR(__xludf.DUMMYFUNCTION("""COMPUTED_VALUE"""),45182.0)</f>
        <v>45182</v>
      </c>
      <c r="B6369" s="16" t="str">
        <f>IFERROR(__xludf.DUMMYFUNCTION("""COMPUTED_VALUE"""),"Anuar suarez jimenez ")</f>
        <v>Anuar suarez jimenez </v>
      </c>
      <c r="C6369" s="15" t="str">
        <f>IFERROR(__xludf.DUMMYFUNCTION("""COMPUTED_VALUE"""),"CARTAGENA")</f>
        <v>CARTAGENA</v>
      </c>
      <c r="D6369" s="15" t="str">
        <f>IFERROR(__xludf.DUMMYFUNCTION("""COMPUTED_VALUE"""),"BOGOTÁ")</f>
        <v>BOGOTÁ</v>
      </c>
      <c r="E6369" s="15" t="str">
        <f>IFERROR(__xludf.DUMMYFUNCTION("""COMPUTED_VALUE"""),"Mochi")</f>
        <v>Mochi</v>
      </c>
      <c r="F6369" s="17" t="str">
        <f>IFERROR(__xludf.DUMMYFUNCTION("""COMPUTED_VALUE"""),"Cra 11# 39-21 / Centro comercial serrensuela / San Diego")</f>
        <v>Cra 11# 39-21 / Centro comercial serrensuela / San Diego</v>
      </c>
      <c r="G6369" s="15" t="str">
        <f>IFERROR(__xludf.DUMMYFUNCTION("""COMPUTED_VALUE"""),"Cartagena")</f>
        <v>Cartagena</v>
      </c>
      <c r="H6369" s="16">
        <f>IFERROR(__xludf.DUMMYFUNCTION("""COMPUTED_VALUE"""),15175.0)</f>
        <v>15175</v>
      </c>
      <c r="I6369" s="18">
        <f>IFERROR(__xludf.DUMMYFUNCTION("""COMPUTED_VALUE"""),55.0)</f>
        <v>55</v>
      </c>
      <c r="J6369" s="18">
        <f>IFERROR(__xludf.DUMMYFUNCTION("""COMPUTED_VALUE"""),45.0)</f>
        <v>45</v>
      </c>
      <c r="K6369" s="18" t="str">
        <f>IFERROR(__xludf.DUMMYFUNCTION("""COMPUTED_VALUE"""),"52.5")</f>
        <v>52.5</v>
      </c>
      <c r="L6369" s="17">
        <f>IFERROR(__xludf.DUMMYFUNCTION("""COMPUTED_VALUE"""),3.116026252E9)</f>
        <v>3116026252</v>
      </c>
      <c r="M6369" s="17" t="str">
        <f>IFERROR(__xludf.DUMMYFUNCTION("""COMPUTED_VALUE"""),"#REF!")</f>
        <v>#REF!</v>
      </c>
      <c r="N6369" s="17"/>
      <c r="O6369" s="17"/>
      <c r="P6369" s="17" t="b">
        <f>IFERROR(__xludf.DUMMYFUNCTION("""COMPUTED_VALUE"""),FALSE)</f>
        <v>0</v>
      </c>
      <c r="Q6369" s="20" t="str">
        <f>IFERROR(__xludf.DUMMYFUNCTION("""COMPUTED_VALUE"""),"")</f>
        <v/>
      </c>
      <c r="R6369" s="22" t="str">
        <f>IFERROR(__xludf.DUMMYFUNCTION("""COMPUTED_VALUE"""),"")</f>
        <v/>
      </c>
    </row>
    <row r="6370">
      <c r="A6370" s="15">
        <f>IFERROR(__xludf.DUMMYFUNCTION("""COMPUTED_VALUE"""),45182.0)</f>
        <v>45182</v>
      </c>
      <c r="B6370" s="16" t="str">
        <f>IFERROR(__xludf.DUMMYFUNCTION("""COMPUTED_VALUE"""),"Anuar suarez jimenez ")</f>
        <v>Anuar suarez jimenez </v>
      </c>
      <c r="C6370" s="15" t="str">
        <f>IFERROR(__xludf.DUMMYFUNCTION("""COMPUTED_VALUE"""),"MONTERIA")</f>
        <v>MONTERIA</v>
      </c>
      <c r="D6370" s="15" t="str">
        <f>IFERROR(__xludf.DUMMYFUNCTION("""COMPUTED_VALUE"""),"BOGOTÁ")</f>
        <v>BOGOTÁ</v>
      </c>
      <c r="E6370" s="15" t="str">
        <f>IFERROR(__xludf.DUMMYFUNCTION("""COMPUTED_VALUE"""),"Asociacion Agropecuaria Juana Maria")</f>
        <v>Asociacion Agropecuaria Juana Maria</v>
      </c>
      <c r="F6370" s="17" t="str">
        <f>IFERROR(__xludf.DUMMYFUNCTION("""COMPUTED_VALUE"""),"Cra 14A #54-23 Barrio Monte Verde")</f>
        <v>Cra 14A #54-23 Barrio Monte Verde</v>
      </c>
      <c r="G6370" s="15" t="str">
        <f>IFERROR(__xludf.DUMMYFUNCTION("""COMPUTED_VALUE"""),"Emilia Miranda")</f>
        <v>Emilia Miranda</v>
      </c>
      <c r="H6370" s="16">
        <f>IFERROR(__xludf.DUMMYFUNCTION("""COMPUTED_VALUE"""),15014.0)</f>
        <v>15014</v>
      </c>
      <c r="I6370" s="18">
        <f>IFERROR(__xludf.DUMMYFUNCTION("""COMPUTED_VALUE"""),12.0)</f>
        <v>12</v>
      </c>
      <c r="J6370" s="18">
        <f>IFERROR(__xludf.DUMMYFUNCTION("""COMPUTED_VALUE"""),37.0)</f>
        <v>37</v>
      </c>
      <c r="K6370" s="18">
        <f>IFERROR(__xludf.DUMMYFUNCTION("""COMPUTED_VALUE"""),24.0)</f>
        <v>24</v>
      </c>
      <c r="L6370" s="17">
        <f>IFERROR(__xludf.DUMMYFUNCTION("""COMPUTED_VALUE"""),3.113438505E9)</f>
        <v>3113438505</v>
      </c>
      <c r="M6370" s="17" t="str">
        <f>IFERROR(__xludf.DUMMYFUNCTION("""COMPUTED_VALUE"""),"#REF!")</f>
        <v>#REF!</v>
      </c>
      <c r="N6370" s="17"/>
      <c r="O6370" s="17"/>
      <c r="P6370" s="17" t="b">
        <f>IFERROR(__xludf.DUMMYFUNCTION("""COMPUTED_VALUE"""),FALSE)</f>
        <v>0</v>
      </c>
      <c r="Q6370" s="20" t="str">
        <f>IFERROR(__xludf.DUMMYFUNCTION("""COMPUTED_VALUE"""),"")</f>
        <v/>
      </c>
      <c r="R6370" s="21" t="str">
        <f>IFERROR(__xludf.DUMMYFUNCTION("""COMPUTED_VALUE"""),"https://drive.google.com/file/d/1EML0VzoCsboEfV00dNlhxvRfRQ4_Gbpm/view?usp=drivesdk")</f>
        <v>https://drive.google.com/file/d/1EML0VzoCsboEfV00dNlhxvRfRQ4_Gbpm/view?usp=drivesdk</v>
      </c>
    </row>
    <row r="6371">
      <c r="A6371" s="15">
        <f>IFERROR(__xludf.DUMMYFUNCTION("""COMPUTED_VALUE"""),45182.0)</f>
        <v>45182</v>
      </c>
      <c r="B6371" s="16" t="str">
        <f>IFERROR(__xludf.DUMMYFUNCTION("""COMPUTED_VALUE"""),"Anuar suarez jimenez ")</f>
        <v>Anuar suarez jimenez </v>
      </c>
      <c r="C6371" s="15" t="str">
        <f>IFERROR(__xludf.DUMMYFUNCTION("""COMPUTED_VALUE"""),"MONTERIA")</f>
        <v>MONTERIA</v>
      </c>
      <c r="D6371" s="15" t="str">
        <f>IFERROR(__xludf.DUMMYFUNCTION("""COMPUTED_VALUE"""),"BOGOTÁ")</f>
        <v>BOGOTÁ</v>
      </c>
      <c r="E6371" s="15" t="str">
        <f>IFERROR(__xludf.DUMMYFUNCTION("""COMPUTED_VALUE"""),"Evamazzita")</f>
        <v>Evamazzita</v>
      </c>
      <c r="F6371" s="17" t="str">
        <f>IFERROR(__xludf.DUMMYFUNCTION("""COMPUTED_VALUE"""),"CRA 14A No. 54 . 23 / BARRIO MONTEVERDE")</f>
        <v>CRA 14A No. 54 . 23 / BARRIO MONTEVERDE</v>
      </c>
      <c r="G6371" s="15" t="str">
        <f>IFERROR(__xludf.DUMMYFUNCTION("""COMPUTED_VALUE"""),"EMILIA MIRANDA")</f>
        <v>EMILIA MIRANDA</v>
      </c>
      <c r="H6371" s="16">
        <f>IFERROR(__xludf.DUMMYFUNCTION("""COMPUTED_VALUE"""),15096.0)</f>
        <v>15096</v>
      </c>
      <c r="I6371" s="18">
        <f>IFERROR(__xludf.DUMMYFUNCTION("""COMPUTED_VALUE"""),1.0)</f>
        <v>1</v>
      </c>
      <c r="J6371" s="18">
        <f>IFERROR(__xludf.DUMMYFUNCTION("""COMPUTED_VALUE"""),1.0)</f>
        <v>1</v>
      </c>
      <c r="K6371" s="18">
        <f>IFERROR(__xludf.DUMMYFUNCTION("""COMPUTED_VALUE"""),1.0)</f>
        <v>1</v>
      </c>
      <c r="L6371" s="17">
        <f>IFERROR(__xludf.DUMMYFUNCTION("""COMPUTED_VALUE"""),3.113438505E9)</f>
        <v>3113438505</v>
      </c>
      <c r="M6371" s="17" t="str">
        <f>IFERROR(__xludf.DUMMYFUNCTION("""COMPUTED_VALUE"""),"#REF!")</f>
        <v>#REF!</v>
      </c>
      <c r="N6371" s="17"/>
      <c r="O6371" s="17"/>
      <c r="P6371" s="17" t="b">
        <f>IFERROR(__xludf.DUMMYFUNCTION("""COMPUTED_VALUE"""),FALSE)</f>
        <v>0</v>
      </c>
      <c r="Q6371" s="20" t="str">
        <f>IFERROR(__xludf.DUMMYFUNCTION("""COMPUTED_VALUE"""),"")</f>
        <v/>
      </c>
      <c r="R6371" s="21" t="str">
        <f>IFERROR(__xludf.DUMMYFUNCTION("""COMPUTED_VALUE"""),"https://drive.google.com/file/d/1hYB33eKUSyiwcN4ZWowDM3QTWc9NyTjZ/view?usp=drivesdk")</f>
        <v>https://drive.google.com/file/d/1hYB33eKUSyiwcN4ZWowDM3QTWc9NyTjZ/view?usp=drivesdk</v>
      </c>
    </row>
    <row r="6372">
      <c r="A6372" s="17" t="str">
        <f>IFERROR(__xludf.DUMMYFUNCTION("""COMPUTED_VALUE"""),"")</f>
        <v/>
      </c>
      <c r="B6372" s="17" t="str">
        <f>IFERROR(__xludf.DUMMYFUNCTION("""COMPUTED_VALUE"""),"")</f>
        <v/>
      </c>
      <c r="C6372" s="17" t="str">
        <f>IFERROR(__xludf.DUMMYFUNCTION("""COMPUTED_VALUE"""),"")</f>
        <v/>
      </c>
      <c r="D6372" s="17" t="str">
        <f>IFERROR(__xludf.DUMMYFUNCTION("""COMPUTED_VALUE"""),"")</f>
        <v/>
      </c>
      <c r="E6372" s="17" t="str">
        <f>IFERROR(__xludf.DUMMYFUNCTION("""COMPUTED_VALUE"""),"")</f>
        <v/>
      </c>
      <c r="F6372" s="17" t="str">
        <f>IFERROR(__xludf.DUMMYFUNCTION("""COMPUTED_VALUE"""),"")</f>
        <v/>
      </c>
      <c r="G6372" s="17" t="str">
        <f>IFERROR(__xludf.DUMMYFUNCTION("""COMPUTED_VALUE"""),"")</f>
        <v/>
      </c>
      <c r="H6372" s="17" t="str">
        <f>IFERROR(__xludf.DUMMYFUNCTION("""COMPUTED_VALUE"""),"")</f>
        <v/>
      </c>
      <c r="I6372" s="17" t="str">
        <f>IFERROR(__xludf.DUMMYFUNCTION("""COMPUTED_VALUE"""),"")</f>
        <v/>
      </c>
      <c r="J6372" s="17" t="str">
        <f>IFERROR(__xludf.DUMMYFUNCTION("""COMPUTED_VALUE"""),"")</f>
        <v/>
      </c>
      <c r="K6372" s="17" t="str">
        <f>IFERROR(__xludf.DUMMYFUNCTION("""COMPUTED_VALUE"""),"")</f>
        <v/>
      </c>
      <c r="L6372" s="17" t="str">
        <f>IFERROR(__xludf.DUMMYFUNCTION("""COMPUTED_VALUE"""),"")</f>
        <v/>
      </c>
      <c r="M6372" s="17" t="str">
        <f>IFERROR(__xludf.DUMMYFUNCTION("""COMPUTED_VALUE"""),"")</f>
        <v/>
      </c>
      <c r="N6372" s="17" t="str">
        <f>IFERROR(__xludf.DUMMYFUNCTION("""COMPUTED_VALUE"""),"")</f>
        <v/>
      </c>
      <c r="O6372" s="17" t="str">
        <f>IFERROR(__xludf.DUMMYFUNCTION("""COMPUTED_VALUE"""),"")</f>
        <v/>
      </c>
      <c r="P6372" s="17" t="str">
        <f>IFERROR(__xludf.DUMMYFUNCTION("""COMPUTED_VALUE"""),"")</f>
        <v/>
      </c>
      <c r="Q6372" s="17" t="str">
        <f>IFERROR(__xludf.DUMMYFUNCTION("""COMPUTED_VALUE"""),"")</f>
        <v/>
      </c>
      <c r="R6372" s="17" t="str">
        <f>IFERROR(__xludf.DUMMYFUNCTION("""COMPUTED_VALUE"""),"")</f>
        <v/>
      </c>
    </row>
    <row r="6373">
      <c r="A6373" s="15">
        <f>IFERROR(__xludf.DUMMYFUNCTION("""COMPUTED_VALUE"""),45182.0)</f>
        <v>45182</v>
      </c>
      <c r="B6373" s="16" t="str">
        <f>IFERROR(__xludf.DUMMYFUNCTION("""COMPUTED_VALUE"""),"Daniel José sandoval gonzalez")</f>
        <v>Daniel José sandoval gonzalez</v>
      </c>
      <c r="C6373" s="15" t="str">
        <f>IFERROR(__xludf.DUMMYFUNCTION("""COMPUTED_VALUE"""),"PALMIRA")</f>
        <v>PALMIRA</v>
      </c>
      <c r="D6373" s="15" t="str">
        <f>IFERROR(__xludf.DUMMYFUNCTION("""COMPUTED_VALUE"""),"MEDELLÍN")</f>
        <v>MEDELLÍN</v>
      </c>
      <c r="E6373" s="15" t="str">
        <f>IFERROR(__xludf.DUMMYFUNCTION("""COMPUTED_VALUE"""),"Rambla")</f>
        <v>Rambla</v>
      </c>
      <c r="F6373" s="17" t="str">
        <f>IFERROR(__xludf.DUMMYFUNCTION("""COMPUTED_VALUE"""),"carrera  28 n 35-13 / - / -")</f>
        <v>carrera  28 n 35-13 / - / -</v>
      </c>
      <c r="G6373" s="15" t="str">
        <f>IFERROR(__xludf.DUMMYFUNCTION("""COMPUTED_VALUE"""),"Ñomy")</f>
        <v>Ñomy</v>
      </c>
      <c r="H6373" s="16">
        <f>IFERROR(__xludf.DUMMYFUNCTION("""COMPUTED_VALUE"""),15181.0)</f>
        <v>15181</v>
      </c>
      <c r="I6373" s="18">
        <f>IFERROR(__xludf.DUMMYFUNCTION("""COMPUTED_VALUE"""),24.0)</f>
        <v>24</v>
      </c>
      <c r="J6373" s="18">
        <f>IFERROR(__xludf.DUMMYFUNCTION("""COMPUTED_VALUE"""),24.0)</f>
        <v>24</v>
      </c>
      <c r="K6373" s="18">
        <f>IFERROR(__xludf.DUMMYFUNCTION("""COMPUTED_VALUE"""),24.0)</f>
        <v>24</v>
      </c>
      <c r="L6373" s="17">
        <f>IFERROR(__xludf.DUMMYFUNCTION("""COMPUTED_VALUE"""),3.18401991E9)</f>
        <v>3184019910</v>
      </c>
      <c r="M6373" s="17" t="str">
        <f>IFERROR(__xludf.DUMMYFUNCTION("""COMPUTED_VALUE"""),"#REF!")</f>
        <v>#REF!</v>
      </c>
      <c r="N6373" s="17"/>
      <c r="O6373" s="17"/>
      <c r="P6373" s="17" t="b">
        <f>IFERROR(__xludf.DUMMYFUNCTION("""COMPUTED_VALUE"""),FALSE)</f>
        <v>0</v>
      </c>
      <c r="Q6373" s="20" t="str">
        <f>IFERROR(__xludf.DUMMYFUNCTION("""COMPUTED_VALUE"""),"")</f>
        <v/>
      </c>
      <c r="R6373" s="22" t="str">
        <f>IFERROR(__xludf.DUMMYFUNCTION("""COMPUTED_VALUE"""),"")</f>
        <v/>
      </c>
    </row>
    <row r="6374">
      <c r="A6374" s="17" t="str">
        <f>IFERROR(__xludf.DUMMYFUNCTION("""COMPUTED_VALUE"""),"")</f>
        <v/>
      </c>
      <c r="B6374" s="17" t="str">
        <f>IFERROR(__xludf.DUMMYFUNCTION("""COMPUTED_VALUE"""),"")</f>
        <v/>
      </c>
      <c r="C6374" s="17" t="str">
        <f>IFERROR(__xludf.DUMMYFUNCTION("""COMPUTED_VALUE"""),"")</f>
        <v/>
      </c>
      <c r="D6374" s="17" t="str">
        <f>IFERROR(__xludf.DUMMYFUNCTION("""COMPUTED_VALUE"""),"")</f>
        <v/>
      </c>
      <c r="E6374" s="17" t="str">
        <f>IFERROR(__xludf.DUMMYFUNCTION("""COMPUTED_VALUE"""),"")</f>
        <v/>
      </c>
      <c r="F6374" s="17" t="str">
        <f>IFERROR(__xludf.DUMMYFUNCTION("""COMPUTED_VALUE"""),"")</f>
        <v/>
      </c>
      <c r="G6374" s="17" t="str">
        <f>IFERROR(__xludf.DUMMYFUNCTION("""COMPUTED_VALUE"""),"")</f>
        <v/>
      </c>
      <c r="H6374" s="17" t="str">
        <f>IFERROR(__xludf.DUMMYFUNCTION("""COMPUTED_VALUE"""),"")</f>
        <v/>
      </c>
      <c r="I6374" s="17" t="str">
        <f>IFERROR(__xludf.DUMMYFUNCTION("""COMPUTED_VALUE"""),"")</f>
        <v/>
      </c>
      <c r="J6374" s="17" t="str">
        <f>IFERROR(__xludf.DUMMYFUNCTION("""COMPUTED_VALUE"""),"")</f>
        <v/>
      </c>
      <c r="K6374" s="17" t="str">
        <f>IFERROR(__xludf.DUMMYFUNCTION("""COMPUTED_VALUE"""),"")</f>
        <v/>
      </c>
      <c r="L6374" s="17" t="str">
        <f>IFERROR(__xludf.DUMMYFUNCTION("""COMPUTED_VALUE"""),"")</f>
        <v/>
      </c>
      <c r="M6374" s="17" t="str">
        <f>IFERROR(__xludf.DUMMYFUNCTION("""COMPUTED_VALUE"""),"")</f>
        <v/>
      </c>
      <c r="N6374" s="17" t="str">
        <f>IFERROR(__xludf.DUMMYFUNCTION("""COMPUTED_VALUE"""),"")</f>
        <v/>
      </c>
      <c r="O6374" s="17" t="str">
        <f>IFERROR(__xludf.DUMMYFUNCTION("""COMPUTED_VALUE"""),"")</f>
        <v/>
      </c>
      <c r="P6374" s="17" t="str">
        <f>IFERROR(__xludf.DUMMYFUNCTION("""COMPUTED_VALUE"""),"")</f>
        <v/>
      </c>
      <c r="Q6374" s="17" t="str">
        <f>IFERROR(__xludf.DUMMYFUNCTION("""COMPUTED_VALUE"""),"")</f>
        <v/>
      </c>
      <c r="R6374" s="17" t="str">
        <f>IFERROR(__xludf.DUMMYFUNCTION("""COMPUTED_VALUE"""),"")</f>
        <v/>
      </c>
    </row>
    <row r="6375">
      <c r="A6375" s="15">
        <f>IFERROR(__xludf.DUMMYFUNCTION("""COMPUTED_VALUE"""),45182.0)</f>
        <v>45182</v>
      </c>
      <c r="B6375" s="16" t="str">
        <f>IFERROR(__xludf.DUMMYFUNCTION("""COMPUTED_VALUE"""),"Envia")</f>
        <v>Envia</v>
      </c>
      <c r="C6375" s="15" t="str">
        <f>IFERROR(__xludf.DUMMYFUNCTION("""COMPUTED_VALUE"""),"BOGOTÁ")</f>
        <v>BOGOTÁ</v>
      </c>
      <c r="D6375" s="15" t="str">
        <f>IFERROR(__xludf.DUMMYFUNCTION("""COMPUTED_VALUE"""),"MEDELLÍN")</f>
        <v>MEDELLÍN</v>
      </c>
      <c r="E6375" s="15" t="str">
        <f>IFERROR(__xludf.DUMMYFUNCTION("""COMPUTED_VALUE"""),"Carnicos Fricar")</f>
        <v>Carnicos Fricar</v>
      </c>
      <c r="F6375" s="17" t="str">
        <f>IFERROR(__xludf.DUMMYFUNCTION("""COMPUTED_VALUE"""),"CALLE 9 A SUR #68 C 42 / BARRIO / BARRIO")</f>
        <v>CALLE 9 A SUR #68 C 42 / BARRIO / BARRIO</v>
      </c>
      <c r="G6375" s="15" t="str">
        <f>IFERROR(__xludf.DUMMYFUNCTION("""COMPUTED_VALUE"""),"VIVIAN STHEPANIE TORRES")</f>
        <v>VIVIAN STHEPANIE TORRES</v>
      </c>
      <c r="H6375" s="16">
        <f>IFERROR(__xludf.DUMMYFUNCTION("""COMPUTED_VALUE"""),15151.0)</f>
        <v>15151</v>
      </c>
      <c r="I6375" s="18">
        <f>IFERROR(__xludf.DUMMYFUNCTION("""COMPUTED_VALUE"""),15.0)</f>
        <v>15</v>
      </c>
      <c r="J6375" s="18">
        <f>IFERROR(__xludf.DUMMYFUNCTION("""COMPUTED_VALUE"""),25.0)</f>
        <v>25</v>
      </c>
      <c r="K6375" s="18">
        <f>IFERROR(__xludf.DUMMYFUNCTION("""COMPUTED_VALUE"""),30.0)</f>
        <v>30</v>
      </c>
      <c r="L6375" s="17">
        <f>IFERROR(__xludf.DUMMYFUNCTION("""COMPUTED_VALUE"""),3.20857461E9)</f>
        <v>3208574610</v>
      </c>
      <c r="M6375" s="17" t="str">
        <f>IFERROR(__xludf.DUMMYFUNCTION("""COMPUTED_VALUE"""),"#REF!")</f>
        <v>#REF!</v>
      </c>
      <c r="N6375" s="17"/>
      <c r="O6375" s="17"/>
      <c r="P6375" s="17" t="b">
        <f>IFERROR(__xludf.DUMMYFUNCTION("""COMPUTED_VALUE"""),FALSE)</f>
        <v>0</v>
      </c>
      <c r="Q6375" s="20" t="str">
        <f>IFERROR(__xludf.DUMMYFUNCTION("""COMPUTED_VALUE"""),"")</f>
        <v/>
      </c>
      <c r="R6375" s="21" t="str">
        <f>IFERROR(__xludf.DUMMYFUNCTION("""COMPUTED_VALUE"""),"https://drive.google.com/file/d/1zOwxQeXn9wof-sBEii1nrA0JpIAgYGXN/view?usp=drivesdk")</f>
        <v>https://drive.google.com/file/d/1zOwxQeXn9wof-sBEii1nrA0JpIAgYGXN/view?usp=drivesdk</v>
      </c>
    </row>
    <row r="6376">
      <c r="A6376" s="15">
        <f>IFERROR(__xludf.DUMMYFUNCTION("""COMPUTED_VALUE"""),45182.0)</f>
        <v>45182</v>
      </c>
      <c r="B6376" s="16" t="str">
        <f>IFERROR(__xludf.DUMMYFUNCTION("""COMPUTED_VALUE"""),"Envia")</f>
        <v>Envia</v>
      </c>
      <c r="C6376" s="15" t="str">
        <f>IFERROR(__xludf.DUMMYFUNCTION("""COMPUTED_VALUE"""),"BOGOTÁ")</f>
        <v>BOGOTÁ</v>
      </c>
      <c r="D6376" s="15" t="str">
        <f>IFERROR(__xludf.DUMMYFUNCTION("""COMPUTED_VALUE"""),"MEDELLÍN")</f>
        <v>MEDELLÍN</v>
      </c>
      <c r="E6376" s="15" t="str">
        <f>IFERROR(__xludf.DUMMYFUNCTION("""COMPUTED_VALUE"""),"Felicidad Bakery Bogotá")</f>
        <v>Felicidad Bakery Bogotá</v>
      </c>
      <c r="F6376" s="17" t="str">
        <f>IFERROR(__xludf.DUMMYFUNCTION("""COMPUTED_VALUE"""),"Calle 92 #15-62 / Ed centro chico / Local 103")</f>
        <v>Calle 92 #15-62 / Ed centro chico / Local 103</v>
      </c>
      <c r="G6376" s="15" t="str">
        <f>IFERROR(__xludf.DUMMYFUNCTION("""COMPUTED_VALUE"""),"Camilo hernandez")</f>
        <v>Camilo hernandez</v>
      </c>
      <c r="H6376" s="16">
        <f>IFERROR(__xludf.DUMMYFUNCTION("""COMPUTED_VALUE"""),15198.0)</f>
        <v>15198</v>
      </c>
      <c r="I6376" s="18">
        <f>IFERROR(__xludf.DUMMYFUNCTION("""COMPUTED_VALUE"""),1.0)</f>
        <v>1</v>
      </c>
      <c r="J6376" s="18">
        <f>IFERROR(__xludf.DUMMYFUNCTION("""COMPUTED_VALUE"""),1.0)</f>
        <v>1</v>
      </c>
      <c r="K6376" s="18">
        <f>IFERROR(__xludf.DUMMYFUNCTION("""COMPUTED_VALUE"""),1.0)</f>
        <v>1</v>
      </c>
      <c r="L6376" s="17">
        <f>IFERROR(__xludf.DUMMYFUNCTION("""COMPUTED_VALUE"""),3.013527163E9)</f>
        <v>3013527163</v>
      </c>
      <c r="M6376" s="17" t="str">
        <f>IFERROR(__xludf.DUMMYFUNCTION("""COMPUTED_VALUE"""),"#REF!")</f>
        <v>#REF!</v>
      </c>
      <c r="N6376" s="17"/>
      <c r="O6376" s="17"/>
      <c r="P6376" s="17" t="b">
        <f>IFERROR(__xludf.DUMMYFUNCTION("""COMPUTED_VALUE"""),FALSE)</f>
        <v>0</v>
      </c>
      <c r="Q6376" s="20" t="str">
        <f>IFERROR(__xludf.DUMMYFUNCTION("""COMPUTED_VALUE"""),"")</f>
        <v/>
      </c>
      <c r="R6376" s="21" t="str">
        <f>IFERROR(__xludf.DUMMYFUNCTION("""COMPUTED_VALUE"""),"https://drive.google.com/file/d/1tXxu_UaNVIeUQX_HBOADYyqYvg5bKoVL/view?usp=drivesdk")</f>
        <v>https://drive.google.com/file/d/1tXxu_UaNVIeUQX_HBOADYyqYvg5bKoVL/view?usp=drivesdk</v>
      </c>
    </row>
    <row r="6377">
      <c r="A6377" s="15">
        <f>IFERROR(__xludf.DUMMYFUNCTION("""COMPUTED_VALUE"""),45182.0)</f>
        <v>45182</v>
      </c>
      <c r="B6377" s="16" t="str">
        <f>IFERROR(__xludf.DUMMYFUNCTION("""COMPUTED_VALUE"""),"Envia")</f>
        <v>Envia</v>
      </c>
      <c r="C6377" s="15" t="str">
        <f>IFERROR(__xludf.DUMMYFUNCTION("""COMPUTED_VALUE"""),"BOGOTÁ")</f>
        <v>BOGOTÁ</v>
      </c>
      <c r="D6377" s="15" t="str">
        <f>IFERROR(__xludf.DUMMYFUNCTION("""COMPUTED_VALUE"""),"MEDELLÍN")</f>
        <v>MEDELLÍN</v>
      </c>
      <c r="E6377" s="15" t="str">
        <f>IFERROR(__xludf.DUMMYFUNCTION("""COMPUTED_VALUE"""),"Moloso S.A.S")</f>
        <v>Moloso S.A.S</v>
      </c>
      <c r="F6377" s="17" t="str">
        <f>IFERROR(__xludf.DUMMYFUNCTION("""COMPUTED_VALUE"""),"CR 71B BIS 12 60 / CONJUNTO RESIDENCIAL ALMANZA TORRE 3 AP 401")</f>
        <v>CR 71B BIS 12 60 / CONJUNTO RESIDENCIAL ALMANZA TORRE 3 AP 401</v>
      </c>
      <c r="G6377" s="15" t="str">
        <f>IFERROR(__xludf.DUMMYFUNCTION("""COMPUTED_VALUE"""),"DAVID PULIDO ROMERO")</f>
        <v>DAVID PULIDO ROMERO</v>
      </c>
      <c r="H6377" s="16">
        <f>IFERROR(__xludf.DUMMYFUNCTION("""COMPUTED_VALUE"""),15086.0)</f>
        <v>15086</v>
      </c>
      <c r="I6377" s="18">
        <f>IFERROR(__xludf.DUMMYFUNCTION("""COMPUTED_VALUE"""),17.0)</f>
        <v>17</v>
      </c>
      <c r="J6377" s="18">
        <f>IFERROR(__xludf.DUMMYFUNCTION("""COMPUTED_VALUE"""),15.0)</f>
        <v>15</v>
      </c>
      <c r="K6377" s="18">
        <f>IFERROR(__xludf.DUMMYFUNCTION("""COMPUTED_VALUE"""),28.0)</f>
        <v>28</v>
      </c>
      <c r="L6377" s="17">
        <f>IFERROR(__xludf.DUMMYFUNCTION("""COMPUTED_VALUE"""),3.053165403E9)</f>
        <v>3053165403</v>
      </c>
      <c r="M6377" s="17" t="str">
        <f>IFERROR(__xludf.DUMMYFUNCTION("""COMPUTED_VALUE"""),"#REF!")</f>
        <v>#REF!</v>
      </c>
      <c r="N6377" s="17"/>
      <c r="O6377" s="17"/>
      <c r="P6377" s="17" t="b">
        <f>IFERROR(__xludf.DUMMYFUNCTION("""COMPUTED_VALUE"""),FALSE)</f>
        <v>0</v>
      </c>
      <c r="Q6377" s="20" t="str">
        <f>IFERROR(__xludf.DUMMYFUNCTION("""COMPUTED_VALUE"""),"")</f>
        <v/>
      </c>
      <c r="R6377" s="21" t="str">
        <f>IFERROR(__xludf.DUMMYFUNCTION("""COMPUTED_VALUE"""),"https://drive.google.com/file/d/1xgLfHMEkwNJO0OsNogp1w_XJwF7f99xy/view?usp=drivesdk")</f>
        <v>https://drive.google.com/file/d/1xgLfHMEkwNJO0OsNogp1w_XJwF7f99xy/view?usp=drivesdk</v>
      </c>
    </row>
    <row r="6378">
      <c r="A6378" s="15">
        <f>IFERROR(__xludf.DUMMYFUNCTION("""COMPUTED_VALUE"""),45182.0)</f>
        <v>45182</v>
      </c>
      <c r="B6378" s="16" t="str">
        <f>IFERROR(__xludf.DUMMYFUNCTION("""COMPUTED_VALUE"""),"Envia")</f>
        <v>Envia</v>
      </c>
      <c r="C6378" s="15" t="str">
        <f>IFERROR(__xludf.DUMMYFUNCTION("""COMPUTED_VALUE"""),"BOGOTÁ")</f>
        <v>BOGOTÁ</v>
      </c>
      <c r="D6378" s="15" t="str">
        <f>IFERROR(__xludf.DUMMYFUNCTION("""COMPUTED_VALUE"""),"MEDELLÍN")</f>
        <v>MEDELLÍN</v>
      </c>
      <c r="E6378" s="15" t="str">
        <f>IFERROR(__xludf.DUMMYFUNCTION("""COMPUTED_VALUE"""),"Natusoya")</f>
        <v>Natusoya</v>
      </c>
      <c r="F6378" s="17" t="str">
        <f>IFERROR(__xludf.DUMMYFUNCTION("""COMPUTED_VALUE"""),"Carrera 3d #54a-58 / Local 1 / Chapinero")</f>
        <v>Carrera 3d #54a-58 / Local 1 / Chapinero</v>
      </c>
      <c r="G6378" s="15" t="str">
        <f>IFERROR(__xludf.DUMMYFUNCTION("""COMPUTED_VALUE"""),"El konny - Natalia")</f>
        <v>El konny - Natalia</v>
      </c>
      <c r="H6378" s="16">
        <f>IFERROR(__xludf.DUMMYFUNCTION("""COMPUTED_VALUE"""),15159.0)</f>
        <v>15159</v>
      </c>
      <c r="I6378" s="18">
        <f>IFERROR(__xludf.DUMMYFUNCTION("""COMPUTED_VALUE"""),15.0)</f>
        <v>15</v>
      </c>
      <c r="J6378" s="18">
        <f>IFERROR(__xludf.DUMMYFUNCTION("""COMPUTED_VALUE"""),20.0)</f>
        <v>20</v>
      </c>
      <c r="K6378" s="18">
        <f>IFERROR(__xludf.DUMMYFUNCTION("""COMPUTED_VALUE"""),20.0)</f>
        <v>20</v>
      </c>
      <c r="L6378" s="17">
        <f>IFERROR(__xludf.DUMMYFUNCTION("""COMPUTED_VALUE"""),3.212318581E9)</f>
        <v>3212318581</v>
      </c>
      <c r="M6378" s="17" t="str">
        <f>IFERROR(__xludf.DUMMYFUNCTION("""COMPUTED_VALUE"""),"#REF!")</f>
        <v>#REF!</v>
      </c>
      <c r="N6378" s="17"/>
      <c r="O6378" s="17"/>
      <c r="P6378" s="17" t="b">
        <f>IFERROR(__xludf.DUMMYFUNCTION("""COMPUTED_VALUE"""),FALSE)</f>
        <v>0</v>
      </c>
      <c r="Q6378" s="20" t="str">
        <f>IFERROR(__xludf.DUMMYFUNCTION("""COMPUTED_VALUE"""),"")</f>
        <v/>
      </c>
      <c r="R6378" s="22" t="str">
        <f>IFERROR(__xludf.DUMMYFUNCTION("""COMPUTED_VALUE"""),"")</f>
        <v/>
      </c>
    </row>
    <row r="6379">
      <c r="A6379" s="15">
        <f>IFERROR(__xludf.DUMMYFUNCTION("""COMPUTED_VALUE"""),45182.0)</f>
        <v>45182</v>
      </c>
      <c r="B6379" s="16" t="str">
        <f>IFERROR(__xludf.DUMMYFUNCTION("""COMPUTED_VALUE"""),"Envia")</f>
        <v>Envia</v>
      </c>
      <c r="C6379" s="15" t="str">
        <f>IFERROR(__xludf.DUMMYFUNCTION("""COMPUTED_VALUE"""),"BOGOTÁ")</f>
        <v>BOGOTÁ</v>
      </c>
      <c r="D6379" s="15" t="str">
        <f>IFERROR(__xludf.DUMMYFUNCTION("""COMPUTED_VALUE"""),"MEDELLÍN")</f>
        <v>MEDELLÍN</v>
      </c>
      <c r="E6379" s="15" t="str">
        <f>IFERROR(__xludf.DUMMYFUNCTION("""COMPUTED_VALUE"""),"Puro Verde")</f>
        <v>Puro Verde</v>
      </c>
      <c r="F6379" s="17" t="str">
        <f>IFERROR(__xludf.DUMMYFUNCTION("""COMPUTED_VALUE"""),"Cra 16a no. 77-23 / Bodega / El lago")</f>
        <v>Cra 16a no. 77-23 / Bodega / El lago</v>
      </c>
      <c r="G6379" s="15" t="str">
        <f>IFERROR(__xludf.DUMMYFUNCTION("""COMPUTED_VALUE"""),"BODEGA DANDO CUERDA")</f>
        <v>BODEGA DANDO CUERDA</v>
      </c>
      <c r="H6379" s="16">
        <f>IFERROR(__xludf.DUMMYFUNCTION("""COMPUTED_VALUE"""),15133.0)</f>
        <v>15133</v>
      </c>
      <c r="I6379" s="18" t="str">
        <f>IFERROR(__xludf.DUMMYFUNCTION("""COMPUTED_VALUE"""),"52.5")</f>
        <v>52.5</v>
      </c>
      <c r="J6379" s="18">
        <f>IFERROR(__xludf.DUMMYFUNCTION("""COMPUTED_VALUE"""),55.0)</f>
        <v>55</v>
      </c>
      <c r="K6379" s="18">
        <f>IFERROR(__xludf.DUMMYFUNCTION("""COMPUTED_VALUE"""),45.0)</f>
        <v>45</v>
      </c>
      <c r="L6379" s="17">
        <f>IFERROR(__xludf.DUMMYFUNCTION("""COMPUTED_VALUE"""),3.507323303E9)</f>
        <v>3507323303</v>
      </c>
      <c r="M6379" s="17" t="str">
        <f>IFERROR(__xludf.DUMMYFUNCTION("""COMPUTED_VALUE"""),"#REF!")</f>
        <v>#REF!</v>
      </c>
      <c r="N6379" s="17"/>
      <c r="O6379" s="17"/>
      <c r="P6379" s="17" t="b">
        <f>IFERROR(__xludf.DUMMYFUNCTION("""COMPUTED_VALUE"""),FALSE)</f>
        <v>0</v>
      </c>
      <c r="Q6379" s="20" t="str">
        <f>IFERROR(__xludf.DUMMYFUNCTION("""COMPUTED_VALUE"""),"")</f>
        <v/>
      </c>
      <c r="R6379" s="22" t="str">
        <f>IFERROR(__xludf.DUMMYFUNCTION("""COMPUTED_VALUE"""),"")</f>
        <v/>
      </c>
    </row>
    <row r="6380">
      <c r="A6380" s="15">
        <f>IFERROR(__xludf.DUMMYFUNCTION("""COMPUTED_VALUE"""),45182.0)</f>
        <v>45182</v>
      </c>
      <c r="B6380" s="16" t="str">
        <f>IFERROR(__xludf.DUMMYFUNCTION("""COMPUTED_VALUE"""),"Envia")</f>
        <v>Envia</v>
      </c>
      <c r="C6380" s="15" t="str">
        <f>IFERROR(__xludf.DUMMYFUNCTION("""COMPUTED_VALUE"""),"BOGOTÁ")</f>
        <v>BOGOTÁ</v>
      </c>
      <c r="D6380" s="15" t="str">
        <f>IFERROR(__xludf.DUMMYFUNCTION("""COMPUTED_VALUE"""),"MEDELLÍN")</f>
        <v>MEDELLÍN</v>
      </c>
      <c r="E6380" s="15" t="str">
        <f>IFERROR(__xludf.DUMMYFUNCTION("""COMPUTED_VALUE"""),"Rambla")</f>
        <v>Rambla</v>
      </c>
      <c r="F6380" s="17" t="str">
        <f>IFERROR(__xludf.DUMMYFUNCTION("""COMPUTED_VALUE"""),"Calle 24 80b 82 Modelia / - / -")</f>
        <v>Calle 24 80b 82 Modelia / - / -</v>
      </c>
      <c r="G6380" s="15" t="str">
        <f>IFERROR(__xludf.DUMMYFUNCTION("""COMPUTED_VALUE"""),"Origenes")</f>
        <v>Origenes</v>
      </c>
      <c r="H6380" s="16">
        <f>IFERROR(__xludf.DUMMYFUNCTION("""COMPUTED_VALUE"""),15185.0)</f>
        <v>15185</v>
      </c>
      <c r="I6380" s="18">
        <f>IFERROR(__xludf.DUMMYFUNCTION("""COMPUTED_VALUE"""),27.0)</f>
        <v>27</v>
      </c>
      <c r="J6380" s="18">
        <f>IFERROR(__xludf.DUMMYFUNCTION("""COMPUTED_VALUE"""),18.0)</f>
        <v>18</v>
      </c>
      <c r="K6380" s="18">
        <f>IFERROR(__xludf.DUMMYFUNCTION("""COMPUTED_VALUE"""),18.0)</f>
        <v>18</v>
      </c>
      <c r="L6380" s="17">
        <f>IFERROR(__xludf.DUMMYFUNCTION("""COMPUTED_VALUE"""),3.136299043E9)</f>
        <v>3136299043</v>
      </c>
      <c r="M6380" s="17" t="str">
        <f>IFERROR(__xludf.DUMMYFUNCTION("""COMPUTED_VALUE"""),"#REF!")</f>
        <v>#REF!</v>
      </c>
      <c r="N6380" s="17"/>
      <c r="O6380" s="17"/>
      <c r="P6380" s="17" t="b">
        <f>IFERROR(__xludf.DUMMYFUNCTION("""COMPUTED_VALUE"""),FALSE)</f>
        <v>0</v>
      </c>
      <c r="Q6380" s="20" t="str">
        <f>IFERROR(__xludf.DUMMYFUNCTION("""COMPUTED_VALUE"""),"")</f>
        <v/>
      </c>
      <c r="R6380" s="21" t="str">
        <f>IFERROR(__xludf.DUMMYFUNCTION("""COMPUTED_VALUE"""),"https://drive.google.com/file/d/14YmKb3lofgKwr_Wp7SSc-aGbFmKZ0Qw4/view?usp=drivesdk")</f>
        <v>https://drive.google.com/file/d/14YmKb3lofgKwr_Wp7SSc-aGbFmKZ0Qw4/view?usp=drivesdk</v>
      </c>
    </row>
    <row r="6381">
      <c r="A6381" s="15">
        <f>IFERROR(__xludf.DUMMYFUNCTION("""COMPUTED_VALUE"""),45182.0)</f>
        <v>45182</v>
      </c>
      <c r="B6381" s="16" t="str">
        <f>IFERROR(__xludf.DUMMYFUNCTION("""COMPUTED_VALUE"""),"Envia")</f>
        <v>Envia</v>
      </c>
      <c r="C6381" s="15" t="str">
        <f>IFERROR(__xludf.DUMMYFUNCTION("""COMPUTED_VALUE"""),"CALI")</f>
        <v>CALI</v>
      </c>
      <c r="D6381" s="15" t="str">
        <f>IFERROR(__xludf.DUMMYFUNCTION("""COMPUTED_VALUE"""),"MEDELLÍN")</f>
        <v>MEDELLÍN</v>
      </c>
      <c r="E6381" s="15" t="str">
        <f>IFERROR(__xludf.DUMMYFUNCTION("""COMPUTED_VALUE"""),"JD Bufala")</f>
        <v>JD Bufala</v>
      </c>
      <c r="F6381" s="17" t="str">
        <f>IFERROR(__xludf.DUMMYFUNCTION("""COMPUTED_VALUE"""),"Callé 51norte # 4bn72 / Delhuertopizzeria  / La flora")</f>
        <v>Callé 51norte # 4bn72 / Delhuertopizzeria  / La flora</v>
      </c>
      <c r="G6381" s="15" t="str">
        <f>IFERROR(__xludf.DUMMYFUNCTION("""COMPUTED_VALUE"""),"Jaiver Rodríguez")</f>
        <v>Jaiver Rodríguez</v>
      </c>
      <c r="H6381" s="16">
        <f>IFERROR(__xludf.DUMMYFUNCTION("""COMPUTED_VALUE"""),15139.0)</f>
        <v>15139</v>
      </c>
      <c r="I6381" s="18">
        <f>IFERROR(__xludf.DUMMYFUNCTION("""COMPUTED_VALUE"""),123.0)</f>
        <v>123</v>
      </c>
      <c r="J6381" s="18">
        <f>IFERROR(__xludf.DUMMYFUNCTION("""COMPUTED_VALUE"""),28.0)</f>
        <v>28</v>
      </c>
      <c r="K6381" s="18">
        <f>IFERROR(__xludf.DUMMYFUNCTION("""COMPUTED_VALUE"""),40.0)</f>
        <v>40</v>
      </c>
      <c r="L6381" s="17">
        <f>IFERROR(__xludf.DUMMYFUNCTION("""COMPUTED_VALUE"""),3.104919761E9)</f>
        <v>3104919761</v>
      </c>
      <c r="M6381" s="17" t="str">
        <f>IFERROR(__xludf.DUMMYFUNCTION("""COMPUTED_VALUE"""),"#REF!")</f>
        <v>#REF!</v>
      </c>
      <c r="N6381" s="17"/>
      <c r="O6381" s="17"/>
      <c r="P6381" s="17" t="b">
        <f>IFERROR(__xludf.DUMMYFUNCTION("""COMPUTED_VALUE"""),FALSE)</f>
        <v>0</v>
      </c>
      <c r="Q6381" s="20" t="str">
        <f>IFERROR(__xludf.DUMMYFUNCTION("""COMPUTED_VALUE"""),"")</f>
        <v/>
      </c>
      <c r="R6381" s="22" t="str">
        <f>IFERROR(__xludf.DUMMYFUNCTION("""COMPUTED_VALUE"""),"")</f>
        <v/>
      </c>
    </row>
    <row r="6382">
      <c r="A6382" s="15">
        <f>IFERROR(__xludf.DUMMYFUNCTION("""COMPUTED_VALUE"""),45182.0)</f>
        <v>45182</v>
      </c>
      <c r="B6382" s="16" t="str">
        <f>IFERROR(__xludf.DUMMYFUNCTION("""COMPUTED_VALUE"""),"Envia")</f>
        <v>Envia</v>
      </c>
      <c r="C6382" s="15" t="str">
        <f>IFERROR(__xludf.DUMMYFUNCTION("""COMPUTED_VALUE"""),"CALI")</f>
        <v>CALI</v>
      </c>
      <c r="D6382" s="15" t="str">
        <f>IFERROR(__xludf.DUMMYFUNCTION("""COMPUTED_VALUE"""),"MEDELLÍN")</f>
        <v>MEDELLÍN</v>
      </c>
      <c r="E6382" s="15" t="str">
        <f>IFERROR(__xludf.DUMMYFUNCTION("""COMPUTED_VALUE"""),"Rambla")</f>
        <v>Rambla</v>
      </c>
      <c r="F6382" s="17" t="str">
        <f>IFERROR(__xludf.DUMMYFUNCTION("""COMPUTED_VALUE"""),"CRA 105 #15B45 LOCAL 15 CENTRO COMERCIAL LAS VELAS  cali / . / .")</f>
        <v>CRA 105 #15B45 LOCAL 15 CENTRO COMERCIAL LAS VELAS  cali / . / .</v>
      </c>
      <c r="G6382" s="15" t="str">
        <f>IFERROR(__xludf.DUMMYFUNCTION("""COMPUTED_VALUE"""),"Wealthy Market")</f>
        <v>Wealthy Market</v>
      </c>
      <c r="H6382" s="16">
        <f>IFERROR(__xludf.DUMMYFUNCTION("""COMPUTED_VALUE"""),15182.0)</f>
        <v>15182</v>
      </c>
      <c r="I6382" s="18">
        <f>IFERROR(__xludf.DUMMYFUNCTION("""COMPUTED_VALUE"""),20.0)</f>
        <v>20</v>
      </c>
      <c r="J6382" s="18">
        <f>IFERROR(__xludf.DUMMYFUNCTION("""COMPUTED_VALUE"""),24.0)</f>
        <v>24</v>
      </c>
      <c r="K6382" s="18">
        <f>IFERROR(__xludf.DUMMYFUNCTION("""COMPUTED_VALUE"""),24.0)</f>
        <v>24</v>
      </c>
      <c r="L6382" s="17">
        <f>IFERROR(__xludf.DUMMYFUNCTION("""COMPUTED_VALUE"""),3.152542618E9)</f>
        <v>3152542618</v>
      </c>
      <c r="M6382" s="17" t="str">
        <f>IFERROR(__xludf.DUMMYFUNCTION("""COMPUTED_VALUE"""),"#REF!")</f>
        <v>#REF!</v>
      </c>
      <c r="N6382" s="17"/>
      <c r="O6382" s="17"/>
      <c r="P6382" s="17" t="b">
        <f>IFERROR(__xludf.DUMMYFUNCTION("""COMPUTED_VALUE"""),FALSE)</f>
        <v>0</v>
      </c>
      <c r="Q6382" s="20" t="str">
        <f>IFERROR(__xludf.DUMMYFUNCTION("""COMPUTED_VALUE"""),"")</f>
        <v/>
      </c>
      <c r="R6382" s="21" t="str">
        <f>IFERROR(__xludf.DUMMYFUNCTION("""COMPUTED_VALUE"""),"https://drive.google.com/file/d/17_6XRGtW8sFH9ryVQKAK7eCS04HZkK94/view?usp=drivesdk")</f>
        <v>https://drive.google.com/file/d/17_6XRGtW8sFH9ryVQKAK7eCS04HZkK94/view?usp=drivesdk</v>
      </c>
    </row>
    <row r="6383">
      <c r="A6383" s="15">
        <f>IFERROR(__xludf.DUMMYFUNCTION("""COMPUTED_VALUE"""),45182.0)</f>
        <v>45182</v>
      </c>
      <c r="B6383" s="16" t="str">
        <f>IFERROR(__xludf.DUMMYFUNCTION("""COMPUTED_VALUE"""),"Envia")</f>
        <v>Envia</v>
      </c>
      <c r="C6383" s="15" t="str">
        <f>IFERROR(__xludf.DUMMYFUNCTION("""COMPUTED_VALUE"""),"CÚCUTA")</f>
        <v>CÚCUTA</v>
      </c>
      <c r="D6383" s="15" t="str">
        <f>IFERROR(__xludf.DUMMYFUNCTION("""COMPUTED_VALUE"""),"MEDELLÍN")</f>
        <v>MEDELLÍN</v>
      </c>
      <c r="E6383" s="15" t="str">
        <f>IFERROR(__xludf.DUMMYFUNCTION("""COMPUTED_VALUE"""),"Momo Tea S.A.S Gabriel Echavarría")</f>
        <v>Momo Tea S.A.S Gabriel Echavarría</v>
      </c>
      <c r="F6383" s="17" t="str">
        <f>IFERROR(__xludf.DUMMYFUNCTION("""COMPUTED_VALUE"""),"CL 11 N 16 E 35 / CA B 1")</f>
        <v>CL 11 N 16 E 35 / CA B 1</v>
      </c>
      <c r="G6383" s="15" t="str">
        <f>IFERROR(__xludf.DUMMYFUNCTION("""COMPUTED_VALUE"""),"Gabriel Echavarría")</f>
        <v>Gabriel Echavarría</v>
      </c>
      <c r="H6383" s="16">
        <f>IFERROR(__xludf.DUMMYFUNCTION("""COMPUTED_VALUE"""),15076.0)</f>
        <v>15076</v>
      </c>
      <c r="I6383" s="18">
        <f>IFERROR(__xludf.DUMMYFUNCTION("""COMPUTED_VALUE"""),21.0)</f>
        <v>21</v>
      </c>
      <c r="J6383" s="18">
        <f>IFERROR(__xludf.DUMMYFUNCTION("""COMPUTED_VALUE"""),29.0)</f>
        <v>29</v>
      </c>
      <c r="K6383" s="18">
        <f>IFERROR(__xludf.DUMMYFUNCTION("""COMPUTED_VALUE"""),29.0)</f>
        <v>29</v>
      </c>
      <c r="L6383" s="17">
        <f>IFERROR(__xludf.DUMMYFUNCTION("""COMPUTED_VALUE"""),3.017909548E9)</f>
        <v>3017909548</v>
      </c>
      <c r="M6383" s="17" t="str">
        <f>IFERROR(__xludf.DUMMYFUNCTION("""COMPUTED_VALUE"""),"#REF!")</f>
        <v>#REF!</v>
      </c>
      <c r="N6383" s="17"/>
      <c r="O6383" s="17"/>
      <c r="P6383" s="17" t="b">
        <f>IFERROR(__xludf.DUMMYFUNCTION("""COMPUTED_VALUE"""),FALSE)</f>
        <v>0</v>
      </c>
      <c r="Q6383" s="20" t="str">
        <f>IFERROR(__xludf.DUMMYFUNCTION("""COMPUTED_VALUE"""),"")</f>
        <v/>
      </c>
      <c r="R6383" s="22" t="str">
        <f>IFERROR(__xludf.DUMMYFUNCTION("""COMPUTED_VALUE"""),"")</f>
        <v/>
      </c>
    </row>
    <row r="6384">
      <c r="A6384" s="15">
        <f>IFERROR(__xludf.DUMMYFUNCTION("""COMPUTED_VALUE"""),45182.0)</f>
        <v>45182</v>
      </c>
      <c r="B6384" s="16" t="str">
        <f>IFERROR(__xludf.DUMMYFUNCTION("""COMPUTED_VALUE"""),"Envia")</f>
        <v>Envia</v>
      </c>
      <c r="C6384" s="15" t="str">
        <f>IFERROR(__xludf.DUMMYFUNCTION("""COMPUTED_VALUE"""),"MEDELLÍN")</f>
        <v>MEDELLÍN</v>
      </c>
      <c r="D6384" s="15" t="str">
        <f>IFERROR(__xludf.DUMMYFUNCTION("""COMPUTED_VALUE"""),"BUCARAMANGA")</f>
        <v>BUCARAMANGA</v>
      </c>
      <c r="E6384" s="15" t="str">
        <f>IFERROR(__xludf.DUMMYFUNCTION("""COMPUTED_VALUE"""),"Yo Como Solito")</f>
        <v>Yo Como Solito</v>
      </c>
      <c r="F6384" s="17" t="str">
        <f>IFERROR(__xludf.DUMMYFUNCTION("""COMPUTED_VALUE"""),"CARRERA 15 BA #34D-44 INT 201 QUINTA LINDA / CARRERA 15 BA #34D-44 INT 201 QUINTA LINDA / CARRERA 15 BA #34D-44 INT 201 QUINTA LINDA")</f>
        <v>CARRERA 15 BA #34D-44 INT 201 QUINTA LINDA / CARRERA 15 BA #34D-44 INT 201 QUINTA LINDA / CARRERA 15 BA #34D-44 INT 201 QUINTA LINDA</v>
      </c>
      <c r="G6384" s="15" t="str">
        <f>IFERROR(__xludf.DUMMYFUNCTION("""COMPUTED_VALUE"""),"DANIELA BEDOYA BLANDON")</f>
        <v>DANIELA BEDOYA BLANDON</v>
      </c>
      <c r="H6384" s="16">
        <f>IFERROR(__xludf.DUMMYFUNCTION("""COMPUTED_VALUE"""),15179.0)</f>
        <v>15179</v>
      </c>
      <c r="I6384" s="18">
        <f>IFERROR(__xludf.DUMMYFUNCTION("""COMPUTED_VALUE"""),12.0)</f>
        <v>12</v>
      </c>
      <c r="J6384" s="18">
        <f>IFERROR(__xludf.DUMMYFUNCTION("""COMPUTED_VALUE"""),27.0)</f>
        <v>27</v>
      </c>
      <c r="K6384" s="18">
        <f>IFERROR(__xludf.DUMMYFUNCTION("""COMPUTED_VALUE"""),27.0)</f>
        <v>27</v>
      </c>
      <c r="L6384" s="17">
        <f>IFERROR(__xludf.DUMMYFUNCTION("""COMPUTED_VALUE"""),3.14672822E9)</f>
        <v>3146728220</v>
      </c>
      <c r="M6384" s="17" t="str">
        <f>IFERROR(__xludf.DUMMYFUNCTION("""COMPUTED_VALUE"""),"#REF!")</f>
        <v>#REF!</v>
      </c>
      <c r="N6384" s="17"/>
      <c r="O6384" s="17"/>
      <c r="P6384" s="17" t="b">
        <f>IFERROR(__xludf.DUMMYFUNCTION("""COMPUTED_VALUE"""),FALSE)</f>
        <v>0</v>
      </c>
      <c r="Q6384" s="20" t="str">
        <f>IFERROR(__xludf.DUMMYFUNCTION("""COMPUTED_VALUE"""),"")</f>
        <v/>
      </c>
      <c r="R6384" s="22" t="str">
        <f>IFERROR(__xludf.DUMMYFUNCTION("""COMPUTED_VALUE"""),"")</f>
        <v/>
      </c>
    </row>
    <row r="6385">
      <c r="A6385" s="17" t="str">
        <f>IFERROR(__xludf.DUMMYFUNCTION("""COMPUTED_VALUE"""),"")</f>
        <v/>
      </c>
      <c r="B6385" s="17" t="str">
        <f>IFERROR(__xludf.DUMMYFUNCTION("""COMPUTED_VALUE"""),"")</f>
        <v/>
      </c>
      <c r="C6385" s="17" t="str">
        <f>IFERROR(__xludf.DUMMYFUNCTION("""COMPUTED_VALUE"""),"")</f>
        <v/>
      </c>
      <c r="D6385" s="17" t="str">
        <f>IFERROR(__xludf.DUMMYFUNCTION("""COMPUTED_VALUE"""),"")</f>
        <v/>
      </c>
      <c r="E6385" s="17" t="str">
        <f>IFERROR(__xludf.DUMMYFUNCTION("""COMPUTED_VALUE"""),"")</f>
        <v/>
      </c>
      <c r="F6385" s="17" t="str">
        <f>IFERROR(__xludf.DUMMYFUNCTION("""COMPUTED_VALUE"""),"")</f>
        <v/>
      </c>
      <c r="G6385" s="17" t="str">
        <f>IFERROR(__xludf.DUMMYFUNCTION("""COMPUTED_VALUE"""),"")</f>
        <v/>
      </c>
      <c r="H6385" s="17" t="str">
        <f>IFERROR(__xludf.DUMMYFUNCTION("""COMPUTED_VALUE"""),"")</f>
        <v/>
      </c>
      <c r="I6385" s="17" t="str">
        <f>IFERROR(__xludf.DUMMYFUNCTION("""COMPUTED_VALUE"""),"")</f>
        <v/>
      </c>
      <c r="J6385" s="17" t="str">
        <f>IFERROR(__xludf.DUMMYFUNCTION("""COMPUTED_VALUE"""),"")</f>
        <v/>
      </c>
      <c r="K6385" s="17" t="str">
        <f>IFERROR(__xludf.DUMMYFUNCTION("""COMPUTED_VALUE"""),"")</f>
        <v/>
      </c>
      <c r="L6385" s="17" t="str">
        <f>IFERROR(__xludf.DUMMYFUNCTION("""COMPUTED_VALUE"""),"")</f>
        <v/>
      </c>
      <c r="M6385" s="17" t="str">
        <f>IFERROR(__xludf.DUMMYFUNCTION("""COMPUTED_VALUE"""),"")</f>
        <v/>
      </c>
      <c r="N6385" s="17" t="str">
        <f>IFERROR(__xludf.DUMMYFUNCTION("""COMPUTED_VALUE"""),"")</f>
        <v/>
      </c>
      <c r="O6385" s="17" t="str">
        <f>IFERROR(__xludf.DUMMYFUNCTION("""COMPUTED_VALUE"""),"")</f>
        <v/>
      </c>
      <c r="P6385" s="17" t="str">
        <f>IFERROR(__xludf.DUMMYFUNCTION("""COMPUTED_VALUE"""),"")</f>
        <v/>
      </c>
      <c r="Q6385" s="17" t="str">
        <f>IFERROR(__xludf.DUMMYFUNCTION("""COMPUTED_VALUE"""),"")</f>
        <v/>
      </c>
      <c r="R6385" s="17" t="str">
        <f>IFERROR(__xludf.DUMMYFUNCTION("""COMPUTED_VALUE"""),"")</f>
        <v/>
      </c>
    </row>
    <row r="6386">
      <c r="A6386" s="15">
        <f>IFERROR(__xludf.DUMMYFUNCTION("""COMPUTED_VALUE"""),45182.0)</f>
        <v>45182</v>
      </c>
      <c r="B6386" s="16" t="str">
        <f>IFERROR(__xludf.DUMMYFUNCTION("""COMPUTED_VALUE"""),"Jeison Rubiano")</f>
        <v>Jeison Rubiano</v>
      </c>
      <c r="C6386" s="15" t="str">
        <f>IFERROR(__xludf.DUMMYFUNCTION("""COMPUTED_VALUE"""),"BOGOTÁ")</f>
        <v>BOGOTÁ</v>
      </c>
      <c r="D6386" s="15" t="str">
        <f>IFERROR(__xludf.DUMMYFUNCTION("""COMPUTED_VALUE"""),"BUCARAMANGA")</f>
        <v>BUCARAMANGA</v>
      </c>
      <c r="E6386" s="15" t="str">
        <f>IFERROR(__xludf.DUMMYFUNCTION("""COMPUTED_VALUE"""),"Yo Como Solito")</f>
        <v>Yo Como Solito</v>
      </c>
      <c r="F6386" s="17" t="str">
        <f>IFERROR(__xludf.DUMMYFUNCTION("""COMPUTED_VALUE"""),"CARRERA 45A #128-62 / CARRERA 45A #128-62 / CARRERA 45A #128-62")</f>
        <v>CARRERA 45A #128-62 / CARRERA 45A #128-62 / CARRERA 45A #128-62</v>
      </c>
      <c r="G6386" s="15" t="str">
        <f>IFERROR(__xludf.DUMMYFUNCTION("""COMPUTED_VALUE"""),"LINA PAOLA RAMIREZ")</f>
        <v>LINA PAOLA RAMIREZ</v>
      </c>
      <c r="H6386" s="16">
        <f>IFERROR(__xludf.DUMMYFUNCTION("""COMPUTED_VALUE"""),15177.0)</f>
        <v>15177</v>
      </c>
      <c r="I6386" s="18">
        <f>IFERROR(__xludf.DUMMYFUNCTION("""COMPUTED_VALUE"""),20.0)</f>
        <v>20</v>
      </c>
      <c r="J6386" s="18">
        <f>IFERROR(__xludf.DUMMYFUNCTION("""COMPUTED_VALUE"""),32.0)</f>
        <v>32</v>
      </c>
      <c r="K6386" s="18">
        <f>IFERROR(__xludf.DUMMYFUNCTION("""COMPUTED_VALUE"""),50.0)</f>
        <v>50</v>
      </c>
      <c r="L6386" s="17">
        <f>IFERROR(__xludf.DUMMYFUNCTION("""COMPUTED_VALUE"""),3.12327346E9)</f>
        <v>3123273460</v>
      </c>
      <c r="M6386" s="17" t="str">
        <f>IFERROR(__xludf.DUMMYFUNCTION("""COMPUTED_VALUE"""),"#REF!")</f>
        <v>#REF!</v>
      </c>
      <c r="N6386" s="17"/>
      <c r="O6386" s="17"/>
      <c r="P6386" s="17" t="b">
        <f>IFERROR(__xludf.DUMMYFUNCTION("""COMPUTED_VALUE"""),FALSE)</f>
        <v>0</v>
      </c>
      <c r="Q6386" s="20" t="str">
        <f>IFERROR(__xludf.DUMMYFUNCTION("""COMPUTED_VALUE"""),"")</f>
        <v/>
      </c>
      <c r="R6386" s="21" t="str">
        <f>IFERROR(__xludf.DUMMYFUNCTION("""COMPUTED_VALUE"""),"https://drive.google.com/file/d/11YDcuLbkpojp0GwasJ-vzSsgSagDU-2u/view?usp=drivesdk")</f>
        <v>https://drive.google.com/file/d/11YDcuLbkpojp0GwasJ-vzSsgSagDU-2u/view?usp=drivesdk</v>
      </c>
    </row>
    <row r="6387">
      <c r="A6387" s="15">
        <f>IFERROR(__xludf.DUMMYFUNCTION("""COMPUTED_VALUE"""),45182.0)</f>
        <v>45182</v>
      </c>
      <c r="B6387" s="16" t="str">
        <f>IFERROR(__xludf.DUMMYFUNCTION("""COMPUTED_VALUE"""),"Jeison Rubiano")</f>
        <v>Jeison Rubiano</v>
      </c>
      <c r="C6387" s="15" t="str">
        <f>IFERROR(__xludf.DUMMYFUNCTION("""COMPUTED_VALUE"""),"BOGOTÁ")</f>
        <v>BOGOTÁ</v>
      </c>
      <c r="D6387" s="15" t="str">
        <f>IFERROR(__xludf.DUMMYFUNCTION("""COMPUTED_VALUE"""),"BUCARAMANGA")</f>
        <v>BUCARAMANGA</v>
      </c>
      <c r="E6387" s="15" t="str">
        <f>IFERROR(__xludf.DUMMYFUNCTION("""COMPUTED_VALUE"""),"Yo Como Solito")</f>
        <v>Yo Como Solito</v>
      </c>
      <c r="F6387" s="17" t="str">
        <f>IFERROR(__xludf.DUMMYFUNCTION("""COMPUTED_VALUE"""),"CARRERA 45A #128-62 / CARRERA 45A #128-62 / CARRERA 45A #128-62")</f>
        <v>CARRERA 45A #128-62 / CARRERA 45A #128-62 / CARRERA 45A #128-62</v>
      </c>
      <c r="G6387" s="15" t="str">
        <f>IFERROR(__xludf.DUMMYFUNCTION("""COMPUTED_VALUE"""),"LINA PAOLA RAMIREZ")</f>
        <v>LINA PAOLA RAMIREZ</v>
      </c>
      <c r="H6387" s="16">
        <f>IFERROR(__xludf.DUMMYFUNCTION("""COMPUTED_VALUE"""),15178.0)</f>
        <v>15178</v>
      </c>
      <c r="I6387" s="18">
        <f>IFERROR(__xludf.DUMMYFUNCTION("""COMPUTED_VALUE"""),34.0)</f>
        <v>34</v>
      </c>
      <c r="J6387" s="18">
        <f>IFERROR(__xludf.DUMMYFUNCTION("""COMPUTED_VALUE"""),22.0)</f>
        <v>22</v>
      </c>
      <c r="K6387" s="18">
        <f>IFERROR(__xludf.DUMMYFUNCTION("""COMPUTED_VALUE"""),26.0)</f>
        <v>26</v>
      </c>
      <c r="L6387" s="17">
        <f>IFERROR(__xludf.DUMMYFUNCTION("""COMPUTED_VALUE"""),3.12327346E9)</f>
        <v>3123273460</v>
      </c>
      <c r="M6387" s="17" t="str">
        <f>IFERROR(__xludf.DUMMYFUNCTION("""COMPUTED_VALUE"""),"#REF!")</f>
        <v>#REF!</v>
      </c>
      <c r="N6387" s="17"/>
      <c r="O6387" s="17"/>
      <c r="P6387" s="17" t="b">
        <f>IFERROR(__xludf.DUMMYFUNCTION("""COMPUTED_VALUE"""),FALSE)</f>
        <v>0</v>
      </c>
      <c r="Q6387" s="20" t="str">
        <f>IFERROR(__xludf.DUMMYFUNCTION("""COMPUTED_VALUE"""),"")</f>
        <v/>
      </c>
      <c r="R6387" s="22" t="str">
        <f>IFERROR(__xludf.DUMMYFUNCTION("""COMPUTED_VALUE"""),"")</f>
        <v/>
      </c>
    </row>
    <row r="6388">
      <c r="A6388" s="15">
        <f>IFERROR(__xludf.DUMMYFUNCTION("""COMPUTED_VALUE"""),45182.0)</f>
        <v>45182</v>
      </c>
      <c r="B6388" s="16" t="str">
        <f>IFERROR(__xludf.DUMMYFUNCTION("""COMPUTED_VALUE"""),"Jeison Rubiano")</f>
        <v>Jeison Rubiano</v>
      </c>
      <c r="C6388" s="15" t="str">
        <f>IFERROR(__xludf.DUMMYFUNCTION("""COMPUTED_VALUE"""),"BOGOTÁ")</f>
        <v>BOGOTÁ</v>
      </c>
      <c r="D6388" s="15" t="str">
        <f>IFERROR(__xludf.DUMMYFUNCTION("""COMPUTED_VALUE"""),"MEDELLÍN")</f>
        <v>MEDELLÍN</v>
      </c>
      <c r="E6388" s="15" t="str">
        <f>IFERROR(__xludf.DUMMYFUNCTION("""COMPUTED_VALUE"""),"AREPAS LA MARY")</f>
        <v>AREPAS LA MARY</v>
      </c>
      <c r="F6388" s="17" t="str">
        <f>IFERROR(__xludf.DUMMYFUNCTION("""COMPUTED_VALUE"""),"CALLE 238 #55-39 / GUAYMARAL BOGOTA")</f>
        <v>CALLE 238 #55-39 / GUAYMARAL BOGOTA</v>
      </c>
      <c r="G6388" s="15" t="str">
        <f>IFERROR(__xludf.DUMMYFUNCTION("""COMPUTED_VALUE"""),"MARIA BELEN LECERASI")</f>
        <v>MARIA BELEN LECERASI</v>
      </c>
      <c r="H6388" s="16">
        <f>IFERROR(__xludf.DUMMYFUNCTION("""COMPUTED_VALUE"""),15186.0)</f>
        <v>15186</v>
      </c>
      <c r="I6388" s="18">
        <f>IFERROR(__xludf.DUMMYFUNCTION("""COMPUTED_VALUE"""),89.0)</f>
        <v>89</v>
      </c>
      <c r="J6388" s="18">
        <f>IFERROR(__xludf.DUMMYFUNCTION("""COMPUTED_VALUE"""),1.0)</f>
        <v>1</v>
      </c>
      <c r="K6388" s="18">
        <f>IFERROR(__xludf.DUMMYFUNCTION("""COMPUTED_VALUE"""),10.0)</f>
        <v>10</v>
      </c>
      <c r="L6388" s="17">
        <f>IFERROR(__xludf.DUMMYFUNCTION("""COMPUTED_VALUE"""),3.103896508E9)</f>
        <v>3103896508</v>
      </c>
      <c r="M6388" s="17" t="str">
        <f>IFERROR(__xludf.DUMMYFUNCTION("""COMPUTED_VALUE"""),"#REF!")</f>
        <v>#REF!</v>
      </c>
      <c r="N6388" s="17"/>
      <c r="O6388" s="17"/>
      <c r="P6388" s="17" t="b">
        <f>IFERROR(__xludf.DUMMYFUNCTION("""COMPUTED_VALUE"""),FALSE)</f>
        <v>0</v>
      </c>
      <c r="Q6388" s="20" t="str">
        <f>IFERROR(__xludf.DUMMYFUNCTION("""COMPUTED_VALUE"""),"")</f>
        <v/>
      </c>
      <c r="R6388" s="21" t="str">
        <f>IFERROR(__xludf.DUMMYFUNCTION("""COMPUTED_VALUE"""),"https://drive.google.com/file/d/11oc-yzxwlmORQd2BC5LJv9mpdu-wjTOv/view?usp=drivesdk")</f>
        <v>https://drive.google.com/file/d/11oc-yzxwlmORQd2BC5LJv9mpdu-wjTOv/view?usp=drivesdk</v>
      </c>
    </row>
    <row r="6389">
      <c r="A6389" s="15">
        <f>IFERROR(__xludf.DUMMYFUNCTION("""COMPUTED_VALUE"""),45182.0)</f>
        <v>45182</v>
      </c>
      <c r="B6389" s="16" t="str">
        <f>IFERROR(__xludf.DUMMYFUNCTION("""COMPUTED_VALUE"""),"Jeison Rubiano")</f>
        <v>Jeison Rubiano</v>
      </c>
      <c r="C6389" s="15" t="str">
        <f>IFERROR(__xludf.DUMMYFUNCTION("""COMPUTED_VALUE"""),"BOGOTÁ")</f>
        <v>BOGOTÁ</v>
      </c>
      <c r="D6389" s="15" t="str">
        <f>IFERROR(__xludf.DUMMYFUNCTION("""COMPUTED_VALUE"""),"MEDELLÍN")</f>
        <v>MEDELLÍN</v>
      </c>
      <c r="E6389" s="15" t="str">
        <f>IFERROR(__xludf.DUMMYFUNCTION("""COMPUTED_VALUE"""),"AREPAS LA MARY")</f>
        <v>AREPAS LA MARY</v>
      </c>
      <c r="F6389" s="17" t="str">
        <f>IFERROR(__xludf.DUMMYFUNCTION("""COMPUTED_VALUE"""),"Calle 89 #19a-38 apto 703 / CAMINOS DE VIRREY")</f>
        <v>Calle 89 #19a-38 apto 703 / CAMINOS DE VIRREY</v>
      </c>
      <c r="G6389" s="15" t="str">
        <f>IFERROR(__xludf.DUMMYFUNCTION("""COMPUTED_VALUE"""),"MARIA JOSE VELEZ")</f>
        <v>MARIA JOSE VELEZ</v>
      </c>
      <c r="H6389" s="16">
        <f>IFERROR(__xludf.DUMMYFUNCTION("""COMPUTED_VALUE"""),15142.0)</f>
        <v>15142</v>
      </c>
      <c r="I6389" s="18">
        <f>IFERROR(__xludf.DUMMYFUNCTION("""COMPUTED_VALUE"""),89.0)</f>
        <v>89</v>
      </c>
      <c r="J6389" s="18">
        <f>IFERROR(__xludf.DUMMYFUNCTION("""COMPUTED_VALUE"""),1.0)</f>
        <v>1</v>
      </c>
      <c r="K6389" s="18">
        <f>IFERROR(__xludf.DUMMYFUNCTION("""COMPUTED_VALUE"""),10.0)</f>
        <v>10</v>
      </c>
      <c r="L6389" s="17">
        <f>IFERROR(__xludf.DUMMYFUNCTION("""COMPUTED_VALUE"""),3.208462338E9)</f>
        <v>3208462338</v>
      </c>
      <c r="M6389" s="17" t="str">
        <f>IFERROR(__xludf.DUMMYFUNCTION("""COMPUTED_VALUE"""),"#REF!")</f>
        <v>#REF!</v>
      </c>
      <c r="N6389" s="17"/>
      <c r="O6389" s="17"/>
      <c r="P6389" s="17" t="b">
        <f>IFERROR(__xludf.DUMMYFUNCTION("""COMPUTED_VALUE"""),FALSE)</f>
        <v>0</v>
      </c>
      <c r="Q6389" s="20" t="str">
        <f>IFERROR(__xludf.DUMMYFUNCTION("""COMPUTED_VALUE"""),"")</f>
        <v/>
      </c>
      <c r="R6389" s="21" t="str">
        <f>IFERROR(__xludf.DUMMYFUNCTION("""COMPUTED_VALUE"""),"https://drive.google.com/file/d/1phhQG3KdoVr2LXV-KpfdS55gTchB5e2k/view?usp=drivesdk")</f>
        <v>https://drive.google.com/file/d/1phhQG3KdoVr2LXV-KpfdS55gTchB5e2k/view?usp=drivesdk</v>
      </c>
    </row>
    <row r="6390">
      <c r="A6390" s="15">
        <f>IFERROR(__xludf.DUMMYFUNCTION("""COMPUTED_VALUE"""),45182.0)</f>
        <v>45182</v>
      </c>
      <c r="B6390" s="16" t="str">
        <f>IFERROR(__xludf.DUMMYFUNCTION("""COMPUTED_VALUE"""),"Jeison Rubiano")</f>
        <v>Jeison Rubiano</v>
      </c>
      <c r="C6390" s="15" t="str">
        <f>IFERROR(__xludf.DUMMYFUNCTION("""COMPUTED_VALUE"""),"BOGOTÁ")</f>
        <v>BOGOTÁ</v>
      </c>
      <c r="D6390" s="15" t="str">
        <f>IFERROR(__xludf.DUMMYFUNCTION("""COMPUTED_VALUE"""),"MEDELLÍN")</f>
        <v>MEDELLÍN</v>
      </c>
      <c r="E6390" s="15" t="str">
        <f>IFERROR(__xludf.DUMMYFUNCTION("""COMPUTED_VALUE"""),"AREPAS LA MARY")</f>
        <v>AREPAS LA MARY</v>
      </c>
      <c r="F6390" s="17" t="str">
        <f>IFERROR(__xludf.DUMMYFUNCTION("""COMPUTED_VALUE"""),"Carrera 4 # 69a-22 apto 202 / CHAPINERO ALTO")</f>
        <v>Carrera 4 # 69a-22 apto 202 / CHAPINERO ALTO</v>
      </c>
      <c r="G6390" s="15" t="str">
        <f>IFERROR(__xludf.DUMMYFUNCTION("""COMPUTED_VALUE"""),"PAULINA TAPIAS")</f>
        <v>PAULINA TAPIAS</v>
      </c>
      <c r="H6390" s="16">
        <f>IFERROR(__xludf.DUMMYFUNCTION("""COMPUTED_VALUE"""),15187.0)</f>
        <v>15187</v>
      </c>
      <c r="I6390" s="18">
        <f>IFERROR(__xludf.DUMMYFUNCTION("""COMPUTED_VALUE"""),89.0)</f>
        <v>89</v>
      </c>
      <c r="J6390" s="18">
        <f>IFERROR(__xludf.DUMMYFUNCTION("""COMPUTED_VALUE"""),1.0)</f>
        <v>1</v>
      </c>
      <c r="K6390" s="18">
        <f>IFERROR(__xludf.DUMMYFUNCTION("""COMPUTED_VALUE"""),10.0)</f>
        <v>10</v>
      </c>
      <c r="L6390" s="17">
        <f>IFERROR(__xludf.DUMMYFUNCTION("""COMPUTED_VALUE"""),3.226464133E9)</f>
        <v>3226464133</v>
      </c>
      <c r="M6390" s="17" t="str">
        <f>IFERROR(__xludf.DUMMYFUNCTION("""COMPUTED_VALUE"""),"#REF!")</f>
        <v>#REF!</v>
      </c>
      <c r="N6390" s="17"/>
      <c r="O6390" s="17"/>
      <c r="P6390" s="17" t="b">
        <f>IFERROR(__xludf.DUMMYFUNCTION("""COMPUTED_VALUE"""),FALSE)</f>
        <v>0</v>
      </c>
      <c r="Q6390" s="20" t="str">
        <f>IFERROR(__xludf.DUMMYFUNCTION("""COMPUTED_VALUE"""),"")</f>
        <v/>
      </c>
      <c r="R6390" s="21" t="str">
        <f>IFERROR(__xludf.DUMMYFUNCTION("""COMPUTED_VALUE"""),"https://drive.google.com/file/d/1fZDUh5iUQNz3pAYn2-xOiUeDsnF-2iIq/view?usp=drivesdk")</f>
        <v>https://drive.google.com/file/d/1fZDUh5iUQNz3pAYn2-xOiUeDsnF-2iIq/view?usp=drivesdk</v>
      </c>
    </row>
    <row r="6391">
      <c r="A6391" s="15">
        <f>IFERROR(__xludf.DUMMYFUNCTION("""COMPUTED_VALUE"""),45182.0)</f>
        <v>45182</v>
      </c>
      <c r="B6391" s="16" t="str">
        <f>IFERROR(__xludf.DUMMYFUNCTION("""COMPUTED_VALUE"""),"Jeison Rubiano")</f>
        <v>Jeison Rubiano</v>
      </c>
      <c r="C6391" s="15" t="str">
        <f>IFERROR(__xludf.DUMMYFUNCTION("""COMPUTED_VALUE"""),"BOGOTÁ")</f>
        <v>BOGOTÁ</v>
      </c>
      <c r="D6391" s="15" t="str">
        <f>IFERROR(__xludf.DUMMYFUNCTION("""COMPUTED_VALUE"""),"MEDELLÍN")</f>
        <v>MEDELLÍN</v>
      </c>
      <c r="E6391" s="15" t="str">
        <f>IFERROR(__xludf.DUMMYFUNCTION("""COMPUTED_VALUE"""),"AREPAS LA MARY")</f>
        <v>AREPAS LA MARY</v>
      </c>
      <c r="F6391" s="17" t="str">
        <f>IFERROR(__xludf.DUMMYFUNCTION("""COMPUTED_VALUE"""),"Carrera 6A # 132 - 37 / Barrio Bosque Medina BOGOTA")</f>
        <v>Carrera 6A # 132 - 37 / Barrio Bosque Medina BOGOTA</v>
      </c>
      <c r="G6391" s="15" t="str">
        <f>IFERROR(__xludf.DUMMYFUNCTION("""COMPUTED_VALUE"""),"MARIA CLAUDIA REY")</f>
        <v>MARIA CLAUDIA REY</v>
      </c>
      <c r="H6391" s="16">
        <f>IFERROR(__xludf.DUMMYFUNCTION("""COMPUTED_VALUE"""),15143.0)</f>
        <v>15143</v>
      </c>
      <c r="I6391" s="18">
        <f>IFERROR(__xludf.DUMMYFUNCTION("""COMPUTED_VALUE"""),89.0)</f>
        <v>89</v>
      </c>
      <c r="J6391" s="18">
        <f>IFERROR(__xludf.DUMMYFUNCTION("""COMPUTED_VALUE"""),1.0)</f>
        <v>1</v>
      </c>
      <c r="K6391" s="18">
        <f>IFERROR(__xludf.DUMMYFUNCTION("""COMPUTED_VALUE"""),10.0)</f>
        <v>10</v>
      </c>
      <c r="L6391" s="17">
        <f>IFERROR(__xludf.DUMMYFUNCTION("""COMPUTED_VALUE"""),3.15318738E9)</f>
        <v>3153187380</v>
      </c>
      <c r="M6391" s="17" t="str">
        <f>IFERROR(__xludf.DUMMYFUNCTION("""COMPUTED_VALUE"""),"#REF!")</f>
        <v>#REF!</v>
      </c>
      <c r="N6391" s="17"/>
      <c r="O6391" s="17"/>
      <c r="P6391" s="17" t="b">
        <f>IFERROR(__xludf.DUMMYFUNCTION("""COMPUTED_VALUE"""),FALSE)</f>
        <v>0</v>
      </c>
      <c r="Q6391" s="20" t="str">
        <f>IFERROR(__xludf.DUMMYFUNCTION("""COMPUTED_VALUE"""),"")</f>
        <v/>
      </c>
      <c r="R6391" s="21" t="str">
        <f>IFERROR(__xludf.DUMMYFUNCTION("""COMPUTED_VALUE"""),"https://drive.google.com/file/d/1FH9H5WPFcpc56jd4dzr7qjPfoetnYYCd/view?usp=drivesdk")</f>
        <v>https://drive.google.com/file/d/1FH9H5WPFcpc56jd4dzr7qjPfoetnYYCd/view?usp=drivesdk</v>
      </c>
    </row>
    <row r="6392">
      <c r="A6392" s="15">
        <f>IFERROR(__xludf.DUMMYFUNCTION("""COMPUTED_VALUE"""),45182.0)</f>
        <v>45182</v>
      </c>
      <c r="B6392" s="16" t="str">
        <f>IFERROR(__xludf.DUMMYFUNCTION("""COMPUTED_VALUE"""),"Jeison Rubiano")</f>
        <v>Jeison Rubiano</v>
      </c>
      <c r="C6392" s="15" t="str">
        <f>IFERROR(__xludf.DUMMYFUNCTION("""COMPUTED_VALUE"""),"BOGOTÁ")</f>
        <v>BOGOTÁ</v>
      </c>
      <c r="D6392" s="15" t="str">
        <f>IFERROR(__xludf.DUMMYFUNCTION("""COMPUTED_VALUE"""),"MEDELLÍN")</f>
        <v>MEDELLÍN</v>
      </c>
      <c r="E6392" s="15" t="str">
        <f>IFERROR(__xludf.DUMMYFUNCTION("""COMPUTED_VALUE"""),"AREPAS LA MARY")</f>
        <v>AREPAS LA MARY</v>
      </c>
      <c r="F6392" s="17" t="str">
        <f>IFERROR(__xludf.DUMMYFUNCTION("""COMPUTED_VALUE"""),"CRA 13 # 93-13 LOCAL 103 / LOCAL 103")</f>
        <v>CRA 13 # 93-13 LOCAL 103 / LOCAL 103</v>
      </c>
      <c r="G6392" s="15" t="str">
        <f>IFERROR(__xludf.DUMMYFUNCTION("""COMPUTED_VALUE"""),"HEALING FOODS")</f>
        <v>HEALING FOODS</v>
      </c>
      <c r="H6392" s="16">
        <f>IFERROR(__xludf.DUMMYFUNCTION("""COMPUTED_VALUE"""),15138.0)</f>
        <v>15138</v>
      </c>
      <c r="I6392" s="18">
        <f>IFERROR(__xludf.DUMMYFUNCTION("""COMPUTED_VALUE"""),89.0)</f>
        <v>89</v>
      </c>
      <c r="J6392" s="18">
        <f>IFERROR(__xludf.DUMMYFUNCTION("""COMPUTED_VALUE"""),1.0)</f>
        <v>1</v>
      </c>
      <c r="K6392" s="18">
        <f>IFERROR(__xludf.DUMMYFUNCTION("""COMPUTED_VALUE"""),10.0)</f>
        <v>10</v>
      </c>
      <c r="L6392" s="17">
        <f>IFERROR(__xludf.DUMMYFUNCTION("""COMPUTED_VALUE"""),3.142647408E9)</f>
        <v>3142647408</v>
      </c>
      <c r="M6392" s="17" t="str">
        <f>IFERROR(__xludf.DUMMYFUNCTION("""COMPUTED_VALUE"""),"#REF!")</f>
        <v>#REF!</v>
      </c>
      <c r="N6392" s="17"/>
      <c r="O6392" s="17"/>
      <c r="P6392" s="17" t="b">
        <f>IFERROR(__xludf.DUMMYFUNCTION("""COMPUTED_VALUE"""),FALSE)</f>
        <v>0</v>
      </c>
      <c r="Q6392" s="20" t="str">
        <f>IFERROR(__xludf.DUMMYFUNCTION("""COMPUTED_VALUE"""),"")</f>
        <v/>
      </c>
      <c r="R6392" s="21" t="str">
        <f>IFERROR(__xludf.DUMMYFUNCTION("""COMPUTED_VALUE"""),"https://drive.google.com/file/d/1vGMsGCZu-Z0vNDc47bN3FcJchoZOpJQG/view?usp=drivesdk")</f>
        <v>https://drive.google.com/file/d/1vGMsGCZu-Z0vNDc47bN3FcJchoZOpJQG/view?usp=drivesdk</v>
      </c>
    </row>
    <row r="6393">
      <c r="A6393" s="15">
        <f>IFERROR(__xludf.DUMMYFUNCTION("""COMPUTED_VALUE"""),45182.0)</f>
        <v>45182</v>
      </c>
      <c r="B6393" s="16" t="str">
        <f>IFERROR(__xludf.DUMMYFUNCTION("""COMPUTED_VALUE"""),"Jeison Rubiano")</f>
        <v>Jeison Rubiano</v>
      </c>
      <c r="C6393" s="15" t="str">
        <f>IFERROR(__xludf.DUMMYFUNCTION("""COMPUTED_VALUE"""),"BOGOTÁ")</f>
        <v>BOGOTÁ</v>
      </c>
      <c r="D6393" s="15" t="str">
        <f>IFERROR(__xludf.DUMMYFUNCTION("""COMPUTED_VALUE"""),"MEDELLÍN")</f>
        <v>MEDELLÍN</v>
      </c>
      <c r="E6393" s="15" t="str">
        <f>IFERROR(__xludf.DUMMYFUNCTION("""COMPUTED_VALUE"""),"AREPAS LA MARY")</f>
        <v>AREPAS LA MARY</v>
      </c>
      <c r="F6393" s="17" t="str">
        <f>IFERROR(__xludf.DUMMYFUNCTION("""COMPUTED_VALUE"""),"CRA 19 N.85 73 APTO 503 / ANTIGUO COUNTRY BOGOTA")</f>
        <v>CRA 19 N.85 73 APTO 503 / ANTIGUO COUNTRY BOGOTA</v>
      </c>
      <c r="G6393" s="15" t="str">
        <f>IFERROR(__xludf.DUMMYFUNCTION("""COMPUTED_VALUE"""),"SARA RICARDO")</f>
        <v>SARA RICARDO</v>
      </c>
      <c r="H6393" s="16">
        <f>IFERROR(__xludf.DUMMYFUNCTION("""COMPUTED_VALUE"""),15188.0)</f>
        <v>15188</v>
      </c>
      <c r="I6393" s="18">
        <f>IFERROR(__xludf.DUMMYFUNCTION("""COMPUTED_VALUE"""),89.0)</f>
        <v>89</v>
      </c>
      <c r="J6393" s="18">
        <f>IFERROR(__xludf.DUMMYFUNCTION("""COMPUTED_VALUE"""),1.0)</f>
        <v>1</v>
      </c>
      <c r="K6393" s="18">
        <f>IFERROR(__xludf.DUMMYFUNCTION("""COMPUTED_VALUE"""),10.0)</f>
        <v>10</v>
      </c>
      <c r="L6393" s="17">
        <f>IFERROR(__xludf.DUMMYFUNCTION("""COMPUTED_VALUE"""),3.103379939E9)</f>
        <v>3103379939</v>
      </c>
      <c r="M6393" s="17" t="str">
        <f>IFERROR(__xludf.DUMMYFUNCTION("""COMPUTED_VALUE"""),"#REF!")</f>
        <v>#REF!</v>
      </c>
      <c r="N6393" s="17"/>
      <c r="O6393" s="17"/>
      <c r="P6393" s="17" t="b">
        <f>IFERROR(__xludf.DUMMYFUNCTION("""COMPUTED_VALUE"""),TRUE)</f>
        <v>1</v>
      </c>
      <c r="Q6393" s="20">
        <f>IFERROR(__xludf.DUMMYFUNCTION("""COMPUTED_VALUE"""),45182.50334572917)</f>
        <v>45182.50335</v>
      </c>
      <c r="R6393" s="21" t="str">
        <f>IFERROR(__xludf.DUMMYFUNCTION("""COMPUTED_VALUE"""),"https://drive.google.com/file/d/1ttiftnqcS3HzicQEGr02qEicftGmwkfe/view?usp=drivesdk")</f>
        <v>https://drive.google.com/file/d/1ttiftnqcS3HzicQEGr02qEicftGmwkfe/view?usp=drivesdk</v>
      </c>
    </row>
    <row r="6394">
      <c r="A6394" s="15">
        <f>IFERROR(__xludf.DUMMYFUNCTION("""COMPUTED_VALUE"""),45182.0)</f>
        <v>45182</v>
      </c>
      <c r="B6394" s="16" t="str">
        <f>IFERROR(__xludf.DUMMYFUNCTION("""COMPUTED_VALUE"""),"Jeison Rubiano")</f>
        <v>Jeison Rubiano</v>
      </c>
      <c r="C6394" s="15" t="str">
        <f>IFERROR(__xludf.DUMMYFUNCTION("""COMPUTED_VALUE"""),"BOGOTÁ")</f>
        <v>BOGOTÁ</v>
      </c>
      <c r="D6394" s="15" t="str">
        <f>IFERROR(__xludf.DUMMYFUNCTION("""COMPUTED_VALUE"""),"MEDELLÍN")</f>
        <v>MEDELLÍN</v>
      </c>
      <c r="E6394" s="15" t="str">
        <f>IFERROR(__xludf.DUMMYFUNCTION("""COMPUTED_VALUE"""),"AREPAS LA MARY")</f>
        <v>AREPAS LA MARY</v>
      </c>
      <c r="F6394" s="17" t="str">
        <f>IFERROR(__xludf.DUMMYFUNCTION("""COMPUTED_VALUE"""),"CRA 19 N.85 73 APTO 503 / ANTIGUO COUNTRY BOGOTA")</f>
        <v>CRA 19 N.85 73 APTO 503 / ANTIGUO COUNTRY BOGOTA</v>
      </c>
      <c r="G6394" s="15" t="str">
        <f>IFERROR(__xludf.DUMMYFUNCTION("""COMPUTED_VALUE"""),"SARA RICARDO")</f>
        <v>SARA RICARDO</v>
      </c>
      <c r="H6394" s="16">
        <f>IFERROR(__xludf.DUMMYFUNCTION("""COMPUTED_VALUE"""),15189.0)</f>
        <v>15189</v>
      </c>
      <c r="I6394" s="18">
        <f>IFERROR(__xludf.DUMMYFUNCTION("""COMPUTED_VALUE"""),89.0)</f>
        <v>89</v>
      </c>
      <c r="J6394" s="18">
        <f>IFERROR(__xludf.DUMMYFUNCTION("""COMPUTED_VALUE"""),1.0)</f>
        <v>1</v>
      </c>
      <c r="K6394" s="18">
        <f>IFERROR(__xludf.DUMMYFUNCTION("""COMPUTED_VALUE"""),10.0)</f>
        <v>10</v>
      </c>
      <c r="L6394" s="17">
        <f>IFERROR(__xludf.DUMMYFUNCTION("""COMPUTED_VALUE"""),3.103379939E9)</f>
        <v>3103379939</v>
      </c>
      <c r="M6394" s="17" t="str">
        <f>IFERROR(__xludf.DUMMYFUNCTION("""COMPUTED_VALUE"""),"#REF!")</f>
        <v>#REF!</v>
      </c>
      <c r="N6394" s="17"/>
      <c r="O6394" s="17"/>
      <c r="P6394" s="17" t="b">
        <f>IFERROR(__xludf.DUMMYFUNCTION("""COMPUTED_VALUE"""),FALSE)</f>
        <v>0</v>
      </c>
      <c r="Q6394" s="20" t="str">
        <f>IFERROR(__xludf.DUMMYFUNCTION("""COMPUTED_VALUE"""),"")</f>
        <v/>
      </c>
      <c r="R6394" s="21" t="str">
        <f>IFERROR(__xludf.DUMMYFUNCTION("""COMPUTED_VALUE"""),"https://drive.google.com/file/d/1FXrdzV8InuSEQU2B65nlM6NMihYkVf6p/view?usp=drivesdk")</f>
        <v>https://drive.google.com/file/d/1FXrdzV8InuSEQU2B65nlM6NMihYkVf6p/view?usp=drivesdk</v>
      </c>
    </row>
    <row r="6395">
      <c r="A6395" s="15">
        <f>IFERROR(__xludf.DUMMYFUNCTION("""COMPUTED_VALUE"""),45182.0)</f>
        <v>45182</v>
      </c>
      <c r="B6395" s="16" t="str">
        <f>IFERROR(__xludf.DUMMYFUNCTION("""COMPUTED_VALUE"""),"Jeison Rubiano")</f>
        <v>Jeison Rubiano</v>
      </c>
      <c r="C6395" s="15" t="str">
        <f>IFERROR(__xludf.DUMMYFUNCTION("""COMPUTED_VALUE"""),"BOGOTÁ")</f>
        <v>BOGOTÁ</v>
      </c>
      <c r="D6395" s="15" t="str">
        <f>IFERROR(__xludf.DUMMYFUNCTION("""COMPUTED_VALUE"""),"MEDELLÍN")</f>
        <v>MEDELLÍN</v>
      </c>
      <c r="E6395" s="15" t="str">
        <f>IFERROR(__xludf.DUMMYFUNCTION("""COMPUTED_VALUE"""),"AREPAS LA MARY")</f>
        <v>AREPAS LA MARY</v>
      </c>
      <c r="F6395" s="17" t="str">
        <f>IFERROR(__xludf.DUMMYFUNCTION("""COMPUTED_VALUE"""),"CRA 1A N.77 53 / CHAPINERO BOGOTA")</f>
        <v>CRA 1A N.77 53 / CHAPINERO BOGOTA</v>
      </c>
      <c r="G6395" s="15" t="str">
        <f>IFERROR(__xludf.DUMMYFUNCTION("""COMPUTED_VALUE"""),"MARIA ANDREA OBREGON")</f>
        <v>MARIA ANDREA OBREGON</v>
      </c>
      <c r="H6395" s="16">
        <f>IFERROR(__xludf.DUMMYFUNCTION("""COMPUTED_VALUE"""),15141.0)</f>
        <v>15141</v>
      </c>
      <c r="I6395" s="18">
        <f>IFERROR(__xludf.DUMMYFUNCTION("""COMPUTED_VALUE"""),89.0)</f>
        <v>89</v>
      </c>
      <c r="J6395" s="18">
        <f>IFERROR(__xludf.DUMMYFUNCTION("""COMPUTED_VALUE"""),1.0)</f>
        <v>1</v>
      </c>
      <c r="K6395" s="18">
        <f>IFERROR(__xludf.DUMMYFUNCTION("""COMPUTED_VALUE"""),10.0)</f>
        <v>10</v>
      </c>
      <c r="L6395" s="17">
        <f>IFERROR(__xludf.DUMMYFUNCTION("""COMPUTED_VALUE"""),3.143142222E9)</f>
        <v>3143142222</v>
      </c>
      <c r="M6395" s="17" t="str">
        <f>IFERROR(__xludf.DUMMYFUNCTION("""COMPUTED_VALUE"""),"#REF!")</f>
        <v>#REF!</v>
      </c>
      <c r="N6395" s="17"/>
      <c r="O6395" s="17"/>
      <c r="P6395" s="17" t="b">
        <f>IFERROR(__xludf.DUMMYFUNCTION("""COMPUTED_VALUE"""),FALSE)</f>
        <v>0</v>
      </c>
      <c r="Q6395" s="20" t="str">
        <f>IFERROR(__xludf.DUMMYFUNCTION("""COMPUTED_VALUE"""),"")</f>
        <v/>
      </c>
      <c r="R6395" s="21" t="str">
        <f>IFERROR(__xludf.DUMMYFUNCTION("""COMPUTED_VALUE"""),"https://drive.google.com/file/d/1ZsyOx8W_mePNCAuk1ZpJmBtqjwpXmdY1/view?usp=drivesdk")</f>
        <v>https://drive.google.com/file/d/1ZsyOx8W_mePNCAuk1ZpJmBtqjwpXmdY1/view?usp=drivesdk</v>
      </c>
    </row>
    <row r="6396">
      <c r="A6396" s="15">
        <f>IFERROR(__xludf.DUMMYFUNCTION("""COMPUTED_VALUE"""),45182.0)</f>
        <v>45182</v>
      </c>
      <c r="B6396" s="16" t="str">
        <f>IFERROR(__xludf.DUMMYFUNCTION("""COMPUTED_VALUE"""),"Jeison Rubiano")</f>
        <v>Jeison Rubiano</v>
      </c>
      <c r="C6396" s="15" t="str">
        <f>IFERROR(__xludf.DUMMYFUNCTION("""COMPUTED_VALUE"""),"BOGOTÁ")</f>
        <v>BOGOTÁ</v>
      </c>
      <c r="D6396" s="15" t="str">
        <f>IFERROR(__xludf.DUMMYFUNCTION("""COMPUTED_VALUE"""),"MEDELLÍN")</f>
        <v>MEDELLÍN</v>
      </c>
      <c r="E6396" s="15" t="str">
        <f>IFERROR(__xludf.DUMMYFUNCTION("""COMPUTED_VALUE"""),"AREPAS LA MARY")</f>
        <v>AREPAS LA MARY</v>
      </c>
      <c r="F6396" s="17" t="str">
        <f>IFERROR(__xludf.DUMMYFUNCTION("""COMPUTED_VALUE"""),"cra 54 # 126-35 Torre 3 Apto 601 / BOGOTA")</f>
        <v>cra 54 # 126-35 Torre 3 Apto 601 / BOGOTA</v>
      </c>
      <c r="G6396" s="15" t="str">
        <f>IFERROR(__xludf.DUMMYFUNCTION("""COMPUTED_VALUE"""),"CAROLINA CABRA")</f>
        <v>CAROLINA CABRA</v>
      </c>
      <c r="H6396" s="16">
        <f>IFERROR(__xludf.DUMMYFUNCTION("""COMPUTED_VALUE"""),15190.0)</f>
        <v>15190</v>
      </c>
      <c r="I6396" s="18">
        <f>IFERROR(__xludf.DUMMYFUNCTION("""COMPUTED_VALUE"""),89.0)</f>
        <v>89</v>
      </c>
      <c r="J6396" s="18">
        <f>IFERROR(__xludf.DUMMYFUNCTION("""COMPUTED_VALUE"""),1.0)</f>
        <v>1</v>
      </c>
      <c r="K6396" s="18">
        <f>IFERROR(__xludf.DUMMYFUNCTION("""COMPUTED_VALUE"""),10.0)</f>
        <v>10</v>
      </c>
      <c r="L6396" s="17">
        <f>IFERROR(__xludf.DUMMYFUNCTION("""COMPUTED_VALUE"""),3.102539108E9)</f>
        <v>3102539108</v>
      </c>
      <c r="M6396" s="17" t="str">
        <f>IFERROR(__xludf.DUMMYFUNCTION("""COMPUTED_VALUE"""),"#REF!")</f>
        <v>#REF!</v>
      </c>
      <c r="N6396" s="17"/>
      <c r="O6396" s="17"/>
      <c r="P6396" s="17" t="b">
        <f>IFERROR(__xludf.DUMMYFUNCTION("""COMPUTED_VALUE"""),FALSE)</f>
        <v>0</v>
      </c>
      <c r="Q6396" s="20" t="str">
        <f>IFERROR(__xludf.DUMMYFUNCTION("""COMPUTED_VALUE"""),"")</f>
        <v/>
      </c>
      <c r="R6396" s="21" t="str">
        <f>IFERROR(__xludf.DUMMYFUNCTION("""COMPUTED_VALUE"""),"https://drive.google.com/file/d/10ND6wURhIiz5FVXAv1eULq4qpYn5knV2/view?usp=drivesdk")</f>
        <v>https://drive.google.com/file/d/10ND6wURhIiz5FVXAv1eULq4qpYn5knV2/view?usp=drivesdk</v>
      </c>
    </row>
    <row r="6397">
      <c r="A6397" s="15">
        <f>IFERROR(__xludf.DUMMYFUNCTION("""COMPUTED_VALUE"""),45182.0)</f>
        <v>45182</v>
      </c>
      <c r="B6397" s="16" t="str">
        <f>IFERROR(__xludf.DUMMYFUNCTION("""COMPUTED_VALUE"""),"Jeison Rubiano")</f>
        <v>Jeison Rubiano</v>
      </c>
      <c r="C6397" s="15" t="str">
        <f>IFERROR(__xludf.DUMMYFUNCTION("""COMPUTED_VALUE"""),"BOGOTÁ")</f>
        <v>BOGOTÁ</v>
      </c>
      <c r="D6397" s="15" t="str">
        <f>IFERROR(__xludf.DUMMYFUNCTION("""COMPUTED_VALUE"""),"MEDELLÍN")</f>
        <v>MEDELLÍN</v>
      </c>
      <c r="E6397" s="15" t="str">
        <f>IFERROR(__xludf.DUMMYFUNCTION("""COMPUTED_VALUE"""),"Baby Chef")</f>
        <v>Baby Chef</v>
      </c>
      <c r="F6397" s="17" t="str">
        <f>IFERROR(__xludf.DUMMYFUNCTION("""COMPUTED_VALUE"""),"Av calle 22 # 102 49 Edificio jitaku Apt 705 / Av calle 22 # 102 49 Edificio jitaku Apt 705 / Av calle 22 # 102 49 Edificio jitaku Apt 705")</f>
        <v>Av calle 22 # 102 49 Edificio jitaku Apt 705 / Av calle 22 # 102 49 Edificio jitaku Apt 705 / Av calle 22 # 102 49 Edificio jitaku Apt 705</v>
      </c>
      <c r="G6397" s="15" t="str">
        <f>IFERROR(__xludf.DUMMYFUNCTION("""COMPUTED_VALUE"""),"Lorena Rojas")</f>
        <v>Lorena Rojas</v>
      </c>
      <c r="H6397" s="16">
        <f>IFERROR(__xludf.DUMMYFUNCTION("""COMPUTED_VALUE"""),15162.0)</f>
        <v>15162</v>
      </c>
      <c r="I6397" s="18">
        <f>IFERROR(__xludf.DUMMYFUNCTION("""COMPUTED_VALUE"""),6.0)</f>
        <v>6</v>
      </c>
      <c r="J6397" s="18">
        <f>IFERROR(__xludf.DUMMYFUNCTION("""COMPUTED_VALUE"""),28.0)</f>
        <v>28</v>
      </c>
      <c r="K6397" s="18">
        <f>IFERROR(__xludf.DUMMYFUNCTION("""COMPUTED_VALUE"""),35.0)</f>
        <v>35</v>
      </c>
      <c r="L6397" s="17">
        <f>IFERROR(__xludf.DUMMYFUNCTION("""COMPUTED_VALUE"""),3.124434573E9)</f>
        <v>3124434573</v>
      </c>
      <c r="M6397" s="17" t="str">
        <f>IFERROR(__xludf.DUMMYFUNCTION("""COMPUTED_VALUE"""),"#REF!")</f>
        <v>#REF!</v>
      </c>
      <c r="N6397" s="17"/>
      <c r="O6397" s="17"/>
      <c r="P6397" s="17" t="b">
        <f>IFERROR(__xludf.DUMMYFUNCTION("""COMPUTED_VALUE"""),FALSE)</f>
        <v>0</v>
      </c>
      <c r="Q6397" s="20" t="str">
        <f>IFERROR(__xludf.DUMMYFUNCTION("""COMPUTED_VALUE"""),"")</f>
        <v/>
      </c>
      <c r="R6397" s="21" t="str">
        <f>IFERROR(__xludf.DUMMYFUNCTION("""COMPUTED_VALUE"""),"https://drive.google.com/file/d/10GtDE3gD925JPQgu9rH2BWpF3UgQuDjC/view?usp=drivesdk")</f>
        <v>https://drive.google.com/file/d/10GtDE3gD925JPQgu9rH2BWpF3UgQuDjC/view?usp=drivesdk</v>
      </c>
    </row>
    <row r="6398">
      <c r="A6398" s="15">
        <f>IFERROR(__xludf.DUMMYFUNCTION("""COMPUTED_VALUE"""),45182.0)</f>
        <v>45182</v>
      </c>
      <c r="B6398" s="16" t="str">
        <f>IFERROR(__xludf.DUMMYFUNCTION("""COMPUTED_VALUE"""),"Jeison Rubiano")</f>
        <v>Jeison Rubiano</v>
      </c>
      <c r="C6398" s="15" t="str">
        <f>IFERROR(__xludf.DUMMYFUNCTION("""COMPUTED_VALUE"""),"BOGOTÁ")</f>
        <v>BOGOTÁ</v>
      </c>
      <c r="D6398" s="15" t="str">
        <f>IFERROR(__xludf.DUMMYFUNCTION("""COMPUTED_VALUE"""),"MEDELLÍN")</f>
        <v>MEDELLÍN</v>
      </c>
      <c r="E6398" s="15" t="str">
        <f>IFERROR(__xludf.DUMMYFUNCTION("""COMPUTED_VALUE"""),"Baby Chef")</f>
        <v>Baby Chef</v>
      </c>
      <c r="F6398" s="17" t="str">
        <f>IFERROR(__xludf.DUMMYFUNCTION("""COMPUTED_VALUE"""),"Calle 3a # 8b-35 sur  Nariño sur  Cerca a la cárcel distrital / Calle 3a # 8b-35 sur  Nariño sur  Cerca a la cárcel distrital / Calle 3a # 8b-35 sur  Nariño sur  Cerca a la cárcel distrital")</f>
        <v>Calle 3a # 8b-35 sur  Nariño sur  Cerca a la cárcel distrital / Calle 3a # 8b-35 sur  Nariño sur  Cerca a la cárcel distrital / Calle 3a # 8b-35 sur  Nariño sur  Cerca a la cárcel distrital</v>
      </c>
      <c r="G6398" s="15" t="str">
        <f>IFERROR(__xludf.DUMMYFUNCTION("""COMPUTED_VALUE"""),"Vanesa Dominguez")</f>
        <v>Vanesa Dominguez</v>
      </c>
      <c r="H6398" s="16">
        <f>IFERROR(__xludf.DUMMYFUNCTION("""COMPUTED_VALUE"""),15165.0)</f>
        <v>15165</v>
      </c>
      <c r="I6398" s="18">
        <f>IFERROR(__xludf.DUMMYFUNCTION("""COMPUTED_VALUE"""),6.0)</f>
        <v>6</v>
      </c>
      <c r="J6398" s="18">
        <f>IFERROR(__xludf.DUMMYFUNCTION("""COMPUTED_VALUE"""),20.0)</f>
        <v>20</v>
      </c>
      <c r="K6398" s="18">
        <f>IFERROR(__xludf.DUMMYFUNCTION("""COMPUTED_VALUE"""),20.0)</f>
        <v>20</v>
      </c>
      <c r="L6398" s="17">
        <f>IFERROR(__xludf.DUMMYFUNCTION("""COMPUTED_VALUE"""),3.219208081E9)</f>
        <v>3219208081</v>
      </c>
      <c r="M6398" s="17" t="str">
        <f>IFERROR(__xludf.DUMMYFUNCTION("""COMPUTED_VALUE"""),"#REF!")</f>
        <v>#REF!</v>
      </c>
      <c r="N6398" s="17"/>
      <c r="O6398" s="17"/>
      <c r="P6398" s="17" t="b">
        <f>IFERROR(__xludf.DUMMYFUNCTION("""COMPUTED_VALUE"""),FALSE)</f>
        <v>0</v>
      </c>
      <c r="Q6398" s="20" t="str">
        <f>IFERROR(__xludf.DUMMYFUNCTION("""COMPUTED_VALUE"""),"")</f>
        <v/>
      </c>
      <c r="R6398" s="21" t="str">
        <f>IFERROR(__xludf.DUMMYFUNCTION("""COMPUTED_VALUE"""),"https://drive.google.com/file/d/1W4IozqjO41plBff3gmIZQCowgrhiOsJu/view?usp=drivesdk")</f>
        <v>https://drive.google.com/file/d/1W4IozqjO41plBff3gmIZQCowgrhiOsJu/view?usp=drivesdk</v>
      </c>
    </row>
    <row r="6399">
      <c r="A6399" s="15">
        <f>IFERROR(__xludf.DUMMYFUNCTION("""COMPUTED_VALUE"""),45182.0)</f>
        <v>45182</v>
      </c>
      <c r="B6399" s="16" t="str">
        <f>IFERROR(__xludf.DUMMYFUNCTION("""COMPUTED_VALUE"""),"Jeison Rubiano")</f>
        <v>Jeison Rubiano</v>
      </c>
      <c r="C6399" s="15" t="str">
        <f>IFERROR(__xludf.DUMMYFUNCTION("""COMPUTED_VALUE"""),"BOGOTÁ")</f>
        <v>BOGOTÁ</v>
      </c>
      <c r="D6399" s="15" t="str">
        <f>IFERROR(__xludf.DUMMYFUNCTION("""COMPUTED_VALUE"""),"MEDELLÍN")</f>
        <v>MEDELLÍN</v>
      </c>
      <c r="E6399" s="15" t="str">
        <f>IFERROR(__xludf.DUMMYFUNCTION("""COMPUTED_VALUE"""),"Baby Chef")</f>
        <v>Baby Chef</v>
      </c>
      <c r="F6399" s="17" t="str">
        <f>IFERROR(__xludf.DUMMYFUNCTION("""COMPUTED_VALUE"""),"Calle 59 # 56 63, int 4 apto 115 Barrio quirinal  Conjunto parques de San Nicolás  / Calle 59 # 56 63, int 4 apto 115 Barrio quirinal  Conjunto parques de San Nicolás  / Calle 59 # 56 63, int 4 apto 115 Barrio quirinal  Conjunto parques de San Nicolás")</f>
        <v>Calle 59 # 56 63, int 4 apto 115 Barrio quirinal  Conjunto parques de San Nicolás  / Calle 59 # 56 63, int 4 apto 115 Barrio quirinal  Conjunto parques de San Nicolás  / Calle 59 # 56 63, int 4 apto 115 Barrio quirinal  Conjunto parques de San Nicolás</v>
      </c>
      <c r="G6399" s="15" t="str">
        <f>IFERROR(__xludf.DUMMYFUNCTION("""COMPUTED_VALUE"""),"Tania Marisol González")</f>
        <v>Tania Marisol González</v>
      </c>
      <c r="H6399" s="16">
        <f>IFERROR(__xludf.DUMMYFUNCTION("""COMPUTED_VALUE"""),15166.0)</f>
        <v>15166</v>
      </c>
      <c r="I6399" s="18">
        <f>IFERROR(__xludf.DUMMYFUNCTION("""COMPUTED_VALUE"""),4.0)</f>
        <v>4</v>
      </c>
      <c r="J6399" s="18">
        <f>IFERROR(__xludf.DUMMYFUNCTION("""COMPUTED_VALUE"""),12.0)</f>
        <v>12</v>
      </c>
      <c r="K6399" s="18">
        <f>IFERROR(__xludf.DUMMYFUNCTION("""COMPUTED_VALUE"""),17.0)</f>
        <v>17</v>
      </c>
      <c r="L6399" s="17">
        <f>IFERROR(__xludf.DUMMYFUNCTION("""COMPUTED_VALUE"""),3.114506848E9)</f>
        <v>3114506848</v>
      </c>
      <c r="M6399" s="17" t="str">
        <f>IFERROR(__xludf.DUMMYFUNCTION("""COMPUTED_VALUE"""),"#REF!")</f>
        <v>#REF!</v>
      </c>
      <c r="N6399" s="17"/>
      <c r="O6399" s="17"/>
      <c r="P6399" s="17" t="b">
        <f>IFERROR(__xludf.DUMMYFUNCTION("""COMPUTED_VALUE"""),FALSE)</f>
        <v>0</v>
      </c>
      <c r="Q6399" s="20" t="str">
        <f>IFERROR(__xludf.DUMMYFUNCTION("""COMPUTED_VALUE"""),"")</f>
        <v/>
      </c>
      <c r="R6399" s="21" t="str">
        <f>IFERROR(__xludf.DUMMYFUNCTION("""COMPUTED_VALUE"""),"https://drive.google.com/file/d/1_bODSpkJjbFQD3QVA_pnCd83STKrMITU/view?usp=drivesdk")</f>
        <v>https://drive.google.com/file/d/1_bODSpkJjbFQD3QVA_pnCd83STKrMITU/view?usp=drivesdk</v>
      </c>
    </row>
    <row r="6400">
      <c r="A6400" s="15">
        <f>IFERROR(__xludf.DUMMYFUNCTION("""COMPUTED_VALUE"""),45182.0)</f>
        <v>45182</v>
      </c>
      <c r="B6400" s="16" t="str">
        <f>IFERROR(__xludf.DUMMYFUNCTION("""COMPUTED_VALUE"""),"Jeison Rubiano")</f>
        <v>Jeison Rubiano</v>
      </c>
      <c r="C6400" s="15" t="str">
        <f>IFERROR(__xludf.DUMMYFUNCTION("""COMPUTED_VALUE"""),"BOGOTÁ")</f>
        <v>BOGOTÁ</v>
      </c>
      <c r="D6400" s="15" t="str">
        <f>IFERROR(__xludf.DUMMYFUNCTION("""COMPUTED_VALUE"""),"MEDELLÍN")</f>
        <v>MEDELLÍN</v>
      </c>
      <c r="E6400" s="15" t="str">
        <f>IFERROR(__xludf.DUMMYFUNCTION("""COMPUTED_VALUE"""),"Baby Chef")</f>
        <v>Baby Chef</v>
      </c>
      <c r="F6400" s="17" t="str">
        <f>IFERROR(__xludf.DUMMYFUNCTION("""COMPUTED_VALUE"""),"Calle 80 #103a- 24 bloque 34 apto 404 Bochica II / Calle 80 #103a- 24 bloque 34 apto 404 Bochica II / Calle 80 #103a- 24 bloque 34 apto 404 Bochica II - ENTREGAR EN LA TARDE")</f>
        <v>Calle 80 #103a- 24 bloque 34 apto 404 Bochica II / Calle 80 #103a- 24 bloque 34 apto 404 Bochica II / Calle 80 #103a- 24 bloque 34 apto 404 Bochica II - ENTREGAR EN LA TARDE</v>
      </c>
      <c r="G6400" s="15" t="str">
        <f>IFERROR(__xludf.DUMMYFUNCTION("""COMPUTED_VALUE"""),"Paula Mariana Forero Organista")</f>
        <v>Paula Mariana Forero Organista</v>
      </c>
      <c r="H6400" s="16">
        <f>IFERROR(__xludf.DUMMYFUNCTION("""COMPUTED_VALUE"""),15164.0)</f>
        <v>15164</v>
      </c>
      <c r="I6400" s="18">
        <f>IFERROR(__xludf.DUMMYFUNCTION("""COMPUTED_VALUE"""),7.0)</f>
        <v>7</v>
      </c>
      <c r="J6400" s="18">
        <f>IFERROR(__xludf.DUMMYFUNCTION("""COMPUTED_VALUE"""),22.0)</f>
        <v>22</v>
      </c>
      <c r="K6400" s="18">
        <f>IFERROR(__xludf.DUMMYFUNCTION("""COMPUTED_VALUE"""),35.0)</f>
        <v>35</v>
      </c>
      <c r="L6400" s="17">
        <f>IFERROR(__xludf.DUMMYFUNCTION("""COMPUTED_VALUE"""),3.213820315E9)</f>
        <v>3213820315</v>
      </c>
      <c r="M6400" s="17" t="str">
        <f>IFERROR(__xludf.DUMMYFUNCTION("""COMPUTED_VALUE"""),"#REF!")</f>
        <v>#REF!</v>
      </c>
      <c r="N6400" s="17"/>
      <c r="O6400" s="17"/>
      <c r="P6400" s="17" t="b">
        <f>IFERROR(__xludf.DUMMYFUNCTION("""COMPUTED_VALUE"""),TRUE)</f>
        <v>1</v>
      </c>
      <c r="Q6400" s="20">
        <f>IFERROR(__xludf.DUMMYFUNCTION("""COMPUTED_VALUE"""),45182.48734045139)</f>
        <v>45182.48734</v>
      </c>
      <c r="R6400" s="21" t="str">
        <f>IFERROR(__xludf.DUMMYFUNCTION("""COMPUTED_VALUE"""),"https://drive.google.com/file/d/1upzVEXZa5HQAbIBxh4RTzMxE5jmGjKU3/view?usp=drivesdk")</f>
        <v>https://drive.google.com/file/d/1upzVEXZa5HQAbIBxh4RTzMxE5jmGjKU3/view?usp=drivesdk</v>
      </c>
    </row>
    <row r="6401">
      <c r="A6401" s="15">
        <f>IFERROR(__xludf.DUMMYFUNCTION("""COMPUTED_VALUE"""),45182.0)</f>
        <v>45182</v>
      </c>
      <c r="B6401" s="16" t="str">
        <f>IFERROR(__xludf.DUMMYFUNCTION("""COMPUTED_VALUE"""),"Jeison Rubiano")</f>
        <v>Jeison Rubiano</v>
      </c>
      <c r="C6401" s="15" t="str">
        <f>IFERROR(__xludf.DUMMYFUNCTION("""COMPUTED_VALUE"""),"BOGOTÁ")</f>
        <v>BOGOTÁ</v>
      </c>
      <c r="D6401" s="15" t="str">
        <f>IFERROR(__xludf.DUMMYFUNCTION("""COMPUTED_VALUE"""),"MEDELLÍN")</f>
        <v>MEDELLÍN</v>
      </c>
      <c r="E6401" s="15" t="str">
        <f>IFERROR(__xludf.DUMMYFUNCTION("""COMPUTED_VALUE"""),"Baby Chef")</f>
        <v>Baby Chef</v>
      </c>
      <c r="F6401" s="17" t="str">
        <f>IFERROR(__xludf.DUMMYFUNCTION("""COMPUTED_VALUE"""),"Carrera 13 # 93 - 85 Cons 209 / Carrera 13 # 93 - 85 Cons 209 / Carrera 13 # 93 - 85 Cons 209")</f>
        <v>Carrera 13 # 93 - 85 Cons 209 / Carrera 13 # 93 - 85 Cons 209 / Carrera 13 # 93 - 85 Cons 209</v>
      </c>
      <c r="G6401" s="15" t="str">
        <f>IFERROR(__xludf.DUMMYFUNCTION("""COMPUTED_VALUE"""),"Camilo Luna")</f>
        <v>Camilo Luna</v>
      </c>
      <c r="H6401" s="16">
        <f>IFERROR(__xludf.DUMMYFUNCTION("""COMPUTED_VALUE"""),15167.0)</f>
        <v>15167</v>
      </c>
      <c r="I6401" s="18">
        <f>IFERROR(__xludf.DUMMYFUNCTION("""COMPUTED_VALUE"""),6.0)</f>
        <v>6</v>
      </c>
      <c r="J6401" s="18">
        <f>IFERROR(__xludf.DUMMYFUNCTION("""COMPUTED_VALUE"""),21.0)</f>
        <v>21</v>
      </c>
      <c r="K6401" s="18">
        <f>IFERROR(__xludf.DUMMYFUNCTION("""COMPUTED_VALUE"""),32.0)</f>
        <v>32</v>
      </c>
      <c r="L6401" s="17">
        <f>IFERROR(__xludf.DUMMYFUNCTION("""COMPUTED_VALUE"""),3.213446307E9)</f>
        <v>3213446307</v>
      </c>
      <c r="M6401" s="17" t="str">
        <f>IFERROR(__xludf.DUMMYFUNCTION("""COMPUTED_VALUE"""),"#REF!")</f>
        <v>#REF!</v>
      </c>
      <c r="N6401" s="17"/>
      <c r="O6401" s="17"/>
      <c r="P6401" s="17" t="b">
        <f>IFERROR(__xludf.DUMMYFUNCTION("""COMPUTED_VALUE"""),TRUE)</f>
        <v>1</v>
      </c>
      <c r="Q6401" s="20">
        <f>IFERROR(__xludf.DUMMYFUNCTION("""COMPUTED_VALUE"""),45182.73465640046)</f>
        <v>45182.73466</v>
      </c>
      <c r="R6401" s="21" t="str">
        <f>IFERROR(__xludf.DUMMYFUNCTION("""COMPUTED_VALUE"""),"https://drive.google.com/file/d/1O6zg1XQmv036iW-eCx82BPsdef6zZ2JO/view?usp=drivesdk")</f>
        <v>https://drive.google.com/file/d/1O6zg1XQmv036iW-eCx82BPsdef6zZ2JO/view?usp=drivesdk</v>
      </c>
    </row>
    <row r="6402">
      <c r="A6402" s="15">
        <f>IFERROR(__xludf.DUMMYFUNCTION("""COMPUTED_VALUE"""),45182.0)</f>
        <v>45182</v>
      </c>
      <c r="B6402" s="16" t="str">
        <f>IFERROR(__xludf.DUMMYFUNCTION("""COMPUTED_VALUE"""),"Jeison Rubiano")</f>
        <v>Jeison Rubiano</v>
      </c>
      <c r="C6402" s="15" t="str">
        <f>IFERROR(__xludf.DUMMYFUNCTION("""COMPUTED_VALUE"""),"BOGOTÁ")</f>
        <v>BOGOTÁ</v>
      </c>
      <c r="D6402" s="15" t="str">
        <f>IFERROR(__xludf.DUMMYFUNCTION("""COMPUTED_VALUE"""),"MEDELLÍN")</f>
        <v>MEDELLÍN</v>
      </c>
      <c r="E6402" s="15" t="str">
        <f>IFERROR(__xludf.DUMMYFUNCTION("""COMPUTED_VALUE"""),"Baby Chef")</f>
        <v>Baby Chef</v>
      </c>
      <c r="F6402" s="17" t="str">
        <f>IFERROR(__xludf.DUMMYFUNCTION("""COMPUTED_VALUE"""),"Carrera 72 Bis # 147-60 Torre 2 Apto 1803 / ""Carrera 72 Bis # 147-60 Torre 2 Apto 1803"" / ""Carrera 72 Bis # 147-60 Torre 2 Apto 1803""")</f>
        <v>Carrera 72 Bis # 147-60 Torre 2 Apto 1803 / "Carrera 72 Bis # 147-60 Torre 2 Apto 1803" / "Carrera 72 Bis # 147-60 Torre 2 Apto 1803"</v>
      </c>
      <c r="G6402" s="15" t="str">
        <f>IFERROR(__xludf.DUMMYFUNCTION("""COMPUTED_VALUE"""),"Catalina Chaves")</f>
        <v>Catalina Chaves</v>
      </c>
      <c r="H6402" s="16">
        <f>IFERROR(__xludf.DUMMYFUNCTION("""COMPUTED_VALUE"""),15163.0)</f>
        <v>15163</v>
      </c>
      <c r="I6402" s="18">
        <f>IFERROR(__xludf.DUMMYFUNCTION("""COMPUTED_VALUE"""),9.0)</f>
        <v>9</v>
      </c>
      <c r="J6402" s="18">
        <f>IFERROR(__xludf.DUMMYFUNCTION("""COMPUTED_VALUE"""),29.0)</f>
        <v>29</v>
      </c>
      <c r="K6402" s="18">
        <f>IFERROR(__xludf.DUMMYFUNCTION("""COMPUTED_VALUE"""),37.0)</f>
        <v>37</v>
      </c>
      <c r="L6402" s="17">
        <f>IFERROR(__xludf.DUMMYFUNCTION("""COMPUTED_VALUE"""),3.108597529E9)</f>
        <v>3108597529</v>
      </c>
      <c r="M6402" s="17" t="str">
        <f>IFERROR(__xludf.DUMMYFUNCTION("""COMPUTED_VALUE"""),"#REF!")</f>
        <v>#REF!</v>
      </c>
      <c r="N6402" s="17"/>
      <c r="O6402" s="17"/>
      <c r="P6402" s="17" t="b">
        <f>IFERROR(__xludf.DUMMYFUNCTION("""COMPUTED_VALUE"""),FALSE)</f>
        <v>0</v>
      </c>
      <c r="Q6402" s="20" t="str">
        <f>IFERROR(__xludf.DUMMYFUNCTION("""COMPUTED_VALUE"""),"")</f>
        <v/>
      </c>
      <c r="R6402" s="21" t="str">
        <f>IFERROR(__xludf.DUMMYFUNCTION("""COMPUTED_VALUE"""),"https://drive.google.com/file/d/1f3mBdzwoaF4nUbkjB9GkJMa1piOkEMwF/view?usp=drivesdk")</f>
        <v>https://drive.google.com/file/d/1f3mBdzwoaF4nUbkjB9GkJMa1piOkEMwF/view?usp=drivesdk</v>
      </c>
    </row>
    <row r="6403">
      <c r="A6403" s="15">
        <f>IFERROR(__xludf.DUMMYFUNCTION("""COMPUTED_VALUE"""),45182.0)</f>
        <v>45182</v>
      </c>
      <c r="B6403" s="16" t="str">
        <f>IFERROR(__xludf.DUMMYFUNCTION("""COMPUTED_VALUE"""),"Jeison Rubiano")</f>
        <v>Jeison Rubiano</v>
      </c>
      <c r="C6403" s="15" t="str">
        <f>IFERROR(__xludf.DUMMYFUNCTION("""COMPUTED_VALUE"""),"BOGOTÁ")</f>
        <v>BOGOTÁ</v>
      </c>
      <c r="D6403" s="15" t="str">
        <f>IFERROR(__xludf.DUMMYFUNCTION("""COMPUTED_VALUE"""),"MEDELLÍN")</f>
        <v>MEDELLÍN</v>
      </c>
      <c r="E6403" s="15" t="str">
        <f>IFERROR(__xludf.DUMMYFUNCTION("""COMPUTED_VALUE"""),"Baby Chef")</f>
        <v>Baby Chef</v>
      </c>
      <c r="F6403" s="17" t="str">
        <f>IFERROR(__xludf.DUMMYFUNCTION("""COMPUTED_VALUE"""),"Colina campestre  Cra 72 bis # 147-60 torre 1 apto 1306 / Colina campestre  Cra 72 bis # 147-60 torre 1 apto 1306 / Colina campestre  Cra 72 bis # 147-60 torre 1 apto 1306")</f>
        <v>Colina campestre  Cra 72 bis # 147-60 torre 1 apto 1306 / Colina campestre  Cra 72 bis # 147-60 torre 1 apto 1306 / Colina campestre  Cra 72 bis # 147-60 torre 1 apto 1306</v>
      </c>
      <c r="G6403" s="15" t="str">
        <f>IFERROR(__xludf.DUMMYFUNCTION("""COMPUTED_VALUE"""),"Laura Camila rojas flautero")</f>
        <v>Laura Camila rojas flautero</v>
      </c>
      <c r="H6403" s="16">
        <f>IFERROR(__xludf.DUMMYFUNCTION("""COMPUTED_VALUE"""),15161.0)</f>
        <v>15161</v>
      </c>
      <c r="I6403" s="18">
        <f>IFERROR(__xludf.DUMMYFUNCTION("""COMPUTED_VALUE"""),6.0)</f>
        <v>6</v>
      </c>
      <c r="J6403" s="18">
        <f>IFERROR(__xludf.DUMMYFUNCTION("""COMPUTED_VALUE"""),20.0)</f>
        <v>20</v>
      </c>
      <c r="K6403" s="18">
        <f>IFERROR(__xludf.DUMMYFUNCTION("""COMPUTED_VALUE"""),34.0)</f>
        <v>34</v>
      </c>
      <c r="L6403" s="17">
        <f>IFERROR(__xludf.DUMMYFUNCTION("""COMPUTED_VALUE"""),3.194750616E9)</f>
        <v>3194750616</v>
      </c>
      <c r="M6403" s="17" t="str">
        <f>IFERROR(__xludf.DUMMYFUNCTION("""COMPUTED_VALUE"""),"#REF!")</f>
        <v>#REF!</v>
      </c>
      <c r="N6403" s="17"/>
      <c r="O6403" s="17"/>
      <c r="P6403" s="17" t="b">
        <f>IFERROR(__xludf.DUMMYFUNCTION("""COMPUTED_VALUE"""),FALSE)</f>
        <v>0</v>
      </c>
      <c r="Q6403" s="20" t="str">
        <f>IFERROR(__xludf.DUMMYFUNCTION("""COMPUTED_VALUE"""),"")</f>
        <v/>
      </c>
      <c r="R6403" s="21" t="str">
        <f>IFERROR(__xludf.DUMMYFUNCTION("""COMPUTED_VALUE"""),"https://drive.google.com/file/d/1RwST84yuYTuLW2NLus8IEpsiMC_ogpqn/view?usp=drivesdk")</f>
        <v>https://drive.google.com/file/d/1RwST84yuYTuLW2NLus8IEpsiMC_ogpqn/view?usp=drivesdk</v>
      </c>
    </row>
    <row r="6404">
      <c r="A6404" s="15">
        <f>IFERROR(__xludf.DUMMYFUNCTION("""COMPUTED_VALUE"""),45182.0)</f>
        <v>45182</v>
      </c>
      <c r="B6404" s="16" t="str">
        <f>IFERROR(__xludf.DUMMYFUNCTION("""COMPUTED_VALUE"""),"Jeison Rubiano")</f>
        <v>Jeison Rubiano</v>
      </c>
      <c r="C6404" s="15" t="str">
        <f>IFERROR(__xludf.DUMMYFUNCTION("""COMPUTED_VALUE"""),"BOGOTÁ")</f>
        <v>BOGOTÁ</v>
      </c>
      <c r="D6404" s="15" t="str">
        <f>IFERROR(__xludf.DUMMYFUNCTION("""COMPUTED_VALUE"""),"MEDELLÍN")</f>
        <v>MEDELLÍN</v>
      </c>
      <c r="E6404" s="15" t="str">
        <f>IFERROR(__xludf.DUMMYFUNCTION("""COMPUTED_VALUE"""),"Biota")</f>
        <v>Biota</v>
      </c>
      <c r="F6404" s="17" t="str">
        <f>IFERROR(__xludf.DUMMYFUNCTION("""COMPUTED_VALUE"""),"Calle 140bis #14a 29 / Edificio panorama 140, Torre 2 apto 1005 / Bogota, edificio, apartamento")</f>
        <v>Calle 140bis #14a 29 / Edificio panorama 140, Torre 2 apto 1005 / Bogota, edificio, apartamento</v>
      </c>
      <c r="G6404" s="15" t="str">
        <f>IFERROR(__xludf.DUMMYFUNCTION("""COMPUTED_VALUE"""),"Juan Martín Mujica")</f>
        <v>Juan Martín Mujica</v>
      </c>
      <c r="H6404" s="16">
        <f>IFERROR(__xludf.DUMMYFUNCTION("""COMPUTED_VALUE"""),15160.0)</f>
        <v>15160</v>
      </c>
      <c r="I6404" s="18">
        <f>IFERROR(__xludf.DUMMYFUNCTION("""COMPUTED_VALUE"""),13.0)</f>
        <v>13</v>
      </c>
      <c r="J6404" s="18">
        <f>IFERROR(__xludf.DUMMYFUNCTION("""COMPUTED_VALUE"""),45.0)</f>
        <v>45</v>
      </c>
      <c r="K6404" s="18">
        <f>IFERROR(__xludf.DUMMYFUNCTION("""COMPUTED_VALUE"""),30.0)</f>
        <v>30</v>
      </c>
      <c r="L6404" s="17">
        <f>IFERROR(__xludf.DUMMYFUNCTION("""COMPUTED_VALUE"""),3.052534912E9)</f>
        <v>3052534912</v>
      </c>
      <c r="M6404" s="17" t="str">
        <f>IFERROR(__xludf.DUMMYFUNCTION("""COMPUTED_VALUE"""),"#REF!")</f>
        <v>#REF!</v>
      </c>
      <c r="N6404" s="17"/>
      <c r="O6404" s="17"/>
      <c r="P6404" s="17" t="b">
        <f>IFERROR(__xludf.DUMMYFUNCTION("""COMPUTED_VALUE"""),FALSE)</f>
        <v>0</v>
      </c>
      <c r="Q6404" s="20" t="str">
        <f>IFERROR(__xludf.DUMMYFUNCTION("""COMPUTED_VALUE"""),"")</f>
        <v/>
      </c>
      <c r="R6404" s="21" t="str">
        <f>IFERROR(__xludf.DUMMYFUNCTION("""COMPUTED_VALUE"""),"https://drive.google.com/file/d/1UgxXGs53cE74y4BrLJkz43yyjyl6F6o-/view?usp=drivesdk")</f>
        <v>https://drive.google.com/file/d/1UgxXGs53cE74y4BrLJkz43yyjyl6F6o-/view?usp=drivesdk</v>
      </c>
    </row>
    <row r="6405">
      <c r="A6405" s="15">
        <f>IFERROR(__xludf.DUMMYFUNCTION("""COMPUTED_VALUE"""),45182.0)</f>
        <v>45182</v>
      </c>
      <c r="B6405" s="16" t="str">
        <f>IFERROR(__xludf.DUMMYFUNCTION("""COMPUTED_VALUE"""),"Jeison Rubiano")</f>
        <v>Jeison Rubiano</v>
      </c>
      <c r="C6405" s="15" t="str">
        <f>IFERROR(__xludf.DUMMYFUNCTION("""COMPUTED_VALUE"""),"BOGOTÁ")</f>
        <v>BOGOTÁ</v>
      </c>
      <c r="D6405" s="15" t="str">
        <f>IFERROR(__xludf.DUMMYFUNCTION("""COMPUTED_VALUE"""),"MEDELLÍN")</f>
        <v>MEDELLÍN</v>
      </c>
      <c r="E6405" s="15" t="str">
        <f>IFERROR(__xludf.DUMMYFUNCTION("""COMPUTED_VALUE"""),"Carnicos Fricar")</f>
        <v>Carnicos Fricar</v>
      </c>
      <c r="F6405" s="17" t="str">
        <f>IFERROR(__xludf.DUMMYFUNCTION("""COMPUTED_VALUE"""),"CALLE 126 # 46 - 25  / EDIFICIO TORRE ARTE  / APTO 406")</f>
        <v>CALLE 126 # 46 - 25  / EDIFICIO TORRE ARTE  / APTO 406</v>
      </c>
      <c r="G6405" s="15" t="str">
        <f>IFERROR(__xludf.DUMMYFUNCTION("""COMPUTED_VALUE"""),"MAIRA ALEJANDRA SUAREZ")</f>
        <v>MAIRA ALEJANDRA SUAREZ</v>
      </c>
      <c r="H6405" s="16">
        <f>IFERROR(__xludf.DUMMYFUNCTION("""COMPUTED_VALUE"""),15153.0)</f>
        <v>15153</v>
      </c>
      <c r="I6405" s="18">
        <f>IFERROR(__xludf.DUMMYFUNCTION("""COMPUTED_VALUE"""),15.0)</f>
        <v>15</v>
      </c>
      <c r="J6405" s="18">
        <f>IFERROR(__xludf.DUMMYFUNCTION("""COMPUTED_VALUE"""),25.0)</f>
        <v>25</v>
      </c>
      <c r="K6405" s="18">
        <f>IFERROR(__xludf.DUMMYFUNCTION("""COMPUTED_VALUE"""),30.0)</f>
        <v>30</v>
      </c>
      <c r="L6405" s="17">
        <f>IFERROR(__xludf.DUMMYFUNCTION("""COMPUTED_VALUE"""),3.188018474E9)</f>
        <v>3188018474</v>
      </c>
      <c r="M6405" s="17" t="str">
        <f>IFERROR(__xludf.DUMMYFUNCTION("""COMPUTED_VALUE"""),"#REF!")</f>
        <v>#REF!</v>
      </c>
      <c r="N6405" s="17"/>
      <c r="O6405" s="17"/>
      <c r="P6405" s="17" t="b">
        <f>IFERROR(__xludf.DUMMYFUNCTION("""COMPUTED_VALUE"""),FALSE)</f>
        <v>0</v>
      </c>
      <c r="Q6405" s="20" t="str">
        <f>IFERROR(__xludf.DUMMYFUNCTION("""COMPUTED_VALUE"""),"")</f>
        <v/>
      </c>
      <c r="R6405" s="21" t="str">
        <f>IFERROR(__xludf.DUMMYFUNCTION("""COMPUTED_VALUE"""),"https://drive.google.com/file/d/1m0vEsT_Do6T3LhzUnud3xdzfk_xLPmXW/view?usp=drivesdk")</f>
        <v>https://drive.google.com/file/d/1m0vEsT_Do6T3LhzUnud3xdzfk_xLPmXW/view?usp=drivesdk</v>
      </c>
    </row>
    <row r="6406">
      <c r="A6406" s="15">
        <f>IFERROR(__xludf.DUMMYFUNCTION("""COMPUTED_VALUE"""),45182.0)</f>
        <v>45182</v>
      </c>
      <c r="B6406" s="16" t="str">
        <f>IFERROR(__xludf.DUMMYFUNCTION("""COMPUTED_VALUE"""),"Jeison Rubiano")</f>
        <v>Jeison Rubiano</v>
      </c>
      <c r="C6406" s="15" t="str">
        <f>IFERROR(__xludf.DUMMYFUNCTION("""COMPUTED_VALUE"""),"BOGOTÁ")</f>
        <v>BOGOTÁ</v>
      </c>
      <c r="D6406" s="15" t="str">
        <f>IFERROR(__xludf.DUMMYFUNCTION("""COMPUTED_VALUE"""),"MEDELLÍN")</f>
        <v>MEDELLÍN</v>
      </c>
      <c r="E6406" s="15" t="str">
        <f>IFERROR(__xludf.DUMMYFUNCTION("""COMPUTED_VALUE"""),"Carnicos Fricar")</f>
        <v>Carnicos Fricar</v>
      </c>
      <c r="F6406" s="17" t="str">
        <f>IFERROR(__xludf.DUMMYFUNCTION("""COMPUTED_VALUE"""),"CALLE 49B SUR 9 A 56  / TORRE 26 APTO 102 / APTO 102")</f>
        <v>CALLE 49B SUR 9 A 56  / TORRE 26 APTO 102 / APTO 102</v>
      </c>
      <c r="G6406" s="15" t="str">
        <f>IFERROR(__xludf.DUMMYFUNCTION("""COMPUTED_VALUE"""),"LUISA RAMIREZ")</f>
        <v>LUISA RAMIREZ</v>
      </c>
      <c r="H6406" s="16">
        <f>IFERROR(__xludf.DUMMYFUNCTION("""COMPUTED_VALUE"""),15152.0)</f>
        <v>15152</v>
      </c>
      <c r="I6406" s="18">
        <f>IFERROR(__xludf.DUMMYFUNCTION("""COMPUTED_VALUE"""),15.0)</f>
        <v>15</v>
      </c>
      <c r="J6406" s="18">
        <f>IFERROR(__xludf.DUMMYFUNCTION("""COMPUTED_VALUE"""),25.0)</f>
        <v>25</v>
      </c>
      <c r="K6406" s="18">
        <f>IFERROR(__xludf.DUMMYFUNCTION("""COMPUTED_VALUE"""),30.0)</f>
        <v>30</v>
      </c>
      <c r="L6406" s="17">
        <f>IFERROR(__xludf.DUMMYFUNCTION("""COMPUTED_VALUE"""),3.054522708E9)</f>
        <v>3054522708</v>
      </c>
      <c r="M6406" s="17" t="str">
        <f>IFERROR(__xludf.DUMMYFUNCTION("""COMPUTED_VALUE"""),"#REF!")</f>
        <v>#REF!</v>
      </c>
      <c r="N6406" s="17"/>
      <c r="O6406" s="17"/>
      <c r="P6406" s="17" t="b">
        <f>IFERROR(__xludf.DUMMYFUNCTION("""COMPUTED_VALUE"""),TRUE)</f>
        <v>1</v>
      </c>
      <c r="Q6406" s="20">
        <f>IFERROR(__xludf.DUMMYFUNCTION("""COMPUTED_VALUE"""),45187.300044247684)</f>
        <v>45187.30004</v>
      </c>
      <c r="R6406" s="21" t="str">
        <f>IFERROR(__xludf.DUMMYFUNCTION("""COMPUTED_VALUE"""),"https://drive.google.com/file/d/1Wbatu81_Z4Gyx8oOlP3fJfOWoziGgpEG/view?usp=drivesdk")</f>
        <v>https://drive.google.com/file/d/1Wbatu81_Z4Gyx8oOlP3fJfOWoziGgpEG/view?usp=drivesdk</v>
      </c>
    </row>
    <row r="6407">
      <c r="A6407" s="15">
        <f>IFERROR(__xludf.DUMMYFUNCTION("""COMPUTED_VALUE"""),45182.0)</f>
        <v>45182</v>
      </c>
      <c r="B6407" s="16" t="str">
        <f>IFERROR(__xludf.DUMMYFUNCTION("""COMPUTED_VALUE"""),"Jeison Rubiano")</f>
        <v>Jeison Rubiano</v>
      </c>
      <c r="C6407" s="15" t="str">
        <f>IFERROR(__xludf.DUMMYFUNCTION("""COMPUTED_VALUE"""),"BOGOTÁ")</f>
        <v>BOGOTÁ</v>
      </c>
      <c r="D6407" s="15" t="str">
        <f>IFERROR(__xludf.DUMMYFUNCTION("""COMPUTED_VALUE"""),"MEDELLÍN")</f>
        <v>MEDELLÍN</v>
      </c>
      <c r="E6407" s="15" t="str">
        <f>IFERROR(__xludf.DUMMYFUNCTION("""COMPUTED_VALUE"""),"Carnicos Fricar")</f>
        <v>Carnicos Fricar</v>
      </c>
      <c r="F6407" s="17" t="str">
        <f>IFERROR(__xludf.DUMMYFUNCTION("""COMPUTED_VALUE"""),"CARRERA 4 # 190B - 2 / INTERIOR 3 / INTERIOR 3")</f>
        <v>CARRERA 4 # 190B - 2 / INTERIOR 3 / INTERIOR 3</v>
      </c>
      <c r="G6407" s="15" t="str">
        <f>IFERROR(__xludf.DUMMYFUNCTION("""COMPUTED_VALUE"""),"DANIEL ALFREDO FARFAN PAEZ")</f>
        <v>DANIEL ALFREDO FARFAN PAEZ</v>
      </c>
      <c r="H6407" s="16">
        <f>IFERROR(__xludf.DUMMYFUNCTION("""COMPUTED_VALUE"""),15150.0)</f>
        <v>15150</v>
      </c>
      <c r="I6407" s="18">
        <f>IFERROR(__xludf.DUMMYFUNCTION("""COMPUTED_VALUE"""),15.0)</f>
        <v>15</v>
      </c>
      <c r="J6407" s="18">
        <f>IFERROR(__xludf.DUMMYFUNCTION("""COMPUTED_VALUE"""),25.0)</f>
        <v>25</v>
      </c>
      <c r="K6407" s="18">
        <f>IFERROR(__xludf.DUMMYFUNCTION("""COMPUTED_VALUE"""),30.0)</f>
        <v>30</v>
      </c>
      <c r="L6407" s="17">
        <f>IFERROR(__xludf.DUMMYFUNCTION("""COMPUTED_VALUE"""),3.054522708E9)</f>
        <v>3054522708</v>
      </c>
      <c r="M6407" s="17" t="str">
        <f>IFERROR(__xludf.DUMMYFUNCTION("""COMPUTED_VALUE"""),"#REF!")</f>
        <v>#REF!</v>
      </c>
      <c r="N6407" s="17"/>
      <c r="O6407" s="17"/>
      <c r="P6407" s="17" t="b">
        <f>IFERROR(__xludf.DUMMYFUNCTION("""COMPUTED_VALUE"""),TRUE)</f>
        <v>1</v>
      </c>
      <c r="Q6407" s="20">
        <f>IFERROR(__xludf.DUMMYFUNCTION("""COMPUTED_VALUE"""),45187.300044247684)</f>
        <v>45187.30004</v>
      </c>
      <c r="R6407" s="21" t="str">
        <f>IFERROR(__xludf.DUMMYFUNCTION("""COMPUTED_VALUE"""),"https://drive.google.com/file/d/1ouJPb0rDxyuYWSAmLDeS_edr2K7Ju3XE/view?usp=drivesdk")</f>
        <v>https://drive.google.com/file/d/1ouJPb0rDxyuYWSAmLDeS_edr2K7Ju3XE/view?usp=drivesdk</v>
      </c>
    </row>
    <row r="6408">
      <c r="A6408" s="15">
        <f>IFERROR(__xludf.DUMMYFUNCTION("""COMPUTED_VALUE"""),45182.0)</f>
        <v>45182</v>
      </c>
      <c r="B6408" s="16" t="str">
        <f>IFERROR(__xludf.DUMMYFUNCTION("""COMPUTED_VALUE"""),"Jeison Rubiano")</f>
        <v>Jeison Rubiano</v>
      </c>
      <c r="C6408" s="15" t="str">
        <f>IFERROR(__xludf.DUMMYFUNCTION("""COMPUTED_VALUE"""),"BOGOTÁ")</f>
        <v>BOGOTÁ</v>
      </c>
      <c r="D6408" s="15" t="str">
        <f>IFERROR(__xludf.DUMMYFUNCTION("""COMPUTED_VALUE"""),"MEDELLÍN")</f>
        <v>MEDELLÍN</v>
      </c>
      <c r="E6408" s="15" t="str">
        <f>IFERROR(__xludf.DUMMYFUNCTION("""COMPUTED_VALUE"""),"Carnicos Fricar")</f>
        <v>Carnicos Fricar</v>
      </c>
      <c r="F6408" s="17" t="str">
        <f>IFERROR(__xludf.DUMMYFUNCTION("""COMPUTED_VALUE"""),"CARRERA 56 # 152B - 71 / TORRE 2 APTO 704 / CONJUNTO PICABIA")</f>
        <v>CARRERA 56 # 152B - 71 / TORRE 2 APTO 704 / CONJUNTO PICABIA</v>
      </c>
      <c r="G6408" s="15" t="str">
        <f>IFERROR(__xludf.DUMMYFUNCTION("""COMPUTED_VALUE"""),"EDNA MILENA RICO")</f>
        <v>EDNA MILENA RICO</v>
      </c>
      <c r="H6408" s="16">
        <f>IFERROR(__xludf.DUMMYFUNCTION("""COMPUTED_VALUE"""),15149.0)</f>
        <v>15149</v>
      </c>
      <c r="I6408" s="18">
        <f>IFERROR(__xludf.DUMMYFUNCTION("""COMPUTED_VALUE"""),15.0)</f>
        <v>15</v>
      </c>
      <c r="J6408" s="18">
        <f>IFERROR(__xludf.DUMMYFUNCTION("""COMPUTED_VALUE"""),25.0)</f>
        <v>25</v>
      </c>
      <c r="K6408" s="18">
        <f>IFERROR(__xludf.DUMMYFUNCTION("""COMPUTED_VALUE"""),30.0)</f>
        <v>30</v>
      </c>
      <c r="L6408" s="17">
        <f>IFERROR(__xludf.DUMMYFUNCTION("""COMPUTED_VALUE"""),3.054522708E9)</f>
        <v>3054522708</v>
      </c>
      <c r="M6408" s="17" t="str">
        <f>IFERROR(__xludf.DUMMYFUNCTION("""COMPUTED_VALUE"""),"#REF!")</f>
        <v>#REF!</v>
      </c>
      <c r="N6408" s="17"/>
      <c r="O6408" s="17"/>
      <c r="P6408" s="17" t="b">
        <f>IFERROR(__xludf.DUMMYFUNCTION("""COMPUTED_VALUE"""),TRUE)</f>
        <v>1</v>
      </c>
      <c r="Q6408" s="20">
        <f>IFERROR(__xludf.DUMMYFUNCTION("""COMPUTED_VALUE"""),45187.300044247684)</f>
        <v>45187.30004</v>
      </c>
      <c r="R6408" s="21" t="str">
        <f>IFERROR(__xludf.DUMMYFUNCTION("""COMPUTED_VALUE"""),"https://drive.google.com/file/d/1vT-qlkWDhk_YdWBn9Wg3Kf36jx0FaB4a/view?usp=drivesdk")</f>
        <v>https://drive.google.com/file/d/1vT-qlkWDhk_YdWBn9Wg3Kf36jx0FaB4a/view?usp=drivesdk</v>
      </c>
    </row>
    <row r="6409">
      <c r="A6409" s="15">
        <f>IFERROR(__xludf.DUMMYFUNCTION("""COMPUTED_VALUE"""),45182.0)</f>
        <v>45182</v>
      </c>
      <c r="B6409" s="16" t="str">
        <f>IFERROR(__xludf.DUMMYFUNCTION("""COMPUTED_VALUE"""),"Jeison Rubiano")</f>
        <v>Jeison Rubiano</v>
      </c>
      <c r="C6409" s="15" t="str">
        <f>IFERROR(__xludf.DUMMYFUNCTION("""COMPUTED_VALUE"""),"BOGOTÁ")</f>
        <v>BOGOTÁ</v>
      </c>
      <c r="D6409" s="15" t="str">
        <f>IFERROR(__xludf.DUMMYFUNCTION("""COMPUTED_VALUE"""),"MEDELLÍN")</f>
        <v>MEDELLÍN</v>
      </c>
      <c r="E6409" s="15" t="str">
        <f>IFERROR(__xludf.DUMMYFUNCTION("""COMPUTED_VALUE"""),"Carnicos Fricar")</f>
        <v>Carnicos Fricar</v>
      </c>
      <c r="F6409" s="17" t="str">
        <f>IFERROR(__xludf.DUMMYFUNCTION("""COMPUTED_VALUE"""),"CARRERA 7 # 156-10  / TORRE KRYSTAL OFICINA 2205 / OFICINA 2205")</f>
        <v>CARRERA 7 # 156-10  / TORRE KRYSTAL OFICINA 2205 / OFICINA 2205</v>
      </c>
      <c r="G6409" s="15" t="str">
        <f>IFERROR(__xludf.DUMMYFUNCTION("""COMPUTED_VALUE"""),"ANDRES PUERTA")</f>
        <v>ANDRES PUERTA</v>
      </c>
      <c r="H6409" s="16">
        <f>IFERROR(__xludf.DUMMYFUNCTION("""COMPUTED_VALUE"""),15148.0)</f>
        <v>15148</v>
      </c>
      <c r="I6409" s="18">
        <f>IFERROR(__xludf.DUMMYFUNCTION("""COMPUTED_VALUE"""),15.0)</f>
        <v>15</v>
      </c>
      <c r="J6409" s="18">
        <f>IFERROR(__xludf.DUMMYFUNCTION("""COMPUTED_VALUE"""),25.0)</f>
        <v>25</v>
      </c>
      <c r="K6409" s="18">
        <f>IFERROR(__xludf.DUMMYFUNCTION("""COMPUTED_VALUE"""),30.0)</f>
        <v>30</v>
      </c>
      <c r="L6409" s="17">
        <f>IFERROR(__xludf.DUMMYFUNCTION("""COMPUTED_VALUE"""),3.160489557E9)</f>
        <v>3160489557</v>
      </c>
      <c r="M6409" s="17" t="str">
        <f>IFERROR(__xludf.DUMMYFUNCTION("""COMPUTED_VALUE"""),"#REF!")</f>
        <v>#REF!</v>
      </c>
      <c r="N6409" s="17"/>
      <c r="O6409" s="17"/>
      <c r="P6409" s="17" t="b">
        <f>IFERROR(__xludf.DUMMYFUNCTION("""COMPUTED_VALUE"""),TRUE)</f>
        <v>1</v>
      </c>
      <c r="Q6409" s="20">
        <f>IFERROR(__xludf.DUMMYFUNCTION("""COMPUTED_VALUE"""),45187.300044247684)</f>
        <v>45187.30004</v>
      </c>
      <c r="R6409" s="21" t="str">
        <f>IFERROR(__xludf.DUMMYFUNCTION("""COMPUTED_VALUE"""),"https://drive.google.com/file/d/1a4lW-AMHA2Q9EP09VMZJRBbLiK7NlE1C/view?usp=drivesdk")</f>
        <v>https://drive.google.com/file/d/1a4lW-AMHA2Q9EP09VMZJRBbLiK7NlE1C/view?usp=drivesdk</v>
      </c>
    </row>
    <row r="6410">
      <c r="A6410" s="15">
        <f>IFERROR(__xludf.DUMMYFUNCTION("""COMPUTED_VALUE"""),45182.0)</f>
        <v>45182</v>
      </c>
      <c r="B6410" s="16" t="str">
        <f>IFERROR(__xludf.DUMMYFUNCTION("""COMPUTED_VALUE"""),"Jeison Rubiano")</f>
        <v>Jeison Rubiano</v>
      </c>
      <c r="C6410" s="15" t="str">
        <f>IFERROR(__xludf.DUMMYFUNCTION("""COMPUTED_VALUE"""),"BOGOTÁ")</f>
        <v>BOGOTÁ</v>
      </c>
      <c r="D6410" s="15" t="str">
        <f>IFERROR(__xludf.DUMMYFUNCTION("""COMPUTED_VALUE"""),"MEDELLÍN")</f>
        <v>MEDELLÍN</v>
      </c>
      <c r="E6410" s="15" t="str">
        <f>IFERROR(__xludf.DUMMYFUNCTION("""COMPUTED_VALUE"""),"Goyo Todo por ellos")</f>
        <v>Goyo Todo por ellos</v>
      </c>
      <c r="F6410" s="17" t="str">
        <f>IFERROR(__xludf.DUMMYFUNCTION("""COMPUTED_VALUE"""),"Carrera 87 Bis # 49 90 sur Bosa Betania / Carrera 87 Bis #49 90 sur Bosa Betania Bogotá  / Bosa Betania Bogotá")</f>
        <v>Carrera 87 Bis # 49 90 sur Bosa Betania / Carrera 87 Bis #49 90 sur Bosa Betania Bogotá  / Bosa Betania Bogotá</v>
      </c>
      <c r="G6410" s="15" t="str">
        <f>IFERROR(__xludf.DUMMYFUNCTION("""COMPUTED_VALUE"""),"Andrea Montaño Vergel")</f>
        <v>Andrea Montaño Vergel</v>
      </c>
      <c r="H6410" s="16">
        <f>IFERROR(__xludf.DUMMYFUNCTION("""COMPUTED_VALUE"""),15155.0)</f>
        <v>15155</v>
      </c>
      <c r="I6410" s="18">
        <f>IFERROR(__xludf.DUMMYFUNCTION("""COMPUTED_VALUE"""),18.0)</f>
        <v>18</v>
      </c>
      <c r="J6410" s="18">
        <f>IFERROR(__xludf.DUMMYFUNCTION("""COMPUTED_VALUE"""),39.0)</f>
        <v>39</v>
      </c>
      <c r="K6410" s="18">
        <f>IFERROR(__xludf.DUMMYFUNCTION("""COMPUTED_VALUE"""),20.0)</f>
        <v>20</v>
      </c>
      <c r="L6410" s="17">
        <f>IFERROR(__xludf.DUMMYFUNCTION("""COMPUTED_VALUE"""),3.212213447E9)</f>
        <v>3212213447</v>
      </c>
      <c r="M6410" s="17" t="str">
        <f>IFERROR(__xludf.DUMMYFUNCTION("""COMPUTED_VALUE"""),"#REF!")</f>
        <v>#REF!</v>
      </c>
      <c r="N6410" s="17"/>
      <c r="O6410" s="17"/>
      <c r="P6410" s="17" t="b">
        <f>IFERROR(__xludf.DUMMYFUNCTION("""COMPUTED_VALUE"""),TRUE)</f>
        <v>1</v>
      </c>
      <c r="Q6410" s="20">
        <f>IFERROR(__xludf.DUMMYFUNCTION("""COMPUTED_VALUE"""),45184.02629385417)</f>
        <v>45184.02629</v>
      </c>
      <c r="R6410" s="22" t="str">
        <f>IFERROR(__xludf.DUMMYFUNCTION("""COMPUTED_VALUE"""),"")</f>
        <v/>
      </c>
    </row>
    <row r="6411">
      <c r="A6411" s="15">
        <f>IFERROR(__xludf.DUMMYFUNCTION("""COMPUTED_VALUE"""),45182.0)</f>
        <v>45182</v>
      </c>
      <c r="B6411" s="16" t="str">
        <f>IFERROR(__xludf.DUMMYFUNCTION("""COMPUTED_VALUE"""),"Jeison Rubiano")</f>
        <v>Jeison Rubiano</v>
      </c>
      <c r="C6411" s="15" t="str">
        <f>IFERROR(__xludf.DUMMYFUNCTION("""COMPUTED_VALUE"""),"BOGOTÁ")</f>
        <v>BOGOTÁ</v>
      </c>
      <c r="D6411" s="15" t="str">
        <f>IFERROR(__xludf.DUMMYFUNCTION("""COMPUTED_VALUE"""),"MEDELLÍN")</f>
        <v>MEDELLÍN</v>
      </c>
      <c r="E6411" s="15" t="str">
        <f>IFERROR(__xludf.DUMMYFUNCTION("""COMPUTED_VALUE"""),"Inv. Jelb")</f>
        <v>Inv. Jelb</v>
      </c>
      <c r="F6411" s="17" t="str">
        <f>IFERROR(__xludf.DUMMYFUNCTION("""COMPUTED_VALUE"""),"Tranversal 23 # 97 -54  edificio area uno   / Apto 615 / Chico lago bogota")</f>
        <v>Tranversal 23 # 97 -54  edificio area uno   / Apto 615 / Chico lago bogota</v>
      </c>
      <c r="G6411" s="15" t="str">
        <f>IFERROR(__xludf.DUMMYFUNCTION("""COMPUTED_VALUE"""),"Jose del pozo")</f>
        <v>Jose del pozo</v>
      </c>
      <c r="H6411" s="16">
        <f>IFERROR(__xludf.DUMMYFUNCTION("""COMPUTED_VALUE"""),15154.0)</f>
        <v>15154</v>
      </c>
      <c r="I6411" s="18">
        <f>IFERROR(__xludf.DUMMYFUNCTION("""COMPUTED_VALUE"""),21.0)</f>
        <v>21</v>
      </c>
      <c r="J6411" s="18">
        <f>IFERROR(__xludf.DUMMYFUNCTION("""COMPUTED_VALUE"""),30.0)</f>
        <v>30</v>
      </c>
      <c r="K6411" s="18">
        <f>IFERROR(__xludf.DUMMYFUNCTION("""COMPUTED_VALUE"""),50.0)</f>
        <v>50</v>
      </c>
      <c r="L6411" s="17">
        <f>IFERROR(__xludf.DUMMYFUNCTION("""COMPUTED_VALUE"""),3.16524222E9)</f>
        <v>3165242220</v>
      </c>
      <c r="M6411" s="17" t="str">
        <f>IFERROR(__xludf.DUMMYFUNCTION("""COMPUTED_VALUE"""),"#REF!")</f>
        <v>#REF!</v>
      </c>
      <c r="N6411" s="17"/>
      <c r="O6411" s="17"/>
      <c r="P6411" s="17" t="b">
        <f>IFERROR(__xludf.DUMMYFUNCTION("""COMPUTED_VALUE"""),TRUE)</f>
        <v>1</v>
      </c>
      <c r="Q6411" s="20">
        <f>IFERROR(__xludf.DUMMYFUNCTION("""COMPUTED_VALUE"""),45184.02629385417)</f>
        <v>45184.02629</v>
      </c>
      <c r="R6411" s="22" t="str">
        <f>IFERROR(__xludf.DUMMYFUNCTION("""COMPUTED_VALUE"""),"")</f>
        <v/>
      </c>
    </row>
    <row r="6412">
      <c r="A6412" s="15">
        <f>IFERROR(__xludf.DUMMYFUNCTION("""COMPUTED_VALUE"""),45182.0)</f>
        <v>45182</v>
      </c>
      <c r="B6412" s="16" t="str">
        <f>IFERROR(__xludf.DUMMYFUNCTION("""COMPUTED_VALUE"""),"Jeison Rubiano")</f>
        <v>Jeison Rubiano</v>
      </c>
      <c r="C6412" s="15" t="str">
        <f>IFERROR(__xludf.DUMMYFUNCTION("""COMPUTED_VALUE"""),"BOGOTÁ")</f>
        <v>BOGOTÁ</v>
      </c>
      <c r="D6412" s="15" t="str">
        <f>IFERROR(__xludf.DUMMYFUNCTION("""COMPUTED_VALUE"""),"MEDELLÍN")</f>
        <v>MEDELLÍN</v>
      </c>
      <c r="E6412" s="15" t="str">
        <f>IFERROR(__xludf.DUMMYFUNCTION("""COMPUTED_VALUE"""),"Mochi")</f>
        <v>Mochi</v>
      </c>
      <c r="F6412" s="17" t="str">
        <f>IFERROR(__xludf.DUMMYFUNCTION("""COMPUTED_VALUE"""),"Cra 23 69 35  / Bodega  / Barrios Unidos")</f>
        <v>Cra 23 69 35  / Bodega  / Barrios Unidos</v>
      </c>
      <c r="G6412" s="15" t="str">
        <f>IFERROR(__xludf.DUMMYFUNCTION("""COMPUTED_VALUE"""),"Brayan barragán")</f>
        <v>Brayan barragán</v>
      </c>
      <c r="H6412" s="16">
        <f>IFERROR(__xludf.DUMMYFUNCTION("""COMPUTED_VALUE"""),15195.0)</f>
        <v>15195</v>
      </c>
      <c r="I6412" s="18">
        <f>IFERROR(__xludf.DUMMYFUNCTION("""COMPUTED_VALUE"""),55.0)</f>
        <v>55</v>
      </c>
      <c r="J6412" s="18">
        <f>IFERROR(__xludf.DUMMYFUNCTION("""COMPUTED_VALUE"""),45.0)</f>
        <v>45</v>
      </c>
      <c r="K6412" s="18" t="str">
        <f>IFERROR(__xludf.DUMMYFUNCTION("""COMPUTED_VALUE"""),"52.5")</f>
        <v>52.5</v>
      </c>
      <c r="L6412" s="17">
        <f>IFERROR(__xludf.DUMMYFUNCTION("""COMPUTED_VALUE"""),3.112548018E9)</f>
        <v>3112548018</v>
      </c>
      <c r="M6412" s="17" t="str">
        <f>IFERROR(__xludf.DUMMYFUNCTION("""COMPUTED_VALUE"""),"#REF!")</f>
        <v>#REF!</v>
      </c>
      <c r="N6412" s="17"/>
      <c r="O6412" s="17"/>
      <c r="P6412" s="17" t="b">
        <f>IFERROR(__xludf.DUMMYFUNCTION("""COMPUTED_VALUE"""),TRUE)</f>
        <v>1</v>
      </c>
      <c r="Q6412" s="20">
        <f>IFERROR(__xludf.DUMMYFUNCTION("""COMPUTED_VALUE"""),45187.300044247684)</f>
        <v>45187.30004</v>
      </c>
      <c r="R6412" s="22" t="str">
        <f>IFERROR(__xludf.DUMMYFUNCTION("""COMPUTED_VALUE"""),"")</f>
        <v/>
      </c>
    </row>
    <row r="6413">
      <c r="A6413" s="15">
        <f>IFERROR(__xludf.DUMMYFUNCTION("""COMPUTED_VALUE"""),45182.0)</f>
        <v>45182</v>
      </c>
      <c r="B6413" s="16" t="str">
        <f>IFERROR(__xludf.DUMMYFUNCTION("""COMPUTED_VALUE"""),"Jeison Rubiano")</f>
        <v>Jeison Rubiano</v>
      </c>
      <c r="C6413" s="15" t="str">
        <f>IFERROR(__xludf.DUMMYFUNCTION("""COMPUTED_VALUE"""),"BOGOTÁ")</f>
        <v>BOGOTÁ</v>
      </c>
      <c r="D6413" s="15" t="str">
        <f>IFERROR(__xludf.DUMMYFUNCTION("""COMPUTED_VALUE"""),"MEDELLÍN")</f>
        <v>MEDELLÍN</v>
      </c>
      <c r="E6413" s="15" t="str">
        <f>IFERROR(__xludf.DUMMYFUNCTION("""COMPUTED_VALUE"""),"Moloso S.A.S")</f>
        <v>Moloso S.A.S</v>
      </c>
      <c r="F6413" s="17" t="str">
        <f>IFERROR(__xludf.DUMMYFUNCTION("""COMPUTED_VALUE"""),"CR 75 24 D 70 / CIGARRERIA")</f>
        <v>CR 75 24 D 70 / CIGARRERIA</v>
      </c>
      <c r="G6413" s="15" t="str">
        <f>IFERROR(__xludf.DUMMYFUNCTION("""COMPUTED_VALUE"""),"MARIA JOSE MELO BONILLA")</f>
        <v>MARIA JOSE MELO BONILLA</v>
      </c>
      <c r="H6413" s="16">
        <f>IFERROR(__xludf.DUMMYFUNCTION("""COMPUTED_VALUE"""),15085.0)</f>
        <v>15085</v>
      </c>
      <c r="I6413" s="18">
        <f>IFERROR(__xludf.DUMMYFUNCTION("""COMPUTED_VALUE"""),17.0)</f>
        <v>17</v>
      </c>
      <c r="J6413" s="18">
        <f>IFERROR(__xludf.DUMMYFUNCTION("""COMPUTED_VALUE"""),15.0)</f>
        <v>15</v>
      </c>
      <c r="K6413" s="18">
        <f>IFERROR(__xludf.DUMMYFUNCTION("""COMPUTED_VALUE"""),28.0)</f>
        <v>28</v>
      </c>
      <c r="L6413" s="17">
        <f>IFERROR(__xludf.DUMMYFUNCTION("""COMPUTED_VALUE"""),3.143504351E9)</f>
        <v>3143504351</v>
      </c>
      <c r="M6413" s="17" t="str">
        <f>IFERROR(__xludf.DUMMYFUNCTION("""COMPUTED_VALUE"""),"#REF!")</f>
        <v>#REF!</v>
      </c>
      <c r="N6413" s="17"/>
      <c r="O6413" s="17"/>
      <c r="P6413" s="17" t="b">
        <f>IFERROR(__xludf.DUMMYFUNCTION("""COMPUTED_VALUE"""),TRUE)</f>
        <v>1</v>
      </c>
      <c r="Q6413" s="20">
        <f>IFERROR(__xludf.DUMMYFUNCTION("""COMPUTED_VALUE"""),45184.02629386574)</f>
        <v>45184.02629</v>
      </c>
      <c r="R6413" s="21" t="str">
        <f>IFERROR(__xludf.DUMMYFUNCTION("""COMPUTED_VALUE"""),"https://drive.google.com/file/d/1MZQfjDunGoEkBael0PoFnmlkdN96FmZc/view?usp=drivesdk")</f>
        <v>https://drive.google.com/file/d/1MZQfjDunGoEkBael0PoFnmlkdN96FmZc/view?usp=drivesdk</v>
      </c>
    </row>
    <row r="6414">
      <c r="A6414" s="15">
        <f>IFERROR(__xludf.DUMMYFUNCTION("""COMPUTED_VALUE"""),45182.0)</f>
        <v>45182</v>
      </c>
      <c r="B6414" s="16" t="str">
        <f>IFERROR(__xludf.DUMMYFUNCTION("""COMPUTED_VALUE"""),"Jeison Rubiano")</f>
        <v>Jeison Rubiano</v>
      </c>
      <c r="C6414" s="15" t="str">
        <f>IFERROR(__xludf.DUMMYFUNCTION("""COMPUTED_VALUE"""),"BOGOTÁ")</f>
        <v>BOGOTÁ</v>
      </c>
      <c r="D6414" s="15" t="str">
        <f>IFERROR(__xludf.DUMMYFUNCTION("""COMPUTED_VALUE"""),"MEDELLÍN")</f>
        <v>MEDELLÍN</v>
      </c>
      <c r="E6414" s="15" t="str">
        <f>IFERROR(__xludf.DUMMYFUNCTION("""COMPUTED_VALUE"""),"Natusoya")</f>
        <v>Natusoya</v>
      </c>
      <c r="F6414" s="17" t="str">
        <f>IFERROR(__xludf.DUMMYFUNCTION("""COMPUTED_VALUE"""),"Carrera 15 #116-47 / Mercado Frutsec / Bogota")</f>
        <v>Carrera 15 #116-47 / Mercado Frutsec / Bogota</v>
      </c>
      <c r="G6414" s="15" t="str">
        <f>IFERROR(__xludf.DUMMYFUNCTION("""COMPUTED_VALUE"""),"Frutsec")</f>
        <v>Frutsec</v>
      </c>
      <c r="H6414" s="16">
        <f>IFERROR(__xludf.DUMMYFUNCTION("""COMPUTED_VALUE"""),15157.0)</f>
        <v>15157</v>
      </c>
      <c r="I6414" s="18">
        <f>IFERROR(__xludf.DUMMYFUNCTION("""COMPUTED_VALUE"""),35.0)</f>
        <v>35</v>
      </c>
      <c r="J6414" s="18">
        <f>IFERROR(__xludf.DUMMYFUNCTION("""COMPUTED_VALUE"""),20.0)</f>
        <v>20</v>
      </c>
      <c r="K6414" s="18">
        <f>IFERROR(__xludf.DUMMYFUNCTION("""COMPUTED_VALUE"""),40.0)</f>
        <v>40</v>
      </c>
      <c r="L6414" s="17">
        <f>IFERROR(__xludf.DUMMYFUNCTION("""COMPUTED_VALUE"""),3.00396388E9)</f>
        <v>3003963880</v>
      </c>
      <c r="M6414" s="17" t="str">
        <f>IFERROR(__xludf.DUMMYFUNCTION("""COMPUTED_VALUE"""),"#REF!")</f>
        <v>#REF!</v>
      </c>
      <c r="N6414" s="17"/>
      <c r="O6414" s="17"/>
      <c r="P6414" s="17" t="b">
        <f>IFERROR(__xludf.DUMMYFUNCTION("""COMPUTED_VALUE"""),TRUE)</f>
        <v>1</v>
      </c>
      <c r="Q6414" s="20">
        <f>IFERROR(__xludf.DUMMYFUNCTION("""COMPUTED_VALUE"""),45187.30004425926)</f>
        <v>45187.30004</v>
      </c>
      <c r="R6414" s="22" t="str">
        <f>IFERROR(__xludf.DUMMYFUNCTION("""COMPUTED_VALUE"""),"")</f>
        <v/>
      </c>
    </row>
    <row r="6415">
      <c r="A6415" s="15">
        <f>IFERROR(__xludf.DUMMYFUNCTION("""COMPUTED_VALUE"""),45182.0)</f>
        <v>45182</v>
      </c>
      <c r="B6415" s="16" t="str">
        <f>IFERROR(__xludf.DUMMYFUNCTION("""COMPUTED_VALUE"""),"Jeison Rubiano")</f>
        <v>Jeison Rubiano</v>
      </c>
      <c r="C6415" s="15" t="str">
        <f>IFERROR(__xludf.DUMMYFUNCTION("""COMPUTED_VALUE"""),"BOGOTÁ")</f>
        <v>BOGOTÁ</v>
      </c>
      <c r="D6415" s="15" t="str">
        <f>IFERROR(__xludf.DUMMYFUNCTION("""COMPUTED_VALUE"""),"MEDELLÍN")</f>
        <v>MEDELLÍN</v>
      </c>
      <c r="E6415" s="15" t="str">
        <f>IFERROR(__xludf.DUMMYFUNCTION("""COMPUTED_VALUE"""),"Natusoya")</f>
        <v>Natusoya</v>
      </c>
      <c r="F6415" s="17" t="str">
        <f>IFERROR(__xludf.DUMMYFUNCTION("""COMPUTED_VALUE"""),"Carrera 3d #54a-58 / Local 1 / Chapinero")</f>
        <v>Carrera 3d #54a-58 / Local 1 / Chapinero</v>
      </c>
      <c r="G6415" s="15" t="str">
        <f>IFERROR(__xludf.DUMMYFUNCTION("""COMPUTED_VALUE"""),"El konny- Natalia")</f>
        <v>El konny- Natalia</v>
      </c>
      <c r="H6415" s="16">
        <f>IFERROR(__xludf.DUMMYFUNCTION("""COMPUTED_VALUE"""),15158.0)</f>
        <v>15158</v>
      </c>
      <c r="I6415" s="18">
        <f>IFERROR(__xludf.DUMMYFUNCTION("""COMPUTED_VALUE"""),15.0)</f>
        <v>15</v>
      </c>
      <c r="J6415" s="18">
        <f>IFERROR(__xludf.DUMMYFUNCTION("""COMPUTED_VALUE"""),20.0)</f>
        <v>20</v>
      </c>
      <c r="K6415" s="18">
        <f>IFERROR(__xludf.DUMMYFUNCTION("""COMPUTED_VALUE"""),20.0)</f>
        <v>20</v>
      </c>
      <c r="L6415" s="17">
        <f>IFERROR(__xludf.DUMMYFUNCTION("""COMPUTED_VALUE"""),3.212318581E9)</f>
        <v>3212318581</v>
      </c>
      <c r="M6415" s="17" t="str">
        <f>IFERROR(__xludf.DUMMYFUNCTION("""COMPUTED_VALUE"""),"#REF!")</f>
        <v>#REF!</v>
      </c>
      <c r="N6415" s="17"/>
      <c r="O6415" s="17"/>
      <c r="P6415" s="17" t="b">
        <f>IFERROR(__xludf.DUMMYFUNCTION("""COMPUTED_VALUE"""),TRUE)</f>
        <v>1</v>
      </c>
      <c r="Q6415" s="20">
        <f>IFERROR(__xludf.DUMMYFUNCTION("""COMPUTED_VALUE"""),45187.30004425926)</f>
        <v>45187.30004</v>
      </c>
      <c r="R6415" s="21" t="str">
        <f>IFERROR(__xludf.DUMMYFUNCTION("""COMPUTED_VALUE"""),"https://drive.google.com/file/d/1Gxfq4vj2_RjPLMViBLWfhjAdlQncVqw8/view?usp=drivesdk")</f>
        <v>https://drive.google.com/file/d/1Gxfq4vj2_RjPLMViBLWfhjAdlQncVqw8/view?usp=drivesdk</v>
      </c>
    </row>
    <row r="6416">
      <c r="A6416" s="15">
        <f>IFERROR(__xludf.DUMMYFUNCTION("""COMPUTED_VALUE"""),45182.0)</f>
        <v>45182</v>
      </c>
      <c r="B6416" s="16" t="str">
        <f>IFERROR(__xludf.DUMMYFUNCTION("""COMPUTED_VALUE"""),"Jeison Rubiano")</f>
        <v>Jeison Rubiano</v>
      </c>
      <c r="C6416" s="15" t="str">
        <f>IFERROR(__xludf.DUMMYFUNCTION("""COMPUTED_VALUE"""),"MONTERIA")</f>
        <v>MONTERIA</v>
      </c>
      <c r="D6416" s="15" t="str">
        <f>IFERROR(__xludf.DUMMYFUNCTION("""COMPUTED_VALUE"""),"MEDELLÍN")</f>
        <v>MEDELLÍN</v>
      </c>
      <c r="E6416" s="15" t="str">
        <f>IFERROR(__xludf.DUMMYFUNCTION("""COMPUTED_VALUE"""),"Baby Chef")</f>
        <v>Baby Chef</v>
      </c>
      <c r="F6416" s="17" t="str">
        <f>IFERROR(__xludf.DUMMYFUNCTION("""COMPUTED_VALUE"""),"Calle 64A N 8A-12 la castellana montería cordoba / Calle 64A N 8A-12 la castellana montería cordoba / Calle 64A N 8A-12 la castellana montería cordoba")</f>
        <v>Calle 64A N 8A-12 la castellana montería cordoba / Calle 64A N 8A-12 la castellana montería cordoba / Calle 64A N 8A-12 la castellana montería cordoba</v>
      </c>
      <c r="G6416" s="15" t="str">
        <f>IFERROR(__xludf.DUMMYFUNCTION("""COMPUTED_VALUE"""),"Carolina Leal")</f>
        <v>Carolina Leal</v>
      </c>
      <c r="H6416" s="16">
        <f>IFERROR(__xludf.DUMMYFUNCTION("""COMPUTED_VALUE"""),15169.0)</f>
        <v>15169</v>
      </c>
      <c r="I6416" s="18">
        <f>IFERROR(__xludf.DUMMYFUNCTION("""COMPUTED_VALUE"""),14.0)</f>
        <v>14</v>
      </c>
      <c r="J6416" s="18">
        <f>IFERROR(__xludf.DUMMYFUNCTION("""COMPUTED_VALUE"""),25.0)</f>
        <v>25</v>
      </c>
      <c r="K6416" s="18">
        <f>IFERROR(__xludf.DUMMYFUNCTION("""COMPUTED_VALUE"""),44.0)</f>
        <v>44</v>
      </c>
      <c r="L6416" s="17">
        <f>IFERROR(__xludf.DUMMYFUNCTION("""COMPUTED_VALUE"""),3.017818983E9)</f>
        <v>3017818983</v>
      </c>
      <c r="M6416" s="17" t="str">
        <f>IFERROR(__xludf.DUMMYFUNCTION("""COMPUTED_VALUE"""),"#REF!")</f>
        <v>#REF!</v>
      </c>
      <c r="N6416" s="17"/>
      <c r="O6416" s="17"/>
      <c r="P6416" s="17" t="b">
        <f>IFERROR(__xludf.DUMMYFUNCTION("""COMPUTED_VALUE"""),TRUE)</f>
        <v>1</v>
      </c>
      <c r="Q6416" s="20">
        <f>IFERROR(__xludf.DUMMYFUNCTION("""COMPUTED_VALUE"""),45184.02629386574)</f>
        <v>45184.02629</v>
      </c>
      <c r="R6416" s="21" t="str">
        <f>IFERROR(__xludf.DUMMYFUNCTION("""COMPUTED_VALUE"""),"https://drive.google.com/file/d/1uEwmsPKB0Zmh_lmb4pSRTukB9L8t7gnA/view?usp=drivesdk")</f>
        <v>https://drive.google.com/file/d/1uEwmsPKB0Zmh_lmb4pSRTukB9L8t7gnA/view?usp=drivesdk</v>
      </c>
    </row>
    <row r="6417">
      <c r="A6417" s="15">
        <f>IFERROR(__xludf.DUMMYFUNCTION("""COMPUTED_VALUE"""),45182.0)</f>
        <v>45182</v>
      </c>
      <c r="B6417" s="16" t="str">
        <f>IFERROR(__xludf.DUMMYFUNCTION("""COMPUTED_VALUE"""),"Jeison Rubiano")</f>
        <v>Jeison Rubiano</v>
      </c>
      <c r="C6417" s="15" t="str">
        <f>IFERROR(__xludf.DUMMYFUNCTION("""COMPUTED_VALUE"""),"MONTERIA")</f>
        <v>MONTERIA</v>
      </c>
      <c r="D6417" s="15" t="str">
        <f>IFERROR(__xludf.DUMMYFUNCTION("""COMPUTED_VALUE"""),"MEDELLÍN")</f>
        <v>MEDELLÍN</v>
      </c>
      <c r="E6417" s="15" t="str">
        <f>IFERROR(__xludf.DUMMYFUNCTION("""COMPUTED_VALUE"""),"Rambla")</f>
        <v>Rambla</v>
      </c>
      <c r="F6417" s="17" t="str">
        <f>IFERROR(__xludf.DUMMYFUNCTION("""COMPUTED_VALUE"""),"Calle 48 con la cra 9 local 128 dentro del exito Alamedas / - / -")</f>
        <v>Calle 48 con la cra 9 local 128 dentro del exito Alamedas / - / -</v>
      </c>
      <c r="G6417" s="15" t="str">
        <f>IFERROR(__xludf.DUMMYFUNCTION("""COMPUTED_VALUE"""),"Zonazul")</f>
        <v>Zonazul</v>
      </c>
      <c r="H6417" s="16">
        <f>IFERROR(__xludf.DUMMYFUNCTION("""COMPUTED_VALUE"""),15183.0)</f>
        <v>15183</v>
      </c>
      <c r="I6417" s="18">
        <f>IFERROR(__xludf.DUMMYFUNCTION("""COMPUTED_VALUE"""),29.0)</f>
        <v>29</v>
      </c>
      <c r="J6417" s="18">
        <f>IFERROR(__xludf.DUMMYFUNCTION("""COMPUTED_VALUE"""),24.0)</f>
        <v>24</v>
      </c>
      <c r="K6417" s="18">
        <f>IFERROR(__xludf.DUMMYFUNCTION("""COMPUTED_VALUE"""),24.0)</f>
        <v>24</v>
      </c>
      <c r="L6417" s="17">
        <f>IFERROR(__xludf.DUMMYFUNCTION("""COMPUTED_VALUE"""),3.205242279E9)</f>
        <v>3205242279</v>
      </c>
      <c r="M6417" s="17" t="str">
        <f>IFERROR(__xludf.DUMMYFUNCTION("""COMPUTED_VALUE"""),"#REF!")</f>
        <v>#REF!</v>
      </c>
      <c r="N6417" s="17"/>
      <c r="O6417" s="17"/>
      <c r="P6417" s="17" t="b">
        <f>IFERROR(__xludf.DUMMYFUNCTION("""COMPUTED_VALUE"""),TRUE)</f>
        <v>1</v>
      </c>
      <c r="Q6417" s="20">
        <f>IFERROR(__xludf.DUMMYFUNCTION("""COMPUTED_VALUE"""),45184.02629386574)</f>
        <v>45184.02629</v>
      </c>
      <c r="R6417" s="21" t="str">
        <f>IFERROR(__xludf.DUMMYFUNCTION("""COMPUTED_VALUE"""),"https://drive.google.com/file/d/1kGnN9XZ1rnujcOYBj9Bf3cemt3sW6x5a/view?usp=drivesdk")</f>
        <v>https://drive.google.com/file/d/1kGnN9XZ1rnujcOYBj9Bf3cemt3sW6x5a/view?usp=drivesdk</v>
      </c>
    </row>
    <row r="6418">
      <c r="A6418" s="17" t="str">
        <f>IFERROR(__xludf.DUMMYFUNCTION("""COMPUTED_VALUE"""),"")</f>
        <v/>
      </c>
      <c r="B6418" s="17" t="str">
        <f>IFERROR(__xludf.DUMMYFUNCTION("""COMPUTED_VALUE"""),"")</f>
        <v/>
      </c>
      <c r="C6418" s="17" t="str">
        <f>IFERROR(__xludf.DUMMYFUNCTION("""COMPUTED_VALUE"""),"")</f>
        <v/>
      </c>
      <c r="D6418" s="17" t="str">
        <f>IFERROR(__xludf.DUMMYFUNCTION("""COMPUTED_VALUE"""),"")</f>
        <v/>
      </c>
      <c r="E6418" s="17" t="str">
        <f>IFERROR(__xludf.DUMMYFUNCTION("""COMPUTED_VALUE"""),"")</f>
        <v/>
      </c>
      <c r="F6418" s="17" t="str">
        <f>IFERROR(__xludf.DUMMYFUNCTION("""COMPUTED_VALUE"""),"")</f>
        <v/>
      </c>
      <c r="G6418" s="17" t="str">
        <f>IFERROR(__xludf.DUMMYFUNCTION("""COMPUTED_VALUE"""),"")</f>
        <v/>
      </c>
      <c r="H6418" s="17" t="str">
        <f>IFERROR(__xludf.DUMMYFUNCTION("""COMPUTED_VALUE"""),"")</f>
        <v/>
      </c>
      <c r="I6418" s="17" t="str">
        <f>IFERROR(__xludf.DUMMYFUNCTION("""COMPUTED_VALUE"""),"")</f>
        <v/>
      </c>
      <c r="J6418" s="17" t="str">
        <f>IFERROR(__xludf.DUMMYFUNCTION("""COMPUTED_VALUE"""),"")</f>
        <v/>
      </c>
      <c r="K6418" s="17" t="str">
        <f>IFERROR(__xludf.DUMMYFUNCTION("""COMPUTED_VALUE"""),"")</f>
        <v/>
      </c>
      <c r="L6418" s="17" t="str">
        <f>IFERROR(__xludf.DUMMYFUNCTION("""COMPUTED_VALUE"""),"")</f>
        <v/>
      </c>
      <c r="M6418" s="17" t="str">
        <f>IFERROR(__xludf.DUMMYFUNCTION("""COMPUTED_VALUE"""),"")</f>
        <v/>
      </c>
      <c r="N6418" s="17" t="str">
        <f>IFERROR(__xludf.DUMMYFUNCTION("""COMPUTED_VALUE"""),"")</f>
        <v/>
      </c>
      <c r="O6418" s="17" t="str">
        <f>IFERROR(__xludf.DUMMYFUNCTION("""COMPUTED_VALUE"""),"")</f>
        <v/>
      </c>
      <c r="P6418" s="17" t="str">
        <f>IFERROR(__xludf.DUMMYFUNCTION("""COMPUTED_VALUE"""),"")</f>
        <v/>
      </c>
      <c r="Q6418" s="17" t="str">
        <f>IFERROR(__xludf.DUMMYFUNCTION("""COMPUTED_VALUE"""),"")</f>
        <v/>
      </c>
      <c r="R6418" s="17" t="str">
        <f>IFERROR(__xludf.DUMMYFUNCTION("""COMPUTED_VALUE"""),"")</f>
        <v/>
      </c>
    </row>
    <row r="6419">
      <c r="A6419" s="15">
        <f>IFERROR(__xludf.DUMMYFUNCTION("""COMPUTED_VALUE"""),45182.0)</f>
        <v>45182</v>
      </c>
      <c r="B6419" s="16" t="str">
        <f>IFERROR(__xludf.DUMMYFUNCTION("""COMPUTED_VALUE"""),"Johan Alexander Escobar Arroyo ")</f>
        <v>Johan Alexander Escobar Arroyo </v>
      </c>
      <c r="C6419" s="15" t="str">
        <f>IFERROR(__xludf.DUMMYFUNCTION("""COMPUTED_VALUE"""),"BOGOTÁ")</f>
        <v>BOGOTÁ</v>
      </c>
      <c r="D6419" s="15" t="str">
        <f>IFERROR(__xludf.DUMMYFUNCTION("""COMPUTED_VALUE"""),"MEDELLÍN")</f>
        <v>MEDELLÍN</v>
      </c>
      <c r="E6419" s="15" t="str">
        <f>IFERROR(__xludf.DUMMYFUNCTION("""COMPUTED_VALUE"""),"Terravocado")</f>
        <v>Terravocado</v>
      </c>
      <c r="F6419" s="17" t="str">
        <f>IFERROR(__xludf.DUMMYFUNCTION("""COMPUTED_VALUE"""),"CRA 20 # 168 - 32 / TOBERIN  / TOBERIN")</f>
        <v>CRA 20 # 168 - 32 / TOBERIN  / TOBERIN</v>
      </c>
      <c r="G6419" s="15" t="str">
        <f>IFERROR(__xludf.DUMMYFUNCTION("""COMPUTED_VALUE"""),"BUKOI")</f>
        <v>BUKOI</v>
      </c>
      <c r="H6419" s="16">
        <f>IFERROR(__xludf.DUMMYFUNCTION("""COMPUTED_VALUE"""),15075.0)</f>
        <v>15075</v>
      </c>
      <c r="I6419" s="18">
        <f>IFERROR(__xludf.DUMMYFUNCTION("""COMPUTED_VALUE"""),20.0)</f>
        <v>20</v>
      </c>
      <c r="J6419" s="18">
        <f>IFERROR(__xludf.DUMMYFUNCTION("""COMPUTED_VALUE"""),24.0)</f>
        <v>24</v>
      </c>
      <c r="K6419" s="18">
        <f>IFERROR(__xludf.DUMMYFUNCTION("""COMPUTED_VALUE"""),34.0)</f>
        <v>34</v>
      </c>
      <c r="L6419" s="17">
        <f>IFERROR(__xludf.DUMMYFUNCTION("""COMPUTED_VALUE"""),3.125489315E9)</f>
        <v>3125489315</v>
      </c>
      <c r="M6419" s="17" t="str">
        <f>IFERROR(__xludf.DUMMYFUNCTION("""COMPUTED_VALUE"""),"#REF!")</f>
        <v>#REF!</v>
      </c>
      <c r="N6419" s="17"/>
      <c r="O6419" s="17"/>
      <c r="P6419" s="17" t="b">
        <f>IFERROR(__xludf.DUMMYFUNCTION("""COMPUTED_VALUE"""),TRUE)</f>
        <v>1</v>
      </c>
      <c r="Q6419" s="20">
        <f>IFERROR(__xludf.DUMMYFUNCTION("""COMPUTED_VALUE"""),45187.30004425926)</f>
        <v>45187.30004</v>
      </c>
      <c r="R6419" s="22" t="str">
        <f>IFERROR(__xludf.DUMMYFUNCTION("""COMPUTED_VALUE"""),"")</f>
        <v/>
      </c>
    </row>
    <row r="6420">
      <c r="A6420" s="15">
        <f>IFERROR(__xludf.DUMMYFUNCTION("""COMPUTED_VALUE"""),45182.0)</f>
        <v>45182</v>
      </c>
      <c r="B6420" s="16" t="str">
        <f>IFERROR(__xludf.DUMMYFUNCTION("""COMPUTED_VALUE"""),"Johan Alexander Escobar Arroyo ")</f>
        <v>Johan Alexander Escobar Arroyo </v>
      </c>
      <c r="C6420" s="15" t="str">
        <f>IFERROR(__xludf.DUMMYFUNCTION("""COMPUTED_VALUE"""),"CALI")</f>
        <v>CALI</v>
      </c>
      <c r="D6420" s="15" t="str">
        <f>IFERROR(__xludf.DUMMYFUNCTION("""COMPUTED_VALUE"""),"MEDELLÍN")</f>
        <v>MEDELLÍN</v>
      </c>
      <c r="E6420" s="15" t="str">
        <f>IFERROR(__xludf.DUMMYFUNCTION("""COMPUTED_VALUE"""),"AREPAS LA MARY")</f>
        <v>AREPAS LA MARY</v>
      </c>
      <c r="F6420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6420" s="15" t="str">
        <f>IFERROR(__xludf.DUMMYFUNCTION("""COMPUTED_VALUE"""),"VITALFINESS CALI")</f>
        <v>VITALFINESS CALI</v>
      </c>
      <c r="H6420" s="16">
        <f>IFERROR(__xludf.DUMMYFUNCTION("""COMPUTED_VALUE"""),15140.0)</f>
        <v>15140</v>
      </c>
      <c r="I6420" s="18">
        <f>IFERROR(__xludf.DUMMYFUNCTION("""COMPUTED_VALUE"""),89.0)</f>
        <v>89</v>
      </c>
      <c r="J6420" s="18">
        <f>IFERROR(__xludf.DUMMYFUNCTION("""COMPUTED_VALUE"""),1.0)</f>
        <v>1</v>
      </c>
      <c r="K6420" s="18">
        <f>IFERROR(__xludf.DUMMYFUNCTION("""COMPUTED_VALUE"""),10.0)</f>
        <v>10</v>
      </c>
      <c r="L6420" s="17">
        <f>IFERROR(__xludf.DUMMYFUNCTION("""COMPUTED_VALUE"""),3.226925759E9)</f>
        <v>3226925759</v>
      </c>
      <c r="M6420" s="17" t="str">
        <f>IFERROR(__xludf.DUMMYFUNCTION("""COMPUTED_VALUE"""),"#REF!")</f>
        <v>#REF!</v>
      </c>
      <c r="N6420" s="17"/>
      <c r="O6420" s="17"/>
      <c r="P6420" s="17" t="b">
        <f>IFERROR(__xludf.DUMMYFUNCTION("""COMPUTED_VALUE"""),TRUE)</f>
        <v>1</v>
      </c>
      <c r="Q6420" s="20">
        <f>IFERROR(__xludf.DUMMYFUNCTION("""COMPUTED_VALUE"""),45184.02629386574)</f>
        <v>45184.02629</v>
      </c>
      <c r="R6420" s="22" t="str">
        <f>IFERROR(__xludf.DUMMYFUNCTION("""COMPUTED_VALUE"""),"")</f>
        <v/>
      </c>
    </row>
    <row r="6421">
      <c r="A6421" s="15">
        <f>IFERROR(__xludf.DUMMYFUNCTION("""COMPUTED_VALUE"""),45182.0)</f>
        <v>45182</v>
      </c>
      <c r="B6421" s="16" t="str">
        <f>IFERROR(__xludf.DUMMYFUNCTION("""COMPUTED_VALUE"""),"Johan Alexander Escobar Arroyo ")</f>
        <v>Johan Alexander Escobar Arroyo </v>
      </c>
      <c r="C6421" s="15" t="str">
        <f>IFERROR(__xludf.DUMMYFUNCTION("""COMPUTED_VALUE"""),"CALI")</f>
        <v>CALI</v>
      </c>
      <c r="D6421" s="15" t="str">
        <f>IFERROR(__xludf.DUMMYFUNCTION("""COMPUTED_VALUE"""),"MEDELLÍN")</f>
        <v>MEDELLÍN</v>
      </c>
      <c r="E6421" s="15" t="str">
        <f>IFERROR(__xludf.DUMMYFUNCTION("""COMPUTED_VALUE"""),"Baby Chef")</f>
        <v>Baby Chef</v>
      </c>
      <c r="F6421" s="17" t="str">
        <f>IFERROR(__xludf.DUMMYFUNCTION("""COMPUTED_VALUE"""),"Cra 83e #53a-33 Apto 404 Torre A, Unidad : Cipres. Barrio las vegas de comfandi  Cali - Valle del Cauca / Cra 83e #53a-33 Apto 404 Torre A, Unidad : Cipres. Barrio las vegas de comfandi  Cali - Valle del Cauca / Cra 83e #53a-33 Apto 404 Torre A, Unidad : "&amp;"Cipres. Barrio las vegas de comfandi  Cali - Valle del Cauca")</f>
        <v>Cra 83e #53a-33 Apto 404 Torre A, Unidad : Cipres. Barrio las vegas de comfandi  Cali - Valle del Cauca / Cra 83e #53a-33 Apto 404 Torre A, Unidad : Cipres. Barrio las vegas de comfandi  Cali - Valle del Cauca / Cra 83e #53a-33 Apto 404 Torre A, Unidad : Cipres. Barrio las vegas de comfandi  Cali - Valle del Cauca</v>
      </c>
      <c r="G6421" s="15" t="str">
        <f>IFERROR(__xludf.DUMMYFUNCTION("""COMPUTED_VALUE"""),"Martha Isabel Calambas")</f>
        <v>Martha Isabel Calambas</v>
      </c>
      <c r="H6421" s="16">
        <f>IFERROR(__xludf.DUMMYFUNCTION("""COMPUTED_VALUE"""),15168.0)</f>
        <v>15168</v>
      </c>
      <c r="I6421" s="18">
        <f>IFERROR(__xludf.DUMMYFUNCTION("""COMPUTED_VALUE"""),7.0)</f>
        <v>7</v>
      </c>
      <c r="J6421" s="18">
        <f>IFERROR(__xludf.DUMMYFUNCTION("""COMPUTED_VALUE"""),24.0)</f>
        <v>24</v>
      </c>
      <c r="K6421" s="18">
        <f>IFERROR(__xludf.DUMMYFUNCTION("""COMPUTED_VALUE"""),33.0)</f>
        <v>33</v>
      </c>
      <c r="L6421" s="17">
        <f>IFERROR(__xludf.DUMMYFUNCTION("""COMPUTED_VALUE"""),3.218528213E9)</f>
        <v>3218528213</v>
      </c>
      <c r="M6421" s="17" t="str">
        <f>IFERROR(__xludf.DUMMYFUNCTION("""COMPUTED_VALUE"""),"#REF!")</f>
        <v>#REF!</v>
      </c>
      <c r="N6421" s="17"/>
      <c r="O6421" s="17"/>
      <c r="P6421" s="17" t="b">
        <f>IFERROR(__xludf.DUMMYFUNCTION("""COMPUTED_VALUE"""),TRUE)</f>
        <v>1</v>
      </c>
      <c r="Q6421" s="20">
        <f>IFERROR(__xludf.DUMMYFUNCTION("""COMPUTED_VALUE"""),45183.7039937963)</f>
        <v>45183.70399</v>
      </c>
      <c r="R6421" s="22" t="str">
        <f>IFERROR(__xludf.DUMMYFUNCTION("""COMPUTED_VALUE"""),"")</f>
        <v/>
      </c>
    </row>
    <row r="6422">
      <c r="A6422" s="15">
        <f>IFERROR(__xludf.DUMMYFUNCTION("""COMPUTED_VALUE"""),45182.0)</f>
        <v>45182</v>
      </c>
      <c r="B6422" s="16" t="str">
        <f>IFERROR(__xludf.DUMMYFUNCTION("""COMPUTED_VALUE"""),"Johan Alexander Escobar Arroyo ")</f>
        <v>Johan Alexander Escobar Arroyo </v>
      </c>
      <c r="C6422" s="15" t="str">
        <f>IFERROR(__xludf.DUMMYFUNCTION("""COMPUTED_VALUE"""),"CALI")</f>
        <v>CALI</v>
      </c>
      <c r="D6422" s="15" t="str">
        <f>IFERROR(__xludf.DUMMYFUNCTION("""COMPUTED_VALUE"""),"MEDELLÍN")</f>
        <v>MEDELLÍN</v>
      </c>
      <c r="E6422" s="15" t="str">
        <f>IFERROR(__xludf.DUMMYFUNCTION("""COMPUTED_VALUE"""),"Moloso S.A.S")</f>
        <v>Moloso S.A.S</v>
      </c>
      <c r="F6422" s="17" t="str">
        <f>IFERROR(__xludf.DUMMYFUNCTION("""COMPUTED_VALUE"""),"AVENIDA 3 OESTE 13 94 / EDIF SOL DEL OESTE APT 702")</f>
        <v>AVENIDA 3 OESTE 13 94 / EDIF SOL DEL OESTE APT 702</v>
      </c>
      <c r="G6422" s="15" t="str">
        <f>IFERROR(__xludf.DUMMYFUNCTION("""COMPUTED_VALUE"""),"LAURA HERNÁNDEZ ALVIAR")</f>
        <v>LAURA HERNÁNDEZ ALVIAR</v>
      </c>
      <c r="H6422" s="16">
        <f>IFERROR(__xludf.DUMMYFUNCTION("""COMPUTED_VALUE"""),15083.0)</f>
        <v>15083</v>
      </c>
      <c r="I6422" s="18">
        <f>IFERROR(__xludf.DUMMYFUNCTION("""COMPUTED_VALUE"""),17.0)</f>
        <v>17</v>
      </c>
      <c r="J6422" s="18">
        <f>IFERROR(__xludf.DUMMYFUNCTION("""COMPUTED_VALUE"""),15.0)</f>
        <v>15</v>
      </c>
      <c r="K6422" s="18">
        <f>IFERROR(__xludf.DUMMYFUNCTION("""COMPUTED_VALUE"""),28.0)</f>
        <v>28</v>
      </c>
      <c r="L6422" s="17" t="str">
        <f>IFERROR(__xludf.DUMMYFUNCTION("""COMPUTED_VALUE"""),"315 5762974")</f>
        <v>315 5762974</v>
      </c>
      <c r="M6422" s="17" t="str">
        <f>IFERROR(__xludf.DUMMYFUNCTION("""COMPUTED_VALUE"""),"#REF!")</f>
        <v>#REF!</v>
      </c>
      <c r="N6422" s="17"/>
      <c r="O6422" s="17"/>
      <c r="P6422" s="17" t="b">
        <f>IFERROR(__xludf.DUMMYFUNCTION("""COMPUTED_VALUE"""),TRUE)</f>
        <v>1</v>
      </c>
      <c r="Q6422" s="20">
        <f>IFERROR(__xludf.DUMMYFUNCTION("""COMPUTED_VALUE"""),45184.02629386574)</f>
        <v>45184.02629</v>
      </c>
      <c r="R6422" s="21" t="str">
        <f>IFERROR(__xludf.DUMMYFUNCTION("""COMPUTED_VALUE"""),"https://drive.google.com/file/d/1ERabhUp1RyUKEAYw94gI_IAQBsP2KslY/view?usp=drivesdk")</f>
        <v>https://drive.google.com/file/d/1ERabhUp1RyUKEAYw94gI_IAQBsP2KslY/view?usp=drivesdk</v>
      </c>
    </row>
    <row r="6423">
      <c r="A6423" s="15">
        <f>IFERROR(__xludf.DUMMYFUNCTION("""COMPUTED_VALUE"""),45182.0)</f>
        <v>45182</v>
      </c>
      <c r="B6423" s="16" t="str">
        <f>IFERROR(__xludf.DUMMYFUNCTION("""COMPUTED_VALUE"""),"Johan Alexander Escobar Arroyo ")</f>
        <v>Johan Alexander Escobar Arroyo </v>
      </c>
      <c r="C6423" s="15" t="str">
        <f>IFERROR(__xludf.DUMMYFUNCTION("""COMPUTED_VALUE"""),"CALI")</f>
        <v>CALI</v>
      </c>
      <c r="D6423" s="15" t="str">
        <f>IFERROR(__xludf.DUMMYFUNCTION("""COMPUTED_VALUE"""),"MEDELLÍN")</f>
        <v>MEDELLÍN</v>
      </c>
      <c r="E6423" s="15" t="str">
        <f>IFERROR(__xludf.DUMMYFUNCTION("""COMPUTED_VALUE"""),"Moloso S.A.S")</f>
        <v>Moloso S.A.S</v>
      </c>
      <c r="F6423" s="17" t="str">
        <f>IFERROR(__xludf.DUMMYFUNCTION("""COMPUTED_VALUE"""),"CL 10 CR 118 1 55 / APT 1003B")</f>
        <v>CL 10 CR 118 1 55 / APT 1003B</v>
      </c>
      <c r="G6423" s="15" t="str">
        <f>IFERROR(__xludf.DUMMYFUNCTION("""COMPUTED_VALUE"""),"NICOLE CRUZ MUÑOZ")</f>
        <v>NICOLE CRUZ MUÑOZ</v>
      </c>
      <c r="H6423" s="16">
        <f>IFERROR(__xludf.DUMMYFUNCTION("""COMPUTED_VALUE"""),15084.0)</f>
        <v>15084</v>
      </c>
      <c r="I6423" s="18">
        <f>IFERROR(__xludf.DUMMYFUNCTION("""COMPUTED_VALUE"""),17.0)</f>
        <v>17</v>
      </c>
      <c r="J6423" s="18">
        <f>IFERROR(__xludf.DUMMYFUNCTION("""COMPUTED_VALUE"""),15.0)</f>
        <v>15</v>
      </c>
      <c r="K6423" s="18">
        <f>IFERROR(__xludf.DUMMYFUNCTION("""COMPUTED_VALUE"""),28.0)</f>
        <v>28</v>
      </c>
      <c r="L6423" s="17" t="str">
        <f>IFERROR(__xludf.DUMMYFUNCTION("""COMPUTED_VALUE"""),"316 0470203")</f>
        <v>316 0470203</v>
      </c>
      <c r="M6423" s="17" t="str">
        <f>IFERROR(__xludf.DUMMYFUNCTION("""COMPUTED_VALUE"""),"#REF!")</f>
        <v>#REF!</v>
      </c>
      <c r="N6423" s="17"/>
      <c r="O6423" s="17"/>
      <c r="P6423" s="17" t="b">
        <f>IFERROR(__xludf.DUMMYFUNCTION("""COMPUTED_VALUE"""),TRUE)</f>
        <v>1</v>
      </c>
      <c r="Q6423" s="20">
        <f>IFERROR(__xludf.DUMMYFUNCTION("""COMPUTED_VALUE"""),45183.7168562963)</f>
        <v>45183.71686</v>
      </c>
      <c r="R6423" s="22" t="str">
        <f>IFERROR(__xludf.DUMMYFUNCTION("""COMPUTED_VALUE"""),"")</f>
        <v/>
      </c>
    </row>
    <row r="6424">
      <c r="A6424" s="17" t="str">
        <f>IFERROR(__xludf.DUMMYFUNCTION("""COMPUTED_VALUE"""),"")</f>
        <v/>
      </c>
      <c r="B6424" s="17" t="str">
        <f>IFERROR(__xludf.DUMMYFUNCTION("""COMPUTED_VALUE"""),"")</f>
        <v/>
      </c>
      <c r="C6424" s="17" t="str">
        <f>IFERROR(__xludf.DUMMYFUNCTION("""COMPUTED_VALUE"""),"")</f>
        <v/>
      </c>
      <c r="D6424" s="17" t="str">
        <f>IFERROR(__xludf.DUMMYFUNCTION("""COMPUTED_VALUE"""),"")</f>
        <v/>
      </c>
      <c r="E6424" s="17" t="str">
        <f>IFERROR(__xludf.DUMMYFUNCTION("""COMPUTED_VALUE"""),"")</f>
        <v/>
      </c>
      <c r="F6424" s="17" t="str">
        <f>IFERROR(__xludf.DUMMYFUNCTION("""COMPUTED_VALUE"""),"")</f>
        <v/>
      </c>
      <c r="G6424" s="17" t="str">
        <f>IFERROR(__xludf.DUMMYFUNCTION("""COMPUTED_VALUE"""),"")</f>
        <v/>
      </c>
      <c r="H6424" s="17" t="str">
        <f>IFERROR(__xludf.DUMMYFUNCTION("""COMPUTED_VALUE"""),"")</f>
        <v/>
      </c>
      <c r="I6424" s="17" t="str">
        <f>IFERROR(__xludf.DUMMYFUNCTION("""COMPUTED_VALUE"""),"")</f>
        <v/>
      </c>
      <c r="J6424" s="17" t="str">
        <f>IFERROR(__xludf.DUMMYFUNCTION("""COMPUTED_VALUE"""),"")</f>
        <v/>
      </c>
      <c r="K6424" s="17" t="str">
        <f>IFERROR(__xludf.DUMMYFUNCTION("""COMPUTED_VALUE"""),"")</f>
        <v/>
      </c>
      <c r="L6424" s="17" t="str">
        <f>IFERROR(__xludf.DUMMYFUNCTION("""COMPUTED_VALUE"""),"")</f>
        <v/>
      </c>
      <c r="M6424" s="17" t="str">
        <f>IFERROR(__xludf.DUMMYFUNCTION("""COMPUTED_VALUE"""),"")</f>
        <v/>
      </c>
      <c r="N6424" s="17" t="str">
        <f>IFERROR(__xludf.DUMMYFUNCTION("""COMPUTED_VALUE"""),"")</f>
        <v/>
      </c>
      <c r="O6424" s="17" t="str">
        <f>IFERROR(__xludf.DUMMYFUNCTION("""COMPUTED_VALUE"""),"")</f>
        <v/>
      </c>
      <c r="P6424" s="17" t="str">
        <f>IFERROR(__xludf.DUMMYFUNCTION("""COMPUTED_VALUE"""),"")</f>
        <v/>
      </c>
      <c r="Q6424" s="17" t="str">
        <f>IFERROR(__xludf.DUMMYFUNCTION("""COMPUTED_VALUE"""),"")</f>
        <v/>
      </c>
      <c r="R6424" s="17" t="str">
        <f>IFERROR(__xludf.DUMMYFUNCTION("""COMPUTED_VALUE"""),"")</f>
        <v/>
      </c>
    </row>
    <row r="6425">
      <c r="A6425" s="15">
        <f>IFERROR(__xludf.DUMMYFUNCTION("""COMPUTED_VALUE"""),45183.0)</f>
        <v>45183</v>
      </c>
      <c r="B6425" s="17"/>
      <c r="C6425" s="15" t="str">
        <f>IFERROR(__xludf.DUMMYFUNCTION("""COMPUTED_VALUE"""),"ACACIAS")</f>
        <v>ACACIAS</v>
      </c>
      <c r="D6425" s="15" t="str">
        <f>IFERROR(__xludf.DUMMYFUNCTION("""COMPUTED_VALUE"""),"BOGOTÁ")</f>
        <v>BOGOTÁ</v>
      </c>
      <c r="E6425" s="15" t="str">
        <f>IFERROR(__xludf.DUMMYFUNCTION("""COMPUTED_VALUE"""),"50 Gr Alfajores")</f>
        <v>50 Gr Alfajores</v>
      </c>
      <c r="F6425" s="17" t="str">
        <f>IFERROR(__xludf.DUMMYFUNCTION("""COMPUTED_VALUE"""),"Diagonal 6 # 30-01  / Res. Yacaré  / Casa 50")</f>
        <v>Diagonal 6 # 30-01  / Res. Yacaré  / Casa 50</v>
      </c>
      <c r="G6425" s="15" t="str">
        <f>IFERROR(__xludf.DUMMYFUNCTION("""COMPUTED_VALUE"""),"Calle Herrera Carlos Daniel")</f>
        <v>Calle Herrera Carlos Daniel</v>
      </c>
      <c r="H6425" s="16">
        <f>IFERROR(__xludf.DUMMYFUNCTION("""COMPUTED_VALUE"""),14996.0)</f>
        <v>14996</v>
      </c>
      <c r="I6425" s="18">
        <f>IFERROR(__xludf.DUMMYFUNCTION("""COMPUTED_VALUE"""),5.0)</f>
        <v>5</v>
      </c>
      <c r="J6425" s="18">
        <f>IFERROR(__xludf.DUMMYFUNCTION("""COMPUTED_VALUE"""),13.0)</f>
        <v>13</v>
      </c>
      <c r="K6425" s="18">
        <f>IFERROR(__xludf.DUMMYFUNCTION("""COMPUTED_VALUE"""),45064.0)</f>
        <v>45064</v>
      </c>
      <c r="L6425" s="17">
        <f>IFERROR(__xludf.DUMMYFUNCTION("""COMPUTED_VALUE"""),3.108941426E9)</f>
        <v>3108941426</v>
      </c>
      <c r="M6425" s="17" t="str">
        <f>IFERROR(__xludf.DUMMYFUNCTION("""COMPUTED_VALUE"""),"#REF!")</f>
        <v>#REF!</v>
      </c>
      <c r="N6425" s="17"/>
      <c r="O6425" s="17"/>
      <c r="P6425" s="17" t="b">
        <f>IFERROR(__xludf.DUMMYFUNCTION("""COMPUTED_VALUE"""),FALSE)</f>
        <v>0</v>
      </c>
      <c r="Q6425" s="20" t="str">
        <f>IFERROR(__xludf.DUMMYFUNCTION("""COMPUTED_VALUE"""),"")</f>
        <v/>
      </c>
      <c r="R6425" s="21" t="str">
        <f>IFERROR(__xludf.DUMMYFUNCTION("""COMPUTED_VALUE"""),"https://drive.google.com/file/d/10TVlLYbm4ap8Fr1VxnHR_Vq4IKkctqtt/view?usp=drivesdk")</f>
        <v>https://drive.google.com/file/d/10TVlLYbm4ap8Fr1VxnHR_Vq4IKkctqtt/view?usp=drivesdk</v>
      </c>
    </row>
    <row r="6426">
      <c r="A6426" s="15">
        <f>IFERROR(__xludf.DUMMYFUNCTION("""COMPUTED_VALUE"""),45183.0)</f>
        <v>45183</v>
      </c>
      <c r="B6426" s="17"/>
      <c r="C6426" s="15" t="str">
        <f>IFERROR(__xludf.DUMMYFUNCTION("""COMPUTED_VALUE"""),"BUCARAMANGA")</f>
        <v>BUCARAMANGA</v>
      </c>
      <c r="D6426" s="15" t="str">
        <f>IFERROR(__xludf.DUMMYFUNCTION("""COMPUTED_VALUE"""),"BOGOTÁ")</f>
        <v>BOGOTÁ</v>
      </c>
      <c r="E6426" s="15" t="str">
        <f>IFERROR(__xludf.DUMMYFUNCTION("""COMPUTED_VALUE"""),"50 Gr Alfajores")</f>
        <v>50 Gr Alfajores</v>
      </c>
      <c r="F6426" s="17" t="str">
        <f>IFERROR(__xludf.DUMMYFUNCTION("""COMPUTED_VALUE"""),"Carrera 29 # 55 - 68,  / Alcalá,  / INT 703")</f>
        <v>Carrera 29 # 55 - 68,  / Alcalá,  / INT 703</v>
      </c>
      <c r="G6426" s="15" t="str">
        <f>IFERROR(__xludf.DUMMYFUNCTION("""COMPUTED_VALUE"""),"Vega Delgado Julian Fernando")</f>
        <v>Vega Delgado Julian Fernando</v>
      </c>
      <c r="H6426" s="16">
        <f>IFERROR(__xludf.DUMMYFUNCTION("""COMPUTED_VALUE"""),15012.0)</f>
        <v>15012</v>
      </c>
      <c r="I6426" s="18">
        <f>IFERROR(__xludf.DUMMYFUNCTION("""COMPUTED_VALUE"""),45064.0)</f>
        <v>45064</v>
      </c>
      <c r="J6426" s="18">
        <f>IFERROR(__xludf.DUMMYFUNCTION("""COMPUTED_VALUE"""),5.0)</f>
        <v>5</v>
      </c>
      <c r="K6426" s="18">
        <f>IFERROR(__xludf.DUMMYFUNCTION("""COMPUTED_VALUE"""),13.0)</f>
        <v>13</v>
      </c>
      <c r="L6426" s="17">
        <f>IFERROR(__xludf.DUMMYFUNCTION("""COMPUTED_VALUE"""),3.188298513E9)</f>
        <v>3188298513</v>
      </c>
      <c r="M6426" s="17" t="str">
        <f>IFERROR(__xludf.DUMMYFUNCTION("""COMPUTED_VALUE"""),"#REF!")</f>
        <v>#REF!</v>
      </c>
      <c r="N6426" s="17"/>
      <c r="O6426" s="17"/>
      <c r="P6426" s="17" t="b">
        <f>IFERROR(__xludf.DUMMYFUNCTION("""COMPUTED_VALUE"""),FALSE)</f>
        <v>0</v>
      </c>
      <c r="Q6426" s="20" t="str">
        <f>IFERROR(__xludf.DUMMYFUNCTION("""COMPUTED_VALUE"""),"")</f>
        <v/>
      </c>
      <c r="R6426" s="22" t="str">
        <f>IFERROR(__xludf.DUMMYFUNCTION("""COMPUTED_VALUE"""),"")</f>
        <v/>
      </c>
    </row>
    <row r="6427">
      <c r="A6427" s="15">
        <f>IFERROR(__xludf.DUMMYFUNCTION("""COMPUTED_VALUE"""),45183.0)</f>
        <v>45183</v>
      </c>
      <c r="B6427" s="17"/>
      <c r="C6427" s="15" t="str">
        <f>IFERROR(__xludf.DUMMYFUNCTION("""COMPUTED_VALUE"""),"BUCARAMANGA")</f>
        <v>BUCARAMANGA</v>
      </c>
      <c r="D6427" s="15" t="str">
        <f>IFERROR(__xludf.DUMMYFUNCTION("""COMPUTED_VALUE"""),"BOGOTÁ")</f>
        <v>BOGOTÁ</v>
      </c>
      <c r="E6427" s="15" t="str">
        <f>IFERROR(__xludf.DUMMYFUNCTION("""COMPUTED_VALUE"""),"50 Gr Alfajores")</f>
        <v>50 Gr Alfajores</v>
      </c>
      <c r="F6427" s="17" t="str">
        <f>IFERROR(__xludf.DUMMYFUNCTION("""COMPUTED_VALUE"""),"Cra 4 occ # 43-50 / BMANGA / SDER")</f>
        <v>Cra 4 occ # 43-50 / BMANGA / SDER</v>
      </c>
      <c r="G6427" s="15" t="str">
        <f>IFERROR(__xludf.DUMMYFUNCTION("""COMPUTED_VALUE"""),"Quintero Danay")</f>
        <v>Quintero Danay</v>
      </c>
      <c r="H6427" s="16">
        <f>IFERROR(__xludf.DUMMYFUNCTION("""COMPUTED_VALUE"""),15011.0)</f>
        <v>15011</v>
      </c>
      <c r="I6427" s="18">
        <f>IFERROR(__xludf.DUMMYFUNCTION("""COMPUTED_VALUE"""),5.0)</f>
        <v>5</v>
      </c>
      <c r="J6427" s="18">
        <f>IFERROR(__xludf.DUMMYFUNCTION("""COMPUTED_VALUE"""),13.0)</f>
        <v>13</v>
      </c>
      <c r="K6427" s="18">
        <f>IFERROR(__xludf.DUMMYFUNCTION("""COMPUTED_VALUE"""),45064.0)</f>
        <v>45064</v>
      </c>
      <c r="L6427" s="17">
        <f>IFERROR(__xludf.DUMMYFUNCTION("""COMPUTED_VALUE"""),3.102917082E9)</f>
        <v>3102917082</v>
      </c>
      <c r="M6427" s="17" t="str">
        <f>IFERROR(__xludf.DUMMYFUNCTION("""COMPUTED_VALUE"""),"#REF!")</f>
        <v>#REF!</v>
      </c>
      <c r="N6427" s="17"/>
      <c r="O6427" s="17"/>
      <c r="P6427" s="17" t="b">
        <f>IFERROR(__xludf.DUMMYFUNCTION("""COMPUTED_VALUE"""),TRUE)</f>
        <v>1</v>
      </c>
      <c r="Q6427" s="20">
        <f>IFERROR(__xludf.DUMMYFUNCTION("""COMPUTED_VALUE"""),45187.30004425926)</f>
        <v>45187.30004</v>
      </c>
      <c r="R6427" s="22" t="str">
        <f>IFERROR(__xludf.DUMMYFUNCTION("""COMPUTED_VALUE"""),"")</f>
        <v/>
      </c>
    </row>
    <row r="6428">
      <c r="A6428" s="15">
        <f>IFERROR(__xludf.DUMMYFUNCTION("""COMPUTED_VALUE"""),45183.0)</f>
        <v>45183</v>
      </c>
      <c r="B6428" s="17"/>
      <c r="C6428" s="15" t="str">
        <f>IFERROR(__xludf.DUMMYFUNCTION("""COMPUTED_VALUE"""),"BUCARAMANGA")</f>
        <v>BUCARAMANGA</v>
      </c>
      <c r="D6428" s="15" t="str">
        <f>IFERROR(__xludf.DUMMYFUNCTION("""COMPUTED_VALUE"""),"BOGOTÁ")</f>
        <v>BOGOTÁ</v>
      </c>
      <c r="E6428" s="15" t="str">
        <f>IFERROR(__xludf.DUMMYFUNCTION("""COMPUTED_VALUE"""),"Evamazzita")</f>
        <v>Evamazzita</v>
      </c>
      <c r="F6428" s="17" t="str">
        <f>IFERROR(__xludf.DUMMYFUNCTION("""COMPUTED_VALUE"""),"Bloque 14 apt 101 Campo hermoso quinta estrella / Bloque 14 apt 101 Campo hermoso quinta estrella")</f>
        <v>Bloque 14 apt 101 Campo hermoso quinta estrella / Bloque 14 apt 101 Campo hermoso quinta estrella</v>
      </c>
      <c r="G6428" s="15" t="str">
        <f>IFERROR(__xludf.DUMMYFUNCTION("""COMPUTED_VALUE"""),"JIMENA OCHOA")</f>
        <v>JIMENA OCHOA</v>
      </c>
      <c r="H6428" s="16">
        <f>IFERROR(__xludf.DUMMYFUNCTION("""COMPUTED_VALUE"""),15238.0)</f>
        <v>15238</v>
      </c>
      <c r="I6428" s="18">
        <f>IFERROR(__xludf.DUMMYFUNCTION("""COMPUTED_VALUE"""),1.0)</f>
        <v>1</v>
      </c>
      <c r="J6428" s="18">
        <f>IFERROR(__xludf.DUMMYFUNCTION("""COMPUTED_VALUE"""),1.0)</f>
        <v>1</v>
      </c>
      <c r="K6428" s="18">
        <f>IFERROR(__xludf.DUMMYFUNCTION("""COMPUTED_VALUE"""),1.0)</f>
        <v>1</v>
      </c>
      <c r="L6428" s="17">
        <f>IFERROR(__xludf.DUMMYFUNCTION("""COMPUTED_VALUE"""),3.00358854E9)</f>
        <v>3003588540</v>
      </c>
      <c r="M6428" s="17" t="str">
        <f>IFERROR(__xludf.DUMMYFUNCTION("""COMPUTED_VALUE"""),"#REF!")</f>
        <v>#REF!</v>
      </c>
      <c r="N6428" s="17"/>
      <c r="O6428" s="17"/>
      <c r="P6428" s="17" t="b">
        <f>IFERROR(__xludf.DUMMYFUNCTION("""COMPUTED_VALUE"""),TRUE)</f>
        <v>1</v>
      </c>
      <c r="Q6428" s="20">
        <f>IFERROR(__xludf.DUMMYFUNCTION("""COMPUTED_VALUE"""),45184.387756875)</f>
        <v>45184.38776</v>
      </c>
      <c r="R6428" s="22" t="str">
        <f>IFERROR(__xludf.DUMMYFUNCTION("""COMPUTED_VALUE"""),"")</f>
        <v/>
      </c>
    </row>
    <row r="6429">
      <c r="A6429" s="15">
        <f>IFERROR(__xludf.DUMMYFUNCTION("""COMPUTED_VALUE"""),45183.0)</f>
        <v>45183</v>
      </c>
      <c r="B6429" s="17"/>
      <c r="C6429" s="15" t="str">
        <f>IFERROR(__xludf.DUMMYFUNCTION("""COMPUTED_VALUE"""),"BUCARAMANGA")</f>
        <v>BUCARAMANGA</v>
      </c>
      <c r="D6429" s="15" t="str">
        <f>IFERROR(__xludf.DUMMYFUNCTION("""COMPUTED_VALUE"""),"BOGOTÁ")</f>
        <v>BOGOTÁ</v>
      </c>
      <c r="E6429" s="15" t="str">
        <f>IFERROR(__xludf.DUMMYFUNCTION("""COMPUTED_VALUE"""),"Evamazzita")</f>
        <v>Evamazzita</v>
      </c>
      <c r="F6429" s="17" t="str">
        <f>IFERROR(__xludf.DUMMYFUNCTION("""COMPUTED_VALUE"""),"Calle 1 # 12-44 / San Rafael Norte")</f>
        <v>Calle 1 # 12-44 / San Rafael Norte</v>
      </c>
      <c r="G6429" s="15" t="str">
        <f>IFERROR(__xludf.DUMMYFUNCTION("""COMPUTED_VALUE"""),"MAIRA KARELYS VEGA HERRERA")</f>
        <v>MAIRA KARELYS VEGA HERRERA</v>
      </c>
      <c r="H6429" s="16">
        <f>IFERROR(__xludf.DUMMYFUNCTION("""COMPUTED_VALUE"""),15234.0)</f>
        <v>15234</v>
      </c>
      <c r="I6429" s="18">
        <f>IFERROR(__xludf.DUMMYFUNCTION("""COMPUTED_VALUE"""),1.0)</f>
        <v>1</v>
      </c>
      <c r="J6429" s="18">
        <f>IFERROR(__xludf.DUMMYFUNCTION("""COMPUTED_VALUE"""),1.0)</f>
        <v>1</v>
      </c>
      <c r="K6429" s="18">
        <f>IFERROR(__xludf.DUMMYFUNCTION("""COMPUTED_VALUE"""),1.0)</f>
        <v>1</v>
      </c>
      <c r="L6429" s="17">
        <f>IFERROR(__xludf.DUMMYFUNCTION("""COMPUTED_VALUE"""),3.215546534E9)</f>
        <v>3215546534</v>
      </c>
      <c r="M6429" s="17" t="str">
        <f>IFERROR(__xludf.DUMMYFUNCTION("""COMPUTED_VALUE"""),"#REF!")</f>
        <v>#REF!</v>
      </c>
      <c r="N6429" s="17"/>
      <c r="O6429" s="17"/>
      <c r="P6429" s="17" t="b">
        <f>IFERROR(__xludf.DUMMYFUNCTION("""COMPUTED_VALUE"""),TRUE)</f>
        <v>1</v>
      </c>
      <c r="Q6429" s="20">
        <f>IFERROR(__xludf.DUMMYFUNCTION("""COMPUTED_VALUE"""),45187.30004425926)</f>
        <v>45187.30004</v>
      </c>
      <c r="R6429" s="22" t="str">
        <f>IFERROR(__xludf.DUMMYFUNCTION("""COMPUTED_VALUE"""),"")</f>
        <v/>
      </c>
    </row>
    <row r="6430">
      <c r="A6430" s="15">
        <f>IFERROR(__xludf.DUMMYFUNCTION("""COMPUTED_VALUE"""),45183.0)</f>
        <v>45183</v>
      </c>
      <c r="B6430" s="17"/>
      <c r="C6430" s="15" t="str">
        <f>IFERROR(__xludf.DUMMYFUNCTION("""COMPUTED_VALUE"""),"BUCARAMANGA")</f>
        <v>BUCARAMANGA</v>
      </c>
      <c r="D6430" s="15" t="str">
        <f>IFERROR(__xludf.DUMMYFUNCTION("""COMPUTED_VALUE"""),"BOGOTÁ")</f>
        <v>BOGOTÁ</v>
      </c>
      <c r="E6430" s="15" t="str">
        <f>IFERROR(__xludf.DUMMYFUNCTION("""COMPUTED_VALUE"""),"Evamazzita")</f>
        <v>Evamazzita</v>
      </c>
      <c r="F6430" s="17" t="str">
        <f>IFERROR(__xludf.DUMMYFUNCTION("""COMPUTED_VALUE"""),"Calle 50 a # 15-99 / barrio san Miguel apto 202")</f>
        <v>Calle 50 a # 15-99 / barrio san Miguel apto 202</v>
      </c>
      <c r="G6430" s="15" t="str">
        <f>IFERROR(__xludf.DUMMYFUNCTION("""COMPUTED_VALUE"""),"AUDREY SMITH PEDROZA")</f>
        <v>AUDREY SMITH PEDROZA</v>
      </c>
      <c r="H6430" s="16">
        <f>IFERROR(__xludf.DUMMYFUNCTION("""COMPUTED_VALUE"""),15233.0)</f>
        <v>15233</v>
      </c>
      <c r="I6430" s="18">
        <f>IFERROR(__xludf.DUMMYFUNCTION("""COMPUTED_VALUE"""),1.0)</f>
        <v>1</v>
      </c>
      <c r="J6430" s="18">
        <f>IFERROR(__xludf.DUMMYFUNCTION("""COMPUTED_VALUE"""),1.0)</f>
        <v>1</v>
      </c>
      <c r="K6430" s="18">
        <f>IFERROR(__xludf.DUMMYFUNCTION("""COMPUTED_VALUE"""),1.0)</f>
        <v>1</v>
      </c>
      <c r="L6430" s="17">
        <f>IFERROR(__xludf.DUMMYFUNCTION("""COMPUTED_VALUE"""),3.183972236E9)</f>
        <v>3183972236</v>
      </c>
      <c r="M6430" s="17" t="str">
        <f>IFERROR(__xludf.DUMMYFUNCTION("""COMPUTED_VALUE"""),"#REF!")</f>
        <v>#REF!</v>
      </c>
      <c r="N6430" s="17"/>
      <c r="O6430" s="17"/>
      <c r="P6430" s="17" t="b">
        <f>IFERROR(__xludf.DUMMYFUNCTION("""COMPUTED_VALUE"""),TRUE)</f>
        <v>1</v>
      </c>
      <c r="Q6430" s="20">
        <f>IFERROR(__xludf.DUMMYFUNCTION("""COMPUTED_VALUE"""),45187.30004425926)</f>
        <v>45187.30004</v>
      </c>
      <c r="R6430" s="22" t="str">
        <f>IFERROR(__xludf.DUMMYFUNCTION("""COMPUTED_VALUE"""),"")</f>
        <v/>
      </c>
    </row>
    <row r="6431">
      <c r="A6431" s="15">
        <f>IFERROR(__xludf.DUMMYFUNCTION("""COMPUTED_VALUE"""),45183.0)</f>
        <v>45183</v>
      </c>
      <c r="B6431" s="17"/>
      <c r="C6431" s="15" t="str">
        <f>IFERROR(__xludf.DUMMYFUNCTION("""COMPUTED_VALUE"""),"BUCARAMANGA")</f>
        <v>BUCARAMANGA</v>
      </c>
      <c r="D6431" s="15" t="str">
        <f>IFERROR(__xludf.DUMMYFUNCTION("""COMPUTED_VALUE"""),"BOGOTÁ")</f>
        <v>BOGOTÁ</v>
      </c>
      <c r="E6431" s="15" t="str">
        <f>IFERROR(__xludf.DUMMYFUNCTION("""COMPUTED_VALUE"""),"Evamazzita")</f>
        <v>Evamazzita</v>
      </c>
      <c r="F6431" s="17" t="str">
        <f>IFERROR(__xludf.DUMMYFUNCTION("""COMPUTED_VALUE"""),"Calle 64a # 17a-50 / BARRIO LA CEIBA")</f>
        <v>Calle 64a # 17a-50 / BARRIO LA CEIBA</v>
      </c>
      <c r="G6431" s="15" t="str">
        <f>IFERROR(__xludf.DUMMYFUNCTION("""COMPUTED_VALUE"""),"MARIA JOSE REYES")</f>
        <v>MARIA JOSE REYES</v>
      </c>
      <c r="H6431" s="16">
        <f>IFERROR(__xludf.DUMMYFUNCTION("""COMPUTED_VALUE"""),15229.0)</f>
        <v>15229</v>
      </c>
      <c r="I6431" s="18">
        <f>IFERROR(__xludf.DUMMYFUNCTION("""COMPUTED_VALUE"""),1.0)</f>
        <v>1</v>
      </c>
      <c r="J6431" s="18">
        <f>IFERROR(__xludf.DUMMYFUNCTION("""COMPUTED_VALUE"""),1.0)</f>
        <v>1</v>
      </c>
      <c r="K6431" s="18">
        <f>IFERROR(__xludf.DUMMYFUNCTION("""COMPUTED_VALUE"""),1.0)</f>
        <v>1</v>
      </c>
      <c r="L6431" s="17">
        <f>IFERROR(__xludf.DUMMYFUNCTION("""COMPUTED_VALUE"""),3.124206903E9)</f>
        <v>3124206903</v>
      </c>
      <c r="M6431" s="17" t="str">
        <f>IFERROR(__xludf.DUMMYFUNCTION("""COMPUTED_VALUE"""),"#REF!")</f>
        <v>#REF!</v>
      </c>
      <c r="N6431" s="17"/>
      <c r="O6431" s="17"/>
      <c r="P6431" s="17" t="b">
        <f>IFERROR(__xludf.DUMMYFUNCTION("""COMPUTED_VALUE"""),TRUE)</f>
        <v>1</v>
      </c>
      <c r="Q6431" s="20">
        <f>IFERROR(__xludf.DUMMYFUNCTION("""COMPUTED_VALUE"""),45187.30004425926)</f>
        <v>45187.30004</v>
      </c>
      <c r="R6431" s="22" t="str">
        <f>IFERROR(__xludf.DUMMYFUNCTION("""COMPUTED_VALUE"""),"")</f>
        <v/>
      </c>
    </row>
    <row r="6432">
      <c r="A6432" s="15">
        <f>IFERROR(__xludf.DUMMYFUNCTION("""COMPUTED_VALUE"""),45183.0)</f>
        <v>45183</v>
      </c>
      <c r="B6432" s="17"/>
      <c r="C6432" s="15" t="str">
        <f>IFERROR(__xludf.DUMMYFUNCTION("""COMPUTED_VALUE"""),"BUCARAMANGA")</f>
        <v>BUCARAMANGA</v>
      </c>
      <c r="D6432" s="15" t="str">
        <f>IFERROR(__xludf.DUMMYFUNCTION("""COMPUTED_VALUE"""),"BOGOTÁ")</f>
        <v>BOGOTÁ</v>
      </c>
      <c r="E6432" s="15" t="str">
        <f>IFERROR(__xludf.DUMMYFUNCTION("""COMPUTED_VALUE"""),"Evamazzita")</f>
        <v>Evamazzita</v>
      </c>
      <c r="F6432" s="17" t="str">
        <f>IFERROR(__xludf.DUMMYFUNCTION("""COMPUTED_VALUE"""),"carrera 33 # 91-52 / torre 2 apartamento 1901 conjunto Monviso")</f>
        <v>carrera 33 # 91-52 / torre 2 apartamento 1901 conjunto Monviso</v>
      </c>
      <c r="G6432" s="15" t="str">
        <f>IFERROR(__xludf.DUMMYFUNCTION("""COMPUTED_VALUE"""),"JENNY KATTERINE ALVAREZ")</f>
        <v>JENNY KATTERINE ALVAREZ</v>
      </c>
      <c r="H6432" s="16">
        <f>IFERROR(__xludf.DUMMYFUNCTION("""COMPUTED_VALUE"""),15235.0)</f>
        <v>15235</v>
      </c>
      <c r="I6432" s="18">
        <f>IFERROR(__xludf.DUMMYFUNCTION("""COMPUTED_VALUE"""),1.0)</f>
        <v>1</v>
      </c>
      <c r="J6432" s="18">
        <f>IFERROR(__xludf.DUMMYFUNCTION("""COMPUTED_VALUE"""),1.0)</f>
        <v>1</v>
      </c>
      <c r="K6432" s="18">
        <f>IFERROR(__xludf.DUMMYFUNCTION("""COMPUTED_VALUE"""),1.0)</f>
        <v>1</v>
      </c>
      <c r="L6432" s="17">
        <f>IFERROR(__xludf.DUMMYFUNCTION("""COMPUTED_VALUE"""),3.182352632E9)</f>
        <v>3182352632</v>
      </c>
      <c r="M6432" s="17" t="str">
        <f>IFERROR(__xludf.DUMMYFUNCTION("""COMPUTED_VALUE"""),"#REF!")</f>
        <v>#REF!</v>
      </c>
      <c r="N6432" s="17"/>
      <c r="O6432" s="17"/>
      <c r="P6432" s="17" t="b">
        <f>IFERROR(__xludf.DUMMYFUNCTION("""COMPUTED_VALUE"""),TRUE)</f>
        <v>1</v>
      </c>
      <c r="Q6432" s="20">
        <f>IFERROR(__xludf.DUMMYFUNCTION("""COMPUTED_VALUE"""),45187.30004425926)</f>
        <v>45187.30004</v>
      </c>
      <c r="R6432" s="22" t="str">
        <f>IFERROR(__xludf.DUMMYFUNCTION("""COMPUTED_VALUE"""),"")</f>
        <v/>
      </c>
    </row>
    <row r="6433">
      <c r="A6433" s="15">
        <f>IFERROR(__xludf.DUMMYFUNCTION("""COMPUTED_VALUE"""),45183.0)</f>
        <v>45183</v>
      </c>
      <c r="B6433" s="17"/>
      <c r="C6433" s="15" t="str">
        <f>IFERROR(__xludf.DUMMYFUNCTION("""COMPUTED_VALUE"""),"BUCARAMANGA")</f>
        <v>BUCARAMANGA</v>
      </c>
      <c r="D6433" s="15" t="str">
        <f>IFERROR(__xludf.DUMMYFUNCTION("""COMPUTED_VALUE"""),"BOGOTÁ")</f>
        <v>BOGOTÁ</v>
      </c>
      <c r="E6433" s="15" t="str">
        <f>IFERROR(__xludf.DUMMYFUNCTION("""COMPUTED_VALUE"""),"Evamazzita")</f>
        <v>Evamazzita</v>
      </c>
      <c r="F6433" s="17" t="str">
        <f>IFERROR(__xludf.DUMMYFUNCTION("""COMPUTED_VALUE"""),"cr 27 #84-18 / conjunto Terranova apto 804 torre 2   Diamante 2")</f>
        <v>cr 27 #84-18 / conjunto Terranova apto 804 torre 2   Diamante 2</v>
      </c>
      <c r="G6433" s="15" t="str">
        <f>IFERROR(__xludf.DUMMYFUNCTION("""COMPUTED_VALUE"""),"TATHIANA CAMACHO BECERRA")</f>
        <v>TATHIANA CAMACHO BECERRA</v>
      </c>
      <c r="H6433" s="16">
        <f>IFERROR(__xludf.DUMMYFUNCTION("""COMPUTED_VALUE"""),15230.0)</f>
        <v>15230</v>
      </c>
      <c r="I6433" s="18">
        <f>IFERROR(__xludf.DUMMYFUNCTION("""COMPUTED_VALUE"""),1.0)</f>
        <v>1</v>
      </c>
      <c r="J6433" s="18">
        <f>IFERROR(__xludf.DUMMYFUNCTION("""COMPUTED_VALUE"""),1.0)</f>
        <v>1</v>
      </c>
      <c r="K6433" s="18">
        <f>IFERROR(__xludf.DUMMYFUNCTION("""COMPUTED_VALUE"""),1.0)</f>
        <v>1</v>
      </c>
      <c r="L6433" s="17">
        <f>IFERROR(__xludf.DUMMYFUNCTION("""COMPUTED_VALUE"""),3.183934947E9)</f>
        <v>3183934947</v>
      </c>
      <c r="M6433" s="17" t="str">
        <f>IFERROR(__xludf.DUMMYFUNCTION("""COMPUTED_VALUE"""),"#REF!")</f>
        <v>#REF!</v>
      </c>
      <c r="N6433" s="17"/>
      <c r="O6433" s="17"/>
      <c r="P6433" s="17" t="b">
        <f>IFERROR(__xludf.DUMMYFUNCTION("""COMPUTED_VALUE"""),FALSE)</f>
        <v>0</v>
      </c>
      <c r="Q6433" s="20" t="str">
        <f>IFERROR(__xludf.DUMMYFUNCTION("""COMPUTED_VALUE"""),"")</f>
        <v/>
      </c>
      <c r="R6433" s="22" t="str">
        <f>IFERROR(__xludf.DUMMYFUNCTION("""COMPUTED_VALUE"""),"")</f>
        <v/>
      </c>
    </row>
    <row r="6434">
      <c r="A6434" s="15">
        <f>IFERROR(__xludf.DUMMYFUNCTION("""COMPUTED_VALUE"""),45183.0)</f>
        <v>45183</v>
      </c>
      <c r="B6434" s="17"/>
      <c r="C6434" s="15" t="str">
        <f>IFERROR(__xludf.DUMMYFUNCTION("""COMPUTED_VALUE"""),"BUCARAMANGA")</f>
        <v>BUCARAMANGA</v>
      </c>
      <c r="D6434" s="15" t="str">
        <f>IFERROR(__xludf.DUMMYFUNCTION("""COMPUTED_VALUE"""),"BOGOTÁ")</f>
        <v>BOGOTÁ</v>
      </c>
      <c r="E6434" s="15" t="str">
        <f>IFERROR(__xludf.DUMMYFUNCTION("""COMPUTED_VALUE"""),"Evamazzita")</f>
        <v>Evamazzita</v>
      </c>
      <c r="F6434" s="17" t="str">
        <f>IFERROR(__xludf.DUMMYFUNCTION("""COMPUTED_VALUE"""),"CR 31 # 40 66 / MEJORAS PUBLICAS BUCARAMANGA")</f>
        <v>CR 31 # 40 66 / MEJORAS PUBLICAS BUCARAMANGA</v>
      </c>
      <c r="G6434" s="15" t="str">
        <f>IFERROR(__xludf.DUMMYFUNCTION("""COMPUTED_VALUE"""),"JEIMY KATERINE ARENAS DAZA")</f>
        <v>JEIMY KATERINE ARENAS DAZA</v>
      </c>
      <c r="H6434" s="16">
        <f>IFERROR(__xludf.DUMMYFUNCTION("""COMPUTED_VALUE"""),15228.0)</f>
        <v>15228</v>
      </c>
      <c r="I6434" s="18">
        <f>IFERROR(__xludf.DUMMYFUNCTION("""COMPUTED_VALUE"""),1.0)</f>
        <v>1</v>
      </c>
      <c r="J6434" s="18">
        <f>IFERROR(__xludf.DUMMYFUNCTION("""COMPUTED_VALUE"""),1.0)</f>
        <v>1</v>
      </c>
      <c r="K6434" s="18">
        <f>IFERROR(__xludf.DUMMYFUNCTION("""COMPUTED_VALUE"""),1.0)</f>
        <v>1</v>
      </c>
      <c r="L6434" s="17">
        <f>IFERROR(__xludf.DUMMYFUNCTION("""COMPUTED_VALUE"""),3.182898252E9)</f>
        <v>3182898252</v>
      </c>
      <c r="M6434" s="17" t="str">
        <f>IFERROR(__xludf.DUMMYFUNCTION("""COMPUTED_VALUE"""),"#REF!")</f>
        <v>#REF!</v>
      </c>
      <c r="N6434" s="17"/>
      <c r="O6434" s="17"/>
      <c r="P6434" s="17" t="b">
        <f>IFERROR(__xludf.DUMMYFUNCTION("""COMPUTED_VALUE"""),FALSE)</f>
        <v>0</v>
      </c>
      <c r="Q6434" s="20" t="str">
        <f>IFERROR(__xludf.DUMMYFUNCTION("""COMPUTED_VALUE"""),"")</f>
        <v/>
      </c>
      <c r="R6434" s="22" t="str">
        <f>IFERROR(__xludf.DUMMYFUNCTION("""COMPUTED_VALUE"""),"")</f>
        <v/>
      </c>
    </row>
    <row r="6435">
      <c r="A6435" s="15">
        <f>IFERROR(__xludf.DUMMYFUNCTION("""COMPUTED_VALUE"""),45183.0)</f>
        <v>45183</v>
      </c>
      <c r="B6435" s="17"/>
      <c r="C6435" s="15" t="str">
        <f>IFERROR(__xludf.DUMMYFUNCTION("""COMPUTED_VALUE"""),"BUCARAMANGA")</f>
        <v>BUCARAMANGA</v>
      </c>
      <c r="D6435" s="15" t="str">
        <f>IFERROR(__xludf.DUMMYFUNCTION("""COMPUTED_VALUE"""),"BOGOTÁ")</f>
        <v>BOGOTÁ</v>
      </c>
      <c r="E6435" s="15" t="str">
        <f>IFERROR(__xludf.DUMMYFUNCTION("""COMPUTED_VALUE"""),"Evamazzita")</f>
        <v>Evamazzita</v>
      </c>
      <c r="F6435" s="17" t="str">
        <f>IFERROR(__xludf.DUMMYFUNCTION("""COMPUTED_VALUE"""),"Cra 13 #51A-25 / Apto 201 Barrio San Miguel")</f>
        <v>Cra 13 #51A-25 / Apto 201 Barrio San Miguel</v>
      </c>
      <c r="G6435" s="15" t="str">
        <f>IFERROR(__xludf.DUMMYFUNCTION("""COMPUTED_VALUE"""),"LUDY MARCELA ORTIZ COLMENARES")</f>
        <v>LUDY MARCELA ORTIZ COLMENARES</v>
      </c>
      <c r="H6435" s="16">
        <f>IFERROR(__xludf.DUMMYFUNCTION("""COMPUTED_VALUE"""),15232.0)</f>
        <v>15232</v>
      </c>
      <c r="I6435" s="18">
        <f>IFERROR(__xludf.DUMMYFUNCTION("""COMPUTED_VALUE"""),1.0)</f>
        <v>1</v>
      </c>
      <c r="J6435" s="18">
        <f>IFERROR(__xludf.DUMMYFUNCTION("""COMPUTED_VALUE"""),1.0)</f>
        <v>1</v>
      </c>
      <c r="K6435" s="18">
        <f>IFERROR(__xludf.DUMMYFUNCTION("""COMPUTED_VALUE"""),1.0)</f>
        <v>1</v>
      </c>
      <c r="L6435" s="17">
        <f>IFERROR(__xludf.DUMMYFUNCTION("""COMPUTED_VALUE"""),3.105650147E9)</f>
        <v>3105650147</v>
      </c>
      <c r="M6435" s="17" t="str">
        <f>IFERROR(__xludf.DUMMYFUNCTION("""COMPUTED_VALUE"""),"#REF!")</f>
        <v>#REF!</v>
      </c>
      <c r="N6435" s="17"/>
      <c r="O6435" s="17"/>
      <c r="P6435" s="17" t="b">
        <f>IFERROR(__xludf.DUMMYFUNCTION("""COMPUTED_VALUE"""),FALSE)</f>
        <v>0</v>
      </c>
      <c r="Q6435" s="20" t="str">
        <f>IFERROR(__xludf.DUMMYFUNCTION("""COMPUTED_VALUE"""),"")</f>
        <v/>
      </c>
      <c r="R6435" s="22" t="str">
        <f>IFERROR(__xludf.DUMMYFUNCTION("""COMPUTED_VALUE"""),"")</f>
        <v/>
      </c>
    </row>
    <row r="6436">
      <c r="A6436" s="15">
        <f>IFERROR(__xludf.DUMMYFUNCTION("""COMPUTED_VALUE"""),45183.0)</f>
        <v>45183</v>
      </c>
      <c r="B6436" s="17"/>
      <c r="C6436" s="15" t="str">
        <f>IFERROR(__xludf.DUMMYFUNCTION("""COMPUTED_VALUE"""),"BUCARAMANGA")</f>
        <v>BUCARAMANGA</v>
      </c>
      <c r="D6436" s="15" t="str">
        <f>IFERROR(__xludf.DUMMYFUNCTION("""COMPUTED_VALUE"""),"BOGOTÁ")</f>
        <v>BOGOTÁ</v>
      </c>
      <c r="E6436" s="15" t="str">
        <f>IFERROR(__xludf.DUMMYFUNCTION("""COMPUTED_VALUE"""),"Evamazzita")</f>
        <v>Evamazzita</v>
      </c>
      <c r="F6436" s="17" t="str">
        <f>IFERROR(__xludf.DUMMYFUNCTION("""COMPUTED_VALUE"""),"cra 33 # 91 52 / torre 2 apto 1703 conjunto monviso Barrio El tejar")</f>
        <v>cra 33 # 91 52 / torre 2 apto 1703 conjunto monviso Barrio El tejar</v>
      </c>
      <c r="G6436" s="15" t="str">
        <f>IFERROR(__xludf.DUMMYFUNCTION("""COMPUTED_VALUE"""),"LAURA SILVA ARDILA")</f>
        <v>LAURA SILVA ARDILA</v>
      </c>
      <c r="H6436" s="16">
        <f>IFERROR(__xludf.DUMMYFUNCTION("""COMPUTED_VALUE"""),15236.0)</f>
        <v>15236</v>
      </c>
      <c r="I6436" s="18">
        <f>IFERROR(__xludf.DUMMYFUNCTION("""COMPUTED_VALUE"""),1.0)</f>
        <v>1</v>
      </c>
      <c r="J6436" s="18">
        <f>IFERROR(__xludf.DUMMYFUNCTION("""COMPUTED_VALUE"""),1.0)</f>
        <v>1</v>
      </c>
      <c r="K6436" s="18">
        <f>IFERROR(__xludf.DUMMYFUNCTION("""COMPUTED_VALUE"""),1.0)</f>
        <v>1</v>
      </c>
      <c r="L6436" s="17">
        <f>IFERROR(__xludf.DUMMYFUNCTION("""COMPUTED_VALUE"""),3.164970799E9)</f>
        <v>3164970799</v>
      </c>
      <c r="M6436" s="17" t="str">
        <f>IFERROR(__xludf.DUMMYFUNCTION("""COMPUTED_VALUE"""),"#REF!")</f>
        <v>#REF!</v>
      </c>
      <c r="N6436" s="17"/>
      <c r="O6436" s="17"/>
      <c r="P6436" s="17" t="b">
        <f>IFERROR(__xludf.DUMMYFUNCTION("""COMPUTED_VALUE"""),FALSE)</f>
        <v>0</v>
      </c>
      <c r="Q6436" s="20" t="str">
        <f>IFERROR(__xludf.DUMMYFUNCTION("""COMPUTED_VALUE"""),"")</f>
        <v/>
      </c>
      <c r="R6436" s="22" t="str">
        <f>IFERROR(__xludf.DUMMYFUNCTION("""COMPUTED_VALUE"""),"")</f>
        <v/>
      </c>
    </row>
    <row r="6437">
      <c r="A6437" s="15">
        <f>IFERROR(__xludf.DUMMYFUNCTION("""COMPUTED_VALUE"""),45183.0)</f>
        <v>45183</v>
      </c>
      <c r="B6437" s="17"/>
      <c r="C6437" s="15" t="str">
        <f>IFERROR(__xludf.DUMMYFUNCTION("""COMPUTED_VALUE"""),"BUCARAMANGA")</f>
        <v>BUCARAMANGA</v>
      </c>
      <c r="D6437" s="15" t="str">
        <f>IFERROR(__xludf.DUMMYFUNCTION("""COMPUTED_VALUE"""),"BOGOTÁ")</f>
        <v>BOGOTÁ</v>
      </c>
      <c r="E6437" s="15" t="str">
        <f>IFERROR(__xludf.DUMMYFUNCTION("""COMPUTED_VALUE"""),"Evamazzita")</f>
        <v>Evamazzita</v>
      </c>
      <c r="F6437" s="17" t="str">
        <f>IFERROR(__xludf.DUMMYFUNCTION("""COMPUTED_VALUE"""),"Cra 6 28-45 / apto 1703 edificio Girardot 628 BARRIO GIRARDOT")</f>
        <v>Cra 6 28-45 / apto 1703 edificio Girardot 628 BARRIO GIRARDOT</v>
      </c>
      <c r="G6437" s="15" t="str">
        <f>IFERROR(__xludf.DUMMYFUNCTION("""COMPUTED_VALUE"""),"MARIA VERONICA PARADA SANCHEZ")</f>
        <v>MARIA VERONICA PARADA SANCHEZ</v>
      </c>
      <c r="H6437" s="16">
        <f>IFERROR(__xludf.DUMMYFUNCTION("""COMPUTED_VALUE"""),15237.0)</f>
        <v>15237</v>
      </c>
      <c r="I6437" s="18">
        <f>IFERROR(__xludf.DUMMYFUNCTION("""COMPUTED_VALUE"""),1.0)</f>
        <v>1</v>
      </c>
      <c r="J6437" s="18">
        <f>IFERROR(__xludf.DUMMYFUNCTION("""COMPUTED_VALUE"""),1.0)</f>
        <v>1</v>
      </c>
      <c r="K6437" s="18">
        <f>IFERROR(__xludf.DUMMYFUNCTION("""COMPUTED_VALUE"""),1.0)</f>
        <v>1</v>
      </c>
      <c r="L6437" s="17">
        <f>IFERROR(__xludf.DUMMYFUNCTION("""COMPUTED_VALUE"""),3.162414833E9)</f>
        <v>3162414833</v>
      </c>
      <c r="M6437" s="17" t="str">
        <f>IFERROR(__xludf.DUMMYFUNCTION("""COMPUTED_VALUE"""),"#REF!")</f>
        <v>#REF!</v>
      </c>
      <c r="N6437" s="17"/>
      <c r="O6437" s="17"/>
      <c r="P6437" s="17" t="b">
        <f>IFERROR(__xludf.DUMMYFUNCTION("""COMPUTED_VALUE"""),FALSE)</f>
        <v>0</v>
      </c>
      <c r="Q6437" s="20" t="str">
        <f>IFERROR(__xludf.DUMMYFUNCTION("""COMPUTED_VALUE"""),"")</f>
        <v/>
      </c>
      <c r="R6437" s="22" t="str">
        <f>IFERROR(__xludf.DUMMYFUNCTION("""COMPUTED_VALUE"""),"")</f>
        <v/>
      </c>
    </row>
    <row r="6438">
      <c r="A6438" s="15">
        <f>IFERROR(__xludf.DUMMYFUNCTION("""COMPUTED_VALUE"""),45183.0)</f>
        <v>45183</v>
      </c>
      <c r="B6438" s="17"/>
      <c r="C6438" s="15" t="str">
        <f>IFERROR(__xludf.DUMMYFUNCTION("""COMPUTED_VALUE"""),"BUCARAMANGA")</f>
        <v>BUCARAMANGA</v>
      </c>
      <c r="D6438" s="15" t="str">
        <f>IFERROR(__xludf.DUMMYFUNCTION("""COMPUTED_VALUE"""),"BOGOTÁ")</f>
        <v>BOGOTÁ</v>
      </c>
      <c r="E6438" s="15" t="str">
        <f>IFERROR(__xludf.DUMMYFUNCTION("""COMPUTED_VALUE"""),"Evamazzita")</f>
        <v>Evamazzita</v>
      </c>
      <c r="F6438" s="17" t="str">
        <f>IFERROR(__xludf.DUMMYFUNCTION("""COMPUTED_VALUE"""),"Cra 8#61-160 / Conjunto Parque San Remo 2 casa 25 Barrio Real de minas")</f>
        <v>Cra 8#61-160 / Conjunto Parque San Remo 2 casa 25 Barrio Real de minas</v>
      </c>
      <c r="G6438" s="15" t="str">
        <f>IFERROR(__xludf.DUMMYFUNCTION("""COMPUTED_VALUE"""),"YENNY MARCELA NIÑO FERREIRA")</f>
        <v>YENNY MARCELA NIÑO FERREIRA</v>
      </c>
      <c r="H6438" s="16">
        <f>IFERROR(__xludf.DUMMYFUNCTION("""COMPUTED_VALUE"""),15231.0)</f>
        <v>15231</v>
      </c>
      <c r="I6438" s="18">
        <f>IFERROR(__xludf.DUMMYFUNCTION("""COMPUTED_VALUE"""),1.0)</f>
        <v>1</v>
      </c>
      <c r="J6438" s="18">
        <f>IFERROR(__xludf.DUMMYFUNCTION("""COMPUTED_VALUE"""),1.0)</f>
        <v>1</v>
      </c>
      <c r="K6438" s="18">
        <f>IFERROR(__xludf.DUMMYFUNCTION("""COMPUTED_VALUE"""),1.0)</f>
        <v>1</v>
      </c>
      <c r="L6438" s="17">
        <f>IFERROR(__xludf.DUMMYFUNCTION("""COMPUTED_VALUE"""),3.012516953E9)</f>
        <v>3012516953</v>
      </c>
      <c r="M6438" s="17" t="str">
        <f>IFERROR(__xludf.DUMMYFUNCTION("""COMPUTED_VALUE"""),"#REF!")</f>
        <v>#REF!</v>
      </c>
      <c r="N6438" s="17"/>
      <c r="O6438" s="17"/>
      <c r="P6438" s="17" t="b">
        <f>IFERROR(__xludf.DUMMYFUNCTION("""COMPUTED_VALUE"""),FALSE)</f>
        <v>0</v>
      </c>
      <c r="Q6438" s="20" t="str">
        <f>IFERROR(__xludf.DUMMYFUNCTION("""COMPUTED_VALUE"""),"")</f>
        <v/>
      </c>
      <c r="R6438" s="22" t="str">
        <f>IFERROR(__xludf.DUMMYFUNCTION("""COMPUTED_VALUE"""),"")</f>
        <v/>
      </c>
    </row>
    <row r="6439">
      <c r="A6439" s="15">
        <f>IFERROR(__xludf.DUMMYFUNCTION("""COMPUTED_VALUE"""),45183.0)</f>
        <v>45183</v>
      </c>
      <c r="B6439" s="17"/>
      <c r="C6439" s="15" t="str">
        <f>IFERROR(__xludf.DUMMYFUNCTION("""COMPUTED_VALUE"""),"BUCARAMANGA")</f>
        <v>BUCARAMANGA</v>
      </c>
      <c r="D6439" s="15" t="str">
        <f>IFERROR(__xludf.DUMMYFUNCTION("""COMPUTED_VALUE"""),"BOGOTÁ")</f>
        <v>BOGOTÁ</v>
      </c>
      <c r="E6439" s="15" t="str">
        <f>IFERROR(__xludf.DUMMYFUNCTION("""COMPUTED_VALUE"""),"Ins. Alimento Vital")</f>
        <v>Ins. Alimento Vital</v>
      </c>
      <c r="F6439" s="17" t="str">
        <f>IFERROR(__xludf.DUMMYFUNCTION("""COMPUTED_VALUE"""),"CL 31 30 08 / AP 501 AURORA ROYAL / AURORA ROYAL")</f>
        <v>CL 31 30 08 / AP 501 AURORA ROYAL / AURORA ROYAL</v>
      </c>
      <c r="G6439" s="15" t="str">
        <f>IFERROR(__xludf.DUMMYFUNCTION("""COMPUTED_VALUE"""),"LARRY ALBERTO LOPEZ MACANA")</f>
        <v>LARRY ALBERTO LOPEZ MACANA</v>
      </c>
      <c r="H6439" s="16">
        <f>IFERROR(__xludf.DUMMYFUNCTION("""COMPUTED_VALUE"""),15203.0)</f>
        <v>15203</v>
      </c>
      <c r="I6439" s="18">
        <f>IFERROR(__xludf.DUMMYFUNCTION("""COMPUTED_VALUE"""),1.0)</f>
        <v>1</v>
      </c>
      <c r="J6439" s="18">
        <f>IFERROR(__xludf.DUMMYFUNCTION("""COMPUTED_VALUE"""),1.0)</f>
        <v>1</v>
      </c>
      <c r="K6439" s="18">
        <f>IFERROR(__xludf.DUMMYFUNCTION("""COMPUTED_VALUE"""),1.0)</f>
        <v>1</v>
      </c>
      <c r="L6439" s="17">
        <f>IFERROR(__xludf.DUMMYFUNCTION("""COMPUTED_VALUE"""),3.185709801E9)</f>
        <v>3185709801</v>
      </c>
      <c r="M6439" s="17" t="str">
        <f>IFERROR(__xludf.DUMMYFUNCTION("""COMPUTED_VALUE"""),"#REF!")</f>
        <v>#REF!</v>
      </c>
      <c r="N6439" s="17"/>
      <c r="O6439" s="17"/>
      <c r="P6439" s="17" t="b">
        <f>IFERROR(__xludf.DUMMYFUNCTION("""COMPUTED_VALUE"""),FALSE)</f>
        <v>0</v>
      </c>
      <c r="Q6439" s="20" t="str">
        <f>IFERROR(__xludf.DUMMYFUNCTION("""COMPUTED_VALUE"""),"")</f>
        <v/>
      </c>
      <c r="R6439" s="22" t="str">
        <f>IFERROR(__xludf.DUMMYFUNCTION("""COMPUTED_VALUE"""),"")</f>
        <v/>
      </c>
    </row>
    <row r="6440">
      <c r="A6440" s="15">
        <f>IFERROR(__xludf.DUMMYFUNCTION("""COMPUTED_VALUE"""),45183.0)</f>
        <v>45183</v>
      </c>
      <c r="B6440" s="17"/>
      <c r="C6440" s="15" t="str">
        <f>IFERROR(__xludf.DUMMYFUNCTION("""COMPUTED_VALUE"""),"BUCARAMANGA")</f>
        <v>BUCARAMANGA</v>
      </c>
      <c r="D6440" s="15" t="str">
        <f>IFERROR(__xludf.DUMMYFUNCTION("""COMPUTED_VALUE"""),"BOGOTÁ")</f>
        <v>BOGOTÁ</v>
      </c>
      <c r="E6440" s="15" t="str">
        <f>IFERROR(__xludf.DUMMYFUNCTION("""COMPUTED_VALUE"""),"Pan de Waffle")</f>
        <v>Pan de Waffle</v>
      </c>
      <c r="F6440" s="17" t="str">
        <f>IFERROR(__xludf.DUMMYFUNCTION("""COMPUTED_VALUE"""),"Carrera 31 # 50 - 27 / Carrera 31 # 50 - 27 / Carrera 31 # 50 - 27")</f>
        <v>Carrera 31 # 50 - 27 / Carrera 31 # 50 - 27 / Carrera 31 # 50 - 27</v>
      </c>
      <c r="G6440" s="15" t="str">
        <f>IFERROR(__xludf.DUMMYFUNCTION("""COMPUTED_VALUE"""),"FOODOLOGY")</f>
        <v>FOODOLOGY</v>
      </c>
      <c r="H6440" s="16">
        <f>IFERROR(__xludf.DUMMYFUNCTION("""COMPUTED_VALUE"""),15218.0)</f>
        <v>15218</v>
      </c>
      <c r="I6440" s="18">
        <f>IFERROR(__xludf.DUMMYFUNCTION("""COMPUTED_VALUE"""),30.0)</f>
        <v>30</v>
      </c>
      <c r="J6440" s="18">
        <f>IFERROR(__xludf.DUMMYFUNCTION("""COMPUTED_VALUE"""),40.0)</f>
        <v>40</v>
      </c>
      <c r="K6440" s="18">
        <f>IFERROR(__xludf.DUMMYFUNCTION("""COMPUTED_VALUE"""),30.0)</f>
        <v>30</v>
      </c>
      <c r="L6440" s="17">
        <f>IFERROR(__xludf.DUMMYFUNCTION("""COMPUTED_VALUE"""),3.017001909E9)</f>
        <v>3017001909</v>
      </c>
      <c r="M6440" s="17" t="str">
        <f>IFERROR(__xludf.DUMMYFUNCTION("""COMPUTED_VALUE"""),"#REF!")</f>
        <v>#REF!</v>
      </c>
      <c r="N6440" s="17"/>
      <c r="O6440" s="17"/>
      <c r="P6440" s="17" t="b">
        <f>IFERROR(__xludf.DUMMYFUNCTION("""COMPUTED_VALUE"""),FALSE)</f>
        <v>0</v>
      </c>
      <c r="Q6440" s="20" t="str">
        <f>IFERROR(__xludf.DUMMYFUNCTION("""COMPUTED_VALUE"""),"")</f>
        <v/>
      </c>
      <c r="R6440" s="22" t="str">
        <f>IFERROR(__xludf.DUMMYFUNCTION("""COMPUTED_VALUE"""),"")</f>
        <v/>
      </c>
    </row>
    <row r="6441">
      <c r="A6441" s="15">
        <f>IFERROR(__xludf.DUMMYFUNCTION("""COMPUTED_VALUE"""),45183.0)</f>
        <v>45183</v>
      </c>
      <c r="B6441" s="17"/>
      <c r="C6441" s="15" t="str">
        <f>IFERROR(__xludf.DUMMYFUNCTION("""COMPUTED_VALUE"""),"BUCARAMANGA")</f>
        <v>BUCARAMANGA</v>
      </c>
      <c r="D6441" s="15" t="str">
        <f>IFERROR(__xludf.DUMMYFUNCTION("""COMPUTED_VALUE"""),"IBAGUÉ")</f>
        <v>IBAGUÉ</v>
      </c>
      <c r="E6441" s="15" t="str">
        <f>IFERROR(__xludf.DUMMYFUNCTION("""COMPUTED_VALUE"""),"Nutrikids Healthy")</f>
        <v>Nutrikids Healthy</v>
      </c>
      <c r="F6441" s="17" t="str">
        <f>IFERROR(__xludf.DUMMYFUNCTION("""COMPUTED_VALUE"""),"Calle 61 # 1W-35  / Casa 34 / Intimarca real de minas")</f>
        <v>Calle 61 # 1W-35  / Casa 34 / Intimarca real de minas</v>
      </c>
      <c r="G6441" s="15" t="str">
        <f>IFERROR(__xludf.DUMMYFUNCTION("""COMPUTED_VALUE"""),"Daniela González")</f>
        <v>Daniela González</v>
      </c>
      <c r="H6441" s="16">
        <f>IFERROR(__xludf.DUMMYFUNCTION("""COMPUTED_VALUE"""),14958.0)</f>
        <v>14958</v>
      </c>
      <c r="I6441" s="18">
        <f>IFERROR(__xludf.DUMMYFUNCTION("""COMPUTED_VALUE"""),14.0)</f>
        <v>14</v>
      </c>
      <c r="J6441" s="18">
        <f>IFERROR(__xludf.DUMMYFUNCTION("""COMPUTED_VALUE"""),16.0)</f>
        <v>16</v>
      </c>
      <c r="K6441" s="18">
        <f>IFERROR(__xludf.DUMMYFUNCTION("""COMPUTED_VALUE"""),24.0)</f>
        <v>24</v>
      </c>
      <c r="L6441" s="17">
        <f>IFERROR(__xludf.DUMMYFUNCTION("""COMPUTED_VALUE"""),3.183119574E9)</f>
        <v>3183119574</v>
      </c>
      <c r="M6441" s="17" t="str">
        <f>IFERROR(__xludf.DUMMYFUNCTION("""COMPUTED_VALUE"""),"#REF!")</f>
        <v>#REF!</v>
      </c>
      <c r="N6441" s="17"/>
      <c r="O6441" s="17"/>
      <c r="P6441" s="17" t="b">
        <f>IFERROR(__xludf.DUMMYFUNCTION("""COMPUTED_VALUE"""),FALSE)</f>
        <v>0</v>
      </c>
      <c r="Q6441" s="20" t="str">
        <f>IFERROR(__xludf.DUMMYFUNCTION("""COMPUTED_VALUE"""),"")</f>
        <v/>
      </c>
      <c r="R6441" s="22" t="str">
        <f>IFERROR(__xludf.DUMMYFUNCTION("""COMPUTED_VALUE"""),"")</f>
        <v/>
      </c>
    </row>
    <row r="6442">
      <c r="A6442" s="15">
        <f>IFERROR(__xludf.DUMMYFUNCTION("""COMPUTED_VALUE"""),45183.0)</f>
        <v>45183</v>
      </c>
      <c r="B6442" s="17"/>
      <c r="C6442" s="15" t="str">
        <f>IFERROR(__xludf.DUMMYFUNCTION("""COMPUTED_VALUE"""),"CARTAGENA")</f>
        <v>CARTAGENA</v>
      </c>
      <c r="D6442" s="15" t="str">
        <f>IFERROR(__xludf.DUMMYFUNCTION("""COMPUTED_VALUE"""),"BOGOTÁ")</f>
        <v>BOGOTÁ</v>
      </c>
      <c r="E6442" s="15" t="str">
        <f>IFERROR(__xludf.DUMMYFUNCTION("""COMPUTED_VALUE"""),"MAI ALIMENTOS S.A.S")</f>
        <v>MAI ALIMENTOS S.A.S</v>
      </c>
      <c r="F6442" s="17" t="str">
        <f>IFERROR(__xludf.DUMMYFUNCTION("""COMPUTED_VALUE"""),"Carrera 3 A # 31 - 23 / Plaza Santa teresa / Restaurante Harry Sasson")</f>
        <v>Carrera 3 A # 31 - 23 / Plaza Santa teresa / Restaurante Harry Sasson</v>
      </c>
      <c r="G6442" s="15" t="str">
        <f>IFERROR(__xludf.DUMMYFUNCTION("""COMPUTED_VALUE"""),"Hoteles Charleston SAS")</f>
        <v>Hoteles Charleston SAS</v>
      </c>
      <c r="H6442" s="16">
        <f>IFERROR(__xludf.DUMMYFUNCTION("""COMPUTED_VALUE"""),14970.0)</f>
        <v>14970</v>
      </c>
      <c r="I6442" s="18">
        <f>IFERROR(__xludf.DUMMYFUNCTION("""COMPUTED_VALUE"""),35.0)</f>
        <v>35</v>
      </c>
      <c r="J6442" s="18">
        <f>IFERROR(__xludf.DUMMYFUNCTION("""COMPUTED_VALUE"""),17.0)</f>
        <v>17</v>
      </c>
      <c r="K6442" s="18">
        <f>IFERROR(__xludf.DUMMYFUNCTION("""COMPUTED_VALUE"""),13.0)</f>
        <v>13</v>
      </c>
      <c r="L6442" s="17">
        <f>IFERROR(__xludf.DUMMYFUNCTION("""COMPUTED_VALUE"""),3.174374246E9)</f>
        <v>3174374246</v>
      </c>
      <c r="M6442" s="17" t="str">
        <f>IFERROR(__xludf.DUMMYFUNCTION("""COMPUTED_VALUE"""),"#REF!")</f>
        <v>#REF!</v>
      </c>
      <c r="N6442" s="17"/>
      <c r="O6442" s="17"/>
      <c r="P6442" s="17" t="b">
        <f>IFERROR(__xludf.DUMMYFUNCTION("""COMPUTED_VALUE"""),FALSE)</f>
        <v>0</v>
      </c>
      <c r="Q6442" s="20" t="str">
        <f>IFERROR(__xludf.DUMMYFUNCTION("""COMPUTED_VALUE"""),"")</f>
        <v/>
      </c>
      <c r="R6442" s="21" t="str">
        <f>IFERROR(__xludf.DUMMYFUNCTION("""COMPUTED_VALUE"""),"https://drive.google.com/file/d/13jDEsa8cR9eWycYnkfIAAYg1LEzb32LM/view?usp=drivesdk")</f>
        <v>https://drive.google.com/file/d/13jDEsa8cR9eWycYnkfIAAYg1LEzb32LM/view?usp=drivesdk</v>
      </c>
    </row>
    <row r="6443">
      <c r="A6443" s="15">
        <f>IFERROR(__xludf.DUMMYFUNCTION("""COMPUTED_VALUE"""),45183.0)</f>
        <v>45183</v>
      </c>
      <c r="B6443" s="17"/>
      <c r="C6443" s="15" t="str">
        <f>IFERROR(__xludf.DUMMYFUNCTION("""COMPUTED_VALUE"""),"CARTAGENA")</f>
        <v>CARTAGENA</v>
      </c>
      <c r="D6443" s="15" t="str">
        <f>IFERROR(__xludf.DUMMYFUNCTION("""COMPUTED_VALUE"""),"BOGOTÁ")</f>
        <v>BOGOTÁ</v>
      </c>
      <c r="E6443" s="15" t="str">
        <f>IFERROR(__xludf.DUMMYFUNCTION("""COMPUTED_VALUE"""),"Pan de Waffle")</f>
        <v>Pan de Waffle</v>
      </c>
      <c r="F6443" s="17" t="str">
        <f>IFERROR(__xludf.DUMMYFUNCTION("""COMPUTED_VALUE"""),"Carrera 3 # 5a- 34 piso 2 spinning center gym / Carrera 3 # 5a- 34 piso 2 spinning center gym / Carrera 3 # 5a- 34 piso 2 spinning center gym")</f>
        <v>Carrera 3 # 5a- 34 piso 2 spinning center gym / Carrera 3 # 5a- 34 piso 2 spinning center gym / Carrera 3 # 5a- 34 piso 2 spinning center gym</v>
      </c>
      <c r="G6443" s="15" t="str">
        <f>IFERROR(__xludf.DUMMYFUNCTION("""COMPUTED_VALUE"""),"FITNESS BY LA MONI")</f>
        <v>FITNESS BY LA MONI</v>
      </c>
      <c r="H6443" s="16">
        <f>IFERROR(__xludf.DUMMYFUNCTION("""COMPUTED_VALUE"""),15125.0)</f>
        <v>15125</v>
      </c>
      <c r="I6443" s="18">
        <f>IFERROR(__xludf.DUMMYFUNCTION("""COMPUTED_VALUE"""),30.0)</f>
        <v>30</v>
      </c>
      <c r="J6443" s="18">
        <f>IFERROR(__xludf.DUMMYFUNCTION("""COMPUTED_VALUE"""),40.0)</f>
        <v>40</v>
      </c>
      <c r="K6443" s="18">
        <f>IFERROR(__xludf.DUMMYFUNCTION("""COMPUTED_VALUE"""),40.0)</f>
        <v>40</v>
      </c>
      <c r="L6443" s="17">
        <f>IFERROR(__xludf.DUMMYFUNCTION("""COMPUTED_VALUE"""),3.146189338E9)</f>
        <v>3146189338</v>
      </c>
      <c r="M6443" s="17" t="str">
        <f>IFERROR(__xludf.DUMMYFUNCTION("""COMPUTED_VALUE"""),"#REF!")</f>
        <v>#REF!</v>
      </c>
      <c r="N6443" s="17"/>
      <c r="O6443" s="17"/>
      <c r="P6443" s="17" t="b">
        <f>IFERROR(__xludf.DUMMYFUNCTION("""COMPUTED_VALUE"""),FALSE)</f>
        <v>0</v>
      </c>
      <c r="Q6443" s="20" t="str">
        <f>IFERROR(__xludf.DUMMYFUNCTION("""COMPUTED_VALUE"""),"")</f>
        <v/>
      </c>
      <c r="R6443" s="21" t="str">
        <f>IFERROR(__xludf.DUMMYFUNCTION("""COMPUTED_VALUE"""),"https://drive.google.com/file/d/1LMrKcDDLJeqsdvKNECPC9ygMfN8wwGU8/view?usp=drivesdk")</f>
        <v>https://drive.google.com/file/d/1LMrKcDDLJeqsdvKNECPC9ygMfN8wwGU8/view?usp=drivesdk</v>
      </c>
    </row>
    <row r="6444">
      <c r="A6444" s="15">
        <f>IFERROR(__xludf.DUMMYFUNCTION("""COMPUTED_VALUE"""),45183.0)</f>
        <v>45183</v>
      </c>
      <c r="B6444" s="17"/>
      <c r="C6444" s="15" t="str">
        <f>IFERROR(__xludf.DUMMYFUNCTION("""COMPUTED_VALUE"""),"CARTAGENA")</f>
        <v>CARTAGENA</v>
      </c>
      <c r="D6444" s="15" t="str">
        <f>IFERROR(__xludf.DUMMYFUNCTION("""COMPUTED_VALUE"""),"MEDELLÍN")</f>
        <v>MEDELLÍN</v>
      </c>
      <c r="E6444" s="15" t="str">
        <f>IFERROR(__xludf.DUMMYFUNCTION("""COMPUTED_VALUE"""),"AREPAS LA MARY")</f>
        <v>AREPAS LA MARY</v>
      </c>
      <c r="F6444" s="17" t="str">
        <f>IFERROR(__xludf.DUMMYFUNCTION("""COMPUTED_VALUE"""),"CALLE 6 N 4 20 / CENTRO COMERCIAL LA ESTACION LOCAL 110")</f>
        <v>CALLE 6 N 4 20 / CENTRO COMERCIAL LA ESTACION LOCAL 110</v>
      </c>
      <c r="G6444" s="15" t="str">
        <f>IFERROR(__xludf.DUMMYFUNCTION("""COMPUTED_VALUE"""),"COCOFIT MERCADO SALUDABLE")</f>
        <v>COCOFIT MERCADO SALUDABLE</v>
      </c>
      <c r="H6444" s="16">
        <f>IFERROR(__xludf.DUMMYFUNCTION("""COMPUTED_VALUE"""),15146.0)</f>
        <v>15146</v>
      </c>
      <c r="I6444" s="18">
        <f>IFERROR(__xludf.DUMMYFUNCTION("""COMPUTED_VALUE"""),89.0)</f>
        <v>89</v>
      </c>
      <c r="J6444" s="18">
        <f>IFERROR(__xludf.DUMMYFUNCTION("""COMPUTED_VALUE"""),1.0)</f>
        <v>1</v>
      </c>
      <c r="K6444" s="18">
        <f>IFERROR(__xludf.DUMMYFUNCTION("""COMPUTED_VALUE"""),10.0)</f>
        <v>10</v>
      </c>
      <c r="L6444" s="17">
        <f>IFERROR(__xludf.DUMMYFUNCTION("""COMPUTED_VALUE"""),3.135781119E9)</f>
        <v>3135781119</v>
      </c>
      <c r="M6444" s="17" t="str">
        <f>IFERROR(__xludf.DUMMYFUNCTION("""COMPUTED_VALUE"""),"#REF!")</f>
        <v>#REF!</v>
      </c>
      <c r="N6444" s="17"/>
      <c r="O6444" s="17"/>
      <c r="P6444" s="17" t="b">
        <f>IFERROR(__xludf.DUMMYFUNCTION("""COMPUTED_VALUE"""),FALSE)</f>
        <v>0</v>
      </c>
      <c r="Q6444" s="20" t="str">
        <f>IFERROR(__xludf.DUMMYFUNCTION("""COMPUTED_VALUE"""),"")</f>
        <v/>
      </c>
      <c r="R6444" s="22" t="str">
        <f>IFERROR(__xludf.DUMMYFUNCTION("""COMPUTED_VALUE"""),"")</f>
        <v/>
      </c>
    </row>
    <row r="6445">
      <c r="A6445" s="15">
        <f>IFERROR(__xludf.DUMMYFUNCTION("""COMPUTED_VALUE"""),45183.0)</f>
        <v>45183</v>
      </c>
      <c r="B6445" s="17"/>
      <c r="C6445" s="15" t="str">
        <f>IFERROR(__xludf.DUMMYFUNCTION("""COMPUTED_VALUE"""),"CARTAGENA")</f>
        <v>CARTAGENA</v>
      </c>
      <c r="D6445" s="15" t="str">
        <f>IFERROR(__xludf.DUMMYFUNCTION("""COMPUTED_VALUE"""),"MEDELLÍN")</f>
        <v>MEDELLÍN</v>
      </c>
      <c r="E6445" s="15" t="str">
        <f>IFERROR(__xludf.DUMMYFUNCTION("""COMPUTED_VALUE"""),"AREPAS LA MARY")</f>
        <v>AREPAS LA MARY</v>
      </c>
      <c r="F6445" s="17" t="str">
        <f>IFERROR(__xludf.DUMMYFUNCTION("""COMPUTED_VALUE"""),"CRA 2 # 9 161 / BOCAGRANDE")</f>
        <v>CRA 2 # 9 161 / BOCAGRANDE</v>
      </c>
      <c r="G6445" s="15" t="str">
        <f>IFERROR(__xludf.DUMMYFUNCTION("""COMPUTED_VALUE"""),"SALUTE")</f>
        <v>SALUTE</v>
      </c>
      <c r="H6445" s="16">
        <f>IFERROR(__xludf.DUMMYFUNCTION("""COMPUTED_VALUE"""),15147.0)</f>
        <v>15147</v>
      </c>
      <c r="I6445" s="18">
        <f>IFERROR(__xludf.DUMMYFUNCTION("""COMPUTED_VALUE"""),89.0)</f>
        <v>89</v>
      </c>
      <c r="J6445" s="18">
        <f>IFERROR(__xludf.DUMMYFUNCTION("""COMPUTED_VALUE"""),1.0)</f>
        <v>1</v>
      </c>
      <c r="K6445" s="18">
        <f>IFERROR(__xludf.DUMMYFUNCTION("""COMPUTED_VALUE"""),10.0)</f>
        <v>10</v>
      </c>
      <c r="L6445" s="17">
        <f>IFERROR(__xludf.DUMMYFUNCTION("""COMPUTED_VALUE"""),3.126966908E9)</f>
        <v>3126966908</v>
      </c>
      <c r="M6445" s="17" t="str">
        <f>IFERROR(__xludf.DUMMYFUNCTION("""COMPUTED_VALUE"""),"#REF!")</f>
        <v>#REF!</v>
      </c>
      <c r="N6445" s="17"/>
      <c r="O6445" s="17"/>
      <c r="P6445" s="17" t="b">
        <f>IFERROR(__xludf.DUMMYFUNCTION("""COMPUTED_VALUE"""),FALSE)</f>
        <v>0</v>
      </c>
      <c r="Q6445" s="20" t="str">
        <f>IFERROR(__xludf.DUMMYFUNCTION("""COMPUTED_VALUE"""),"")</f>
        <v/>
      </c>
      <c r="R6445" s="22" t="str">
        <f>IFERROR(__xludf.DUMMYFUNCTION("""COMPUTED_VALUE"""),"")</f>
        <v/>
      </c>
    </row>
    <row r="6446">
      <c r="A6446" s="15">
        <f>IFERROR(__xludf.DUMMYFUNCTION("""COMPUTED_VALUE"""),45183.0)</f>
        <v>45183</v>
      </c>
      <c r="B6446" s="17"/>
      <c r="C6446" s="15" t="str">
        <f>IFERROR(__xludf.DUMMYFUNCTION("""COMPUTED_VALUE"""),"CARTAGENA")</f>
        <v>CARTAGENA</v>
      </c>
      <c r="D6446" s="15" t="str">
        <f>IFERROR(__xludf.DUMMYFUNCTION("""COMPUTED_VALUE"""),"MEDELLÍN")</f>
        <v>MEDELLÍN</v>
      </c>
      <c r="E6446" s="15" t="str">
        <f>IFERROR(__xludf.DUMMYFUNCTION("""COMPUTED_VALUE"""),"Todo Bufala")</f>
        <v>Todo Bufala</v>
      </c>
      <c r="F6446" s="17" t="str">
        <f>IFERROR(__xludf.DUMMYFUNCTION("""COMPUTED_VALUE"""),"Calle Media Luna #10-46 (Cra 30) / Pizzería Getsemani")</f>
        <v>Calle Media Luna #10-46 (Cra 30) / Pizzería Getsemani</v>
      </c>
      <c r="G6446" s="15" t="str">
        <f>IFERROR(__xludf.DUMMYFUNCTION("""COMPUTED_VALUE"""),"Media Luna Getsemani SAS")</f>
        <v>Media Luna Getsemani SAS</v>
      </c>
      <c r="H6446" s="16">
        <f>IFERROR(__xludf.DUMMYFUNCTION("""COMPUTED_VALUE"""),15137.0)</f>
        <v>15137</v>
      </c>
      <c r="I6446" s="18">
        <f>IFERROR(__xludf.DUMMYFUNCTION("""COMPUTED_VALUE"""),20.0)</f>
        <v>20</v>
      </c>
      <c r="J6446" s="18">
        <f>IFERROR(__xludf.DUMMYFUNCTION("""COMPUTED_VALUE"""),15.0)</f>
        <v>15</v>
      </c>
      <c r="K6446" s="18">
        <f>IFERROR(__xludf.DUMMYFUNCTION("""COMPUTED_VALUE"""),20.0)</f>
        <v>20</v>
      </c>
      <c r="L6446" s="17" t="str">
        <f>IFERROR(__xludf.DUMMYFUNCTION("""COMPUTED_VALUE"""),"300 1958402 - 316 6994940")</f>
        <v>300 1958402 - 316 6994940</v>
      </c>
      <c r="M6446" s="17" t="str">
        <f>IFERROR(__xludf.DUMMYFUNCTION("""COMPUTED_VALUE"""),"#REF!")</f>
        <v>#REF!</v>
      </c>
      <c r="N6446" s="17"/>
      <c r="O6446" s="17"/>
      <c r="P6446" s="17" t="b">
        <f>IFERROR(__xludf.DUMMYFUNCTION("""COMPUTED_VALUE"""),FALSE)</f>
        <v>0</v>
      </c>
      <c r="Q6446" s="20" t="str">
        <f>IFERROR(__xludf.DUMMYFUNCTION("""COMPUTED_VALUE"""),"")</f>
        <v/>
      </c>
      <c r="R6446" s="22" t="str">
        <f>IFERROR(__xludf.DUMMYFUNCTION("""COMPUTED_VALUE"""),"")</f>
        <v/>
      </c>
    </row>
    <row r="6447">
      <c r="A6447" s="15">
        <f>IFERROR(__xludf.DUMMYFUNCTION("""COMPUTED_VALUE"""),45183.0)</f>
        <v>45183</v>
      </c>
      <c r="B6447" s="17"/>
      <c r="C6447" s="15" t="str">
        <f>IFERROR(__xludf.DUMMYFUNCTION("""COMPUTED_VALUE"""),"FLORIDABLANCA")</f>
        <v>FLORIDABLANCA</v>
      </c>
      <c r="D6447" s="15" t="str">
        <f>IFERROR(__xludf.DUMMYFUNCTION("""COMPUTED_VALUE"""),"BOGOTÁ")</f>
        <v>BOGOTÁ</v>
      </c>
      <c r="E6447" s="15" t="str">
        <f>IFERROR(__xludf.DUMMYFUNCTION("""COMPUTED_VALUE"""),"Evamazzita")</f>
        <v>Evamazzita</v>
      </c>
      <c r="F6447" s="17" t="str">
        <f>IFERROR(__xludf.DUMMYFUNCTION("""COMPUTED_VALUE"""),"Calle 146 #22-256 / INT. 3 AP. 1011 SANTELMO CONJUNTO RESIDENCIAL ETAPA II PH. (por la paralela el bosque)")</f>
        <v>Calle 146 #22-256 / INT. 3 AP. 1011 SANTELMO CONJUNTO RESIDENCIAL ETAPA II PH. (por la paralela el bosque)</v>
      </c>
      <c r="G6447" s="15" t="str">
        <f>IFERROR(__xludf.DUMMYFUNCTION("""COMPUTED_VALUE"""),"CAROLINA REY")</f>
        <v>CAROLINA REY</v>
      </c>
      <c r="H6447" s="16">
        <f>IFERROR(__xludf.DUMMYFUNCTION("""COMPUTED_VALUE"""),15240.0)</f>
        <v>15240</v>
      </c>
      <c r="I6447" s="18">
        <f>IFERROR(__xludf.DUMMYFUNCTION("""COMPUTED_VALUE"""),1.0)</f>
        <v>1</v>
      </c>
      <c r="J6447" s="18">
        <f>IFERROR(__xludf.DUMMYFUNCTION("""COMPUTED_VALUE"""),1.0)</f>
        <v>1</v>
      </c>
      <c r="K6447" s="18">
        <f>IFERROR(__xludf.DUMMYFUNCTION("""COMPUTED_VALUE"""),1.0)</f>
        <v>1</v>
      </c>
      <c r="L6447" s="17">
        <f>IFERROR(__xludf.DUMMYFUNCTION("""COMPUTED_VALUE"""),3.10323256E9)</f>
        <v>3103232560</v>
      </c>
      <c r="M6447" s="17" t="str">
        <f>IFERROR(__xludf.DUMMYFUNCTION("""COMPUTED_VALUE"""),"#REF!")</f>
        <v>#REF!</v>
      </c>
      <c r="N6447" s="17"/>
      <c r="O6447" s="17"/>
      <c r="P6447" s="17" t="b">
        <f>IFERROR(__xludf.DUMMYFUNCTION("""COMPUTED_VALUE"""),FALSE)</f>
        <v>0</v>
      </c>
      <c r="Q6447" s="20" t="str">
        <f>IFERROR(__xludf.DUMMYFUNCTION("""COMPUTED_VALUE"""),"")</f>
        <v/>
      </c>
      <c r="R6447" s="22" t="str">
        <f>IFERROR(__xludf.DUMMYFUNCTION("""COMPUTED_VALUE"""),"")</f>
        <v/>
      </c>
    </row>
    <row r="6448">
      <c r="A6448" s="15">
        <f>IFERROR(__xludf.DUMMYFUNCTION("""COMPUTED_VALUE"""),45183.0)</f>
        <v>45183</v>
      </c>
      <c r="B6448" s="17"/>
      <c r="C6448" s="15" t="str">
        <f>IFERROR(__xludf.DUMMYFUNCTION("""COMPUTED_VALUE"""),"FLORIDABLANCA")</f>
        <v>FLORIDABLANCA</v>
      </c>
      <c r="D6448" s="15" t="str">
        <f>IFERROR(__xludf.DUMMYFUNCTION("""COMPUTED_VALUE"""),"BOGOTÁ")</f>
        <v>BOGOTÁ</v>
      </c>
      <c r="E6448" s="15" t="str">
        <f>IFERROR(__xludf.DUMMYFUNCTION("""COMPUTED_VALUE"""),"Evamazzita")</f>
        <v>Evamazzita</v>
      </c>
      <c r="F6448" s="17" t="str">
        <f>IFERROR(__xludf.DUMMYFUNCTION("""COMPUTED_VALUE"""),"Cra 8a # 12-05 / Montecasino Torre 1 Apto 1503 condominio Abadias")</f>
        <v>Cra 8a # 12-05 / Montecasino Torre 1 Apto 1503 condominio Abadias</v>
      </c>
      <c r="G6448" s="15" t="str">
        <f>IFERROR(__xludf.DUMMYFUNCTION("""COMPUTED_VALUE"""),"MAGBY NAIR NIÑO ALBINO")</f>
        <v>MAGBY NAIR NIÑO ALBINO</v>
      </c>
      <c r="H6448" s="16">
        <f>IFERROR(__xludf.DUMMYFUNCTION("""COMPUTED_VALUE"""),15239.0)</f>
        <v>15239</v>
      </c>
      <c r="I6448" s="18">
        <f>IFERROR(__xludf.DUMMYFUNCTION("""COMPUTED_VALUE"""),1.0)</f>
        <v>1</v>
      </c>
      <c r="J6448" s="18">
        <f>IFERROR(__xludf.DUMMYFUNCTION("""COMPUTED_VALUE"""),1.0)</f>
        <v>1</v>
      </c>
      <c r="K6448" s="18">
        <f>IFERROR(__xludf.DUMMYFUNCTION("""COMPUTED_VALUE"""),1.0)</f>
        <v>1</v>
      </c>
      <c r="L6448" s="17">
        <f>IFERROR(__xludf.DUMMYFUNCTION("""COMPUTED_VALUE"""),3.164333323E9)</f>
        <v>3164333323</v>
      </c>
      <c r="M6448" s="17" t="str">
        <f>IFERROR(__xludf.DUMMYFUNCTION("""COMPUTED_VALUE"""),"#REF!")</f>
        <v>#REF!</v>
      </c>
      <c r="N6448" s="17"/>
      <c r="O6448" s="17"/>
      <c r="P6448" s="17" t="b">
        <f>IFERROR(__xludf.DUMMYFUNCTION("""COMPUTED_VALUE"""),FALSE)</f>
        <v>0</v>
      </c>
      <c r="Q6448" s="20" t="str">
        <f>IFERROR(__xludf.DUMMYFUNCTION("""COMPUTED_VALUE"""),"")</f>
        <v/>
      </c>
      <c r="R6448" s="22" t="str">
        <f>IFERROR(__xludf.DUMMYFUNCTION("""COMPUTED_VALUE"""),"")</f>
        <v/>
      </c>
    </row>
    <row r="6449">
      <c r="A6449" s="15">
        <f>IFERROR(__xludf.DUMMYFUNCTION("""COMPUTED_VALUE"""),45183.0)</f>
        <v>45183</v>
      </c>
      <c r="B6449" s="17"/>
      <c r="C6449" s="15" t="str">
        <f>IFERROR(__xludf.DUMMYFUNCTION("""COMPUTED_VALUE"""),"FLORIDABLANCA")</f>
        <v>FLORIDABLANCA</v>
      </c>
      <c r="D6449" s="15" t="str">
        <f>IFERROR(__xludf.DUMMYFUNCTION("""COMPUTED_VALUE"""),"BOGOTÁ")</f>
        <v>BOGOTÁ</v>
      </c>
      <c r="E6449" s="15" t="str">
        <f>IFERROR(__xludf.DUMMYFUNCTION("""COMPUTED_VALUE"""),"Evamazzita")</f>
        <v>Evamazzita</v>
      </c>
      <c r="F6449" s="17" t="str">
        <f>IFERROR(__xludf.DUMMYFUNCTION("""COMPUTED_VALUE"""),"Ruitoque condominio el remanso casa 23 / ANDRES MAURICIO BUSTOS CACERES")</f>
        <v>Ruitoque condominio el remanso casa 23 / ANDRES MAURICIO BUSTOS CACERES</v>
      </c>
      <c r="G6449" s="15" t="str">
        <f>IFERROR(__xludf.DUMMYFUNCTION("""COMPUTED_VALUE"""),"ANGIE ROJAS")</f>
        <v>ANGIE ROJAS</v>
      </c>
      <c r="H6449" s="16">
        <f>IFERROR(__xludf.DUMMYFUNCTION("""COMPUTED_VALUE"""),15241.0)</f>
        <v>15241</v>
      </c>
      <c r="I6449" s="18">
        <f>IFERROR(__xludf.DUMMYFUNCTION("""COMPUTED_VALUE"""),1.0)</f>
        <v>1</v>
      </c>
      <c r="J6449" s="18">
        <f>IFERROR(__xludf.DUMMYFUNCTION("""COMPUTED_VALUE"""),1.0)</f>
        <v>1</v>
      </c>
      <c r="K6449" s="18">
        <f>IFERROR(__xludf.DUMMYFUNCTION("""COMPUTED_VALUE"""),1.0)</f>
        <v>1</v>
      </c>
      <c r="L6449" s="17">
        <f>IFERROR(__xludf.DUMMYFUNCTION("""COMPUTED_VALUE"""),3.042906584E9)</f>
        <v>3042906584</v>
      </c>
      <c r="M6449" s="17" t="str">
        <f>IFERROR(__xludf.DUMMYFUNCTION("""COMPUTED_VALUE"""),"#REF!")</f>
        <v>#REF!</v>
      </c>
      <c r="N6449" s="17"/>
      <c r="O6449" s="17"/>
      <c r="P6449" s="17" t="b">
        <f>IFERROR(__xludf.DUMMYFUNCTION("""COMPUTED_VALUE"""),FALSE)</f>
        <v>0</v>
      </c>
      <c r="Q6449" s="20" t="str">
        <f>IFERROR(__xludf.DUMMYFUNCTION("""COMPUTED_VALUE"""),"")</f>
        <v/>
      </c>
      <c r="R6449" s="22" t="str">
        <f>IFERROR(__xludf.DUMMYFUNCTION("""COMPUTED_VALUE"""),"")</f>
        <v/>
      </c>
    </row>
    <row r="6450">
      <c r="A6450" s="15">
        <f>IFERROR(__xludf.DUMMYFUNCTION("""COMPUTED_VALUE"""),45183.0)</f>
        <v>45183</v>
      </c>
      <c r="B6450" s="17"/>
      <c r="C6450" s="15" t="str">
        <f>IFERROR(__xludf.DUMMYFUNCTION("""COMPUTED_VALUE"""),"PEREIRA")</f>
        <v>PEREIRA</v>
      </c>
      <c r="D6450" s="15" t="str">
        <f>IFERROR(__xludf.DUMMYFUNCTION("""COMPUTED_VALUE"""),"BOGOTÁ")</f>
        <v>BOGOTÁ</v>
      </c>
      <c r="E6450" s="15" t="str">
        <f>IFERROR(__xludf.DUMMYFUNCTION("""COMPUTED_VALUE"""),"Lunchy Kids")</f>
        <v>Lunchy Kids</v>
      </c>
      <c r="F6450" s="17" t="str">
        <f>IFERROR(__xludf.DUMMYFUNCTION("""COMPUTED_VALUE"""),"Manzana L casa 27,  / El cardal cuba / Pereira")</f>
        <v>Manzana L casa 27,  / El cardal cuba / Pereira</v>
      </c>
      <c r="G6450" s="15" t="str">
        <f>IFERROR(__xludf.DUMMYFUNCTION("""COMPUTED_VALUE"""),"Sandra Ariza")</f>
        <v>Sandra Ariza</v>
      </c>
      <c r="H6450" s="16">
        <f>IFERROR(__xludf.DUMMYFUNCTION("""COMPUTED_VALUE"""),15193.0)</f>
        <v>15193</v>
      </c>
      <c r="I6450" s="18">
        <f>IFERROR(__xludf.DUMMYFUNCTION("""COMPUTED_VALUE"""),21.0)</f>
        <v>21</v>
      </c>
      <c r="J6450" s="18">
        <f>IFERROR(__xludf.DUMMYFUNCTION("""COMPUTED_VALUE"""),27.0)</f>
        <v>27</v>
      </c>
      <c r="K6450" s="18">
        <f>IFERROR(__xludf.DUMMYFUNCTION("""COMPUTED_VALUE"""),12.0)</f>
        <v>12</v>
      </c>
      <c r="L6450" s="17">
        <f>IFERROR(__xludf.DUMMYFUNCTION("""COMPUTED_VALUE"""),3.142160047E9)</f>
        <v>3142160047</v>
      </c>
      <c r="M6450" s="17" t="str">
        <f>IFERROR(__xludf.DUMMYFUNCTION("""COMPUTED_VALUE"""),"#REF!")</f>
        <v>#REF!</v>
      </c>
      <c r="N6450" s="17"/>
      <c r="O6450" s="17"/>
      <c r="P6450" s="17" t="b">
        <f>IFERROR(__xludf.DUMMYFUNCTION("""COMPUTED_VALUE"""),FALSE)</f>
        <v>0</v>
      </c>
      <c r="Q6450" s="20" t="str">
        <f>IFERROR(__xludf.DUMMYFUNCTION("""COMPUTED_VALUE"""),"")</f>
        <v/>
      </c>
      <c r="R6450" s="21" t="str">
        <f>IFERROR(__xludf.DUMMYFUNCTION("""COMPUTED_VALUE"""),"https://drive.google.com/file/d/1UPQH1Dda-7M8gb-HhwgJKbRx124FLFac/view?usp=drivesdk")</f>
        <v>https://drive.google.com/file/d/1UPQH1Dda-7M8gb-HhwgJKbRx124FLFac/view?usp=drivesdk</v>
      </c>
    </row>
    <row r="6451">
      <c r="A6451" s="15">
        <f>IFERROR(__xludf.DUMMYFUNCTION("""COMPUTED_VALUE"""),45183.0)</f>
        <v>45183</v>
      </c>
      <c r="B6451" s="17"/>
      <c r="C6451" s="15" t="str">
        <f>IFERROR(__xludf.DUMMYFUNCTION("""COMPUTED_VALUE"""),"PEREIRA")</f>
        <v>PEREIRA</v>
      </c>
      <c r="D6451" s="15" t="str">
        <f>IFERROR(__xludf.DUMMYFUNCTION("""COMPUTED_VALUE"""),"BOGOTÁ")</f>
        <v>BOGOTÁ</v>
      </c>
      <c r="E6451" s="15" t="str">
        <f>IFERROR(__xludf.DUMMYFUNCTION("""COMPUTED_VALUE"""),"Lunchy Kids")</f>
        <v>Lunchy Kids</v>
      </c>
      <c r="F6451" s="17" t="str">
        <f>IFERROR(__xludf.DUMMYFUNCTION("""COMPUTED_VALUE"""),"Mz 19 cs 22   / colinas del bosque  / Dosquebradas RIS Colombia")</f>
        <v>Mz 19 cs 22   / colinas del bosque  / Dosquebradas RIS Colombia</v>
      </c>
      <c r="G6451" s="15" t="str">
        <f>IFERROR(__xludf.DUMMYFUNCTION("""COMPUTED_VALUE"""),"Viviana Jaramillo")</f>
        <v>Viviana Jaramillo</v>
      </c>
      <c r="H6451" s="16">
        <f>IFERROR(__xludf.DUMMYFUNCTION("""COMPUTED_VALUE"""),15192.0)</f>
        <v>15192</v>
      </c>
      <c r="I6451" s="18">
        <f>IFERROR(__xludf.DUMMYFUNCTION("""COMPUTED_VALUE"""),22.0)</f>
        <v>22</v>
      </c>
      <c r="J6451" s="18">
        <f>IFERROR(__xludf.DUMMYFUNCTION("""COMPUTED_VALUE"""),40.0)</f>
        <v>40</v>
      </c>
      <c r="K6451" s="18">
        <f>IFERROR(__xludf.DUMMYFUNCTION("""COMPUTED_VALUE"""),27.0)</f>
        <v>27</v>
      </c>
      <c r="L6451" s="17">
        <f>IFERROR(__xludf.DUMMYFUNCTION("""COMPUTED_VALUE"""),3.136551321E9)</f>
        <v>3136551321</v>
      </c>
      <c r="M6451" s="17" t="str">
        <f>IFERROR(__xludf.DUMMYFUNCTION("""COMPUTED_VALUE"""),"#REF!")</f>
        <v>#REF!</v>
      </c>
      <c r="N6451" s="17"/>
      <c r="O6451" s="17"/>
      <c r="P6451" s="17" t="b">
        <f>IFERROR(__xludf.DUMMYFUNCTION("""COMPUTED_VALUE"""),FALSE)</f>
        <v>0</v>
      </c>
      <c r="Q6451" s="20" t="str">
        <f>IFERROR(__xludf.DUMMYFUNCTION("""COMPUTED_VALUE"""),"")</f>
        <v/>
      </c>
      <c r="R6451" s="21" t="str">
        <f>IFERROR(__xludf.DUMMYFUNCTION("""COMPUTED_VALUE"""),"https://drive.google.com/file/d/1j9ERzAw7pH_Xq_AWCwzoskeBTmNhdAKH/view?usp=drivesdk")</f>
        <v>https://drive.google.com/file/d/1j9ERzAw7pH_Xq_AWCwzoskeBTmNhdAKH/view?usp=drivesdk</v>
      </c>
    </row>
    <row r="6452">
      <c r="A6452" s="15">
        <f>IFERROR(__xludf.DUMMYFUNCTION("""COMPUTED_VALUE"""),45183.0)</f>
        <v>45183</v>
      </c>
      <c r="B6452" s="17"/>
      <c r="C6452" s="15" t="str">
        <f>IFERROR(__xludf.DUMMYFUNCTION("""COMPUTED_VALUE"""),"SANTA MARTA")</f>
        <v>SANTA MARTA</v>
      </c>
      <c r="D6452" s="15" t="str">
        <f>IFERROR(__xludf.DUMMYFUNCTION("""COMPUTED_VALUE"""),"BOGOTÁ")</f>
        <v>BOGOTÁ</v>
      </c>
      <c r="E6452" s="15" t="str">
        <f>IFERROR(__xludf.DUMMYFUNCTION("""COMPUTED_VALUE"""),"Ins. Alimento Vital")</f>
        <v>Ins. Alimento Vital</v>
      </c>
      <c r="F6452" s="17" t="str">
        <f>IFERROR(__xludf.DUMMYFUNCTION("""COMPUTED_VALUE"""),"CR 1B 26 A 109 / EDIFICIO ALMIRANTE AP 501 / EDIFICIO ALMIRANTE")</f>
        <v>CR 1B 26 A 109 / EDIFICIO ALMIRANTE AP 501 / EDIFICIO ALMIRANTE</v>
      </c>
      <c r="G6452" s="15" t="str">
        <f>IFERROR(__xludf.DUMMYFUNCTION("""COMPUTED_VALUE"""),"VERONICA GOMEZ DE SUBIRIA")</f>
        <v>VERONICA GOMEZ DE SUBIRIA</v>
      </c>
      <c r="H6452" s="16">
        <f>IFERROR(__xludf.DUMMYFUNCTION("""COMPUTED_VALUE"""),15205.0)</f>
        <v>15205</v>
      </c>
      <c r="I6452" s="18">
        <f>IFERROR(__xludf.DUMMYFUNCTION("""COMPUTED_VALUE"""),1.0)</f>
        <v>1</v>
      </c>
      <c r="J6452" s="18">
        <f>IFERROR(__xludf.DUMMYFUNCTION("""COMPUTED_VALUE"""),1.0)</f>
        <v>1</v>
      </c>
      <c r="K6452" s="18">
        <f>IFERROR(__xludf.DUMMYFUNCTION("""COMPUTED_VALUE"""),1.0)</f>
        <v>1</v>
      </c>
      <c r="L6452" s="17">
        <f>IFERROR(__xludf.DUMMYFUNCTION("""COMPUTED_VALUE"""),3.107893555E9)</f>
        <v>3107893555</v>
      </c>
      <c r="M6452" s="17" t="str">
        <f>IFERROR(__xludf.DUMMYFUNCTION("""COMPUTED_VALUE"""),"#REF!")</f>
        <v>#REF!</v>
      </c>
      <c r="N6452" s="17"/>
      <c r="O6452" s="17"/>
      <c r="P6452" s="17" t="b">
        <f>IFERROR(__xludf.DUMMYFUNCTION("""COMPUTED_VALUE"""),FALSE)</f>
        <v>0</v>
      </c>
      <c r="Q6452" s="20" t="str">
        <f>IFERROR(__xludf.DUMMYFUNCTION("""COMPUTED_VALUE"""),"")</f>
        <v/>
      </c>
      <c r="R6452" s="21" t="str">
        <f>IFERROR(__xludf.DUMMYFUNCTION("""COMPUTED_VALUE"""),"https://drive.google.com/file/d/1XjSy_uYF1acpfq_LM8Sb0m_QxYIPiLpK/view?usp=drivesdk")</f>
        <v>https://drive.google.com/file/d/1XjSy_uYF1acpfq_LM8Sb0m_QxYIPiLpK/view?usp=drivesdk</v>
      </c>
    </row>
    <row r="6453">
      <c r="A6453" s="17" t="str">
        <f>IFERROR(__xludf.DUMMYFUNCTION("""COMPUTED_VALUE"""),"")</f>
        <v/>
      </c>
      <c r="B6453" s="17" t="str">
        <f>IFERROR(__xludf.DUMMYFUNCTION("""COMPUTED_VALUE"""),"")</f>
        <v/>
      </c>
      <c r="C6453" s="17" t="str">
        <f>IFERROR(__xludf.DUMMYFUNCTION("""COMPUTED_VALUE"""),"")</f>
        <v/>
      </c>
      <c r="D6453" s="17" t="str">
        <f>IFERROR(__xludf.DUMMYFUNCTION("""COMPUTED_VALUE"""),"")</f>
        <v/>
      </c>
      <c r="E6453" s="17" t="str">
        <f>IFERROR(__xludf.DUMMYFUNCTION("""COMPUTED_VALUE"""),"")</f>
        <v/>
      </c>
      <c r="F6453" s="17" t="str">
        <f>IFERROR(__xludf.DUMMYFUNCTION("""COMPUTED_VALUE"""),"")</f>
        <v/>
      </c>
      <c r="G6453" s="17" t="str">
        <f>IFERROR(__xludf.DUMMYFUNCTION("""COMPUTED_VALUE"""),"")</f>
        <v/>
      </c>
      <c r="H6453" s="17" t="str">
        <f>IFERROR(__xludf.DUMMYFUNCTION("""COMPUTED_VALUE"""),"")</f>
        <v/>
      </c>
      <c r="I6453" s="17" t="str">
        <f>IFERROR(__xludf.DUMMYFUNCTION("""COMPUTED_VALUE"""),"")</f>
        <v/>
      </c>
      <c r="J6453" s="17" t="str">
        <f>IFERROR(__xludf.DUMMYFUNCTION("""COMPUTED_VALUE"""),"")</f>
        <v/>
      </c>
      <c r="K6453" s="17" t="str">
        <f>IFERROR(__xludf.DUMMYFUNCTION("""COMPUTED_VALUE"""),"")</f>
        <v/>
      </c>
      <c r="L6453" s="17" t="str">
        <f>IFERROR(__xludf.DUMMYFUNCTION("""COMPUTED_VALUE"""),"")</f>
        <v/>
      </c>
      <c r="M6453" s="17" t="str">
        <f>IFERROR(__xludf.DUMMYFUNCTION("""COMPUTED_VALUE"""),"")</f>
        <v/>
      </c>
      <c r="N6453" s="17" t="str">
        <f>IFERROR(__xludf.DUMMYFUNCTION("""COMPUTED_VALUE"""),"")</f>
        <v/>
      </c>
      <c r="O6453" s="17" t="str">
        <f>IFERROR(__xludf.DUMMYFUNCTION("""COMPUTED_VALUE"""),"")</f>
        <v/>
      </c>
      <c r="P6453" s="17" t="str">
        <f>IFERROR(__xludf.DUMMYFUNCTION("""COMPUTED_VALUE"""),"")</f>
        <v/>
      </c>
      <c r="Q6453" s="17" t="str">
        <f>IFERROR(__xludf.DUMMYFUNCTION("""COMPUTED_VALUE"""),"")</f>
        <v/>
      </c>
      <c r="R6453" s="17" t="str">
        <f>IFERROR(__xludf.DUMMYFUNCTION("""COMPUTED_VALUE"""),"")</f>
        <v/>
      </c>
    </row>
    <row r="6454">
      <c r="A6454" s="15">
        <f>IFERROR(__xludf.DUMMYFUNCTION("""COMPUTED_VALUE"""),45183.0)</f>
        <v>45183</v>
      </c>
      <c r="B6454" s="16" t="str">
        <f>IFERROR(__xludf.DUMMYFUNCTION("""COMPUTED_VALUE"""),"Daniel José sandoval gonzalez")</f>
        <v>Daniel José sandoval gonzalez</v>
      </c>
      <c r="C6454" s="15" t="str">
        <f>IFERROR(__xludf.DUMMYFUNCTION("""COMPUTED_VALUE"""),"BARRANQUILLA")</f>
        <v>BARRANQUILLA</v>
      </c>
      <c r="D6454" s="15" t="str">
        <f>IFERROR(__xludf.DUMMYFUNCTION("""COMPUTED_VALUE"""),"BOGOTÁ")</f>
        <v>BOGOTÁ</v>
      </c>
      <c r="E6454" s="15" t="str">
        <f>IFERROR(__xludf.DUMMYFUNCTION("""COMPUTED_VALUE"""),"50 Gr Alfajores")</f>
        <v>50 Gr Alfajores</v>
      </c>
      <c r="F6454" s="17" t="str">
        <f>IFERROR(__xludf.DUMMYFUNCTION("""COMPUTED_VALUE"""),"Calle 47 # 46-202 -  / Casa / BQUILLA")</f>
        <v>Calle 47 # 46-202 -  / Casa / BQUILLA</v>
      </c>
      <c r="G6454" s="15" t="str">
        <f>IFERROR(__xludf.DUMMYFUNCTION("""COMPUTED_VALUE"""),"Bolívar Montealegre Juan Manuel")</f>
        <v>Bolívar Montealegre Juan Manuel</v>
      </c>
      <c r="H6454" s="16">
        <f>IFERROR(__xludf.DUMMYFUNCTION("""COMPUTED_VALUE"""),14990.0)</f>
        <v>14990</v>
      </c>
      <c r="I6454" s="18">
        <f>IFERROR(__xludf.DUMMYFUNCTION("""COMPUTED_VALUE"""),5.0)</f>
        <v>5</v>
      </c>
      <c r="J6454" s="18">
        <f>IFERROR(__xludf.DUMMYFUNCTION("""COMPUTED_VALUE"""),13.0)</f>
        <v>13</v>
      </c>
      <c r="K6454" s="18">
        <f>IFERROR(__xludf.DUMMYFUNCTION("""COMPUTED_VALUE"""),45064.0)</f>
        <v>45064</v>
      </c>
      <c r="L6454" s="17">
        <f>IFERROR(__xludf.DUMMYFUNCTION("""COMPUTED_VALUE"""),3.182856736E9)</f>
        <v>3182856736</v>
      </c>
      <c r="M6454" s="17" t="str">
        <f>IFERROR(__xludf.DUMMYFUNCTION("""COMPUTED_VALUE"""),"#REF!")</f>
        <v>#REF!</v>
      </c>
      <c r="N6454" s="17"/>
      <c r="O6454" s="17"/>
      <c r="P6454" s="17" t="b">
        <f>IFERROR(__xludf.DUMMYFUNCTION("""COMPUTED_VALUE"""),FALSE)</f>
        <v>0</v>
      </c>
      <c r="Q6454" s="20" t="str">
        <f>IFERROR(__xludf.DUMMYFUNCTION("""COMPUTED_VALUE"""),"")</f>
        <v/>
      </c>
      <c r="R6454" s="21" t="str">
        <f>IFERROR(__xludf.DUMMYFUNCTION("""COMPUTED_VALUE"""),"https://drive.google.com/file/d/1pZS_l6gCl-9tp_zmMLJGs30SCztNQCPe/view?usp=drivesdk")</f>
        <v>https://drive.google.com/file/d/1pZS_l6gCl-9tp_zmMLJGs30SCztNQCPe/view?usp=drivesdk</v>
      </c>
    </row>
    <row r="6455">
      <c r="A6455" s="15">
        <f>IFERROR(__xludf.DUMMYFUNCTION("""COMPUTED_VALUE"""),45183.0)</f>
        <v>45183</v>
      </c>
      <c r="B6455" s="16" t="str">
        <f>IFERROR(__xludf.DUMMYFUNCTION("""COMPUTED_VALUE"""),"Daniel José sandoval gonzalez")</f>
        <v>Daniel José sandoval gonzalez</v>
      </c>
      <c r="C6455" s="15" t="str">
        <f>IFERROR(__xludf.DUMMYFUNCTION("""COMPUTED_VALUE"""),"BARRANQUILLA")</f>
        <v>BARRANQUILLA</v>
      </c>
      <c r="D6455" s="15" t="str">
        <f>IFERROR(__xludf.DUMMYFUNCTION("""COMPUTED_VALUE"""),"BOGOTÁ")</f>
        <v>BOGOTÁ</v>
      </c>
      <c r="E6455" s="15" t="str">
        <f>IFERROR(__xludf.DUMMYFUNCTION("""COMPUTED_VALUE"""),"50 Gr Alfajores")</f>
        <v>50 Gr Alfajores</v>
      </c>
      <c r="F6455" s="17" t="str">
        <f>IFERROR(__xludf.DUMMYFUNCTION("""COMPUTED_VALUE"""),"Calle 86 # 51B - 69 / BQUILLA / ATLANTICO")</f>
        <v>Calle 86 # 51B - 69 / BQUILLA / ATLANTICO</v>
      </c>
      <c r="G6455" s="15" t="str">
        <f>IFERROR(__xludf.DUMMYFUNCTION("""COMPUTED_VALUE"""),"Escobar Eduardo")</f>
        <v>Escobar Eduardo</v>
      </c>
      <c r="H6455" s="16">
        <f>IFERROR(__xludf.DUMMYFUNCTION("""COMPUTED_VALUE"""),14991.0)</f>
        <v>14991</v>
      </c>
      <c r="I6455" s="18">
        <f>IFERROR(__xludf.DUMMYFUNCTION("""COMPUTED_VALUE"""),5.0)</f>
        <v>5</v>
      </c>
      <c r="J6455" s="18">
        <f>IFERROR(__xludf.DUMMYFUNCTION("""COMPUTED_VALUE"""),13.0)</f>
        <v>13</v>
      </c>
      <c r="K6455" s="18">
        <f>IFERROR(__xludf.DUMMYFUNCTION("""COMPUTED_VALUE"""),45064.0)</f>
        <v>45064</v>
      </c>
      <c r="L6455" s="17">
        <f>IFERROR(__xludf.DUMMYFUNCTION("""COMPUTED_VALUE"""),3.002473827E9)</f>
        <v>3002473827</v>
      </c>
      <c r="M6455" s="17" t="str">
        <f>IFERROR(__xludf.DUMMYFUNCTION("""COMPUTED_VALUE"""),"#REF!")</f>
        <v>#REF!</v>
      </c>
      <c r="N6455" s="17"/>
      <c r="O6455" s="17"/>
      <c r="P6455" s="17" t="b">
        <f>IFERROR(__xludf.DUMMYFUNCTION("""COMPUTED_VALUE"""),FALSE)</f>
        <v>0</v>
      </c>
      <c r="Q6455" s="20" t="str">
        <f>IFERROR(__xludf.DUMMYFUNCTION("""COMPUTED_VALUE"""),"")</f>
        <v/>
      </c>
      <c r="R6455" s="21" t="str">
        <f>IFERROR(__xludf.DUMMYFUNCTION("""COMPUTED_VALUE"""),"https://drive.google.com/file/d/1So7dQJDoj-AZ-nCSL1bftksDeWGXriBx/view?usp=drivesdk")</f>
        <v>https://drive.google.com/file/d/1So7dQJDoj-AZ-nCSL1bftksDeWGXriBx/view?usp=drivesdk</v>
      </c>
    </row>
    <row r="6456">
      <c r="A6456" s="15">
        <f>IFERROR(__xludf.DUMMYFUNCTION("""COMPUTED_VALUE"""),45183.0)</f>
        <v>45183</v>
      </c>
      <c r="B6456" s="16" t="str">
        <f>IFERROR(__xludf.DUMMYFUNCTION("""COMPUTED_VALUE"""),"Daniel José sandoval gonzalez")</f>
        <v>Daniel José sandoval gonzalez</v>
      </c>
      <c r="C6456" s="15" t="str">
        <f>IFERROR(__xludf.DUMMYFUNCTION("""COMPUTED_VALUE"""),"BARRANQUILLA")</f>
        <v>BARRANQUILLA</v>
      </c>
      <c r="D6456" s="15" t="str">
        <f>IFERROR(__xludf.DUMMYFUNCTION("""COMPUTED_VALUE"""),"BOGOTÁ")</f>
        <v>BOGOTÁ</v>
      </c>
      <c r="E6456" s="15" t="str">
        <f>IFERROR(__xludf.DUMMYFUNCTION("""COMPUTED_VALUE"""),"50 Gr Alfajores")</f>
        <v>50 Gr Alfajores</v>
      </c>
      <c r="F6456" s="17" t="str">
        <f>IFERROR(__xludf.DUMMYFUNCTION("""COMPUTED_VALUE"""),"Diagonal 138 # 10 - 64,  / casa 245,  / parques de bolivar 2")</f>
        <v>Diagonal 138 # 10 - 64,  / casa 245,  / parques de bolivar 2</v>
      </c>
      <c r="G6456" s="15" t="str">
        <f>IFERROR(__xludf.DUMMYFUNCTION("""COMPUTED_VALUE"""),"Sarabia Cervantes Josue David")</f>
        <v>Sarabia Cervantes Josue David</v>
      </c>
      <c r="H6456" s="16">
        <f>IFERROR(__xludf.DUMMYFUNCTION("""COMPUTED_VALUE"""),14992.0)</f>
        <v>14992</v>
      </c>
      <c r="I6456" s="18">
        <f>IFERROR(__xludf.DUMMYFUNCTION("""COMPUTED_VALUE"""),5.0)</f>
        <v>5</v>
      </c>
      <c r="J6456" s="18">
        <f>IFERROR(__xludf.DUMMYFUNCTION("""COMPUTED_VALUE"""),13.0)</f>
        <v>13</v>
      </c>
      <c r="K6456" s="18">
        <f>IFERROR(__xludf.DUMMYFUNCTION("""COMPUTED_VALUE"""),45064.0)</f>
        <v>45064</v>
      </c>
      <c r="L6456" s="17">
        <f>IFERROR(__xludf.DUMMYFUNCTION("""COMPUTED_VALUE"""),3.007446922E9)</f>
        <v>3007446922</v>
      </c>
      <c r="M6456" s="17" t="str">
        <f>IFERROR(__xludf.DUMMYFUNCTION("""COMPUTED_VALUE"""),"#REF!")</f>
        <v>#REF!</v>
      </c>
      <c r="N6456" s="17"/>
      <c r="O6456" s="17"/>
      <c r="P6456" s="17" t="b">
        <f>IFERROR(__xludf.DUMMYFUNCTION("""COMPUTED_VALUE"""),FALSE)</f>
        <v>0</v>
      </c>
      <c r="Q6456" s="20" t="str">
        <f>IFERROR(__xludf.DUMMYFUNCTION("""COMPUTED_VALUE"""),"")</f>
        <v/>
      </c>
      <c r="R6456" s="21" t="str">
        <f>IFERROR(__xludf.DUMMYFUNCTION("""COMPUTED_VALUE"""),"https://drive.google.com/file/d/1sfp5NGjKPLmJ8NCpiU--UsHqWGjZ417O/view?usp=drivesdk")</f>
        <v>https://drive.google.com/file/d/1sfp5NGjKPLmJ8NCpiU--UsHqWGjZ417O/view?usp=drivesdk</v>
      </c>
    </row>
    <row r="6457">
      <c r="A6457" s="15">
        <f>IFERROR(__xludf.DUMMYFUNCTION("""COMPUTED_VALUE"""),45183.0)</f>
        <v>45183</v>
      </c>
      <c r="B6457" s="16" t="str">
        <f>IFERROR(__xludf.DUMMYFUNCTION("""COMPUTED_VALUE"""),"Daniel José sandoval gonzalez")</f>
        <v>Daniel José sandoval gonzalez</v>
      </c>
      <c r="C6457" s="15" t="str">
        <f>IFERROR(__xludf.DUMMYFUNCTION("""COMPUTED_VALUE"""),"BARRANQUILLA")</f>
        <v>BARRANQUILLA</v>
      </c>
      <c r="D6457" s="15" t="str">
        <f>IFERROR(__xludf.DUMMYFUNCTION("""COMPUTED_VALUE"""),"BOGOTÁ")</f>
        <v>BOGOTÁ</v>
      </c>
      <c r="E6457" s="15" t="str">
        <f>IFERROR(__xludf.DUMMYFUNCTION("""COMPUTED_VALUE"""),"Athenas")</f>
        <v>Athenas</v>
      </c>
      <c r="F6457" s="17" t="str">
        <f>IFERROR(__xludf.DUMMYFUNCTION("""COMPUTED_VALUE"""),"Carrera 51 b 97 50 / Centro de carga muelle cafetería bodytech 4 piso  / Centro comercial viva")</f>
        <v>Carrera 51 b 97 50 / Centro de carga muelle cafetería bodytech 4 piso  / Centro comercial viva</v>
      </c>
      <c r="G6457" s="15" t="str">
        <f>IFERROR(__xludf.DUMMYFUNCTION("""COMPUTED_VALUE"""),"Katerine collazos")</f>
        <v>Katerine collazos</v>
      </c>
      <c r="H6457" s="16">
        <f>IFERROR(__xludf.DUMMYFUNCTION("""COMPUTED_VALUE"""),15199.0)</f>
        <v>15199</v>
      </c>
      <c r="I6457" s="18">
        <f>IFERROR(__xludf.DUMMYFUNCTION("""COMPUTED_VALUE"""),55.0)</f>
        <v>55</v>
      </c>
      <c r="J6457" s="18">
        <f>IFERROR(__xludf.DUMMYFUNCTION("""COMPUTED_VALUE"""),45.0)</f>
        <v>45</v>
      </c>
      <c r="K6457" s="18">
        <f>IFERROR(__xludf.DUMMYFUNCTION("""COMPUTED_VALUE"""),29.0)</f>
        <v>29</v>
      </c>
      <c r="L6457" s="17">
        <f>IFERROR(__xludf.DUMMYFUNCTION("""COMPUTED_VALUE"""),3.106158334E9)</f>
        <v>3106158334</v>
      </c>
      <c r="M6457" s="17" t="str">
        <f>IFERROR(__xludf.DUMMYFUNCTION("""COMPUTED_VALUE"""),"#REF!")</f>
        <v>#REF!</v>
      </c>
      <c r="N6457" s="17"/>
      <c r="O6457" s="17"/>
      <c r="P6457" s="17" t="b">
        <f>IFERROR(__xludf.DUMMYFUNCTION("""COMPUTED_VALUE"""),FALSE)</f>
        <v>0</v>
      </c>
      <c r="Q6457" s="20" t="str">
        <f>IFERROR(__xludf.DUMMYFUNCTION("""COMPUTED_VALUE"""),"")</f>
        <v/>
      </c>
      <c r="R6457" s="22" t="str">
        <f>IFERROR(__xludf.DUMMYFUNCTION("""COMPUTED_VALUE"""),"")</f>
        <v/>
      </c>
    </row>
    <row r="6458">
      <c r="A6458" s="15">
        <f>IFERROR(__xludf.DUMMYFUNCTION("""COMPUTED_VALUE"""),45183.0)</f>
        <v>45183</v>
      </c>
      <c r="B6458" s="16" t="str">
        <f>IFERROR(__xludf.DUMMYFUNCTION("""COMPUTED_VALUE"""),"Daniel José sandoval gonzalez")</f>
        <v>Daniel José sandoval gonzalez</v>
      </c>
      <c r="C6458" s="15" t="str">
        <f>IFERROR(__xludf.DUMMYFUNCTION("""COMPUTED_VALUE"""),"BARRANQUILLA")</f>
        <v>BARRANQUILLA</v>
      </c>
      <c r="D6458" s="15" t="str">
        <f>IFERROR(__xludf.DUMMYFUNCTION("""COMPUTED_VALUE"""),"BOGOTÁ")</f>
        <v>BOGOTÁ</v>
      </c>
      <c r="E6458" s="15" t="str">
        <f>IFERROR(__xludf.DUMMYFUNCTION("""COMPUTED_VALUE"""),"Evamazzita")</f>
        <v>Evamazzita</v>
      </c>
      <c r="F6458" s="17" t="str">
        <f>IFERROR(__xludf.DUMMYFUNCTION("""COMPUTED_VALUE"""),"Carrera 21 # 47B-58 / Apto 101 Barrio el Carmen")</f>
        <v>Carrera 21 # 47B-58 / Apto 101 Barrio el Carmen</v>
      </c>
      <c r="G6458" s="15" t="str">
        <f>IFERROR(__xludf.DUMMYFUNCTION("""COMPUTED_VALUE"""),"MARIANELLA OVIEDO")</f>
        <v>MARIANELLA OVIEDO</v>
      </c>
      <c r="H6458" s="16">
        <f>IFERROR(__xludf.DUMMYFUNCTION("""COMPUTED_VALUE"""),15225.0)</f>
        <v>15225</v>
      </c>
      <c r="I6458" s="18">
        <f>IFERROR(__xludf.DUMMYFUNCTION("""COMPUTED_VALUE"""),1.0)</f>
        <v>1</v>
      </c>
      <c r="J6458" s="18">
        <f>IFERROR(__xludf.DUMMYFUNCTION("""COMPUTED_VALUE"""),1.0)</f>
        <v>1</v>
      </c>
      <c r="K6458" s="18">
        <f>IFERROR(__xludf.DUMMYFUNCTION("""COMPUTED_VALUE"""),1.0)</f>
        <v>1</v>
      </c>
      <c r="L6458" s="17">
        <f>IFERROR(__xludf.DUMMYFUNCTION("""COMPUTED_VALUE"""),3.017236905E9)</f>
        <v>3017236905</v>
      </c>
      <c r="M6458" s="17" t="str">
        <f>IFERROR(__xludf.DUMMYFUNCTION("""COMPUTED_VALUE"""),"#REF!")</f>
        <v>#REF!</v>
      </c>
      <c r="N6458" s="17"/>
      <c r="O6458" s="17"/>
      <c r="P6458" s="17" t="b">
        <f>IFERROR(__xludf.DUMMYFUNCTION("""COMPUTED_VALUE"""),FALSE)</f>
        <v>0</v>
      </c>
      <c r="Q6458" s="20" t="str">
        <f>IFERROR(__xludf.DUMMYFUNCTION("""COMPUTED_VALUE"""),"")</f>
        <v/>
      </c>
      <c r="R6458" s="21" t="str">
        <f>IFERROR(__xludf.DUMMYFUNCTION("""COMPUTED_VALUE"""),"https://drive.google.com/file/d/1K7YXJwNR3rZML15jXqdWaWIx_YPBsqd7/view?usp=drivesdk")</f>
        <v>https://drive.google.com/file/d/1K7YXJwNR3rZML15jXqdWaWIx_YPBsqd7/view?usp=drivesdk</v>
      </c>
    </row>
    <row r="6459">
      <c r="A6459" s="15">
        <f>IFERROR(__xludf.DUMMYFUNCTION("""COMPUTED_VALUE"""),45183.0)</f>
        <v>45183</v>
      </c>
      <c r="B6459" s="16" t="str">
        <f>IFERROR(__xludf.DUMMYFUNCTION("""COMPUTED_VALUE"""),"Daniel José sandoval gonzalez")</f>
        <v>Daniel José sandoval gonzalez</v>
      </c>
      <c r="C6459" s="15" t="str">
        <f>IFERROR(__xludf.DUMMYFUNCTION("""COMPUTED_VALUE"""),"BARRANQUILLA")</f>
        <v>BARRANQUILLA</v>
      </c>
      <c r="D6459" s="15" t="str">
        <f>IFERROR(__xludf.DUMMYFUNCTION("""COMPUTED_VALUE"""),"BOGOTÁ")</f>
        <v>BOGOTÁ</v>
      </c>
      <c r="E6459" s="15" t="str">
        <f>IFERROR(__xludf.DUMMYFUNCTION("""COMPUTED_VALUE"""),"Evamazzita")</f>
        <v>Evamazzita</v>
      </c>
      <c r="F6459" s="17" t="str">
        <f>IFERROR(__xludf.DUMMYFUNCTION("""COMPUTED_VALUE"""),"cra 19d #49-97 / BARRIO EL CARMEN")</f>
        <v>cra 19d #49-97 / BARRIO EL CARMEN</v>
      </c>
      <c r="G6459" s="15" t="str">
        <f>IFERROR(__xludf.DUMMYFUNCTION("""COMPUTED_VALUE"""),"KELLY JOHANNA RIVERA LLERENA")</f>
        <v>KELLY JOHANNA RIVERA LLERENA</v>
      </c>
      <c r="H6459" s="16">
        <f>IFERROR(__xludf.DUMMYFUNCTION("""COMPUTED_VALUE"""),15227.0)</f>
        <v>15227</v>
      </c>
      <c r="I6459" s="18">
        <f>IFERROR(__xludf.DUMMYFUNCTION("""COMPUTED_VALUE"""),1.0)</f>
        <v>1</v>
      </c>
      <c r="J6459" s="18">
        <f>IFERROR(__xludf.DUMMYFUNCTION("""COMPUTED_VALUE"""),1.0)</f>
        <v>1</v>
      </c>
      <c r="K6459" s="18">
        <f>IFERROR(__xludf.DUMMYFUNCTION("""COMPUTED_VALUE"""),1.0)</f>
        <v>1</v>
      </c>
      <c r="L6459" s="17">
        <f>IFERROR(__xludf.DUMMYFUNCTION("""COMPUTED_VALUE"""),3.002647965E9)</f>
        <v>3002647965</v>
      </c>
      <c r="M6459" s="17" t="str">
        <f>IFERROR(__xludf.DUMMYFUNCTION("""COMPUTED_VALUE"""),"#REF!")</f>
        <v>#REF!</v>
      </c>
      <c r="N6459" s="17"/>
      <c r="O6459" s="17"/>
      <c r="P6459" s="17" t="b">
        <f>IFERROR(__xludf.DUMMYFUNCTION("""COMPUTED_VALUE"""),TRUE)</f>
        <v>1</v>
      </c>
      <c r="Q6459" s="20">
        <f>IFERROR(__xludf.DUMMYFUNCTION("""COMPUTED_VALUE"""),45183.71601267361)</f>
        <v>45183.71601</v>
      </c>
      <c r="R6459" s="21" t="str">
        <f>IFERROR(__xludf.DUMMYFUNCTION("""COMPUTED_VALUE"""),"https://drive.google.com/file/d/1D4Evx3CuqyjPcseJc1Y_HiUFpvFcSlBe/view?usp=drivesdk")</f>
        <v>https://drive.google.com/file/d/1D4Evx3CuqyjPcseJc1Y_HiUFpvFcSlBe/view?usp=drivesdk</v>
      </c>
    </row>
    <row r="6460">
      <c r="A6460" s="15">
        <f>IFERROR(__xludf.DUMMYFUNCTION("""COMPUTED_VALUE"""),45183.0)</f>
        <v>45183</v>
      </c>
      <c r="B6460" s="16" t="str">
        <f>IFERROR(__xludf.DUMMYFUNCTION("""COMPUTED_VALUE"""),"Daniel José sandoval gonzalez")</f>
        <v>Daniel José sandoval gonzalez</v>
      </c>
      <c r="C6460" s="15" t="str">
        <f>IFERROR(__xludf.DUMMYFUNCTION("""COMPUTED_VALUE"""),"BARRANQUILLA")</f>
        <v>BARRANQUILLA</v>
      </c>
      <c r="D6460" s="15" t="str">
        <f>IFERROR(__xludf.DUMMYFUNCTION("""COMPUTED_VALUE"""),"BOGOTÁ")</f>
        <v>BOGOTÁ</v>
      </c>
      <c r="E6460" s="15" t="str">
        <f>IFERROR(__xludf.DUMMYFUNCTION("""COMPUTED_VALUE"""),"Gelacol")</f>
        <v>Gelacol</v>
      </c>
      <c r="F6460" s="17" t="str">
        <f>IFERROR(__xludf.DUMMYFUNCTION("""COMPUTED_VALUE"""),"Cra 24 # 1A-125  / Mint Apartamentos Apto 511 / Portal del Genovés- frente al colegio Karl Parrish")</f>
        <v>Cra 24 # 1A-125  / Mint Apartamentos Apto 511 / Portal del Genovés- frente al colegio Karl Parrish</v>
      </c>
      <c r="G6460" s="15" t="str">
        <f>IFERROR(__xludf.DUMMYFUNCTION("""COMPUTED_VALUE"""),"Ericka Najera")</f>
        <v>Ericka Najera</v>
      </c>
      <c r="H6460" s="16">
        <f>IFERROR(__xludf.DUMMYFUNCTION("""COMPUTED_VALUE"""),15250.0)</f>
        <v>15250</v>
      </c>
      <c r="I6460" s="18">
        <f>IFERROR(__xludf.DUMMYFUNCTION("""COMPUTED_VALUE"""),52.0)</f>
        <v>52</v>
      </c>
      <c r="J6460" s="18">
        <f>IFERROR(__xludf.DUMMYFUNCTION("""COMPUTED_VALUE"""),45.0)</f>
        <v>45</v>
      </c>
      <c r="K6460" s="18">
        <f>IFERROR(__xludf.DUMMYFUNCTION("""COMPUTED_VALUE"""),55.0)</f>
        <v>55</v>
      </c>
      <c r="L6460" s="17">
        <f>IFERROR(__xludf.DUMMYFUNCTION("""COMPUTED_VALUE"""),3.102363126E9)</f>
        <v>3102363126</v>
      </c>
      <c r="M6460" s="17" t="str">
        <f>IFERROR(__xludf.DUMMYFUNCTION("""COMPUTED_VALUE"""),"#REF!")</f>
        <v>#REF!</v>
      </c>
      <c r="N6460" s="17"/>
      <c r="O6460" s="17"/>
      <c r="P6460" s="17" t="b">
        <f>IFERROR(__xludf.DUMMYFUNCTION("""COMPUTED_VALUE"""),TRUE)</f>
        <v>1</v>
      </c>
      <c r="Q6460" s="20">
        <f>IFERROR(__xludf.DUMMYFUNCTION("""COMPUTED_VALUE"""),45183.48802297453)</f>
        <v>45183.48802</v>
      </c>
      <c r="R6460" s="22" t="str">
        <f>IFERROR(__xludf.DUMMYFUNCTION("""COMPUTED_VALUE"""),"")</f>
        <v/>
      </c>
    </row>
    <row r="6461">
      <c r="A6461" s="15">
        <f>IFERROR(__xludf.DUMMYFUNCTION("""COMPUTED_VALUE"""),45183.0)</f>
        <v>45183</v>
      </c>
      <c r="B6461" s="16" t="str">
        <f>IFERROR(__xludf.DUMMYFUNCTION("""COMPUTED_VALUE"""),"Daniel José sandoval gonzalez")</f>
        <v>Daniel José sandoval gonzalez</v>
      </c>
      <c r="C6461" s="15" t="str">
        <f>IFERROR(__xludf.DUMMYFUNCTION("""COMPUTED_VALUE"""),"BARRANQUILLA")</f>
        <v>BARRANQUILLA</v>
      </c>
      <c r="D6461" s="15" t="str">
        <f>IFERROR(__xludf.DUMMYFUNCTION("""COMPUTED_VALUE"""),"BOGOTÁ")</f>
        <v>BOGOTÁ</v>
      </c>
      <c r="E6461" s="15" t="str">
        <f>IFERROR(__xludf.DUMMYFUNCTION("""COMPUTED_VALUE"""),"Ins. Alimento Vital")</f>
        <v>Ins. Alimento Vital</v>
      </c>
      <c r="F6461" s="17" t="str">
        <f>IFERROR(__xludf.DUMMYFUNCTION("""COMPUTED_VALUE"""),"TV 43 100 50 / CONJUNTO NAPOLI TR 9 AP 837 / BARRIO MIRAMAR")</f>
        <v>TV 43 100 50 / CONJUNTO NAPOLI TR 9 AP 837 / BARRIO MIRAMAR</v>
      </c>
      <c r="G6461" s="15" t="str">
        <f>IFERROR(__xludf.DUMMYFUNCTION("""COMPUTED_VALUE"""),"LUISA FERNANDA MORA HOLGUIN")</f>
        <v>LUISA FERNANDA MORA HOLGUIN</v>
      </c>
      <c r="H6461" s="16">
        <f>IFERROR(__xludf.DUMMYFUNCTION("""COMPUTED_VALUE"""),15202.0)</f>
        <v>15202</v>
      </c>
      <c r="I6461" s="18">
        <f>IFERROR(__xludf.DUMMYFUNCTION("""COMPUTED_VALUE"""),1.0)</f>
        <v>1</v>
      </c>
      <c r="J6461" s="18">
        <f>IFERROR(__xludf.DUMMYFUNCTION("""COMPUTED_VALUE"""),1.0)</f>
        <v>1</v>
      </c>
      <c r="K6461" s="18">
        <f>IFERROR(__xludf.DUMMYFUNCTION("""COMPUTED_VALUE"""),1.0)</f>
        <v>1</v>
      </c>
      <c r="L6461" s="17">
        <f>IFERROR(__xludf.DUMMYFUNCTION("""COMPUTED_VALUE"""),3.045233029E9)</f>
        <v>3045233029</v>
      </c>
      <c r="M6461" s="17" t="str">
        <f>IFERROR(__xludf.DUMMYFUNCTION("""COMPUTED_VALUE"""),"#REF!")</f>
        <v>#REF!</v>
      </c>
      <c r="N6461" s="17"/>
      <c r="O6461" s="17"/>
      <c r="P6461" s="17" t="b">
        <f>IFERROR(__xludf.DUMMYFUNCTION("""COMPUTED_VALUE"""),TRUE)</f>
        <v>1</v>
      </c>
      <c r="Q6461" s="20">
        <f>IFERROR(__xludf.DUMMYFUNCTION("""COMPUTED_VALUE"""),45183.487521284726)</f>
        <v>45183.48752</v>
      </c>
      <c r="R6461" s="21" t="str">
        <f>IFERROR(__xludf.DUMMYFUNCTION("""COMPUTED_VALUE"""),"https://drive.google.com/file/d/1mLQgELGBoNruQh-MlCCtiDnAhQDIzDjw/view?usp=drivesdk")</f>
        <v>https://drive.google.com/file/d/1mLQgELGBoNruQh-MlCCtiDnAhQDIzDjw/view?usp=drivesdk</v>
      </c>
    </row>
    <row r="6462">
      <c r="A6462" s="15">
        <f>IFERROR(__xludf.DUMMYFUNCTION("""COMPUTED_VALUE"""),45183.0)</f>
        <v>45183</v>
      </c>
      <c r="B6462" s="16" t="str">
        <f>IFERROR(__xludf.DUMMYFUNCTION("""COMPUTED_VALUE"""),"Daniel José sandoval gonzalez")</f>
        <v>Daniel José sandoval gonzalez</v>
      </c>
      <c r="C6462" s="15" t="str">
        <f>IFERROR(__xludf.DUMMYFUNCTION("""COMPUTED_VALUE"""),"BARRANQUILLA")</f>
        <v>BARRANQUILLA</v>
      </c>
      <c r="D6462" s="15" t="str">
        <f>IFERROR(__xludf.DUMMYFUNCTION("""COMPUTED_VALUE"""),"BOGOTÁ")</f>
        <v>BOGOTÁ</v>
      </c>
      <c r="E6462" s="15" t="str">
        <f>IFERROR(__xludf.DUMMYFUNCTION("""COMPUTED_VALUE"""),"Lunchy Kids")</f>
        <v>Lunchy Kids</v>
      </c>
      <c r="F6462" s="17" t="str">
        <f>IFERROR(__xludf.DUMMYFUNCTION("""COMPUTED_VALUE"""),"Cra 70 # 91-35  / Apto 304 - Torre 1 - Parques del Tivoly /  Villacarolina")</f>
        <v>Cra 70 # 91-35  / Apto 304 - Torre 1 - Parques del Tivoly /  Villacarolina</v>
      </c>
      <c r="G6462" s="15" t="str">
        <f>IFERROR(__xludf.DUMMYFUNCTION("""COMPUTED_VALUE"""),"Yoleinis Jinete")</f>
        <v>Yoleinis Jinete</v>
      </c>
      <c r="H6462" s="16">
        <f>IFERROR(__xludf.DUMMYFUNCTION("""COMPUTED_VALUE"""),15060.0)</f>
        <v>15060</v>
      </c>
      <c r="I6462" s="18">
        <f>IFERROR(__xludf.DUMMYFUNCTION("""COMPUTED_VALUE"""),10.0)</f>
        <v>10</v>
      </c>
      <c r="J6462" s="18">
        <f>IFERROR(__xludf.DUMMYFUNCTION("""COMPUTED_VALUE"""),30.0)</f>
        <v>30</v>
      </c>
      <c r="K6462" s="18">
        <f>IFERROR(__xludf.DUMMYFUNCTION("""COMPUTED_VALUE"""),6.0)</f>
        <v>6</v>
      </c>
      <c r="L6462" s="17">
        <f>IFERROR(__xludf.DUMMYFUNCTION("""COMPUTED_VALUE"""),3.007943686E9)</f>
        <v>3007943686</v>
      </c>
      <c r="M6462" s="17" t="str">
        <f>IFERROR(__xludf.DUMMYFUNCTION("""COMPUTED_VALUE"""),"#REF!")</f>
        <v>#REF!</v>
      </c>
      <c r="N6462" s="17"/>
      <c r="O6462" s="17"/>
      <c r="P6462" s="17" t="b">
        <f>IFERROR(__xludf.DUMMYFUNCTION("""COMPUTED_VALUE"""),TRUE)</f>
        <v>1</v>
      </c>
      <c r="Q6462" s="20">
        <f>IFERROR(__xludf.DUMMYFUNCTION("""COMPUTED_VALUE"""),45183.72213565972)</f>
        <v>45183.72214</v>
      </c>
      <c r="R6462" s="21" t="str">
        <f>IFERROR(__xludf.DUMMYFUNCTION("""COMPUTED_VALUE"""),"https://drive.google.com/file/d/12qirs4dpl_ix-Thc66bo59kqtjF2Gxbw/view?usp=drivesdk")</f>
        <v>https://drive.google.com/file/d/12qirs4dpl_ix-Thc66bo59kqtjF2Gxbw/view?usp=drivesdk</v>
      </c>
    </row>
    <row r="6463">
      <c r="A6463" s="15">
        <f>IFERROR(__xludf.DUMMYFUNCTION("""COMPUTED_VALUE"""),45183.0)</f>
        <v>45183</v>
      </c>
      <c r="B6463" s="16" t="str">
        <f>IFERROR(__xludf.DUMMYFUNCTION("""COMPUTED_VALUE"""),"Daniel José sandoval gonzalez")</f>
        <v>Daniel José sandoval gonzalez</v>
      </c>
      <c r="C6463" s="15" t="str">
        <f>IFERROR(__xludf.DUMMYFUNCTION("""COMPUTED_VALUE"""),"BARRANQUILLA")</f>
        <v>BARRANQUILLA</v>
      </c>
      <c r="D6463" s="15" t="str">
        <f>IFERROR(__xludf.DUMMYFUNCTION("""COMPUTED_VALUE"""),"BOGOTÁ")</f>
        <v>BOGOTÁ</v>
      </c>
      <c r="E6463" s="15" t="str">
        <f>IFERROR(__xludf.DUMMYFUNCTION("""COMPUTED_VALUE"""),"Lunchy Kids")</f>
        <v>Lunchy Kids</v>
      </c>
      <c r="F6463" s="17" t="str">
        <f>IFERROR(__xludf.DUMMYFUNCTION("""COMPUTED_VALUE"""),"Cra70 n 91-35  Barrio: Villacarolina   Ciudad: Barranquilla   Celular:   Pagado✅️ / apto 304 torre 1 parques del Tivoly  / Villacarolina")</f>
        <v>Cra70 n 91-35  Barrio: Villacarolina   Ciudad: Barranquilla   Celular:   Pagado✅️ / apto 304 torre 1 parques del Tivoly  / Villacarolina</v>
      </c>
      <c r="G6463" s="15" t="str">
        <f>IFERROR(__xludf.DUMMYFUNCTION("""COMPUTED_VALUE"""),"Yoleinis Jinete")</f>
        <v>Yoleinis Jinete</v>
      </c>
      <c r="H6463" s="16">
        <f>IFERROR(__xludf.DUMMYFUNCTION("""COMPUTED_VALUE"""),15197.0)</f>
        <v>15197</v>
      </c>
      <c r="I6463" s="18">
        <f>IFERROR(__xludf.DUMMYFUNCTION("""COMPUTED_VALUE"""),22.0)</f>
        <v>22</v>
      </c>
      <c r="J6463" s="18">
        <f>IFERROR(__xludf.DUMMYFUNCTION("""COMPUTED_VALUE"""),40.0)</f>
        <v>40</v>
      </c>
      <c r="K6463" s="18">
        <f>IFERROR(__xludf.DUMMYFUNCTION("""COMPUTED_VALUE"""),27.0)</f>
        <v>27</v>
      </c>
      <c r="L6463" s="17">
        <f>IFERROR(__xludf.DUMMYFUNCTION("""COMPUTED_VALUE"""),3.007943686E9)</f>
        <v>3007943686</v>
      </c>
      <c r="M6463" s="17" t="str">
        <f>IFERROR(__xludf.DUMMYFUNCTION("""COMPUTED_VALUE"""),"#REF!")</f>
        <v>#REF!</v>
      </c>
      <c r="N6463" s="17"/>
      <c r="O6463" s="17"/>
      <c r="P6463" s="17" t="b">
        <f>IFERROR(__xludf.DUMMYFUNCTION("""COMPUTED_VALUE"""),TRUE)</f>
        <v>1</v>
      </c>
      <c r="Q6463" s="20">
        <f>IFERROR(__xludf.DUMMYFUNCTION("""COMPUTED_VALUE"""),45183.722549479164)</f>
        <v>45183.72255</v>
      </c>
      <c r="R6463" s="22" t="str">
        <f>IFERROR(__xludf.DUMMYFUNCTION("""COMPUTED_VALUE"""),"")</f>
        <v/>
      </c>
    </row>
    <row r="6464">
      <c r="A6464" s="15">
        <f>IFERROR(__xludf.DUMMYFUNCTION("""COMPUTED_VALUE"""),45183.0)</f>
        <v>45183</v>
      </c>
      <c r="B6464" s="16" t="str">
        <f>IFERROR(__xludf.DUMMYFUNCTION("""COMPUTED_VALUE"""),"Daniel José sandoval gonzalez")</f>
        <v>Daniel José sandoval gonzalez</v>
      </c>
      <c r="C6464" s="15" t="str">
        <f>IFERROR(__xludf.DUMMYFUNCTION("""COMPUTED_VALUE"""),"BARRANQUILLA")</f>
        <v>BARRANQUILLA</v>
      </c>
      <c r="D6464" s="15" t="str">
        <f>IFERROR(__xludf.DUMMYFUNCTION("""COMPUTED_VALUE"""),"BOGOTÁ")</f>
        <v>BOGOTÁ</v>
      </c>
      <c r="E6464" s="15" t="str">
        <f>IFERROR(__xludf.DUMMYFUNCTION("""COMPUTED_VALUE"""),"Pan de Waffle")</f>
        <v>Pan de Waffle</v>
      </c>
      <c r="F6464" s="17" t="str">
        <f>IFERROR(__xludf.DUMMYFUNCTION("""COMPUTED_VALUE"""),"Carrera 45 # 85 - 168 / Carrera 45 # 85 - 168 / Carrera 45 # 85 - 168")</f>
        <v>Carrera 45 # 85 - 168 / Carrera 45 # 85 - 168 / Carrera 45 # 85 - 168</v>
      </c>
      <c r="G6464" s="15" t="str">
        <f>IFERROR(__xludf.DUMMYFUNCTION("""COMPUTED_VALUE"""),"FOODOLOGY")</f>
        <v>FOODOLOGY</v>
      </c>
      <c r="H6464" s="16">
        <f>IFERROR(__xludf.DUMMYFUNCTION("""COMPUTED_VALUE"""),15217.0)</f>
        <v>15217</v>
      </c>
      <c r="I6464" s="18">
        <f>IFERROR(__xludf.DUMMYFUNCTION("""COMPUTED_VALUE"""),40.0)</f>
        <v>40</v>
      </c>
      <c r="J6464" s="18">
        <f>IFERROR(__xludf.DUMMYFUNCTION("""COMPUTED_VALUE"""),40.0)</f>
        <v>40</v>
      </c>
      <c r="K6464" s="18">
        <f>IFERROR(__xludf.DUMMYFUNCTION("""COMPUTED_VALUE"""),30.0)</f>
        <v>30</v>
      </c>
      <c r="L6464" s="17">
        <f>IFERROR(__xludf.DUMMYFUNCTION("""COMPUTED_VALUE"""),3.017001909E9)</f>
        <v>3017001909</v>
      </c>
      <c r="M6464" s="17" t="str">
        <f>IFERROR(__xludf.DUMMYFUNCTION("""COMPUTED_VALUE"""),"#REF!")</f>
        <v>#REF!</v>
      </c>
      <c r="N6464" s="17"/>
      <c r="O6464" s="17"/>
      <c r="P6464" s="17" t="b">
        <f>IFERROR(__xludf.DUMMYFUNCTION("""COMPUTED_VALUE"""),TRUE)</f>
        <v>1</v>
      </c>
      <c r="Q6464" s="20">
        <f>IFERROR(__xludf.DUMMYFUNCTION("""COMPUTED_VALUE"""),45183.72330489583)</f>
        <v>45183.7233</v>
      </c>
      <c r="R6464" s="21" t="str">
        <f>IFERROR(__xludf.DUMMYFUNCTION("""COMPUTED_VALUE"""),"https://drive.google.com/file/d/1DkE0Ph3iAOxKBOC6xQ2bwQXQyu0qpT3W/view?usp=drivesdk")</f>
        <v>https://drive.google.com/file/d/1DkE0Ph3iAOxKBOC6xQ2bwQXQyu0qpT3W/view?usp=drivesdk</v>
      </c>
    </row>
    <row r="6465">
      <c r="A6465" s="15">
        <f>IFERROR(__xludf.DUMMYFUNCTION("""COMPUTED_VALUE"""),45183.0)</f>
        <v>45183</v>
      </c>
      <c r="B6465" s="16" t="str">
        <f>IFERROR(__xludf.DUMMYFUNCTION("""COMPUTED_VALUE"""),"Daniel José sandoval gonzalez")</f>
        <v>Daniel José sandoval gonzalez</v>
      </c>
      <c r="C6465" s="15" t="str">
        <f>IFERROR(__xludf.DUMMYFUNCTION("""COMPUTED_VALUE"""),"BARRANQUILLA")</f>
        <v>BARRANQUILLA</v>
      </c>
      <c r="D6465" s="15" t="str">
        <f>IFERROR(__xludf.DUMMYFUNCTION("""COMPUTED_VALUE"""),"BOGOTÁ")</f>
        <v>BOGOTÁ</v>
      </c>
      <c r="E6465" s="15" t="str">
        <f>IFERROR(__xludf.DUMMYFUNCTION("""COMPUTED_VALUE"""),"Ventura Productos Arg")</f>
        <v>Ventura Productos Arg</v>
      </c>
      <c r="F6465" s="17" t="str">
        <f>IFERROR(__xludf.DUMMYFUNCTION("""COMPUTED_VALUE"""),"Cra 42a2 #86-61 / Casa de un piso")</f>
        <v>Cra 42a2 #86-61 / Casa de un piso</v>
      </c>
      <c r="G6465" s="15" t="str">
        <f>IFERROR(__xludf.DUMMYFUNCTION("""COMPUTED_VALUE"""),"Daniela Duran Barros")</f>
        <v>Daniela Duran Barros</v>
      </c>
      <c r="H6465" s="16">
        <f>IFERROR(__xludf.DUMMYFUNCTION("""COMPUTED_VALUE"""),15191.0)</f>
        <v>15191</v>
      </c>
      <c r="I6465" s="18">
        <f>IFERROR(__xludf.DUMMYFUNCTION("""COMPUTED_VALUE"""),3.0)</f>
        <v>3</v>
      </c>
      <c r="J6465" s="18">
        <f>IFERROR(__xludf.DUMMYFUNCTION("""COMPUTED_VALUE"""),45060.0)</f>
        <v>45060</v>
      </c>
      <c r="K6465" s="18">
        <f>IFERROR(__xludf.DUMMYFUNCTION("""COMPUTED_VALUE"""),22.0)</f>
        <v>22</v>
      </c>
      <c r="L6465" s="17" t="str">
        <f>IFERROR(__xludf.DUMMYFUNCTION("""COMPUTED_VALUE"""),"311 4012057")</f>
        <v>311 4012057</v>
      </c>
      <c r="M6465" s="17" t="str">
        <f>IFERROR(__xludf.DUMMYFUNCTION("""COMPUTED_VALUE"""),"#REF!")</f>
        <v>#REF!</v>
      </c>
      <c r="N6465" s="17"/>
      <c r="O6465" s="17"/>
      <c r="P6465" s="17" t="b">
        <f>IFERROR(__xludf.DUMMYFUNCTION("""COMPUTED_VALUE"""),TRUE)</f>
        <v>1</v>
      </c>
      <c r="Q6465" s="20">
        <f>IFERROR(__xludf.DUMMYFUNCTION("""COMPUTED_VALUE"""),45183.724254375)</f>
        <v>45183.72425</v>
      </c>
      <c r="R6465" s="21" t="str">
        <f>IFERROR(__xludf.DUMMYFUNCTION("""COMPUTED_VALUE"""),"https://drive.google.com/file/d/1soqsC8y804xGxCGXLdpI-Fx7wtH3bwnm/view?usp=drivesdk")</f>
        <v>https://drive.google.com/file/d/1soqsC8y804xGxCGXLdpI-Fx7wtH3bwnm/view?usp=drivesdk</v>
      </c>
    </row>
    <row r="6466">
      <c r="A6466" s="15">
        <f>IFERROR(__xludf.DUMMYFUNCTION("""COMPUTED_VALUE"""),45183.0)</f>
        <v>45183</v>
      </c>
      <c r="B6466" s="16" t="str">
        <f>IFERROR(__xludf.DUMMYFUNCTION("""COMPUTED_VALUE"""),"Daniel José sandoval gonzalez")</f>
        <v>Daniel José sandoval gonzalez</v>
      </c>
      <c r="C6466" s="15" t="str">
        <f>IFERROR(__xludf.DUMMYFUNCTION("""COMPUTED_VALUE"""),"MEDELLÍN")</f>
        <v>MEDELLÍN</v>
      </c>
      <c r="D6466" s="15" t="str">
        <f>IFERROR(__xludf.DUMMYFUNCTION("""COMPUTED_VALUE"""),"BOGOTÁ")</f>
        <v>BOGOTÁ</v>
      </c>
      <c r="E6466" s="15" t="str">
        <f>IFERROR(__xludf.DUMMYFUNCTION("""COMPUTED_VALUE"""),"Mochi")</f>
        <v>Mochi</v>
      </c>
      <c r="F6466" s="17" t="str">
        <f>IFERROR(__xludf.DUMMYFUNCTION("""COMPUTED_VALUE"""),"Cra 48#32b sur 139 / Centro comercial  / Envigado")</f>
        <v>Cra 48#32b sur 139 / Centro comercial  / Envigado</v>
      </c>
      <c r="G6466" s="15" t="str">
        <f>IFERROR(__xludf.DUMMYFUNCTION("""COMPUTED_VALUE"""),"Tania vellojin")</f>
        <v>Tania vellojin</v>
      </c>
      <c r="H6466" s="16">
        <f>IFERROR(__xludf.DUMMYFUNCTION("""COMPUTED_VALUE"""),15251.0)</f>
        <v>15251</v>
      </c>
      <c r="I6466" s="18">
        <f>IFERROR(__xludf.DUMMYFUNCTION("""COMPUTED_VALUE"""),55.0)</f>
        <v>55</v>
      </c>
      <c r="J6466" s="18">
        <f>IFERROR(__xludf.DUMMYFUNCTION("""COMPUTED_VALUE"""),45.0)</f>
        <v>45</v>
      </c>
      <c r="K6466" s="18" t="str">
        <f>IFERROR(__xludf.DUMMYFUNCTION("""COMPUTED_VALUE"""),"52.5")</f>
        <v>52.5</v>
      </c>
      <c r="L6466" s="17">
        <f>IFERROR(__xludf.DUMMYFUNCTION("""COMPUTED_VALUE"""),3.142587995E9)</f>
        <v>3142587995</v>
      </c>
      <c r="M6466" s="17" t="str">
        <f>IFERROR(__xludf.DUMMYFUNCTION("""COMPUTED_VALUE"""),"#REF!")</f>
        <v>#REF!</v>
      </c>
      <c r="N6466" s="17"/>
      <c r="O6466" s="17"/>
      <c r="P6466" s="17" t="b">
        <f>IFERROR(__xludf.DUMMYFUNCTION("""COMPUTED_VALUE"""),TRUE)</f>
        <v>1</v>
      </c>
      <c r="Q6466" s="20">
        <f>IFERROR(__xludf.DUMMYFUNCTION("""COMPUTED_VALUE"""),45183.72310239583)</f>
        <v>45183.7231</v>
      </c>
      <c r="R6466" s="22" t="str">
        <f>IFERROR(__xludf.DUMMYFUNCTION("""COMPUTED_VALUE"""),"")</f>
        <v/>
      </c>
    </row>
    <row r="6467">
      <c r="A6467" s="17" t="str">
        <f>IFERROR(__xludf.DUMMYFUNCTION("""COMPUTED_VALUE"""),"")</f>
        <v/>
      </c>
      <c r="B6467" s="17" t="str">
        <f>IFERROR(__xludf.DUMMYFUNCTION("""COMPUTED_VALUE"""),"")</f>
        <v/>
      </c>
      <c r="C6467" s="17" t="str">
        <f>IFERROR(__xludf.DUMMYFUNCTION("""COMPUTED_VALUE"""),"")</f>
        <v/>
      </c>
      <c r="D6467" s="17" t="str">
        <f>IFERROR(__xludf.DUMMYFUNCTION("""COMPUTED_VALUE"""),"")</f>
        <v/>
      </c>
      <c r="E6467" s="17" t="str">
        <f>IFERROR(__xludf.DUMMYFUNCTION("""COMPUTED_VALUE"""),"")</f>
        <v/>
      </c>
      <c r="F6467" s="17" t="str">
        <f>IFERROR(__xludf.DUMMYFUNCTION("""COMPUTED_VALUE"""),"")</f>
        <v/>
      </c>
      <c r="G6467" s="17" t="str">
        <f>IFERROR(__xludf.DUMMYFUNCTION("""COMPUTED_VALUE"""),"")</f>
        <v/>
      </c>
      <c r="H6467" s="17" t="str">
        <f>IFERROR(__xludf.DUMMYFUNCTION("""COMPUTED_VALUE"""),"")</f>
        <v/>
      </c>
      <c r="I6467" s="17" t="str">
        <f>IFERROR(__xludf.DUMMYFUNCTION("""COMPUTED_VALUE"""),"")</f>
        <v/>
      </c>
      <c r="J6467" s="17" t="str">
        <f>IFERROR(__xludf.DUMMYFUNCTION("""COMPUTED_VALUE"""),"")</f>
        <v/>
      </c>
      <c r="K6467" s="17" t="str">
        <f>IFERROR(__xludf.DUMMYFUNCTION("""COMPUTED_VALUE"""),"")</f>
        <v/>
      </c>
      <c r="L6467" s="17" t="str">
        <f>IFERROR(__xludf.DUMMYFUNCTION("""COMPUTED_VALUE"""),"")</f>
        <v/>
      </c>
      <c r="M6467" s="17" t="str">
        <f>IFERROR(__xludf.DUMMYFUNCTION("""COMPUTED_VALUE"""),"")</f>
        <v/>
      </c>
      <c r="N6467" s="17" t="str">
        <f>IFERROR(__xludf.DUMMYFUNCTION("""COMPUTED_VALUE"""),"")</f>
        <v/>
      </c>
      <c r="O6467" s="17" t="str">
        <f>IFERROR(__xludf.DUMMYFUNCTION("""COMPUTED_VALUE"""),"")</f>
        <v/>
      </c>
      <c r="P6467" s="17" t="str">
        <f>IFERROR(__xludf.DUMMYFUNCTION("""COMPUTED_VALUE"""),"")</f>
        <v/>
      </c>
      <c r="Q6467" s="17" t="str">
        <f>IFERROR(__xludf.DUMMYFUNCTION("""COMPUTED_VALUE"""),"")</f>
        <v/>
      </c>
      <c r="R6467" s="17" t="str">
        <f>IFERROR(__xludf.DUMMYFUNCTION("""COMPUTED_VALUE"""),"")</f>
        <v/>
      </c>
    </row>
    <row r="6468">
      <c r="A6468" s="15">
        <f>IFERROR(__xludf.DUMMYFUNCTION("""COMPUTED_VALUE"""),45183.0)</f>
        <v>45183</v>
      </c>
      <c r="B6468" s="16" t="str">
        <f>IFERROR(__xludf.DUMMYFUNCTION("""COMPUTED_VALUE"""),"David Sanmartin Bello")</f>
        <v>David Sanmartin Bello</v>
      </c>
      <c r="C6468" s="15" t="str">
        <f>IFERROR(__xludf.DUMMYFUNCTION("""COMPUTED_VALUE"""),"BARRANQUILLA")</f>
        <v>BARRANQUILLA</v>
      </c>
      <c r="D6468" s="15" t="str">
        <f>IFERROR(__xludf.DUMMYFUNCTION("""COMPUTED_VALUE"""),"IBAGUÉ")</f>
        <v>IBAGUÉ</v>
      </c>
      <c r="E6468" s="15" t="str">
        <f>IFERROR(__xludf.DUMMYFUNCTION("""COMPUTED_VALUE"""),"Nutrikids Healthy")</f>
        <v>Nutrikids Healthy</v>
      </c>
      <c r="F6468" s="17" t="str">
        <f>IFERROR(__xludf.DUMMYFUNCTION("""COMPUTED_VALUE"""),"Cra 19D  #49-97 / Casa / Barrio el Carmen")</f>
        <v>Cra 19D  #49-97 / Casa / Barrio el Carmen</v>
      </c>
      <c r="G6468" s="15" t="str">
        <f>IFERROR(__xludf.DUMMYFUNCTION("""COMPUTED_VALUE"""),"Kelly Johanna Rivera Llerena")</f>
        <v>Kelly Johanna Rivera Llerena</v>
      </c>
      <c r="H6468" s="16">
        <f>IFERROR(__xludf.DUMMYFUNCTION("""COMPUTED_VALUE"""),14957.0)</f>
        <v>14957</v>
      </c>
      <c r="I6468" s="18">
        <f>IFERROR(__xludf.DUMMYFUNCTION("""COMPUTED_VALUE"""),14.0)</f>
        <v>14</v>
      </c>
      <c r="J6468" s="18">
        <f>IFERROR(__xludf.DUMMYFUNCTION("""COMPUTED_VALUE"""),16.0)</f>
        <v>16</v>
      </c>
      <c r="K6468" s="18">
        <f>IFERROR(__xludf.DUMMYFUNCTION("""COMPUTED_VALUE"""),24.0)</f>
        <v>24</v>
      </c>
      <c r="L6468" s="17">
        <f>IFERROR(__xludf.DUMMYFUNCTION("""COMPUTED_VALUE"""),3.002647965E9)</f>
        <v>3002647965</v>
      </c>
      <c r="M6468" s="17" t="str">
        <f>IFERROR(__xludf.DUMMYFUNCTION("""COMPUTED_VALUE"""),"#REF!")</f>
        <v>#REF!</v>
      </c>
      <c r="N6468" s="17"/>
      <c r="O6468" s="17"/>
      <c r="P6468" s="17" t="b">
        <f>IFERROR(__xludf.DUMMYFUNCTION("""COMPUTED_VALUE"""),FALSE)</f>
        <v>0</v>
      </c>
      <c r="Q6468" s="20" t="str">
        <f>IFERROR(__xludf.DUMMYFUNCTION("""COMPUTED_VALUE"""),"")</f>
        <v/>
      </c>
      <c r="R6468" s="21" t="str">
        <f>IFERROR(__xludf.DUMMYFUNCTION("""COMPUTED_VALUE"""),"https://drive.google.com/file/d/16zbhf95k7sHeRU4a77nXk2nELqBk4KCn/view?usp=drivesdk")</f>
        <v>https://drive.google.com/file/d/16zbhf95k7sHeRU4a77nXk2nELqBk4KCn/view?usp=drivesdk</v>
      </c>
    </row>
    <row r="6469">
      <c r="A6469" s="15">
        <f>IFERROR(__xludf.DUMMYFUNCTION("""COMPUTED_VALUE"""),45183.0)</f>
        <v>45183</v>
      </c>
      <c r="B6469" s="16" t="str">
        <f>IFERROR(__xludf.DUMMYFUNCTION("""COMPUTED_VALUE"""),"David Sanmartin Bello")</f>
        <v>David Sanmartin Bello</v>
      </c>
      <c r="C6469" s="15" t="str">
        <f>IFERROR(__xludf.DUMMYFUNCTION("""COMPUTED_VALUE"""),"CARTAGENA")</f>
        <v>CARTAGENA</v>
      </c>
      <c r="D6469" s="15" t="str">
        <f>IFERROR(__xludf.DUMMYFUNCTION("""COMPUTED_VALUE"""),"BOGOTÁ")</f>
        <v>BOGOTÁ</v>
      </c>
      <c r="E6469" s="15" t="str">
        <f>IFERROR(__xludf.DUMMYFUNCTION("""COMPUTED_VALUE"""),"50 Gr Alfajores")</f>
        <v>50 Gr Alfajores</v>
      </c>
      <c r="F6469" s="17" t="str">
        <f>IFERROR(__xludf.DUMMYFUNCTION("""COMPUTED_VALUE"""),"Calle 14 #30-247  / Puntalta Altofaro  / Torre 2 Apto 506")</f>
        <v>Calle 14 #30-247  / Puntalta Altofaro  / Torre 2 Apto 506</v>
      </c>
      <c r="G6469" s="15" t="str">
        <f>IFERROR(__xludf.DUMMYFUNCTION("""COMPUTED_VALUE"""),"Sajonero Utria Wilmer")</f>
        <v>Sajonero Utria Wilmer</v>
      </c>
      <c r="H6469" s="16">
        <f>IFERROR(__xludf.DUMMYFUNCTION("""COMPUTED_VALUE"""),14999.0)</f>
        <v>14999</v>
      </c>
      <c r="I6469" s="18">
        <f>IFERROR(__xludf.DUMMYFUNCTION("""COMPUTED_VALUE"""),5.0)</f>
        <v>5</v>
      </c>
      <c r="J6469" s="18">
        <f>IFERROR(__xludf.DUMMYFUNCTION("""COMPUTED_VALUE"""),13.0)</f>
        <v>13</v>
      </c>
      <c r="K6469" s="18">
        <f>IFERROR(__xludf.DUMMYFUNCTION("""COMPUTED_VALUE"""),45064.0)</f>
        <v>45064</v>
      </c>
      <c r="L6469" s="17">
        <f>IFERROR(__xludf.DUMMYFUNCTION("""COMPUTED_VALUE"""),3.042155304E9)</f>
        <v>3042155304</v>
      </c>
      <c r="M6469" s="17" t="str">
        <f>IFERROR(__xludf.DUMMYFUNCTION("""COMPUTED_VALUE"""),"#REF!")</f>
        <v>#REF!</v>
      </c>
      <c r="N6469" s="17"/>
      <c r="O6469" s="17"/>
      <c r="P6469" s="17" t="b">
        <f>IFERROR(__xludf.DUMMYFUNCTION("""COMPUTED_VALUE"""),TRUE)</f>
        <v>1</v>
      </c>
      <c r="Q6469" s="20">
        <f>IFERROR(__xludf.DUMMYFUNCTION("""COMPUTED_VALUE"""),45187.30004427083)</f>
        <v>45187.30004</v>
      </c>
      <c r="R6469" s="21" t="str">
        <f>IFERROR(__xludf.DUMMYFUNCTION("""COMPUTED_VALUE"""),"https://drive.google.com/file/d/1HL7HLmd0BcWO91aK7Q_9wcugNA2Sh0xQ/view?usp=drivesdk")</f>
        <v>https://drive.google.com/file/d/1HL7HLmd0BcWO91aK7Q_9wcugNA2Sh0xQ/view?usp=drivesdk</v>
      </c>
    </row>
    <row r="6470">
      <c r="A6470" s="15">
        <f>IFERROR(__xludf.DUMMYFUNCTION("""COMPUTED_VALUE"""),45183.0)</f>
        <v>45183</v>
      </c>
      <c r="B6470" s="16" t="str">
        <f>IFERROR(__xludf.DUMMYFUNCTION("""COMPUTED_VALUE"""),"David Sanmartin Bello")</f>
        <v>David Sanmartin Bello</v>
      </c>
      <c r="C6470" s="15" t="str">
        <f>IFERROR(__xludf.DUMMYFUNCTION("""COMPUTED_VALUE"""),"CARTAGENA")</f>
        <v>CARTAGENA</v>
      </c>
      <c r="D6470" s="15" t="str">
        <f>IFERROR(__xludf.DUMMYFUNCTION("""COMPUTED_VALUE"""),"BOGOTÁ")</f>
        <v>BOGOTÁ</v>
      </c>
      <c r="E6470" s="15" t="str">
        <f>IFERROR(__xludf.DUMMYFUNCTION("""COMPUTED_VALUE"""),"Ins. Alimento Vital")</f>
        <v>Ins. Alimento Vital</v>
      </c>
      <c r="F6470" s="17" t="str">
        <f>IFERROR(__xludf.DUMMYFUNCTION("""COMPUTED_VALUE"""),"CL 1 1 71 /  CASA / LA CONCEPCION")</f>
        <v>CL 1 1 71 /  CASA / LA CONCEPCION</v>
      </c>
      <c r="G6470" s="15" t="str">
        <f>IFERROR(__xludf.DUMMYFUNCTION("""COMPUTED_VALUE"""),"LAURA VANESA SABOGAL VILLADIEGO")</f>
        <v>LAURA VANESA SABOGAL VILLADIEGO</v>
      </c>
      <c r="H6470" s="16">
        <f>IFERROR(__xludf.DUMMYFUNCTION("""COMPUTED_VALUE"""),15135.0)</f>
        <v>15135</v>
      </c>
      <c r="I6470" s="18">
        <f>IFERROR(__xludf.DUMMYFUNCTION("""COMPUTED_VALUE"""),1.0)</f>
        <v>1</v>
      </c>
      <c r="J6470" s="18">
        <f>IFERROR(__xludf.DUMMYFUNCTION("""COMPUTED_VALUE"""),1.0)</f>
        <v>1</v>
      </c>
      <c r="K6470" s="18">
        <f>IFERROR(__xludf.DUMMYFUNCTION("""COMPUTED_VALUE"""),1.0)</f>
        <v>1</v>
      </c>
      <c r="L6470" s="17">
        <f>IFERROR(__xludf.DUMMYFUNCTION("""COMPUTED_VALUE"""),3.209402467E9)</f>
        <v>3209402467</v>
      </c>
      <c r="M6470" s="17" t="str">
        <f>IFERROR(__xludf.DUMMYFUNCTION("""COMPUTED_VALUE"""),"#REF!")</f>
        <v>#REF!</v>
      </c>
      <c r="N6470" s="17"/>
      <c r="O6470" s="17"/>
      <c r="P6470" s="17" t="b">
        <f>IFERROR(__xludf.DUMMYFUNCTION("""COMPUTED_VALUE"""),FALSE)</f>
        <v>0</v>
      </c>
      <c r="Q6470" s="20" t="str">
        <f>IFERROR(__xludf.DUMMYFUNCTION("""COMPUTED_VALUE"""),"")</f>
        <v/>
      </c>
      <c r="R6470" s="21" t="str">
        <f>IFERROR(__xludf.DUMMYFUNCTION("""COMPUTED_VALUE"""),"https://drive.google.com/file/d/1Jewe4TRixj-RWXRwBrW2xfYt-B-hsEQS/view?usp=drivesdk")</f>
        <v>https://drive.google.com/file/d/1Jewe4TRixj-RWXRwBrW2xfYt-B-hsEQS/view?usp=drivesdk</v>
      </c>
    </row>
    <row r="6471">
      <c r="A6471" s="15">
        <f>IFERROR(__xludf.DUMMYFUNCTION("""COMPUTED_VALUE"""),45183.0)</f>
        <v>45183</v>
      </c>
      <c r="B6471" s="16" t="str">
        <f>IFERROR(__xludf.DUMMYFUNCTION("""COMPUTED_VALUE"""),"David Sanmartin Bello")</f>
        <v>David Sanmartin Bello</v>
      </c>
      <c r="C6471" s="15" t="str">
        <f>IFERROR(__xludf.DUMMYFUNCTION("""COMPUTED_VALUE"""),"SOLEDAD")</f>
        <v>SOLEDAD</v>
      </c>
      <c r="D6471" s="15" t="str">
        <f>IFERROR(__xludf.DUMMYFUNCTION("""COMPUTED_VALUE"""),"BOGOTÁ")</f>
        <v>BOGOTÁ</v>
      </c>
      <c r="E6471" s="15" t="str">
        <f>IFERROR(__xludf.DUMMYFUNCTION("""COMPUTED_VALUE"""),"50 Gr Alfajores")</f>
        <v>50 Gr Alfajores</v>
      </c>
      <c r="F6471" s="17" t="str">
        <f>IFERROR(__xludf.DUMMYFUNCTION("""COMPUTED_VALUE"""),"Calle 21 #16-65 / Soledad / Atlantico")</f>
        <v>Calle 21 #16-65 / Soledad / Atlantico</v>
      </c>
      <c r="G6471" s="15" t="str">
        <f>IFERROR(__xludf.DUMMYFUNCTION("""COMPUTED_VALUE"""),"Camargo Zambrano Jaime Rafael")</f>
        <v>Camargo Zambrano Jaime Rafael</v>
      </c>
      <c r="H6471" s="16">
        <f>IFERROR(__xludf.DUMMYFUNCTION("""COMPUTED_VALUE"""),14993.0)</f>
        <v>14993</v>
      </c>
      <c r="I6471" s="18">
        <f>IFERROR(__xludf.DUMMYFUNCTION("""COMPUTED_VALUE"""),5.0)</f>
        <v>5</v>
      </c>
      <c r="J6471" s="18">
        <f>IFERROR(__xludf.DUMMYFUNCTION("""COMPUTED_VALUE"""),13.0)</f>
        <v>13</v>
      </c>
      <c r="K6471" s="18">
        <f>IFERROR(__xludf.DUMMYFUNCTION("""COMPUTED_VALUE"""),45064.0)</f>
        <v>45064</v>
      </c>
      <c r="L6471" s="17">
        <f>IFERROR(__xludf.DUMMYFUNCTION("""COMPUTED_VALUE"""),3.002170854E9)</f>
        <v>3002170854</v>
      </c>
      <c r="M6471" s="17" t="str">
        <f>IFERROR(__xludf.DUMMYFUNCTION("""COMPUTED_VALUE"""),"#REF!")</f>
        <v>#REF!</v>
      </c>
      <c r="N6471" s="17"/>
      <c r="O6471" s="17"/>
      <c r="P6471" s="17" t="b">
        <f>IFERROR(__xludf.DUMMYFUNCTION("""COMPUTED_VALUE"""),FALSE)</f>
        <v>0</v>
      </c>
      <c r="Q6471" s="20" t="str">
        <f>IFERROR(__xludf.DUMMYFUNCTION("""COMPUTED_VALUE"""),"")</f>
        <v/>
      </c>
      <c r="R6471" s="21" t="str">
        <f>IFERROR(__xludf.DUMMYFUNCTION("""COMPUTED_VALUE"""),"https://drive.google.com/file/d/1ihOoS3O0330ssBMJHmhC4FfaFHoLhyKk/view?usp=drivesdk")</f>
        <v>https://drive.google.com/file/d/1ihOoS3O0330ssBMJHmhC4FfaFHoLhyKk/view?usp=drivesdk</v>
      </c>
    </row>
    <row r="6472">
      <c r="A6472" s="17" t="str">
        <f>IFERROR(__xludf.DUMMYFUNCTION("""COMPUTED_VALUE"""),"")</f>
        <v/>
      </c>
      <c r="B6472" s="17" t="str">
        <f>IFERROR(__xludf.DUMMYFUNCTION("""COMPUTED_VALUE"""),"")</f>
        <v/>
      </c>
      <c r="C6472" s="17" t="str">
        <f>IFERROR(__xludf.DUMMYFUNCTION("""COMPUTED_VALUE"""),"")</f>
        <v/>
      </c>
      <c r="D6472" s="17" t="str">
        <f>IFERROR(__xludf.DUMMYFUNCTION("""COMPUTED_VALUE"""),"")</f>
        <v/>
      </c>
      <c r="E6472" s="17" t="str">
        <f>IFERROR(__xludf.DUMMYFUNCTION("""COMPUTED_VALUE"""),"")</f>
        <v/>
      </c>
      <c r="F6472" s="17" t="str">
        <f>IFERROR(__xludf.DUMMYFUNCTION("""COMPUTED_VALUE"""),"")</f>
        <v/>
      </c>
      <c r="G6472" s="17" t="str">
        <f>IFERROR(__xludf.DUMMYFUNCTION("""COMPUTED_VALUE"""),"")</f>
        <v/>
      </c>
      <c r="H6472" s="17" t="str">
        <f>IFERROR(__xludf.DUMMYFUNCTION("""COMPUTED_VALUE"""),"")</f>
        <v/>
      </c>
      <c r="I6472" s="17" t="str">
        <f>IFERROR(__xludf.DUMMYFUNCTION("""COMPUTED_VALUE"""),"")</f>
        <v/>
      </c>
      <c r="J6472" s="17" t="str">
        <f>IFERROR(__xludf.DUMMYFUNCTION("""COMPUTED_VALUE"""),"")</f>
        <v/>
      </c>
      <c r="K6472" s="17" t="str">
        <f>IFERROR(__xludf.DUMMYFUNCTION("""COMPUTED_VALUE"""),"")</f>
        <v/>
      </c>
      <c r="L6472" s="17" t="str">
        <f>IFERROR(__xludf.DUMMYFUNCTION("""COMPUTED_VALUE"""),"")</f>
        <v/>
      </c>
      <c r="M6472" s="17" t="str">
        <f>IFERROR(__xludf.DUMMYFUNCTION("""COMPUTED_VALUE"""),"")</f>
        <v/>
      </c>
      <c r="N6472" s="17" t="str">
        <f>IFERROR(__xludf.DUMMYFUNCTION("""COMPUTED_VALUE"""),"")</f>
        <v/>
      </c>
      <c r="O6472" s="17" t="str">
        <f>IFERROR(__xludf.DUMMYFUNCTION("""COMPUTED_VALUE"""),"")</f>
        <v/>
      </c>
      <c r="P6472" s="17" t="str">
        <f>IFERROR(__xludf.DUMMYFUNCTION("""COMPUTED_VALUE"""),"")</f>
        <v/>
      </c>
      <c r="Q6472" s="17" t="str">
        <f>IFERROR(__xludf.DUMMYFUNCTION("""COMPUTED_VALUE"""),"")</f>
        <v/>
      </c>
      <c r="R6472" s="17" t="str">
        <f>IFERROR(__xludf.DUMMYFUNCTION("""COMPUTED_VALUE"""),"")</f>
        <v/>
      </c>
    </row>
    <row r="6473">
      <c r="A6473" s="15">
        <f>IFERROR(__xludf.DUMMYFUNCTION("""COMPUTED_VALUE"""),45183.0)</f>
        <v>45183</v>
      </c>
      <c r="B6473" s="16" t="str">
        <f>IFERROR(__xludf.DUMMYFUNCTION("""COMPUTED_VALUE"""),"Deivi Alejandro Quintero Corrales")</f>
        <v>Deivi Alejandro Quintero Corrales</v>
      </c>
      <c r="C6473" s="15" t="str">
        <f>IFERROR(__xludf.DUMMYFUNCTION("""COMPUTED_VALUE"""),"ARMENIA")</f>
        <v>ARMENIA</v>
      </c>
      <c r="D6473" s="15" t="str">
        <f>IFERROR(__xludf.DUMMYFUNCTION("""COMPUTED_VALUE"""),"BOGOTÁ")</f>
        <v>BOGOTÁ</v>
      </c>
      <c r="E6473" s="15" t="str">
        <f>IFERROR(__xludf.DUMMYFUNCTION("""COMPUTED_VALUE"""),"SISU PARTNERS SAS")</f>
        <v>SISU PARTNERS SAS</v>
      </c>
      <c r="F6473" s="17" t="str">
        <f>IFERROR(__xludf.DUMMYFUNCTION("""COMPUTED_VALUE"""),"Calle 16b No.23-17 Casa 145 / Carrera 5 #10n-25 Torre malaga504Avenida Centenario")</f>
        <v>Calle 16b No.23-17 Casa 145 / Carrera 5 #10n-25 Torre malaga504Avenida Centenario</v>
      </c>
      <c r="G6473" s="15" t="str">
        <f>IFERROR(__xludf.DUMMYFUNCTION("""COMPUTED_VALUE"""),"Maria Rivas Velasquez")</f>
        <v>Maria Rivas Velasquez</v>
      </c>
      <c r="H6473" s="16">
        <f>IFERROR(__xludf.DUMMYFUNCTION("""COMPUTED_VALUE"""),15201.0)</f>
        <v>15201</v>
      </c>
      <c r="I6473" s="18" t="str">
        <f>IFERROR(__xludf.DUMMYFUNCTION("""COMPUTED_VALUE"""),"52.5")</f>
        <v>52.5</v>
      </c>
      <c r="J6473" s="18">
        <f>IFERROR(__xludf.DUMMYFUNCTION("""COMPUTED_VALUE"""),45.0)</f>
        <v>45</v>
      </c>
      <c r="K6473" s="18">
        <f>IFERROR(__xludf.DUMMYFUNCTION("""COMPUTED_VALUE"""),55.0)</f>
        <v>55</v>
      </c>
      <c r="L6473" s="17">
        <f>IFERROR(__xludf.DUMMYFUNCTION("""COMPUTED_VALUE"""),3.116072022E9)</f>
        <v>3116072022</v>
      </c>
      <c r="M6473" s="17" t="str">
        <f>IFERROR(__xludf.DUMMYFUNCTION("""COMPUTED_VALUE"""),"#REF!")</f>
        <v>#REF!</v>
      </c>
      <c r="N6473" s="17"/>
      <c r="O6473" s="17"/>
      <c r="P6473" s="17" t="b">
        <f>IFERROR(__xludf.DUMMYFUNCTION("""COMPUTED_VALUE"""),FALSE)</f>
        <v>0</v>
      </c>
      <c r="Q6473" s="20" t="str">
        <f>IFERROR(__xludf.DUMMYFUNCTION("""COMPUTED_VALUE"""),"")</f>
        <v/>
      </c>
      <c r="R6473" s="22" t="str">
        <f>IFERROR(__xludf.DUMMYFUNCTION("""COMPUTED_VALUE"""),"")</f>
        <v/>
      </c>
    </row>
    <row r="6474">
      <c r="A6474" s="15">
        <f>IFERROR(__xludf.DUMMYFUNCTION("""COMPUTED_VALUE"""),45183.0)</f>
        <v>45183</v>
      </c>
      <c r="B6474" s="16" t="str">
        <f>IFERROR(__xludf.DUMMYFUNCTION("""COMPUTED_VALUE"""),"Deivi Alejandro Quintero Corrales")</f>
        <v>Deivi Alejandro Quintero Corrales</v>
      </c>
      <c r="C6474" s="15" t="str">
        <f>IFERROR(__xludf.DUMMYFUNCTION("""COMPUTED_VALUE"""),"PEREIRA")</f>
        <v>PEREIRA</v>
      </c>
      <c r="D6474" s="15" t="str">
        <f>IFERROR(__xludf.DUMMYFUNCTION("""COMPUTED_VALUE"""),"BOGOTÁ")</f>
        <v>BOGOTÁ</v>
      </c>
      <c r="E6474" s="15" t="str">
        <f>IFERROR(__xludf.DUMMYFUNCTION("""COMPUTED_VALUE"""),"Karem foods")</f>
        <v>Karem foods</v>
      </c>
      <c r="F6474" s="17" t="str">
        <f>IFERROR(__xludf.DUMMYFUNCTION("""COMPUTED_VALUE"""),"Conjunto San José de las villas 3 / casa 173 Entrada por el pueblito cafetero / -")</f>
        <v>Conjunto San José de las villas 3 / casa 173 Entrada por el pueblito cafetero / -</v>
      </c>
      <c r="G6474" s="15" t="str">
        <f>IFERROR(__xludf.DUMMYFUNCTION("""COMPUTED_VALUE"""),"Jessica Chevalier")</f>
        <v>Jessica Chevalier</v>
      </c>
      <c r="H6474" s="16">
        <f>IFERROR(__xludf.DUMMYFUNCTION("""COMPUTED_VALUE"""),15220.0)</f>
        <v>15220</v>
      </c>
      <c r="I6474" s="18">
        <f>IFERROR(__xludf.DUMMYFUNCTION("""COMPUTED_VALUE"""),10.0)</f>
        <v>10</v>
      </c>
      <c r="J6474" s="18">
        <f>IFERROR(__xludf.DUMMYFUNCTION("""COMPUTED_VALUE"""),30.0)</f>
        <v>30</v>
      </c>
      <c r="K6474" s="18">
        <f>IFERROR(__xludf.DUMMYFUNCTION("""COMPUTED_VALUE"""),20.0)</f>
        <v>20</v>
      </c>
      <c r="L6474" s="17">
        <f>IFERROR(__xludf.DUMMYFUNCTION("""COMPUTED_VALUE"""),3.195968178E9)</f>
        <v>3195968178</v>
      </c>
      <c r="M6474" s="17" t="str">
        <f>IFERROR(__xludf.DUMMYFUNCTION("""COMPUTED_VALUE"""),"#REF!")</f>
        <v>#REF!</v>
      </c>
      <c r="N6474" s="17"/>
      <c r="O6474" s="17"/>
      <c r="P6474" s="17" t="b">
        <f>IFERROR(__xludf.DUMMYFUNCTION("""COMPUTED_VALUE"""),FALSE)</f>
        <v>0</v>
      </c>
      <c r="Q6474" s="20" t="str">
        <f>IFERROR(__xludf.DUMMYFUNCTION("""COMPUTED_VALUE"""),"")</f>
        <v/>
      </c>
      <c r="R6474" s="21" t="str">
        <f>IFERROR(__xludf.DUMMYFUNCTION("""COMPUTED_VALUE"""),"https://drive.google.com/file/d/1dMhSArLf2UjZS1DiBGHm6hvmIw3P6yjH/view?usp=drivesdk")</f>
        <v>https://drive.google.com/file/d/1dMhSArLf2UjZS1DiBGHm6hvmIw3P6yjH/view?usp=drivesdk</v>
      </c>
    </row>
    <row r="6475">
      <c r="A6475" s="15">
        <f>IFERROR(__xludf.DUMMYFUNCTION("""COMPUTED_VALUE"""),45183.0)</f>
        <v>45183</v>
      </c>
      <c r="B6475" s="16" t="str">
        <f>IFERROR(__xludf.DUMMYFUNCTION("""COMPUTED_VALUE"""),"Deivi Alejandro Quintero Corrales")</f>
        <v>Deivi Alejandro Quintero Corrales</v>
      </c>
      <c r="C6475" s="15" t="str">
        <f>IFERROR(__xludf.DUMMYFUNCTION("""COMPUTED_VALUE"""),"VILLAVICENCIO")</f>
        <v>VILLAVICENCIO</v>
      </c>
      <c r="D6475" s="15" t="str">
        <f>IFERROR(__xludf.DUMMYFUNCTION("""COMPUTED_VALUE"""),"BOGOTÁ")</f>
        <v>BOGOTÁ</v>
      </c>
      <c r="E6475" s="15" t="str">
        <f>IFERROR(__xludf.DUMMYFUNCTION("""COMPUTED_VALUE"""),"Evamazzita")</f>
        <v>Evamazzita</v>
      </c>
      <c r="F6475" s="17" t="str">
        <f>IFERROR(__xludf.DUMMYFUNCTION("""COMPUTED_VALUE"""),"CRA 4 este #15-148 / Torre 2 Apto 1101")</f>
        <v>CRA 4 este #15-148 / Torre 2 Apto 1101</v>
      </c>
      <c r="G6475" s="15" t="str">
        <f>IFERROR(__xludf.DUMMYFUNCTION("""COMPUTED_VALUE"""),"CLAUDIA VELANDIA")</f>
        <v>CLAUDIA VELANDIA</v>
      </c>
      <c r="H6475" s="16">
        <f>IFERROR(__xludf.DUMMYFUNCTION("""COMPUTED_VALUE"""),15245.0)</f>
        <v>15245</v>
      </c>
      <c r="I6475" s="18">
        <f>IFERROR(__xludf.DUMMYFUNCTION("""COMPUTED_VALUE"""),1.0)</f>
        <v>1</v>
      </c>
      <c r="J6475" s="18">
        <f>IFERROR(__xludf.DUMMYFUNCTION("""COMPUTED_VALUE"""),1.0)</f>
        <v>1</v>
      </c>
      <c r="K6475" s="18">
        <f>IFERROR(__xludf.DUMMYFUNCTION("""COMPUTED_VALUE"""),1.0)</f>
        <v>1</v>
      </c>
      <c r="L6475" s="17">
        <f>IFERROR(__xludf.DUMMYFUNCTION("""COMPUTED_VALUE"""),3.102463568E9)</f>
        <v>3102463568</v>
      </c>
      <c r="M6475" s="17" t="str">
        <f>IFERROR(__xludf.DUMMYFUNCTION("""COMPUTED_VALUE"""),"#REF!")</f>
        <v>#REF!</v>
      </c>
      <c r="N6475" s="17"/>
      <c r="O6475" s="17"/>
      <c r="P6475" s="17" t="b">
        <f>IFERROR(__xludf.DUMMYFUNCTION("""COMPUTED_VALUE"""),FALSE)</f>
        <v>0</v>
      </c>
      <c r="Q6475" s="20" t="str">
        <f>IFERROR(__xludf.DUMMYFUNCTION("""COMPUTED_VALUE"""),"")</f>
        <v/>
      </c>
      <c r="R6475" s="21" t="str">
        <f>IFERROR(__xludf.DUMMYFUNCTION("""COMPUTED_VALUE"""),"https://drive.google.com/file/d/1kZKirCgQxyArpW0tVCQdi_DGKKjV8Y08/view?usp=drivesdk")</f>
        <v>https://drive.google.com/file/d/1kZKirCgQxyArpW0tVCQdi_DGKKjV8Y08/view?usp=drivesdk</v>
      </c>
    </row>
    <row r="6476">
      <c r="A6476" s="17" t="str">
        <f>IFERROR(__xludf.DUMMYFUNCTION("""COMPUTED_VALUE"""),"")</f>
        <v/>
      </c>
      <c r="B6476" s="17" t="str">
        <f>IFERROR(__xludf.DUMMYFUNCTION("""COMPUTED_VALUE"""),"")</f>
        <v/>
      </c>
      <c r="C6476" s="17" t="str">
        <f>IFERROR(__xludf.DUMMYFUNCTION("""COMPUTED_VALUE"""),"")</f>
        <v/>
      </c>
      <c r="D6476" s="17" t="str">
        <f>IFERROR(__xludf.DUMMYFUNCTION("""COMPUTED_VALUE"""),"")</f>
        <v/>
      </c>
      <c r="E6476" s="17" t="str">
        <f>IFERROR(__xludf.DUMMYFUNCTION("""COMPUTED_VALUE"""),"")</f>
        <v/>
      </c>
      <c r="F6476" s="17" t="str">
        <f>IFERROR(__xludf.DUMMYFUNCTION("""COMPUTED_VALUE"""),"")</f>
        <v/>
      </c>
      <c r="G6476" s="17" t="str">
        <f>IFERROR(__xludf.DUMMYFUNCTION("""COMPUTED_VALUE"""),"")</f>
        <v/>
      </c>
      <c r="H6476" s="17" t="str">
        <f>IFERROR(__xludf.DUMMYFUNCTION("""COMPUTED_VALUE"""),"")</f>
        <v/>
      </c>
      <c r="I6476" s="17" t="str">
        <f>IFERROR(__xludf.DUMMYFUNCTION("""COMPUTED_VALUE"""),"")</f>
        <v/>
      </c>
      <c r="J6476" s="17" t="str">
        <f>IFERROR(__xludf.DUMMYFUNCTION("""COMPUTED_VALUE"""),"")</f>
        <v/>
      </c>
      <c r="K6476" s="17" t="str">
        <f>IFERROR(__xludf.DUMMYFUNCTION("""COMPUTED_VALUE"""),"")</f>
        <v/>
      </c>
      <c r="L6476" s="17" t="str">
        <f>IFERROR(__xludf.DUMMYFUNCTION("""COMPUTED_VALUE"""),"")</f>
        <v/>
      </c>
      <c r="M6476" s="17" t="str">
        <f>IFERROR(__xludf.DUMMYFUNCTION("""COMPUTED_VALUE"""),"")</f>
        <v/>
      </c>
      <c r="N6476" s="17" t="str">
        <f>IFERROR(__xludf.DUMMYFUNCTION("""COMPUTED_VALUE"""),"")</f>
        <v/>
      </c>
      <c r="O6476" s="17" t="str">
        <f>IFERROR(__xludf.DUMMYFUNCTION("""COMPUTED_VALUE"""),"")</f>
        <v/>
      </c>
      <c r="P6476" s="17" t="str">
        <f>IFERROR(__xludf.DUMMYFUNCTION("""COMPUTED_VALUE"""),"")</f>
        <v/>
      </c>
      <c r="Q6476" s="17" t="str">
        <f>IFERROR(__xludf.DUMMYFUNCTION("""COMPUTED_VALUE"""),"")</f>
        <v/>
      </c>
      <c r="R6476" s="17" t="str">
        <f>IFERROR(__xludf.DUMMYFUNCTION("""COMPUTED_VALUE"""),"")</f>
        <v/>
      </c>
    </row>
    <row r="6477">
      <c r="A6477" s="15">
        <f>IFERROR(__xludf.DUMMYFUNCTION("""COMPUTED_VALUE"""),45183.0)</f>
        <v>45183</v>
      </c>
      <c r="B6477" s="16" t="str">
        <f>IFERROR(__xludf.DUMMYFUNCTION("""COMPUTED_VALUE"""),"Envia")</f>
        <v>Envia</v>
      </c>
      <c r="C6477" s="15" t="str">
        <f>IFERROR(__xludf.DUMMYFUNCTION("""COMPUTED_VALUE"""),"BARRANQUILLA")</f>
        <v>BARRANQUILLA</v>
      </c>
      <c r="D6477" s="15" t="str">
        <f>IFERROR(__xludf.DUMMYFUNCTION("""COMPUTED_VALUE"""),"BOGOTÁ")</f>
        <v>BOGOTÁ</v>
      </c>
      <c r="E6477" s="15" t="str">
        <f>IFERROR(__xludf.DUMMYFUNCTION("""COMPUTED_VALUE"""),"50 Gr Alfajores")</f>
        <v>50 Gr Alfajores</v>
      </c>
      <c r="F6477" s="17" t="str">
        <f>IFERROR(__xludf.DUMMYFUNCTION("""COMPUTED_VALUE"""),"Transversal 44 #102-72,  / Apto 1507 / BQUILLA")</f>
        <v>Transversal 44 #102-72,  / Apto 1507 / BQUILLA</v>
      </c>
      <c r="G6477" s="15" t="str">
        <f>IFERROR(__xludf.DUMMYFUNCTION("""COMPUTED_VALUE"""),"Martínez Hernández Julio César")</f>
        <v>Martínez Hernández Julio César</v>
      </c>
      <c r="H6477" s="16">
        <f>IFERROR(__xludf.DUMMYFUNCTION("""COMPUTED_VALUE"""),14989.0)</f>
        <v>14989</v>
      </c>
      <c r="I6477" s="18">
        <f>IFERROR(__xludf.DUMMYFUNCTION("""COMPUTED_VALUE"""),5.0)</f>
        <v>5</v>
      </c>
      <c r="J6477" s="18">
        <f>IFERROR(__xludf.DUMMYFUNCTION("""COMPUTED_VALUE"""),13.0)</f>
        <v>13</v>
      </c>
      <c r="K6477" s="18">
        <f>IFERROR(__xludf.DUMMYFUNCTION("""COMPUTED_VALUE"""),45064.0)</f>
        <v>45064</v>
      </c>
      <c r="L6477" s="17">
        <f>IFERROR(__xludf.DUMMYFUNCTION("""COMPUTED_VALUE"""),3.015948971E9)</f>
        <v>3015948971</v>
      </c>
      <c r="M6477" s="17" t="str">
        <f>IFERROR(__xludf.DUMMYFUNCTION("""COMPUTED_VALUE"""),"#REF!")</f>
        <v>#REF!</v>
      </c>
      <c r="N6477" s="17"/>
      <c r="O6477" s="17"/>
      <c r="P6477" s="17" t="b">
        <f>IFERROR(__xludf.DUMMYFUNCTION("""COMPUTED_VALUE"""),FALSE)</f>
        <v>0</v>
      </c>
      <c r="Q6477" s="20" t="str">
        <f>IFERROR(__xludf.DUMMYFUNCTION("""COMPUTED_VALUE"""),"")</f>
        <v/>
      </c>
      <c r="R6477" s="21" t="str">
        <f>IFERROR(__xludf.DUMMYFUNCTION("""COMPUTED_VALUE"""),"https://drive.google.com/file/d/1jTOi-9mFN8o4ChVLt_7O0UP4Y0-Zinjs/view?usp=drivesdk")</f>
        <v>https://drive.google.com/file/d/1jTOi-9mFN8o4ChVLt_7O0UP4Y0-Zinjs/view?usp=drivesdk</v>
      </c>
    </row>
    <row r="6478">
      <c r="A6478" s="15">
        <f>IFERROR(__xludf.DUMMYFUNCTION("""COMPUTED_VALUE"""),45183.0)</f>
        <v>45183</v>
      </c>
      <c r="B6478" s="16" t="str">
        <f>IFERROR(__xludf.DUMMYFUNCTION("""COMPUTED_VALUE"""),"Envia")</f>
        <v>Envia</v>
      </c>
      <c r="C6478" s="15" t="str">
        <f>IFERROR(__xludf.DUMMYFUNCTION("""COMPUTED_VALUE"""),"BARRANQUILLA")</f>
        <v>BARRANQUILLA</v>
      </c>
      <c r="D6478" s="15" t="str">
        <f>IFERROR(__xludf.DUMMYFUNCTION("""COMPUTED_VALUE"""),"BOGOTÁ")</f>
        <v>BOGOTÁ</v>
      </c>
      <c r="E6478" s="15" t="str">
        <f>IFERROR(__xludf.DUMMYFUNCTION("""COMPUTED_VALUE"""),"Evamazzita")</f>
        <v>Evamazzita</v>
      </c>
      <c r="F6478" s="17" t="str">
        <f>IFERROR(__xludf.DUMMYFUNCTION("""COMPUTED_VALUE"""),"Calle 116#42b -91 / Int 15 AP 658 Conjunto Golondrina  Alameda del Río")</f>
        <v>Calle 116#42b -91 / Int 15 AP 658 Conjunto Golondrina  Alameda del Río</v>
      </c>
      <c r="G6478" s="15" t="str">
        <f>IFERROR(__xludf.DUMMYFUNCTION("""COMPUTED_VALUE"""),"LUCELLY ALEXA ROMERO SIERRA")</f>
        <v>LUCELLY ALEXA ROMERO SIERRA</v>
      </c>
      <c r="H6478" s="16">
        <f>IFERROR(__xludf.DUMMYFUNCTION("""COMPUTED_VALUE"""),15226.0)</f>
        <v>15226</v>
      </c>
      <c r="I6478" s="18">
        <f>IFERROR(__xludf.DUMMYFUNCTION("""COMPUTED_VALUE"""),1.0)</f>
        <v>1</v>
      </c>
      <c r="J6478" s="18">
        <f>IFERROR(__xludf.DUMMYFUNCTION("""COMPUTED_VALUE"""),1.0)</f>
        <v>1</v>
      </c>
      <c r="K6478" s="18">
        <f>IFERROR(__xludf.DUMMYFUNCTION("""COMPUTED_VALUE"""),1.0)</f>
        <v>1</v>
      </c>
      <c r="L6478" s="17">
        <f>IFERROR(__xludf.DUMMYFUNCTION("""COMPUTED_VALUE"""),3.004001078E9)</f>
        <v>3004001078</v>
      </c>
      <c r="M6478" s="17" t="str">
        <f>IFERROR(__xludf.DUMMYFUNCTION("""COMPUTED_VALUE"""),"#REF!")</f>
        <v>#REF!</v>
      </c>
      <c r="N6478" s="17"/>
      <c r="O6478" s="17"/>
      <c r="P6478" s="17" t="b">
        <f>IFERROR(__xludf.DUMMYFUNCTION("""COMPUTED_VALUE"""),FALSE)</f>
        <v>0</v>
      </c>
      <c r="Q6478" s="20" t="str">
        <f>IFERROR(__xludf.DUMMYFUNCTION("""COMPUTED_VALUE"""),"")</f>
        <v/>
      </c>
      <c r="R6478" s="21" t="str">
        <f>IFERROR(__xludf.DUMMYFUNCTION("""COMPUTED_VALUE"""),"https://drive.google.com/file/d/1LGFVOJnCdNhXw-2d9lK02tPAzQ1nwl7g/view?usp=drivesdk")</f>
        <v>https://drive.google.com/file/d/1LGFVOJnCdNhXw-2d9lK02tPAzQ1nwl7g/view?usp=drivesdk</v>
      </c>
    </row>
    <row r="6479">
      <c r="A6479" s="15">
        <f>IFERROR(__xludf.DUMMYFUNCTION("""COMPUTED_VALUE"""),45183.0)</f>
        <v>45183</v>
      </c>
      <c r="B6479" s="16" t="str">
        <f>IFERROR(__xludf.DUMMYFUNCTION("""COMPUTED_VALUE"""),"Envia")</f>
        <v>Envia</v>
      </c>
      <c r="C6479" s="15" t="str">
        <f>IFERROR(__xludf.DUMMYFUNCTION("""COMPUTED_VALUE"""),"BOGOTÁ")</f>
        <v>BOGOTÁ</v>
      </c>
      <c r="D6479" s="15" t="str">
        <f>IFERROR(__xludf.DUMMYFUNCTION("""COMPUTED_VALUE"""),"CALI")</f>
        <v>CALI</v>
      </c>
      <c r="E6479" s="15" t="str">
        <f>IFERROR(__xludf.DUMMYFUNCTION("""COMPUTED_VALUE"""),"The Smoked House")</f>
        <v>The Smoked House</v>
      </c>
      <c r="F6479" s="17" t="str">
        <f>IFERROR(__xludf.DUMMYFUNCTION("""COMPUTED_VALUE"""),"Bta  / Bta  / Bta")</f>
        <v>Bta  / Bta  / Bta</v>
      </c>
      <c r="G6479" s="15" t="str">
        <f>IFERROR(__xludf.DUMMYFUNCTION("""COMPUTED_VALUE"""),"Mónica")</f>
        <v>Mónica</v>
      </c>
      <c r="H6479" s="16">
        <f>IFERROR(__xludf.DUMMYFUNCTION("""COMPUTED_VALUE"""),15200.0)</f>
        <v>15200</v>
      </c>
      <c r="I6479" s="18">
        <f>IFERROR(__xludf.DUMMYFUNCTION("""COMPUTED_VALUE"""),38.0)</f>
        <v>38</v>
      </c>
      <c r="J6479" s="18">
        <f>IFERROR(__xludf.DUMMYFUNCTION("""COMPUTED_VALUE"""),33.0)</f>
        <v>33</v>
      </c>
      <c r="K6479" s="18">
        <f>IFERROR(__xludf.DUMMYFUNCTION("""COMPUTED_VALUE"""),24.0)</f>
        <v>24</v>
      </c>
      <c r="L6479" s="17">
        <f>IFERROR(__xludf.DUMMYFUNCTION("""COMPUTED_VALUE"""),3.158825395E9)</f>
        <v>3158825395</v>
      </c>
      <c r="M6479" s="17" t="str">
        <f>IFERROR(__xludf.DUMMYFUNCTION("""COMPUTED_VALUE"""),"#REF!")</f>
        <v>#REF!</v>
      </c>
      <c r="N6479" s="17"/>
      <c r="O6479" s="17"/>
      <c r="P6479" s="17" t="b">
        <f>IFERROR(__xludf.DUMMYFUNCTION("""COMPUTED_VALUE"""),FALSE)</f>
        <v>0</v>
      </c>
      <c r="Q6479" s="20" t="str">
        <f>IFERROR(__xludf.DUMMYFUNCTION("""COMPUTED_VALUE"""),"")</f>
        <v/>
      </c>
      <c r="R6479" s="22" t="str">
        <f>IFERROR(__xludf.DUMMYFUNCTION("""COMPUTED_VALUE"""),"")</f>
        <v/>
      </c>
    </row>
    <row r="6480">
      <c r="A6480" s="15">
        <f>IFERROR(__xludf.DUMMYFUNCTION("""COMPUTED_VALUE"""),45183.0)</f>
        <v>45183</v>
      </c>
      <c r="B6480" s="16" t="str">
        <f>IFERROR(__xludf.DUMMYFUNCTION("""COMPUTED_VALUE"""),"Envia")</f>
        <v>Envia</v>
      </c>
      <c r="C6480" s="15" t="str">
        <f>IFERROR(__xludf.DUMMYFUNCTION("""COMPUTED_VALUE"""),"NEIVA")</f>
        <v>NEIVA</v>
      </c>
      <c r="D6480" s="15" t="str">
        <f>IFERROR(__xludf.DUMMYFUNCTION("""COMPUTED_VALUE"""),"BOGOTÁ")</f>
        <v>BOGOTÁ</v>
      </c>
      <c r="E6480" s="15" t="str">
        <f>IFERROR(__xludf.DUMMYFUNCTION("""COMPUTED_VALUE"""),"50 Gr Alfajores")</f>
        <v>50 Gr Alfajores</v>
      </c>
      <c r="F6480" s="17" t="str">
        <f>IFERROR(__xludf.DUMMYFUNCTION("""COMPUTED_VALUE"""),"calle 67 # 4-133 / Neiva / Huila")</f>
        <v>calle 67 # 4-133 / Neiva / Huila</v>
      </c>
      <c r="G6480" s="15" t="str">
        <f>IFERROR(__xludf.DUMMYFUNCTION("""COMPUTED_VALUE"""),"Gualteros Herrera Nicolas")</f>
        <v>Gualteros Herrera Nicolas</v>
      </c>
      <c r="H6480" s="16">
        <f>IFERROR(__xludf.DUMMYFUNCTION("""COMPUTED_VALUE"""),14998.0)</f>
        <v>14998</v>
      </c>
      <c r="I6480" s="18">
        <f>IFERROR(__xludf.DUMMYFUNCTION("""COMPUTED_VALUE"""),5.0)</f>
        <v>5</v>
      </c>
      <c r="J6480" s="18">
        <f>IFERROR(__xludf.DUMMYFUNCTION("""COMPUTED_VALUE"""),13.0)</f>
        <v>13</v>
      </c>
      <c r="K6480" s="18">
        <f>IFERROR(__xludf.DUMMYFUNCTION("""COMPUTED_VALUE"""),45064.0)</f>
        <v>45064</v>
      </c>
      <c r="L6480" s="17">
        <f>IFERROR(__xludf.DUMMYFUNCTION("""COMPUTED_VALUE"""),3.118618898E9)</f>
        <v>3118618898</v>
      </c>
      <c r="M6480" s="17" t="str">
        <f>IFERROR(__xludf.DUMMYFUNCTION("""COMPUTED_VALUE"""),"#REF!")</f>
        <v>#REF!</v>
      </c>
      <c r="N6480" s="17"/>
      <c r="O6480" s="17"/>
      <c r="P6480" s="17" t="b">
        <f>IFERROR(__xludf.DUMMYFUNCTION("""COMPUTED_VALUE"""),FALSE)</f>
        <v>0</v>
      </c>
      <c r="Q6480" s="20" t="str">
        <f>IFERROR(__xludf.DUMMYFUNCTION("""COMPUTED_VALUE"""),"")</f>
        <v/>
      </c>
      <c r="R6480" s="22" t="str">
        <f>IFERROR(__xludf.DUMMYFUNCTION("""COMPUTED_VALUE"""),"")</f>
        <v/>
      </c>
    </row>
    <row r="6481">
      <c r="A6481" s="15">
        <f>IFERROR(__xludf.DUMMYFUNCTION("""COMPUTED_VALUE"""),45183.0)</f>
        <v>45183</v>
      </c>
      <c r="B6481" s="16" t="str">
        <f>IFERROR(__xludf.DUMMYFUNCTION("""COMPUTED_VALUE"""),"Envia")</f>
        <v>Envia</v>
      </c>
      <c r="C6481" s="15" t="str">
        <f>IFERROR(__xludf.DUMMYFUNCTION("""COMPUTED_VALUE"""),"NEIVA")</f>
        <v>NEIVA</v>
      </c>
      <c r="D6481" s="15" t="str">
        <f>IFERROR(__xludf.DUMMYFUNCTION("""COMPUTED_VALUE"""),"BOGOTÁ")</f>
        <v>BOGOTÁ</v>
      </c>
      <c r="E6481" s="15" t="str">
        <f>IFERROR(__xludf.DUMMYFUNCTION("""COMPUTED_VALUE"""),"Asociacion Agropecuaria Juana Maria")</f>
        <v>Asociacion Agropecuaria Juana Maria</v>
      </c>
      <c r="F6481" s="17" t="str">
        <f>IFERROR(__xludf.DUMMYFUNCTION("""COMPUTED_VALUE"""),"CARRERA 46 #17-13 CONDOMINIO ALTAVISTA CASA 31")</f>
        <v>CARRERA 46 #17-13 CONDOMINIO ALTAVISTA CASA 31</v>
      </c>
      <c r="G6481" s="15" t="str">
        <f>IFERROR(__xludf.DUMMYFUNCTION("""COMPUTED_VALUE"""),"JENNIFFER FERNANDEZ")</f>
        <v>JENNIFFER FERNANDEZ</v>
      </c>
      <c r="H6481" s="16">
        <f>IFERROR(__xludf.DUMMYFUNCTION("""COMPUTED_VALUE"""),15026.0)</f>
        <v>15026</v>
      </c>
      <c r="I6481" s="18">
        <f>IFERROR(__xludf.DUMMYFUNCTION("""COMPUTED_VALUE"""),16.0)</f>
        <v>16</v>
      </c>
      <c r="J6481" s="18">
        <f>IFERROR(__xludf.DUMMYFUNCTION("""COMPUTED_VALUE"""),34.0)</f>
        <v>34</v>
      </c>
      <c r="K6481" s="18">
        <f>IFERROR(__xludf.DUMMYFUNCTION("""COMPUTED_VALUE"""),25.0)</f>
        <v>25</v>
      </c>
      <c r="L6481" s="17">
        <f>IFERROR(__xludf.DUMMYFUNCTION("""COMPUTED_VALUE"""),3.167942612E9)</f>
        <v>3167942612</v>
      </c>
      <c r="M6481" s="17" t="str">
        <f>IFERROR(__xludf.DUMMYFUNCTION("""COMPUTED_VALUE"""),"#REF!")</f>
        <v>#REF!</v>
      </c>
      <c r="N6481" s="17"/>
      <c r="O6481" s="17"/>
      <c r="P6481" s="17" t="b">
        <f>IFERROR(__xludf.DUMMYFUNCTION("""COMPUTED_VALUE"""),FALSE)</f>
        <v>0</v>
      </c>
      <c r="Q6481" s="20" t="str">
        <f>IFERROR(__xludf.DUMMYFUNCTION("""COMPUTED_VALUE"""),"")</f>
        <v/>
      </c>
      <c r="R6481" s="22" t="str">
        <f>IFERROR(__xludf.DUMMYFUNCTION("""COMPUTED_VALUE"""),"")</f>
        <v/>
      </c>
    </row>
    <row r="6482">
      <c r="A6482" s="15">
        <f>IFERROR(__xludf.DUMMYFUNCTION("""COMPUTED_VALUE"""),45183.0)</f>
        <v>45183</v>
      </c>
      <c r="B6482" s="16" t="str">
        <f>IFERROR(__xludf.DUMMYFUNCTION("""COMPUTED_VALUE"""),"Envia")</f>
        <v>Envia</v>
      </c>
      <c r="C6482" s="15" t="str">
        <f>IFERROR(__xludf.DUMMYFUNCTION("""COMPUTED_VALUE"""),"POPAYAN")</f>
        <v>POPAYAN</v>
      </c>
      <c r="D6482" s="15" t="str">
        <f>IFERROR(__xludf.DUMMYFUNCTION("""COMPUTED_VALUE"""),"BOGOTÁ")</f>
        <v>BOGOTÁ</v>
      </c>
      <c r="E6482" s="15" t="str">
        <f>IFERROR(__xludf.DUMMYFUNCTION("""COMPUTED_VALUE"""),"Lunchy Kids")</f>
        <v>Lunchy Kids</v>
      </c>
      <c r="F6482" s="17" t="str">
        <f>IFERROR(__xludf.DUMMYFUNCTION("""COMPUTED_VALUE"""),"Calle 18 No.46N-189  / Conjunto San Cristobal, Variante norte A7  / Popayan")</f>
        <v>Calle 18 No.46N-189  / Conjunto San Cristobal, Variante norte A7  / Popayan</v>
      </c>
      <c r="G6482" s="15" t="str">
        <f>IFERROR(__xludf.DUMMYFUNCTION("""COMPUTED_VALUE"""),"Lorena Alvear")</f>
        <v>Lorena Alvear</v>
      </c>
      <c r="H6482" s="16">
        <f>IFERROR(__xludf.DUMMYFUNCTION("""COMPUTED_VALUE"""),15194.0)</f>
        <v>15194</v>
      </c>
      <c r="I6482" s="18">
        <f>IFERROR(__xludf.DUMMYFUNCTION("""COMPUTED_VALUE"""),17.0)</f>
        <v>17</v>
      </c>
      <c r="J6482" s="18">
        <f>IFERROR(__xludf.DUMMYFUNCTION("""COMPUTED_VALUE"""),12.0)</f>
        <v>12</v>
      </c>
      <c r="K6482" s="18">
        <f>IFERROR(__xludf.DUMMYFUNCTION("""COMPUTED_VALUE"""),30.0)</f>
        <v>30</v>
      </c>
      <c r="L6482" s="17">
        <f>IFERROR(__xludf.DUMMYFUNCTION("""COMPUTED_VALUE"""),3.137827419E9)</f>
        <v>3137827419</v>
      </c>
      <c r="M6482" s="17" t="str">
        <f>IFERROR(__xludf.DUMMYFUNCTION("""COMPUTED_VALUE"""),"#REF!")</f>
        <v>#REF!</v>
      </c>
      <c r="N6482" s="17"/>
      <c r="O6482" s="17"/>
      <c r="P6482" s="17" t="b">
        <f>IFERROR(__xludf.DUMMYFUNCTION("""COMPUTED_VALUE"""),FALSE)</f>
        <v>0</v>
      </c>
      <c r="Q6482" s="20" t="str">
        <f>IFERROR(__xludf.DUMMYFUNCTION("""COMPUTED_VALUE"""),"")</f>
        <v/>
      </c>
      <c r="R6482" s="22" t="str">
        <f>IFERROR(__xludf.DUMMYFUNCTION("""COMPUTED_VALUE"""),"")</f>
        <v/>
      </c>
    </row>
    <row r="6483">
      <c r="A6483" s="15">
        <f>IFERROR(__xludf.DUMMYFUNCTION("""COMPUTED_VALUE"""),45183.0)</f>
        <v>45183</v>
      </c>
      <c r="B6483" s="16" t="str">
        <f>IFERROR(__xludf.DUMMYFUNCTION("""COMPUTED_VALUE"""),"Envia")</f>
        <v>Envia</v>
      </c>
      <c r="C6483" s="15" t="str">
        <f>IFERROR(__xludf.DUMMYFUNCTION("""COMPUTED_VALUE"""),"SANTA MARTA")</f>
        <v>SANTA MARTA</v>
      </c>
      <c r="D6483" s="15" t="str">
        <f>IFERROR(__xludf.DUMMYFUNCTION("""COMPUTED_VALUE"""),"BOGOTÁ")</f>
        <v>BOGOTÁ</v>
      </c>
      <c r="E6483" s="15" t="str">
        <f>IFERROR(__xludf.DUMMYFUNCTION("""COMPUTED_VALUE"""),"Ins. Alimento Vital")</f>
        <v>Ins. Alimento Vital</v>
      </c>
      <c r="F6483" s="17" t="str">
        <f>IFERROR(__xludf.DUMMYFUNCTION("""COMPUTED_VALUE"""),"CR 2 16 28  / VILLA BELLA CASA 10 / RODADERO")</f>
        <v>CR 2 16 28  / VILLA BELLA CASA 10 / RODADERO</v>
      </c>
      <c r="G6483" s="15" t="str">
        <f>IFERROR(__xludf.DUMMYFUNCTION("""COMPUTED_VALUE"""),"LILIANA DEL CARMEN RODRIGUEZ ACEVEDO")</f>
        <v>LILIANA DEL CARMEN RODRIGUEZ ACEVEDO</v>
      </c>
      <c r="H6483" s="16">
        <f>IFERROR(__xludf.DUMMYFUNCTION("""COMPUTED_VALUE"""),15204.0)</f>
        <v>15204</v>
      </c>
      <c r="I6483" s="18">
        <f>IFERROR(__xludf.DUMMYFUNCTION("""COMPUTED_VALUE"""),1.0)</f>
        <v>1</v>
      </c>
      <c r="J6483" s="18">
        <f>IFERROR(__xludf.DUMMYFUNCTION("""COMPUTED_VALUE"""),1.0)</f>
        <v>1</v>
      </c>
      <c r="K6483" s="18">
        <f>IFERROR(__xludf.DUMMYFUNCTION("""COMPUTED_VALUE"""),1.0)</f>
        <v>1</v>
      </c>
      <c r="L6483" s="17">
        <f>IFERROR(__xludf.DUMMYFUNCTION("""COMPUTED_VALUE"""),3.008165296E9)</f>
        <v>3008165296</v>
      </c>
      <c r="M6483" s="17" t="str">
        <f>IFERROR(__xludf.DUMMYFUNCTION("""COMPUTED_VALUE"""),"#REF!")</f>
        <v>#REF!</v>
      </c>
      <c r="N6483" s="17"/>
      <c r="O6483" s="17"/>
      <c r="P6483" s="17" t="b">
        <f>IFERROR(__xludf.DUMMYFUNCTION("""COMPUTED_VALUE"""),FALSE)</f>
        <v>0</v>
      </c>
      <c r="Q6483" s="20" t="str">
        <f>IFERROR(__xludf.DUMMYFUNCTION("""COMPUTED_VALUE"""),"")</f>
        <v/>
      </c>
      <c r="R6483" s="21" t="str">
        <f>IFERROR(__xludf.DUMMYFUNCTION("""COMPUTED_VALUE"""),"https://drive.google.com/file/d/11RzFjXGDiwk6ko-FYfC9pDTHkn9Ms_Xj/view?usp=drivesdk")</f>
        <v>https://drive.google.com/file/d/11RzFjXGDiwk6ko-FYfC9pDTHkn9Ms_Xj/view?usp=drivesdk</v>
      </c>
    </row>
    <row r="6484">
      <c r="A6484" s="15">
        <f>IFERROR(__xludf.DUMMYFUNCTION("""COMPUTED_VALUE"""),45183.0)</f>
        <v>45183</v>
      </c>
      <c r="B6484" s="16" t="str">
        <f>IFERROR(__xludf.DUMMYFUNCTION("""COMPUTED_VALUE"""),"Envia")</f>
        <v>Envia</v>
      </c>
      <c r="C6484" s="15" t="str">
        <f>IFERROR(__xludf.DUMMYFUNCTION("""COMPUTED_VALUE"""),"VILLAVICENCIO")</f>
        <v>VILLAVICENCIO</v>
      </c>
      <c r="D6484" s="15" t="str">
        <f>IFERROR(__xludf.DUMMYFUNCTION("""COMPUTED_VALUE"""),"BOGOTÁ")</f>
        <v>BOGOTÁ</v>
      </c>
      <c r="E6484" s="15" t="str">
        <f>IFERROR(__xludf.DUMMYFUNCTION("""COMPUTED_VALUE"""),"Asociacion Agropecuaria Juana Maria")</f>
        <v>Asociacion Agropecuaria Juana Maria</v>
      </c>
      <c r="F6484" s="17" t="str">
        <f>IFERROR(__xludf.DUMMYFUNCTION("""COMPUTED_VALUE"""),"CRA 40 # 5A -41 SUR TORRE8 APTO 305")</f>
        <v>CRA 40 # 5A -41 SUR TORRE8 APTO 305</v>
      </c>
      <c r="G6484" s="15" t="str">
        <f>IFERROR(__xludf.DUMMYFUNCTION("""COMPUTED_VALUE"""),"Tatiana Cortes")</f>
        <v>Tatiana Cortes</v>
      </c>
      <c r="H6484" s="16">
        <f>IFERROR(__xludf.DUMMYFUNCTION("""COMPUTED_VALUE"""),15002.0)</f>
        <v>15002</v>
      </c>
      <c r="I6484" s="18">
        <f>IFERROR(__xludf.DUMMYFUNCTION("""COMPUTED_VALUE"""),21.0)</f>
        <v>21</v>
      </c>
      <c r="J6484" s="18">
        <f>IFERROR(__xludf.DUMMYFUNCTION("""COMPUTED_VALUE"""),37.0)</f>
        <v>37</v>
      </c>
      <c r="K6484" s="18">
        <f>IFERROR(__xludf.DUMMYFUNCTION("""COMPUTED_VALUE"""),30.0)</f>
        <v>30</v>
      </c>
      <c r="L6484" s="17">
        <f>IFERROR(__xludf.DUMMYFUNCTION("""COMPUTED_VALUE"""),3.006485514E9)</f>
        <v>3006485514</v>
      </c>
      <c r="M6484" s="17" t="str">
        <f>IFERROR(__xludf.DUMMYFUNCTION("""COMPUTED_VALUE"""),"#REF!")</f>
        <v>#REF!</v>
      </c>
      <c r="N6484" s="17"/>
      <c r="O6484" s="17"/>
      <c r="P6484" s="17" t="b">
        <f>IFERROR(__xludf.DUMMYFUNCTION("""COMPUTED_VALUE"""),TRUE)</f>
        <v>1</v>
      </c>
      <c r="Q6484" s="20">
        <f>IFERROR(__xludf.DUMMYFUNCTION("""COMPUTED_VALUE"""),45187.30004427083)</f>
        <v>45187.30004</v>
      </c>
      <c r="R6484" s="21" t="str">
        <f>IFERROR(__xludf.DUMMYFUNCTION("""COMPUTED_VALUE"""),"https://drive.google.com/file/d/1bhFKrWRXRV6GrGyL3Vom81_KZ5TvzZlm/view?usp=drivesdk")</f>
        <v>https://drive.google.com/file/d/1bhFKrWRXRV6GrGyL3Vom81_KZ5TvzZlm/view?usp=drivesdk</v>
      </c>
    </row>
    <row r="6485">
      <c r="A6485" s="17" t="str">
        <f>IFERROR(__xludf.DUMMYFUNCTION("""COMPUTED_VALUE"""),"")</f>
        <v/>
      </c>
      <c r="B6485" s="17" t="str">
        <f>IFERROR(__xludf.DUMMYFUNCTION("""COMPUTED_VALUE"""),"")</f>
        <v/>
      </c>
      <c r="C6485" s="17" t="str">
        <f>IFERROR(__xludf.DUMMYFUNCTION("""COMPUTED_VALUE"""),"")</f>
        <v/>
      </c>
      <c r="D6485" s="17" t="str">
        <f>IFERROR(__xludf.DUMMYFUNCTION("""COMPUTED_VALUE"""),"")</f>
        <v/>
      </c>
      <c r="E6485" s="17" t="str">
        <f>IFERROR(__xludf.DUMMYFUNCTION("""COMPUTED_VALUE"""),"")</f>
        <v/>
      </c>
      <c r="F6485" s="17" t="str">
        <f>IFERROR(__xludf.DUMMYFUNCTION("""COMPUTED_VALUE"""),"")</f>
        <v/>
      </c>
      <c r="G6485" s="17" t="str">
        <f>IFERROR(__xludf.DUMMYFUNCTION("""COMPUTED_VALUE"""),"")</f>
        <v/>
      </c>
      <c r="H6485" s="17" t="str">
        <f>IFERROR(__xludf.DUMMYFUNCTION("""COMPUTED_VALUE"""),"")</f>
        <v/>
      </c>
      <c r="I6485" s="17" t="str">
        <f>IFERROR(__xludf.DUMMYFUNCTION("""COMPUTED_VALUE"""),"")</f>
        <v/>
      </c>
      <c r="J6485" s="17" t="str">
        <f>IFERROR(__xludf.DUMMYFUNCTION("""COMPUTED_VALUE"""),"")</f>
        <v/>
      </c>
      <c r="K6485" s="17" t="str">
        <f>IFERROR(__xludf.DUMMYFUNCTION("""COMPUTED_VALUE"""),"")</f>
        <v/>
      </c>
      <c r="L6485" s="17" t="str">
        <f>IFERROR(__xludf.DUMMYFUNCTION("""COMPUTED_VALUE"""),"")</f>
        <v/>
      </c>
      <c r="M6485" s="17" t="str">
        <f>IFERROR(__xludf.DUMMYFUNCTION("""COMPUTED_VALUE"""),"")</f>
        <v/>
      </c>
      <c r="N6485" s="17" t="str">
        <f>IFERROR(__xludf.DUMMYFUNCTION("""COMPUTED_VALUE"""),"")</f>
        <v/>
      </c>
      <c r="O6485" s="17" t="str">
        <f>IFERROR(__xludf.DUMMYFUNCTION("""COMPUTED_VALUE"""),"")</f>
        <v/>
      </c>
      <c r="P6485" s="17" t="str">
        <f>IFERROR(__xludf.DUMMYFUNCTION("""COMPUTED_VALUE"""),"")</f>
        <v/>
      </c>
      <c r="Q6485" s="17" t="str">
        <f>IFERROR(__xludf.DUMMYFUNCTION("""COMPUTED_VALUE"""),"")</f>
        <v/>
      </c>
      <c r="R6485" s="17" t="str">
        <f>IFERROR(__xludf.DUMMYFUNCTION("""COMPUTED_VALUE"""),"")</f>
        <v/>
      </c>
    </row>
    <row r="6486">
      <c r="A6486" s="15">
        <f>IFERROR(__xludf.DUMMYFUNCTION("""COMPUTED_VALUE"""),45183.0)</f>
        <v>45183</v>
      </c>
      <c r="B6486" s="16" t="str">
        <f>IFERROR(__xludf.DUMMYFUNCTION("""COMPUTED_VALUE"""),"Jeison Rubiano")</f>
        <v>Jeison Rubiano</v>
      </c>
      <c r="C6486" s="15" t="str">
        <f>IFERROR(__xludf.DUMMYFUNCTION("""COMPUTED_VALUE"""),"POPAYAN")</f>
        <v>POPAYAN</v>
      </c>
      <c r="D6486" s="15" t="str">
        <f>IFERROR(__xludf.DUMMYFUNCTION("""COMPUTED_VALUE"""),"BOGOTÁ")</f>
        <v>BOGOTÁ</v>
      </c>
      <c r="E6486" s="15" t="str">
        <f>IFERROR(__xludf.DUMMYFUNCTION("""COMPUTED_VALUE"""),"Evamazzita")</f>
        <v>Evamazzita</v>
      </c>
      <c r="F6486" s="17" t="str">
        <f>IFERROR(__xludf.DUMMYFUNCTION("""COMPUTED_VALUE"""),"CRA 6 # 27N - 58 / LOCAL 1 BARRIO LOS HOYOS - VIVEA MERCADO SALUDABLE")</f>
        <v>CRA 6 # 27N - 58 / LOCAL 1 BARRIO LOS HOYOS - VIVEA MERCADO SALUDABLE</v>
      </c>
      <c r="G6486" s="15" t="str">
        <f>IFERROR(__xludf.DUMMYFUNCTION("""COMPUTED_VALUE"""),"VIVIANA ANDREA CHAMORRO YANZA")</f>
        <v>VIVIANA ANDREA CHAMORRO YANZA</v>
      </c>
      <c r="H6486" s="16">
        <f>IFERROR(__xludf.DUMMYFUNCTION("""COMPUTED_VALUE"""),15223.0)</f>
        <v>15223</v>
      </c>
      <c r="I6486" s="18">
        <f>IFERROR(__xludf.DUMMYFUNCTION("""COMPUTED_VALUE"""),1.0)</f>
        <v>1</v>
      </c>
      <c r="J6486" s="18">
        <f>IFERROR(__xludf.DUMMYFUNCTION("""COMPUTED_VALUE"""),1.0)</f>
        <v>1</v>
      </c>
      <c r="K6486" s="18">
        <f>IFERROR(__xludf.DUMMYFUNCTION("""COMPUTED_VALUE"""),1.0)</f>
        <v>1</v>
      </c>
      <c r="L6486" s="17">
        <f>IFERROR(__xludf.DUMMYFUNCTION("""COMPUTED_VALUE"""),3.122971002E9)</f>
        <v>3122971002</v>
      </c>
      <c r="M6486" s="17" t="str">
        <f>IFERROR(__xludf.DUMMYFUNCTION("""COMPUTED_VALUE"""),"#REF!")</f>
        <v>#REF!</v>
      </c>
      <c r="N6486" s="17"/>
      <c r="O6486" s="17"/>
      <c r="P6486" s="17" t="b">
        <f>IFERROR(__xludf.DUMMYFUNCTION("""COMPUTED_VALUE"""),FALSE)</f>
        <v>0</v>
      </c>
      <c r="Q6486" s="20" t="str">
        <f>IFERROR(__xludf.DUMMYFUNCTION("""COMPUTED_VALUE"""),"")</f>
        <v/>
      </c>
      <c r="R6486" s="22" t="str">
        <f>IFERROR(__xludf.DUMMYFUNCTION("""COMPUTED_VALUE"""),"")</f>
        <v/>
      </c>
    </row>
    <row r="6487">
      <c r="A6487" s="17" t="str">
        <f>IFERROR(__xludf.DUMMYFUNCTION("""COMPUTED_VALUE"""),"")</f>
        <v/>
      </c>
      <c r="B6487" s="17" t="str">
        <f>IFERROR(__xludf.DUMMYFUNCTION("""COMPUTED_VALUE"""),"")</f>
        <v/>
      </c>
      <c r="C6487" s="17" t="str">
        <f>IFERROR(__xludf.DUMMYFUNCTION("""COMPUTED_VALUE"""),"")</f>
        <v/>
      </c>
      <c r="D6487" s="17" t="str">
        <f>IFERROR(__xludf.DUMMYFUNCTION("""COMPUTED_VALUE"""),"")</f>
        <v/>
      </c>
      <c r="E6487" s="17" t="str">
        <f>IFERROR(__xludf.DUMMYFUNCTION("""COMPUTED_VALUE"""),"")</f>
        <v/>
      </c>
      <c r="F6487" s="17" t="str">
        <f>IFERROR(__xludf.DUMMYFUNCTION("""COMPUTED_VALUE"""),"")</f>
        <v/>
      </c>
      <c r="G6487" s="17" t="str">
        <f>IFERROR(__xludf.DUMMYFUNCTION("""COMPUTED_VALUE"""),"")</f>
        <v/>
      </c>
      <c r="H6487" s="17" t="str">
        <f>IFERROR(__xludf.DUMMYFUNCTION("""COMPUTED_VALUE"""),"")</f>
        <v/>
      </c>
      <c r="I6487" s="17" t="str">
        <f>IFERROR(__xludf.DUMMYFUNCTION("""COMPUTED_VALUE"""),"")</f>
        <v/>
      </c>
      <c r="J6487" s="17" t="str">
        <f>IFERROR(__xludf.DUMMYFUNCTION("""COMPUTED_VALUE"""),"")</f>
        <v/>
      </c>
      <c r="K6487" s="17" t="str">
        <f>IFERROR(__xludf.DUMMYFUNCTION("""COMPUTED_VALUE"""),"")</f>
        <v/>
      </c>
      <c r="L6487" s="17" t="str">
        <f>IFERROR(__xludf.DUMMYFUNCTION("""COMPUTED_VALUE"""),"")</f>
        <v/>
      </c>
      <c r="M6487" s="17" t="str">
        <f>IFERROR(__xludf.DUMMYFUNCTION("""COMPUTED_VALUE"""),"")</f>
        <v/>
      </c>
      <c r="N6487" s="17" t="str">
        <f>IFERROR(__xludf.DUMMYFUNCTION("""COMPUTED_VALUE"""),"")</f>
        <v/>
      </c>
      <c r="O6487" s="17" t="str">
        <f>IFERROR(__xludf.DUMMYFUNCTION("""COMPUTED_VALUE"""),"")</f>
        <v/>
      </c>
      <c r="P6487" s="17" t="str">
        <f>IFERROR(__xludf.DUMMYFUNCTION("""COMPUTED_VALUE"""),"")</f>
        <v/>
      </c>
      <c r="Q6487" s="17" t="str">
        <f>IFERROR(__xludf.DUMMYFUNCTION("""COMPUTED_VALUE"""),"")</f>
        <v/>
      </c>
      <c r="R6487" s="17" t="str">
        <f>IFERROR(__xludf.DUMMYFUNCTION("""COMPUTED_VALUE"""),"")</f>
        <v/>
      </c>
    </row>
    <row r="6488">
      <c r="A6488" s="15">
        <f>IFERROR(__xludf.DUMMYFUNCTION("""COMPUTED_VALUE"""),45183.0)</f>
        <v>45183</v>
      </c>
      <c r="B6488" s="16" t="str">
        <f>IFERROR(__xludf.DUMMYFUNCTION("""COMPUTED_VALUE"""),"Julian Calderon Rodriguez ")</f>
        <v>Julian Calderon Rodriguez </v>
      </c>
      <c r="C6488" s="15" t="str">
        <f>IFERROR(__xludf.DUMMYFUNCTION("""COMPUTED_VALUE"""),"ACACIAS")</f>
        <v>ACACIAS</v>
      </c>
      <c r="D6488" s="15" t="str">
        <f>IFERROR(__xludf.DUMMYFUNCTION("""COMPUTED_VALUE"""),"BOGOTÁ")</f>
        <v>BOGOTÁ</v>
      </c>
      <c r="E6488" s="15" t="str">
        <f>IFERROR(__xludf.DUMMYFUNCTION("""COMPUTED_VALUE"""),"Top Spun")</f>
        <v>Top Spun</v>
      </c>
      <c r="F6488" s="17" t="str">
        <f>IFERROR(__xludf.DUMMYFUNCTION("""COMPUTED_VALUE"""),"Calle 23 # 20-33/(27)  / Casa / Acacias")</f>
        <v>Calle 23 # 20-33/(27)  / Casa / Acacias</v>
      </c>
      <c r="G6488" s="15" t="str">
        <f>IFERROR(__xludf.DUMMYFUNCTION("""COMPUTED_VALUE"""),"Maria Fernanda Moreno Rey")</f>
        <v>Maria Fernanda Moreno Rey</v>
      </c>
      <c r="H6488" s="16">
        <f>IFERROR(__xludf.DUMMYFUNCTION("""COMPUTED_VALUE"""),15171.0)</f>
        <v>15171</v>
      </c>
      <c r="I6488" s="18">
        <f>IFERROR(__xludf.DUMMYFUNCTION("""COMPUTED_VALUE"""),20.0)</f>
        <v>20</v>
      </c>
      <c r="J6488" s="18">
        <f>IFERROR(__xludf.DUMMYFUNCTION("""COMPUTED_VALUE"""),10.0)</f>
        <v>10</v>
      </c>
      <c r="K6488" s="18">
        <f>IFERROR(__xludf.DUMMYFUNCTION("""COMPUTED_VALUE"""),40.0)</f>
        <v>40</v>
      </c>
      <c r="L6488" s="17">
        <f>IFERROR(__xludf.DUMMYFUNCTION("""COMPUTED_VALUE"""),3.114554904E9)</f>
        <v>3114554904</v>
      </c>
      <c r="M6488" s="17" t="str">
        <f>IFERROR(__xludf.DUMMYFUNCTION("""COMPUTED_VALUE"""),"#REF!")</f>
        <v>#REF!</v>
      </c>
      <c r="N6488" s="17"/>
      <c r="O6488" s="17"/>
      <c r="P6488" s="17" t="b">
        <f>IFERROR(__xludf.DUMMYFUNCTION("""COMPUTED_VALUE"""),TRUE)</f>
        <v>1</v>
      </c>
      <c r="Q6488" s="20">
        <f>IFERROR(__xludf.DUMMYFUNCTION("""COMPUTED_VALUE"""),45187.30004427083)</f>
        <v>45187.30004</v>
      </c>
      <c r="R6488" s="21" t="str">
        <f>IFERROR(__xludf.DUMMYFUNCTION("""COMPUTED_VALUE"""),"https://drive.google.com/file/d/15a8oIW3HP7cb8rknMws4C9kLlVhIaVnu/view?usp=drivesdk")</f>
        <v>https://drive.google.com/file/d/15a8oIW3HP7cb8rknMws4C9kLlVhIaVnu/view?usp=drivesdk</v>
      </c>
    </row>
    <row r="6489">
      <c r="A6489" s="15">
        <f>IFERROR(__xludf.DUMMYFUNCTION("""COMPUTED_VALUE"""),45183.0)</f>
        <v>45183</v>
      </c>
      <c r="B6489" s="16" t="str">
        <f>IFERROR(__xludf.DUMMYFUNCTION("""COMPUTED_VALUE"""),"Julian Calderon Rodriguez ")</f>
        <v>Julian Calderon Rodriguez </v>
      </c>
      <c r="C6489" s="15" t="str">
        <f>IFERROR(__xludf.DUMMYFUNCTION("""COMPUTED_VALUE"""),"ACACIAS")</f>
        <v>ACACIAS</v>
      </c>
      <c r="D6489" s="15" t="str">
        <f>IFERROR(__xludf.DUMMYFUNCTION("""COMPUTED_VALUE"""),"BOGOTÁ")</f>
        <v>BOGOTÁ</v>
      </c>
      <c r="E6489" s="15" t="str">
        <f>IFERROR(__xludf.DUMMYFUNCTION("""COMPUTED_VALUE"""),"Top Spun")</f>
        <v>Top Spun</v>
      </c>
      <c r="F6489" s="17" t="str">
        <f>IFERROR(__xludf.DUMMYFUNCTION("""COMPUTED_VALUE"""),"Calle 23 # 20-33/(27)  / Casa / Acacias Meta")</f>
        <v>Calle 23 # 20-33/(27)  / Casa / Acacias Meta</v>
      </c>
      <c r="G6489" s="15" t="str">
        <f>IFERROR(__xludf.DUMMYFUNCTION("""COMPUTED_VALUE"""),"Maria Fernanda Moreno Rey")</f>
        <v>Maria Fernanda Moreno Rey</v>
      </c>
      <c r="H6489" s="16">
        <f>IFERROR(__xludf.DUMMYFUNCTION("""COMPUTED_VALUE"""),14962.0)</f>
        <v>14962</v>
      </c>
      <c r="I6489" s="18">
        <f>IFERROR(__xludf.DUMMYFUNCTION("""COMPUTED_VALUE"""),20.0)</f>
        <v>20</v>
      </c>
      <c r="J6489" s="18">
        <f>IFERROR(__xludf.DUMMYFUNCTION("""COMPUTED_VALUE"""),10.0)</f>
        <v>10</v>
      </c>
      <c r="K6489" s="18">
        <f>IFERROR(__xludf.DUMMYFUNCTION("""COMPUTED_VALUE"""),40.0)</f>
        <v>40</v>
      </c>
      <c r="L6489" s="17">
        <f>IFERROR(__xludf.DUMMYFUNCTION("""COMPUTED_VALUE"""),3.114554904E9)</f>
        <v>3114554904</v>
      </c>
      <c r="M6489" s="17" t="str">
        <f>IFERROR(__xludf.DUMMYFUNCTION("""COMPUTED_VALUE"""),"#REF!")</f>
        <v>#REF!</v>
      </c>
      <c r="N6489" s="17"/>
      <c r="O6489" s="17"/>
      <c r="P6489" s="17" t="b">
        <f>IFERROR(__xludf.DUMMYFUNCTION("""COMPUTED_VALUE"""),TRUE)</f>
        <v>1</v>
      </c>
      <c r="Q6489" s="20">
        <f>IFERROR(__xludf.DUMMYFUNCTION("""COMPUTED_VALUE"""),45187.30004427083)</f>
        <v>45187.30004</v>
      </c>
      <c r="R6489" s="22" t="str">
        <f>IFERROR(__xludf.DUMMYFUNCTION("""COMPUTED_VALUE"""),"")</f>
        <v/>
      </c>
    </row>
    <row r="6490">
      <c r="A6490" s="15">
        <f>IFERROR(__xludf.DUMMYFUNCTION("""COMPUTED_VALUE"""),45183.0)</f>
        <v>45183</v>
      </c>
      <c r="B6490" s="16" t="str">
        <f>IFERROR(__xludf.DUMMYFUNCTION("""COMPUTED_VALUE"""),"Julian Calderon Rodriguez ")</f>
        <v>Julian Calderon Rodriguez </v>
      </c>
      <c r="C6490" s="15" t="str">
        <f>IFERROR(__xludf.DUMMYFUNCTION("""COMPUTED_VALUE"""),"SANTA MARTA")</f>
        <v>SANTA MARTA</v>
      </c>
      <c r="D6490" s="15" t="str">
        <f>IFERROR(__xludf.DUMMYFUNCTION("""COMPUTED_VALUE"""),"BUCARAMANGA")</f>
        <v>BUCARAMANGA</v>
      </c>
      <c r="E6490" s="15" t="str">
        <f>IFERROR(__xludf.DUMMYFUNCTION("""COMPUTED_VALUE"""),"Yo Como Solito")</f>
        <v>Yo Como Solito</v>
      </c>
      <c r="F6490" s="17" t="str">
        <f>IFERROR(__xludf.DUMMYFUNCTION("""COMPUTED_VALUE"""),"CALLE 22 # 17-10 APTO 202 BARRIO: ALCÁZARES (AL LADO DE ENVIA) / CALLE 22 # 17-10 APTO 202 BARRIO: ALCÁZARES (AL LADO DE ENVIA) / CALLE 22 # 17-10 APTO 202 BARRIO: ALCÁZARES (AL LADO DE ENVIA)")</f>
        <v>CALLE 22 # 17-10 APTO 202 BARRIO: ALCÁZARES (AL LADO DE ENVIA) / CALLE 22 # 17-10 APTO 202 BARRIO: ALCÁZARES (AL LADO DE ENVIA) / CALLE 22 # 17-10 APTO 202 BARRIO: ALCÁZARES (AL LADO DE ENVIA)</v>
      </c>
      <c r="G6490" s="15" t="str">
        <f>IFERROR(__xludf.DUMMYFUNCTION("""COMPUTED_VALUE"""),"MARÍA ANGÉLICA RINCÓN DÍAZ")</f>
        <v>MARÍA ANGÉLICA RINCÓN DÍAZ</v>
      </c>
      <c r="H6490" s="16">
        <f>IFERROR(__xludf.DUMMYFUNCTION("""COMPUTED_VALUE"""),14846.0)</f>
        <v>14846</v>
      </c>
      <c r="I6490" s="18">
        <f>IFERROR(__xludf.DUMMYFUNCTION("""COMPUTED_VALUE"""),12.0)</f>
        <v>12</v>
      </c>
      <c r="J6490" s="18">
        <f>IFERROR(__xludf.DUMMYFUNCTION("""COMPUTED_VALUE"""),28.0)</f>
        <v>28</v>
      </c>
      <c r="K6490" s="18">
        <f>IFERROR(__xludf.DUMMYFUNCTION("""COMPUTED_VALUE"""),42.0)</f>
        <v>42</v>
      </c>
      <c r="L6490" s="17">
        <f>IFERROR(__xludf.DUMMYFUNCTION("""COMPUTED_VALUE"""),3.002700385E9)</f>
        <v>3002700385</v>
      </c>
      <c r="M6490" s="17" t="str">
        <f>IFERROR(__xludf.DUMMYFUNCTION("""COMPUTED_VALUE"""),"#REF!")</f>
        <v>#REF!</v>
      </c>
      <c r="N6490" s="17"/>
      <c r="O6490" s="17"/>
      <c r="P6490" s="17" t="b">
        <f>IFERROR(__xludf.DUMMYFUNCTION("""COMPUTED_VALUE"""),FALSE)</f>
        <v>0</v>
      </c>
      <c r="Q6490" s="20" t="str">
        <f>IFERROR(__xludf.DUMMYFUNCTION("""COMPUTED_VALUE"""),"")</f>
        <v/>
      </c>
      <c r="R6490" s="21" t="str">
        <f>IFERROR(__xludf.DUMMYFUNCTION("""COMPUTED_VALUE"""),"https://drive.google.com/file/d/109eWClIp3v7TcjPNi5xv1QXWFTxIhhSP/view?usp=drivesdk")</f>
        <v>https://drive.google.com/file/d/109eWClIp3v7TcjPNi5xv1QXWFTxIhhSP/view?usp=drivesdk</v>
      </c>
    </row>
    <row r="6491">
      <c r="A6491" s="15">
        <f>IFERROR(__xludf.DUMMYFUNCTION("""COMPUTED_VALUE"""),45183.0)</f>
        <v>45183</v>
      </c>
      <c r="B6491" s="16" t="str">
        <f>IFERROR(__xludf.DUMMYFUNCTION("""COMPUTED_VALUE"""),"Julian Calderon Rodriguez ")</f>
        <v>Julian Calderon Rodriguez </v>
      </c>
      <c r="C6491" s="15" t="str">
        <f>IFERROR(__xludf.DUMMYFUNCTION("""COMPUTED_VALUE"""),"SANTA MARTA")</f>
        <v>SANTA MARTA</v>
      </c>
      <c r="D6491" s="15" t="str">
        <f>IFERROR(__xludf.DUMMYFUNCTION("""COMPUTED_VALUE"""),"BUCARAMANGA")</f>
        <v>BUCARAMANGA</v>
      </c>
      <c r="E6491" s="15" t="str">
        <f>IFERROR(__xludf.DUMMYFUNCTION("""COMPUTED_VALUE"""),"Yo Como Solito")</f>
        <v>Yo Como Solito</v>
      </c>
      <c r="F6491" s="17" t="str">
        <f>IFERROR(__xludf.DUMMYFUNCTION("""COMPUTED_VALUE"""),"CARRERA 19 # 24-16 APARTAMENTO 13-04  / CARRERA 19 # 24-16 APARTAMENTO 13-04 / CARRERA 19 # 24-16 APARTAMENTO 13-04")</f>
        <v>CARRERA 19 # 24-16 APARTAMENTO 13-04  / CARRERA 19 # 24-16 APARTAMENTO 13-04 / CARRERA 19 # 24-16 APARTAMENTO 13-04</v>
      </c>
      <c r="G6491" s="15" t="str">
        <f>IFERROR(__xludf.DUMMYFUNCTION("""COMPUTED_VALUE"""),"STEPHANIA GARCIA MIER")</f>
        <v>STEPHANIA GARCIA MIER</v>
      </c>
      <c r="H6491" s="16">
        <f>IFERROR(__xludf.DUMMYFUNCTION("""COMPUTED_VALUE"""),14953.0)</f>
        <v>14953</v>
      </c>
      <c r="I6491" s="18">
        <f>IFERROR(__xludf.DUMMYFUNCTION("""COMPUTED_VALUE"""),13.0)</f>
        <v>13</v>
      </c>
      <c r="J6491" s="18">
        <f>IFERROR(__xludf.DUMMYFUNCTION("""COMPUTED_VALUE"""),22.0)</f>
        <v>22</v>
      </c>
      <c r="K6491" s="18">
        <f>IFERROR(__xludf.DUMMYFUNCTION("""COMPUTED_VALUE"""),26.0)</f>
        <v>26</v>
      </c>
      <c r="L6491" s="17">
        <f>IFERROR(__xludf.DUMMYFUNCTION("""COMPUTED_VALUE"""),3.002695985E9)</f>
        <v>3002695985</v>
      </c>
      <c r="M6491" s="17" t="str">
        <f>IFERROR(__xludf.DUMMYFUNCTION("""COMPUTED_VALUE"""),"#REF!")</f>
        <v>#REF!</v>
      </c>
      <c r="N6491" s="17"/>
      <c r="O6491" s="17"/>
      <c r="P6491" s="17" t="b">
        <f>IFERROR(__xludf.DUMMYFUNCTION("""COMPUTED_VALUE"""),FALSE)</f>
        <v>0</v>
      </c>
      <c r="Q6491" s="20" t="str">
        <f>IFERROR(__xludf.DUMMYFUNCTION("""COMPUTED_VALUE"""),"")</f>
        <v/>
      </c>
      <c r="R6491" s="21" t="str">
        <f>IFERROR(__xludf.DUMMYFUNCTION("""COMPUTED_VALUE"""),"https://drive.google.com/file/d/1qywnaQEzWBBJEwQ5S2WkwN8Gl1eklpPG/view?usp=drivesdk")</f>
        <v>https://drive.google.com/file/d/1qywnaQEzWBBJEwQ5S2WkwN8Gl1eklpPG/view?usp=drivesdk</v>
      </c>
    </row>
    <row r="6492">
      <c r="A6492" s="17" t="str">
        <f>IFERROR(__xludf.DUMMYFUNCTION("""COMPUTED_VALUE"""),"")</f>
        <v/>
      </c>
      <c r="B6492" s="17" t="str">
        <f>IFERROR(__xludf.DUMMYFUNCTION("""COMPUTED_VALUE"""),"")</f>
        <v/>
      </c>
      <c r="C6492" s="17" t="str">
        <f>IFERROR(__xludf.DUMMYFUNCTION("""COMPUTED_VALUE"""),"")</f>
        <v/>
      </c>
      <c r="D6492" s="17" t="str">
        <f>IFERROR(__xludf.DUMMYFUNCTION("""COMPUTED_VALUE"""),"")</f>
        <v/>
      </c>
      <c r="E6492" s="17" t="str">
        <f>IFERROR(__xludf.DUMMYFUNCTION("""COMPUTED_VALUE"""),"")</f>
        <v/>
      </c>
      <c r="F6492" s="17" t="str">
        <f>IFERROR(__xludf.DUMMYFUNCTION("""COMPUTED_VALUE"""),"")</f>
        <v/>
      </c>
      <c r="G6492" s="17" t="str">
        <f>IFERROR(__xludf.DUMMYFUNCTION("""COMPUTED_VALUE"""),"")</f>
        <v/>
      </c>
      <c r="H6492" s="17" t="str">
        <f>IFERROR(__xludf.DUMMYFUNCTION("""COMPUTED_VALUE"""),"")</f>
        <v/>
      </c>
      <c r="I6492" s="17" t="str">
        <f>IFERROR(__xludf.DUMMYFUNCTION("""COMPUTED_VALUE"""),"")</f>
        <v/>
      </c>
      <c r="J6492" s="17" t="str">
        <f>IFERROR(__xludf.DUMMYFUNCTION("""COMPUTED_VALUE"""),"")</f>
        <v/>
      </c>
      <c r="K6492" s="17" t="str">
        <f>IFERROR(__xludf.DUMMYFUNCTION("""COMPUTED_VALUE"""),"")</f>
        <v/>
      </c>
      <c r="L6492" s="17" t="str">
        <f>IFERROR(__xludf.DUMMYFUNCTION("""COMPUTED_VALUE"""),"")</f>
        <v/>
      </c>
      <c r="M6492" s="17" t="str">
        <f>IFERROR(__xludf.DUMMYFUNCTION("""COMPUTED_VALUE"""),"")</f>
        <v/>
      </c>
      <c r="N6492" s="17" t="str">
        <f>IFERROR(__xludf.DUMMYFUNCTION("""COMPUTED_VALUE"""),"")</f>
        <v/>
      </c>
      <c r="O6492" s="17" t="str">
        <f>IFERROR(__xludf.DUMMYFUNCTION("""COMPUTED_VALUE"""),"")</f>
        <v/>
      </c>
      <c r="P6492" s="17" t="str">
        <f>IFERROR(__xludf.DUMMYFUNCTION("""COMPUTED_VALUE"""),"")</f>
        <v/>
      </c>
      <c r="Q6492" s="17" t="str">
        <f>IFERROR(__xludf.DUMMYFUNCTION("""COMPUTED_VALUE"""),"")</f>
        <v/>
      </c>
      <c r="R6492" s="17" t="str">
        <f>IFERROR(__xludf.DUMMYFUNCTION("""COMPUTED_VALUE"""),"")</f>
        <v/>
      </c>
    </row>
    <row r="6493">
      <c r="A6493" s="15">
        <f>IFERROR(__xludf.DUMMYFUNCTION("""COMPUTED_VALUE"""),45183.0)</f>
        <v>45183</v>
      </c>
      <c r="B6493" s="16" t="str">
        <f>IFERROR(__xludf.DUMMYFUNCTION("""COMPUTED_VALUE"""),"Orlando Urdaneta Rincon ")</f>
        <v>Orlando Urdaneta Rincon </v>
      </c>
      <c r="C6493" s="15" t="str">
        <f>IFERROR(__xludf.DUMMYFUNCTION("""COMPUTED_VALUE"""),"NEIVA")</f>
        <v>NEIVA</v>
      </c>
      <c r="D6493" s="15" t="str">
        <f>IFERROR(__xludf.DUMMYFUNCTION("""COMPUTED_VALUE"""),"BOGOTÁ")</f>
        <v>BOGOTÁ</v>
      </c>
      <c r="E6493" s="15" t="str">
        <f>IFERROR(__xludf.DUMMYFUNCTION("""COMPUTED_VALUE"""),"Smile Chocolatera")</f>
        <v>Smile Chocolatera</v>
      </c>
      <c r="F6493" s="17" t="str">
        <f>IFERROR(__xludf.DUMMYFUNCTION("""COMPUTED_VALUE"""),"Carrera 13 #5-84 / Casa / Centro")</f>
        <v>Carrera 13 #5-84 / Casa / Centro</v>
      </c>
      <c r="G6493" s="15" t="str">
        <f>IFERROR(__xludf.DUMMYFUNCTION("""COMPUTED_VALUE"""),"Martha Lucía Gutiérrez")</f>
        <v>Martha Lucía Gutiérrez</v>
      </c>
      <c r="H6493" s="16">
        <f>IFERROR(__xludf.DUMMYFUNCTION("""COMPUTED_VALUE"""),15196.0)</f>
        <v>15196</v>
      </c>
      <c r="I6493" s="18">
        <f>IFERROR(__xludf.DUMMYFUNCTION("""COMPUTED_VALUE"""),8.0)</f>
        <v>8</v>
      </c>
      <c r="J6493" s="18">
        <f>IFERROR(__xludf.DUMMYFUNCTION("""COMPUTED_VALUE"""),30.0)</f>
        <v>30</v>
      </c>
      <c r="K6493" s="18">
        <f>IFERROR(__xludf.DUMMYFUNCTION("""COMPUTED_VALUE"""),24.0)</f>
        <v>24</v>
      </c>
      <c r="L6493" s="17">
        <f>IFERROR(__xludf.DUMMYFUNCTION("""COMPUTED_VALUE"""),3.106955306E9)</f>
        <v>3106955306</v>
      </c>
      <c r="M6493" s="17" t="str">
        <f>IFERROR(__xludf.DUMMYFUNCTION("""COMPUTED_VALUE"""),"#REF!")</f>
        <v>#REF!</v>
      </c>
      <c r="N6493" s="17"/>
      <c r="O6493" s="17"/>
      <c r="P6493" s="17" t="b">
        <f>IFERROR(__xludf.DUMMYFUNCTION("""COMPUTED_VALUE"""),FALSE)</f>
        <v>0</v>
      </c>
      <c r="Q6493" s="20" t="str">
        <f>IFERROR(__xludf.DUMMYFUNCTION("""COMPUTED_VALUE"""),"")</f>
        <v/>
      </c>
      <c r="R6493" s="22" t="str">
        <f>IFERROR(__xludf.DUMMYFUNCTION("""COMPUTED_VALUE"""),"")</f>
        <v/>
      </c>
    </row>
    <row r="6494">
      <c r="A6494" s="15">
        <f>IFERROR(__xludf.DUMMYFUNCTION("""COMPUTED_VALUE"""),45183.0)</f>
        <v>45183</v>
      </c>
      <c r="B6494" s="16" t="str">
        <f>IFERROR(__xludf.DUMMYFUNCTION("""COMPUTED_VALUE"""),"Orlando Urdaneta Rincon ")</f>
        <v>Orlando Urdaneta Rincon </v>
      </c>
      <c r="C6494" s="15" t="str">
        <f>IFERROR(__xludf.DUMMYFUNCTION("""COMPUTED_VALUE"""),"NEIVA")</f>
        <v>NEIVA</v>
      </c>
      <c r="D6494" s="15" t="str">
        <f>IFERROR(__xludf.DUMMYFUNCTION("""COMPUTED_VALUE"""),"BOGOTÁ")</f>
        <v>BOGOTÁ</v>
      </c>
      <c r="E6494" s="15" t="str">
        <f>IFERROR(__xludf.DUMMYFUNCTION("""COMPUTED_VALUE"""),"Viiva Fermentados")</f>
        <v>Viiva Fermentados</v>
      </c>
      <c r="F6494" s="17" t="str">
        <f>IFERROR(__xludf.DUMMYFUNCTION("""COMPUTED_VALUE"""),"Calle 8 No. 30-121  / tienda ecovida / Las Brisas")</f>
        <v>Calle 8 No. 30-121  / tienda ecovida / Las Brisas</v>
      </c>
      <c r="G6494" s="15" t="str">
        <f>IFERROR(__xludf.DUMMYFUNCTION("""COMPUTED_VALUE"""),"Nury Dianey Vargas Bonilla")</f>
        <v>Nury Dianey Vargas Bonilla</v>
      </c>
      <c r="H6494" s="16">
        <f>IFERROR(__xludf.DUMMYFUNCTION("""COMPUTED_VALUE"""),15156.0)</f>
        <v>15156</v>
      </c>
      <c r="I6494" s="18">
        <f>IFERROR(__xludf.DUMMYFUNCTION("""COMPUTED_VALUE"""),21.0)</f>
        <v>21</v>
      </c>
      <c r="J6494" s="18">
        <f>IFERROR(__xludf.DUMMYFUNCTION("""COMPUTED_VALUE"""),36.0)</f>
        <v>36</v>
      </c>
      <c r="K6494" s="18">
        <f>IFERROR(__xludf.DUMMYFUNCTION("""COMPUTED_VALUE"""),24.0)</f>
        <v>24</v>
      </c>
      <c r="L6494" s="17">
        <f>IFERROR(__xludf.DUMMYFUNCTION("""COMPUTED_VALUE"""),3.16834206E9)</f>
        <v>3168342060</v>
      </c>
      <c r="M6494" s="17" t="str">
        <f>IFERROR(__xludf.DUMMYFUNCTION("""COMPUTED_VALUE"""),"#REF!")</f>
        <v>#REF!</v>
      </c>
      <c r="N6494" s="17"/>
      <c r="O6494" s="17"/>
      <c r="P6494" s="17" t="b">
        <f>IFERROR(__xludf.DUMMYFUNCTION("""COMPUTED_VALUE"""),TRUE)</f>
        <v>1</v>
      </c>
      <c r="Q6494" s="20">
        <f>IFERROR(__xludf.DUMMYFUNCTION("""COMPUTED_VALUE"""),45187.30004427083)</f>
        <v>45187.30004</v>
      </c>
      <c r="R6494" s="22" t="str">
        <f>IFERROR(__xludf.DUMMYFUNCTION("""COMPUTED_VALUE"""),"")</f>
        <v/>
      </c>
    </row>
    <row r="6495">
      <c r="A6495" s="15">
        <f>IFERROR(__xludf.DUMMYFUNCTION("""COMPUTED_VALUE"""),45183.0)</f>
        <v>45183</v>
      </c>
      <c r="B6495" s="16" t="str">
        <f>IFERROR(__xludf.DUMMYFUNCTION("""COMPUTED_VALUE"""),"Orlando Urdaneta Rincon ")</f>
        <v>Orlando Urdaneta Rincon </v>
      </c>
      <c r="C6495" s="15" t="str">
        <f>IFERROR(__xludf.DUMMYFUNCTION("""COMPUTED_VALUE"""),"SANTA MARTA")</f>
        <v>SANTA MARTA</v>
      </c>
      <c r="D6495" s="15" t="str">
        <f>IFERROR(__xludf.DUMMYFUNCTION("""COMPUTED_VALUE"""),"BOGOTÁ")</f>
        <v>BOGOTÁ</v>
      </c>
      <c r="E6495" s="15" t="str">
        <f>IFERROR(__xludf.DUMMYFUNCTION("""COMPUTED_VALUE"""),"Evamazzita")</f>
        <v>Evamazzita</v>
      </c>
      <c r="F6495" s="17" t="str">
        <f>IFERROR(__xludf.DUMMYFUNCTION("""COMPUTED_VALUE"""),"calle 14 # 27-131 / balcones del libertador manzana c casa 20  Balcones del libertador")</f>
        <v>calle 14 # 27-131 / balcones del libertador manzana c casa 20  Balcones del libertador</v>
      </c>
      <c r="G6495" s="15" t="str">
        <f>IFERROR(__xludf.DUMMYFUNCTION("""COMPUTED_VALUE"""),"MAYRA NIÑO FERREIRA")</f>
        <v>MAYRA NIÑO FERREIRA</v>
      </c>
      <c r="H6495" s="16">
        <f>IFERROR(__xludf.DUMMYFUNCTION("""COMPUTED_VALUE"""),15224.0)</f>
        <v>15224</v>
      </c>
      <c r="I6495" s="18">
        <f>IFERROR(__xludf.DUMMYFUNCTION("""COMPUTED_VALUE"""),1.0)</f>
        <v>1</v>
      </c>
      <c r="J6495" s="18">
        <f>IFERROR(__xludf.DUMMYFUNCTION("""COMPUTED_VALUE"""),1.0)</f>
        <v>1</v>
      </c>
      <c r="K6495" s="18">
        <f>IFERROR(__xludf.DUMMYFUNCTION("""COMPUTED_VALUE"""),1.0)</f>
        <v>1</v>
      </c>
      <c r="L6495" s="17">
        <f>IFERROR(__xludf.DUMMYFUNCTION("""COMPUTED_VALUE"""),3.00707702E9)</f>
        <v>3007077020</v>
      </c>
      <c r="M6495" s="17" t="str">
        <f>IFERROR(__xludf.DUMMYFUNCTION("""COMPUTED_VALUE"""),"#REF!")</f>
        <v>#REF!</v>
      </c>
      <c r="N6495" s="17"/>
      <c r="O6495" s="17"/>
      <c r="P6495" s="17" t="b">
        <f>IFERROR(__xludf.DUMMYFUNCTION("""COMPUTED_VALUE"""),FALSE)</f>
        <v>0</v>
      </c>
      <c r="Q6495" s="20" t="str">
        <f>IFERROR(__xludf.DUMMYFUNCTION("""COMPUTED_VALUE"""),"")</f>
        <v/>
      </c>
      <c r="R6495" s="21" t="str">
        <f>IFERROR(__xludf.DUMMYFUNCTION("""COMPUTED_VALUE"""),"https://drive.google.com/file/d/1tus6NB3AtALASbFCDpHQeXVNxL6N9RYC/view?usp=drivesdk")</f>
        <v>https://drive.google.com/file/d/1tus6NB3AtALASbFCDpHQeXVNxL6N9RYC/view?usp=drivesdk</v>
      </c>
    </row>
    <row r="6496">
      <c r="A6496" s="15">
        <f>IFERROR(__xludf.DUMMYFUNCTION("""COMPUTED_VALUE"""),45183.0)</f>
        <v>45183</v>
      </c>
      <c r="B6496" s="16" t="str">
        <f>IFERROR(__xludf.DUMMYFUNCTION("""COMPUTED_VALUE"""),"Orlando Urdaneta Rincon ")</f>
        <v>Orlando Urdaneta Rincon </v>
      </c>
      <c r="C6496" s="15" t="str">
        <f>IFERROR(__xludf.DUMMYFUNCTION("""COMPUTED_VALUE"""),"SANTA MARTA")</f>
        <v>SANTA MARTA</v>
      </c>
      <c r="D6496" s="15" t="str">
        <f>IFERROR(__xludf.DUMMYFUNCTION("""COMPUTED_VALUE"""),"BOGOTÁ")</f>
        <v>BOGOTÁ</v>
      </c>
      <c r="E6496" s="15" t="str">
        <f>IFERROR(__xludf.DUMMYFUNCTION("""COMPUTED_VALUE"""),"Juan Carlos Aponte")</f>
        <v>Juan Carlos Aponte</v>
      </c>
      <c r="F6496" s="17" t="str">
        <f>IFERROR(__xludf.DUMMYFUNCTION("""COMPUTED_VALUE"""),"Carrera 90 # Km 14 - 278 SANTA MARTA, MAGDALENA / Entrada por Irotama, entre Irotama Siglo XXI e Irotama Reservado Edificio Balcones de Andalucía Apto B54 / BELLO HORIZONTE")</f>
        <v>Carrera 90 # Km 14 - 278 SANTA MARTA, MAGDALENA / Entrada por Irotama, entre Irotama Siglo XXI e Irotama Reservado Edificio Balcones de Andalucía Apto B54 / BELLO HORIZONTE</v>
      </c>
      <c r="G6496" s="15" t="str">
        <f>IFERROR(__xludf.DUMMYFUNCTION("""COMPUTED_VALUE"""),"JUAN CARLOS APONTE ORDÓÑEZ")</f>
        <v>JUAN CARLOS APONTE ORDÓÑEZ</v>
      </c>
      <c r="H6496" s="16">
        <f>IFERROR(__xludf.DUMMYFUNCTION("""COMPUTED_VALUE"""),15072.0)</f>
        <v>15072</v>
      </c>
      <c r="I6496" s="18">
        <f>IFERROR(__xludf.DUMMYFUNCTION("""COMPUTED_VALUE"""),70.0)</f>
        <v>70</v>
      </c>
      <c r="J6496" s="18">
        <f>IFERROR(__xludf.DUMMYFUNCTION("""COMPUTED_VALUE"""),50.0)</f>
        <v>50</v>
      </c>
      <c r="K6496" s="18">
        <f>IFERROR(__xludf.DUMMYFUNCTION("""COMPUTED_VALUE"""),50.0)</f>
        <v>50</v>
      </c>
      <c r="L6496" s="17">
        <f>IFERROR(__xludf.DUMMYFUNCTION("""COMPUTED_VALUE"""),3.157835032E9)</f>
        <v>3157835032</v>
      </c>
      <c r="M6496" s="17" t="str">
        <f>IFERROR(__xludf.DUMMYFUNCTION("""COMPUTED_VALUE"""),"#REF!")</f>
        <v>#REF!</v>
      </c>
      <c r="N6496" s="17"/>
      <c r="O6496" s="17"/>
      <c r="P6496" s="17" t="b">
        <f>IFERROR(__xludf.DUMMYFUNCTION("""COMPUTED_VALUE"""),FALSE)</f>
        <v>0</v>
      </c>
      <c r="Q6496" s="20" t="str">
        <f>IFERROR(__xludf.DUMMYFUNCTION("""COMPUTED_VALUE"""),"")</f>
        <v/>
      </c>
      <c r="R6496" s="22" t="str">
        <f>IFERROR(__xludf.DUMMYFUNCTION("""COMPUTED_VALUE"""),"")</f>
        <v/>
      </c>
    </row>
    <row r="6497">
      <c r="A6497" s="15">
        <f>IFERROR(__xludf.DUMMYFUNCTION("""COMPUTED_VALUE"""),45183.0)</f>
        <v>45183</v>
      </c>
      <c r="B6497" s="16" t="str">
        <f>IFERROR(__xludf.DUMMYFUNCTION("""COMPUTED_VALUE"""),"Orlando Urdaneta Rincon ")</f>
        <v>Orlando Urdaneta Rincon </v>
      </c>
      <c r="C6497" s="15" t="str">
        <f>IFERROR(__xludf.DUMMYFUNCTION("""COMPUTED_VALUE"""),"SANTA MARTA")</f>
        <v>SANTA MARTA</v>
      </c>
      <c r="D6497" s="15" t="str">
        <f>IFERROR(__xludf.DUMMYFUNCTION("""COMPUTED_VALUE"""),"BOGOTÁ")</f>
        <v>BOGOTÁ</v>
      </c>
      <c r="E6497" s="15" t="str">
        <f>IFERROR(__xludf.DUMMYFUNCTION("""COMPUTED_VALUE"""),"Juan Carlos Aponte")</f>
        <v>Juan Carlos Aponte</v>
      </c>
      <c r="F6497" s="17" t="str">
        <f>IFERROR(__xludf.DUMMYFUNCTION("""COMPUTED_VALUE"""),"Carrera 90 # Km 14 - 278 SANTA MARTA, MAGDALENA / Entrada por Irotama, entre Irotama Siglo XXI e Irotama Reservado Edificio Balcones de Andalucía Apto B54 / IROTAMA - BELLO HORIZONTE")</f>
        <v>Carrera 90 # Km 14 - 278 SANTA MARTA, MAGDALENA / Entrada por Irotama, entre Irotama Siglo XXI e Irotama Reservado Edificio Balcones de Andalucía Apto B54 / IROTAMA - BELLO HORIZONTE</v>
      </c>
      <c r="G6497" s="15" t="str">
        <f>IFERROR(__xludf.DUMMYFUNCTION("""COMPUTED_VALUE"""),"JUAN CARLOS APONTE ORDÓÑEZ")</f>
        <v>JUAN CARLOS APONTE ORDÓÑEZ</v>
      </c>
      <c r="H6497" s="16">
        <f>IFERROR(__xludf.DUMMYFUNCTION("""COMPUTED_VALUE"""),15208.0)</f>
        <v>15208</v>
      </c>
      <c r="I6497" s="18">
        <f>IFERROR(__xludf.DUMMYFUNCTION("""COMPUTED_VALUE"""),60.0)</f>
        <v>60</v>
      </c>
      <c r="J6497" s="18">
        <f>IFERROR(__xludf.DUMMYFUNCTION("""COMPUTED_VALUE"""),60.0)</f>
        <v>60</v>
      </c>
      <c r="K6497" s="18">
        <f>IFERROR(__xludf.DUMMYFUNCTION("""COMPUTED_VALUE"""),60.0)</f>
        <v>60</v>
      </c>
      <c r="L6497" s="17">
        <f>IFERROR(__xludf.DUMMYFUNCTION("""COMPUTED_VALUE"""),3.157835032E9)</f>
        <v>3157835032</v>
      </c>
      <c r="M6497" s="17" t="str">
        <f>IFERROR(__xludf.DUMMYFUNCTION("""COMPUTED_VALUE"""),"#REF!")</f>
        <v>#REF!</v>
      </c>
      <c r="N6497" s="17"/>
      <c r="O6497" s="17"/>
      <c r="P6497" s="17" t="b">
        <f>IFERROR(__xludf.DUMMYFUNCTION("""COMPUTED_VALUE"""),TRUE)</f>
        <v>1</v>
      </c>
      <c r="Q6497" s="20">
        <f>IFERROR(__xludf.DUMMYFUNCTION("""COMPUTED_VALUE"""),45187.30004427083)</f>
        <v>45187.30004</v>
      </c>
      <c r="R6497" s="22" t="str">
        <f>IFERROR(__xludf.DUMMYFUNCTION("""COMPUTED_VALUE"""),"")</f>
        <v/>
      </c>
    </row>
    <row r="6498">
      <c r="A6498" s="15">
        <f>IFERROR(__xludf.DUMMYFUNCTION("""COMPUTED_VALUE"""),45183.0)</f>
        <v>45183</v>
      </c>
      <c r="B6498" s="16" t="str">
        <f>IFERROR(__xludf.DUMMYFUNCTION("""COMPUTED_VALUE"""),"Orlando Urdaneta Rincon ")</f>
        <v>Orlando Urdaneta Rincon </v>
      </c>
      <c r="C6498" s="15" t="str">
        <f>IFERROR(__xludf.DUMMYFUNCTION("""COMPUTED_VALUE"""),"SANTA MARTA")</f>
        <v>SANTA MARTA</v>
      </c>
      <c r="D6498" s="15" t="str">
        <f>IFERROR(__xludf.DUMMYFUNCTION("""COMPUTED_VALUE"""),"BOGOTÁ")</f>
        <v>BOGOTÁ</v>
      </c>
      <c r="E6498" s="15" t="str">
        <f>IFERROR(__xludf.DUMMYFUNCTION("""COMPUTED_VALUE"""),"Loomifoods")</f>
        <v>Loomifoods</v>
      </c>
      <c r="F6498" s="17" t="str">
        <f>IFERROR(__xludf.DUMMYFUNCTION("""COMPUTED_VALUE"""),"carrera 1 no . 1  - 03  /  apto 7a  / edif cascadas del rodadero")</f>
        <v>carrera 1 no . 1  - 03  /  apto 7a  / edif cascadas del rodadero</v>
      </c>
      <c r="G6498" s="15" t="str">
        <f>IFERROR(__xludf.DUMMYFUNCTION("""COMPUTED_VALUE"""),"Carolina Murcia")</f>
        <v>Carolina Murcia</v>
      </c>
      <c r="H6498" s="16">
        <f>IFERROR(__xludf.DUMMYFUNCTION("""COMPUTED_VALUE"""),15214.0)</f>
        <v>15214</v>
      </c>
      <c r="I6498" s="18">
        <f>IFERROR(__xludf.DUMMYFUNCTION("""COMPUTED_VALUE"""),19.0)</f>
        <v>19</v>
      </c>
      <c r="J6498" s="18">
        <f>IFERROR(__xludf.DUMMYFUNCTION("""COMPUTED_VALUE"""),10.0)</f>
        <v>10</v>
      </c>
      <c r="K6498" s="18">
        <f>IFERROR(__xludf.DUMMYFUNCTION("""COMPUTED_VALUE"""),16.0)</f>
        <v>16</v>
      </c>
      <c r="L6498" s="17">
        <f>IFERROR(__xludf.DUMMYFUNCTION("""COMPUTED_VALUE"""),3.145790696E9)</f>
        <v>3145790696</v>
      </c>
      <c r="M6498" s="17" t="str">
        <f>IFERROR(__xludf.DUMMYFUNCTION("""COMPUTED_VALUE"""),"#REF!")</f>
        <v>#REF!</v>
      </c>
      <c r="N6498" s="17"/>
      <c r="O6498" s="17"/>
      <c r="P6498" s="17" t="b">
        <f>IFERROR(__xludf.DUMMYFUNCTION("""COMPUTED_VALUE"""),TRUE)</f>
        <v>1</v>
      </c>
      <c r="Q6498" s="20">
        <f>IFERROR(__xludf.DUMMYFUNCTION("""COMPUTED_VALUE"""),45187.30004427083)</f>
        <v>45187.30004</v>
      </c>
      <c r="R6498" s="21" t="str">
        <f>IFERROR(__xludf.DUMMYFUNCTION("""COMPUTED_VALUE"""),"https://drive.google.com/file/d/1WcoCxbW6V50_Ex1F22QF_leyH0LrXveY/view?usp=drivesdk")</f>
        <v>https://drive.google.com/file/d/1WcoCxbW6V50_Ex1F22QF_leyH0LrXveY/view?usp=drivesdk</v>
      </c>
    </row>
    <row r="6499">
      <c r="A6499" s="15">
        <f>IFERROR(__xludf.DUMMYFUNCTION("""COMPUTED_VALUE"""),45183.0)</f>
        <v>45183</v>
      </c>
      <c r="B6499" s="16" t="str">
        <f>IFERROR(__xludf.DUMMYFUNCTION("""COMPUTED_VALUE"""),"Orlando Urdaneta Rincon ")</f>
        <v>Orlando Urdaneta Rincon </v>
      </c>
      <c r="C6499" s="15" t="str">
        <f>IFERROR(__xludf.DUMMYFUNCTION("""COMPUTED_VALUE"""),"SANTA MARTA")</f>
        <v>SANTA MARTA</v>
      </c>
      <c r="D6499" s="15" t="str">
        <f>IFERROR(__xludf.DUMMYFUNCTION("""COMPUTED_VALUE"""),"BOGOTÁ")</f>
        <v>BOGOTÁ</v>
      </c>
      <c r="E6499" s="15" t="str">
        <f>IFERROR(__xludf.DUMMYFUNCTION("""COMPUTED_VALUE"""),"Top Spun")</f>
        <v>Top Spun</v>
      </c>
      <c r="F6499" s="17" t="str">
        <f>IFERROR(__xludf.DUMMYFUNCTION("""COMPUTED_VALUE"""),"Carrera 7A # 29-114 / Comuna 2 / Santa Marta")</f>
        <v>Carrera 7A # 29-114 / Comuna 2 / Santa Marta</v>
      </c>
      <c r="G6499" s="15" t="str">
        <f>IFERROR(__xludf.DUMMYFUNCTION("""COMPUTED_VALUE"""),"Caroline Thevenet")</f>
        <v>Caroline Thevenet</v>
      </c>
      <c r="H6499" s="16">
        <f>IFERROR(__xludf.DUMMYFUNCTION("""COMPUTED_VALUE"""),15170.0)</f>
        <v>15170</v>
      </c>
      <c r="I6499" s="18">
        <f>IFERROR(__xludf.DUMMYFUNCTION("""COMPUTED_VALUE"""),15.0)</f>
        <v>15</v>
      </c>
      <c r="J6499" s="18">
        <f>IFERROR(__xludf.DUMMYFUNCTION("""COMPUTED_VALUE"""),26.0)</f>
        <v>26</v>
      </c>
      <c r="K6499" s="18">
        <f>IFERROR(__xludf.DUMMYFUNCTION("""COMPUTED_VALUE"""),33.0)</f>
        <v>33</v>
      </c>
      <c r="L6499" s="17">
        <f>IFERROR(__xludf.DUMMYFUNCTION("""COMPUTED_VALUE"""),3.103051294E9)</f>
        <v>3103051294</v>
      </c>
      <c r="M6499" s="17" t="str">
        <f>IFERROR(__xludf.DUMMYFUNCTION("""COMPUTED_VALUE"""),"#REF!")</f>
        <v>#REF!</v>
      </c>
      <c r="N6499" s="17"/>
      <c r="O6499" s="17"/>
      <c r="P6499" s="17" t="b">
        <f>IFERROR(__xludf.DUMMYFUNCTION("""COMPUTED_VALUE"""),FALSE)</f>
        <v>0</v>
      </c>
      <c r="Q6499" s="20" t="str">
        <f>IFERROR(__xludf.DUMMYFUNCTION("""COMPUTED_VALUE"""),"")</f>
        <v/>
      </c>
      <c r="R6499" s="21" t="str">
        <f>IFERROR(__xludf.DUMMYFUNCTION("""COMPUTED_VALUE"""),"https://drive.google.com/file/d/1RvPjY7H8COv5UZtc3gl5URaZqHOK6UrQ/view?usp=drivesdk")</f>
        <v>https://drive.google.com/file/d/1RvPjY7H8COv5UZtc3gl5URaZqHOK6UrQ/view?usp=drivesdk</v>
      </c>
    </row>
    <row r="6500">
      <c r="A6500" s="17" t="str">
        <f>IFERROR(__xludf.DUMMYFUNCTION("""COMPUTED_VALUE"""),"")</f>
        <v/>
      </c>
      <c r="B6500" s="17" t="str">
        <f>IFERROR(__xludf.DUMMYFUNCTION("""COMPUTED_VALUE"""),"")</f>
        <v/>
      </c>
      <c r="C6500" s="17" t="str">
        <f>IFERROR(__xludf.DUMMYFUNCTION("""COMPUTED_VALUE"""),"")</f>
        <v/>
      </c>
      <c r="D6500" s="17" t="str">
        <f>IFERROR(__xludf.DUMMYFUNCTION("""COMPUTED_VALUE"""),"")</f>
        <v/>
      </c>
      <c r="E6500" s="17" t="str">
        <f>IFERROR(__xludf.DUMMYFUNCTION("""COMPUTED_VALUE"""),"")</f>
        <v/>
      </c>
      <c r="F6500" s="17" t="str">
        <f>IFERROR(__xludf.DUMMYFUNCTION("""COMPUTED_VALUE"""),"")</f>
        <v/>
      </c>
      <c r="G6500" s="17" t="str">
        <f>IFERROR(__xludf.DUMMYFUNCTION("""COMPUTED_VALUE"""),"")</f>
        <v/>
      </c>
      <c r="H6500" s="17" t="str">
        <f>IFERROR(__xludf.DUMMYFUNCTION("""COMPUTED_VALUE"""),"")</f>
        <v/>
      </c>
      <c r="I6500" s="17" t="str">
        <f>IFERROR(__xludf.DUMMYFUNCTION("""COMPUTED_VALUE"""),"")</f>
        <v/>
      </c>
      <c r="J6500" s="17" t="str">
        <f>IFERROR(__xludf.DUMMYFUNCTION("""COMPUTED_VALUE"""),"")</f>
        <v/>
      </c>
      <c r="K6500" s="17" t="str">
        <f>IFERROR(__xludf.DUMMYFUNCTION("""COMPUTED_VALUE"""),"")</f>
        <v/>
      </c>
      <c r="L6500" s="17" t="str">
        <f>IFERROR(__xludf.DUMMYFUNCTION("""COMPUTED_VALUE"""),"")</f>
        <v/>
      </c>
      <c r="M6500" s="17" t="str">
        <f>IFERROR(__xludf.DUMMYFUNCTION("""COMPUTED_VALUE"""),"")</f>
        <v/>
      </c>
      <c r="N6500" s="17" t="str">
        <f>IFERROR(__xludf.DUMMYFUNCTION("""COMPUTED_VALUE"""),"")</f>
        <v/>
      </c>
      <c r="O6500" s="17" t="str">
        <f>IFERROR(__xludf.DUMMYFUNCTION("""COMPUTED_VALUE"""),"")</f>
        <v/>
      </c>
      <c r="P6500" s="17" t="str">
        <f>IFERROR(__xludf.DUMMYFUNCTION("""COMPUTED_VALUE"""),"")</f>
        <v/>
      </c>
      <c r="Q6500" s="17" t="str">
        <f>IFERROR(__xludf.DUMMYFUNCTION("""COMPUTED_VALUE"""),"")</f>
        <v/>
      </c>
      <c r="R6500" s="17" t="str">
        <f>IFERROR(__xludf.DUMMYFUNCTION("""COMPUTED_VALUE"""),"")</f>
        <v/>
      </c>
    </row>
    <row r="6501">
      <c r="A6501" s="15">
        <f>IFERROR(__xludf.DUMMYFUNCTION("""COMPUTED_VALUE"""),45183.0)</f>
        <v>45183</v>
      </c>
      <c r="B6501" s="16" t="str">
        <f>IFERROR(__xludf.DUMMYFUNCTION("""COMPUTED_VALUE"""),"Santiago Garces Restrepo")</f>
        <v>Santiago Garces Restrepo</v>
      </c>
      <c r="C6501" s="15" t="str">
        <f>IFERROR(__xludf.DUMMYFUNCTION("""COMPUTED_VALUE"""),"CALI")</f>
        <v>CALI</v>
      </c>
      <c r="D6501" s="15" t="str">
        <f>IFERROR(__xludf.DUMMYFUNCTION("""COMPUTED_VALUE"""),"BOGOTÁ")</f>
        <v>BOGOTÁ</v>
      </c>
      <c r="E6501" s="15" t="str">
        <f>IFERROR(__xludf.DUMMYFUNCTION("""COMPUTED_VALUE"""),"Viral Brands")</f>
        <v>Viral Brands</v>
      </c>
      <c r="F6501" s="17" t="str">
        <f>IFERROR(__xludf.DUMMYFUNCTION("""COMPUTED_VALUE"""),"Carre81a #42-07 / Edificio 2 piso  / El canei")</f>
        <v>Carre81a #42-07 / Edificio 2 piso  / El canei</v>
      </c>
      <c r="G6501" s="15" t="str">
        <f>IFERROR(__xludf.DUMMYFUNCTION("""COMPUTED_VALUE"""),"Lisbeth gamez")</f>
        <v>Lisbeth gamez</v>
      </c>
      <c r="H6501" s="16">
        <f>IFERROR(__xludf.DUMMYFUNCTION("""COMPUTED_VALUE"""),15209.0)</f>
        <v>15209</v>
      </c>
      <c r="I6501" s="18" t="str">
        <f>IFERROR(__xludf.DUMMYFUNCTION("""COMPUTED_VALUE"""),"52.5")</f>
        <v>52.5</v>
      </c>
      <c r="J6501" s="18">
        <f>IFERROR(__xludf.DUMMYFUNCTION("""COMPUTED_VALUE"""),55.0)</f>
        <v>55</v>
      </c>
      <c r="K6501" s="18">
        <f>IFERROR(__xludf.DUMMYFUNCTION("""COMPUTED_VALUE"""),45.0)</f>
        <v>45</v>
      </c>
      <c r="L6501" s="17">
        <f>IFERROR(__xludf.DUMMYFUNCTION("""COMPUTED_VALUE"""),3.218280504E9)</f>
        <v>3218280504</v>
      </c>
      <c r="M6501" s="17" t="str">
        <f>IFERROR(__xludf.DUMMYFUNCTION("""COMPUTED_VALUE"""),"#REF!")</f>
        <v>#REF!</v>
      </c>
      <c r="N6501" s="17"/>
      <c r="O6501" s="17"/>
      <c r="P6501" s="17" t="b">
        <f>IFERROR(__xludf.DUMMYFUNCTION("""COMPUTED_VALUE"""),FALSE)</f>
        <v>0</v>
      </c>
      <c r="Q6501" s="20" t="str">
        <f>IFERROR(__xludf.DUMMYFUNCTION("""COMPUTED_VALUE"""),"")</f>
        <v/>
      </c>
      <c r="R6501" s="22" t="str">
        <f>IFERROR(__xludf.DUMMYFUNCTION("""COMPUTED_VALUE"""),"")</f>
        <v/>
      </c>
    </row>
    <row r="6502">
      <c r="A6502" s="15">
        <f>IFERROR(__xludf.DUMMYFUNCTION("""COMPUTED_VALUE"""),45183.0)</f>
        <v>45183</v>
      </c>
      <c r="B6502" s="16" t="str">
        <f>IFERROR(__xludf.DUMMYFUNCTION("""COMPUTED_VALUE"""),"Santiago Garces Restrepo")</f>
        <v>Santiago Garces Restrepo</v>
      </c>
      <c r="C6502" s="15" t="str">
        <f>IFERROR(__xludf.DUMMYFUNCTION("""COMPUTED_VALUE"""),"FLORIDABLANCA")</f>
        <v>FLORIDABLANCA</v>
      </c>
      <c r="D6502" s="15" t="str">
        <f>IFERROR(__xludf.DUMMYFUNCTION("""COMPUTED_VALUE"""),"BOGOTÁ")</f>
        <v>BOGOTÁ</v>
      </c>
      <c r="E6502" s="15" t="str">
        <f>IFERROR(__xludf.DUMMYFUNCTION("""COMPUTED_VALUE"""),"Tok Tok")</f>
        <v>Tok Tok</v>
      </c>
      <c r="F6502" s="17" t="str">
        <f>IFERROR(__xludf.DUMMYFUNCTION("""COMPUTED_VALUE"""),"MULTIFIT CAÑAVERAL CALLE 33#26-25 FLORIDABLANCA / FLORIDABLANCA / FLORIDABLANCA")</f>
        <v>MULTIFIT CAÑAVERAL CALLE 33#26-25 FLORIDABLANCA / FLORIDABLANCA / FLORIDABLANCA</v>
      </c>
      <c r="G6502" s="15" t="str">
        <f>IFERROR(__xludf.DUMMYFUNCTION("""COMPUTED_VALUE"""),"multifit - oscar rincon")</f>
        <v>multifit - oscar rincon</v>
      </c>
      <c r="H6502" s="16">
        <f>IFERROR(__xludf.DUMMYFUNCTION("""COMPUTED_VALUE"""),15246.0)</f>
        <v>15246</v>
      </c>
      <c r="I6502" s="18">
        <f>IFERROR(__xludf.DUMMYFUNCTION("""COMPUTED_VALUE"""),100.0)</f>
        <v>100</v>
      </c>
      <c r="J6502" s="18">
        <f>IFERROR(__xludf.DUMMYFUNCTION("""COMPUTED_VALUE"""),100.0)</f>
        <v>100</v>
      </c>
      <c r="K6502" s="18">
        <f>IFERROR(__xludf.DUMMYFUNCTION("""COMPUTED_VALUE"""),100.0)</f>
        <v>100</v>
      </c>
      <c r="L6502" s="17">
        <f>IFERROR(__xludf.DUMMYFUNCTION("""COMPUTED_VALUE"""),3.158785729E9)</f>
        <v>3158785729</v>
      </c>
      <c r="M6502" s="17" t="str">
        <f>IFERROR(__xludf.DUMMYFUNCTION("""COMPUTED_VALUE"""),"#REF!")</f>
        <v>#REF!</v>
      </c>
      <c r="N6502" s="17"/>
      <c r="O6502" s="17"/>
      <c r="P6502" s="17" t="b">
        <f>IFERROR(__xludf.DUMMYFUNCTION("""COMPUTED_VALUE"""),TRUE)</f>
        <v>1</v>
      </c>
      <c r="Q6502" s="20">
        <f>IFERROR(__xludf.DUMMYFUNCTION("""COMPUTED_VALUE"""),45187.30004427083)</f>
        <v>45187.30004</v>
      </c>
      <c r="R6502" s="22" t="str">
        <f>IFERROR(__xludf.DUMMYFUNCTION("""COMPUTED_VALUE"""),"")</f>
        <v/>
      </c>
    </row>
    <row r="6503">
      <c r="A6503" s="17" t="str">
        <f>IFERROR(__xludf.DUMMYFUNCTION("""COMPUTED_VALUE"""),"")</f>
        <v/>
      </c>
      <c r="B6503" s="17" t="str">
        <f>IFERROR(__xludf.DUMMYFUNCTION("""COMPUTED_VALUE"""),"")</f>
        <v/>
      </c>
      <c r="C6503" s="17" t="str">
        <f>IFERROR(__xludf.DUMMYFUNCTION("""COMPUTED_VALUE"""),"")</f>
        <v/>
      </c>
      <c r="D6503" s="17" t="str">
        <f>IFERROR(__xludf.DUMMYFUNCTION("""COMPUTED_VALUE"""),"")</f>
        <v/>
      </c>
      <c r="E6503" s="17" t="str">
        <f>IFERROR(__xludf.DUMMYFUNCTION("""COMPUTED_VALUE"""),"")</f>
        <v/>
      </c>
      <c r="F6503" s="17" t="str">
        <f>IFERROR(__xludf.DUMMYFUNCTION("""COMPUTED_VALUE"""),"")</f>
        <v/>
      </c>
      <c r="G6503" s="17" t="str">
        <f>IFERROR(__xludf.DUMMYFUNCTION("""COMPUTED_VALUE"""),"")</f>
        <v/>
      </c>
      <c r="H6503" s="17" t="str">
        <f>IFERROR(__xludf.DUMMYFUNCTION("""COMPUTED_VALUE"""),"")</f>
        <v/>
      </c>
      <c r="I6503" s="17" t="str">
        <f>IFERROR(__xludf.DUMMYFUNCTION("""COMPUTED_VALUE"""),"")</f>
        <v/>
      </c>
      <c r="J6503" s="17" t="str">
        <f>IFERROR(__xludf.DUMMYFUNCTION("""COMPUTED_VALUE"""),"")</f>
        <v/>
      </c>
      <c r="K6503" s="17" t="str">
        <f>IFERROR(__xludf.DUMMYFUNCTION("""COMPUTED_VALUE"""),"")</f>
        <v/>
      </c>
      <c r="L6503" s="17" t="str">
        <f>IFERROR(__xludf.DUMMYFUNCTION("""COMPUTED_VALUE"""),"")</f>
        <v/>
      </c>
      <c r="M6503" s="17" t="str">
        <f>IFERROR(__xludf.DUMMYFUNCTION("""COMPUTED_VALUE"""),"")</f>
        <v/>
      </c>
      <c r="N6503" s="17" t="str">
        <f>IFERROR(__xludf.DUMMYFUNCTION("""COMPUTED_VALUE"""),"")</f>
        <v/>
      </c>
      <c r="O6503" s="17" t="str">
        <f>IFERROR(__xludf.DUMMYFUNCTION("""COMPUTED_VALUE"""),"")</f>
        <v/>
      </c>
      <c r="P6503" s="17" t="str">
        <f>IFERROR(__xludf.DUMMYFUNCTION("""COMPUTED_VALUE"""),"")</f>
        <v/>
      </c>
      <c r="Q6503" s="17" t="str">
        <f>IFERROR(__xludf.DUMMYFUNCTION("""COMPUTED_VALUE"""),"")</f>
        <v/>
      </c>
      <c r="R6503" s="17" t="str">
        <f>IFERROR(__xludf.DUMMYFUNCTION("""COMPUTED_VALUE"""),"")</f>
        <v/>
      </c>
    </row>
    <row r="6504">
      <c r="A6504" s="15">
        <f>IFERROR(__xludf.DUMMYFUNCTION("""COMPUTED_VALUE"""),45184.0)</f>
        <v>45184</v>
      </c>
      <c r="B6504" s="17"/>
      <c r="C6504" s="15" t="str">
        <f>IFERROR(__xludf.DUMMYFUNCTION("""COMPUTED_VALUE"""),"BARRANQUILLA")</f>
        <v>BARRANQUILLA</v>
      </c>
      <c r="D6504" s="15" t="str">
        <f>IFERROR(__xludf.DUMMYFUNCTION("""COMPUTED_VALUE"""),"MEDELLÍN")</f>
        <v>MEDELLÍN</v>
      </c>
      <c r="E6504" s="15" t="str">
        <f>IFERROR(__xludf.DUMMYFUNCTION("""COMPUTED_VALUE"""),"Tres Trigos")</f>
        <v>Tres Trigos</v>
      </c>
      <c r="F6504" s="17" t="str">
        <f>IFERROR(__xludf.DUMMYFUNCTION("""COMPUTED_VALUE"""),"Cr 45 85 168 / Cocina Oculta / Barranquilla")</f>
        <v>Cr 45 85 168 / Cocina Oculta / Barranquilla</v>
      </c>
      <c r="G6504" s="15" t="str">
        <f>IFERROR(__xludf.DUMMYFUNCTION("""COMPUTED_VALUE"""),"Foodology")</f>
        <v>Foodology</v>
      </c>
      <c r="H6504" s="16">
        <f>IFERROR(__xludf.DUMMYFUNCTION("""COMPUTED_VALUE"""),15180.0)</f>
        <v>15180</v>
      </c>
      <c r="I6504" s="18">
        <f>IFERROR(__xludf.DUMMYFUNCTION("""COMPUTED_VALUE"""),33.0)</f>
        <v>33</v>
      </c>
      <c r="J6504" s="18">
        <f>IFERROR(__xludf.DUMMYFUNCTION("""COMPUTED_VALUE"""),30.0)</f>
        <v>30</v>
      </c>
      <c r="K6504" s="18">
        <f>IFERROR(__xludf.DUMMYFUNCTION("""COMPUTED_VALUE"""),18.0)</f>
        <v>18</v>
      </c>
      <c r="L6504" s="17">
        <f>IFERROR(__xludf.DUMMYFUNCTION("""COMPUTED_VALUE"""),3.017001909E9)</f>
        <v>3017001909</v>
      </c>
      <c r="M6504" s="17" t="str">
        <f>IFERROR(__xludf.DUMMYFUNCTION("""COMPUTED_VALUE"""),"#REF!")</f>
        <v>#REF!</v>
      </c>
      <c r="N6504" s="17"/>
      <c r="O6504" s="17"/>
      <c r="P6504" s="17" t="b">
        <f>IFERROR(__xludf.DUMMYFUNCTION("""COMPUTED_VALUE"""),TRUE)</f>
        <v>1</v>
      </c>
      <c r="Q6504" s="20">
        <f>IFERROR(__xludf.DUMMYFUNCTION("""COMPUTED_VALUE"""),45187.30004428241)</f>
        <v>45187.30004</v>
      </c>
      <c r="R6504" s="22" t="str">
        <f>IFERROR(__xludf.DUMMYFUNCTION("""COMPUTED_VALUE"""),"")</f>
        <v/>
      </c>
    </row>
    <row r="6505">
      <c r="A6505" s="15">
        <f>IFERROR(__xludf.DUMMYFUNCTION("""COMPUTED_VALUE"""),45184.0)</f>
        <v>45184</v>
      </c>
      <c r="B6505" s="17"/>
      <c r="C6505" s="15" t="str">
        <f>IFERROR(__xludf.DUMMYFUNCTION("""COMPUTED_VALUE"""),"CALI")</f>
        <v>CALI</v>
      </c>
      <c r="D6505" s="15" t="str">
        <f>IFERROR(__xludf.DUMMYFUNCTION("""COMPUTED_VALUE"""),"BOGOTÁ")</f>
        <v>BOGOTÁ</v>
      </c>
      <c r="E6505" s="15" t="str">
        <f>IFERROR(__xludf.DUMMYFUNCTION("""COMPUTED_VALUE"""),"Renata")</f>
        <v>Renata</v>
      </c>
      <c r="F6505" s="17" t="str">
        <f>IFERROR(__xludf.DUMMYFUNCTION("""COMPUTED_VALUE"""),"Carrera 3#3a-83 / Patio 34 food containers -restaurante  / San Fernando")</f>
        <v>Carrera 3#3a-83 / Patio 34 food containers -restaurante  / San Fernando</v>
      </c>
      <c r="G6505" s="15" t="str">
        <f>IFERROR(__xludf.DUMMYFUNCTION("""COMPUTED_VALUE"""),"Rataco a.a.s")</f>
        <v>Rataco a.a.s</v>
      </c>
      <c r="H6505" s="16">
        <f>IFERROR(__xludf.DUMMYFUNCTION("""COMPUTED_VALUE"""),15265.0)</f>
        <v>15265</v>
      </c>
      <c r="I6505" s="18">
        <f>IFERROR(__xludf.DUMMYFUNCTION("""COMPUTED_VALUE"""),90.0)</f>
        <v>90</v>
      </c>
      <c r="J6505" s="18">
        <f>IFERROR(__xludf.DUMMYFUNCTION("""COMPUTED_VALUE"""),70.0)</f>
        <v>70</v>
      </c>
      <c r="K6505" s="18">
        <f>IFERROR(__xludf.DUMMYFUNCTION("""COMPUTED_VALUE"""),60.0)</f>
        <v>60</v>
      </c>
      <c r="L6505" s="17">
        <f>IFERROR(__xludf.DUMMYFUNCTION("""COMPUTED_VALUE"""),3.144760972E9)</f>
        <v>3144760972</v>
      </c>
      <c r="M6505" s="17" t="str">
        <f>IFERROR(__xludf.DUMMYFUNCTION("""COMPUTED_VALUE"""),"#REF!")</f>
        <v>#REF!</v>
      </c>
      <c r="N6505" s="17"/>
      <c r="O6505" s="17"/>
      <c r="P6505" s="17" t="b">
        <f>IFERROR(__xludf.DUMMYFUNCTION("""COMPUTED_VALUE"""),TRUE)</f>
        <v>1</v>
      </c>
      <c r="Q6505" s="20">
        <f>IFERROR(__xludf.DUMMYFUNCTION("""COMPUTED_VALUE"""),45187.30004428241)</f>
        <v>45187.30004</v>
      </c>
      <c r="R6505" s="22" t="str">
        <f>IFERROR(__xludf.DUMMYFUNCTION("""COMPUTED_VALUE"""),"")</f>
        <v/>
      </c>
    </row>
    <row r="6506">
      <c r="A6506" s="15">
        <f>IFERROR(__xludf.DUMMYFUNCTION("""COMPUTED_VALUE"""),45184.0)</f>
        <v>45184</v>
      </c>
      <c r="B6506" s="17"/>
      <c r="C6506" s="15" t="str">
        <f>IFERROR(__xludf.DUMMYFUNCTION("""COMPUTED_VALUE"""),"PUERTO COLOMBIA")</f>
        <v>PUERTO COLOMBIA</v>
      </c>
      <c r="D6506" s="15" t="str">
        <f>IFERROR(__xludf.DUMMYFUNCTION("""COMPUTED_VALUE"""),"BOGOTÁ")</f>
        <v>BOGOTÁ</v>
      </c>
      <c r="E6506" s="15" t="str">
        <f>IFERROR(__xludf.DUMMYFUNCTION("""COMPUTED_VALUE"""),"Top Spun")</f>
        <v>Top Spun</v>
      </c>
      <c r="F6506" s="17" t="str">
        <f>IFERROR(__xludf.DUMMYFUNCTION("""COMPUTED_VALUE"""),"Calle 3b transv 3b-105 / Plazuela del mar 2 8-802  / Plazuela del mar")</f>
        <v>Calle 3b transv 3b-105 / Plazuela del mar 2 8-802  / Plazuela del mar</v>
      </c>
      <c r="G6506" s="15" t="str">
        <f>IFERROR(__xludf.DUMMYFUNCTION("""COMPUTED_VALUE"""),"Tania Corrales")</f>
        <v>Tania Corrales</v>
      </c>
      <c r="H6506" s="16">
        <f>IFERROR(__xludf.DUMMYFUNCTION("""COMPUTED_VALUE"""),15172.0)</f>
        <v>15172</v>
      </c>
      <c r="I6506" s="18">
        <f>IFERROR(__xludf.DUMMYFUNCTION("""COMPUTED_VALUE"""),20.0)</f>
        <v>20</v>
      </c>
      <c r="J6506" s="18">
        <f>IFERROR(__xludf.DUMMYFUNCTION("""COMPUTED_VALUE"""),10.0)</f>
        <v>10</v>
      </c>
      <c r="K6506" s="18">
        <f>IFERROR(__xludf.DUMMYFUNCTION("""COMPUTED_VALUE"""),40.0)</f>
        <v>40</v>
      </c>
      <c r="L6506" s="17">
        <f>IFERROR(__xludf.DUMMYFUNCTION("""COMPUTED_VALUE"""),3.145106452E9)</f>
        <v>3145106452</v>
      </c>
      <c r="M6506" s="17" t="str">
        <f>IFERROR(__xludf.DUMMYFUNCTION("""COMPUTED_VALUE"""),"#REF!")</f>
        <v>#REF!</v>
      </c>
      <c r="N6506" s="17"/>
      <c r="O6506" s="17"/>
      <c r="P6506" s="17" t="b">
        <f>IFERROR(__xludf.DUMMYFUNCTION("""COMPUTED_VALUE"""),TRUE)</f>
        <v>1</v>
      </c>
      <c r="Q6506" s="20">
        <f>IFERROR(__xludf.DUMMYFUNCTION("""COMPUTED_VALUE"""),45187.30004428241)</f>
        <v>45187.30004</v>
      </c>
      <c r="R6506" s="21" t="str">
        <f>IFERROR(__xludf.DUMMYFUNCTION("""COMPUTED_VALUE"""),"https://drive.google.com/file/d/1kFOWxJAC36gW9V_QYicwRa9RXIYE5caE/view?usp=drivesdk")</f>
        <v>https://drive.google.com/file/d/1kFOWxJAC36gW9V_QYicwRa9RXIYE5caE/view?usp=drivesdk</v>
      </c>
    </row>
    <row r="6507">
      <c r="A6507" s="17" t="str">
        <f>IFERROR(__xludf.DUMMYFUNCTION("""COMPUTED_VALUE"""),"")</f>
        <v/>
      </c>
      <c r="B6507" s="17" t="str">
        <f>IFERROR(__xludf.DUMMYFUNCTION("""COMPUTED_VALUE"""),"")</f>
        <v/>
      </c>
      <c r="C6507" s="17" t="str">
        <f>IFERROR(__xludf.DUMMYFUNCTION("""COMPUTED_VALUE"""),"")</f>
        <v/>
      </c>
      <c r="D6507" s="17" t="str">
        <f>IFERROR(__xludf.DUMMYFUNCTION("""COMPUTED_VALUE"""),"")</f>
        <v/>
      </c>
      <c r="E6507" s="17" t="str">
        <f>IFERROR(__xludf.DUMMYFUNCTION("""COMPUTED_VALUE"""),"")</f>
        <v/>
      </c>
      <c r="F6507" s="17" t="str">
        <f>IFERROR(__xludf.DUMMYFUNCTION("""COMPUTED_VALUE"""),"")</f>
        <v/>
      </c>
      <c r="G6507" s="17" t="str">
        <f>IFERROR(__xludf.DUMMYFUNCTION("""COMPUTED_VALUE"""),"")</f>
        <v/>
      </c>
      <c r="H6507" s="17" t="str">
        <f>IFERROR(__xludf.DUMMYFUNCTION("""COMPUTED_VALUE"""),"")</f>
        <v/>
      </c>
      <c r="I6507" s="17" t="str">
        <f>IFERROR(__xludf.DUMMYFUNCTION("""COMPUTED_VALUE"""),"")</f>
        <v/>
      </c>
      <c r="J6507" s="17" t="str">
        <f>IFERROR(__xludf.DUMMYFUNCTION("""COMPUTED_VALUE"""),"")</f>
        <v/>
      </c>
      <c r="K6507" s="17" t="str">
        <f>IFERROR(__xludf.DUMMYFUNCTION("""COMPUTED_VALUE"""),"")</f>
        <v/>
      </c>
      <c r="L6507" s="17" t="str">
        <f>IFERROR(__xludf.DUMMYFUNCTION("""COMPUTED_VALUE"""),"")</f>
        <v/>
      </c>
      <c r="M6507" s="17" t="str">
        <f>IFERROR(__xludf.DUMMYFUNCTION("""COMPUTED_VALUE"""),"")</f>
        <v/>
      </c>
      <c r="N6507" s="17" t="str">
        <f>IFERROR(__xludf.DUMMYFUNCTION("""COMPUTED_VALUE"""),"")</f>
        <v/>
      </c>
      <c r="O6507" s="17" t="str">
        <f>IFERROR(__xludf.DUMMYFUNCTION("""COMPUTED_VALUE"""),"")</f>
        <v/>
      </c>
      <c r="P6507" s="17" t="str">
        <f>IFERROR(__xludf.DUMMYFUNCTION("""COMPUTED_VALUE"""),"")</f>
        <v/>
      </c>
      <c r="Q6507" s="17" t="str">
        <f>IFERROR(__xludf.DUMMYFUNCTION("""COMPUTED_VALUE"""),"")</f>
        <v/>
      </c>
      <c r="R6507" s="17" t="str">
        <f>IFERROR(__xludf.DUMMYFUNCTION("""COMPUTED_VALUE"""),"")</f>
        <v/>
      </c>
    </row>
    <row r="6508">
      <c r="A6508" s="15">
        <f>IFERROR(__xludf.DUMMYFUNCTION("""COMPUTED_VALUE"""),45184.0)</f>
        <v>45184</v>
      </c>
      <c r="B6508" s="16" t="str">
        <f>IFERROR(__xludf.DUMMYFUNCTION("""COMPUTED_VALUE"""),"Angie Daniela Meneses ")</f>
        <v>Angie Daniela Meneses </v>
      </c>
      <c r="C6508" s="15" t="str">
        <f>IFERROR(__xludf.DUMMYFUNCTION("""COMPUTED_VALUE"""),"CARTAGENA")</f>
        <v>CARTAGENA</v>
      </c>
      <c r="D6508" s="15" t="str">
        <f>IFERROR(__xludf.DUMMYFUNCTION("""COMPUTED_VALUE"""),"BOGOTÁ")</f>
        <v>BOGOTÁ</v>
      </c>
      <c r="E6508" s="15" t="str">
        <f>IFERROR(__xludf.DUMMYFUNCTION("""COMPUTED_VALUE"""),"Mochi")</f>
        <v>Mochi</v>
      </c>
      <c r="F6508" s="17" t="str">
        <f>IFERROR(__xludf.DUMMYFUNCTION("""COMPUTED_VALUE"""),"Cra 11 # 39-21 / Centro comercial  / Serrensuela")</f>
        <v>Cra 11 # 39-21 / Centro comercial  / Serrensuela</v>
      </c>
      <c r="G6508" s="15" t="str">
        <f>IFERROR(__xludf.DUMMYFUNCTION("""COMPUTED_VALUE"""),"María Camila Giraldo")</f>
        <v>María Camila Giraldo</v>
      </c>
      <c r="H6508" s="16">
        <f>IFERROR(__xludf.DUMMYFUNCTION("""COMPUTED_VALUE"""),15270.0)</f>
        <v>15270</v>
      </c>
      <c r="I6508" s="18">
        <f>IFERROR(__xludf.DUMMYFUNCTION("""COMPUTED_VALUE"""),55.0)</f>
        <v>55</v>
      </c>
      <c r="J6508" s="18">
        <f>IFERROR(__xludf.DUMMYFUNCTION("""COMPUTED_VALUE"""),45.0)</f>
        <v>45</v>
      </c>
      <c r="K6508" s="18" t="str">
        <f>IFERROR(__xludf.DUMMYFUNCTION("""COMPUTED_VALUE"""),"52.5")</f>
        <v>52.5</v>
      </c>
      <c r="L6508" s="17">
        <f>IFERROR(__xludf.DUMMYFUNCTION("""COMPUTED_VALUE"""),3.116026252E9)</f>
        <v>3116026252</v>
      </c>
      <c r="M6508" s="17" t="str">
        <f>IFERROR(__xludf.DUMMYFUNCTION("""COMPUTED_VALUE"""),"#REF!")</f>
        <v>#REF!</v>
      </c>
      <c r="N6508" s="17"/>
      <c r="O6508" s="17"/>
      <c r="P6508" s="17" t="b">
        <f>IFERROR(__xludf.DUMMYFUNCTION("""COMPUTED_VALUE"""),TRUE)</f>
        <v>1</v>
      </c>
      <c r="Q6508" s="20">
        <f>IFERROR(__xludf.DUMMYFUNCTION("""COMPUTED_VALUE"""),45187.30004428241)</f>
        <v>45187.30004</v>
      </c>
      <c r="R6508" s="22" t="str">
        <f>IFERROR(__xludf.DUMMYFUNCTION("""COMPUTED_VALUE"""),"")</f>
        <v/>
      </c>
    </row>
    <row r="6509">
      <c r="A6509" s="15">
        <f>IFERROR(__xludf.DUMMYFUNCTION("""COMPUTED_VALUE"""),45184.0)</f>
        <v>45184</v>
      </c>
      <c r="B6509" s="16" t="str">
        <f>IFERROR(__xludf.DUMMYFUNCTION("""COMPUTED_VALUE"""),"Angie Daniela Meneses ")</f>
        <v>Angie Daniela Meneses </v>
      </c>
      <c r="C6509" s="15" t="str">
        <f>IFERROR(__xludf.DUMMYFUNCTION("""COMPUTED_VALUE"""),"POPAYAN")</f>
        <v>POPAYAN</v>
      </c>
      <c r="D6509" s="15" t="str">
        <f>IFERROR(__xludf.DUMMYFUNCTION("""COMPUTED_VALUE"""),"MEDELLÍN")</f>
        <v>MEDELLÍN</v>
      </c>
      <c r="E6509" s="15" t="str">
        <f>IFERROR(__xludf.DUMMYFUNCTION("""COMPUTED_VALUE"""),"AREPAS LA MARY")</f>
        <v>AREPAS LA MARY</v>
      </c>
      <c r="F6509" s="17" t="str">
        <f>IFERROR(__xludf.DUMMYFUNCTION("""COMPUTED_VALUE"""),"CRA 9 # 18 N- 239 / LOCAL 4 TERRAZAS DEL NORTE")</f>
        <v>CRA 9 # 18 N- 239 / LOCAL 4 TERRAZAS DEL NORTE</v>
      </c>
      <c r="G6509" s="15" t="str">
        <f>IFERROR(__xludf.DUMMYFUNCTION("""COMPUTED_VALUE"""),"VITA FIT POPAYAN")</f>
        <v>VITA FIT POPAYAN</v>
      </c>
      <c r="H6509" s="16">
        <f>IFERROR(__xludf.DUMMYFUNCTION("""COMPUTED_VALUE"""),15144.0)</f>
        <v>15144</v>
      </c>
      <c r="I6509" s="18">
        <f>IFERROR(__xludf.DUMMYFUNCTION("""COMPUTED_VALUE"""),89.0)</f>
        <v>89</v>
      </c>
      <c r="J6509" s="18">
        <f>IFERROR(__xludf.DUMMYFUNCTION("""COMPUTED_VALUE"""),1.0)</f>
        <v>1</v>
      </c>
      <c r="K6509" s="18">
        <f>IFERROR(__xludf.DUMMYFUNCTION("""COMPUTED_VALUE"""),10.0)</f>
        <v>10</v>
      </c>
      <c r="L6509" s="17">
        <f>IFERROR(__xludf.DUMMYFUNCTION("""COMPUTED_VALUE"""),3.017324093E9)</f>
        <v>3017324093</v>
      </c>
      <c r="M6509" s="17" t="str">
        <f>IFERROR(__xludf.DUMMYFUNCTION("""COMPUTED_VALUE"""),"#REF!")</f>
        <v>#REF!</v>
      </c>
      <c r="N6509" s="17"/>
      <c r="O6509" s="17"/>
      <c r="P6509" s="17" t="b">
        <f>IFERROR(__xludf.DUMMYFUNCTION("""COMPUTED_VALUE"""),TRUE)</f>
        <v>1</v>
      </c>
      <c r="Q6509" s="20">
        <f>IFERROR(__xludf.DUMMYFUNCTION("""COMPUTED_VALUE"""),45187.30004428241)</f>
        <v>45187.30004</v>
      </c>
      <c r="R6509" s="22" t="str">
        <f>IFERROR(__xludf.DUMMYFUNCTION("""COMPUTED_VALUE"""),"")</f>
        <v/>
      </c>
    </row>
    <row r="6510">
      <c r="A6510" s="15">
        <f>IFERROR(__xludf.DUMMYFUNCTION("""COMPUTED_VALUE"""),45184.0)</f>
        <v>45184</v>
      </c>
      <c r="B6510" s="16" t="str">
        <f>IFERROR(__xludf.DUMMYFUNCTION("""COMPUTED_VALUE"""),"Angie Daniela Meneses ")</f>
        <v>Angie Daniela Meneses </v>
      </c>
      <c r="C6510" s="15" t="str">
        <f>IFERROR(__xludf.DUMMYFUNCTION("""COMPUTED_VALUE"""),"PUERTO COLOMBIA")</f>
        <v>PUERTO COLOMBIA</v>
      </c>
      <c r="D6510" s="15" t="str">
        <f>IFERROR(__xludf.DUMMYFUNCTION("""COMPUTED_VALUE"""),"BOGOTÁ")</f>
        <v>BOGOTÁ</v>
      </c>
      <c r="E6510" s="15" t="str">
        <f>IFERROR(__xludf.DUMMYFUNCTION("""COMPUTED_VALUE"""),"Top Spun")</f>
        <v>Top Spun</v>
      </c>
      <c r="F6510" s="17" t="str">
        <f>IFERROR(__xludf.DUMMYFUNCTION("""COMPUTED_VALUE"""),"Calle 3b transv 3b-105 / Plazuela del mar 2 8-802 / Puerto colombia Atlántico")</f>
        <v>Calle 3b transv 3b-105 / Plazuela del mar 2 8-802 / Puerto colombia Atlántico</v>
      </c>
      <c r="G6510" s="15" t="str">
        <f>IFERROR(__xludf.DUMMYFUNCTION("""COMPUTED_VALUE"""),"Tania Corrales")</f>
        <v>Tania Corrales</v>
      </c>
      <c r="H6510" s="16">
        <f>IFERROR(__xludf.DUMMYFUNCTION("""COMPUTED_VALUE"""),14963.0)</f>
        <v>14963</v>
      </c>
      <c r="I6510" s="18">
        <f>IFERROR(__xludf.DUMMYFUNCTION("""COMPUTED_VALUE"""),20.0)</f>
        <v>20</v>
      </c>
      <c r="J6510" s="18">
        <f>IFERROR(__xludf.DUMMYFUNCTION("""COMPUTED_VALUE"""),10.0)</f>
        <v>10</v>
      </c>
      <c r="K6510" s="18">
        <f>IFERROR(__xludf.DUMMYFUNCTION("""COMPUTED_VALUE"""),40.0)</f>
        <v>40</v>
      </c>
      <c r="L6510" s="17">
        <f>IFERROR(__xludf.DUMMYFUNCTION("""COMPUTED_VALUE"""),3.145106452E9)</f>
        <v>3145106452</v>
      </c>
      <c r="M6510" s="17" t="str">
        <f>IFERROR(__xludf.DUMMYFUNCTION("""COMPUTED_VALUE"""),"#REF!")</f>
        <v>#REF!</v>
      </c>
      <c r="N6510" s="17"/>
      <c r="O6510" s="17"/>
      <c r="P6510" s="17" t="b">
        <f>IFERROR(__xludf.DUMMYFUNCTION("""COMPUTED_VALUE"""),TRUE)</f>
        <v>1</v>
      </c>
      <c r="Q6510" s="20">
        <f>IFERROR(__xludf.DUMMYFUNCTION("""COMPUTED_VALUE"""),45187.30004428241)</f>
        <v>45187.30004</v>
      </c>
      <c r="R6510" s="22" t="str">
        <f>IFERROR(__xludf.DUMMYFUNCTION("""COMPUTED_VALUE"""),"")</f>
        <v/>
      </c>
    </row>
    <row r="6511">
      <c r="A6511" s="17" t="str">
        <f>IFERROR(__xludf.DUMMYFUNCTION("""COMPUTED_VALUE"""),"")</f>
        <v/>
      </c>
      <c r="B6511" s="17" t="str">
        <f>IFERROR(__xludf.DUMMYFUNCTION("""COMPUTED_VALUE"""),"")</f>
        <v/>
      </c>
      <c r="C6511" s="17" t="str">
        <f>IFERROR(__xludf.DUMMYFUNCTION("""COMPUTED_VALUE"""),"")</f>
        <v/>
      </c>
      <c r="D6511" s="17" t="str">
        <f>IFERROR(__xludf.DUMMYFUNCTION("""COMPUTED_VALUE"""),"")</f>
        <v/>
      </c>
      <c r="E6511" s="17" t="str">
        <f>IFERROR(__xludf.DUMMYFUNCTION("""COMPUTED_VALUE"""),"")</f>
        <v/>
      </c>
      <c r="F6511" s="17" t="str">
        <f>IFERROR(__xludf.DUMMYFUNCTION("""COMPUTED_VALUE"""),"")</f>
        <v/>
      </c>
      <c r="G6511" s="17" t="str">
        <f>IFERROR(__xludf.DUMMYFUNCTION("""COMPUTED_VALUE"""),"")</f>
        <v/>
      </c>
      <c r="H6511" s="17" t="str">
        <f>IFERROR(__xludf.DUMMYFUNCTION("""COMPUTED_VALUE"""),"")</f>
        <v/>
      </c>
      <c r="I6511" s="17" t="str">
        <f>IFERROR(__xludf.DUMMYFUNCTION("""COMPUTED_VALUE"""),"")</f>
        <v/>
      </c>
      <c r="J6511" s="17" t="str">
        <f>IFERROR(__xludf.DUMMYFUNCTION("""COMPUTED_VALUE"""),"")</f>
        <v/>
      </c>
      <c r="K6511" s="17" t="str">
        <f>IFERROR(__xludf.DUMMYFUNCTION("""COMPUTED_VALUE"""),"")</f>
        <v/>
      </c>
      <c r="L6511" s="17" t="str">
        <f>IFERROR(__xludf.DUMMYFUNCTION("""COMPUTED_VALUE"""),"")</f>
        <v/>
      </c>
      <c r="M6511" s="17" t="str">
        <f>IFERROR(__xludf.DUMMYFUNCTION("""COMPUTED_VALUE"""),"")</f>
        <v/>
      </c>
      <c r="N6511" s="17" t="str">
        <f>IFERROR(__xludf.DUMMYFUNCTION("""COMPUTED_VALUE"""),"")</f>
        <v/>
      </c>
      <c r="O6511" s="17" t="str">
        <f>IFERROR(__xludf.DUMMYFUNCTION("""COMPUTED_VALUE"""),"")</f>
        <v/>
      </c>
      <c r="P6511" s="17" t="str">
        <f>IFERROR(__xludf.DUMMYFUNCTION("""COMPUTED_VALUE"""),"")</f>
        <v/>
      </c>
      <c r="Q6511" s="17" t="str">
        <f>IFERROR(__xludf.DUMMYFUNCTION("""COMPUTED_VALUE"""),"")</f>
        <v/>
      </c>
      <c r="R6511" s="17" t="str">
        <f>IFERROR(__xludf.DUMMYFUNCTION("""COMPUTED_VALUE"""),"")</f>
        <v/>
      </c>
    </row>
    <row r="6512">
      <c r="A6512" s="15">
        <f>IFERROR(__xludf.DUMMYFUNCTION("""COMPUTED_VALUE"""),45184.0)</f>
        <v>45184</v>
      </c>
      <c r="B6512" s="16" t="str">
        <f>IFERROR(__xludf.DUMMYFUNCTION("""COMPUTED_VALUE"""),"Daniel José sandoval gonzalez")</f>
        <v>Daniel José sandoval gonzalez</v>
      </c>
      <c r="C6512" s="15" t="str">
        <f>IFERROR(__xludf.DUMMYFUNCTION("""COMPUTED_VALUE"""),"BARRANQUILLA")</f>
        <v>BARRANQUILLA</v>
      </c>
      <c r="D6512" s="15" t="str">
        <f>IFERROR(__xludf.DUMMYFUNCTION("""COMPUTED_VALUE"""),"BOGOTÁ")</f>
        <v>BOGOTÁ</v>
      </c>
      <c r="E6512" s="15" t="str">
        <f>IFERROR(__xludf.DUMMYFUNCTION("""COMPUTED_VALUE"""),"Mochi")</f>
        <v>Mochi</v>
      </c>
      <c r="F6512" s="17" t="str">
        <f>IFERROR(__xludf.DUMMYFUNCTION("""COMPUTED_VALUE"""),"Cra 51b#87-50 / Centro comercial  / Rio mar")</f>
        <v>Cra 51b#87-50 / Centro comercial  / Rio mar</v>
      </c>
      <c r="G6512" s="15" t="str">
        <f>IFERROR(__xludf.DUMMYFUNCTION("""COMPUTED_VALUE"""),"María Camila Giraldo")</f>
        <v>María Camila Giraldo</v>
      </c>
      <c r="H6512" s="16">
        <f>IFERROR(__xludf.DUMMYFUNCTION("""COMPUTED_VALUE"""),15271.0)</f>
        <v>15271</v>
      </c>
      <c r="I6512" s="18">
        <f>IFERROR(__xludf.DUMMYFUNCTION("""COMPUTED_VALUE"""),55.0)</f>
        <v>55</v>
      </c>
      <c r="J6512" s="18">
        <f>IFERROR(__xludf.DUMMYFUNCTION("""COMPUTED_VALUE"""),45.0)</f>
        <v>45</v>
      </c>
      <c r="K6512" s="18" t="str">
        <f>IFERROR(__xludf.DUMMYFUNCTION("""COMPUTED_VALUE"""),"52.5")</f>
        <v>52.5</v>
      </c>
      <c r="L6512" s="17">
        <f>IFERROR(__xludf.DUMMYFUNCTION("""COMPUTED_VALUE"""),3.116026252E9)</f>
        <v>3116026252</v>
      </c>
      <c r="M6512" s="17" t="str">
        <f>IFERROR(__xludf.DUMMYFUNCTION("""COMPUTED_VALUE"""),"#REF!")</f>
        <v>#REF!</v>
      </c>
      <c r="N6512" s="17"/>
      <c r="O6512" s="17"/>
      <c r="P6512" s="17" t="b">
        <f>IFERROR(__xludf.DUMMYFUNCTION("""COMPUTED_VALUE"""),TRUE)</f>
        <v>1</v>
      </c>
      <c r="Q6512" s="20">
        <f>IFERROR(__xludf.DUMMYFUNCTION("""COMPUTED_VALUE"""),45187.30004428241)</f>
        <v>45187.30004</v>
      </c>
      <c r="R6512" s="22" t="str">
        <f>IFERROR(__xludf.DUMMYFUNCTION("""COMPUTED_VALUE"""),"")</f>
        <v/>
      </c>
    </row>
    <row r="6513">
      <c r="A6513" s="15">
        <f>IFERROR(__xludf.DUMMYFUNCTION("""COMPUTED_VALUE"""),45184.0)</f>
        <v>45184</v>
      </c>
      <c r="B6513" s="16" t="str">
        <f>IFERROR(__xludf.DUMMYFUNCTION("""COMPUTED_VALUE"""),"Daniel José sandoval gonzalez")</f>
        <v>Daniel José sandoval gonzalez</v>
      </c>
      <c r="C6513" s="15" t="str">
        <f>IFERROR(__xludf.DUMMYFUNCTION("""COMPUTED_VALUE"""),"BARRANQUILLA")</f>
        <v>BARRANQUILLA</v>
      </c>
      <c r="D6513" s="15" t="str">
        <f>IFERROR(__xludf.DUMMYFUNCTION("""COMPUTED_VALUE"""),"BOGOTÁ")</f>
        <v>BOGOTÁ</v>
      </c>
      <c r="E6513" s="15" t="str">
        <f>IFERROR(__xludf.DUMMYFUNCTION("""COMPUTED_VALUE"""),"Viral Brands")</f>
        <v>Viral Brands</v>
      </c>
      <c r="F6513" s="17" t="str">
        <f>IFERROR(__xludf.DUMMYFUNCTION("""COMPUTED_VALUE"""),"cra 58 n 96-187 / restaurante maya / buenavista")</f>
        <v>cra 58 n 96-187 / restaurante maya / buenavista</v>
      </c>
      <c r="G6513" s="15" t="str">
        <f>IFERROR(__xludf.DUMMYFUNCTION("""COMPUTED_VALUE"""),"restaurante maya gaucho")</f>
        <v>restaurante maya gaucho</v>
      </c>
      <c r="H6513" s="16">
        <f>IFERROR(__xludf.DUMMYFUNCTION("""COMPUTED_VALUE"""),15272.0)</f>
        <v>15272</v>
      </c>
      <c r="I6513" s="18">
        <f>IFERROR(__xludf.DUMMYFUNCTION("""COMPUTED_VALUE"""),50.0)</f>
        <v>50</v>
      </c>
      <c r="J6513" s="18">
        <f>IFERROR(__xludf.DUMMYFUNCTION("""COMPUTED_VALUE"""),30.0)</f>
        <v>30</v>
      </c>
      <c r="K6513" s="18">
        <f>IFERROR(__xludf.DUMMYFUNCTION("""COMPUTED_VALUE"""),21.0)</f>
        <v>21</v>
      </c>
      <c r="L6513" s="17">
        <f>IFERROR(__xludf.DUMMYFUNCTION("""COMPUTED_VALUE"""),3.122454394E9)</f>
        <v>3122454394</v>
      </c>
      <c r="M6513" s="17" t="str">
        <f>IFERROR(__xludf.DUMMYFUNCTION("""COMPUTED_VALUE"""),"#REF!")</f>
        <v>#REF!</v>
      </c>
      <c r="N6513" s="17"/>
      <c r="O6513" s="17"/>
      <c r="P6513" s="17" t="b">
        <f>IFERROR(__xludf.DUMMYFUNCTION("""COMPUTED_VALUE"""),FALSE)</f>
        <v>0</v>
      </c>
      <c r="Q6513" s="20" t="str">
        <f>IFERROR(__xludf.DUMMYFUNCTION("""COMPUTED_VALUE"""),"")</f>
        <v/>
      </c>
      <c r="R6513" s="22" t="str">
        <f>IFERROR(__xludf.DUMMYFUNCTION("""COMPUTED_VALUE"""),"")</f>
        <v/>
      </c>
    </row>
    <row r="6514">
      <c r="A6514" s="15">
        <f>IFERROR(__xludf.DUMMYFUNCTION("""COMPUTED_VALUE"""),45184.0)</f>
        <v>45184</v>
      </c>
      <c r="B6514" s="16" t="str">
        <f>IFERROR(__xludf.DUMMYFUNCTION("""COMPUTED_VALUE"""),"Daniel José sandoval gonzalez")</f>
        <v>Daniel José sandoval gonzalez</v>
      </c>
      <c r="C6514" s="15" t="str">
        <f>IFERROR(__xludf.DUMMYFUNCTION("""COMPUTED_VALUE"""),"BARRANQUILLA")</f>
        <v>BARRANQUILLA</v>
      </c>
      <c r="D6514" s="15" t="str">
        <f>IFERROR(__xludf.DUMMYFUNCTION("""COMPUTED_VALUE"""),"MEDELLÍN")</f>
        <v>MEDELLÍN</v>
      </c>
      <c r="E6514" s="15" t="str">
        <f>IFERROR(__xludf.DUMMYFUNCTION("""COMPUTED_VALUE"""),"Rambla")</f>
        <v>Rambla</v>
      </c>
      <c r="F6514" s="17" t="str">
        <f>IFERROR(__xludf.DUMMYFUNCTION("""COMPUTED_VALUE"""),"CARRERA 74 #76-74 / - / -")</f>
        <v>CARRERA 74 #76-74 / - / -</v>
      </c>
      <c r="G6514" s="15" t="str">
        <f>IFERROR(__xludf.DUMMYFUNCTION("""COMPUTED_VALUE"""),"Fit Hub")</f>
        <v>Fit Hub</v>
      </c>
      <c r="H6514" s="16">
        <f>IFERROR(__xludf.DUMMYFUNCTION("""COMPUTED_VALUE"""),15263.0)</f>
        <v>15263</v>
      </c>
      <c r="I6514" s="18">
        <f>IFERROR(__xludf.DUMMYFUNCTION("""COMPUTED_VALUE"""),15.0)</f>
        <v>15</v>
      </c>
      <c r="J6514" s="18">
        <f>IFERROR(__xludf.DUMMYFUNCTION("""COMPUTED_VALUE"""),14.0)</f>
        <v>14</v>
      </c>
      <c r="K6514" s="18">
        <f>IFERROR(__xludf.DUMMYFUNCTION("""COMPUTED_VALUE"""),14.0)</f>
        <v>14</v>
      </c>
      <c r="L6514" s="17">
        <f>IFERROR(__xludf.DUMMYFUNCTION("""COMPUTED_VALUE"""),3.157039547E9)</f>
        <v>3157039547</v>
      </c>
      <c r="M6514" s="17" t="str">
        <f>IFERROR(__xludf.DUMMYFUNCTION("""COMPUTED_VALUE"""),"#REF!")</f>
        <v>#REF!</v>
      </c>
      <c r="N6514" s="17"/>
      <c r="O6514" s="17"/>
      <c r="P6514" s="17" t="b">
        <f>IFERROR(__xludf.DUMMYFUNCTION("""COMPUTED_VALUE"""),FALSE)</f>
        <v>0</v>
      </c>
      <c r="Q6514" s="20" t="str">
        <f>IFERROR(__xludf.DUMMYFUNCTION("""COMPUTED_VALUE"""),"")</f>
        <v/>
      </c>
      <c r="R6514" s="21" t="str">
        <f>IFERROR(__xludf.DUMMYFUNCTION("""COMPUTED_VALUE"""),"https://drive.google.com/file/d/1iKKP-uc-S79ZBL5Mtju9nLftzfwMQ4J9/view?usp=drivesdk")</f>
        <v>https://drive.google.com/file/d/1iKKP-uc-S79ZBL5Mtju9nLftzfwMQ4J9/view?usp=drivesdk</v>
      </c>
    </row>
    <row r="6515">
      <c r="A6515" s="15">
        <f>IFERROR(__xludf.DUMMYFUNCTION("""COMPUTED_VALUE"""),45184.0)</f>
        <v>45184</v>
      </c>
      <c r="B6515" s="16" t="str">
        <f>IFERROR(__xludf.DUMMYFUNCTION("""COMPUTED_VALUE"""),"Daniel José sandoval gonzalez")</f>
        <v>Daniel José sandoval gonzalez</v>
      </c>
      <c r="C6515" s="15" t="str">
        <f>IFERROR(__xludf.DUMMYFUNCTION("""COMPUTED_VALUE"""),"BARRANQUILLA")</f>
        <v>BARRANQUILLA</v>
      </c>
      <c r="D6515" s="15" t="str">
        <f>IFERROR(__xludf.DUMMYFUNCTION("""COMPUTED_VALUE"""),"MEDELLÍN")</f>
        <v>MEDELLÍN</v>
      </c>
      <c r="E6515" s="15" t="str">
        <f>IFERROR(__xludf.DUMMYFUNCTION("""COMPUTED_VALUE"""),"Rambla")</f>
        <v>Rambla</v>
      </c>
      <c r="F6515" s="17" t="str">
        <f>IFERROR(__xludf.DUMMYFUNCTION("""COMPUTED_VALUE"""),"Cr 5187-50 en el exito viva Barranquilla / - / -")</f>
        <v>Cr 5187-50 en el exito viva Barranquilla / - / -</v>
      </c>
      <c r="G6515" s="15" t="str">
        <f>IFERROR(__xludf.DUMMYFUNCTION("""COMPUTED_VALUE"""),"Zonazul")</f>
        <v>Zonazul</v>
      </c>
      <c r="H6515" s="16">
        <f>IFERROR(__xludf.DUMMYFUNCTION("""COMPUTED_VALUE"""),15256.0)</f>
        <v>15256</v>
      </c>
      <c r="I6515" s="18">
        <f>IFERROR(__xludf.DUMMYFUNCTION("""COMPUTED_VALUE"""),24.0)</f>
        <v>24</v>
      </c>
      <c r="J6515" s="18">
        <f>IFERROR(__xludf.DUMMYFUNCTION("""COMPUTED_VALUE"""),28.0)</f>
        <v>28</v>
      </c>
      <c r="K6515" s="18">
        <f>IFERROR(__xludf.DUMMYFUNCTION("""COMPUTED_VALUE"""),28.0)</f>
        <v>28</v>
      </c>
      <c r="L6515" s="17">
        <f>IFERROR(__xludf.DUMMYFUNCTION("""COMPUTED_VALUE"""),3.105626817E9)</f>
        <v>3105626817</v>
      </c>
      <c r="M6515" s="17" t="str">
        <f>IFERROR(__xludf.DUMMYFUNCTION("""COMPUTED_VALUE"""),"#REF!")</f>
        <v>#REF!</v>
      </c>
      <c r="N6515" s="17"/>
      <c r="O6515" s="17"/>
      <c r="P6515" s="17" t="b">
        <f>IFERROR(__xludf.DUMMYFUNCTION("""COMPUTED_VALUE"""),FALSE)</f>
        <v>0</v>
      </c>
      <c r="Q6515" s="20" t="str">
        <f>IFERROR(__xludf.DUMMYFUNCTION("""COMPUTED_VALUE"""),"")</f>
        <v/>
      </c>
      <c r="R6515" s="21" t="str">
        <f>IFERROR(__xludf.DUMMYFUNCTION("""COMPUTED_VALUE"""),"https://drive.google.com/file/d/1FRYkPUr-GWRrr6bjsvQRQ_WC1u7naA4w/view?usp=drivesdk")</f>
        <v>https://drive.google.com/file/d/1FRYkPUr-GWRrr6bjsvQRQ_WC1u7naA4w/view?usp=drivesdk</v>
      </c>
    </row>
    <row r="6516">
      <c r="A6516" s="15">
        <f>IFERROR(__xludf.DUMMYFUNCTION("""COMPUTED_VALUE"""),45184.0)</f>
        <v>45184</v>
      </c>
      <c r="B6516" s="16" t="str">
        <f>IFERROR(__xludf.DUMMYFUNCTION("""COMPUTED_VALUE"""),"Daniel José sandoval gonzalez")</f>
        <v>Daniel José sandoval gonzalez</v>
      </c>
      <c r="C6516" s="15" t="str">
        <f>IFERROR(__xludf.DUMMYFUNCTION("""COMPUTED_VALUE"""),"BARRANQUILLA")</f>
        <v>BARRANQUILLA</v>
      </c>
      <c r="D6516" s="15" t="str">
        <f>IFERROR(__xludf.DUMMYFUNCTION("""COMPUTED_VALUE"""),"MEDELLÍN")</f>
        <v>MEDELLÍN</v>
      </c>
      <c r="E6516" s="15" t="str">
        <f>IFERROR(__xludf.DUMMYFUNCTION("""COMPUTED_VALUE"""),"Todo Bufala")</f>
        <v>Todo Bufala</v>
      </c>
      <c r="F6516" s="17" t="str">
        <f>IFERROR(__xludf.DUMMYFUNCTION("""COMPUTED_VALUE"""),"cra 43 N 84 - 74 / Centro nutricional local 3")</f>
        <v>cra 43 N 84 - 74 / Centro nutricional local 3</v>
      </c>
      <c r="G6516" s="15" t="str">
        <f>IFERROR(__xludf.DUMMYFUNCTION("""COMPUTED_VALUE"""),"Eliana Sarmiento")</f>
        <v>Eliana Sarmiento</v>
      </c>
      <c r="H6516" s="16">
        <f>IFERROR(__xludf.DUMMYFUNCTION("""COMPUTED_VALUE"""),14967.0)</f>
        <v>14967</v>
      </c>
      <c r="I6516" s="18">
        <f>IFERROR(__xludf.DUMMYFUNCTION("""COMPUTED_VALUE"""),20.0)</f>
        <v>20</v>
      </c>
      <c r="J6516" s="18">
        <f>IFERROR(__xludf.DUMMYFUNCTION("""COMPUTED_VALUE"""),30.0)</f>
        <v>30</v>
      </c>
      <c r="K6516" s="18">
        <f>IFERROR(__xludf.DUMMYFUNCTION("""COMPUTED_VALUE"""),40.0)</f>
        <v>40</v>
      </c>
      <c r="L6516" s="17">
        <f>IFERROR(__xludf.DUMMYFUNCTION("""COMPUTED_VALUE"""),3.226082052E9)</f>
        <v>3226082052</v>
      </c>
      <c r="M6516" s="17" t="str">
        <f>IFERROR(__xludf.DUMMYFUNCTION("""COMPUTED_VALUE"""),"#REF!")</f>
        <v>#REF!</v>
      </c>
      <c r="N6516" s="17"/>
      <c r="O6516" s="17"/>
      <c r="P6516" s="17" t="b">
        <f>IFERROR(__xludf.DUMMYFUNCTION("""COMPUTED_VALUE"""),FALSE)</f>
        <v>0</v>
      </c>
      <c r="Q6516" s="20" t="str">
        <f>IFERROR(__xludf.DUMMYFUNCTION("""COMPUTED_VALUE"""),"")</f>
        <v/>
      </c>
      <c r="R6516" s="21" t="str">
        <f>IFERROR(__xludf.DUMMYFUNCTION("""COMPUTED_VALUE"""),"https://drive.google.com/file/d/1S5DLVe_reUiwmEx48z-KSZ7_OJDQfsI3/view?usp=drivesdk")</f>
        <v>https://drive.google.com/file/d/1S5DLVe_reUiwmEx48z-KSZ7_OJDQfsI3/view?usp=drivesdk</v>
      </c>
    </row>
    <row r="6517">
      <c r="A6517" s="17" t="str">
        <f>IFERROR(__xludf.DUMMYFUNCTION("""COMPUTED_VALUE"""),"")</f>
        <v/>
      </c>
      <c r="B6517" s="17" t="str">
        <f>IFERROR(__xludf.DUMMYFUNCTION("""COMPUTED_VALUE"""),"")</f>
        <v/>
      </c>
      <c r="C6517" s="17" t="str">
        <f>IFERROR(__xludf.DUMMYFUNCTION("""COMPUTED_VALUE"""),"")</f>
        <v/>
      </c>
      <c r="D6517" s="17" t="str">
        <f>IFERROR(__xludf.DUMMYFUNCTION("""COMPUTED_VALUE"""),"")</f>
        <v/>
      </c>
      <c r="E6517" s="17" t="str">
        <f>IFERROR(__xludf.DUMMYFUNCTION("""COMPUTED_VALUE"""),"")</f>
        <v/>
      </c>
      <c r="F6517" s="17" t="str">
        <f>IFERROR(__xludf.DUMMYFUNCTION("""COMPUTED_VALUE"""),"")</f>
        <v/>
      </c>
      <c r="G6517" s="17" t="str">
        <f>IFERROR(__xludf.DUMMYFUNCTION("""COMPUTED_VALUE"""),"")</f>
        <v/>
      </c>
      <c r="H6517" s="17" t="str">
        <f>IFERROR(__xludf.DUMMYFUNCTION("""COMPUTED_VALUE"""),"")</f>
        <v/>
      </c>
      <c r="I6517" s="17" t="str">
        <f>IFERROR(__xludf.DUMMYFUNCTION("""COMPUTED_VALUE"""),"")</f>
        <v/>
      </c>
      <c r="J6517" s="17" t="str">
        <f>IFERROR(__xludf.DUMMYFUNCTION("""COMPUTED_VALUE"""),"")</f>
        <v/>
      </c>
      <c r="K6517" s="17" t="str">
        <f>IFERROR(__xludf.DUMMYFUNCTION("""COMPUTED_VALUE"""),"")</f>
        <v/>
      </c>
      <c r="L6517" s="17" t="str">
        <f>IFERROR(__xludf.DUMMYFUNCTION("""COMPUTED_VALUE"""),"")</f>
        <v/>
      </c>
      <c r="M6517" s="17" t="str">
        <f>IFERROR(__xludf.DUMMYFUNCTION("""COMPUTED_VALUE"""),"")</f>
        <v/>
      </c>
      <c r="N6517" s="17" t="str">
        <f>IFERROR(__xludf.DUMMYFUNCTION("""COMPUTED_VALUE"""),"")</f>
        <v/>
      </c>
      <c r="O6517" s="17" t="str">
        <f>IFERROR(__xludf.DUMMYFUNCTION("""COMPUTED_VALUE"""),"")</f>
        <v/>
      </c>
      <c r="P6517" s="17" t="str">
        <f>IFERROR(__xludf.DUMMYFUNCTION("""COMPUTED_VALUE"""),"")</f>
        <v/>
      </c>
      <c r="Q6517" s="17" t="str">
        <f>IFERROR(__xludf.DUMMYFUNCTION("""COMPUTED_VALUE"""),"")</f>
        <v/>
      </c>
      <c r="R6517" s="17" t="str">
        <f>IFERROR(__xludf.DUMMYFUNCTION("""COMPUTED_VALUE"""),"")</f>
        <v/>
      </c>
    </row>
    <row r="6518">
      <c r="A6518" s="15">
        <f>IFERROR(__xludf.DUMMYFUNCTION("""COMPUTED_VALUE"""),45184.0)</f>
        <v>45184</v>
      </c>
      <c r="B6518" s="16" t="str">
        <f>IFERROR(__xludf.DUMMYFUNCTION("""COMPUTED_VALUE"""),"Edgardo Antonio Morales Gómez")</f>
        <v>Edgardo Antonio Morales Gómez</v>
      </c>
      <c r="C6518" s="15" t="str">
        <f>IFERROR(__xludf.DUMMYFUNCTION("""COMPUTED_VALUE"""),"CÚCUTA")</f>
        <v>CÚCUTA</v>
      </c>
      <c r="D6518" s="15" t="str">
        <f>IFERROR(__xludf.DUMMYFUNCTION("""COMPUTED_VALUE"""),"MEDELLÍN")</f>
        <v>MEDELLÍN</v>
      </c>
      <c r="E6518" s="15" t="str">
        <f>IFERROR(__xludf.DUMMYFUNCTION("""COMPUTED_VALUE"""),"Rambla")</f>
        <v>Rambla</v>
      </c>
      <c r="F6518" s="17" t="str">
        <f>IFERROR(__xludf.DUMMYFUNCTION("""COMPUTED_VALUE"""),"Av 9e # 7-12 la Riviera / - / -")</f>
        <v>Av 9e # 7-12 la Riviera / - / -</v>
      </c>
      <c r="G6518" s="15" t="str">
        <f>IFERROR(__xludf.DUMMYFUNCTION("""COMPUTED_VALUE"""),"Sexto sentido")</f>
        <v>Sexto sentido</v>
      </c>
      <c r="H6518" s="16">
        <f>IFERROR(__xludf.DUMMYFUNCTION("""COMPUTED_VALUE"""),15260.0)</f>
        <v>15260</v>
      </c>
      <c r="I6518" s="18">
        <f>IFERROR(__xludf.DUMMYFUNCTION("""COMPUTED_VALUE"""),24.0)</f>
        <v>24</v>
      </c>
      <c r="J6518" s="18">
        <f>IFERROR(__xludf.DUMMYFUNCTION("""COMPUTED_VALUE"""),23.0)</f>
        <v>23</v>
      </c>
      <c r="K6518" s="18">
        <f>IFERROR(__xludf.DUMMYFUNCTION("""COMPUTED_VALUE"""),23.0)</f>
        <v>23</v>
      </c>
      <c r="L6518" s="17">
        <f>IFERROR(__xludf.DUMMYFUNCTION("""COMPUTED_VALUE"""),3.154996494E9)</f>
        <v>3154996494</v>
      </c>
      <c r="M6518" s="17" t="str">
        <f>IFERROR(__xludf.DUMMYFUNCTION("""COMPUTED_VALUE"""),"#REF!")</f>
        <v>#REF!</v>
      </c>
      <c r="N6518" s="17"/>
      <c r="O6518" s="17"/>
      <c r="P6518" s="17" t="b">
        <f>IFERROR(__xludf.DUMMYFUNCTION("""COMPUTED_VALUE"""),FALSE)</f>
        <v>0</v>
      </c>
      <c r="Q6518" s="20" t="str">
        <f>IFERROR(__xludf.DUMMYFUNCTION("""COMPUTED_VALUE"""),"")</f>
        <v/>
      </c>
      <c r="R6518" s="22" t="str">
        <f>IFERROR(__xludf.DUMMYFUNCTION("""COMPUTED_VALUE"""),"")</f>
        <v/>
      </c>
    </row>
    <row r="6519">
      <c r="A6519" s="15">
        <f>IFERROR(__xludf.DUMMYFUNCTION("""COMPUTED_VALUE"""),45184.0)</f>
        <v>45184</v>
      </c>
      <c r="B6519" s="16" t="str">
        <f>IFERROR(__xludf.DUMMYFUNCTION("""COMPUTED_VALUE"""),"Edgardo Antonio Morales Gómez")</f>
        <v>Edgardo Antonio Morales Gómez</v>
      </c>
      <c r="C6519" s="15" t="str">
        <f>IFERROR(__xludf.DUMMYFUNCTION("""COMPUTED_VALUE"""),"PEREIRA")</f>
        <v>PEREIRA</v>
      </c>
      <c r="D6519" s="15" t="str">
        <f>IFERROR(__xludf.DUMMYFUNCTION("""COMPUTED_VALUE"""),"BOGOTÁ")</f>
        <v>BOGOTÁ</v>
      </c>
      <c r="E6519" s="15" t="str">
        <f>IFERROR(__xludf.DUMMYFUNCTION("""COMPUTED_VALUE"""),"Ins. Alimento Vital")</f>
        <v>Ins. Alimento Vital</v>
      </c>
      <c r="F6519" s="17" t="str">
        <f>IFERROR(__xludf.DUMMYFUNCTION("""COMPUTED_VALUE"""),"CR 5 18 43 / EDIFICIO CHALJUB / BARRIO URIBE")</f>
        <v>CR 5 18 43 / EDIFICIO CHALJUB / BARRIO URIBE</v>
      </c>
      <c r="G6519" s="15" t="str">
        <f>IFERROR(__xludf.DUMMYFUNCTION("""COMPUTED_VALUE"""),"CHALJUB")</f>
        <v>CHALJUB</v>
      </c>
      <c r="H6519" s="16">
        <f>IFERROR(__xludf.DUMMYFUNCTION("""COMPUTED_VALUE"""),15274.0)</f>
        <v>15274</v>
      </c>
      <c r="I6519" s="18">
        <f>IFERROR(__xludf.DUMMYFUNCTION("""COMPUTED_VALUE"""),1.0)</f>
        <v>1</v>
      </c>
      <c r="J6519" s="18">
        <f>IFERROR(__xludf.DUMMYFUNCTION("""COMPUTED_VALUE"""),1.0)</f>
        <v>1</v>
      </c>
      <c r="K6519" s="18">
        <f>IFERROR(__xludf.DUMMYFUNCTION("""COMPUTED_VALUE"""),1.0)</f>
        <v>1</v>
      </c>
      <c r="L6519" s="17">
        <f>IFERROR(__xludf.DUMMYFUNCTION("""COMPUTED_VALUE"""),3.008252529E9)</f>
        <v>3008252529</v>
      </c>
      <c r="M6519" s="17" t="str">
        <f>IFERROR(__xludf.DUMMYFUNCTION("""COMPUTED_VALUE"""),"#REF!")</f>
        <v>#REF!</v>
      </c>
      <c r="N6519" s="17"/>
      <c r="O6519" s="17"/>
      <c r="P6519" s="17" t="b">
        <f>IFERROR(__xludf.DUMMYFUNCTION("""COMPUTED_VALUE"""),FALSE)</f>
        <v>0</v>
      </c>
      <c r="Q6519" s="20" t="str">
        <f>IFERROR(__xludf.DUMMYFUNCTION("""COMPUTED_VALUE"""),"")</f>
        <v/>
      </c>
      <c r="R6519" s="22" t="str">
        <f>IFERROR(__xludf.DUMMYFUNCTION("""COMPUTED_VALUE"""),"")</f>
        <v/>
      </c>
    </row>
    <row r="6520">
      <c r="A6520" s="17" t="str">
        <f>IFERROR(__xludf.DUMMYFUNCTION("""COMPUTED_VALUE"""),"")</f>
        <v/>
      </c>
      <c r="B6520" s="17" t="str">
        <f>IFERROR(__xludf.DUMMYFUNCTION("""COMPUTED_VALUE"""),"")</f>
        <v/>
      </c>
      <c r="C6520" s="17" t="str">
        <f>IFERROR(__xludf.DUMMYFUNCTION("""COMPUTED_VALUE"""),"")</f>
        <v/>
      </c>
      <c r="D6520" s="17" t="str">
        <f>IFERROR(__xludf.DUMMYFUNCTION("""COMPUTED_VALUE"""),"")</f>
        <v/>
      </c>
      <c r="E6520" s="17" t="str">
        <f>IFERROR(__xludf.DUMMYFUNCTION("""COMPUTED_VALUE"""),"")</f>
        <v/>
      </c>
      <c r="F6520" s="17" t="str">
        <f>IFERROR(__xludf.DUMMYFUNCTION("""COMPUTED_VALUE"""),"")</f>
        <v/>
      </c>
      <c r="G6520" s="17" t="str">
        <f>IFERROR(__xludf.DUMMYFUNCTION("""COMPUTED_VALUE"""),"")</f>
        <v/>
      </c>
      <c r="H6520" s="17" t="str">
        <f>IFERROR(__xludf.DUMMYFUNCTION("""COMPUTED_VALUE"""),"")</f>
        <v/>
      </c>
      <c r="I6520" s="17" t="str">
        <f>IFERROR(__xludf.DUMMYFUNCTION("""COMPUTED_VALUE"""),"")</f>
        <v/>
      </c>
      <c r="J6520" s="17" t="str">
        <f>IFERROR(__xludf.DUMMYFUNCTION("""COMPUTED_VALUE"""),"")</f>
        <v/>
      </c>
      <c r="K6520" s="17" t="str">
        <f>IFERROR(__xludf.DUMMYFUNCTION("""COMPUTED_VALUE"""),"")</f>
        <v/>
      </c>
      <c r="L6520" s="17" t="str">
        <f>IFERROR(__xludf.DUMMYFUNCTION("""COMPUTED_VALUE"""),"")</f>
        <v/>
      </c>
      <c r="M6520" s="17" t="str">
        <f>IFERROR(__xludf.DUMMYFUNCTION("""COMPUTED_VALUE"""),"")</f>
        <v/>
      </c>
      <c r="N6520" s="17" t="str">
        <f>IFERROR(__xludf.DUMMYFUNCTION("""COMPUTED_VALUE"""),"")</f>
        <v/>
      </c>
      <c r="O6520" s="17" t="str">
        <f>IFERROR(__xludf.DUMMYFUNCTION("""COMPUTED_VALUE"""),"")</f>
        <v/>
      </c>
      <c r="P6520" s="17" t="str">
        <f>IFERROR(__xludf.DUMMYFUNCTION("""COMPUTED_VALUE"""),"")</f>
        <v/>
      </c>
      <c r="Q6520" s="17" t="str">
        <f>IFERROR(__xludf.DUMMYFUNCTION("""COMPUTED_VALUE"""),"")</f>
        <v/>
      </c>
      <c r="R6520" s="17" t="str">
        <f>IFERROR(__xludf.DUMMYFUNCTION("""COMPUTED_VALUE"""),"")</f>
        <v/>
      </c>
    </row>
    <row r="6521">
      <c r="A6521" s="15">
        <f>IFERROR(__xludf.DUMMYFUNCTION("""COMPUTED_VALUE"""),45184.0)</f>
        <v>45184</v>
      </c>
      <c r="B6521" s="16" t="str">
        <f>IFERROR(__xludf.DUMMYFUNCTION("""COMPUTED_VALUE"""),"Envia")</f>
        <v>Envia</v>
      </c>
      <c r="C6521" s="15" t="str">
        <f>IFERROR(__xludf.DUMMYFUNCTION("""COMPUTED_VALUE"""),"BOGOTÁ")</f>
        <v>BOGOTÁ</v>
      </c>
      <c r="D6521" s="15" t="str">
        <f>IFERROR(__xludf.DUMMYFUNCTION("""COMPUTED_VALUE"""),"MEDELLÍN")</f>
        <v>MEDELLÍN</v>
      </c>
      <c r="E6521" s="15" t="str">
        <f>IFERROR(__xludf.DUMMYFUNCTION("""COMPUTED_VALUE"""),"AREPAS LA MARY")</f>
        <v>AREPAS LA MARY</v>
      </c>
      <c r="F6521" s="17" t="str">
        <f>IFERROR(__xludf.DUMMYFUNCTION("""COMPUTED_VALUE"""),"Transversal 59b# 127 d - 35 CASA 14 / NIZA BOGOTA")</f>
        <v>Transversal 59b# 127 d - 35 CASA 14 / NIZA BOGOTA</v>
      </c>
      <c r="G6521" s="15" t="str">
        <f>IFERROR(__xludf.DUMMYFUNCTION("""COMPUTED_VALUE"""),"GERMAN DUQUE ARIAS")</f>
        <v>GERMAN DUQUE ARIAS</v>
      </c>
      <c r="H6521" s="16">
        <f>IFERROR(__xludf.DUMMYFUNCTION("""COMPUTED_VALUE"""),15275.0)</f>
        <v>15275</v>
      </c>
      <c r="I6521" s="18">
        <f>IFERROR(__xludf.DUMMYFUNCTION("""COMPUTED_VALUE"""),89.0)</f>
        <v>89</v>
      </c>
      <c r="J6521" s="18">
        <f>IFERROR(__xludf.DUMMYFUNCTION("""COMPUTED_VALUE"""),1.0)</f>
        <v>1</v>
      </c>
      <c r="K6521" s="18">
        <f>IFERROR(__xludf.DUMMYFUNCTION("""COMPUTED_VALUE"""),10.0)</f>
        <v>10</v>
      </c>
      <c r="L6521" s="17">
        <f>IFERROR(__xludf.DUMMYFUNCTION("""COMPUTED_VALUE"""),3.10327928E9)</f>
        <v>3103279280</v>
      </c>
      <c r="M6521" s="17" t="str">
        <f>IFERROR(__xludf.DUMMYFUNCTION("""COMPUTED_VALUE"""),"#REF!")</f>
        <v>#REF!</v>
      </c>
      <c r="N6521" s="17"/>
      <c r="O6521" s="17"/>
      <c r="P6521" s="17" t="b">
        <f>IFERROR(__xludf.DUMMYFUNCTION("""COMPUTED_VALUE"""),FALSE)</f>
        <v>0</v>
      </c>
      <c r="Q6521" s="20" t="str">
        <f>IFERROR(__xludf.DUMMYFUNCTION("""COMPUTED_VALUE"""),"")</f>
        <v/>
      </c>
      <c r="R6521" s="22" t="str">
        <f>IFERROR(__xludf.DUMMYFUNCTION("""COMPUTED_VALUE"""),"")</f>
        <v/>
      </c>
    </row>
    <row r="6522">
      <c r="A6522" s="15">
        <f>IFERROR(__xludf.DUMMYFUNCTION("""COMPUTED_VALUE"""),45184.0)</f>
        <v>45184</v>
      </c>
      <c r="B6522" s="16" t="str">
        <f>IFERROR(__xludf.DUMMYFUNCTION("""COMPUTED_VALUE"""),"Envia")</f>
        <v>Envia</v>
      </c>
      <c r="C6522" s="15" t="str">
        <f>IFERROR(__xludf.DUMMYFUNCTION("""COMPUTED_VALUE"""),"BOGOTÁ")</f>
        <v>BOGOTÁ</v>
      </c>
      <c r="D6522" s="15" t="str">
        <f>IFERROR(__xludf.DUMMYFUNCTION("""COMPUTED_VALUE"""),"MEDELLÍN")</f>
        <v>MEDELLÍN</v>
      </c>
      <c r="E6522" s="15" t="str">
        <f>IFERROR(__xludf.DUMMYFUNCTION("""COMPUTED_VALUE"""),"Carnicos Fricar")</f>
        <v>Carnicos Fricar</v>
      </c>
      <c r="F6522" s="17" t="str">
        <f>IFERROR(__xludf.DUMMYFUNCTION("""COMPUTED_VALUE"""),"Carrera 16 #96-51 Apt 601, Bogotá 110221, / apartamento 601 / unidad")</f>
        <v>Carrera 16 #96-51 Apt 601, Bogotá 110221, / apartamento 601 / unidad</v>
      </c>
      <c r="G6522" s="15" t="str">
        <f>IFERROR(__xludf.DUMMYFUNCTION("""COMPUTED_VALUE"""),"Katherin Falancia")</f>
        <v>Katherin Falancia</v>
      </c>
      <c r="H6522" s="16">
        <f>IFERROR(__xludf.DUMMYFUNCTION("""COMPUTED_VALUE"""),15278.0)</f>
        <v>15278</v>
      </c>
      <c r="I6522" s="18">
        <f>IFERROR(__xludf.DUMMYFUNCTION("""COMPUTED_VALUE"""),15.0)</f>
        <v>15</v>
      </c>
      <c r="J6522" s="18">
        <f>IFERROR(__xludf.DUMMYFUNCTION("""COMPUTED_VALUE"""),25.0)</f>
        <v>25</v>
      </c>
      <c r="K6522" s="18">
        <f>IFERROR(__xludf.DUMMYFUNCTION("""COMPUTED_VALUE"""),30.0)</f>
        <v>30</v>
      </c>
      <c r="L6522" s="17">
        <f>IFERROR(__xludf.DUMMYFUNCTION("""COMPUTED_VALUE"""),5.8424212039E11)</f>
        <v>584242120390</v>
      </c>
      <c r="M6522" s="17" t="str">
        <f>IFERROR(__xludf.DUMMYFUNCTION("""COMPUTED_VALUE"""),"#REF!")</f>
        <v>#REF!</v>
      </c>
      <c r="N6522" s="17"/>
      <c r="O6522" s="17"/>
      <c r="P6522" s="17" t="b">
        <f>IFERROR(__xludf.DUMMYFUNCTION("""COMPUTED_VALUE"""),FALSE)</f>
        <v>0</v>
      </c>
      <c r="Q6522" s="20" t="str">
        <f>IFERROR(__xludf.DUMMYFUNCTION("""COMPUTED_VALUE"""),"")</f>
        <v/>
      </c>
      <c r="R6522" s="21" t="str">
        <f>IFERROR(__xludf.DUMMYFUNCTION("""COMPUTED_VALUE"""),"https://drive.google.com/file/d/1s9s-NOaSYleK9U7zUgFZ1y0g_UYB8sJG/view?usp=drivesdk")</f>
        <v>https://drive.google.com/file/d/1s9s-NOaSYleK9U7zUgFZ1y0g_UYB8sJG/view?usp=drivesdk</v>
      </c>
    </row>
    <row r="6523">
      <c r="A6523" s="15">
        <f>IFERROR(__xludf.DUMMYFUNCTION("""COMPUTED_VALUE"""),45184.0)</f>
        <v>45184</v>
      </c>
      <c r="B6523" s="16" t="str">
        <f>IFERROR(__xludf.DUMMYFUNCTION("""COMPUTED_VALUE"""),"Envia")</f>
        <v>Envia</v>
      </c>
      <c r="C6523" s="15" t="str">
        <f>IFERROR(__xludf.DUMMYFUNCTION("""COMPUTED_VALUE"""),"BOGOTÁ")</f>
        <v>BOGOTÁ</v>
      </c>
      <c r="D6523" s="15" t="str">
        <f>IFERROR(__xludf.DUMMYFUNCTION("""COMPUTED_VALUE"""),"MEDELLÍN")</f>
        <v>MEDELLÍN</v>
      </c>
      <c r="E6523" s="15" t="str">
        <f>IFERROR(__xludf.DUMMYFUNCTION("""COMPUTED_VALUE"""),"Moloso S.A.S")</f>
        <v>Moloso S.A.S</v>
      </c>
      <c r="F6523" s="17" t="str">
        <f>IFERROR(__xludf.DUMMYFUNCTION("""COMPUTED_VALUE"""),"CL 45 45 47 / INT 8 AP 401")</f>
        <v>CL 45 45 47 / INT 8 AP 401</v>
      </c>
      <c r="G6523" s="15" t="str">
        <f>IFERROR(__xludf.DUMMYFUNCTION("""COMPUTED_VALUE"""),"MARIANA ESCOBAR VILLARRAGA")</f>
        <v>MARIANA ESCOBAR VILLARRAGA</v>
      </c>
      <c r="H6523" s="16">
        <f>IFERROR(__xludf.DUMMYFUNCTION("""COMPUTED_VALUE"""),15207.0)</f>
        <v>15207</v>
      </c>
      <c r="I6523" s="18">
        <f>IFERROR(__xludf.DUMMYFUNCTION("""COMPUTED_VALUE"""),17.0)</f>
        <v>17</v>
      </c>
      <c r="J6523" s="18">
        <f>IFERROR(__xludf.DUMMYFUNCTION("""COMPUTED_VALUE"""),15.0)</f>
        <v>15</v>
      </c>
      <c r="K6523" s="18">
        <f>IFERROR(__xludf.DUMMYFUNCTION("""COMPUTED_VALUE"""),28.0)</f>
        <v>28</v>
      </c>
      <c r="L6523" s="17" t="str">
        <f>IFERROR(__xludf.DUMMYFUNCTION("""COMPUTED_VALUE"""),"311 2644656")</f>
        <v>311 2644656</v>
      </c>
      <c r="M6523" s="17" t="str">
        <f>IFERROR(__xludf.DUMMYFUNCTION("""COMPUTED_VALUE"""),"#REF!")</f>
        <v>#REF!</v>
      </c>
      <c r="N6523" s="17"/>
      <c r="O6523" s="17"/>
      <c r="P6523" s="17" t="b">
        <f>IFERROR(__xludf.DUMMYFUNCTION("""COMPUTED_VALUE"""),FALSE)</f>
        <v>0</v>
      </c>
      <c r="Q6523" s="20" t="str">
        <f>IFERROR(__xludf.DUMMYFUNCTION("""COMPUTED_VALUE"""),"")</f>
        <v/>
      </c>
      <c r="R6523" s="21" t="str">
        <f>IFERROR(__xludf.DUMMYFUNCTION("""COMPUTED_VALUE"""),"https://drive.google.com/file/d/1pDVmTuaF49Zpvx4P5CBLGRBQ2Po76r1h/view?usp=drivesdk")</f>
        <v>https://drive.google.com/file/d/1pDVmTuaF49Zpvx4P5CBLGRBQ2Po76r1h/view?usp=drivesdk</v>
      </c>
    </row>
    <row r="6524">
      <c r="A6524" s="15">
        <f>IFERROR(__xludf.DUMMYFUNCTION("""COMPUTED_VALUE"""),45184.0)</f>
        <v>45184</v>
      </c>
      <c r="B6524" s="16" t="str">
        <f>IFERROR(__xludf.DUMMYFUNCTION("""COMPUTED_VALUE"""),"Envia")</f>
        <v>Envia</v>
      </c>
      <c r="C6524" s="15" t="str">
        <f>IFERROR(__xludf.DUMMYFUNCTION("""COMPUTED_VALUE"""),"CÚCUTA")</f>
        <v>CÚCUTA</v>
      </c>
      <c r="D6524" s="15" t="str">
        <f>IFERROR(__xludf.DUMMYFUNCTION("""COMPUTED_VALUE"""),"MEDELLÍN")</f>
        <v>MEDELLÍN</v>
      </c>
      <c r="E6524" s="15" t="str">
        <f>IFERROR(__xludf.DUMMYFUNCTION("""COMPUTED_VALUE"""),"La Bodeguita")</f>
        <v>La Bodeguita</v>
      </c>
      <c r="F6524" s="17" t="str">
        <f>IFERROR(__xludf.DUMMYFUNCTION("""COMPUTED_VALUE"""),"av 3e No 6cn -12 / local comercial / ceiba dos")</f>
        <v>av 3e No 6cn -12 / local comercial / ceiba dos</v>
      </c>
      <c r="G6524" s="15" t="str">
        <f>IFERROR(__xludf.DUMMYFUNCTION("""COMPUTED_VALUE"""),"la bodeguita market fit")</f>
        <v>la bodeguita market fit</v>
      </c>
      <c r="H6524" s="16">
        <f>IFERROR(__xludf.DUMMYFUNCTION("""COMPUTED_VALUE"""),15249.0)</f>
        <v>15249</v>
      </c>
      <c r="I6524" s="18">
        <f>IFERROR(__xludf.DUMMYFUNCTION("""COMPUTED_VALUE"""),12.0)</f>
        <v>12</v>
      </c>
      <c r="J6524" s="18">
        <f>IFERROR(__xludf.DUMMYFUNCTION("""COMPUTED_VALUE"""),30.0)</f>
        <v>30</v>
      </c>
      <c r="K6524" s="18">
        <f>IFERROR(__xludf.DUMMYFUNCTION("""COMPUTED_VALUE"""),40.0)</f>
        <v>40</v>
      </c>
      <c r="L6524" s="17">
        <f>IFERROR(__xludf.DUMMYFUNCTION("""COMPUTED_VALUE"""),3.00384312E9)</f>
        <v>3003843120</v>
      </c>
      <c r="M6524" s="17" t="str">
        <f>IFERROR(__xludf.DUMMYFUNCTION("""COMPUTED_VALUE"""),"#REF!")</f>
        <v>#REF!</v>
      </c>
      <c r="N6524" s="17"/>
      <c r="O6524" s="17"/>
      <c r="P6524" s="17" t="b">
        <f>IFERROR(__xludf.DUMMYFUNCTION("""COMPUTED_VALUE"""),FALSE)</f>
        <v>0</v>
      </c>
      <c r="Q6524" s="20" t="str">
        <f>IFERROR(__xludf.DUMMYFUNCTION("""COMPUTED_VALUE"""),"")</f>
        <v/>
      </c>
      <c r="R6524" s="22" t="str">
        <f>IFERROR(__xludf.DUMMYFUNCTION("""COMPUTED_VALUE"""),"")</f>
        <v/>
      </c>
    </row>
    <row r="6525">
      <c r="A6525" s="15">
        <f>IFERROR(__xludf.DUMMYFUNCTION("""COMPUTED_VALUE"""),45184.0)</f>
        <v>45184</v>
      </c>
      <c r="B6525" s="16" t="str">
        <f>IFERROR(__xludf.DUMMYFUNCTION("""COMPUTED_VALUE"""),"Envia")</f>
        <v>Envia</v>
      </c>
      <c r="C6525" s="15" t="str">
        <f>IFERROR(__xludf.DUMMYFUNCTION("""COMPUTED_VALUE"""),"MEDELLÍN")</f>
        <v>MEDELLÍN</v>
      </c>
      <c r="D6525" s="15" t="str">
        <f>IFERROR(__xludf.DUMMYFUNCTION("""COMPUTED_VALUE"""),"BOGOTÁ")</f>
        <v>BOGOTÁ</v>
      </c>
      <c r="E6525" s="15" t="str">
        <f>IFERROR(__xludf.DUMMYFUNCTION("""COMPUTED_VALUE"""),"Frubits")</f>
        <v>Frubits</v>
      </c>
      <c r="F6525" s="17" t="str">
        <f>IFERROR(__xludf.DUMMYFUNCTION("""COMPUTED_VALUE"""),"Cc DeModa Sótano 1 Local Cocinas Ocultas Cl. 14 #52A-250 (Sotano 1) / Cc DeModa Sótano 1 Local Cocinas Ocultas Cl. 14 #52A-250 (Sotano 1) / Cc DeModa Sótano 1 Local Cocinas Ocultas Cl. 14 #52A-250 (Sotano 1)")</f>
        <v>Cc DeModa Sótano 1 Local Cocinas Ocultas Cl. 14 #52A-250 (Sotano 1) / Cc DeModa Sótano 1 Local Cocinas Ocultas Cl. 14 #52A-250 (Sotano 1) / Cc DeModa Sótano 1 Local Cocinas Ocultas Cl. 14 #52A-250 (Sotano 1)</v>
      </c>
      <c r="G6525" s="15" t="str">
        <f>IFERROR(__xludf.DUMMYFUNCTION("""COMPUTED_VALUE"""),"PIK N PAK COCINAS OCULTAS-Andrés Hernández")</f>
        <v>PIK N PAK COCINAS OCULTAS-Andrés Hernández</v>
      </c>
      <c r="H6525" s="16">
        <f>IFERROR(__xludf.DUMMYFUNCTION("""COMPUTED_VALUE"""),15211.0)</f>
        <v>15211</v>
      </c>
      <c r="I6525" s="18">
        <f>IFERROR(__xludf.DUMMYFUNCTION("""COMPUTED_VALUE"""),12.0)</f>
        <v>12</v>
      </c>
      <c r="J6525" s="18">
        <f>IFERROR(__xludf.DUMMYFUNCTION("""COMPUTED_VALUE"""),12.0)</f>
        <v>12</v>
      </c>
      <c r="K6525" s="18">
        <f>IFERROR(__xludf.DUMMYFUNCTION("""COMPUTED_VALUE"""),12.0)</f>
        <v>12</v>
      </c>
      <c r="L6525" s="17">
        <f>IFERROR(__xludf.DUMMYFUNCTION("""COMPUTED_VALUE"""),3.214229567E9)</f>
        <v>3214229567</v>
      </c>
      <c r="M6525" s="17" t="str">
        <f>IFERROR(__xludf.DUMMYFUNCTION("""COMPUTED_VALUE"""),"#REF!")</f>
        <v>#REF!</v>
      </c>
      <c r="N6525" s="17"/>
      <c r="O6525" s="17"/>
      <c r="P6525" s="17" t="b">
        <f>IFERROR(__xludf.DUMMYFUNCTION("""COMPUTED_VALUE"""),FALSE)</f>
        <v>0</v>
      </c>
      <c r="Q6525" s="20" t="str">
        <f>IFERROR(__xludf.DUMMYFUNCTION("""COMPUTED_VALUE"""),"")</f>
        <v/>
      </c>
      <c r="R6525" s="21" t="str">
        <f>IFERROR(__xludf.DUMMYFUNCTION("""COMPUTED_VALUE"""),"https://drive.google.com/file/d/1Bm8qFpSXnALfMfTIbSX972gNNCaANRhk/view?usp=drivesdk")</f>
        <v>https://drive.google.com/file/d/1Bm8qFpSXnALfMfTIbSX972gNNCaANRhk/view?usp=drivesdk</v>
      </c>
    </row>
    <row r="6526">
      <c r="A6526" s="15">
        <f>IFERROR(__xludf.DUMMYFUNCTION("""COMPUTED_VALUE"""),45184.0)</f>
        <v>45184</v>
      </c>
      <c r="B6526" s="16" t="str">
        <f>IFERROR(__xludf.DUMMYFUNCTION("""COMPUTED_VALUE"""),"Envia")</f>
        <v>Envia</v>
      </c>
      <c r="C6526" s="15" t="str">
        <f>IFERROR(__xludf.DUMMYFUNCTION("""COMPUTED_VALUE"""),"MEDELLÍN")</f>
        <v>MEDELLÍN</v>
      </c>
      <c r="D6526" s="15" t="str">
        <f>IFERROR(__xludf.DUMMYFUNCTION("""COMPUTED_VALUE"""),"BOGOTÁ")</f>
        <v>BOGOTÁ</v>
      </c>
      <c r="E6526" s="15" t="str">
        <f>IFERROR(__xludf.DUMMYFUNCTION("""COMPUTED_VALUE"""),"Pan de Waffle")</f>
        <v>Pan de Waffle</v>
      </c>
      <c r="F6526" s="17" t="str">
        <f>IFERROR(__xludf.DUMMYFUNCTION("""COMPUTED_VALUE"""),"Carrera 39 # 59 - 32 / Carrera 39 # 59 - 32 / Carrera 39 # 59 - 32")</f>
        <v>Carrera 39 # 59 - 32 / Carrera 39 # 59 - 32 / Carrera 39 # 59 - 32</v>
      </c>
      <c r="G6526" s="15" t="str">
        <f>IFERROR(__xludf.DUMMYFUNCTION("""COMPUTED_VALUE"""),"FOODOLOGY")</f>
        <v>FOODOLOGY</v>
      </c>
      <c r="H6526" s="16">
        <f>IFERROR(__xludf.DUMMYFUNCTION("""COMPUTED_VALUE"""),15247.0)</f>
        <v>15247</v>
      </c>
      <c r="I6526" s="18">
        <f>IFERROR(__xludf.DUMMYFUNCTION("""COMPUTED_VALUE"""),40.0)</f>
        <v>40</v>
      </c>
      <c r="J6526" s="18">
        <f>IFERROR(__xludf.DUMMYFUNCTION("""COMPUTED_VALUE"""),40.0)</f>
        <v>40</v>
      </c>
      <c r="K6526" s="18">
        <f>IFERROR(__xludf.DUMMYFUNCTION("""COMPUTED_VALUE"""),30.0)</f>
        <v>30</v>
      </c>
      <c r="L6526" s="17">
        <f>IFERROR(__xludf.DUMMYFUNCTION("""COMPUTED_VALUE"""),3.123558292E9)</f>
        <v>3123558292</v>
      </c>
      <c r="M6526" s="17" t="str">
        <f>IFERROR(__xludf.DUMMYFUNCTION("""COMPUTED_VALUE"""),"#REF!")</f>
        <v>#REF!</v>
      </c>
      <c r="N6526" s="17"/>
      <c r="O6526" s="17"/>
      <c r="P6526" s="17" t="b">
        <f>IFERROR(__xludf.DUMMYFUNCTION("""COMPUTED_VALUE"""),TRUE)</f>
        <v>1</v>
      </c>
      <c r="Q6526" s="20">
        <f>IFERROR(__xludf.DUMMYFUNCTION("""COMPUTED_VALUE"""),45187.30004428241)</f>
        <v>45187.30004</v>
      </c>
      <c r="R6526" s="22" t="str">
        <f>IFERROR(__xludf.DUMMYFUNCTION("""COMPUTED_VALUE"""),"")</f>
        <v/>
      </c>
    </row>
    <row r="6527">
      <c r="A6527" s="15">
        <f>IFERROR(__xludf.DUMMYFUNCTION("""COMPUTED_VALUE"""),45184.0)</f>
        <v>45184</v>
      </c>
      <c r="B6527" s="16" t="str">
        <f>IFERROR(__xludf.DUMMYFUNCTION("""COMPUTED_VALUE"""),"Envia")</f>
        <v>Envia</v>
      </c>
      <c r="C6527" s="15" t="str">
        <f>IFERROR(__xludf.DUMMYFUNCTION("""COMPUTED_VALUE"""),"MEDELLÍN")</f>
        <v>MEDELLÍN</v>
      </c>
      <c r="D6527" s="15" t="str">
        <f>IFERROR(__xludf.DUMMYFUNCTION("""COMPUTED_VALUE"""),"BOGOTÁ")</f>
        <v>BOGOTÁ</v>
      </c>
      <c r="E6527" s="15" t="str">
        <f>IFERROR(__xludf.DUMMYFUNCTION("""COMPUTED_VALUE"""),"Pan de Waffle")</f>
        <v>Pan de Waffle</v>
      </c>
      <c r="F6527" s="17" t="str">
        <f>IFERROR(__xludf.DUMMYFUNCTION("""COMPUTED_VALUE"""),"Carrera 52 # 14 - 30 Local 107 Centro Empresarial COH  / Carrera 52 # 14 - 30 Local 107 Centro Empresarial COH  / Carrera 52 # 14 - 30 Local 107 Centro Empresarial COH")</f>
        <v>Carrera 52 # 14 - 30 Local 107 Centro Empresarial COH  / Carrera 52 # 14 - 30 Local 107 Centro Empresarial COH  / Carrera 52 # 14 - 30 Local 107 Centro Empresarial COH</v>
      </c>
      <c r="G6527" s="15" t="str">
        <f>IFERROR(__xludf.DUMMYFUNCTION("""COMPUTED_VALUE"""),"MELISA GALVIS")</f>
        <v>MELISA GALVIS</v>
      </c>
      <c r="H6527" s="16">
        <f>IFERROR(__xludf.DUMMYFUNCTION("""COMPUTED_VALUE"""),15248.0)</f>
        <v>15248</v>
      </c>
      <c r="I6527" s="18">
        <f>IFERROR(__xludf.DUMMYFUNCTION("""COMPUTED_VALUE"""),40.0)</f>
        <v>40</v>
      </c>
      <c r="J6527" s="18">
        <f>IFERROR(__xludf.DUMMYFUNCTION("""COMPUTED_VALUE"""),30.0)</f>
        <v>30</v>
      </c>
      <c r="K6527" s="18">
        <f>IFERROR(__xludf.DUMMYFUNCTION("""COMPUTED_VALUE"""),40.0)</f>
        <v>40</v>
      </c>
      <c r="L6527" s="17">
        <f>IFERROR(__xludf.DUMMYFUNCTION("""COMPUTED_VALUE"""),3.20865425E9)</f>
        <v>3208654250</v>
      </c>
      <c r="M6527" s="17" t="str">
        <f>IFERROR(__xludf.DUMMYFUNCTION("""COMPUTED_VALUE"""),"#REF!")</f>
        <v>#REF!</v>
      </c>
      <c r="N6527" s="17"/>
      <c r="O6527" s="17"/>
      <c r="P6527" s="17" t="b">
        <f>IFERROR(__xludf.DUMMYFUNCTION("""COMPUTED_VALUE"""),TRUE)</f>
        <v>1</v>
      </c>
      <c r="Q6527" s="20">
        <f>IFERROR(__xludf.DUMMYFUNCTION("""COMPUTED_VALUE"""),45187.30004428241)</f>
        <v>45187.30004</v>
      </c>
      <c r="R6527" s="21" t="str">
        <f>IFERROR(__xludf.DUMMYFUNCTION("""COMPUTED_VALUE"""),"https://drive.google.com/file/d/1Y_XgRsjfEBig_L1tE-DnSOLd0-_eJUF_/view?usp=drivesdk")</f>
        <v>https://drive.google.com/file/d/1Y_XgRsjfEBig_L1tE-DnSOLd0-_eJUF_/view?usp=drivesdk</v>
      </c>
    </row>
    <row r="6528">
      <c r="A6528" s="15">
        <f>IFERROR(__xludf.DUMMYFUNCTION("""COMPUTED_VALUE"""),45184.0)</f>
        <v>45184</v>
      </c>
      <c r="B6528" s="16" t="str">
        <f>IFERROR(__xludf.DUMMYFUNCTION("""COMPUTED_VALUE"""),"Envia")</f>
        <v>Envia</v>
      </c>
      <c r="C6528" s="15" t="str">
        <f>IFERROR(__xludf.DUMMYFUNCTION("""COMPUTED_VALUE"""),"MEDELLÍN")</f>
        <v>MEDELLÍN</v>
      </c>
      <c r="D6528" s="15" t="str">
        <f>IFERROR(__xludf.DUMMYFUNCTION("""COMPUTED_VALUE"""),"BOGOTÁ")</f>
        <v>BOGOTÁ</v>
      </c>
      <c r="E6528" s="15" t="str">
        <f>IFERROR(__xludf.DUMMYFUNCTION("""COMPUTED_VALUE"""),"Renata")</f>
        <v>Renata</v>
      </c>
      <c r="F6528" s="17" t="str">
        <f>IFERROR(__xludf.DUMMYFUNCTION("""COMPUTED_VALUE"""),"Carrera 32d#9-43 / Seline y cowork -restaurante  / Provenza")</f>
        <v>Carrera 32d#9-43 / Seline y cowork -restaurante  / Provenza</v>
      </c>
      <c r="G6528" s="15" t="str">
        <f>IFERROR(__xludf.DUMMYFUNCTION("""COMPUTED_VALUE"""),"Front y back hospitality group")</f>
        <v>Front y back hospitality group</v>
      </c>
      <c r="H6528" s="16">
        <f>IFERROR(__xludf.DUMMYFUNCTION("""COMPUTED_VALUE"""),15264.0)</f>
        <v>15264</v>
      </c>
      <c r="I6528" s="18">
        <f>IFERROR(__xludf.DUMMYFUNCTION("""COMPUTED_VALUE"""),90.0)</f>
        <v>90</v>
      </c>
      <c r="J6528" s="18">
        <f>IFERROR(__xludf.DUMMYFUNCTION("""COMPUTED_VALUE"""),70.0)</f>
        <v>70</v>
      </c>
      <c r="K6528" s="18">
        <f>IFERROR(__xludf.DUMMYFUNCTION("""COMPUTED_VALUE"""),60.0)</f>
        <v>60</v>
      </c>
      <c r="L6528" s="17">
        <f>IFERROR(__xludf.DUMMYFUNCTION("""COMPUTED_VALUE"""),3.104047368E9)</f>
        <v>3104047368</v>
      </c>
      <c r="M6528" s="17" t="str">
        <f>IFERROR(__xludf.DUMMYFUNCTION("""COMPUTED_VALUE"""),"#REF!")</f>
        <v>#REF!</v>
      </c>
      <c r="N6528" s="17"/>
      <c r="O6528" s="17"/>
      <c r="P6528" s="17" t="b">
        <f>IFERROR(__xludf.DUMMYFUNCTION("""COMPUTED_VALUE"""),TRUE)</f>
        <v>1</v>
      </c>
      <c r="Q6528" s="20">
        <f>IFERROR(__xludf.DUMMYFUNCTION("""COMPUTED_VALUE"""),45187.30004428241)</f>
        <v>45187.30004</v>
      </c>
      <c r="R6528" s="22" t="str">
        <f>IFERROR(__xludf.DUMMYFUNCTION("""COMPUTED_VALUE"""),"")</f>
        <v/>
      </c>
    </row>
    <row r="6529">
      <c r="A6529" s="15">
        <f>IFERROR(__xludf.DUMMYFUNCTION("""COMPUTED_VALUE"""),45184.0)</f>
        <v>45184</v>
      </c>
      <c r="B6529" s="16" t="str">
        <f>IFERROR(__xludf.DUMMYFUNCTION("""COMPUTED_VALUE"""),"Envia")</f>
        <v>Envia</v>
      </c>
      <c r="C6529" s="15" t="str">
        <f>IFERROR(__xludf.DUMMYFUNCTION("""COMPUTED_VALUE"""),"RIONEGRO")</f>
        <v>RIONEGRO</v>
      </c>
      <c r="D6529" s="15" t="str">
        <f>IFERROR(__xludf.DUMMYFUNCTION("""COMPUTED_VALUE"""),"BOGOTÁ")</f>
        <v>BOGOTÁ</v>
      </c>
      <c r="E6529" s="15" t="str">
        <f>IFERROR(__xludf.DUMMYFUNCTION("""COMPUTED_VALUE"""),"Jacobsen")</f>
        <v>Jacobsen</v>
      </c>
      <c r="F6529" s="17" t="str">
        <f>IFERROR(__xludf.DUMMYFUNCTION("""COMPUTED_VALUE"""),"KARGA FASE 2, Bodega 105  / Entrega en Glorieta Aeropuerto Jose Maria Cordova, via Guarne 300 mt / Rio negro antioquia")</f>
        <v>KARGA FASE 2, Bodega 105  / Entrega en Glorieta Aeropuerto Jose Maria Cordova, via Guarne 300 mt / Rio negro antioquia</v>
      </c>
      <c r="G6529" s="15" t="str">
        <f>IFERROR(__xludf.DUMMYFUNCTION("""COMPUTED_VALUE"""),"Heinz Hiller")</f>
        <v>Heinz Hiller</v>
      </c>
      <c r="H6529" s="16">
        <f>IFERROR(__xludf.DUMMYFUNCTION("""COMPUTED_VALUE"""),15266.0)</f>
        <v>15266</v>
      </c>
      <c r="I6529" s="18">
        <f>IFERROR(__xludf.DUMMYFUNCTION("""COMPUTED_VALUE"""),20.0)</f>
        <v>20</v>
      </c>
      <c r="J6529" s="18">
        <f>IFERROR(__xludf.DUMMYFUNCTION("""COMPUTED_VALUE"""),24.0)</f>
        <v>24</v>
      </c>
      <c r="K6529" s="18">
        <f>IFERROR(__xludf.DUMMYFUNCTION("""COMPUTED_VALUE"""),46.0)</f>
        <v>46</v>
      </c>
      <c r="L6529" s="17">
        <f>IFERROR(__xludf.DUMMYFUNCTION("""COMPUTED_VALUE"""),3.18456074E9)</f>
        <v>3184560740</v>
      </c>
      <c r="M6529" s="17" t="str">
        <f>IFERROR(__xludf.DUMMYFUNCTION("""COMPUTED_VALUE"""),"#REF!")</f>
        <v>#REF!</v>
      </c>
      <c r="N6529" s="17"/>
      <c r="O6529" s="17"/>
      <c r="P6529" s="17" t="b">
        <f>IFERROR(__xludf.DUMMYFUNCTION("""COMPUTED_VALUE"""),TRUE)</f>
        <v>1</v>
      </c>
      <c r="Q6529" s="20">
        <f>IFERROR(__xludf.DUMMYFUNCTION("""COMPUTED_VALUE"""),45187.30004428241)</f>
        <v>45187.30004</v>
      </c>
      <c r="R6529" s="22" t="str">
        <f>IFERROR(__xludf.DUMMYFUNCTION("""COMPUTED_VALUE"""),"")</f>
        <v/>
      </c>
    </row>
    <row r="6530">
      <c r="A6530" s="15">
        <f>IFERROR(__xludf.DUMMYFUNCTION("""COMPUTED_VALUE"""),45184.0)</f>
        <v>45184</v>
      </c>
      <c r="B6530" s="16" t="str">
        <f>IFERROR(__xludf.DUMMYFUNCTION("""COMPUTED_VALUE"""),"Envia")</f>
        <v>Envia</v>
      </c>
      <c r="C6530" s="15" t="str">
        <f>IFERROR(__xludf.DUMMYFUNCTION("""COMPUTED_VALUE"""),"SANTA MARTA")</f>
        <v>SANTA MARTA</v>
      </c>
      <c r="D6530" s="15" t="str">
        <f>IFERROR(__xludf.DUMMYFUNCTION("""COMPUTED_VALUE"""),"MEDELLÍN")</f>
        <v>MEDELLÍN</v>
      </c>
      <c r="E6530" s="15" t="str">
        <f>IFERROR(__xludf.DUMMYFUNCTION("""COMPUTED_VALUE"""),"Magda")</f>
        <v>Magda</v>
      </c>
      <c r="F6530" s="17" t="str">
        <f>IFERROR(__xludf.DUMMYFUNCTION("""COMPUTED_VALUE"""),"Calle 22 # 6 - 82 / Local 27 Centro Comercial La 22 / Centro")</f>
        <v>Calle 22 # 6 - 82 / Local 27 Centro Comercial La 22 / Centro</v>
      </c>
      <c r="G6530" s="15" t="str">
        <f>IFERROR(__xludf.DUMMYFUNCTION("""COMPUTED_VALUE"""),"Shirley Manjarres")</f>
        <v>Shirley Manjarres</v>
      </c>
      <c r="H6530" s="16">
        <f>IFERROR(__xludf.DUMMYFUNCTION("""COMPUTED_VALUE"""),15252.0)</f>
        <v>15252</v>
      </c>
      <c r="I6530" s="18">
        <f>IFERROR(__xludf.DUMMYFUNCTION("""COMPUTED_VALUE"""),5.0)</f>
        <v>5</v>
      </c>
      <c r="J6530" s="18">
        <f>IFERROR(__xludf.DUMMYFUNCTION("""COMPUTED_VALUE"""),5.0)</f>
        <v>5</v>
      </c>
      <c r="K6530" s="18">
        <f>IFERROR(__xludf.DUMMYFUNCTION("""COMPUTED_VALUE"""),5.0)</f>
        <v>5</v>
      </c>
      <c r="L6530" s="17">
        <f>IFERROR(__xludf.DUMMYFUNCTION("""COMPUTED_VALUE"""),3.054269156E9)</f>
        <v>3054269156</v>
      </c>
      <c r="M6530" s="17" t="str">
        <f>IFERROR(__xludf.DUMMYFUNCTION("""COMPUTED_VALUE"""),"#REF!")</f>
        <v>#REF!</v>
      </c>
      <c r="N6530" s="17"/>
      <c r="O6530" s="17"/>
      <c r="P6530" s="17" t="b">
        <f>IFERROR(__xludf.DUMMYFUNCTION("""COMPUTED_VALUE"""),TRUE)</f>
        <v>1</v>
      </c>
      <c r="Q6530" s="20">
        <f>IFERROR(__xludf.DUMMYFUNCTION("""COMPUTED_VALUE"""),45187.30004428241)</f>
        <v>45187.30004</v>
      </c>
      <c r="R6530" s="22" t="str">
        <f>IFERROR(__xludf.DUMMYFUNCTION("""COMPUTED_VALUE"""),"")</f>
        <v/>
      </c>
    </row>
    <row r="6531">
      <c r="A6531" s="15">
        <f>IFERROR(__xludf.DUMMYFUNCTION("""COMPUTED_VALUE"""),45184.0)</f>
        <v>45184</v>
      </c>
      <c r="B6531" s="16" t="str">
        <f>IFERROR(__xludf.DUMMYFUNCTION("""COMPUTED_VALUE"""),"Envia")</f>
        <v>Envia</v>
      </c>
      <c r="C6531" s="15" t="str">
        <f>IFERROR(__xludf.DUMMYFUNCTION("""COMPUTED_VALUE"""),"SINCELEJO")</f>
        <v>SINCELEJO</v>
      </c>
      <c r="D6531" s="15" t="str">
        <f>IFERROR(__xludf.DUMMYFUNCTION("""COMPUTED_VALUE"""),"MEDELLÍN")</f>
        <v>MEDELLÍN</v>
      </c>
      <c r="E6531" s="15" t="str">
        <f>IFERROR(__xludf.DUMMYFUNCTION("""COMPUTED_VALUE"""),"Rambla")</f>
        <v>Rambla</v>
      </c>
      <c r="F6531" s="17" t="str">
        <f>IFERROR(__xludf.DUMMYFUNCTION("""COMPUTED_VALUE"""),"Calle 25 # 28b - 194 Barrio el socorro Edificio Juan Pablo II / - / -")</f>
        <v>Calle 25 # 28b - 194 Barrio el socorro Edificio Juan Pablo II / - / -</v>
      </c>
      <c r="G6531" s="15" t="str">
        <f>IFERROR(__xludf.DUMMYFUNCTION("""COMPUTED_VALUE"""),"Nutrifit")</f>
        <v>Nutrifit</v>
      </c>
      <c r="H6531" s="16">
        <f>IFERROR(__xludf.DUMMYFUNCTION("""COMPUTED_VALUE"""),15259.0)</f>
        <v>15259</v>
      </c>
      <c r="I6531" s="18">
        <f>IFERROR(__xludf.DUMMYFUNCTION("""COMPUTED_VALUE"""),24.0)</f>
        <v>24</v>
      </c>
      <c r="J6531" s="18">
        <f>IFERROR(__xludf.DUMMYFUNCTION("""COMPUTED_VALUE"""),24.0)</f>
        <v>24</v>
      </c>
      <c r="K6531" s="18">
        <f>IFERROR(__xludf.DUMMYFUNCTION("""COMPUTED_VALUE"""),24.0)</f>
        <v>24</v>
      </c>
      <c r="L6531" s="17">
        <f>IFERROR(__xludf.DUMMYFUNCTION("""COMPUTED_VALUE"""),3.228516794E9)</f>
        <v>3228516794</v>
      </c>
      <c r="M6531" s="17" t="str">
        <f>IFERROR(__xludf.DUMMYFUNCTION("""COMPUTED_VALUE"""),"#REF!")</f>
        <v>#REF!</v>
      </c>
      <c r="N6531" s="17"/>
      <c r="O6531" s="17"/>
      <c r="P6531" s="17" t="b">
        <f>IFERROR(__xludf.DUMMYFUNCTION("""COMPUTED_VALUE"""),TRUE)</f>
        <v>1</v>
      </c>
      <c r="Q6531" s="20">
        <f>IFERROR(__xludf.DUMMYFUNCTION("""COMPUTED_VALUE"""),45187.30004428241)</f>
        <v>45187.30004</v>
      </c>
      <c r="R6531" s="22" t="str">
        <f>IFERROR(__xludf.DUMMYFUNCTION("""COMPUTED_VALUE"""),"")</f>
        <v/>
      </c>
    </row>
    <row r="6532">
      <c r="A6532" s="15">
        <f>IFERROR(__xludf.DUMMYFUNCTION("""COMPUTED_VALUE"""),45184.0)</f>
        <v>45184</v>
      </c>
      <c r="B6532" s="16" t="str">
        <f>IFERROR(__xludf.DUMMYFUNCTION("""COMPUTED_VALUE"""),"Envia")</f>
        <v>Envia</v>
      </c>
      <c r="C6532" s="15" t="str">
        <f>IFERROR(__xludf.DUMMYFUNCTION("""COMPUTED_VALUE"""),"SINCELEJO")</f>
        <v>SINCELEJO</v>
      </c>
      <c r="D6532" s="15" t="str">
        <f>IFERROR(__xludf.DUMMYFUNCTION("""COMPUTED_VALUE"""),"MEDELLÍN")</f>
        <v>MEDELLÍN</v>
      </c>
      <c r="E6532" s="15" t="str">
        <f>IFERROR(__xludf.DUMMYFUNCTION("""COMPUTED_VALUE"""),"Rambla")</f>
        <v>Rambla</v>
      </c>
      <c r="F6532" s="17" t="str">
        <f>IFERROR(__xludf.DUMMYFUNCTION("""COMPUTED_VALUE"""),"calle 32 #33 -119 local 101 cc living mall brr vene / - / -")</f>
        <v>calle 32 #33 -119 local 101 cc living mall brr vene / - / -</v>
      </c>
      <c r="G6532" s="15" t="str">
        <f>IFERROR(__xludf.DUMMYFUNCTION("""COMPUTED_VALUE"""),"Oliva")</f>
        <v>Oliva</v>
      </c>
      <c r="H6532" s="16">
        <f>IFERROR(__xludf.DUMMYFUNCTION("""COMPUTED_VALUE"""),15258.0)</f>
        <v>15258</v>
      </c>
      <c r="I6532" s="18">
        <f>IFERROR(__xludf.DUMMYFUNCTION("""COMPUTED_VALUE"""),26.0)</f>
        <v>26</v>
      </c>
      <c r="J6532" s="18">
        <f>IFERROR(__xludf.DUMMYFUNCTION("""COMPUTED_VALUE"""),26.0)</f>
        <v>26</v>
      </c>
      <c r="K6532" s="18">
        <f>IFERROR(__xludf.DUMMYFUNCTION("""COMPUTED_VALUE"""),26.0)</f>
        <v>26</v>
      </c>
      <c r="L6532" s="17">
        <f>IFERROR(__xludf.DUMMYFUNCTION("""COMPUTED_VALUE"""),3.022293728E9)</f>
        <v>3022293728</v>
      </c>
      <c r="M6532" s="17" t="str">
        <f>IFERROR(__xludf.DUMMYFUNCTION("""COMPUTED_VALUE"""),"#REF!")</f>
        <v>#REF!</v>
      </c>
      <c r="N6532" s="17"/>
      <c r="O6532" s="17"/>
      <c r="P6532" s="17" t="b">
        <f>IFERROR(__xludf.DUMMYFUNCTION("""COMPUTED_VALUE"""),TRUE)</f>
        <v>1</v>
      </c>
      <c r="Q6532" s="20">
        <f>IFERROR(__xludf.DUMMYFUNCTION("""COMPUTED_VALUE"""),45187.30004428241)</f>
        <v>45187.30004</v>
      </c>
      <c r="R6532" s="22" t="str">
        <f>IFERROR(__xludf.DUMMYFUNCTION("""COMPUTED_VALUE"""),"")</f>
        <v/>
      </c>
    </row>
    <row r="6533">
      <c r="A6533" s="15">
        <f>IFERROR(__xludf.DUMMYFUNCTION("""COMPUTED_VALUE"""),45184.0)</f>
        <v>45184</v>
      </c>
      <c r="B6533" s="16" t="str">
        <f>IFERROR(__xludf.DUMMYFUNCTION("""COMPUTED_VALUE"""),"Envia")</f>
        <v>Envia</v>
      </c>
      <c r="C6533" s="15" t="str">
        <f>IFERROR(__xludf.DUMMYFUNCTION("""COMPUTED_VALUE"""),"SOACHA")</f>
        <v>SOACHA</v>
      </c>
      <c r="D6533" s="15" t="str">
        <f>IFERROR(__xludf.DUMMYFUNCTION("""COMPUTED_VALUE"""),"MEDELLÍN")</f>
        <v>MEDELLÍN</v>
      </c>
      <c r="E6533" s="15" t="str">
        <f>IFERROR(__xludf.DUMMYFUNCTION("""COMPUTED_VALUE"""),"Rambla")</f>
        <v>Rambla</v>
      </c>
      <c r="F6533" s="17" t="str">
        <f>IFERROR(__xludf.DUMMYFUNCTION("""COMPUTED_VALUE"""),"Carrera 1A No. 20 - 138 Urbanizacion El Sol - Soacha / - / -")</f>
        <v>Carrera 1A No. 20 - 138 Urbanizacion El Sol - Soacha / - / -</v>
      </c>
      <c r="G6533" s="15" t="str">
        <f>IFERROR(__xludf.DUMMYFUNCTION("""COMPUTED_VALUE"""),"Diana Marcela Velasquez Castañeda")</f>
        <v>Diana Marcela Velasquez Castañeda</v>
      </c>
      <c r="H6533" s="16">
        <f>IFERROR(__xludf.DUMMYFUNCTION("""COMPUTED_VALUE"""),15285.0)</f>
        <v>15285</v>
      </c>
      <c r="I6533" s="18">
        <f>IFERROR(__xludf.DUMMYFUNCTION("""COMPUTED_VALUE"""),9.0)</f>
        <v>9</v>
      </c>
      <c r="J6533" s="18">
        <f>IFERROR(__xludf.DUMMYFUNCTION("""COMPUTED_VALUE"""),10.0)</f>
        <v>10</v>
      </c>
      <c r="K6533" s="18">
        <f>IFERROR(__xludf.DUMMYFUNCTION("""COMPUTED_VALUE"""),10.0)</f>
        <v>10</v>
      </c>
      <c r="L6533" s="17">
        <f>IFERROR(__xludf.DUMMYFUNCTION("""COMPUTED_VALUE"""),3.107768763E9)</f>
        <v>3107768763</v>
      </c>
      <c r="M6533" s="17" t="str">
        <f>IFERROR(__xludf.DUMMYFUNCTION("""COMPUTED_VALUE"""),"#REF!")</f>
        <v>#REF!</v>
      </c>
      <c r="N6533" s="17"/>
      <c r="O6533" s="17"/>
      <c r="P6533" s="17" t="b">
        <f>IFERROR(__xludf.DUMMYFUNCTION("""COMPUTED_VALUE"""),TRUE)</f>
        <v>1</v>
      </c>
      <c r="Q6533" s="20">
        <f>IFERROR(__xludf.DUMMYFUNCTION("""COMPUTED_VALUE"""),45187.30004429398)</f>
        <v>45187.30004</v>
      </c>
      <c r="R6533" s="21" t="str">
        <f>IFERROR(__xludf.DUMMYFUNCTION("""COMPUTED_VALUE"""),"https://drive.google.com/file/d/1dKfXNWkAmP2LQO6U59yHNTWgv7egz3M7/view?usp=drivesdk")</f>
        <v>https://drive.google.com/file/d/1dKfXNWkAmP2LQO6U59yHNTWgv7egz3M7/view?usp=drivesdk</v>
      </c>
    </row>
    <row r="6534">
      <c r="A6534" s="17" t="str">
        <f>IFERROR(__xludf.DUMMYFUNCTION("""COMPUTED_VALUE"""),"")</f>
        <v/>
      </c>
      <c r="B6534" s="17" t="str">
        <f>IFERROR(__xludf.DUMMYFUNCTION("""COMPUTED_VALUE"""),"")</f>
        <v/>
      </c>
      <c r="C6534" s="17" t="str">
        <f>IFERROR(__xludf.DUMMYFUNCTION("""COMPUTED_VALUE"""),"")</f>
        <v/>
      </c>
      <c r="D6534" s="17" t="str">
        <f>IFERROR(__xludf.DUMMYFUNCTION("""COMPUTED_VALUE"""),"")</f>
        <v/>
      </c>
      <c r="E6534" s="17" t="str">
        <f>IFERROR(__xludf.DUMMYFUNCTION("""COMPUTED_VALUE"""),"")</f>
        <v/>
      </c>
      <c r="F6534" s="17" t="str">
        <f>IFERROR(__xludf.DUMMYFUNCTION("""COMPUTED_VALUE"""),"")</f>
        <v/>
      </c>
      <c r="G6534" s="17" t="str">
        <f>IFERROR(__xludf.DUMMYFUNCTION("""COMPUTED_VALUE"""),"")</f>
        <v/>
      </c>
      <c r="H6534" s="17" t="str">
        <f>IFERROR(__xludf.DUMMYFUNCTION("""COMPUTED_VALUE"""),"")</f>
        <v/>
      </c>
      <c r="I6534" s="17" t="str">
        <f>IFERROR(__xludf.DUMMYFUNCTION("""COMPUTED_VALUE"""),"")</f>
        <v/>
      </c>
      <c r="J6534" s="17" t="str">
        <f>IFERROR(__xludf.DUMMYFUNCTION("""COMPUTED_VALUE"""),"")</f>
        <v/>
      </c>
      <c r="K6534" s="17" t="str">
        <f>IFERROR(__xludf.DUMMYFUNCTION("""COMPUTED_VALUE"""),"")</f>
        <v/>
      </c>
      <c r="L6534" s="17" t="str">
        <f>IFERROR(__xludf.DUMMYFUNCTION("""COMPUTED_VALUE"""),"")</f>
        <v/>
      </c>
      <c r="M6534" s="17" t="str">
        <f>IFERROR(__xludf.DUMMYFUNCTION("""COMPUTED_VALUE"""),"")</f>
        <v/>
      </c>
      <c r="N6534" s="17" t="str">
        <f>IFERROR(__xludf.DUMMYFUNCTION("""COMPUTED_VALUE"""),"")</f>
        <v/>
      </c>
      <c r="O6534" s="17" t="str">
        <f>IFERROR(__xludf.DUMMYFUNCTION("""COMPUTED_VALUE"""),"")</f>
        <v/>
      </c>
      <c r="P6534" s="17" t="str">
        <f>IFERROR(__xludf.DUMMYFUNCTION("""COMPUTED_VALUE"""),"")</f>
        <v/>
      </c>
      <c r="Q6534" s="17" t="str">
        <f>IFERROR(__xludf.DUMMYFUNCTION("""COMPUTED_VALUE"""),"")</f>
        <v/>
      </c>
      <c r="R6534" s="17" t="str">
        <f>IFERROR(__xludf.DUMMYFUNCTION("""COMPUTED_VALUE"""),"")</f>
        <v/>
      </c>
    </row>
    <row r="6535">
      <c r="A6535" s="15">
        <f>IFERROR(__xludf.DUMMYFUNCTION("""COMPUTED_VALUE"""),45184.0)</f>
        <v>45184</v>
      </c>
      <c r="B6535" s="16" t="str">
        <f>IFERROR(__xludf.DUMMYFUNCTION("""COMPUTED_VALUE"""),"Jeison Rubiano")</f>
        <v>Jeison Rubiano</v>
      </c>
      <c r="C6535" s="15" t="str">
        <f>IFERROR(__xludf.DUMMYFUNCTION("""COMPUTED_VALUE"""),"BOGOTÁ")</f>
        <v>BOGOTÁ</v>
      </c>
      <c r="D6535" s="15" t="str">
        <f>IFERROR(__xludf.DUMMYFUNCTION("""COMPUTED_VALUE"""),"MEDELLÍN")</f>
        <v>MEDELLÍN</v>
      </c>
      <c r="E6535" s="15" t="str">
        <f>IFERROR(__xludf.DUMMYFUNCTION("""COMPUTED_VALUE"""),"Inv. Jelb")</f>
        <v>Inv. Jelb</v>
      </c>
      <c r="F6535" s="17" t="str">
        <f>IFERROR(__xludf.DUMMYFUNCTION("""COMPUTED_VALUE"""),"Calle 25A #68A -70 / Apto 1007 torre 2 ciudad salitre / Ciudad salitre")</f>
        <v>Calle 25A #68A -70 / Apto 1007 torre 2 ciudad salitre / Ciudad salitre</v>
      </c>
      <c r="G6535" s="15" t="str">
        <f>IFERROR(__xludf.DUMMYFUNCTION("""COMPUTED_VALUE"""),"Maria castro")</f>
        <v>Maria castro</v>
      </c>
      <c r="H6535" s="16">
        <f>IFERROR(__xludf.DUMMYFUNCTION("""COMPUTED_VALUE"""),15277.0)</f>
        <v>15277</v>
      </c>
      <c r="I6535" s="18">
        <f>IFERROR(__xludf.DUMMYFUNCTION("""COMPUTED_VALUE"""),21.0)</f>
        <v>21</v>
      </c>
      <c r="J6535" s="18">
        <f>IFERROR(__xludf.DUMMYFUNCTION("""COMPUTED_VALUE"""),30.0)</f>
        <v>30</v>
      </c>
      <c r="K6535" s="18">
        <f>IFERROR(__xludf.DUMMYFUNCTION("""COMPUTED_VALUE"""),50.0)</f>
        <v>50</v>
      </c>
      <c r="L6535" s="17">
        <f>IFERROR(__xludf.DUMMYFUNCTION("""COMPUTED_VALUE"""),3.153588494E9)</f>
        <v>3153588494</v>
      </c>
      <c r="M6535" s="17" t="str">
        <f>IFERROR(__xludf.DUMMYFUNCTION("""COMPUTED_VALUE"""),"#REF!")</f>
        <v>#REF!</v>
      </c>
      <c r="N6535" s="17"/>
      <c r="O6535" s="17"/>
      <c r="P6535" s="17" t="b">
        <f>IFERROR(__xludf.DUMMYFUNCTION("""COMPUTED_VALUE"""),TRUE)</f>
        <v>1</v>
      </c>
      <c r="Q6535" s="20">
        <f>IFERROR(__xludf.DUMMYFUNCTION("""COMPUTED_VALUE"""),45187.30004429398)</f>
        <v>45187.30004</v>
      </c>
      <c r="R6535" s="22" t="str">
        <f>IFERROR(__xludf.DUMMYFUNCTION("""COMPUTED_VALUE"""),"")</f>
        <v/>
      </c>
    </row>
    <row r="6536">
      <c r="A6536" s="15">
        <f>IFERROR(__xludf.DUMMYFUNCTION("""COMPUTED_VALUE"""),45184.0)</f>
        <v>45184</v>
      </c>
      <c r="B6536" s="16" t="str">
        <f>IFERROR(__xludf.DUMMYFUNCTION("""COMPUTED_VALUE"""),"Jeison Rubiano")</f>
        <v>Jeison Rubiano</v>
      </c>
      <c r="C6536" s="15" t="str">
        <f>IFERROR(__xludf.DUMMYFUNCTION("""COMPUTED_VALUE"""),"BOGOTÁ")</f>
        <v>BOGOTÁ</v>
      </c>
      <c r="D6536" s="15" t="str">
        <f>IFERROR(__xludf.DUMMYFUNCTION("""COMPUTED_VALUE"""),"MEDELLÍN")</f>
        <v>MEDELLÍN</v>
      </c>
      <c r="E6536" s="15" t="str">
        <f>IFERROR(__xludf.DUMMYFUNCTION("""COMPUTED_VALUE"""),"Magda")</f>
        <v>Magda</v>
      </c>
      <c r="F6536" s="17" t="str">
        <f>IFERROR(__xludf.DUMMYFUNCTION("""COMPUTED_VALUE"""),"Calle 71a # 14a22/26 / Cocinas ocultas / San Felipe")</f>
        <v>Calle 71a # 14a22/26 / Cocinas ocultas / San Felipe</v>
      </c>
      <c r="G6536" s="15" t="str">
        <f>IFERROR(__xludf.DUMMYFUNCTION("""COMPUTED_VALUE"""),"Andrés Hernández")</f>
        <v>Andrés Hernández</v>
      </c>
      <c r="H6536" s="16">
        <f>IFERROR(__xludf.DUMMYFUNCTION("""COMPUTED_VALUE"""),15253.0)</f>
        <v>15253</v>
      </c>
      <c r="I6536" s="18">
        <f>IFERROR(__xludf.DUMMYFUNCTION("""COMPUTED_VALUE"""),5.0)</f>
        <v>5</v>
      </c>
      <c r="J6536" s="18">
        <f>IFERROR(__xludf.DUMMYFUNCTION("""COMPUTED_VALUE"""),5.0)</f>
        <v>5</v>
      </c>
      <c r="K6536" s="18">
        <f>IFERROR(__xludf.DUMMYFUNCTION("""COMPUTED_VALUE"""),5.0)</f>
        <v>5</v>
      </c>
      <c r="L6536" s="17">
        <f>IFERROR(__xludf.DUMMYFUNCTION("""COMPUTED_VALUE"""),3.214229567E9)</f>
        <v>3214229567</v>
      </c>
      <c r="M6536" s="17" t="str">
        <f>IFERROR(__xludf.DUMMYFUNCTION("""COMPUTED_VALUE"""),"#REF!")</f>
        <v>#REF!</v>
      </c>
      <c r="N6536" s="17"/>
      <c r="O6536" s="17"/>
      <c r="P6536" s="17" t="b">
        <f>IFERROR(__xludf.DUMMYFUNCTION("""COMPUTED_VALUE"""),FALSE)</f>
        <v>0</v>
      </c>
      <c r="Q6536" s="20" t="str">
        <f>IFERROR(__xludf.DUMMYFUNCTION("""COMPUTED_VALUE"""),"")</f>
        <v/>
      </c>
      <c r="R6536" s="22" t="str">
        <f>IFERROR(__xludf.DUMMYFUNCTION("""COMPUTED_VALUE"""),"")</f>
        <v/>
      </c>
    </row>
    <row r="6537">
      <c r="A6537" s="15">
        <f>IFERROR(__xludf.DUMMYFUNCTION("""COMPUTED_VALUE"""),45184.0)</f>
        <v>45184</v>
      </c>
      <c r="B6537" s="16" t="str">
        <f>IFERROR(__xludf.DUMMYFUNCTION("""COMPUTED_VALUE"""),"Jeison Rubiano")</f>
        <v>Jeison Rubiano</v>
      </c>
      <c r="C6537" s="15" t="str">
        <f>IFERROR(__xludf.DUMMYFUNCTION("""COMPUTED_VALUE"""),"BOGOTÁ")</f>
        <v>BOGOTÁ</v>
      </c>
      <c r="D6537" s="15" t="str">
        <f>IFERROR(__xludf.DUMMYFUNCTION("""COMPUTED_VALUE"""),"MEDELLÍN")</f>
        <v>MEDELLÍN</v>
      </c>
      <c r="E6537" s="15" t="str">
        <f>IFERROR(__xludf.DUMMYFUNCTION("""COMPUTED_VALUE"""),"Moloso S.A.S")</f>
        <v>Moloso S.A.S</v>
      </c>
      <c r="F6537" s="17" t="str">
        <f>IFERROR(__xludf.DUMMYFUNCTION("""COMPUTED_VALUE"""),"CR 11 BIS 124 66 / ED BUGANVILLA TO 5 AP 702")</f>
        <v>CR 11 BIS 124 66 / ED BUGANVILLA TO 5 AP 702</v>
      </c>
      <c r="G6537" s="15" t="str">
        <f>IFERROR(__xludf.DUMMYFUNCTION("""COMPUTED_VALUE"""),"LINA MARIA BARRERA PRIETO")</f>
        <v>LINA MARIA BARRERA PRIETO</v>
      </c>
      <c r="H6537" s="16">
        <f>IFERROR(__xludf.DUMMYFUNCTION("""COMPUTED_VALUE"""),15206.0)</f>
        <v>15206</v>
      </c>
      <c r="I6537" s="18">
        <f>IFERROR(__xludf.DUMMYFUNCTION("""COMPUTED_VALUE"""),17.0)</f>
        <v>17</v>
      </c>
      <c r="J6537" s="18">
        <f>IFERROR(__xludf.DUMMYFUNCTION("""COMPUTED_VALUE"""),15.0)</f>
        <v>15</v>
      </c>
      <c r="K6537" s="18">
        <f>IFERROR(__xludf.DUMMYFUNCTION("""COMPUTED_VALUE"""),28.0)</f>
        <v>28</v>
      </c>
      <c r="L6537" s="17" t="str">
        <f>IFERROR(__xludf.DUMMYFUNCTION("""COMPUTED_VALUE"""),"312 3733706")</f>
        <v>312 3733706</v>
      </c>
      <c r="M6537" s="17" t="str">
        <f>IFERROR(__xludf.DUMMYFUNCTION("""COMPUTED_VALUE"""),"#REF!")</f>
        <v>#REF!</v>
      </c>
      <c r="N6537" s="17"/>
      <c r="O6537" s="17"/>
      <c r="P6537" s="17" t="b">
        <f>IFERROR(__xludf.DUMMYFUNCTION("""COMPUTED_VALUE"""),FALSE)</f>
        <v>0</v>
      </c>
      <c r="Q6537" s="20" t="str">
        <f>IFERROR(__xludf.DUMMYFUNCTION("""COMPUTED_VALUE"""),"")</f>
        <v/>
      </c>
      <c r="R6537" s="21" t="str">
        <f>IFERROR(__xludf.DUMMYFUNCTION("""COMPUTED_VALUE"""),"https://drive.google.com/file/d/1Ip6rJzm-FTm7b_LvGt9aRv-foowx8XPT/view?usp=drivesdk")</f>
        <v>https://drive.google.com/file/d/1Ip6rJzm-FTm7b_LvGt9aRv-foowx8XPT/view?usp=drivesdk</v>
      </c>
    </row>
    <row r="6538">
      <c r="A6538" s="15">
        <f>IFERROR(__xludf.DUMMYFUNCTION("""COMPUTED_VALUE"""),45184.0)</f>
        <v>45184</v>
      </c>
      <c r="B6538" s="16" t="str">
        <f>IFERROR(__xludf.DUMMYFUNCTION("""COMPUTED_VALUE"""),"Jeison Rubiano")</f>
        <v>Jeison Rubiano</v>
      </c>
      <c r="C6538" s="15" t="str">
        <f>IFERROR(__xludf.DUMMYFUNCTION("""COMPUTED_VALUE"""),"BOGOTÁ")</f>
        <v>BOGOTÁ</v>
      </c>
      <c r="D6538" s="15" t="str">
        <f>IFERROR(__xludf.DUMMYFUNCTION("""COMPUTED_VALUE"""),"MEDELLÍN")</f>
        <v>MEDELLÍN</v>
      </c>
      <c r="E6538" s="15" t="str">
        <f>IFERROR(__xludf.DUMMYFUNCTION("""COMPUTED_VALUE"""),"Moloso S.A.S")</f>
        <v>Moloso S.A.S</v>
      </c>
      <c r="F6538" s="17" t="str">
        <f>IFERROR(__xludf.DUMMYFUNCTION("""COMPUTED_VALUE"""),"CR 78AN 58M 88 SUR / CJ PARQUES DE VILLA ANITA")</f>
        <v>CR 78AN 58M 88 SUR / CJ PARQUES DE VILLA ANITA</v>
      </c>
      <c r="G6538" s="15" t="str">
        <f>IFERROR(__xludf.DUMMYFUNCTION("""COMPUTED_VALUE"""),"VANESSA BELTRAN BUITRAGO")</f>
        <v>VANESSA BELTRAN BUITRAGO</v>
      </c>
      <c r="H6538" s="16">
        <f>IFERROR(__xludf.DUMMYFUNCTION("""COMPUTED_VALUE"""),15254.0)</f>
        <v>15254</v>
      </c>
      <c r="I6538" s="18">
        <f>IFERROR(__xludf.DUMMYFUNCTION("""COMPUTED_VALUE"""),17.0)</f>
        <v>17</v>
      </c>
      <c r="J6538" s="18">
        <f>IFERROR(__xludf.DUMMYFUNCTION("""COMPUTED_VALUE"""),15.0)</f>
        <v>15</v>
      </c>
      <c r="K6538" s="18">
        <f>IFERROR(__xludf.DUMMYFUNCTION("""COMPUTED_VALUE"""),28.0)</f>
        <v>28</v>
      </c>
      <c r="L6538" s="17" t="str">
        <f>IFERROR(__xludf.DUMMYFUNCTION("""COMPUTED_VALUE"""),"319 5025532")</f>
        <v>319 5025532</v>
      </c>
      <c r="M6538" s="17" t="str">
        <f>IFERROR(__xludf.DUMMYFUNCTION("""COMPUTED_VALUE"""),"#REF!")</f>
        <v>#REF!</v>
      </c>
      <c r="N6538" s="17"/>
      <c r="O6538" s="17"/>
      <c r="P6538" s="17" t="b">
        <f>IFERROR(__xludf.DUMMYFUNCTION("""COMPUTED_VALUE"""),FALSE)</f>
        <v>0</v>
      </c>
      <c r="Q6538" s="20" t="str">
        <f>IFERROR(__xludf.DUMMYFUNCTION("""COMPUTED_VALUE"""),"")</f>
        <v/>
      </c>
      <c r="R6538" s="21" t="str">
        <f>IFERROR(__xludf.DUMMYFUNCTION("""COMPUTED_VALUE"""),"https://drive.google.com/file/d/1K-Bb3d6sQ17s_IQLpu6FghIShhZ_Nzbq/view?usp=drivesdk")</f>
        <v>https://drive.google.com/file/d/1K-Bb3d6sQ17s_IQLpu6FghIShhZ_Nzbq/view?usp=drivesdk</v>
      </c>
    </row>
    <row r="6539">
      <c r="A6539" s="15">
        <f>IFERROR(__xludf.DUMMYFUNCTION("""COMPUTED_VALUE"""),45184.0)</f>
        <v>45184</v>
      </c>
      <c r="B6539" s="16" t="str">
        <f>IFERROR(__xludf.DUMMYFUNCTION("""COMPUTED_VALUE"""),"Jeison Rubiano")</f>
        <v>Jeison Rubiano</v>
      </c>
      <c r="C6539" s="15" t="str">
        <f>IFERROR(__xludf.DUMMYFUNCTION("""COMPUTED_VALUE"""),"BOGOTÁ")</f>
        <v>BOGOTÁ</v>
      </c>
      <c r="D6539" s="15" t="str">
        <f>IFERROR(__xludf.DUMMYFUNCTION("""COMPUTED_VALUE"""),"MEDELLÍN")</f>
        <v>MEDELLÍN</v>
      </c>
      <c r="E6539" s="15" t="str">
        <f>IFERROR(__xludf.DUMMYFUNCTION("""COMPUTED_VALUE"""),"Puro Verde")</f>
        <v>Puro Verde</v>
      </c>
      <c r="F6539" s="17" t="str">
        <f>IFERROR(__xludf.DUMMYFUNCTION("""COMPUTED_VALUE"""),"Cra 16a no. 77-23 / BODEGA / EL LAGO")</f>
        <v>Cra 16a no. 77-23 / BODEGA / EL LAGO</v>
      </c>
      <c r="G6539" s="15" t="str">
        <f>IFERROR(__xludf.DUMMYFUNCTION("""COMPUTED_VALUE"""),"CENTRO DE ACOPIO DANDO CUERDA")</f>
        <v>CENTRO DE ACOPIO DANDO CUERDA</v>
      </c>
      <c r="H6539" s="16">
        <f>IFERROR(__xludf.DUMMYFUNCTION("""COMPUTED_VALUE"""),15210.0)</f>
        <v>15210</v>
      </c>
      <c r="I6539" s="18" t="str">
        <f>IFERROR(__xludf.DUMMYFUNCTION("""COMPUTED_VALUE"""),"52.5")</f>
        <v>52.5</v>
      </c>
      <c r="J6539" s="18">
        <f>IFERROR(__xludf.DUMMYFUNCTION("""COMPUTED_VALUE"""),55.0)</f>
        <v>55</v>
      </c>
      <c r="K6539" s="18">
        <f>IFERROR(__xludf.DUMMYFUNCTION("""COMPUTED_VALUE"""),45.0)</f>
        <v>45</v>
      </c>
      <c r="L6539" s="17">
        <f>IFERROR(__xludf.DUMMYFUNCTION("""COMPUTED_VALUE"""),3.163816691E9)</f>
        <v>3163816691</v>
      </c>
      <c r="M6539" s="17" t="str">
        <f>IFERROR(__xludf.DUMMYFUNCTION("""COMPUTED_VALUE"""),"#REF!")</f>
        <v>#REF!</v>
      </c>
      <c r="N6539" s="17"/>
      <c r="O6539" s="17"/>
      <c r="P6539" s="17" t="b">
        <f>IFERROR(__xludf.DUMMYFUNCTION("""COMPUTED_VALUE"""),FALSE)</f>
        <v>0</v>
      </c>
      <c r="Q6539" s="20" t="str">
        <f>IFERROR(__xludf.DUMMYFUNCTION("""COMPUTED_VALUE"""),"")</f>
        <v/>
      </c>
      <c r="R6539" s="22" t="str">
        <f>IFERROR(__xludf.DUMMYFUNCTION("""COMPUTED_VALUE"""),"")</f>
        <v/>
      </c>
    </row>
    <row r="6540">
      <c r="A6540" s="15">
        <f>IFERROR(__xludf.DUMMYFUNCTION("""COMPUTED_VALUE"""),45184.0)</f>
        <v>45184</v>
      </c>
      <c r="B6540" s="16" t="str">
        <f>IFERROR(__xludf.DUMMYFUNCTION("""COMPUTED_VALUE"""),"Jeison Rubiano")</f>
        <v>Jeison Rubiano</v>
      </c>
      <c r="C6540" s="15" t="str">
        <f>IFERROR(__xludf.DUMMYFUNCTION("""COMPUTED_VALUE"""),"BOGOTÁ")</f>
        <v>BOGOTÁ</v>
      </c>
      <c r="D6540" s="15" t="str">
        <f>IFERROR(__xludf.DUMMYFUNCTION("""COMPUTED_VALUE"""),"MEDELLÍN")</f>
        <v>MEDELLÍN</v>
      </c>
      <c r="E6540" s="15" t="str">
        <f>IFERROR(__xludf.DUMMYFUNCTION("""COMPUTED_VALUE"""),"Rambla")</f>
        <v>Rambla</v>
      </c>
      <c r="F6540" s="17" t="str">
        <f>IFERROR(__xludf.DUMMYFUNCTION("""COMPUTED_VALUE"""),"calle 71 # 4 - 55 / - / -")</f>
        <v>calle 71 # 4 - 55 / - / -</v>
      </c>
      <c r="G6540" s="15" t="str">
        <f>IFERROR(__xludf.DUMMYFUNCTION("""COMPUTED_VALUE"""),"Fit Market")</f>
        <v>Fit Market</v>
      </c>
      <c r="H6540" s="16">
        <f>IFERROR(__xludf.DUMMYFUNCTION("""COMPUTED_VALUE"""),15280.0)</f>
        <v>15280</v>
      </c>
      <c r="I6540" s="18">
        <f>IFERROR(__xludf.DUMMYFUNCTION("""COMPUTED_VALUE"""),39.0)</f>
        <v>39</v>
      </c>
      <c r="J6540" s="18">
        <f>IFERROR(__xludf.DUMMYFUNCTION("""COMPUTED_VALUE"""),40.0)</f>
        <v>40</v>
      </c>
      <c r="K6540" s="18">
        <f>IFERROR(__xludf.DUMMYFUNCTION("""COMPUTED_VALUE"""),40.0)</f>
        <v>40</v>
      </c>
      <c r="L6540" s="17">
        <f>IFERROR(__xludf.DUMMYFUNCTION("""COMPUTED_VALUE"""),3.183545455E9)</f>
        <v>3183545455</v>
      </c>
      <c r="M6540" s="17" t="str">
        <f>IFERROR(__xludf.DUMMYFUNCTION("""COMPUTED_VALUE"""),"#REF!")</f>
        <v>#REF!</v>
      </c>
      <c r="N6540" s="17"/>
      <c r="O6540" s="17"/>
      <c r="P6540" s="17" t="b">
        <f>IFERROR(__xludf.DUMMYFUNCTION("""COMPUTED_VALUE"""),TRUE)</f>
        <v>1</v>
      </c>
      <c r="Q6540" s="20">
        <f>IFERROR(__xludf.DUMMYFUNCTION("""COMPUTED_VALUE"""),45187.30004429398)</f>
        <v>45187.30004</v>
      </c>
      <c r="R6540" s="22" t="str">
        <f>IFERROR(__xludf.DUMMYFUNCTION("""COMPUTED_VALUE"""),"")</f>
        <v/>
      </c>
    </row>
    <row r="6541">
      <c r="A6541" s="15">
        <f>IFERROR(__xludf.DUMMYFUNCTION("""COMPUTED_VALUE"""),45184.0)</f>
        <v>45184</v>
      </c>
      <c r="B6541" s="16" t="str">
        <f>IFERROR(__xludf.DUMMYFUNCTION("""COMPUTED_VALUE"""),"Jeison Rubiano")</f>
        <v>Jeison Rubiano</v>
      </c>
      <c r="C6541" s="15" t="str">
        <f>IFERROR(__xludf.DUMMYFUNCTION("""COMPUTED_VALUE"""),"BOGOTÁ")</f>
        <v>BOGOTÁ</v>
      </c>
      <c r="D6541" s="15" t="str">
        <f>IFERROR(__xludf.DUMMYFUNCTION("""COMPUTED_VALUE"""),"MEDELLÍN")</f>
        <v>MEDELLÍN</v>
      </c>
      <c r="E6541" s="15" t="str">
        <f>IFERROR(__xludf.DUMMYFUNCTION("""COMPUTED_VALUE"""),"Rambla")</f>
        <v>Rambla</v>
      </c>
      <c r="F6541" s="17" t="str">
        <f>IFERROR(__xludf.DUMMYFUNCTION("""COMPUTED_VALUE"""),"Calle 94 no 15 28 local 3 / - / -")</f>
        <v>Calle 94 no 15 28 local 3 / - / -</v>
      </c>
      <c r="G6541" s="15" t="str">
        <f>IFERROR(__xludf.DUMMYFUNCTION("""COMPUTED_VALUE"""),"Brunch market")</f>
        <v>Brunch market</v>
      </c>
      <c r="H6541" s="16">
        <f>IFERROR(__xludf.DUMMYFUNCTION("""COMPUTED_VALUE"""),15283.0)</f>
        <v>15283</v>
      </c>
      <c r="I6541" s="18">
        <f>IFERROR(__xludf.DUMMYFUNCTION("""COMPUTED_VALUE"""),22.0)</f>
        <v>22</v>
      </c>
      <c r="J6541" s="18">
        <f>IFERROR(__xludf.DUMMYFUNCTION("""COMPUTED_VALUE"""),22.0)</f>
        <v>22</v>
      </c>
      <c r="K6541" s="18">
        <f>IFERROR(__xludf.DUMMYFUNCTION("""COMPUTED_VALUE"""),24.0)</f>
        <v>24</v>
      </c>
      <c r="L6541" s="17">
        <f>IFERROR(__xludf.DUMMYFUNCTION("""COMPUTED_VALUE"""),3.10565416E9)</f>
        <v>3105654160</v>
      </c>
      <c r="M6541" s="17" t="str">
        <f>IFERROR(__xludf.DUMMYFUNCTION("""COMPUTED_VALUE"""),"#REF!")</f>
        <v>#REF!</v>
      </c>
      <c r="N6541" s="17"/>
      <c r="O6541" s="17"/>
      <c r="P6541" s="17" t="b">
        <f>IFERROR(__xludf.DUMMYFUNCTION("""COMPUTED_VALUE"""),TRUE)</f>
        <v>1</v>
      </c>
      <c r="Q6541" s="20">
        <f>IFERROR(__xludf.DUMMYFUNCTION("""COMPUTED_VALUE"""),45187.30004429398)</f>
        <v>45187.30004</v>
      </c>
      <c r="R6541" s="21" t="str">
        <f>IFERROR(__xludf.DUMMYFUNCTION("""COMPUTED_VALUE"""),"https://drive.google.com/file/d/1H269W2Ts1sEnc-qUlhgjHw7Ad-rMvK70/view?usp=drivesdk")</f>
        <v>https://drive.google.com/file/d/1H269W2Ts1sEnc-qUlhgjHw7Ad-rMvK70/view?usp=drivesdk</v>
      </c>
    </row>
    <row r="6542">
      <c r="A6542" s="15">
        <f>IFERROR(__xludf.DUMMYFUNCTION("""COMPUTED_VALUE"""),45184.0)</f>
        <v>45184</v>
      </c>
      <c r="B6542" s="16" t="str">
        <f>IFERROR(__xludf.DUMMYFUNCTION("""COMPUTED_VALUE"""),"Jeison Rubiano")</f>
        <v>Jeison Rubiano</v>
      </c>
      <c r="C6542" s="15" t="str">
        <f>IFERROR(__xludf.DUMMYFUNCTION("""COMPUTED_VALUE"""),"BOGOTÁ")</f>
        <v>BOGOTÁ</v>
      </c>
      <c r="D6542" s="15" t="str">
        <f>IFERROR(__xludf.DUMMYFUNCTION("""COMPUTED_VALUE"""),"MEDELLÍN")</f>
        <v>MEDELLÍN</v>
      </c>
      <c r="E6542" s="15" t="str">
        <f>IFERROR(__xludf.DUMMYFUNCTION("""COMPUTED_VALUE"""),"Rambla")</f>
        <v>Rambla</v>
      </c>
      <c r="F6542" s="17" t="str">
        <f>IFERROR(__xludf.DUMMYFUNCTION("""COMPUTED_VALUE"""),"Carrera 8 #167D-62 TORRE 1 APTO 1212 / - / -")</f>
        <v>Carrera 8 #167D-62 TORRE 1 APTO 1212 / - / -</v>
      </c>
      <c r="G6542" s="15" t="str">
        <f>IFERROR(__xludf.DUMMYFUNCTION("""COMPUTED_VALUE"""),"Lechuga y lulo")</f>
        <v>Lechuga y lulo</v>
      </c>
      <c r="H6542" s="16">
        <f>IFERROR(__xludf.DUMMYFUNCTION("""COMPUTED_VALUE"""),15284.0)</f>
        <v>15284</v>
      </c>
      <c r="I6542" s="18">
        <f>IFERROR(__xludf.DUMMYFUNCTION("""COMPUTED_VALUE"""),22.0)</f>
        <v>22</v>
      </c>
      <c r="J6542" s="18">
        <f>IFERROR(__xludf.DUMMYFUNCTION("""COMPUTED_VALUE"""),22.0)</f>
        <v>22</v>
      </c>
      <c r="K6542" s="18">
        <f>IFERROR(__xludf.DUMMYFUNCTION("""COMPUTED_VALUE"""),26.0)</f>
        <v>26</v>
      </c>
      <c r="L6542" s="17">
        <f>IFERROR(__xludf.DUMMYFUNCTION("""COMPUTED_VALUE"""),3.112063593E9)</f>
        <v>3112063593</v>
      </c>
      <c r="M6542" s="17" t="str">
        <f>IFERROR(__xludf.DUMMYFUNCTION("""COMPUTED_VALUE"""),"#REF!")</f>
        <v>#REF!</v>
      </c>
      <c r="N6542" s="17"/>
      <c r="O6542" s="17"/>
      <c r="P6542" s="17" t="b">
        <f>IFERROR(__xludf.DUMMYFUNCTION("""COMPUTED_VALUE"""),TRUE)</f>
        <v>1</v>
      </c>
      <c r="Q6542" s="20">
        <f>IFERROR(__xludf.DUMMYFUNCTION("""COMPUTED_VALUE"""),45187.30004429398)</f>
        <v>45187.30004</v>
      </c>
      <c r="R6542" s="22" t="str">
        <f>IFERROR(__xludf.DUMMYFUNCTION("""COMPUTED_VALUE"""),"")</f>
        <v/>
      </c>
    </row>
    <row r="6543">
      <c r="A6543" s="15">
        <f>IFERROR(__xludf.DUMMYFUNCTION("""COMPUTED_VALUE"""),45184.0)</f>
        <v>45184</v>
      </c>
      <c r="B6543" s="16" t="str">
        <f>IFERROR(__xludf.DUMMYFUNCTION("""COMPUTED_VALUE"""),"Jeison Rubiano")</f>
        <v>Jeison Rubiano</v>
      </c>
      <c r="C6543" s="15" t="str">
        <f>IFERROR(__xludf.DUMMYFUNCTION("""COMPUTED_VALUE"""),"BOGOTÁ")</f>
        <v>BOGOTÁ</v>
      </c>
      <c r="D6543" s="15" t="str">
        <f>IFERROR(__xludf.DUMMYFUNCTION("""COMPUTED_VALUE"""),"MEDELLÍN")</f>
        <v>MEDELLÍN</v>
      </c>
      <c r="E6543" s="15" t="str">
        <f>IFERROR(__xludf.DUMMYFUNCTION("""COMPUTED_VALUE"""),"Rambla")</f>
        <v>Rambla</v>
      </c>
      <c r="F6543" s="17" t="str">
        <f>IFERROR(__xludf.DUMMYFUNCTION("""COMPUTED_VALUE"""),"Cl. 93a #11-46, Barrio Chicó / - / -")</f>
        <v>Cl. 93a #11-46, Barrio Chicó / - / -</v>
      </c>
      <c r="G6543" s="15" t="str">
        <f>IFERROR(__xludf.DUMMYFUNCTION("""COMPUTED_VALUE"""),"Fit Hub")</f>
        <v>Fit Hub</v>
      </c>
      <c r="H6543" s="16">
        <f>IFERROR(__xludf.DUMMYFUNCTION("""COMPUTED_VALUE"""),15281.0)</f>
        <v>15281</v>
      </c>
      <c r="I6543" s="18">
        <f>IFERROR(__xludf.DUMMYFUNCTION("""COMPUTED_VALUE"""),36.0)</f>
        <v>36</v>
      </c>
      <c r="J6543" s="18">
        <f>IFERROR(__xludf.DUMMYFUNCTION("""COMPUTED_VALUE"""),30.0)</f>
        <v>30</v>
      </c>
      <c r="K6543" s="18">
        <f>IFERROR(__xludf.DUMMYFUNCTION("""COMPUTED_VALUE"""),30.0)</f>
        <v>30</v>
      </c>
      <c r="L6543" s="17">
        <f>IFERROR(__xludf.DUMMYFUNCTION("""COMPUTED_VALUE"""),3.015447307E9)</f>
        <v>3015447307</v>
      </c>
      <c r="M6543" s="17" t="str">
        <f>IFERROR(__xludf.DUMMYFUNCTION("""COMPUTED_VALUE"""),"#REF!")</f>
        <v>#REF!</v>
      </c>
      <c r="N6543" s="17"/>
      <c r="O6543" s="17"/>
      <c r="P6543" s="17" t="b">
        <f>IFERROR(__xludf.DUMMYFUNCTION("""COMPUTED_VALUE"""),TRUE)</f>
        <v>1</v>
      </c>
      <c r="Q6543" s="20">
        <f>IFERROR(__xludf.DUMMYFUNCTION("""COMPUTED_VALUE"""),45187.30004429398)</f>
        <v>45187.30004</v>
      </c>
      <c r="R6543" s="21" t="str">
        <f>IFERROR(__xludf.DUMMYFUNCTION("""COMPUTED_VALUE"""),"https://drive.google.com/file/d/1D7oUGnbkciLWGDWn_4-OnaJuiSnagGsy/view?usp=drivesdk")</f>
        <v>https://drive.google.com/file/d/1D7oUGnbkciLWGDWn_4-OnaJuiSnagGsy/view?usp=drivesdk</v>
      </c>
    </row>
    <row r="6544">
      <c r="A6544" s="15">
        <f>IFERROR(__xludf.DUMMYFUNCTION("""COMPUTED_VALUE"""),45184.0)</f>
        <v>45184</v>
      </c>
      <c r="B6544" s="16" t="str">
        <f>IFERROR(__xludf.DUMMYFUNCTION("""COMPUTED_VALUE"""),"Jeison Rubiano")</f>
        <v>Jeison Rubiano</v>
      </c>
      <c r="C6544" s="15" t="str">
        <f>IFERROR(__xludf.DUMMYFUNCTION("""COMPUTED_VALUE"""),"VALLEDUPAR")</f>
        <v>VALLEDUPAR</v>
      </c>
      <c r="D6544" s="15" t="str">
        <f>IFERROR(__xludf.DUMMYFUNCTION("""COMPUTED_VALUE"""),"BOGOTÁ")</f>
        <v>BOGOTÁ</v>
      </c>
      <c r="E6544" s="15" t="str">
        <f>IFERROR(__xludf.DUMMYFUNCTION("""COMPUTED_VALUE"""),"Evamazzita")</f>
        <v>Evamazzita</v>
      </c>
      <c r="F6544" s="17" t="str">
        <f>IFERROR(__xludf.DUMMYFUNCTION("""COMPUTED_VALUE"""),"Calle 3 N Bis  # 44a - 87 / Conjunto cerrado Bilbao manzana F casa 15")</f>
        <v>Calle 3 N Bis  # 44a - 87 / Conjunto cerrado Bilbao manzana F casa 15</v>
      </c>
      <c r="G6544" s="15" t="str">
        <f>IFERROR(__xludf.DUMMYFUNCTION("""COMPUTED_VALUE"""),"YASMIN JIMENEZ")</f>
        <v>YASMIN JIMENEZ</v>
      </c>
      <c r="H6544" s="16">
        <f>IFERROR(__xludf.DUMMYFUNCTION("""COMPUTED_VALUE"""),15243.0)</f>
        <v>15243</v>
      </c>
      <c r="I6544" s="18">
        <f>IFERROR(__xludf.DUMMYFUNCTION("""COMPUTED_VALUE"""),1.0)</f>
        <v>1</v>
      </c>
      <c r="J6544" s="18">
        <f>IFERROR(__xludf.DUMMYFUNCTION("""COMPUTED_VALUE"""),1.0)</f>
        <v>1</v>
      </c>
      <c r="K6544" s="18">
        <f>IFERROR(__xludf.DUMMYFUNCTION("""COMPUTED_VALUE"""),1.0)</f>
        <v>1</v>
      </c>
      <c r="L6544" s="17">
        <f>IFERROR(__xludf.DUMMYFUNCTION("""COMPUTED_VALUE"""),3.00537979E9)</f>
        <v>3005379790</v>
      </c>
      <c r="M6544" s="17" t="str">
        <f>IFERROR(__xludf.DUMMYFUNCTION("""COMPUTED_VALUE"""),"#REF!")</f>
        <v>#REF!</v>
      </c>
      <c r="N6544" s="17"/>
      <c r="O6544" s="17"/>
      <c r="P6544" s="17" t="b">
        <f>IFERROR(__xludf.DUMMYFUNCTION("""COMPUTED_VALUE"""),FALSE)</f>
        <v>0</v>
      </c>
      <c r="Q6544" s="20" t="str">
        <f>IFERROR(__xludf.DUMMYFUNCTION("""COMPUTED_VALUE"""),"")</f>
        <v/>
      </c>
      <c r="R6544" s="22" t="str">
        <f>IFERROR(__xludf.DUMMYFUNCTION("""COMPUTED_VALUE"""),"")</f>
        <v/>
      </c>
    </row>
    <row r="6545">
      <c r="A6545" s="15">
        <f>IFERROR(__xludf.DUMMYFUNCTION("""COMPUTED_VALUE"""),45184.0)</f>
        <v>45184</v>
      </c>
      <c r="B6545" s="16" t="str">
        <f>IFERROR(__xludf.DUMMYFUNCTION("""COMPUTED_VALUE"""),"Jeison Rubiano")</f>
        <v>Jeison Rubiano</v>
      </c>
      <c r="C6545" s="15" t="str">
        <f>IFERROR(__xludf.DUMMYFUNCTION("""COMPUTED_VALUE"""),"VALLEDUPAR")</f>
        <v>VALLEDUPAR</v>
      </c>
      <c r="D6545" s="15" t="str">
        <f>IFERROR(__xludf.DUMMYFUNCTION("""COMPUTED_VALUE"""),"BUCARAMANGA")</f>
        <v>BUCARAMANGA</v>
      </c>
      <c r="E6545" s="15" t="str">
        <f>IFERROR(__xludf.DUMMYFUNCTION("""COMPUTED_VALUE"""),"Yo Como Solito")</f>
        <v>Yo Como Solito</v>
      </c>
      <c r="F6545" s="17" t="str">
        <f>IFERROR(__xludf.DUMMYFUNCTION("""COMPUTED_VALUE"""),"CONJUNTO VILLA LIGIA 1 MZ H CASA 5 / CONJUNTO VILLA LIGIA 1 MZ H CASA 5 / CONJUNTO VILLA LIGIA 1 MZ H CASA 5")</f>
        <v>CONJUNTO VILLA LIGIA 1 MZ H CASA 5 / CONJUNTO VILLA LIGIA 1 MZ H CASA 5 / CONJUNTO VILLA LIGIA 1 MZ H CASA 5</v>
      </c>
      <c r="G6545" s="15" t="str">
        <f>IFERROR(__xludf.DUMMYFUNCTION("""COMPUTED_VALUE"""),"KAREN GONZÁLEZ VÉLEZ")</f>
        <v>KAREN GONZÁLEZ VÉLEZ</v>
      </c>
      <c r="H6545" s="16">
        <f>IFERROR(__xludf.DUMMYFUNCTION("""COMPUTED_VALUE"""),14845.0)</f>
        <v>14845</v>
      </c>
      <c r="I6545" s="18">
        <f>IFERROR(__xludf.DUMMYFUNCTION("""COMPUTED_VALUE"""),13.0)</f>
        <v>13</v>
      </c>
      <c r="J6545" s="18">
        <f>IFERROR(__xludf.DUMMYFUNCTION("""COMPUTED_VALUE"""),27.0)</f>
        <v>27</v>
      </c>
      <c r="K6545" s="18">
        <f>IFERROR(__xludf.DUMMYFUNCTION("""COMPUTED_VALUE"""),41.0)</f>
        <v>41</v>
      </c>
      <c r="L6545" s="17">
        <f>IFERROR(__xludf.DUMMYFUNCTION("""COMPUTED_VALUE"""),3.226903181E9)</f>
        <v>3226903181</v>
      </c>
      <c r="M6545" s="17" t="str">
        <f>IFERROR(__xludf.DUMMYFUNCTION("""COMPUTED_VALUE"""),"#REF!")</f>
        <v>#REF!</v>
      </c>
      <c r="N6545" s="17"/>
      <c r="O6545" s="17"/>
      <c r="P6545" s="17" t="b">
        <f>IFERROR(__xludf.DUMMYFUNCTION("""COMPUTED_VALUE"""),TRUE)</f>
        <v>1</v>
      </c>
      <c r="Q6545" s="20">
        <f>IFERROR(__xludf.DUMMYFUNCTION("""COMPUTED_VALUE"""),45187.30004429398)</f>
        <v>45187.30004</v>
      </c>
      <c r="R6545" s="22" t="str">
        <f>IFERROR(__xludf.DUMMYFUNCTION("""COMPUTED_VALUE"""),"")</f>
        <v/>
      </c>
    </row>
    <row r="6546">
      <c r="A6546" s="17" t="str">
        <f>IFERROR(__xludf.DUMMYFUNCTION("""COMPUTED_VALUE"""),"")</f>
        <v/>
      </c>
      <c r="B6546" s="17" t="str">
        <f>IFERROR(__xludf.DUMMYFUNCTION("""COMPUTED_VALUE"""),"")</f>
        <v/>
      </c>
      <c r="C6546" s="17" t="str">
        <f>IFERROR(__xludf.DUMMYFUNCTION("""COMPUTED_VALUE"""),"")</f>
        <v/>
      </c>
      <c r="D6546" s="17" t="str">
        <f>IFERROR(__xludf.DUMMYFUNCTION("""COMPUTED_VALUE"""),"")</f>
        <v/>
      </c>
      <c r="E6546" s="17" t="str">
        <f>IFERROR(__xludf.DUMMYFUNCTION("""COMPUTED_VALUE"""),"")</f>
        <v/>
      </c>
      <c r="F6546" s="17" t="str">
        <f>IFERROR(__xludf.DUMMYFUNCTION("""COMPUTED_VALUE"""),"")</f>
        <v/>
      </c>
      <c r="G6546" s="17" t="str">
        <f>IFERROR(__xludf.DUMMYFUNCTION("""COMPUTED_VALUE"""),"")</f>
        <v/>
      </c>
      <c r="H6546" s="17" t="str">
        <f>IFERROR(__xludf.DUMMYFUNCTION("""COMPUTED_VALUE"""),"")</f>
        <v/>
      </c>
      <c r="I6546" s="17" t="str">
        <f>IFERROR(__xludf.DUMMYFUNCTION("""COMPUTED_VALUE"""),"")</f>
        <v/>
      </c>
      <c r="J6546" s="17" t="str">
        <f>IFERROR(__xludf.DUMMYFUNCTION("""COMPUTED_VALUE"""),"")</f>
        <v/>
      </c>
      <c r="K6546" s="17" t="str">
        <f>IFERROR(__xludf.DUMMYFUNCTION("""COMPUTED_VALUE"""),"")</f>
        <v/>
      </c>
      <c r="L6546" s="17" t="str">
        <f>IFERROR(__xludf.DUMMYFUNCTION("""COMPUTED_VALUE"""),"")</f>
        <v/>
      </c>
      <c r="M6546" s="17" t="str">
        <f>IFERROR(__xludf.DUMMYFUNCTION("""COMPUTED_VALUE"""),"")</f>
        <v/>
      </c>
      <c r="N6546" s="17" t="str">
        <f>IFERROR(__xludf.DUMMYFUNCTION("""COMPUTED_VALUE"""),"")</f>
        <v/>
      </c>
      <c r="O6546" s="17" t="str">
        <f>IFERROR(__xludf.DUMMYFUNCTION("""COMPUTED_VALUE"""),"")</f>
        <v/>
      </c>
      <c r="P6546" s="17" t="str">
        <f>IFERROR(__xludf.DUMMYFUNCTION("""COMPUTED_VALUE"""),"")</f>
        <v/>
      </c>
      <c r="Q6546" s="17" t="str">
        <f>IFERROR(__xludf.DUMMYFUNCTION("""COMPUTED_VALUE"""),"")</f>
        <v/>
      </c>
      <c r="R6546" s="17" t="str">
        <f>IFERROR(__xludf.DUMMYFUNCTION("""COMPUTED_VALUE"""),"")</f>
        <v/>
      </c>
    </row>
    <row r="6547">
      <c r="A6547" s="15">
        <f>IFERROR(__xludf.DUMMYFUNCTION("""COMPUTED_VALUE"""),45184.0)</f>
        <v>45184</v>
      </c>
      <c r="B6547" s="16" t="str">
        <f>IFERROR(__xludf.DUMMYFUNCTION("""COMPUTED_VALUE"""),"Lina Gaona")</f>
        <v>Lina Gaona</v>
      </c>
      <c r="C6547" s="15" t="str">
        <f>IFERROR(__xludf.DUMMYFUNCTION("""COMPUTED_VALUE"""),"CÚCUTA")</f>
        <v>CÚCUTA</v>
      </c>
      <c r="D6547" s="15" t="str">
        <f>IFERROR(__xludf.DUMMYFUNCTION("""COMPUTED_VALUE"""),"BOGOTÁ")</f>
        <v>BOGOTÁ</v>
      </c>
      <c r="E6547" s="15" t="str">
        <f>IFERROR(__xludf.DUMMYFUNCTION("""COMPUTED_VALUE"""),"50 Gr Alfajores")</f>
        <v>50 Gr Alfajores</v>
      </c>
      <c r="F6547" s="17" t="str">
        <f>IFERROR(__xludf.DUMMYFUNCTION("""COMPUTED_VALUE"""),"AVENIDA LIBERTADORES 11 - 96  / EDIF. CONDOMINIO MALECON  / BLOQUE B - APTO 402B BARRIO LA RIVIERA")</f>
        <v>AVENIDA LIBERTADORES 11 - 96  / EDIF. CONDOMINIO MALECON  / BLOQUE B - APTO 402B BARRIO LA RIVIERA</v>
      </c>
      <c r="G6547" s="15" t="str">
        <f>IFERROR(__xludf.DUMMYFUNCTION("""COMPUTED_VALUE"""),"Araque Jauregui Diego Andrés")</f>
        <v>Araque Jauregui Diego Andrés</v>
      </c>
      <c r="H6547" s="16">
        <f>IFERROR(__xludf.DUMMYFUNCTION("""COMPUTED_VALUE"""),15007.0)</f>
        <v>15007</v>
      </c>
      <c r="I6547" s="18">
        <f>IFERROR(__xludf.DUMMYFUNCTION("""COMPUTED_VALUE"""),5.0)</f>
        <v>5</v>
      </c>
      <c r="J6547" s="18">
        <f>IFERROR(__xludf.DUMMYFUNCTION("""COMPUTED_VALUE"""),13.0)</f>
        <v>13</v>
      </c>
      <c r="K6547" s="18">
        <f>IFERROR(__xludf.DUMMYFUNCTION("""COMPUTED_VALUE"""),45064.0)</f>
        <v>45064</v>
      </c>
      <c r="L6547" s="17">
        <f>IFERROR(__xludf.DUMMYFUNCTION("""COMPUTED_VALUE"""),3.013742361E9)</f>
        <v>3013742361</v>
      </c>
      <c r="M6547" s="17" t="str">
        <f>IFERROR(__xludf.DUMMYFUNCTION("""COMPUTED_VALUE"""),"#REF!")</f>
        <v>#REF!</v>
      </c>
      <c r="N6547" s="17"/>
      <c r="O6547" s="17"/>
      <c r="P6547" s="17" t="b">
        <f>IFERROR(__xludf.DUMMYFUNCTION("""COMPUTED_VALUE"""),TRUE)</f>
        <v>1</v>
      </c>
      <c r="Q6547" s="20">
        <f>IFERROR(__xludf.DUMMYFUNCTION("""COMPUTED_VALUE"""),45187.30004429398)</f>
        <v>45187.30004</v>
      </c>
      <c r="R6547" s="21" t="str">
        <f>IFERROR(__xludf.DUMMYFUNCTION("""COMPUTED_VALUE"""),"https://drive.google.com/file/d/18Us9cyx9TAoEy9xTTrQ_6LKQ3I6UIgvU/view?usp=drivesdk")</f>
        <v>https://drive.google.com/file/d/18Us9cyx9TAoEy9xTTrQ_6LKQ3I6UIgvU/view?usp=drivesdk</v>
      </c>
    </row>
    <row r="6548">
      <c r="A6548" s="15">
        <f>IFERROR(__xludf.DUMMYFUNCTION("""COMPUTED_VALUE"""),45184.0)</f>
        <v>45184</v>
      </c>
      <c r="B6548" s="16" t="str">
        <f>IFERROR(__xludf.DUMMYFUNCTION("""COMPUTED_VALUE"""),"Lina Gaona")</f>
        <v>Lina Gaona</v>
      </c>
      <c r="C6548" s="15" t="str">
        <f>IFERROR(__xludf.DUMMYFUNCTION("""COMPUTED_VALUE"""),"CÚCUTA")</f>
        <v>CÚCUTA</v>
      </c>
      <c r="D6548" s="15" t="str">
        <f>IFERROR(__xludf.DUMMYFUNCTION("""COMPUTED_VALUE"""),"BOGOTÁ")</f>
        <v>BOGOTÁ</v>
      </c>
      <c r="E6548" s="15" t="str">
        <f>IFERROR(__xludf.DUMMYFUNCTION("""COMPUTED_VALUE"""),"50 Gr Alfajores")</f>
        <v>50 Gr Alfajores</v>
      </c>
      <c r="F6548" s="17" t="str">
        <f>IFERROR(__xludf.DUMMYFUNCTION("""COMPUTED_VALUE"""),"Calle 1era #7E-201  / Conjunto Amparo  / Casa 3")</f>
        <v>Calle 1era #7E-201  / Conjunto Amparo  / Casa 3</v>
      </c>
      <c r="G6548" s="15" t="str">
        <f>IFERROR(__xludf.DUMMYFUNCTION("""COMPUTED_VALUE"""),"Forero Puello Nicolás")</f>
        <v>Forero Puello Nicolás</v>
      </c>
      <c r="H6548" s="16">
        <f>IFERROR(__xludf.DUMMYFUNCTION("""COMPUTED_VALUE"""),15006.0)</f>
        <v>15006</v>
      </c>
      <c r="I6548" s="18">
        <f>IFERROR(__xludf.DUMMYFUNCTION("""COMPUTED_VALUE"""),5.0)</f>
        <v>5</v>
      </c>
      <c r="J6548" s="18">
        <f>IFERROR(__xludf.DUMMYFUNCTION("""COMPUTED_VALUE"""),13.0)</f>
        <v>13</v>
      </c>
      <c r="K6548" s="18">
        <f>IFERROR(__xludf.DUMMYFUNCTION("""COMPUTED_VALUE"""),45064.0)</f>
        <v>45064</v>
      </c>
      <c r="L6548" s="17">
        <f>IFERROR(__xludf.DUMMYFUNCTION("""COMPUTED_VALUE"""),3.045268267E9)</f>
        <v>3045268267</v>
      </c>
      <c r="M6548" s="17" t="str">
        <f>IFERROR(__xludf.DUMMYFUNCTION("""COMPUTED_VALUE"""),"#REF!")</f>
        <v>#REF!</v>
      </c>
      <c r="N6548" s="17"/>
      <c r="O6548" s="17"/>
      <c r="P6548" s="17" t="b">
        <f>IFERROR(__xludf.DUMMYFUNCTION("""COMPUTED_VALUE"""),TRUE)</f>
        <v>1</v>
      </c>
      <c r="Q6548" s="20">
        <f>IFERROR(__xludf.DUMMYFUNCTION("""COMPUTED_VALUE"""),45187.30004429398)</f>
        <v>45187.30004</v>
      </c>
      <c r="R6548" s="22" t="str">
        <f>IFERROR(__xludf.DUMMYFUNCTION("""COMPUTED_VALUE"""),"")</f>
        <v/>
      </c>
    </row>
    <row r="6549">
      <c r="A6549" s="15">
        <f>IFERROR(__xludf.DUMMYFUNCTION("""COMPUTED_VALUE"""),45184.0)</f>
        <v>45184</v>
      </c>
      <c r="B6549" s="16" t="str">
        <f>IFERROR(__xludf.DUMMYFUNCTION("""COMPUTED_VALUE"""),"Lina Gaona")</f>
        <v>Lina Gaona</v>
      </c>
      <c r="C6549" s="15" t="str">
        <f>IFERROR(__xludf.DUMMYFUNCTION("""COMPUTED_VALUE"""),"CÚCUTA")</f>
        <v>CÚCUTA</v>
      </c>
      <c r="D6549" s="15" t="str">
        <f>IFERROR(__xludf.DUMMYFUNCTION("""COMPUTED_VALUE"""),"BOGOTÁ")</f>
        <v>BOGOTÁ</v>
      </c>
      <c r="E6549" s="15" t="str">
        <f>IFERROR(__xludf.DUMMYFUNCTION("""COMPUTED_VALUE"""),"Evamazzita")</f>
        <v>Evamazzita</v>
      </c>
      <c r="F6549" s="17" t="str">
        <f>IFERROR(__xludf.DUMMYFUNCTION("""COMPUTED_VALUE"""),"Av 2E # 15A -17 Caobos / Caobos")</f>
        <v>Av 2E # 15A -17 Caobos / Caobos</v>
      </c>
      <c r="G6549" s="15" t="str">
        <f>IFERROR(__xludf.DUMMYFUNCTION("""COMPUTED_VALUE"""),"DACCY KARINA LOPEZ MORENO")</f>
        <v>DACCY KARINA LOPEZ MORENO</v>
      </c>
      <c r="H6549" s="16">
        <f>IFERROR(__xludf.DUMMYFUNCTION("""COMPUTED_VALUE"""),15222.0)</f>
        <v>15222</v>
      </c>
      <c r="I6549" s="18">
        <f>IFERROR(__xludf.DUMMYFUNCTION("""COMPUTED_VALUE"""),1.0)</f>
        <v>1</v>
      </c>
      <c r="J6549" s="18">
        <f>IFERROR(__xludf.DUMMYFUNCTION("""COMPUTED_VALUE"""),1.0)</f>
        <v>1</v>
      </c>
      <c r="K6549" s="18">
        <f>IFERROR(__xludf.DUMMYFUNCTION("""COMPUTED_VALUE"""),1.0)</f>
        <v>1</v>
      </c>
      <c r="L6549" s="17">
        <f>IFERROR(__xludf.DUMMYFUNCTION("""COMPUTED_VALUE"""),3.208615379E9)</f>
        <v>3208615379</v>
      </c>
      <c r="M6549" s="17" t="str">
        <f>IFERROR(__xludf.DUMMYFUNCTION("""COMPUTED_VALUE"""),"#REF!")</f>
        <v>#REF!</v>
      </c>
      <c r="N6549" s="17"/>
      <c r="O6549" s="17"/>
      <c r="P6549" s="17" t="b">
        <f>IFERROR(__xludf.DUMMYFUNCTION("""COMPUTED_VALUE"""),FALSE)</f>
        <v>0</v>
      </c>
      <c r="Q6549" s="20" t="str">
        <f>IFERROR(__xludf.DUMMYFUNCTION("""COMPUTED_VALUE"""),"")</f>
        <v/>
      </c>
      <c r="R6549" s="22" t="str">
        <f>IFERROR(__xludf.DUMMYFUNCTION("""COMPUTED_VALUE"""),"")</f>
        <v/>
      </c>
    </row>
    <row r="6550">
      <c r="A6550" s="15">
        <f>IFERROR(__xludf.DUMMYFUNCTION("""COMPUTED_VALUE"""),45184.0)</f>
        <v>45184</v>
      </c>
      <c r="B6550" s="16" t="str">
        <f>IFERROR(__xludf.DUMMYFUNCTION("""COMPUTED_VALUE"""),"Lina Gaona")</f>
        <v>Lina Gaona</v>
      </c>
      <c r="C6550" s="15" t="str">
        <f>IFERROR(__xludf.DUMMYFUNCTION("""COMPUTED_VALUE"""),"CÚCUTA")</f>
        <v>CÚCUTA</v>
      </c>
      <c r="D6550" s="15" t="str">
        <f>IFERROR(__xludf.DUMMYFUNCTION("""COMPUTED_VALUE"""),"BOGOTÁ")</f>
        <v>BOGOTÁ</v>
      </c>
      <c r="E6550" s="15" t="str">
        <f>IFERROR(__xludf.DUMMYFUNCTION("""COMPUTED_VALUE"""),"Evamazzita")</f>
        <v>Evamazzita</v>
      </c>
      <c r="F6550" s="17" t="str">
        <f>IFERROR(__xludf.DUMMYFUNCTION("""COMPUTED_VALUE"""),"AV 8 No. 9 - 185 / PRADOS DEL ESTE CONJUNTO CERRADO CASA B7")</f>
        <v>AV 8 No. 9 - 185 / PRADOS DEL ESTE CONJUNTO CERRADO CASA B7</v>
      </c>
      <c r="G6550" s="15" t="str">
        <f>IFERROR(__xludf.DUMMYFUNCTION("""COMPUTED_VALUE"""),"SANDRA PAOLA MONTIEL PEÑA")</f>
        <v>SANDRA PAOLA MONTIEL PEÑA</v>
      </c>
      <c r="H6550" s="16">
        <f>IFERROR(__xludf.DUMMYFUNCTION("""COMPUTED_VALUE"""),15221.0)</f>
        <v>15221</v>
      </c>
      <c r="I6550" s="18">
        <f>IFERROR(__xludf.DUMMYFUNCTION("""COMPUTED_VALUE"""),1.0)</f>
        <v>1</v>
      </c>
      <c r="J6550" s="18">
        <f>IFERROR(__xludf.DUMMYFUNCTION("""COMPUTED_VALUE"""),1.0)</f>
        <v>1</v>
      </c>
      <c r="K6550" s="18">
        <f>IFERROR(__xludf.DUMMYFUNCTION("""COMPUTED_VALUE"""),1.0)</f>
        <v>1</v>
      </c>
      <c r="L6550" s="17">
        <f>IFERROR(__xludf.DUMMYFUNCTION("""COMPUTED_VALUE"""),3.156864936E9)</f>
        <v>3156864936</v>
      </c>
      <c r="M6550" s="17" t="str">
        <f>IFERROR(__xludf.DUMMYFUNCTION("""COMPUTED_VALUE"""),"#REF!")</f>
        <v>#REF!</v>
      </c>
      <c r="N6550" s="17"/>
      <c r="O6550" s="17"/>
      <c r="P6550" s="17" t="b">
        <f>IFERROR(__xludf.DUMMYFUNCTION("""COMPUTED_VALUE"""),FALSE)</f>
        <v>0</v>
      </c>
      <c r="Q6550" s="20" t="str">
        <f>IFERROR(__xludf.DUMMYFUNCTION("""COMPUTED_VALUE"""),"")</f>
        <v/>
      </c>
      <c r="R6550" s="22" t="str">
        <f>IFERROR(__xludf.DUMMYFUNCTION("""COMPUTED_VALUE"""),"")</f>
        <v/>
      </c>
    </row>
    <row r="6551">
      <c r="A6551" s="15">
        <f>IFERROR(__xludf.DUMMYFUNCTION("""COMPUTED_VALUE"""),45184.0)</f>
        <v>45184</v>
      </c>
      <c r="B6551" s="16" t="str">
        <f>IFERROR(__xludf.DUMMYFUNCTION("""COMPUTED_VALUE"""),"Lina Gaona")</f>
        <v>Lina Gaona</v>
      </c>
      <c r="C6551" s="15" t="str">
        <f>IFERROR(__xludf.DUMMYFUNCTION("""COMPUTED_VALUE"""),"CÚCUTA")</f>
        <v>CÚCUTA</v>
      </c>
      <c r="D6551" s="15" t="str">
        <f>IFERROR(__xludf.DUMMYFUNCTION("""COMPUTED_VALUE"""),"BOGOTÁ")</f>
        <v>BOGOTÁ</v>
      </c>
      <c r="E6551" s="15" t="str">
        <f>IFERROR(__xludf.DUMMYFUNCTION("""COMPUTED_VALUE"""),"Pan de Waffle")</f>
        <v>Pan de Waffle</v>
      </c>
      <c r="F6551" s="17" t="str">
        <f>IFERROR(__xludf.DUMMYFUNCTION("""COMPUTED_VALUE"""),"Av. 11e # 1 - 35 Av. Guaimaral Barrio Quinta Oriental Local 3 / Av. 11e # 1 - 35 Av. Guaimaral Barrio Quinta Oriental Local 3 / Av. 11e # 1 - 35 Av. Guaimaral Barrio Quinta Oriental Local 3")</f>
        <v>Av. 11e # 1 - 35 Av. Guaimaral Barrio Quinta Oriental Local 3 / Av. 11e # 1 - 35 Av. Guaimaral Barrio Quinta Oriental Local 3 / Av. 11e # 1 - 35 Av. Guaimaral Barrio Quinta Oriental Local 3</v>
      </c>
      <c r="G6551" s="15" t="str">
        <f>IFERROR(__xludf.DUMMYFUNCTION("""COMPUTED_VALUE"""),"VITAL FIT")</f>
        <v>VITAL FIT</v>
      </c>
      <c r="H6551" s="16">
        <f>IFERROR(__xludf.DUMMYFUNCTION("""COMPUTED_VALUE"""),15216.0)</f>
        <v>15216</v>
      </c>
      <c r="I6551" s="18">
        <f>IFERROR(__xludf.DUMMYFUNCTION("""COMPUTED_VALUE"""),40.0)</f>
        <v>40</v>
      </c>
      <c r="J6551" s="18">
        <f>IFERROR(__xludf.DUMMYFUNCTION("""COMPUTED_VALUE"""),40.0)</f>
        <v>40</v>
      </c>
      <c r="K6551" s="18">
        <f>IFERROR(__xludf.DUMMYFUNCTION("""COMPUTED_VALUE"""),30.0)</f>
        <v>30</v>
      </c>
      <c r="L6551" s="17">
        <f>IFERROR(__xludf.DUMMYFUNCTION("""COMPUTED_VALUE"""),3.01782078E9)</f>
        <v>3017820780</v>
      </c>
      <c r="M6551" s="17" t="str">
        <f>IFERROR(__xludf.DUMMYFUNCTION("""COMPUTED_VALUE"""),"#REF!")</f>
        <v>#REF!</v>
      </c>
      <c r="N6551" s="17"/>
      <c r="O6551" s="17"/>
      <c r="P6551" s="17" t="b">
        <f>IFERROR(__xludf.DUMMYFUNCTION("""COMPUTED_VALUE"""),FALSE)</f>
        <v>0</v>
      </c>
      <c r="Q6551" s="20" t="str">
        <f>IFERROR(__xludf.DUMMYFUNCTION("""COMPUTED_VALUE"""),"")</f>
        <v/>
      </c>
      <c r="R6551" s="22" t="str">
        <f>IFERROR(__xludf.DUMMYFUNCTION("""COMPUTED_VALUE"""),"")</f>
        <v/>
      </c>
    </row>
    <row r="6552">
      <c r="A6552" s="15">
        <f>IFERROR(__xludf.DUMMYFUNCTION("""COMPUTED_VALUE"""),45184.0)</f>
        <v>45184</v>
      </c>
      <c r="B6552" s="16" t="str">
        <f>IFERROR(__xludf.DUMMYFUNCTION("""COMPUTED_VALUE"""),"Lina Gaona")</f>
        <v>Lina Gaona</v>
      </c>
      <c r="C6552" s="15" t="str">
        <f>IFERROR(__xludf.DUMMYFUNCTION("""COMPUTED_VALUE"""),"CÚCUTA")</f>
        <v>CÚCUTA</v>
      </c>
      <c r="D6552" s="15" t="str">
        <f>IFERROR(__xludf.DUMMYFUNCTION("""COMPUTED_VALUE"""),"BOGOTÁ")</f>
        <v>BOGOTÁ</v>
      </c>
      <c r="E6552" s="15" t="str">
        <f>IFERROR(__xludf.DUMMYFUNCTION("""COMPUTED_VALUE"""),"Pan de Waffle")</f>
        <v>Pan de Waffle</v>
      </c>
      <c r="F6552" s="17" t="str">
        <f>IFERROR(__xludf.DUMMYFUNCTION("""COMPUTED_VALUE"""),"Av. 17e # 2N - 65 Conjunto Palma Real Casa T12 cerca a la Clinica Duarte / Av. 17e # 2N - 65 Conjunto Palma Real Casa T12 cerca a la Clinica Duarte / Av. 17e # 2N - 65 Conjunto Palma Real Casa T12 cerca a la Clinica Duarte")</f>
        <v>Av. 17e # 2N - 65 Conjunto Palma Real Casa T12 cerca a la Clinica Duarte / Av. 17e # 2N - 65 Conjunto Palma Real Casa T12 cerca a la Clinica Duarte / Av. 17e # 2N - 65 Conjunto Palma Real Casa T12 cerca a la Clinica Duarte</v>
      </c>
      <c r="G6552" s="15" t="str">
        <f>IFERROR(__xludf.DUMMYFUNCTION("""COMPUTED_VALUE"""),"DANIELA VILLAMIZAR")</f>
        <v>DANIELA VILLAMIZAR</v>
      </c>
      <c r="H6552" s="16">
        <f>IFERROR(__xludf.DUMMYFUNCTION("""COMPUTED_VALUE"""),15219.0)</f>
        <v>15219</v>
      </c>
      <c r="I6552" s="18">
        <f>IFERROR(__xludf.DUMMYFUNCTION("""COMPUTED_VALUE"""),30.0)</f>
        <v>30</v>
      </c>
      <c r="J6552" s="18">
        <f>IFERROR(__xludf.DUMMYFUNCTION("""COMPUTED_VALUE"""),40.0)</f>
        <v>40</v>
      </c>
      <c r="K6552" s="18">
        <f>IFERROR(__xludf.DUMMYFUNCTION("""COMPUTED_VALUE"""),30.0)</f>
        <v>30</v>
      </c>
      <c r="L6552" s="17">
        <f>IFERROR(__xludf.DUMMYFUNCTION("""COMPUTED_VALUE"""),3.155828995E9)</f>
        <v>3155828995</v>
      </c>
      <c r="M6552" s="17" t="str">
        <f>IFERROR(__xludf.DUMMYFUNCTION("""COMPUTED_VALUE"""),"#REF!")</f>
        <v>#REF!</v>
      </c>
      <c r="N6552" s="17"/>
      <c r="O6552" s="17"/>
      <c r="P6552" s="17" t="b">
        <f>IFERROR(__xludf.DUMMYFUNCTION("""COMPUTED_VALUE"""),FALSE)</f>
        <v>0</v>
      </c>
      <c r="Q6552" s="20" t="str">
        <f>IFERROR(__xludf.DUMMYFUNCTION("""COMPUTED_VALUE"""),"")</f>
        <v/>
      </c>
      <c r="R6552" s="22" t="str">
        <f>IFERROR(__xludf.DUMMYFUNCTION("""COMPUTED_VALUE"""),"")</f>
        <v/>
      </c>
    </row>
    <row r="6553">
      <c r="A6553" s="15">
        <f>IFERROR(__xludf.DUMMYFUNCTION("""COMPUTED_VALUE"""),45184.0)</f>
        <v>45184</v>
      </c>
      <c r="B6553" s="16" t="str">
        <f>IFERROR(__xludf.DUMMYFUNCTION("""COMPUTED_VALUE"""),"Lina Gaona")</f>
        <v>Lina Gaona</v>
      </c>
      <c r="C6553" s="15" t="str">
        <f>IFERROR(__xludf.DUMMYFUNCTION("""COMPUTED_VALUE"""),"CÚCUTA")</f>
        <v>CÚCUTA</v>
      </c>
      <c r="D6553" s="15" t="str">
        <f>IFERROR(__xludf.DUMMYFUNCTION("""COMPUTED_VALUE"""),"BOGOTÁ")</f>
        <v>BOGOTÁ</v>
      </c>
      <c r="E6553" s="15" t="str">
        <f>IFERROR(__xludf.DUMMYFUNCTION("""COMPUTED_VALUE"""),"Top Spun")</f>
        <v>Top Spun</v>
      </c>
      <c r="F6553" s="17" t="str">
        <f>IFERROR(__xludf.DUMMYFUNCTION("""COMPUTED_VALUE"""),"calle 8A # 9E-12 / Apto 304 Edificio San Marino / Barrio Colsag")</f>
        <v>calle 8A # 9E-12 / Apto 304 Edificio San Marino / Barrio Colsag</v>
      </c>
      <c r="G6553" s="15" t="str">
        <f>IFERROR(__xludf.DUMMYFUNCTION("""COMPUTED_VALUE"""),"Rossi Quero")</f>
        <v>Rossi Quero</v>
      </c>
      <c r="H6553" s="16">
        <f>IFERROR(__xludf.DUMMYFUNCTION("""COMPUTED_VALUE"""),15173.0)</f>
        <v>15173</v>
      </c>
      <c r="I6553" s="18">
        <f>IFERROR(__xludf.DUMMYFUNCTION("""COMPUTED_VALUE"""),20.0)</f>
        <v>20</v>
      </c>
      <c r="J6553" s="18">
        <f>IFERROR(__xludf.DUMMYFUNCTION("""COMPUTED_VALUE"""),10.0)</f>
        <v>10</v>
      </c>
      <c r="K6553" s="18">
        <f>IFERROR(__xludf.DUMMYFUNCTION("""COMPUTED_VALUE"""),40.0)</f>
        <v>40</v>
      </c>
      <c r="L6553" s="17">
        <f>IFERROR(__xludf.DUMMYFUNCTION("""COMPUTED_VALUE"""),3.002131521E9)</f>
        <v>3002131521</v>
      </c>
      <c r="M6553" s="17" t="str">
        <f>IFERROR(__xludf.DUMMYFUNCTION("""COMPUTED_VALUE"""),"#REF!")</f>
        <v>#REF!</v>
      </c>
      <c r="N6553" s="17"/>
      <c r="O6553" s="17"/>
      <c r="P6553" s="17" t="b">
        <f>IFERROR(__xludf.DUMMYFUNCTION("""COMPUTED_VALUE"""),FALSE)</f>
        <v>0</v>
      </c>
      <c r="Q6553" s="20" t="str">
        <f>IFERROR(__xludf.DUMMYFUNCTION("""COMPUTED_VALUE"""),"")</f>
        <v/>
      </c>
      <c r="R6553" s="22" t="str">
        <f>IFERROR(__xludf.DUMMYFUNCTION("""COMPUTED_VALUE"""),"")</f>
        <v/>
      </c>
    </row>
    <row r="6554">
      <c r="A6554" s="15">
        <f>IFERROR(__xludf.DUMMYFUNCTION("""COMPUTED_VALUE"""),45184.0)</f>
        <v>45184</v>
      </c>
      <c r="B6554" s="16" t="str">
        <f>IFERROR(__xludf.DUMMYFUNCTION("""COMPUTED_VALUE"""),"Lina Gaona")</f>
        <v>Lina Gaona</v>
      </c>
      <c r="C6554" s="15" t="str">
        <f>IFERROR(__xludf.DUMMYFUNCTION("""COMPUTED_VALUE"""),"CÚCUTA")</f>
        <v>CÚCUTA</v>
      </c>
      <c r="D6554" s="15" t="str">
        <f>IFERROR(__xludf.DUMMYFUNCTION("""COMPUTED_VALUE"""),"MEDELLÍN")</f>
        <v>MEDELLÍN</v>
      </c>
      <c r="E6554" s="15" t="str">
        <f>IFERROR(__xludf.DUMMYFUNCTION("""COMPUTED_VALUE"""),"Baby Chef")</f>
        <v>Baby Chef</v>
      </c>
      <c r="F6554" s="17" t="str">
        <f>IFERROR(__xludf.DUMMYFUNCTION("""COMPUTED_VALUE"""),"av 10 # 56-58 apartamentos munn torre 2 apto 702   Barrio: la floresta ( patios)  Ciudad: los patios  / ""av 10 # 56-58 apartamentos munn torre 2 apto 702   Barrio: la floresta ( patios)  Ciudad: los patios "" / ""av 10 # 56-58 apartamentos munn torre 2 a"&amp;"pto 702   Barrio: la floresta ( patios)  Ciudad: los patios """)</f>
        <v>av 10 # 56-58 apartamentos munn torre 2 apto 702   Barrio: la floresta ( patios)  Ciudad: los patios  / "av 10 # 56-58 apartamentos munn torre 2 apto 702   Barrio: la floresta ( patios)  Ciudad: los patios " / "av 10 # 56-58 apartamentos munn torre 2 apto 702   Barrio: la floresta ( patios)  Ciudad: los patios "</v>
      </c>
      <c r="G6554" s="15" t="str">
        <f>IFERROR(__xludf.DUMMYFUNCTION("""COMPUTED_VALUE"""),"Paola Buendía")</f>
        <v>Paola Buendía</v>
      </c>
      <c r="H6554" s="16">
        <f>IFERROR(__xludf.DUMMYFUNCTION("""COMPUTED_VALUE"""),15212.0)</f>
        <v>15212</v>
      </c>
      <c r="I6554" s="18">
        <f>IFERROR(__xludf.DUMMYFUNCTION("""COMPUTED_VALUE"""),7.0)</f>
        <v>7</v>
      </c>
      <c r="J6554" s="18">
        <f>IFERROR(__xludf.DUMMYFUNCTION("""COMPUTED_VALUE"""),21.0)</f>
        <v>21</v>
      </c>
      <c r="K6554" s="18">
        <f>IFERROR(__xludf.DUMMYFUNCTION("""COMPUTED_VALUE"""),26.0)</f>
        <v>26</v>
      </c>
      <c r="L6554" s="17">
        <f>IFERROR(__xludf.DUMMYFUNCTION("""COMPUTED_VALUE"""),3.16832202E9)</f>
        <v>3168322020</v>
      </c>
      <c r="M6554" s="17" t="str">
        <f>IFERROR(__xludf.DUMMYFUNCTION("""COMPUTED_VALUE"""),"#REF!")</f>
        <v>#REF!</v>
      </c>
      <c r="N6554" s="17"/>
      <c r="O6554" s="17"/>
      <c r="P6554" s="17" t="b">
        <f>IFERROR(__xludf.DUMMYFUNCTION("""COMPUTED_VALUE"""),FALSE)</f>
        <v>0</v>
      </c>
      <c r="Q6554" s="20" t="str">
        <f>IFERROR(__xludf.DUMMYFUNCTION("""COMPUTED_VALUE"""),"")</f>
        <v/>
      </c>
      <c r="R6554" s="22" t="str">
        <f>IFERROR(__xludf.DUMMYFUNCTION("""COMPUTED_VALUE"""),"")</f>
        <v/>
      </c>
    </row>
    <row r="6555">
      <c r="A6555" s="15">
        <f>IFERROR(__xludf.DUMMYFUNCTION("""COMPUTED_VALUE"""),45184.0)</f>
        <v>45184</v>
      </c>
      <c r="B6555" s="16" t="str">
        <f>IFERROR(__xludf.DUMMYFUNCTION("""COMPUTED_VALUE"""),"Lina Gaona")</f>
        <v>Lina Gaona</v>
      </c>
      <c r="C6555" s="15" t="str">
        <f>IFERROR(__xludf.DUMMYFUNCTION("""COMPUTED_VALUE"""),"PASTO")</f>
        <v>PASTO</v>
      </c>
      <c r="D6555" s="15" t="str">
        <f>IFERROR(__xludf.DUMMYFUNCTION("""COMPUTED_VALUE"""),"MEDELLÍN")</f>
        <v>MEDELLÍN</v>
      </c>
      <c r="E6555" s="15" t="str">
        <f>IFERROR(__xludf.DUMMYFUNCTION("""COMPUTED_VALUE"""),"Rambla")</f>
        <v>Rambla</v>
      </c>
      <c r="F6555" s="17" t="str">
        <f>IFERROR(__xludf.DUMMYFUNCTION("""COMPUTED_VALUE"""),"Calle18 # 31-88  PASAJE COMERCIAL NOVACENTRO LOCAL 13 / - / -")</f>
        <v>Calle18 # 31-88  PASAJE COMERCIAL NOVACENTRO LOCAL 13 / - / -</v>
      </c>
      <c r="G6555" s="15" t="str">
        <f>IFERROR(__xludf.DUMMYFUNCTION("""COMPUTED_VALUE"""),"Biomarket")</f>
        <v>Biomarket</v>
      </c>
      <c r="H6555" s="16">
        <f>IFERROR(__xludf.DUMMYFUNCTION("""COMPUTED_VALUE"""),15261.0)</f>
        <v>15261</v>
      </c>
      <c r="I6555" s="18">
        <f>IFERROR(__xludf.DUMMYFUNCTION("""COMPUTED_VALUE"""),31.0)</f>
        <v>31</v>
      </c>
      <c r="J6555" s="18">
        <f>IFERROR(__xludf.DUMMYFUNCTION("""COMPUTED_VALUE"""),31.0)</f>
        <v>31</v>
      </c>
      <c r="K6555" s="18">
        <f>IFERROR(__xludf.DUMMYFUNCTION("""COMPUTED_VALUE"""),31.0)</f>
        <v>31</v>
      </c>
      <c r="L6555" s="17">
        <f>IFERROR(__xludf.DUMMYFUNCTION("""COMPUTED_VALUE"""),3.165760774E9)</f>
        <v>3165760774</v>
      </c>
      <c r="M6555" s="17" t="str">
        <f>IFERROR(__xludf.DUMMYFUNCTION("""COMPUTED_VALUE"""),"#REF!")</f>
        <v>#REF!</v>
      </c>
      <c r="N6555" s="17"/>
      <c r="O6555" s="17"/>
      <c r="P6555" s="17" t="b">
        <f>IFERROR(__xludf.DUMMYFUNCTION("""COMPUTED_VALUE"""),FALSE)</f>
        <v>0</v>
      </c>
      <c r="Q6555" s="20" t="str">
        <f>IFERROR(__xludf.DUMMYFUNCTION("""COMPUTED_VALUE"""),"")</f>
        <v/>
      </c>
      <c r="R6555" s="22" t="str">
        <f>IFERROR(__xludf.DUMMYFUNCTION("""COMPUTED_VALUE"""),"")</f>
        <v/>
      </c>
    </row>
    <row r="6556">
      <c r="A6556" s="15">
        <f>IFERROR(__xludf.DUMMYFUNCTION("""COMPUTED_VALUE"""),45184.0)</f>
        <v>45184</v>
      </c>
      <c r="B6556" s="16" t="str">
        <f>IFERROR(__xludf.DUMMYFUNCTION("""COMPUTED_VALUE"""),"Lina Gaona")</f>
        <v>Lina Gaona</v>
      </c>
      <c r="C6556" s="15" t="str">
        <f>IFERROR(__xludf.DUMMYFUNCTION("""COMPUTED_VALUE"""),"SANTA MARTA")</f>
        <v>SANTA MARTA</v>
      </c>
      <c r="D6556" s="15" t="str">
        <f>IFERROR(__xludf.DUMMYFUNCTION("""COMPUTED_VALUE"""),"MEDELLÍN")</f>
        <v>MEDELLÍN</v>
      </c>
      <c r="E6556" s="15" t="str">
        <f>IFERROR(__xludf.DUMMYFUNCTION("""COMPUTED_VALUE"""),"Rambla")</f>
        <v>Rambla</v>
      </c>
      <c r="F6556" s="17" t="str">
        <f>IFERROR(__xludf.DUMMYFUNCTION("""COMPUTED_VALUE"""),"CR 4 26 40 CC PRADO PLAZA LC 117 / - / -")</f>
        <v>CR 4 26 40 CC PRADO PLAZA LC 117 / - / -</v>
      </c>
      <c r="G6556" s="15" t="str">
        <f>IFERROR(__xludf.DUMMYFUNCTION("""COMPUTED_VALUE"""),"Hecho en casa")</f>
        <v>Hecho en casa</v>
      </c>
      <c r="H6556" s="16">
        <f>IFERROR(__xludf.DUMMYFUNCTION("""COMPUTED_VALUE"""),15262.0)</f>
        <v>15262</v>
      </c>
      <c r="I6556" s="18">
        <f>IFERROR(__xludf.DUMMYFUNCTION("""COMPUTED_VALUE"""),20.0)</f>
        <v>20</v>
      </c>
      <c r="J6556" s="18">
        <f>IFERROR(__xludf.DUMMYFUNCTION("""COMPUTED_VALUE"""),19.0)</f>
        <v>19</v>
      </c>
      <c r="K6556" s="18">
        <f>IFERROR(__xludf.DUMMYFUNCTION("""COMPUTED_VALUE"""),20.0)</f>
        <v>20</v>
      </c>
      <c r="L6556" s="17">
        <f>IFERROR(__xludf.DUMMYFUNCTION("""COMPUTED_VALUE"""),3.176455877E9)</f>
        <v>3176455877</v>
      </c>
      <c r="M6556" s="17" t="str">
        <f>IFERROR(__xludf.DUMMYFUNCTION("""COMPUTED_VALUE"""),"#REF!")</f>
        <v>#REF!</v>
      </c>
      <c r="N6556" s="17"/>
      <c r="O6556" s="17"/>
      <c r="P6556" s="17" t="b">
        <f>IFERROR(__xludf.DUMMYFUNCTION("""COMPUTED_VALUE"""),FALSE)</f>
        <v>0</v>
      </c>
      <c r="Q6556" s="20" t="str">
        <f>IFERROR(__xludf.DUMMYFUNCTION("""COMPUTED_VALUE"""),"")</f>
        <v/>
      </c>
      <c r="R6556" s="21" t="str">
        <f>IFERROR(__xludf.DUMMYFUNCTION("""COMPUTED_VALUE"""),"https://drive.google.com/file/d/1kScyVChCmGx42-v_MGTCGLcSRKMOyAqq/view?usp=drivesdk")</f>
        <v>https://drive.google.com/file/d/1kScyVChCmGx42-v_MGTCGLcSRKMOyAqq/view?usp=drivesdk</v>
      </c>
    </row>
    <row r="6557">
      <c r="A6557" s="17" t="str">
        <f>IFERROR(__xludf.DUMMYFUNCTION("""COMPUTED_VALUE"""),"")</f>
        <v/>
      </c>
      <c r="B6557" s="17" t="str">
        <f>IFERROR(__xludf.DUMMYFUNCTION("""COMPUTED_VALUE"""),"")</f>
        <v/>
      </c>
      <c r="C6557" s="17" t="str">
        <f>IFERROR(__xludf.DUMMYFUNCTION("""COMPUTED_VALUE"""),"")</f>
        <v/>
      </c>
      <c r="D6557" s="17" t="str">
        <f>IFERROR(__xludf.DUMMYFUNCTION("""COMPUTED_VALUE"""),"")</f>
        <v/>
      </c>
      <c r="E6557" s="17" t="str">
        <f>IFERROR(__xludf.DUMMYFUNCTION("""COMPUTED_VALUE"""),"")</f>
        <v/>
      </c>
      <c r="F6557" s="17" t="str">
        <f>IFERROR(__xludf.DUMMYFUNCTION("""COMPUTED_VALUE"""),"")</f>
        <v/>
      </c>
      <c r="G6557" s="17" t="str">
        <f>IFERROR(__xludf.DUMMYFUNCTION("""COMPUTED_VALUE"""),"")</f>
        <v/>
      </c>
      <c r="H6557" s="17" t="str">
        <f>IFERROR(__xludf.DUMMYFUNCTION("""COMPUTED_VALUE"""),"")</f>
        <v/>
      </c>
      <c r="I6557" s="17" t="str">
        <f>IFERROR(__xludf.DUMMYFUNCTION("""COMPUTED_VALUE"""),"")</f>
        <v/>
      </c>
      <c r="J6557" s="17" t="str">
        <f>IFERROR(__xludf.DUMMYFUNCTION("""COMPUTED_VALUE"""),"")</f>
        <v/>
      </c>
      <c r="K6557" s="17" t="str">
        <f>IFERROR(__xludf.DUMMYFUNCTION("""COMPUTED_VALUE"""),"")</f>
        <v/>
      </c>
      <c r="L6557" s="17" t="str">
        <f>IFERROR(__xludf.DUMMYFUNCTION("""COMPUTED_VALUE"""),"")</f>
        <v/>
      </c>
      <c r="M6557" s="17" t="str">
        <f>IFERROR(__xludf.DUMMYFUNCTION("""COMPUTED_VALUE"""),"")</f>
        <v/>
      </c>
      <c r="N6557" s="17" t="str">
        <f>IFERROR(__xludf.DUMMYFUNCTION("""COMPUTED_VALUE"""),"")</f>
        <v/>
      </c>
      <c r="O6557" s="17" t="str">
        <f>IFERROR(__xludf.DUMMYFUNCTION("""COMPUTED_VALUE"""),"")</f>
        <v/>
      </c>
      <c r="P6557" s="17" t="str">
        <f>IFERROR(__xludf.DUMMYFUNCTION("""COMPUTED_VALUE"""),"")</f>
        <v/>
      </c>
      <c r="Q6557" s="17" t="str">
        <f>IFERROR(__xludf.DUMMYFUNCTION("""COMPUTED_VALUE"""),"")</f>
        <v/>
      </c>
      <c r="R6557" s="17" t="str">
        <f>IFERROR(__xludf.DUMMYFUNCTION("""COMPUTED_VALUE"""),"")</f>
        <v/>
      </c>
    </row>
    <row r="6558">
      <c r="A6558" s="15">
        <f>IFERROR(__xludf.DUMMYFUNCTION("""COMPUTED_VALUE"""),45184.0)</f>
        <v>45184</v>
      </c>
      <c r="B6558" s="16" t="str">
        <f>IFERROR(__xludf.DUMMYFUNCTION("""COMPUTED_VALUE"""),"Orlando Urdaneta Rincon ")</f>
        <v>Orlando Urdaneta Rincon </v>
      </c>
      <c r="C6558" s="15" t="str">
        <f>IFERROR(__xludf.DUMMYFUNCTION("""COMPUTED_VALUE"""),"BOGOTÁ")</f>
        <v>BOGOTÁ</v>
      </c>
      <c r="D6558" s="15" t="str">
        <f>IFERROR(__xludf.DUMMYFUNCTION("""COMPUTED_VALUE"""),"MEDELLÍN")</f>
        <v>MEDELLÍN</v>
      </c>
      <c r="E6558" s="15" t="str">
        <f>IFERROR(__xludf.DUMMYFUNCTION("""COMPUTED_VALUE"""),"Rambla")</f>
        <v>Rambla</v>
      </c>
      <c r="F6558" s="17" t="str">
        <f>IFERROR(__xludf.DUMMYFUNCTION("""COMPUTED_VALUE"""),"Calle 41 a número 8-25 bulevar 42 apto 707 b / . / .")</f>
        <v>Calle 41 a número 8-25 bulevar 42 apto 707 b / . / .</v>
      </c>
      <c r="G6558" s="15" t="str">
        <f>IFERROR(__xludf.DUMMYFUNCTION("""COMPUTED_VALUE"""),"Nutriclic")</f>
        <v>Nutriclic</v>
      </c>
      <c r="H6558" s="16">
        <f>IFERROR(__xludf.DUMMYFUNCTION("""COMPUTED_VALUE"""),15282.0)</f>
        <v>15282</v>
      </c>
      <c r="I6558" s="18">
        <f>IFERROR(__xludf.DUMMYFUNCTION("""COMPUTED_VALUE"""),19.0)</f>
        <v>19</v>
      </c>
      <c r="J6558" s="18">
        <f>IFERROR(__xludf.DUMMYFUNCTION("""COMPUTED_VALUE"""),20.0)</f>
        <v>20</v>
      </c>
      <c r="K6558" s="18">
        <f>IFERROR(__xludf.DUMMYFUNCTION("""COMPUTED_VALUE"""),20.0)</f>
        <v>20</v>
      </c>
      <c r="L6558" s="17">
        <f>IFERROR(__xludf.DUMMYFUNCTION("""COMPUTED_VALUE"""),3.102661625E9)</f>
        <v>3102661625</v>
      </c>
      <c r="M6558" s="17" t="str">
        <f>IFERROR(__xludf.DUMMYFUNCTION("""COMPUTED_VALUE"""),"#REF!")</f>
        <v>#REF!</v>
      </c>
      <c r="N6558" s="17"/>
      <c r="O6558" s="17"/>
      <c r="P6558" s="17" t="b">
        <f>IFERROR(__xludf.DUMMYFUNCTION("""COMPUTED_VALUE"""),FALSE)</f>
        <v>0</v>
      </c>
      <c r="Q6558" s="20" t="str">
        <f>IFERROR(__xludf.DUMMYFUNCTION("""COMPUTED_VALUE"""),"")</f>
        <v/>
      </c>
      <c r="R6558" s="21" t="str">
        <f>IFERROR(__xludf.DUMMYFUNCTION("""COMPUTED_VALUE"""),"https://drive.google.com/file/d/1YzBskXGCLde7Zh2tFXGNRcoMAsWJGJ6P/view?usp=drivesdk")</f>
        <v>https://drive.google.com/file/d/1YzBskXGCLde7Zh2tFXGNRcoMAsWJGJ6P/view?usp=drivesdk</v>
      </c>
    </row>
    <row r="6559">
      <c r="A6559" s="15">
        <f>IFERROR(__xludf.DUMMYFUNCTION("""COMPUTED_VALUE"""),45184.0)</f>
        <v>45184</v>
      </c>
      <c r="B6559" s="16" t="str">
        <f>IFERROR(__xludf.DUMMYFUNCTION("""COMPUTED_VALUE"""),"Orlando Urdaneta Rincon ")</f>
        <v>Orlando Urdaneta Rincon </v>
      </c>
      <c r="C6559" s="15" t="str">
        <f>IFERROR(__xludf.DUMMYFUNCTION("""COMPUTED_VALUE"""),"SANTA MARTA")</f>
        <v>SANTA MARTA</v>
      </c>
      <c r="D6559" s="15" t="str">
        <f>IFERROR(__xludf.DUMMYFUNCTION("""COMPUTED_VALUE"""),"MEDELLÍN")</f>
        <v>MEDELLÍN</v>
      </c>
      <c r="E6559" s="15" t="str">
        <f>IFERROR(__xludf.DUMMYFUNCTION("""COMPUTED_VALUE"""),"Baby Chef")</f>
        <v>Baby Chef</v>
      </c>
      <c r="F6559" s="17" t="str">
        <f>IFERROR(__xludf.DUMMYFUNCTION("""COMPUTED_VALUE"""),"Calle 11A #5-40 Rodadero / Calle 11A #5-40 Rodadero / Calle 11A #5-40 Rodadero")</f>
        <v>Calle 11A #5-40 Rodadero / Calle 11A #5-40 Rodadero / Calle 11A #5-40 Rodadero</v>
      </c>
      <c r="G6559" s="15" t="str">
        <f>IFERROR(__xludf.DUMMYFUNCTION("""COMPUTED_VALUE"""),"Melissa Caballero Vives")</f>
        <v>Melissa Caballero Vives</v>
      </c>
      <c r="H6559" s="16">
        <f>IFERROR(__xludf.DUMMYFUNCTION("""COMPUTED_VALUE"""),15213.0)</f>
        <v>15213</v>
      </c>
      <c r="I6559" s="18">
        <f>IFERROR(__xludf.DUMMYFUNCTION("""COMPUTED_VALUE"""),17.0)</f>
        <v>17</v>
      </c>
      <c r="J6559" s="18">
        <f>IFERROR(__xludf.DUMMYFUNCTION("""COMPUTED_VALUE"""),38.0)</f>
        <v>38</v>
      </c>
      <c r="K6559" s="18">
        <f>IFERROR(__xludf.DUMMYFUNCTION("""COMPUTED_VALUE"""),45.0)</f>
        <v>45</v>
      </c>
      <c r="L6559" s="17">
        <f>IFERROR(__xludf.DUMMYFUNCTION("""COMPUTED_VALUE"""),3.044614918E9)</f>
        <v>3044614918</v>
      </c>
      <c r="M6559" s="17" t="str">
        <f>IFERROR(__xludf.DUMMYFUNCTION("""COMPUTED_VALUE"""),"#REF!")</f>
        <v>#REF!</v>
      </c>
      <c r="N6559" s="17"/>
      <c r="O6559" s="17"/>
      <c r="P6559" s="17" t="b">
        <f>IFERROR(__xludf.DUMMYFUNCTION("""COMPUTED_VALUE"""),FALSE)</f>
        <v>0</v>
      </c>
      <c r="Q6559" s="20" t="str">
        <f>IFERROR(__xludf.DUMMYFUNCTION("""COMPUTED_VALUE"""),"")</f>
        <v/>
      </c>
      <c r="R6559" s="21" t="str">
        <f>IFERROR(__xludf.DUMMYFUNCTION("""COMPUTED_VALUE"""),"https://drive.google.com/file/d/1xSSxtVcSYf09sIf1vdwwu38k8f5Rtepp/view?usp=drivesdk")</f>
        <v>https://drive.google.com/file/d/1xSSxtVcSYf09sIf1vdwwu38k8f5Rtepp/view?usp=drivesdk</v>
      </c>
    </row>
    <row r="6560">
      <c r="A6560" s="17" t="str">
        <f>IFERROR(__xludf.DUMMYFUNCTION("""COMPUTED_VALUE"""),"")</f>
        <v/>
      </c>
      <c r="B6560" s="17" t="str">
        <f>IFERROR(__xludf.DUMMYFUNCTION("""COMPUTED_VALUE"""),"")</f>
        <v/>
      </c>
      <c r="C6560" s="17" t="str">
        <f>IFERROR(__xludf.DUMMYFUNCTION("""COMPUTED_VALUE"""),"")</f>
        <v/>
      </c>
      <c r="D6560" s="17" t="str">
        <f>IFERROR(__xludf.DUMMYFUNCTION("""COMPUTED_VALUE"""),"")</f>
        <v/>
      </c>
      <c r="E6560" s="17" t="str">
        <f>IFERROR(__xludf.DUMMYFUNCTION("""COMPUTED_VALUE"""),"")</f>
        <v/>
      </c>
      <c r="F6560" s="17" t="str">
        <f>IFERROR(__xludf.DUMMYFUNCTION("""COMPUTED_VALUE"""),"")</f>
        <v/>
      </c>
      <c r="G6560" s="17" t="str">
        <f>IFERROR(__xludf.DUMMYFUNCTION("""COMPUTED_VALUE"""),"")</f>
        <v/>
      </c>
      <c r="H6560" s="17" t="str">
        <f>IFERROR(__xludf.DUMMYFUNCTION("""COMPUTED_VALUE"""),"")</f>
        <v/>
      </c>
      <c r="I6560" s="17" t="str">
        <f>IFERROR(__xludf.DUMMYFUNCTION("""COMPUTED_VALUE"""),"")</f>
        <v/>
      </c>
      <c r="J6560" s="17" t="str">
        <f>IFERROR(__xludf.DUMMYFUNCTION("""COMPUTED_VALUE"""),"")</f>
        <v/>
      </c>
      <c r="K6560" s="17" t="str">
        <f>IFERROR(__xludf.DUMMYFUNCTION("""COMPUTED_VALUE"""),"")</f>
        <v/>
      </c>
      <c r="L6560" s="17" t="str">
        <f>IFERROR(__xludf.DUMMYFUNCTION("""COMPUTED_VALUE"""),"")</f>
        <v/>
      </c>
      <c r="M6560" s="17" t="str">
        <f>IFERROR(__xludf.DUMMYFUNCTION("""COMPUTED_VALUE"""),"")</f>
        <v/>
      </c>
      <c r="N6560" s="17" t="str">
        <f>IFERROR(__xludf.DUMMYFUNCTION("""COMPUTED_VALUE"""),"")</f>
        <v/>
      </c>
      <c r="O6560" s="17" t="str">
        <f>IFERROR(__xludf.DUMMYFUNCTION("""COMPUTED_VALUE"""),"")</f>
        <v/>
      </c>
      <c r="P6560" s="17" t="str">
        <f>IFERROR(__xludf.DUMMYFUNCTION("""COMPUTED_VALUE"""),"")</f>
        <v/>
      </c>
      <c r="Q6560" s="17" t="str">
        <f>IFERROR(__xludf.DUMMYFUNCTION("""COMPUTED_VALUE"""),"")</f>
        <v/>
      </c>
      <c r="R6560" s="17" t="str">
        <f>IFERROR(__xludf.DUMMYFUNCTION("""COMPUTED_VALUE"""),"")</f>
        <v/>
      </c>
    </row>
    <row r="6561">
      <c r="A6561" s="15">
        <f>IFERROR(__xludf.DUMMYFUNCTION("""COMPUTED_VALUE"""),45184.0)</f>
        <v>45184</v>
      </c>
      <c r="B6561" s="16" t="str">
        <f>IFERROR(__xludf.DUMMYFUNCTION("""COMPUTED_VALUE"""),"Santiago Garces Restrepo")</f>
        <v>Santiago Garces Restrepo</v>
      </c>
      <c r="C6561" s="15" t="str">
        <f>IFERROR(__xludf.DUMMYFUNCTION("""COMPUTED_VALUE"""),"CALI")</f>
        <v>CALI</v>
      </c>
      <c r="D6561" s="15" t="str">
        <f>IFERROR(__xludf.DUMMYFUNCTION("""COMPUTED_VALUE"""),"BOGOTÁ")</f>
        <v>BOGOTÁ</v>
      </c>
      <c r="E6561" s="15" t="str">
        <f>IFERROR(__xludf.DUMMYFUNCTION("""COMPUTED_VALUE"""),"Viral Brands")</f>
        <v>Viral Brands</v>
      </c>
      <c r="F6561" s="17" t="str">
        <f>IFERROR(__xludf.DUMMYFUNCTION("""COMPUTED_VALUE"""),"Carrera 81a 42a 07 / Edificio  / El caney")</f>
        <v>Carrera 81a 42a 07 / Edificio  / El caney</v>
      </c>
      <c r="G6561" s="15" t="str">
        <f>IFERROR(__xludf.DUMMYFUNCTION("""COMPUTED_VALUE"""),"Lisbet gamez")</f>
        <v>Lisbet gamez</v>
      </c>
      <c r="H6561" s="16">
        <f>IFERROR(__xludf.DUMMYFUNCTION("""COMPUTED_VALUE"""),15269.0)</f>
        <v>15269</v>
      </c>
      <c r="I6561" s="18">
        <f>IFERROR(__xludf.DUMMYFUNCTION("""COMPUTED_VALUE"""),210.0)</f>
        <v>210</v>
      </c>
      <c r="J6561" s="18">
        <f>IFERROR(__xludf.DUMMYFUNCTION("""COMPUTED_VALUE"""),55.0)</f>
        <v>55</v>
      </c>
      <c r="K6561" s="18">
        <f>IFERROR(__xludf.DUMMYFUNCTION("""COMPUTED_VALUE"""),45.0)</f>
        <v>45</v>
      </c>
      <c r="L6561" s="17">
        <f>IFERROR(__xludf.DUMMYFUNCTION("""COMPUTED_VALUE"""),3.218280504E9)</f>
        <v>3218280504</v>
      </c>
      <c r="M6561" s="17" t="str">
        <f>IFERROR(__xludf.DUMMYFUNCTION("""COMPUTED_VALUE"""),"#REF!")</f>
        <v>#REF!</v>
      </c>
      <c r="N6561" s="17"/>
      <c r="O6561" s="17"/>
      <c r="P6561" s="17" t="b">
        <f>IFERROR(__xludf.DUMMYFUNCTION("""COMPUTED_VALUE"""),FALSE)</f>
        <v>0</v>
      </c>
      <c r="Q6561" s="20" t="str">
        <f>IFERROR(__xludf.DUMMYFUNCTION("""COMPUTED_VALUE"""),"")</f>
        <v/>
      </c>
      <c r="R6561" s="22" t="str">
        <f>IFERROR(__xludf.DUMMYFUNCTION("""COMPUTED_VALUE"""),"")</f>
        <v/>
      </c>
    </row>
    <row r="6562">
      <c r="A6562" s="15">
        <f>IFERROR(__xludf.DUMMYFUNCTION("""COMPUTED_VALUE"""),45184.0)</f>
        <v>45184</v>
      </c>
      <c r="B6562" s="16" t="str">
        <f>IFERROR(__xludf.DUMMYFUNCTION("""COMPUTED_VALUE"""),"Santiago Garces Restrepo")</f>
        <v>Santiago Garces Restrepo</v>
      </c>
      <c r="C6562" s="15" t="str">
        <f>IFERROR(__xludf.DUMMYFUNCTION("""COMPUTED_VALUE"""),"MEDELLÍN")</f>
        <v>MEDELLÍN</v>
      </c>
      <c r="D6562" s="15" t="str">
        <f>IFERROR(__xludf.DUMMYFUNCTION("""COMPUTED_VALUE"""),"BOGOTÁ")</f>
        <v>BOGOTÁ</v>
      </c>
      <c r="E6562" s="15" t="str">
        <f>IFERROR(__xludf.DUMMYFUNCTION("""COMPUTED_VALUE"""),"Karem foods")</f>
        <v>Karem foods</v>
      </c>
      <c r="F6562" s="17" t="str">
        <f>IFERROR(__xludf.DUMMYFUNCTION("""COMPUTED_VALUE"""),"Calle 31 #83-39 apto 1711 / - / -")</f>
        <v>Calle 31 #83-39 apto 1711 / - / -</v>
      </c>
      <c r="G6562" s="15" t="str">
        <f>IFERROR(__xludf.DUMMYFUNCTION("""COMPUTED_VALUE"""),"Miguel Jose Pacheco")</f>
        <v>Miguel Jose Pacheco</v>
      </c>
      <c r="H6562" s="16">
        <f>IFERROR(__xludf.DUMMYFUNCTION("""COMPUTED_VALUE"""),15273.0)</f>
        <v>15273</v>
      </c>
      <c r="I6562" s="18">
        <f>IFERROR(__xludf.DUMMYFUNCTION("""COMPUTED_VALUE"""),7.0)</f>
        <v>7</v>
      </c>
      <c r="J6562" s="18">
        <f>IFERROR(__xludf.DUMMYFUNCTION("""COMPUTED_VALUE"""),20.0)</f>
        <v>20</v>
      </c>
      <c r="K6562" s="18">
        <f>IFERROR(__xludf.DUMMYFUNCTION("""COMPUTED_VALUE"""),20.0)</f>
        <v>20</v>
      </c>
      <c r="L6562" s="17">
        <f>IFERROR(__xludf.DUMMYFUNCTION("""COMPUTED_VALUE"""),3.234563887E9)</f>
        <v>3234563887</v>
      </c>
      <c r="M6562" s="17" t="str">
        <f>IFERROR(__xludf.DUMMYFUNCTION("""COMPUTED_VALUE"""),"#REF!")</f>
        <v>#REF!</v>
      </c>
      <c r="N6562" s="17"/>
      <c r="O6562" s="17"/>
      <c r="P6562" s="17" t="b">
        <f>IFERROR(__xludf.DUMMYFUNCTION("""COMPUTED_VALUE"""),FALSE)</f>
        <v>0</v>
      </c>
      <c r="Q6562" s="20" t="str">
        <f>IFERROR(__xludf.DUMMYFUNCTION("""COMPUTED_VALUE"""),"")</f>
        <v/>
      </c>
      <c r="R6562" s="21" t="str">
        <f>IFERROR(__xludf.DUMMYFUNCTION("""COMPUTED_VALUE"""),"https://drive.google.com/file/d/1cjA8H4yEGpQ5DihGbBOA9iUFDE40n4K6/view?usp=drivesdk")</f>
        <v>https://drive.google.com/file/d/1cjA8H4yEGpQ5DihGbBOA9iUFDE40n4K6/view?usp=drivesdk</v>
      </c>
    </row>
    <row r="6563">
      <c r="A6563" s="15">
        <f>IFERROR(__xludf.DUMMYFUNCTION("""COMPUTED_VALUE"""),45184.0)</f>
        <v>45184</v>
      </c>
      <c r="B6563" s="16" t="str">
        <f>IFERROR(__xludf.DUMMYFUNCTION("""COMPUTED_VALUE"""),"Santiago Garces Restrepo")</f>
        <v>Santiago Garces Restrepo</v>
      </c>
      <c r="C6563" s="15" t="str">
        <f>IFERROR(__xludf.DUMMYFUNCTION("""COMPUTED_VALUE"""),"MEDELLÍN")</f>
        <v>MEDELLÍN</v>
      </c>
      <c r="D6563" s="15" t="str">
        <f>IFERROR(__xludf.DUMMYFUNCTION("""COMPUTED_VALUE"""),"BOGOTÁ")</f>
        <v>BOGOTÁ</v>
      </c>
      <c r="E6563" s="15" t="str">
        <f>IFERROR(__xludf.DUMMYFUNCTION("""COMPUTED_VALUE"""),"MAI ALIMENTOS S.A.S")</f>
        <v>MAI ALIMENTOS S.A.S</v>
      </c>
      <c r="F6563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6563" s="15" t="str">
        <f>IFERROR(__xludf.DUMMYFUNCTION("""COMPUTED_VALUE"""),"Novaventas")</f>
        <v>Novaventas</v>
      </c>
      <c r="H6563" s="16">
        <f>IFERROR(__xludf.DUMMYFUNCTION("""COMPUTED_VALUE"""),15276.0)</f>
        <v>15276</v>
      </c>
      <c r="I6563" s="18">
        <f>IFERROR(__xludf.DUMMYFUNCTION("""COMPUTED_VALUE"""),35.0)</f>
        <v>35</v>
      </c>
      <c r="J6563" s="18">
        <f>IFERROR(__xludf.DUMMYFUNCTION("""COMPUTED_VALUE"""),17.0)</f>
        <v>17</v>
      </c>
      <c r="K6563" s="18">
        <f>IFERROR(__xludf.DUMMYFUNCTION("""COMPUTED_VALUE"""),13.0)</f>
        <v>13</v>
      </c>
      <c r="L6563" s="17"/>
      <c r="M6563" s="17" t="str">
        <f>IFERROR(__xludf.DUMMYFUNCTION("""COMPUTED_VALUE"""),"#REF!")</f>
        <v>#REF!</v>
      </c>
      <c r="N6563" s="17"/>
      <c r="O6563" s="17"/>
      <c r="P6563" s="17" t="b">
        <f>IFERROR(__xludf.DUMMYFUNCTION("""COMPUTED_VALUE"""),FALSE)</f>
        <v>0</v>
      </c>
      <c r="Q6563" s="20" t="str">
        <f>IFERROR(__xludf.DUMMYFUNCTION("""COMPUTED_VALUE"""),"")</f>
        <v/>
      </c>
      <c r="R6563" s="22" t="str">
        <f>IFERROR(__xludf.DUMMYFUNCTION("""COMPUTED_VALUE"""),"")</f>
        <v/>
      </c>
    </row>
    <row r="6564">
      <c r="A6564" s="17" t="str">
        <f>IFERROR(__xludf.DUMMYFUNCTION("""COMPUTED_VALUE"""),"")</f>
        <v/>
      </c>
      <c r="B6564" s="17" t="str">
        <f>IFERROR(__xludf.DUMMYFUNCTION("""COMPUTED_VALUE"""),"")</f>
        <v/>
      </c>
      <c r="C6564" s="17" t="str">
        <f>IFERROR(__xludf.DUMMYFUNCTION("""COMPUTED_VALUE"""),"")</f>
        <v/>
      </c>
      <c r="D6564" s="17" t="str">
        <f>IFERROR(__xludf.DUMMYFUNCTION("""COMPUTED_VALUE"""),"")</f>
        <v/>
      </c>
      <c r="E6564" s="17" t="str">
        <f>IFERROR(__xludf.DUMMYFUNCTION("""COMPUTED_VALUE"""),"")</f>
        <v/>
      </c>
      <c r="F6564" s="17" t="str">
        <f>IFERROR(__xludf.DUMMYFUNCTION("""COMPUTED_VALUE"""),"")</f>
        <v/>
      </c>
      <c r="G6564" s="17" t="str">
        <f>IFERROR(__xludf.DUMMYFUNCTION("""COMPUTED_VALUE"""),"")</f>
        <v/>
      </c>
      <c r="H6564" s="17" t="str">
        <f>IFERROR(__xludf.DUMMYFUNCTION("""COMPUTED_VALUE"""),"")</f>
        <v/>
      </c>
      <c r="I6564" s="17" t="str">
        <f>IFERROR(__xludf.DUMMYFUNCTION("""COMPUTED_VALUE"""),"")</f>
        <v/>
      </c>
      <c r="J6564" s="17" t="str">
        <f>IFERROR(__xludf.DUMMYFUNCTION("""COMPUTED_VALUE"""),"")</f>
        <v/>
      </c>
      <c r="K6564" s="17" t="str">
        <f>IFERROR(__xludf.DUMMYFUNCTION("""COMPUTED_VALUE"""),"")</f>
        <v/>
      </c>
      <c r="L6564" s="17" t="str">
        <f>IFERROR(__xludf.DUMMYFUNCTION("""COMPUTED_VALUE"""),"")</f>
        <v/>
      </c>
      <c r="M6564" s="17" t="str">
        <f>IFERROR(__xludf.DUMMYFUNCTION("""COMPUTED_VALUE"""),"")</f>
        <v/>
      </c>
      <c r="N6564" s="17" t="str">
        <f>IFERROR(__xludf.DUMMYFUNCTION("""COMPUTED_VALUE"""),"")</f>
        <v/>
      </c>
      <c r="O6564" s="17" t="str">
        <f>IFERROR(__xludf.DUMMYFUNCTION("""COMPUTED_VALUE"""),"")</f>
        <v/>
      </c>
      <c r="P6564" s="17" t="str">
        <f>IFERROR(__xludf.DUMMYFUNCTION("""COMPUTED_VALUE"""),"")</f>
        <v/>
      </c>
      <c r="Q6564" s="17" t="str">
        <f>IFERROR(__xludf.DUMMYFUNCTION("""COMPUTED_VALUE"""),"")</f>
        <v/>
      </c>
      <c r="R6564" s="17" t="str">
        <f>IFERROR(__xludf.DUMMYFUNCTION("""COMPUTED_VALUE"""),"")</f>
        <v/>
      </c>
    </row>
    <row r="6565">
      <c r="A6565" s="15">
        <f>IFERROR(__xludf.DUMMYFUNCTION("""COMPUTED_VALUE"""),45184.0)</f>
        <v>45184</v>
      </c>
      <c r="B6565" s="16" t="str">
        <f>IFERROR(__xludf.DUMMYFUNCTION("""COMPUTED_VALUE"""),"Yenis Carolina sicuamia montaño")</f>
        <v>Yenis Carolina sicuamia montaño</v>
      </c>
      <c r="C6565" s="15" t="str">
        <f>IFERROR(__xludf.DUMMYFUNCTION("""COMPUTED_VALUE"""),"POPAYAN")</f>
        <v>POPAYAN</v>
      </c>
      <c r="D6565" s="15" t="str">
        <f>IFERROR(__xludf.DUMMYFUNCTION("""COMPUTED_VALUE"""),"MEDELLÍN")</f>
        <v>MEDELLÍN</v>
      </c>
      <c r="E6565" s="15" t="str">
        <f>IFERROR(__xludf.DUMMYFUNCTION("""COMPUTED_VALUE"""),"Rambla")</f>
        <v>Rambla</v>
      </c>
      <c r="F6565" s="17" t="str">
        <f>IFERROR(__xludf.DUMMYFUNCTION("""COMPUTED_VALUE"""),"Calle 16 an # 6-66 Barrio el recuerdo  Popayán caucas / - / -")</f>
        <v>Calle 16 an # 6-66 Barrio el recuerdo  Popayán caucas / - / -</v>
      </c>
      <c r="G6565" s="15" t="str">
        <f>IFERROR(__xludf.DUMMYFUNCTION("""COMPUTED_VALUE"""),"Vid Natura")</f>
        <v>Vid Natura</v>
      </c>
      <c r="H6565" s="16">
        <f>IFERROR(__xludf.DUMMYFUNCTION("""COMPUTED_VALUE"""),15257.0)</f>
        <v>15257</v>
      </c>
      <c r="I6565" s="18">
        <f>IFERROR(__xludf.DUMMYFUNCTION("""COMPUTED_VALUE"""),24.0)</f>
        <v>24</v>
      </c>
      <c r="J6565" s="18">
        <f>IFERROR(__xludf.DUMMYFUNCTION("""COMPUTED_VALUE"""),22.0)</f>
        <v>22</v>
      </c>
      <c r="K6565" s="18">
        <f>IFERROR(__xludf.DUMMYFUNCTION("""COMPUTED_VALUE"""),22.0)</f>
        <v>22</v>
      </c>
      <c r="L6565" s="17">
        <f>IFERROR(__xludf.DUMMYFUNCTION("""COMPUTED_VALUE"""),3.18557702E9)</f>
        <v>3185577020</v>
      </c>
      <c r="M6565" s="17" t="str">
        <f>IFERROR(__xludf.DUMMYFUNCTION("""COMPUTED_VALUE"""),"#REF!")</f>
        <v>#REF!</v>
      </c>
      <c r="N6565" s="17"/>
      <c r="O6565" s="17"/>
      <c r="P6565" s="17" t="b">
        <f>IFERROR(__xludf.DUMMYFUNCTION("""COMPUTED_VALUE"""),FALSE)</f>
        <v>0</v>
      </c>
      <c r="Q6565" s="20" t="str">
        <f>IFERROR(__xludf.DUMMYFUNCTION("""COMPUTED_VALUE"""),"")</f>
        <v/>
      </c>
      <c r="R6565" s="22" t="str">
        <f>IFERROR(__xludf.DUMMYFUNCTION("""COMPUTED_VALUE"""),"")</f>
        <v/>
      </c>
    </row>
    <row r="6566">
      <c r="A6566" s="15">
        <f>IFERROR(__xludf.DUMMYFUNCTION("""COMPUTED_VALUE"""),45184.0)</f>
        <v>45184</v>
      </c>
      <c r="B6566" s="16" t="str">
        <f>IFERROR(__xludf.DUMMYFUNCTION("""COMPUTED_VALUE"""),"Yenis Carolina sicuamia montaño")</f>
        <v>Yenis Carolina sicuamia montaño</v>
      </c>
      <c r="C6566" s="15" t="str">
        <f>IFERROR(__xludf.DUMMYFUNCTION("""COMPUTED_VALUE"""),"POPAYAN")</f>
        <v>POPAYAN</v>
      </c>
      <c r="D6566" s="15" t="str">
        <f>IFERROR(__xludf.DUMMYFUNCTION("""COMPUTED_VALUE"""),"MEDELLÍN")</f>
        <v>MEDELLÍN</v>
      </c>
      <c r="E6566" s="15" t="str">
        <f>IFERROR(__xludf.DUMMYFUNCTION("""COMPUTED_VALUE"""),"Rambla")</f>
        <v>Rambla</v>
      </c>
      <c r="F6566" s="17" t="str">
        <f>IFERROR(__xludf.DUMMYFUNCTION("""COMPUTED_VALUE"""),"Carrera 9 # 18N - 239 Local 4 Terrazas del norte Barrio: Catay / - / -")</f>
        <v>Carrera 9 # 18N - 239 Local 4 Terrazas del norte Barrio: Catay / - / -</v>
      </c>
      <c r="G6566" s="15" t="str">
        <f>IFERROR(__xludf.DUMMYFUNCTION("""COMPUTED_VALUE"""),"Vitafit")</f>
        <v>Vitafit</v>
      </c>
      <c r="H6566" s="16">
        <f>IFERROR(__xludf.DUMMYFUNCTION("""COMPUTED_VALUE"""),15255.0)</f>
        <v>15255</v>
      </c>
      <c r="I6566" s="18">
        <f>IFERROR(__xludf.DUMMYFUNCTION("""COMPUTED_VALUE"""),39.0)</f>
        <v>39</v>
      </c>
      <c r="J6566" s="18">
        <f>IFERROR(__xludf.DUMMYFUNCTION("""COMPUTED_VALUE"""),25.0)</f>
        <v>25</v>
      </c>
      <c r="K6566" s="18">
        <f>IFERROR(__xludf.DUMMYFUNCTION("""COMPUTED_VALUE"""),24.0)</f>
        <v>24</v>
      </c>
      <c r="L6566" s="17">
        <f>IFERROR(__xludf.DUMMYFUNCTION("""COMPUTED_VALUE"""),3.017324093E9)</f>
        <v>3017324093</v>
      </c>
      <c r="M6566" s="17" t="str">
        <f>IFERROR(__xludf.DUMMYFUNCTION("""COMPUTED_VALUE"""),"#REF!")</f>
        <v>#REF!</v>
      </c>
      <c r="N6566" s="17"/>
      <c r="O6566" s="17"/>
      <c r="P6566" s="17" t="b">
        <f>IFERROR(__xludf.DUMMYFUNCTION("""COMPUTED_VALUE"""),FALSE)</f>
        <v>0</v>
      </c>
      <c r="Q6566" s="20" t="str">
        <f>IFERROR(__xludf.DUMMYFUNCTION("""COMPUTED_VALUE"""),"")</f>
        <v/>
      </c>
      <c r="R6566" s="22" t="str">
        <f>IFERROR(__xludf.DUMMYFUNCTION("""COMPUTED_VALUE"""),"")</f>
        <v/>
      </c>
    </row>
    <row r="6567">
      <c r="A6567" s="15">
        <f>IFERROR(__xludf.DUMMYFUNCTION("""COMPUTED_VALUE"""),45184.0)</f>
        <v>45184</v>
      </c>
      <c r="B6567" s="16" t="str">
        <f>IFERROR(__xludf.DUMMYFUNCTION("""COMPUTED_VALUE"""),"Yenis Carolina sicuamia montaño")</f>
        <v>Yenis Carolina sicuamia montaño</v>
      </c>
      <c r="C6567" s="15" t="str">
        <f>IFERROR(__xludf.DUMMYFUNCTION("""COMPUTED_VALUE"""),"VALLEDUPAR")</f>
        <v>VALLEDUPAR</v>
      </c>
      <c r="D6567" s="15" t="str">
        <f>IFERROR(__xludf.DUMMYFUNCTION("""COMPUTED_VALUE"""),"BOGOTÁ")</f>
        <v>BOGOTÁ</v>
      </c>
      <c r="E6567" s="15" t="str">
        <f>IFERROR(__xludf.DUMMYFUNCTION("""COMPUTED_VALUE"""),"50 Gr Alfajores")</f>
        <v>50 Gr Alfajores</v>
      </c>
      <c r="F6567" s="17" t="str">
        <f>IFERROR(__xludf.DUMMYFUNCTION("""COMPUTED_VALUE"""),"Mz 5 Cs 12a  / Urb Don Clemente / V/dupar")</f>
        <v>Mz 5 Cs 12a  / Urb Don Clemente / V/dupar</v>
      </c>
      <c r="G6567" s="15" t="str">
        <f>IFERROR(__xludf.DUMMYFUNCTION("""COMPUTED_VALUE"""),"Vargas Delgado Yair")</f>
        <v>Vargas Delgado Yair</v>
      </c>
      <c r="H6567" s="16">
        <f>IFERROR(__xludf.DUMMYFUNCTION("""COMPUTED_VALUE"""),15000.0)</f>
        <v>15000</v>
      </c>
      <c r="I6567" s="18">
        <f>IFERROR(__xludf.DUMMYFUNCTION("""COMPUTED_VALUE"""),5.0)</f>
        <v>5</v>
      </c>
      <c r="J6567" s="18">
        <f>IFERROR(__xludf.DUMMYFUNCTION("""COMPUTED_VALUE"""),13.0)</f>
        <v>13</v>
      </c>
      <c r="K6567" s="18">
        <f>IFERROR(__xludf.DUMMYFUNCTION("""COMPUTED_VALUE"""),45064.0)</f>
        <v>45064</v>
      </c>
      <c r="L6567" s="17">
        <f>IFERROR(__xludf.DUMMYFUNCTION("""COMPUTED_VALUE"""),3.202511341E9)</f>
        <v>3202511341</v>
      </c>
      <c r="M6567" s="17" t="str">
        <f>IFERROR(__xludf.DUMMYFUNCTION("""COMPUTED_VALUE"""),"#REF!")</f>
        <v>#REF!</v>
      </c>
      <c r="N6567" s="17"/>
      <c r="O6567" s="17"/>
      <c r="P6567" s="17" t="b">
        <f>IFERROR(__xludf.DUMMYFUNCTION("""COMPUTED_VALUE"""),FALSE)</f>
        <v>0</v>
      </c>
      <c r="Q6567" s="20" t="str">
        <f>IFERROR(__xludf.DUMMYFUNCTION("""COMPUTED_VALUE"""),"")</f>
        <v/>
      </c>
      <c r="R6567" s="22" t="str">
        <f>IFERROR(__xludf.DUMMYFUNCTION("""COMPUTED_VALUE"""),"")</f>
        <v/>
      </c>
    </row>
    <row r="6568">
      <c r="A6568" s="15">
        <f>IFERROR(__xludf.DUMMYFUNCTION("""COMPUTED_VALUE"""),45184.0)</f>
        <v>45184</v>
      </c>
      <c r="B6568" s="16" t="str">
        <f>IFERROR(__xludf.DUMMYFUNCTION("""COMPUTED_VALUE"""),"Yenis Carolina sicuamia montaño")</f>
        <v>Yenis Carolina sicuamia montaño</v>
      </c>
      <c r="C6568" s="15" t="str">
        <f>IFERROR(__xludf.DUMMYFUNCTION("""COMPUTED_VALUE"""),"VALLEDUPAR")</f>
        <v>VALLEDUPAR</v>
      </c>
      <c r="D6568" s="15" t="str">
        <f>IFERROR(__xludf.DUMMYFUNCTION("""COMPUTED_VALUE"""),"BOGOTÁ")</f>
        <v>BOGOTÁ</v>
      </c>
      <c r="E6568" s="15" t="str">
        <f>IFERROR(__xludf.DUMMYFUNCTION("""COMPUTED_VALUE"""),"Evamazzita")</f>
        <v>Evamazzita</v>
      </c>
      <c r="F6568" s="17" t="str">
        <f>IFERROR(__xludf.DUMMYFUNCTION("""COMPUTED_VALUE"""),"CONDOMINIO PALMETTO / TORRE 8 APTO. 601")</f>
        <v>CONDOMINIO PALMETTO / TORRE 8 APTO. 601</v>
      </c>
      <c r="G6568" s="15" t="str">
        <f>IFERROR(__xludf.DUMMYFUNCTION("""COMPUTED_VALUE"""),"KAREN LORENA ESCALANTE JACOME")</f>
        <v>KAREN LORENA ESCALANTE JACOME</v>
      </c>
      <c r="H6568" s="16">
        <f>IFERROR(__xludf.DUMMYFUNCTION("""COMPUTED_VALUE"""),15244.0)</f>
        <v>15244</v>
      </c>
      <c r="I6568" s="18">
        <f>IFERROR(__xludf.DUMMYFUNCTION("""COMPUTED_VALUE"""),1.0)</f>
        <v>1</v>
      </c>
      <c r="J6568" s="18">
        <f>IFERROR(__xludf.DUMMYFUNCTION("""COMPUTED_VALUE"""),1.0)</f>
        <v>1</v>
      </c>
      <c r="K6568" s="18">
        <f>IFERROR(__xludf.DUMMYFUNCTION("""COMPUTED_VALUE"""),1.0)</f>
        <v>1</v>
      </c>
      <c r="L6568" s="17">
        <f>IFERROR(__xludf.DUMMYFUNCTION("""COMPUTED_VALUE"""),3.114684116E9)</f>
        <v>3114684116</v>
      </c>
      <c r="M6568" s="17" t="str">
        <f>IFERROR(__xludf.DUMMYFUNCTION("""COMPUTED_VALUE"""),"#REF!")</f>
        <v>#REF!</v>
      </c>
      <c r="N6568" s="17"/>
      <c r="O6568" s="17"/>
      <c r="P6568" s="17" t="b">
        <f>IFERROR(__xludf.DUMMYFUNCTION("""COMPUTED_VALUE"""),FALSE)</f>
        <v>0</v>
      </c>
      <c r="Q6568" s="20" t="str">
        <f>IFERROR(__xludf.DUMMYFUNCTION("""COMPUTED_VALUE"""),"")</f>
        <v/>
      </c>
      <c r="R6568" s="22" t="str">
        <f>IFERROR(__xludf.DUMMYFUNCTION("""COMPUTED_VALUE"""),"")</f>
        <v/>
      </c>
    </row>
    <row r="6569">
      <c r="A6569" s="15">
        <f>IFERROR(__xludf.DUMMYFUNCTION("""COMPUTED_VALUE"""),45184.0)</f>
        <v>45184</v>
      </c>
      <c r="B6569" s="16" t="str">
        <f>IFERROR(__xludf.DUMMYFUNCTION("""COMPUTED_VALUE"""),"Yenis Carolina sicuamia montaño")</f>
        <v>Yenis Carolina sicuamia montaño</v>
      </c>
      <c r="C6569" s="15" t="str">
        <f>IFERROR(__xludf.DUMMYFUNCTION("""COMPUTED_VALUE"""),"VALLEDUPAR")</f>
        <v>VALLEDUPAR</v>
      </c>
      <c r="D6569" s="15" t="str">
        <f>IFERROR(__xludf.DUMMYFUNCTION("""COMPUTED_VALUE"""),"BOGOTÁ")</f>
        <v>BOGOTÁ</v>
      </c>
      <c r="E6569" s="15" t="str">
        <f>IFERROR(__xludf.DUMMYFUNCTION("""COMPUTED_VALUE"""),"Evamazzita")</f>
        <v>Evamazzita</v>
      </c>
      <c r="F6569" s="17" t="str">
        <f>IFERROR(__xludf.DUMMYFUNCTION("""COMPUTED_VALUE"""),"Cra 30 # 3-94 / Conjunto Maria Isabella Casa B5")</f>
        <v>Cra 30 # 3-94 / Conjunto Maria Isabella Casa B5</v>
      </c>
      <c r="G6569" s="15" t="str">
        <f>IFERROR(__xludf.DUMMYFUNCTION("""COMPUTED_VALUE"""),"MARIA FERNANDA AREVALO PICON")</f>
        <v>MARIA FERNANDA AREVALO PICON</v>
      </c>
      <c r="H6569" s="16">
        <f>IFERROR(__xludf.DUMMYFUNCTION("""COMPUTED_VALUE"""),15242.0)</f>
        <v>15242</v>
      </c>
      <c r="I6569" s="18">
        <f>IFERROR(__xludf.DUMMYFUNCTION("""COMPUTED_VALUE"""),1.0)</f>
        <v>1</v>
      </c>
      <c r="J6569" s="18">
        <f>IFERROR(__xludf.DUMMYFUNCTION("""COMPUTED_VALUE"""),1.0)</f>
        <v>1</v>
      </c>
      <c r="K6569" s="18">
        <f>IFERROR(__xludf.DUMMYFUNCTION("""COMPUTED_VALUE"""),1.0)</f>
        <v>1</v>
      </c>
      <c r="L6569" s="17">
        <f>IFERROR(__xludf.DUMMYFUNCTION("""COMPUTED_VALUE"""),3.00759785E9)</f>
        <v>3007597850</v>
      </c>
      <c r="M6569" s="17" t="str">
        <f>IFERROR(__xludf.DUMMYFUNCTION("""COMPUTED_VALUE"""),"#REF!")</f>
        <v>#REF!</v>
      </c>
      <c r="N6569" s="17"/>
      <c r="O6569" s="17"/>
      <c r="P6569" s="17" t="b">
        <f>IFERROR(__xludf.DUMMYFUNCTION("""COMPUTED_VALUE"""),FALSE)</f>
        <v>0</v>
      </c>
      <c r="Q6569" s="20" t="str">
        <f>IFERROR(__xludf.DUMMYFUNCTION("""COMPUTED_VALUE"""),"")</f>
        <v/>
      </c>
      <c r="R6569" s="22" t="str">
        <f>IFERROR(__xludf.DUMMYFUNCTION("""COMPUTED_VALUE"""),"")</f>
        <v/>
      </c>
    </row>
    <row r="6570">
      <c r="A6570" s="17" t="str">
        <f>IFERROR(__xludf.DUMMYFUNCTION("""COMPUTED_VALUE"""),"")</f>
        <v/>
      </c>
      <c r="B6570" s="17" t="str">
        <f>IFERROR(__xludf.DUMMYFUNCTION("""COMPUTED_VALUE"""),"")</f>
        <v/>
      </c>
      <c r="C6570" s="17" t="str">
        <f>IFERROR(__xludf.DUMMYFUNCTION("""COMPUTED_VALUE"""),"")</f>
        <v/>
      </c>
      <c r="D6570" s="17" t="str">
        <f>IFERROR(__xludf.DUMMYFUNCTION("""COMPUTED_VALUE"""),"")</f>
        <v/>
      </c>
      <c r="E6570" s="17" t="str">
        <f>IFERROR(__xludf.DUMMYFUNCTION("""COMPUTED_VALUE"""),"")</f>
        <v/>
      </c>
      <c r="F6570" s="17" t="str">
        <f>IFERROR(__xludf.DUMMYFUNCTION("""COMPUTED_VALUE"""),"")</f>
        <v/>
      </c>
      <c r="G6570" s="17" t="str">
        <f>IFERROR(__xludf.DUMMYFUNCTION("""COMPUTED_VALUE"""),"")</f>
        <v/>
      </c>
      <c r="H6570" s="17" t="str">
        <f>IFERROR(__xludf.DUMMYFUNCTION("""COMPUTED_VALUE"""),"")</f>
        <v/>
      </c>
      <c r="I6570" s="17" t="str">
        <f>IFERROR(__xludf.DUMMYFUNCTION("""COMPUTED_VALUE"""),"")</f>
        <v/>
      </c>
      <c r="J6570" s="17" t="str">
        <f>IFERROR(__xludf.DUMMYFUNCTION("""COMPUTED_VALUE"""),"")</f>
        <v/>
      </c>
      <c r="K6570" s="17" t="str">
        <f>IFERROR(__xludf.DUMMYFUNCTION("""COMPUTED_VALUE"""),"")</f>
        <v/>
      </c>
      <c r="L6570" s="17" t="str">
        <f>IFERROR(__xludf.DUMMYFUNCTION("""COMPUTED_VALUE"""),"")</f>
        <v/>
      </c>
      <c r="M6570" s="17" t="str">
        <f>IFERROR(__xludf.DUMMYFUNCTION("""COMPUTED_VALUE"""),"")</f>
        <v/>
      </c>
      <c r="N6570" s="17" t="str">
        <f>IFERROR(__xludf.DUMMYFUNCTION("""COMPUTED_VALUE"""),"")</f>
        <v/>
      </c>
      <c r="O6570" s="17" t="str">
        <f>IFERROR(__xludf.DUMMYFUNCTION("""COMPUTED_VALUE"""),"")</f>
        <v/>
      </c>
      <c r="P6570" s="17" t="str">
        <f>IFERROR(__xludf.DUMMYFUNCTION("""COMPUTED_VALUE"""),"")</f>
        <v/>
      </c>
      <c r="Q6570" s="17" t="str">
        <f>IFERROR(__xludf.DUMMYFUNCTION("""COMPUTED_VALUE"""),"")</f>
        <v/>
      </c>
      <c r="R6570" s="17" t="str">
        <f>IFERROR(__xludf.DUMMYFUNCTION("""COMPUTED_VALUE"""),"")</f>
        <v/>
      </c>
    </row>
    <row r="6571">
      <c r="A6571" s="15">
        <f>IFERROR(__xludf.DUMMYFUNCTION("""COMPUTED_VALUE"""),45185.0)</f>
        <v>45185</v>
      </c>
      <c r="B6571" s="16" t="str">
        <f>IFERROR(__xludf.DUMMYFUNCTION("""COMPUTED_VALUE"""),"Santiago Garces Restrepo")</f>
        <v>Santiago Garces Restrepo</v>
      </c>
      <c r="C6571" s="15" t="str">
        <f>IFERROR(__xludf.DUMMYFUNCTION("""COMPUTED_VALUE"""),"BOGOTÁ")</f>
        <v>BOGOTÁ</v>
      </c>
      <c r="D6571" s="15" t="str">
        <f>IFERROR(__xludf.DUMMYFUNCTION("""COMPUTED_VALUE"""),"MEDELLÍN")</f>
        <v>MEDELLÍN</v>
      </c>
      <c r="E6571" s="15" t="str">
        <f>IFERROR(__xludf.DUMMYFUNCTION("""COMPUTED_VALUE"""),"Alfredo Lomeda")</f>
        <v>Alfredo Lomeda</v>
      </c>
      <c r="F6571" s="17" t="str">
        <f>IFERROR(__xludf.DUMMYFUNCTION("""COMPUTED_VALUE"""),"CALLE 81 #13-5 LOCAL 011A / CENTRO COMERCIAL ATLANTIS / EL CHAPINERO ZONA ROSA")</f>
        <v>CALLE 81 #13-5 LOCAL 011A / CENTRO COMERCIAL ATLANTIS / EL CHAPINERO ZONA ROSA</v>
      </c>
      <c r="G6571" s="15" t="str">
        <f>IFERROR(__xludf.DUMMYFUNCTION("""COMPUTED_VALUE"""),"Ana Maria Rios")</f>
        <v>Ana Maria Rios</v>
      </c>
      <c r="H6571" s="16">
        <f>IFERROR(__xludf.DUMMYFUNCTION("""COMPUTED_VALUE"""),15286.0)</f>
        <v>15286</v>
      </c>
      <c r="I6571" s="18">
        <f>IFERROR(__xludf.DUMMYFUNCTION("""COMPUTED_VALUE"""),50.0)</f>
        <v>50</v>
      </c>
      <c r="J6571" s="18">
        <f>IFERROR(__xludf.DUMMYFUNCTION("""COMPUTED_VALUE"""),30.0)</f>
        <v>30</v>
      </c>
      <c r="K6571" s="18">
        <f>IFERROR(__xludf.DUMMYFUNCTION("""COMPUTED_VALUE"""),21.0)</f>
        <v>21</v>
      </c>
      <c r="L6571" s="17">
        <f>IFERROR(__xludf.DUMMYFUNCTION("""COMPUTED_VALUE"""),3.112102088E9)</f>
        <v>3112102088</v>
      </c>
      <c r="M6571" s="17" t="str">
        <f>IFERROR(__xludf.DUMMYFUNCTION("""COMPUTED_VALUE"""),"#REF!")</f>
        <v>#REF!</v>
      </c>
      <c r="N6571" s="17"/>
      <c r="O6571" s="17"/>
      <c r="P6571" s="17" t="b">
        <f>IFERROR(__xludf.DUMMYFUNCTION("""COMPUTED_VALUE"""),FALSE)</f>
        <v>0</v>
      </c>
      <c r="Q6571" s="20" t="str">
        <f>IFERROR(__xludf.DUMMYFUNCTION("""COMPUTED_VALUE"""),"")</f>
        <v/>
      </c>
      <c r="R6571" s="22" t="str">
        <f>IFERROR(__xludf.DUMMYFUNCTION("""COMPUTED_VALUE"""),"")</f>
        <v/>
      </c>
    </row>
    <row r="6572">
      <c r="A6572" s="17" t="str">
        <f>IFERROR(__xludf.DUMMYFUNCTION("""COMPUTED_VALUE"""),"")</f>
        <v/>
      </c>
      <c r="B6572" s="17" t="str">
        <f>IFERROR(__xludf.DUMMYFUNCTION("""COMPUTED_VALUE"""),"")</f>
        <v/>
      </c>
      <c r="C6572" s="17" t="str">
        <f>IFERROR(__xludf.DUMMYFUNCTION("""COMPUTED_VALUE"""),"")</f>
        <v/>
      </c>
      <c r="D6572" s="17" t="str">
        <f>IFERROR(__xludf.DUMMYFUNCTION("""COMPUTED_VALUE"""),"")</f>
        <v/>
      </c>
      <c r="E6572" s="17" t="str">
        <f>IFERROR(__xludf.DUMMYFUNCTION("""COMPUTED_VALUE"""),"")</f>
        <v/>
      </c>
      <c r="F6572" s="17" t="str">
        <f>IFERROR(__xludf.DUMMYFUNCTION("""COMPUTED_VALUE"""),"")</f>
        <v/>
      </c>
      <c r="G6572" s="17" t="str">
        <f>IFERROR(__xludf.DUMMYFUNCTION("""COMPUTED_VALUE"""),"")</f>
        <v/>
      </c>
      <c r="H6572" s="17" t="str">
        <f>IFERROR(__xludf.DUMMYFUNCTION("""COMPUTED_VALUE"""),"")</f>
        <v/>
      </c>
      <c r="I6572" s="17" t="str">
        <f>IFERROR(__xludf.DUMMYFUNCTION("""COMPUTED_VALUE"""),"")</f>
        <v/>
      </c>
      <c r="J6572" s="17" t="str">
        <f>IFERROR(__xludf.DUMMYFUNCTION("""COMPUTED_VALUE"""),"")</f>
        <v/>
      </c>
      <c r="K6572" s="17" t="str">
        <f>IFERROR(__xludf.DUMMYFUNCTION("""COMPUTED_VALUE"""),"")</f>
        <v/>
      </c>
      <c r="L6572" s="17" t="str">
        <f>IFERROR(__xludf.DUMMYFUNCTION("""COMPUTED_VALUE"""),"")</f>
        <v/>
      </c>
      <c r="M6572" s="17" t="str">
        <f>IFERROR(__xludf.DUMMYFUNCTION("""COMPUTED_VALUE"""),"")</f>
        <v/>
      </c>
      <c r="N6572" s="17" t="str">
        <f>IFERROR(__xludf.DUMMYFUNCTION("""COMPUTED_VALUE"""),"")</f>
        <v/>
      </c>
      <c r="O6572" s="17" t="str">
        <f>IFERROR(__xludf.DUMMYFUNCTION("""COMPUTED_VALUE"""),"")</f>
        <v/>
      </c>
      <c r="P6572" s="17" t="str">
        <f>IFERROR(__xludf.DUMMYFUNCTION("""COMPUTED_VALUE"""),"")</f>
        <v/>
      </c>
      <c r="Q6572" s="17" t="str">
        <f>IFERROR(__xludf.DUMMYFUNCTION("""COMPUTED_VALUE"""),"")</f>
        <v/>
      </c>
      <c r="R6572" s="17" t="str">
        <f>IFERROR(__xludf.DUMMYFUNCTION("""COMPUTED_VALUE"""),"")</f>
        <v/>
      </c>
    </row>
    <row r="6573">
      <c r="A6573" s="15">
        <f>IFERROR(__xludf.DUMMYFUNCTION("""COMPUTED_VALUE"""),45188.0)</f>
        <v>45188</v>
      </c>
      <c r="B6573" s="17"/>
      <c r="C6573" s="15" t="str">
        <f>IFERROR(__xludf.DUMMYFUNCTION("""COMPUTED_VALUE"""),"BUCARAMANGA")</f>
        <v>BUCARAMANGA</v>
      </c>
      <c r="D6573" s="15" t="str">
        <f>IFERROR(__xludf.DUMMYFUNCTION("""COMPUTED_VALUE"""),"MEDELLÍN")</f>
        <v>MEDELLÍN</v>
      </c>
      <c r="E6573" s="15" t="str">
        <f>IFERROR(__xludf.DUMMYFUNCTION("""COMPUTED_VALUE"""),"Baby Chef")</f>
        <v>Baby Chef</v>
      </c>
      <c r="F6573" s="17" t="str">
        <f>IFERROR(__xludf.DUMMYFUNCTION("""COMPUTED_VALUE"""),"Cra 27a #48-16 Edificio Onix san pedro apto 1404 barrio Sotomayor Bucaramanga / Cra 27a #48-16 Edificio Onix san pedro apto 1404 barrio Sotomayor Bucaramanga / Cra 27a #48-16 Edificio Onix san pedro apto 1404 barrio Sotomayor Bucaramanga")</f>
        <v>Cra 27a #48-16 Edificio Onix san pedro apto 1404 barrio Sotomayor Bucaramanga / Cra 27a #48-16 Edificio Onix san pedro apto 1404 barrio Sotomayor Bucaramanga / Cra 27a #48-16 Edificio Onix san pedro apto 1404 barrio Sotomayor Bucaramanga</v>
      </c>
      <c r="G6573" s="15" t="str">
        <f>IFERROR(__xludf.DUMMYFUNCTION("""COMPUTED_VALUE"""),"Malka Irina wadnipar guitierrez")</f>
        <v>Malka Irina wadnipar guitierrez</v>
      </c>
      <c r="H6573" s="16">
        <f>IFERROR(__xludf.DUMMYFUNCTION("""COMPUTED_VALUE"""),15361.0)</f>
        <v>15361</v>
      </c>
      <c r="I6573" s="18">
        <f>IFERROR(__xludf.DUMMYFUNCTION("""COMPUTED_VALUE"""),5.0)</f>
        <v>5</v>
      </c>
      <c r="J6573" s="18">
        <f>IFERROR(__xludf.DUMMYFUNCTION("""COMPUTED_VALUE"""),22.0)</f>
        <v>22</v>
      </c>
      <c r="K6573" s="18">
        <f>IFERROR(__xludf.DUMMYFUNCTION("""COMPUTED_VALUE"""),20.0)</f>
        <v>20</v>
      </c>
      <c r="L6573" s="17">
        <f>IFERROR(__xludf.DUMMYFUNCTION("""COMPUTED_VALUE"""),3.007651588E9)</f>
        <v>3007651588</v>
      </c>
      <c r="M6573" s="17" t="str">
        <f>IFERROR(__xludf.DUMMYFUNCTION("""COMPUTED_VALUE"""),"#REF!")</f>
        <v>#REF!</v>
      </c>
      <c r="N6573" s="17"/>
      <c r="O6573" s="17"/>
      <c r="P6573" s="17" t="b">
        <f>IFERROR(__xludf.DUMMYFUNCTION("""COMPUTED_VALUE"""),FALSE)</f>
        <v>0</v>
      </c>
      <c r="Q6573" s="20" t="str">
        <f>IFERROR(__xludf.DUMMYFUNCTION("""COMPUTED_VALUE"""),"")</f>
        <v/>
      </c>
      <c r="R6573" s="22" t="str">
        <f>IFERROR(__xludf.DUMMYFUNCTION("""COMPUTED_VALUE"""),"")</f>
        <v/>
      </c>
    </row>
    <row r="6574">
      <c r="A6574" s="15">
        <f>IFERROR(__xludf.DUMMYFUNCTION("""COMPUTED_VALUE"""),45188.0)</f>
        <v>45188</v>
      </c>
      <c r="B6574" s="17"/>
      <c r="C6574" s="15" t="str">
        <f>IFERROR(__xludf.DUMMYFUNCTION("""COMPUTED_VALUE"""),"MEDELLÍN")</f>
        <v>MEDELLÍN</v>
      </c>
      <c r="D6574" s="15" t="str">
        <f>IFERROR(__xludf.DUMMYFUNCTION("""COMPUTED_VALUE"""),"BOGOTÁ")</f>
        <v>BOGOTÁ</v>
      </c>
      <c r="E6574" s="15" t="str">
        <f>IFERROR(__xludf.DUMMYFUNCTION("""COMPUTED_VALUE"""),"Seeds")</f>
        <v>Seeds</v>
      </c>
      <c r="F6574" s="17" t="str">
        <f>IFERROR(__xludf.DUMMYFUNCTION("""COMPUTED_VALUE"""),"Recoge en el Poblado  / Recoge en el Poblado  / Recoge en el Poblado")</f>
        <v>Recoge en el Poblado  / Recoge en el Poblado  / Recoge en el Poblado</v>
      </c>
      <c r="G6574" s="15" t="str">
        <f>IFERROR(__xludf.DUMMYFUNCTION("""COMPUTED_VALUE"""),"Carmen White Carpio")</f>
        <v>Carmen White Carpio</v>
      </c>
      <c r="H6574" s="16">
        <f>IFERROR(__xludf.DUMMYFUNCTION("""COMPUTED_VALUE"""),15299.0)</f>
        <v>15299</v>
      </c>
      <c r="I6574" s="18">
        <f>IFERROR(__xludf.DUMMYFUNCTION("""COMPUTED_VALUE"""),28.0)</f>
        <v>28</v>
      </c>
      <c r="J6574" s="18">
        <f>IFERROR(__xludf.DUMMYFUNCTION("""COMPUTED_VALUE"""),44.0)</f>
        <v>44</v>
      </c>
      <c r="K6574" s="18">
        <f>IFERROR(__xludf.DUMMYFUNCTION("""COMPUTED_VALUE"""),28.0)</f>
        <v>28</v>
      </c>
      <c r="L6574" s="17">
        <f>IFERROR(__xludf.DUMMYFUNCTION("""COMPUTED_VALUE"""),3.502024797E9)</f>
        <v>3502024797</v>
      </c>
      <c r="M6574" s="17" t="str">
        <f>IFERROR(__xludf.DUMMYFUNCTION("""COMPUTED_VALUE"""),"#REF!")</f>
        <v>#REF!</v>
      </c>
      <c r="N6574" s="17"/>
      <c r="O6574" s="17"/>
      <c r="P6574" s="17" t="b">
        <f>IFERROR(__xludf.DUMMYFUNCTION("""COMPUTED_VALUE"""),FALSE)</f>
        <v>0</v>
      </c>
      <c r="Q6574" s="20" t="str">
        <f>IFERROR(__xludf.DUMMYFUNCTION("""COMPUTED_VALUE"""),"")</f>
        <v/>
      </c>
      <c r="R6574" s="22" t="str">
        <f>IFERROR(__xludf.DUMMYFUNCTION("""COMPUTED_VALUE"""),"")</f>
        <v/>
      </c>
    </row>
    <row r="6575">
      <c r="A6575" s="15">
        <f>IFERROR(__xludf.DUMMYFUNCTION("""COMPUTED_VALUE"""),45188.0)</f>
        <v>45188</v>
      </c>
      <c r="B6575" s="17"/>
      <c r="C6575" s="15" t="str">
        <f>IFERROR(__xludf.DUMMYFUNCTION("""COMPUTED_VALUE"""),"MEDELLÍN")</f>
        <v>MEDELLÍN</v>
      </c>
      <c r="D6575" s="15" t="str">
        <f>IFERROR(__xludf.DUMMYFUNCTION("""COMPUTED_VALUE"""),"BOGOTÁ")</f>
        <v>BOGOTÁ</v>
      </c>
      <c r="E6575" s="15" t="str">
        <f>IFERROR(__xludf.DUMMYFUNCTION("""COMPUTED_VALUE"""),"Ventura Productos Arg")</f>
        <v>Ventura Productos Arg</v>
      </c>
      <c r="F6575" s="17" t="str">
        <f>IFERROR(__xludf.DUMMYFUNCTION("""COMPUTED_VALUE"""),"Calle 7 Sur #37A-25 / Urbanización Salento, Apto 1802, Torre #2")</f>
        <v>Calle 7 Sur #37A-25 / Urbanización Salento, Apto 1802, Torre #2</v>
      </c>
      <c r="G6575" s="15" t="str">
        <f>IFERROR(__xludf.DUMMYFUNCTION("""COMPUTED_VALUE"""),"CLAUDIA MERA")</f>
        <v>CLAUDIA MERA</v>
      </c>
      <c r="H6575" s="16">
        <f>IFERROR(__xludf.DUMMYFUNCTION("""COMPUTED_VALUE"""),15341.0)</f>
        <v>15341</v>
      </c>
      <c r="I6575" s="18">
        <f>IFERROR(__xludf.DUMMYFUNCTION("""COMPUTED_VALUE"""),3.0)</f>
        <v>3</v>
      </c>
      <c r="J6575" s="18">
        <f>IFERROR(__xludf.DUMMYFUNCTION("""COMPUTED_VALUE"""),45053.0)</f>
        <v>45053</v>
      </c>
      <c r="K6575" s="18">
        <f>IFERROR(__xludf.DUMMYFUNCTION("""COMPUTED_VALUE"""),22.0)</f>
        <v>22</v>
      </c>
      <c r="L6575" s="17" t="str">
        <f>IFERROR(__xludf.DUMMYFUNCTION("""COMPUTED_VALUE"""),"313 6621617")</f>
        <v>313 6621617</v>
      </c>
      <c r="M6575" s="17" t="str">
        <f>IFERROR(__xludf.DUMMYFUNCTION("""COMPUTED_VALUE"""),"#REF!")</f>
        <v>#REF!</v>
      </c>
      <c r="N6575" s="17"/>
      <c r="O6575" s="17"/>
      <c r="P6575" s="17" t="b">
        <f>IFERROR(__xludf.DUMMYFUNCTION("""COMPUTED_VALUE"""),TRUE)</f>
        <v>1</v>
      </c>
      <c r="Q6575" s="20">
        <f>IFERROR(__xludf.DUMMYFUNCTION("""COMPUTED_VALUE"""),45188.61799)</f>
        <v>45188.61799</v>
      </c>
      <c r="R6575" s="22" t="str">
        <f>IFERROR(__xludf.DUMMYFUNCTION("""COMPUTED_VALUE"""),"")</f>
        <v/>
      </c>
    </row>
    <row r="6576">
      <c r="A6576" s="17" t="str">
        <f>IFERROR(__xludf.DUMMYFUNCTION("""COMPUTED_VALUE"""),"")</f>
        <v/>
      </c>
      <c r="B6576" s="17" t="str">
        <f>IFERROR(__xludf.DUMMYFUNCTION("""COMPUTED_VALUE"""),"")</f>
        <v/>
      </c>
      <c r="C6576" s="17" t="str">
        <f>IFERROR(__xludf.DUMMYFUNCTION("""COMPUTED_VALUE"""),"")</f>
        <v/>
      </c>
      <c r="D6576" s="17" t="str">
        <f>IFERROR(__xludf.DUMMYFUNCTION("""COMPUTED_VALUE"""),"")</f>
        <v/>
      </c>
      <c r="E6576" s="17" t="str">
        <f>IFERROR(__xludf.DUMMYFUNCTION("""COMPUTED_VALUE"""),"")</f>
        <v/>
      </c>
      <c r="F6576" s="17" t="str">
        <f>IFERROR(__xludf.DUMMYFUNCTION("""COMPUTED_VALUE"""),"")</f>
        <v/>
      </c>
      <c r="G6576" s="17" t="str">
        <f>IFERROR(__xludf.DUMMYFUNCTION("""COMPUTED_VALUE"""),"")</f>
        <v/>
      </c>
      <c r="H6576" s="17" t="str">
        <f>IFERROR(__xludf.DUMMYFUNCTION("""COMPUTED_VALUE"""),"")</f>
        <v/>
      </c>
      <c r="I6576" s="17" t="str">
        <f>IFERROR(__xludf.DUMMYFUNCTION("""COMPUTED_VALUE"""),"")</f>
        <v/>
      </c>
      <c r="J6576" s="17" t="str">
        <f>IFERROR(__xludf.DUMMYFUNCTION("""COMPUTED_VALUE"""),"")</f>
        <v/>
      </c>
      <c r="K6576" s="17" t="str">
        <f>IFERROR(__xludf.DUMMYFUNCTION("""COMPUTED_VALUE"""),"")</f>
        <v/>
      </c>
      <c r="L6576" s="17" t="str">
        <f>IFERROR(__xludf.DUMMYFUNCTION("""COMPUTED_VALUE"""),"")</f>
        <v/>
      </c>
      <c r="M6576" s="17" t="str">
        <f>IFERROR(__xludf.DUMMYFUNCTION("""COMPUTED_VALUE"""),"")</f>
        <v/>
      </c>
      <c r="N6576" s="17" t="str">
        <f>IFERROR(__xludf.DUMMYFUNCTION("""COMPUTED_VALUE"""),"")</f>
        <v/>
      </c>
      <c r="O6576" s="17" t="str">
        <f>IFERROR(__xludf.DUMMYFUNCTION("""COMPUTED_VALUE"""),"")</f>
        <v/>
      </c>
      <c r="P6576" s="17" t="str">
        <f>IFERROR(__xludf.DUMMYFUNCTION("""COMPUTED_VALUE"""),"")</f>
        <v/>
      </c>
      <c r="Q6576" s="17" t="str">
        <f>IFERROR(__xludf.DUMMYFUNCTION("""COMPUTED_VALUE"""),"")</f>
        <v/>
      </c>
      <c r="R6576" s="17" t="str">
        <f>IFERROR(__xludf.DUMMYFUNCTION("""COMPUTED_VALUE"""),"")</f>
        <v/>
      </c>
    </row>
    <row r="6577">
      <c r="A6577" s="15">
        <f>IFERROR(__xludf.DUMMYFUNCTION("""COMPUTED_VALUE"""),45188.0)</f>
        <v>45188</v>
      </c>
      <c r="B6577" s="16" t="str">
        <f>IFERROR(__xludf.DUMMYFUNCTION("""COMPUTED_VALUE"""),"Anuar suarez jimenez ")</f>
        <v>Anuar suarez jimenez </v>
      </c>
      <c r="C6577" s="15" t="str">
        <f>IFERROR(__xludf.DUMMYFUNCTION("""COMPUTED_VALUE"""),"CALI")</f>
        <v>CALI</v>
      </c>
      <c r="D6577" s="15" t="str">
        <f>IFERROR(__xludf.DUMMYFUNCTION("""COMPUTED_VALUE"""),"BOGOTÁ")</f>
        <v>BOGOTÁ</v>
      </c>
      <c r="E6577" s="15" t="str">
        <f>IFERROR(__xludf.DUMMYFUNCTION("""COMPUTED_VALUE"""),"Pan de Waffle")</f>
        <v>Pan de Waffle</v>
      </c>
      <c r="F6577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6577" s="15" t="str">
        <f>IFERROR(__xludf.DUMMYFUNCTION("""COMPUTED_VALUE"""),"FOODOLOGY")</f>
        <v>FOODOLOGY</v>
      </c>
      <c r="H6577" s="16">
        <f>IFERROR(__xludf.DUMMYFUNCTION("""COMPUTED_VALUE"""),15395.0)</f>
        <v>15395</v>
      </c>
      <c r="I6577" s="18">
        <f>IFERROR(__xludf.DUMMYFUNCTION("""COMPUTED_VALUE"""),40.0)</f>
        <v>40</v>
      </c>
      <c r="J6577" s="18">
        <f>IFERROR(__xludf.DUMMYFUNCTION("""COMPUTED_VALUE"""),40.0)</f>
        <v>40</v>
      </c>
      <c r="K6577" s="18">
        <f>IFERROR(__xludf.DUMMYFUNCTION("""COMPUTED_VALUE"""),30.0)</f>
        <v>30</v>
      </c>
      <c r="L6577" s="17">
        <f>IFERROR(__xludf.DUMMYFUNCTION("""COMPUTED_VALUE"""),3.158323233E9)</f>
        <v>3158323233</v>
      </c>
      <c r="M6577" s="17" t="str">
        <f>IFERROR(__xludf.DUMMYFUNCTION("""COMPUTED_VALUE"""),"#REF!")</f>
        <v>#REF!</v>
      </c>
      <c r="N6577" s="17"/>
      <c r="O6577" s="17"/>
      <c r="P6577" s="17" t="b">
        <f>IFERROR(__xludf.DUMMYFUNCTION("""COMPUTED_VALUE"""),TRUE)</f>
        <v>1</v>
      </c>
      <c r="Q6577" s="20">
        <f>IFERROR(__xludf.DUMMYFUNCTION("""COMPUTED_VALUE"""),45188.61799)</f>
        <v>45188.61799</v>
      </c>
      <c r="R6577" s="22" t="str">
        <f>IFERROR(__xludf.DUMMYFUNCTION("""COMPUTED_VALUE"""),"")</f>
        <v/>
      </c>
    </row>
    <row r="6578">
      <c r="A6578" s="15">
        <f>IFERROR(__xludf.DUMMYFUNCTION("""COMPUTED_VALUE"""),45188.0)</f>
        <v>45188</v>
      </c>
      <c r="B6578" s="16" t="str">
        <f>IFERROR(__xludf.DUMMYFUNCTION("""COMPUTED_VALUE"""),"Anuar suarez jimenez ")</f>
        <v>Anuar suarez jimenez </v>
      </c>
      <c r="C6578" s="15" t="str">
        <f>IFERROR(__xludf.DUMMYFUNCTION("""COMPUTED_VALUE"""),"CALI")</f>
        <v>CALI</v>
      </c>
      <c r="D6578" s="15" t="str">
        <f>IFERROR(__xludf.DUMMYFUNCTION("""COMPUTED_VALUE"""),"BOGOTÁ")</f>
        <v>BOGOTÁ</v>
      </c>
      <c r="E6578" s="15" t="str">
        <f>IFERROR(__xludf.DUMMYFUNCTION("""COMPUTED_VALUE"""),"Top Spun")</f>
        <v>Top Spun</v>
      </c>
      <c r="F6578" s="17" t="str">
        <f>IFERROR(__xludf.DUMMYFUNCTION("""COMPUTED_VALUE"""),"AVENIDA 3 G NTE # 62 N 63 / TORRE 1  / APTO O CASA: 505")</f>
        <v>AVENIDA 3 G NTE # 62 N 63 / TORRE 1  / APTO O CASA: 505</v>
      </c>
      <c r="G6578" s="15" t="str">
        <f>IFERROR(__xludf.DUMMYFUNCTION("""COMPUTED_VALUE"""),"NATHALY OCAMPO")</f>
        <v>NATHALY OCAMPO</v>
      </c>
      <c r="H6578" s="16">
        <f>IFERROR(__xludf.DUMMYFUNCTION("""COMPUTED_VALUE"""),15296.0)</f>
        <v>15296</v>
      </c>
      <c r="I6578" s="18">
        <f>IFERROR(__xludf.DUMMYFUNCTION("""COMPUTED_VALUE"""),20.0)</f>
        <v>20</v>
      </c>
      <c r="J6578" s="18">
        <f>IFERROR(__xludf.DUMMYFUNCTION("""COMPUTED_VALUE"""),10.0)</f>
        <v>10</v>
      </c>
      <c r="K6578" s="18">
        <f>IFERROR(__xludf.DUMMYFUNCTION("""COMPUTED_VALUE"""),40.0)</f>
        <v>40</v>
      </c>
      <c r="L6578" s="17">
        <f>IFERROR(__xludf.DUMMYFUNCTION("""COMPUTED_VALUE"""),3.11362272E9)</f>
        <v>3113622720</v>
      </c>
      <c r="M6578" s="17" t="str">
        <f>IFERROR(__xludf.DUMMYFUNCTION("""COMPUTED_VALUE"""),"#REF!")</f>
        <v>#REF!</v>
      </c>
      <c r="N6578" s="17"/>
      <c r="O6578" s="17"/>
      <c r="P6578" s="17" t="b">
        <f>IFERROR(__xludf.DUMMYFUNCTION("""COMPUTED_VALUE"""),TRUE)</f>
        <v>1</v>
      </c>
      <c r="Q6578" s="20">
        <f>IFERROR(__xludf.DUMMYFUNCTION("""COMPUTED_VALUE"""),45188.65612107639)</f>
        <v>45188.65612</v>
      </c>
      <c r="R6578" s="22" t="str">
        <f>IFERROR(__xludf.DUMMYFUNCTION("""COMPUTED_VALUE"""),"")</f>
        <v/>
      </c>
    </row>
    <row r="6579">
      <c r="A6579" s="17" t="str">
        <f>IFERROR(__xludf.DUMMYFUNCTION("""COMPUTED_VALUE"""),"")</f>
        <v/>
      </c>
      <c r="B6579" s="17" t="str">
        <f>IFERROR(__xludf.DUMMYFUNCTION("""COMPUTED_VALUE"""),"")</f>
        <v/>
      </c>
      <c r="C6579" s="17" t="str">
        <f>IFERROR(__xludf.DUMMYFUNCTION("""COMPUTED_VALUE"""),"")</f>
        <v/>
      </c>
      <c r="D6579" s="17" t="str">
        <f>IFERROR(__xludf.DUMMYFUNCTION("""COMPUTED_VALUE"""),"")</f>
        <v/>
      </c>
      <c r="E6579" s="17" t="str">
        <f>IFERROR(__xludf.DUMMYFUNCTION("""COMPUTED_VALUE"""),"")</f>
        <v/>
      </c>
      <c r="F6579" s="17" t="str">
        <f>IFERROR(__xludf.DUMMYFUNCTION("""COMPUTED_VALUE"""),"")</f>
        <v/>
      </c>
      <c r="G6579" s="17" t="str">
        <f>IFERROR(__xludf.DUMMYFUNCTION("""COMPUTED_VALUE"""),"")</f>
        <v/>
      </c>
      <c r="H6579" s="17" t="str">
        <f>IFERROR(__xludf.DUMMYFUNCTION("""COMPUTED_VALUE"""),"")</f>
        <v/>
      </c>
      <c r="I6579" s="17" t="str">
        <f>IFERROR(__xludf.DUMMYFUNCTION("""COMPUTED_VALUE"""),"")</f>
        <v/>
      </c>
      <c r="J6579" s="17" t="str">
        <f>IFERROR(__xludf.DUMMYFUNCTION("""COMPUTED_VALUE"""),"")</f>
        <v/>
      </c>
      <c r="K6579" s="17" t="str">
        <f>IFERROR(__xludf.DUMMYFUNCTION("""COMPUTED_VALUE"""),"")</f>
        <v/>
      </c>
      <c r="L6579" s="17" t="str">
        <f>IFERROR(__xludf.DUMMYFUNCTION("""COMPUTED_VALUE"""),"")</f>
        <v/>
      </c>
      <c r="M6579" s="17" t="str">
        <f>IFERROR(__xludf.DUMMYFUNCTION("""COMPUTED_VALUE"""),"")</f>
        <v/>
      </c>
      <c r="N6579" s="17" t="str">
        <f>IFERROR(__xludf.DUMMYFUNCTION("""COMPUTED_VALUE"""),"")</f>
        <v/>
      </c>
      <c r="O6579" s="17" t="str">
        <f>IFERROR(__xludf.DUMMYFUNCTION("""COMPUTED_VALUE"""),"")</f>
        <v/>
      </c>
      <c r="P6579" s="17" t="str">
        <f>IFERROR(__xludf.DUMMYFUNCTION("""COMPUTED_VALUE"""),"")</f>
        <v/>
      </c>
      <c r="Q6579" s="17" t="str">
        <f>IFERROR(__xludf.DUMMYFUNCTION("""COMPUTED_VALUE"""),"")</f>
        <v/>
      </c>
      <c r="R6579" s="17" t="str">
        <f>IFERROR(__xludf.DUMMYFUNCTION("""COMPUTED_VALUE"""),"")</f>
        <v/>
      </c>
    </row>
    <row r="6580">
      <c r="A6580" s="15">
        <f>IFERROR(__xludf.DUMMYFUNCTION("""COMPUTED_VALUE"""),45188.0)</f>
        <v>45188</v>
      </c>
      <c r="B6580" s="16" t="str">
        <f>IFERROR(__xludf.DUMMYFUNCTION("""COMPUTED_VALUE"""),"Deivi Alejandro Quintero Corrales")</f>
        <v>Deivi Alejandro Quintero Corrales</v>
      </c>
      <c r="C6580" s="15" t="str">
        <f>IFERROR(__xludf.DUMMYFUNCTION("""COMPUTED_VALUE"""),"ARMENIA")</f>
        <v>ARMENIA</v>
      </c>
      <c r="D6580" s="15" t="str">
        <f>IFERROR(__xludf.DUMMYFUNCTION("""COMPUTED_VALUE"""),"BUCARAMANGA")</f>
        <v>BUCARAMANGA</v>
      </c>
      <c r="E6580" s="15" t="str">
        <f>IFERROR(__xludf.DUMMYFUNCTION("""COMPUTED_VALUE"""),"Yo Como Solito")</f>
        <v>Yo Como Solito</v>
      </c>
      <c r="F6580" s="17" t="str">
        <f>IFERROR(__xludf.DUMMYFUNCTION("""COMPUTED_VALUE"""),"CARRERA 24#30-115 BARRIO  POPULAR / CARRERA 24#30-115 BARRIO  POPULAR / CARRERA 24#30-115 BARRIO  POPULAR")</f>
        <v>CARRERA 24#30-115 BARRIO  POPULAR / CARRERA 24#30-115 BARRIO  POPULAR / CARRERA 24#30-115 BARRIO  POPULAR</v>
      </c>
      <c r="G6580" s="15" t="str">
        <f>IFERROR(__xludf.DUMMYFUNCTION("""COMPUTED_VALUE"""),"lEIDY RIVERA GIRALDO")</f>
        <v>lEIDY RIVERA GIRALDO</v>
      </c>
      <c r="H6580" s="16">
        <f>IFERROR(__xludf.DUMMYFUNCTION("""COMPUTED_VALUE"""),15268.0)</f>
        <v>15268</v>
      </c>
      <c r="I6580" s="18">
        <f>IFERROR(__xludf.DUMMYFUNCTION("""COMPUTED_VALUE"""),17.0)</f>
        <v>17</v>
      </c>
      <c r="J6580" s="18">
        <f>IFERROR(__xludf.DUMMYFUNCTION("""COMPUTED_VALUE"""),21.0)</f>
        <v>21</v>
      </c>
      <c r="K6580" s="18">
        <f>IFERROR(__xludf.DUMMYFUNCTION("""COMPUTED_VALUE"""),27.0)</f>
        <v>27</v>
      </c>
      <c r="L6580" s="17">
        <f>IFERROR(__xludf.DUMMYFUNCTION("""COMPUTED_VALUE"""),3.215525787E9)</f>
        <v>3215525787</v>
      </c>
      <c r="M6580" s="17" t="str">
        <f>IFERROR(__xludf.DUMMYFUNCTION("""COMPUTED_VALUE"""),"#REF!")</f>
        <v>#REF!</v>
      </c>
      <c r="N6580" s="17"/>
      <c r="O6580" s="17"/>
      <c r="P6580" s="17" t="b">
        <f>IFERROR(__xludf.DUMMYFUNCTION("""COMPUTED_VALUE"""),TRUE)</f>
        <v>1</v>
      </c>
      <c r="Q6580" s="20">
        <f>IFERROR(__xludf.DUMMYFUNCTION("""COMPUTED_VALUE"""),45188.732234745374)</f>
        <v>45188.73223</v>
      </c>
      <c r="R6580" s="22" t="str">
        <f>IFERROR(__xludf.DUMMYFUNCTION("""COMPUTED_VALUE"""),"")</f>
        <v/>
      </c>
    </row>
    <row r="6581">
      <c r="A6581" s="15">
        <f>IFERROR(__xludf.DUMMYFUNCTION("""COMPUTED_VALUE"""),45188.0)</f>
        <v>45188</v>
      </c>
      <c r="B6581" s="16" t="str">
        <f>IFERROR(__xludf.DUMMYFUNCTION("""COMPUTED_VALUE"""),"Deivi Alejandro Quintero Corrales")</f>
        <v>Deivi Alejandro Quintero Corrales</v>
      </c>
      <c r="C6581" s="15" t="str">
        <f>IFERROR(__xludf.DUMMYFUNCTION("""COMPUTED_VALUE"""),"DOS QUEBRADAS")</f>
        <v>DOS QUEBRADAS</v>
      </c>
      <c r="D6581" s="15" t="str">
        <f>IFERROR(__xludf.DUMMYFUNCTION("""COMPUTED_VALUE"""),"BOGOTÁ")</f>
        <v>BOGOTÁ</v>
      </c>
      <c r="E6581" s="15" t="str">
        <f>IFERROR(__xludf.DUMMYFUNCTION("""COMPUTED_VALUE"""),"Evamazzita")</f>
        <v>Evamazzita</v>
      </c>
      <c r="F6581" s="17" t="str">
        <f>IFERROR(__xludf.DUMMYFUNCTION("""COMPUTED_VALUE"""),"CALLE 15 # 4A 236 / ZAPAN TORRE 5 APTO 301")</f>
        <v>CALLE 15 # 4A 236 / ZAPAN TORRE 5 APTO 301</v>
      </c>
      <c r="G6581" s="15" t="str">
        <f>IFERROR(__xludf.DUMMYFUNCTION("""COMPUTED_VALUE"""),"LAURA QUINTERO")</f>
        <v>LAURA QUINTERO</v>
      </c>
      <c r="H6581" s="16">
        <f>IFERROR(__xludf.DUMMYFUNCTION("""COMPUTED_VALUE"""),15381.0)</f>
        <v>15381</v>
      </c>
      <c r="I6581" s="18">
        <f>IFERROR(__xludf.DUMMYFUNCTION("""COMPUTED_VALUE"""),1.0)</f>
        <v>1</v>
      </c>
      <c r="J6581" s="18">
        <f>IFERROR(__xludf.DUMMYFUNCTION("""COMPUTED_VALUE"""),1.0)</f>
        <v>1</v>
      </c>
      <c r="K6581" s="18">
        <f>IFERROR(__xludf.DUMMYFUNCTION("""COMPUTED_VALUE"""),1.0)</f>
        <v>1</v>
      </c>
      <c r="L6581" s="17">
        <f>IFERROR(__xludf.DUMMYFUNCTION("""COMPUTED_VALUE"""),3.005178978E9)</f>
        <v>3005178978</v>
      </c>
      <c r="M6581" s="17" t="str">
        <f>IFERROR(__xludf.DUMMYFUNCTION("""COMPUTED_VALUE"""),"#REF!")</f>
        <v>#REF!</v>
      </c>
      <c r="N6581" s="17"/>
      <c r="O6581" s="17"/>
      <c r="P6581" s="17" t="b">
        <f>IFERROR(__xludf.DUMMYFUNCTION("""COMPUTED_VALUE"""),TRUE)</f>
        <v>1</v>
      </c>
      <c r="Q6581" s="20">
        <f>IFERROR(__xludf.DUMMYFUNCTION("""COMPUTED_VALUE"""),45188.61799)</f>
        <v>45188.61799</v>
      </c>
      <c r="R6581" s="21" t="str">
        <f>IFERROR(__xludf.DUMMYFUNCTION("""COMPUTED_VALUE"""),"https://drive.google.com/file/d/1X6fYbBIdnFrGm1DipB62G5v1hQaL9Cm6/view?usp=drivesdk")</f>
        <v>https://drive.google.com/file/d/1X6fYbBIdnFrGm1DipB62G5v1hQaL9Cm6/view?usp=drivesdk</v>
      </c>
    </row>
    <row r="6582">
      <c r="A6582" s="15">
        <f>IFERROR(__xludf.DUMMYFUNCTION("""COMPUTED_VALUE"""),45188.0)</f>
        <v>45188</v>
      </c>
      <c r="B6582" s="16" t="str">
        <f>IFERROR(__xludf.DUMMYFUNCTION("""COMPUTED_VALUE"""),"Deivi Alejandro Quintero Corrales")</f>
        <v>Deivi Alejandro Quintero Corrales</v>
      </c>
      <c r="C6582" s="15" t="str">
        <f>IFERROR(__xludf.DUMMYFUNCTION("""COMPUTED_VALUE"""),"FACATATIVA")</f>
        <v>FACATATIVA</v>
      </c>
      <c r="D6582" s="15" t="str">
        <f>IFERROR(__xludf.DUMMYFUNCTION("""COMPUTED_VALUE"""),"MEDELLÍN")</f>
        <v>MEDELLÍN</v>
      </c>
      <c r="E6582" s="15" t="str">
        <f>IFERROR(__xludf.DUMMYFUNCTION("""COMPUTED_VALUE"""),"Helados swip")</f>
        <v>Helados swip</v>
      </c>
      <c r="F6582" s="17" t="str">
        <f>IFERROR(__xludf.DUMMYFUNCTION("""COMPUTED_VALUE"""),"CALLE 10 # 6-73 / BARRIO SANTA RITA  / FACATATIVA")</f>
        <v>CALLE 10 # 6-73 / BARRIO SANTA RITA  / FACATATIVA</v>
      </c>
      <c r="G6582" s="15" t="str">
        <f>IFERROR(__xludf.DUMMYFUNCTION("""COMPUTED_VALUE"""),"SEBASTIAN CAICEDO")</f>
        <v>SEBASTIAN CAICEDO</v>
      </c>
      <c r="H6582" s="16">
        <f>IFERROR(__xludf.DUMMYFUNCTION("""COMPUTED_VALUE"""),15337.0)</f>
        <v>15337</v>
      </c>
      <c r="I6582" s="18">
        <f>IFERROR(__xludf.DUMMYFUNCTION("""COMPUTED_VALUE"""),50.0)</f>
        <v>50</v>
      </c>
      <c r="J6582" s="18">
        <f>IFERROR(__xludf.DUMMYFUNCTION("""COMPUTED_VALUE"""),30.0)</f>
        <v>30</v>
      </c>
      <c r="K6582" s="18">
        <f>IFERROR(__xludf.DUMMYFUNCTION("""COMPUTED_VALUE"""),21.0)</f>
        <v>21</v>
      </c>
      <c r="L6582" s="17">
        <f>IFERROR(__xludf.DUMMYFUNCTION("""COMPUTED_VALUE"""),3.133134809E9)</f>
        <v>3133134809</v>
      </c>
      <c r="M6582" s="17" t="str">
        <f>IFERROR(__xludf.DUMMYFUNCTION("""COMPUTED_VALUE"""),"#REF!")</f>
        <v>#REF!</v>
      </c>
      <c r="N6582" s="17"/>
      <c r="O6582" s="17"/>
      <c r="P6582" s="17" t="b">
        <f>IFERROR(__xludf.DUMMYFUNCTION("""COMPUTED_VALUE"""),TRUE)</f>
        <v>1</v>
      </c>
      <c r="Q6582" s="20">
        <f>IFERROR(__xludf.DUMMYFUNCTION("""COMPUTED_VALUE"""),45188.61799)</f>
        <v>45188.61799</v>
      </c>
      <c r="R6582" s="22" t="str">
        <f>IFERROR(__xludf.DUMMYFUNCTION("""COMPUTED_VALUE"""),"")</f>
        <v/>
      </c>
    </row>
    <row r="6583">
      <c r="A6583" s="15">
        <f>IFERROR(__xludf.DUMMYFUNCTION("""COMPUTED_VALUE"""),45188.0)</f>
        <v>45188</v>
      </c>
      <c r="B6583" s="16" t="str">
        <f>IFERROR(__xludf.DUMMYFUNCTION("""COMPUTED_VALUE"""),"Deivi Alejandro Quintero Corrales")</f>
        <v>Deivi Alejandro Quintero Corrales</v>
      </c>
      <c r="C6583" s="15" t="str">
        <f>IFERROR(__xludf.DUMMYFUNCTION("""COMPUTED_VALUE"""),"PEREIRA")</f>
        <v>PEREIRA</v>
      </c>
      <c r="D6583" s="15" t="str">
        <f>IFERROR(__xludf.DUMMYFUNCTION("""COMPUTED_VALUE"""),"BOGOTÁ")</f>
        <v>BOGOTÁ</v>
      </c>
      <c r="E6583" s="15" t="str">
        <f>IFERROR(__xludf.DUMMYFUNCTION("""COMPUTED_VALUE"""),"Evamazzita")</f>
        <v>Evamazzita</v>
      </c>
      <c r="F6583" s="17" t="str">
        <f>IFERROR(__xludf.DUMMYFUNCTION("""COMPUTED_VALUE"""),"CALLE 50 No. 13-03 / AMARU TORRE 2 APTO 202")</f>
        <v>CALLE 50 No. 13-03 / AMARU TORRE 2 APTO 202</v>
      </c>
      <c r="G6583" s="15" t="str">
        <f>IFERROR(__xludf.DUMMYFUNCTION("""COMPUTED_VALUE"""),"JENNY MEJIA")</f>
        <v>JENNY MEJIA</v>
      </c>
      <c r="H6583" s="16">
        <f>IFERROR(__xludf.DUMMYFUNCTION("""COMPUTED_VALUE"""),15382.0)</f>
        <v>15382</v>
      </c>
      <c r="I6583" s="18">
        <f>IFERROR(__xludf.DUMMYFUNCTION("""COMPUTED_VALUE"""),1.0)</f>
        <v>1</v>
      </c>
      <c r="J6583" s="18">
        <f>IFERROR(__xludf.DUMMYFUNCTION("""COMPUTED_VALUE"""),1.0)</f>
        <v>1</v>
      </c>
      <c r="K6583" s="18">
        <f>IFERROR(__xludf.DUMMYFUNCTION("""COMPUTED_VALUE"""),1.0)</f>
        <v>1</v>
      </c>
      <c r="L6583" s="17">
        <f>IFERROR(__xludf.DUMMYFUNCTION("""COMPUTED_VALUE"""),3.137289779E9)</f>
        <v>3137289779</v>
      </c>
      <c r="M6583" s="17" t="str">
        <f>IFERROR(__xludf.DUMMYFUNCTION("""COMPUTED_VALUE"""),"#REF!")</f>
        <v>#REF!</v>
      </c>
      <c r="N6583" s="17"/>
      <c r="O6583" s="17"/>
      <c r="P6583" s="17" t="b">
        <f>IFERROR(__xludf.DUMMYFUNCTION("""COMPUTED_VALUE"""),TRUE)</f>
        <v>1</v>
      </c>
      <c r="Q6583" s="20">
        <f>IFERROR(__xludf.DUMMYFUNCTION("""COMPUTED_VALUE"""),45188.656977708335)</f>
        <v>45188.65698</v>
      </c>
      <c r="R6583" s="21" t="str">
        <f>IFERROR(__xludf.DUMMYFUNCTION("""COMPUTED_VALUE"""),"https://drive.google.com/file/d/1jeLhsaka2AOIcfALcCM0DOP6lf38iuDi/view?usp=drivesdk")</f>
        <v>https://drive.google.com/file/d/1jeLhsaka2AOIcfALcCM0DOP6lf38iuDi/view?usp=drivesdk</v>
      </c>
    </row>
    <row r="6584">
      <c r="A6584" s="15">
        <f>IFERROR(__xludf.DUMMYFUNCTION("""COMPUTED_VALUE"""),45188.0)</f>
        <v>45188</v>
      </c>
      <c r="B6584" s="16" t="str">
        <f>IFERROR(__xludf.DUMMYFUNCTION("""COMPUTED_VALUE"""),"Deivi Alejandro Quintero Corrales")</f>
        <v>Deivi Alejandro Quintero Corrales</v>
      </c>
      <c r="C6584" s="15" t="str">
        <f>IFERROR(__xludf.DUMMYFUNCTION("""COMPUTED_VALUE"""),"PEREIRA")</f>
        <v>PEREIRA</v>
      </c>
      <c r="D6584" s="15" t="str">
        <f>IFERROR(__xludf.DUMMYFUNCTION("""COMPUTED_VALUE"""),"BOGOTÁ")</f>
        <v>BOGOTÁ</v>
      </c>
      <c r="E6584" s="15" t="str">
        <f>IFERROR(__xludf.DUMMYFUNCTION("""COMPUTED_VALUE"""),"Ins. Alimento Vital")</f>
        <v>Ins. Alimento Vital</v>
      </c>
      <c r="F6584" s="17" t="str">
        <f>IFERROR(__xludf.DUMMYFUNCTION("""COMPUTED_VALUE"""),"CR 5 18 43 / EDI CHALJUB / BARRIO URIBE")</f>
        <v>CR 5 18 43 / EDI CHALJUB / BARRIO URIBE</v>
      </c>
      <c r="G6584" s="15" t="str">
        <f>IFERROR(__xludf.DUMMYFUNCTION("""COMPUTED_VALUE"""),"CHALJUB")</f>
        <v>CHALJUB</v>
      </c>
      <c r="H6584" s="16">
        <f>IFERROR(__xludf.DUMMYFUNCTION("""COMPUTED_VALUE"""),15350.0)</f>
        <v>15350</v>
      </c>
      <c r="I6584" s="18">
        <f>IFERROR(__xludf.DUMMYFUNCTION("""COMPUTED_VALUE"""),1.0)</f>
        <v>1</v>
      </c>
      <c r="J6584" s="18">
        <f>IFERROR(__xludf.DUMMYFUNCTION("""COMPUTED_VALUE"""),1.0)</f>
        <v>1</v>
      </c>
      <c r="K6584" s="18">
        <f>IFERROR(__xludf.DUMMYFUNCTION("""COMPUTED_VALUE"""),1.0)</f>
        <v>1</v>
      </c>
      <c r="L6584" s="17">
        <f>IFERROR(__xludf.DUMMYFUNCTION("""COMPUTED_VALUE"""),3.008252529E9)</f>
        <v>3008252529</v>
      </c>
      <c r="M6584" s="17" t="str">
        <f>IFERROR(__xludf.DUMMYFUNCTION("""COMPUTED_VALUE"""),"#REF!")</f>
        <v>#REF!</v>
      </c>
      <c r="N6584" s="17"/>
      <c r="O6584" s="17"/>
      <c r="P6584" s="17" t="b">
        <f>IFERROR(__xludf.DUMMYFUNCTION("""COMPUTED_VALUE"""),TRUE)</f>
        <v>1</v>
      </c>
      <c r="Q6584" s="20">
        <f>IFERROR(__xludf.DUMMYFUNCTION("""COMPUTED_VALUE"""),45188.73375693287)</f>
        <v>45188.73376</v>
      </c>
      <c r="R6584" s="22" t="str">
        <f>IFERROR(__xludf.DUMMYFUNCTION("""COMPUTED_VALUE"""),"")</f>
        <v/>
      </c>
    </row>
    <row r="6585">
      <c r="A6585" s="15">
        <f>IFERROR(__xludf.DUMMYFUNCTION("""COMPUTED_VALUE"""),45188.0)</f>
        <v>45188</v>
      </c>
      <c r="B6585" s="16" t="str">
        <f>IFERROR(__xludf.DUMMYFUNCTION("""COMPUTED_VALUE"""),"Deivi Alejandro Quintero Corrales")</f>
        <v>Deivi Alejandro Quintero Corrales</v>
      </c>
      <c r="C6585" s="15" t="str">
        <f>IFERROR(__xludf.DUMMYFUNCTION("""COMPUTED_VALUE"""),"PEREIRA")</f>
        <v>PEREIRA</v>
      </c>
      <c r="D6585" s="15" t="str">
        <f>IFERROR(__xludf.DUMMYFUNCTION("""COMPUTED_VALUE"""),"BOGOTÁ")</f>
        <v>BOGOTÁ</v>
      </c>
      <c r="E6585" s="15" t="str">
        <f>IFERROR(__xludf.DUMMYFUNCTION("""COMPUTED_VALUE"""),"Loomifoods")</f>
        <v>Loomifoods</v>
      </c>
      <c r="F6585" s="17" t="str">
        <f>IFERROR(__xludf.DUMMYFUNCTION("""COMPUTED_VALUE"""),"Cra 38 #86-187,  / Casa 13. etapa 5 / San José de las Villas")</f>
        <v>Cra 38 #86-187,  / Casa 13. etapa 5 / San José de las Villas</v>
      </c>
      <c r="G6585" s="15" t="str">
        <f>IFERROR(__xludf.DUMMYFUNCTION("""COMPUTED_VALUE"""),"Angela Roncancio")</f>
        <v>Angela Roncancio</v>
      </c>
      <c r="H6585" s="16">
        <f>IFERROR(__xludf.DUMMYFUNCTION("""COMPUTED_VALUE"""),15356.0)</f>
        <v>15356</v>
      </c>
      <c r="I6585" s="18">
        <f>IFERROR(__xludf.DUMMYFUNCTION("""COMPUTED_VALUE"""),19.0)</f>
        <v>19</v>
      </c>
      <c r="J6585" s="18">
        <f>IFERROR(__xludf.DUMMYFUNCTION("""COMPUTED_VALUE"""),5.0)</f>
        <v>5</v>
      </c>
      <c r="K6585" s="18">
        <f>IFERROR(__xludf.DUMMYFUNCTION("""COMPUTED_VALUE"""),16.0)</f>
        <v>16</v>
      </c>
      <c r="L6585" s="17">
        <f>IFERROR(__xludf.DUMMYFUNCTION("""COMPUTED_VALUE"""),3.183863683E9)</f>
        <v>3183863683</v>
      </c>
      <c r="M6585" s="17" t="str">
        <f>IFERROR(__xludf.DUMMYFUNCTION("""COMPUTED_VALUE"""),"#REF!")</f>
        <v>#REF!</v>
      </c>
      <c r="N6585" s="17"/>
      <c r="O6585" s="17"/>
      <c r="P6585" s="17" t="b">
        <f>IFERROR(__xludf.DUMMYFUNCTION("""COMPUTED_VALUE"""),TRUE)</f>
        <v>1</v>
      </c>
      <c r="Q6585" s="20">
        <f>IFERROR(__xludf.DUMMYFUNCTION("""COMPUTED_VALUE"""),45188.617990011575)</f>
        <v>45188.61799</v>
      </c>
      <c r="R6585" s="21" t="str">
        <f>IFERROR(__xludf.DUMMYFUNCTION("""COMPUTED_VALUE"""),"https://drive.google.com/file/d/1pSTJ-dc8d--fWJi1glVi7VRp-YifSIKd/view?usp=drivesdk")</f>
        <v>https://drive.google.com/file/d/1pSTJ-dc8d--fWJi1glVi7VRp-YifSIKd/view?usp=drivesdk</v>
      </c>
    </row>
    <row r="6586">
      <c r="A6586" s="15">
        <f>IFERROR(__xludf.DUMMYFUNCTION("""COMPUTED_VALUE"""),45188.0)</f>
        <v>45188</v>
      </c>
      <c r="B6586" s="16" t="str">
        <f>IFERROR(__xludf.DUMMYFUNCTION("""COMPUTED_VALUE"""),"Deivi Alejandro Quintero Corrales")</f>
        <v>Deivi Alejandro Quintero Corrales</v>
      </c>
      <c r="C6586" s="15" t="str">
        <f>IFERROR(__xludf.DUMMYFUNCTION("""COMPUTED_VALUE"""),"PEREIRA")</f>
        <v>PEREIRA</v>
      </c>
      <c r="D6586" s="15" t="str">
        <f>IFERROR(__xludf.DUMMYFUNCTION("""COMPUTED_VALUE"""),"BOGOTÁ")</f>
        <v>BOGOTÁ</v>
      </c>
      <c r="E6586" s="15" t="str">
        <f>IFERROR(__xludf.DUMMYFUNCTION("""COMPUTED_VALUE"""),"Pan de Waffle")</f>
        <v>Pan de Waffle</v>
      </c>
      <c r="F6586" s="17" t="str">
        <f>IFERROR(__xludf.DUMMYFUNCTION("""COMPUTED_VALUE"""),"Megacentro Pinares Piso 0 Local 019 / Megacentro Pinares Piso 0 Local 019 / Megacentro Pinares Piso 0 Local 019")</f>
        <v>Megacentro Pinares Piso 0 Local 019 / Megacentro Pinares Piso 0 Local 019 / Megacentro Pinares Piso 0 Local 019</v>
      </c>
      <c r="G6586" s="15" t="str">
        <f>IFERROR(__xludf.DUMMYFUNCTION("""COMPUTED_VALUE"""),"TERRASANO MEGACENTRO")</f>
        <v>TERRASANO MEGACENTRO</v>
      </c>
      <c r="H6586" s="16">
        <f>IFERROR(__xludf.DUMMYFUNCTION("""COMPUTED_VALUE"""),15396.0)</f>
        <v>15396</v>
      </c>
      <c r="I6586" s="18">
        <f>IFERROR(__xludf.DUMMYFUNCTION("""COMPUTED_VALUE"""),40.0)</f>
        <v>40</v>
      </c>
      <c r="J6586" s="18">
        <f>IFERROR(__xludf.DUMMYFUNCTION("""COMPUTED_VALUE"""),40.0)</f>
        <v>40</v>
      </c>
      <c r="K6586" s="18">
        <f>IFERROR(__xludf.DUMMYFUNCTION("""COMPUTED_VALUE"""),30.0)</f>
        <v>30</v>
      </c>
      <c r="L6586" s="17">
        <f>IFERROR(__xludf.DUMMYFUNCTION("""COMPUTED_VALUE"""),3.13703624E9)</f>
        <v>3137036240</v>
      </c>
      <c r="M6586" s="17" t="str">
        <f>IFERROR(__xludf.DUMMYFUNCTION("""COMPUTED_VALUE"""),"#REF!")</f>
        <v>#REF!</v>
      </c>
      <c r="N6586" s="17"/>
      <c r="O6586" s="17"/>
      <c r="P6586" s="17" t="b">
        <f>IFERROR(__xludf.DUMMYFUNCTION("""COMPUTED_VALUE"""),TRUE)</f>
        <v>1</v>
      </c>
      <c r="Q6586" s="20">
        <f>IFERROR(__xludf.DUMMYFUNCTION("""COMPUTED_VALUE"""),45189.604391319444)</f>
        <v>45189.60439</v>
      </c>
      <c r="R6586" s="22" t="str">
        <f>IFERROR(__xludf.DUMMYFUNCTION("""COMPUTED_VALUE"""),"")</f>
        <v/>
      </c>
    </row>
    <row r="6587">
      <c r="A6587" s="15">
        <f>IFERROR(__xludf.DUMMYFUNCTION("""COMPUTED_VALUE"""),45188.0)</f>
        <v>45188</v>
      </c>
      <c r="B6587" s="16" t="str">
        <f>IFERROR(__xludf.DUMMYFUNCTION("""COMPUTED_VALUE"""),"Deivi Alejandro Quintero Corrales")</f>
        <v>Deivi Alejandro Quintero Corrales</v>
      </c>
      <c r="C6587" s="15" t="str">
        <f>IFERROR(__xludf.DUMMYFUNCTION("""COMPUTED_VALUE"""),"PEREIRA")</f>
        <v>PEREIRA</v>
      </c>
      <c r="D6587" s="15" t="str">
        <f>IFERROR(__xludf.DUMMYFUNCTION("""COMPUTED_VALUE"""),"BOGOTÁ")</f>
        <v>BOGOTÁ</v>
      </c>
      <c r="E6587" s="15" t="str">
        <f>IFERROR(__xludf.DUMMYFUNCTION("""COMPUTED_VALUE"""),"Top Spun")</f>
        <v>Top Spun</v>
      </c>
      <c r="F6587" s="17" t="str">
        <f>IFERROR(__xludf.DUMMYFUNCTION("""COMPUTED_VALUE"""),"AV LAS AMéRICAS #85-80 / PARQUE RESIDENCIAL SAN SILVESTRE / APTO 3015")</f>
        <v>AV LAS AMéRICAS #85-80 / PARQUE RESIDENCIAL SAN SILVESTRE / APTO 3015</v>
      </c>
      <c r="G6587" s="15" t="str">
        <f>IFERROR(__xludf.DUMMYFUNCTION("""COMPUTED_VALUE"""),"STEPHANY COLORADO")</f>
        <v>STEPHANY COLORADO</v>
      </c>
      <c r="H6587" s="16">
        <f>IFERROR(__xludf.DUMMYFUNCTION("""COMPUTED_VALUE"""),15297.0)</f>
        <v>15297</v>
      </c>
      <c r="I6587" s="18">
        <f>IFERROR(__xludf.DUMMYFUNCTION("""COMPUTED_VALUE"""),20.0)</f>
        <v>20</v>
      </c>
      <c r="J6587" s="18">
        <f>IFERROR(__xludf.DUMMYFUNCTION("""COMPUTED_VALUE"""),10.0)</f>
        <v>10</v>
      </c>
      <c r="K6587" s="18">
        <f>IFERROR(__xludf.DUMMYFUNCTION("""COMPUTED_VALUE"""),40.0)</f>
        <v>40</v>
      </c>
      <c r="L6587" s="17">
        <f>IFERROR(__xludf.DUMMYFUNCTION("""COMPUTED_VALUE"""),3.137239429E9)</f>
        <v>3137239429</v>
      </c>
      <c r="M6587" s="17" t="str">
        <f>IFERROR(__xludf.DUMMYFUNCTION("""COMPUTED_VALUE"""),"#REF!")</f>
        <v>#REF!</v>
      </c>
      <c r="N6587" s="17"/>
      <c r="O6587" s="17"/>
      <c r="P6587" s="17" t="b">
        <f>IFERROR(__xludf.DUMMYFUNCTION("""COMPUTED_VALUE"""),FALSE)</f>
        <v>0</v>
      </c>
      <c r="Q6587" s="20" t="str">
        <f>IFERROR(__xludf.DUMMYFUNCTION("""COMPUTED_VALUE"""),"")</f>
        <v/>
      </c>
      <c r="R6587" s="21" t="str">
        <f>IFERROR(__xludf.DUMMYFUNCTION("""COMPUTED_VALUE"""),"https://drive.google.com/file/d/1OGAQiwpxwFYZYXdLuM0sWXRB8BZN9KUo/view?usp=drivesdk")</f>
        <v>https://drive.google.com/file/d/1OGAQiwpxwFYZYXdLuM0sWXRB8BZN9KUo/view?usp=drivesdk</v>
      </c>
    </row>
    <row r="6588">
      <c r="A6588" s="15">
        <f>IFERROR(__xludf.DUMMYFUNCTION("""COMPUTED_VALUE"""),45188.0)</f>
        <v>45188</v>
      </c>
      <c r="B6588" s="16" t="str">
        <f>IFERROR(__xludf.DUMMYFUNCTION("""COMPUTED_VALUE"""),"Deivi Alejandro Quintero Corrales")</f>
        <v>Deivi Alejandro Quintero Corrales</v>
      </c>
      <c r="C6588" s="15" t="str">
        <f>IFERROR(__xludf.DUMMYFUNCTION("""COMPUTED_VALUE"""),"PEREIRA")</f>
        <v>PEREIRA</v>
      </c>
      <c r="D6588" s="15" t="str">
        <f>IFERROR(__xludf.DUMMYFUNCTION("""COMPUTED_VALUE"""),"MEDELLÍN")</f>
        <v>MEDELLÍN</v>
      </c>
      <c r="E6588" s="15" t="str">
        <f>IFERROR(__xludf.DUMMYFUNCTION("""COMPUTED_VALUE"""),"AREPAS LA MARY")</f>
        <v>AREPAS LA MARY</v>
      </c>
      <c r="F6588" s="17" t="str">
        <f>IFERROR(__xludf.DUMMYFUNCTION("""COMPUTED_VALUE"""),"CC UNICENTRO / NIVEL 2 LOCAL B 04")</f>
        <v>CC UNICENTRO / NIVEL 2 LOCAL B 04</v>
      </c>
      <c r="G6588" s="15" t="str">
        <f>IFERROR(__xludf.DUMMYFUNCTION("""COMPUTED_VALUE"""),"TERRASANO")</f>
        <v>TERRASANO</v>
      </c>
      <c r="H6588" s="16">
        <f>IFERROR(__xludf.DUMMYFUNCTION("""COMPUTED_VALUE"""),15348.0)</f>
        <v>15348</v>
      </c>
      <c r="I6588" s="18">
        <f>IFERROR(__xludf.DUMMYFUNCTION("""COMPUTED_VALUE"""),89.0)</f>
        <v>89</v>
      </c>
      <c r="J6588" s="18">
        <f>IFERROR(__xludf.DUMMYFUNCTION("""COMPUTED_VALUE"""),1.0)</f>
        <v>1</v>
      </c>
      <c r="K6588" s="18">
        <f>IFERROR(__xludf.DUMMYFUNCTION("""COMPUTED_VALUE"""),10.0)</f>
        <v>10</v>
      </c>
      <c r="L6588" s="17">
        <f>IFERROR(__xludf.DUMMYFUNCTION("""COMPUTED_VALUE"""),3.234572533E9)</f>
        <v>3234572533</v>
      </c>
      <c r="M6588" s="17" t="str">
        <f>IFERROR(__xludf.DUMMYFUNCTION("""COMPUTED_VALUE"""),"#REF!")</f>
        <v>#REF!</v>
      </c>
      <c r="N6588" s="17"/>
      <c r="O6588" s="17"/>
      <c r="P6588" s="17" t="b">
        <f>IFERROR(__xludf.DUMMYFUNCTION("""COMPUTED_VALUE"""),TRUE)</f>
        <v>1</v>
      </c>
      <c r="Q6588" s="20">
        <f>IFERROR(__xludf.DUMMYFUNCTION("""COMPUTED_VALUE"""),45188.66079450231)</f>
        <v>45188.66079</v>
      </c>
      <c r="R6588" s="21" t="str">
        <f>IFERROR(__xludf.DUMMYFUNCTION("""COMPUTED_VALUE"""),"https://drive.google.com/file/d/1Spyi_Ke7l4RXmyZdwqf12h4xljBgvE6L/view?usp=drivesdk")</f>
        <v>https://drive.google.com/file/d/1Spyi_Ke7l4RXmyZdwqf12h4xljBgvE6L/view?usp=drivesdk</v>
      </c>
    </row>
    <row r="6589">
      <c r="A6589" s="17" t="str">
        <f>IFERROR(__xludf.DUMMYFUNCTION("""COMPUTED_VALUE"""),"")</f>
        <v/>
      </c>
      <c r="B6589" s="17" t="str">
        <f>IFERROR(__xludf.DUMMYFUNCTION("""COMPUTED_VALUE"""),"")</f>
        <v/>
      </c>
      <c r="C6589" s="17" t="str">
        <f>IFERROR(__xludf.DUMMYFUNCTION("""COMPUTED_VALUE"""),"")</f>
        <v/>
      </c>
      <c r="D6589" s="17" t="str">
        <f>IFERROR(__xludf.DUMMYFUNCTION("""COMPUTED_VALUE"""),"")</f>
        <v/>
      </c>
      <c r="E6589" s="17" t="str">
        <f>IFERROR(__xludf.DUMMYFUNCTION("""COMPUTED_VALUE"""),"")</f>
        <v/>
      </c>
      <c r="F6589" s="17" t="str">
        <f>IFERROR(__xludf.DUMMYFUNCTION("""COMPUTED_VALUE"""),"")</f>
        <v/>
      </c>
      <c r="G6589" s="17" t="str">
        <f>IFERROR(__xludf.DUMMYFUNCTION("""COMPUTED_VALUE"""),"")</f>
        <v/>
      </c>
      <c r="H6589" s="17" t="str">
        <f>IFERROR(__xludf.DUMMYFUNCTION("""COMPUTED_VALUE"""),"")</f>
        <v/>
      </c>
      <c r="I6589" s="17" t="str">
        <f>IFERROR(__xludf.DUMMYFUNCTION("""COMPUTED_VALUE"""),"")</f>
        <v/>
      </c>
      <c r="J6589" s="17" t="str">
        <f>IFERROR(__xludf.DUMMYFUNCTION("""COMPUTED_VALUE"""),"")</f>
        <v/>
      </c>
      <c r="K6589" s="17" t="str">
        <f>IFERROR(__xludf.DUMMYFUNCTION("""COMPUTED_VALUE"""),"")</f>
        <v/>
      </c>
      <c r="L6589" s="17" t="str">
        <f>IFERROR(__xludf.DUMMYFUNCTION("""COMPUTED_VALUE"""),"")</f>
        <v/>
      </c>
      <c r="M6589" s="17" t="str">
        <f>IFERROR(__xludf.DUMMYFUNCTION("""COMPUTED_VALUE"""),"")</f>
        <v/>
      </c>
      <c r="N6589" s="17" t="str">
        <f>IFERROR(__xludf.DUMMYFUNCTION("""COMPUTED_VALUE"""),"")</f>
        <v/>
      </c>
      <c r="O6589" s="17" t="str">
        <f>IFERROR(__xludf.DUMMYFUNCTION("""COMPUTED_VALUE"""),"")</f>
        <v/>
      </c>
      <c r="P6589" s="17" t="str">
        <f>IFERROR(__xludf.DUMMYFUNCTION("""COMPUTED_VALUE"""),"")</f>
        <v/>
      </c>
      <c r="Q6589" s="17" t="str">
        <f>IFERROR(__xludf.DUMMYFUNCTION("""COMPUTED_VALUE"""),"")</f>
        <v/>
      </c>
      <c r="R6589" s="17" t="str">
        <f>IFERROR(__xludf.DUMMYFUNCTION("""COMPUTED_VALUE"""),"")</f>
        <v/>
      </c>
    </row>
    <row r="6590">
      <c r="A6590" s="15">
        <f>IFERROR(__xludf.DUMMYFUNCTION("""COMPUTED_VALUE"""),45188.0)</f>
        <v>45188</v>
      </c>
      <c r="B6590" s="16" t="str">
        <f>IFERROR(__xludf.DUMMYFUNCTION("""COMPUTED_VALUE"""),"Duvan Gabriel Alvarez Giron")</f>
        <v>Duvan Gabriel Alvarez Giron</v>
      </c>
      <c r="C6590" s="15" t="str">
        <f>IFERROR(__xludf.DUMMYFUNCTION("""COMPUTED_VALUE"""),"FLORIDABLANCA")</f>
        <v>FLORIDABLANCA</v>
      </c>
      <c r="D6590" s="15" t="str">
        <f>IFERROR(__xludf.DUMMYFUNCTION("""COMPUTED_VALUE"""),"BOGOTÁ")</f>
        <v>BOGOTÁ</v>
      </c>
      <c r="E6590" s="15" t="str">
        <f>IFERROR(__xludf.DUMMYFUNCTION("""COMPUTED_VALUE"""),"Ins. Alimento Vital")</f>
        <v>Ins. Alimento Vital</v>
      </c>
      <c r="F6590" s="17" t="str">
        <f>IFERROR(__xludf.DUMMYFUNCTION("""COMPUTED_VALUE"""),"CONDOMINIO ROUITIQUE CONJUNTO LA PRADERA  / CASA 39 / ROUITIQUE")</f>
        <v>CONDOMINIO ROUITIQUE CONJUNTO LA PRADERA  / CASA 39 / ROUITIQUE</v>
      </c>
      <c r="G6590" s="15" t="str">
        <f>IFERROR(__xludf.DUMMYFUNCTION("""COMPUTED_VALUE"""),"ADRIANA MARIA BARRERA SARMIENTO")</f>
        <v>ADRIANA MARIA BARRERA SARMIENTO</v>
      </c>
      <c r="H6590" s="16">
        <f>IFERROR(__xludf.DUMMYFUNCTION("""COMPUTED_VALUE"""),15364.0)</f>
        <v>15364</v>
      </c>
      <c r="I6590" s="18">
        <f>IFERROR(__xludf.DUMMYFUNCTION("""COMPUTED_VALUE"""),1.0)</f>
        <v>1</v>
      </c>
      <c r="J6590" s="18">
        <f>IFERROR(__xludf.DUMMYFUNCTION("""COMPUTED_VALUE"""),1.0)</f>
        <v>1</v>
      </c>
      <c r="K6590" s="18">
        <f>IFERROR(__xludf.DUMMYFUNCTION("""COMPUTED_VALUE"""),1.0)</f>
        <v>1</v>
      </c>
      <c r="L6590" s="17">
        <f>IFERROR(__xludf.DUMMYFUNCTION("""COMPUTED_VALUE"""),3.21372563E9)</f>
        <v>3213725630</v>
      </c>
      <c r="M6590" s="17" t="str">
        <f>IFERROR(__xludf.DUMMYFUNCTION("""COMPUTED_VALUE"""),"#REF!")</f>
        <v>#REF!</v>
      </c>
      <c r="N6590" s="17"/>
      <c r="O6590" s="17"/>
      <c r="P6590" s="17" t="b">
        <f>IFERROR(__xludf.DUMMYFUNCTION("""COMPUTED_VALUE"""),TRUE)</f>
        <v>1</v>
      </c>
      <c r="Q6590" s="20">
        <f>IFERROR(__xludf.DUMMYFUNCTION("""COMPUTED_VALUE"""),45188.617990011575)</f>
        <v>45188.61799</v>
      </c>
      <c r="R6590" s="22" t="str">
        <f>IFERROR(__xludf.DUMMYFUNCTION("""COMPUTED_VALUE"""),"")</f>
        <v/>
      </c>
    </row>
    <row r="6591">
      <c r="A6591" s="15">
        <f>IFERROR(__xludf.DUMMYFUNCTION("""COMPUTED_VALUE"""),45188.0)</f>
        <v>45188</v>
      </c>
      <c r="B6591" s="16" t="str">
        <f>IFERROR(__xludf.DUMMYFUNCTION("""COMPUTED_VALUE"""),"Duvan Gabriel Alvarez Giron")</f>
        <v>Duvan Gabriel Alvarez Giron</v>
      </c>
      <c r="C6591" s="15" t="str">
        <f>IFERROR(__xludf.DUMMYFUNCTION("""COMPUTED_VALUE"""),"IBAGUÉ")</f>
        <v>IBAGUÉ</v>
      </c>
      <c r="D6591" s="15" t="str">
        <f>IFERROR(__xludf.DUMMYFUNCTION("""COMPUTED_VALUE"""),"BOGOTÁ")</f>
        <v>BOGOTÁ</v>
      </c>
      <c r="E6591" s="15" t="str">
        <f>IFERROR(__xludf.DUMMYFUNCTION("""COMPUTED_VALUE"""),"Asociacion Agropecuaria Juana Maria")</f>
        <v>Asociacion Agropecuaria Juana Maria</v>
      </c>
      <c r="F6591" s="17" t="str">
        <f>IFERROR(__xludf.DUMMYFUNCTION("""COMPUTED_VALUE"""),"Calle 93 # 7 Sur-90 torre 7 apto 701 Conjunto Residencial Altagracia")</f>
        <v>Calle 93 # 7 Sur-90 torre 7 apto 701 Conjunto Residencial Altagracia</v>
      </c>
      <c r="G6591" s="15" t="str">
        <f>IFERROR(__xludf.DUMMYFUNCTION("""COMPUTED_VALUE"""),"Mariam Yasmin Murillo Rubio")</f>
        <v>Mariam Yasmin Murillo Rubio</v>
      </c>
      <c r="H6591" s="16">
        <f>IFERROR(__xludf.DUMMYFUNCTION("""COMPUTED_VALUE"""),15293.0)</f>
        <v>15293</v>
      </c>
      <c r="I6591" s="18">
        <f>IFERROR(__xludf.DUMMYFUNCTION("""COMPUTED_VALUE"""),17.0)</f>
        <v>17</v>
      </c>
      <c r="J6591" s="18">
        <f>IFERROR(__xludf.DUMMYFUNCTION("""COMPUTED_VALUE"""),37.0)</f>
        <v>37</v>
      </c>
      <c r="K6591" s="18">
        <f>IFERROR(__xludf.DUMMYFUNCTION("""COMPUTED_VALUE"""),28.0)</f>
        <v>28</v>
      </c>
      <c r="L6591" s="17">
        <f>IFERROR(__xludf.DUMMYFUNCTION("""COMPUTED_VALUE"""),3.105789664E9)</f>
        <v>3105789664</v>
      </c>
      <c r="M6591" s="17" t="str">
        <f>IFERROR(__xludf.DUMMYFUNCTION("""COMPUTED_VALUE"""),"#REF!")</f>
        <v>#REF!</v>
      </c>
      <c r="N6591" s="17"/>
      <c r="O6591" s="17"/>
      <c r="P6591" s="17" t="b">
        <f>IFERROR(__xludf.DUMMYFUNCTION("""COMPUTED_VALUE"""),TRUE)</f>
        <v>1</v>
      </c>
      <c r="Q6591" s="20">
        <f>IFERROR(__xludf.DUMMYFUNCTION("""COMPUTED_VALUE"""),45188.65522295139)</f>
        <v>45188.65522</v>
      </c>
      <c r="R6591" s="22" t="str">
        <f>IFERROR(__xludf.DUMMYFUNCTION("""COMPUTED_VALUE"""),"")</f>
        <v/>
      </c>
    </row>
    <row r="6592">
      <c r="A6592" s="15">
        <f>IFERROR(__xludf.DUMMYFUNCTION("""COMPUTED_VALUE"""),45188.0)</f>
        <v>45188</v>
      </c>
      <c r="B6592" s="16" t="str">
        <f>IFERROR(__xludf.DUMMYFUNCTION("""COMPUTED_VALUE"""),"Duvan Gabriel Alvarez Giron")</f>
        <v>Duvan Gabriel Alvarez Giron</v>
      </c>
      <c r="C6592" s="15" t="str">
        <f>IFERROR(__xludf.DUMMYFUNCTION("""COMPUTED_VALUE"""),"IBAGUÉ")</f>
        <v>IBAGUÉ</v>
      </c>
      <c r="D6592" s="15" t="str">
        <f>IFERROR(__xludf.DUMMYFUNCTION("""COMPUTED_VALUE"""),"BOGOTÁ")</f>
        <v>BOGOTÁ</v>
      </c>
      <c r="E6592" s="15" t="str">
        <f>IFERROR(__xludf.DUMMYFUNCTION("""COMPUTED_VALUE"""),"Ins. Alimento Vital")</f>
        <v>Ins. Alimento Vital</v>
      </c>
      <c r="F6592" s="17" t="str">
        <f>IFERROR(__xludf.DUMMYFUNCTION("""COMPUTED_VALUE"""),"Cll 78 17 00  / CONJUNTO CAMINOS DE SAN FRANCISCO CASA 15 / CONJUNTO CAMINOS DE SAN FRANCISCO")</f>
        <v>Cll 78 17 00  / CONJUNTO CAMINOS DE SAN FRANCISCO CASA 15 / CONJUNTO CAMINOS DE SAN FRANCISCO</v>
      </c>
      <c r="G6592" s="15" t="str">
        <f>IFERROR(__xludf.DUMMYFUNCTION("""COMPUTED_VALUE"""),"CAMILO ANDRES MANZANO VARGAS")</f>
        <v>CAMILO ANDRES MANZANO VARGAS</v>
      </c>
      <c r="H6592" s="16">
        <f>IFERROR(__xludf.DUMMYFUNCTION("""COMPUTED_VALUE"""),15365.0)</f>
        <v>15365</v>
      </c>
      <c r="I6592" s="18">
        <f>IFERROR(__xludf.DUMMYFUNCTION("""COMPUTED_VALUE"""),1.0)</f>
        <v>1</v>
      </c>
      <c r="J6592" s="18">
        <f>IFERROR(__xludf.DUMMYFUNCTION("""COMPUTED_VALUE"""),1.0)</f>
        <v>1</v>
      </c>
      <c r="K6592" s="18">
        <f>IFERROR(__xludf.DUMMYFUNCTION("""COMPUTED_VALUE"""),1.0)</f>
        <v>1</v>
      </c>
      <c r="L6592" s="17">
        <f>IFERROR(__xludf.DUMMYFUNCTION("""COMPUTED_VALUE"""),3.503480978E9)</f>
        <v>3503480978</v>
      </c>
      <c r="M6592" s="17" t="str">
        <f>IFERROR(__xludf.DUMMYFUNCTION("""COMPUTED_VALUE"""),"#REF!")</f>
        <v>#REF!</v>
      </c>
      <c r="N6592" s="17"/>
      <c r="O6592" s="17"/>
      <c r="P6592" s="17" t="b">
        <f>IFERROR(__xludf.DUMMYFUNCTION("""COMPUTED_VALUE"""),TRUE)</f>
        <v>1</v>
      </c>
      <c r="Q6592" s="20">
        <f>IFERROR(__xludf.DUMMYFUNCTION("""COMPUTED_VALUE"""),45188.66202188657)</f>
        <v>45188.66202</v>
      </c>
      <c r="R6592" s="21" t="str">
        <f>IFERROR(__xludf.DUMMYFUNCTION("""COMPUTED_VALUE"""),"https://drive.google.com/file/d/1UMbAQ5lI5nXFaOfPhHLebAyyPkZZF3DA/view?usp=drivesdk")</f>
        <v>https://drive.google.com/file/d/1UMbAQ5lI5nXFaOfPhHLebAyyPkZZF3DA/view?usp=drivesdk</v>
      </c>
    </row>
    <row r="6593">
      <c r="A6593" s="15">
        <f>IFERROR(__xludf.DUMMYFUNCTION("""COMPUTED_VALUE"""),45188.0)</f>
        <v>45188</v>
      </c>
      <c r="B6593" s="16" t="str">
        <f>IFERROR(__xludf.DUMMYFUNCTION("""COMPUTED_VALUE"""),"Duvan Gabriel Alvarez Giron")</f>
        <v>Duvan Gabriel Alvarez Giron</v>
      </c>
      <c r="C6593" s="15" t="str">
        <f>IFERROR(__xludf.DUMMYFUNCTION("""COMPUTED_VALUE"""),"IBAGUÉ")</f>
        <v>IBAGUÉ</v>
      </c>
      <c r="D6593" s="15" t="str">
        <f>IFERROR(__xludf.DUMMYFUNCTION("""COMPUTED_VALUE"""),"BOGOTÁ")</f>
        <v>BOGOTÁ</v>
      </c>
      <c r="E6593" s="15" t="str">
        <f>IFERROR(__xludf.DUMMYFUNCTION("""COMPUTED_VALUE"""),"Ins. Alimento Vital")</f>
        <v>Ins. Alimento Vital</v>
      </c>
      <c r="F6593" s="17" t="str">
        <f>IFERROR(__xludf.DUMMYFUNCTION("""COMPUTED_VALUE"""),"MANZANA M CASA 2B  / CASA 2B / BARRIO ARKALA")</f>
        <v>MANZANA M CASA 2B  / CASA 2B / BARRIO ARKALA</v>
      </c>
      <c r="G6593" s="15" t="str">
        <f>IFERROR(__xludf.DUMMYFUNCTION("""COMPUTED_VALUE"""),"YINA LIZETH DIAZ TORRES")</f>
        <v>YINA LIZETH DIAZ TORRES</v>
      </c>
      <c r="H6593" s="16">
        <f>IFERROR(__xludf.DUMMYFUNCTION("""COMPUTED_VALUE"""),15353.0)</f>
        <v>15353</v>
      </c>
      <c r="I6593" s="18">
        <f>IFERROR(__xludf.DUMMYFUNCTION("""COMPUTED_VALUE"""),1.0)</f>
        <v>1</v>
      </c>
      <c r="J6593" s="18">
        <f>IFERROR(__xludf.DUMMYFUNCTION("""COMPUTED_VALUE"""),1.0)</f>
        <v>1</v>
      </c>
      <c r="K6593" s="18">
        <f>IFERROR(__xludf.DUMMYFUNCTION("""COMPUTED_VALUE"""),1.0)</f>
        <v>1</v>
      </c>
      <c r="L6593" s="17">
        <f>IFERROR(__xludf.DUMMYFUNCTION("""COMPUTED_VALUE"""),3.134502277E9)</f>
        <v>3134502277</v>
      </c>
      <c r="M6593" s="17" t="str">
        <f>IFERROR(__xludf.DUMMYFUNCTION("""COMPUTED_VALUE"""),"#REF!")</f>
        <v>#REF!</v>
      </c>
      <c r="N6593" s="17"/>
      <c r="O6593" s="17"/>
      <c r="P6593" s="17" t="b">
        <f>IFERROR(__xludf.DUMMYFUNCTION("""COMPUTED_VALUE"""),TRUE)</f>
        <v>1</v>
      </c>
      <c r="Q6593" s="20">
        <f>IFERROR(__xludf.DUMMYFUNCTION("""COMPUTED_VALUE"""),45188.617990011575)</f>
        <v>45188.61799</v>
      </c>
      <c r="R6593" s="21" t="str">
        <f>IFERROR(__xludf.DUMMYFUNCTION("""COMPUTED_VALUE"""),"https://drive.google.com/file/d/1yiMPok0XznPShETvDkS-0PvAaD-RO17r/view?usp=drivesdk")</f>
        <v>https://drive.google.com/file/d/1yiMPok0XznPShETvDkS-0PvAaD-RO17r/view?usp=drivesdk</v>
      </c>
    </row>
    <row r="6594">
      <c r="A6594" s="15">
        <f>IFERROR(__xludf.DUMMYFUNCTION("""COMPUTED_VALUE"""),45188.0)</f>
        <v>45188</v>
      </c>
      <c r="B6594" s="16" t="str">
        <f>IFERROR(__xludf.DUMMYFUNCTION("""COMPUTED_VALUE"""),"Duvan Gabriel Alvarez Giron")</f>
        <v>Duvan Gabriel Alvarez Giron</v>
      </c>
      <c r="C6594" s="15" t="str">
        <f>IFERROR(__xludf.DUMMYFUNCTION("""COMPUTED_VALUE"""),"IBAGUÉ")</f>
        <v>IBAGUÉ</v>
      </c>
      <c r="D6594" s="15" t="str">
        <f>IFERROR(__xludf.DUMMYFUNCTION("""COMPUTED_VALUE"""),"BOGOTÁ")</f>
        <v>BOGOTÁ</v>
      </c>
      <c r="E6594" s="15" t="str">
        <f>IFERROR(__xludf.DUMMYFUNCTION("""COMPUTED_VALUE"""),"Pan de Waffle")</f>
        <v>Pan de Waffle</v>
      </c>
      <c r="F6594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6594" s="15" t="str">
        <f>IFERROR(__xludf.DUMMYFUNCTION("""COMPUTED_VALUE"""),"SOY NATURAL SEDE EL VERGEL")</f>
        <v>SOY NATURAL SEDE EL VERGEL</v>
      </c>
      <c r="H6594" s="16">
        <f>IFERROR(__xludf.DUMMYFUNCTION("""COMPUTED_VALUE"""),15397.0)</f>
        <v>15397</v>
      </c>
      <c r="I6594" s="18">
        <f>IFERROR(__xludf.DUMMYFUNCTION("""COMPUTED_VALUE"""),40.0)</f>
        <v>40</v>
      </c>
      <c r="J6594" s="18">
        <f>IFERROR(__xludf.DUMMYFUNCTION("""COMPUTED_VALUE"""),40.0)</f>
        <v>40</v>
      </c>
      <c r="K6594" s="18">
        <f>IFERROR(__xludf.DUMMYFUNCTION("""COMPUTED_VALUE"""),30.0)</f>
        <v>30</v>
      </c>
      <c r="L6594" s="17">
        <f>IFERROR(__xludf.DUMMYFUNCTION("""COMPUTED_VALUE"""),3.208565148E9)</f>
        <v>3208565148</v>
      </c>
      <c r="M6594" s="17" t="str">
        <f>IFERROR(__xludf.DUMMYFUNCTION("""COMPUTED_VALUE"""),"#REF!")</f>
        <v>#REF!</v>
      </c>
      <c r="N6594" s="17"/>
      <c r="O6594" s="17"/>
      <c r="P6594" s="17" t="b">
        <f>IFERROR(__xludf.DUMMYFUNCTION("""COMPUTED_VALUE"""),FALSE)</f>
        <v>0</v>
      </c>
      <c r="Q6594" s="20" t="str">
        <f>IFERROR(__xludf.DUMMYFUNCTION("""COMPUTED_VALUE"""),"")</f>
        <v/>
      </c>
      <c r="R6594" s="21" t="str">
        <f>IFERROR(__xludf.DUMMYFUNCTION("""COMPUTED_VALUE"""),"https://drive.google.com/file/d/1rPsS37tk9p5IvGqT1ecwj-oPmBP-0LDO/view?usp=drivesdk")</f>
        <v>https://drive.google.com/file/d/1rPsS37tk9p5IvGqT1ecwj-oPmBP-0LDO/view?usp=drivesdk</v>
      </c>
    </row>
    <row r="6595">
      <c r="A6595" s="15">
        <f>IFERROR(__xludf.DUMMYFUNCTION("""COMPUTED_VALUE"""),45188.0)</f>
        <v>45188</v>
      </c>
      <c r="B6595" s="16" t="str">
        <f>IFERROR(__xludf.DUMMYFUNCTION("""COMPUTED_VALUE"""),"Duvan Gabriel Alvarez Giron")</f>
        <v>Duvan Gabriel Alvarez Giron</v>
      </c>
      <c r="C6595" s="15" t="str">
        <f>IFERROR(__xludf.DUMMYFUNCTION("""COMPUTED_VALUE"""),"IBAGUÉ")</f>
        <v>IBAGUÉ</v>
      </c>
      <c r="D6595" s="15" t="str">
        <f>IFERROR(__xludf.DUMMYFUNCTION("""COMPUTED_VALUE"""),"MEDELLÍN")</f>
        <v>MEDELLÍN</v>
      </c>
      <c r="E6595" s="15" t="str">
        <f>IFERROR(__xludf.DUMMYFUNCTION("""COMPUTED_VALUE"""),"AREPAS LA MARY")</f>
        <v>AREPAS LA MARY</v>
      </c>
      <c r="F6595" s="17" t="str">
        <f>IFERROR(__xludf.DUMMYFUNCTION("""COMPUTED_VALUE"""),"cra 14 # 75 a 29 / local 5 estancia del vergel")</f>
        <v>cra 14 # 75 a 29 / local 5 estancia del vergel</v>
      </c>
      <c r="G6595" s="15" t="str">
        <f>IFERROR(__xludf.DUMMYFUNCTION("""COMPUTED_VALUE"""),"soy natural market")</f>
        <v>soy natural market</v>
      </c>
      <c r="H6595" s="16">
        <f>IFERROR(__xludf.DUMMYFUNCTION("""COMPUTED_VALUE"""),15360.0)</f>
        <v>15360</v>
      </c>
      <c r="I6595" s="18">
        <f>IFERROR(__xludf.DUMMYFUNCTION("""COMPUTED_VALUE"""),89.0)</f>
        <v>89</v>
      </c>
      <c r="J6595" s="18">
        <f>IFERROR(__xludf.DUMMYFUNCTION("""COMPUTED_VALUE"""),1.0)</f>
        <v>1</v>
      </c>
      <c r="K6595" s="18">
        <f>IFERROR(__xludf.DUMMYFUNCTION("""COMPUTED_VALUE"""),10.0)</f>
        <v>10</v>
      </c>
      <c r="L6595" s="17">
        <f>IFERROR(__xludf.DUMMYFUNCTION("""COMPUTED_VALUE"""),3.177002909E9)</f>
        <v>3177002909</v>
      </c>
      <c r="M6595" s="17" t="str">
        <f>IFERROR(__xludf.DUMMYFUNCTION("""COMPUTED_VALUE"""),"#REF!")</f>
        <v>#REF!</v>
      </c>
      <c r="N6595" s="17"/>
      <c r="O6595" s="17"/>
      <c r="P6595" s="17" t="b">
        <f>IFERROR(__xludf.DUMMYFUNCTION("""COMPUTED_VALUE"""),FALSE)</f>
        <v>0</v>
      </c>
      <c r="Q6595" s="20" t="str">
        <f>IFERROR(__xludf.DUMMYFUNCTION("""COMPUTED_VALUE"""),"")</f>
        <v/>
      </c>
      <c r="R6595" s="21" t="str">
        <f>IFERROR(__xludf.DUMMYFUNCTION("""COMPUTED_VALUE"""),"https://drive.google.com/file/d/1moPORRY1-cyJZGf_299ua0GJ6vb4ZTb6/view?usp=drivesdk")</f>
        <v>https://drive.google.com/file/d/1moPORRY1-cyJZGf_299ua0GJ6vb4ZTb6/view?usp=drivesdk</v>
      </c>
    </row>
    <row r="6596">
      <c r="A6596" s="15">
        <f>IFERROR(__xludf.DUMMYFUNCTION("""COMPUTED_VALUE"""),45188.0)</f>
        <v>45188</v>
      </c>
      <c r="B6596" s="16" t="str">
        <f>IFERROR(__xludf.DUMMYFUNCTION("""COMPUTED_VALUE"""),"Duvan Gabriel Alvarez Giron")</f>
        <v>Duvan Gabriel Alvarez Giron</v>
      </c>
      <c r="C6596" s="15" t="str">
        <f>IFERROR(__xludf.DUMMYFUNCTION("""COMPUTED_VALUE"""),"IBAGUÉ")</f>
        <v>IBAGUÉ</v>
      </c>
      <c r="D6596" s="15" t="str">
        <f>IFERROR(__xludf.DUMMYFUNCTION("""COMPUTED_VALUE"""),"MEDELLÍN")</f>
        <v>MEDELLÍN</v>
      </c>
      <c r="E6596" s="15" t="str">
        <f>IFERROR(__xludf.DUMMYFUNCTION("""COMPUTED_VALUE"""),"Baby Chef")</f>
        <v>Baby Chef</v>
      </c>
      <c r="F6596" s="17" t="str">
        <f>IFERROR(__xludf.DUMMYFUNCTION("""COMPUTED_VALUE"""),"calle 67 # 7-21 torres de barlovento torre 2 apto 306 Barrio parrales Ciudad: ibague / calle 67 # 7-21 torres de barlovento torre 2 apto 306 Barrio parrales Ciudad: ibague / calle 67 # 7-21 torres de barlovento torre 2 apto 306 Barrio parrales Ciudad: iba"&amp;"gue")</f>
        <v>calle 67 # 7-21 torres de barlovento torre 2 apto 306 Barrio parrales Ciudad: ibague / calle 67 # 7-21 torres de barlovento torre 2 apto 306 Barrio parrales Ciudad: ibague / calle 67 # 7-21 torres de barlovento torre 2 apto 306 Barrio parrales Ciudad: ibague</v>
      </c>
      <c r="G6596" s="15" t="str">
        <f>IFERROR(__xludf.DUMMYFUNCTION("""COMPUTED_VALUE"""),"Laura Ríos")</f>
        <v>Laura Ríos</v>
      </c>
      <c r="H6596" s="16">
        <f>IFERROR(__xludf.DUMMYFUNCTION("""COMPUTED_VALUE"""),15363.0)</f>
        <v>15363</v>
      </c>
      <c r="I6596" s="18">
        <f>IFERROR(__xludf.DUMMYFUNCTION("""COMPUTED_VALUE"""),4.0)</f>
        <v>4</v>
      </c>
      <c r="J6596" s="18">
        <f>IFERROR(__xludf.DUMMYFUNCTION("""COMPUTED_VALUE"""),21.0)</f>
        <v>21</v>
      </c>
      <c r="K6596" s="18">
        <f>IFERROR(__xludf.DUMMYFUNCTION("""COMPUTED_VALUE"""),27.0)</f>
        <v>27</v>
      </c>
      <c r="L6596" s="17">
        <f>IFERROR(__xludf.DUMMYFUNCTION("""COMPUTED_VALUE"""),3.213717164E9)</f>
        <v>3213717164</v>
      </c>
      <c r="M6596" s="17" t="str">
        <f>IFERROR(__xludf.DUMMYFUNCTION("""COMPUTED_VALUE"""),"#REF!")</f>
        <v>#REF!</v>
      </c>
      <c r="N6596" s="17"/>
      <c r="O6596" s="17"/>
      <c r="P6596" s="17" t="b">
        <f>IFERROR(__xludf.DUMMYFUNCTION("""COMPUTED_VALUE"""),FALSE)</f>
        <v>0</v>
      </c>
      <c r="Q6596" s="20" t="str">
        <f>IFERROR(__xludf.DUMMYFUNCTION("""COMPUTED_VALUE"""),"")</f>
        <v/>
      </c>
      <c r="R6596" s="21" t="str">
        <f>IFERROR(__xludf.DUMMYFUNCTION("""COMPUTED_VALUE"""),"https://drive.google.com/file/d/1dw1EpRuIUr2cJpTg_FYxkhcx2rMEhFQ7/view?usp=drivesdk")</f>
        <v>https://drive.google.com/file/d/1dw1EpRuIUr2cJpTg_FYxkhcx2rMEhFQ7/view?usp=drivesdk</v>
      </c>
    </row>
    <row r="6597">
      <c r="A6597" s="17" t="str">
        <f>IFERROR(__xludf.DUMMYFUNCTION("""COMPUTED_VALUE"""),"")</f>
        <v/>
      </c>
      <c r="B6597" s="17" t="str">
        <f>IFERROR(__xludf.DUMMYFUNCTION("""COMPUTED_VALUE"""),"")</f>
        <v/>
      </c>
      <c r="C6597" s="17" t="str">
        <f>IFERROR(__xludf.DUMMYFUNCTION("""COMPUTED_VALUE"""),"")</f>
        <v/>
      </c>
      <c r="D6597" s="17" t="str">
        <f>IFERROR(__xludf.DUMMYFUNCTION("""COMPUTED_VALUE"""),"")</f>
        <v/>
      </c>
      <c r="E6597" s="17" t="str">
        <f>IFERROR(__xludf.DUMMYFUNCTION("""COMPUTED_VALUE"""),"")</f>
        <v/>
      </c>
      <c r="F6597" s="17" t="str">
        <f>IFERROR(__xludf.DUMMYFUNCTION("""COMPUTED_VALUE"""),"")</f>
        <v/>
      </c>
      <c r="G6597" s="17" t="str">
        <f>IFERROR(__xludf.DUMMYFUNCTION("""COMPUTED_VALUE"""),"")</f>
        <v/>
      </c>
      <c r="H6597" s="17" t="str">
        <f>IFERROR(__xludf.DUMMYFUNCTION("""COMPUTED_VALUE"""),"")</f>
        <v/>
      </c>
      <c r="I6597" s="17" t="str">
        <f>IFERROR(__xludf.DUMMYFUNCTION("""COMPUTED_VALUE"""),"")</f>
        <v/>
      </c>
      <c r="J6597" s="17" t="str">
        <f>IFERROR(__xludf.DUMMYFUNCTION("""COMPUTED_VALUE"""),"")</f>
        <v/>
      </c>
      <c r="K6597" s="17" t="str">
        <f>IFERROR(__xludf.DUMMYFUNCTION("""COMPUTED_VALUE"""),"")</f>
        <v/>
      </c>
      <c r="L6597" s="17" t="str">
        <f>IFERROR(__xludf.DUMMYFUNCTION("""COMPUTED_VALUE"""),"")</f>
        <v/>
      </c>
      <c r="M6597" s="17" t="str">
        <f>IFERROR(__xludf.DUMMYFUNCTION("""COMPUTED_VALUE"""),"")</f>
        <v/>
      </c>
      <c r="N6597" s="17" t="str">
        <f>IFERROR(__xludf.DUMMYFUNCTION("""COMPUTED_VALUE"""),"")</f>
        <v/>
      </c>
      <c r="O6597" s="17" t="str">
        <f>IFERROR(__xludf.DUMMYFUNCTION("""COMPUTED_VALUE"""),"")</f>
        <v/>
      </c>
      <c r="P6597" s="17" t="str">
        <f>IFERROR(__xludf.DUMMYFUNCTION("""COMPUTED_VALUE"""),"")</f>
        <v/>
      </c>
      <c r="Q6597" s="17" t="str">
        <f>IFERROR(__xludf.DUMMYFUNCTION("""COMPUTED_VALUE"""),"")</f>
        <v/>
      </c>
      <c r="R6597" s="17" t="str">
        <f>IFERROR(__xludf.DUMMYFUNCTION("""COMPUTED_VALUE"""),"")</f>
        <v/>
      </c>
    </row>
    <row r="6598">
      <c r="A6598" s="15">
        <f>IFERROR(__xludf.DUMMYFUNCTION("""COMPUTED_VALUE"""),45188.0)</f>
        <v>45188</v>
      </c>
      <c r="B6598" s="16" t="str">
        <f>IFERROR(__xludf.DUMMYFUNCTION("""COMPUTED_VALUE"""),"Envia")</f>
        <v>Envia</v>
      </c>
      <c r="C6598" s="15" t="str">
        <f>IFERROR(__xludf.DUMMYFUNCTION("""COMPUTED_VALUE"""),"BOGOTÁ")</f>
        <v>BOGOTÁ</v>
      </c>
      <c r="D6598" s="15" t="str">
        <f>IFERROR(__xludf.DUMMYFUNCTION("""COMPUTED_VALUE"""),"MEDELLÍN")</f>
        <v>MEDELLÍN</v>
      </c>
      <c r="E6598" s="15" t="str">
        <f>IFERROR(__xludf.DUMMYFUNCTION("""COMPUTED_VALUE"""),"Helados swip")</f>
        <v>Helados swip</v>
      </c>
      <c r="F6598" s="17" t="str">
        <f>IFERROR(__xludf.DUMMYFUNCTION("""COMPUTED_VALUE"""),"CALLE 71 # 4-55 / FIT MARKET 71 / BOGOTA FIT MARKET")</f>
        <v>CALLE 71 # 4-55 / FIT MARKET 71 / BOGOTA FIT MARKET</v>
      </c>
      <c r="G6598" s="15" t="str">
        <f>IFERROR(__xludf.DUMMYFUNCTION("""COMPUTED_VALUE"""),"FIT MARKET 71")</f>
        <v>FIT MARKET 71</v>
      </c>
      <c r="H6598" s="16">
        <f>IFERROR(__xludf.DUMMYFUNCTION("""COMPUTED_VALUE"""),15335.0)</f>
        <v>15335</v>
      </c>
      <c r="I6598" s="18">
        <f>IFERROR(__xludf.DUMMYFUNCTION("""COMPUTED_VALUE"""),29.0)</f>
        <v>29</v>
      </c>
      <c r="J6598" s="18">
        <f>IFERROR(__xludf.DUMMYFUNCTION("""COMPUTED_VALUE"""),55.0)</f>
        <v>55</v>
      </c>
      <c r="K6598" s="18">
        <f>IFERROR(__xludf.DUMMYFUNCTION("""COMPUTED_VALUE"""),45.0)</f>
        <v>45</v>
      </c>
      <c r="L6598" s="17">
        <f>IFERROR(__xludf.DUMMYFUNCTION("""COMPUTED_VALUE"""),3.232200591E9)</f>
        <v>3232200591</v>
      </c>
      <c r="M6598" s="17" t="str">
        <f>IFERROR(__xludf.DUMMYFUNCTION("""COMPUTED_VALUE"""),"#REF!")</f>
        <v>#REF!</v>
      </c>
      <c r="N6598" s="17"/>
      <c r="O6598" s="17"/>
      <c r="P6598" s="17" t="b">
        <f>IFERROR(__xludf.DUMMYFUNCTION("""COMPUTED_VALUE"""),TRUE)</f>
        <v>1</v>
      </c>
      <c r="Q6598" s="20">
        <f>IFERROR(__xludf.DUMMYFUNCTION("""COMPUTED_VALUE"""),45188.617990011575)</f>
        <v>45188.61799</v>
      </c>
      <c r="R6598" s="22" t="str">
        <f>IFERROR(__xludf.DUMMYFUNCTION("""COMPUTED_VALUE"""),"")</f>
        <v/>
      </c>
    </row>
    <row r="6599">
      <c r="A6599" s="15">
        <f>IFERROR(__xludf.DUMMYFUNCTION("""COMPUTED_VALUE"""),45188.0)</f>
        <v>45188</v>
      </c>
      <c r="B6599" s="16" t="str">
        <f>IFERROR(__xludf.DUMMYFUNCTION("""COMPUTED_VALUE"""),"Envia")</f>
        <v>Envia</v>
      </c>
      <c r="C6599" s="15" t="str">
        <f>IFERROR(__xludf.DUMMYFUNCTION("""COMPUTED_VALUE"""),"BOGOTÁ")</f>
        <v>BOGOTÁ</v>
      </c>
      <c r="D6599" s="15" t="str">
        <f>IFERROR(__xludf.DUMMYFUNCTION("""COMPUTED_VALUE"""),"MEDELLÍN")</f>
        <v>MEDELLÍN</v>
      </c>
      <c r="E6599" s="15" t="str">
        <f>IFERROR(__xludf.DUMMYFUNCTION("""COMPUTED_VALUE"""),"Helados swip")</f>
        <v>Helados swip</v>
      </c>
      <c r="F6599" s="17" t="str">
        <f>IFERROR(__xludf.DUMMYFUNCTION("""COMPUTED_VALUE"""),"CARRERA 7 B # 146-90 / LOCAL 20  / MERCADO SALUDABLE BONSANTE")</f>
        <v>CARRERA 7 B # 146-90 / LOCAL 20  / MERCADO SALUDABLE BONSANTE</v>
      </c>
      <c r="G6599" s="15" t="str">
        <f>IFERROR(__xludf.DUMMYFUNCTION("""COMPUTED_VALUE"""),"BONSANTE")</f>
        <v>BONSANTE</v>
      </c>
      <c r="H6599" s="16">
        <f>IFERROR(__xludf.DUMMYFUNCTION("""COMPUTED_VALUE"""),15336.0)</f>
        <v>15336</v>
      </c>
      <c r="I6599" s="18">
        <f>IFERROR(__xludf.DUMMYFUNCTION("""COMPUTED_VALUE"""),50.0)</f>
        <v>50</v>
      </c>
      <c r="J6599" s="18">
        <f>IFERROR(__xludf.DUMMYFUNCTION("""COMPUTED_VALUE"""),30.0)</f>
        <v>30</v>
      </c>
      <c r="K6599" s="18">
        <f>IFERROR(__xludf.DUMMYFUNCTION("""COMPUTED_VALUE"""),21.0)</f>
        <v>21</v>
      </c>
      <c r="L6599" s="17">
        <f>IFERROR(__xludf.DUMMYFUNCTION("""COMPUTED_VALUE"""),3.174291837E9)</f>
        <v>3174291837</v>
      </c>
      <c r="M6599" s="17" t="str">
        <f>IFERROR(__xludf.DUMMYFUNCTION("""COMPUTED_VALUE"""),"#REF!")</f>
        <v>#REF!</v>
      </c>
      <c r="N6599" s="17"/>
      <c r="O6599" s="17"/>
      <c r="P6599" s="17" t="b">
        <f>IFERROR(__xludf.DUMMYFUNCTION("""COMPUTED_VALUE"""),FALSE)</f>
        <v>0</v>
      </c>
      <c r="Q6599" s="20" t="str">
        <f>IFERROR(__xludf.DUMMYFUNCTION("""COMPUTED_VALUE"""),"")</f>
        <v/>
      </c>
      <c r="R6599" s="22" t="str">
        <f>IFERROR(__xludf.DUMMYFUNCTION("""COMPUTED_VALUE"""),"")</f>
        <v/>
      </c>
    </row>
    <row r="6600">
      <c r="A6600" s="15">
        <f>IFERROR(__xludf.DUMMYFUNCTION("""COMPUTED_VALUE"""),45188.0)</f>
        <v>45188</v>
      </c>
      <c r="B6600" s="16" t="str">
        <f>IFERROR(__xludf.DUMMYFUNCTION("""COMPUTED_VALUE"""),"Envia")</f>
        <v>Envia</v>
      </c>
      <c r="C6600" s="15" t="str">
        <f>IFERROR(__xludf.DUMMYFUNCTION("""COMPUTED_VALUE"""),"FLORIDABLANCA")</f>
        <v>FLORIDABLANCA</v>
      </c>
      <c r="D6600" s="15" t="str">
        <f>IFERROR(__xludf.DUMMYFUNCTION("""COMPUTED_VALUE"""),"BOGOTÁ")</f>
        <v>BOGOTÁ</v>
      </c>
      <c r="E6600" s="15" t="str">
        <f>IFERROR(__xludf.DUMMYFUNCTION("""COMPUTED_VALUE"""),"Asociacion Agropecuaria Juana Maria")</f>
        <v>Asociacion Agropecuaria Juana Maria</v>
      </c>
      <c r="F6600" s="17" t="str">
        <f>IFERROR(__xludf.DUMMYFUNCTION("""COMPUTED_VALUE"""),"Calle 19 #11-37 Guanatá FLORIDABLANCA")</f>
        <v>Calle 19 #11-37 Guanatá FLORIDABLANCA</v>
      </c>
      <c r="G6600" s="15" t="str">
        <f>IFERROR(__xludf.DUMMYFUNCTION("""COMPUTED_VALUE"""),"Claudia Gonzalez")</f>
        <v>Claudia Gonzalez</v>
      </c>
      <c r="H6600" s="16">
        <f>IFERROR(__xludf.DUMMYFUNCTION("""COMPUTED_VALUE"""),15291.0)</f>
        <v>15291</v>
      </c>
      <c r="I6600" s="18">
        <f>IFERROR(__xludf.DUMMYFUNCTION("""COMPUTED_VALUE"""),12.0)</f>
        <v>12</v>
      </c>
      <c r="J6600" s="18">
        <f>IFERROR(__xludf.DUMMYFUNCTION("""COMPUTED_VALUE"""),37.0)</f>
        <v>37</v>
      </c>
      <c r="K6600" s="18">
        <f>IFERROR(__xludf.DUMMYFUNCTION("""COMPUTED_VALUE"""),24.0)</f>
        <v>24</v>
      </c>
      <c r="L6600" s="17">
        <f>IFERROR(__xludf.DUMMYFUNCTION("""COMPUTED_VALUE"""),3.002802001E9)</f>
        <v>3002802001</v>
      </c>
      <c r="M6600" s="17" t="str">
        <f>IFERROR(__xludf.DUMMYFUNCTION("""COMPUTED_VALUE"""),"#REF!")</f>
        <v>#REF!</v>
      </c>
      <c r="N6600" s="17"/>
      <c r="O6600" s="17"/>
      <c r="P6600" s="17" t="b">
        <f>IFERROR(__xludf.DUMMYFUNCTION("""COMPUTED_VALUE"""),TRUE)</f>
        <v>1</v>
      </c>
      <c r="Q6600" s="20">
        <f>IFERROR(__xludf.DUMMYFUNCTION("""COMPUTED_VALUE"""),45188.617990011575)</f>
        <v>45188.61799</v>
      </c>
      <c r="R6600" s="22" t="str">
        <f>IFERROR(__xludf.DUMMYFUNCTION("""COMPUTED_VALUE"""),"")</f>
        <v/>
      </c>
    </row>
    <row r="6601">
      <c r="A6601" s="15">
        <f>IFERROR(__xludf.DUMMYFUNCTION("""COMPUTED_VALUE"""),45188.0)</f>
        <v>45188</v>
      </c>
      <c r="B6601" s="16" t="str">
        <f>IFERROR(__xludf.DUMMYFUNCTION("""COMPUTED_VALUE"""),"Envia")</f>
        <v>Envia</v>
      </c>
      <c r="C6601" s="15" t="str">
        <f>IFERROR(__xludf.DUMMYFUNCTION("""COMPUTED_VALUE"""),"IBAGUÉ")</f>
        <v>IBAGUÉ</v>
      </c>
      <c r="D6601" s="15" t="str">
        <f>IFERROR(__xludf.DUMMYFUNCTION("""COMPUTED_VALUE"""),"MEDELLÍN")</f>
        <v>MEDELLÍN</v>
      </c>
      <c r="E6601" s="15" t="str">
        <f>IFERROR(__xludf.DUMMYFUNCTION("""COMPUTED_VALUE"""),"Moloso S.A.S")</f>
        <v>Moloso S.A.S</v>
      </c>
      <c r="F6601" s="17" t="str">
        <f>IFERROR(__xludf.DUMMYFUNCTION("""COMPUTED_VALUE"""),"TRANS 19 A SUR 125 134 / RESERVAS DEL CAMPESTRE CS 32 ZONA 3")</f>
        <v>TRANS 19 A SUR 125 134 / RESERVAS DEL CAMPESTRE CS 32 ZONA 3</v>
      </c>
      <c r="G6601" s="15" t="str">
        <f>IFERROR(__xludf.DUMMYFUNCTION("""COMPUTED_VALUE"""),"LUIS FELIPE ESPINOSA CASTRO")</f>
        <v>LUIS FELIPE ESPINOSA CASTRO</v>
      </c>
      <c r="H6601" s="16">
        <f>IFERROR(__xludf.DUMMYFUNCTION("""COMPUTED_VALUE"""),15343.0)</f>
        <v>15343</v>
      </c>
      <c r="I6601" s="18">
        <f>IFERROR(__xludf.DUMMYFUNCTION("""COMPUTED_VALUE"""),17.0)</f>
        <v>17</v>
      </c>
      <c r="J6601" s="18">
        <f>IFERROR(__xludf.DUMMYFUNCTION("""COMPUTED_VALUE"""),15.0)</f>
        <v>15</v>
      </c>
      <c r="K6601" s="18">
        <f>IFERROR(__xludf.DUMMYFUNCTION("""COMPUTED_VALUE"""),28.0)</f>
        <v>28</v>
      </c>
      <c r="L6601" s="17" t="str">
        <f>IFERROR(__xludf.DUMMYFUNCTION("""COMPUTED_VALUE"""),"320 3033742")</f>
        <v>320 3033742</v>
      </c>
      <c r="M6601" s="17" t="str">
        <f>IFERROR(__xludf.DUMMYFUNCTION("""COMPUTED_VALUE"""),"#REF!")</f>
        <v>#REF!</v>
      </c>
      <c r="N6601" s="17"/>
      <c r="O6601" s="17"/>
      <c r="P6601" s="17" t="b">
        <f>IFERROR(__xludf.DUMMYFUNCTION("""COMPUTED_VALUE"""),TRUE)</f>
        <v>1</v>
      </c>
      <c r="Q6601" s="20">
        <f>IFERROR(__xludf.DUMMYFUNCTION("""COMPUTED_VALUE"""),45188.617990011575)</f>
        <v>45188.61799</v>
      </c>
      <c r="R6601" s="21" t="str">
        <f>IFERROR(__xludf.DUMMYFUNCTION("""COMPUTED_VALUE"""),"https://drive.google.com/file/d/1sxvpSU4vJtk55LS0oPRm2eVD244U6clC/view?usp=drivesdk")</f>
        <v>https://drive.google.com/file/d/1sxvpSU4vJtk55LS0oPRm2eVD244U6clC/view?usp=drivesdk</v>
      </c>
    </row>
    <row r="6602">
      <c r="A6602" s="15">
        <f>IFERROR(__xludf.DUMMYFUNCTION("""COMPUTED_VALUE"""),45188.0)</f>
        <v>45188</v>
      </c>
      <c r="B6602" s="16" t="str">
        <f>IFERROR(__xludf.DUMMYFUNCTION("""COMPUTED_VALUE"""),"Envia")</f>
        <v>Envia</v>
      </c>
      <c r="C6602" s="15" t="str">
        <f>IFERROR(__xludf.DUMMYFUNCTION("""COMPUTED_VALUE"""),"IBAGUÉ")</f>
        <v>IBAGUÉ</v>
      </c>
      <c r="D6602" s="15" t="str">
        <f>IFERROR(__xludf.DUMMYFUNCTION("""COMPUTED_VALUE"""),"MEDELLÍN")</f>
        <v>MEDELLÍN</v>
      </c>
      <c r="E6602" s="15" t="str">
        <f>IFERROR(__xludf.DUMMYFUNCTION("""COMPUTED_VALUE"""),"Moloso S.A.S")</f>
        <v>Moloso S.A.S</v>
      </c>
      <c r="F6602" s="17" t="str">
        <f>IFERROR(__xludf.DUMMYFUNCTION("""COMPUTED_VALUE"""),"TRANS 19 A SUR 125 134 RESERVAS DEL CAMPESTRE CS 32 ZONA 3 / RESERVAS DEL CAMPESTRE CS 32 ZONA 3")</f>
        <v>TRANS 19 A SUR 125 134 RESERVAS DEL CAMPESTRE CS 32 ZONA 3 / RESERVAS DEL CAMPESTRE CS 32 ZONA 3</v>
      </c>
      <c r="G6602" s="15" t="str">
        <f>IFERROR(__xludf.DUMMYFUNCTION("""COMPUTED_VALUE"""),"LUIS FELIPE ESPINOSA CASTRO")</f>
        <v>LUIS FELIPE ESPINOSA CASTRO</v>
      </c>
      <c r="H6602" s="16">
        <f>IFERROR(__xludf.DUMMYFUNCTION("""COMPUTED_VALUE"""),15393.0)</f>
        <v>15393</v>
      </c>
      <c r="I6602" s="18">
        <f>IFERROR(__xludf.DUMMYFUNCTION("""COMPUTED_VALUE"""),17.0)</f>
        <v>17</v>
      </c>
      <c r="J6602" s="18">
        <f>IFERROR(__xludf.DUMMYFUNCTION("""COMPUTED_VALUE"""),15.0)</f>
        <v>15</v>
      </c>
      <c r="K6602" s="18">
        <f>IFERROR(__xludf.DUMMYFUNCTION("""COMPUTED_VALUE"""),28.0)</f>
        <v>28</v>
      </c>
      <c r="L6602" s="17" t="str">
        <f>IFERROR(__xludf.DUMMYFUNCTION("""COMPUTED_VALUE"""),"320 3033742")</f>
        <v>320 3033742</v>
      </c>
      <c r="M6602" s="17" t="str">
        <f>IFERROR(__xludf.DUMMYFUNCTION("""COMPUTED_VALUE"""),"#REF!")</f>
        <v>#REF!</v>
      </c>
      <c r="N6602" s="17"/>
      <c r="O6602" s="17"/>
      <c r="P6602" s="17" t="b">
        <f>IFERROR(__xludf.DUMMYFUNCTION("""COMPUTED_VALUE"""),TRUE)</f>
        <v>1</v>
      </c>
      <c r="Q6602" s="20">
        <f>IFERROR(__xludf.DUMMYFUNCTION("""COMPUTED_VALUE"""),45188.68639520834)</f>
        <v>45188.6864</v>
      </c>
      <c r="R6602" s="21" t="str">
        <f>IFERROR(__xludf.DUMMYFUNCTION("""COMPUTED_VALUE"""),"https://drive.google.com/file/d/1j4ZGPneaGxWJp32_IzanxPVgQXroMjQA/view?usp=drivesdk")</f>
        <v>https://drive.google.com/file/d/1j4ZGPneaGxWJp32_IzanxPVgQXroMjQA/view?usp=drivesdk</v>
      </c>
    </row>
    <row r="6603">
      <c r="A6603" s="15">
        <f>IFERROR(__xludf.DUMMYFUNCTION("""COMPUTED_VALUE"""),45188.0)</f>
        <v>45188</v>
      </c>
      <c r="B6603" s="16" t="str">
        <f>IFERROR(__xludf.DUMMYFUNCTION("""COMPUTED_VALUE"""),"Envia")</f>
        <v>Envia</v>
      </c>
      <c r="C6603" s="15" t="str">
        <f>IFERROR(__xludf.DUMMYFUNCTION("""COMPUTED_VALUE"""),"ITAGÜI")</f>
        <v>ITAGÜI</v>
      </c>
      <c r="D6603" s="15" t="str">
        <f>IFERROR(__xludf.DUMMYFUNCTION("""COMPUTED_VALUE"""),"BOGOTÁ")</f>
        <v>BOGOTÁ</v>
      </c>
      <c r="E6603" s="15" t="str">
        <f>IFERROR(__xludf.DUMMYFUNCTION("""COMPUTED_VALUE"""),"Evamazzita")</f>
        <v>Evamazzita</v>
      </c>
      <c r="F6603" s="17" t="str">
        <f>IFERROR(__xludf.DUMMYFUNCTION("""COMPUTED_VALUE"""),"CALLE 39#49-49 / TORRE HUMANITAS APTO. 1402  LA INDEPENDENCIA")</f>
        <v>CALLE 39#49-49 / TORRE HUMANITAS APTO. 1402  LA INDEPENDENCIA</v>
      </c>
      <c r="G6603" s="15" t="str">
        <f>IFERROR(__xludf.DUMMYFUNCTION("""COMPUTED_VALUE"""),"SANDRA ALVAREZ")</f>
        <v>SANDRA ALVAREZ</v>
      </c>
      <c r="H6603" s="16">
        <f>IFERROR(__xludf.DUMMYFUNCTION("""COMPUTED_VALUE"""),15376.0)</f>
        <v>15376</v>
      </c>
      <c r="I6603" s="18">
        <f>IFERROR(__xludf.DUMMYFUNCTION("""COMPUTED_VALUE"""),1.0)</f>
        <v>1</v>
      </c>
      <c r="J6603" s="18">
        <f>IFERROR(__xludf.DUMMYFUNCTION("""COMPUTED_VALUE"""),1.0)</f>
        <v>1</v>
      </c>
      <c r="K6603" s="18">
        <f>IFERROR(__xludf.DUMMYFUNCTION("""COMPUTED_VALUE"""),1.0)</f>
        <v>1</v>
      </c>
      <c r="L6603" s="17">
        <f>IFERROR(__xludf.DUMMYFUNCTION("""COMPUTED_VALUE"""),3.113608587E9)</f>
        <v>3113608587</v>
      </c>
      <c r="M6603" s="17" t="str">
        <f>IFERROR(__xludf.DUMMYFUNCTION("""COMPUTED_VALUE"""),"#REF!")</f>
        <v>#REF!</v>
      </c>
      <c r="N6603" s="17"/>
      <c r="O6603" s="17"/>
      <c r="P6603" s="17" t="b">
        <f>IFERROR(__xludf.DUMMYFUNCTION("""COMPUTED_VALUE"""),TRUE)</f>
        <v>1</v>
      </c>
      <c r="Q6603" s="20">
        <f>IFERROR(__xludf.DUMMYFUNCTION("""COMPUTED_VALUE"""),45188.68628357639)</f>
        <v>45188.68628</v>
      </c>
      <c r="R6603" s="21" t="str">
        <f>IFERROR(__xludf.DUMMYFUNCTION("""COMPUTED_VALUE"""),"https://drive.google.com/file/d/15boyecByv-TO2wiARtv_6p73cto0zYNb/view?usp=drivesdk")</f>
        <v>https://drive.google.com/file/d/15boyecByv-TO2wiARtv_6p73cto0zYNb/view?usp=drivesdk</v>
      </c>
    </row>
    <row r="6604">
      <c r="A6604" s="15">
        <f>IFERROR(__xludf.DUMMYFUNCTION("""COMPUTED_VALUE"""),45188.0)</f>
        <v>45188</v>
      </c>
      <c r="B6604" s="16" t="str">
        <f>IFERROR(__xludf.DUMMYFUNCTION("""COMPUTED_VALUE"""),"Envia")</f>
        <v>Envia</v>
      </c>
      <c r="C6604" s="15" t="str">
        <f>IFERROR(__xludf.DUMMYFUNCTION("""COMPUTED_VALUE"""),"ITAGÜI")</f>
        <v>ITAGÜI</v>
      </c>
      <c r="D6604" s="15" t="str">
        <f>IFERROR(__xludf.DUMMYFUNCTION("""COMPUTED_VALUE"""),"BOGOTÁ")</f>
        <v>BOGOTÁ</v>
      </c>
      <c r="E6604" s="15" t="str">
        <f>IFERROR(__xludf.DUMMYFUNCTION("""COMPUTED_VALUE"""),"Evamazzita")</f>
        <v>Evamazzita</v>
      </c>
      <c r="F6604" s="17" t="str">
        <f>IFERROR(__xludf.DUMMYFUNCTION("""COMPUTED_VALUE"""),"CRA 53 No. 75AA SUR 90 AP 303 ED. SANTA CATALINA (CERCA A LA CASA FRANCISCANA POR EL MALL SURAMERICA / AP 303 ED. SANTA CATALINA")</f>
        <v>CRA 53 No. 75AA SUR 90 AP 303 ED. SANTA CATALINA (CERCA A LA CASA FRANCISCANA POR EL MALL SURAMERICA / AP 303 ED. SANTA CATALINA</v>
      </c>
      <c r="G6604" s="15" t="str">
        <f>IFERROR(__xludf.DUMMYFUNCTION("""COMPUTED_VALUE"""),"MARIA ELENA CONTRERAS MATTOS")</f>
        <v>MARIA ELENA CONTRERAS MATTOS</v>
      </c>
      <c r="H6604" s="16">
        <f>IFERROR(__xludf.DUMMYFUNCTION("""COMPUTED_VALUE"""),15375.0)</f>
        <v>15375</v>
      </c>
      <c r="I6604" s="18">
        <f>IFERROR(__xludf.DUMMYFUNCTION("""COMPUTED_VALUE"""),1.0)</f>
        <v>1</v>
      </c>
      <c r="J6604" s="18">
        <f>IFERROR(__xludf.DUMMYFUNCTION("""COMPUTED_VALUE"""),1.0)</f>
        <v>1</v>
      </c>
      <c r="K6604" s="18">
        <f>IFERROR(__xludf.DUMMYFUNCTION("""COMPUTED_VALUE"""),1.0)</f>
        <v>1</v>
      </c>
      <c r="L6604" s="17">
        <f>IFERROR(__xludf.DUMMYFUNCTION("""COMPUTED_VALUE"""),3.165204659E9)</f>
        <v>3165204659</v>
      </c>
      <c r="M6604" s="17" t="str">
        <f>IFERROR(__xludf.DUMMYFUNCTION("""COMPUTED_VALUE"""),"#REF!")</f>
        <v>#REF!</v>
      </c>
      <c r="N6604" s="17"/>
      <c r="O6604" s="17"/>
      <c r="P6604" s="17" t="b">
        <f>IFERROR(__xludf.DUMMYFUNCTION("""COMPUTED_VALUE"""),TRUE)</f>
        <v>1</v>
      </c>
      <c r="Q6604" s="20">
        <f>IFERROR(__xludf.DUMMYFUNCTION("""COMPUTED_VALUE"""),45188.652591736114)</f>
        <v>45188.65259</v>
      </c>
      <c r="R6604" s="21" t="str">
        <f>IFERROR(__xludf.DUMMYFUNCTION("""COMPUTED_VALUE"""),"https://drive.google.com/file/d/1agYlkSbBAgjZ5H0ibchxHb-OXlllzGlH/view?usp=drivesdk")</f>
        <v>https://drive.google.com/file/d/1agYlkSbBAgjZ5H0ibchxHb-OXlllzGlH/view?usp=drivesdk</v>
      </c>
    </row>
    <row r="6605">
      <c r="A6605" s="15">
        <f>IFERROR(__xludf.DUMMYFUNCTION("""COMPUTED_VALUE"""),45188.0)</f>
        <v>45188</v>
      </c>
      <c r="B6605" s="16" t="str">
        <f>IFERROR(__xludf.DUMMYFUNCTION("""COMPUTED_VALUE"""),"Envia")</f>
        <v>Envia</v>
      </c>
      <c r="C6605" s="15" t="str">
        <f>IFERROR(__xludf.DUMMYFUNCTION("""COMPUTED_VALUE"""),"MANIZALES")</f>
        <v>MANIZALES</v>
      </c>
      <c r="D6605" s="15" t="str">
        <f>IFERROR(__xludf.DUMMYFUNCTION("""COMPUTED_VALUE"""),"MEDELLÍN")</f>
        <v>MEDELLÍN</v>
      </c>
      <c r="E6605" s="15" t="str">
        <f>IFERROR(__xludf.DUMMYFUNCTION("""COMPUTED_VALUE"""),"AREPAS LA MARY")</f>
        <v>AREPAS LA MARY</v>
      </c>
      <c r="F6605" s="17" t="str">
        <f>IFERROR(__xludf.DUMMYFUNCTION("""COMPUTED_VALUE"""),"av alberto mendoza hoyos n 86-03 / casa 33")</f>
        <v>av alberto mendoza hoyos n 86-03 / casa 33</v>
      </c>
      <c r="G6605" s="15" t="str">
        <f>IFERROR(__xludf.DUMMYFUNCTION("""COMPUTED_VALUE"""),"sanahora")</f>
        <v>sanahora</v>
      </c>
      <c r="H6605" s="16">
        <f>IFERROR(__xludf.DUMMYFUNCTION("""COMPUTED_VALUE"""),15359.0)</f>
        <v>15359</v>
      </c>
      <c r="I6605" s="18">
        <f>IFERROR(__xludf.DUMMYFUNCTION("""COMPUTED_VALUE"""),89.0)</f>
        <v>89</v>
      </c>
      <c r="J6605" s="18">
        <f>IFERROR(__xludf.DUMMYFUNCTION("""COMPUTED_VALUE"""),1.0)</f>
        <v>1</v>
      </c>
      <c r="K6605" s="18">
        <f>IFERROR(__xludf.DUMMYFUNCTION("""COMPUTED_VALUE"""),10.0)</f>
        <v>10</v>
      </c>
      <c r="L6605" s="17" t="str">
        <f>IFERROR(__xludf.DUMMYFUNCTION("""COMPUTED_VALUE"""),"314 8680722")</f>
        <v>314 8680722</v>
      </c>
      <c r="M6605" s="17" t="str">
        <f>IFERROR(__xludf.DUMMYFUNCTION("""COMPUTED_VALUE"""),"#REF!")</f>
        <v>#REF!</v>
      </c>
      <c r="N6605" s="17"/>
      <c r="O6605" s="17"/>
      <c r="P6605" s="17" t="b">
        <f>IFERROR(__xludf.DUMMYFUNCTION("""COMPUTED_VALUE"""),TRUE)</f>
        <v>1</v>
      </c>
      <c r="Q6605" s="20">
        <f>IFERROR(__xludf.DUMMYFUNCTION("""COMPUTED_VALUE"""),45188.617990011575)</f>
        <v>45188.61799</v>
      </c>
      <c r="R6605" s="21" t="str">
        <f>IFERROR(__xludf.DUMMYFUNCTION("""COMPUTED_VALUE"""),"https://drive.google.com/file/d/1CuCTBXDxf_GNNyI8TkNWeQ8D3qXLE7EE/view?usp=drivesdk")</f>
        <v>https://drive.google.com/file/d/1CuCTBXDxf_GNNyI8TkNWeQ8D3qXLE7EE/view?usp=drivesdk</v>
      </c>
    </row>
    <row r="6606">
      <c r="A6606" s="15">
        <f>IFERROR(__xludf.DUMMYFUNCTION("""COMPUTED_VALUE"""),45188.0)</f>
        <v>45188</v>
      </c>
      <c r="B6606" s="16" t="str">
        <f>IFERROR(__xludf.DUMMYFUNCTION("""COMPUTED_VALUE"""),"Envia")</f>
        <v>Envia</v>
      </c>
      <c r="C6606" s="15" t="str">
        <f>IFERROR(__xludf.DUMMYFUNCTION("""COMPUTED_VALUE"""),"MANIZALES")</f>
        <v>MANIZALES</v>
      </c>
      <c r="D6606" s="15" t="str">
        <f>IFERROR(__xludf.DUMMYFUNCTION("""COMPUTED_VALUE"""),"MEDELLÍN")</f>
        <v>MEDELLÍN</v>
      </c>
      <c r="E6606" s="15" t="str">
        <f>IFERROR(__xludf.DUMMYFUNCTION("""COMPUTED_VALUE"""),"Todo Bufala")</f>
        <v>Todo Bufala</v>
      </c>
      <c r="F6606" s="17" t="str">
        <f>IFERROR(__xludf.DUMMYFUNCTION("""COMPUTED_VALUE"""),"Calle 66 #23B - 211 / Edifico calle larga, local 5c")</f>
        <v>Calle 66 #23B - 211 / Edifico calle larga, local 5c</v>
      </c>
      <c r="G6606" s="15" t="str">
        <f>IFERROR(__xludf.DUMMYFUNCTION("""COMPUTED_VALUE"""),"Sebastian Perez Pineda")</f>
        <v>Sebastian Perez Pineda</v>
      </c>
      <c r="H6606" s="16">
        <f>IFERROR(__xludf.DUMMYFUNCTION("""COMPUTED_VALUE"""),15300.0)</f>
        <v>15300</v>
      </c>
      <c r="I6606" s="18">
        <f>IFERROR(__xludf.DUMMYFUNCTION("""COMPUTED_VALUE"""),20.0)</f>
        <v>20</v>
      </c>
      <c r="J6606" s="18">
        <f>IFERROR(__xludf.DUMMYFUNCTION("""COMPUTED_VALUE"""),30.0)</f>
        <v>30</v>
      </c>
      <c r="K6606" s="18">
        <f>IFERROR(__xludf.DUMMYFUNCTION("""COMPUTED_VALUE"""),40.0)</f>
        <v>40</v>
      </c>
      <c r="L6606" s="17">
        <f>IFERROR(__xludf.DUMMYFUNCTION("""COMPUTED_VALUE"""),3.106974621E9)</f>
        <v>3106974621</v>
      </c>
      <c r="M6606" s="17" t="str">
        <f>IFERROR(__xludf.DUMMYFUNCTION("""COMPUTED_VALUE"""),"#REF!")</f>
        <v>#REF!</v>
      </c>
      <c r="N6606" s="17"/>
      <c r="O6606" s="17"/>
      <c r="P6606" s="17" t="b">
        <f>IFERROR(__xludf.DUMMYFUNCTION("""COMPUTED_VALUE"""),TRUE)</f>
        <v>1</v>
      </c>
      <c r="Q6606" s="20">
        <f>IFERROR(__xludf.DUMMYFUNCTION("""COMPUTED_VALUE"""),45188.688767789354)</f>
        <v>45188.68877</v>
      </c>
      <c r="R6606" s="21" t="str">
        <f>IFERROR(__xludf.DUMMYFUNCTION("""COMPUTED_VALUE"""),"https://drive.google.com/file/d/1Dib5ZfRKKGXLilbLTLo2ORFJn9WYw9XY/view?usp=drivesdk")</f>
        <v>https://drive.google.com/file/d/1Dib5ZfRKKGXLilbLTLo2ORFJn9WYw9XY/view?usp=drivesdk</v>
      </c>
    </row>
    <row r="6607">
      <c r="A6607" s="15">
        <f>IFERROR(__xludf.DUMMYFUNCTION("""COMPUTED_VALUE"""),45188.0)</f>
        <v>45188</v>
      </c>
      <c r="B6607" s="16" t="str">
        <f>IFERROR(__xludf.DUMMYFUNCTION("""COMPUTED_VALUE"""),"Envia")</f>
        <v>Envia</v>
      </c>
      <c r="C6607" s="15" t="str">
        <f>IFERROR(__xludf.DUMMYFUNCTION("""COMPUTED_VALUE"""),"MEDELLÍN")</f>
        <v>MEDELLÍN</v>
      </c>
      <c r="D6607" s="15" t="str">
        <f>IFERROR(__xludf.DUMMYFUNCTION("""COMPUTED_VALUE"""),"BOGOTÁ")</f>
        <v>BOGOTÁ</v>
      </c>
      <c r="E6607" s="15" t="str">
        <f>IFERROR(__xludf.DUMMYFUNCTION("""COMPUTED_VALUE"""),"Evamazzita")</f>
        <v>Evamazzita</v>
      </c>
      <c r="F6607" s="17" t="str">
        <f>IFERROR(__xludf.DUMMYFUNCTION("""COMPUTED_VALUE"""),"Cll 77 sur # 50 a 184 / Viña del mar Suramérica  Apto 1221 torre 6  Barrio Suramérica  La Estrella")</f>
        <v>Cll 77 sur # 50 a 184 / Viña del mar Suramérica  Apto 1221 torre 6  Barrio Suramérica  La Estrella</v>
      </c>
      <c r="G6607" s="15" t="str">
        <f>IFERROR(__xludf.DUMMYFUNCTION("""COMPUTED_VALUE"""),"ALEJANDRA ACOSTA MORALES")</f>
        <v>ALEJANDRA ACOSTA MORALES</v>
      </c>
      <c r="H6607" s="16">
        <f>IFERROR(__xludf.DUMMYFUNCTION("""COMPUTED_VALUE"""),15379.0)</f>
        <v>15379</v>
      </c>
      <c r="I6607" s="18">
        <f>IFERROR(__xludf.DUMMYFUNCTION("""COMPUTED_VALUE"""),1.0)</f>
        <v>1</v>
      </c>
      <c r="J6607" s="18">
        <f>IFERROR(__xludf.DUMMYFUNCTION("""COMPUTED_VALUE"""),1.0)</f>
        <v>1</v>
      </c>
      <c r="K6607" s="18">
        <f>IFERROR(__xludf.DUMMYFUNCTION("""COMPUTED_VALUE"""),1.0)</f>
        <v>1</v>
      </c>
      <c r="L6607" s="17">
        <f>IFERROR(__xludf.DUMMYFUNCTION("""COMPUTED_VALUE"""),3.023734592E9)</f>
        <v>3023734592</v>
      </c>
      <c r="M6607" s="17" t="str">
        <f>IFERROR(__xludf.DUMMYFUNCTION("""COMPUTED_VALUE"""),"#REF!")</f>
        <v>#REF!</v>
      </c>
      <c r="N6607" s="17"/>
      <c r="O6607" s="17"/>
      <c r="P6607" s="17" t="b">
        <f>IFERROR(__xludf.DUMMYFUNCTION("""COMPUTED_VALUE"""),TRUE)</f>
        <v>1</v>
      </c>
      <c r="Q6607" s="20">
        <f>IFERROR(__xludf.DUMMYFUNCTION("""COMPUTED_VALUE"""),45188.686068587966)</f>
        <v>45188.68607</v>
      </c>
      <c r="R6607" s="21" t="str">
        <f>IFERROR(__xludf.DUMMYFUNCTION("""COMPUTED_VALUE"""),"https://drive.google.com/file/d/1L1Y0RiHTcZqRVhg1bmiAl9qTjgoDb59L/view?usp=drivesdk")</f>
        <v>https://drive.google.com/file/d/1L1Y0RiHTcZqRVhg1bmiAl9qTjgoDb59L/view?usp=drivesdk</v>
      </c>
    </row>
    <row r="6608">
      <c r="A6608" s="15">
        <f>IFERROR(__xludf.DUMMYFUNCTION("""COMPUTED_VALUE"""),45188.0)</f>
        <v>45188</v>
      </c>
      <c r="B6608" s="16" t="str">
        <f>IFERROR(__xludf.DUMMYFUNCTION("""COMPUTED_VALUE"""),"Envia")</f>
        <v>Envia</v>
      </c>
      <c r="C6608" s="15" t="str">
        <f>IFERROR(__xludf.DUMMYFUNCTION("""COMPUTED_VALUE"""),"MEDELLÍN")</f>
        <v>MEDELLÍN</v>
      </c>
      <c r="D6608" s="15" t="str">
        <f>IFERROR(__xludf.DUMMYFUNCTION("""COMPUTED_VALUE"""),"BOGOTÁ")</f>
        <v>BOGOTÁ</v>
      </c>
      <c r="E6608" s="15" t="str">
        <f>IFERROR(__xludf.DUMMYFUNCTION("""COMPUTED_VALUE"""),"Evamazzita")</f>
        <v>Evamazzita</v>
      </c>
      <c r="F6608" s="17" t="str">
        <f>IFERROR(__xludf.DUMMYFUNCTION("""COMPUTED_VALUE"""),"CRA 15 BA No. 34D - 44 / INT 201")</f>
        <v>CRA 15 BA No. 34D - 44 / INT 201</v>
      </c>
      <c r="G6608" s="15" t="str">
        <f>IFERROR(__xludf.DUMMYFUNCTION("""COMPUTED_VALUE"""),"DANIELA BEDOYA BLANDON")</f>
        <v>DANIELA BEDOYA BLANDON</v>
      </c>
      <c r="H6608" s="16">
        <f>IFERROR(__xludf.DUMMYFUNCTION("""COMPUTED_VALUE"""),15370.0)</f>
        <v>15370</v>
      </c>
      <c r="I6608" s="18">
        <f>IFERROR(__xludf.DUMMYFUNCTION("""COMPUTED_VALUE"""),1.0)</f>
        <v>1</v>
      </c>
      <c r="J6608" s="18">
        <f>IFERROR(__xludf.DUMMYFUNCTION("""COMPUTED_VALUE"""),1.0)</f>
        <v>1</v>
      </c>
      <c r="K6608" s="18">
        <f>IFERROR(__xludf.DUMMYFUNCTION("""COMPUTED_VALUE"""),1.0)</f>
        <v>1</v>
      </c>
      <c r="L6608" s="17">
        <f>IFERROR(__xludf.DUMMYFUNCTION("""COMPUTED_VALUE"""),3.14672822E9)</f>
        <v>3146728220</v>
      </c>
      <c r="M6608" s="17" t="str">
        <f>IFERROR(__xludf.DUMMYFUNCTION("""COMPUTED_VALUE"""),"#REF!")</f>
        <v>#REF!</v>
      </c>
      <c r="N6608" s="17"/>
      <c r="O6608" s="17"/>
      <c r="P6608" s="17" t="b">
        <f>IFERROR(__xludf.DUMMYFUNCTION("""COMPUTED_VALUE"""),TRUE)</f>
        <v>1</v>
      </c>
      <c r="Q6608" s="20">
        <f>IFERROR(__xludf.DUMMYFUNCTION("""COMPUTED_VALUE"""),45188.686220613425)</f>
        <v>45188.68622</v>
      </c>
      <c r="R6608" s="22" t="str">
        <f>IFERROR(__xludf.DUMMYFUNCTION("""COMPUTED_VALUE"""),"")</f>
        <v/>
      </c>
    </row>
    <row r="6609">
      <c r="A6609" s="15">
        <f>IFERROR(__xludf.DUMMYFUNCTION("""COMPUTED_VALUE"""),45188.0)</f>
        <v>45188</v>
      </c>
      <c r="B6609" s="16" t="str">
        <f>IFERROR(__xludf.DUMMYFUNCTION("""COMPUTED_VALUE"""),"Envia")</f>
        <v>Envia</v>
      </c>
      <c r="C6609" s="15" t="str">
        <f>IFERROR(__xludf.DUMMYFUNCTION("""COMPUTED_VALUE"""),"MEDELLÍN")</f>
        <v>MEDELLÍN</v>
      </c>
      <c r="D6609" s="15" t="str">
        <f>IFERROR(__xludf.DUMMYFUNCTION("""COMPUTED_VALUE"""),"BOGOTÁ")</f>
        <v>BOGOTÁ</v>
      </c>
      <c r="E6609" s="15" t="str">
        <f>IFERROR(__xludf.DUMMYFUNCTION("""COMPUTED_VALUE"""),"Ins. Alimento Vital")</f>
        <v>Ins. Alimento Vital</v>
      </c>
      <c r="F6609" s="17" t="str">
        <f>IFERROR(__xludf.DUMMYFUNCTION("""COMPUTED_VALUE"""),"CR 44 26 27 / BODEGA / EL POBLADO")</f>
        <v>CR 44 26 27 / BODEGA / EL POBLADO</v>
      </c>
      <c r="G6609" s="15" t="str">
        <f>IFERROR(__xludf.DUMMYFUNCTION("""COMPUTED_VALUE"""),"VELOCITY MEDELLIN")</f>
        <v>VELOCITY MEDELLIN</v>
      </c>
      <c r="H6609" s="16">
        <f>IFERROR(__xludf.DUMMYFUNCTION("""COMPUTED_VALUE"""),15349.0)</f>
        <v>15349</v>
      </c>
      <c r="I6609" s="18">
        <f>IFERROR(__xludf.DUMMYFUNCTION("""COMPUTED_VALUE"""),1.0)</f>
        <v>1</v>
      </c>
      <c r="J6609" s="18">
        <f>IFERROR(__xludf.DUMMYFUNCTION("""COMPUTED_VALUE"""),1.0)</f>
        <v>1</v>
      </c>
      <c r="K6609" s="18">
        <f>IFERROR(__xludf.DUMMYFUNCTION("""COMPUTED_VALUE"""),1.0)</f>
        <v>1</v>
      </c>
      <c r="L6609" s="17">
        <f>IFERROR(__xludf.DUMMYFUNCTION("""COMPUTED_VALUE"""),3.214683372E9)</f>
        <v>3214683372</v>
      </c>
      <c r="M6609" s="17" t="str">
        <f>IFERROR(__xludf.DUMMYFUNCTION("""COMPUTED_VALUE"""),"#REF!")</f>
        <v>#REF!</v>
      </c>
      <c r="N6609" s="17"/>
      <c r="O6609" s="17"/>
      <c r="P6609" s="17" t="b">
        <f>IFERROR(__xludf.DUMMYFUNCTION("""COMPUTED_VALUE"""),TRUE)</f>
        <v>1</v>
      </c>
      <c r="Q6609" s="20">
        <f>IFERROR(__xludf.DUMMYFUNCTION("""COMPUTED_VALUE"""),45188.65488346065)</f>
        <v>45188.65488</v>
      </c>
      <c r="R6609" s="22" t="str">
        <f>IFERROR(__xludf.DUMMYFUNCTION("""COMPUTED_VALUE"""),"")</f>
        <v/>
      </c>
    </row>
    <row r="6610">
      <c r="A6610" s="15">
        <f>IFERROR(__xludf.DUMMYFUNCTION("""COMPUTED_VALUE"""),45188.0)</f>
        <v>45188</v>
      </c>
      <c r="B6610" s="16" t="str">
        <f>IFERROR(__xludf.DUMMYFUNCTION("""COMPUTED_VALUE"""),"Envia")</f>
        <v>Envia</v>
      </c>
      <c r="C6610" s="15" t="str">
        <f>IFERROR(__xludf.DUMMYFUNCTION("""COMPUTED_VALUE"""),"MEDELLÍN")</f>
        <v>MEDELLÍN</v>
      </c>
      <c r="D6610" s="15" t="str">
        <f>IFERROR(__xludf.DUMMYFUNCTION("""COMPUTED_VALUE"""),"BOGOTÁ")</f>
        <v>BOGOTÁ</v>
      </c>
      <c r="E6610" s="15" t="str">
        <f>IFERROR(__xludf.DUMMYFUNCTION("""COMPUTED_VALUE"""),"Loomifoods")</f>
        <v>Loomifoods</v>
      </c>
      <c r="F6610" s="17" t="str">
        <f>IFERROR(__xludf.DUMMYFUNCTION("""COMPUTED_VALUE"""),"Cra 15 BA no. 34D - 44 / Interior 201 / Medellin")</f>
        <v>Cra 15 BA no. 34D - 44 / Interior 201 / Medellin</v>
      </c>
      <c r="G6610" s="15" t="str">
        <f>IFERROR(__xludf.DUMMYFUNCTION("""COMPUTED_VALUE"""),"Daniela Bedoya")</f>
        <v>Daniela Bedoya</v>
      </c>
      <c r="H6610" s="16">
        <f>IFERROR(__xludf.DUMMYFUNCTION("""COMPUTED_VALUE"""),15354.0)</f>
        <v>15354</v>
      </c>
      <c r="I6610" s="18">
        <f>IFERROR(__xludf.DUMMYFUNCTION("""COMPUTED_VALUE"""),19.0)</f>
        <v>19</v>
      </c>
      <c r="J6610" s="18">
        <f>IFERROR(__xludf.DUMMYFUNCTION("""COMPUTED_VALUE"""),5.0)</f>
        <v>5</v>
      </c>
      <c r="K6610" s="18">
        <f>IFERROR(__xludf.DUMMYFUNCTION("""COMPUTED_VALUE"""),16.0)</f>
        <v>16</v>
      </c>
      <c r="L6610" s="17">
        <f>IFERROR(__xludf.DUMMYFUNCTION("""COMPUTED_VALUE"""),3.14672822E9)</f>
        <v>3146728220</v>
      </c>
      <c r="M6610" s="17" t="str">
        <f>IFERROR(__xludf.DUMMYFUNCTION("""COMPUTED_VALUE"""),"#REF!")</f>
        <v>#REF!</v>
      </c>
      <c r="N6610" s="17"/>
      <c r="O6610" s="17"/>
      <c r="P6610" s="17" t="b">
        <f>IFERROR(__xludf.DUMMYFUNCTION("""COMPUTED_VALUE"""),TRUE)</f>
        <v>1</v>
      </c>
      <c r="Q6610" s="20">
        <f>IFERROR(__xludf.DUMMYFUNCTION("""COMPUTED_VALUE"""),45188.65247797454)</f>
        <v>45188.65248</v>
      </c>
      <c r="R6610" s="22" t="str">
        <f>IFERROR(__xludf.DUMMYFUNCTION("""COMPUTED_VALUE"""),"")</f>
        <v/>
      </c>
    </row>
    <row r="6611">
      <c r="A6611" s="15">
        <f>IFERROR(__xludf.DUMMYFUNCTION("""COMPUTED_VALUE"""),45188.0)</f>
        <v>45188</v>
      </c>
      <c r="B6611" s="16" t="str">
        <f>IFERROR(__xludf.DUMMYFUNCTION("""COMPUTED_VALUE"""),"Envia")</f>
        <v>Envia</v>
      </c>
      <c r="C6611" s="15" t="str">
        <f>IFERROR(__xludf.DUMMYFUNCTION("""COMPUTED_VALUE"""),"MEDELLÍN")</f>
        <v>MEDELLÍN</v>
      </c>
      <c r="D6611" s="15" t="str">
        <f>IFERROR(__xludf.DUMMYFUNCTION("""COMPUTED_VALUE"""),"BOGOTÁ")</f>
        <v>BOGOTÁ</v>
      </c>
      <c r="E6611" s="15" t="str">
        <f>IFERROR(__xludf.DUMMYFUNCTION("""COMPUTED_VALUE"""),"Lunchy Kids")</f>
        <v>Lunchy Kids</v>
      </c>
      <c r="F6611" s="17" t="str">
        <f>IFERROR(__xludf.DUMMYFUNCTION("""COMPUTED_VALUE"""),"Calle 34C #88B-66  / Apto 715   / Medellin")</f>
        <v>Calle 34C #88B-66  / Apto 715   / Medellin</v>
      </c>
      <c r="G6611" s="15" t="str">
        <f>IFERROR(__xludf.DUMMYFUNCTION("""COMPUTED_VALUE"""),"Laura Martinez")</f>
        <v>Laura Martinez</v>
      </c>
      <c r="H6611" s="16">
        <f>IFERROR(__xludf.DUMMYFUNCTION("""COMPUTED_VALUE"""),15306.0)</f>
        <v>15306</v>
      </c>
      <c r="I6611" s="18">
        <f>IFERROR(__xludf.DUMMYFUNCTION("""COMPUTED_VALUE"""),24.0)</f>
        <v>24</v>
      </c>
      <c r="J6611" s="18">
        <f>IFERROR(__xludf.DUMMYFUNCTION("""COMPUTED_VALUE"""),24.0)</f>
        <v>24</v>
      </c>
      <c r="K6611" s="18">
        <f>IFERROR(__xludf.DUMMYFUNCTION("""COMPUTED_VALUE"""),22.0)</f>
        <v>22</v>
      </c>
      <c r="L6611" s="17">
        <f>IFERROR(__xludf.DUMMYFUNCTION("""COMPUTED_VALUE"""),3.014551077E9)</f>
        <v>3014551077</v>
      </c>
      <c r="M6611" s="17" t="str">
        <f>IFERROR(__xludf.DUMMYFUNCTION("""COMPUTED_VALUE"""),"#REF!")</f>
        <v>#REF!</v>
      </c>
      <c r="N6611" s="17"/>
      <c r="O6611" s="17"/>
      <c r="P6611" s="17" t="b">
        <f>IFERROR(__xludf.DUMMYFUNCTION("""COMPUTED_VALUE"""),TRUE)</f>
        <v>1</v>
      </c>
      <c r="Q6611" s="20">
        <f>IFERROR(__xludf.DUMMYFUNCTION("""COMPUTED_VALUE"""),45188.65244060185)</f>
        <v>45188.65244</v>
      </c>
      <c r="R6611" s="21" t="str">
        <f>IFERROR(__xludf.DUMMYFUNCTION("""COMPUTED_VALUE"""),"https://drive.google.com/file/d/1TrW7G4WuDtq-LB3kHT3dh5RcUNgAu3Bw/view?usp=drivesdk")</f>
        <v>https://drive.google.com/file/d/1TrW7G4WuDtq-LB3kHT3dh5RcUNgAu3Bw/view?usp=drivesdk</v>
      </c>
    </row>
    <row r="6612">
      <c r="A6612" s="15">
        <f>IFERROR(__xludf.DUMMYFUNCTION("""COMPUTED_VALUE"""),45188.0)</f>
        <v>45188</v>
      </c>
      <c r="B6612" s="16" t="str">
        <f>IFERROR(__xludf.DUMMYFUNCTION("""COMPUTED_VALUE"""),"Envia")</f>
        <v>Envia</v>
      </c>
      <c r="C6612" s="15" t="str">
        <f>IFERROR(__xludf.DUMMYFUNCTION("""COMPUTED_VALUE"""),"MEDELLÍN")</f>
        <v>MEDELLÍN</v>
      </c>
      <c r="D6612" s="15" t="str">
        <f>IFERROR(__xludf.DUMMYFUNCTION("""COMPUTED_VALUE"""),"BOGOTÁ")</f>
        <v>BOGOTÁ</v>
      </c>
      <c r="E6612" s="15" t="str">
        <f>IFERROR(__xludf.DUMMYFUNCTION("""COMPUTED_VALUE"""),"MAI ALIMENTOS S.A.S")</f>
        <v>MAI ALIMENTOS S.A.S</v>
      </c>
      <c r="F6612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6612" s="15" t="str">
        <f>IFERROR(__xludf.DUMMYFUNCTION("""COMPUTED_VALUE"""),"Novaventas")</f>
        <v>Novaventas</v>
      </c>
      <c r="H6612" s="16">
        <f>IFERROR(__xludf.DUMMYFUNCTION("""COMPUTED_VALUE"""),15302.0)</f>
        <v>15302</v>
      </c>
      <c r="I6612" s="18">
        <f>IFERROR(__xludf.DUMMYFUNCTION("""COMPUTED_VALUE"""),35.0)</f>
        <v>35</v>
      </c>
      <c r="J6612" s="18">
        <f>IFERROR(__xludf.DUMMYFUNCTION("""COMPUTED_VALUE"""),17.0)</f>
        <v>17</v>
      </c>
      <c r="K6612" s="18">
        <f>IFERROR(__xludf.DUMMYFUNCTION("""COMPUTED_VALUE"""),13.0)</f>
        <v>13</v>
      </c>
      <c r="L6612" s="17"/>
      <c r="M6612" s="17" t="str">
        <f>IFERROR(__xludf.DUMMYFUNCTION("""COMPUTED_VALUE"""),"#REF!")</f>
        <v>#REF!</v>
      </c>
      <c r="N6612" s="17"/>
      <c r="O6612" s="17"/>
      <c r="P6612" s="17" t="b">
        <f>IFERROR(__xludf.DUMMYFUNCTION("""COMPUTED_VALUE"""),TRUE)</f>
        <v>1</v>
      </c>
      <c r="Q6612" s="20">
        <f>IFERROR(__xludf.DUMMYFUNCTION("""COMPUTED_VALUE"""),45188.617990011575)</f>
        <v>45188.61799</v>
      </c>
      <c r="R6612" s="22" t="str">
        <f>IFERROR(__xludf.DUMMYFUNCTION("""COMPUTED_VALUE"""),"")</f>
        <v/>
      </c>
    </row>
    <row r="6613">
      <c r="A6613" s="15">
        <f>IFERROR(__xludf.DUMMYFUNCTION("""COMPUTED_VALUE"""),45188.0)</f>
        <v>45188</v>
      </c>
      <c r="B6613" s="16" t="str">
        <f>IFERROR(__xludf.DUMMYFUNCTION("""COMPUTED_VALUE"""),"Envia")</f>
        <v>Envia</v>
      </c>
      <c r="C6613" s="15" t="str">
        <f>IFERROR(__xludf.DUMMYFUNCTION("""COMPUTED_VALUE"""),"MEDELLÍN")</f>
        <v>MEDELLÍN</v>
      </c>
      <c r="D6613" s="15" t="str">
        <f>IFERROR(__xludf.DUMMYFUNCTION("""COMPUTED_VALUE"""),"BOGOTÁ")</f>
        <v>BOGOTÁ</v>
      </c>
      <c r="E6613" s="15" t="str">
        <f>IFERROR(__xludf.DUMMYFUNCTION("""COMPUTED_VALUE"""),"Ventura Productos Arg")</f>
        <v>Ventura Productos Arg</v>
      </c>
      <c r="F6613" s="17" t="str">
        <f>IFERROR(__xludf.DUMMYFUNCTION("""COMPUTED_VALUE"""),"Carrera 84F # 3D-150 / Torre 7  Apto 922 residencias aviva porteria aviva affinit")</f>
        <v>Carrera 84F # 3D-150 / Torre 7  Apto 922 residencias aviva porteria aviva affinit</v>
      </c>
      <c r="G6613" s="15" t="str">
        <f>IFERROR(__xludf.DUMMYFUNCTION("""COMPUTED_VALUE"""),"Luisana Cardenas")</f>
        <v>Luisana Cardenas</v>
      </c>
      <c r="H6613" s="16">
        <f>IFERROR(__xludf.DUMMYFUNCTION("""COMPUTED_VALUE"""),15346.0)</f>
        <v>15346</v>
      </c>
      <c r="I6613" s="18">
        <f>IFERROR(__xludf.DUMMYFUNCTION("""COMPUTED_VALUE"""),3.0)</f>
        <v>3</v>
      </c>
      <c r="J6613" s="18">
        <f>IFERROR(__xludf.DUMMYFUNCTION("""COMPUTED_VALUE"""),45060.0)</f>
        <v>45060</v>
      </c>
      <c r="K6613" s="18">
        <f>IFERROR(__xludf.DUMMYFUNCTION("""COMPUTED_VALUE"""),22.0)</f>
        <v>22</v>
      </c>
      <c r="L6613" s="17">
        <f>IFERROR(__xludf.DUMMYFUNCTION("""COMPUTED_VALUE"""),3.022276796E9)</f>
        <v>3022276796</v>
      </c>
      <c r="M6613" s="17" t="str">
        <f>IFERROR(__xludf.DUMMYFUNCTION("""COMPUTED_VALUE"""),"#REF!")</f>
        <v>#REF!</v>
      </c>
      <c r="N6613" s="17"/>
      <c r="O6613" s="17"/>
      <c r="P6613" s="17" t="b">
        <f>IFERROR(__xludf.DUMMYFUNCTION("""COMPUTED_VALUE"""),FALSE)</f>
        <v>0</v>
      </c>
      <c r="Q6613" s="20" t="str">
        <f>IFERROR(__xludf.DUMMYFUNCTION("""COMPUTED_VALUE"""),"")</f>
        <v/>
      </c>
      <c r="R6613" s="22" t="str">
        <f>IFERROR(__xludf.DUMMYFUNCTION("""COMPUTED_VALUE"""),"")</f>
        <v/>
      </c>
    </row>
    <row r="6614">
      <c r="A6614" s="15">
        <f>IFERROR(__xludf.DUMMYFUNCTION("""COMPUTED_VALUE"""),45188.0)</f>
        <v>45188</v>
      </c>
      <c r="B6614" s="16" t="str">
        <f>IFERROR(__xludf.DUMMYFUNCTION("""COMPUTED_VALUE"""),"Envia")</f>
        <v>Envia</v>
      </c>
      <c r="C6614" s="15" t="str">
        <f>IFERROR(__xludf.DUMMYFUNCTION("""COMPUTED_VALUE"""),"MEDELLÍN")</f>
        <v>MEDELLÍN</v>
      </c>
      <c r="D6614" s="15" t="str">
        <f>IFERROR(__xludf.DUMMYFUNCTION("""COMPUTED_VALUE"""),"BOGOTÁ")</f>
        <v>BOGOTÁ</v>
      </c>
      <c r="E6614" s="15" t="str">
        <f>IFERROR(__xludf.DUMMYFUNCTION("""COMPUTED_VALUE"""),"Viiva Fermentados")</f>
        <v>Viiva Fermentados</v>
      </c>
      <c r="F6614" s="17" t="str">
        <f>IFERROR(__xludf.DUMMYFUNCTION("""COMPUTED_VALUE"""),"Transversal 39b#77-48 / Int 302 / Avenida Nutibara - Laureles")</f>
        <v>Transversal 39b#77-48 / Int 302 / Avenida Nutibara - Laureles</v>
      </c>
      <c r="G6614" s="15" t="str">
        <f>IFERROR(__xludf.DUMMYFUNCTION("""COMPUTED_VALUE"""),"VITA INTEGRAL SAS")</f>
        <v>VITA INTEGRAL SAS</v>
      </c>
      <c r="H6614" s="16">
        <f>IFERROR(__xludf.DUMMYFUNCTION("""COMPUTED_VALUE"""),15403.0)</f>
        <v>15403</v>
      </c>
      <c r="I6614" s="18">
        <f>IFERROR(__xludf.DUMMYFUNCTION("""COMPUTED_VALUE"""),21.0)</f>
        <v>21</v>
      </c>
      <c r="J6614" s="18">
        <f>IFERROR(__xludf.DUMMYFUNCTION("""COMPUTED_VALUE"""),36.0)</f>
        <v>36</v>
      </c>
      <c r="K6614" s="18">
        <f>IFERROR(__xludf.DUMMYFUNCTION("""COMPUTED_VALUE"""),24.0)</f>
        <v>24</v>
      </c>
      <c r="L6614" s="17">
        <f>IFERROR(__xludf.DUMMYFUNCTION("""COMPUTED_VALUE"""),3.188473468E9)</f>
        <v>3188473468</v>
      </c>
      <c r="M6614" s="17" t="str">
        <f>IFERROR(__xludf.DUMMYFUNCTION("""COMPUTED_VALUE"""),"#REF!")</f>
        <v>#REF!</v>
      </c>
      <c r="N6614" s="17"/>
      <c r="O6614" s="17"/>
      <c r="P6614" s="17" t="b">
        <f>IFERROR(__xludf.DUMMYFUNCTION("""COMPUTED_VALUE"""),TRUE)</f>
        <v>1</v>
      </c>
      <c r="Q6614" s="20">
        <f>IFERROR(__xludf.DUMMYFUNCTION("""COMPUTED_VALUE"""),45188.50626625)</f>
        <v>45188.50627</v>
      </c>
      <c r="R6614" s="21" t="str">
        <f>IFERROR(__xludf.DUMMYFUNCTION("""COMPUTED_VALUE"""),"https://drive.google.com/file/d/1hUTVfPnMAXLPbFrbR7MXoNaBsnSF-mfJ/view?usp=drivesdk")</f>
        <v>https://drive.google.com/file/d/1hUTVfPnMAXLPbFrbR7MXoNaBsnSF-mfJ/view?usp=drivesdk</v>
      </c>
    </row>
    <row r="6615">
      <c r="A6615" s="15">
        <f>IFERROR(__xludf.DUMMYFUNCTION("""COMPUTED_VALUE"""),45188.0)</f>
        <v>45188</v>
      </c>
      <c r="B6615" s="16" t="str">
        <f>IFERROR(__xludf.DUMMYFUNCTION("""COMPUTED_VALUE"""),"Envia")</f>
        <v>Envia</v>
      </c>
      <c r="C6615" s="15" t="str">
        <f>IFERROR(__xludf.DUMMYFUNCTION("""COMPUTED_VALUE"""),"PEREIRA")</f>
        <v>PEREIRA</v>
      </c>
      <c r="D6615" s="15" t="str">
        <f>IFERROR(__xludf.DUMMYFUNCTION("""COMPUTED_VALUE"""),"BOGOTÁ")</f>
        <v>BOGOTÁ</v>
      </c>
      <c r="E6615" s="15" t="str">
        <f>IFERROR(__xludf.DUMMYFUNCTION("""COMPUTED_VALUE"""),"Evamazzita")</f>
        <v>Evamazzita</v>
      </c>
      <c r="F6615" s="17" t="str">
        <f>IFERROR(__xludf.DUMMYFUNCTION("""COMPUTED_VALUE"""),"Carrera 25 #85- 141 / colores de la villa Casa 1 Bloque Amarillo")</f>
        <v>Carrera 25 #85- 141 / colores de la villa Casa 1 Bloque Amarillo</v>
      </c>
      <c r="G6615" s="15" t="str">
        <f>IFERROR(__xludf.DUMMYFUNCTION("""COMPUTED_VALUE"""),"IVONNE FIGUEREDO")</f>
        <v>IVONNE FIGUEREDO</v>
      </c>
      <c r="H6615" s="16">
        <f>IFERROR(__xludf.DUMMYFUNCTION("""COMPUTED_VALUE"""),15383.0)</f>
        <v>15383</v>
      </c>
      <c r="I6615" s="18">
        <f>IFERROR(__xludf.DUMMYFUNCTION("""COMPUTED_VALUE"""),1.0)</f>
        <v>1</v>
      </c>
      <c r="J6615" s="18">
        <f>IFERROR(__xludf.DUMMYFUNCTION("""COMPUTED_VALUE"""),1.0)</f>
        <v>1</v>
      </c>
      <c r="K6615" s="18">
        <f>IFERROR(__xludf.DUMMYFUNCTION("""COMPUTED_VALUE"""),1.0)</f>
        <v>1</v>
      </c>
      <c r="L6615" s="17">
        <f>IFERROR(__xludf.DUMMYFUNCTION("""COMPUTED_VALUE"""),3.057078162E9)</f>
        <v>3057078162</v>
      </c>
      <c r="M6615" s="17" t="str">
        <f>IFERROR(__xludf.DUMMYFUNCTION("""COMPUTED_VALUE"""),"#REF!")</f>
        <v>#REF!</v>
      </c>
      <c r="N6615" s="17"/>
      <c r="O6615" s="17"/>
      <c r="P6615" s="17" t="b">
        <f>IFERROR(__xludf.DUMMYFUNCTION("""COMPUTED_VALUE"""),TRUE)</f>
        <v>1</v>
      </c>
      <c r="Q6615" s="20">
        <f>IFERROR(__xludf.DUMMYFUNCTION("""COMPUTED_VALUE"""),45188.50626625)</f>
        <v>45188.50627</v>
      </c>
      <c r="R6615" s="21" t="str">
        <f>IFERROR(__xludf.DUMMYFUNCTION("""COMPUTED_VALUE"""),"https://drive.google.com/file/d/1uqf6A44AESWqB0vGP3Z4lnzCTcX_OG53/view?usp=drivesdk")</f>
        <v>https://drive.google.com/file/d/1uqf6A44AESWqB0vGP3Z4lnzCTcX_OG53/view?usp=drivesdk</v>
      </c>
    </row>
    <row r="6616">
      <c r="A6616" s="15">
        <f>IFERROR(__xludf.DUMMYFUNCTION("""COMPUTED_VALUE"""),45188.0)</f>
        <v>45188</v>
      </c>
      <c r="B6616" s="16" t="str">
        <f>IFERROR(__xludf.DUMMYFUNCTION("""COMPUTED_VALUE"""),"Envia")</f>
        <v>Envia</v>
      </c>
      <c r="C6616" s="15" t="str">
        <f>IFERROR(__xludf.DUMMYFUNCTION("""COMPUTED_VALUE"""),"PEREIRA")</f>
        <v>PEREIRA</v>
      </c>
      <c r="D6616" s="15" t="str">
        <f>IFERROR(__xludf.DUMMYFUNCTION("""COMPUTED_VALUE"""),"BOGOTÁ")</f>
        <v>BOGOTÁ</v>
      </c>
      <c r="E6616" s="15" t="str">
        <f>IFERROR(__xludf.DUMMYFUNCTION("""COMPUTED_VALUE"""),"Karem foods")</f>
        <v>Karem foods</v>
      </c>
      <c r="F6616" s="17" t="str">
        <f>IFERROR(__xludf.DUMMYFUNCTION("""COMPUTED_VALUE"""),"calle 12 #24-02 / Ed Tirrenia Apt 602 / Edificio blanco con detalles café, amarillo, enfrente de una obra de construcción y un árbol grande")</f>
        <v>calle 12 #24-02 / Ed Tirrenia Apt 602 / Edificio blanco con detalles café, amarillo, enfrente de una obra de construcción y un árbol grande</v>
      </c>
      <c r="G6616" s="15" t="str">
        <f>IFERROR(__xludf.DUMMYFUNCTION("""COMPUTED_VALUE"""),"Badih Merheg")</f>
        <v>Badih Merheg</v>
      </c>
      <c r="H6616" s="16">
        <f>IFERROR(__xludf.DUMMYFUNCTION("""COMPUTED_VALUE"""),15366.0)</f>
        <v>15366</v>
      </c>
      <c r="I6616" s="18">
        <f>IFERROR(__xludf.DUMMYFUNCTION("""COMPUTED_VALUE"""),7.0)</f>
        <v>7</v>
      </c>
      <c r="J6616" s="18">
        <f>IFERROR(__xludf.DUMMYFUNCTION("""COMPUTED_VALUE"""),20.0)</f>
        <v>20</v>
      </c>
      <c r="K6616" s="18">
        <f>IFERROR(__xludf.DUMMYFUNCTION("""COMPUTED_VALUE"""),20.0)</f>
        <v>20</v>
      </c>
      <c r="L6616" s="17">
        <f>IFERROR(__xludf.DUMMYFUNCTION("""COMPUTED_VALUE"""),3.336075115E9)</f>
        <v>3336075115</v>
      </c>
      <c r="M6616" s="17" t="str">
        <f>IFERROR(__xludf.DUMMYFUNCTION("""COMPUTED_VALUE"""),"#REF!")</f>
        <v>#REF!</v>
      </c>
      <c r="N6616" s="17"/>
      <c r="O6616" s="17"/>
      <c r="P6616" s="17" t="b">
        <f>IFERROR(__xludf.DUMMYFUNCTION("""COMPUTED_VALUE"""),TRUE)</f>
        <v>1</v>
      </c>
      <c r="Q6616" s="20">
        <f>IFERROR(__xludf.DUMMYFUNCTION("""COMPUTED_VALUE"""),45188.617990011575)</f>
        <v>45188.61799</v>
      </c>
      <c r="R6616" s="21" t="str">
        <f>IFERROR(__xludf.DUMMYFUNCTION("""COMPUTED_VALUE"""),"https://drive.google.com/file/d/1xEAKoWeZxC7f4BECNb2ZQHdmgl_Z80Jc/view?usp=drivesdk")</f>
        <v>https://drive.google.com/file/d/1xEAKoWeZxC7f4BECNb2ZQHdmgl_Z80Jc/view?usp=drivesdk</v>
      </c>
    </row>
    <row r="6617">
      <c r="A6617" s="17" t="str">
        <f>IFERROR(__xludf.DUMMYFUNCTION("""COMPUTED_VALUE"""),"")</f>
        <v/>
      </c>
      <c r="B6617" s="17" t="str">
        <f>IFERROR(__xludf.DUMMYFUNCTION("""COMPUTED_VALUE"""),"")</f>
        <v/>
      </c>
      <c r="C6617" s="17" t="str">
        <f>IFERROR(__xludf.DUMMYFUNCTION("""COMPUTED_VALUE"""),"")</f>
        <v/>
      </c>
      <c r="D6617" s="17" t="str">
        <f>IFERROR(__xludf.DUMMYFUNCTION("""COMPUTED_VALUE"""),"")</f>
        <v/>
      </c>
      <c r="E6617" s="17" t="str">
        <f>IFERROR(__xludf.DUMMYFUNCTION("""COMPUTED_VALUE"""),"")</f>
        <v/>
      </c>
      <c r="F6617" s="17" t="str">
        <f>IFERROR(__xludf.DUMMYFUNCTION("""COMPUTED_VALUE"""),"")</f>
        <v/>
      </c>
      <c r="G6617" s="17" t="str">
        <f>IFERROR(__xludf.DUMMYFUNCTION("""COMPUTED_VALUE"""),"")</f>
        <v/>
      </c>
      <c r="H6617" s="17" t="str">
        <f>IFERROR(__xludf.DUMMYFUNCTION("""COMPUTED_VALUE"""),"")</f>
        <v/>
      </c>
      <c r="I6617" s="17" t="str">
        <f>IFERROR(__xludf.DUMMYFUNCTION("""COMPUTED_VALUE"""),"")</f>
        <v/>
      </c>
      <c r="J6617" s="17" t="str">
        <f>IFERROR(__xludf.DUMMYFUNCTION("""COMPUTED_VALUE"""),"")</f>
        <v/>
      </c>
      <c r="K6617" s="17" t="str">
        <f>IFERROR(__xludf.DUMMYFUNCTION("""COMPUTED_VALUE"""),"")</f>
        <v/>
      </c>
      <c r="L6617" s="17" t="str">
        <f>IFERROR(__xludf.DUMMYFUNCTION("""COMPUTED_VALUE"""),"")</f>
        <v/>
      </c>
      <c r="M6617" s="17" t="str">
        <f>IFERROR(__xludf.DUMMYFUNCTION("""COMPUTED_VALUE"""),"")</f>
        <v/>
      </c>
      <c r="N6617" s="17" t="str">
        <f>IFERROR(__xludf.DUMMYFUNCTION("""COMPUTED_VALUE"""),"")</f>
        <v/>
      </c>
      <c r="O6617" s="17" t="str">
        <f>IFERROR(__xludf.DUMMYFUNCTION("""COMPUTED_VALUE"""),"")</f>
        <v/>
      </c>
      <c r="P6617" s="17" t="str">
        <f>IFERROR(__xludf.DUMMYFUNCTION("""COMPUTED_VALUE"""),"")</f>
        <v/>
      </c>
      <c r="Q6617" s="17" t="str">
        <f>IFERROR(__xludf.DUMMYFUNCTION("""COMPUTED_VALUE"""),"")</f>
        <v/>
      </c>
      <c r="R6617" s="17" t="str">
        <f>IFERROR(__xludf.DUMMYFUNCTION("""COMPUTED_VALUE"""),"")</f>
        <v/>
      </c>
    </row>
    <row r="6618">
      <c r="A6618" s="15">
        <f>IFERROR(__xludf.DUMMYFUNCTION("""COMPUTED_VALUE"""),45188.0)</f>
        <v>45188</v>
      </c>
      <c r="B6618" s="16" t="str">
        <f>IFERROR(__xludf.DUMMYFUNCTION("""COMPUTED_VALUE"""),"Jhon Anderson Ceballos Hernandez")</f>
        <v>Jhon Anderson Ceballos Hernandez</v>
      </c>
      <c r="C6618" s="15" t="str">
        <f>IFERROR(__xludf.DUMMYFUNCTION("""COMPUTED_VALUE"""),"CARTAGENA")</f>
        <v>CARTAGENA</v>
      </c>
      <c r="D6618" s="15" t="str">
        <f>IFERROR(__xludf.DUMMYFUNCTION("""COMPUTED_VALUE"""),"BOGOTÁ")</f>
        <v>BOGOTÁ</v>
      </c>
      <c r="E6618" s="15" t="str">
        <f>IFERROR(__xludf.DUMMYFUNCTION("""COMPUTED_VALUE"""),"Mochi")</f>
        <v>Mochi</v>
      </c>
      <c r="F6618" s="17" t="str">
        <f>IFERROR(__xludf.DUMMYFUNCTION("""COMPUTED_VALUE"""),"Cra 11 # 39- 21 / Centro comercial  / San Diego")</f>
        <v>Cra 11 # 39- 21 / Centro comercial  / San Diego</v>
      </c>
      <c r="G6618" s="15" t="str">
        <f>IFERROR(__xludf.DUMMYFUNCTION("""COMPUTED_VALUE"""),"María Camila Giraldo")</f>
        <v>María Camila Giraldo</v>
      </c>
      <c r="H6618" s="16">
        <f>IFERROR(__xludf.DUMMYFUNCTION("""COMPUTED_VALUE"""),15404.0)</f>
        <v>15404</v>
      </c>
      <c r="I6618" s="18">
        <f>IFERROR(__xludf.DUMMYFUNCTION("""COMPUTED_VALUE"""),55.0)</f>
        <v>55</v>
      </c>
      <c r="J6618" s="18">
        <f>IFERROR(__xludf.DUMMYFUNCTION("""COMPUTED_VALUE"""),44.0)</f>
        <v>44</v>
      </c>
      <c r="K6618" s="18" t="str">
        <f>IFERROR(__xludf.DUMMYFUNCTION("""COMPUTED_VALUE"""),"52.5")</f>
        <v>52.5</v>
      </c>
      <c r="L6618" s="17">
        <f>IFERROR(__xludf.DUMMYFUNCTION("""COMPUTED_VALUE"""),3.116026252E9)</f>
        <v>3116026252</v>
      </c>
      <c r="M6618" s="17" t="str">
        <f>IFERROR(__xludf.DUMMYFUNCTION("""COMPUTED_VALUE"""),"#REF!")</f>
        <v>#REF!</v>
      </c>
      <c r="N6618" s="17"/>
      <c r="O6618" s="17"/>
      <c r="P6618" s="17" t="b">
        <f>IFERROR(__xludf.DUMMYFUNCTION("""COMPUTED_VALUE"""),TRUE)</f>
        <v>1</v>
      </c>
      <c r="Q6618" s="20">
        <f>IFERROR(__xludf.DUMMYFUNCTION("""COMPUTED_VALUE"""),45188.50626625)</f>
        <v>45188.50627</v>
      </c>
      <c r="R6618" s="22" t="str">
        <f>IFERROR(__xludf.DUMMYFUNCTION("""COMPUTED_VALUE"""),"")</f>
        <v/>
      </c>
    </row>
    <row r="6619">
      <c r="A6619" s="15">
        <f>IFERROR(__xludf.DUMMYFUNCTION("""COMPUTED_VALUE"""),45188.0)</f>
        <v>45188</v>
      </c>
      <c r="B6619" s="16" t="str">
        <f>IFERROR(__xludf.DUMMYFUNCTION("""COMPUTED_VALUE"""),"Jhon Anderson Ceballos Hernandez")</f>
        <v>Jhon Anderson Ceballos Hernandez</v>
      </c>
      <c r="C6619" s="15" t="str">
        <f>IFERROR(__xludf.DUMMYFUNCTION("""COMPUTED_VALUE"""),"MANIZALES")</f>
        <v>MANIZALES</v>
      </c>
      <c r="D6619" s="15" t="str">
        <f>IFERROR(__xludf.DUMMYFUNCTION("""COMPUTED_VALUE"""),"BOGOTÁ")</f>
        <v>BOGOTÁ</v>
      </c>
      <c r="E6619" s="15" t="str">
        <f>IFERROR(__xludf.DUMMYFUNCTION("""COMPUTED_VALUE"""),"Evamazzita")</f>
        <v>Evamazzita</v>
      </c>
      <c r="F6619" s="17" t="str">
        <f>IFERROR(__xludf.DUMMYFUNCTION("""COMPUTED_VALUE"""),"CALLE 14 No. 24 - 50 / APTO 301 BARRIO EL BOSQUE")</f>
        <v>CALLE 14 No. 24 - 50 / APTO 301 BARRIO EL BOSQUE</v>
      </c>
      <c r="G6619" s="15" t="str">
        <f>IFERROR(__xludf.DUMMYFUNCTION("""COMPUTED_VALUE"""),"LISETH PEREZ ROJAS")</f>
        <v>LISETH PEREZ ROJAS</v>
      </c>
      <c r="H6619" s="16">
        <f>IFERROR(__xludf.DUMMYFUNCTION("""COMPUTED_VALUE"""),15371.0)</f>
        <v>15371</v>
      </c>
      <c r="I6619" s="18">
        <f>IFERROR(__xludf.DUMMYFUNCTION("""COMPUTED_VALUE"""),1.0)</f>
        <v>1</v>
      </c>
      <c r="J6619" s="18">
        <f>IFERROR(__xludf.DUMMYFUNCTION("""COMPUTED_VALUE"""),1.0)</f>
        <v>1</v>
      </c>
      <c r="K6619" s="18">
        <f>IFERROR(__xludf.DUMMYFUNCTION("""COMPUTED_VALUE"""),1.0)</f>
        <v>1</v>
      </c>
      <c r="L6619" s="17">
        <f>IFERROR(__xludf.DUMMYFUNCTION("""COMPUTED_VALUE"""),3.138540298E9)</f>
        <v>3138540298</v>
      </c>
      <c r="M6619" s="17" t="str">
        <f>IFERROR(__xludf.DUMMYFUNCTION("""COMPUTED_VALUE"""),"#REF!")</f>
        <v>#REF!</v>
      </c>
      <c r="N6619" s="17"/>
      <c r="O6619" s="17"/>
      <c r="P6619" s="17" t="b">
        <f>IFERROR(__xludf.DUMMYFUNCTION("""COMPUTED_VALUE"""),TRUE)</f>
        <v>1</v>
      </c>
      <c r="Q6619" s="20">
        <f>IFERROR(__xludf.DUMMYFUNCTION("""COMPUTED_VALUE"""),45188.50626625)</f>
        <v>45188.50627</v>
      </c>
      <c r="R6619" s="21" t="str">
        <f>IFERROR(__xludf.DUMMYFUNCTION("""COMPUTED_VALUE"""),"https://drive.google.com/file/d/1KqSe0CkwigC1e_ISI8oCRccFJDgDI0uE/view?usp=drivesdk")</f>
        <v>https://drive.google.com/file/d/1KqSe0CkwigC1e_ISI8oCRccFJDgDI0uE/view?usp=drivesdk</v>
      </c>
    </row>
    <row r="6620">
      <c r="A6620" s="15">
        <f>IFERROR(__xludf.DUMMYFUNCTION("""COMPUTED_VALUE"""),45188.0)</f>
        <v>45188</v>
      </c>
      <c r="B6620" s="16" t="str">
        <f>IFERROR(__xludf.DUMMYFUNCTION("""COMPUTED_VALUE"""),"Jhon Anderson Ceballos Hernandez")</f>
        <v>Jhon Anderson Ceballos Hernandez</v>
      </c>
      <c r="C6620" s="15" t="str">
        <f>IFERROR(__xludf.DUMMYFUNCTION("""COMPUTED_VALUE"""),"MANIZALES")</f>
        <v>MANIZALES</v>
      </c>
      <c r="D6620" s="15" t="str">
        <f>IFERROR(__xludf.DUMMYFUNCTION("""COMPUTED_VALUE"""),"BOGOTÁ")</f>
        <v>BOGOTÁ</v>
      </c>
      <c r="E6620" s="15" t="str">
        <f>IFERROR(__xludf.DUMMYFUNCTION("""COMPUTED_VALUE"""),"Lunchy Kids")</f>
        <v>Lunchy Kids</v>
      </c>
      <c r="F6620" s="17" t="str">
        <f>IFERROR(__xludf.DUMMYFUNCTION("""COMPUTED_VALUE"""),"Carrera 21#21-20   / Almacén Valher / Manizales")</f>
        <v>Carrera 21#21-20   / Almacén Valher / Manizales</v>
      </c>
      <c r="G6620" s="15" t="str">
        <f>IFERROR(__xludf.DUMMYFUNCTION("""COMPUTED_VALUE"""),"Ana Maria Valencia")</f>
        <v>Ana Maria Valencia</v>
      </c>
      <c r="H6620" s="16">
        <f>IFERROR(__xludf.DUMMYFUNCTION("""COMPUTED_VALUE"""),15303.0)</f>
        <v>15303</v>
      </c>
      <c r="I6620" s="18">
        <f>IFERROR(__xludf.DUMMYFUNCTION("""COMPUTED_VALUE"""),25.0)</f>
        <v>25</v>
      </c>
      <c r="J6620" s="18">
        <f>IFERROR(__xludf.DUMMYFUNCTION("""COMPUTED_VALUE"""),29.0)</f>
        <v>29</v>
      </c>
      <c r="K6620" s="18">
        <f>IFERROR(__xludf.DUMMYFUNCTION("""COMPUTED_VALUE"""),10.0)</f>
        <v>10</v>
      </c>
      <c r="L6620" s="17">
        <f>IFERROR(__xludf.DUMMYFUNCTION("""COMPUTED_VALUE"""),3.155042667E9)</f>
        <v>3155042667</v>
      </c>
      <c r="M6620" s="17" t="str">
        <f>IFERROR(__xludf.DUMMYFUNCTION("""COMPUTED_VALUE"""),"#REF!")</f>
        <v>#REF!</v>
      </c>
      <c r="N6620" s="17"/>
      <c r="O6620" s="17"/>
      <c r="P6620" s="17" t="b">
        <f>IFERROR(__xludf.DUMMYFUNCTION("""COMPUTED_VALUE"""),TRUE)</f>
        <v>1</v>
      </c>
      <c r="Q6620" s="20">
        <f>IFERROR(__xludf.DUMMYFUNCTION("""COMPUTED_VALUE"""),45188.5177271412)</f>
        <v>45188.51773</v>
      </c>
      <c r="R6620" s="21" t="str">
        <f>IFERROR(__xludf.DUMMYFUNCTION("""COMPUTED_VALUE"""),"https://drive.google.com/file/d/13FbtkVUuRMAEw8GOofoiB2iBoR4K_nHR/view?usp=drivesdk")</f>
        <v>https://drive.google.com/file/d/13FbtkVUuRMAEw8GOofoiB2iBoR4K_nHR/view?usp=drivesdk</v>
      </c>
    </row>
    <row r="6621">
      <c r="A6621" s="15">
        <f>IFERROR(__xludf.DUMMYFUNCTION("""COMPUTED_VALUE"""),45188.0)</f>
        <v>45188</v>
      </c>
      <c r="B6621" s="16" t="str">
        <f>IFERROR(__xludf.DUMMYFUNCTION("""COMPUTED_VALUE"""),"Jhon Anderson Ceballos Hernandez")</f>
        <v>Jhon Anderson Ceballos Hernandez</v>
      </c>
      <c r="C6621" s="15" t="str">
        <f>IFERROR(__xludf.DUMMYFUNCTION("""COMPUTED_VALUE"""),"TUNJA")</f>
        <v>TUNJA</v>
      </c>
      <c r="D6621" s="15" t="str">
        <f>IFERROR(__xludf.DUMMYFUNCTION("""COMPUTED_VALUE"""),"BOGOTÁ")</f>
        <v>BOGOTÁ</v>
      </c>
      <c r="E6621" s="15" t="str">
        <f>IFERROR(__xludf.DUMMYFUNCTION("""COMPUTED_VALUE"""),"Evamazzita")</f>
        <v>Evamazzita</v>
      </c>
      <c r="F6621" s="17" t="str">
        <f>IFERROR(__xludf.DUMMYFUNCTION("""COMPUTED_VALUE"""),"CR 3 #76 A 65 / Conjunto Reina Cecilia casa 25")</f>
        <v>CR 3 #76 A 65 / Conjunto Reina Cecilia casa 25</v>
      </c>
      <c r="G6621" s="15" t="str">
        <f>IFERROR(__xludf.DUMMYFUNCTION("""COMPUTED_VALUE"""),"MARIA ISABEL ORTIZ VILLOTA")</f>
        <v>MARIA ISABEL ORTIZ VILLOTA</v>
      </c>
      <c r="H6621" s="16">
        <f>IFERROR(__xludf.DUMMYFUNCTION("""COMPUTED_VALUE"""),15369.0)</f>
        <v>15369</v>
      </c>
      <c r="I6621" s="18">
        <f>IFERROR(__xludf.DUMMYFUNCTION("""COMPUTED_VALUE"""),1.0)</f>
        <v>1</v>
      </c>
      <c r="J6621" s="18">
        <f>IFERROR(__xludf.DUMMYFUNCTION("""COMPUTED_VALUE"""),1.0)</f>
        <v>1</v>
      </c>
      <c r="K6621" s="18">
        <f>IFERROR(__xludf.DUMMYFUNCTION("""COMPUTED_VALUE"""),1.0)</f>
        <v>1</v>
      </c>
      <c r="L6621" s="17">
        <f>IFERROR(__xludf.DUMMYFUNCTION("""COMPUTED_VALUE"""),3.216484324E9)</f>
        <v>3216484324</v>
      </c>
      <c r="M6621" s="17" t="str">
        <f>IFERROR(__xludf.DUMMYFUNCTION("""COMPUTED_VALUE"""),"#REF!")</f>
        <v>#REF!</v>
      </c>
      <c r="N6621" s="17"/>
      <c r="O6621" s="17"/>
      <c r="P6621" s="17" t="b">
        <f>IFERROR(__xludf.DUMMYFUNCTION("""COMPUTED_VALUE"""),FALSE)</f>
        <v>0</v>
      </c>
      <c r="Q6621" s="20" t="str">
        <f>IFERROR(__xludf.DUMMYFUNCTION("""COMPUTED_VALUE"""),"")</f>
        <v/>
      </c>
      <c r="R6621" s="22" t="str">
        <f>IFERROR(__xludf.DUMMYFUNCTION("""COMPUTED_VALUE"""),"")</f>
        <v/>
      </c>
    </row>
    <row r="6622">
      <c r="A6622" s="17" t="str">
        <f>IFERROR(__xludf.DUMMYFUNCTION("""COMPUTED_VALUE"""),"")</f>
        <v/>
      </c>
      <c r="B6622" s="17" t="str">
        <f>IFERROR(__xludf.DUMMYFUNCTION("""COMPUTED_VALUE"""),"")</f>
        <v/>
      </c>
      <c r="C6622" s="17" t="str">
        <f>IFERROR(__xludf.DUMMYFUNCTION("""COMPUTED_VALUE"""),"")</f>
        <v/>
      </c>
      <c r="D6622" s="17" t="str">
        <f>IFERROR(__xludf.DUMMYFUNCTION("""COMPUTED_VALUE"""),"")</f>
        <v/>
      </c>
      <c r="E6622" s="17" t="str">
        <f>IFERROR(__xludf.DUMMYFUNCTION("""COMPUTED_VALUE"""),"")</f>
        <v/>
      </c>
      <c r="F6622" s="17" t="str">
        <f>IFERROR(__xludf.DUMMYFUNCTION("""COMPUTED_VALUE"""),"")</f>
        <v/>
      </c>
      <c r="G6622" s="17" t="str">
        <f>IFERROR(__xludf.DUMMYFUNCTION("""COMPUTED_VALUE"""),"")</f>
        <v/>
      </c>
      <c r="H6622" s="17" t="str">
        <f>IFERROR(__xludf.DUMMYFUNCTION("""COMPUTED_VALUE"""),"")</f>
        <v/>
      </c>
      <c r="I6622" s="17" t="str">
        <f>IFERROR(__xludf.DUMMYFUNCTION("""COMPUTED_VALUE"""),"")</f>
        <v/>
      </c>
      <c r="J6622" s="17" t="str">
        <f>IFERROR(__xludf.DUMMYFUNCTION("""COMPUTED_VALUE"""),"")</f>
        <v/>
      </c>
      <c r="K6622" s="17" t="str">
        <f>IFERROR(__xludf.DUMMYFUNCTION("""COMPUTED_VALUE"""),"")</f>
        <v/>
      </c>
      <c r="L6622" s="17" t="str">
        <f>IFERROR(__xludf.DUMMYFUNCTION("""COMPUTED_VALUE"""),"")</f>
        <v/>
      </c>
      <c r="M6622" s="17" t="str">
        <f>IFERROR(__xludf.DUMMYFUNCTION("""COMPUTED_VALUE"""),"")</f>
        <v/>
      </c>
      <c r="N6622" s="17" t="str">
        <f>IFERROR(__xludf.DUMMYFUNCTION("""COMPUTED_VALUE"""),"")</f>
        <v/>
      </c>
      <c r="O6622" s="17" t="str">
        <f>IFERROR(__xludf.DUMMYFUNCTION("""COMPUTED_VALUE"""),"")</f>
        <v/>
      </c>
      <c r="P6622" s="17" t="str">
        <f>IFERROR(__xludf.DUMMYFUNCTION("""COMPUTED_VALUE"""),"")</f>
        <v/>
      </c>
      <c r="Q6622" s="17" t="str">
        <f>IFERROR(__xludf.DUMMYFUNCTION("""COMPUTED_VALUE"""),"")</f>
        <v/>
      </c>
      <c r="R6622" s="17" t="str">
        <f>IFERROR(__xludf.DUMMYFUNCTION("""COMPUTED_VALUE"""),"")</f>
        <v/>
      </c>
    </row>
    <row r="6623">
      <c r="A6623" s="15">
        <f>IFERROR(__xludf.DUMMYFUNCTION("""COMPUTED_VALUE"""),45188.0)</f>
        <v>45188</v>
      </c>
      <c r="B6623" s="16" t="str">
        <f>IFERROR(__xludf.DUMMYFUNCTION("""COMPUTED_VALUE"""),"Johan Alexander Escobar Arroyo ")</f>
        <v>Johan Alexander Escobar Arroyo </v>
      </c>
      <c r="C6623" s="15" t="str">
        <f>IFERROR(__xludf.DUMMYFUNCTION("""COMPUTED_VALUE"""),"CALI")</f>
        <v>CALI</v>
      </c>
      <c r="D6623" s="15" t="str">
        <f>IFERROR(__xludf.DUMMYFUNCTION("""COMPUTED_VALUE"""),"BOGOTÁ")</f>
        <v>BOGOTÁ</v>
      </c>
      <c r="E6623" s="15" t="str">
        <f>IFERROR(__xludf.DUMMYFUNCTION("""COMPUTED_VALUE"""),"Athenas")</f>
        <v>Athenas</v>
      </c>
      <c r="F6623" s="17" t="str">
        <f>IFERROR(__xludf.DUMMYFUNCTION("""COMPUTED_VALUE"""),"Calle 7 oeste #1a 59 / Edificio bodytech Cafetería  / Santa teresita")</f>
        <v>Calle 7 oeste #1a 59 / Edificio bodytech Cafetería  / Santa teresita</v>
      </c>
      <c r="G6623" s="15" t="str">
        <f>IFERROR(__xludf.DUMMYFUNCTION("""COMPUTED_VALUE"""),"Ginna panesso")</f>
        <v>Ginna panesso</v>
      </c>
      <c r="H6623" s="16">
        <f>IFERROR(__xludf.DUMMYFUNCTION("""COMPUTED_VALUE"""),15339.0)</f>
        <v>15339</v>
      </c>
      <c r="I6623" s="18">
        <f>IFERROR(__xludf.DUMMYFUNCTION("""COMPUTED_VALUE"""),29.0)</f>
        <v>29</v>
      </c>
      <c r="J6623" s="18">
        <f>IFERROR(__xludf.DUMMYFUNCTION("""COMPUTED_VALUE"""),45.0)</f>
        <v>45</v>
      </c>
      <c r="K6623" s="18">
        <f>IFERROR(__xludf.DUMMYFUNCTION("""COMPUTED_VALUE"""),55.0)</f>
        <v>55</v>
      </c>
      <c r="L6623" s="17">
        <f>IFERROR(__xludf.DUMMYFUNCTION("""COMPUTED_VALUE"""),3.103897576E9)</f>
        <v>3103897576</v>
      </c>
      <c r="M6623" s="17" t="str">
        <f>IFERROR(__xludf.DUMMYFUNCTION("""COMPUTED_VALUE"""),"#REF!")</f>
        <v>#REF!</v>
      </c>
      <c r="N6623" s="17"/>
      <c r="O6623" s="17"/>
      <c r="P6623" s="17" t="b">
        <f>IFERROR(__xludf.DUMMYFUNCTION("""COMPUTED_VALUE"""),FALSE)</f>
        <v>0</v>
      </c>
      <c r="Q6623" s="20" t="str">
        <f>IFERROR(__xludf.DUMMYFUNCTION("""COMPUTED_VALUE"""),"")</f>
        <v/>
      </c>
      <c r="R6623" s="22" t="str">
        <f>IFERROR(__xludf.DUMMYFUNCTION("""COMPUTED_VALUE"""),"")</f>
        <v/>
      </c>
    </row>
    <row r="6624">
      <c r="A6624" s="15">
        <f>IFERROR(__xludf.DUMMYFUNCTION("""COMPUTED_VALUE"""),45188.0)</f>
        <v>45188</v>
      </c>
      <c r="B6624" s="16" t="str">
        <f>IFERROR(__xludf.DUMMYFUNCTION("""COMPUTED_VALUE"""),"Johan Alexander Escobar Arroyo ")</f>
        <v>Johan Alexander Escobar Arroyo </v>
      </c>
      <c r="C6624" s="15" t="str">
        <f>IFERROR(__xludf.DUMMYFUNCTION("""COMPUTED_VALUE"""),"CALI")</f>
        <v>CALI</v>
      </c>
      <c r="D6624" s="15" t="str">
        <f>IFERROR(__xludf.DUMMYFUNCTION("""COMPUTED_VALUE"""),"BOGOTÁ")</f>
        <v>BOGOTÁ</v>
      </c>
      <c r="E6624" s="15" t="str">
        <f>IFERROR(__xludf.DUMMYFUNCTION("""COMPUTED_VALUE"""),"Athenas")</f>
        <v>Athenas</v>
      </c>
      <c r="F6624" s="17" t="str">
        <f>IFERROR(__xludf.DUMMYFUNCTION("""COMPUTED_VALUE"""),"Carrera 98 #16 200 / Cafetería bodytech 3 piso centro comercial jardín plaza / Ciudad jardin")</f>
        <v>Carrera 98 #16 200 / Cafetería bodytech 3 piso centro comercial jardín plaza / Ciudad jardin</v>
      </c>
      <c r="G6624" s="15" t="str">
        <f>IFERROR(__xludf.DUMMYFUNCTION("""COMPUTED_VALUE"""),"Jorge parra")</f>
        <v>Jorge parra</v>
      </c>
      <c r="H6624" s="16">
        <f>IFERROR(__xludf.DUMMYFUNCTION("""COMPUTED_VALUE"""),15338.0)</f>
        <v>15338</v>
      </c>
      <c r="I6624" s="18">
        <f>IFERROR(__xludf.DUMMYFUNCTION("""COMPUTED_VALUE"""),55.0)</f>
        <v>55</v>
      </c>
      <c r="J6624" s="18">
        <f>IFERROR(__xludf.DUMMYFUNCTION("""COMPUTED_VALUE"""),45.0)</f>
        <v>45</v>
      </c>
      <c r="K6624" s="18">
        <f>IFERROR(__xludf.DUMMYFUNCTION("""COMPUTED_VALUE"""),52.0)</f>
        <v>52</v>
      </c>
      <c r="L6624" s="17">
        <f>IFERROR(__xludf.DUMMYFUNCTION("""COMPUTED_VALUE"""),3.103897576E9)</f>
        <v>3103897576</v>
      </c>
      <c r="M6624" s="17" t="str">
        <f>IFERROR(__xludf.DUMMYFUNCTION("""COMPUTED_VALUE"""),"#REF!")</f>
        <v>#REF!</v>
      </c>
      <c r="N6624" s="17"/>
      <c r="O6624" s="17"/>
      <c r="P6624" s="17" t="b">
        <f>IFERROR(__xludf.DUMMYFUNCTION("""COMPUTED_VALUE"""),FALSE)</f>
        <v>0</v>
      </c>
      <c r="Q6624" s="20" t="str">
        <f>IFERROR(__xludf.DUMMYFUNCTION("""COMPUTED_VALUE"""),"")</f>
        <v/>
      </c>
      <c r="R6624" s="22" t="str">
        <f>IFERROR(__xludf.DUMMYFUNCTION("""COMPUTED_VALUE"""),"")</f>
        <v/>
      </c>
    </row>
    <row r="6625">
      <c r="A6625" s="15">
        <f>IFERROR(__xludf.DUMMYFUNCTION("""COMPUTED_VALUE"""),45188.0)</f>
        <v>45188</v>
      </c>
      <c r="B6625" s="16" t="str">
        <f>IFERROR(__xludf.DUMMYFUNCTION("""COMPUTED_VALUE"""),"Johan Alexander Escobar Arroyo ")</f>
        <v>Johan Alexander Escobar Arroyo </v>
      </c>
      <c r="C6625" s="15" t="str">
        <f>IFERROR(__xludf.DUMMYFUNCTION("""COMPUTED_VALUE"""),"CALI")</f>
        <v>CALI</v>
      </c>
      <c r="D6625" s="15" t="str">
        <f>IFERROR(__xludf.DUMMYFUNCTION("""COMPUTED_VALUE"""),"BOGOTÁ")</f>
        <v>BOGOTÁ</v>
      </c>
      <c r="E6625" s="15" t="str">
        <f>IFERROR(__xludf.DUMMYFUNCTION("""COMPUTED_VALUE"""),"Evamazzita")</f>
        <v>Evamazzita</v>
      </c>
      <c r="F6625" s="17" t="str">
        <f>IFERROR(__xludf.DUMMYFUNCTION("""COMPUTED_VALUE"""),"Calle 58 A1 # 1B1 - 31 / VILLAS DE VERACRUZ")</f>
        <v>Calle 58 A1 # 1B1 - 31 / VILLAS DE VERACRUZ</v>
      </c>
      <c r="G6625" s="15" t="str">
        <f>IFERROR(__xludf.DUMMYFUNCTION("""COMPUTED_VALUE"""),"NATHALY GOMEZ CARDENAS")</f>
        <v>NATHALY GOMEZ CARDENAS</v>
      </c>
      <c r="H6625" s="16">
        <f>IFERROR(__xludf.DUMMYFUNCTION("""COMPUTED_VALUE"""),15392.0)</f>
        <v>15392</v>
      </c>
      <c r="I6625" s="18">
        <f>IFERROR(__xludf.DUMMYFUNCTION("""COMPUTED_VALUE"""),1.0)</f>
        <v>1</v>
      </c>
      <c r="J6625" s="18">
        <f>IFERROR(__xludf.DUMMYFUNCTION("""COMPUTED_VALUE"""),1.0)</f>
        <v>1</v>
      </c>
      <c r="K6625" s="18">
        <f>IFERROR(__xludf.DUMMYFUNCTION("""COMPUTED_VALUE"""),1.0)</f>
        <v>1</v>
      </c>
      <c r="L6625" s="17">
        <f>IFERROR(__xludf.DUMMYFUNCTION("""COMPUTED_VALUE"""),3.014860737E9)</f>
        <v>3014860737</v>
      </c>
      <c r="M6625" s="17" t="str">
        <f>IFERROR(__xludf.DUMMYFUNCTION("""COMPUTED_VALUE"""),"#REF!")</f>
        <v>#REF!</v>
      </c>
      <c r="N6625" s="17"/>
      <c r="O6625" s="17"/>
      <c r="P6625" s="17" t="b">
        <f>IFERROR(__xludf.DUMMYFUNCTION("""COMPUTED_VALUE"""),TRUE)</f>
        <v>1</v>
      </c>
      <c r="Q6625" s="20">
        <f>IFERROR(__xludf.DUMMYFUNCTION("""COMPUTED_VALUE"""),45188.690634513885)</f>
        <v>45188.69063</v>
      </c>
      <c r="R6625" s="22" t="str">
        <f>IFERROR(__xludf.DUMMYFUNCTION("""COMPUTED_VALUE"""),"")</f>
        <v/>
      </c>
    </row>
    <row r="6626">
      <c r="A6626" s="15">
        <f>IFERROR(__xludf.DUMMYFUNCTION("""COMPUTED_VALUE"""),45188.0)</f>
        <v>45188</v>
      </c>
      <c r="B6626" s="16" t="str">
        <f>IFERROR(__xludf.DUMMYFUNCTION("""COMPUTED_VALUE"""),"Johan Alexander Escobar Arroyo ")</f>
        <v>Johan Alexander Escobar Arroyo </v>
      </c>
      <c r="C6626" s="15" t="str">
        <f>IFERROR(__xludf.DUMMYFUNCTION("""COMPUTED_VALUE"""),"CALI")</f>
        <v>CALI</v>
      </c>
      <c r="D6626" s="15" t="str">
        <f>IFERROR(__xludf.DUMMYFUNCTION("""COMPUTED_VALUE"""),"BOGOTÁ")</f>
        <v>BOGOTÁ</v>
      </c>
      <c r="E6626" s="15" t="str">
        <f>IFERROR(__xludf.DUMMYFUNCTION("""COMPUTED_VALUE"""),"Evamazzita")</f>
        <v>Evamazzita</v>
      </c>
      <c r="F6626" s="17" t="str">
        <f>IFERROR(__xludf.DUMMYFUNCTION("""COMPUTED_VALUE"""),"CALLE 73 1 J 49 / CALLE 73 1 J 49")</f>
        <v>CALLE 73 1 J 49 / CALLE 73 1 J 49</v>
      </c>
      <c r="G6626" s="15" t="str">
        <f>IFERROR(__xludf.DUMMYFUNCTION("""COMPUTED_VALUE"""),"LINA OTALVARO")</f>
        <v>LINA OTALVARO</v>
      </c>
      <c r="H6626" s="16">
        <f>IFERROR(__xludf.DUMMYFUNCTION("""COMPUTED_VALUE"""),15389.0)</f>
        <v>15389</v>
      </c>
      <c r="I6626" s="18">
        <f>IFERROR(__xludf.DUMMYFUNCTION("""COMPUTED_VALUE"""),1.0)</f>
        <v>1</v>
      </c>
      <c r="J6626" s="18">
        <f>IFERROR(__xludf.DUMMYFUNCTION("""COMPUTED_VALUE"""),1.0)</f>
        <v>1</v>
      </c>
      <c r="K6626" s="18">
        <f>IFERROR(__xludf.DUMMYFUNCTION("""COMPUTED_VALUE"""),1.0)</f>
        <v>1</v>
      </c>
      <c r="L6626" s="17">
        <f>IFERROR(__xludf.DUMMYFUNCTION("""COMPUTED_VALUE"""),3.148781509E9)</f>
        <v>3148781509</v>
      </c>
      <c r="M6626" s="17" t="str">
        <f>IFERROR(__xludf.DUMMYFUNCTION("""COMPUTED_VALUE"""),"#REF!")</f>
        <v>#REF!</v>
      </c>
      <c r="N6626" s="17"/>
      <c r="O6626" s="17"/>
      <c r="P6626" s="17" t="b">
        <f>IFERROR(__xludf.DUMMYFUNCTION("""COMPUTED_VALUE"""),TRUE)</f>
        <v>1</v>
      </c>
      <c r="Q6626" s="20">
        <f>IFERROR(__xludf.DUMMYFUNCTION("""COMPUTED_VALUE"""),45188.690675555554)</f>
        <v>45188.69068</v>
      </c>
      <c r="R6626" s="22" t="str">
        <f>IFERROR(__xludf.DUMMYFUNCTION("""COMPUTED_VALUE"""),"")</f>
        <v/>
      </c>
    </row>
    <row r="6627">
      <c r="A6627" s="15">
        <f>IFERROR(__xludf.DUMMYFUNCTION("""COMPUTED_VALUE"""),45188.0)</f>
        <v>45188</v>
      </c>
      <c r="B6627" s="16" t="str">
        <f>IFERROR(__xludf.DUMMYFUNCTION("""COMPUTED_VALUE"""),"Johan Alexander Escobar Arroyo ")</f>
        <v>Johan Alexander Escobar Arroyo </v>
      </c>
      <c r="C6627" s="15" t="str">
        <f>IFERROR(__xludf.DUMMYFUNCTION("""COMPUTED_VALUE"""),"CALI")</f>
        <v>CALI</v>
      </c>
      <c r="D6627" s="15" t="str">
        <f>IFERROR(__xludf.DUMMYFUNCTION("""COMPUTED_VALUE"""),"BOGOTÁ")</f>
        <v>BOGOTÁ</v>
      </c>
      <c r="E6627" s="15" t="str">
        <f>IFERROR(__xludf.DUMMYFUNCTION("""COMPUTED_VALUE"""),"Evamazzita")</f>
        <v>Evamazzita</v>
      </c>
      <c r="F6627" s="17" t="str">
        <f>IFERROR(__xludf.DUMMYFUNCTION("""COMPUTED_VALUE"""),"Carrera 111#49-32 / unidad Granadillo torre 1 apto 905 Barrio bochalema")</f>
        <v>Carrera 111#49-32 / unidad Granadillo torre 1 apto 905 Barrio bochalema</v>
      </c>
      <c r="G6627" s="15" t="str">
        <f>IFERROR(__xludf.DUMMYFUNCTION("""COMPUTED_VALUE"""),"MAYRA ALEJANDRA ROA")</f>
        <v>MAYRA ALEJANDRA ROA</v>
      </c>
      <c r="H6627" s="16">
        <f>IFERROR(__xludf.DUMMYFUNCTION("""COMPUTED_VALUE"""),15386.0)</f>
        <v>15386</v>
      </c>
      <c r="I6627" s="18">
        <f>IFERROR(__xludf.DUMMYFUNCTION("""COMPUTED_VALUE"""),1.0)</f>
        <v>1</v>
      </c>
      <c r="J6627" s="18">
        <f>IFERROR(__xludf.DUMMYFUNCTION("""COMPUTED_VALUE"""),1.0)</f>
        <v>1</v>
      </c>
      <c r="K6627" s="18">
        <f>IFERROR(__xludf.DUMMYFUNCTION("""COMPUTED_VALUE"""),1.0)</f>
        <v>1</v>
      </c>
      <c r="L6627" s="17">
        <f>IFERROR(__xludf.DUMMYFUNCTION("""COMPUTED_VALUE"""),3.218325954E9)</f>
        <v>3218325954</v>
      </c>
      <c r="M6627" s="17" t="str">
        <f>IFERROR(__xludf.DUMMYFUNCTION("""COMPUTED_VALUE"""),"#REF!")</f>
        <v>#REF!</v>
      </c>
      <c r="N6627" s="17"/>
      <c r="O6627" s="17"/>
      <c r="P6627" s="17" t="b">
        <f>IFERROR(__xludf.DUMMYFUNCTION("""COMPUTED_VALUE"""),TRUE)</f>
        <v>1</v>
      </c>
      <c r="Q6627" s="20">
        <f>IFERROR(__xludf.DUMMYFUNCTION("""COMPUTED_VALUE"""),45188.690675555554)</f>
        <v>45188.69068</v>
      </c>
      <c r="R6627" s="22" t="str">
        <f>IFERROR(__xludf.DUMMYFUNCTION("""COMPUTED_VALUE"""),"")</f>
        <v/>
      </c>
    </row>
    <row r="6628">
      <c r="A6628" s="15">
        <f>IFERROR(__xludf.DUMMYFUNCTION("""COMPUTED_VALUE"""),45188.0)</f>
        <v>45188</v>
      </c>
      <c r="B6628" s="16" t="str">
        <f>IFERROR(__xludf.DUMMYFUNCTION("""COMPUTED_VALUE"""),"Johan Alexander Escobar Arroyo ")</f>
        <v>Johan Alexander Escobar Arroyo </v>
      </c>
      <c r="C6628" s="15" t="str">
        <f>IFERROR(__xludf.DUMMYFUNCTION("""COMPUTED_VALUE"""),"CALI")</f>
        <v>CALI</v>
      </c>
      <c r="D6628" s="15" t="str">
        <f>IFERROR(__xludf.DUMMYFUNCTION("""COMPUTED_VALUE"""),"BOGOTÁ")</f>
        <v>BOGOTÁ</v>
      </c>
      <c r="E6628" s="15" t="str">
        <f>IFERROR(__xludf.DUMMYFUNCTION("""COMPUTED_VALUE"""),"Evamazzita")</f>
        <v>Evamazzita</v>
      </c>
      <c r="F6628" s="17" t="str">
        <f>IFERROR(__xludf.DUMMYFUNCTION("""COMPUTED_VALUE"""),"Carrera 85d #54-60 / apto 303 torre A jardin de las vegas")</f>
        <v>Carrera 85d #54-60 / apto 303 torre A jardin de las vegas</v>
      </c>
      <c r="G6628" s="15" t="str">
        <f>IFERROR(__xludf.DUMMYFUNCTION("""COMPUTED_VALUE"""),"DIANA MARCELA MESA")</f>
        <v>DIANA MARCELA MESA</v>
      </c>
      <c r="H6628" s="16">
        <f>IFERROR(__xludf.DUMMYFUNCTION("""COMPUTED_VALUE"""),15385.0)</f>
        <v>15385</v>
      </c>
      <c r="I6628" s="18">
        <f>IFERROR(__xludf.DUMMYFUNCTION("""COMPUTED_VALUE"""),1.0)</f>
        <v>1</v>
      </c>
      <c r="J6628" s="18">
        <f>IFERROR(__xludf.DUMMYFUNCTION("""COMPUTED_VALUE"""),1.0)</f>
        <v>1</v>
      </c>
      <c r="K6628" s="18">
        <f>IFERROR(__xludf.DUMMYFUNCTION("""COMPUTED_VALUE"""),1.0)</f>
        <v>1</v>
      </c>
      <c r="L6628" s="17">
        <f>IFERROR(__xludf.DUMMYFUNCTION("""COMPUTED_VALUE"""),3.013659291E9)</f>
        <v>3013659291</v>
      </c>
      <c r="M6628" s="17" t="str">
        <f>IFERROR(__xludf.DUMMYFUNCTION("""COMPUTED_VALUE"""),"#REF!")</f>
        <v>#REF!</v>
      </c>
      <c r="N6628" s="17"/>
      <c r="O6628" s="17"/>
      <c r="P6628" s="17" t="b">
        <f>IFERROR(__xludf.DUMMYFUNCTION("""COMPUTED_VALUE"""),TRUE)</f>
        <v>1</v>
      </c>
      <c r="Q6628" s="20">
        <f>IFERROR(__xludf.DUMMYFUNCTION("""COMPUTED_VALUE"""),45188.690675555554)</f>
        <v>45188.69068</v>
      </c>
      <c r="R6628" s="22" t="str">
        <f>IFERROR(__xludf.DUMMYFUNCTION("""COMPUTED_VALUE"""),"")</f>
        <v/>
      </c>
    </row>
    <row r="6629">
      <c r="A6629" s="15">
        <f>IFERROR(__xludf.DUMMYFUNCTION("""COMPUTED_VALUE"""),45188.0)</f>
        <v>45188</v>
      </c>
      <c r="B6629" s="16" t="str">
        <f>IFERROR(__xludf.DUMMYFUNCTION("""COMPUTED_VALUE"""),"Johan Alexander Escobar Arroyo ")</f>
        <v>Johan Alexander Escobar Arroyo </v>
      </c>
      <c r="C6629" s="15" t="str">
        <f>IFERROR(__xludf.DUMMYFUNCTION("""COMPUTED_VALUE"""),"CALI")</f>
        <v>CALI</v>
      </c>
      <c r="D6629" s="15" t="str">
        <f>IFERROR(__xludf.DUMMYFUNCTION("""COMPUTED_VALUE"""),"BOGOTÁ")</f>
        <v>BOGOTÁ</v>
      </c>
      <c r="E6629" s="15" t="str">
        <f>IFERROR(__xludf.DUMMYFUNCTION("""COMPUTED_VALUE"""),"Evamazzita")</f>
        <v>Evamazzita</v>
      </c>
      <c r="F6629" s="17" t="str">
        <f>IFERROR(__xludf.DUMMYFUNCTION("""COMPUTED_VALUE"""),"Cll 9C # 40A-57 / Apto 201 Los Cambulos")</f>
        <v>Cll 9C # 40A-57 / Apto 201 Los Cambulos</v>
      </c>
      <c r="G6629" s="15" t="str">
        <f>IFERROR(__xludf.DUMMYFUNCTION("""COMPUTED_VALUE"""),"RAUL ALEXIS SAAVEDRA ROLDAN")</f>
        <v>RAUL ALEXIS SAAVEDRA ROLDAN</v>
      </c>
      <c r="H6629" s="16">
        <f>IFERROR(__xludf.DUMMYFUNCTION("""COMPUTED_VALUE"""),15384.0)</f>
        <v>15384</v>
      </c>
      <c r="I6629" s="18">
        <f>IFERROR(__xludf.DUMMYFUNCTION("""COMPUTED_VALUE"""),1.0)</f>
        <v>1</v>
      </c>
      <c r="J6629" s="18">
        <f>IFERROR(__xludf.DUMMYFUNCTION("""COMPUTED_VALUE"""),1.0)</f>
        <v>1</v>
      </c>
      <c r="K6629" s="18">
        <f>IFERROR(__xludf.DUMMYFUNCTION("""COMPUTED_VALUE"""),1.0)</f>
        <v>1</v>
      </c>
      <c r="L6629" s="17">
        <f>IFERROR(__xludf.DUMMYFUNCTION("""COMPUTED_VALUE"""),3.154033516E9)</f>
        <v>3154033516</v>
      </c>
      <c r="M6629" s="17" t="str">
        <f>IFERROR(__xludf.DUMMYFUNCTION("""COMPUTED_VALUE"""),"#REF!")</f>
        <v>#REF!</v>
      </c>
      <c r="N6629" s="17"/>
      <c r="O6629" s="17"/>
      <c r="P6629" s="17" t="b">
        <f>IFERROR(__xludf.DUMMYFUNCTION("""COMPUTED_VALUE"""),TRUE)</f>
        <v>1</v>
      </c>
      <c r="Q6629" s="20">
        <f>IFERROR(__xludf.DUMMYFUNCTION("""COMPUTED_VALUE"""),45188.690675555554)</f>
        <v>45188.69068</v>
      </c>
      <c r="R6629" s="22" t="str">
        <f>IFERROR(__xludf.DUMMYFUNCTION("""COMPUTED_VALUE"""),"")</f>
        <v/>
      </c>
    </row>
    <row r="6630">
      <c r="A6630" s="15">
        <f>IFERROR(__xludf.DUMMYFUNCTION("""COMPUTED_VALUE"""),45188.0)</f>
        <v>45188</v>
      </c>
      <c r="B6630" s="16" t="str">
        <f>IFERROR(__xludf.DUMMYFUNCTION("""COMPUTED_VALUE"""),"Johan Alexander Escobar Arroyo ")</f>
        <v>Johan Alexander Escobar Arroyo </v>
      </c>
      <c r="C6630" s="15" t="str">
        <f>IFERROR(__xludf.DUMMYFUNCTION("""COMPUTED_VALUE"""),"CALI")</f>
        <v>CALI</v>
      </c>
      <c r="D6630" s="15" t="str">
        <f>IFERROR(__xludf.DUMMYFUNCTION("""COMPUTED_VALUE"""),"BOGOTÁ")</f>
        <v>BOGOTÁ</v>
      </c>
      <c r="E6630" s="15" t="str">
        <f>IFERROR(__xludf.DUMMYFUNCTION("""COMPUTED_VALUE"""),"Evamazzita")</f>
        <v>Evamazzita</v>
      </c>
      <c r="F6630" s="17" t="str">
        <f>IFERROR(__xludf.DUMMYFUNCTION("""COMPUTED_VALUE"""),"Cra 1a4c #70c1-49 / bloque 88 apt 501  Los Alcazares")</f>
        <v>Cra 1a4c #70c1-49 / bloque 88 apt 501  Los Alcazares</v>
      </c>
      <c r="G6630" s="15" t="str">
        <f>IFERROR(__xludf.DUMMYFUNCTION("""COMPUTED_VALUE"""),"YENNY PATRICIA MONTAÑO")</f>
        <v>YENNY PATRICIA MONTAÑO</v>
      </c>
      <c r="H6630" s="16">
        <f>IFERROR(__xludf.DUMMYFUNCTION("""COMPUTED_VALUE"""),15391.0)</f>
        <v>15391</v>
      </c>
      <c r="I6630" s="18">
        <f>IFERROR(__xludf.DUMMYFUNCTION("""COMPUTED_VALUE"""),1.0)</f>
        <v>1</v>
      </c>
      <c r="J6630" s="18">
        <f>IFERROR(__xludf.DUMMYFUNCTION("""COMPUTED_VALUE"""),1.0)</f>
        <v>1</v>
      </c>
      <c r="K6630" s="18">
        <f>IFERROR(__xludf.DUMMYFUNCTION("""COMPUTED_VALUE"""),1.0)</f>
        <v>1</v>
      </c>
      <c r="L6630" s="17">
        <f>IFERROR(__xludf.DUMMYFUNCTION("""COMPUTED_VALUE"""),3.206663943E9)</f>
        <v>3206663943</v>
      </c>
      <c r="M6630" s="17" t="str">
        <f>IFERROR(__xludf.DUMMYFUNCTION("""COMPUTED_VALUE"""),"#REF!")</f>
        <v>#REF!</v>
      </c>
      <c r="N6630" s="17"/>
      <c r="O6630" s="17"/>
      <c r="P6630" s="17" t="b">
        <f>IFERROR(__xludf.DUMMYFUNCTION("""COMPUTED_VALUE"""),TRUE)</f>
        <v>1</v>
      </c>
      <c r="Q6630" s="20">
        <f>IFERROR(__xludf.DUMMYFUNCTION("""COMPUTED_VALUE"""),45188.690675555554)</f>
        <v>45188.69068</v>
      </c>
      <c r="R6630" s="22" t="str">
        <f>IFERROR(__xludf.DUMMYFUNCTION("""COMPUTED_VALUE"""),"")</f>
        <v/>
      </c>
    </row>
    <row r="6631">
      <c r="A6631" s="15">
        <f>IFERROR(__xludf.DUMMYFUNCTION("""COMPUTED_VALUE"""),45188.0)</f>
        <v>45188</v>
      </c>
      <c r="B6631" s="16" t="str">
        <f>IFERROR(__xludf.DUMMYFUNCTION("""COMPUTED_VALUE"""),"Johan Alexander Escobar Arroyo ")</f>
        <v>Johan Alexander Escobar Arroyo </v>
      </c>
      <c r="C6631" s="15" t="str">
        <f>IFERROR(__xludf.DUMMYFUNCTION("""COMPUTED_VALUE"""),"CALI")</f>
        <v>CALI</v>
      </c>
      <c r="D6631" s="15" t="str">
        <f>IFERROR(__xludf.DUMMYFUNCTION("""COMPUTED_VALUE"""),"BOGOTÁ")</f>
        <v>BOGOTÁ</v>
      </c>
      <c r="E6631" s="15" t="str">
        <f>IFERROR(__xludf.DUMMYFUNCTION("""COMPUTED_VALUE"""),"Evamazzita")</f>
        <v>Evamazzita</v>
      </c>
      <c r="F6631" s="17" t="str">
        <f>IFERROR(__xludf.DUMMYFUNCTION("""COMPUTED_VALUE"""),"CRA 46C No. 55A - 15 / BARRIO CIUDAD CORDOBA")</f>
        <v>CRA 46C No. 55A - 15 / BARRIO CIUDAD CORDOBA</v>
      </c>
      <c r="G6631" s="15" t="str">
        <f>IFERROR(__xludf.DUMMYFUNCTION("""COMPUTED_VALUE"""),"CLAUDIA CANTERO")</f>
        <v>CLAUDIA CANTERO</v>
      </c>
      <c r="H6631" s="16">
        <f>IFERROR(__xludf.DUMMYFUNCTION("""COMPUTED_VALUE"""),15390.0)</f>
        <v>15390</v>
      </c>
      <c r="I6631" s="18">
        <f>IFERROR(__xludf.DUMMYFUNCTION("""COMPUTED_VALUE"""),1.0)</f>
        <v>1</v>
      </c>
      <c r="J6631" s="18">
        <f>IFERROR(__xludf.DUMMYFUNCTION("""COMPUTED_VALUE"""),1.0)</f>
        <v>1</v>
      </c>
      <c r="K6631" s="18">
        <f>IFERROR(__xludf.DUMMYFUNCTION("""COMPUTED_VALUE"""),1.0)</f>
        <v>1</v>
      </c>
      <c r="L6631" s="17">
        <f>IFERROR(__xludf.DUMMYFUNCTION("""COMPUTED_VALUE"""),3.176248548E9)</f>
        <v>3176248548</v>
      </c>
      <c r="M6631" s="17" t="str">
        <f>IFERROR(__xludf.DUMMYFUNCTION("""COMPUTED_VALUE"""),"#REF!")</f>
        <v>#REF!</v>
      </c>
      <c r="N6631" s="17"/>
      <c r="O6631" s="17"/>
      <c r="P6631" s="17" t="b">
        <f>IFERROR(__xludf.DUMMYFUNCTION("""COMPUTED_VALUE"""),TRUE)</f>
        <v>1</v>
      </c>
      <c r="Q6631" s="20">
        <f>IFERROR(__xludf.DUMMYFUNCTION("""COMPUTED_VALUE"""),45188.69071597222)</f>
        <v>45188.69072</v>
      </c>
      <c r="R6631" s="22" t="str">
        <f>IFERROR(__xludf.DUMMYFUNCTION("""COMPUTED_VALUE"""),"")</f>
        <v/>
      </c>
    </row>
    <row r="6632">
      <c r="A6632" s="15">
        <f>IFERROR(__xludf.DUMMYFUNCTION("""COMPUTED_VALUE"""),45188.0)</f>
        <v>45188</v>
      </c>
      <c r="B6632" s="16" t="str">
        <f>IFERROR(__xludf.DUMMYFUNCTION("""COMPUTED_VALUE"""),"Johan Alexander Escobar Arroyo ")</f>
        <v>Johan Alexander Escobar Arroyo </v>
      </c>
      <c r="C6632" s="15" t="str">
        <f>IFERROR(__xludf.DUMMYFUNCTION("""COMPUTED_VALUE"""),"CALI")</f>
        <v>CALI</v>
      </c>
      <c r="D6632" s="15" t="str">
        <f>IFERROR(__xludf.DUMMYFUNCTION("""COMPUTED_VALUE"""),"BOGOTÁ")</f>
        <v>BOGOTÁ</v>
      </c>
      <c r="E6632" s="15" t="str">
        <f>IFERROR(__xludf.DUMMYFUNCTION("""COMPUTED_VALUE"""),"Evamazzita")</f>
        <v>Evamazzita</v>
      </c>
      <c r="F6632" s="17" t="str">
        <f>IFERROR(__xludf.DUMMYFUNCTION("""COMPUTED_VALUE"""),"Cra 64 a # 14-75. Casa 47 / Conjunto cañamiel Barrio limonar")</f>
        <v>Cra 64 a # 14-75. Casa 47 / Conjunto cañamiel Barrio limonar</v>
      </c>
      <c r="G6632" s="15" t="str">
        <f>IFERROR(__xludf.DUMMYFUNCTION("""COMPUTED_VALUE"""),"ANGELA MARIA LOPEZ")</f>
        <v>ANGELA MARIA LOPEZ</v>
      </c>
      <c r="H6632" s="16">
        <f>IFERROR(__xludf.DUMMYFUNCTION("""COMPUTED_VALUE"""),15387.0)</f>
        <v>15387</v>
      </c>
      <c r="I6632" s="18">
        <f>IFERROR(__xludf.DUMMYFUNCTION("""COMPUTED_VALUE"""),1.0)</f>
        <v>1</v>
      </c>
      <c r="J6632" s="18">
        <f>IFERROR(__xludf.DUMMYFUNCTION("""COMPUTED_VALUE"""),1.0)</f>
        <v>1</v>
      </c>
      <c r="K6632" s="18">
        <f>IFERROR(__xludf.DUMMYFUNCTION("""COMPUTED_VALUE"""),1.0)</f>
        <v>1</v>
      </c>
      <c r="L6632" s="17">
        <f>IFERROR(__xludf.DUMMYFUNCTION("""COMPUTED_VALUE"""),3.164688197E9)</f>
        <v>3164688197</v>
      </c>
      <c r="M6632" s="17" t="str">
        <f>IFERROR(__xludf.DUMMYFUNCTION("""COMPUTED_VALUE"""),"#REF!")</f>
        <v>#REF!</v>
      </c>
      <c r="N6632" s="17"/>
      <c r="O6632" s="17"/>
      <c r="P6632" s="17" t="b">
        <f>IFERROR(__xludf.DUMMYFUNCTION("""COMPUTED_VALUE"""),FALSE)</f>
        <v>0</v>
      </c>
      <c r="Q6632" s="20" t="str">
        <f>IFERROR(__xludf.DUMMYFUNCTION("""COMPUTED_VALUE"""),"")</f>
        <v/>
      </c>
      <c r="R6632" s="22" t="str">
        <f>IFERROR(__xludf.DUMMYFUNCTION("""COMPUTED_VALUE"""),"")</f>
        <v/>
      </c>
    </row>
    <row r="6633">
      <c r="A6633" s="15">
        <f>IFERROR(__xludf.DUMMYFUNCTION("""COMPUTED_VALUE"""),45188.0)</f>
        <v>45188</v>
      </c>
      <c r="B6633" s="16" t="str">
        <f>IFERROR(__xludf.DUMMYFUNCTION("""COMPUTED_VALUE"""),"Johan Alexander Escobar Arroyo ")</f>
        <v>Johan Alexander Escobar Arroyo </v>
      </c>
      <c r="C6633" s="15" t="str">
        <f>IFERROR(__xludf.DUMMYFUNCTION("""COMPUTED_VALUE"""),"CALI")</f>
        <v>CALI</v>
      </c>
      <c r="D6633" s="15" t="str">
        <f>IFERROR(__xludf.DUMMYFUNCTION("""COMPUTED_VALUE"""),"BOGOTÁ")</f>
        <v>BOGOTÁ</v>
      </c>
      <c r="E6633" s="15" t="str">
        <f>IFERROR(__xludf.DUMMYFUNCTION("""COMPUTED_VALUE"""),"Evamazzita")</f>
        <v>Evamazzita</v>
      </c>
      <c r="F6633" s="17" t="str">
        <f>IFERROR(__xludf.DUMMYFUNCTION("""COMPUTED_VALUE"""),"Cra 79 #13b-110 / apto 203C Torres de santorino Barrio quintas de don Simón")</f>
        <v>Cra 79 #13b-110 / apto 203C Torres de santorino Barrio quintas de don Simón</v>
      </c>
      <c r="G6633" s="15" t="str">
        <f>IFERROR(__xludf.DUMMYFUNCTION("""COMPUTED_VALUE"""),"CAROLINA RUBIANO ARANGO")</f>
        <v>CAROLINA RUBIANO ARANGO</v>
      </c>
      <c r="H6633" s="16">
        <f>IFERROR(__xludf.DUMMYFUNCTION("""COMPUTED_VALUE"""),15388.0)</f>
        <v>15388</v>
      </c>
      <c r="I6633" s="18">
        <f>IFERROR(__xludf.DUMMYFUNCTION("""COMPUTED_VALUE"""),1.0)</f>
        <v>1</v>
      </c>
      <c r="J6633" s="18">
        <f>IFERROR(__xludf.DUMMYFUNCTION("""COMPUTED_VALUE"""),1.0)</f>
        <v>1</v>
      </c>
      <c r="K6633" s="18">
        <f>IFERROR(__xludf.DUMMYFUNCTION("""COMPUTED_VALUE"""),1.0)</f>
        <v>1</v>
      </c>
      <c r="L6633" s="17">
        <f>IFERROR(__xludf.DUMMYFUNCTION("""COMPUTED_VALUE"""),3.113311218E9)</f>
        <v>3113311218</v>
      </c>
      <c r="M6633" s="17" t="str">
        <f>IFERROR(__xludf.DUMMYFUNCTION("""COMPUTED_VALUE"""),"#REF!")</f>
        <v>#REF!</v>
      </c>
      <c r="N6633" s="17"/>
      <c r="O6633" s="17"/>
      <c r="P6633" s="17" t="b">
        <f>IFERROR(__xludf.DUMMYFUNCTION("""COMPUTED_VALUE"""),TRUE)</f>
        <v>1</v>
      </c>
      <c r="Q6633" s="20">
        <f>IFERROR(__xludf.DUMMYFUNCTION("""COMPUTED_VALUE"""),45188.69071597222)</f>
        <v>45188.69072</v>
      </c>
      <c r="R6633" s="22" t="str">
        <f>IFERROR(__xludf.DUMMYFUNCTION("""COMPUTED_VALUE"""),"")</f>
        <v/>
      </c>
    </row>
    <row r="6634">
      <c r="A6634" s="15">
        <f>IFERROR(__xludf.DUMMYFUNCTION("""COMPUTED_VALUE"""),45188.0)</f>
        <v>45188</v>
      </c>
      <c r="B6634" s="16" t="str">
        <f>IFERROR(__xludf.DUMMYFUNCTION("""COMPUTED_VALUE"""),"Johan Alexander Escobar Arroyo ")</f>
        <v>Johan Alexander Escobar Arroyo </v>
      </c>
      <c r="C6634" s="15" t="str">
        <f>IFERROR(__xludf.DUMMYFUNCTION("""COMPUTED_VALUE"""),"CALI")</f>
        <v>CALI</v>
      </c>
      <c r="D6634" s="15" t="str">
        <f>IFERROR(__xludf.DUMMYFUNCTION("""COMPUTED_VALUE"""),"BOGOTÁ")</f>
        <v>BOGOTÁ</v>
      </c>
      <c r="E6634" s="15" t="str">
        <f>IFERROR(__xludf.DUMMYFUNCTION("""COMPUTED_VALUE"""),"Ins. Alimento Vital")</f>
        <v>Ins. Alimento Vital</v>
      </c>
      <c r="F6634" s="17" t="str">
        <f>IFERROR(__xludf.DUMMYFUNCTION("""COMPUTED_VALUE"""),"CL 34N 2BN 33 / BODEGA / SAN VICENTE")</f>
        <v>CL 34N 2BN 33 / BODEGA / SAN VICENTE</v>
      </c>
      <c r="G6634" s="15" t="str">
        <f>IFERROR(__xludf.DUMMYFUNCTION("""COMPUTED_VALUE"""),"VELOCITY CALI")</f>
        <v>VELOCITY CALI</v>
      </c>
      <c r="H6634" s="16">
        <f>IFERROR(__xludf.DUMMYFUNCTION("""COMPUTED_VALUE"""),15351.0)</f>
        <v>15351</v>
      </c>
      <c r="I6634" s="18">
        <f>IFERROR(__xludf.DUMMYFUNCTION("""COMPUTED_VALUE"""),1.0)</f>
        <v>1</v>
      </c>
      <c r="J6634" s="18">
        <f>IFERROR(__xludf.DUMMYFUNCTION("""COMPUTED_VALUE"""),1.0)</f>
        <v>1</v>
      </c>
      <c r="K6634" s="18">
        <f>IFERROR(__xludf.DUMMYFUNCTION("""COMPUTED_VALUE"""),1.0)</f>
        <v>1</v>
      </c>
      <c r="L6634" s="17">
        <f>IFERROR(__xludf.DUMMYFUNCTION("""COMPUTED_VALUE"""),3.117591055E9)</f>
        <v>3117591055</v>
      </c>
      <c r="M6634" s="17" t="str">
        <f>IFERROR(__xludf.DUMMYFUNCTION("""COMPUTED_VALUE"""),"#REF!")</f>
        <v>#REF!</v>
      </c>
      <c r="N6634" s="17"/>
      <c r="O6634" s="17"/>
      <c r="P6634" s="17" t="b">
        <f>IFERROR(__xludf.DUMMYFUNCTION("""COMPUTED_VALUE"""),FALSE)</f>
        <v>0</v>
      </c>
      <c r="Q6634" s="20" t="str">
        <f>IFERROR(__xludf.DUMMYFUNCTION("""COMPUTED_VALUE"""),"")</f>
        <v/>
      </c>
      <c r="R6634" s="22" t="str">
        <f>IFERROR(__xludf.DUMMYFUNCTION("""COMPUTED_VALUE"""),"")</f>
        <v/>
      </c>
    </row>
    <row r="6635">
      <c r="A6635" s="15">
        <f>IFERROR(__xludf.DUMMYFUNCTION("""COMPUTED_VALUE"""),45188.0)</f>
        <v>45188</v>
      </c>
      <c r="B6635" s="16" t="str">
        <f>IFERROR(__xludf.DUMMYFUNCTION("""COMPUTED_VALUE"""),"Johan Alexander Escobar Arroyo ")</f>
        <v>Johan Alexander Escobar Arroyo </v>
      </c>
      <c r="C6635" s="15" t="str">
        <f>IFERROR(__xludf.DUMMYFUNCTION("""COMPUTED_VALUE"""),"CALI")</f>
        <v>CALI</v>
      </c>
      <c r="D6635" s="15" t="str">
        <f>IFERROR(__xludf.DUMMYFUNCTION("""COMPUTED_VALUE"""),"BOGOTÁ")</f>
        <v>BOGOTÁ</v>
      </c>
      <c r="E6635" s="15" t="str">
        <f>IFERROR(__xludf.DUMMYFUNCTION("""COMPUTED_VALUE"""),"Lunchy Kids")</f>
        <v>Lunchy Kids</v>
      </c>
      <c r="F6635" s="17" t="str">
        <f>IFERROR(__xludf.DUMMYFUNCTION("""COMPUTED_VALUE"""),"Cra 29 A 1 # 12b - 133  / Casa  / Cali")</f>
        <v>Cra 29 A 1 # 12b - 133  / Casa  / Cali</v>
      </c>
      <c r="G6635" s="15" t="str">
        <f>IFERROR(__xludf.DUMMYFUNCTION("""COMPUTED_VALUE"""),"Claudia Lorena Betancourt")</f>
        <v>Claudia Lorena Betancourt</v>
      </c>
      <c r="H6635" s="16">
        <f>IFERROR(__xludf.DUMMYFUNCTION("""COMPUTED_VALUE"""),15304.0)</f>
        <v>15304</v>
      </c>
      <c r="I6635" s="18">
        <f>IFERROR(__xludf.DUMMYFUNCTION("""COMPUTED_VALUE"""),15.0)</f>
        <v>15</v>
      </c>
      <c r="J6635" s="18">
        <f>IFERROR(__xludf.DUMMYFUNCTION("""COMPUTED_VALUE"""),29.0)</f>
        <v>29</v>
      </c>
      <c r="K6635" s="18">
        <f>IFERROR(__xludf.DUMMYFUNCTION("""COMPUTED_VALUE"""),10.0)</f>
        <v>10</v>
      </c>
      <c r="L6635" s="17">
        <f>IFERROR(__xludf.DUMMYFUNCTION("""COMPUTED_VALUE"""),3.12886581E9)</f>
        <v>3128865810</v>
      </c>
      <c r="M6635" s="17" t="str">
        <f>IFERROR(__xludf.DUMMYFUNCTION("""COMPUTED_VALUE"""),"#REF!")</f>
        <v>#REF!</v>
      </c>
      <c r="N6635" s="17"/>
      <c r="O6635" s="17"/>
      <c r="P6635" s="17" t="b">
        <f>IFERROR(__xludf.DUMMYFUNCTION("""COMPUTED_VALUE"""),TRUE)</f>
        <v>1</v>
      </c>
      <c r="Q6635" s="20">
        <f>IFERROR(__xludf.DUMMYFUNCTION("""COMPUTED_VALUE"""),45188.69071597222)</f>
        <v>45188.69072</v>
      </c>
      <c r="R6635" s="22" t="str">
        <f>IFERROR(__xludf.DUMMYFUNCTION("""COMPUTED_VALUE"""),"")</f>
        <v/>
      </c>
    </row>
    <row r="6636">
      <c r="A6636" s="17" t="str">
        <f>IFERROR(__xludf.DUMMYFUNCTION("""COMPUTED_VALUE"""),"")</f>
        <v/>
      </c>
      <c r="B6636" s="17" t="str">
        <f>IFERROR(__xludf.DUMMYFUNCTION("""COMPUTED_VALUE"""),"")</f>
        <v/>
      </c>
      <c r="C6636" s="17" t="str">
        <f>IFERROR(__xludf.DUMMYFUNCTION("""COMPUTED_VALUE"""),"")</f>
        <v/>
      </c>
      <c r="D6636" s="17" t="str">
        <f>IFERROR(__xludf.DUMMYFUNCTION("""COMPUTED_VALUE"""),"")</f>
        <v/>
      </c>
      <c r="E6636" s="17" t="str">
        <f>IFERROR(__xludf.DUMMYFUNCTION("""COMPUTED_VALUE"""),"")</f>
        <v/>
      </c>
      <c r="F6636" s="17" t="str">
        <f>IFERROR(__xludf.DUMMYFUNCTION("""COMPUTED_VALUE"""),"")</f>
        <v/>
      </c>
      <c r="G6636" s="17" t="str">
        <f>IFERROR(__xludf.DUMMYFUNCTION("""COMPUTED_VALUE"""),"")</f>
        <v/>
      </c>
      <c r="H6636" s="17" t="str">
        <f>IFERROR(__xludf.DUMMYFUNCTION("""COMPUTED_VALUE"""),"")</f>
        <v/>
      </c>
      <c r="I6636" s="17" t="str">
        <f>IFERROR(__xludf.DUMMYFUNCTION("""COMPUTED_VALUE"""),"")</f>
        <v/>
      </c>
      <c r="J6636" s="17" t="str">
        <f>IFERROR(__xludf.DUMMYFUNCTION("""COMPUTED_VALUE"""),"")</f>
        <v/>
      </c>
      <c r="K6636" s="17" t="str">
        <f>IFERROR(__xludf.DUMMYFUNCTION("""COMPUTED_VALUE"""),"")</f>
        <v/>
      </c>
      <c r="L6636" s="17" t="str">
        <f>IFERROR(__xludf.DUMMYFUNCTION("""COMPUTED_VALUE"""),"")</f>
        <v/>
      </c>
      <c r="M6636" s="17" t="str">
        <f>IFERROR(__xludf.DUMMYFUNCTION("""COMPUTED_VALUE"""),"")</f>
        <v/>
      </c>
      <c r="N6636" s="17" t="str">
        <f>IFERROR(__xludf.DUMMYFUNCTION("""COMPUTED_VALUE"""),"")</f>
        <v/>
      </c>
      <c r="O6636" s="17" t="str">
        <f>IFERROR(__xludf.DUMMYFUNCTION("""COMPUTED_VALUE"""),"")</f>
        <v/>
      </c>
      <c r="P6636" s="17" t="str">
        <f>IFERROR(__xludf.DUMMYFUNCTION("""COMPUTED_VALUE"""),"")</f>
        <v/>
      </c>
      <c r="Q6636" s="17" t="str">
        <f>IFERROR(__xludf.DUMMYFUNCTION("""COMPUTED_VALUE"""),"")</f>
        <v/>
      </c>
      <c r="R6636" s="17" t="str">
        <f>IFERROR(__xludf.DUMMYFUNCTION("""COMPUTED_VALUE"""),"")</f>
        <v/>
      </c>
    </row>
    <row r="6637">
      <c r="A6637" s="15">
        <f>IFERROR(__xludf.DUMMYFUNCTION("""COMPUTED_VALUE"""),45188.0)</f>
        <v>45188</v>
      </c>
      <c r="B6637" s="16" t="str">
        <f>IFERROR(__xludf.DUMMYFUNCTION("""COMPUTED_VALUE"""),"Johanna Arango Barrera")</f>
        <v>Johanna Arango Barrera</v>
      </c>
      <c r="C6637" s="15" t="str">
        <f>IFERROR(__xludf.DUMMYFUNCTION("""COMPUTED_VALUE"""),"BUCARAMANGA")</f>
        <v>BUCARAMANGA</v>
      </c>
      <c r="D6637" s="15" t="str">
        <f>IFERROR(__xludf.DUMMYFUNCTION("""COMPUTED_VALUE"""),"BOGOTÁ")</f>
        <v>BOGOTÁ</v>
      </c>
      <c r="E6637" s="15" t="str">
        <f>IFERROR(__xludf.DUMMYFUNCTION("""COMPUTED_VALUE"""),"Ins. Alimento Vital")</f>
        <v>Ins. Alimento Vital</v>
      </c>
      <c r="F6637" s="17" t="str">
        <f>IFERROR(__xludf.DUMMYFUNCTION("""COMPUTED_VALUE"""),"CR 23 31 63  / 1206 / EDIFICIO MILANO XXIII")</f>
        <v>CR 23 31 63  / 1206 / EDIFICIO MILANO XXIII</v>
      </c>
      <c r="G6637" s="15" t="str">
        <f>IFERROR(__xludf.DUMMYFUNCTION("""COMPUTED_VALUE"""),"DIEGO MAURICIO RODRIGUEZ BELTRAN")</f>
        <v>DIEGO MAURICIO RODRIGUEZ BELTRAN</v>
      </c>
      <c r="H6637" s="16">
        <f>IFERROR(__xludf.DUMMYFUNCTION("""COMPUTED_VALUE"""),15352.0)</f>
        <v>15352</v>
      </c>
      <c r="I6637" s="18">
        <f>IFERROR(__xludf.DUMMYFUNCTION("""COMPUTED_VALUE"""),1.0)</f>
        <v>1</v>
      </c>
      <c r="J6637" s="18">
        <f>IFERROR(__xludf.DUMMYFUNCTION("""COMPUTED_VALUE"""),1.0)</f>
        <v>1</v>
      </c>
      <c r="K6637" s="18">
        <f>IFERROR(__xludf.DUMMYFUNCTION("""COMPUTED_VALUE"""),1.0)</f>
        <v>1</v>
      </c>
      <c r="L6637" s="17">
        <f>IFERROR(__xludf.DUMMYFUNCTION("""COMPUTED_VALUE"""),3.178064951E9)</f>
        <v>3178064951</v>
      </c>
      <c r="M6637" s="17" t="str">
        <f>IFERROR(__xludf.DUMMYFUNCTION("""COMPUTED_VALUE"""),"#REF!")</f>
        <v>#REF!</v>
      </c>
      <c r="N6637" s="17"/>
      <c r="O6637" s="17"/>
      <c r="P6637" s="17" t="b">
        <f>IFERROR(__xludf.DUMMYFUNCTION("""COMPUTED_VALUE"""),TRUE)</f>
        <v>1</v>
      </c>
      <c r="Q6637" s="20">
        <f>IFERROR(__xludf.DUMMYFUNCTION("""COMPUTED_VALUE"""),45188.69075730324)</f>
        <v>45188.69076</v>
      </c>
      <c r="R6637" s="22" t="str">
        <f>IFERROR(__xludf.DUMMYFUNCTION("""COMPUTED_VALUE"""),"")</f>
        <v/>
      </c>
    </row>
    <row r="6638">
      <c r="A6638" s="15">
        <f>IFERROR(__xludf.DUMMYFUNCTION("""COMPUTED_VALUE"""),45188.0)</f>
        <v>45188</v>
      </c>
      <c r="B6638" s="16" t="str">
        <f>IFERROR(__xludf.DUMMYFUNCTION("""COMPUTED_VALUE"""),"Johanna Arango Barrera")</f>
        <v>Johanna Arango Barrera</v>
      </c>
      <c r="C6638" s="15" t="str">
        <f>IFERROR(__xludf.DUMMYFUNCTION("""COMPUTED_VALUE"""),"BUCARAMANGA")</f>
        <v>BUCARAMANGA</v>
      </c>
      <c r="D6638" s="15" t="str">
        <f>IFERROR(__xludf.DUMMYFUNCTION("""COMPUTED_VALUE"""),"BOGOTÁ")</f>
        <v>BOGOTÁ</v>
      </c>
      <c r="E6638" s="15" t="str">
        <f>IFERROR(__xludf.DUMMYFUNCTION("""COMPUTED_VALUE"""),"Lunchy Kids")</f>
        <v>Lunchy Kids</v>
      </c>
      <c r="F6638" s="17" t="str">
        <f>IFERROR(__xludf.DUMMYFUNCTION("""COMPUTED_VALUE"""),"Kilómetro 23 via piedecuesta  / Condominio Arcadia casa 5 / Bucaramanga")</f>
        <v>Kilómetro 23 via piedecuesta  / Condominio Arcadia casa 5 / Bucaramanga</v>
      </c>
      <c r="G6638" s="15" t="str">
        <f>IFERROR(__xludf.DUMMYFUNCTION("""COMPUTED_VALUE"""),"Astrid Julieth Serrano Plata")</f>
        <v>Astrid Julieth Serrano Plata</v>
      </c>
      <c r="H6638" s="16">
        <f>IFERROR(__xludf.DUMMYFUNCTION("""COMPUTED_VALUE"""),15344.0)</f>
        <v>15344</v>
      </c>
      <c r="I6638" s="18">
        <f>IFERROR(__xludf.DUMMYFUNCTION("""COMPUTED_VALUE"""),20.0)</f>
        <v>20</v>
      </c>
      <c r="J6638" s="18">
        <f>IFERROR(__xludf.DUMMYFUNCTION("""COMPUTED_VALUE"""),29.0)</f>
        <v>29</v>
      </c>
      <c r="K6638" s="18">
        <f>IFERROR(__xludf.DUMMYFUNCTION("""COMPUTED_VALUE"""),8.0)</f>
        <v>8</v>
      </c>
      <c r="L6638" s="17">
        <f>IFERROR(__xludf.DUMMYFUNCTION("""COMPUTED_VALUE"""),3.004420245E9)</f>
        <v>3004420245</v>
      </c>
      <c r="M6638" s="17" t="str">
        <f>IFERROR(__xludf.DUMMYFUNCTION("""COMPUTED_VALUE"""),"#REF!")</f>
        <v>#REF!</v>
      </c>
      <c r="N6638" s="17"/>
      <c r="O6638" s="17"/>
      <c r="P6638" s="17" t="b">
        <f>IFERROR(__xludf.DUMMYFUNCTION("""COMPUTED_VALUE"""),TRUE)</f>
        <v>1</v>
      </c>
      <c r="Q6638" s="20">
        <f>IFERROR(__xludf.DUMMYFUNCTION("""COMPUTED_VALUE"""),45188.69075730324)</f>
        <v>45188.69076</v>
      </c>
      <c r="R6638" s="22" t="str">
        <f>IFERROR(__xludf.DUMMYFUNCTION("""COMPUTED_VALUE"""),"")</f>
        <v/>
      </c>
    </row>
    <row r="6639">
      <c r="A6639" s="15">
        <f>IFERROR(__xludf.DUMMYFUNCTION("""COMPUTED_VALUE"""),45188.0)</f>
        <v>45188</v>
      </c>
      <c r="B6639" s="16" t="str">
        <f>IFERROR(__xludf.DUMMYFUNCTION("""COMPUTED_VALUE"""),"Johanna Arango Barrera")</f>
        <v>Johanna Arango Barrera</v>
      </c>
      <c r="C6639" s="15" t="str">
        <f>IFERROR(__xludf.DUMMYFUNCTION("""COMPUTED_VALUE"""),"BUCARAMANGA")</f>
        <v>BUCARAMANGA</v>
      </c>
      <c r="D6639" s="15" t="str">
        <f>IFERROR(__xludf.DUMMYFUNCTION("""COMPUTED_VALUE"""),"MEDELLÍN")</f>
        <v>MEDELLÍN</v>
      </c>
      <c r="E6639" s="15" t="str">
        <f>IFERROR(__xludf.DUMMYFUNCTION("""COMPUTED_VALUE"""),"AREPAS LA MARY")</f>
        <v>AREPAS LA MARY</v>
      </c>
      <c r="F6639" s="17" t="str">
        <f>IFERROR(__xludf.DUMMYFUNCTION("""COMPUTED_VALUE"""),"calle 34 # 22-46 / edificio picasso cubismo t2 apto 604")</f>
        <v>calle 34 # 22-46 / edificio picasso cubismo t2 apto 604</v>
      </c>
      <c r="G6639" s="15" t="str">
        <f>IFERROR(__xludf.DUMMYFUNCTION("""COMPUTED_VALUE"""),"PANERA BUCARAMANGA")</f>
        <v>PANERA BUCARAMANGA</v>
      </c>
      <c r="H6639" s="16">
        <f>IFERROR(__xludf.DUMMYFUNCTION("""COMPUTED_VALUE"""),15347.0)</f>
        <v>15347</v>
      </c>
      <c r="I6639" s="18">
        <f>IFERROR(__xludf.DUMMYFUNCTION("""COMPUTED_VALUE"""),89.0)</f>
        <v>89</v>
      </c>
      <c r="J6639" s="18">
        <f>IFERROR(__xludf.DUMMYFUNCTION("""COMPUTED_VALUE"""),1.0)</f>
        <v>1</v>
      </c>
      <c r="K6639" s="18">
        <f>IFERROR(__xludf.DUMMYFUNCTION("""COMPUTED_VALUE"""),10.0)</f>
        <v>10</v>
      </c>
      <c r="L6639" s="17">
        <f>IFERROR(__xludf.DUMMYFUNCTION("""COMPUTED_VALUE"""),3.213260509E9)</f>
        <v>3213260509</v>
      </c>
      <c r="M6639" s="17" t="str">
        <f>IFERROR(__xludf.DUMMYFUNCTION("""COMPUTED_VALUE"""),"#REF!")</f>
        <v>#REF!</v>
      </c>
      <c r="N6639" s="17"/>
      <c r="O6639" s="17"/>
      <c r="P6639" s="17" t="b">
        <f>IFERROR(__xludf.DUMMYFUNCTION("""COMPUTED_VALUE"""),FALSE)</f>
        <v>0</v>
      </c>
      <c r="Q6639" s="20" t="str">
        <f>IFERROR(__xludf.DUMMYFUNCTION("""COMPUTED_VALUE"""),"")</f>
        <v/>
      </c>
      <c r="R6639" s="22" t="str">
        <f>IFERROR(__xludf.DUMMYFUNCTION("""COMPUTED_VALUE"""),"")</f>
        <v/>
      </c>
    </row>
    <row r="6640">
      <c r="A6640" s="15">
        <f>IFERROR(__xludf.DUMMYFUNCTION("""COMPUTED_VALUE"""),45188.0)</f>
        <v>45188</v>
      </c>
      <c r="B6640" s="16" t="str">
        <f>IFERROR(__xludf.DUMMYFUNCTION("""COMPUTED_VALUE"""),"Johanna Arango Barrera")</f>
        <v>Johanna Arango Barrera</v>
      </c>
      <c r="C6640" s="15" t="str">
        <f>IFERROR(__xludf.DUMMYFUNCTION("""COMPUTED_VALUE"""),"BUCARAMANGA")</f>
        <v>BUCARAMANGA</v>
      </c>
      <c r="D6640" s="15" t="str">
        <f>IFERROR(__xludf.DUMMYFUNCTION("""COMPUTED_VALUE"""),"MEDELLÍN")</f>
        <v>MEDELLÍN</v>
      </c>
      <c r="E6640" s="15" t="str">
        <f>IFERROR(__xludf.DUMMYFUNCTION("""COMPUTED_VALUE"""),"Baby Chef")</f>
        <v>Baby Chef</v>
      </c>
      <c r="F6640" s="17" t="str">
        <f>IFERROR(__xludf.DUMMYFUNCTION("""COMPUTED_VALUE"""),"Cra 27 No 84 18 conjunto Terranova T2 apto 903 diamante 2 Bucaramanga Santander / ""Cra 27 No 84 18 conjunto Terranova T2 apto 903 diamante 2 Bucaramanga Santander"" / ""Cra 27 No 84 18 conjunto Terranova T2 apto 903 diamante 2 Bucaramanga Santander""")</f>
        <v>Cra 27 No 84 18 conjunto Terranova T2 apto 903 diamante 2 Bucaramanga Santander / "Cra 27 No 84 18 conjunto Terranova T2 apto 903 diamante 2 Bucaramanga Santander" / "Cra 27 No 84 18 conjunto Terranova T2 apto 903 diamante 2 Bucaramanga Santander"</v>
      </c>
      <c r="G6640" s="15" t="str">
        <f>IFERROR(__xludf.DUMMYFUNCTION("""COMPUTED_VALUE"""),"Laura Melissa Becerra")</f>
        <v>Laura Melissa Becerra</v>
      </c>
      <c r="H6640" s="16">
        <f>IFERROR(__xludf.DUMMYFUNCTION("""COMPUTED_VALUE"""),15362.0)</f>
        <v>15362</v>
      </c>
      <c r="I6640" s="18">
        <f>IFERROR(__xludf.DUMMYFUNCTION("""COMPUTED_VALUE"""),4.0)</f>
        <v>4</v>
      </c>
      <c r="J6640" s="18">
        <f>IFERROR(__xludf.DUMMYFUNCTION("""COMPUTED_VALUE"""),21.0)</f>
        <v>21</v>
      </c>
      <c r="K6640" s="18">
        <f>IFERROR(__xludf.DUMMYFUNCTION("""COMPUTED_VALUE"""),22.0)</f>
        <v>22</v>
      </c>
      <c r="L6640" s="17">
        <f>IFERROR(__xludf.DUMMYFUNCTION("""COMPUTED_VALUE"""),3.164540927E9)</f>
        <v>3164540927</v>
      </c>
      <c r="M6640" s="17" t="str">
        <f>IFERROR(__xludf.DUMMYFUNCTION("""COMPUTED_VALUE"""),"#REF!")</f>
        <v>#REF!</v>
      </c>
      <c r="N6640" s="17"/>
      <c r="O6640" s="17"/>
      <c r="P6640" s="17" t="b">
        <f>IFERROR(__xludf.DUMMYFUNCTION("""COMPUTED_VALUE"""),TRUE)</f>
        <v>1</v>
      </c>
      <c r="Q6640" s="20">
        <f>IFERROR(__xludf.DUMMYFUNCTION("""COMPUTED_VALUE"""),45188.617990011575)</f>
        <v>45188.61799</v>
      </c>
      <c r="R6640" s="22" t="str">
        <f>IFERROR(__xludf.DUMMYFUNCTION("""COMPUTED_VALUE"""),"")</f>
        <v/>
      </c>
    </row>
    <row r="6641">
      <c r="A6641" s="15">
        <f>IFERROR(__xludf.DUMMYFUNCTION("""COMPUTED_VALUE"""),45188.0)</f>
        <v>45188</v>
      </c>
      <c r="B6641" s="16" t="str">
        <f>IFERROR(__xludf.DUMMYFUNCTION("""COMPUTED_VALUE"""),"Johanna Arango Barrera")</f>
        <v>Johanna Arango Barrera</v>
      </c>
      <c r="C6641" s="15" t="str">
        <f>IFERROR(__xludf.DUMMYFUNCTION("""COMPUTED_VALUE"""),"FLORIDABLANCA")</f>
        <v>FLORIDABLANCA</v>
      </c>
      <c r="D6641" s="15" t="str">
        <f>IFERROR(__xludf.DUMMYFUNCTION("""COMPUTED_VALUE"""),"BOGOTÁ")</f>
        <v>BOGOTÁ</v>
      </c>
      <c r="E6641" s="15" t="str">
        <f>IFERROR(__xludf.DUMMYFUNCTION("""COMPUTED_VALUE"""),"Asociacion Agropecuaria Juana Maria")</f>
        <v>Asociacion Agropecuaria Juana Maria</v>
      </c>
      <c r="F6641" s="17" t="str">
        <f>IFERROR(__xludf.DUMMYFUNCTION("""COMPUTED_VALUE"""),"Calle 19 #11-37 Guanatá FLORIDABLANCA")</f>
        <v>Calle 19 #11-37 Guanatá FLORIDABLANCA</v>
      </c>
      <c r="G6641" s="15" t="str">
        <f>IFERROR(__xludf.DUMMYFUNCTION("""COMPUTED_VALUE"""),"Claudia Gonzalez")</f>
        <v>Claudia Gonzalez</v>
      </c>
      <c r="H6641" s="16">
        <f>IFERROR(__xludf.DUMMYFUNCTION("""COMPUTED_VALUE"""),15290.0)</f>
        <v>15290</v>
      </c>
      <c r="I6641" s="18">
        <f>IFERROR(__xludf.DUMMYFUNCTION("""COMPUTED_VALUE"""),21.0)</f>
        <v>21</v>
      </c>
      <c r="J6641" s="18">
        <f>IFERROR(__xludf.DUMMYFUNCTION("""COMPUTED_VALUE"""),37.0)</f>
        <v>37</v>
      </c>
      <c r="K6641" s="18">
        <f>IFERROR(__xludf.DUMMYFUNCTION("""COMPUTED_VALUE"""),30.0)</f>
        <v>30</v>
      </c>
      <c r="L6641" s="17">
        <f>IFERROR(__xludf.DUMMYFUNCTION("""COMPUTED_VALUE"""),3.002802001E9)</f>
        <v>3002802001</v>
      </c>
      <c r="M6641" s="17" t="str">
        <f>IFERROR(__xludf.DUMMYFUNCTION("""COMPUTED_VALUE"""),"#REF!")</f>
        <v>#REF!</v>
      </c>
      <c r="N6641" s="17"/>
      <c r="O6641" s="17"/>
      <c r="P6641" s="17" t="b">
        <f>IFERROR(__xludf.DUMMYFUNCTION("""COMPUTED_VALUE"""),TRUE)</f>
        <v>1</v>
      </c>
      <c r="Q6641" s="20">
        <f>IFERROR(__xludf.DUMMYFUNCTION("""COMPUTED_VALUE"""),45189.67633113426)</f>
        <v>45189.67633</v>
      </c>
      <c r="R6641" s="22" t="str">
        <f>IFERROR(__xludf.DUMMYFUNCTION("""COMPUTED_VALUE"""),"")</f>
        <v/>
      </c>
    </row>
    <row r="6642">
      <c r="A6642" s="15">
        <f>IFERROR(__xludf.DUMMYFUNCTION("""COMPUTED_VALUE"""),45188.0)</f>
        <v>45188</v>
      </c>
      <c r="B6642" s="16" t="str">
        <f>IFERROR(__xludf.DUMMYFUNCTION("""COMPUTED_VALUE"""),"Johanna Arango Barrera")</f>
        <v>Johanna Arango Barrera</v>
      </c>
      <c r="C6642" s="15" t="str">
        <f>IFERROR(__xludf.DUMMYFUNCTION("""COMPUTED_VALUE"""),"PEREIRA")</f>
        <v>PEREIRA</v>
      </c>
      <c r="D6642" s="15" t="str">
        <f>IFERROR(__xludf.DUMMYFUNCTION("""COMPUTED_VALUE"""),"MEDELLÍN")</f>
        <v>MEDELLÍN</v>
      </c>
      <c r="E6642" s="15" t="str">
        <f>IFERROR(__xludf.DUMMYFUNCTION("""COMPUTED_VALUE"""),"Shottas")</f>
        <v>Shottas</v>
      </c>
      <c r="F6642" s="17" t="str">
        <f>IFERROR(__xludf.DUMMYFUNCTION("""COMPUTED_VALUE"""),"Cll 12 bis # 16-18 / Casa hoja  / Barrio pinares")</f>
        <v>Cll 12 bis # 16-18 / Casa hoja  / Barrio pinares</v>
      </c>
      <c r="G6642" s="15" t="str">
        <f>IFERROR(__xludf.DUMMYFUNCTION("""COMPUTED_VALUE"""),"María José Parra")</f>
        <v>María José Parra</v>
      </c>
      <c r="H6642" s="16">
        <f>IFERROR(__xludf.DUMMYFUNCTION("""COMPUTED_VALUE"""),15334.0)</f>
        <v>15334</v>
      </c>
      <c r="I6642" s="18">
        <f>IFERROR(__xludf.DUMMYFUNCTION("""COMPUTED_VALUE"""),19.0)</f>
        <v>19</v>
      </c>
      <c r="J6642" s="18">
        <f>IFERROR(__xludf.DUMMYFUNCTION("""COMPUTED_VALUE"""),18.0)</f>
        <v>18</v>
      </c>
      <c r="K6642" s="18">
        <f>IFERROR(__xludf.DUMMYFUNCTION("""COMPUTED_VALUE"""),28.0)</f>
        <v>28</v>
      </c>
      <c r="L6642" s="17">
        <f>IFERROR(__xludf.DUMMYFUNCTION("""COMPUTED_VALUE"""),3.166799446E9)</f>
        <v>3166799446</v>
      </c>
      <c r="M6642" s="17" t="str">
        <f>IFERROR(__xludf.DUMMYFUNCTION("""COMPUTED_VALUE"""),"#REF!")</f>
        <v>#REF!</v>
      </c>
      <c r="N6642" s="17"/>
      <c r="O6642" s="17"/>
      <c r="P6642" s="17" t="b">
        <f>IFERROR(__xludf.DUMMYFUNCTION("""COMPUTED_VALUE"""),TRUE)</f>
        <v>1</v>
      </c>
      <c r="Q6642" s="20">
        <f>IFERROR(__xludf.DUMMYFUNCTION("""COMPUTED_VALUE"""),45189.67639795139)</f>
        <v>45189.6764</v>
      </c>
      <c r="R6642" s="21" t="str">
        <f>IFERROR(__xludf.DUMMYFUNCTION("""COMPUTED_VALUE"""),"https://drive.google.com/file/d/12MTgVFJapSIFZ0l7Rp1NDX4RLC4RENUB/view?usp=drivesdk")</f>
        <v>https://drive.google.com/file/d/12MTgVFJapSIFZ0l7Rp1NDX4RLC4RENUB/view?usp=drivesdk</v>
      </c>
    </row>
    <row r="6643">
      <c r="A6643" s="15">
        <f>IFERROR(__xludf.DUMMYFUNCTION("""COMPUTED_VALUE"""),45188.0)</f>
        <v>45188</v>
      </c>
      <c r="B6643" s="16" t="str">
        <f>IFERROR(__xludf.DUMMYFUNCTION("""COMPUTED_VALUE"""),"Johanna Arango Barrera")</f>
        <v>Johanna Arango Barrera</v>
      </c>
      <c r="C6643" s="15" t="str">
        <f>IFERROR(__xludf.DUMMYFUNCTION("""COMPUTED_VALUE"""),"PEREIRA")</f>
        <v>PEREIRA</v>
      </c>
      <c r="D6643" s="15" t="str">
        <f>IFERROR(__xludf.DUMMYFUNCTION("""COMPUTED_VALUE"""),"MEDELLÍN")</f>
        <v>MEDELLÍN</v>
      </c>
      <c r="E6643" s="15" t="str">
        <f>IFERROR(__xludf.DUMMYFUNCTION("""COMPUTED_VALUE"""),"TOLEDALES S.A.S")</f>
        <v>TOLEDALES S.A.S</v>
      </c>
      <c r="F6643" s="17" t="str">
        <f>IFERROR(__xludf.DUMMYFUNCTION("""COMPUTED_VALUE"""),"Manzana 42 casa 13 piso 2 Samaria 1")</f>
        <v>Manzana 42 casa 13 piso 2 Samaria 1</v>
      </c>
      <c r="G6643" s="15" t="str">
        <f>IFERROR(__xludf.DUMMYFUNCTION("""COMPUTED_VALUE"""),"luz omaida jimenez")</f>
        <v>luz omaida jimenez</v>
      </c>
      <c r="H6643" s="16">
        <f>IFERROR(__xludf.DUMMYFUNCTION("""COMPUTED_VALUE"""),15301.0)</f>
        <v>15301</v>
      </c>
      <c r="I6643" s="18">
        <f>IFERROR(__xludf.DUMMYFUNCTION("""COMPUTED_VALUE"""),31.0)</f>
        <v>31</v>
      </c>
      <c r="J6643" s="18">
        <f>IFERROR(__xludf.DUMMYFUNCTION("""COMPUTED_VALUE"""),25.0)</f>
        <v>25</v>
      </c>
      <c r="K6643" s="18">
        <f>IFERROR(__xludf.DUMMYFUNCTION("""COMPUTED_VALUE"""),21.0)</f>
        <v>21</v>
      </c>
      <c r="L6643" s="17">
        <f>IFERROR(__xludf.DUMMYFUNCTION("""COMPUTED_VALUE"""),3.14562573E9)</f>
        <v>3145625730</v>
      </c>
      <c r="M6643" s="17" t="str">
        <f>IFERROR(__xludf.DUMMYFUNCTION("""COMPUTED_VALUE"""),"#REF!")</f>
        <v>#REF!</v>
      </c>
      <c r="N6643" s="17"/>
      <c r="O6643" s="17"/>
      <c r="P6643" s="17" t="b">
        <f>IFERROR(__xludf.DUMMYFUNCTION("""COMPUTED_VALUE"""),FALSE)</f>
        <v>0</v>
      </c>
      <c r="Q6643" s="20" t="str">
        <f>IFERROR(__xludf.DUMMYFUNCTION("""COMPUTED_VALUE"""),"")</f>
        <v/>
      </c>
      <c r="R6643" s="21" t="str">
        <f>IFERROR(__xludf.DUMMYFUNCTION("""COMPUTED_VALUE"""),"https://drive.google.com/file/d/19bvldJme_NpP3PmWWG271CD90RHsyOyS/view?usp=drivesdk")</f>
        <v>https://drive.google.com/file/d/19bvldJme_NpP3PmWWG271CD90RHsyOyS/view?usp=drivesdk</v>
      </c>
    </row>
    <row r="6644">
      <c r="A6644" s="17" t="str">
        <f>IFERROR(__xludf.DUMMYFUNCTION("""COMPUTED_VALUE"""),"")</f>
        <v/>
      </c>
      <c r="B6644" s="17" t="str">
        <f>IFERROR(__xludf.DUMMYFUNCTION("""COMPUTED_VALUE"""),"")</f>
        <v/>
      </c>
      <c r="C6644" s="17" t="str">
        <f>IFERROR(__xludf.DUMMYFUNCTION("""COMPUTED_VALUE"""),"")</f>
        <v/>
      </c>
      <c r="D6644" s="17" t="str">
        <f>IFERROR(__xludf.DUMMYFUNCTION("""COMPUTED_VALUE"""),"")</f>
        <v/>
      </c>
      <c r="E6644" s="17" t="str">
        <f>IFERROR(__xludf.DUMMYFUNCTION("""COMPUTED_VALUE"""),"")</f>
        <v/>
      </c>
      <c r="F6644" s="17" t="str">
        <f>IFERROR(__xludf.DUMMYFUNCTION("""COMPUTED_VALUE"""),"")</f>
        <v/>
      </c>
      <c r="G6644" s="17" t="str">
        <f>IFERROR(__xludf.DUMMYFUNCTION("""COMPUTED_VALUE"""),"")</f>
        <v/>
      </c>
      <c r="H6644" s="17" t="str">
        <f>IFERROR(__xludf.DUMMYFUNCTION("""COMPUTED_VALUE"""),"")</f>
        <v/>
      </c>
      <c r="I6644" s="17" t="str">
        <f>IFERROR(__xludf.DUMMYFUNCTION("""COMPUTED_VALUE"""),"")</f>
        <v/>
      </c>
      <c r="J6644" s="17" t="str">
        <f>IFERROR(__xludf.DUMMYFUNCTION("""COMPUTED_VALUE"""),"")</f>
        <v/>
      </c>
      <c r="K6644" s="17" t="str">
        <f>IFERROR(__xludf.DUMMYFUNCTION("""COMPUTED_VALUE"""),"")</f>
        <v/>
      </c>
      <c r="L6644" s="17" t="str">
        <f>IFERROR(__xludf.DUMMYFUNCTION("""COMPUTED_VALUE"""),"")</f>
        <v/>
      </c>
      <c r="M6644" s="17" t="str">
        <f>IFERROR(__xludf.DUMMYFUNCTION("""COMPUTED_VALUE"""),"")</f>
        <v/>
      </c>
      <c r="N6644" s="17" t="str">
        <f>IFERROR(__xludf.DUMMYFUNCTION("""COMPUTED_VALUE"""),"")</f>
        <v/>
      </c>
      <c r="O6644" s="17" t="str">
        <f>IFERROR(__xludf.DUMMYFUNCTION("""COMPUTED_VALUE"""),"")</f>
        <v/>
      </c>
      <c r="P6644" s="17" t="str">
        <f>IFERROR(__xludf.DUMMYFUNCTION("""COMPUTED_VALUE"""),"")</f>
        <v/>
      </c>
      <c r="Q6644" s="17" t="str">
        <f>IFERROR(__xludf.DUMMYFUNCTION("""COMPUTED_VALUE"""),"")</f>
        <v/>
      </c>
      <c r="R6644" s="17" t="str">
        <f>IFERROR(__xludf.DUMMYFUNCTION("""COMPUTED_VALUE"""),"")</f>
        <v/>
      </c>
    </row>
    <row r="6645">
      <c r="A6645" s="15">
        <f>IFERROR(__xludf.DUMMYFUNCTION("""COMPUTED_VALUE"""),45188.0)</f>
        <v>45188</v>
      </c>
      <c r="B6645" s="16" t="str">
        <f>IFERROR(__xludf.DUMMYFUNCTION("""COMPUTED_VALUE"""),"Santiago Garces Restrepo")</f>
        <v>Santiago Garces Restrepo</v>
      </c>
      <c r="C6645" s="15" t="str">
        <f>IFERROR(__xludf.DUMMYFUNCTION("""COMPUTED_VALUE"""),"ENVIGADO")</f>
        <v>ENVIGADO</v>
      </c>
      <c r="D6645" s="15" t="str">
        <f>IFERROR(__xludf.DUMMYFUNCTION("""COMPUTED_VALUE"""),"BOGOTÁ")</f>
        <v>BOGOTÁ</v>
      </c>
      <c r="E6645" s="15" t="str">
        <f>IFERROR(__xludf.DUMMYFUNCTION("""COMPUTED_VALUE"""),"Evamazzita")</f>
        <v>Evamazzita</v>
      </c>
      <c r="F6645" s="17" t="str">
        <f>IFERROR(__xludf.DUMMYFUNCTION("""COMPUTED_VALUE"""),"CRA 27G No. 35SUR - 175 / APTO 1406 UNIDAD SALTAMONTE GRAND EN EL ESCOBERO")</f>
        <v>CRA 27G No. 35SUR - 175 / APTO 1406 UNIDAD SALTAMONTE GRAND EN EL ESCOBERO</v>
      </c>
      <c r="G6645" s="15" t="str">
        <f>IFERROR(__xludf.DUMMYFUNCTION("""COMPUTED_VALUE"""),"SANDRA LILIANA VELASQUEZ PALACIO")</f>
        <v>SANDRA LILIANA VELASQUEZ PALACIO</v>
      </c>
      <c r="H6645" s="16">
        <f>IFERROR(__xludf.DUMMYFUNCTION("""COMPUTED_VALUE"""),15373.0)</f>
        <v>15373</v>
      </c>
      <c r="I6645" s="18">
        <f>IFERROR(__xludf.DUMMYFUNCTION("""COMPUTED_VALUE"""),1.0)</f>
        <v>1</v>
      </c>
      <c r="J6645" s="18">
        <f>IFERROR(__xludf.DUMMYFUNCTION("""COMPUTED_VALUE"""),1.0)</f>
        <v>1</v>
      </c>
      <c r="K6645" s="18">
        <f>IFERROR(__xludf.DUMMYFUNCTION("""COMPUTED_VALUE"""),1.0)</f>
        <v>1</v>
      </c>
      <c r="L6645" s="17">
        <f>IFERROR(__xludf.DUMMYFUNCTION("""COMPUTED_VALUE"""),3.042414222E9)</f>
        <v>3042414222</v>
      </c>
      <c r="M6645" s="17" t="str">
        <f>IFERROR(__xludf.DUMMYFUNCTION("""COMPUTED_VALUE"""),"#REF!")</f>
        <v>#REF!</v>
      </c>
      <c r="N6645" s="17"/>
      <c r="O6645" s="17"/>
      <c r="P6645" s="17" t="b">
        <f>IFERROR(__xludf.DUMMYFUNCTION("""COMPUTED_VALUE"""),FALSE)</f>
        <v>0</v>
      </c>
      <c r="Q6645" s="20" t="str">
        <f>IFERROR(__xludf.DUMMYFUNCTION("""COMPUTED_VALUE"""),"")</f>
        <v/>
      </c>
      <c r="R6645" s="21" t="str">
        <f>IFERROR(__xludf.DUMMYFUNCTION("""COMPUTED_VALUE"""),"https://drive.google.com/file/d/1TGSZ33JhfOxidJiwAPe5871H0jTWqEST/view?usp=drivesdk")</f>
        <v>https://drive.google.com/file/d/1TGSZ33JhfOxidJiwAPe5871H0jTWqEST/view?usp=drivesdk</v>
      </c>
    </row>
    <row r="6646">
      <c r="A6646" s="15">
        <f>IFERROR(__xludf.DUMMYFUNCTION("""COMPUTED_VALUE"""),45188.0)</f>
        <v>45188</v>
      </c>
      <c r="B6646" s="16" t="str">
        <f>IFERROR(__xludf.DUMMYFUNCTION("""COMPUTED_VALUE"""),"Santiago Garces Restrepo")</f>
        <v>Santiago Garces Restrepo</v>
      </c>
      <c r="C6646" s="15" t="str">
        <f>IFERROR(__xludf.DUMMYFUNCTION("""COMPUTED_VALUE"""),"ENVIGADO")</f>
        <v>ENVIGADO</v>
      </c>
      <c r="D6646" s="15" t="str">
        <f>IFERROR(__xludf.DUMMYFUNCTION("""COMPUTED_VALUE"""),"BOGOTÁ")</f>
        <v>BOGOTÁ</v>
      </c>
      <c r="E6646" s="15" t="str">
        <f>IFERROR(__xludf.DUMMYFUNCTION("""COMPUTED_VALUE"""),"Evamazzita")</f>
        <v>Evamazzita</v>
      </c>
      <c r="F6646" s="17" t="str">
        <f>IFERROR(__xludf.DUMMYFUNCTION("""COMPUTED_VALUE"""),"CRA 39E No. 48C SUR - 103 / LOMA DEL BARRO T. 1 APTO 1501 C.R. MAGDALENA DE LA CUENCA")</f>
        <v>CRA 39E No. 48C SUR - 103 / LOMA DEL BARRO T. 1 APTO 1501 C.R. MAGDALENA DE LA CUENCA</v>
      </c>
      <c r="G6646" s="15" t="str">
        <f>IFERROR(__xludf.DUMMYFUNCTION("""COMPUTED_VALUE"""),"ANGELA GUERRA")</f>
        <v>ANGELA GUERRA</v>
      </c>
      <c r="H6646" s="16">
        <f>IFERROR(__xludf.DUMMYFUNCTION("""COMPUTED_VALUE"""),15380.0)</f>
        <v>15380</v>
      </c>
      <c r="I6646" s="18">
        <f>IFERROR(__xludf.DUMMYFUNCTION("""COMPUTED_VALUE"""),1.0)</f>
        <v>1</v>
      </c>
      <c r="J6646" s="18">
        <f>IFERROR(__xludf.DUMMYFUNCTION("""COMPUTED_VALUE"""),1.0)</f>
        <v>1</v>
      </c>
      <c r="K6646" s="18">
        <f>IFERROR(__xludf.DUMMYFUNCTION("""COMPUTED_VALUE"""),1.0)</f>
        <v>1</v>
      </c>
      <c r="L6646" s="17">
        <f>IFERROR(__xludf.DUMMYFUNCTION("""COMPUTED_VALUE"""),3.108275453E9)</f>
        <v>3108275453</v>
      </c>
      <c r="M6646" s="17" t="str">
        <f>IFERROR(__xludf.DUMMYFUNCTION("""COMPUTED_VALUE"""),"#REF!")</f>
        <v>#REF!</v>
      </c>
      <c r="N6646" s="17"/>
      <c r="O6646" s="17"/>
      <c r="P6646" s="17" t="b">
        <f>IFERROR(__xludf.DUMMYFUNCTION("""COMPUTED_VALUE"""),FALSE)</f>
        <v>0</v>
      </c>
      <c r="Q6646" s="20" t="str">
        <f>IFERROR(__xludf.DUMMYFUNCTION("""COMPUTED_VALUE"""),"")</f>
        <v/>
      </c>
      <c r="R6646" s="21" t="str">
        <f>IFERROR(__xludf.DUMMYFUNCTION("""COMPUTED_VALUE"""),"https://drive.google.com/file/d/1z-42h2qUjMwT88DGRQ3Dmb7IdAIUQV49/view?usp=drivesdk")</f>
        <v>https://drive.google.com/file/d/1z-42h2qUjMwT88DGRQ3Dmb7IdAIUQV49/view?usp=drivesdk</v>
      </c>
    </row>
    <row r="6647">
      <c r="A6647" s="15">
        <f>IFERROR(__xludf.DUMMYFUNCTION("""COMPUTED_VALUE"""),45188.0)</f>
        <v>45188</v>
      </c>
      <c r="B6647" s="16" t="str">
        <f>IFERROR(__xludf.DUMMYFUNCTION("""COMPUTED_VALUE"""),"Santiago Garces Restrepo")</f>
        <v>Santiago Garces Restrepo</v>
      </c>
      <c r="C6647" s="15" t="str">
        <f>IFERROR(__xludf.DUMMYFUNCTION("""COMPUTED_VALUE"""),"ENVIGADO")</f>
        <v>ENVIGADO</v>
      </c>
      <c r="D6647" s="15" t="str">
        <f>IFERROR(__xludf.DUMMYFUNCTION("""COMPUTED_VALUE"""),"BOGOTÁ")</f>
        <v>BOGOTÁ</v>
      </c>
      <c r="E6647" s="15" t="str">
        <f>IFERROR(__xludf.DUMMYFUNCTION("""COMPUTED_VALUE"""),"Evamazzita")</f>
        <v>Evamazzita</v>
      </c>
      <c r="F6647" s="17" t="str">
        <f>IFERROR(__xludf.DUMMYFUNCTION("""COMPUTED_VALUE"""),"TRANSV 34DD SUR No. 30A - 22 / APTO 201 Y 301 CASA   BARRIO MANUEL URIBE ANGEL ENVIGADO")</f>
        <v>TRANSV 34DD SUR No. 30A - 22 / APTO 201 Y 301 CASA   BARRIO MANUEL URIBE ANGEL ENVIGADO</v>
      </c>
      <c r="G6647" s="15" t="str">
        <f>IFERROR(__xludf.DUMMYFUNCTION("""COMPUTED_VALUE"""),"MARLEN LONDOÑO CIFUENTES")</f>
        <v>MARLEN LONDOÑO CIFUENTES</v>
      </c>
      <c r="H6647" s="16">
        <f>IFERROR(__xludf.DUMMYFUNCTION("""COMPUTED_VALUE"""),15372.0)</f>
        <v>15372</v>
      </c>
      <c r="I6647" s="18">
        <f>IFERROR(__xludf.DUMMYFUNCTION("""COMPUTED_VALUE"""),1.0)</f>
        <v>1</v>
      </c>
      <c r="J6647" s="18">
        <f>IFERROR(__xludf.DUMMYFUNCTION("""COMPUTED_VALUE"""),1.0)</f>
        <v>1</v>
      </c>
      <c r="K6647" s="18">
        <f>IFERROR(__xludf.DUMMYFUNCTION("""COMPUTED_VALUE"""),1.0)</f>
        <v>1</v>
      </c>
      <c r="L6647" s="17">
        <f>IFERROR(__xludf.DUMMYFUNCTION("""COMPUTED_VALUE"""),3.156672207E9)</f>
        <v>3156672207</v>
      </c>
      <c r="M6647" s="17" t="str">
        <f>IFERROR(__xludf.DUMMYFUNCTION("""COMPUTED_VALUE"""),"#REF!")</f>
        <v>#REF!</v>
      </c>
      <c r="N6647" s="17"/>
      <c r="O6647" s="17"/>
      <c r="P6647" s="17" t="b">
        <f>IFERROR(__xludf.DUMMYFUNCTION("""COMPUTED_VALUE"""),TRUE)</f>
        <v>1</v>
      </c>
      <c r="Q6647" s="20">
        <f>IFERROR(__xludf.DUMMYFUNCTION("""COMPUTED_VALUE"""),45190.48129085648)</f>
        <v>45190.48129</v>
      </c>
      <c r="R6647" s="21" t="str">
        <f>IFERROR(__xludf.DUMMYFUNCTION("""COMPUTED_VALUE"""),"https://drive.google.com/file/d/13G4ccrfrn5Zo8StoTFwqyy2msLfJZfAD/view?usp=drivesdk")</f>
        <v>https://drive.google.com/file/d/13G4ccrfrn5Zo8StoTFwqyy2msLfJZfAD/view?usp=drivesdk</v>
      </c>
    </row>
    <row r="6648">
      <c r="A6648" s="15">
        <f>IFERROR(__xludf.DUMMYFUNCTION("""COMPUTED_VALUE"""),45188.0)</f>
        <v>45188</v>
      </c>
      <c r="B6648" s="16" t="str">
        <f>IFERROR(__xludf.DUMMYFUNCTION("""COMPUTED_VALUE"""),"Santiago Garces Restrepo")</f>
        <v>Santiago Garces Restrepo</v>
      </c>
      <c r="C6648" s="15" t="str">
        <f>IFERROR(__xludf.DUMMYFUNCTION("""COMPUTED_VALUE"""),"ITAGÜI")</f>
        <v>ITAGÜI</v>
      </c>
      <c r="D6648" s="15" t="str">
        <f>IFERROR(__xludf.DUMMYFUNCTION("""COMPUTED_VALUE"""),"BOGOTÁ")</f>
        <v>BOGOTÁ</v>
      </c>
      <c r="E6648" s="15" t="str">
        <f>IFERROR(__xludf.DUMMYFUNCTION("""COMPUTED_VALUE"""),"Evamazzita")</f>
        <v>Evamazzita</v>
      </c>
      <c r="F6648" s="17" t="str">
        <f>IFERROR(__xludf.DUMMYFUNCTION("""COMPUTED_VALUE"""),"Cra 58 #77-50 / Urb Laureles del sur. TORRE 3 APTO. 807")</f>
        <v>Cra 58 #77-50 / Urb Laureles del sur. TORRE 3 APTO. 807</v>
      </c>
      <c r="G6648" s="15" t="str">
        <f>IFERROR(__xludf.DUMMYFUNCTION("""COMPUTED_VALUE"""),"EVERLYN RIVERA")</f>
        <v>EVERLYN RIVERA</v>
      </c>
      <c r="H6648" s="16">
        <f>IFERROR(__xludf.DUMMYFUNCTION("""COMPUTED_VALUE"""),15374.0)</f>
        <v>15374</v>
      </c>
      <c r="I6648" s="18">
        <f>IFERROR(__xludf.DUMMYFUNCTION("""COMPUTED_VALUE"""),1.0)</f>
        <v>1</v>
      </c>
      <c r="J6648" s="18">
        <f>IFERROR(__xludf.DUMMYFUNCTION("""COMPUTED_VALUE"""),1.0)</f>
        <v>1</v>
      </c>
      <c r="K6648" s="18">
        <f>IFERROR(__xludf.DUMMYFUNCTION("""COMPUTED_VALUE"""),1.0)</f>
        <v>1</v>
      </c>
      <c r="L6648" s="17">
        <f>IFERROR(__xludf.DUMMYFUNCTION("""COMPUTED_VALUE"""),3.208249871E9)</f>
        <v>3208249871</v>
      </c>
      <c r="M6648" s="17" t="str">
        <f>IFERROR(__xludf.DUMMYFUNCTION("""COMPUTED_VALUE"""),"#REF!")</f>
        <v>#REF!</v>
      </c>
      <c r="N6648" s="17"/>
      <c r="O6648" s="17"/>
      <c r="P6648" s="17" t="b">
        <f>IFERROR(__xludf.DUMMYFUNCTION("""COMPUTED_VALUE"""),TRUE)</f>
        <v>1</v>
      </c>
      <c r="Q6648" s="20">
        <f>IFERROR(__xludf.DUMMYFUNCTION("""COMPUTED_VALUE"""),45190.43492528935)</f>
        <v>45190.43493</v>
      </c>
      <c r="R6648" s="21" t="str">
        <f>IFERROR(__xludf.DUMMYFUNCTION("""COMPUTED_VALUE"""),"https://drive.google.com/file/d/1d0iSLWEtDXexNPvXKTpVBpRZrZAC8YZe/view?usp=drivesdk")</f>
        <v>https://drive.google.com/file/d/1d0iSLWEtDXexNPvXKTpVBpRZrZAC8YZe/view?usp=drivesdk</v>
      </c>
    </row>
    <row r="6649">
      <c r="A6649" s="15">
        <f>IFERROR(__xludf.DUMMYFUNCTION("""COMPUTED_VALUE"""),45188.0)</f>
        <v>45188</v>
      </c>
      <c r="B6649" s="16" t="str">
        <f>IFERROR(__xludf.DUMMYFUNCTION("""COMPUTED_VALUE"""),"Santiago Garces Restrepo")</f>
        <v>Santiago Garces Restrepo</v>
      </c>
      <c r="C6649" s="15" t="str">
        <f>IFERROR(__xludf.DUMMYFUNCTION("""COMPUTED_VALUE"""),"MEDELLÍN")</f>
        <v>MEDELLÍN</v>
      </c>
      <c r="D6649" s="15" t="str">
        <f>IFERROR(__xludf.DUMMYFUNCTION("""COMPUTED_VALUE"""),"BOGOTÁ")</f>
        <v>BOGOTÁ</v>
      </c>
      <c r="E6649" s="15" t="str">
        <f>IFERROR(__xludf.DUMMYFUNCTION("""COMPUTED_VALUE"""),"Asociacion Agropecuaria Juana Maria")</f>
        <v>Asociacion Agropecuaria Juana Maria</v>
      </c>
      <c r="F6649" s="17" t="str">
        <f>IFERROR(__xludf.DUMMYFUNCTION("""COMPUTED_VALUE"""),"Carrera 15 BA # 30D-44 int 201")</f>
        <v>Carrera 15 BA # 30D-44 int 201</v>
      </c>
      <c r="G6649" s="15" t="str">
        <f>IFERROR(__xludf.DUMMYFUNCTION("""COMPUTED_VALUE"""),"Daniela Bedoya Blandon")</f>
        <v>Daniela Bedoya Blandon</v>
      </c>
      <c r="H6649" s="16">
        <f>IFERROR(__xludf.DUMMYFUNCTION("""COMPUTED_VALUE"""),15292.0)</f>
        <v>15292</v>
      </c>
      <c r="I6649" s="18">
        <f>IFERROR(__xludf.DUMMYFUNCTION("""COMPUTED_VALUE"""),21.0)</f>
        <v>21</v>
      </c>
      <c r="J6649" s="18">
        <f>IFERROR(__xludf.DUMMYFUNCTION("""COMPUTED_VALUE"""),37.0)</f>
        <v>37</v>
      </c>
      <c r="K6649" s="18">
        <f>IFERROR(__xludf.DUMMYFUNCTION("""COMPUTED_VALUE"""),30.0)</f>
        <v>30</v>
      </c>
      <c r="L6649" s="17">
        <f>IFERROR(__xludf.DUMMYFUNCTION("""COMPUTED_VALUE"""),3.14672822E9)</f>
        <v>3146728220</v>
      </c>
      <c r="M6649" s="17" t="str">
        <f>IFERROR(__xludf.DUMMYFUNCTION("""COMPUTED_VALUE"""),"#REF!")</f>
        <v>#REF!</v>
      </c>
      <c r="N6649" s="17"/>
      <c r="O6649" s="17"/>
      <c r="P6649" s="17" t="b">
        <f>IFERROR(__xludf.DUMMYFUNCTION("""COMPUTED_VALUE"""),TRUE)</f>
        <v>1</v>
      </c>
      <c r="Q6649" s="20">
        <f>IFERROR(__xludf.DUMMYFUNCTION("""COMPUTED_VALUE"""),45190.435842604165)</f>
        <v>45190.43584</v>
      </c>
      <c r="R6649" s="22" t="str">
        <f>IFERROR(__xludf.DUMMYFUNCTION("""COMPUTED_VALUE"""),"")</f>
        <v/>
      </c>
    </row>
    <row r="6650">
      <c r="A6650" s="15">
        <f>IFERROR(__xludf.DUMMYFUNCTION("""COMPUTED_VALUE"""),45188.0)</f>
        <v>45188</v>
      </c>
      <c r="B6650" s="16" t="str">
        <f>IFERROR(__xludf.DUMMYFUNCTION("""COMPUTED_VALUE"""),"Santiago Garces Restrepo")</f>
        <v>Santiago Garces Restrepo</v>
      </c>
      <c r="C6650" s="15" t="str">
        <f>IFERROR(__xludf.DUMMYFUNCTION("""COMPUTED_VALUE"""),"MEDELLÍN")</f>
        <v>MEDELLÍN</v>
      </c>
      <c r="D6650" s="15" t="str">
        <f>IFERROR(__xludf.DUMMYFUNCTION("""COMPUTED_VALUE"""),"BOGOTÁ")</f>
        <v>BOGOTÁ</v>
      </c>
      <c r="E6650" s="15" t="str">
        <f>IFERROR(__xludf.DUMMYFUNCTION("""COMPUTED_VALUE"""),"Asociacion Agropecuaria Juana Maria")</f>
        <v>Asociacion Agropecuaria Juana Maria</v>
      </c>
      <c r="F6650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6650" s="15" t="str">
        <f>IFERROR(__xludf.DUMMYFUNCTION("""COMPUTED_VALUE"""),"Jennifer Sanchez Blandon")</f>
        <v>Jennifer Sanchez Blandon</v>
      </c>
      <c r="H6650" s="16">
        <f>IFERROR(__xludf.DUMMYFUNCTION("""COMPUTED_VALUE"""),15289.0)</f>
        <v>15289</v>
      </c>
      <c r="I6650" s="18">
        <f>IFERROR(__xludf.DUMMYFUNCTION("""COMPUTED_VALUE"""),21.0)</f>
        <v>21</v>
      </c>
      <c r="J6650" s="18">
        <f>IFERROR(__xludf.DUMMYFUNCTION("""COMPUTED_VALUE"""),37.0)</f>
        <v>37</v>
      </c>
      <c r="K6650" s="18">
        <f>IFERROR(__xludf.DUMMYFUNCTION("""COMPUTED_VALUE"""),30.0)</f>
        <v>30</v>
      </c>
      <c r="L6650" s="17">
        <f>IFERROR(__xludf.DUMMYFUNCTION("""COMPUTED_VALUE"""),3.016937674E9)</f>
        <v>3016937674</v>
      </c>
      <c r="M6650" s="17" t="str">
        <f>IFERROR(__xludf.DUMMYFUNCTION("""COMPUTED_VALUE"""),"#REF!")</f>
        <v>#REF!</v>
      </c>
      <c r="N6650" s="17"/>
      <c r="O6650" s="17"/>
      <c r="P6650" s="17" t="b">
        <f>IFERROR(__xludf.DUMMYFUNCTION("""COMPUTED_VALUE"""),TRUE)</f>
        <v>1</v>
      </c>
      <c r="Q6650" s="20">
        <f>IFERROR(__xludf.DUMMYFUNCTION("""COMPUTED_VALUE"""),45190.429126180556)</f>
        <v>45190.42913</v>
      </c>
      <c r="R6650" s="21" t="str">
        <f>IFERROR(__xludf.DUMMYFUNCTION("""COMPUTED_VALUE"""),"https://drive.google.com/file/d/1dVe5a6RLF6dcF9I96-DNFDZPSgzq5hed/view?usp=drivesdk")</f>
        <v>https://drive.google.com/file/d/1dVe5a6RLF6dcF9I96-DNFDZPSgzq5hed/view?usp=drivesdk</v>
      </c>
    </row>
    <row r="6651">
      <c r="A6651" s="15">
        <f>IFERROR(__xludf.DUMMYFUNCTION("""COMPUTED_VALUE"""),45188.0)</f>
        <v>45188</v>
      </c>
      <c r="B6651" s="16" t="str">
        <f>IFERROR(__xludf.DUMMYFUNCTION("""COMPUTED_VALUE"""),"Santiago Garces Restrepo")</f>
        <v>Santiago Garces Restrepo</v>
      </c>
      <c r="C6651" s="15" t="str">
        <f>IFERROR(__xludf.DUMMYFUNCTION("""COMPUTED_VALUE"""),"MEDELLÍN")</f>
        <v>MEDELLÍN</v>
      </c>
      <c r="D6651" s="15" t="str">
        <f>IFERROR(__xludf.DUMMYFUNCTION("""COMPUTED_VALUE"""),"BOGOTÁ")</f>
        <v>BOGOTÁ</v>
      </c>
      <c r="E6651" s="15" t="str">
        <f>IFERROR(__xludf.DUMMYFUNCTION("""COMPUTED_VALUE"""),"Asociacion Agropecuaria Juana Maria")</f>
        <v>Asociacion Agropecuaria Juana Maria</v>
      </c>
      <c r="F6651" s="17" t="str">
        <f>IFERROR(__xludf.DUMMYFUNCTION("""COMPUTED_VALUE"""),"Cra 82C # 30A-100 apto 1202 urbanizacion Torres de Vicuña Belen los Alpes")</f>
        <v>Cra 82C # 30A-100 apto 1202 urbanizacion Torres de Vicuña Belen los Alpes</v>
      </c>
      <c r="G6651" s="15" t="str">
        <f>IFERROR(__xludf.DUMMYFUNCTION("""COMPUTED_VALUE"""),"Gloria Moreno")</f>
        <v>Gloria Moreno</v>
      </c>
      <c r="H6651" s="16">
        <f>IFERROR(__xludf.DUMMYFUNCTION("""COMPUTED_VALUE"""),15288.0)</f>
        <v>15288</v>
      </c>
      <c r="I6651" s="18">
        <f>IFERROR(__xludf.DUMMYFUNCTION("""COMPUTED_VALUE"""),21.0)</f>
        <v>21</v>
      </c>
      <c r="J6651" s="18">
        <f>IFERROR(__xludf.DUMMYFUNCTION("""COMPUTED_VALUE"""),37.0)</f>
        <v>37</v>
      </c>
      <c r="K6651" s="18">
        <f>IFERROR(__xludf.DUMMYFUNCTION("""COMPUTED_VALUE"""),30.0)</f>
        <v>30</v>
      </c>
      <c r="L6651" s="17">
        <f>IFERROR(__xludf.DUMMYFUNCTION("""COMPUTED_VALUE"""),3.162544201E9)</f>
        <v>3162544201</v>
      </c>
      <c r="M6651" s="17" t="str">
        <f>IFERROR(__xludf.DUMMYFUNCTION("""COMPUTED_VALUE"""),"#REF!")</f>
        <v>#REF!</v>
      </c>
      <c r="N6651" s="17"/>
      <c r="O6651" s="17"/>
      <c r="P6651" s="17" t="b">
        <f>IFERROR(__xludf.DUMMYFUNCTION("""COMPUTED_VALUE"""),TRUE)</f>
        <v>1</v>
      </c>
      <c r="Q6651" s="20">
        <f>IFERROR(__xludf.DUMMYFUNCTION("""COMPUTED_VALUE"""),45190.480448483795)</f>
        <v>45190.48045</v>
      </c>
      <c r="R6651" s="22" t="str">
        <f>IFERROR(__xludf.DUMMYFUNCTION("""COMPUTED_VALUE"""),"")</f>
        <v/>
      </c>
    </row>
    <row r="6652">
      <c r="A6652" s="15">
        <f>IFERROR(__xludf.DUMMYFUNCTION("""COMPUTED_VALUE"""),45188.0)</f>
        <v>45188</v>
      </c>
      <c r="B6652" s="16" t="str">
        <f>IFERROR(__xludf.DUMMYFUNCTION("""COMPUTED_VALUE"""),"Santiago Garces Restrepo")</f>
        <v>Santiago Garces Restrepo</v>
      </c>
      <c r="C6652" s="15" t="str">
        <f>IFERROR(__xludf.DUMMYFUNCTION("""COMPUTED_VALUE"""),"MEDELLÍN")</f>
        <v>MEDELLÍN</v>
      </c>
      <c r="D6652" s="15" t="str">
        <f>IFERROR(__xludf.DUMMYFUNCTION("""COMPUTED_VALUE"""),"BOGOTÁ")</f>
        <v>BOGOTÁ</v>
      </c>
      <c r="E6652" s="15" t="str">
        <f>IFERROR(__xludf.DUMMYFUNCTION("""COMPUTED_VALUE"""),"Evamazzita")</f>
        <v>Evamazzita</v>
      </c>
      <c r="F6652" s="17" t="str">
        <f>IFERROR(__xludf.DUMMYFUNCTION("""COMPUTED_VALUE"""),"Calle 77a # 88-35 / casa 36 urbanización villa fernanda  Barrio robledo")</f>
        <v>Calle 77a # 88-35 / casa 36 urbanización villa fernanda  Barrio robledo</v>
      </c>
      <c r="G6652" s="15" t="str">
        <f>IFERROR(__xludf.DUMMYFUNCTION("""COMPUTED_VALUE"""),"BLANCA INES GOMEZ ALVAREZ")</f>
        <v>BLANCA INES GOMEZ ALVAREZ</v>
      </c>
      <c r="H6652" s="16">
        <f>IFERROR(__xludf.DUMMYFUNCTION("""COMPUTED_VALUE"""),15377.0)</f>
        <v>15377</v>
      </c>
      <c r="I6652" s="18">
        <f>IFERROR(__xludf.DUMMYFUNCTION("""COMPUTED_VALUE"""),1.0)</f>
        <v>1</v>
      </c>
      <c r="J6652" s="18">
        <f>IFERROR(__xludf.DUMMYFUNCTION("""COMPUTED_VALUE"""),1.0)</f>
        <v>1</v>
      </c>
      <c r="K6652" s="18">
        <f>IFERROR(__xludf.DUMMYFUNCTION("""COMPUTED_VALUE"""),1.0)</f>
        <v>1</v>
      </c>
      <c r="L6652" s="17">
        <f>IFERROR(__xludf.DUMMYFUNCTION("""COMPUTED_VALUE"""),3.137121846E9)</f>
        <v>3137121846</v>
      </c>
      <c r="M6652" s="17" t="str">
        <f>IFERROR(__xludf.DUMMYFUNCTION("""COMPUTED_VALUE"""),"#REF!")</f>
        <v>#REF!</v>
      </c>
      <c r="N6652" s="17"/>
      <c r="O6652" s="17"/>
      <c r="P6652" s="17" t="b">
        <f>IFERROR(__xludf.DUMMYFUNCTION("""COMPUTED_VALUE"""),TRUE)</f>
        <v>1</v>
      </c>
      <c r="Q6652" s="20">
        <f>IFERROR(__xludf.DUMMYFUNCTION("""COMPUTED_VALUE"""),45190.48158369213)</f>
        <v>45190.48158</v>
      </c>
      <c r="R6652" s="21" t="str">
        <f>IFERROR(__xludf.DUMMYFUNCTION("""COMPUTED_VALUE"""),"https://drive.google.com/file/d/1NQhr_zWIgW19k3RU4n_oURBuoL1c_vGH/view?usp=drivesdk")</f>
        <v>https://drive.google.com/file/d/1NQhr_zWIgW19k3RU4n_oURBuoL1c_vGH/view?usp=drivesdk</v>
      </c>
    </row>
    <row r="6653">
      <c r="A6653" s="15">
        <f>IFERROR(__xludf.DUMMYFUNCTION("""COMPUTED_VALUE"""),45188.0)</f>
        <v>45188</v>
      </c>
      <c r="B6653" s="16" t="str">
        <f>IFERROR(__xludf.DUMMYFUNCTION("""COMPUTED_VALUE"""),"Santiago Garces Restrepo")</f>
        <v>Santiago Garces Restrepo</v>
      </c>
      <c r="C6653" s="15" t="str">
        <f>IFERROR(__xludf.DUMMYFUNCTION("""COMPUTED_VALUE"""),"MEDELLÍN")</f>
        <v>MEDELLÍN</v>
      </c>
      <c r="D6653" s="15" t="str">
        <f>IFERROR(__xludf.DUMMYFUNCTION("""COMPUTED_VALUE"""),"BOGOTÁ")</f>
        <v>BOGOTÁ</v>
      </c>
      <c r="E6653" s="15" t="str">
        <f>IFERROR(__xludf.DUMMYFUNCTION("""COMPUTED_VALUE"""),"Evamazzita")</f>
        <v>Evamazzita</v>
      </c>
      <c r="F6653" s="17" t="str">
        <f>IFERROR(__xludf.DUMMYFUNCTION("""COMPUTED_VALUE"""),"CARRERA 47 B # 17 A SUR - 35 / EDIFICIO PORTONES DE SANTA MARÍA APTO. 409")</f>
        <v>CARRERA 47 B # 17 A SUR - 35 / EDIFICIO PORTONES DE SANTA MARÍA APTO. 409</v>
      </c>
      <c r="G6653" s="15" t="str">
        <f>IFERROR(__xludf.DUMMYFUNCTION("""COMPUTED_VALUE"""),"JULIANA GARCIA")</f>
        <v>JULIANA GARCIA</v>
      </c>
      <c r="H6653" s="16">
        <f>IFERROR(__xludf.DUMMYFUNCTION("""COMPUTED_VALUE"""),15378.0)</f>
        <v>15378</v>
      </c>
      <c r="I6653" s="18">
        <f>IFERROR(__xludf.DUMMYFUNCTION("""COMPUTED_VALUE"""),1.0)</f>
        <v>1</v>
      </c>
      <c r="J6653" s="18">
        <f>IFERROR(__xludf.DUMMYFUNCTION("""COMPUTED_VALUE"""),1.0)</f>
        <v>1</v>
      </c>
      <c r="K6653" s="18">
        <f>IFERROR(__xludf.DUMMYFUNCTION("""COMPUTED_VALUE"""),1.0)</f>
        <v>1</v>
      </c>
      <c r="L6653" s="17">
        <f>IFERROR(__xludf.DUMMYFUNCTION("""COMPUTED_VALUE"""),3.104017541E9)</f>
        <v>3104017541</v>
      </c>
      <c r="M6653" s="17" t="str">
        <f>IFERROR(__xludf.DUMMYFUNCTION("""COMPUTED_VALUE"""),"#REF!")</f>
        <v>#REF!</v>
      </c>
      <c r="N6653" s="17"/>
      <c r="O6653" s="17"/>
      <c r="P6653" s="17" t="b">
        <f>IFERROR(__xludf.DUMMYFUNCTION("""COMPUTED_VALUE"""),TRUE)</f>
        <v>1</v>
      </c>
      <c r="Q6653" s="20">
        <f>IFERROR(__xludf.DUMMYFUNCTION("""COMPUTED_VALUE"""),45190.435753645834)</f>
        <v>45190.43575</v>
      </c>
      <c r="R6653" s="21" t="str">
        <f>IFERROR(__xludf.DUMMYFUNCTION("""COMPUTED_VALUE"""),"https://drive.google.com/file/d/1N0v7FEM0aOITEKaorVnhdYszuFWGsJ2r/view?usp=drivesdk")</f>
        <v>https://drive.google.com/file/d/1N0v7FEM0aOITEKaorVnhdYszuFWGsJ2r/view?usp=drivesdk</v>
      </c>
    </row>
    <row r="6654">
      <c r="A6654" s="15">
        <f>IFERROR(__xludf.DUMMYFUNCTION("""COMPUTED_VALUE"""),45188.0)</f>
        <v>45188</v>
      </c>
      <c r="B6654" s="16" t="str">
        <f>IFERROR(__xludf.DUMMYFUNCTION("""COMPUTED_VALUE"""),"Santiago Garces Restrepo")</f>
        <v>Santiago Garces Restrepo</v>
      </c>
      <c r="C6654" s="15" t="str">
        <f>IFERROR(__xludf.DUMMYFUNCTION("""COMPUTED_VALUE"""),"MEDELLÍN")</f>
        <v>MEDELLÍN</v>
      </c>
      <c r="D6654" s="15" t="str">
        <f>IFERROR(__xludf.DUMMYFUNCTION("""COMPUTED_VALUE"""),"BOGOTÁ")</f>
        <v>BOGOTÁ</v>
      </c>
      <c r="E6654" s="15" t="str">
        <f>IFERROR(__xludf.DUMMYFUNCTION("""COMPUTED_VALUE"""),"Karem foods")</f>
        <v>Karem foods</v>
      </c>
      <c r="F6654" s="17" t="str">
        <f>IFERROR(__xludf.DUMMYFUNCTION("""COMPUTED_VALUE"""),"Calle 46 e sur #49-18  / Barrio El Trianon Envigado / -")</f>
        <v>Calle 46 e sur #49-18  / Barrio El Trianon Envigado / -</v>
      </c>
      <c r="G6654" s="15" t="str">
        <f>IFERROR(__xludf.DUMMYFUNCTION("""COMPUTED_VALUE"""),"Maria Cristina Angel Cadavid (Libertina Panaderia)")</f>
        <v>Maria Cristina Angel Cadavid (Libertina Panaderia)</v>
      </c>
      <c r="H6654" s="16">
        <f>IFERROR(__xludf.DUMMYFUNCTION("""COMPUTED_VALUE"""),15368.0)</f>
        <v>15368</v>
      </c>
      <c r="I6654" s="18">
        <f>IFERROR(__xludf.DUMMYFUNCTION("""COMPUTED_VALUE"""),7.0)</f>
        <v>7</v>
      </c>
      <c r="J6654" s="18">
        <f>IFERROR(__xludf.DUMMYFUNCTION("""COMPUTED_VALUE"""),20.0)</f>
        <v>20</v>
      </c>
      <c r="K6654" s="18">
        <f>IFERROR(__xludf.DUMMYFUNCTION("""COMPUTED_VALUE"""),20.0)</f>
        <v>20</v>
      </c>
      <c r="L6654" s="17">
        <f>IFERROR(__xludf.DUMMYFUNCTION("""COMPUTED_VALUE"""),3.1174961E9)</f>
        <v>3117496100</v>
      </c>
      <c r="M6654" s="17" t="str">
        <f>IFERROR(__xludf.DUMMYFUNCTION("""COMPUTED_VALUE"""),"#REF!")</f>
        <v>#REF!</v>
      </c>
      <c r="N6654" s="17"/>
      <c r="O6654" s="17"/>
      <c r="P6654" s="17" t="b">
        <f>IFERROR(__xludf.DUMMYFUNCTION("""COMPUTED_VALUE"""),TRUE)</f>
        <v>1</v>
      </c>
      <c r="Q6654" s="20">
        <f>IFERROR(__xludf.DUMMYFUNCTION("""COMPUTED_VALUE"""),45190.481704247686)</f>
        <v>45190.4817</v>
      </c>
      <c r="R6654" s="21" t="str">
        <f>IFERROR(__xludf.DUMMYFUNCTION("""COMPUTED_VALUE"""),"https://drive.google.com/file/d/1RgecYgBOLu9l90mEUfwL00Fa70WCTFvV/view?usp=drivesdk")</f>
        <v>https://drive.google.com/file/d/1RgecYgBOLu9l90mEUfwL00Fa70WCTFvV/view?usp=drivesdk</v>
      </c>
    </row>
    <row r="6655">
      <c r="A6655" s="15">
        <f>IFERROR(__xludf.DUMMYFUNCTION("""COMPUTED_VALUE"""),45188.0)</f>
        <v>45188</v>
      </c>
      <c r="B6655" s="16" t="str">
        <f>IFERROR(__xludf.DUMMYFUNCTION("""COMPUTED_VALUE"""),"Santiago Garces Restrepo")</f>
        <v>Santiago Garces Restrepo</v>
      </c>
      <c r="C6655" s="15" t="str">
        <f>IFERROR(__xludf.DUMMYFUNCTION("""COMPUTED_VALUE"""),"MEDELLÍN")</f>
        <v>MEDELLÍN</v>
      </c>
      <c r="D6655" s="15" t="str">
        <f>IFERROR(__xludf.DUMMYFUNCTION("""COMPUTED_VALUE"""),"BOGOTÁ")</f>
        <v>BOGOTÁ</v>
      </c>
      <c r="E6655" s="15" t="str">
        <f>IFERROR(__xludf.DUMMYFUNCTION("""COMPUTED_VALUE"""),"Mochi")</f>
        <v>Mochi</v>
      </c>
      <c r="F6655" s="17" t="str">
        <f>IFERROR(__xludf.DUMMYFUNCTION("""COMPUTED_VALUE"""),"Cra 48 # 32 b sur 139  / Centro comercial  / Envigado")</f>
        <v>Cra 48 # 32 b sur 139  / Centro comercial  / Envigado</v>
      </c>
      <c r="G6655" s="15" t="str">
        <f>IFERROR(__xludf.DUMMYFUNCTION("""COMPUTED_VALUE"""),"Tania  vallejin")</f>
        <v>Tania  vallejin</v>
      </c>
      <c r="H6655" s="16">
        <f>IFERROR(__xludf.DUMMYFUNCTION("""COMPUTED_VALUE"""),15405.0)</f>
        <v>15405</v>
      </c>
      <c r="I6655" s="18">
        <f>IFERROR(__xludf.DUMMYFUNCTION("""COMPUTED_VALUE"""),55.0)</f>
        <v>55</v>
      </c>
      <c r="J6655" s="18">
        <f>IFERROR(__xludf.DUMMYFUNCTION("""COMPUTED_VALUE"""),45.0)</f>
        <v>45</v>
      </c>
      <c r="K6655" s="18" t="str">
        <f>IFERROR(__xludf.DUMMYFUNCTION("""COMPUTED_VALUE"""),"52.5")</f>
        <v>52.5</v>
      </c>
      <c r="L6655" s="17">
        <f>IFERROR(__xludf.DUMMYFUNCTION("""COMPUTED_VALUE"""),3.142587995E9)</f>
        <v>3142587995</v>
      </c>
      <c r="M6655" s="17" t="str">
        <f>IFERROR(__xludf.DUMMYFUNCTION("""COMPUTED_VALUE"""),"#REF!")</f>
        <v>#REF!</v>
      </c>
      <c r="N6655" s="17"/>
      <c r="O6655" s="17"/>
      <c r="P6655" s="17" t="b">
        <f>IFERROR(__xludf.DUMMYFUNCTION("""COMPUTED_VALUE"""),TRUE)</f>
        <v>1</v>
      </c>
      <c r="Q6655" s="20">
        <f>IFERROR(__xludf.DUMMYFUNCTION("""COMPUTED_VALUE"""),45190.48141354167)</f>
        <v>45190.48141</v>
      </c>
      <c r="R6655" s="22" t="str">
        <f>IFERROR(__xludf.DUMMYFUNCTION("""COMPUTED_VALUE"""),"")</f>
        <v/>
      </c>
    </row>
    <row r="6656">
      <c r="A6656" s="15">
        <f>IFERROR(__xludf.DUMMYFUNCTION("""COMPUTED_VALUE"""),45188.0)</f>
        <v>45188</v>
      </c>
      <c r="B6656" s="16" t="str">
        <f>IFERROR(__xludf.DUMMYFUNCTION("""COMPUTED_VALUE"""),"Santiago Garces Restrepo")</f>
        <v>Santiago Garces Restrepo</v>
      </c>
      <c r="C6656" s="15" t="str">
        <f>IFERROR(__xludf.DUMMYFUNCTION("""COMPUTED_VALUE"""),"MEDELLÍN")</f>
        <v>MEDELLÍN</v>
      </c>
      <c r="D6656" s="15" t="str">
        <f>IFERROR(__xludf.DUMMYFUNCTION("""COMPUTED_VALUE"""),"BOGOTÁ")</f>
        <v>BOGOTÁ</v>
      </c>
      <c r="E6656" s="15" t="str">
        <f>IFERROR(__xludf.DUMMYFUNCTION("""COMPUTED_VALUE"""),"Pan de Waffle")</f>
        <v>Pan de Waffle</v>
      </c>
      <c r="F6656" s="17" t="str">
        <f>IFERROR(__xludf.DUMMYFUNCTION("""COMPUTED_VALUE"""),"Carrera 39 # 59 - 32 / Carrera 39 # 59 - 32 / Carrera 39 # 59 - 32")</f>
        <v>Carrera 39 # 59 - 32 / Carrera 39 # 59 - 32 / Carrera 39 # 59 - 32</v>
      </c>
      <c r="G6656" s="15" t="str">
        <f>IFERROR(__xludf.DUMMYFUNCTION("""COMPUTED_VALUE"""),"FOODOLOGY")</f>
        <v>FOODOLOGY</v>
      </c>
      <c r="H6656" s="16">
        <f>IFERROR(__xludf.DUMMYFUNCTION("""COMPUTED_VALUE"""),15394.0)</f>
        <v>15394</v>
      </c>
      <c r="I6656" s="18">
        <f>IFERROR(__xludf.DUMMYFUNCTION("""COMPUTED_VALUE"""),40.0)</f>
        <v>40</v>
      </c>
      <c r="J6656" s="18">
        <f>IFERROR(__xludf.DUMMYFUNCTION("""COMPUTED_VALUE"""),40.0)</f>
        <v>40</v>
      </c>
      <c r="K6656" s="18">
        <f>IFERROR(__xludf.DUMMYFUNCTION("""COMPUTED_VALUE"""),30.0)</f>
        <v>30</v>
      </c>
      <c r="L6656" s="17">
        <f>IFERROR(__xludf.DUMMYFUNCTION("""COMPUTED_VALUE"""),3.123558292E9)</f>
        <v>3123558292</v>
      </c>
      <c r="M6656" s="17" t="str">
        <f>IFERROR(__xludf.DUMMYFUNCTION("""COMPUTED_VALUE"""),"#REF!")</f>
        <v>#REF!</v>
      </c>
      <c r="N6656" s="17"/>
      <c r="O6656" s="17"/>
      <c r="P6656" s="17" t="b">
        <f>IFERROR(__xludf.DUMMYFUNCTION("""COMPUTED_VALUE"""),TRUE)</f>
        <v>1</v>
      </c>
      <c r="Q6656" s="20">
        <f>IFERROR(__xludf.DUMMYFUNCTION("""COMPUTED_VALUE"""),45190.48035896991)</f>
        <v>45190.48036</v>
      </c>
      <c r="R6656" s="22" t="str">
        <f>IFERROR(__xludf.DUMMYFUNCTION("""COMPUTED_VALUE"""),"")</f>
        <v/>
      </c>
    </row>
    <row r="6657">
      <c r="A6657" s="15">
        <f>IFERROR(__xludf.DUMMYFUNCTION("""COMPUTED_VALUE"""),45188.0)</f>
        <v>45188</v>
      </c>
      <c r="B6657" s="16" t="str">
        <f>IFERROR(__xludf.DUMMYFUNCTION("""COMPUTED_VALUE"""),"Santiago Garces Restrepo")</f>
        <v>Santiago Garces Restrepo</v>
      </c>
      <c r="C6657" s="15" t="str">
        <f>IFERROR(__xludf.DUMMYFUNCTION("""COMPUTED_VALUE"""),"MEDELLÍN")</f>
        <v>MEDELLÍN</v>
      </c>
      <c r="D6657" s="15" t="str">
        <f>IFERROR(__xludf.DUMMYFUNCTION("""COMPUTED_VALUE"""),"BOGOTÁ")</f>
        <v>BOGOTÁ</v>
      </c>
      <c r="E6657" s="15" t="str">
        <f>IFERROR(__xludf.DUMMYFUNCTION("""COMPUTED_VALUE"""),"Pan de Waffle")</f>
        <v>Pan de Waffle</v>
      </c>
      <c r="F6657" s="17" t="str">
        <f>IFERROR(__xludf.DUMMYFUNCTION("""COMPUTED_VALUE"""),"Carrera 43G # 19 - 142 Edif. La Riviere Apto 1020 Ciudad del Rio - Medellin / Carrera 43G # 19 - 142 Edif. La Riviere Apto 1020 Ciudad del Rio - Medellin / Carrera 43G # 19 - 142 Edif. La Riviere Apto 1020 Ciudad del Rio - Medellin")</f>
        <v>Carrera 43G # 19 - 142 Edif. La Riviere Apto 1020 Ciudad del Rio - Medellin / Carrera 43G # 19 - 142 Edif. La Riviere Apto 1020 Ciudad del Rio - Medellin / Carrera 43G # 19 - 142 Edif. La Riviere Apto 1020 Ciudad del Rio - Medellin</v>
      </c>
      <c r="G6657" s="15" t="str">
        <f>IFERROR(__xludf.DUMMYFUNCTION("""COMPUTED_VALUE"""),"KATRIN ABDALA")</f>
        <v>KATRIN ABDALA</v>
      </c>
      <c r="H6657" s="16">
        <f>IFERROR(__xludf.DUMMYFUNCTION("""COMPUTED_VALUE"""),15398.0)</f>
        <v>15398</v>
      </c>
      <c r="I6657" s="18">
        <f>IFERROR(__xludf.DUMMYFUNCTION("""COMPUTED_VALUE"""),40.0)</f>
        <v>40</v>
      </c>
      <c r="J6657" s="18">
        <f>IFERROR(__xludf.DUMMYFUNCTION("""COMPUTED_VALUE"""),40.0)</f>
        <v>40</v>
      </c>
      <c r="K6657" s="18">
        <f>IFERROR(__xludf.DUMMYFUNCTION("""COMPUTED_VALUE"""),40.0)</f>
        <v>40</v>
      </c>
      <c r="L6657" s="17">
        <f>IFERROR(__xludf.DUMMYFUNCTION("""COMPUTED_VALUE"""),3.106142841E9)</f>
        <v>3106142841</v>
      </c>
      <c r="M6657" s="17" t="str">
        <f>IFERROR(__xludf.DUMMYFUNCTION("""COMPUTED_VALUE"""),"#REF!")</f>
        <v>#REF!</v>
      </c>
      <c r="N6657" s="17"/>
      <c r="O6657" s="17"/>
      <c r="P6657" s="17" t="b">
        <f>IFERROR(__xludf.DUMMYFUNCTION("""COMPUTED_VALUE"""),TRUE)</f>
        <v>1</v>
      </c>
      <c r="Q6657" s="20">
        <f>IFERROR(__xludf.DUMMYFUNCTION("""COMPUTED_VALUE"""),45190.42938898148)</f>
        <v>45190.42939</v>
      </c>
      <c r="R6657" s="21" t="str">
        <f>IFERROR(__xludf.DUMMYFUNCTION("""COMPUTED_VALUE"""),"https://drive.google.com/file/d/1Xj3XNM0SFmys6Pi1hhSao8itgg-xtT9i/view?usp=drivesdk")</f>
        <v>https://drive.google.com/file/d/1Xj3XNM0SFmys6Pi1hhSao8itgg-xtT9i/view?usp=drivesdk</v>
      </c>
    </row>
    <row r="6658">
      <c r="A6658" s="15">
        <f>IFERROR(__xludf.DUMMYFUNCTION("""COMPUTED_VALUE"""),45188.0)</f>
        <v>45188</v>
      </c>
      <c r="B6658" s="16" t="str">
        <f>IFERROR(__xludf.DUMMYFUNCTION("""COMPUTED_VALUE"""),"Santiago Garces Restrepo")</f>
        <v>Santiago Garces Restrepo</v>
      </c>
      <c r="C6658" s="15" t="str">
        <f>IFERROR(__xludf.DUMMYFUNCTION("""COMPUTED_VALUE"""),"MEDELLÍN")</f>
        <v>MEDELLÍN</v>
      </c>
      <c r="D6658" s="15" t="str">
        <f>IFERROR(__xludf.DUMMYFUNCTION("""COMPUTED_VALUE"""),"BOGOTÁ")</f>
        <v>BOGOTÁ</v>
      </c>
      <c r="E6658" s="15" t="str">
        <f>IFERROR(__xludf.DUMMYFUNCTION("""COMPUTED_VALUE"""),"Ventura Productos Arg")</f>
        <v>Ventura Productos Arg</v>
      </c>
      <c r="F6658" s="17" t="str">
        <f>IFERROR(__xludf.DUMMYFUNCTION("""COMPUTED_VALUE"""),"Calle 7 Sur #37A-25 / Urbanización Salento, Apto 1802, Torre #2")</f>
        <v>Calle 7 Sur #37A-25 / Urbanización Salento, Apto 1802, Torre #2</v>
      </c>
      <c r="G6658" s="15" t="str">
        <f>IFERROR(__xludf.DUMMYFUNCTION("""COMPUTED_VALUE"""),"CLAUDIA MERA")</f>
        <v>CLAUDIA MERA</v>
      </c>
      <c r="H6658" s="16">
        <f>IFERROR(__xludf.DUMMYFUNCTION("""COMPUTED_VALUE"""),15340.0)</f>
        <v>15340</v>
      </c>
      <c r="I6658" s="18">
        <f>IFERROR(__xludf.DUMMYFUNCTION("""COMPUTED_VALUE"""),12.0)</f>
        <v>12</v>
      </c>
      <c r="J6658" s="18">
        <f>IFERROR(__xludf.DUMMYFUNCTION("""COMPUTED_VALUE"""),40.0)</f>
        <v>40</v>
      </c>
      <c r="K6658" s="18">
        <f>IFERROR(__xludf.DUMMYFUNCTION("""COMPUTED_VALUE"""),30.0)</f>
        <v>30</v>
      </c>
      <c r="L6658" s="17" t="str">
        <f>IFERROR(__xludf.DUMMYFUNCTION("""COMPUTED_VALUE"""),"313 6621617")</f>
        <v>313 6621617</v>
      </c>
      <c r="M6658" s="17" t="str">
        <f>IFERROR(__xludf.DUMMYFUNCTION("""COMPUTED_VALUE"""),"#REF!")</f>
        <v>#REF!</v>
      </c>
      <c r="N6658" s="17"/>
      <c r="O6658" s="17"/>
      <c r="P6658" s="17" t="b">
        <f>IFERROR(__xludf.DUMMYFUNCTION("""COMPUTED_VALUE"""),TRUE)</f>
        <v>1</v>
      </c>
      <c r="Q6658" s="20">
        <f>IFERROR(__xludf.DUMMYFUNCTION("""COMPUTED_VALUE"""),45190.43521834491)</f>
        <v>45190.43522</v>
      </c>
      <c r="R6658" s="21" t="str">
        <f>IFERROR(__xludf.DUMMYFUNCTION("""COMPUTED_VALUE"""),"https://drive.google.com/file/d/1GvN7jFcbs3hGVZts9fT-KfGYujg4YrtH/view?usp=drivesdk")</f>
        <v>https://drive.google.com/file/d/1GvN7jFcbs3hGVZts9fT-KfGYujg4YrtH/view?usp=drivesdk</v>
      </c>
    </row>
    <row r="6659">
      <c r="A6659" s="15">
        <f>IFERROR(__xludf.DUMMYFUNCTION("""COMPUTED_VALUE"""),45188.0)</f>
        <v>45188</v>
      </c>
      <c r="B6659" s="16" t="str">
        <f>IFERROR(__xludf.DUMMYFUNCTION("""COMPUTED_VALUE"""),"Santiago Garces Restrepo")</f>
        <v>Santiago Garces Restrepo</v>
      </c>
      <c r="C6659" s="15" t="str">
        <f>IFERROR(__xludf.DUMMYFUNCTION("""COMPUTED_VALUE"""),"MEDELLÍN")</f>
        <v>MEDELLÍN</v>
      </c>
      <c r="D6659" s="15" t="str">
        <f>IFERROR(__xludf.DUMMYFUNCTION("""COMPUTED_VALUE"""),"BOGOTÁ")</f>
        <v>BOGOTÁ</v>
      </c>
      <c r="E6659" s="15" t="str">
        <f>IFERROR(__xludf.DUMMYFUNCTION("""COMPUTED_VALUE"""),"Ventura Productos Arg")</f>
        <v>Ventura Productos Arg</v>
      </c>
      <c r="F6659" s="17" t="str">
        <f>IFERROR(__xludf.DUMMYFUNCTION("""COMPUTED_VALUE"""),"Carrera 84F # 3D-150 / Torre 7  Apto 922 residencias aviva porteria aviva affinit")</f>
        <v>Carrera 84F # 3D-150 / Torre 7  Apto 922 residencias aviva porteria aviva affinit</v>
      </c>
      <c r="G6659" s="15" t="str">
        <f>IFERROR(__xludf.DUMMYFUNCTION("""COMPUTED_VALUE"""),"Luisana Cardenas")</f>
        <v>Luisana Cardenas</v>
      </c>
      <c r="H6659" s="16">
        <f>IFERROR(__xludf.DUMMYFUNCTION("""COMPUTED_VALUE"""),15345.0)</f>
        <v>15345</v>
      </c>
      <c r="I6659" s="18">
        <f>IFERROR(__xludf.DUMMYFUNCTION("""COMPUTED_VALUE"""),3.0)</f>
        <v>3</v>
      </c>
      <c r="J6659" s="18">
        <f>IFERROR(__xludf.DUMMYFUNCTION("""COMPUTED_VALUE"""),45060.0)</f>
        <v>45060</v>
      </c>
      <c r="K6659" s="18">
        <f>IFERROR(__xludf.DUMMYFUNCTION("""COMPUTED_VALUE"""),22.0)</f>
        <v>22</v>
      </c>
      <c r="L6659" s="17">
        <f>IFERROR(__xludf.DUMMYFUNCTION("""COMPUTED_VALUE"""),3.022276796E9)</f>
        <v>3022276796</v>
      </c>
      <c r="M6659" s="17" t="str">
        <f>IFERROR(__xludf.DUMMYFUNCTION("""COMPUTED_VALUE"""),"#REF!")</f>
        <v>#REF!</v>
      </c>
      <c r="N6659" s="17"/>
      <c r="O6659" s="17"/>
      <c r="P6659" s="17" t="b">
        <f>IFERROR(__xludf.DUMMYFUNCTION("""COMPUTED_VALUE"""),TRUE)</f>
        <v>1</v>
      </c>
      <c r="Q6659" s="20">
        <f>IFERROR(__xludf.DUMMYFUNCTION("""COMPUTED_VALUE"""),45190.444503101855)</f>
        <v>45190.4445</v>
      </c>
      <c r="R6659" s="21" t="str">
        <f>IFERROR(__xludf.DUMMYFUNCTION("""COMPUTED_VALUE"""),"https://drive.google.com/file/d/18rdQrw5yqmx6CHsUCXwU4cydI1JZ5aNm/view?usp=drivesdk")</f>
        <v>https://drive.google.com/file/d/18rdQrw5yqmx6CHsUCXwU4cydI1JZ5aNm/view?usp=drivesdk</v>
      </c>
    </row>
    <row r="6660">
      <c r="A6660" s="17" t="str">
        <f>IFERROR(__xludf.DUMMYFUNCTION("""COMPUTED_VALUE"""),"")</f>
        <v/>
      </c>
      <c r="B6660" s="17" t="str">
        <f>IFERROR(__xludf.DUMMYFUNCTION("""COMPUTED_VALUE"""),"")</f>
        <v/>
      </c>
      <c r="C6660" s="17" t="str">
        <f>IFERROR(__xludf.DUMMYFUNCTION("""COMPUTED_VALUE"""),"")</f>
        <v/>
      </c>
      <c r="D6660" s="17" t="str">
        <f>IFERROR(__xludf.DUMMYFUNCTION("""COMPUTED_VALUE"""),"")</f>
        <v/>
      </c>
      <c r="E6660" s="17" t="str">
        <f>IFERROR(__xludf.DUMMYFUNCTION("""COMPUTED_VALUE"""),"")</f>
        <v/>
      </c>
      <c r="F6660" s="17" t="str">
        <f>IFERROR(__xludf.DUMMYFUNCTION("""COMPUTED_VALUE"""),"")</f>
        <v/>
      </c>
      <c r="G6660" s="17" t="str">
        <f>IFERROR(__xludf.DUMMYFUNCTION("""COMPUTED_VALUE"""),"")</f>
        <v/>
      </c>
      <c r="H6660" s="17" t="str">
        <f>IFERROR(__xludf.DUMMYFUNCTION("""COMPUTED_VALUE"""),"")</f>
        <v/>
      </c>
      <c r="I6660" s="17" t="str">
        <f>IFERROR(__xludf.DUMMYFUNCTION("""COMPUTED_VALUE"""),"")</f>
        <v/>
      </c>
      <c r="J6660" s="17" t="str">
        <f>IFERROR(__xludf.DUMMYFUNCTION("""COMPUTED_VALUE"""),"")</f>
        <v/>
      </c>
      <c r="K6660" s="17" t="str">
        <f>IFERROR(__xludf.DUMMYFUNCTION("""COMPUTED_VALUE"""),"")</f>
        <v/>
      </c>
      <c r="L6660" s="17" t="str">
        <f>IFERROR(__xludf.DUMMYFUNCTION("""COMPUTED_VALUE"""),"")</f>
        <v/>
      </c>
      <c r="M6660" s="17" t="str">
        <f>IFERROR(__xludf.DUMMYFUNCTION("""COMPUTED_VALUE"""),"")</f>
        <v/>
      </c>
      <c r="N6660" s="17" t="str">
        <f>IFERROR(__xludf.DUMMYFUNCTION("""COMPUTED_VALUE"""),"")</f>
        <v/>
      </c>
      <c r="O6660" s="17" t="str">
        <f>IFERROR(__xludf.DUMMYFUNCTION("""COMPUTED_VALUE"""),"")</f>
        <v/>
      </c>
      <c r="P6660" s="17" t="str">
        <f>IFERROR(__xludf.DUMMYFUNCTION("""COMPUTED_VALUE"""),"")</f>
        <v/>
      </c>
      <c r="Q6660" s="17" t="str">
        <f>IFERROR(__xludf.DUMMYFUNCTION("""COMPUTED_VALUE"""),"")</f>
        <v/>
      </c>
      <c r="R6660" s="17" t="str">
        <f>IFERROR(__xludf.DUMMYFUNCTION("""COMPUTED_VALUE"""),"")</f>
        <v/>
      </c>
    </row>
    <row r="6661">
      <c r="A6661" s="15">
        <f>IFERROR(__xludf.DUMMYFUNCTION("""COMPUTED_VALUE"""),45189.0)</f>
        <v>45189</v>
      </c>
      <c r="B6661" s="16" t="str">
        <f>IFERROR(__xludf.DUMMYFUNCTION("""COMPUTED_VALUE"""),"Anuar suarez jimenez ")</f>
        <v>Anuar suarez jimenez </v>
      </c>
      <c r="C6661" s="15" t="str">
        <f>IFERROR(__xludf.DUMMYFUNCTION("""COMPUTED_VALUE"""),"MONTERIA")</f>
        <v>MONTERIA</v>
      </c>
      <c r="D6661" s="15" t="str">
        <f>IFERROR(__xludf.DUMMYFUNCTION("""COMPUTED_VALUE"""),"BOGOTÁ")</f>
        <v>BOGOTÁ</v>
      </c>
      <c r="E6661" s="15" t="str">
        <f>IFERROR(__xludf.DUMMYFUNCTION("""COMPUTED_VALUE"""),"Loomifoods")</f>
        <v>Loomifoods</v>
      </c>
      <c r="F6661" s="17" t="str">
        <f>IFERROR(__xludf.DUMMYFUNCTION("""COMPUTED_VALUE"""),"Calle 73 #3-106   / Edificio Márquez de sevilla  Apto 701 / barrio recreo")</f>
        <v>Calle 73 #3-106   / Edificio Márquez de sevilla  Apto 701 / barrio recreo</v>
      </c>
      <c r="G6661" s="15" t="str">
        <f>IFERROR(__xludf.DUMMYFUNCTION("""COMPUTED_VALUE"""),"Yuliett Nova")</f>
        <v>Yuliett Nova</v>
      </c>
      <c r="H6661" s="16">
        <f>IFERROR(__xludf.DUMMYFUNCTION("""COMPUTED_VALUE"""),15355.0)</f>
        <v>15355</v>
      </c>
      <c r="I6661" s="18">
        <f>IFERROR(__xludf.DUMMYFUNCTION("""COMPUTED_VALUE"""),19.0)</f>
        <v>19</v>
      </c>
      <c r="J6661" s="18">
        <f>IFERROR(__xludf.DUMMYFUNCTION("""COMPUTED_VALUE"""),5.0)</f>
        <v>5</v>
      </c>
      <c r="K6661" s="18">
        <f>IFERROR(__xludf.DUMMYFUNCTION("""COMPUTED_VALUE"""),16.0)</f>
        <v>16</v>
      </c>
      <c r="L6661" s="17">
        <f>IFERROR(__xludf.DUMMYFUNCTION("""COMPUTED_VALUE"""),3.008469907E9)</f>
        <v>3008469907</v>
      </c>
      <c r="M6661" s="17" t="str">
        <f>IFERROR(__xludf.DUMMYFUNCTION("""COMPUTED_VALUE"""),"#REF!")</f>
        <v>#REF!</v>
      </c>
      <c r="N6661" s="17"/>
      <c r="O6661" s="17"/>
      <c r="P6661" s="17" t="b">
        <f>IFERROR(__xludf.DUMMYFUNCTION("""COMPUTED_VALUE"""),TRUE)</f>
        <v>1</v>
      </c>
      <c r="Q6661" s="20">
        <f>IFERROR(__xludf.DUMMYFUNCTION("""COMPUTED_VALUE"""),45190.42900851852)</f>
        <v>45190.42901</v>
      </c>
      <c r="R6661" s="21" t="str">
        <f>IFERROR(__xludf.DUMMYFUNCTION("""COMPUTED_VALUE"""),"https://drive.google.com/file/d/1e-V5wey3jCzYJlQsInVoeHK6123FLfhM/view?usp=drivesdk")</f>
        <v>https://drive.google.com/file/d/1e-V5wey3jCzYJlQsInVoeHK6123FLfhM/view?usp=drivesdk</v>
      </c>
    </row>
    <row r="6662">
      <c r="A6662" s="17" t="str">
        <f>IFERROR(__xludf.DUMMYFUNCTION("""COMPUTED_VALUE"""),"")</f>
        <v/>
      </c>
      <c r="B6662" s="17" t="str">
        <f>IFERROR(__xludf.DUMMYFUNCTION("""COMPUTED_VALUE"""),"")</f>
        <v/>
      </c>
      <c r="C6662" s="17" t="str">
        <f>IFERROR(__xludf.DUMMYFUNCTION("""COMPUTED_VALUE"""),"")</f>
        <v/>
      </c>
      <c r="D6662" s="17" t="str">
        <f>IFERROR(__xludf.DUMMYFUNCTION("""COMPUTED_VALUE"""),"")</f>
        <v/>
      </c>
      <c r="E6662" s="17" t="str">
        <f>IFERROR(__xludf.DUMMYFUNCTION("""COMPUTED_VALUE"""),"")</f>
        <v/>
      </c>
      <c r="F6662" s="17" t="str">
        <f>IFERROR(__xludf.DUMMYFUNCTION("""COMPUTED_VALUE"""),"")</f>
        <v/>
      </c>
      <c r="G6662" s="17" t="str">
        <f>IFERROR(__xludf.DUMMYFUNCTION("""COMPUTED_VALUE"""),"")</f>
        <v/>
      </c>
      <c r="H6662" s="17" t="str">
        <f>IFERROR(__xludf.DUMMYFUNCTION("""COMPUTED_VALUE"""),"")</f>
        <v/>
      </c>
      <c r="I6662" s="17" t="str">
        <f>IFERROR(__xludf.DUMMYFUNCTION("""COMPUTED_VALUE"""),"")</f>
        <v/>
      </c>
      <c r="J6662" s="17" t="str">
        <f>IFERROR(__xludf.DUMMYFUNCTION("""COMPUTED_VALUE"""),"")</f>
        <v/>
      </c>
      <c r="K6662" s="17" t="str">
        <f>IFERROR(__xludf.DUMMYFUNCTION("""COMPUTED_VALUE"""),"")</f>
        <v/>
      </c>
      <c r="L6662" s="17" t="str">
        <f>IFERROR(__xludf.DUMMYFUNCTION("""COMPUTED_VALUE"""),"")</f>
        <v/>
      </c>
      <c r="M6662" s="17" t="str">
        <f>IFERROR(__xludf.DUMMYFUNCTION("""COMPUTED_VALUE"""),"")</f>
        <v/>
      </c>
      <c r="N6662" s="17" t="str">
        <f>IFERROR(__xludf.DUMMYFUNCTION("""COMPUTED_VALUE"""),"")</f>
        <v/>
      </c>
      <c r="O6662" s="17" t="str">
        <f>IFERROR(__xludf.DUMMYFUNCTION("""COMPUTED_VALUE"""),"")</f>
        <v/>
      </c>
      <c r="P6662" s="17" t="str">
        <f>IFERROR(__xludf.DUMMYFUNCTION("""COMPUTED_VALUE"""),"")</f>
        <v/>
      </c>
      <c r="Q6662" s="17" t="str">
        <f>IFERROR(__xludf.DUMMYFUNCTION("""COMPUTED_VALUE"""),"")</f>
        <v/>
      </c>
      <c r="R6662" s="17" t="str">
        <f>IFERROR(__xludf.DUMMYFUNCTION("""COMPUTED_VALUE"""),"")</f>
        <v/>
      </c>
    </row>
    <row r="6663">
      <c r="A6663" s="15">
        <f>IFERROR(__xludf.DUMMYFUNCTION("""COMPUTED_VALUE"""),45189.0)</f>
        <v>45189</v>
      </c>
      <c r="B6663" s="16" t="str">
        <f>IFERROR(__xludf.DUMMYFUNCTION("""COMPUTED_VALUE"""),"Envia")</f>
        <v>Envia</v>
      </c>
      <c r="C6663" s="15" t="str">
        <f>IFERROR(__xludf.DUMMYFUNCTION("""COMPUTED_VALUE"""),"CALI")</f>
        <v>CALI</v>
      </c>
      <c r="D6663" s="15" t="str">
        <f>IFERROR(__xludf.DUMMYFUNCTION("""COMPUTED_VALUE"""),"MEDELLÍN")</f>
        <v>MEDELLÍN</v>
      </c>
      <c r="E6663" s="15" t="str">
        <f>IFERROR(__xludf.DUMMYFUNCTION("""COMPUTED_VALUE"""),"Aurea Foods SAS")</f>
        <v>Aurea Foods SAS</v>
      </c>
      <c r="F6663" s="17" t="str">
        <f>IFERROR(__xludf.DUMMYFUNCTION("""COMPUTED_VALUE"""),"Calle 64 Norte#4-90 / Unidad Residencial Parque de Las Flores, Apto 602A / Barrio La Flora")</f>
        <v>Calle 64 Norte#4-90 / Unidad Residencial Parque de Las Flores, Apto 602A / Barrio La Flora</v>
      </c>
      <c r="G6663" s="15" t="str">
        <f>IFERROR(__xludf.DUMMYFUNCTION("""COMPUTED_VALUE"""),"Stephania Anderson")</f>
        <v>Stephania Anderson</v>
      </c>
      <c r="H6663" s="16">
        <f>IFERROR(__xludf.DUMMYFUNCTION("""COMPUTED_VALUE"""),15406.0)</f>
        <v>15406</v>
      </c>
      <c r="I6663" s="18">
        <f>IFERROR(__xludf.DUMMYFUNCTION("""COMPUTED_VALUE"""),45057.0)</f>
        <v>45057</v>
      </c>
      <c r="J6663" s="18">
        <f>IFERROR(__xludf.DUMMYFUNCTION("""COMPUTED_VALUE"""),23.0)</f>
        <v>23</v>
      </c>
      <c r="K6663" s="18">
        <f>IFERROR(__xludf.DUMMYFUNCTION("""COMPUTED_VALUE"""),17.0)</f>
        <v>17</v>
      </c>
      <c r="L6663" s="17">
        <f>IFERROR(__xludf.DUMMYFUNCTION("""COMPUTED_VALUE"""),3.016432303E9)</f>
        <v>3016432303</v>
      </c>
      <c r="M6663" s="17" t="str">
        <f>IFERROR(__xludf.DUMMYFUNCTION("""COMPUTED_VALUE"""),"#REF!")</f>
        <v>#REF!</v>
      </c>
      <c r="N6663" s="17"/>
      <c r="O6663" s="17"/>
      <c r="P6663" s="17" t="b">
        <f>IFERROR(__xludf.DUMMYFUNCTION("""COMPUTED_VALUE"""),TRUE)</f>
        <v>1</v>
      </c>
      <c r="Q6663" s="20">
        <f>IFERROR(__xludf.DUMMYFUNCTION("""COMPUTED_VALUE"""),45189.760175682866)</f>
        <v>45189.76018</v>
      </c>
      <c r="R6663" s="22" t="str">
        <f>IFERROR(__xludf.DUMMYFUNCTION("""COMPUTED_VALUE"""),"")</f>
        <v/>
      </c>
    </row>
    <row r="6664">
      <c r="A6664" s="15">
        <f>IFERROR(__xludf.DUMMYFUNCTION("""COMPUTED_VALUE"""),45189.0)</f>
        <v>45189</v>
      </c>
      <c r="B6664" s="16" t="str">
        <f>IFERROR(__xludf.DUMMYFUNCTION("""COMPUTED_VALUE"""),"Envia")</f>
        <v>Envia</v>
      </c>
      <c r="C6664" s="15" t="str">
        <f>IFERROR(__xludf.DUMMYFUNCTION("""COMPUTED_VALUE"""),"CALI")</f>
        <v>CALI</v>
      </c>
      <c r="D6664" s="15" t="str">
        <f>IFERROR(__xludf.DUMMYFUNCTION("""COMPUTED_VALUE"""),"MEDELLÍN")</f>
        <v>MEDELLÍN</v>
      </c>
      <c r="E6664" s="15" t="str">
        <f>IFERROR(__xludf.DUMMYFUNCTION("""COMPUTED_VALUE"""),"Rambla")</f>
        <v>Rambla</v>
      </c>
      <c r="F6664" s="17" t="str">
        <f>IFERROR(__xludf.DUMMYFUNCTION("""COMPUTED_VALUE"""),"calle 16 #85-10 local 102, Barrio ingenio / - / -")</f>
        <v>calle 16 #85-10 local 102, Barrio ingenio / - / -</v>
      </c>
      <c r="G6664" s="15" t="str">
        <f>IFERROR(__xludf.DUMMYFUNCTION("""COMPUTED_VALUE"""),"Saludable Tentación")</f>
        <v>Saludable Tentación</v>
      </c>
      <c r="H6664" s="16">
        <f>IFERROR(__xludf.DUMMYFUNCTION("""COMPUTED_VALUE"""),15432.0)</f>
        <v>15432</v>
      </c>
      <c r="I6664" s="18">
        <f>IFERROR(__xludf.DUMMYFUNCTION("""COMPUTED_VALUE"""),28.0)</f>
        <v>28</v>
      </c>
      <c r="J6664" s="18">
        <f>IFERROR(__xludf.DUMMYFUNCTION("""COMPUTED_VALUE"""),26.0)</f>
        <v>26</v>
      </c>
      <c r="K6664" s="18">
        <f>IFERROR(__xludf.DUMMYFUNCTION("""COMPUTED_VALUE"""),24.0)</f>
        <v>24</v>
      </c>
      <c r="L6664" s="17">
        <f>IFERROR(__xludf.DUMMYFUNCTION("""COMPUTED_VALUE"""),3.112664694E9)</f>
        <v>3112664694</v>
      </c>
      <c r="M6664" s="17" t="str">
        <f>IFERROR(__xludf.DUMMYFUNCTION("""COMPUTED_VALUE"""),"#REF!")</f>
        <v>#REF!</v>
      </c>
      <c r="N6664" s="17"/>
      <c r="O6664" s="17"/>
      <c r="P6664" s="17" t="b">
        <f>IFERROR(__xludf.DUMMYFUNCTION("""COMPUTED_VALUE"""),FALSE)</f>
        <v>0</v>
      </c>
      <c r="Q6664" s="20" t="str">
        <f>IFERROR(__xludf.DUMMYFUNCTION("""COMPUTED_VALUE"""),"")</f>
        <v/>
      </c>
      <c r="R6664" s="22" t="str">
        <f>IFERROR(__xludf.DUMMYFUNCTION("""COMPUTED_VALUE"""),"")</f>
        <v/>
      </c>
    </row>
    <row r="6665">
      <c r="A6665" s="15">
        <f>IFERROR(__xludf.DUMMYFUNCTION("""COMPUTED_VALUE"""),45189.0)</f>
        <v>45189</v>
      </c>
      <c r="B6665" s="16" t="str">
        <f>IFERROR(__xludf.DUMMYFUNCTION("""COMPUTED_VALUE"""),"Envia")</f>
        <v>Envia</v>
      </c>
      <c r="C6665" s="15" t="str">
        <f>IFERROR(__xludf.DUMMYFUNCTION("""COMPUTED_VALUE"""),"CALI")</f>
        <v>CALI</v>
      </c>
      <c r="D6665" s="15" t="str">
        <f>IFERROR(__xludf.DUMMYFUNCTION("""COMPUTED_VALUE"""),"MEDELLÍN")</f>
        <v>MEDELLÍN</v>
      </c>
      <c r="E6665" s="15" t="str">
        <f>IFERROR(__xludf.DUMMYFUNCTION("""COMPUTED_VALUE"""),"Rambla")</f>
        <v>Rambla</v>
      </c>
      <c r="F6665" s="17" t="str">
        <f>IFERROR(__xludf.DUMMYFUNCTION("""COMPUTED_VALUE"""),"CRA 105 #15B45 LOCAL 15 CENTRO COMERCIAL LAS VELAS  cali / - / -")</f>
        <v>CRA 105 #15B45 LOCAL 15 CENTRO COMERCIAL LAS VELAS  cali / - / -</v>
      </c>
      <c r="G6665" s="15" t="str">
        <f>IFERROR(__xludf.DUMMYFUNCTION("""COMPUTED_VALUE"""),"Wellthy Market")</f>
        <v>Wellthy Market</v>
      </c>
      <c r="H6665" s="16">
        <f>IFERROR(__xludf.DUMMYFUNCTION("""COMPUTED_VALUE"""),15433.0)</f>
        <v>15433</v>
      </c>
      <c r="I6665" s="18">
        <f>IFERROR(__xludf.DUMMYFUNCTION("""COMPUTED_VALUE"""),24.0)</f>
        <v>24</v>
      </c>
      <c r="J6665" s="18">
        <f>IFERROR(__xludf.DUMMYFUNCTION("""COMPUTED_VALUE"""),23.0)</f>
        <v>23</v>
      </c>
      <c r="K6665" s="18">
        <f>IFERROR(__xludf.DUMMYFUNCTION("""COMPUTED_VALUE"""),23.0)</f>
        <v>23</v>
      </c>
      <c r="L6665" s="17">
        <f>IFERROR(__xludf.DUMMYFUNCTION("""COMPUTED_VALUE"""),3.152542618E9)</f>
        <v>3152542618</v>
      </c>
      <c r="M6665" s="17" t="str">
        <f>IFERROR(__xludf.DUMMYFUNCTION("""COMPUTED_VALUE"""),"#REF!")</f>
        <v>#REF!</v>
      </c>
      <c r="N6665" s="17"/>
      <c r="O6665" s="17"/>
      <c r="P6665" s="17" t="b">
        <f>IFERROR(__xludf.DUMMYFUNCTION("""COMPUTED_VALUE"""),TRUE)</f>
        <v>1</v>
      </c>
      <c r="Q6665" s="20">
        <f>IFERROR(__xludf.DUMMYFUNCTION("""COMPUTED_VALUE"""),45189.614650578704)</f>
        <v>45189.61465</v>
      </c>
      <c r="R6665" s="22" t="str">
        <f>IFERROR(__xludf.DUMMYFUNCTION("""COMPUTED_VALUE"""),"")</f>
        <v/>
      </c>
    </row>
    <row r="6666">
      <c r="A6666" s="17" t="str">
        <f>IFERROR(__xludf.DUMMYFUNCTION("""COMPUTED_VALUE"""),"")</f>
        <v/>
      </c>
      <c r="B6666" s="17" t="str">
        <f>IFERROR(__xludf.DUMMYFUNCTION("""COMPUTED_VALUE"""),"")</f>
        <v/>
      </c>
      <c r="C6666" s="17" t="str">
        <f>IFERROR(__xludf.DUMMYFUNCTION("""COMPUTED_VALUE"""),"")</f>
        <v/>
      </c>
      <c r="D6666" s="17" t="str">
        <f>IFERROR(__xludf.DUMMYFUNCTION("""COMPUTED_VALUE"""),"")</f>
        <v/>
      </c>
      <c r="E6666" s="17" t="str">
        <f>IFERROR(__xludf.DUMMYFUNCTION("""COMPUTED_VALUE"""),"")</f>
        <v/>
      </c>
      <c r="F6666" s="17" t="str">
        <f>IFERROR(__xludf.DUMMYFUNCTION("""COMPUTED_VALUE"""),"")</f>
        <v/>
      </c>
      <c r="G6666" s="17" t="str">
        <f>IFERROR(__xludf.DUMMYFUNCTION("""COMPUTED_VALUE"""),"")</f>
        <v/>
      </c>
      <c r="H6666" s="17" t="str">
        <f>IFERROR(__xludf.DUMMYFUNCTION("""COMPUTED_VALUE"""),"")</f>
        <v/>
      </c>
      <c r="I6666" s="17" t="str">
        <f>IFERROR(__xludf.DUMMYFUNCTION("""COMPUTED_VALUE"""),"")</f>
        <v/>
      </c>
      <c r="J6666" s="17" t="str">
        <f>IFERROR(__xludf.DUMMYFUNCTION("""COMPUTED_VALUE"""),"")</f>
        <v/>
      </c>
      <c r="K6666" s="17" t="str">
        <f>IFERROR(__xludf.DUMMYFUNCTION("""COMPUTED_VALUE"""),"")</f>
        <v/>
      </c>
      <c r="L6666" s="17" t="str">
        <f>IFERROR(__xludf.DUMMYFUNCTION("""COMPUTED_VALUE"""),"")</f>
        <v/>
      </c>
      <c r="M6666" s="17" t="str">
        <f>IFERROR(__xludf.DUMMYFUNCTION("""COMPUTED_VALUE"""),"")</f>
        <v/>
      </c>
      <c r="N6666" s="17" t="str">
        <f>IFERROR(__xludf.DUMMYFUNCTION("""COMPUTED_VALUE"""),"")</f>
        <v/>
      </c>
      <c r="O6666" s="17" t="str">
        <f>IFERROR(__xludf.DUMMYFUNCTION("""COMPUTED_VALUE"""),"")</f>
        <v/>
      </c>
      <c r="P6666" s="17" t="str">
        <f>IFERROR(__xludf.DUMMYFUNCTION("""COMPUTED_VALUE"""),"")</f>
        <v/>
      </c>
      <c r="Q6666" s="17" t="str">
        <f>IFERROR(__xludf.DUMMYFUNCTION("""COMPUTED_VALUE"""),"")</f>
        <v/>
      </c>
      <c r="R6666" s="17" t="str">
        <f>IFERROR(__xludf.DUMMYFUNCTION("""COMPUTED_VALUE"""),"")</f>
        <v/>
      </c>
    </row>
    <row r="6667">
      <c r="A6667" s="15">
        <f>IFERROR(__xludf.DUMMYFUNCTION("""COMPUTED_VALUE"""),45189.0)</f>
        <v>45189</v>
      </c>
      <c r="B6667" s="16" t="str">
        <f>IFERROR(__xludf.DUMMYFUNCTION("""COMPUTED_VALUE"""),"Jeison Rubiano")</f>
        <v>Jeison Rubiano</v>
      </c>
      <c r="C6667" s="15" t="str">
        <f>IFERROR(__xludf.DUMMYFUNCTION("""COMPUTED_VALUE"""),"BOGOTÁ")</f>
        <v>BOGOTÁ</v>
      </c>
      <c r="D6667" s="15" t="str">
        <f>IFERROR(__xludf.DUMMYFUNCTION("""COMPUTED_VALUE"""),"BARRANQUILLA")</f>
        <v>BARRANQUILLA</v>
      </c>
      <c r="E6667" s="15" t="str">
        <f>IFERROR(__xludf.DUMMYFUNCTION("""COMPUTED_VALUE"""),"Yelii")</f>
        <v>Yelii</v>
      </c>
      <c r="F6667" s="17" t="str">
        <f>IFERROR(__xludf.DUMMYFUNCTION("""COMPUTED_VALUE"""),"Carrera 7D Bis # 129-40, apartamento 508 / Edificio Valsesia 129, apartamento 508 / Barrio Bella Suiza")</f>
        <v>Carrera 7D Bis # 129-40, apartamento 508 / Edificio Valsesia 129, apartamento 508 / Barrio Bella Suiza</v>
      </c>
      <c r="G6667" s="15" t="str">
        <f>IFERROR(__xludf.DUMMYFUNCTION("""COMPUTED_VALUE"""),"Juliana Osorio")</f>
        <v>Juliana Osorio</v>
      </c>
      <c r="H6667" s="16">
        <f>IFERROR(__xludf.DUMMYFUNCTION("""COMPUTED_VALUE"""),15287.0)</f>
        <v>15287</v>
      </c>
      <c r="I6667" s="18">
        <f>IFERROR(__xludf.DUMMYFUNCTION("""COMPUTED_VALUE"""),40.0)</f>
        <v>40</v>
      </c>
      <c r="J6667" s="18">
        <f>IFERROR(__xludf.DUMMYFUNCTION("""COMPUTED_VALUE"""),30.0)</f>
        <v>30</v>
      </c>
      <c r="K6667" s="18">
        <f>IFERROR(__xludf.DUMMYFUNCTION("""COMPUTED_VALUE"""),45.0)</f>
        <v>45</v>
      </c>
      <c r="L6667" s="17">
        <f>IFERROR(__xludf.DUMMYFUNCTION("""COMPUTED_VALUE"""),3.212645522E9)</f>
        <v>3212645522</v>
      </c>
      <c r="M6667" s="17" t="str">
        <f>IFERROR(__xludf.DUMMYFUNCTION("""COMPUTED_VALUE"""),"#REF!")</f>
        <v>#REF!</v>
      </c>
      <c r="N6667" s="17"/>
      <c r="O6667" s="17"/>
      <c r="P6667" s="17" t="b">
        <f>IFERROR(__xludf.DUMMYFUNCTION("""COMPUTED_VALUE"""),TRUE)</f>
        <v>1</v>
      </c>
      <c r="Q6667" s="20">
        <f>IFERROR(__xludf.DUMMYFUNCTION("""COMPUTED_VALUE"""),45189.61471780093)</f>
        <v>45189.61472</v>
      </c>
      <c r="R6667" s="22" t="str">
        <f>IFERROR(__xludf.DUMMYFUNCTION("""COMPUTED_VALUE"""),"")</f>
        <v/>
      </c>
    </row>
    <row r="6668">
      <c r="A6668" s="15">
        <f>IFERROR(__xludf.DUMMYFUNCTION("""COMPUTED_VALUE"""),45189.0)</f>
        <v>45189</v>
      </c>
      <c r="B6668" s="16" t="str">
        <f>IFERROR(__xludf.DUMMYFUNCTION("""COMPUTED_VALUE"""),"Jeison Rubiano")</f>
        <v>Jeison Rubiano</v>
      </c>
      <c r="C6668" s="15" t="str">
        <f>IFERROR(__xludf.DUMMYFUNCTION("""COMPUTED_VALUE"""),"BOGOTÁ")</f>
        <v>BOGOTÁ</v>
      </c>
      <c r="D6668" s="15" t="str">
        <f>IFERROR(__xludf.DUMMYFUNCTION("""COMPUTED_VALUE"""),"MEDELLÍN")</f>
        <v>MEDELLÍN</v>
      </c>
      <c r="E6668" s="15" t="str">
        <f>IFERROR(__xludf.DUMMYFUNCTION("""COMPUTED_VALUE"""),"AREPAS LA MARY")</f>
        <v>AREPAS LA MARY</v>
      </c>
      <c r="F6668" s="17" t="str">
        <f>IFERROR(__xludf.DUMMYFUNCTION("""COMPUTED_VALUE"""),"Carrera 4 # 69a-22 apto 202 / CHAPINERO ALTO")</f>
        <v>Carrera 4 # 69a-22 apto 202 / CHAPINERO ALTO</v>
      </c>
      <c r="G6668" s="15" t="str">
        <f>IFERROR(__xludf.DUMMYFUNCTION("""COMPUTED_VALUE"""),"PAULINA TAPIAS")</f>
        <v>PAULINA TAPIAS</v>
      </c>
      <c r="H6668" s="16">
        <f>IFERROR(__xludf.DUMMYFUNCTION("""COMPUTED_VALUE"""),15414.0)</f>
        <v>15414</v>
      </c>
      <c r="I6668" s="18">
        <f>IFERROR(__xludf.DUMMYFUNCTION("""COMPUTED_VALUE"""),89.0)</f>
        <v>89</v>
      </c>
      <c r="J6668" s="18">
        <f>IFERROR(__xludf.DUMMYFUNCTION("""COMPUTED_VALUE"""),1.0)</f>
        <v>1</v>
      </c>
      <c r="K6668" s="18">
        <f>IFERROR(__xludf.DUMMYFUNCTION("""COMPUTED_VALUE"""),10.0)</f>
        <v>10</v>
      </c>
      <c r="L6668" s="17">
        <f>IFERROR(__xludf.DUMMYFUNCTION("""COMPUTED_VALUE"""),3.226464133E9)</f>
        <v>3226464133</v>
      </c>
      <c r="M6668" s="17" t="str">
        <f>IFERROR(__xludf.DUMMYFUNCTION("""COMPUTED_VALUE"""),"#REF!")</f>
        <v>#REF!</v>
      </c>
      <c r="N6668" s="17"/>
      <c r="O6668" s="17"/>
      <c r="P6668" s="17" t="b">
        <f>IFERROR(__xludf.DUMMYFUNCTION("""COMPUTED_VALUE"""),TRUE)</f>
        <v>1</v>
      </c>
      <c r="Q6668" s="20">
        <f>IFERROR(__xludf.DUMMYFUNCTION("""COMPUTED_VALUE"""),45189.614785694444)</f>
        <v>45189.61479</v>
      </c>
      <c r="R6668" s="21" t="str">
        <f>IFERROR(__xludf.DUMMYFUNCTION("""COMPUTED_VALUE"""),"https://drive.google.com/file/d/1IMeTryTcjUVXwsEKBphvUut9qbGq6vg9/view?usp=drivesdk")</f>
        <v>https://drive.google.com/file/d/1IMeTryTcjUVXwsEKBphvUut9qbGq6vg9/view?usp=drivesdk</v>
      </c>
    </row>
    <row r="6669">
      <c r="A6669" s="15">
        <f>IFERROR(__xludf.DUMMYFUNCTION("""COMPUTED_VALUE"""),45189.0)</f>
        <v>45189</v>
      </c>
      <c r="B6669" s="16" t="str">
        <f>IFERROR(__xludf.DUMMYFUNCTION("""COMPUTED_VALUE"""),"Jeison Rubiano")</f>
        <v>Jeison Rubiano</v>
      </c>
      <c r="C6669" s="15" t="str">
        <f>IFERROR(__xludf.DUMMYFUNCTION("""COMPUTED_VALUE"""),"BOGOTÁ")</f>
        <v>BOGOTÁ</v>
      </c>
      <c r="D6669" s="15" t="str">
        <f>IFERROR(__xludf.DUMMYFUNCTION("""COMPUTED_VALUE"""),"MEDELLÍN")</f>
        <v>MEDELLÍN</v>
      </c>
      <c r="E6669" s="15" t="str">
        <f>IFERROR(__xludf.DUMMYFUNCTION("""COMPUTED_VALUE"""),"AREPAS LA MARY")</f>
        <v>AREPAS LA MARY</v>
      </c>
      <c r="F6669" s="17" t="str">
        <f>IFERROR(__xludf.DUMMYFUNCTION("""COMPUTED_VALUE"""),"carrera 51 97a-37 Apt 402 / BOGOTA")</f>
        <v>carrera 51 97a-37 Apt 402 / BOGOTA</v>
      </c>
      <c r="G6669" s="15" t="str">
        <f>IFERROR(__xludf.DUMMYFUNCTION("""COMPUTED_VALUE"""),"MARIA PAULA RODRIGUEZ")</f>
        <v>MARIA PAULA RODRIGUEZ</v>
      </c>
      <c r="H6669" s="16">
        <f>IFERROR(__xludf.DUMMYFUNCTION("""COMPUTED_VALUE"""),15413.0)</f>
        <v>15413</v>
      </c>
      <c r="I6669" s="18">
        <f>IFERROR(__xludf.DUMMYFUNCTION("""COMPUTED_VALUE"""),89.0)</f>
        <v>89</v>
      </c>
      <c r="J6669" s="18">
        <f>IFERROR(__xludf.DUMMYFUNCTION("""COMPUTED_VALUE"""),1.0)</f>
        <v>1</v>
      </c>
      <c r="K6669" s="18">
        <f>IFERROR(__xludf.DUMMYFUNCTION("""COMPUTED_VALUE"""),10.0)</f>
        <v>10</v>
      </c>
      <c r="L6669" s="17">
        <f>IFERROR(__xludf.DUMMYFUNCTION("""COMPUTED_VALUE"""),3.246814344E9)</f>
        <v>3246814344</v>
      </c>
      <c r="M6669" s="17" t="str">
        <f>IFERROR(__xludf.DUMMYFUNCTION("""COMPUTED_VALUE"""),"#REF!")</f>
        <v>#REF!</v>
      </c>
      <c r="N6669" s="17"/>
      <c r="O6669" s="17"/>
      <c r="P6669" s="17" t="b">
        <f>IFERROR(__xludf.DUMMYFUNCTION("""COMPUTED_VALUE"""),FALSE)</f>
        <v>0</v>
      </c>
      <c r="Q6669" s="20" t="str">
        <f>IFERROR(__xludf.DUMMYFUNCTION("""COMPUTED_VALUE"""),"")</f>
        <v/>
      </c>
      <c r="R6669" s="22" t="str">
        <f>IFERROR(__xludf.DUMMYFUNCTION("""COMPUTED_VALUE"""),"")</f>
        <v/>
      </c>
    </row>
    <row r="6670">
      <c r="A6670" s="15">
        <f>IFERROR(__xludf.DUMMYFUNCTION("""COMPUTED_VALUE"""),45189.0)</f>
        <v>45189</v>
      </c>
      <c r="B6670" s="16" t="str">
        <f>IFERROR(__xludf.DUMMYFUNCTION("""COMPUTED_VALUE"""),"Jeison Rubiano")</f>
        <v>Jeison Rubiano</v>
      </c>
      <c r="C6670" s="15" t="str">
        <f>IFERROR(__xludf.DUMMYFUNCTION("""COMPUTED_VALUE"""),"BOGOTÁ")</f>
        <v>BOGOTÁ</v>
      </c>
      <c r="D6670" s="15" t="str">
        <f>IFERROR(__xludf.DUMMYFUNCTION("""COMPUTED_VALUE"""),"MEDELLÍN")</f>
        <v>MEDELLÍN</v>
      </c>
      <c r="E6670" s="15" t="str">
        <f>IFERROR(__xludf.DUMMYFUNCTION("""COMPUTED_VALUE"""),"AREPAS LA MARY")</f>
        <v>AREPAS LA MARY</v>
      </c>
      <c r="F6670" s="17" t="str">
        <f>IFERROR(__xludf.DUMMYFUNCTION("""COMPUTED_VALUE"""),"CRA 77 N.20 29 TORRE 2 APTO 814 / BOGOTA")</f>
        <v>CRA 77 N.20 29 TORRE 2 APTO 814 / BOGOTA</v>
      </c>
      <c r="G6670" s="15" t="str">
        <f>IFERROR(__xludf.DUMMYFUNCTION("""COMPUTED_VALUE"""),"VALENTINA RIOS")</f>
        <v>VALENTINA RIOS</v>
      </c>
      <c r="H6670" s="16">
        <f>IFERROR(__xludf.DUMMYFUNCTION("""COMPUTED_VALUE"""),15415.0)</f>
        <v>15415</v>
      </c>
      <c r="I6670" s="18">
        <f>IFERROR(__xludf.DUMMYFUNCTION("""COMPUTED_VALUE"""),89.0)</f>
        <v>89</v>
      </c>
      <c r="J6670" s="18">
        <f>IFERROR(__xludf.DUMMYFUNCTION("""COMPUTED_VALUE"""),1.0)</f>
        <v>1</v>
      </c>
      <c r="K6670" s="18">
        <f>IFERROR(__xludf.DUMMYFUNCTION("""COMPUTED_VALUE"""),10.0)</f>
        <v>10</v>
      </c>
      <c r="L6670" s="17">
        <f>IFERROR(__xludf.DUMMYFUNCTION("""COMPUTED_VALUE"""),3.136661073E9)</f>
        <v>3136661073</v>
      </c>
      <c r="M6670" s="17" t="str">
        <f>IFERROR(__xludf.DUMMYFUNCTION("""COMPUTED_VALUE"""),"#REF!")</f>
        <v>#REF!</v>
      </c>
      <c r="N6670" s="17"/>
      <c r="O6670" s="17"/>
      <c r="P6670" s="17" t="b">
        <f>IFERROR(__xludf.DUMMYFUNCTION("""COMPUTED_VALUE"""),TRUE)</f>
        <v>1</v>
      </c>
      <c r="Q6670" s="20">
        <f>IFERROR(__xludf.DUMMYFUNCTION("""COMPUTED_VALUE"""),45190.460000023144)</f>
        <v>45190.46</v>
      </c>
      <c r="R6670" s="22" t="str">
        <f>IFERROR(__xludf.DUMMYFUNCTION("""COMPUTED_VALUE"""),"")</f>
        <v/>
      </c>
    </row>
    <row r="6671">
      <c r="A6671" s="15">
        <f>IFERROR(__xludf.DUMMYFUNCTION("""COMPUTED_VALUE"""),45189.0)</f>
        <v>45189</v>
      </c>
      <c r="B6671" s="16" t="str">
        <f>IFERROR(__xludf.DUMMYFUNCTION("""COMPUTED_VALUE"""),"Jeison Rubiano")</f>
        <v>Jeison Rubiano</v>
      </c>
      <c r="C6671" s="15" t="str">
        <f>IFERROR(__xludf.DUMMYFUNCTION("""COMPUTED_VALUE"""),"BOGOTÁ")</f>
        <v>BOGOTÁ</v>
      </c>
      <c r="D6671" s="15" t="str">
        <f>IFERROR(__xludf.DUMMYFUNCTION("""COMPUTED_VALUE"""),"MEDELLÍN")</f>
        <v>MEDELLÍN</v>
      </c>
      <c r="E6671" s="15" t="str">
        <f>IFERROR(__xludf.DUMMYFUNCTION("""COMPUTED_VALUE"""),"Baby Chef")</f>
        <v>Baby Chef</v>
      </c>
      <c r="F6671" s="17" t="str">
        <f>IFERROR(__xludf.DUMMYFUNCTION("""COMPUTED_VALUE"""),"Calle 103a #47a-04 Apto 401 edificio Balcony 103 / ""Calle 103a #47a-04 Apto 401 edificio Balcony 103"" / ""Calle 103a #47a-04 Apto 401 edificio Balcony 103""")</f>
        <v>Calle 103a #47a-04 Apto 401 edificio Balcony 103 / "Calle 103a #47a-04 Apto 401 edificio Balcony 103" / "Calle 103a #47a-04 Apto 401 edificio Balcony 103"</v>
      </c>
      <c r="G6671" s="15" t="str">
        <f>IFERROR(__xludf.DUMMYFUNCTION("""COMPUTED_VALUE"""),"Carolina Thompson Bernales")</f>
        <v>Carolina Thompson Bernales</v>
      </c>
      <c r="H6671" s="16">
        <f>IFERROR(__xludf.DUMMYFUNCTION("""COMPUTED_VALUE"""),15438.0)</f>
        <v>15438</v>
      </c>
      <c r="I6671" s="18">
        <f>IFERROR(__xludf.DUMMYFUNCTION("""COMPUTED_VALUE"""),5.0)</f>
        <v>5</v>
      </c>
      <c r="J6671" s="18">
        <f>IFERROR(__xludf.DUMMYFUNCTION("""COMPUTED_VALUE"""),19.0)</f>
        <v>19</v>
      </c>
      <c r="K6671" s="18">
        <f>IFERROR(__xludf.DUMMYFUNCTION("""COMPUTED_VALUE"""),31.0)</f>
        <v>31</v>
      </c>
      <c r="L6671" s="17">
        <f>IFERROR(__xludf.DUMMYFUNCTION("""COMPUTED_VALUE"""),3.102514839E9)</f>
        <v>3102514839</v>
      </c>
      <c r="M6671" s="17" t="str">
        <f>IFERROR(__xludf.DUMMYFUNCTION("""COMPUTED_VALUE"""),"#REF!")</f>
        <v>#REF!</v>
      </c>
      <c r="N6671" s="17"/>
      <c r="O6671" s="17"/>
      <c r="P6671" s="17" t="b">
        <f>IFERROR(__xludf.DUMMYFUNCTION("""COMPUTED_VALUE"""),TRUE)</f>
        <v>1</v>
      </c>
      <c r="Q6671" s="20">
        <f>IFERROR(__xludf.DUMMYFUNCTION("""COMPUTED_VALUE"""),45190.46008805555)</f>
        <v>45190.46009</v>
      </c>
      <c r="R6671" s="22" t="str">
        <f>IFERROR(__xludf.DUMMYFUNCTION("""COMPUTED_VALUE"""),"")</f>
        <v/>
      </c>
    </row>
    <row r="6672">
      <c r="A6672" s="15">
        <f>IFERROR(__xludf.DUMMYFUNCTION("""COMPUTED_VALUE"""),45189.0)</f>
        <v>45189</v>
      </c>
      <c r="B6672" s="16" t="str">
        <f>IFERROR(__xludf.DUMMYFUNCTION("""COMPUTED_VALUE"""),"Jeison Rubiano")</f>
        <v>Jeison Rubiano</v>
      </c>
      <c r="C6672" s="15" t="str">
        <f>IFERROR(__xludf.DUMMYFUNCTION("""COMPUTED_VALUE"""),"BOGOTÁ")</f>
        <v>BOGOTÁ</v>
      </c>
      <c r="D6672" s="15" t="str">
        <f>IFERROR(__xludf.DUMMYFUNCTION("""COMPUTED_VALUE"""),"MEDELLÍN")</f>
        <v>MEDELLÍN</v>
      </c>
      <c r="E6672" s="15" t="str">
        <f>IFERROR(__xludf.DUMMYFUNCTION("""COMPUTED_VALUE"""),"Baby Chef")</f>
        <v>Baby Chef</v>
      </c>
      <c r="F6672" s="17" t="str">
        <f>IFERROR(__xludf.DUMMYFUNCTION("""COMPUTED_VALUE"""),"Calle 90 # 9-32 603 / ""Calle 90 # 9-32 603"" / ""Calle 90 # 9-32 603""")</f>
        <v>Calle 90 # 9-32 603 / "Calle 90 # 9-32 603" / "Calle 90 # 9-32 603"</v>
      </c>
      <c r="G6672" s="15" t="str">
        <f>IFERROR(__xludf.DUMMYFUNCTION("""COMPUTED_VALUE"""),"Camila de Ureña")</f>
        <v>Camila de Ureña</v>
      </c>
      <c r="H6672" s="16">
        <f>IFERROR(__xludf.DUMMYFUNCTION("""COMPUTED_VALUE"""),15439.0)</f>
        <v>15439</v>
      </c>
      <c r="I6672" s="18">
        <f>IFERROR(__xludf.DUMMYFUNCTION("""COMPUTED_VALUE"""),6.0)</f>
        <v>6</v>
      </c>
      <c r="J6672" s="18">
        <f>IFERROR(__xludf.DUMMYFUNCTION("""COMPUTED_VALUE"""),22.0)</f>
        <v>22</v>
      </c>
      <c r="K6672" s="18">
        <f>IFERROR(__xludf.DUMMYFUNCTION("""COMPUTED_VALUE"""),30.0)</f>
        <v>30</v>
      </c>
      <c r="L6672" s="17">
        <f>IFERROR(__xludf.DUMMYFUNCTION("""COMPUTED_VALUE"""),3.114550715E9)</f>
        <v>3114550715</v>
      </c>
      <c r="M6672" s="17" t="str">
        <f>IFERROR(__xludf.DUMMYFUNCTION("""COMPUTED_VALUE"""),"#REF!")</f>
        <v>#REF!</v>
      </c>
      <c r="N6672" s="17"/>
      <c r="O6672" s="17"/>
      <c r="P6672" s="17" t="b">
        <f>IFERROR(__xludf.DUMMYFUNCTION("""COMPUTED_VALUE"""),TRUE)</f>
        <v>1</v>
      </c>
      <c r="Q6672" s="20">
        <f>IFERROR(__xludf.DUMMYFUNCTION("""COMPUTED_VALUE"""),45190.46008805555)</f>
        <v>45190.46009</v>
      </c>
      <c r="R6672" s="22" t="str">
        <f>IFERROR(__xludf.DUMMYFUNCTION("""COMPUTED_VALUE"""),"")</f>
        <v/>
      </c>
    </row>
    <row r="6673">
      <c r="A6673" s="15">
        <f>IFERROR(__xludf.DUMMYFUNCTION("""COMPUTED_VALUE"""),45189.0)</f>
        <v>45189</v>
      </c>
      <c r="B6673" s="16" t="str">
        <f>IFERROR(__xludf.DUMMYFUNCTION("""COMPUTED_VALUE"""),"Jeison Rubiano")</f>
        <v>Jeison Rubiano</v>
      </c>
      <c r="C6673" s="15" t="str">
        <f>IFERROR(__xludf.DUMMYFUNCTION("""COMPUTED_VALUE"""),"BOGOTÁ")</f>
        <v>BOGOTÁ</v>
      </c>
      <c r="D6673" s="15" t="str">
        <f>IFERROR(__xludf.DUMMYFUNCTION("""COMPUTED_VALUE"""),"MEDELLÍN")</f>
        <v>MEDELLÍN</v>
      </c>
      <c r="E6673" s="15" t="str">
        <f>IFERROR(__xludf.DUMMYFUNCTION("""COMPUTED_VALUE"""),"Baby Chef")</f>
        <v>Baby Chef</v>
      </c>
      <c r="F6673" s="17" t="str">
        <f>IFERROR(__xludf.DUMMYFUNCTION("""COMPUTED_VALUE"""),"Cll 138 # 72 - 30 Apto 702 torre 3 Gratamira  Bogotá / Cll 138 # 72 - 30 Apto 702 torre 3 Gratamira  Bogotá / Cll 138 # 72 - 30 Apto 702 torre 3 Gratamira  Bogotá")</f>
        <v>Cll 138 # 72 - 30 Apto 702 torre 3 Gratamira  Bogotá / Cll 138 # 72 - 30 Apto 702 torre 3 Gratamira  Bogotá / Cll 138 # 72 - 30 Apto 702 torre 3 Gratamira  Bogotá</v>
      </c>
      <c r="G6673" s="15" t="str">
        <f>IFERROR(__xludf.DUMMYFUNCTION("""COMPUTED_VALUE"""),"Lorena español")</f>
        <v>Lorena español</v>
      </c>
      <c r="H6673" s="16">
        <f>IFERROR(__xludf.DUMMYFUNCTION("""COMPUTED_VALUE"""),15436.0)</f>
        <v>15436</v>
      </c>
      <c r="I6673" s="18">
        <f>IFERROR(__xludf.DUMMYFUNCTION("""COMPUTED_VALUE"""),6.0)</f>
        <v>6</v>
      </c>
      <c r="J6673" s="18">
        <f>IFERROR(__xludf.DUMMYFUNCTION("""COMPUTED_VALUE"""),21.0)</f>
        <v>21</v>
      </c>
      <c r="K6673" s="18">
        <f>IFERROR(__xludf.DUMMYFUNCTION("""COMPUTED_VALUE"""),31.0)</f>
        <v>31</v>
      </c>
      <c r="L6673" s="17">
        <f>IFERROR(__xludf.DUMMYFUNCTION("""COMPUTED_VALUE"""),3.209554735E9)</f>
        <v>3209554735</v>
      </c>
      <c r="M6673" s="17" t="str">
        <f>IFERROR(__xludf.DUMMYFUNCTION("""COMPUTED_VALUE"""),"#REF!")</f>
        <v>#REF!</v>
      </c>
      <c r="N6673" s="17"/>
      <c r="O6673" s="17"/>
      <c r="P6673" s="17" t="b">
        <f>IFERROR(__xludf.DUMMYFUNCTION("""COMPUTED_VALUE"""),TRUE)</f>
        <v>1</v>
      </c>
      <c r="Q6673" s="20">
        <f>IFERROR(__xludf.DUMMYFUNCTION("""COMPUTED_VALUE"""),45190.46008805555)</f>
        <v>45190.46009</v>
      </c>
      <c r="R6673" s="21" t="str">
        <f>IFERROR(__xludf.DUMMYFUNCTION("""COMPUTED_VALUE"""),"https://drive.google.com/file/d/1XZprMXFLGVgp4h9_3-XBETZ9ZVXfJm3M/view?usp=drivesdk")</f>
        <v>https://drive.google.com/file/d/1XZprMXFLGVgp4h9_3-XBETZ9ZVXfJm3M/view?usp=drivesdk</v>
      </c>
    </row>
    <row r="6674">
      <c r="A6674" s="15">
        <f>IFERROR(__xludf.DUMMYFUNCTION("""COMPUTED_VALUE"""),45189.0)</f>
        <v>45189</v>
      </c>
      <c r="B6674" s="16" t="str">
        <f>IFERROR(__xludf.DUMMYFUNCTION("""COMPUTED_VALUE"""),"Jeison Rubiano")</f>
        <v>Jeison Rubiano</v>
      </c>
      <c r="C6674" s="15" t="str">
        <f>IFERROR(__xludf.DUMMYFUNCTION("""COMPUTED_VALUE"""),"BOGOTÁ")</f>
        <v>BOGOTÁ</v>
      </c>
      <c r="D6674" s="15" t="str">
        <f>IFERROR(__xludf.DUMMYFUNCTION("""COMPUTED_VALUE"""),"MEDELLÍN")</f>
        <v>MEDELLÍN</v>
      </c>
      <c r="E6674" s="15" t="str">
        <f>IFERROR(__xludf.DUMMYFUNCTION("""COMPUTED_VALUE"""),"Baby Chef")</f>
        <v>Baby Chef</v>
      </c>
      <c r="F6674" s="17" t="str">
        <f>IFERROR(__xludf.DUMMYFUNCTION("""COMPUTED_VALUE"""),"Cll 24A # 59-59 torre 8 apto 1001 Conjunto Avenida parque / Cll 24A # 59-59 torre 8 apto 1001 Conjunto Avenida parque / Cll 24A # 59-59 torre 8 apto 1001 Conjunto Avenida parque")</f>
        <v>Cll 24A # 59-59 torre 8 apto 1001 Conjunto Avenida parque / Cll 24A # 59-59 torre 8 apto 1001 Conjunto Avenida parque / Cll 24A # 59-59 torre 8 apto 1001 Conjunto Avenida parque</v>
      </c>
      <c r="G6674" s="15" t="str">
        <f>IFERROR(__xludf.DUMMYFUNCTION("""COMPUTED_VALUE"""),"Laura Rojas")</f>
        <v>Laura Rojas</v>
      </c>
      <c r="H6674" s="16">
        <f>IFERROR(__xludf.DUMMYFUNCTION("""COMPUTED_VALUE"""),15437.0)</f>
        <v>15437</v>
      </c>
      <c r="I6674" s="18">
        <f>IFERROR(__xludf.DUMMYFUNCTION("""COMPUTED_VALUE"""),5.0)</f>
        <v>5</v>
      </c>
      <c r="J6674" s="18">
        <f>IFERROR(__xludf.DUMMYFUNCTION("""COMPUTED_VALUE"""),18.0)</f>
        <v>18</v>
      </c>
      <c r="K6674" s="18">
        <f>IFERROR(__xludf.DUMMYFUNCTION("""COMPUTED_VALUE"""),31.0)</f>
        <v>31</v>
      </c>
      <c r="L6674" s="17">
        <f>IFERROR(__xludf.DUMMYFUNCTION("""COMPUTED_VALUE"""),3.176406641E9)</f>
        <v>3176406641</v>
      </c>
      <c r="M6674" s="17" t="str">
        <f>IFERROR(__xludf.DUMMYFUNCTION("""COMPUTED_VALUE"""),"#REF!")</f>
        <v>#REF!</v>
      </c>
      <c r="N6674" s="17"/>
      <c r="O6674" s="17"/>
      <c r="P6674" s="17" t="b">
        <f>IFERROR(__xludf.DUMMYFUNCTION("""COMPUTED_VALUE"""),TRUE)</f>
        <v>1</v>
      </c>
      <c r="Q6674" s="20">
        <f>IFERROR(__xludf.DUMMYFUNCTION("""COMPUTED_VALUE"""),45190.46008805555)</f>
        <v>45190.46009</v>
      </c>
      <c r="R6674" s="22" t="str">
        <f>IFERROR(__xludf.DUMMYFUNCTION("""COMPUTED_VALUE"""),"")</f>
        <v/>
      </c>
    </row>
    <row r="6675">
      <c r="A6675" s="15">
        <f>IFERROR(__xludf.DUMMYFUNCTION("""COMPUTED_VALUE"""),45189.0)</f>
        <v>45189</v>
      </c>
      <c r="B6675" s="16" t="str">
        <f>IFERROR(__xludf.DUMMYFUNCTION("""COMPUTED_VALUE"""),"Jeison Rubiano")</f>
        <v>Jeison Rubiano</v>
      </c>
      <c r="C6675" s="15" t="str">
        <f>IFERROR(__xludf.DUMMYFUNCTION("""COMPUTED_VALUE"""),"BOGOTÁ")</f>
        <v>BOGOTÁ</v>
      </c>
      <c r="D6675" s="15" t="str">
        <f>IFERROR(__xludf.DUMMYFUNCTION("""COMPUTED_VALUE"""),"MEDELLÍN")</f>
        <v>MEDELLÍN</v>
      </c>
      <c r="E6675" s="15" t="str">
        <f>IFERROR(__xludf.DUMMYFUNCTION("""COMPUTED_VALUE"""),"Biota")</f>
        <v>Biota</v>
      </c>
      <c r="F6675" s="17" t="str">
        <f>IFERROR(__xludf.DUMMYFUNCTION("""COMPUTED_VALUE"""),"calle 140 bis # 14a-29 / edificio panorama 140 torre 2 apartamento 1005 / edificio panorama 140 torre 2 apartamento 1005")</f>
        <v>calle 140 bis # 14a-29 / edificio panorama 140 torre 2 apartamento 1005 / edificio panorama 140 torre 2 apartamento 1005</v>
      </c>
      <c r="G6675" s="15" t="str">
        <f>IFERROR(__xludf.DUMMYFUNCTION("""COMPUTED_VALUE"""),"Juan Mujica")</f>
        <v>Juan Mujica</v>
      </c>
      <c r="H6675" s="16">
        <f>IFERROR(__xludf.DUMMYFUNCTION("""COMPUTED_VALUE"""),15416.0)</f>
        <v>15416</v>
      </c>
      <c r="I6675" s="18">
        <f>IFERROR(__xludf.DUMMYFUNCTION("""COMPUTED_VALUE"""),11.0)</f>
        <v>11</v>
      </c>
      <c r="J6675" s="18">
        <f>IFERROR(__xludf.DUMMYFUNCTION("""COMPUTED_VALUE"""),9.0)</f>
        <v>9</v>
      </c>
      <c r="K6675" s="18">
        <f>IFERROR(__xludf.DUMMYFUNCTION("""COMPUTED_VALUE"""),8.0)</f>
        <v>8</v>
      </c>
      <c r="L6675" s="17">
        <f>IFERROR(__xludf.DUMMYFUNCTION("""COMPUTED_VALUE"""),3.052534912E9)</f>
        <v>3052534912</v>
      </c>
      <c r="M6675" s="17" t="str">
        <f>IFERROR(__xludf.DUMMYFUNCTION("""COMPUTED_VALUE"""),"#REF!")</f>
        <v>#REF!</v>
      </c>
      <c r="N6675" s="17"/>
      <c r="O6675" s="17"/>
      <c r="P6675" s="17" t="b">
        <f>IFERROR(__xludf.DUMMYFUNCTION("""COMPUTED_VALUE"""),TRUE)</f>
        <v>1</v>
      </c>
      <c r="Q6675" s="20">
        <f>IFERROR(__xludf.DUMMYFUNCTION("""COMPUTED_VALUE"""),45190.46016953704)</f>
        <v>45190.46017</v>
      </c>
      <c r="R6675" s="21" t="str">
        <f>IFERROR(__xludf.DUMMYFUNCTION("""COMPUTED_VALUE"""),"https://drive.google.com/file/d/1z1K03GEv8QLYldqYP_Xb9EKMZ_bGbavt/view?usp=drivesdk")</f>
        <v>https://drive.google.com/file/d/1z1K03GEv8QLYldqYP_Xb9EKMZ_bGbavt/view?usp=drivesdk</v>
      </c>
    </row>
    <row r="6676">
      <c r="A6676" s="15">
        <f>IFERROR(__xludf.DUMMYFUNCTION("""COMPUTED_VALUE"""),45189.0)</f>
        <v>45189</v>
      </c>
      <c r="B6676" s="16" t="str">
        <f>IFERROR(__xludf.DUMMYFUNCTION("""COMPUTED_VALUE"""),"Jeison Rubiano")</f>
        <v>Jeison Rubiano</v>
      </c>
      <c r="C6676" s="15" t="str">
        <f>IFERROR(__xludf.DUMMYFUNCTION("""COMPUTED_VALUE"""),"BOGOTÁ")</f>
        <v>BOGOTÁ</v>
      </c>
      <c r="D6676" s="15" t="str">
        <f>IFERROR(__xludf.DUMMYFUNCTION("""COMPUTED_VALUE"""),"MEDELLÍN")</f>
        <v>MEDELLÍN</v>
      </c>
      <c r="E6676" s="15" t="str">
        <f>IFERROR(__xludf.DUMMYFUNCTION("""COMPUTED_VALUE"""),"Moloso S.A.S")</f>
        <v>Moloso S.A.S</v>
      </c>
      <c r="F6676" s="17" t="str">
        <f>IFERROR(__xludf.DUMMYFUNCTION("""COMPUTED_VALUE"""),"CL 10B 135A 20 / ED AGAVE  AP 301")</f>
        <v>CL 10B 135A 20 / ED AGAVE  AP 301</v>
      </c>
      <c r="G6676" s="15" t="str">
        <f>IFERROR(__xludf.DUMMYFUNCTION("""COMPUTED_VALUE"""),"ALEJANDRA MARIA QUIÑONES")</f>
        <v>ALEJANDRA MARIA QUIÑONES</v>
      </c>
      <c r="H6676" s="16">
        <f>IFERROR(__xludf.DUMMYFUNCTION("""COMPUTED_VALUE"""),15401.0)</f>
        <v>15401</v>
      </c>
      <c r="I6676" s="18">
        <f>IFERROR(__xludf.DUMMYFUNCTION("""COMPUTED_VALUE"""),17.0)</f>
        <v>17</v>
      </c>
      <c r="J6676" s="18">
        <f>IFERROR(__xludf.DUMMYFUNCTION("""COMPUTED_VALUE"""),15.0)</f>
        <v>15</v>
      </c>
      <c r="K6676" s="18">
        <f>IFERROR(__xludf.DUMMYFUNCTION("""COMPUTED_VALUE"""),28.0)</f>
        <v>28</v>
      </c>
      <c r="L6676" s="17" t="str">
        <f>IFERROR(__xludf.DUMMYFUNCTION("""COMPUTED_VALUE"""),"317 6391522")</f>
        <v>317 6391522</v>
      </c>
      <c r="M6676" s="17" t="str">
        <f>IFERROR(__xludf.DUMMYFUNCTION("""COMPUTED_VALUE"""),"#REF!")</f>
        <v>#REF!</v>
      </c>
      <c r="N6676" s="17"/>
      <c r="O6676" s="17"/>
      <c r="P6676" s="17" t="b">
        <f>IFERROR(__xludf.DUMMYFUNCTION("""COMPUTED_VALUE"""),FALSE)</f>
        <v>0</v>
      </c>
      <c r="Q6676" s="20" t="str">
        <f>IFERROR(__xludf.DUMMYFUNCTION("""COMPUTED_VALUE"""),"")</f>
        <v/>
      </c>
      <c r="R6676" s="21" t="str">
        <f>IFERROR(__xludf.DUMMYFUNCTION("""COMPUTED_VALUE"""),"https://drive.google.com/file/d/17AzHwVUqJsylmR4UMok4zBGtdman-kax/view?usp=drivesdk")</f>
        <v>https://drive.google.com/file/d/17AzHwVUqJsylmR4UMok4zBGtdman-kax/view?usp=drivesdk</v>
      </c>
    </row>
    <row r="6677">
      <c r="A6677" s="15">
        <f>IFERROR(__xludf.DUMMYFUNCTION("""COMPUTED_VALUE"""),45189.0)</f>
        <v>45189</v>
      </c>
      <c r="B6677" s="16" t="str">
        <f>IFERROR(__xludf.DUMMYFUNCTION("""COMPUTED_VALUE"""),"Jeison Rubiano")</f>
        <v>Jeison Rubiano</v>
      </c>
      <c r="C6677" s="15" t="str">
        <f>IFERROR(__xludf.DUMMYFUNCTION("""COMPUTED_VALUE"""),"BOGOTÁ")</f>
        <v>BOGOTÁ</v>
      </c>
      <c r="D6677" s="15" t="str">
        <f>IFERROR(__xludf.DUMMYFUNCTION("""COMPUTED_VALUE"""),"MEDELLÍN")</f>
        <v>MEDELLÍN</v>
      </c>
      <c r="E6677" s="15" t="str">
        <f>IFERROR(__xludf.DUMMYFUNCTION("""COMPUTED_VALUE"""),"Moloso S.A.S")</f>
        <v>Moloso S.A.S</v>
      </c>
      <c r="F6677" s="17" t="str">
        <f>IFERROR(__xludf.DUMMYFUNCTION("""COMPUTED_VALUE"""),"CL 90 9A 51 / ED MT3 AP 403")</f>
        <v>CL 90 9A 51 / ED MT3 AP 403</v>
      </c>
      <c r="G6677" s="15" t="str">
        <f>IFERROR(__xludf.DUMMYFUNCTION("""COMPUTED_VALUE"""),"MARIA XIMENA GUZMAN DEL CASTILLO")</f>
        <v>MARIA XIMENA GUZMAN DEL CASTILLO</v>
      </c>
      <c r="H6677" s="16">
        <f>IFERROR(__xludf.DUMMYFUNCTION("""COMPUTED_VALUE"""),15400.0)</f>
        <v>15400</v>
      </c>
      <c r="I6677" s="18">
        <f>IFERROR(__xludf.DUMMYFUNCTION("""COMPUTED_VALUE"""),17.0)</f>
        <v>17</v>
      </c>
      <c r="J6677" s="18">
        <f>IFERROR(__xludf.DUMMYFUNCTION("""COMPUTED_VALUE"""),15.0)</f>
        <v>15</v>
      </c>
      <c r="K6677" s="18">
        <f>IFERROR(__xludf.DUMMYFUNCTION("""COMPUTED_VALUE"""),28.0)</f>
        <v>28</v>
      </c>
      <c r="L6677" s="17" t="str">
        <f>IFERROR(__xludf.DUMMYFUNCTION("""COMPUTED_VALUE"""),"311 2848381")</f>
        <v>311 2848381</v>
      </c>
      <c r="M6677" s="17" t="str">
        <f>IFERROR(__xludf.DUMMYFUNCTION("""COMPUTED_VALUE"""),"#REF!")</f>
        <v>#REF!</v>
      </c>
      <c r="N6677" s="17"/>
      <c r="O6677" s="17"/>
      <c r="P6677" s="17" t="b">
        <f>IFERROR(__xludf.DUMMYFUNCTION("""COMPUTED_VALUE"""),TRUE)</f>
        <v>1</v>
      </c>
      <c r="Q6677" s="20">
        <f>IFERROR(__xludf.DUMMYFUNCTION("""COMPUTED_VALUE"""),45190.500338391204)</f>
        <v>45190.50034</v>
      </c>
      <c r="R6677" s="21" t="str">
        <f>IFERROR(__xludf.DUMMYFUNCTION("""COMPUTED_VALUE"""),"https://drive.google.com/file/d/1BKAKVPYkhZDnxcxIVrQImY1mtGxeOYuG/view?usp=drivesdk")</f>
        <v>https://drive.google.com/file/d/1BKAKVPYkhZDnxcxIVrQImY1mtGxeOYuG/view?usp=drivesdk</v>
      </c>
    </row>
    <row r="6678">
      <c r="A6678" s="15">
        <f>IFERROR(__xludf.DUMMYFUNCTION("""COMPUTED_VALUE"""),45189.0)</f>
        <v>45189</v>
      </c>
      <c r="B6678" s="16" t="str">
        <f>IFERROR(__xludf.DUMMYFUNCTION("""COMPUTED_VALUE"""),"Jeison Rubiano")</f>
        <v>Jeison Rubiano</v>
      </c>
      <c r="C6678" s="15" t="str">
        <f>IFERROR(__xludf.DUMMYFUNCTION("""COMPUTED_VALUE"""),"BOGOTÁ")</f>
        <v>BOGOTÁ</v>
      </c>
      <c r="D6678" s="15" t="str">
        <f>IFERROR(__xludf.DUMMYFUNCTION("""COMPUTED_VALUE"""),"MEDELLÍN")</f>
        <v>MEDELLÍN</v>
      </c>
      <c r="E6678" s="15" t="str">
        <f>IFERROR(__xludf.DUMMYFUNCTION("""COMPUTED_VALUE"""),"Moloso S.A.S")</f>
        <v>Moloso S.A.S</v>
      </c>
      <c r="F6678" s="17" t="str">
        <f>IFERROR(__xludf.DUMMYFUNCTION("""COMPUTED_VALUE"""),"CR 11 BIS 124 66 ED BUGANVILLA TO 5 AP 702 / ED BUGANVILLA TO 5 AP 702")</f>
        <v>CR 11 BIS 124 66 ED BUGANVILLA TO 5 AP 702 / ED BUGANVILLA TO 5 AP 702</v>
      </c>
      <c r="G6678" s="15" t="str">
        <f>IFERROR(__xludf.DUMMYFUNCTION("""COMPUTED_VALUE"""),"LINA MARIA BARRERA PRIETO")</f>
        <v>LINA MARIA BARRERA PRIETO</v>
      </c>
      <c r="H6678" s="16">
        <f>IFERROR(__xludf.DUMMYFUNCTION("""COMPUTED_VALUE"""),15402.0)</f>
        <v>15402</v>
      </c>
      <c r="I6678" s="18">
        <f>IFERROR(__xludf.DUMMYFUNCTION("""COMPUTED_VALUE"""),17.0)</f>
        <v>17</v>
      </c>
      <c r="J6678" s="18">
        <f>IFERROR(__xludf.DUMMYFUNCTION("""COMPUTED_VALUE"""),15.0)</f>
        <v>15</v>
      </c>
      <c r="K6678" s="18">
        <f>IFERROR(__xludf.DUMMYFUNCTION("""COMPUTED_VALUE"""),28.0)</f>
        <v>28</v>
      </c>
      <c r="L6678" s="17" t="str">
        <f>IFERROR(__xludf.DUMMYFUNCTION("""COMPUTED_VALUE"""),"312 3733706")</f>
        <v>312 3733706</v>
      </c>
      <c r="M6678" s="17" t="str">
        <f>IFERROR(__xludf.DUMMYFUNCTION("""COMPUTED_VALUE"""),"#REF!")</f>
        <v>#REF!</v>
      </c>
      <c r="N6678" s="17"/>
      <c r="O6678" s="17"/>
      <c r="P6678" s="17" t="b">
        <f>IFERROR(__xludf.DUMMYFUNCTION("""COMPUTED_VALUE"""),TRUE)</f>
        <v>1</v>
      </c>
      <c r="Q6678" s="20">
        <f>IFERROR(__xludf.DUMMYFUNCTION("""COMPUTED_VALUE"""),45190.70484550926)</f>
        <v>45190.70485</v>
      </c>
      <c r="R6678" s="21" t="str">
        <f>IFERROR(__xludf.DUMMYFUNCTION("""COMPUTED_VALUE"""),"https://drive.google.com/file/d/1L8G9grYyFjGyteV16xs7JW77i5mwriW7/view?usp=drivesdk")</f>
        <v>https://drive.google.com/file/d/1L8G9grYyFjGyteV16xs7JW77i5mwriW7/view?usp=drivesdk</v>
      </c>
    </row>
    <row r="6679">
      <c r="A6679" s="15">
        <f>IFERROR(__xludf.DUMMYFUNCTION("""COMPUTED_VALUE"""),45189.0)</f>
        <v>45189</v>
      </c>
      <c r="B6679" s="16" t="str">
        <f>IFERROR(__xludf.DUMMYFUNCTION("""COMPUTED_VALUE"""),"Jeison Rubiano")</f>
        <v>Jeison Rubiano</v>
      </c>
      <c r="C6679" s="15" t="str">
        <f>IFERROR(__xludf.DUMMYFUNCTION("""COMPUTED_VALUE"""),"BOGOTÁ")</f>
        <v>BOGOTÁ</v>
      </c>
      <c r="D6679" s="15" t="str">
        <f>IFERROR(__xludf.DUMMYFUNCTION("""COMPUTED_VALUE"""),"MEDELLÍN")</f>
        <v>MEDELLÍN</v>
      </c>
      <c r="E6679" s="15" t="str">
        <f>IFERROR(__xludf.DUMMYFUNCTION("""COMPUTED_VALUE"""),"Natusoya")</f>
        <v>Natusoya</v>
      </c>
      <c r="F6679" s="17" t="str">
        <f>IFERROR(__xludf.DUMMYFUNCTION("""COMPUTED_VALUE"""),"Carrera 3d #54a-58 / Local 1 / CHAPINERO")</f>
        <v>Carrera 3d #54a-58 / Local 1 / CHAPINERO</v>
      </c>
      <c r="G6679" s="15" t="str">
        <f>IFERROR(__xludf.DUMMYFUNCTION("""COMPUTED_VALUE"""),"Supermercado el konny")</f>
        <v>Supermercado el konny</v>
      </c>
      <c r="H6679" s="16">
        <f>IFERROR(__xludf.DUMMYFUNCTION("""COMPUTED_VALUE"""),15411.0)</f>
        <v>15411</v>
      </c>
      <c r="I6679" s="18">
        <f>IFERROR(__xludf.DUMMYFUNCTION("""COMPUTED_VALUE"""),15.0)</f>
        <v>15</v>
      </c>
      <c r="J6679" s="18">
        <f>IFERROR(__xludf.DUMMYFUNCTION("""COMPUTED_VALUE"""),20.0)</f>
        <v>20</v>
      </c>
      <c r="K6679" s="18">
        <f>IFERROR(__xludf.DUMMYFUNCTION("""COMPUTED_VALUE"""),30.0)</f>
        <v>30</v>
      </c>
      <c r="L6679" s="17">
        <f>IFERROR(__xludf.DUMMYFUNCTION("""COMPUTED_VALUE"""),3.212318581E9)</f>
        <v>3212318581</v>
      </c>
      <c r="M6679" s="17" t="str">
        <f>IFERROR(__xludf.DUMMYFUNCTION("""COMPUTED_VALUE"""),"#REF!")</f>
        <v>#REF!</v>
      </c>
      <c r="N6679" s="17"/>
      <c r="O6679" s="17"/>
      <c r="P6679" s="17" t="b">
        <f>IFERROR(__xludf.DUMMYFUNCTION("""COMPUTED_VALUE"""),TRUE)</f>
        <v>1</v>
      </c>
      <c r="Q6679" s="20">
        <f>IFERROR(__xludf.DUMMYFUNCTION("""COMPUTED_VALUE"""),45190.704675914356)</f>
        <v>45190.70468</v>
      </c>
      <c r="R6679" s="22" t="str">
        <f>IFERROR(__xludf.DUMMYFUNCTION("""COMPUTED_VALUE"""),"")</f>
        <v/>
      </c>
    </row>
    <row r="6680">
      <c r="A6680" s="15">
        <f>IFERROR(__xludf.DUMMYFUNCTION("""COMPUTED_VALUE"""),45189.0)</f>
        <v>45189</v>
      </c>
      <c r="B6680" s="16" t="str">
        <f>IFERROR(__xludf.DUMMYFUNCTION("""COMPUTED_VALUE"""),"Jeison Rubiano")</f>
        <v>Jeison Rubiano</v>
      </c>
      <c r="C6680" s="15" t="str">
        <f>IFERROR(__xludf.DUMMYFUNCTION("""COMPUTED_VALUE"""),"BOGOTÁ")</f>
        <v>BOGOTÁ</v>
      </c>
      <c r="D6680" s="15" t="str">
        <f>IFERROR(__xludf.DUMMYFUNCTION("""COMPUTED_VALUE"""),"MEDELLÍN")</f>
        <v>MEDELLÍN</v>
      </c>
      <c r="E6680" s="15" t="str">
        <f>IFERROR(__xludf.DUMMYFUNCTION("""COMPUTED_VALUE"""),"Puro Verde")</f>
        <v>Puro Verde</v>
      </c>
      <c r="F6680" s="17" t="str">
        <f>IFERROR(__xludf.DUMMYFUNCTION("""COMPUTED_VALUE"""),"CRA 7 # 156-100.  / OFICINA 2205 / TORRE KRYSTAL")</f>
        <v>CRA 7 # 156-100.  / OFICINA 2205 / TORRE KRYSTAL</v>
      </c>
      <c r="G6680" s="15" t="str">
        <f>IFERROR(__xludf.DUMMYFUNCTION("""COMPUTED_VALUE"""),"WOLFGAN RIVERA")</f>
        <v>WOLFGAN RIVERA</v>
      </c>
      <c r="H6680" s="16">
        <f>IFERROR(__xludf.DUMMYFUNCTION("""COMPUTED_VALUE"""),15399.0)</f>
        <v>15399</v>
      </c>
      <c r="I6680" s="18">
        <f>IFERROR(__xludf.DUMMYFUNCTION("""COMPUTED_VALUE"""),45060.0)</f>
        <v>45060</v>
      </c>
      <c r="J6680" s="18">
        <f>IFERROR(__xludf.DUMMYFUNCTION("""COMPUTED_VALUE"""),24.0)</f>
        <v>24</v>
      </c>
      <c r="K6680" s="18">
        <f>IFERROR(__xludf.DUMMYFUNCTION("""COMPUTED_VALUE"""),27.0)</f>
        <v>27</v>
      </c>
      <c r="L6680" s="17">
        <f>IFERROR(__xludf.DUMMYFUNCTION("""COMPUTED_VALUE"""),3.222375251E9)</f>
        <v>3222375251</v>
      </c>
      <c r="M6680" s="17" t="str">
        <f>IFERROR(__xludf.DUMMYFUNCTION("""COMPUTED_VALUE"""),"#REF!")</f>
        <v>#REF!</v>
      </c>
      <c r="N6680" s="17"/>
      <c r="O6680" s="17"/>
      <c r="P6680" s="17" t="b">
        <f>IFERROR(__xludf.DUMMYFUNCTION("""COMPUTED_VALUE"""),TRUE)</f>
        <v>1</v>
      </c>
      <c r="Q6680" s="20">
        <f>IFERROR(__xludf.DUMMYFUNCTION("""COMPUTED_VALUE"""),45190.69930577546)</f>
        <v>45190.69931</v>
      </c>
      <c r="R6680" s="21" t="str">
        <f>IFERROR(__xludf.DUMMYFUNCTION("""COMPUTED_VALUE"""),"https://drive.google.com/file/d/1vD-qVL1cUdtV_y2NlD_Dh-g1GUADpTzr/view?usp=drivesdk")</f>
        <v>https://drive.google.com/file/d/1vD-qVL1cUdtV_y2NlD_Dh-g1GUADpTzr/view?usp=drivesdk</v>
      </c>
    </row>
    <row r="6681">
      <c r="A6681" s="15">
        <f>IFERROR(__xludf.DUMMYFUNCTION("""COMPUTED_VALUE"""),45189.0)</f>
        <v>45189</v>
      </c>
      <c r="B6681" s="16" t="str">
        <f>IFERROR(__xludf.DUMMYFUNCTION("""COMPUTED_VALUE"""),"Jeison Rubiano")</f>
        <v>Jeison Rubiano</v>
      </c>
      <c r="C6681" s="15" t="str">
        <f>IFERROR(__xludf.DUMMYFUNCTION("""COMPUTED_VALUE"""),"BOGOTÁ")</f>
        <v>BOGOTÁ</v>
      </c>
      <c r="D6681" s="15" t="str">
        <f>IFERROR(__xludf.DUMMYFUNCTION("""COMPUTED_VALUE"""),"MEDELLÍN")</f>
        <v>MEDELLÍN</v>
      </c>
      <c r="E6681" s="15" t="str">
        <f>IFERROR(__xludf.DUMMYFUNCTION("""COMPUTED_VALUE"""),"Rambla")</f>
        <v>Rambla</v>
      </c>
      <c r="F6681" s="17" t="str">
        <f>IFERROR(__xludf.DUMMYFUNCTION("""COMPUTED_VALUE"""),"Cll 90 # 15-56  / - / -")</f>
        <v>Cll 90 # 15-56  / - / -</v>
      </c>
      <c r="G6681" s="15" t="str">
        <f>IFERROR(__xludf.DUMMYFUNCTION("""COMPUTED_VALUE"""),"Fit market")</f>
        <v>Fit market</v>
      </c>
      <c r="H6681" s="16">
        <f>IFERROR(__xludf.DUMMYFUNCTION("""COMPUTED_VALUE"""),15430.0)</f>
        <v>15430</v>
      </c>
      <c r="I6681" s="18">
        <f>IFERROR(__xludf.DUMMYFUNCTION("""COMPUTED_VALUE"""),3.0)</f>
        <v>3</v>
      </c>
      <c r="J6681" s="18">
        <f>IFERROR(__xludf.DUMMYFUNCTION("""COMPUTED_VALUE"""),10.0)</f>
        <v>10</v>
      </c>
      <c r="K6681" s="18">
        <f>IFERROR(__xludf.DUMMYFUNCTION("""COMPUTED_VALUE"""),10.0)</f>
        <v>10</v>
      </c>
      <c r="L6681" s="17">
        <f>IFERROR(__xludf.DUMMYFUNCTION("""COMPUTED_VALUE"""),3.183545455E9)</f>
        <v>3183545455</v>
      </c>
      <c r="M6681" s="17" t="str">
        <f>IFERROR(__xludf.DUMMYFUNCTION("""COMPUTED_VALUE"""),"#REF!")</f>
        <v>#REF!</v>
      </c>
      <c r="N6681" s="17"/>
      <c r="O6681" s="17"/>
      <c r="P6681" s="17" t="b">
        <f>IFERROR(__xludf.DUMMYFUNCTION("""COMPUTED_VALUE"""),TRUE)</f>
        <v>1</v>
      </c>
      <c r="Q6681" s="20">
        <f>IFERROR(__xludf.DUMMYFUNCTION("""COMPUTED_VALUE"""),45190.698706446754)</f>
        <v>45190.69871</v>
      </c>
      <c r="R6681" s="22" t="str">
        <f>IFERROR(__xludf.DUMMYFUNCTION("""COMPUTED_VALUE"""),"")</f>
        <v/>
      </c>
    </row>
    <row r="6682">
      <c r="A6682" s="15">
        <f>IFERROR(__xludf.DUMMYFUNCTION("""COMPUTED_VALUE"""),45189.0)</f>
        <v>45189</v>
      </c>
      <c r="B6682" s="16" t="str">
        <f>IFERROR(__xludf.DUMMYFUNCTION("""COMPUTED_VALUE"""),"Jeison Rubiano")</f>
        <v>Jeison Rubiano</v>
      </c>
      <c r="C6682" s="15" t="str">
        <f>IFERROR(__xludf.DUMMYFUNCTION("""COMPUTED_VALUE"""),"BOGOTÁ")</f>
        <v>BOGOTÁ</v>
      </c>
      <c r="D6682" s="15" t="str">
        <f>IFERROR(__xludf.DUMMYFUNCTION("""COMPUTED_VALUE"""),"MEDELLÍN")</f>
        <v>MEDELLÍN</v>
      </c>
      <c r="E6682" s="15" t="str">
        <f>IFERROR(__xludf.DUMMYFUNCTION("""COMPUTED_VALUE"""),"Terravocado")</f>
        <v>Terravocado</v>
      </c>
      <c r="F6682" s="17" t="str">
        <f>IFERROR(__xludf.DUMMYFUNCTION("""COMPUTED_VALUE"""),"CRA 13  # 98 - 48  / CHICO NORTE  / CHICO NORTE")</f>
        <v>CRA 13  # 98 - 48  / CHICO NORTE  / CHICO NORTE</v>
      </c>
      <c r="G6682" s="15" t="str">
        <f>IFERROR(__xludf.DUMMYFUNCTION("""COMPUTED_VALUE"""),"ALPARKE SAS")</f>
        <v>ALPARKE SAS</v>
      </c>
      <c r="H6682" s="16">
        <f>IFERROR(__xludf.DUMMYFUNCTION("""COMPUTED_VALUE"""),15425.0)</f>
        <v>15425</v>
      </c>
      <c r="I6682" s="18">
        <f>IFERROR(__xludf.DUMMYFUNCTION("""COMPUTED_VALUE"""),20.0)</f>
        <v>20</v>
      </c>
      <c r="J6682" s="18">
        <f>IFERROR(__xludf.DUMMYFUNCTION("""COMPUTED_VALUE"""),24.0)</f>
        <v>24</v>
      </c>
      <c r="K6682" s="18">
        <f>IFERROR(__xludf.DUMMYFUNCTION("""COMPUTED_VALUE"""),34.0)</f>
        <v>34</v>
      </c>
      <c r="L6682" s="17">
        <f>IFERROR(__xludf.DUMMYFUNCTION("""COMPUTED_VALUE"""),3.227737548E9)</f>
        <v>3227737548</v>
      </c>
      <c r="M6682" s="17" t="str">
        <f>IFERROR(__xludf.DUMMYFUNCTION("""COMPUTED_VALUE"""),"#REF!")</f>
        <v>#REF!</v>
      </c>
      <c r="N6682" s="17"/>
      <c r="O6682" s="17"/>
      <c r="P6682" s="17" t="b">
        <f>IFERROR(__xludf.DUMMYFUNCTION("""COMPUTED_VALUE"""),TRUE)</f>
        <v>1</v>
      </c>
      <c r="Q6682" s="20">
        <f>IFERROR(__xludf.DUMMYFUNCTION("""COMPUTED_VALUE"""),45190.49906778935)</f>
        <v>45190.49907</v>
      </c>
      <c r="R6682" s="22" t="str">
        <f>IFERROR(__xludf.DUMMYFUNCTION("""COMPUTED_VALUE"""),"")</f>
        <v/>
      </c>
    </row>
    <row r="6683">
      <c r="A6683" s="15">
        <f>IFERROR(__xludf.DUMMYFUNCTION("""COMPUTED_VALUE"""),45189.0)</f>
        <v>45189</v>
      </c>
      <c r="B6683" s="16" t="str">
        <f>IFERROR(__xludf.DUMMYFUNCTION("""COMPUTED_VALUE"""),"Jeison Rubiano")</f>
        <v>Jeison Rubiano</v>
      </c>
      <c r="C6683" s="15" t="str">
        <f>IFERROR(__xludf.DUMMYFUNCTION("""COMPUTED_VALUE"""),"MONTERIA")</f>
        <v>MONTERIA</v>
      </c>
      <c r="D6683" s="15" t="str">
        <f>IFERROR(__xludf.DUMMYFUNCTION("""COMPUTED_VALUE"""),"BOGOTÁ")</f>
        <v>BOGOTÁ</v>
      </c>
      <c r="E6683" s="15" t="str">
        <f>IFERROR(__xludf.DUMMYFUNCTION("""COMPUTED_VALUE"""),"Top Spun")</f>
        <v>Top Spun</v>
      </c>
      <c r="F6683" s="17" t="str">
        <f>IFERROR(__xludf.DUMMYFUNCTION("""COMPUTED_VALUE"""),"CALLE 69 #3-112 / EDIFICIO RITZY BARRIO EL RECREO /  APTO 601")</f>
        <v>CALLE 69 #3-112 / EDIFICIO RITZY BARRIO EL RECREO /  APTO 601</v>
      </c>
      <c r="G6683" s="15" t="str">
        <f>IFERROR(__xludf.DUMMYFUNCTION("""COMPUTED_VALUE"""),"ISABELA NIETO KERGUELéN")</f>
        <v>ISABELA NIETO KERGUELéN</v>
      </c>
      <c r="H6683" s="16">
        <f>IFERROR(__xludf.DUMMYFUNCTION("""COMPUTED_VALUE"""),15298.0)</f>
        <v>15298</v>
      </c>
      <c r="I6683" s="18">
        <f>IFERROR(__xludf.DUMMYFUNCTION("""COMPUTED_VALUE"""),20.0)</f>
        <v>20</v>
      </c>
      <c r="J6683" s="18">
        <f>IFERROR(__xludf.DUMMYFUNCTION("""COMPUTED_VALUE"""),10.0)</f>
        <v>10</v>
      </c>
      <c r="K6683" s="18">
        <f>IFERROR(__xludf.DUMMYFUNCTION("""COMPUTED_VALUE"""),40.0)</f>
        <v>40</v>
      </c>
      <c r="L6683" s="17">
        <f>IFERROR(__xludf.DUMMYFUNCTION("""COMPUTED_VALUE"""),3.11220739E9)</f>
        <v>3112207390</v>
      </c>
      <c r="M6683" s="17" t="str">
        <f>IFERROR(__xludf.DUMMYFUNCTION("""COMPUTED_VALUE"""),"#REF!")</f>
        <v>#REF!</v>
      </c>
      <c r="N6683" s="17"/>
      <c r="O6683" s="17"/>
      <c r="P6683" s="17" t="b">
        <f>IFERROR(__xludf.DUMMYFUNCTION("""COMPUTED_VALUE"""),TRUE)</f>
        <v>1</v>
      </c>
      <c r="Q6683" s="20">
        <f>IFERROR(__xludf.DUMMYFUNCTION("""COMPUTED_VALUE"""),45190.45921935185)</f>
        <v>45190.45922</v>
      </c>
      <c r="R6683" s="21" t="str">
        <f>IFERROR(__xludf.DUMMYFUNCTION("""COMPUTED_VALUE"""),"https://drive.google.com/file/d/1u_7ARbI45tBSL9hO9Rg0QOGIG9nJSuUJ/view?usp=drivesdk")</f>
        <v>https://drive.google.com/file/d/1u_7ARbI45tBSL9hO9Rg0QOGIG9nJSuUJ/view?usp=drivesdk</v>
      </c>
    </row>
    <row r="6684">
      <c r="A6684" s="15">
        <f>IFERROR(__xludf.DUMMYFUNCTION("""COMPUTED_VALUE"""),45189.0)</f>
        <v>45189</v>
      </c>
      <c r="B6684" s="16" t="str">
        <f>IFERROR(__xludf.DUMMYFUNCTION("""COMPUTED_VALUE"""),"Jeison Rubiano")</f>
        <v>Jeison Rubiano</v>
      </c>
      <c r="C6684" s="15" t="str">
        <f>IFERROR(__xludf.DUMMYFUNCTION("""COMPUTED_VALUE"""),"MONTERIA")</f>
        <v>MONTERIA</v>
      </c>
      <c r="D6684" s="15" t="str">
        <f>IFERROR(__xludf.DUMMYFUNCTION("""COMPUTED_VALUE"""),"MEDELLÍN")</f>
        <v>MEDELLÍN</v>
      </c>
      <c r="E6684" s="15" t="str">
        <f>IFERROR(__xludf.DUMMYFUNCTION("""COMPUTED_VALUE"""),"Rambla")</f>
        <v>Rambla</v>
      </c>
      <c r="F6684" s="17" t="str">
        <f>IFERROR(__xludf.DUMMYFUNCTION("""COMPUTED_VALUE"""),"calle 62  #6 45lc  2 barrio los alcazares cr7 / - / -")</f>
        <v>calle 62  #6 45lc  2 barrio los alcazares cr7 / - / -</v>
      </c>
      <c r="G6684" s="15" t="str">
        <f>IFERROR(__xludf.DUMMYFUNCTION("""COMPUTED_VALUE"""),"Felii")</f>
        <v>Felii</v>
      </c>
      <c r="H6684" s="16">
        <f>IFERROR(__xludf.DUMMYFUNCTION("""COMPUTED_VALUE"""),15434.0)</f>
        <v>15434</v>
      </c>
      <c r="I6684" s="18">
        <f>IFERROR(__xludf.DUMMYFUNCTION("""COMPUTED_VALUE"""),35.0)</f>
        <v>35</v>
      </c>
      <c r="J6684" s="18">
        <f>IFERROR(__xludf.DUMMYFUNCTION("""COMPUTED_VALUE"""),22.0)</f>
        <v>22</v>
      </c>
      <c r="K6684" s="18">
        <f>IFERROR(__xludf.DUMMYFUNCTION("""COMPUTED_VALUE"""),24.0)</f>
        <v>24</v>
      </c>
      <c r="L6684" s="17">
        <f>IFERROR(__xludf.DUMMYFUNCTION("""COMPUTED_VALUE"""),3.052261719E9)</f>
        <v>3052261719</v>
      </c>
      <c r="M6684" s="17" t="str">
        <f>IFERROR(__xludf.DUMMYFUNCTION("""COMPUTED_VALUE"""),"#REF!")</f>
        <v>#REF!</v>
      </c>
      <c r="N6684" s="17"/>
      <c r="O6684" s="17"/>
      <c r="P6684" s="17" t="b">
        <f>IFERROR(__xludf.DUMMYFUNCTION("""COMPUTED_VALUE"""),TRUE)</f>
        <v>1</v>
      </c>
      <c r="Q6684" s="20">
        <f>IFERROR(__xludf.DUMMYFUNCTION("""COMPUTED_VALUE"""),45190.458460740745)</f>
        <v>45190.45846</v>
      </c>
      <c r="R6684" s="21" t="str">
        <f>IFERROR(__xludf.DUMMYFUNCTION("""COMPUTED_VALUE"""),"https://drive.google.com/file/d/1I1eRa4RrCqnYsbgecPPyk6qP9y_YWSAf/view?usp=drivesdk")</f>
        <v>https://drive.google.com/file/d/1I1eRa4RrCqnYsbgecPPyk6qP9y_YWSAf/view?usp=drivesdk</v>
      </c>
    </row>
    <row r="6685">
      <c r="A6685" s="17" t="str">
        <f>IFERROR(__xludf.DUMMYFUNCTION("""COMPUTED_VALUE"""),"")</f>
        <v/>
      </c>
      <c r="B6685" s="17" t="str">
        <f>IFERROR(__xludf.DUMMYFUNCTION("""COMPUTED_VALUE"""),"")</f>
        <v/>
      </c>
      <c r="C6685" s="17" t="str">
        <f>IFERROR(__xludf.DUMMYFUNCTION("""COMPUTED_VALUE"""),"")</f>
        <v/>
      </c>
      <c r="D6685" s="17" t="str">
        <f>IFERROR(__xludf.DUMMYFUNCTION("""COMPUTED_VALUE"""),"")</f>
        <v/>
      </c>
      <c r="E6685" s="17" t="str">
        <f>IFERROR(__xludf.DUMMYFUNCTION("""COMPUTED_VALUE"""),"")</f>
        <v/>
      </c>
      <c r="F6685" s="17" t="str">
        <f>IFERROR(__xludf.DUMMYFUNCTION("""COMPUTED_VALUE"""),"")</f>
        <v/>
      </c>
      <c r="G6685" s="17" t="str">
        <f>IFERROR(__xludf.DUMMYFUNCTION("""COMPUTED_VALUE"""),"")</f>
        <v/>
      </c>
      <c r="H6685" s="17" t="str">
        <f>IFERROR(__xludf.DUMMYFUNCTION("""COMPUTED_VALUE"""),"")</f>
        <v/>
      </c>
      <c r="I6685" s="17" t="str">
        <f>IFERROR(__xludf.DUMMYFUNCTION("""COMPUTED_VALUE"""),"")</f>
        <v/>
      </c>
      <c r="J6685" s="17" t="str">
        <f>IFERROR(__xludf.DUMMYFUNCTION("""COMPUTED_VALUE"""),"")</f>
        <v/>
      </c>
      <c r="K6685" s="17" t="str">
        <f>IFERROR(__xludf.DUMMYFUNCTION("""COMPUTED_VALUE"""),"")</f>
        <v/>
      </c>
      <c r="L6685" s="17" t="str">
        <f>IFERROR(__xludf.DUMMYFUNCTION("""COMPUTED_VALUE"""),"")</f>
        <v/>
      </c>
      <c r="M6685" s="17" t="str">
        <f>IFERROR(__xludf.DUMMYFUNCTION("""COMPUTED_VALUE"""),"")</f>
        <v/>
      </c>
      <c r="N6685" s="17" t="str">
        <f>IFERROR(__xludf.DUMMYFUNCTION("""COMPUTED_VALUE"""),"")</f>
        <v/>
      </c>
      <c r="O6685" s="17" t="str">
        <f>IFERROR(__xludf.DUMMYFUNCTION("""COMPUTED_VALUE"""),"")</f>
        <v/>
      </c>
      <c r="P6685" s="17" t="str">
        <f>IFERROR(__xludf.DUMMYFUNCTION("""COMPUTED_VALUE"""),"")</f>
        <v/>
      </c>
      <c r="Q6685" s="17" t="str">
        <f>IFERROR(__xludf.DUMMYFUNCTION("""COMPUTED_VALUE"""),"")</f>
        <v/>
      </c>
      <c r="R6685" s="17" t="str">
        <f>IFERROR(__xludf.DUMMYFUNCTION("""COMPUTED_VALUE"""),"")</f>
        <v/>
      </c>
    </row>
    <row r="6686">
      <c r="A6686" s="15">
        <f>IFERROR(__xludf.DUMMYFUNCTION("""COMPUTED_VALUE"""),45189.0)</f>
        <v>45189</v>
      </c>
      <c r="B6686" s="16" t="str">
        <f>IFERROR(__xludf.DUMMYFUNCTION("""COMPUTED_VALUE"""),"Johan Alexander Escobar Arroyo ")</f>
        <v>Johan Alexander Escobar Arroyo </v>
      </c>
      <c r="C6686" s="15" t="str">
        <f>IFERROR(__xludf.DUMMYFUNCTION("""COMPUTED_VALUE"""),"BOGOTÁ")</f>
        <v>BOGOTÁ</v>
      </c>
      <c r="D6686" s="15" t="str">
        <f>IFERROR(__xludf.DUMMYFUNCTION("""COMPUTED_VALUE"""),"MEDELLÍN")</f>
        <v>MEDELLÍN</v>
      </c>
      <c r="E6686" s="15" t="str">
        <f>IFERROR(__xludf.DUMMYFUNCTION("""COMPUTED_VALUE"""),"Vendedora Crepes")</f>
        <v>Vendedora Crepes</v>
      </c>
      <c r="F6686" s="17" t="str">
        <f>IFERROR(__xludf.DUMMYFUNCTION("""COMPUTED_VALUE"""),"Calle 134A # 17-92  / apartamento 303 / norte")</f>
        <v>Calle 134A # 17-92  / apartamento 303 / norte</v>
      </c>
      <c r="G6686" s="15" t="str">
        <f>IFERROR(__xludf.DUMMYFUNCTION("""COMPUTED_VALUE"""),"Zulay Abdu")</f>
        <v>Zulay Abdu</v>
      </c>
      <c r="H6686" s="16">
        <f>IFERROR(__xludf.DUMMYFUNCTION("""COMPUTED_VALUE"""),15357.0)</f>
        <v>15357</v>
      </c>
      <c r="I6686" s="18">
        <f>IFERROR(__xludf.DUMMYFUNCTION("""COMPUTED_VALUE"""),15.0)</f>
        <v>15</v>
      </c>
      <c r="J6686" s="18">
        <f>IFERROR(__xludf.DUMMYFUNCTION("""COMPUTED_VALUE"""),25.0)</f>
        <v>25</v>
      </c>
      <c r="K6686" s="18">
        <f>IFERROR(__xludf.DUMMYFUNCTION("""COMPUTED_VALUE"""),28.0)</f>
        <v>28</v>
      </c>
      <c r="L6686" s="17">
        <f>IFERROR(__xludf.DUMMYFUNCTION("""COMPUTED_VALUE"""),3.10234769E9)</f>
        <v>3102347690</v>
      </c>
      <c r="M6686" s="17" t="str">
        <f>IFERROR(__xludf.DUMMYFUNCTION("""COMPUTED_VALUE"""),"#REF!")</f>
        <v>#REF!</v>
      </c>
      <c r="N6686" s="17"/>
      <c r="O6686" s="17"/>
      <c r="P6686" s="17" t="b">
        <f>IFERROR(__xludf.DUMMYFUNCTION("""COMPUTED_VALUE"""),TRUE)</f>
        <v>1</v>
      </c>
      <c r="Q6686" s="20">
        <f>IFERROR(__xludf.DUMMYFUNCTION("""COMPUTED_VALUE"""),45190.83137372685)</f>
        <v>45190.83137</v>
      </c>
      <c r="R6686" s="21" t="str">
        <f>IFERROR(__xludf.DUMMYFUNCTION("""COMPUTED_VALUE"""),"https://drive.google.com/file/d/1oy7yz-Zu9H858j0CY057GG9r-JqV8Fon/view?usp=drivesdk")</f>
        <v>https://drive.google.com/file/d/1oy7yz-Zu9H858j0CY057GG9r-JqV8Fon/view?usp=drivesdk</v>
      </c>
    </row>
    <row r="6687">
      <c r="A6687" s="15">
        <f>IFERROR(__xludf.DUMMYFUNCTION("""COMPUTED_VALUE"""),45189.0)</f>
        <v>45189</v>
      </c>
      <c r="B6687" s="16" t="str">
        <f>IFERROR(__xludf.DUMMYFUNCTION("""COMPUTED_VALUE"""),"Johan Alexander Escobar Arroyo ")</f>
        <v>Johan Alexander Escobar Arroyo </v>
      </c>
      <c r="C6687" s="15" t="str">
        <f>IFERROR(__xludf.DUMMYFUNCTION("""COMPUTED_VALUE"""),"BOGOTÁ")</f>
        <v>BOGOTÁ</v>
      </c>
      <c r="D6687" s="15" t="str">
        <f>IFERROR(__xludf.DUMMYFUNCTION("""COMPUTED_VALUE"""),"PEREIRA")</f>
        <v>PEREIRA</v>
      </c>
      <c r="E6687" s="15" t="str">
        <f>IFERROR(__xludf.DUMMYFUNCTION("""COMPUTED_VALUE"""),"BAK&amp;VEG")</f>
        <v>BAK&amp;VEG</v>
      </c>
      <c r="F6687" s="17" t="str">
        <f>IFERROR(__xludf.DUMMYFUNCTION("""COMPUTED_VALUE"""),"cALLE 116 # 9 - 82")</f>
        <v>cALLE 116 # 9 - 82</v>
      </c>
      <c r="G6687" s="15" t="str">
        <f>IFERROR(__xludf.DUMMYFUNCTION("""COMPUTED_VALUE"""),"ADA MALAVER")</f>
        <v>ADA MALAVER</v>
      </c>
      <c r="H6687" s="16">
        <f>IFERROR(__xludf.DUMMYFUNCTION("""COMPUTED_VALUE"""),15407.0)</f>
        <v>15407</v>
      </c>
      <c r="I6687" s="18">
        <f>IFERROR(__xludf.DUMMYFUNCTION("""COMPUTED_VALUE"""),24.0)</f>
        <v>24</v>
      </c>
      <c r="J6687" s="18">
        <f>IFERROR(__xludf.DUMMYFUNCTION("""COMPUTED_VALUE"""),19.0)</f>
        <v>19</v>
      </c>
      <c r="K6687" s="18">
        <f>IFERROR(__xludf.DUMMYFUNCTION("""COMPUTED_VALUE"""),7.0)</f>
        <v>7</v>
      </c>
      <c r="L6687" s="17">
        <f>IFERROR(__xludf.DUMMYFUNCTION("""COMPUTED_VALUE"""),3.138851957E9)</f>
        <v>3138851957</v>
      </c>
      <c r="M6687" s="17" t="str">
        <f>IFERROR(__xludf.DUMMYFUNCTION("""COMPUTED_VALUE"""),"#REF!")</f>
        <v>#REF!</v>
      </c>
      <c r="N6687" s="17"/>
      <c r="O6687" s="17"/>
      <c r="P6687" s="17" t="b">
        <f>IFERROR(__xludf.DUMMYFUNCTION("""COMPUTED_VALUE"""),TRUE)</f>
        <v>1</v>
      </c>
      <c r="Q6687" s="20">
        <f>IFERROR(__xludf.DUMMYFUNCTION("""COMPUTED_VALUE"""),45190.83147222223)</f>
        <v>45190.83147</v>
      </c>
      <c r="R6687" s="22" t="str">
        <f>IFERROR(__xludf.DUMMYFUNCTION("""COMPUTED_VALUE"""),"")</f>
        <v/>
      </c>
    </row>
    <row r="6688">
      <c r="A6688" s="15">
        <f>IFERROR(__xludf.DUMMYFUNCTION("""COMPUTED_VALUE"""),45189.0)</f>
        <v>45189</v>
      </c>
      <c r="B6688" s="16" t="str">
        <f>IFERROR(__xludf.DUMMYFUNCTION("""COMPUTED_VALUE"""),"Johan Alexander Escobar Arroyo ")</f>
        <v>Johan Alexander Escobar Arroyo </v>
      </c>
      <c r="C6688" s="15" t="str">
        <f>IFERROR(__xludf.DUMMYFUNCTION("""COMPUTED_VALUE"""),"CALI")</f>
        <v>CALI</v>
      </c>
      <c r="D6688" s="15" t="str">
        <f>IFERROR(__xludf.DUMMYFUNCTION("""COMPUTED_VALUE"""),"MEDELLÍN")</f>
        <v>MEDELLÍN</v>
      </c>
      <c r="E6688" s="15" t="str">
        <f>IFERROR(__xludf.DUMMYFUNCTION("""COMPUTED_VALUE"""),"Baby Chef")</f>
        <v>Baby Chef</v>
      </c>
      <c r="F6688" s="17" t="str">
        <f>IFERROR(__xludf.DUMMYFUNCTION("""COMPUTED_VALUE"""),"Calle 21 norte 6an29 edificio padua apto 601 barrio Santa Monica / Calle 21 norte 6an29 edificio padua apto 601 barrio Santa Monica / Calle 21 norte 6an29 edificio padua apto 601 barrio Santa Monica")</f>
        <v>Calle 21 norte 6an29 edificio padua apto 601 barrio Santa Monica / Calle 21 norte 6an29 edificio padua apto 601 barrio Santa Monica / Calle 21 norte 6an29 edificio padua apto 601 barrio Santa Monica</v>
      </c>
      <c r="G6688" s="15" t="str">
        <f>IFERROR(__xludf.DUMMYFUNCTION("""COMPUTED_VALUE"""),"Diana María Calle")</f>
        <v>Diana María Calle</v>
      </c>
      <c r="H6688" s="16">
        <f>IFERROR(__xludf.DUMMYFUNCTION("""COMPUTED_VALUE"""),15440.0)</f>
        <v>15440</v>
      </c>
      <c r="I6688" s="18">
        <f>IFERROR(__xludf.DUMMYFUNCTION("""COMPUTED_VALUE"""),6.0)</f>
        <v>6</v>
      </c>
      <c r="J6688" s="18">
        <f>IFERROR(__xludf.DUMMYFUNCTION("""COMPUTED_VALUE"""),23.0)</f>
        <v>23</v>
      </c>
      <c r="K6688" s="18">
        <f>IFERROR(__xludf.DUMMYFUNCTION("""COMPUTED_VALUE"""),40.0)</f>
        <v>40</v>
      </c>
      <c r="L6688" s="17">
        <f>IFERROR(__xludf.DUMMYFUNCTION("""COMPUTED_VALUE"""),3.023861711E9)</f>
        <v>3023861711</v>
      </c>
      <c r="M6688" s="17" t="str">
        <f>IFERROR(__xludf.DUMMYFUNCTION("""COMPUTED_VALUE"""),"#REF!")</f>
        <v>#REF!</v>
      </c>
      <c r="N6688" s="17"/>
      <c r="O6688" s="17"/>
      <c r="P6688" s="17" t="b">
        <f>IFERROR(__xludf.DUMMYFUNCTION("""COMPUTED_VALUE"""),FALSE)</f>
        <v>0</v>
      </c>
      <c r="Q6688" s="20" t="str">
        <f>IFERROR(__xludf.DUMMYFUNCTION("""COMPUTED_VALUE"""),"")</f>
        <v/>
      </c>
      <c r="R6688" s="22" t="str">
        <f>IFERROR(__xludf.DUMMYFUNCTION("""COMPUTED_VALUE"""),"")</f>
        <v/>
      </c>
    </row>
    <row r="6689">
      <c r="A6689" s="15">
        <f>IFERROR(__xludf.DUMMYFUNCTION("""COMPUTED_VALUE"""),45189.0)</f>
        <v>45189</v>
      </c>
      <c r="B6689" s="16" t="str">
        <f>IFERROR(__xludf.DUMMYFUNCTION("""COMPUTED_VALUE"""),"Johan Alexander Escobar Arroyo ")</f>
        <v>Johan Alexander Escobar Arroyo </v>
      </c>
      <c r="C6689" s="15" t="str">
        <f>IFERROR(__xludf.DUMMYFUNCTION("""COMPUTED_VALUE"""),"CALI")</f>
        <v>CALI</v>
      </c>
      <c r="D6689" s="15" t="str">
        <f>IFERROR(__xludf.DUMMYFUNCTION("""COMPUTED_VALUE"""),"MEDELLÍN")</f>
        <v>MEDELLÍN</v>
      </c>
      <c r="E6689" s="15" t="str">
        <f>IFERROR(__xludf.DUMMYFUNCTION("""COMPUTED_VALUE"""),"JD Bufala")</f>
        <v>JD Bufala</v>
      </c>
      <c r="F6689" s="17" t="str">
        <f>IFERROR(__xludf.DUMMYFUNCTION("""COMPUTED_VALUE"""),"Callé 51norte # 4bn72 / Delhuertopizzeria  / La flora")</f>
        <v>Callé 51norte # 4bn72 / Delhuertopizzeria  / La flora</v>
      </c>
      <c r="G6689" s="15" t="str">
        <f>IFERROR(__xludf.DUMMYFUNCTION("""COMPUTED_VALUE"""),"Jaiver Rodríguez")</f>
        <v>Jaiver Rodríguez</v>
      </c>
      <c r="H6689" s="16">
        <f>IFERROR(__xludf.DUMMYFUNCTION("""COMPUTED_VALUE"""),15410.0)</f>
        <v>15410</v>
      </c>
      <c r="I6689" s="18" t="str">
        <f>IFERROR(__xludf.DUMMYFUNCTION("""COMPUTED_VALUE"""),"102.5")</f>
        <v>102.5</v>
      </c>
      <c r="J6689" s="18">
        <f>IFERROR(__xludf.DUMMYFUNCTION("""COMPUTED_VALUE"""),28.0)</f>
        <v>28</v>
      </c>
      <c r="K6689" s="18">
        <f>IFERROR(__xludf.DUMMYFUNCTION("""COMPUTED_VALUE"""),40.0)</f>
        <v>40</v>
      </c>
      <c r="L6689" s="17">
        <f>IFERROR(__xludf.DUMMYFUNCTION("""COMPUTED_VALUE"""),3.104919761E9)</f>
        <v>3104919761</v>
      </c>
      <c r="M6689" s="17" t="str">
        <f>IFERROR(__xludf.DUMMYFUNCTION("""COMPUTED_VALUE"""),"#REF!")</f>
        <v>#REF!</v>
      </c>
      <c r="N6689" s="17"/>
      <c r="O6689" s="17"/>
      <c r="P6689" s="17" t="b">
        <f>IFERROR(__xludf.DUMMYFUNCTION("""COMPUTED_VALUE"""),FALSE)</f>
        <v>0</v>
      </c>
      <c r="Q6689" s="20" t="str">
        <f>IFERROR(__xludf.DUMMYFUNCTION("""COMPUTED_VALUE"""),"")</f>
        <v/>
      </c>
      <c r="R6689" s="22" t="str">
        <f>IFERROR(__xludf.DUMMYFUNCTION("""COMPUTED_VALUE"""),"")</f>
        <v/>
      </c>
    </row>
    <row r="6690">
      <c r="A6690" s="17" t="str">
        <f>IFERROR(__xludf.DUMMYFUNCTION("""COMPUTED_VALUE"""),"")</f>
        <v/>
      </c>
      <c r="B6690" s="17" t="str">
        <f>IFERROR(__xludf.DUMMYFUNCTION("""COMPUTED_VALUE"""),"")</f>
        <v/>
      </c>
      <c r="C6690" s="17" t="str">
        <f>IFERROR(__xludf.DUMMYFUNCTION("""COMPUTED_VALUE"""),"")</f>
        <v/>
      </c>
      <c r="D6690" s="17" t="str">
        <f>IFERROR(__xludf.DUMMYFUNCTION("""COMPUTED_VALUE"""),"")</f>
        <v/>
      </c>
      <c r="E6690" s="17" t="str">
        <f>IFERROR(__xludf.DUMMYFUNCTION("""COMPUTED_VALUE"""),"")</f>
        <v/>
      </c>
      <c r="F6690" s="17" t="str">
        <f>IFERROR(__xludf.DUMMYFUNCTION("""COMPUTED_VALUE"""),"")</f>
        <v/>
      </c>
      <c r="G6690" s="17" t="str">
        <f>IFERROR(__xludf.DUMMYFUNCTION("""COMPUTED_VALUE"""),"")</f>
        <v/>
      </c>
      <c r="H6690" s="17" t="str">
        <f>IFERROR(__xludf.DUMMYFUNCTION("""COMPUTED_VALUE"""),"")</f>
        <v/>
      </c>
      <c r="I6690" s="17" t="str">
        <f>IFERROR(__xludf.DUMMYFUNCTION("""COMPUTED_VALUE"""),"")</f>
        <v/>
      </c>
      <c r="J6690" s="17" t="str">
        <f>IFERROR(__xludf.DUMMYFUNCTION("""COMPUTED_VALUE"""),"")</f>
        <v/>
      </c>
      <c r="K6690" s="17" t="str">
        <f>IFERROR(__xludf.DUMMYFUNCTION("""COMPUTED_VALUE"""),"")</f>
        <v/>
      </c>
      <c r="L6690" s="17" t="str">
        <f>IFERROR(__xludf.DUMMYFUNCTION("""COMPUTED_VALUE"""),"")</f>
        <v/>
      </c>
      <c r="M6690" s="17" t="str">
        <f>IFERROR(__xludf.DUMMYFUNCTION("""COMPUTED_VALUE"""),"")</f>
        <v/>
      </c>
      <c r="N6690" s="17" t="str">
        <f>IFERROR(__xludf.DUMMYFUNCTION("""COMPUTED_VALUE"""),"")</f>
        <v/>
      </c>
      <c r="O6690" s="17" t="str">
        <f>IFERROR(__xludf.DUMMYFUNCTION("""COMPUTED_VALUE"""),"")</f>
        <v/>
      </c>
      <c r="P6690" s="17" t="str">
        <f>IFERROR(__xludf.DUMMYFUNCTION("""COMPUTED_VALUE"""),"")</f>
        <v/>
      </c>
      <c r="Q6690" s="17" t="str">
        <f>IFERROR(__xludf.DUMMYFUNCTION("""COMPUTED_VALUE"""),"")</f>
        <v/>
      </c>
      <c r="R6690" s="17" t="str">
        <f>IFERROR(__xludf.DUMMYFUNCTION("""COMPUTED_VALUE"""),"")</f>
        <v/>
      </c>
    </row>
    <row r="6691">
      <c r="A6691" s="15">
        <f>IFERROR(__xludf.DUMMYFUNCTION("""COMPUTED_VALUE"""),45190.0)</f>
        <v>45190</v>
      </c>
      <c r="B6691" s="16" t="str">
        <f>IFERROR(__xludf.DUMMYFUNCTION("""COMPUTED_VALUE"""),"David Sanmartin Bello")</f>
        <v>David Sanmartin Bello</v>
      </c>
      <c r="C6691" s="15" t="str">
        <f>IFERROR(__xludf.DUMMYFUNCTION("""COMPUTED_VALUE"""),"CARTAGENA")</f>
        <v>CARTAGENA</v>
      </c>
      <c r="D6691" s="15" t="str">
        <f>IFERROR(__xludf.DUMMYFUNCTION("""COMPUTED_VALUE"""),"BOGOTÁ")</f>
        <v>BOGOTÁ</v>
      </c>
      <c r="E6691" s="15" t="str">
        <f>IFERROR(__xludf.DUMMYFUNCTION("""COMPUTED_VALUE"""),"Evamazzita")</f>
        <v>Evamazzita</v>
      </c>
      <c r="F6691" s="17" t="str">
        <f>IFERROR(__xludf.DUMMYFUNCTION("""COMPUTED_VALUE"""),"CALLE 20 #18-70 / barrio cielo mar EDIFICIO GEMINIS APTO 809  CIELO MAR")</f>
        <v>CALLE 20 #18-70 / barrio cielo mar EDIFICIO GEMINIS APTO 809  CIELO MAR</v>
      </c>
      <c r="G6691" s="15" t="str">
        <f>IFERROR(__xludf.DUMMYFUNCTION("""COMPUTED_VALUE"""),"MIVERLIS MANGA VELILLA")</f>
        <v>MIVERLIS MANGA VELILLA</v>
      </c>
      <c r="H6691" s="16">
        <f>IFERROR(__xludf.DUMMYFUNCTION("""COMPUTED_VALUE"""),15417.0)</f>
        <v>15417</v>
      </c>
      <c r="I6691" s="18">
        <f>IFERROR(__xludf.DUMMYFUNCTION("""COMPUTED_VALUE"""),1.0)</f>
        <v>1</v>
      </c>
      <c r="J6691" s="18">
        <f>IFERROR(__xludf.DUMMYFUNCTION("""COMPUTED_VALUE"""),1.0)</f>
        <v>1</v>
      </c>
      <c r="K6691" s="18">
        <f>IFERROR(__xludf.DUMMYFUNCTION("""COMPUTED_VALUE"""),1.0)</f>
        <v>1</v>
      </c>
      <c r="L6691" s="17">
        <f>IFERROR(__xludf.DUMMYFUNCTION("""COMPUTED_VALUE"""),3.168883322E9)</f>
        <v>3168883322</v>
      </c>
      <c r="M6691" s="17" t="str">
        <f>IFERROR(__xludf.DUMMYFUNCTION("""COMPUTED_VALUE"""),"#REF!")</f>
        <v>#REF!</v>
      </c>
      <c r="N6691" s="17"/>
      <c r="O6691" s="17"/>
      <c r="P6691" s="17" t="b">
        <f>IFERROR(__xludf.DUMMYFUNCTION("""COMPUTED_VALUE"""),TRUE)</f>
        <v>1</v>
      </c>
      <c r="Q6691" s="20">
        <f>IFERROR(__xludf.DUMMYFUNCTION("""COMPUTED_VALUE"""),45191.44494616898)</f>
        <v>45191.44495</v>
      </c>
      <c r="R6691" s="22" t="str">
        <f>IFERROR(__xludf.DUMMYFUNCTION("""COMPUTED_VALUE"""),"")</f>
        <v/>
      </c>
    </row>
    <row r="6692">
      <c r="A6692" s="15">
        <f>IFERROR(__xludf.DUMMYFUNCTION("""COMPUTED_VALUE"""),45190.0)</f>
        <v>45190</v>
      </c>
      <c r="B6692" s="16" t="str">
        <f>IFERROR(__xludf.DUMMYFUNCTION("""COMPUTED_VALUE"""),"David Sanmartin Bello")</f>
        <v>David Sanmartin Bello</v>
      </c>
      <c r="C6692" s="15" t="str">
        <f>IFERROR(__xludf.DUMMYFUNCTION("""COMPUTED_VALUE"""),"CARTAGENA")</f>
        <v>CARTAGENA</v>
      </c>
      <c r="D6692" s="15" t="str">
        <f>IFERROR(__xludf.DUMMYFUNCTION("""COMPUTED_VALUE"""),"BOGOTÁ")</f>
        <v>BOGOTÁ</v>
      </c>
      <c r="E6692" s="15" t="str">
        <f>IFERROR(__xludf.DUMMYFUNCTION("""COMPUTED_VALUE"""),"Evamazzita")</f>
        <v>Evamazzita</v>
      </c>
      <c r="F6692" s="17" t="str">
        <f>IFERROR(__xludf.DUMMYFUNCTION("""COMPUTED_VALUE"""),"Cra 20A#29b-24 / edifciio terra club house apto 701  Pie de la popa")</f>
        <v>Cra 20A#29b-24 / edifciio terra club house apto 701  Pie de la popa</v>
      </c>
      <c r="G6692" s="15" t="str">
        <f>IFERROR(__xludf.DUMMYFUNCTION("""COMPUTED_VALUE"""),"ANDREA BERDUGO OSORIO")</f>
        <v>ANDREA BERDUGO OSORIO</v>
      </c>
      <c r="H6692" s="16">
        <f>IFERROR(__xludf.DUMMYFUNCTION("""COMPUTED_VALUE"""),15418.0)</f>
        <v>15418</v>
      </c>
      <c r="I6692" s="18">
        <f>IFERROR(__xludf.DUMMYFUNCTION("""COMPUTED_VALUE"""),1.0)</f>
        <v>1</v>
      </c>
      <c r="J6692" s="18">
        <f>IFERROR(__xludf.DUMMYFUNCTION("""COMPUTED_VALUE"""),1.0)</f>
        <v>1</v>
      </c>
      <c r="K6692" s="18">
        <f>IFERROR(__xludf.DUMMYFUNCTION("""COMPUTED_VALUE"""),1.0)</f>
        <v>1</v>
      </c>
      <c r="L6692" s="17">
        <f>IFERROR(__xludf.DUMMYFUNCTION("""COMPUTED_VALUE"""),3.102979161E9)</f>
        <v>3102979161</v>
      </c>
      <c r="M6692" s="17" t="str">
        <f>IFERROR(__xludf.DUMMYFUNCTION("""COMPUTED_VALUE"""),"#REF!")</f>
        <v>#REF!</v>
      </c>
      <c r="N6692" s="17"/>
      <c r="O6692" s="17"/>
      <c r="P6692" s="17" t="b">
        <f>IFERROR(__xludf.DUMMYFUNCTION("""COMPUTED_VALUE"""),TRUE)</f>
        <v>1</v>
      </c>
      <c r="Q6692" s="20">
        <f>IFERROR(__xludf.DUMMYFUNCTION("""COMPUTED_VALUE"""),45190.45310667824)</f>
        <v>45190.45311</v>
      </c>
      <c r="R6692" s="22" t="str">
        <f>IFERROR(__xludf.DUMMYFUNCTION("""COMPUTED_VALUE"""),"")</f>
        <v/>
      </c>
    </row>
    <row r="6693">
      <c r="A6693" s="15">
        <f>IFERROR(__xludf.DUMMYFUNCTION("""COMPUTED_VALUE"""),45190.0)</f>
        <v>45190</v>
      </c>
      <c r="B6693" s="16" t="str">
        <f>IFERROR(__xludf.DUMMYFUNCTION("""COMPUTED_VALUE"""),"David Sanmartin Bello")</f>
        <v>David Sanmartin Bello</v>
      </c>
      <c r="C6693" s="15" t="str">
        <f>IFERROR(__xludf.DUMMYFUNCTION("""COMPUTED_VALUE"""),"CARTAGENA")</f>
        <v>CARTAGENA</v>
      </c>
      <c r="D6693" s="15" t="str">
        <f>IFERROR(__xludf.DUMMYFUNCTION("""COMPUTED_VALUE"""),"BOGOTÁ")</f>
        <v>BOGOTÁ</v>
      </c>
      <c r="E6693" s="15" t="str">
        <f>IFERROR(__xludf.DUMMYFUNCTION("""COMPUTED_VALUE"""),"Evamazzita")</f>
        <v>Evamazzita</v>
      </c>
      <c r="F6693" s="17" t="str">
        <f>IFERROR(__xludf.DUMMYFUNCTION("""COMPUTED_VALUE"""),"la princesa manzana 3 lote 22  Barrio la princesa / la princesa manzana 3 lote 22  Barrio la princesa")</f>
        <v>la princesa manzana 3 lote 22  Barrio la princesa / la princesa manzana 3 lote 22  Barrio la princesa</v>
      </c>
      <c r="G6693" s="15" t="str">
        <f>IFERROR(__xludf.DUMMYFUNCTION("""COMPUTED_VALUE"""),"NATALIA GOMEZ CARVAJAL")</f>
        <v>NATALIA GOMEZ CARVAJAL</v>
      </c>
      <c r="H6693" s="16">
        <f>IFERROR(__xludf.DUMMYFUNCTION("""COMPUTED_VALUE"""),15419.0)</f>
        <v>15419</v>
      </c>
      <c r="I6693" s="18">
        <f>IFERROR(__xludf.DUMMYFUNCTION("""COMPUTED_VALUE"""),1.0)</f>
        <v>1</v>
      </c>
      <c r="J6693" s="18">
        <f>IFERROR(__xludf.DUMMYFUNCTION("""COMPUTED_VALUE"""),1.0)</f>
        <v>1</v>
      </c>
      <c r="K6693" s="18">
        <f>IFERROR(__xludf.DUMMYFUNCTION("""COMPUTED_VALUE"""),1.0)</f>
        <v>1</v>
      </c>
      <c r="L6693" s="17">
        <f>IFERROR(__xludf.DUMMYFUNCTION("""COMPUTED_VALUE"""),3.012161707E9)</f>
        <v>3012161707</v>
      </c>
      <c r="M6693" s="17" t="str">
        <f>IFERROR(__xludf.DUMMYFUNCTION("""COMPUTED_VALUE"""),"#REF!")</f>
        <v>#REF!</v>
      </c>
      <c r="N6693" s="17"/>
      <c r="O6693" s="17"/>
      <c r="P6693" s="17" t="b">
        <f>IFERROR(__xludf.DUMMYFUNCTION("""COMPUTED_VALUE"""),TRUE)</f>
        <v>1</v>
      </c>
      <c r="Q6693" s="20">
        <f>IFERROR(__xludf.DUMMYFUNCTION("""COMPUTED_VALUE"""),45190.512814525464)</f>
        <v>45190.51281</v>
      </c>
      <c r="R6693" s="22" t="str">
        <f>IFERROR(__xludf.DUMMYFUNCTION("""COMPUTED_VALUE"""),"")</f>
        <v/>
      </c>
    </row>
    <row r="6694">
      <c r="A6694" s="15">
        <f>IFERROR(__xludf.DUMMYFUNCTION("""COMPUTED_VALUE"""),45190.0)</f>
        <v>45190</v>
      </c>
      <c r="B6694" s="16" t="str">
        <f>IFERROR(__xludf.DUMMYFUNCTION("""COMPUTED_VALUE"""),"David Sanmartin Bello")</f>
        <v>David Sanmartin Bello</v>
      </c>
      <c r="C6694" s="15" t="str">
        <f>IFERROR(__xludf.DUMMYFUNCTION("""COMPUTED_VALUE"""),"CARTAGENA")</f>
        <v>CARTAGENA</v>
      </c>
      <c r="D6694" s="15" t="str">
        <f>IFERROR(__xludf.DUMMYFUNCTION("""COMPUTED_VALUE"""),"BOGOTÁ")</f>
        <v>BOGOTÁ</v>
      </c>
      <c r="E6694" s="15" t="str">
        <f>IFERROR(__xludf.DUMMYFUNCTION("""COMPUTED_VALUE"""),"Evamazzita")</f>
        <v>Evamazzita</v>
      </c>
      <c r="F6694" s="17" t="str">
        <f>IFERROR(__xludf.DUMMYFUNCTION("""COMPUTED_VALUE"""),"Transversal 50 #30 D 06 / Barrio Zaragocilla  Ref. Al lado de la funeraria Tache Salcedo - en frente del preescolar de comfen")</f>
        <v>Transversal 50 #30 D 06 / Barrio Zaragocilla  Ref. Al lado de la funeraria Tache Salcedo - en frente del preescolar de comfen</v>
      </c>
      <c r="G6694" s="15" t="str">
        <f>IFERROR(__xludf.DUMMYFUNCTION("""COMPUTED_VALUE"""),"ELISA TATIANA BAQUERIZO TACHE")</f>
        <v>ELISA TATIANA BAQUERIZO TACHE</v>
      </c>
      <c r="H6694" s="16">
        <f>IFERROR(__xludf.DUMMYFUNCTION("""COMPUTED_VALUE"""),15420.0)</f>
        <v>15420</v>
      </c>
      <c r="I6694" s="18">
        <f>IFERROR(__xludf.DUMMYFUNCTION("""COMPUTED_VALUE"""),1.0)</f>
        <v>1</v>
      </c>
      <c r="J6694" s="18">
        <f>IFERROR(__xludf.DUMMYFUNCTION("""COMPUTED_VALUE"""),1.0)</f>
        <v>1</v>
      </c>
      <c r="K6694" s="18">
        <f>IFERROR(__xludf.DUMMYFUNCTION("""COMPUTED_VALUE"""),1.0)</f>
        <v>1</v>
      </c>
      <c r="L6694" s="17">
        <f>IFERROR(__xludf.DUMMYFUNCTION("""COMPUTED_VALUE"""),3.044769623E9)</f>
        <v>3044769623</v>
      </c>
      <c r="M6694" s="17" t="str">
        <f>IFERROR(__xludf.DUMMYFUNCTION("""COMPUTED_VALUE"""),"#REF!")</f>
        <v>#REF!</v>
      </c>
      <c r="N6694" s="17"/>
      <c r="O6694" s="17"/>
      <c r="P6694" s="17" t="b">
        <f>IFERROR(__xludf.DUMMYFUNCTION("""COMPUTED_VALUE"""),TRUE)</f>
        <v>1</v>
      </c>
      <c r="Q6694" s="20">
        <f>IFERROR(__xludf.DUMMYFUNCTION("""COMPUTED_VALUE"""),45190.66557053241)</f>
        <v>45190.66557</v>
      </c>
      <c r="R6694" s="22" t="str">
        <f>IFERROR(__xludf.DUMMYFUNCTION("""COMPUTED_VALUE"""),"")</f>
        <v/>
      </c>
    </row>
    <row r="6695">
      <c r="A6695" s="15">
        <f>IFERROR(__xludf.DUMMYFUNCTION("""COMPUTED_VALUE"""),45190.0)</f>
        <v>45190</v>
      </c>
      <c r="B6695" s="16" t="str">
        <f>IFERROR(__xludf.DUMMYFUNCTION("""COMPUTED_VALUE"""),"David Sanmartin Bello")</f>
        <v>David Sanmartin Bello</v>
      </c>
      <c r="C6695" s="15" t="str">
        <f>IFERROR(__xludf.DUMMYFUNCTION("""COMPUTED_VALUE"""),"MEDELLÍN")</f>
        <v>MEDELLÍN</v>
      </c>
      <c r="D6695" s="15" t="str">
        <f>IFERROR(__xludf.DUMMYFUNCTION("""COMPUTED_VALUE"""),"BOGOTÁ")</f>
        <v>BOGOTÁ</v>
      </c>
      <c r="E6695" s="15" t="str">
        <f>IFERROR(__xludf.DUMMYFUNCTION("""COMPUTED_VALUE"""),"MAI ALIMENTOS REALES")</f>
        <v>MAI ALIMENTOS REALES</v>
      </c>
      <c r="F6695" s="17" t="str">
        <f>IFERROR(__xludf.DUMMYFUNCTION("""COMPUTED_VALUE"""),"Carrera 52#20-124 / Guayabal - Entregar a la señora Yasmín Echavarría")</f>
        <v>Carrera 52#20-124 / Guayabal - Entregar a la señora Yasmín Echavarría</v>
      </c>
      <c r="G6695" s="15" t="str">
        <f>IFERROR(__xludf.DUMMYFUNCTION("""COMPUTED_VALUE"""),"Yasmin Echavarría - Novaventas Medellín Sede Principal")</f>
        <v>Yasmin Echavarría - Novaventas Medellín Sede Principal</v>
      </c>
      <c r="H6695" s="16">
        <f>IFERROR(__xludf.DUMMYFUNCTION("""COMPUTED_VALUE"""),15422.0)</f>
        <v>15422</v>
      </c>
      <c r="I6695" s="18">
        <f>IFERROR(__xludf.DUMMYFUNCTION("""COMPUTED_VALUE"""),1.0)</f>
        <v>1</v>
      </c>
      <c r="J6695" s="18">
        <f>IFERROR(__xludf.DUMMYFUNCTION("""COMPUTED_VALUE"""),1.0)</f>
        <v>1</v>
      </c>
      <c r="K6695" s="18">
        <f>IFERROR(__xludf.DUMMYFUNCTION("""COMPUTED_VALUE"""),1.0)</f>
        <v>1</v>
      </c>
      <c r="L6695" s="17">
        <f>IFERROR(__xludf.DUMMYFUNCTION("""COMPUTED_VALUE"""),3.003933353E9)</f>
        <v>3003933353</v>
      </c>
      <c r="M6695" s="17" t="str">
        <f>IFERROR(__xludf.DUMMYFUNCTION("""COMPUTED_VALUE"""),"#REF!")</f>
        <v>#REF!</v>
      </c>
      <c r="N6695" s="17"/>
      <c r="O6695" s="17"/>
      <c r="P6695" s="17" t="b">
        <f>IFERROR(__xludf.DUMMYFUNCTION("""COMPUTED_VALUE"""),FALSE)</f>
        <v>0</v>
      </c>
      <c r="Q6695" s="20" t="str">
        <f>IFERROR(__xludf.DUMMYFUNCTION("""COMPUTED_VALUE"""),"")</f>
        <v/>
      </c>
      <c r="R6695" s="22" t="str">
        <f>IFERROR(__xludf.DUMMYFUNCTION("""COMPUTED_VALUE"""),"")</f>
        <v/>
      </c>
    </row>
    <row r="6696">
      <c r="A6696" s="15">
        <f>IFERROR(__xludf.DUMMYFUNCTION("""COMPUTED_VALUE"""),45190.0)</f>
        <v>45190</v>
      </c>
      <c r="B6696" s="16" t="str">
        <f>IFERROR(__xludf.DUMMYFUNCTION("""COMPUTED_VALUE"""),"David Sanmartin Bello")</f>
        <v>David Sanmartin Bello</v>
      </c>
      <c r="C6696" s="15" t="str">
        <f>IFERROR(__xludf.DUMMYFUNCTION("""COMPUTED_VALUE"""),"MEDELLÍN")</f>
        <v>MEDELLÍN</v>
      </c>
      <c r="D6696" s="15" t="str">
        <f>IFERROR(__xludf.DUMMYFUNCTION("""COMPUTED_VALUE"""),"BOGOTÁ")</f>
        <v>BOGOTÁ</v>
      </c>
      <c r="E6696" s="15" t="str">
        <f>IFERROR(__xludf.DUMMYFUNCTION("""COMPUTED_VALUE"""),"Mochi")</f>
        <v>Mochi</v>
      </c>
      <c r="F6696" s="17" t="str">
        <f>IFERROR(__xludf.DUMMYFUNCTION("""COMPUTED_VALUE"""),"Cra 48#32b sur 139 / Centro comercial  / Envigado")</f>
        <v>Cra 48#32b sur 139 / Centro comercial  / Envigado</v>
      </c>
      <c r="G6696" s="15" t="str">
        <f>IFERROR(__xludf.DUMMYFUNCTION("""COMPUTED_VALUE"""),"Tania vellejon")</f>
        <v>Tania vellejon</v>
      </c>
      <c r="H6696" s="16">
        <f>IFERROR(__xludf.DUMMYFUNCTION("""COMPUTED_VALUE"""),15498.0)</f>
        <v>15498</v>
      </c>
      <c r="I6696" s="18">
        <f>IFERROR(__xludf.DUMMYFUNCTION("""COMPUTED_VALUE"""),55.0)</f>
        <v>55</v>
      </c>
      <c r="J6696" s="18">
        <f>IFERROR(__xludf.DUMMYFUNCTION("""COMPUTED_VALUE"""),44.0)</f>
        <v>44</v>
      </c>
      <c r="K6696" s="18" t="str">
        <f>IFERROR(__xludf.DUMMYFUNCTION("""COMPUTED_VALUE"""),"52.5")</f>
        <v>52.5</v>
      </c>
      <c r="L6696" s="17">
        <f>IFERROR(__xludf.DUMMYFUNCTION("""COMPUTED_VALUE"""),3.142587995E9)</f>
        <v>3142587995</v>
      </c>
      <c r="M6696" s="17" t="str">
        <f>IFERROR(__xludf.DUMMYFUNCTION("""COMPUTED_VALUE"""),"#REF!")</f>
        <v>#REF!</v>
      </c>
      <c r="N6696" s="17"/>
      <c r="O6696" s="17"/>
      <c r="P6696" s="17" t="b">
        <f>IFERROR(__xludf.DUMMYFUNCTION("""COMPUTED_VALUE"""),TRUE)</f>
        <v>1</v>
      </c>
      <c r="Q6696" s="20">
        <f>IFERROR(__xludf.DUMMYFUNCTION("""COMPUTED_VALUE"""),45191.44494616898)</f>
        <v>45191.44495</v>
      </c>
      <c r="R6696" s="22" t="str">
        <f>IFERROR(__xludf.DUMMYFUNCTION("""COMPUTED_VALUE"""),"")</f>
        <v/>
      </c>
    </row>
    <row r="6697">
      <c r="A6697" s="17" t="str">
        <f>IFERROR(__xludf.DUMMYFUNCTION("""COMPUTED_VALUE"""),"")</f>
        <v/>
      </c>
      <c r="B6697" s="17" t="str">
        <f>IFERROR(__xludf.DUMMYFUNCTION("""COMPUTED_VALUE"""),"")</f>
        <v/>
      </c>
      <c r="C6697" s="17" t="str">
        <f>IFERROR(__xludf.DUMMYFUNCTION("""COMPUTED_VALUE"""),"")</f>
        <v/>
      </c>
      <c r="D6697" s="17" t="str">
        <f>IFERROR(__xludf.DUMMYFUNCTION("""COMPUTED_VALUE"""),"")</f>
        <v/>
      </c>
      <c r="E6697" s="17" t="str">
        <f>IFERROR(__xludf.DUMMYFUNCTION("""COMPUTED_VALUE"""),"")</f>
        <v/>
      </c>
      <c r="F6697" s="17" t="str">
        <f>IFERROR(__xludf.DUMMYFUNCTION("""COMPUTED_VALUE"""),"")</f>
        <v/>
      </c>
      <c r="G6697" s="17" t="str">
        <f>IFERROR(__xludf.DUMMYFUNCTION("""COMPUTED_VALUE"""),"")</f>
        <v/>
      </c>
      <c r="H6697" s="17" t="str">
        <f>IFERROR(__xludf.DUMMYFUNCTION("""COMPUTED_VALUE"""),"")</f>
        <v/>
      </c>
      <c r="I6697" s="17" t="str">
        <f>IFERROR(__xludf.DUMMYFUNCTION("""COMPUTED_VALUE"""),"")</f>
        <v/>
      </c>
      <c r="J6697" s="17" t="str">
        <f>IFERROR(__xludf.DUMMYFUNCTION("""COMPUTED_VALUE"""),"")</f>
        <v/>
      </c>
      <c r="K6697" s="17" t="str">
        <f>IFERROR(__xludf.DUMMYFUNCTION("""COMPUTED_VALUE"""),"")</f>
        <v/>
      </c>
      <c r="L6697" s="17" t="str">
        <f>IFERROR(__xludf.DUMMYFUNCTION("""COMPUTED_VALUE"""),"")</f>
        <v/>
      </c>
      <c r="M6697" s="17" t="str">
        <f>IFERROR(__xludf.DUMMYFUNCTION("""COMPUTED_VALUE"""),"")</f>
        <v/>
      </c>
      <c r="N6697" s="17" t="str">
        <f>IFERROR(__xludf.DUMMYFUNCTION("""COMPUTED_VALUE"""),"")</f>
        <v/>
      </c>
      <c r="O6697" s="17" t="str">
        <f>IFERROR(__xludf.DUMMYFUNCTION("""COMPUTED_VALUE"""),"")</f>
        <v/>
      </c>
      <c r="P6697" s="17" t="str">
        <f>IFERROR(__xludf.DUMMYFUNCTION("""COMPUTED_VALUE"""),"")</f>
        <v/>
      </c>
      <c r="Q6697" s="17" t="str">
        <f>IFERROR(__xludf.DUMMYFUNCTION("""COMPUTED_VALUE"""),"")</f>
        <v/>
      </c>
      <c r="R6697" s="17" t="str">
        <f>IFERROR(__xludf.DUMMYFUNCTION("""COMPUTED_VALUE"""),"")</f>
        <v/>
      </c>
    </row>
    <row r="6698">
      <c r="A6698" s="15">
        <f>IFERROR(__xludf.DUMMYFUNCTION("""COMPUTED_VALUE"""),45190.0)</f>
        <v>45190</v>
      </c>
      <c r="B6698" s="16" t="str">
        <f>IFERROR(__xludf.DUMMYFUNCTION("""COMPUTED_VALUE"""),"Envia")</f>
        <v>Envia</v>
      </c>
      <c r="C6698" s="15" t="str">
        <f>IFERROR(__xludf.DUMMYFUNCTION("""COMPUTED_VALUE"""),"BOGOTÁ")</f>
        <v>BOGOTÁ</v>
      </c>
      <c r="D6698" s="15" t="str">
        <f>IFERROR(__xludf.DUMMYFUNCTION("""COMPUTED_VALUE"""),"BUCARAMANGA")</f>
        <v>BUCARAMANGA</v>
      </c>
      <c r="E6698" s="15" t="str">
        <f>IFERROR(__xludf.DUMMYFUNCTION("""COMPUTED_VALUE"""),"Yo Como Solito")</f>
        <v>Yo Como Solito</v>
      </c>
      <c r="F6698" s="17" t="str">
        <f>IFERROR(__xludf.DUMMYFUNCTION("""COMPUTED_VALUE"""),"CARRERA 70C #5A-89 NUEVA MARSELLA  / CARRERA 70C #5A-89 NUEVA MARSELLA  / CARRERA 70C #5A-89 NUEVA MARSELLA")</f>
        <v>CARRERA 70C #5A-89 NUEVA MARSELLA  / CARRERA 70C #5A-89 NUEVA MARSELLA  / CARRERA 70C #5A-89 NUEVA MARSELLA</v>
      </c>
      <c r="G6698" s="15" t="str">
        <f>IFERROR(__xludf.DUMMYFUNCTION("""COMPUTED_VALUE"""),"GLORIA PATRICIA SUSA")</f>
        <v>GLORIA PATRICIA SUSA</v>
      </c>
      <c r="H6698" s="16">
        <f>IFERROR(__xludf.DUMMYFUNCTION("""COMPUTED_VALUE"""),15409.0)</f>
        <v>15409</v>
      </c>
      <c r="I6698" s="18">
        <f>IFERROR(__xludf.DUMMYFUNCTION("""COMPUTED_VALUE"""),12.0)</f>
        <v>12</v>
      </c>
      <c r="J6698" s="18">
        <f>IFERROR(__xludf.DUMMYFUNCTION("""COMPUTED_VALUE"""),22.0)</f>
        <v>22</v>
      </c>
      <c r="K6698" s="18">
        <f>IFERROR(__xludf.DUMMYFUNCTION("""COMPUTED_VALUE"""),27.0)</f>
        <v>27</v>
      </c>
      <c r="L6698" s="17">
        <f>IFERROR(__xludf.DUMMYFUNCTION("""COMPUTED_VALUE"""),3.143373957E9)</f>
        <v>3143373957</v>
      </c>
      <c r="M6698" s="17" t="str">
        <f>IFERROR(__xludf.DUMMYFUNCTION("""COMPUTED_VALUE"""),"#REF!")</f>
        <v>#REF!</v>
      </c>
      <c r="N6698" s="17"/>
      <c r="O6698" s="17"/>
      <c r="P6698" s="17" t="b">
        <f>IFERROR(__xludf.DUMMYFUNCTION("""COMPUTED_VALUE"""),TRUE)</f>
        <v>1</v>
      </c>
      <c r="Q6698" s="20">
        <f>IFERROR(__xludf.DUMMYFUNCTION("""COMPUTED_VALUE"""),45191.44494616898)</f>
        <v>45191.44495</v>
      </c>
      <c r="R6698" s="22" t="str">
        <f>IFERROR(__xludf.DUMMYFUNCTION("""COMPUTED_VALUE"""),"")</f>
        <v/>
      </c>
    </row>
    <row r="6699">
      <c r="A6699" s="15">
        <f>IFERROR(__xludf.DUMMYFUNCTION("""COMPUTED_VALUE"""),45190.0)</f>
        <v>45190</v>
      </c>
      <c r="B6699" s="16" t="str">
        <f>IFERROR(__xludf.DUMMYFUNCTION("""COMPUTED_VALUE"""),"Envia")</f>
        <v>Envia</v>
      </c>
      <c r="C6699" s="15" t="str">
        <f>IFERROR(__xludf.DUMMYFUNCTION("""COMPUTED_VALUE"""),"CARTAGENA")</f>
        <v>CARTAGENA</v>
      </c>
      <c r="D6699" s="15" t="str">
        <f>IFERROR(__xludf.DUMMYFUNCTION("""COMPUTED_VALUE"""),"BOGOTÁ")</f>
        <v>BOGOTÁ</v>
      </c>
      <c r="E6699" s="15" t="str">
        <f>IFERROR(__xludf.DUMMYFUNCTION("""COMPUTED_VALUE"""),"Karem foods")</f>
        <v>Karem foods</v>
      </c>
      <c r="F6699" s="17" t="str">
        <f>IFERROR(__xludf.DUMMYFUNCTION("""COMPUTED_VALUE"""),"Calle 6 # 4 20  / CC la estacion local 1  / barrio castillo grande")</f>
        <v>Calle 6 # 4 20  / CC la estacion local 1  / barrio castillo grande</v>
      </c>
      <c r="G6699" s="15" t="str">
        <f>IFERROR(__xludf.DUMMYFUNCTION("""COMPUTED_VALUE"""),"CocoFit Mercado Saludable")</f>
        <v>CocoFit Mercado Saludable</v>
      </c>
      <c r="H6699" s="16">
        <f>IFERROR(__xludf.DUMMYFUNCTION("""COMPUTED_VALUE"""),15367.0)</f>
        <v>15367</v>
      </c>
      <c r="I6699" s="18">
        <f>IFERROR(__xludf.DUMMYFUNCTION("""COMPUTED_VALUE"""),10.0)</f>
        <v>10</v>
      </c>
      <c r="J6699" s="18">
        <f>IFERROR(__xludf.DUMMYFUNCTION("""COMPUTED_VALUE"""),20.0)</f>
        <v>20</v>
      </c>
      <c r="K6699" s="18">
        <f>IFERROR(__xludf.DUMMYFUNCTION("""COMPUTED_VALUE"""),25.0)</f>
        <v>25</v>
      </c>
      <c r="L6699" s="17">
        <f>IFERROR(__xludf.DUMMYFUNCTION("""COMPUTED_VALUE"""),3.105318059E9)</f>
        <v>3105318059</v>
      </c>
      <c r="M6699" s="17" t="str">
        <f>IFERROR(__xludf.DUMMYFUNCTION("""COMPUTED_VALUE"""),"#REF!")</f>
        <v>#REF!</v>
      </c>
      <c r="N6699" s="17"/>
      <c r="O6699" s="17"/>
      <c r="P6699" s="17" t="b">
        <f>IFERROR(__xludf.DUMMYFUNCTION("""COMPUTED_VALUE"""),TRUE)</f>
        <v>1</v>
      </c>
      <c r="Q6699" s="20">
        <f>IFERROR(__xludf.DUMMYFUNCTION("""COMPUTED_VALUE"""),45191.44494616898)</f>
        <v>45191.44495</v>
      </c>
      <c r="R6699" s="22" t="str">
        <f>IFERROR(__xludf.DUMMYFUNCTION("""COMPUTED_VALUE"""),"")</f>
        <v/>
      </c>
    </row>
    <row r="6700">
      <c r="A6700" s="15">
        <f>IFERROR(__xludf.DUMMYFUNCTION("""COMPUTED_VALUE"""),45190.0)</f>
        <v>45190</v>
      </c>
      <c r="B6700" s="16" t="str">
        <f>IFERROR(__xludf.DUMMYFUNCTION("""COMPUTED_VALUE"""),"Envia")</f>
        <v>Envia</v>
      </c>
      <c r="C6700" s="15" t="str">
        <f>IFERROR(__xludf.DUMMYFUNCTION("""COMPUTED_VALUE"""),"CARTAGENA")</f>
        <v>CARTAGENA</v>
      </c>
      <c r="D6700" s="15" t="str">
        <f>IFERROR(__xludf.DUMMYFUNCTION("""COMPUTED_VALUE"""),"BOGOTÁ")</f>
        <v>BOGOTÁ</v>
      </c>
      <c r="E6700" s="15" t="str">
        <f>IFERROR(__xludf.DUMMYFUNCTION("""COMPUTED_VALUE"""),"MAI ALIMENTOS S.A.S")</f>
        <v>MAI ALIMENTOS S.A.S</v>
      </c>
      <c r="F6700" s="17" t="str">
        <f>IFERROR(__xludf.DUMMYFUNCTION("""COMPUTED_VALUE"""),"Carrera 3 A # 31 - 23 / Plaza Santa teresa / Restaurante Harry Sasson")</f>
        <v>Carrera 3 A # 31 - 23 / Plaza Santa teresa / Restaurante Harry Sasson</v>
      </c>
      <c r="G6700" s="15" t="str">
        <f>IFERROR(__xludf.DUMMYFUNCTION("""COMPUTED_VALUE"""),"Hoteles Charleston SAS")</f>
        <v>Hoteles Charleston SAS</v>
      </c>
      <c r="H6700" s="16">
        <f>IFERROR(__xludf.DUMMYFUNCTION("""COMPUTED_VALUE"""),15428.0)</f>
        <v>15428</v>
      </c>
      <c r="I6700" s="18">
        <f>IFERROR(__xludf.DUMMYFUNCTION("""COMPUTED_VALUE"""),35.0)</f>
        <v>35</v>
      </c>
      <c r="J6700" s="18">
        <f>IFERROR(__xludf.DUMMYFUNCTION("""COMPUTED_VALUE"""),17.0)</f>
        <v>17</v>
      </c>
      <c r="K6700" s="18">
        <f>IFERROR(__xludf.DUMMYFUNCTION("""COMPUTED_VALUE"""),13.0)</f>
        <v>13</v>
      </c>
      <c r="L6700" s="17">
        <f>IFERROR(__xludf.DUMMYFUNCTION("""COMPUTED_VALUE"""),3.174374246E9)</f>
        <v>3174374246</v>
      </c>
      <c r="M6700" s="17" t="str">
        <f>IFERROR(__xludf.DUMMYFUNCTION("""COMPUTED_VALUE"""),"#REF!")</f>
        <v>#REF!</v>
      </c>
      <c r="N6700" s="17"/>
      <c r="O6700" s="17"/>
      <c r="P6700" s="17" t="b">
        <f>IFERROR(__xludf.DUMMYFUNCTION("""COMPUTED_VALUE"""),TRUE)</f>
        <v>1</v>
      </c>
      <c r="Q6700" s="20">
        <f>IFERROR(__xludf.DUMMYFUNCTION("""COMPUTED_VALUE"""),45190.51851666666)</f>
        <v>45190.51852</v>
      </c>
      <c r="R6700" s="22" t="str">
        <f>IFERROR(__xludf.DUMMYFUNCTION("""COMPUTED_VALUE"""),"")</f>
        <v/>
      </c>
    </row>
    <row r="6701">
      <c r="A6701" s="15">
        <f>IFERROR(__xludf.DUMMYFUNCTION("""COMPUTED_VALUE"""),45190.0)</f>
        <v>45190</v>
      </c>
      <c r="B6701" s="16" t="str">
        <f>IFERROR(__xludf.DUMMYFUNCTION("""COMPUTED_VALUE"""),"Envia")</f>
        <v>Envia</v>
      </c>
      <c r="C6701" s="15" t="str">
        <f>IFERROR(__xludf.DUMMYFUNCTION("""COMPUTED_VALUE"""),"CARTAGENA")</f>
        <v>CARTAGENA</v>
      </c>
      <c r="D6701" s="15" t="str">
        <f>IFERROR(__xludf.DUMMYFUNCTION("""COMPUTED_VALUE"""),"MEDELLÍN")</f>
        <v>MEDELLÍN</v>
      </c>
      <c r="E6701" s="15" t="str">
        <f>IFERROR(__xludf.DUMMYFUNCTION("""COMPUTED_VALUE"""),"Rambla")</f>
        <v>Rambla</v>
      </c>
      <c r="F6701" s="17" t="str">
        <f>IFERROR(__xludf.DUMMYFUNCTION("""COMPUTED_VALUE"""),"Cartagena Zona Norte en el CC Las Ramblas Local 406 Manai Sas / - / -")</f>
        <v>Cartagena Zona Norte en el CC Las Ramblas Local 406 Manai Sas / - / -</v>
      </c>
      <c r="G6701" s="15" t="str">
        <f>IFERROR(__xludf.DUMMYFUNCTION("""COMPUTED_VALUE"""),"MANAI")</f>
        <v>MANAI</v>
      </c>
      <c r="H6701" s="16">
        <f>IFERROR(__xludf.DUMMYFUNCTION("""COMPUTED_VALUE"""),15431.0)</f>
        <v>15431</v>
      </c>
      <c r="I6701" s="18">
        <f>IFERROR(__xludf.DUMMYFUNCTION("""COMPUTED_VALUE"""),12.0)</f>
        <v>12</v>
      </c>
      <c r="J6701" s="18">
        <f>IFERROR(__xludf.DUMMYFUNCTION("""COMPUTED_VALUE"""),24.0)</f>
        <v>24</v>
      </c>
      <c r="K6701" s="18">
        <f>IFERROR(__xludf.DUMMYFUNCTION("""COMPUTED_VALUE"""),24.0)</f>
        <v>24</v>
      </c>
      <c r="L6701" s="17">
        <f>IFERROR(__xludf.DUMMYFUNCTION("""COMPUTED_VALUE"""),3.244751017E9)</f>
        <v>3244751017</v>
      </c>
      <c r="M6701" s="17" t="str">
        <f>IFERROR(__xludf.DUMMYFUNCTION("""COMPUTED_VALUE"""),"#REF!")</f>
        <v>#REF!</v>
      </c>
      <c r="N6701" s="17"/>
      <c r="O6701" s="17"/>
      <c r="P6701" s="17" t="b">
        <f>IFERROR(__xludf.DUMMYFUNCTION("""COMPUTED_VALUE"""),TRUE)</f>
        <v>1</v>
      </c>
      <c r="Q6701" s="20">
        <f>IFERROR(__xludf.DUMMYFUNCTION("""COMPUTED_VALUE"""),45190.512921817135)</f>
        <v>45190.51292</v>
      </c>
      <c r="R6701" s="22" t="str">
        <f>IFERROR(__xludf.DUMMYFUNCTION("""COMPUTED_VALUE"""),"")</f>
        <v/>
      </c>
    </row>
    <row r="6702">
      <c r="A6702" s="15">
        <f>IFERROR(__xludf.DUMMYFUNCTION("""COMPUTED_VALUE"""),45190.0)</f>
        <v>45190</v>
      </c>
      <c r="B6702" s="16" t="str">
        <f>IFERROR(__xludf.DUMMYFUNCTION("""COMPUTED_VALUE"""),"Envia")</f>
        <v>Envia</v>
      </c>
      <c r="C6702" s="15" t="str">
        <f>IFERROR(__xludf.DUMMYFUNCTION("""COMPUTED_VALUE"""),"FLORIDABLANCA")</f>
        <v>FLORIDABLANCA</v>
      </c>
      <c r="D6702" s="15" t="str">
        <f>IFERROR(__xludf.DUMMYFUNCTION("""COMPUTED_VALUE"""),"BOGOTÁ")</f>
        <v>BOGOTÁ</v>
      </c>
      <c r="E6702" s="15" t="str">
        <f>IFERROR(__xludf.DUMMYFUNCTION("""COMPUTED_VALUE"""),"Evamazzita")</f>
        <v>Evamazzita</v>
      </c>
      <c r="F6702" s="17" t="str">
        <f>IFERROR(__xludf.DUMMYFUNCTION("""COMPUTED_VALUE"""),"Calle 157 # 154-215 / Edificio Gaira Torre 1 apartamento 1102 Barrio Cañaveral diagonal a la clínica Fosunab")</f>
        <v>Calle 157 # 154-215 / Edificio Gaira Torre 1 apartamento 1102 Barrio Cañaveral diagonal a la clínica Fosunab</v>
      </c>
      <c r="G6702" s="15" t="str">
        <f>IFERROR(__xludf.DUMMYFUNCTION("""COMPUTED_VALUE"""),"RUTH CASTRO MONTOYA")</f>
        <v>RUTH CASTRO MONTOYA</v>
      </c>
      <c r="H6702" s="16">
        <f>IFERROR(__xludf.DUMMYFUNCTION("""COMPUTED_VALUE"""),15481.0)</f>
        <v>15481</v>
      </c>
      <c r="I6702" s="18">
        <f>IFERROR(__xludf.DUMMYFUNCTION("""COMPUTED_VALUE"""),1.0)</f>
        <v>1</v>
      </c>
      <c r="J6702" s="18">
        <f>IFERROR(__xludf.DUMMYFUNCTION("""COMPUTED_VALUE"""),1.0)</f>
        <v>1</v>
      </c>
      <c r="K6702" s="18">
        <f>IFERROR(__xludf.DUMMYFUNCTION("""COMPUTED_VALUE"""),1.0)</f>
        <v>1</v>
      </c>
      <c r="L6702" s="17">
        <f>IFERROR(__xludf.DUMMYFUNCTION("""COMPUTED_VALUE"""),3.186588608E9)</f>
        <v>3186588608</v>
      </c>
      <c r="M6702" s="17" t="str">
        <f>IFERROR(__xludf.DUMMYFUNCTION("""COMPUTED_VALUE"""),"#REF!")</f>
        <v>#REF!</v>
      </c>
      <c r="N6702" s="17"/>
      <c r="O6702" s="17"/>
      <c r="P6702" s="17" t="b">
        <f>IFERROR(__xludf.DUMMYFUNCTION("""COMPUTED_VALUE"""),TRUE)</f>
        <v>1</v>
      </c>
      <c r="Q6702" s="20">
        <f>IFERROR(__xludf.DUMMYFUNCTION("""COMPUTED_VALUE"""),45190.51309261574)</f>
        <v>45190.51309</v>
      </c>
      <c r="R6702" s="22" t="str">
        <f>IFERROR(__xludf.DUMMYFUNCTION("""COMPUTED_VALUE"""),"")</f>
        <v/>
      </c>
    </row>
    <row r="6703">
      <c r="A6703" s="15">
        <f>IFERROR(__xludf.DUMMYFUNCTION("""COMPUTED_VALUE"""),45190.0)</f>
        <v>45190</v>
      </c>
      <c r="B6703" s="16" t="str">
        <f>IFERROR(__xludf.DUMMYFUNCTION("""COMPUTED_VALUE"""),"Envia")</f>
        <v>Envia</v>
      </c>
      <c r="C6703" s="15" t="str">
        <f>IFERROR(__xludf.DUMMYFUNCTION("""COMPUTED_VALUE"""),"LA DORADA")</f>
        <v>LA DORADA</v>
      </c>
      <c r="D6703" s="15" t="str">
        <f>IFERROR(__xludf.DUMMYFUNCTION("""COMPUTED_VALUE"""),"BOGOTÁ")</f>
        <v>BOGOTÁ</v>
      </c>
      <c r="E6703" s="15" t="str">
        <f>IFERROR(__xludf.DUMMYFUNCTION("""COMPUTED_VALUE"""),"Evamazzita")</f>
        <v>Evamazzita</v>
      </c>
      <c r="F6703" s="17" t="str">
        <f>IFERROR(__xludf.DUMMYFUNCTION("""COMPUTED_VALUE"""),"CALLE 10 # 4 - 56 / CALLE 10 # 4 - 56")</f>
        <v>CALLE 10 # 4 - 56 / CALLE 10 # 4 - 56</v>
      </c>
      <c r="G6703" s="15" t="str">
        <f>IFERROR(__xludf.DUMMYFUNCTION("""COMPUTED_VALUE"""),"LUZ VIANEY MONTOYA GOMEZ")</f>
        <v>LUZ VIANEY MONTOYA GOMEZ</v>
      </c>
      <c r="H6703" s="16">
        <f>IFERROR(__xludf.DUMMYFUNCTION("""COMPUTED_VALUE"""),15473.0)</f>
        <v>15473</v>
      </c>
      <c r="I6703" s="18">
        <f>IFERROR(__xludf.DUMMYFUNCTION("""COMPUTED_VALUE"""),1.0)</f>
        <v>1</v>
      </c>
      <c r="J6703" s="18">
        <f>IFERROR(__xludf.DUMMYFUNCTION("""COMPUTED_VALUE"""),1.0)</f>
        <v>1</v>
      </c>
      <c r="K6703" s="18">
        <f>IFERROR(__xludf.DUMMYFUNCTION("""COMPUTED_VALUE"""),1.0)</f>
        <v>1</v>
      </c>
      <c r="L6703" s="17">
        <f>IFERROR(__xludf.DUMMYFUNCTION("""COMPUTED_VALUE"""),3.127756092E9)</f>
        <v>3127756092</v>
      </c>
      <c r="M6703" s="17" t="str">
        <f>IFERROR(__xludf.DUMMYFUNCTION("""COMPUTED_VALUE"""),"#REF!")</f>
        <v>#REF!</v>
      </c>
      <c r="N6703" s="17"/>
      <c r="O6703" s="17"/>
      <c r="P6703" s="17" t="b">
        <f>IFERROR(__xludf.DUMMYFUNCTION("""COMPUTED_VALUE"""),FALSE)</f>
        <v>0</v>
      </c>
      <c r="Q6703" s="20" t="str">
        <f>IFERROR(__xludf.DUMMYFUNCTION("""COMPUTED_VALUE"""),"")</f>
        <v/>
      </c>
      <c r="R6703" s="22" t="str">
        <f>IFERROR(__xludf.DUMMYFUNCTION("""COMPUTED_VALUE"""),"")</f>
        <v/>
      </c>
    </row>
    <row r="6704">
      <c r="A6704" s="15">
        <f>IFERROR(__xludf.DUMMYFUNCTION("""COMPUTED_VALUE"""),45190.0)</f>
        <v>45190</v>
      </c>
      <c r="B6704" s="16" t="str">
        <f>IFERROR(__xludf.DUMMYFUNCTION("""COMPUTED_VALUE"""),"Envia")</f>
        <v>Envia</v>
      </c>
      <c r="C6704" s="15" t="str">
        <f>IFERROR(__xludf.DUMMYFUNCTION("""COMPUTED_VALUE"""),"VILLAVICENCIO")</f>
        <v>VILLAVICENCIO</v>
      </c>
      <c r="D6704" s="15" t="str">
        <f>IFERROR(__xludf.DUMMYFUNCTION("""COMPUTED_VALUE"""),"BOGOTÁ")</f>
        <v>BOGOTÁ</v>
      </c>
      <c r="E6704" s="15" t="str">
        <f>IFERROR(__xludf.DUMMYFUNCTION("""COMPUTED_VALUE"""),"Ventura Productos Arg")</f>
        <v>Ventura Productos Arg</v>
      </c>
      <c r="F6704" s="17" t="str">
        <f>IFERROR(__xludf.DUMMYFUNCTION("""COMPUTED_VALUE"""),"Calle 23 #20a-29 / Urbanización la macarena")</f>
        <v>Calle 23 #20a-29 / Urbanización la macarena</v>
      </c>
      <c r="G6704" s="15" t="str">
        <f>IFERROR(__xludf.DUMMYFUNCTION("""COMPUTED_VALUE"""),"Jairo Centeno Amaya")</f>
        <v>Jairo Centeno Amaya</v>
      </c>
      <c r="H6704" s="16">
        <f>IFERROR(__xludf.DUMMYFUNCTION("""COMPUTED_VALUE"""),15452.0)</f>
        <v>15452</v>
      </c>
      <c r="I6704" s="18">
        <f>IFERROR(__xludf.DUMMYFUNCTION("""COMPUTED_VALUE"""),22.0)</f>
        <v>22</v>
      </c>
      <c r="J6704" s="18">
        <f>IFERROR(__xludf.DUMMYFUNCTION("""COMPUTED_VALUE"""),17.0)</f>
        <v>17</v>
      </c>
      <c r="K6704" s="18">
        <f>IFERROR(__xludf.DUMMYFUNCTION("""COMPUTED_VALUE"""),8.0)</f>
        <v>8</v>
      </c>
      <c r="L6704" s="17">
        <f>IFERROR(__xludf.DUMMYFUNCTION("""COMPUTED_VALUE"""),3.114492267E9)</f>
        <v>3114492267</v>
      </c>
      <c r="M6704" s="17" t="str">
        <f>IFERROR(__xludf.DUMMYFUNCTION("""COMPUTED_VALUE"""),"#REF!")</f>
        <v>#REF!</v>
      </c>
      <c r="N6704" s="17"/>
      <c r="O6704" s="17"/>
      <c r="P6704" s="17" t="b">
        <f>IFERROR(__xludf.DUMMYFUNCTION("""COMPUTED_VALUE"""),TRUE)</f>
        <v>1</v>
      </c>
      <c r="Q6704" s="20">
        <f>IFERROR(__xludf.DUMMYFUNCTION("""COMPUTED_VALUE"""),45190.61705877315)</f>
        <v>45190.61706</v>
      </c>
      <c r="R6704" s="22" t="str">
        <f>IFERROR(__xludf.DUMMYFUNCTION("""COMPUTED_VALUE"""),"")</f>
        <v/>
      </c>
    </row>
    <row r="6705">
      <c r="A6705" s="15">
        <f>IFERROR(__xludf.DUMMYFUNCTION("""COMPUTED_VALUE"""),45190.0)</f>
        <v>45190</v>
      </c>
      <c r="B6705" s="16" t="str">
        <f>IFERROR(__xludf.DUMMYFUNCTION("""COMPUTED_VALUE"""),"Envia")</f>
        <v>Envia</v>
      </c>
      <c r="C6705" s="15" t="str">
        <f>IFERROR(__xludf.DUMMYFUNCTION("""COMPUTED_VALUE"""),"VILLAVICENCIO")</f>
        <v>VILLAVICENCIO</v>
      </c>
      <c r="D6705" s="15" t="str">
        <f>IFERROR(__xludf.DUMMYFUNCTION("""COMPUTED_VALUE"""),"BOGOTÁ")</f>
        <v>BOGOTÁ</v>
      </c>
      <c r="E6705" s="15" t="str">
        <f>IFERROR(__xludf.DUMMYFUNCTION("""COMPUTED_VALUE"""),"Ventura Productos Arg")</f>
        <v>Ventura Productos Arg</v>
      </c>
      <c r="F6705" s="17" t="str">
        <f>IFERROR(__xludf.DUMMYFUNCTION("""COMPUTED_VALUE"""),"Calle 23 #20a-29 / Urbanización la macarena")</f>
        <v>Calle 23 #20a-29 / Urbanización la macarena</v>
      </c>
      <c r="G6705" s="15" t="str">
        <f>IFERROR(__xludf.DUMMYFUNCTION("""COMPUTED_VALUE"""),"Jairo Centeno Amaya")</f>
        <v>Jairo Centeno Amaya</v>
      </c>
      <c r="H6705" s="16">
        <f>IFERROR(__xludf.DUMMYFUNCTION("""COMPUTED_VALUE"""),15453.0)</f>
        <v>15453</v>
      </c>
      <c r="I6705" s="18">
        <f>IFERROR(__xludf.DUMMYFUNCTION("""COMPUTED_VALUE"""),3.0)</f>
        <v>3</v>
      </c>
      <c r="J6705" s="18">
        <f>IFERROR(__xludf.DUMMYFUNCTION("""COMPUTED_VALUE"""),45060.0)</f>
        <v>45060</v>
      </c>
      <c r="K6705" s="18">
        <f>IFERROR(__xludf.DUMMYFUNCTION("""COMPUTED_VALUE"""),22.0)</f>
        <v>22</v>
      </c>
      <c r="L6705" s="17">
        <f>IFERROR(__xludf.DUMMYFUNCTION("""COMPUTED_VALUE"""),3.114492267E9)</f>
        <v>3114492267</v>
      </c>
      <c r="M6705" s="17" t="str">
        <f>IFERROR(__xludf.DUMMYFUNCTION("""COMPUTED_VALUE"""),"#REF!")</f>
        <v>#REF!</v>
      </c>
      <c r="N6705" s="17"/>
      <c r="O6705" s="17"/>
      <c r="P6705" s="17" t="b">
        <f>IFERROR(__xludf.DUMMYFUNCTION("""COMPUTED_VALUE"""),TRUE)</f>
        <v>1</v>
      </c>
      <c r="Q6705" s="20">
        <f>IFERROR(__xludf.DUMMYFUNCTION("""COMPUTED_VALUE"""),45190.56941689815)</f>
        <v>45190.56942</v>
      </c>
      <c r="R6705" s="21" t="str">
        <f>IFERROR(__xludf.DUMMYFUNCTION("""COMPUTED_VALUE"""),"https://drive.google.com/file/d/1qFy4FijlyjL5VBp-e278gCJQgt3jSMEj/view?usp=drivesdk")</f>
        <v>https://drive.google.com/file/d/1qFy4FijlyjL5VBp-e278gCJQgt3jSMEj/view?usp=drivesdk</v>
      </c>
    </row>
    <row r="6706">
      <c r="A6706" s="15">
        <f>IFERROR(__xludf.DUMMYFUNCTION("""COMPUTED_VALUE"""),45190.0)</f>
        <v>45190</v>
      </c>
      <c r="B6706" s="16" t="str">
        <f>IFERROR(__xludf.DUMMYFUNCTION("""COMPUTED_VALUE"""),"Envia")</f>
        <v>Envia</v>
      </c>
      <c r="C6706" s="15" t="str">
        <f>IFERROR(__xludf.DUMMYFUNCTION("""COMPUTED_VALUE"""),"VILLAVICENCIO")</f>
        <v>VILLAVICENCIO</v>
      </c>
      <c r="D6706" s="15" t="str">
        <f>IFERROR(__xludf.DUMMYFUNCTION("""COMPUTED_VALUE"""),"MEDELLÍN")</f>
        <v>MEDELLÍN</v>
      </c>
      <c r="E6706" s="15" t="str">
        <f>IFERROR(__xludf.DUMMYFUNCTION("""COMPUTED_VALUE"""),"AREPAS LA MARY")</f>
        <v>AREPAS LA MARY</v>
      </c>
      <c r="F6706" s="17" t="str">
        <f>IFERROR(__xludf.DUMMYFUNCTION("""COMPUTED_VALUE"""),"CLLE 15 N.44 116 / LOCAL 5")</f>
        <v>CLLE 15 N.44 116 / LOCAL 5</v>
      </c>
      <c r="G6706" s="15" t="str">
        <f>IFERROR(__xludf.DUMMYFUNCTION("""COMPUTED_VALUE"""),"SANA TENTACION")</f>
        <v>SANA TENTACION</v>
      </c>
      <c r="H6706" s="16">
        <f>IFERROR(__xludf.DUMMYFUNCTION("""COMPUTED_VALUE"""),15412.0)</f>
        <v>15412</v>
      </c>
      <c r="I6706" s="18">
        <f>IFERROR(__xludf.DUMMYFUNCTION("""COMPUTED_VALUE"""),89.0)</f>
        <v>89</v>
      </c>
      <c r="J6706" s="18">
        <f>IFERROR(__xludf.DUMMYFUNCTION("""COMPUTED_VALUE"""),1.0)</f>
        <v>1</v>
      </c>
      <c r="K6706" s="18">
        <f>IFERROR(__xludf.DUMMYFUNCTION("""COMPUTED_VALUE"""),10.0)</f>
        <v>10</v>
      </c>
      <c r="L6706" s="17">
        <f>IFERROR(__xludf.DUMMYFUNCTION("""COMPUTED_VALUE"""),3.008383044E9)</f>
        <v>3008383044</v>
      </c>
      <c r="M6706" s="17" t="str">
        <f>IFERROR(__xludf.DUMMYFUNCTION("""COMPUTED_VALUE"""),"#REF!")</f>
        <v>#REF!</v>
      </c>
      <c r="N6706" s="17"/>
      <c r="O6706" s="17"/>
      <c r="P6706" s="17" t="b">
        <f>IFERROR(__xludf.DUMMYFUNCTION("""COMPUTED_VALUE"""),FALSE)</f>
        <v>0</v>
      </c>
      <c r="Q6706" s="20" t="str">
        <f>IFERROR(__xludf.DUMMYFUNCTION("""COMPUTED_VALUE"""),"")</f>
        <v/>
      </c>
      <c r="R6706" s="22" t="str">
        <f>IFERROR(__xludf.DUMMYFUNCTION("""COMPUTED_VALUE"""),"")</f>
        <v/>
      </c>
    </row>
    <row r="6707">
      <c r="A6707" s="17" t="str">
        <f>IFERROR(__xludf.DUMMYFUNCTION("""COMPUTED_VALUE"""),"")</f>
        <v/>
      </c>
      <c r="B6707" s="17" t="str">
        <f>IFERROR(__xludf.DUMMYFUNCTION("""COMPUTED_VALUE"""),"")</f>
        <v/>
      </c>
      <c r="C6707" s="17" t="str">
        <f>IFERROR(__xludf.DUMMYFUNCTION("""COMPUTED_VALUE"""),"")</f>
        <v/>
      </c>
      <c r="D6707" s="17" t="str">
        <f>IFERROR(__xludf.DUMMYFUNCTION("""COMPUTED_VALUE"""),"")</f>
        <v/>
      </c>
      <c r="E6707" s="17" t="str">
        <f>IFERROR(__xludf.DUMMYFUNCTION("""COMPUTED_VALUE"""),"")</f>
        <v/>
      </c>
      <c r="F6707" s="17" t="str">
        <f>IFERROR(__xludf.DUMMYFUNCTION("""COMPUTED_VALUE"""),"")</f>
        <v/>
      </c>
      <c r="G6707" s="17" t="str">
        <f>IFERROR(__xludf.DUMMYFUNCTION("""COMPUTED_VALUE"""),"")</f>
        <v/>
      </c>
      <c r="H6707" s="17" t="str">
        <f>IFERROR(__xludf.DUMMYFUNCTION("""COMPUTED_VALUE"""),"")</f>
        <v/>
      </c>
      <c r="I6707" s="17" t="str">
        <f>IFERROR(__xludf.DUMMYFUNCTION("""COMPUTED_VALUE"""),"")</f>
        <v/>
      </c>
      <c r="J6707" s="17" t="str">
        <f>IFERROR(__xludf.DUMMYFUNCTION("""COMPUTED_VALUE"""),"")</f>
        <v/>
      </c>
      <c r="K6707" s="17" t="str">
        <f>IFERROR(__xludf.DUMMYFUNCTION("""COMPUTED_VALUE"""),"")</f>
        <v/>
      </c>
      <c r="L6707" s="17" t="str">
        <f>IFERROR(__xludf.DUMMYFUNCTION("""COMPUTED_VALUE"""),"")</f>
        <v/>
      </c>
      <c r="M6707" s="17" t="str">
        <f>IFERROR(__xludf.DUMMYFUNCTION("""COMPUTED_VALUE"""),"")</f>
        <v/>
      </c>
      <c r="N6707" s="17" t="str">
        <f>IFERROR(__xludf.DUMMYFUNCTION("""COMPUTED_VALUE"""),"")</f>
        <v/>
      </c>
      <c r="O6707" s="17" t="str">
        <f>IFERROR(__xludf.DUMMYFUNCTION("""COMPUTED_VALUE"""),"")</f>
        <v/>
      </c>
      <c r="P6707" s="17" t="str">
        <f>IFERROR(__xludf.DUMMYFUNCTION("""COMPUTED_VALUE"""),"")</f>
        <v/>
      </c>
      <c r="Q6707" s="17" t="str">
        <f>IFERROR(__xludf.DUMMYFUNCTION("""COMPUTED_VALUE"""),"")</f>
        <v/>
      </c>
      <c r="R6707" s="17" t="str">
        <f>IFERROR(__xludf.DUMMYFUNCTION("""COMPUTED_VALUE"""),"")</f>
        <v/>
      </c>
    </row>
    <row r="6708">
      <c r="A6708" s="15">
        <f>IFERROR(__xludf.DUMMYFUNCTION("""COMPUTED_VALUE"""),45190.0)</f>
        <v>45190</v>
      </c>
      <c r="B6708" s="16" t="str">
        <f>IFERROR(__xludf.DUMMYFUNCTION("""COMPUTED_VALUE"""),"Jeison Rubiano")</f>
        <v>Jeison Rubiano</v>
      </c>
      <c r="C6708" s="15" t="str">
        <f>IFERROR(__xludf.DUMMYFUNCTION("""COMPUTED_VALUE"""),"DUITAMA")</f>
        <v>DUITAMA</v>
      </c>
      <c r="D6708" s="15" t="str">
        <f>IFERROR(__xludf.DUMMYFUNCTION("""COMPUTED_VALUE"""),"BOGOTÁ")</f>
        <v>BOGOTÁ</v>
      </c>
      <c r="E6708" s="15" t="str">
        <f>IFERROR(__xludf.DUMMYFUNCTION("""COMPUTED_VALUE"""),"Top Spun")</f>
        <v>Top Spun</v>
      </c>
      <c r="F6708" s="17" t="str">
        <f>IFERROR(__xludf.DUMMYFUNCTION("""COMPUTED_VALUE"""),"CALLE 15A 42 30 / VILLA ZULIMA / CASA 22")</f>
        <v>CALLE 15A 42 30 / VILLA ZULIMA / CASA 22</v>
      </c>
      <c r="G6708" s="15" t="str">
        <f>IFERROR(__xludf.DUMMYFUNCTION("""COMPUTED_VALUE"""),"XIOMARA ALEJANDRA NOCUA PEñA")</f>
        <v>XIOMARA ALEJANDRA NOCUA PEñA</v>
      </c>
      <c r="H6708" s="16">
        <f>IFERROR(__xludf.DUMMYFUNCTION("""COMPUTED_VALUE"""),15295.0)</f>
        <v>15295</v>
      </c>
      <c r="I6708" s="18">
        <f>IFERROR(__xludf.DUMMYFUNCTION("""COMPUTED_VALUE"""),20.0)</f>
        <v>20</v>
      </c>
      <c r="J6708" s="18">
        <f>IFERROR(__xludf.DUMMYFUNCTION("""COMPUTED_VALUE"""),10.0)</f>
        <v>10</v>
      </c>
      <c r="K6708" s="18">
        <f>IFERROR(__xludf.DUMMYFUNCTION("""COMPUTED_VALUE"""),40.0)</f>
        <v>40</v>
      </c>
      <c r="L6708" s="17">
        <f>IFERROR(__xludf.DUMMYFUNCTION("""COMPUTED_VALUE"""),3.106729313E9)</f>
        <v>3106729313</v>
      </c>
      <c r="M6708" s="17" t="str">
        <f>IFERROR(__xludf.DUMMYFUNCTION("""COMPUTED_VALUE"""),"#REF!")</f>
        <v>#REF!</v>
      </c>
      <c r="N6708" s="17"/>
      <c r="O6708" s="17"/>
      <c r="P6708" s="17" t="b">
        <f>IFERROR(__xludf.DUMMYFUNCTION("""COMPUTED_VALUE"""),TRUE)</f>
        <v>1</v>
      </c>
      <c r="Q6708" s="20">
        <f>IFERROR(__xludf.DUMMYFUNCTION("""COMPUTED_VALUE"""),45190.83132787037)</f>
        <v>45190.83133</v>
      </c>
      <c r="R6708" s="22" t="str">
        <f>IFERROR(__xludf.DUMMYFUNCTION("""COMPUTED_VALUE"""),"")</f>
        <v/>
      </c>
    </row>
    <row r="6709">
      <c r="A6709" s="17" t="str">
        <f>IFERROR(__xludf.DUMMYFUNCTION("""COMPUTED_VALUE"""),"")</f>
        <v/>
      </c>
      <c r="B6709" s="17" t="str">
        <f>IFERROR(__xludf.DUMMYFUNCTION("""COMPUTED_VALUE"""),"")</f>
        <v/>
      </c>
      <c r="C6709" s="17" t="str">
        <f>IFERROR(__xludf.DUMMYFUNCTION("""COMPUTED_VALUE"""),"")</f>
        <v/>
      </c>
      <c r="D6709" s="17" t="str">
        <f>IFERROR(__xludf.DUMMYFUNCTION("""COMPUTED_VALUE"""),"")</f>
        <v/>
      </c>
      <c r="E6709" s="17" t="str">
        <f>IFERROR(__xludf.DUMMYFUNCTION("""COMPUTED_VALUE"""),"")</f>
        <v/>
      </c>
      <c r="F6709" s="17" t="str">
        <f>IFERROR(__xludf.DUMMYFUNCTION("""COMPUTED_VALUE"""),"")</f>
        <v/>
      </c>
      <c r="G6709" s="17" t="str">
        <f>IFERROR(__xludf.DUMMYFUNCTION("""COMPUTED_VALUE"""),"")</f>
        <v/>
      </c>
      <c r="H6709" s="17" t="str">
        <f>IFERROR(__xludf.DUMMYFUNCTION("""COMPUTED_VALUE"""),"")</f>
        <v/>
      </c>
      <c r="I6709" s="17" t="str">
        <f>IFERROR(__xludf.DUMMYFUNCTION("""COMPUTED_VALUE"""),"")</f>
        <v/>
      </c>
      <c r="J6709" s="17" t="str">
        <f>IFERROR(__xludf.DUMMYFUNCTION("""COMPUTED_VALUE"""),"")</f>
        <v/>
      </c>
      <c r="K6709" s="17" t="str">
        <f>IFERROR(__xludf.DUMMYFUNCTION("""COMPUTED_VALUE"""),"")</f>
        <v/>
      </c>
      <c r="L6709" s="17" t="str">
        <f>IFERROR(__xludf.DUMMYFUNCTION("""COMPUTED_VALUE"""),"")</f>
        <v/>
      </c>
      <c r="M6709" s="17" t="str">
        <f>IFERROR(__xludf.DUMMYFUNCTION("""COMPUTED_VALUE"""),"")</f>
        <v/>
      </c>
      <c r="N6709" s="17" t="str">
        <f>IFERROR(__xludf.DUMMYFUNCTION("""COMPUTED_VALUE"""),"")</f>
        <v/>
      </c>
      <c r="O6709" s="17" t="str">
        <f>IFERROR(__xludf.DUMMYFUNCTION("""COMPUTED_VALUE"""),"")</f>
        <v/>
      </c>
      <c r="P6709" s="17" t="str">
        <f>IFERROR(__xludf.DUMMYFUNCTION("""COMPUTED_VALUE"""),"")</f>
        <v/>
      </c>
      <c r="Q6709" s="17" t="str">
        <f>IFERROR(__xludf.DUMMYFUNCTION("""COMPUTED_VALUE"""),"")</f>
        <v/>
      </c>
      <c r="R6709" s="17" t="str">
        <f>IFERROR(__xludf.DUMMYFUNCTION("""COMPUTED_VALUE"""),"")</f>
        <v/>
      </c>
    </row>
    <row r="6710">
      <c r="A6710" s="15">
        <f>IFERROR(__xludf.DUMMYFUNCTION("""COMPUTED_VALUE"""),45190.0)</f>
        <v>45190</v>
      </c>
      <c r="B6710" s="16" t="str">
        <f>IFERROR(__xludf.DUMMYFUNCTION("""COMPUTED_VALUE"""),"Johanna Arango Barrera")</f>
        <v>Johanna Arango Barrera</v>
      </c>
      <c r="C6710" s="15" t="str">
        <f>IFERROR(__xludf.DUMMYFUNCTION("""COMPUTED_VALUE"""),"BUCARAMANGA")</f>
        <v>BUCARAMANGA</v>
      </c>
      <c r="D6710" s="15" t="str">
        <f>IFERROR(__xludf.DUMMYFUNCTION("""COMPUTED_VALUE"""),"BOGOTÁ")</f>
        <v>BOGOTÁ</v>
      </c>
      <c r="E6710" s="15" t="str">
        <f>IFERROR(__xludf.DUMMYFUNCTION("""COMPUTED_VALUE"""),"Evamazzita")</f>
        <v>Evamazzita</v>
      </c>
      <c r="F6710" s="17" t="str">
        <f>IFERROR(__xludf.DUMMYFUNCTION("""COMPUTED_VALUE"""),"AVDA. 87 No. 24 - 09 / TORRE 1 APTO 2007 CONJUNTO DIMANTI BARRIO DIAMANTE 2")</f>
        <v>AVDA. 87 No. 24 - 09 / TORRE 1 APTO 2007 CONJUNTO DIMANTI BARRIO DIAMANTE 2</v>
      </c>
      <c r="G6710" s="15" t="str">
        <f>IFERROR(__xludf.DUMMYFUNCTION("""COMPUTED_VALUE"""),"ADRIANA TRUJILLO")</f>
        <v>ADRIANA TRUJILLO</v>
      </c>
      <c r="H6710" s="16">
        <f>IFERROR(__xludf.DUMMYFUNCTION("""COMPUTED_VALUE"""),15479.0)</f>
        <v>15479</v>
      </c>
      <c r="I6710" s="18">
        <f>IFERROR(__xludf.DUMMYFUNCTION("""COMPUTED_VALUE"""),1.0)</f>
        <v>1</v>
      </c>
      <c r="J6710" s="18">
        <f>IFERROR(__xludf.DUMMYFUNCTION("""COMPUTED_VALUE"""),1.0)</f>
        <v>1</v>
      </c>
      <c r="K6710" s="18">
        <f>IFERROR(__xludf.DUMMYFUNCTION("""COMPUTED_VALUE"""),1.0)</f>
        <v>1</v>
      </c>
      <c r="L6710" s="17">
        <f>IFERROR(__xludf.DUMMYFUNCTION("""COMPUTED_VALUE"""),3.125405063E9)</f>
        <v>3125405063</v>
      </c>
      <c r="M6710" s="17" t="str">
        <f>IFERROR(__xludf.DUMMYFUNCTION("""COMPUTED_VALUE"""),"#REF!")</f>
        <v>#REF!</v>
      </c>
      <c r="N6710" s="17"/>
      <c r="O6710" s="17"/>
      <c r="P6710" s="17" t="b">
        <f>IFERROR(__xludf.DUMMYFUNCTION("""COMPUTED_VALUE"""),FALSE)</f>
        <v>0</v>
      </c>
      <c r="Q6710" s="20" t="str">
        <f>IFERROR(__xludf.DUMMYFUNCTION("""COMPUTED_VALUE"""),"")</f>
        <v/>
      </c>
      <c r="R6710" s="22" t="str">
        <f>IFERROR(__xludf.DUMMYFUNCTION("""COMPUTED_VALUE"""),"")</f>
        <v/>
      </c>
    </row>
    <row r="6711">
      <c r="A6711" s="15">
        <f>IFERROR(__xludf.DUMMYFUNCTION("""COMPUTED_VALUE"""),45190.0)</f>
        <v>45190</v>
      </c>
      <c r="B6711" s="16" t="str">
        <f>IFERROR(__xludf.DUMMYFUNCTION("""COMPUTED_VALUE"""),"Johanna Arango Barrera")</f>
        <v>Johanna Arango Barrera</v>
      </c>
      <c r="C6711" s="15" t="str">
        <f>IFERROR(__xludf.DUMMYFUNCTION("""COMPUTED_VALUE"""),"BUCARAMANGA")</f>
        <v>BUCARAMANGA</v>
      </c>
      <c r="D6711" s="15" t="str">
        <f>IFERROR(__xludf.DUMMYFUNCTION("""COMPUTED_VALUE"""),"BOGOTÁ")</f>
        <v>BOGOTÁ</v>
      </c>
      <c r="E6711" s="15" t="str">
        <f>IFERROR(__xludf.DUMMYFUNCTION("""COMPUTED_VALUE"""),"Evamazzita")</f>
        <v>Evamazzita</v>
      </c>
      <c r="F6711" s="17" t="str">
        <f>IFERROR(__xludf.DUMMYFUNCTION("""COMPUTED_VALUE"""),"CALLE 105 No. 15D - 19 / SALA DE BELLEZA LAS GEMELAS / DELICIAS ALTAS")</f>
        <v>CALLE 105 No. 15D - 19 / SALA DE BELLEZA LAS GEMELAS / DELICIAS ALTAS</v>
      </c>
      <c r="G6711" s="15" t="str">
        <f>IFERROR(__xludf.DUMMYFUNCTION("""COMPUTED_VALUE"""),"JAVIER RODRIGUEZ ORTIZ")</f>
        <v>JAVIER RODRIGUEZ ORTIZ</v>
      </c>
      <c r="H6711" s="16">
        <f>IFERROR(__xludf.DUMMYFUNCTION("""COMPUTED_VALUE"""),15476.0)</f>
        <v>15476</v>
      </c>
      <c r="I6711" s="18">
        <f>IFERROR(__xludf.DUMMYFUNCTION("""COMPUTED_VALUE"""),1.0)</f>
        <v>1</v>
      </c>
      <c r="J6711" s="18">
        <f>IFERROR(__xludf.DUMMYFUNCTION("""COMPUTED_VALUE"""),1.0)</f>
        <v>1</v>
      </c>
      <c r="K6711" s="18">
        <f>IFERROR(__xludf.DUMMYFUNCTION("""COMPUTED_VALUE"""),1.0)</f>
        <v>1</v>
      </c>
      <c r="L6711" s="17">
        <f>IFERROR(__xludf.DUMMYFUNCTION("""COMPUTED_VALUE"""),3.138880523E9)</f>
        <v>3138880523</v>
      </c>
      <c r="M6711" s="17" t="str">
        <f>IFERROR(__xludf.DUMMYFUNCTION("""COMPUTED_VALUE"""),"#REF!")</f>
        <v>#REF!</v>
      </c>
      <c r="N6711" s="17"/>
      <c r="O6711" s="17"/>
      <c r="P6711" s="17" t="b">
        <f>IFERROR(__xludf.DUMMYFUNCTION("""COMPUTED_VALUE"""),TRUE)</f>
        <v>1</v>
      </c>
      <c r="Q6711" s="20">
        <f>IFERROR(__xludf.DUMMYFUNCTION("""COMPUTED_VALUE"""),45191.67833177083)</f>
        <v>45191.67833</v>
      </c>
      <c r="R6711" s="22" t="str">
        <f>IFERROR(__xludf.DUMMYFUNCTION("""COMPUTED_VALUE"""),"")</f>
        <v/>
      </c>
    </row>
    <row r="6712">
      <c r="A6712" s="15">
        <f>IFERROR(__xludf.DUMMYFUNCTION("""COMPUTED_VALUE"""),45190.0)</f>
        <v>45190</v>
      </c>
      <c r="B6712" s="16" t="str">
        <f>IFERROR(__xludf.DUMMYFUNCTION("""COMPUTED_VALUE"""),"Johanna Arango Barrera")</f>
        <v>Johanna Arango Barrera</v>
      </c>
      <c r="C6712" s="15" t="str">
        <f>IFERROR(__xludf.DUMMYFUNCTION("""COMPUTED_VALUE"""),"BUCARAMANGA")</f>
        <v>BUCARAMANGA</v>
      </c>
      <c r="D6712" s="15" t="str">
        <f>IFERROR(__xludf.DUMMYFUNCTION("""COMPUTED_VALUE"""),"BOGOTÁ")</f>
        <v>BOGOTÁ</v>
      </c>
      <c r="E6712" s="15" t="str">
        <f>IFERROR(__xludf.DUMMYFUNCTION("""COMPUTED_VALUE"""),"Evamazzita")</f>
        <v>Evamazzita</v>
      </c>
      <c r="F6712" s="17" t="str">
        <f>IFERROR(__xludf.DUMMYFUNCTION("""COMPUTED_VALUE"""),"Calle 115 32 08 / Barrio NiZa")</f>
        <v>Calle 115 32 08 / Barrio NiZa</v>
      </c>
      <c r="G6712" s="15" t="str">
        <f>IFERROR(__xludf.DUMMYFUNCTION("""COMPUTED_VALUE"""),"DIANA CAROLINA ARIAS ROMERO")</f>
        <v>DIANA CAROLINA ARIAS ROMERO</v>
      </c>
      <c r="H6712" s="16">
        <f>IFERROR(__xludf.DUMMYFUNCTION("""COMPUTED_VALUE"""),15475.0)</f>
        <v>15475</v>
      </c>
      <c r="I6712" s="18">
        <f>IFERROR(__xludf.DUMMYFUNCTION("""COMPUTED_VALUE"""),1.0)</f>
        <v>1</v>
      </c>
      <c r="J6712" s="18">
        <f>IFERROR(__xludf.DUMMYFUNCTION("""COMPUTED_VALUE"""),1.0)</f>
        <v>1</v>
      </c>
      <c r="K6712" s="18">
        <f>IFERROR(__xludf.DUMMYFUNCTION("""COMPUTED_VALUE"""),1.0)</f>
        <v>1</v>
      </c>
      <c r="L6712" s="17">
        <f>IFERROR(__xludf.DUMMYFUNCTION("""COMPUTED_VALUE"""),3.173018251E9)</f>
        <v>3173018251</v>
      </c>
      <c r="M6712" s="17" t="str">
        <f>IFERROR(__xludf.DUMMYFUNCTION("""COMPUTED_VALUE"""),"#REF!")</f>
        <v>#REF!</v>
      </c>
      <c r="N6712" s="17"/>
      <c r="O6712" s="17"/>
      <c r="P6712" s="17" t="b">
        <f>IFERROR(__xludf.DUMMYFUNCTION("""COMPUTED_VALUE"""),FALSE)</f>
        <v>0</v>
      </c>
      <c r="Q6712" s="20" t="str">
        <f>IFERROR(__xludf.DUMMYFUNCTION("""COMPUTED_VALUE"""),"")</f>
        <v/>
      </c>
      <c r="R6712" s="22" t="str">
        <f>IFERROR(__xludf.DUMMYFUNCTION("""COMPUTED_VALUE"""),"")</f>
        <v/>
      </c>
    </row>
    <row r="6713">
      <c r="A6713" s="15">
        <f>IFERROR(__xludf.DUMMYFUNCTION("""COMPUTED_VALUE"""),45190.0)</f>
        <v>45190</v>
      </c>
      <c r="B6713" s="16" t="str">
        <f>IFERROR(__xludf.DUMMYFUNCTION("""COMPUTED_VALUE"""),"Johanna Arango Barrera")</f>
        <v>Johanna Arango Barrera</v>
      </c>
      <c r="C6713" s="15" t="str">
        <f>IFERROR(__xludf.DUMMYFUNCTION("""COMPUTED_VALUE"""),"BUCARAMANGA")</f>
        <v>BUCARAMANGA</v>
      </c>
      <c r="D6713" s="15" t="str">
        <f>IFERROR(__xludf.DUMMYFUNCTION("""COMPUTED_VALUE"""),"BOGOTÁ")</f>
        <v>BOGOTÁ</v>
      </c>
      <c r="E6713" s="15" t="str">
        <f>IFERROR(__xludf.DUMMYFUNCTION("""COMPUTED_VALUE"""),"Evamazzita")</f>
        <v>Evamazzita</v>
      </c>
      <c r="F6713" s="17" t="str">
        <f>IFERROR(__xludf.DUMMYFUNCTION("""COMPUTED_VALUE"""),"CALLE 20 # 31 - 79 / EDIFICIO SAN JUAN APTO. 1401 BARRIO SAN ALONSO")</f>
        <v>CALLE 20 # 31 - 79 / EDIFICIO SAN JUAN APTO. 1401 BARRIO SAN ALONSO</v>
      </c>
      <c r="G6713" s="15" t="str">
        <f>IFERROR(__xludf.DUMMYFUNCTION("""COMPUTED_VALUE"""),"OLGA RUEDA")</f>
        <v>OLGA RUEDA</v>
      </c>
      <c r="H6713" s="16">
        <f>IFERROR(__xludf.DUMMYFUNCTION("""COMPUTED_VALUE"""),15478.0)</f>
        <v>15478</v>
      </c>
      <c r="I6713" s="18">
        <f>IFERROR(__xludf.DUMMYFUNCTION("""COMPUTED_VALUE"""),1.0)</f>
        <v>1</v>
      </c>
      <c r="J6713" s="18">
        <f>IFERROR(__xludf.DUMMYFUNCTION("""COMPUTED_VALUE"""),1.0)</f>
        <v>1</v>
      </c>
      <c r="K6713" s="18">
        <f>IFERROR(__xludf.DUMMYFUNCTION("""COMPUTED_VALUE"""),1.0)</f>
        <v>1</v>
      </c>
      <c r="L6713" s="17">
        <f>IFERROR(__xludf.DUMMYFUNCTION("""COMPUTED_VALUE"""),3.125040287E9)</f>
        <v>3125040287</v>
      </c>
      <c r="M6713" s="17" t="str">
        <f>IFERROR(__xludf.DUMMYFUNCTION("""COMPUTED_VALUE"""),"#REF!")</f>
        <v>#REF!</v>
      </c>
      <c r="N6713" s="17"/>
      <c r="O6713" s="17"/>
      <c r="P6713" s="17" t="b">
        <f>IFERROR(__xludf.DUMMYFUNCTION("""COMPUTED_VALUE"""),FALSE)</f>
        <v>0</v>
      </c>
      <c r="Q6713" s="20" t="str">
        <f>IFERROR(__xludf.DUMMYFUNCTION("""COMPUTED_VALUE"""),"")</f>
        <v/>
      </c>
      <c r="R6713" s="22" t="str">
        <f>IFERROR(__xludf.DUMMYFUNCTION("""COMPUTED_VALUE"""),"")</f>
        <v/>
      </c>
    </row>
    <row r="6714">
      <c r="A6714" s="15">
        <f>IFERROR(__xludf.DUMMYFUNCTION("""COMPUTED_VALUE"""),45190.0)</f>
        <v>45190</v>
      </c>
      <c r="B6714" s="16" t="str">
        <f>IFERROR(__xludf.DUMMYFUNCTION("""COMPUTED_VALUE"""),"Johanna Arango Barrera")</f>
        <v>Johanna Arango Barrera</v>
      </c>
      <c r="C6714" s="15" t="str">
        <f>IFERROR(__xludf.DUMMYFUNCTION("""COMPUTED_VALUE"""),"BUCARAMANGA")</f>
        <v>BUCARAMANGA</v>
      </c>
      <c r="D6714" s="15" t="str">
        <f>IFERROR(__xludf.DUMMYFUNCTION("""COMPUTED_VALUE"""),"BOGOTÁ")</f>
        <v>BOGOTÁ</v>
      </c>
      <c r="E6714" s="15" t="str">
        <f>IFERROR(__xludf.DUMMYFUNCTION("""COMPUTED_VALUE"""),"Evamazzita")</f>
        <v>Evamazzita</v>
      </c>
      <c r="F6714" s="17" t="str">
        <f>IFERROR(__xludf.DUMMYFUNCTION("""COMPUTED_VALUE"""),"CRA 19 No. 8 - 45 / TORRE 3 APTO 604 COMUNEROS")</f>
        <v>CRA 19 No. 8 - 45 / TORRE 3 APTO 604 COMUNEROS</v>
      </c>
      <c r="G6714" s="15" t="str">
        <f>IFERROR(__xludf.DUMMYFUNCTION("""COMPUTED_VALUE"""),"MAYRA FERNANDA LOZADA MOTTA")</f>
        <v>MAYRA FERNANDA LOZADA MOTTA</v>
      </c>
      <c r="H6714" s="16">
        <f>IFERROR(__xludf.DUMMYFUNCTION("""COMPUTED_VALUE"""),15477.0)</f>
        <v>15477</v>
      </c>
      <c r="I6714" s="18">
        <f>IFERROR(__xludf.DUMMYFUNCTION("""COMPUTED_VALUE"""),1.0)</f>
        <v>1</v>
      </c>
      <c r="J6714" s="18">
        <f>IFERROR(__xludf.DUMMYFUNCTION("""COMPUTED_VALUE"""),1.0)</f>
        <v>1</v>
      </c>
      <c r="K6714" s="18">
        <f>IFERROR(__xludf.DUMMYFUNCTION("""COMPUTED_VALUE"""),1.0)</f>
        <v>1</v>
      </c>
      <c r="L6714" s="17">
        <f>IFERROR(__xludf.DUMMYFUNCTION("""COMPUTED_VALUE"""),3.214080448E9)</f>
        <v>3214080448</v>
      </c>
      <c r="M6714" s="17" t="str">
        <f>IFERROR(__xludf.DUMMYFUNCTION("""COMPUTED_VALUE"""),"#REF!")</f>
        <v>#REF!</v>
      </c>
      <c r="N6714" s="17"/>
      <c r="O6714" s="17"/>
      <c r="P6714" s="17" t="b">
        <f>IFERROR(__xludf.DUMMYFUNCTION("""COMPUTED_VALUE"""),TRUE)</f>
        <v>1</v>
      </c>
      <c r="Q6714" s="20">
        <f>IFERROR(__xludf.DUMMYFUNCTION("""COMPUTED_VALUE"""),45190.6975155324)</f>
        <v>45190.69752</v>
      </c>
      <c r="R6714" s="22" t="str">
        <f>IFERROR(__xludf.DUMMYFUNCTION("""COMPUTED_VALUE"""),"")</f>
        <v/>
      </c>
    </row>
    <row r="6715">
      <c r="A6715" s="15">
        <f>IFERROR(__xludf.DUMMYFUNCTION("""COMPUTED_VALUE"""),45190.0)</f>
        <v>45190</v>
      </c>
      <c r="B6715" s="16" t="str">
        <f>IFERROR(__xludf.DUMMYFUNCTION("""COMPUTED_VALUE"""),"Johanna Arango Barrera")</f>
        <v>Johanna Arango Barrera</v>
      </c>
      <c r="C6715" s="15" t="str">
        <f>IFERROR(__xludf.DUMMYFUNCTION("""COMPUTED_VALUE"""),"BUCARAMANGA")</f>
        <v>BUCARAMANGA</v>
      </c>
      <c r="D6715" s="15" t="str">
        <f>IFERROR(__xludf.DUMMYFUNCTION("""COMPUTED_VALUE"""),"BOGOTÁ")</f>
        <v>BOGOTÁ</v>
      </c>
      <c r="E6715" s="15" t="str">
        <f>IFERROR(__xludf.DUMMYFUNCTION("""COMPUTED_VALUE"""),"Evamazzita")</f>
        <v>Evamazzita</v>
      </c>
      <c r="F6715" s="17" t="str">
        <f>IFERROR(__xludf.DUMMYFUNCTION("""COMPUTED_VALUE"""),"CRA 23 No. 51 - 46 / APTO 901 EDIFICIO ARKANTO BARRIO NUEVO SOTOMAYOR")</f>
        <v>CRA 23 No. 51 - 46 / APTO 901 EDIFICIO ARKANTO BARRIO NUEVO SOTOMAYOR</v>
      </c>
      <c r="G6715" s="15" t="str">
        <f>IFERROR(__xludf.DUMMYFUNCTION("""COMPUTED_VALUE"""),"JULIANA ECHEVERRI GOMEZ")</f>
        <v>JULIANA ECHEVERRI GOMEZ</v>
      </c>
      <c r="H6715" s="16">
        <f>IFERROR(__xludf.DUMMYFUNCTION("""COMPUTED_VALUE"""),15480.0)</f>
        <v>15480</v>
      </c>
      <c r="I6715" s="18">
        <f>IFERROR(__xludf.DUMMYFUNCTION("""COMPUTED_VALUE"""),1.0)</f>
        <v>1</v>
      </c>
      <c r="J6715" s="18">
        <f>IFERROR(__xludf.DUMMYFUNCTION("""COMPUTED_VALUE"""),1.0)</f>
        <v>1</v>
      </c>
      <c r="K6715" s="18">
        <f>IFERROR(__xludf.DUMMYFUNCTION("""COMPUTED_VALUE"""),1.0)</f>
        <v>1</v>
      </c>
      <c r="L6715" s="17">
        <f>IFERROR(__xludf.DUMMYFUNCTION("""COMPUTED_VALUE"""),3.012306587E9)</f>
        <v>3012306587</v>
      </c>
      <c r="M6715" s="17" t="str">
        <f>IFERROR(__xludf.DUMMYFUNCTION("""COMPUTED_VALUE"""),"#REF!")</f>
        <v>#REF!</v>
      </c>
      <c r="N6715" s="17"/>
      <c r="O6715" s="17"/>
      <c r="P6715" s="17" t="b">
        <f>IFERROR(__xludf.DUMMYFUNCTION("""COMPUTED_VALUE"""),TRUE)</f>
        <v>1</v>
      </c>
      <c r="Q6715" s="20">
        <f>IFERROR(__xludf.DUMMYFUNCTION("""COMPUTED_VALUE"""),45191.49223502315)</f>
        <v>45191.49224</v>
      </c>
      <c r="R6715" s="22" t="str">
        <f>IFERROR(__xludf.DUMMYFUNCTION("""COMPUTED_VALUE"""),"")</f>
        <v/>
      </c>
    </row>
    <row r="6716">
      <c r="A6716" s="15">
        <f>IFERROR(__xludf.DUMMYFUNCTION("""COMPUTED_VALUE"""),45190.0)</f>
        <v>45190</v>
      </c>
      <c r="B6716" s="16" t="str">
        <f>IFERROR(__xludf.DUMMYFUNCTION("""COMPUTED_VALUE"""),"Johanna Arango Barrera")</f>
        <v>Johanna Arango Barrera</v>
      </c>
      <c r="C6716" s="15" t="str">
        <f>IFERROR(__xludf.DUMMYFUNCTION("""COMPUTED_VALUE"""),"BUCARAMANGA")</f>
        <v>BUCARAMANGA</v>
      </c>
      <c r="D6716" s="15" t="str">
        <f>IFERROR(__xludf.DUMMYFUNCTION("""COMPUTED_VALUE"""),"BOGOTÁ")</f>
        <v>BOGOTÁ</v>
      </c>
      <c r="E6716" s="15" t="str">
        <f>IFERROR(__xludf.DUMMYFUNCTION("""COMPUTED_VALUE"""),"Pan de Waffle")</f>
        <v>Pan de Waffle</v>
      </c>
      <c r="F6716" s="17" t="str">
        <f>IFERROR(__xludf.DUMMYFUNCTION("""COMPUTED_VALUE"""),"Calle 71 # 54 - 05 Casa 18 / Calle 71 # 54 - 05 Casa 18 / Calle 71 # 54 - 05 Casa 18")</f>
        <v>Calle 71 # 54 - 05 Casa 18 / Calle 71 # 54 - 05 Casa 18 / Calle 71 # 54 - 05 Casa 18</v>
      </c>
      <c r="G6716" s="15" t="str">
        <f>IFERROR(__xludf.DUMMYFUNCTION("""COMPUTED_VALUE"""),"LUIS ESTEBAN CAÑIZARES")</f>
        <v>LUIS ESTEBAN CAÑIZARES</v>
      </c>
      <c r="H6716" s="16">
        <f>IFERROR(__xludf.DUMMYFUNCTION("""COMPUTED_VALUE"""),15458.0)</f>
        <v>15458</v>
      </c>
      <c r="I6716" s="18">
        <f>IFERROR(__xludf.DUMMYFUNCTION("""COMPUTED_VALUE"""),50.0)</f>
        <v>50</v>
      </c>
      <c r="J6716" s="18">
        <f>IFERROR(__xludf.DUMMYFUNCTION("""COMPUTED_VALUE"""),40.0)</f>
        <v>40</v>
      </c>
      <c r="K6716" s="18">
        <f>IFERROR(__xludf.DUMMYFUNCTION("""COMPUTED_VALUE"""),30.0)</f>
        <v>30</v>
      </c>
      <c r="L6716" s="17">
        <f>IFERROR(__xludf.DUMMYFUNCTION("""COMPUTED_VALUE"""),3.20865425E9)</f>
        <v>3208654250</v>
      </c>
      <c r="M6716" s="17" t="str">
        <f>IFERROR(__xludf.DUMMYFUNCTION("""COMPUTED_VALUE"""),"#REF!")</f>
        <v>#REF!</v>
      </c>
      <c r="N6716" s="17"/>
      <c r="O6716" s="17"/>
      <c r="P6716" s="17" t="b">
        <f>IFERROR(__xludf.DUMMYFUNCTION("""COMPUTED_VALUE"""),FALSE)</f>
        <v>0</v>
      </c>
      <c r="Q6716" s="20" t="str">
        <f>IFERROR(__xludf.DUMMYFUNCTION("""COMPUTED_VALUE"""),"")</f>
        <v/>
      </c>
      <c r="R6716" s="22" t="str">
        <f>IFERROR(__xludf.DUMMYFUNCTION("""COMPUTED_VALUE"""),"")</f>
        <v/>
      </c>
    </row>
    <row r="6717">
      <c r="A6717" s="15">
        <f>IFERROR(__xludf.DUMMYFUNCTION("""COMPUTED_VALUE"""),45190.0)</f>
        <v>45190</v>
      </c>
      <c r="B6717" s="16" t="str">
        <f>IFERROR(__xludf.DUMMYFUNCTION("""COMPUTED_VALUE"""),"Johanna Arango Barrera")</f>
        <v>Johanna Arango Barrera</v>
      </c>
      <c r="C6717" s="15" t="str">
        <f>IFERROR(__xludf.DUMMYFUNCTION("""COMPUTED_VALUE"""),"FLORIDABLANCA")</f>
        <v>FLORIDABLANCA</v>
      </c>
      <c r="D6717" s="15" t="str">
        <f>IFERROR(__xludf.DUMMYFUNCTION("""COMPUTED_VALUE"""),"BOGOTÁ")</f>
        <v>BOGOTÁ</v>
      </c>
      <c r="E6717" s="15" t="str">
        <f>IFERROR(__xludf.DUMMYFUNCTION("""COMPUTED_VALUE"""),"Evamazzita")</f>
        <v>Evamazzita</v>
      </c>
      <c r="F6717" s="17" t="str">
        <f>IFERROR(__xludf.DUMMYFUNCTION("""COMPUTED_VALUE"""),"Anillo vial No. 21-462 / Caminos de Provvidenza torre 1 apto 603  Floridablanca")</f>
        <v>Anillo vial No. 21-462 / Caminos de Provvidenza torre 1 apto 603  Floridablanca</v>
      </c>
      <c r="G6717" s="15" t="str">
        <f>IFERROR(__xludf.DUMMYFUNCTION("""COMPUTED_VALUE"""),"GLORIA CARVAJAL")</f>
        <v>GLORIA CARVAJAL</v>
      </c>
      <c r="H6717" s="16">
        <f>IFERROR(__xludf.DUMMYFUNCTION("""COMPUTED_VALUE"""),15485.0)</f>
        <v>15485</v>
      </c>
      <c r="I6717" s="18">
        <f>IFERROR(__xludf.DUMMYFUNCTION("""COMPUTED_VALUE"""),1.0)</f>
        <v>1</v>
      </c>
      <c r="J6717" s="18">
        <f>IFERROR(__xludf.DUMMYFUNCTION("""COMPUTED_VALUE"""),1.0)</f>
        <v>1</v>
      </c>
      <c r="K6717" s="18">
        <f>IFERROR(__xludf.DUMMYFUNCTION("""COMPUTED_VALUE"""),1.0)</f>
        <v>1</v>
      </c>
      <c r="L6717" s="17">
        <f>IFERROR(__xludf.DUMMYFUNCTION("""COMPUTED_VALUE"""),3.112929039E9)</f>
        <v>3112929039</v>
      </c>
      <c r="M6717" s="17" t="str">
        <f>IFERROR(__xludf.DUMMYFUNCTION("""COMPUTED_VALUE"""),"#REF!")</f>
        <v>#REF!</v>
      </c>
      <c r="N6717" s="17"/>
      <c r="O6717" s="17"/>
      <c r="P6717" s="17" t="b">
        <f>IFERROR(__xludf.DUMMYFUNCTION("""COMPUTED_VALUE"""),FALSE)</f>
        <v>0</v>
      </c>
      <c r="Q6717" s="20" t="str">
        <f>IFERROR(__xludf.DUMMYFUNCTION("""COMPUTED_VALUE"""),"")</f>
        <v/>
      </c>
      <c r="R6717" s="22" t="str">
        <f>IFERROR(__xludf.DUMMYFUNCTION("""COMPUTED_VALUE"""),"")</f>
        <v/>
      </c>
    </row>
    <row r="6718">
      <c r="A6718" s="15">
        <f>IFERROR(__xludf.DUMMYFUNCTION("""COMPUTED_VALUE"""),45190.0)</f>
        <v>45190</v>
      </c>
      <c r="B6718" s="16" t="str">
        <f>IFERROR(__xludf.DUMMYFUNCTION("""COMPUTED_VALUE"""),"Johanna Arango Barrera")</f>
        <v>Johanna Arango Barrera</v>
      </c>
      <c r="C6718" s="15" t="str">
        <f>IFERROR(__xludf.DUMMYFUNCTION("""COMPUTED_VALUE"""),"FLORIDABLANCA")</f>
        <v>FLORIDABLANCA</v>
      </c>
      <c r="D6718" s="15" t="str">
        <f>IFERROR(__xludf.DUMMYFUNCTION("""COMPUTED_VALUE"""),"BOGOTÁ")</f>
        <v>BOGOTÁ</v>
      </c>
      <c r="E6718" s="15" t="str">
        <f>IFERROR(__xludf.DUMMYFUNCTION("""COMPUTED_VALUE"""),"Evamazzita")</f>
        <v>Evamazzita</v>
      </c>
      <c r="F6718" s="17" t="str">
        <f>IFERROR(__xludf.DUMMYFUNCTION("""COMPUTED_VALUE"""),"Bloque 13-13 apto 501 / barrio bucarica")</f>
        <v>Bloque 13-13 apto 501 / barrio bucarica</v>
      </c>
      <c r="G6718" s="15" t="str">
        <f>IFERROR(__xludf.DUMMYFUNCTION("""COMPUTED_VALUE"""),"JENNIFER GUEVARA LIZARAZO")</f>
        <v>JENNIFER GUEVARA LIZARAZO</v>
      </c>
      <c r="H6718" s="16">
        <f>IFERROR(__xludf.DUMMYFUNCTION("""COMPUTED_VALUE"""),15484.0)</f>
        <v>15484</v>
      </c>
      <c r="I6718" s="18">
        <f>IFERROR(__xludf.DUMMYFUNCTION("""COMPUTED_VALUE"""),1.0)</f>
        <v>1</v>
      </c>
      <c r="J6718" s="18">
        <f>IFERROR(__xludf.DUMMYFUNCTION("""COMPUTED_VALUE"""),1.0)</f>
        <v>1</v>
      </c>
      <c r="K6718" s="18">
        <f>IFERROR(__xludf.DUMMYFUNCTION("""COMPUTED_VALUE"""),1.0)</f>
        <v>1</v>
      </c>
      <c r="L6718" s="17">
        <f>IFERROR(__xludf.DUMMYFUNCTION("""COMPUTED_VALUE"""),3.115241172E9)</f>
        <v>3115241172</v>
      </c>
      <c r="M6718" s="17" t="str">
        <f>IFERROR(__xludf.DUMMYFUNCTION("""COMPUTED_VALUE"""),"#REF!")</f>
        <v>#REF!</v>
      </c>
      <c r="N6718" s="17"/>
      <c r="O6718" s="17"/>
      <c r="P6718" s="17" t="b">
        <f>IFERROR(__xludf.DUMMYFUNCTION("""COMPUTED_VALUE"""),FALSE)</f>
        <v>0</v>
      </c>
      <c r="Q6718" s="20" t="str">
        <f>IFERROR(__xludf.DUMMYFUNCTION("""COMPUTED_VALUE"""),"")</f>
        <v/>
      </c>
      <c r="R6718" s="22" t="str">
        <f>IFERROR(__xludf.DUMMYFUNCTION("""COMPUTED_VALUE"""),"")</f>
        <v/>
      </c>
    </row>
    <row r="6719">
      <c r="A6719" s="15">
        <f>IFERROR(__xludf.DUMMYFUNCTION("""COMPUTED_VALUE"""),45190.0)</f>
        <v>45190</v>
      </c>
      <c r="B6719" s="16" t="str">
        <f>IFERROR(__xludf.DUMMYFUNCTION("""COMPUTED_VALUE"""),"Johanna Arango Barrera")</f>
        <v>Johanna Arango Barrera</v>
      </c>
      <c r="C6719" s="15" t="str">
        <f>IFERROR(__xludf.DUMMYFUNCTION("""COMPUTED_VALUE"""),"FLORIDABLANCA")</f>
        <v>FLORIDABLANCA</v>
      </c>
      <c r="D6719" s="15" t="str">
        <f>IFERROR(__xludf.DUMMYFUNCTION("""COMPUTED_VALUE"""),"BOGOTÁ")</f>
        <v>BOGOTÁ</v>
      </c>
      <c r="E6719" s="15" t="str">
        <f>IFERROR(__xludf.DUMMYFUNCTION("""COMPUTED_VALUE"""),"Evamazzita")</f>
        <v>Evamazzita</v>
      </c>
      <c r="F6719" s="17" t="str">
        <f>IFERROR(__xludf.DUMMYFUNCTION("""COMPUTED_VALUE"""),"Calle 146# 22-256 / apt 1314 santelmo Paralela al bosque")</f>
        <v>Calle 146# 22-256 / apt 1314 santelmo Paralela al bosque</v>
      </c>
      <c r="G6719" s="15" t="str">
        <f>IFERROR(__xludf.DUMMYFUNCTION("""COMPUTED_VALUE"""),"ADRIANA GALVIS SUAREZ")</f>
        <v>ADRIANA GALVIS SUAREZ</v>
      </c>
      <c r="H6719" s="16">
        <f>IFERROR(__xludf.DUMMYFUNCTION("""COMPUTED_VALUE"""),15483.0)</f>
        <v>15483</v>
      </c>
      <c r="I6719" s="18">
        <f>IFERROR(__xludf.DUMMYFUNCTION("""COMPUTED_VALUE"""),1.0)</f>
        <v>1</v>
      </c>
      <c r="J6719" s="18">
        <f>IFERROR(__xludf.DUMMYFUNCTION("""COMPUTED_VALUE"""),1.0)</f>
        <v>1</v>
      </c>
      <c r="K6719" s="18">
        <f>IFERROR(__xludf.DUMMYFUNCTION("""COMPUTED_VALUE"""),1.0)</f>
        <v>1</v>
      </c>
      <c r="L6719" s="17">
        <f>IFERROR(__xludf.DUMMYFUNCTION("""COMPUTED_VALUE"""),3.123945527E9)</f>
        <v>3123945527</v>
      </c>
      <c r="M6719" s="17" t="str">
        <f>IFERROR(__xludf.DUMMYFUNCTION("""COMPUTED_VALUE"""),"#REF!")</f>
        <v>#REF!</v>
      </c>
      <c r="N6719" s="17"/>
      <c r="O6719" s="17"/>
      <c r="P6719" s="17" t="b">
        <f>IFERROR(__xludf.DUMMYFUNCTION("""COMPUTED_VALUE"""),FALSE)</f>
        <v>0</v>
      </c>
      <c r="Q6719" s="20" t="str">
        <f>IFERROR(__xludf.DUMMYFUNCTION("""COMPUTED_VALUE"""),"")</f>
        <v/>
      </c>
      <c r="R6719" s="22" t="str">
        <f>IFERROR(__xludf.DUMMYFUNCTION("""COMPUTED_VALUE"""),"")</f>
        <v/>
      </c>
    </row>
    <row r="6720">
      <c r="A6720" s="15">
        <f>IFERROR(__xludf.DUMMYFUNCTION("""COMPUTED_VALUE"""),45190.0)</f>
        <v>45190</v>
      </c>
      <c r="B6720" s="16" t="str">
        <f>IFERROR(__xludf.DUMMYFUNCTION("""COMPUTED_VALUE"""),"Johanna Arango Barrera")</f>
        <v>Johanna Arango Barrera</v>
      </c>
      <c r="C6720" s="15" t="str">
        <f>IFERROR(__xludf.DUMMYFUNCTION("""COMPUTED_VALUE"""),"FLORIDABLANCA")</f>
        <v>FLORIDABLANCA</v>
      </c>
      <c r="D6720" s="15" t="str">
        <f>IFERROR(__xludf.DUMMYFUNCTION("""COMPUTED_VALUE"""),"BOGOTÁ")</f>
        <v>BOGOTÁ</v>
      </c>
      <c r="E6720" s="15" t="str">
        <f>IFERROR(__xludf.DUMMYFUNCTION("""COMPUTED_VALUE"""),"Evamazzita")</f>
        <v>Evamazzita</v>
      </c>
      <c r="F6720" s="17" t="str">
        <f>IFERROR(__xludf.DUMMYFUNCTION("""COMPUTED_VALUE"""),"Calle 5 # 14-102  Barrio Altamira / Barrio Altamira")</f>
        <v>Calle 5 # 14-102  Barrio Altamira / Barrio Altamira</v>
      </c>
      <c r="G6720" s="15" t="str">
        <f>IFERROR(__xludf.DUMMYFUNCTION("""COMPUTED_VALUE"""),"ANDREA DEL PILAR PAEZ ALDANA")</f>
        <v>ANDREA DEL PILAR PAEZ ALDANA</v>
      </c>
      <c r="H6720" s="16">
        <f>IFERROR(__xludf.DUMMYFUNCTION("""COMPUTED_VALUE"""),15488.0)</f>
        <v>15488</v>
      </c>
      <c r="I6720" s="18">
        <f>IFERROR(__xludf.DUMMYFUNCTION("""COMPUTED_VALUE"""),1.0)</f>
        <v>1</v>
      </c>
      <c r="J6720" s="18">
        <f>IFERROR(__xludf.DUMMYFUNCTION("""COMPUTED_VALUE"""),1.0)</f>
        <v>1</v>
      </c>
      <c r="K6720" s="18">
        <f>IFERROR(__xludf.DUMMYFUNCTION("""COMPUTED_VALUE"""),1.0)</f>
        <v>1</v>
      </c>
      <c r="L6720" s="17">
        <f>IFERROR(__xludf.DUMMYFUNCTION("""COMPUTED_VALUE"""),3.188277596E9)</f>
        <v>3188277596</v>
      </c>
      <c r="M6720" s="17" t="str">
        <f>IFERROR(__xludf.DUMMYFUNCTION("""COMPUTED_VALUE"""),"#REF!")</f>
        <v>#REF!</v>
      </c>
      <c r="N6720" s="17"/>
      <c r="O6720" s="17"/>
      <c r="P6720" s="17" t="b">
        <f>IFERROR(__xludf.DUMMYFUNCTION("""COMPUTED_VALUE"""),FALSE)</f>
        <v>0</v>
      </c>
      <c r="Q6720" s="20" t="str">
        <f>IFERROR(__xludf.DUMMYFUNCTION("""COMPUTED_VALUE"""),"")</f>
        <v/>
      </c>
      <c r="R6720" s="22" t="str">
        <f>IFERROR(__xludf.DUMMYFUNCTION("""COMPUTED_VALUE"""),"")</f>
        <v/>
      </c>
    </row>
    <row r="6721">
      <c r="A6721" s="15">
        <f>IFERROR(__xludf.DUMMYFUNCTION("""COMPUTED_VALUE"""),45190.0)</f>
        <v>45190</v>
      </c>
      <c r="B6721" s="16" t="str">
        <f>IFERROR(__xludf.DUMMYFUNCTION("""COMPUTED_VALUE"""),"Johanna Arango Barrera")</f>
        <v>Johanna Arango Barrera</v>
      </c>
      <c r="C6721" s="15" t="str">
        <f>IFERROR(__xludf.DUMMYFUNCTION("""COMPUTED_VALUE"""),"FLORIDABLANCA")</f>
        <v>FLORIDABLANCA</v>
      </c>
      <c r="D6721" s="15" t="str">
        <f>IFERROR(__xludf.DUMMYFUNCTION("""COMPUTED_VALUE"""),"BOGOTÁ")</f>
        <v>BOGOTÁ</v>
      </c>
      <c r="E6721" s="15" t="str">
        <f>IFERROR(__xludf.DUMMYFUNCTION("""COMPUTED_VALUE"""),"Evamazzita")</f>
        <v>Evamazzita</v>
      </c>
      <c r="F6721" s="17" t="str">
        <f>IFERROR(__xludf.DUMMYFUNCTION("""COMPUTED_VALUE"""),"KM 13 VIA AUTOPISTA VIA PIEDECUESTA / CONDOMINIO ARCADIA CASA 5")</f>
        <v>KM 13 VIA AUTOPISTA VIA PIEDECUESTA / CONDOMINIO ARCADIA CASA 5</v>
      </c>
      <c r="G6721" s="15" t="str">
        <f>IFERROR(__xludf.DUMMYFUNCTION("""COMPUTED_VALUE"""),"ASTRID SERRANO")</f>
        <v>ASTRID SERRANO</v>
      </c>
      <c r="H6721" s="16">
        <f>IFERROR(__xludf.DUMMYFUNCTION("""COMPUTED_VALUE"""),15482.0)</f>
        <v>15482</v>
      </c>
      <c r="I6721" s="18">
        <f>IFERROR(__xludf.DUMMYFUNCTION("""COMPUTED_VALUE"""),1.0)</f>
        <v>1</v>
      </c>
      <c r="J6721" s="18">
        <f>IFERROR(__xludf.DUMMYFUNCTION("""COMPUTED_VALUE"""),1.0)</f>
        <v>1</v>
      </c>
      <c r="K6721" s="18">
        <f>IFERROR(__xludf.DUMMYFUNCTION("""COMPUTED_VALUE"""),1.0)</f>
        <v>1</v>
      </c>
      <c r="L6721" s="17">
        <f>IFERROR(__xludf.DUMMYFUNCTION("""COMPUTED_VALUE"""),3.004420245E9)</f>
        <v>3004420245</v>
      </c>
      <c r="M6721" s="17" t="str">
        <f>IFERROR(__xludf.DUMMYFUNCTION("""COMPUTED_VALUE"""),"#REF!")</f>
        <v>#REF!</v>
      </c>
      <c r="N6721" s="17"/>
      <c r="O6721" s="17"/>
      <c r="P6721" s="17" t="b">
        <f>IFERROR(__xludf.DUMMYFUNCTION("""COMPUTED_VALUE"""),FALSE)</f>
        <v>0</v>
      </c>
      <c r="Q6721" s="20" t="str">
        <f>IFERROR(__xludf.DUMMYFUNCTION("""COMPUTED_VALUE"""),"")</f>
        <v/>
      </c>
      <c r="R6721" s="22" t="str">
        <f>IFERROR(__xludf.DUMMYFUNCTION("""COMPUTED_VALUE"""),"")</f>
        <v/>
      </c>
    </row>
    <row r="6722">
      <c r="A6722" s="15">
        <f>IFERROR(__xludf.DUMMYFUNCTION("""COMPUTED_VALUE"""),45190.0)</f>
        <v>45190</v>
      </c>
      <c r="B6722" s="16" t="str">
        <f>IFERROR(__xludf.DUMMYFUNCTION("""COMPUTED_VALUE"""),"Johanna Arango Barrera")</f>
        <v>Johanna Arango Barrera</v>
      </c>
      <c r="C6722" s="15" t="str">
        <f>IFERROR(__xludf.DUMMYFUNCTION("""COMPUTED_VALUE"""),"FLORIDABLANCA")</f>
        <v>FLORIDABLANCA</v>
      </c>
      <c r="D6722" s="15" t="str">
        <f>IFERROR(__xludf.DUMMYFUNCTION("""COMPUTED_VALUE"""),"BOGOTÁ")</f>
        <v>BOGOTÁ</v>
      </c>
      <c r="E6722" s="15" t="str">
        <f>IFERROR(__xludf.DUMMYFUNCTION("""COMPUTED_VALUE"""),"Evamazzita")</f>
        <v>Evamazzita</v>
      </c>
      <c r="F6722" s="17" t="str">
        <f>IFERROR(__xludf.DUMMYFUNCTION("""COMPUTED_VALUE"""),"Km1 #21-462 / torre 2 apto 2001 Condominio Caminos de Provvidenza, Anillo vial- Floridablanca")</f>
        <v>Km1 #21-462 / torre 2 apto 2001 Condominio Caminos de Provvidenza, Anillo vial- Floridablanca</v>
      </c>
      <c r="G6722" s="15" t="str">
        <f>IFERROR(__xludf.DUMMYFUNCTION("""COMPUTED_VALUE"""),"LILIANA RUIZ SOSA")</f>
        <v>LILIANA RUIZ SOSA</v>
      </c>
      <c r="H6722" s="16">
        <f>IFERROR(__xludf.DUMMYFUNCTION("""COMPUTED_VALUE"""),15486.0)</f>
        <v>15486</v>
      </c>
      <c r="I6722" s="18">
        <f>IFERROR(__xludf.DUMMYFUNCTION("""COMPUTED_VALUE"""),1.0)</f>
        <v>1</v>
      </c>
      <c r="J6722" s="18">
        <f>IFERROR(__xludf.DUMMYFUNCTION("""COMPUTED_VALUE"""),1.0)</f>
        <v>1</v>
      </c>
      <c r="K6722" s="18">
        <f>IFERROR(__xludf.DUMMYFUNCTION("""COMPUTED_VALUE"""),1.0)</f>
        <v>1</v>
      </c>
      <c r="L6722" s="17">
        <f>IFERROR(__xludf.DUMMYFUNCTION("""COMPUTED_VALUE"""),3.165107994E9)</f>
        <v>3165107994</v>
      </c>
      <c r="M6722" s="17" t="str">
        <f>IFERROR(__xludf.DUMMYFUNCTION("""COMPUTED_VALUE"""),"#REF!")</f>
        <v>#REF!</v>
      </c>
      <c r="N6722" s="17"/>
      <c r="O6722" s="17"/>
      <c r="P6722" s="17" t="b">
        <f>IFERROR(__xludf.DUMMYFUNCTION("""COMPUTED_VALUE"""),FALSE)</f>
        <v>0</v>
      </c>
      <c r="Q6722" s="20" t="str">
        <f>IFERROR(__xludf.DUMMYFUNCTION("""COMPUTED_VALUE"""),"")</f>
        <v/>
      </c>
      <c r="R6722" s="22" t="str">
        <f>IFERROR(__xludf.DUMMYFUNCTION("""COMPUTED_VALUE"""),"")</f>
        <v/>
      </c>
    </row>
    <row r="6723">
      <c r="A6723" s="15">
        <f>IFERROR(__xludf.DUMMYFUNCTION("""COMPUTED_VALUE"""),45190.0)</f>
        <v>45190</v>
      </c>
      <c r="B6723" s="16" t="str">
        <f>IFERROR(__xludf.DUMMYFUNCTION("""COMPUTED_VALUE"""),"Johanna Arango Barrera")</f>
        <v>Johanna Arango Barrera</v>
      </c>
      <c r="C6723" s="15" t="str">
        <f>IFERROR(__xludf.DUMMYFUNCTION("""COMPUTED_VALUE"""),"PEREIRA")</f>
        <v>PEREIRA</v>
      </c>
      <c r="D6723" s="15" t="str">
        <f>IFERROR(__xludf.DUMMYFUNCTION("""COMPUTED_VALUE"""),"BOGOTÁ")</f>
        <v>BOGOTÁ</v>
      </c>
      <c r="E6723" s="15" t="str">
        <f>IFERROR(__xludf.DUMMYFUNCTION("""COMPUTED_VALUE"""),"Ins. Alimento Vital")</f>
        <v>Ins. Alimento Vital</v>
      </c>
      <c r="F6723" s="17" t="str">
        <f>IFERROR(__xludf.DUMMYFUNCTION("""COMPUTED_VALUE"""),"CR 5 18 43 / ED CHALJUB / BARRIO URIBE")</f>
        <v>CR 5 18 43 / ED CHALJUB / BARRIO URIBE</v>
      </c>
      <c r="G6723" s="15" t="str">
        <f>IFERROR(__xludf.DUMMYFUNCTION("""COMPUTED_VALUE"""),"CHALJUB")</f>
        <v>CHALJUB</v>
      </c>
      <c r="H6723" s="16">
        <f>IFERROR(__xludf.DUMMYFUNCTION("""COMPUTED_VALUE"""),15497.0)</f>
        <v>15497</v>
      </c>
      <c r="I6723" s="18">
        <f>IFERROR(__xludf.DUMMYFUNCTION("""COMPUTED_VALUE"""),1.0)</f>
        <v>1</v>
      </c>
      <c r="J6723" s="18">
        <f>IFERROR(__xludf.DUMMYFUNCTION("""COMPUTED_VALUE"""),1.0)</f>
        <v>1</v>
      </c>
      <c r="K6723" s="18">
        <f>IFERROR(__xludf.DUMMYFUNCTION("""COMPUTED_VALUE"""),1.0)</f>
        <v>1</v>
      </c>
      <c r="L6723" s="17">
        <f>IFERROR(__xludf.DUMMYFUNCTION("""COMPUTED_VALUE"""),3.008252529E9)</f>
        <v>3008252529</v>
      </c>
      <c r="M6723" s="17" t="str">
        <f>IFERROR(__xludf.DUMMYFUNCTION("""COMPUTED_VALUE"""),"#REF!")</f>
        <v>#REF!</v>
      </c>
      <c r="N6723" s="17"/>
      <c r="O6723" s="17"/>
      <c r="P6723" s="17" t="b">
        <f>IFERROR(__xludf.DUMMYFUNCTION("""COMPUTED_VALUE"""),FALSE)</f>
        <v>0</v>
      </c>
      <c r="Q6723" s="20" t="str">
        <f>IFERROR(__xludf.DUMMYFUNCTION("""COMPUTED_VALUE"""),"")</f>
        <v/>
      </c>
      <c r="R6723" s="22" t="str">
        <f>IFERROR(__xludf.DUMMYFUNCTION("""COMPUTED_VALUE"""),"")</f>
        <v/>
      </c>
    </row>
    <row r="6724">
      <c r="A6724" s="15">
        <f>IFERROR(__xludf.DUMMYFUNCTION("""COMPUTED_VALUE"""),45190.0)</f>
        <v>45190</v>
      </c>
      <c r="B6724" s="16" t="str">
        <f>IFERROR(__xludf.DUMMYFUNCTION("""COMPUTED_VALUE"""),"Johanna Arango Barrera")</f>
        <v>Johanna Arango Barrera</v>
      </c>
      <c r="C6724" s="15" t="str">
        <f>IFERROR(__xludf.DUMMYFUNCTION("""COMPUTED_VALUE"""),"VILLAVICENCIO")</f>
        <v>VILLAVICENCIO</v>
      </c>
      <c r="D6724" s="15" t="str">
        <f>IFERROR(__xludf.DUMMYFUNCTION("""COMPUTED_VALUE"""),"MEDELLÍN")</f>
        <v>MEDELLÍN</v>
      </c>
      <c r="E6724" s="15" t="str">
        <f>IFERROR(__xludf.DUMMYFUNCTION("""COMPUTED_VALUE"""),"Rambla")</f>
        <v>Rambla</v>
      </c>
      <c r="F6724" s="17" t="str">
        <f>IFERROR(__xludf.DUMMYFUNCTION("""COMPUTED_VALUE"""),"Calle 15 número 44 116 Hotel casa corona Local 5 Barrio el buque Villavicencio meta / - / -")</f>
        <v>Calle 15 número 44 116 Hotel casa corona Local 5 Barrio el buque Villavicencio meta / - / -</v>
      </c>
      <c r="G6724" s="15" t="str">
        <f>IFERROR(__xludf.DUMMYFUNCTION("""COMPUTED_VALUE"""),"Sana Tentacion")</f>
        <v>Sana Tentacion</v>
      </c>
      <c r="H6724" s="16">
        <f>IFERROR(__xludf.DUMMYFUNCTION("""COMPUTED_VALUE"""),15435.0)</f>
        <v>15435</v>
      </c>
      <c r="I6724" s="18">
        <f>IFERROR(__xludf.DUMMYFUNCTION("""COMPUTED_VALUE"""),35.0)</f>
        <v>35</v>
      </c>
      <c r="J6724" s="18">
        <f>IFERROR(__xludf.DUMMYFUNCTION("""COMPUTED_VALUE"""),34.0)</f>
        <v>34</v>
      </c>
      <c r="K6724" s="18">
        <f>IFERROR(__xludf.DUMMYFUNCTION("""COMPUTED_VALUE"""),20.0)</f>
        <v>20</v>
      </c>
      <c r="L6724" s="17">
        <f>IFERROR(__xludf.DUMMYFUNCTION("""COMPUTED_VALUE"""),3.0038383044E10)</f>
        <v>30038383044</v>
      </c>
      <c r="M6724" s="17" t="str">
        <f>IFERROR(__xludf.DUMMYFUNCTION("""COMPUTED_VALUE"""),"#REF!")</f>
        <v>#REF!</v>
      </c>
      <c r="N6724" s="17"/>
      <c r="O6724" s="17"/>
      <c r="P6724" s="17" t="b">
        <f>IFERROR(__xludf.DUMMYFUNCTION("""COMPUTED_VALUE"""),FALSE)</f>
        <v>0</v>
      </c>
      <c r="Q6724" s="20" t="str">
        <f>IFERROR(__xludf.DUMMYFUNCTION("""COMPUTED_VALUE"""),"")</f>
        <v/>
      </c>
      <c r="R6724" s="22" t="str">
        <f>IFERROR(__xludf.DUMMYFUNCTION("""COMPUTED_VALUE"""),"")</f>
        <v/>
      </c>
    </row>
    <row r="6725">
      <c r="A6725" s="17" t="str">
        <f>IFERROR(__xludf.DUMMYFUNCTION("""COMPUTED_VALUE"""),"")</f>
        <v/>
      </c>
      <c r="B6725" s="17" t="str">
        <f>IFERROR(__xludf.DUMMYFUNCTION("""COMPUTED_VALUE"""),"")</f>
        <v/>
      </c>
      <c r="C6725" s="17" t="str">
        <f>IFERROR(__xludf.DUMMYFUNCTION("""COMPUTED_VALUE"""),"")</f>
        <v/>
      </c>
      <c r="D6725" s="17" t="str">
        <f>IFERROR(__xludf.DUMMYFUNCTION("""COMPUTED_VALUE"""),"")</f>
        <v/>
      </c>
      <c r="E6725" s="17" t="str">
        <f>IFERROR(__xludf.DUMMYFUNCTION("""COMPUTED_VALUE"""),"")</f>
        <v/>
      </c>
      <c r="F6725" s="17" t="str">
        <f>IFERROR(__xludf.DUMMYFUNCTION("""COMPUTED_VALUE"""),"")</f>
        <v/>
      </c>
      <c r="G6725" s="17" t="str">
        <f>IFERROR(__xludf.DUMMYFUNCTION("""COMPUTED_VALUE"""),"")</f>
        <v/>
      </c>
      <c r="H6725" s="17" t="str">
        <f>IFERROR(__xludf.DUMMYFUNCTION("""COMPUTED_VALUE"""),"")</f>
        <v/>
      </c>
      <c r="I6725" s="17" t="str">
        <f>IFERROR(__xludf.DUMMYFUNCTION("""COMPUTED_VALUE"""),"")</f>
        <v/>
      </c>
      <c r="J6725" s="17" t="str">
        <f>IFERROR(__xludf.DUMMYFUNCTION("""COMPUTED_VALUE"""),"")</f>
        <v/>
      </c>
      <c r="K6725" s="17" t="str">
        <f>IFERROR(__xludf.DUMMYFUNCTION("""COMPUTED_VALUE"""),"")</f>
        <v/>
      </c>
      <c r="L6725" s="17" t="str">
        <f>IFERROR(__xludf.DUMMYFUNCTION("""COMPUTED_VALUE"""),"")</f>
        <v/>
      </c>
      <c r="M6725" s="17" t="str">
        <f>IFERROR(__xludf.DUMMYFUNCTION("""COMPUTED_VALUE"""),"")</f>
        <v/>
      </c>
      <c r="N6725" s="17" t="str">
        <f>IFERROR(__xludf.DUMMYFUNCTION("""COMPUTED_VALUE"""),"")</f>
        <v/>
      </c>
      <c r="O6725" s="17" t="str">
        <f>IFERROR(__xludf.DUMMYFUNCTION("""COMPUTED_VALUE"""),"")</f>
        <v/>
      </c>
      <c r="P6725" s="17" t="str">
        <f>IFERROR(__xludf.DUMMYFUNCTION("""COMPUTED_VALUE"""),"")</f>
        <v/>
      </c>
      <c r="Q6725" s="17" t="str">
        <f>IFERROR(__xludf.DUMMYFUNCTION("""COMPUTED_VALUE"""),"")</f>
        <v/>
      </c>
      <c r="R6725" s="17" t="str">
        <f>IFERROR(__xludf.DUMMYFUNCTION("""COMPUTED_VALUE"""),"")</f>
        <v/>
      </c>
    </row>
    <row r="6726">
      <c r="A6726" s="15">
        <f>IFERROR(__xludf.DUMMYFUNCTION("""COMPUTED_VALUE"""),45190.0)</f>
        <v>45190</v>
      </c>
      <c r="B6726" s="16" t="str">
        <f>IFERROR(__xludf.DUMMYFUNCTION("""COMPUTED_VALUE"""),"Julian Calderon Rodriguez ")</f>
        <v>Julian Calderon Rodriguez </v>
      </c>
      <c r="C6726" s="15" t="str">
        <f>IFERROR(__xludf.DUMMYFUNCTION("""COMPUTED_VALUE"""),"BOGOTÁ")</f>
        <v>BOGOTÁ</v>
      </c>
      <c r="D6726" s="15" t="str">
        <f>IFERROR(__xludf.DUMMYFUNCTION("""COMPUTED_VALUE"""),"MEDELLÍN")</f>
        <v>MEDELLÍN</v>
      </c>
      <c r="E6726" s="15" t="str">
        <f>IFERROR(__xludf.DUMMYFUNCTION("""COMPUTED_VALUE"""),"Puro Verde")</f>
        <v>Puro Verde</v>
      </c>
      <c r="F6726" s="17" t="str">
        <f>IFERROR(__xludf.DUMMYFUNCTION("""COMPUTED_VALUE"""),"CRA 16A # 77-23 / LOCAL 4 / BARRIO EL LAGO")</f>
        <v>CRA 16A # 77-23 / LOCAL 4 / BARRIO EL LAGO</v>
      </c>
      <c r="G6726" s="15" t="str">
        <f>IFERROR(__xludf.DUMMYFUNCTION("""COMPUTED_VALUE"""),"DANDO CUERDA")</f>
        <v>DANDO CUERDA</v>
      </c>
      <c r="H6726" s="16">
        <f>IFERROR(__xludf.DUMMYFUNCTION("""COMPUTED_VALUE"""),15429.0)</f>
        <v>15429</v>
      </c>
      <c r="I6726" s="18">
        <f>IFERROR(__xludf.DUMMYFUNCTION("""COMPUTED_VALUE"""),55.0)</f>
        <v>55</v>
      </c>
      <c r="J6726" s="18">
        <f>IFERROR(__xludf.DUMMYFUNCTION("""COMPUTED_VALUE"""),45.0)</f>
        <v>45</v>
      </c>
      <c r="K6726" s="18" t="str">
        <f>IFERROR(__xludf.DUMMYFUNCTION("""COMPUTED_VALUE"""),"52.5")</f>
        <v>52.5</v>
      </c>
      <c r="L6726" s="17">
        <f>IFERROR(__xludf.DUMMYFUNCTION("""COMPUTED_VALUE"""),3.163816691E9)</f>
        <v>3163816691</v>
      </c>
      <c r="M6726" s="17" t="str">
        <f>IFERROR(__xludf.DUMMYFUNCTION("""COMPUTED_VALUE"""),"#REF!")</f>
        <v>#REF!</v>
      </c>
      <c r="N6726" s="17"/>
      <c r="O6726" s="17"/>
      <c r="P6726" s="17" t="b">
        <f>IFERROR(__xludf.DUMMYFUNCTION("""COMPUTED_VALUE"""),TRUE)</f>
        <v>1</v>
      </c>
      <c r="Q6726" s="20">
        <f>IFERROR(__xludf.DUMMYFUNCTION("""COMPUTED_VALUE"""),45191.68515855324)</f>
        <v>45191.68516</v>
      </c>
      <c r="R6726" s="22" t="str">
        <f>IFERROR(__xludf.DUMMYFUNCTION("""COMPUTED_VALUE"""),"")</f>
        <v/>
      </c>
    </row>
    <row r="6727">
      <c r="A6727" s="15">
        <f>IFERROR(__xludf.DUMMYFUNCTION("""COMPUTED_VALUE"""),45190.0)</f>
        <v>45190</v>
      </c>
      <c r="B6727" s="16" t="str">
        <f>IFERROR(__xludf.DUMMYFUNCTION("""COMPUTED_VALUE"""),"Julian Calderon Rodriguez ")</f>
        <v>Julian Calderon Rodriguez </v>
      </c>
      <c r="C6727" s="15" t="str">
        <f>IFERROR(__xludf.DUMMYFUNCTION("""COMPUTED_VALUE"""),"NEIVA")</f>
        <v>NEIVA</v>
      </c>
      <c r="D6727" s="15" t="str">
        <f>IFERROR(__xludf.DUMMYFUNCTION("""COMPUTED_VALUE"""),"BOGOTÁ")</f>
        <v>BOGOTÁ</v>
      </c>
      <c r="E6727" s="15" t="str">
        <f>IFERROR(__xludf.DUMMYFUNCTION("""COMPUTED_VALUE"""),"Evamazzita")</f>
        <v>Evamazzita</v>
      </c>
      <c r="F6727" s="17" t="str">
        <f>IFERROR(__xludf.DUMMYFUNCTION("""COMPUTED_VALUE"""),"carrera 8F #33-68 / Cambulos")</f>
        <v>carrera 8F #33-68 / Cambulos</v>
      </c>
      <c r="G6727" s="15" t="str">
        <f>IFERROR(__xludf.DUMMYFUNCTION("""COMPUTED_VALUE"""),"LORENA PERDOMO")</f>
        <v>LORENA PERDOMO</v>
      </c>
      <c r="H6727" s="16">
        <f>IFERROR(__xludf.DUMMYFUNCTION("""COMPUTED_VALUE"""),15474.0)</f>
        <v>15474</v>
      </c>
      <c r="I6727" s="18">
        <f>IFERROR(__xludf.DUMMYFUNCTION("""COMPUTED_VALUE"""),1.0)</f>
        <v>1</v>
      </c>
      <c r="J6727" s="18">
        <f>IFERROR(__xludf.DUMMYFUNCTION("""COMPUTED_VALUE"""),1.0)</f>
        <v>1</v>
      </c>
      <c r="K6727" s="18">
        <f>IFERROR(__xludf.DUMMYFUNCTION("""COMPUTED_VALUE"""),1.0)</f>
        <v>1</v>
      </c>
      <c r="L6727" s="17">
        <f>IFERROR(__xludf.DUMMYFUNCTION("""COMPUTED_VALUE"""),3.208019287E9)</f>
        <v>3208019287</v>
      </c>
      <c r="M6727" s="17" t="str">
        <f>IFERROR(__xludf.DUMMYFUNCTION("""COMPUTED_VALUE"""),"#REF!")</f>
        <v>#REF!</v>
      </c>
      <c r="N6727" s="17"/>
      <c r="O6727" s="17"/>
      <c r="P6727" s="17" t="b">
        <f>IFERROR(__xludf.DUMMYFUNCTION("""COMPUTED_VALUE"""),TRUE)</f>
        <v>1</v>
      </c>
      <c r="Q6727" s="20">
        <f>IFERROR(__xludf.DUMMYFUNCTION("""COMPUTED_VALUE"""),45191.68204104167)</f>
        <v>45191.68204</v>
      </c>
      <c r="R6727" s="22" t="str">
        <f>IFERROR(__xludf.DUMMYFUNCTION("""COMPUTED_VALUE"""),"")</f>
        <v/>
      </c>
    </row>
    <row r="6728">
      <c r="A6728" s="15">
        <f>IFERROR(__xludf.DUMMYFUNCTION("""COMPUTED_VALUE"""),45190.0)</f>
        <v>45190</v>
      </c>
      <c r="B6728" s="16" t="str">
        <f>IFERROR(__xludf.DUMMYFUNCTION("""COMPUTED_VALUE"""),"Julian Calderon Rodriguez ")</f>
        <v>Julian Calderon Rodriguez </v>
      </c>
      <c r="C6728" s="15" t="str">
        <f>IFERROR(__xludf.DUMMYFUNCTION("""COMPUTED_VALUE"""),"VILLAVICENCIO")</f>
        <v>VILLAVICENCIO</v>
      </c>
      <c r="D6728" s="15" t="str">
        <f>IFERROR(__xludf.DUMMYFUNCTION("""COMPUTED_VALUE"""),"BOGOTÁ")</f>
        <v>BOGOTÁ</v>
      </c>
      <c r="E6728" s="15" t="str">
        <f>IFERROR(__xludf.DUMMYFUNCTION("""COMPUTED_VALUE"""),"Evamazzita")</f>
        <v>Evamazzita</v>
      </c>
      <c r="F6728" s="17" t="str">
        <f>IFERROR(__xludf.DUMMYFUNCTION("""COMPUTED_VALUE"""),"CALLE 47 BIS No. 28 - 55 / CAUDAL ORIENTAL")</f>
        <v>CALLE 47 BIS No. 28 - 55 / CAUDAL ORIENTAL</v>
      </c>
      <c r="G6728" s="15" t="str">
        <f>IFERROR(__xludf.DUMMYFUNCTION("""COMPUTED_VALUE"""),"ADRIANA LONDOÑO GUATEQUE")</f>
        <v>ADRIANA LONDOÑO GUATEQUE</v>
      </c>
      <c r="H6728" s="16">
        <f>IFERROR(__xludf.DUMMYFUNCTION("""COMPUTED_VALUE"""),15489.0)</f>
        <v>15489</v>
      </c>
      <c r="I6728" s="18">
        <f>IFERROR(__xludf.DUMMYFUNCTION("""COMPUTED_VALUE"""),1.0)</f>
        <v>1</v>
      </c>
      <c r="J6728" s="18">
        <f>IFERROR(__xludf.DUMMYFUNCTION("""COMPUTED_VALUE"""),1.0)</f>
        <v>1</v>
      </c>
      <c r="K6728" s="18">
        <f>IFERROR(__xludf.DUMMYFUNCTION("""COMPUTED_VALUE"""),1.0)</f>
        <v>1</v>
      </c>
      <c r="L6728" s="17">
        <f>IFERROR(__xludf.DUMMYFUNCTION("""COMPUTED_VALUE"""),3.12434977E9)</f>
        <v>3124349770</v>
      </c>
      <c r="M6728" s="17" t="str">
        <f>IFERROR(__xludf.DUMMYFUNCTION("""COMPUTED_VALUE"""),"#REF!")</f>
        <v>#REF!</v>
      </c>
      <c r="N6728" s="17"/>
      <c r="O6728" s="17"/>
      <c r="P6728" s="17" t="b">
        <f>IFERROR(__xludf.DUMMYFUNCTION("""COMPUTED_VALUE"""),TRUE)</f>
        <v>1</v>
      </c>
      <c r="Q6728" s="20">
        <f>IFERROR(__xludf.DUMMYFUNCTION("""COMPUTED_VALUE"""),45191.68086361111)</f>
        <v>45191.68086</v>
      </c>
      <c r="R6728" s="21" t="str">
        <f>IFERROR(__xludf.DUMMYFUNCTION("""COMPUTED_VALUE"""),"https://drive.google.com/file/d/1PnoSalpUTA7PrKcTvCQXTvN2glDqo2T6/view?usp=drivesdk")</f>
        <v>https://drive.google.com/file/d/1PnoSalpUTA7PrKcTvCQXTvN2glDqo2T6/view?usp=drivesdk</v>
      </c>
    </row>
    <row r="6729">
      <c r="A6729" s="17" t="str">
        <f>IFERROR(__xludf.DUMMYFUNCTION("""COMPUTED_VALUE"""),"")</f>
        <v/>
      </c>
      <c r="B6729" s="17" t="str">
        <f>IFERROR(__xludf.DUMMYFUNCTION("""COMPUTED_VALUE"""),"")</f>
        <v/>
      </c>
      <c r="C6729" s="17" t="str">
        <f>IFERROR(__xludf.DUMMYFUNCTION("""COMPUTED_VALUE"""),"")</f>
        <v/>
      </c>
      <c r="D6729" s="17" t="str">
        <f>IFERROR(__xludf.DUMMYFUNCTION("""COMPUTED_VALUE"""),"")</f>
        <v/>
      </c>
      <c r="E6729" s="17" t="str">
        <f>IFERROR(__xludf.DUMMYFUNCTION("""COMPUTED_VALUE"""),"")</f>
        <v/>
      </c>
      <c r="F6729" s="17" t="str">
        <f>IFERROR(__xludf.DUMMYFUNCTION("""COMPUTED_VALUE"""),"")</f>
        <v/>
      </c>
      <c r="G6729" s="17" t="str">
        <f>IFERROR(__xludf.DUMMYFUNCTION("""COMPUTED_VALUE"""),"")</f>
        <v/>
      </c>
      <c r="H6729" s="17" t="str">
        <f>IFERROR(__xludf.DUMMYFUNCTION("""COMPUTED_VALUE"""),"")</f>
        <v/>
      </c>
      <c r="I6729" s="17" t="str">
        <f>IFERROR(__xludf.DUMMYFUNCTION("""COMPUTED_VALUE"""),"")</f>
        <v/>
      </c>
      <c r="J6729" s="17" t="str">
        <f>IFERROR(__xludf.DUMMYFUNCTION("""COMPUTED_VALUE"""),"")</f>
        <v/>
      </c>
      <c r="K6729" s="17" t="str">
        <f>IFERROR(__xludf.DUMMYFUNCTION("""COMPUTED_VALUE"""),"")</f>
        <v/>
      </c>
      <c r="L6729" s="17" t="str">
        <f>IFERROR(__xludf.DUMMYFUNCTION("""COMPUTED_VALUE"""),"")</f>
        <v/>
      </c>
      <c r="M6729" s="17" t="str">
        <f>IFERROR(__xludf.DUMMYFUNCTION("""COMPUTED_VALUE"""),"")</f>
        <v/>
      </c>
      <c r="N6729" s="17" t="str">
        <f>IFERROR(__xludf.DUMMYFUNCTION("""COMPUTED_VALUE"""),"")</f>
        <v/>
      </c>
      <c r="O6729" s="17" t="str">
        <f>IFERROR(__xludf.DUMMYFUNCTION("""COMPUTED_VALUE"""),"")</f>
        <v/>
      </c>
      <c r="P6729" s="17" t="str">
        <f>IFERROR(__xludf.DUMMYFUNCTION("""COMPUTED_VALUE"""),"")</f>
        <v/>
      </c>
      <c r="Q6729" s="17" t="str">
        <f>IFERROR(__xludf.DUMMYFUNCTION("""COMPUTED_VALUE"""),"")</f>
        <v/>
      </c>
      <c r="R6729" s="17" t="str">
        <f>IFERROR(__xludf.DUMMYFUNCTION("""COMPUTED_VALUE"""),"")</f>
        <v/>
      </c>
    </row>
    <row r="6730">
      <c r="A6730" s="15">
        <f>IFERROR(__xludf.DUMMYFUNCTION("""COMPUTED_VALUE"""),45190.0)</f>
        <v>45190</v>
      </c>
      <c r="B6730" s="16" t="str">
        <f>IFERROR(__xludf.DUMMYFUNCTION("""COMPUTED_VALUE"""),"Santiago Garces Restrepo")</f>
        <v>Santiago Garces Restrepo</v>
      </c>
      <c r="C6730" s="15" t="str">
        <f>IFERROR(__xludf.DUMMYFUNCTION("""COMPUTED_VALUE"""),"FLORIDABLANCA")</f>
        <v>FLORIDABLANCA</v>
      </c>
      <c r="D6730" s="15" t="str">
        <f>IFERROR(__xludf.DUMMYFUNCTION("""COMPUTED_VALUE"""),"BOGOTÁ")</f>
        <v>BOGOTÁ</v>
      </c>
      <c r="E6730" s="15" t="str">
        <f>IFERROR(__xludf.DUMMYFUNCTION("""COMPUTED_VALUE"""),"Evamazzita")</f>
        <v>Evamazzita</v>
      </c>
      <c r="F6730" s="17" t="str">
        <f>IFERROR(__xludf.DUMMYFUNCTION("""COMPUTED_VALUE"""),"Calle 30a 23-95 / parque central cañaveral torre:2 apt:1404 floridablanca Santander")</f>
        <v>Calle 30a 23-95 / parque central cañaveral torre:2 apt:1404 floridablanca Santander</v>
      </c>
      <c r="G6730" s="15" t="str">
        <f>IFERROR(__xludf.DUMMYFUNCTION("""COMPUTED_VALUE"""),"SONIA PATRICIA SUAREZ")</f>
        <v>SONIA PATRICIA SUAREZ</v>
      </c>
      <c r="H6730" s="16">
        <f>IFERROR(__xludf.DUMMYFUNCTION("""COMPUTED_VALUE"""),15487.0)</f>
        <v>15487</v>
      </c>
      <c r="I6730" s="18">
        <f>IFERROR(__xludf.DUMMYFUNCTION("""COMPUTED_VALUE"""),1.0)</f>
        <v>1</v>
      </c>
      <c r="J6730" s="18">
        <f>IFERROR(__xludf.DUMMYFUNCTION("""COMPUTED_VALUE"""),1.0)</f>
        <v>1</v>
      </c>
      <c r="K6730" s="18">
        <f>IFERROR(__xludf.DUMMYFUNCTION("""COMPUTED_VALUE"""),1.0)</f>
        <v>1</v>
      </c>
      <c r="L6730" s="17">
        <f>IFERROR(__xludf.DUMMYFUNCTION("""COMPUTED_VALUE"""),3.005167857E9)</f>
        <v>3005167857</v>
      </c>
      <c r="M6730" s="17" t="str">
        <f>IFERROR(__xludf.DUMMYFUNCTION("""COMPUTED_VALUE"""),"#REF!")</f>
        <v>#REF!</v>
      </c>
      <c r="N6730" s="17"/>
      <c r="O6730" s="17"/>
      <c r="P6730" s="17" t="b">
        <f>IFERROR(__xludf.DUMMYFUNCTION("""COMPUTED_VALUE"""),TRUE)</f>
        <v>1</v>
      </c>
      <c r="Q6730" s="20">
        <f>IFERROR(__xludf.DUMMYFUNCTION("""COMPUTED_VALUE"""),45191.67725971065)</f>
        <v>45191.67726</v>
      </c>
      <c r="R6730" s="22" t="str">
        <f>IFERROR(__xludf.DUMMYFUNCTION("""COMPUTED_VALUE"""),"")</f>
        <v/>
      </c>
    </row>
    <row r="6731">
      <c r="A6731" s="15">
        <f>IFERROR(__xludf.DUMMYFUNCTION("""COMPUTED_VALUE"""),45190.0)</f>
        <v>45190</v>
      </c>
      <c r="B6731" s="16" t="str">
        <f>IFERROR(__xludf.DUMMYFUNCTION("""COMPUTED_VALUE"""),"Santiago Garces Restrepo")</f>
        <v>Santiago Garces Restrepo</v>
      </c>
      <c r="C6731" s="15" t="str">
        <f>IFERROR(__xludf.DUMMYFUNCTION("""COMPUTED_VALUE"""),"SINCELEJO")</f>
        <v>SINCELEJO</v>
      </c>
      <c r="D6731" s="15" t="str">
        <f>IFERROR(__xludf.DUMMYFUNCTION("""COMPUTED_VALUE"""),"MEDELLÍN")</f>
        <v>MEDELLÍN</v>
      </c>
      <c r="E6731" s="15" t="str">
        <f>IFERROR(__xludf.DUMMYFUNCTION("""COMPUTED_VALUE"""),"Helados swip")</f>
        <v>Helados swip</v>
      </c>
      <c r="F6731" s="17" t="str">
        <f>IFERROR(__xludf.DUMMYFUNCTION("""COMPUTED_VALUE"""),"CALLE 11 C # 25-127  / LOCAL 101 / BARRIO LA PALMA")</f>
        <v>CALLE 11 C # 25-127  / LOCAL 101 / BARRIO LA PALMA</v>
      </c>
      <c r="G6731" s="15" t="str">
        <f>IFERROR(__xludf.DUMMYFUNCTION("""COMPUTED_VALUE"""),"PISTACHO MERCADO SALUDABLE")</f>
        <v>PISTACHO MERCADO SALUDABLE</v>
      </c>
      <c r="H6731" s="16">
        <f>IFERROR(__xludf.DUMMYFUNCTION("""COMPUTED_VALUE"""),15456.0)</f>
        <v>15456</v>
      </c>
      <c r="I6731" s="18">
        <f>IFERROR(__xludf.DUMMYFUNCTION("""COMPUTED_VALUE"""),50.0)</f>
        <v>50</v>
      </c>
      <c r="J6731" s="18">
        <f>IFERROR(__xludf.DUMMYFUNCTION("""COMPUTED_VALUE"""),30.0)</f>
        <v>30</v>
      </c>
      <c r="K6731" s="18">
        <f>IFERROR(__xludf.DUMMYFUNCTION("""COMPUTED_VALUE"""),21.0)</f>
        <v>21</v>
      </c>
      <c r="L6731" s="17">
        <f>IFERROR(__xludf.DUMMYFUNCTION("""COMPUTED_VALUE"""),3.003668284E9)</f>
        <v>3003668284</v>
      </c>
      <c r="M6731" s="17" t="str">
        <f>IFERROR(__xludf.DUMMYFUNCTION("""COMPUTED_VALUE"""),"#REF!")</f>
        <v>#REF!</v>
      </c>
      <c r="N6731" s="17"/>
      <c r="O6731" s="17"/>
      <c r="P6731" s="17" t="b">
        <f>IFERROR(__xludf.DUMMYFUNCTION("""COMPUTED_VALUE"""),TRUE)</f>
        <v>1</v>
      </c>
      <c r="Q6731" s="20">
        <f>IFERROR(__xludf.DUMMYFUNCTION("""COMPUTED_VALUE"""),45191.676844155096)</f>
        <v>45191.67684</v>
      </c>
      <c r="R6731" s="22" t="str">
        <f>IFERROR(__xludf.DUMMYFUNCTION("""COMPUTED_VALUE"""),"")</f>
        <v/>
      </c>
    </row>
    <row r="6732">
      <c r="A6732" s="17" t="str">
        <f>IFERROR(__xludf.DUMMYFUNCTION("""COMPUTED_VALUE"""),"")</f>
        <v/>
      </c>
      <c r="B6732" s="17" t="str">
        <f>IFERROR(__xludf.DUMMYFUNCTION("""COMPUTED_VALUE"""),"")</f>
        <v/>
      </c>
      <c r="C6732" s="17" t="str">
        <f>IFERROR(__xludf.DUMMYFUNCTION("""COMPUTED_VALUE"""),"")</f>
        <v/>
      </c>
      <c r="D6732" s="17" t="str">
        <f>IFERROR(__xludf.DUMMYFUNCTION("""COMPUTED_VALUE"""),"")</f>
        <v/>
      </c>
      <c r="E6732" s="17" t="str">
        <f>IFERROR(__xludf.DUMMYFUNCTION("""COMPUTED_VALUE"""),"")</f>
        <v/>
      </c>
      <c r="F6732" s="17" t="str">
        <f>IFERROR(__xludf.DUMMYFUNCTION("""COMPUTED_VALUE"""),"")</f>
        <v/>
      </c>
      <c r="G6732" s="17" t="str">
        <f>IFERROR(__xludf.DUMMYFUNCTION("""COMPUTED_VALUE"""),"")</f>
        <v/>
      </c>
      <c r="H6732" s="17" t="str">
        <f>IFERROR(__xludf.DUMMYFUNCTION("""COMPUTED_VALUE"""),"")</f>
        <v/>
      </c>
      <c r="I6732" s="17" t="str">
        <f>IFERROR(__xludf.DUMMYFUNCTION("""COMPUTED_VALUE"""),"")</f>
        <v/>
      </c>
      <c r="J6732" s="17" t="str">
        <f>IFERROR(__xludf.DUMMYFUNCTION("""COMPUTED_VALUE"""),"")</f>
        <v/>
      </c>
      <c r="K6732" s="17" t="str">
        <f>IFERROR(__xludf.DUMMYFUNCTION("""COMPUTED_VALUE"""),"")</f>
        <v/>
      </c>
      <c r="L6732" s="17" t="str">
        <f>IFERROR(__xludf.DUMMYFUNCTION("""COMPUTED_VALUE"""),"")</f>
        <v/>
      </c>
      <c r="M6732" s="17" t="str">
        <f>IFERROR(__xludf.DUMMYFUNCTION("""COMPUTED_VALUE"""),"")</f>
        <v/>
      </c>
      <c r="N6732" s="17" t="str">
        <f>IFERROR(__xludf.DUMMYFUNCTION("""COMPUTED_VALUE"""),"")</f>
        <v/>
      </c>
      <c r="O6732" s="17" t="str">
        <f>IFERROR(__xludf.DUMMYFUNCTION("""COMPUTED_VALUE"""),"")</f>
        <v/>
      </c>
      <c r="P6732" s="17" t="str">
        <f>IFERROR(__xludf.DUMMYFUNCTION("""COMPUTED_VALUE"""),"")</f>
        <v/>
      </c>
      <c r="Q6732" s="17" t="str">
        <f>IFERROR(__xludf.DUMMYFUNCTION("""COMPUTED_VALUE"""),"")</f>
        <v/>
      </c>
      <c r="R6732" s="17" t="str">
        <f>IFERROR(__xludf.DUMMYFUNCTION("""COMPUTED_VALUE"""),"")</f>
        <v/>
      </c>
    </row>
    <row r="6733">
      <c r="A6733" s="15">
        <f>IFERROR(__xludf.DUMMYFUNCTION("""COMPUTED_VALUE"""),45191.0)</f>
        <v>45191</v>
      </c>
      <c r="B6733" s="17"/>
      <c r="C6733" s="15" t="str">
        <f>IFERROR(__xludf.DUMMYFUNCTION("""COMPUTED_VALUE"""),"BARRANQUILLA")</f>
        <v>BARRANQUILLA</v>
      </c>
      <c r="D6733" s="15" t="str">
        <f>IFERROR(__xludf.DUMMYFUNCTION("""COMPUTED_VALUE"""),"BOGOTÁ")</f>
        <v>BOGOTÁ</v>
      </c>
      <c r="E6733" s="15" t="str">
        <f>IFERROR(__xludf.DUMMYFUNCTION("""COMPUTED_VALUE"""),"Evamazzita")</f>
        <v>Evamazzita</v>
      </c>
      <c r="F6733" s="17" t="str">
        <f>IFERROR(__xludf.DUMMYFUNCTION("""COMPUTED_VALUE"""),"CR 42 # 79 27 / EDIFICO PABLA APTO 1A")</f>
        <v>CR 42 # 79 27 / EDIFICO PABLA APTO 1A</v>
      </c>
      <c r="G6733" s="15" t="str">
        <f>IFERROR(__xludf.DUMMYFUNCTION("""COMPUTED_VALUE"""),"KEYLA ORTIZ VIZCAINO")</f>
        <v>KEYLA ORTIZ VIZCAINO</v>
      </c>
      <c r="H6733" s="16">
        <f>IFERROR(__xludf.DUMMYFUNCTION("""COMPUTED_VALUE"""),15469.0)</f>
        <v>15469</v>
      </c>
      <c r="I6733" s="18">
        <f>IFERROR(__xludf.DUMMYFUNCTION("""COMPUTED_VALUE"""),1.0)</f>
        <v>1</v>
      </c>
      <c r="J6733" s="18">
        <f>IFERROR(__xludf.DUMMYFUNCTION("""COMPUTED_VALUE"""),1.0)</f>
        <v>1</v>
      </c>
      <c r="K6733" s="18">
        <f>IFERROR(__xludf.DUMMYFUNCTION("""COMPUTED_VALUE"""),1.0)</f>
        <v>1</v>
      </c>
      <c r="L6733" s="17">
        <f>IFERROR(__xludf.DUMMYFUNCTION("""COMPUTED_VALUE"""),3.122766378E9)</f>
        <v>3122766378</v>
      </c>
      <c r="M6733" s="17" t="str">
        <f>IFERROR(__xludf.DUMMYFUNCTION("""COMPUTED_VALUE"""),"#REF!")</f>
        <v>#REF!</v>
      </c>
      <c r="N6733" s="17"/>
      <c r="O6733" s="17"/>
      <c r="P6733" s="17" t="b">
        <f>IFERROR(__xludf.DUMMYFUNCTION("""COMPUTED_VALUE"""),TRUE)</f>
        <v>1</v>
      </c>
      <c r="Q6733" s="20">
        <f>IFERROR(__xludf.DUMMYFUNCTION("""COMPUTED_VALUE"""),45191.685270671296)</f>
        <v>45191.68527</v>
      </c>
      <c r="R6733" s="21" t="str">
        <f>IFERROR(__xludf.DUMMYFUNCTION("""COMPUTED_VALUE"""),"https://drive.google.com/file/d/15Cp9mPtPcOjKQz2EGI1IfX30OWCdQM_6/view?usp=drivesdk")</f>
        <v>https://drive.google.com/file/d/15Cp9mPtPcOjKQz2EGI1IfX30OWCdQM_6/view?usp=drivesdk</v>
      </c>
    </row>
    <row r="6734">
      <c r="A6734" s="15">
        <f>IFERROR(__xludf.DUMMYFUNCTION("""COMPUTED_VALUE"""),45191.0)</f>
        <v>45191</v>
      </c>
      <c r="B6734" s="17"/>
      <c r="C6734" s="15" t="str">
        <f>IFERROR(__xludf.DUMMYFUNCTION("""COMPUTED_VALUE"""),"BOGOTÁ")</f>
        <v>BOGOTÁ</v>
      </c>
      <c r="D6734" s="15" t="str">
        <f>IFERROR(__xludf.DUMMYFUNCTION("""COMPUTED_VALUE"""),"MEDELLÍN")</f>
        <v>MEDELLÍN</v>
      </c>
      <c r="E6734" s="15" t="str">
        <f>IFERROR(__xludf.DUMMYFUNCTION("""COMPUTED_VALUE"""),"Outdoors")</f>
        <v>Outdoors</v>
      </c>
      <c r="F6734" s="17" t="str">
        <f>IFERROR(__xludf.DUMMYFUNCTION("""COMPUTED_VALUE"""),"Carrera 13 # 81 - 24 Piso 3 / Edificio Gris Salvatore Ferragamo / N/A")</f>
        <v>Carrera 13 # 81 - 24 Piso 3 / Edificio Gris Salvatore Ferragamo / N/A</v>
      </c>
      <c r="G6734" s="15" t="str">
        <f>IFERROR(__xludf.DUMMYFUNCTION("""COMPUTED_VALUE"""),"Daniela Rendon Mejia")</f>
        <v>Daniela Rendon Mejia</v>
      </c>
      <c r="H6734" s="16">
        <f>IFERROR(__xludf.DUMMYFUNCTION("""COMPUTED_VALUE"""),15532.0)</f>
        <v>15532</v>
      </c>
      <c r="I6734" s="18">
        <f>IFERROR(__xludf.DUMMYFUNCTION("""COMPUTED_VALUE"""),20.0)</f>
        <v>20</v>
      </c>
      <c r="J6734" s="18">
        <f>IFERROR(__xludf.DUMMYFUNCTION("""COMPUTED_VALUE"""),40.0)</f>
        <v>40</v>
      </c>
      <c r="K6734" s="18">
        <f>IFERROR(__xludf.DUMMYFUNCTION("""COMPUTED_VALUE"""),30.0)</f>
        <v>30</v>
      </c>
      <c r="L6734" s="17">
        <f>IFERROR(__xludf.DUMMYFUNCTION("""COMPUTED_VALUE"""),3.216675601E9)</f>
        <v>3216675601</v>
      </c>
      <c r="M6734" s="17" t="str">
        <f>IFERROR(__xludf.DUMMYFUNCTION("""COMPUTED_VALUE"""),"#REF!")</f>
        <v>#REF!</v>
      </c>
      <c r="N6734" s="17"/>
      <c r="O6734" s="17"/>
      <c r="P6734" s="17" t="b">
        <f>IFERROR(__xludf.DUMMYFUNCTION("""COMPUTED_VALUE"""),TRUE)</f>
        <v>1</v>
      </c>
      <c r="Q6734" s="20">
        <f>IFERROR(__xludf.DUMMYFUNCTION("""COMPUTED_VALUE"""),45191.6845278588)</f>
        <v>45191.68453</v>
      </c>
      <c r="R6734" s="22" t="str">
        <f>IFERROR(__xludf.DUMMYFUNCTION("""COMPUTED_VALUE"""),"")</f>
        <v/>
      </c>
    </row>
    <row r="6735">
      <c r="A6735" s="15">
        <f>IFERROR(__xludf.DUMMYFUNCTION("""COMPUTED_VALUE"""),45191.0)</f>
        <v>45191</v>
      </c>
      <c r="B6735" s="17"/>
      <c r="C6735" s="15" t="str">
        <f>IFERROR(__xludf.DUMMYFUNCTION("""COMPUTED_VALUE"""),"CALI")</f>
        <v>CALI</v>
      </c>
      <c r="D6735" s="15" t="str">
        <f>IFERROR(__xludf.DUMMYFUNCTION("""COMPUTED_VALUE"""),"BOGOTÁ")</f>
        <v>BOGOTÁ</v>
      </c>
      <c r="E6735" s="15" t="str">
        <f>IFERROR(__xludf.DUMMYFUNCTION("""COMPUTED_VALUE"""),"Olü")</f>
        <v>Olü</v>
      </c>
      <c r="F6735" s="17" t="str">
        <f>IFERROR(__xludf.DUMMYFUNCTION("""COMPUTED_VALUE"""),"Calle 16 # 85-10  / Local 102 / Barrio Ingenio")</f>
        <v>Calle 16 # 85-10  / Local 102 / Barrio Ingenio</v>
      </c>
      <c r="G6735" s="15" t="str">
        <f>IFERROR(__xludf.DUMMYFUNCTION("""COMPUTED_VALUE"""),"Jessica Guerrero")</f>
        <v>Jessica Guerrero</v>
      </c>
      <c r="H6735" s="16">
        <f>IFERROR(__xludf.DUMMYFUNCTION("""COMPUTED_VALUE"""),15516.0)</f>
        <v>15516</v>
      </c>
      <c r="I6735" s="18">
        <f>IFERROR(__xludf.DUMMYFUNCTION("""COMPUTED_VALUE"""),1.0)</f>
        <v>1</v>
      </c>
      <c r="J6735" s="18">
        <f>IFERROR(__xludf.DUMMYFUNCTION("""COMPUTED_VALUE"""),1.0)</f>
        <v>1</v>
      </c>
      <c r="K6735" s="18">
        <f>IFERROR(__xludf.DUMMYFUNCTION("""COMPUTED_VALUE"""),1.0)</f>
        <v>1</v>
      </c>
      <c r="L6735" s="17">
        <f>IFERROR(__xludf.DUMMYFUNCTION("""COMPUTED_VALUE"""),3.112664694E9)</f>
        <v>3112664694</v>
      </c>
      <c r="M6735" s="17" t="str">
        <f>IFERROR(__xludf.DUMMYFUNCTION("""COMPUTED_VALUE"""),"#REF!")</f>
        <v>#REF!</v>
      </c>
      <c r="N6735" s="17"/>
      <c r="O6735" s="17"/>
      <c r="P6735" s="17" t="b">
        <f>IFERROR(__xludf.DUMMYFUNCTION("""COMPUTED_VALUE"""),TRUE)</f>
        <v>1</v>
      </c>
      <c r="Q6735" s="20">
        <f>IFERROR(__xludf.DUMMYFUNCTION("""COMPUTED_VALUE"""),45191.67555189815)</f>
        <v>45191.67555</v>
      </c>
      <c r="R6735" s="22" t="str">
        <f>IFERROR(__xludf.DUMMYFUNCTION("""COMPUTED_VALUE"""),"")</f>
        <v/>
      </c>
    </row>
    <row r="6736">
      <c r="A6736" s="17" t="str">
        <f>IFERROR(__xludf.DUMMYFUNCTION("""COMPUTED_VALUE"""),"")</f>
        <v/>
      </c>
      <c r="B6736" s="17" t="str">
        <f>IFERROR(__xludf.DUMMYFUNCTION("""COMPUTED_VALUE"""),"")</f>
        <v/>
      </c>
      <c r="C6736" s="17" t="str">
        <f>IFERROR(__xludf.DUMMYFUNCTION("""COMPUTED_VALUE"""),"")</f>
        <v/>
      </c>
      <c r="D6736" s="17" t="str">
        <f>IFERROR(__xludf.DUMMYFUNCTION("""COMPUTED_VALUE"""),"")</f>
        <v/>
      </c>
      <c r="E6736" s="17" t="str">
        <f>IFERROR(__xludf.DUMMYFUNCTION("""COMPUTED_VALUE"""),"")</f>
        <v/>
      </c>
      <c r="F6736" s="17" t="str">
        <f>IFERROR(__xludf.DUMMYFUNCTION("""COMPUTED_VALUE"""),"")</f>
        <v/>
      </c>
      <c r="G6736" s="17" t="str">
        <f>IFERROR(__xludf.DUMMYFUNCTION("""COMPUTED_VALUE"""),"")</f>
        <v/>
      </c>
      <c r="H6736" s="17" t="str">
        <f>IFERROR(__xludf.DUMMYFUNCTION("""COMPUTED_VALUE"""),"")</f>
        <v/>
      </c>
      <c r="I6736" s="17" t="str">
        <f>IFERROR(__xludf.DUMMYFUNCTION("""COMPUTED_VALUE"""),"")</f>
        <v/>
      </c>
      <c r="J6736" s="17" t="str">
        <f>IFERROR(__xludf.DUMMYFUNCTION("""COMPUTED_VALUE"""),"")</f>
        <v/>
      </c>
      <c r="K6736" s="17" t="str">
        <f>IFERROR(__xludf.DUMMYFUNCTION("""COMPUTED_VALUE"""),"")</f>
        <v/>
      </c>
      <c r="L6736" s="17" t="str">
        <f>IFERROR(__xludf.DUMMYFUNCTION("""COMPUTED_VALUE"""),"")</f>
        <v/>
      </c>
      <c r="M6736" s="17" t="str">
        <f>IFERROR(__xludf.DUMMYFUNCTION("""COMPUTED_VALUE"""),"")</f>
        <v/>
      </c>
      <c r="N6736" s="17" t="str">
        <f>IFERROR(__xludf.DUMMYFUNCTION("""COMPUTED_VALUE"""),"")</f>
        <v/>
      </c>
      <c r="O6736" s="17" t="str">
        <f>IFERROR(__xludf.DUMMYFUNCTION("""COMPUTED_VALUE"""),"")</f>
        <v/>
      </c>
      <c r="P6736" s="17" t="str">
        <f>IFERROR(__xludf.DUMMYFUNCTION("""COMPUTED_VALUE"""),"")</f>
        <v/>
      </c>
      <c r="Q6736" s="17" t="str">
        <f>IFERROR(__xludf.DUMMYFUNCTION("""COMPUTED_VALUE"""),"")</f>
        <v/>
      </c>
      <c r="R6736" s="17" t="str">
        <f>IFERROR(__xludf.DUMMYFUNCTION("""COMPUTED_VALUE"""),"")</f>
        <v/>
      </c>
    </row>
    <row r="6737">
      <c r="A6737" s="15">
        <f>IFERROR(__xludf.DUMMYFUNCTION("""COMPUTED_VALUE"""),45191.0)</f>
        <v>45191</v>
      </c>
      <c r="B6737" s="16" t="str">
        <f>IFERROR(__xludf.DUMMYFUNCTION("""COMPUTED_VALUE"""),"Angie Daniela Meneses ")</f>
        <v>Angie Daniela Meneses </v>
      </c>
      <c r="C6737" s="15" t="str">
        <f>IFERROR(__xludf.DUMMYFUNCTION("""COMPUTED_VALUE"""),"YOPAL")</f>
        <v>YOPAL</v>
      </c>
      <c r="D6737" s="15" t="str">
        <f>IFERROR(__xludf.DUMMYFUNCTION("""COMPUTED_VALUE"""),"BOGOTÁ")</f>
        <v>BOGOTÁ</v>
      </c>
      <c r="E6737" s="15" t="str">
        <f>IFERROR(__xludf.DUMMYFUNCTION("""COMPUTED_VALUE"""),"Evamazzita")</f>
        <v>Evamazzita</v>
      </c>
      <c r="F6737" s="17" t="str">
        <f>IFERROR(__xludf.DUMMYFUNCTION("""COMPUTED_VALUE"""),"TRANSV 18 No. 10 - 32 CENTRO / CENTRO")</f>
        <v>TRANSV 18 No. 10 - 32 CENTRO / CENTRO</v>
      </c>
      <c r="G6737" s="15" t="str">
        <f>IFERROR(__xludf.DUMMYFUNCTION("""COMPUTED_VALUE"""),"YINETH IZQUIERDO")</f>
        <v>YINETH IZQUIERDO</v>
      </c>
      <c r="H6737" s="16">
        <f>IFERROR(__xludf.DUMMYFUNCTION("""COMPUTED_VALUE"""),15490.0)</f>
        <v>15490</v>
      </c>
      <c r="I6737" s="18">
        <f>IFERROR(__xludf.DUMMYFUNCTION("""COMPUTED_VALUE"""),1.0)</f>
        <v>1</v>
      </c>
      <c r="J6737" s="18">
        <f>IFERROR(__xludf.DUMMYFUNCTION("""COMPUTED_VALUE"""),1.0)</f>
        <v>1</v>
      </c>
      <c r="K6737" s="18">
        <f>IFERROR(__xludf.DUMMYFUNCTION("""COMPUTED_VALUE"""),1.0)</f>
        <v>1</v>
      </c>
      <c r="L6737" s="17">
        <f>IFERROR(__xludf.DUMMYFUNCTION("""COMPUTED_VALUE"""),3.124537394E9)</f>
        <v>3124537394</v>
      </c>
      <c r="M6737" s="17" t="str">
        <f>IFERROR(__xludf.DUMMYFUNCTION("""COMPUTED_VALUE"""),"#REF!")</f>
        <v>#REF!</v>
      </c>
      <c r="N6737" s="17"/>
      <c r="O6737" s="17"/>
      <c r="P6737" s="17" t="b">
        <f>IFERROR(__xludf.DUMMYFUNCTION("""COMPUTED_VALUE"""),TRUE)</f>
        <v>1</v>
      </c>
      <c r="Q6737" s="20">
        <f>IFERROR(__xludf.DUMMYFUNCTION("""COMPUTED_VALUE"""),45191.68008020833)</f>
        <v>45191.68008</v>
      </c>
      <c r="R6737" s="22" t="str">
        <f>IFERROR(__xludf.DUMMYFUNCTION("""COMPUTED_VALUE"""),"")</f>
        <v/>
      </c>
    </row>
    <row r="6738">
      <c r="A6738" s="15">
        <f>IFERROR(__xludf.DUMMYFUNCTION("""COMPUTED_VALUE"""),45191.0)</f>
        <v>45191</v>
      </c>
      <c r="B6738" s="16" t="str">
        <f>IFERROR(__xludf.DUMMYFUNCTION("""COMPUTED_VALUE"""),"Angie Daniela Meneses ")</f>
        <v>Angie Daniela Meneses </v>
      </c>
      <c r="C6738" s="15" t="str">
        <f>IFERROR(__xludf.DUMMYFUNCTION("""COMPUTED_VALUE"""),"YOPAL")</f>
        <v>YOPAL</v>
      </c>
      <c r="D6738" s="15" t="str">
        <f>IFERROR(__xludf.DUMMYFUNCTION("""COMPUTED_VALUE"""),"BOGOTÁ")</f>
        <v>BOGOTÁ</v>
      </c>
      <c r="E6738" s="15" t="str">
        <f>IFERROR(__xludf.DUMMYFUNCTION("""COMPUTED_VALUE"""),"Lunchy Kids")</f>
        <v>Lunchy Kids</v>
      </c>
      <c r="F6738" s="17" t="str">
        <f>IFERROR(__xludf.DUMMYFUNCTION("""COMPUTED_VALUE"""),"Calle 21 # 11 - 50  / Casa Segundo Piso   / Yopal CAS Colombia")</f>
        <v>Calle 21 # 11 - 50  / Casa Segundo Piso   / Yopal CAS Colombia</v>
      </c>
      <c r="G6738" s="15" t="str">
        <f>IFERROR(__xludf.DUMMYFUNCTION("""COMPUTED_VALUE"""),"Luz Maria Castro")</f>
        <v>Luz Maria Castro</v>
      </c>
      <c r="H6738" s="16">
        <f>IFERROR(__xludf.DUMMYFUNCTION("""COMPUTED_VALUE"""),15305.0)</f>
        <v>15305</v>
      </c>
      <c r="I6738" s="18">
        <f>IFERROR(__xludf.DUMMYFUNCTION("""COMPUTED_VALUE"""),19.0)</f>
        <v>19</v>
      </c>
      <c r="J6738" s="18">
        <f>IFERROR(__xludf.DUMMYFUNCTION("""COMPUTED_VALUE"""),15.0)</f>
        <v>15</v>
      </c>
      <c r="K6738" s="18">
        <f>IFERROR(__xludf.DUMMYFUNCTION("""COMPUTED_VALUE"""),29.0)</f>
        <v>29</v>
      </c>
      <c r="L6738" s="17">
        <f>IFERROR(__xludf.DUMMYFUNCTION("""COMPUTED_VALUE"""),3.143135871E9)</f>
        <v>3143135871</v>
      </c>
      <c r="M6738" s="17" t="str">
        <f>IFERROR(__xludf.DUMMYFUNCTION("""COMPUTED_VALUE"""),"#REF!")</f>
        <v>#REF!</v>
      </c>
      <c r="N6738" s="17"/>
      <c r="O6738" s="17"/>
      <c r="P6738" s="17" t="b">
        <f>IFERROR(__xludf.DUMMYFUNCTION("""COMPUTED_VALUE"""),TRUE)</f>
        <v>1</v>
      </c>
      <c r="Q6738" s="20">
        <f>IFERROR(__xludf.DUMMYFUNCTION("""COMPUTED_VALUE"""),45191.683494282406)</f>
        <v>45191.68349</v>
      </c>
      <c r="R6738" s="22" t="str">
        <f>IFERROR(__xludf.DUMMYFUNCTION("""COMPUTED_VALUE"""),"")</f>
        <v/>
      </c>
    </row>
    <row r="6739">
      <c r="A6739" s="17" t="str">
        <f>IFERROR(__xludf.DUMMYFUNCTION("""COMPUTED_VALUE"""),"")</f>
        <v/>
      </c>
      <c r="B6739" s="17" t="str">
        <f>IFERROR(__xludf.DUMMYFUNCTION("""COMPUTED_VALUE"""),"")</f>
        <v/>
      </c>
      <c r="C6739" s="17" t="str">
        <f>IFERROR(__xludf.DUMMYFUNCTION("""COMPUTED_VALUE"""),"")</f>
        <v/>
      </c>
      <c r="D6739" s="17" t="str">
        <f>IFERROR(__xludf.DUMMYFUNCTION("""COMPUTED_VALUE"""),"")</f>
        <v/>
      </c>
      <c r="E6739" s="17" t="str">
        <f>IFERROR(__xludf.DUMMYFUNCTION("""COMPUTED_VALUE"""),"")</f>
        <v/>
      </c>
      <c r="F6739" s="17" t="str">
        <f>IFERROR(__xludf.DUMMYFUNCTION("""COMPUTED_VALUE"""),"")</f>
        <v/>
      </c>
      <c r="G6739" s="17" t="str">
        <f>IFERROR(__xludf.DUMMYFUNCTION("""COMPUTED_VALUE"""),"")</f>
        <v/>
      </c>
      <c r="H6739" s="17" t="str">
        <f>IFERROR(__xludf.DUMMYFUNCTION("""COMPUTED_VALUE"""),"")</f>
        <v/>
      </c>
      <c r="I6739" s="17" t="str">
        <f>IFERROR(__xludf.DUMMYFUNCTION("""COMPUTED_VALUE"""),"")</f>
        <v/>
      </c>
      <c r="J6739" s="17" t="str">
        <f>IFERROR(__xludf.DUMMYFUNCTION("""COMPUTED_VALUE"""),"")</f>
        <v/>
      </c>
      <c r="K6739" s="17" t="str">
        <f>IFERROR(__xludf.DUMMYFUNCTION("""COMPUTED_VALUE"""),"")</f>
        <v/>
      </c>
      <c r="L6739" s="17" t="str">
        <f>IFERROR(__xludf.DUMMYFUNCTION("""COMPUTED_VALUE"""),"")</f>
        <v/>
      </c>
      <c r="M6739" s="17" t="str">
        <f>IFERROR(__xludf.DUMMYFUNCTION("""COMPUTED_VALUE"""),"")</f>
        <v/>
      </c>
      <c r="N6739" s="17" t="str">
        <f>IFERROR(__xludf.DUMMYFUNCTION("""COMPUTED_VALUE"""),"")</f>
        <v/>
      </c>
      <c r="O6739" s="17" t="str">
        <f>IFERROR(__xludf.DUMMYFUNCTION("""COMPUTED_VALUE"""),"")</f>
        <v/>
      </c>
      <c r="P6739" s="17" t="str">
        <f>IFERROR(__xludf.DUMMYFUNCTION("""COMPUTED_VALUE"""),"")</f>
        <v/>
      </c>
      <c r="Q6739" s="17" t="str">
        <f>IFERROR(__xludf.DUMMYFUNCTION("""COMPUTED_VALUE"""),"")</f>
        <v/>
      </c>
      <c r="R6739" s="17" t="str">
        <f>IFERROR(__xludf.DUMMYFUNCTION("""COMPUTED_VALUE"""),"")</f>
        <v/>
      </c>
    </row>
    <row r="6740">
      <c r="A6740" s="15">
        <f>IFERROR(__xludf.DUMMYFUNCTION("""COMPUTED_VALUE"""),45191.0)</f>
        <v>45191</v>
      </c>
      <c r="B6740" s="16" t="str">
        <f>IFERROR(__xludf.DUMMYFUNCTION("""COMPUTED_VALUE"""),"Daniel José sandoval gonzalez")</f>
        <v>Daniel José sandoval gonzalez</v>
      </c>
      <c r="C6740" s="15" t="str">
        <f>IFERROR(__xludf.DUMMYFUNCTION("""COMPUTED_VALUE"""),"BARRANQUILLA")</f>
        <v>BARRANQUILLA</v>
      </c>
      <c r="D6740" s="15" t="str">
        <f>IFERROR(__xludf.DUMMYFUNCTION("""COMPUTED_VALUE"""),"BOGOTÁ")</f>
        <v>BOGOTÁ</v>
      </c>
      <c r="E6740" s="15" t="str">
        <f>IFERROR(__xludf.DUMMYFUNCTION("""COMPUTED_VALUE"""),"Evamazzita")</f>
        <v>Evamazzita</v>
      </c>
      <c r="F6740" s="17" t="str">
        <f>IFERROR(__xludf.DUMMYFUNCTION("""COMPUTED_VALUE"""),"CALLE 51B CON CRA 8BSUR # 6 / PELUQUERIA MIS CEJAS / BARRIO 7 DE ABRIL")</f>
        <v>CALLE 51B CON CRA 8BSUR # 6 / PELUQUERIA MIS CEJAS / BARRIO 7 DE ABRIL</v>
      </c>
      <c r="G6740" s="15" t="str">
        <f>IFERROR(__xludf.DUMMYFUNCTION("""COMPUTED_VALUE"""),"MARIA VIRGINIA BRICEÑO FERNANDEZ")</f>
        <v>MARIA VIRGINIA BRICEÑO FERNANDEZ</v>
      </c>
      <c r="H6740" s="16">
        <f>IFERROR(__xludf.DUMMYFUNCTION("""COMPUTED_VALUE"""),15470.0)</f>
        <v>15470</v>
      </c>
      <c r="I6740" s="18">
        <f>IFERROR(__xludf.DUMMYFUNCTION("""COMPUTED_VALUE"""),1.0)</f>
        <v>1</v>
      </c>
      <c r="J6740" s="18">
        <f>IFERROR(__xludf.DUMMYFUNCTION("""COMPUTED_VALUE"""),1.0)</f>
        <v>1</v>
      </c>
      <c r="K6740" s="18">
        <f>IFERROR(__xludf.DUMMYFUNCTION("""COMPUTED_VALUE"""),1.0)</f>
        <v>1</v>
      </c>
      <c r="L6740" s="17">
        <f>IFERROR(__xludf.DUMMYFUNCTION("""COMPUTED_VALUE"""),3.012627709E9)</f>
        <v>3012627709</v>
      </c>
      <c r="M6740" s="17" t="str">
        <f>IFERROR(__xludf.DUMMYFUNCTION("""COMPUTED_VALUE"""),"#REF!")</f>
        <v>#REF!</v>
      </c>
      <c r="N6740" s="17"/>
      <c r="O6740" s="17"/>
      <c r="P6740" s="17" t="b">
        <f>IFERROR(__xludf.DUMMYFUNCTION("""COMPUTED_VALUE"""),TRUE)</f>
        <v>1</v>
      </c>
      <c r="Q6740" s="20">
        <f>IFERROR(__xludf.DUMMYFUNCTION("""COMPUTED_VALUE"""),45191.678876736114)</f>
        <v>45191.67888</v>
      </c>
      <c r="R6740" s="21" t="str">
        <f>IFERROR(__xludf.DUMMYFUNCTION("""COMPUTED_VALUE"""),"https://drive.google.com/file/d/1-kC-9bQzR2PdGVueJgFoeU8-28IrFfZg/view?usp=drivesdk")</f>
        <v>https://drive.google.com/file/d/1-kC-9bQzR2PdGVueJgFoeU8-28IrFfZg/view?usp=drivesdk</v>
      </c>
    </row>
    <row r="6741">
      <c r="A6741" s="15">
        <f>IFERROR(__xludf.DUMMYFUNCTION("""COMPUTED_VALUE"""),45191.0)</f>
        <v>45191</v>
      </c>
      <c r="B6741" s="16" t="str">
        <f>IFERROR(__xludf.DUMMYFUNCTION("""COMPUTED_VALUE"""),"Daniel José sandoval gonzalez")</f>
        <v>Daniel José sandoval gonzalez</v>
      </c>
      <c r="C6741" s="15" t="str">
        <f>IFERROR(__xludf.DUMMYFUNCTION("""COMPUTED_VALUE"""),"BARRANQUILLA")</f>
        <v>BARRANQUILLA</v>
      </c>
      <c r="D6741" s="15" t="str">
        <f>IFERROR(__xludf.DUMMYFUNCTION("""COMPUTED_VALUE"""),"BOGOTÁ")</f>
        <v>BOGOTÁ</v>
      </c>
      <c r="E6741" s="15" t="str">
        <f>IFERROR(__xludf.DUMMYFUNCTION("""COMPUTED_VALUE"""),"Mochi")</f>
        <v>Mochi</v>
      </c>
      <c r="F6741" s="17" t="str">
        <f>IFERROR(__xludf.DUMMYFUNCTION("""COMPUTED_VALUE"""),"Cra 51b #87-50 / Centro comercial  / Rio mar ")</f>
        <v>Cra 51b #87-50 / Centro comercial  / Rio mar </v>
      </c>
      <c r="G6741" s="15" t="str">
        <f>IFERROR(__xludf.DUMMYFUNCTION("""COMPUTED_VALUE"""),"María Camila ")</f>
        <v>María Camila </v>
      </c>
      <c r="H6741" s="16">
        <f>IFERROR(__xludf.DUMMYFUNCTION("""COMPUTED_VALUE"""),15530.0)</f>
        <v>15530</v>
      </c>
      <c r="I6741" s="18">
        <f>IFERROR(__xludf.DUMMYFUNCTION("""COMPUTED_VALUE"""),55.0)</f>
        <v>55</v>
      </c>
      <c r="J6741" s="18">
        <f>IFERROR(__xludf.DUMMYFUNCTION("""COMPUTED_VALUE"""),44.0)</f>
        <v>44</v>
      </c>
      <c r="K6741" s="18">
        <f>IFERROR(__xludf.DUMMYFUNCTION("""COMPUTED_VALUE"""),52.5)</f>
        <v>52.5</v>
      </c>
      <c r="L6741" s="17">
        <f>IFERROR(__xludf.DUMMYFUNCTION("""COMPUTED_VALUE"""),3.116026252E9)</f>
        <v>3116026252</v>
      </c>
      <c r="M6741" s="17" t="str">
        <f>IFERROR(__xludf.DUMMYFUNCTION("""COMPUTED_VALUE"""),"#REF!")</f>
        <v>#REF!</v>
      </c>
      <c r="N6741" s="17"/>
      <c r="O6741" s="17"/>
      <c r="P6741" s="17" t="b">
        <f>IFERROR(__xludf.DUMMYFUNCTION("""COMPUTED_VALUE"""),TRUE)</f>
        <v>1</v>
      </c>
      <c r="Q6741" s="20">
        <f>IFERROR(__xludf.DUMMYFUNCTION("""COMPUTED_VALUE"""),45191.67649694445)</f>
        <v>45191.6765</v>
      </c>
      <c r="R6741" s="22" t="str">
        <f>IFERROR(__xludf.DUMMYFUNCTION("""COMPUTED_VALUE"""),"")</f>
        <v/>
      </c>
    </row>
    <row r="6742">
      <c r="A6742" s="15">
        <f>IFERROR(__xludf.DUMMYFUNCTION("""COMPUTED_VALUE"""),45191.0)</f>
        <v>45191</v>
      </c>
      <c r="B6742" s="16" t="str">
        <f>IFERROR(__xludf.DUMMYFUNCTION("""COMPUTED_VALUE"""),"Daniel José sandoval gonzalez")</f>
        <v>Daniel José sandoval gonzalez</v>
      </c>
      <c r="C6742" s="15" t="str">
        <f>IFERROR(__xludf.DUMMYFUNCTION("""COMPUTED_VALUE"""),"BARRANQUILLA")</f>
        <v>BARRANQUILLA</v>
      </c>
      <c r="D6742" s="15" t="str">
        <f>IFERROR(__xludf.DUMMYFUNCTION("""COMPUTED_VALUE"""),"MEDELLÍN")</f>
        <v>MEDELLÍN</v>
      </c>
      <c r="E6742" s="15" t="str">
        <f>IFERROR(__xludf.DUMMYFUNCTION("""COMPUTED_VALUE"""),"Magda")</f>
        <v>Magda</v>
      </c>
      <c r="F6742" s="17" t="str">
        <f>IFERROR(__xludf.DUMMYFUNCTION("""COMPUTED_VALUE"""),"Cra 53 No. 68-55 / Cocina Oculta / Alto Prado")</f>
        <v>Cra 53 No. 68-55 / Cocina Oculta / Alto Prado</v>
      </c>
      <c r="G6742" s="15" t="str">
        <f>IFERROR(__xludf.DUMMYFUNCTION("""COMPUTED_VALUE"""),"María José Cervantes")</f>
        <v>María José Cervantes</v>
      </c>
      <c r="H6742" s="16">
        <f>IFERROR(__xludf.DUMMYFUNCTION("""COMPUTED_VALUE"""),15499.0)</f>
        <v>15499</v>
      </c>
      <c r="I6742" s="18">
        <f>IFERROR(__xludf.DUMMYFUNCTION("""COMPUTED_VALUE"""),5.0)</f>
        <v>5</v>
      </c>
      <c r="J6742" s="18">
        <f>IFERROR(__xludf.DUMMYFUNCTION("""COMPUTED_VALUE"""),5.0)</f>
        <v>5</v>
      </c>
      <c r="K6742" s="18">
        <f>IFERROR(__xludf.DUMMYFUNCTION("""COMPUTED_VALUE"""),5.0)</f>
        <v>5</v>
      </c>
      <c r="L6742" s="17">
        <f>IFERROR(__xludf.DUMMYFUNCTION("""COMPUTED_VALUE"""),3.113152215E9)</f>
        <v>3113152215</v>
      </c>
      <c r="M6742" s="17" t="str">
        <f>IFERROR(__xludf.DUMMYFUNCTION("""COMPUTED_VALUE"""),"#REF!")</f>
        <v>#REF!</v>
      </c>
      <c r="N6742" s="17"/>
      <c r="O6742" s="17"/>
      <c r="P6742" s="17" t="b">
        <f>IFERROR(__xludf.DUMMYFUNCTION("""COMPUTED_VALUE"""),TRUE)</f>
        <v>1</v>
      </c>
      <c r="Q6742" s="20">
        <f>IFERROR(__xludf.DUMMYFUNCTION("""COMPUTED_VALUE"""),45191.68257644676)</f>
        <v>45191.68258</v>
      </c>
      <c r="R6742" s="22" t="str">
        <f>IFERROR(__xludf.DUMMYFUNCTION("""COMPUTED_VALUE"""),"")</f>
        <v/>
      </c>
    </row>
    <row r="6743">
      <c r="A6743" s="15">
        <f>IFERROR(__xludf.DUMMYFUNCTION("""COMPUTED_VALUE"""),45191.0)</f>
        <v>45191</v>
      </c>
      <c r="B6743" s="16" t="str">
        <f>IFERROR(__xludf.DUMMYFUNCTION("""COMPUTED_VALUE"""),"Daniel José sandoval gonzalez")</f>
        <v>Daniel José sandoval gonzalez</v>
      </c>
      <c r="C6743" s="15" t="str">
        <f>IFERROR(__xludf.DUMMYFUNCTION("""COMPUTED_VALUE"""),"MEDELLÍN")</f>
        <v>MEDELLÍN</v>
      </c>
      <c r="D6743" s="15" t="str">
        <f>IFERROR(__xludf.DUMMYFUNCTION("""COMPUTED_VALUE"""),"BOGOTÁ")</f>
        <v>BOGOTÁ</v>
      </c>
      <c r="E6743" s="15" t="str">
        <f>IFERROR(__xludf.DUMMYFUNCTION("""COMPUTED_VALUE"""),"Top Spun")</f>
        <v>Top Spun</v>
      </c>
      <c r="F6743" s="17" t="str">
        <f>IFERROR(__xludf.DUMMYFUNCTION("""COMPUTED_VALUE"""),"CALLE 17 SUR 42-68 / APTO 701 / EDIFICIO OBRA ESCONDIDA")</f>
        <v>CALLE 17 SUR 42-68 / APTO 701 / EDIFICIO OBRA ESCONDIDA</v>
      </c>
      <c r="G6743" s="15" t="str">
        <f>IFERROR(__xludf.DUMMYFUNCTION("""COMPUTED_VALUE"""),"Susana Ochoa")</f>
        <v>Susana Ochoa</v>
      </c>
      <c r="H6743" s="16">
        <f>IFERROR(__xludf.DUMMYFUNCTION("""COMPUTED_VALUE"""),15503.0)</f>
        <v>15503</v>
      </c>
      <c r="I6743" s="18">
        <f>IFERROR(__xludf.DUMMYFUNCTION("""COMPUTED_VALUE"""),20.0)</f>
        <v>20</v>
      </c>
      <c r="J6743" s="18">
        <f>IFERROR(__xludf.DUMMYFUNCTION("""COMPUTED_VALUE"""),10.0)</f>
        <v>10</v>
      </c>
      <c r="K6743" s="18">
        <f>IFERROR(__xludf.DUMMYFUNCTION("""COMPUTED_VALUE"""),40.0)</f>
        <v>40</v>
      </c>
      <c r="L6743" s="17">
        <f>IFERROR(__xludf.DUMMYFUNCTION("""COMPUTED_VALUE"""),3.136457894E9)</f>
        <v>3136457894</v>
      </c>
      <c r="M6743" s="17" t="str">
        <f>IFERROR(__xludf.DUMMYFUNCTION("""COMPUTED_VALUE"""),"#REF!")</f>
        <v>#REF!</v>
      </c>
      <c r="N6743" s="17"/>
      <c r="O6743" s="17"/>
      <c r="P6743" s="17" t="b">
        <f>IFERROR(__xludf.DUMMYFUNCTION("""COMPUTED_VALUE"""),TRUE)</f>
        <v>1</v>
      </c>
      <c r="Q6743" s="20">
        <f>IFERROR(__xludf.DUMMYFUNCTION("""COMPUTED_VALUE"""),45191.68043791667)</f>
        <v>45191.68044</v>
      </c>
      <c r="R6743" s="22" t="str">
        <f>IFERROR(__xludf.DUMMYFUNCTION("""COMPUTED_VALUE"""),"")</f>
        <v/>
      </c>
    </row>
    <row r="6744">
      <c r="A6744" s="15">
        <f>IFERROR(__xludf.DUMMYFUNCTION("""COMPUTED_VALUE"""),45191.0)</f>
        <v>45191</v>
      </c>
      <c r="B6744" s="16" t="str">
        <f>IFERROR(__xludf.DUMMYFUNCTION("""COMPUTED_VALUE"""),"Daniel José sandoval gonzalez")</f>
        <v>Daniel José sandoval gonzalez</v>
      </c>
      <c r="C6744" s="15" t="str">
        <f>IFERROR(__xludf.DUMMYFUNCTION("""COMPUTED_VALUE"""),"MEDELLÍN")</f>
        <v>MEDELLÍN</v>
      </c>
      <c r="D6744" s="15" t="str">
        <f>IFERROR(__xludf.DUMMYFUNCTION("""COMPUTED_VALUE"""),"BOGOTÁ")</f>
        <v>BOGOTÁ</v>
      </c>
      <c r="E6744" s="15" t="str">
        <f>IFERROR(__xludf.DUMMYFUNCTION("""COMPUTED_VALUE"""),"Top Spun")</f>
        <v>Top Spun</v>
      </c>
      <c r="F6744" s="17" t="str">
        <f>IFERROR(__xludf.DUMMYFUNCTION("""COMPUTED_VALUE"""),"Cra 30 #17 sur 26 / Vega de Antares / Apto 502")</f>
        <v>Cra 30 #17 sur 26 / Vega de Antares / Apto 502</v>
      </c>
      <c r="G6744" s="15" t="str">
        <f>IFERROR(__xludf.DUMMYFUNCTION("""COMPUTED_VALUE"""),"Susana Escobar")</f>
        <v>Susana Escobar</v>
      </c>
      <c r="H6744" s="16">
        <f>IFERROR(__xludf.DUMMYFUNCTION("""COMPUTED_VALUE"""),15504.0)</f>
        <v>15504</v>
      </c>
      <c r="I6744" s="18">
        <f>IFERROR(__xludf.DUMMYFUNCTION("""COMPUTED_VALUE"""),20.0)</f>
        <v>20</v>
      </c>
      <c r="J6744" s="18">
        <f>IFERROR(__xludf.DUMMYFUNCTION("""COMPUTED_VALUE"""),10.0)</f>
        <v>10</v>
      </c>
      <c r="K6744" s="18">
        <f>IFERROR(__xludf.DUMMYFUNCTION("""COMPUTED_VALUE"""),40.0)</f>
        <v>40</v>
      </c>
      <c r="L6744" s="17">
        <f>IFERROR(__xludf.DUMMYFUNCTION("""COMPUTED_VALUE"""),3.007873217E9)</f>
        <v>3007873217</v>
      </c>
      <c r="M6744" s="17" t="str">
        <f>IFERROR(__xludf.DUMMYFUNCTION("""COMPUTED_VALUE"""),"#REF!")</f>
        <v>#REF!</v>
      </c>
      <c r="N6744" s="17"/>
      <c r="O6744" s="17"/>
      <c r="P6744" s="17" t="b">
        <f>IFERROR(__xludf.DUMMYFUNCTION("""COMPUTED_VALUE"""),FALSE)</f>
        <v>0</v>
      </c>
      <c r="Q6744" s="20" t="str">
        <f>IFERROR(__xludf.DUMMYFUNCTION("""COMPUTED_VALUE"""),"")</f>
        <v/>
      </c>
      <c r="R6744" s="22" t="str">
        <f>IFERROR(__xludf.DUMMYFUNCTION("""COMPUTED_VALUE"""),"")</f>
        <v/>
      </c>
    </row>
    <row r="6745">
      <c r="A6745" s="17" t="str">
        <f>IFERROR(__xludf.DUMMYFUNCTION("""COMPUTED_VALUE"""),"")</f>
        <v/>
      </c>
      <c r="B6745" s="17" t="str">
        <f>IFERROR(__xludf.DUMMYFUNCTION("""COMPUTED_VALUE"""),"")</f>
        <v/>
      </c>
      <c r="C6745" s="17" t="str">
        <f>IFERROR(__xludf.DUMMYFUNCTION("""COMPUTED_VALUE"""),"")</f>
        <v/>
      </c>
      <c r="D6745" s="17" t="str">
        <f>IFERROR(__xludf.DUMMYFUNCTION("""COMPUTED_VALUE"""),"")</f>
        <v/>
      </c>
      <c r="E6745" s="17" t="str">
        <f>IFERROR(__xludf.DUMMYFUNCTION("""COMPUTED_VALUE"""),"")</f>
        <v/>
      </c>
      <c r="F6745" s="17" t="str">
        <f>IFERROR(__xludf.DUMMYFUNCTION("""COMPUTED_VALUE"""),"")</f>
        <v/>
      </c>
      <c r="G6745" s="17" t="str">
        <f>IFERROR(__xludf.DUMMYFUNCTION("""COMPUTED_VALUE"""),"")</f>
        <v/>
      </c>
      <c r="H6745" s="17" t="str">
        <f>IFERROR(__xludf.DUMMYFUNCTION("""COMPUTED_VALUE"""),"")</f>
        <v/>
      </c>
      <c r="I6745" s="17" t="str">
        <f>IFERROR(__xludf.DUMMYFUNCTION("""COMPUTED_VALUE"""),"")</f>
        <v/>
      </c>
      <c r="J6745" s="17" t="str">
        <f>IFERROR(__xludf.DUMMYFUNCTION("""COMPUTED_VALUE"""),"")</f>
        <v/>
      </c>
      <c r="K6745" s="17" t="str">
        <f>IFERROR(__xludf.DUMMYFUNCTION("""COMPUTED_VALUE"""),"")</f>
        <v/>
      </c>
      <c r="L6745" s="17" t="str">
        <f>IFERROR(__xludf.DUMMYFUNCTION("""COMPUTED_VALUE"""),"")</f>
        <v/>
      </c>
      <c r="M6745" s="17" t="str">
        <f>IFERROR(__xludf.DUMMYFUNCTION("""COMPUTED_VALUE"""),"")</f>
        <v/>
      </c>
      <c r="N6745" s="17" t="str">
        <f>IFERROR(__xludf.DUMMYFUNCTION("""COMPUTED_VALUE"""),"")</f>
        <v/>
      </c>
      <c r="O6745" s="17" t="str">
        <f>IFERROR(__xludf.DUMMYFUNCTION("""COMPUTED_VALUE"""),"")</f>
        <v/>
      </c>
      <c r="P6745" s="17" t="str">
        <f>IFERROR(__xludf.DUMMYFUNCTION("""COMPUTED_VALUE"""),"")</f>
        <v/>
      </c>
      <c r="Q6745" s="17" t="str">
        <f>IFERROR(__xludf.DUMMYFUNCTION("""COMPUTED_VALUE"""),"")</f>
        <v/>
      </c>
      <c r="R6745" s="17" t="str">
        <f>IFERROR(__xludf.DUMMYFUNCTION("""COMPUTED_VALUE"""),"")</f>
        <v/>
      </c>
    </row>
    <row r="6746">
      <c r="A6746" s="15">
        <f>IFERROR(__xludf.DUMMYFUNCTION("""COMPUTED_VALUE"""),45191.0)</f>
        <v>45191</v>
      </c>
      <c r="B6746" s="16" t="str">
        <f>IFERROR(__xludf.DUMMYFUNCTION("""COMPUTED_VALUE"""),"Deivi Alejandro Quintero Corrales")</f>
        <v>Deivi Alejandro Quintero Corrales</v>
      </c>
      <c r="C6746" s="15" t="str">
        <f>IFERROR(__xludf.DUMMYFUNCTION("""COMPUTED_VALUE"""),"CÚCUTA")</f>
        <v>CÚCUTA</v>
      </c>
      <c r="D6746" s="15" t="str">
        <f>IFERROR(__xludf.DUMMYFUNCTION("""COMPUTED_VALUE"""),"MEDELLÍN")</f>
        <v>MEDELLÍN</v>
      </c>
      <c r="E6746" s="15" t="str">
        <f>IFERROR(__xludf.DUMMYFUNCTION("""COMPUTED_VALUE"""),"Momo Tea S.A.S Gabriel Echavarría")</f>
        <v>Momo Tea S.A.S Gabriel Echavarría</v>
      </c>
      <c r="F6746" s="17" t="str">
        <f>IFERROR(__xludf.DUMMYFUNCTION("""COMPUTED_VALUE"""),"CL 11 N 16 E 35 / CA B 1")</f>
        <v>CL 11 N 16 E 35 / CA B 1</v>
      </c>
      <c r="G6746" s="15" t="str">
        <f>IFERROR(__xludf.DUMMYFUNCTION("""COMPUTED_VALUE"""),"Gabriel Echavarría")</f>
        <v>Gabriel Echavarría</v>
      </c>
      <c r="H6746" s="16">
        <f>IFERROR(__xludf.DUMMYFUNCTION("""COMPUTED_VALUE"""),15460.0)</f>
        <v>15460</v>
      </c>
      <c r="I6746" s="18">
        <f>IFERROR(__xludf.DUMMYFUNCTION("""COMPUTED_VALUE"""),21.0)</f>
        <v>21</v>
      </c>
      <c r="J6746" s="18">
        <f>IFERROR(__xludf.DUMMYFUNCTION("""COMPUTED_VALUE"""),29.0)</f>
        <v>29</v>
      </c>
      <c r="K6746" s="18">
        <f>IFERROR(__xludf.DUMMYFUNCTION("""COMPUTED_VALUE"""),29.0)</f>
        <v>29</v>
      </c>
      <c r="L6746" s="17">
        <f>IFERROR(__xludf.DUMMYFUNCTION("""COMPUTED_VALUE"""),3.017909548E9)</f>
        <v>3017909548</v>
      </c>
      <c r="M6746" s="17" t="str">
        <f>IFERROR(__xludf.DUMMYFUNCTION("""COMPUTED_VALUE"""),"#REF!")</f>
        <v>#REF!</v>
      </c>
      <c r="N6746" s="17"/>
      <c r="O6746" s="17"/>
      <c r="P6746" s="17" t="b">
        <f>IFERROR(__xludf.DUMMYFUNCTION("""COMPUTED_VALUE"""),TRUE)</f>
        <v>1</v>
      </c>
      <c r="Q6746" s="20">
        <f>IFERROR(__xludf.DUMMYFUNCTION("""COMPUTED_VALUE"""),45192.20737920138)</f>
        <v>45192.20738</v>
      </c>
      <c r="R6746" s="22" t="str">
        <f>IFERROR(__xludf.DUMMYFUNCTION("""COMPUTED_VALUE"""),"")</f>
        <v/>
      </c>
    </row>
    <row r="6747">
      <c r="A6747" s="15">
        <f>IFERROR(__xludf.DUMMYFUNCTION("""COMPUTED_VALUE"""),45191.0)</f>
        <v>45191</v>
      </c>
      <c r="B6747" s="16" t="str">
        <f>IFERROR(__xludf.DUMMYFUNCTION("""COMPUTED_VALUE"""),"Deivi Alejandro Quintero Corrales")</f>
        <v>Deivi Alejandro Quintero Corrales</v>
      </c>
      <c r="C6747" s="15" t="str">
        <f>IFERROR(__xludf.DUMMYFUNCTION("""COMPUTED_VALUE"""),"CÚCUTA")</f>
        <v>CÚCUTA</v>
      </c>
      <c r="D6747" s="15" t="str">
        <f>IFERROR(__xludf.DUMMYFUNCTION("""COMPUTED_VALUE"""),"MEDELLÍN")</f>
        <v>MEDELLÍN</v>
      </c>
      <c r="E6747" s="15" t="str">
        <f>IFERROR(__xludf.DUMMYFUNCTION("""COMPUTED_VALUE"""),"Rambla")</f>
        <v>Rambla</v>
      </c>
      <c r="F6747" s="17" t="str">
        <f>IFERROR(__xludf.DUMMYFUNCTION("""COMPUTED_VALUE"""),"ave 2e con 14a-32 los caobos  / - / -")</f>
        <v>ave 2e con 14a-32 los caobos  / - / -</v>
      </c>
      <c r="G6747" s="15" t="str">
        <f>IFERROR(__xludf.DUMMYFUNCTION("""COMPUTED_VALUE"""),"Jengibre")</f>
        <v>Jengibre</v>
      </c>
      <c r="H6747" s="16">
        <f>IFERROR(__xludf.DUMMYFUNCTION("""COMPUTED_VALUE"""),15467.0)</f>
        <v>15467</v>
      </c>
      <c r="I6747" s="18">
        <f>IFERROR(__xludf.DUMMYFUNCTION("""COMPUTED_VALUE"""),24.0)</f>
        <v>24</v>
      </c>
      <c r="J6747" s="18">
        <f>IFERROR(__xludf.DUMMYFUNCTION("""COMPUTED_VALUE"""),24.0)</f>
        <v>24</v>
      </c>
      <c r="K6747" s="18">
        <f>IFERROR(__xludf.DUMMYFUNCTION("""COMPUTED_VALUE"""),24.0)</f>
        <v>24</v>
      </c>
      <c r="L6747" s="17">
        <f>IFERROR(__xludf.DUMMYFUNCTION("""COMPUTED_VALUE"""),3.005618715E9)</f>
        <v>3005618715</v>
      </c>
      <c r="M6747" s="17" t="str">
        <f>IFERROR(__xludf.DUMMYFUNCTION("""COMPUTED_VALUE"""),"#REF!")</f>
        <v>#REF!</v>
      </c>
      <c r="N6747" s="17"/>
      <c r="O6747" s="17"/>
      <c r="P6747" s="17" t="b">
        <f>IFERROR(__xludf.DUMMYFUNCTION("""COMPUTED_VALUE"""),TRUE)</f>
        <v>1</v>
      </c>
      <c r="Q6747" s="20">
        <f>IFERROR(__xludf.DUMMYFUNCTION("""COMPUTED_VALUE"""),45192.20737920138)</f>
        <v>45192.20738</v>
      </c>
      <c r="R6747" s="22" t="str">
        <f>IFERROR(__xludf.DUMMYFUNCTION("""COMPUTED_VALUE"""),"")</f>
        <v/>
      </c>
    </row>
    <row r="6748">
      <c r="A6748" s="17" t="str">
        <f>IFERROR(__xludf.DUMMYFUNCTION("""COMPUTED_VALUE"""),"")</f>
        <v/>
      </c>
      <c r="B6748" s="17" t="str">
        <f>IFERROR(__xludf.DUMMYFUNCTION("""COMPUTED_VALUE"""),"")</f>
        <v/>
      </c>
      <c r="C6748" s="17" t="str">
        <f>IFERROR(__xludf.DUMMYFUNCTION("""COMPUTED_VALUE"""),"")</f>
        <v/>
      </c>
      <c r="D6748" s="17" t="str">
        <f>IFERROR(__xludf.DUMMYFUNCTION("""COMPUTED_VALUE"""),"")</f>
        <v/>
      </c>
      <c r="E6748" s="17" t="str">
        <f>IFERROR(__xludf.DUMMYFUNCTION("""COMPUTED_VALUE"""),"")</f>
        <v/>
      </c>
      <c r="F6748" s="17" t="str">
        <f>IFERROR(__xludf.DUMMYFUNCTION("""COMPUTED_VALUE"""),"")</f>
        <v/>
      </c>
      <c r="G6748" s="17" t="str">
        <f>IFERROR(__xludf.DUMMYFUNCTION("""COMPUTED_VALUE"""),"")</f>
        <v/>
      </c>
      <c r="H6748" s="17" t="str">
        <f>IFERROR(__xludf.DUMMYFUNCTION("""COMPUTED_VALUE"""),"")</f>
        <v/>
      </c>
      <c r="I6748" s="17" t="str">
        <f>IFERROR(__xludf.DUMMYFUNCTION("""COMPUTED_VALUE"""),"")</f>
        <v/>
      </c>
      <c r="J6748" s="17" t="str">
        <f>IFERROR(__xludf.DUMMYFUNCTION("""COMPUTED_VALUE"""),"")</f>
        <v/>
      </c>
      <c r="K6748" s="17" t="str">
        <f>IFERROR(__xludf.DUMMYFUNCTION("""COMPUTED_VALUE"""),"")</f>
        <v/>
      </c>
      <c r="L6748" s="17" t="str">
        <f>IFERROR(__xludf.DUMMYFUNCTION("""COMPUTED_VALUE"""),"")</f>
        <v/>
      </c>
      <c r="M6748" s="17" t="str">
        <f>IFERROR(__xludf.DUMMYFUNCTION("""COMPUTED_VALUE"""),"")</f>
        <v/>
      </c>
      <c r="N6748" s="17" t="str">
        <f>IFERROR(__xludf.DUMMYFUNCTION("""COMPUTED_VALUE"""),"")</f>
        <v/>
      </c>
      <c r="O6748" s="17" t="str">
        <f>IFERROR(__xludf.DUMMYFUNCTION("""COMPUTED_VALUE"""),"")</f>
        <v/>
      </c>
      <c r="P6748" s="17" t="str">
        <f>IFERROR(__xludf.DUMMYFUNCTION("""COMPUTED_VALUE"""),"")</f>
        <v/>
      </c>
      <c r="Q6748" s="17" t="str">
        <f>IFERROR(__xludf.DUMMYFUNCTION("""COMPUTED_VALUE"""),"")</f>
        <v/>
      </c>
      <c r="R6748" s="17" t="str">
        <f>IFERROR(__xludf.DUMMYFUNCTION("""COMPUTED_VALUE"""),"")</f>
        <v/>
      </c>
    </row>
    <row r="6749">
      <c r="A6749" s="15">
        <f>IFERROR(__xludf.DUMMYFUNCTION("""COMPUTED_VALUE"""),45191.0)</f>
        <v>45191</v>
      </c>
      <c r="B6749" s="16" t="str">
        <f>IFERROR(__xludf.DUMMYFUNCTION("""COMPUTED_VALUE"""),"Envia")</f>
        <v>Envia</v>
      </c>
      <c r="C6749" s="15" t="str">
        <f>IFERROR(__xludf.DUMMYFUNCTION("""COMPUTED_VALUE"""),"BARRANQUILLA")</f>
        <v>BARRANQUILLA</v>
      </c>
      <c r="D6749" s="15" t="str">
        <f>IFERROR(__xludf.DUMMYFUNCTION("""COMPUTED_VALUE"""),"BOGOTÁ")</f>
        <v>BOGOTÁ</v>
      </c>
      <c r="E6749" s="15" t="str">
        <f>IFERROR(__xludf.DUMMYFUNCTION("""COMPUTED_VALUE"""),"Ventura Productos Arg")</f>
        <v>Ventura Productos Arg</v>
      </c>
      <c r="F6749" s="17" t="str">
        <f>IFERROR(__xludf.DUMMYFUNCTION("""COMPUTED_VALUE"""),"Cra 51b #79-296, local 4-5, Cafe el Diario / Cafe El Diario")</f>
        <v>Cra 51b #79-296, local 4-5, Cafe el Diario / Cafe El Diario</v>
      </c>
      <c r="G6749" s="15" t="str">
        <f>IFERROR(__xludf.DUMMYFUNCTION("""COMPUTED_VALUE"""),"Felipe Martinez")</f>
        <v>Felipe Martinez</v>
      </c>
      <c r="H6749" s="16">
        <f>IFERROR(__xludf.DUMMYFUNCTION("""COMPUTED_VALUE"""),15342.0)</f>
        <v>15342</v>
      </c>
      <c r="I6749" s="18">
        <f>IFERROR(__xludf.DUMMYFUNCTION("""COMPUTED_VALUE"""),12.0)</f>
        <v>12</v>
      </c>
      <c r="J6749" s="18">
        <f>IFERROR(__xludf.DUMMYFUNCTION("""COMPUTED_VALUE"""),40.0)</f>
        <v>40</v>
      </c>
      <c r="K6749" s="18">
        <f>IFERROR(__xludf.DUMMYFUNCTION("""COMPUTED_VALUE"""),30.0)</f>
        <v>30</v>
      </c>
      <c r="L6749" s="17" t="str">
        <f>IFERROR(__xludf.DUMMYFUNCTION("""COMPUTED_VALUE"""),"301 336 6074")</f>
        <v>301 336 6074</v>
      </c>
      <c r="M6749" s="17" t="str">
        <f>IFERROR(__xludf.DUMMYFUNCTION("""COMPUTED_VALUE"""),"#REF!")</f>
        <v>#REF!</v>
      </c>
      <c r="N6749" s="17"/>
      <c r="O6749" s="17"/>
      <c r="P6749" s="17" t="b">
        <f>IFERROR(__xludf.DUMMYFUNCTION("""COMPUTED_VALUE"""),TRUE)</f>
        <v>1</v>
      </c>
      <c r="Q6749" s="20">
        <f>IFERROR(__xludf.DUMMYFUNCTION("""COMPUTED_VALUE"""),45192.20737921297)</f>
        <v>45192.20738</v>
      </c>
      <c r="R6749" s="21" t="str">
        <f>IFERROR(__xludf.DUMMYFUNCTION("""COMPUTED_VALUE"""),"https://drive.google.com/file/d/107SkhalzdeKjQnCnSj8D0f_aoFE1BD5l/view?usp=drivesdk")</f>
        <v>https://drive.google.com/file/d/107SkhalzdeKjQnCnSj8D0f_aoFE1BD5l/view?usp=drivesdk</v>
      </c>
    </row>
    <row r="6750">
      <c r="A6750" s="15">
        <f>IFERROR(__xludf.DUMMYFUNCTION("""COMPUTED_VALUE"""),45191.0)</f>
        <v>45191</v>
      </c>
      <c r="B6750" s="16" t="str">
        <f>IFERROR(__xludf.DUMMYFUNCTION("""COMPUTED_VALUE"""),"Envia")</f>
        <v>Envia</v>
      </c>
      <c r="C6750" s="15" t="str">
        <f>IFERROR(__xludf.DUMMYFUNCTION("""COMPUTED_VALUE"""),"BARRANQUILLA")</f>
        <v>BARRANQUILLA</v>
      </c>
      <c r="D6750" s="15" t="str">
        <f>IFERROR(__xludf.DUMMYFUNCTION("""COMPUTED_VALUE"""),"BOGOTÁ")</f>
        <v>BOGOTÁ</v>
      </c>
      <c r="E6750" s="15" t="str">
        <f>IFERROR(__xludf.DUMMYFUNCTION("""COMPUTED_VALUE"""),"Ventura Productos Arg")</f>
        <v>Ventura Productos Arg</v>
      </c>
      <c r="F6750" s="17" t="str">
        <f>IFERROR(__xludf.DUMMYFUNCTION("""COMPUTED_VALUE"""),"Cra 51b #79-296, local 4-5, Cafe el Diario / Cafe El Diario")</f>
        <v>Cra 51b #79-296, local 4-5, Cafe el Diario / Cafe El Diario</v>
      </c>
      <c r="G6750" s="15" t="str">
        <f>IFERROR(__xludf.DUMMYFUNCTION("""COMPUTED_VALUE"""),"Felipe Martinez")</f>
        <v>Felipe Martinez</v>
      </c>
      <c r="H6750" s="16">
        <f>IFERROR(__xludf.DUMMYFUNCTION("""COMPUTED_VALUE"""),15457.0)</f>
        <v>15457</v>
      </c>
      <c r="I6750" s="18">
        <f>IFERROR(__xludf.DUMMYFUNCTION("""COMPUTED_VALUE"""),12.0)</f>
        <v>12</v>
      </c>
      <c r="J6750" s="18">
        <f>IFERROR(__xludf.DUMMYFUNCTION("""COMPUTED_VALUE"""),40.0)</f>
        <v>40</v>
      </c>
      <c r="K6750" s="18">
        <f>IFERROR(__xludf.DUMMYFUNCTION("""COMPUTED_VALUE"""),30.0)</f>
        <v>30</v>
      </c>
      <c r="L6750" s="17" t="str">
        <f>IFERROR(__xludf.DUMMYFUNCTION("""COMPUTED_VALUE"""),"301 336 6074")</f>
        <v>301 336 6074</v>
      </c>
      <c r="M6750" s="17" t="str">
        <f>IFERROR(__xludf.DUMMYFUNCTION("""COMPUTED_VALUE"""),"#REF!")</f>
        <v>#REF!</v>
      </c>
      <c r="N6750" s="17"/>
      <c r="O6750" s="17"/>
      <c r="P6750" s="17" t="b">
        <f>IFERROR(__xludf.DUMMYFUNCTION("""COMPUTED_VALUE"""),TRUE)</f>
        <v>1</v>
      </c>
      <c r="Q6750" s="20">
        <f>IFERROR(__xludf.DUMMYFUNCTION("""COMPUTED_VALUE"""),45192.20737921297)</f>
        <v>45192.20738</v>
      </c>
      <c r="R6750" s="22" t="str">
        <f>IFERROR(__xludf.DUMMYFUNCTION("""COMPUTED_VALUE"""),"")</f>
        <v/>
      </c>
    </row>
    <row r="6751">
      <c r="A6751" s="15">
        <f>IFERROR(__xludf.DUMMYFUNCTION("""COMPUTED_VALUE"""),45191.0)</f>
        <v>45191</v>
      </c>
      <c r="B6751" s="16" t="str">
        <f>IFERROR(__xludf.DUMMYFUNCTION("""COMPUTED_VALUE"""),"Envia")</f>
        <v>Envia</v>
      </c>
      <c r="C6751" s="15" t="str">
        <f>IFERROR(__xludf.DUMMYFUNCTION("""COMPUTED_VALUE"""),"BARRANQUILLA")</f>
        <v>BARRANQUILLA</v>
      </c>
      <c r="D6751" s="15" t="str">
        <f>IFERROR(__xludf.DUMMYFUNCTION("""COMPUTED_VALUE"""),"BOGOTÁ")</f>
        <v>BOGOTÁ</v>
      </c>
      <c r="E6751" s="15" t="str">
        <f>IFERROR(__xludf.DUMMYFUNCTION("""COMPUTED_VALUE"""),"Viral Brands")</f>
        <v>Viral Brands</v>
      </c>
      <c r="F6751" s="17" t="str">
        <f>IFERROR(__xludf.DUMMYFUNCTION("""COMPUTED_VALUE"""),"cra 58 n 96 -187 / resturante maya - gaucho / buenavista")</f>
        <v>cra 58 n 96 -187 / resturante maya - gaucho / buenavista</v>
      </c>
      <c r="G6751" s="15" t="str">
        <f>IFERROR(__xludf.DUMMYFUNCTION("""COMPUTED_VALUE"""),"restaurante maya")</f>
        <v>restaurante maya</v>
      </c>
      <c r="H6751" s="16">
        <f>IFERROR(__xludf.DUMMYFUNCTION("""COMPUTED_VALUE"""),15468.0)</f>
        <v>15468</v>
      </c>
      <c r="I6751" s="18">
        <f>IFERROR(__xludf.DUMMYFUNCTION("""COMPUTED_VALUE"""),50.0)</f>
        <v>50</v>
      </c>
      <c r="J6751" s="18">
        <f>IFERROR(__xludf.DUMMYFUNCTION("""COMPUTED_VALUE"""),30.0)</f>
        <v>30</v>
      </c>
      <c r="K6751" s="18">
        <f>IFERROR(__xludf.DUMMYFUNCTION("""COMPUTED_VALUE"""),21.0)</f>
        <v>21</v>
      </c>
      <c r="L6751" s="17">
        <f>IFERROR(__xludf.DUMMYFUNCTION("""COMPUTED_VALUE"""),3.122454394E9)</f>
        <v>3122454394</v>
      </c>
      <c r="M6751" s="17" t="str">
        <f>IFERROR(__xludf.DUMMYFUNCTION("""COMPUTED_VALUE"""),"#REF!")</f>
        <v>#REF!</v>
      </c>
      <c r="N6751" s="17"/>
      <c r="O6751" s="17"/>
      <c r="P6751" s="17" t="b">
        <f>IFERROR(__xludf.DUMMYFUNCTION("""COMPUTED_VALUE"""),FALSE)</f>
        <v>0</v>
      </c>
      <c r="Q6751" s="20" t="str">
        <f>IFERROR(__xludf.DUMMYFUNCTION("""COMPUTED_VALUE"""),"")</f>
        <v/>
      </c>
      <c r="R6751" s="22" t="str">
        <f>IFERROR(__xludf.DUMMYFUNCTION("""COMPUTED_VALUE"""),"")</f>
        <v/>
      </c>
    </row>
    <row r="6752">
      <c r="A6752" s="15">
        <f>IFERROR(__xludf.DUMMYFUNCTION("""COMPUTED_VALUE"""),45191.0)</f>
        <v>45191</v>
      </c>
      <c r="B6752" s="16" t="str">
        <f>IFERROR(__xludf.DUMMYFUNCTION("""COMPUTED_VALUE"""),"Envia")</f>
        <v>Envia</v>
      </c>
      <c r="C6752" s="15" t="str">
        <f>IFERROR(__xludf.DUMMYFUNCTION("""COMPUTED_VALUE"""),"BARRANQUILLA")</f>
        <v>BARRANQUILLA</v>
      </c>
      <c r="D6752" s="15" t="str">
        <f>IFERROR(__xludf.DUMMYFUNCTION("""COMPUTED_VALUE"""),"MEDELLÍN")</f>
        <v>MEDELLÍN</v>
      </c>
      <c r="E6752" s="15" t="str">
        <f>IFERROR(__xludf.DUMMYFUNCTION("""COMPUTED_VALUE"""),"Moloso S.A.S")</f>
        <v>Moloso S.A.S</v>
      </c>
      <c r="F6752" s="17" t="str">
        <f>IFERROR(__xludf.DUMMYFUNCTION("""COMPUTED_VALUE"""),"CR 47 100 14 ED ALAMEDA 100 - 46 TORRE B AP1304")</f>
        <v>CR 47 100 14 ED ALAMEDA 100 - 46 TORRE B AP1304</v>
      </c>
      <c r="G6752" s="15" t="str">
        <f>IFERROR(__xludf.DUMMYFUNCTION("""COMPUTED_VALUE"""),"GRACIELA COHEN")</f>
        <v>GRACIELA COHEN</v>
      </c>
      <c r="H6752" s="16">
        <f>IFERROR(__xludf.DUMMYFUNCTION("""COMPUTED_VALUE"""),15448.0)</f>
        <v>15448</v>
      </c>
      <c r="I6752" s="18">
        <f>IFERROR(__xludf.DUMMYFUNCTION("""COMPUTED_VALUE"""),17.0)</f>
        <v>17</v>
      </c>
      <c r="J6752" s="18">
        <f>IFERROR(__xludf.DUMMYFUNCTION("""COMPUTED_VALUE"""),15.0)</f>
        <v>15</v>
      </c>
      <c r="K6752" s="18">
        <f>IFERROR(__xludf.DUMMYFUNCTION("""COMPUTED_VALUE"""),28.0)</f>
        <v>28</v>
      </c>
      <c r="L6752" s="17"/>
      <c r="M6752" s="17" t="str">
        <f>IFERROR(__xludf.DUMMYFUNCTION("""COMPUTED_VALUE"""),"#REF!")</f>
        <v>#REF!</v>
      </c>
      <c r="N6752" s="17"/>
      <c r="O6752" s="17"/>
      <c r="P6752" s="17" t="b">
        <f>IFERROR(__xludf.DUMMYFUNCTION("""COMPUTED_VALUE"""),TRUE)</f>
        <v>1</v>
      </c>
      <c r="Q6752" s="20">
        <f>IFERROR(__xludf.DUMMYFUNCTION("""COMPUTED_VALUE"""),45192.20737921297)</f>
        <v>45192.20738</v>
      </c>
      <c r="R6752" s="22" t="str">
        <f>IFERROR(__xludf.DUMMYFUNCTION("""COMPUTED_VALUE"""),"")</f>
        <v/>
      </c>
    </row>
    <row r="6753">
      <c r="A6753" s="15">
        <f>IFERROR(__xludf.DUMMYFUNCTION("""COMPUTED_VALUE"""),45191.0)</f>
        <v>45191</v>
      </c>
      <c r="B6753" s="16" t="str">
        <f>IFERROR(__xludf.DUMMYFUNCTION("""COMPUTED_VALUE"""),"Envia")</f>
        <v>Envia</v>
      </c>
      <c r="C6753" s="15" t="str">
        <f>IFERROR(__xludf.DUMMYFUNCTION("""COMPUTED_VALUE"""),"BOGOTÁ")</f>
        <v>BOGOTÁ</v>
      </c>
      <c r="D6753" s="15" t="str">
        <f>IFERROR(__xludf.DUMMYFUNCTION("""COMPUTED_VALUE"""),"MEDELLÍN")</f>
        <v>MEDELLÍN</v>
      </c>
      <c r="E6753" s="15" t="str">
        <f>IFERROR(__xludf.DUMMYFUNCTION("""COMPUTED_VALUE"""),"Biota")</f>
        <v>Biota</v>
      </c>
      <c r="F6753" s="17" t="str">
        <f>IFERROR(__xludf.DUMMYFUNCTION("""COMPUTED_VALUE"""),"Calle 140 bis # 14a -29 / Edificio panorama 140 torre 2 apto 1005 / Calle 140 bis # 14a -29. Edificio panorama 140 torre 2 apto 1005")</f>
        <v>Calle 140 bis # 14a -29 / Edificio panorama 140 torre 2 apto 1005 / Calle 140 bis # 14a -29. Edificio panorama 140 torre 2 apto 1005</v>
      </c>
      <c r="G6753" s="15" t="str">
        <f>IFERROR(__xludf.DUMMYFUNCTION("""COMPUTED_VALUE"""),"Juan mujica")</f>
        <v>Juan mujica</v>
      </c>
      <c r="H6753" s="16">
        <f>IFERROR(__xludf.DUMMYFUNCTION("""COMPUTED_VALUE"""),15536.0)</f>
        <v>15536</v>
      </c>
      <c r="I6753" s="18">
        <f>IFERROR(__xludf.DUMMYFUNCTION("""COMPUTED_VALUE"""),20.0)</f>
        <v>20</v>
      </c>
      <c r="J6753" s="18">
        <f>IFERROR(__xludf.DUMMYFUNCTION("""COMPUTED_VALUE"""),14.0)</f>
        <v>14</v>
      </c>
      <c r="K6753" s="18">
        <f>IFERROR(__xludf.DUMMYFUNCTION("""COMPUTED_VALUE"""),13.0)</f>
        <v>13</v>
      </c>
      <c r="L6753" s="17">
        <f>IFERROR(__xludf.DUMMYFUNCTION("""COMPUTED_VALUE"""),3.052534912E9)</f>
        <v>3052534912</v>
      </c>
      <c r="M6753" s="17" t="str">
        <f>IFERROR(__xludf.DUMMYFUNCTION("""COMPUTED_VALUE"""),"#REF!")</f>
        <v>#REF!</v>
      </c>
      <c r="N6753" s="17"/>
      <c r="O6753" s="17"/>
      <c r="P6753" s="17" t="b">
        <f>IFERROR(__xludf.DUMMYFUNCTION("""COMPUTED_VALUE"""),TRUE)</f>
        <v>1</v>
      </c>
      <c r="Q6753" s="20">
        <f>IFERROR(__xludf.DUMMYFUNCTION("""COMPUTED_VALUE"""),45192.20737921297)</f>
        <v>45192.20738</v>
      </c>
      <c r="R6753" s="22" t="str">
        <f>IFERROR(__xludf.DUMMYFUNCTION("""COMPUTED_VALUE"""),"")</f>
        <v/>
      </c>
    </row>
    <row r="6754">
      <c r="A6754" s="15">
        <f>IFERROR(__xludf.DUMMYFUNCTION("""COMPUTED_VALUE"""),45191.0)</f>
        <v>45191</v>
      </c>
      <c r="B6754" s="16" t="str">
        <f>IFERROR(__xludf.DUMMYFUNCTION("""COMPUTED_VALUE"""),"Envia")</f>
        <v>Envia</v>
      </c>
      <c r="C6754" s="15" t="str">
        <f>IFERROR(__xludf.DUMMYFUNCTION("""COMPUTED_VALUE"""),"CÚCUTA")</f>
        <v>CÚCUTA</v>
      </c>
      <c r="D6754" s="15" t="str">
        <f>IFERROR(__xludf.DUMMYFUNCTION("""COMPUTED_VALUE"""),"BOGOTÁ")</f>
        <v>BOGOTÁ</v>
      </c>
      <c r="E6754" s="15" t="str">
        <f>IFERROR(__xludf.DUMMYFUNCTION("""COMPUTED_VALUE"""),"Asociacion Agropecuaria Juana Maria")</f>
        <v>Asociacion Agropecuaria Juana Maria</v>
      </c>
      <c r="F6754" s="17" t="str">
        <f>IFERROR(__xludf.DUMMYFUNCTION("""COMPUTED_VALUE"""),"AV. 2E # 15 A -17   PISTACHO FIT MARKET BARRIO CAOBOS")</f>
        <v>AV. 2E # 15 A -17   PISTACHO FIT MARKET BARRIO CAOBOS</v>
      </c>
      <c r="G6754" s="15" t="str">
        <f>IFERROR(__xludf.DUMMYFUNCTION("""COMPUTED_VALUE"""),"DACCY KARINA LOPEZ")</f>
        <v>DACCY KARINA LOPEZ</v>
      </c>
      <c r="H6754" s="16">
        <f>IFERROR(__xludf.DUMMYFUNCTION("""COMPUTED_VALUE"""),15294.0)</f>
        <v>15294</v>
      </c>
      <c r="I6754" s="18">
        <f>IFERROR(__xludf.DUMMYFUNCTION("""COMPUTED_VALUE"""),21.0)</f>
        <v>21</v>
      </c>
      <c r="J6754" s="18">
        <f>IFERROR(__xludf.DUMMYFUNCTION("""COMPUTED_VALUE"""),37.0)</f>
        <v>37</v>
      </c>
      <c r="K6754" s="18">
        <f>IFERROR(__xludf.DUMMYFUNCTION("""COMPUTED_VALUE"""),30.0)</f>
        <v>30</v>
      </c>
      <c r="L6754" s="17">
        <f>IFERROR(__xludf.DUMMYFUNCTION("""COMPUTED_VALUE"""),3.208615379E9)</f>
        <v>3208615379</v>
      </c>
      <c r="M6754" s="17" t="str">
        <f>IFERROR(__xludf.DUMMYFUNCTION("""COMPUTED_VALUE"""),"#REF!")</f>
        <v>#REF!</v>
      </c>
      <c r="N6754" s="17"/>
      <c r="O6754" s="17"/>
      <c r="P6754" s="17" t="b">
        <f>IFERROR(__xludf.DUMMYFUNCTION("""COMPUTED_VALUE"""),FALSE)</f>
        <v>0</v>
      </c>
      <c r="Q6754" s="20" t="str">
        <f>IFERROR(__xludf.DUMMYFUNCTION("""COMPUTED_VALUE"""),"")</f>
        <v/>
      </c>
      <c r="R6754" s="22" t="str">
        <f>IFERROR(__xludf.DUMMYFUNCTION("""COMPUTED_VALUE"""),"")</f>
        <v/>
      </c>
    </row>
    <row r="6755">
      <c r="A6755" s="15">
        <f>IFERROR(__xludf.DUMMYFUNCTION("""COMPUTED_VALUE"""),45191.0)</f>
        <v>45191</v>
      </c>
      <c r="B6755" s="16" t="str">
        <f>IFERROR(__xludf.DUMMYFUNCTION("""COMPUTED_VALUE"""),"Envia")</f>
        <v>Envia</v>
      </c>
      <c r="C6755" s="15" t="str">
        <f>IFERROR(__xludf.DUMMYFUNCTION("""COMPUTED_VALUE"""),"CÚCUTA")</f>
        <v>CÚCUTA</v>
      </c>
      <c r="D6755" s="15" t="str">
        <f>IFERROR(__xludf.DUMMYFUNCTION("""COMPUTED_VALUE"""),"BOGOTÁ")</f>
        <v>BOGOTÁ</v>
      </c>
      <c r="E6755" s="15" t="str">
        <f>IFERROR(__xludf.DUMMYFUNCTION("""COMPUTED_VALUE"""),"Ins. Alimento Vital")</f>
        <v>Ins. Alimento Vital</v>
      </c>
      <c r="F6755" s="17" t="str">
        <f>IFERROR(__xludf.DUMMYFUNCTION("""COMPUTED_VALUE"""),"AV 0AE 2N 57  / CASA / BARRIO CAPELLANA POR LA OLIMPICA DE LA 0")</f>
        <v>AV 0AE 2N 57  / CASA / BARRIO CAPELLANA POR LA OLIMPICA DE LA 0</v>
      </c>
      <c r="G6755" s="15" t="str">
        <f>IFERROR(__xludf.DUMMYFUNCTION("""COMPUTED_VALUE"""),"ERIKA LEONOR VASQUEZ AMAYA")</f>
        <v>ERIKA LEONOR VASQUEZ AMAYA</v>
      </c>
      <c r="H6755" s="16">
        <f>IFERROR(__xludf.DUMMYFUNCTION("""COMPUTED_VALUE"""),15450.0)</f>
        <v>15450</v>
      </c>
      <c r="I6755" s="18">
        <f>IFERROR(__xludf.DUMMYFUNCTION("""COMPUTED_VALUE"""),1.0)</f>
        <v>1</v>
      </c>
      <c r="J6755" s="18">
        <f>IFERROR(__xludf.DUMMYFUNCTION("""COMPUTED_VALUE"""),1.0)</f>
        <v>1</v>
      </c>
      <c r="K6755" s="18">
        <f>IFERROR(__xludf.DUMMYFUNCTION("""COMPUTED_VALUE"""),1.0)</f>
        <v>1</v>
      </c>
      <c r="L6755" s="17">
        <f>IFERROR(__xludf.DUMMYFUNCTION("""COMPUTED_VALUE"""),3.185355209E9)</f>
        <v>3185355209</v>
      </c>
      <c r="M6755" s="17" t="str">
        <f>IFERROR(__xludf.DUMMYFUNCTION("""COMPUTED_VALUE"""),"#REF!")</f>
        <v>#REF!</v>
      </c>
      <c r="N6755" s="17"/>
      <c r="O6755" s="17"/>
      <c r="P6755" s="17" t="b">
        <f>IFERROR(__xludf.DUMMYFUNCTION("""COMPUTED_VALUE"""),FALSE)</f>
        <v>0</v>
      </c>
      <c r="Q6755" s="20" t="str">
        <f>IFERROR(__xludf.DUMMYFUNCTION("""COMPUTED_VALUE"""),"")</f>
        <v/>
      </c>
      <c r="R6755" s="22" t="str">
        <f>IFERROR(__xludf.DUMMYFUNCTION("""COMPUTED_VALUE"""),"")</f>
        <v/>
      </c>
    </row>
    <row r="6756">
      <c r="A6756" s="15">
        <f>IFERROR(__xludf.DUMMYFUNCTION("""COMPUTED_VALUE"""),45191.0)</f>
        <v>45191</v>
      </c>
      <c r="B6756" s="16" t="str">
        <f>IFERROR(__xludf.DUMMYFUNCTION("""COMPUTED_VALUE"""),"Envia")</f>
        <v>Envia</v>
      </c>
      <c r="C6756" s="15" t="str">
        <f>IFERROR(__xludf.DUMMYFUNCTION("""COMPUTED_VALUE"""),"CÚCUTA")</f>
        <v>CÚCUTA</v>
      </c>
      <c r="D6756" s="15" t="str">
        <f>IFERROR(__xludf.DUMMYFUNCTION("""COMPUTED_VALUE"""),"BOGOTÁ")</f>
        <v>BOGOTÁ</v>
      </c>
      <c r="E6756" s="15" t="str">
        <f>IFERROR(__xludf.DUMMYFUNCTION("""COMPUTED_VALUE"""),"Pan de Waffle")</f>
        <v>Pan de Waffle</v>
      </c>
      <c r="F6756" s="17" t="str">
        <f>IFERROR(__xludf.DUMMYFUNCTION("""COMPUTED_VALUE"""),"Av. 17e # 2N - 65 Conjunto Palma Real Casa T12 cerca a la Clinica Duarte / Av. 17e # 2N - 65 Conjunto Palma Real Casa T12 cerca a la Clinica Duarte / Av. 17e # 2N - 65 Conjunto Palma Real Casa T12 cerca a la Clinica Duarte")</f>
        <v>Av. 17e # 2N - 65 Conjunto Palma Real Casa T12 cerca a la Clinica Duarte / Av. 17e # 2N - 65 Conjunto Palma Real Casa T12 cerca a la Clinica Duarte / Av. 17e # 2N - 65 Conjunto Palma Real Casa T12 cerca a la Clinica Duarte</v>
      </c>
      <c r="G6756" s="15" t="str">
        <f>IFERROR(__xludf.DUMMYFUNCTION("""COMPUTED_VALUE"""),"DANIELA VILLAMIZAR")</f>
        <v>DANIELA VILLAMIZAR</v>
      </c>
      <c r="H6756" s="16">
        <f>IFERROR(__xludf.DUMMYFUNCTION("""COMPUTED_VALUE"""),15459.0)</f>
        <v>15459</v>
      </c>
      <c r="I6756" s="18">
        <f>IFERROR(__xludf.DUMMYFUNCTION("""COMPUTED_VALUE"""),40.0)</f>
        <v>40</v>
      </c>
      <c r="J6756" s="18">
        <f>IFERROR(__xludf.DUMMYFUNCTION("""COMPUTED_VALUE"""),40.0)</f>
        <v>40</v>
      </c>
      <c r="K6756" s="18">
        <f>IFERROR(__xludf.DUMMYFUNCTION("""COMPUTED_VALUE"""),30.0)</f>
        <v>30</v>
      </c>
      <c r="L6756" s="17">
        <f>IFERROR(__xludf.DUMMYFUNCTION("""COMPUTED_VALUE"""),3.155828995E9)</f>
        <v>3155828995</v>
      </c>
      <c r="M6756" s="17" t="str">
        <f>IFERROR(__xludf.DUMMYFUNCTION("""COMPUTED_VALUE"""),"#REF!")</f>
        <v>#REF!</v>
      </c>
      <c r="N6756" s="17"/>
      <c r="O6756" s="17"/>
      <c r="P6756" s="17" t="b">
        <f>IFERROR(__xludf.DUMMYFUNCTION("""COMPUTED_VALUE"""),FALSE)</f>
        <v>0</v>
      </c>
      <c r="Q6756" s="20" t="str">
        <f>IFERROR(__xludf.DUMMYFUNCTION("""COMPUTED_VALUE"""),"")</f>
        <v/>
      </c>
      <c r="R6756" s="22" t="str">
        <f>IFERROR(__xludf.DUMMYFUNCTION("""COMPUTED_VALUE"""),"")</f>
        <v/>
      </c>
    </row>
    <row r="6757">
      <c r="A6757" s="15">
        <f>IFERROR(__xludf.DUMMYFUNCTION("""COMPUTED_VALUE"""),45191.0)</f>
        <v>45191</v>
      </c>
      <c r="B6757" s="16" t="str">
        <f>IFERROR(__xludf.DUMMYFUNCTION("""COMPUTED_VALUE"""),"Envia")</f>
        <v>Envia</v>
      </c>
      <c r="C6757" s="15" t="str">
        <f>IFERROR(__xludf.DUMMYFUNCTION("""COMPUTED_VALUE"""),"CÚCUTA")</f>
        <v>CÚCUTA</v>
      </c>
      <c r="D6757" s="15" t="str">
        <f>IFERROR(__xludf.DUMMYFUNCTION("""COMPUTED_VALUE"""),"MEDELLÍN")</f>
        <v>MEDELLÍN</v>
      </c>
      <c r="E6757" s="15" t="str">
        <f>IFERROR(__xludf.DUMMYFUNCTION("""COMPUTED_VALUE"""),"Helados swip")</f>
        <v>Helados swip</v>
      </c>
      <c r="F6757" s="17" t="str">
        <f>IFERROR(__xludf.DUMMYFUNCTION("""COMPUTED_VALUE"""),"AV 3E # 6 CN 12  / CEIBA DOS  / DIAGONAL SUPERMERCADO 24 HORAS")</f>
        <v>AV 3E # 6 CN 12  / CEIBA DOS  / DIAGONAL SUPERMERCADO 24 HORAS</v>
      </c>
      <c r="G6757" s="15" t="str">
        <f>IFERROR(__xludf.DUMMYFUNCTION("""COMPUTED_VALUE"""),"LA BODEGUITA -FABIAN")</f>
        <v>LA BODEGUITA -FABIAN</v>
      </c>
      <c r="H6757" s="16">
        <f>IFERROR(__xludf.DUMMYFUNCTION("""COMPUTED_VALUE"""),15455.0)</f>
        <v>15455</v>
      </c>
      <c r="I6757" s="18">
        <f>IFERROR(__xludf.DUMMYFUNCTION("""COMPUTED_VALUE"""),29.0)</f>
        <v>29</v>
      </c>
      <c r="J6757" s="18">
        <f>IFERROR(__xludf.DUMMYFUNCTION("""COMPUTED_VALUE"""),55.0)</f>
        <v>55</v>
      </c>
      <c r="K6757" s="18">
        <f>IFERROR(__xludf.DUMMYFUNCTION("""COMPUTED_VALUE"""),45.0)</f>
        <v>45</v>
      </c>
      <c r="L6757" s="17">
        <f>IFERROR(__xludf.DUMMYFUNCTION("""COMPUTED_VALUE"""),3.209091389E9)</f>
        <v>3209091389</v>
      </c>
      <c r="M6757" s="17" t="str">
        <f>IFERROR(__xludf.DUMMYFUNCTION("""COMPUTED_VALUE"""),"#REF!")</f>
        <v>#REF!</v>
      </c>
      <c r="N6757" s="17"/>
      <c r="O6757" s="17"/>
      <c r="P6757" s="17" t="b">
        <f>IFERROR(__xludf.DUMMYFUNCTION("""COMPUTED_VALUE"""),FALSE)</f>
        <v>0</v>
      </c>
      <c r="Q6757" s="20" t="str">
        <f>IFERROR(__xludf.DUMMYFUNCTION("""COMPUTED_VALUE"""),"")</f>
        <v/>
      </c>
      <c r="R6757" s="22" t="str">
        <f>IFERROR(__xludf.DUMMYFUNCTION("""COMPUTED_VALUE"""),"")</f>
        <v/>
      </c>
    </row>
    <row r="6758">
      <c r="A6758" s="15">
        <f>IFERROR(__xludf.DUMMYFUNCTION("""COMPUTED_VALUE"""),45191.0)</f>
        <v>45191</v>
      </c>
      <c r="B6758" s="16" t="str">
        <f>IFERROR(__xludf.DUMMYFUNCTION("""COMPUTED_VALUE"""),"Envia")</f>
        <v>Envia</v>
      </c>
      <c r="C6758" s="15" t="str">
        <f>IFERROR(__xludf.DUMMYFUNCTION("""COMPUTED_VALUE"""),"MEDELLÍN")</f>
        <v>MEDELLÍN</v>
      </c>
      <c r="D6758" s="15" t="str">
        <f>IFERROR(__xludf.DUMMYFUNCTION("""COMPUTED_VALUE"""),"BOGOTÁ")</f>
        <v>BOGOTÁ</v>
      </c>
      <c r="E6758" s="15" t="str">
        <f>IFERROR(__xludf.DUMMYFUNCTION("""COMPUTED_VALUE"""),"Helados Artesanos")</f>
        <v>Helados Artesanos</v>
      </c>
      <c r="F6758" s="17" t="str">
        <f>IFERROR(__xludf.DUMMYFUNCTION("""COMPUTED_VALUE"""),"CDI Medellin / CDI Medellin / CDI Medellin")</f>
        <v>CDI Medellin / CDI Medellin / CDI Medellin</v>
      </c>
      <c r="G6758" s="15" t="str">
        <f>IFERROR(__xludf.DUMMYFUNCTION("""COMPUTED_VALUE"""),"Paula Marcela Gallego Z")</f>
        <v>Paula Marcela Gallego Z</v>
      </c>
      <c r="H6758" s="16">
        <f>IFERROR(__xludf.DUMMYFUNCTION("""COMPUTED_VALUE"""),15515.0)</f>
        <v>15515</v>
      </c>
      <c r="I6758" s="18">
        <f>IFERROR(__xludf.DUMMYFUNCTION("""COMPUTED_VALUE"""),20.0)</f>
        <v>20</v>
      </c>
      <c r="J6758" s="18">
        <f>IFERROR(__xludf.DUMMYFUNCTION("""COMPUTED_VALUE"""),19.0)</f>
        <v>19</v>
      </c>
      <c r="K6758" s="18">
        <f>IFERROR(__xludf.DUMMYFUNCTION("""COMPUTED_VALUE"""),15.0)</f>
        <v>15</v>
      </c>
      <c r="L6758" s="17">
        <f>IFERROR(__xludf.DUMMYFUNCTION("""COMPUTED_VALUE"""),3.21852558E9)</f>
        <v>3218525580</v>
      </c>
      <c r="M6758" s="17" t="str">
        <f>IFERROR(__xludf.DUMMYFUNCTION("""COMPUTED_VALUE"""),"#REF!")</f>
        <v>#REF!</v>
      </c>
      <c r="N6758" s="17"/>
      <c r="O6758" s="17"/>
      <c r="P6758" s="17" t="b">
        <f>IFERROR(__xludf.DUMMYFUNCTION("""COMPUTED_VALUE"""),FALSE)</f>
        <v>0</v>
      </c>
      <c r="Q6758" s="20" t="str">
        <f>IFERROR(__xludf.DUMMYFUNCTION("""COMPUTED_VALUE"""),"")</f>
        <v/>
      </c>
      <c r="R6758" s="22" t="str">
        <f>IFERROR(__xludf.DUMMYFUNCTION("""COMPUTED_VALUE"""),"")</f>
        <v/>
      </c>
    </row>
    <row r="6759">
      <c r="A6759" s="15">
        <f>IFERROR(__xludf.DUMMYFUNCTION("""COMPUTED_VALUE"""),45191.0)</f>
        <v>45191</v>
      </c>
      <c r="B6759" s="16" t="str">
        <f>IFERROR(__xludf.DUMMYFUNCTION("""COMPUTED_VALUE"""),"Envia")</f>
        <v>Envia</v>
      </c>
      <c r="C6759" s="15" t="str">
        <f>IFERROR(__xludf.DUMMYFUNCTION("""COMPUTED_VALUE"""),"MEDELLÍN")</f>
        <v>MEDELLÍN</v>
      </c>
      <c r="D6759" s="15" t="str">
        <f>IFERROR(__xludf.DUMMYFUNCTION("""COMPUTED_VALUE"""),"BOGOTÁ")</f>
        <v>BOGOTÁ</v>
      </c>
      <c r="E6759" s="15" t="str">
        <f>IFERROR(__xludf.DUMMYFUNCTION("""COMPUTED_VALUE"""),"La Trigoletta")</f>
        <v>La Trigoletta</v>
      </c>
      <c r="F6759" s="17" t="str">
        <f>IFERROR(__xludf.DUMMYFUNCTION("""COMPUTED_VALUE"""),"Calle 27A # 53 - 49  / Segundo Piso Cabañas (Bello/Antioquia) / Bello")</f>
        <v>Calle 27A # 53 - 49  / Segundo Piso Cabañas (Bello/Antioquia) / Bello</v>
      </c>
      <c r="G6759" s="15" t="str">
        <f>IFERROR(__xludf.DUMMYFUNCTION("""COMPUTED_VALUE"""),"Paola Mejía")</f>
        <v>Paola Mejía</v>
      </c>
      <c r="H6759" s="16">
        <f>IFERROR(__xludf.DUMMYFUNCTION("""COMPUTED_VALUE"""),15514.0)</f>
        <v>15514</v>
      </c>
      <c r="I6759" s="18">
        <f>IFERROR(__xludf.DUMMYFUNCTION("""COMPUTED_VALUE"""),8.0)</f>
        <v>8</v>
      </c>
      <c r="J6759" s="18">
        <f>IFERROR(__xludf.DUMMYFUNCTION("""COMPUTED_VALUE"""),26.0)</f>
        <v>26</v>
      </c>
      <c r="K6759" s="18">
        <f>IFERROR(__xludf.DUMMYFUNCTION("""COMPUTED_VALUE"""),50.0)</f>
        <v>50</v>
      </c>
      <c r="L6759" s="17">
        <f>IFERROR(__xludf.DUMMYFUNCTION("""COMPUTED_VALUE"""),3.012426317E9)</f>
        <v>3012426317</v>
      </c>
      <c r="M6759" s="17" t="str">
        <f>IFERROR(__xludf.DUMMYFUNCTION("""COMPUTED_VALUE"""),"#REF!")</f>
        <v>#REF!</v>
      </c>
      <c r="N6759" s="17"/>
      <c r="O6759" s="17"/>
      <c r="P6759" s="17" t="b">
        <f>IFERROR(__xludf.DUMMYFUNCTION("""COMPUTED_VALUE"""),FALSE)</f>
        <v>0</v>
      </c>
      <c r="Q6759" s="20" t="str">
        <f>IFERROR(__xludf.DUMMYFUNCTION("""COMPUTED_VALUE"""),"")</f>
        <v/>
      </c>
      <c r="R6759" s="21" t="str">
        <f>IFERROR(__xludf.DUMMYFUNCTION("""COMPUTED_VALUE"""),"https://drive.google.com/file/d/15h3nclyCpEuxCaQhiBhupV09VAQH6pAL/view?usp=drivesdk")</f>
        <v>https://drive.google.com/file/d/15h3nclyCpEuxCaQhiBhupV09VAQH6pAL/view?usp=drivesdk</v>
      </c>
    </row>
    <row r="6760">
      <c r="A6760" s="15">
        <f>IFERROR(__xludf.DUMMYFUNCTION("""COMPUTED_VALUE"""),45191.0)</f>
        <v>45191</v>
      </c>
      <c r="B6760" s="16" t="str">
        <f>IFERROR(__xludf.DUMMYFUNCTION("""COMPUTED_VALUE"""),"Envia")</f>
        <v>Envia</v>
      </c>
      <c r="C6760" s="15" t="str">
        <f>IFERROR(__xludf.DUMMYFUNCTION("""COMPUTED_VALUE"""),"PEREIRA")</f>
        <v>PEREIRA</v>
      </c>
      <c r="D6760" s="15" t="str">
        <f>IFERROR(__xludf.DUMMYFUNCTION("""COMPUTED_VALUE"""),"BOGOTÁ")</f>
        <v>BOGOTÁ</v>
      </c>
      <c r="E6760" s="15" t="str">
        <f>IFERROR(__xludf.DUMMYFUNCTION("""COMPUTED_VALUE"""),"Karem foods")</f>
        <v>Karem foods</v>
      </c>
      <c r="F6760" s="17" t="str">
        <f>IFERROR(__xludf.DUMMYFUNCTION("""COMPUTED_VALUE"""),"calle 12 #24-02 / Ed Tirrenia Apt 602 / Edificio blanco con detalles café, amarillo, enfrente de una obra de construcción y un árbol grande")</f>
        <v>calle 12 #24-02 / Ed Tirrenia Apt 602 / Edificio blanco con detalles café, amarillo, enfrente de una obra de construcción y un árbol grande</v>
      </c>
      <c r="G6760" s="15" t="str">
        <f>IFERROR(__xludf.DUMMYFUNCTION("""COMPUTED_VALUE"""),"Badih Merheg")</f>
        <v>Badih Merheg</v>
      </c>
      <c r="H6760" s="16">
        <f>IFERROR(__xludf.DUMMYFUNCTION("""COMPUTED_VALUE"""),15523.0)</f>
        <v>15523</v>
      </c>
      <c r="I6760" s="18">
        <f>IFERROR(__xludf.DUMMYFUNCTION("""COMPUTED_VALUE"""),1.0)</f>
        <v>1</v>
      </c>
      <c r="J6760" s="18">
        <f>IFERROR(__xludf.DUMMYFUNCTION("""COMPUTED_VALUE"""),1.0)</f>
        <v>1</v>
      </c>
      <c r="K6760" s="18">
        <f>IFERROR(__xludf.DUMMYFUNCTION("""COMPUTED_VALUE"""),1.0)</f>
        <v>1</v>
      </c>
      <c r="L6760" s="17">
        <f>IFERROR(__xludf.DUMMYFUNCTION("""COMPUTED_VALUE"""),3.336075115E9)</f>
        <v>3336075115</v>
      </c>
      <c r="M6760" s="17" t="str">
        <f>IFERROR(__xludf.DUMMYFUNCTION("""COMPUTED_VALUE"""),"#REF!")</f>
        <v>#REF!</v>
      </c>
      <c r="N6760" s="17"/>
      <c r="O6760" s="17"/>
      <c r="P6760" s="17" t="b">
        <f>IFERROR(__xludf.DUMMYFUNCTION("""COMPUTED_VALUE"""),FALSE)</f>
        <v>0</v>
      </c>
      <c r="Q6760" s="20" t="str">
        <f>IFERROR(__xludf.DUMMYFUNCTION("""COMPUTED_VALUE"""),"")</f>
        <v/>
      </c>
      <c r="R6760" s="21" t="str">
        <f>IFERROR(__xludf.DUMMYFUNCTION("""COMPUTED_VALUE"""),"https://drive.google.com/file/d/1HZdNZYpMnF-Jb-xvXOS_P7Tfp6nzp_We/view?usp=drivesdk")</f>
        <v>https://drive.google.com/file/d/1HZdNZYpMnF-Jb-xvXOS_P7Tfp6nzp_We/view?usp=drivesdk</v>
      </c>
    </row>
    <row r="6761">
      <c r="A6761" s="15">
        <f>IFERROR(__xludf.DUMMYFUNCTION("""COMPUTED_VALUE"""),45191.0)</f>
        <v>45191</v>
      </c>
      <c r="B6761" s="16" t="str">
        <f>IFERROR(__xludf.DUMMYFUNCTION("""COMPUTED_VALUE"""),"Envia")</f>
        <v>Envia</v>
      </c>
      <c r="C6761" s="15" t="str">
        <f>IFERROR(__xludf.DUMMYFUNCTION("""COMPUTED_VALUE"""),"PEREIRA")</f>
        <v>PEREIRA</v>
      </c>
      <c r="D6761" s="15" t="str">
        <f>IFERROR(__xludf.DUMMYFUNCTION("""COMPUTED_VALUE"""),"BUCARAMANGA")</f>
        <v>BUCARAMANGA</v>
      </c>
      <c r="E6761" s="15" t="str">
        <f>IFERROR(__xludf.DUMMYFUNCTION("""COMPUTED_VALUE"""),"Yo Como Solito")</f>
        <v>Yo Como Solito</v>
      </c>
      <c r="F6761" s="17" t="str">
        <f>IFERROR(__xludf.DUMMYFUNCTION("""COMPUTED_VALUE"""),"AVENIDA CONDINA #89-02 TORRE 2 APARTAMENTO 1101 CONJUNTO PALMACERA  / AVENIDA CONDINA #89-02 TORRE 2 APARTAMENTO 1101 CONJUNTO PALMACERA / AVENIDA CONDINA #89-02 TORRE 2 APARTAMENTO 1101 CONJUNTO PALMACERA")</f>
        <v>AVENIDA CONDINA #89-02 TORRE 2 APARTAMENTO 1101 CONJUNTO PALMACERA  / AVENIDA CONDINA #89-02 TORRE 2 APARTAMENTO 1101 CONJUNTO PALMACERA / AVENIDA CONDINA #89-02 TORRE 2 APARTAMENTO 1101 CONJUNTO PALMACERA</v>
      </c>
      <c r="G6761" s="15" t="str">
        <f>IFERROR(__xludf.DUMMYFUNCTION("""COMPUTED_VALUE"""),"CRISTINA URUEÑA ARCINIEGAS")</f>
        <v>CRISTINA URUEÑA ARCINIEGAS</v>
      </c>
      <c r="H6761" s="16">
        <f>IFERROR(__xludf.DUMMYFUNCTION("""COMPUTED_VALUE"""),15408.0)</f>
        <v>15408</v>
      </c>
      <c r="I6761" s="18">
        <f>IFERROR(__xludf.DUMMYFUNCTION("""COMPUTED_VALUE"""),11.0)</f>
        <v>11</v>
      </c>
      <c r="J6761" s="18">
        <f>IFERROR(__xludf.DUMMYFUNCTION("""COMPUTED_VALUE"""),21.0)</f>
        <v>21</v>
      </c>
      <c r="K6761" s="18">
        <f>IFERROR(__xludf.DUMMYFUNCTION("""COMPUTED_VALUE"""),32.0)</f>
        <v>32</v>
      </c>
      <c r="L6761" s="17">
        <f>IFERROR(__xludf.DUMMYFUNCTION("""COMPUTED_VALUE"""),3.164052922E9)</f>
        <v>3164052922</v>
      </c>
      <c r="M6761" s="17" t="str">
        <f>IFERROR(__xludf.DUMMYFUNCTION("""COMPUTED_VALUE"""),"#REF!")</f>
        <v>#REF!</v>
      </c>
      <c r="N6761" s="17"/>
      <c r="O6761" s="17"/>
      <c r="P6761" s="17" t="b">
        <f>IFERROR(__xludf.DUMMYFUNCTION("""COMPUTED_VALUE"""),TRUE)</f>
        <v>1</v>
      </c>
      <c r="Q6761" s="20">
        <f>IFERROR(__xludf.DUMMYFUNCTION("""COMPUTED_VALUE"""),45191.68383340278)</f>
        <v>45191.68383</v>
      </c>
      <c r="R6761" s="21" t="str">
        <f>IFERROR(__xludf.DUMMYFUNCTION("""COMPUTED_VALUE"""),"https://drive.google.com/file/d/1RKFRbw7sWh823u17qAlDZ50vhbhseI1z/view?usp=drivesdk")</f>
        <v>https://drive.google.com/file/d/1RKFRbw7sWh823u17qAlDZ50vhbhseI1z/view?usp=drivesdk</v>
      </c>
    </row>
    <row r="6762">
      <c r="A6762" s="15">
        <f>IFERROR(__xludf.DUMMYFUNCTION("""COMPUTED_VALUE"""),45191.0)</f>
        <v>45191</v>
      </c>
      <c r="B6762" s="16" t="str">
        <f>IFERROR(__xludf.DUMMYFUNCTION("""COMPUTED_VALUE"""),"Envia")</f>
        <v>Envia</v>
      </c>
      <c r="C6762" s="15" t="str">
        <f>IFERROR(__xludf.DUMMYFUNCTION("""COMPUTED_VALUE"""),"SANTA MARTA")</f>
        <v>SANTA MARTA</v>
      </c>
      <c r="D6762" s="15" t="str">
        <f>IFERROR(__xludf.DUMMYFUNCTION("""COMPUTED_VALUE"""),"MEDELLÍN")</f>
        <v>MEDELLÍN</v>
      </c>
      <c r="E6762" s="15" t="str">
        <f>IFERROR(__xludf.DUMMYFUNCTION("""COMPUTED_VALUE"""),"AREPAS LA MARY")</f>
        <v>AREPAS LA MARY</v>
      </c>
      <c r="F6762" s="17" t="str">
        <f>IFERROR(__xludf.DUMMYFUNCTION("""COMPUTED_VALUE"""),"CALLE 24 N.3 95 / SANTA MARTA")</f>
        <v>CALLE 24 N.3 95 / SANTA MARTA</v>
      </c>
      <c r="G6762" s="15" t="str">
        <f>IFERROR(__xludf.DUMMYFUNCTION("""COMPUTED_VALUE"""),"DRA ELIANA CANTILLO")</f>
        <v>DRA ELIANA CANTILLO</v>
      </c>
      <c r="H6762" s="16">
        <f>IFERROR(__xludf.DUMMYFUNCTION("""COMPUTED_VALUE"""),15358.0)</f>
        <v>15358</v>
      </c>
      <c r="I6762" s="18">
        <f>IFERROR(__xludf.DUMMYFUNCTION("""COMPUTED_VALUE"""),89.0)</f>
        <v>89</v>
      </c>
      <c r="J6762" s="18">
        <f>IFERROR(__xludf.DUMMYFUNCTION("""COMPUTED_VALUE"""),1.0)</f>
        <v>1</v>
      </c>
      <c r="K6762" s="18">
        <f>IFERROR(__xludf.DUMMYFUNCTION("""COMPUTED_VALUE"""),10.0)</f>
        <v>10</v>
      </c>
      <c r="L6762" s="17">
        <f>IFERROR(__xludf.DUMMYFUNCTION("""COMPUTED_VALUE"""),3.123658329E9)</f>
        <v>3123658329</v>
      </c>
      <c r="M6762" s="17" t="str">
        <f>IFERROR(__xludf.DUMMYFUNCTION("""COMPUTED_VALUE"""),"#REF!")</f>
        <v>#REF!</v>
      </c>
      <c r="N6762" s="17"/>
      <c r="O6762" s="17"/>
      <c r="P6762" s="17" t="b">
        <f>IFERROR(__xludf.DUMMYFUNCTION("""COMPUTED_VALUE"""),TRUE)</f>
        <v>1</v>
      </c>
      <c r="Q6762" s="20">
        <f>IFERROR(__xludf.DUMMYFUNCTION("""COMPUTED_VALUE"""),45190.5134371412)</f>
        <v>45190.51344</v>
      </c>
      <c r="R6762" s="21" t="str">
        <f>IFERROR(__xludf.DUMMYFUNCTION("""COMPUTED_VALUE"""),"https://drive.google.com/file/d/1SR88rwsGj9rQ4f8tR-8dCRWeG1Qo9h9r/view?usp=drivesdk")</f>
        <v>https://drive.google.com/file/d/1SR88rwsGj9rQ4f8tR-8dCRWeG1Qo9h9r/view?usp=drivesdk</v>
      </c>
    </row>
    <row r="6763">
      <c r="A6763" s="15">
        <f>IFERROR(__xludf.DUMMYFUNCTION("""COMPUTED_VALUE"""),45191.0)</f>
        <v>45191</v>
      </c>
      <c r="B6763" s="16" t="str">
        <f>IFERROR(__xludf.DUMMYFUNCTION("""COMPUTED_VALUE"""),"Envia")</f>
        <v>Envia</v>
      </c>
      <c r="C6763" s="15" t="str">
        <f>IFERROR(__xludf.DUMMYFUNCTION("""COMPUTED_VALUE"""),"SANTA MARTA")</f>
        <v>SANTA MARTA</v>
      </c>
      <c r="D6763" s="15" t="str">
        <f>IFERROR(__xludf.DUMMYFUNCTION("""COMPUTED_VALUE"""),"MEDELLÍN")</f>
        <v>MEDELLÍN</v>
      </c>
      <c r="E6763" s="15" t="str">
        <f>IFERROR(__xludf.DUMMYFUNCTION("""COMPUTED_VALUE"""),"Baby Chef")</f>
        <v>Baby Chef</v>
      </c>
      <c r="F6763" s="17" t="str">
        <f>IFERROR(__xludf.DUMMYFUNCTION("""COMPUTED_VALUE"""),"Calle 30 #56-41 apto 504 edificio espacio 56 - Mamatoco  / ""Calle 30 #56-41 apto 504 edificio espacio 56 - Mamatoco "" / ""Calle 30 #56-41 apto 504 edificio espacio 56 - Mamatoco """)</f>
        <v>Calle 30 #56-41 apto 504 edificio espacio 56 - Mamatoco  / "Calle 30 #56-41 apto 504 edificio espacio 56 - Mamatoco " / "Calle 30 #56-41 apto 504 edificio espacio 56 - Mamatoco "</v>
      </c>
      <c r="G6763" s="15" t="str">
        <f>IFERROR(__xludf.DUMMYFUNCTION("""COMPUTED_VALUE"""),"Kely Gomez Figueredo")</f>
        <v>Kely Gomez Figueredo</v>
      </c>
      <c r="H6763" s="16">
        <f>IFERROR(__xludf.DUMMYFUNCTION("""COMPUTED_VALUE"""),15494.0)</f>
        <v>15494</v>
      </c>
      <c r="I6763" s="18">
        <f>IFERROR(__xludf.DUMMYFUNCTION("""COMPUTED_VALUE"""),5.0)</f>
        <v>5</v>
      </c>
      <c r="J6763" s="18">
        <f>IFERROR(__xludf.DUMMYFUNCTION("""COMPUTED_VALUE"""),22.0)</f>
        <v>22</v>
      </c>
      <c r="K6763" s="18">
        <f>IFERROR(__xludf.DUMMYFUNCTION("""COMPUTED_VALUE"""),27.0)</f>
        <v>27</v>
      </c>
      <c r="L6763" s="17">
        <f>IFERROR(__xludf.DUMMYFUNCTION("""COMPUTED_VALUE"""),3.24581029E9)</f>
        <v>3245810290</v>
      </c>
      <c r="M6763" s="17" t="str">
        <f>IFERROR(__xludf.DUMMYFUNCTION("""COMPUTED_VALUE"""),"#REF!")</f>
        <v>#REF!</v>
      </c>
      <c r="N6763" s="17"/>
      <c r="O6763" s="17"/>
      <c r="P6763" s="17" t="b">
        <f>IFERROR(__xludf.DUMMYFUNCTION("""COMPUTED_VALUE"""),TRUE)</f>
        <v>1</v>
      </c>
      <c r="Q6763" s="20">
        <f>IFERROR(__xludf.DUMMYFUNCTION("""COMPUTED_VALUE"""),45190.56777618056)</f>
        <v>45190.56778</v>
      </c>
      <c r="R6763" s="21" t="str">
        <f>IFERROR(__xludf.DUMMYFUNCTION("""COMPUTED_VALUE"""),"https://drive.google.com/file/d/1D446_LF3WyiRRYVGXfts7wqslQsxAEzk/view?usp=drivesdk")</f>
        <v>https://drive.google.com/file/d/1D446_LF3WyiRRYVGXfts7wqslQsxAEzk/view?usp=drivesdk</v>
      </c>
    </row>
    <row r="6764">
      <c r="A6764" s="15">
        <f>IFERROR(__xludf.DUMMYFUNCTION("""COMPUTED_VALUE"""),45191.0)</f>
        <v>45191</v>
      </c>
      <c r="B6764" s="16" t="str">
        <f>IFERROR(__xludf.DUMMYFUNCTION("""COMPUTED_VALUE"""),"Envia")</f>
        <v>Envia</v>
      </c>
      <c r="C6764" s="15" t="str">
        <f>IFERROR(__xludf.DUMMYFUNCTION("""COMPUTED_VALUE"""),"SANTA MARTA")</f>
        <v>SANTA MARTA</v>
      </c>
      <c r="D6764" s="15" t="str">
        <f>IFERROR(__xludf.DUMMYFUNCTION("""COMPUTED_VALUE"""),"MEDELLÍN")</f>
        <v>MEDELLÍN</v>
      </c>
      <c r="E6764" s="15" t="str">
        <f>IFERROR(__xludf.DUMMYFUNCTION("""COMPUTED_VALUE"""),"Magda")</f>
        <v>Magda</v>
      </c>
      <c r="F6764" s="17" t="str">
        <f>IFERROR(__xludf.DUMMYFUNCTION("""COMPUTED_VALUE"""),"Calle 22 # 6 - 82 / Local 27 Centro Comercial La 22 / centro")</f>
        <v>Calle 22 # 6 - 82 / Local 27 Centro Comercial La 22 / centro</v>
      </c>
      <c r="G6764" s="15" t="str">
        <f>IFERROR(__xludf.DUMMYFUNCTION("""COMPUTED_VALUE"""),"Shirley Manjarres")</f>
        <v>Shirley Manjarres</v>
      </c>
      <c r="H6764" s="16">
        <f>IFERROR(__xludf.DUMMYFUNCTION("""COMPUTED_VALUE"""),15500.0)</f>
        <v>15500</v>
      </c>
      <c r="I6764" s="18">
        <f>IFERROR(__xludf.DUMMYFUNCTION("""COMPUTED_VALUE"""),5.0)</f>
        <v>5</v>
      </c>
      <c r="J6764" s="18">
        <f>IFERROR(__xludf.DUMMYFUNCTION("""COMPUTED_VALUE"""),5.0)</f>
        <v>5</v>
      </c>
      <c r="K6764" s="18">
        <f>IFERROR(__xludf.DUMMYFUNCTION("""COMPUTED_VALUE"""),5.0)</f>
        <v>5</v>
      </c>
      <c r="L6764" s="17">
        <f>IFERROR(__xludf.DUMMYFUNCTION("""COMPUTED_VALUE"""),3.054269156E9)</f>
        <v>3054269156</v>
      </c>
      <c r="M6764" s="17" t="str">
        <f>IFERROR(__xludf.DUMMYFUNCTION("""COMPUTED_VALUE"""),"#REF!")</f>
        <v>#REF!</v>
      </c>
      <c r="N6764" s="17"/>
      <c r="O6764" s="17"/>
      <c r="P6764" s="17" t="b">
        <f>IFERROR(__xludf.DUMMYFUNCTION("""COMPUTED_VALUE"""),TRUE)</f>
        <v>1</v>
      </c>
      <c r="Q6764" s="20">
        <f>IFERROR(__xludf.DUMMYFUNCTION("""COMPUTED_VALUE"""),45190.51335195602)</f>
        <v>45190.51335</v>
      </c>
      <c r="R6764" s="22" t="str">
        <f>IFERROR(__xludf.DUMMYFUNCTION("""COMPUTED_VALUE"""),"")</f>
        <v/>
      </c>
    </row>
    <row r="6765">
      <c r="A6765" s="15">
        <f>IFERROR(__xludf.DUMMYFUNCTION("""COMPUTED_VALUE"""),45191.0)</f>
        <v>45191</v>
      </c>
      <c r="B6765" s="16" t="str">
        <f>IFERROR(__xludf.DUMMYFUNCTION("""COMPUTED_VALUE"""),"Envia")</f>
        <v>Envia</v>
      </c>
      <c r="C6765" s="15" t="str">
        <f>IFERROR(__xludf.DUMMYFUNCTION("""COMPUTED_VALUE"""),"SANTA MARTA")</f>
        <v>SANTA MARTA</v>
      </c>
      <c r="D6765" s="15" t="str">
        <f>IFERROR(__xludf.DUMMYFUNCTION("""COMPUTED_VALUE"""),"MEDELLÍN")</f>
        <v>MEDELLÍN</v>
      </c>
      <c r="E6765" s="15" t="str">
        <f>IFERROR(__xludf.DUMMYFUNCTION("""COMPUTED_VALUE"""),"Terravocado")</f>
        <v>Terravocado</v>
      </c>
      <c r="F6765" s="17" t="str">
        <f>IFERROR(__xludf.DUMMYFUNCTION("""COMPUTED_VALUE"""),"CL 18  # 4 - 05  / SANTA MARTA  / SANTAMARTA")</f>
        <v>CL 18  # 4 - 05  / SANTA MARTA  / SANTAMARTA</v>
      </c>
      <c r="G6765" s="15" t="str">
        <f>IFERROR(__xludf.DUMMYFUNCTION("""COMPUTED_VALUE"""),"GOOD FEAST SAS")</f>
        <v>GOOD FEAST SAS</v>
      </c>
      <c r="H6765" s="16">
        <f>IFERROR(__xludf.DUMMYFUNCTION("""COMPUTED_VALUE"""),15426.0)</f>
        <v>15426</v>
      </c>
      <c r="I6765" s="18">
        <f>IFERROR(__xludf.DUMMYFUNCTION("""COMPUTED_VALUE"""),20.0)</f>
        <v>20</v>
      </c>
      <c r="J6765" s="18">
        <f>IFERROR(__xludf.DUMMYFUNCTION("""COMPUTED_VALUE"""),24.0)</f>
        <v>24</v>
      </c>
      <c r="K6765" s="18">
        <f>IFERROR(__xludf.DUMMYFUNCTION("""COMPUTED_VALUE"""),34.0)</f>
        <v>34</v>
      </c>
      <c r="L6765" s="17">
        <f>IFERROR(__xludf.DUMMYFUNCTION("""COMPUTED_VALUE"""),3.13672152E9)</f>
        <v>3136721520</v>
      </c>
      <c r="M6765" s="17" t="str">
        <f>IFERROR(__xludf.DUMMYFUNCTION("""COMPUTED_VALUE"""),"#REF!")</f>
        <v>#REF!</v>
      </c>
      <c r="N6765" s="17"/>
      <c r="O6765" s="17"/>
      <c r="P6765" s="17" t="b">
        <f>IFERROR(__xludf.DUMMYFUNCTION("""COMPUTED_VALUE"""),FALSE)</f>
        <v>0</v>
      </c>
      <c r="Q6765" s="20" t="str">
        <f>IFERROR(__xludf.DUMMYFUNCTION("""COMPUTED_VALUE"""),"")</f>
        <v/>
      </c>
      <c r="R6765" s="22" t="str">
        <f>IFERROR(__xludf.DUMMYFUNCTION("""COMPUTED_VALUE"""),"")</f>
        <v/>
      </c>
    </row>
    <row r="6766">
      <c r="A6766" s="15">
        <f>IFERROR(__xludf.DUMMYFUNCTION("""COMPUTED_VALUE"""),45191.0)</f>
        <v>45191</v>
      </c>
      <c r="B6766" s="16" t="str">
        <f>IFERROR(__xludf.DUMMYFUNCTION("""COMPUTED_VALUE"""),"Envia")</f>
        <v>Envia</v>
      </c>
      <c r="C6766" s="15" t="str">
        <f>IFERROR(__xludf.DUMMYFUNCTION("""COMPUTED_VALUE"""),"SOLEDAD")</f>
        <v>SOLEDAD</v>
      </c>
      <c r="D6766" s="15" t="str">
        <f>IFERROR(__xludf.DUMMYFUNCTION("""COMPUTED_VALUE"""),"BOGOTÁ")</f>
        <v>BOGOTÁ</v>
      </c>
      <c r="E6766" s="15" t="str">
        <f>IFERROR(__xludf.DUMMYFUNCTION("""COMPUTED_VALUE"""),"Evamazzita")</f>
        <v>Evamazzita</v>
      </c>
      <c r="F6766" s="17" t="str">
        <f>IFERROR(__xludf.DUMMYFUNCTION("""COMPUTED_VALUE"""),"Cra 18 # 83-22 / Barrio los almendros")</f>
        <v>Cra 18 # 83-22 / Barrio los almendros</v>
      </c>
      <c r="G6766" s="15" t="str">
        <f>IFERROR(__xludf.DUMMYFUNCTION("""COMPUTED_VALUE"""),"DAYANA FUENTES")</f>
        <v>DAYANA FUENTES</v>
      </c>
      <c r="H6766" s="16">
        <f>IFERROR(__xludf.DUMMYFUNCTION("""COMPUTED_VALUE"""),15471.0)</f>
        <v>15471</v>
      </c>
      <c r="I6766" s="18">
        <f>IFERROR(__xludf.DUMMYFUNCTION("""COMPUTED_VALUE"""),1.0)</f>
        <v>1</v>
      </c>
      <c r="J6766" s="18">
        <f>IFERROR(__xludf.DUMMYFUNCTION("""COMPUTED_VALUE"""),1.0)</f>
        <v>1</v>
      </c>
      <c r="K6766" s="18">
        <f>IFERROR(__xludf.DUMMYFUNCTION("""COMPUTED_VALUE"""),1.0)</f>
        <v>1</v>
      </c>
      <c r="L6766" s="17">
        <f>IFERROR(__xludf.DUMMYFUNCTION("""COMPUTED_VALUE"""),3.104255199E9)</f>
        <v>3104255199</v>
      </c>
      <c r="M6766" s="17" t="str">
        <f>IFERROR(__xludf.DUMMYFUNCTION("""COMPUTED_VALUE"""),"#REF!")</f>
        <v>#REF!</v>
      </c>
      <c r="N6766" s="17"/>
      <c r="O6766" s="17"/>
      <c r="P6766" s="17" t="b">
        <f>IFERROR(__xludf.DUMMYFUNCTION("""COMPUTED_VALUE"""),FALSE)</f>
        <v>0</v>
      </c>
      <c r="Q6766" s="20" t="str">
        <f>IFERROR(__xludf.DUMMYFUNCTION("""COMPUTED_VALUE"""),"")</f>
        <v/>
      </c>
      <c r="R6766" s="22" t="str">
        <f>IFERROR(__xludf.DUMMYFUNCTION("""COMPUTED_VALUE"""),"")</f>
        <v/>
      </c>
    </row>
    <row r="6767">
      <c r="A6767" s="15">
        <f>IFERROR(__xludf.DUMMYFUNCTION("""COMPUTED_VALUE"""),45191.0)</f>
        <v>45191</v>
      </c>
      <c r="B6767" s="16" t="str">
        <f>IFERROR(__xludf.DUMMYFUNCTION("""COMPUTED_VALUE"""),"Envia")</f>
        <v>Envia</v>
      </c>
      <c r="C6767" s="15" t="str">
        <f>IFERROR(__xludf.DUMMYFUNCTION("""COMPUTED_VALUE"""),"VILLAVICENCIO")</f>
        <v>VILLAVICENCIO</v>
      </c>
      <c r="D6767" s="15" t="str">
        <f>IFERROR(__xludf.DUMMYFUNCTION("""COMPUTED_VALUE"""),"BOGOTÁ")</f>
        <v>BOGOTÁ</v>
      </c>
      <c r="E6767" s="15" t="str">
        <f>IFERROR(__xludf.DUMMYFUNCTION("""COMPUTED_VALUE"""),"Mochi")</f>
        <v>Mochi</v>
      </c>
      <c r="F6767" s="17" t="str">
        <f>IFERROR(__xludf.DUMMYFUNCTION("""COMPUTED_VALUE"""),"Calle 7#45- 18 / Centro comercial  / Quinta etapa ")</f>
        <v>Calle 7#45- 18 / Centro comercial  / Quinta etapa </v>
      </c>
      <c r="G6767" s="15" t="str">
        <f>IFERROR(__xludf.DUMMYFUNCTION("""COMPUTED_VALUE"""),"Natalia ")</f>
        <v>Natalia </v>
      </c>
      <c r="H6767" s="16">
        <f>IFERROR(__xludf.DUMMYFUNCTION("""COMPUTED_VALUE"""),15533.0)</f>
        <v>15533</v>
      </c>
      <c r="I6767" s="18">
        <f>IFERROR(__xludf.DUMMYFUNCTION("""COMPUTED_VALUE"""),55.0)</f>
        <v>55</v>
      </c>
      <c r="J6767" s="18">
        <f>IFERROR(__xludf.DUMMYFUNCTION("""COMPUTED_VALUE"""),44.0)</f>
        <v>44</v>
      </c>
      <c r="K6767" s="18">
        <f>IFERROR(__xludf.DUMMYFUNCTION("""COMPUTED_VALUE"""),52.5)</f>
        <v>52.5</v>
      </c>
      <c r="L6767" s="17">
        <f>IFERROR(__xludf.DUMMYFUNCTION("""COMPUTED_VALUE"""),3.134100428E9)</f>
        <v>3134100428</v>
      </c>
      <c r="M6767" s="17" t="str">
        <f>IFERROR(__xludf.DUMMYFUNCTION("""COMPUTED_VALUE"""),"#REF!")</f>
        <v>#REF!</v>
      </c>
      <c r="N6767" s="17"/>
      <c r="O6767" s="17"/>
      <c r="P6767" s="17" t="b">
        <f>IFERROR(__xludf.DUMMYFUNCTION("""COMPUTED_VALUE"""),FALSE)</f>
        <v>0</v>
      </c>
      <c r="Q6767" s="20" t="str">
        <f>IFERROR(__xludf.DUMMYFUNCTION("""COMPUTED_VALUE"""),"")</f>
        <v/>
      </c>
      <c r="R6767" s="22" t="str">
        <f>IFERROR(__xludf.DUMMYFUNCTION("""COMPUTED_VALUE"""),"")</f>
        <v/>
      </c>
    </row>
    <row r="6768">
      <c r="A6768" s="17" t="str">
        <f>IFERROR(__xludf.DUMMYFUNCTION("""COMPUTED_VALUE"""),"")</f>
        <v/>
      </c>
      <c r="B6768" s="17" t="str">
        <f>IFERROR(__xludf.DUMMYFUNCTION("""COMPUTED_VALUE"""),"")</f>
        <v/>
      </c>
      <c r="C6768" s="17" t="str">
        <f>IFERROR(__xludf.DUMMYFUNCTION("""COMPUTED_VALUE"""),"")</f>
        <v/>
      </c>
      <c r="D6768" s="17" t="str">
        <f>IFERROR(__xludf.DUMMYFUNCTION("""COMPUTED_VALUE"""),"")</f>
        <v/>
      </c>
      <c r="E6768" s="17" t="str">
        <f>IFERROR(__xludf.DUMMYFUNCTION("""COMPUTED_VALUE"""),"")</f>
        <v/>
      </c>
      <c r="F6768" s="17" t="str">
        <f>IFERROR(__xludf.DUMMYFUNCTION("""COMPUTED_VALUE"""),"")</f>
        <v/>
      </c>
      <c r="G6768" s="17" t="str">
        <f>IFERROR(__xludf.DUMMYFUNCTION("""COMPUTED_VALUE"""),"")</f>
        <v/>
      </c>
      <c r="H6768" s="17" t="str">
        <f>IFERROR(__xludf.DUMMYFUNCTION("""COMPUTED_VALUE"""),"")</f>
        <v/>
      </c>
      <c r="I6768" s="17" t="str">
        <f>IFERROR(__xludf.DUMMYFUNCTION("""COMPUTED_VALUE"""),"")</f>
        <v/>
      </c>
      <c r="J6768" s="17" t="str">
        <f>IFERROR(__xludf.DUMMYFUNCTION("""COMPUTED_VALUE"""),"")</f>
        <v/>
      </c>
      <c r="K6768" s="17" t="str">
        <f>IFERROR(__xludf.DUMMYFUNCTION("""COMPUTED_VALUE"""),"")</f>
        <v/>
      </c>
      <c r="L6768" s="17" t="str">
        <f>IFERROR(__xludf.DUMMYFUNCTION("""COMPUTED_VALUE"""),"")</f>
        <v/>
      </c>
      <c r="M6768" s="17" t="str">
        <f>IFERROR(__xludf.DUMMYFUNCTION("""COMPUTED_VALUE"""),"")</f>
        <v/>
      </c>
      <c r="N6768" s="17" t="str">
        <f>IFERROR(__xludf.DUMMYFUNCTION("""COMPUTED_VALUE"""),"")</f>
        <v/>
      </c>
      <c r="O6768" s="17" t="str">
        <f>IFERROR(__xludf.DUMMYFUNCTION("""COMPUTED_VALUE"""),"")</f>
        <v/>
      </c>
      <c r="P6768" s="17" t="str">
        <f>IFERROR(__xludf.DUMMYFUNCTION("""COMPUTED_VALUE"""),"")</f>
        <v/>
      </c>
      <c r="Q6768" s="17" t="str">
        <f>IFERROR(__xludf.DUMMYFUNCTION("""COMPUTED_VALUE"""),"")</f>
        <v/>
      </c>
      <c r="R6768" s="17" t="str">
        <f>IFERROR(__xludf.DUMMYFUNCTION("""COMPUTED_VALUE"""),"")</f>
        <v/>
      </c>
    </row>
    <row r="6769">
      <c r="A6769" s="15">
        <f>IFERROR(__xludf.DUMMYFUNCTION("""COMPUTED_VALUE"""),45191.0)</f>
        <v>45191</v>
      </c>
      <c r="B6769" s="16" t="str">
        <f>IFERROR(__xludf.DUMMYFUNCTION("""COMPUTED_VALUE"""),"Gustavo Medina Ibañez")</f>
        <v>Gustavo Medina Ibañez</v>
      </c>
      <c r="C6769" s="15" t="str">
        <f>IFERROR(__xludf.DUMMYFUNCTION("""COMPUTED_VALUE"""),"CARTAGENA")</f>
        <v>CARTAGENA</v>
      </c>
      <c r="D6769" s="15" t="str">
        <f>IFERROR(__xludf.DUMMYFUNCTION("""COMPUTED_VALUE"""),"BOGOTÁ")</f>
        <v>BOGOTÁ</v>
      </c>
      <c r="E6769" s="15" t="str">
        <f>IFERROR(__xludf.DUMMYFUNCTION("""COMPUTED_VALUE"""),"Mochi")</f>
        <v>Mochi</v>
      </c>
      <c r="F6769" s="17" t="str">
        <f>IFERROR(__xludf.DUMMYFUNCTION("""COMPUTED_VALUE"""),"Cra 11# 39- 21 / Centro comercial  / San diego")</f>
        <v>Cra 11# 39- 21 / Centro comercial  / San diego</v>
      </c>
      <c r="G6769" s="15" t="str">
        <f>IFERROR(__xludf.DUMMYFUNCTION("""COMPUTED_VALUE"""),"María Camila ")</f>
        <v>María Camila </v>
      </c>
      <c r="H6769" s="16">
        <f>IFERROR(__xludf.DUMMYFUNCTION("""COMPUTED_VALUE"""),15531.0)</f>
        <v>15531</v>
      </c>
      <c r="I6769" s="18">
        <f>IFERROR(__xludf.DUMMYFUNCTION("""COMPUTED_VALUE"""),55.0)</f>
        <v>55</v>
      </c>
      <c r="J6769" s="18">
        <f>IFERROR(__xludf.DUMMYFUNCTION("""COMPUTED_VALUE"""),44.0)</f>
        <v>44</v>
      </c>
      <c r="K6769" s="18">
        <f>IFERROR(__xludf.DUMMYFUNCTION("""COMPUTED_VALUE"""),52.5)</f>
        <v>52.5</v>
      </c>
      <c r="L6769" s="17">
        <f>IFERROR(__xludf.DUMMYFUNCTION("""COMPUTED_VALUE"""),3.116026252E9)</f>
        <v>3116026252</v>
      </c>
      <c r="M6769" s="17" t="str">
        <f>IFERROR(__xludf.DUMMYFUNCTION("""COMPUTED_VALUE"""),"#REF!")</f>
        <v>#REF!</v>
      </c>
      <c r="N6769" s="17"/>
      <c r="O6769" s="17"/>
      <c r="P6769" s="17" t="b">
        <f>IFERROR(__xludf.DUMMYFUNCTION("""COMPUTED_VALUE"""),FALSE)</f>
        <v>0</v>
      </c>
      <c r="Q6769" s="20" t="str">
        <f>IFERROR(__xludf.DUMMYFUNCTION("""COMPUTED_VALUE"""),"")</f>
        <v/>
      </c>
      <c r="R6769" s="22" t="str">
        <f>IFERROR(__xludf.DUMMYFUNCTION("""COMPUTED_VALUE"""),"")</f>
        <v/>
      </c>
    </row>
    <row r="6770">
      <c r="A6770" s="15">
        <f>IFERROR(__xludf.DUMMYFUNCTION("""COMPUTED_VALUE"""),45191.0)</f>
        <v>45191</v>
      </c>
      <c r="B6770" s="16" t="str">
        <f>IFERROR(__xludf.DUMMYFUNCTION("""COMPUTED_VALUE"""),"Gustavo Medina Ibañez")</f>
        <v>Gustavo Medina Ibañez</v>
      </c>
      <c r="C6770" s="15" t="str">
        <f>IFERROR(__xludf.DUMMYFUNCTION("""COMPUTED_VALUE"""),"MANIZALES")</f>
        <v>MANIZALES</v>
      </c>
      <c r="D6770" s="15" t="str">
        <f>IFERROR(__xludf.DUMMYFUNCTION("""COMPUTED_VALUE"""),"BUCARAMANGA")</f>
        <v>BUCARAMANGA</v>
      </c>
      <c r="E6770" s="15" t="str">
        <f>IFERROR(__xludf.DUMMYFUNCTION("""COMPUTED_VALUE"""),"Yo Como Solito")</f>
        <v>Yo Como Solito</v>
      </c>
      <c r="F6770" s="17" t="str">
        <f>IFERROR(__xludf.DUMMYFUNCTION("""COMPUTED_VALUE"""),"CARRERA 28D 70-46 BARRIO PALERMO-CASA /  CARRERA 28D 70-46 BARRIO PALERMO-CASA /  CARRERA 28D 70-46 BARRIO PALERMO-CASA")</f>
        <v>CARRERA 28D 70-46 BARRIO PALERMO-CASA /  CARRERA 28D 70-46 BARRIO PALERMO-CASA /  CARRERA 28D 70-46 BARRIO PALERMO-CASA</v>
      </c>
      <c r="G6770" s="15" t="str">
        <f>IFERROR(__xludf.DUMMYFUNCTION("""COMPUTED_VALUE"""),"PAULA XIMENA BOLAÑOS QUINTERO")</f>
        <v>PAULA XIMENA BOLAÑOS QUINTERO</v>
      </c>
      <c r="H6770" s="16">
        <f>IFERROR(__xludf.DUMMYFUNCTION("""COMPUTED_VALUE"""),15424.0)</f>
        <v>15424</v>
      </c>
      <c r="I6770" s="18">
        <f>IFERROR(__xludf.DUMMYFUNCTION("""COMPUTED_VALUE"""),26.0)</f>
        <v>26</v>
      </c>
      <c r="J6770" s="18">
        <f>IFERROR(__xludf.DUMMYFUNCTION("""COMPUTED_VALUE"""),25.0)</f>
        <v>25</v>
      </c>
      <c r="K6770" s="18">
        <f>IFERROR(__xludf.DUMMYFUNCTION("""COMPUTED_VALUE"""),40.0)</f>
        <v>40</v>
      </c>
      <c r="L6770" s="17">
        <f>IFERROR(__xludf.DUMMYFUNCTION("""COMPUTED_VALUE"""),3.10398467E9)</f>
        <v>3103984670</v>
      </c>
      <c r="M6770" s="17" t="str">
        <f>IFERROR(__xludf.DUMMYFUNCTION("""COMPUTED_VALUE"""),"#REF!")</f>
        <v>#REF!</v>
      </c>
      <c r="N6770" s="17"/>
      <c r="O6770" s="17"/>
      <c r="P6770" s="17" t="b">
        <f>IFERROR(__xludf.DUMMYFUNCTION("""COMPUTED_VALUE"""),FALSE)</f>
        <v>0</v>
      </c>
      <c r="Q6770" s="20" t="str">
        <f>IFERROR(__xludf.DUMMYFUNCTION("""COMPUTED_VALUE"""),"")</f>
        <v/>
      </c>
      <c r="R6770" s="22" t="str">
        <f>IFERROR(__xludf.DUMMYFUNCTION("""COMPUTED_VALUE"""),"")</f>
        <v/>
      </c>
    </row>
    <row r="6771">
      <c r="A6771" s="15">
        <f>IFERROR(__xludf.DUMMYFUNCTION("""COMPUTED_VALUE"""),45191.0)</f>
        <v>45191</v>
      </c>
      <c r="B6771" s="16" t="str">
        <f>IFERROR(__xludf.DUMMYFUNCTION("""COMPUTED_VALUE"""),"Gustavo Medina Ibañez")</f>
        <v>Gustavo Medina Ibañez</v>
      </c>
      <c r="C6771" s="15" t="str">
        <f>IFERROR(__xludf.DUMMYFUNCTION("""COMPUTED_VALUE"""),"YOPAL")</f>
        <v>YOPAL</v>
      </c>
      <c r="D6771" s="15" t="str">
        <f>IFERROR(__xludf.DUMMYFUNCTION("""COMPUTED_VALUE"""),"BOGOTÁ")</f>
        <v>BOGOTÁ</v>
      </c>
      <c r="E6771" s="15" t="str">
        <f>IFERROR(__xludf.DUMMYFUNCTION("""COMPUTED_VALUE"""),"Asociacion Agropecuaria Juana Maria")</f>
        <v>Asociacion Agropecuaria Juana Maria</v>
      </c>
      <c r="F6771" s="17" t="str">
        <f>IFERROR(__xludf.DUMMYFUNCTION("""COMPUTED_VALUE"""),"Cra 8a # 46a - 26")</f>
        <v>Cra 8a # 46a - 26</v>
      </c>
      <c r="G6771" s="15" t="str">
        <f>IFERROR(__xludf.DUMMYFUNCTION("""COMPUTED_VALUE"""),"Magda liseth balaguera vargas")</f>
        <v>Magda liseth balaguera vargas</v>
      </c>
      <c r="H6771" s="16">
        <f>IFERROR(__xludf.DUMMYFUNCTION("""COMPUTED_VALUE"""),15024.0)</f>
        <v>15024</v>
      </c>
      <c r="I6771" s="18">
        <f>IFERROR(__xludf.DUMMYFUNCTION("""COMPUTED_VALUE"""),21.0)</f>
        <v>21</v>
      </c>
      <c r="J6771" s="18">
        <f>IFERROR(__xludf.DUMMYFUNCTION("""COMPUTED_VALUE"""),37.0)</f>
        <v>37</v>
      </c>
      <c r="K6771" s="18">
        <f>IFERROR(__xludf.DUMMYFUNCTION("""COMPUTED_VALUE"""),30.0)</f>
        <v>30</v>
      </c>
      <c r="L6771" s="17">
        <f>IFERROR(__xludf.DUMMYFUNCTION("""COMPUTED_VALUE"""),3.134945113E9)</f>
        <v>3134945113</v>
      </c>
      <c r="M6771" s="17" t="str">
        <f>IFERROR(__xludf.DUMMYFUNCTION("""COMPUTED_VALUE"""),"#REF!")</f>
        <v>#REF!</v>
      </c>
      <c r="N6771" s="17"/>
      <c r="O6771" s="17"/>
      <c r="P6771" s="17" t="b">
        <f>IFERROR(__xludf.DUMMYFUNCTION("""COMPUTED_VALUE"""),TRUE)</f>
        <v>1</v>
      </c>
      <c r="Q6771" s="20">
        <f>IFERROR(__xludf.DUMMYFUNCTION("""COMPUTED_VALUE"""),45190.83234462963)</f>
        <v>45190.83234</v>
      </c>
      <c r="R6771" s="22" t="str">
        <f>IFERROR(__xludf.DUMMYFUNCTION("""COMPUTED_VALUE"""),"")</f>
        <v/>
      </c>
    </row>
    <row r="6772">
      <c r="A6772" s="15">
        <f>IFERROR(__xludf.DUMMYFUNCTION("""COMPUTED_VALUE"""),45191.0)</f>
        <v>45191</v>
      </c>
      <c r="B6772" s="16" t="str">
        <f>IFERROR(__xludf.DUMMYFUNCTION("""COMPUTED_VALUE"""),"Gustavo Medina Ibañez")</f>
        <v>Gustavo Medina Ibañez</v>
      </c>
      <c r="C6772" s="15" t="str">
        <f>IFERROR(__xludf.DUMMYFUNCTION("""COMPUTED_VALUE"""),"YOPAL")</f>
        <v>YOPAL</v>
      </c>
      <c r="D6772" s="15" t="str">
        <f>IFERROR(__xludf.DUMMYFUNCTION("""COMPUTED_VALUE"""),"BOGOTÁ")</f>
        <v>BOGOTÁ</v>
      </c>
      <c r="E6772" s="15" t="str">
        <f>IFERROR(__xludf.DUMMYFUNCTION("""COMPUTED_VALUE"""),"Evamazzita")</f>
        <v>Evamazzita</v>
      </c>
      <c r="F6772" s="17" t="str">
        <f>IFERROR(__xludf.DUMMYFUNCTION("""COMPUTED_VALUE"""),"Calle 15 n 27 16 CASA / CASA")</f>
        <v>Calle 15 n 27 16 CASA / CASA</v>
      </c>
      <c r="G6772" s="15" t="str">
        <f>IFERROR(__xludf.DUMMYFUNCTION("""COMPUTED_VALUE"""),"ESTELA MUÑOZ")</f>
        <v>ESTELA MUÑOZ</v>
      </c>
      <c r="H6772" s="16">
        <f>IFERROR(__xludf.DUMMYFUNCTION("""COMPUTED_VALUE"""),15491.0)</f>
        <v>15491</v>
      </c>
      <c r="I6772" s="18">
        <f>IFERROR(__xludf.DUMMYFUNCTION("""COMPUTED_VALUE"""),1.0)</f>
        <v>1</v>
      </c>
      <c r="J6772" s="18">
        <f>IFERROR(__xludf.DUMMYFUNCTION("""COMPUTED_VALUE"""),1.0)</f>
        <v>1</v>
      </c>
      <c r="K6772" s="18">
        <f>IFERROR(__xludf.DUMMYFUNCTION("""COMPUTED_VALUE"""),1.0)</f>
        <v>1</v>
      </c>
      <c r="L6772" s="17">
        <f>IFERROR(__xludf.DUMMYFUNCTION("""COMPUTED_VALUE"""),3.11506336E9)</f>
        <v>3115063360</v>
      </c>
      <c r="M6772" s="17" t="str">
        <f>IFERROR(__xludf.DUMMYFUNCTION("""COMPUTED_VALUE"""),"#REF!")</f>
        <v>#REF!</v>
      </c>
      <c r="N6772" s="17"/>
      <c r="O6772" s="17"/>
      <c r="P6772" s="17" t="b">
        <f>IFERROR(__xludf.DUMMYFUNCTION("""COMPUTED_VALUE"""),FALSE)</f>
        <v>0</v>
      </c>
      <c r="Q6772" s="20" t="str">
        <f>IFERROR(__xludf.DUMMYFUNCTION("""COMPUTED_VALUE"""),"")</f>
        <v/>
      </c>
      <c r="R6772" s="22" t="str">
        <f>IFERROR(__xludf.DUMMYFUNCTION("""COMPUTED_VALUE"""),"")</f>
        <v/>
      </c>
    </row>
    <row r="6773">
      <c r="A6773" s="15">
        <f>IFERROR(__xludf.DUMMYFUNCTION("""COMPUTED_VALUE"""),45191.0)</f>
        <v>45191</v>
      </c>
      <c r="B6773" s="16" t="str">
        <f>IFERROR(__xludf.DUMMYFUNCTION("""COMPUTED_VALUE"""),"Gustavo Medina Ibañez")</f>
        <v>Gustavo Medina Ibañez</v>
      </c>
      <c r="C6773" s="15" t="str">
        <f>IFERROR(__xludf.DUMMYFUNCTION("""COMPUTED_VALUE"""),"YOPAL")</f>
        <v>YOPAL</v>
      </c>
      <c r="D6773" s="15" t="str">
        <f>IFERROR(__xludf.DUMMYFUNCTION("""COMPUTED_VALUE"""),"BOGOTÁ")</f>
        <v>BOGOTÁ</v>
      </c>
      <c r="E6773" s="15" t="str">
        <f>IFERROR(__xludf.DUMMYFUNCTION("""COMPUTED_VALUE"""),"Evamazzita")</f>
        <v>Evamazzita</v>
      </c>
      <c r="F6773" s="17" t="str">
        <f>IFERROR(__xludf.DUMMYFUNCTION("""COMPUTED_VALUE"""),"CALLE 38 A # 1 C OESTE - 38 / BARRIO OCOBOS")</f>
        <v>CALLE 38 A # 1 C OESTE - 38 / BARRIO OCOBOS</v>
      </c>
      <c r="G6773" s="15" t="str">
        <f>IFERROR(__xludf.DUMMYFUNCTION("""COMPUTED_VALUE"""),"LIZETH ALEXANDRA RODRIGUEZ MOSCOSO")</f>
        <v>LIZETH ALEXANDRA RODRIGUEZ MOSCOSO</v>
      </c>
      <c r="H6773" s="16">
        <f>IFERROR(__xludf.DUMMYFUNCTION("""COMPUTED_VALUE"""),15492.0)</f>
        <v>15492</v>
      </c>
      <c r="I6773" s="18">
        <f>IFERROR(__xludf.DUMMYFUNCTION("""COMPUTED_VALUE"""),1.0)</f>
        <v>1</v>
      </c>
      <c r="J6773" s="18">
        <f>IFERROR(__xludf.DUMMYFUNCTION("""COMPUTED_VALUE"""),1.0)</f>
        <v>1</v>
      </c>
      <c r="K6773" s="18">
        <f>IFERROR(__xludf.DUMMYFUNCTION("""COMPUTED_VALUE"""),1.0)</f>
        <v>1</v>
      </c>
      <c r="L6773" s="17">
        <f>IFERROR(__xludf.DUMMYFUNCTION("""COMPUTED_VALUE"""),3.155400551E9)</f>
        <v>3155400551</v>
      </c>
      <c r="M6773" s="17" t="str">
        <f>IFERROR(__xludf.DUMMYFUNCTION("""COMPUTED_VALUE"""),"#REF!")</f>
        <v>#REF!</v>
      </c>
      <c r="N6773" s="17"/>
      <c r="O6773" s="17"/>
      <c r="P6773" s="17" t="b">
        <f>IFERROR(__xludf.DUMMYFUNCTION("""COMPUTED_VALUE"""),FALSE)</f>
        <v>0</v>
      </c>
      <c r="Q6773" s="20" t="str">
        <f>IFERROR(__xludf.DUMMYFUNCTION("""COMPUTED_VALUE"""),"")</f>
        <v/>
      </c>
      <c r="R6773" s="22" t="str">
        <f>IFERROR(__xludf.DUMMYFUNCTION("""COMPUTED_VALUE"""),"")</f>
        <v/>
      </c>
    </row>
    <row r="6774">
      <c r="A6774" s="17" t="str">
        <f>IFERROR(__xludf.DUMMYFUNCTION("""COMPUTED_VALUE"""),"")</f>
        <v/>
      </c>
      <c r="B6774" s="17" t="str">
        <f>IFERROR(__xludf.DUMMYFUNCTION("""COMPUTED_VALUE"""),"")</f>
        <v/>
      </c>
      <c r="C6774" s="17" t="str">
        <f>IFERROR(__xludf.DUMMYFUNCTION("""COMPUTED_VALUE"""),"")</f>
        <v/>
      </c>
      <c r="D6774" s="17" t="str">
        <f>IFERROR(__xludf.DUMMYFUNCTION("""COMPUTED_VALUE"""),"")</f>
        <v/>
      </c>
      <c r="E6774" s="17" t="str">
        <f>IFERROR(__xludf.DUMMYFUNCTION("""COMPUTED_VALUE"""),"")</f>
        <v/>
      </c>
      <c r="F6774" s="17" t="str">
        <f>IFERROR(__xludf.DUMMYFUNCTION("""COMPUTED_VALUE"""),"")</f>
        <v/>
      </c>
      <c r="G6774" s="17" t="str">
        <f>IFERROR(__xludf.DUMMYFUNCTION("""COMPUTED_VALUE"""),"")</f>
        <v/>
      </c>
      <c r="H6774" s="17" t="str">
        <f>IFERROR(__xludf.DUMMYFUNCTION("""COMPUTED_VALUE"""),"")</f>
        <v/>
      </c>
      <c r="I6774" s="17" t="str">
        <f>IFERROR(__xludf.DUMMYFUNCTION("""COMPUTED_VALUE"""),"")</f>
        <v/>
      </c>
      <c r="J6774" s="17" t="str">
        <f>IFERROR(__xludf.DUMMYFUNCTION("""COMPUTED_VALUE"""),"")</f>
        <v/>
      </c>
      <c r="K6774" s="17" t="str">
        <f>IFERROR(__xludf.DUMMYFUNCTION("""COMPUTED_VALUE"""),"")</f>
        <v/>
      </c>
      <c r="L6774" s="17" t="str">
        <f>IFERROR(__xludf.DUMMYFUNCTION("""COMPUTED_VALUE"""),"")</f>
        <v/>
      </c>
      <c r="M6774" s="17" t="str">
        <f>IFERROR(__xludf.DUMMYFUNCTION("""COMPUTED_VALUE"""),"")</f>
        <v/>
      </c>
      <c r="N6774" s="17" t="str">
        <f>IFERROR(__xludf.DUMMYFUNCTION("""COMPUTED_VALUE"""),"")</f>
        <v/>
      </c>
      <c r="O6774" s="17" t="str">
        <f>IFERROR(__xludf.DUMMYFUNCTION("""COMPUTED_VALUE"""),"")</f>
        <v/>
      </c>
      <c r="P6774" s="17" t="str">
        <f>IFERROR(__xludf.DUMMYFUNCTION("""COMPUTED_VALUE"""),"")</f>
        <v/>
      </c>
      <c r="Q6774" s="17" t="str">
        <f>IFERROR(__xludf.DUMMYFUNCTION("""COMPUTED_VALUE"""),"")</f>
        <v/>
      </c>
      <c r="R6774" s="17" t="str">
        <f>IFERROR(__xludf.DUMMYFUNCTION("""COMPUTED_VALUE"""),"")</f>
        <v/>
      </c>
    </row>
    <row r="6775">
      <c r="A6775" s="15">
        <f>IFERROR(__xludf.DUMMYFUNCTION("""COMPUTED_VALUE"""),45191.0)</f>
        <v>45191</v>
      </c>
      <c r="B6775" s="16" t="str">
        <f>IFERROR(__xludf.DUMMYFUNCTION("""COMPUTED_VALUE"""),"Jeison Rubiano")</f>
        <v>Jeison Rubiano</v>
      </c>
      <c r="C6775" s="15" t="str">
        <f>IFERROR(__xludf.DUMMYFUNCTION("""COMPUTED_VALUE"""),"BOGOTÁ")</f>
        <v>BOGOTÁ</v>
      </c>
      <c r="D6775" s="15" t="str">
        <f>IFERROR(__xludf.DUMMYFUNCTION("""COMPUTED_VALUE"""),"MEDELLÍN")</f>
        <v>MEDELLÍN</v>
      </c>
      <c r="E6775" s="15" t="str">
        <f>IFERROR(__xludf.DUMMYFUNCTION("""COMPUTED_VALUE"""),"Alfredo Lomeda")</f>
        <v>Alfredo Lomeda</v>
      </c>
      <c r="F6775" s="17" t="str">
        <f>IFERROR(__xludf.DUMMYFUNCTION("""COMPUTED_VALUE""")," Calle #81 Local 011A / Centro Comercial Atlantis / Zona Rosa")</f>
        <v> Calle #81 Local 011A / Centro Comercial Atlantis / Zona Rosa</v>
      </c>
      <c r="G6775" s="15" t="str">
        <f>IFERROR(__xludf.DUMMYFUNCTION("""COMPUTED_VALUE"""),"Ana Maria Osorio")</f>
        <v>Ana Maria Osorio</v>
      </c>
      <c r="H6775" s="16">
        <f>IFERROR(__xludf.DUMMYFUNCTION("""COMPUTED_VALUE"""),15528.0)</f>
        <v>15528</v>
      </c>
      <c r="I6775" s="18">
        <f>IFERROR(__xludf.DUMMYFUNCTION("""COMPUTED_VALUE"""),28.0)</f>
        <v>28</v>
      </c>
      <c r="J6775" s="18">
        <f>IFERROR(__xludf.DUMMYFUNCTION("""COMPUTED_VALUE"""),40.0)</f>
        <v>40</v>
      </c>
      <c r="K6775" s="18">
        <f>IFERROR(__xludf.DUMMYFUNCTION("""COMPUTED_VALUE"""),52.0)</f>
        <v>52</v>
      </c>
      <c r="L6775" s="17">
        <f>IFERROR(__xludf.DUMMYFUNCTION("""COMPUTED_VALUE"""),3.112102088E9)</f>
        <v>3112102088</v>
      </c>
      <c r="M6775" s="17" t="str">
        <f>IFERROR(__xludf.DUMMYFUNCTION("""COMPUTED_VALUE"""),"#REF!")</f>
        <v>#REF!</v>
      </c>
      <c r="N6775" s="17"/>
      <c r="O6775" s="17"/>
      <c r="P6775" s="17" t="b">
        <f>IFERROR(__xludf.DUMMYFUNCTION("""COMPUTED_VALUE"""),TRUE)</f>
        <v>1</v>
      </c>
      <c r="Q6775" s="20">
        <f>IFERROR(__xludf.DUMMYFUNCTION("""COMPUTED_VALUE"""),45191.444946180556)</f>
        <v>45191.44495</v>
      </c>
      <c r="R6775" s="22" t="str">
        <f>IFERROR(__xludf.DUMMYFUNCTION("""COMPUTED_VALUE"""),"")</f>
        <v/>
      </c>
    </row>
    <row r="6776">
      <c r="A6776" s="15">
        <f>IFERROR(__xludf.DUMMYFUNCTION("""COMPUTED_VALUE"""),45191.0)</f>
        <v>45191</v>
      </c>
      <c r="B6776" s="16" t="str">
        <f>IFERROR(__xludf.DUMMYFUNCTION("""COMPUTED_VALUE"""),"Jeison Rubiano")</f>
        <v>Jeison Rubiano</v>
      </c>
      <c r="C6776" s="15" t="str">
        <f>IFERROR(__xludf.DUMMYFUNCTION("""COMPUTED_VALUE"""),"BOGOTÁ")</f>
        <v>BOGOTÁ</v>
      </c>
      <c r="D6776" s="15" t="str">
        <f>IFERROR(__xludf.DUMMYFUNCTION("""COMPUTED_VALUE"""),"MEDELLÍN")</f>
        <v>MEDELLÍN</v>
      </c>
      <c r="E6776" s="15" t="str">
        <f>IFERROR(__xludf.DUMMYFUNCTION("""COMPUTED_VALUE"""),"Alfredo Lomeda")</f>
        <v>Alfredo Lomeda</v>
      </c>
      <c r="F6776" s="17" t="str">
        <f>IFERROR(__xludf.DUMMYFUNCTION("""COMPUTED_VALUE"""),"Calle 81 Local 011A / Centro Cpomercial Atlantis / Zona Rosa")</f>
        <v>Calle 81 Local 011A / Centro Cpomercial Atlantis / Zona Rosa</v>
      </c>
      <c r="G6776" s="15" t="str">
        <f>IFERROR(__xludf.DUMMYFUNCTION("""COMPUTED_VALUE"""),"Ana Maria Rios")</f>
        <v>Ana Maria Rios</v>
      </c>
      <c r="H6776" s="16">
        <f>IFERROR(__xludf.DUMMYFUNCTION("""COMPUTED_VALUE"""),15529.0)</f>
        <v>15529</v>
      </c>
      <c r="I6776" s="18">
        <f>IFERROR(__xludf.DUMMYFUNCTION("""COMPUTED_VALUE"""),30.0)</f>
        <v>30</v>
      </c>
      <c r="J6776" s="18">
        <f>IFERROR(__xludf.DUMMYFUNCTION("""COMPUTED_VALUE"""),52.0)</f>
        <v>52</v>
      </c>
      <c r="K6776" s="18">
        <f>IFERROR(__xludf.DUMMYFUNCTION("""COMPUTED_VALUE"""),49.0)</f>
        <v>49</v>
      </c>
      <c r="L6776" s="17">
        <f>IFERROR(__xludf.DUMMYFUNCTION("""COMPUTED_VALUE"""),3.112102088E9)</f>
        <v>3112102088</v>
      </c>
      <c r="M6776" s="17" t="str">
        <f>IFERROR(__xludf.DUMMYFUNCTION("""COMPUTED_VALUE"""),"#REF!")</f>
        <v>#REF!</v>
      </c>
      <c r="N6776" s="17"/>
      <c r="O6776" s="17"/>
      <c r="P6776" s="17" t="b">
        <f>IFERROR(__xludf.DUMMYFUNCTION("""COMPUTED_VALUE"""),TRUE)</f>
        <v>1</v>
      </c>
      <c r="Q6776" s="20">
        <f>IFERROR(__xludf.DUMMYFUNCTION("""COMPUTED_VALUE"""),45190.8324674537)</f>
        <v>45190.83247</v>
      </c>
      <c r="R6776" s="22" t="str">
        <f>IFERROR(__xludf.DUMMYFUNCTION("""COMPUTED_VALUE"""),"")</f>
        <v/>
      </c>
    </row>
    <row r="6777">
      <c r="A6777" s="15">
        <f>IFERROR(__xludf.DUMMYFUNCTION("""COMPUTED_VALUE"""),45191.0)</f>
        <v>45191</v>
      </c>
      <c r="B6777" s="16" t="str">
        <f>IFERROR(__xludf.DUMMYFUNCTION("""COMPUTED_VALUE"""),"Jeison Rubiano")</f>
        <v>Jeison Rubiano</v>
      </c>
      <c r="C6777" s="15" t="str">
        <f>IFERROR(__xludf.DUMMYFUNCTION("""COMPUTED_VALUE"""),"BOGOTÁ")</f>
        <v>BOGOTÁ</v>
      </c>
      <c r="D6777" s="15" t="str">
        <f>IFERROR(__xludf.DUMMYFUNCTION("""COMPUTED_VALUE"""),"MEDELLÍN")</f>
        <v>MEDELLÍN</v>
      </c>
      <c r="E6777" s="15" t="str">
        <f>IFERROR(__xludf.DUMMYFUNCTION("""COMPUTED_VALUE"""),"Aurea Foods SAS")</f>
        <v>Aurea Foods SAS</v>
      </c>
      <c r="F6777" s="17" t="str">
        <f>IFERROR(__xludf.DUMMYFUNCTION("""COMPUTED_VALUE"""),"Carrera 7A #145-41 / Edificio Torre Alba, Torre 1, Apto.503 / Barrio Cedritos")</f>
        <v>Carrera 7A #145-41 / Edificio Torre Alba, Torre 1, Apto.503 / Barrio Cedritos</v>
      </c>
      <c r="G6777" s="15" t="str">
        <f>IFERROR(__xludf.DUMMYFUNCTION("""COMPUTED_VALUE"""),"Julian Becerra")</f>
        <v>Julian Becerra</v>
      </c>
      <c r="H6777" s="16">
        <f>IFERROR(__xludf.DUMMYFUNCTION("""COMPUTED_VALUE"""),15493.0)</f>
        <v>15493</v>
      </c>
      <c r="I6777" s="18">
        <f>IFERROR(__xludf.DUMMYFUNCTION("""COMPUTED_VALUE"""),45057.0)</f>
        <v>45057</v>
      </c>
      <c r="J6777" s="18">
        <f>IFERROR(__xludf.DUMMYFUNCTION("""COMPUTED_VALUE"""),23.0)</f>
        <v>23</v>
      </c>
      <c r="K6777" s="18">
        <f>IFERROR(__xludf.DUMMYFUNCTION("""COMPUTED_VALUE"""),17.0)</f>
        <v>17</v>
      </c>
      <c r="L6777" s="17">
        <f>IFERROR(__xludf.DUMMYFUNCTION("""COMPUTED_VALUE"""),3.016922107E9)</f>
        <v>3016922107</v>
      </c>
      <c r="M6777" s="17" t="str">
        <f>IFERROR(__xludf.DUMMYFUNCTION("""COMPUTED_VALUE"""),"#REF!")</f>
        <v>#REF!</v>
      </c>
      <c r="N6777" s="17"/>
      <c r="O6777" s="17"/>
      <c r="P6777" s="17" t="b">
        <f>IFERROR(__xludf.DUMMYFUNCTION("""COMPUTED_VALUE"""),FALSE)</f>
        <v>0</v>
      </c>
      <c r="Q6777" s="20" t="str">
        <f>IFERROR(__xludf.DUMMYFUNCTION("""COMPUTED_VALUE"""),"")</f>
        <v/>
      </c>
      <c r="R6777" s="22" t="str">
        <f>IFERROR(__xludf.DUMMYFUNCTION("""COMPUTED_VALUE"""),"")</f>
        <v/>
      </c>
    </row>
    <row r="6778">
      <c r="A6778" s="15">
        <f>IFERROR(__xludf.DUMMYFUNCTION("""COMPUTED_VALUE"""),45191.0)</f>
        <v>45191</v>
      </c>
      <c r="B6778" s="16" t="str">
        <f>IFERROR(__xludf.DUMMYFUNCTION("""COMPUTED_VALUE"""),"Jeison Rubiano")</f>
        <v>Jeison Rubiano</v>
      </c>
      <c r="C6778" s="15" t="str">
        <f>IFERROR(__xludf.DUMMYFUNCTION("""COMPUTED_VALUE"""),"BOGOTÁ")</f>
        <v>BOGOTÁ</v>
      </c>
      <c r="D6778" s="15" t="str">
        <f>IFERROR(__xludf.DUMMYFUNCTION("""COMPUTED_VALUE"""),"MEDELLÍN")</f>
        <v>MEDELLÍN</v>
      </c>
      <c r="E6778" s="15" t="str">
        <f>IFERROR(__xludf.DUMMYFUNCTION("""COMPUTED_VALUE"""),"Baby Chef")</f>
        <v>Baby Chef</v>
      </c>
      <c r="F6778" s="17" t="str">
        <f>IFERROR(__xludf.DUMMYFUNCTION("""COMPUTED_VALUE""")," Carrera 11A #114-22 Apto 301, edificio san francisco  Barrio: Molinos Norte  / "" Carrera 11A #114-22 Apto 301, edificio san francisco  Barrio: Molinos Norte "" / "" Carrera 11A #114-22 Apto 301, edificio san francisco  Barrio: Molinos Norte """)</f>
        <v> Carrera 11A #114-22 Apto 301, edificio san francisco  Barrio: Molinos Norte  / " Carrera 11A #114-22 Apto 301, edificio san francisco  Barrio: Molinos Norte " / " Carrera 11A #114-22 Apto 301, edificio san francisco  Barrio: Molinos Norte "</v>
      </c>
      <c r="G6778" s="15" t="str">
        <f>IFERROR(__xludf.DUMMYFUNCTION("""COMPUTED_VALUE"""),"Alejandra Torres Vallejo")</f>
        <v>Alejandra Torres Vallejo</v>
      </c>
      <c r="H6778" s="16">
        <f>IFERROR(__xludf.DUMMYFUNCTION("""COMPUTED_VALUE"""),15526.0)</f>
        <v>15526</v>
      </c>
      <c r="I6778" s="18">
        <f>IFERROR(__xludf.DUMMYFUNCTION("""COMPUTED_VALUE"""),4.0)</f>
        <v>4</v>
      </c>
      <c r="J6778" s="18">
        <f>IFERROR(__xludf.DUMMYFUNCTION("""COMPUTED_VALUE"""),24.0)</f>
        <v>24</v>
      </c>
      <c r="K6778" s="18">
        <f>IFERROR(__xludf.DUMMYFUNCTION("""COMPUTED_VALUE"""),33.0)</f>
        <v>33</v>
      </c>
      <c r="L6778" s="17">
        <f>IFERROR(__xludf.DUMMYFUNCTION("""COMPUTED_VALUE"""),3.043376394E9)</f>
        <v>3043376394</v>
      </c>
      <c r="M6778" s="17" t="str">
        <f>IFERROR(__xludf.DUMMYFUNCTION("""COMPUTED_VALUE"""),"#REF!")</f>
        <v>#REF!</v>
      </c>
      <c r="N6778" s="17"/>
      <c r="O6778" s="17"/>
      <c r="P6778" s="17" t="b">
        <f>IFERROR(__xludf.DUMMYFUNCTION("""COMPUTED_VALUE"""),FALSE)</f>
        <v>0</v>
      </c>
      <c r="Q6778" s="20" t="str">
        <f>IFERROR(__xludf.DUMMYFUNCTION("""COMPUTED_VALUE"""),"")</f>
        <v/>
      </c>
      <c r="R6778" s="22" t="str">
        <f>IFERROR(__xludf.DUMMYFUNCTION("""COMPUTED_VALUE"""),"")</f>
        <v/>
      </c>
    </row>
    <row r="6779">
      <c r="A6779" s="15">
        <f>IFERROR(__xludf.DUMMYFUNCTION("""COMPUTED_VALUE"""),45191.0)</f>
        <v>45191</v>
      </c>
      <c r="B6779" s="16" t="str">
        <f>IFERROR(__xludf.DUMMYFUNCTION("""COMPUTED_VALUE"""),"Jeison Rubiano")</f>
        <v>Jeison Rubiano</v>
      </c>
      <c r="C6779" s="15" t="str">
        <f>IFERROR(__xludf.DUMMYFUNCTION("""COMPUTED_VALUE"""),"BOGOTÁ")</f>
        <v>BOGOTÁ</v>
      </c>
      <c r="D6779" s="15" t="str">
        <f>IFERROR(__xludf.DUMMYFUNCTION("""COMPUTED_VALUE"""),"MEDELLÍN")</f>
        <v>MEDELLÍN</v>
      </c>
      <c r="E6779" s="15" t="str">
        <f>IFERROR(__xludf.DUMMYFUNCTION("""COMPUTED_VALUE"""),"Baby Chef")</f>
        <v>Baby Chef</v>
      </c>
      <c r="F6779" s="17" t="str">
        <f>IFERROR(__xludf.DUMMYFUNCTION("""COMPUTED_VALUE"""),"Calle 129 #54-75 interior 11 apto 303 Barrio prado jardin Conjunto el poblado  / Calle 129 #54-75 interior 11 apto 303 Barrio prado jardin Conjunto el poblado  / Calle 129 #54-75 interior 11 apto 303 Barrio prado jardin Conjunto el poblado")</f>
        <v>Calle 129 #54-75 interior 11 apto 303 Barrio prado jardin Conjunto el poblado  / Calle 129 #54-75 interior 11 apto 303 Barrio prado jardin Conjunto el poblado  / Calle 129 #54-75 interior 11 apto 303 Barrio prado jardin Conjunto el poblado</v>
      </c>
      <c r="G6779" s="15" t="str">
        <f>IFERROR(__xludf.DUMMYFUNCTION("""COMPUTED_VALUE"""),"Leidy Yate")</f>
        <v>Leidy Yate</v>
      </c>
      <c r="H6779" s="16">
        <f>IFERROR(__xludf.DUMMYFUNCTION("""COMPUTED_VALUE"""),15525.0)</f>
        <v>15525</v>
      </c>
      <c r="I6779" s="18">
        <f>IFERROR(__xludf.DUMMYFUNCTION("""COMPUTED_VALUE"""),4.0)</f>
        <v>4</v>
      </c>
      <c r="J6779" s="18">
        <f>IFERROR(__xludf.DUMMYFUNCTION("""COMPUTED_VALUE"""),21.0)</f>
        <v>21</v>
      </c>
      <c r="K6779" s="18">
        <f>IFERROR(__xludf.DUMMYFUNCTION("""COMPUTED_VALUE"""),33.0)</f>
        <v>33</v>
      </c>
      <c r="L6779" s="17">
        <f>IFERROR(__xludf.DUMMYFUNCTION("""COMPUTED_VALUE"""),3.058113207E9)</f>
        <v>3058113207</v>
      </c>
      <c r="M6779" s="17" t="str">
        <f>IFERROR(__xludf.DUMMYFUNCTION("""COMPUTED_VALUE"""),"#REF!")</f>
        <v>#REF!</v>
      </c>
      <c r="N6779" s="17"/>
      <c r="O6779" s="17"/>
      <c r="P6779" s="17" t="b">
        <f>IFERROR(__xludf.DUMMYFUNCTION("""COMPUTED_VALUE"""),TRUE)</f>
        <v>1</v>
      </c>
      <c r="Q6779" s="20">
        <f>IFERROR(__xludf.DUMMYFUNCTION("""COMPUTED_VALUE"""),45191.444946180556)</f>
        <v>45191.44495</v>
      </c>
      <c r="R6779" s="22" t="str">
        <f>IFERROR(__xludf.DUMMYFUNCTION("""COMPUTED_VALUE"""),"")</f>
        <v/>
      </c>
    </row>
    <row r="6780">
      <c r="A6780" s="15">
        <f>IFERROR(__xludf.DUMMYFUNCTION("""COMPUTED_VALUE"""),45191.0)</f>
        <v>45191</v>
      </c>
      <c r="B6780" s="16" t="str">
        <f>IFERROR(__xludf.DUMMYFUNCTION("""COMPUTED_VALUE"""),"Jeison Rubiano")</f>
        <v>Jeison Rubiano</v>
      </c>
      <c r="C6780" s="15" t="str">
        <f>IFERROR(__xludf.DUMMYFUNCTION("""COMPUTED_VALUE"""),"BOGOTÁ")</f>
        <v>BOGOTÁ</v>
      </c>
      <c r="D6780" s="15" t="str">
        <f>IFERROR(__xludf.DUMMYFUNCTION("""COMPUTED_VALUE"""),"MEDELLÍN")</f>
        <v>MEDELLÍN</v>
      </c>
      <c r="E6780" s="15" t="str">
        <f>IFERROR(__xludf.DUMMYFUNCTION("""COMPUTED_VALUE"""),"Baby Chef")</f>
        <v>Baby Chef</v>
      </c>
      <c r="F6780" s="17" t="str">
        <f>IFERROR(__xludf.DUMMYFUNCTION("""COMPUTED_VALUE"""),"Calle 76 bis b #94-61 edificio reina Sofía apto 401 o 501  Santa Rosita  / Calle 76 bis b #94-61 edificio reina Sofía apto 401 o 501  Santa Rosita  / Calle 76 bis b #94-61 edificio reina Sofía apto 401 o 501  Santa Rosita")</f>
        <v>Calle 76 bis b #94-61 edificio reina Sofía apto 401 o 501  Santa Rosita  / Calle 76 bis b #94-61 edificio reina Sofía apto 401 o 501  Santa Rosita  / Calle 76 bis b #94-61 edificio reina Sofía apto 401 o 501  Santa Rosita</v>
      </c>
      <c r="G6780" s="15" t="str">
        <f>IFERROR(__xludf.DUMMYFUNCTION("""COMPUTED_VALUE"""),"Erika zamora")</f>
        <v>Erika zamora</v>
      </c>
      <c r="H6780" s="16">
        <f>IFERROR(__xludf.DUMMYFUNCTION("""COMPUTED_VALUE"""),15524.0)</f>
        <v>15524</v>
      </c>
      <c r="I6780" s="18">
        <f>IFERROR(__xludf.DUMMYFUNCTION("""COMPUTED_VALUE"""),8.0)</f>
        <v>8</v>
      </c>
      <c r="J6780" s="18">
        <f>IFERROR(__xludf.DUMMYFUNCTION("""COMPUTED_VALUE"""),21.0)</f>
        <v>21</v>
      </c>
      <c r="K6780" s="18">
        <f>IFERROR(__xludf.DUMMYFUNCTION("""COMPUTED_VALUE"""),44.0)</f>
        <v>44</v>
      </c>
      <c r="L6780" s="17">
        <f>IFERROR(__xludf.DUMMYFUNCTION("""COMPUTED_VALUE"""),3.134726423E9)</f>
        <v>3134726423</v>
      </c>
      <c r="M6780" s="17" t="str">
        <f>IFERROR(__xludf.DUMMYFUNCTION("""COMPUTED_VALUE"""),"#REF!")</f>
        <v>#REF!</v>
      </c>
      <c r="N6780" s="17"/>
      <c r="O6780" s="17"/>
      <c r="P6780" s="17" t="b">
        <f>IFERROR(__xludf.DUMMYFUNCTION("""COMPUTED_VALUE"""),TRUE)</f>
        <v>1</v>
      </c>
      <c r="Q6780" s="20">
        <f>IFERROR(__xludf.DUMMYFUNCTION("""COMPUTED_VALUE"""),45191.444946180556)</f>
        <v>45191.44495</v>
      </c>
      <c r="R6780" s="21" t="str">
        <f>IFERROR(__xludf.DUMMYFUNCTION("""COMPUTED_VALUE"""),"https://drive.google.com/file/d/1PVm9C7oFDu0LeUvXHkVVdQ4SFHxYw8Xp/view?usp=drivesdk")</f>
        <v>https://drive.google.com/file/d/1PVm9C7oFDu0LeUvXHkVVdQ4SFHxYw8Xp/view?usp=drivesdk</v>
      </c>
    </row>
    <row r="6781">
      <c r="A6781" s="15">
        <f>IFERROR(__xludf.DUMMYFUNCTION("""COMPUTED_VALUE"""),45191.0)</f>
        <v>45191</v>
      </c>
      <c r="B6781" s="16" t="str">
        <f>IFERROR(__xludf.DUMMYFUNCTION("""COMPUTED_VALUE"""),"Jeison Rubiano")</f>
        <v>Jeison Rubiano</v>
      </c>
      <c r="C6781" s="15" t="str">
        <f>IFERROR(__xludf.DUMMYFUNCTION("""COMPUTED_VALUE"""),"BOGOTÁ")</f>
        <v>BOGOTÁ</v>
      </c>
      <c r="D6781" s="15" t="str">
        <f>IFERROR(__xludf.DUMMYFUNCTION("""COMPUTED_VALUE"""),"MEDELLÍN")</f>
        <v>MEDELLÍN</v>
      </c>
      <c r="E6781" s="15" t="str">
        <f>IFERROR(__xludf.DUMMYFUNCTION("""COMPUTED_VALUE"""),"Baby Chef")</f>
        <v>Baby Chef</v>
      </c>
      <c r="F6781" s="17" t="str">
        <f>IFERROR(__xludf.DUMMYFUNCTION("""COMPUTED_VALUE"""),"carrera 96F No 23 A-60 Interior 4 apto 202 barrio ferrocaja fontibon bogota / carrera 96F No 23 A-60 Interior 4 apto 202 barrio ferrocaja fontibon bogota / carrera 96F No 23 A-60 Interior 4 apto 202 barrio ferrocaja fontibon bogota")</f>
        <v>carrera 96F No 23 A-60 Interior 4 apto 202 barrio ferrocaja fontibon bogota / carrera 96F No 23 A-60 Interior 4 apto 202 barrio ferrocaja fontibon bogota / carrera 96F No 23 A-60 Interior 4 apto 202 barrio ferrocaja fontibon bogota</v>
      </c>
      <c r="G6781" s="15" t="str">
        <f>IFERROR(__xludf.DUMMYFUNCTION("""COMPUTED_VALUE"""),"Patricia Amezquita")</f>
        <v>Patricia Amezquita</v>
      </c>
      <c r="H6781" s="16">
        <f>IFERROR(__xludf.DUMMYFUNCTION("""COMPUTED_VALUE"""),15527.0)</f>
        <v>15527</v>
      </c>
      <c r="I6781" s="18">
        <f>IFERROR(__xludf.DUMMYFUNCTION("""COMPUTED_VALUE"""),8.0)</f>
        <v>8</v>
      </c>
      <c r="J6781" s="18">
        <f>IFERROR(__xludf.DUMMYFUNCTION("""COMPUTED_VALUE"""),16.0)</f>
        <v>16</v>
      </c>
      <c r="K6781" s="18">
        <f>IFERROR(__xludf.DUMMYFUNCTION("""COMPUTED_VALUE"""),20.0)</f>
        <v>20</v>
      </c>
      <c r="L6781" s="17">
        <f>IFERROR(__xludf.DUMMYFUNCTION("""COMPUTED_VALUE"""),3.143747038E9)</f>
        <v>3143747038</v>
      </c>
      <c r="M6781" s="17" t="str">
        <f>IFERROR(__xludf.DUMMYFUNCTION("""COMPUTED_VALUE"""),"#REF!")</f>
        <v>#REF!</v>
      </c>
      <c r="N6781" s="17"/>
      <c r="O6781" s="17"/>
      <c r="P6781" s="17" t="b">
        <f>IFERROR(__xludf.DUMMYFUNCTION("""COMPUTED_VALUE"""),TRUE)</f>
        <v>1</v>
      </c>
      <c r="Q6781" s="20">
        <f>IFERROR(__xludf.DUMMYFUNCTION("""COMPUTED_VALUE"""),45191.44494619213)</f>
        <v>45191.44495</v>
      </c>
      <c r="R6781" s="21" t="str">
        <f>IFERROR(__xludf.DUMMYFUNCTION("""COMPUTED_VALUE"""),"https://drive.google.com/file/d/1kH-jIrhGBTbHFeRdkV8k2mgMtrHoQ4pY/view?usp=drivesdk")</f>
        <v>https://drive.google.com/file/d/1kH-jIrhGBTbHFeRdkV8k2mgMtrHoQ4pY/view?usp=drivesdk</v>
      </c>
    </row>
    <row r="6782">
      <c r="A6782" s="15">
        <f>IFERROR(__xludf.DUMMYFUNCTION("""COMPUTED_VALUE"""),45191.0)</f>
        <v>45191</v>
      </c>
      <c r="B6782" s="16" t="str">
        <f>IFERROR(__xludf.DUMMYFUNCTION("""COMPUTED_VALUE"""),"Jeison Rubiano")</f>
        <v>Jeison Rubiano</v>
      </c>
      <c r="C6782" s="15" t="str">
        <f>IFERROR(__xludf.DUMMYFUNCTION("""COMPUTED_VALUE"""),"BOGOTÁ")</f>
        <v>BOGOTÁ</v>
      </c>
      <c r="D6782" s="15" t="str">
        <f>IFERROR(__xludf.DUMMYFUNCTION("""COMPUTED_VALUE"""),"MEDELLÍN")</f>
        <v>MEDELLÍN</v>
      </c>
      <c r="E6782" s="15" t="str">
        <f>IFERROR(__xludf.DUMMYFUNCTION("""COMPUTED_VALUE"""),"El Molde")</f>
        <v>El Molde</v>
      </c>
      <c r="F6782" s="17" t="str">
        <f>IFERROR(__xludf.DUMMYFUNCTION("""COMPUTED_VALUE"""),"Avenida Calle 32 #13-52 / Torres de Altavista Apto 1-1203")</f>
        <v>Avenida Calle 32 #13-52 / Torres de Altavista Apto 1-1203</v>
      </c>
      <c r="G6782" s="15" t="str">
        <f>IFERROR(__xludf.DUMMYFUNCTION("""COMPUTED_VALUE"""),"Lina Maria Montes Ramos")</f>
        <v>Lina Maria Montes Ramos</v>
      </c>
      <c r="H6782" s="16">
        <f>IFERROR(__xludf.DUMMYFUNCTION("""COMPUTED_VALUE"""),15502.0)</f>
        <v>15502</v>
      </c>
      <c r="I6782" s="18">
        <f>IFERROR(__xludf.DUMMYFUNCTION("""COMPUTED_VALUE"""),5.0)</f>
        <v>5</v>
      </c>
      <c r="J6782" s="18">
        <f>IFERROR(__xludf.DUMMYFUNCTION("""COMPUTED_VALUE"""),12.0)</f>
        <v>12</v>
      </c>
      <c r="K6782" s="18">
        <f>IFERROR(__xludf.DUMMYFUNCTION("""COMPUTED_VALUE"""),45060.0)</f>
        <v>45060</v>
      </c>
      <c r="L6782" s="17" t="str">
        <f>IFERROR(__xludf.DUMMYFUNCTION("""COMPUTED_VALUE"""),"316 8750429")</f>
        <v>316 8750429</v>
      </c>
      <c r="M6782" s="17" t="str">
        <f>IFERROR(__xludf.DUMMYFUNCTION("""COMPUTED_VALUE"""),"#REF!")</f>
        <v>#REF!</v>
      </c>
      <c r="N6782" s="17"/>
      <c r="O6782" s="17"/>
      <c r="P6782" s="17" t="b">
        <f>IFERROR(__xludf.DUMMYFUNCTION("""COMPUTED_VALUE"""),TRUE)</f>
        <v>1</v>
      </c>
      <c r="Q6782" s="20">
        <f>IFERROR(__xludf.DUMMYFUNCTION("""COMPUTED_VALUE"""),45191.44494619213)</f>
        <v>45191.44495</v>
      </c>
      <c r="R6782" s="21" t="str">
        <f>IFERROR(__xludf.DUMMYFUNCTION("""COMPUTED_VALUE"""),"https://drive.google.com/file/d/1r34ET_XGfB3iSK05Gq2p6A6Xk3tPZmec/view?usp=drivesdk")</f>
        <v>https://drive.google.com/file/d/1r34ET_XGfB3iSK05Gq2p6A6Xk3tPZmec/view?usp=drivesdk</v>
      </c>
    </row>
    <row r="6783">
      <c r="A6783" s="15">
        <f>IFERROR(__xludf.DUMMYFUNCTION("""COMPUTED_VALUE"""),45191.0)</f>
        <v>45191</v>
      </c>
      <c r="B6783" s="16" t="str">
        <f>IFERROR(__xludf.DUMMYFUNCTION("""COMPUTED_VALUE"""),"Jeison Rubiano")</f>
        <v>Jeison Rubiano</v>
      </c>
      <c r="C6783" s="15" t="str">
        <f>IFERROR(__xludf.DUMMYFUNCTION("""COMPUTED_VALUE"""),"BOGOTÁ")</f>
        <v>BOGOTÁ</v>
      </c>
      <c r="D6783" s="15" t="str">
        <f>IFERROR(__xludf.DUMMYFUNCTION("""COMPUTED_VALUE"""),"MEDELLÍN")</f>
        <v>MEDELLÍN</v>
      </c>
      <c r="E6783" s="15" t="str">
        <f>IFERROR(__xludf.DUMMYFUNCTION("""COMPUTED_VALUE"""),"Magda")</f>
        <v>Magda</v>
      </c>
      <c r="F6783" s="17" t="str">
        <f>IFERROR(__xludf.DUMMYFUNCTION("""COMPUTED_VALUE"""),"Calle 71a # 14a22/26 / Cocina Oculta / San Felipe")</f>
        <v>Calle 71a # 14a22/26 / Cocina Oculta / San Felipe</v>
      </c>
      <c r="G6783" s="15" t="str">
        <f>IFERROR(__xludf.DUMMYFUNCTION("""COMPUTED_VALUE"""),"Danilo Ardila")</f>
        <v>Danilo Ardila</v>
      </c>
      <c r="H6783" s="16">
        <f>IFERROR(__xludf.DUMMYFUNCTION("""COMPUTED_VALUE"""),15501.0)</f>
        <v>15501</v>
      </c>
      <c r="I6783" s="18">
        <f>IFERROR(__xludf.DUMMYFUNCTION("""COMPUTED_VALUE"""),5.0)</f>
        <v>5</v>
      </c>
      <c r="J6783" s="18">
        <f>IFERROR(__xludf.DUMMYFUNCTION("""COMPUTED_VALUE"""),5.0)</f>
        <v>5</v>
      </c>
      <c r="K6783" s="18">
        <f>IFERROR(__xludf.DUMMYFUNCTION("""COMPUTED_VALUE"""),5.0)</f>
        <v>5</v>
      </c>
      <c r="L6783" s="17">
        <f>IFERROR(__xludf.DUMMYFUNCTION("""COMPUTED_VALUE"""),3.214229567E9)</f>
        <v>3214229567</v>
      </c>
      <c r="M6783" s="17" t="str">
        <f>IFERROR(__xludf.DUMMYFUNCTION("""COMPUTED_VALUE"""),"#REF!")</f>
        <v>#REF!</v>
      </c>
      <c r="N6783" s="17"/>
      <c r="O6783" s="17"/>
      <c r="P6783" s="17" t="b">
        <f>IFERROR(__xludf.DUMMYFUNCTION("""COMPUTED_VALUE"""),TRUE)</f>
        <v>1</v>
      </c>
      <c r="Q6783" s="20">
        <f>IFERROR(__xludf.DUMMYFUNCTION("""COMPUTED_VALUE"""),45191.44494619213)</f>
        <v>45191.44495</v>
      </c>
      <c r="R6783" s="22" t="str">
        <f>IFERROR(__xludf.DUMMYFUNCTION("""COMPUTED_VALUE"""),"")</f>
        <v/>
      </c>
    </row>
    <row r="6784">
      <c r="A6784" s="15">
        <f>IFERROR(__xludf.DUMMYFUNCTION("""COMPUTED_VALUE"""),45191.0)</f>
        <v>45191</v>
      </c>
      <c r="B6784" s="16" t="str">
        <f>IFERROR(__xludf.DUMMYFUNCTION("""COMPUTED_VALUE"""),"Jeison Rubiano")</f>
        <v>Jeison Rubiano</v>
      </c>
      <c r="C6784" s="15" t="str">
        <f>IFERROR(__xludf.DUMMYFUNCTION("""COMPUTED_VALUE"""),"BOGOTÁ")</f>
        <v>BOGOTÁ</v>
      </c>
      <c r="D6784" s="15" t="str">
        <f>IFERROR(__xludf.DUMMYFUNCTION("""COMPUTED_VALUE"""),"MEDELLÍN")</f>
        <v>MEDELLÍN</v>
      </c>
      <c r="E6784" s="15" t="str">
        <f>IFERROR(__xludf.DUMMYFUNCTION("""COMPUTED_VALUE"""),"Rambla")</f>
        <v>Rambla</v>
      </c>
      <c r="F6784" s="17" t="str">
        <f>IFERROR(__xludf.DUMMYFUNCTION("""COMPUTED_VALUE"""),"Av Cra 9 # 113-52 local 306Av Cra 9 # 113-52 local 306 / - / -")</f>
        <v>Av Cra 9 # 113-52 local 306Av Cra 9 # 113-52 local 306 / - / -</v>
      </c>
      <c r="G6784" s="15" t="str">
        <f>IFERROR(__xludf.DUMMYFUNCTION("""COMPUTED_VALUE"""),"Fresh Co")</f>
        <v>Fresh Co</v>
      </c>
      <c r="H6784" s="16">
        <f>IFERROR(__xludf.DUMMYFUNCTION("""COMPUTED_VALUE"""),15507.0)</f>
        <v>15507</v>
      </c>
      <c r="I6784" s="18">
        <f>IFERROR(__xludf.DUMMYFUNCTION("""COMPUTED_VALUE"""),20.0)</f>
        <v>20</v>
      </c>
      <c r="J6784" s="18">
        <f>IFERROR(__xludf.DUMMYFUNCTION("""COMPUTED_VALUE"""),20.0)</f>
        <v>20</v>
      </c>
      <c r="K6784" s="18">
        <f>IFERROR(__xludf.DUMMYFUNCTION("""COMPUTED_VALUE"""),24.0)</f>
        <v>24</v>
      </c>
      <c r="L6784" s="17">
        <f>IFERROR(__xludf.DUMMYFUNCTION("""COMPUTED_VALUE"""),3.229417869E9)</f>
        <v>3229417869</v>
      </c>
      <c r="M6784" s="17" t="str">
        <f>IFERROR(__xludf.DUMMYFUNCTION("""COMPUTED_VALUE"""),"#REF!")</f>
        <v>#REF!</v>
      </c>
      <c r="N6784" s="17"/>
      <c r="O6784" s="17"/>
      <c r="P6784" s="17" t="b">
        <f>IFERROR(__xludf.DUMMYFUNCTION("""COMPUTED_VALUE"""),FALSE)</f>
        <v>0</v>
      </c>
      <c r="Q6784" s="20" t="str">
        <f>IFERROR(__xludf.DUMMYFUNCTION("""COMPUTED_VALUE"""),"")</f>
        <v/>
      </c>
      <c r="R6784" s="21" t="str">
        <f>IFERROR(__xludf.DUMMYFUNCTION("""COMPUTED_VALUE"""),"https://drive.google.com/file/d/1y70T3blmDi7uEIbDwzA8AQBI5S-Go0OA/view?usp=drivesdk")</f>
        <v>https://drive.google.com/file/d/1y70T3blmDi7uEIbDwzA8AQBI5S-Go0OA/view?usp=drivesdk</v>
      </c>
    </row>
    <row r="6785">
      <c r="A6785" s="15">
        <f>IFERROR(__xludf.DUMMYFUNCTION("""COMPUTED_VALUE"""),45191.0)</f>
        <v>45191</v>
      </c>
      <c r="B6785" s="16" t="str">
        <f>IFERROR(__xludf.DUMMYFUNCTION("""COMPUTED_VALUE"""),"Jeison Rubiano")</f>
        <v>Jeison Rubiano</v>
      </c>
      <c r="C6785" s="15" t="str">
        <f>IFERROR(__xludf.DUMMYFUNCTION("""COMPUTED_VALUE"""),"BOGOTÁ")</f>
        <v>BOGOTÁ</v>
      </c>
      <c r="D6785" s="15" t="str">
        <f>IFERROR(__xludf.DUMMYFUNCTION("""COMPUTED_VALUE"""),"MEDELLÍN")</f>
        <v>MEDELLÍN</v>
      </c>
      <c r="E6785" s="15" t="str">
        <f>IFERROR(__xludf.DUMMYFUNCTION("""COMPUTED_VALUE"""),"Rambla")</f>
        <v>Rambla</v>
      </c>
      <c r="F6785" s="17" t="str">
        <f>IFERROR(__xludf.DUMMYFUNCTION("""COMPUTED_VALUE"""),"Calle 147#58c-80, edificio residencial carra apto 2002 / - / -")</f>
        <v>Calle 147#58c-80, edificio residencial carra apto 2002 / - / -</v>
      </c>
      <c r="G6785" s="15" t="str">
        <f>IFERROR(__xludf.DUMMYFUNCTION("""COMPUTED_VALUE"""),"Diana Duque")</f>
        <v>Diana Duque</v>
      </c>
      <c r="H6785" s="16">
        <f>IFERROR(__xludf.DUMMYFUNCTION("""COMPUTED_VALUE"""),15512.0)</f>
        <v>15512</v>
      </c>
      <c r="I6785" s="18">
        <f>IFERROR(__xludf.DUMMYFUNCTION("""COMPUTED_VALUE"""),20.0)</f>
        <v>20</v>
      </c>
      <c r="J6785" s="18">
        <f>IFERROR(__xludf.DUMMYFUNCTION("""COMPUTED_VALUE"""),12.0)</f>
        <v>12</v>
      </c>
      <c r="K6785" s="18">
        <f>IFERROR(__xludf.DUMMYFUNCTION("""COMPUTED_VALUE"""),12.0)</f>
        <v>12</v>
      </c>
      <c r="L6785" s="17">
        <f>IFERROR(__xludf.DUMMYFUNCTION("""COMPUTED_VALUE"""),3.173891282E9)</f>
        <v>3173891282</v>
      </c>
      <c r="M6785" s="17" t="str">
        <f>IFERROR(__xludf.DUMMYFUNCTION("""COMPUTED_VALUE"""),"#REF!")</f>
        <v>#REF!</v>
      </c>
      <c r="N6785" s="17"/>
      <c r="O6785" s="17"/>
      <c r="P6785" s="17" t="b">
        <f>IFERROR(__xludf.DUMMYFUNCTION("""COMPUTED_VALUE"""),FALSE)</f>
        <v>0</v>
      </c>
      <c r="Q6785" s="20" t="str">
        <f>IFERROR(__xludf.DUMMYFUNCTION("""COMPUTED_VALUE"""),"")</f>
        <v/>
      </c>
      <c r="R6785" s="22" t="str">
        <f>IFERROR(__xludf.DUMMYFUNCTION("""COMPUTED_VALUE"""),"")</f>
        <v/>
      </c>
    </row>
    <row r="6786">
      <c r="A6786" s="15">
        <f>IFERROR(__xludf.DUMMYFUNCTION("""COMPUTED_VALUE"""),45191.0)</f>
        <v>45191</v>
      </c>
      <c r="B6786" s="16" t="str">
        <f>IFERROR(__xludf.DUMMYFUNCTION("""COMPUTED_VALUE"""),"Jeison Rubiano")</f>
        <v>Jeison Rubiano</v>
      </c>
      <c r="C6786" s="15" t="str">
        <f>IFERROR(__xludf.DUMMYFUNCTION("""COMPUTED_VALUE"""),"BOGOTÁ")</f>
        <v>BOGOTÁ</v>
      </c>
      <c r="D6786" s="15" t="str">
        <f>IFERROR(__xludf.DUMMYFUNCTION("""COMPUTED_VALUE"""),"MEDELLÍN")</f>
        <v>MEDELLÍN</v>
      </c>
      <c r="E6786" s="15" t="str">
        <f>IFERROR(__xludf.DUMMYFUNCTION("""COMPUTED_VALUE"""),"Rambla")</f>
        <v>Rambla</v>
      </c>
      <c r="F6786" s="17" t="str">
        <f>IFERROR(__xludf.DUMMYFUNCTION("""COMPUTED_VALUE"""),"Calle 53 # 15 90 / - / -")</f>
        <v>Calle 53 # 15 90 / - / -</v>
      </c>
      <c r="G6786" s="15" t="str">
        <f>IFERROR(__xludf.DUMMYFUNCTION("""COMPUTED_VALUE"""),"Bien y Estar Market")</f>
        <v>Bien y Estar Market</v>
      </c>
      <c r="H6786" s="16">
        <f>IFERROR(__xludf.DUMMYFUNCTION("""COMPUTED_VALUE"""),15535.0)</f>
        <v>15535</v>
      </c>
      <c r="I6786" s="18">
        <f>IFERROR(__xludf.DUMMYFUNCTION("""COMPUTED_VALUE"""),18.0)</f>
        <v>18</v>
      </c>
      <c r="J6786" s="18">
        <f>IFERROR(__xludf.DUMMYFUNCTION("""COMPUTED_VALUE"""),18.0)</f>
        <v>18</v>
      </c>
      <c r="K6786" s="18">
        <f>IFERROR(__xludf.DUMMYFUNCTION("""COMPUTED_VALUE"""),18.0)</f>
        <v>18</v>
      </c>
      <c r="L6786" s="17">
        <f>IFERROR(__xludf.DUMMYFUNCTION("""COMPUTED_VALUE"""),3.143330353E9)</f>
        <v>3143330353</v>
      </c>
      <c r="M6786" s="17" t="str">
        <f>IFERROR(__xludf.DUMMYFUNCTION("""COMPUTED_VALUE"""),"#REF!")</f>
        <v>#REF!</v>
      </c>
      <c r="N6786" s="17"/>
      <c r="O6786" s="17"/>
      <c r="P6786" s="17" t="b">
        <f>IFERROR(__xludf.DUMMYFUNCTION("""COMPUTED_VALUE"""),FALSE)</f>
        <v>0</v>
      </c>
      <c r="Q6786" s="20" t="str">
        <f>IFERROR(__xludf.DUMMYFUNCTION("""COMPUTED_VALUE"""),"")</f>
        <v/>
      </c>
      <c r="R6786" s="22" t="str">
        <f>IFERROR(__xludf.DUMMYFUNCTION("""COMPUTED_VALUE"""),"")</f>
        <v/>
      </c>
    </row>
    <row r="6787">
      <c r="A6787" s="15">
        <f>IFERROR(__xludf.DUMMYFUNCTION("""COMPUTED_VALUE"""),45191.0)</f>
        <v>45191</v>
      </c>
      <c r="B6787" s="16" t="str">
        <f>IFERROR(__xludf.DUMMYFUNCTION("""COMPUTED_VALUE"""),"Jeison Rubiano")</f>
        <v>Jeison Rubiano</v>
      </c>
      <c r="C6787" s="15" t="str">
        <f>IFERROR(__xludf.DUMMYFUNCTION("""COMPUTED_VALUE"""),"BOGOTÁ")</f>
        <v>BOGOTÁ</v>
      </c>
      <c r="D6787" s="15" t="str">
        <f>IFERROR(__xludf.DUMMYFUNCTION("""COMPUTED_VALUE"""),"MEDELLÍN")</f>
        <v>MEDELLÍN</v>
      </c>
      <c r="E6787" s="15" t="str">
        <f>IFERROR(__xludf.DUMMYFUNCTION("""COMPUTED_VALUE"""),"Rambla")</f>
        <v>Rambla</v>
      </c>
      <c r="F6787" s="17" t="str">
        <f>IFERROR(__xludf.DUMMYFUNCTION("""COMPUTED_VALUE"""),"Calle 95# 71-11 bloque 1 apto 801 parque central Pontevedra 3 / - / -")</f>
        <v>Calle 95# 71-11 bloque 1 apto 801 parque central Pontevedra 3 / - / -</v>
      </c>
      <c r="G6787" s="15" t="str">
        <f>IFERROR(__xludf.DUMMYFUNCTION("""COMPUTED_VALUE"""),"Marcela Delgado")</f>
        <v>Marcela Delgado</v>
      </c>
      <c r="H6787" s="16">
        <f>IFERROR(__xludf.DUMMYFUNCTION("""COMPUTED_VALUE"""),15509.0)</f>
        <v>15509</v>
      </c>
      <c r="I6787" s="18">
        <f>IFERROR(__xludf.DUMMYFUNCTION("""COMPUTED_VALUE"""),12.0)</f>
        <v>12</v>
      </c>
      <c r="J6787" s="18">
        <f>IFERROR(__xludf.DUMMYFUNCTION("""COMPUTED_VALUE"""),12.0)</f>
        <v>12</v>
      </c>
      <c r="K6787" s="18">
        <f>IFERROR(__xludf.DUMMYFUNCTION("""COMPUTED_VALUE"""),12.0)</f>
        <v>12</v>
      </c>
      <c r="L6787" s="17">
        <f>IFERROR(__xludf.DUMMYFUNCTION("""COMPUTED_VALUE"""),3.16691461E9)</f>
        <v>3166914610</v>
      </c>
      <c r="M6787" s="17" t="str">
        <f>IFERROR(__xludf.DUMMYFUNCTION("""COMPUTED_VALUE"""),"#REF!")</f>
        <v>#REF!</v>
      </c>
      <c r="N6787" s="17"/>
      <c r="O6787" s="17"/>
      <c r="P6787" s="17" t="b">
        <f>IFERROR(__xludf.DUMMYFUNCTION("""COMPUTED_VALUE"""),FALSE)</f>
        <v>0</v>
      </c>
      <c r="Q6787" s="20" t="str">
        <f>IFERROR(__xludf.DUMMYFUNCTION("""COMPUTED_VALUE"""),"")</f>
        <v/>
      </c>
      <c r="R6787" s="21" t="str">
        <f>IFERROR(__xludf.DUMMYFUNCTION("""COMPUTED_VALUE"""),"https://drive.google.com/file/d/1nmC6oyBAU24Sh8Aw47WPpPeSYeEb7H4K/view?usp=drivesdk")</f>
        <v>https://drive.google.com/file/d/1nmC6oyBAU24Sh8Aw47WPpPeSYeEb7H4K/view?usp=drivesdk</v>
      </c>
    </row>
    <row r="6788">
      <c r="A6788" s="15">
        <f>IFERROR(__xludf.DUMMYFUNCTION("""COMPUTED_VALUE"""),45191.0)</f>
        <v>45191</v>
      </c>
      <c r="B6788" s="16" t="str">
        <f>IFERROR(__xludf.DUMMYFUNCTION("""COMPUTED_VALUE"""),"Jeison Rubiano")</f>
        <v>Jeison Rubiano</v>
      </c>
      <c r="C6788" s="15" t="str">
        <f>IFERROR(__xludf.DUMMYFUNCTION("""COMPUTED_VALUE"""),"BOGOTÁ")</f>
        <v>BOGOTÁ</v>
      </c>
      <c r="D6788" s="15" t="str">
        <f>IFERROR(__xludf.DUMMYFUNCTION("""COMPUTED_VALUE"""),"MEDELLÍN")</f>
        <v>MEDELLÍN</v>
      </c>
      <c r="E6788" s="15" t="str">
        <f>IFERROR(__xludf.DUMMYFUNCTION("""COMPUTED_VALUE"""),"Rambla")</f>
        <v>Rambla</v>
      </c>
      <c r="F6788" s="17" t="str">
        <f>IFERROR(__xludf.DUMMYFUNCTION("""COMPUTED_VALUE"""),"Cl. 93a #11-46, Barrio Chicó / - / -")</f>
        <v>Cl. 93a #11-46, Barrio Chicó / - / -</v>
      </c>
      <c r="G6788" s="15" t="str">
        <f>IFERROR(__xludf.DUMMYFUNCTION("""COMPUTED_VALUE"""),"Fit Hub")</f>
        <v>Fit Hub</v>
      </c>
      <c r="H6788" s="16">
        <f>IFERROR(__xludf.DUMMYFUNCTION("""COMPUTED_VALUE"""),15505.0)</f>
        <v>15505</v>
      </c>
      <c r="I6788" s="18">
        <f>IFERROR(__xludf.DUMMYFUNCTION("""COMPUTED_VALUE"""),25.0)</f>
        <v>25</v>
      </c>
      <c r="J6788" s="18">
        <f>IFERROR(__xludf.DUMMYFUNCTION("""COMPUTED_VALUE"""),30.0)</f>
        <v>30</v>
      </c>
      <c r="K6788" s="18">
        <f>IFERROR(__xludf.DUMMYFUNCTION("""COMPUTED_VALUE"""),30.0)</f>
        <v>30</v>
      </c>
      <c r="L6788" s="17">
        <f>IFERROR(__xludf.DUMMYFUNCTION("""COMPUTED_VALUE"""),3.015447307E9)</f>
        <v>3015447307</v>
      </c>
      <c r="M6788" s="17" t="str">
        <f>IFERROR(__xludf.DUMMYFUNCTION("""COMPUTED_VALUE"""),"#REF!")</f>
        <v>#REF!</v>
      </c>
      <c r="N6788" s="17"/>
      <c r="O6788" s="17"/>
      <c r="P6788" s="17" t="b">
        <f>IFERROR(__xludf.DUMMYFUNCTION("""COMPUTED_VALUE"""),FALSE)</f>
        <v>0</v>
      </c>
      <c r="Q6788" s="20" t="str">
        <f>IFERROR(__xludf.DUMMYFUNCTION("""COMPUTED_VALUE"""),"")</f>
        <v/>
      </c>
      <c r="R6788" s="22" t="str">
        <f>IFERROR(__xludf.DUMMYFUNCTION("""COMPUTED_VALUE"""),"")</f>
        <v/>
      </c>
    </row>
    <row r="6789">
      <c r="A6789" s="15">
        <f>IFERROR(__xludf.DUMMYFUNCTION("""COMPUTED_VALUE"""),45191.0)</f>
        <v>45191</v>
      </c>
      <c r="B6789" s="16" t="str">
        <f>IFERROR(__xludf.DUMMYFUNCTION("""COMPUTED_VALUE"""),"Jeison Rubiano")</f>
        <v>Jeison Rubiano</v>
      </c>
      <c r="C6789" s="15" t="str">
        <f>IFERROR(__xludf.DUMMYFUNCTION("""COMPUTED_VALUE"""),"BOGOTÁ")</f>
        <v>BOGOTÁ</v>
      </c>
      <c r="D6789" s="15" t="str">
        <f>IFERROR(__xludf.DUMMYFUNCTION("""COMPUTED_VALUE"""),"MEDELLÍN")</f>
        <v>MEDELLÍN</v>
      </c>
      <c r="E6789" s="15" t="str">
        <f>IFERROR(__xludf.DUMMYFUNCTION("""COMPUTED_VALUE"""),"Rambla")</f>
        <v>Rambla</v>
      </c>
      <c r="F6789" s="17" t="str">
        <f>IFERROR(__xludf.DUMMYFUNCTION("""COMPUTED_VALUE"""),"Cll 8 sur # 39 _34. Ciudad montes / - / -")</f>
        <v>Cll 8 sur # 39 _34. Ciudad montes / - / -</v>
      </c>
      <c r="G6789" s="15" t="str">
        <f>IFERROR(__xludf.DUMMYFUNCTION("""COMPUTED_VALUE"""),"Tierra Fertil")</f>
        <v>Tierra Fertil</v>
      </c>
      <c r="H6789" s="16">
        <f>IFERROR(__xludf.DUMMYFUNCTION("""COMPUTED_VALUE"""),15513.0)</f>
        <v>15513</v>
      </c>
      <c r="I6789" s="18">
        <f>IFERROR(__xludf.DUMMYFUNCTION("""COMPUTED_VALUE"""),17.0)</f>
        <v>17</v>
      </c>
      <c r="J6789" s="18">
        <f>IFERROR(__xludf.DUMMYFUNCTION("""COMPUTED_VALUE"""),24.0)</f>
        <v>24</v>
      </c>
      <c r="K6789" s="18">
        <f>IFERROR(__xludf.DUMMYFUNCTION("""COMPUTED_VALUE"""),24.0)</f>
        <v>24</v>
      </c>
      <c r="L6789" s="17">
        <f>IFERROR(__xludf.DUMMYFUNCTION("""COMPUTED_VALUE"""),3.112876801E9)</f>
        <v>3112876801</v>
      </c>
      <c r="M6789" s="17" t="str">
        <f>IFERROR(__xludf.DUMMYFUNCTION("""COMPUTED_VALUE"""),"#REF!")</f>
        <v>#REF!</v>
      </c>
      <c r="N6789" s="17"/>
      <c r="O6789" s="17"/>
      <c r="P6789" s="17" t="b">
        <f>IFERROR(__xludf.DUMMYFUNCTION("""COMPUTED_VALUE"""),FALSE)</f>
        <v>0</v>
      </c>
      <c r="Q6789" s="20" t="str">
        <f>IFERROR(__xludf.DUMMYFUNCTION("""COMPUTED_VALUE"""),"")</f>
        <v/>
      </c>
      <c r="R6789" s="21" t="str">
        <f>IFERROR(__xludf.DUMMYFUNCTION("""COMPUTED_VALUE"""),"https://drive.google.com/file/d/1JTGXN03eWJwGPRzju1-jVj3iLcExnp4I/view?usp=drivesdk")</f>
        <v>https://drive.google.com/file/d/1JTGXN03eWJwGPRzju1-jVj3iLcExnp4I/view?usp=drivesdk</v>
      </c>
    </row>
    <row r="6790">
      <c r="A6790" s="15">
        <f>IFERROR(__xludf.DUMMYFUNCTION("""COMPUTED_VALUE"""),45191.0)</f>
        <v>45191</v>
      </c>
      <c r="B6790" s="16" t="str">
        <f>IFERROR(__xludf.DUMMYFUNCTION("""COMPUTED_VALUE"""),"Jeison Rubiano")</f>
        <v>Jeison Rubiano</v>
      </c>
      <c r="C6790" s="15" t="str">
        <f>IFERROR(__xludf.DUMMYFUNCTION("""COMPUTED_VALUE"""),"BOGOTÁ")</f>
        <v>BOGOTÁ</v>
      </c>
      <c r="D6790" s="15" t="str">
        <f>IFERROR(__xludf.DUMMYFUNCTION("""COMPUTED_VALUE"""),"MEDELLÍN")</f>
        <v>MEDELLÍN</v>
      </c>
      <c r="E6790" s="15" t="str">
        <f>IFERROR(__xludf.DUMMYFUNCTION("""COMPUTED_VALUE"""),"Rambla")</f>
        <v>Rambla</v>
      </c>
      <c r="F6790" s="17" t="str">
        <f>IFERROR(__xludf.DUMMYFUNCTION("""COMPUTED_VALUE"""),"Cra 52 # 122- 30 - Bogotá. / - / -")</f>
        <v>Cra 52 # 122- 30 - Bogotá. / - / -</v>
      </c>
      <c r="G6790" s="15" t="str">
        <f>IFERROR(__xludf.DUMMYFUNCTION("""COMPUTED_VALUE"""),"Sweet")</f>
        <v>Sweet</v>
      </c>
      <c r="H6790" s="16">
        <f>IFERROR(__xludf.DUMMYFUNCTION("""COMPUTED_VALUE"""),15508.0)</f>
        <v>15508</v>
      </c>
      <c r="I6790" s="18">
        <f>IFERROR(__xludf.DUMMYFUNCTION("""COMPUTED_VALUE"""),25.0)</f>
        <v>25</v>
      </c>
      <c r="J6790" s="18">
        <f>IFERROR(__xludf.DUMMYFUNCTION("""COMPUTED_VALUE"""),26.0)</f>
        <v>26</v>
      </c>
      <c r="K6790" s="18">
        <f>IFERROR(__xludf.DUMMYFUNCTION("""COMPUTED_VALUE"""),26.0)</f>
        <v>26</v>
      </c>
      <c r="L6790" s="17">
        <f>IFERROR(__xludf.DUMMYFUNCTION("""COMPUTED_VALUE"""),3.207201556E9)</f>
        <v>3207201556</v>
      </c>
      <c r="M6790" s="17" t="str">
        <f>IFERROR(__xludf.DUMMYFUNCTION("""COMPUTED_VALUE"""),"#REF!")</f>
        <v>#REF!</v>
      </c>
      <c r="N6790" s="17"/>
      <c r="O6790" s="17"/>
      <c r="P6790" s="17" t="b">
        <f>IFERROR(__xludf.DUMMYFUNCTION("""COMPUTED_VALUE"""),FALSE)</f>
        <v>0</v>
      </c>
      <c r="Q6790" s="20" t="str">
        <f>IFERROR(__xludf.DUMMYFUNCTION("""COMPUTED_VALUE"""),"")</f>
        <v/>
      </c>
      <c r="R6790" s="22" t="str">
        <f>IFERROR(__xludf.DUMMYFUNCTION("""COMPUTED_VALUE"""),"")</f>
        <v/>
      </c>
    </row>
    <row r="6791">
      <c r="A6791" s="15">
        <f>IFERROR(__xludf.DUMMYFUNCTION("""COMPUTED_VALUE"""),45191.0)</f>
        <v>45191</v>
      </c>
      <c r="B6791" s="16" t="str">
        <f>IFERROR(__xludf.DUMMYFUNCTION("""COMPUTED_VALUE"""),"Jeison Rubiano")</f>
        <v>Jeison Rubiano</v>
      </c>
      <c r="C6791" s="15" t="str">
        <f>IFERROR(__xludf.DUMMYFUNCTION("""COMPUTED_VALUE"""),"BOGOTÁ")</f>
        <v>BOGOTÁ</v>
      </c>
      <c r="D6791" s="15" t="str">
        <f>IFERROR(__xludf.DUMMYFUNCTION("""COMPUTED_VALUE"""),"MEDELLÍN")</f>
        <v>MEDELLÍN</v>
      </c>
      <c r="E6791" s="15" t="str">
        <f>IFERROR(__xludf.DUMMYFUNCTION("""COMPUTED_VALUE"""),"Rambla")</f>
        <v>Rambla</v>
      </c>
      <c r="F6791" s="17" t="str">
        <f>IFERROR(__xludf.DUMMYFUNCTION("""COMPUTED_VALUE"""),"Cra 7 No. 88-96 Apto 1401 Edificio Montecarlo / - / -")</f>
        <v>Cra 7 No. 88-96 Apto 1401 Edificio Montecarlo / - / -</v>
      </c>
      <c r="G6791" s="15" t="str">
        <f>IFERROR(__xludf.DUMMYFUNCTION("""COMPUTED_VALUE"""),"Betty Vargas")</f>
        <v>Betty Vargas</v>
      </c>
      <c r="H6791" s="16">
        <f>IFERROR(__xludf.DUMMYFUNCTION("""COMPUTED_VALUE"""),15511.0)</f>
        <v>15511</v>
      </c>
      <c r="I6791" s="18">
        <f>IFERROR(__xludf.DUMMYFUNCTION("""COMPUTED_VALUE"""),20.0)</f>
        <v>20</v>
      </c>
      <c r="J6791" s="18">
        <f>IFERROR(__xludf.DUMMYFUNCTION("""COMPUTED_VALUE"""),12.0)</f>
        <v>12</v>
      </c>
      <c r="K6791" s="18">
        <f>IFERROR(__xludf.DUMMYFUNCTION("""COMPUTED_VALUE"""),12.0)</f>
        <v>12</v>
      </c>
      <c r="L6791" s="17">
        <f>IFERROR(__xludf.DUMMYFUNCTION("""COMPUTED_VALUE"""),3.167936595E9)</f>
        <v>3167936595</v>
      </c>
      <c r="M6791" s="17" t="str">
        <f>IFERROR(__xludf.DUMMYFUNCTION("""COMPUTED_VALUE"""),"#REF!")</f>
        <v>#REF!</v>
      </c>
      <c r="N6791" s="17"/>
      <c r="O6791" s="17"/>
      <c r="P6791" s="17" t="b">
        <f>IFERROR(__xludf.DUMMYFUNCTION("""COMPUTED_VALUE"""),FALSE)</f>
        <v>0</v>
      </c>
      <c r="Q6791" s="20" t="str">
        <f>IFERROR(__xludf.DUMMYFUNCTION("""COMPUTED_VALUE"""),"")</f>
        <v/>
      </c>
      <c r="R6791" s="21" t="str">
        <f>IFERROR(__xludf.DUMMYFUNCTION("""COMPUTED_VALUE"""),"https://drive.google.com/file/d/1JwfdqoZrP2_nn13L1U9g89qKrwZvV_Tk/view?usp=drivesdk")</f>
        <v>https://drive.google.com/file/d/1JwfdqoZrP2_nn13L1U9g89qKrwZvV_Tk/view?usp=drivesdk</v>
      </c>
    </row>
    <row r="6792">
      <c r="A6792" s="15">
        <f>IFERROR(__xludf.DUMMYFUNCTION("""COMPUTED_VALUE"""),45191.0)</f>
        <v>45191</v>
      </c>
      <c r="B6792" s="16" t="str">
        <f>IFERROR(__xludf.DUMMYFUNCTION("""COMPUTED_VALUE"""),"Jeison Rubiano")</f>
        <v>Jeison Rubiano</v>
      </c>
      <c r="C6792" s="15" t="str">
        <f>IFERROR(__xludf.DUMMYFUNCTION("""COMPUTED_VALUE"""),"BOGOTÁ")</f>
        <v>BOGOTÁ</v>
      </c>
      <c r="D6792" s="15" t="str">
        <f>IFERROR(__xludf.DUMMYFUNCTION("""COMPUTED_VALUE"""),"MEDELLÍN")</f>
        <v>MEDELLÍN</v>
      </c>
      <c r="E6792" s="15" t="str">
        <f>IFERROR(__xludf.DUMMYFUNCTION("""COMPUTED_VALUE"""),"Rambla")</f>
        <v>Rambla</v>
      </c>
      <c r="F6792" s="17" t="str">
        <f>IFERROR(__xludf.DUMMYFUNCTION("""COMPUTED_VALUE"""),"Direccion de entrega Calle 53 # 15 90 / - / -")</f>
        <v>Direccion de entrega Calle 53 # 15 90 / - / -</v>
      </c>
      <c r="G6792" s="15" t="str">
        <f>IFERROR(__xludf.DUMMYFUNCTION("""COMPUTED_VALUE"""),"Bien y Estar Market")</f>
        <v>Bien y Estar Market</v>
      </c>
      <c r="H6792" s="16">
        <f>IFERROR(__xludf.DUMMYFUNCTION("""COMPUTED_VALUE"""),15534.0)</f>
        <v>15534</v>
      </c>
      <c r="I6792" s="18">
        <f>IFERROR(__xludf.DUMMYFUNCTION("""COMPUTED_VALUE"""),18.0)</f>
        <v>18</v>
      </c>
      <c r="J6792" s="18">
        <f>IFERROR(__xludf.DUMMYFUNCTION("""COMPUTED_VALUE"""),18.0)</f>
        <v>18</v>
      </c>
      <c r="K6792" s="18">
        <f>IFERROR(__xludf.DUMMYFUNCTION("""COMPUTED_VALUE"""),18.0)</f>
        <v>18</v>
      </c>
      <c r="L6792" s="17">
        <f>IFERROR(__xludf.DUMMYFUNCTION("""COMPUTED_VALUE"""),3.143330353E9)</f>
        <v>3143330353</v>
      </c>
      <c r="M6792" s="17" t="str">
        <f>IFERROR(__xludf.DUMMYFUNCTION("""COMPUTED_VALUE"""),"#REF!")</f>
        <v>#REF!</v>
      </c>
      <c r="N6792" s="17"/>
      <c r="O6792" s="17"/>
      <c r="P6792" s="17" t="b">
        <f>IFERROR(__xludf.DUMMYFUNCTION("""COMPUTED_VALUE"""),FALSE)</f>
        <v>0</v>
      </c>
      <c r="Q6792" s="20" t="str">
        <f>IFERROR(__xludf.DUMMYFUNCTION("""COMPUTED_VALUE"""),"")</f>
        <v/>
      </c>
      <c r="R6792" s="21" t="str">
        <f>IFERROR(__xludf.DUMMYFUNCTION("""COMPUTED_VALUE"""),"https://drive.google.com/file/d/1kutTMykv91nvukEzgIQX-E6cnIjXSCnY/view?usp=drivesdk")</f>
        <v>https://drive.google.com/file/d/1kutTMykv91nvukEzgIQX-E6cnIjXSCnY/view?usp=drivesdk</v>
      </c>
    </row>
    <row r="6793">
      <c r="A6793" s="15">
        <f>IFERROR(__xludf.DUMMYFUNCTION("""COMPUTED_VALUE"""),45191.0)</f>
        <v>45191</v>
      </c>
      <c r="B6793" s="16" t="str">
        <f>IFERROR(__xludf.DUMMYFUNCTION("""COMPUTED_VALUE"""),"Jeison Rubiano")</f>
        <v>Jeison Rubiano</v>
      </c>
      <c r="C6793" s="15" t="str">
        <f>IFERROR(__xludf.DUMMYFUNCTION("""COMPUTED_VALUE"""),"BOGOTÁ")</f>
        <v>BOGOTÁ</v>
      </c>
      <c r="D6793" s="15" t="str">
        <f>IFERROR(__xludf.DUMMYFUNCTION("""COMPUTED_VALUE"""),"MEDELLÍN")</f>
        <v>MEDELLÍN</v>
      </c>
      <c r="E6793" s="15" t="str">
        <f>IFERROR(__xludf.DUMMYFUNCTION("""COMPUTED_VALUE"""),"TOLEDALES S.A.S")</f>
        <v>TOLEDALES S.A.S</v>
      </c>
      <c r="F6793" s="17" t="str">
        <f>IFERROR(__xludf.DUMMYFUNCTION("""COMPUTED_VALUE"""),"calle 118a #13 -35 / Apto 506")</f>
        <v>calle 118a #13 -35 / Apto 506</v>
      </c>
      <c r="G6793" s="15" t="str">
        <f>IFERROR(__xludf.DUMMYFUNCTION("""COMPUTED_VALUE"""),"Nicolas Carbajal")</f>
        <v>Nicolas Carbajal</v>
      </c>
      <c r="H6793" s="16">
        <f>IFERROR(__xludf.DUMMYFUNCTION("""COMPUTED_VALUE"""),15451.0)</f>
        <v>15451</v>
      </c>
      <c r="I6793" s="18">
        <f>IFERROR(__xludf.DUMMYFUNCTION("""COMPUTED_VALUE"""),8.0)</f>
        <v>8</v>
      </c>
      <c r="J6793" s="18">
        <f>IFERROR(__xludf.DUMMYFUNCTION("""COMPUTED_VALUE"""),8.0)</f>
        <v>8</v>
      </c>
      <c r="K6793" s="18">
        <f>IFERROR(__xludf.DUMMYFUNCTION("""COMPUTED_VALUE"""),26.0)</f>
        <v>26</v>
      </c>
      <c r="L6793" s="17">
        <f>IFERROR(__xludf.DUMMYFUNCTION("""COMPUTED_VALUE"""),3.10676873E9)</f>
        <v>3106768730</v>
      </c>
      <c r="M6793" s="17" t="str">
        <f>IFERROR(__xludf.DUMMYFUNCTION("""COMPUTED_VALUE"""),"#REF!")</f>
        <v>#REF!</v>
      </c>
      <c r="N6793" s="17"/>
      <c r="O6793" s="17"/>
      <c r="P6793" s="17" t="b">
        <f>IFERROR(__xludf.DUMMYFUNCTION("""COMPUTED_VALUE"""),FALSE)</f>
        <v>0</v>
      </c>
      <c r="Q6793" s="20" t="str">
        <f>IFERROR(__xludf.DUMMYFUNCTION("""COMPUTED_VALUE"""),"")</f>
        <v/>
      </c>
      <c r="R6793" s="22" t="str">
        <f>IFERROR(__xludf.DUMMYFUNCTION("""COMPUTED_VALUE"""),"")</f>
        <v/>
      </c>
    </row>
    <row r="6794">
      <c r="A6794" s="15">
        <f>IFERROR(__xludf.DUMMYFUNCTION("""COMPUTED_VALUE"""),45191.0)</f>
        <v>45191</v>
      </c>
      <c r="B6794" s="16" t="str">
        <f>IFERROR(__xludf.DUMMYFUNCTION("""COMPUTED_VALUE"""),"Jeison Rubiano")</f>
        <v>Jeison Rubiano</v>
      </c>
      <c r="C6794" s="15" t="str">
        <f>IFERROR(__xludf.DUMMYFUNCTION("""COMPUTED_VALUE"""),"POPAYAN")</f>
        <v>POPAYAN</v>
      </c>
      <c r="D6794" s="15" t="str">
        <f>IFERROR(__xludf.DUMMYFUNCTION("""COMPUTED_VALUE"""),"MEDELLÍN")</f>
        <v>MEDELLÍN</v>
      </c>
      <c r="E6794" s="15" t="str">
        <f>IFERROR(__xludf.DUMMYFUNCTION("""COMPUTED_VALUE"""),"Baby Chef")</f>
        <v>Baby Chef</v>
      </c>
      <c r="F6794" s="17" t="str">
        <f>IFERROR(__xludf.DUMMYFUNCTION("""COMPUTED_VALUE"""),"Carrera 11 # 9 N 20  Santa Clara local Atelier Popayán / Carrera 11 # 9 N 20  Santa Clara local Atelier Popayán / Carrera 11 # 9 N 20  Santa Clara local Atelier Popayán")</f>
        <v>Carrera 11 # 9 N 20  Santa Clara local Atelier Popayán / Carrera 11 # 9 N 20  Santa Clara local Atelier Popayán / Carrera 11 # 9 N 20  Santa Clara local Atelier Popayán</v>
      </c>
      <c r="G6794" s="15" t="str">
        <f>IFERROR(__xludf.DUMMYFUNCTION("""COMPUTED_VALUE"""),"Alejandra Arteaga")</f>
        <v>Alejandra Arteaga</v>
      </c>
      <c r="H6794" s="16">
        <f>IFERROR(__xludf.DUMMYFUNCTION("""COMPUTED_VALUE"""),15496.0)</f>
        <v>15496</v>
      </c>
      <c r="I6794" s="18">
        <f>IFERROR(__xludf.DUMMYFUNCTION("""COMPUTED_VALUE"""),8.0)</f>
        <v>8</v>
      </c>
      <c r="J6794" s="18">
        <f>IFERROR(__xludf.DUMMYFUNCTION("""COMPUTED_VALUE"""),16.0)</f>
        <v>16</v>
      </c>
      <c r="K6794" s="18">
        <f>IFERROR(__xludf.DUMMYFUNCTION("""COMPUTED_VALUE"""),20.0)</f>
        <v>20</v>
      </c>
      <c r="L6794" s="17">
        <f>IFERROR(__xludf.DUMMYFUNCTION("""COMPUTED_VALUE"""),3.183899915E9)</f>
        <v>3183899915</v>
      </c>
      <c r="M6794" s="17" t="str">
        <f>IFERROR(__xludf.DUMMYFUNCTION("""COMPUTED_VALUE"""),"#REF!")</f>
        <v>#REF!</v>
      </c>
      <c r="N6794" s="17"/>
      <c r="O6794" s="17"/>
      <c r="P6794" s="17" t="b">
        <f>IFERROR(__xludf.DUMMYFUNCTION("""COMPUTED_VALUE"""),FALSE)</f>
        <v>0</v>
      </c>
      <c r="Q6794" s="20" t="str">
        <f>IFERROR(__xludf.DUMMYFUNCTION("""COMPUTED_VALUE"""),"")</f>
        <v/>
      </c>
      <c r="R6794" s="22" t="str">
        <f>IFERROR(__xludf.DUMMYFUNCTION("""COMPUTED_VALUE"""),"")</f>
        <v/>
      </c>
    </row>
    <row r="6795">
      <c r="A6795" s="15">
        <f>IFERROR(__xludf.DUMMYFUNCTION("""COMPUTED_VALUE"""),45191.0)</f>
        <v>45191</v>
      </c>
      <c r="B6795" s="16" t="str">
        <f>IFERROR(__xludf.DUMMYFUNCTION("""COMPUTED_VALUE"""),"Jeison Rubiano")</f>
        <v>Jeison Rubiano</v>
      </c>
      <c r="C6795" s="15" t="str">
        <f>IFERROR(__xludf.DUMMYFUNCTION("""COMPUTED_VALUE"""),"POPAYAN")</f>
        <v>POPAYAN</v>
      </c>
      <c r="D6795" s="15" t="str">
        <f>IFERROR(__xludf.DUMMYFUNCTION("""COMPUTED_VALUE"""),"MEDELLÍN")</f>
        <v>MEDELLÍN</v>
      </c>
      <c r="E6795" s="15" t="str">
        <f>IFERROR(__xludf.DUMMYFUNCTION("""COMPUTED_VALUE"""),"Baby Chef")</f>
        <v>Baby Chef</v>
      </c>
      <c r="F6795" s="17" t="str">
        <f>IFERROR(__xludf.DUMMYFUNCTION("""COMPUTED_VALUE"""),"carrera 7No 10N-78 bloque b apt 603 Condominio Torres de Cattania Barrio Prados Norte /  carrera 7No 10N-78 bloque b apt 603 Condominio Torres de Cattania Barrio Prados Norte /  carrera 7No 10N-78 bloque b apt 603 Condominio Torres de Cattania Barrio Prad"&amp;"os Norte")</f>
        <v>carrera 7No 10N-78 bloque b apt 603 Condominio Torres de Cattania Barrio Prados Norte /  carrera 7No 10N-78 bloque b apt 603 Condominio Torres de Cattania Barrio Prados Norte /  carrera 7No 10N-78 bloque b apt 603 Condominio Torres de Cattania Barrio Prados Norte</v>
      </c>
      <c r="G6795" s="15" t="str">
        <f>IFERROR(__xludf.DUMMYFUNCTION("""COMPUTED_VALUE"""),"Yuly Pacheco")</f>
        <v>Yuly Pacheco</v>
      </c>
      <c r="H6795" s="16">
        <f>IFERROR(__xludf.DUMMYFUNCTION("""COMPUTED_VALUE"""),15495.0)</f>
        <v>15495</v>
      </c>
      <c r="I6795" s="18">
        <f>IFERROR(__xludf.DUMMYFUNCTION("""COMPUTED_VALUE"""),7.0)</f>
        <v>7</v>
      </c>
      <c r="J6795" s="18">
        <f>IFERROR(__xludf.DUMMYFUNCTION("""COMPUTED_VALUE"""),14.0)</f>
        <v>14</v>
      </c>
      <c r="K6795" s="18">
        <f>IFERROR(__xludf.DUMMYFUNCTION("""COMPUTED_VALUE"""),28.0)</f>
        <v>28</v>
      </c>
      <c r="L6795" s="17">
        <f>IFERROR(__xludf.DUMMYFUNCTION("""COMPUTED_VALUE"""),3.10327116E9)</f>
        <v>3103271160</v>
      </c>
      <c r="M6795" s="17" t="str">
        <f>IFERROR(__xludf.DUMMYFUNCTION("""COMPUTED_VALUE"""),"#REF!")</f>
        <v>#REF!</v>
      </c>
      <c r="N6795" s="17"/>
      <c r="O6795" s="17"/>
      <c r="P6795" s="17" t="b">
        <f>IFERROR(__xludf.DUMMYFUNCTION("""COMPUTED_VALUE"""),TRUE)</f>
        <v>1</v>
      </c>
      <c r="Q6795" s="20">
        <f>IFERROR(__xludf.DUMMYFUNCTION("""COMPUTED_VALUE"""),45195.627812280094)</f>
        <v>45195.62781</v>
      </c>
      <c r="R6795" s="22" t="str">
        <f>IFERROR(__xludf.DUMMYFUNCTION("""COMPUTED_VALUE"""),"")</f>
        <v/>
      </c>
    </row>
    <row r="6796">
      <c r="A6796" s="17" t="str">
        <f>IFERROR(__xludf.DUMMYFUNCTION("""COMPUTED_VALUE"""),"")</f>
        <v/>
      </c>
      <c r="B6796" s="17" t="str">
        <f>IFERROR(__xludf.DUMMYFUNCTION("""COMPUTED_VALUE"""),"")</f>
        <v/>
      </c>
      <c r="C6796" s="17" t="str">
        <f>IFERROR(__xludf.DUMMYFUNCTION("""COMPUTED_VALUE"""),"")</f>
        <v/>
      </c>
      <c r="D6796" s="17" t="str">
        <f>IFERROR(__xludf.DUMMYFUNCTION("""COMPUTED_VALUE"""),"")</f>
        <v/>
      </c>
      <c r="E6796" s="17" t="str">
        <f>IFERROR(__xludf.DUMMYFUNCTION("""COMPUTED_VALUE"""),"")</f>
        <v/>
      </c>
      <c r="F6796" s="17" t="str">
        <f>IFERROR(__xludf.DUMMYFUNCTION("""COMPUTED_VALUE"""),"")</f>
        <v/>
      </c>
      <c r="G6796" s="17" t="str">
        <f>IFERROR(__xludf.DUMMYFUNCTION("""COMPUTED_VALUE"""),"")</f>
        <v/>
      </c>
      <c r="H6796" s="17" t="str">
        <f>IFERROR(__xludf.DUMMYFUNCTION("""COMPUTED_VALUE"""),"")</f>
        <v/>
      </c>
      <c r="I6796" s="17" t="str">
        <f>IFERROR(__xludf.DUMMYFUNCTION("""COMPUTED_VALUE"""),"")</f>
        <v/>
      </c>
      <c r="J6796" s="17" t="str">
        <f>IFERROR(__xludf.DUMMYFUNCTION("""COMPUTED_VALUE"""),"")</f>
        <v/>
      </c>
      <c r="K6796" s="17" t="str">
        <f>IFERROR(__xludf.DUMMYFUNCTION("""COMPUTED_VALUE"""),"")</f>
        <v/>
      </c>
      <c r="L6796" s="17" t="str">
        <f>IFERROR(__xludf.DUMMYFUNCTION("""COMPUTED_VALUE"""),"")</f>
        <v/>
      </c>
      <c r="M6796" s="17" t="str">
        <f>IFERROR(__xludf.DUMMYFUNCTION("""COMPUTED_VALUE"""),"")</f>
        <v/>
      </c>
      <c r="N6796" s="17" t="str">
        <f>IFERROR(__xludf.DUMMYFUNCTION("""COMPUTED_VALUE"""),"")</f>
        <v/>
      </c>
      <c r="O6796" s="17" t="str">
        <f>IFERROR(__xludf.DUMMYFUNCTION("""COMPUTED_VALUE"""),"")</f>
        <v/>
      </c>
      <c r="P6796" s="17" t="str">
        <f>IFERROR(__xludf.DUMMYFUNCTION("""COMPUTED_VALUE"""),"")</f>
        <v/>
      </c>
      <c r="Q6796" s="17" t="str">
        <f>IFERROR(__xludf.DUMMYFUNCTION("""COMPUTED_VALUE"""),"")</f>
        <v/>
      </c>
      <c r="R6796" s="17" t="str">
        <f>IFERROR(__xludf.DUMMYFUNCTION("""COMPUTED_VALUE"""),"")</f>
        <v/>
      </c>
    </row>
    <row r="6797">
      <c r="A6797" s="15">
        <f>IFERROR(__xludf.DUMMYFUNCTION("""COMPUTED_VALUE"""),45191.0)</f>
        <v>45191</v>
      </c>
      <c r="B6797" s="16" t="str">
        <f>IFERROR(__xludf.DUMMYFUNCTION("""COMPUTED_VALUE"""),"Lina Gaona")</f>
        <v>Lina Gaona</v>
      </c>
      <c r="C6797" s="15" t="str">
        <f>IFERROR(__xludf.DUMMYFUNCTION("""COMPUTED_VALUE"""),"CÚCUTA")</f>
        <v>CÚCUTA</v>
      </c>
      <c r="D6797" s="15" t="str">
        <f>IFERROR(__xludf.DUMMYFUNCTION("""COMPUTED_VALUE"""),"BOGOTÁ")</f>
        <v>BOGOTÁ</v>
      </c>
      <c r="E6797" s="15" t="str">
        <f>IFERROR(__xludf.DUMMYFUNCTION("""COMPUTED_VALUE"""),"Athenas")</f>
        <v>Athenas</v>
      </c>
      <c r="F6797" s="17" t="str">
        <f>IFERROR(__xludf.DUMMYFUNCTION("""COMPUTED_VALUE"""),"CALLE 110 N02E-10  / CAFETERIA ATHENAS BODYTECH  / CAOBOS")</f>
        <v>CALLE 110 N02E-10  / CAFETERIA ATHENAS BODYTECH  / CAOBOS</v>
      </c>
      <c r="G6797" s="15" t="str">
        <f>IFERROR(__xludf.DUMMYFUNCTION("""COMPUTED_VALUE"""),"JENIFER HERNANDEZ")</f>
        <v>JENIFER HERNANDEZ</v>
      </c>
      <c r="H6797" s="16">
        <f>IFERROR(__xludf.DUMMYFUNCTION("""COMPUTED_VALUE"""),15454.0)</f>
        <v>15454</v>
      </c>
      <c r="I6797" s="18">
        <f>IFERROR(__xludf.DUMMYFUNCTION("""COMPUTED_VALUE"""),52.0)</f>
        <v>52</v>
      </c>
      <c r="J6797" s="18">
        <f>IFERROR(__xludf.DUMMYFUNCTION("""COMPUTED_VALUE"""),55.0)</f>
        <v>55</v>
      </c>
      <c r="K6797" s="18">
        <f>IFERROR(__xludf.DUMMYFUNCTION("""COMPUTED_VALUE"""),45.0)</f>
        <v>45</v>
      </c>
      <c r="L6797" s="17">
        <f>IFERROR(__xludf.DUMMYFUNCTION("""COMPUTED_VALUE"""),3.166748316E9)</f>
        <v>3166748316</v>
      </c>
      <c r="M6797" s="17" t="str">
        <f>IFERROR(__xludf.DUMMYFUNCTION("""COMPUTED_VALUE"""),"#REF!")</f>
        <v>#REF!</v>
      </c>
      <c r="N6797" s="17"/>
      <c r="O6797" s="17"/>
      <c r="P6797" s="17" t="b">
        <f>IFERROR(__xludf.DUMMYFUNCTION("""COMPUTED_VALUE"""),FALSE)</f>
        <v>0</v>
      </c>
      <c r="Q6797" s="20" t="str">
        <f>IFERROR(__xludf.DUMMYFUNCTION("""COMPUTED_VALUE"""),"")</f>
        <v/>
      </c>
      <c r="R6797" s="22" t="str">
        <f>IFERROR(__xludf.DUMMYFUNCTION("""COMPUTED_VALUE"""),"")</f>
        <v/>
      </c>
    </row>
    <row r="6798">
      <c r="A6798" s="15">
        <f>IFERROR(__xludf.DUMMYFUNCTION("""COMPUTED_VALUE"""),45191.0)</f>
        <v>45191</v>
      </c>
      <c r="B6798" s="16" t="str">
        <f>IFERROR(__xludf.DUMMYFUNCTION("""COMPUTED_VALUE"""),"Lina Gaona")</f>
        <v>Lina Gaona</v>
      </c>
      <c r="C6798" s="15" t="str">
        <f>IFERROR(__xludf.DUMMYFUNCTION("""COMPUTED_VALUE"""),"CÚCUTA")</f>
        <v>CÚCUTA</v>
      </c>
      <c r="D6798" s="15" t="str">
        <f>IFERROR(__xludf.DUMMYFUNCTION("""COMPUTED_VALUE"""),"BOGOTÁ")</f>
        <v>BOGOTÁ</v>
      </c>
      <c r="E6798" s="15" t="str">
        <f>IFERROR(__xludf.DUMMYFUNCTION("""COMPUTED_VALUE"""),"Evamazzita")</f>
        <v>Evamazzita</v>
      </c>
      <c r="F6798" s="17" t="str">
        <f>IFERROR(__xludf.DUMMYFUNCTION("""COMPUTED_VALUE"""),"Av 2E # 15A -17 Caobos / Caobos")</f>
        <v>Av 2E # 15A -17 Caobos / Caobos</v>
      </c>
      <c r="G6798" s="15" t="str">
        <f>IFERROR(__xludf.DUMMYFUNCTION("""COMPUTED_VALUE"""),"DACCY KARINA LOPEZ MORENO")</f>
        <v>DACCY KARINA LOPEZ MORENO</v>
      </c>
      <c r="H6798" s="16">
        <f>IFERROR(__xludf.DUMMYFUNCTION("""COMPUTED_VALUE"""),15472.0)</f>
        <v>15472</v>
      </c>
      <c r="I6798" s="18">
        <f>IFERROR(__xludf.DUMMYFUNCTION("""COMPUTED_VALUE"""),1.0)</f>
        <v>1</v>
      </c>
      <c r="J6798" s="18">
        <f>IFERROR(__xludf.DUMMYFUNCTION("""COMPUTED_VALUE"""),1.0)</f>
        <v>1</v>
      </c>
      <c r="K6798" s="18">
        <f>IFERROR(__xludf.DUMMYFUNCTION("""COMPUTED_VALUE"""),1.0)</f>
        <v>1</v>
      </c>
      <c r="L6798" s="17">
        <f>IFERROR(__xludf.DUMMYFUNCTION("""COMPUTED_VALUE"""),3.208615379E9)</f>
        <v>3208615379</v>
      </c>
      <c r="M6798" s="17" t="str">
        <f>IFERROR(__xludf.DUMMYFUNCTION("""COMPUTED_VALUE"""),"#REF!")</f>
        <v>#REF!</v>
      </c>
      <c r="N6798" s="17"/>
      <c r="O6798" s="17"/>
      <c r="P6798" s="17" t="b">
        <f>IFERROR(__xludf.DUMMYFUNCTION("""COMPUTED_VALUE"""),FALSE)</f>
        <v>0</v>
      </c>
      <c r="Q6798" s="20" t="str">
        <f>IFERROR(__xludf.DUMMYFUNCTION("""COMPUTED_VALUE"""),"")</f>
        <v/>
      </c>
      <c r="R6798" s="22" t="str">
        <f>IFERROR(__xludf.DUMMYFUNCTION("""COMPUTED_VALUE"""),"")</f>
        <v/>
      </c>
    </row>
    <row r="6799">
      <c r="A6799" s="15">
        <f>IFERROR(__xludf.DUMMYFUNCTION("""COMPUTED_VALUE"""),45191.0)</f>
        <v>45191</v>
      </c>
      <c r="B6799" s="16" t="str">
        <f>IFERROR(__xludf.DUMMYFUNCTION("""COMPUTED_VALUE"""),"Lina Gaona")</f>
        <v>Lina Gaona</v>
      </c>
      <c r="C6799" s="15" t="str">
        <f>IFERROR(__xludf.DUMMYFUNCTION("""COMPUTED_VALUE"""),"CÚCUTA")</f>
        <v>CÚCUTA</v>
      </c>
      <c r="D6799" s="15" t="str">
        <f>IFERROR(__xludf.DUMMYFUNCTION("""COMPUTED_VALUE"""),"BUCARAMANGA")</f>
        <v>BUCARAMANGA</v>
      </c>
      <c r="E6799" s="15" t="str">
        <f>IFERROR(__xludf.DUMMYFUNCTION("""COMPUTED_VALUE"""),"Yo Como Solito")</f>
        <v>Yo Como Solito</v>
      </c>
      <c r="F6799" s="17" t="str">
        <f>IFERROR(__xludf.DUMMYFUNCTION("""COMPUTED_VALUE"""),"AV 2E 15A 17 CAOBOS DIAGONAL AL COLEGIO CARMELITAS / AV 2E 15A 17 CAOBOS DIAGONAL AL COLEGIO CARMELITAS / AV 2E 15A 17 CAOBOS DIAGONAL AL COLEGIO CARMELITAS")</f>
        <v>AV 2E 15A 17 CAOBOS DIAGONAL AL COLEGIO CARMELITAS / AV 2E 15A 17 CAOBOS DIAGONAL AL COLEGIO CARMELITAS / AV 2E 15A 17 CAOBOS DIAGONAL AL COLEGIO CARMELITAS</v>
      </c>
      <c r="G6799" s="15" t="str">
        <f>IFERROR(__xludf.DUMMYFUNCTION("""COMPUTED_VALUE"""),"DACCY KARINA LOPEZ MORENO")</f>
        <v>DACCY KARINA LOPEZ MORENO</v>
      </c>
      <c r="H6799" s="16">
        <f>IFERROR(__xludf.DUMMYFUNCTION("""COMPUTED_VALUE"""),15423.0)</f>
        <v>15423</v>
      </c>
      <c r="I6799" s="18">
        <f>IFERROR(__xludf.DUMMYFUNCTION("""COMPUTED_VALUE"""),15.0)</f>
        <v>15</v>
      </c>
      <c r="J6799" s="18">
        <f>IFERROR(__xludf.DUMMYFUNCTION("""COMPUTED_VALUE"""),30.0)</f>
        <v>30</v>
      </c>
      <c r="K6799" s="18">
        <f>IFERROR(__xludf.DUMMYFUNCTION("""COMPUTED_VALUE"""),38.0)</f>
        <v>38</v>
      </c>
      <c r="L6799" s="17">
        <f>IFERROR(__xludf.DUMMYFUNCTION("""COMPUTED_VALUE"""),3.133032295E9)</f>
        <v>3133032295</v>
      </c>
      <c r="M6799" s="17" t="str">
        <f>IFERROR(__xludf.DUMMYFUNCTION("""COMPUTED_VALUE"""),"#REF!")</f>
        <v>#REF!</v>
      </c>
      <c r="N6799" s="17"/>
      <c r="O6799" s="17"/>
      <c r="P6799" s="17" t="b">
        <f>IFERROR(__xludf.DUMMYFUNCTION("""COMPUTED_VALUE"""),FALSE)</f>
        <v>0</v>
      </c>
      <c r="Q6799" s="20" t="str">
        <f>IFERROR(__xludf.DUMMYFUNCTION("""COMPUTED_VALUE"""),"")</f>
        <v/>
      </c>
      <c r="R6799" s="22" t="str">
        <f>IFERROR(__xludf.DUMMYFUNCTION("""COMPUTED_VALUE"""),"")</f>
        <v/>
      </c>
    </row>
    <row r="6800">
      <c r="A6800" s="15">
        <f>IFERROR(__xludf.DUMMYFUNCTION("""COMPUTED_VALUE"""),45191.0)</f>
        <v>45191</v>
      </c>
      <c r="B6800" s="16" t="str">
        <f>IFERROR(__xludf.DUMMYFUNCTION("""COMPUTED_VALUE"""),"Lina Gaona")</f>
        <v>Lina Gaona</v>
      </c>
      <c r="C6800" s="15" t="str">
        <f>IFERROR(__xludf.DUMMYFUNCTION("""COMPUTED_VALUE"""),"CÚCUTA")</f>
        <v>CÚCUTA</v>
      </c>
      <c r="D6800" s="15" t="str">
        <f>IFERROR(__xludf.DUMMYFUNCTION("""COMPUTED_VALUE"""),"MEDELLÍN")</f>
        <v>MEDELLÍN</v>
      </c>
      <c r="E6800" s="15" t="str">
        <f>IFERROR(__xludf.DUMMYFUNCTION("""COMPUTED_VALUE"""),"Moloso S.A.S")</f>
        <v>Moloso S.A.S</v>
      </c>
      <c r="F6800" s="17" t="str">
        <f>IFERROR(__xludf.DUMMYFUNCTION("""COMPUTED_VALUE"""),"CL 7 18 09 / ASTURIAS TORRES AP 402 TORRE A")</f>
        <v>CL 7 18 09 / ASTURIAS TORRES AP 402 TORRE A</v>
      </c>
      <c r="G6800" s="15" t="str">
        <f>IFERROR(__xludf.DUMMYFUNCTION("""COMPUTED_VALUE"""),"GENESIS VICTORIA MELENDEZ")</f>
        <v>GENESIS VICTORIA MELENDEZ</v>
      </c>
      <c r="H6800" s="16">
        <f>IFERROR(__xludf.DUMMYFUNCTION("""COMPUTED_VALUE"""),15449.0)</f>
        <v>15449</v>
      </c>
      <c r="I6800" s="18">
        <f>IFERROR(__xludf.DUMMYFUNCTION("""COMPUTED_VALUE"""),17.0)</f>
        <v>17</v>
      </c>
      <c r="J6800" s="18">
        <f>IFERROR(__xludf.DUMMYFUNCTION("""COMPUTED_VALUE"""),15.0)</f>
        <v>15</v>
      </c>
      <c r="K6800" s="18">
        <f>IFERROR(__xludf.DUMMYFUNCTION("""COMPUTED_VALUE"""),28.0)</f>
        <v>28</v>
      </c>
      <c r="L6800" s="17" t="str">
        <f>IFERROR(__xludf.DUMMYFUNCTION("""COMPUTED_VALUE"""),"317 3835451")</f>
        <v>317 3835451</v>
      </c>
      <c r="M6800" s="17" t="str">
        <f>IFERROR(__xludf.DUMMYFUNCTION("""COMPUTED_VALUE"""),"#REF!")</f>
        <v>#REF!</v>
      </c>
      <c r="N6800" s="17"/>
      <c r="O6800" s="17"/>
      <c r="P6800" s="17" t="b">
        <f>IFERROR(__xludf.DUMMYFUNCTION("""COMPUTED_VALUE"""),FALSE)</f>
        <v>0</v>
      </c>
      <c r="Q6800" s="20" t="str">
        <f>IFERROR(__xludf.DUMMYFUNCTION("""COMPUTED_VALUE"""),"")</f>
        <v/>
      </c>
      <c r="R6800" s="22" t="str">
        <f>IFERROR(__xludf.DUMMYFUNCTION("""COMPUTED_VALUE"""),"")</f>
        <v/>
      </c>
    </row>
    <row r="6801">
      <c r="A6801" s="17" t="str">
        <f>IFERROR(__xludf.DUMMYFUNCTION("""COMPUTED_VALUE"""),"")</f>
        <v/>
      </c>
      <c r="B6801" s="17" t="str">
        <f>IFERROR(__xludf.DUMMYFUNCTION("""COMPUTED_VALUE"""),"")</f>
        <v/>
      </c>
      <c r="C6801" s="17" t="str">
        <f>IFERROR(__xludf.DUMMYFUNCTION("""COMPUTED_VALUE"""),"")</f>
        <v/>
      </c>
      <c r="D6801" s="17" t="str">
        <f>IFERROR(__xludf.DUMMYFUNCTION("""COMPUTED_VALUE"""),"")</f>
        <v/>
      </c>
      <c r="E6801" s="17" t="str">
        <f>IFERROR(__xludf.DUMMYFUNCTION("""COMPUTED_VALUE"""),"")</f>
        <v/>
      </c>
      <c r="F6801" s="17" t="str">
        <f>IFERROR(__xludf.DUMMYFUNCTION("""COMPUTED_VALUE"""),"")</f>
        <v/>
      </c>
      <c r="G6801" s="17" t="str">
        <f>IFERROR(__xludf.DUMMYFUNCTION("""COMPUTED_VALUE"""),"")</f>
        <v/>
      </c>
      <c r="H6801" s="17" t="str">
        <f>IFERROR(__xludf.DUMMYFUNCTION("""COMPUTED_VALUE"""),"")</f>
        <v/>
      </c>
      <c r="I6801" s="17" t="str">
        <f>IFERROR(__xludf.DUMMYFUNCTION("""COMPUTED_VALUE"""),"")</f>
        <v/>
      </c>
      <c r="J6801" s="17" t="str">
        <f>IFERROR(__xludf.DUMMYFUNCTION("""COMPUTED_VALUE"""),"")</f>
        <v/>
      </c>
      <c r="K6801" s="17" t="str">
        <f>IFERROR(__xludf.DUMMYFUNCTION("""COMPUTED_VALUE"""),"")</f>
        <v/>
      </c>
      <c r="L6801" s="17" t="str">
        <f>IFERROR(__xludf.DUMMYFUNCTION("""COMPUTED_VALUE"""),"")</f>
        <v/>
      </c>
      <c r="M6801" s="17" t="str">
        <f>IFERROR(__xludf.DUMMYFUNCTION("""COMPUTED_VALUE"""),"")</f>
        <v/>
      </c>
      <c r="N6801" s="17" t="str">
        <f>IFERROR(__xludf.DUMMYFUNCTION("""COMPUTED_VALUE"""),"")</f>
        <v/>
      </c>
      <c r="O6801" s="17" t="str">
        <f>IFERROR(__xludf.DUMMYFUNCTION("""COMPUTED_VALUE"""),"")</f>
        <v/>
      </c>
      <c r="P6801" s="17" t="str">
        <f>IFERROR(__xludf.DUMMYFUNCTION("""COMPUTED_VALUE"""),"")</f>
        <v/>
      </c>
      <c r="Q6801" s="17" t="str">
        <f>IFERROR(__xludf.DUMMYFUNCTION("""COMPUTED_VALUE"""),"")</f>
        <v/>
      </c>
      <c r="R6801" s="17" t="str">
        <f>IFERROR(__xludf.DUMMYFUNCTION("""COMPUTED_VALUE"""),"")</f>
        <v/>
      </c>
    </row>
    <row r="6802">
      <c r="A6802" s="15">
        <f>IFERROR(__xludf.DUMMYFUNCTION("""COMPUTED_VALUE"""),45191.0)</f>
        <v>45191</v>
      </c>
      <c r="B6802" s="16" t="str">
        <f>IFERROR(__xludf.DUMMYFUNCTION("""COMPUTED_VALUE"""),"Orlando Urdaneta Rincon ")</f>
        <v>Orlando Urdaneta Rincon </v>
      </c>
      <c r="C6802" s="15" t="str">
        <f>IFERROR(__xludf.DUMMYFUNCTION("""COMPUTED_VALUE"""),"CHÍA")</f>
        <v>CHÍA</v>
      </c>
      <c r="D6802" s="15" t="str">
        <f>IFERROR(__xludf.DUMMYFUNCTION("""COMPUTED_VALUE"""),"MEDELLÍN")</f>
        <v>MEDELLÍN</v>
      </c>
      <c r="E6802" s="15" t="str">
        <f>IFERROR(__xludf.DUMMYFUNCTION("""COMPUTED_VALUE"""),"Rambla")</f>
        <v>Rambla</v>
      </c>
      <c r="F6802" s="17" t="str">
        <f>IFERROR(__xludf.DUMMYFUNCTION("""COMPUTED_VALUE"""),"Km 1.5 via Chia Cajica 100 mts antes de Fontanar / - / -")</f>
        <v>Km 1.5 via Chia Cajica 100 mts antes de Fontanar / - / -</v>
      </c>
      <c r="G6802" s="15" t="str">
        <f>IFERROR(__xludf.DUMMYFUNCTION("""COMPUTED_VALUE"""),"THE CHOICE")</f>
        <v>THE CHOICE</v>
      </c>
      <c r="H6802" s="16">
        <f>IFERROR(__xludf.DUMMYFUNCTION("""COMPUTED_VALUE"""),15506.0)</f>
        <v>15506</v>
      </c>
      <c r="I6802" s="18">
        <f>IFERROR(__xludf.DUMMYFUNCTION("""COMPUTED_VALUE"""),18.0)</f>
        <v>18</v>
      </c>
      <c r="J6802" s="18">
        <f>IFERROR(__xludf.DUMMYFUNCTION("""COMPUTED_VALUE"""),20.0)</f>
        <v>20</v>
      </c>
      <c r="K6802" s="18">
        <f>IFERROR(__xludf.DUMMYFUNCTION("""COMPUTED_VALUE"""),24.0)</f>
        <v>24</v>
      </c>
      <c r="L6802" s="17">
        <f>IFERROR(__xludf.DUMMYFUNCTION("""COMPUTED_VALUE"""),3.212415592E9)</f>
        <v>3212415592</v>
      </c>
      <c r="M6802" s="17" t="str">
        <f>IFERROR(__xludf.DUMMYFUNCTION("""COMPUTED_VALUE"""),"#REF!")</f>
        <v>#REF!</v>
      </c>
      <c r="N6802" s="17"/>
      <c r="O6802" s="17"/>
      <c r="P6802" s="17" t="b">
        <f>IFERROR(__xludf.DUMMYFUNCTION("""COMPUTED_VALUE"""),FALSE)</f>
        <v>0</v>
      </c>
      <c r="Q6802" s="20" t="str">
        <f>IFERROR(__xludf.DUMMYFUNCTION("""COMPUTED_VALUE"""),"")</f>
        <v/>
      </c>
      <c r="R6802" s="22" t="str">
        <f>IFERROR(__xludf.DUMMYFUNCTION("""COMPUTED_VALUE"""),"")</f>
        <v/>
      </c>
    </row>
    <row r="6803">
      <c r="A6803" s="15">
        <f>IFERROR(__xludf.DUMMYFUNCTION("""COMPUTED_VALUE"""),45191.0)</f>
        <v>45191</v>
      </c>
      <c r="B6803" s="16" t="str">
        <f>IFERROR(__xludf.DUMMYFUNCTION("""COMPUTED_VALUE"""),"Orlando Urdaneta Rincon ")</f>
        <v>Orlando Urdaneta Rincon </v>
      </c>
      <c r="C6803" s="15" t="str">
        <f>IFERROR(__xludf.DUMMYFUNCTION("""COMPUTED_VALUE"""),"CHÍA")</f>
        <v>CHÍA</v>
      </c>
      <c r="D6803" s="15" t="str">
        <f>IFERROR(__xludf.DUMMYFUNCTION("""COMPUTED_VALUE"""),"MEDELLÍN")</f>
        <v>MEDELLÍN</v>
      </c>
      <c r="E6803" s="15" t="str">
        <f>IFERROR(__xludf.DUMMYFUNCTION("""COMPUTED_VALUE"""),"Rambla")</f>
        <v>Rambla</v>
      </c>
      <c r="F6803" s="17" t="str">
        <f>IFERROR(__xludf.DUMMYFUNCTION("""COMPUTED_VALUE"""),"Km 3,4 vereda yerbabuena chía. Se sube por la entrada despues del castillo marroquin. La casa queda en la segunda puerta de hierro negra despues del conjunto san jorge III / - / -")</f>
        <v>Km 3,4 vereda yerbabuena chía. Se sube por la entrada despues del castillo marroquin. La casa queda en la segunda puerta de hierro negra despues del conjunto san jorge III / - / -</v>
      </c>
      <c r="G6803" s="15" t="str">
        <f>IFERROR(__xludf.DUMMYFUNCTION("""COMPUTED_VALUE"""),"Adriana Cajiao Gutiérrez")</f>
        <v>Adriana Cajiao Gutiérrez</v>
      </c>
      <c r="H6803" s="16">
        <f>IFERROR(__xludf.DUMMYFUNCTION("""COMPUTED_VALUE"""),15510.0)</f>
        <v>15510</v>
      </c>
      <c r="I6803" s="18">
        <f>IFERROR(__xludf.DUMMYFUNCTION("""COMPUTED_VALUE"""),20.0)</f>
        <v>20</v>
      </c>
      <c r="J6803" s="18">
        <f>IFERROR(__xludf.DUMMYFUNCTION("""COMPUTED_VALUE"""),12.0)</f>
        <v>12</v>
      </c>
      <c r="K6803" s="18">
        <f>IFERROR(__xludf.DUMMYFUNCTION("""COMPUTED_VALUE"""),12.0)</f>
        <v>12</v>
      </c>
      <c r="L6803" s="17">
        <f>IFERROR(__xludf.DUMMYFUNCTION("""COMPUTED_VALUE"""),3.103296891E9)</f>
        <v>3103296891</v>
      </c>
      <c r="M6803" s="17" t="str">
        <f>IFERROR(__xludf.DUMMYFUNCTION("""COMPUTED_VALUE"""),"#REF!")</f>
        <v>#REF!</v>
      </c>
      <c r="N6803" s="17"/>
      <c r="O6803" s="17"/>
      <c r="P6803" s="17" t="b">
        <f>IFERROR(__xludf.DUMMYFUNCTION("""COMPUTED_VALUE"""),FALSE)</f>
        <v>0</v>
      </c>
      <c r="Q6803" s="20" t="str">
        <f>IFERROR(__xludf.DUMMYFUNCTION("""COMPUTED_VALUE"""),"")</f>
        <v/>
      </c>
      <c r="R6803" s="22" t="str">
        <f>IFERROR(__xludf.DUMMYFUNCTION("""COMPUTED_VALUE"""),"")</f>
        <v/>
      </c>
    </row>
    <row r="6804">
      <c r="A6804" s="17" t="str">
        <f>IFERROR(__xludf.DUMMYFUNCTION("""COMPUTED_VALUE"""),"")</f>
        <v/>
      </c>
      <c r="B6804" s="17" t="str">
        <f>IFERROR(__xludf.DUMMYFUNCTION("""COMPUTED_VALUE"""),"")</f>
        <v/>
      </c>
      <c r="C6804" s="17" t="str">
        <f>IFERROR(__xludf.DUMMYFUNCTION("""COMPUTED_VALUE"""),"")</f>
        <v/>
      </c>
      <c r="D6804" s="17" t="str">
        <f>IFERROR(__xludf.DUMMYFUNCTION("""COMPUTED_VALUE"""),"")</f>
        <v/>
      </c>
      <c r="E6804" s="17" t="str">
        <f>IFERROR(__xludf.DUMMYFUNCTION("""COMPUTED_VALUE"""),"")</f>
        <v/>
      </c>
      <c r="F6804" s="17" t="str">
        <f>IFERROR(__xludf.DUMMYFUNCTION("""COMPUTED_VALUE"""),"")</f>
        <v/>
      </c>
      <c r="G6804" s="17" t="str">
        <f>IFERROR(__xludf.DUMMYFUNCTION("""COMPUTED_VALUE"""),"")</f>
        <v/>
      </c>
      <c r="H6804" s="17" t="str">
        <f>IFERROR(__xludf.DUMMYFUNCTION("""COMPUTED_VALUE"""),"")</f>
        <v/>
      </c>
      <c r="I6804" s="17" t="str">
        <f>IFERROR(__xludf.DUMMYFUNCTION("""COMPUTED_VALUE"""),"")</f>
        <v/>
      </c>
      <c r="J6804" s="17" t="str">
        <f>IFERROR(__xludf.DUMMYFUNCTION("""COMPUTED_VALUE"""),"")</f>
        <v/>
      </c>
      <c r="K6804" s="17" t="str">
        <f>IFERROR(__xludf.DUMMYFUNCTION("""COMPUTED_VALUE"""),"")</f>
        <v/>
      </c>
      <c r="L6804" s="17" t="str">
        <f>IFERROR(__xludf.DUMMYFUNCTION("""COMPUTED_VALUE"""),"")</f>
        <v/>
      </c>
      <c r="M6804" s="17" t="str">
        <f>IFERROR(__xludf.DUMMYFUNCTION("""COMPUTED_VALUE"""),"")</f>
        <v/>
      </c>
      <c r="N6804" s="17" t="str">
        <f>IFERROR(__xludf.DUMMYFUNCTION("""COMPUTED_VALUE"""),"")</f>
        <v/>
      </c>
      <c r="O6804" s="17" t="str">
        <f>IFERROR(__xludf.DUMMYFUNCTION("""COMPUTED_VALUE"""),"")</f>
        <v/>
      </c>
      <c r="P6804" s="17" t="str">
        <f>IFERROR(__xludf.DUMMYFUNCTION("""COMPUTED_VALUE"""),"")</f>
        <v/>
      </c>
      <c r="Q6804" s="17" t="str">
        <f>IFERROR(__xludf.DUMMYFUNCTION("""COMPUTED_VALUE"""),"")</f>
        <v/>
      </c>
      <c r="R6804" s="17" t="str">
        <f>IFERROR(__xludf.DUMMYFUNCTION("""COMPUTED_VALUE"""),"")</f>
        <v/>
      </c>
    </row>
    <row r="6805">
      <c r="A6805" s="15">
        <f>IFERROR(__xludf.DUMMYFUNCTION("""COMPUTED_VALUE"""),45191.0)</f>
        <v>45191</v>
      </c>
      <c r="B6805" s="16" t="str">
        <f>IFERROR(__xludf.DUMMYFUNCTION("""COMPUTED_VALUE"""),"Santiago Garces Restrepo")</f>
        <v>Santiago Garces Restrepo</v>
      </c>
      <c r="C6805" s="15" t="str">
        <f>IFERROR(__xludf.DUMMYFUNCTION("""COMPUTED_VALUE"""),"CALI")</f>
        <v>CALI</v>
      </c>
      <c r="D6805" s="15" t="str">
        <f>IFERROR(__xludf.DUMMYFUNCTION("""COMPUTED_VALUE"""),"BOGOTÁ")</f>
        <v>BOGOTÁ</v>
      </c>
      <c r="E6805" s="15" t="str">
        <f>IFERROR(__xludf.DUMMYFUNCTION("""COMPUTED_VALUE"""),"Renata")</f>
        <v>Renata</v>
      </c>
      <c r="F6805" s="17" t="str">
        <f>IFERROR(__xludf.DUMMYFUNCTION("""COMPUTED_VALUE"""),"Carrera 3#3a-83 / Patio 34 food containers -restaurante  / San Fernando")</f>
        <v>Carrera 3#3a-83 / Patio 34 food containers -restaurante  / San Fernando</v>
      </c>
      <c r="G6805" s="15" t="str">
        <f>IFERROR(__xludf.DUMMYFUNCTION("""COMPUTED_VALUE"""),"Retaco sas")</f>
        <v>Retaco sas</v>
      </c>
      <c r="H6805" s="16">
        <f>IFERROR(__xludf.DUMMYFUNCTION("""COMPUTED_VALUE"""),15520.0)</f>
        <v>15520</v>
      </c>
      <c r="I6805" s="18">
        <f>IFERROR(__xludf.DUMMYFUNCTION("""COMPUTED_VALUE"""),90.0)</f>
        <v>90</v>
      </c>
      <c r="J6805" s="18">
        <f>IFERROR(__xludf.DUMMYFUNCTION("""COMPUTED_VALUE"""),70.0)</f>
        <v>70</v>
      </c>
      <c r="K6805" s="18">
        <f>IFERROR(__xludf.DUMMYFUNCTION("""COMPUTED_VALUE"""),60.0)</f>
        <v>60</v>
      </c>
      <c r="L6805" s="17">
        <f>IFERROR(__xludf.DUMMYFUNCTION("""COMPUTED_VALUE"""),3.134720976E9)</f>
        <v>3134720976</v>
      </c>
      <c r="M6805" s="17" t="str">
        <f>IFERROR(__xludf.DUMMYFUNCTION("""COMPUTED_VALUE"""),"#REF!")</f>
        <v>#REF!</v>
      </c>
      <c r="N6805" s="17"/>
      <c r="O6805" s="17"/>
      <c r="P6805" s="17" t="b">
        <f>IFERROR(__xludf.DUMMYFUNCTION("""COMPUTED_VALUE"""),TRUE)</f>
        <v>1</v>
      </c>
      <c r="Q6805" s="20">
        <f>IFERROR(__xludf.DUMMYFUNCTION("""COMPUTED_VALUE"""),45195.467259108795)</f>
        <v>45195.46726</v>
      </c>
      <c r="R6805" s="22" t="str">
        <f>IFERROR(__xludf.DUMMYFUNCTION("""COMPUTED_VALUE"""),"")</f>
        <v/>
      </c>
    </row>
    <row r="6806">
      <c r="A6806" s="15">
        <f>IFERROR(__xludf.DUMMYFUNCTION("""COMPUTED_VALUE"""),45191.0)</f>
        <v>45191</v>
      </c>
      <c r="B6806" s="16" t="str">
        <f>IFERROR(__xludf.DUMMYFUNCTION("""COMPUTED_VALUE"""),"Santiago Garces Restrepo")</f>
        <v>Santiago Garces Restrepo</v>
      </c>
      <c r="C6806" s="15" t="str">
        <f>IFERROR(__xludf.DUMMYFUNCTION("""COMPUTED_VALUE"""),"MEDELLÍN")</f>
        <v>MEDELLÍN</v>
      </c>
      <c r="D6806" s="15" t="str">
        <f>IFERROR(__xludf.DUMMYFUNCTION("""COMPUTED_VALUE"""),"BOGOTÁ")</f>
        <v>BOGOTÁ</v>
      </c>
      <c r="E6806" s="15" t="str">
        <f>IFERROR(__xludf.DUMMYFUNCTION("""COMPUTED_VALUE"""),"FamiliaReal S.A.S")</f>
        <v>FamiliaReal S.A.S</v>
      </c>
      <c r="F6806" s="17" t="str">
        <f>IFERROR(__xludf.DUMMYFUNCTION("""COMPUTED_VALUE"""),"Calle 64 # 45 60 interior 301. Barrio la mansion")</f>
        <v>Calle 64 # 45 60 interior 301. Barrio la mansion</v>
      </c>
      <c r="G6806" s="15" t="str">
        <f>IFERROR(__xludf.DUMMYFUNCTION("""COMPUTED_VALUE"""),"Johana Zapata")</f>
        <v>Johana Zapata</v>
      </c>
      <c r="H6806" s="16">
        <f>IFERROR(__xludf.DUMMYFUNCTION("""COMPUTED_VALUE"""),15443.0)</f>
        <v>15443</v>
      </c>
      <c r="I6806" s="18">
        <f>IFERROR(__xludf.DUMMYFUNCTION("""COMPUTED_VALUE"""),45068.0)</f>
        <v>45068</v>
      </c>
      <c r="J6806" s="18">
        <f>IFERROR(__xludf.DUMMYFUNCTION("""COMPUTED_VALUE"""),45053.0)</f>
        <v>45053</v>
      </c>
      <c r="K6806" s="18">
        <f>IFERROR(__xludf.DUMMYFUNCTION("""COMPUTED_VALUE"""),45053.0)</f>
        <v>45053</v>
      </c>
      <c r="L6806" s="17">
        <f>IFERROR(__xludf.DUMMYFUNCTION("""COMPUTED_VALUE"""),3.012765758E9)</f>
        <v>3012765758</v>
      </c>
      <c r="M6806" s="17" t="str">
        <f>IFERROR(__xludf.DUMMYFUNCTION("""COMPUTED_VALUE"""),"#REF!")</f>
        <v>#REF!</v>
      </c>
      <c r="N6806" s="17"/>
      <c r="O6806" s="17"/>
      <c r="P6806" s="17" t="b">
        <f>IFERROR(__xludf.DUMMYFUNCTION("""COMPUTED_VALUE"""),TRUE)</f>
        <v>1</v>
      </c>
      <c r="Q6806" s="20">
        <f>IFERROR(__xludf.DUMMYFUNCTION("""COMPUTED_VALUE"""),45195.467259108795)</f>
        <v>45195.46726</v>
      </c>
      <c r="R6806" s="21" t="str">
        <f>IFERROR(__xludf.DUMMYFUNCTION("""COMPUTED_VALUE"""),"https://drive.google.com/file/d/1ApZ1u9pBOW2LunDLTp3Hna1Qm3uNvI6m/view?usp=drivesdk")</f>
        <v>https://drive.google.com/file/d/1ApZ1u9pBOW2LunDLTp3Hna1Qm3uNvI6m/view?usp=drivesdk</v>
      </c>
    </row>
    <row r="6807">
      <c r="A6807" s="15">
        <f>IFERROR(__xludf.DUMMYFUNCTION("""COMPUTED_VALUE"""),45191.0)</f>
        <v>45191</v>
      </c>
      <c r="B6807" s="16" t="str">
        <f>IFERROR(__xludf.DUMMYFUNCTION("""COMPUTED_VALUE"""),"Santiago Garces Restrepo")</f>
        <v>Santiago Garces Restrepo</v>
      </c>
      <c r="C6807" s="15" t="str">
        <f>IFERROR(__xludf.DUMMYFUNCTION("""COMPUTED_VALUE"""),"MEDELLÍN")</f>
        <v>MEDELLÍN</v>
      </c>
      <c r="D6807" s="15" t="str">
        <f>IFERROR(__xludf.DUMMYFUNCTION("""COMPUTED_VALUE"""),"BOGOTÁ")</f>
        <v>BOGOTÁ</v>
      </c>
      <c r="E6807" s="15" t="str">
        <f>IFERROR(__xludf.DUMMYFUNCTION("""COMPUTED_VALUE"""),"FamiliaReal S.A.S")</f>
        <v>FamiliaReal S.A.S</v>
      </c>
      <c r="F6807" s="17" t="str">
        <f>IFERROR(__xludf.DUMMYFUNCTION("""COMPUTED_VALUE"""),"Carrera 98 # 41- 72 apto 302 barrio San Javier.")</f>
        <v>Carrera 98 # 41- 72 apto 302 barrio San Javier.</v>
      </c>
      <c r="G6807" s="15" t="str">
        <f>IFERROR(__xludf.DUMMYFUNCTION("""COMPUTED_VALUE"""),"Johana Zapata")</f>
        <v>Johana Zapata</v>
      </c>
      <c r="H6807" s="16">
        <f>IFERROR(__xludf.DUMMYFUNCTION("""COMPUTED_VALUE"""),15445.0)</f>
        <v>15445</v>
      </c>
      <c r="I6807" s="18">
        <f>IFERROR(__xludf.DUMMYFUNCTION("""COMPUTED_VALUE"""),26.0)</f>
        <v>26</v>
      </c>
      <c r="J6807" s="18">
        <f>IFERROR(__xludf.DUMMYFUNCTION("""COMPUTED_VALUE"""),45115.0)</f>
        <v>45115</v>
      </c>
      <c r="K6807" s="18">
        <f>IFERROR(__xludf.DUMMYFUNCTION("""COMPUTED_VALUE"""),45115.0)</f>
        <v>45115</v>
      </c>
      <c r="L6807" s="17" t="str">
        <f>IFERROR(__xludf.DUMMYFUNCTION("""COMPUTED_VALUE"""),"300 6262947")</f>
        <v>300 6262947</v>
      </c>
      <c r="M6807" s="17" t="str">
        <f>IFERROR(__xludf.DUMMYFUNCTION("""COMPUTED_VALUE"""),"#REF!")</f>
        <v>#REF!</v>
      </c>
      <c r="N6807" s="17"/>
      <c r="O6807" s="17"/>
      <c r="P6807" s="17" t="b">
        <f>IFERROR(__xludf.DUMMYFUNCTION("""COMPUTED_VALUE"""),TRUE)</f>
        <v>1</v>
      </c>
      <c r="Q6807" s="20">
        <f>IFERROR(__xludf.DUMMYFUNCTION("""COMPUTED_VALUE"""),45195.467259108795)</f>
        <v>45195.46726</v>
      </c>
      <c r="R6807" s="22" t="str">
        <f>IFERROR(__xludf.DUMMYFUNCTION("""COMPUTED_VALUE"""),"")</f>
        <v/>
      </c>
    </row>
    <row r="6808">
      <c r="A6808" s="15">
        <f>IFERROR(__xludf.DUMMYFUNCTION("""COMPUTED_VALUE"""),45191.0)</f>
        <v>45191</v>
      </c>
      <c r="B6808" s="16" t="str">
        <f>IFERROR(__xludf.DUMMYFUNCTION("""COMPUTED_VALUE"""),"Santiago Garces Restrepo")</f>
        <v>Santiago Garces Restrepo</v>
      </c>
      <c r="C6808" s="15" t="str">
        <f>IFERROR(__xludf.DUMMYFUNCTION("""COMPUTED_VALUE"""),"MEDELLÍN")</f>
        <v>MEDELLÍN</v>
      </c>
      <c r="D6808" s="15" t="str">
        <f>IFERROR(__xludf.DUMMYFUNCTION("""COMPUTED_VALUE"""),"BOGOTÁ")</f>
        <v>BOGOTÁ</v>
      </c>
      <c r="E6808" s="15" t="str">
        <f>IFERROR(__xludf.DUMMYFUNCTION("""COMPUTED_VALUE"""),"FamiliaReal S.A.S")</f>
        <v>FamiliaReal S.A.S</v>
      </c>
      <c r="F6808" s="17" t="str">
        <f>IFERROR(__xludf.DUMMYFUNCTION("""COMPUTED_VALUE"""),"Cr 42 No 75-83 Ideo Centro de Diseño y construcción local 201")</f>
        <v>Cr 42 No 75-83 Ideo Centro de Diseño y construcción local 201</v>
      </c>
      <c r="G6808" s="15" t="str">
        <f>IFERROR(__xludf.DUMMYFUNCTION("""COMPUTED_VALUE"""),"Juan Ortiz")</f>
        <v>Juan Ortiz</v>
      </c>
      <c r="H6808" s="16">
        <f>IFERROR(__xludf.DUMMYFUNCTION("""COMPUTED_VALUE"""),15442.0)</f>
        <v>15442</v>
      </c>
      <c r="I6808" s="18">
        <f>IFERROR(__xludf.DUMMYFUNCTION("""COMPUTED_VALUE"""),26.0)</f>
        <v>26</v>
      </c>
      <c r="J6808" s="18">
        <f>IFERROR(__xludf.DUMMYFUNCTION("""COMPUTED_VALUE"""),45115.0)</f>
        <v>45115</v>
      </c>
      <c r="K6808" s="18">
        <f>IFERROR(__xludf.DUMMYFUNCTION("""COMPUTED_VALUE"""),45115.0)</f>
        <v>45115</v>
      </c>
      <c r="L6808" s="17">
        <f>IFERROR(__xludf.DUMMYFUNCTION("""COMPUTED_VALUE"""),3.102391127E9)</f>
        <v>3102391127</v>
      </c>
      <c r="M6808" s="17" t="str">
        <f>IFERROR(__xludf.DUMMYFUNCTION("""COMPUTED_VALUE"""),"#REF!")</f>
        <v>#REF!</v>
      </c>
      <c r="N6808" s="17"/>
      <c r="O6808" s="17"/>
      <c r="P6808" s="17" t="b">
        <f>IFERROR(__xludf.DUMMYFUNCTION("""COMPUTED_VALUE"""),TRUE)</f>
        <v>1</v>
      </c>
      <c r="Q6808" s="20">
        <f>IFERROR(__xludf.DUMMYFUNCTION("""COMPUTED_VALUE"""),45195.467259108795)</f>
        <v>45195.46726</v>
      </c>
      <c r="R6808" s="21" t="str">
        <f>IFERROR(__xludf.DUMMYFUNCTION("""COMPUTED_VALUE"""),"https://drive.google.com/file/d/1pvIG5HHI8Sp2RECvG_NsSxKQpnwv7BLC/view?usp=drivesdk")</f>
        <v>https://drive.google.com/file/d/1pvIG5HHI8Sp2RECvG_NsSxKQpnwv7BLC/view?usp=drivesdk</v>
      </c>
    </row>
    <row r="6809">
      <c r="A6809" s="15">
        <f>IFERROR(__xludf.DUMMYFUNCTION("""COMPUTED_VALUE"""),45191.0)</f>
        <v>45191</v>
      </c>
      <c r="B6809" s="16" t="str">
        <f>IFERROR(__xludf.DUMMYFUNCTION("""COMPUTED_VALUE"""),"Santiago Garces Restrepo")</f>
        <v>Santiago Garces Restrepo</v>
      </c>
      <c r="C6809" s="15" t="str">
        <f>IFERROR(__xludf.DUMMYFUNCTION("""COMPUTED_VALUE"""),"MEDELLÍN")</f>
        <v>MEDELLÍN</v>
      </c>
      <c r="D6809" s="15" t="str">
        <f>IFERROR(__xludf.DUMMYFUNCTION("""COMPUTED_VALUE"""),"BOGOTÁ")</f>
        <v>BOGOTÁ</v>
      </c>
      <c r="E6809" s="15" t="str">
        <f>IFERROR(__xludf.DUMMYFUNCTION("""COMPUTED_VALUE"""),"FamiliaReal S.A.S")</f>
        <v>FamiliaReal S.A.S</v>
      </c>
      <c r="F6809" s="17" t="str">
        <f>IFERROR(__xludf.DUMMYFUNCTION("""COMPUTED_VALUE"""),"Cra 56D No 77Sur-22 Barrio Las Brisas (La Estrella)")</f>
        <v>Cra 56D No 77Sur-22 Barrio Las Brisas (La Estrella)</v>
      </c>
      <c r="G6809" s="15" t="str">
        <f>IFERROR(__xludf.DUMMYFUNCTION("""COMPUTED_VALUE"""),"Jenni Paola Carvajalino")</f>
        <v>Jenni Paola Carvajalino</v>
      </c>
      <c r="H6809" s="16">
        <f>IFERROR(__xludf.DUMMYFUNCTION("""COMPUTED_VALUE"""),15441.0)</f>
        <v>15441</v>
      </c>
      <c r="I6809" s="18">
        <f>IFERROR(__xludf.DUMMYFUNCTION("""COMPUTED_VALUE"""),26.0)</f>
        <v>26</v>
      </c>
      <c r="J6809" s="18">
        <f>IFERROR(__xludf.DUMMYFUNCTION("""COMPUTED_VALUE"""),45115.0)</f>
        <v>45115</v>
      </c>
      <c r="K6809" s="18">
        <f>IFERROR(__xludf.DUMMYFUNCTION("""COMPUTED_VALUE"""),45115.0)</f>
        <v>45115</v>
      </c>
      <c r="L6809" s="17">
        <f>IFERROR(__xludf.DUMMYFUNCTION("""COMPUTED_VALUE"""),3.142770885E9)</f>
        <v>3142770885</v>
      </c>
      <c r="M6809" s="17" t="str">
        <f>IFERROR(__xludf.DUMMYFUNCTION("""COMPUTED_VALUE"""),"#REF!")</f>
        <v>#REF!</v>
      </c>
      <c r="N6809" s="17"/>
      <c r="O6809" s="17"/>
      <c r="P6809" s="17" t="b">
        <f>IFERROR(__xludf.DUMMYFUNCTION("""COMPUTED_VALUE"""),TRUE)</f>
        <v>1</v>
      </c>
      <c r="Q6809" s="20">
        <f>IFERROR(__xludf.DUMMYFUNCTION("""COMPUTED_VALUE"""),45195.467259108795)</f>
        <v>45195.46726</v>
      </c>
      <c r="R6809" s="21" t="str">
        <f>IFERROR(__xludf.DUMMYFUNCTION("""COMPUTED_VALUE"""),"https://drive.google.com/file/d/1HgQjRdr2tE-SRw3_azxbH6ToJGLE_uCX/view?usp=drivesdk")</f>
        <v>https://drive.google.com/file/d/1HgQjRdr2tE-SRw3_azxbH6ToJGLE_uCX/view?usp=drivesdk</v>
      </c>
    </row>
    <row r="6810">
      <c r="A6810" s="15">
        <f>IFERROR(__xludf.DUMMYFUNCTION("""COMPUTED_VALUE"""),45191.0)</f>
        <v>45191</v>
      </c>
      <c r="B6810" s="16" t="str">
        <f>IFERROR(__xludf.DUMMYFUNCTION("""COMPUTED_VALUE"""),"Santiago Garces Restrepo")</f>
        <v>Santiago Garces Restrepo</v>
      </c>
      <c r="C6810" s="15" t="str">
        <f>IFERROR(__xludf.DUMMYFUNCTION("""COMPUTED_VALUE"""),"MEDELLÍN")</f>
        <v>MEDELLÍN</v>
      </c>
      <c r="D6810" s="15" t="str">
        <f>IFERROR(__xludf.DUMMYFUNCTION("""COMPUTED_VALUE"""),"BOGOTÁ")</f>
        <v>BOGOTÁ</v>
      </c>
      <c r="E6810" s="15" t="str">
        <f>IFERROR(__xludf.DUMMYFUNCTION("""COMPUTED_VALUE"""),"FamiliaReal S.A.S")</f>
        <v>FamiliaReal S.A.S</v>
      </c>
      <c r="F6810" s="17" t="str">
        <f>IFERROR(__xludf.DUMMYFUNCTION("""COMPUTED_VALUE"""),"CRA 77#33A-30 Laureles del Pinar Apto. 1104")</f>
        <v>CRA 77#33A-30 Laureles del Pinar Apto. 1104</v>
      </c>
      <c r="G6810" s="15" t="str">
        <f>IFERROR(__xludf.DUMMYFUNCTION("""COMPUTED_VALUE"""),"Carolina Bedoya Zapata")</f>
        <v>Carolina Bedoya Zapata</v>
      </c>
      <c r="H6810" s="16">
        <f>IFERROR(__xludf.DUMMYFUNCTION("""COMPUTED_VALUE"""),15444.0)</f>
        <v>15444</v>
      </c>
      <c r="I6810" s="18">
        <f>IFERROR(__xludf.DUMMYFUNCTION("""COMPUTED_VALUE"""),26.0)</f>
        <v>26</v>
      </c>
      <c r="J6810" s="18">
        <f>IFERROR(__xludf.DUMMYFUNCTION("""COMPUTED_VALUE"""),45115.0)</f>
        <v>45115</v>
      </c>
      <c r="K6810" s="18">
        <f>IFERROR(__xludf.DUMMYFUNCTION("""COMPUTED_VALUE"""),45115.0)</f>
        <v>45115</v>
      </c>
      <c r="L6810" s="17">
        <f>IFERROR(__xludf.DUMMYFUNCTION("""COMPUTED_VALUE"""),3.185240364E9)</f>
        <v>3185240364</v>
      </c>
      <c r="M6810" s="17" t="str">
        <f>IFERROR(__xludf.DUMMYFUNCTION("""COMPUTED_VALUE"""),"#REF!")</f>
        <v>#REF!</v>
      </c>
      <c r="N6810" s="17"/>
      <c r="O6810" s="17"/>
      <c r="P6810" s="17" t="b">
        <f>IFERROR(__xludf.DUMMYFUNCTION("""COMPUTED_VALUE"""),TRUE)</f>
        <v>1</v>
      </c>
      <c r="Q6810" s="20">
        <f>IFERROR(__xludf.DUMMYFUNCTION("""COMPUTED_VALUE"""),45195.467259108795)</f>
        <v>45195.46726</v>
      </c>
      <c r="R6810" s="21" t="str">
        <f>IFERROR(__xludf.DUMMYFUNCTION("""COMPUTED_VALUE"""),"https://drive.google.com/file/d/1Y6GjyapYAM1vnUvAjcqnQIZFXbzjDoPE/view?usp=drivesdk")</f>
        <v>https://drive.google.com/file/d/1Y6GjyapYAM1vnUvAjcqnQIZFXbzjDoPE/view?usp=drivesdk</v>
      </c>
    </row>
    <row r="6811">
      <c r="A6811" s="15">
        <f>IFERROR(__xludf.DUMMYFUNCTION("""COMPUTED_VALUE"""),45191.0)</f>
        <v>45191</v>
      </c>
      <c r="B6811" s="16" t="str">
        <f>IFERROR(__xludf.DUMMYFUNCTION("""COMPUTED_VALUE"""),"Santiago Garces Restrepo")</f>
        <v>Santiago Garces Restrepo</v>
      </c>
      <c r="C6811" s="15" t="str">
        <f>IFERROR(__xludf.DUMMYFUNCTION("""COMPUTED_VALUE"""),"MEDELLÍN")</f>
        <v>MEDELLÍN</v>
      </c>
      <c r="D6811" s="15" t="str">
        <f>IFERROR(__xludf.DUMMYFUNCTION("""COMPUTED_VALUE"""),"BOGOTÁ")</f>
        <v>BOGOTÁ</v>
      </c>
      <c r="E6811" s="15" t="str">
        <f>IFERROR(__xludf.DUMMYFUNCTION("""COMPUTED_VALUE"""),"MAI ALIMENTOS REALES")</f>
        <v>MAI ALIMENTOS REALES</v>
      </c>
      <c r="F6811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6811" s="15" t="str">
        <f>IFERROR(__xludf.DUMMYFUNCTION("""COMPUTED_VALUE"""),"Novaventas")</f>
        <v>Novaventas</v>
      </c>
      <c r="H6811" s="16">
        <f>IFERROR(__xludf.DUMMYFUNCTION("""COMPUTED_VALUE"""),15421.0)</f>
        <v>15421</v>
      </c>
      <c r="I6811" s="18">
        <f>IFERROR(__xludf.DUMMYFUNCTION("""COMPUTED_VALUE"""),1.0)</f>
        <v>1</v>
      </c>
      <c r="J6811" s="18">
        <f>IFERROR(__xludf.DUMMYFUNCTION("""COMPUTED_VALUE"""),1.0)</f>
        <v>1</v>
      </c>
      <c r="K6811" s="18">
        <f>IFERROR(__xludf.DUMMYFUNCTION("""COMPUTED_VALUE"""),1.0)</f>
        <v>1</v>
      </c>
      <c r="L6811" s="17">
        <f>IFERROR(__xludf.DUMMYFUNCTION("""COMPUTED_VALUE"""),3.187351593E9)</f>
        <v>3187351593</v>
      </c>
      <c r="M6811" s="17" t="str">
        <f>IFERROR(__xludf.DUMMYFUNCTION("""COMPUTED_VALUE"""),"#REF!")</f>
        <v>#REF!</v>
      </c>
      <c r="N6811" s="17"/>
      <c r="O6811" s="17"/>
      <c r="P6811" s="17" t="b">
        <f>IFERROR(__xludf.DUMMYFUNCTION("""COMPUTED_VALUE"""),FALSE)</f>
        <v>0</v>
      </c>
      <c r="Q6811" s="20" t="str">
        <f>IFERROR(__xludf.DUMMYFUNCTION("""COMPUTED_VALUE"""),"")</f>
        <v/>
      </c>
      <c r="R6811" s="22" t="str">
        <f>IFERROR(__xludf.DUMMYFUNCTION("""COMPUTED_VALUE"""),"")</f>
        <v/>
      </c>
    </row>
    <row r="6812">
      <c r="A6812" s="15">
        <f>IFERROR(__xludf.DUMMYFUNCTION("""COMPUTED_VALUE"""),45191.0)</f>
        <v>45191</v>
      </c>
      <c r="B6812" s="16" t="str">
        <f>IFERROR(__xludf.DUMMYFUNCTION("""COMPUTED_VALUE"""),"Santiago Garces Restrepo")</f>
        <v>Santiago Garces Restrepo</v>
      </c>
      <c r="C6812" s="15" t="str">
        <f>IFERROR(__xludf.DUMMYFUNCTION("""COMPUTED_VALUE"""),"MEDELLÍN")</f>
        <v>MEDELLÍN</v>
      </c>
      <c r="D6812" s="15" t="str">
        <f>IFERROR(__xludf.DUMMYFUNCTION("""COMPUTED_VALUE"""),"BOGOTÁ")</f>
        <v>BOGOTÁ</v>
      </c>
      <c r="E6812" s="15" t="str">
        <f>IFERROR(__xludf.DUMMYFUNCTION("""COMPUTED_VALUE"""),"Renata")</f>
        <v>Renata</v>
      </c>
      <c r="F6812" s="17" t="str">
        <f>IFERROR(__xludf.DUMMYFUNCTION("""COMPUTED_VALUE"""),"Carrera 32d#9-43 / Seline y cowork -restaurante  / Provenza")</f>
        <v>Carrera 32d#9-43 / Seline y cowork -restaurante  / Provenza</v>
      </c>
      <c r="G6812" s="15" t="str">
        <f>IFERROR(__xludf.DUMMYFUNCTION("""COMPUTED_VALUE"""),"Front y back hospitality group")</f>
        <v>Front y back hospitality group</v>
      </c>
      <c r="H6812" s="16">
        <f>IFERROR(__xludf.DUMMYFUNCTION("""COMPUTED_VALUE"""),15521.0)</f>
        <v>15521</v>
      </c>
      <c r="I6812" s="18">
        <f>IFERROR(__xludf.DUMMYFUNCTION("""COMPUTED_VALUE"""),90.0)</f>
        <v>90</v>
      </c>
      <c r="J6812" s="18">
        <f>IFERROR(__xludf.DUMMYFUNCTION("""COMPUTED_VALUE"""),70.0)</f>
        <v>70</v>
      </c>
      <c r="K6812" s="18">
        <f>IFERROR(__xludf.DUMMYFUNCTION("""COMPUTED_VALUE"""),60.0)</f>
        <v>60</v>
      </c>
      <c r="L6812" s="17">
        <f>IFERROR(__xludf.DUMMYFUNCTION("""COMPUTED_VALUE"""),3.104047368E9)</f>
        <v>3104047368</v>
      </c>
      <c r="M6812" s="17" t="str">
        <f>IFERROR(__xludf.DUMMYFUNCTION("""COMPUTED_VALUE"""),"#REF!")</f>
        <v>#REF!</v>
      </c>
      <c r="N6812" s="17"/>
      <c r="O6812" s="17"/>
      <c r="P6812" s="17" t="b">
        <f>IFERROR(__xludf.DUMMYFUNCTION("""COMPUTED_VALUE"""),TRUE)</f>
        <v>1</v>
      </c>
      <c r="Q6812" s="20">
        <f>IFERROR(__xludf.DUMMYFUNCTION("""COMPUTED_VALUE"""),45195.47108664352)</f>
        <v>45195.47109</v>
      </c>
      <c r="R6812" s="22" t="str">
        <f>IFERROR(__xludf.DUMMYFUNCTION("""COMPUTED_VALUE"""),"")</f>
        <v/>
      </c>
    </row>
    <row r="6813">
      <c r="A6813" s="17" t="str">
        <f>IFERROR(__xludf.DUMMYFUNCTION("""COMPUTED_VALUE"""),"")</f>
        <v/>
      </c>
      <c r="B6813" s="17" t="str">
        <f>IFERROR(__xludf.DUMMYFUNCTION("""COMPUTED_VALUE"""),"")</f>
        <v/>
      </c>
      <c r="C6813" s="17" t="str">
        <f>IFERROR(__xludf.DUMMYFUNCTION("""COMPUTED_VALUE"""),"")</f>
        <v/>
      </c>
      <c r="D6813" s="17" t="str">
        <f>IFERROR(__xludf.DUMMYFUNCTION("""COMPUTED_VALUE"""),"")</f>
        <v/>
      </c>
      <c r="E6813" s="17" t="str">
        <f>IFERROR(__xludf.DUMMYFUNCTION("""COMPUTED_VALUE"""),"")</f>
        <v/>
      </c>
      <c r="F6813" s="17" t="str">
        <f>IFERROR(__xludf.DUMMYFUNCTION("""COMPUTED_VALUE"""),"")</f>
        <v/>
      </c>
      <c r="G6813" s="17" t="str">
        <f>IFERROR(__xludf.DUMMYFUNCTION("""COMPUTED_VALUE"""),"")</f>
        <v/>
      </c>
      <c r="H6813" s="17" t="str">
        <f>IFERROR(__xludf.DUMMYFUNCTION("""COMPUTED_VALUE"""),"")</f>
        <v/>
      </c>
      <c r="I6813" s="17" t="str">
        <f>IFERROR(__xludf.DUMMYFUNCTION("""COMPUTED_VALUE"""),"")</f>
        <v/>
      </c>
      <c r="J6813" s="17" t="str">
        <f>IFERROR(__xludf.DUMMYFUNCTION("""COMPUTED_VALUE"""),"")</f>
        <v/>
      </c>
      <c r="K6813" s="17" t="str">
        <f>IFERROR(__xludf.DUMMYFUNCTION("""COMPUTED_VALUE"""),"")</f>
        <v/>
      </c>
      <c r="L6813" s="17" t="str">
        <f>IFERROR(__xludf.DUMMYFUNCTION("""COMPUTED_VALUE"""),"")</f>
        <v/>
      </c>
      <c r="M6813" s="17" t="str">
        <f>IFERROR(__xludf.DUMMYFUNCTION("""COMPUTED_VALUE"""),"")</f>
        <v/>
      </c>
      <c r="N6813" s="17" t="str">
        <f>IFERROR(__xludf.DUMMYFUNCTION("""COMPUTED_VALUE"""),"")</f>
        <v/>
      </c>
      <c r="O6813" s="17" t="str">
        <f>IFERROR(__xludf.DUMMYFUNCTION("""COMPUTED_VALUE"""),"")</f>
        <v/>
      </c>
      <c r="P6813" s="17" t="str">
        <f>IFERROR(__xludf.DUMMYFUNCTION("""COMPUTED_VALUE"""),"")</f>
        <v/>
      </c>
      <c r="Q6813" s="17" t="str">
        <f>IFERROR(__xludf.DUMMYFUNCTION("""COMPUTED_VALUE"""),"")</f>
        <v/>
      </c>
      <c r="R6813" s="17" t="str">
        <f>IFERROR(__xludf.DUMMYFUNCTION("""COMPUTED_VALUE"""),"")</f>
        <v/>
      </c>
    </row>
    <row r="6814">
      <c r="A6814" s="15">
        <f>IFERROR(__xludf.DUMMYFUNCTION("""COMPUTED_VALUE"""),45192.0)</f>
        <v>45192</v>
      </c>
      <c r="B6814" s="16" t="str">
        <f>IFERROR(__xludf.DUMMYFUNCTION("""COMPUTED_VALUE"""),"Santiago Garces Restrepo")</f>
        <v>Santiago Garces Restrepo</v>
      </c>
      <c r="C6814" s="15" t="str">
        <f>IFERROR(__xludf.DUMMYFUNCTION("""COMPUTED_VALUE"""),"MEDELLÍN")</f>
        <v>MEDELLÍN</v>
      </c>
      <c r="D6814" s="15" t="str">
        <f>IFERROR(__xludf.DUMMYFUNCTION("""COMPUTED_VALUE"""),"BOGOTÁ")</f>
        <v>BOGOTÁ</v>
      </c>
      <c r="E6814" s="15" t="str">
        <f>IFERROR(__xludf.DUMMYFUNCTION("""COMPUTED_VALUE"""),"Mochi")</f>
        <v>Mochi</v>
      </c>
      <c r="F6814" s="17" t="str">
        <f>IFERROR(__xludf.DUMMYFUNCTION("""COMPUTED_VALUE"""),"Cra 48 # 32 b sur 139 / Centro comercial  / Envigado")</f>
        <v>Cra 48 # 32 b sur 139 / Centro comercial  / Envigado</v>
      </c>
      <c r="G6814" s="15" t="str">
        <f>IFERROR(__xludf.DUMMYFUNCTION("""COMPUTED_VALUE"""),"Tania vellejon")</f>
        <v>Tania vellejon</v>
      </c>
      <c r="H6814" s="16">
        <f>IFERROR(__xludf.DUMMYFUNCTION("""COMPUTED_VALUE"""),15537.0)</f>
        <v>15537</v>
      </c>
      <c r="I6814" s="18">
        <f>IFERROR(__xludf.DUMMYFUNCTION("""COMPUTED_VALUE"""),55.0)</f>
        <v>55</v>
      </c>
      <c r="J6814" s="18">
        <f>IFERROR(__xludf.DUMMYFUNCTION("""COMPUTED_VALUE"""),44.0)</f>
        <v>44</v>
      </c>
      <c r="K6814" s="18" t="str">
        <f>IFERROR(__xludf.DUMMYFUNCTION("""COMPUTED_VALUE"""),"52.5")</f>
        <v>52.5</v>
      </c>
      <c r="L6814" s="17">
        <f>IFERROR(__xludf.DUMMYFUNCTION("""COMPUTED_VALUE"""),3.142587995E9)</f>
        <v>3142587995</v>
      </c>
      <c r="M6814" s="17" t="str">
        <f>IFERROR(__xludf.DUMMYFUNCTION("""COMPUTED_VALUE"""),"#REF!")</f>
        <v>#REF!</v>
      </c>
      <c r="N6814" s="17"/>
      <c r="O6814" s="17"/>
      <c r="P6814" s="17" t="b">
        <f>IFERROR(__xludf.DUMMYFUNCTION("""COMPUTED_VALUE"""),TRUE)</f>
        <v>1</v>
      </c>
      <c r="Q6814" s="20">
        <f>IFERROR(__xludf.DUMMYFUNCTION("""COMPUTED_VALUE"""),45195.705478460644)</f>
        <v>45195.70548</v>
      </c>
      <c r="R6814" s="22" t="str">
        <f>IFERROR(__xludf.DUMMYFUNCTION("""COMPUTED_VALUE"""),"")</f>
        <v/>
      </c>
    </row>
    <row r="6815">
      <c r="A6815" s="17" t="str">
        <f>IFERROR(__xludf.DUMMYFUNCTION("""COMPUTED_VALUE"""),"")</f>
        <v/>
      </c>
      <c r="B6815" s="17" t="str">
        <f>IFERROR(__xludf.DUMMYFUNCTION("""COMPUTED_VALUE"""),"")</f>
        <v/>
      </c>
      <c r="C6815" s="17" t="str">
        <f>IFERROR(__xludf.DUMMYFUNCTION("""COMPUTED_VALUE"""),"")</f>
        <v/>
      </c>
      <c r="D6815" s="17" t="str">
        <f>IFERROR(__xludf.DUMMYFUNCTION("""COMPUTED_VALUE"""),"")</f>
        <v/>
      </c>
      <c r="E6815" s="17" t="str">
        <f>IFERROR(__xludf.DUMMYFUNCTION("""COMPUTED_VALUE"""),"")</f>
        <v/>
      </c>
      <c r="F6815" s="17" t="str">
        <f>IFERROR(__xludf.DUMMYFUNCTION("""COMPUTED_VALUE"""),"")</f>
        <v/>
      </c>
      <c r="G6815" s="17" t="str">
        <f>IFERROR(__xludf.DUMMYFUNCTION("""COMPUTED_VALUE"""),"")</f>
        <v/>
      </c>
      <c r="H6815" s="17" t="str">
        <f>IFERROR(__xludf.DUMMYFUNCTION("""COMPUTED_VALUE"""),"")</f>
        <v/>
      </c>
      <c r="I6815" s="17" t="str">
        <f>IFERROR(__xludf.DUMMYFUNCTION("""COMPUTED_VALUE"""),"")</f>
        <v/>
      </c>
      <c r="J6815" s="17" t="str">
        <f>IFERROR(__xludf.DUMMYFUNCTION("""COMPUTED_VALUE"""),"")</f>
        <v/>
      </c>
      <c r="K6815" s="17" t="str">
        <f>IFERROR(__xludf.DUMMYFUNCTION("""COMPUTED_VALUE"""),"")</f>
        <v/>
      </c>
      <c r="L6815" s="17" t="str">
        <f>IFERROR(__xludf.DUMMYFUNCTION("""COMPUTED_VALUE"""),"")</f>
        <v/>
      </c>
      <c r="M6815" s="17" t="str">
        <f>IFERROR(__xludf.DUMMYFUNCTION("""COMPUTED_VALUE"""),"")</f>
        <v/>
      </c>
      <c r="N6815" s="17" t="str">
        <f>IFERROR(__xludf.DUMMYFUNCTION("""COMPUTED_VALUE"""),"")</f>
        <v/>
      </c>
      <c r="O6815" s="17" t="str">
        <f>IFERROR(__xludf.DUMMYFUNCTION("""COMPUTED_VALUE"""),"")</f>
        <v/>
      </c>
      <c r="P6815" s="17" t="str">
        <f>IFERROR(__xludf.DUMMYFUNCTION("""COMPUTED_VALUE"""),"")</f>
        <v/>
      </c>
      <c r="Q6815" s="17" t="str">
        <f>IFERROR(__xludf.DUMMYFUNCTION("""COMPUTED_VALUE"""),"")</f>
        <v/>
      </c>
      <c r="R6815" s="17" t="str">
        <f>IFERROR(__xludf.DUMMYFUNCTION("""COMPUTED_VALUE"""),"")</f>
        <v/>
      </c>
    </row>
    <row r="6816">
      <c r="A6816" s="15">
        <f>IFERROR(__xludf.DUMMYFUNCTION("""COMPUTED_VALUE"""),45195.0)</f>
        <v>45195</v>
      </c>
      <c r="B6816" s="17"/>
      <c r="C6816" s="15" t="str">
        <f>IFERROR(__xludf.DUMMYFUNCTION("""COMPUTED_VALUE"""),"BUCARAMANGA")</f>
        <v>BUCARAMANGA</v>
      </c>
      <c r="D6816" s="15" t="str">
        <f>IFERROR(__xludf.DUMMYFUNCTION("""COMPUTED_VALUE"""),"MEDELLÍN")</f>
        <v>MEDELLÍN</v>
      </c>
      <c r="E6816" s="15" t="str">
        <f>IFERROR(__xludf.DUMMYFUNCTION("""COMPUTED_VALUE"""),"Natusoya")</f>
        <v>Natusoya</v>
      </c>
      <c r="F6816" s="17" t="str">
        <f>IFERROR(__xludf.DUMMYFUNCTION("""COMPUTED_VALUE"""),"Cra 37 #52-102 / Interior 2 / Cabecera del llano")</f>
        <v>Cra 37 #52-102 / Interior 2 / Cabecera del llano</v>
      </c>
      <c r="G6816" s="15" t="str">
        <f>IFERROR(__xludf.DUMMYFUNCTION("""COMPUTED_VALUE"""),"Sara Orozco")</f>
        <v>Sara Orozco</v>
      </c>
      <c r="H6816" s="16">
        <f>IFERROR(__xludf.DUMMYFUNCTION("""COMPUTED_VALUE"""),15573.0)</f>
        <v>15573</v>
      </c>
      <c r="I6816" s="18">
        <f>IFERROR(__xludf.DUMMYFUNCTION("""COMPUTED_VALUE"""),30.0)</f>
        <v>30</v>
      </c>
      <c r="J6816" s="18">
        <f>IFERROR(__xludf.DUMMYFUNCTION("""COMPUTED_VALUE"""),30.0)</f>
        <v>30</v>
      </c>
      <c r="K6816" s="18">
        <f>IFERROR(__xludf.DUMMYFUNCTION("""COMPUTED_VALUE"""),40.0)</f>
        <v>40</v>
      </c>
      <c r="L6816" s="17">
        <f>IFERROR(__xludf.DUMMYFUNCTION("""COMPUTED_VALUE"""),3.176354722E9)</f>
        <v>3176354722</v>
      </c>
      <c r="M6816" s="17" t="str">
        <f>IFERROR(__xludf.DUMMYFUNCTION("""COMPUTED_VALUE"""),"#REF!")</f>
        <v>#REF!</v>
      </c>
      <c r="N6816" s="17"/>
      <c r="O6816" s="17"/>
      <c r="P6816" s="17" t="b">
        <f>IFERROR(__xludf.DUMMYFUNCTION("""COMPUTED_VALUE"""),TRUE)</f>
        <v>1</v>
      </c>
      <c r="Q6816" s="20">
        <f>IFERROR(__xludf.DUMMYFUNCTION("""COMPUTED_VALUE"""),45195.62781229167)</f>
        <v>45195.62781</v>
      </c>
      <c r="R6816" s="22" t="str">
        <f>IFERROR(__xludf.DUMMYFUNCTION("""COMPUTED_VALUE"""),"")</f>
        <v/>
      </c>
    </row>
    <row r="6817">
      <c r="A6817" s="15">
        <f>IFERROR(__xludf.DUMMYFUNCTION("""COMPUTED_VALUE"""),45195.0)</f>
        <v>45195</v>
      </c>
      <c r="B6817" s="17"/>
      <c r="C6817" s="15" t="str">
        <f>IFERROR(__xludf.DUMMYFUNCTION("""COMPUTED_VALUE"""),"MEDELLÍN")</f>
        <v>MEDELLÍN</v>
      </c>
      <c r="D6817" s="15" t="str">
        <f>IFERROR(__xludf.DUMMYFUNCTION("""COMPUTED_VALUE"""),"BOGOTÁ")</f>
        <v>BOGOTÁ</v>
      </c>
      <c r="E6817" s="15" t="str">
        <f>IFERROR(__xludf.DUMMYFUNCTION("""COMPUTED_VALUE"""),"Asociacion Agropecuaria Juana Maria")</f>
        <v>Asociacion Agropecuaria Juana Maria</v>
      </c>
      <c r="F6817" s="17" t="str">
        <f>IFERROR(__xludf.DUMMYFUNCTION("""COMPUTED_VALUE"""),"Carrera 15 BA # 30D-44 int 201")</f>
        <v>Carrera 15 BA # 30D-44 int 201</v>
      </c>
      <c r="G6817" s="15" t="str">
        <f>IFERROR(__xludf.DUMMYFUNCTION("""COMPUTED_VALUE"""),"Daniela Bedoya Blandon")</f>
        <v>Daniela Bedoya Blandon</v>
      </c>
      <c r="H6817" s="16">
        <f>IFERROR(__xludf.DUMMYFUNCTION("""COMPUTED_VALUE"""),15547.0)</f>
        <v>15547</v>
      </c>
      <c r="I6817" s="18">
        <f>IFERROR(__xludf.DUMMYFUNCTION("""COMPUTED_VALUE"""),16.0)</f>
        <v>16</v>
      </c>
      <c r="J6817" s="18">
        <f>IFERROR(__xludf.DUMMYFUNCTION("""COMPUTED_VALUE"""),34.0)</f>
        <v>34</v>
      </c>
      <c r="K6817" s="18">
        <f>IFERROR(__xludf.DUMMYFUNCTION("""COMPUTED_VALUE"""),25.0)</f>
        <v>25</v>
      </c>
      <c r="L6817" s="17">
        <f>IFERROR(__xludf.DUMMYFUNCTION("""COMPUTED_VALUE"""),3.14672822E9)</f>
        <v>3146728220</v>
      </c>
      <c r="M6817" s="17" t="str">
        <f>IFERROR(__xludf.DUMMYFUNCTION("""COMPUTED_VALUE"""),"#REF!")</f>
        <v>#REF!</v>
      </c>
      <c r="N6817" s="17"/>
      <c r="O6817" s="17"/>
      <c r="P6817" s="17" t="b">
        <f>IFERROR(__xludf.DUMMYFUNCTION("""COMPUTED_VALUE"""),FALSE)</f>
        <v>0</v>
      </c>
      <c r="Q6817" s="20" t="str">
        <f>IFERROR(__xludf.DUMMYFUNCTION("""COMPUTED_VALUE"""),"")</f>
        <v/>
      </c>
      <c r="R6817" s="22" t="str">
        <f>IFERROR(__xludf.DUMMYFUNCTION("""COMPUTED_VALUE"""),"")</f>
        <v/>
      </c>
    </row>
    <row r="6818">
      <c r="A6818" s="15">
        <f>IFERROR(__xludf.DUMMYFUNCTION("""COMPUTED_VALUE"""),45195.0)</f>
        <v>45195</v>
      </c>
      <c r="B6818" s="17"/>
      <c r="C6818" s="15" t="str">
        <f>IFERROR(__xludf.DUMMYFUNCTION("""COMPUTED_VALUE"""),"MEDELLÍN")</f>
        <v>MEDELLÍN</v>
      </c>
      <c r="D6818" s="15" t="str">
        <f>IFERROR(__xludf.DUMMYFUNCTION("""COMPUTED_VALUE"""),"BOGOTÁ")</f>
        <v>BOGOTÁ</v>
      </c>
      <c r="E6818" s="15" t="str">
        <f>IFERROR(__xludf.DUMMYFUNCTION("""COMPUTED_VALUE"""),"Asociacion Agropecuaria Juana Maria")</f>
        <v>Asociacion Agropecuaria Juana Maria</v>
      </c>
      <c r="F6818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6818" s="15" t="str">
        <f>IFERROR(__xludf.DUMMYFUNCTION("""COMPUTED_VALUE"""),"Jennifer Sanchez Blandon")</f>
        <v>Jennifer Sanchez Blandon</v>
      </c>
      <c r="H6818" s="16">
        <f>IFERROR(__xludf.DUMMYFUNCTION("""COMPUTED_VALUE"""),15553.0)</f>
        <v>15553</v>
      </c>
      <c r="I6818" s="18">
        <f>IFERROR(__xludf.DUMMYFUNCTION("""COMPUTED_VALUE"""),12.0)</f>
        <v>12</v>
      </c>
      <c r="J6818" s="18">
        <f>IFERROR(__xludf.DUMMYFUNCTION("""COMPUTED_VALUE"""),37.0)</f>
        <v>37</v>
      </c>
      <c r="K6818" s="18">
        <f>IFERROR(__xludf.DUMMYFUNCTION("""COMPUTED_VALUE"""),24.0)</f>
        <v>24</v>
      </c>
      <c r="L6818" s="17">
        <f>IFERROR(__xludf.DUMMYFUNCTION("""COMPUTED_VALUE"""),3.016937674E9)</f>
        <v>3016937674</v>
      </c>
      <c r="M6818" s="17" t="str">
        <f>IFERROR(__xludf.DUMMYFUNCTION("""COMPUTED_VALUE"""),"#REF!")</f>
        <v>#REF!</v>
      </c>
      <c r="N6818" s="17"/>
      <c r="O6818" s="17"/>
      <c r="P6818" s="17" t="b">
        <f>IFERROR(__xludf.DUMMYFUNCTION("""COMPUTED_VALUE"""),FALSE)</f>
        <v>0</v>
      </c>
      <c r="Q6818" s="20" t="str">
        <f>IFERROR(__xludf.DUMMYFUNCTION("""COMPUTED_VALUE"""),"")</f>
        <v/>
      </c>
      <c r="R6818" s="22" t="str">
        <f>IFERROR(__xludf.DUMMYFUNCTION("""COMPUTED_VALUE"""),"")</f>
        <v/>
      </c>
    </row>
    <row r="6819">
      <c r="A6819" s="15">
        <f>IFERROR(__xludf.DUMMYFUNCTION("""COMPUTED_VALUE"""),45195.0)</f>
        <v>45195</v>
      </c>
      <c r="B6819" s="17"/>
      <c r="C6819" s="15" t="str">
        <f>IFERROR(__xludf.DUMMYFUNCTION("""COMPUTED_VALUE"""),"MEDELLÍN")</f>
        <v>MEDELLÍN</v>
      </c>
      <c r="D6819" s="15" t="str">
        <f>IFERROR(__xludf.DUMMYFUNCTION("""COMPUTED_VALUE"""),"BOGOTÁ")</f>
        <v>BOGOTÁ</v>
      </c>
      <c r="E6819" s="15" t="str">
        <f>IFERROR(__xludf.DUMMYFUNCTION("""COMPUTED_VALUE"""),"Evamazzita")</f>
        <v>Evamazzita</v>
      </c>
      <c r="F6819" s="17" t="str">
        <f>IFERROR(__xludf.DUMMYFUNCTION("""COMPUTED_VALUE"""),"Carrera 9A # 20 sur 340 / Parque residencial cedro verde  Casa 45")</f>
        <v>Carrera 9A # 20 sur 340 / Parque residencial cedro verde  Casa 45</v>
      </c>
      <c r="G6819" s="15" t="str">
        <f>IFERROR(__xludf.DUMMYFUNCTION("""COMPUTED_VALUE"""),"YULIETH DUARTE")</f>
        <v>YULIETH DUARTE</v>
      </c>
      <c r="H6819" s="16">
        <f>IFERROR(__xludf.DUMMYFUNCTION("""COMPUTED_VALUE"""),15604.0)</f>
        <v>15604</v>
      </c>
      <c r="I6819" s="18">
        <f>IFERROR(__xludf.DUMMYFUNCTION("""COMPUTED_VALUE"""),1.0)</f>
        <v>1</v>
      </c>
      <c r="J6819" s="18">
        <f>IFERROR(__xludf.DUMMYFUNCTION("""COMPUTED_VALUE"""),1.0)</f>
        <v>1</v>
      </c>
      <c r="K6819" s="18">
        <f>IFERROR(__xludf.DUMMYFUNCTION("""COMPUTED_VALUE"""),1.0)</f>
        <v>1</v>
      </c>
      <c r="L6819" s="17">
        <f>IFERROR(__xludf.DUMMYFUNCTION("""COMPUTED_VALUE"""),3.045562141E9)</f>
        <v>3045562141</v>
      </c>
      <c r="M6819" s="17" t="str">
        <f>IFERROR(__xludf.DUMMYFUNCTION("""COMPUTED_VALUE"""),"#REF!")</f>
        <v>#REF!</v>
      </c>
      <c r="N6819" s="17"/>
      <c r="O6819" s="17"/>
      <c r="P6819" s="17" t="b">
        <f>IFERROR(__xludf.DUMMYFUNCTION("""COMPUTED_VALUE"""),TRUE)</f>
        <v>1</v>
      </c>
      <c r="Q6819" s="20">
        <f>IFERROR(__xludf.DUMMYFUNCTION("""COMPUTED_VALUE"""),45195.471734189814)</f>
        <v>45195.47173</v>
      </c>
      <c r="R6819" s="21" t="str">
        <f>IFERROR(__xludf.DUMMYFUNCTION("""COMPUTED_VALUE"""),"https://drive.google.com/file/d/1fHib2Xk2__Zh0DHEIGfmbnEl7EmpFDaL/view?usp=drivesdk")</f>
        <v>https://drive.google.com/file/d/1fHib2Xk2__Zh0DHEIGfmbnEl7EmpFDaL/view?usp=drivesdk</v>
      </c>
    </row>
    <row r="6820">
      <c r="A6820" s="15">
        <f>IFERROR(__xludf.DUMMYFUNCTION("""COMPUTED_VALUE"""),45195.0)</f>
        <v>45195</v>
      </c>
      <c r="B6820" s="17"/>
      <c r="C6820" s="15" t="str">
        <f>IFERROR(__xludf.DUMMYFUNCTION("""COMPUTED_VALUE"""),"MEDELLÍN")</f>
        <v>MEDELLÍN</v>
      </c>
      <c r="D6820" s="15" t="str">
        <f>IFERROR(__xludf.DUMMYFUNCTION("""COMPUTED_VALUE"""),"BOGOTÁ")</f>
        <v>BOGOTÁ</v>
      </c>
      <c r="E6820" s="15" t="str">
        <f>IFERROR(__xludf.DUMMYFUNCTION("""COMPUTED_VALUE"""),"Evamazzita")</f>
        <v>Evamazzita</v>
      </c>
      <c r="F6820" s="17" t="str">
        <f>IFERROR(__xludf.DUMMYFUNCTION("""COMPUTED_VALUE"""),"Crr 20 n 12 sur 424 / DuVille 805  Poblado")</f>
        <v>Crr 20 n 12 sur 424 / DuVille 805  Poblado</v>
      </c>
      <c r="G6820" s="15" t="str">
        <f>IFERROR(__xludf.DUMMYFUNCTION("""COMPUTED_VALUE"""),"MANUELA MONSALVE")</f>
        <v>MANUELA MONSALVE</v>
      </c>
      <c r="H6820" s="16">
        <f>IFERROR(__xludf.DUMMYFUNCTION("""COMPUTED_VALUE"""),15603.0)</f>
        <v>15603</v>
      </c>
      <c r="I6820" s="18">
        <f>IFERROR(__xludf.DUMMYFUNCTION("""COMPUTED_VALUE"""),1.0)</f>
        <v>1</v>
      </c>
      <c r="J6820" s="18">
        <f>IFERROR(__xludf.DUMMYFUNCTION("""COMPUTED_VALUE"""),1.0)</f>
        <v>1</v>
      </c>
      <c r="K6820" s="18">
        <f>IFERROR(__xludf.DUMMYFUNCTION("""COMPUTED_VALUE"""),1.0)</f>
        <v>1</v>
      </c>
      <c r="L6820" s="17">
        <f>IFERROR(__xludf.DUMMYFUNCTION("""COMPUTED_VALUE"""),3.18649839E9)</f>
        <v>3186498390</v>
      </c>
      <c r="M6820" s="17" t="str">
        <f>IFERROR(__xludf.DUMMYFUNCTION("""COMPUTED_VALUE"""),"#REF!")</f>
        <v>#REF!</v>
      </c>
      <c r="N6820" s="17"/>
      <c r="O6820" s="17"/>
      <c r="P6820" s="17" t="b">
        <f>IFERROR(__xludf.DUMMYFUNCTION("""COMPUTED_VALUE"""),TRUE)</f>
        <v>1</v>
      </c>
      <c r="Q6820" s="20">
        <f>IFERROR(__xludf.DUMMYFUNCTION("""COMPUTED_VALUE"""),45195.62781229167)</f>
        <v>45195.62781</v>
      </c>
      <c r="R6820" s="21" t="str">
        <f>IFERROR(__xludf.DUMMYFUNCTION("""COMPUTED_VALUE"""),"https://drive.google.com/file/d/1A6jnEAOT77brhNmyLnWwWg3qSedHNOTt/view?usp=drivesdk")</f>
        <v>https://drive.google.com/file/d/1A6jnEAOT77brhNmyLnWwWg3qSedHNOTt/view?usp=drivesdk</v>
      </c>
    </row>
    <row r="6821">
      <c r="A6821" s="17" t="str">
        <f>IFERROR(__xludf.DUMMYFUNCTION("""COMPUTED_VALUE"""),"")</f>
        <v/>
      </c>
      <c r="B6821" s="17" t="str">
        <f>IFERROR(__xludf.DUMMYFUNCTION("""COMPUTED_VALUE"""),"")</f>
        <v/>
      </c>
      <c r="C6821" s="17" t="str">
        <f>IFERROR(__xludf.DUMMYFUNCTION("""COMPUTED_VALUE"""),"")</f>
        <v/>
      </c>
      <c r="D6821" s="17" t="str">
        <f>IFERROR(__xludf.DUMMYFUNCTION("""COMPUTED_VALUE"""),"")</f>
        <v/>
      </c>
      <c r="E6821" s="17" t="str">
        <f>IFERROR(__xludf.DUMMYFUNCTION("""COMPUTED_VALUE"""),"")</f>
        <v/>
      </c>
      <c r="F6821" s="17" t="str">
        <f>IFERROR(__xludf.DUMMYFUNCTION("""COMPUTED_VALUE"""),"")</f>
        <v/>
      </c>
      <c r="G6821" s="17" t="str">
        <f>IFERROR(__xludf.DUMMYFUNCTION("""COMPUTED_VALUE"""),"")</f>
        <v/>
      </c>
      <c r="H6821" s="17" t="str">
        <f>IFERROR(__xludf.DUMMYFUNCTION("""COMPUTED_VALUE"""),"")</f>
        <v/>
      </c>
      <c r="I6821" s="17" t="str">
        <f>IFERROR(__xludf.DUMMYFUNCTION("""COMPUTED_VALUE"""),"")</f>
        <v/>
      </c>
      <c r="J6821" s="17" t="str">
        <f>IFERROR(__xludf.DUMMYFUNCTION("""COMPUTED_VALUE"""),"")</f>
        <v/>
      </c>
      <c r="K6821" s="17" t="str">
        <f>IFERROR(__xludf.DUMMYFUNCTION("""COMPUTED_VALUE"""),"")</f>
        <v/>
      </c>
      <c r="L6821" s="17" t="str">
        <f>IFERROR(__xludf.DUMMYFUNCTION("""COMPUTED_VALUE"""),"")</f>
        <v/>
      </c>
      <c r="M6821" s="17" t="str">
        <f>IFERROR(__xludf.DUMMYFUNCTION("""COMPUTED_VALUE"""),"")</f>
        <v/>
      </c>
      <c r="N6821" s="17" t="str">
        <f>IFERROR(__xludf.DUMMYFUNCTION("""COMPUTED_VALUE"""),"")</f>
        <v/>
      </c>
      <c r="O6821" s="17" t="str">
        <f>IFERROR(__xludf.DUMMYFUNCTION("""COMPUTED_VALUE"""),"")</f>
        <v/>
      </c>
      <c r="P6821" s="17" t="str">
        <f>IFERROR(__xludf.DUMMYFUNCTION("""COMPUTED_VALUE"""),"")</f>
        <v/>
      </c>
      <c r="Q6821" s="17" t="str">
        <f>IFERROR(__xludf.DUMMYFUNCTION("""COMPUTED_VALUE"""),"")</f>
        <v/>
      </c>
      <c r="R6821" s="17" t="str">
        <f>IFERROR(__xludf.DUMMYFUNCTION("""COMPUTED_VALUE"""),"")</f>
        <v/>
      </c>
    </row>
    <row r="6822">
      <c r="A6822" s="15">
        <f>IFERROR(__xludf.DUMMYFUNCTION("""COMPUTED_VALUE"""),45195.0)</f>
        <v>45195</v>
      </c>
      <c r="B6822" s="16" t="str">
        <f>IFERROR(__xludf.DUMMYFUNCTION("""COMPUTED_VALUE"""),"Anuar suarez jimenez ")</f>
        <v>Anuar suarez jimenez </v>
      </c>
      <c r="C6822" s="15" t="str">
        <f>IFERROR(__xludf.DUMMYFUNCTION("""COMPUTED_VALUE"""),"PALMIRA")</f>
        <v>PALMIRA</v>
      </c>
      <c r="D6822" s="15" t="str">
        <f>IFERROR(__xludf.DUMMYFUNCTION("""COMPUTED_VALUE"""),"BOGOTÁ")</f>
        <v>BOGOTÁ</v>
      </c>
      <c r="E6822" s="15" t="str">
        <f>IFERROR(__xludf.DUMMYFUNCTION("""COMPUTED_VALUE"""),"Ins. Alimento Vital")</f>
        <v>Ins. Alimento Vital</v>
      </c>
      <c r="F6822" s="17" t="str">
        <f>IFERROR(__xludf.DUMMYFUNCTION("""COMPUTED_VALUE"""),"CL 35 1 95 / CASA / PALMERAS")</f>
        <v>CL 35 1 95 / CASA / PALMERAS</v>
      </c>
      <c r="G6822" s="15" t="str">
        <f>IFERROR(__xludf.DUMMYFUNCTION("""COMPUTED_VALUE"""),"RUBEN DARIO PEREZ GUTIERREZ")</f>
        <v>RUBEN DARIO PEREZ GUTIERREZ</v>
      </c>
      <c r="H6822" s="16">
        <f>IFERROR(__xludf.DUMMYFUNCTION("""COMPUTED_VALUE"""),15569.0)</f>
        <v>15569</v>
      </c>
      <c r="I6822" s="18">
        <f>IFERROR(__xludf.DUMMYFUNCTION("""COMPUTED_VALUE"""),1.0)</f>
        <v>1</v>
      </c>
      <c r="J6822" s="18">
        <f>IFERROR(__xludf.DUMMYFUNCTION("""COMPUTED_VALUE"""),1.0)</f>
        <v>1</v>
      </c>
      <c r="K6822" s="18">
        <f>IFERROR(__xludf.DUMMYFUNCTION("""COMPUTED_VALUE"""),1.0)</f>
        <v>1</v>
      </c>
      <c r="L6822" s="17">
        <f>IFERROR(__xludf.DUMMYFUNCTION("""COMPUTED_VALUE"""),3.163651444E9)</f>
        <v>3163651444</v>
      </c>
      <c r="M6822" s="17" t="str">
        <f>IFERROR(__xludf.DUMMYFUNCTION("""COMPUTED_VALUE"""),"#REF!")</f>
        <v>#REF!</v>
      </c>
      <c r="N6822" s="17"/>
      <c r="O6822" s="17"/>
      <c r="P6822" s="17" t="b">
        <f>IFERROR(__xludf.DUMMYFUNCTION("""COMPUTED_VALUE"""),TRUE)</f>
        <v>1</v>
      </c>
      <c r="Q6822" s="20">
        <f>IFERROR(__xludf.DUMMYFUNCTION("""COMPUTED_VALUE"""),45195.62781229167)</f>
        <v>45195.62781</v>
      </c>
      <c r="R6822" s="21" t="str">
        <f>IFERROR(__xludf.DUMMYFUNCTION("""COMPUTED_VALUE"""),"https://drive.google.com/file/d/1kRH-R57ZuakPW2MNnL7Qu1BgFVlUGwwQ/view?usp=drivesdk")</f>
        <v>https://drive.google.com/file/d/1kRH-R57ZuakPW2MNnL7Qu1BgFVlUGwwQ/view?usp=drivesdk</v>
      </c>
    </row>
    <row r="6823">
      <c r="A6823" s="15">
        <f>IFERROR(__xludf.DUMMYFUNCTION("""COMPUTED_VALUE"""),45195.0)</f>
        <v>45195</v>
      </c>
      <c r="B6823" s="16" t="str">
        <f>IFERROR(__xludf.DUMMYFUNCTION("""COMPUTED_VALUE"""),"Anuar suarez jimenez ")</f>
        <v>Anuar suarez jimenez </v>
      </c>
      <c r="C6823" s="15" t="str">
        <f>IFERROR(__xludf.DUMMYFUNCTION("""COMPUTED_VALUE"""),"PALMIRA")</f>
        <v>PALMIRA</v>
      </c>
      <c r="D6823" s="15" t="str">
        <f>IFERROR(__xludf.DUMMYFUNCTION("""COMPUTED_VALUE"""),"BOGOTÁ")</f>
        <v>BOGOTÁ</v>
      </c>
      <c r="E6823" s="15" t="str">
        <f>IFERROR(__xludf.DUMMYFUNCTION("""COMPUTED_VALUE"""),"Karem foods")</f>
        <v>Karem foods</v>
      </c>
      <c r="F6823" s="17" t="str">
        <f>IFERROR(__xludf.DUMMYFUNCTION("""COMPUTED_VALUE"""),"cra 28 47 -  90  / local PezcarMarket / Altamira")</f>
        <v>cra 28 47 -  90  / local PezcarMarket / Altamira</v>
      </c>
      <c r="G6823" s="15" t="str">
        <f>IFERROR(__xludf.DUMMYFUNCTION("""COMPUTED_VALUE"""),"Pezcar Market")</f>
        <v>Pezcar Market</v>
      </c>
      <c r="H6823" s="16">
        <f>IFERROR(__xludf.DUMMYFUNCTION("""COMPUTED_VALUE"""),15580.0)</f>
        <v>15580</v>
      </c>
      <c r="I6823" s="18">
        <f>IFERROR(__xludf.DUMMYFUNCTION("""COMPUTED_VALUE"""),20.0)</f>
        <v>20</v>
      </c>
      <c r="J6823" s="18">
        <f>IFERROR(__xludf.DUMMYFUNCTION("""COMPUTED_VALUE"""),28.0)</f>
        <v>28</v>
      </c>
      <c r="K6823" s="18">
        <f>IFERROR(__xludf.DUMMYFUNCTION("""COMPUTED_VALUE"""),40.0)</f>
        <v>40</v>
      </c>
      <c r="L6823" s="17">
        <f>IFERROR(__xludf.DUMMYFUNCTION("""COMPUTED_VALUE"""),3.177759344E9)</f>
        <v>3177759344</v>
      </c>
      <c r="M6823" s="17" t="str">
        <f>IFERROR(__xludf.DUMMYFUNCTION("""COMPUTED_VALUE"""),"#REF!")</f>
        <v>#REF!</v>
      </c>
      <c r="N6823" s="17"/>
      <c r="O6823" s="17"/>
      <c r="P6823" s="17" t="b">
        <f>IFERROR(__xludf.DUMMYFUNCTION("""COMPUTED_VALUE"""),TRUE)</f>
        <v>1</v>
      </c>
      <c r="Q6823" s="20">
        <f>IFERROR(__xludf.DUMMYFUNCTION("""COMPUTED_VALUE"""),45195.705478460644)</f>
        <v>45195.70548</v>
      </c>
      <c r="R6823" s="22" t="str">
        <f>IFERROR(__xludf.DUMMYFUNCTION("""COMPUTED_VALUE"""),"")</f>
        <v/>
      </c>
    </row>
    <row r="6824">
      <c r="A6824" s="17" t="str">
        <f>IFERROR(__xludf.DUMMYFUNCTION("""COMPUTED_VALUE"""),"")</f>
        <v/>
      </c>
      <c r="B6824" s="17" t="str">
        <f>IFERROR(__xludf.DUMMYFUNCTION("""COMPUTED_VALUE"""),"")</f>
        <v/>
      </c>
      <c r="C6824" s="17" t="str">
        <f>IFERROR(__xludf.DUMMYFUNCTION("""COMPUTED_VALUE"""),"")</f>
        <v/>
      </c>
      <c r="D6824" s="17" t="str">
        <f>IFERROR(__xludf.DUMMYFUNCTION("""COMPUTED_VALUE"""),"")</f>
        <v/>
      </c>
      <c r="E6824" s="17" t="str">
        <f>IFERROR(__xludf.DUMMYFUNCTION("""COMPUTED_VALUE"""),"")</f>
        <v/>
      </c>
      <c r="F6824" s="17" t="str">
        <f>IFERROR(__xludf.DUMMYFUNCTION("""COMPUTED_VALUE"""),"")</f>
        <v/>
      </c>
      <c r="G6824" s="17" t="str">
        <f>IFERROR(__xludf.DUMMYFUNCTION("""COMPUTED_VALUE"""),"")</f>
        <v/>
      </c>
      <c r="H6824" s="17" t="str">
        <f>IFERROR(__xludf.DUMMYFUNCTION("""COMPUTED_VALUE"""),"")</f>
        <v/>
      </c>
      <c r="I6824" s="17" t="str">
        <f>IFERROR(__xludf.DUMMYFUNCTION("""COMPUTED_VALUE"""),"")</f>
        <v/>
      </c>
      <c r="J6824" s="17" t="str">
        <f>IFERROR(__xludf.DUMMYFUNCTION("""COMPUTED_VALUE"""),"")</f>
        <v/>
      </c>
      <c r="K6824" s="17" t="str">
        <f>IFERROR(__xludf.DUMMYFUNCTION("""COMPUTED_VALUE"""),"")</f>
        <v/>
      </c>
      <c r="L6824" s="17" t="str">
        <f>IFERROR(__xludf.DUMMYFUNCTION("""COMPUTED_VALUE"""),"")</f>
        <v/>
      </c>
      <c r="M6824" s="17" t="str">
        <f>IFERROR(__xludf.DUMMYFUNCTION("""COMPUTED_VALUE"""),"")</f>
        <v/>
      </c>
      <c r="N6824" s="17" t="str">
        <f>IFERROR(__xludf.DUMMYFUNCTION("""COMPUTED_VALUE"""),"")</f>
        <v/>
      </c>
      <c r="O6824" s="17" t="str">
        <f>IFERROR(__xludf.DUMMYFUNCTION("""COMPUTED_VALUE"""),"")</f>
        <v/>
      </c>
      <c r="P6824" s="17" t="str">
        <f>IFERROR(__xludf.DUMMYFUNCTION("""COMPUTED_VALUE"""),"")</f>
        <v/>
      </c>
      <c r="Q6824" s="17" t="str">
        <f>IFERROR(__xludf.DUMMYFUNCTION("""COMPUTED_VALUE"""),"")</f>
        <v/>
      </c>
      <c r="R6824" s="17" t="str">
        <f>IFERROR(__xludf.DUMMYFUNCTION("""COMPUTED_VALUE"""),"")</f>
        <v/>
      </c>
    </row>
    <row r="6825">
      <c r="A6825" s="15">
        <f>IFERROR(__xludf.DUMMYFUNCTION("""COMPUTED_VALUE"""),45195.0)</f>
        <v>45195</v>
      </c>
      <c r="B6825" s="16" t="str">
        <f>IFERROR(__xludf.DUMMYFUNCTION("""COMPUTED_VALUE"""),"Deivi Alejandro Quintero Corrales")</f>
        <v>Deivi Alejandro Quintero Corrales</v>
      </c>
      <c r="C6825" s="15" t="str">
        <f>IFERROR(__xludf.DUMMYFUNCTION("""COMPUTED_VALUE"""),"ARMENIA")</f>
        <v>ARMENIA</v>
      </c>
      <c r="D6825" s="15" t="str">
        <f>IFERROR(__xludf.DUMMYFUNCTION("""COMPUTED_VALUE"""),"MEDELLÍN")</f>
        <v>MEDELLÍN</v>
      </c>
      <c r="E6825" s="15" t="str">
        <f>IFERROR(__xludf.DUMMYFUNCTION("""COMPUTED_VALUE"""),"TOLEDALES S.A.S")</f>
        <v>TOLEDALES S.A.S</v>
      </c>
      <c r="F6825" s="17" t="str">
        <f>IFERROR(__xludf.DUMMYFUNCTION("""COMPUTED_VALUE"""),"Cll23A norte 19 47 / casa 2")</f>
        <v>Cll23A norte 19 47 / casa 2</v>
      </c>
      <c r="G6825" s="15" t="str">
        <f>IFERROR(__xludf.DUMMYFUNCTION("""COMPUTED_VALUE"""),"sandra salas")</f>
        <v>sandra salas</v>
      </c>
      <c r="H6825" s="16">
        <f>IFERROR(__xludf.DUMMYFUNCTION("""COMPUTED_VALUE"""),15561.0)</f>
        <v>15561</v>
      </c>
      <c r="I6825" s="18">
        <f>IFERROR(__xludf.DUMMYFUNCTION("""COMPUTED_VALUE"""),24.0)</f>
        <v>24</v>
      </c>
      <c r="J6825" s="18">
        <f>IFERROR(__xludf.DUMMYFUNCTION("""COMPUTED_VALUE"""),16.0)</f>
        <v>16</v>
      </c>
      <c r="K6825" s="18">
        <f>IFERROR(__xludf.DUMMYFUNCTION("""COMPUTED_VALUE"""),26.0)</f>
        <v>26</v>
      </c>
      <c r="L6825" s="17">
        <f>IFERROR(__xludf.DUMMYFUNCTION("""COMPUTED_VALUE"""),3.176643506E9)</f>
        <v>3176643506</v>
      </c>
      <c r="M6825" s="17" t="str">
        <f>IFERROR(__xludf.DUMMYFUNCTION("""COMPUTED_VALUE"""),"#REF!")</f>
        <v>#REF!</v>
      </c>
      <c r="N6825" s="17"/>
      <c r="O6825" s="17"/>
      <c r="P6825" s="17" t="b">
        <f>IFERROR(__xludf.DUMMYFUNCTION("""COMPUTED_VALUE"""),TRUE)</f>
        <v>1</v>
      </c>
      <c r="Q6825" s="20">
        <f>IFERROR(__xludf.DUMMYFUNCTION("""COMPUTED_VALUE"""),45195.47000540509)</f>
        <v>45195.47001</v>
      </c>
      <c r="R6825" s="22" t="str">
        <f>IFERROR(__xludf.DUMMYFUNCTION("""COMPUTED_VALUE"""),"")</f>
        <v/>
      </c>
    </row>
    <row r="6826">
      <c r="A6826" s="15">
        <f>IFERROR(__xludf.DUMMYFUNCTION("""COMPUTED_VALUE"""),45195.0)</f>
        <v>45195</v>
      </c>
      <c r="B6826" s="16" t="str">
        <f>IFERROR(__xludf.DUMMYFUNCTION("""COMPUTED_VALUE"""),"Deivi Alejandro Quintero Corrales")</f>
        <v>Deivi Alejandro Quintero Corrales</v>
      </c>
      <c r="C6826" s="15" t="str">
        <f>IFERROR(__xludf.DUMMYFUNCTION("""COMPUTED_VALUE"""),"PEREIRA")</f>
        <v>PEREIRA</v>
      </c>
      <c r="D6826" s="15" t="str">
        <f>IFERROR(__xludf.DUMMYFUNCTION("""COMPUTED_VALUE"""),"BOGOTÁ")</f>
        <v>BOGOTÁ</v>
      </c>
      <c r="E6826" s="15" t="str">
        <f>IFERROR(__xludf.DUMMYFUNCTION("""COMPUTED_VALUE"""),"La Caja de Pan")</f>
        <v>La Caja de Pan</v>
      </c>
      <c r="F6826" s="17" t="str">
        <f>IFERROR(__xludf.DUMMYFUNCTION("""COMPUTED_VALUE"""),"Calle 12 bis # 16-18 / Casa hoja / Pinares")</f>
        <v>Calle 12 bis # 16-18 / Casa hoja / Pinares</v>
      </c>
      <c r="G6826" s="15" t="str">
        <f>IFERROR(__xludf.DUMMYFUNCTION("""COMPUTED_VALUE"""),"Hertor Hernandez")</f>
        <v>Hertor Hernandez</v>
      </c>
      <c r="H6826" s="16">
        <f>IFERROR(__xludf.DUMMYFUNCTION("""COMPUTED_VALUE"""),15624.0)</f>
        <v>15624</v>
      </c>
      <c r="I6826" s="18">
        <f>IFERROR(__xludf.DUMMYFUNCTION("""COMPUTED_VALUE"""),18.0)</f>
        <v>18</v>
      </c>
      <c r="J6826" s="18">
        <f>IFERROR(__xludf.DUMMYFUNCTION("""COMPUTED_VALUE"""),30.0)</f>
        <v>30</v>
      </c>
      <c r="K6826" s="18">
        <f>IFERROR(__xludf.DUMMYFUNCTION("""COMPUTED_VALUE"""),35.0)</f>
        <v>35</v>
      </c>
      <c r="L6826" s="17">
        <f>IFERROR(__xludf.DUMMYFUNCTION("""COMPUTED_VALUE"""),3.18591145E9)</f>
        <v>3185911450</v>
      </c>
      <c r="M6826" s="17" t="str">
        <f>IFERROR(__xludf.DUMMYFUNCTION("""COMPUTED_VALUE"""),"#REF!")</f>
        <v>#REF!</v>
      </c>
      <c r="N6826" s="17"/>
      <c r="O6826" s="17"/>
      <c r="P6826" s="17" t="b">
        <f>IFERROR(__xludf.DUMMYFUNCTION("""COMPUTED_VALUE"""),TRUE)</f>
        <v>1</v>
      </c>
      <c r="Q6826" s="20">
        <f>IFERROR(__xludf.DUMMYFUNCTION("""COMPUTED_VALUE"""),45195.62781229167)</f>
        <v>45195.62781</v>
      </c>
      <c r="R6826" s="22" t="str">
        <f>IFERROR(__xludf.DUMMYFUNCTION("""COMPUTED_VALUE"""),"")</f>
        <v/>
      </c>
    </row>
    <row r="6827">
      <c r="A6827" s="15">
        <f>IFERROR(__xludf.DUMMYFUNCTION("""COMPUTED_VALUE"""),45195.0)</f>
        <v>45195</v>
      </c>
      <c r="B6827" s="16" t="str">
        <f>IFERROR(__xludf.DUMMYFUNCTION("""COMPUTED_VALUE"""),"Deivi Alejandro Quintero Corrales")</f>
        <v>Deivi Alejandro Quintero Corrales</v>
      </c>
      <c r="C6827" s="15" t="str">
        <f>IFERROR(__xludf.DUMMYFUNCTION("""COMPUTED_VALUE"""),"PEREIRA")</f>
        <v>PEREIRA</v>
      </c>
      <c r="D6827" s="15" t="str">
        <f>IFERROR(__xludf.DUMMYFUNCTION("""COMPUTED_VALUE"""),"MEDELLÍN")</f>
        <v>MEDELLÍN</v>
      </c>
      <c r="E6827" s="15" t="str">
        <f>IFERROR(__xludf.DUMMYFUNCTION("""COMPUTED_VALUE"""),"Goyo Todo por ellos")</f>
        <v>Goyo Todo por ellos</v>
      </c>
      <c r="F6827" s="17" t="str">
        <f>IFERROR(__xludf.DUMMYFUNCTION("""COMPUTED_VALUE"""),"Calle 12 Bis #16 18  / Barrio Pinares / Barrio pinares")</f>
        <v>Calle 12 Bis #16 18  / Barrio Pinares / Barrio pinares</v>
      </c>
      <c r="G6827" s="15" t="str">
        <f>IFERROR(__xludf.DUMMYFUNCTION("""COMPUTED_VALUE"""),"Hector Hernandez")</f>
        <v>Hector Hernandez</v>
      </c>
      <c r="H6827" s="16">
        <f>IFERROR(__xludf.DUMMYFUNCTION("""COMPUTED_VALUE"""),15572.0)</f>
        <v>15572</v>
      </c>
      <c r="I6827" s="18">
        <f>IFERROR(__xludf.DUMMYFUNCTION("""COMPUTED_VALUE"""),17.0)</f>
        <v>17</v>
      </c>
      <c r="J6827" s="18">
        <f>IFERROR(__xludf.DUMMYFUNCTION("""COMPUTED_VALUE"""),37.0)</f>
        <v>37</v>
      </c>
      <c r="K6827" s="18">
        <f>IFERROR(__xludf.DUMMYFUNCTION("""COMPUTED_VALUE"""),33.0)</f>
        <v>33</v>
      </c>
      <c r="L6827" s="17">
        <f>IFERROR(__xludf.DUMMYFUNCTION("""COMPUTED_VALUE"""),3.18591145E9)</f>
        <v>3185911450</v>
      </c>
      <c r="M6827" s="17" t="str">
        <f>IFERROR(__xludf.DUMMYFUNCTION("""COMPUTED_VALUE"""),"#REF!")</f>
        <v>#REF!</v>
      </c>
      <c r="N6827" s="17"/>
      <c r="O6827" s="17"/>
      <c r="P6827" s="17" t="b">
        <f>IFERROR(__xludf.DUMMYFUNCTION("""COMPUTED_VALUE"""),TRUE)</f>
        <v>1</v>
      </c>
      <c r="Q6827" s="20">
        <f>IFERROR(__xludf.DUMMYFUNCTION("""COMPUTED_VALUE"""),45195.62781229167)</f>
        <v>45195.62781</v>
      </c>
      <c r="R6827" s="21" t="str">
        <f>IFERROR(__xludf.DUMMYFUNCTION("""COMPUTED_VALUE"""),"https://drive.google.com/file/d/1WLS2V7fg-y-A6ZPHPHN8jJMUrdQKOlo8/view?usp=drivesdk")</f>
        <v>https://drive.google.com/file/d/1WLS2V7fg-y-A6ZPHPHN8jJMUrdQKOlo8/view?usp=drivesdk</v>
      </c>
    </row>
    <row r="6828">
      <c r="A6828" s="17" t="str">
        <f>IFERROR(__xludf.DUMMYFUNCTION("""COMPUTED_VALUE"""),"")</f>
        <v/>
      </c>
      <c r="B6828" s="17" t="str">
        <f>IFERROR(__xludf.DUMMYFUNCTION("""COMPUTED_VALUE"""),"")</f>
        <v/>
      </c>
      <c r="C6828" s="17" t="str">
        <f>IFERROR(__xludf.DUMMYFUNCTION("""COMPUTED_VALUE"""),"")</f>
        <v/>
      </c>
      <c r="D6828" s="17" t="str">
        <f>IFERROR(__xludf.DUMMYFUNCTION("""COMPUTED_VALUE"""),"")</f>
        <v/>
      </c>
      <c r="E6828" s="17" t="str">
        <f>IFERROR(__xludf.DUMMYFUNCTION("""COMPUTED_VALUE"""),"")</f>
        <v/>
      </c>
      <c r="F6828" s="17" t="str">
        <f>IFERROR(__xludf.DUMMYFUNCTION("""COMPUTED_VALUE"""),"")</f>
        <v/>
      </c>
      <c r="G6828" s="17" t="str">
        <f>IFERROR(__xludf.DUMMYFUNCTION("""COMPUTED_VALUE"""),"")</f>
        <v/>
      </c>
      <c r="H6828" s="17" t="str">
        <f>IFERROR(__xludf.DUMMYFUNCTION("""COMPUTED_VALUE"""),"")</f>
        <v/>
      </c>
      <c r="I6828" s="17" t="str">
        <f>IFERROR(__xludf.DUMMYFUNCTION("""COMPUTED_VALUE"""),"")</f>
        <v/>
      </c>
      <c r="J6828" s="17" t="str">
        <f>IFERROR(__xludf.DUMMYFUNCTION("""COMPUTED_VALUE"""),"")</f>
        <v/>
      </c>
      <c r="K6828" s="17" t="str">
        <f>IFERROR(__xludf.DUMMYFUNCTION("""COMPUTED_VALUE"""),"")</f>
        <v/>
      </c>
      <c r="L6828" s="17" t="str">
        <f>IFERROR(__xludf.DUMMYFUNCTION("""COMPUTED_VALUE"""),"")</f>
        <v/>
      </c>
      <c r="M6828" s="17" t="str">
        <f>IFERROR(__xludf.DUMMYFUNCTION("""COMPUTED_VALUE"""),"")</f>
        <v/>
      </c>
      <c r="N6828" s="17" t="str">
        <f>IFERROR(__xludf.DUMMYFUNCTION("""COMPUTED_VALUE"""),"")</f>
        <v/>
      </c>
      <c r="O6828" s="17" t="str">
        <f>IFERROR(__xludf.DUMMYFUNCTION("""COMPUTED_VALUE"""),"")</f>
        <v/>
      </c>
      <c r="P6828" s="17" t="str">
        <f>IFERROR(__xludf.DUMMYFUNCTION("""COMPUTED_VALUE"""),"")</f>
        <v/>
      </c>
      <c r="Q6828" s="17" t="str">
        <f>IFERROR(__xludf.DUMMYFUNCTION("""COMPUTED_VALUE"""),"")</f>
        <v/>
      </c>
      <c r="R6828" s="17" t="str">
        <f>IFERROR(__xludf.DUMMYFUNCTION("""COMPUTED_VALUE"""),"")</f>
        <v/>
      </c>
    </row>
    <row r="6829">
      <c r="A6829" s="15">
        <f>IFERROR(__xludf.DUMMYFUNCTION("""COMPUTED_VALUE"""),45195.0)</f>
        <v>45195</v>
      </c>
      <c r="B6829" s="16" t="str">
        <f>IFERROR(__xludf.DUMMYFUNCTION("""COMPUTED_VALUE"""),"Duvan Gabriel Alvarez Giron")</f>
        <v>Duvan Gabriel Alvarez Giron</v>
      </c>
      <c r="C6829" s="15" t="str">
        <f>IFERROR(__xludf.DUMMYFUNCTION("""COMPUTED_VALUE"""),"FLORIDABLANCA")</f>
        <v>FLORIDABLANCA</v>
      </c>
      <c r="D6829" s="15" t="str">
        <f>IFERROR(__xludf.DUMMYFUNCTION("""COMPUTED_VALUE"""),"BOGOTÁ")</f>
        <v>BOGOTÁ</v>
      </c>
      <c r="E6829" s="15" t="str">
        <f>IFERROR(__xludf.DUMMYFUNCTION("""COMPUTED_VALUE"""),"Ins. Alimento Vital")</f>
        <v>Ins. Alimento Vital</v>
      </c>
      <c r="F6829" s="17" t="str">
        <f>IFERROR(__xludf.DUMMYFUNCTION("""COMPUTED_VALUE"""),"CL 200 13 200 / TR 2 AP 1504 ED PARK 200 / ED PARK 200")</f>
        <v>CL 200 13 200 / TR 2 AP 1504 ED PARK 200 / ED PARK 200</v>
      </c>
      <c r="G6829" s="15" t="str">
        <f>IFERROR(__xludf.DUMMYFUNCTION("""COMPUTED_VALUE"""),"VIVIANA CECILIA GUZMAN GHISSAYS")</f>
        <v>VIVIANA CECILIA GUZMAN GHISSAYS</v>
      </c>
      <c r="H6829" s="16">
        <f>IFERROR(__xludf.DUMMYFUNCTION("""COMPUTED_VALUE"""),15626.0)</f>
        <v>15626</v>
      </c>
      <c r="I6829" s="18">
        <f>IFERROR(__xludf.DUMMYFUNCTION("""COMPUTED_VALUE"""),1.0)</f>
        <v>1</v>
      </c>
      <c r="J6829" s="18">
        <f>IFERROR(__xludf.DUMMYFUNCTION("""COMPUTED_VALUE"""),1.0)</f>
        <v>1</v>
      </c>
      <c r="K6829" s="18">
        <f>IFERROR(__xludf.DUMMYFUNCTION("""COMPUTED_VALUE"""),1.0)</f>
        <v>1</v>
      </c>
      <c r="L6829" s="17">
        <f>IFERROR(__xludf.DUMMYFUNCTION("""COMPUTED_VALUE"""),3.183879871E9)</f>
        <v>3183879871</v>
      </c>
      <c r="M6829" s="17" t="str">
        <f>IFERROR(__xludf.DUMMYFUNCTION("""COMPUTED_VALUE"""),"#REF!")</f>
        <v>#REF!</v>
      </c>
      <c r="N6829" s="17"/>
      <c r="O6829" s="17"/>
      <c r="P6829" s="17" t="b">
        <f>IFERROR(__xludf.DUMMYFUNCTION("""COMPUTED_VALUE"""),TRUE)</f>
        <v>1</v>
      </c>
      <c r="Q6829" s="20">
        <f>IFERROR(__xludf.DUMMYFUNCTION("""COMPUTED_VALUE"""),45195.705478460644)</f>
        <v>45195.70548</v>
      </c>
      <c r="R6829" s="22" t="str">
        <f>IFERROR(__xludf.DUMMYFUNCTION("""COMPUTED_VALUE"""),"")</f>
        <v/>
      </c>
    </row>
    <row r="6830">
      <c r="A6830" s="15">
        <f>IFERROR(__xludf.DUMMYFUNCTION("""COMPUTED_VALUE"""),45195.0)</f>
        <v>45195</v>
      </c>
      <c r="B6830" s="16" t="str">
        <f>IFERROR(__xludf.DUMMYFUNCTION("""COMPUTED_VALUE"""),"Duvan Gabriel Alvarez Giron")</f>
        <v>Duvan Gabriel Alvarez Giron</v>
      </c>
      <c r="C6830" s="15" t="str">
        <f>IFERROR(__xludf.DUMMYFUNCTION("""COMPUTED_VALUE"""),"GIRÓN")</f>
        <v>GIRÓN</v>
      </c>
      <c r="D6830" s="15" t="str">
        <f>IFERROR(__xludf.DUMMYFUNCTION("""COMPUTED_VALUE"""),"MEDELLÍN")</f>
        <v>MEDELLÍN</v>
      </c>
      <c r="E6830" s="15" t="str">
        <f>IFERROR(__xludf.DUMMYFUNCTION("""COMPUTED_VALUE"""),"Terravocado")</f>
        <v>Terravocado</v>
      </c>
      <c r="F6830" s="17" t="str">
        <f>IFERROR(__xludf.DUMMYFUNCTION("""COMPUTED_VALUE"""),"CLL 22 # 15 - 38 / CONJUNTO ROBLES  / TORRE 3 APT 222 GIRON")</f>
        <v>CLL 22 # 15 - 38 / CONJUNTO ROBLES  / TORRE 3 APT 222 GIRON</v>
      </c>
      <c r="G6830" s="15" t="str">
        <f>IFERROR(__xludf.DUMMYFUNCTION("""COMPUTED_VALUE"""),"RAFAEL ESTEBAN CONTRERAS")</f>
        <v>RAFAEL ESTEBAN CONTRERAS</v>
      </c>
      <c r="H6830" s="16">
        <f>IFERROR(__xludf.DUMMYFUNCTION("""COMPUTED_VALUE"""),15635.0)</f>
        <v>15635</v>
      </c>
      <c r="I6830" s="18">
        <f>IFERROR(__xludf.DUMMYFUNCTION("""COMPUTED_VALUE"""),20.0)</f>
        <v>20</v>
      </c>
      <c r="J6830" s="18">
        <f>IFERROR(__xludf.DUMMYFUNCTION("""COMPUTED_VALUE"""),24.0)</f>
        <v>24</v>
      </c>
      <c r="K6830" s="18">
        <f>IFERROR(__xludf.DUMMYFUNCTION("""COMPUTED_VALUE"""),34.0)</f>
        <v>34</v>
      </c>
      <c r="L6830" s="17">
        <f>IFERROR(__xludf.DUMMYFUNCTION("""COMPUTED_VALUE"""),3.223626148E9)</f>
        <v>3223626148</v>
      </c>
      <c r="M6830" s="17" t="str">
        <f>IFERROR(__xludf.DUMMYFUNCTION("""COMPUTED_VALUE"""),"#REF!")</f>
        <v>#REF!</v>
      </c>
      <c r="N6830" s="17"/>
      <c r="O6830" s="17"/>
      <c r="P6830" s="17" t="b">
        <f>IFERROR(__xludf.DUMMYFUNCTION("""COMPUTED_VALUE"""),FALSE)</f>
        <v>0</v>
      </c>
      <c r="Q6830" s="20" t="str">
        <f>IFERROR(__xludf.DUMMYFUNCTION("""COMPUTED_VALUE"""),"")</f>
        <v/>
      </c>
      <c r="R6830" s="22" t="str">
        <f>IFERROR(__xludf.DUMMYFUNCTION("""COMPUTED_VALUE"""),"")</f>
        <v/>
      </c>
    </row>
    <row r="6831">
      <c r="A6831" s="15">
        <f>IFERROR(__xludf.DUMMYFUNCTION("""COMPUTED_VALUE"""),45195.0)</f>
        <v>45195</v>
      </c>
      <c r="B6831" s="16" t="str">
        <f>IFERROR(__xludf.DUMMYFUNCTION("""COMPUTED_VALUE"""),"Duvan Gabriel Alvarez Giron")</f>
        <v>Duvan Gabriel Alvarez Giron</v>
      </c>
      <c r="C6831" s="15" t="str">
        <f>IFERROR(__xludf.DUMMYFUNCTION("""COMPUTED_VALUE"""),"IBAGUÉ")</f>
        <v>IBAGUÉ</v>
      </c>
      <c r="D6831" s="15" t="str">
        <f>IFERROR(__xludf.DUMMYFUNCTION("""COMPUTED_VALUE"""),"BOGOTÁ")</f>
        <v>BOGOTÁ</v>
      </c>
      <c r="E6831" s="15" t="str">
        <f>IFERROR(__xludf.DUMMYFUNCTION("""COMPUTED_VALUE"""),"Asociacion Agropecuaria Juana Maria")</f>
        <v>Asociacion Agropecuaria Juana Maria</v>
      </c>
      <c r="F6831" s="17" t="str">
        <f>IFERROR(__xludf.DUMMYFUNCTION("""COMPUTED_VALUE"""),"Calle 93 # 7 Sur-90 torre 7 apto 701 Conjunto Residencial Altagracia")</f>
        <v>Calle 93 # 7 Sur-90 torre 7 apto 701 Conjunto Residencial Altagracia</v>
      </c>
      <c r="G6831" s="15" t="str">
        <f>IFERROR(__xludf.DUMMYFUNCTION("""COMPUTED_VALUE"""),"Mariam Yasmin Murillo Rubio")</f>
        <v>Mariam Yasmin Murillo Rubio</v>
      </c>
      <c r="H6831" s="16">
        <f>IFERROR(__xludf.DUMMYFUNCTION("""COMPUTED_VALUE"""),15556.0)</f>
        <v>15556</v>
      </c>
      <c r="I6831" s="18">
        <f>IFERROR(__xludf.DUMMYFUNCTION("""COMPUTED_VALUE"""),16.0)</f>
        <v>16</v>
      </c>
      <c r="J6831" s="18">
        <f>IFERROR(__xludf.DUMMYFUNCTION("""COMPUTED_VALUE"""),34.0)</f>
        <v>34</v>
      </c>
      <c r="K6831" s="18">
        <f>IFERROR(__xludf.DUMMYFUNCTION("""COMPUTED_VALUE"""),25.0)</f>
        <v>25</v>
      </c>
      <c r="L6831" s="17">
        <f>IFERROR(__xludf.DUMMYFUNCTION("""COMPUTED_VALUE"""),3.105789664E9)</f>
        <v>3105789664</v>
      </c>
      <c r="M6831" s="17" t="str">
        <f>IFERROR(__xludf.DUMMYFUNCTION("""COMPUTED_VALUE"""),"#REF!")</f>
        <v>#REF!</v>
      </c>
      <c r="N6831" s="17"/>
      <c r="O6831" s="17"/>
      <c r="P6831" s="17" t="b">
        <f>IFERROR(__xludf.DUMMYFUNCTION("""COMPUTED_VALUE"""),TRUE)</f>
        <v>1</v>
      </c>
      <c r="Q6831" s="20">
        <f>IFERROR(__xludf.DUMMYFUNCTION("""COMPUTED_VALUE"""),45195.45384847222)</f>
        <v>45195.45385</v>
      </c>
      <c r="R6831" s="22" t="str">
        <f>IFERROR(__xludf.DUMMYFUNCTION("""COMPUTED_VALUE"""),"")</f>
        <v/>
      </c>
    </row>
    <row r="6832">
      <c r="A6832" s="15">
        <f>IFERROR(__xludf.DUMMYFUNCTION("""COMPUTED_VALUE"""),45195.0)</f>
        <v>45195</v>
      </c>
      <c r="B6832" s="16" t="str">
        <f>IFERROR(__xludf.DUMMYFUNCTION("""COMPUTED_VALUE"""),"Duvan Gabriel Alvarez Giron")</f>
        <v>Duvan Gabriel Alvarez Giron</v>
      </c>
      <c r="C6832" s="15" t="str">
        <f>IFERROR(__xludf.DUMMYFUNCTION("""COMPUTED_VALUE"""),"IBAGUÉ")</f>
        <v>IBAGUÉ</v>
      </c>
      <c r="D6832" s="15" t="str">
        <f>IFERROR(__xludf.DUMMYFUNCTION("""COMPUTED_VALUE"""),"BOGOTÁ")</f>
        <v>BOGOTÁ</v>
      </c>
      <c r="E6832" s="15" t="str">
        <f>IFERROR(__xludf.DUMMYFUNCTION("""COMPUTED_VALUE"""),"Evamazzita")</f>
        <v>Evamazzita</v>
      </c>
      <c r="F6832" s="17" t="str">
        <f>IFERROR(__xludf.DUMMYFUNCTION("""COMPUTED_VALUE"""),"CALLE 60 # 7 A 13 / EDIFICIO SAN JERONIMO TO A APTO 403")</f>
        <v>CALLE 60 # 7 A 13 / EDIFICIO SAN JERONIMO TO A APTO 403</v>
      </c>
      <c r="G6832" s="15" t="str">
        <f>IFERROR(__xludf.DUMMYFUNCTION("""COMPUTED_VALUE"""),"LORENA SUAREZ GUTIERREZ")</f>
        <v>LORENA SUAREZ GUTIERREZ</v>
      </c>
      <c r="H6832" s="16">
        <f>IFERROR(__xludf.DUMMYFUNCTION("""COMPUTED_VALUE"""),15599.0)</f>
        <v>15599</v>
      </c>
      <c r="I6832" s="18">
        <f>IFERROR(__xludf.DUMMYFUNCTION("""COMPUTED_VALUE"""),1.0)</f>
        <v>1</v>
      </c>
      <c r="J6832" s="18">
        <f>IFERROR(__xludf.DUMMYFUNCTION("""COMPUTED_VALUE"""),1.0)</f>
        <v>1</v>
      </c>
      <c r="K6832" s="18">
        <f>IFERROR(__xludf.DUMMYFUNCTION("""COMPUTED_VALUE"""),1.0)</f>
        <v>1</v>
      </c>
      <c r="L6832" s="17">
        <f>IFERROR(__xludf.DUMMYFUNCTION("""COMPUTED_VALUE"""),3.123815748E9)</f>
        <v>3123815748</v>
      </c>
      <c r="M6832" s="17" t="str">
        <f>IFERROR(__xludf.DUMMYFUNCTION("""COMPUTED_VALUE"""),"#REF!")</f>
        <v>#REF!</v>
      </c>
      <c r="N6832" s="17"/>
      <c r="O6832" s="17"/>
      <c r="P6832" s="17" t="b">
        <f>IFERROR(__xludf.DUMMYFUNCTION("""COMPUTED_VALUE"""),TRUE)</f>
        <v>1</v>
      </c>
      <c r="Q6832" s="20">
        <f>IFERROR(__xludf.DUMMYFUNCTION("""COMPUTED_VALUE"""),45195.453918113424)</f>
        <v>45195.45392</v>
      </c>
      <c r="R6832" s="22" t="str">
        <f>IFERROR(__xludf.DUMMYFUNCTION("""COMPUTED_VALUE"""),"")</f>
        <v/>
      </c>
    </row>
    <row r="6833">
      <c r="A6833" s="15">
        <f>IFERROR(__xludf.DUMMYFUNCTION("""COMPUTED_VALUE"""),45195.0)</f>
        <v>45195</v>
      </c>
      <c r="B6833" s="16" t="str">
        <f>IFERROR(__xludf.DUMMYFUNCTION("""COMPUTED_VALUE"""),"Duvan Gabriel Alvarez Giron")</f>
        <v>Duvan Gabriel Alvarez Giron</v>
      </c>
      <c r="C6833" s="15" t="str">
        <f>IFERROR(__xludf.DUMMYFUNCTION("""COMPUTED_VALUE"""),"IBAGUÉ")</f>
        <v>IBAGUÉ</v>
      </c>
      <c r="D6833" s="15" t="str">
        <f>IFERROR(__xludf.DUMMYFUNCTION("""COMPUTED_VALUE"""),"BOGOTÁ")</f>
        <v>BOGOTÁ</v>
      </c>
      <c r="E6833" s="15" t="str">
        <f>IFERROR(__xludf.DUMMYFUNCTION("""COMPUTED_VALUE"""),"Evamazzita")</f>
        <v>Evamazzita</v>
      </c>
      <c r="F6833" s="17" t="str">
        <f>IFERROR(__xludf.DUMMYFUNCTION("""COMPUTED_VALUE"""),"cr 7 #57 36 / JOLAU TIENDA TIMBRAR POR FAVOR")</f>
        <v>cr 7 #57 36 / JOLAU TIENDA TIMBRAR POR FAVOR</v>
      </c>
      <c r="G6833" s="15" t="str">
        <f>IFERROR(__xludf.DUMMYFUNCTION("""COMPUTED_VALUE"""),"LAURA JIMENEZ")</f>
        <v>LAURA JIMENEZ</v>
      </c>
      <c r="H6833" s="16">
        <f>IFERROR(__xludf.DUMMYFUNCTION("""COMPUTED_VALUE"""),15597.0)</f>
        <v>15597</v>
      </c>
      <c r="I6833" s="18">
        <f>IFERROR(__xludf.DUMMYFUNCTION("""COMPUTED_VALUE"""),1.0)</f>
        <v>1</v>
      </c>
      <c r="J6833" s="18">
        <f>IFERROR(__xludf.DUMMYFUNCTION("""COMPUTED_VALUE"""),1.0)</f>
        <v>1</v>
      </c>
      <c r="K6833" s="18">
        <f>IFERROR(__xludf.DUMMYFUNCTION("""COMPUTED_VALUE"""),1.0)</f>
        <v>1</v>
      </c>
      <c r="L6833" s="17">
        <f>IFERROR(__xludf.DUMMYFUNCTION("""COMPUTED_VALUE"""),3.234388162E9)</f>
        <v>3234388162</v>
      </c>
      <c r="M6833" s="17" t="str">
        <f>IFERROR(__xludf.DUMMYFUNCTION("""COMPUTED_VALUE"""),"#REF!")</f>
        <v>#REF!</v>
      </c>
      <c r="N6833" s="17"/>
      <c r="O6833" s="17"/>
      <c r="P6833" s="17" t="b">
        <f>IFERROR(__xludf.DUMMYFUNCTION("""COMPUTED_VALUE"""),TRUE)</f>
        <v>1</v>
      </c>
      <c r="Q6833" s="20">
        <f>IFERROR(__xludf.DUMMYFUNCTION("""COMPUTED_VALUE"""),45195.453918113424)</f>
        <v>45195.45392</v>
      </c>
      <c r="R6833" s="22" t="str">
        <f>IFERROR(__xludf.DUMMYFUNCTION("""COMPUTED_VALUE"""),"")</f>
        <v/>
      </c>
    </row>
    <row r="6834">
      <c r="A6834" s="15">
        <f>IFERROR(__xludf.DUMMYFUNCTION("""COMPUTED_VALUE"""),45195.0)</f>
        <v>45195</v>
      </c>
      <c r="B6834" s="16" t="str">
        <f>IFERROR(__xludf.DUMMYFUNCTION("""COMPUTED_VALUE"""),"Duvan Gabriel Alvarez Giron")</f>
        <v>Duvan Gabriel Alvarez Giron</v>
      </c>
      <c r="C6834" s="15" t="str">
        <f>IFERROR(__xludf.DUMMYFUNCTION("""COMPUTED_VALUE"""),"IBAGUÉ")</f>
        <v>IBAGUÉ</v>
      </c>
      <c r="D6834" s="15" t="str">
        <f>IFERROR(__xludf.DUMMYFUNCTION("""COMPUTED_VALUE"""),"BOGOTÁ")</f>
        <v>BOGOTÁ</v>
      </c>
      <c r="E6834" s="15" t="str">
        <f>IFERROR(__xludf.DUMMYFUNCTION("""COMPUTED_VALUE"""),"Evamazzita")</f>
        <v>Evamazzita</v>
      </c>
      <c r="F6834" s="17" t="str">
        <f>IFERROR(__xludf.DUMMYFUNCTION("""COMPUTED_VALUE"""),"MANZANA D CASA 11 / CONJUNTO FUENTE REAL")</f>
        <v>MANZANA D CASA 11 / CONJUNTO FUENTE REAL</v>
      </c>
      <c r="G6834" s="15" t="str">
        <f>IFERROR(__xludf.DUMMYFUNCTION("""COMPUTED_VALUE"""),"JULY ANDREA ARENAS GARCIA")</f>
        <v>JULY ANDREA ARENAS GARCIA</v>
      </c>
      <c r="H6834" s="16">
        <f>IFERROR(__xludf.DUMMYFUNCTION("""COMPUTED_VALUE"""),15598.0)</f>
        <v>15598</v>
      </c>
      <c r="I6834" s="18">
        <f>IFERROR(__xludf.DUMMYFUNCTION("""COMPUTED_VALUE"""),1.0)</f>
        <v>1</v>
      </c>
      <c r="J6834" s="18">
        <f>IFERROR(__xludf.DUMMYFUNCTION("""COMPUTED_VALUE"""),1.0)</f>
        <v>1</v>
      </c>
      <c r="K6834" s="18">
        <f>IFERROR(__xludf.DUMMYFUNCTION("""COMPUTED_VALUE"""),1.0)</f>
        <v>1</v>
      </c>
      <c r="L6834" s="17">
        <f>IFERROR(__xludf.DUMMYFUNCTION("""COMPUTED_VALUE"""),3.125744389E9)</f>
        <v>3125744389</v>
      </c>
      <c r="M6834" s="17" t="str">
        <f>IFERROR(__xludf.DUMMYFUNCTION("""COMPUTED_VALUE"""),"#REF!")</f>
        <v>#REF!</v>
      </c>
      <c r="N6834" s="17"/>
      <c r="O6834" s="17"/>
      <c r="P6834" s="17" t="b">
        <f>IFERROR(__xludf.DUMMYFUNCTION("""COMPUTED_VALUE"""),TRUE)</f>
        <v>1</v>
      </c>
      <c r="Q6834" s="20">
        <f>IFERROR(__xludf.DUMMYFUNCTION("""COMPUTED_VALUE"""),45195.453918113424)</f>
        <v>45195.45392</v>
      </c>
      <c r="R6834" s="22" t="str">
        <f>IFERROR(__xludf.DUMMYFUNCTION("""COMPUTED_VALUE"""),"")</f>
        <v/>
      </c>
    </row>
    <row r="6835">
      <c r="A6835" s="15">
        <f>IFERROR(__xludf.DUMMYFUNCTION("""COMPUTED_VALUE"""),45195.0)</f>
        <v>45195</v>
      </c>
      <c r="B6835" s="16" t="str">
        <f>IFERROR(__xludf.DUMMYFUNCTION("""COMPUTED_VALUE"""),"Duvan Gabriel Alvarez Giron")</f>
        <v>Duvan Gabriel Alvarez Giron</v>
      </c>
      <c r="C6835" s="15" t="str">
        <f>IFERROR(__xludf.DUMMYFUNCTION("""COMPUTED_VALUE"""),"IBAGUÉ")</f>
        <v>IBAGUÉ</v>
      </c>
      <c r="D6835" s="15" t="str">
        <f>IFERROR(__xludf.DUMMYFUNCTION("""COMPUTED_VALUE"""),"BOGOTÁ")</f>
        <v>BOGOTÁ</v>
      </c>
      <c r="E6835" s="15" t="str">
        <f>IFERROR(__xludf.DUMMYFUNCTION("""COMPUTED_VALUE"""),"Ins. Alimento Vital")</f>
        <v>Ins. Alimento Vital</v>
      </c>
      <c r="F6835" s="17" t="str">
        <f>IFERROR(__xludf.DUMMYFUNCTION("""COMPUTED_VALUE"""),"MANZANA 13  / CASA 26, CONJUNTO RESIDENCIAL LA ARBOLEDA VIA PICALEÑA / CONJUNTO DE SOLO CASAS ENTREDA A LA CASA DE LA")</f>
        <v>MANZANA 13  / CASA 26, CONJUNTO RESIDENCIAL LA ARBOLEDA VIA PICALEÑA / CONJUNTO DE SOLO CASAS ENTREDA A LA CASA DE LA</v>
      </c>
      <c r="G6835" s="15" t="str">
        <f>IFERROR(__xludf.DUMMYFUNCTION("""COMPUTED_VALUE"""),"IVONNE MARITZA ESPINOSA RODRIGUEZ")</f>
        <v>IVONNE MARITZA ESPINOSA RODRIGUEZ</v>
      </c>
      <c r="H6835" s="16">
        <f>IFERROR(__xludf.DUMMYFUNCTION("""COMPUTED_VALUE"""),15568.0)</f>
        <v>15568</v>
      </c>
      <c r="I6835" s="18">
        <f>IFERROR(__xludf.DUMMYFUNCTION("""COMPUTED_VALUE"""),1.0)</f>
        <v>1</v>
      </c>
      <c r="J6835" s="18">
        <f>IFERROR(__xludf.DUMMYFUNCTION("""COMPUTED_VALUE"""),1.0)</f>
        <v>1</v>
      </c>
      <c r="K6835" s="18">
        <f>IFERROR(__xludf.DUMMYFUNCTION("""COMPUTED_VALUE"""),1.0)</f>
        <v>1</v>
      </c>
      <c r="L6835" s="17">
        <f>IFERROR(__xludf.DUMMYFUNCTION("""COMPUTED_VALUE"""),3.017288399E9)</f>
        <v>3017288399</v>
      </c>
      <c r="M6835" s="17" t="str">
        <f>IFERROR(__xludf.DUMMYFUNCTION("""COMPUTED_VALUE"""),"#REF!")</f>
        <v>#REF!</v>
      </c>
      <c r="N6835" s="17"/>
      <c r="O6835" s="17"/>
      <c r="P6835" s="17" t="b">
        <f>IFERROR(__xludf.DUMMYFUNCTION("""COMPUTED_VALUE"""),FALSE)</f>
        <v>0</v>
      </c>
      <c r="Q6835" s="20" t="str">
        <f>IFERROR(__xludf.DUMMYFUNCTION("""COMPUTED_VALUE"""),"")</f>
        <v/>
      </c>
      <c r="R6835" s="22" t="str">
        <f>IFERROR(__xludf.DUMMYFUNCTION("""COMPUTED_VALUE"""),"")</f>
        <v/>
      </c>
    </row>
    <row r="6836">
      <c r="A6836" s="17" t="str">
        <f>IFERROR(__xludf.DUMMYFUNCTION("""COMPUTED_VALUE"""),"")</f>
        <v/>
      </c>
      <c r="B6836" s="17" t="str">
        <f>IFERROR(__xludf.DUMMYFUNCTION("""COMPUTED_VALUE"""),"")</f>
        <v/>
      </c>
      <c r="C6836" s="17" t="str">
        <f>IFERROR(__xludf.DUMMYFUNCTION("""COMPUTED_VALUE"""),"")</f>
        <v/>
      </c>
      <c r="D6836" s="17" t="str">
        <f>IFERROR(__xludf.DUMMYFUNCTION("""COMPUTED_VALUE"""),"")</f>
        <v/>
      </c>
      <c r="E6836" s="17" t="str">
        <f>IFERROR(__xludf.DUMMYFUNCTION("""COMPUTED_VALUE"""),"")</f>
        <v/>
      </c>
      <c r="F6836" s="17" t="str">
        <f>IFERROR(__xludf.DUMMYFUNCTION("""COMPUTED_VALUE"""),"")</f>
        <v/>
      </c>
      <c r="G6836" s="17" t="str">
        <f>IFERROR(__xludf.DUMMYFUNCTION("""COMPUTED_VALUE"""),"")</f>
        <v/>
      </c>
      <c r="H6836" s="17" t="str">
        <f>IFERROR(__xludf.DUMMYFUNCTION("""COMPUTED_VALUE"""),"")</f>
        <v/>
      </c>
      <c r="I6836" s="17" t="str">
        <f>IFERROR(__xludf.DUMMYFUNCTION("""COMPUTED_VALUE"""),"")</f>
        <v/>
      </c>
      <c r="J6836" s="17" t="str">
        <f>IFERROR(__xludf.DUMMYFUNCTION("""COMPUTED_VALUE"""),"")</f>
        <v/>
      </c>
      <c r="K6836" s="17" t="str">
        <f>IFERROR(__xludf.DUMMYFUNCTION("""COMPUTED_VALUE"""),"")</f>
        <v/>
      </c>
      <c r="L6836" s="17" t="str">
        <f>IFERROR(__xludf.DUMMYFUNCTION("""COMPUTED_VALUE"""),"")</f>
        <v/>
      </c>
      <c r="M6836" s="17" t="str">
        <f>IFERROR(__xludf.DUMMYFUNCTION("""COMPUTED_VALUE"""),"")</f>
        <v/>
      </c>
      <c r="N6836" s="17" t="str">
        <f>IFERROR(__xludf.DUMMYFUNCTION("""COMPUTED_VALUE"""),"")</f>
        <v/>
      </c>
      <c r="O6836" s="17" t="str">
        <f>IFERROR(__xludf.DUMMYFUNCTION("""COMPUTED_VALUE"""),"")</f>
        <v/>
      </c>
      <c r="P6836" s="17" t="str">
        <f>IFERROR(__xludf.DUMMYFUNCTION("""COMPUTED_VALUE"""),"")</f>
        <v/>
      </c>
      <c r="Q6836" s="17" t="str">
        <f>IFERROR(__xludf.DUMMYFUNCTION("""COMPUTED_VALUE"""),"")</f>
        <v/>
      </c>
      <c r="R6836" s="17" t="str">
        <f>IFERROR(__xludf.DUMMYFUNCTION("""COMPUTED_VALUE"""),"")</f>
        <v/>
      </c>
    </row>
    <row r="6837">
      <c r="A6837" s="15">
        <f>IFERROR(__xludf.DUMMYFUNCTION("""COMPUTED_VALUE"""),45195.0)</f>
        <v>45195</v>
      </c>
      <c r="B6837" s="16" t="str">
        <f>IFERROR(__xludf.DUMMYFUNCTION("""COMPUTED_VALUE"""),"Envia")</f>
        <v>Envia</v>
      </c>
      <c r="C6837" s="15" t="str">
        <f>IFERROR(__xludf.DUMMYFUNCTION("""COMPUTED_VALUE"""),"ARMENIA")</f>
        <v>ARMENIA</v>
      </c>
      <c r="D6837" s="15" t="str">
        <f>IFERROR(__xludf.DUMMYFUNCTION("""COMPUTED_VALUE"""),"MEDELLÍN")</f>
        <v>MEDELLÍN</v>
      </c>
      <c r="E6837" s="15" t="str">
        <f>IFERROR(__xludf.DUMMYFUNCTION("""COMPUTED_VALUE"""),"TOLEDALES S.A.S")</f>
        <v>TOLEDALES S.A.S</v>
      </c>
      <c r="F6837" s="17" t="str">
        <f>IFERROR(__xludf.DUMMYFUNCTION("""COMPUTED_VALUE"""),"Cra 14 # 46 norte -41 mall zona de oro")</f>
        <v>Cra 14 # 46 norte -41 mall zona de oro</v>
      </c>
      <c r="G6837" s="15" t="str">
        <f>IFERROR(__xludf.DUMMYFUNCTION("""COMPUTED_VALUE"""),"paola andrea gomez")</f>
        <v>paola andrea gomez</v>
      </c>
      <c r="H6837" s="16">
        <f>IFERROR(__xludf.DUMMYFUNCTION("""COMPUTED_VALUE"""),15562.0)</f>
        <v>15562</v>
      </c>
      <c r="I6837" s="18">
        <f>IFERROR(__xludf.DUMMYFUNCTION("""COMPUTED_VALUE"""),27.0)</f>
        <v>27</v>
      </c>
      <c r="J6837" s="18">
        <f>IFERROR(__xludf.DUMMYFUNCTION("""COMPUTED_VALUE"""),17.0)</f>
        <v>17</v>
      </c>
      <c r="K6837" s="18">
        <f>IFERROR(__xludf.DUMMYFUNCTION("""COMPUTED_VALUE"""),26.0)</f>
        <v>26</v>
      </c>
      <c r="L6837" s="17">
        <f>IFERROR(__xludf.DUMMYFUNCTION("""COMPUTED_VALUE"""),3.003222972E9)</f>
        <v>3003222972</v>
      </c>
      <c r="M6837" s="17" t="str">
        <f>IFERROR(__xludf.DUMMYFUNCTION("""COMPUTED_VALUE"""),"#REF!")</f>
        <v>#REF!</v>
      </c>
      <c r="N6837" s="17"/>
      <c r="O6837" s="17"/>
      <c r="P6837" s="17" t="b">
        <f>IFERROR(__xludf.DUMMYFUNCTION("""COMPUTED_VALUE"""),FALSE)</f>
        <v>0</v>
      </c>
      <c r="Q6837" s="20" t="str">
        <f>IFERROR(__xludf.DUMMYFUNCTION("""COMPUTED_VALUE"""),"")</f>
        <v/>
      </c>
      <c r="R6837" s="22" t="str">
        <f>IFERROR(__xludf.DUMMYFUNCTION("""COMPUTED_VALUE"""),"")</f>
        <v/>
      </c>
    </row>
    <row r="6838">
      <c r="A6838" s="15">
        <f>IFERROR(__xludf.DUMMYFUNCTION("""COMPUTED_VALUE"""),45195.0)</f>
        <v>45195</v>
      </c>
      <c r="B6838" s="16" t="str">
        <f>IFERROR(__xludf.DUMMYFUNCTION("""COMPUTED_VALUE"""),"Envia")</f>
        <v>Envia</v>
      </c>
      <c r="C6838" s="15" t="str">
        <f>IFERROR(__xludf.DUMMYFUNCTION("""COMPUTED_VALUE"""),"CALI")</f>
        <v>CALI</v>
      </c>
      <c r="D6838" s="15" t="str">
        <f>IFERROR(__xludf.DUMMYFUNCTION("""COMPUTED_VALUE"""),"BOGOTÁ")</f>
        <v>BOGOTÁ</v>
      </c>
      <c r="E6838" s="15" t="str">
        <f>IFERROR(__xludf.DUMMYFUNCTION("""COMPUTED_VALUE"""),"Evamazzita")</f>
        <v>Evamazzita</v>
      </c>
      <c r="F6838" s="17" t="str">
        <f>IFERROR(__xludf.DUMMYFUNCTION("""COMPUTED_VALUE"""),"Clle 13 A # 68-61 apto 204 / bloque 4 paseo de la castellana, barrio la hacienda")</f>
        <v>Clle 13 A # 68-61 apto 204 / bloque 4 paseo de la castellana, barrio la hacienda</v>
      </c>
      <c r="G6838" s="15" t="str">
        <f>IFERROR(__xludf.DUMMYFUNCTION("""COMPUTED_VALUE"""),"SANDRA RINCON")</f>
        <v>SANDRA RINCON</v>
      </c>
      <c r="H6838" s="16">
        <f>IFERROR(__xludf.DUMMYFUNCTION("""COMPUTED_VALUE"""),15613.0)</f>
        <v>15613</v>
      </c>
      <c r="I6838" s="18">
        <f>IFERROR(__xludf.DUMMYFUNCTION("""COMPUTED_VALUE"""),1.0)</f>
        <v>1</v>
      </c>
      <c r="J6838" s="18">
        <f>IFERROR(__xludf.DUMMYFUNCTION("""COMPUTED_VALUE"""),1.0)</f>
        <v>1</v>
      </c>
      <c r="K6838" s="18">
        <f>IFERROR(__xludf.DUMMYFUNCTION("""COMPUTED_VALUE"""),1.0)</f>
        <v>1</v>
      </c>
      <c r="L6838" s="17">
        <f>IFERROR(__xludf.DUMMYFUNCTION("""COMPUTED_VALUE"""),3.116009349E9)</f>
        <v>3116009349</v>
      </c>
      <c r="M6838" s="17" t="str">
        <f>IFERROR(__xludf.DUMMYFUNCTION("""COMPUTED_VALUE"""),"#REF!")</f>
        <v>#REF!</v>
      </c>
      <c r="N6838" s="17"/>
      <c r="O6838" s="17"/>
      <c r="P6838" s="17" t="b">
        <f>IFERROR(__xludf.DUMMYFUNCTION("""COMPUTED_VALUE"""),FALSE)</f>
        <v>0</v>
      </c>
      <c r="Q6838" s="20" t="str">
        <f>IFERROR(__xludf.DUMMYFUNCTION("""COMPUTED_VALUE"""),"")</f>
        <v/>
      </c>
      <c r="R6838" s="21" t="str">
        <f>IFERROR(__xludf.DUMMYFUNCTION("""COMPUTED_VALUE"""),"https://drive.google.com/file/d/1CT2s-cBjieQS2HGqve59065fyooKeFY_/view?usp=drivesdk")</f>
        <v>https://drive.google.com/file/d/1CT2s-cBjieQS2HGqve59065fyooKeFY_/view?usp=drivesdk</v>
      </c>
    </row>
    <row r="6839">
      <c r="A6839" s="15">
        <f>IFERROR(__xludf.DUMMYFUNCTION("""COMPUTED_VALUE"""),45195.0)</f>
        <v>45195</v>
      </c>
      <c r="B6839" s="16" t="str">
        <f>IFERROR(__xludf.DUMMYFUNCTION("""COMPUTED_VALUE"""),"Envia")</f>
        <v>Envia</v>
      </c>
      <c r="C6839" s="15" t="str">
        <f>IFERROR(__xludf.DUMMYFUNCTION("""COMPUTED_VALUE"""),"CALI")</f>
        <v>CALI</v>
      </c>
      <c r="D6839" s="15" t="str">
        <f>IFERROR(__xludf.DUMMYFUNCTION("""COMPUTED_VALUE"""),"BOGOTÁ")</f>
        <v>BOGOTÁ</v>
      </c>
      <c r="E6839" s="15" t="str">
        <f>IFERROR(__xludf.DUMMYFUNCTION("""COMPUTED_VALUE"""),"Loomifoods")</f>
        <v>Loomifoods</v>
      </c>
      <c r="F6839" s="17" t="str">
        <f>IFERROR(__xludf.DUMMYFUNCTION("""COMPUTED_VALUE"""),"Carrera 114B no 17-120,  / apto 403 Torre F,  / conjunto verdanza")</f>
        <v>Carrera 114B no 17-120,  / apto 403 Torre F,  / conjunto verdanza</v>
      </c>
      <c r="G6839" s="15" t="str">
        <f>IFERROR(__xludf.DUMMYFUNCTION("""COMPUTED_VALUE"""),"Maria Cecilia Rosales")</f>
        <v>Maria Cecilia Rosales</v>
      </c>
      <c r="H6839" s="16">
        <f>IFERROR(__xludf.DUMMYFUNCTION("""COMPUTED_VALUE"""),15579.0)</f>
        <v>15579</v>
      </c>
      <c r="I6839" s="18">
        <f>IFERROR(__xludf.DUMMYFUNCTION("""COMPUTED_VALUE"""),19.0)</f>
        <v>19</v>
      </c>
      <c r="J6839" s="18">
        <f>IFERROR(__xludf.DUMMYFUNCTION("""COMPUTED_VALUE"""),10.0)</f>
        <v>10</v>
      </c>
      <c r="K6839" s="18">
        <f>IFERROR(__xludf.DUMMYFUNCTION("""COMPUTED_VALUE"""),16.0)</f>
        <v>16</v>
      </c>
      <c r="L6839" s="17">
        <f>IFERROR(__xludf.DUMMYFUNCTION("""COMPUTED_VALUE"""),3.208382872E9)</f>
        <v>3208382872</v>
      </c>
      <c r="M6839" s="17" t="str">
        <f>IFERROR(__xludf.DUMMYFUNCTION("""COMPUTED_VALUE"""),"#REF!")</f>
        <v>#REF!</v>
      </c>
      <c r="N6839" s="17"/>
      <c r="O6839" s="17"/>
      <c r="P6839" s="17" t="b">
        <f>IFERROR(__xludf.DUMMYFUNCTION("""COMPUTED_VALUE"""),FALSE)</f>
        <v>0</v>
      </c>
      <c r="Q6839" s="20" t="str">
        <f>IFERROR(__xludf.DUMMYFUNCTION("""COMPUTED_VALUE"""),"")</f>
        <v/>
      </c>
      <c r="R6839" s="21" t="str">
        <f>IFERROR(__xludf.DUMMYFUNCTION("""COMPUTED_VALUE"""),"https://drive.google.com/file/d/1Hp3ZfrsktKXAdxm3yBI9kEoHNcGtV46N/view?usp=drivesdk")</f>
        <v>https://drive.google.com/file/d/1Hp3ZfrsktKXAdxm3yBI9kEoHNcGtV46N/view?usp=drivesdk</v>
      </c>
    </row>
    <row r="6840">
      <c r="A6840" s="15">
        <f>IFERROR(__xludf.DUMMYFUNCTION("""COMPUTED_VALUE"""),45195.0)</f>
        <v>45195</v>
      </c>
      <c r="B6840" s="16" t="str">
        <f>IFERROR(__xludf.DUMMYFUNCTION("""COMPUTED_VALUE"""),"Envia")</f>
        <v>Envia</v>
      </c>
      <c r="C6840" s="15" t="str">
        <f>IFERROR(__xludf.DUMMYFUNCTION("""COMPUTED_VALUE"""),"CALI")</f>
        <v>CALI</v>
      </c>
      <c r="D6840" s="15" t="str">
        <f>IFERROR(__xludf.DUMMYFUNCTION("""COMPUTED_VALUE"""),"BOGOTÁ")</f>
        <v>BOGOTÁ</v>
      </c>
      <c r="E6840" s="15" t="str">
        <f>IFERROR(__xludf.DUMMYFUNCTION("""COMPUTED_VALUE"""),"Pan de Waffle")</f>
        <v>Pan de Waffle</v>
      </c>
      <c r="F6840" s="17" t="str">
        <f>IFERROR(__xludf.DUMMYFUNCTION("""COMPUTED_VALUE"""),"Carrera 105 # 14 - 05  / Carrera 105 # 14 - 05  / Carrera 105 # 14 - 05")</f>
        <v>Carrera 105 # 14 - 05  / Carrera 105 # 14 - 05  / Carrera 105 # 14 - 05</v>
      </c>
      <c r="G6840" s="15" t="str">
        <f>IFERROR(__xludf.DUMMYFUNCTION("""COMPUTED_VALUE"""),"GREEN HOUSE")</f>
        <v>GREEN HOUSE</v>
      </c>
      <c r="H6840" s="16">
        <f>IFERROR(__xludf.DUMMYFUNCTION("""COMPUTED_VALUE"""),15587.0)</f>
        <v>15587</v>
      </c>
      <c r="I6840" s="18">
        <f>IFERROR(__xludf.DUMMYFUNCTION("""COMPUTED_VALUE"""),40.0)</f>
        <v>40</v>
      </c>
      <c r="J6840" s="18">
        <f>IFERROR(__xludf.DUMMYFUNCTION("""COMPUTED_VALUE"""),40.0)</f>
        <v>40</v>
      </c>
      <c r="K6840" s="18">
        <f>IFERROR(__xludf.DUMMYFUNCTION("""COMPUTED_VALUE"""),40.0)</f>
        <v>40</v>
      </c>
      <c r="L6840" s="17">
        <f>IFERROR(__xludf.DUMMYFUNCTION("""COMPUTED_VALUE"""),3.182527041E9)</f>
        <v>3182527041</v>
      </c>
      <c r="M6840" s="17" t="str">
        <f>IFERROR(__xludf.DUMMYFUNCTION("""COMPUTED_VALUE"""),"#REF!")</f>
        <v>#REF!</v>
      </c>
      <c r="N6840" s="17"/>
      <c r="O6840" s="17"/>
      <c r="P6840" s="17" t="b">
        <f>IFERROR(__xludf.DUMMYFUNCTION("""COMPUTED_VALUE"""),FALSE)</f>
        <v>0</v>
      </c>
      <c r="Q6840" s="20" t="str">
        <f>IFERROR(__xludf.DUMMYFUNCTION("""COMPUTED_VALUE"""),"")</f>
        <v/>
      </c>
      <c r="R6840" s="21" t="str">
        <f>IFERROR(__xludf.DUMMYFUNCTION("""COMPUTED_VALUE"""),"https://drive.google.com/file/d/1vf5s8ZP9MLafeMSeygM_Kw_c__LGR4yM/view?usp=drivesdk")</f>
        <v>https://drive.google.com/file/d/1vf5s8ZP9MLafeMSeygM_Kw_c__LGR4yM/view?usp=drivesdk</v>
      </c>
    </row>
    <row r="6841">
      <c r="A6841" s="15">
        <f>IFERROR(__xludf.DUMMYFUNCTION("""COMPUTED_VALUE"""),45195.0)</f>
        <v>45195</v>
      </c>
      <c r="B6841" s="16" t="str">
        <f>IFERROR(__xludf.DUMMYFUNCTION("""COMPUTED_VALUE"""),"Envia")</f>
        <v>Envia</v>
      </c>
      <c r="C6841" s="15" t="str">
        <f>IFERROR(__xludf.DUMMYFUNCTION("""COMPUTED_VALUE"""),"CALI")</f>
        <v>CALI</v>
      </c>
      <c r="D6841" s="15" t="str">
        <f>IFERROR(__xludf.DUMMYFUNCTION("""COMPUTED_VALUE"""),"BUCARAMANGA")</f>
        <v>BUCARAMANGA</v>
      </c>
      <c r="E6841" s="15" t="str">
        <f>IFERROR(__xludf.DUMMYFUNCTION("""COMPUTED_VALUE"""),"Yo Como Solito")</f>
        <v>Yo Como Solito</v>
      </c>
      <c r="F6841" s="17" t="str">
        <f>IFERROR(__xludf.DUMMYFUNCTION("""COMPUTED_VALUE"""),"CALLE 59 # 93-130 UNIDAD TERRACOTA A APARTAMENTO 604 TORRE 2A/ B. CIUDAD MELENDEZ (VALLE DEL LILI) / CALLE 59 # 93-130 UNIDAD TERRACOTA A APARTAMENTO 604 TORRE 2A/ B. CIUDAD MELENDEZ (VALLE DEL LILI) / CALLE 59 # 93-130 UNIDAD TERRACOTA A APARTAMENTO 604 "&amp;"TORRE 2A/ B. CIUDAD MELENDEZ (VALLE DEL LILI)")</f>
        <v>CALLE 59 # 93-130 UNIDAD TERRACOTA A APARTAMENTO 604 TORRE 2A/ B. CIUDAD MELENDEZ (VALLE DEL LILI) / CALLE 59 # 93-130 UNIDAD TERRACOTA A APARTAMENTO 604 TORRE 2A/ B. CIUDAD MELENDEZ (VALLE DEL LILI) / CALLE 59 # 93-130 UNIDAD TERRACOTA A APARTAMENTO 604 TORRE 2A/ B. CIUDAD MELENDEZ (VALLE DEL LILI)</v>
      </c>
      <c r="G6841" s="15" t="str">
        <f>IFERROR(__xludf.DUMMYFUNCTION("""COMPUTED_VALUE"""),"JIREH RAMOS")</f>
        <v>JIREH RAMOS</v>
      </c>
      <c r="H6841" s="16">
        <f>IFERROR(__xludf.DUMMYFUNCTION("""COMPUTED_VALUE"""),15517.0)</f>
        <v>15517</v>
      </c>
      <c r="I6841" s="18">
        <f>IFERROR(__xludf.DUMMYFUNCTION("""COMPUTED_VALUE"""),18.0)</f>
        <v>18</v>
      </c>
      <c r="J6841" s="18">
        <f>IFERROR(__xludf.DUMMYFUNCTION("""COMPUTED_VALUE"""),27.0)</f>
        <v>27</v>
      </c>
      <c r="K6841" s="18">
        <f>IFERROR(__xludf.DUMMYFUNCTION("""COMPUTED_VALUE"""),41.0)</f>
        <v>41</v>
      </c>
      <c r="L6841" s="17">
        <f>IFERROR(__xludf.DUMMYFUNCTION("""COMPUTED_VALUE"""),1.144041258E9)</f>
        <v>1144041258</v>
      </c>
      <c r="M6841" s="17" t="str">
        <f>IFERROR(__xludf.DUMMYFUNCTION("""COMPUTED_VALUE"""),"#REF!")</f>
        <v>#REF!</v>
      </c>
      <c r="N6841" s="17"/>
      <c r="O6841" s="17"/>
      <c r="P6841" s="17" t="b">
        <f>IFERROR(__xludf.DUMMYFUNCTION("""COMPUTED_VALUE"""),FALSE)</f>
        <v>0</v>
      </c>
      <c r="Q6841" s="20" t="str">
        <f>IFERROR(__xludf.DUMMYFUNCTION("""COMPUTED_VALUE"""),"")</f>
        <v/>
      </c>
      <c r="R6841" s="22" t="str">
        <f>IFERROR(__xludf.DUMMYFUNCTION("""COMPUTED_VALUE"""),"")</f>
        <v/>
      </c>
    </row>
    <row r="6842">
      <c r="A6842" s="15">
        <f>IFERROR(__xludf.DUMMYFUNCTION("""COMPUTED_VALUE"""),45195.0)</f>
        <v>45195</v>
      </c>
      <c r="B6842" s="16" t="str">
        <f>IFERROR(__xludf.DUMMYFUNCTION("""COMPUTED_VALUE"""),"Envia")</f>
        <v>Envia</v>
      </c>
      <c r="C6842" s="15" t="str">
        <f>IFERROR(__xludf.DUMMYFUNCTION("""COMPUTED_VALUE"""),"ENVIGADO")</f>
        <v>ENVIGADO</v>
      </c>
      <c r="D6842" s="15" t="str">
        <f>IFERROR(__xludf.DUMMYFUNCTION("""COMPUTED_VALUE"""),"BOGOTÁ")</f>
        <v>BOGOTÁ</v>
      </c>
      <c r="E6842" s="15" t="str">
        <f>IFERROR(__xludf.DUMMYFUNCTION("""COMPUTED_VALUE"""),"Top Spun")</f>
        <v>Top Spun</v>
      </c>
      <c r="F6842" s="17" t="str">
        <f>IFERROR(__xludf.DUMMYFUNCTION("""COMPUTED_VALUE"""),"Calle 24 sur # 38-40 / Urbanización Benedictine Park Apto 1508 / Loma Benedictinos")</f>
        <v>Calle 24 sur # 38-40 / Urbanización Benedictine Park Apto 1508 / Loma Benedictinos</v>
      </c>
      <c r="G6842" s="15" t="str">
        <f>IFERROR(__xludf.DUMMYFUNCTION("""COMPUTED_VALUE"""),"María Fernanda Calderón")</f>
        <v>María Fernanda Calderón</v>
      </c>
      <c r="H6842" s="16">
        <f>IFERROR(__xludf.DUMMYFUNCTION("""COMPUTED_VALUE"""),15549.0)</f>
        <v>15549</v>
      </c>
      <c r="I6842" s="18">
        <f>IFERROR(__xludf.DUMMYFUNCTION("""COMPUTED_VALUE"""),20.0)</f>
        <v>20</v>
      </c>
      <c r="J6842" s="18">
        <f>IFERROR(__xludf.DUMMYFUNCTION("""COMPUTED_VALUE"""),10.0)</f>
        <v>10</v>
      </c>
      <c r="K6842" s="18">
        <f>IFERROR(__xludf.DUMMYFUNCTION("""COMPUTED_VALUE"""),40.0)</f>
        <v>40</v>
      </c>
      <c r="L6842" s="17">
        <f>IFERROR(__xludf.DUMMYFUNCTION("""COMPUTED_VALUE"""),3.007756676E9)</f>
        <v>3007756676</v>
      </c>
      <c r="M6842" s="17" t="str">
        <f>IFERROR(__xludf.DUMMYFUNCTION("""COMPUTED_VALUE"""),"#REF!")</f>
        <v>#REF!</v>
      </c>
      <c r="N6842" s="17"/>
      <c r="O6842" s="17"/>
      <c r="P6842" s="17" t="b">
        <f>IFERROR(__xludf.DUMMYFUNCTION("""COMPUTED_VALUE"""),FALSE)</f>
        <v>0</v>
      </c>
      <c r="Q6842" s="20" t="str">
        <f>IFERROR(__xludf.DUMMYFUNCTION("""COMPUTED_VALUE"""),"")</f>
        <v/>
      </c>
      <c r="R6842" s="21" t="str">
        <f>IFERROR(__xludf.DUMMYFUNCTION("""COMPUTED_VALUE"""),"https://drive.google.com/file/d/13kXMP5sNt3CBjYM6aqwKYHdW9ajaLs7j/view?usp=drivesdk")</f>
        <v>https://drive.google.com/file/d/13kXMP5sNt3CBjYM6aqwKYHdW9ajaLs7j/view?usp=drivesdk</v>
      </c>
    </row>
    <row r="6843">
      <c r="A6843" s="15">
        <f>IFERROR(__xludf.DUMMYFUNCTION("""COMPUTED_VALUE"""),45195.0)</f>
        <v>45195</v>
      </c>
      <c r="B6843" s="16" t="str">
        <f>IFERROR(__xludf.DUMMYFUNCTION("""COMPUTED_VALUE"""),"Envia")</f>
        <v>Envia</v>
      </c>
      <c r="C6843" s="15" t="str">
        <f>IFERROR(__xludf.DUMMYFUNCTION("""COMPUTED_VALUE"""),"FUSAGASUGA")</f>
        <v>FUSAGASUGA</v>
      </c>
      <c r="D6843" s="15" t="str">
        <f>IFERROR(__xludf.DUMMYFUNCTION("""COMPUTED_VALUE"""),"BOGOTÁ")</f>
        <v>BOGOTÁ</v>
      </c>
      <c r="E6843" s="15" t="str">
        <f>IFERROR(__xludf.DUMMYFUNCTION("""COMPUTED_VALUE"""),"Evamazzita")</f>
        <v>Evamazzita</v>
      </c>
      <c r="F6843" s="17" t="str">
        <f>IFERROR(__xludf.DUMMYFUNCTION("""COMPUTED_VALUE"""),"CARRERA 39 C # 22 C - 05 / TORRES DE PALMETO ETAPA 2 APTO. 601")</f>
        <v>CARRERA 39 C # 22 C - 05 / TORRES DE PALMETO ETAPA 2 APTO. 601</v>
      </c>
      <c r="G6843" s="15" t="str">
        <f>IFERROR(__xludf.DUMMYFUNCTION("""COMPUTED_VALUE"""),"YESICA TATIANA GALLEGO OCAMPO")</f>
        <v>YESICA TATIANA GALLEGO OCAMPO</v>
      </c>
      <c r="H6843" s="16">
        <f>IFERROR(__xludf.DUMMYFUNCTION("""COMPUTED_VALUE"""),15594.0)</f>
        <v>15594</v>
      </c>
      <c r="I6843" s="18">
        <f>IFERROR(__xludf.DUMMYFUNCTION("""COMPUTED_VALUE"""),1.0)</f>
        <v>1</v>
      </c>
      <c r="J6843" s="18">
        <f>IFERROR(__xludf.DUMMYFUNCTION("""COMPUTED_VALUE"""),1.0)</f>
        <v>1</v>
      </c>
      <c r="K6843" s="18">
        <f>IFERROR(__xludf.DUMMYFUNCTION("""COMPUTED_VALUE"""),1.0)</f>
        <v>1</v>
      </c>
      <c r="L6843" s="17">
        <f>IFERROR(__xludf.DUMMYFUNCTION("""COMPUTED_VALUE"""),3.244761309E9)</f>
        <v>3244761309</v>
      </c>
      <c r="M6843" s="17" t="str">
        <f>IFERROR(__xludf.DUMMYFUNCTION("""COMPUTED_VALUE"""),"#REF!")</f>
        <v>#REF!</v>
      </c>
      <c r="N6843" s="17"/>
      <c r="O6843" s="17"/>
      <c r="P6843" s="17" t="b">
        <f>IFERROR(__xludf.DUMMYFUNCTION("""COMPUTED_VALUE"""),FALSE)</f>
        <v>0</v>
      </c>
      <c r="Q6843" s="20" t="str">
        <f>IFERROR(__xludf.DUMMYFUNCTION("""COMPUTED_VALUE"""),"")</f>
        <v/>
      </c>
      <c r="R6843" s="22" t="str">
        <f>IFERROR(__xludf.DUMMYFUNCTION("""COMPUTED_VALUE"""),"")</f>
        <v/>
      </c>
    </row>
    <row r="6844">
      <c r="A6844" s="15">
        <f>IFERROR(__xludf.DUMMYFUNCTION("""COMPUTED_VALUE"""),45195.0)</f>
        <v>45195</v>
      </c>
      <c r="B6844" s="16" t="str">
        <f>IFERROR(__xludf.DUMMYFUNCTION("""COMPUTED_VALUE"""),"Envia")</f>
        <v>Envia</v>
      </c>
      <c r="C6844" s="15" t="str">
        <f>IFERROR(__xludf.DUMMYFUNCTION("""COMPUTED_VALUE"""),"MANIZALES")</f>
        <v>MANIZALES</v>
      </c>
      <c r="D6844" s="15" t="str">
        <f>IFERROR(__xludf.DUMMYFUNCTION("""COMPUTED_VALUE"""),"BOGOTÁ")</f>
        <v>BOGOTÁ</v>
      </c>
      <c r="E6844" s="15" t="str">
        <f>IFERROR(__xludf.DUMMYFUNCTION("""COMPUTED_VALUE"""),"Ventura Productos Arg")</f>
        <v>Ventura Productos Arg</v>
      </c>
      <c r="F6844" s="17" t="str">
        <f>IFERROR(__xludf.DUMMYFUNCTION("""COMPUTED_VALUE"""),"Cr 28b # 71A 48 / Edificio Manglares apto 502")</f>
        <v>Cr 28b # 71A 48 / Edificio Manglares apto 502</v>
      </c>
      <c r="G6844" s="15" t="str">
        <f>IFERROR(__xludf.DUMMYFUNCTION("""COMPUTED_VALUE"""),"DANIEL FELIPE CASTAÑO")</f>
        <v>DANIEL FELIPE CASTAÑO</v>
      </c>
      <c r="H6844" s="16">
        <f>IFERROR(__xludf.DUMMYFUNCTION("""COMPUTED_VALUE"""),15570.0)</f>
        <v>15570</v>
      </c>
      <c r="I6844" s="18">
        <f>IFERROR(__xludf.DUMMYFUNCTION("""COMPUTED_VALUE"""),22.0)</f>
        <v>22</v>
      </c>
      <c r="J6844" s="18">
        <f>IFERROR(__xludf.DUMMYFUNCTION("""COMPUTED_VALUE"""),17.0)</f>
        <v>17</v>
      </c>
      <c r="K6844" s="18">
        <f>IFERROR(__xludf.DUMMYFUNCTION("""COMPUTED_VALUE"""),8.0)</f>
        <v>8</v>
      </c>
      <c r="L6844" s="17" t="str">
        <f>IFERROR(__xludf.DUMMYFUNCTION("""COMPUTED_VALUE"""),"314 8537507")</f>
        <v>314 8537507</v>
      </c>
      <c r="M6844" s="17" t="str">
        <f>IFERROR(__xludf.DUMMYFUNCTION("""COMPUTED_VALUE"""),"#REF!")</f>
        <v>#REF!</v>
      </c>
      <c r="N6844" s="17"/>
      <c r="O6844" s="17"/>
      <c r="P6844" s="17" t="b">
        <f>IFERROR(__xludf.DUMMYFUNCTION("""COMPUTED_VALUE"""),FALSE)</f>
        <v>0</v>
      </c>
      <c r="Q6844" s="20" t="str">
        <f>IFERROR(__xludf.DUMMYFUNCTION("""COMPUTED_VALUE"""),"")</f>
        <v/>
      </c>
      <c r="R6844" s="21" t="str">
        <f>IFERROR(__xludf.DUMMYFUNCTION("""COMPUTED_VALUE"""),"https://drive.google.com/file/d/1MHXHgJ-CTyK_J3vCCcdHUq3Z7Wnk92TV/view?usp=drivesdk")</f>
        <v>https://drive.google.com/file/d/1MHXHgJ-CTyK_J3vCCcdHUq3Z7Wnk92TV/view?usp=drivesdk</v>
      </c>
    </row>
    <row r="6845">
      <c r="A6845" s="15">
        <f>IFERROR(__xludf.DUMMYFUNCTION("""COMPUTED_VALUE"""),45195.0)</f>
        <v>45195</v>
      </c>
      <c r="B6845" s="16" t="str">
        <f>IFERROR(__xludf.DUMMYFUNCTION("""COMPUTED_VALUE"""),"Envia")</f>
        <v>Envia</v>
      </c>
      <c r="C6845" s="15" t="str">
        <f>IFERROR(__xludf.DUMMYFUNCTION("""COMPUTED_VALUE"""),"MANIZALES")</f>
        <v>MANIZALES</v>
      </c>
      <c r="D6845" s="15" t="str">
        <f>IFERROR(__xludf.DUMMYFUNCTION("""COMPUTED_VALUE"""),"BUCARAMANGA")</f>
        <v>BUCARAMANGA</v>
      </c>
      <c r="E6845" s="15" t="str">
        <f>IFERROR(__xludf.DUMMYFUNCTION("""COMPUTED_VALUE"""),"Yo Como Solito")</f>
        <v>Yo Como Solito</v>
      </c>
      <c r="F6845" s="17" t="str">
        <f>IFERROR(__xludf.DUMMYFUNCTION("""COMPUTED_VALUE"""),"CARRERA 23 # 75A -140 CONJUNTO TORRES DE MILAN, TORRE A, APARTAMENTO 402  / CARRERA 23 # 75A -140 CONJUNTO TORRES DE MILAN, TORRE A, APARTAMENTO 402  / CARRERA 23 # 75A -140 CONJUNTO TORRES DE MILAN, TORRE A, APARTAMENTO 402")</f>
        <v>CARRERA 23 # 75A -140 CONJUNTO TORRES DE MILAN, TORRE A, APARTAMENTO 402  / CARRERA 23 # 75A -140 CONJUNTO TORRES DE MILAN, TORRE A, APARTAMENTO 402  / CARRERA 23 # 75A -140 CONJUNTO TORRES DE MILAN, TORRE A, APARTAMENTO 402</v>
      </c>
      <c r="G6845" s="15" t="str">
        <f>IFERROR(__xludf.DUMMYFUNCTION("""COMPUTED_VALUE"""),"JULIANA HINCAPIE GIRALDO")</f>
        <v>JULIANA HINCAPIE GIRALDO</v>
      </c>
      <c r="H6845" s="16">
        <f>IFERROR(__xludf.DUMMYFUNCTION("""COMPUTED_VALUE"""),15518.0)</f>
        <v>15518</v>
      </c>
      <c r="I6845" s="18">
        <f>IFERROR(__xludf.DUMMYFUNCTION("""COMPUTED_VALUE"""),23.0)</f>
        <v>23</v>
      </c>
      <c r="J6845" s="18">
        <f>IFERROR(__xludf.DUMMYFUNCTION("""COMPUTED_VALUE"""),32.0)</f>
        <v>32</v>
      </c>
      <c r="K6845" s="18">
        <f>IFERROR(__xludf.DUMMYFUNCTION("""COMPUTED_VALUE"""),39.0)</f>
        <v>39</v>
      </c>
      <c r="L6845" s="17">
        <f>IFERROR(__xludf.DUMMYFUNCTION("""COMPUTED_VALUE"""),1.053786453E9)</f>
        <v>1053786453</v>
      </c>
      <c r="M6845" s="17" t="str">
        <f>IFERROR(__xludf.DUMMYFUNCTION("""COMPUTED_VALUE"""),"#REF!")</f>
        <v>#REF!</v>
      </c>
      <c r="N6845" s="17"/>
      <c r="O6845" s="17"/>
      <c r="P6845" s="17" t="b">
        <f>IFERROR(__xludf.DUMMYFUNCTION("""COMPUTED_VALUE"""),FALSE)</f>
        <v>0</v>
      </c>
      <c r="Q6845" s="20" t="str">
        <f>IFERROR(__xludf.DUMMYFUNCTION("""COMPUTED_VALUE"""),"")</f>
        <v/>
      </c>
      <c r="R6845" s="21" t="str">
        <f>IFERROR(__xludf.DUMMYFUNCTION("""COMPUTED_VALUE"""),"https://drive.google.com/file/d/1E4WgVEUNiTSOj8sVRyE5JzhcJbI5z8D9/view?usp=drivesdk")</f>
        <v>https://drive.google.com/file/d/1E4WgVEUNiTSOj8sVRyE5JzhcJbI5z8D9/view?usp=drivesdk</v>
      </c>
    </row>
    <row r="6846">
      <c r="A6846" s="15">
        <f>IFERROR(__xludf.DUMMYFUNCTION("""COMPUTED_VALUE"""),45195.0)</f>
        <v>45195</v>
      </c>
      <c r="B6846" s="16" t="str">
        <f>IFERROR(__xludf.DUMMYFUNCTION("""COMPUTED_VALUE"""),"Envia")</f>
        <v>Envia</v>
      </c>
      <c r="C6846" s="15" t="str">
        <f>IFERROR(__xludf.DUMMYFUNCTION("""COMPUTED_VALUE"""),"MANIZALES")</f>
        <v>MANIZALES</v>
      </c>
      <c r="D6846" s="15" t="str">
        <f>IFERROR(__xludf.DUMMYFUNCTION("""COMPUTED_VALUE"""),"BUCARAMANGA")</f>
        <v>BUCARAMANGA</v>
      </c>
      <c r="E6846" s="15" t="str">
        <f>IFERROR(__xludf.DUMMYFUNCTION("""COMPUTED_VALUE"""),"Yo Como Solito")</f>
        <v>Yo Como Solito</v>
      </c>
      <c r="F6846" s="17" t="str">
        <f>IFERROR(__xludf.DUMMYFUNCTION("""COMPUTED_VALUE"""),"CARRERA 23 #75A -140 CONJUNTO TORRES DE MILAN TORRE A APARTAMENTO 402  / CARRERA 23 #75A -140 CONJUNTO TORRES DE MILAN TORRE A APARTAMENTO 402 / CARRERA 23 #75A -140 CONJUNTO TORRES DE MILAN TORRE A APARTAMENTO 402")</f>
        <v>CARRERA 23 #75A -140 CONJUNTO TORRES DE MILAN TORRE A APARTAMENTO 402  / CARRERA 23 #75A -140 CONJUNTO TORRES DE MILAN TORRE A APARTAMENTO 402 / CARRERA 23 #75A -140 CONJUNTO TORRES DE MILAN TORRE A APARTAMENTO 402</v>
      </c>
      <c r="G6846" s="15" t="str">
        <f>IFERROR(__xludf.DUMMYFUNCTION("""COMPUTED_VALUE"""),"JULIANA HINCAPIÉ GIRALDO")</f>
        <v>JULIANA HINCAPIÉ GIRALDO</v>
      </c>
      <c r="H6846" s="16">
        <f>IFERROR(__xludf.DUMMYFUNCTION("""COMPUTED_VALUE"""),15522.0)</f>
        <v>15522</v>
      </c>
      <c r="I6846" s="18">
        <f>IFERROR(__xludf.DUMMYFUNCTION("""COMPUTED_VALUE"""),33.0)</f>
        <v>33</v>
      </c>
      <c r="J6846" s="18">
        <f>IFERROR(__xludf.DUMMYFUNCTION("""COMPUTED_VALUE"""),26.0)</f>
        <v>26</v>
      </c>
      <c r="K6846" s="18">
        <f>IFERROR(__xludf.DUMMYFUNCTION("""COMPUTED_VALUE"""),36.0)</f>
        <v>36</v>
      </c>
      <c r="L6846" s="17">
        <f>IFERROR(__xludf.DUMMYFUNCTION("""COMPUTED_VALUE"""),3.104373701E9)</f>
        <v>3104373701</v>
      </c>
      <c r="M6846" s="17" t="str">
        <f>IFERROR(__xludf.DUMMYFUNCTION("""COMPUTED_VALUE"""),"#REF!")</f>
        <v>#REF!</v>
      </c>
      <c r="N6846" s="17"/>
      <c r="O6846" s="17"/>
      <c r="P6846" s="17" t="b">
        <f>IFERROR(__xludf.DUMMYFUNCTION("""COMPUTED_VALUE"""),FALSE)</f>
        <v>0</v>
      </c>
      <c r="Q6846" s="20" t="str">
        <f>IFERROR(__xludf.DUMMYFUNCTION("""COMPUTED_VALUE"""),"")</f>
        <v/>
      </c>
      <c r="R6846" s="22" t="str">
        <f>IFERROR(__xludf.DUMMYFUNCTION("""COMPUTED_VALUE"""),"")</f>
        <v/>
      </c>
    </row>
    <row r="6847">
      <c r="A6847" s="15">
        <f>IFERROR(__xludf.DUMMYFUNCTION("""COMPUTED_VALUE"""),45195.0)</f>
        <v>45195</v>
      </c>
      <c r="B6847" s="16" t="str">
        <f>IFERROR(__xludf.DUMMYFUNCTION("""COMPUTED_VALUE"""),"Envia")</f>
        <v>Envia</v>
      </c>
      <c r="C6847" s="15" t="str">
        <f>IFERROR(__xludf.DUMMYFUNCTION("""COMPUTED_VALUE"""),"MANIZALES")</f>
        <v>MANIZALES</v>
      </c>
      <c r="D6847" s="15" t="str">
        <f>IFERROR(__xludf.DUMMYFUNCTION("""COMPUTED_VALUE"""),"MEDELLÍN")</f>
        <v>MEDELLÍN</v>
      </c>
      <c r="E6847" s="15" t="str">
        <f>IFERROR(__xludf.DUMMYFUNCTION("""COMPUTED_VALUE"""),"Todo Bufala")</f>
        <v>Todo Bufala</v>
      </c>
      <c r="F6847" s="17" t="str">
        <f>IFERROR(__xludf.DUMMYFUNCTION("""COMPUTED_VALUE"""),"Calle 66 #23B - 211 / Edifico calle larga, local 5c")</f>
        <v>Calle 66 #23B - 211 / Edifico calle larga, local 5c</v>
      </c>
      <c r="G6847" s="15" t="str">
        <f>IFERROR(__xludf.DUMMYFUNCTION("""COMPUTED_VALUE"""),"Sebastian Perez Pineda")</f>
        <v>Sebastian Perez Pineda</v>
      </c>
      <c r="H6847" s="16">
        <f>IFERROR(__xludf.DUMMYFUNCTION("""COMPUTED_VALUE"""),15559.0)</f>
        <v>15559</v>
      </c>
      <c r="I6847" s="18">
        <f>IFERROR(__xludf.DUMMYFUNCTION("""COMPUTED_VALUE"""),20.0)</f>
        <v>20</v>
      </c>
      <c r="J6847" s="18">
        <f>IFERROR(__xludf.DUMMYFUNCTION("""COMPUTED_VALUE"""),30.0)</f>
        <v>30</v>
      </c>
      <c r="K6847" s="18">
        <f>IFERROR(__xludf.DUMMYFUNCTION("""COMPUTED_VALUE"""),40.0)</f>
        <v>40</v>
      </c>
      <c r="L6847" s="17">
        <f>IFERROR(__xludf.DUMMYFUNCTION("""COMPUTED_VALUE"""),3.106974621E9)</f>
        <v>3106974621</v>
      </c>
      <c r="M6847" s="17" t="str">
        <f>IFERROR(__xludf.DUMMYFUNCTION("""COMPUTED_VALUE"""),"#REF!")</f>
        <v>#REF!</v>
      </c>
      <c r="N6847" s="17"/>
      <c r="O6847" s="17"/>
      <c r="P6847" s="17" t="b">
        <f>IFERROR(__xludf.DUMMYFUNCTION("""COMPUTED_VALUE"""),FALSE)</f>
        <v>0</v>
      </c>
      <c r="Q6847" s="20" t="str">
        <f>IFERROR(__xludf.DUMMYFUNCTION("""COMPUTED_VALUE"""),"")</f>
        <v/>
      </c>
      <c r="R6847" s="22" t="str">
        <f>IFERROR(__xludf.DUMMYFUNCTION("""COMPUTED_VALUE"""),"")</f>
        <v/>
      </c>
    </row>
    <row r="6848">
      <c r="A6848" s="15">
        <f>IFERROR(__xludf.DUMMYFUNCTION("""COMPUTED_VALUE"""),45195.0)</f>
        <v>45195</v>
      </c>
      <c r="B6848" s="16" t="str">
        <f>IFERROR(__xludf.DUMMYFUNCTION("""COMPUTED_VALUE"""),"Envia")</f>
        <v>Envia</v>
      </c>
      <c r="C6848" s="15" t="str">
        <f>IFERROR(__xludf.DUMMYFUNCTION("""COMPUTED_VALUE"""),"MEDELLÍN")</f>
        <v>MEDELLÍN</v>
      </c>
      <c r="D6848" s="15" t="str">
        <f>IFERROR(__xludf.DUMMYFUNCTION("""COMPUTED_VALUE"""),"BOGOTÁ")</f>
        <v>BOGOTÁ</v>
      </c>
      <c r="E6848" s="15" t="str">
        <f>IFERROR(__xludf.DUMMYFUNCTION("""COMPUTED_VALUE"""),"50 Gr Alfajores")</f>
        <v>50 Gr Alfajores</v>
      </c>
      <c r="F6848" s="17" t="str">
        <f>IFERROR(__xludf.DUMMYFUNCTION("""COMPUTED_VALUE"""),"Calle 40a No. 81a - 73 /  apto 30 / Medellín")</f>
        <v>Calle 40a No. 81a - 73 /  apto 30 / Medellín</v>
      </c>
      <c r="G6848" s="15" t="str">
        <f>IFERROR(__xludf.DUMMYFUNCTION("""COMPUTED_VALUE"""),"Esteban González")</f>
        <v>Esteban González</v>
      </c>
      <c r="H6848" s="16">
        <f>IFERROR(__xludf.DUMMYFUNCTION("""COMPUTED_VALUE"""),15634.0)</f>
        <v>15634</v>
      </c>
      <c r="I6848" s="18">
        <f>IFERROR(__xludf.DUMMYFUNCTION("""COMPUTED_VALUE"""),5.0)</f>
        <v>5</v>
      </c>
      <c r="J6848" s="18">
        <f>IFERROR(__xludf.DUMMYFUNCTION("""COMPUTED_VALUE"""),13.0)</f>
        <v>13</v>
      </c>
      <c r="K6848" s="18">
        <f>IFERROR(__xludf.DUMMYFUNCTION("""COMPUTED_VALUE"""),18.0)</f>
        <v>18</v>
      </c>
      <c r="L6848" s="17">
        <f>IFERROR(__xludf.DUMMYFUNCTION("""COMPUTED_VALUE"""),3.052227188E9)</f>
        <v>3052227188</v>
      </c>
      <c r="M6848" s="17" t="str">
        <f>IFERROR(__xludf.DUMMYFUNCTION("""COMPUTED_VALUE"""),"#REF!")</f>
        <v>#REF!</v>
      </c>
      <c r="N6848" s="17"/>
      <c r="O6848" s="17"/>
      <c r="P6848" s="17" t="b">
        <f>IFERROR(__xludf.DUMMYFUNCTION("""COMPUTED_VALUE"""),FALSE)</f>
        <v>0</v>
      </c>
      <c r="Q6848" s="20" t="str">
        <f>IFERROR(__xludf.DUMMYFUNCTION("""COMPUTED_VALUE"""),"")</f>
        <v/>
      </c>
      <c r="R6848" s="22" t="str">
        <f>IFERROR(__xludf.DUMMYFUNCTION("""COMPUTED_VALUE"""),"")</f>
        <v/>
      </c>
    </row>
    <row r="6849">
      <c r="A6849" s="15">
        <f>IFERROR(__xludf.DUMMYFUNCTION("""COMPUTED_VALUE"""),45195.0)</f>
        <v>45195</v>
      </c>
      <c r="B6849" s="16" t="str">
        <f>IFERROR(__xludf.DUMMYFUNCTION("""COMPUTED_VALUE"""),"Envia")</f>
        <v>Envia</v>
      </c>
      <c r="C6849" s="15" t="str">
        <f>IFERROR(__xludf.DUMMYFUNCTION("""COMPUTED_VALUE"""),"MEDELLÍN")</f>
        <v>MEDELLÍN</v>
      </c>
      <c r="D6849" s="15" t="str">
        <f>IFERROR(__xludf.DUMMYFUNCTION("""COMPUTED_VALUE"""),"BOGOTÁ")</f>
        <v>BOGOTÁ</v>
      </c>
      <c r="E6849" s="15" t="str">
        <f>IFERROR(__xludf.DUMMYFUNCTION("""COMPUTED_VALUE"""),"Evamazzita")</f>
        <v>Evamazzita</v>
      </c>
      <c r="F6849" s="17" t="str">
        <f>IFERROR(__xludf.DUMMYFUNCTION("""COMPUTED_VALUE"""),"Calle 77a # 88-35 / casa 36 urbanización villa fernanda  Barrio robledo")</f>
        <v>Calle 77a # 88-35 / casa 36 urbanización villa fernanda  Barrio robledo</v>
      </c>
      <c r="G6849" s="15" t="str">
        <f>IFERROR(__xludf.DUMMYFUNCTION("""COMPUTED_VALUE"""),"BLANCA INES GOMEZ ALVAREZ")</f>
        <v>BLANCA INES GOMEZ ALVAREZ</v>
      </c>
      <c r="H6849" s="16">
        <f>IFERROR(__xludf.DUMMYFUNCTION("""COMPUTED_VALUE"""),15606.0)</f>
        <v>15606</v>
      </c>
      <c r="I6849" s="18">
        <f>IFERROR(__xludf.DUMMYFUNCTION("""COMPUTED_VALUE"""),1.0)</f>
        <v>1</v>
      </c>
      <c r="J6849" s="18">
        <f>IFERROR(__xludf.DUMMYFUNCTION("""COMPUTED_VALUE"""),1.0)</f>
        <v>1</v>
      </c>
      <c r="K6849" s="18">
        <f>IFERROR(__xludf.DUMMYFUNCTION("""COMPUTED_VALUE"""),1.0)</f>
        <v>1</v>
      </c>
      <c r="L6849" s="17">
        <f>IFERROR(__xludf.DUMMYFUNCTION("""COMPUTED_VALUE"""),3.137121846E9)</f>
        <v>3137121846</v>
      </c>
      <c r="M6849" s="17" t="str">
        <f>IFERROR(__xludf.DUMMYFUNCTION("""COMPUTED_VALUE"""),"#REF!")</f>
        <v>#REF!</v>
      </c>
      <c r="N6849" s="17"/>
      <c r="O6849" s="17"/>
      <c r="P6849" s="17" t="b">
        <f>IFERROR(__xludf.DUMMYFUNCTION("""COMPUTED_VALUE"""),FALSE)</f>
        <v>0</v>
      </c>
      <c r="Q6849" s="20" t="str">
        <f>IFERROR(__xludf.DUMMYFUNCTION("""COMPUTED_VALUE"""),"")</f>
        <v/>
      </c>
      <c r="R6849" s="21" t="str">
        <f>IFERROR(__xludf.DUMMYFUNCTION("""COMPUTED_VALUE"""),"https://drive.google.com/file/d/1-M2zfsYEjiifH2Vpe4mEWUsLMGg5zS0j/view?usp=drivesdk")</f>
        <v>https://drive.google.com/file/d/1-M2zfsYEjiifH2Vpe4mEWUsLMGg5zS0j/view?usp=drivesdk</v>
      </c>
    </row>
    <row r="6850">
      <c r="A6850" s="15">
        <f>IFERROR(__xludf.DUMMYFUNCTION("""COMPUTED_VALUE"""),45195.0)</f>
        <v>45195</v>
      </c>
      <c r="B6850" s="16" t="str">
        <f>IFERROR(__xludf.DUMMYFUNCTION("""COMPUTED_VALUE"""),"Envia")</f>
        <v>Envia</v>
      </c>
      <c r="C6850" s="15" t="str">
        <f>IFERROR(__xludf.DUMMYFUNCTION("""COMPUTED_VALUE"""),"MEDELLÍN")</f>
        <v>MEDELLÍN</v>
      </c>
      <c r="D6850" s="15" t="str">
        <f>IFERROR(__xludf.DUMMYFUNCTION("""COMPUTED_VALUE"""),"BOGOTÁ")</f>
        <v>BOGOTÁ</v>
      </c>
      <c r="E6850" s="15" t="str">
        <f>IFERROR(__xludf.DUMMYFUNCTION("""COMPUTED_VALUE"""),"FamiliaReal S.A.S")</f>
        <v>FamiliaReal S.A.S</v>
      </c>
      <c r="F6850" s="17" t="str">
        <f>IFERROR(__xludf.DUMMYFUNCTION("""COMPUTED_VALUE"""),"Carrera 98 # 41- 72 apto 302 barrio San Javier.")</f>
        <v>Carrera 98 # 41- 72 apto 302 barrio San Javier.</v>
      </c>
      <c r="G6850" s="15" t="str">
        <f>IFERROR(__xludf.DUMMYFUNCTION("""COMPUTED_VALUE"""),"Johana Zapata")</f>
        <v>Johana Zapata</v>
      </c>
      <c r="H6850" s="16">
        <f>IFERROR(__xludf.DUMMYFUNCTION("""COMPUTED_VALUE"""),15545.0)</f>
        <v>15545</v>
      </c>
      <c r="I6850" s="18">
        <f>IFERROR(__xludf.DUMMYFUNCTION("""COMPUTED_VALUE"""),26.0)</f>
        <v>26</v>
      </c>
      <c r="J6850" s="18">
        <f>IFERROR(__xludf.DUMMYFUNCTION("""COMPUTED_VALUE"""),45115.0)</f>
        <v>45115</v>
      </c>
      <c r="K6850" s="18">
        <f>IFERROR(__xludf.DUMMYFUNCTION("""COMPUTED_VALUE"""),45115.0)</f>
        <v>45115</v>
      </c>
      <c r="L6850" s="17" t="str">
        <f>IFERROR(__xludf.DUMMYFUNCTION("""COMPUTED_VALUE"""),"300 6262947")</f>
        <v>300 6262947</v>
      </c>
      <c r="M6850" s="17" t="str">
        <f>IFERROR(__xludf.DUMMYFUNCTION("""COMPUTED_VALUE"""),"#REF!")</f>
        <v>#REF!</v>
      </c>
      <c r="N6850" s="17"/>
      <c r="O6850" s="17"/>
      <c r="P6850" s="17" t="b">
        <f>IFERROR(__xludf.DUMMYFUNCTION("""COMPUTED_VALUE"""),FALSE)</f>
        <v>0</v>
      </c>
      <c r="Q6850" s="20" t="str">
        <f>IFERROR(__xludf.DUMMYFUNCTION("""COMPUTED_VALUE"""),"")</f>
        <v/>
      </c>
      <c r="R6850" s="22" t="str">
        <f>IFERROR(__xludf.DUMMYFUNCTION("""COMPUTED_VALUE"""),"")</f>
        <v/>
      </c>
    </row>
    <row r="6851">
      <c r="A6851" s="15">
        <f>IFERROR(__xludf.DUMMYFUNCTION("""COMPUTED_VALUE"""),45195.0)</f>
        <v>45195</v>
      </c>
      <c r="B6851" s="16" t="str">
        <f>IFERROR(__xludf.DUMMYFUNCTION("""COMPUTED_VALUE"""),"Envia")</f>
        <v>Envia</v>
      </c>
      <c r="C6851" s="15" t="str">
        <f>IFERROR(__xludf.DUMMYFUNCTION("""COMPUTED_VALUE"""),"MEDELLÍN")</f>
        <v>MEDELLÍN</v>
      </c>
      <c r="D6851" s="15" t="str">
        <f>IFERROR(__xludf.DUMMYFUNCTION("""COMPUTED_VALUE"""),"BOGOTÁ")</f>
        <v>BOGOTÁ</v>
      </c>
      <c r="E6851" s="15" t="str">
        <f>IFERROR(__xludf.DUMMYFUNCTION("""COMPUTED_VALUE"""),"FamiliaReal S.A.S")</f>
        <v>FamiliaReal S.A.S</v>
      </c>
      <c r="F6851" s="17" t="str">
        <f>IFERROR(__xludf.DUMMYFUNCTION("""COMPUTED_VALUE"""),"Crr 89#92 c 119 - Brisas de robledo - Manzana B, bloque 21 ap 541")</f>
        <v>Crr 89#92 c 119 - Brisas de robledo - Manzana B, bloque 21 ap 541</v>
      </c>
      <c r="G6851" s="15" t="str">
        <f>IFERROR(__xludf.DUMMYFUNCTION("""COMPUTED_VALUE"""),"Santiago Arrubla Ocampo")</f>
        <v>Santiago Arrubla Ocampo</v>
      </c>
      <c r="H6851" s="16">
        <f>IFERROR(__xludf.DUMMYFUNCTION("""COMPUTED_VALUE"""),15541.0)</f>
        <v>15541</v>
      </c>
      <c r="I6851" s="18">
        <f>IFERROR(__xludf.DUMMYFUNCTION("""COMPUTED_VALUE"""),26.0)</f>
        <v>26</v>
      </c>
      <c r="J6851" s="18">
        <f>IFERROR(__xludf.DUMMYFUNCTION("""COMPUTED_VALUE"""),45115.0)</f>
        <v>45115</v>
      </c>
      <c r="K6851" s="18">
        <f>IFERROR(__xludf.DUMMYFUNCTION("""COMPUTED_VALUE"""),45115.0)</f>
        <v>45115</v>
      </c>
      <c r="L6851" s="17">
        <f>IFERROR(__xludf.DUMMYFUNCTION("""COMPUTED_VALUE"""),3.043297835E9)</f>
        <v>3043297835</v>
      </c>
      <c r="M6851" s="17" t="str">
        <f>IFERROR(__xludf.DUMMYFUNCTION("""COMPUTED_VALUE"""),"#REF!")</f>
        <v>#REF!</v>
      </c>
      <c r="N6851" s="17"/>
      <c r="O6851" s="17"/>
      <c r="P6851" s="17" t="b">
        <f>IFERROR(__xludf.DUMMYFUNCTION("""COMPUTED_VALUE"""),FALSE)</f>
        <v>0</v>
      </c>
      <c r="Q6851" s="20" t="str">
        <f>IFERROR(__xludf.DUMMYFUNCTION("""COMPUTED_VALUE"""),"")</f>
        <v/>
      </c>
      <c r="R6851" s="21" t="str">
        <f>IFERROR(__xludf.DUMMYFUNCTION("""COMPUTED_VALUE"""),"https://drive.google.com/file/d/1Mq5oK_geBIUPIzsfwD0i2E54nLrUoEYE/view?usp=drivesdk")</f>
        <v>https://drive.google.com/file/d/1Mq5oK_geBIUPIzsfwD0i2E54nLrUoEYE/view?usp=drivesdk</v>
      </c>
    </row>
    <row r="6852">
      <c r="A6852" s="15">
        <f>IFERROR(__xludf.DUMMYFUNCTION("""COMPUTED_VALUE"""),45195.0)</f>
        <v>45195</v>
      </c>
      <c r="B6852" s="16" t="str">
        <f>IFERROR(__xludf.DUMMYFUNCTION("""COMPUTED_VALUE"""),"Envia")</f>
        <v>Envia</v>
      </c>
      <c r="C6852" s="15" t="str">
        <f>IFERROR(__xludf.DUMMYFUNCTION("""COMPUTED_VALUE"""),"MEDELLÍN")</f>
        <v>MEDELLÍN</v>
      </c>
      <c r="D6852" s="15" t="str">
        <f>IFERROR(__xludf.DUMMYFUNCTION("""COMPUTED_VALUE"""),"BOGOTÁ")</f>
        <v>BOGOTÁ</v>
      </c>
      <c r="E6852" s="15" t="str">
        <f>IFERROR(__xludf.DUMMYFUNCTION("""COMPUTED_VALUE"""),"Ins. Alimento Vital")</f>
        <v>Ins. Alimento Vital</v>
      </c>
      <c r="F6852" s="17" t="str">
        <f>IFERROR(__xludf.DUMMYFUNCTION("""COMPUTED_VALUE"""),"CR 44 26 27 / BODEGA / POBLADO")</f>
        <v>CR 44 26 27 / BODEGA / POBLADO</v>
      </c>
      <c r="G6852" s="15" t="str">
        <f>IFERROR(__xludf.DUMMYFUNCTION("""COMPUTED_VALUE"""),"VELOCITY MEDELLIN")</f>
        <v>VELOCITY MEDELLIN</v>
      </c>
      <c r="H6852" s="16">
        <f>IFERROR(__xludf.DUMMYFUNCTION("""COMPUTED_VALUE"""),15566.0)</f>
        <v>15566</v>
      </c>
      <c r="I6852" s="18">
        <f>IFERROR(__xludf.DUMMYFUNCTION("""COMPUTED_VALUE"""),1.0)</f>
        <v>1</v>
      </c>
      <c r="J6852" s="18">
        <f>IFERROR(__xludf.DUMMYFUNCTION("""COMPUTED_VALUE"""),1.0)</f>
        <v>1</v>
      </c>
      <c r="K6852" s="18">
        <f>IFERROR(__xludf.DUMMYFUNCTION("""COMPUTED_VALUE"""),1.0)</f>
        <v>1</v>
      </c>
      <c r="L6852" s="17">
        <f>IFERROR(__xludf.DUMMYFUNCTION("""COMPUTED_VALUE"""),3.214683372E9)</f>
        <v>3214683372</v>
      </c>
      <c r="M6852" s="17" t="str">
        <f>IFERROR(__xludf.DUMMYFUNCTION("""COMPUTED_VALUE"""),"#REF!")</f>
        <v>#REF!</v>
      </c>
      <c r="N6852" s="17"/>
      <c r="O6852" s="17"/>
      <c r="P6852" s="17" t="b">
        <f>IFERROR(__xludf.DUMMYFUNCTION("""COMPUTED_VALUE"""),TRUE)</f>
        <v>1</v>
      </c>
      <c r="Q6852" s="20">
        <f>IFERROR(__xludf.DUMMYFUNCTION("""COMPUTED_VALUE"""),45195.45508581019)</f>
        <v>45195.45509</v>
      </c>
      <c r="R6852" s="22" t="str">
        <f>IFERROR(__xludf.DUMMYFUNCTION("""COMPUTED_VALUE"""),"")</f>
        <v/>
      </c>
    </row>
    <row r="6853">
      <c r="A6853" s="15">
        <f>IFERROR(__xludf.DUMMYFUNCTION("""COMPUTED_VALUE"""),45195.0)</f>
        <v>45195</v>
      </c>
      <c r="B6853" s="16" t="str">
        <f>IFERROR(__xludf.DUMMYFUNCTION("""COMPUTED_VALUE"""),"Envia")</f>
        <v>Envia</v>
      </c>
      <c r="C6853" s="15" t="str">
        <f>IFERROR(__xludf.DUMMYFUNCTION("""COMPUTED_VALUE"""),"MEDELLÍN")</f>
        <v>MEDELLÍN</v>
      </c>
      <c r="D6853" s="15" t="str">
        <f>IFERROR(__xludf.DUMMYFUNCTION("""COMPUTED_VALUE"""),"BOGOTÁ")</f>
        <v>BOGOTÁ</v>
      </c>
      <c r="E6853" s="15" t="str">
        <f>IFERROR(__xludf.DUMMYFUNCTION("""COMPUTED_VALUE"""),"MAI ALIMENTOS S.A.S")</f>
        <v>MAI ALIMENTOS S.A.S</v>
      </c>
      <c r="F6853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6853" s="15" t="str">
        <f>IFERROR(__xludf.DUMMYFUNCTION("""COMPUTED_VALUE"""),"Novaventas")</f>
        <v>Novaventas</v>
      </c>
      <c r="H6853" s="16">
        <f>IFERROR(__xludf.DUMMYFUNCTION("""COMPUTED_VALUE"""),15629.0)</f>
        <v>15629</v>
      </c>
      <c r="I6853" s="18">
        <f>IFERROR(__xludf.DUMMYFUNCTION("""COMPUTED_VALUE"""),35.0)</f>
        <v>35</v>
      </c>
      <c r="J6853" s="18">
        <f>IFERROR(__xludf.DUMMYFUNCTION("""COMPUTED_VALUE"""),17.0)</f>
        <v>17</v>
      </c>
      <c r="K6853" s="18">
        <f>IFERROR(__xludf.DUMMYFUNCTION("""COMPUTED_VALUE"""),13.0)</f>
        <v>13</v>
      </c>
      <c r="L6853" s="17"/>
      <c r="M6853" s="17" t="str">
        <f>IFERROR(__xludf.DUMMYFUNCTION("""COMPUTED_VALUE"""),"#REF!")</f>
        <v>#REF!</v>
      </c>
      <c r="N6853" s="17"/>
      <c r="O6853" s="17"/>
      <c r="P6853" s="17" t="b">
        <f>IFERROR(__xludf.DUMMYFUNCTION("""COMPUTED_VALUE"""),TRUE)</f>
        <v>1</v>
      </c>
      <c r="Q6853" s="20">
        <f>IFERROR(__xludf.DUMMYFUNCTION("""COMPUTED_VALUE"""),45195.455018796296)</f>
        <v>45195.45502</v>
      </c>
      <c r="R6853" s="22" t="str">
        <f>IFERROR(__xludf.DUMMYFUNCTION("""COMPUTED_VALUE"""),"")</f>
        <v/>
      </c>
    </row>
    <row r="6854">
      <c r="A6854" s="15">
        <f>IFERROR(__xludf.DUMMYFUNCTION("""COMPUTED_VALUE"""),45195.0)</f>
        <v>45195</v>
      </c>
      <c r="B6854" s="16" t="str">
        <f>IFERROR(__xludf.DUMMYFUNCTION("""COMPUTED_VALUE"""),"Envia")</f>
        <v>Envia</v>
      </c>
      <c r="C6854" s="15" t="str">
        <f>IFERROR(__xludf.DUMMYFUNCTION("""COMPUTED_VALUE"""),"MEDELLÍN")</f>
        <v>MEDELLÍN</v>
      </c>
      <c r="D6854" s="15" t="str">
        <f>IFERROR(__xludf.DUMMYFUNCTION("""COMPUTED_VALUE"""),"BOGOTÁ")</f>
        <v>BOGOTÁ</v>
      </c>
      <c r="E6854" s="15" t="str">
        <f>IFERROR(__xludf.DUMMYFUNCTION("""COMPUTED_VALUE"""),"Mochi")</f>
        <v>Mochi</v>
      </c>
      <c r="F6854" s="17" t="str">
        <f>IFERROR(__xludf.DUMMYFUNCTION("""COMPUTED_VALUE"""),"Cra 48# 32bsur 139 / Centro comercial  / Envigado")</f>
        <v>Cra 48# 32bsur 139 / Centro comercial  / Envigado</v>
      </c>
      <c r="G6854" s="15" t="str">
        <f>IFERROR(__xludf.DUMMYFUNCTION("""COMPUTED_VALUE"""),"Tania vellejon")</f>
        <v>Tania vellejon</v>
      </c>
      <c r="H6854" s="16">
        <f>IFERROR(__xludf.DUMMYFUNCTION("""COMPUTED_VALUE"""),15627.0)</f>
        <v>15627</v>
      </c>
      <c r="I6854" s="18">
        <f>IFERROR(__xludf.DUMMYFUNCTION("""COMPUTED_VALUE"""),55.0)</f>
        <v>55</v>
      </c>
      <c r="J6854" s="18">
        <f>IFERROR(__xludf.DUMMYFUNCTION("""COMPUTED_VALUE"""),44.0)</f>
        <v>44</v>
      </c>
      <c r="K6854" s="18" t="str">
        <f>IFERROR(__xludf.DUMMYFUNCTION("""COMPUTED_VALUE"""),"52.5")</f>
        <v>52.5</v>
      </c>
      <c r="L6854" s="17">
        <f>IFERROR(__xludf.DUMMYFUNCTION("""COMPUTED_VALUE"""),3.142587995E9)</f>
        <v>3142587995</v>
      </c>
      <c r="M6854" s="17" t="str">
        <f>IFERROR(__xludf.DUMMYFUNCTION("""COMPUTED_VALUE"""),"#REF!")</f>
        <v>#REF!</v>
      </c>
      <c r="N6854" s="17"/>
      <c r="O6854" s="17"/>
      <c r="P6854" s="17" t="b">
        <f>IFERROR(__xludf.DUMMYFUNCTION("""COMPUTED_VALUE"""),TRUE)</f>
        <v>1</v>
      </c>
      <c r="Q6854" s="20">
        <f>IFERROR(__xludf.DUMMYFUNCTION("""COMPUTED_VALUE"""),45195.62781230324)</f>
        <v>45195.62781</v>
      </c>
      <c r="R6854" s="22" t="str">
        <f>IFERROR(__xludf.DUMMYFUNCTION("""COMPUTED_VALUE"""),"")</f>
        <v/>
      </c>
    </row>
    <row r="6855">
      <c r="A6855" s="17" t="str">
        <f>IFERROR(__xludf.DUMMYFUNCTION("""COMPUTED_VALUE"""),"")</f>
        <v/>
      </c>
      <c r="B6855" s="17" t="str">
        <f>IFERROR(__xludf.DUMMYFUNCTION("""COMPUTED_VALUE"""),"")</f>
        <v/>
      </c>
      <c r="C6855" s="17" t="str">
        <f>IFERROR(__xludf.DUMMYFUNCTION("""COMPUTED_VALUE"""),"")</f>
        <v/>
      </c>
      <c r="D6855" s="17" t="str">
        <f>IFERROR(__xludf.DUMMYFUNCTION("""COMPUTED_VALUE"""),"")</f>
        <v/>
      </c>
      <c r="E6855" s="17" t="str">
        <f>IFERROR(__xludf.DUMMYFUNCTION("""COMPUTED_VALUE"""),"")</f>
        <v/>
      </c>
      <c r="F6855" s="17" t="str">
        <f>IFERROR(__xludf.DUMMYFUNCTION("""COMPUTED_VALUE"""),"")</f>
        <v/>
      </c>
      <c r="G6855" s="17" t="str">
        <f>IFERROR(__xludf.DUMMYFUNCTION("""COMPUTED_VALUE"""),"")</f>
        <v/>
      </c>
      <c r="H6855" s="17" t="str">
        <f>IFERROR(__xludf.DUMMYFUNCTION("""COMPUTED_VALUE"""),"")</f>
        <v/>
      </c>
      <c r="I6855" s="17" t="str">
        <f>IFERROR(__xludf.DUMMYFUNCTION("""COMPUTED_VALUE"""),"")</f>
        <v/>
      </c>
      <c r="J6855" s="17" t="str">
        <f>IFERROR(__xludf.DUMMYFUNCTION("""COMPUTED_VALUE"""),"")</f>
        <v/>
      </c>
      <c r="K6855" s="17" t="str">
        <f>IFERROR(__xludf.DUMMYFUNCTION("""COMPUTED_VALUE"""),"")</f>
        <v/>
      </c>
      <c r="L6855" s="17" t="str">
        <f>IFERROR(__xludf.DUMMYFUNCTION("""COMPUTED_VALUE"""),"")</f>
        <v/>
      </c>
      <c r="M6855" s="17" t="str">
        <f>IFERROR(__xludf.DUMMYFUNCTION("""COMPUTED_VALUE"""),"")</f>
        <v/>
      </c>
      <c r="N6855" s="17" t="str">
        <f>IFERROR(__xludf.DUMMYFUNCTION("""COMPUTED_VALUE"""),"")</f>
        <v/>
      </c>
      <c r="O6855" s="17" t="str">
        <f>IFERROR(__xludf.DUMMYFUNCTION("""COMPUTED_VALUE"""),"")</f>
        <v/>
      </c>
      <c r="P6855" s="17" t="str">
        <f>IFERROR(__xludf.DUMMYFUNCTION("""COMPUTED_VALUE"""),"")</f>
        <v/>
      </c>
      <c r="Q6855" s="17" t="str">
        <f>IFERROR(__xludf.DUMMYFUNCTION("""COMPUTED_VALUE"""),"")</f>
        <v/>
      </c>
      <c r="R6855" s="17" t="str">
        <f>IFERROR(__xludf.DUMMYFUNCTION("""COMPUTED_VALUE"""),"")</f>
        <v/>
      </c>
    </row>
    <row r="6856">
      <c r="A6856" s="15">
        <f>IFERROR(__xludf.DUMMYFUNCTION("""COMPUTED_VALUE"""),45195.0)</f>
        <v>45195</v>
      </c>
      <c r="B6856" s="16" t="str">
        <f>IFERROR(__xludf.DUMMYFUNCTION("""COMPUTED_VALUE"""),"Ivan Andres Romero Herrera")</f>
        <v>Ivan Andres Romero Herrera</v>
      </c>
      <c r="C6856" s="15" t="str">
        <f>IFERROR(__xludf.DUMMYFUNCTION("""COMPUTED_VALUE"""),"BOGOTÁ")</f>
        <v>BOGOTÁ</v>
      </c>
      <c r="D6856" s="15" t="str">
        <f>IFERROR(__xludf.DUMMYFUNCTION("""COMPUTED_VALUE"""),"MEDELLÍN")</f>
        <v>MEDELLÍN</v>
      </c>
      <c r="E6856" s="15" t="str">
        <f>IFERROR(__xludf.DUMMYFUNCTION("""COMPUTED_VALUE"""),"Puro Verde")</f>
        <v>Puro Verde</v>
      </c>
      <c r="F6856" s="17" t="str">
        <f>IFERROR(__xludf.DUMMYFUNCTION("""COMPUTED_VALUE"""),"Ca 23 No. 72a - 30 / Casa Rosada")</f>
        <v>Ca 23 No. 72a - 30 / Casa Rosada</v>
      </c>
      <c r="G6856" s="15" t="str">
        <f>IFERROR(__xludf.DUMMYFUNCTION("""COMPUTED_VALUE"""),"La Mera Cocina Mexicana")</f>
        <v>La Mera Cocina Mexicana</v>
      </c>
      <c r="H6856" s="16">
        <f>IFERROR(__xludf.DUMMYFUNCTION("""COMPUTED_VALUE"""),15633.0)</f>
        <v>15633</v>
      </c>
      <c r="I6856" s="18">
        <f>IFERROR(__xludf.DUMMYFUNCTION("""COMPUTED_VALUE"""),55.0)</f>
        <v>55</v>
      </c>
      <c r="J6856" s="18">
        <f>IFERROR(__xludf.DUMMYFUNCTION("""COMPUTED_VALUE"""),45.0)</f>
        <v>45</v>
      </c>
      <c r="K6856" s="18" t="str">
        <f>IFERROR(__xludf.DUMMYFUNCTION("""COMPUTED_VALUE"""),"52.5")</f>
        <v>52.5</v>
      </c>
      <c r="L6856" s="17">
        <f>IFERROR(__xludf.DUMMYFUNCTION("""COMPUTED_VALUE"""),3.143345578E9)</f>
        <v>3143345578</v>
      </c>
      <c r="M6856" s="17" t="str">
        <f>IFERROR(__xludf.DUMMYFUNCTION("""COMPUTED_VALUE"""),"#REF!")</f>
        <v>#REF!</v>
      </c>
      <c r="N6856" s="17"/>
      <c r="O6856" s="17"/>
      <c r="P6856" s="17" t="b">
        <f>IFERROR(__xludf.DUMMYFUNCTION("""COMPUTED_VALUE"""),TRUE)</f>
        <v>1</v>
      </c>
      <c r="Q6856" s="20">
        <f>IFERROR(__xludf.DUMMYFUNCTION("""COMPUTED_VALUE"""),45195.45508581019)</f>
        <v>45195.45509</v>
      </c>
      <c r="R6856" s="22" t="str">
        <f>IFERROR(__xludf.DUMMYFUNCTION("""COMPUTED_VALUE"""),"")</f>
        <v/>
      </c>
    </row>
    <row r="6857">
      <c r="A6857" s="15">
        <f>IFERROR(__xludf.DUMMYFUNCTION("""COMPUTED_VALUE"""),45195.0)</f>
        <v>45195</v>
      </c>
      <c r="B6857" s="16" t="str">
        <f>IFERROR(__xludf.DUMMYFUNCTION("""COMPUTED_VALUE"""),"Ivan Andres Romero Herrera")</f>
        <v>Ivan Andres Romero Herrera</v>
      </c>
      <c r="C6857" s="15" t="str">
        <f>IFERROR(__xludf.DUMMYFUNCTION("""COMPUTED_VALUE"""),"BOGOTÁ")</f>
        <v>BOGOTÁ</v>
      </c>
      <c r="D6857" s="15" t="str">
        <f>IFERROR(__xludf.DUMMYFUNCTION("""COMPUTED_VALUE"""),"MEDELLÍN")</f>
        <v>MEDELLÍN</v>
      </c>
      <c r="E6857" s="15" t="str">
        <f>IFERROR(__xludf.DUMMYFUNCTION("""COMPUTED_VALUE"""),"Puro Verde")</f>
        <v>Puro Verde</v>
      </c>
      <c r="F6857" s="17" t="str">
        <f>IFERROR(__xludf.DUMMYFUNCTION("""COMPUTED_VALUE"""),"CR 16A #77-23.  / LOCAL 4 / BARRIO EL LAGO")</f>
        <v>CR 16A #77-23.  / LOCAL 4 / BARRIO EL LAGO</v>
      </c>
      <c r="G6857" s="15" t="str">
        <f>IFERROR(__xludf.DUMMYFUNCTION("""COMPUTED_VALUE"""),"DANDO CUERDA")</f>
        <v>DANDO CUERDA</v>
      </c>
      <c r="H6857" s="16">
        <f>IFERROR(__xludf.DUMMYFUNCTION("""COMPUTED_VALUE"""),15546.0)</f>
        <v>15546</v>
      </c>
      <c r="I6857" s="18">
        <f>IFERROR(__xludf.DUMMYFUNCTION("""COMPUTED_VALUE"""),55.0)</f>
        <v>55</v>
      </c>
      <c r="J6857" s="18">
        <f>IFERROR(__xludf.DUMMYFUNCTION("""COMPUTED_VALUE"""),45.0)</f>
        <v>45</v>
      </c>
      <c r="K6857" s="18" t="str">
        <f>IFERROR(__xludf.DUMMYFUNCTION("""COMPUTED_VALUE"""),"52.5")</f>
        <v>52.5</v>
      </c>
      <c r="L6857" s="17">
        <f>IFERROR(__xludf.DUMMYFUNCTION("""COMPUTED_VALUE"""),3.107870291E9)</f>
        <v>3107870291</v>
      </c>
      <c r="M6857" s="17" t="str">
        <f>IFERROR(__xludf.DUMMYFUNCTION("""COMPUTED_VALUE"""),"#REF!")</f>
        <v>#REF!</v>
      </c>
      <c r="N6857" s="17"/>
      <c r="O6857" s="17"/>
      <c r="P6857" s="17" t="b">
        <f>IFERROR(__xludf.DUMMYFUNCTION("""COMPUTED_VALUE"""),TRUE)</f>
        <v>1</v>
      </c>
      <c r="Q6857" s="20">
        <f>IFERROR(__xludf.DUMMYFUNCTION("""COMPUTED_VALUE"""),45195.454881122685)</f>
        <v>45195.45488</v>
      </c>
      <c r="R6857" s="22" t="str">
        <f>IFERROR(__xludf.DUMMYFUNCTION("""COMPUTED_VALUE"""),"")</f>
        <v/>
      </c>
    </row>
    <row r="6858">
      <c r="A6858" s="15">
        <f>IFERROR(__xludf.DUMMYFUNCTION("""COMPUTED_VALUE"""),45195.0)</f>
        <v>45195</v>
      </c>
      <c r="B6858" s="16" t="str">
        <f>IFERROR(__xludf.DUMMYFUNCTION("""COMPUTED_VALUE"""),"Ivan Andres Romero Herrera")</f>
        <v>Ivan Andres Romero Herrera</v>
      </c>
      <c r="C6858" s="15" t="str">
        <f>IFERROR(__xludf.DUMMYFUNCTION("""COMPUTED_VALUE"""),"FUSAGASUGA")</f>
        <v>FUSAGASUGA</v>
      </c>
      <c r="D6858" s="15" t="str">
        <f>IFERROR(__xludf.DUMMYFUNCTION("""COMPUTED_VALUE"""),"BOGOTÁ")</f>
        <v>BOGOTÁ</v>
      </c>
      <c r="E6858" s="15" t="str">
        <f>IFERROR(__xludf.DUMMYFUNCTION("""COMPUTED_VALUE"""),"Evamazzita")</f>
        <v>Evamazzita</v>
      </c>
      <c r="F6858" s="17" t="str">
        <f>IFERROR(__xludf.DUMMYFUNCTION("""COMPUTED_VALUE"""),"CALLE 20B No. 9-21 BARRIO BALMORAL (BAJANDO POR LA CALLE QUE QUEDA JUNTO AL D1; CASA DE 3 PISOS: PIS / BARRIO BALMORAL (BAJANDO POR LA CALLE QUE QUEDA JUNTO AL D1; CASA DE 3 PISOS: PISO 1 O 2")</f>
        <v>CALLE 20B No. 9-21 BARRIO BALMORAL (BAJANDO POR LA CALLE QUE QUEDA JUNTO AL D1; CASA DE 3 PISOS: PIS / BARRIO BALMORAL (BAJANDO POR LA CALLE QUE QUEDA JUNTO AL D1; CASA DE 3 PISOS: PISO 1 O 2</v>
      </c>
      <c r="G6858" s="15" t="str">
        <f>IFERROR(__xludf.DUMMYFUNCTION("""COMPUTED_VALUE"""),"LIZETH EMELY SOTO NOREÑA")</f>
        <v>LIZETH EMELY SOTO NOREÑA</v>
      </c>
      <c r="H6858" s="16">
        <f>IFERROR(__xludf.DUMMYFUNCTION("""COMPUTED_VALUE"""),15596.0)</f>
        <v>15596</v>
      </c>
      <c r="I6858" s="18">
        <f>IFERROR(__xludf.DUMMYFUNCTION("""COMPUTED_VALUE"""),1.0)</f>
        <v>1</v>
      </c>
      <c r="J6858" s="18">
        <f>IFERROR(__xludf.DUMMYFUNCTION("""COMPUTED_VALUE"""),1.0)</f>
        <v>1</v>
      </c>
      <c r="K6858" s="18">
        <f>IFERROR(__xludf.DUMMYFUNCTION("""COMPUTED_VALUE"""),1.0)</f>
        <v>1</v>
      </c>
      <c r="L6858" s="17">
        <f>IFERROR(__xludf.DUMMYFUNCTION("""COMPUTED_VALUE"""),3.103764579E9)</f>
        <v>3103764579</v>
      </c>
      <c r="M6858" s="17" t="str">
        <f>IFERROR(__xludf.DUMMYFUNCTION("""COMPUTED_VALUE"""),"#REF!")</f>
        <v>#REF!</v>
      </c>
      <c r="N6858" s="17"/>
      <c r="O6858" s="17"/>
      <c r="P6858" s="17" t="b">
        <f>IFERROR(__xludf.DUMMYFUNCTION("""COMPUTED_VALUE"""),FALSE)</f>
        <v>0</v>
      </c>
      <c r="Q6858" s="20" t="str">
        <f>IFERROR(__xludf.DUMMYFUNCTION("""COMPUTED_VALUE"""),"")</f>
        <v/>
      </c>
      <c r="R6858" s="22" t="str">
        <f>IFERROR(__xludf.DUMMYFUNCTION("""COMPUTED_VALUE"""),"")</f>
        <v/>
      </c>
    </row>
    <row r="6859">
      <c r="A6859" s="15">
        <f>IFERROR(__xludf.DUMMYFUNCTION("""COMPUTED_VALUE"""),45195.0)</f>
        <v>45195</v>
      </c>
      <c r="B6859" s="16" t="str">
        <f>IFERROR(__xludf.DUMMYFUNCTION("""COMPUTED_VALUE"""),"Ivan Andres Romero Herrera")</f>
        <v>Ivan Andres Romero Herrera</v>
      </c>
      <c r="C6859" s="15" t="str">
        <f>IFERROR(__xludf.DUMMYFUNCTION("""COMPUTED_VALUE"""),"FUSAGASUGA")</f>
        <v>FUSAGASUGA</v>
      </c>
      <c r="D6859" s="15" t="str">
        <f>IFERROR(__xludf.DUMMYFUNCTION("""COMPUTED_VALUE"""),"BOGOTÁ")</f>
        <v>BOGOTÁ</v>
      </c>
      <c r="E6859" s="15" t="str">
        <f>IFERROR(__xludf.DUMMYFUNCTION("""COMPUTED_VALUE"""),"Evamazzita")</f>
        <v>Evamazzita</v>
      </c>
      <c r="F6859" s="17" t="str">
        <f>IFERROR(__xludf.DUMMYFUNCTION("""COMPUTED_VALUE"""),"DIAGONAL 15 # 14 B - 35 / EDIFICIO BRIKELL APTO. 401 BARRIO SANTA ANITA")</f>
        <v>DIAGONAL 15 # 14 B - 35 / EDIFICIO BRIKELL APTO. 401 BARRIO SANTA ANITA</v>
      </c>
      <c r="G6859" s="15" t="str">
        <f>IFERROR(__xludf.DUMMYFUNCTION("""COMPUTED_VALUE"""),"ANDREA CAICEDO HERNANDEZ")</f>
        <v>ANDREA CAICEDO HERNANDEZ</v>
      </c>
      <c r="H6859" s="16">
        <f>IFERROR(__xludf.DUMMYFUNCTION("""COMPUTED_VALUE"""),15614.0)</f>
        <v>15614</v>
      </c>
      <c r="I6859" s="18">
        <f>IFERROR(__xludf.DUMMYFUNCTION("""COMPUTED_VALUE"""),1.0)</f>
        <v>1</v>
      </c>
      <c r="J6859" s="18">
        <f>IFERROR(__xludf.DUMMYFUNCTION("""COMPUTED_VALUE"""),1.0)</f>
        <v>1</v>
      </c>
      <c r="K6859" s="18">
        <f>IFERROR(__xludf.DUMMYFUNCTION("""COMPUTED_VALUE"""),1.0)</f>
        <v>1</v>
      </c>
      <c r="L6859" s="17">
        <f>IFERROR(__xludf.DUMMYFUNCTION("""COMPUTED_VALUE"""),3.003260129E9)</f>
        <v>3003260129</v>
      </c>
      <c r="M6859" s="17" t="str">
        <f>IFERROR(__xludf.DUMMYFUNCTION("""COMPUTED_VALUE"""),"#REF!")</f>
        <v>#REF!</v>
      </c>
      <c r="N6859" s="17"/>
      <c r="O6859" s="17"/>
      <c r="P6859" s="17" t="b">
        <f>IFERROR(__xludf.DUMMYFUNCTION("""COMPUTED_VALUE"""),TRUE)</f>
        <v>1</v>
      </c>
      <c r="Q6859" s="20">
        <f>IFERROR(__xludf.DUMMYFUNCTION("""COMPUTED_VALUE"""),45197.3627593287)</f>
        <v>45197.36276</v>
      </c>
      <c r="R6859" s="22" t="str">
        <f>IFERROR(__xludf.DUMMYFUNCTION("""COMPUTED_VALUE"""),"")</f>
        <v/>
      </c>
    </row>
    <row r="6860">
      <c r="A6860" s="17" t="str">
        <f>IFERROR(__xludf.DUMMYFUNCTION("""COMPUTED_VALUE"""),"")</f>
        <v/>
      </c>
      <c r="B6860" s="17" t="str">
        <f>IFERROR(__xludf.DUMMYFUNCTION("""COMPUTED_VALUE"""),"")</f>
        <v/>
      </c>
      <c r="C6860" s="17" t="str">
        <f>IFERROR(__xludf.DUMMYFUNCTION("""COMPUTED_VALUE"""),"")</f>
        <v/>
      </c>
      <c r="D6860" s="17" t="str">
        <f>IFERROR(__xludf.DUMMYFUNCTION("""COMPUTED_VALUE"""),"")</f>
        <v/>
      </c>
      <c r="E6860" s="17" t="str">
        <f>IFERROR(__xludf.DUMMYFUNCTION("""COMPUTED_VALUE"""),"")</f>
        <v/>
      </c>
      <c r="F6860" s="17" t="str">
        <f>IFERROR(__xludf.DUMMYFUNCTION("""COMPUTED_VALUE"""),"")</f>
        <v/>
      </c>
      <c r="G6860" s="17" t="str">
        <f>IFERROR(__xludf.DUMMYFUNCTION("""COMPUTED_VALUE"""),"")</f>
        <v/>
      </c>
      <c r="H6860" s="17" t="str">
        <f>IFERROR(__xludf.DUMMYFUNCTION("""COMPUTED_VALUE"""),"")</f>
        <v/>
      </c>
      <c r="I6860" s="17" t="str">
        <f>IFERROR(__xludf.DUMMYFUNCTION("""COMPUTED_VALUE"""),"")</f>
        <v/>
      </c>
      <c r="J6860" s="17" t="str">
        <f>IFERROR(__xludf.DUMMYFUNCTION("""COMPUTED_VALUE"""),"")</f>
        <v/>
      </c>
      <c r="K6860" s="17" t="str">
        <f>IFERROR(__xludf.DUMMYFUNCTION("""COMPUTED_VALUE"""),"")</f>
        <v/>
      </c>
      <c r="L6860" s="17" t="str">
        <f>IFERROR(__xludf.DUMMYFUNCTION("""COMPUTED_VALUE"""),"")</f>
        <v/>
      </c>
      <c r="M6860" s="17" t="str">
        <f>IFERROR(__xludf.DUMMYFUNCTION("""COMPUTED_VALUE"""),"")</f>
        <v/>
      </c>
      <c r="N6860" s="17" t="str">
        <f>IFERROR(__xludf.DUMMYFUNCTION("""COMPUTED_VALUE"""),"")</f>
        <v/>
      </c>
      <c r="O6860" s="17" t="str">
        <f>IFERROR(__xludf.DUMMYFUNCTION("""COMPUTED_VALUE"""),"")</f>
        <v/>
      </c>
      <c r="P6860" s="17" t="str">
        <f>IFERROR(__xludf.DUMMYFUNCTION("""COMPUTED_VALUE"""),"")</f>
        <v/>
      </c>
      <c r="Q6860" s="17" t="str">
        <f>IFERROR(__xludf.DUMMYFUNCTION("""COMPUTED_VALUE"""),"")</f>
        <v/>
      </c>
      <c r="R6860" s="17" t="str">
        <f>IFERROR(__xludf.DUMMYFUNCTION("""COMPUTED_VALUE"""),"")</f>
        <v/>
      </c>
    </row>
    <row r="6861">
      <c r="A6861" s="15">
        <f>IFERROR(__xludf.DUMMYFUNCTION("""COMPUTED_VALUE"""),45195.0)</f>
        <v>45195</v>
      </c>
      <c r="B6861" s="16" t="str">
        <f>IFERROR(__xludf.DUMMYFUNCTION("""COMPUTED_VALUE"""),"Jhon Anderson Ceballos Hernandez")</f>
        <v>Jhon Anderson Ceballos Hernandez</v>
      </c>
      <c r="C6861" s="15" t="str">
        <f>IFERROR(__xludf.DUMMYFUNCTION("""COMPUTED_VALUE"""),"SABANETA")</f>
        <v>SABANETA</v>
      </c>
      <c r="D6861" s="15" t="str">
        <f>IFERROR(__xludf.DUMMYFUNCTION("""COMPUTED_VALUE"""),"BOGOTÁ")</f>
        <v>BOGOTÁ</v>
      </c>
      <c r="E6861" s="15" t="str">
        <f>IFERROR(__xludf.DUMMYFUNCTION("""COMPUTED_VALUE"""),"Evamazzita")</f>
        <v>Evamazzita</v>
      </c>
      <c r="F6861" s="17" t="str">
        <f>IFERROR(__xludf.DUMMYFUNCTION("""COMPUTED_VALUE"""),"calle 61 sur # 39 - 70 / apto 1910 torre 2 ciudad del bosque Barrio Asdesillas")</f>
        <v>calle 61 sur # 39 - 70 / apto 1910 torre 2 ciudad del bosque Barrio Asdesillas</v>
      </c>
      <c r="G6861" s="15" t="str">
        <f>IFERROR(__xludf.DUMMYFUNCTION("""COMPUTED_VALUE"""),"PAULA ANDREA TOBON")</f>
        <v>PAULA ANDREA TOBON</v>
      </c>
      <c r="H6861" s="16">
        <f>IFERROR(__xludf.DUMMYFUNCTION("""COMPUTED_VALUE"""),15609.0)</f>
        <v>15609</v>
      </c>
      <c r="I6861" s="18">
        <f>IFERROR(__xludf.DUMMYFUNCTION("""COMPUTED_VALUE"""),1.0)</f>
        <v>1</v>
      </c>
      <c r="J6861" s="18">
        <f>IFERROR(__xludf.DUMMYFUNCTION("""COMPUTED_VALUE"""),1.0)</f>
        <v>1</v>
      </c>
      <c r="K6861" s="18">
        <f>IFERROR(__xludf.DUMMYFUNCTION("""COMPUTED_VALUE"""),1.0)</f>
        <v>1</v>
      </c>
      <c r="L6861" s="17">
        <f>IFERROR(__xludf.DUMMYFUNCTION("""COMPUTED_VALUE"""),3.13251544E9)</f>
        <v>3132515440</v>
      </c>
      <c r="M6861" s="17" t="str">
        <f>IFERROR(__xludf.DUMMYFUNCTION("""COMPUTED_VALUE"""),"#REF!")</f>
        <v>#REF!</v>
      </c>
      <c r="N6861" s="17"/>
      <c r="O6861" s="17"/>
      <c r="P6861" s="17" t="b">
        <f>IFERROR(__xludf.DUMMYFUNCTION("""COMPUTED_VALUE"""),TRUE)</f>
        <v>1</v>
      </c>
      <c r="Q6861" s="20">
        <f>IFERROR(__xludf.DUMMYFUNCTION("""COMPUTED_VALUE"""),45197.36280952547)</f>
        <v>45197.36281</v>
      </c>
      <c r="R6861" s="21" t="str">
        <f>IFERROR(__xludf.DUMMYFUNCTION("""COMPUTED_VALUE"""),"https://drive.google.com/file/d/1HdWLt6jbPc4Xa5pNQZFPTW6GpEnMEdtZ/view?usp=drivesdk")</f>
        <v>https://drive.google.com/file/d/1HdWLt6jbPc4Xa5pNQZFPTW6GpEnMEdtZ/view?usp=drivesdk</v>
      </c>
    </row>
    <row r="6862">
      <c r="A6862" s="15">
        <f>IFERROR(__xludf.DUMMYFUNCTION("""COMPUTED_VALUE"""),45195.0)</f>
        <v>45195</v>
      </c>
      <c r="B6862" s="16" t="str">
        <f>IFERROR(__xludf.DUMMYFUNCTION("""COMPUTED_VALUE"""),"Jhon Anderson Ceballos Hernandez")</f>
        <v>Jhon Anderson Ceballos Hernandez</v>
      </c>
      <c r="C6862" s="15" t="str">
        <f>IFERROR(__xludf.DUMMYFUNCTION("""COMPUTED_VALUE"""),"SABANETA")</f>
        <v>SABANETA</v>
      </c>
      <c r="D6862" s="15" t="str">
        <f>IFERROR(__xludf.DUMMYFUNCTION("""COMPUTED_VALUE"""),"BOGOTÁ")</f>
        <v>BOGOTÁ</v>
      </c>
      <c r="E6862" s="15" t="str">
        <f>IFERROR(__xludf.DUMMYFUNCTION("""COMPUTED_VALUE"""),"Evamazzita")</f>
        <v>Evamazzita</v>
      </c>
      <c r="F6862" s="17" t="str">
        <f>IFERROR(__xludf.DUMMYFUNCTION("""COMPUTED_VALUE"""),"calle 77 sur 46-54 / torre 2 apto 405")</f>
        <v>calle 77 sur 46-54 / torre 2 apto 405</v>
      </c>
      <c r="G6862" s="15" t="str">
        <f>IFERROR(__xludf.DUMMYFUNCTION("""COMPUTED_VALUE"""),"JULIANA RAMIREZ MONTOYA")</f>
        <v>JULIANA RAMIREZ MONTOYA</v>
      </c>
      <c r="H6862" s="16">
        <f>IFERROR(__xludf.DUMMYFUNCTION("""COMPUTED_VALUE"""),15608.0)</f>
        <v>15608</v>
      </c>
      <c r="I6862" s="18">
        <f>IFERROR(__xludf.DUMMYFUNCTION("""COMPUTED_VALUE"""),1.0)</f>
        <v>1</v>
      </c>
      <c r="J6862" s="18">
        <f>IFERROR(__xludf.DUMMYFUNCTION("""COMPUTED_VALUE"""),1.0)</f>
        <v>1</v>
      </c>
      <c r="K6862" s="18">
        <f>IFERROR(__xludf.DUMMYFUNCTION("""COMPUTED_VALUE"""),1.0)</f>
        <v>1</v>
      </c>
      <c r="L6862" s="17">
        <f>IFERROR(__xludf.DUMMYFUNCTION("""COMPUTED_VALUE"""),3.137086648E9)</f>
        <v>3137086648</v>
      </c>
      <c r="M6862" s="17" t="str">
        <f>IFERROR(__xludf.DUMMYFUNCTION("""COMPUTED_VALUE"""),"#REF!")</f>
        <v>#REF!</v>
      </c>
      <c r="N6862" s="17"/>
      <c r="O6862" s="17"/>
      <c r="P6862" s="17" t="b">
        <f>IFERROR(__xludf.DUMMYFUNCTION("""COMPUTED_VALUE"""),TRUE)</f>
        <v>1</v>
      </c>
      <c r="Q6862" s="20">
        <f>IFERROR(__xludf.DUMMYFUNCTION("""COMPUTED_VALUE"""),45197.36280952547)</f>
        <v>45197.36281</v>
      </c>
      <c r="R6862" s="21" t="str">
        <f>IFERROR(__xludf.DUMMYFUNCTION("""COMPUTED_VALUE"""),"https://drive.google.com/file/d/1VLA9m1pYIh5AabkdS5JVSYM8Gay_hDAv/view?usp=drivesdk")</f>
        <v>https://drive.google.com/file/d/1VLA9m1pYIh5AabkdS5JVSYM8Gay_hDAv/view?usp=drivesdk</v>
      </c>
    </row>
    <row r="6863">
      <c r="A6863" s="17" t="str">
        <f>IFERROR(__xludf.DUMMYFUNCTION("""COMPUTED_VALUE"""),"")</f>
        <v/>
      </c>
      <c r="B6863" s="17" t="str">
        <f>IFERROR(__xludf.DUMMYFUNCTION("""COMPUTED_VALUE"""),"")</f>
        <v/>
      </c>
      <c r="C6863" s="17" t="str">
        <f>IFERROR(__xludf.DUMMYFUNCTION("""COMPUTED_VALUE"""),"")</f>
        <v/>
      </c>
      <c r="D6863" s="17" t="str">
        <f>IFERROR(__xludf.DUMMYFUNCTION("""COMPUTED_VALUE"""),"")</f>
        <v/>
      </c>
      <c r="E6863" s="17" t="str">
        <f>IFERROR(__xludf.DUMMYFUNCTION("""COMPUTED_VALUE"""),"")</f>
        <v/>
      </c>
      <c r="F6863" s="17" t="str">
        <f>IFERROR(__xludf.DUMMYFUNCTION("""COMPUTED_VALUE"""),"")</f>
        <v/>
      </c>
      <c r="G6863" s="17" t="str">
        <f>IFERROR(__xludf.DUMMYFUNCTION("""COMPUTED_VALUE"""),"")</f>
        <v/>
      </c>
      <c r="H6863" s="17" t="str">
        <f>IFERROR(__xludf.DUMMYFUNCTION("""COMPUTED_VALUE"""),"")</f>
        <v/>
      </c>
      <c r="I6863" s="17" t="str">
        <f>IFERROR(__xludf.DUMMYFUNCTION("""COMPUTED_VALUE"""),"")</f>
        <v/>
      </c>
      <c r="J6863" s="17" t="str">
        <f>IFERROR(__xludf.DUMMYFUNCTION("""COMPUTED_VALUE"""),"")</f>
        <v/>
      </c>
      <c r="K6863" s="17" t="str">
        <f>IFERROR(__xludf.DUMMYFUNCTION("""COMPUTED_VALUE"""),"")</f>
        <v/>
      </c>
      <c r="L6863" s="17" t="str">
        <f>IFERROR(__xludf.DUMMYFUNCTION("""COMPUTED_VALUE"""),"")</f>
        <v/>
      </c>
      <c r="M6863" s="17" t="str">
        <f>IFERROR(__xludf.DUMMYFUNCTION("""COMPUTED_VALUE"""),"")</f>
        <v/>
      </c>
      <c r="N6863" s="17" t="str">
        <f>IFERROR(__xludf.DUMMYFUNCTION("""COMPUTED_VALUE"""),"")</f>
        <v/>
      </c>
      <c r="O6863" s="17" t="str">
        <f>IFERROR(__xludf.DUMMYFUNCTION("""COMPUTED_VALUE"""),"")</f>
        <v/>
      </c>
      <c r="P6863" s="17" t="str">
        <f>IFERROR(__xludf.DUMMYFUNCTION("""COMPUTED_VALUE"""),"")</f>
        <v/>
      </c>
      <c r="Q6863" s="17" t="str">
        <f>IFERROR(__xludf.DUMMYFUNCTION("""COMPUTED_VALUE"""),"")</f>
        <v/>
      </c>
      <c r="R6863" s="17" t="str">
        <f>IFERROR(__xludf.DUMMYFUNCTION("""COMPUTED_VALUE"""),"")</f>
        <v/>
      </c>
    </row>
    <row r="6864">
      <c r="A6864" s="15">
        <f>IFERROR(__xludf.DUMMYFUNCTION("""COMPUTED_VALUE"""),45195.0)</f>
        <v>45195</v>
      </c>
      <c r="B6864" s="16" t="str">
        <f>IFERROR(__xludf.DUMMYFUNCTION("""COMPUTED_VALUE"""),"Johan Alexander Escobar Arroyo ")</f>
        <v>Johan Alexander Escobar Arroyo </v>
      </c>
      <c r="C6864" s="15" t="str">
        <f>IFERROR(__xludf.DUMMYFUNCTION("""COMPUTED_VALUE"""),"CALI")</f>
        <v>CALI</v>
      </c>
      <c r="D6864" s="15" t="str">
        <f>IFERROR(__xludf.DUMMYFUNCTION("""COMPUTED_VALUE"""),"BOGOTÁ")</f>
        <v>BOGOTÁ</v>
      </c>
      <c r="E6864" s="15" t="str">
        <f>IFERROR(__xludf.DUMMYFUNCTION("""COMPUTED_VALUE"""),"Asociacion Agropecuaria Juana Maria")</f>
        <v>Asociacion Agropecuaria Juana Maria</v>
      </c>
      <c r="F6864" s="17" t="str">
        <f>IFERROR(__xludf.DUMMYFUNCTION("""COMPUTED_VALUE"""),"Carrera 17B # 33E-33 La Floresta vieja")</f>
        <v>Carrera 17B # 33E-33 La Floresta vieja</v>
      </c>
      <c r="G6864" s="15" t="str">
        <f>IFERROR(__xludf.DUMMYFUNCTION("""COMPUTED_VALUE"""),"Johanna acuña  Molina")</f>
        <v>Johanna acuña  Molina</v>
      </c>
      <c r="H6864" s="16">
        <f>IFERROR(__xludf.DUMMYFUNCTION("""COMPUTED_VALUE"""),15548.0)</f>
        <v>15548</v>
      </c>
      <c r="I6864" s="18">
        <f>IFERROR(__xludf.DUMMYFUNCTION("""COMPUTED_VALUE"""),16.0)</f>
        <v>16</v>
      </c>
      <c r="J6864" s="18">
        <f>IFERROR(__xludf.DUMMYFUNCTION("""COMPUTED_VALUE"""),34.0)</f>
        <v>34</v>
      </c>
      <c r="K6864" s="18">
        <f>IFERROR(__xludf.DUMMYFUNCTION("""COMPUTED_VALUE"""),25.0)</f>
        <v>25</v>
      </c>
      <c r="L6864" s="17">
        <f>IFERROR(__xludf.DUMMYFUNCTION("""COMPUTED_VALUE"""),3.218700343E9)</f>
        <v>3218700343</v>
      </c>
      <c r="M6864" s="17" t="str">
        <f>IFERROR(__xludf.DUMMYFUNCTION("""COMPUTED_VALUE"""),"#REF!")</f>
        <v>#REF!</v>
      </c>
      <c r="N6864" s="17"/>
      <c r="O6864" s="17"/>
      <c r="P6864" s="17" t="b">
        <f>IFERROR(__xludf.DUMMYFUNCTION("""COMPUTED_VALUE"""),FALSE)</f>
        <v>0</v>
      </c>
      <c r="Q6864" s="20" t="str">
        <f>IFERROR(__xludf.DUMMYFUNCTION("""COMPUTED_VALUE"""),"")</f>
        <v/>
      </c>
      <c r="R6864" s="21" t="str">
        <f>IFERROR(__xludf.DUMMYFUNCTION("""COMPUTED_VALUE"""),"https://drive.google.com/file/d/1DXu5xJbMXSHmEcWUCQIeIi2JC5NbMHht/view?usp=drivesdk")</f>
        <v>https://drive.google.com/file/d/1DXu5xJbMXSHmEcWUCQIeIi2JC5NbMHht/view?usp=drivesdk</v>
      </c>
    </row>
    <row r="6865">
      <c r="A6865" s="15">
        <f>IFERROR(__xludf.DUMMYFUNCTION("""COMPUTED_VALUE"""),45195.0)</f>
        <v>45195</v>
      </c>
      <c r="B6865" s="16" t="str">
        <f>IFERROR(__xludf.DUMMYFUNCTION("""COMPUTED_VALUE"""),"Johan Alexander Escobar Arroyo ")</f>
        <v>Johan Alexander Escobar Arroyo </v>
      </c>
      <c r="C6865" s="15" t="str">
        <f>IFERROR(__xludf.DUMMYFUNCTION("""COMPUTED_VALUE"""),"CALI")</f>
        <v>CALI</v>
      </c>
      <c r="D6865" s="15" t="str">
        <f>IFERROR(__xludf.DUMMYFUNCTION("""COMPUTED_VALUE"""),"BOGOTÁ")</f>
        <v>BOGOTÁ</v>
      </c>
      <c r="E6865" s="15" t="str">
        <f>IFERROR(__xludf.DUMMYFUNCTION("""COMPUTED_VALUE"""),"Evamazzita")</f>
        <v>Evamazzita</v>
      </c>
      <c r="F6865" s="17" t="str">
        <f>IFERROR(__xludf.DUMMYFUNCTION("""COMPUTED_VALUE"""),"CALLE 7 No. 47 - 69 / BARRIO NUEVA TEQUENDAMA")</f>
        <v>CALLE 7 No. 47 - 69 / BARRIO NUEVA TEQUENDAMA</v>
      </c>
      <c r="G6865" s="15" t="str">
        <f>IFERROR(__xludf.DUMMYFUNCTION("""COMPUTED_VALUE"""),"JULIANA LEITON")</f>
        <v>JULIANA LEITON</v>
      </c>
      <c r="H6865" s="16">
        <f>IFERROR(__xludf.DUMMYFUNCTION("""COMPUTED_VALUE"""),15612.0)</f>
        <v>15612</v>
      </c>
      <c r="I6865" s="18">
        <f>IFERROR(__xludf.DUMMYFUNCTION("""COMPUTED_VALUE"""),1.0)</f>
        <v>1</v>
      </c>
      <c r="J6865" s="18">
        <f>IFERROR(__xludf.DUMMYFUNCTION("""COMPUTED_VALUE"""),1.0)</f>
        <v>1</v>
      </c>
      <c r="K6865" s="18">
        <f>IFERROR(__xludf.DUMMYFUNCTION("""COMPUTED_VALUE"""),1.0)</f>
        <v>1</v>
      </c>
      <c r="L6865" s="17">
        <f>IFERROR(__xludf.DUMMYFUNCTION("""COMPUTED_VALUE"""),3.002780329E9)</f>
        <v>3002780329</v>
      </c>
      <c r="M6865" s="17" t="str">
        <f>IFERROR(__xludf.DUMMYFUNCTION("""COMPUTED_VALUE"""),"#REF!")</f>
        <v>#REF!</v>
      </c>
      <c r="N6865" s="17"/>
      <c r="O6865" s="17"/>
      <c r="P6865" s="17" t="b">
        <f>IFERROR(__xludf.DUMMYFUNCTION("""COMPUTED_VALUE"""),FALSE)</f>
        <v>0</v>
      </c>
      <c r="Q6865" s="20" t="str">
        <f>IFERROR(__xludf.DUMMYFUNCTION("""COMPUTED_VALUE"""),"")</f>
        <v/>
      </c>
      <c r="R6865" s="21" t="str">
        <f>IFERROR(__xludf.DUMMYFUNCTION("""COMPUTED_VALUE"""),"https://drive.google.com/file/d/1PnjDK2JiU0YBwoas27o2fGCRp91RetIg/view?usp=drivesdk")</f>
        <v>https://drive.google.com/file/d/1PnjDK2JiU0YBwoas27o2fGCRp91RetIg/view?usp=drivesdk</v>
      </c>
    </row>
    <row r="6866">
      <c r="A6866" s="15">
        <f>IFERROR(__xludf.DUMMYFUNCTION("""COMPUTED_VALUE"""),45195.0)</f>
        <v>45195</v>
      </c>
      <c r="B6866" s="16" t="str">
        <f>IFERROR(__xludf.DUMMYFUNCTION("""COMPUTED_VALUE"""),"Johan Alexander Escobar Arroyo ")</f>
        <v>Johan Alexander Escobar Arroyo </v>
      </c>
      <c r="C6866" s="15" t="str">
        <f>IFERROR(__xludf.DUMMYFUNCTION("""COMPUTED_VALUE"""),"CALI")</f>
        <v>CALI</v>
      </c>
      <c r="D6866" s="15" t="str">
        <f>IFERROR(__xludf.DUMMYFUNCTION("""COMPUTED_VALUE"""),"BOGOTÁ")</f>
        <v>BOGOTÁ</v>
      </c>
      <c r="E6866" s="15" t="str">
        <f>IFERROR(__xludf.DUMMYFUNCTION("""COMPUTED_VALUE"""),"Evamazzita")</f>
        <v>Evamazzita</v>
      </c>
      <c r="F6866" s="17" t="str">
        <f>IFERROR(__xludf.DUMMYFUNCTION("""COMPUTED_VALUE"""),"CRA SEPTIMA No. 13 - 79 / CENTRO COMERCIAL EL TESORO")</f>
        <v>CRA SEPTIMA No. 13 - 79 / CENTRO COMERCIAL EL TESORO</v>
      </c>
      <c r="G6866" s="15" t="str">
        <f>IFERROR(__xludf.DUMMYFUNCTION("""COMPUTED_VALUE"""),"CLAUDIA GIRALDO CALI")</f>
        <v>CLAUDIA GIRALDO CALI</v>
      </c>
      <c r="H6866" s="16">
        <f>IFERROR(__xludf.DUMMYFUNCTION("""COMPUTED_VALUE"""),15610.0)</f>
        <v>15610</v>
      </c>
      <c r="I6866" s="18">
        <f>IFERROR(__xludf.DUMMYFUNCTION("""COMPUTED_VALUE"""),1.0)</f>
        <v>1</v>
      </c>
      <c r="J6866" s="18">
        <f>IFERROR(__xludf.DUMMYFUNCTION("""COMPUTED_VALUE"""),1.0)</f>
        <v>1</v>
      </c>
      <c r="K6866" s="18">
        <f>IFERROR(__xludf.DUMMYFUNCTION("""COMPUTED_VALUE"""),1.0)</f>
        <v>1</v>
      </c>
      <c r="L6866" s="17">
        <f>IFERROR(__xludf.DUMMYFUNCTION("""COMPUTED_VALUE"""),3.162429713E9)</f>
        <v>3162429713</v>
      </c>
      <c r="M6866" s="17" t="str">
        <f>IFERROR(__xludf.DUMMYFUNCTION("""COMPUTED_VALUE"""),"#REF!")</f>
        <v>#REF!</v>
      </c>
      <c r="N6866" s="17"/>
      <c r="O6866" s="17"/>
      <c r="P6866" s="17" t="b">
        <f>IFERROR(__xludf.DUMMYFUNCTION("""COMPUTED_VALUE"""),FALSE)</f>
        <v>0</v>
      </c>
      <c r="Q6866" s="20" t="str">
        <f>IFERROR(__xludf.DUMMYFUNCTION("""COMPUTED_VALUE"""),"")</f>
        <v/>
      </c>
      <c r="R6866" s="21" t="str">
        <f>IFERROR(__xludf.DUMMYFUNCTION("""COMPUTED_VALUE"""),"https://drive.google.com/file/d/18lUMmErJUwkr-xRF_oMIk6QMt_aSE7Zy/view?usp=drivesdk")</f>
        <v>https://drive.google.com/file/d/18lUMmErJUwkr-xRF_oMIk6QMt_aSE7Zy/view?usp=drivesdk</v>
      </c>
    </row>
    <row r="6867">
      <c r="A6867" s="15">
        <f>IFERROR(__xludf.DUMMYFUNCTION("""COMPUTED_VALUE"""),45195.0)</f>
        <v>45195</v>
      </c>
      <c r="B6867" s="16" t="str">
        <f>IFERROR(__xludf.DUMMYFUNCTION("""COMPUTED_VALUE"""),"Johan Alexander Escobar Arroyo ")</f>
        <v>Johan Alexander Escobar Arroyo </v>
      </c>
      <c r="C6867" s="15" t="str">
        <f>IFERROR(__xludf.DUMMYFUNCTION("""COMPUTED_VALUE"""),"CALI")</f>
        <v>CALI</v>
      </c>
      <c r="D6867" s="15" t="str">
        <f>IFERROR(__xludf.DUMMYFUNCTION("""COMPUTED_VALUE"""),"BOGOTÁ")</f>
        <v>BOGOTÁ</v>
      </c>
      <c r="E6867" s="15" t="str">
        <f>IFERROR(__xludf.DUMMYFUNCTION("""COMPUTED_VALUE"""),"Evamazzita")</f>
        <v>Evamazzita</v>
      </c>
      <c r="F6867" s="17" t="str">
        <f>IFERROR(__xludf.DUMMYFUNCTION("""COMPUTED_VALUE"""),"Recibe: Jhonatan Castillo  Cel.: 3128308962 Calle 6 # 29-104 / avenida Roosvelt Cali. Local Ferrollaves Ortiz")</f>
        <v>Recibe: Jhonatan Castillo  Cel.: 3128308962 Calle 6 # 29-104 / avenida Roosvelt Cali. Local Ferrollaves Ortiz</v>
      </c>
      <c r="G6867" s="15" t="str">
        <f>IFERROR(__xludf.DUMMYFUNCTION("""COMPUTED_VALUE"""),"YINA MARCELA GUERRERO ESPAÑA")</f>
        <v>YINA MARCELA GUERRERO ESPAÑA</v>
      </c>
      <c r="H6867" s="16">
        <f>IFERROR(__xludf.DUMMYFUNCTION("""COMPUTED_VALUE"""),15611.0)</f>
        <v>15611</v>
      </c>
      <c r="I6867" s="18">
        <f>IFERROR(__xludf.DUMMYFUNCTION("""COMPUTED_VALUE"""),1.0)</f>
        <v>1</v>
      </c>
      <c r="J6867" s="18">
        <f>IFERROR(__xludf.DUMMYFUNCTION("""COMPUTED_VALUE"""),1.0)</f>
        <v>1</v>
      </c>
      <c r="K6867" s="18">
        <f>IFERROR(__xludf.DUMMYFUNCTION("""COMPUTED_VALUE"""),1.0)</f>
        <v>1</v>
      </c>
      <c r="L6867" s="17">
        <f>IFERROR(__xludf.DUMMYFUNCTION("""COMPUTED_VALUE"""),3.157731149E9)</f>
        <v>3157731149</v>
      </c>
      <c r="M6867" s="17" t="str">
        <f>IFERROR(__xludf.DUMMYFUNCTION("""COMPUTED_VALUE"""),"#REF!")</f>
        <v>#REF!</v>
      </c>
      <c r="N6867" s="17"/>
      <c r="O6867" s="17"/>
      <c r="P6867" s="17" t="b">
        <f>IFERROR(__xludf.DUMMYFUNCTION("""COMPUTED_VALUE"""),FALSE)</f>
        <v>0</v>
      </c>
      <c r="Q6867" s="20" t="str">
        <f>IFERROR(__xludf.DUMMYFUNCTION("""COMPUTED_VALUE"""),"")</f>
        <v/>
      </c>
      <c r="R6867" s="21" t="str">
        <f>IFERROR(__xludf.DUMMYFUNCTION("""COMPUTED_VALUE"""),"https://drive.google.com/file/d/1cVu812dY3ThVMeW_N2ysbagR7QqlAoUF/view?usp=drivesdk")</f>
        <v>https://drive.google.com/file/d/1cVu812dY3ThVMeW_N2ysbagR7QqlAoUF/view?usp=drivesdk</v>
      </c>
    </row>
    <row r="6868">
      <c r="A6868" s="15">
        <f>IFERROR(__xludf.DUMMYFUNCTION("""COMPUTED_VALUE"""),45195.0)</f>
        <v>45195</v>
      </c>
      <c r="B6868" s="16" t="str">
        <f>IFERROR(__xludf.DUMMYFUNCTION("""COMPUTED_VALUE"""),"Johan Alexander Escobar Arroyo ")</f>
        <v>Johan Alexander Escobar Arroyo </v>
      </c>
      <c r="C6868" s="15" t="str">
        <f>IFERROR(__xludf.DUMMYFUNCTION("""COMPUTED_VALUE"""),"CALI")</f>
        <v>CALI</v>
      </c>
      <c r="D6868" s="15" t="str">
        <f>IFERROR(__xludf.DUMMYFUNCTION("""COMPUTED_VALUE"""),"BOGOTÁ")</f>
        <v>BOGOTÁ</v>
      </c>
      <c r="E6868" s="15" t="str">
        <f>IFERROR(__xludf.DUMMYFUNCTION("""COMPUTED_VALUE"""),"Ins. Alimento Vital")</f>
        <v>Ins. Alimento Vital</v>
      </c>
      <c r="F6868" s="17" t="str">
        <f>IFERROR(__xludf.DUMMYFUNCTION("""COMPUTED_VALUE"""),"CL 34N 2BN 33 / BODEGA / SAN VICENTE")</f>
        <v>CL 34N 2BN 33 / BODEGA / SAN VICENTE</v>
      </c>
      <c r="G6868" s="15" t="str">
        <f>IFERROR(__xludf.DUMMYFUNCTION("""COMPUTED_VALUE"""),"VELOCITY CALI")</f>
        <v>VELOCITY CALI</v>
      </c>
      <c r="H6868" s="16">
        <f>IFERROR(__xludf.DUMMYFUNCTION("""COMPUTED_VALUE"""),15567.0)</f>
        <v>15567</v>
      </c>
      <c r="I6868" s="18">
        <f>IFERROR(__xludf.DUMMYFUNCTION("""COMPUTED_VALUE"""),1.0)</f>
        <v>1</v>
      </c>
      <c r="J6868" s="18">
        <f>IFERROR(__xludf.DUMMYFUNCTION("""COMPUTED_VALUE"""),1.0)</f>
        <v>1</v>
      </c>
      <c r="K6868" s="18">
        <f>IFERROR(__xludf.DUMMYFUNCTION("""COMPUTED_VALUE"""),1.0)</f>
        <v>1</v>
      </c>
      <c r="L6868" s="17">
        <f>IFERROR(__xludf.DUMMYFUNCTION("""COMPUTED_VALUE"""),3.117591055E9)</f>
        <v>3117591055</v>
      </c>
      <c r="M6868" s="17" t="str">
        <f>IFERROR(__xludf.DUMMYFUNCTION("""COMPUTED_VALUE"""),"#REF!")</f>
        <v>#REF!</v>
      </c>
      <c r="N6868" s="17"/>
      <c r="O6868" s="17"/>
      <c r="P6868" s="17" t="b">
        <f>IFERROR(__xludf.DUMMYFUNCTION("""COMPUTED_VALUE"""),FALSE)</f>
        <v>0</v>
      </c>
      <c r="Q6868" s="20" t="str">
        <f>IFERROR(__xludf.DUMMYFUNCTION("""COMPUTED_VALUE"""),"")</f>
        <v/>
      </c>
      <c r="R6868" s="22" t="str">
        <f>IFERROR(__xludf.DUMMYFUNCTION("""COMPUTED_VALUE"""),"")</f>
        <v/>
      </c>
    </row>
    <row r="6869">
      <c r="A6869" s="15">
        <f>IFERROR(__xludf.DUMMYFUNCTION("""COMPUTED_VALUE"""),45195.0)</f>
        <v>45195</v>
      </c>
      <c r="B6869" s="16" t="str">
        <f>IFERROR(__xludf.DUMMYFUNCTION("""COMPUTED_VALUE"""),"Johan Alexander Escobar Arroyo ")</f>
        <v>Johan Alexander Escobar Arroyo </v>
      </c>
      <c r="C6869" s="15" t="str">
        <f>IFERROR(__xludf.DUMMYFUNCTION("""COMPUTED_VALUE"""),"CALI")</f>
        <v>CALI</v>
      </c>
      <c r="D6869" s="15" t="str">
        <f>IFERROR(__xludf.DUMMYFUNCTION("""COMPUTED_VALUE"""),"BOGOTÁ")</f>
        <v>BOGOTÁ</v>
      </c>
      <c r="E6869" s="15" t="str">
        <f>IFERROR(__xludf.DUMMYFUNCTION("""COMPUTED_VALUE"""),"Karem foods")</f>
        <v>Karem foods</v>
      </c>
      <c r="F6869" s="17" t="str">
        <f>IFERROR(__xludf.DUMMYFUNCTION("""COMPUTED_VALUE"""),"Calle 23a Norte 5an 30  / Casa dental / entregar de lunes a viernes de 8 am a 6 pm")</f>
        <v>Calle 23a Norte 5an 30  / Casa dental / entregar de lunes a viernes de 8 am a 6 pm</v>
      </c>
      <c r="G6869" s="15" t="str">
        <f>IFERROR(__xludf.DUMMYFUNCTION("""COMPUTED_VALUE"""),"Juliana Uriarte")</f>
        <v>Juliana Uriarte</v>
      </c>
      <c r="H6869" s="16">
        <f>IFERROR(__xludf.DUMMYFUNCTION("""COMPUTED_VALUE"""),15581.0)</f>
        <v>15581</v>
      </c>
      <c r="I6869" s="18">
        <f>IFERROR(__xludf.DUMMYFUNCTION("""COMPUTED_VALUE"""),7.0)</f>
        <v>7</v>
      </c>
      <c r="J6869" s="18">
        <f>IFERROR(__xludf.DUMMYFUNCTION("""COMPUTED_VALUE"""),20.0)</f>
        <v>20</v>
      </c>
      <c r="K6869" s="18">
        <f>IFERROR(__xludf.DUMMYFUNCTION("""COMPUTED_VALUE"""),20.0)</f>
        <v>20</v>
      </c>
      <c r="L6869" s="17">
        <f>IFERROR(__xludf.DUMMYFUNCTION("""COMPUTED_VALUE"""),3.023782304E9)</f>
        <v>3023782304</v>
      </c>
      <c r="M6869" s="17" t="str">
        <f>IFERROR(__xludf.DUMMYFUNCTION("""COMPUTED_VALUE"""),"#REF!")</f>
        <v>#REF!</v>
      </c>
      <c r="N6869" s="17"/>
      <c r="O6869" s="17"/>
      <c r="P6869" s="17" t="b">
        <f>IFERROR(__xludf.DUMMYFUNCTION("""COMPUTED_VALUE"""),FALSE)</f>
        <v>0</v>
      </c>
      <c r="Q6869" s="20" t="str">
        <f>IFERROR(__xludf.DUMMYFUNCTION("""COMPUTED_VALUE"""),"")</f>
        <v/>
      </c>
      <c r="R6869" s="21" t="str">
        <f>IFERROR(__xludf.DUMMYFUNCTION("""COMPUTED_VALUE"""),"https://drive.google.com/file/d/1AFWmgAmVZgkySu0oxcBIp2oAmAnx1GkP/view?usp=drivesdk")</f>
        <v>https://drive.google.com/file/d/1AFWmgAmVZgkySu0oxcBIp2oAmAnx1GkP/view?usp=drivesdk</v>
      </c>
    </row>
    <row r="6870">
      <c r="A6870" s="15">
        <f>IFERROR(__xludf.DUMMYFUNCTION("""COMPUTED_VALUE"""),45195.0)</f>
        <v>45195</v>
      </c>
      <c r="B6870" s="16" t="str">
        <f>IFERROR(__xludf.DUMMYFUNCTION("""COMPUTED_VALUE"""),"Johan Alexander Escobar Arroyo ")</f>
        <v>Johan Alexander Escobar Arroyo </v>
      </c>
      <c r="C6870" s="15" t="str">
        <f>IFERROR(__xludf.DUMMYFUNCTION("""COMPUTED_VALUE"""),"CALI")</f>
        <v>CALI</v>
      </c>
      <c r="D6870" s="15" t="str">
        <f>IFERROR(__xludf.DUMMYFUNCTION("""COMPUTED_VALUE"""),"BOGOTÁ")</f>
        <v>BOGOTÁ</v>
      </c>
      <c r="E6870" s="15" t="str">
        <f>IFERROR(__xludf.DUMMYFUNCTION("""COMPUTED_VALUE"""),"Lunchy Kids")</f>
        <v>Lunchy Kids</v>
      </c>
      <c r="F6870" s="17" t="str">
        <f>IFERROR(__xludf.DUMMYFUNCTION("""COMPUTED_VALUE"""),"Cra 29 a 1 # 12b - 133   / colseguros Casa   / Cali")</f>
        <v>Cra 29 a 1 # 12b - 133   / colseguros Casa   / Cali</v>
      </c>
      <c r="G6870" s="15" t="str">
        <f>IFERROR(__xludf.DUMMYFUNCTION("""COMPUTED_VALUE"""),"Claudia lorena Betancourt")</f>
        <v>Claudia lorena Betancourt</v>
      </c>
      <c r="H6870" s="16">
        <f>IFERROR(__xludf.DUMMYFUNCTION("""COMPUTED_VALUE"""),15543.0)</f>
        <v>15543</v>
      </c>
      <c r="I6870" s="18">
        <f>IFERROR(__xludf.DUMMYFUNCTION("""COMPUTED_VALUE"""),21.0)</f>
        <v>21</v>
      </c>
      <c r="J6870" s="18">
        <f>IFERROR(__xludf.DUMMYFUNCTION("""COMPUTED_VALUE"""),29.0)</f>
        <v>29</v>
      </c>
      <c r="K6870" s="18">
        <f>IFERROR(__xludf.DUMMYFUNCTION("""COMPUTED_VALUE"""),17.0)</f>
        <v>17</v>
      </c>
      <c r="L6870" s="17">
        <f>IFERROR(__xludf.DUMMYFUNCTION("""COMPUTED_VALUE"""),3.12886581E9)</f>
        <v>3128865810</v>
      </c>
      <c r="M6870" s="17" t="str">
        <f>IFERROR(__xludf.DUMMYFUNCTION("""COMPUTED_VALUE"""),"#REF!")</f>
        <v>#REF!</v>
      </c>
      <c r="N6870" s="17"/>
      <c r="O6870" s="17"/>
      <c r="P6870" s="17" t="b">
        <f>IFERROR(__xludf.DUMMYFUNCTION("""COMPUTED_VALUE"""),FALSE)</f>
        <v>0</v>
      </c>
      <c r="Q6870" s="20" t="str">
        <f>IFERROR(__xludf.DUMMYFUNCTION("""COMPUTED_VALUE"""),"")</f>
        <v/>
      </c>
      <c r="R6870" s="21" t="str">
        <f>IFERROR(__xludf.DUMMYFUNCTION("""COMPUTED_VALUE"""),"https://drive.google.com/file/d/1Rc7dZv2omlyiuupgh70AZplk_AYdHaXi/view?usp=drivesdk")</f>
        <v>https://drive.google.com/file/d/1Rc7dZv2omlyiuupgh70AZplk_AYdHaXi/view?usp=drivesdk</v>
      </c>
    </row>
    <row r="6871">
      <c r="A6871" s="15">
        <f>IFERROR(__xludf.DUMMYFUNCTION("""COMPUTED_VALUE"""),45195.0)</f>
        <v>45195</v>
      </c>
      <c r="B6871" s="16" t="str">
        <f>IFERROR(__xludf.DUMMYFUNCTION("""COMPUTED_VALUE"""),"Johan Alexander Escobar Arroyo ")</f>
        <v>Johan Alexander Escobar Arroyo </v>
      </c>
      <c r="C6871" s="15" t="str">
        <f>IFERROR(__xludf.DUMMYFUNCTION("""COMPUTED_VALUE"""),"CALI")</f>
        <v>CALI</v>
      </c>
      <c r="D6871" s="15" t="str">
        <f>IFERROR(__xludf.DUMMYFUNCTION("""COMPUTED_VALUE"""),"BOGOTÁ")</f>
        <v>BOGOTÁ</v>
      </c>
      <c r="E6871" s="15" t="str">
        <f>IFERROR(__xludf.DUMMYFUNCTION("""COMPUTED_VALUE"""),"Mochi")</f>
        <v>Mochi</v>
      </c>
      <c r="F6871" s="17" t="str">
        <f>IFERROR(__xludf.DUMMYFUNCTION("""COMPUTED_VALUE"""),"Calle 15norte # 9 norte 16 / Local  / Granada cali")</f>
        <v>Calle 15norte # 9 norte 16 / Local  / Granada cali</v>
      </c>
      <c r="G6871" s="15" t="str">
        <f>IFERROR(__xludf.DUMMYFUNCTION("""COMPUTED_VALUE"""),"Estefania Tejada")</f>
        <v>Estefania Tejada</v>
      </c>
      <c r="H6871" s="16">
        <f>IFERROR(__xludf.DUMMYFUNCTION("""COMPUTED_VALUE"""),15628.0)</f>
        <v>15628</v>
      </c>
      <c r="I6871" s="18">
        <f>IFERROR(__xludf.DUMMYFUNCTION("""COMPUTED_VALUE"""),44.0)</f>
        <v>44</v>
      </c>
      <c r="J6871" s="18">
        <f>IFERROR(__xludf.DUMMYFUNCTION("""COMPUTED_VALUE"""),55.0)</f>
        <v>55</v>
      </c>
      <c r="K6871" s="18" t="str">
        <f>IFERROR(__xludf.DUMMYFUNCTION("""COMPUTED_VALUE"""),"55.2")</f>
        <v>55.2</v>
      </c>
      <c r="L6871" s="17">
        <f>IFERROR(__xludf.DUMMYFUNCTION("""COMPUTED_VALUE"""),3.183028598E9)</f>
        <v>3183028598</v>
      </c>
      <c r="M6871" s="17" t="str">
        <f>IFERROR(__xludf.DUMMYFUNCTION("""COMPUTED_VALUE"""),"#REF!")</f>
        <v>#REF!</v>
      </c>
      <c r="N6871" s="17"/>
      <c r="O6871" s="17"/>
      <c r="P6871" s="17" t="b">
        <f>IFERROR(__xludf.DUMMYFUNCTION("""COMPUTED_VALUE"""),FALSE)</f>
        <v>0</v>
      </c>
      <c r="Q6871" s="20" t="str">
        <f>IFERROR(__xludf.DUMMYFUNCTION("""COMPUTED_VALUE"""),"")</f>
        <v/>
      </c>
      <c r="R6871" s="22" t="str">
        <f>IFERROR(__xludf.DUMMYFUNCTION("""COMPUTED_VALUE"""),"")</f>
        <v/>
      </c>
    </row>
    <row r="6872">
      <c r="A6872" s="15">
        <f>IFERROR(__xludf.DUMMYFUNCTION("""COMPUTED_VALUE"""),45195.0)</f>
        <v>45195</v>
      </c>
      <c r="B6872" s="16" t="str">
        <f>IFERROR(__xludf.DUMMYFUNCTION("""COMPUTED_VALUE"""),"Johan Alexander Escobar Arroyo ")</f>
        <v>Johan Alexander Escobar Arroyo </v>
      </c>
      <c r="C6872" s="15" t="str">
        <f>IFERROR(__xludf.DUMMYFUNCTION("""COMPUTED_VALUE"""),"CALI")</f>
        <v>CALI</v>
      </c>
      <c r="D6872" s="15" t="str">
        <f>IFERROR(__xludf.DUMMYFUNCTION("""COMPUTED_VALUE"""),"BOGOTÁ")</f>
        <v>BOGOTÁ</v>
      </c>
      <c r="E6872" s="15" t="str">
        <f>IFERROR(__xludf.DUMMYFUNCTION("""COMPUTED_VALUE"""),"Olü")</f>
        <v>Olü</v>
      </c>
      <c r="F6872" s="17" t="str">
        <f>IFERROR(__xludf.DUMMYFUNCTION("""COMPUTED_VALUE"""),"Calle 16 # 85-10  / Local 102 / Barrio ingenio")</f>
        <v>Calle 16 # 85-10  / Local 102 / Barrio ingenio</v>
      </c>
      <c r="G6872" s="15" t="str">
        <f>IFERROR(__xludf.DUMMYFUNCTION("""COMPUTED_VALUE"""),"Jessica Guerrero")</f>
        <v>Jessica Guerrero</v>
      </c>
      <c r="H6872" s="16">
        <f>IFERROR(__xludf.DUMMYFUNCTION("""COMPUTED_VALUE"""),15577.0)</f>
        <v>15577</v>
      </c>
      <c r="I6872" s="18">
        <f>IFERROR(__xludf.DUMMYFUNCTION("""COMPUTED_VALUE"""),18.0)</f>
        <v>18</v>
      </c>
      <c r="J6872" s="18">
        <f>IFERROR(__xludf.DUMMYFUNCTION("""COMPUTED_VALUE"""),15.0)</f>
        <v>15</v>
      </c>
      <c r="K6872" s="18">
        <f>IFERROR(__xludf.DUMMYFUNCTION("""COMPUTED_VALUE"""),23.0)</f>
        <v>23</v>
      </c>
      <c r="L6872" s="17">
        <f>IFERROR(__xludf.DUMMYFUNCTION("""COMPUTED_VALUE"""),3.112664694E9)</f>
        <v>3112664694</v>
      </c>
      <c r="M6872" s="17" t="str">
        <f>IFERROR(__xludf.DUMMYFUNCTION("""COMPUTED_VALUE"""),"#REF!")</f>
        <v>#REF!</v>
      </c>
      <c r="N6872" s="17"/>
      <c r="O6872" s="17"/>
      <c r="P6872" s="17" t="b">
        <f>IFERROR(__xludf.DUMMYFUNCTION("""COMPUTED_VALUE"""),FALSE)</f>
        <v>0</v>
      </c>
      <c r="Q6872" s="20" t="str">
        <f>IFERROR(__xludf.DUMMYFUNCTION("""COMPUTED_VALUE"""),"")</f>
        <v/>
      </c>
      <c r="R6872" s="21" t="str">
        <f>IFERROR(__xludf.DUMMYFUNCTION("""COMPUTED_VALUE"""),"https://drive.google.com/file/d/1NTQ2BOgUQXRpR_0tQStTYjqeEkVKihLY/view?usp=drivesdk")</f>
        <v>https://drive.google.com/file/d/1NTQ2BOgUQXRpR_0tQStTYjqeEkVKihLY/view?usp=drivesdk</v>
      </c>
    </row>
    <row r="6873">
      <c r="A6873" s="15">
        <f>IFERROR(__xludf.DUMMYFUNCTION("""COMPUTED_VALUE"""),45195.0)</f>
        <v>45195</v>
      </c>
      <c r="B6873" s="16" t="str">
        <f>IFERROR(__xludf.DUMMYFUNCTION("""COMPUTED_VALUE"""),"Johan Alexander Escobar Arroyo ")</f>
        <v>Johan Alexander Escobar Arroyo </v>
      </c>
      <c r="C6873" s="15" t="str">
        <f>IFERROR(__xludf.DUMMYFUNCTION("""COMPUTED_VALUE"""),"CALI")</f>
        <v>CALI</v>
      </c>
      <c r="D6873" s="15" t="str">
        <f>IFERROR(__xludf.DUMMYFUNCTION("""COMPUTED_VALUE"""),"BOGOTÁ")</f>
        <v>BOGOTÁ</v>
      </c>
      <c r="E6873" s="15" t="str">
        <f>IFERROR(__xludf.DUMMYFUNCTION("""COMPUTED_VALUE"""),"Viiva Fermentados")</f>
        <v>Viiva Fermentados</v>
      </c>
      <c r="F6873" s="17" t="str">
        <f>IFERROR(__xludf.DUMMYFUNCTION("""COMPUTED_VALUE"""),"Av 5 Nte # 42 - 42 / Ecohuerta / La Flora")</f>
        <v>Av 5 Nte # 42 - 42 / Ecohuerta / La Flora</v>
      </c>
      <c r="G6873" s="15" t="str">
        <f>IFERROR(__xludf.DUMMYFUNCTION("""COMPUTED_VALUE"""),"Isabel Cristina - Ecohuerta Cali")</f>
        <v>Isabel Cristina - Ecohuerta Cali</v>
      </c>
      <c r="H6873" s="16">
        <f>IFERROR(__xludf.DUMMYFUNCTION("""COMPUTED_VALUE"""),15563.0)</f>
        <v>15563</v>
      </c>
      <c r="I6873" s="18">
        <f>IFERROR(__xludf.DUMMYFUNCTION("""COMPUTED_VALUE"""),28.0)</f>
        <v>28</v>
      </c>
      <c r="J6873" s="18">
        <f>IFERROR(__xludf.DUMMYFUNCTION("""COMPUTED_VALUE"""),36.0)</f>
        <v>36</v>
      </c>
      <c r="K6873" s="18">
        <f>IFERROR(__xludf.DUMMYFUNCTION("""COMPUTED_VALUE"""),24.0)</f>
        <v>24</v>
      </c>
      <c r="L6873" s="17">
        <f>IFERROR(__xludf.DUMMYFUNCTION("""COMPUTED_VALUE"""),3.113856209E9)</f>
        <v>3113856209</v>
      </c>
      <c r="M6873" s="17" t="str">
        <f>IFERROR(__xludf.DUMMYFUNCTION("""COMPUTED_VALUE"""),"#REF!")</f>
        <v>#REF!</v>
      </c>
      <c r="N6873" s="17"/>
      <c r="O6873" s="17"/>
      <c r="P6873" s="17" t="b">
        <f>IFERROR(__xludf.DUMMYFUNCTION("""COMPUTED_VALUE"""),FALSE)</f>
        <v>0</v>
      </c>
      <c r="Q6873" s="20" t="str">
        <f>IFERROR(__xludf.DUMMYFUNCTION("""COMPUTED_VALUE"""),"")</f>
        <v/>
      </c>
      <c r="R6873" s="21" t="str">
        <f>IFERROR(__xludf.DUMMYFUNCTION("""COMPUTED_VALUE"""),"https://drive.google.com/file/d/1En7tKumzUC-WMlfichRq1dHlcutC8cAM/view?usp=drivesdk")</f>
        <v>https://drive.google.com/file/d/1En7tKumzUC-WMlfichRq1dHlcutC8cAM/view?usp=drivesdk</v>
      </c>
    </row>
    <row r="6874">
      <c r="A6874" s="15">
        <f>IFERROR(__xludf.DUMMYFUNCTION("""COMPUTED_VALUE"""),45195.0)</f>
        <v>45195</v>
      </c>
      <c r="B6874" s="16" t="str">
        <f>IFERROR(__xludf.DUMMYFUNCTION("""COMPUTED_VALUE"""),"Johan Alexander Escobar Arroyo ")</f>
        <v>Johan Alexander Escobar Arroyo </v>
      </c>
      <c r="C6874" s="15" t="str">
        <f>IFERROR(__xludf.DUMMYFUNCTION("""COMPUTED_VALUE"""),"IBAGUÉ")</f>
        <v>IBAGUÉ</v>
      </c>
      <c r="D6874" s="15" t="str">
        <f>IFERROR(__xludf.DUMMYFUNCTION("""COMPUTED_VALUE"""),"BOGOTÁ")</f>
        <v>BOGOTÁ</v>
      </c>
      <c r="E6874" s="15" t="str">
        <f>IFERROR(__xludf.DUMMYFUNCTION("""COMPUTED_VALUE"""),"Lunchy Kids")</f>
        <v>Lunchy Kids</v>
      </c>
      <c r="F6874" s="17" t="str">
        <f>IFERROR(__xludf.DUMMYFUNCTION("""COMPUTED_VALUE"""),"Calle 95 No. 13 - 175 Sur Wakari.   / Torre 1 Apto 1108  / Ibagué")</f>
        <v>Calle 95 No. 13 - 175 Sur Wakari.   / Torre 1 Apto 1108  / Ibagué</v>
      </c>
      <c r="G6874" s="15" t="str">
        <f>IFERROR(__xludf.DUMMYFUNCTION("""COMPUTED_VALUE"""),"Natalia Andrea Quinche Rojas")</f>
        <v>Natalia Andrea Quinche Rojas</v>
      </c>
      <c r="H6874" s="16">
        <f>IFERROR(__xludf.DUMMYFUNCTION("""COMPUTED_VALUE"""),15542.0)</f>
        <v>15542</v>
      </c>
      <c r="I6874" s="18">
        <f>IFERROR(__xludf.DUMMYFUNCTION("""COMPUTED_VALUE"""),22.0)</f>
        <v>22</v>
      </c>
      <c r="J6874" s="18">
        <f>IFERROR(__xludf.DUMMYFUNCTION("""COMPUTED_VALUE"""),30.0)</f>
        <v>30</v>
      </c>
      <c r="K6874" s="18">
        <f>IFERROR(__xludf.DUMMYFUNCTION("""COMPUTED_VALUE"""),16.0)</f>
        <v>16</v>
      </c>
      <c r="L6874" s="17">
        <f>IFERROR(__xludf.DUMMYFUNCTION("""COMPUTED_VALUE"""),3.138044199E9)</f>
        <v>3138044199</v>
      </c>
      <c r="M6874" s="17" t="str">
        <f>IFERROR(__xludf.DUMMYFUNCTION("""COMPUTED_VALUE"""),"#REF!")</f>
        <v>#REF!</v>
      </c>
      <c r="N6874" s="17"/>
      <c r="O6874" s="17"/>
      <c r="P6874" s="17" t="b">
        <f>IFERROR(__xludf.DUMMYFUNCTION("""COMPUTED_VALUE"""),FALSE)</f>
        <v>0</v>
      </c>
      <c r="Q6874" s="20" t="str">
        <f>IFERROR(__xludf.DUMMYFUNCTION("""COMPUTED_VALUE"""),"")</f>
        <v/>
      </c>
      <c r="R6874" s="22" t="str">
        <f>IFERROR(__xludf.DUMMYFUNCTION("""COMPUTED_VALUE"""),"")</f>
        <v/>
      </c>
    </row>
    <row r="6875">
      <c r="A6875" s="15">
        <f>IFERROR(__xludf.DUMMYFUNCTION("""COMPUTED_VALUE"""),45195.0)</f>
        <v>45195</v>
      </c>
      <c r="B6875" s="16" t="str">
        <f>IFERROR(__xludf.DUMMYFUNCTION("""COMPUTED_VALUE"""),"Johan Alexander Escobar Arroyo ")</f>
        <v>Johan Alexander Escobar Arroyo </v>
      </c>
      <c r="C6875" s="15" t="str">
        <f>IFERROR(__xludf.DUMMYFUNCTION("""COMPUTED_VALUE"""),"IBAGUÉ")</f>
        <v>IBAGUÉ</v>
      </c>
      <c r="D6875" s="15" t="str">
        <f>IFERROR(__xludf.DUMMYFUNCTION("""COMPUTED_VALUE"""),"BOGOTÁ")</f>
        <v>BOGOTÁ</v>
      </c>
      <c r="E6875" s="15" t="str">
        <f>IFERROR(__xludf.DUMMYFUNCTION("""COMPUTED_VALUE"""),"Top Spun")</f>
        <v>Top Spun</v>
      </c>
      <c r="F6875" s="17" t="str">
        <f>IFERROR(__xludf.DUMMYFUNCTION("""COMPUTED_VALUE"""),"Calle 3 # 7a-09 / apto 1206 / edificio altos de Belén")</f>
        <v>Calle 3 # 7a-09 / apto 1206 / edificio altos de Belén</v>
      </c>
      <c r="G6875" s="15" t="str">
        <f>IFERROR(__xludf.DUMMYFUNCTION("""COMPUTED_VALUE"""),"LAURA MEJIA DE LA PAVA")</f>
        <v>LAURA MEJIA DE LA PAVA</v>
      </c>
      <c r="H6875" s="16">
        <f>IFERROR(__xludf.DUMMYFUNCTION("""COMPUTED_VALUE"""),15551.0)</f>
        <v>15551</v>
      </c>
      <c r="I6875" s="18">
        <f>IFERROR(__xludf.DUMMYFUNCTION("""COMPUTED_VALUE"""),20.0)</f>
        <v>20</v>
      </c>
      <c r="J6875" s="18">
        <f>IFERROR(__xludf.DUMMYFUNCTION("""COMPUTED_VALUE"""),10.0)</f>
        <v>10</v>
      </c>
      <c r="K6875" s="18">
        <f>IFERROR(__xludf.DUMMYFUNCTION("""COMPUTED_VALUE"""),40.0)</f>
        <v>40</v>
      </c>
      <c r="L6875" s="17">
        <f>IFERROR(__xludf.DUMMYFUNCTION("""COMPUTED_VALUE"""),3.012901366E9)</f>
        <v>3012901366</v>
      </c>
      <c r="M6875" s="17" t="str">
        <f>IFERROR(__xludf.DUMMYFUNCTION("""COMPUTED_VALUE"""),"#REF!")</f>
        <v>#REF!</v>
      </c>
      <c r="N6875" s="17"/>
      <c r="O6875" s="17"/>
      <c r="P6875" s="17" t="b">
        <f>IFERROR(__xludf.DUMMYFUNCTION("""COMPUTED_VALUE"""),FALSE)</f>
        <v>0</v>
      </c>
      <c r="Q6875" s="20" t="str">
        <f>IFERROR(__xludf.DUMMYFUNCTION("""COMPUTED_VALUE"""),"")</f>
        <v/>
      </c>
      <c r="R6875" s="22" t="str">
        <f>IFERROR(__xludf.DUMMYFUNCTION("""COMPUTED_VALUE"""),"")</f>
        <v/>
      </c>
    </row>
    <row r="6876">
      <c r="A6876" s="17" t="str">
        <f>IFERROR(__xludf.DUMMYFUNCTION("""COMPUTED_VALUE"""),"")</f>
        <v/>
      </c>
      <c r="B6876" s="17" t="str">
        <f>IFERROR(__xludf.DUMMYFUNCTION("""COMPUTED_VALUE"""),"")</f>
        <v/>
      </c>
      <c r="C6876" s="17" t="str">
        <f>IFERROR(__xludf.DUMMYFUNCTION("""COMPUTED_VALUE"""),"")</f>
        <v/>
      </c>
      <c r="D6876" s="17" t="str">
        <f>IFERROR(__xludf.DUMMYFUNCTION("""COMPUTED_VALUE"""),"")</f>
        <v/>
      </c>
      <c r="E6876" s="17" t="str">
        <f>IFERROR(__xludf.DUMMYFUNCTION("""COMPUTED_VALUE"""),"")</f>
        <v/>
      </c>
      <c r="F6876" s="17" t="str">
        <f>IFERROR(__xludf.DUMMYFUNCTION("""COMPUTED_VALUE"""),"")</f>
        <v/>
      </c>
      <c r="G6876" s="17" t="str">
        <f>IFERROR(__xludf.DUMMYFUNCTION("""COMPUTED_VALUE"""),"")</f>
        <v/>
      </c>
      <c r="H6876" s="17" t="str">
        <f>IFERROR(__xludf.DUMMYFUNCTION("""COMPUTED_VALUE"""),"")</f>
        <v/>
      </c>
      <c r="I6876" s="17" t="str">
        <f>IFERROR(__xludf.DUMMYFUNCTION("""COMPUTED_VALUE"""),"")</f>
        <v/>
      </c>
      <c r="J6876" s="17" t="str">
        <f>IFERROR(__xludf.DUMMYFUNCTION("""COMPUTED_VALUE"""),"")</f>
        <v/>
      </c>
      <c r="K6876" s="17" t="str">
        <f>IFERROR(__xludf.DUMMYFUNCTION("""COMPUTED_VALUE"""),"")</f>
        <v/>
      </c>
      <c r="L6876" s="17" t="str">
        <f>IFERROR(__xludf.DUMMYFUNCTION("""COMPUTED_VALUE"""),"")</f>
        <v/>
      </c>
      <c r="M6876" s="17" t="str">
        <f>IFERROR(__xludf.DUMMYFUNCTION("""COMPUTED_VALUE"""),"")</f>
        <v/>
      </c>
      <c r="N6876" s="17" t="str">
        <f>IFERROR(__xludf.DUMMYFUNCTION("""COMPUTED_VALUE"""),"")</f>
        <v/>
      </c>
      <c r="O6876" s="17" t="str">
        <f>IFERROR(__xludf.DUMMYFUNCTION("""COMPUTED_VALUE"""),"")</f>
        <v/>
      </c>
      <c r="P6876" s="17" t="str">
        <f>IFERROR(__xludf.DUMMYFUNCTION("""COMPUTED_VALUE"""),"")</f>
        <v/>
      </c>
      <c r="Q6876" s="17" t="str">
        <f>IFERROR(__xludf.DUMMYFUNCTION("""COMPUTED_VALUE"""),"")</f>
        <v/>
      </c>
      <c r="R6876" s="17" t="str">
        <f>IFERROR(__xludf.DUMMYFUNCTION("""COMPUTED_VALUE"""),"")</f>
        <v/>
      </c>
    </row>
    <row r="6877">
      <c r="A6877" s="15">
        <f>IFERROR(__xludf.DUMMYFUNCTION("""COMPUTED_VALUE"""),45195.0)</f>
        <v>45195</v>
      </c>
      <c r="B6877" s="16" t="str">
        <f>IFERROR(__xludf.DUMMYFUNCTION("""COMPUTED_VALUE"""),"Johanna Arango Barrera")</f>
        <v>Johanna Arango Barrera</v>
      </c>
      <c r="C6877" s="15" t="str">
        <f>IFERROR(__xludf.DUMMYFUNCTION("""COMPUTED_VALUE"""),"BUCARAMANGA")</f>
        <v>BUCARAMANGA</v>
      </c>
      <c r="D6877" s="15" t="str">
        <f>IFERROR(__xludf.DUMMYFUNCTION("""COMPUTED_VALUE"""),"BOGOTÁ")</f>
        <v>BOGOTÁ</v>
      </c>
      <c r="E6877" s="15" t="str">
        <f>IFERROR(__xludf.DUMMYFUNCTION("""COMPUTED_VALUE"""),"Lunchy Kids")</f>
        <v>Lunchy Kids</v>
      </c>
      <c r="F6877" s="17" t="str">
        <f>IFERROR(__xludf.DUMMYFUNCTION("""COMPUTED_VALUE"""),"Carrera 41 no 40-131    / edificio Aqua Apartamento 3002 /  brr cabecera")</f>
        <v>Carrera 41 no 40-131    / edificio Aqua Apartamento 3002 /  brr cabecera</v>
      </c>
      <c r="G6877" s="15" t="str">
        <f>IFERROR(__xludf.DUMMYFUNCTION("""COMPUTED_VALUE"""),"Natalia Martínez Ardila")</f>
        <v>Natalia Martínez Ardila</v>
      </c>
      <c r="H6877" s="16">
        <f>IFERROR(__xludf.DUMMYFUNCTION("""COMPUTED_VALUE"""),15544.0)</f>
        <v>15544</v>
      </c>
      <c r="I6877" s="18">
        <f>IFERROR(__xludf.DUMMYFUNCTION("""COMPUTED_VALUE"""),10.0)</f>
        <v>10</v>
      </c>
      <c r="J6877" s="18">
        <f>IFERROR(__xludf.DUMMYFUNCTION("""COMPUTED_VALUE"""),6.0)</f>
        <v>6</v>
      </c>
      <c r="K6877" s="18">
        <f>IFERROR(__xludf.DUMMYFUNCTION("""COMPUTED_VALUE"""),29.0)</f>
        <v>29</v>
      </c>
      <c r="L6877" s="17">
        <f>IFERROR(__xludf.DUMMYFUNCTION("""COMPUTED_VALUE"""),3.185159428E9)</f>
        <v>3185159428</v>
      </c>
      <c r="M6877" s="17" t="str">
        <f>IFERROR(__xludf.DUMMYFUNCTION("""COMPUTED_VALUE"""),"#REF!")</f>
        <v>#REF!</v>
      </c>
      <c r="N6877" s="17"/>
      <c r="O6877" s="17"/>
      <c r="P6877" s="17" t="b">
        <f>IFERROR(__xludf.DUMMYFUNCTION("""COMPUTED_VALUE"""),FALSE)</f>
        <v>0</v>
      </c>
      <c r="Q6877" s="20" t="str">
        <f>IFERROR(__xludf.DUMMYFUNCTION("""COMPUTED_VALUE"""),"")</f>
        <v/>
      </c>
      <c r="R6877" s="22" t="str">
        <f>IFERROR(__xludf.DUMMYFUNCTION("""COMPUTED_VALUE"""),"")</f>
        <v/>
      </c>
    </row>
    <row r="6878">
      <c r="A6878" s="15">
        <f>IFERROR(__xludf.DUMMYFUNCTION("""COMPUTED_VALUE"""),45195.0)</f>
        <v>45195</v>
      </c>
      <c r="B6878" s="16" t="str">
        <f>IFERROR(__xludf.DUMMYFUNCTION("""COMPUTED_VALUE"""),"Johanna Arango Barrera")</f>
        <v>Johanna Arango Barrera</v>
      </c>
      <c r="C6878" s="15" t="str">
        <f>IFERROR(__xludf.DUMMYFUNCTION("""COMPUTED_VALUE"""),"FLORIDABLANCA")</f>
        <v>FLORIDABLANCA</v>
      </c>
      <c r="D6878" s="15" t="str">
        <f>IFERROR(__xludf.DUMMYFUNCTION("""COMPUTED_VALUE"""),"BOGOTÁ")</f>
        <v>BOGOTÁ</v>
      </c>
      <c r="E6878" s="15" t="str">
        <f>IFERROR(__xludf.DUMMYFUNCTION("""COMPUTED_VALUE"""),"Asociacion Agropecuaria Juana Maria")</f>
        <v>Asociacion Agropecuaria Juana Maria</v>
      </c>
      <c r="F6878" s="17" t="str">
        <f>IFERROR(__xludf.DUMMYFUNCTION("""COMPUTED_VALUE"""),"Calle 19 #11-37 Guanatá FLORIDABLANCA")</f>
        <v>Calle 19 #11-37 Guanatá FLORIDABLANCA</v>
      </c>
      <c r="G6878" s="15" t="str">
        <f>IFERROR(__xludf.DUMMYFUNCTION("""COMPUTED_VALUE"""),"Claudia Gonzalez")</f>
        <v>Claudia Gonzalez</v>
      </c>
      <c r="H6878" s="16">
        <f>IFERROR(__xludf.DUMMYFUNCTION("""COMPUTED_VALUE"""),15554.0)</f>
        <v>15554</v>
      </c>
      <c r="I6878" s="18">
        <f>IFERROR(__xludf.DUMMYFUNCTION("""COMPUTED_VALUE"""),21.0)</f>
        <v>21</v>
      </c>
      <c r="J6878" s="18">
        <f>IFERROR(__xludf.DUMMYFUNCTION("""COMPUTED_VALUE"""),37.0)</f>
        <v>37</v>
      </c>
      <c r="K6878" s="18">
        <f>IFERROR(__xludf.DUMMYFUNCTION("""COMPUTED_VALUE"""),30.0)</f>
        <v>30</v>
      </c>
      <c r="L6878" s="17">
        <f>IFERROR(__xludf.DUMMYFUNCTION("""COMPUTED_VALUE"""),3.002802001E9)</f>
        <v>3002802001</v>
      </c>
      <c r="M6878" s="17" t="str">
        <f>IFERROR(__xludf.DUMMYFUNCTION("""COMPUTED_VALUE"""),"#REF!")</f>
        <v>#REF!</v>
      </c>
      <c r="N6878" s="17"/>
      <c r="O6878" s="17"/>
      <c r="P6878" s="17" t="b">
        <f>IFERROR(__xludf.DUMMYFUNCTION("""COMPUTED_VALUE"""),FALSE)</f>
        <v>0</v>
      </c>
      <c r="Q6878" s="20" t="str">
        <f>IFERROR(__xludf.DUMMYFUNCTION("""COMPUTED_VALUE"""),"")</f>
        <v/>
      </c>
      <c r="R6878" s="22" t="str">
        <f>IFERROR(__xludf.DUMMYFUNCTION("""COMPUTED_VALUE"""),"")</f>
        <v/>
      </c>
    </row>
    <row r="6879">
      <c r="A6879" s="15">
        <f>IFERROR(__xludf.DUMMYFUNCTION("""COMPUTED_VALUE"""),45195.0)</f>
        <v>45195</v>
      </c>
      <c r="B6879" s="16" t="str">
        <f>IFERROR(__xludf.DUMMYFUNCTION("""COMPUTED_VALUE"""),"Johanna Arango Barrera")</f>
        <v>Johanna Arango Barrera</v>
      </c>
      <c r="C6879" s="15" t="str">
        <f>IFERROR(__xludf.DUMMYFUNCTION("""COMPUTED_VALUE"""),"FLORIDABLANCA")</f>
        <v>FLORIDABLANCA</v>
      </c>
      <c r="D6879" s="15" t="str">
        <f>IFERROR(__xludf.DUMMYFUNCTION("""COMPUTED_VALUE"""),"BOGOTÁ")</f>
        <v>BOGOTÁ</v>
      </c>
      <c r="E6879" s="15" t="str">
        <f>IFERROR(__xludf.DUMMYFUNCTION("""COMPUTED_VALUE"""),"Asociacion Agropecuaria Juana Maria")</f>
        <v>Asociacion Agropecuaria Juana Maria</v>
      </c>
      <c r="F6879" s="17" t="str">
        <f>IFERROR(__xludf.DUMMYFUNCTION("""COMPUTED_VALUE"""),"Calle 19 #11-37 Guanatá FLORIDABLANCA")</f>
        <v>Calle 19 #11-37 Guanatá FLORIDABLANCA</v>
      </c>
      <c r="G6879" s="15" t="str">
        <f>IFERROR(__xludf.DUMMYFUNCTION("""COMPUTED_VALUE"""),"Claudia Gonzalez")</f>
        <v>Claudia Gonzalez</v>
      </c>
      <c r="H6879" s="16">
        <f>IFERROR(__xludf.DUMMYFUNCTION("""COMPUTED_VALUE"""),15555.0)</f>
        <v>15555</v>
      </c>
      <c r="I6879" s="18">
        <f>IFERROR(__xludf.DUMMYFUNCTION("""COMPUTED_VALUE"""),12.0)</f>
        <v>12</v>
      </c>
      <c r="J6879" s="18">
        <f>IFERROR(__xludf.DUMMYFUNCTION("""COMPUTED_VALUE"""),37.0)</f>
        <v>37</v>
      </c>
      <c r="K6879" s="18">
        <f>IFERROR(__xludf.DUMMYFUNCTION("""COMPUTED_VALUE"""),24.0)</f>
        <v>24</v>
      </c>
      <c r="L6879" s="17">
        <f>IFERROR(__xludf.DUMMYFUNCTION("""COMPUTED_VALUE"""),3.002802001E9)</f>
        <v>3002802001</v>
      </c>
      <c r="M6879" s="17" t="str">
        <f>IFERROR(__xludf.DUMMYFUNCTION("""COMPUTED_VALUE"""),"#REF!")</f>
        <v>#REF!</v>
      </c>
      <c r="N6879" s="17"/>
      <c r="O6879" s="17"/>
      <c r="P6879" s="17" t="b">
        <f>IFERROR(__xludf.DUMMYFUNCTION("""COMPUTED_VALUE"""),FALSE)</f>
        <v>0</v>
      </c>
      <c r="Q6879" s="20" t="str">
        <f>IFERROR(__xludf.DUMMYFUNCTION("""COMPUTED_VALUE"""),"")</f>
        <v/>
      </c>
      <c r="R6879" s="22" t="str">
        <f>IFERROR(__xludf.DUMMYFUNCTION("""COMPUTED_VALUE"""),"")</f>
        <v/>
      </c>
    </row>
    <row r="6880">
      <c r="A6880" s="15">
        <f>IFERROR(__xludf.DUMMYFUNCTION("""COMPUTED_VALUE"""),45195.0)</f>
        <v>45195</v>
      </c>
      <c r="B6880" s="16" t="str">
        <f>IFERROR(__xludf.DUMMYFUNCTION("""COMPUTED_VALUE"""),"Johanna Arango Barrera")</f>
        <v>Johanna Arango Barrera</v>
      </c>
      <c r="C6880" s="15" t="str">
        <f>IFERROR(__xludf.DUMMYFUNCTION("""COMPUTED_VALUE"""),"FLORIDABLANCA")</f>
        <v>FLORIDABLANCA</v>
      </c>
      <c r="D6880" s="15" t="str">
        <f>IFERROR(__xludf.DUMMYFUNCTION("""COMPUTED_VALUE"""),"BOGOTÁ")</f>
        <v>BOGOTÁ</v>
      </c>
      <c r="E6880" s="15" t="str">
        <f>IFERROR(__xludf.DUMMYFUNCTION("""COMPUTED_VALUE"""),"Ins. Alimento Vital")</f>
        <v>Ins. Alimento Vital</v>
      </c>
      <c r="F6880" s="17" t="str">
        <f>IFERROR(__xludf.DUMMYFUNCTION("""COMPUTED_VALUE"""),"CL 30 22 129 AP 2001 / EDIFICIO VENTUS AP 2001 / BARRIO CAÑAVERAL")</f>
        <v>CL 30 22 129 AP 2001 / EDIFICIO VENTUS AP 2001 / BARRIO CAÑAVERAL</v>
      </c>
      <c r="G6880" s="15" t="str">
        <f>IFERROR(__xludf.DUMMYFUNCTION("""COMPUTED_VALUE"""),"LUZ ALEJANDRA URIBE ANGARITA")</f>
        <v>LUZ ALEJANDRA URIBE ANGARITA</v>
      </c>
      <c r="H6880" s="16">
        <f>IFERROR(__xludf.DUMMYFUNCTION("""COMPUTED_VALUE"""),15625.0)</f>
        <v>15625</v>
      </c>
      <c r="I6880" s="18">
        <f>IFERROR(__xludf.DUMMYFUNCTION("""COMPUTED_VALUE"""),1.0)</f>
        <v>1</v>
      </c>
      <c r="J6880" s="18">
        <f>IFERROR(__xludf.DUMMYFUNCTION("""COMPUTED_VALUE"""),1.0)</f>
        <v>1</v>
      </c>
      <c r="K6880" s="18">
        <f>IFERROR(__xludf.DUMMYFUNCTION("""COMPUTED_VALUE"""),1.0)</f>
        <v>1</v>
      </c>
      <c r="L6880" s="17">
        <f>IFERROR(__xludf.DUMMYFUNCTION("""COMPUTED_VALUE"""),3.005691834E9)</f>
        <v>3005691834</v>
      </c>
      <c r="M6880" s="17" t="str">
        <f>IFERROR(__xludf.DUMMYFUNCTION("""COMPUTED_VALUE"""),"#REF!")</f>
        <v>#REF!</v>
      </c>
      <c r="N6880" s="17"/>
      <c r="O6880" s="17"/>
      <c r="P6880" s="17" t="b">
        <f>IFERROR(__xludf.DUMMYFUNCTION("""COMPUTED_VALUE"""),FALSE)</f>
        <v>0</v>
      </c>
      <c r="Q6880" s="20" t="str">
        <f>IFERROR(__xludf.DUMMYFUNCTION("""COMPUTED_VALUE"""),"")</f>
        <v/>
      </c>
      <c r="R6880" s="22" t="str">
        <f>IFERROR(__xludf.DUMMYFUNCTION("""COMPUTED_VALUE"""),"")</f>
        <v/>
      </c>
    </row>
    <row r="6881">
      <c r="A6881" s="15">
        <f>IFERROR(__xludf.DUMMYFUNCTION("""COMPUTED_VALUE"""),45195.0)</f>
        <v>45195</v>
      </c>
      <c r="B6881" s="16" t="str">
        <f>IFERROR(__xludf.DUMMYFUNCTION("""COMPUTED_VALUE"""),"Johanna Arango Barrera")</f>
        <v>Johanna Arango Barrera</v>
      </c>
      <c r="C6881" s="15" t="str">
        <f>IFERROR(__xludf.DUMMYFUNCTION("""COMPUTED_VALUE"""),"PEREIRA")</f>
        <v>PEREIRA</v>
      </c>
      <c r="D6881" s="15" t="str">
        <f>IFERROR(__xludf.DUMMYFUNCTION("""COMPUTED_VALUE"""),"MEDELLÍN")</f>
        <v>MEDELLÍN</v>
      </c>
      <c r="E6881" s="15" t="str">
        <f>IFERROR(__xludf.DUMMYFUNCTION("""COMPUTED_VALUE"""),"Rambla")</f>
        <v>Rambla</v>
      </c>
      <c r="F6881" s="17" t="str">
        <f>IFERROR(__xludf.DUMMYFUNCTION("""COMPUTED_VALUE"""),"Unicnetro nivel b local b 04 Pereira / - / -")</f>
        <v>Unicnetro nivel b local b 04 Pereira / - / -</v>
      </c>
      <c r="G6881" s="15" t="str">
        <f>IFERROR(__xludf.DUMMYFUNCTION("""COMPUTED_VALUE"""),"Terrasano")</f>
        <v>Terrasano</v>
      </c>
      <c r="H6881" s="16">
        <f>IFERROR(__xludf.DUMMYFUNCTION("""COMPUTED_VALUE"""),15631.0)</f>
        <v>15631</v>
      </c>
      <c r="I6881" s="18">
        <f>IFERROR(__xludf.DUMMYFUNCTION("""COMPUTED_VALUE"""),22.0)</f>
        <v>22</v>
      </c>
      <c r="J6881" s="18">
        <f>IFERROR(__xludf.DUMMYFUNCTION("""COMPUTED_VALUE"""),22.0)</f>
        <v>22</v>
      </c>
      <c r="K6881" s="18">
        <f>IFERROR(__xludf.DUMMYFUNCTION("""COMPUTED_VALUE"""),24.0)</f>
        <v>24</v>
      </c>
      <c r="L6881" s="17">
        <f>IFERROR(__xludf.DUMMYFUNCTION("""COMPUTED_VALUE"""),3.234572533E9)</f>
        <v>3234572533</v>
      </c>
      <c r="M6881" s="17" t="str">
        <f>IFERROR(__xludf.DUMMYFUNCTION("""COMPUTED_VALUE"""),"#REF!")</f>
        <v>#REF!</v>
      </c>
      <c r="N6881" s="17"/>
      <c r="O6881" s="17"/>
      <c r="P6881" s="17" t="b">
        <f>IFERROR(__xludf.DUMMYFUNCTION("""COMPUTED_VALUE"""),FALSE)</f>
        <v>0</v>
      </c>
      <c r="Q6881" s="20" t="str">
        <f>IFERROR(__xludf.DUMMYFUNCTION("""COMPUTED_VALUE"""),"")</f>
        <v/>
      </c>
      <c r="R6881" s="21" t="str">
        <f>IFERROR(__xludf.DUMMYFUNCTION("""COMPUTED_VALUE"""),"https://drive.google.com/file/d/1Wbb4v0dAv4ybDP8JUKmbxaioRVIlHzyV/view?usp=drivesdk")</f>
        <v>https://drive.google.com/file/d/1Wbb4v0dAv4ybDP8JUKmbxaioRVIlHzyV/view?usp=drivesdk</v>
      </c>
    </row>
    <row r="6882">
      <c r="A6882" s="15">
        <f>IFERROR(__xludf.DUMMYFUNCTION("""COMPUTED_VALUE"""),45195.0)</f>
        <v>45195</v>
      </c>
      <c r="B6882" s="16" t="str">
        <f>IFERROR(__xludf.DUMMYFUNCTION("""COMPUTED_VALUE"""),"Johanna Arango Barrera")</f>
        <v>Johanna Arango Barrera</v>
      </c>
      <c r="C6882" s="15" t="str">
        <f>IFERROR(__xludf.DUMMYFUNCTION("""COMPUTED_VALUE"""),"PEREIRA")</f>
        <v>PEREIRA</v>
      </c>
      <c r="D6882" s="15" t="str">
        <f>IFERROR(__xludf.DUMMYFUNCTION("""COMPUTED_VALUE"""),"MEDELLÍN")</f>
        <v>MEDELLÍN</v>
      </c>
      <c r="E6882" s="15" t="str">
        <f>IFERROR(__xludf.DUMMYFUNCTION("""COMPUTED_VALUE"""),"Todo Bufala")</f>
        <v>Todo Bufala</v>
      </c>
      <c r="F6882" s="17" t="str">
        <f>IFERROR(__xludf.DUMMYFUNCTION("""COMPUTED_VALUE"""),"Cra 14 N 12-55 Circunvalar")</f>
        <v>Cra 14 N 12-55 Circunvalar</v>
      </c>
      <c r="G6882" s="15" t="str">
        <f>IFERROR(__xludf.DUMMYFUNCTION("""COMPUTED_VALUE"""),"Jeimy Jaramillo-Inversiones saludables vita SAS")</f>
        <v>Jeimy Jaramillo-Inversiones saludables vita SAS</v>
      </c>
      <c r="H6882" s="16">
        <f>IFERROR(__xludf.DUMMYFUNCTION("""COMPUTED_VALUE"""),15560.0)</f>
        <v>15560</v>
      </c>
      <c r="I6882" s="18">
        <f>IFERROR(__xludf.DUMMYFUNCTION("""COMPUTED_VALUE"""),20.0)</f>
        <v>20</v>
      </c>
      <c r="J6882" s="18">
        <f>IFERROR(__xludf.DUMMYFUNCTION("""COMPUTED_VALUE"""),15.0)</f>
        <v>15</v>
      </c>
      <c r="K6882" s="18">
        <f>IFERROR(__xludf.DUMMYFUNCTION("""COMPUTED_VALUE"""),20.0)</f>
        <v>20</v>
      </c>
      <c r="L6882" s="17">
        <f>IFERROR(__xludf.DUMMYFUNCTION("""COMPUTED_VALUE"""),3.14645528E9)</f>
        <v>3146455280</v>
      </c>
      <c r="M6882" s="17" t="str">
        <f>IFERROR(__xludf.DUMMYFUNCTION("""COMPUTED_VALUE"""),"#REF!")</f>
        <v>#REF!</v>
      </c>
      <c r="N6882" s="17"/>
      <c r="O6882" s="17"/>
      <c r="P6882" s="17" t="b">
        <f>IFERROR(__xludf.DUMMYFUNCTION("""COMPUTED_VALUE"""),FALSE)</f>
        <v>0</v>
      </c>
      <c r="Q6882" s="20" t="str">
        <f>IFERROR(__xludf.DUMMYFUNCTION("""COMPUTED_VALUE"""),"")</f>
        <v/>
      </c>
      <c r="R6882" s="21" t="str">
        <f>IFERROR(__xludf.DUMMYFUNCTION("""COMPUTED_VALUE"""),"https://drive.google.com/file/d/1Q1ecDV-yPrsJyKTKxlkd7Dda24wkgQS-/view?usp=drivesdk")</f>
        <v>https://drive.google.com/file/d/1Q1ecDV-yPrsJyKTKxlkd7Dda24wkgQS-/view?usp=drivesdk</v>
      </c>
    </row>
    <row r="6883">
      <c r="A6883" s="17" t="str">
        <f>IFERROR(__xludf.DUMMYFUNCTION("""COMPUTED_VALUE"""),"")</f>
        <v/>
      </c>
      <c r="B6883" s="17" t="str">
        <f>IFERROR(__xludf.DUMMYFUNCTION("""COMPUTED_VALUE"""),"")</f>
        <v/>
      </c>
      <c r="C6883" s="17" t="str">
        <f>IFERROR(__xludf.DUMMYFUNCTION("""COMPUTED_VALUE"""),"")</f>
        <v/>
      </c>
      <c r="D6883" s="17" t="str">
        <f>IFERROR(__xludf.DUMMYFUNCTION("""COMPUTED_VALUE"""),"")</f>
        <v/>
      </c>
      <c r="E6883" s="17" t="str">
        <f>IFERROR(__xludf.DUMMYFUNCTION("""COMPUTED_VALUE"""),"")</f>
        <v/>
      </c>
      <c r="F6883" s="17" t="str">
        <f>IFERROR(__xludf.DUMMYFUNCTION("""COMPUTED_VALUE"""),"")</f>
        <v/>
      </c>
      <c r="G6883" s="17" t="str">
        <f>IFERROR(__xludf.DUMMYFUNCTION("""COMPUTED_VALUE"""),"")</f>
        <v/>
      </c>
      <c r="H6883" s="17" t="str">
        <f>IFERROR(__xludf.DUMMYFUNCTION("""COMPUTED_VALUE"""),"")</f>
        <v/>
      </c>
      <c r="I6883" s="17" t="str">
        <f>IFERROR(__xludf.DUMMYFUNCTION("""COMPUTED_VALUE"""),"")</f>
        <v/>
      </c>
      <c r="J6883" s="17" t="str">
        <f>IFERROR(__xludf.DUMMYFUNCTION("""COMPUTED_VALUE"""),"")</f>
        <v/>
      </c>
      <c r="K6883" s="17" t="str">
        <f>IFERROR(__xludf.DUMMYFUNCTION("""COMPUTED_VALUE"""),"")</f>
        <v/>
      </c>
      <c r="L6883" s="17" t="str">
        <f>IFERROR(__xludf.DUMMYFUNCTION("""COMPUTED_VALUE"""),"")</f>
        <v/>
      </c>
      <c r="M6883" s="17" t="str">
        <f>IFERROR(__xludf.DUMMYFUNCTION("""COMPUTED_VALUE"""),"")</f>
        <v/>
      </c>
      <c r="N6883" s="17" t="str">
        <f>IFERROR(__xludf.DUMMYFUNCTION("""COMPUTED_VALUE"""),"")</f>
        <v/>
      </c>
      <c r="O6883" s="17" t="str">
        <f>IFERROR(__xludf.DUMMYFUNCTION("""COMPUTED_VALUE"""),"")</f>
        <v/>
      </c>
      <c r="P6883" s="17" t="str">
        <f>IFERROR(__xludf.DUMMYFUNCTION("""COMPUTED_VALUE"""),"")</f>
        <v/>
      </c>
      <c r="Q6883" s="17" t="str">
        <f>IFERROR(__xludf.DUMMYFUNCTION("""COMPUTED_VALUE"""),"")</f>
        <v/>
      </c>
      <c r="R6883" s="17" t="str">
        <f>IFERROR(__xludf.DUMMYFUNCTION("""COMPUTED_VALUE"""),"")</f>
        <v/>
      </c>
    </row>
    <row r="6884">
      <c r="A6884" s="15">
        <f>IFERROR(__xludf.DUMMYFUNCTION("""COMPUTED_VALUE"""),45195.0)</f>
        <v>45195</v>
      </c>
      <c r="B6884" s="16" t="str">
        <f>IFERROR(__xludf.DUMMYFUNCTION("""COMPUTED_VALUE"""),"Julián Alexis salazar Anaya ")</f>
        <v>Julián Alexis salazar Anaya </v>
      </c>
      <c r="C6884" s="15" t="str">
        <f>IFERROR(__xludf.DUMMYFUNCTION("""COMPUTED_VALUE"""),"ARMENIA")</f>
        <v>ARMENIA</v>
      </c>
      <c r="D6884" s="15" t="str">
        <f>IFERROR(__xludf.DUMMYFUNCTION("""COMPUTED_VALUE"""),"BOGOTÁ")</f>
        <v>BOGOTÁ</v>
      </c>
      <c r="E6884" s="15" t="str">
        <f>IFERROR(__xludf.DUMMYFUNCTION("""COMPUTED_VALUE"""),"Evamazzita")</f>
        <v>Evamazzita</v>
      </c>
      <c r="F6884" s="17" t="str">
        <f>IFERROR(__xludf.DUMMYFUNCTION("""COMPUTED_VALUE"""),"Mercedes del Norte Manzana 17 casa 4  Armenia Quindio / Mercedes del Norte Manzana 17 casa 4  Armenia Quindio")</f>
        <v>Mercedes del Norte Manzana 17 casa 4  Armenia Quindio / Mercedes del Norte Manzana 17 casa 4  Armenia Quindio</v>
      </c>
      <c r="G6884" s="15" t="str">
        <f>IFERROR(__xludf.DUMMYFUNCTION("""COMPUTED_VALUE"""),"TATIANA RAMIREZ GIRALDO")</f>
        <v>TATIANA RAMIREZ GIRALDO</v>
      </c>
      <c r="H6884" s="16">
        <f>IFERROR(__xludf.DUMMYFUNCTION("""COMPUTED_VALUE"""),15632.0)</f>
        <v>15632</v>
      </c>
      <c r="I6884" s="18">
        <f>IFERROR(__xludf.DUMMYFUNCTION("""COMPUTED_VALUE"""),1.0)</f>
        <v>1</v>
      </c>
      <c r="J6884" s="18">
        <f>IFERROR(__xludf.DUMMYFUNCTION("""COMPUTED_VALUE"""),1.0)</f>
        <v>1</v>
      </c>
      <c r="K6884" s="18">
        <f>IFERROR(__xludf.DUMMYFUNCTION("""COMPUTED_VALUE"""),1.0)</f>
        <v>1</v>
      </c>
      <c r="L6884" s="17" t="str">
        <f>IFERROR(__xludf.DUMMYFUNCTION("""COMPUTED_VALUE"""),"TATIANA RAMIREZ GIRALDO")</f>
        <v>TATIANA RAMIREZ GIRALDO</v>
      </c>
      <c r="M6884" s="17" t="str">
        <f>IFERROR(__xludf.DUMMYFUNCTION("""COMPUTED_VALUE"""),"#REF!")</f>
        <v>#REF!</v>
      </c>
      <c r="N6884" s="17"/>
      <c r="O6884" s="17"/>
      <c r="P6884" s="17" t="b">
        <f>IFERROR(__xludf.DUMMYFUNCTION("""COMPUTED_VALUE"""),FALSE)</f>
        <v>0</v>
      </c>
      <c r="Q6884" s="20" t="str">
        <f>IFERROR(__xludf.DUMMYFUNCTION("""COMPUTED_VALUE"""),"")</f>
        <v/>
      </c>
      <c r="R6884" s="22" t="str">
        <f>IFERROR(__xludf.DUMMYFUNCTION("""COMPUTED_VALUE"""),"")</f>
        <v/>
      </c>
    </row>
    <row r="6885">
      <c r="A6885" s="15">
        <f>IFERROR(__xludf.DUMMYFUNCTION("""COMPUTED_VALUE"""),45195.0)</f>
        <v>45195</v>
      </c>
      <c r="B6885" s="16" t="str">
        <f>IFERROR(__xludf.DUMMYFUNCTION("""COMPUTED_VALUE"""),"Julián Alexis salazar Anaya ")</f>
        <v>Julián Alexis salazar Anaya </v>
      </c>
      <c r="C6885" s="15" t="str">
        <f>IFERROR(__xludf.DUMMYFUNCTION("""COMPUTED_VALUE"""),"ARMENIA")</f>
        <v>ARMENIA</v>
      </c>
      <c r="D6885" s="15" t="str">
        <f>IFERROR(__xludf.DUMMYFUNCTION("""COMPUTED_VALUE"""),"BOGOTÁ")</f>
        <v>BOGOTÁ</v>
      </c>
      <c r="E6885" s="15" t="str">
        <f>IFERROR(__xludf.DUMMYFUNCTION("""COMPUTED_VALUE"""),"Pan de Waffle")</f>
        <v>Pan de Waffle</v>
      </c>
      <c r="F6885" s="17" t="str">
        <f>IFERROR(__xludf.DUMMYFUNCTION("""COMPUTED_VALUE"""),"carrera 13 # 9a - 58, local 5, con la castellana / carrera 13 # 9a - 58, local 5, con la castellana / carrera 13 # 9a - 58, local 5, con la castellana")</f>
        <v>carrera 13 # 9a - 58, local 5, con la castellana / carrera 13 # 9a - 58, local 5, con la castellana / carrera 13 # 9a - 58, local 5, con la castellana</v>
      </c>
      <c r="G6885" s="15" t="str">
        <f>IFERROR(__xludf.DUMMYFUNCTION("""COMPUTED_VALUE"""),"TIENDA FITNESS ECO")</f>
        <v>TIENDA FITNESS ECO</v>
      </c>
      <c r="H6885" s="16">
        <f>IFERROR(__xludf.DUMMYFUNCTION("""COMPUTED_VALUE"""),15583.0)</f>
        <v>15583</v>
      </c>
      <c r="I6885" s="18">
        <f>IFERROR(__xludf.DUMMYFUNCTION("""COMPUTED_VALUE"""),30.0)</f>
        <v>30</v>
      </c>
      <c r="J6885" s="18">
        <f>IFERROR(__xludf.DUMMYFUNCTION("""COMPUTED_VALUE"""),40.0)</f>
        <v>40</v>
      </c>
      <c r="K6885" s="18">
        <f>IFERROR(__xludf.DUMMYFUNCTION("""COMPUTED_VALUE"""),40.0)</f>
        <v>40</v>
      </c>
      <c r="L6885" s="17">
        <f>IFERROR(__xludf.DUMMYFUNCTION("""COMPUTED_VALUE"""),3.217007417E9)</f>
        <v>3217007417</v>
      </c>
      <c r="M6885" s="17" t="str">
        <f>IFERROR(__xludf.DUMMYFUNCTION("""COMPUTED_VALUE"""),"#REF!")</f>
        <v>#REF!</v>
      </c>
      <c r="N6885" s="17"/>
      <c r="O6885" s="17"/>
      <c r="P6885" s="17" t="b">
        <f>IFERROR(__xludf.DUMMYFUNCTION("""COMPUTED_VALUE"""),FALSE)</f>
        <v>0</v>
      </c>
      <c r="Q6885" s="20" t="str">
        <f>IFERROR(__xludf.DUMMYFUNCTION("""COMPUTED_VALUE"""),"")</f>
        <v/>
      </c>
      <c r="R6885" s="22" t="str">
        <f>IFERROR(__xludf.DUMMYFUNCTION("""COMPUTED_VALUE"""),"")</f>
        <v/>
      </c>
    </row>
    <row r="6886">
      <c r="A6886" s="15">
        <f>IFERROR(__xludf.DUMMYFUNCTION("""COMPUTED_VALUE"""),45195.0)</f>
        <v>45195</v>
      </c>
      <c r="B6886" s="16" t="str">
        <f>IFERROR(__xludf.DUMMYFUNCTION("""COMPUTED_VALUE"""),"Julián Alexis salazar Anaya ")</f>
        <v>Julián Alexis salazar Anaya </v>
      </c>
      <c r="C6886" s="15" t="str">
        <f>IFERROR(__xludf.DUMMYFUNCTION("""COMPUTED_VALUE"""),"ARMENIA")</f>
        <v>ARMENIA</v>
      </c>
      <c r="D6886" s="15" t="str">
        <f>IFERROR(__xludf.DUMMYFUNCTION("""COMPUTED_VALUE"""),"MEDELLÍN")</f>
        <v>MEDELLÍN</v>
      </c>
      <c r="E6886" s="15" t="str">
        <f>IFERROR(__xludf.DUMMYFUNCTION("""COMPUTED_VALUE"""),"AREPAS LA MARY")</f>
        <v>AREPAS LA MARY</v>
      </c>
      <c r="F6886" s="17" t="str">
        <f>IFERROR(__xludf.DUMMYFUNCTION("""COMPUTED_VALUE"""),"calle 3ra norte # 15-10esquina")</f>
        <v>calle 3ra norte # 15-10esquina</v>
      </c>
      <c r="G6886" s="15" t="str">
        <f>IFERROR(__xludf.DUMMYFUNCTION("""COMPUTED_VALUE"""),"ayni diseño de arte y cafe")</f>
        <v>ayni diseño de arte y cafe</v>
      </c>
      <c r="H6886" s="16">
        <f>IFERROR(__xludf.DUMMYFUNCTION("""COMPUTED_VALUE"""),15578.0)</f>
        <v>15578</v>
      </c>
      <c r="I6886" s="18">
        <f>IFERROR(__xludf.DUMMYFUNCTION("""COMPUTED_VALUE"""),89.0)</f>
        <v>89</v>
      </c>
      <c r="J6886" s="18">
        <f>IFERROR(__xludf.DUMMYFUNCTION("""COMPUTED_VALUE"""),1.0)</f>
        <v>1</v>
      </c>
      <c r="K6886" s="18">
        <f>IFERROR(__xludf.DUMMYFUNCTION("""COMPUTED_VALUE"""),10.0)</f>
        <v>10</v>
      </c>
      <c r="L6886" s="17">
        <f>IFERROR(__xludf.DUMMYFUNCTION("""COMPUTED_VALUE"""),3.016571819E9)</f>
        <v>3016571819</v>
      </c>
      <c r="M6886" s="17" t="str">
        <f>IFERROR(__xludf.DUMMYFUNCTION("""COMPUTED_VALUE"""),"#REF!")</f>
        <v>#REF!</v>
      </c>
      <c r="N6886" s="17"/>
      <c r="O6886" s="17"/>
      <c r="P6886" s="17" t="b">
        <f>IFERROR(__xludf.DUMMYFUNCTION("""COMPUTED_VALUE"""),FALSE)</f>
        <v>0</v>
      </c>
      <c r="Q6886" s="20" t="str">
        <f>IFERROR(__xludf.DUMMYFUNCTION("""COMPUTED_VALUE"""),"")</f>
        <v/>
      </c>
      <c r="R6886" s="22" t="str">
        <f>IFERROR(__xludf.DUMMYFUNCTION("""COMPUTED_VALUE"""),"")</f>
        <v/>
      </c>
    </row>
    <row r="6887">
      <c r="A6887" s="15">
        <f>IFERROR(__xludf.DUMMYFUNCTION("""COMPUTED_VALUE"""),45195.0)</f>
        <v>45195</v>
      </c>
      <c r="B6887" s="16" t="str">
        <f>IFERROR(__xludf.DUMMYFUNCTION("""COMPUTED_VALUE"""),"Julián Alexis salazar Anaya ")</f>
        <v>Julián Alexis salazar Anaya </v>
      </c>
      <c r="C6887" s="15" t="str">
        <f>IFERROR(__xludf.DUMMYFUNCTION("""COMPUTED_VALUE"""),"FUSAGASUGA")</f>
        <v>FUSAGASUGA</v>
      </c>
      <c r="D6887" s="15" t="str">
        <f>IFERROR(__xludf.DUMMYFUNCTION("""COMPUTED_VALUE"""),"BOGOTÁ")</f>
        <v>BOGOTÁ</v>
      </c>
      <c r="E6887" s="15" t="str">
        <f>IFERROR(__xludf.DUMMYFUNCTION("""COMPUTED_VALUE"""),"Evamazzita")</f>
        <v>Evamazzita</v>
      </c>
      <c r="F6887" s="17" t="str">
        <f>IFERROR(__xludf.DUMMYFUNCTION("""COMPUTED_VALUE"""),"CARRERA 5 # 19 - 33 / CONJUNTO LA ARBOLEDA CASA 1 FUSACATAN")</f>
        <v>CARRERA 5 # 19 - 33 / CONJUNTO LA ARBOLEDA CASA 1 FUSACATAN</v>
      </c>
      <c r="G6887" s="15" t="str">
        <f>IFERROR(__xludf.DUMMYFUNCTION("""COMPUTED_VALUE"""),"SUSANA ESPINOSA")</f>
        <v>SUSANA ESPINOSA</v>
      </c>
      <c r="H6887" s="16">
        <f>IFERROR(__xludf.DUMMYFUNCTION("""COMPUTED_VALUE"""),15595.0)</f>
        <v>15595</v>
      </c>
      <c r="I6887" s="18">
        <f>IFERROR(__xludf.DUMMYFUNCTION("""COMPUTED_VALUE"""),1.0)</f>
        <v>1</v>
      </c>
      <c r="J6887" s="18">
        <f>IFERROR(__xludf.DUMMYFUNCTION("""COMPUTED_VALUE"""),1.0)</f>
        <v>1</v>
      </c>
      <c r="K6887" s="18">
        <f>IFERROR(__xludf.DUMMYFUNCTION("""COMPUTED_VALUE"""),1.0)</f>
        <v>1</v>
      </c>
      <c r="L6887" s="17">
        <f>IFERROR(__xludf.DUMMYFUNCTION("""COMPUTED_VALUE"""),3.214236601E9)</f>
        <v>3214236601</v>
      </c>
      <c r="M6887" s="17" t="str">
        <f>IFERROR(__xludf.DUMMYFUNCTION("""COMPUTED_VALUE"""),"#REF!")</f>
        <v>#REF!</v>
      </c>
      <c r="N6887" s="17"/>
      <c r="O6887" s="17"/>
      <c r="P6887" s="17" t="b">
        <f>IFERROR(__xludf.DUMMYFUNCTION("""COMPUTED_VALUE"""),FALSE)</f>
        <v>0</v>
      </c>
      <c r="Q6887" s="20" t="str">
        <f>IFERROR(__xludf.DUMMYFUNCTION("""COMPUTED_VALUE"""),"")</f>
        <v/>
      </c>
      <c r="R6887" s="22" t="str">
        <f>IFERROR(__xludf.DUMMYFUNCTION("""COMPUTED_VALUE"""),"")</f>
        <v/>
      </c>
    </row>
    <row r="6888">
      <c r="A6888" s="17" t="str">
        <f>IFERROR(__xludf.DUMMYFUNCTION("""COMPUTED_VALUE"""),"")</f>
        <v/>
      </c>
      <c r="B6888" s="17" t="str">
        <f>IFERROR(__xludf.DUMMYFUNCTION("""COMPUTED_VALUE"""),"")</f>
        <v/>
      </c>
      <c r="C6888" s="17" t="str">
        <f>IFERROR(__xludf.DUMMYFUNCTION("""COMPUTED_VALUE"""),"")</f>
        <v/>
      </c>
      <c r="D6888" s="17" t="str">
        <f>IFERROR(__xludf.DUMMYFUNCTION("""COMPUTED_VALUE"""),"")</f>
        <v/>
      </c>
      <c r="E6888" s="17" t="str">
        <f>IFERROR(__xludf.DUMMYFUNCTION("""COMPUTED_VALUE"""),"")</f>
        <v/>
      </c>
      <c r="F6888" s="17" t="str">
        <f>IFERROR(__xludf.DUMMYFUNCTION("""COMPUTED_VALUE"""),"")</f>
        <v/>
      </c>
      <c r="G6888" s="17" t="str">
        <f>IFERROR(__xludf.DUMMYFUNCTION("""COMPUTED_VALUE"""),"")</f>
        <v/>
      </c>
      <c r="H6888" s="17" t="str">
        <f>IFERROR(__xludf.DUMMYFUNCTION("""COMPUTED_VALUE"""),"")</f>
        <v/>
      </c>
      <c r="I6888" s="17" t="str">
        <f>IFERROR(__xludf.DUMMYFUNCTION("""COMPUTED_VALUE"""),"")</f>
        <v/>
      </c>
      <c r="J6888" s="17" t="str">
        <f>IFERROR(__xludf.DUMMYFUNCTION("""COMPUTED_VALUE"""),"")</f>
        <v/>
      </c>
      <c r="K6888" s="17" t="str">
        <f>IFERROR(__xludf.DUMMYFUNCTION("""COMPUTED_VALUE"""),"")</f>
        <v/>
      </c>
      <c r="L6888" s="17" t="str">
        <f>IFERROR(__xludf.DUMMYFUNCTION("""COMPUTED_VALUE"""),"")</f>
        <v/>
      </c>
      <c r="M6888" s="17" t="str">
        <f>IFERROR(__xludf.DUMMYFUNCTION("""COMPUTED_VALUE"""),"")</f>
        <v/>
      </c>
      <c r="N6888" s="17" t="str">
        <f>IFERROR(__xludf.DUMMYFUNCTION("""COMPUTED_VALUE"""),"")</f>
        <v/>
      </c>
      <c r="O6888" s="17" t="str">
        <f>IFERROR(__xludf.DUMMYFUNCTION("""COMPUTED_VALUE"""),"")</f>
        <v/>
      </c>
      <c r="P6888" s="17" t="str">
        <f>IFERROR(__xludf.DUMMYFUNCTION("""COMPUTED_VALUE"""),"")</f>
        <v/>
      </c>
      <c r="Q6888" s="17" t="str">
        <f>IFERROR(__xludf.DUMMYFUNCTION("""COMPUTED_VALUE"""),"")</f>
        <v/>
      </c>
      <c r="R6888" s="17" t="str">
        <f>IFERROR(__xludf.DUMMYFUNCTION("""COMPUTED_VALUE"""),"")</f>
        <v/>
      </c>
    </row>
    <row r="6889">
      <c r="A6889" s="15">
        <f>IFERROR(__xludf.DUMMYFUNCTION("""COMPUTED_VALUE"""),45195.0)</f>
        <v>45195</v>
      </c>
      <c r="B6889" s="16" t="str">
        <f>IFERROR(__xludf.DUMMYFUNCTION("""COMPUTED_VALUE"""),"Santiago Garces Restrepo")</f>
        <v>Santiago Garces Restrepo</v>
      </c>
      <c r="C6889" s="15" t="str">
        <f>IFERROR(__xludf.DUMMYFUNCTION("""COMPUTED_VALUE"""),"BELLO")</f>
        <v>BELLO</v>
      </c>
      <c r="D6889" s="15" t="str">
        <f>IFERROR(__xludf.DUMMYFUNCTION("""COMPUTED_VALUE"""),"BOGOTÁ")</f>
        <v>BOGOTÁ</v>
      </c>
      <c r="E6889" s="15" t="str">
        <f>IFERROR(__xludf.DUMMYFUNCTION("""COMPUTED_VALUE"""),"Evamazzita")</f>
        <v>Evamazzita</v>
      </c>
      <c r="F6889" s="17" t="str">
        <f>IFERROR(__xludf.DUMMYFUNCTION("""COMPUTED_VALUE"""),"CR 59 #27 B 387 / URBANIZACION BONAVISTA APTO 1614")</f>
        <v>CR 59 #27 B 387 / URBANIZACION BONAVISTA APTO 1614</v>
      </c>
      <c r="G6889" s="15" t="str">
        <f>IFERROR(__xludf.DUMMYFUNCTION("""COMPUTED_VALUE"""),"LAURA PERDOMO ANGEL")</f>
        <v>LAURA PERDOMO ANGEL</v>
      </c>
      <c r="H6889" s="16">
        <f>IFERROR(__xludf.DUMMYFUNCTION("""COMPUTED_VALUE"""),15600.0)</f>
        <v>15600</v>
      </c>
      <c r="I6889" s="18">
        <f>IFERROR(__xludf.DUMMYFUNCTION("""COMPUTED_VALUE"""),1.0)</f>
        <v>1</v>
      </c>
      <c r="J6889" s="18">
        <f>IFERROR(__xludf.DUMMYFUNCTION("""COMPUTED_VALUE"""),1.0)</f>
        <v>1</v>
      </c>
      <c r="K6889" s="18">
        <f>IFERROR(__xludf.DUMMYFUNCTION("""COMPUTED_VALUE"""),1.0)</f>
        <v>1</v>
      </c>
      <c r="L6889" s="17">
        <f>IFERROR(__xludf.DUMMYFUNCTION("""COMPUTED_VALUE"""),3.207007904E9)</f>
        <v>3207007904</v>
      </c>
      <c r="M6889" s="17" t="str">
        <f>IFERROR(__xludf.DUMMYFUNCTION("""COMPUTED_VALUE"""),"#REF!")</f>
        <v>#REF!</v>
      </c>
      <c r="N6889" s="17"/>
      <c r="O6889" s="17"/>
      <c r="P6889" s="17" t="b">
        <f>IFERROR(__xludf.DUMMYFUNCTION("""COMPUTED_VALUE"""),FALSE)</f>
        <v>0</v>
      </c>
      <c r="Q6889" s="20" t="str">
        <f>IFERROR(__xludf.DUMMYFUNCTION("""COMPUTED_VALUE"""),"")</f>
        <v/>
      </c>
      <c r="R6889" s="21" t="str">
        <f>IFERROR(__xludf.DUMMYFUNCTION("""COMPUTED_VALUE"""),"https://drive.google.com/file/d/1OhLojRzxanUeaq3iVN6rHn4L6AaiCrKb/view?usp=drivesdk")</f>
        <v>https://drive.google.com/file/d/1OhLojRzxanUeaq3iVN6rHn4L6AaiCrKb/view?usp=drivesdk</v>
      </c>
    </row>
    <row r="6890">
      <c r="A6890" s="15">
        <f>IFERROR(__xludf.DUMMYFUNCTION("""COMPUTED_VALUE"""),45195.0)</f>
        <v>45195</v>
      </c>
      <c r="B6890" s="16" t="str">
        <f>IFERROR(__xludf.DUMMYFUNCTION("""COMPUTED_VALUE"""),"Santiago Garces Restrepo")</f>
        <v>Santiago Garces Restrepo</v>
      </c>
      <c r="C6890" s="15" t="str">
        <f>IFERROR(__xludf.DUMMYFUNCTION("""COMPUTED_VALUE"""),"ENVIGADO")</f>
        <v>ENVIGADO</v>
      </c>
      <c r="D6890" s="15" t="str">
        <f>IFERROR(__xludf.DUMMYFUNCTION("""COMPUTED_VALUE"""),"BOGOTÁ")</f>
        <v>BOGOTÁ</v>
      </c>
      <c r="E6890" s="15" t="str">
        <f>IFERROR(__xludf.DUMMYFUNCTION("""COMPUTED_VALUE"""),"Evamazzita")</f>
        <v>Evamazzita</v>
      </c>
      <c r="F6890" s="17" t="str">
        <f>IFERROR(__xludf.DUMMYFUNCTION("""COMPUTED_VALUE"""),"CALLE 40 C SUR #42 28 / CASA PRIMER PISO")</f>
        <v>CALLE 40 C SUR #42 28 / CASA PRIMER PISO</v>
      </c>
      <c r="G6890" s="15" t="str">
        <f>IFERROR(__xludf.DUMMYFUNCTION("""COMPUTED_VALUE"""),"LIZETH ARANGO")</f>
        <v>LIZETH ARANGO</v>
      </c>
      <c r="H6890" s="16">
        <f>IFERROR(__xludf.DUMMYFUNCTION("""COMPUTED_VALUE"""),15601.0)</f>
        <v>15601</v>
      </c>
      <c r="I6890" s="18">
        <f>IFERROR(__xludf.DUMMYFUNCTION("""COMPUTED_VALUE"""),1.0)</f>
        <v>1</v>
      </c>
      <c r="J6890" s="18">
        <f>IFERROR(__xludf.DUMMYFUNCTION("""COMPUTED_VALUE"""),1.0)</f>
        <v>1</v>
      </c>
      <c r="K6890" s="18">
        <f>IFERROR(__xludf.DUMMYFUNCTION("""COMPUTED_VALUE"""),1.0)</f>
        <v>1</v>
      </c>
      <c r="L6890" s="17">
        <f>IFERROR(__xludf.DUMMYFUNCTION("""COMPUTED_VALUE"""),3.152227165E9)</f>
        <v>3152227165</v>
      </c>
      <c r="M6890" s="17" t="str">
        <f>IFERROR(__xludf.DUMMYFUNCTION("""COMPUTED_VALUE"""),"#REF!")</f>
        <v>#REF!</v>
      </c>
      <c r="N6890" s="17"/>
      <c r="O6890" s="17"/>
      <c r="P6890" s="17" t="b">
        <f>IFERROR(__xludf.DUMMYFUNCTION("""COMPUTED_VALUE"""),FALSE)</f>
        <v>0</v>
      </c>
      <c r="Q6890" s="20" t="str">
        <f>IFERROR(__xludf.DUMMYFUNCTION("""COMPUTED_VALUE"""),"")</f>
        <v/>
      </c>
      <c r="R6890" s="21" t="str">
        <f>IFERROR(__xludf.DUMMYFUNCTION("""COMPUTED_VALUE"""),"https://drive.google.com/file/d/1QUTeSRTeES_yTVStVBRk5deNXeQ9PyZW/view?usp=drivesdk")</f>
        <v>https://drive.google.com/file/d/1QUTeSRTeES_yTVStVBRk5deNXeQ9PyZW/view?usp=drivesdk</v>
      </c>
    </row>
    <row r="6891">
      <c r="A6891" s="15">
        <f>IFERROR(__xludf.DUMMYFUNCTION("""COMPUTED_VALUE"""),45195.0)</f>
        <v>45195</v>
      </c>
      <c r="B6891" s="16" t="str">
        <f>IFERROR(__xludf.DUMMYFUNCTION("""COMPUTED_VALUE"""),"Santiago Garces Restrepo")</f>
        <v>Santiago Garces Restrepo</v>
      </c>
      <c r="C6891" s="15" t="str">
        <f>IFERROR(__xludf.DUMMYFUNCTION("""COMPUTED_VALUE"""),"MEDELLÍN")</f>
        <v>MEDELLÍN</v>
      </c>
      <c r="D6891" s="15" t="str">
        <f>IFERROR(__xludf.DUMMYFUNCTION("""COMPUTED_VALUE"""),"BOGOTÁ")</f>
        <v>BOGOTÁ</v>
      </c>
      <c r="E6891" s="15" t="str">
        <f>IFERROR(__xludf.DUMMYFUNCTION("""COMPUTED_VALUE"""),"Asociacion Agropecuaria Juana Maria")</f>
        <v>Asociacion Agropecuaria Juana Maria</v>
      </c>
      <c r="F6891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6891" s="15" t="str">
        <f>IFERROR(__xludf.DUMMYFUNCTION("""COMPUTED_VALUE"""),"Jennifer Sanchez Blandon")</f>
        <v>Jennifer Sanchez Blandon</v>
      </c>
      <c r="H6891" s="16">
        <f>IFERROR(__xludf.DUMMYFUNCTION("""COMPUTED_VALUE"""),15552.0)</f>
        <v>15552</v>
      </c>
      <c r="I6891" s="18">
        <f>IFERROR(__xludf.DUMMYFUNCTION("""COMPUTED_VALUE"""),21.0)</f>
        <v>21</v>
      </c>
      <c r="J6891" s="18">
        <f>IFERROR(__xludf.DUMMYFUNCTION("""COMPUTED_VALUE"""),37.0)</f>
        <v>37</v>
      </c>
      <c r="K6891" s="18">
        <f>IFERROR(__xludf.DUMMYFUNCTION("""COMPUTED_VALUE"""),30.0)</f>
        <v>30</v>
      </c>
      <c r="L6891" s="17">
        <f>IFERROR(__xludf.DUMMYFUNCTION("""COMPUTED_VALUE"""),3.016937674E9)</f>
        <v>3016937674</v>
      </c>
      <c r="M6891" s="17" t="str">
        <f>IFERROR(__xludf.DUMMYFUNCTION("""COMPUTED_VALUE"""),"#REF!")</f>
        <v>#REF!</v>
      </c>
      <c r="N6891" s="17"/>
      <c r="O6891" s="17"/>
      <c r="P6891" s="17" t="b">
        <f>IFERROR(__xludf.DUMMYFUNCTION("""COMPUTED_VALUE"""),TRUE)</f>
        <v>1</v>
      </c>
      <c r="Q6891" s="20">
        <f>IFERROR(__xludf.DUMMYFUNCTION("""COMPUTED_VALUE"""),45197.3626338426)</f>
        <v>45197.36263</v>
      </c>
      <c r="R6891" s="22" t="str">
        <f>IFERROR(__xludf.DUMMYFUNCTION("""COMPUTED_VALUE"""),"")</f>
        <v/>
      </c>
    </row>
    <row r="6892">
      <c r="A6892" s="15">
        <f>IFERROR(__xludf.DUMMYFUNCTION("""COMPUTED_VALUE"""),45195.0)</f>
        <v>45195</v>
      </c>
      <c r="B6892" s="16" t="str">
        <f>IFERROR(__xludf.DUMMYFUNCTION("""COMPUTED_VALUE"""),"Santiago Garces Restrepo")</f>
        <v>Santiago Garces Restrepo</v>
      </c>
      <c r="C6892" s="15" t="str">
        <f>IFERROR(__xludf.DUMMYFUNCTION("""COMPUTED_VALUE"""),"MEDELLÍN")</f>
        <v>MEDELLÍN</v>
      </c>
      <c r="D6892" s="15" t="str">
        <f>IFERROR(__xludf.DUMMYFUNCTION("""COMPUTED_VALUE"""),"BOGOTÁ")</f>
        <v>BOGOTÁ</v>
      </c>
      <c r="E6892" s="15" t="str">
        <f>IFERROR(__xludf.DUMMYFUNCTION("""COMPUTED_VALUE"""),"Evamazzita")</f>
        <v>Evamazzita</v>
      </c>
      <c r="F6892" s="17" t="str">
        <f>IFERROR(__xludf.DUMMYFUNCTION("""COMPUTED_VALUE"""),"calle 63 #76-55 / apto 1318 urbanización perlato tierra firme  San Germán")</f>
        <v>calle 63 #76-55 / apto 1318 urbanización perlato tierra firme  San Germán</v>
      </c>
      <c r="G6892" s="15" t="str">
        <f>IFERROR(__xludf.DUMMYFUNCTION("""COMPUTED_VALUE"""),"LAURA MILENA CARDENAS")</f>
        <v>LAURA MILENA CARDENAS</v>
      </c>
      <c r="H6892" s="16">
        <f>IFERROR(__xludf.DUMMYFUNCTION("""COMPUTED_VALUE"""),15602.0)</f>
        <v>15602</v>
      </c>
      <c r="I6892" s="18">
        <f>IFERROR(__xludf.DUMMYFUNCTION("""COMPUTED_VALUE"""),1.0)</f>
        <v>1</v>
      </c>
      <c r="J6892" s="18">
        <f>IFERROR(__xludf.DUMMYFUNCTION("""COMPUTED_VALUE"""),1.0)</f>
        <v>1</v>
      </c>
      <c r="K6892" s="18">
        <f>IFERROR(__xludf.DUMMYFUNCTION("""COMPUTED_VALUE"""),1.0)</f>
        <v>1</v>
      </c>
      <c r="L6892" s="17">
        <f>IFERROR(__xludf.DUMMYFUNCTION("""COMPUTED_VALUE"""),3.006318367E9)</f>
        <v>3006318367</v>
      </c>
      <c r="M6892" s="17" t="str">
        <f>IFERROR(__xludf.DUMMYFUNCTION("""COMPUTED_VALUE"""),"#REF!")</f>
        <v>#REF!</v>
      </c>
      <c r="N6892" s="17"/>
      <c r="O6892" s="17"/>
      <c r="P6892" s="17" t="b">
        <f>IFERROR(__xludf.DUMMYFUNCTION("""COMPUTED_VALUE"""),TRUE)</f>
        <v>1</v>
      </c>
      <c r="Q6892" s="20">
        <f>IFERROR(__xludf.DUMMYFUNCTION("""COMPUTED_VALUE"""),45197.36268784722)</f>
        <v>45197.36269</v>
      </c>
      <c r="R6892" s="21" t="str">
        <f>IFERROR(__xludf.DUMMYFUNCTION("""COMPUTED_VALUE"""),"https://drive.google.com/file/d/1ipQaeZpKQecEja2mI-hQhv4KMD4zpGxG/view?usp=drivesdk")</f>
        <v>https://drive.google.com/file/d/1ipQaeZpKQecEja2mI-hQhv4KMD4zpGxG/view?usp=drivesdk</v>
      </c>
    </row>
    <row r="6893">
      <c r="A6893" s="15">
        <f>IFERROR(__xludf.DUMMYFUNCTION("""COMPUTED_VALUE"""),45195.0)</f>
        <v>45195</v>
      </c>
      <c r="B6893" s="16" t="str">
        <f>IFERROR(__xludf.DUMMYFUNCTION("""COMPUTED_VALUE"""),"Santiago Garces Restrepo")</f>
        <v>Santiago Garces Restrepo</v>
      </c>
      <c r="C6893" s="15" t="str">
        <f>IFERROR(__xludf.DUMMYFUNCTION("""COMPUTED_VALUE"""),"MEDELLÍN")</f>
        <v>MEDELLÍN</v>
      </c>
      <c r="D6893" s="15" t="str">
        <f>IFERROR(__xludf.DUMMYFUNCTION("""COMPUTED_VALUE"""),"BOGOTÁ")</f>
        <v>BOGOTÁ</v>
      </c>
      <c r="E6893" s="15" t="str">
        <f>IFERROR(__xludf.DUMMYFUNCTION("""COMPUTED_VALUE"""),"Evamazzita")</f>
        <v>Evamazzita</v>
      </c>
      <c r="F6893" s="17" t="str">
        <f>IFERROR(__xludf.DUMMYFUNCTION("""COMPUTED_VALUE"""),"Calle 77a # 88-35 / casa 36 urbanización villa fernanda  Barrio robledo")</f>
        <v>Calle 77a # 88-35 / casa 36 urbanización villa fernanda  Barrio robledo</v>
      </c>
      <c r="G6893" s="15" t="str">
        <f>IFERROR(__xludf.DUMMYFUNCTION("""COMPUTED_VALUE"""),"BLANCA INES GOMEZ ALVAREZ")</f>
        <v>BLANCA INES GOMEZ ALVAREZ</v>
      </c>
      <c r="H6893" s="16">
        <f>IFERROR(__xludf.DUMMYFUNCTION("""COMPUTED_VALUE"""),15615.0)</f>
        <v>15615</v>
      </c>
      <c r="I6893" s="18">
        <f>IFERROR(__xludf.DUMMYFUNCTION("""COMPUTED_VALUE"""),1.0)</f>
        <v>1</v>
      </c>
      <c r="J6893" s="18">
        <f>IFERROR(__xludf.DUMMYFUNCTION("""COMPUTED_VALUE"""),1.0)</f>
        <v>1</v>
      </c>
      <c r="K6893" s="18">
        <f>IFERROR(__xludf.DUMMYFUNCTION("""COMPUTED_VALUE"""),1.0)</f>
        <v>1</v>
      </c>
      <c r="L6893" s="17">
        <f>IFERROR(__xludf.DUMMYFUNCTION("""COMPUTED_VALUE"""),3.137121846E9)</f>
        <v>3137121846</v>
      </c>
      <c r="M6893" s="17" t="str">
        <f>IFERROR(__xludf.DUMMYFUNCTION("""COMPUTED_VALUE"""),"#REF!")</f>
        <v>#REF!</v>
      </c>
      <c r="N6893" s="17"/>
      <c r="O6893" s="17"/>
      <c r="P6893" s="17" t="b">
        <f>IFERROR(__xludf.DUMMYFUNCTION("""COMPUTED_VALUE"""),FALSE)</f>
        <v>0</v>
      </c>
      <c r="Q6893" s="20" t="str">
        <f>IFERROR(__xludf.DUMMYFUNCTION("""COMPUTED_VALUE"""),"")</f>
        <v/>
      </c>
      <c r="R6893" s="22" t="str">
        <f>IFERROR(__xludf.DUMMYFUNCTION("""COMPUTED_VALUE"""),"")</f>
        <v/>
      </c>
    </row>
    <row r="6894">
      <c r="A6894" s="15">
        <f>IFERROR(__xludf.DUMMYFUNCTION("""COMPUTED_VALUE"""),45195.0)</f>
        <v>45195</v>
      </c>
      <c r="B6894" s="16" t="str">
        <f>IFERROR(__xludf.DUMMYFUNCTION("""COMPUTED_VALUE"""),"Santiago Garces Restrepo")</f>
        <v>Santiago Garces Restrepo</v>
      </c>
      <c r="C6894" s="15" t="str">
        <f>IFERROR(__xludf.DUMMYFUNCTION("""COMPUTED_VALUE"""),"MEDELLÍN")</f>
        <v>MEDELLÍN</v>
      </c>
      <c r="D6894" s="15" t="str">
        <f>IFERROR(__xludf.DUMMYFUNCTION("""COMPUTED_VALUE"""),"BOGOTÁ")</f>
        <v>BOGOTÁ</v>
      </c>
      <c r="E6894" s="15" t="str">
        <f>IFERROR(__xludf.DUMMYFUNCTION("""COMPUTED_VALUE"""),"Evamazzita")</f>
        <v>Evamazzita</v>
      </c>
      <c r="F6894" s="17" t="str">
        <f>IFERROR(__xludf.DUMMYFUNCTION("""COMPUTED_VALUE"""),"CRA 15 BA No. 34D - 44 / INT 201")</f>
        <v>CRA 15 BA No. 34D - 44 / INT 201</v>
      </c>
      <c r="G6894" s="15" t="str">
        <f>IFERROR(__xludf.DUMMYFUNCTION("""COMPUTED_VALUE"""),"DANIELA BEDOYA BLANDON")</f>
        <v>DANIELA BEDOYA BLANDON</v>
      </c>
      <c r="H6894" s="16">
        <f>IFERROR(__xludf.DUMMYFUNCTION("""COMPUTED_VALUE"""),15592.0)</f>
        <v>15592</v>
      </c>
      <c r="I6894" s="18">
        <f>IFERROR(__xludf.DUMMYFUNCTION("""COMPUTED_VALUE"""),1.0)</f>
        <v>1</v>
      </c>
      <c r="J6894" s="18">
        <f>IFERROR(__xludf.DUMMYFUNCTION("""COMPUTED_VALUE"""),1.0)</f>
        <v>1</v>
      </c>
      <c r="K6894" s="18">
        <f>IFERROR(__xludf.DUMMYFUNCTION("""COMPUTED_VALUE"""),1.0)</f>
        <v>1</v>
      </c>
      <c r="L6894" s="17">
        <f>IFERROR(__xludf.DUMMYFUNCTION("""COMPUTED_VALUE"""),3.14672822E9)</f>
        <v>3146728220</v>
      </c>
      <c r="M6894" s="17" t="str">
        <f>IFERROR(__xludf.DUMMYFUNCTION("""COMPUTED_VALUE"""),"#REF!")</f>
        <v>#REF!</v>
      </c>
      <c r="N6894" s="17"/>
      <c r="O6894" s="17"/>
      <c r="P6894" s="17" t="b">
        <f>IFERROR(__xludf.DUMMYFUNCTION("""COMPUTED_VALUE"""),TRUE)</f>
        <v>1</v>
      </c>
      <c r="Q6894" s="20">
        <f>IFERROR(__xludf.DUMMYFUNCTION("""COMPUTED_VALUE"""),45196.48734920139)</f>
        <v>45196.48735</v>
      </c>
      <c r="R6894" s="22" t="str">
        <f>IFERROR(__xludf.DUMMYFUNCTION("""COMPUTED_VALUE"""),"")</f>
        <v/>
      </c>
    </row>
    <row r="6895">
      <c r="A6895" s="15">
        <f>IFERROR(__xludf.DUMMYFUNCTION("""COMPUTED_VALUE"""),45195.0)</f>
        <v>45195</v>
      </c>
      <c r="B6895" s="16" t="str">
        <f>IFERROR(__xludf.DUMMYFUNCTION("""COMPUTED_VALUE"""),"Santiago Garces Restrepo")</f>
        <v>Santiago Garces Restrepo</v>
      </c>
      <c r="C6895" s="15" t="str">
        <f>IFERROR(__xludf.DUMMYFUNCTION("""COMPUTED_VALUE"""),"MEDELLÍN")</f>
        <v>MEDELLÍN</v>
      </c>
      <c r="D6895" s="15" t="str">
        <f>IFERROR(__xludf.DUMMYFUNCTION("""COMPUTED_VALUE"""),"BOGOTÁ")</f>
        <v>BOGOTÁ</v>
      </c>
      <c r="E6895" s="15" t="str">
        <f>IFERROR(__xludf.DUMMYFUNCTION("""COMPUTED_VALUE"""),"Evamazzita")</f>
        <v>Evamazzita</v>
      </c>
      <c r="F6895" s="17" t="str">
        <f>IFERROR(__xludf.DUMMYFUNCTION("""COMPUTED_VALUE"""),"CRA 35 No. 10B - 116 / EDIFICIO FONTANA ROSA APTO 302 EL POBLADO")</f>
        <v>CRA 35 No. 10B - 116 / EDIFICIO FONTANA ROSA APTO 302 EL POBLADO</v>
      </c>
      <c r="G6895" s="15" t="str">
        <f>IFERROR(__xludf.DUMMYFUNCTION("""COMPUTED_VALUE"""),"PAULA ANDREA MESA MARTINEZ")</f>
        <v>PAULA ANDREA MESA MARTINEZ</v>
      </c>
      <c r="H6895" s="16">
        <f>IFERROR(__xludf.DUMMYFUNCTION("""COMPUTED_VALUE"""),15607.0)</f>
        <v>15607</v>
      </c>
      <c r="I6895" s="18">
        <f>IFERROR(__xludf.DUMMYFUNCTION("""COMPUTED_VALUE"""),1.0)</f>
        <v>1</v>
      </c>
      <c r="J6895" s="18">
        <f>IFERROR(__xludf.DUMMYFUNCTION("""COMPUTED_VALUE"""),1.0)</f>
        <v>1</v>
      </c>
      <c r="K6895" s="18">
        <f>IFERROR(__xludf.DUMMYFUNCTION("""COMPUTED_VALUE"""),1.0)</f>
        <v>1</v>
      </c>
      <c r="L6895" s="17">
        <f>IFERROR(__xludf.DUMMYFUNCTION("""COMPUTED_VALUE"""),3.218988629E9)</f>
        <v>3218988629</v>
      </c>
      <c r="M6895" s="17" t="str">
        <f>IFERROR(__xludf.DUMMYFUNCTION("""COMPUTED_VALUE"""),"#REF!")</f>
        <v>#REF!</v>
      </c>
      <c r="N6895" s="17"/>
      <c r="O6895" s="17"/>
      <c r="P6895" s="17" t="b">
        <f>IFERROR(__xludf.DUMMYFUNCTION("""COMPUTED_VALUE"""),TRUE)</f>
        <v>1</v>
      </c>
      <c r="Q6895" s="20">
        <f>IFERROR(__xludf.DUMMYFUNCTION("""COMPUTED_VALUE"""),45196.48704504629)</f>
        <v>45196.48705</v>
      </c>
      <c r="R6895" s="21" t="str">
        <f>IFERROR(__xludf.DUMMYFUNCTION("""COMPUTED_VALUE"""),"https://drive.google.com/file/d/1kvvQXcKqlz9RU1xSgJvisucma2O10_ru/view?usp=drivesdk")</f>
        <v>https://drive.google.com/file/d/1kvvQXcKqlz9RU1xSgJvisucma2O10_ru/view?usp=drivesdk</v>
      </c>
    </row>
    <row r="6896">
      <c r="A6896" s="15">
        <f>IFERROR(__xludf.DUMMYFUNCTION("""COMPUTED_VALUE"""),45195.0)</f>
        <v>45195</v>
      </c>
      <c r="B6896" s="16" t="str">
        <f>IFERROR(__xludf.DUMMYFUNCTION("""COMPUTED_VALUE"""),"Santiago Garces Restrepo")</f>
        <v>Santiago Garces Restrepo</v>
      </c>
      <c r="C6896" s="15" t="str">
        <f>IFERROR(__xludf.DUMMYFUNCTION("""COMPUTED_VALUE"""),"MEDELLÍN")</f>
        <v>MEDELLÍN</v>
      </c>
      <c r="D6896" s="15" t="str">
        <f>IFERROR(__xludf.DUMMYFUNCTION("""COMPUTED_VALUE"""),"BOGOTÁ")</f>
        <v>BOGOTÁ</v>
      </c>
      <c r="E6896" s="15" t="str">
        <f>IFERROR(__xludf.DUMMYFUNCTION("""COMPUTED_VALUE"""),"Evamazzita")</f>
        <v>Evamazzita</v>
      </c>
      <c r="F6896" s="17" t="str">
        <f>IFERROR(__xludf.DUMMYFUNCTION("""COMPUTED_VALUE"""),"CRA 35 No. 10B - 116 / EDIFICIO FONTANA ROSA APTO 302 EL POBLADO")</f>
        <v>CRA 35 No. 10B - 116 / EDIFICIO FONTANA ROSA APTO 302 EL POBLADO</v>
      </c>
      <c r="G6896" s="15" t="str">
        <f>IFERROR(__xludf.DUMMYFUNCTION("""COMPUTED_VALUE"""),"PAULA ANDREA MESA MARTINEZ")</f>
        <v>PAULA ANDREA MESA MARTINEZ</v>
      </c>
      <c r="H6896" s="16">
        <f>IFERROR(__xludf.DUMMYFUNCTION("""COMPUTED_VALUE"""),15616.0)</f>
        <v>15616</v>
      </c>
      <c r="I6896" s="18">
        <f>IFERROR(__xludf.DUMMYFUNCTION("""COMPUTED_VALUE"""),1.0)</f>
        <v>1</v>
      </c>
      <c r="J6896" s="18">
        <f>IFERROR(__xludf.DUMMYFUNCTION("""COMPUTED_VALUE"""),1.0)</f>
        <v>1</v>
      </c>
      <c r="K6896" s="18">
        <f>IFERROR(__xludf.DUMMYFUNCTION("""COMPUTED_VALUE"""),1.0)</f>
        <v>1</v>
      </c>
      <c r="L6896" s="17">
        <f>IFERROR(__xludf.DUMMYFUNCTION("""COMPUTED_VALUE"""),3.218988629E9)</f>
        <v>3218988629</v>
      </c>
      <c r="M6896" s="17" t="str">
        <f>IFERROR(__xludf.DUMMYFUNCTION("""COMPUTED_VALUE"""),"#REF!")</f>
        <v>#REF!</v>
      </c>
      <c r="N6896" s="17"/>
      <c r="O6896" s="17"/>
      <c r="P6896" s="17" t="b">
        <f>IFERROR(__xludf.DUMMYFUNCTION("""COMPUTED_VALUE"""),FALSE)</f>
        <v>0</v>
      </c>
      <c r="Q6896" s="20" t="str">
        <f>IFERROR(__xludf.DUMMYFUNCTION("""COMPUTED_VALUE"""),"")</f>
        <v/>
      </c>
      <c r="R6896" s="22" t="str">
        <f>IFERROR(__xludf.DUMMYFUNCTION("""COMPUTED_VALUE"""),"")</f>
        <v/>
      </c>
    </row>
    <row r="6897">
      <c r="A6897" s="15">
        <f>IFERROR(__xludf.DUMMYFUNCTION("""COMPUTED_VALUE"""),45195.0)</f>
        <v>45195</v>
      </c>
      <c r="B6897" s="16" t="str">
        <f>IFERROR(__xludf.DUMMYFUNCTION("""COMPUTED_VALUE"""),"Santiago Garces Restrepo")</f>
        <v>Santiago Garces Restrepo</v>
      </c>
      <c r="C6897" s="15" t="str">
        <f>IFERROR(__xludf.DUMMYFUNCTION("""COMPUTED_VALUE"""),"MEDELLÍN")</f>
        <v>MEDELLÍN</v>
      </c>
      <c r="D6897" s="15" t="str">
        <f>IFERROR(__xludf.DUMMYFUNCTION("""COMPUTED_VALUE"""),"BOGOTÁ")</f>
        <v>BOGOTÁ</v>
      </c>
      <c r="E6897" s="15" t="str">
        <f>IFERROR(__xludf.DUMMYFUNCTION("""COMPUTED_VALUE"""),"Evamazzita")</f>
        <v>Evamazzita</v>
      </c>
      <c r="F6897" s="17" t="str">
        <f>IFERROR(__xludf.DUMMYFUNCTION("""COMPUTED_VALUE"""),"POR FAVOR ENTREGAR EN LA PUERTA DE LA CASA, YA QUE LA CLIENTE NO PUEDE SALIR  KRA 89 #66-97 / unidad condado de Ávila casa 112 Robledo")</f>
        <v>POR FAVOR ENTREGAR EN LA PUERTA DE LA CASA, YA QUE LA CLIENTE NO PUEDE SALIR  KRA 89 #66-97 / unidad condado de Ávila casa 112 Robledo</v>
      </c>
      <c r="G6897" s="15" t="str">
        <f>IFERROR(__xludf.DUMMYFUNCTION("""COMPUTED_VALUE"""),"YOANA ANDREA LOPEZ AGUDELO")</f>
        <v>YOANA ANDREA LOPEZ AGUDELO</v>
      </c>
      <c r="H6897" s="16">
        <f>IFERROR(__xludf.DUMMYFUNCTION("""COMPUTED_VALUE"""),15605.0)</f>
        <v>15605</v>
      </c>
      <c r="I6897" s="18">
        <f>IFERROR(__xludf.DUMMYFUNCTION("""COMPUTED_VALUE"""),1.0)</f>
        <v>1</v>
      </c>
      <c r="J6897" s="18">
        <f>IFERROR(__xludf.DUMMYFUNCTION("""COMPUTED_VALUE"""),1.0)</f>
        <v>1</v>
      </c>
      <c r="K6897" s="18">
        <f>IFERROR(__xludf.DUMMYFUNCTION("""COMPUTED_VALUE"""),1.0)</f>
        <v>1</v>
      </c>
      <c r="L6897" s="17">
        <f>IFERROR(__xludf.DUMMYFUNCTION("""COMPUTED_VALUE"""),3.136249009E9)</f>
        <v>3136249009</v>
      </c>
      <c r="M6897" s="17" t="str">
        <f>IFERROR(__xludf.DUMMYFUNCTION("""COMPUTED_VALUE"""),"#REF!")</f>
        <v>#REF!</v>
      </c>
      <c r="N6897" s="17"/>
      <c r="O6897" s="17"/>
      <c r="P6897" s="17" t="b">
        <f>IFERROR(__xludf.DUMMYFUNCTION("""COMPUTED_VALUE"""),TRUE)</f>
        <v>1</v>
      </c>
      <c r="Q6897" s="20">
        <f>IFERROR(__xludf.DUMMYFUNCTION("""COMPUTED_VALUE"""),45196.6352541088)</f>
        <v>45196.63525</v>
      </c>
      <c r="R6897" s="21" t="str">
        <f>IFERROR(__xludf.DUMMYFUNCTION("""COMPUTED_VALUE"""),"https://drive.google.com/file/d/1nqNgEmE6Lheg2tsGPTnifGTMApDYPuPC/view?usp=drivesdk")</f>
        <v>https://drive.google.com/file/d/1nqNgEmE6Lheg2tsGPTnifGTMApDYPuPC/view?usp=drivesdk</v>
      </c>
    </row>
    <row r="6898">
      <c r="A6898" s="15">
        <f>IFERROR(__xludf.DUMMYFUNCTION("""COMPUTED_VALUE"""),45195.0)</f>
        <v>45195</v>
      </c>
      <c r="B6898" s="16" t="str">
        <f>IFERROR(__xludf.DUMMYFUNCTION("""COMPUTED_VALUE"""),"Santiago Garces Restrepo")</f>
        <v>Santiago Garces Restrepo</v>
      </c>
      <c r="C6898" s="15" t="str">
        <f>IFERROR(__xludf.DUMMYFUNCTION("""COMPUTED_VALUE"""),"MEDELLÍN")</f>
        <v>MEDELLÍN</v>
      </c>
      <c r="D6898" s="15" t="str">
        <f>IFERROR(__xludf.DUMMYFUNCTION("""COMPUTED_VALUE"""),"BOGOTÁ")</f>
        <v>BOGOTÁ</v>
      </c>
      <c r="E6898" s="15" t="str">
        <f>IFERROR(__xludf.DUMMYFUNCTION("""COMPUTED_VALUE"""),"FamiliaReal S.A.S")</f>
        <v>FamiliaReal S.A.S</v>
      </c>
      <c r="F6898" s="17" t="str">
        <f>IFERROR(__xludf.DUMMYFUNCTION("""COMPUTED_VALUE"""),"Calle 39 Sur No 25 AA 12 torre 1 Apto 1702 Sendero Fresco, Envigado Loma el Chingui")</f>
        <v>Calle 39 Sur No 25 AA 12 torre 1 Apto 1702 Sendero Fresco, Envigado Loma el Chingui</v>
      </c>
      <c r="G6898" s="15" t="str">
        <f>IFERROR(__xludf.DUMMYFUNCTION("""COMPUTED_VALUE"""),"Hans Rodríguez")</f>
        <v>Hans Rodríguez</v>
      </c>
      <c r="H6898" s="16">
        <f>IFERROR(__xludf.DUMMYFUNCTION("""COMPUTED_VALUE"""),15540.0)</f>
        <v>15540</v>
      </c>
      <c r="I6898" s="18">
        <f>IFERROR(__xludf.DUMMYFUNCTION("""COMPUTED_VALUE"""),26.0)</f>
        <v>26</v>
      </c>
      <c r="J6898" s="18">
        <f>IFERROR(__xludf.DUMMYFUNCTION("""COMPUTED_VALUE"""),45115.0)</f>
        <v>45115</v>
      </c>
      <c r="K6898" s="18">
        <f>IFERROR(__xludf.DUMMYFUNCTION("""COMPUTED_VALUE"""),45115.0)</f>
        <v>45115</v>
      </c>
      <c r="L6898" s="17" t="str">
        <f>IFERROR(__xludf.DUMMYFUNCTION("""COMPUTED_VALUE"""),"305 2364036")</f>
        <v>305 2364036</v>
      </c>
      <c r="M6898" s="17" t="str">
        <f>IFERROR(__xludf.DUMMYFUNCTION("""COMPUTED_VALUE"""),"#REF!")</f>
        <v>#REF!</v>
      </c>
      <c r="N6898" s="17"/>
      <c r="O6898" s="17"/>
      <c r="P6898" s="17" t="b">
        <f>IFERROR(__xludf.DUMMYFUNCTION("""COMPUTED_VALUE"""),TRUE)</f>
        <v>1</v>
      </c>
      <c r="Q6898" s="20">
        <f>IFERROR(__xludf.DUMMYFUNCTION("""COMPUTED_VALUE"""),45196.633277800924)</f>
        <v>45196.63328</v>
      </c>
      <c r="R6898" s="21" t="str">
        <f>IFERROR(__xludf.DUMMYFUNCTION("""COMPUTED_VALUE"""),"https://drive.google.com/file/d/1Dbmp6yS_QswZwEnnJvgH7_n5UszC6j8k/view?usp=drivesdk")</f>
        <v>https://drive.google.com/file/d/1Dbmp6yS_QswZwEnnJvgH7_n5UszC6j8k/view?usp=drivesdk</v>
      </c>
    </row>
    <row r="6899">
      <c r="A6899" s="15">
        <f>IFERROR(__xludf.DUMMYFUNCTION("""COMPUTED_VALUE"""),45195.0)</f>
        <v>45195</v>
      </c>
      <c r="B6899" s="16" t="str">
        <f>IFERROR(__xludf.DUMMYFUNCTION("""COMPUTED_VALUE"""),"Santiago Garces Restrepo")</f>
        <v>Santiago Garces Restrepo</v>
      </c>
      <c r="C6899" s="15" t="str">
        <f>IFERROR(__xludf.DUMMYFUNCTION("""COMPUTED_VALUE"""),"MEDELLÍN")</f>
        <v>MEDELLÍN</v>
      </c>
      <c r="D6899" s="15" t="str">
        <f>IFERROR(__xludf.DUMMYFUNCTION("""COMPUTED_VALUE"""),"BOGOTÁ")</f>
        <v>BOGOTÁ</v>
      </c>
      <c r="E6899" s="15" t="str">
        <f>IFERROR(__xludf.DUMMYFUNCTION("""COMPUTED_VALUE"""),"FamiliaReal S.A.S")</f>
        <v>FamiliaReal S.A.S</v>
      </c>
      <c r="F6899" s="17" t="str">
        <f>IFERROR(__xludf.DUMMYFUNCTION("""COMPUTED_VALUE"""),"Cra. 27 # 23 Sur-68 Mall Comercial Distrito Avignon Mercado Saludable Local 106 Horario: 10 am - 7 pm")</f>
        <v>Cra. 27 # 23 Sur-68 Mall Comercial Distrito Avignon Mercado Saludable Local 106 Horario: 10 am - 7 pm</v>
      </c>
      <c r="G6899" s="15" t="str">
        <f>IFERROR(__xludf.DUMMYFUNCTION("""COMPUTED_VALUE"""),"Frutal Exotic SAS")</f>
        <v>Frutal Exotic SAS</v>
      </c>
      <c r="H6899" s="16">
        <f>IFERROR(__xludf.DUMMYFUNCTION("""COMPUTED_VALUE"""),15538.0)</f>
        <v>15538</v>
      </c>
      <c r="I6899" s="18">
        <f>IFERROR(__xludf.DUMMYFUNCTION("""COMPUTED_VALUE"""),26.0)</f>
        <v>26</v>
      </c>
      <c r="J6899" s="18">
        <f>IFERROR(__xludf.DUMMYFUNCTION("""COMPUTED_VALUE"""),45115.0)</f>
        <v>45115</v>
      </c>
      <c r="K6899" s="18">
        <f>IFERROR(__xludf.DUMMYFUNCTION("""COMPUTED_VALUE"""),45115.0)</f>
        <v>45115</v>
      </c>
      <c r="L6899" s="17">
        <f>IFERROR(__xludf.DUMMYFUNCTION("""COMPUTED_VALUE"""),3.218310603E9)</f>
        <v>3218310603</v>
      </c>
      <c r="M6899" s="17" t="str">
        <f>IFERROR(__xludf.DUMMYFUNCTION("""COMPUTED_VALUE"""),"#REF!")</f>
        <v>#REF!</v>
      </c>
      <c r="N6899" s="17"/>
      <c r="O6899" s="17"/>
      <c r="P6899" s="17" t="b">
        <f>IFERROR(__xludf.DUMMYFUNCTION("""COMPUTED_VALUE"""),TRUE)</f>
        <v>1</v>
      </c>
      <c r="Q6899" s="20">
        <f>IFERROR(__xludf.DUMMYFUNCTION("""COMPUTED_VALUE"""),45196.632808263894)</f>
        <v>45196.63281</v>
      </c>
      <c r="R6899" s="21" t="str">
        <f>IFERROR(__xludf.DUMMYFUNCTION("""COMPUTED_VALUE"""),"https://drive.google.com/file/d/1YagwpRcxzyPU7-yWQrjmTEetB7I_oPQR/view?usp=drivesdk")</f>
        <v>https://drive.google.com/file/d/1YagwpRcxzyPU7-yWQrjmTEetB7I_oPQR/view?usp=drivesdk</v>
      </c>
    </row>
    <row r="6900">
      <c r="A6900" s="15">
        <f>IFERROR(__xludf.DUMMYFUNCTION("""COMPUTED_VALUE"""),45195.0)</f>
        <v>45195</v>
      </c>
      <c r="B6900" s="16" t="str">
        <f>IFERROR(__xludf.DUMMYFUNCTION("""COMPUTED_VALUE"""),"Santiago Garces Restrepo")</f>
        <v>Santiago Garces Restrepo</v>
      </c>
      <c r="C6900" s="15" t="str">
        <f>IFERROR(__xludf.DUMMYFUNCTION("""COMPUTED_VALUE"""),"MEDELLÍN")</f>
        <v>MEDELLÍN</v>
      </c>
      <c r="D6900" s="15" t="str">
        <f>IFERROR(__xludf.DUMMYFUNCTION("""COMPUTED_VALUE"""),"BOGOTÁ")</f>
        <v>BOGOTÁ</v>
      </c>
      <c r="E6900" s="15" t="str">
        <f>IFERROR(__xludf.DUMMYFUNCTION("""COMPUTED_VALUE"""),"FamiliaReal S.A.S")</f>
        <v>FamiliaReal S.A.S</v>
      </c>
      <c r="F6900" s="17" t="str">
        <f>IFERROR(__xludf.DUMMYFUNCTION("""COMPUTED_VALUE"""),"Cra. 27 # 23 Sur-68 Mall Comercial Distrito Avignon Mercado Saludable Local 106 Horario: 10 am - 7 pm")</f>
        <v>Cra. 27 # 23 Sur-68 Mall Comercial Distrito Avignon Mercado Saludable Local 106 Horario: 10 am - 7 pm</v>
      </c>
      <c r="G6900" s="15" t="str">
        <f>IFERROR(__xludf.DUMMYFUNCTION("""COMPUTED_VALUE"""),"Frutal Exotic SAS")</f>
        <v>Frutal Exotic SAS</v>
      </c>
      <c r="H6900" s="16">
        <f>IFERROR(__xludf.DUMMYFUNCTION("""COMPUTED_VALUE"""),15539.0)</f>
        <v>15539</v>
      </c>
      <c r="I6900" s="18">
        <f>IFERROR(__xludf.DUMMYFUNCTION("""COMPUTED_VALUE"""),45068.0)</f>
        <v>45068</v>
      </c>
      <c r="J6900" s="18">
        <f>IFERROR(__xludf.DUMMYFUNCTION("""COMPUTED_VALUE"""),45053.0)</f>
        <v>45053</v>
      </c>
      <c r="K6900" s="18">
        <f>IFERROR(__xludf.DUMMYFUNCTION("""COMPUTED_VALUE"""),45053.0)</f>
        <v>45053</v>
      </c>
      <c r="L6900" s="17">
        <f>IFERROR(__xludf.DUMMYFUNCTION("""COMPUTED_VALUE"""),3.218310603E9)</f>
        <v>3218310603</v>
      </c>
      <c r="M6900" s="17" t="str">
        <f>IFERROR(__xludf.DUMMYFUNCTION("""COMPUTED_VALUE"""),"#REF!")</f>
        <v>#REF!</v>
      </c>
      <c r="N6900" s="17"/>
      <c r="O6900" s="17"/>
      <c r="P6900" s="17" t="b">
        <f>IFERROR(__xludf.DUMMYFUNCTION("""COMPUTED_VALUE"""),TRUE)</f>
        <v>1</v>
      </c>
      <c r="Q6900" s="20">
        <f>IFERROR(__xludf.DUMMYFUNCTION("""COMPUTED_VALUE"""),45196.63162186343)</f>
        <v>45196.63162</v>
      </c>
      <c r="R6900" s="22" t="str">
        <f>IFERROR(__xludf.DUMMYFUNCTION("""COMPUTED_VALUE"""),"")</f>
        <v/>
      </c>
    </row>
    <row r="6901">
      <c r="A6901" s="15">
        <f>IFERROR(__xludf.DUMMYFUNCTION("""COMPUTED_VALUE"""),45195.0)</f>
        <v>45195</v>
      </c>
      <c r="B6901" s="16" t="str">
        <f>IFERROR(__xludf.DUMMYFUNCTION("""COMPUTED_VALUE"""),"Santiago Garces Restrepo")</f>
        <v>Santiago Garces Restrepo</v>
      </c>
      <c r="C6901" s="15" t="str">
        <f>IFERROR(__xludf.DUMMYFUNCTION("""COMPUTED_VALUE"""),"MEDELLÍN")</f>
        <v>MEDELLÍN</v>
      </c>
      <c r="D6901" s="15" t="str">
        <f>IFERROR(__xludf.DUMMYFUNCTION("""COMPUTED_VALUE"""),"BOGOTÁ")</f>
        <v>BOGOTÁ</v>
      </c>
      <c r="E6901" s="15" t="str">
        <f>IFERROR(__xludf.DUMMYFUNCTION("""COMPUTED_VALUE"""),"Pan de Waffle")</f>
        <v>Pan de Waffle</v>
      </c>
      <c r="F6901" s="17" t="str">
        <f>IFERROR(__xludf.DUMMYFUNCTION("""COMPUTED_VALUE"""),"Carrera 39 # 59 - 32 / Carrera 39 # 59 - 32 / Carrera 39 # 59 - 32")</f>
        <v>Carrera 39 # 59 - 32 / Carrera 39 # 59 - 32 / Carrera 39 # 59 - 32</v>
      </c>
      <c r="G6901" s="15" t="str">
        <f>IFERROR(__xludf.DUMMYFUNCTION("""COMPUTED_VALUE"""),"FOODOLOGY MEDELLIN")</f>
        <v>FOODOLOGY MEDELLIN</v>
      </c>
      <c r="H6901" s="16">
        <f>IFERROR(__xludf.DUMMYFUNCTION("""COMPUTED_VALUE"""),15584.0)</f>
        <v>15584</v>
      </c>
      <c r="I6901" s="18">
        <f>IFERROR(__xludf.DUMMYFUNCTION("""COMPUTED_VALUE"""),40.0)</f>
        <v>40</v>
      </c>
      <c r="J6901" s="18">
        <f>IFERROR(__xludf.DUMMYFUNCTION("""COMPUTED_VALUE"""),40.0)</f>
        <v>40</v>
      </c>
      <c r="K6901" s="18">
        <f>IFERROR(__xludf.DUMMYFUNCTION("""COMPUTED_VALUE"""),30.0)</f>
        <v>30</v>
      </c>
      <c r="L6901" s="17">
        <f>IFERROR(__xludf.DUMMYFUNCTION("""COMPUTED_VALUE"""),3.123558292E9)</f>
        <v>3123558292</v>
      </c>
      <c r="M6901" s="17" t="str">
        <f>IFERROR(__xludf.DUMMYFUNCTION("""COMPUTED_VALUE"""),"#REF!")</f>
        <v>#REF!</v>
      </c>
      <c r="N6901" s="17"/>
      <c r="O6901" s="17"/>
      <c r="P6901" s="17" t="b">
        <f>IFERROR(__xludf.DUMMYFUNCTION("""COMPUTED_VALUE"""),FALSE)</f>
        <v>0</v>
      </c>
      <c r="Q6901" s="20" t="str">
        <f>IFERROR(__xludf.DUMMYFUNCTION("""COMPUTED_VALUE"""),"")</f>
        <v/>
      </c>
      <c r="R6901" s="22" t="str">
        <f>IFERROR(__xludf.DUMMYFUNCTION("""COMPUTED_VALUE"""),"")</f>
        <v/>
      </c>
    </row>
    <row r="6902">
      <c r="A6902" s="15">
        <f>IFERROR(__xludf.DUMMYFUNCTION("""COMPUTED_VALUE"""),45195.0)</f>
        <v>45195</v>
      </c>
      <c r="B6902" s="16" t="str">
        <f>IFERROR(__xludf.DUMMYFUNCTION("""COMPUTED_VALUE"""),"Santiago Garces Restrepo")</f>
        <v>Santiago Garces Restrepo</v>
      </c>
      <c r="C6902" s="15" t="str">
        <f>IFERROR(__xludf.DUMMYFUNCTION("""COMPUTED_VALUE"""),"MEDELLÍN")</f>
        <v>MEDELLÍN</v>
      </c>
      <c r="D6902" s="15" t="str">
        <f>IFERROR(__xludf.DUMMYFUNCTION("""COMPUTED_VALUE"""),"BOGOTÁ")</f>
        <v>BOGOTÁ</v>
      </c>
      <c r="E6902" s="15" t="str">
        <f>IFERROR(__xludf.DUMMYFUNCTION("""COMPUTED_VALUE"""),"Pan de Waffle")</f>
        <v>Pan de Waffle</v>
      </c>
      <c r="F6902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6902" s="15" t="str">
        <f>IFERROR(__xludf.DUMMYFUNCTION("""COMPUTED_VALUE"""),"VITA INTEGRAL")</f>
        <v>VITA INTEGRAL</v>
      </c>
      <c r="H6902" s="16">
        <f>IFERROR(__xludf.DUMMYFUNCTION("""COMPUTED_VALUE"""),15585.0)</f>
        <v>15585</v>
      </c>
      <c r="I6902" s="18">
        <f>IFERROR(__xludf.DUMMYFUNCTION("""COMPUTED_VALUE"""),40.0)</f>
        <v>40</v>
      </c>
      <c r="J6902" s="18">
        <f>IFERROR(__xludf.DUMMYFUNCTION("""COMPUTED_VALUE"""),40.0)</f>
        <v>40</v>
      </c>
      <c r="K6902" s="18">
        <f>IFERROR(__xludf.DUMMYFUNCTION("""COMPUTED_VALUE"""),30.0)</f>
        <v>30</v>
      </c>
      <c r="L6902" s="17">
        <f>IFERROR(__xludf.DUMMYFUNCTION("""COMPUTED_VALUE"""),3.002005206E9)</f>
        <v>3002005206</v>
      </c>
      <c r="M6902" s="17" t="str">
        <f>IFERROR(__xludf.DUMMYFUNCTION("""COMPUTED_VALUE"""),"#REF!")</f>
        <v>#REF!</v>
      </c>
      <c r="N6902" s="17"/>
      <c r="O6902" s="17"/>
      <c r="P6902" s="17" t="b">
        <f>IFERROR(__xludf.DUMMYFUNCTION("""COMPUTED_VALUE"""),FALSE)</f>
        <v>0</v>
      </c>
      <c r="Q6902" s="20" t="str">
        <f>IFERROR(__xludf.DUMMYFUNCTION("""COMPUTED_VALUE"""),"")</f>
        <v/>
      </c>
      <c r="R6902" s="22" t="str">
        <f>IFERROR(__xludf.DUMMYFUNCTION("""COMPUTED_VALUE"""),"")</f>
        <v/>
      </c>
    </row>
    <row r="6903">
      <c r="A6903" s="15">
        <f>IFERROR(__xludf.DUMMYFUNCTION("""COMPUTED_VALUE"""),45195.0)</f>
        <v>45195</v>
      </c>
      <c r="B6903" s="16" t="str">
        <f>IFERROR(__xludf.DUMMYFUNCTION("""COMPUTED_VALUE"""),"Santiago Garces Restrepo")</f>
        <v>Santiago Garces Restrepo</v>
      </c>
      <c r="C6903" s="15" t="str">
        <f>IFERROR(__xludf.DUMMYFUNCTION("""COMPUTED_VALUE"""),"MEDELLÍN")</f>
        <v>MEDELLÍN</v>
      </c>
      <c r="D6903" s="15" t="str">
        <f>IFERROR(__xludf.DUMMYFUNCTION("""COMPUTED_VALUE"""),"BOGOTÁ")</f>
        <v>BOGOTÁ</v>
      </c>
      <c r="E6903" s="15" t="str">
        <f>IFERROR(__xludf.DUMMYFUNCTION("""COMPUTED_VALUE"""),"Top Spun")</f>
        <v>Top Spun</v>
      </c>
      <c r="F6903" s="17" t="str">
        <f>IFERROR(__xludf.DUMMYFUNCTION("""COMPUTED_VALUE"""),"Calle 20B sur # 27-207 / Apto 901 / El Capiro")</f>
        <v>Calle 20B sur # 27-207 / Apto 901 / El Capiro</v>
      </c>
      <c r="G6903" s="15" t="str">
        <f>IFERROR(__xludf.DUMMYFUNCTION("""COMPUTED_VALUE"""),"Natalia Pardo")</f>
        <v>Natalia Pardo</v>
      </c>
      <c r="H6903" s="16">
        <f>IFERROR(__xludf.DUMMYFUNCTION("""COMPUTED_VALUE"""),15550.0)</f>
        <v>15550</v>
      </c>
      <c r="I6903" s="18">
        <f>IFERROR(__xludf.DUMMYFUNCTION("""COMPUTED_VALUE"""),20.0)</f>
        <v>20</v>
      </c>
      <c r="J6903" s="18">
        <f>IFERROR(__xludf.DUMMYFUNCTION("""COMPUTED_VALUE"""),10.0)</f>
        <v>10</v>
      </c>
      <c r="K6903" s="18">
        <f>IFERROR(__xludf.DUMMYFUNCTION("""COMPUTED_VALUE"""),40.0)</f>
        <v>40</v>
      </c>
      <c r="L6903" s="17">
        <f>IFERROR(__xludf.DUMMYFUNCTION("""COMPUTED_VALUE"""),3.105063535E9)</f>
        <v>3105063535</v>
      </c>
      <c r="M6903" s="17" t="str">
        <f>IFERROR(__xludf.DUMMYFUNCTION("""COMPUTED_VALUE"""),"#REF!")</f>
        <v>#REF!</v>
      </c>
      <c r="N6903" s="17"/>
      <c r="O6903" s="17"/>
      <c r="P6903" s="17" t="b">
        <f>IFERROR(__xludf.DUMMYFUNCTION("""COMPUTED_VALUE"""),FALSE)</f>
        <v>0</v>
      </c>
      <c r="Q6903" s="20" t="str">
        <f>IFERROR(__xludf.DUMMYFUNCTION("""COMPUTED_VALUE"""),"")</f>
        <v/>
      </c>
      <c r="R6903" s="21" t="str">
        <f>IFERROR(__xludf.DUMMYFUNCTION("""COMPUTED_VALUE"""),"https://drive.google.com/file/d/1bsmFawmOx4mwBgqbdC_6_eJUMAYkb5Ys/view?usp=drivesdk")</f>
        <v>https://drive.google.com/file/d/1bsmFawmOx4mwBgqbdC_6_eJUMAYkb5Ys/view?usp=drivesdk</v>
      </c>
    </row>
    <row r="6904">
      <c r="A6904" s="15">
        <f>IFERROR(__xludf.DUMMYFUNCTION("""COMPUTED_VALUE"""),45195.0)</f>
        <v>45195</v>
      </c>
      <c r="B6904" s="16" t="str">
        <f>IFERROR(__xludf.DUMMYFUNCTION("""COMPUTED_VALUE"""),"Santiago Garces Restrepo")</f>
        <v>Santiago Garces Restrepo</v>
      </c>
      <c r="C6904" s="15" t="str">
        <f>IFERROR(__xludf.DUMMYFUNCTION("""COMPUTED_VALUE"""),"MEDELLÍN")</f>
        <v>MEDELLÍN</v>
      </c>
      <c r="D6904" s="15" t="str">
        <f>IFERROR(__xludf.DUMMYFUNCTION("""COMPUTED_VALUE"""),"MEDELLÍN")</f>
        <v>MEDELLÍN</v>
      </c>
      <c r="E6904" s="15" t="str">
        <f>IFERROR(__xludf.DUMMYFUNCTION("""COMPUTED_VALUE"""),"Pan de Waffle")</f>
        <v>Pan de Waffle</v>
      </c>
      <c r="F6904" s="17" t="str">
        <f>IFERROR(__xludf.DUMMYFUNCTION("""COMPUTED_VALUE"""),"Carrera 25 # 10 - 40 Apto 1302 Caminos de Monticello  / Carrera 25 # 10 - 40 Apto 1302 Caminos de Monticello  / Carrera 25 # 10 - 40 Apto 1302 Caminos de Monticello")</f>
        <v>Carrera 25 # 10 - 40 Apto 1302 Caminos de Monticello  / Carrera 25 # 10 - 40 Apto 1302 Caminos de Monticello  / Carrera 25 # 10 - 40 Apto 1302 Caminos de Monticello</v>
      </c>
      <c r="G6904" s="15" t="str">
        <f>IFERROR(__xludf.DUMMYFUNCTION("""COMPUTED_VALUE"""),"ANA SOFIA TORRADO")</f>
        <v>ANA SOFIA TORRADO</v>
      </c>
      <c r="H6904" s="16">
        <f>IFERROR(__xludf.DUMMYFUNCTION("""COMPUTED_VALUE"""),15588.0)</f>
        <v>15588</v>
      </c>
      <c r="I6904" s="18">
        <f>IFERROR(__xludf.DUMMYFUNCTION("""COMPUTED_VALUE"""),40.0)</f>
        <v>40</v>
      </c>
      <c r="J6904" s="18">
        <f>IFERROR(__xludf.DUMMYFUNCTION("""COMPUTED_VALUE"""),40.0)</f>
        <v>40</v>
      </c>
      <c r="K6904" s="18">
        <f>IFERROR(__xludf.DUMMYFUNCTION("""COMPUTED_VALUE"""),40.0)</f>
        <v>40</v>
      </c>
      <c r="L6904" s="17">
        <f>IFERROR(__xludf.DUMMYFUNCTION("""COMPUTED_VALUE"""),3.164178153E9)</f>
        <v>3164178153</v>
      </c>
      <c r="M6904" s="17" t="str">
        <f>IFERROR(__xludf.DUMMYFUNCTION("""COMPUTED_VALUE"""),"#REF!")</f>
        <v>#REF!</v>
      </c>
      <c r="N6904" s="17"/>
      <c r="O6904" s="17"/>
      <c r="P6904" s="17" t="b">
        <f>IFERROR(__xludf.DUMMYFUNCTION("""COMPUTED_VALUE"""),TRUE)</f>
        <v>1</v>
      </c>
      <c r="Q6904" s="20">
        <f>IFERROR(__xludf.DUMMYFUNCTION("""COMPUTED_VALUE"""),45197.36081385417)</f>
        <v>45197.36081</v>
      </c>
      <c r="R6904" s="21" t="str">
        <f>IFERROR(__xludf.DUMMYFUNCTION("""COMPUTED_VALUE"""),"https://drive.google.com/file/d/1z2MKKziUBHXj9-vAeaakUNbIVzJoB8kR/view?usp=drivesdk")</f>
        <v>https://drive.google.com/file/d/1z2MKKziUBHXj9-vAeaakUNbIVzJoB8kR/view?usp=drivesdk</v>
      </c>
    </row>
    <row r="6905">
      <c r="A6905" s="17" t="str">
        <f>IFERROR(__xludf.DUMMYFUNCTION("""COMPUTED_VALUE"""),"")</f>
        <v/>
      </c>
      <c r="B6905" s="17" t="str">
        <f>IFERROR(__xludf.DUMMYFUNCTION("""COMPUTED_VALUE"""),"")</f>
        <v/>
      </c>
      <c r="C6905" s="17" t="str">
        <f>IFERROR(__xludf.DUMMYFUNCTION("""COMPUTED_VALUE"""),"")</f>
        <v/>
      </c>
      <c r="D6905" s="17" t="str">
        <f>IFERROR(__xludf.DUMMYFUNCTION("""COMPUTED_VALUE"""),"")</f>
        <v/>
      </c>
      <c r="E6905" s="17" t="str">
        <f>IFERROR(__xludf.DUMMYFUNCTION("""COMPUTED_VALUE"""),"")</f>
        <v/>
      </c>
      <c r="F6905" s="17" t="str">
        <f>IFERROR(__xludf.DUMMYFUNCTION("""COMPUTED_VALUE"""),"")</f>
        <v/>
      </c>
      <c r="G6905" s="17" t="str">
        <f>IFERROR(__xludf.DUMMYFUNCTION("""COMPUTED_VALUE"""),"")</f>
        <v/>
      </c>
      <c r="H6905" s="17" t="str">
        <f>IFERROR(__xludf.DUMMYFUNCTION("""COMPUTED_VALUE"""),"")</f>
        <v/>
      </c>
      <c r="I6905" s="17" t="str">
        <f>IFERROR(__xludf.DUMMYFUNCTION("""COMPUTED_VALUE"""),"")</f>
        <v/>
      </c>
      <c r="J6905" s="17" t="str">
        <f>IFERROR(__xludf.DUMMYFUNCTION("""COMPUTED_VALUE"""),"")</f>
        <v/>
      </c>
      <c r="K6905" s="17" t="str">
        <f>IFERROR(__xludf.DUMMYFUNCTION("""COMPUTED_VALUE"""),"")</f>
        <v/>
      </c>
      <c r="L6905" s="17" t="str">
        <f>IFERROR(__xludf.DUMMYFUNCTION("""COMPUTED_VALUE"""),"")</f>
        <v/>
      </c>
      <c r="M6905" s="17" t="str">
        <f>IFERROR(__xludf.DUMMYFUNCTION("""COMPUTED_VALUE"""),"")</f>
        <v/>
      </c>
      <c r="N6905" s="17" t="str">
        <f>IFERROR(__xludf.DUMMYFUNCTION("""COMPUTED_VALUE"""),"")</f>
        <v/>
      </c>
      <c r="O6905" s="17" t="str">
        <f>IFERROR(__xludf.DUMMYFUNCTION("""COMPUTED_VALUE"""),"")</f>
        <v/>
      </c>
      <c r="P6905" s="17" t="str">
        <f>IFERROR(__xludf.DUMMYFUNCTION("""COMPUTED_VALUE"""),"")</f>
        <v/>
      </c>
      <c r="Q6905" s="17" t="str">
        <f>IFERROR(__xludf.DUMMYFUNCTION("""COMPUTED_VALUE"""),"")</f>
        <v/>
      </c>
      <c r="R6905" s="17" t="str">
        <f>IFERROR(__xludf.DUMMYFUNCTION("""COMPUTED_VALUE"""),"")</f>
        <v/>
      </c>
    </row>
    <row r="6906">
      <c r="A6906" s="15">
        <f>IFERROR(__xludf.DUMMYFUNCTION("""COMPUTED_VALUE"""),45196.0)</f>
        <v>45196</v>
      </c>
      <c r="B6906" s="17"/>
      <c r="C6906" s="15" t="str">
        <f>IFERROR(__xludf.DUMMYFUNCTION("""COMPUTED_VALUE"""),"CALI")</f>
        <v>CALI</v>
      </c>
      <c r="D6906" s="15" t="str">
        <f>IFERROR(__xludf.DUMMYFUNCTION("""COMPUTED_VALUE"""),"MEDELLÍN")</f>
        <v>MEDELLÍN</v>
      </c>
      <c r="E6906" s="15" t="str">
        <f>IFERROR(__xludf.DUMMYFUNCTION("""COMPUTED_VALUE"""),"Moloso S.A.S")</f>
        <v>Moloso S.A.S</v>
      </c>
      <c r="F6906" s="17" t="str">
        <f>IFERROR(__xludf.DUMMYFUNCTION("""COMPUTED_VALUE"""),"AVENIDA 3 OESTE 13 94 EDIF SOL DEL OESTE APT 702 / EDIF SOL DEL OESTE APT 702")</f>
        <v>AVENIDA 3 OESTE 13 94 EDIF SOL DEL OESTE APT 702 / EDIF SOL DEL OESTE APT 702</v>
      </c>
      <c r="G6906" s="15" t="str">
        <f>IFERROR(__xludf.DUMMYFUNCTION("""COMPUTED_VALUE"""),"LAURA HERNÁNDEZ ALVIAR")</f>
        <v>LAURA HERNÁNDEZ ALVIAR</v>
      </c>
      <c r="H6906" s="16">
        <f>IFERROR(__xludf.DUMMYFUNCTION("""COMPUTED_VALUE"""),15654.0)</f>
        <v>15654</v>
      </c>
      <c r="I6906" s="18">
        <f>IFERROR(__xludf.DUMMYFUNCTION("""COMPUTED_VALUE"""),17.0)</f>
        <v>17</v>
      </c>
      <c r="J6906" s="18">
        <f>IFERROR(__xludf.DUMMYFUNCTION("""COMPUTED_VALUE"""),15.0)</f>
        <v>15</v>
      </c>
      <c r="K6906" s="18">
        <f>IFERROR(__xludf.DUMMYFUNCTION("""COMPUTED_VALUE"""),28.0)</f>
        <v>28</v>
      </c>
      <c r="L6906" s="17" t="str">
        <f>IFERROR(__xludf.DUMMYFUNCTION("""COMPUTED_VALUE"""),"315 5762974")</f>
        <v>315 5762974</v>
      </c>
      <c r="M6906" s="17" t="str">
        <f>IFERROR(__xludf.DUMMYFUNCTION("""COMPUTED_VALUE"""),"#REF!")</f>
        <v>#REF!</v>
      </c>
      <c r="N6906" s="17"/>
      <c r="O6906" s="17"/>
      <c r="P6906" s="17" t="b">
        <f>IFERROR(__xludf.DUMMYFUNCTION("""COMPUTED_VALUE"""),FALSE)</f>
        <v>0</v>
      </c>
      <c r="Q6906" s="20" t="str">
        <f>IFERROR(__xludf.DUMMYFUNCTION("""COMPUTED_VALUE"""),"")</f>
        <v/>
      </c>
      <c r="R6906" s="21" t="str">
        <f>IFERROR(__xludf.DUMMYFUNCTION("""COMPUTED_VALUE"""),"https://drive.google.com/file/d/1meoY3Tzt_3iyCnZF85zirAsp65hY-S5F/view?usp=drivesdk")</f>
        <v>https://drive.google.com/file/d/1meoY3Tzt_3iyCnZF85zirAsp65hY-S5F/view?usp=drivesdk</v>
      </c>
    </row>
    <row r="6907">
      <c r="A6907" s="15">
        <f>IFERROR(__xludf.DUMMYFUNCTION("""COMPUTED_VALUE"""),45196.0)</f>
        <v>45196</v>
      </c>
      <c r="B6907" s="17"/>
      <c r="C6907" s="15" t="str">
        <f>IFERROR(__xludf.DUMMYFUNCTION("""COMPUTED_VALUE"""),"CALI")</f>
        <v>CALI</v>
      </c>
      <c r="D6907" s="15" t="str">
        <f>IFERROR(__xludf.DUMMYFUNCTION("""COMPUTED_VALUE"""),"MEDELLÍN")</f>
        <v>MEDELLÍN</v>
      </c>
      <c r="E6907" s="15" t="str">
        <f>IFERROR(__xludf.DUMMYFUNCTION("""COMPUTED_VALUE"""),"Rambla")</f>
        <v>Rambla</v>
      </c>
      <c r="F6907" s="17" t="str">
        <f>IFERROR(__xludf.DUMMYFUNCTION("""COMPUTED_VALUE"""),"avenida 4 norte #7n-46 lc 129 centro comercial centenario  / - / -")</f>
        <v>avenida 4 norte #7n-46 lc 129 centro comercial centenario  / - / -</v>
      </c>
      <c r="G6907" s="15" t="str">
        <f>IFERROR(__xludf.DUMMYFUNCTION("""COMPUTED_VALUE"""),"Vita fitness")</f>
        <v>Vita fitness</v>
      </c>
      <c r="H6907" s="16">
        <f>IFERROR(__xludf.DUMMYFUNCTION("""COMPUTED_VALUE"""),15669.0)</f>
        <v>15669</v>
      </c>
      <c r="I6907" s="18">
        <f>IFERROR(__xludf.DUMMYFUNCTION("""COMPUTED_VALUE"""),2.0)</f>
        <v>2</v>
      </c>
      <c r="J6907" s="18">
        <f>IFERROR(__xludf.DUMMYFUNCTION("""COMPUTED_VALUE"""),22.0)</f>
        <v>22</v>
      </c>
      <c r="K6907" s="18">
        <f>IFERROR(__xludf.DUMMYFUNCTION("""COMPUTED_VALUE"""),24.0)</f>
        <v>24</v>
      </c>
      <c r="L6907" s="17">
        <f>IFERROR(__xludf.DUMMYFUNCTION("""COMPUTED_VALUE"""),3.226925759E9)</f>
        <v>3226925759</v>
      </c>
      <c r="M6907" s="17" t="str">
        <f>IFERROR(__xludf.DUMMYFUNCTION("""COMPUTED_VALUE"""),"#REF!")</f>
        <v>#REF!</v>
      </c>
      <c r="N6907" s="17"/>
      <c r="O6907" s="17"/>
      <c r="P6907" s="17" t="b">
        <f>IFERROR(__xludf.DUMMYFUNCTION("""COMPUTED_VALUE"""),TRUE)</f>
        <v>1</v>
      </c>
      <c r="Q6907" s="20">
        <f>IFERROR(__xludf.DUMMYFUNCTION("""COMPUTED_VALUE"""),45197.35996103009)</f>
        <v>45197.35996</v>
      </c>
      <c r="R6907" s="22" t="str">
        <f>IFERROR(__xludf.DUMMYFUNCTION("""COMPUTED_VALUE"""),"")</f>
        <v/>
      </c>
    </row>
    <row r="6908">
      <c r="A6908" s="17" t="str">
        <f>IFERROR(__xludf.DUMMYFUNCTION("""COMPUTED_VALUE"""),"")</f>
        <v/>
      </c>
      <c r="B6908" s="17" t="str">
        <f>IFERROR(__xludf.DUMMYFUNCTION("""COMPUTED_VALUE"""),"")</f>
        <v/>
      </c>
      <c r="C6908" s="17" t="str">
        <f>IFERROR(__xludf.DUMMYFUNCTION("""COMPUTED_VALUE"""),"")</f>
        <v/>
      </c>
      <c r="D6908" s="17" t="str">
        <f>IFERROR(__xludf.DUMMYFUNCTION("""COMPUTED_VALUE"""),"")</f>
        <v/>
      </c>
      <c r="E6908" s="17" t="str">
        <f>IFERROR(__xludf.DUMMYFUNCTION("""COMPUTED_VALUE"""),"")</f>
        <v/>
      </c>
      <c r="F6908" s="17" t="str">
        <f>IFERROR(__xludf.DUMMYFUNCTION("""COMPUTED_VALUE"""),"")</f>
        <v/>
      </c>
      <c r="G6908" s="17" t="str">
        <f>IFERROR(__xludf.DUMMYFUNCTION("""COMPUTED_VALUE"""),"")</f>
        <v/>
      </c>
      <c r="H6908" s="17" t="str">
        <f>IFERROR(__xludf.DUMMYFUNCTION("""COMPUTED_VALUE"""),"")</f>
        <v/>
      </c>
      <c r="I6908" s="17" t="str">
        <f>IFERROR(__xludf.DUMMYFUNCTION("""COMPUTED_VALUE"""),"")</f>
        <v/>
      </c>
      <c r="J6908" s="17" t="str">
        <f>IFERROR(__xludf.DUMMYFUNCTION("""COMPUTED_VALUE"""),"")</f>
        <v/>
      </c>
      <c r="K6908" s="17" t="str">
        <f>IFERROR(__xludf.DUMMYFUNCTION("""COMPUTED_VALUE"""),"")</f>
        <v/>
      </c>
      <c r="L6908" s="17" t="str">
        <f>IFERROR(__xludf.DUMMYFUNCTION("""COMPUTED_VALUE"""),"")</f>
        <v/>
      </c>
      <c r="M6908" s="17" t="str">
        <f>IFERROR(__xludf.DUMMYFUNCTION("""COMPUTED_VALUE"""),"")</f>
        <v/>
      </c>
      <c r="N6908" s="17" t="str">
        <f>IFERROR(__xludf.DUMMYFUNCTION("""COMPUTED_VALUE"""),"")</f>
        <v/>
      </c>
      <c r="O6908" s="17" t="str">
        <f>IFERROR(__xludf.DUMMYFUNCTION("""COMPUTED_VALUE"""),"")</f>
        <v/>
      </c>
      <c r="P6908" s="17" t="str">
        <f>IFERROR(__xludf.DUMMYFUNCTION("""COMPUTED_VALUE"""),"")</f>
        <v/>
      </c>
      <c r="Q6908" s="17" t="str">
        <f>IFERROR(__xludf.DUMMYFUNCTION("""COMPUTED_VALUE"""),"")</f>
        <v/>
      </c>
      <c r="R6908" s="17" t="str">
        <f>IFERROR(__xludf.DUMMYFUNCTION("""COMPUTED_VALUE"""),"")</f>
        <v/>
      </c>
    </row>
    <row r="6909">
      <c r="A6909" s="15">
        <f>IFERROR(__xludf.DUMMYFUNCTION("""COMPUTED_VALUE"""),45196.0)</f>
        <v>45196</v>
      </c>
      <c r="B6909" s="16" t="str">
        <f>IFERROR(__xludf.DUMMYFUNCTION("""COMPUTED_VALUE"""),"Anuar suarez jimenez ")</f>
        <v>Anuar suarez jimenez </v>
      </c>
      <c r="C6909" s="15" t="str">
        <f>IFERROR(__xludf.DUMMYFUNCTION("""COMPUTED_VALUE"""),"MONTERIA")</f>
        <v>MONTERIA</v>
      </c>
      <c r="D6909" s="15" t="str">
        <f>IFERROR(__xludf.DUMMYFUNCTION("""COMPUTED_VALUE"""),"BOGOTÁ")</f>
        <v>BOGOTÁ</v>
      </c>
      <c r="E6909" s="15" t="str">
        <f>IFERROR(__xludf.DUMMYFUNCTION("""COMPUTED_VALUE"""),"Asociacion Agropecuaria Juana Maria")</f>
        <v>Asociacion Agropecuaria Juana Maria</v>
      </c>
      <c r="F6909" s="17" t="str">
        <f>IFERROR(__xludf.DUMMYFUNCTION("""COMPUTED_VALUE"""),"Carrera 12 # 53A-39 edificio alta vista torre 1 apto 603")</f>
        <v>Carrera 12 # 53A-39 edificio alta vista torre 1 apto 603</v>
      </c>
      <c r="G6909" s="15" t="str">
        <f>IFERROR(__xludf.DUMMYFUNCTION("""COMPUTED_VALUE"""),"Emilia Miranda")</f>
        <v>Emilia Miranda</v>
      </c>
      <c r="H6909" s="16">
        <f>IFERROR(__xludf.DUMMYFUNCTION("""COMPUTED_VALUE"""),15557.0)</f>
        <v>15557</v>
      </c>
      <c r="I6909" s="18">
        <f>IFERROR(__xludf.DUMMYFUNCTION("""COMPUTED_VALUE"""),17.0)</f>
        <v>17</v>
      </c>
      <c r="J6909" s="18">
        <f>IFERROR(__xludf.DUMMYFUNCTION("""COMPUTED_VALUE"""),37.0)</f>
        <v>37</v>
      </c>
      <c r="K6909" s="18">
        <f>IFERROR(__xludf.DUMMYFUNCTION("""COMPUTED_VALUE"""),28.0)</f>
        <v>28</v>
      </c>
      <c r="L6909" s="17">
        <f>IFERROR(__xludf.DUMMYFUNCTION("""COMPUTED_VALUE"""),3.113438505E9)</f>
        <v>3113438505</v>
      </c>
      <c r="M6909" s="17" t="str">
        <f>IFERROR(__xludf.DUMMYFUNCTION("""COMPUTED_VALUE"""),"#REF!")</f>
        <v>#REF!</v>
      </c>
      <c r="N6909" s="17"/>
      <c r="O6909" s="17"/>
      <c r="P6909" s="17" t="b">
        <f>IFERROR(__xludf.DUMMYFUNCTION("""COMPUTED_VALUE"""),TRUE)</f>
        <v>1</v>
      </c>
      <c r="Q6909" s="20">
        <f>IFERROR(__xludf.DUMMYFUNCTION("""COMPUTED_VALUE"""),45197.56452950231)</f>
        <v>45197.56453</v>
      </c>
      <c r="R6909" s="21" t="str">
        <f>IFERROR(__xludf.DUMMYFUNCTION("""COMPUTED_VALUE"""),"https://drive.google.com/file/d/1vuXh6b7nbAoXRCODTMnmNLYnW3CH-b5y/view?usp=drivesdk")</f>
        <v>https://drive.google.com/file/d/1vuXh6b7nbAoXRCODTMnmNLYnW3CH-b5y/view?usp=drivesdk</v>
      </c>
    </row>
    <row r="6910">
      <c r="A6910" s="15">
        <f>IFERROR(__xludf.DUMMYFUNCTION("""COMPUTED_VALUE"""),45196.0)</f>
        <v>45196</v>
      </c>
      <c r="B6910" s="16" t="str">
        <f>IFERROR(__xludf.DUMMYFUNCTION("""COMPUTED_VALUE"""),"Anuar suarez jimenez ")</f>
        <v>Anuar suarez jimenez </v>
      </c>
      <c r="C6910" s="15" t="str">
        <f>IFERROR(__xludf.DUMMYFUNCTION("""COMPUTED_VALUE"""),"MONTERIA")</f>
        <v>MONTERIA</v>
      </c>
      <c r="D6910" s="15" t="str">
        <f>IFERROR(__xludf.DUMMYFUNCTION("""COMPUTED_VALUE"""),"BOGOTÁ")</f>
        <v>BOGOTÁ</v>
      </c>
      <c r="E6910" s="15" t="str">
        <f>IFERROR(__xludf.DUMMYFUNCTION("""COMPUTED_VALUE"""),"Evamazzita")</f>
        <v>Evamazzita</v>
      </c>
      <c r="F6910" s="17" t="str">
        <f>IFERROR(__xludf.DUMMYFUNCTION("""COMPUTED_VALUE"""),"CRA 14A No. 54 . 23 / BARRIO MONTEVERDE")</f>
        <v>CRA 14A No. 54 . 23 / BARRIO MONTEVERDE</v>
      </c>
      <c r="G6910" s="15" t="str">
        <f>IFERROR(__xludf.DUMMYFUNCTION("""COMPUTED_VALUE"""),"EMILIA MIRANDA")</f>
        <v>EMILIA MIRANDA</v>
      </c>
      <c r="H6910" s="16">
        <f>IFERROR(__xludf.DUMMYFUNCTION("""COMPUTED_VALUE"""),15593.0)</f>
        <v>15593</v>
      </c>
      <c r="I6910" s="18">
        <f>IFERROR(__xludf.DUMMYFUNCTION("""COMPUTED_VALUE"""),1.0)</f>
        <v>1</v>
      </c>
      <c r="J6910" s="18">
        <f>IFERROR(__xludf.DUMMYFUNCTION("""COMPUTED_VALUE"""),1.0)</f>
        <v>1</v>
      </c>
      <c r="K6910" s="18">
        <f>IFERROR(__xludf.DUMMYFUNCTION("""COMPUTED_VALUE"""),1.0)</f>
        <v>1</v>
      </c>
      <c r="L6910" s="17">
        <f>IFERROR(__xludf.DUMMYFUNCTION("""COMPUTED_VALUE"""),3.113438505E9)</f>
        <v>3113438505</v>
      </c>
      <c r="M6910" s="17" t="str">
        <f>IFERROR(__xludf.DUMMYFUNCTION("""COMPUTED_VALUE"""),"#REF!")</f>
        <v>#REF!</v>
      </c>
      <c r="N6910" s="17"/>
      <c r="O6910" s="17"/>
      <c r="P6910" s="17" t="b">
        <f>IFERROR(__xludf.DUMMYFUNCTION("""COMPUTED_VALUE"""),FALSE)</f>
        <v>0</v>
      </c>
      <c r="Q6910" s="20" t="str">
        <f>IFERROR(__xludf.DUMMYFUNCTION("""COMPUTED_VALUE"""),"")</f>
        <v/>
      </c>
      <c r="R6910" s="21" t="str">
        <f>IFERROR(__xludf.DUMMYFUNCTION("""COMPUTED_VALUE"""),"https://drive.google.com/file/d/16HXx5VzV48XTIXv9U7-ZgV8FSzlQ8HiK/view?usp=drivesdk")</f>
        <v>https://drive.google.com/file/d/16HXx5VzV48XTIXv9U7-ZgV8FSzlQ8HiK/view?usp=drivesdk</v>
      </c>
    </row>
    <row r="6911">
      <c r="A6911" s="17" t="str">
        <f>IFERROR(__xludf.DUMMYFUNCTION("""COMPUTED_VALUE"""),"")</f>
        <v/>
      </c>
      <c r="B6911" s="17" t="str">
        <f>IFERROR(__xludf.DUMMYFUNCTION("""COMPUTED_VALUE"""),"")</f>
        <v/>
      </c>
      <c r="C6911" s="17" t="str">
        <f>IFERROR(__xludf.DUMMYFUNCTION("""COMPUTED_VALUE"""),"")</f>
        <v/>
      </c>
      <c r="D6911" s="17" t="str">
        <f>IFERROR(__xludf.DUMMYFUNCTION("""COMPUTED_VALUE"""),"")</f>
        <v/>
      </c>
      <c r="E6911" s="17" t="str">
        <f>IFERROR(__xludf.DUMMYFUNCTION("""COMPUTED_VALUE"""),"")</f>
        <v/>
      </c>
      <c r="F6911" s="17" t="str">
        <f>IFERROR(__xludf.DUMMYFUNCTION("""COMPUTED_VALUE"""),"")</f>
        <v/>
      </c>
      <c r="G6911" s="17" t="str">
        <f>IFERROR(__xludf.DUMMYFUNCTION("""COMPUTED_VALUE"""),"")</f>
        <v/>
      </c>
      <c r="H6911" s="17" t="str">
        <f>IFERROR(__xludf.DUMMYFUNCTION("""COMPUTED_VALUE"""),"")</f>
        <v/>
      </c>
      <c r="I6911" s="17" t="str">
        <f>IFERROR(__xludf.DUMMYFUNCTION("""COMPUTED_VALUE"""),"")</f>
        <v/>
      </c>
      <c r="J6911" s="17" t="str">
        <f>IFERROR(__xludf.DUMMYFUNCTION("""COMPUTED_VALUE"""),"")</f>
        <v/>
      </c>
      <c r="K6911" s="17" t="str">
        <f>IFERROR(__xludf.DUMMYFUNCTION("""COMPUTED_VALUE"""),"")</f>
        <v/>
      </c>
      <c r="L6911" s="17" t="str">
        <f>IFERROR(__xludf.DUMMYFUNCTION("""COMPUTED_VALUE"""),"")</f>
        <v/>
      </c>
      <c r="M6911" s="17" t="str">
        <f>IFERROR(__xludf.DUMMYFUNCTION("""COMPUTED_VALUE"""),"")</f>
        <v/>
      </c>
      <c r="N6911" s="17" t="str">
        <f>IFERROR(__xludf.DUMMYFUNCTION("""COMPUTED_VALUE"""),"")</f>
        <v/>
      </c>
      <c r="O6911" s="17" t="str">
        <f>IFERROR(__xludf.DUMMYFUNCTION("""COMPUTED_VALUE"""),"")</f>
        <v/>
      </c>
      <c r="P6911" s="17" t="str">
        <f>IFERROR(__xludf.DUMMYFUNCTION("""COMPUTED_VALUE"""),"")</f>
        <v/>
      </c>
      <c r="Q6911" s="17" t="str">
        <f>IFERROR(__xludf.DUMMYFUNCTION("""COMPUTED_VALUE"""),"")</f>
        <v/>
      </c>
      <c r="R6911" s="17" t="str">
        <f>IFERROR(__xludf.DUMMYFUNCTION("""COMPUTED_VALUE"""),"")</f>
        <v/>
      </c>
    </row>
    <row r="6912">
      <c r="A6912" s="15">
        <f>IFERROR(__xludf.DUMMYFUNCTION("""COMPUTED_VALUE"""),45196.0)</f>
        <v>45196</v>
      </c>
      <c r="B6912" s="16" t="str">
        <f>IFERROR(__xludf.DUMMYFUNCTION("""COMPUTED_VALUE"""),"Daniel José sandoval gonzalez")</f>
        <v>Daniel José sandoval gonzalez</v>
      </c>
      <c r="C6912" s="15" t="str">
        <f>IFERROR(__xludf.DUMMYFUNCTION("""COMPUTED_VALUE"""),"CALI")</f>
        <v>CALI</v>
      </c>
      <c r="D6912" s="15" t="str">
        <f>IFERROR(__xludf.DUMMYFUNCTION("""COMPUTED_VALUE"""),"MEDELLÍN")</f>
        <v>MEDELLÍN</v>
      </c>
      <c r="E6912" s="15" t="str">
        <f>IFERROR(__xludf.DUMMYFUNCTION("""COMPUTED_VALUE"""),"Rambla")</f>
        <v>Rambla</v>
      </c>
      <c r="F6912" s="17" t="str">
        <f>IFERROR(__xludf.DUMMYFUNCTION("""COMPUTED_VALUE"""),"avenida 4 norte #7n-46 lc 129 centro comercial centenario  / - / -")</f>
        <v>avenida 4 norte #7n-46 lc 129 centro comercial centenario  / - / -</v>
      </c>
      <c r="G6912" s="15" t="str">
        <f>IFERROR(__xludf.DUMMYFUNCTION("""COMPUTED_VALUE"""),"Vita fitness")</f>
        <v>Vita fitness</v>
      </c>
      <c r="H6912" s="16">
        <f>IFERROR(__xludf.DUMMYFUNCTION("""COMPUTED_VALUE"""),15670.0)</f>
        <v>15670</v>
      </c>
      <c r="I6912" s="18">
        <f>IFERROR(__xludf.DUMMYFUNCTION("""COMPUTED_VALUE"""),32.0)</f>
        <v>32</v>
      </c>
      <c r="J6912" s="18">
        <f>IFERROR(__xludf.DUMMYFUNCTION("""COMPUTED_VALUE"""),34.0)</f>
        <v>34</v>
      </c>
      <c r="K6912" s="18">
        <f>IFERROR(__xludf.DUMMYFUNCTION("""COMPUTED_VALUE"""),34.0)</f>
        <v>34</v>
      </c>
      <c r="L6912" s="17">
        <f>IFERROR(__xludf.DUMMYFUNCTION("""COMPUTED_VALUE"""),3.226925759E9)</f>
        <v>3226925759</v>
      </c>
      <c r="M6912" s="17" t="str">
        <f>IFERROR(__xludf.DUMMYFUNCTION("""COMPUTED_VALUE"""),"#REF!")</f>
        <v>#REF!</v>
      </c>
      <c r="N6912" s="17"/>
      <c r="O6912" s="17"/>
      <c r="P6912" s="17" t="b">
        <f>IFERROR(__xludf.DUMMYFUNCTION("""COMPUTED_VALUE"""),FALSE)</f>
        <v>0</v>
      </c>
      <c r="Q6912" s="20" t="str">
        <f>IFERROR(__xludf.DUMMYFUNCTION("""COMPUTED_VALUE"""),"")</f>
        <v/>
      </c>
      <c r="R6912" s="22" t="str">
        <f>IFERROR(__xludf.DUMMYFUNCTION("""COMPUTED_VALUE"""),"")</f>
        <v/>
      </c>
    </row>
    <row r="6913">
      <c r="A6913" s="15">
        <f>IFERROR(__xludf.DUMMYFUNCTION("""COMPUTED_VALUE"""),45196.0)</f>
        <v>45196</v>
      </c>
      <c r="B6913" s="16" t="str">
        <f>IFERROR(__xludf.DUMMYFUNCTION("""COMPUTED_VALUE"""),"Daniel José sandoval gonzalez")</f>
        <v>Daniel José sandoval gonzalez</v>
      </c>
      <c r="C6913" s="15" t="str">
        <f>IFERROR(__xludf.DUMMYFUNCTION("""COMPUTED_VALUE"""),"CARTAGO")</f>
        <v>CARTAGO</v>
      </c>
      <c r="D6913" s="15" t="str">
        <f>IFERROR(__xludf.DUMMYFUNCTION("""COMPUTED_VALUE"""),"BOGOTÁ")</f>
        <v>BOGOTÁ</v>
      </c>
      <c r="E6913" s="15" t="str">
        <f>IFERROR(__xludf.DUMMYFUNCTION("""COMPUTED_VALUE"""),"Pan de Waffle")</f>
        <v>Pan de Waffle</v>
      </c>
      <c r="F6913" s="17" t="str">
        <f>IFERROR(__xludf.DUMMYFUNCTION("""COMPUTED_VALUE"""),"CR 4 # 16 107 / CR 4 # 16 107 / CR 4 # 16 107")</f>
        <v>CR 4 # 16 107 / CR 4 # 16 107 / CR 4 # 16 107</v>
      </c>
      <c r="G6913" s="15" t="str">
        <f>IFERROR(__xludf.DUMMYFUNCTION("""COMPUTED_VALUE"""),"THE NATURAL CARTAGO")</f>
        <v>THE NATURAL CARTAGO</v>
      </c>
      <c r="H6913" s="16">
        <f>IFERROR(__xludf.DUMMYFUNCTION("""COMPUTED_VALUE"""),13974.0)</f>
        <v>13974</v>
      </c>
      <c r="I6913" s="18">
        <f>IFERROR(__xludf.DUMMYFUNCTION("""COMPUTED_VALUE"""),40.0)</f>
        <v>40</v>
      </c>
      <c r="J6913" s="18">
        <f>IFERROR(__xludf.DUMMYFUNCTION("""COMPUTED_VALUE"""),40.0)</f>
        <v>40</v>
      </c>
      <c r="K6913" s="18">
        <f>IFERROR(__xludf.DUMMYFUNCTION("""COMPUTED_VALUE"""),30.0)</f>
        <v>30</v>
      </c>
      <c r="L6913" s="17">
        <f>IFERROR(__xludf.DUMMYFUNCTION("""COMPUTED_VALUE"""),3.146025882E9)</f>
        <v>3146025882</v>
      </c>
      <c r="M6913" s="17" t="str">
        <f>IFERROR(__xludf.DUMMYFUNCTION("""COMPUTED_VALUE"""),"#REF!")</f>
        <v>#REF!</v>
      </c>
      <c r="N6913" s="17"/>
      <c r="O6913" s="17"/>
      <c r="P6913" s="17" t="b">
        <f>IFERROR(__xludf.DUMMYFUNCTION("""COMPUTED_VALUE"""),FALSE)</f>
        <v>0</v>
      </c>
      <c r="Q6913" s="20" t="str">
        <f>IFERROR(__xludf.DUMMYFUNCTION("""COMPUTED_VALUE"""),"")</f>
        <v/>
      </c>
      <c r="R6913" s="22" t="str">
        <f>IFERROR(__xludf.DUMMYFUNCTION("""COMPUTED_VALUE"""),"")</f>
        <v/>
      </c>
    </row>
    <row r="6914">
      <c r="A6914" s="17" t="str">
        <f>IFERROR(__xludf.DUMMYFUNCTION("""COMPUTED_VALUE"""),"")</f>
        <v/>
      </c>
      <c r="B6914" s="17" t="str">
        <f>IFERROR(__xludf.DUMMYFUNCTION("""COMPUTED_VALUE"""),"")</f>
        <v/>
      </c>
      <c r="C6914" s="17" t="str">
        <f>IFERROR(__xludf.DUMMYFUNCTION("""COMPUTED_VALUE"""),"")</f>
        <v/>
      </c>
      <c r="D6914" s="17" t="str">
        <f>IFERROR(__xludf.DUMMYFUNCTION("""COMPUTED_VALUE"""),"")</f>
        <v/>
      </c>
      <c r="E6914" s="17" t="str">
        <f>IFERROR(__xludf.DUMMYFUNCTION("""COMPUTED_VALUE"""),"")</f>
        <v/>
      </c>
      <c r="F6914" s="17" t="str">
        <f>IFERROR(__xludf.DUMMYFUNCTION("""COMPUTED_VALUE"""),"")</f>
        <v/>
      </c>
      <c r="G6914" s="17" t="str">
        <f>IFERROR(__xludf.DUMMYFUNCTION("""COMPUTED_VALUE"""),"")</f>
        <v/>
      </c>
      <c r="H6914" s="17" t="str">
        <f>IFERROR(__xludf.DUMMYFUNCTION("""COMPUTED_VALUE"""),"")</f>
        <v/>
      </c>
      <c r="I6914" s="17" t="str">
        <f>IFERROR(__xludf.DUMMYFUNCTION("""COMPUTED_VALUE"""),"")</f>
        <v/>
      </c>
      <c r="J6914" s="17" t="str">
        <f>IFERROR(__xludf.DUMMYFUNCTION("""COMPUTED_VALUE"""),"")</f>
        <v/>
      </c>
      <c r="K6914" s="17" t="str">
        <f>IFERROR(__xludf.DUMMYFUNCTION("""COMPUTED_VALUE"""),"")</f>
        <v/>
      </c>
      <c r="L6914" s="17" t="str">
        <f>IFERROR(__xludf.DUMMYFUNCTION("""COMPUTED_VALUE"""),"")</f>
        <v/>
      </c>
      <c r="M6914" s="17" t="str">
        <f>IFERROR(__xludf.DUMMYFUNCTION("""COMPUTED_VALUE"""),"")</f>
        <v/>
      </c>
      <c r="N6914" s="17" t="str">
        <f>IFERROR(__xludf.DUMMYFUNCTION("""COMPUTED_VALUE"""),"")</f>
        <v/>
      </c>
      <c r="O6914" s="17" t="str">
        <f>IFERROR(__xludf.DUMMYFUNCTION("""COMPUTED_VALUE"""),"")</f>
        <v/>
      </c>
      <c r="P6914" s="17" t="str">
        <f>IFERROR(__xludf.DUMMYFUNCTION("""COMPUTED_VALUE"""),"")</f>
        <v/>
      </c>
      <c r="Q6914" s="17" t="str">
        <f>IFERROR(__xludf.DUMMYFUNCTION("""COMPUTED_VALUE"""),"")</f>
        <v/>
      </c>
      <c r="R6914" s="17" t="str">
        <f>IFERROR(__xludf.DUMMYFUNCTION("""COMPUTED_VALUE"""),"")</f>
        <v/>
      </c>
    </row>
    <row r="6915">
      <c r="A6915" s="15">
        <f>IFERROR(__xludf.DUMMYFUNCTION("""COMPUTED_VALUE"""),45196.0)</f>
        <v>45196</v>
      </c>
      <c r="B6915" s="16" t="str">
        <f>IFERROR(__xludf.DUMMYFUNCTION("""COMPUTED_VALUE"""),"Edgardo Antonio Morales Gómez")</f>
        <v>Edgardo Antonio Morales Gómez</v>
      </c>
      <c r="C6915" s="15" t="str">
        <f>IFERROR(__xludf.DUMMYFUNCTION("""COMPUTED_VALUE"""),"CÚCUTA")</f>
        <v>CÚCUTA</v>
      </c>
      <c r="D6915" s="15" t="str">
        <f>IFERROR(__xludf.DUMMYFUNCTION("""COMPUTED_VALUE"""),"MEDELLÍN")</f>
        <v>MEDELLÍN</v>
      </c>
      <c r="E6915" s="15" t="str">
        <f>IFERROR(__xludf.DUMMYFUNCTION("""COMPUTED_VALUE"""),"Momo Tea S.A.S Gabriel Echavarría")</f>
        <v>Momo Tea S.A.S Gabriel Echavarría</v>
      </c>
      <c r="F6915" s="17" t="str">
        <f>IFERROR(__xludf.DUMMYFUNCTION("""COMPUTED_VALUE"""),"CL 11 N 16 E 35 / CA B 1")</f>
        <v>CL 11 N 16 E 35 / CA B 1</v>
      </c>
      <c r="G6915" s="15" t="str">
        <f>IFERROR(__xludf.DUMMYFUNCTION("""COMPUTED_VALUE"""),"Gabriel Echavarría")</f>
        <v>Gabriel Echavarría</v>
      </c>
      <c r="H6915" s="16">
        <f>IFERROR(__xludf.DUMMYFUNCTION("""COMPUTED_VALUE"""),15617.0)</f>
        <v>15617</v>
      </c>
      <c r="I6915" s="18">
        <f>IFERROR(__xludf.DUMMYFUNCTION("""COMPUTED_VALUE"""),21.0)</f>
        <v>21</v>
      </c>
      <c r="J6915" s="18">
        <f>IFERROR(__xludf.DUMMYFUNCTION("""COMPUTED_VALUE"""),29.0)</f>
        <v>29</v>
      </c>
      <c r="K6915" s="18">
        <f>IFERROR(__xludf.DUMMYFUNCTION("""COMPUTED_VALUE"""),29.0)</f>
        <v>29</v>
      </c>
      <c r="L6915" s="17">
        <f>IFERROR(__xludf.DUMMYFUNCTION("""COMPUTED_VALUE"""),3.017909548E9)</f>
        <v>3017909548</v>
      </c>
      <c r="M6915" s="17" t="str">
        <f>IFERROR(__xludf.DUMMYFUNCTION("""COMPUTED_VALUE"""),"#REF!")</f>
        <v>#REF!</v>
      </c>
      <c r="N6915" s="17"/>
      <c r="O6915" s="17"/>
      <c r="P6915" s="17" t="b">
        <f>IFERROR(__xludf.DUMMYFUNCTION("""COMPUTED_VALUE"""),FALSE)</f>
        <v>0</v>
      </c>
      <c r="Q6915" s="20" t="str">
        <f>IFERROR(__xludf.DUMMYFUNCTION("""COMPUTED_VALUE"""),"")</f>
        <v/>
      </c>
      <c r="R6915" s="22" t="str">
        <f>IFERROR(__xludf.DUMMYFUNCTION("""COMPUTED_VALUE"""),"")</f>
        <v/>
      </c>
    </row>
    <row r="6916">
      <c r="A6916" s="15">
        <f>IFERROR(__xludf.DUMMYFUNCTION("""COMPUTED_VALUE"""),45196.0)</f>
        <v>45196</v>
      </c>
      <c r="B6916" s="16" t="str">
        <f>IFERROR(__xludf.DUMMYFUNCTION("""COMPUTED_VALUE"""),"Edgardo Antonio Morales Gómez")</f>
        <v>Edgardo Antonio Morales Gómez</v>
      </c>
      <c r="C6916" s="15" t="str">
        <f>IFERROR(__xludf.DUMMYFUNCTION("""COMPUTED_VALUE"""),"VILLAVICENCIO")</f>
        <v>VILLAVICENCIO</v>
      </c>
      <c r="D6916" s="15" t="str">
        <f>IFERROR(__xludf.DUMMYFUNCTION("""COMPUTED_VALUE"""),"BOGOTÁ")</f>
        <v>BOGOTÁ</v>
      </c>
      <c r="E6916" s="15" t="str">
        <f>IFERROR(__xludf.DUMMYFUNCTION("""COMPUTED_VALUE"""),"Mochi")</f>
        <v>Mochi</v>
      </c>
      <c r="F6916" s="17" t="str">
        <f>IFERROR(__xludf.DUMMYFUNCTION("""COMPUTED_VALUE"""),"Calle 7# 45-18  / Centro comercial  / Quinta etapa Villavicencio meta")</f>
        <v>Calle 7# 45-18  / Centro comercial  / Quinta etapa Villavicencio meta</v>
      </c>
      <c r="G6916" s="15" t="str">
        <f>IFERROR(__xludf.DUMMYFUNCTION("""COMPUTED_VALUE"""),"Natalia Silva")</f>
        <v>Natalia Silva</v>
      </c>
      <c r="H6916" s="16">
        <f>IFERROR(__xludf.DUMMYFUNCTION("""COMPUTED_VALUE"""),15675.0)</f>
        <v>15675</v>
      </c>
      <c r="I6916" s="18">
        <f>IFERROR(__xludf.DUMMYFUNCTION("""COMPUTED_VALUE"""),44.0)</f>
        <v>44</v>
      </c>
      <c r="J6916" s="18">
        <f>IFERROR(__xludf.DUMMYFUNCTION("""COMPUTED_VALUE"""),55.0)</f>
        <v>55</v>
      </c>
      <c r="K6916" s="18" t="str">
        <f>IFERROR(__xludf.DUMMYFUNCTION("""COMPUTED_VALUE"""),"55.2")</f>
        <v>55.2</v>
      </c>
      <c r="L6916" s="17">
        <f>IFERROR(__xludf.DUMMYFUNCTION("""COMPUTED_VALUE"""),3.134100428E9)</f>
        <v>3134100428</v>
      </c>
      <c r="M6916" s="17" t="str">
        <f>IFERROR(__xludf.DUMMYFUNCTION("""COMPUTED_VALUE"""),"#REF!")</f>
        <v>#REF!</v>
      </c>
      <c r="N6916" s="17"/>
      <c r="O6916" s="17"/>
      <c r="P6916" s="17" t="b">
        <f>IFERROR(__xludf.DUMMYFUNCTION("""COMPUTED_VALUE"""),FALSE)</f>
        <v>0</v>
      </c>
      <c r="Q6916" s="20" t="str">
        <f>IFERROR(__xludf.DUMMYFUNCTION("""COMPUTED_VALUE"""),"")</f>
        <v/>
      </c>
      <c r="R6916" s="22" t="str">
        <f>IFERROR(__xludf.DUMMYFUNCTION("""COMPUTED_VALUE"""),"")</f>
        <v/>
      </c>
    </row>
    <row r="6917">
      <c r="A6917" s="17" t="str">
        <f>IFERROR(__xludf.DUMMYFUNCTION("""COMPUTED_VALUE"""),"")</f>
        <v/>
      </c>
      <c r="B6917" s="17" t="str">
        <f>IFERROR(__xludf.DUMMYFUNCTION("""COMPUTED_VALUE"""),"")</f>
        <v/>
      </c>
      <c r="C6917" s="17" t="str">
        <f>IFERROR(__xludf.DUMMYFUNCTION("""COMPUTED_VALUE"""),"")</f>
        <v/>
      </c>
      <c r="D6917" s="17" t="str">
        <f>IFERROR(__xludf.DUMMYFUNCTION("""COMPUTED_VALUE"""),"")</f>
        <v/>
      </c>
      <c r="E6917" s="17" t="str">
        <f>IFERROR(__xludf.DUMMYFUNCTION("""COMPUTED_VALUE"""),"")</f>
        <v/>
      </c>
      <c r="F6917" s="17" t="str">
        <f>IFERROR(__xludf.DUMMYFUNCTION("""COMPUTED_VALUE"""),"")</f>
        <v/>
      </c>
      <c r="G6917" s="17" t="str">
        <f>IFERROR(__xludf.DUMMYFUNCTION("""COMPUTED_VALUE"""),"")</f>
        <v/>
      </c>
      <c r="H6917" s="17" t="str">
        <f>IFERROR(__xludf.DUMMYFUNCTION("""COMPUTED_VALUE"""),"")</f>
        <v/>
      </c>
      <c r="I6917" s="17" t="str">
        <f>IFERROR(__xludf.DUMMYFUNCTION("""COMPUTED_VALUE"""),"")</f>
        <v/>
      </c>
      <c r="J6917" s="17" t="str">
        <f>IFERROR(__xludf.DUMMYFUNCTION("""COMPUTED_VALUE"""),"")</f>
        <v/>
      </c>
      <c r="K6917" s="17" t="str">
        <f>IFERROR(__xludf.DUMMYFUNCTION("""COMPUTED_VALUE"""),"")</f>
        <v/>
      </c>
      <c r="L6917" s="17" t="str">
        <f>IFERROR(__xludf.DUMMYFUNCTION("""COMPUTED_VALUE"""),"")</f>
        <v/>
      </c>
      <c r="M6917" s="17" t="str">
        <f>IFERROR(__xludf.DUMMYFUNCTION("""COMPUTED_VALUE"""),"")</f>
        <v/>
      </c>
      <c r="N6917" s="17" t="str">
        <f>IFERROR(__xludf.DUMMYFUNCTION("""COMPUTED_VALUE"""),"")</f>
        <v/>
      </c>
      <c r="O6917" s="17" t="str">
        <f>IFERROR(__xludf.DUMMYFUNCTION("""COMPUTED_VALUE"""),"")</f>
        <v/>
      </c>
      <c r="P6917" s="17" t="str">
        <f>IFERROR(__xludf.DUMMYFUNCTION("""COMPUTED_VALUE"""),"")</f>
        <v/>
      </c>
      <c r="Q6917" s="17" t="str">
        <f>IFERROR(__xludf.DUMMYFUNCTION("""COMPUTED_VALUE"""),"")</f>
        <v/>
      </c>
      <c r="R6917" s="17" t="str">
        <f>IFERROR(__xludf.DUMMYFUNCTION("""COMPUTED_VALUE"""),"")</f>
        <v/>
      </c>
    </row>
    <row r="6918">
      <c r="A6918" s="15">
        <f>IFERROR(__xludf.DUMMYFUNCTION("""COMPUTED_VALUE"""),45196.0)</f>
        <v>45196</v>
      </c>
      <c r="B6918" s="16" t="str">
        <f>IFERROR(__xludf.DUMMYFUNCTION("""COMPUTED_VALUE"""),"Envia")</f>
        <v>Envia</v>
      </c>
      <c r="C6918" s="15" t="str">
        <f>IFERROR(__xludf.DUMMYFUNCTION("""COMPUTED_VALUE"""),"BOGOTÁ")</f>
        <v>BOGOTÁ</v>
      </c>
      <c r="D6918" s="15" t="str">
        <f>IFERROR(__xludf.DUMMYFUNCTION("""COMPUTED_VALUE"""),"MEDELLÍN")</f>
        <v>MEDELLÍN</v>
      </c>
      <c r="E6918" s="15" t="str">
        <f>IFERROR(__xludf.DUMMYFUNCTION("""COMPUTED_VALUE"""),"Baby Chef")</f>
        <v>Baby Chef</v>
      </c>
      <c r="F6918" s="17" t="str">
        <f>IFERROR(__xludf.DUMMYFUNCTION("""COMPUTED_VALUE"""),"Calle 127 c bis # 7-20 apt 505 Bella suiza / ""Calle 127 c bis # 7-20 apt 505 Bella suiza"" / ""Calle 127 c bis # 7-20 apt 505 Bella suiza""")</f>
        <v>Calle 127 c bis # 7-20 apt 505 Bella suiza / "Calle 127 c bis # 7-20 apt 505 Bella suiza" / "Calle 127 c bis # 7-20 apt 505 Bella suiza"</v>
      </c>
      <c r="G6918" s="15" t="str">
        <f>IFERROR(__xludf.DUMMYFUNCTION("""COMPUTED_VALUE"""),"Valentina arango")</f>
        <v>Valentina arango</v>
      </c>
      <c r="H6918" s="16">
        <f>IFERROR(__xludf.DUMMYFUNCTION("""COMPUTED_VALUE"""),15656.0)</f>
        <v>15656</v>
      </c>
      <c r="I6918" s="18">
        <f>IFERROR(__xludf.DUMMYFUNCTION("""COMPUTED_VALUE"""),8.0)</f>
        <v>8</v>
      </c>
      <c r="J6918" s="18">
        <f>IFERROR(__xludf.DUMMYFUNCTION("""COMPUTED_VALUE"""),22.0)</f>
        <v>22</v>
      </c>
      <c r="K6918" s="18">
        <f>IFERROR(__xludf.DUMMYFUNCTION("""COMPUTED_VALUE"""),33.0)</f>
        <v>33</v>
      </c>
      <c r="L6918" s="17">
        <f>IFERROR(__xludf.DUMMYFUNCTION("""COMPUTED_VALUE"""),3.108941287E9)</f>
        <v>3108941287</v>
      </c>
      <c r="M6918" s="17" t="str">
        <f>IFERROR(__xludf.DUMMYFUNCTION("""COMPUTED_VALUE"""),"#REF!")</f>
        <v>#REF!</v>
      </c>
      <c r="N6918" s="17"/>
      <c r="O6918" s="17"/>
      <c r="P6918" s="17" t="b">
        <f>IFERROR(__xludf.DUMMYFUNCTION("""COMPUTED_VALUE"""),FALSE)</f>
        <v>0</v>
      </c>
      <c r="Q6918" s="20" t="str">
        <f>IFERROR(__xludf.DUMMYFUNCTION("""COMPUTED_VALUE"""),"")</f>
        <v/>
      </c>
      <c r="R6918" s="22" t="str">
        <f>IFERROR(__xludf.DUMMYFUNCTION("""COMPUTED_VALUE"""),"")</f>
        <v/>
      </c>
    </row>
    <row r="6919">
      <c r="A6919" s="15">
        <f>IFERROR(__xludf.DUMMYFUNCTION("""COMPUTED_VALUE"""),45196.0)</f>
        <v>45196</v>
      </c>
      <c r="B6919" s="16" t="str">
        <f>IFERROR(__xludf.DUMMYFUNCTION("""COMPUTED_VALUE"""),"Envia")</f>
        <v>Envia</v>
      </c>
      <c r="C6919" s="15" t="str">
        <f>IFERROR(__xludf.DUMMYFUNCTION("""COMPUTED_VALUE"""),"BOGOTÁ")</f>
        <v>BOGOTÁ</v>
      </c>
      <c r="D6919" s="15" t="str">
        <f>IFERROR(__xludf.DUMMYFUNCTION("""COMPUTED_VALUE"""),"MEDELLÍN")</f>
        <v>MEDELLÍN</v>
      </c>
      <c r="E6919" s="15" t="str">
        <f>IFERROR(__xludf.DUMMYFUNCTION("""COMPUTED_VALUE"""),"Moloso S.A.S")</f>
        <v>Moloso S.A.S</v>
      </c>
      <c r="F6919" s="17" t="str">
        <f>IFERROR(__xludf.DUMMYFUNCTION("""COMPUTED_VALUE"""),"CR 75 24 D 70 / CIGARRERIA")</f>
        <v>CR 75 24 D 70 / CIGARRERIA</v>
      </c>
      <c r="G6919" s="15" t="str">
        <f>IFERROR(__xludf.DUMMYFUNCTION("""COMPUTED_VALUE"""),"MARIA JOSE MELO BONILLA")</f>
        <v>MARIA JOSE MELO BONILLA</v>
      </c>
      <c r="H6919" s="16">
        <f>IFERROR(__xludf.DUMMYFUNCTION("""COMPUTED_VALUE"""),15652.0)</f>
        <v>15652</v>
      </c>
      <c r="I6919" s="18">
        <f>IFERROR(__xludf.DUMMYFUNCTION("""COMPUTED_VALUE"""),17.0)</f>
        <v>17</v>
      </c>
      <c r="J6919" s="18">
        <f>IFERROR(__xludf.DUMMYFUNCTION("""COMPUTED_VALUE"""),15.0)</f>
        <v>15</v>
      </c>
      <c r="K6919" s="18">
        <f>IFERROR(__xludf.DUMMYFUNCTION("""COMPUTED_VALUE"""),28.0)</f>
        <v>28</v>
      </c>
      <c r="L6919" s="17">
        <f>IFERROR(__xludf.DUMMYFUNCTION("""COMPUTED_VALUE"""),3.143504351E9)</f>
        <v>3143504351</v>
      </c>
      <c r="M6919" s="17" t="str">
        <f>IFERROR(__xludf.DUMMYFUNCTION("""COMPUTED_VALUE"""),"#REF!")</f>
        <v>#REF!</v>
      </c>
      <c r="N6919" s="17"/>
      <c r="O6919" s="17"/>
      <c r="P6919" s="17" t="b">
        <f>IFERROR(__xludf.DUMMYFUNCTION("""COMPUTED_VALUE"""),FALSE)</f>
        <v>0</v>
      </c>
      <c r="Q6919" s="20" t="str">
        <f>IFERROR(__xludf.DUMMYFUNCTION("""COMPUTED_VALUE"""),"")</f>
        <v/>
      </c>
      <c r="R6919" s="21" t="str">
        <f>IFERROR(__xludf.DUMMYFUNCTION("""COMPUTED_VALUE"""),"https://drive.google.com/file/d/1Egzteq8AsKPJnoRkM3vKCKCnaV3id4CN/view?usp=drivesdk")</f>
        <v>https://drive.google.com/file/d/1Egzteq8AsKPJnoRkM3vKCKCnaV3id4CN/view?usp=drivesdk</v>
      </c>
    </row>
    <row r="6920">
      <c r="A6920" s="15">
        <f>IFERROR(__xludf.DUMMYFUNCTION("""COMPUTED_VALUE"""),45196.0)</f>
        <v>45196</v>
      </c>
      <c r="B6920" s="16" t="str">
        <f>IFERROR(__xludf.DUMMYFUNCTION("""COMPUTED_VALUE"""),"Envia")</f>
        <v>Envia</v>
      </c>
      <c r="C6920" s="15" t="str">
        <f>IFERROR(__xludf.DUMMYFUNCTION("""COMPUTED_VALUE"""),"BOGOTÁ")</f>
        <v>BOGOTÁ</v>
      </c>
      <c r="D6920" s="15" t="str">
        <f>IFERROR(__xludf.DUMMYFUNCTION("""COMPUTED_VALUE"""),"MEDELLÍN")</f>
        <v>MEDELLÍN</v>
      </c>
      <c r="E6920" s="15" t="str">
        <f>IFERROR(__xludf.DUMMYFUNCTION("""COMPUTED_VALUE"""),"Rambla")</f>
        <v>Rambla</v>
      </c>
      <c r="F6920" s="17" t="str">
        <f>IFERROR(__xludf.DUMMYFUNCTION("""COMPUTED_VALUE"""),"Calle 104#21-72 apto 501 / - / -")</f>
        <v>Calle 104#21-72 apto 501 / - / -</v>
      </c>
      <c r="G6920" s="15" t="str">
        <f>IFERROR(__xludf.DUMMYFUNCTION("""COMPUTED_VALUE"""),"Sofia Ortiz")</f>
        <v>Sofia Ortiz</v>
      </c>
      <c r="H6920" s="16">
        <f>IFERROR(__xludf.DUMMYFUNCTION("""COMPUTED_VALUE"""),15674.0)</f>
        <v>15674</v>
      </c>
      <c r="I6920" s="18">
        <f>IFERROR(__xludf.DUMMYFUNCTION("""COMPUTED_VALUE"""),20.0)</f>
        <v>20</v>
      </c>
      <c r="J6920" s="18">
        <f>IFERROR(__xludf.DUMMYFUNCTION("""COMPUTED_VALUE"""),20.0)</f>
        <v>20</v>
      </c>
      <c r="K6920" s="18">
        <f>IFERROR(__xludf.DUMMYFUNCTION("""COMPUTED_VALUE"""),12.0)</f>
        <v>12</v>
      </c>
      <c r="L6920" s="17">
        <f>IFERROR(__xludf.DUMMYFUNCTION("""COMPUTED_VALUE"""),3.006550271E9)</f>
        <v>3006550271</v>
      </c>
      <c r="M6920" s="17" t="str">
        <f>IFERROR(__xludf.DUMMYFUNCTION("""COMPUTED_VALUE"""),"#REF!")</f>
        <v>#REF!</v>
      </c>
      <c r="N6920" s="17"/>
      <c r="O6920" s="17"/>
      <c r="P6920" s="17" t="b">
        <f>IFERROR(__xludf.DUMMYFUNCTION("""COMPUTED_VALUE"""),TRUE)</f>
        <v>1</v>
      </c>
      <c r="Q6920" s="20">
        <f>IFERROR(__xludf.DUMMYFUNCTION("""COMPUTED_VALUE"""),45197.35978229166)</f>
        <v>45197.35978</v>
      </c>
      <c r="R6920" s="22" t="str">
        <f>IFERROR(__xludf.DUMMYFUNCTION("""COMPUTED_VALUE"""),"")</f>
        <v/>
      </c>
    </row>
    <row r="6921">
      <c r="A6921" s="15">
        <f>IFERROR(__xludf.DUMMYFUNCTION("""COMPUTED_VALUE"""),45196.0)</f>
        <v>45196</v>
      </c>
      <c r="B6921" s="16" t="str">
        <f>IFERROR(__xludf.DUMMYFUNCTION("""COMPUTED_VALUE"""),"Envia")</f>
        <v>Envia</v>
      </c>
      <c r="C6921" s="15" t="str">
        <f>IFERROR(__xludf.DUMMYFUNCTION("""COMPUTED_VALUE"""),"CALI")</f>
        <v>CALI</v>
      </c>
      <c r="D6921" s="15" t="str">
        <f>IFERROR(__xludf.DUMMYFUNCTION("""COMPUTED_VALUE"""),"MEDELLÍN")</f>
        <v>MEDELLÍN</v>
      </c>
      <c r="E6921" s="15" t="str">
        <f>IFERROR(__xludf.DUMMYFUNCTION("""COMPUTED_VALUE"""),"Baby Chef")</f>
        <v>Baby Chef</v>
      </c>
      <c r="F6921" s="17" t="str">
        <f>IFERROR(__xludf.DUMMYFUNCTION("""COMPUTED_VALUE"""),"Calle 45 # 99 - 39 apto 102 Torre E, condominio entre parques Valle del lili  / ""Calle 45 # 99 - 39 apto 102 Torre E, condominio entre parques Valle del lili "" / ""Calle 45 # 99 - 39 apto 102 Torre E, condominio entre parques Valle del lili """)</f>
        <v>Calle 45 # 99 - 39 apto 102 Torre E, condominio entre parques Valle del lili  / "Calle 45 # 99 - 39 apto 102 Torre E, condominio entre parques Valle del lili " / "Calle 45 # 99 - 39 apto 102 Torre E, condominio entre parques Valle del lili "</v>
      </c>
      <c r="G6921" s="15" t="str">
        <f>IFERROR(__xludf.DUMMYFUNCTION("""COMPUTED_VALUE"""),"Natalia muñoz")</f>
        <v>Natalia muñoz</v>
      </c>
      <c r="H6921" s="16">
        <f>IFERROR(__xludf.DUMMYFUNCTION("""COMPUTED_VALUE"""),15664.0)</f>
        <v>15664</v>
      </c>
      <c r="I6921" s="18">
        <f>IFERROR(__xludf.DUMMYFUNCTION("""COMPUTED_VALUE"""),5.0)</f>
        <v>5</v>
      </c>
      <c r="J6921" s="18">
        <f>IFERROR(__xludf.DUMMYFUNCTION("""COMPUTED_VALUE"""),22.0)</f>
        <v>22</v>
      </c>
      <c r="K6921" s="18">
        <f>IFERROR(__xludf.DUMMYFUNCTION("""COMPUTED_VALUE"""),26.0)</f>
        <v>26</v>
      </c>
      <c r="L6921" s="17">
        <f>IFERROR(__xludf.DUMMYFUNCTION("""COMPUTED_VALUE"""),3.158182838E9)</f>
        <v>3158182838</v>
      </c>
      <c r="M6921" s="17" t="str">
        <f>IFERROR(__xludf.DUMMYFUNCTION("""COMPUTED_VALUE"""),"#REF!")</f>
        <v>#REF!</v>
      </c>
      <c r="N6921" s="17"/>
      <c r="O6921" s="17"/>
      <c r="P6921" s="17" t="b">
        <f>IFERROR(__xludf.DUMMYFUNCTION("""COMPUTED_VALUE"""),FALSE)</f>
        <v>0</v>
      </c>
      <c r="Q6921" s="20" t="str">
        <f>IFERROR(__xludf.DUMMYFUNCTION("""COMPUTED_VALUE"""),"")</f>
        <v/>
      </c>
      <c r="R6921" s="22" t="str">
        <f>IFERROR(__xludf.DUMMYFUNCTION("""COMPUTED_VALUE"""),"")</f>
        <v/>
      </c>
    </row>
    <row r="6922">
      <c r="A6922" s="15">
        <f>IFERROR(__xludf.DUMMYFUNCTION("""COMPUTED_VALUE"""),45196.0)</f>
        <v>45196</v>
      </c>
      <c r="B6922" s="16" t="str">
        <f>IFERROR(__xludf.DUMMYFUNCTION("""COMPUTED_VALUE"""),"Envia")</f>
        <v>Envia</v>
      </c>
      <c r="C6922" s="15" t="str">
        <f>IFERROR(__xludf.DUMMYFUNCTION("""COMPUTED_VALUE"""),"CALI")</f>
        <v>CALI</v>
      </c>
      <c r="D6922" s="15" t="str">
        <f>IFERROR(__xludf.DUMMYFUNCTION("""COMPUTED_VALUE"""),"MEDELLÍN")</f>
        <v>MEDELLÍN</v>
      </c>
      <c r="E6922" s="15" t="str">
        <f>IFERROR(__xludf.DUMMYFUNCTION("""COMPUTED_VALUE"""),"JD Bufala")</f>
        <v>JD Bufala</v>
      </c>
      <c r="F6922" s="17" t="str">
        <f>IFERROR(__xludf.DUMMYFUNCTION("""COMPUTED_VALUE"""),"Calle 51norte#4bn72 / Delhuertopizzeria  / La flora")</f>
        <v>Calle 51norte#4bn72 / Delhuertopizzeria  / La flora</v>
      </c>
      <c r="G6922" s="15" t="str">
        <f>IFERROR(__xludf.DUMMYFUNCTION("""COMPUTED_VALUE"""),"Jaiver Rodríguez")</f>
        <v>Jaiver Rodríguez</v>
      </c>
      <c r="H6922" s="16">
        <f>IFERROR(__xludf.DUMMYFUNCTION("""COMPUTED_VALUE"""),15644.0)</f>
        <v>15644</v>
      </c>
      <c r="I6922" s="18" t="str">
        <f>IFERROR(__xludf.DUMMYFUNCTION("""COMPUTED_VALUE"""),"102.5")</f>
        <v>102.5</v>
      </c>
      <c r="J6922" s="18">
        <f>IFERROR(__xludf.DUMMYFUNCTION("""COMPUTED_VALUE"""),28.0)</f>
        <v>28</v>
      </c>
      <c r="K6922" s="18">
        <f>IFERROR(__xludf.DUMMYFUNCTION("""COMPUTED_VALUE"""),40.0)</f>
        <v>40</v>
      </c>
      <c r="L6922" s="17">
        <f>IFERROR(__xludf.DUMMYFUNCTION("""COMPUTED_VALUE"""),3.104919761E9)</f>
        <v>3104919761</v>
      </c>
      <c r="M6922" s="17" t="str">
        <f>IFERROR(__xludf.DUMMYFUNCTION("""COMPUTED_VALUE"""),"#REF!")</f>
        <v>#REF!</v>
      </c>
      <c r="N6922" s="17"/>
      <c r="O6922" s="17"/>
      <c r="P6922" s="17" t="b">
        <f>IFERROR(__xludf.DUMMYFUNCTION("""COMPUTED_VALUE"""),FALSE)</f>
        <v>0</v>
      </c>
      <c r="Q6922" s="20" t="str">
        <f>IFERROR(__xludf.DUMMYFUNCTION("""COMPUTED_VALUE"""),"")</f>
        <v/>
      </c>
      <c r="R6922" s="22" t="str">
        <f>IFERROR(__xludf.DUMMYFUNCTION("""COMPUTED_VALUE"""),"")</f>
        <v/>
      </c>
    </row>
    <row r="6923">
      <c r="A6923" s="15">
        <f>IFERROR(__xludf.DUMMYFUNCTION("""COMPUTED_VALUE"""),45196.0)</f>
        <v>45196</v>
      </c>
      <c r="B6923" s="16" t="str">
        <f>IFERROR(__xludf.DUMMYFUNCTION("""COMPUTED_VALUE"""),"Envia")</f>
        <v>Envia</v>
      </c>
      <c r="C6923" s="15" t="str">
        <f>IFERROR(__xludf.DUMMYFUNCTION("""COMPUTED_VALUE"""),"MONTERIA")</f>
        <v>MONTERIA</v>
      </c>
      <c r="D6923" s="15" t="str">
        <f>IFERROR(__xludf.DUMMYFUNCTION("""COMPUTED_VALUE"""),"MEDELLÍN")</f>
        <v>MEDELLÍN</v>
      </c>
      <c r="E6923" s="15" t="str">
        <f>IFERROR(__xludf.DUMMYFUNCTION("""COMPUTED_VALUE"""),"Pan de Waffle")</f>
        <v>Pan de Waffle</v>
      </c>
      <c r="F6923" s="17" t="str">
        <f>IFERROR(__xludf.DUMMYFUNCTION("""COMPUTED_VALUE"""),"Calle 68 # 2 - 150 Apto 1502 Edif. Montana  / Calle 68 # 2 - 150 Apto 1502 Edif. Montana  / Calle 68 # 2 - 150 Apto 1502 Edif. Montana")</f>
        <v>Calle 68 # 2 - 150 Apto 1502 Edif. Montana  / Calle 68 # 2 - 150 Apto 1502 Edif. Montana  / Calle 68 # 2 - 150 Apto 1502 Edif. Montana</v>
      </c>
      <c r="G6923" s="15" t="str">
        <f>IFERROR(__xludf.DUMMYFUNCTION("""COMPUTED_VALUE"""),"JULIETA GENTILE")</f>
        <v>JULIETA GENTILE</v>
      </c>
      <c r="H6923" s="16">
        <f>IFERROR(__xludf.DUMMYFUNCTION("""COMPUTED_VALUE"""),15589.0)</f>
        <v>15589</v>
      </c>
      <c r="I6923" s="18">
        <f>IFERROR(__xludf.DUMMYFUNCTION("""COMPUTED_VALUE"""),40.0)</f>
        <v>40</v>
      </c>
      <c r="J6923" s="18">
        <f>IFERROR(__xludf.DUMMYFUNCTION("""COMPUTED_VALUE"""),30.0)</f>
        <v>30</v>
      </c>
      <c r="K6923" s="18">
        <f>IFERROR(__xludf.DUMMYFUNCTION("""COMPUTED_VALUE"""),40.0)</f>
        <v>40</v>
      </c>
      <c r="L6923" s="17">
        <f>IFERROR(__xludf.DUMMYFUNCTION("""COMPUTED_VALUE"""),3.106142817E9)</f>
        <v>3106142817</v>
      </c>
      <c r="M6923" s="17" t="str">
        <f>IFERROR(__xludf.DUMMYFUNCTION("""COMPUTED_VALUE"""),"#REF!")</f>
        <v>#REF!</v>
      </c>
      <c r="N6923" s="17"/>
      <c r="O6923" s="17"/>
      <c r="P6923" s="17" t="b">
        <f>IFERROR(__xludf.DUMMYFUNCTION("""COMPUTED_VALUE"""),TRUE)</f>
        <v>1</v>
      </c>
      <c r="Q6923" s="20">
        <f>IFERROR(__xludf.DUMMYFUNCTION("""COMPUTED_VALUE"""),45196.69343210648)</f>
        <v>45196.69343</v>
      </c>
      <c r="R6923" s="21" t="str">
        <f>IFERROR(__xludf.DUMMYFUNCTION("""COMPUTED_VALUE"""),"https://drive.google.com/file/d/106TGRKeUKlnNTK76cjxE20IIWOz2U64x/view?usp=drivesdk")</f>
        <v>https://drive.google.com/file/d/106TGRKeUKlnNTK76cjxE20IIWOz2U64x/view?usp=drivesdk</v>
      </c>
    </row>
    <row r="6924">
      <c r="A6924" s="15">
        <f>IFERROR(__xludf.DUMMYFUNCTION("""COMPUTED_VALUE"""),45196.0)</f>
        <v>45196</v>
      </c>
      <c r="B6924" s="16" t="str">
        <f>IFERROR(__xludf.DUMMYFUNCTION("""COMPUTED_VALUE"""),"Envia")</f>
        <v>Envia</v>
      </c>
      <c r="C6924" s="15" t="str">
        <f>IFERROR(__xludf.DUMMYFUNCTION("""COMPUTED_VALUE"""),"SINCELEJO")</f>
        <v>SINCELEJO</v>
      </c>
      <c r="D6924" s="15" t="str">
        <f>IFERROR(__xludf.DUMMYFUNCTION("""COMPUTED_VALUE"""),"BOGOTÁ")</f>
        <v>BOGOTÁ</v>
      </c>
      <c r="E6924" s="15" t="str">
        <f>IFERROR(__xludf.DUMMYFUNCTION("""COMPUTED_VALUE"""),"Evamazzita")</f>
        <v>Evamazzita</v>
      </c>
      <c r="F6924" s="17" t="str">
        <f>IFERROR(__xludf.DUMMYFUNCTION("""COMPUTED_VALUE"""),"Calle 16 14-71 / ford  Sincelejo")</f>
        <v>Calle 16 14-71 / ford  Sincelejo</v>
      </c>
      <c r="G6924" s="15" t="str">
        <f>IFERROR(__xludf.DUMMYFUNCTION("""COMPUTED_VALUE"""),"NEREDYS VERGARA CASTRO")</f>
        <v>NEREDYS VERGARA CASTRO</v>
      </c>
      <c r="H6924" s="16">
        <f>IFERROR(__xludf.DUMMYFUNCTION("""COMPUTED_VALUE"""),15591.0)</f>
        <v>15591</v>
      </c>
      <c r="I6924" s="18">
        <f>IFERROR(__xludf.DUMMYFUNCTION("""COMPUTED_VALUE"""),1.0)</f>
        <v>1</v>
      </c>
      <c r="J6924" s="18">
        <f>IFERROR(__xludf.DUMMYFUNCTION("""COMPUTED_VALUE"""),1.0)</f>
        <v>1</v>
      </c>
      <c r="K6924" s="18">
        <f>IFERROR(__xludf.DUMMYFUNCTION("""COMPUTED_VALUE"""),1.0)</f>
        <v>1</v>
      </c>
      <c r="L6924" s="17">
        <f>IFERROR(__xludf.DUMMYFUNCTION("""COMPUTED_VALUE"""),3.007015279E9)</f>
        <v>3007015279</v>
      </c>
      <c r="M6924" s="17" t="str">
        <f>IFERROR(__xludf.DUMMYFUNCTION("""COMPUTED_VALUE"""),"#REF!")</f>
        <v>#REF!</v>
      </c>
      <c r="N6924" s="17"/>
      <c r="O6924" s="17"/>
      <c r="P6924" s="17" t="b">
        <f>IFERROR(__xludf.DUMMYFUNCTION("""COMPUTED_VALUE"""),FALSE)</f>
        <v>0</v>
      </c>
      <c r="Q6924" s="20" t="str">
        <f>IFERROR(__xludf.DUMMYFUNCTION("""COMPUTED_VALUE"""),"")</f>
        <v/>
      </c>
      <c r="R6924" s="22" t="str">
        <f>IFERROR(__xludf.DUMMYFUNCTION("""COMPUTED_VALUE"""),"")</f>
        <v/>
      </c>
    </row>
    <row r="6925">
      <c r="A6925" s="17" t="str">
        <f>IFERROR(__xludf.DUMMYFUNCTION("""COMPUTED_VALUE"""),"")</f>
        <v/>
      </c>
      <c r="B6925" s="17" t="str">
        <f>IFERROR(__xludf.DUMMYFUNCTION("""COMPUTED_VALUE"""),"")</f>
        <v/>
      </c>
      <c r="C6925" s="17" t="str">
        <f>IFERROR(__xludf.DUMMYFUNCTION("""COMPUTED_VALUE"""),"")</f>
        <v/>
      </c>
      <c r="D6925" s="17" t="str">
        <f>IFERROR(__xludf.DUMMYFUNCTION("""COMPUTED_VALUE"""),"")</f>
        <v/>
      </c>
      <c r="E6925" s="17" t="str">
        <f>IFERROR(__xludf.DUMMYFUNCTION("""COMPUTED_VALUE"""),"")</f>
        <v/>
      </c>
      <c r="F6925" s="17" t="str">
        <f>IFERROR(__xludf.DUMMYFUNCTION("""COMPUTED_VALUE"""),"")</f>
        <v/>
      </c>
      <c r="G6925" s="17" t="str">
        <f>IFERROR(__xludf.DUMMYFUNCTION("""COMPUTED_VALUE"""),"")</f>
        <v/>
      </c>
      <c r="H6925" s="17" t="str">
        <f>IFERROR(__xludf.DUMMYFUNCTION("""COMPUTED_VALUE"""),"")</f>
        <v/>
      </c>
      <c r="I6925" s="17" t="str">
        <f>IFERROR(__xludf.DUMMYFUNCTION("""COMPUTED_VALUE"""),"")</f>
        <v/>
      </c>
      <c r="J6925" s="17" t="str">
        <f>IFERROR(__xludf.DUMMYFUNCTION("""COMPUTED_VALUE"""),"")</f>
        <v/>
      </c>
      <c r="K6925" s="17" t="str">
        <f>IFERROR(__xludf.DUMMYFUNCTION("""COMPUTED_VALUE"""),"")</f>
        <v/>
      </c>
      <c r="L6925" s="17" t="str">
        <f>IFERROR(__xludf.DUMMYFUNCTION("""COMPUTED_VALUE"""),"")</f>
        <v/>
      </c>
      <c r="M6925" s="17" t="str">
        <f>IFERROR(__xludf.DUMMYFUNCTION("""COMPUTED_VALUE"""),"")</f>
        <v/>
      </c>
      <c r="N6925" s="17" t="str">
        <f>IFERROR(__xludf.DUMMYFUNCTION("""COMPUTED_VALUE"""),"")</f>
        <v/>
      </c>
      <c r="O6925" s="17" t="str">
        <f>IFERROR(__xludf.DUMMYFUNCTION("""COMPUTED_VALUE"""),"")</f>
        <v/>
      </c>
      <c r="P6925" s="17" t="str">
        <f>IFERROR(__xludf.DUMMYFUNCTION("""COMPUTED_VALUE"""),"")</f>
        <v/>
      </c>
      <c r="Q6925" s="17" t="str">
        <f>IFERROR(__xludf.DUMMYFUNCTION("""COMPUTED_VALUE"""),"")</f>
        <v/>
      </c>
      <c r="R6925" s="17" t="str">
        <f>IFERROR(__xludf.DUMMYFUNCTION("""COMPUTED_VALUE"""),"")</f>
        <v/>
      </c>
    </row>
    <row r="6926">
      <c r="A6926" s="15">
        <f>IFERROR(__xludf.DUMMYFUNCTION("""COMPUTED_VALUE"""),45196.0)</f>
        <v>45196</v>
      </c>
      <c r="B6926" s="16" t="str">
        <f>IFERROR(__xludf.DUMMYFUNCTION("""COMPUTED_VALUE"""),"Jeison Rubiano")</f>
        <v>Jeison Rubiano</v>
      </c>
      <c r="C6926" s="15" t="str">
        <f>IFERROR(__xludf.DUMMYFUNCTION("""COMPUTED_VALUE"""),"BOGOTÁ")</f>
        <v>BOGOTÁ</v>
      </c>
      <c r="D6926" s="15" t="str">
        <f>IFERROR(__xludf.DUMMYFUNCTION("""COMPUTED_VALUE"""),"BARRANQUILLA")</f>
        <v>BARRANQUILLA</v>
      </c>
      <c r="E6926" s="15" t="str">
        <f>IFERROR(__xludf.DUMMYFUNCTION("""COMPUTED_VALUE"""),"Yelii")</f>
        <v>Yelii</v>
      </c>
      <c r="F6926" s="17" t="str">
        <f>IFERROR(__xludf.DUMMYFUNCTION("""COMPUTED_VALUE"""),"Carrera 7D bis # 129-40 / Edificio Valsesia, apartamento 508 / Barrio Bella Suiza")</f>
        <v>Carrera 7D bis # 129-40 / Edificio Valsesia, apartamento 508 / Barrio Bella Suiza</v>
      </c>
      <c r="G6926" s="15" t="str">
        <f>IFERROR(__xludf.DUMMYFUNCTION("""COMPUTED_VALUE"""),"Juliana Osorio")</f>
        <v>Juliana Osorio</v>
      </c>
      <c r="H6926" s="16">
        <f>IFERROR(__xludf.DUMMYFUNCTION("""COMPUTED_VALUE"""),15571.0)</f>
        <v>15571</v>
      </c>
      <c r="I6926" s="18">
        <f>IFERROR(__xludf.DUMMYFUNCTION("""COMPUTED_VALUE"""),45.0)</f>
        <v>45</v>
      </c>
      <c r="J6926" s="18">
        <f>IFERROR(__xludf.DUMMYFUNCTION("""COMPUTED_VALUE"""),49.0)</f>
        <v>49</v>
      </c>
      <c r="K6926" s="18">
        <f>IFERROR(__xludf.DUMMYFUNCTION("""COMPUTED_VALUE"""),55.0)</f>
        <v>55</v>
      </c>
      <c r="L6926" s="17">
        <f>IFERROR(__xludf.DUMMYFUNCTION("""COMPUTED_VALUE"""),3.212645523E9)</f>
        <v>3212645523</v>
      </c>
      <c r="M6926" s="17" t="str">
        <f>IFERROR(__xludf.DUMMYFUNCTION("""COMPUTED_VALUE"""),"#REF!")</f>
        <v>#REF!</v>
      </c>
      <c r="N6926" s="17"/>
      <c r="O6926" s="17"/>
      <c r="P6926" s="17" t="b">
        <f>IFERROR(__xludf.DUMMYFUNCTION("""COMPUTED_VALUE"""),FALSE)</f>
        <v>0</v>
      </c>
      <c r="Q6926" s="20" t="str">
        <f>IFERROR(__xludf.DUMMYFUNCTION("""COMPUTED_VALUE"""),"")</f>
        <v/>
      </c>
      <c r="R6926" s="22" t="str">
        <f>IFERROR(__xludf.DUMMYFUNCTION("""COMPUTED_VALUE"""),"")</f>
        <v/>
      </c>
    </row>
    <row r="6927">
      <c r="A6927" s="15">
        <f>IFERROR(__xludf.DUMMYFUNCTION("""COMPUTED_VALUE"""),45196.0)</f>
        <v>45196</v>
      </c>
      <c r="B6927" s="16" t="str">
        <f>IFERROR(__xludf.DUMMYFUNCTION("""COMPUTED_VALUE"""),"Jeison Rubiano")</f>
        <v>Jeison Rubiano</v>
      </c>
      <c r="C6927" s="15" t="str">
        <f>IFERROR(__xludf.DUMMYFUNCTION("""COMPUTED_VALUE"""),"BOGOTÁ")</f>
        <v>BOGOTÁ</v>
      </c>
      <c r="D6927" s="15" t="str">
        <f>IFERROR(__xludf.DUMMYFUNCTION("""COMPUTED_VALUE"""),"BUCARAMANGA")</f>
        <v>BUCARAMANGA</v>
      </c>
      <c r="E6927" s="15" t="str">
        <f>IFERROR(__xludf.DUMMYFUNCTION("""COMPUTED_VALUE"""),"Yo Como Solito")</f>
        <v>Yo Como Solito</v>
      </c>
      <c r="F6927" s="17" t="str">
        <f>IFERROR(__xludf.DUMMYFUNCTION("""COMPUTED_VALUE"""),"CALLE 67B SUR # 13-60 TORRE 4 APARTAMENTO 402 CONJUNTO RESIDENCIAL ALTAVISTA DEL PORTAL DE USME / CALLE 67B SUR # 13-60 TORRE 4 APARTAMENTO 402 CONJUNTO RESIDENCIAL ALTAVISTA DEL PORTAL DE USME / CALLE 67B SUR # 13-60 TORRE 4 APARTAMENTO 402 CONJUNTO RESI"&amp;"DENCIAL ALTAVISTA DEL PORTAL DE USME")</f>
        <v>CALLE 67B SUR # 13-60 TORRE 4 APARTAMENTO 402 CONJUNTO RESIDENCIAL ALTAVISTA DEL PORTAL DE USME / CALLE 67B SUR # 13-60 TORRE 4 APARTAMENTO 402 CONJUNTO RESIDENCIAL ALTAVISTA DEL PORTAL DE USME / CALLE 67B SUR # 13-60 TORRE 4 APARTAMENTO 402 CONJUNTO RESIDENCIAL ALTAVISTA DEL PORTAL DE USME</v>
      </c>
      <c r="G6927" s="15" t="str">
        <f>IFERROR(__xludf.DUMMYFUNCTION("""COMPUTED_VALUE"""),"JOHANNA SERRANO")</f>
        <v>JOHANNA SERRANO</v>
      </c>
      <c r="H6927" s="16">
        <f>IFERROR(__xludf.DUMMYFUNCTION("""COMPUTED_VALUE"""),15650.0)</f>
        <v>15650</v>
      </c>
      <c r="I6927" s="18">
        <f>IFERROR(__xludf.DUMMYFUNCTION("""COMPUTED_VALUE"""),14.0)</f>
        <v>14</v>
      </c>
      <c r="J6927" s="18">
        <f>IFERROR(__xludf.DUMMYFUNCTION("""COMPUTED_VALUE"""),15.0)</f>
        <v>15</v>
      </c>
      <c r="K6927" s="18">
        <f>IFERROR(__xludf.DUMMYFUNCTION("""COMPUTED_VALUE"""),26.0)</f>
        <v>26</v>
      </c>
      <c r="L6927" s="17">
        <f>IFERROR(__xludf.DUMMYFUNCTION("""COMPUTED_VALUE"""),3.214195306E9)</f>
        <v>3214195306</v>
      </c>
      <c r="M6927" s="17" t="str">
        <f>IFERROR(__xludf.DUMMYFUNCTION("""COMPUTED_VALUE"""),"#REF!")</f>
        <v>#REF!</v>
      </c>
      <c r="N6927" s="17"/>
      <c r="O6927" s="17"/>
      <c r="P6927" s="17" t="b">
        <f>IFERROR(__xludf.DUMMYFUNCTION("""COMPUTED_VALUE"""),FALSE)</f>
        <v>0</v>
      </c>
      <c r="Q6927" s="20" t="str">
        <f>IFERROR(__xludf.DUMMYFUNCTION("""COMPUTED_VALUE"""),"")</f>
        <v/>
      </c>
      <c r="R6927" s="22" t="str">
        <f>IFERROR(__xludf.DUMMYFUNCTION("""COMPUTED_VALUE"""),"")</f>
        <v/>
      </c>
    </row>
    <row r="6928">
      <c r="A6928" s="15">
        <f>IFERROR(__xludf.DUMMYFUNCTION("""COMPUTED_VALUE"""),45196.0)</f>
        <v>45196</v>
      </c>
      <c r="B6928" s="16" t="str">
        <f>IFERROR(__xludf.DUMMYFUNCTION("""COMPUTED_VALUE"""),"Jeison Rubiano")</f>
        <v>Jeison Rubiano</v>
      </c>
      <c r="C6928" s="15" t="str">
        <f>IFERROR(__xludf.DUMMYFUNCTION("""COMPUTED_VALUE"""),"BOGOTÁ")</f>
        <v>BOGOTÁ</v>
      </c>
      <c r="D6928" s="15" t="str">
        <f>IFERROR(__xludf.DUMMYFUNCTION("""COMPUTED_VALUE"""),"BUCARAMANGA")</f>
        <v>BUCARAMANGA</v>
      </c>
      <c r="E6928" s="15" t="str">
        <f>IFERROR(__xludf.DUMMYFUNCTION("""COMPUTED_VALUE"""),"Yo Como Solito")</f>
        <v>Yo Como Solito</v>
      </c>
      <c r="F6928" s="17" t="str">
        <f>IFERROR(__xludf.DUMMYFUNCTION("""COMPUTED_VALUE"""),"CARRER 45A # 128-62  / CARRER 45A # 128-62  / CARRER 45A # 128-62")</f>
        <v>CARRER 45A # 128-62  / CARRER 45A # 128-62  / CARRER 45A # 128-62</v>
      </c>
      <c r="G6928" s="15" t="str">
        <f>IFERROR(__xludf.DUMMYFUNCTION("""COMPUTED_VALUE"""),"LINA PAOLA RAMIREZ")</f>
        <v>LINA PAOLA RAMIREZ</v>
      </c>
      <c r="H6928" s="16">
        <f>IFERROR(__xludf.DUMMYFUNCTION("""COMPUTED_VALUE"""),15649.0)</f>
        <v>15649</v>
      </c>
      <c r="I6928" s="18">
        <f>IFERROR(__xludf.DUMMYFUNCTION("""COMPUTED_VALUE"""),12.0)</f>
        <v>12</v>
      </c>
      <c r="J6928" s="18">
        <f>IFERROR(__xludf.DUMMYFUNCTION("""COMPUTED_VALUE"""),39.0)</f>
        <v>39</v>
      </c>
      <c r="K6928" s="18">
        <f>IFERROR(__xludf.DUMMYFUNCTION("""COMPUTED_VALUE"""),39.0)</f>
        <v>39</v>
      </c>
      <c r="L6928" s="17">
        <f>IFERROR(__xludf.DUMMYFUNCTION("""COMPUTED_VALUE"""),3.12327346E9)</f>
        <v>3123273460</v>
      </c>
      <c r="M6928" s="17" t="str">
        <f>IFERROR(__xludf.DUMMYFUNCTION("""COMPUTED_VALUE"""),"#REF!")</f>
        <v>#REF!</v>
      </c>
      <c r="N6928" s="17"/>
      <c r="O6928" s="17"/>
      <c r="P6928" s="17" t="b">
        <f>IFERROR(__xludf.DUMMYFUNCTION("""COMPUTED_VALUE"""),TRUE)</f>
        <v>1</v>
      </c>
      <c r="Q6928" s="20">
        <f>IFERROR(__xludf.DUMMYFUNCTION("""COMPUTED_VALUE"""),45197.692453599535)</f>
        <v>45197.69245</v>
      </c>
      <c r="R6928" s="22" t="str">
        <f>IFERROR(__xludf.DUMMYFUNCTION("""COMPUTED_VALUE"""),"")</f>
        <v/>
      </c>
    </row>
    <row r="6929">
      <c r="A6929" s="15">
        <f>IFERROR(__xludf.DUMMYFUNCTION("""COMPUTED_VALUE"""),45196.0)</f>
        <v>45196</v>
      </c>
      <c r="B6929" s="16" t="str">
        <f>IFERROR(__xludf.DUMMYFUNCTION("""COMPUTED_VALUE"""),"Jeison Rubiano")</f>
        <v>Jeison Rubiano</v>
      </c>
      <c r="C6929" s="15" t="str">
        <f>IFERROR(__xludf.DUMMYFUNCTION("""COMPUTED_VALUE"""),"BOGOTÁ")</f>
        <v>BOGOTÁ</v>
      </c>
      <c r="D6929" s="15" t="str">
        <f>IFERROR(__xludf.DUMMYFUNCTION("""COMPUTED_VALUE"""),"MEDELLÍN")</f>
        <v>MEDELLÍN</v>
      </c>
      <c r="E6929" s="15" t="str">
        <f>IFERROR(__xludf.DUMMYFUNCTION("""COMPUTED_VALUE"""),"AREPAS LA MARY")</f>
        <v>AREPAS LA MARY</v>
      </c>
      <c r="F6929" s="17" t="str">
        <f>IFERROR(__xludf.DUMMYFUNCTION("""COMPUTED_VALUE"""),"AUTOPISTA NORTE 120 37")</f>
        <v>AUTOPISTA NORTE 120 37</v>
      </c>
      <c r="G6929" s="15" t="str">
        <f>IFERROR(__xludf.DUMMYFUNCTION("""COMPUTED_VALUE"""),"EA VE MARIA")</f>
        <v>EA VE MARIA</v>
      </c>
      <c r="H6929" s="16">
        <f>IFERROR(__xludf.DUMMYFUNCTION("""COMPUTED_VALUE"""),15636.0)</f>
        <v>15636</v>
      </c>
      <c r="I6929" s="18">
        <f>IFERROR(__xludf.DUMMYFUNCTION("""COMPUTED_VALUE"""),89.0)</f>
        <v>89</v>
      </c>
      <c r="J6929" s="18">
        <f>IFERROR(__xludf.DUMMYFUNCTION("""COMPUTED_VALUE"""),1.0)</f>
        <v>1</v>
      </c>
      <c r="K6929" s="18">
        <f>IFERROR(__xludf.DUMMYFUNCTION("""COMPUTED_VALUE"""),10.0)</f>
        <v>10</v>
      </c>
      <c r="L6929" s="17" t="str">
        <f>IFERROR(__xludf.DUMMYFUNCTION("""COMPUTED_VALUE"""),"320 274 90 55")</f>
        <v>320 274 90 55</v>
      </c>
      <c r="M6929" s="17" t="str">
        <f>IFERROR(__xludf.DUMMYFUNCTION("""COMPUTED_VALUE"""),"#REF!")</f>
        <v>#REF!</v>
      </c>
      <c r="N6929" s="17"/>
      <c r="O6929" s="17"/>
      <c r="P6929" s="17" t="b">
        <f>IFERROR(__xludf.DUMMYFUNCTION("""COMPUTED_VALUE"""),TRUE)</f>
        <v>1</v>
      </c>
      <c r="Q6929" s="20">
        <f>IFERROR(__xludf.DUMMYFUNCTION("""COMPUTED_VALUE"""),45197.69273059028)</f>
        <v>45197.69273</v>
      </c>
      <c r="R6929" s="22" t="str">
        <f>IFERROR(__xludf.DUMMYFUNCTION("""COMPUTED_VALUE"""),"")</f>
        <v/>
      </c>
    </row>
    <row r="6930">
      <c r="A6930" s="15">
        <f>IFERROR(__xludf.DUMMYFUNCTION("""COMPUTED_VALUE"""),45196.0)</f>
        <v>45196</v>
      </c>
      <c r="B6930" s="16" t="str">
        <f>IFERROR(__xludf.DUMMYFUNCTION("""COMPUTED_VALUE"""),"Jeison Rubiano")</f>
        <v>Jeison Rubiano</v>
      </c>
      <c r="C6930" s="15" t="str">
        <f>IFERROR(__xludf.DUMMYFUNCTION("""COMPUTED_VALUE"""),"BOGOTÁ")</f>
        <v>BOGOTÁ</v>
      </c>
      <c r="D6930" s="15" t="str">
        <f>IFERROR(__xludf.DUMMYFUNCTION("""COMPUTED_VALUE"""),"MEDELLÍN")</f>
        <v>MEDELLÍN</v>
      </c>
      <c r="E6930" s="15" t="str">
        <f>IFERROR(__xludf.DUMMYFUNCTION("""COMPUTED_VALUE"""),"AREPAS LA MARY")</f>
        <v>AREPAS LA MARY</v>
      </c>
      <c r="F6930" s="17" t="str">
        <f>IFERROR(__xludf.DUMMYFUNCTION("""COMPUTED_VALUE"""),"Calle 128b #78-90 Casa 20 / Altos de Sotileza BOGOTA")</f>
        <v>Calle 128b #78-90 Casa 20 / Altos de Sotileza BOGOTA</v>
      </c>
      <c r="G6930" s="15" t="str">
        <f>IFERROR(__xludf.DUMMYFUNCTION("""COMPUTED_VALUE"""),"MARTHA CALDERON CARDOZO")</f>
        <v>MARTHA CALDERON CARDOZO</v>
      </c>
      <c r="H6930" s="16">
        <f>IFERROR(__xludf.DUMMYFUNCTION("""COMPUTED_VALUE"""),15642.0)</f>
        <v>15642</v>
      </c>
      <c r="I6930" s="18">
        <f>IFERROR(__xludf.DUMMYFUNCTION("""COMPUTED_VALUE"""),89.0)</f>
        <v>89</v>
      </c>
      <c r="J6930" s="18">
        <f>IFERROR(__xludf.DUMMYFUNCTION("""COMPUTED_VALUE"""),1.0)</f>
        <v>1</v>
      </c>
      <c r="K6930" s="18">
        <f>IFERROR(__xludf.DUMMYFUNCTION("""COMPUTED_VALUE"""),10.0)</f>
        <v>10</v>
      </c>
      <c r="L6930" s="17">
        <f>IFERROR(__xludf.DUMMYFUNCTION("""COMPUTED_VALUE"""),3.102349623E9)</f>
        <v>3102349623</v>
      </c>
      <c r="M6930" s="17" t="str">
        <f>IFERROR(__xludf.DUMMYFUNCTION("""COMPUTED_VALUE"""),"#REF!")</f>
        <v>#REF!</v>
      </c>
      <c r="N6930" s="17"/>
      <c r="O6930" s="17"/>
      <c r="P6930" s="17" t="b">
        <f>IFERROR(__xludf.DUMMYFUNCTION("""COMPUTED_VALUE"""),TRUE)</f>
        <v>1</v>
      </c>
      <c r="Q6930" s="20">
        <f>IFERROR(__xludf.DUMMYFUNCTION("""COMPUTED_VALUE"""),45197.69264758102)</f>
        <v>45197.69265</v>
      </c>
      <c r="R6930" s="22" t="str">
        <f>IFERROR(__xludf.DUMMYFUNCTION("""COMPUTED_VALUE"""),"")</f>
        <v/>
      </c>
    </row>
    <row r="6931">
      <c r="A6931" s="15">
        <f>IFERROR(__xludf.DUMMYFUNCTION("""COMPUTED_VALUE"""),45196.0)</f>
        <v>45196</v>
      </c>
      <c r="B6931" s="16" t="str">
        <f>IFERROR(__xludf.DUMMYFUNCTION("""COMPUTED_VALUE"""),"Jeison Rubiano")</f>
        <v>Jeison Rubiano</v>
      </c>
      <c r="C6931" s="15" t="str">
        <f>IFERROR(__xludf.DUMMYFUNCTION("""COMPUTED_VALUE"""),"BOGOTÁ")</f>
        <v>BOGOTÁ</v>
      </c>
      <c r="D6931" s="15" t="str">
        <f>IFERROR(__xludf.DUMMYFUNCTION("""COMPUTED_VALUE"""),"MEDELLÍN")</f>
        <v>MEDELLÍN</v>
      </c>
      <c r="E6931" s="15" t="str">
        <f>IFERROR(__xludf.DUMMYFUNCTION("""COMPUTED_VALUE"""),"AREPAS LA MARY")</f>
        <v>AREPAS LA MARY</v>
      </c>
      <c r="F6931" s="17" t="str">
        <f>IFERROR(__xludf.DUMMYFUNCTION("""COMPUTED_VALUE"""),"CALLE 95 71 75 BL 6 APTO 2402 / BOGOTA")</f>
        <v>CALLE 95 71 75 BL 6 APTO 2402 / BOGOTA</v>
      </c>
      <c r="G6931" s="15" t="str">
        <f>IFERROR(__xludf.DUMMYFUNCTION("""COMPUTED_VALUE"""),"DARCY RODRIGUEZ")</f>
        <v>DARCY RODRIGUEZ</v>
      </c>
      <c r="H6931" s="16">
        <f>IFERROR(__xludf.DUMMYFUNCTION("""COMPUTED_VALUE"""),15640.0)</f>
        <v>15640</v>
      </c>
      <c r="I6931" s="18">
        <f>IFERROR(__xludf.DUMMYFUNCTION("""COMPUTED_VALUE"""),89.0)</f>
        <v>89</v>
      </c>
      <c r="J6931" s="18">
        <f>IFERROR(__xludf.DUMMYFUNCTION("""COMPUTED_VALUE"""),1.0)</f>
        <v>1</v>
      </c>
      <c r="K6931" s="18">
        <f>IFERROR(__xludf.DUMMYFUNCTION("""COMPUTED_VALUE"""),10.0)</f>
        <v>10</v>
      </c>
      <c r="L6931" s="17">
        <f>IFERROR(__xludf.DUMMYFUNCTION("""COMPUTED_VALUE"""),3.046303029E9)</f>
        <v>3046303029</v>
      </c>
      <c r="M6931" s="17" t="str">
        <f>IFERROR(__xludf.DUMMYFUNCTION("""COMPUTED_VALUE"""),"#REF!")</f>
        <v>#REF!</v>
      </c>
      <c r="N6931" s="17"/>
      <c r="O6931" s="17"/>
      <c r="P6931" s="17" t="b">
        <f>IFERROR(__xludf.DUMMYFUNCTION("""COMPUTED_VALUE"""),TRUE)</f>
        <v>1</v>
      </c>
      <c r="Q6931" s="20">
        <f>IFERROR(__xludf.DUMMYFUNCTION("""COMPUTED_VALUE"""),45197.69209525463)</f>
        <v>45197.6921</v>
      </c>
      <c r="R6931" s="21" t="str">
        <f>IFERROR(__xludf.DUMMYFUNCTION("""COMPUTED_VALUE"""),"https://drive.google.com/file/d/1q0awumCNjkd9lr6UJRHd0y__Jckx7Yx7/view?usp=drivesdk")</f>
        <v>https://drive.google.com/file/d/1q0awumCNjkd9lr6UJRHd0y__Jckx7Yx7/view?usp=drivesdk</v>
      </c>
    </row>
    <row r="6932">
      <c r="A6932" s="15">
        <f>IFERROR(__xludf.DUMMYFUNCTION("""COMPUTED_VALUE"""),45196.0)</f>
        <v>45196</v>
      </c>
      <c r="B6932" s="16" t="str">
        <f>IFERROR(__xludf.DUMMYFUNCTION("""COMPUTED_VALUE"""),"Jeison Rubiano")</f>
        <v>Jeison Rubiano</v>
      </c>
      <c r="C6932" s="15" t="str">
        <f>IFERROR(__xludf.DUMMYFUNCTION("""COMPUTED_VALUE"""),"BOGOTÁ")</f>
        <v>BOGOTÁ</v>
      </c>
      <c r="D6932" s="15" t="str">
        <f>IFERROR(__xludf.DUMMYFUNCTION("""COMPUTED_VALUE"""),"MEDELLÍN")</f>
        <v>MEDELLÍN</v>
      </c>
      <c r="E6932" s="15" t="str">
        <f>IFERROR(__xludf.DUMMYFUNCTION("""COMPUTED_VALUE"""),"AREPAS LA MARY")</f>
        <v>AREPAS LA MARY</v>
      </c>
      <c r="F6932" s="17" t="str">
        <f>IFERROR(__xludf.DUMMYFUNCTION("""COMPUTED_VALUE"""),"carrera 2 #110-46 / santa ana bogota")</f>
        <v>carrera 2 #110-46 / santa ana bogota</v>
      </c>
      <c r="G6932" s="15" t="str">
        <f>IFERROR(__xludf.DUMMYFUNCTION("""COMPUTED_VALUE"""),"ANDREA MALLARINO")</f>
        <v>ANDREA MALLARINO</v>
      </c>
      <c r="H6932" s="16">
        <f>IFERROR(__xludf.DUMMYFUNCTION("""COMPUTED_VALUE"""),15641.0)</f>
        <v>15641</v>
      </c>
      <c r="I6932" s="18">
        <f>IFERROR(__xludf.DUMMYFUNCTION("""COMPUTED_VALUE"""),89.0)</f>
        <v>89</v>
      </c>
      <c r="J6932" s="18">
        <f>IFERROR(__xludf.DUMMYFUNCTION("""COMPUTED_VALUE"""),1.0)</f>
        <v>1</v>
      </c>
      <c r="K6932" s="18">
        <f>IFERROR(__xludf.DUMMYFUNCTION("""COMPUTED_VALUE"""),10.0)</f>
        <v>10</v>
      </c>
      <c r="L6932" s="17">
        <f>IFERROR(__xludf.DUMMYFUNCTION("""COMPUTED_VALUE"""),3.183775582E9)</f>
        <v>3183775582</v>
      </c>
      <c r="M6932" s="17" t="str">
        <f>IFERROR(__xludf.DUMMYFUNCTION("""COMPUTED_VALUE"""),"#REF!")</f>
        <v>#REF!</v>
      </c>
      <c r="N6932" s="17"/>
      <c r="O6932" s="17"/>
      <c r="P6932" s="17" t="b">
        <f>IFERROR(__xludf.DUMMYFUNCTION("""COMPUTED_VALUE"""),FALSE)</f>
        <v>0</v>
      </c>
      <c r="Q6932" s="20" t="str">
        <f>IFERROR(__xludf.DUMMYFUNCTION("""COMPUTED_VALUE"""),"")</f>
        <v/>
      </c>
      <c r="R6932" s="22" t="str">
        <f>IFERROR(__xludf.DUMMYFUNCTION("""COMPUTED_VALUE"""),"")</f>
        <v/>
      </c>
    </row>
    <row r="6933">
      <c r="A6933" s="15">
        <f>IFERROR(__xludf.DUMMYFUNCTION("""COMPUTED_VALUE"""),45196.0)</f>
        <v>45196</v>
      </c>
      <c r="B6933" s="16" t="str">
        <f>IFERROR(__xludf.DUMMYFUNCTION("""COMPUTED_VALUE"""),"Jeison Rubiano")</f>
        <v>Jeison Rubiano</v>
      </c>
      <c r="C6933" s="15" t="str">
        <f>IFERROR(__xludf.DUMMYFUNCTION("""COMPUTED_VALUE"""),"BOGOTÁ")</f>
        <v>BOGOTÁ</v>
      </c>
      <c r="D6933" s="15" t="str">
        <f>IFERROR(__xludf.DUMMYFUNCTION("""COMPUTED_VALUE"""),"MEDELLÍN")</f>
        <v>MEDELLÍN</v>
      </c>
      <c r="E6933" s="15" t="str">
        <f>IFERROR(__xludf.DUMMYFUNCTION("""COMPUTED_VALUE"""),"AREPAS LA MARY")</f>
        <v>AREPAS LA MARY</v>
      </c>
      <c r="F6933" s="17" t="str">
        <f>IFERROR(__xludf.DUMMYFUNCTION("""COMPUTED_VALUE"""),"CRA 14B N.106 69 APTO 301 / USAQUEN BOGOTA")</f>
        <v>CRA 14B N.106 69 APTO 301 / USAQUEN BOGOTA</v>
      </c>
      <c r="G6933" s="15" t="str">
        <f>IFERROR(__xludf.DUMMYFUNCTION("""COMPUTED_VALUE"""),"NATALIA ISAZA")</f>
        <v>NATALIA ISAZA</v>
      </c>
      <c r="H6933" s="16">
        <f>IFERROR(__xludf.DUMMYFUNCTION("""COMPUTED_VALUE"""),15638.0)</f>
        <v>15638</v>
      </c>
      <c r="I6933" s="18">
        <f>IFERROR(__xludf.DUMMYFUNCTION("""COMPUTED_VALUE"""),89.0)</f>
        <v>89</v>
      </c>
      <c r="J6933" s="18">
        <f>IFERROR(__xludf.DUMMYFUNCTION("""COMPUTED_VALUE"""),1.0)</f>
        <v>1</v>
      </c>
      <c r="K6933" s="18">
        <f>IFERROR(__xludf.DUMMYFUNCTION("""COMPUTED_VALUE"""),10.0)</f>
        <v>10</v>
      </c>
      <c r="L6933" s="17">
        <f>IFERROR(__xludf.DUMMYFUNCTION("""COMPUTED_VALUE"""),3.134886585E9)</f>
        <v>3134886585</v>
      </c>
      <c r="M6933" s="17" t="str">
        <f>IFERROR(__xludf.DUMMYFUNCTION("""COMPUTED_VALUE"""),"#REF!")</f>
        <v>#REF!</v>
      </c>
      <c r="N6933" s="17"/>
      <c r="O6933" s="17"/>
      <c r="P6933" s="17" t="b">
        <f>IFERROR(__xludf.DUMMYFUNCTION("""COMPUTED_VALUE"""),TRUE)</f>
        <v>1</v>
      </c>
      <c r="Q6933" s="20">
        <f>IFERROR(__xludf.DUMMYFUNCTION("""COMPUTED_VALUE"""),45197.67858762731)</f>
        <v>45197.67859</v>
      </c>
      <c r="R6933" s="22" t="str">
        <f>IFERROR(__xludf.DUMMYFUNCTION("""COMPUTED_VALUE"""),"")</f>
        <v/>
      </c>
    </row>
    <row r="6934">
      <c r="A6934" s="15">
        <f>IFERROR(__xludf.DUMMYFUNCTION("""COMPUTED_VALUE"""),45196.0)</f>
        <v>45196</v>
      </c>
      <c r="B6934" s="16" t="str">
        <f>IFERROR(__xludf.DUMMYFUNCTION("""COMPUTED_VALUE"""),"Jeison Rubiano")</f>
        <v>Jeison Rubiano</v>
      </c>
      <c r="C6934" s="15" t="str">
        <f>IFERROR(__xludf.DUMMYFUNCTION("""COMPUTED_VALUE"""),"BOGOTÁ")</f>
        <v>BOGOTÁ</v>
      </c>
      <c r="D6934" s="15" t="str">
        <f>IFERROR(__xludf.DUMMYFUNCTION("""COMPUTED_VALUE"""),"MEDELLÍN")</f>
        <v>MEDELLÍN</v>
      </c>
      <c r="E6934" s="15" t="str">
        <f>IFERROR(__xludf.DUMMYFUNCTION("""COMPUTED_VALUE"""),"AREPAS LA MARY")</f>
        <v>AREPAS LA MARY</v>
      </c>
      <c r="F6934" s="17" t="str">
        <f>IFERROR(__xludf.DUMMYFUNCTION("""COMPUTED_VALUE"""),"CRA 7C N.142 92 / BOGOTA")</f>
        <v>CRA 7C N.142 92 / BOGOTA</v>
      </c>
      <c r="G6934" s="15" t="str">
        <f>IFERROR(__xludf.DUMMYFUNCTION("""COMPUTED_VALUE"""),"DEISSY JOHANA SANCHEZ")</f>
        <v>DEISSY JOHANA SANCHEZ</v>
      </c>
      <c r="H6934" s="16">
        <f>IFERROR(__xludf.DUMMYFUNCTION("""COMPUTED_VALUE"""),15637.0)</f>
        <v>15637</v>
      </c>
      <c r="I6934" s="18">
        <f>IFERROR(__xludf.DUMMYFUNCTION("""COMPUTED_VALUE"""),89.0)</f>
        <v>89</v>
      </c>
      <c r="J6934" s="18">
        <f>IFERROR(__xludf.DUMMYFUNCTION("""COMPUTED_VALUE"""),1.0)</f>
        <v>1</v>
      </c>
      <c r="K6934" s="18">
        <f>IFERROR(__xludf.DUMMYFUNCTION("""COMPUTED_VALUE"""),10.0)</f>
        <v>10</v>
      </c>
      <c r="L6934" s="17">
        <f>IFERROR(__xludf.DUMMYFUNCTION("""COMPUTED_VALUE"""),3.054630561E9)</f>
        <v>3054630561</v>
      </c>
      <c r="M6934" s="17" t="str">
        <f>IFERROR(__xludf.DUMMYFUNCTION("""COMPUTED_VALUE"""),"#REF!")</f>
        <v>#REF!</v>
      </c>
      <c r="N6934" s="17"/>
      <c r="O6934" s="17"/>
      <c r="P6934" s="17" t="b">
        <f>IFERROR(__xludf.DUMMYFUNCTION("""COMPUTED_VALUE"""),TRUE)</f>
        <v>1</v>
      </c>
      <c r="Q6934" s="20">
        <f>IFERROR(__xludf.DUMMYFUNCTION("""COMPUTED_VALUE"""),45197.56452950231)</f>
        <v>45197.56453</v>
      </c>
      <c r="R6934" s="22" t="str">
        <f>IFERROR(__xludf.DUMMYFUNCTION("""COMPUTED_VALUE"""),"")</f>
        <v/>
      </c>
    </row>
    <row r="6935">
      <c r="A6935" s="15">
        <f>IFERROR(__xludf.DUMMYFUNCTION("""COMPUTED_VALUE"""),45196.0)</f>
        <v>45196</v>
      </c>
      <c r="B6935" s="16" t="str">
        <f>IFERROR(__xludf.DUMMYFUNCTION("""COMPUTED_VALUE"""),"Jeison Rubiano")</f>
        <v>Jeison Rubiano</v>
      </c>
      <c r="C6935" s="15" t="str">
        <f>IFERROR(__xludf.DUMMYFUNCTION("""COMPUTED_VALUE"""),"BOGOTÁ")</f>
        <v>BOGOTÁ</v>
      </c>
      <c r="D6935" s="15" t="str">
        <f>IFERROR(__xludf.DUMMYFUNCTION("""COMPUTED_VALUE"""),"MEDELLÍN")</f>
        <v>MEDELLÍN</v>
      </c>
      <c r="E6935" s="15" t="str">
        <f>IFERROR(__xludf.DUMMYFUNCTION("""COMPUTED_VALUE"""),"AREPAS LA MARY")</f>
        <v>AREPAS LA MARY</v>
      </c>
      <c r="F6935" s="17" t="str">
        <f>IFERROR(__xludf.DUMMYFUNCTION("""COMPUTED_VALUE"""),"CRA 9 N.85 75 APTO 602 / bogota")</f>
        <v>CRA 9 N.85 75 APTO 602 / bogota</v>
      </c>
      <c r="G6935" s="15" t="str">
        <f>IFERROR(__xludf.DUMMYFUNCTION("""COMPUTED_VALUE"""),"LINA ENRIQUEZ")</f>
        <v>LINA ENRIQUEZ</v>
      </c>
      <c r="H6935" s="16">
        <f>IFERROR(__xludf.DUMMYFUNCTION("""COMPUTED_VALUE"""),15639.0)</f>
        <v>15639</v>
      </c>
      <c r="I6935" s="18">
        <f>IFERROR(__xludf.DUMMYFUNCTION("""COMPUTED_VALUE"""),89.0)</f>
        <v>89</v>
      </c>
      <c r="J6935" s="18">
        <f>IFERROR(__xludf.DUMMYFUNCTION("""COMPUTED_VALUE"""),1.0)</f>
        <v>1</v>
      </c>
      <c r="K6935" s="18">
        <f>IFERROR(__xludf.DUMMYFUNCTION("""COMPUTED_VALUE"""),10.0)</f>
        <v>10</v>
      </c>
      <c r="L6935" s="17">
        <f>IFERROR(__xludf.DUMMYFUNCTION("""COMPUTED_VALUE"""),3.214265812E9)</f>
        <v>3214265812</v>
      </c>
      <c r="M6935" s="17" t="str">
        <f>IFERROR(__xludf.DUMMYFUNCTION("""COMPUTED_VALUE"""),"#REF!")</f>
        <v>#REF!</v>
      </c>
      <c r="N6935" s="17"/>
      <c r="O6935" s="17"/>
      <c r="P6935" s="17" t="b">
        <f>IFERROR(__xludf.DUMMYFUNCTION("""COMPUTED_VALUE"""),TRUE)</f>
        <v>1</v>
      </c>
      <c r="Q6935" s="20">
        <f>IFERROR(__xludf.DUMMYFUNCTION("""COMPUTED_VALUE"""),45197.56452950231)</f>
        <v>45197.56453</v>
      </c>
      <c r="R6935" s="21" t="str">
        <f>IFERROR(__xludf.DUMMYFUNCTION("""COMPUTED_VALUE"""),"https://drive.google.com/file/d/1soMKojxUHCFQpxPc1NOfvxBOHmQl1gjn/view?usp=drivesdk")</f>
        <v>https://drive.google.com/file/d/1soMKojxUHCFQpxPc1NOfvxBOHmQl1gjn/view?usp=drivesdk</v>
      </c>
    </row>
    <row r="6936">
      <c r="A6936" s="15">
        <f>IFERROR(__xludf.DUMMYFUNCTION("""COMPUTED_VALUE"""),45196.0)</f>
        <v>45196</v>
      </c>
      <c r="B6936" s="16" t="str">
        <f>IFERROR(__xludf.DUMMYFUNCTION("""COMPUTED_VALUE"""),"Jeison Rubiano")</f>
        <v>Jeison Rubiano</v>
      </c>
      <c r="C6936" s="15" t="str">
        <f>IFERROR(__xludf.DUMMYFUNCTION("""COMPUTED_VALUE"""),"BOGOTÁ")</f>
        <v>BOGOTÁ</v>
      </c>
      <c r="D6936" s="15" t="str">
        <f>IFERROR(__xludf.DUMMYFUNCTION("""COMPUTED_VALUE"""),"MEDELLÍN")</f>
        <v>MEDELLÍN</v>
      </c>
      <c r="E6936" s="15" t="str">
        <f>IFERROR(__xludf.DUMMYFUNCTION("""COMPUTED_VALUE"""),"Baby Chef")</f>
        <v>Baby Chef</v>
      </c>
      <c r="F6936" s="17" t="str">
        <f>IFERROR(__xludf.DUMMYFUNCTION("""COMPUTED_VALUE"""),"calle 42 d sur 79 d 40 Casa, barrio Grancolombiano, Kennedy / calle 42 d sur 79 d 40 Casa, barrio Grancolombiano, Kennedy / calle 42 d sur 79 d 40 Casa, barrio Grancolombiano, Kennedy")</f>
        <v>calle 42 d sur 79 d 40 Casa, barrio Grancolombiano, Kennedy / calle 42 d sur 79 d 40 Casa, barrio Grancolombiano, Kennedy / calle 42 d sur 79 d 40 Casa, barrio Grancolombiano, Kennedy</v>
      </c>
      <c r="G6936" s="15" t="str">
        <f>IFERROR(__xludf.DUMMYFUNCTION("""COMPUTED_VALUE"""),"Monica Lorena Solorza Hurtado")</f>
        <v>Monica Lorena Solorza Hurtado</v>
      </c>
      <c r="H6936" s="16">
        <f>IFERROR(__xludf.DUMMYFUNCTION("""COMPUTED_VALUE"""),15659.0)</f>
        <v>15659</v>
      </c>
      <c r="I6936" s="18">
        <f>IFERROR(__xludf.DUMMYFUNCTION("""COMPUTED_VALUE"""),6.0)</f>
        <v>6</v>
      </c>
      <c r="J6936" s="18">
        <f>IFERROR(__xludf.DUMMYFUNCTION("""COMPUTED_VALUE"""),21.0)</f>
        <v>21</v>
      </c>
      <c r="K6936" s="18">
        <f>IFERROR(__xludf.DUMMYFUNCTION("""COMPUTED_VALUE"""),32.0)</f>
        <v>32</v>
      </c>
      <c r="L6936" s="17">
        <f>IFERROR(__xludf.DUMMYFUNCTION("""COMPUTED_VALUE"""),3.142315306E9)</f>
        <v>3142315306</v>
      </c>
      <c r="M6936" s="17" t="str">
        <f>IFERROR(__xludf.DUMMYFUNCTION("""COMPUTED_VALUE"""),"#REF!")</f>
        <v>#REF!</v>
      </c>
      <c r="N6936" s="17"/>
      <c r="O6936" s="17"/>
      <c r="P6936" s="17" t="b">
        <f>IFERROR(__xludf.DUMMYFUNCTION("""COMPUTED_VALUE"""),TRUE)</f>
        <v>1</v>
      </c>
      <c r="Q6936" s="20">
        <f>IFERROR(__xludf.DUMMYFUNCTION("""COMPUTED_VALUE"""),45197.67858762731)</f>
        <v>45197.67859</v>
      </c>
      <c r="R6936" s="22" t="str">
        <f>IFERROR(__xludf.DUMMYFUNCTION("""COMPUTED_VALUE"""),"")</f>
        <v/>
      </c>
    </row>
    <row r="6937">
      <c r="A6937" s="15">
        <f>IFERROR(__xludf.DUMMYFUNCTION("""COMPUTED_VALUE"""),45196.0)</f>
        <v>45196</v>
      </c>
      <c r="B6937" s="16" t="str">
        <f>IFERROR(__xludf.DUMMYFUNCTION("""COMPUTED_VALUE"""),"Jeison Rubiano")</f>
        <v>Jeison Rubiano</v>
      </c>
      <c r="C6937" s="15" t="str">
        <f>IFERROR(__xludf.DUMMYFUNCTION("""COMPUTED_VALUE"""),"BOGOTÁ")</f>
        <v>BOGOTÁ</v>
      </c>
      <c r="D6937" s="15" t="str">
        <f>IFERROR(__xludf.DUMMYFUNCTION("""COMPUTED_VALUE"""),"MEDELLÍN")</f>
        <v>MEDELLÍN</v>
      </c>
      <c r="E6937" s="15" t="str">
        <f>IFERROR(__xludf.DUMMYFUNCTION("""COMPUTED_VALUE"""),"Baby Chef")</f>
        <v>Baby Chef</v>
      </c>
      <c r="F6937" s="17" t="str">
        <f>IFERROR(__xludf.DUMMYFUNCTION("""COMPUTED_VALUE"""),"Calle 56c sur 79b 61 Roma casablanca / Calle 56c sur 79b 61 Roma casablanca / Calle 56c sur 79b 61 Roma casablanca")</f>
        <v>Calle 56c sur 79b 61 Roma casablanca / Calle 56c sur 79b 61 Roma casablanca / Calle 56c sur 79b 61 Roma casablanca</v>
      </c>
      <c r="G6937" s="15" t="str">
        <f>IFERROR(__xludf.DUMMYFUNCTION("""COMPUTED_VALUE"""),"Diana Hoyos")</f>
        <v>Diana Hoyos</v>
      </c>
      <c r="H6937" s="16">
        <f>IFERROR(__xludf.DUMMYFUNCTION("""COMPUTED_VALUE"""),15658.0)</f>
        <v>15658</v>
      </c>
      <c r="I6937" s="18">
        <f>IFERROR(__xludf.DUMMYFUNCTION("""COMPUTED_VALUE"""),8.0)</f>
        <v>8</v>
      </c>
      <c r="J6937" s="18">
        <f>IFERROR(__xludf.DUMMYFUNCTION("""COMPUTED_VALUE"""),21.0)</f>
        <v>21</v>
      </c>
      <c r="K6937" s="18">
        <f>IFERROR(__xludf.DUMMYFUNCTION("""COMPUTED_VALUE"""),33.0)</f>
        <v>33</v>
      </c>
      <c r="L6937" s="17">
        <f>IFERROR(__xludf.DUMMYFUNCTION("""COMPUTED_VALUE"""),3.504949101E9)</f>
        <v>3504949101</v>
      </c>
      <c r="M6937" s="17" t="str">
        <f>IFERROR(__xludf.DUMMYFUNCTION("""COMPUTED_VALUE"""),"#REF!")</f>
        <v>#REF!</v>
      </c>
      <c r="N6937" s="17"/>
      <c r="O6937" s="17"/>
      <c r="P6937" s="17" t="b">
        <f>IFERROR(__xludf.DUMMYFUNCTION("""COMPUTED_VALUE"""),TRUE)</f>
        <v>1</v>
      </c>
      <c r="Q6937" s="20">
        <f>IFERROR(__xludf.DUMMYFUNCTION("""COMPUTED_VALUE"""),45197.56452950231)</f>
        <v>45197.56453</v>
      </c>
      <c r="R6937" s="22" t="str">
        <f>IFERROR(__xludf.DUMMYFUNCTION("""COMPUTED_VALUE"""),"")</f>
        <v/>
      </c>
    </row>
    <row r="6938">
      <c r="A6938" s="15">
        <f>IFERROR(__xludf.DUMMYFUNCTION("""COMPUTED_VALUE"""),45196.0)</f>
        <v>45196</v>
      </c>
      <c r="B6938" s="16" t="str">
        <f>IFERROR(__xludf.DUMMYFUNCTION("""COMPUTED_VALUE"""),"Jeison Rubiano")</f>
        <v>Jeison Rubiano</v>
      </c>
      <c r="C6938" s="15" t="str">
        <f>IFERROR(__xludf.DUMMYFUNCTION("""COMPUTED_VALUE"""),"BOGOTÁ")</f>
        <v>BOGOTÁ</v>
      </c>
      <c r="D6938" s="15" t="str">
        <f>IFERROR(__xludf.DUMMYFUNCTION("""COMPUTED_VALUE"""),"MEDELLÍN")</f>
        <v>MEDELLÍN</v>
      </c>
      <c r="E6938" s="15" t="str">
        <f>IFERROR(__xludf.DUMMYFUNCTION("""COMPUTED_VALUE"""),"Baby Chef")</f>
        <v>Baby Chef</v>
      </c>
      <c r="F6938" s="17" t="str">
        <f>IFERROR(__xludf.DUMMYFUNCTION("""COMPUTED_VALUE"""),"Calle 90# 9-32 edificio ocal apto 603 bogota  Chico norte / Calle 90# 9-32 edificio ocal apto 603 bogota  Chico norte / Calle 90# 9-32 edificio ocal apto 603 bogota  Chico norte")</f>
        <v>Calle 90# 9-32 edificio ocal apto 603 bogota  Chico norte / Calle 90# 9-32 edificio ocal apto 603 bogota  Chico norte / Calle 90# 9-32 edificio ocal apto 603 bogota  Chico norte</v>
      </c>
      <c r="G6938" s="15" t="str">
        <f>IFERROR(__xludf.DUMMYFUNCTION("""COMPUTED_VALUE"""),"Camila de Ureña")</f>
        <v>Camila de Ureña</v>
      </c>
      <c r="H6938" s="16">
        <f>IFERROR(__xludf.DUMMYFUNCTION("""COMPUTED_VALUE"""),15660.0)</f>
        <v>15660</v>
      </c>
      <c r="I6938" s="18">
        <f>IFERROR(__xludf.DUMMYFUNCTION("""COMPUTED_VALUE"""),8.0)</f>
        <v>8</v>
      </c>
      <c r="J6938" s="18">
        <f>IFERROR(__xludf.DUMMYFUNCTION("""COMPUTED_VALUE"""),24.0)</f>
        <v>24</v>
      </c>
      <c r="K6938" s="18">
        <f>IFERROR(__xludf.DUMMYFUNCTION("""COMPUTED_VALUE"""),27.0)</f>
        <v>27</v>
      </c>
      <c r="L6938" s="17">
        <f>IFERROR(__xludf.DUMMYFUNCTION("""COMPUTED_VALUE"""),3.114550715E9)</f>
        <v>3114550715</v>
      </c>
      <c r="M6938" s="17" t="str">
        <f>IFERROR(__xludf.DUMMYFUNCTION("""COMPUTED_VALUE"""),"#REF!")</f>
        <v>#REF!</v>
      </c>
      <c r="N6938" s="17"/>
      <c r="O6938" s="17"/>
      <c r="P6938" s="17" t="b">
        <f>IFERROR(__xludf.DUMMYFUNCTION("""COMPUTED_VALUE"""),TRUE)</f>
        <v>1</v>
      </c>
      <c r="Q6938" s="20">
        <f>IFERROR(__xludf.DUMMYFUNCTION("""COMPUTED_VALUE"""),45197.56452950231)</f>
        <v>45197.56453</v>
      </c>
      <c r="R6938" s="21" t="str">
        <f>IFERROR(__xludf.DUMMYFUNCTION("""COMPUTED_VALUE"""),"https://drive.google.com/file/d/1oSw04O8CPkpOG4PnWv7M4LEczApgJjH2/view?usp=drivesdk")</f>
        <v>https://drive.google.com/file/d/1oSw04O8CPkpOG4PnWv7M4LEczApgJjH2/view?usp=drivesdk</v>
      </c>
    </row>
    <row r="6939">
      <c r="A6939" s="15">
        <f>IFERROR(__xludf.DUMMYFUNCTION("""COMPUTED_VALUE"""),45196.0)</f>
        <v>45196</v>
      </c>
      <c r="B6939" s="16" t="str">
        <f>IFERROR(__xludf.DUMMYFUNCTION("""COMPUTED_VALUE"""),"Jeison Rubiano")</f>
        <v>Jeison Rubiano</v>
      </c>
      <c r="C6939" s="15" t="str">
        <f>IFERROR(__xludf.DUMMYFUNCTION("""COMPUTED_VALUE"""),"BOGOTÁ")</f>
        <v>BOGOTÁ</v>
      </c>
      <c r="D6939" s="15" t="str">
        <f>IFERROR(__xludf.DUMMYFUNCTION("""COMPUTED_VALUE"""),"MEDELLÍN")</f>
        <v>MEDELLÍN</v>
      </c>
      <c r="E6939" s="15" t="str">
        <f>IFERROR(__xludf.DUMMYFUNCTION("""COMPUTED_VALUE"""),"Baby Chef")</f>
        <v>Baby Chef</v>
      </c>
      <c r="F6939" s="17" t="str">
        <f>IFERROR(__xludf.DUMMYFUNCTION("""COMPUTED_VALUE"""),"Carrera 21 114-20 apto 101 edificio Cerezo  / Carrera 21 114-20 apto 101 edificio Cerezo  / Carrera 21 114-20 apto 101 edificio Cerezo")</f>
        <v>Carrera 21 114-20 apto 101 edificio Cerezo  / Carrera 21 114-20 apto 101 edificio Cerezo  / Carrera 21 114-20 apto 101 edificio Cerezo</v>
      </c>
      <c r="G6939" s="15" t="str">
        <f>IFERROR(__xludf.DUMMYFUNCTION("""COMPUTED_VALUE"""),"Laura Martínez")</f>
        <v>Laura Martínez</v>
      </c>
      <c r="H6939" s="16">
        <f>IFERROR(__xludf.DUMMYFUNCTION("""COMPUTED_VALUE"""),15663.0)</f>
        <v>15663</v>
      </c>
      <c r="I6939" s="18">
        <f>IFERROR(__xludf.DUMMYFUNCTION("""COMPUTED_VALUE"""),9.0)</f>
        <v>9</v>
      </c>
      <c r="J6939" s="18">
        <f>IFERROR(__xludf.DUMMYFUNCTION("""COMPUTED_VALUE"""),25.0)</f>
        <v>25</v>
      </c>
      <c r="K6939" s="18">
        <f>IFERROR(__xludf.DUMMYFUNCTION("""COMPUTED_VALUE"""),37.0)</f>
        <v>37</v>
      </c>
      <c r="L6939" s="17">
        <f>IFERROR(__xludf.DUMMYFUNCTION("""COMPUTED_VALUE"""),3.152629963E9)</f>
        <v>3152629963</v>
      </c>
      <c r="M6939" s="17" t="str">
        <f>IFERROR(__xludf.DUMMYFUNCTION("""COMPUTED_VALUE"""),"#REF!")</f>
        <v>#REF!</v>
      </c>
      <c r="N6939" s="17"/>
      <c r="O6939" s="17"/>
      <c r="P6939" s="17" t="b">
        <f>IFERROR(__xludf.DUMMYFUNCTION("""COMPUTED_VALUE"""),TRUE)</f>
        <v>1</v>
      </c>
      <c r="Q6939" s="20">
        <f>IFERROR(__xludf.DUMMYFUNCTION("""COMPUTED_VALUE"""),45197.67858762731)</f>
        <v>45197.67859</v>
      </c>
      <c r="R6939" s="22" t="str">
        <f>IFERROR(__xludf.DUMMYFUNCTION("""COMPUTED_VALUE"""),"")</f>
        <v/>
      </c>
    </row>
    <row r="6940">
      <c r="A6940" s="15">
        <f>IFERROR(__xludf.DUMMYFUNCTION("""COMPUTED_VALUE"""),45196.0)</f>
        <v>45196</v>
      </c>
      <c r="B6940" s="16" t="str">
        <f>IFERROR(__xludf.DUMMYFUNCTION("""COMPUTED_VALUE"""),"Jeison Rubiano")</f>
        <v>Jeison Rubiano</v>
      </c>
      <c r="C6940" s="15" t="str">
        <f>IFERROR(__xludf.DUMMYFUNCTION("""COMPUTED_VALUE"""),"BOGOTÁ")</f>
        <v>BOGOTÁ</v>
      </c>
      <c r="D6940" s="15" t="str">
        <f>IFERROR(__xludf.DUMMYFUNCTION("""COMPUTED_VALUE"""),"MEDELLÍN")</f>
        <v>MEDELLÍN</v>
      </c>
      <c r="E6940" s="15" t="str">
        <f>IFERROR(__xludf.DUMMYFUNCTION("""COMPUTED_VALUE"""),"Baby Chef")</f>
        <v>Baby Chef</v>
      </c>
      <c r="F6940" s="17" t="str">
        <f>IFERROR(__xludf.DUMMYFUNCTION("""COMPUTED_VALUE"""),"Transversal 56 # 104b-05 503 / Transversal 56 # 104b-05 503 / Transversal 56 # 104b-05 503")</f>
        <v>Transversal 56 # 104b-05 503 / Transversal 56 # 104b-05 503 / Transversal 56 # 104b-05 503</v>
      </c>
      <c r="G6940" s="15" t="str">
        <f>IFERROR(__xludf.DUMMYFUNCTION("""COMPUTED_VALUE"""),"Julian Sánchez")</f>
        <v>Julian Sánchez</v>
      </c>
      <c r="H6940" s="16">
        <f>IFERROR(__xludf.DUMMYFUNCTION("""COMPUTED_VALUE"""),15657.0)</f>
        <v>15657</v>
      </c>
      <c r="I6940" s="18">
        <f>IFERROR(__xludf.DUMMYFUNCTION("""COMPUTED_VALUE"""),8.0)</f>
        <v>8</v>
      </c>
      <c r="J6940" s="18">
        <f>IFERROR(__xludf.DUMMYFUNCTION("""COMPUTED_VALUE"""),22.0)</f>
        <v>22</v>
      </c>
      <c r="K6940" s="18">
        <f>IFERROR(__xludf.DUMMYFUNCTION("""COMPUTED_VALUE"""),33.0)</f>
        <v>33</v>
      </c>
      <c r="L6940" s="17">
        <f>IFERROR(__xludf.DUMMYFUNCTION("""COMPUTED_VALUE"""),3.153094127E9)</f>
        <v>3153094127</v>
      </c>
      <c r="M6940" s="17" t="str">
        <f>IFERROR(__xludf.DUMMYFUNCTION("""COMPUTED_VALUE"""),"#REF!")</f>
        <v>#REF!</v>
      </c>
      <c r="N6940" s="17"/>
      <c r="O6940" s="17"/>
      <c r="P6940" s="17" t="b">
        <f>IFERROR(__xludf.DUMMYFUNCTION("""COMPUTED_VALUE"""),FALSE)</f>
        <v>0</v>
      </c>
      <c r="Q6940" s="20" t="str">
        <f>IFERROR(__xludf.DUMMYFUNCTION("""COMPUTED_VALUE"""),"")</f>
        <v/>
      </c>
      <c r="R6940" s="22" t="str">
        <f>IFERROR(__xludf.DUMMYFUNCTION("""COMPUTED_VALUE"""),"")</f>
        <v/>
      </c>
    </row>
    <row r="6941">
      <c r="A6941" s="15">
        <f>IFERROR(__xludf.DUMMYFUNCTION("""COMPUTED_VALUE"""),45196.0)</f>
        <v>45196</v>
      </c>
      <c r="B6941" s="16" t="str">
        <f>IFERROR(__xludf.DUMMYFUNCTION("""COMPUTED_VALUE"""),"Jeison Rubiano")</f>
        <v>Jeison Rubiano</v>
      </c>
      <c r="C6941" s="15" t="str">
        <f>IFERROR(__xludf.DUMMYFUNCTION("""COMPUTED_VALUE"""),"BOGOTÁ")</f>
        <v>BOGOTÁ</v>
      </c>
      <c r="D6941" s="15" t="str">
        <f>IFERROR(__xludf.DUMMYFUNCTION("""COMPUTED_VALUE"""),"MEDELLÍN")</f>
        <v>MEDELLÍN</v>
      </c>
      <c r="E6941" s="15" t="str">
        <f>IFERROR(__xludf.DUMMYFUNCTION("""COMPUTED_VALUE"""),"Felicidad Bakery Bogotá")</f>
        <v>Felicidad Bakery Bogotá</v>
      </c>
      <c r="F6941" s="17" t="str">
        <f>IFERROR(__xludf.DUMMYFUNCTION("""COMPUTED_VALUE"""),"Calle 92 #15-62 / Local 103 / Ed centro chico")</f>
        <v>Calle 92 #15-62 / Local 103 / Ed centro chico</v>
      </c>
      <c r="G6941" s="15" t="str">
        <f>IFERROR(__xludf.DUMMYFUNCTION("""COMPUTED_VALUE"""),"Camilo hernandez")</f>
        <v>Camilo hernandez</v>
      </c>
      <c r="H6941" s="16">
        <f>IFERROR(__xludf.DUMMYFUNCTION("""COMPUTED_VALUE"""),15651.0)</f>
        <v>15651</v>
      </c>
      <c r="I6941" s="18">
        <f>IFERROR(__xludf.DUMMYFUNCTION("""COMPUTED_VALUE"""),1.0)</f>
        <v>1</v>
      </c>
      <c r="J6941" s="18">
        <f>IFERROR(__xludf.DUMMYFUNCTION("""COMPUTED_VALUE"""),1.0)</f>
        <v>1</v>
      </c>
      <c r="K6941" s="18">
        <f>IFERROR(__xludf.DUMMYFUNCTION("""COMPUTED_VALUE"""),1.0)</f>
        <v>1</v>
      </c>
      <c r="L6941" s="17">
        <f>IFERROR(__xludf.DUMMYFUNCTION("""COMPUTED_VALUE"""),3.013527163E9)</f>
        <v>3013527163</v>
      </c>
      <c r="M6941" s="17" t="str">
        <f>IFERROR(__xludf.DUMMYFUNCTION("""COMPUTED_VALUE"""),"#REF!")</f>
        <v>#REF!</v>
      </c>
      <c r="N6941" s="17"/>
      <c r="O6941" s="17"/>
      <c r="P6941" s="17" t="b">
        <f>IFERROR(__xludf.DUMMYFUNCTION("""COMPUTED_VALUE"""),TRUE)</f>
        <v>1</v>
      </c>
      <c r="Q6941" s="20">
        <f>IFERROR(__xludf.DUMMYFUNCTION("""COMPUTED_VALUE"""),45197.56452951389)</f>
        <v>45197.56453</v>
      </c>
      <c r="R6941" s="22" t="str">
        <f>IFERROR(__xludf.DUMMYFUNCTION("""COMPUTED_VALUE"""),"")</f>
        <v/>
      </c>
    </row>
    <row r="6942">
      <c r="A6942" s="15">
        <f>IFERROR(__xludf.DUMMYFUNCTION("""COMPUTED_VALUE"""),45196.0)</f>
        <v>45196</v>
      </c>
      <c r="B6942" s="16" t="str">
        <f>IFERROR(__xludf.DUMMYFUNCTION("""COMPUTED_VALUE"""),"Jeison Rubiano")</f>
        <v>Jeison Rubiano</v>
      </c>
      <c r="C6942" s="15" t="str">
        <f>IFERROR(__xludf.DUMMYFUNCTION("""COMPUTED_VALUE"""),"BOGOTÁ")</f>
        <v>BOGOTÁ</v>
      </c>
      <c r="D6942" s="15" t="str">
        <f>IFERROR(__xludf.DUMMYFUNCTION("""COMPUTED_VALUE"""),"MEDELLÍN")</f>
        <v>MEDELLÍN</v>
      </c>
      <c r="E6942" s="15" t="str">
        <f>IFERROR(__xludf.DUMMYFUNCTION("""COMPUTED_VALUE"""),"Lácteos El Pino SAS")</f>
        <v>Lácteos El Pino SAS</v>
      </c>
      <c r="F6942" s="17" t="str">
        <f>IFERROR(__xludf.DUMMYFUNCTION("""COMPUTED_VALUE"""),"CALLE 93# 18 -81 / ENTREGAR EN EL LOCAL")</f>
        <v>CALLE 93# 18 -81 / ENTREGAR EN EL LOCAL</v>
      </c>
      <c r="G6942" s="15" t="str">
        <f>IFERROR(__xludf.DUMMYFUNCTION("""COMPUTED_VALUE"""),"KIM")</f>
        <v>KIM</v>
      </c>
      <c r="H6942" s="16">
        <f>IFERROR(__xludf.DUMMYFUNCTION("""COMPUTED_VALUE"""),15645.0)</f>
        <v>15645</v>
      </c>
      <c r="I6942" s="18">
        <f>IFERROR(__xludf.DUMMYFUNCTION("""COMPUTED_VALUE"""),33.0)</f>
        <v>33</v>
      </c>
      <c r="J6942" s="18">
        <f>IFERROR(__xludf.DUMMYFUNCTION("""COMPUTED_VALUE"""),22.0)</f>
        <v>22</v>
      </c>
      <c r="K6942" s="18">
        <f>IFERROR(__xludf.DUMMYFUNCTION("""COMPUTED_VALUE"""),36.0)</f>
        <v>36</v>
      </c>
      <c r="L6942" s="17">
        <f>IFERROR(__xludf.DUMMYFUNCTION("""COMPUTED_VALUE"""),3.24566062E9)</f>
        <v>3245660620</v>
      </c>
      <c r="M6942" s="17" t="str">
        <f>IFERROR(__xludf.DUMMYFUNCTION("""COMPUTED_VALUE"""),"#REF!")</f>
        <v>#REF!</v>
      </c>
      <c r="N6942" s="17"/>
      <c r="O6942" s="17"/>
      <c r="P6942" s="17" t="b">
        <f>IFERROR(__xludf.DUMMYFUNCTION("""COMPUTED_VALUE"""),TRUE)</f>
        <v>1</v>
      </c>
      <c r="Q6942" s="20">
        <f>IFERROR(__xludf.DUMMYFUNCTION("""COMPUTED_VALUE"""),45197.56452951389)</f>
        <v>45197.56453</v>
      </c>
      <c r="R6942" s="22" t="str">
        <f>IFERROR(__xludf.DUMMYFUNCTION("""COMPUTED_VALUE"""),"")</f>
        <v/>
      </c>
    </row>
    <row r="6943">
      <c r="A6943" s="15">
        <f>IFERROR(__xludf.DUMMYFUNCTION("""COMPUTED_VALUE"""),45196.0)</f>
        <v>45196</v>
      </c>
      <c r="B6943" s="16" t="str">
        <f>IFERROR(__xludf.DUMMYFUNCTION("""COMPUTED_VALUE"""),"Jeison Rubiano")</f>
        <v>Jeison Rubiano</v>
      </c>
      <c r="C6943" s="15" t="str">
        <f>IFERROR(__xludf.DUMMYFUNCTION("""COMPUTED_VALUE"""),"BOGOTÁ")</f>
        <v>BOGOTÁ</v>
      </c>
      <c r="D6943" s="15" t="str">
        <f>IFERROR(__xludf.DUMMYFUNCTION("""COMPUTED_VALUE"""),"MEDELLÍN")</f>
        <v>MEDELLÍN</v>
      </c>
      <c r="E6943" s="15" t="str">
        <f>IFERROR(__xludf.DUMMYFUNCTION("""COMPUTED_VALUE"""),"Moloso S.A.S")</f>
        <v>Moloso S.A.S</v>
      </c>
      <c r="F6943" s="17" t="str">
        <f>IFERROR(__xludf.DUMMYFUNCTION("""COMPUTED_VALUE"""),"CL 23C 69B 56 TORRE 4 APT 804 CONJUNTO ALBORARIA / CONJUNTO ALBORARIA")</f>
        <v>CL 23C 69B 56 TORRE 4 APT 804 CONJUNTO ALBORARIA / CONJUNTO ALBORARIA</v>
      </c>
      <c r="G6943" s="15" t="str">
        <f>IFERROR(__xludf.DUMMYFUNCTION("""COMPUTED_VALUE"""),"CLAUDIA LILIANA SANCHEZ FINO")</f>
        <v>CLAUDIA LILIANA SANCHEZ FINO</v>
      </c>
      <c r="H6943" s="16">
        <f>IFERROR(__xludf.DUMMYFUNCTION("""COMPUTED_VALUE"""),15653.0)</f>
        <v>15653</v>
      </c>
      <c r="I6943" s="18">
        <f>IFERROR(__xludf.DUMMYFUNCTION("""COMPUTED_VALUE"""),17.0)</f>
        <v>17</v>
      </c>
      <c r="J6943" s="18">
        <f>IFERROR(__xludf.DUMMYFUNCTION("""COMPUTED_VALUE"""),15.0)</f>
        <v>15</v>
      </c>
      <c r="K6943" s="18">
        <f>IFERROR(__xludf.DUMMYFUNCTION("""COMPUTED_VALUE"""),28.0)</f>
        <v>28</v>
      </c>
      <c r="L6943" s="17" t="str">
        <f>IFERROR(__xludf.DUMMYFUNCTION("""COMPUTED_VALUE"""),"313 2626232")</f>
        <v>313 2626232</v>
      </c>
      <c r="M6943" s="17" t="str">
        <f>IFERROR(__xludf.DUMMYFUNCTION("""COMPUTED_VALUE"""),"#REF!")</f>
        <v>#REF!</v>
      </c>
      <c r="N6943" s="17"/>
      <c r="O6943" s="17"/>
      <c r="P6943" s="17" t="b">
        <f>IFERROR(__xludf.DUMMYFUNCTION("""COMPUTED_VALUE"""),TRUE)</f>
        <v>1</v>
      </c>
      <c r="Q6943" s="20">
        <f>IFERROR(__xludf.DUMMYFUNCTION("""COMPUTED_VALUE"""),45197.56452951389)</f>
        <v>45197.56453</v>
      </c>
      <c r="R6943" s="21" t="str">
        <f>IFERROR(__xludf.DUMMYFUNCTION("""COMPUTED_VALUE"""),"https://drive.google.com/file/d/1pyPzOckfv-gxz5xYloYUcqrI-RXtVCKO/view?usp=drivesdk")</f>
        <v>https://drive.google.com/file/d/1pyPzOckfv-gxz5xYloYUcqrI-RXtVCKO/view?usp=drivesdk</v>
      </c>
    </row>
    <row r="6944">
      <c r="A6944" s="15">
        <f>IFERROR(__xludf.DUMMYFUNCTION("""COMPUTED_VALUE"""),45196.0)</f>
        <v>45196</v>
      </c>
      <c r="B6944" s="16" t="str">
        <f>IFERROR(__xludf.DUMMYFUNCTION("""COMPUTED_VALUE"""),"Jeison Rubiano")</f>
        <v>Jeison Rubiano</v>
      </c>
      <c r="C6944" s="15" t="str">
        <f>IFERROR(__xludf.DUMMYFUNCTION("""COMPUTED_VALUE"""),"MONTERIA")</f>
        <v>MONTERIA</v>
      </c>
      <c r="D6944" s="15" t="str">
        <f>IFERROR(__xludf.DUMMYFUNCTION("""COMPUTED_VALUE"""),"MEDELLÍN")</f>
        <v>MEDELLÍN</v>
      </c>
      <c r="E6944" s="15" t="str">
        <f>IFERROR(__xludf.DUMMYFUNCTION("""COMPUTED_VALUE"""),"Rambla")</f>
        <v>Rambla</v>
      </c>
      <c r="F6944" s="17" t="str">
        <f>IFERROR(__xludf.DUMMYFUNCTION("""COMPUTED_VALUE"""),"centro comercial place mall cra 6 #65-24 local: 18 barrio castellana / - / -")</f>
        <v>centro comercial place mall cra 6 #65-24 local: 18 barrio castellana / - / -</v>
      </c>
      <c r="G6944" s="15" t="str">
        <f>IFERROR(__xludf.DUMMYFUNCTION("""COMPUTED_VALUE"""),"Amate")</f>
        <v>Amate</v>
      </c>
      <c r="H6944" s="16">
        <f>IFERROR(__xludf.DUMMYFUNCTION("""COMPUTED_VALUE"""),15671.0)</f>
        <v>15671</v>
      </c>
      <c r="I6944" s="18">
        <f>IFERROR(__xludf.DUMMYFUNCTION("""COMPUTED_VALUE"""),24.0)</f>
        <v>24</v>
      </c>
      <c r="J6944" s="18">
        <f>IFERROR(__xludf.DUMMYFUNCTION("""COMPUTED_VALUE"""),20.0)</f>
        <v>20</v>
      </c>
      <c r="K6944" s="18">
        <f>IFERROR(__xludf.DUMMYFUNCTION("""COMPUTED_VALUE"""),20.0)</f>
        <v>20</v>
      </c>
      <c r="L6944" s="17">
        <f>IFERROR(__xludf.DUMMYFUNCTION("""COMPUTED_VALUE"""),3.005102494E9)</f>
        <v>3005102494</v>
      </c>
      <c r="M6944" s="17" t="str">
        <f>IFERROR(__xludf.DUMMYFUNCTION("""COMPUTED_VALUE"""),"#REF!")</f>
        <v>#REF!</v>
      </c>
      <c r="N6944" s="17"/>
      <c r="O6944" s="17"/>
      <c r="P6944" s="17" t="b">
        <f>IFERROR(__xludf.DUMMYFUNCTION("""COMPUTED_VALUE"""),FALSE)</f>
        <v>0</v>
      </c>
      <c r="Q6944" s="20" t="str">
        <f>IFERROR(__xludf.DUMMYFUNCTION("""COMPUTED_VALUE"""),"")</f>
        <v/>
      </c>
      <c r="R6944" s="21" t="str">
        <f>IFERROR(__xludf.DUMMYFUNCTION("""COMPUTED_VALUE"""),"https://drive.google.com/file/d/12zUBGaEO4FuH2Ks-P9hgBm-b_6Z8KvcO/view?usp=drivesdk")</f>
        <v>https://drive.google.com/file/d/12zUBGaEO4FuH2Ks-P9hgBm-b_6Z8KvcO/view?usp=drivesdk</v>
      </c>
    </row>
    <row r="6945">
      <c r="A6945" s="17" t="str">
        <f>IFERROR(__xludf.DUMMYFUNCTION("""COMPUTED_VALUE"""),"")</f>
        <v/>
      </c>
      <c r="B6945" s="17" t="str">
        <f>IFERROR(__xludf.DUMMYFUNCTION("""COMPUTED_VALUE"""),"")</f>
        <v/>
      </c>
      <c r="C6945" s="17" t="str">
        <f>IFERROR(__xludf.DUMMYFUNCTION("""COMPUTED_VALUE"""),"")</f>
        <v/>
      </c>
      <c r="D6945" s="17" t="str">
        <f>IFERROR(__xludf.DUMMYFUNCTION("""COMPUTED_VALUE"""),"")</f>
        <v/>
      </c>
      <c r="E6945" s="17" t="str">
        <f>IFERROR(__xludf.DUMMYFUNCTION("""COMPUTED_VALUE"""),"")</f>
        <v/>
      </c>
      <c r="F6945" s="17" t="str">
        <f>IFERROR(__xludf.DUMMYFUNCTION("""COMPUTED_VALUE"""),"")</f>
        <v/>
      </c>
      <c r="G6945" s="17" t="str">
        <f>IFERROR(__xludf.DUMMYFUNCTION("""COMPUTED_VALUE"""),"")</f>
        <v/>
      </c>
      <c r="H6945" s="17" t="str">
        <f>IFERROR(__xludf.DUMMYFUNCTION("""COMPUTED_VALUE"""),"")</f>
        <v/>
      </c>
      <c r="I6945" s="17" t="str">
        <f>IFERROR(__xludf.DUMMYFUNCTION("""COMPUTED_VALUE"""),"")</f>
        <v/>
      </c>
      <c r="J6945" s="17" t="str">
        <f>IFERROR(__xludf.DUMMYFUNCTION("""COMPUTED_VALUE"""),"")</f>
        <v/>
      </c>
      <c r="K6945" s="17" t="str">
        <f>IFERROR(__xludf.DUMMYFUNCTION("""COMPUTED_VALUE"""),"")</f>
        <v/>
      </c>
      <c r="L6945" s="17" t="str">
        <f>IFERROR(__xludf.DUMMYFUNCTION("""COMPUTED_VALUE"""),"")</f>
        <v/>
      </c>
      <c r="M6945" s="17" t="str">
        <f>IFERROR(__xludf.DUMMYFUNCTION("""COMPUTED_VALUE"""),"")</f>
        <v/>
      </c>
      <c r="N6945" s="17" t="str">
        <f>IFERROR(__xludf.DUMMYFUNCTION("""COMPUTED_VALUE"""),"")</f>
        <v/>
      </c>
      <c r="O6945" s="17" t="str">
        <f>IFERROR(__xludf.DUMMYFUNCTION("""COMPUTED_VALUE"""),"")</f>
        <v/>
      </c>
      <c r="P6945" s="17" t="str">
        <f>IFERROR(__xludf.DUMMYFUNCTION("""COMPUTED_VALUE"""),"")</f>
        <v/>
      </c>
      <c r="Q6945" s="17" t="str">
        <f>IFERROR(__xludf.DUMMYFUNCTION("""COMPUTED_VALUE"""),"")</f>
        <v/>
      </c>
      <c r="R6945" s="17" t="str">
        <f>IFERROR(__xludf.DUMMYFUNCTION("""COMPUTED_VALUE"""),"")</f>
        <v/>
      </c>
    </row>
    <row r="6946">
      <c r="A6946" s="15">
        <f>IFERROR(__xludf.DUMMYFUNCTION("""COMPUTED_VALUE"""),45196.0)</f>
        <v>45196</v>
      </c>
      <c r="B6946" s="16" t="str">
        <f>IFERROR(__xludf.DUMMYFUNCTION("""COMPUTED_VALUE"""),"Johan Alexander Escobar Arroyo ")</f>
        <v>Johan Alexander Escobar Arroyo </v>
      </c>
      <c r="C6946" s="15" t="str">
        <f>IFERROR(__xludf.DUMMYFUNCTION("""COMPUTED_VALUE"""),"CALI")</f>
        <v>CALI</v>
      </c>
      <c r="D6946" s="15" t="str">
        <f>IFERROR(__xludf.DUMMYFUNCTION("""COMPUTED_VALUE"""),"MEDELLÍN")</f>
        <v>MEDELLÍN</v>
      </c>
      <c r="E6946" s="15" t="str">
        <f>IFERROR(__xludf.DUMMYFUNCTION("""COMPUTED_VALUE"""),"AREPAS LA MARY")</f>
        <v>AREPAS LA MARY</v>
      </c>
      <c r="F6946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6946" s="15" t="str">
        <f>IFERROR(__xludf.DUMMYFUNCTION("""COMPUTED_VALUE"""),"VITALFINESS CALI")</f>
        <v>VITALFINESS CALI</v>
      </c>
      <c r="H6946" s="16">
        <f>IFERROR(__xludf.DUMMYFUNCTION("""COMPUTED_VALUE"""),15643.0)</f>
        <v>15643</v>
      </c>
      <c r="I6946" s="18">
        <f>IFERROR(__xludf.DUMMYFUNCTION("""COMPUTED_VALUE"""),89.0)</f>
        <v>89</v>
      </c>
      <c r="J6946" s="18">
        <f>IFERROR(__xludf.DUMMYFUNCTION("""COMPUTED_VALUE"""),1.0)</f>
        <v>1</v>
      </c>
      <c r="K6946" s="18">
        <f>IFERROR(__xludf.DUMMYFUNCTION("""COMPUTED_VALUE"""),10.0)</f>
        <v>10</v>
      </c>
      <c r="L6946" s="17">
        <f>IFERROR(__xludf.DUMMYFUNCTION("""COMPUTED_VALUE"""),3.226925759E9)</f>
        <v>3226925759</v>
      </c>
      <c r="M6946" s="17" t="str">
        <f>IFERROR(__xludf.DUMMYFUNCTION("""COMPUTED_VALUE"""),"#REF!")</f>
        <v>#REF!</v>
      </c>
      <c r="N6946" s="17"/>
      <c r="O6946" s="17"/>
      <c r="P6946" s="17" t="b">
        <f>IFERROR(__xludf.DUMMYFUNCTION("""COMPUTED_VALUE"""),FALSE)</f>
        <v>0</v>
      </c>
      <c r="Q6946" s="20" t="str">
        <f>IFERROR(__xludf.DUMMYFUNCTION("""COMPUTED_VALUE"""),"")</f>
        <v/>
      </c>
      <c r="R6946" s="22" t="str">
        <f>IFERROR(__xludf.DUMMYFUNCTION("""COMPUTED_VALUE"""),"")</f>
        <v/>
      </c>
    </row>
    <row r="6947">
      <c r="A6947" s="15">
        <f>IFERROR(__xludf.DUMMYFUNCTION("""COMPUTED_VALUE"""),45196.0)</f>
        <v>45196</v>
      </c>
      <c r="B6947" s="16" t="str">
        <f>IFERROR(__xludf.DUMMYFUNCTION("""COMPUTED_VALUE"""),"Johan Alexander Escobar Arroyo ")</f>
        <v>Johan Alexander Escobar Arroyo </v>
      </c>
      <c r="C6947" s="15" t="str">
        <f>IFERROR(__xludf.DUMMYFUNCTION("""COMPUTED_VALUE"""),"CALI")</f>
        <v>CALI</v>
      </c>
      <c r="D6947" s="15" t="str">
        <f>IFERROR(__xludf.DUMMYFUNCTION("""COMPUTED_VALUE"""),"MEDELLÍN")</f>
        <v>MEDELLÍN</v>
      </c>
      <c r="E6947" s="15" t="str">
        <f>IFERROR(__xludf.DUMMYFUNCTION("""COMPUTED_VALUE"""),"AREPAS LA MARY")</f>
        <v>AREPAS LA MARY</v>
      </c>
      <c r="F6947" s="17" t="str">
        <f>IFERROR(__xludf.DUMMYFUNCTION("""COMPUTED_VALUE"""),"Calle 3 63 -34 apto 202 bloq 6")</f>
        <v>Calle 3 63 -34 apto 202 bloq 6</v>
      </c>
      <c r="G6947" s="15" t="str">
        <f>IFERROR(__xludf.DUMMYFUNCTION("""COMPUTED_VALUE"""),"YEFERSON ANDRES LERMA")</f>
        <v>YEFERSON ANDRES LERMA</v>
      </c>
      <c r="H6947" s="16">
        <f>IFERROR(__xludf.DUMMYFUNCTION("""COMPUTED_VALUE"""),15655.0)</f>
        <v>15655</v>
      </c>
      <c r="I6947" s="18">
        <f>IFERROR(__xludf.DUMMYFUNCTION("""COMPUTED_VALUE"""),89.0)</f>
        <v>89</v>
      </c>
      <c r="J6947" s="18">
        <f>IFERROR(__xludf.DUMMYFUNCTION("""COMPUTED_VALUE"""),1.0)</f>
        <v>1</v>
      </c>
      <c r="K6947" s="18">
        <f>IFERROR(__xludf.DUMMYFUNCTION("""COMPUTED_VALUE"""),10.0)</f>
        <v>10</v>
      </c>
      <c r="L6947" s="17">
        <f>IFERROR(__xludf.DUMMYFUNCTION("""COMPUTED_VALUE"""),3.045237806E9)</f>
        <v>3045237806</v>
      </c>
      <c r="M6947" s="17" t="str">
        <f>IFERROR(__xludf.DUMMYFUNCTION("""COMPUTED_VALUE"""),"#REF!")</f>
        <v>#REF!</v>
      </c>
      <c r="N6947" s="17"/>
      <c r="O6947" s="17"/>
      <c r="P6947" s="17" t="b">
        <f>IFERROR(__xludf.DUMMYFUNCTION("""COMPUTED_VALUE"""),FALSE)</f>
        <v>0</v>
      </c>
      <c r="Q6947" s="20" t="str">
        <f>IFERROR(__xludf.DUMMYFUNCTION("""COMPUTED_VALUE"""),"")</f>
        <v/>
      </c>
      <c r="R6947" s="21" t="str">
        <f>IFERROR(__xludf.DUMMYFUNCTION("""COMPUTED_VALUE"""),"https://drive.google.com/file/d/1Dt5o5PXLR7QdMg7DW0Zw4xkLE-3T0FLk/view?usp=drivesdk")</f>
        <v>https://drive.google.com/file/d/1Dt5o5PXLR7QdMg7DW0Zw4xkLE-3T0FLk/view?usp=drivesdk</v>
      </c>
    </row>
    <row r="6948">
      <c r="A6948" s="15">
        <f>IFERROR(__xludf.DUMMYFUNCTION("""COMPUTED_VALUE"""),45196.0)</f>
        <v>45196</v>
      </c>
      <c r="B6948" s="16" t="str">
        <f>IFERROR(__xludf.DUMMYFUNCTION("""COMPUTED_VALUE"""),"Johan Alexander Escobar Arroyo ")</f>
        <v>Johan Alexander Escobar Arroyo </v>
      </c>
      <c r="C6948" s="15" t="str">
        <f>IFERROR(__xludf.DUMMYFUNCTION("""COMPUTED_VALUE"""),"CALI")</f>
        <v>CALI</v>
      </c>
      <c r="D6948" s="15" t="str">
        <f>IFERROR(__xludf.DUMMYFUNCTION("""COMPUTED_VALUE"""),"MEDELLÍN")</f>
        <v>MEDELLÍN</v>
      </c>
      <c r="E6948" s="15" t="str">
        <f>IFERROR(__xludf.DUMMYFUNCTION("""COMPUTED_VALUE"""),"Baby Chef")</f>
        <v>Baby Chef</v>
      </c>
      <c r="F6948" s="17" t="str">
        <f>IFERROR(__xludf.DUMMYFUNCTION("""COMPUTED_VALUE"""),"Carrera 103 # 11-40 Sendero del Polo Club casa P1 / ""Carrera 103 # 11-40 Sendero del Polo Club casa P1"" / ""Carrera 103 # 11-40 Sendero del Polo Club casa P1""")</f>
        <v>Carrera 103 # 11-40 Sendero del Polo Club casa P1 / "Carrera 103 # 11-40 Sendero del Polo Club casa P1" / "Carrera 103 # 11-40 Sendero del Polo Club casa P1"</v>
      </c>
      <c r="G6948" s="15" t="str">
        <f>IFERROR(__xludf.DUMMYFUNCTION("""COMPUTED_VALUE"""),"Johanna Rojas")</f>
        <v>Johanna Rojas</v>
      </c>
      <c r="H6948" s="16">
        <f>IFERROR(__xludf.DUMMYFUNCTION("""COMPUTED_VALUE"""),15665.0)</f>
        <v>15665</v>
      </c>
      <c r="I6948" s="18">
        <f>IFERROR(__xludf.DUMMYFUNCTION("""COMPUTED_VALUE"""),5.0)</f>
        <v>5</v>
      </c>
      <c r="J6948" s="18">
        <f>IFERROR(__xludf.DUMMYFUNCTION("""COMPUTED_VALUE"""),21.0)</f>
        <v>21</v>
      </c>
      <c r="K6948" s="18">
        <f>IFERROR(__xludf.DUMMYFUNCTION("""COMPUTED_VALUE"""),25.0)</f>
        <v>25</v>
      </c>
      <c r="L6948" s="17">
        <f>IFERROR(__xludf.DUMMYFUNCTION("""COMPUTED_VALUE"""),3.183307191E9)</f>
        <v>3183307191</v>
      </c>
      <c r="M6948" s="17" t="str">
        <f>IFERROR(__xludf.DUMMYFUNCTION("""COMPUTED_VALUE"""),"#REF!")</f>
        <v>#REF!</v>
      </c>
      <c r="N6948" s="17"/>
      <c r="O6948" s="17"/>
      <c r="P6948" s="17" t="b">
        <f>IFERROR(__xludf.DUMMYFUNCTION("""COMPUTED_VALUE"""),TRUE)</f>
        <v>1</v>
      </c>
      <c r="Q6948" s="20">
        <f>IFERROR(__xludf.DUMMYFUNCTION("""COMPUTED_VALUE"""),45197.709408738425)</f>
        <v>45197.70941</v>
      </c>
      <c r="R6948" s="21" t="str">
        <f>IFERROR(__xludf.DUMMYFUNCTION("""COMPUTED_VALUE"""),"https://drive.google.com/file/d/1yobrb57CNxsYxWXvJWMN0gI0LAbT_d8H/view?usp=drivesdk")</f>
        <v>https://drive.google.com/file/d/1yobrb57CNxsYxWXvJWMN0gI0LAbT_d8H/view?usp=drivesdk</v>
      </c>
    </row>
    <row r="6949">
      <c r="A6949" s="15">
        <f>IFERROR(__xludf.DUMMYFUNCTION("""COMPUTED_VALUE"""),45196.0)</f>
        <v>45196</v>
      </c>
      <c r="B6949" s="16" t="str">
        <f>IFERROR(__xludf.DUMMYFUNCTION("""COMPUTED_VALUE"""),"Johan Alexander Escobar Arroyo ")</f>
        <v>Johan Alexander Escobar Arroyo </v>
      </c>
      <c r="C6949" s="15" t="str">
        <f>IFERROR(__xludf.DUMMYFUNCTION("""COMPUTED_VALUE"""),"CALI")</f>
        <v>CALI</v>
      </c>
      <c r="D6949" s="15" t="str">
        <f>IFERROR(__xludf.DUMMYFUNCTION("""COMPUTED_VALUE"""),"MEDELLÍN")</f>
        <v>MEDELLÍN</v>
      </c>
      <c r="E6949" s="15" t="str">
        <f>IFERROR(__xludf.DUMMYFUNCTION("""COMPUTED_VALUE"""),"Baby Chef")</f>
        <v>Baby Chef</v>
      </c>
      <c r="F6949" s="17" t="str">
        <f>IFERROR(__xludf.DUMMYFUNCTION("""COMPUTED_VALUE"""),"Carrera 122 # 5-18 Apto 702b Reserva Campestre / ""Carrera 122 # 5-18 Apto 702b Reserva Campestre"" / ""Carrera 122 # 5-18 Apto 702b Reserva Campestre""")</f>
        <v>Carrera 122 # 5-18 Apto 702b Reserva Campestre / "Carrera 122 # 5-18 Apto 702b Reserva Campestre" / "Carrera 122 # 5-18 Apto 702b Reserva Campestre"</v>
      </c>
      <c r="G6949" s="15" t="str">
        <f>IFERROR(__xludf.DUMMYFUNCTION("""COMPUTED_VALUE"""),"Susana Vallejo Villegas")</f>
        <v>Susana Vallejo Villegas</v>
      </c>
      <c r="H6949" s="16">
        <f>IFERROR(__xludf.DUMMYFUNCTION("""COMPUTED_VALUE"""),15666.0)</f>
        <v>15666</v>
      </c>
      <c r="I6949" s="18">
        <f>IFERROR(__xludf.DUMMYFUNCTION("""COMPUTED_VALUE"""),7.0)</f>
        <v>7</v>
      </c>
      <c r="J6949" s="18">
        <f>IFERROR(__xludf.DUMMYFUNCTION("""COMPUTED_VALUE"""),34.0)</f>
        <v>34</v>
      </c>
      <c r="K6949" s="18">
        <f>IFERROR(__xludf.DUMMYFUNCTION("""COMPUTED_VALUE"""),42.0)</f>
        <v>42</v>
      </c>
      <c r="L6949" s="17">
        <f>IFERROR(__xludf.DUMMYFUNCTION("""COMPUTED_VALUE"""),3.183901226E9)</f>
        <v>3183901226</v>
      </c>
      <c r="M6949" s="17" t="str">
        <f>IFERROR(__xludf.DUMMYFUNCTION("""COMPUTED_VALUE"""),"#REF!")</f>
        <v>#REF!</v>
      </c>
      <c r="N6949" s="17"/>
      <c r="O6949" s="17"/>
      <c r="P6949" s="17" t="b">
        <f>IFERROR(__xludf.DUMMYFUNCTION("""COMPUTED_VALUE"""),TRUE)</f>
        <v>1</v>
      </c>
      <c r="Q6949" s="20">
        <f>IFERROR(__xludf.DUMMYFUNCTION("""COMPUTED_VALUE"""),45197.71209269676)</f>
        <v>45197.71209</v>
      </c>
      <c r="R6949" s="21" t="str">
        <f>IFERROR(__xludf.DUMMYFUNCTION("""COMPUTED_VALUE"""),"https://drive.google.com/file/d/1S5qpF1YCwNaJdiLgztFNxQH3eu6jso-O/view?usp=drivesdk")</f>
        <v>https://drive.google.com/file/d/1S5qpF1YCwNaJdiLgztFNxQH3eu6jso-O/view?usp=drivesdk</v>
      </c>
    </row>
    <row r="6950">
      <c r="A6950" s="15">
        <f>IFERROR(__xludf.DUMMYFUNCTION("""COMPUTED_VALUE"""),45196.0)</f>
        <v>45196</v>
      </c>
      <c r="B6950" s="16" t="str">
        <f>IFERROR(__xludf.DUMMYFUNCTION("""COMPUTED_VALUE"""),"Johan Alexander Escobar Arroyo ")</f>
        <v>Johan Alexander Escobar Arroyo </v>
      </c>
      <c r="C6950" s="15" t="str">
        <f>IFERROR(__xludf.DUMMYFUNCTION("""COMPUTED_VALUE"""),"SINCELEJO")</f>
        <v>SINCELEJO</v>
      </c>
      <c r="D6950" s="15" t="str">
        <f>IFERROR(__xludf.DUMMYFUNCTION("""COMPUTED_VALUE"""),"MEDELLÍN")</f>
        <v>MEDELLÍN</v>
      </c>
      <c r="E6950" s="15" t="str">
        <f>IFERROR(__xludf.DUMMYFUNCTION("""COMPUTED_VALUE"""),"Rambla")</f>
        <v>Rambla</v>
      </c>
      <c r="F6950" s="17" t="str">
        <f>IFERROR(__xludf.DUMMYFUNCTION("""COMPUTED_VALUE"""),"calle 32 #33 -119 local 101 cc living mall brr vene / - / -")</f>
        <v>calle 32 #33 -119 local 101 cc living mall brr vene / - / -</v>
      </c>
      <c r="G6950" s="15" t="str">
        <f>IFERROR(__xludf.DUMMYFUNCTION("""COMPUTED_VALUE"""),"Oliva")</f>
        <v>Oliva</v>
      </c>
      <c r="H6950" s="16">
        <f>IFERROR(__xludf.DUMMYFUNCTION("""COMPUTED_VALUE"""),15673.0)</f>
        <v>15673</v>
      </c>
      <c r="I6950" s="18">
        <f>IFERROR(__xludf.DUMMYFUNCTION("""COMPUTED_VALUE"""),28.0)</f>
        <v>28</v>
      </c>
      <c r="J6950" s="18">
        <f>IFERROR(__xludf.DUMMYFUNCTION("""COMPUTED_VALUE"""),25.0)</f>
        <v>25</v>
      </c>
      <c r="K6950" s="18">
        <f>IFERROR(__xludf.DUMMYFUNCTION("""COMPUTED_VALUE"""),24.0)</f>
        <v>24</v>
      </c>
      <c r="L6950" s="17">
        <f>IFERROR(__xludf.DUMMYFUNCTION("""COMPUTED_VALUE"""),3.022293728E9)</f>
        <v>3022293728</v>
      </c>
      <c r="M6950" s="17" t="str">
        <f>IFERROR(__xludf.DUMMYFUNCTION("""COMPUTED_VALUE"""),"#REF!")</f>
        <v>#REF!</v>
      </c>
      <c r="N6950" s="17"/>
      <c r="O6950" s="17"/>
      <c r="P6950" s="17" t="b">
        <f>IFERROR(__xludf.DUMMYFUNCTION("""COMPUTED_VALUE"""),TRUE)</f>
        <v>1</v>
      </c>
      <c r="Q6950" s="20">
        <f>IFERROR(__xludf.DUMMYFUNCTION("""COMPUTED_VALUE"""),45197.656082002315)</f>
        <v>45197.65608</v>
      </c>
      <c r="R6950" s="22" t="str">
        <f>IFERROR(__xludf.DUMMYFUNCTION("""COMPUTED_VALUE"""),"")</f>
        <v/>
      </c>
    </row>
    <row r="6951">
      <c r="A6951" s="17" t="str">
        <f>IFERROR(__xludf.DUMMYFUNCTION("""COMPUTED_VALUE"""),"")</f>
        <v/>
      </c>
      <c r="B6951" s="17" t="str">
        <f>IFERROR(__xludf.DUMMYFUNCTION("""COMPUTED_VALUE"""),"")</f>
        <v/>
      </c>
      <c r="C6951" s="17" t="str">
        <f>IFERROR(__xludf.DUMMYFUNCTION("""COMPUTED_VALUE"""),"")</f>
        <v/>
      </c>
      <c r="D6951" s="17" t="str">
        <f>IFERROR(__xludf.DUMMYFUNCTION("""COMPUTED_VALUE"""),"")</f>
        <v/>
      </c>
      <c r="E6951" s="17" t="str">
        <f>IFERROR(__xludf.DUMMYFUNCTION("""COMPUTED_VALUE"""),"")</f>
        <v/>
      </c>
      <c r="F6951" s="17" t="str">
        <f>IFERROR(__xludf.DUMMYFUNCTION("""COMPUTED_VALUE"""),"")</f>
        <v/>
      </c>
      <c r="G6951" s="17" t="str">
        <f>IFERROR(__xludf.DUMMYFUNCTION("""COMPUTED_VALUE"""),"")</f>
        <v/>
      </c>
      <c r="H6951" s="17" t="str">
        <f>IFERROR(__xludf.DUMMYFUNCTION("""COMPUTED_VALUE"""),"")</f>
        <v/>
      </c>
      <c r="I6951" s="17" t="str">
        <f>IFERROR(__xludf.DUMMYFUNCTION("""COMPUTED_VALUE"""),"")</f>
        <v/>
      </c>
      <c r="J6951" s="17" t="str">
        <f>IFERROR(__xludf.DUMMYFUNCTION("""COMPUTED_VALUE"""),"")</f>
        <v/>
      </c>
      <c r="K6951" s="17" t="str">
        <f>IFERROR(__xludf.DUMMYFUNCTION("""COMPUTED_VALUE"""),"")</f>
        <v/>
      </c>
      <c r="L6951" s="17" t="str">
        <f>IFERROR(__xludf.DUMMYFUNCTION("""COMPUTED_VALUE"""),"")</f>
        <v/>
      </c>
      <c r="M6951" s="17" t="str">
        <f>IFERROR(__xludf.DUMMYFUNCTION("""COMPUTED_VALUE"""),"")</f>
        <v/>
      </c>
      <c r="N6951" s="17" t="str">
        <f>IFERROR(__xludf.DUMMYFUNCTION("""COMPUTED_VALUE"""),"")</f>
        <v/>
      </c>
      <c r="O6951" s="17" t="str">
        <f>IFERROR(__xludf.DUMMYFUNCTION("""COMPUTED_VALUE"""),"")</f>
        <v/>
      </c>
      <c r="P6951" s="17" t="str">
        <f>IFERROR(__xludf.DUMMYFUNCTION("""COMPUTED_VALUE"""),"")</f>
        <v/>
      </c>
      <c r="Q6951" s="17" t="str">
        <f>IFERROR(__xludf.DUMMYFUNCTION("""COMPUTED_VALUE"""),"")</f>
        <v/>
      </c>
      <c r="R6951" s="17" t="str">
        <f>IFERROR(__xludf.DUMMYFUNCTION("""COMPUTED_VALUE"""),"")</f>
        <v/>
      </c>
    </row>
    <row r="6952">
      <c r="A6952" s="15">
        <f>IFERROR(__xludf.DUMMYFUNCTION("""COMPUTED_VALUE"""),45197.0)</f>
        <v>45197</v>
      </c>
      <c r="B6952" s="16" t="str">
        <f>IFERROR(__xludf.DUMMYFUNCTION("""COMPUTED_VALUE"""),"Angie Daniela Meneses ")</f>
        <v>Angie Daniela Meneses </v>
      </c>
      <c r="C6952" s="15" t="str">
        <f>IFERROR(__xludf.DUMMYFUNCTION("""COMPUTED_VALUE"""),"CARTAGENA")</f>
        <v>CARTAGENA</v>
      </c>
      <c r="D6952" s="15" t="str">
        <f>IFERROR(__xludf.DUMMYFUNCTION("""COMPUTED_VALUE"""),"MEDELLÍN")</f>
        <v>MEDELLÍN</v>
      </c>
      <c r="E6952" s="15" t="str">
        <f>IFERROR(__xludf.DUMMYFUNCTION("""COMPUTED_VALUE"""),"Rambla")</f>
        <v>Rambla</v>
      </c>
      <c r="F6952" s="17" t="str">
        <f>IFERROR(__xludf.DUMMYFUNCTION("""COMPUTED_VALUE"""),"barrio bocagrande  av san martin 9 -161 / - / -")</f>
        <v>barrio bocagrande  av san martin 9 -161 / - / -</v>
      </c>
      <c r="G6952" s="15" t="str">
        <f>IFERROR(__xludf.DUMMYFUNCTION("""COMPUTED_VALUE"""),"Salute")</f>
        <v>Salute</v>
      </c>
      <c r="H6952" s="16">
        <f>IFERROR(__xludf.DUMMYFUNCTION("""COMPUTED_VALUE"""),15668.0)</f>
        <v>15668</v>
      </c>
      <c r="I6952" s="18">
        <f>IFERROR(__xludf.DUMMYFUNCTION("""COMPUTED_VALUE"""),28.0)</f>
        <v>28</v>
      </c>
      <c r="J6952" s="18">
        <f>IFERROR(__xludf.DUMMYFUNCTION("""COMPUTED_VALUE"""),28.0)</f>
        <v>28</v>
      </c>
      <c r="K6952" s="18">
        <f>IFERROR(__xludf.DUMMYFUNCTION("""COMPUTED_VALUE"""),28.0)</f>
        <v>28</v>
      </c>
      <c r="L6952" s="17">
        <f>IFERROR(__xludf.DUMMYFUNCTION("""COMPUTED_VALUE"""),3.205661519E9)</f>
        <v>3205661519</v>
      </c>
      <c r="M6952" s="17" t="str">
        <f>IFERROR(__xludf.DUMMYFUNCTION("""COMPUTED_VALUE"""),"#REF!")</f>
        <v>#REF!</v>
      </c>
      <c r="N6952" s="17"/>
      <c r="O6952" s="17"/>
      <c r="P6952" s="17" t="b">
        <f>IFERROR(__xludf.DUMMYFUNCTION("""COMPUTED_VALUE"""),TRUE)</f>
        <v>1</v>
      </c>
      <c r="Q6952" s="20">
        <f>IFERROR(__xludf.DUMMYFUNCTION("""COMPUTED_VALUE"""),45197.70791895833)</f>
        <v>45197.70792</v>
      </c>
      <c r="R6952" s="21" t="str">
        <f>IFERROR(__xludf.DUMMYFUNCTION("""COMPUTED_VALUE"""),"https://drive.google.com/file/d/1rjVNcQdFx4WcDcIk1QOcvts7Lk23qCpg/view?usp=drivesdk")</f>
        <v>https://drive.google.com/file/d/1rjVNcQdFx4WcDcIk1QOcvts7Lk23qCpg/view?usp=drivesdk</v>
      </c>
    </row>
    <row r="6953">
      <c r="A6953" s="15">
        <f>IFERROR(__xludf.DUMMYFUNCTION("""COMPUTED_VALUE"""),45197.0)</f>
        <v>45197</v>
      </c>
      <c r="B6953" s="16" t="str">
        <f>IFERROR(__xludf.DUMMYFUNCTION("""COMPUTED_VALUE"""),"Angie Daniela Meneses ")</f>
        <v>Angie Daniela Meneses </v>
      </c>
      <c r="C6953" s="15" t="str">
        <f>IFERROR(__xludf.DUMMYFUNCTION("""COMPUTED_VALUE"""),"CARTAGENA")</f>
        <v>CARTAGENA</v>
      </c>
      <c r="D6953" s="15" t="str">
        <f>IFERROR(__xludf.DUMMYFUNCTION("""COMPUTED_VALUE"""),"MEDELLÍN")</f>
        <v>MEDELLÍN</v>
      </c>
      <c r="E6953" s="15" t="str">
        <f>IFERROR(__xludf.DUMMYFUNCTION("""COMPUTED_VALUE"""),"Rambla")</f>
        <v>Rambla</v>
      </c>
      <c r="F6953" s="17" t="str">
        <f>IFERROR(__xludf.DUMMYFUNCTION("""COMPUTED_VALUE"""),"CALLE 6 #20 CC LA ESTANCIA LC 1 10 BRR  CASTILLO GRANDE  / - / -")</f>
        <v>CALLE 6 #20 CC LA ESTANCIA LC 1 10 BRR  CASTILLO GRANDE  / - / -</v>
      </c>
      <c r="G6953" s="15" t="str">
        <f>IFERROR(__xludf.DUMMYFUNCTION("""COMPUTED_VALUE"""),"Cocofit")</f>
        <v>Cocofit</v>
      </c>
      <c r="H6953" s="16">
        <f>IFERROR(__xludf.DUMMYFUNCTION("""COMPUTED_VALUE"""),15672.0)</f>
        <v>15672</v>
      </c>
      <c r="I6953" s="18">
        <f>IFERROR(__xludf.DUMMYFUNCTION("""COMPUTED_VALUE"""),27.0)</f>
        <v>27</v>
      </c>
      <c r="J6953" s="18">
        <f>IFERROR(__xludf.DUMMYFUNCTION("""COMPUTED_VALUE"""),27.0)</f>
        <v>27</v>
      </c>
      <c r="K6953" s="18">
        <f>IFERROR(__xludf.DUMMYFUNCTION("""COMPUTED_VALUE"""),28.0)</f>
        <v>28</v>
      </c>
      <c r="L6953" s="17">
        <f>IFERROR(__xludf.DUMMYFUNCTION("""COMPUTED_VALUE"""),3.135781119E9)</f>
        <v>3135781119</v>
      </c>
      <c r="M6953" s="17" t="str">
        <f>IFERROR(__xludf.DUMMYFUNCTION("""COMPUTED_VALUE"""),"#REF!")</f>
        <v>#REF!</v>
      </c>
      <c r="N6953" s="17"/>
      <c r="O6953" s="17"/>
      <c r="P6953" s="17" t="b">
        <f>IFERROR(__xludf.DUMMYFUNCTION("""COMPUTED_VALUE"""),TRUE)</f>
        <v>1</v>
      </c>
      <c r="Q6953" s="20">
        <f>IFERROR(__xludf.DUMMYFUNCTION("""COMPUTED_VALUE"""),45197.708838125)</f>
        <v>45197.70884</v>
      </c>
      <c r="R6953" s="21" t="str">
        <f>IFERROR(__xludf.DUMMYFUNCTION("""COMPUTED_VALUE"""),"https://drive.google.com/file/d/1ofJ5ntAP2rDCUPHlt2_CB8DYREH44qIr/view?usp=drivesdk")</f>
        <v>https://drive.google.com/file/d/1ofJ5ntAP2rDCUPHlt2_CB8DYREH44qIr/view?usp=drivesdk</v>
      </c>
    </row>
    <row r="6954">
      <c r="A6954" s="15">
        <f>IFERROR(__xludf.DUMMYFUNCTION("""COMPUTED_VALUE"""),45197.0)</f>
        <v>45197</v>
      </c>
      <c r="B6954" s="16" t="str">
        <f>IFERROR(__xludf.DUMMYFUNCTION("""COMPUTED_VALUE"""),"Angie Daniela Meneses ")</f>
        <v>Angie Daniela Meneses </v>
      </c>
      <c r="C6954" s="15" t="str">
        <f>IFERROR(__xludf.DUMMYFUNCTION("""COMPUTED_VALUE"""),"POPAYAN")</f>
        <v>POPAYAN</v>
      </c>
      <c r="D6954" s="15" t="str">
        <f>IFERROR(__xludf.DUMMYFUNCTION("""COMPUTED_VALUE"""),"BOGOTÁ")</f>
        <v>BOGOTÁ</v>
      </c>
      <c r="E6954" s="15" t="str">
        <f>IFERROR(__xludf.DUMMYFUNCTION("""COMPUTED_VALUE"""),"Evamazzita")</f>
        <v>Evamazzita</v>
      </c>
      <c r="F6954" s="17" t="str">
        <f>IFERROR(__xludf.DUMMYFUNCTION("""COMPUTED_VALUE"""),"CRA 6 # 27N - 58 / LOCAL 1 BARRIO LOS HOYOS - VIVEA MERCADO SALUDABLE")</f>
        <v>CRA 6 # 27N - 58 / LOCAL 1 BARRIO LOS HOYOS - VIVEA MERCADO SALUDABLE</v>
      </c>
      <c r="G6954" s="15" t="str">
        <f>IFERROR(__xludf.DUMMYFUNCTION("""COMPUTED_VALUE"""),"VIVIANA ANDREA CHAMORRO YANZA")</f>
        <v>VIVIANA ANDREA CHAMORRO YANZA</v>
      </c>
      <c r="H6954" s="16">
        <f>IFERROR(__xludf.DUMMYFUNCTION("""COMPUTED_VALUE"""),15702.0)</f>
        <v>15702</v>
      </c>
      <c r="I6954" s="18">
        <f>IFERROR(__xludf.DUMMYFUNCTION("""COMPUTED_VALUE"""),1.0)</f>
        <v>1</v>
      </c>
      <c r="J6954" s="18">
        <f>IFERROR(__xludf.DUMMYFUNCTION("""COMPUTED_VALUE"""),1.0)</f>
        <v>1</v>
      </c>
      <c r="K6954" s="18">
        <f>IFERROR(__xludf.DUMMYFUNCTION("""COMPUTED_VALUE"""),1.0)</f>
        <v>1</v>
      </c>
      <c r="L6954" s="17">
        <f>IFERROR(__xludf.DUMMYFUNCTION("""COMPUTED_VALUE"""),3.122971002E9)</f>
        <v>3122971002</v>
      </c>
      <c r="M6954" s="17" t="str">
        <f>IFERROR(__xludf.DUMMYFUNCTION("""COMPUTED_VALUE"""),"#REF!")</f>
        <v>#REF!</v>
      </c>
      <c r="N6954" s="17"/>
      <c r="O6954" s="17"/>
      <c r="P6954" s="17" t="b">
        <f>IFERROR(__xludf.DUMMYFUNCTION("""COMPUTED_VALUE"""),TRUE)</f>
        <v>1</v>
      </c>
      <c r="Q6954" s="20">
        <f>IFERROR(__xludf.DUMMYFUNCTION("""COMPUTED_VALUE"""),45197.70768313657)</f>
        <v>45197.70768</v>
      </c>
      <c r="R6954" s="22" t="str">
        <f>IFERROR(__xludf.DUMMYFUNCTION("""COMPUTED_VALUE"""),"")</f>
        <v/>
      </c>
    </row>
    <row r="6955">
      <c r="A6955" s="15">
        <f>IFERROR(__xludf.DUMMYFUNCTION("""COMPUTED_VALUE"""),45197.0)</f>
        <v>45197</v>
      </c>
      <c r="B6955" s="16" t="str">
        <f>IFERROR(__xludf.DUMMYFUNCTION("""COMPUTED_VALUE"""),"Angie Daniela Meneses ")</f>
        <v>Angie Daniela Meneses </v>
      </c>
      <c r="C6955" s="15" t="str">
        <f>IFERROR(__xludf.DUMMYFUNCTION("""COMPUTED_VALUE"""),"POPAYAN")</f>
        <v>POPAYAN</v>
      </c>
      <c r="D6955" s="15" t="str">
        <f>IFERROR(__xludf.DUMMYFUNCTION("""COMPUTED_VALUE"""),"BOGOTÁ")</f>
        <v>BOGOTÁ</v>
      </c>
      <c r="E6955" s="15" t="str">
        <f>IFERROR(__xludf.DUMMYFUNCTION("""COMPUTED_VALUE"""),"Ins. Alimento Vital")</f>
        <v>Ins. Alimento Vital</v>
      </c>
      <c r="F6955" s="17" t="str">
        <f>IFERROR(__xludf.DUMMYFUNCTION("""COMPUTED_VALUE"""),"CR 17#15-40 / CASA  / BARRIO LA LADERA")</f>
        <v>CR 17#15-40 / CASA  / BARRIO LA LADERA</v>
      </c>
      <c r="G6955" s="15" t="str">
        <f>IFERROR(__xludf.DUMMYFUNCTION("""COMPUTED_VALUE"""),"MARCELA GAVIRIA PAZ")</f>
        <v>MARCELA GAVIRIA PAZ</v>
      </c>
      <c r="H6955" s="16">
        <f>IFERROR(__xludf.DUMMYFUNCTION("""COMPUTED_VALUE"""),15682.0)</f>
        <v>15682</v>
      </c>
      <c r="I6955" s="18">
        <f>IFERROR(__xludf.DUMMYFUNCTION("""COMPUTED_VALUE"""),100.0)</f>
        <v>100</v>
      </c>
      <c r="J6955" s="18">
        <f>IFERROR(__xludf.DUMMYFUNCTION("""COMPUTED_VALUE"""),10.0)</f>
        <v>10</v>
      </c>
      <c r="K6955" s="18">
        <f>IFERROR(__xludf.DUMMYFUNCTION("""COMPUTED_VALUE"""),21.0)</f>
        <v>21</v>
      </c>
      <c r="L6955" s="17">
        <f>IFERROR(__xludf.DUMMYFUNCTION("""COMPUTED_VALUE"""),3.117038883E9)</f>
        <v>3117038883</v>
      </c>
      <c r="M6955" s="17" t="str">
        <f>IFERROR(__xludf.DUMMYFUNCTION("""COMPUTED_VALUE"""),"#REF!")</f>
        <v>#REF!</v>
      </c>
      <c r="N6955" s="17"/>
      <c r="O6955" s="17"/>
      <c r="P6955" s="17" t="b">
        <f>IFERROR(__xludf.DUMMYFUNCTION("""COMPUTED_VALUE"""),TRUE)</f>
        <v>1</v>
      </c>
      <c r="Q6955" s="20">
        <f>IFERROR(__xludf.DUMMYFUNCTION("""COMPUTED_VALUE"""),45197.81222204861)</f>
        <v>45197.81222</v>
      </c>
      <c r="R6955" s="22" t="str">
        <f>IFERROR(__xludf.DUMMYFUNCTION("""COMPUTED_VALUE"""),"")</f>
        <v/>
      </c>
    </row>
    <row r="6956">
      <c r="A6956" s="17" t="str">
        <f>IFERROR(__xludf.DUMMYFUNCTION("""COMPUTED_VALUE"""),"")</f>
        <v/>
      </c>
      <c r="B6956" s="17" t="str">
        <f>IFERROR(__xludf.DUMMYFUNCTION("""COMPUTED_VALUE"""),"")</f>
        <v/>
      </c>
      <c r="C6956" s="17" t="str">
        <f>IFERROR(__xludf.DUMMYFUNCTION("""COMPUTED_VALUE"""),"")</f>
        <v/>
      </c>
      <c r="D6956" s="17" t="str">
        <f>IFERROR(__xludf.DUMMYFUNCTION("""COMPUTED_VALUE"""),"")</f>
        <v/>
      </c>
      <c r="E6956" s="17" t="str">
        <f>IFERROR(__xludf.DUMMYFUNCTION("""COMPUTED_VALUE"""),"")</f>
        <v/>
      </c>
      <c r="F6956" s="17" t="str">
        <f>IFERROR(__xludf.DUMMYFUNCTION("""COMPUTED_VALUE"""),"")</f>
        <v/>
      </c>
      <c r="G6956" s="17" t="str">
        <f>IFERROR(__xludf.DUMMYFUNCTION("""COMPUTED_VALUE"""),"")</f>
        <v/>
      </c>
      <c r="H6956" s="17" t="str">
        <f>IFERROR(__xludf.DUMMYFUNCTION("""COMPUTED_VALUE"""),"")</f>
        <v/>
      </c>
      <c r="I6956" s="17" t="str">
        <f>IFERROR(__xludf.DUMMYFUNCTION("""COMPUTED_VALUE"""),"")</f>
        <v/>
      </c>
      <c r="J6956" s="17" t="str">
        <f>IFERROR(__xludf.DUMMYFUNCTION("""COMPUTED_VALUE"""),"")</f>
        <v/>
      </c>
      <c r="K6956" s="17" t="str">
        <f>IFERROR(__xludf.DUMMYFUNCTION("""COMPUTED_VALUE"""),"")</f>
        <v/>
      </c>
      <c r="L6956" s="17" t="str">
        <f>IFERROR(__xludf.DUMMYFUNCTION("""COMPUTED_VALUE"""),"")</f>
        <v/>
      </c>
      <c r="M6956" s="17" t="str">
        <f>IFERROR(__xludf.DUMMYFUNCTION("""COMPUTED_VALUE"""),"")</f>
        <v/>
      </c>
      <c r="N6956" s="17" t="str">
        <f>IFERROR(__xludf.DUMMYFUNCTION("""COMPUTED_VALUE"""),"")</f>
        <v/>
      </c>
      <c r="O6956" s="17" t="str">
        <f>IFERROR(__xludf.DUMMYFUNCTION("""COMPUTED_VALUE"""),"")</f>
        <v/>
      </c>
      <c r="P6956" s="17" t="str">
        <f>IFERROR(__xludf.DUMMYFUNCTION("""COMPUTED_VALUE"""),"")</f>
        <v/>
      </c>
      <c r="Q6956" s="17" t="str">
        <f>IFERROR(__xludf.DUMMYFUNCTION("""COMPUTED_VALUE"""),"")</f>
        <v/>
      </c>
      <c r="R6956" s="17" t="str">
        <f>IFERROR(__xludf.DUMMYFUNCTION("""COMPUTED_VALUE"""),"")</f>
        <v/>
      </c>
    </row>
    <row r="6957">
      <c r="A6957" s="15">
        <f>IFERROR(__xludf.DUMMYFUNCTION("""COMPUTED_VALUE"""),45197.0)</f>
        <v>45197</v>
      </c>
      <c r="B6957" s="16" t="str">
        <f>IFERROR(__xludf.DUMMYFUNCTION("""COMPUTED_VALUE"""),"Daniel José sandoval gonzalez")</f>
        <v>Daniel José sandoval gonzalez</v>
      </c>
      <c r="C6957" s="15" t="str">
        <f>IFERROR(__xludf.DUMMYFUNCTION("""COMPUTED_VALUE"""),"BARRANQUILLA")</f>
        <v>BARRANQUILLA</v>
      </c>
      <c r="D6957" s="15" t="str">
        <f>IFERROR(__xludf.DUMMYFUNCTION("""COMPUTED_VALUE"""),"BOGOTÁ")</f>
        <v>BOGOTÁ</v>
      </c>
      <c r="E6957" s="15" t="str">
        <f>IFERROR(__xludf.DUMMYFUNCTION("""COMPUTED_VALUE"""),"Asociacion Agropecuaria Juana Maria")</f>
        <v>Asociacion Agropecuaria Juana Maria</v>
      </c>
      <c r="F6957" s="17" t="str">
        <f>IFERROR(__xludf.DUMMYFUNCTION("""COMPUTED_VALUE"""),"Carrera 71#81-83 edificio isabella Apartamento 903 Barrio paraíso")</f>
        <v>Carrera 71#81-83 edificio isabella Apartamento 903 Barrio paraíso</v>
      </c>
      <c r="G6957" s="15" t="str">
        <f>IFERROR(__xludf.DUMMYFUNCTION("""COMPUTED_VALUE"""),"Lorena Parra")</f>
        <v>Lorena Parra</v>
      </c>
      <c r="H6957" s="16">
        <f>IFERROR(__xludf.DUMMYFUNCTION("""COMPUTED_VALUE"""),15558.0)</f>
        <v>15558</v>
      </c>
      <c r="I6957" s="18">
        <f>IFERROR(__xludf.DUMMYFUNCTION("""COMPUTED_VALUE"""),22.0)</f>
        <v>22</v>
      </c>
      <c r="J6957" s="18">
        <f>IFERROR(__xludf.DUMMYFUNCTION("""COMPUTED_VALUE"""),15.0)</f>
        <v>15</v>
      </c>
      <c r="K6957" s="18">
        <f>IFERROR(__xludf.DUMMYFUNCTION("""COMPUTED_VALUE"""),3.0)</f>
        <v>3</v>
      </c>
      <c r="L6957" s="17" t="str">
        <f>IFERROR(__xludf.DUMMYFUNCTION("""COMPUTED_VALUE"""),"302 3739384")</f>
        <v>302 3739384</v>
      </c>
      <c r="M6957" s="17" t="str">
        <f>IFERROR(__xludf.DUMMYFUNCTION("""COMPUTED_VALUE"""),"#REF!")</f>
        <v>#REF!</v>
      </c>
      <c r="N6957" s="17"/>
      <c r="O6957" s="17"/>
      <c r="P6957" s="17" t="b">
        <f>IFERROR(__xludf.DUMMYFUNCTION("""COMPUTED_VALUE"""),TRUE)</f>
        <v>1</v>
      </c>
      <c r="Q6957" s="20">
        <f>IFERROR(__xludf.DUMMYFUNCTION("""COMPUTED_VALUE"""),45197.81231954861)</f>
        <v>45197.81232</v>
      </c>
      <c r="R6957" s="22" t="str">
        <f>IFERROR(__xludf.DUMMYFUNCTION("""COMPUTED_VALUE"""),"")</f>
        <v/>
      </c>
    </row>
    <row r="6958">
      <c r="A6958" s="15">
        <f>IFERROR(__xludf.DUMMYFUNCTION("""COMPUTED_VALUE"""),45197.0)</f>
        <v>45197</v>
      </c>
      <c r="B6958" s="16" t="str">
        <f>IFERROR(__xludf.DUMMYFUNCTION("""COMPUTED_VALUE"""),"Daniel José sandoval gonzalez")</f>
        <v>Daniel José sandoval gonzalez</v>
      </c>
      <c r="C6958" s="15" t="str">
        <f>IFERROR(__xludf.DUMMYFUNCTION("""COMPUTED_VALUE"""),"BARRANQUILLA")</f>
        <v>BARRANQUILLA</v>
      </c>
      <c r="D6958" s="15" t="str">
        <f>IFERROR(__xludf.DUMMYFUNCTION("""COMPUTED_VALUE"""),"BOGOTÁ")</f>
        <v>BOGOTÁ</v>
      </c>
      <c r="E6958" s="15" t="str">
        <f>IFERROR(__xludf.DUMMYFUNCTION("""COMPUTED_VALUE"""),"Evamazzita")</f>
        <v>Evamazzita</v>
      </c>
      <c r="F6958" s="17" t="str">
        <f>IFERROR(__xludf.DUMMYFUNCTION("""COMPUTED_VALUE"""),"CALLE 114 No. 43 - 204 / APTO 403 TORRE 1  Conjunto Andarrios")</f>
        <v>CALLE 114 No. 43 - 204 / APTO 403 TORRE 1  Conjunto Andarrios</v>
      </c>
      <c r="G6958" s="15" t="str">
        <f>IFERROR(__xludf.DUMMYFUNCTION("""COMPUTED_VALUE"""),"SHIRLIS NAYITH PACHECO BOCANEGRA")</f>
        <v>SHIRLIS NAYITH PACHECO BOCANEGRA</v>
      </c>
      <c r="H6958" s="16">
        <f>IFERROR(__xludf.DUMMYFUNCTION("""COMPUTED_VALUE"""),15689.0)</f>
        <v>15689</v>
      </c>
      <c r="I6958" s="18">
        <f>IFERROR(__xludf.DUMMYFUNCTION("""COMPUTED_VALUE"""),1.0)</f>
        <v>1</v>
      </c>
      <c r="J6958" s="18">
        <f>IFERROR(__xludf.DUMMYFUNCTION("""COMPUTED_VALUE"""),1.0)</f>
        <v>1</v>
      </c>
      <c r="K6958" s="18">
        <f>IFERROR(__xludf.DUMMYFUNCTION("""COMPUTED_VALUE"""),1.0)</f>
        <v>1</v>
      </c>
      <c r="L6958" s="17">
        <f>IFERROR(__xludf.DUMMYFUNCTION("""COMPUTED_VALUE"""),3.218338059E9)</f>
        <v>3218338059</v>
      </c>
      <c r="M6958" s="17" t="str">
        <f>IFERROR(__xludf.DUMMYFUNCTION("""COMPUTED_VALUE"""),"#REF!")</f>
        <v>#REF!</v>
      </c>
      <c r="N6958" s="17"/>
      <c r="O6958" s="17"/>
      <c r="P6958" s="17" t="b">
        <f>IFERROR(__xludf.DUMMYFUNCTION("""COMPUTED_VALUE"""),TRUE)</f>
        <v>1</v>
      </c>
      <c r="Q6958" s="20">
        <f>IFERROR(__xludf.DUMMYFUNCTION("""COMPUTED_VALUE"""),45197.65369908565)</f>
        <v>45197.6537</v>
      </c>
      <c r="R6958" s="21" t="str">
        <f>IFERROR(__xludf.DUMMYFUNCTION("""COMPUTED_VALUE"""),"https://drive.google.com/file/d/1Pdrq58Z0r96D8BITmf3LWhfMeZUFtvw-/view?usp=drivesdk")</f>
        <v>https://drive.google.com/file/d/1Pdrq58Z0r96D8BITmf3LWhfMeZUFtvw-/view?usp=drivesdk</v>
      </c>
    </row>
    <row r="6959">
      <c r="A6959" s="15">
        <f>IFERROR(__xludf.DUMMYFUNCTION("""COMPUTED_VALUE"""),45197.0)</f>
        <v>45197</v>
      </c>
      <c r="B6959" s="16" t="str">
        <f>IFERROR(__xludf.DUMMYFUNCTION("""COMPUTED_VALUE"""),"Daniel José sandoval gonzalez")</f>
        <v>Daniel José sandoval gonzalez</v>
      </c>
      <c r="C6959" s="15" t="str">
        <f>IFERROR(__xludf.DUMMYFUNCTION("""COMPUTED_VALUE"""),"BARRANQUILLA")</f>
        <v>BARRANQUILLA</v>
      </c>
      <c r="D6959" s="15" t="str">
        <f>IFERROR(__xludf.DUMMYFUNCTION("""COMPUTED_VALUE"""),"BOGOTÁ")</f>
        <v>BOGOTÁ</v>
      </c>
      <c r="E6959" s="15" t="str">
        <f>IFERROR(__xludf.DUMMYFUNCTION("""COMPUTED_VALUE"""),"Evamazzita")</f>
        <v>Evamazzita</v>
      </c>
      <c r="F6959" s="17" t="str">
        <f>IFERROR(__xludf.DUMMYFUNCTION("""COMPUTED_VALUE"""),"CARRERA 34 # 65 - 35 APTO. 1B / BARRIO RECREO")</f>
        <v>CARRERA 34 # 65 - 35 APTO. 1B / BARRIO RECREO</v>
      </c>
      <c r="G6959" s="15" t="str">
        <f>IFERROR(__xludf.DUMMYFUNCTION("""COMPUTED_VALUE"""),"ALEXANDRA VASQUEZ")</f>
        <v>ALEXANDRA VASQUEZ</v>
      </c>
      <c r="H6959" s="16">
        <f>IFERROR(__xludf.DUMMYFUNCTION("""COMPUTED_VALUE"""),15691.0)</f>
        <v>15691</v>
      </c>
      <c r="I6959" s="18">
        <f>IFERROR(__xludf.DUMMYFUNCTION("""COMPUTED_VALUE"""),1.0)</f>
        <v>1</v>
      </c>
      <c r="J6959" s="18">
        <f>IFERROR(__xludf.DUMMYFUNCTION("""COMPUTED_VALUE"""),1.0)</f>
        <v>1</v>
      </c>
      <c r="K6959" s="18">
        <f>IFERROR(__xludf.DUMMYFUNCTION("""COMPUTED_VALUE"""),1.0)</f>
        <v>1</v>
      </c>
      <c r="L6959" s="17">
        <f>IFERROR(__xludf.DUMMYFUNCTION("""COMPUTED_VALUE"""),3.014597718E9)</f>
        <v>3014597718</v>
      </c>
      <c r="M6959" s="17" t="str">
        <f>IFERROR(__xludf.DUMMYFUNCTION("""COMPUTED_VALUE"""),"#REF!")</f>
        <v>#REF!</v>
      </c>
      <c r="N6959" s="17"/>
      <c r="O6959" s="17"/>
      <c r="P6959" s="17" t="b">
        <f>IFERROR(__xludf.DUMMYFUNCTION("""COMPUTED_VALUE"""),TRUE)</f>
        <v>1</v>
      </c>
      <c r="Q6959" s="20">
        <f>IFERROR(__xludf.DUMMYFUNCTION("""COMPUTED_VALUE"""),45197.65569688658)</f>
        <v>45197.6557</v>
      </c>
      <c r="R6959" s="21" t="str">
        <f>IFERROR(__xludf.DUMMYFUNCTION("""COMPUTED_VALUE"""),"https://drive.google.com/file/d/1CtZYg6FIrYeed4tbv7KhGayw-TujTj-k/view?usp=drivesdk")</f>
        <v>https://drive.google.com/file/d/1CtZYg6FIrYeed4tbv7KhGayw-TujTj-k/view?usp=drivesdk</v>
      </c>
    </row>
    <row r="6960">
      <c r="A6960" s="15">
        <f>IFERROR(__xludf.DUMMYFUNCTION("""COMPUTED_VALUE"""),45197.0)</f>
        <v>45197</v>
      </c>
      <c r="B6960" s="16" t="str">
        <f>IFERROR(__xludf.DUMMYFUNCTION("""COMPUTED_VALUE"""),"Daniel José sandoval gonzalez")</f>
        <v>Daniel José sandoval gonzalez</v>
      </c>
      <c r="C6960" s="15" t="str">
        <f>IFERROR(__xludf.DUMMYFUNCTION("""COMPUTED_VALUE"""),"BARRANQUILLA")</f>
        <v>BARRANQUILLA</v>
      </c>
      <c r="D6960" s="15" t="str">
        <f>IFERROR(__xludf.DUMMYFUNCTION("""COMPUTED_VALUE"""),"BOGOTÁ")</f>
        <v>BOGOTÁ</v>
      </c>
      <c r="E6960" s="15" t="str">
        <f>IFERROR(__xludf.DUMMYFUNCTION("""COMPUTED_VALUE"""),"Mochi")</f>
        <v>Mochi</v>
      </c>
      <c r="F6960" s="17" t="str">
        <f>IFERROR(__xludf.DUMMYFUNCTION("""COMPUTED_VALUE"""),"Cra 51b #87-50 / Centro comercial  / Rio mar")</f>
        <v>Cra 51b #87-50 / Centro comercial  / Rio mar</v>
      </c>
      <c r="G6960" s="15" t="str">
        <f>IFERROR(__xludf.DUMMYFUNCTION("""COMPUTED_VALUE"""),"María Camila Giraldo")</f>
        <v>María Camila Giraldo</v>
      </c>
      <c r="H6960" s="16">
        <f>IFERROR(__xludf.DUMMYFUNCTION("""COMPUTED_VALUE"""),15723.0)</f>
        <v>15723</v>
      </c>
      <c r="I6960" s="18">
        <f>IFERROR(__xludf.DUMMYFUNCTION("""COMPUTED_VALUE"""),55.0)</f>
        <v>55</v>
      </c>
      <c r="J6960" s="18">
        <f>IFERROR(__xludf.DUMMYFUNCTION("""COMPUTED_VALUE"""),44.0)</f>
        <v>44</v>
      </c>
      <c r="K6960" s="18" t="str">
        <f>IFERROR(__xludf.DUMMYFUNCTION("""COMPUTED_VALUE"""),"55.2")</f>
        <v>55.2</v>
      </c>
      <c r="L6960" s="17">
        <f>IFERROR(__xludf.DUMMYFUNCTION("""COMPUTED_VALUE"""),3.116026252E9)</f>
        <v>3116026252</v>
      </c>
      <c r="M6960" s="17" t="str">
        <f>IFERROR(__xludf.DUMMYFUNCTION("""COMPUTED_VALUE"""),"#REF!")</f>
        <v>#REF!</v>
      </c>
      <c r="N6960" s="17"/>
      <c r="O6960" s="17"/>
      <c r="P6960" s="17" t="b">
        <f>IFERROR(__xludf.DUMMYFUNCTION("""COMPUTED_VALUE"""),TRUE)</f>
        <v>1</v>
      </c>
      <c r="Q6960" s="20">
        <f>IFERROR(__xludf.DUMMYFUNCTION("""COMPUTED_VALUE"""),45197.65457637732)</f>
        <v>45197.65458</v>
      </c>
      <c r="R6960" s="22" t="str">
        <f>IFERROR(__xludf.DUMMYFUNCTION("""COMPUTED_VALUE"""),"")</f>
        <v/>
      </c>
    </row>
    <row r="6961">
      <c r="A6961" s="15">
        <f>IFERROR(__xludf.DUMMYFUNCTION("""COMPUTED_VALUE"""),45197.0)</f>
        <v>45197</v>
      </c>
      <c r="B6961" s="16" t="str">
        <f>IFERROR(__xludf.DUMMYFUNCTION("""COMPUTED_VALUE"""),"Daniel José sandoval gonzalez")</f>
        <v>Daniel José sandoval gonzalez</v>
      </c>
      <c r="C6961" s="15" t="str">
        <f>IFERROR(__xludf.DUMMYFUNCTION("""COMPUTED_VALUE"""),"BARRANQUILLA")</f>
        <v>BARRANQUILLA</v>
      </c>
      <c r="D6961" s="15" t="str">
        <f>IFERROR(__xludf.DUMMYFUNCTION("""COMPUTED_VALUE"""),"BOGOTÁ")</f>
        <v>BOGOTÁ</v>
      </c>
      <c r="E6961" s="15" t="str">
        <f>IFERROR(__xludf.DUMMYFUNCTION("""COMPUTED_VALUE"""),"Pan de Waffle")</f>
        <v>Pan de Waffle</v>
      </c>
      <c r="F6961" s="17" t="str">
        <f>IFERROR(__xludf.DUMMYFUNCTION("""COMPUTED_VALUE"""),"Carrera 45 # 85 - 168 / Carrera 45 # 85 - 168 / Carrera 45 # 85 - 168")</f>
        <v>Carrera 45 # 85 - 168 / Carrera 45 # 85 - 168 / Carrera 45 # 85 - 168</v>
      </c>
      <c r="G6961" s="15" t="str">
        <f>IFERROR(__xludf.DUMMYFUNCTION("""COMPUTED_VALUE"""),"FOODOLOGY B/QUILLA")</f>
        <v>FOODOLOGY B/QUILLA</v>
      </c>
      <c r="H6961" s="16">
        <f>IFERROR(__xludf.DUMMYFUNCTION("""COMPUTED_VALUE"""),15711.0)</f>
        <v>15711</v>
      </c>
      <c r="I6961" s="18">
        <f>IFERROR(__xludf.DUMMYFUNCTION("""COMPUTED_VALUE"""),30.0)</f>
        <v>30</v>
      </c>
      <c r="J6961" s="18">
        <f>IFERROR(__xludf.DUMMYFUNCTION("""COMPUTED_VALUE"""),30.0)</f>
        <v>30</v>
      </c>
      <c r="K6961" s="18">
        <f>IFERROR(__xludf.DUMMYFUNCTION("""COMPUTED_VALUE"""),30.0)</f>
        <v>30</v>
      </c>
      <c r="L6961" s="17">
        <f>IFERROR(__xludf.DUMMYFUNCTION("""COMPUTED_VALUE"""),3.017001909E9)</f>
        <v>3017001909</v>
      </c>
      <c r="M6961" s="17" t="str">
        <f>IFERROR(__xludf.DUMMYFUNCTION("""COMPUTED_VALUE"""),"#REF!")</f>
        <v>#REF!</v>
      </c>
      <c r="N6961" s="17"/>
      <c r="O6961" s="17"/>
      <c r="P6961" s="17" t="b">
        <f>IFERROR(__xludf.DUMMYFUNCTION("""COMPUTED_VALUE"""),FALSE)</f>
        <v>0</v>
      </c>
      <c r="Q6961" s="20" t="str">
        <f>IFERROR(__xludf.DUMMYFUNCTION("""COMPUTED_VALUE"""),"")</f>
        <v/>
      </c>
      <c r="R6961" s="21" t="str">
        <f>IFERROR(__xludf.DUMMYFUNCTION("""COMPUTED_VALUE"""),"https://drive.google.com/file/d/1T5cHChaq4J7YPs-C9IeU9mpbZpNUIL5C/view?usp=drivesdk")</f>
        <v>https://drive.google.com/file/d/1T5cHChaq4J7YPs-C9IeU9mpbZpNUIL5C/view?usp=drivesdk</v>
      </c>
    </row>
    <row r="6962">
      <c r="A6962" s="17" t="str">
        <f>IFERROR(__xludf.DUMMYFUNCTION("""COMPUTED_VALUE"""),"")</f>
        <v/>
      </c>
      <c r="B6962" s="17" t="str">
        <f>IFERROR(__xludf.DUMMYFUNCTION("""COMPUTED_VALUE"""),"")</f>
        <v/>
      </c>
      <c r="C6962" s="17" t="str">
        <f>IFERROR(__xludf.DUMMYFUNCTION("""COMPUTED_VALUE"""),"")</f>
        <v/>
      </c>
      <c r="D6962" s="17" t="str">
        <f>IFERROR(__xludf.DUMMYFUNCTION("""COMPUTED_VALUE"""),"")</f>
        <v/>
      </c>
      <c r="E6962" s="17" t="str">
        <f>IFERROR(__xludf.DUMMYFUNCTION("""COMPUTED_VALUE"""),"")</f>
        <v/>
      </c>
      <c r="F6962" s="17" t="str">
        <f>IFERROR(__xludf.DUMMYFUNCTION("""COMPUTED_VALUE"""),"")</f>
        <v/>
      </c>
      <c r="G6962" s="17" t="str">
        <f>IFERROR(__xludf.DUMMYFUNCTION("""COMPUTED_VALUE"""),"")</f>
        <v/>
      </c>
      <c r="H6962" s="17" t="str">
        <f>IFERROR(__xludf.DUMMYFUNCTION("""COMPUTED_VALUE"""),"")</f>
        <v/>
      </c>
      <c r="I6962" s="17" t="str">
        <f>IFERROR(__xludf.DUMMYFUNCTION("""COMPUTED_VALUE"""),"")</f>
        <v/>
      </c>
      <c r="J6962" s="17" t="str">
        <f>IFERROR(__xludf.DUMMYFUNCTION("""COMPUTED_VALUE"""),"")</f>
        <v/>
      </c>
      <c r="K6962" s="17" t="str">
        <f>IFERROR(__xludf.DUMMYFUNCTION("""COMPUTED_VALUE"""),"")</f>
        <v/>
      </c>
      <c r="L6962" s="17" t="str">
        <f>IFERROR(__xludf.DUMMYFUNCTION("""COMPUTED_VALUE"""),"")</f>
        <v/>
      </c>
      <c r="M6962" s="17" t="str">
        <f>IFERROR(__xludf.DUMMYFUNCTION("""COMPUTED_VALUE"""),"")</f>
        <v/>
      </c>
      <c r="N6962" s="17" t="str">
        <f>IFERROR(__xludf.DUMMYFUNCTION("""COMPUTED_VALUE"""),"")</f>
        <v/>
      </c>
      <c r="O6962" s="17" t="str">
        <f>IFERROR(__xludf.DUMMYFUNCTION("""COMPUTED_VALUE"""),"")</f>
        <v/>
      </c>
      <c r="P6962" s="17" t="str">
        <f>IFERROR(__xludf.DUMMYFUNCTION("""COMPUTED_VALUE"""),"")</f>
        <v/>
      </c>
      <c r="Q6962" s="17" t="str">
        <f>IFERROR(__xludf.DUMMYFUNCTION("""COMPUTED_VALUE"""),"")</f>
        <v/>
      </c>
      <c r="R6962" s="17" t="str">
        <f>IFERROR(__xludf.DUMMYFUNCTION("""COMPUTED_VALUE"""),"")</f>
        <v/>
      </c>
    </row>
    <row r="6963">
      <c r="A6963" s="15">
        <f>IFERROR(__xludf.DUMMYFUNCTION("""COMPUTED_VALUE"""),45197.0)</f>
        <v>45197</v>
      </c>
      <c r="B6963" s="16" t="str">
        <f>IFERROR(__xludf.DUMMYFUNCTION("""COMPUTED_VALUE"""),"David Sanmartin Bello")</f>
        <v>David Sanmartin Bello</v>
      </c>
      <c r="C6963" s="15" t="str">
        <f>IFERROR(__xludf.DUMMYFUNCTION("""COMPUTED_VALUE"""),"BARRANQUILLA")</f>
        <v>BARRANQUILLA</v>
      </c>
      <c r="D6963" s="15" t="str">
        <f>IFERROR(__xludf.DUMMYFUNCTION("""COMPUTED_VALUE"""),"BOGOTÁ")</f>
        <v>BOGOTÁ</v>
      </c>
      <c r="E6963" s="15" t="str">
        <f>IFERROR(__xludf.DUMMYFUNCTION("""COMPUTED_VALUE"""),"Viral Brands")</f>
        <v>Viral Brands</v>
      </c>
      <c r="F6963" s="17" t="str">
        <f>IFERROR(__xludf.DUMMYFUNCTION("""COMPUTED_VALUE"""),"cra 58 n 96.187  / restauramte maya - gaucho / buenavista")</f>
        <v>cra 58 n 96.187  / restauramte maya - gaucho / buenavista</v>
      </c>
      <c r="G6963" s="15" t="str">
        <f>IFERROR(__xludf.DUMMYFUNCTION("""COMPUTED_VALUE"""),"restaurante maya")</f>
        <v>restaurante maya</v>
      </c>
      <c r="H6963" s="16">
        <f>IFERROR(__xludf.DUMMYFUNCTION("""COMPUTED_VALUE"""),15647.0)</f>
        <v>15647</v>
      </c>
      <c r="I6963" s="18">
        <f>IFERROR(__xludf.DUMMYFUNCTION("""COMPUTED_VALUE"""),29.0)</f>
        <v>29</v>
      </c>
      <c r="J6963" s="18">
        <f>IFERROR(__xludf.DUMMYFUNCTION("""COMPUTED_VALUE"""),55.0)</f>
        <v>55</v>
      </c>
      <c r="K6963" s="18">
        <f>IFERROR(__xludf.DUMMYFUNCTION("""COMPUTED_VALUE"""),45.0)</f>
        <v>45</v>
      </c>
      <c r="L6963" s="17">
        <f>IFERROR(__xludf.DUMMYFUNCTION("""COMPUTED_VALUE"""),3.122454394E9)</f>
        <v>3122454394</v>
      </c>
      <c r="M6963" s="17" t="str">
        <f>IFERROR(__xludf.DUMMYFUNCTION("""COMPUTED_VALUE"""),"#REF!")</f>
        <v>#REF!</v>
      </c>
      <c r="N6963" s="17"/>
      <c r="O6963" s="17"/>
      <c r="P6963" s="17" t="b">
        <f>IFERROR(__xludf.DUMMYFUNCTION("""COMPUTED_VALUE"""),TRUE)</f>
        <v>1</v>
      </c>
      <c r="Q6963" s="20">
        <f>IFERROR(__xludf.DUMMYFUNCTION("""COMPUTED_VALUE"""),45197.56452951389)</f>
        <v>45197.56453</v>
      </c>
      <c r="R6963" s="22" t="str">
        <f>IFERROR(__xludf.DUMMYFUNCTION("""COMPUTED_VALUE"""),"")</f>
        <v/>
      </c>
    </row>
    <row r="6964">
      <c r="A6964" s="15">
        <f>IFERROR(__xludf.DUMMYFUNCTION("""COMPUTED_VALUE"""),45197.0)</f>
        <v>45197</v>
      </c>
      <c r="B6964" s="16" t="str">
        <f>IFERROR(__xludf.DUMMYFUNCTION("""COMPUTED_VALUE"""),"David Sanmartin Bello")</f>
        <v>David Sanmartin Bello</v>
      </c>
      <c r="C6964" s="15" t="str">
        <f>IFERROR(__xludf.DUMMYFUNCTION("""COMPUTED_VALUE"""),"CARTAGENA")</f>
        <v>CARTAGENA</v>
      </c>
      <c r="D6964" s="15" t="str">
        <f>IFERROR(__xludf.DUMMYFUNCTION("""COMPUTED_VALUE"""),"BOGOTÁ")</f>
        <v>BOGOTÁ</v>
      </c>
      <c r="E6964" s="15" t="str">
        <f>IFERROR(__xludf.DUMMYFUNCTION("""COMPUTED_VALUE"""),"MAI ALIMENTOS S.A.S")</f>
        <v>MAI ALIMENTOS S.A.S</v>
      </c>
      <c r="F6964" s="17" t="str">
        <f>IFERROR(__xludf.DUMMYFUNCTION("""COMPUTED_VALUE"""),"Carrera 3 A # 31 - 23 / Plaza Santa teresa / Restaurante Harry Sasson")</f>
        <v>Carrera 3 A # 31 - 23 / Plaza Santa teresa / Restaurante Harry Sasson</v>
      </c>
      <c r="G6964" s="15" t="str">
        <f>IFERROR(__xludf.DUMMYFUNCTION("""COMPUTED_VALUE"""),"Hoteles Charleston SAS")</f>
        <v>Hoteles Charleston SAS</v>
      </c>
      <c r="H6964" s="16">
        <f>IFERROR(__xludf.DUMMYFUNCTION("""COMPUTED_VALUE"""),15630.0)</f>
        <v>15630</v>
      </c>
      <c r="I6964" s="18">
        <f>IFERROR(__xludf.DUMMYFUNCTION("""COMPUTED_VALUE"""),35.0)</f>
        <v>35</v>
      </c>
      <c r="J6964" s="18">
        <f>IFERROR(__xludf.DUMMYFUNCTION("""COMPUTED_VALUE"""),17.0)</f>
        <v>17</v>
      </c>
      <c r="K6964" s="18">
        <f>IFERROR(__xludf.DUMMYFUNCTION("""COMPUTED_VALUE"""),13.0)</f>
        <v>13</v>
      </c>
      <c r="L6964" s="17">
        <f>IFERROR(__xludf.DUMMYFUNCTION("""COMPUTED_VALUE"""),3.174374246E9)</f>
        <v>3174374246</v>
      </c>
      <c r="M6964" s="17" t="str">
        <f>IFERROR(__xludf.DUMMYFUNCTION("""COMPUTED_VALUE"""),"#REF!")</f>
        <v>#REF!</v>
      </c>
      <c r="N6964" s="17"/>
      <c r="O6964" s="17"/>
      <c r="P6964" s="17" t="b">
        <f>IFERROR(__xludf.DUMMYFUNCTION("""COMPUTED_VALUE"""),TRUE)</f>
        <v>1</v>
      </c>
      <c r="Q6964" s="20">
        <f>IFERROR(__xludf.DUMMYFUNCTION("""COMPUTED_VALUE"""),45197.67858763889)</f>
        <v>45197.67859</v>
      </c>
      <c r="R6964" s="22" t="str">
        <f>IFERROR(__xludf.DUMMYFUNCTION("""COMPUTED_VALUE"""),"")</f>
        <v/>
      </c>
    </row>
    <row r="6965">
      <c r="A6965" s="15">
        <f>IFERROR(__xludf.DUMMYFUNCTION("""COMPUTED_VALUE"""),45197.0)</f>
        <v>45197</v>
      </c>
      <c r="B6965" s="16" t="str">
        <f>IFERROR(__xludf.DUMMYFUNCTION("""COMPUTED_VALUE"""),"David Sanmartin Bello")</f>
        <v>David Sanmartin Bello</v>
      </c>
      <c r="C6965" s="15" t="str">
        <f>IFERROR(__xludf.DUMMYFUNCTION("""COMPUTED_VALUE"""),"CARTAGENA")</f>
        <v>CARTAGENA</v>
      </c>
      <c r="D6965" s="15" t="str">
        <f>IFERROR(__xludf.DUMMYFUNCTION("""COMPUTED_VALUE"""),"BOGOTÁ")</f>
        <v>BOGOTÁ</v>
      </c>
      <c r="E6965" s="15" t="str">
        <f>IFERROR(__xludf.DUMMYFUNCTION("""COMPUTED_VALUE"""),"Mochi")</f>
        <v>Mochi</v>
      </c>
      <c r="F6965" s="17" t="str">
        <f>IFERROR(__xludf.DUMMYFUNCTION("""COMPUTED_VALUE"""),"Cra 11 #39-21  / Centro comercial  / Sandiego")</f>
        <v>Cra 11 #39-21  / Centro comercial  / Sandiego</v>
      </c>
      <c r="G6965" s="15" t="str">
        <f>IFERROR(__xludf.DUMMYFUNCTION("""COMPUTED_VALUE"""),"María camila Giraldo")</f>
        <v>María camila Giraldo</v>
      </c>
      <c r="H6965" s="16">
        <f>IFERROR(__xludf.DUMMYFUNCTION("""COMPUTED_VALUE"""),15722.0)</f>
        <v>15722</v>
      </c>
      <c r="I6965" s="18">
        <f>IFERROR(__xludf.DUMMYFUNCTION("""COMPUTED_VALUE"""),55.0)</f>
        <v>55</v>
      </c>
      <c r="J6965" s="18">
        <f>IFERROR(__xludf.DUMMYFUNCTION("""COMPUTED_VALUE"""),44.0)</f>
        <v>44</v>
      </c>
      <c r="K6965" s="18" t="str">
        <f>IFERROR(__xludf.DUMMYFUNCTION("""COMPUTED_VALUE"""),"55.2")</f>
        <v>55.2</v>
      </c>
      <c r="L6965" s="17">
        <f>IFERROR(__xludf.DUMMYFUNCTION("""COMPUTED_VALUE"""),3.116026252E9)</f>
        <v>3116026252</v>
      </c>
      <c r="M6965" s="17" t="str">
        <f>IFERROR(__xludf.DUMMYFUNCTION("""COMPUTED_VALUE"""),"#REF!")</f>
        <v>#REF!</v>
      </c>
      <c r="N6965" s="17"/>
      <c r="O6965" s="17"/>
      <c r="P6965" s="17" t="b">
        <f>IFERROR(__xludf.DUMMYFUNCTION("""COMPUTED_VALUE"""),TRUE)</f>
        <v>1</v>
      </c>
      <c r="Q6965" s="20">
        <f>IFERROR(__xludf.DUMMYFUNCTION("""COMPUTED_VALUE"""),45197.56452951389)</f>
        <v>45197.56453</v>
      </c>
      <c r="R6965" s="22" t="str">
        <f>IFERROR(__xludf.DUMMYFUNCTION("""COMPUTED_VALUE"""),"")</f>
        <v/>
      </c>
    </row>
    <row r="6966">
      <c r="A6966" s="15">
        <f>IFERROR(__xludf.DUMMYFUNCTION("""COMPUTED_VALUE"""),45197.0)</f>
        <v>45197</v>
      </c>
      <c r="B6966" s="16" t="str">
        <f>IFERROR(__xludf.DUMMYFUNCTION("""COMPUTED_VALUE"""),"David Sanmartin Bello")</f>
        <v>David Sanmartin Bello</v>
      </c>
      <c r="C6966" s="15" t="str">
        <f>IFERROR(__xludf.DUMMYFUNCTION("""COMPUTED_VALUE"""),"CARTAGENA")</f>
        <v>CARTAGENA</v>
      </c>
      <c r="D6966" s="15" t="str">
        <f>IFERROR(__xludf.DUMMYFUNCTION("""COMPUTED_VALUE"""),"BOGOTÁ")</f>
        <v>BOGOTÁ</v>
      </c>
      <c r="E6966" s="15" t="str">
        <f>IFERROR(__xludf.DUMMYFUNCTION("""COMPUTED_VALUE"""),"Ventura Productos Arg")</f>
        <v>Ventura Productos Arg</v>
      </c>
      <c r="F6966" s="17" t="str">
        <f>IFERROR(__xludf.DUMMYFUNCTION("""COMPUTED_VALUE"""),"CR 2 #43-102 / Edifico Napoli Apto 2503")</f>
        <v>CR 2 #43-102 / Edifico Napoli Apto 2503</v>
      </c>
      <c r="G6966" s="15" t="str">
        <f>IFERROR(__xludf.DUMMYFUNCTION("""COMPUTED_VALUE"""),"Aaron Meister")</f>
        <v>Aaron Meister</v>
      </c>
      <c r="H6966" s="16">
        <f>IFERROR(__xludf.DUMMYFUNCTION("""COMPUTED_VALUE"""),15590.0)</f>
        <v>15590</v>
      </c>
      <c r="I6966" s="18">
        <f>IFERROR(__xludf.DUMMYFUNCTION("""COMPUTED_VALUE"""),3.0)</f>
        <v>3</v>
      </c>
      <c r="J6966" s="18">
        <f>IFERROR(__xludf.DUMMYFUNCTION("""COMPUTED_VALUE"""),45060.0)</f>
        <v>45060</v>
      </c>
      <c r="K6966" s="18">
        <f>IFERROR(__xludf.DUMMYFUNCTION("""COMPUTED_VALUE"""),22.0)</f>
        <v>22</v>
      </c>
      <c r="L6966" s="17" t="str">
        <f>IFERROR(__xludf.DUMMYFUNCTION("""COMPUTED_VALUE"""),"324 4228336")</f>
        <v>324 4228336</v>
      </c>
      <c r="M6966" s="17" t="str">
        <f>IFERROR(__xludf.DUMMYFUNCTION("""COMPUTED_VALUE"""),"#REF!")</f>
        <v>#REF!</v>
      </c>
      <c r="N6966" s="17"/>
      <c r="O6966" s="17"/>
      <c r="P6966" s="17" t="b">
        <f>IFERROR(__xludf.DUMMYFUNCTION("""COMPUTED_VALUE"""),TRUE)</f>
        <v>1</v>
      </c>
      <c r="Q6966" s="20">
        <f>IFERROR(__xludf.DUMMYFUNCTION("""COMPUTED_VALUE"""),45197.56452951389)</f>
        <v>45197.56453</v>
      </c>
      <c r="R6966" s="22" t="str">
        <f>IFERROR(__xludf.DUMMYFUNCTION("""COMPUTED_VALUE"""),"")</f>
        <v/>
      </c>
    </row>
    <row r="6967">
      <c r="A6967" s="15">
        <f>IFERROR(__xludf.DUMMYFUNCTION("""COMPUTED_VALUE"""),45197.0)</f>
        <v>45197</v>
      </c>
      <c r="B6967" s="16" t="str">
        <f>IFERROR(__xludf.DUMMYFUNCTION("""COMPUTED_VALUE"""),"David Sanmartin Bello")</f>
        <v>David Sanmartin Bello</v>
      </c>
      <c r="C6967" s="15" t="str">
        <f>IFERROR(__xludf.DUMMYFUNCTION("""COMPUTED_VALUE"""),"CARTAGENA")</f>
        <v>CARTAGENA</v>
      </c>
      <c r="D6967" s="15" t="str">
        <f>IFERROR(__xludf.DUMMYFUNCTION("""COMPUTED_VALUE"""),"BOGOTÁ")</f>
        <v>BOGOTÁ</v>
      </c>
      <c r="E6967" s="15" t="str">
        <f>IFERROR(__xludf.DUMMYFUNCTION("""COMPUTED_VALUE"""),"Viiva Fermentados")</f>
        <v>Viiva Fermentados</v>
      </c>
      <c r="F6967" s="17" t="str">
        <f>IFERROR(__xludf.DUMMYFUNCTION("""COMPUTED_VALUE"""),"calle Pacoa 10-30 / Casa 1 / Hotel Montoya Getsemani")</f>
        <v>calle Pacoa 10-30 / Casa 1 / Hotel Montoya Getsemani</v>
      </c>
      <c r="G6967" s="15" t="str">
        <f>IFERROR(__xludf.DUMMYFUNCTION("""COMPUTED_VALUE"""),"Carlos Lemus")</f>
        <v>Carlos Lemus</v>
      </c>
      <c r="H6967" s="16">
        <f>IFERROR(__xludf.DUMMYFUNCTION("""COMPUTED_VALUE"""),15564.0)</f>
        <v>15564</v>
      </c>
      <c r="I6967" s="18">
        <f>IFERROR(__xludf.DUMMYFUNCTION("""COMPUTED_VALUE"""),27.0)</f>
        <v>27</v>
      </c>
      <c r="J6967" s="18">
        <f>IFERROR(__xludf.DUMMYFUNCTION("""COMPUTED_VALUE"""),18.0)</f>
        <v>18</v>
      </c>
      <c r="K6967" s="18">
        <f>IFERROR(__xludf.DUMMYFUNCTION("""COMPUTED_VALUE"""),18.0)</f>
        <v>18</v>
      </c>
      <c r="L6967" s="17">
        <f>IFERROR(__xludf.DUMMYFUNCTION("""COMPUTED_VALUE"""),3.024606787E9)</f>
        <v>3024606787</v>
      </c>
      <c r="M6967" s="17" t="str">
        <f>IFERROR(__xludf.DUMMYFUNCTION("""COMPUTED_VALUE"""),"#REF!")</f>
        <v>#REF!</v>
      </c>
      <c r="N6967" s="17"/>
      <c r="O6967" s="17"/>
      <c r="P6967" s="17" t="b">
        <f>IFERROR(__xludf.DUMMYFUNCTION("""COMPUTED_VALUE"""),TRUE)</f>
        <v>1</v>
      </c>
      <c r="Q6967" s="20">
        <f>IFERROR(__xludf.DUMMYFUNCTION("""COMPUTED_VALUE"""),45197.56452951389)</f>
        <v>45197.56453</v>
      </c>
      <c r="R6967" s="22" t="str">
        <f>IFERROR(__xludf.DUMMYFUNCTION("""COMPUTED_VALUE"""),"")</f>
        <v/>
      </c>
    </row>
    <row r="6968">
      <c r="A6968" s="15">
        <f>IFERROR(__xludf.DUMMYFUNCTION("""COMPUTED_VALUE"""),45197.0)</f>
        <v>45197</v>
      </c>
      <c r="B6968" s="16" t="str">
        <f>IFERROR(__xludf.DUMMYFUNCTION("""COMPUTED_VALUE"""),"David Sanmartin Bello")</f>
        <v>David Sanmartin Bello</v>
      </c>
      <c r="C6968" s="15" t="str">
        <f>IFERROR(__xludf.DUMMYFUNCTION("""COMPUTED_VALUE"""),"CARTAGENA")</f>
        <v>CARTAGENA</v>
      </c>
      <c r="D6968" s="15" t="str">
        <f>IFERROR(__xludf.DUMMYFUNCTION("""COMPUTED_VALUE"""),"MEDELLÍN")</f>
        <v>MEDELLÍN</v>
      </c>
      <c r="E6968" s="15" t="str">
        <f>IFERROR(__xludf.DUMMYFUNCTION("""COMPUTED_VALUE"""),"Baby Chef")</f>
        <v>Baby Chef</v>
      </c>
      <c r="F6968" s="17" t="str">
        <f>IFERROR(__xludf.DUMMYFUNCTION("""COMPUTED_VALUE"""),"Barrio Alameda lavictoria mzk lote 13 1 piso  frente tienda estefania diagonal a pizeria Romanos  / Barrio Alameda lavictoria mzk lote 13 1 piso  frente tienda estefania diagonal a pizeria Romanos  / Barrio Alameda lavictoria mzk lote 13 1 piso  frente ti"&amp;"enda estefania diagonal a pizeria Romanos")</f>
        <v>Barrio Alameda lavictoria mzk lote 13 1 piso  frente tienda estefania diagonal a pizeria Romanos  / Barrio Alameda lavictoria mzk lote 13 1 piso  frente tienda estefania diagonal a pizeria Romanos  / Barrio Alameda lavictoria mzk lote 13 1 piso  frente tienda estefania diagonal a pizeria Romanos</v>
      </c>
      <c r="G6968" s="15" t="str">
        <f>IFERROR(__xludf.DUMMYFUNCTION("""COMPUTED_VALUE"""),"Yeimis cabarcas Ruiz")</f>
        <v>Yeimis cabarcas Ruiz</v>
      </c>
      <c r="H6968" s="16">
        <f>IFERROR(__xludf.DUMMYFUNCTION("""COMPUTED_VALUE"""),15667.0)</f>
        <v>15667</v>
      </c>
      <c r="I6968" s="18">
        <f>IFERROR(__xludf.DUMMYFUNCTION("""COMPUTED_VALUE"""),8.0)</f>
        <v>8</v>
      </c>
      <c r="J6968" s="18">
        <f>IFERROR(__xludf.DUMMYFUNCTION("""COMPUTED_VALUE"""),16.0)</f>
        <v>16</v>
      </c>
      <c r="K6968" s="18">
        <f>IFERROR(__xludf.DUMMYFUNCTION("""COMPUTED_VALUE"""),20.0)</f>
        <v>20</v>
      </c>
      <c r="L6968" s="17">
        <f>IFERROR(__xludf.DUMMYFUNCTION("""COMPUTED_VALUE"""),3.017558254E9)</f>
        <v>3017558254</v>
      </c>
      <c r="M6968" s="17" t="str">
        <f>IFERROR(__xludf.DUMMYFUNCTION("""COMPUTED_VALUE"""),"#REF!")</f>
        <v>#REF!</v>
      </c>
      <c r="N6968" s="17"/>
      <c r="O6968" s="17"/>
      <c r="P6968" s="17" t="b">
        <f>IFERROR(__xludf.DUMMYFUNCTION("""COMPUTED_VALUE"""),TRUE)</f>
        <v>1</v>
      </c>
      <c r="Q6968" s="20">
        <f>IFERROR(__xludf.DUMMYFUNCTION("""COMPUTED_VALUE"""),45197.56452951389)</f>
        <v>45197.56453</v>
      </c>
      <c r="R6968" s="21" t="str">
        <f>IFERROR(__xludf.DUMMYFUNCTION("""COMPUTED_VALUE"""),"https://drive.google.com/file/d/1phIB5reKzBWFBSu9DjuKE5oI3M_DwimL/view?usp=drivesdk")</f>
        <v>https://drive.google.com/file/d/1phIB5reKzBWFBSu9DjuKE5oI3M_DwimL/view?usp=drivesdk</v>
      </c>
    </row>
    <row r="6969">
      <c r="A6969" s="17" t="str">
        <f>IFERROR(__xludf.DUMMYFUNCTION("""COMPUTED_VALUE"""),"")</f>
        <v/>
      </c>
      <c r="B6969" s="17" t="str">
        <f>IFERROR(__xludf.DUMMYFUNCTION("""COMPUTED_VALUE"""),"")</f>
        <v/>
      </c>
      <c r="C6969" s="17" t="str">
        <f>IFERROR(__xludf.DUMMYFUNCTION("""COMPUTED_VALUE"""),"")</f>
        <v/>
      </c>
      <c r="D6969" s="17" t="str">
        <f>IFERROR(__xludf.DUMMYFUNCTION("""COMPUTED_VALUE"""),"")</f>
        <v/>
      </c>
      <c r="E6969" s="17" t="str">
        <f>IFERROR(__xludf.DUMMYFUNCTION("""COMPUTED_VALUE"""),"")</f>
        <v/>
      </c>
      <c r="F6969" s="17" t="str">
        <f>IFERROR(__xludf.DUMMYFUNCTION("""COMPUTED_VALUE"""),"")</f>
        <v/>
      </c>
      <c r="G6969" s="17" t="str">
        <f>IFERROR(__xludf.DUMMYFUNCTION("""COMPUTED_VALUE"""),"")</f>
        <v/>
      </c>
      <c r="H6969" s="17" t="str">
        <f>IFERROR(__xludf.DUMMYFUNCTION("""COMPUTED_VALUE"""),"")</f>
        <v/>
      </c>
      <c r="I6969" s="17" t="str">
        <f>IFERROR(__xludf.DUMMYFUNCTION("""COMPUTED_VALUE"""),"")</f>
        <v/>
      </c>
      <c r="J6969" s="17" t="str">
        <f>IFERROR(__xludf.DUMMYFUNCTION("""COMPUTED_VALUE"""),"")</f>
        <v/>
      </c>
      <c r="K6969" s="17" t="str">
        <f>IFERROR(__xludf.DUMMYFUNCTION("""COMPUTED_VALUE"""),"")</f>
        <v/>
      </c>
      <c r="L6969" s="17" t="str">
        <f>IFERROR(__xludf.DUMMYFUNCTION("""COMPUTED_VALUE"""),"")</f>
        <v/>
      </c>
      <c r="M6969" s="17" t="str">
        <f>IFERROR(__xludf.DUMMYFUNCTION("""COMPUTED_VALUE"""),"")</f>
        <v/>
      </c>
      <c r="N6969" s="17" t="str">
        <f>IFERROR(__xludf.DUMMYFUNCTION("""COMPUTED_VALUE"""),"")</f>
        <v/>
      </c>
      <c r="O6969" s="17" t="str">
        <f>IFERROR(__xludf.DUMMYFUNCTION("""COMPUTED_VALUE"""),"")</f>
        <v/>
      </c>
      <c r="P6969" s="17" t="str">
        <f>IFERROR(__xludf.DUMMYFUNCTION("""COMPUTED_VALUE"""),"")</f>
        <v/>
      </c>
      <c r="Q6969" s="17" t="str">
        <f>IFERROR(__xludf.DUMMYFUNCTION("""COMPUTED_VALUE"""),"")</f>
        <v/>
      </c>
      <c r="R6969" s="17" t="str">
        <f>IFERROR(__xludf.DUMMYFUNCTION("""COMPUTED_VALUE"""),"")</f>
        <v/>
      </c>
    </row>
    <row r="6970">
      <c r="A6970" s="15">
        <f>IFERROR(__xludf.DUMMYFUNCTION("""COMPUTED_VALUE"""),45197.0)</f>
        <v>45197</v>
      </c>
      <c r="B6970" s="16" t="str">
        <f>IFERROR(__xludf.DUMMYFUNCTION("""COMPUTED_VALUE"""),"Envia")</f>
        <v>Envia</v>
      </c>
      <c r="C6970" s="15" t="str">
        <f>IFERROR(__xludf.DUMMYFUNCTION("""COMPUTED_VALUE"""),"BARRANQUILLA")</f>
        <v>BARRANQUILLA</v>
      </c>
      <c r="D6970" s="15" t="str">
        <f>IFERROR(__xludf.DUMMYFUNCTION("""COMPUTED_VALUE"""),"BOGOTÁ")</f>
        <v>BOGOTÁ</v>
      </c>
      <c r="E6970" s="15" t="str">
        <f>IFERROR(__xludf.DUMMYFUNCTION("""COMPUTED_VALUE"""),"Evamazzita")</f>
        <v>Evamazzita</v>
      </c>
      <c r="F6970" s="17" t="str">
        <f>IFERROR(__xludf.DUMMYFUNCTION("""COMPUTED_VALUE"""),"cra 44 # 85 - 130, apto 701 / edificio Évora 85  Barrio La campiña")</f>
        <v>cra 44 # 85 - 130, apto 701 / edificio Évora 85  Barrio La campiña</v>
      </c>
      <c r="G6970" s="15" t="str">
        <f>IFERROR(__xludf.DUMMYFUNCTION("""COMPUTED_VALUE"""),"SANDRA HAMBURGER ACOSTA")</f>
        <v>SANDRA HAMBURGER ACOSTA</v>
      </c>
      <c r="H6970" s="16">
        <f>IFERROR(__xludf.DUMMYFUNCTION("""COMPUTED_VALUE"""),15690.0)</f>
        <v>15690</v>
      </c>
      <c r="I6970" s="18">
        <f>IFERROR(__xludf.DUMMYFUNCTION("""COMPUTED_VALUE"""),1.0)</f>
        <v>1</v>
      </c>
      <c r="J6970" s="18">
        <f>IFERROR(__xludf.DUMMYFUNCTION("""COMPUTED_VALUE"""),1.0)</f>
        <v>1</v>
      </c>
      <c r="K6970" s="18">
        <f>IFERROR(__xludf.DUMMYFUNCTION("""COMPUTED_VALUE"""),1.0)</f>
        <v>1</v>
      </c>
      <c r="L6970" s="17">
        <f>IFERROR(__xludf.DUMMYFUNCTION("""COMPUTED_VALUE"""),3.00893007E9)</f>
        <v>3008930070</v>
      </c>
      <c r="M6970" s="17" t="str">
        <f>IFERROR(__xludf.DUMMYFUNCTION("""COMPUTED_VALUE"""),"#REF!")</f>
        <v>#REF!</v>
      </c>
      <c r="N6970" s="17"/>
      <c r="O6970" s="17"/>
      <c r="P6970" s="17" t="b">
        <f>IFERROR(__xludf.DUMMYFUNCTION("""COMPUTED_VALUE"""),TRUE)</f>
        <v>1</v>
      </c>
      <c r="Q6970" s="20">
        <f>IFERROR(__xludf.DUMMYFUNCTION("""COMPUTED_VALUE"""),45197.56452951389)</f>
        <v>45197.56453</v>
      </c>
      <c r="R6970" s="21" t="str">
        <f>IFERROR(__xludf.DUMMYFUNCTION("""COMPUTED_VALUE"""),"https://drive.google.com/file/d/1mHI0kKsBvJS771FP_vHnIznlYC1s2a6Z/view?usp=drivesdk")</f>
        <v>https://drive.google.com/file/d/1mHI0kKsBvJS771FP_vHnIznlYC1s2a6Z/view?usp=drivesdk</v>
      </c>
    </row>
    <row r="6971">
      <c r="A6971" s="15">
        <f>IFERROR(__xludf.DUMMYFUNCTION("""COMPUTED_VALUE"""),45197.0)</f>
        <v>45197</v>
      </c>
      <c r="B6971" s="16" t="str">
        <f>IFERROR(__xludf.DUMMYFUNCTION("""COMPUTED_VALUE"""),"Envia")</f>
        <v>Envia</v>
      </c>
      <c r="C6971" s="15" t="str">
        <f>IFERROR(__xludf.DUMMYFUNCTION("""COMPUTED_VALUE"""),"BARRANQUILLA")</f>
        <v>BARRANQUILLA</v>
      </c>
      <c r="D6971" s="15" t="str">
        <f>IFERROR(__xludf.DUMMYFUNCTION("""COMPUTED_VALUE"""),"BOGOTÁ")</f>
        <v>BOGOTÁ</v>
      </c>
      <c r="E6971" s="15" t="str">
        <f>IFERROR(__xludf.DUMMYFUNCTION("""COMPUTED_VALUE"""),"Pan de Yuca")</f>
        <v>Pan de Yuca</v>
      </c>
      <c r="F6971" s="17" t="str">
        <f>IFERROR(__xludf.DUMMYFUNCTION("""COMPUTED_VALUE"""),"Calle 84 # 58 - 47 / Centro comercial Plaza 59 - Local 7  / Restaurante Artesano/ Centro comercial Plaza 59 - Local 7")</f>
        <v>Calle 84 # 58 - 47 / Centro comercial Plaza 59 - Local 7  / Restaurante Artesano/ Centro comercial Plaza 59 - Local 7</v>
      </c>
      <c r="G6971" s="15" t="str">
        <f>IFERROR(__xludf.DUMMYFUNCTION("""COMPUTED_VALUE"""),"Alejandro Córdoba")</f>
        <v>Alejandro Córdoba</v>
      </c>
      <c r="H6971" s="16">
        <f>IFERROR(__xludf.DUMMYFUNCTION("""COMPUTED_VALUE"""),15685.0)</f>
        <v>15685</v>
      </c>
      <c r="I6971" s="18">
        <f>IFERROR(__xludf.DUMMYFUNCTION("""COMPUTED_VALUE"""),45061.0)</f>
        <v>45061</v>
      </c>
      <c r="J6971" s="18">
        <f>IFERROR(__xludf.DUMMYFUNCTION("""COMPUTED_VALUE"""),29.0)</f>
        <v>29</v>
      </c>
      <c r="K6971" s="18">
        <f>IFERROR(__xludf.DUMMYFUNCTION("""COMPUTED_VALUE"""),30.0)</f>
        <v>30</v>
      </c>
      <c r="L6971" s="17">
        <f>IFERROR(__xludf.DUMMYFUNCTION("""COMPUTED_VALUE"""),3.003219814E9)</f>
        <v>3003219814</v>
      </c>
      <c r="M6971" s="17" t="str">
        <f>IFERROR(__xludf.DUMMYFUNCTION("""COMPUTED_VALUE"""),"#REF!")</f>
        <v>#REF!</v>
      </c>
      <c r="N6971" s="17"/>
      <c r="O6971" s="17"/>
      <c r="P6971" s="17" t="b">
        <f>IFERROR(__xludf.DUMMYFUNCTION("""COMPUTED_VALUE"""),TRUE)</f>
        <v>1</v>
      </c>
      <c r="Q6971" s="20">
        <f>IFERROR(__xludf.DUMMYFUNCTION("""COMPUTED_VALUE"""),45197.56452951389)</f>
        <v>45197.56453</v>
      </c>
      <c r="R6971" s="21" t="str">
        <f>IFERROR(__xludf.DUMMYFUNCTION("""COMPUTED_VALUE"""),"https://drive.google.com/file/d/1y282Pjkvwges1IXCXj5bi7l8odIrl2wO/view?usp=drivesdk")</f>
        <v>https://drive.google.com/file/d/1y282Pjkvwges1IXCXj5bi7l8odIrl2wO/view?usp=drivesdk</v>
      </c>
    </row>
    <row r="6972">
      <c r="A6972" s="15">
        <f>IFERROR(__xludf.DUMMYFUNCTION("""COMPUTED_VALUE"""),45197.0)</f>
        <v>45197</v>
      </c>
      <c r="B6972" s="16" t="str">
        <f>IFERROR(__xludf.DUMMYFUNCTION("""COMPUTED_VALUE"""),"Envia")</f>
        <v>Envia</v>
      </c>
      <c r="C6972" s="15" t="str">
        <f>IFERROR(__xludf.DUMMYFUNCTION("""COMPUTED_VALUE"""),"BARRANQUILLA")</f>
        <v>BARRANQUILLA</v>
      </c>
      <c r="D6972" s="15" t="str">
        <f>IFERROR(__xludf.DUMMYFUNCTION("""COMPUTED_VALUE"""),"BOGOTÁ")</f>
        <v>BOGOTÁ</v>
      </c>
      <c r="E6972" s="15" t="str">
        <f>IFERROR(__xludf.DUMMYFUNCTION("""COMPUTED_VALUE"""),"Top Spun")</f>
        <v>Top Spun</v>
      </c>
      <c r="F6972" s="17" t="str">
        <f>IFERROR(__xludf.DUMMYFUNCTION("""COMPUTED_VALUE"""),"Cra 58 # 64-264 / Apt 4C / Barranquilla")</f>
        <v>Cra 58 # 64-264 / Apt 4C / Barranquilla</v>
      </c>
      <c r="G6972" s="15" t="str">
        <f>IFERROR(__xludf.DUMMYFUNCTION("""COMPUTED_VALUE"""),"Veronica Wunderlin")</f>
        <v>Veronica Wunderlin</v>
      </c>
      <c r="H6972" s="16">
        <f>IFERROR(__xludf.DUMMYFUNCTION("""COMPUTED_VALUE"""),15662.0)</f>
        <v>15662</v>
      </c>
      <c r="I6972" s="18">
        <f>IFERROR(__xludf.DUMMYFUNCTION("""COMPUTED_VALUE"""),20.0)</f>
        <v>20</v>
      </c>
      <c r="J6972" s="18">
        <f>IFERROR(__xludf.DUMMYFUNCTION("""COMPUTED_VALUE"""),10.0)</f>
        <v>10</v>
      </c>
      <c r="K6972" s="18">
        <f>IFERROR(__xludf.DUMMYFUNCTION("""COMPUTED_VALUE"""),40.0)</f>
        <v>40</v>
      </c>
      <c r="L6972" s="17">
        <f>IFERROR(__xludf.DUMMYFUNCTION("""COMPUTED_VALUE"""),3.147353292E9)</f>
        <v>3147353292</v>
      </c>
      <c r="M6972" s="17" t="str">
        <f>IFERROR(__xludf.DUMMYFUNCTION("""COMPUTED_VALUE"""),"#REF!")</f>
        <v>#REF!</v>
      </c>
      <c r="N6972" s="17"/>
      <c r="O6972" s="17"/>
      <c r="P6972" s="17" t="b">
        <f>IFERROR(__xludf.DUMMYFUNCTION("""COMPUTED_VALUE"""),FALSE)</f>
        <v>0</v>
      </c>
      <c r="Q6972" s="20" t="str">
        <f>IFERROR(__xludf.DUMMYFUNCTION("""COMPUTED_VALUE"""),"")</f>
        <v/>
      </c>
      <c r="R6972" s="21" t="str">
        <f>IFERROR(__xludf.DUMMYFUNCTION("""COMPUTED_VALUE"""),"https://drive.google.com/file/d/1Z9ZuMmnn3TFzWf1f8SArGG5kTtbCUYgv/view?usp=drivesdk")</f>
        <v>https://drive.google.com/file/d/1Z9ZuMmnn3TFzWf1f8SArGG5kTtbCUYgv/view?usp=drivesdk</v>
      </c>
    </row>
    <row r="6973">
      <c r="A6973" s="15">
        <f>IFERROR(__xludf.DUMMYFUNCTION("""COMPUTED_VALUE"""),45197.0)</f>
        <v>45197</v>
      </c>
      <c r="B6973" s="16" t="str">
        <f>IFERROR(__xludf.DUMMYFUNCTION("""COMPUTED_VALUE"""),"Envia")</f>
        <v>Envia</v>
      </c>
      <c r="C6973" s="15" t="str">
        <f>IFERROR(__xludf.DUMMYFUNCTION("""COMPUTED_VALUE"""),"BOGOTÁ")</f>
        <v>BOGOTÁ</v>
      </c>
      <c r="D6973" s="15" t="str">
        <f>IFERROR(__xludf.DUMMYFUNCTION("""COMPUTED_VALUE"""),"CALI")</f>
        <v>CALI</v>
      </c>
      <c r="E6973" s="15" t="str">
        <f>IFERROR(__xludf.DUMMYFUNCTION("""COMPUTED_VALUE"""),"Natalia Carreño")</f>
        <v>Natalia Carreño</v>
      </c>
      <c r="F6973" s="17" t="str">
        <f>IFERROR(__xludf.DUMMYFUNCTION("""COMPUTED_VALUE"""),"Cra 27 no 70-83 / Casa curuba / Alcazares")</f>
        <v>Cra 27 no 70-83 / Casa curuba / Alcazares</v>
      </c>
      <c r="G6973" s="15" t="str">
        <f>IFERROR(__xludf.DUMMYFUNCTION("""COMPUTED_VALUE"""),"Natalia carreno")</f>
        <v>Natalia carreno</v>
      </c>
      <c r="H6973" s="16">
        <f>IFERROR(__xludf.DUMMYFUNCTION("""COMPUTED_VALUE"""),15679.0)</f>
        <v>15679</v>
      </c>
      <c r="I6973" s="18">
        <f>IFERROR(__xludf.DUMMYFUNCTION("""COMPUTED_VALUE"""),40.0)</f>
        <v>40</v>
      </c>
      <c r="J6973" s="18">
        <f>IFERROR(__xludf.DUMMYFUNCTION("""COMPUTED_VALUE"""),40.0)</f>
        <v>40</v>
      </c>
      <c r="K6973" s="18">
        <f>IFERROR(__xludf.DUMMYFUNCTION("""COMPUTED_VALUE"""),60.0)</f>
        <v>60</v>
      </c>
      <c r="L6973" s="17">
        <f>IFERROR(__xludf.DUMMYFUNCTION("""COMPUTED_VALUE"""),3.11561131E9)</f>
        <v>3115611310</v>
      </c>
      <c r="M6973" s="17" t="str">
        <f>IFERROR(__xludf.DUMMYFUNCTION("""COMPUTED_VALUE"""),"#REF!")</f>
        <v>#REF!</v>
      </c>
      <c r="N6973" s="17"/>
      <c r="O6973" s="17"/>
      <c r="P6973" s="17" t="b">
        <f>IFERROR(__xludf.DUMMYFUNCTION("""COMPUTED_VALUE"""),FALSE)</f>
        <v>0</v>
      </c>
      <c r="Q6973" s="20" t="str">
        <f>IFERROR(__xludf.DUMMYFUNCTION("""COMPUTED_VALUE"""),"")</f>
        <v/>
      </c>
      <c r="R6973" s="22" t="str">
        <f>IFERROR(__xludf.DUMMYFUNCTION("""COMPUTED_VALUE"""),"")</f>
        <v/>
      </c>
    </row>
    <row r="6974">
      <c r="A6974" s="15">
        <f>IFERROR(__xludf.DUMMYFUNCTION("""COMPUTED_VALUE"""),45197.0)</f>
        <v>45197</v>
      </c>
      <c r="B6974" s="16" t="str">
        <f>IFERROR(__xludf.DUMMYFUNCTION("""COMPUTED_VALUE"""),"Envia")</f>
        <v>Envia</v>
      </c>
      <c r="C6974" s="15" t="str">
        <f>IFERROR(__xludf.DUMMYFUNCTION("""COMPUTED_VALUE"""),"FLORIDABLANCA")</f>
        <v>FLORIDABLANCA</v>
      </c>
      <c r="D6974" s="15" t="str">
        <f>IFERROR(__xludf.DUMMYFUNCTION("""COMPUTED_VALUE"""),"BOGOTÁ")</f>
        <v>BOGOTÁ</v>
      </c>
      <c r="E6974" s="15" t="str">
        <f>IFERROR(__xludf.DUMMYFUNCTION("""COMPUTED_VALUE"""),"Evamazzita")</f>
        <v>Evamazzita</v>
      </c>
      <c r="F6974" s="17" t="str">
        <f>IFERROR(__xludf.DUMMYFUNCTION("""COMPUTED_VALUE"""),"Calle 200 # 22b-645 T-5 / Apto 420 Conjunto Mirador de Versalles")</f>
        <v>Calle 200 # 22b-645 T-5 / Apto 420 Conjunto Mirador de Versalles</v>
      </c>
      <c r="G6974" s="15" t="str">
        <f>IFERROR(__xludf.DUMMYFUNCTION("""COMPUTED_VALUE"""),"GENNY RIZO")</f>
        <v>GENNY RIZO</v>
      </c>
      <c r="H6974" s="16">
        <f>IFERROR(__xludf.DUMMYFUNCTION("""COMPUTED_VALUE"""),15692.0)</f>
        <v>15692</v>
      </c>
      <c r="I6974" s="18">
        <f>IFERROR(__xludf.DUMMYFUNCTION("""COMPUTED_VALUE"""),1.0)</f>
        <v>1</v>
      </c>
      <c r="J6974" s="18">
        <f>IFERROR(__xludf.DUMMYFUNCTION("""COMPUTED_VALUE"""),1.0)</f>
        <v>1</v>
      </c>
      <c r="K6974" s="18">
        <f>IFERROR(__xludf.DUMMYFUNCTION("""COMPUTED_VALUE"""),1.0)</f>
        <v>1</v>
      </c>
      <c r="L6974" s="17">
        <f>IFERROR(__xludf.DUMMYFUNCTION("""COMPUTED_VALUE"""),3.123290941E9)</f>
        <v>3123290941</v>
      </c>
      <c r="M6974" s="17" t="str">
        <f>IFERROR(__xludf.DUMMYFUNCTION("""COMPUTED_VALUE"""),"#REF!")</f>
        <v>#REF!</v>
      </c>
      <c r="N6974" s="17"/>
      <c r="O6974" s="17"/>
      <c r="P6974" s="17" t="b">
        <f>IFERROR(__xludf.DUMMYFUNCTION("""COMPUTED_VALUE"""),FALSE)</f>
        <v>0</v>
      </c>
      <c r="Q6974" s="20" t="str">
        <f>IFERROR(__xludf.DUMMYFUNCTION("""COMPUTED_VALUE"""),"")</f>
        <v/>
      </c>
      <c r="R6974" s="22" t="str">
        <f>IFERROR(__xludf.DUMMYFUNCTION("""COMPUTED_VALUE"""),"")</f>
        <v/>
      </c>
    </row>
    <row r="6975">
      <c r="A6975" s="15">
        <f>IFERROR(__xludf.DUMMYFUNCTION("""COMPUTED_VALUE"""),45197.0)</f>
        <v>45197</v>
      </c>
      <c r="B6975" s="16" t="str">
        <f>IFERROR(__xludf.DUMMYFUNCTION("""COMPUTED_VALUE"""),"Envia")</f>
        <v>Envia</v>
      </c>
      <c r="C6975" s="15" t="str">
        <f>IFERROR(__xludf.DUMMYFUNCTION("""COMPUTED_VALUE"""),"IBAGUÉ")</f>
        <v>IBAGUÉ</v>
      </c>
      <c r="D6975" s="15" t="str">
        <f>IFERROR(__xludf.DUMMYFUNCTION("""COMPUTED_VALUE"""),"BUCARAMANGA")</f>
        <v>BUCARAMANGA</v>
      </c>
      <c r="E6975" s="15" t="str">
        <f>IFERROR(__xludf.DUMMYFUNCTION("""COMPUTED_VALUE"""),"Yo Como Solito")</f>
        <v>Yo Como Solito</v>
      </c>
      <c r="F6975" s="17" t="str">
        <f>IFERROR(__xludf.DUMMYFUNCTION("""COMPUTED_VALUE"""),"CALLE 10 # 10-45 EDIFICIO ONIX APARTAMENTO 401A BARRIO BELÉN  / CALLE 10 # 10-45 EDIFICIO ONIX APARTAMENTO 401A BARRIO BELÉN / CALLE 10 # 10-45 EDIFICIO ONIX APARTAMENTO 401A BARRIO BELÉN")</f>
        <v>CALLE 10 # 10-45 EDIFICIO ONIX APARTAMENTO 401A BARRIO BELÉN  / CALLE 10 # 10-45 EDIFICIO ONIX APARTAMENTO 401A BARRIO BELÉN / CALLE 10 # 10-45 EDIFICIO ONIX APARTAMENTO 401A BARRIO BELÉN</v>
      </c>
      <c r="G6975" s="15" t="str">
        <f>IFERROR(__xludf.DUMMYFUNCTION("""COMPUTED_VALUE"""),"ALIX NARAVEZ")</f>
        <v>ALIX NARAVEZ</v>
      </c>
      <c r="H6975" s="16">
        <f>IFERROR(__xludf.DUMMYFUNCTION("""COMPUTED_VALUE"""),15648.0)</f>
        <v>15648</v>
      </c>
      <c r="I6975" s="18">
        <f>IFERROR(__xludf.DUMMYFUNCTION("""COMPUTED_VALUE"""),18.0)</f>
        <v>18</v>
      </c>
      <c r="J6975" s="18">
        <f>IFERROR(__xludf.DUMMYFUNCTION("""COMPUTED_VALUE"""),31.0)</f>
        <v>31</v>
      </c>
      <c r="K6975" s="18">
        <f>IFERROR(__xludf.DUMMYFUNCTION("""COMPUTED_VALUE"""),39.0)</f>
        <v>39</v>
      </c>
      <c r="L6975" s="17">
        <f>IFERROR(__xludf.DUMMYFUNCTION("""COMPUTED_VALUE"""),3.216098916E9)</f>
        <v>3216098916</v>
      </c>
      <c r="M6975" s="17" t="str">
        <f>IFERROR(__xludf.DUMMYFUNCTION("""COMPUTED_VALUE"""),"#REF!")</f>
        <v>#REF!</v>
      </c>
      <c r="N6975" s="17"/>
      <c r="O6975" s="17"/>
      <c r="P6975" s="17" t="b">
        <f>IFERROR(__xludf.DUMMYFUNCTION("""COMPUTED_VALUE"""),FALSE)</f>
        <v>0</v>
      </c>
      <c r="Q6975" s="20" t="str">
        <f>IFERROR(__xludf.DUMMYFUNCTION("""COMPUTED_VALUE"""),"")</f>
        <v/>
      </c>
      <c r="R6975" s="22" t="str">
        <f>IFERROR(__xludf.DUMMYFUNCTION("""COMPUTED_VALUE"""),"")</f>
        <v/>
      </c>
    </row>
    <row r="6976">
      <c r="A6976" s="15">
        <f>IFERROR(__xludf.DUMMYFUNCTION("""COMPUTED_VALUE"""),45197.0)</f>
        <v>45197</v>
      </c>
      <c r="B6976" s="16" t="str">
        <f>IFERROR(__xludf.DUMMYFUNCTION("""COMPUTED_VALUE"""),"Envia")</f>
        <v>Envia</v>
      </c>
      <c r="C6976" s="15" t="str">
        <f>IFERROR(__xludf.DUMMYFUNCTION("""COMPUTED_VALUE"""),"MONTERIA")</f>
        <v>MONTERIA</v>
      </c>
      <c r="D6976" s="15" t="str">
        <f>IFERROR(__xludf.DUMMYFUNCTION("""COMPUTED_VALUE"""),"MEDELLÍN")</f>
        <v>MEDELLÍN</v>
      </c>
      <c r="E6976" s="15" t="str">
        <f>IFERROR(__xludf.DUMMYFUNCTION("""COMPUTED_VALUE"""),"Helados swip")</f>
        <v>Helados swip</v>
      </c>
      <c r="F6976" s="17" t="str">
        <f>IFERROR(__xludf.DUMMYFUNCTION("""COMPUTED_VALUE"""),"CALLE 62# 645 CARRERA 7  / LOCAL 2 / LOS ALCAZARES")</f>
        <v>CALLE 62# 645 CARRERA 7  / LOCAL 2 / LOS ALCAZARES</v>
      </c>
      <c r="G6976" s="15" t="str">
        <f>IFERROR(__xludf.DUMMYFUNCTION("""COMPUTED_VALUE"""),"FEELI")</f>
        <v>FEELI</v>
      </c>
      <c r="H6976" s="16">
        <f>IFERROR(__xludf.DUMMYFUNCTION("""COMPUTED_VALUE"""),15688.0)</f>
        <v>15688</v>
      </c>
      <c r="I6976" s="18">
        <f>IFERROR(__xludf.DUMMYFUNCTION("""COMPUTED_VALUE"""),29.0)</f>
        <v>29</v>
      </c>
      <c r="J6976" s="18">
        <f>IFERROR(__xludf.DUMMYFUNCTION("""COMPUTED_VALUE"""),55.0)</f>
        <v>55</v>
      </c>
      <c r="K6976" s="18">
        <f>IFERROR(__xludf.DUMMYFUNCTION("""COMPUTED_VALUE"""),45.0)</f>
        <v>45</v>
      </c>
      <c r="L6976" s="17">
        <f>IFERROR(__xludf.DUMMYFUNCTION("""COMPUTED_VALUE"""),3.052261719E9)</f>
        <v>3052261719</v>
      </c>
      <c r="M6976" s="17" t="str">
        <f>IFERROR(__xludf.DUMMYFUNCTION("""COMPUTED_VALUE"""),"#REF!")</f>
        <v>#REF!</v>
      </c>
      <c r="N6976" s="17"/>
      <c r="O6976" s="17"/>
      <c r="P6976" s="17" t="b">
        <f>IFERROR(__xludf.DUMMYFUNCTION("""COMPUTED_VALUE"""),FALSE)</f>
        <v>0</v>
      </c>
      <c r="Q6976" s="20" t="str">
        <f>IFERROR(__xludf.DUMMYFUNCTION("""COMPUTED_VALUE"""),"")</f>
        <v/>
      </c>
      <c r="R6976" s="22" t="str">
        <f>IFERROR(__xludf.DUMMYFUNCTION("""COMPUTED_VALUE"""),"")</f>
        <v/>
      </c>
    </row>
    <row r="6977">
      <c r="A6977" s="15">
        <f>IFERROR(__xludf.DUMMYFUNCTION("""COMPUTED_VALUE"""),45197.0)</f>
        <v>45197</v>
      </c>
      <c r="B6977" s="16" t="str">
        <f>IFERROR(__xludf.DUMMYFUNCTION("""COMPUTED_VALUE"""),"Envia")</f>
        <v>Envia</v>
      </c>
      <c r="C6977" s="15" t="str">
        <f>IFERROR(__xludf.DUMMYFUNCTION("""COMPUTED_VALUE"""),"MOSQUERA")</f>
        <v>MOSQUERA</v>
      </c>
      <c r="D6977" s="15" t="str">
        <f>IFERROR(__xludf.DUMMYFUNCTION("""COMPUTED_VALUE"""),"BOGOTÁ")</f>
        <v>BOGOTÁ</v>
      </c>
      <c r="E6977" s="15" t="str">
        <f>IFERROR(__xludf.DUMMYFUNCTION("""COMPUTED_VALUE"""),"Viiva Fermentados")</f>
        <v>Viiva Fermentados</v>
      </c>
      <c r="F6977" s="17" t="str">
        <f>IFERROR(__xludf.DUMMYFUNCTION("""COMPUTED_VALUE"""),"Cra 3A 17 sur 93.  / Local 124.  / Centro comercial novaterra")</f>
        <v>Cra 3A 17 sur 93.  / Local 124.  / Centro comercial novaterra</v>
      </c>
      <c r="G6977" s="15" t="str">
        <f>IFERROR(__xludf.DUMMYFUNCTION("""COMPUTED_VALUE"""),"Yuri Andrea Estrada (2 Peq)")</f>
        <v>Yuri Andrea Estrada (2 Peq)</v>
      </c>
      <c r="H6977" s="16">
        <f>IFERROR(__xludf.DUMMYFUNCTION("""COMPUTED_VALUE"""),15676.0)</f>
        <v>15676</v>
      </c>
      <c r="I6977" s="18">
        <f>IFERROR(__xludf.DUMMYFUNCTION("""COMPUTED_VALUE"""),27.0)</f>
        <v>27</v>
      </c>
      <c r="J6977" s="18">
        <f>IFERROR(__xludf.DUMMYFUNCTION("""COMPUTED_VALUE"""),18.0)</f>
        <v>18</v>
      </c>
      <c r="K6977" s="18">
        <f>IFERROR(__xludf.DUMMYFUNCTION("""COMPUTED_VALUE"""),18.0)</f>
        <v>18</v>
      </c>
      <c r="L6977" s="17">
        <f>IFERROR(__xludf.DUMMYFUNCTION("""COMPUTED_VALUE"""),3.166819934E9)</f>
        <v>3166819934</v>
      </c>
      <c r="M6977" s="17" t="str">
        <f>IFERROR(__xludf.DUMMYFUNCTION("""COMPUTED_VALUE"""),"#REF!")</f>
        <v>#REF!</v>
      </c>
      <c r="N6977" s="17"/>
      <c r="O6977" s="17"/>
      <c r="P6977" s="17" t="b">
        <f>IFERROR(__xludf.DUMMYFUNCTION("""COMPUTED_VALUE"""),FALSE)</f>
        <v>0</v>
      </c>
      <c r="Q6977" s="20" t="str">
        <f>IFERROR(__xludf.DUMMYFUNCTION("""COMPUTED_VALUE"""),"")</f>
        <v/>
      </c>
      <c r="R6977" s="22" t="str">
        <f>IFERROR(__xludf.DUMMYFUNCTION("""COMPUTED_VALUE"""),"")</f>
        <v/>
      </c>
    </row>
    <row r="6978">
      <c r="A6978" s="15">
        <f>IFERROR(__xludf.DUMMYFUNCTION("""COMPUTED_VALUE"""),45197.0)</f>
        <v>45197</v>
      </c>
      <c r="B6978" s="16" t="str">
        <f>IFERROR(__xludf.DUMMYFUNCTION("""COMPUTED_VALUE"""),"Envia")</f>
        <v>Envia</v>
      </c>
      <c r="C6978" s="15" t="str">
        <f>IFERROR(__xludf.DUMMYFUNCTION("""COMPUTED_VALUE"""),"NEIVA")</f>
        <v>NEIVA</v>
      </c>
      <c r="D6978" s="15" t="str">
        <f>IFERROR(__xludf.DUMMYFUNCTION("""COMPUTED_VALUE"""),"BOGOTÁ")</f>
        <v>BOGOTÁ</v>
      </c>
      <c r="E6978" s="15" t="str">
        <f>IFERROR(__xludf.DUMMYFUNCTION("""COMPUTED_VALUE"""),"Evamazzita")</f>
        <v>Evamazzita</v>
      </c>
      <c r="F6978" s="17" t="str">
        <f>IFERROR(__xludf.DUMMYFUNCTION("""COMPUTED_VALUE"""),"Cra 11 #5-26 / edificio laureles de la concha apto 501/Altico")</f>
        <v>Cra 11 #5-26 / edificio laureles de la concha apto 501/Altico</v>
      </c>
      <c r="G6978" s="15" t="str">
        <f>IFERROR(__xludf.DUMMYFUNCTION("""COMPUTED_VALUE"""),"MANUELA CEDEÑO PEÑA")</f>
        <v>MANUELA CEDEÑO PEÑA</v>
      </c>
      <c r="H6978" s="16">
        <f>IFERROR(__xludf.DUMMYFUNCTION("""COMPUTED_VALUE"""),15701.0)</f>
        <v>15701</v>
      </c>
      <c r="I6978" s="18">
        <f>IFERROR(__xludf.DUMMYFUNCTION("""COMPUTED_VALUE"""),1.0)</f>
        <v>1</v>
      </c>
      <c r="J6978" s="18">
        <f>IFERROR(__xludf.DUMMYFUNCTION("""COMPUTED_VALUE"""),1.0)</f>
        <v>1</v>
      </c>
      <c r="K6978" s="18">
        <f>IFERROR(__xludf.DUMMYFUNCTION("""COMPUTED_VALUE"""),1.0)</f>
        <v>1</v>
      </c>
      <c r="L6978" s="17">
        <f>IFERROR(__xludf.DUMMYFUNCTION("""COMPUTED_VALUE"""),3.22365167E9)</f>
        <v>3223651670</v>
      </c>
      <c r="M6978" s="17" t="str">
        <f>IFERROR(__xludf.DUMMYFUNCTION("""COMPUTED_VALUE"""),"#REF!")</f>
        <v>#REF!</v>
      </c>
      <c r="N6978" s="17"/>
      <c r="O6978" s="17"/>
      <c r="P6978" s="17" t="b">
        <f>IFERROR(__xludf.DUMMYFUNCTION("""COMPUTED_VALUE"""),FALSE)</f>
        <v>0</v>
      </c>
      <c r="Q6978" s="20" t="str">
        <f>IFERROR(__xludf.DUMMYFUNCTION("""COMPUTED_VALUE"""),"")</f>
        <v/>
      </c>
      <c r="R6978" s="22" t="str">
        <f>IFERROR(__xludf.DUMMYFUNCTION("""COMPUTED_VALUE"""),"")</f>
        <v/>
      </c>
    </row>
    <row r="6979">
      <c r="A6979" s="15">
        <f>IFERROR(__xludf.DUMMYFUNCTION("""COMPUTED_VALUE"""),45197.0)</f>
        <v>45197</v>
      </c>
      <c r="B6979" s="16" t="str">
        <f>IFERROR(__xludf.DUMMYFUNCTION("""COMPUTED_VALUE"""),"Envia")</f>
        <v>Envia</v>
      </c>
      <c r="C6979" s="15" t="str">
        <f>IFERROR(__xludf.DUMMYFUNCTION("""COMPUTED_VALUE"""),"NEIVA")</f>
        <v>NEIVA</v>
      </c>
      <c r="D6979" s="15" t="str">
        <f>IFERROR(__xludf.DUMMYFUNCTION("""COMPUTED_VALUE"""),"BOGOTÁ")</f>
        <v>BOGOTÁ</v>
      </c>
      <c r="E6979" s="15" t="str">
        <f>IFERROR(__xludf.DUMMYFUNCTION("""COMPUTED_VALUE"""),"Ins. Alimento Vital")</f>
        <v>Ins. Alimento Vital</v>
      </c>
      <c r="F6979" s="17" t="str">
        <f>IFERROR(__xludf.DUMMYFUNCTION("""COMPUTED_VALUE"""),"CL 50 #25-75 / CIPRESES  / CIPRESES")</f>
        <v>CL 50 #25-75 / CIPRESES  / CIPRESES</v>
      </c>
      <c r="G6979" s="15" t="str">
        <f>IFERROR(__xludf.DUMMYFUNCTION("""COMPUTED_VALUE"""),"YANINY MARCELA LLANOS RAMIREZ")</f>
        <v>YANINY MARCELA LLANOS RAMIREZ</v>
      </c>
      <c r="H6979" s="16">
        <f>IFERROR(__xludf.DUMMYFUNCTION("""COMPUTED_VALUE"""),15683.0)</f>
        <v>15683</v>
      </c>
      <c r="I6979" s="18">
        <f>IFERROR(__xludf.DUMMYFUNCTION("""COMPUTED_VALUE"""),100.0)</f>
        <v>100</v>
      </c>
      <c r="J6979" s="18">
        <f>IFERROR(__xludf.DUMMYFUNCTION("""COMPUTED_VALUE"""),10.0)</f>
        <v>10</v>
      </c>
      <c r="K6979" s="18">
        <f>IFERROR(__xludf.DUMMYFUNCTION("""COMPUTED_VALUE"""),38.0)</f>
        <v>38</v>
      </c>
      <c r="L6979" s="17">
        <f>IFERROR(__xludf.DUMMYFUNCTION("""COMPUTED_VALUE"""),3.142676377E9)</f>
        <v>3142676377</v>
      </c>
      <c r="M6979" s="17" t="str">
        <f>IFERROR(__xludf.DUMMYFUNCTION("""COMPUTED_VALUE"""),"#REF!")</f>
        <v>#REF!</v>
      </c>
      <c r="N6979" s="17"/>
      <c r="O6979" s="17"/>
      <c r="P6979" s="17" t="b">
        <f>IFERROR(__xludf.DUMMYFUNCTION("""COMPUTED_VALUE"""),FALSE)</f>
        <v>0</v>
      </c>
      <c r="Q6979" s="20" t="str">
        <f>IFERROR(__xludf.DUMMYFUNCTION("""COMPUTED_VALUE"""),"")</f>
        <v/>
      </c>
      <c r="R6979" s="22" t="str">
        <f>IFERROR(__xludf.DUMMYFUNCTION("""COMPUTED_VALUE"""),"")</f>
        <v/>
      </c>
    </row>
    <row r="6980">
      <c r="A6980" s="15">
        <f>IFERROR(__xludf.DUMMYFUNCTION("""COMPUTED_VALUE"""),45197.0)</f>
        <v>45197</v>
      </c>
      <c r="B6980" s="16" t="str">
        <f>IFERROR(__xludf.DUMMYFUNCTION("""COMPUTED_VALUE"""),"Envia")</f>
        <v>Envia</v>
      </c>
      <c r="C6980" s="15" t="str">
        <f>IFERROR(__xludf.DUMMYFUNCTION("""COMPUTED_VALUE"""),"POPAYAN")</f>
        <v>POPAYAN</v>
      </c>
      <c r="D6980" s="15" t="str">
        <f>IFERROR(__xludf.DUMMYFUNCTION("""COMPUTED_VALUE"""),"BOGOTÁ")</f>
        <v>BOGOTÁ</v>
      </c>
      <c r="E6980" s="15" t="str">
        <f>IFERROR(__xludf.DUMMYFUNCTION("""COMPUTED_VALUE"""),"Karem foods")</f>
        <v>Karem foods</v>
      </c>
      <c r="F6980" s="17" t="str">
        <f>IFERROR(__xludf.DUMMYFUNCTION("""COMPUTED_VALUE"""),"Calle 12 B # 11 A 19 / diagonal a la cancha enmallada que colinda en la parte de atrás con el colegio Piloto Popayan / Barrio Los Alcázares")</f>
        <v>Calle 12 B # 11 A 19 / diagonal a la cancha enmallada que colinda en la parte de atrás con el colegio Piloto Popayan / Barrio Los Alcázares</v>
      </c>
      <c r="G6980" s="15" t="str">
        <f>IFERROR(__xludf.DUMMYFUNCTION("""COMPUTED_VALUE"""),"Norma Alegria")</f>
        <v>Norma Alegria</v>
      </c>
      <c r="H6980" s="16">
        <f>IFERROR(__xludf.DUMMYFUNCTION("""COMPUTED_VALUE"""),15582.0)</f>
        <v>15582</v>
      </c>
      <c r="I6980" s="18">
        <f>IFERROR(__xludf.DUMMYFUNCTION("""COMPUTED_VALUE"""),14.0)</f>
        <v>14</v>
      </c>
      <c r="J6980" s="18">
        <f>IFERROR(__xludf.DUMMYFUNCTION("""COMPUTED_VALUE"""),20.0)</f>
        <v>20</v>
      </c>
      <c r="K6980" s="18">
        <f>IFERROR(__xludf.DUMMYFUNCTION("""COMPUTED_VALUE"""),20.0)</f>
        <v>20</v>
      </c>
      <c r="L6980" s="17">
        <f>IFERROR(__xludf.DUMMYFUNCTION("""COMPUTED_VALUE"""),3.104611733E9)</f>
        <v>3104611733</v>
      </c>
      <c r="M6980" s="17" t="str">
        <f>IFERROR(__xludf.DUMMYFUNCTION("""COMPUTED_VALUE"""),"#REF!")</f>
        <v>#REF!</v>
      </c>
      <c r="N6980" s="17"/>
      <c r="O6980" s="17"/>
      <c r="P6980" s="17" t="b">
        <f>IFERROR(__xludf.DUMMYFUNCTION("""COMPUTED_VALUE"""),FALSE)</f>
        <v>0</v>
      </c>
      <c r="Q6980" s="20" t="str">
        <f>IFERROR(__xludf.DUMMYFUNCTION("""COMPUTED_VALUE"""),"")</f>
        <v/>
      </c>
      <c r="R6980" s="22" t="str">
        <f>IFERROR(__xludf.DUMMYFUNCTION("""COMPUTED_VALUE"""),"")</f>
        <v/>
      </c>
    </row>
    <row r="6981">
      <c r="A6981" s="15">
        <f>IFERROR(__xludf.DUMMYFUNCTION("""COMPUTED_VALUE"""),45197.0)</f>
        <v>45197</v>
      </c>
      <c r="B6981" s="16" t="str">
        <f>IFERROR(__xludf.DUMMYFUNCTION("""COMPUTED_VALUE"""),"Envia")</f>
        <v>Envia</v>
      </c>
      <c r="C6981" s="15" t="str">
        <f>IFERROR(__xludf.DUMMYFUNCTION("""COMPUTED_VALUE"""),"POPAYAN")</f>
        <v>POPAYAN</v>
      </c>
      <c r="D6981" s="15" t="str">
        <f>IFERROR(__xludf.DUMMYFUNCTION("""COMPUTED_VALUE"""),"BOGOTÁ")</f>
        <v>BOGOTÁ</v>
      </c>
      <c r="E6981" s="15" t="str">
        <f>IFERROR(__xludf.DUMMYFUNCTION("""COMPUTED_VALUE"""),"Viiva Fermentados")</f>
        <v>Viiva Fermentados</v>
      </c>
      <c r="F6981" s="17" t="str">
        <f>IFERROR(__xludf.DUMMYFUNCTION("""COMPUTED_VALUE"""),"Cra 9 # 21Norte -36  / in aqua / barrio ciudad jardín")</f>
        <v>Cra 9 # 21Norte -36  / in aqua / barrio ciudad jardín</v>
      </c>
      <c r="G6981" s="15" t="str">
        <f>IFERROR(__xludf.DUMMYFUNCTION("""COMPUTED_VALUE"""),"Leonardo camacho (1 Med + 1 Peq)")</f>
        <v>Leonardo camacho (1 Med + 1 Peq)</v>
      </c>
      <c r="H6981" s="16">
        <f>IFERROR(__xludf.DUMMYFUNCTION("""COMPUTED_VALUE"""),15678.0)</f>
        <v>15678</v>
      </c>
      <c r="I6981" s="18">
        <f>IFERROR(__xludf.DUMMYFUNCTION("""COMPUTED_VALUE"""),100.0)</f>
        <v>100</v>
      </c>
      <c r="J6981" s="18">
        <f>IFERROR(__xludf.DUMMYFUNCTION("""COMPUTED_VALUE"""),10.0)</f>
        <v>10</v>
      </c>
      <c r="K6981" s="18">
        <f>IFERROR(__xludf.DUMMYFUNCTION("""COMPUTED_VALUE"""),313875.0)</f>
        <v>313875</v>
      </c>
      <c r="L6981" s="17">
        <f>IFERROR(__xludf.DUMMYFUNCTION("""COMPUTED_VALUE"""),3.013160676E9)</f>
        <v>3013160676</v>
      </c>
      <c r="M6981" s="17" t="str">
        <f>IFERROR(__xludf.DUMMYFUNCTION("""COMPUTED_VALUE"""),"#REF!")</f>
        <v>#REF!</v>
      </c>
      <c r="N6981" s="17"/>
      <c r="O6981" s="17"/>
      <c r="P6981" s="17" t="b">
        <f>IFERROR(__xludf.DUMMYFUNCTION("""COMPUTED_VALUE"""),FALSE)</f>
        <v>0</v>
      </c>
      <c r="Q6981" s="20" t="str">
        <f>IFERROR(__xludf.DUMMYFUNCTION("""COMPUTED_VALUE"""),"")</f>
        <v/>
      </c>
      <c r="R6981" s="22" t="str">
        <f>IFERROR(__xludf.DUMMYFUNCTION("""COMPUTED_VALUE"""),"")</f>
        <v/>
      </c>
    </row>
    <row r="6982">
      <c r="A6982" s="15">
        <f>IFERROR(__xludf.DUMMYFUNCTION("""COMPUTED_VALUE"""),45197.0)</f>
        <v>45197</v>
      </c>
      <c r="B6982" s="16" t="str">
        <f>IFERROR(__xludf.DUMMYFUNCTION("""COMPUTED_VALUE"""),"Envia")</f>
        <v>Envia</v>
      </c>
      <c r="C6982" s="15" t="str">
        <f>IFERROR(__xludf.DUMMYFUNCTION("""COMPUTED_VALUE"""),"PTO COLOMBIA")</f>
        <v>PTO COLOMBIA</v>
      </c>
      <c r="D6982" s="15" t="str">
        <f>IFERROR(__xludf.DUMMYFUNCTION("""COMPUTED_VALUE"""),"BOGOTÁ")</f>
        <v>BOGOTÁ</v>
      </c>
      <c r="E6982" s="15" t="str">
        <f>IFERROR(__xludf.DUMMYFUNCTION("""COMPUTED_VALUE"""),"Top Spun")</f>
        <v>Top Spun</v>
      </c>
      <c r="F6982" s="17" t="str">
        <f>IFERROR(__xludf.DUMMYFUNCTION("""COMPUTED_VALUE"""),"Calle 3b transv 3b-105 / 8-802 / Plazuela del mar 2")</f>
        <v>Calle 3b transv 3b-105 / 8-802 / Plazuela del mar 2</v>
      </c>
      <c r="G6982" s="15" t="str">
        <f>IFERROR(__xludf.DUMMYFUNCTION("""COMPUTED_VALUE"""),"Tania Corrales")</f>
        <v>Tania Corrales</v>
      </c>
      <c r="H6982" s="16">
        <f>IFERROR(__xludf.DUMMYFUNCTION("""COMPUTED_VALUE"""),15661.0)</f>
        <v>15661</v>
      </c>
      <c r="I6982" s="18">
        <f>IFERROR(__xludf.DUMMYFUNCTION("""COMPUTED_VALUE"""),50.0)</f>
        <v>50</v>
      </c>
      <c r="J6982" s="18">
        <f>IFERROR(__xludf.DUMMYFUNCTION("""COMPUTED_VALUE"""),30.0)</f>
        <v>30</v>
      </c>
      <c r="K6982" s="18">
        <f>IFERROR(__xludf.DUMMYFUNCTION("""COMPUTED_VALUE"""),21.0)</f>
        <v>21</v>
      </c>
      <c r="L6982" s="17">
        <f>IFERROR(__xludf.DUMMYFUNCTION("""COMPUTED_VALUE"""),3.145106452E9)</f>
        <v>3145106452</v>
      </c>
      <c r="M6982" s="17" t="str">
        <f>IFERROR(__xludf.DUMMYFUNCTION("""COMPUTED_VALUE"""),"#REF!")</f>
        <v>#REF!</v>
      </c>
      <c r="N6982" s="17"/>
      <c r="O6982" s="17"/>
      <c r="P6982" s="17" t="b">
        <f>IFERROR(__xludf.DUMMYFUNCTION("""COMPUTED_VALUE"""),FALSE)</f>
        <v>0</v>
      </c>
      <c r="Q6982" s="20" t="str">
        <f>IFERROR(__xludf.DUMMYFUNCTION("""COMPUTED_VALUE"""),"")</f>
        <v/>
      </c>
      <c r="R6982" s="22" t="str">
        <f>IFERROR(__xludf.DUMMYFUNCTION("""COMPUTED_VALUE"""),"")</f>
        <v/>
      </c>
    </row>
    <row r="6983">
      <c r="A6983" s="15">
        <f>IFERROR(__xludf.DUMMYFUNCTION("""COMPUTED_VALUE"""),45197.0)</f>
        <v>45197</v>
      </c>
      <c r="B6983" s="16" t="str">
        <f>IFERROR(__xludf.DUMMYFUNCTION("""COMPUTED_VALUE"""),"Envia")</f>
        <v>Envia</v>
      </c>
      <c r="C6983" s="15" t="str">
        <f>IFERROR(__xludf.DUMMYFUNCTION("""COMPUTED_VALUE"""),"VILLAVICENCIO")</f>
        <v>VILLAVICENCIO</v>
      </c>
      <c r="D6983" s="15" t="str">
        <f>IFERROR(__xludf.DUMMYFUNCTION("""COMPUTED_VALUE"""),"BOGOTÁ")</f>
        <v>BOGOTÁ</v>
      </c>
      <c r="E6983" s="15" t="str">
        <f>IFERROR(__xludf.DUMMYFUNCTION("""COMPUTED_VALUE"""),"Evamazzita")</f>
        <v>Evamazzita</v>
      </c>
      <c r="F6983" s="17" t="str">
        <f>IFERROR(__xludf.DUMMYFUNCTION("""COMPUTED_VALUE"""),"Cra 44#13-38 / aprt 308 edificio VIZION  Barrio: el buque")</f>
        <v>Cra 44#13-38 / aprt 308 edificio VIZION  Barrio: el buque</v>
      </c>
      <c r="G6983" s="15" t="str">
        <f>IFERROR(__xludf.DUMMYFUNCTION("""COMPUTED_VALUE"""),"MONICA GONZALEZ - VILLAVICENCIO")</f>
        <v>MONICA GONZALEZ - VILLAVICENCIO</v>
      </c>
      <c r="H6983" s="16">
        <f>IFERROR(__xludf.DUMMYFUNCTION("""COMPUTED_VALUE"""),15710.0)</f>
        <v>15710</v>
      </c>
      <c r="I6983" s="18">
        <f>IFERROR(__xludf.DUMMYFUNCTION("""COMPUTED_VALUE"""),1.0)</f>
        <v>1</v>
      </c>
      <c r="J6983" s="18">
        <f>IFERROR(__xludf.DUMMYFUNCTION("""COMPUTED_VALUE"""),1.0)</f>
        <v>1</v>
      </c>
      <c r="K6983" s="18">
        <f>IFERROR(__xludf.DUMMYFUNCTION("""COMPUTED_VALUE"""),1.0)</f>
        <v>1</v>
      </c>
      <c r="L6983" s="17">
        <f>IFERROR(__xludf.DUMMYFUNCTION("""COMPUTED_VALUE"""),3.023889775E9)</f>
        <v>3023889775</v>
      </c>
      <c r="M6983" s="17" t="str">
        <f>IFERROR(__xludf.DUMMYFUNCTION("""COMPUTED_VALUE"""),"#REF!")</f>
        <v>#REF!</v>
      </c>
      <c r="N6983" s="17"/>
      <c r="O6983" s="17"/>
      <c r="P6983" s="17" t="b">
        <f>IFERROR(__xludf.DUMMYFUNCTION("""COMPUTED_VALUE"""),FALSE)</f>
        <v>0</v>
      </c>
      <c r="Q6983" s="20" t="str">
        <f>IFERROR(__xludf.DUMMYFUNCTION("""COMPUTED_VALUE"""),"")</f>
        <v/>
      </c>
      <c r="R6983" s="21" t="str">
        <f>IFERROR(__xludf.DUMMYFUNCTION("""COMPUTED_VALUE"""),"https://drive.google.com/file/d/16hUn4fvYICXazeuaoLfHi4-ctf2-BmFh/view?usp=drivesdk")</f>
        <v>https://drive.google.com/file/d/16hUn4fvYICXazeuaoLfHi4-ctf2-BmFh/view?usp=drivesdk</v>
      </c>
    </row>
    <row r="6984">
      <c r="A6984" s="17" t="str">
        <f>IFERROR(__xludf.DUMMYFUNCTION("""COMPUTED_VALUE"""),"")</f>
        <v/>
      </c>
      <c r="B6984" s="17" t="str">
        <f>IFERROR(__xludf.DUMMYFUNCTION("""COMPUTED_VALUE"""),"")</f>
        <v/>
      </c>
      <c r="C6984" s="17" t="str">
        <f>IFERROR(__xludf.DUMMYFUNCTION("""COMPUTED_VALUE"""),"")</f>
        <v/>
      </c>
      <c r="D6984" s="17" t="str">
        <f>IFERROR(__xludf.DUMMYFUNCTION("""COMPUTED_VALUE"""),"")</f>
        <v/>
      </c>
      <c r="E6984" s="17" t="str">
        <f>IFERROR(__xludf.DUMMYFUNCTION("""COMPUTED_VALUE"""),"")</f>
        <v/>
      </c>
      <c r="F6984" s="17" t="str">
        <f>IFERROR(__xludf.DUMMYFUNCTION("""COMPUTED_VALUE"""),"")</f>
        <v/>
      </c>
      <c r="G6984" s="17" t="str">
        <f>IFERROR(__xludf.DUMMYFUNCTION("""COMPUTED_VALUE"""),"")</f>
        <v/>
      </c>
      <c r="H6984" s="17" t="str">
        <f>IFERROR(__xludf.DUMMYFUNCTION("""COMPUTED_VALUE"""),"")</f>
        <v/>
      </c>
      <c r="I6984" s="17" t="str">
        <f>IFERROR(__xludf.DUMMYFUNCTION("""COMPUTED_VALUE"""),"")</f>
        <v/>
      </c>
      <c r="J6984" s="17" t="str">
        <f>IFERROR(__xludf.DUMMYFUNCTION("""COMPUTED_VALUE"""),"")</f>
        <v/>
      </c>
      <c r="K6984" s="17" t="str">
        <f>IFERROR(__xludf.DUMMYFUNCTION("""COMPUTED_VALUE"""),"")</f>
        <v/>
      </c>
      <c r="L6984" s="17" t="str">
        <f>IFERROR(__xludf.DUMMYFUNCTION("""COMPUTED_VALUE"""),"")</f>
        <v/>
      </c>
      <c r="M6984" s="17" t="str">
        <f>IFERROR(__xludf.DUMMYFUNCTION("""COMPUTED_VALUE"""),"")</f>
        <v/>
      </c>
      <c r="N6984" s="17" t="str">
        <f>IFERROR(__xludf.DUMMYFUNCTION("""COMPUTED_VALUE"""),"")</f>
        <v/>
      </c>
      <c r="O6984" s="17" t="str">
        <f>IFERROR(__xludf.DUMMYFUNCTION("""COMPUTED_VALUE"""),"")</f>
        <v/>
      </c>
      <c r="P6984" s="17" t="str">
        <f>IFERROR(__xludf.DUMMYFUNCTION("""COMPUTED_VALUE"""),"")</f>
        <v/>
      </c>
      <c r="Q6984" s="17" t="str">
        <f>IFERROR(__xludf.DUMMYFUNCTION("""COMPUTED_VALUE"""),"")</f>
        <v/>
      </c>
      <c r="R6984" s="17" t="str">
        <f>IFERROR(__xludf.DUMMYFUNCTION("""COMPUTED_VALUE"""),"")</f>
        <v/>
      </c>
    </row>
    <row r="6985">
      <c r="A6985" s="15">
        <f>IFERROR(__xludf.DUMMYFUNCTION("""COMPUTED_VALUE"""),45197.0)</f>
        <v>45197</v>
      </c>
      <c r="B6985" s="16" t="str">
        <f>IFERROR(__xludf.DUMMYFUNCTION("""COMPUTED_VALUE"""),"Johanna Arango Barrera")</f>
        <v>Johanna Arango Barrera</v>
      </c>
      <c r="C6985" s="15" t="str">
        <f>IFERROR(__xludf.DUMMYFUNCTION("""COMPUTED_VALUE"""),"BUCARAMANGA")</f>
        <v>BUCARAMANGA</v>
      </c>
      <c r="D6985" s="15" t="str">
        <f>IFERROR(__xludf.DUMMYFUNCTION("""COMPUTED_VALUE"""),"BOGOTÁ")</f>
        <v>BOGOTÁ</v>
      </c>
      <c r="E6985" s="15" t="str">
        <f>IFERROR(__xludf.DUMMYFUNCTION("""COMPUTED_VALUE"""),"Evamazzita")</f>
        <v>Evamazzita</v>
      </c>
      <c r="F6985" s="17" t="str">
        <f>IFERROR(__xludf.DUMMYFUNCTION("""COMPUTED_VALUE"""),"Calle 17 N. 19 - 49 T 1 / Apto 703 Grand Boulevar BARRIO SAN FRANCISCO")</f>
        <v>Calle 17 N. 19 - 49 T 1 / Apto 703 Grand Boulevar BARRIO SAN FRANCISCO</v>
      </c>
      <c r="G6985" s="15" t="str">
        <f>IFERROR(__xludf.DUMMYFUNCTION("""COMPUTED_VALUE"""),"JULIETH KARINA AGUILAR BARBOSA")</f>
        <v>JULIETH KARINA AGUILAR BARBOSA</v>
      </c>
      <c r="H6985" s="16">
        <f>IFERROR(__xludf.DUMMYFUNCTION("""COMPUTED_VALUE"""),15699.0)</f>
        <v>15699</v>
      </c>
      <c r="I6985" s="18">
        <f>IFERROR(__xludf.DUMMYFUNCTION("""COMPUTED_VALUE"""),1.0)</f>
        <v>1</v>
      </c>
      <c r="J6985" s="18">
        <f>IFERROR(__xludf.DUMMYFUNCTION("""COMPUTED_VALUE"""),1.0)</f>
        <v>1</v>
      </c>
      <c r="K6985" s="18">
        <f>IFERROR(__xludf.DUMMYFUNCTION("""COMPUTED_VALUE"""),1.0)</f>
        <v>1</v>
      </c>
      <c r="L6985" s="17">
        <f>IFERROR(__xludf.DUMMYFUNCTION("""COMPUTED_VALUE"""),3.124180463E9)</f>
        <v>3124180463</v>
      </c>
      <c r="M6985" s="17" t="str">
        <f>IFERROR(__xludf.DUMMYFUNCTION("""COMPUTED_VALUE"""),"#REF!")</f>
        <v>#REF!</v>
      </c>
      <c r="N6985" s="17"/>
      <c r="O6985" s="17"/>
      <c r="P6985" s="17" t="b">
        <f>IFERROR(__xludf.DUMMYFUNCTION("""COMPUTED_VALUE"""),TRUE)</f>
        <v>1</v>
      </c>
      <c r="Q6985" s="20">
        <f>IFERROR(__xludf.DUMMYFUNCTION("""COMPUTED_VALUE"""),45199.31610564815)</f>
        <v>45199.31611</v>
      </c>
      <c r="R6985" s="22" t="str">
        <f>IFERROR(__xludf.DUMMYFUNCTION("""COMPUTED_VALUE"""),"")</f>
        <v/>
      </c>
    </row>
    <row r="6986">
      <c r="A6986" s="15">
        <f>IFERROR(__xludf.DUMMYFUNCTION("""COMPUTED_VALUE"""),45197.0)</f>
        <v>45197</v>
      </c>
      <c r="B6986" s="16" t="str">
        <f>IFERROR(__xludf.DUMMYFUNCTION("""COMPUTED_VALUE"""),"Johanna Arango Barrera")</f>
        <v>Johanna Arango Barrera</v>
      </c>
      <c r="C6986" s="15" t="str">
        <f>IFERROR(__xludf.DUMMYFUNCTION("""COMPUTED_VALUE"""),"BUCARAMANGA")</f>
        <v>BUCARAMANGA</v>
      </c>
      <c r="D6986" s="15" t="str">
        <f>IFERROR(__xludf.DUMMYFUNCTION("""COMPUTED_VALUE"""),"BOGOTÁ")</f>
        <v>BOGOTÁ</v>
      </c>
      <c r="E6986" s="15" t="str">
        <f>IFERROR(__xludf.DUMMYFUNCTION("""COMPUTED_VALUE"""),"Evamazzita")</f>
        <v>Evamazzita</v>
      </c>
      <c r="F6986" s="17" t="str">
        <f>IFERROR(__xludf.DUMMYFUNCTION("""COMPUTED_VALUE"""),"Calle 20#30-24 / apto 801 San Alonso")</f>
        <v>Calle 20#30-24 / apto 801 San Alonso</v>
      </c>
      <c r="G6986" s="15" t="str">
        <f>IFERROR(__xludf.DUMMYFUNCTION("""COMPUTED_VALUE"""),"INGRID CECILIA MONTAÑEZ LOPEZ")</f>
        <v>INGRID CECILIA MONTAÑEZ LOPEZ</v>
      </c>
      <c r="H6986" s="16">
        <f>IFERROR(__xludf.DUMMYFUNCTION("""COMPUTED_VALUE"""),15697.0)</f>
        <v>15697</v>
      </c>
      <c r="I6986" s="18">
        <f>IFERROR(__xludf.DUMMYFUNCTION("""COMPUTED_VALUE"""),1.0)</f>
        <v>1</v>
      </c>
      <c r="J6986" s="18">
        <f>IFERROR(__xludf.DUMMYFUNCTION("""COMPUTED_VALUE"""),1.0)</f>
        <v>1</v>
      </c>
      <c r="K6986" s="18">
        <f>IFERROR(__xludf.DUMMYFUNCTION("""COMPUTED_VALUE"""),1.0)</f>
        <v>1</v>
      </c>
      <c r="L6986" s="17">
        <f>IFERROR(__xludf.DUMMYFUNCTION("""COMPUTED_VALUE"""),3.142186622E9)</f>
        <v>3142186622</v>
      </c>
      <c r="M6986" s="17" t="str">
        <f>IFERROR(__xludf.DUMMYFUNCTION("""COMPUTED_VALUE"""),"#REF!")</f>
        <v>#REF!</v>
      </c>
      <c r="N6986" s="17"/>
      <c r="O6986" s="17"/>
      <c r="P6986" s="17" t="b">
        <f>IFERROR(__xludf.DUMMYFUNCTION("""COMPUTED_VALUE"""),TRUE)</f>
        <v>1</v>
      </c>
      <c r="Q6986" s="20">
        <f>IFERROR(__xludf.DUMMYFUNCTION("""COMPUTED_VALUE"""),45199.31610564815)</f>
        <v>45199.31611</v>
      </c>
      <c r="R6986" s="22" t="str">
        <f>IFERROR(__xludf.DUMMYFUNCTION("""COMPUTED_VALUE"""),"")</f>
        <v/>
      </c>
    </row>
    <row r="6987">
      <c r="A6987" s="15">
        <f>IFERROR(__xludf.DUMMYFUNCTION("""COMPUTED_VALUE"""),45197.0)</f>
        <v>45197</v>
      </c>
      <c r="B6987" s="16" t="str">
        <f>IFERROR(__xludf.DUMMYFUNCTION("""COMPUTED_VALUE"""),"Johanna Arango Barrera")</f>
        <v>Johanna Arango Barrera</v>
      </c>
      <c r="C6987" s="15" t="str">
        <f>IFERROR(__xludf.DUMMYFUNCTION("""COMPUTED_VALUE"""),"BUCARAMANGA")</f>
        <v>BUCARAMANGA</v>
      </c>
      <c r="D6987" s="15" t="str">
        <f>IFERROR(__xludf.DUMMYFUNCTION("""COMPUTED_VALUE"""),"BOGOTÁ")</f>
        <v>BOGOTÁ</v>
      </c>
      <c r="E6987" s="15" t="str">
        <f>IFERROR(__xludf.DUMMYFUNCTION("""COMPUTED_VALUE"""),"Evamazzita")</f>
        <v>Evamazzita</v>
      </c>
      <c r="F6987" s="17" t="str">
        <f>IFERROR(__xludf.DUMMYFUNCTION("""COMPUTED_VALUE"""),"CALLE 54 # 23 - 12 / NUEVO SOTOMAYOR APTO 301 DIAGONAL A DROGAS PAGUE MENOS")</f>
        <v>CALLE 54 # 23 - 12 / NUEVO SOTOMAYOR APTO 301 DIAGONAL A DROGAS PAGUE MENOS</v>
      </c>
      <c r="G6987" s="15" t="str">
        <f>IFERROR(__xludf.DUMMYFUNCTION("""COMPUTED_VALUE"""),"LEYDI JOHANA GALVIS AMAYA")</f>
        <v>LEYDI JOHANA GALVIS AMAYA</v>
      </c>
      <c r="H6987" s="16">
        <f>IFERROR(__xludf.DUMMYFUNCTION("""COMPUTED_VALUE"""),15693.0)</f>
        <v>15693</v>
      </c>
      <c r="I6987" s="18">
        <f>IFERROR(__xludf.DUMMYFUNCTION("""COMPUTED_VALUE"""),1.0)</f>
        <v>1</v>
      </c>
      <c r="J6987" s="18">
        <f>IFERROR(__xludf.DUMMYFUNCTION("""COMPUTED_VALUE"""),1.0)</f>
        <v>1</v>
      </c>
      <c r="K6987" s="18">
        <f>IFERROR(__xludf.DUMMYFUNCTION("""COMPUTED_VALUE"""),1.0)</f>
        <v>1</v>
      </c>
      <c r="L6987" s="17">
        <f>IFERROR(__xludf.DUMMYFUNCTION("""COMPUTED_VALUE"""),3.174719982E9)</f>
        <v>3174719982</v>
      </c>
      <c r="M6987" s="17" t="str">
        <f>IFERROR(__xludf.DUMMYFUNCTION("""COMPUTED_VALUE"""),"#REF!")</f>
        <v>#REF!</v>
      </c>
      <c r="N6987" s="17"/>
      <c r="O6987" s="17"/>
      <c r="P6987" s="17" t="b">
        <f>IFERROR(__xludf.DUMMYFUNCTION("""COMPUTED_VALUE"""),TRUE)</f>
        <v>1</v>
      </c>
      <c r="Q6987" s="20">
        <f>IFERROR(__xludf.DUMMYFUNCTION("""COMPUTED_VALUE"""),45199.31610564815)</f>
        <v>45199.31611</v>
      </c>
      <c r="R6987" s="22" t="str">
        <f>IFERROR(__xludf.DUMMYFUNCTION("""COMPUTED_VALUE"""),"")</f>
        <v/>
      </c>
    </row>
    <row r="6988">
      <c r="A6988" s="15">
        <f>IFERROR(__xludf.DUMMYFUNCTION("""COMPUTED_VALUE"""),45197.0)</f>
        <v>45197</v>
      </c>
      <c r="B6988" s="16" t="str">
        <f>IFERROR(__xludf.DUMMYFUNCTION("""COMPUTED_VALUE"""),"Johanna Arango Barrera")</f>
        <v>Johanna Arango Barrera</v>
      </c>
      <c r="C6988" s="15" t="str">
        <f>IFERROR(__xludf.DUMMYFUNCTION("""COMPUTED_VALUE"""),"BUCARAMANGA")</f>
        <v>BUCARAMANGA</v>
      </c>
      <c r="D6988" s="15" t="str">
        <f>IFERROR(__xludf.DUMMYFUNCTION("""COMPUTED_VALUE"""),"BOGOTÁ")</f>
        <v>BOGOTÁ</v>
      </c>
      <c r="E6988" s="15" t="str">
        <f>IFERROR(__xludf.DUMMYFUNCTION("""COMPUTED_VALUE"""),"Evamazzita")</f>
        <v>Evamazzita</v>
      </c>
      <c r="F6988" s="17" t="str">
        <f>IFERROR(__xludf.DUMMYFUNCTION("""COMPUTED_VALUE"""),"carrera 33 # 91-52 / torre 2 apartamento 1901 conjunto Monviso")</f>
        <v>carrera 33 # 91-52 / torre 2 apartamento 1901 conjunto Monviso</v>
      </c>
      <c r="G6988" s="15" t="str">
        <f>IFERROR(__xludf.DUMMYFUNCTION("""COMPUTED_VALUE"""),"JENNY KATTERINE ALVAREZ")</f>
        <v>JENNY KATTERINE ALVAREZ</v>
      </c>
      <c r="H6988" s="16">
        <f>IFERROR(__xludf.DUMMYFUNCTION("""COMPUTED_VALUE"""),15696.0)</f>
        <v>15696</v>
      </c>
      <c r="I6988" s="18">
        <f>IFERROR(__xludf.DUMMYFUNCTION("""COMPUTED_VALUE"""),1.0)</f>
        <v>1</v>
      </c>
      <c r="J6988" s="18">
        <f>IFERROR(__xludf.DUMMYFUNCTION("""COMPUTED_VALUE"""),1.0)</f>
        <v>1</v>
      </c>
      <c r="K6988" s="18">
        <f>IFERROR(__xludf.DUMMYFUNCTION("""COMPUTED_VALUE"""),1.0)</f>
        <v>1</v>
      </c>
      <c r="L6988" s="17">
        <f>IFERROR(__xludf.DUMMYFUNCTION("""COMPUTED_VALUE"""),3.182352632E9)</f>
        <v>3182352632</v>
      </c>
      <c r="M6988" s="17" t="str">
        <f>IFERROR(__xludf.DUMMYFUNCTION("""COMPUTED_VALUE"""),"#REF!")</f>
        <v>#REF!</v>
      </c>
      <c r="N6988" s="17"/>
      <c r="O6988" s="17"/>
      <c r="P6988" s="17" t="b">
        <f>IFERROR(__xludf.DUMMYFUNCTION("""COMPUTED_VALUE"""),TRUE)</f>
        <v>1</v>
      </c>
      <c r="Q6988" s="20">
        <f>IFERROR(__xludf.DUMMYFUNCTION("""COMPUTED_VALUE"""),45199.31610564815)</f>
        <v>45199.31611</v>
      </c>
      <c r="R6988" s="22" t="str">
        <f>IFERROR(__xludf.DUMMYFUNCTION("""COMPUTED_VALUE"""),"")</f>
        <v/>
      </c>
    </row>
    <row r="6989">
      <c r="A6989" s="15">
        <f>IFERROR(__xludf.DUMMYFUNCTION("""COMPUTED_VALUE"""),45197.0)</f>
        <v>45197</v>
      </c>
      <c r="B6989" s="16" t="str">
        <f>IFERROR(__xludf.DUMMYFUNCTION("""COMPUTED_VALUE"""),"Johanna Arango Barrera")</f>
        <v>Johanna Arango Barrera</v>
      </c>
      <c r="C6989" s="15" t="str">
        <f>IFERROR(__xludf.DUMMYFUNCTION("""COMPUTED_VALUE"""),"BUCARAMANGA")</f>
        <v>BUCARAMANGA</v>
      </c>
      <c r="D6989" s="15" t="str">
        <f>IFERROR(__xludf.DUMMYFUNCTION("""COMPUTED_VALUE"""),"BOGOTÁ")</f>
        <v>BOGOTÁ</v>
      </c>
      <c r="E6989" s="15" t="str">
        <f>IFERROR(__xludf.DUMMYFUNCTION("""COMPUTED_VALUE"""),"Evamazzita")</f>
        <v>Evamazzita</v>
      </c>
      <c r="F6989" s="17" t="str">
        <f>IFERROR(__xludf.DUMMYFUNCTION("""COMPUTED_VALUE"""),"Cra 23 # 48-41 / Edificio Irazu, apto 1502")</f>
        <v>Cra 23 # 48-41 / Edificio Irazu, apto 1502</v>
      </c>
      <c r="G6989" s="15" t="str">
        <f>IFERROR(__xludf.DUMMYFUNCTION("""COMPUTED_VALUE"""),"KARINA BONILLA ARDILA")</f>
        <v>KARINA BONILLA ARDILA</v>
      </c>
      <c r="H6989" s="16">
        <f>IFERROR(__xludf.DUMMYFUNCTION("""COMPUTED_VALUE"""),15695.0)</f>
        <v>15695</v>
      </c>
      <c r="I6989" s="18">
        <f>IFERROR(__xludf.DUMMYFUNCTION("""COMPUTED_VALUE"""),1.0)</f>
        <v>1</v>
      </c>
      <c r="J6989" s="18">
        <f>IFERROR(__xludf.DUMMYFUNCTION("""COMPUTED_VALUE"""),1.0)</f>
        <v>1</v>
      </c>
      <c r="K6989" s="18">
        <f>IFERROR(__xludf.DUMMYFUNCTION("""COMPUTED_VALUE"""),1.0)</f>
        <v>1</v>
      </c>
      <c r="L6989" s="17">
        <f>IFERROR(__xludf.DUMMYFUNCTION("""COMPUTED_VALUE"""),3.005282763E9)</f>
        <v>3005282763</v>
      </c>
      <c r="M6989" s="17" t="str">
        <f>IFERROR(__xludf.DUMMYFUNCTION("""COMPUTED_VALUE"""),"#REF!")</f>
        <v>#REF!</v>
      </c>
      <c r="N6989" s="17"/>
      <c r="O6989" s="17"/>
      <c r="P6989" s="17" t="b">
        <f>IFERROR(__xludf.DUMMYFUNCTION("""COMPUTED_VALUE"""),TRUE)</f>
        <v>1</v>
      </c>
      <c r="Q6989" s="20">
        <f>IFERROR(__xludf.DUMMYFUNCTION("""COMPUTED_VALUE"""),45199.31610564815)</f>
        <v>45199.31611</v>
      </c>
      <c r="R6989" s="22" t="str">
        <f>IFERROR(__xludf.DUMMYFUNCTION("""COMPUTED_VALUE"""),"")</f>
        <v/>
      </c>
    </row>
    <row r="6990">
      <c r="A6990" s="15">
        <f>IFERROR(__xludf.DUMMYFUNCTION("""COMPUTED_VALUE"""),45197.0)</f>
        <v>45197</v>
      </c>
      <c r="B6990" s="16" t="str">
        <f>IFERROR(__xludf.DUMMYFUNCTION("""COMPUTED_VALUE"""),"Johanna Arango Barrera")</f>
        <v>Johanna Arango Barrera</v>
      </c>
      <c r="C6990" s="15" t="str">
        <f>IFERROR(__xludf.DUMMYFUNCTION("""COMPUTED_VALUE"""),"BUCARAMANGA")</f>
        <v>BUCARAMANGA</v>
      </c>
      <c r="D6990" s="15" t="str">
        <f>IFERROR(__xludf.DUMMYFUNCTION("""COMPUTED_VALUE"""),"BOGOTÁ")</f>
        <v>BOGOTÁ</v>
      </c>
      <c r="E6990" s="15" t="str">
        <f>IFERROR(__xludf.DUMMYFUNCTION("""COMPUTED_VALUE"""),"Evamazzita")</f>
        <v>Evamazzita</v>
      </c>
      <c r="F6990" s="17" t="str">
        <f>IFERROR(__xludf.DUMMYFUNCTION("""COMPUTED_VALUE"""),"Crr 27A N48-62. / Torre a - 402. Palmas de Mardel BARRIO SOTOMAYOR")</f>
        <v>Crr 27A N48-62. / Torre a - 402. Palmas de Mardel BARRIO SOTOMAYOR</v>
      </c>
      <c r="G6990" s="15" t="str">
        <f>IFERROR(__xludf.DUMMYFUNCTION("""COMPUTED_VALUE"""),"LUCYNI MARCELA MENDOZA RIVERA")</f>
        <v>LUCYNI MARCELA MENDOZA RIVERA</v>
      </c>
      <c r="H6990" s="16">
        <f>IFERROR(__xludf.DUMMYFUNCTION("""COMPUTED_VALUE"""),15698.0)</f>
        <v>15698</v>
      </c>
      <c r="I6990" s="18">
        <f>IFERROR(__xludf.DUMMYFUNCTION("""COMPUTED_VALUE"""),1.0)</f>
        <v>1</v>
      </c>
      <c r="J6990" s="18">
        <f>IFERROR(__xludf.DUMMYFUNCTION("""COMPUTED_VALUE"""),1.0)</f>
        <v>1</v>
      </c>
      <c r="K6990" s="18">
        <f>IFERROR(__xludf.DUMMYFUNCTION("""COMPUTED_VALUE"""),1.0)</f>
        <v>1</v>
      </c>
      <c r="L6990" s="17">
        <f>IFERROR(__xludf.DUMMYFUNCTION("""COMPUTED_VALUE"""),3.158277288E9)</f>
        <v>3158277288</v>
      </c>
      <c r="M6990" s="17" t="str">
        <f>IFERROR(__xludf.DUMMYFUNCTION("""COMPUTED_VALUE"""),"#REF!")</f>
        <v>#REF!</v>
      </c>
      <c r="N6990" s="17"/>
      <c r="O6990" s="17"/>
      <c r="P6990" s="17" t="b">
        <f>IFERROR(__xludf.DUMMYFUNCTION("""COMPUTED_VALUE"""),TRUE)</f>
        <v>1</v>
      </c>
      <c r="Q6990" s="20">
        <f>IFERROR(__xludf.DUMMYFUNCTION("""COMPUTED_VALUE"""),45199.31610564815)</f>
        <v>45199.31611</v>
      </c>
      <c r="R6990" s="22" t="str">
        <f>IFERROR(__xludf.DUMMYFUNCTION("""COMPUTED_VALUE"""),"")</f>
        <v/>
      </c>
    </row>
    <row r="6991">
      <c r="A6991" s="15">
        <f>IFERROR(__xludf.DUMMYFUNCTION("""COMPUTED_VALUE"""),45197.0)</f>
        <v>45197</v>
      </c>
      <c r="B6991" s="16" t="str">
        <f>IFERROR(__xludf.DUMMYFUNCTION("""COMPUTED_VALUE"""),"Johanna Arango Barrera")</f>
        <v>Johanna Arango Barrera</v>
      </c>
      <c r="C6991" s="15" t="str">
        <f>IFERROR(__xludf.DUMMYFUNCTION("""COMPUTED_VALUE"""),"BUCARAMANGA")</f>
        <v>BUCARAMANGA</v>
      </c>
      <c r="D6991" s="15" t="str">
        <f>IFERROR(__xludf.DUMMYFUNCTION("""COMPUTED_VALUE"""),"BOGOTÁ")</f>
        <v>BOGOTÁ</v>
      </c>
      <c r="E6991" s="15" t="str">
        <f>IFERROR(__xludf.DUMMYFUNCTION("""COMPUTED_VALUE"""),"Ins. Alimento Vital")</f>
        <v>Ins. Alimento Vital</v>
      </c>
      <c r="F6991" s="17" t="str">
        <f>IFERROR(__xludf.DUMMYFUNCTION("""COMPUTED_VALUE"""),"CL 71 # 53-92 / CA 12 CON ALTOS DE CANTARELA  / BARRIO LAGOS DEL CACIQUE")</f>
        <v>CL 71 # 53-92 / CA 12 CON ALTOS DE CANTARELA  / BARRIO LAGOS DEL CACIQUE</v>
      </c>
      <c r="G6991" s="15" t="str">
        <f>IFERROR(__xludf.DUMMYFUNCTION("""COMPUTED_VALUE"""),"YAMILE EDILMA FRANCO RUEDA")</f>
        <v>YAMILE EDILMA FRANCO RUEDA</v>
      </c>
      <c r="H6991" s="16">
        <f>IFERROR(__xludf.DUMMYFUNCTION("""COMPUTED_VALUE"""),15681.0)</f>
        <v>15681</v>
      </c>
      <c r="I6991" s="18">
        <f>IFERROR(__xludf.DUMMYFUNCTION("""COMPUTED_VALUE"""),100.0)</f>
        <v>100</v>
      </c>
      <c r="J6991" s="18">
        <f>IFERROR(__xludf.DUMMYFUNCTION("""COMPUTED_VALUE"""),10.0)</f>
        <v>10</v>
      </c>
      <c r="K6991" s="18">
        <f>IFERROR(__xludf.DUMMYFUNCTION("""COMPUTED_VALUE"""),21.0)</f>
        <v>21</v>
      </c>
      <c r="L6991" s="17">
        <f>IFERROR(__xludf.DUMMYFUNCTION("""COMPUTED_VALUE"""),3.144711356E9)</f>
        <v>3144711356</v>
      </c>
      <c r="M6991" s="17" t="str">
        <f>IFERROR(__xludf.DUMMYFUNCTION("""COMPUTED_VALUE"""),"#REF!")</f>
        <v>#REF!</v>
      </c>
      <c r="N6991" s="17"/>
      <c r="O6991" s="17"/>
      <c r="P6991" s="17" t="b">
        <f>IFERROR(__xludf.DUMMYFUNCTION("""COMPUTED_VALUE"""),TRUE)</f>
        <v>1</v>
      </c>
      <c r="Q6991" s="20">
        <f>IFERROR(__xludf.DUMMYFUNCTION("""COMPUTED_VALUE"""),45199.31610564815)</f>
        <v>45199.31611</v>
      </c>
      <c r="R6991" s="22" t="str">
        <f>IFERROR(__xludf.DUMMYFUNCTION("""COMPUTED_VALUE"""),"")</f>
        <v/>
      </c>
    </row>
    <row r="6992">
      <c r="A6992" s="15">
        <f>IFERROR(__xludf.DUMMYFUNCTION("""COMPUTED_VALUE"""),45197.0)</f>
        <v>45197</v>
      </c>
      <c r="B6992" s="16" t="str">
        <f>IFERROR(__xludf.DUMMYFUNCTION("""COMPUTED_VALUE"""),"Johanna Arango Barrera")</f>
        <v>Johanna Arango Barrera</v>
      </c>
      <c r="C6992" s="15" t="str">
        <f>IFERROR(__xludf.DUMMYFUNCTION("""COMPUTED_VALUE"""),"BUCARAMANGA")</f>
        <v>BUCARAMANGA</v>
      </c>
      <c r="D6992" s="15" t="str">
        <f>IFERROR(__xludf.DUMMYFUNCTION("""COMPUTED_VALUE"""),"BOGOTÁ")</f>
        <v>BOGOTÁ</v>
      </c>
      <c r="E6992" s="15" t="str">
        <f>IFERROR(__xludf.DUMMYFUNCTION("""COMPUTED_VALUE"""),"Pan de Waffle")</f>
        <v>Pan de Waffle</v>
      </c>
      <c r="F6992" s="17" t="str">
        <f>IFERROR(__xludf.DUMMYFUNCTION("""COMPUTED_VALUE"""),"Carrera 31 # 50 - 27 / Carrera 31 # 50 - 27 / Carrera 31 # 50 - 27")</f>
        <v>Carrera 31 # 50 - 27 / Carrera 31 # 50 - 27 / Carrera 31 # 50 - 27</v>
      </c>
      <c r="G6992" s="15" t="str">
        <f>IFERROR(__xludf.DUMMYFUNCTION("""COMPUTED_VALUE"""),"FOODOLOGY B/MANGA")</f>
        <v>FOODOLOGY B/MANGA</v>
      </c>
      <c r="H6992" s="16">
        <f>IFERROR(__xludf.DUMMYFUNCTION("""COMPUTED_VALUE"""),15712.0)</f>
        <v>15712</v>
      </c>
      <c r="I6992" s="18">
        <f>IFERROR(__xludf.DUMMYFUNCTION("""COMPUTED_VALUE"""),30.0)</f>
        <v>30</v>
      </c>
      <c r="J6992" s="18">
        <f>IFERROR(__xludf.DUMMYFUNCTION("""COMPUTED_VALUE"""),30.0)</f>
        <v>30</v>
      </c>
      <c r="K6992" s="18">
        <f>IFERROR(__xludf.DUMMYFUNCTION("""COMPUTED_VALUE"""),40.0)</f>
        <v>40</v>
      </c>
      <c r="L6992" s="17">
        <f>IFERROR(__xludf.DUMMYFUNCTION("""COMPUTED_VALUE"""),3.017001909E9)</f>
        <v>3017001909</v>
      </c>
      <c r="M6992" s="17" t="str">
        <f>IFERROR(__xludf.DUMMYFUNCTION("""COMPUTED_VALUE"""),"#REF!")</f>
        <v>#REF!</v>
      </c>
      <c r="N6992" s="17"/>
      <c r="O6992" s="17"/>
      <c r="P6992" s="17" t="b">
        <f>IFERROR(__xludf.DUMMYFUNCTION("""COMPUTED_VALUE"""),TRUE)</f>
        <v>1</v>
      </c>
      <c r="Q6992" s="20">
        <f>IFERROR(__xludf.DUMMYFUNCTION("""COMPUTED_VALUE"""),45199.316105659724)</f>
        <v>45199.31611</v>
      </c>
      <c r="R6992" s="22" t="str">
        <f>IFERROR(__xludf.DUMMYFUNCTION("""COMPUTED_VALUE"""),"")</f>
        <v/>
      </c>
    </row>
    <row r="6993">
      <c r="A6993" s="15">
        <f>IFERROR(__xludf.DUMMYFUNCTION("""COMPUTED_VALUE"""),45197.0)</f>
        <v>45197</v>
      </c>
      <c r="B6993" s="16" t="str">
        <f>IFERROR(__xludf.DUMMYFUNCTION("""COMPUTED_VALUE"""),"Johanna Arango Barrera")</f>
        <v>Johanna Arango Barrera</v>
      </c>
      <c r="C6993" s="15" t="str">
        <f>IFERROR(__xludf.DUMMYFUNCTION("""COMPUTED_VALUE"""),"PEREIRA")</f>
        <v>PEREIRA</v>
      </c>
      <c r="D6993" s="15" t="str">
        <f>IFERROR(__xludf.DUMMYFUNCTION("""COMPUTED_VALUE"""),"BOGOTÁ")</f>
        <v>BOGOTÁ</v>
      </c>
      <c r="E6993" s="15" t="str">
        <f>IFERROR(__xludf.DUMMYFUNCTION("""COMPUTED_VALUE"""),"Ins. Alimento Vital")</f>
        <v>Ins. Alimento Vital</v>
      </c>
      <c r="F6993" s="17" t="str">
        <f>IFERROR(__xludf.DUMMYFUNCTION("""COMPUTED_VALUE"""),"CR 5# 18-43 / EDI CHALJUB / BARRIO URIBE")</f>
        <v>CR 5# 18-43 / EDI CHALJUB / BARRIO URIBE</v>
      </c>
      <c r="G6993" s="15" t="str">
        <f>IFERROR(__xludf.DUMMYFUNCTION("""COMPUTED_VALUE"""),"CAHLJUB")</f>
        <v>CAHLJUB</v>
      </c>
      <c r="H6993" s="16">
        <f>IFERROR(__xludf.DUMMYFUNCTION("""COMPUTED_VALUE"""),15680.0)</f>
        <v>15680</v>
      </c>
      <c r="I6993" s="18">
        <f>IFERROR(__xludf.DUMMYFUNCTION("""COMPUTED_VALUE"""),55.0)</f>
        <v>55</v>
      </c>
      <c r="J6993" s="18">
        <f>IFERROR(__xludf.DUMMYFUNCTION("""COMPUTED_VALUE"""),45.0)</f>
        <v>45</v>
      </c>
      <c r="K6993" s="18" t="str">
        <f>IFERROR(__xludf.DUMMYFUNCTION("""COMPUTED_VALUE"""),"52.5")</f>
        <v>52.5</v>
      </c>
      <c r="L6993" s="17">
        <f>IFERROR(__xludf.DUMMYFUNCTION("""COMPUTED_VALUE"""),3.002852529E9)</f>
        <v>3002852529</v>
      </c>
      <c r="M6993" s="17" t="str">
        <f>IFERROR(__xludf.DUMMYFUNCTION("""COMPUTED_VALUE"""),"#REF!")</f>
        <v>#REF!</v>
      </c>
      <c r="N6993" s="17"/>
      <c r="O6993" s="17"/>
      <c r="P6993" s="17" t="b">
        <f>IFERROR(__xludf.DUMMYFUNCTION("""COMPUTED_VALUE"""),TRUE)</f>
        <v>1</v>
      </c>
      <c r="Q6993" s="20">
        <f>IFERROR(__xludf.DUMMYFUNCTION("""COMPUTED_VALUE"""),45199.316105659724)</f>
        <v>45199.31611</v>
      </c>
      <c r="R6993" s="22" t="str">
        <f>IFERROR(__xludf.DUMMYFUNCTION("""COMPUTED_VALUE"""),"")</f>
        <v/>
      </c>
    </row>
    <row r="6994">
      <c r="A6994" s="15">
        <f>IFERROR(__xludf.DUMMYFUNCTION("""COMPUTED_VALUE"""),45197.0)</f>
        <v>45197</v>
      </c>
      <c r="B6994" s="16" t="str">
        <f>IFERROR(__xludf.DUMMYFUNCTION("""COMPUTED_VALUE"""),"Johanna Arango Barrera")</f>
        <v>Johanna Arango Barrera</v>
      </c>
      <c r="C6994" s="15" t="str">
        <f>IFERROR(__xludf.DUMMYFUNCTION("""COMPUTED_VALUE"""),"VILLAVICENCIO")</f>
        <v>VILLAVICENCIO</v>
      </c>
      <c r="D6994" s="15" t="str">
        <f>IFERROR(__xludf.DUMMYFUNCTION("""COMPUTED_VALUE"""),"BUCARAMANGA")</f>
        <v>BUCARAMANGA</v>
      </c>
      <c r="E6994" s="15" t="str">
        <f>IFERROR(__xludf.DUMMYFUNCTION("""COMPUTED_VALUE"""),"Yo Como Solito")</f>
        <v>Yo Como Solito</v>
      </c>
      <c r="F6994" s="17" t="str">
        <f>IFERROR(__xludf.DUMMYFUNCTION("""COMPUTED_VALUE"""),"CARRERA 40 # 5A 41 SUR CONJUNTO ALCARAVÁN TORRE 8 APARTAMENTO 305 /  CARRERA 40 # 5A 41 SUR CONJUNTO ALCARAVÁN TORRE 8 APARTAMENTO 305 /  CARRERA 40 # 5A 41 SUR CONJUNTO ALCARAVÁN TORRE 8 APARTAMENTO 305")</f>
        <v>CARRERA 40 # 5A 41 SUR CONJUNTO ALCARAVÁN TORRE 8 APARTAMENTO 305 /  CARRERA 40 # 5A 41 SUR CONJUNTO ALCARAVÁN TORRE 8 APARTAMENTO 305 /  CARRERA 40 # 5A 41 SUR CONJUNTO ALCARAVÁN TORRE 8 APARTAMENTO 305</v>
      </c>
      <c r="G6994" s="15" t="str">
        <f>IFERROR(__xludf.DUMMYFUNCTION("""COMPUTED_VALUE"""),"TATIANA CORTÉS")</f>
        <v>TATIANA CORTÉS</v>
      </c>
      <c r="H6994" s="16">
        <f>IFERROR(__xludf.DUMMYFUNCTION("""COMPUTED_VALUE"""),15519.0)</f>
        <v>15519</v>
      </c>
      <c r="I6994" s="18">
        <f>IFERROR(__xludf.DUMMYFUNCTION("""COMPUTED_VALUE"""),13.0)</f>
        <v>13</v>
      </c>
      <c r="J6994" s="18">
        <f>IFERROR(__xludf.DUMMYFUNCTION("""COMPUTED_VALUE"""),24.0)</f>
        <v>24</v>
      </c>
      <c r="K6994" s="18">
        <f>IFERROR(__xludf.DUMMYFUNCTION("""COMPUTED_VALUE"""),26.0)</f>
        <v>26</v>
      </c>
      <c r="L6994" s="17">
        <f>IFERROR(__xludf.DUMMYFUNCTION("""COMPUTED_VALUE"""),3.006485514E9)</f>
        <v>3006485514</v>
      </c>
      <c r="M6994" s="17" t="str">
        <f>IFERROR(__xludf.DUMMYFUNCTION("""COMPUTED_VALUE"""),"#REF!")</f>
        <v>#REF!</v>
      </c>
      <c r="N6994" s="17"/>
      <c r="O6994" s="17"/>
      <c r="P6994" s="17" t="b">
        <f>IFERROR(__xludf.DUMMYFUNCTION("""COMPUTED_VALUE"""),TRUE)</f>
        <v>1</v>
      </c>
      <c r="Q6994" s="20">
        <f>IFERROR(__xludf.DUMMYFUNCTION("""COMPUTED_VALUE"""),45199.316105659724)</f>
        <v>45199.31611</v>
      </c>
      <c r="R6994" s="21" t="str">
        <f>IFERROR(__xludf.DUMMYFUNCTION("""COMPUTED_VALUE"""),"https://drive.google.com/file/d/1ULPzHSqMkt0X62eaDvgkhi8Y1HfbGv6Q/view?usp=drivesdk")</f>
        <v>https://drive.google.com/file/d/1ULPzHSqMkt0X62eaDvgkhi8Y1HfbGv6Q/view?usp=drivesdk</v>
      </c>
    </row>
    <row r="6995">
      <c r="A6995" s="17" t="str">
        <f>IFERROR(__xludf.DUMMYFUNCTION("""COMPUTED_VALUE"""),"")</f>
        <v/>
      </c>
      <c r="B6995" s="17" t="str">
        <f>IFERROR(__xludf.DUMMYFUNCTION("""COMPUTED_VALUE"""),"")</f>
        <v/>
      </c>
      <c r="C6995" s="17" t="str">
        <f>IFERROR(__xludf.DUMMYFUNCTION("""COMPUTED_VALUE"""),"")</f>
        <v/>
      </c>
      <c r="D6995" s="17" t="str">
        <f>IFERROR(__xludf.DUMMYFUNCTION("""COMPUTED_VALUE"""),"")</f>
        <v/>
      </c>
      <c r="E6995" s="17" t="str">
        <f>IFERROR(__xludf.DUMMYFUNCTION("""COMPUTED_VALUE"""),"")</f>
        <v/>
      </c>
      <c r="F6995" s="17" t="str">
        <f>IFERROR(__xludf.DUMMYFUNCTION("""COMPUTED_VALUE"""),"")</f>
        <v/>
      </c>
      <c r="G6995" s="17" t="str">
        <f>IFERROR(__xludf.DUMMYFUNCTION("""COMPUTED_VALUE"""),"")</f>
        <v/>
      </c>
      <c r="H6995" s="17" t="str">
        <f>IFERROR(__xludf.DUMMYFUNCTION("""COMPUTED_VALUE"""),"")</f>
        <v/>
      </c>
      <c r="I6995" s="17" t="str">
        <f>IFERROR(__xludf.DUMMYFUNCTION("""COMPUTED_VALUE"""),"")</f>
        <v/>
      </c>
      <c r="J6995" s="17" t="str">
        <f>IFERROR(__xludf.DUMMYFUNCTION("""COMPUTED_VALUE"""),"")</f>
        <v/>
      </c>
      <c r="K6995" s="17" t="str">
        <f>IFERROR(__xludf.DUMMYFUNCTION("""COMPUTED_VALUE"""),"")</f>
        <v/>
      </c>
      <c r="L6995" s="17" t="str">
        <f>IFERROR(__xludf.DUMMYFUNCTION("""COMPUTED_VALUE"""),"")</f>
        <v/>
      </c>
      <c r="M6995" s="17" t="str">
        <f>IFERROR(__xludf.DUMMYFUNCTION("""COMPUTED_VALUE"""),"")</f>
        <v/>
      </c>
      <c r="N6995" s="17" t="str">
        <f>IFERROR(__xludf.DUMMYFUNCTION("""COMPUTED_VALUE"""),"")</f>
        <v/>
      </c>
      <c r="O6995" s="17" t="str">
        <f>IFERROR(__xludf.DUMMYFUNCTION("""COMPUTED_VALUE"""),"")</f>
        <v/>
      </c>
      <c r="P6995" s="17" t="str">
        <f>IFERROR(__xludf.DUMMYFUNCTION("""COMPUTED_VALUE"""),"")</f>
        <v/>
      </c>
      <c r="Q6995" s="17" t="str">
        <f>IFERROR(__xludf.DUMMYFUNCTION("""COMPUTED_VALUE"""),"")</f>
        <v/>
      </c>
      <c r="R6995" s="17" t="str">
        <f>IFERROR(__xludf.DUMMYFUNCTION("""COMPUTED_VALUE"""),"")</f>
        <v/>
      </c>
    </row>
    <row r="6996">
      <c r="A6996" s="15">
        <f>IFERROR(__xludf.DUMMYFUNCTION("""COMPUTED_VALUE"""),45197.0)</f>
        <v>45197</v>
      </c>
      <c r="B6996" s="16" t="str">
        <f>IFERROR(__xludf.DUMMYFUNCTION("""COMPUTED_VALUE"""),"Julian Calderon Rodriguez ")</f>
        <v>Julian Calderon Rodriguez </v>
      </c>
      <c r="C6996" s="15" t="str">
        <f>IFERROR(__xludf.DUMMYFUNCTION("""COMPUTED_VALUE"""),"NEIVA")</f>
        <v>NEIVA</v>
      </c>
      <c r="D6996" s="15" t="str">
        <f>IFERROR(__xludf.DUMMYFUNCTION("""COMPUTED_VALUE"""),"MEDELLÍN")</f>
        <v>MEDELLÍN</v>
      </c>
      <c r="E6996" s="15" t="str">
        <f>IFERROR(__xludf.DUMMYFUNCTION("""COMPUTED_VALUE"""),"Puro Verde")</f>
        <v>Puro Verde</v>
      </c>
      <c r="F6996" s="17" t="str">
        <f>IFERROR(__xludf.DUMMYFUNCTION("""COMPUTED_VALUE"""),"CALLE  26B SUR #28-29.  / CASA 11 / CONDOMINIO VIGIA DEL VALLE")</f>
        <v>CALLE  26B SUR #28-29.  / CASA 11 / CONDOMINIO VIGIA DEL VALLE</v>
      </c>
      <c r="G6996" s="15" t="str">
        <f>IFERROR(__xludf.DUMMYFUNCTION("""COMPUTED_VALUE"""),"YULA CHING")</f>
        <v>YULA CHING</v>
      </c>
      <c r="H6996" s="16">
        <f>IFERROR(__xludf.DUMMYFUNCTION("""COMPUTED_VALUE"""),15576.0)</f>
        <v>15576</v>
      </c>
      <c r="I6996" s="18">
        <f>IFERROR(__xludf.DUMMYFUNCTION("""COMPUTED_VALUE"""),45149.0)</f>
        <v>45149</v>
      </c>
      <c r="J6996" s="18">
        <f>IFERROR(__xludf.DUMMYFUNCTION("""COMPUTED_VALUE"""),45185.0)</f>
        <v>45185</v>
      </c>
      <c r="K6996" s="18" t="str">
        <f>IFERROR(__xludf.DUMMYFUNCTION("""COMPUTED_VALUE"""),"44.1")</f>
        <v>44.1</v>
      </c>
      <c r="L6996" s="17">
        <f>IFERROR(__xludf.DUMMYFUNCTION("""COMPUTED_VALUE"""),3.18381886E9)</f>
        <v>3183818860</v>
      </c>
      <c r="M6996" s="17" t="str">
        <f>IFERROR(__xludf.DUMMYFUNCTION("""COMPUTED_VALUE"""),"#REF!")</f>
        <v>#REF!</v>
      </c>
      <c r="N6996" s="17"/>
      <c r="O6996" s="17"/>
      <c r="P6996" s="17" t="b">
        <f>IFERROR(__xludf.DUMMYFUNCTION("""COMPUTED_VALUE"""),TRUE)</f>
        <v>1</v>
      </c>
      <c r="Q6996" s="20">
        <f>IFERROR(__xludf.DUMMYFUNCTION("""COMPUTED_VALUE"""),45199.316105659724)</f>
        <v>45199.31611</v>
      </c>
      <c r="R6996" s="22" t="str">
        <f>IFERROR(__xludf.DUMMYFUNCTION("""COMPUTED_VALUE"""),"")</f>
        <v/>
      </c>
    </row>
    <row r="6997">
      <c r="A6997" s="15">
        <f>IFERROR(__xludf.DUMMYFUNCTION("""COMPUTED_VALUE"""),45197.0)</f>
        <v>45197</v>
      </c>
      <c r="B6997" s="16" t="str">
        <f>IFERROR(__xludf.DUMMYFUNCTION("""COMPUTED_VALUE"""),"Julian Calderon Rodriguez ")</f>
        <v>Julian Calderon Rodriguez </v>
      </c>
      <c r="C6997" s="15" t="str">
        <f>IFERROR(__xludf.DUMMYFUNCTION("""COMPUTED_VALUE"""),"SANTA MARTA")</f>
        <v>SANTA MARTA</v>
      </c>
      <c r="D6997" s="15" t="str">
        <f>IFERROR(__xludf.DUMMYFUNCTION("""COMPUTED_VALUE"""),"BOGOTÁ")</f>
        <v>BOGOTÁ</v>
      </c>
      <c r="E6997" s="15" t="str">
        <f>IFERROR(__xludf.DUMMYFUNCTION("""COMPUTED_VALUE"""),"Ins. Alimento Vital")</f>
        <v>Ins. Alimento Vital</v>
      </c>
      <c r="F6997" s="17" t="str">
        <f>IFERROR(__xludf.DUMMYFUNCTION("""COMPUTED_VALUE"""),"CR 1 B # 26 A 109  / EDIFICIO ALMIRANTE APTO 501 / EDIFICIO ALMIRANTE")</f>
        <v>CR 1 B # 26 A 109  / EDIFICIO ALMIRANTE APTO 501 / EDIFICIO ALMIRANTE</v>
      </c>
      <c r="G6997" s="15" t="str">
        <f>IFERROR(__xludf.DUMMYFUNCTION("""COMPUTED_VALUE"""),"VERONICA GOMEZ DE ZUBURIA")</f>
        <v>VERONICA GOMEZ DE ZUBURIA</v>
      </c>
      <c r="H6997" s="16">
        <f>IFERROR(__xludf.DUMMYFUNCTION("""COMPUTED_VALUE"""),15686.0)</f>
        <v>15686</v>
      </c>
      <c r="I6997" s="18">
        <f>IFERROR(__xludf.DUMMYFUNCTION("""COMPUTED_VALUE"""),100.0)</f>
        <v>100</v>
      </c>
      <c r="J6997" s="18">
        <f>IFERROR(__xludf.DUMMYFUNCTION("""COMPUTED_VALUE"""),10.0)</f>
        <v>10</v>
      </c>
      <c r="K6997" s="18">
        <f>IFERROR(__xludf.DUMMYFUNCTION("""COMPUTED_VALUE"""),82.0)</f>
        <v>82</v>
      </c>
      <c r="L6997" s="17">
        <f>IFERROR(__xludf.DUMMYFUNCTION("""COMPUTED_VALUE"""),3.107893555E9)</f>
        <v>3107893555</v>
      </c>
      <c r="M6997" s="17" t="str">
        <f>IFERROR(__xludf.DUMMYFUNCTION("""COMPUTED_VALUE"""),"#REF!")</f>
        <v>#REF!</v>
      </c>
      <c r="N6997" s="17"/>
      <c r="O6997" s="17"/>
      <c r="P6997" s="17" t="b">
        <f>IFERROR(__xludf.DUMMYFUNCTION("""COMPUTED_VALUE"""),TRUE)</f>
        <v>1</v>
      </c>
      <c r="Q6997" s="20">
        <f>IFERROR(__xludf.DUMMYFUNCTION("""COMPUTED_VALUE"""),45199.316105659724)</f>
        <v>45199.31611</v>
      </c>
      <c r="R6997" s="22" t="str">
        <f>IFERROR(__xludf.DUMMYFUNCTION("""COMPUTED_VALUE"""),"")</f>
        <v/>
      </c>
    </row>
    <row r="6998">
      <c r="A6998" s="15">
        <f>IFERROR(__xludf.DUMMYFUNCTION("""COMPUTED_VALUE"""),45197.0)</f>
        <v>45197</v>
      </c>
      <c r="B6998" s="16" t="str">
        <f>IFERROR(__xludf.DUMMYFUNCTION("""COMPUTED_VALUE"""),"Julian Calderon Rodriguez ")</f>
        <v>Julian Calderon Rodriguez </v>
      </c>
      <c r="C6998" s="15" t="str">
        <f>IFERROR(__xludf.DUMMYFUNCTION("""COMPUTED_VALUE"""),"VILLAVICENCIO")</f>
        <v>VILLAVICENCIO</v>
      </c>
      <c r="D6998" s="15" t="str">
        <f>IFERROR(__xludf.DUMMYFUNCTION("""COMPUTED_VALUE"""),"BOGOTÁ")</f>
        <v>BOGOTÁ</v>
      </c>
      <c r="E6998" s="15" t="str">
        <f>IFERROR(__xludf.DUMMYFUNCTION("""COMPUTED_VALUE"""),"Evamazzita")</f>
        <v>Evamazzita</v>
      </c>
      <c r="F6998" s="17" t="str">
        <f>IFERROR(__xludf.DUMMYFUNCTION("""COMPUTED_VALUE"""),"CALLE 38 No. 12 - 54 / MANZANA D CASA 4 CONJUNTO ALMERIA BARRIO CASTILLA")</f>
        <v>CALLE 38 No. 12 - 54 / MANZANA D CASA 4 CONJUNTO ALMERIA BARRIO CASTILLA</v>
      </c>
      <c r="G6998" s="15" t="str">
        <f>IFERROR(__xludf.DUMMYFUNCTION("""COMPUTED_VALUE"""),"ANA MARIA CRISTANCHO CHITIVA")</f>
        <v>ANA MARIA CRISTANCHO CHITIVA</v>
      </c>
      <c r="H6998" s="16">
        <f>IFERROR(__xludf.DUMMYFUNCTION("""COMPUTED_VALUE"""),15709.0)</f>
        <v>15709</v>
      </c>
      <c r="I6998" s="18">
        <f>IFERROR(__xludf.DUMMYFUNCTION("""COMPUTED_VALUE"""),1.0)</f>
        <v>1</v>
      </c>
      <c r="J6998" s="18">
        <f>IFERROR(__xludf.DUMMYFUNCTION("""COMPUTED_VALUE"""),1.0)</f>
        <v>1</v>
      </c>
      <c r="K6998" s="18">
        <f>IFERROR(__xludf.DUMMYFUNCTION("""COMPUTED_VALUE"""),1.0)</f>
        <v>1</v>
      </c>
      <c r="L6998" s="17">
        <f>IFERROR(__xludf.DUMMYFUNCTION("""COMPUTED_VALUE"""),3.208150611E9)</f>
        <v>3208150611</v>
      </c>
      <c r="M6998" s="17" t="str">
        <f>IFERROR(__xludf.DUMMYFUNCTION("""COMPUTED_VALUE"""),"#REF!")</f>
        <v>#REF!</v>
      </c>
      <c r="N6998" s="17"/>
      <c r="O6998" s="17"/>
      <c r="P6998" s="17" t="b">
        <f>IFERROR(__xludf.DUMMYFUNCTION("""COMPUTED_VALUE"""),TRUE)</f>
        <v>1</v>
      </c>
      <c r="Q6998" s="20">
        <f>IFERROR(__xludf.DUMMYFUNCTION("""COMPUTED_VALUE"""),45199.3161056713)</f>
        <v>45199.31611</v>
      </c>
      <c r="R6998" s="21" t="str">
        <f>IFERROR(__xludf.DUMMYFUNCTION("""COMPUTED_VALUE"""),"https://drive.google.com/file/d/1-pRu4kNjided39_4BqpQW-ZYvhmx31oZ/view?usp=drivesdk")</f>
        <v>https://drive.google.com/file/d/1-pRu4kNjided39_4BqpQW-ZYvhmx31oZ/view?usp=drivesdk</v>
      </c>
    </row>
    <row r="6999">
      <c r="A6999" s="15">
        <f>IFERROR(__xludf.DUMMYFUNCTION("""COMPUTED_VALUE"""),45197.0)</f>
        <v>45197</v>
      </c>
      <c r="B6999" s="16" t="str">
        <f>IFERROR(__xludf.DUMMYFUNCTION("""COMPUTED_VALUE"""),"Julian Calderon Rodriguez ")</f>
        <v>Julian Calderon Rodriguez </v>
      </c>
      <c r="C6999" s="15" t="str">
        <f>IFERROR(__xludf.DUMMYFUNCTION("""COMPUTED_VALUE"""),"VILLAVICENCIO")</f>
        <v>VILLAVICENCIO</v>
      </c>
      <c r="D6999" s="15" t="str">
        <f>IFERROR(__xludf.DUMMYFUNCTION("""COMPUTED_VALUE"""),"BOGOTÁ")</f>
        <v>BOGOTÁ</v>
      </c>
      <c r="E6999" s="15" t="str">
        <f>IFERROR(__xludf.DUMMYFUNCTION("""COMPUTED_VALUE"""),"Evamazzita")</f>
        <v>Evamazzita</v>
      </c>
      <c r="F6999" s="17" t="str">
        <f>IFERROR(__xludf.DUMMYFUNCTION("""COMPUTED_VALUE"""),"es calle 10 26 a 15 / barrio Centauros - Villavicencio (Meta)")</f>
        <v>es calle 10 26 a 15 / barrio Centauros - Villavicencio (Meta)</v>
      </c>
      <c r="G6999" s="15" t="str">
        <f>IFERROR(__xludf.DUMMYFUNCTION("""COMPUTED_VALUE"""),"LAURA MARIA ARGÜELLO PERDOMO")</f>
        <v>LAURA MARIA ARGÜELLO PERDOMO</v>
      </c>
      <c r="H6999" s="16">
        <f>IFERROR(__xludf.DUMMYFUNCTION("""COMPUTED_VALUE"""),15708.0)</f>
        <v>15708</v>
      </c>
      <c r="I6999" s="18">
        <f>IFERROR(__xludf.DUMMYFUNCTION("""COMPUTED_VALUE"""),1.0)</f>
        <v>1</v>
      </c>
      <c r="J6999" s="18">
        <f>IFERROR(__xludf.DUMMYFUNCTION("""COMPUTED_VALUE"""),1.0)</f>
        <v>1</v>
      </c>
      <c r="K6999" s="18">
        <f>IFERROR(__xludf.DUMMYFUNCTION("""COMPUTED_VALUE"""),1.0)</f>
        <v>1</v>
      </c>
      <c r="L6999" s="17">
        <f>IFERROR(__xludf.DUMMYFUNCTION("""COMPUTED_VALUE"""),3.21260194E9)</f>
        <v>3212601940</v>
      </c>
      <c r="M6999" s="17" t="str">
        <f>IFERROR(__xludf.DUMMYFUNCTION("""COMPUTED_VALUE"""),"#REF!")</f>
        <v>#REF!</v>
      </c>
      <c r="N6999" s="17"/>
      <c r="O6999" s="17"/>
      <c r="P6999" s="17" t="b">
        <f>IFERROR(__xludf.DUMMYFUNCTION("""COMPUTED_VALUE"""),TRUE)</f>
        <v>1</v>
      </c>
      <c r="Q6999" s="20">
        <f>IFERROR(__xludf.DUMMYFUNCTION("""COMPUTED_VALUE"""),45199.3161056713)</f>
        <v>45199.31611</v>
      </c>
      <c r="R6999" s="21" t="str">
        <f>IFERROR(__xludf.DUMMYFUNCTION("""COMPUTED_VALUE"""),"https://drive.google.com/file/d/1ZIqMH-m72o5Oaq3ldhugzeFBLcFnXqf6/view?usp=drivesdk")</f>
        <v>https://drive.google.com/file/d/1ZIqMH-m72o5Oaq3ldhugzeFBLcFnXqf6/view?usp=drivesdk</v>
      </c>
    </row>
    <row r="7000">
      <c r="A7000" s="17" t="str">
        <f>IFERROR(__xludf.DUMMYFUNCTION("""COMPUTED_VALUE"""),"")</f>
        <v/>
      </c>
      <c r="B7000" s="17" t="str">
        <f>IFERROR(__xludf.DUMMYFUNCTION("""COMPUTED_VALUE"""),"")</f>
        <v/>
      </c>
      <c r="C7000" s="17" t="str">
        <f>IFERROR(__xludf.DUMMYFUNCTION("""COMPUTED_VALUE"""),"")</f>
        <v/>
      </c>
      <c r="D7000" s="17" t="str">
        <f>IFERROR(__xludf.DUMMYFUNCTION("""COMPUTED_VALUE"""),"")</f>
        <v/>
      </c>
      <c r="E7000" s="17" t="str">
        <f>IFERROR(__xludf.DUMMYFUNCTION("""COMPUTED_VALUE"""),"")</f>
        <v/>
      </c>
      <c r="F7000" s="17" t="str">
        <f>IFERROR(__xludf.DUMMYFUNCTION("""COMPUTED_VALUE"""),"")</f>
        <v/>
      </c>
      <c r="G7000" s="17" t="str">
        <f>IFERROR(__xludf.DUMMYFUNCTION("""COMPUTED_VALUE"""),"")</f>
        <v/>
      </c>
      <c r="H7000" s="17" t="str">
        <f>IFERROR(__xludf.DUMMYFUNCTION("""COMPUTED_VALUE"""),"")</f>
        <v/>
      </c>
      <c r="I7000" s="17" t="str">
        <f>IFERROR(__xludf.DUMMYFUNCTION("""COMPUTED_VALUE"""),"")</f>
        <v/>
      </c>
      <c r="J7000" s="17" t="str">
        <f>IFERROR(__xludf.DUMMYFUNCTION("""COMPUTED_VALUE"""),"")</f>
        <v/>
      </c>
      <c r="K7000" s="17" t="str">
        <f>IFERROR(__xludf.DUMMYFUNCTION("""COMPUTED_VALUE"""),"")</f>
        <v/>
      </c>
      <c r="L7000" s="17" t="str">
        <f>IFERROR(__xludf.DUMMYFUNCTION("""COMPUTED_VALUE"""),"")</f>
        <v/>
      </c>
      <c r="M7000" s="17" t="str">
        <f>IFERROR(__xludf.DUMMYFUNCTION("""COMPUTED_VALUE"""),"")</f>
        <v/>
      </c>
      <c r="N7000" s="17" t="str">
        <f>IFERROR(__xludf.DUMMYFUNCTION("""COMPUTED_VALUE"""),"")</f>
        <v/>
      </c>
      <c r="O7000" s="17" t="str">
        <f>IFERROR(__xludf.DUMMYFUNCTION("""COMPUTED_VALUE"""),"")</f>
        <v/>
      </c>
      <c r="P7000" s="17" t="str">
        <f>IFERROR(__xludf.DUMMYFUNCTION("""COMPUTED_VALUE"""),"")</f>
        <v/>
      </c>
      <c r="Q7000" s="17" t="str">
        <f>IFERROR(__xludf.DUMMYFUNCTION("""COMPUTED_VALUE"""),"")</f>
        <v/>
      </c>
      <c r="R7000" s="17" t="str">
        <f>IFERROR(__xludf.DUMMYFUNCTION("""COMPUTED_VALUE"""),"")</f>
        <v/>
      </c>
    </row>
    <row r="7001">
      <c r="A7001" s="15">
        <f>IFERROR(__xludf.DUMMYFUNCTION("""COMPUTED_VALUE"""),45197.0)</f>
        <v>45197</v>
      </c>
      <c r="B7001" s="16" t="str">
        <f>IFERROR(__xludf.DUMMYFUNCTION("""COMPUTED_VALUE"""),"Santiago Garces Restrepo")</f>
        <v>Santiago Garces Restrepo</v>
      </c>
      <c r="C7001" s="15" t="str">
        <f>IFERROR(__xludf.DUMMYFUNCTION("""COMPUTED_VALUE"""),"FLORIDABLANCA")</f>
        <v>FLORIDABLANCA</v>
      </c>
      <c r="D7001" s="15" t="str">
        <f>IFERROR(__xludf.DUMMYFUNCTION("""COMPUTED_VALUE"""),"BOGOTÁ")</f>
        <v>BOGOTÁ</v>
      </c>
      <c r="E7001" s="15" t="str">
        <f>IFERROR(__xludf.DUMMYFUNCTION("""COMPUTED_VALUE"""),"Evamazzita")</f>
        <v>Evamazzita</v>
      </c>
      <c r="F7001" s="17" t="str">
        <f>IFERROR(__xludf.DUMMYFUNCTION("""COMPUTED_VALUE"""),"Cra 28 #19-53 / Urbanización Colon, Bloque 9, apartamento 101")</f>
        <v>Cra 28 #19-53 / Urbanización Colon, Bloque 9, apartamento 101</v>
      </c>
      <c r="G7001" s="15" t="str">
        <f>IFERROR(__xludf.DUMMYFUNCTION("""COMPUTED_VALUE"""),"SILVIA JULIANA PINTO HERNANDEZ")</f>
        <v>SILVIA JULIANA PINTO HERNANDEZ</v>
      </c>
      <c r="H7001" s="16">
        <f>IFERROR(__xludf.DUMMYFUNCTION("""COMPUTED_VALUE"""),15694.0)</f>
        <v>15694</v>
      </c>
      <c r="I7001" s="18">
        <f>IFERROR(__xludf.DUMMYFUNCTION("""COMPUTED_VALUE"""),1.0)</f>
        <v>1</v>
      </c>
      <c r="J7001" s="18">
        <f>IFERROR(__xludf.DUMMYFUNCTION("""COMPUTED_VALUE"""),1.0)</f>
        <v>1</v>
      </c>
      <c r="K7001" s="18">
        <f>IFERROR(__xludf.DUMMYFUNCTION("""COMPUTED_VALUE"""),1.0)</f>
        <v>1</v>
      </c>
      <c r="L7001" s="17">
        <f>IFERROR(__xludf.DUMMYFUNCTION("""COMPUTED_VALUE"""),3.0129633E9)</f>
        <v>3012963300</v>
      </c>
      <c r="M7001" s="17" t="str">
        <f>IFERROR(__xludf.DUMMYFUNCTION("""COMPUTED_VALUE"""),"#REF!")</f>
        <v>#REF!</v>
      </c>
      <c r="N7001" s="17"/>
      <c r="O7001" s="17"/>
      <c r="P7001" s="17" t="b">
        <f>IFERROR(__xludf.DUMMYFUNCTION("""COMPUTED_VALUE"""),TRUE)</f>
        <v>1</v>
      </c>
      <c r="Q7001" s="20">
        <f>IFERROR(__xludf.DUMMYFUNCTION("""COMPUTED_VALUE"""),45199.3161056713)</f>
        <v>45199.31611</v>
      </c>
      <c r="R7001" s="22" t="str">
        <f>IFERROR(__xludf.DUMMYFUNCTION("""COMPUTED_VALUE"""),"")</f>
        <v/>
      </c>
    </row>
    <row r="7002">
      <c r="A7002" s="17" t="str">
        <f>IFERROR(__xludf.DUMMYFUNCTION("""COMPUTED_VALUE"""),"")</f>
        <v/>
      </c>
      <c r="B7002" s="17" t="str">
        <f>IFERROR(__xludf.DUMMYFUNCTION("""COMPUTED_VALUE"""),"")</f>
        <v/>
      </c>
      <c r="C7002" s="17" t="str">
        <f>IFERROR(__xludf.DUMMYFUNCTION("""COMPUTED_VALUE"""),"")</f>
        <v/>
      </c>
      <c r="D7002" s="17" t="str">
        <f>IFERROR(__xludf.DUMMYFUNCTION("""COMPUTED_VALUE"""),"")</f>
        <v/>
      </c>
      <c r="E7002" s="17" t="str">
        <f>IFERROR(__xludf.DUMMYFUNCTION("""COMPUTED_VALUE"""),"")</f>
        <v/>
      </c>
      <c r="F7002" s="17" t="str">
        <f>IFERROR(__xludf.DUMMYFUNCTION("""COMPUTED_VALUE"""),"")</f>
        <v/>
      </c>
      <c r="G7002" s="17" t="str">
        <f>IFERROR(__xludf.DUMMYFUNCTION("""COMPUTED_VALUE"""),"")</f>
        <v/>
      </c>
      <c r="H7002" s="17" t="str">
        <f>IFERROR(__xludf.DUMMYFUNCTION("""COMPUTED_VALUE"""),"")</f>
        <v/>
      </c>
      <c r="I7002" s="17" t="str">
        <f>IFERROR(__xludf.DUMMYFUNCTION("""COMPUTED_VALUE"""),"")</f>
        <v/>
      </c>
      <c r="J7002" s="17" t="str">
        <f>IFERROR(__xludf.DUMMYFUNCTION("""COMPUTED_VALUE"""),"")</f>
        <v/>
      </c>
      <c r="K7002" s="17" t="str">
        <f>IFERROR(__xludf.DUMMYFUNCTION("""COMPUTED_VALUE"""),"")</f>
        <v/>
      </c>
      <c r="L7002" s="17" t="str">
        <f>IFERROR(__xludf.DUMMYFUNCTION("""COMPUTED_VALUE"""),"")</f>
        <v/>
      </c>
      <c r="M7002" s="17" t="str">
        <f>IFERROR(__xludf.DUMMYFUNCTION("""COMPUTED_VALUE"""),"")</f>
        <v/>
      </c>
      <c r="N7002" s="17" t="str">
        <f>IFERROR(__xludf.DUMMYFUNCTION("""COMPUTED_VALUE"""),"")</f>
        <v/>
      </c>
      <c r="O7002" s="17" t="str">
        <f>IFERROR(__xludf.DUMMYFUNCTION("""COMPUTED_VALUE"""),"")</f>
        <v/>
      </c>
      <c r="P7002" s="17" t="str">
        <f>IFERROR(__xludf.DUMMYFUNCTION("""COMPUTED_VALUE"""),"")</f>
        <v/>
      </c>
      <c r="Q7002" s="17" t="str">
        <f>IFERROR(__xludf.DUMMYFUNCTION("""COMPUTED_VALUE"""),"")</f>
        <v/>
      </c>
      <c r="R7002" s="17" t="str">
        <f>IFERROR(__xludf.DUMMYFUNCTION("""COMPUTED_VALUE"""),"")</f>
        <v/>
      </c>
    </row>
    <row r="7003">
      <c r="A7003" s="15">
        <f>IFERROR(__xludf.DUMMYFUNCTION("""COMPUTED_VALUE"""),45198.0)</f>
        <v>45198</v>
      </c>
      <c r="B7003" s="17"/>
      <c r="C7003" s="15" t="str">
        <f>IFERROR(__xludf.DUMMYFUNCTION("""COMPUTED_VALUE"""),"SANTA MARTA")</f>
        <v>SANTA MARTA</v>
      </c>
      <c r="D7003" s="15" t="str">
        <f>IFERROR(__xludf.DUMMYFUNCTION("""COMPUTED_VALUE"""),"MEDELLÍN")</f>
        <v>MEDELLÍN</v>
      </c>
      <c r="E7003" s="15" t="str">
        <f>IFERROR(__xludf.DUMMYFUNCTION("""COMPUTED_VALUE"""),"Baby Chef")</f>
        <v>Baby Chef</v>
      </c>
      <c r="F7003" s="17" t="str">
        <f>IFERROR(__xludf.DUMMYFUNCTION("""COMPUTED_VALUE"""),"CALLE 46 N 64 59 CONJUNTO PARQUES DE BOLIVAR ETAPA 1 TORRE 17 APTO 101 / ""CALLE 46 N 64 59 CONJUNTO PARQUES DE BOLIVAR ETAPA 1 TORRE 17 APTO 101"" / ""CALLE 46 N 64 59 CONJUNTO PARQUES DE BOLIVAR ETAPA 1 TORRE 17 APTO 101""")</f>
        <v>CALLE 46 N 64 59 CONJUNTO PARQUES DE BOLIVAR ETAPA 1 TORRE 17 APTO 101 / "CALLE 46 N 64 59 CONJUNTO PARQUES DE BOLIVAR ETAPA 1 TORRE 17 APTO 101" / "CALLE 46 N 64 59 CONJUNTO PARQUES DE BOLIVAR ETAPA 1 TORRE 17 APTO 101"</v>
      </c>
      <c r="G7003" s="15" t="str">
        <f>IFERROR(__xludf.DUMMYFUNCTION("""COMPUTED_VALUE"""),"Yanneris Guerrero")</f>
        <v>Yanneris Guerrero</v>
      </c>
      <c r="H7003" s="16">
        <f>IFERROR(__xludf.DUMMYFUNCTION("""COMPUTED_VALUE"""),15715.0)</f>
        <v>15715</v>
      </c>
      <c r="I7003" s="18">
        <f>IFERROR(__xludf.DUMMYFUNCTION("""COMPUTED_VALUE"""),8.0)</f>
        <v>8</v>
      </c>
      <c r="J7003" s="18">
        <f>IFERROR(__xludf.DUMMYFUNCTION("""COMPUTED_VALUE"""),16.0)</f>
        <v>16</v>
      </c>
      <c r="K7003" s="18">
        <f>IFERROR(__xludf.DUMMYFUNCTION("""COMPUTED_VALUE"""),20.0)</f>
        <v>20</v>
      </c>
      <c r="L7003" s="17">
        <f>IFERROR(__xludf.DUMMYFUNCTION("""COMPUTED_VALUE"""),3.045465901E9)</f>
        <v>3045465901</v>
      </c>
      <c r="M7003" s="17" t="str">
        <f>IFERROR(__xludf.DUMMYFUNCTION("""COMPUTED_VALUE"""),"#REF!")</f>
        <v>#REF!</v>
      </c>
      <c r="N7003" s="17"/>
      <c r="O7003" s="17"/>
      <c r="P7003" s="17" t="b">
        <f>IFERROR(__xludf.DUMMYFUNCTION("""COMPUTED_VALUE"""),TRUE)</f>
        <v>1</v>
      </c>
      <c r="Q7003" s="20">
        <f>IFERROR(__xludf.DUMMYFUNCTION("""COMPUTED_VALUE"""),45199.3161056713)</f>
        <v>45199.31611</v>
      </c>
      <c r="R7003" s="21" t="str">
        <f>IFERROR(__xludf.DUMMYFUNCTION("""COMPUTED_VALUE"""),"https://drive.google.com/file/d/1o7FnRi4ZMeucrYAJiPeaQ5LWpNXnIu9F/view?usp=drivesdk")</f>
        <v>https://drive.google.com/file/d/1o7FnRi4ZMeucrYAJiPeaQ5LWpNXnIu9F/view?usp=drivesdk</v>
      </c>
    </row>
    <row r="7004">
      <c r="A7004" s="17" t="str">
        <f>IFERROR(__xludf.DUMMYFUNCTION("""COMPUTED_VALUE"""),"")</f>
        <v/>
      </c>
      <c r="B7004" s="17" t="str">
        <f>IFERROR(__xludf.DUMMYFUNCTION("""COMPUTED_VALUE"""),"")</f>
        <v/>
      </c>
      <c r="C7004" s="17" t="str">
        <f>IFERROR(__xludf.DUMMYFUNCTION("""COMPUTED_VALUE"""),"")</f>
        <v/>
      </c>
      <c r="D7004" s="17" t="str">
        <f>IFERROR(__xludf.DUMMYFUNCTION("""COMPUTED_VALUE"""),"")</f>
        <v/>
      </c>
      <c r="E7004" s="17" t="str">
        <f>IFERROR(__xludf.DUMMYFUNCTION("""COMPUTED_VALUE"""),"")</f>
        <v/>
      </c>
      <c r="F7004" s="17" t="str">
        <f>IFERROR(__xludf.DUMMYFUNCTION("""COMPUTED_VALUE"""),"")</f>
        <v/>
      </c>
      <c r="G7004" s="17" t="str">
        <f>IFERROR(__xludf.DUMMYFUNCTION("""COMPUTED_VALUE"""),"")</f>
        <v/>
      </c>
      <c r="H7004" s="17" t="str">
        <f>IFERROR(__xludf.DUMMYFUNCTION("""COMPUTED_VALUE"""),"")</f>
        <v/>
      </c>
      <c r="I7004" s="17" t="str">
        <f>IFERROR(__xludf.DUMMYFUNCTION("""COMPUTED_VALUE"""),"")</f>
        <v/>
      </c>
      <c r="J7004" s="17" t="str">
        <f>IFERROR(__xludf.DUMMYFUNCTION("""COMPUTED_VALUE"""),"")</f>
        <v/>
      </c>
      <c r="K7004" s="17" t="str">
        <f>IFERROR(__xludf.DUMMYFUNCTION("""COMPUTED_VALUE"""),"")</f>
        <v/>
      </c>
      <c r="L7004" s="17" t="str">
        <f>IFERROR(__xludf.DUMMYFUNCTION("""COMPUTED_VALUE"""),"")</f>
        <v/>
      </c>
      <c r="M7004" s="17" t="str">
        <f>IFERROR(__xludf.DUMMYFUNCTION("""COMPUTED_VALUE"""),"")</f>
        <v/>
      </c>
      <c r="N7004" s="17" t="str">
        <f>IFERROR(__xludf.DUMMYFUNCTION("""COMPUTED_VALUE"""),"")</f>
        <v/>
      </c>
      <c r="O7004" s="17" t="str">
        <f>IFERROR(__xludf.DUMMYFUNCTION("""COMPUTED_VALUE"""),"")</f>
        <v/>
      </c>
      <c r="P7004" s="17" t="str">
        <f>IFERROR(__xludf.DUMMYFUNCTION("""COMPUTED_VALUE"""),"")</f>
        <v/>
      </c>
      <c r="Q7004" s="17" t="str">
        <f>IFERROR(__xludf.DUMMYFUNCTION("""COMPUTED_VALUE"""),"")</f>
        <v/>
      </c>
      <c r="R7004" s="17" t="str">
        <f>IFERROR(__xludf.DUMMYFUNCTION("""COMPUTED_VALUE"""),"")</f>
        <v/>
      </c>
    </row>
    <row r="7005">
      <c r="A7005" s="15">
        <f>IFERROR(__xludf.DUMMYFUNCTION("""COMPUTED_VALUE"""),45198.0)</f>
        <v>45198</v>
      </c>
      <c r="B7005" s="16" t="str">
        <f>IFERROR(__xludf.DUMMYFUNCTION("""COMPUTED_VALUE"""),"Daniel José sandoval gonzalez")</f>
        <v>Daniel José sandoval gonzalez</v>
      </c>
      <c r="C7005" s="15" t="str">
        <f>IFERROR(__xludf.DUMMYFUNCTION("""COMPUTED_VALUE"""),"BARRANQUILLA")</f>
        <v>BARRANQUILLA</v>
      </c>
      <c r="D7005" s="15" t="str">
        <f>IFERROR(__xludf.DUMMYFUNCTION("""COMPUTED_VALUE"""),"MEDELLÍN")</f>
        <v>MEDELLÍN</v>
      </c>
      <c r="E7005" s="15" t="str">
        <f>IFERROR(__xludf.DUMMYFUNCTION("""COMPUTED_VALUE"""),"Baby Chef")</f>
        <v>Baby Chef</v>
      </c>
      <c r="F7005" s="17" t="str">
        <f>IFERROR(__xludf.DUMMYFUNCTION("""COMPUTED_VALUE"""),"Calle 81 B # 64 - 27 Apto 203 Edificio Valle de Ordesa / ""Calle 81 B # 64 - 27 Apto 203 Edificio Valle de Ordesa"" / ""Calle 81 B # 64 - 27 Apto 203 Edificio Valle de Ordesa""")</f>
        <v>Calle 81 B # 64 - 27 Apto 203 Edificio Valle de Ordesa / "Calle 81 B # 64 - 27 Apto 203 Edificio Valle de Ordesa" / "Calle 81 B # 64 - 27 Apto 203 Edificio Valle de Ordesa"</v>
      </c>
      <c r="G7005" s="15" t="str">
        <f>IFERROR(__xludf.DUMMYFUNCTION("""COMPUTED_VALUE"""),"Fabiola Alcalá")</f>
        <v>Fabiola Alcalá</v>
      </c>
      <c r="H7005" s="16">
        <f>IFERROR(__xludf.DUMMYFUNCTION("""COMPUTED_VALUE"""),15717.0)</f>
        <v>15717</v>
      </c>
      <c r="I7005" s="18">
        <f>IFERROR(__xludf.DUMMYFUNCTION("""COMPUTED_VALUE"""),7.0)</f>
        <v>7</v>
      </c>
      <c r="J7005" s="18">
        <f>IFERROR(__xludf.DUMMYFUNCTION("""COMPUTED_VALUE"""),21.0)</f>
        <v>21</v>
      </c>
      <c r="K7005" s="18">
        <f>IFERROR(__xludf.DUMMYFUNCTION("""COMPUTED_VALUE"""),32.0)</f>
        <v>32</v>
      </c>
      <c r="L7005" s="17">
        <f>IFERROR(__xludf.DUMMYFUNCTION("""COMPUTED_VALUE"""),3.007540313E9)</f>
        <v>3007540313</v>
      </c>
      <c r="M7005" s="17" t="str">
        <f>IFERROR(__xludf.DUMMYFUNCTION("""COMPUTED_VALUE"""),"#REF!")</f>
        <v>#REF!</v>
      </c>
      <c r="N7005" s="17"/>
      <c r="O7005" s="17"/>
      <c r="P7005" s="17" t="b">
        <f>IFERROR(__xludf.DUMMYFUNCTION("""COMPUTED_VALUE"""),TRUE)</f>
        <v>1</v>
      </c>
      <c r="Q7005" s="20">
        <f>IFERROR(__xludf.DUMMYFUNCTION("""COMPUTED_VALUE"""),45199.3161056713)</f>
        <v>45199.31611</v>
      </c>
      <c r="R7005" s="21" t="str">
        <f>IFERROR(__xludf.DUMMYFUNCTION("""COMPUTED_VALUE"""),"https://drive.google.com/file/d/1xpAdEBbnRv_BjMlZNGqJZharbvGlDz3T/view?usp=drivesdk")</f>
        <v>https://drive.google.com/file/d/1xpAdEBbnRv_BjMlZNGqJZharbvGlDz3T/view?usp=drivesdk</v>
      </c>
    </row>
    <row r="7006">
      <c r="A7006" s="15">
        <f>IFERROR(__xludf.DUMMYFUNCTION("""COMPUTED_VALUE"""),45198.0)</f>
        <v>45198</v>
      </c>
      <c r="B7006" s="16" t="str">
        <f>IFERROR(__xludf.DUMMYFUNCTION("""COMPUTED_VALUE"""),"Daniel José sandoval gonzalez")</f>
        <v>Daniel José sandoval gonzalez</v>
      </c>
      <c r="C7006" s="15" t="str">
        <f>IFERROR(__xludf.DUMMYFUNCTION("""COMPUTED_VALUE"""),"BARRANQUILLA")</f>
        <v>BARRANQUILLA</v>
      </c>
      <c r="D7006" s="15" t="str">
        <f>IFERROR(__xludf.DUMMYFUNCTION("""COMPUTED_VALUE"""),"MEDELLÍN")</f>
        <v>MEDELLÍN</v>
      </c>
      <c r="E7006" s="15" t="str">
        <f>IFERROR(__xludf.DUMMYFUNCTION("""COMPUTED_VALUE"""),"Baby Chef")</f>
        <v>Baby Chef</v>
      </c>
      <c r="F7006" s="17" t="str">
        <f>IFERROR(__xludf.DUMMYFUNCTION("""COMPUTED_VALUE"""),"Calle 84 # 42C -181 apto 406 Barrio nuevo horizonte / Calle 84 # 42C -181 apto 406 Barrio nuevo horizonte / Calle 84 # 42C -181 apto 406 Barrio nuevo horizonte")</f>
        <v>Calle 84 # 42C -181 apto 406 Barrio nuevo horizonte / Calle 84 # 42C -181 apto 406 Barrio nuevo horizonte / Calle 84 # 42C -181 apto 406 Barrio nuevo horizonte</v>
      </c>
      <c r="G7006" s="15" t="str">
        <f>IFERROR(__xludf.DUMMYFUNCTION("""COMPUTED_VALUE"""),"Kervis Rodríguez")</f>
        <v>Kervis Rodríguez</v>
      </c>
      <c r="H7006" s="16">
        <f>IFERROR(__xludf.DUMMYFUNCTION("""COMPUTED_VALUE"""),15716.0)</f>
        <v>15716</v>
      </c>
      <c r="I7006" s="18">
        <f>IFERROR(__xludf.DUMMYFUNCTION("""COMPUTED_VALUE"""),6.0)</f>
        <v>6</v>
      </c>
      <c r="J7006" s="18">
        <f>IFERROR(__xludf.DUMMYFUNCTION("""COMPUTED_VALUE"""),24.0)</f>
        <v>24</v>
      </c>
      <c r="K7006" s="18">
        <f>IFERROR(__xludf.DUMMYFUNCTION("""COMPUTED_VALUE"""),29.0)</f>
        <v>29</v>
      </c>
      <c r="L7006" s="17">
        <f>IFERROR(__xludf.DUMMYFUNCTION("""COMPUTED_VALUE"""),3.246848908E9)</f>
        <v>3246848908</v>
      </c>
      <c r="M7006" s="17" t="str">
        <f>IFERROR(__xludf.DUMMYFUNCTION("""COMPUTED_VALUE"""),"#REF!")</f>
        <v>#REF!</v>
      </c>
      <c r="N7006" s="17"/>
      <c r="O7006" s="17"/>
      <c r="P7006" s="17" t="b">
        <f>IFERROR(__xludf.DUMMYFUNCTION("""COMPUTED_VALUE"""),TRUE)</f>
        <v>1</v>
      </c>
      <c r="Q7006" s="20">
        <f>IFERROR(__xludf.DUMMYFUNCTION("""COMPUTED_VALUE"""),45199.31610568287)</f>
        <v>45199.31611</v>
      </c>
      <c r="R7006" s="21" t="str">
        <f>IFERROR(__xludf.DUMMYFUNCTION("""COMPUTED_VALUE"""),"https://drive.google.com/file/d/1NEH-aGq5UtLkHkZBzG0IIczyTGK8ZKoy/view?usp=drivesdk")</f>
        <v>https://drive.google.com/file/d/1NEH-aGq5UtLkHkZBzG0IIczyTGK8ZKoy/view?usp=drivesdk</v>
      </c>
    </row>
    <row r="7007">
      <c r="A7007" s="15">
        <f>IFERROR(__xludf.DUMMYFUNCTION("""COMPUTED_VALUE"""),45198.0)</f>
        <v>45198</v>
      </c>
      <c r="B7007" s="16" t="str">
        <f>IFERROR(__xludf.DUMMYFUNCTION("""COMPUTED_VALUE"""),"Daniel José sandoval gonzalez")</f>
        <v>Daniel José sandoval gonzalez</v>
      </c>
      <c r="C7007" s="15" t="str">
        <f>IFERROR(__xludf.DUMMYFUNCTION("""COMPUTED_VALUE"""),"MEDELLÍN")</f>
        <v>MEDELLÍN</v>
      </c>
      <c r="D7007" s="15" t="str">
        <f>IFERROR(__xludf.DUMMYFUNCTION("""COMPUTED_VALUE"""),"BOGOTÁ")</f>
        <v>BOGOTÁ</v>
      </c>
      <c r="E7007" s="15" t="str">
        <f>IFERROR(__xludf.DUMMYFUNCTION("""COMPUTED_VALUE"""),"Top Spun")</f>
        <v>Top Spun</v>
      </c>
      <c r="F7007" s="17" t="str">
        <f>IFERROR(__xludf.DUMMYFUNCTION("""COMPUTED_VALUE"""),"CALLE 16 # 41 - 51 / APTO 1303 /  URBANIZACIóN MALAWI LIVING. BARRIO. CASTROPOL, EL POBLADO")</f>
        <v>CALLE 16 # 41 - 51 / APTO 1303 /  URBANIZACIóN MALAWI LIVING. BARRIO. CASTROPOL, EL POBLADO</v>
      </c>
      <c r="G7007" s="15" t="str">
        <f>IFERROR(__xludf.DUMMYFUNCTION("""COMPUTED_VALUE"""),"SUSANA HERNANDEZ ESCOBAR")</f>
        <v>SUSANA HERNANDEZ ESCOBAR</v>
      </c>
      <c r="H7007" s="16">
        <f>IFERROR(__xludf.DUMMYFUNCTION("""COMPUTED_VALUE"""),15742.0)</f>
        <v>15742</v>
      </c>
      <c r="I7007" s="18">
        <f>IFERROR(__xludf.DUMMYFUNCTION("""COMPUTED_VALUE"""),20.0)</f>
        <v>20</v>
      </c>
      <c r="J7007" s="18">
        <f>IFERROR(__xludf.DUMMYFUNCTION("""COMPUTED_VALUE"""),10.0)</f>
        <v>10</v>
      </c>
      <c r="K7007" s="18">
        <f>IFERROR(__xludf.DUMMYFUNCTION("""COMPUTED_VALUE"""),40.0)</f>
        <v>40</v>
      </c>
      <c r="L7007" s="17">
        <f>IFERROR(__xludf.DUMMYFUNCTION("""COMPUTED_VALUE"""),3.016119679E9)</f>
        <v>3016119679</v>
      </c>
      <c r="M7007" s="17" t="str">
        <f>IFERROR(__xludf.DUMMYFUNCTION("""COMPUTED_VALUE"""),"#REF!")</f>
        <v>#REF!</v>
      </c>
      <c r="N7007" s="17"/>
      <c r="O7007" s="17"/>
      <c r="P7007" s="17" t="b">
        <f>IFERROR(__xludf.DUMMYFUNCTION("""COMPUTED_VALUE"""),TRUE)</f>
        <v>1</v>
      </c>
      <c r="Q7007" s="20">
        <f>IFERROR(__xludf.DUMMYFUNCTION("""COMPUTED_VALUE"""),45199.31610568287)</f>
        <v>45199.31611</v>
      </c>
      <c r="R7007" s="21" t="str">
        <f>IFERROR(__xludf.DUMMYFUNCTION("""COMPUTED_VALUE"""),"https://drive.google.com/file/d/1MvSG8SN1VJbkEAn56qR2-b5Tzeo5pZZq/view?usp=drivesdk")</f>
        <v>https://drive.google.com/file/d/1MvSG8SN1VJbkEAn56qR2-b5Tzeo5pZZq/view?usp=drivesdk</v>
      </c>
    </row>
    <row r="7008">
      <c r="A7008" s="15">
        <f>IFERROR(__xludf.DUMMYFUNCTION("""COMPUTED_VALUE"""),45198.0)</f>
        <v>45198</v>
      </c>
      <c r="B7008" s="16" t="str">
        <f>IFERROR(__xludf.DUMMYFUNCTION("""COMPUTED_VALUE"""),"Daniel José sandoval gonzalez")</f>
        <v>Daniel José sandoval gonzalez</v>
      </c>
      <c r="C7008" s="15" t="str">
        <f>IFERROR(__xludf.DUMMYFUNCTION("""COMPUTED_VALUE"""),"MEDELLÍN")</f>
        <v>MEDELLÍN</v>
      </c>
      <c r="D7008" s="15" t="str">
        <f>IFERROR(__xludf.DUMMYFUNCTION("""COMPUTED_VALUE"""),"BOGOTÁ")</f>
        <v>BOGOTÁ</v>
      </c>
      <c r="E7008" s="15" t="str">
        <f>IFERROR(__xludf.DUMMYFUNCTION("""COMPUTED_VALUE"""),"Top Spun")</f>
        <v>Top Spun</v>
      </c>
      <c r="F7008" s="17" t="str">
        <f>IFERROR(__xludf.DUMMYFUNCTION("""COMPUTED_VALUE"""),"Calle 54 #64-34 / Bloque 18 Apto 101 / Carlos E Restrepo")</f>
        <v>Calle 54 #64-34 / Bloque 18 Apto 101 / Carlos E Restrepo</v>
      </c>
      <c r="G7008" s="15" t="str">
        <f>IFERROR(__xludf.DUMMYFUNCTION("""COMPUTED_VALUE"""),"Margarita Peláez Villada")</f>
        <v>Margarita Peláez Villada</v>
      </c>
      <c r="H7008" s="16">
        <f>IFERROR(__xludf.DUMMYFUNCTION("""COMPUTED_VALUE"""),15741.0)</f>
        <v>15741</v>
      </c>
      <c r="I7008" s="18">
        <f>IFERROR(__xludf.DUMMYFUNCTION("""COMPUTED_VALUE"""),20.0)</f>
        <v>20</v>
      </c>
      <c r="J7008" s="18">
        <f>IFERROR(__xludf.DUMMYFUNCTION("""COMPUTED_VALUE"""),10.0)</f>
        <v>10</v>
      </c>
      <c r="K7008" s="18">
        <f>IFERROR(__xludf.DUMMYFUNCTION("""COMPUTED_VALUE"""),40.0)</f>
        <v>40</v>
      </c>
      <c r="L7008" s="17">
        <f>IFERROR(__xludf.DUMMYFUNCTION("""COMPUTED_VALUE"""),3.017424222E9)</f>
        <v>3017424222</v>
      </c>
      <c r="M7008" s="17" t="str">
        <f>IFERROR(__xludf.DUMMYFUNCTION("""COMPUTED_VALUE"""),"#REF!")</f>
        <v>#REF!</v>
      </c>
      <c r="N7008" s="17"/>
      <c r="O7008" s="17"/>
      <c r="P7008" s="17" t="b">
        <f>IFERROR(__xludf.DUMMYFUNCTION("""COMPUTED_VALUE"""),TRUE)</f>
        <v>1</v>
      </c>
      <c r="Q7008" s="20">
        <f>IFERROR(__xludf.DUMMYFUNCTION("""COMPUTED_VALUE"""),45199.31610568287)</f>
        <v>45199.31611</v>
      </c>
      <c r="R7008" s="21" t="str">
        <f>IFERROR(__xludf.DUMMYFUNCTION("""COMPUTED_VALUE"""),"https://drive.google.com/file/d/1ZA9IaYlwoRWBbRogbpkt94j2IdtCFsZd/view?usp=drivesdk")</f>
        <v>https://drive.google.com/file/d/1ZA9IaYlwoRWBbRogbpkt94j2IdtCFsZd/view?usp=drivesdk</v>
      </c>
    </row>
    <row r="7009">
      <c r="A7009" s="17" t="str">
        <f>IFERROR(__xludf.DUMMYFUNCTION("""COMPUTED_VALUE"""),"")</f>
        <v/>
      </c>
      <c r="B7009" s="17" t="str">
        <f>IFERROR(__xludf.DUMMYFUNCTION("""COMPUTED_VALUE"""),"")</f>
        <v/>
      </c>
      <c r="C7009" s="17" t="str">
        <f>IFERROR(__xludf.DUMMYFUNCTION("""COMPUTED_VALUE"""),"")</f>
        <v/>
      </c>
      <c r="D7009" s="17" t="str">
        <f>IFERROR(__xludf.DUMMYFUNCTION("""COMPUTED_VALUE"""),"")</f>
        <v/>
      </c>
      <c r="E7009" s="17" t="str">
        <f>IFERROR(__xludf.DUMMYFUNCTION("""COMPUTED_VALUE"""),"")</f>
        <v/>
      </c>
      <c r="F7009" s="17" t="str">
        <f>IFERROR(__xludf.DUMMYFUNCTION("""COMPUTED_VALUE"""),"")</f>
        <v/>
      </c>
      <c r="G7009" s="17" t="str">
        <f>IFERROR(__xludf.DUMMYFUNCTION("""COMPUTED_VALUE"""),"")</f>
        <v/>
      </c>
      <c r="H7009" s="17" t="str">
        <f>IFERROR(__xludf.DUMMYFUNCTION("""COMPUTED_VALUE"""),"")</f>
        <v/>
      </c>
      <c r="I7009" s="17" t="str">
        <f>IFERROR(__xludf.DUMMYFUNCTION("""COMPUTED_VALUE"""),"")</f>
        <v/>
      </c>
      <c r="J7009" s="17" t="str">
        <f>IFERROR(__xludf.DUMMYFUNCTION("""COMPUTED_VALUE"""),"")</f>
        <v/>
      </c>
      <c r="K7009" s="17" t="str">
        <f>IFERROR(__xludf.DUMMYFUNCTION("""COMPUTED_VALUE"""),"")</f>
        <v/>
      </c>
      <c r="L7009" s="17" t="str">
        <f>IFERROR(__xludf.DUMMYFUNCTION("""COMPUTED_VALUE"""),"")</f>
        <v/>
      </c>
      <c r="M7009" s="17" t="str">
        <f>IFERROR(__xludf.DUMMYFUNCTION("""COMPUTED_VALUE"""),"")</f>
        <v/>
      </c>
      <c r="N7009" s="17" t="str">
        <f>IFERROR(__xludf.DUMMYFUNCTION("""COMPUTED_VALUE"""),"")</f>
        <v/>
      </c>
      <c r="O7009" s="17" t="str">
        <f>IFERROR(__xludf.DUMMYFUNCTION("""COMPUTED_VALUE"""),"")</f>
        <v/>
      </c>
      <c r="P7009" s="17" t="str">
        <f>IFERROR(__xludf.DUMMYFUNCTION("""COMPUTED_VALUE"""),"")</f>
        <v/>
      </c>
      <c r="Q7009" s="17" t="str">
        <f>IFERROR(__xludf.DUMMYFUNCTION("""COMPUTED_VALUE"""),"")</f>
        <v/>
      </c>
      <c r="R7009" s="17" t="str">
        <f>IFERROR(__xludf.DUMMYFUNCTION("""COMPUTED_VALUE"""),"")</f>
        <v/>
      </c>
    </row>
    <row r="7010">
      <c r="A7010" s="15">
        <f>IFERROR(__xludf.DUMMYFUNCTION("""COMPUTED_VALUE"""),45198.0)</f>
        <v>45198</v>
      </c>
      <c r="B7010" s="16" t="str">
        <f>IFERROR(__xludf.DUMMYFUNCTION("""COMPUTED_VALUE"""),"Easy Móvil")</f>
        <v>Easy Móvil</v>
      </c>
      <c r="C7010" s="15" t="str">
        <f>IFERROR(__xludf.DUMMYFUNCTION("""COMPUTED_VALUE"""),"BARRANQUILLA")</f>
        <v>BARRANQUILLA</v>
      </c>
      <c r="D7010" s="15" t="str">
        <f>IFERROR(__xludf.DUMMYFUNCTION("""COMPUTED_VALUE"""),"MEDELLÍN")</f>
        <v>MEDELLÍN</v>
      </c>
      <c r="E7010" s="15" t="str">
        <f>IFERROR(__xludf.DUMMYFUNCTION("""COMPUTED_VALUE"""),"Rambla")</f>
        <v>Rambla</v>
      </c>
      <c r="F7010" s="17" t="str">
        <f>IFERROR(__xludf.DUMMYFUNCTION("""COMPUTED_VALUE"""),"Carrera 67 no 81-95 Barrio paraíso / - / -")</f>
        <v>Carrera 67 no 81-95 Barrio paraíso / - / -</v>
      </c>
      <c r="G7010" s="15" t="str">
        <f>IFERROR(__xludf.DUMMYFUNCTION("""COMPUTED_VALUE"""),"Santiago Arbeláez")</f>
        <v>Santiago Arbeláez</v>
      </c>
      <c r="H7010" s="16">
        <f>IFERROR(__xludf.DUMMYFUNCTION("""COMPUTED_VALUE"""),15718.0)</f>
        <v>15718</v>
      </c>
      <c r="I7010" s="18">
        <f>IFERROR(__xludf.DUMMYFUNCTION("""COMPUTED_VALUE"""),29.0)</f>
        <v>29</v>
      </c>
      <c r="J7010" s="18">
        <f>IFERROR(__xludf.DUMMYFUNCTION("""COMPUTED_VALUE"""),24.0)</f>
        <v>24</v>
      </c>
      <c r="K7010" s="18">
        <f>IFERROR(__xludf.DUMMYFUNCTION("""COMPUTED_VALUE"""),24.0)</f>
        <v>24</v>
      </c>
      <c r="L7010" s="17">
        <f>IFERROR(__xludf.DUMMYFUNCTION("""COMPUTED_VALUE"""),3.204749856E9)</f>
        <v>3204749856</v>
      </c>
      <c r="M7010" s="17" t="str">
        <f>IFERROR(__xludf.DUMMYFUNCTION("""COMPUTED_VALUE"""),"#REF!")</f>
        <v>#REF!</v>
      </c>
      <c r="N7010" s="17"/>
      <c r="O7010" s="17"/>
      <c r="P7010" s="17" t="b">
        <f>IFERROR(__xludf.DUMMYFUNCTION("""COMPUTED_VALUE"""),TRUE)</f>
        <v>1</v>
      </c>
      <c r="Q7010" s="20">
        <f>IFERROR(__xludf.DUMMYFUNCTION("""COMPUTED_VALUE"""),45199.31610568287)</f>
        <v>45199.31611</v>
      </c>
      <c r="R7010" s="21" t="str">
        <f>IFERROR(__xludf.DUMMYFUNCTION("""COMPUTED_VALUE"""),"https://drive.google.com/file/d/1XXD_8JaU1vliRGhwaUS7xuSJjv6zg8Zo/view?usp=drivesdk")</f>
        <v>https://drive.google.com/file/d/1XXD_8JaU1vliRGhwaUS7xuSJjv6zg8Zo/view?usp=drivesdk</v>
      </c>
    </row>
    <row r="7011">
      <c r="A7011" s="15">
        <f>IFERROR(__xludf.DUMMYFUNCTION("""COMPUTED_VALUE"""),45198.0)</f>
        <v>45198</v>
      </c>
      <c r="B7011" s="16" t="str">
        <f>IFERROR(__xludf.DUMMYFUNCTION("""COMPUTED_VALUE"""),"Easy Móvil")</f>
        <v>Easy Móvil</v>
      </c>
      <c r="C7011" s="15" t="str">
        <f>IFERROR(__xludf.DUMMYFUNCTION("""COMPUTED_VALUE"""),"BARRANQUILLA")</f>
        <v>BARRANQUILLA</v>
      </c>
      <c r="D7011" s="15" t="str">
        <f>IFERROR(__xludf.DUMMYFUNCTION("""COMPUTED_VALUE"""),"MEDELLÍN")</f>
        <v>MEDELLÍN</v>
      </c>
      <c r="E7011" s="15" t="str">
        <f>IFERROR(__xludf.DUMMYFUNCTION("""COMPUTED_VALUE"""),"Rambla")</f>
        <v>Rambla</v>
      </c>
      <c r="F7011" s="17" t="str">
        <f>IFERROR(__xludf.DUMMYFUNCTION("""COMPUTED_VALUE"""),"CARRERA 74 #76-74 / - / -")</f>
        <v>CARRERA 74 #76-74 / - / -</v>
      </c>
      <c r="G7011" s="15" t="str">
        <f>IFERROR(__xludf.DUMMYFUNCTION("""COMPUTED_VALUE"""),"Fit Hub")</f>
        <v>Fit Hub</v>
      </c>
      <c r="H7011" s="16">
        <f>IFERROR(__xludf.DUMMYFUNCTION("""COMPUTED_VALUE"""),15721.0)</f>
        <v>15721</v>
      </c>
      <c r="I7011" s="18">
        <f>IFERROR(__xludf.DUMMYFUNCTION("""COMPUTED_VALUE"""),22.0)</f>
        <v>22</v>
      </c>
      <c r="J7011" s="18">
        <f>IFERROR(__xludf.DUMMYFUNCTION("""COMPUTED_VALUE"""),20.0)</f>
        <v>20</v>
      </c>
      <c r="K7011" s="18">
        <f>IFERROR(__xludf.DUMMYFUNCTION("""COMPUTED_VALUE"""),20.0)</f>
        <v>20</v>
      </c>
      <c r="L7011" s="17">
        <f>IFERROR(__xludf.DUMMYFUNCTION("""COMPUTED_VALUE"""),3.157039547E9)</f>
        <v>3157039547</v>
      </c>
      <c r="M7011" s="17" t="str">
        <f>IFERROR(__xludf.DUMMYFUNCTION("""COMPUTED_VALUE"""),"#REF!")</f>
        <v>#REF!</v>
      </c>
      <c r="N7011" s="17"/>
      <c r="O7011" s="17"/>
      <c r="P7011" s="17" t="b">
        <f>IFERROR(__xludf.DUMMYFUNCTION("""COMPUTED_VALUE"""),TRUE)</f>
        <v>1</v>
      </c>
      <c r="Q7011" s="20">
        <f>IFERROR(__xludf.DUMMYFUNCTION("""COMPUTED_VALUE"""),45199.31610568287)</f>
        <v>45199.31611</v>
      </c>
      <c r="R7011" s="21" t="str">
        <f>IFERROR(__xludf.DUMMYFUNCTION("""COMPUTED_VALUE"""),"https://drive.google.com/file/d/17MW2xkaV2EbAMUbPsrxOsyaVeueKvpPM/view?usp=drivesdk")</f>
        <v>https://drive.google.com/file/d/17MW2xkaV2EbAMUbPsrxOsyaVeueKvpPM/view?usp=drivesdk</v>
      </c>
    </row>
    <row r="7012">
      <c r="A7012" s="15">
        <f>IFERROR(__xludf.DUMMYFUNCTION("""COMPUTED_VALUE"""),45198.0)</f>
        <v>45198</v>
      </c>
      <c r="B7012" s="16" t="str">
        <f>IFERROR(__xludf.DUMMYFUNCTION("""COMPUTED_VALUE"""),"Easy Móvil")</f>
        <v>Easy Móvil</v>
      </c>
      <c r="C7012" s="15" t="str">
        <f>IFERROR(__xludf.DUMMYFUNCTION("""COMPUTED_VALUE"""),"BOGOTÁ")</f>
        <v>BOGOTÁ</v>
      </c>
      <c r="D7012" s="15" t="str">
        <f>IFERROR(__xludf.DUMMYFUNCTION("""COMPUTED_VALUE"""),"MEDELLÍN")</f>
        <v>MEDELLÍN</v>
      </c>
      <c r="E7012" s="15" t="str">
        <f>IFERROR(__xludf.DUMMYFUNCTION("""COMPUTED_VALUE"""),"AREPAS LA MARY")</f>
        <v>AREPAS LA MARY</v>
      </c>
      <c r="F7012" s="17" t="str">
        <f>IFERROR(__xludf.DUMMYFUNCTION("""COMPUTED_VALUE"""),"Carrera 22 #137-79 APTO 303 / BOGOTA")</f>
        <v>Carrera 22 #137-79 APTO 303 / BOGOTA</v>
      </c>
      <c r="G7012" s="15" t="str">
        <f>IFERROR(__xludf.DUMMYFUNCTION("""COMPUTED_VALUE"""),"SOFIA PEREZ")</f>
        <v>SOFIA PEREZ</v>
      </c>
      <c r="H7012" s="16">
        <f>IFERROR(__xludf.DUMMYFUNCTION("""COMPUTED_VALUE"""),15736.0)</f>
        <v>15736</v>
      </c>
      <c r="I7012" s="18">
        <f>IFERROR(__xludf.DUMMYFUNCTION("""COMPUTED_VALUE"""),89.0)</f>
        <v>89</v>
      </c>
      <c r="J7012" s="18">
        <f>IFERROR(__xludf.DUMMYFUNCTION("""COMPUTED_VALUE"""),1.0)</f>
        <v>1</v>
      </c>
      <c r="K7012" s="18">
        <f>IFERROR(__xludf.DUMMYFUNCTION("""COMPUTED_VALUE"""),10.0)</f>
        <v>10</v>
      </c>
      <c r="L7012" s="17">
        <f>IFERROR(__xludf.DUMMYFUNCTION("""COMPUTED_VALUE"""),3.214916786E9)</f>
        <v>3214916786</v>
      </c>
      <c r="M7012" s="17" t="str">
        <f>IFERROR(__xludf.DUMMYFUNCTION("""COMPUTED_VALUE"""),"#REF!")</f>
        <v>#REF!</v>
      </c>
      <c r="N7012" s="17"/>
      <c r="O7012" s="17"/>
      <c r="P7012" s="17" t="b">
        <f>IFERROR(__xludf.DUMMYFUNCTION("""COMPUTED_VALUE"""),FALSE)</f>
        <v>0</v>
      </c>
      <c r="Q7012" s="20" t="str">
        <f>IFERROR(__xludf.DUMMYFUNCTION("""COMPUTED_VALUE"""),"")</f>
        <v/>
      </c>
      <c r="R7012" s="22" t="str">
        <f>IFERROR(__xludf.DUMMYFUNCTION("""COMPUTED_VALUE"""),"")</f>
        <v/>
      </c>
    </row>
    <row r="7013">
      <c r="A7013" s="15">
        <f>IFERROR(__xludf.DUMMYFUNCTION("""COMPUTED_VALUE"""),45198.0)</f>
        <v>45198</v>
      </c>
      <c r="B7013" s="16" t="str">
        <f>IFERROR(__xludf.DUMMYFUNCTION("""COMPUTED_VALUE"""),"Easy Móvil")</f>
        <v>Easy Móvil</v>
      </c>
      <c r="C7013" s="15" t="str">
        <f>IFERROR(__xludf.DUMMYFUNCTION("""COMPUTED_VALUE"""),"BOGOTÁ")</f>
        <v>BOGOTÁ</v>
      </c>
      <c r="D7013" s="15" t="str">
        <f>IFERROR(__xludf.DUMMYFUNCTION("""COMPUTED_VALUE"""),"MEDELLÍN")</f>
        <v>MEDELLÍN</v>
      </c>
      <c r="E7013" s="15" t="str">
        <f>IFERROR(__xludf.DUMMYFUNCTION("""COMPUTED_VALUE"""),"AREPAS LA MARY")</f>
        <v>AREPAS LA MARY</v>
      </c>
      <c r="F7013" s="17" t="str">
        <f>IFERROR(__xludf.DUMMYFUNCTION("""COMPUTED_VALUE"""),"cra 100 a 73-34 / CASA")</f>
        <v>cra 100 a 73-34 / CASA</v>
      </c>
      <c r="G7013" s="15" t="str">
        <f>IFERROR(__xludf.DUMMYFUNCTION("""COMPUTED_VALUE"""),"DIANA PATAQUIVA")</f>
        <v>DIANA PATAQUIVA</v>
      </c>
      <c r="H7013" s="16">
        <f>IFERROR(__xludf.DUMMYFUNCTION("""COMPUTED_VALUE"""),15734.0)</f>
        <v>15734</v>
      </c>
      <c r="I7013" s="18">
        <f>IFERROR(__xludf.DUMMYFUNCTION("""COMPUTED_VALUE"""),89.0)</f>
        <v>89</v>
      </c>
      <c r="J7013" s="18">
        <f>IFERROR(__xludf.DUMMYFUNCTION("""COMPUTED_VALUE"""),1.0)</f>
        <v>1</v>
      </c>
      <c r="K7013" s="18">
        <f>IFERROR(__xludf.DUMMYFUNCTION("""COMPUTED_VALUE"""),10.0)</f>
        <v>10</v>
      </c>
      <c r="L7013" s="17">
        <f>IFERROR(__xludf.DUMMYFUNCTION("""COMPUTED_VALUE"""),3.017902841E9)</f>
        <v>3017902841</v>
      </c>
      <c r="M7013" s="17" t="str">
        <f>IFERROR(__xludf.DUMMYFUNCTION("""COMPUTED_VALUE"""),"#REF!")</f>
        <v>#REF!</v>
      </c>
      <c r="N7013" s="17"/>
      <c r="O7013" s="17"/>
      <c r="P7013" s="17" t="b">
        <f>IFERROR(__xludf.DUMMYFUNCTION("""COMPUTED_VALUE"""),FALSE)</f>
        <v>0</v>
      </c>
      <c r="Q7013" s="20" t="str">
        <f>IFERROR(__xludf.DUMMYFUNCTION("""COMPUTED_VALUE"""),"")</f>
        <v/>
      </c>
      <c r="R7013" s="22" t="str">
        <f>IFERROR(__xludf.DUMMYFUNCTION("""COMPUTED_VALUE"""),"")</f>
        <v/>
      </c>
    </row>
    <row r="7014">
      <c r="A7014" s="15">
        <f>IFERROR(__xludf.DUMMYFUNCTION("""COMPUTED_VALUE"""),45198.0)</f>
        <v>45198</v>
      </c>
      <c r="B7014" s="16" t="str">
        <f>IFERROR(__xludf.DUMMYFUNCTION("""COMPUTED_VALUE"""),"Easy Móvil")</f>
        <v>Easy Móvil</v>
      </c>
      <c r="C7014" s="15" t="str">
        <f>IFERROR(__xludf.DUMMYFUNCTION("""COMPUTED_VALUE"""),"BOGOTÁ")</f>
        <v>BOGOTÁ</v>
      </c>
      <c r="D7014" s="15" t="str">
        <f>IFERROR(__xludf.DUMMYFUNCTION("""COMPUTED_VALUE"""),"MEDELLÍN")</f>
        <v>MEDELLÍN</v>
      </c>
      <c r="E7014" s="15" t="str">
        <f>IFERROR(__xludf.DUMMYFUNCTION("""COMPUTED_VALUE"""),"AREPAS LA MARY")</f>
        <v>AREPAS LA MARY</v>
      </c>
      <c r="F7014" s="17" t="str">
        <f>IFERROR(__xludf.DUMMYFUNCTION("""COMPUTED_VALUE"""),"CRA 53 N.141 69 APTO 1207 / BOGOTA")</f>
        <v>CRA 53 N.141 69 APTO 1207 / BOGOTA</v>
      </c>
      <c r="G7014" s="15" t="str">
        <f>IFERROR(__xludf.DUMMYFUNCTION("""COMPUTED_VALUE"""),"CAMILA CASABIANCA")</f>
        <v>CAMILA CASABIANCA</v>
      </c>
      <c r="H7014" s="16">
        <f>IFERROR(__xludf.DUMMYFUNCTION("""COMPUTED_VALUE"""),15735.0)</f>
        <v>15735</v>
      </c>
      <c r="I7014" s="18">
        <f>IFERROR(__xludf.DUMMYFUNCTION("""COMPUTED_VALUE"""),89.0)</f>
        <v>89</v>
      </c>
      <c r="J7014" s="18">
        <f>IFERROR(__xludf.DUMMYFUNCTION("""COMPUTED_VALUE"""),1.0)</f>
        <v>1</v>
      </c>
      <c r="K7014" s="18">
        <f>IFERROR(__xludf.DUMMYFUNCTION("""COMPUTED_VALUE"""),10.0)</f>
        <v>10</v>
      </c>
      <c r="L7014" s="17">
        <f>IFERROR(__xludf.DUMMYFUNCTION("""COMPUTED_VALUE"""),3.006115867E9)</f>
        <v>3006115867</v>
      </c>
      <c r="M7014" s="17" t="str">
        <f>IFERROR(__xludf.DUMMYFUNCTION("""COMPUTED_VALUE"""),"#REF!")</f>
        <v>#REF!</v>
      </c>
      <c r="N7014" s="17"/>
      <c r="O7014" s="17"/>
      <c r="P7014" s="17" t="b">
        <f>IFERROR(__xludf.DUMMYFUNCTION("""COMPUTED_VALUE"""),FALSE)</f>
        <v>0</v>
      </c>
      <c r="Q7014" s="20" t="str">
        <f>IFERROR(__xludf.DUMMYFUNCTION("""COMPUTED_VALUE"""),"")</f>
        <v/>
      </c>
      <c r="R7014" s="22" t="str">
        <f>IFERROR(__xludf.DUMMYFUNCTION("""COMPUTED_VALUE"""),"")</f>
        <v/>
      </c>
    </row>
    <row r="7015">
      <c r="A7015" s="15">
        <f>IFERROR(__xludf.DUMMYFUNCTION("""COMPUTED_VALUE"""),45198.0)</f>
        <v>45198</v>
      </c>
      <c r="B7015" s="16" t="str">
        <f>IFERROR(__xludf.DUMMYFUNCTION("""COMPUTED_VALUE"""),"Easy Móvil")</f>
        <v>Easy Móvil</v>
      </c>
      <c r="C7015" s="15" t="str">
        <f>IFERROR(__xludf.DUMMYFUNCTION("""COMPUTED_VALUE"""),"BOGOTÁ")</f>
        <v>BOGOTÁ</v>
      </c>
      <c r="D7015" s="15" t="str">
        <f>IFERROR(__xludf.DUMMYFUNCTION("""COMPUTED_VALUE"""),"MEDELLÍN")</f>
        <v>MEDELLÍN</v>
      </c>
      <c r="E7015" s="15" t="str">
        <f>IFERROR(__xludf.DUMMYFUNCTION("""COMPUTED_VALUE"""),"Biota")</f>
        <v>Biota</v>
      </c>
      <c r="F7015" s="17" t="str">
        <f>IFERROR(__xludf.DUMMYFUNCTION("""COMPUTED_VALUE"""),"calle 166 # 49-20 balcones de teledo torre 6 apto 109 /   balcones de teledo torre 6 apto 109 / calle 166 # 49-20 balcones de teledo torre 6 apto 109")</f>
        <v>calle 166 # 49-20 balcones de teledo torre 6 apto 109 /   balcones de teledo torre 6 apto 109 / calle 166 # 49-20 balcones de teledo torre 6 apto 109</v>
      </c>
      <c r="G7015" s="15" t="str">
        <f>IFERROR(__xludf.DUMMYFUNCTION("""COMPUTED_VALUE"""),"Lorena Hernendez")</f>
        <v>Lorena Hernendez</v>
      </c>
      <c r="H7015" s="16">
        <f>IFERROR(__xludf.DUMMYFUNCTION("""COMPUTED_VALUE"""),15746.0)</f>
        <v>15746</v>
      </c>
      <c r="I7015" s="18">
        <f>IFERROR(__xludf.DUMMYFUNCTION("""COMPUTED_VALUE"""),17.0)</f>
        <v>17</v>
      </c>
      <c r="J7015" s="18">
        <f>IFERROR(__xludf.DUMMYFUNCTION("""COMPUTED_VALUE"""),13.0)</f>
        <v>13</v>
      </c>
      <c r="K7015" s="18">
        <f>IFERROR(__xludf.DUMMYFUNCTION("""COMPUTED_VALUE"""),13.0)</f>
        <v>13</v>
      </c>
      <c r="L7015" s="17">
        <f>IFERROR(__xludf.DUMMYFUNCTION("""COMPUTED_VALUE"""),3.107378986E9)</f>
        <v>3107378986</v>
      </c>
      <c r="M7015" s="17" t="str">
        <f>IFERROR(__xludf.DUMMYFUNCTION("""COMPUTED_VALUE"""),"#REF!")</f>
        <v>#REF!</v>
      </c>
      <c r="N7015" s="17"/>
      <c r="O7015" s="17"/>
      <c r="P7015" s="17" t="b">
        <f>IFERROR(__xludf.DUMMYFUNCTION("""COMPUTED_VALUE"""),FALSE)</f>
        <v>0</v>
      </c>
      <c r="Q7015" s="20" t="str">
        <f>IFERROR(__xludf.DUMMYFUNCTION("""COMPUTED_VALUE"""),"")</f>
        <v/>
      </c>
      <c r="R7015" s="22" t="str">
        <f>IFERROR(__xludf.DUMMYFUNCTION("""COMPUTED_VALUE"""),"")</f>
        <v/>
      </c>
    </row>
    <row r="7016">
      <c r="A7016" s="15">
        <f>IFERROR(__xludf.DUMMYFUNCTION("""COMPUTED_VALUE"""),45198.0)</f>
        <v>45198</v>
      </c>
      <c r="B7016" s="16" t="str">
        <f>IFERROR(__xludf.DUMMYFUNCTION("""COMPUTED_VALUE"""),"Easy Móvil")</f>
        <v>Easy Móvil</v>
      </c>
      <c r="C7016" s="15" t="str">
        <f>IFERROR(__xludf.DUMMYFUNCTION("""COMPUTED_VALUE"""),"BOGOTÁ")</f>
        <v>BOGOTÁ</v>
      </c>
      <c r="D7016" s="15" t="str">
        <f>IFERROR(__xludf.DUMMYFUNCTION("""COMPUTED_VALUE"""),"MEDELLÍN")</f>
        <v>MEDELLÍN</v>
      </c>
      <c r="E7016" s="15" t="str">
        <f>IFERROR(__xludf.DUMMYFUNCTION("""COMPUTED_VALUE"""),"Magda")</f>
        <v>Magda</v>
      </c>
      <c r="F7016" s="17" t="str">
        <f>IFERROR(__xludf.DUMMYFUNCTION("""COMPUTED_VALUE"""),"calle 71a #14a-22 / Barrio San Felipe, Cocinas Ocultas  / Barrio san Felipe")</f>
        <v>calle 71a #14a-22 / Barrio San Felipe, Cocinas Ocultas  / Barrio san Felipe</v>
      </c>
      <c r="G7016" s="15" t="str">
        <f>IFERROR(__xludf.DUMMYFUNCTION("""COMPUTED_VALUE"""),"Danilo ardila")</f>
        <v>Danilo ardila</v>
      </c>
      <c r="H7016" s="16">
        <f>IFERROR(__xludf.DUMMYFUNCTION("""COMPUTED_VALUE"""),15763.0)</f>
        <v>15763</v>
      </c>
      <c r="I7016" s="18">
        <f>IFERROR(__xludf.DUMMYFUNCTION("""COMPUTED_VALUE"""),21223.0)</f>
        <v>21223</v>
      </c>
      <c r="J7016" s="18">
        <f>IFERROR(__xludf.DUMMYFUNCTION("""COMPUTED_VALUE"""),1212.0)</f>
        <v>1212</v>
      </c>
      <c r="K7016" s="18">
        <f>IFERROR(__xludf.DUMMYFUNCTION("""COMPUTED_VALUE"""),1223.0)</f>
        <v>1223</v>
      </c>
      <c r="L7016" s="17">
        <f>IFERROR(__xludf.DUMMYFUNCTION("""COMPUTED_VALUE"""),3.156303988E9)</f>
        <v>3156303988</v>
      </c>
      <c r="M7016" s="17" t="str">
        <f>IFERROR(__xludf.DUMMYFUNCTION("""COMPUTED_VALUE"""),"#REF!")</f>
        <v>#REF!</v>
      </c>
      <c r="N7016" s="17"/>
      <c r="O7016" s="17"/>
      <c r="P7016" s="17" t="b">
        <f>IFERROR(__xludf.DUMMYFUNCTION("""COMPUTED_VALUE"""),FALSE)</f>
        <v>0</v>
      </c>
      <c r="Q7016" s="20" t="str">
        <f>IFERROR(__xludf.DUMMYFUNCTION("""COMPUTED_VALUE"""),"")</f>
        <v/>
      </c>
      <c r="R7016" s="22" t="str">
        <f>IFERROR(__xludf.DUMMYFUNCTION("""COMPUTED_VALUE"""),"")</f>
        <v/>
      </c>
    </row>
    <row r="7017">
      <c r="A7017" s="15">
        <f>IFERROR(__xludf.DUMMYFUNCTION("""COMPUTED_VALUE"""),45198.0)</f>
        <v>45198</v>
      </c>
      <c r="B7017" s="16" t="str">
        <f>IFERROR(__xludf.DUMMYFUNCTION("""COMPUTED_VALUE"""),"Easy Móvil")</f>
        <v>Easy Móvil</v>
      </c>
      <c r="C7017" s="15" t="str">
        <f>IFERROR(__xludf.DUMMYFUNCTION("""COMPUTED_VALUE"""),"BOGOTÁ")</f>
        <v>BOGOTÁ</v>
      </c>
      <c r="D7017" s="15" t="str">
        <f>IFERROR(__xludf.DUMMYFUNCTION("""COMPUTED_VALUE"""),"MEDELLÍN")</f>
        <v>MEDELLÍN</v>
      </c>
      <c r="E7017" s="15" t="str">
        <f>IFERROR(__xludf.DUMMYFUNCTION("""COMPUTED_VALUE"""),"Moloso S.A.S")</f>
        <v>Moloso S.A.S</v>
      </c>
      <c r="F7017" s="17" t="str">
        <f>IFERROR(__xludf.DUMMYFUNCTION("""COMPUTED_VALUE"""),"CL 45 45 47 INT 8 AP 401 / INT 8 AP 401")</f>
        <v>CL 45 45 47 INT 8 AP 401 / INT 8 AP 401</v>
      </c>
      <c r="G7017" s="15" t="str">
        <f>IFERROR(__xludf.DUMMYFUNCTION("""COMPUTED_VALUE"""),"MARIANA ESCOBAR VILLARRAGA")</f>
        <v>MARIANA ESCOBAR VILLARRAGA</v>
      </c>
      <c r="H7017" s="16">
        <f>IFERROR(__xludf.DUMMYFUNCTION("""COMPUTED_VALUE"""),15760.0)</f>
        <v>15760</v>
      </c>
      <c r="I7017" s="18">
        <f>IFERROR(__xludf.DUMMYFUNCTION("""COMPUTED_VALUE"""),17.0)</f>
        <v>17</v>
      </c>
      <c r="J7017" s="18">
        <f>IFERROR(__xludf.DUMMYFUNCTION("""COMPUTED_VALUE"""),15.0)</f>
        <v>15</v>
      </c>
      <c r="K7017" s="18">
        <f>IFERROR(__xludf.DUMMYFUNCTION("""COMPUTED_VALUE"""),28.0)</f>
        <v>28</v>
      </c>
      <c r="L7017" s="17" t="str">
        <f>IFERROR(__xludf.DUMMYFUNCTION("""COMPUTED_VALUE"""),"311 2644656")</f>
        <v>311 2644656</v>
      </c>
      <c r="M7017" s="17" t="str">
        <f>IFERROR(__xludf.DUMMYFUNCTION("""COMPUTED_VALUE"""),"#REF!")</f>
        <v>#REF!</v>
      </c>
      <c r="N7017" s="17"/>
      <c r="O7017" s="17"/>
      <c r="P7017" s="17" t="b">
        <f>IFERROR(__xludf.DUMMYFUNCTION("""COMPUTED_VALUE"""),FALSE)</f>
        <v>0</v>
      </c>
      <c r="Q7017" s="20" t="str">
        <f>IFERROR(__xludf.DUMMYFUNCTION("""COMPUTED_VALUE"""),"")</f>
        <v/>
      </c>
      <c r="R7017" s="22" t="str">
        <f>IFERROR(__xludf.DUMMYFUNCTION("""COMPUTED_VALUE"""),"")</f>
        <v/>
      </c>
    </row>
    <row r="7018">
      <c r="A7018" s="15">
        <f>IFERROR(__xludf.DUMMYFUNCTION("""COMPUTED_VALUE"""),45198.0)</f>
        <v>45198</v>
      </c>
      <c r="B7018" s="16" t="str">
        <f>IFERROR(__xludf.DUMMYFUNCTION("""COMPUTED_VALUE"""),"Easy Móvil")</f>
        <v>Easy Móvil</v>
      </c>
      <c r="C7018" s="15" t="str">
        <f>IFERROR(__xludf.DUMMYFUNCTION("""COMPUTED_VALUE"""),"BOGOTÁ")</f>
        <v>BOGOTÁ</v>
      </c>
      <c r="D7018" s="15" t="str">
        <f>IFERROR(__xludf.DUMMYFUNCTION("""COMPUTED_VALUE"""),"MEDELLÍN")</f>
        <v>MEDELLÍN</v>
      </c>
      <c r="E7018" s="15" t="str">
        <f>IFERROR(__xludf.DUMMYFUNCTION("""COMPUTED_VALUE"""),"Moloso S.A.S")</f>
        <v>Moloso S.A.S</v>
      </c>
      <c r="F7018" s="17" t="str">
        <f>IFERROR(__xludf.DUMMYFUNCTION("""COMPUTED_VALUE"""),"CLL 118 16 32 / APT 502")</f>
        <v>CLL 118 16 32 / APT 502</v>
      </c>
      <c r="G7018" s="15" t="str">
        <f>IFERROR(__xludf.DUMMYFUNCTION("""COMPUTED_VALUE"""),"ANGELICA MANCILLA")</f>
        <v>ANGELICA MANCILLA</v>
      </c>
      <c r="H7018" s="16">
        <f>IFERROR(__xludf.DUMMYFUNCTION("""COMPUTED_VALUE"""),15730.0)</f>
        <v>15730</v>
      </c>
      <c r="I7018" s="18">
        <f>IFERROR(__xludf.DUMMYFUNCTION("""COMPUTED_VALUE"""),17.0)</f>
        <v>17</v>
      </c>
      <c r="J7018" s="18">
        <f>IFERROR(__xludf.DUMMYFUNCTION("""COMPUTED_VALUE"""),15.0)</f>
        <v>15</v>
      </c>
      <c r="K7018" s="18">
        <f>IFERROR(__xludf.DUMMYFUNCTION("""COMPUTED_VALUE"""),28.0)</f>
        <v>28</v>
      </c>
      <c r="L7018" s="17">
        <f>IFERROR(__xludf.DUMMYFUNCTION("""COMPUTED_VALUE"""),3.174401028E9)</f>
        <v>3174401028</v>
      </c>
      <c r="M7018" s="17" t="str">
        <f>IFERROR(__xludf.DUMMYFUNCTION("""COMPUTED_VALUE"""),"#REF!")</f>
        <v>#REF!</v>
      </c>
      <c r="N7018" s="17"/>
      <c r="O7018" s="17"/>
      <c r="P7018" s="17" t="b">
        <f>IFERROR(__xludf.DUMMYFUNCTION("""COMPUTED_VALUE"""),FALSE)</f>
        <v>0</v>
      </c>
      <c r="Q7018" s="20" t="str">
        <f>IFERROR(__xludf.DUMMYFUNCTION("""COMPUTED_VALUE"""),"")</f>
        <v/>
      </c>
      <c r="R7018" s="22" t="str">
        <f>IFERROR(__xludf.DUMMYFUNCTION("""COMPUTED_VALUE"""),"")</f>
        <v/>
      </c>
    </row>
    <row r="7019">
      <c r="A7019" s="15">
        <f>IFERROR(__xludf.DUMMYFUNCTION("""COMPUTED_VALUE"""),45198.0)</f>
        <v>45198</v>
      </c>
      <c r="B7019" s="16" t="str">
        <f>IFERROR(__xludf.DUMMYFUNCTION("""COMPUTED_VALUE"""),"Easy Móvil")</f>
        <v>Easy Móvil</v>
      </c>
      <c r="C7019" s="15" t="str">
        <f>IFERROR(__xludf.DUMMYFUNCTION("""COMPUTED_VALUE"""),"BOGOTÁ")</f>
        <v>BOGOTÁ</v>
      </c>
      <c r="D7019" s="15" t="str">
        <f>IFERROR(__xludf.DUMMYFUNCTION("""COMPUTED_VALUE"""),"MEDELLÍN")</f>
        <v>MEDELLÍN</v>
      </c>
      <c r="E7019" s="15" t="str">
        <f>IFERROR(__xludf.DUMMYFUNCTION("""COMPUTED_VALUE"""),"Moloso S.A.S")</f>
        <v>Moloso S.A.S</v>
      </c>
      <c r="F7019" s="17" t="str">
        <f>IFERROR(__xludf.DUMMYFUNCTION("""COMPUTED_VALUE"""),"CR 78AN 58M 88 SUR / CJ PARQUES DE VILLA ANITA")</f>
        <v>CR 78AN 58M 88 SUR / CJ PARQUES DE VILLA ANITA</v>
      </c>
      <c r="G7019" s="15" t="str">
        <f>IFERROR(__xludf.DUMMYFUNCTION("""COMPUTED_VALUE"""),"VANESSA BELTRAN BUITRAGO")</f>
        <v>VANESSA BELTRAN BUITRAGO</v>
      </c>
      <c r="H7019" s="16">
        <f>IFERROR(__xludf.DUMMYFUNCTION("""COMPUTED_VALUE"""),15732.0)</f>
        <v>15732</v>
      </c>
      <c r="I7019" s="18">
        <f>IFERROR(__xludf.DUMMYFUNCTION("""COMPUTED_VALUE"""),17.0)</f>
        <v>17</v>
      </c>
      <c r="J7019" s="18">
        <f>IFERROR(__xludf.DUMMYFUNCTION("""COMPUTED_VALUE"""),15.0)</f>
        <v>15</v>
      </c>
      <c r="K7019" s="18">
        <f>IFERROR(__xludf.DUMMYFUNCTION("""COMPUTED_VALUE"""),28.0)</f>
        <v>28</v>
      </c>
      <c r="L7019" s="17" t="str">
        <f>IFERROR(__xludf.DUMMYFUNCTION("""COMPUTED_VALUE"""),"319 5025532")</f>
        <v>319 5025532</v>
      </c>
      <c r="M7019" s="17" t="str">
        <f>IFERROR(__xludf.DUMMYFUNCTION("""COMPUTED_VALUE"""),"#REF!")</f>
        <v>#REF!</v>
      </c>
      <c r="N7019" s="17"/>
      <c r="O7019" s="17"/>
      <c r="P7019" s="17" t="b">
        <f>IFERROR(__xludf.DUMMYFUNCTION("""COMPUTED_VALUE"""),FALSE)</f>
        <v>0</v>
      </c>
      <c r="Q7019" s="20" t="str">
        <f>IFERROR(__xludf.DUMMYFUNCTION("""COMPUTED_VALUE"""),"")</f>
        <v/>
      </c>
      <c r="R7019" s="22" t="str">
        <f>IFERROR(__xludf.DUMMYFUNCTION("""COMPUTED_VALUE"""),"")</f>
        <v/>
      </c>
    </row>
    <row r="7020">
      <c r="A7020" s="15">
        <f>IFERROR(__xludf.DUMMYFUNCTION("""COMPUTED_VALUE"""),45198.0)</f>
        <v>45198</v>
      </c>
      <c r="B7020" s="16" t="str">
        <f>IFERROR(__xludf.DUMMYFUNCTION("""COMPUTED_VALUE"""),"Easy Móvil")</f>
        <v>Easy Móvil</v>
      </c>
      <c r="C7020" s="15" t="str">
        <f>IFERROR(__xludf.DUMMYFUNCTION("""COMPUTED_VALUE"""),"BOGOTÁ")</f>
        <v>BOGOTÁ</v>
      </c>
      <c r="D7020" s="15" t="str">
        <f>IFERROR(__xludf.DUMMYFUNCTION("""COMPUTED_VALUE"""),"MEDELLÍN")</f>
        <v>MEDELLÍN</v>
      </c>
      <c r="E7020" s="15" t="str">
        <f>IFERROR(__xludf.DUMMYFUNCTION("""COMPUTED_VALUE"""),"Moloso S.A.S")</f>
        <v>Moloso S.A.S</v>
      </c>
      <c r="F7020" s="17" t="str">
        <f>IFERROR(__xludf.DUMMYFUNCTION("""COMPUTED_VALUE"""),"CRA 55 149 09  CONJUNTO MONTECARLO 3 CASA 16 / CONJUNTO MONTECARLO 3 CASA 16")</f>
        <v>CRA 55 149 09  CONJUNTO MONTECARLO 3 CASA 16 / CONJUNTO MONTECARLO 3 CASA 16</v>
      </c>
      <c r="G7020" s="15" t="str">
        <f>IFERROR(__xludf.DUMMYFUNCTION("""COMPUTED_VALUE"""),"CLAUDIA ADRIANA GARCIA FINO")</f>
        <v>CLAUDIA ADRIANA GARCIA FINO</v>
      </c>
      <c r="H7020" s="16">
        <f>IFERROR(__xludf.DUMMYFUNCTION("""COMPUTED_VALUE"""),15731.0)</f>
        <v>15731</v>
      </c>
      <c r="I7020" s="18">
        <f>IFERROR(__xludf.DUMMYFUNCTION("""COMPUTED_VALUE"""),17.0)</f>
        <v>17</v>
      </c>
      <c r="J7020" s="18">
        <f>IFERROR(__xludf.DUMMYFUNCTION("""COMPUTED_VALUE"""),15.0)</f>
        <v>15</v>
      </c>
      <c r="K7020" s="18">
        <f>IFERROR(__xludf.DUMMYFUNCTION("""COMPUTED_VALUE"""),28.0)</f>
        <v>28</v>
      </c>
      <c r="L7020" s="17" t="str">
        <f>IFERROR(__xludf.DUMMYFUNCTION("""COMPUTED_VALUE"""),"313 2628813")</f>
        <v>313 2628813</v>
      </c>
      <c r="M7020" s="17" t="str">
        <f>IFERROR(__xludf.DUMMYFUNCTION("""COMPUTED_VALUE"""),"#REF!")</f>
        <v>#REF!</v>
      </c>
      <c r="N7020" s="17"/>
      <c r="O7020" s="17"/>
      <c r="P7020" s="17" t="b">
        <f>IFERROR(__xludf.DUMMYFUNCTION("""COMPUTED_VALUE"""),FALSE)</f>
        <v>0</v>
      </c>
      <c r="Q7020" s="20" t="str">
        <f>IFERROR(__xludf.DUMMYFUNCTION("""COMPUTED_VALUE"""),"")</f>
        <v/>
      </c>
      <c r="R7020" s="22" t="str">
        <f>IFERROR(__xludf.DUMMYFUNCTION("""COMPUTED_VALUE"""),"")</f>
        <v/>
      </c>
    </row>
    <row r="7021">
      <c r="A7021" s="15">
        <f>IFERROR(__xludf.DUMMYFUNCTION("""COMPUTED_VALUE"""),45198.0)</f>
        <v>45198</v>
      </c>
      <c r="B7021" s="16" t="str">
        <f>IFERROR(__xludf.DUMMYFUNCTION("""COMPUTED_VALUE"""),"Easy Móvil")</f>
        <v>Easy Móvil</v>
      </c>
      <c r="C7021" s="15" t="str">
        <f>IFERROR(__xludf.DUMMYFUNCTION("""COMPUTED_VALUE"""),"BOGOTÁ")</f>
        <v>BOGOTÁ</v>
      </c>
      <c r="D7021" s="15" t="str">
        <f>IFERROR(__xludf.DUMMYFUNCTION("""COMPUTED_VALUE"""),"MEDELLÍN")</f>
        <v>MEDELLÍN</v>
      </c>
      <c r="E7021" s="15" t="str">
        <f>IFERROR(__xludf.DUMMYFUNCTION("""COMPUTED_VALUE"""),"Natusoya")</f>
        <v>Natusoya</v>
      </c>
      <c r="F7021" s="17" t="str">
        <f>IFERROR(__xludf.DUMMYFUNCTION("""COMPUTED_VALUE"""),"Carrera 7 #124-97  / Local 5 Gastronomy Market / Usaquen")</f>
        <v>Carrera 7 #124-97  / Local 5 Gastronomy Market / Usaquen</v>
      </c>
      <c r="G7021" s="15" t="str">
        <f>IFERROR(__xludf.DUMMYFUNCTION("""COMPUTED_VALUE"""),"Gastronomy")</f>
        <v>Gastronomy</v>
      </c>
      <c r="H7021" s="16">
        <f>IFERROR(__xludf.DUMMYFUNCTION("""COMPUTED_VALUE"""),15757.0)</f>
        <v>15757</v>
      </c>
      <c r="I7021" s="18">
        <f>IFERROR(__xludf.DUMMYFUNCTION("""COMPUTED_VALUE"""),15.0)</f>
        <v>15</v>
      </c>
      <c r="J7021" s="18">
        <f>IFERROR(__xludf.DUMMYFUNCTION("""COMPUTED_VALUE"""),20.0)</f>
        <v>20</v>
      </c>
      <c r="K7021" s="18">
        <f>IFERROR(__xludf.DUMMYFUNCTION("""COMPUTED_VALUE"""),20.0)</f>
        <v>20</v>
      </c>
      <c r="L7021" s="17">
        <f>IFERROR(__xludf.DUMMYFUNCTION("""COMPUTED_VALUE"""),3.053552603E9)</f>
        <v>3053552603</v>
      </c>
      <c r="M7021" s="17" t="str">
        <f>IFERROR(__xludf.DUMMYFUNCTION("""COMPUTED_VALUE"""),"#REF!")</f>
        <v>#REF!</v>
      </c>
      <c r="N7021" s="17"/>
      <c r="O7021" s="17"/>
      <c r="P7021" s="17" t="b">
        <f>IFERROR(__xludf.DUMMYFUNCTION("""COMPUTED_VALUE"""),FALSE)</f>
        <v>0</v>
      </c>
      <c r="Q7021" s="20" t="str">
        <f>IFERROR(__xludf.DUMMYFUNCTION("""COMPUTED_VALUE"""),"")</f>
        <v/>
      </c>
      <c r="R7021" s="22" t="str">
        <f>IFERROR(__xludf.DUMMYFUNCTION("""COMPUTED_VALUE"""),"")</f>
        <v/>
      </c>
    </row>
    <row r="7022">
      <c r="A7022" s="15">
        <f>IFERROR(__xludf.DUMMYFUNCTION("""COMPUTED_VALUE"""),45198.0)</f>
        <v>45198</v>
      </c>
      <c r="B7022" s="16" t="str">
        <f>IFERROR(__xludf.DUMMYFUNCTION("""COMPUTED_VALUE"""),"Easy Móvil")</f>
        <v>Easy Móvil</v>
      </c>
      <c r="C7022" s="15" t="str">
        <f>IFERROR(__xludf.DUMMYFUNCTION("""COMPUTED_VALUE"""),"BOGOTÁ")</f>
        <v>BOGOTÁ</v>
      </c>
      <c r="D7022" s="15" t="str">
        <f>IFERROR(__xludf.DUMMYFUNCTION("""COMPUTED_VALUE"""),"MEDELLÍN")</f>
        <v>MEDELLÍN</v>
      </c>
      <c r="E7022" s="15" t="str">
        <f>IFERROR(__xludf.DUMMYFUNCTION("""COMPUTED_VALUE"""),"Panki Waffle")</f>
        <v>Panki Waffle</v>
      </c>
      <c r="F7022" s="17" t="str">
        <f>IFERROR(__xludf.DUMMYFUNCTION("""COMPUTED_VALUE"""),"Cra 15 # 136-26 apto 402  / ed Daniela PH barrio cedritos  / cedritos")</f>
        <v>Cra 15 # 136-26 apto 402  / ed Daniela PH barrio cedritos  / cedritos</v>
      </c>
      <c r="G7022" s="15" t="str">
        <f>IFERROR(__xludf.DUMMYFUNCTION("""COMPUTED_VALUE"""),"Alejandra Pineda Beltrán")</f>
        <v>Alejandra Pineda Beltrán</v>
      </c>
      <c r="H7022" s="16">
        <f>IFERROR(__xludf.DUMMYFUNCTION("""COMPUTED_VALUE"""),15748.0)</f>
        <v>15748</v>
      </c>
      <c r="I7022" s="18">
        <f>IFERROR(__xludf.DUMMYFUNCTION("""COMPUTED_VALUE"""),3.0)</f>
        <v>3</v>
      </c>
      <c r="J7022" s="18">
        <f>IFERROR(__xludf.DUMMYFUNCTION("""COMPUTED_VALUE"""),8.0)</f>
        <v>8</v>
      </c>
      <c r="K7022" s="18">
        <f>IFERROR(__xludf.DUMMYFUNCTION("""COMPUTED_VALUE"""),45054.0)</f>
        <v>45054</v>
      </c>
      <c r="L7022" s="17">
        <f>IFERROR(__xludf.DUMMYFUNCTION("""COMPUTED_VALUE"""),3.202267977E9)</f>
        <v>3202267977</v>
      </c>
      <c r="M7022" s="17" t="str">
        <f>IFERROR(__xludf.DUMMYFUNCTION("""COMPUTED_VALUE"""),"#REF!")</f>
        <v>#REF!</v>
      </c>
      <c r="N7022" s="17"/>
      <c r="O7022" s="17"/>
      <c r="P7022" s="17" t="b">
        <f>IFERROR(__xludf.DUMMYFUNCTION("""COMPUTED_VALUE"""),FALSE)</f>
        <v>0</v>
      </c>
      <c r="Q7022" s="20" t="str">
        <f>IFERROR(__xludf.DUMMYFUNCTION("""COMPUTED_VALUE"""),"")</f>
        <v/>
      </c>
      <c r="R7022" s="22" t="str">
        <f>IFERROR(__xludf.DUMMYFUNCTION("""COMPUTED_VALUE"""),"")</f>
        <v/>
      </c>
    </row>
    <row r="7023">
      <c r="A7023" s="15">
        <f>IFERROR(__xludf.DUMMYFUNCTION("""COMPUTED_VALUE"""),45198.0)</f>
        <v>45198</v>
      </c>
      <c r="B7023" s="16" t="str">
        <f>IFERROR(__xludf.DUMMYFUNCTION("""COMPUTED_VALUE"""),"Easy Móvil")</f>
        <v>Easy Móvil</v>
      </c>
      <c r="C7023" s="15" t="str">
        <f>IFERROR(__xludf.DUMMYFUNCTION("""COMPUTED_VALUE"""),"BOGOTÁ")</f>
        <v>BOGOTÁ</v>
      </c>
      <c r="D7023" s="15" t="str">
        <f>IFERROR(__xludf.DUMMYFUNCTION("""COMPUTED_VALUE"""),"MEDELLÍN")</f>
        <v>MEDELLÍN</v>
      </c>
      <c r="E7023" s="15" t="str">
        <f>IFERROR(__xludf.DUMMYFUNCTION("""COMPUTED_VALUE"""),"Puro Verde")</f>
        <v>Puro Verde</v>
      </c>
      <c r="F7023" s="17" t="str">
        <f>IFERROR(__xludf.DUMMYFUNCTION("""COMPUTED_VALUE"""),"CRA 16A # 77-23. / LOCAL 4 / BARRIO EL LAGO")</f>
        <v>CRA 16A # 77-23. / LOCAL 4 / BARRIO EL LAGO</v>
      </c>
      <c r="G7023" s="15" t="str">
        <f>IFERROR(__xludf.DUMMYFUNCTION("""COMPUTED_VALUE"""),"DANDO CUERDA")</f>
        <v>DANDO CUERDA</v>
      </c>
      <c r="H7023" s="16">
        <f>IFERROR(__xludf.DUMMYFUNCTION("""COMPUTED_VALUE"""),15724.0)</f>
        <v>15724</v>
      </c>
      <c r="I7023" s="18">
        <f>IFERROR(__xludf.DUMMYFUNCTION("""COMPUTED_VALUE"""),55.0)</f>
        <v>55</v>
      </c>
      <c r="J7023" s="18">
        <f>IFERROR(__xludf.DUMMYFUNCTION("""COMPUTED_VALUE"""),45.0)</f>
        <v>45</v>
      </c>
      <c r="K7023" s="18" t="str">
        <f>IFERROR(__xludf.DUMMYFUNCTION("""COMPUTED_VALUE"""),"52.5")</f>
        <v>52.5</v>
      </c>
      <c r="L7023" s="17">
        <f>IFERROR(__xludf.DUMMYFUNCTION("""COMPUTED_VALUE"""),3.163816691E9)</f>
        <v>3163816691</v>
      </c>
      <c r="M7023" s="17" t="str">
        <f>IFERROR(__xludf.DUMMYFUNCTION("""COMPUTED_VALUE"""),"#REF!")</f>
        <v>#REF!</v>
      </c>
      <c r="N7023" s="17"/>
      <c r="O7023" s="17"/>
      <c r="P7023" s="17" t="b">
        <f>IFERROR(__xludf.DUMMYFUNCTION("""COMPUTED_VALUE"""),FALSE)</f>
        <v>0</v>
      </c>
      <c r="Q7023" s="20" t="str">
        <f>IFERROR(__xludf.DUMMYFUNCTION("""COMPUTED_VALUE"""),"")</f>
        <v/>
      </c>
      <c r="R7023" s="22" t="str">
        <f>IFERROR(__xludf.DUMMYFUNCTION("""COMPUTED_VALUE"""),"")</f>
        <v/>
      </c>
    </row>
    <row r="7024">
      <c r="A7024" s="15">
        <f>IFERROR(__xludf.DUMMYFUNCTION("""COMPUTED_VALUE"""),45198.0)</f>
        <v>45198</v>
      </c>
      <c r="B7024" s="16" t="str">
        <f>IFERROR(__xludf.DUMMYFUNCTION("""COMPUTED_VALUE"""),"Easy Móvil")</f>
        <v>Easy Móvil</v>
      </c>
      <c r="C7024" s="15" t="str">
        <f>IFERROR(__xludf.DUMMYFUNCTION("""COMPUTED_VALUE"""),"BOGOTÁ")</f>
        <v>BOGOTÁ</v>
      </c>
      <c r="D7024" s="15" t="str">
        <f>IFERROR(__xludf.DUMMYFUNCTION("""COMPUTED_VALUE"""),"MEDELLÍN")</f>
        <v>MEDELLÍN</v>
      </c>
      <c r="E7024" s="15" t="str">
        <f>IFERROR(__xludf.DUMMYFUNCTION("""COMPUTED_VALUE"""),"Rambla")</f>
        <v>Rambla</v>
      </c>
      <c r="F7024" s="17" t="str">
        <f>IFERROR(__xludf.DUMMYFUNCTION("""COMPUTED_VALUE"""),"calle 134c # 53b 52 apto 301 casa gris tercer piso.  / Barrio spring / .")</f>
        <v>calle 134c # 53b 52 apto 301 casa gris tercer piso.  / Barrio spring / .</v>
      </c>
      <c r="G7024" s="15" t="str">
        <f>IFERROR(__xludf.DUMMYFUNCTION("""COMPUTED_VALUE"""),"Ana María Ríos Moreno")</f>
        <v>Ana María Ríos Moreno</v>
      </c>
      <c r="H7024" s="16">
        <f>IFERROR(__xludf.DUMMYFUNCTION("""COMPUTED_VALUE"""),15753.0)</f>
        <v>15753</v>
      </c>
      <c r="I7024" s="18">
        <f>IFERROR(__xludf.DUMMYFUNCTION("""COMPUTED_VALUE"""),19.0)</f>
        <v>19</v>
      </c>
      <c r="J7024" s="18">
        <f>IFERROR(__xludf.DUMMYFUNCTION("""COMPUTED_VALUE"""),20.0)</f>
        <v>20</v>
      </c>
      <c r="K7024" s="18">
        <f>IFERROR(__xludf.DUMMYFUNCTION("""COMPUTED_VALUE"""),20.0)</f>
        <v>20</v>
      </c>
      <c r="L7024" s="17">
        <f>IFERROR(__xludf.DUMMYFUNCTION("""COMPUTED_VALUE"""),3.00661678E9)</f>
        <v>3006616780</v>
      </c>
      <c r="M7024" s="17" t="str">
        <f>IFERROR(__xludf.DUMMYFUNCTION("""COMPUTED_VALUE"""),"#REF!")</f>
        <v>#REF!</v>
      </c>
      <c r="N7024" s="17"/>
      <c r="O7024" s="17"/>
      <c r="P7024" s="17" t="b">
        <f>IFERROR(__xludf.DUMMYFUNCTION("""COMPUTED_VALUE"""),FALSE)</f>
        <v>0</v>
      </c>
      <c r="Q7024" s="20" t="str">
        <f>IFERROR(__xludf.DUMMYFUNCTION("""COMPUTED_VALUE"""),"")</f>
        <v/>
      </c>
      <c r="R7024" s="22" t="str">
        <f>IFERROR(__xludf.DUMMYFUNCTION("""COMPUTED_VALUE"""),"")</f>
        <v/>
      </c>
    </row>
    <row r="7025">
      <c r="A7025" s="15">
        <f>IFERROR(__xludf.DUMMYFUNCTION("""COMPUTED_VALUE"""),45198.0)</f>
        <v>45198</v>
      </c>
      <c r="B7025" s="16" t="str">
        <f>IFERROR(__xludf.DUMMYFUNCTION("""COMPUTED_VALUE"""),"Easy Móvil")</f>
        <v>Easy Móvil</v>
      </c>
      <c r="C7025" s="15" t="str">
        <f>IFERROR(__xludf.DUMMYFUNCTION("""COMPUTED_VALUE"""),"BOGOTÁ")</f>
        <v>BOGOTÁ</v>
      </c>
      <c r="D7025" s="15" t="str">
        <f>IFERROR(__xludf.DUMMYFUNCTION("""COMPUTED_VALUE"""),"MEDELLÍN")</f>
        <v>MEDELLÍN</v>
      </c>
      <c r="E7025" s="15" t="str">
        <f>IFERROR(__xludf.DUMMYFUNCTION("""COMPUTED_VALUE"""),"Rambla")</f>
        <v>Rambla</v>
      </c>
      <c r="F7025" s="17" t="str">
        <f>IFERROR(__xludf.DUMMYFUNCTION("""COMPUTED_VALUE"""),"Calle 20 sur # 12B 26 apto 402 barrio ciudad jardín sur /  barrio ciudad jardín sur / .")</f>
        <v>Calle 20 sur # 12B 26 apto 402 barrio ciudad jardín sur /  barrio ciudad jardín sur / .</v>
      </c>
      <c r="G7025" s="15" t="str">
        <f>IFERROR(__xludf.DUMMYFUNCTION("""COMPUTED_VALUE"""),"Elisa Joya")</f>
        <v>Elisa Joya</v>
      </c>
      <c r="H7025" s="16">
        <f>IFERROR(__xludf.DUMMYFUNCTION("""COMPUTED_VALUE"""),15751.0)</f>
        <v>15751</v>
      </c>
      <c r="I7025" s="18">
        <f>IFERROR(__xludf.DUMMYFUNCTION("""COMPUTED_VALUE"""),19.0)</f>
        <v>19</v>
      </c>
      <c r="J7025" s="18">
        <f>IFERROR(__xludf.DUMMYFUNCTION("""COMPUTED_VALUE"""),20.0)</f>
        <v>20</v>
      </c>
      <c r="K7025" s="18">
        <f>IFERROR(__xludf.DUMMYFUNCTION("""COMPUTED_VALUE"""),20.0)</f>
        <v>20</v>
      </c>
      <c r="L7025" s="17">
        <f>IFERROR(__xludf.DUMMYFUNCTION("""COMPUTED_VALUE"""),3.115842241E9)</f>
        <v>3115842241</v>
      </c>
      <c r="M7025" s="17" t="str">
        <f>IFERROR(__xludf.DUMMYFUNCTION("""COMPUTED_VALUE"""),"#REF!")</f>
        <v>#REF!</v>
      </c>
      <c r="N7025" s="17"/>
      <c r="O7025" s="17"/>
      <c r="P7025" s="17" t="b">
        <f>IFERROR(__xludf.DUMMYFUNCTION("""COMPUTED_VALUE"""),FALSE)</f>
        <v>0</v>
      </c>
      <c r="Q7025" s="20" t="str">
        <f>IFERROR(__xludf.DUMMYFUNCTION("""COMPUTED_VALUE"""),"")</f>
        <v/>
      </c>
      <c r="R7025" s="22" t="str">
        <f>IFERROR(__xludf.DUMMYFUNCTION("""COMPUTED_VALUE"""),"")</f>
        <v/>
      </c>
    </row>
    <row r="7026">
      <c r="A7026" s="15">
        <f>IFERROR(__xludf.DUMMYFUNCTION("""COMPUTED_VALUE"""),45198.0)</f>
        <v>45198</v>
      </c>
      <c r="B7026" s="16" t="str">
        <f>IFERROR(__xludf.DUMMYFUNCTION("""COMPUTED_VALUE"""),"Easy Móvil")</f>
        <v>Easy Móvil</v>
      </c>
      <c r="C7026" s="15" t="str">
        <f>IFERROR(__xludf.DUMMYFUNCTION("""COMPUTED_VALUE"""),"BOGOTÁ")</f>
        <v>BOGOTÁ</v>
      </c>
      <c r="D7026" s="15" t="str">
        <f>IFERROR(__xludf.DUMMYFUNCTION("""COMPUTED_VALUE"""),"MEDELLÍN")</f>
        <v>MEDELLÍN</v>
      </c>
      <c r="E7026" s="15" t="str">
        <f>IFERROR(__xludf.DUMMYFUNCTION("""COMPUTED_VALUE"""),"Rambla")</f>
        <v>Rambla</v>
      </c>
      <c r="F7026" s="17" t="str">
        <f>IFERROR(__xludf.DUMMYFUNCTION("""COMPUTED_VALUE"""),"Calle 65 # 2-66. Apto 502. Edificio Abydos / Edificio Abydos / .")</f>
        <v>Calle 65 # 2-66. Apto 502. Edificio Abydos / Edificio Abydos / .</v>
      </c>
      <c r="G7026" s="15" t="str">
        <f>IFERROR(__xludf.DUMMYFUNCTION("""COMPUTED_VALUE"""),"Lena Aarón")</f>
        <v>Lena Aarón</v>
      </c>
      <c r="H7026" s="16">
        <f>IFERROR(__xludf.DUMMYFUNCTION("""COMPUTED_VALUE"""),15749.0)</f>
        <v>15749</v>
      </c>
      <c r="I7026" s="18">
        <f>IFERROR(__xludf.DUMMYFUNCTION("""COMPUTED_VALUE"""),19.0)</f>
        <v>19</v>
      </c>
      <c r="J7026" s="18">
        <f>IFERROR(__xludf.DUMMYFUNCTION("""COMPUTED_VALUE"""),20.0)</f>
        <v>20</v>
      </c>
      <c r="K7026" s="18">
        <f>IFERROR(__xludf.DUMMYFUNCTION("""COMPUTED_VALUE"""),20.0)</f>
        <v>20</v>
      </c>
      <c r="L7026" s="17">
        <f>IFERROR(__xludf.DUMMYFUNCTION("""COMPUTED_VALUE"""),3.014238586E9)</f>
        <v>3014238586</v>
      </c>
      <c r="M7026" s="17" t="str">
        <f>IFERROR(__xludf.DUMMYFUNCTION("""COMPUTED_VALUE"""),"#REF!")</f>
        <v>#REF!</v>
      </c>
      <c r="N7026" s="17"/>
      <c r="O7026" s="17"/>
      <c r="P7026" s="17" t="b">
        <f>IFERROR(__xludf.DUMMYFUNCTION("""COMPUTED_VALUE"""),FALSE)</f>
        <v>0</v>
      </c>
      <c r="Q7026" s="20" t="str">
        <f>IFERROR(__xludf.DUMMYFUNCTION("""COMPUTED_VALUE"""),"")</f>
        <v/>
      </c>
      <c r="R7026" s="22" t="str">
        <f>IFERROR(__xludf.DUMMYFUNCTION("""COMPUTED_VALUE"""),"")</f>
        <v/>
      </c>
    </row>
    <row r="7027">
      <c r="A7027" s="15">
        <f>IFERROR(__xludf.DUMMYFUNCTION("""COMPUTED_VALUE"""),45198.0)</f>
        <v>45198</v>
      </c>
      <c r="B7027" s="16" t="str">
        <f>IFERROR(__xludf.DUMMYFUNCTION("""COMPUTED_VALUE"""),"Easy Móvil")</f>
        <v>Easy Móvil</v>
      </c>
      <c r="C7027" s="15" t="str">
        <f>IFERROR(__xludf.DUMMYFUNCTION("""COMPUTED_VALUE"""),"BOGOTÁ")</f>
        <v>BOGOTÁ</v>
      </c>
      <c r="D7027" s="15" t="str">
        <f>IFERROR(__xludf.DUMMYFUNCTION("""COMPUTED_VALUE"""),"MEDELLÍN")</f>
        <v>MEDELLÍN</v>
      </c>
      <c r="E7027" s="15" t="str">
        <f>IFERROR(__xludf.DUMMYFUNCTION("""COMPUTED_VALUE"""),"Rambla")</f>
        <v>Rambla</v>
      </c>
      <c r="F7027" s="17" t="str">
        <f>IFERROR(__xludf.DUMMYFUNCTION("""COMPUTED_VALUE"""),"Carrera 5 # 86-58  Casa / . / .")</f>
        <v>Carrera 5 # 86-58  Casa / . / .</v>
      </c>
      <c r="G7027" s="15" t="str">
        <f>IFERROR(__xludf.DUMMYFUNCTION("""COMPUTED_VALUE"""),"Alicia Maldonado")</f>
        <v>Alicia Maldonado</v>
      </c>
      <c r="H7027" s="16">
        <f>IFERROR(__xludf.DUMMYFUNCTION("""COMPUTED_VALUE"""),15750.0)</f>
        <v>15750</v>
      </c>
      <c r="I7027" s="18">
        <f>IFERROR(__xludf.DUMMYFUNCTION("""COMPUTED_VALUE"""),19.0)</f>
        <v>19</v>
      </c>
      <c r="J7027" s="18">
        <f>IFERROR(__xludf.DUMMYFUNCTION("""COMPUTED_VALUE"""),20.0)</f>
        <v>20</v>
      </c>
      <c r="K7027" s="18">
        <f>IFERROR(__xludf.DUMMYFUNCTION("""COMPUTED_VALUE"""),20.0)</f>
        <v>20</v>
      </c>
      <c r="L7027" s="17">
        <f>IFERROR(__xludf.DUMMYFUNCTION("""COMPUTED_VALUE"""),3.208309047E9)</f>
        <v>3208309047</v>
      </c>
      <c r="M7027" s="17" t="str">
        <f>IFERROR(__xludf.DUMMYFUNCTION("""COMPUTED_VALUE"""),"#REF!")</f>
        <v>#REF!</v>
      </c>
      <c r="N7027" s="17"/>
      <c r="O7027" s="17"/>
      <c r="P7027" s="17" t="b">
        <f>IFERROR(__xludf.DUMMYFUNCTION("""COMPUTED_VALUE"""),FALSE)</f>
        <v>0</v>
      </c>
      <c r="Q7027" s="20" t="str">
        <f>IFERROR(__xludf.DUMMYFUNCTION("""COMPUTED_VALUE"""),"")</f>
        <v/>
      </c>
      <c r="R7027" s="22" t="str">
        <f>IFERROR(__xludf.DUMMYFUNCTION("""COMPUTED_VALUE"""),"")</f>
        <v/>
      </c>
    </row>
    <row r="7028">
      <c r="A7028" s="15">
        <f>IFERROR(__xludf.DUMMYFUNCTION("""COMPUTED_VALUE"""),45198.0)</f>
        <v>45198</v>
      </c>
      <c r="B7028" s="16" t="str">
        <f>IFERROR(__xludf.DUMMYFUNCTION("""COMPUTED_VALUE"""),"Easy Móvil")</f>
        <v>Easy Móvil</v>
      </c>
      <c r="C7028" s="15" t="str">
        <f>IFERROR(__xludf.DUMMYFUNCTION("""COMPUTED_VALUE"""),"BOGOTÁ")</f>
        <v>BOGOTÁ</v>
      </c>
      <c r="D7028" s="15" t="str">
        <f>IFERROR(__xludf.DUMMYFUNCTION("""COMPUTED_VALUE"""),"MEDELLÍN")</f>
        <v>MEDELLÍN</v>
      </c>
      <c r="E7028" s="15" t="str">
        <f>IFERROR(__xludf.DUMMYFUNCTION("""COMPUTED_VALUE"""),"Rambla")</f>
        <v>Rambla</v>
      </c>
      <c r="F7028" s="17" t="str">
        <f>IFERROR(__xludf.DUMMYFUNCTION("""COMPUTED_VALUE"""),"Cl. 93a #11-46, /  Barrio Chicó / .")</f>
        <v>Cl. 93a #11-46, /  Barrio Chicó / .</v>
      </c>
      <c r="G7028" s="15" t="str">
        <f>IFERROR(__xludf.DUMMYFUNCTION("""COMPUTED_VALUE"""),"Fit hub")</f>
        <v>Fit hub</v>
      </c>
      <c r="H7028" s="16">
        <f>IFERROR(__xludf.DUMMYFUNCTION("""COMPUTED_VALUE"""),15755.0)</f>
        <v>15755</v>
      </c>
      <c r="I7028" s="18">
        <f>IFERROR(__xludf.DUMMYFUNCTION("""COMPUTED_VALUE"""),19.0)</f>
        <v>19</v>
      </c>
      <c r="J7028" s="18">
        <f>IFERROR(__xludf.DUMMYFUNCTION("""COMPUTED_VALUE"""),20.0)</f>
        <v>20</v>
      </c>
      <c r="K7028" s="18">
        <f>IFERROR(__xludf.DUMMYFUNCTION("""COMPUTED_VALUE"""),20.0)</f>
        <v>20</v>
      </c>
      <c r="L7028" s="17">
        <f>IFERROR(__xludf.DUMMYFUNCTION("""COMPUTED_VALUE"""),3.015447307E9)</f>
        <v>3015447307</v>
      </c>
      <c r="M7028" s="17" t="str">
        <f>IFERROR(__xludf.DUMMYFUNCTION("""COMPUTED_VALUE"""),"#REF!")</f>
        <v>#REF!</v>
      </c>
      <c r="N7028" s="17"/>
      <c r="O7028" s="17"/>
      <c r="P7028" s="17" t="b">
        <f>IFERROR(__xludf.DUMMYFUNCTION("""COMPUTED_VALUE"""),FALSE)</f>
        <v>0</v>
      </c>
      <c r="Q7028" s="20" t="str">
        <f>IFERROR(__xludf.DUMMYFUNCTION("""COMPUTED_VALUE"""),"")</f>
        <v/>
      </c>
      <c r="R7028" s="22" t="str">
        <f>IFERROR(__xludf.DUMMYFUNCTION("""COMPUTED_VALUE"""),"")</f>
        <v/>
      </c>
    </row>
    <row r="7029">
      <c r="A7029" s="17" t="str">
        <f>IFERROR(__xludf.DUMMYFUNCTION("""COMPUTED_VALUE"""),"")</f>
        <v/>
      </c>
      <c r="B7029" s="17" t="str">
        <f>IFERROR(__xludf.DUMMYFUNCTION("""COMPUTED_VALUE"""),"")</f>
        <v/>
      </c>
      <c r="C7029" s="17" t="str">
        <f>IFERROR(__xludf.DUMMYFUNCTION("""COMPUTED_VALUE"""),"")</f>
        <v/>
      </c>
      <c r="D7029" s="17" t="str">
        <f>IFERROR(__xludf.DUMMYFUNCTION("""COMPUTED_VALUE"""),"")</f>
        <v/>
      </c>
      <c r="E7029" s="17" t="str">
        <f>IFERROR(__xludf.DUMMYFUNCTION("""COMPUTED_VALUE"""),"")</f>
        <v/>
      </c>
      <c r="F7029" s="17" t="str">
        <f>IFERROR(__xludf.DUMMYFUNCTION("""COMPUTED_VALUE"""),"")</f>
        <v/>
      </c>
      <c r="G7029" s="17" t="str">
        <f>IFERROR(__xludf.DUMMYFUNCTION("""COMPUTED_VALUE"""),"")</f>
        <v/>
      </c>
      <c r="H7029" s="17" t="str">
        <f>IFERROR(__xludf.DUMMYFUNCTION("""COMPUTED_VALUE"""),"")</f>
        <v/>
      </c>
      <c r="I7029" s="17" t="str">
        <f>IFERROR(__xludf.DUMMYFUNCTION("""COMPUTED_VALUE"""),"")</f>
        <v/>
      </c>
      <c r="J7029" s="17" t="str">
        <f>IFERROR(__xludf.DUMMYFUNCTION("""COMPUTED_VALUE"""),"")</f>
        <v/>
      </c>
      <c r="K7029" s="17" t="str">
        <f>IFERROR(__xludf.DUMMYFUNCTION("""COMPUTED_VALUE"""),"")</f>
        <v/>
      </c>
      <c r="L7029" s="17" t="str">
        <f>IFERROR(__xludf.DUMMYFUNCTION("""COMPUTED_VALUE"""),"")</f>
        <v/>
      </c>
      <c r="M7029" s="17" t="str">
        <f>IFERROR(__xludf.DUMMYFUNCTION("""COMPUTED_VALUE"""),"")</f>
        <v/>
      </c>
      <c r="N7029" s="17" t="str">
        <f>IFERROR(__xludf.DUMMYFUNCTION("""COMPUTED_VALUE"""),"")</f>
        <v/>
      </c>
      <c r="O7029" s="17" t="str">
        <f>IFERROR(__xludf.DUMMYFUNCTION("""COMPUTED_VALUE"""),"")</f>
        <v/>
      </c>
      <c r="P7029" s="17" t="str">
        <f>IFERROR(__xludf.DUMMYFUNCTION("""COMPUTED_VALUE"""),"")</f>
        <v/>
      </c>
      <c r="Q7029" s="17" t="str">
        <f>IFERROR(__xludf.DUMMYFUNCTION("""COMPUTED_VALUE"""),"")</f>
        <v/>
      </c>
      <c r="R7029" s="17" t="str">
        <f>IFERROR(__xludf.DUMMYFUNCTION("""COMPUTED_VALUE"""),"")</f>
        <v/>
      </c>
    </row>
    <row r="7030">
      <c r="A7030" s="15">
        <f>IFERROR(__xludf.DUMMYFUNCTION("""COMPUTED_VALUE"""),45198.0)</f>
        <v>45198</v>
      </c>
      <c r="B7030" s="16" t="str">
        <f>IFERROR(__xludf.DUMMYFUNCTION("""COMPUTED_VALUE"""),"Envia")</f>
        <v>Envia</v>
      </c>
      <c r="C7030" s="15" t="str">
        <f>IFERROR(__xludf.DUMMYFUNCTION("""COMPUTED_VALUE"""),"BOGOTÁ")</f>
        <v>BOGOTÁ</v>
      </c>
      <c r="D7030" s="15" t="str">
        <f>IFERROR(__xludf.DUMMYFUNCTION("""COMPUTED_VALUE"""),"MEDELLÍN")</f>
        <v>MEDELLÍN</v>
      </c>
      <c r="E7030" s="15" t="str">
        <f>IFERROR(__xludf.DUMMYFUNCTION("""COMPUTED_VALUE"""),"Baby Chef")</f>
        <v>Baby Chef</v>
      </c>
      <c r="F7030" s="17" t="str">
        <f>IFERROR(__xludf.DUMMYFUNCTION("""COMPUTED_VALUE"""),"tv 120 n 78b 87 torre 1 apto 904 jardines granada barrio Gran granada / ""tv 120 n 78b 87 torre 1 apto 904 jardines granada barrio Gran granada"" / ""tv 120 n 78b 87 torre 1 apto 904 jardines granada barrio Gran granada""")</f>
        <v>tv 120 n 78b 87 torre 1 apto 904 jardines granada barrio Gran granada / "tv 120 n 78b 87 torre 1 apto 904 jardines granada barrio Gran granada" / "tv 120 n 78b 87 torre 1 apto 904 jardines granada barrio Gran granada"</v>
      </c>
      <c r="G7030" s="15" t="str">
        <f>IFERROR(__xludf.DUMMYFUNCTION("""COMPUTED_VALUE"""),"Karen Obando")</f>
        <v>Karen Obando</v>
      </c>
      <c r="H7030" s="16">
        <f>IFERROR(__xludf.DUMMYFUNCTION("""COMPUTED_VALUE"""),15761.0)</f>
        <v>15761</v>
      </c>
      <c r="I7030" s="18">
        <f>IFERROR(__xludf.DUMMYFUNCTION("""COMPUTED_VALUE"""),8.0)</f>
        <v>8</v>
      </c>
      <c r="J7030" s="18">
        <f>IFERROR(__xludf.DUMMYFUNCTION("""COMPUTED_VALUE"""),21.0)</f>
        <v>21</v>
      </c>
      <c r="K7030" s="18">
        <f>IFERROR(__xludf.DUMMYFUNCTION("""COMPUTED_VALUE"""),39.0)</f>
        <v>39</v>
      </c>
      <c r="L7030" s="17">
        <f>IFERROR(__xludf.DUMMYFUNCTION("""COMPUTED_VALUE"""),3.17665363E9)</f>
        <v>3176653630</v>
      </c>
      <c r="M7030" s="17" t="str">
        <f>IFERROR(__xludf.DUMMYFUNCTION("""COMPUTED_VALUE"""),"#REF!")</f>
        <v>#REF!</v>
      </c>
      <c r="N7030" s="17"/>
      <c r="O7030" s="17"/>
      <c r="P7030" s="17" t="b">
        <f>IFERROR(__xludf.DUMMYFUNCTION("""COMPUTED_VALUE"""),FALSE)</f>
        <v>0</v>
      </c>
      <c r="Q7030" s="20" t="str">
        <f>IFERROR(__xludf.DUMMYFUNCTION("""COMPUTED_VALUE"""),"")</f>
        <v/>
      </c>
      <c r="R7030" s="22" t="str">
        <f>IFERROR(__xludf.DUMMYFUNCTION("""COMPUTED_VALUE"""),"")</f>
        <v/>
      </c>
    </row>
    <row r="7031">
      <c r="A7031" s="15">
        <f>IFERROR(__xludf.DUMMYFUNCTION("""COMPUTED_VALUE"""),45198.0)</f>
        <v>45198</v>
      </c>
      <c r="B7031" s="16" t="str">
        <f>IFERROR(__xludf.DUMMYFUNCTION("""COMPUTED_VALUE"""),"Envia")</f>
        <v>Envia</v>
      </c>
      <c r="C7031" s="15" t="str">
        <f>IFERROR(__xludf.DUMMYFUNCTION("""COMPUTED_VALUE"""),"BOGOTÁ")</f>
        <v>BOGOTÁ</v>
      </c>
      <c r="D7031" s="15" t="str">
        <f>IFERROR(__xludf.DUMMYFUNCTION("""COMPUTED_VALUE"""),"MEDELLÍN")</f>
        <v>MEDELLÍN</v>
      </c>
      <c r="E7031" s="15" t="str">
        <f>IFERROR(__xludf.DUMMYFUNCTION("""COMPUTED_VALUE"""),"Natusoya")</f>
        <v>Natusoya</v>
      </c>
      <c r="F7031" s="17" t="str">
        <f>IFERROR(__xludf.DUMMYFUNCTION("""COMPUTED_VALUE"""),"Carrera 3d #54a-58 / Local 1 / Chapinero")</f>
        <v>Carrera 3d #54a-58 / Local 1 / Chapinero</v>
      </c>
      <c r="G7031" s="15" t="str">
        <f>IFERROR(__xludf.DUMMYFUNCTION("""COMPUTED_VALUE"""),"Mercado el konny")</f>
        <v>Mercado el konny</v>
      </c>
      <c r="H7031" s="16">
        <f>IFERROR(__xludf.DUMMYFUNCTION("""COMPUTED_VALUE"""),15756.0)</f>
        <v>15756</v>
      </c>
      <c r="I7031" s="18">
        <f>IFERROR(__xludf.DUMMYFUNCTION("""COMPUTED_VALUE"""),15.0)</f>
        <v>15</v>
      </c>
      <c r="J7031" s="18">
        <f>IFERROR(__xludf.DUMMYFUNCTION("""COMPUTED_VALUE"""),35.0)</f>
        <v>35</v>
      </c>
      <c r="K7031" s="18">
        <f>IFERROR(__xludf.DUMMYFUNCTION("""COMPUTED_VALUE"""),40.0)</f>
        <v>40</v>
      </c>
      <c r="L7031" s="17">
        <f>IFERROR(__xludf.DUMMYFUNCTION("""COMPUTED_VALUE"""),3.212318581E9)</f>
        <v>3212318581</v>
      </c>
      <c r="M7031" s="17" t="str">
        <f>IFERROR(__xludf.DUMMYFUNCTION("""COMPUTED_VALUE"""),"#REF!")</f>
        <v>#REF!</v>
      </c>
      <c r="N7031" s="17"/>
      <c r="O7031" s="17"/>
      <c r="P7031" s="17" t="b">
        <f>IFERROR(__xludf.DUMMYFUNCTION("""COMPUTED_VALUE"""),FALSE)</f>
        <v>0</v>
      </c>
      <c r="Q7031" s="20" t="str">
        <f>IFERROR(__xludf.DUMMYFUNCTION("""COMPUTED_VALUE"""),"")</f>
        <v/>
      </c>
      <c r="R7031" s="22" t="str">
        <f>IFERROR(__xludf.DUMMYFUNCTION("""COMPUTED_VALUE"""),"")</f>
        <v/>
      </c>
    </row>
    <row r="7032">
      <c r="A7032" s="15">
        <f>IFERROR(__xludf.DUMMYFUNCTION("""COMPUTED_VALUE"""),45198.0)</f>
        <v>45198</v>
      </c>
      <c r="B7032" s="16" t="str">
        <f>IFERROR(__xludf.DUMMYFUNCTION("""COMPUTED_VALUE"""),"Envia")</f>
        <v>Envia</v>
      </c>
      <c r="C7032" s="15" t="str">
        <f>IFERROR(__xludf.DUMMYFUNCTION("""COMPUTED_VALUE"""),"CALI")</f>
        <v>CALI</v>
      </c>
      <c r="D7032" s="15" t="str">
        <f>IFERROR(__xludf.DUMMYFUNCTION("""COMPUTED_VALUE"""),"BOGOTÁ")</f>
        <v>BOGOTÁ</v>
      </c>
      <c r="E7032" s="15" t="str">
        <f>IFERROR(__xludf.DUMMYFUNCTION("""COMPUTED_VALUE"""),"Renata")</f>
        <v>Renata</v>
      </c>
      <c r="F7032" s="17" t="str">
        <f>IFERROR(__xludf.DUMMYFUNCTION("""COMPUTED_VALUE"""),"Carrera 3#3a-83 / Patio 34 food containers -restaurante  / San Fernando")</f>
        <v>Carrera 3#3a-83 / Patio 34 food containers -restaurante  / San Fernando</v>
      </c>
      <c r="G7032" s="15" t="str">
        <f>IFERROR(__xludf.DUMMYFUNCTION("""COMPUTED_VALUE"""),"Retaco sas")</f>
        <v>Retaco sas</v>
      </c>
      <c r="H7032" s="16">
        <f>IFERROR(__xludf.DUMMYFUNCTION("""COMPUTED_VALUE"""),15743.0)</f>
        <v>15743</v>
      </c>
      <c r="I7032" s="18">
        <f>IFERROR(__xludf.DUMMYFUNCTION("""COMPUTED_VALUE"""),90.0)</f>
        <v>90</v>
      </c>
      <c r="J7032" s="18">
        <f>IFERROR(__xludf.DUMMYFUNCTION("""COMPUTED_VALUE"""),70.0)</f>
        <v>70</v>
      </c>
      <c r="K7032" s="18">
        <f>IFERROR(__xludf.DUMMYFUNCTION("""COMPUTED_VALUE"""),60.0)</f>
        <v>60</v>
      </c>
      <c r="L7032" s="17">
        <f>IFERROR(__xludf.DUMMYFUNCTION("""COMPUTED_VALUE"""),3.134720976E9)</f>
        <v>3134720976</v>
      </c>
      <c r="M7032" s="17" t="str">
        <f>IFERROR(__xludf.DUMMYFUNCTION("""COMPUTED_VALUE"""),"#REF!")</f>
        <v>#REF!</v>
      </c>
      <c r="N7032" s="17"/>
      <c r="O7032" s="17"/>
      <c r="P7032" s="17" t="b">
        <f>IFERROR(__xludf.DUMMYFUNCTION("""COMPUTED_VALUE"""),FALSE)</f>
        <v>0</v>
      </c>
      <c r="Q7032" s="20" t="str">
        <f>IFERROR(__xludf.DUMMYFUNCTION("""COMPUTED_VALUE"""),"")</f>
        <v/>
      </c>
      <c r="R7032" s="22" t="str">
        <f>IFERROR(__xludf.DUMMYFUNCTION("""COMPUTED_VALUE"""),"")</f>
        <v/>
      </c>
    </row>
    <row r="7033">
      <c r="A7033" s="15">
        <f>IFERROR(__xludf.DUMMYFUNCTION("""COMPUTED_VALUE"""),45198.0)</f>
        <v>45198</v>
      </c>
      <c r="B7033" s="16" t="str">
        <f>IFERROR(__xludf.DUMMYFUNCTION("""COMPUTED_VALUE"""),"Envia")</f>
        <v>Envia</v>
      </c>
      <c r="C7033" s="15" t="str">
        <f>IFERROR(__xludf.DUMMYFUNCTION("""COMPUTED_VALUE"""),"CÚCUTA")</f>
        <v>CÚCUTA</v>
      </c>
      <c r="D7033" s="15" t="str">
        <f>IFERROR(__xludf.DUMMYFUNCTION("""COMPUTED_VALUE"""),"BOGOTÁ")</f>
        <v>BOGOTÁ</v>
      </c>
      <c r="E7033" s="15" t="str">
        <f>IFERROR(__xludf.DUMMYFUNCTION("""COMPUTED_VALUE"""),"Pan de Waffle")</f>
        <v>Pan de Waffle</v>
      </c>
      <c r="F7033" s="17" t="str">
        <f>IFERROR(__xludf.DUMMYFUNCTION("""COMPUTED_VALUE"""),"Avenida 3e # 6cn - 12 Ceiba 2 / Avenida 3e # 6cn - 12 Ceiba 2 / Avenida 3e # 6cn - 12 Ceiba 2")</f>
        <v>Avenida 3e # 6cn - 12 Ceiba 2 / Avenida 3e # 6cn - 12 Ceiba 2 / Avenida 3e # 6cn - 12 Ceiba 2</v>
      </c>
      <c r="G7033" s="15" t="str">
        <f>IFERROR(__xludf.DUMMYFUNCTION("""COMPUTED_VALUE"""),"LA BODEGUITA CUCUTA")</f>
        <v>LA BODEGUITA CUCUTA</v>
      </c>
      <c r="H7033" s="16">
        <f>IFERROR(__xludf.DUMMYFUNCTION("""COMPUTED_VALUE"""),15713.0)</f>
        <v>15713</v>
      </c>
      <c r="I7033" s="18">
        <f>IFERROR(__xludf.DUMMYFUNCTION("""COMPUTED_VALUE"""),30.0)</f>
        <v>30</v>
      </c>
      <c r="J7033" s="18">
        <f>IFERROR(__xludf.DUMMYFUNCTION("""COMPUTED_VALUE"""),40.0)</f>
        <v>40</v>
      </c>
      <c r="K7033" s="18">
        <f>IFERROR(__xludf.DUMMYFUNCTION("""COMPUTED_VALUE"""),30.0)</f>
        <v>30</v>
      </c>
      <c r="L7033" s="17">
        <f>IFERROR(__xludf.DUMMYFUNCTION("""COMPUTED_VALUE"""),3.00384312E9)</f>
        <v>3003843120</v>
      </c>
      <c r="M7033" s="17" t="str">
        <f>IFERROR(__xludf.DUMMYFUNCTION("""COMPUTED_VALUE"""),"#REF!")</f>
        <v>#REF!</v>
      </c>
      <c r="N7033" s="17"/>
      <c r="O7033" s="17"/>
      <c r="P7033" s="17" t="b">
        <f>IFERROR(__xludf.DUMMYFUNCTION("""COMPUTED_VALUE"""),FALSE)</f>
        <v>0</v>
      </c>
      <c r="Q7033" s="20" t="str">
        <f>IFERROR(__xludf.DUMMYFUNCTION("""COMPUTED_VALUE"""),"")</f>
        <v/>
      </c>
      <c r="R7033" s="21" t="str">
        <f>IFERROR(__xludf.DUMMYFUNCTION("""COMPUTED_VALUE"""),"https://drive.google.com/file/d/1yB2qSJE-o4xR5DCapR6y73RDorKt8oOg/view?usp=drivesdk")</f>
        <v>https://drive.google.com/file/d/1yB2qSJE-o4xR5DCapR6y73RDorKt8oOg/view?usp=drivesdk</v>
      </c>
    </row>
    <row r="7034">
      <c r="A7034" s="15">
        <f>IFERROR(__xludf.DUMMYFUNCTION("""COMPUTED_VALUE"""),45198.0)</f>
        <v>45198</v>
      </c>
      <c r="B7034" s="16" t="str">
        <f>IFERROR(__xludf.DUMMYFUNCTION("""COMPUTED_VALUE"""),"Envia")</f>
        <v>Envia</v>
      </c>
      <c r="C7034" s="15" t="str">
        <f>IFERROR(__xludf.DUMMYFUNCTION("""COMPUTED_VALUE"""),"CÚCUTA")</f>
        <v>CÚCUTA</v>
      </c>
      <c r="D7034" s="15" t="str">
        <f>IFERROR(__xludf.DUMMYFUNCTION("""COMPUTED_VALUE"""),"BOGOTÁ")</f>
        <v>BOGOTÁ</v>
      </c>
      <c r="E7034" s="15" t="str">
        <f>IFERROR(__xludf.DUMMYFUNCTION("""COMPUTED_VALUE"""),"Viiva Fermentados")</f>
        <v>Viiva Fermentados</v>
      </c>
      <c r="F7034" s="17" t="str">
        <f>IFERROR(__xludf.DUMMYFUNCTION("""COMPUTED_VALUE"""),"Av 8a # 5-86 mirador del este / Apto 510 torre C / Prados del Este")</f>
        <v>Av 8a # 5-86 mirador del este / Apto 510 torre C / Prados del Este</v>
      </c>
      <c r="G7034" s="15" t="str">
        <f>IFERROR(__xludf.DUMMYFUNCTION("""COMPUTED_VALUE"""),"Clara milena diez")</f>
        <v>Clara milena diez</v>
      </c>
      <c r="H7034" s="16">
        <f>IFERROR(__xludf.DUMMYFUNCTION("""COMPUTED_VALUE"""),15565.0)</f>
        <v>15565</v>
      </c>
      <c r="I7034" s="18">
        <f>IFERROR(__xludf.DUMMYFUNCTION("""COMPUTED_VALUE"""),27.0)</f>
        <v>27</v>
      </c>
      <c r="J7034" s="18">
        <f>IFERROR(__xludf.DUMMYFUNCTION("""COMPUTED_VALUE"""),18.0)</f>
        <v>18</v>
      </c>
      <c r="K7034" s="18">
        <f>IFERROR(__xludf.DUMMYFUNCTION("""COMPUTED_VALUE"""),18.0)</f>
        <v>18</v>
      </c>
      <c r="L7034" s="17">
        <f>IFERROR(__xludf.DUMMYFUNCTION("""COMPUTED_VALUE"""),3.118103992E9)</f>
        <v>3118103992</v>
      </c>
      <c r="M7034" s="17"/>
      <c r="N7034" s="17"/>
      <c r="O7034" s="17"/>
      <c r="P7034" s="17" t="b">
        <f>IFERROR(__xludf.DUMMYFUNCTION("""COMPUTED_VALUE"""),FALSE)</f>
        <v>0</v>
      </c>
      <c r="Q7034" s="20" t="str">
        <f>IFERROR(__xludf.DUMMYFUNCTION("""COMPUTED_VALUE"""),"")</f>
        <v/>
      </c>
      <c r="R7034" s="21" t="str">
        <f>IFERROR(__xludf.DUMMYFUNCTION("""COMPUTED_VALUE"""),"https://drive.google.com/file/d/1UIqUwjL9umdAxhOjYJGqvv7QPHCRVnG5/view?usp=drivesdk")</f>
        <v>https://drive.google.com/file/d/1UIqUwjL9umdAxhOjYJGqvv7QPHCRVnG5/view?usp=drivesdk</v>
      </c>
    </row>
    <row r="7035">
      <c r="A7035" s="15">
        <f>IFERROR(__xludf.DUMMYFUNCTION("""COMPUTED_VALUE"""),45198.0)</f>
        <v>45198</v>
      </c>
      <c r="B7035" s="16" t="str">
        <f>IFERROR(__xludf.DUMMYFUNCTION("""COMPUTED_VALUE"""),"Envia")</f>
        <v>Envia</v>
      </c>
      <c r="C7035" s="15" t="str">
        <f>IFERROR(__xludf.DUMMYFUNCTION("""COMPUTED_VALUE"""),"MEDELLÍN")</f>
        <v>MEDELLÍN</v>
      </c>
      <c r="D7035" s="15" t="str">
        <f>IFERROR(__xludf.DUMMYFUNCTION("""COMPUTED_VALUE"""),"BOGOTÁ")</f>
        <v>BOGOTÁ</v>
      </c>
      <c r="E7035" s="15" t="str">
        <f>IFERROR(__xludf.DUMMYFUNCTION("""COMPUTED_VALUE"""),"Pan de Waffle")</f>
        <v>Pan de Waffle</v>
      </c>
      <c r="F7035" s="17" t="str">
        <f>IFERROR(__xludf.DUMMYFUNCTION("""COMPUTED_VALUE"""),"Carrera 43G # 19 - 142 Edif. La Riviere Apto 1020 Ciudad del Rio - Medellin / Carrera 43G # 19 - 142 Edif. La Riviere Apto 1020 Ciudad del Rio - Medellin / Carrera 43G # 19 - 142 Edif. La Riviere Apto 1020 Ciudad del Rio - Medellin")</f>
        <v>Carrera 43G # 19 - 142 Edif. La Riviere Apto 1020 Ciudad del Rio - Medellin / Carrera 43G # 19 - 142 Edif. La Riviere Apto 1020 Ciudad del Rio - Medellin / Carrera 43G # 19 - 142 Edif. La Riviere Apto 1020 Ciudad del Rio - Medellin</v>
      </c>
      <c r="G7035" s="15" t="str">
        <f>IFERROR(__xludf.DUMMYFUNCTION("""COMPUTED_VALUE"""),"KATHRIN ABDALA")</f>
        <v>KATHRIN ABDALA</v>
      </c>
      <c r="H7035" s="16">
        <f>IFERROR(__xludf.DUMMYFUNCTION("""COMPUTED_VALUE"""),15759.0)</f>
        <v>15759</v>
      </c>
      <c r="I7035" s="18">
        <f>IFERROR(__xludf.DUMMYFUNCTION("""COMPUTED_VALUE"""),40.0)</f>
        <v>40</v>
      </c>
      <c r="J7035" s="18">
        <f>IFERROR(__xludf.DUMMYFUNCTION("""COMPUTED_VALUE"""),40.0)</f>
        <v>40</v>
      </c>
      <c r="K7035" s="18">
        <f>IFERROR(__xludf.DUMMYFUNCTION("""COMPUTED_VALUE"""),40.0)</f>
        <v>40</v>
      </c>
      <c r="L7035" s="17">
        <f>IFERROR(__xludf.DUMMYFUNCTION("""COMPUTED_VALUE"""),3.106142841E9)</f>
        <v>3106142841</v>
      </c>
      <c r="M7035" s="17"/>
      <c r="N7035" s="17"/>
      <c r="O7035" s="17"/>
      <c r="P7035" s="17" t="b">
        <f>IFERROR(__xludf.DUMMYFUNCTION("""COMPUTED_VALUE"""),FALSE)</f>
        <v>0</v>
      </c>
      <c r="Q7035" s="20" t="str">
        <f>IFERROR(__xludf.DUMMYFUNCTION("""COMPUTED_VALUE"""),"")</f>
        <v/>
      </c>
      <c r="R7035" s="21" t="str">
        <f>IFERROR(__xludf.DUMMYFUNCTION("""COMPUTED_VALUE"""),"https://drive.google.com/file/d/1PPKZC8uubKGOVnwCM0kCu1Ay72O8V72y/view?usp=drivesdk")</f>
        <v>https://drive.google.com/file/d/1PPKZC8uubKGOVnwCM0kCu1Ay72O8V72y/view?usp=drivesdk</v>
      </c>
    </row>
    <row r="7036">
      <c r="A7036" s="15">
        <f>IFERROR(__xludf.DUMMYFUNCTION("""COMPUTED_VALUE"""),45198.0)</f>
        <v>45198</v>
      </c>
      <c r="B7036" s="16" t="str">
        <f>IFERROR(__xludf.DUMMYFUNCTION("""COMPUTED_VALUE"""),"Envia")</f>
        <v>Envia</v>
      </c>
      <c r="C7036" s="15" t="str">
        <f>IFERROR(__xludf.DUMMYFUNCTION("""COMPUTED_VALUE"""),"SANTA MARTA")</f>
        <v>SANTA MARTA</v>
      </c>
      <c r="D7036" s="15" t="str">
        <f>IFERROR(__xludf.DUMMYFUNCTION("""COMPUTED_VALUE"""),"MEDELLÍN")</f>
        <v>MEDELLÍN</v>
      </c>
      <c r="E7036" s="15" t="str">
        <f>IFERROR(__xludf.DUMMYFUNCTION("""COMPUTED_VALUE"""),"Rambla")</f>
        <v>Rambla</v>
      </c>
      <c r="F7036" s="17" t="str">
        <f>IFERROR(__xludf.DUMMYFUNCTION("""COMPUTED_VALUE"""),"CR 4 26 40 CC PRADO PLAZA LC 117 / - / -")</f>
        <v>CR 4 26 40 CC PRADO PLAZA LC 117 / - / -</v>
      </c>
      <c r="G7036" s="15" t="str">
        <f>IFERROR(__xludf.DUMMYFUNCTION("""COMPUTED_VALUE"""),"Hecho en casa")</f>
        <v>Hecho en casa</v>
      </c>
      <c r="H7036" s="16">
        <f>IFERROR(__xludf.DUMMYFUNCTION("""COMPUTED_VALUE"""),15719.0)</f>
        <v>15719</v>
      </c>
      <c r="I7036" s="18">
        <f>IFERROR(__xludf.DUMMYFUNCTION("""COMPUTED_VALUE"""),18.0)</f>
        <v>18</v>
      </c>
      <c r="J7036" s="18">
        <f>IFERROR(__xludf.DUMMYFUNCTION("""COMPUTED_VALUE"""),15.0)</f>
        <v>15</v>
      </c>
      <c r="K7036" s="18">
        <f>IFERROR(__xludf.DUMMYFUNCTION("""COMPUTED_VALUE"""),14.0)</f>
        <v>14</v>
      </c>
      <c r="L7036" s="17">
        <f>IFERROR(__xludf.DUMMYFUNCTION("""COMPUTED_VALUE"""),3.176455877E9)</f>
        <v>3176455877</v>
      </c>
      <c r="M7036" s="17"/>
      <c r="N7036" s="17"/>
      <c r="O7036" s="17"/>
      <c r="P7036" s="17" t="b">
        <f>IFERROR(__xludf.DUMMYFUNCTION("""COMPUTED_VALUE"""),FALSE)</f>
        <v>0</v>
      </c>
      <c r="Q7036" s="20" t="str">
        <f>IFERROR(__xludf.DUMMYFUNCTION("""COMPUTED_VALUE"""),"")</f>
        <v/>
      </c>
      <c r="R7036" s="21" t="str">
        <f>IFERROR(__xludf.DUMMYFUNCTION("""COMPUTED_VALUE"""),"https://drive.google.com/file/d/1w9v2nIjaoq17IYQGthq_jfF0GkMOccfG/view?usp=drivesdk")</f>
        <v>https://drive.google.com/file/d/1w9v2nIjaoq17IYQGthq_jfF0GkMOccfG/view?usp=drivesdk</v>
      </c>
    </row>
    <row r="7037">
      <c r="A7037" s="17" t="str">
        <f>IFERROR(__xludf.DUMMYFUNCTION("""COMPUTED_VALUE"""),"")</f>
        <v/>
      </c>
      <c r="B7037" s="17" t="str">
        <f>IFERROR(__xludf.DUMMYFUNCTION("""COMPUTED_VALUE"""),"")</f>
        <v/>
      </c>
      <c r="C7037" s="17" t="str">
        <f>IFERROR(__xludf.DUMMYFUNCTION("""COMPUTED_VALUE"""),"")</f>
        <v/>
      </c>
      <c r="D7037" s="17" t="str">
        <f>IFERROR(__xludf.DUMMYFUNCTION("""COMPUTED_VALUE"""),"")</f>
        <v/>
      </c>
      <c r="E7037" s="17" t="str">
        <f>IFERROR(__xludf.DUMMYFUNCTION("""COMPUTED_VALUE"""),"")</f>
        <v/>
      </c>
      <c r="F7037" s="17" t="str">
        <f>IFERROR(__xludf.DUMMYFUNCTION("""COMPUTED_VALUE"""),"")</f>
        <v/>
      </c>
      <c r="G7037" s="17" t="str">
        <f>IFERROR(__xludf.DUMMYFUNCTION("""COMPUTED_VALUE"""),"")</f>
        <v/>
      </c>
      <c r="H7037" s="17" t="str">
        <f>IFERROR(__xludf.DUMMYFUNCTION("""COMPUTED_VALUE"""),"")</f>
        <v/>
      </c>
      <c r="I7037" s="17" t="str">
        <f>IFERROR(__xludf.DUMMYFUNCTION("""COMPUTED_VALUE"""),"")</f>
        <v/>
      </c>
      <c r="J7037" s="17" t="str">
        <f>IFERROR(__xludf.DUMMYFUNCTION("""COMPUTED_VALUE"""),"")</f>
        <v/>
      </c>
      <c r="K7037" s="17" t="str">
        <f>IFERROR(__xludf.DUMMYFUNCTION("""COMPUTED_VALUE"""),"")</f>
        <v/>
      </c>
      <c r="L7037" s="17" t="str">
        <f>IFERROR(__xludf.DUMMYFUNCTION("""COMPUTED_VALUE"""),"")</f>
        <v/>
      </c>
      <c r="M7037" s="17" t="str">
        <f>IFERROR(__xludf.DUMMYFUNCTION("""COMPUTED_VALUE"""),"")</f>
        <v/>
      </c>
      <c r="N7037" s="17" t="str">
        <f>IFERROR(__xludf.DUMMYFUNCTION("""COMPUTED_VALUE"""),"")</f>
        <v/>
      </c>
      <c r="O7037" s="17" t="str">
        <f>IFERROR(__xludf.DUMMYFUNCTION("""COMPUTED_VALUE"""),"")</f>
        <v/>
      </c>
      <c r="P7037" s="17" t="str">
        <f>IFERROR(__xludf.DUMMYFUNCTION("""COMPUTED_VALUE"""),"")</f>
        <v/>
      </c>
      <c r="Q7037" s="17" t="str">
        <f>IFERROR(__xludf.DUMMYFUNCTION("""COMPUTED_VALUE"""),"")</f>
        <v/>
      </c>
      <c r="R7037" s="17" t="str">
        <f>IFERROR(__xludf.DUMMYFUNCTION("""COMPUTED_VALUE"""),"")</f>
        <v/>
      </c>
    </row>
    <row r="7038">
      <c r="A7038" s="15">
        <f>IFERROR(__xludf.DUMMYFUNCTION("""COMPUTED_VALUE"""),45198.0)</f>
        <v>45198</v>
      </c>
      <c r="B7038" s="16" t="str">
        <f>IFERROR(__xludf.DUMMYFUNCTION("""COMPUTED_VALUE"""),"JOSE ALFREDO RAMIREZ VERGARA ")</f>
        <v>JOSE ALFREDO RAMIREZ VERGARA </v>
      </c>
      <c r="C7038" s="15" t="str">
        <f>IFERROR(__xludf.DUMMYFUNCTION("""COMPUTED_VALUE"""),"PALMIRA")</f>
        <v>PALMIRA</v>
      </c>
      <c r="D7038" s="15" t="str">
        <f>IFERROR(__xludf.DUMMYFUNCTION("""COMPUTED_VALUE"""),"MEDELLÍN")</f>
        <v>MEDELLÍN</v>
      </c>
      <c r="E7038" s="15" t="str">
        <f>IFERROR(__xludf.DUMMYFUNCTION("""COMPUTED_VALUE"""),"Helados swip")</f>
        <v>Helados swip</v>
      </c>
      <c r="F7038" s="17" t="str">
        <f>IFERROR(__xludf.DUMMYFUNCTION("""COMPUTED_VALUE"""),"CARRERA 28 # 47-90 / PEZCAR MARKET  / ALTAMIRA")</f>
        <v>CARRERA 28 # 47-90 / PEZCAR MARKET  / ALTAMIRA</v>
      </c>
      <c r="G7038" s="15" t="str">
        <f>IFERROR(__xludf.DUMMYFUNCTION("""COMPUTED_VALUE"""),"COMERCIALIZADORA PEZCAR MJV S.A.S")</f>
        <v>COMERCIALIZADORA PEZCAR MJV S.A.S</v>
      </c>
      <c r="H7038" s="16">
        <f>IFERROR(__xludf.DUMMYFUNCTION("""COMPUTED_VALUE"""),15687.0)</f>
        <v>15687</v>
      </c>
      <c r="I7038" s="18">
        <f>IFERROR(__xludf.DUMMYFUNCTION("""COMPUTED_VALUE"""),29.0)</f>
        <v>29</v>
      </c>
      <c r="J7038" s="18">
        <f>IFERROR(__xludf.DUMMYFUNCTION("""COMPUTED_VALUE"""),55.0)</f>
        <v>55</v>
      </c>
      <c r="K7038" s="18">
        <f>IFERROR(__xludf.DUMMYFUNCTION("""COMPUTED_VALUE"""),45.0)</f>
        <v>45</v>
      </c>
      <c r="L7038" s="17">
        <f>IFERROR(__xludf.DUMMYFUNCTION("""COMPUTED_VALUE"""),3.177759344E9)</f>
        <v>3177759344</v>
      </c>
      <c r="M7038" s="17"/>
      <c r="N7038" s="17"/>
      <c r="O7038" s="17"/>
      <c r="P7038" s="17" t="b">
        <f>IFERROR(__xludf.DUMMYFUNCTION("""COMPUTED_VALUE"""),FALSE)</f>
        <v>0</v>
      </c>
      <c r="Q7038" s="20" t="str">
        <f>IFERROR(__xludf.DUMMYFUNCTION("""COMPUTED_VALUE"""),"")</f>
        <v/>
      </c>
      <c r="R7038" s="22" t="str">
        <f>IFERROR(__xludf.DUMMYFUNCTION("""COMPUTED_VALUE"""),"")</f>
        <v/>
      </c>
    </row>
    <row r="7039">
      <c r="A7039" s="17" t="str">
        <f>IFERROR(__xludf.DUMMYFUNCTION("""COMPUTED_VALUE"""),"")</f>
        <v/>
      </c>
      <c r="B7039" s="17" t="str">
        <f>IFERROR(__xludf.DUMMYFUNCTION("""COMPUTED_VALUE"""),"")</f>
        <v/>
      </c>
      <c r="C7039" s="17" t="str">
        <f>IFERROR(__xludf.DUMMYFUNCTION("""COMPUTED_VALUE"""),"")</f>
        <v/>
      </c>
      <c r="D7039" s="17" t="str">
        <f>IFERROR(__xludf.DUMMYFUNCTION("""COMPUTED_VALUE"""),"")</f>
        <v/>
      </c>
      <c r="E7039" s="17" t="str">
        <f>IFERROR(__xludf.DUMMYFUNCTION("""COMPUTED_VALUE"""),"")</f>
        <v/>
      </c>
      <c r="F7039" s="17" t="str">
        <f>IFERROR(__xludf.DUMMYFUNCTION("""COMPUTED_VALUE"""),"")</f>
        <v/>
      </c>
      <c r="G7039" s="17" t="str">
        <f>IFERROR(__xludf.DUMMYFUNCTION("""COMPUTED_VALUE"""),"")</f>
        <v/>
      </c>
      <c r="H7039" s="17" t="str">
        <f>IFERROR(__xludf.DUMMYFUNCTION("""COMPUTED_VALUE"""),"")</f>
        <v/>
      </c>
      <c r="I7039" s="17" t="str">
        <f>IFERROR(__xludf.DUMMYFUNCTION("""COMPUTED_VALUE"""),"")</f>
        <v/>
      </c>
      <c r="J7039" s="17" t="str">
        <f>IFERROR(__xludf.DUMMYFUNCTION("""COMPUTED_VALUE"""),"")</f>
        <v/>
      </c>
      <c r="K7039" s="17" t="str">
        <f>IFERROR(__xludf.DUMMYFUNCTION("""COMPUTED_VALUE"""),"")</f>
        <v/>
      </c>
      <c r="L7039" s="17" t="str">
        <f>IFERROR(__xludf.DUMMYFUNCTION("""COMPUTED_VALUE"""),"")</f>
        <v/>
      </c>
      <c r="M7039" s="17" t="str">
        <f>IFERROR(__xludf.DUMMYFUNCTION("""COMPUTED_VALUE"""),"")</f>
        <v/>
      </c>
      <c r="N7039" s="17" t="str">
        <f>IFERROR(__xludf.DUMMYFUNCTION("""COMPUTED_VALUE"""),"")</f>
        <v/>
      </c>
      <c r="O7039" s="17" t="str">
        <f>IFERROR(__xludf.DUMMYFUNCTION("""COMPUTED_VALUE"""),"")</f>
        <v/>
      </c>
      <c r="P7039" s="17" t="str">
        <f>IFERROR(__xludf.DUMMYFUNCTION("""COMPUTED_VALUE"""),"")</f>
        <v/>
      </c>
      <c r="Q7039" s="17" t="str">
        <f>IFERROR(__xludf.DUMMYFUNCTION("""COMPUTED_VALUE"""),"")</f>
        <v/>
      </c>
      <c r="R7039" s="17" t="str">
        <f>IFERROR(__xludf.DUMMYFUNCTION("""COMPUTED_VALUE"""),"")</f>
        <v/>
      </c>
    </row>
    <row r="7040">
      <c r="A7040" s="15">
        <f>IFERROR(__xludf.DUMMYFUNCTION("""COMPUTED_VALUE"""),45198.0)</f>
        <v>45198</v>
      </c>
      <c r="B7040" s="16" t="str">
        <f>IFERROR(__xludf.DUMMYFUNCTION("""COMPUTED_VALUE"""),"Lina Gaona")</f>
        <v>Lina Gaona</v>
      </c>
      <c r="C7040" s="15" t="str">
        <f>IFERROR(__xludf.DUMMYFUNCTION("""COMPUTED_VALUE"""),"CÚCUTA")</f>
        <v>CÚCUTA</v>
      </c>
      <c r="D7040" s="15" t="str">
        <f>IFERROR(__xludf.DUMMYFUNCTION("""COMPUTED_VALUE"""),"BOGOTÁ")</f>
        <v>BOGOTÁ</v>
      </c>
      <c r="E7040" s="15" t="str">
        <f>IFERROR(__xludf.DUMMYFUNCTION("""COMPUTED_VALUE"""),"Evamazzita")</f>
        <v>Evamazzita</v>
      </c>
      <c r="F7040" s="17" t="str">
        <f>IFERROR(__xludf.DUMMYFUNCTION("""COMPUTED_VALUE"""),"Av 2E # 15A -17 Caobos / Caobos")</f>
        <v>Av 2E # 15A -17 Caobos / Caobos</v>
      </c>
      <c r="G7040" s="15" t="str">
        <f>IFERROR(__xludf.DUMMYFUNCTION("""COMPUTED_VALUE"""),"DACCY KARINA LOPEZ MORENO")</f>
        <v>DACCY KARINA LOPEZ MORENO</v>
      </c>
      <c r="H7040" s="16">
        <f>IFERROR(__xludf.DUMMYFUNCTION("""COMPUTED_VALUE"""),15700.0)</f>
        <v>15700</v>
      </c>
      <c r="I7040" s="18">
        <f>IFERROR(__xludf.DUMMYFUNCTION("""COMPUTED_VALUE"""),1.0)</f>
        <v>1</v>
      </c>
      <c r="J7040" s="18">
        <f>IFERROR(__xludf.DUMMYFUNCTION("""COMPUTED_VALUE"""),1.0)</f>
        <v>1</v>
      </c>
      <c r="K7040" s="18">
        <f>IFERROR(__xludf.DUMMYFUNCTION("""COMPUTED_VALUE"""),1.0)</f>
        <v>1</v>
      </c>
      <c r="L7040" s="17">
        <f>IFERROR(__xludf.DUMMYFUNCTION("""COMPUTED_VALUE"""),3.208615379E9)</f>
        <v>3208615379</v>
      </c>
      <c r="M7040" s="17"/>
      <c r="N7040" s="17"/>
      <c r="O7040" s="17"/>
      <c r="P7040" s="17" t="b">
        <f>IFERROR(__xludf.DUMMYFUNCTION("""COMPUTED_VALUE"""),FALSE)</f>
        <v>0</v>
      </c>
      <c r="Q7040" s="20" t="str">
        <f>IFERROR(__xludf.DUMMYFUNCTION("""COMPUTED_VALUE"""),"")</f>
        <v/>
      </c>
      <c r="R7040" s="21" t="str">
        <f>IFERROR(__xludf.DUMMYFUNCTION("""COMPUTED_VALUE"""),"https://drive.google.com/file/d/1f3EEM6EOw5c2kgb1E-nWIcc2h2euXKLe/view?usp=drivesdk")</f>
        <v>https://drive.google.com/file/d/1f3EEM6EOw5c2kgb1E-nWIcc2h2euXKLe/view?usp=drivesdk</v>
      </c>
    </row>
    <row r="7041">
      <c r="A7041" s="15">
        <f>IFERROR(__xludf.DUMMYFUNCTION("""COMPUTED_VALUE"""),45198.0)</f>
        <v>45198</v>
      </c>
      <c r="B7041" s="16" t="str">
        <f>IFERROR(__xludf.DUMMYFUNCTION("""COMPUTED_VALUE"""),"Lina Gaona")</f>
        <v>Lina Gaona</v>
      </c>
      <c r="C7041" s="15" t="str">
        <f>IFERROR(__xludf.DUMMYFUNCTION("""COMPUTED_VALUE"""),"CÚCUTA")</f>
        <v>CÚCUTA</v>
      </c>
      <c r="D7041" s="15" t="str">
        <f>IFERROR(__xludf.DUMMYFUNCTION("""COMPUTED_VALUE"""),"BOGOTÁ")</f>
        <v>BOGOTÁ</v>
      </c>
      <c r="E7041" s="15" t="str">
        <f>IFERROR(__xludf.DUMMYFUNCTION("""COMPUTED_VALUE"""),"Ins. Alimento Vital")</f>
        <v>Ins. Alimento Vital</v>
      </c>
      <c r="F7041" s="17" t="str">
        <f>IFERROR(__xludf.DUMMYFUNCTION("""COMPUTED_VALUE"""),"CONJUNTO CERRADO VILLA CECILIA  / CASA 5  / VILLA DEL ROSARIO")</f>
        <v>CONJUNTO CERRADO VILLA CECILIA  / CASA 5  / VILLA DEL ROSARIO</v>
      </c>
      <c r="G7041" s="15" t="str">
        <f>IFERROR(__xludf.DUMMYFUNCTION("""COMPUTED_VALUE"""),"WILLIAM DIAZ PEÑA LOZA")</f>
        <v>WILLIAM DIAZ PEÑA LOZA</v>
      </c>
      <c r="H7041" s="16">
        <f>IFERROR(__xludf.DUMMYFUNCTION("""COMPUTED_VALUE"""),15684.0)</f>
        <v>15684</v>
      </c>
      <c r="I7041" s="18">
        <f>IFERROR(__xludf.DUMMYFUNCTION("""COMPUTED_VALUE"""),100.0)</f>
        <v>100</v>
      </c>
      <c r="J7041" s="18">
        <f>IFERROR(__xludf.DUMMYFUNCTION("""COMPUTED_VALUE"""),10.0)</f>
        <v>10</v>
      </c>
      <c r="K7041" s="18">
        <f>IFERROR(__xludf.DUMMYFUNCTION("""COMPUTED_VALUE"""),13.0)</f>
        <v>13</v>
      </c>
      <c r="L7041" s="17">
        <f>IFERROR(__xludf.DUMMYFUNCTION("""COMPUTED_VALUE"""),3.222766084E9)</f>
        <v>3222766084</v>
      </c>
      <c r="M7041" s="17"/>
      <c r="N7041" s="17"/>
      <c r="O7041" s="17"/>
      <c r="P7041" s="17" t="b">
        <f>IFERROR(__xludf.DUMMYFUNCTION("""COMPUTED_VALUE"""),FALSE)</f>
        <v>0</v>
      </c>
      <c r="Q7041" s="20" t="str">
        <f>IFERROR(__xludf.DUMMYFUNCTION("""COMPUTED_VALUE"""),"")</f>
        <v/>
      </c>
      <c r="R7041" s="21" t="str">
        <f>IFERROR(__xludf.DUMMYFUNCTION("""COMPUTED_VALUE"""),"https://drive.google.com/file/d/1UNRnXQv5x_dZQnNDZetHNY6hoYsaPJ16/view?usp=drivesdk")</f>
        <v>https://drive.google.com/file/d/1UNRnXQv5x_dZQnNDZetHNY6hoYsaPJ16/view?usp=drivesdk</v>
      </c>
    </row>
    <row r="7042">
      <c r="A7042" s="15">
        <f>IFERROR(__xludf.DUMMYFUNCTION("""COMPUTED_VALUE"""),45198.0)</f>
        <v>45198</v>
      </c>
      <c r="B7042" s="16" t="str">
        <f>IFERROR(__xludf.DUMMYFUNCTION("""COMPUTED_VALUE"""),"Lina Gaona")</f>
        <v>Lina Gaona</v>
      </c>
      <c r="C7042" s="15" t="str">
        <f>IFERROR(__xludf.DUMMYFUNCTION("""COMPUTED_VALUE"""),"PASTO")</f>
        <v>PASTO</v>
      </c>
      <c r="D7042" s="15" t="str">
        <f>IFERROR(__xludf.DUMMYFUNCTION("""COMPUTED_VALUE"""),"MEDELLÍN")</f>
        <v>MEDELLÍN</v>
      </c>
      <c r="E7042" s="15" t="str">
        <f>IFERROR(__xludf.DUMMYFUNCTION("""COMPUTED_VALUE"""),"Baby Chef")</f>
        <v>Baby Chef</v>
      </c>
      <c r="F7042" s="17" t="str">
        <f>IFERROR(__xludf.DUMMYFUNCTION("""COMPUTED_VALUE"""),"calle 19 No 31b 17 Novacentro apto 916 Barrio las cuadras  / ""calle 19 No 31b 17 Novacentro apto 916 Barrio las cuadras "" / ""calle 19 No 31b 17 Novacentro apto 916 Barrio las cuadras """)</f>
        <v>calle 19 No 31b 17 Novacentro apto 916 Barrio las cuadras  / "calle 19 No 31b 17 Novacentro apto 916 Barrio las cuadras " / "calle 19 No 31b 17 Novacentro apto 916 Barrio las cuadras "</v>
      </c>
      <c r="G7042" s="15" t="str">
        <f>IFERROR(__xludf.DUMMYFUNCTION("""COMPUTED_VALUE"""),"Angela Maria Gaeth")</f>
        <v>Angela Maria Gaeth</v>
      </c>
      <c r="H7042" s="16">
        <f>IFERROR(__xludf.DUMMYFUNCTION("""COMPUTED_VALUE"""),15714.0)</f>
        <v>15714</v>
      </c>
      <c r="I7042" s="18">
        <f>IFERROR(__xludf.DUMMYFUNCTION("""COMPUTED_VALUE"""),8.0)</f>
        <v>8</v>
      </c>
      <c r="J7042" s="18">
        <f>IFERROR(__xludf.DUMMYFUNCTION("""COMPUTED_VALUE"""),16.0)</f>
        <v>16</v>
      </c>
      <c r="K7042" s="18">
        <f>IFERROR(__xludf.DUMMYFUNCTION("""COMPUTED_VALUE"""),20.0)</f>
        <v>20</v>
      </c>
      <c r="L7042" s="17">
        <f>IFERROR(__xludf.DUMMYFUNCTION("""COMPUTED_VALUE"""),3.214428555E9)</f>
        <v>3214428555</v>
      </c>
      <c r="M7042" s="17"/>
      <c r="N7042" s="17"/>
      <c r="O7042" s="17"/>
      <c r="P7042" s="17" t="b">
        <f>IFERROR(__xludf.DUMMYFUNCTION("""COMPUTED_VALUE"""),FALSE)</f>
        <v>0</v>
      </c>
      <c r="Q7042" s="20" t="str">
        <f>IFERROR(__xludf.DUMMYFUNCTION("""COMPUTED_VALUE"""),"")</f>
        <v/>
      </c>
      <c r="R7042" s="22" t="str">
        <f>IFERROR(__xludf.DUMMYFUNCTION("""COMPUTED_VALUE"""),"")</f>
        <v/>
      </c>
    </row>
    <row r="7043">
      <c r="A7043" s="15">
        <f>IFERROR(__xludf.DUMMYFUNCTION("""COMPUTED_VALUE"""),45198.0)</f>
        <v>45198</v>
      </c>
      <c r="B7043" s="16" t="str">
        <f>IFERROR(__xludf.DUMMYFUNCTION("""COMPUTED_VALUE"""),"Lina Gaona")</f>
        <v>Lina Gaona</v>
      </c>
      <c r="C7043" s="15" t="str">
        <f>IFERROR(__xludf.DUMMYFUNCTION("""COMPUTED_VALUE"""),"SANTA MARTA")</f>
        <v>SANTA MARTA</v>
      </c>
      <c r="D7043" s="15" t="str">
        <f>IFERROR(__xludf.DUMMYFUNCTION("""COMPUTED_VALUE"""),"MEDELLÍN")</f>
        <v>MEDELLÍN</v>
      </c>
      <c r="E7043" s="15" t="str">
        <f>IFERROR(__xludf.DUMMYFUNCTION("""COMPUTED_VALUE"""),"Rambla")</f>
        <v>Rambla</v>
      </c>
      <c r="F7043" s="17" t="str">
        <f>IFERROR(__xludf.DUMMYFUNCTION("""COMPUTED_VALUE"""),"CR 4 26 40 CC PRADO PLAZA LC 117 / . / .")</f>
        <v>CR 4 26 40 CC PRADO PLAZA LC 117 / . / .</v>
      </c>
      <c r="G7043" s="15" t="str">
        <f>IFERROR(__xludf.DUMMYFUNCTION("""COMPUTED_VALUE"""),"Hecho en casa")</f>
        <v>Hecho en casa</v>
      </c>
      <c r="H7043" s="16">
        <f>IFERROR(__xludf.DUMMYFUNCTION("""COMPUTED_VALUE"""),15720.0)</f>
        <v>15720</v>
      </c>
      <c r="I7043" s="18">
        <f>IFERROR(__xludf.DUMMYFUNCTION("""COMPUTED_VALUE"""),19.0)</f>
        <v>19</v>
      </c>
      <c r="J7043" s="18">
        <f>IFERROR(__xludf.DUMMYFUNCTION("""COMPUTED_VALUE"""),20.0)</f>
        <v>20</v>
      </c>
      <c r="K7043" s="18">
        <f>IFERROR(__xludf.DUMMYFUNCTION("""COMPUTED_VALUE"""),20.0)</f>
        <v>20</v>
      </c>
      <c r="L7043" s="17">
        <f>IFERROR(__xludf.DUMMYFUNCTION("""COMPUTED_VALUE"""),3.176455877E9)</f>
        <v>3176455877</v>
      </c>
      <c r="M7043" s="17"/>
      <c r="N7043" s="17"/>
      <c r="O7043" s="17"/>
      <c r="P7043" s="17" t="b">
        <f>IFERROR(__xludf.DUMMYFUNCTION("""COMPUTED_VALUE"""),TRUE)</f>
        <v>1</v>
      </c>
      <c r="Q7043" s="20">
        <f>IFERROR(__xludf.DUMMYFUNCTION("""COMPUTED_VALUE"""),45202.61918018518)</f>
        <v>45202.61918</v>
      </c>
      <c r="R7043" s="22" t="str">
        <f>IFERROR(__xludf.DUMMYFUNCTION("""COMPUTED_VALUE"""),"")</f>
        <v/>
      </c>
    </row>
    <row r="7044">
      <c r="A7044" s="17" t="str">
        <f>IFERROR(__xludf.DUMMYFUNCTION("""COMPUTED_VALUE"""),"")</f>
        <v/>
      </c>
      <c r="B7044" s="17" t="str">
        <f>IFERROR(__xludf.DUMMYFUNCTION("""COMPUTED_VALUE"""),"")</f>
        <v/>
      </c>
      <c r="C7044" s="17" t="str">
        <f>IFERROR(__xludf.DUMMYFUNCTION("""COMPUTED_VALUE"""),"")</f>
        <v/>
      </c>
      <c r="D7044" s="17" t="str">
        <f>IFERROR(__xludf.DUMMYFUNCTION("""COMPUTED_VALUE"""),"")</f>
        <v/>
      </c>
      <c r="E7044" s="17" t="str">
        <f>IFERROR(__xludf.DUMMYFUNCTION("""COMPUTED_VALUE"""),"")</f>
        <v/>
      </c>
      <c r="F7044" s="17" t="str">
        <f>IFERROR(__xludf.DUMMYFUNCTION("""COMPUTED_VALUE"""),"")</f>
        <v/>
      </c>
      <c r="G7044" s="17" t="str">
        <f>IFERROR(__xludf.DUMMYFUNCTION("""COMPUTED_VALUE"""),"")</f>
        <v/>
      </c>
      <c r="H7044" s="17" t="str">
        <f>IFERROR(__xludf.DUMMYFUNCTION("""COMPUTED_VALUE"""),"")</f>
        <v/>
      </c>
      <c r="I7044" s="17" t="str">
        <f>IFERROR(__xludf.DUMMYFUNCTION("""COMPUTED_VALUE"""),"")</f>
        <v/>
      </c>
      <c r="J7044" s="17" t="str">
        <f>IFERROR(__xludf.DUMMYFUNCTION("""COMPUTED_VALUE"""),"")</f>
        <v/>
      </c>
      <c r="K7044" s="17" t="str">
        <f>IFERROR(__xludf.DUMMYFUNCTION("""COMPUTED_VALUE"""),"")</f>
        <v/>
      </c>
      <c r="L7044" s="17" t="str">
        <f>IFERROR(__xludf.DUMMYFUNCTION("""COMPUTED_VALUE"""),"")</f>
        <v/>
      </c>
      <c r="M7044" s="17" t="str">
        <f>IFERROR(__xludf.DUMMYFUNCTION("""COMPUTED_VALUE"""),"")</f>
        <v/>
      </c>
      <c r="N7044" s="17" t="str">
        <f>IFERROR(__xludf.DUMMYFUNCTION("""COMPUTED_VALUE"""),"")</f>
        <v/>
      </c>
      <c r="O7044" s="17" t="str">
        <f>IFERROR(__xludf.DUMMYFUNCTION("""COMPUTED_VALUE"""),"")</f>
        <v/>
      </c>
      <c r="P7044" s="17" t="str">
        <f>IFERROR(__xludf.DUMMYFUNCTION("""COMPUTED_VALUE"""),"")</f>
        <v/>
      </c>
      <c r="Q7044" s="17" t="str">
        <f>IFERROR(__xludf.DUMMYFUNCTION("""COMPUTED_VALUE"""),"")</f>
        <v/>
      </c>
      <c r="R7044" s="17" t="str">
        <f>IFERROR(__xludf.DUMMYFUNCTION("""COMPUTED_VALUE"""),"")</f>
        <v/>
      </c>
    </row>
    <row r="7045">
      <c r="A7045" s="15">
        <f>IFERROR(__xludf.DUMMYFUNCTION("""COMPUTED_VALUE"""),45198.0)</f>
        <v>45198</v>
      </c>
      <c r="B7045" s="16" t="str">
        <f>IFERROR(__xludf.DUMMYFUNCTION("""COMPUTED_VALUE"""),"Orlando Urdaneta Rincon ")</f>
        <v>Orlando Urdaneta Rincon </v>
      </c>
      <c r="C7045" s="15" t="str">
        <f>IFERROR(__xludf.DUMMYFUNCTION("""COMPUTED_VALUE"""),"MOSQUERA")</f>
        <v>MOSQUERA</v>
      </c>
      <c r="D7045" s="15" t="str">
        <f>IFERROR(__xludf.DUMMYFUNCTION("""COMPUTED_VALUE"""),"MEDELLÍN")</f>
        <v>MEDELLÍN</v>
      </c>
      <c r="E7045" s="15" t="str">
        <f>IFERROR(__xludf.DUMMYFUNCTION("""COMPUTED_VALUE"""),"Rambla")</f>
        <v>Rambla</v>
      </c>
      <c r="F7045" s="17" t="str">
        <f>IFERROR(__xludf.DUMMYFUNCTION("""COMPUTED_VALUE"""),"Cra 3A 17 sur 93. Local 124 Bida. Mall comercial Meridiando Novaterra.  / Mosquera, cundinamarca / .")</f>
        <v>Cra 3A 17 sur 93. Local 124 Bida. Mall comercial Meridiando Novaterra.  / Mosquera, cundinamarca / .</v>
      </c>
      <c r="G7045" s="15" t="str">
        <f>IFERROR(__xludf.DUMMYFUNCTION("""COMPUTED_VALUE"""),"Bida Coffe &amp; Market")</f>
        <v>Bida Coffe &amp; Market</v>
      </c>
      <c r="H7045" s="16">
        <f>IFERROR(__xludf.DUMMYFUNCTION("""COMPUTED_VALUE"""),15752.0)</f>
        <v>15752</v>
      </c>
      <c r="I7045" s="18">
        <f>IFERROR(__xludf.DUMMYFUNCTION("""COMPUTED_VALUE"""),19.0)</f>
        <v>19</v>
      </c>
      <c r="J7045" s="18">
        <f>IFERROR(__xludf.DUMMYFUNCTION("""COMPUTED_VALUE"""),20.0)</f>
        <v>20</v>
      </c>
      <c r="K7045" s="18">
        <f>IFERROR(__xludf.DUMMYFUNCTION("""COMPUTED_VALUE"""),20.0)</f>
        <v>20</v>
      </c>
      <c r="L7045" s="17">
        <f>IFERROR(__xludf.DUMMYFUNCTION("""COMPUTED_VALUE"""),3.145782593E9)</f>
        <v>3145782593</v>
      </c>
      <c r="M7045" s="17"/>
      <c r="N7045" s="17"/>
      <c r="O7045" s="17"/>
      <c r="P7045" s="17" t="b">
        <f>IFERROR(__xludf.DUMMYFUNCTION("""COMPUTED_VALUE"""),FALSE)</f>
        <v>0</v>
      </c>
      <c r="Q7045" s="20" t="str">
        <f>IFERROR(__xludf.DUMMYFUNCTION("""COMPUTED_VALUE"""),"")</f>
        <v/>
      </c>
      <c r="R7045" s="22" t="str">
        <f>IFERROR(__xludf.DUMMYFUNCTION("""COMPUTED_VALUE"""),"")</f>
        <v/>
      </c>
    </row>
    <row r="7046">
      <c r="A7046" s="15">
        <f>IFERROR(__xludf.DUMMYFUNCTION("""COMPUTED_VALUE"""),45198.0)</f>
        <v>45198</v>
      </c>
      <c r="B7046" s="16" t="str">
        <f>IFERROR(__xludf.DUMMYFUNCTION("""COMPUTED_VALUE"""),"Orlando Urdaneta Rincon ")</f>
        <v>Orlando Urdaneta Rincon </v>
      </c>
      <c r="C7046" s="15" t="str">
        <f>IFERROR(__xludf.DUMMYFUNCTION("""COMPUTED_VALUE"""),"SANTA MARTA")</f>
        <v>SANTA MARTA</v>
      </c>
      <c r="D7046" s="15" t="str">
        <f>IFERROR(__xludf.DUMMYFUNCTION("""COMPUTED_VALUE"""),"BOGOTÁ")</f>
        <v>BOGOTÁ</v>
      </c>
      <c r="E7046" s="15" t="str">
        <f>IFERROR(__xludf.DUMMYFUNCTION("""COMPUTED_VALUE"""),"Evamazzita")</f>
        <v>Evamazzita</v>
      </c>
      <c r="F7046" s="17" t="str">
        <f>IFERROR(__xludf.DUMMYFUNCTION("""COMPUTED_VALUE"""),"AV. DEL LIBERTADOR # 29 - 125 / CASA 8 (CALLE FRETE A RESTAURANTE 18-08)")</f>
        <v>AV. DEL LIBERTADOR # 29 - 125 / CASA 8 (CALLE FRETE A RESTAURANTE 18-08)</v>
      </c>
      <c r="G7046" s="15" t="str">
        <f>IFERROR(__xludf.DUMMYFUNCTION("""COMPUTED_VALUE"""),"MAYA CADENA")</f>
        <v>MAYA CADENA</v>
      </c>
      <c r="H7046" s="16">
        <f>IFERROR(__xludf.DUMMYFUNCTION("""COMPUTED_VALUE"""),15705.0)</f>
        <v>15705</v>
      </c>
      <c r="I7046" s="18">
        <f>IFERROR(__xludf.DUMMYFUNCTION("""COMPUTED_VALUE"""),1.0)</f>
        <v>1</v>
      </c>
      <c r="J7046" s="18">
        <f>IFERROR(__xludf.DUMMYFUNCTION("""COMPUTED_VALUE"""),1.0)</f>
        <v>1</v>
      </c>
      <c r="K7046" s="18">
        <f>IFERROR(__xludf.DUMMYFUNCTION("""COMPUTED_VALUE"""),1.0)</f>
        <v>1</v>
      </c>
      <c r="L7046" s="17">
        <f>IFERROR(__xludf.DUMMYFUNCTION("""COMPUTED_VALUE"""),3.012318065E9)</f>
        <v>3012318065</v>
      </c>
      <c r="M7046" s="17"/>
      <c r="N7046" s="17"/>
      <c r="O7046" s="17"/>
      <c r="P7046" s="17" t="b">
        <f>IFERROR(__xludf.DUMMYFUNCTION("""COMPUTED_VALUE"""),FALSE)</f>
        <v>0</v>
      </c>
      <c r="Q7046" s="20" t="str">
        <f>IFERROR(__xludf.DUMMYFUNCTION("""COMPUTED_VALUE"""),"")</f>
        <v/>
      </c>
      <c r="R7046" s="21" t="str">
        <f>IFERROR(__xludf.DUMMYFUNCTION("""COMPUTED_VALUE"""),"https://drive.google.com/file/d/12BwdhUZtQszA8qUAUIpcGmeP8_YzvqbS/view?usp=drivesdk")</f>
        <v>https://drive.google.com/file/d/12BwdhUZtQszA8qUAUIpcGmeP8_YzvqbS/view?usp=drivesdk</v>
      </c>
    </row>
    <row r="7047">
      <c r="A7047" s="15">
        <f>IFERROR(__xludf.DUMMYFUNCTION("""COMPUTED_VALUE"""),45198.0)</f>
        <v>45198</v>
      </c>
      <c r="B7047" s="16" t="str">
        <f>IFERROR(__xludf.DUMMYFUNCTION("""COMPUTED_VALUE"""),"Orlando Urdaneta Rincon ")</f>
        <v>Orlando Urdaneta Rincon </v>
      </c>
      <c r="C7047" s="15" t="str">
        <f>IFERROR(__xludf.DUMMYFUNCTION("""COMPUTED_VALUE"""),"SANTA MARTA")</f>
        <v>SANTA MARTA</v>
      </c>
      <c r="D7047" s="15" t="str">
        <f>IFERROR(__xludf.DUMMYFUNCTION("""COMPUTED_VALUE"""),"BOGOTÁ")</f>
        <v>BOGOTÁ</v>
      </c>
      <c r="E7047" s="15" t="str">
        <f>IFERROR(__xludf.DUMMYFUNCTION("""COMPUTED_VALUE"""),"Evamazzita")</f>
        <v>Evamazzita</v>
      </c>
      <c r="F7047" s="17" t="str">
        <f>IFERROR(__xludf.DUMMYFUNCTION("""COMPUTED_VALUE"""),"Avenida del Río, calle 29#25-67 / (diagonal al puente de las Malvinas)  Barrio Villa del Río")</f>
        <v>Avenida del Río, calle 29#25-67 / (diagonal al puente de las Malvinas)  Barrio Villa del Río</v>
      </c>
      <c r="G7047" s="15" t="str">
        <f>IFERROR(__xludf.DUMMYFUNCTION("""COMPUTED_VALUE"""),"EVELIN VANEGAS LUNA")</f>
        <v>EVELIN VANEGAS LUNA</v>
      </c>
      <c r="H7047" s="16">
        <f>IFERROR(__xludf.DUMMYFUNCTION("""COMPUTED_VALUE"""),15706.0)</f>
        <v>15706</v>
      </c>
      <c r="I7047" s="18">
        <f>IFERROR(__xludf.DUMMYFUNCTION("""COMPUTED_VALUE"""),1.0)</f>
        <v>1</v>
      </c>
      <c r="J7047" s="18">
        <f>IFERROR(__xludf.DUMMYFUNCTION("""COMPUTED_VALUE"""),1.0)</f>
        <v>1</v>
      </c>
      <c r="K7047" s="18">
        <f>IFERROR(__xludf.DUMMYFUNCTION("""COMPUTED_VALUE"""),1.0)</f>
        <v>1</v>
      </c>
      <c r="L7047" s="17">
        <f>IFERROR(__xludf.DUMMYFUNCTION("""COMPUTED_VALUE"""),3.003259661E9)</f>
        <v>3003259661</v>
      </c>
      <c r="M7047" s="17"/>
      <c r="N7047" s="17"/>
      <c r="O7047" s="17"/>
      <c r="P7047" s="17" t="b">
        <f>IFERROR(__xludf.DUMMYFUNCTION("""COMPUTED_VALUE"""),FALSE)</f>
        <v>0</v>
      </c>
      <c r="Q7047" s="20" t="str">
        <f>IFERROR(__xludf.DUMMYFUNCTION("""COMPUTED_VALUE"""),"")</f>
        <v/>
      </c>
      <c r="R7047" s="21" t="str">
        <f>IFERROR(__xludf.DUMMYFUNCTION("""COMPUTED_VALUE"""),"https://drive.google.com/file/d/1VMOmNsqVOs7Wl0NG3MhAZG802XQLoNWQ/view?usp=drivesdk")</f>
        <v>https://drive.google.com/file/d/1VMOmNsqVOs7Wl0NG3MhAZG802XQLoNWQ/view?usp=drivesdk</v>
      </c>
    </row>
    <row r="7048">
      <c r="A7048" s="15">
        <f>IFERROR(__xludf.DUMMYFUNCTION("""COMPUTED_VALUE"""),45198.0)</f>
        <v>45198</v>
      </c>
      <c r="B7048" s="16" t="str">
        <f>IFERROR(__xludf.DUMMYFUNCTION("""COMPUTED_VALUE"""),"Orlando Urdaneta Rincon ")</f>
        <v>Orlando Urdaneta Rincon </v>
      </c>
      <c r="C7048" s="15" t="str">
        <f>IFERROR(__xludf.DUMMYFUNCTION("""COMPUTED_VALUE"""),"SANTA MARTA")</f>
        <v>SANTA MARTA</v>
      </c>
      <c r="D7048" s="15" t="str">
        <f>IFERROR(__xludf.DUMMYFUNCTION("""COMPUTED_VALUE"""),"BOGOTÁ")</f>
        <v>BOGOTÁ</v>
      </c>
      <c r="E7048" s="15" t="str">
        <f>IFERROR(__xludf.DUMMYFUNCTION("""COMPUTED_VALUE"""),"Evamazzita")</f>
        <v>Evamazzita</v>
      </c>
      <c r="F7048" s="17" t="str">
        <f>IFERROR(__xludf.DUMMYFUNCTION("""COMPUTED_VALUE"""),"CALLE 29 No. 31 - 35 / T.1 APTO 1401 EDIFICIO MIRADOR DE SAN PEDRO")</f>
        <v>CALLE 29 No. 31 - 35 / T.1 APTO 1401 EDIFICIO MIRADOR DE SAN PEDRO</v>
      </c>
      <c r="G7048" s="15" t="str">
        <f>IFERROR(__xludf.DUMMYFUNCTION("""COMPUTED_VALUE"""),"KATTIA CABAS HOYOS")</f>
        <v>KATTIA CABAS HOYOS</v>
      </c>
      <c r="H7048" s="16">
        <f>IFERROR(__xludf.DUMMYFUNCTION("""COMPUTED_VALUE"""),15703.0)</f>
        <v>15703</v>
      </c>
      <c r="I7048" s="18">
        <f>IFERROR(__xludf.DUMMYFUNCTION("""COMPUTED_VALUE"""),1.0)</f>
        <v>1</v>
      </c>
      <c r="J7048" s="18">
        <f>IFERROR(__xludf.DUMMYFUNCTION("""COMPUTED_VALUE"""),1.0)</f>
        <v>1</v>
      </c>
      <c r="K7048" s="18">
        <f>IFERROR(__xludf.DUMMYFUNCTION("""COMPUTED_VALUE"""),1.0)</f>
        <v>1</v>
      </c>
      <c r="L7048" s="17">
        <f>IFERROR(__xludf.DUMMYFUNCTION("""COMPUTED_VALUE"""),3.014396771E9)</f>
        <v>3014396771</v>
      </c>
      <c r="M7048" s="17"/>
      <c r="N7048" s="17"/>
      <c r="O7048" s="17"/>
      <c r="P7048" s="17" t="b">
        <f>IFERROR(__xludf.DUMMYFUNCTION("""COMPUTED_VALUE"""),FALSE)</f>
        <v>0</v>
      </c>
      <c r="Q7048" s="20" t="str">
        <f>IFERROR(__xludf.DUMMYFUNCTION("""COMPUTED_VALUE"""),"")</f>
        <v/>
      </c>
      <c r="R7048" s="21" t="str">
        <f>IFERROR(__xludf.DUMMYFUNCTION("""COMPUTED_VALUE"""),"https://drive.google.com/file/d/1yF5wWSpIzdbroAsoMxwe8DHbPzHQMXF-/view?usp=drivesdk")</f>
        <v>https://drive.google.com/file/d/1yF5wWSpIzdbroAsoMxwe8DHbPzHQMXF-/view?usp=drivesdk</v>
      </c>
    </row>
    <row r="7049">
      <c r="A7049" s="15">
        <f>IFERROR(__xludf.DUMMYFUNCTION("""COMPUTED_VALUE"""),45198.0)</f>
        <v>45198</v>
      </c>
      <c r="B7049" s="16" t="str">
        <f>IFERROR(__xludf.DUMMYFUNCTION("""COMPUTED_VALUE"""),"Orlando Urdaneta Rincon ")</f>
        <v>Orlando Urdaneta Rincon </v>
      </c>
      <c r="C7049" s="15" t="str">
        <f>IFERROR(__xludf.DUMMYFUNCTION("""COMPUTED_VALUE"""),"SANTA MARTA")</f>
        <v>SANTA MARTA</v>
      </c>
      <c r="D7049" s="15" t="str">
        <f>IFERROR(__xludf.DUMMYFUNCTION("""COMPUTED_VALUE"""),"BOGOTÁ")</f>
        <v>BOGOTÁ</v>
      </c>
      <c r="E7049" s="15" t="str">
        <f>IFERROR(__xludf.DUMMYFUNCTION("""COMPUTED_VALUE"""),"Evamazzita")</f>
        <v>Evamazzita</v>
      </c>
      <c r="F7049" s="17" t="str">
        <f>IFERROR(__xludf.DUMMYFUNCTION("""COMPUTED_VALUE"""),"Calle 45A # 29C-22 / casa 20 (conjunto cerrado villas de andalucia) Santa Cruz")</f>
        <v>Calle 45A # 29C-22 / casa 20 (conjunto cerrado villas de andalucia) Santa Cruz</v>
      </c>
      <c r="G7049" s="15" t="str">
        <f>IFERROR(__xludf.DUMMYFUNCTION("""COMPUTED_VALUE"""),"ALEJANDRA JORDI")</f>
        <v>ALEJANDRA JORDI</v>
      </c>
      <c r="H7049" s="16">
        <f>IFERROR(__xludf.DUMMYFUNCTION("""COMPUTED_VALUE"""),15704.0)</f>
        <v>15704</v>
      </c>
      <c r="I7049" s="18">
        <f>IFERROR(__xludf.DUMMYFUNCTION("""COMPUTED_VALUE"""),1.0)</f>
        <v>1</v>
      </c>
      <c r="J7049" s="18">
        <f>IFERROR(__xludf.DUMMYFUNCTION("""COMPUTED_VALUE"""),1.0)</f>
        <v>1</v>
      </c>
      <c r="K7049" s="18">
        <f>IFERROR(__xludf.DUMMYFUNCTION("""COMPUTED_VALUE"""),1.0)</f>
        <v>1</v>
      </c>
      <c r="L7049" s="17">
        <f>IFERROR(__xludf.DUMMYFUNCTION("""COMPUTED_VALUE"""),3.017563592E9)</f>
        <v>3017563592</v>
      </c>
      <c r="M7049" s="17"/>
      <c r="N7049" s="17"/>
      <c r="O7049" s="17"/>
      <c r="P7049" s="17" t="b">
        <f>IFERROR(__xludf.DUMMYFUNCTION("""COMPUTED_VALUE"""),FALSE)</f>
        <v>0</v>
      </c>
      <c r="Q7049" s="20" t="str">
        <f>IFERROR(__xludf.DUMMYFUNCTION("""COMPUTED_VALUE"""),"")</f>
        <v/>
      </c>
      <c r="R7049" s="21" t="str">
        <f>IFERROR(__xludf.DUMMYFUNCTION("""COMPUTED_VALUE"""),"https://drive.google.com/file/d/1P99EJVvc34iOK7XzQAIIFPrQEL8phzMp/view?usp=drivesdk")</f>
        <v>https://drive.google.com/file/d/1P99EJVvc34iOK7XzQAIIFPrQEL8phzMp/view?usp=drivesdk</v>
      </c>
    </row>
    <row r="7050">
      <c r="A7050" s="15">
        <f>IFERROR(__xludf.DUMMYFUNCTION("""COMPUTED_VALUE"""),45198.0)</f>
        <v>45198</v>
      </c>
      <c r="B7050" s="16" t="str">
        <f>IFERROR(__xludf.DUMMYFUNCTION("""COMPUTED_VALUE"""),"Orlando Urdaneta Rincon ")</f>
        <v>Orlando Urdaneta Rincon </v>
      </c>
      <c r="C7050" s="15" t="str">
        <f>IFERROR(__xludf.DUMMYFUNCTION("""COMPUTED_VALUE"""),"SANTA MARTA")</f>
        <v>SANTA MARTA</v>
      </c>
      <c r="D7050" s="15" t="str">
        <f>IFERROR(__xludf.DUMMYFUNCTION("""COMPUTED_VALUE"""),"BOGOTÁ")</f>
        <v>BOGOTÁ</v>
      </c>
      <c r="E7050" s="15" t="str">
        <f>IFERROR(__xludf.DUMMYFUNCTION("""COMPUTED_VALUE"""),"Evamazzita")</f>
        <v>Evamazzita</v>
      </c>
      <c r="F7050" s="17" t="str">
        <f>IFERROR(__xludf.DUMMYFUNCTION("""COMPUTED_VALUE"""),"Carrera 4 #21-180 / conjunto puerto banus casa 33  Rodadero")</f>
        <v>Carrera 4 #21-180 / conjunto puerto banus casa 33  Rodadero</v>
      </c>
      <c r="G7050" s="15" t="str">
        <f>IFERROR(__xludf.DUMMYFUNCTION("""COMPUTED_VALUE"""),"ADRIANA RODRIGUEZ")</f>
        <v>ADRIANA RODRIGUEZ</v>
      </c>
      <c r="H7050" s="16">
        <f>IFERROR(__xludf.DUMMYFUNCTION("""COMPUTED_VALUE"""),15707.0)</f>
        <v>15707</v>
      </c>
      <c r="I7050" s="18">
        <f>IFERROR(__xludf.DUMMYFUNCTION("""COMPUTED_VALUE"""),1.0)</f>
        <v>1</v>
      </c>
      <c r="J7050" s="18">
        <f>IFERROR(__xludf.DUMMYFUNCTION("""COMPUTED_VALUE"""),1.0)</f>
        <v>1</v>
      </c>
      <c r="K7050" s="18">
        <f>IFERROR(__xludf.DUMMYFUNCTION("""COMPUTED_VALUE"""),1.0)</f>
        <v>1</v>
      </c>
      <c r="L7050" s="17">
        <f>IFERROR(__xludf.DUMMYFUNCTION("""COMPUTED_VALUE"""),3.17300301E9)</f>
        <v>3173003010</v>
      </c>
      <c r="M7050" s="17"/>
      <c r="N7050" s="17"/>
      <c r="O7050" s="17"/>
      <c r="P7050" s="17" t="b">
        <f>IFERROR(__xludf.DUMMYFUNCTION("""COMPUTED_VALUE"""),FALSE)</f>
        <v>0</v>
      </c>
      <c r="Q7050" s="20" t="str">
        <f>IFERROR(__xludf.DUMMYFUNCTION("""COMPUTED_VALUE"""),"")</f>
        <v/>
      </c>
      <c r="R7050" s="21" t="str">
        <f>IFERROR(__xludf.DUMMYFUNCTION("""COMPUTED_VALUE"""),"https://drive.google.com/file/d/1ftWJMn4HxSxVAdg3PdXm4qym-AoFz6Rx/view?usp=drivesdk")</f>
        <v>https://drive.google.com/file/d/1ftWJMn4HxSxVAdg3PdXm4qym-AoFz6Rx/view?usp=drivesdk</v>
      </c>
    </row>
    <row r="7051">
      <c r="A7051" s="15">
        <f>IFERROR(__xludf.DUMMYFUNCTION("""COMPUTED_VALUE"""),45198.0)</f>
        <v>45198</v>
      </c>
      <c r="B7051" s="16" t="str">
        <f>IFERROR(__xludf.DUMMYFUNCTION("""COMPUTED_VALUE"""),"Orlando Urdaneta Rincon ")</f>
        <v>Orlando Urdaneta Rincon </v>
      </c>
      <c r="C7051" s="15" t="str">
        <f>IFERROR(__xludf.DUMMYFUNCTION("""COMPUTED_VALUE"""),"SOACHA")</f>
        <v>SOACHA</v>
      </c>
      <c r="D7051" s="15" t="str">
        <f>IFERROR(__xludf.DUMMYFUNCTION("""COMPUTED_VALUE"""),"MEDELLÍN")</f>
        <v>MEDELLÍN</v>
      </c>
      <c r="E7051" s="15" t="str">
        <f>IFERROR(__xludf.DUMMYFUNCTION("""COMPUTED_VALUE"""),"Rambla")</f>
        <v>Rambla</v>
      </c>
      <c r="F7051" s="17" t="str">
        <f>IFERROR(__xludf.DUMMYFUNCTION("""COMPUTED_VALUE"""),"Carrera 1A No. 20 - 138  / Urbanizacion El Sol   / SOACHA")</f>
        <v>Carrera 1A No. 20 - 138  / Urbanizacion El Sol   / SOACHA</v>
      </c>
      <c r="G7051" s="15" t="str">
        <f>IFERROR(__xludf.DUMMYFUNCTION("""COMPUTED_VALUE"""),"Diana Marcela Velasquez")</f>
        <v>Diana Marcela Velasquez</v>
      </c>
      <c r="H7051" s="16">
        <f>IFERROR(__xludf.DUMMYFUNCTION("""COMPUTED_VALUE"""),15754.0)</f>
        <v>15754</v>
      </c>
      <c r="I7051" s="18">
        <f>IFERROR(__xludf.DUMMYFUNCTION("""COMPUTED_VALUE"""),19.0)</f>
        <v>19</v>
      </c>
      <c r="J7051" s="18">
        <f>IFERROR(__xludf.DUMMYFUNCTION("""COMPUTED_VALUE"""),20.0)</f>
        <v>20</v>
      </c>
      <c r="K7051" s="18">
        <f>IFERROR(__xludf.DUMMYFUNCTION("""COMPUTED_VALUE"""),20.0)</f>
        <v>20</v>
      </c>
      <c r="L7051" s="17">
        <f>IFERROR(__xludf.DUMMYFUNCTION("""COMPUTED_VALUE"""),3.107768763E9)</f>
        <v>3107768763</v>
      </c>
      <c r="M7051" s="17"/>
      <c r="N7051" s="17"/>
      <c r="O7051" s="17"/>
      <c r="P7051" s="17" t="b">
        <f>IFERROR(__xludf.DUMMYFUNCTION("""COMPUTED_VALUE"""),FALSE)</f>
        <v>0</v>
      </c>
      <c r="Q7051" s="20" t="str">
        <f>IFERROR(__xludf.DUMMYFUNCTION("""COMPUTED_VALUE"""),"")</f>
        <v/>
      </c>
      <c r="R7051" s="22" t="str">
        <f>IFERROR(__xludf.DUMMYFUNCTION("""COMPUTED_VALUE"""),"")</f>
        <v/>
      </c>
    </row>
    <row r="7052">
      <c r="A7052" s="17" t="str">
        <f>IFERROR(__xludf.DUMMYFUNCTION("""COMPUTED_VALUE"""),"")</f>
        <v/>
      </c>
      <c r="B7052" s="17" t="str">
        <f>IFERROR(__xludf.DUMMYFUNCTION("""COMPUTED_VALUE"""),"")</f>
        <v/>
      </c>
      <c r="C7052" s="17" t="str">
        <f>IFERROR(__xludf.DUMMYFUNCTION("""COMPUTED_VALUE"""),"")</f>
        <v/>
      </c>
      <c r="D7052" s="17" t="str">
        <f>IFERROR(__xludf.DUMMYFUNCTION("""COMPUTED_VALUE"""),"")</f>
        <v/>
      </c>
      <c r="E7052" s="17" t="str">
        <f>IFERROR(__xludf.DUMMYFUNCTION("""COMPUTED_VALUE"""),"")</f>
        <v/>
      </c>
      <c r="F7052" s="17" t="str">
        <f>IFERROR(__xludf.DUMMYFUNCTION("""COMPUTED_VALUE"""),"")</f>
        <v/>
      </c>
      <c r="G7052" s="17" t="str">
        <f>IFERROR(__xludf.DUMMYFUNCTION("""COMPUTED_VALUE"""),"")</f>
        <v/>
      </c>
      <c r="H7052" s="17" t="str">
        <f>IFERROR(__xludf.DUMMYFUNCTION("""COMPUTED_VALUE"""),"")</f>
        <v/>
      </c>
      <c r="I7052" s="17" t="str">
        <f>IFERROR(__xludf.DUMMYFUNCTION("""COMPUTED_VALUE"""),"")</f>
        <v/>
      </c>
      <c r="J7052" s="17" t="str">
        <f>IFERROR(__xludf.DUMMYFUNCTION("""COMPUTED_VALUE"""),"")</f>
        <v/>
      </c>
      <c r="K7052" s="17" t="str">
        <f>IFERROR(__xludf.DUMMYFUNCTION("""COMPUTED_VALUE"""),"")</f>
        <v/>
      </c>
      <c r="L7052" s="17" t="str">
        <f>IFERROR(__xludf.DUMMYFUNCTION("""COMPUTED_VALUE"""),"")</f>
        <v/>
      </c>
      <c r="M7052" s="17" t="str">
        <f>IFERROR(__xludf.DUMMYFUNCTION("""COMPUTED_VALUE"""),"")</f>
        <v/>
      </c>
      <c r="N7052" s="17" t="str">
        <f>IFERROR(__xludf.DUMMYFUNCTION("""COMPUTED_VALUE"""),"")</f>
        <v/>
      </c>
      <c r="O7052" s="17" t="str">
        <f>IFERROR(__xludf.DUMMYFUNCTION("""COMPUTED_VALUE"""),"")</f>
        <v/>
      </c>
      <c r="P7052" s="17" t="str">
        <f>IFERROR(__xludf.DUMMYFUNCTION("""COMPUTED_VALUE"""),"")</f>
        <v/>
      </c>
      <c r="Q7052" s="17" t="str">
        <f>IFERROR(__xludf.DUMMYFUNCTION("""COMPUTED_VALUE"""),"")</f>
        <v/>
      </c>
      <c r="R7052" s="17" t="str">
        <f>IFERROR(__xludf.DUMMYFUNCTION("""COMPUTED_VALUE"""),"")</f>
        <v/>
      </c>
    </row>
    <row r="7053">
      <c r="A7053" s="15">
        <f>IFERROR(__xludf.DUMMYFUNCTION("""COMPUTED_VALUE"""),45198.0)</f>
        <v>45198</v>
      </c>
      <c r="B7053" s="16" t="str">
        <f>IFERROR(__xludf.DUMMYFUNCTION("""COMPUTED_VALUE"""),"Santiago Garces Restrepo")</f>
        <v>Santiago Garces Restrepo</v>
      </c>
      <c r="C7053" s="15" t="str">
        <f>IFERROR(__xludf.DUMMYFUNCTION("""COMPUTED_VALUE"""),"ENVIGADO")</f>
        <v>ENVIGADO</v>
      </c>
      <c r="D7053" s="15" t="str">
        <f>IFERROR(__xludf.DUMMYFUNCTION("""COMPUTED_VALUE"""),"BOGOTÁ")</f>
        <v>BOGOTÁ</v>
      </c>
      <c r="E7053" s="15" t="str">
        <f>IFERROR(__xludf.DUMMYFUNCTION("""COMPUTED_VALUE"""),"Top Spun")</f>
        <v>Top Spun</v>
      </c>
      <c r="F7053" s="17" t="str">
        <f>IFERROR(__xludf.DUMMYFUNCTION("""COMPUTED_VALUE"""),"Calle 38 sur 47 A 23 / Ed portal de Alcalá / Apto 1002")</f>
        <v>Calle 38 sur 47 A 23 / Ed portal de Alcalá / Apto 1002</v>
      </c>
      <c r="G7053" s="15" t="str">
        <f>IFERROR(__xludf.DUMMYFUNCTION("""COMPUTED_VALUE"""),"Juan Carlos Cortés Orozco")</f>
        <v>Juan Carlos Cortés Orozco</v>
      </c>
      <c r="H7053" s="16">
        <f>IFERROR(__xludf.DUMMYFUNCTION("""COMPUTED_VALUE"""),15740.0)</f>
        <v>15740</v>
      </c>
      <c r="I7053" s="18">
        <f>IFERROR(__xludf.DUMMYFUNCTION("""COMPUTED_VALUE"""),20.0)</f>
        <v>20</v>
      </c>
      <c r="J7053" s="18">
        <f>IFERROR(__xludf.DUMMYFUNCTION("""COMPUTED_VALUE"""),10.0)</f>
        <v>10</v>
      </c>
      <c r="K7053" s="18">
        <f>IFERROR(__xludf.DUMMYFUNCTION("""COMPUTED_VALUE"""),40.0)</f>
        <v>40</v>
      </c>
      <c r="L7053" s="17">
        <f>IFERROR(__xludf.DUMMYFUNCTION("""COMPUTED_VALUE"""),3.226215441E9)</f>
        <v>3226215441</v>
      </c>
      <c r="M7053" s="17"/>
      <c r="N7053" s="17"/>
      <c r="O7053" s="17"/>
      <c r="P7053" s="17" t="b">
        <f>IFERROR(__xludf.DUMMYFUNCTION("""COMPUTED_VALUE"""),FALSE)</f>
        <v>0</v>
      </c>
      <c r="Q7053" s="20" t="str">
        <f>IFERROR(__xludf.DUMMYFUNCTION("""COMPUTED_VALUE"""),"")</f>
        <v/>
      </c>
      <c r="R7053" s="21" t="str">
        <f>IFERROR(__xludf.DUMMYFUNCTION("""COMPUTED_VALUE"""),"https://drive.google.com/file/d/1toCDkeJr4bquQvg-exWDkYEUz0ci7XEW/view?usp=drivesdk")</f>
        <v>https://drive.google.com/file/d/1toCDkeJr4bquQvg-exWDkYEUz0ci7XEW/view?usp=drivesdk</v>
      </c>
    </row>
    <row r="7054">
      <c r="A7054" s="15">
        <f>IFERROR(__xludf.DUMMYFUNCTION("""COMPUTED_VALUE"""),45198.0)</f>
        <v>45198</v>
      </c>
      <c r="B7054" s="16" t="str">
        <f>IFERROR(__xludf.DUMMYFUNCTION("""COMPUTED_VALUE"""),"Santiago Garces Restrepo")</f>
        <v>Santiago Garces Restrepo</v>
      </c>
      <c r="C7054" s="15" t="str">
        <f>IFERROR(__xludf.DUMMYFUNCTION("""COMPUTED_VALUE"""),"MEDELLÍN")</f>
        <v>MEDELLÍN</v>
      </c>
      <c r="D7054" s="15" t="str">
        <f>IFERROR(__xludf.DUMMYFUNCTION("""COMPUTED_VALUE"""),"BOGOTÁ")</f>
        <v>BOGOTÁ</v>
      </c>
      <c r="E7054" s="15" t="str">
        <f>IFERROR(__xludf.DUMMYFUNCTION("""COMPUTED_VALUE"""),"MAI ALIMENTOS S.A.S")</f>
        <v>MAI ALIMENTOS S.A.S</v>
      </c>
      <c r="F7054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7054" s="15" t="str">
        <f>IFERROR(__xludf.DUMMYFUNCTION("""COMPUTED_VALUE"""),"Novaventas")</f>
        <v>Novaventas</v>
      </c>
      <c r="H7054" s="16">
        <f>IFERROR(__xludf.DUMMYFUNCTION("""COMPUTED_VALUE"""),15762.0)</f>
        <v>15762</v>
      </c>
      <c r="I7054" s="18">
        <f>IFERROR(__xludf.DUMMYFUNCTION("""COMPUTED_VALUE"""),35.0)</f>
        <v>35</v>
      </c>
      <c r="J7054" s="18">
        <f>IFERROR(__xludf.DUMMYFUNCTION("""COMPUTED_VALUE"""),17.0)</f>
        <v>17</v>
      </c>
      <c r="K7054" s="18">
        <f>IFERROR(__xludf.DUMMYFUNCTION("""COMPUTED_VALUE"""),13.0)</f>
        <v>13</v>
      </c>
      <c r="L7054" s="17"/>
      <c r="M7054" s="17"/>
      <c r="N7054" s="17"/>
      <c r="O7054" s="17"/>
      <c r="P7054" s="17" t="b">
        <f>IFERROR(__xludf.DUMMYFUNCTION("""COMPUTED_VALUE"""),FALSE)</f>
        <v>0</v>
      </c>
      <c r="Q7054" s="20" t="str">
        <f>IFERROR(__xludf.DUMMYFUNCTION("""COMPUTED_VALUE"""),"")</f>
        <v/>
      </c>
      <c r="R7054" s="22" t="str">
        <f>IFERROR(__xludf.DUMMYFUNCTION("""COMPUTED_VALUE"""),"")</f>
        <v/>
      </c>
    </row>
    <row r="7055">
      <c r="A7055" s="15">
        <f>IFERROR(__xludf.DUMMYFUNCTION("""COMPUTED_VALUE"""),45198.0)</f>
        <v>45198</v>
      </c>
      <c r="B7055" s="16" t="str">
        <f>IFERROR(__xludf.DUMMYFUNCTION("""COMPUTED_VALUE"""),"Santiago Garces Restrepo")</f>
        <v>Santiago Garces Restrepo</v>
      </c>
      <c r="C7055" s="15" t="str">
        <f>IFERROR(__xludf.DUMMYFUNCTION("""COMPUTED_VALUE"""),"MEDELLÍN")</f>
        <v>MEDELLÍN</v>
      </c>
      <c r="D7055" s="15" t="str">
        <f>IFERROR(__xludf.DUMMYFUNCTION("""COMPUTED_VALUE"""),"BOGOTÁ")</f>
        <v>BOGOTÁ</v>
      </c>
      <c r="E7055" s="15" t="str">
        <f>IFERROR(__xludf.DUMMYFUNCTION("""COMPUTED_VALUE"""),"Natural Foodie")</f>
        <v>Natural Foodie</v>
      </c>
      <c r="F7055" s="17" t="str">
        <f>IFERROR(__xludf.DUMMYFUNCTION("""COMPUTED_VALUE"""),"Calle 20 SUR 39A 72 Apto 220 Unidad Residencial Linda Villa Medellin, barrio Diamante II / Apto 220 Unidad Residencial Linda Villa Medellin, / barrio Diamante II")</f>
        <v>Calle 20 SUR 39A 72 Apto 220 Unidad Residencial Linda Villa Medellin, barrio Diamante II / Apto 220 Unidad Residencial Linda Villa Medellin, / barrio Diamante II</v>
      </c>
      <c r="G7055" s="15" t="str">
        <f>IFERROR(__xludf.DUMMYFUNCTION("""COMPUTED_VALUE"""),"Fernando Silva")</f>
        <v>Fernando Silva</v>
      </c>
      <c r="H7055" s="16">
        <f>IFERROR(__xludf.DUMMYFUNCTION("""COMPUTED_VALUE"""),15733.0)</f>
        <v>15733</v>
      </c>
      <c r="I7055" s="18">
        <f>IFERROR(__xludf.DUMMYFUNCTION("""COMPUTED_VALUE"""),10.0)</f>
        <v>10</v>
      </c>
      <c r="J7055" s="18">
        <f>IFERROR(__xludf.DUMMYFUNCTION("""COMPUTED_VALUE"""),20.0)</f>
        <v>20</v>
      </c>
      <c r="K7055" s="18">
        <f>IFERROR(__xludf.DUMMYFUNCTION("""COMPUTED_VALUE"""),20.0)</f>
        <v>20</v>
      </c>
      <c r="L7055" s="17">
        <f>IFERROR(__xludf.DUMMYFUNCTION("""COMPUTED_VALUE"""),3.153066032E9)</f>
        <v>3153066032</v>
      </c>
      <c r="M7055" s="17"/>
      <c r="N7055" s="17"/>
      <c r="O7055" s="17"/>
      <c r="P7055" s="17" t="b">
        <f>IFERROR(__xludf.DUMMYFUNCTION("""COMPUTED_VALUE"""),FALSE)</f>
        <v>0</v>
      </c>
      <c r="Q7055" s="20" t="str">
        <f>IFERROR(__xludf.DUMMYFUNCTION("""COMPUTED_VALUE"""),"")</f>
        <v/>
      </c>
      <c r="R7055" s="21" t="str">
        <f>IFERROR(__xludf.DUMMYFUNCTION("""COMPUTED_VALUE"""),"https://drive.google.com/file/d/1qrN0ON9212Fg3W0RUr8pijM1d0mmx5Du/view?usp=drivesdk")</f>
        <v>https://drive.google.com/file/d/1qrN0ON9212Fg3W0RUr8pijM1d0mmx5Du/view?usp=drivesdk</v>
      </c>
    </row>
    <row r="7056">
      <c r="A7056" s="15">
        <f>IFERROR(__xludf.DUMMYFUNCTION("""COMPUTED_VALUE"""),45198.0)</f>
        <v>45198</v>
      </c>
      <c r="B7056" s="16" t="str">
        <f>IFERROR(__xludf.DUMMYFUNCTION("""COMPUTED_VALUE"""),"Santiago Garces Restrepo")</f>
        <v>Santiago Garces Restrepo</v>
      </c>
      <c r="C7056" s="15" t="str">
        <f>IFERROR(__xludf.DUMMYFUNCTION("""COMPUTED_VALUE"""),"MEDELLÍN")</f>
        <v>MEDELLÍN</v>
      </c>
      <c r="D7056" s="15" t="str">
        <f>IFERROR(__xludf.DUMMYFUNCTION("""COMPUTED_VALUE"""),"BOGOTÁ")</f>
        <v>BOGOTÁ</v>
      </c>
      <c r="E7056" s="15" t="str">
        <f>IFERROR(__xludf.DUMMYFUNCTION("""COMPUTED_VALUE"""),"Pan de Waffle")</f>
        <v>Pan de Waffle</v>
      </c>
      <c r="F7056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7056" s="15" t="str">
        <f>IFERROR(__xludf.DUMMYFUNCTION("""COMPUTED_VALUE"""),"VITA INTEGRAL")</f>
        <v>VITA INTEGRAL</v>
      </c>
      <c r="H7056" s="16">
        <f>IFERROR(__xludf.DUMMYFUNCTION("""COMPUTED_VALUE"""),15758.0)</f>
        <v>15758</v>
      </c>
      <c r="I7056" s="18">
        <f>IFERROR(__xludf.DUMMYFUNCTION("""COMPUTED_VALUE"""),30.0)</f>
        <v>30</v>
      </c>
      <c r="J7056" s="18">
        <f>IFERROR(__xludf.DUMMYFUNCTION("""COMPUTED_VALUE"""),30.0)</f>
        <v>30</v>
      </c>
      <c r="K7056" s="18">
        <f>IFERROR(__xludf.DUMMYFUNCTION("""COMPUTED_VALUE"""),40.0)</f>
        <v>40</v>
      </c>
      <c r="L7056" s="17">
        <f>IFERROR(__xludf.DUMMYFUNCTION("""COMPUTED_VALUE"""),3.20865425E9)</f>
        <v>3208654250</v>
      </c>
      <c r="M7056" s="17"/>
      <c r="N7056" s="17"/>
      <c r="O7056" s="17"/>
      <c r="P7056" s="17" t="b">
        <f>IFERROR(__xludf.DUMMYFUNCTION("""COMPUTED_VALUE"""),TRUE)</f>
        <v>1</v>
      </c>
      <c r="Q7056" s="20">
        <f>IFERROR(__xludf.DUMMYFUNCTION("""COMPUTED_VALUE"""),45202.75719780092)</f>
        <v>45202.7572</v>
      </c>
      <c r="R7056" s="22" t="str">
        <f>IFERROR(__xludf.DUMMYFUNCTION("""COMPUTED_VALUE"""),"")</f>
        <v/>
      </c>
    </row>
    <row r="7057">
      <c r="A7057" s="15">
        <f>IFERROR(__xludf.DUMMYFUNCTION("""COMPUTED_VALUE"""),45198.0)</f>
        <v>45198</v>
      </c>
      <c r="B7057" s="16" t="str">
        <f>IFERROR(__xludf.DUMMYFUNCTION("""COMPUTED_VALUE"""),"Santiago Garces Restrepo")</f>
        <v>Santiago Garces Restrepo</v>
      </c>
      <c r="C7057" s="15" t="str">
        <f>IFERROR(__xludf.DUMMYFUNCTION("""COMPUTED_VALUE"""),"MEDELLÍN")</f>
        <v>MEDELLÍN</v>
      </c>
      <c r="D7057" s="15" t="str">
        <f>IFERROR(__xludf.DUMMYFUNCTION("""COMPUTED_VALUE"""),"BOGOTÁ")</f>
        <v>BOGOTÁ</v>
      </c>
      <c r="E7057" s="15" t="str">
        <f>IFERROR(__xludf.DUMMYFUNCTION("""COMPUTED_VALUE"""),"Renata")</f>
        <v>Renata</v>
      </c>
      <c r="F7057" s="17" t="str">
        <f>IFERROR(__xludf.DUMMYFUNCTION("""COMPUTED_VALUE"""),"Carrera32d#9-43 / Seline y cowork -restaurante  / Provenza")</f>
        <v>Carrera32d#9-43 / Seline y cowork -restaurante  / Provenza</v>
      </c>
      <c r="G7057" s="15" t="str">
        <f>IFERROR(__xludf.DUMMYFUNCTION("""COMPUTED_VALUE"""),"Front y back hospitality group")</f>
        <v>Front y back hospitality group</v>
      </c>
      <c r="H7057" s="16">
        <f>IFERROR(__xludf.DUMMYFUNCTION("""COMPUTED_VALUE"""),15744.0)</f>
        <v>15744</v>
      </c>
      <c r="I7057" s="18">
        <f>IFERROR(__xludf.DUMMYFUNCTION("""COMPUTED_VALUE"""),90.0)</f>
        <v>90</v>
      </c>
      <c r="J7057" s="18">
        <f>IFERROR(__xludf.DUMMYFUNCTION("""COMPUTED_VALUE"""),70.0)</f>
        <v>70</v>
      </c>
      <c r="K7057" s="18">
        <f>IFERROR(__xludf.DUMMYFUNCTION("""COMPUTED_VALUE"""),60.0)</f>
        <v>60</v>
      </c>
      <c r="L7057" s="17">
        <f>IFERROR(__xludf.DUMMYFUNCTION("""COMPUTED_VALUE"""),3.104047368E9)</f>
        <v>3104047368</v>
      </c>
      <c r="M7057" s="17"/>
      <c r="N7057" s="17"/>
      <c r="O7057" s="17"/>
      <c r="P7057" s="17" t="b">
        <f>IFERROR(__xludf.DUMMYFUNCTION("""COMPUTED_VALUE"""),TRUE)</f>
        <v>1</v>
      </c>
      <c r="Q7057" s="20">
        <f>IFERROR(__xludf.DUMMYFUNCTION("""COMPUTED_VALUE"""),45202.61918018518)</f>
        <v>45202.61918</v>
      </c>
      <c r="R7057" s="22" t="str">
        <f>IFERROR(__xludf.DUMMYFUNCTION("""COMPUTED_VALUE"""),"")</f>
        <v/>
      </c>
    </row>
    <row r="7058">
      <c r="A7058" s="15">
        <f>IFERROR(__xludf.DUMMYFUNCTION("""COMPUTED_VALUE"""),45198.0)</f>
        <v>45198</v>
      </c>
      <c r="B7058" s="16" t="str">
        <f>IFERROR(__xludf.DUMMYFUNCTION("""COMPUTED_VALUE"""),"Santiago Garces Restrepo")</f>
        <v>Santiago Garces Restrepo</v>
      </c>
      <c r="C7058" s="15" t="str">
        <f>IFERROR(__xludf.DUMMYFUNCTION("""COMPUTED_VALUE"""),"MEDELLÍN")</f>
        <v>MEDELLÍN</v>
      </c>
      <c r="D7058" s="15" t="str">
        <f>IFERROR(__xludf.DUMMYFUNCTION("""COMPUTED_VALUE"""),"BOGOTÁ")</f>
        <v>BOGOTÁ</v>
      </c>
      <c r="E7058" s="15" t="str">
        <f>IFERROR(__xludf.DUMMYFUNCTION("""COMPUTED_VALUE"""),"Spirulina Fresca")</f>
        <v>Spirulina Fresca</v>
      </c>
      <c r="F7058" s="17" t="str">
        <f>IFERROR(__xludf.DUMMYFUNCTION("""COMPUTED_VALUE"""),"Cra 42B # 46C sur 44 /  barrio la paz en envigado / Envigado")</f>
        <v>Cra 42B # 46C sur 44 /  barrio la paz en envigado / Envigado</v>
      </c>
      <c r="G7058" s="15" t="str">
        <f>IFERROR(__xludf.DUMMYFUNCTION("""COMPUTED_VALUE"""),"Selene medellin")</f>
        <v>Selene medellin</v>
      </c>
      <c r="H7058" s="16">
        <f>IFERROR(__xludf.DUMMYFUNCTION("""COMPUTED_VALUE"""),15745.0)</f>
        <v>15745</v>
      </c>
      <c r="I7058" s="18">
        <f>IFERROR(__xludf.DUMMYFUNCTION("""COMPUTED_VALUE"""),8.0)</f>
        <v>8</v>
      </c>
      <c r="J7058" s="18">
        <f>IFERROR(__xludf.DUMMYFUNCTION("""COMPUTED_VALUE"""),8.0)</f>
        <v>8</v>
      </c>
      <c r="K7058" s="18">
        <f>IFERROR(__xludf.DUMMYFUNCTION("""COMPUTED_VALUE"""),20.0)</f>
        <v>20</v>
      </c>
      <c r="L7058" s="17">
        <f>IFERROR(__xludf.DUMMYFUNCTION("""COMPUTED_VALUE"""),3.216271218E9)</f>
        <v>3216271218</v>
      </c>
      <c r="M7058" s="17"/>
      <c r="N7058" s="17"/>
      <c r="O7058" s="17"/>
      <c r="P7058" s="17" t="b">
        <f>IFERROR(__xludf.DUMMYFUNCTION("""COMPUTED_VALUE"""),TRUE)</f>
        <v>1</v>
      </c>
      <c r="Q7058" s="20">
        <f>IFERROR(__xludf.DUMMYFUNCTION("""COMPUTED_VALUE"""),45202.61918018518)</f>
        <v>45202.61918</v>
      </c>
      <c r="R7058" s="21" t="str">
        <f>IFERROR(__xludf.DUMMYFUNCTION("""COMPUTED_VALUE"""),"https://drive.google.com/file/d/1BkuGSBgQhHFrZ_14fKd2wx0xhDiPjrqH/view?usp=drivesdk")</f>
        <v>https://drive.google.com/file/d/1BkuGSBgQhHFrZ_14fKd2wx0xhDiPjrqH/view?usp=drivesdk</v>
      </c>
    </row>
    <row r="7059">
      <c r="A7059" s="17" t="str">
        <f>IFERROR(__xludf.DUMMYFUNCTION("""COMPUTED_VALUE"""),"")</f>
        <v/>
      </c>
      <c r="B7059" s="17" t="str">
        <f>IFERROR(__xludf.DUMMYFUNCTION("""COMPUTED_VALUE"""),"")</f>
        <v/>
      </c>
      <c r="C7059" s="17" t="str">
        <f>IFERROR(__xludf.DUMMYFUNCTION("""COMPUTED_VALUE"""),"")</f>
        <v/>
      </c>
      <c r="D7059" s="17" t="str">
        <f>IFERROR(__xludf.DUMMYFUNCTION("""COMPUTED_VALUE"""),"")</f>
        <v/>
      </c>
      <c r="E7059" s="17" t="str">
        <f>IFERROR(__xludf.DUMMYFUNCTION("""COMPUTED_VALUE"""),"")</f>
        <v/>
      </c>
      <c r="F7059" s="17" t="str">
        <f>IFERROR(__xludf.DUMMYFUNCTION("""COMPUTED_VALUE"""),"")</f>
        <v/>
      </c>
      <c r="G7059" s="17" t="str">
        <f>IFERROR(__xludf.DUMMYFUNCTION("""COMPUTED_VALUE"""),"")</f>
        <v/>
      </c>
      <c r="H7059" s="17" t="str">
        <f>IFERROR(__xludf.DUMMYFUNCTION("""COMPUTED_VALUE"""),"")</f>
        <v/>
      </c>
      <c r="I7059" s="17" t="str">
        <f>IFERROR(__xludf.DUMMYFUNCTION("""COMPUTED_VALUE"""),"")</f>
        <v/>
      </c>
      <c r="J7059" s="17" t="str">
        <f>IFERROR(__xludf.DUMMYFUNCTION("""COMPUTED_VALUE"""),"")</f>
        <v/>
      </c>
      <c r="K7059" s="17" t="str">
        <f>IFERROR(__xludf.DUMMYFUNCTION("""COMPUTED_VALUE"""),"")</f>
        <v/>
      </c>
      <c r="L7059" s="17" t="str">
        <f>IFERROR(__xludf.DUMMYFUNCTION("""COMPUTED_VALUE"""),"")</f>
        <v/>
      </c>
      <c r="M7059" s="17" t="str">
        <f>IFERROR(__xludf.DUMMYFUNCTION("""COMPUTED_VALUE"""),"")</f>
        <v/>
      </c>
      <c r="N7059" s="17" t="str">
        <f>IFERROR(__xludf.DUMMYFUNCTION("""COMPUTED_VALUE"""),"")</f>
        <v/>
      </c>
      <c r="O7059" s="17" t="str">
        <f>IFERROR(__xludf.DUMMYFUNCTION("""COMPUTED_VALUE"""),"")</f>
        <v/>
      </c>
      <c r="P7059" s="17" t="str">
        <f>IFERROR(__xludf.DUMMYFUNCTION("""COMPUTED_VALUE"""),"")</f>
        <v/>
      </c>
      <c r="Q7059" s="17" t="str">
        <f>IFERROR(__xludf.DUMMYFUNCTION("""COMPUTED_VALUE"""),"")</f>
        <v/>
      </c>
      <c r="R7059" s="17" t="str">
        <f>IFERROR(__xludf.DUMMYFUNCTION("""COMPUTED_VALUE"""),"")</f>
        <v/>
      </c>
    </row>
    <row r="7060">
      <c r="A7060" s="15">
        <f>IFERROR(__xludf.DUMMYFUNCTION("""COMPUTED_VALUE"""),45201.0)</f>
        <v>45201</v>
      </c>
      <c r="B7060" s="17"/>
      <c r="C7060" s="15" t="str">
        <f>IFERROR(__xludf.DUMMYFUNCTION("""COMPUTED_VALUE"""),"BOGOTÁ")</f>
        <v>BOGOTÁ</v>
      </c>
      <c r="D7060" s="15" t="str">
        <f>IFERROR(__xludf.DUMMYFUNCTION("""COMPUTED_VALUE"""),"BARRANQUILLA")</f>
        <v>BARRANQUILLA</v>
      </c>
      <c r="E7060" s="15" t="str">
        <f>IFERROR(__xludf.DUMMYFUNCTION("""COMPUTED_VALUE"""),"Yelii")</f>
        <v>Yelii</v>
      </c>
      <c r="F7060" s="17" t="str">
        <f>IFERROR(__xludf.DUMMYFUNCTION("""COMPUTED_VALUE"""),"Carrera 7D bis # 129-40 / Apartamento 508 / Edificio Valsesia")</f>
        <v>Carrera 7D bis # 129-40 / Apartamento 508 / Edificio Valsesia</v>
      </c>
      <c r="G7060" s="15" t="str">
        <f>IFERROR(__xludf.DUMMYFUNCTION("""COMPUTED_VALUE"""),"Juliana Osorio")</f>
        <v>Juliana Osorio</v>
      </c>
      <c r="H7060" s="16">
        <f>IFERROR(__xludf.DUMMYFUNCTION("""COMPUTED_VALUE"""),15737.0)</f>
        <v>15737</v>
      </c>
      <c r="I7060" s="18">
        <f>IFERROR(__xludf.DUMMYFUNCTION("""COMPUTED_VALUE"""),15.0)</f>
        <v>15</v>
      </c>
      <c r="J7060" s="18">
        <f>IFERROR(__xludf.DUMMYFUNCTION("""COMPUTED_VALUE"""),35.0)</f>
        <v>35</v>
      </c>
      <c r="K7060" s="18">
        <f>IFERROR(__xludf.DUMMYFUNCTION("""COMPUTED_VALUE"""),30.0)</f>
        <v>30</v>
      </c>
      <c r="L7060" s="17">
        <f>IFERROR(__xludf.DUMMYFUNCTION("""COMPUTED_VALUE"""),3.212645523E9)</f>
        <v>3212645523</v>
      </c>
      <c r="M7060" s="17"/>
      <c r="N7060" s="17"/>
      <c r="O7060" s="17"/>
      <c r="P7060" s="17" t="b">
        <f>IFERROR(__xludf.DUMMYFUNCTION("""COMPUTED_VALUE"""),TRUE)</f>
        <v>1</v>
      </c>
      <c r="Q7060" s="20">
        <f>IFERROR(__xludf.DUMMYFUNCTION("""COMPUTED_VALUE"""),45202.75719780092)</f>
        <v>45202.7572</v>
      </c>
      <c r="R7060" s="22" t="str">
        <f>IFERROR(__xludf.DUMMYFUNCTION("""COMPUTED_VALUE"""),"")</f>
        <v/>
      </c>
    </row>
    <row r="7061">
      <c r="A7061" s="17" t="str">
        <f>IFERROR(__xludf.DUMMYFUNCTION("""COMPUTED_VALUE"""),"")</f>
        <v/>
      </c>
      <c r="B7061" s="17" t="str">
        <f>IFERROR(__xludf.DUMMYFUNCTION("""COMPUTED_VALUE"""),"")</f>
        <v/>
      </c>
      <c r="C7061" s="17" t="str">
        <f>IFERROR(__xludf.DUMMYFUNCTION("""COMPUTED_VALUE"""),"")</f>
        <v/>
      </c>
      <c r="D7061" s="17" t="str">
        <f>IFERROR(__xludf.DUMMYFUNCTION("""COMPUTED_VALUE"""),"")</f>
        <v/>
      </c>
      <c r="E7061" s="17" t="str">
        <f>IFERROR(__xludf.DUMMYFUNCTION("""COMPUTED_VALUE"""),"")</f>
        <v/>
      </c>
      <c r="F7061" s="17" t="str">
        <f>IFERROR(__xludf.DUMMYFUNCTION("""COMPUTED_VALUE"""),"")</f>
        <v/>
      </c>
      <c r="G7061" s="17" t="str">
        <f>IFERROR(__xludf.DUMMYFUNCTION("""COMPUTED_VALUE"""),"")</f>
        <v/>
      </c>
      <c r="H7061" s="17" t="str">
        <f>IFERROR(__xludf.DUMMYFUNCTION("""COMPUTED_VALUE"""),"")</f>
        <v/>
      </c>
      <c r="I7061" s="17" t="str">
        <f>IFERROR(__xludf.DUMMYFUNCTION("""COMPUTED_VALUE"""),"")</f>
        <v/>
      </c>
      <c r="J7061" s="17" t="str">
        <f>IFERROR(__xludf.DUMMYFUNCTION("""COMPUTED_VALUE"""),"")</f>
        <v/>
      </c>
      <c r="K7061" s="17" t="str">
        <f>IFERROR(__xludf.DUMMYFUNCTION("""COMPUTED_VALUE"""),"")</f>
        <v/>
      </c>
      <c r="L7061" s="17" t="str">
        <f>IFERROR(__xludf.DUMMYFUNCTION("""COMPUTED_VALUE"""),"")</f>
        <v/>
      </c>
      <c r="M7061" s="17" t="str">
        <f>IFERROR(__xludf.DUMMYFUNCTION("""COMPUTED_VALUE"""),"")</f>
        <v/>
      </c>
      <c r="N7061" s="17" t="str">
        <f>IFERROR(__xludf.DUMMYFUNCTION("""COMPUTED_VALUE"""),"")</f>
        <v/>
      </c>
      <c r="O7061" s="17" t="str">
        <f>IFERROR(__xludf.DUMMYFUNCTION("""COMPUTED_VALUE"""),"")</f>
        <v/>
      </c>
      <c r="P7061" s="17" t="str">
        <f>IFERROR(__xludf.DUMMYFUNCTION("""COMPUTED_VALUE"""),"")</f>
        <v/>
      </c>
      <c r="Q7061" s="17" t="str">
        <f>IFERROR(__xludf.DUMMYFUNCTION("""COMPUTED_VALUE"""),"")</f>
        <v/>
      </c>
      <c r="R7061" s="17" t="str">
        <f>IFERROR(__xludf.DUMMYFUNCTION("""COMPUTED_VALUE"""),"")</f>
        <v/>
      </c>
    </row>
    <row r="7062">
      <c r="A7062" s="15">
        <f>IFERROR(__xludf.DUMMYFUNCTION("""COMPUTED_VALUE"""),45201.0)</f>
        <v>45201</v>
      </c>
      <c r="B7062" s="16" t="str">
        <f>IFERROR(__xludf.DUMMYFUNCTION("""COMPUTED_VALUE"""),"Santiago Garces Restrepo")</f>
        <v>Santiago Garces Restrepo</v>
      </c>
      <c r="C7062" s="15" t="str">
        <f>IFERROR(__xludf.DUMMYFUNCTION("""COMPUTED_VALUE"""),"BOGOTÁ")</f>
        <v>BOGOTÁ</v>
      </c>
      <c r="D7062" s="15" t="str">
        <f>IFERROR(__xludf.DUMMYFUNCTION("""COMPUTED_VALUE"""),"BUCARAMANGA")</f>
        <v>BUCARAMANGA</v>
      </c>
      <c r="E7062" s="15" t="str">
        <f>IFERROR(__xludf.DUMMYFUNCTION("""COMPUTED_VALUE"""),"Yo Como Solito")</f>
        <v>Yo Como Solito</v>
      </c>
      <c r="F7062" s="17" t="str">
        <f>IFERROR(__xludf.DUMMYFUNCTION("""COMPUTED_VALUE"""),"CARRERA 45A #128-62 / CARRERA 45A #128-62 / CARRERA 45A #128-62")</f>
        <v>CARRERA 45A #128-62 / CARRERA 45A #128-62 / CARRERA 45A #128-62</v>
      </c>
      <c r="G7062" s="15" t="str">
        <f>IFERROR(__xludf.DUMMYFUNCTION("""COMPUTED_VALUE"""),"LINA PAOLA RAMIREZ")</f>
        <v>LINA PAOLA RAMIREZ</v>
      </c>
      <c r="H7062" s="16">
        <f>IFERROR(__xludf.DUMMYFUNCTION("""COMPUTED_VALUE"""),15764.0)</f>
        <v>15764</v>
      </c>
      <c r="I7062" s="18">
        <f>IFERROR(__xludf.DUMMYFUNCTION("""COMPUTED_VALUE"""),35.0)</f>
        <v>35</v>
      </c>
      <c r="J7062" s="18">
        <f>IFERROR(__xludf.DUMMYFUNCTION("""COMPUTED_VALUE"""),25.0)</f>
        <v>25</v>
      </c>
      <c r="K7062" s="18">
        <f>IFERROR(__xludf.DUMMYFUNCTION("""COMPUTED_VALUE"""),36.0)</f>
        <v>36</v>
      </c>
      <c r="L7062" s="17">
        <f>IFERROR(__xludf.DUMMYFUNCTION("""COMPUTED_VALUE"""),3.12327346E9)</f>
        <v>3123273460</v>
      </c>
      <c r="M7062" s="17"/>
      <c r="N7062" s="17"/>
      <c r="O7062" s="17"/>
      <c r="P7062" s="17" t="b">
        <f>IFERROR(__xludf.DUMMYFUNCTION("""COMPUTED_VALUE"""),TRUE)</f>
        <v>1</v>
      </c>
      <c r="Q7062" s="20">
        <f>IFERROR(__xludf.DUMMYFUNCTION("""COMPUTED_VALUE"""),45202.75719780092)</f>
        <v>45202.7572</v>
      </c>
      <c r="R7062" s="21" t="str">
        <f>IFERROR(__xludf.DUMMYFUNCTION("""COMPUTED_VALUE"""),"https://drive.google.com/file/d/1Q_oYvEPAAmaOpPKgE3Y0DwekEmuQTHPo/view?usp=drivesdk")</f>
        <v>https://drive.google.com/file/d/1Q_oYvEPAAmaOpPKgE3Y0DwekEmuQTHPo/view?usp=drivesdk</v>
      </c>
    </row>
    <row r="7063">
      <c r="A7063" s="15">
        <f>IFERROR(__xludf.DUMMYFUNCTION("""COMPUTED_VALUE"""),45201.0)</f>
        <v>45201</v>
      </c>
      <c r="B7063" s="16" t="str">
        <f>IFERROR(__xludf.DUMMYFUNCTION("""COMPUTED_VALUE"""),"Santiago Garces Restrepo")</f>
        <v>Santiago Garces Restrepo</v>
      </c>
      <c r="C7063" s="15" t="str">
        <f>IFERROR(__xludf.DUMMYFUNCTION("""COMPUTED_VALUE"""),"BOGOTÁ")</f>
        <v>BOGOTÁ</v>
      </c>
      <c r="D7063" s="15" t="str">
        <f>IFERROR(__xludf.DUMMYFUNCTION("""COMPUTED_VALUE"""),"BUCARAMANGA")</f>
        <v>BUCARAMANGA</v>
      </c>
      <c r="E7063" s="15" t="str">
        <f>IFERROR(__xludf.DUMMYFUNCTION("""COMPUTED_VALUE"""),"Yo Como Solito")</f>
        <v>Yo Como Solito</v>
      </c>
      <c r="F7063" s="17" t="str">
        <f>IFERROR(__xludf.DUMMYFUNCTION("""COMPUTED_VALUE"""),"CARRERA 45A #128-62 / CARRERA 45A #128-62 / CARRERA 45A #128-62")</f>
        <v>CARRERA 45A #128-62 / CARRERA 45A #128-62 / CARRERA 45A #128-62</v>
      </c>
      <c r="G7063" s="15" t="str">
        <f>IFERROR(__xludf.DUMMYFUNCTION("""COMPUTED_VALUE"""),"LINA PAOLA RAMIREZ")</f>
        <v>LINA PAOLA RAMIREZ</v>
      </c>
      <c r="H7063" s="16">
        <f>IFERROR(__xludf.DUMMYFUNCTION("""COMPUTED_VALUE"""),15765.0)</f>
        <v>15765</v>
      </c>
      <c r="I7063" s="18">
        <f>IFERROR(__xludf.DUMMYFUNCTION("""COMPUTED_VALUE"""),38.0)</f>
        <v>38</v>
      </c>
      <c r="J7063" s="18">
        <f>IFERROR(__xludf.DUMMYFUNCTION("""COMPUTED_VALUE"""),27.0)</f>
        <v>27</v>
      </c>
      <c r="K7063" s="18">
        <f>IFERROR(__xludf.DUMMYFUNCTION("""COMPUTED_VALUE"""),29.0)</f>
        <v>29</v>
      </c>
      <c r="L7063" s="17">
        <f>IFERROR(__xludf.DUMMYFUNCTION("""COMPUTED_VALUE"""),3.12327346E9)</f>
        <v>3123273460</v>
      </c>
      <c r="M7063" s="17"/>
      <c r="N7063" s="17"/>
      <c r="O7063" s="17"/>
      <c r="P7063" s="17" t="b">
        <f>IFERROR(__xludf.DUMMYFUNCTION("""COMPUTED_VALUE"""),TRUE)</f>
        <v>1</v>
      </c>
      <c r="Q7063" s="20">
        <f>IFERROR(__xludf.DUMMYFUNCTION("""COMPUTED_VALUE"""),45202.75719780092)</f>
        <v>45202.7572</v>
      </c>
      <c r="R7063" s="22" t="str">
        <f>IFERROR(__xludf.DUMMYFUNCTION("""COMPUTED_VALUE"""),"")</f>
        <v/>
      </c>
    </row>
    <row r="7064">
      <c r="A7064" s="17" t="str">
        <f>IFERROR(__xludf.DUMMYFUNCTION("""COMPUTED_VALUE"""),"")</f>
        <v/>
      </c>
      <c r="B7064" s="17" t="str">
        <f>IFERROR(__xludf.DUMMYFUNCTION("""COMPUTED_VALUE"""),"")</f>
        <v/>
      </c>
      <c r="C7064" s="17" t="str">
        <f>IFERROR(__xludf.DUMMYFUNCTION("""COMPUTED_VALUE"""),"")</f>
        <v/>
      </c>
      <c r="D7064" s="17" t="str">
        <f>IFERROR(__xludf.DUMMYFUNCTION("""COMPUTED_VALUE"""),"")</f>
        <v/>
      </c>
      <c r="E7064" s="17" t="str">
        <f>IFERROR(__xludf.DUMMYFUNCTION("""COMPUTED_VALUE"""),"")</f>
        <v/>
      </c>
      <c r="F7064" s="17" t="str">
        <f>IFERROR(__xludf.DUMMYFUNCTION("""COMPUTED_VALUE"""),"")</f>
        <v/>
      </c>
      <c r="G7064" s="17" t="str">
        <f>IFERROR(__xludf.DUMMYFUNCTION("""COMPUTED_VALUE"""),"")</f>
        <v/>
      </c>
      <c r="H7064" s="17" t="str">
        <f>IFERROR(__xludf.DUMMYFUNCTION("""COMPUTED_VALUE"""),"")</f>
        <v/>
      </c>
      <c r="I7064" s="17" t="str">
        <f>IFERROR(__xludf.DUMMYFUNCTION("""COMPUTED_VALUE"""),"")</f>
        <v/>
      </c>
      <c r="J7064" s="17" t="str">
        <f>IFERROR(__xludf.DUMMYFUNCTION("""COMPUTED_VALUE"""),"")</f>
        <v/>
      </c>
      <c r="K7064" s="17" t="str">
        <f>IFERROR(__xludf.DUMMYFUNCTION("""COMPUTED_VALUE"""),"")</f>
        <v/>
      </c>
      <c r="L7064" s="17" t="str">
        <f>IFERROR(__xludf.DUMMYFUNCTION("""COMPUTED_VALUE"""),"")</f>
        <v/>
      </c>
      <c r="M7064" s="17" t="str">
        <f>IFERROR(__xludf.DUMMYFUNCTION("""COMPUTED_VALUE"""),"")</f>
        <v/>
      </c>
      <c r="N7064" s="17" t="str">
        <f>IFERROR(__xludf.DUMMYFUNCTION("""COMPUTED_VALUE"""),"")</f>
        <v/>
      </c>
      <c r="O7064" s="17" t="str">
        <f>IFERROR(__xludf.DUMMYFUNCTION("""COMPUTED_VALUE"""),"")</f>
        <v/>
      </c>
      <c r="P7064" s="17" t="str">
        <f>IFERROR(__xludf.DUMMYFUNCTION("""COMPUTED_VALUE"""),"")</f>
        <v/>
      </c>
      <c r="Q7064" s="17" t="str">
        <f>IFERROR(__xludf.DUMMYFUNCTION("""COMPUTED_VALUE"""),"")</f>
        <v/>
      </c>
      <c r="R7064" s="17" t="str">
        <f>IFERROR(__xludf.DUMMYFUNCTION("""COMPUTED_VALUE"""),"")</f>
        <v/>
      </c>
    </row>
    <row r="7065">
      <c r="A7065" s="15">
        <f>IFERROR(__xludf.DUMMYFUNCTION("""COMPUTED_VALUE"""),45202.0)</f>
        <v>45202</v>
      </c>
      <c r="B7065" s="17"/>
      <c r="C7065" s="15" t="str">
        <f>IFERROR(__xludf.DUMMYFUNCTION("""COMPUTED_VALUE"""),"MEDELLÍN")</f>
        <v>MEDELLÍN</v>
      </c>
      <c r="D7065" s="15" t="str">
        <f>IFERROR(__xludf.DUMMYFUNCTION("""COMPUTED_VALUE"""),"BOGOTÁ")</f>
        <v>BOGOTÁ</v>
      </c>
      <c r="E7065" s="15" t="str">
        <f>IFERROR(__xludf.DUMMYFUNCTION("""COMPUTED_VALUE"""),"Evamazzita")</f>
        <v>Evamazzita</v>
      </c>
      <c r="F7065" s="17" t="str">
        <f>IFERROR(__xludf.DUMMYFUNCTION("""COMPUTED_VALUE"""),"Calle 54 #81-55 / Acuarela del parque/Apto1506")</f>
        <v>Calle 54 #81-55 / Acuarela del parque/Apto1506</v>
      </c>
      <c r="G7065" s="15" t="str">
        <f>IFERROR(__xludf.DUMMYFUNCTION("""COMPUTED_VALUE"""),"NATALIA LONDOÑO-MEDELLIN")</f>
        <v>NATALIA LONDOÑO-MEDELLIN</v>
      </c>
      <c r="H7065" s="16">
        <f>IFERROR(__xludf.DUMMYFUNCTION("""COMPUTED_VALUE"""),15858.0)</f>
        <v>15858</v>
      </c>
      <c r="I7065" s="18">
        <f>IFERROR(__xludf.DUMMYFUNCTION("""COMPUTED_VALUE"""),1.0)</f>
        <v>1</v>
      </c>
      <c r="J7065" s="18">
        <f>IFERROR(__xludf.DUMMYFUNCTION("""COMPUTED_VALUE"""),1.0)</f>
        <v>1</v>
      </c>
      <c r="K7065" s="18">
        <f>IFERROR(__xludf.DUMMYFUNCTION("""COMPUTED_VALUE"""),1.0)</f>
        <v>1</v>
      </c>
      <c r="L7065" s="17">
        <f>IFERROR(__xludf.DUMMYFUNCTION("""COMPUTED_VALUE"""),3.148829021E9)</f>
        <v>3148829021</v>
      </c>
      <c r="M7065" s="17"/>
      <c r="N7065" s="17"/>
      <c r="O7065" s="17"/>
      <c r="P7065" s="17" t="b">
        <f>IFERROR(__xludf.DUMMYFUNCTION("""COMPUTED_VALUE"""),TRUE)</f>
        <v>1</v>
      </c>
      <c r="Q7065" s="20">
        <f>IFERROR(__xludf.DUMMYFUNCTION("""COMPUTED_VALUE"""),45202.75719780092)</f>
        <v>45202.7572</v>
      </c>
      <c r="R7065" s="21" t="str">
        <f>IFERROR(__xludf.DUMMYFUNCTION("""COMPUTED_VALUE"""),"https://drive.google.com/file/d/1R_6VOUi-pw9nau0iyIS4tiqpdFNwpqjt/view?usp=drivesdk")</f>
        <v>https://drive.google.com/file/d/1R_6VOUi-pw9nau0iyIS4tiqpdFNwpqjt/view?usp=drivesdk</v>
      </c>
    </row>
    <row r="7066">
      <c r="A7066" s="15">
        <f>IFERROR(__xludf.DUMMYFUNCTION("""COMPUTED_VALUE"""),45202.0)</f>
        <v>45202</v>
      </c>
      <c r="B7066" s="17"/>
      <c r="C7066" s="15" t="str">
        <f>IFERROR(__xludf.DUMMYFUNCTION("""COMPUTED_VALUE"""),"MEDELLÍN")</f>
        <v>MEDELLÍN</v>
      </c>
      <c r="D7066" s="15" t="str">
        <f>IFERROR(__xludf.DUMMYFUNCTION("""COMPUTED_VALUE"""),"BOGOTÁ")</f>
        <v>BOGOTÁ</v>
      </c>
      <c r="E7066" s="15" t="str">
        <f>IFERROR(__xludf.DUMMYFUNCTION("""COMPUTED_VALUE"""),"Orso")</f>
        <v>Orso</v>
      </c>
      <c r="F7066" s="17" t="str">
        <f>IFERROR(__xludf.DUMMYFUNCTION("""COMPUTED_VALUE"""),"Calle 01 # 29-354, Medellin. / RAPPI TURBO MEDELLÍN / RAPPI TURBO MEDELLÍN")</f>
        <v>Calle 01 # 29-354, Medellin. / RAPPI TURBO MEDELLÍN / RAPPI TURBO MEDELLÍN</v>
      </c>
      <c r="G7066" s="15" t="str">
        <f>IFERROR(__xludf.DUMMYFUNCTION("""COMPUTED_VALUE"""),"Carolina Velez")</f>
        <v>Carolina Velez</v>
      </c>
      <c r="H7066" s="16">
        <f>IFERROR(__xludf.DUMMYFUNCTION("""COMPUTED_VALUE"""),15725.0)</f>
        <v>15725</v>
      </c>
      <c r="I7066" s="18">
        <f>IFERROR(__xludf.DUMMYFUNCTION("""COMPUTED_VALUE"""),1.0)</f>
        <v>1</v>
      </c>
      <c r="J7066" s="18">
        <f>IFERROR(__xludf.DUMMYFUNCTION("""COMPUTED_VALUE"""),1.0)</f>
        <v>1</v>
      </c>
      <c r="K7066" s="18">
        <f>IFERROR(__xludf.DUMMYFUNCTION("""COMPUTED_VALUE"""),1.0)</f>
        <v>1</v>
      </c>
      <c r="L7066" s="17">
        <f>IFERROR(__xludf.DUMMYFUNCTION("""COMPUTED_VALUE"""),3.012888007E9)</f>
        <v>3012888007</v>
      </c>
      <c r="M7066" s="17"/>
      <c r="N7066" s="17"/>
      <c r="O7066" s="17"/>
      <c r="P7066" s="17" t="b">
        <f>IFERROR(__xludf.DUMMYFUNCTION("""COMPUTED_VALUE"""),FALSE)</f>
        <v>0</v>
      </c>
      <c r="Q7066" s="20" t="str">
        <f>IFERROR(__xludf.DUMMYFUNCTION("""COMPUTED_VALUE"""),"")</f>
        <v/>
      </c>
      <c r="R7066" s="22" t="str">
        <f>IFERROR(__xludf.DUMMYFUNCTION("""COMPUTED_VALUE"""),"")</f>
        <v/>
      </c>
    </row>
    <row r="7067">
      <c r="A7067" s="17" t="str">
        <f>IFERROR(__xludf.DUMMYFUNCTION("""COMPUTED_VALUE"""),"")</f>
        <v/>
      </c>
      <c r="B7067" s="17" t="str">
        <f>IFERROR(__xludf.DUMMYFUNCTION("""COMPUTED_VALUE"""),"")</f>
        <v/>
      </c>
      <c r="C7067" s="17" t="str">
        <f>IFERROR(__xludf.DUMMYFUNCTION("""COMPUTED_VALUE"""),"")</f>
        <v/>
      </c>
      <c r="D7067" s="17" t="str">
        <f>IFERROR(__xludf.DUMMYFUNCTION("""COMPUTED_VALUE"""),"")</f>
        <v/>
      </c>
      <c r="E7067" s="17" t="str">
        <f>IFERROR(__xludf.DUMMYFUNCTION("""COMPUTED_VALUE"""),"")</f>
        <v/>
      </c>
      <c r="F7067" s="17" t="str">
        <f>IFERROR(__xludf.DUMMYFUNCTION("""COMPUTED_VALUE"""),"")</f>
        <v/>
      </c>
      <c r="G7067" s="17" t="str">
        <f>IFERROR(__xludf.DUMMYFUNCTION("""COMPUTED_VALUE"""),"")</f>
        <v/>
      </c>
      <c r="H7067" s="17" t="str">
        <f>IFERROR(__xludf.DUMMYFUNCTION("""COMPUTED_VALUE"""),"")</f>
        <v/>
      </c>
      <c r="I7067" s="17" t="str">
        <f>IFERROR(__xludf.DUMMYFUNCTION("""COMPUTED_VALUE"""),"")</f>
        <v/>
      </c>
      <c r="J7067" s="17" t="str">
        <f>IFERROR(__xludf.DUMMYFUNCTION("""COMPUTED_VALUE"""),"")</f>
        <v/>
      </c>
      <c r="K7067" s="17" t="str">
        <f>IFERROR(__xludf.DUMMYFUNCTION("""COMPUTED_VALUE"""),"")</f>
        <v/>
      </c>
      <c r="L7067" s="17" t="str">
        <f>IFERROR(__xludf.DUMMYFUNCTION("""COMPUTED_VALUE"""),"")</f>
        <v/>
      </c>
      <c r="M7067" s="17" t="str">
        <f>IFERROR(__xludf.DUMMYFUNCTION("""COMPUTED_VALUE"""),"")</f>
        <v/>
      </c>
      <c r="N7067" s="17" t="str">
        <f>IFERROR(__xludf.DUMMYFUNCTION("""COMPUTED_VALUE"""),"")</f>
        <v/>
      </c>
      <c r="O7067" s="17" t="str">
        <f>IFERROR(__xludf.DUMMYFUNCTION("""COMPUTED_VALUE"""),"")</f>
        <v/>
      </c>
      <c r="P7067" s="17" t="str">
        <f>IFERROR(__xludf.DUMMYFUNCTION("""COMPUTED_VALUE"""),"")</f>
        <v/>
      </c>
      <c r="Q7067" s="17" t="str">
        <f>IFERROR(__xludf.DUMMYFUNCTION("""COMPUTED_VALUE"""),"")</f>
        <v/>
      </c>
      <c r="R7067" s="17" t="str">
        <f>IFERROR(__xludf.DUMMYFUNCTION("""COMPUTED_VALUE"""),"")</f>
        <v/>
      </c>
    </row>
    <row r="7068">
      <c r="A7068" s="15">
        <f>IFERROR(__xludf.DUMMYFUNCTION("""COMPUTED_VALUE"""),45202.0)</f>
        <v>45202</v>
      </c>
      <c r="B7068" s="16" t="str">
        <f>IFERROR(__xludf.DUMMYFUNCTION("""COMPUTED_VALUE"""),"Carlos Andres Pirachican Numpaque (Mayerli)")</f>
        <v>Carlos Andres Pirachican Numpaque (Mayerli)</v>
      </c>
      <c r="C7068" s="15" t="str">
        <f>IFERROR(__xludf.DUMMYFUNCTION("""COMPUTED_VALUE"""),"MEDELLÍN")</f>
        <v>MEDELLÍN</v>
      </c>
      <c r="D7068" s="15" t="str">
        <f>IFERROR(__xludf.DUMMYFUNCTION("""COMPUTED_VALUE"""),"BOGOTÁ")</f>
        <v>BOGOTÁ</v>
      </c>
      <c r="E7068" s="15" t="str">
        <f>IFERROR(__xludf.DUMMYFUNCTION("""COMPUTED_VALUE"""),"Viiva Fermentados")</f>
        <v>Viiva Fermentados</v>
      </c>
      <c r="F7068" s="17" t="str">
        <f>IFERROR(__xludf.DUMMYFUNCTION("""COMPUTED_VALUE"""),"CR 42 # 08 -39 / LC PISO 1  / poblado")</f>
        <v>CR 42 # 08 -39 / LC PISO 1  / poblado</v>
      </c>
      <c r="G7068" s="15" t="str">
        <f>IFERROR(__xludf.DUMMYFUNCTION("""COMPUTED_VALUE"""),"Julia Correa Ochoa La Real Vegetal")</f>
        <v>Julia Correa Ochoa La Real Vegetal</v>
      </c>
      <c r="H7068" s="16">
        <f>IFERROR(__xludf.DUMMYFUNCTION("""COMPUTED_VALUE"""),15845.0)</f>
        <v>15845</v>
      </c>
      <c r="I7068" s="18">
        <f>IFERROR(__xludf.DUMMYFUNCTION("""COMPUTED_VALUE"""),28.0)</f>
        <v>28</v>
      </c>
      <c r="J7068" s="18">
        <f>IFERROR(__xludf.DUMMYFUNCTION("""COMPUTED_VALUE"""),35.0)</f>
        <v>35</v>
      </c>
      <c r="K7068" s="18">
        <f>IFERROR(__xludf.DUMMYFUNCTION("""COMPUTED_VALUE"""),27.0)</f>
        <v>27</v>
      </c>
      <c r="L7068" s="17">
        <f>IFERROR(__xludf.DUMMYFUNCTION("""COMPUTED_VALUE"""),3.116345472E9)</f>
        <v>3116345472</v>
      </c>
      <c r="M7068" s="17"/>
      <c r="N7068" s="17"/>
      <c r="O7068" s="17"/>
      <c r="P7068" s="17" t="b">
        <f>IFERROR(__xludf.DUMMYFUNCTION("""COMPUTED_VALUE"""),TRUE)</f>
        <v>1</v>
      </c>
      <c r="Q7068" s="20">
        <f>IFERROR(__xludf.DUMMYFUNCTION("""COMPUTED_VALUE"""),45202.757197812505)</f>
        <v>45202.7572</v>
      </c>
      <c r="R7068" s="22" t="str">
        <f>IFERROR(__xludf.DUMMYFUNCTION("""COMPUTED_VALUE"""),"")</f>
        <v/>
      </c>
    </row>
    <row r="7069">
      <c r="A7069" s="15">
        <f>IFERROR(__xludf.DUMMYFUNCTION("""COMPUTED_VALUE"""),45202.0)</f>
        <v>45202</v>
      </c>
      <c r="B7069" s="16" t="str">
        <f>IFERROR(__xludf.DUMMYFUNCTION("""COMPUTED_VALUE"""),"Carlos Andres Pirachican Numpaque (Mayerli)")</f>
        <v>Carlos Andres Pirachican Numpaque (Mayerli)</v>
      </c>
      <c r="C7069" s="15" t="str">
        <f>IFERROR(__xludf.DUMMYFUNCTION("""COMPUTED_VALUE"""),"SABANETA")</f>
        <v>SABANETA</v>
      </c>
      <c r="D7069" s="15" t="str">
        <f>IFERROR(__xludf.DUMMYFUNCTION("""COMPUTED_VALUE"""),"BOGOTÁ")</f>
        <v>BOGOTÁ</v>
      </c>
      <c r="E7069" s="15" t="str">
        <f>IFERROR(__xludf.DUMMYFUNCTION("""COMPUTED_VALUE"""),"Evamazzita")</f>
        <v>Evamazzita</v>
      </c>
      <c r="F7069" s="17" t="str">
        <f>IFERROR(__xludf.DUMMYFUNCTION("""COMPUTED_VALUE"""),"Cr 35 # 65 Sur 135 / EDIFICIO DUBLIN apto 2804 Las lomitas")</f>
        <v>Cr 35 # 65 Sur 135 / EDIFICIO DUBLIN apto 2804 Las lomitas</v>
      </c>
      <c r="G7069" s="15" t="str">
        <f>IFERROR(__xludf.DUMMYFUNCTION("""COMPUTED_VALUE"""),"VANESSA BEDOYA")</f>
        <v>VANESSA BEDOYA</v>
      </c>
      <c r="H7069" s="16">
        <f>IFERROR(__xludf.DUMMYFUNCTION("""COMPUTED_VALUE"""),15857.0)</f>
        <v>15857</v>
      </c>
      <c r="I7069" s="18">
        <f>IFERROR(__xludf.DUMMYFUNCTION("""COMPUTED_VALUE"""),1.0)</f>
        <v>1</v>
      </c>
      <c r="J7069" s="18">
        <f>IFERROR(__xludf.DUMMYFUNCTION("""COMPUTED_VALUE"""),1.0)</f>
        <v>1</v>
      </c>
      <c r="K7069" s="18">
        <f>IFERROR(__xludf.DUMMYFUNCTION("""COMPUTED_VALUE"""),1.0)</f>
        <v>1</v>
      </c>
      <c r="L7069" s="17">
        <f>IFERROR(__xludf.DUMMYFUNCTION("""COMPUTED_VALUE"""),3.1847212E9)</f>
        <v>3184721200</v>
      </c>
      <c r="M7069" s="17"/>
      <c r="N7069" s="17"/>
      <c r="O7069" s="17"/>
      <c r="P7069" s="17" t="b">
        <f>IFERROR(__xludf.DUMMYFUNCTION("""COMPUTED_VALUE"""),FALSE)</f>
        <v>0</v>
      </c>
      <c r="Q7069" s="20" t="str">
        <f>IFERROR(__xludf.DUMMYFUNCTION("""COMPUTED_VALUE"""),"")</f>
        <v/>
      </c>
      <c r="R7069" s="21" t="str">
        <f>IFERROR(__xludf.DUMMYFUNCTION("""COMPUTED_VALUE"""),"https://drive.google.com/file/d/1yuLRoYY-0N0XAUb_TR50QJIhxijhVXdO/view?usp=drivesdk")</f>
        <v>https://drive.google.com/file/d/1yuLRoYY-0N0XAUb_TR50QJIhxijhVXdO/view?usp=drivesdk</v>
      </c>
    </row>
    <row r="7070">
      <c r="A7070" s="17" t="str">
        <f>IFERROR(__xludf.DUMMYFUNCTION("""COMPUTED_VALUE"""),"")</f>
        <v/>
      </c>
      <c r="B7070" s="17" t="str">
        <f>IFERROR(__xludf.DUMMYFUNCTION("""COMPUTED_VALUE"""),"")</f>
        <v/>
      </c>
      <c r="C7070" s="17" t="str">
        <f>IFERROR(__xludf.DUMMYFUNCTION("""COMPUTED_VALUE"""),"")</f>
        <v/>
      </c>
      <c r="D7070" s="17" t="str">
        <f>IFERROR(__xludf.DUMMYFUNCTION("""COMPUTED_VALUE"""),"")</f>
        <v/>
      </c>
      <c r="E7070" s="17" t="str">
        <f>IFERROR(__xludf.DUMMYFUNCTION("""COMPUTED_VALUE"""),"")</f>
        <v/>
      </c>
      <c r="F7070" s="17" t="str">
        <f>IFERROR(__xludf.DUMMYFUNCTION("""COMPUTED_VALUE"""),"")</f>
        <v/>
      </c>
      <c r="G7070" s="17" t="str">
        <f>IFERROR(__xludf.DUMMYFUNCTION("""COMPUTED_VALUE"""),"")</f>
        <v/>
      </c>
      <c r="H7070" s="17" t="str">
        <f>IFERROR(__xludf.DUMMYFUNCTION("""COMPUTED_VALUE"""),"")</f>
        <v/>
      </c>
      <c r="I7070" s="17" t="str">
        <f>IFERROR(__xludf.DUMMYFUNCTION("""COMPUTED_VALUE"""),"")</f>
        <v/>
      </c>
      <c r="J7070" s="17" t="str">
        <f>IFERROR(__xludf.DUMMYFUNCTION("""COMPUTED_VALUE"""),"")</f>
        <v/>
      </c>
      <c r="K7070" s="17" t="str">
        <f>IFERROR(__xludf.DUMMYFUNCTION("""COMPUTED_VALUE"""),"")</f>
        <v/>
      </c>
      <c r="L7070" s="17" t="str">
        <f>IFERROR(__xludf.DUMMYFUNCTION("""COMPUTED_VALUE"""),"")</f>
        <v/>
      </c>
      <c r="M7070" s="17" t="str">
        <f>IFERROR(__xludf.DUMMYFUNCTION("""COMPUTED_VALUE"""),"")</f>
        <v/>
      </c>
      <c r="N7070" s="17" t="str">
        <f>IFERROR(__xludf.DUMMYFUNCTION("""COMPUTED_VALUE"""),"")</f>
        <v/>
      </c>
      <c r="O7070" s="17" t="str">
        <f>IFERROR(__xludf.DUMMYFUNCTION("""COMPUTED_VALUE"""),"")</f>
        <v/>
      </c>
      <c r="P7070" s="17" t="str">
        <f>IFERROR(__xludf.DUMMYFUNCTION("""COMPUTED_VALUE"""),"")</f>
        <v/>
      </c>
      <c r="Q7070" s="17" t="str">
        <f>IFERROR(__xludf.DUMMYFUNCTION("""COMPUTED_VALUE"""),"")</f>
        <v/>
      </c>
      <c r="R7070" s="17" t="str">
        <f>IFERROR(__xludf.DUMMYFUNCTION("""COMPUTED_VALUE"""),"")</f>
        <v/>
      </c>
    </row>
    <row r="7071">
      <c r="A7071" s="15">
        <f>IFERROR(__xludf.DUMMYFUNCTION("""COMPUTED_VALUE"""),45202.0)</f>
        <v>45202</v>
      </c>
      <c r="B7071" s="16" t="str">
        <f>IFERROR(__xludf.DUMMYFUNCTION("""COMPUTED_VALUE"""),"Deivi Alejandro Quintero Corrales")</f>
        <v>Deivi Alejandro Quintero Corrales</v>
      </c>
      <c r="C7071" s="15" t="str">
        <f>IFERROR(__xludf.DUMMYFUNCTION("""COMPUTED_VALUE"""),"ARMENIA")</f>
        <v>ARMENIA</v>
      </c>
      <c r="D7071" s="15" t="str">
        <f>IFERROR(__xludf.DUMMYFUNCTION("""COMPUTED_VALUE"""),"MEDELLÍN")</f>
        <v>MEDELLÍN</v>
      </c>
      <c r="E7071" s="15" t="str">
        <f>IFERROR(__xludf.DUMMYFUNCTION("""COMPUTED_VALUE"""),"Baby Chef")</f>
        <v>Baby Chef</v>
      </c>
      <c r="F7071" s="17" t="str">
        <f>IFERROR(__xludf.DUMMYFUNCTION("""COMPUTED_VALUE"""),"Calle 6 Norte #16A 44 Edificio Valparaiso apto 1102 Barrio los profesionales / ""Calle 6 Norte #16A 44 Edificio Valparaiso apto 1102 Barrio los profesionales"" / ""Calle 6 Norte #16A 44 Edificio Valparaiso apto 1102 Barrio los profesionales""")</f>
        <v>Calle 6 Norte #16A 44 Edificio Valparaiso apto 1102 Barrio los profesionales / "Calle 6 Norte #16A 44 Edificio Valparaiso apto 1102 Barrio los profesionales" / "Calle 6 Norte #16A 44 Edificio Valparaiso apto 1102 Barrio los profesionales"</v>
      </c>
      <c r="G7071" s="15" t="str">
        <f>IFERROR(__xludf.DUMMYFUNCTION("""COMPUTED_VALUE"""),"Leidy Echeverri")</f>
        <v>Leidy Echeverri</v>
      </c>
      <c r="H7071" s="16">
        <f>IFERROR(__xludf.DUMMYFUNCTION("""COMPUTED_VALUE"""),15881.0)</f>
        <v>15881</v>
      </c>
      <c r="I7071" s="18">
        <f>IFERROR(__xludf.DUMMYFUNCTION("""COMPUTED_VALUE"""),15.0)</f>
        <v>15</v>
      </c>
      <c r="J7071" s="18">
        <f>IFERROR(__xludf.DUMMYFUNCTION("""COMPUTED_VALUE"""),23.0)</f>
        <v>23</v>
      </c>
      <c r="K7071" s="18">
        <f>IFERROR(__xludf.DUMMYFUNCTION("""COMPUTED_VALUE"""),43.0)</f>
        <v>43</v>
      </c>
      <c r="L7071" s="17">
        <f>IFERROR(__xludf.DUMMYFUNCTION("""COMPUTED_VALUE"""),3.16575559E9)</f>
        <v>3165755590</v>
      </c>
      <c r="M7071" s="17"/>
      <c r="N7071" s="17"/>
      <c r="O7071" s="17"/>
      <c r="P7071" s="17" t="b">
        <f>IFERROR(__xludf.DUMMYFUNCTION("""COMPUTED_VALUE"""),TRUE)</f>
        <v>1</v>
      </c>
      <c r="Q7071" s="20">
        <f>IFERROR(__xludf.DUMMYFUNCTION("""COMPUTED_VALUE"""),45202.757197812505)</f>
        <v>45202.7572</v>
      </c>
      <c r="R7071" s="21" t="str">
        <f>IFERROR(__xludf.DUMMYFUNCTION("""COMPUTED_VALUE"""),"https://drive.google.com/file/d/1VhjM5UOY7tC91dPe8kbCEf1gHDPbXfDn/view?usp=drivesdk")</f>
        <v>https://drive.google.com/file/d/1VhjM5UOY7tC91dPe8kbCEf1gHDPbXfDn/view?usp=drivesdk</v>
      </c>
    </row>
    <row r="7072">
      <c r="A7072" s="15">
        <f>IFERROR(__xludf.DUMMYFUNCTION("""COMPUTED_VALUE"""),45202.0)</f>
        <v>45202</v>
      </c>
      <c r="B7072" s="16" t="str">
        <f>IFERROR(__xludf.DUMMYFUNCTION("""COMPUTED_VALUE"""),"Deivi Alejandro Quintero Corrales")</f>
        <v>Deivi Alejandro Quintero Corrales</v>
      </c>
      <c r="C7072" s="15" t="str">
        <f>IFERROR(__xludf.DUMMYFUNCTION("""COMPUTED_VALUE"""),"ARMENIA")</f>
        <v>ARMENIA</v>
      </c>
      <c r="D7072" s="15" t="str">
        <f>IFERROR(__xludf.DUMMYFUNCTION("""COMPUTED_VALUE"""),"MEDELLÍN")</f>
        <v>MEDELLÍN</v>
      </c>
      <c r="E7072" s="15" t="str">
        <f>IFERROR(__xludf.DUMMYFUNCTION("""COMPUTED_VALUE"""),"Videobase")</f>
        <v>Videobase</v>
      </c>
      <c r="F7072" s="17" t="str">
        <f>IFERROR(__xludf.DUMMYFUNCTION("""COMPUTED_VALUE"""),"Calle 11 norte 9-55 / Empresa La traviesa s.a.s  / NO tiene")</f>
        <v>Calle 11 norte 9-55 / Empresa La traviesa s.a.s  / NO tiene</v>
      </c>
      <c r="G7072" s="15" t="str">
        <f>IFERROR(__xludf.DUMMYFUNCTION("""COMPUTED_VALUE"""),"Duvan Cardona López")</f>
        <v>Duvan Cardona López</v>
      </c>
      <c r="H7072" s="16">
        <f>IFERROR(__xludf.DUMMYFUNCTION("""COMPUTED_VALUE"""),15831.0)</f>
        <v>15831</v>
      </c>
      <c r="I7072" s="18">
        <f>IFERROR(__xludf.DUMMYFUNCTION("""COMPUTED_VALUE"""),4.0)</f>
        <v>4</v>
      </c>
      <c r="J7072" s="18">
        <f>IFERROR(__xludf.DUMMYFUNCTION("""COMPUTED_VALUE"""),45065.0)</f>
        <v>45065</v>
      </c>
      <c r="K7072" s="18">
        <f>IFERROR(__xludf.DUMMYFUNCTION("""COMPUTED_VALUE"""),45067.0)</f>
        <v>45067</v>
      </c>
      <c r="L7072" s="17">
        <f>IFERROR(__xludf.DUMMYFUNCTION("""COMPUTED_VALUE"""),3.14814449E9)</f>
        <v>3148144490</v>
      </c>
      <c r="M7072" s="17"/>
      <c r="N7072" s="17"/>
      <c r="O7072" s="17"/>
      <c r="P7072" s="17" t="b">
        <f>IFERROR(__xludf.DUMMYFUNCTION("""COMPUTED_VALUE"""),TRUE)</f>
        <v>1</v>
      </c>
      <c r="Q7072" s="20">
        <f>IFERROR(__xludf.DUMMYFUNCTION("""COMPUTED_VALUE"""),45202.757197812505)</f>
        <v>45202.7572</v>
      </c>
      <c r="R7072" s="21" t="str">
        <f>IFERROR(__xludf.DUMMYFUNCTION("""COMPUTED_VALUE"""),"https://drive.google.com/file/d/1x7zDD68Luf3wROIREpHRudpIymQ-iEyT/view?usp=drivesdk")</f>
        <v>https://drive.google.com/file/d/1x7zDD68Luf3wROIREpHRudpIymQ-iEyT/view?usp=drivesdk</v>
      </c>
    </row>
    <row r="7073">
      <c r="A7073" s="15">
        <f>IFERROR(__xludf.DUMMYFUNCTION("""COMPUTED_VALUE"""),45202.0)</f>
        <v>45202</v>
      </c>
      <c r="B7073" s="16" t="str">
        <f>IFERROR(__xludf.DUMMYFUNCTION("""COMPUTED_VALUE"""),"Deivi Alejandro Quintero Corrales")</f>
        <v>Deivi Alejandro Quintero Corrales</v>
      </c>
      <c r="C7073" s="15" t="str">
        <f>IFERROR(__xludf.DUMMYFUNCTION("""COMPUTED_VALUE"""),"PEREIRA")</f>
        <v>PEREIRA</v>
      </c>
      <c r="D7073" s="15" t="str">
        <f>IFERROR(__xludf.DUMMYFUNCTION("""COMPUTED_VALUE"""),"BOGOTÁ")</f>
        <v>BOGOTÁ</v>
      </c>
      <c r="E7073" s="15" t="str">
        <f>IFERROR(__xludf.DUMMYFUNCTION("""COMPUTED_VALUE"""),"Evamazzita")</f>
        <v>Evamazzita</v>
      </c>
      <c r="F7073" s="17" t="str">
        <f>IFERROR(__xludf.DUMMYFUNCTION("""COMPUTED_VALUE"""),"Carrera 21 # 150 - 05 / Torre 3 Apto 3102 Conjunto Cerritos Reservado  Cerritos")</f>
        <v>Carrera 21 # 150 - 05 / Torre 3 Apto 3102 Conjunto Cerritos Reservado  Cerritos</v>
      </c>
      <c r="G7073" s="15" t="str">
        <f>IFERROR(__xludf.DUMMYFUNCTION("""COMPUTED_VALUE"""),"PAULA RODRIGUEZ - PEREIRA")</f>
        <v>PAULA RODRIGUEZ - PEREIRA</v>
      </c>
      <c r="H7073" s="16">
        <f>IFERROR(__xludf.DUMMYFUNCTION("""COMPUTED_VALUE"""),15847.0)</f>
        <v>15847</v>
      </c>
      <c r="I7073" s="18">
        <f>IFERROR(__xludf.DUMMYFUNCTION("""COMPUTED_VALUE"""),1.0)</f>
        <v>1</v>
      </c>
      <c r="J7073" s="18">
        <f>IFERROR(__xludf.DUMMYFUNCTION("""COMPUTED_VALUE"""),1.0)</f>
        <v>1</v>
      </c>
      <c r="K7073" s="18">
        <f>IFERROR(__xludf.DUMMYFUNCTION("""COMPUTED_VALUE"""),1.0)</f>
        <v>1</v>
      </c>
      <c r="L7073" s="17">
        <f>IFERROR(__xludf.DUMMYFUNCTION("""COMPUTED_VALUE"""),3.108144749E9)</f>
        <v>3108144749</v>
      </c>
      <c r="M7073" s="17"/>
      <c r="N7073" s="17"/>
      <c r="O7073" s="17"/>
      <c r="P7073" s="17" t="b">
        <f>IFERROR(__xludf.DUMMYFUNCTION("""COMPUTED_VALUE"""),TRUE)</f>
        <v>1</v>
      </c>
      <c r="Q7073" s="20">
        <f>IFERROR(__xludf.DUMMYFUNCTION("""COMPUTED_VALUE"""),45202.67034787037)</f>
        <v>45202.67035</v>
      </c>
      <c r="R7073" s="21" t="str">
        <f>IFERROR(__xludf.DUMMYFUNCTION("""COMPUTED_VALUE"""),"https://drive.google.com/file/d/1LpUDqT3UkP_vdUFqTUpmVqOqRNy_IE4Q/view?usp=drivesdk")</f>
        <v>https://drive.google.com/file/d/1LpUDqT3UkP_vdUFqTUpmVqOqRNy_IE4Q/view?usp=drivesdk</v>
      </c>
    </row>
    <row r="7074">
      <c r="A7074" s="15">
        <f>IFERROR(__xludf.DUMMYFUNCTION("""COMPUTED_VALUE"""),45202.0)</f>
        <v>45202</v>
      </c>
      <c r="B7074" s="16" t="str">
        <f>IFERROR(__xludf.DUMMYFUNCTION("""COMPUTED_VALUE"""),"Deivi Alejandro Quintero Corrales")</f>
        <v>Deivi Alejandro Quintero Corrales</v>
      </c>
      <c r="C7074" s="15" t="str">
        <f>IFERROR(__xludf.DUMMYFUNCTION("""COMPUTED_VALUE"""),"PEREIRA")</f>
        <v>PEREIRA</v>
      </c>
      <c r="D7074" s="15" t="str">
        <f>IFERROR(__xludf.DUMMYFUNCTION("""COMPUTED_VALUE"""),"BOGOTÁ")</f>
        <v>BOGOTÁ</v>
      </c>
      <c r="E7074" s="15" t="str">
        <f>IFERROR(__xludf.DUMMYFUNCTION("""COMPUTED_VALUE"""),"Ins. Alimento Vital")</f>
        <v>Ins. Alimento Vital</v>
      </c>
      <c r="F7074" s="17" t="str">
        <f>IFERROR(__xludf.DUMMYFUNCTION("""COMPUTED_VALUE"""),"CR 5 18 43 / EDIFICIO CHALJUB / BARRIO URIBE")</f>
        <v>CR 5 18 43 / EDIFICIO CHALJUB / BARRIO URIBE</v>
      </c>
      <c r="G7074" s="15" t="str">
        <f>IFERROR(__xludf.DUMMYFUNCTION("""COMPUTED_VALUE"""),"CHALJUB")</f>
        <v>CHALJUB</v>
      </c>
      <c r="H7074" s="16">
        <f>IFERROR(__xludf.DUMMYFUNCTION("""COMPUTED_VALUE"""),15823.0)</f>
        <v>15823</v>
      </c>
      <c r="I7074" s="18">
        <f>IFERROR(__xludf.DUMMYFUNCTION("""COMPUTED_VALUE"""),1.0)</f>
        <v>1</v>
      </c>
      <c r="J7074" s="18">
        <f>IFERROR(__xludf.DUMMYFUNCTION("""COMPUTED_VALUE"""),1.0)</f>
        <v>1</v>
      </c>
      <c r="K7074" s="18">
        <f>IFERROR(__xludf.DUMMYFUNCTION("""COMPUTED_VALUE"""),1.0)</f>
        <v>1</v>
      </c>
      <c r="L7074" s="17">
        <f>IFERROR(__xludf.DUMMYFUNCTION("""COMPUTED_VALUE"""),3.008252529E9)</f>
        <v>3008252529</v>
      </c>
      <c r="M7074" s="17"/>
      <c r="N7074" s="17"/>
      <c r="O7074" s="17"/>
      <c r="P7074" s="17" t="b">
        <f>IFERROR(__xludf.DUMMYFUNCTION("""COMPUTED_VALUE"""),FALSE)</f>
        <v>0</v>
      </c>
      <c r="Q7074" s="20" t="str">
        <f>IFERROR(__xludf.DUMMYFUNCTION("""COMPUTED_VALUE"""),"")</f>
        <v/>
      </c>
      <c r="R7074" s="22" t="str">
        <f>IFERROR(__xludf.DUMMYFUNCTION("""COMPUTED_VALUE"""),"")</f>
        <v/>
      </c>
    </row>
    <row r="7075">
      <c r="A7075" s="15">
        <f>IFERROR(__xludf.DUMMYFUNCTION("""COMPUTED_VALUE"""),45202.0)</f>
        <v>45202</v>
      </c>
      <c r="B7075" s="16" t="str">
        <f>IFERROR(__xludf.DUMMYFUNCTION("""COMPUTED_VALUE"""),"Deivi Alejandro Quintero Corrales")</f>
        <v>Deivi Alejandro Quintero Corrales</v>
      </c>
      <c r="C7075" s="15" t="str">
        <f>IFERROR(__xludf.DUMMYFUNCTION("""COMPUTED_VALUE"""),"PEREIRA")</f>
        <v>PEREIRA</v>
      </c>
      <c r="D7075" s="15" t="str">
        <f>IFERROR(__xludf.DUMMYFUNCTION("""COMPUTED_VALUE"""),"BOGOTÁ")</f>
        <v>BOGOTÁ</v>
      </c>
      <c r="E7075" s="15" t="str">
        <f>IFERROR(__xludf.DUMMYFUNCTION("""COMPUTED_VALUE"""),"Top Spun")</f>
        <v>Top Spun</v>
      </c>
      <c r="F7075" s="17" t="str">
        <f>IFERROR(__xludf.DUMMYFUNCTION("""COMPUTED_VALUE"""),"AV LAS AMéRICAS #85-80 / APTO 3015  / PARQUE RESIDENCIAL SAN SILVESTRE")</f>
        <v>AV LAS AMéRICAS #85-80 / APTO 3015  / PARQUE RESIDENCIAL SAN SILVESTRE</v>
      </c>
      <c r="G7075" s="15" t="str">
        <f>IFERROR(__xludf.DUMMYFUNCTION("""COMPUTED_VALUE"""),"STEPHANY COLORADO")</f>
        <v>STEPHANY COLORADO</v>
      </c>
      <c r="H7075" s="16">
        <f>IFERROR(__xludf.DUMMYFUNCTION("""COMPUTED_VALUE"""),15779.0)</f>
        <v>15779</v>
      </c>
      <c r="I7075" s="18">
        <f>IFERROR(__xludf.DUMMYFUNCTION("""COMPUTED_VALUE"""),20.0)</f>
        <v>20</v>
      </c>
      <c r="J7075" s="18">
        <f>IFERROR(__xludf.DUMMYFUNCTION("""COMPUTED_VALUE"""),10.0)</f>
        <v>10</v>
      </c>
      <c r="K7075" s="18">
        <f>IFERROR(__xludf.DUMMYFUNCTION("""COMPUTED_VALUE"""),40.0)</f>
        <v>40</v>
      </c>
      <c r="L7075" s="17">
        <f>IFERROR(__xludf.DUMMYFUNCTION("""COMPUTED_VALUE"""),3.137239429E9)</f>
        <v>3137239429</v>
      </c>
      <c r="M7075" s="17"/>
      <c r="N7075" s="17"/>
      <c r="O7075" s="17"/>
      <c r="P7075" s="17" t="b">
        <f>IFERROR(__xludf.DUMMYFUNCTION("""COMPUTED_VALUE"""),FALSE)</f>
        <v>0</v>
      </c>
      <c r="Q7075" s="20" t="str">
        <f>IFERROR(__xludf.DUMMYFUNCTION("""COMPUTED_VALUE"""),"")</f>
        <v/>
      </c>
      <c r="R7075" s="21" t="str">
        <f>IFERROR(__xludf.DUMMYFUNCTION("""COMPUTED_VALUE"""),"https://drive.google.com/file/d/1HhEmL-PUvuI5FHApDqGcA10NpVoL21gI/view?usp=drivesdk")</f>
        <v>https://drive.google.com/file/d/1HhEmL-PUvuI5FHApDqGcA10NpVoL21gI/view?usp=drivesdk</v>
      </c>
    </row>
    <row r="7076">
      <c r="A7076" s="15">
        <f>IFERROR(__xludf.DUMMYFUNCTION("""COMPUTED_VALUE"""),45202.0)</f>
        <v>45202</v>
      </c>
      <c r="B7076" s="16" t="str">
        <f>IFERROR(__xludf.DUMMYFUNCTION("""COMPUTED_VALUE"""),"Deivi Alejandro Quintero Corrales")</f>
        <v>Deivi Alejandro Quintero Corrales</v>
      </c>
      <c r="C7076" s="15" t="str">
        <f>IFERROR(__xludf.DUMMYFUNCTION("""COMPUTED_VALUE"""),"PEREIRA")</f>
        <v>PEREIRA</v>
      </c>
      <c r="D7076" s="15" t="str">
        <f>IFERROR(__xludf.DUMMYFUNCTION("""COMPUTED_VALUE"""),"BOGOTÁ")</f>
        <v>BOGOTÁ</v>
      </c>
      <c r="E7076" s="15" t="str">
        <f>IFERROR(__xludf.DUMMYFUNCTION("""COMPUTED_VALUE"""),"Top Spun")</f>
        <v>Top Spun</v>
      </c>
      <c r="F7076" s="17" t="str">
        <f>IFERROR(__xludf.DUMMYFUNCTION("""COMPUTED_VALUE"""),"CARRERA 25 #85-80 / SAN SILVESTRE PARQUE RESIDENCIAL APTO 2043 / Pereira")</f>
        <v>CARRERA 25 #85-80 / SAN SILVESTRE PARQUE RESIDENCIAL APTO 2043 / Pereira</v>
      </c>
      <c r="G7076" s="15" t="str">
        <f>IFERROR(__xludf.DUMMYFUNCTION("""COMPUTED_VALUE"""),"JESSICA GIRALDO")</f>
        <v>JESSICA GIRALDO</v>
      </c>
      <c r="H7076" s="16">
        <f>IFERROR(__xludf.DUMMYFUNCTION("""COMPUTED_VALUE"""),15775.0)</f>
        <v>15775</v>
      </c>
      <c r="I7076" s="18">
        <f>IFERROR(__xludf.DUMMYFUNCTION("""COMPUTED_VALUE"""),20.0)</f>
        <v>20</v>
      </c>
      <c r="J7076" s="18">
        <f>IFERROR(__xludf.DUMMYFUNCTION("""COMPUTED_VALUE"""),10.0)</f>
        <v>10</v>
      </c>
      <c r="K7076" s="18">
        <f>IFERROR(__xludf.DUMMYFUNCTION("""COMPUTED_VALUE"""),40.0)</f>
        <v>40</v>
      </c>
      <c r="L7076" s="17">
        <f>IFERROR(__xludf.DUMMYFUNCTION("""COMPUTED_VALUE"""),3.122677736E9)</f>
        <v>3122677736</v>
      </c>
      <c r="M7076" s="17"/>
      <c r="N7076" s="17"/>
      <c r="O7076" s="17"/>
      <c r="P7076" s="17" t="b">
        <f>IFERROR(__xludf.DUMMYFUNCTION("""COMPUTED_VALUE"""),FALSE)</f>
        <v>0</v>
      </c>
      <c r="Q7076" s="20" t="str">
        <f>IFERROR(__xludf.DUMMYFUNCTION("""COMPUTED_VALUE"""),"")</f>
        <v/>
      </c>
      <c r="R7076" s="21" t="str">
        <f>IFERROR(__xludf.DUMMYFUNCTION("""COMPUTED_VALUE"""),"https://drive.google.com/file/d/1-jLcgjjUeo-Y-h24AdpEM7F06aD32EM9/view?usp=drivesdk")</f>
        <v>https://drive.google.com/file/d/1-jLcgjjUeo-Y-h24AdpEM7F06aD32EM9/view?usp=drivesdk</v>
      </c>
    </row>
    <row r="7077">
      <c r="A7077" s="15">
        <f>IFERROR(__xludf.DUMMYFUNCTION("""COMPUTED_VALUE"""),45202.0)</f>
        <v>45202</v>
      </c>
      <c r="B7077" s="16" t="str">
        <f>IFERROR(__xludf.DUMMYFUNCTION("""COMPUTED_VALUE"""),"Deivi Alejandro Quintero Corrales")</f>
        <v>Deivi Alejandro Quintero Corrales</v>
      </c>
      <c r="C7077" s="15" t="str">
        <f>IFERROR(__xludf.DUMMYFUNCTION("""COMPUTED_VALUE"""),"PEREIRA")</f>
        <v>PEREIRA</v>
      </c>
      <c r="D7077" s="15" t="str">
        <f>IFERROR(__xludf.DUMMYFUNCTION("""COMPUTED_VALUE"""),"MEDELLÍN")</f>
        <v>MEDELLÍN</v>
      </c>
      <c r="E7077" s="15" t="str">
        <f>IFERROR(__xludf.DUMMYFUNCTION("""COMPUTED_VALUE"""),"AREPAS LA MARY")</f>
        <v>AREPAS LA MARY</v>
      </c>
      <c r="F7077" s="17" t="str">
        <f>IFERROR(__xludf.DUMMYFUNCTION("""COMPUTED_VALUE"""),"cra 16 # 4 -93 / rincon de pinares casa numero 5")</f>
        <v>cra 16 # 4 -93 / rincon de pinares casa numero 5</v>
      </c>
      <c r="G7077" s="15" t="str">
        <f>IFERROR(__xludf.DUMMYFUNCTION("""COMPUTED_VALUE"""),"marylu sanchez")</f>
        <v>marylu sanchez</v>
      </c>
      <c r="H7077" s="16">
        <f>IFERROR(__xludf.DUMMYFUNCTION("""COMPUTED_VALUE"""),15835.0)</f>
        <v>15835</v>
      </c>
      <c r="I7077" s="18">
        <f>IFERROR(__xludf.DUMMYFUNCTION("""COMPUTED_VALUE"""),89.0)</f>
        <v>89</v>
      </c>
      <c r="J7077" s="18">
        <f>IFERROR(__xludf.DUMMYFUNCTION("""COMPUTED_VALUE"""),1.0)</f>
        <v>1</v>
      </c>
      <c r="K7077" s="18">
        <f>IFERROR(__xludf.DUMMYFUNCTION("""COMPUTED_VALUE"""),10.0)</f>
        <v>10</v>
      </c>
      <c r="L7077" s="17">
        <f>IFERROR(__xludf.DUMMYFUNCTION("""COMPUTED_VALUE"""),3.104300986E9)</f>
        <v>3104300986</v>
      </c>
      <c r="M7077" s="17"/>
      <c r="N7077" s="17"/>
      <c r="O7077" s="17"/>
      <c r="P7077" s="17" t="b">
        <f>IFERROR(__xludf.DUMMYFUNCTION("""COMPUTED_VALUE"""),TRUE)</f>
        <v>1</v>
      </c>
      <c r="Q7077" s="20">
        <f>IFERROR(__xludf.DUMMYFUNCTION("""COMPUTED_VALUE"""),45202.757197812505)</f>
        <v>45202.7572</v>
      </c>
      <c r="R7077" s="21" t="str">
        <f>IFERROR(__xludf.DUMMYFUNCTION("""COMPUTED_VALUE"""),"https://drive.google.com/file/d/1Sz7FDFZOKRuA3adJzLPQVYYFcz5lKNYj/view?usp=drivesdk")</f>
        <v>https://drive.google.com/file/d/1Sz7FDFZOKRuA3adJzLPQVYYFcz5lKNYj/view?usp=drivesdk</v>
      </c>
    </row>
    <row r="7078">
      <c r="A7078" s="15">
        <f>IFERROR(__xludf.DUMMYFUNCTION("""COMPUTED_VALUE"""),45202.0)</f>
        <v>45202</v>
      </c>
      <c r="B7078" s="16" t="str">
        <f>IFERROR(__xludf.DUMMYFUNCTION("""COMPUTED_VALUE"""),"Deivi Alejandro Quintero Corrales")</f>
        <v>Deivi Alejandro Quintero Corrales</v>
      </c>
      <c r="C7078" s="15" t="str">
        <f>IFERROR(__xludf.DUMMYFUNCTION("""COMPUTED_VALUE"""),"PEREIRA")</f>
        <v>PEREIRA</v>
      </c>
      <c r="D7078" s="15" t="str">
        <f>IFERROR(__xludf.DUMMYFUNCTION("""COMPUTED_VALUE"""),"MEDELLÍN")</f>
        <v>MEDELLÍN</v>
      </c>
      <c r="E7078" s="15" t="str">
        <f>IFERROR(__xludf.DUMMYFUNCTION("""COMPUTED_VALUE"""),"Baby Chef")</f>
        <v>Baby Chef</v>
      </c>
      <c r="F7078" s="17" t="str">
        <f>IFERROR(__xludf.DUMMYFUNCTION("""COMPUTED_VALUE"""),"Calle 112# 16-04 mukava del valle Manzana 5 , casa 10. Cerritos / Calle 112# 16-04 mukava del valle Manzana 5 , casa 10. Cerritos / Calle 112# 16-04 mukava del valle Manzana 5 , casa 10. Cerritos")</f>
        <v>Calle 112# 16-04 mukava del valle Manzana 5 , casa 10. Cerritos / Calle 112# 16-04 mukava del valle Manzana 5 , casa 10. Cerritos / Calle 112# 16-04 mukava del valle Manzana 5 , casa 10. Cerritos</v>
      </c>
      <c r="G7078" s="15" t="str">
        <f>IFERROR(__xludf.DUMMYFUNCTION("""COMPUTED_VALUE"""),"Linda Guzman")</f>
        <v>Linda Guzman</v>
      </c>
      <c r="H7078" s="16">
        <f>IFERROR(__xludf.DUMMYFUNCTION("""COMPUTED_VALUE"""),15885.0)</f>
        <v>15885</v>
      </c>
      <c r="I7078" s="18">
        <f>IFERROR(__xludf.DUMMYFUNCTION("""COMPUTED_VALUE"""),7.0)</f>
        <v>7</v>
      </c>
      <c r="J7078" s="18">
        <f>IFERROR(__xludf.DUMMYFUNCTION("""COMPUTED_VALUE"""),24.0)</f>
        <v>24</v>
      </c>
      <c r="K7078" s="18">
        <f>IFERROR(__xludf.DUMMYFUNCTION("""COMPUTED_VALUE"""),29.0)</f>
        <v>29</v>
      </c>
      <c r="L7078" s="17">
        <f>IFERROR(__xludf.DUMMYFUNCTION("""COMPUTED_VALUE"""),3.175127288E9)</f>
        <v>3175127288</v>
      </c>
      <c r="M7078" s="17"/>
      <c r="N7078" s="17"/>
      <c r="O7078" s="17"/>
      <c r="P7078" s="17" t="b">
        <f>IFERROR(__xludf.DUMMYFUNCTION("""COMPUTED_VALUE"""),TRUE)</f>
        <v>1</v>
      </c>
      <c r="Q7078" s="20">
        <f>IFERROR(__xludf.DUMMYFUNCTION("""COMPUTED_VALUE"""),45202.757197812505)</f>
        <v>45202.7572</v>
      </c>
      <c r="R7078" s="21" t="str">
        <f>IFERROR(__xludf.DUMMYFUNCTION("""COMPUTED_VALUE"""),"https://drive.google.com/file/d/1gKuYRj4Yfd4HHYlNl4yDjiqVKD8hehDQ/view?usp=drivesdk")</f>
        <v>https://drive.google.com/file/d/1gKuYRj4Yfd4HHYlNl4yDjiqVKD8hehDQ/view?usp=drivesdk</v>
      </c>
    </row>
    <row r="7079">
      <c r="A7079" s="15">
        <f>IFERROR(__xludf.DUMMYFUNCTION("""COMPUTED_VALUE"""),45202.0)</f>
        <v>45202</v>
      </c>
      <c r="B7079" s="16" t="str">
        <f>IFERROR(__xludf.DUMMYFUNCTION("""COMPUTED_VALUE"""),"Deivi Alejandro Quintero Corrales")</f>
        <v>Deivi Alejandro Quintero Corrales</v>
      </c>
      <c r="C7079" s="15" t="str">
        <f>IFERROR(__xludf.DUMMYFUNCTION("""COMPUTED_VALUE"""),"PEREIRA")</f>
        <v>PEREIRA</v>
      </c>
      <c r="D7079" s="15" t="str">
        <f>IFERROR(__xludf.DUMMYFUNCTION("""COMPUTED_VALUE"""),"MEDELLÍN")</f>
        <v>MEDELLÍN</v>
      </c>
      <c r="E7079" s="15" t="str">
        <f>IFERROR(__xludf.DUMMYFUNCTION("""COMPUTED_VALUE"""),"Baby Chef")</f>
        <v>Baby Chef</v>
      </c>
      <c r="F7079" s="17" t="str">
        <f>IFERROR(__xludf.DUMMYFUNCTION("""COMPUTED_VALUE"""),"Cerritos vía pereira Cartago entrada 10 condominio sevilla casa 9. /  Cerritos vía pereira Cartago entrada 10 condominio sevilla casa 9. /  Cerritos vía pereira Cartago entrada 10 condominio sevilla casa 9.")</f>
        <v>Cerritos vía pereira Cartago entrada 10 condominio sevilla casa 9. /  Cerritos vía pereira Cartago entrada 10 condominio sevilla casa 9. /  Cerritos vía pereira Cartago entrada 10 condominio sevilla casa 9.</v>
      </c>
      <c r="G7079" s="15" t="str">
        <f>IFERROR(__xludf.DUMMYFUNCTION("""COMPUTED_VALUE"""),"Daniela Tabares Grajales")</f>
        <v>Daniela Tabares Grajales</v>
      </c>
      <c r="H7079" s="16">
        <f>IFERROR(__xludf.DUMMYFUNCTION("""COMPUTED_VALUE"""),15883.0)</f>
        <v>15883</v>
      </c>
      <c r="I7079" s="18">
        <f>IFERROR(__xludf.DUMMYFUNCTION("""COMPUTED_VALUE"""),5.0)</f>
        <v>5</v>
      </c>
      <c r="J7079" s="18">
        <f>IFERROR(__xludf.DUMMYFUNCTION("""COMPUTED_VALUE"""),22.0)</f>
        <v>22</v>
      </c>
      <c r="K7079" s="18">
        <f>IFERROR(__xludf.DUMMYFUNCTION("""COMPUTED_VALUE"""),30.0)</f>
        <v>30</v>
      </c>
      <c r="L7079" s="17">
        <f>IFERROR(__xludf.DUMMYFUNCTION("""COMPUTED_VALUE"""),3.147624776E9)</f>
        <v>3147624776</v>
      </c>
      <c r="M7079" s="17"/>
      <c r="N7079" s="17"/>
      <c r="O7079" s="17"/>
      <c r="P7079" s="17" t="b">
        <f>IFERROR(__xludf.DUMMYFUNCTION("""COMPUTED_VALUE"""),FALSE)</f>
        <v>0</v>
      </c>
      <c r="Q7079" s="20" t="str">
        <f>IFERROR(__xludf.DUMMYFUNCTION("""COMPUTED_VALUE"""),"")</f>
        <v/>
      </c>
      <c r="R7079" s="21" t="str">
        <f>IFERROR(__xludf.DUMMYFUNCTION("""COMPUTED_VALUE"""),"https://drive.google.com/file/d/1DlQY2kdOi4MAQDOonZ_fPWgMeA9NrkQP/view?usp=drivesdk")</f>
        <v>https://drive.google.com/file/d/1DlQY2kdOi4MAQDOonZ_fPWgMeA9NrkQP/view?usp=drivesdk</v>
      </c>
    </row>
    <row r="7080">
      <c r="A7080" s="17" t="str">
        <f>IFERROR(__xludf.DUMMYFUNCTION("""COMPUTED_VALUE"""),"")</f>
        <v/>
      </c>
      <c r="B7080" s="17" t="str">
        <f>IFERROR(__xludf.DUMMYFUNCTION("""COMPUTED_VALUE"""),"")</f>
        <v/>
      </c>
      <c r="C7080" s="17" t="str">
        <f>IFERROR(__xludf.DUMMYFUNCTION("""COMPUTED_VALUE"""),"")</f>
        <v/>
      </c>
      <c r="D7080" s="17" t="str">
        <f>IFERROR(__xludf.DUMMYFUNCTION("""COMPUTED_VALUE"""),"")</f>
        <v/>
      </c>
      <c r="E7080" s="17" t="str">
        <f>IFERROR(__xludf.DUMMYFUNCTION("""COMPUTED_VALUE"""),"")</f>
        <v/>
      </c>
      <c r="F7080" s="17" t="str">
        <f>IFERROR(__xludf.DUMMYFUNCTION("""COMPUTED_VALUE"""),"")</f>
        <v/>
      </c>
      <c r="G7080" s="17" t="str">
        <f>IFERROR(__xludf.DUMMYFUNCTION("""COMPUTED_VALUE"""),"")</f>
        <v/>
      </c>
      <c r="H7080" s="17" t="str">
        <f>IFERROR(__xludf.DUMMYFUNCTION("""COMPUTED_VALUE"""),"")</f>
        <v/>
      </c>
      <c r="I7080" s="17" t="str">
        <f>IFERROR(__xludf.DUMMYFUNCTION("""COMPUTED_VALUE"""),"")</f>
        <v/>
      </c>
      <c r="J7080" s="17" t="str">
        <f>IFERROR(__xludf.DUMMYFUNCTION("""COMPUTED_VALUE"""),"")</f>
        <v/>
      </c>
      <c r="K7080" s="17" t="str">
        <f>IFERROR(__xludf.DUMMYFUNCTION("""COMPUTED_VALUE"""),"")</f>
        <v/>
      </c>
      <c r="L7080" s="17" t="str">
        <f>IFERROR(__xludf.DUMMYFUNCTION("""COMPUTED_VALUE"""),"")</f>
        <v/>
      </c>
      <c r="M7080" s="17" t="str">
        <f>IFERROR(__xludf.DUMMYFUNCTION("""COMPUTED_VALUE"""),"")</f>
        <v/>
      </c>
      <c r="N7080" s="17" t="str">
        <f>IFERROR(__xludf.DUMMYFUNCTION("""COMPUTED_VALUE"""),"")</f>
        <v/>
      </c>
      <c r="O7080" s="17" t="str">
        <f>IFERROR(__xludf.DUMMYFUNCTION("""COMPUTED_VALUE"""),"")</f>
        <v/>
      </c>
      <c r="P7080" s="17" t="str">
        <f>IFERROR(__xludf.DUMMYFUNCTION("""COMPUTED_VALUE"""),"")</f>
        <v/>
      </c>
      <c r="Q7080" s="17" t="str">
        <f>IFERROR(__xludf.DUMMYFUNCTION("""COMPUTED_VALUE"""),"")</f>
        <v/>
      </c>
      <c r="R7080" s="17" t="str">
        <f>IFERROR(__xludf.DUMMYFUNCTION("""COMPUTED_VALUE"""),"")</f>
        <v/>
      </c>
    </row>
    <row r="7081">
      <c r="A7081" s="15">
        <f>IFERROR(__xludf.DUMMYFUNCTION("""COMPUTED_VALUE"""),45202.0)</f>
        <v>45202</v>
      </c>
      <c r="B7081" s="16" t="str">
        <f>IFERROR(__xludf.DUMMYFUNCTION("""COMPUTED_VALUE"""),"Duvan Gabriel Alvarez Giron")</f>
        <v>Duvan Gabriel Alvarez Giron</v>
      </c>
      <c r="C7081" s="15" t="str">
        <f>IFERROR(__xludf.DUMMYFUNCTION("""COMPUTED_VALUE"""),"FLORIDABLANCA")</f>
        <v>FLORIDABLANCA</v>
      </c>
      <c r="D7081" s="15" t="str">
        <f>IFERROR(__xludf.DUMMYFUNCTION("""COMPUTED_VALUE"""),"BOGOTÁ")</f>
        <v>BOGOTÁ</v>
      </c>
      <c r="E7081" s="15" t="str">
        <f>IFERROR(__xludf.DUMMYFUNCTION("""COMPUTED_VALUE"""),"Asociacion Agropecuaria Juana Maria")</f>
        <v>Asociacion Agropecuaria Juana Maria</v>
      </c>
      <c r="F7081" s="17" t="str">
        <f>IFERROR(__xludf.DUMMYFUNCTION("""COMPUTED_VALUE"""),"Calle 19 #11-37 Guanatá FLORIDABLANCA")</f>
        <v>Calle 19 #11-37 Guanatá FLORIDABLANCA</v>
      </c>
      <c r="G7081" s="15" t="str">
        <f>IFERROR(__xludf.DUMMYFUNCTION("""COMPUTED_VALUE"""),"Claudia Gonzalez")</f>
        <v>Claudia Gonzalez</v>
      </c>
      <c r="H7081" s="16">
        <f>IFERROR(__xludf.DUMMYFUNCTION("""COMPUTED_VALUE"""),15789.0)</f>
        <v>15789</v>
      </c>
      <c r="I7081" s="18">
        <f>IFERROR(__xludf.DUMMYFUNCTION("""COMPUTED_VALUE"""),21.0)</f>
        <v>21</v>
      </c>
      <c r="J7081" s="18">
        <f>IFERROR(__xludf.DUMMYFUNCTION("""COMPUTED_VALUE"""),37.0)</f>
        <v>37</v>
      </c>
      <c r="K7081" s="18">
        <f>IFERROR(__xludf.DUMMYFUNCTION("""COMPUTED_VALUE"""),30.0)</f>
        <v>30</v>
      </c>
      <c r="L7081" s="17">
        <f>IFERROR(__xludf.DUMMYFUNCTION("""COMPUTED_VALUE"""),3.002802001E9)</f>
        <v>3002802001</v>
      </c>
      <c r="M7081" s="17"/>
      <c r="N7081" s="17"/>
      <c r="O7081" s="17"/>
      <c r="P7081" s="17" t="b">
        <f>IFERROR(__xludf.DUMMYFUNCTION("""COMPUTED_VALUE"""),FALSE)</f>
        <v>0</v>
      </c>
      <c r="Q7081" s="20" t="str">
        <f>IFERROR(__xludf.DUMMYFUNCTION("""COMPUTED_VALUE"""),"")</f>
        <v/>
      </c>
      <c r="R7081" s="22" t="str">
        <f>IFERROR(__xludf.DUMMYFUNCTION("""COMPUTED_VALUE"""),"")</f>
        <v/>
      </c>
    </row>
    <row r="7082">
      <c r="A7082" s="15">
        <f>IFERROR(__xludf.DUMMYFUNCTION("""COMPUTED_VALUE"""),45202.0)</f>
        <v>45202</v>
      </c>
      <c r="B7082" s="16" t="str">
        <f>IFERROR(__xludf.DUMMYFUNCTION("""COMPUTED_VALUE"""),"Duvan Gabriel Alvarez Giron")</f>
        <v>Duvan Gabriel Alvarez Giron</v>
      </c>
      <c r="C7082" s="15" t="str">
        <f>IFERROR(__xludf.DUMMYFUNCTION("""COMPUTED_VALUE"""),"IBAGUÉ")</f>
        <v>IBAGUÉ</v>
      </c>
      <c r="D7082" s="15" t="str">
        <f>IFERROR(__xludf.DUMMYFUNCTION("""COMPUTED_VALUE"""),"BOGOTÁ")</f>
        <v>BOGOTÁ</v>
      </c>
      <c r="E7082" s="15" t="str">
        <f>IFERROR(__xludf.DUMMYFUNCTION("""COMPUTED_VALUE"""),"Asociacion Agropecuaria Juana Maria")</f>
        <v>Asociacion Agropecuaria Juana Maria</v>
      </c>
      <c r="F7082" s="17" t="str">
        <f>IFERROR(__xludf.DUMMYFUNCTION("""COMPUTED_VALUE"""),"Calle 93 # 7 Sur-90 torre 7 apto 701 Conjunto Residencial Altagracia")</f>
        <v>Calle 93 # 7 Sur-90 torre 7 apto 701 Conjunto Residencial Altagracia</v>
      </c>
      <c r="G7082" s="15" t="str">
        <f>IFERROR(__xludf.DUMMYFUNCTION("""COMPUTED_VALUE"""),"Mariam Yasmin Murillo Rubio")</f>
        <v>Mariam Yasmin Murillo Rubio</v>
      </c>
      <c r="H7082" s="16">
        <f>IFERROR(__xludf.DUMMYFUNCTION("""COMPUTED_VALUE"""),15792.0)</f>
        <v>15792</v>
      </c>
      <c r="I7082" s="18">
        <f>IFERROR(__xludf.DUMMYFUNCTION("""COMPUTED_VALUE"""),12.0)</f>
        <v>12</v>
      </c>
      <c r="J7082" s="18">
        <f>IFERROR(__xludf.DUMMYFUNCTION("""COMPUTED_VALUE"""),37.0)</f>
        <v>37</v>
      </c>
      <c r="K7082" s="18">
        <f>IFERROR(__xludf.DUMMYFUNCTION("""COMPUTED_VALUE"""),24.0)</f>
        <v>24</v>
      </c>
      <c r="L7082" s="17">
        <f>IFERROR(__xludf.DUMMYFUNCTION("""COMPUTED_VALUE"""),3.105789664E9)</f>
        <v>3105789664</v>
      </c>
      <c r="M7082" s="17"/>
      <c r="N7082" s="17"/>
      <c r="O7082" s="17"/>
      <c r="P7082" s="17" t="b">
        <f>IFERROR(__xludf.DUMMYFUNCTION("""COMPUTED_VALUE"""),FALSE)</f>
        <v>0</v>
      </c>
      <c r="Q7082" s="20" t="str">
        <f>IFERROR(__xludf.DUMMYFUNCTION("""COMPUTED_VALUE"""),"")</f>
        <v/>
      </c>
      <c r="R7082" s="22" t="str">
        <f>IFERROR(__xludf.DUMMYFUNCTION("""COMPUTED_VALUE"""),"")</f>
        <v/>
      </c>
    </row>
    <row r="7083">
      <c r="A7083" s="15">
        <f>IFERROR(__xludf.DUMMYFUNCTION("""COMPUTED_VALUE"""),45202.0)</f>
        <v>45202</v>
      </c>
      <c r="B7083" s="16" t="str">
        <f>IFERROR(__xludf.DUMMYFUNCTION("""COMPUTED_VALUE"""),"Duvan Gabriel Alvarez Giron")</f>
        <v>Duvan Gabriel Alvarez Giron</v>
      </c>
      <c r="C7083" s="15" t="str">
        <f>IFERROR(__xludf.DUMMYFUNCTION("""COMPUTED_VALUE"""),"IBAGUÉ")</f>
        <v>IBAGUÉ</v>
      </c>
      <c r="D7083" s="15" t="str">
        <f>IFERROR(__xludf.DUMMYFUNCTION("""COMPUTED_VALUE"""),"BOGOTÁ")</f>
        <v>BOGOTÁ</v>
      </c>
      <c r="E7083" s="15" t="str">
        <f>IFERROR(__xludf.DUMMYFUNCTION("""COMPUTED_VALUE"""),"Evamazzita")</f>
        <v>Evamazzita</v>
      </c>
      <c r="F7083" s="17" t="str">
        <f>IFERROR(__xludf.DUMMYFUNCTION("""COMPUTED_VALUE"""),"CALLE 93 No. 7SUR - 90 / TORRE 7 APTO 701 CONJUNTO PARQUE RESIDENCIAL ALTAGRACIA")</f>
        <v>CALLE 93 No. 7SUR - 90 / TORRE 7 APTO 701 CONJUNTO PARQUE RESIDENCIAL ALTAGRACIA</v>
      </c>
      <c r="G7083" s="15" t="str">
        <f>IFERROR(__xludf.DUMMYFUNCTION("""COMPUTED_VALUE"""),"MARIAM MURILLO")</f>
        <v>MARIAM MURILLO</v>
      </c>
      <c r="H7083" s="16">
        <f>IFERROR(__xludf.DUMMYFUNCTION("""COMPUTED_VALUE"""),15865.0)</f>
        <v>15865</v>
      </c>
      <c r="I7083" s="18">
        <f>IFERROR(__xludf.DUMMYFUNCTION("""COMPUTED_VALUE"""),1.0)</f>
        <v>1</v>
      </c>
      <c r="J7083" s="18">
        <f>IFERROR(__xludf.DUMMYFUNCTION("""COMPUTED_VALUE"""),1.0)</f>
        <v>1</v>
      </c>
      <c r="K7083" s="18">
        <f>IFERROR(__xludf.DUMMYFUNCTION("""COMPUTED_VALUE"""),1.0)</f>
        <v>1</v>
      </c>
      <c r="L7083" s="17">
        <f>IFERROR(__xludf.DUMMYFUNCTION("""COMPUTED_VALUE"""),3.105789664E9)</f>
        <v>3105789664</v>
      </c>
      <c r="M7083" s="17"/>
      <c r="N7083" s="17"/>
      <c r="O7083" s="17"/>
      <c r="P7083" s="17" t="b">
        <f>IFERROR(__xludf.DUMMYFUNCTION("""COMPUTED_VALUE"""),FALSE)</f>
        <v>0</v>
      </c>
      <c r="Q7083" s="20" t="str">
        <f>IFERROR(__xludf.DUMMYFUNCTION("""COMPUTED_VALUE"""),"")</f>
        <v/>
      </c>
      <c r="R7083" s="22" t="str">
        <f>IFERROR(__xludf.DUMMYFUNCTION("""COMPUTED_VALUE"""),"")</f>
        <v/>
      </c>
    </row>
    <row r="7084">
      <c r="A7084" s="15">
        <f>IFERROR(__xludf.DUMMYFUNCTION("""COMPUTED_VALUE"""),45202.0)</f>
        <v>45202</v>
      </c>
      <c r="B7084" s="16" t="str">
        <f>IFERROR(__xludf.DUMMYFUNCTION("""COMPUTED_VALUE"""),"Duvan Gabriel Alvarez Giron")</f>
        <v>Duvan Gabriel Alvarez Giron</v>
      </c>
      <c r="C7084" s="15" t="str">
        <f>IFERROR(__xludf.DUMMYFUNCTION("""COMPUTED_VALUE"""),"IBAGUÉ")</f>
        <v>IBAGUÉ</v>
      </c>
      <c r="D7084" s="15" t="str">
        <f>IFERROR(__xludf.DUMMYFUNCTION("""COMPUTED_VALUE"""),"BOGOTÁ")</f>
        <v>BOGOTÁ</v>
      </c>
      <c r="E7084" s="15" t="str">
        <f>IFERROR(__xludf.DUMMYFUNCTION("""COMPUTED_VALUE"""),"Evamazzita")</f>
        <v>Evamazzita</v>
      </c>
      <c r="F7084" s="17" t="str">
        <f>IFERROR(__xludf.DUMMYFUNCTION("""COMPUTED_VALUE"""),"Manzana 5/Casa 11 / Praderas de santa rita/Etapa 1/Segundo piso")</f>
        <v>Manzana 5/Casa 11 / Praderas de santa rita/Etapa 1/Segundo piso</v>
      </c>
      <c r="G7084" s="15" t="str">
        <f>IFERROR(__xludf.DUMMYFUNCTION("""COMPUTED_VALUE"""),"KATHERIN LILIANA RICO RIVERA")</f>
        <v>KATHERIN LILIANA RICO RIVERA</v>
      </c>
      <c r="H7084" s="16">
        <f>IFERROR(__xludf.DUMMYFUNCTION("""COMPUTED_VALUE"""),15868.0)</f>
        <v>15868</v>
      </c>
      <c r="I7084" s="18">
        <f>IFERROR(__xludf.DUMMYFUNCTION("""COMPUTED_VALUE"""),1.0)</f>
        <v>1</v>
      </c>
      <c r="J7084" s="18">
        <f>IFERROR(__xludf.DUMMYFUNCTION("""COMPUTED_VALUE"""),1.0)</f>
        <v>1</v>
      </c>
      <c r="K7084" s="18">
        <f>IFERROR(__xludf.DUMMYFUNCTION("""COMPUTED_VALUE"""),1.0)</f>
        <v>1</v>
      </c>
      <c r="L7084" s="17">
        <f>IFERROR(__xludf.DUMMYFUNCTION("""COMPUTED_VALUE"""),3.153124024E9)</f>
        <v>3153124024</v>
      </c>
      <c r="M7084" s="17"/>
      <c r="N7084" s="17"/>
      <c r="O7084" s="17"/>
      <c r="P7084" s="17" t="b">
        <f>IFERROR(__xludf.DUMMYFUNCTION("""COMPUTED_VALUE"""),FALSE)</f>
        <v>0</v>
      </c>
      <c r="Q7084" s="20" t="str">
        <f>IFERROR(__xludf.DUMMYFUNCTION("""COMPUTED_VALUE"""),"")</f>
        <v/>
      </c>
      <c r="R7084" s="22" t="str">
        <f>IFERROR(__xludf.DUMMYFUNCTION("""COMPUTED_VALUE"""),"")</f>
        <v/>
      </c>
    </row>
    <row r="7085">
      <c r="A7085" s="15">
        <f>IFERROR(__xludf.DUMMYFUNCTION("""COMPUTED_VALUE"""),45202.0)</f>
        <v>45202</v>
      </c>
      <c r="B7085" s="16" t="str">
        <f>IFERROR(__xludf.DUMMYFUNCTION("""COMPUTED_VALUE"""),"Duvan Gabriel Alvarez Giron")</f>
        <v>Duvan Gabriel Alvarez Giron</v>
      </c>
      <c r="C7085" s="15" t="str">
        <f>IFERROR(__xludf.DUMMYFUNCTION("""COMPUTED_VALUE"""),"IBAGUÉ")</f>
        <v>IBAGUÉ</v>
      </c>
      <c r="D7085" s="15" t="str">
        <f>IFERROR(__xludf.DUMMYFUNCTION("""COMPUTED_VALUE"""),"BOGOTÁ")</f>
        <v>BOGOTÁ</v>
      </c>
      <c r="E7085" s="15" t="str">
        <f>IFERROR(__xludf.DUMMYFUNCTION("""COMPUTED_VALUE"""),"Evamazzita")</f>
        <v>Evamazzita</v>
      </c>
      <c r="F7085" s="17" t="str">
        <f>IFERROR(__xludf.DUMMYFUNCTION("""COMPUTED_VALUE"""),"Manzana B2/Casa 11 / Manzana B2/Casa 11")</f>
        <v>Manzana B2/Casa 11 / Manzana B2/Casa 11</v>
      </c>
      <c r="G7085" s="15" t="str">
        <f>IFERROR(__xludf.DUMMYFUNCTION("""COMPUTED_VALUE"""),"YENNY MARCELA MEDINA")</f>
        <v>YENNY MARCELA MEDINA</v>
      </c>
      <c r="H7085" s="16">
        <f>IFERROR(__xludf.DUMMYFUNCTION("""COMPUTED_VALUE"""),15867.0)</f>
        <v>15867</v>
      </c>
      <c r="I7085" s="18">
        <f>IFERROR(__xludf.DUMMYFUNCTION("""COMPUTED_VALUE"""),1.0)</f>
        <v>1</v>
      </c>
      <c r="J7085" s="18">
        <f>IFERROR(__xludf.DUMMYFUNCTION("""COMPUTED_VALUE"""),1.0)</f>
        <v>1</v>
      </c>
      <c r="K7085" s="18">
        <f>IFERROR(__xludf.DUMMYFUNCTION("""COMPUTED_VALUE"""),1.0)</f>
        <v>1</v>
      </c>
      <c r="L7085" s="17">
        <f>IFERROR(__xludf.DUMMYFUNCTION("""COMPUTED_VALUE"""),3.166272652E9)</f>
        <v>3166272652</v>
      </c>
      <c r="M7085" s="17"/>
      <c r="N7085" s="17"/>
      <c r="O7085" s="17"/>
      <c r="P7085" s="17" t="b">
        <f>IFERROR(__xludf.DUMMYFUNCTION("""COMPUTED_VALUE"""),FALSE)</f>
        <v>0</v>
      </c>
      <c r="Q7085" s="20" t="str">
        <f>IFERROR(__xludf.DUMMYFUNCTION("""COMPUTED_VALUE"""),"")</f>
        <v/>
      </c>
      <c r="R7085" s="22" t="str">
        <f>IFERROR(__xludf.DUMMYFUNCTION("""COMPUTED_VALUE"""),"")</f>
        <v/>
      </c>
    </row>
    <row r="7086">
      <c r="A7086" s="17" t="str">
        <f>IFERROR(__xludf.DUMMYFUNCTION("""COMPUTED_VALUE"""),"")</f>
        <v/>
      </c>
      <c r="B7086" s="17" t="str">
        <f>IFERROR(__xludf.DUMMYFUNCTION("""COMPUTED_VALUE"""),"")</f>
        <v/>
      </c>
      <c r="C7086" s="17" t="str">
        <f>IFERROR(__xludf.DUMMYFUNCTION("""COMPUTED_VALUE"""),"")</f>
        <v/>
      </c>
      <c r="D7086" s="17" t="str">
        <f>IFERROR(__xludf.DUMMYFUNCTION("""COMPUTED_VALUE"""),"")</f>
        <v/>
      </c>
      <c r="E7086" s="17" t="str">
        <f>IFERROR(__xludf.DUMMYFUNCTION("""COMPUTED_VALUE"""),"")</f>
        <v/>
      </c>
      <c r="F7086" s="17" t="str">
        <f>IFERROR(__xludf.DUMMYFUNCTION("""COMPUTED_VALUE"""),"")</f>
        <v/>
      </c>
      <c r="G7086" s="17" t="str">
        <f>IFERROR(__xludf.DUMMYFUNCTION("""COMPUTED_VALUE"""),"")</f>
        <v/>
      </c>
      <c r="H7086" s="17" t="str">
        <f>IFERROR(__xludf.DUMMYFUNCTION("""COMPUTED_VALUE"""),"")</f>
        <v/>
      </c>
      <c r="I7086" s="17" t="str">
        <f>IFERROR(__xludf.DUMMYFUNCTION("""COMPUTED_VALUE"""),"")</f>
        <v/>
      </c>
      <c r="J7086" s="17" t="str">
        <f>IFERROR(__xludf.DUMMYFUNCTION("""COMPUTED_VALUE"""),"")</f>
        <v/>
      </c>
      <c r="K7086" s="17" t="str">
        <f>IFERROR(__xludf.DUMMYFUNCTION("""COMPUTED_VALUE"""),"")</f>
        <v/>
      </c>
      <c r="L7086" s="17" t="str">
        <f>IFERROR(__xludf.DUMMYFUNCTION("""COMPUTED_VALUE"""),"")</f>
        <v/>
      </c>
      <c r="M7086" s="17" t="str">
        <f>IFERROR(__xludf.DUMMYFUNCTION("""COMPUTED_VALUE"""),"")</f>
        <v/>
      </c>
      <c r="N7086" s="17" t="str">
        <f>IFERROR(__xludf.DUMMYFUNCTION("""COMPUTED_VALUE"""),"")</f>
        <v/>
      </c>
      <c r="O7086" s="17" t="str">
        <f>IFERROR(__xludf.DUMMYFUNCTION("""COMPUTED_VALUE"""),"")</f>
        <v/>
      </c>
      <c r="P7086" s="17" t="str">
        <f>IFERROR(__xludf.DUMMYFUNCTION("""COMPUTED_VALUE"""),"")</f>
        <v/>
      </c>
      <c r="Q7086" s="17" t="str">
        <f>IFERROR(__xludf.DUMMYFUNCTION("""COMPUTED_VALUE"""),"")</f>
        <v/>
      </c>
      <c r="R7086" s="17" t="str">
        <f>IFERROR(__xludf.DUMMYFUNCTION("""COMPUTED_VALUE"""),"")</f>
        <v/>
      </c>
    </row>
    <row r="7087">
      <c r="A7087" s="15">
        <f>IFERROR(__xludf.DUMMYFUNCTION("""COMPUTED_VALUE"""),45202.0)</f>
        <v>45202</v>
      </c>
      <c r="B7087" s="16" t="str">
        <f>IFERROR(__xludf.DUMMYFUNCTION("""COMPUTED_VALUE"""),"Edwin fernelly Valencia velez")</f>
        <v>Edwin fernelly Valencia velez</v>
      </c>
      <c r="C7087" s="15" t="str">
        <f>IFERROR(__xludf.DUMMYFUNCTION("""COMPUTED_VALUE"""),"PALMIRA")</f>
        <v>PALMIRA</v>
      </c>
      <c r="D7087" s="15" t="str">
        <f>IFERROR(__xludf.DUMMYFUNCTION("""COMPUTED_VALUE"""),"BOGOTÁ")</f>
        <v>BOGOTÁ</v>
      </c>
      <c r="E7087" s="15" t="str">
        <f>IFERROR(__xludf.DUMMYFUNCTION("""COMPUTED_VALUE"""),"Evamazzita")</f>
        <v>Evamazzita</v>
      </c>
      <c r="F7087" s="17" t="str">
        <f>IFERROR(__xludf.DUMMYFUNCTION("""COMPUTED_VALUE"""),"Calle 65 e 31 b 62 / villa Praga Zamorano""")</f>
        <v>Calle 65 e 31 b 62 / villa Praga Zamorano"</v>
      </c>
      <c r="G7087" s="15" t="str">
        <f>IFERROR(__xludf.DUMMYFUNCTION("""COMPUTED_VALUE"""),"YULI PATRICIA MALTE ROMERO")</f>
        <v>YULI PATRICIA MALTE ROMERO</v>
      </c>
      <c r="H7087" s="16">
        <f>IFERROR(__xludf.DUMMYFUNCTION("""COMPUTED_VALUE"""),15851.0)</f>
        <v>15851</v>
      </c>
      <c r="I7087" s="18">
        <f>IFERROR(__xludf.DUMMYFUNCTION("""COMPUTED_VALUE"""),1.0)</f>
        <v>1</v>
      </c>
      <c r="J7087" s="18">
        <f>IFERROR(__xludf.DUMMYFUNCTION("""COMPUTED_VALUE"""),1.0)</f>
        <v>1</v>
      </c>
      <c r="K7087" s="18">
        <f>IFERROR(__xludf.DUMMYFUNCTION("""COMPUTED_VALUE"""),1.0)</f>
        <v>1</v>
      </c>
      <c r="L7087" s="17">
        <f>IFERROR(__xludf.DUMMYFUNCTION("""COMPUTED_VALUE"""),3.186474996E9)</f>
        <v>3186474996</v>
      </c>
      <c r="M7087" s="17"/>
      <c r="N7087" s="17"/>
      <c r="O7087" s="17"/>
      <c r="P7087" s="17" t="b">
        <f>IFERROR(__xludf.DUMMYFUNCTION("""COMPUTED_VALUE"""),FALSE)</f>
        <v>0</v>
      </c>
      <c r="Q7087" s="20" t="str">
        <f>IFERROR(__xludf.DUMMYFUNCTION("""COMPUTED_VALUE"""),"")</f>
        <v/>
      </c>
      <c r="R7087" s="21" t="str">
        <f>IFERROR(__xludf.DUMMYFUNCTION("""COMPUTED_VALUE"""),"https://drive.google.com/file/d/1Fc78y68j0LnjD5RHBNV7CXKu4qXohW7h/view?usp=drivesdk")</f>
        <v>https://drive.google.com/file/d/1Fc78y68j0LnjD5RHBNV7CXKu4qXohW7h/view?usp=drivesdk</v>
      </c>
    </row>
    <row r="7088">
      <c r="A7088" s="17" t="str">
        <f>IFERROR(__xludf.DUMMYFUNCTION("""COMPUTED_VALUE"""),"")</f>
        <v/>
      </c>
      <c r="B7088" s="17" t="str">
        <f>IFERROR(__xludf.DUMMYFUNCTION("""COMPUTED_VALUE"""),"")</f>
        <v/>
      </c>
      <c r="C7088" s="17" t="str">
        <f>IFERROR(__xludf.DUMMYFUNCTION("""COMPUTED_VALUE"""),"")</f>
        <v/>
      </c>
      <c r="D7088" s="17" t="str">
        <f>IFERROR(__xludf.DUMMYFUNCTION("""COMPUTED_VALUE"""),"")</f>
        <v/>
      </c>
      <c r="E7088" s="17" t="str">
        <f>IFERROR(__xludf.DUMMYFUNCTION("""COMPUTED_VALUE"""),"")</f>
        <v/>
      </c>
      <c r="F7088" s="17" t="str">
        <f>IFERROR(__xludf.DUMMYFUNCTION("""COMPUTED_VALUE"""),"")</f>
        <v/>
      </c>
      <c r="G7088" s="17" t="str">
        <f>IFERROR(__xludf.DUMMYFUNCTION("""COMPUTED_VALUE"""),"")</f>
        <v/>
      </c>
      <c r="H7088" s="17" t="str">
        <f>IFERROR(__xludf.DUMMYFUNCTION("""COMPUTED_VALUE"""),"")</f>
        <v/>
      </c>
      <c r="I7088" s="17" t="str">
        <f>IFERROR(__xludf.DUMMYFUNCTION("""COMPUTED_VALUE"""),"")</f>
        <v/>
      </c>
      <c r="J7088" s="17" t="str">
        <f>IFERROR(__xludf.DUMMYFUNCTION("""COMPUTED_VALUE"""),"")</f>
        <v/>
      </c>
      <c r="K7088" s="17" t="str">
        <f>IFERROR(__xludf.DUMMYFUNCTION("""COMPUTED_VALUE"""),"")</f>
        <v/>
      </c>
      <c r="L7088" s="17" t="str">
        <f>IFERROR(__xludf.DUMMYFUNCTION("""COMPUTED_VALUE"""),"")</f>
        <v/>
      </c>
      <c r="M7088" s="17" t="str">
        <f>IFERROR(__xludf.DUMMYFUNCTION("""COMPUTED_VALUE"""),"")</f>
        <v/>
      </c>
      <c r="N7088" s="17" t="str">
        <f>IFERROR(__xludf.DUMMYFUNCTION("""COMPUTED_VALUE"""),"")</f>
        <v/>
      </c>
      <c r="O7088" s="17" t="str">
        <f>IFERROR(__xludf.DUMMYFUNCTION("""COMPUTED_VALUE"""),"")</f>
        <v/>
      </c>
      <c r="P7088" s="17" t="str">
        <f>IFERROR(__xludf.DUMMYFUNCTION("""COMPUTED_VALUE"""),"")</f>
        <v/>
      </c>
      <c r="Q7088" s="17" t="str">
        <f>IFERROR(__xludf.DUMMYFUNCTION("""COMPUTED_VALUE"""),"")</f>
        <v/>
      </c>
      <c r="R7088" s="17" t="str">
        <f>IFERROR(__xludf.DUMMYFUNCTION("""COMPUTED_VALUE"""),"")</f>
        <v/>
      </c>
    </row>
    <row r="7089">
      <c r="A7089" s="15">
        <f>IFERROR(__xludf.DUMMYFUNCTION("""COMPUTED_VALUE"""),45202.0)</f>
        <v>45202</v>
      </c>
      <c r="B7089" s="16" t="str">
        <f>IFERROR(__xludf.DUMMYFUNCTION("""COMPUTED_VALUE"""),"Envia")</f>
        <v>Envia</v>
      </c>
      <c r="C7089" s="15" t="str">
        <f>IFERROR(__xludf.DUMMYFUNCTION("""COMPUTED_VALUE"""),"BELLO")</f>
        <v>BELLO</v>
      </c>
      <c r="D7089" s="15" t="str">
        <f>IFERROR(__xludf.DUMMYFUNCTION("""COMPUTED_VALUE"""),"BOGOTÁ")</f>
        <v>BOGOTÁ</v>
      </c>
      <c r="E7089" s="15" t="str">
        <f>IFERROR(__xludf.DUMMYFUNCTION("""COMPUTED_VALUE"""),"Evamazzita")</f>
        <v>Evamazzita</v>
      </c>
      <c r="F7089" s="17" t="str">
        <f>IFERROR(__xludf.DUMMYFUNCTION("""COMPUTED_VALUE"""),"Calle 37#43a-56 / Toledo Camprestre/Apto 2307/Torre 2")</f>
        <v>Calle 37#43a-56 / Toledo Camprestre/Apto 2307/Torre 2</v>
      </c>
      <c r="G7089" s="15" t="str">
        <f>IFERROR(__xludf.DUMMYFUNCTION("""COMPUTED_VALUE"""),"VALENTINA RODRIGUEZ NIEVES")</f>
        <v>VALENTINA RODRIGUEZ NIEVES</v>
      </c>
      <c r="H7089" s="16">
        <f>IFERROR(__xludf.DUMMYFUNCTION("""COMPUTED_VALUE"""),15859.0)</f>
        <v>15859</v>
      </c>
      <c r="I7089" s="18">
        <f>IFERROR(__xludf.DUMMYFUNCTION("""COMPUTED_VALUE"""),1.0)</f>
        <v>1</v>
      </c>
      <c r="J7089" s="18">
        <f>IFERROR(__xludf.DUMMYFUNCTION("""COMPUTED_VALUE"""),1.0)</f>
        <v>1</v>
      </c>
      <c r="K7089" s="18">
        <f>IFERROR(__xludf.DUMMYFUNCTION("""COMPUTED_VALUE"""),1.0)</f>
        <v>1</v>
      </c>
      <c r="L7089" s="17">
        <f>IFERROR(__xludf.DUMMYFUNCTION("""COMPUTED_VALUE"""),3.045595628E9)</f>
        <v>3045595628</v>
      </c>
      <c r="M7089" s="17"/>
      <c r="N7089" s="17"/>
      <c r="O7089" s="17"/>
      <c r="P7089" s="17" t="b">
        <f>IFERROR(__xludf.DUMMYFUNCTION("""COMPUTED_VALUE"""),FALSE)</f>
        <v>0</v>
      </c>
      <c r="Q7089" s="20" t="str">
        <f>IFERROR(__xludf.DUMMYFUNCTION("""COMPUTED_VALUE"""),"")</f>
        <v/>
      </c>
      <c r="R7089" s="21" t="str">
        <f>IFERROR(__xludf.DUMMYFUNCTION("""COMPUTED_VALUE"""),"https://drive.google.com/file/d/1BRhffgz2cLQECFrdaFFSWDWJeBdDOdtY/view?usp=drivesdk")</f>
        <v>https://drive.google.com/file/d/1BRhffgz2cLQECFrdaFFSWDWJeBdDOdtY/view?usp=drivesdk</v>
      </c>
    </row>
    <row r="7090">
      <c r="A7090" s="15">
        <f>IFERROR(__xludf.DUMMYFUNCTION("""COMPUTED_VALUE"""),45202.0)</f>
        <v>45202</v>
      </c>
      <c r="B7090" s="16" t="str">
        <f>IFERROR(__xludf.DUMMYFUNCTION("""COMPUTED_VALUE"""),"Envia")</f>
        <v>Envia</v>
      </c>
      <c r="C7090" s="15" t="str">
        <f>IFERROR(__xludf.DUMMYFUNCTION("""COMPUTED_VALUE"""),"BUCARAMANGA")</f>
        <v>BUCARAMANGA</v>
      </c>
      <c r="D7090" s="15" t="str">
        <f>IFERROR(__xludf.DUMMYFUNCTION("""COMPUTED_VALUE"""),"BOGOTÁ")</f>
        <v>BOGOTÁ</v>
      </c>
      <c r="E7090" s="15" t="str">
        <f>IFERROR(__xludf.DUMMYFUNCTION("""COMPUTED_VALUE"""),"Athenas")</f>
        <v>Athenas</v>
      </c>
      <c r="F7090" s="17" t="str">
        <f>IFERROR(__xludf.DUMMYFUNCTION("""COMPUTED_VALUE"""),"Transversal el bosque #29-145 / Sede Caracoli bodytech cafeteria / Florida blanca")</f>
        <v>Transversal el bosque #29-145 / Sede Caracoli bodytech cafeteria / Florida blanca</v>
      </c>
      <c r="G7090" s="15" t="str">
        <f>IFERROR(__xludf.DUMMYFUNCTION("""COMPUTED_VALUE"""),"Mónica Nuñez")</f>
        <v>Mónica Nuñez</v>
      </c>
      <c r="H7090" s="16">
        <f>IFERROR(__xludf.DUMMYFUNCTION("""COMPUTED_VALUE"""),15766.0)</f>
        <v>15766</v>
      </c>
      <c r="I7090" s="18" t="str">
        <f>IFERROR(__xludf.DUMMYFUNCTION("""COMPUTED_VALUE"""),"52.5")</f>
        <v>52.5</v>
      </c>
      <c r="J7090" s="18">
        <f>IFERROR(__xludf.DUMMYFUNCTION("""COMPUTED_VALUE"""),55.0)</f>
        <v>55</v>
      </c>
      <c r="K7090" s="18">
        <f>IFERROR(__xludf.DUMMYFUNCTION("""COMPUTED_VALUE"""),45.0)</f>
        <v>45</v>
      </c>
      <c r="L7090" s="17">
        <f>IFERROR(__xludf.DUMMYFUNCTION("""COMPUTED_VALUE"""),3.223812644E9)</f>
        <v>3223812644</v>
      </c>
      <c r="M7090" s="17"/>
      <c r="N7090" s="17"/>
      <c r="O7090" s="17"/>
      <c r="P7090" s="17" t="b">
        <f>IFERROR(__xludf.DUMMYFUNCTION("""COMPUTED_VALUE"""),FALSE)</f>
        <v>0</v>
      </c>
      <c r="Q7090" s="20" t="str">
        <f>IFERROR(__xludf.DUMMYFUNCTION("""COMPUTED_VALUE"""),"")</f>
        <v/>
      </c>
      <c r="R7090" s="22" t="str">
        <f>IFERROR(__xludf.DUMMYFUNCTION("""COMPUTED_VALUE"""),"")</f>
        <v/>
      </c>
    </row>
    <row r="7091">
      <c r="A7091" s="15">
        <f>IFERROR(__xludf.DUMMYFUNCTION("""COMPUTED_VALUE"""),45202.0)</f>
        <v>45202</v>
      </c>
      <c r="B7091" s="16" t="str">
        <f>IFERROR(__xludf.DUMMYFUNCTION("""COMPUTED_VALUE"""),"Envia")</f>
        <v>Envia</v>
      </c>
      <c r="C7091" s="15" t="str">
        <f>IFERROR(__xludf.DUMMYFUNCTION("""COMPUTED_VALUE"""),"CALI")</f>
        <v>CALI</v>
      </c>
      <c r="D7091" s="15" t="str">
        <f>IFERROR(__xludf.DUMMYFUNCTION("""COMPUTED_VALUE"""),"BOGOTÁ")</f>
        <v>BOGOTÁ</v>
      </c>
      <c r="E7091" s="15" t="str">
        <f>IFERROR(__xludf.DUMMYFUNCTION("""COMPUTED_VALUE"""),"Helados Socos")</f>
        <v>Helados Socos</v>
      </c>
      <c r="F7091" s="17" t="str">
        <f>IFERROR(__xludf.DUMMYFUNCTION("""COMPUTED_VALUE"""),"Cll 15 B # 107 - 41  / Casa / Ciudad jardín")</f>
        <v>Cll 15 B # 107 - 41  / Casa / Ciudad jardín</v>
      </c>
      <c r="G7091" s="15" t="str">
        <f>IFERROR(__xludf.DUMMYFUNCTION("""COMPUTED_VALUE"""),"Inés Falabella")</f>
        <v>Inés Falabella</v>
      </c>
      <c r="H7091" s="16">
        <f>IFERROR(__xludf.DUMMYFUNCTION("""COMPUTED_VALUE"""),15780.0)</f>
        <v>15780</v>
      </c>
      <c r="I7091" s="18">
        <f>IFERROR(__xludf.DUMMYFUNCTION("""COMPUTED_VALUE"""),10.0)</f>
        <v>10</v>
      </c>
      <c r="J7091" s="18">
        <f>IFERROR(__xludf.DUMMYFUNCTION("""COMPUTED_VALUE"""),10.0)</f>
        <v>10</v>
      </c>
      <c r="K7091" s="18">
        <f>IFERROR(__xludf.DUMMYFUNCTION("""COMPUTED_VALUE"""),15.0)</f>
        <v>15</v>
      </c>
      <c r="L7091" s="17">
        <f>IFERROR(__xludf.DUMMYFUNCTION("""COMPUTED_VALUE"""),3.155050104E9)</f>
        <v>3155050104</v>
      </c>
      <c r="M7091" s="17"/>
      <c r="N7091" s="17"/>
      <c r="O7091" s="17"/>
      <c r="P7091" s="17" t="b">
        <f>IFERROR(__xludf.DUMMYFUNCTION("""COMPUTED_VALUE"""),TRUE)</f>
        <v>1</v>
      </c>
      <c r="Q7091" s="20">
        <f>IFERROR(__xludf.DUMMYFUNCTION("""COMPUTED_VALUE"""),45202.757197812505)</f>
        <v>45202.7572</v>
      </c>
      <c r="R7091" s="21" t="str">
        <f>IFERROR(__xludf.DUMMYFUNCTION("""COMPUTED_VALUE"""),"https://drive.google.com/file/d/13v5tvUXh5SCVIn53B9gRD9vXNtrkNkl-/view?usp=drivesdk")</f>
        <v>https://drive.google.com/file/d/13v5tvUXh5SCVIn53B9gRD9vXNtrkNkl-/view?usp=drivesdk</v>
      </c>
    </row>
    <row r="7092">
      <c r="A7092" s="15">
        <f>IFERROR(__xludf.DUMMYFUNCTION("""COMPUTED_VALUE"""),45202.0)</f>
        <v>45202</v>
      </c>
      <c r="B7092" s="16" t="str">
        <f>IFERROR(__xludf.DUMMYFUNCTION("""COMPUTED_VALUE"""),"Envia")</f>
        <v>Envia</v>
      </c>
      <c r="C7092" s="15" t="str">
        <f>IFERROR(__xludf.DUMMYFUNCTION("""COMPUTED_VALUE"""),"DOS QUEBRADAS")</f>
        <v>DOS QUEBRADAS</v>
      </c>
      <c r="D7092" s="15" t="str">
        <f>IFERROR(__xludf.DUMMYFUNCTION("""COMPUTED_VALUE"""),"BOGOTÁ")</f>
        <v>BOGOTÁ</v>
      </c>
      <c r="E7092" s="15" t="str">
        <f>IFERROR(__xludf.DUMMYFUNCTION("""COMPUTED_VALUE"""),"Evamazzita")</f>
        <v>Evamazzita</v>
      </c>
      <c r="F7092" s="17" t="str">
        <f>IFERROR(__xludf.DUMMYFUNCTION("""COMPUTED_VALUE"""),"CRA 8A No. 15 - 107 / TORRES DE SANTA MARTA APTO 701 TORRE 2")</f>
        <v>CRA 8A No. 15 - 107 / TORRES DE SANTA MARTA APTO 701 TORRE 2</v>
      </c>
      <c r="G7092" s="15" t="str">
        <f>IFERROR(__xludf.DUMMYFUNCTION("""COMPUTED_VALUE"""),"CLAUDIA LORENA DUQUE")</f>
        <v>CLAUDIA LORENA DUQUE</v>
      </c>
      <c r="H7092" s="16">
        <f>IFERROR(__xludf.DUMMYFUNCTION("""COMPUTED_VALUE"""),15848.0)</f>
        <v>15848</v>
      </c>
      <c r="I7092" s="18">
        <f>IFERROR(__xludf.DUMMYFUNCTION("""COMPUTED_VALUE"""),1.0)</f>
        <v>1</v>
      </c>
      <c r="J7092" s="18">
        <f>IFERROR(__xludf.DUMMYFUNCTION("""COMPUTED_VALUE"""),1.0)</f>
        <v>1</v>
      </c>
      <c r="K7092" s="18">
        <f>IFERROR(__xludf.DUMMYFUNCTION("""COMPUTED_VALUE"""),1.0)</f>
        <v>1</v>
      </c>
      <c r="L7092" s="17">
        <f>IFERROR(__xludf.DUMMYFUNCTION("""COMPUTED_VALUE"""),3.216059633E9)</f>
        <v>3216059633</v>
      </c>
      <c r="M7092" s="17"/>
      <c r="N7092" s="17"/>
      <c r="O7092" s="17"/>
      <c r="P7092" s="17" t="b">
        <f>IFERROR(__xludf.DUMMYFUNCTION("""COMPUTED_VALUE"""),FALSE)</f>
        <v>0</v>
      </c>
      <c r="Q7092" s="20" t="str">
        <f>IFERROR(__xludf.DUMMYFUNCTION("""COMPUTED_VALUE"""),"")</f>
        <v/>
      </c>
      <c r="R7092" s="21" t="str">
        <f>IFERROR(__xludf.DUMMYFUNCTION("""COMPUTED_VALUE"""),"https://drive.google.com/file/d/1OPNAfbXcUpuhB5gCvSpSW2qr89RuxFPY/view?usp=drivesdk")</f>
        <v>https://drive.google.com/file/d/1OPNAfbXcUpuhB5gCvSpSW2qr89RuxFPY/view?usp=drivesdk</v>
      </c>
    </row>
    <row r="7093">
      <c r="A7093" s="15">
        <f>IFERROR(__xludf.DUMMYFUNCTION("""COMPUTED_VALUE"""),45202.0)</f>
        <v>45202</v>
      </c>
      <c r="B7093" s="16" t="str">
        <f>IFERROR(__xludf.DUMMYFUNCTION("""COMPUTED_VALUE"""),"Envia")</f>
        <v>Envia</v>
      </c>
      <c r="C7093" s="15" t="str">
        <f>IFERROR(__xludf.DUMMYFUNCTION("""COMPUTED_VALUE"""),"ENVIGADO")</f>
        <v>ENVIGADO</v>
      </c>
      <c r="D7093" s="15" t="str">
        <f>IFERROR(__xludf.DUMMYFUNCTION("""COMPUTED_VALUE"""),"BOGOTÁ")</f>
        <v>BOGOTÁ</v>
      </c>
      <c r="E7093" s="15" t="str">
        <f>IFERROR(__xludf.DUMMYFUNCTION("""COMPUTED_VALUE"""),"Orso")</f>
        <v>Orso</v>
      </c>
      <c r="F7093" s="17" t="str">
        <f>IFERROR(__xludf.DUMMYFUNCTION("""COMPUTED_VALUE"""),"Cra. 27 #23 Sur-120, San Jorge, Envigado, Antioquia / RAPPI TURBO MEDELLÍN / SAN JORGE - ENVIGADO - ANTIOQUIA")</f>
        <v>Cra. 27 #23 Sur-120, San Jorge, Envigado, Antioquia / RAPPI TURBO MEDELLÍN / SAN JORGE - ENVIGADO - ANTIOQUIA</v>
      </c>
      <c r="G7093" s="15" t="str">
        <f>IFERROR(__xludf.DUMMYFUNCTION("""COMPUTED_VALUE"""),"Carolina Velez")</f>
        <v>Carolina Velez</v>
      </c>
      <c r="H7093" s="16">
        <f>IFERROR(__xludf.DUMMYFUNCTION("""COMPUTED_VALUE"""),15726.0)</f>
        <v>15726</v>
      </c>
      <c r="I7093" s="18">
        <f>IFERROR(__xludf.DUMMYFUNCTION("""COMPUTED_VALUE"""),1.0)</f>
        <v>1</v>
      </c>
      <c r="J7093" s="18">
        <f>IFERROR(__xludf.DUMMYFUNCTION("""COMPUTED_VALUE"""),1.0)</f>
        <v>1</v>
      </c>
      <c r="K7093" s="18">
        <f>IFERROR(__xludf.DUMMYFUNCTION("""COMPUTED_VALUE"""),1.0)</f>
        <v>1</v>
      </c>
      <c r="L7093" s="17">
        <f>IFERROR(__xludf.DUMMYFUNCTION("""COMPUTED_VALUE"""),3.012888007E9)</f>
        <v>3012888007</v>
      </c>
      <c r="M7093" s="17"/>
      <c r="N7093" s="17"/>
      <c r="O7093" s="17"/>
      <c r="P7093" s="17" t="b">
        <f>IFERROR(__xludf.DUMMYFUNCTION("""COMPUTED_VALUE"""),FALSE)</f>
        <v>0</v>
      </c>
      <c r="Q7093" s="20" t="str">
        <f>IFERROR(__xludf.DUMMYFUNCTION("""COMPUTED_VALUE"""),"")</f>
        <v/>
      </c>
      <c r="R7093" s="22" t="str">
        <f>IFERROR(__xludf.DUMMYFUNCTION("""COMPUTED_VALUE"""),"")</f>
        <v/>
      </c>
    </row>
    <row r="7094">
      <c r="A7094" s="15">
        <f>IFERROR(__xludf.DUMMYFUNCTION("""COMPUTED_VALUE"""),45202.0)</f>
        <v>45202</v>
      </c>
      <c r="B7094" s="16" t="str">
        <f>IFERROR(__xludf.DUMMYFUNCTION("""COMPUTED_VALUE"""),"Envia")</f>
        <v>Envia</v>
      </c>
      <c r="C7094" s="15" t="str">
        <f>IFERROR(__xludf.DUMMYFUNCTION("""COMPUTED_VALUE"""),"IBAGUÉ")</f>
        <v>IBAGUÉ</v>
      </c>
      <c r="D7094" s="15" t="str">
        <f>IFERROR(__xludf.DUMMYFUNCTION("""COMPUTED_VALUE"""),"BOGOTÁ")</f>
        <v>BOGOTÁ</v>
      </c>
      <c r="E7094" s="15" t="str">
        <f>IFERROR(__xludf.DUMMYFUNCTION("""COMPUTED_VALUE"""),"Frambascolombia sas")</f>
        <v>Frambascolombia sas</v>
      </c>
      <c r="F7094" s="17" t="str">
        <f>IFERROR(__xludf.DUMMYFUNCTION("""COMPUTED_VALUE"""),"Cra 14 # 75A-29 Local 5
 / local 2")</f>
        <v>Cra 14 # 75A-29 Local 5
 / local 2</v>
      </c>
      <c r="G7094" s="15" t="str">
        <f>IFERROR(__xludf.DUMMYFUNCTION("""COMPUTED_VALUE"""),"Daniela Tatiana Lopez Arbelaez")</f>
        <v>Daniela Tatiana Lopez Arbelaez</v>
      </c>
      <c r="H7094" s="16">
        <f>IFERROR(__xludf.DUMMYFUNCTION("""COMPUTED_VALUE"""),15889.0)</f>
        <v>15889</v>
      </c>
      <c r="I7094" s="18">
        <f>IFERROR(__xludf.DUMMYFUNCTION("""COMPUTED_VALUE"""),45057.0)</f>
        <v>45057</v>
      </c>
      <c r="J7094" s="18">
        <f>IFERROR(__xludf.DUMMYFUNCTION("""COMPUTED_VALUE"""),10.0)</f>
        <v>10</v>
      </c>
      <c r="K7094" s="18">
        <f>IFERROR(__xludf.DUMMYFUNCTION("""COMPUTED_VALUE"""),10.0)</f>
        <v>10</v>
      </c>
      <c r="L7094" s="17">
        <f>IFERROR(__xludf.DUMMYFUNCTION("""COMPUTED_VALUE"""),3.177002909E9)</f>
        <v>3177002909</v>
      </c>
      <c r="M7094" s="17"/>
      <c r="N7094" s="17"/>
      <c r="O7094" s="17"/>
      <c r="P7094" s="17" t="b">
        <f>IFERROR(__xludf.DUMMYFUNCTION("""COMPUTED_VALUE"""),FALSE)</f>
        <v>0</v>
      </c>
      <c r="Q7094" s="20" t="str">
        <f>IFERROR(__xludf.DUMMYFUNCTION("""COMPUTED_VALUE"""),"")</f>
        <v/>
      </c>
      <c r="R7094" s="22" t="str">
        <f>IFERROR(__xludf.DUMMYFUNCTION("""COMPUTED_VALUE"""),"")</f>
        <v/>
      </c>
    </row>
    <row r="7095">
      <c r="A7095" s="15">
        <f>IFERROR(__xludf.DUMMYFUNCTION("""COMPUTED_VALUE"""),45202.0)</f>
        <v>45202</v>
      </c>
      <c r="B7095" s="16" t="str">
        <f>IFERROR(__xludf.DUMMYFUNCTION("""COMPUTED_VALUE"""),"Envia")</f>
        <v>Envia</v>
      </c>
      <c r="C7095" s="15" t="str">
        <f>IFERROR(__xludf.DUMMYFUNCTION("""COMPUTED_VALUE"""),"IBAGUÉ")</f>
        <v>IBAGUÉ</v>
      </c>
      <c r="D7095" s="15" t="str">
        <f>IFERROR(__xludf.DUMMYFUNCTION("""COMPUTED_VALUE"""),"BOGOTÁ")</f>
        <v>BOGOTÁ</v>
      </c>
      <c r="E7095" s="15" t="str">
        <f>IFERROR(__xludf.DUMMYFUNCTION("""COMPUTED_VALUE"""),"Pan de Waffle")</f>
        <v>Pan de Waffle</v>
      </c>
      <c r="F7095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7095" s="15" t="str">
        <f>IFERROR(__xludf.DUMMYFUNCTION("""COMPUTED_VALUE"""),"SOY NATURAL SEDE EL VERGEL")</f>
        <v>SOY NATURAL SEDE EL VERGEL</v>
      </c>
      <c r="H7095" s="16">
        <f>IFERROR(__xludf.DUMMYFUNCTION("""COMPUTED_VALUE"""),15833.0)</f>
        <v>15833</v>
      </c>
      <c r="I7095" s="18">
        <f>IFERROR(__xludf.DUMMYFUNCTION("""COMPUTED_VALUE"""),40.0)</f>
        <v>40</v>
      </c>
      <c r="J7095" s="18">
        <f>IFERROR(__xludf.DUMMYFUNCTION("""COMPUTED_VALUE"""),40.0)</f>
        <v>40</v>
      </c>
      <c r="K7095" s="18">
        <f>IFERROR(__xludf.DUMMYFUNCTION("""COMPUTED_VALUE"""),40.0)</f>
        <v>40</v>
      </c>
      <c r="L7095" s="17">
        <f>IFERROR(__xludf.DUMMYFUNCTION("""COMPUTED_VALUE"""),3.208565148E9)</f>
        <v>3208565148</v>
      </c>
      <c r="M7095" s="17"/>
      <c r="N7095" s="17"/>
      <c r="O7095" s="17"/>
      <c r="P7095" s="17" t="b">
        <f>IFERROR(__xludf.DUMMYFUNCTION("""COMPUTED_VALUE"""),TRUE)</f>
        <v>1</v>
      </c>
      <c r="Q7095" s="20">
        <f>IFERROR(__xludf.DUMMYFUNCTION("""COMPUTED_VALUE"""),45202.61918018518)</f>
        <v>45202.61918</v>
      </c>
      <c r="R7095" s="22" t="str">
        <f>IFERROR(__xludf.DUMMYFUNCTION("""COMPUTED_VALUE"""),"")</f>
        <v/>
      </c>
    </row>
    <row r="7096">
      <c r="A7096" s="15">
        <f>IFERROR(__xludf.DUMMYFUNCTION("""COMPUTED_VALUE"""),45202.0)</f>
        <v>45202</v>
      </c>
      <c r="B7096" s="16" t="str">
        <f>IFERROR(__xludf.DUMMYFUNCTION("""COMPUTED_VALUE"""),"Envia")</f>
        <v>Envia</v>
      </c>
      <c r="C7096" s="15" t="str">
        <f>IFERROR(__xludf.DUMMYFUNCTION("""COMPUTED_VALUE"""),"MANIZALES")</f>
        <v>MANIZALES</v>
      </c>
      <c r="D7096" s="15" t="str">
        <f>IFERROR(__xludf.DUMMYFUNCTION("""COMPUTED_VALUE"""),"BOGOTÁ")</f>
        <v>BOGOTÁ</v>
      </c>
      <c r="E7096" s="15" t="str">
        <f>IFERROR(__xludf.DUMMYFUNCTION("""COMPUTED_VALUE"""),"Evamazzita")</f>
        <v>Evamazzita</v>
      </c>
      <c r="F7096" s="17" t="str">
        <f>IFERROR(__xludf.DUMMYFUNCTION("""COMPUTED_VALUE"""),"Cra 28D#70-46 / Palermo")</f>
        <v>Cra 28D#70-46 / Palermo</v>
      </c>
      <c r="G7096" s="15" t="str">
        <f>IFERROR(__xludf.DUMMYFUNCTION("""COMPUTED_VALUE"""),"PAULA XIMENA BOLAÑOS")</f>
        <v>PAULA XIMENA BOLAÑOS</v>
      </c>
      <c r="H7096" s="16">
        <f>IFERROR(__xludf.DUMMYFUNCTION("""COMPUTED_VALUE"""),15854.0)</f>
        <v>15854</v>
      </c>
      <c r="I7096" s="18">
        <f>IFERROR(__xludf.DUMMYFUNCTION("""COMPUTED_VALUE"""),1.0)</f>
        <v>1</v>
      </c>
      <c r="J7096" s="18">
        <f>IFERROR(__xludf.DUMMYFUNCTION("""COMPUTED_VALUE"""),1.0)</f>
        <v>1</v>
      </c>
      <c r="K7096" s="18">
        <f>IFERROR(__xludf.DUMMYFUNCTION("""COMPUTED_VALUE"""),1.0)</f>
        <v>1</v>
      </c>
      <c r="L7096" s="17">
        <f>IFERROR(__xludf.DUMMYFUNCTION("""COMPUTED_VALUE"""),3.10398467E9)</f>
        <v>3103984670</v>
      </c>
      <c r="M7096" s="17"/>
      <c r="N7096" s="17"/>
      <c r="O7096" s="17"/>
      <c r="P7096" s="17" t="b">
        <f>IFERROR(__xludf.DUMMYFUNCTION("""COMPUTED_VALUE"""),FALSE)</f>
        <v>0</v>
      </c>
      <c r="Q7096" s="20" t="str">
        <f>IFERROR(__xludf.DUMMYFUNCTION("""COMPUTED_VALUE"""),"")</f>
        <v/>
      </c>
      <c r="R7096" s="21" t="str">
        <f>IFERROR(__xludf.DUMMYFUNCTION("""COMPUTED_VALUE"""),"https://drive.google.com/file/d/1h-b3pV-AFG_pNnV2k8fvXjhnKYbvMVo1/view?usp=drivesdk")</f>
        <v>https://drive.google.com/file/d/1h-b3pV-AFG_pNnV2k8fvXjhnKYbvMVo1/view?usp=drivesdk</v>
      </c>
    </row>
    <row r="7097">
      <c r="A7097" s="15">
        <f>IFERROR(__xludf.DUMMYFUNCTION("""COMPUTED_VALUE"""),45202.0)</f>
        <v>45202</v>
      </c>
      <c r="B7097" s="16" t="str">
        <f>IFERROR(__xludf.DUMMYFUNCTION("""COMPUTED_VALUE"""),"Envia")</f>
        <v>Envia</v>
      </c>
      <c r="C7097" s="15" t="str">
        <f>IFERROR(__xludf.DUMMYFUNCTION("""COMPUTED_VALUE"""),"MEDELLÍN")</f>
        <v>MEDELLÍN</v>
      </c>
      <c r="D7097" s="15" t="str">
        <f>IFERROR(__xludf.DUMMYFUNCTION("""COMPUTED_VALUE"""),"BOGOTÁ")</f>
        <v>BOGOTÁ</v>
      </c>
      <c r="E7097" s="15" t="str">
        <f>IFERROR(__xludf.DUMMYFUNCTION("""COMPUTED_VALUE"""),"Eso es Queso")</f>
        <v>Eso es Queso</v>
      </c>
      <c r="F7097" s="17" t="str">
        <f>IFERROR(__xludf.DUMMYFUNCTION("""COMPUTED_VALUE"""),"Cra 27AA #36Sur 160. / Nativo Arena apto 1516 / Envigado, Antioquia. Sector cumbres")</f>
        <v>Cra 27AA #36Sur 160. / Nativo Arena apto 1516 / Envigado, Antioquia. Sector cumbres</v>
      </c>
      <c r="G7097" s="15" t="str">
        <f>IFERROR(__xludf.DUMMYFUNCTION("""COMPUTED_VALUE"""),"Daniel Marin")</f>
        <v>Daniel Marin</v>
      </c>
      <c r="H7097" s="16">
        <f>IFERROR(__xludf.DUMMYFUNCTION("""COMPUTED_VALUE"""),15786.0)</f>
        <v>15786</v>
      </c>
      <c r="I7097" s="18">
        <f>IFERROR(__xludf.DUMMYFUNCTION("""COMPUTED_VALUE"""),10.0)</f>
        <v>10</v>
      </c>
      <c r="J7097" s="18">
        <f>IFERROR(__xludf.DUMMYFUNCTION("""COMPUTED_VALUE"""),23.0)</f>
        <v>23</v>
      </c>
      <c r="K7097" s="18">
        <f>IFERROR(__xludf.DUMMYFUNCTION("""COMPUTED_VALUE"""),34.0)</f>
        <v>34</v>
      </c>
      <c r="L7097" s="17">
        <f>IFERROR(__xludf.DUMMYFUNCTION("""COMPUTED_VALUE"""),3.046308934E9)</f>
        <v>3046308934</v>
      </c>
      <c r="M7097" s="17"/>
      <c r="N7097" s="17"/>
      <c r="O7097" s="17"/>
      <c r="P7097" s="17" t="b">
        <f>IFERROR(__xludf.DUMMYFUNCTION("""COMPUTED_VALUE"""),FALSE)</f>
        <v>0</v>
      </c>
      <c r="Q7097" s="20" t="str">
        <f>IFERROR(__xludf.DUMMYFUNCTION("""COMPUTED_VALUE"""),"")</f>
        <v/>
      </c>
      <c r="R7097" s="21" t="str">
        <f>IFERROR(__xludf.DUMMYFUNCTION("""COMPUTED_VALUE"""),"https://drive.google.com/file/d/1ZYF5Dr8qdR9_bNjGEAgp1azSERZWAfF0/view?usp=drivesdk")</f>
        <v>https://drive.google.com/file/d/1ZYF5Dr8qdR9_bNjGEAgp1azSERZWAfF0/view?usp=drivesdk</v>
      </c>
    </row>
    <row r="7098">
      <c r="A7098" s="15">
        <f>IFERROR(__xludf.DUMMYFUNCTION("""COMPUTED_VALUE"""),45202.0)</f>
        <v>45202</v>
      </c>
      <c r="B7098" s="16" t="str">
        <f>IFERROR(__xludf.DUMMYFUNCTION("""COMPUTED_VALUE"""),"Envia")</f>
        <v>Envia</v>
      </c>
      <c r="C7098" s="15" t="str">
        <f>IFERROR(__xludf.DUMMYFUNCTION("""COMPUTED_VALUE"""),"MEDELLÍN")</f>
        <v>MEDELLÍN</v>
      </c>
      <c r="D7098" s="15" t="str">
        <f>IFERROR(__xludf.DUMMYFUNCTION("""COMPUTED_VALUE"""),"BOGOTÁ")</f>
        <v>BOGOTÁ</v>
      </c>
      <c r="E7098" s="15" t="str">
        <f>IFERROR(__xludf.DUMMYFUNCTION("""COMPUTED_VALUE"""),"Frambascolombia sas")</f>
        <v>Frambascolombia sas</v>
      </c>
      <c r="F7098" s="17" t="str">
        <f>IFERROR(__xludf.DUMMYFUNCTION("""COMPUTED_VALUE"""),"Cl. 16 #55-129 / local 2")</f>
        <v>Cl. 16 #55-129 / local 2</v>
      </c>
      <c r="G7098" s="15" t="str">
        <f>IFERROR(__xludf.DUMMYFUNCTION("""COMPUTED_VALUE"""),"PikNPak Medellín")</f>
        <v>PikNPak Medellín</v>
      </c>
      <c r="H7098" s="16">
        <f>IFERROR(__xludf.DUMMYFUNCTION("""COMPUTED_VALUE"""),15738.0)</f>
        <v>15738</v>
      </c>
      <c r="I7098" s="18">
        <f>IFERROR(__xludf.DUMMYFUNCTION("""COMPUTED_VALUE"""),8.0)</f>
        <v>8</v>
      </c>
      <c r="J7098" s="18">
        <f>IFERROR(__xludf.DUMMYFUNCTION("""COMPUTED_VALUE"""),44992.0)</f>
        <v>44992</v>
      </c>
      <c r="K7098" s="18">
        <f>IFERROR(__xludf.DUMMYFUNCTION("""COMPUTED_VALUE"""),44992.0)</f>
        <v>44992</v>
      </c>
      <c r="L7098" s="17" t="str">
        <f>IFERROR(__xludf.DUMMYFUNCTION("""COMPUTED_VALUE"""),"321 4229567")</f>
        <v>321 4229567</v>
      </c>
      <c r="M7098" s="17"/>
      <c r="N7098" s="17"/>
      <c r="O7098" s="17"/>
      <c r="P7098" s="17" t="b">
        <f>IFERROR(__xludf.DUMMYFUNCTION("""COMPUTED_VALUE"""),FALSE)</f>
        <v>0</v>
      </c>
      <c r="Q7098" s="20" t="str">
        <f>IFERROR(__xludf.DUMMYFUNCTION("""COMPUTED_VALUE"""),"")</f>
        <v/>
      </c>
      <c r="R7098" s="22" t="str">
        <f>IFERROR(__xludf.DUMMYFUNCTION("""COMPUTED_VALUE"""),"")</f>
        <v/>
      </c>
    </row>
    <row r="7099">
      <c r="A7099" s="15">
        <f>IFERROR(__xludf.DUMMYFUNCTION("""COMPUTED_VALUE"""),45202.0)</f>
        <v>45202</v>
      </c>
      <c r="B7099" s="16" t="str">
        <f>IFERROR(__xludf.DUMMYFUNCTION("""COMPUTED_VALUE"""),"Envia")</f>
        <v>Envia</v>
      </c>
      <c r="C7099" s="15" t="str">
        <f>IFERROR(__xludf.DUMMYFUNCTION("""COMPUTED_VALUE"""),"MEDELLÍN")</f>
        <v>MEDELLÍN</v>
      </c>
      <c r="D7099" s="15" t="str">
        <f>IFERROR(__xludf.DUMMYFUNCTION("""COMPUTED_VALUE"""),"BOGOTÁ")</f>
        <v>BOGOTÁ</v>
      </c>
      <c r="E7099" s="15" t="str">
        <f>IFERROR(__xludf.DUMMYFUNCTION("""COMPUTED_VALUE"""),"Frambascolombia sas")</f>
        <v>Frambascolombia sas</v>
      </c>
      <c r="F7099" s="17" t="str">
        <f>IFERROR(__xludf.DUMMYFUNCTION("""COMPUTED_VALUE"""),"Cl. 16 #55-129 / local 2")</f>
        <v>Cl. 16 #55-129 / local 2</v>
      </c>
      <c r="G7099" s="15" t="str">
        <f>IFERROR(__xludf.DUMMYFUNCTION("""COMPUTED_VALUE"""),"PikNPak Medellín")</f>
        <v>PikNPak Medellín</v>
      </c>
      <c r="H7099" s="16">
        <f>IFERROR(__xludf.DUMMYFUNCTION("""COMPUTED_VALUE"""),15739.0)</f>
        <v>15739</v>
      </c>
      <c r="I7099" s="18">
        <f>IFERROR(__xludf.DUMMYFUNCTION("""COMPUTED_VALUE"""),45057.0)</f>
        <v>45057</v>
      </c>
      <c r="J7099" s="18">
        <f>IFERROR(__xludf.DUMMYFUNCTION("""COMPUTED_VALUE"""),10.0)</f>
        <v>10</v>
      </c>
      <c r="K7099" s="18">
        <f>IFERROR(__xludf.DUMMYFUNCTION("""COMPUTED_VALUE"""),10.0)</f>
        <v>10</v>
      </c>
      <c r="L7099" s="17" t="str">
        <f>IFERROR(__xludf.DUMMYFUNCTION("""COMPUTED_VALUE"""),"321 4229567")</f>
        <v>321 4229567</v>
      </c>
      <c r="M7099" s="17"/>
      <c r="N7099" s="17"/>
      <c r="O7099" s="17"/>
      <c r="P7099" s="17" t="b">
        <f>IFERROR(__xludf.DUMMYFUNCTION("""COMPUTED_VALUE"""),FALSE)</f>
        <v>0</v>
      </c>
      <c r="Q7099" s="20" t="str">
        <f>IFERROR(__xludf.DUMMYFUNCTION("""COMPUTED_VALUE"""),"")</f>
        <v/>
      </c>
      <c r="R7099" s="21" t="str">
        <f>IFERROR(__xludf.DUMMYFUNCTION("""COMPUTED_VALUE"""),"https://drive.google.com/file/d/10yOLCDE1RBmwj9NeaBSCGlus4BgRdZRv/view?usp=drivesdk")</f>
        <v>https://drive.google.com/file/d/10yOLCDE1RBmwj9NeaBSCGlus4BgRdZRv/view?usp=drivesdk</v>
      </c>
    </row>
    <row r="7100">
      <c r="A7100" s="15">
        <f>IFERROR(__xludf.DUMMYFUNCTION("""COMPUTED_VALUE"""),45202.0)</f>
        <v>45202</v>
      </c>
      <c r="B7100" s="16" t="str">
        <f>IFERROR(__xludf.DUMMYFUNCTION("""COMPUTED_VALUE"""),"Envia")</f>
        <v>Envia</v>
      </c>
      <c r="C7100" s="15" t="str">
        <f>IFERROR(__xludf.DUMMYFUNCTION("""COMPUTED_VALUE"""),"MEDELLÍN")</f>
        <v>MEDELLÍN</v>
      </c>
      <c r="D7100" s="15" t="str">
        <f>IFERROR(__xludf.DUMMYFUNCTION("""COMPUTED_VALUE"""),"BOGOTÁ")</f>
        <v>BOGOTÁ</v>
      </c>
      <c r="E7100" s="15" t="str">
        <f>IFERROR(__xludf.DUMMYFUNCTION("""COMPUTED_VALUE"""),"Ins. Alimento Vital")</f>
        <v>Ins. Alimento Vital</v>
      </c>
      <c r="F7100" s="17" t="str">
        <f>IFERROR(__xludf.DUMMYFUNCTION("""COMPUTED_VALUE"""),"CR 44 26 27 / BODEGA / EL POBLADO")</f>
        <v>CR 44 26 27 / BODEGA / EL POBLADO</v>
      </c>
      <c r="G7100" s="15" t="str">
        <f>IFERROR(__xludf.DUMMYFUNCTION("""COMPUTED_VALUE"""),"VELOCITY MEDELLIN")</f>
        <v>VELOCITY MEDELLIN</v>
      </c>
      <c r="H7100" s="16">
        <f>IFERROR(__xludf.DUMMYFUNCTION("""COMPUTED_VALUE"""),15825.0)</f>
        <v>15825</v>
      </c>
      <c r="I7100" s="18">
        <f>IFERROR(__xludf.DUMMYFUNCTION("""COMPUTED_VALUE"""),1.0)</f>
        <v>1</v>
      </c>
      <c r="J7100" s="18">
        <f>IFERROR(__xludf.DUMMYFUNCTION("""COMPUTED_VALUE"""),1.0)</f>
        <v>1</v>
      </c>
      <c r="K7100" s="18">
        <f>IFERROR(__xludf.DUMMYFUNCTION("""COMPUTED_VALUE"""),1.0)</f>
        <v>1</v>
      </c>
      <c r="L7100" s="17">
        <f>IFERROR(__xludf.DUMMYFUNCTION("""COMPUTED_VALUE"""),3.214683372E9)</f>
        <v>3214683372</v>
      </c>
      <c r="M7100" s="17"/>
      <c r="N7100" s="17"/>
      <c r="O7100" s="17"/>
      <c r="P7100" s="17" t="b">
        <f>IFERROR(__xludf.DUMMYFUNCTION("""COMPUTED_VALUE"""),FALSE)</f>
        <v>0</v>
      </c>
      <c r="Q7100" s="20" t="str">
        <f>IFERROR(__xludf.DUMMYFUNCTION("""COMPUTED_VALUE"""),"")</f>
        <v/>
      </c>
      <c r="R7100" s="21" t="str">
        <f>IFERROR(__xludf.DUMMYFUNCTION("""COMPUTED_VALUE"""),"https://drive.google.com/file/d/1pc_pBIZbinOFIY24FpdThFWqwDv803-_/view?usp=drivesdk")</f>
        <v>https://drive.google.com/file/d/1pc_pBIZbinOFIY24FpdThFWqwDv803-_/view?usp=drivesdk</v>
      </c>
    </row>
    <row r="7101">
      <c r="A7101" s="15">
        <f>IFERROR(__xludf.DUMMYFUNCTION("""COMPUTED_VALUE"""),45202.0)</f>
        <v>45202</v>
      </c>
      <c r="B7101" s="16" t="str">
        <f>IFERROR(__xludf.DUMMYFUNCTION("""COMPUTED_VALUE"""),"Envia")</f>
        <v>Envia</v>
      </c>
      <c r="C7101" s="15" t="str">
        <f>IFERROR(__xludf.DUMMYFUNCTION("""COMPUTED_VALUE"""),"MEDELLÍN")</f>
        <v>MEDELLÍN</v>
      </c>
      <c r="D7101" s="15" t="str">
        <f>IFERROR(__xludf.DUMMYFUNCTION("""COMPUTED_VALUE"""),"BOGOTÁ")</f>
        <v>BOGOTÁ</v>
      </c>
      <c r="E7101" s="15" t="str">
        <f>IFERROR(__xludf.DUMMYFUNCTION("""COMPUTED_VALUE"""),"MAI ALIMENTOS S.A.S")</f>
        <v>MAI ALIMENTOS S.A.S</v>
      </c>
      <c r="F7101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7101" s="15" t="str">
        <f>IFERROR(__xludf.DUMMYFUNCTION("""COMPUTED_VALUE"""),"Novaventas")</f>
        <v>Novaventas</v>
      </c>
      <c r="H7101" s="16">
        <f>IFERROR(__xludf.DUMMYFUNCTION("""COMPUTED_VALUE"""),15822.0)</f>
        <v>15822</v>
      </c>
      <c r="I7101" s="18">
        <f>IFERROR(__xludf.DUMMYFUNCTION("""COMPUTED_VALUE"""),35.0)</f>
        <v>35</v>
      </c>
      <c r="J7101" s="18">
        <f>IFERROR(__xludf.DUMMYFUNCTION("""COMPUTED_VALUE"""),17.0)</f>
        <v>17</v>
      </c>
      <c r="K7101" s="18">
        <f>IFERROR(__xludf.DUMMYFUNCTION("""COMPUTED_VALUE"""),13.0)</f>
        <v>13</v>
      </c>
      <c r="L7101" s="17"/>
      <c r="M7101" s="17"/>
      <c r="N7101" s="17"/>
      <c r="O7101" s="17"/>
      <c r="P7101" s="17" t="b">
        <f>IFERROR(__xludf.DUMMYFUNCTION("""COMPUTED_VALUE"""),FALSE)</f>
        <v>0</v>
      </c>
      <c r="Q7101" s="20" t="str">
        <f>IFERROR(__xludf.DUMMYFUNCTION("""COMPUTED_VALUE"""),"")</f>
        <v/>
      </c>
      <c r="R7101" s="22" t="str">
        <f>IFERROR(__xludf.DUMMYFUNCTION("""COMPUTED_VALUE"""),"")</f>
        <v/>
      </c>
    </row>
    <row r="7102">
      <c r="A7102" s="15">
        <f>IFERROR(__xludf.DUMMYFUNCTION("""COMPUTED_VALUE"""),45202.0)</f>
        <v>45202</v>
      </c>
      <c r="B7102" s="16" t="str">
        <f>IFERROR(__xludf.DUMMYFUNCTION("""COMPUTED_VALUE"""),"Envia")</f>
        <v>Envia</v>
      </c>
      <c r="C7102" s="15" t="str">
        <f>IFERROR(__xludf.DUMMYFUNCTION("""COMPUTED_VALUE"""),"MEDELLÍN")</f>
        <v>MEDELLÍN</v>
      </c>
      <c r="D7102" s="15" t="str">
        <f>IFERROR(__xludf.DUMMYFUNCTION("""COMPUTED_VALUE"""),"BOGOTÁ")</f>
        <v>BOGOTÁ</v>
      </c>
      <c r="E7102" s="15" t="str">
        <f>IFERROR(__xludf.DUMMYFUNCTION("""COMPUTED_VALUE"""),"Mochi")</f>
        <v>Mochi</v>
      </c>
      <c r="F7102" s="17" t="str">
        <f>IFERROR(__xludf.DUMMYFUNCTION("""COMPUTED_VALUE"""),"Cra 48# 32b sur - 139  / Centro comercial  / Envigado")</f>
        <v>Cra 48# 32b sur - 139  / Centro comercial  / Envigado</v>
      </c>
      <c r="G7102" s="15" t="str">
        <f>IFERROR(__xludf.DUMMYFUNCTION("""COMPUTED_VALUE"""),"Tania vellejon")</f>
        <v>Tania vellejon</v>
      </c>
      <c r="H7102" s="16">
        <f>IFERROR(__xludf.DUMMYFUNCTION("""COMPUTED_VALUE"""),15844.0)</f>
        <v>15844</v>
      </c>
      <c r="I7102" s="18">
        <f>IFERROR(__xludf.DUMMYFUNCTION("""COMPUTED_VALUE"""),55.0)</f>
        <v>55</v>
      </c>
      <c r="J7102" s="18">
        <f>IFERROR(__xludf.DUMMYFUNCTION("""COMPUTED_VALUE"""),44.0)</f>
        <v>44</v>
      </c>
      <c r="K7102" s="18" t="str">
        <f>IFERROR(__xludf.DUMMYFUNCTION("""COMPUTED_VALUE"""),"52.5")</f>
        <v>52.5</v>
      </c>
      <c r="L7102" s="17">
        <f>IFERROR(__xludf.DUMMYFUNCTION("""COMPUTED_VALUE"""),3.142587995E9)</f>
        <v>3142587995</v>
      </c>
      <c r="M7102" s="17"/>
      <c r="N7102" s="17"/>
      <c r="O7102" s="17"/>
      <c r="P7102" s="17" t="b">
        <f>IFERROR(__xludf.DUMMYFUNCTION("""COMPUTED_VALUE"""),FALSE)</f>
        <v>0</v>
      </c>
      <c r="Q7102" s="20" t="str">
        <f>IFERROR(__xludf.DUMMYFUNCTION("""COMPUTED_VALUE"""),"")</f>
        <v/>
      </c>
      <c r="R7102" s="22" t="str">
        <f>IFERROR(__xludf.DUMMYFUNCTION("""COMPUTED_VALUE"""),"")</f>
        <v/>
      </c>
    </row>
    <row r="7103">
      <c r="A7103" s="15">
        <f>IFERROR(__xludf.DUMMYFUNCTION("""COMPUTED_VALUE"""),45202.0)</f>
        <v>45202</v>
      </c>
      <c r="B7103" s="16" t="str">
        <f>IFERROR(__xludf.DUMMYFUNCTION("""COMPUTED_VALUE"""),"Envia")</f>
        <v>Envia</v>
      </c>
      <c r="C7103" s="15" t="str">
        <f>IFERROR(__xludf.DUMMYFUNCTION("""COMPUTED_VALUE"""),"MEDELLÍN")</f>
        <v>MEDELLÍN</v>
      </c>
      <c r="D7103" s="15" t="str">
        <f>IFERROR(__xludf.DUMMYFUNCTION("""COMPUTED_VALUE"""),"BOGOTÁ")</f>
        <v>BOGOTÁ</v>
      </c>
      <c r="E7103" s="15" t="str">
        <f>IFERROR(__xludf.DUMMYFUNCTION("""COMPUTED_VALUE"""),"Top Spun")</f>
        <v>Top Spun</v>
      </c>
      <c r="F7103" s="17" t="str">
        <f>IFERROR(__xludf.DUMMYFUNCTION("""COMPUTED_VALUE"""),"Calle 20b-sur #27-237  / Urb. Villa maria Casa 114 / San Lucas")</f>
        <v>Calle 20b-sur #27-237  / Urb. Villa maria Casa 114 / San Lucas</v>
      </c>
      <c r="G7103" s="15" t="str">
        <f>IFERROR(__xludf.DUMMYFUNCTION("""COMPUTED_VALUE"""),"Luisa de Greiff")</f>
        <v>Luisa de Greiff</v>
      </c>
      <c r="H7103" s="16">
        <f>IFERROR(__xludf.DUMMYFUNCTION("""COMPUTED_VALUE"""),15771.0)</f>
        <v>15771</v>
      </c>
      <c r="I7103" s="18">
        <f>IFERROR(__xludf.DUMMYFUNCTION("""COMPUTED_VALUE"""),20.0)</f>
        <v>20</v>
      </c>
      <c r="J7103" s="18">
        <f>IFERROR(__xludf.DUMMYFUNCTION("""COMPUTED_VALUE"""),10.0)</f>
        <v>10</v>
      </c>
      <c r="K7103" s="18">
        <f>IFERROR(__xludf.DUMMYFUNCTION("""COMPUTED_VALUE"""),40.0)</f>
        <v>40</v>
      </c>
      <c r="L7103" s="17">
        <f>IFERROR(__xludf.DUMMYFUNCTION("""COMPUTED_VALUE"""),3.137372608E9)</f>
        <v>3137372608</v>
      </c>
      <c r="M7103" s="17"/>
      <c r="N7103" s="17"/>
      <c r="O7103" s="17"/>
      <c r="P7103" s="17" t="b">
        <f>IFERROR(__xludf.DUMMYFUNCTION("""COMPUTED_VALUE"""),FALSE)</f>
        <v>0</v>
      </c>
      <c r="Q7103" s="20" t="str">
        <f>IFERROR(__xludf.DUMMYFUNCTION("""COMPUTED_VALUE"""),"")</f>
        <v/>
      </c>
      <c r="R7103" s="21" t="str">
        <f>IFERROR(__xludf.DUMMYFUNCTION("""COMPUTED_VALUE"""),"https://drive.google.com/file/d/1vlYFAU-LPM8OhHb6NFyvFh9cAKqSSUbL/view?usp=drivesdk")</f>
        <v>https://drive.google.com/file/d/1vlYFAU-LPM8OhHb6NFyvFh9cAKqSSUbL/view?usp=drivesdk</v>
      </c>
    </row>
    <row r="7104">
      <c r="A7104" s="15">
        <f>IFERROR(__xludf.DUMMYFUNCTION("""COMPUTED_VALUE"""),45202.0)</f>
        <v>45202</v>
      </c>
      <c r="B7104" s="16" t="str">
        <f>IFERROR(__xludf.DUMMYFUNCTION("""COMPUTED_VALUE"""),"Envia")</f>
        <v>Envia</v>
      </c>
      <c r="C7104" s="15" t="str">
        <f>IFERROR(__xludf.DUMMYFUNCTION("""COMPUTED_VALUE"""),"MEDELLÍN")</f>
        <v>MEDELLÍN</v>
      </c>
      <c r="D7104" s="15" t="str">
        <f>IFERROR(__xludf.DUMMYFUNCTION("""COMPUTED_VALUE"""),"BOGOTÁ")</f>
        <v>BOGOTÁ</v>
      </c>
      <c r="E7104" s="15" t="str">
        <f>IFERROR(__xludf.DUMMYFUNCTION("""COMPUTED_VALUE"""),"Top Spun")</f>
        <v>Top Spun</v>
      </c>
      <c r="F7104" s="17" t="str">
        <f>IFERROR(__xludf.DUMMYFUNCTION("""COMPUTED_VALUE"""),"Calle 45 D # 76 A 19 /  Apto 601  / Ed El Resguardo Sector Velodromo Medellin")</f>
        <v>Calle 45 D # 76 A 19 /  Apto 601  / Ed El Resguardo Sector Velodromo Medellin</v>
      </c>
      <c r="G7104" s="15" t="str">
        <f>IFERROR(__xludf.DUMMYFUNCTION("""COMPUTED_VALUE"""),"Sara Ramirez")</f>
        <v>Sara Ramirez</v>
      </c>
      <c r="H7104" s="16">
        <f>IFERROR(__xludf.DUMMYFUNCTION("""COMPUTED_VALUE"""),15769.0)</f>
        <v>15769</v>
      </c>
      <c r="I7104" s="18">
        <f>IFERROR(__xludf.DUMMYFUNCTION("""COMPUTED_VALUE"""),20.0)</f>
        <v>20</v>
      </c>
      <c r="J7104" s="18">
        <f>IFERROR(__xludf.DUMMYFUNCTION("""COMPUTED_VALUE"""),10.0)</f>
        <v>10</v>
      </c>
      <c r="K7104" s="18">
        <f>IFERROR(__xludf.DUMMYFUNCTION("""COMPUTED_VALUE"""),40.0)</f>
        <v>40</v>
      </c>
      <c r="L7104" s="17">
        <f>IFERROR(__xludf.DUMMYFUNCTION("""COMPUTED_VALUE"""),3.002090052E9)</f>
        <v>3002090052</v>
      </c>
      <c r="M7104" s="17"/>
      <c r="N7104" s="17"/>
      <c r="O7104" s="17"/>
      <c r="P7104" s="17" t="b">
        <f>IFERROR(__xludf.DUMMYFUNCTION("""COMPUTED_VALUE"""),FALSE)</f>
        <v>0</v>
      </c>
      <c r="Q7104" s="20" t="str">
        <f>IFERROR(__xludf.DUMMYFUNCTION("""COMPUTED_VALUE"""),"")</f>
        <v/>
      </c>
      <c r="R7104" s="21" t="str">
        <f>IFERROR(__xludf.DUMMYFUNCTION("""COMPUTED_VALUE"""),"https://drive.google.com/file/d/15Zi-3ATQxe3Hckn3vKyMI7FzdPD-hqWl/view?usp=drivesdk")</f>
        <v>https://drive.google.com/file/d/15Zi-3ATQxe3Hckn3vKyMI7FzdPD-hqWl/view?usp=drivesdk</v>
      </c>
    </row>
    <row r="7105">
      <c r="A7105" s="15">
        <f>IFERROR(__xludf.DUMMYFUNCTION("""COMPUTED_VALUE"""),45202.0)</f>
        <v>45202</v>
      </c>
      <c r="B7105" s="16" t="str">
        <f>IFERROR(__xludf.DUMMYFUNCTION("""COMPUTED_VALUE"""),"Envia")</f>
        <v>Envia</v>
      </c>
      <c r="C7105" s="15" t="str">
        <f>IFERROR(__xludf.DUMMYFUNCTION("""COMPUTED_VALUE"""),"PALMIRA")</f>
        <v>PALMIRA</v>
      </c>
      <c r="D7105" s="15" t="str">
        <f>IFERROR(__xludf.DUMMYFUNCTION("""COMPUTED_VALUE"""),"BOGOTÁ")</f>
        <v>BOGOTÁ</v>
      </c>
      <c r="E7105" s="15" t="str">
        <f>IFERROR(__xludf.DUMMYFUNCTION("""COMPUTED_VALUE"""),"Evamazzita")</f>
        <v>Evamazzita</v>
      </c>
      <c r="F7105" s="17" t="str">
        <f>IFERROR(__xludf.DUMMYFUNCTION("""COMPUTED_VALUE"""),"calle 57# 22-187 / Conjunto Villa Real Casa 5")</f>
        <v>calle 57# 22-187 / Conjunto Villa Real Casa 5</v>
      </c>
      <c r="G7105" s="15" t="str">
        <f>IFERROR(__xludf.DUMMYFUNCTION("""COMPUTED_VALUE"""),"LINA MARCELA GRAJALES")</f>
        <v>LINA MARCELA GRAJALES</v>
      </c>
      <c r="H7105" s="16">
        <f>IFERROR(__xludf.DUMMYFUNCTION("""COMPUTED_VALUE"""),15852.0)</f>
        <v>15852</v>
      </c>
      <c r="I7105" s="18">
        <f>IFERROR(__xludf.DUMMYFUNCTION("""COMPUTED_VALUE"""),1.0)</f>
        <v>1</v>
      </c>
      <c r="J7105" s="18">
        <f>IFERROR(__xludf.DUMMYFUNCTION("""COMPUTED_VALUE"""),1.0)</f>
        <v>1</v>
      </c>
      <c r="K7105" s="18">
        <f>IFERROR(__xludf.DUMMYFUNCTION("""COMPUTED_VALUE"""),1.0)</f>
        <v>1</v>
      </c>
      <c r="L7105" s="17">
        <f>IFERROR(__xludf.DUMMYFUNCTION("""COMPUTED_VALUE"""),3.103555309E9)</f>
        <v>3103555309</v>
      </c>
      <c r="M7105" s="17"/>
      <c r="N7105" s="17"/>
      <c r="O7105" s="17"/>
      <c r="P7105" s="17" t="b">
        <f>IFERROR(__xludf.DUMMYFUNCTION("""COMPUTED_VALUE"""),FALSE)</f>
        <v>0</v>
      </c>
      <c r="Q7105" s="20" t="str">
        <f>IFERROR(__xludf.DUMMYFUNCTION("""COMPUTED_VALUE"""),"")</f>
        <v/>
      </c>
      <c r="R7105" s="21" t="str">
        <f>IFERROR(__xludf.DUMMYFUNCTION("""COMPUTED_VALUE"""),"https://drive.google.com/file/d/1UoEriMk6BxJxEE1FLByyOTvRXVOjqTZb/view?usp=drivesdk")</f>
        <v>https://drive.google.com/file/d/1UoEriMk6BxJxEE1FLByyOTvRXVOjqTZb/view?usp=drivesdk</v>
      </c>
    </row>
    <row r="7106">
      <c r="A7106" s="15">
        <f>IFERROR(__xludf.DUMMYFUNCTION("""COMPUTED_VALUE"""),45202.0)</f>
        <v>45202</v>
      </c>
      <c r="B7106" s="16" t="str">
        <f>IFERROR(__xludf.DUMMYFUNCTION("""COMPUTED_VALUE"""),"Envia")</f>
        <v>Envia</v>
      </c>
      <c r="C7106" s="15" t="str">
        <f>IFERROR(__xludf.DUMMYFUNCTION("""COMPUTED_VALUE"""),"PEREIRA")</f>
        <v>PEREIRA</v>
      </c>
      <c r="D7106" s="15" t="str">
        <f>IFERROR(__xludf.DUMMYFUNCTION("""COMPUTED_VALUE"""),"MEDELLÍN")</f>
        <v>MEDELLÍN</v>
      </c>
      <c r="E7106" s="15" t="str">
        <f>IFERROR(__xludf.DUMMYFUNCTION("""COMPUTED_VALUE"""),"Baby Chef")</f>
        <v>Baby Chef</v>
      </c>
      <c r="F7106" s="17" t="str">
        <f>IFERROR(__xludf.DUMMYFUNCTION("""COMPUTED_VALUE"""),"calle 8 bis no 15-51 edificio parque central apto 1602, barrio los alpes /  calle 8 bis no 15-51 edificio parque central apto 1602, barrio los alpes /  calle 8 bis no 15-51 edificio parque central apto 1602, barrio los alpes")</f>
        <v>calle 8 bis no 15-51 edificio parque central apto 1602, barrio los alpes /  calle 8 bis no 15-51 edificio parque central apto 1602, barrio los alpes /  calle 8 bis no 15-51 edificio parque central apto 1602, barrio los alpes</v>
      </c>
      <c r="G7106" s="15" t="str">
        <f>IFERROR(__xludf.DUMMYFUNCTION("""COMPUTED_VALUE"""),"Luisa Fernanda Holguín")</f>
        <v>Luisa Fernanda Holguín</v>
      </c>
      <c r="H7106" s="16">
        <f>IFERROR(__xludf.DUMMYFUNCTION("""COMPUTED_VALUE"""),15884.0)</f>
        <v>15884</v>
      </c>
      <c r="I7106" s="18">
        <f>IFERROR(__xludf.DUMMYFUNCTION("""COMPUTED_VALUE"""),10.0)</f>
        <v>10</v>
      </c>
      <c r="J7106" s="18">
        <f>IFERROR(__xludf.DUMMYFUNCTION("""COMPUTED_VALUE"""),20.0)</f>
        <v>20</v>
      </c>
      <c r="K7106" s="18">
        <f>IFERROR(__xludf.DUMMYFUNCTION("""COMPUTED_VALUE"""),31.0)</f>
        <v>31</v>
      </c>
      <c r="L7106" s="17">
        <f>IFERROR(__xludf.DUMMYFUNCTION("""COMPUTED_VALUE"""),3.008427381E9)</f>
        <v>3008427381</v>
      </c>
      <c r="M7106" s="17"/>
      <c r="N7106" s="17"/>
      <c r="O7106" s="17"/>
      <c r="P7106" s="17" t="b">
        <f>IFERROR(__xludf.DUMMYFUNCTION("""COMPUTED_VALUE"""),FALSE)</f>
        <v>0</v>
      </c>
      <c r="Q7106" s="20" t="str">
        <f>IFERROR(__xludf.DUMMYFUNCTION("""COMPUTED_VALUE"""),"")</f>
        <v/>
      </c>
      <c r="R7106" s="21" t="str">
        <f>IFERROR(__xludf.DUMMYFUNCTION("""COMPUTED_VALUE"""),"https://drive.google.com/file/d/1757JXfyMyXSqyNejQZBL2BSrqbAfmDO6/view?usp=drivesdk")</f>
        <v>https://drive.google.com/file/d/1757JXfyMyXSqyNejQZBL2BSrqbAfmDO6/view?usp=drivesdk</v>
      </c>
    </row>
    <row r="7107">
      <c r="A7107" s="17" t="str">
        <f>IFERROR(__xludf.DUMMYFUNCTION("""COMPUTED_VALUE"""),"")</f>
        <v/>
      </c>
      <c r="B7107" s="17" t="str">
        <f>IFERROR(__xludf.DUMMYFUNCTION("""COMPUTED_VALUE"""),"")</f>
        <v/>
      </c>
      <c r="C7107" s="17" t="str">
        <f>IFERROR(__xludf.DUMMYFUNCTION("""COMPUTED_VALUE"""),"")</f>
        <v/>
      </c>
      <c r="D7107" s="17" t="str">
        <f>IFERROR(__xludf.DUMMYFUNCTION("""COMPUTED_VALUE"""),"")</f>
        <v/>
      </c>
      <c r="E7107" s="17" t="str">
        <f>IFERROR(__xludf.DUMMYFUNCTION("""COMPUTED_VALUE"""),"")</f>
        <v/>
      </c>
      <c r="F7107" s="17" t="str">
        <f>IFERROR(__xludf.DUMMYFUNCTION("""COMPUTED_VALUE"""),"")</f>
        <v/>
      </c>
      <c r="G7107" s="17" t="str">
        <f>IFERROR(__xludf.DUMMYFUNCTION("""COMPUTED_VALUE"""),"")</f>
        <v/>
      </c>
      <c r="H7107" s="17" t="str">
        <f>IFERROR(__xludf.DUMMYFUNCTION("""COMPUTED_VALUE"""),"")</f>
        <v/>
      </c>
      <c r="I7107" s="17" t="str">
        <f>IFERROR(__xludf.DUMMYFUNCTION("""COMPUTED_VALUE"""),"")</f>
        <v/>
      </c>
      <c r="J7107" s="17" t="str">
        <f>IFERROR(__xludf.DUMMYFUNCTION("""COMPUTED_VALUE"""),"")</f>
        <v/>
      </c>
      <c r="K7107" s="17" t="str">
        <f>IFERROR(__xludf.DUMMYFUNCTION("""COMPUTED_VALUE"""),"")</f>
        <v/>
      </c>
      <c r="L7107" s="17" t="str">
        <f>IFERROR(__xludf.DUMMYFUNCTION("""COMPUTED_VALUE"""),"")</f>
        <v/>
      </c>
      <c r="M7107" s="17" t="str">
        <f>IFERROR(__xludf.DUMMYFUNCTION("""COMPUTED_VALUE"""),"")</f>
        <v/>
      </c>
      <c r="N7107" s="17" t="str">
        <f>IFERROR(__xludf.DUMMYFUNCTION("""COMPUTED_VALUE"""),"")</f>
        <v/>
      </c>
      <c r="O7107" s="17" t="str">
        <f>IFERROR(__xludf.DUMMYFUNCTION("""COMPUTED_VALUE"""),"")</f>
        <v/>
      </c>
      <c r="P7107" s="17" t="str">
        <f>IFERROR(__xludf.DUMMYFUNCTION("""COMPUTED_VALUE"""),"")</f>
        <v/>
      </c>
      <c r="Q7107" s="17" t="str">
        <f>IFERROR(__xludf.DUMMYFUNCTION("""COMPUTED_VALUE"""),"")</f>
        <v/>
      </c>
      <c r="R7107" s="17" t="str">
        <f>IFERROR(__xludf.DUMMYFUNCTION("""COMPUTED_VALUE"""),"")</f>
        <v/>
      </c>
    </row>
    <row r="7108">
      <c r="A7108" s="15">
        <f>IFERROR(__xludf.DUMMYFUNCTION("""COMPUTED_VALUE"""),45202.0)</f>
        <v>45202</v>
      </c>
      <c r="B7108" s="16" t="str">
        <f>IFERROR(__xludf.DUMMYFUNCTION("""COMPUTED_VALUE"""),"Jhon Anderson Ceballos Hernandez")</f>
        <v>Jhon Anderson Ceballos Hernandez</v>
      </c>
      <c r="C7108" s="15" t="str">
        <f>IFERROR(__xludf.DUMMYFUNCTION("""COMPUTED_VALUE"""),"MANIZALES")</f>
        <v>MANIZALES</v>
      </c>
      <c r="D7108" s="15" t="str">
        <f>IFERROR(__xludf.DUMMYFUNCTION("""COMPUTED_VALUE"""),"BOGOTÁ")</f>
        <v>BOGOTÁ</v>
      </c>
      <c r="E7108" s="15" t="str">
        <f>IFERROR(__xludf.DUMMYFUNCTION("""COMPUTED_VALUE"""),"Evamazzita")</f>
        <v>Evamazzita</v>
      </c>
      <c r="F7108" s="17" t="str">
        <f>IFERROR(__xludf.DUMMYFUNCTION("""COMPUTED_VALUE"""),"Calle 64A #20A-80 / Laureles/edificio Bellamonte/ Apto 601")</f>
        <v>Calle 64A #20A-80 / Laureles/edificio Bellamonte/ Apto 601</v>
      </c>
      <c r="G7108" s="15" t="str">
        <f>IFERROR(__xludf.DUMMYFUNCTION("""COMPUTED_VALUE"""),"MARIANA TRUJILLO")</f>
        <v>MARIANA TRUJILLO</v>
      </c>
      <c r="H7108" s="16">
        <f>IFERROR(__xludf.DUMMYFUNCTION("""COMPUTED_VALUE"""),15853.0)</f>
        <v>15853</v>
      </c>
      <c r="I7108" s="18">
        <f>IFERROR(__xludf.DUMMYFUNCTION("""COMPUTED_VALUE"""),1.0)</f>
        <v>1</v>
      </c>
      <c r="J7108" s="18">
        <f>IFERROR(__xludf.DUMMYFUNCTION("""COMPUTED_VALUE"""),1.0)</f>
        <v>1</v>
      </c>
      <c r="K7108" s="18">
        <f>IFERROR(__xludf.DUMMYFUNCTION("""COMPUTED_VALUE"""),1.0)</f>
        <v>1</v>
      </c>
      <c r="L7108" s="17">
        <f>IFERROR(__xludf.DUMMYFUNCTION("""COMPUTED_VALUE"""),3.127170482E9)</f>
        <v>3127170482</v>
      </c>
      <c r="M7108" s="17"/>
      <c r="N7108" s="17"/>
      <c r="O7108" s="17"/>
      <c r="P7108" s="17" t="b">
        <f>IFERROR(__xludf.DUMMYFUNCTION("""COMPUTED_VALUE"""),FALSE)</f>
        <v>0</v>
      </c>
      <c r="Q7108" s="20" t="str">
        <f>IFERROR(__xludf.DUMMYFUNCTION("""COMPUTED_VALUE"""),"")</f>
        <v/>
      </c>
      <c r="R7108" s="21" t="str">
        <f>IFERROR(__xludf.DUMMYFUNCTION("""COMPUTED_VALUE"""),"https://drive.google.com/file/d/1w8ak_7wVk0gsMd0gQPf92C1pYzRPUktb/view?usp=drivesdk")</f>
        <v>https://drive.google.com/file/d/1w8ak_7wVk0gsMd0gQPf92C1pYzRPUktb/view?usp=drivesdk</v>
      </c>
    </row>
    <row r="7109">
      <c r="A7109" s="15">
        <f>IFERROR(__xludf.DUMMYFUNCTION("""COMPUTED_VALUE"""),45202.0)</f>
        <v>45202</v>
      </c>
      <c r="B7109" s="16" t="str">
        <f>IFERROR(__xludf.DUMMYFUNCTION("""COMPUTED_VALUE"""),"Jhon Anderson Ceballos Hernandez")</f>
        <v>Jhon Anderson Ceballos Hernandez</v>
      </c>
      <c r="C7109" s="15" t="str">
        <f>IFERROR(__xludf.DUMMYFUNCTION("""COMPUTED_VALUE"""),"TUNJA")</f>
        <v>TUNJA</v>
      </c>
      <c r="D7109" s="15" t="str">
        <f>IFERROR(__xludf.DUMMYFUNCTION("""COMPUTED_VALUE"""),"BOGOTÁ")</f>
        <v>BOGOTÁ</v>
      </c>
      <c r="E7109" s="15" t="str">
        <f>IFERROR(__xludf.DUMMYFUNCTION("""COMPUTED_VALUE"""),"Evamazzita")</f>
        <v>Evamazzita</v>
      </c>
      <c r="F7109" s="17" t="str">
        <f>IFERROR(__xludf.DUMMYFUNCTION("""COMPUTED_VALUE"""),"Diagonal 66A # 4-20 / Barrio Los Muiscas")</f>
        <v>Diagonal 66A # 4-20 / Barrio Los Muiscas</v>
      </c>
      <c r="G7109" s="15" t="str">
        <f>IFERROR(__xludf.DUMMYFUNCTION("""COMPUTED_VALUE"""),"MERY YOLIMA URIBE RIOS")</f>
        <v>MERY YOLIMA URIBE RIOS</v>
      </c>
      <c r="H7109" s="16">
        <f>IFERROR(__xludf.DUMMYFUNCTION("""COMPUTED_VALUE"""),15862.0)</f>
        <v>15862</v>
      </c>
      <c r="I7109" s="18">
        <f>IFERROR(__xludf.DUMMYFUNCTION("""COMPUTED_VALUE"""),1.0)</f>
        <v>1</v>
      </c>
      <c r="J7109" s="18">
        <f>IFERROR(__xludf.DUMMYFUNCTION("""COMPUTED_VALUE"""),1.0)</f>
        <v>1</v>
      </c>
      <c r="K7109" s="18">
        <f>IFERROR(__xludf.DUMMYFUNCTION("""COMPUTED_VALUE"""),1.0)</f>
        <v>1</v>
      </c>
      <c r="L7109" s="17">
        <f>IFERROR(__xludf.DUMMYFUNCTION("""COMPUTED_VALUE"""),3.102399974E9)</f>
        <v>3102399974</v>
      </c>
      <c r="M7109" s="17"/>
      <c r="N7109" s="17"/>
      <c r="O7109" s="17"/>
      <c r="P7109" s="17" t="b">
        <f>IFERROR(__xludf.DUMMYFUNCTION("""COMPUTED_VALUE"""),FALSE)</f>
        <v>0</v>
      </c>
      <c r="Q7109" s="20" t="str">
        <f>IFERROR(__xludf.DUMMYFUNCTION("""COMPUTED_VALUE"""),"")</f>
        <v/>
      </c>
      <c r="R7109" s="22" t="str">
        <f>IFERROR(__xludf.DUMMYFUNCTION("""COMPUTED_VALUE"""),"")</f>
        <v/>
      </c>
    </row>
    <row r="7110">
      <c r="A7110" s="15">
        <f>IFERROR(__xludf.DUMMYFUNCTION("""COMPUTED_VALUE"""),45202.0)</f>
        <v>45202</v>
      </c>
      <c r="B7110" s="16" t="str">
        <f>IFERROR(__xludf.DUMMYFUNCTION("""COMPUTED_VALUE"""),"Jhon Anderson Ceballos Hernandez")</f>
        <v>Jhon Anderson Ceballos Hernandez</v>
      </c>
      <c r="C7110" s="15" t="str">
        <f>IFERROR(__xludf.DUMMYFUNCTION("""COMPUTED_VALUE"""),"TUNJA")</f>
        <v>TUNJA</v>
      </c>
      <c r="D7110" s="15" t="str">
        <f>IFERROR(__xludf.DUMMYFUNCTION("""COMPUTED_VALUE"""),"BOGOTÁ")</f>
        <v>BOGOTÁ</v>
      </c>
      <c r="E7110" s="15" t="str">
        <f>IFERROR(__xludf.DUMMYFUNCTION("""COMPUTED_VALUE"""),"Top Spun")</f>
        <v>Top Spun</v>
      </c>
      <c r="F7110" s="17" t="str">
        <f>IFERROR(__xludf.DUMMYFUNCTION("""COMPUTED_VALUE"""),"CRA. 1 F # 40-63 / APTO 204 / ED. MURANO")</f>
        <v>CRA. 1 F # 40-63 / APTO 204 / ED. MURANO</v>
      </c>
      <c r="G7110" s="15" t="str">
        <f>IFERROR(__xludf.DUMMYFUNCTION("""COMPUTED_VALUE"""),"SANDRA GRIJALBA")</f>
        <v>SANDRA GRIJALBA</v>
      </c>
      <c r="H7110" s="16">
        <f>IFERROR(__xludf.DUMMYFUNCTION("""COMPUTED_VALUE"""),15773.0)</f>
        <v>15773</v>
      </c>
      <c r="I7110" s="18">
        <f>IFERROR(__xludf.DUMMYFUNCTION("""COMPUTED_VALUE"""),20.0)</f>
        <v>20</v>
      </c>
      <c r="J7110" s="18">
        <f>IFERROR(__xludf.DUMMYFUNCTION("""COMPUTED_VALUE"""),10.0)</f>
        <v>10</v>
      </c>
      <c r="K7110" s="18">
        <f>IFERROR(__xludf.DUMMYFUNCTION("""COMPUTED_VALUE"""),40.0)</f>
        <v>40</v>
      </c>
      <c r="L7110" s="17">
        <f>IFERROR(__xludf.DUMMYFUNCTION("""COMPUTED_VALUE"""),3.207676511E9)</f>
        <v>3207676511</v>
      </c>
      <c r="M7110" s="17"/>
      <c r="N7110" s="17"/>
      <c r="O7110" s="17"/>
      <c r="P7110" s="17" t="b">
        <f>IFERROR(__xludf.DUMMYFUNCTION("""COMPUTED_VALUE"""),FALSE)</f>
        <v>0</v>
      </c>
      <c r="Q7110" s="20" t="str">
        <f>IFERROR(__xludf.DUMMYFUNCTION("""COMPUTED_VALUE"""),"")</f>
        <v/>
      </c>
      <c r="R7110" s="22" t="str">
        <f>IFERROR(__xludf.DUMMYFUNCTION("""COMPUTED_VALUE"""),"")</f>
        <v/>
      </c>
    </row>
    <row r="7111">
      <c r="A7111" s="17" t="str">
        <f>IFERROR(__xludf.DUMMYFUNCTION("""COMPUTED_VALUE"""),"")</f>
        <v/>
      </c>
      <c r="B7111" s="17" t="str">
        <f>IFERROR(__xludf.DUMMYFUNCTION("""COMPUTED_VALUE"""),"")</f>
        <v/>
      </c>
      <c r="C7111" s="17" t="str">
        <f>IFERROR(__xludf.DUMMYFUNCTION("""COMPUTED_VALUE"""),"")</f>
        <v/>
      </c>
      <c r="D7111" s="17" t="str">
        <f>IFERROR(__xludf.DUMMYFUNCTION("""COMPUTED_VALUE"""),"")</f>
        <v/>
      </c>
      <c r="E7111" s="17" t="str">
        <f>IFERROR(__xludf.DUMMYFUNCTION("""COMPUTED_VALUE"""),"")</f>
        <v/>
      </c>
      <c r="F7111" s="17" t="str">
        <f>IFERROR(__xludf.DUMMYFUNCTION("""COMPUTED_VALUE"""),"")</f>
        <v/>
      </c>
      <c r="G7111" s="17" t="str">
        <f>IFERROR(__xludf.DUMMYFUNCTION("""COMPUTED_VALUE"""),"")</f>
        <v/>
      </c>
      <c r="H7111" s="17" t="str">
        <f>IFERROR(__xludf.DUMMYFUNCTION("""COMPUTED_VALUE"""),"")</f>
        <v/>
      </c>
      <c r="I7111" s="17" t="str">
        <f>IFERROR(__xludf.DUMMYFUNCTION("""COMPUTED_VALUE"""),"")</f>
        <v/>
      </c>
      <c r="J7111" s="17" t="str">
        <f>IFERROR(__xludf.DUMMYFUNCTION("""COMPUTED_VALUE"""),"")</f>
        <v/>
      </c>
      <c r="K7111" s="17" t="str">
        <f>IFERROR(__xludf.DUMMYFUNCTION("""COMPUTED_VALUE"""),"")</f>
        <v/>
      </c>
      <c r="L7111" s="17" t="str">
        <f>IFERROR(__xludf.DUMMYFUNCTION("""COMPUTED_VALUE"""),"")</f>
        <v/>
      </c>
      <c r="M7111" s="17" t="str">
        <f>IFERROR(__xludf.DUMMYFUNCTION("""COMPUTED_VALUE"""),"")</f>
        <v/>
      </c>
      <c r="N7111" s="17" t="str">
        <f>IFERROR(__xludf.DUMMYFUNCTION("""COMPUTED_VALUE"""),"")</f>
        <v/>
      </c>
      <c r="O7111" s="17" t="str">
        <f>IFERROR(__xludf.DUMMYFUNCTION("""COMPUTED_VALUE"""),"")</f>
        <v/>
      </c>
      <c r="P7111" s="17" t="str">
        <f>IFERROR(__xludf.DUMMYFUNCTION("""COMPUTED_VALUE"""),"")</f>
        <v/>
      </c>
      <c r="Q7111" s="17" t="str">
        <f>IFERROR(__xludf.DUMMYFUNCTION("""COMPUTED_VALUE"""),"")</f>
        <v/>
      </c>
      <c r="R7111" s="17" t="str">
        <f>IFERROR(__xludf.DUMMYFUNCTION("""COMPUTED_VALUE"""),"")</f>
        <v/>
      </c>
    </row>
    <row r="7112">
      <c r="A7112" s="15">
        <f>IFERROR(__xludf.DUMMYFUNCTION("""COMPUTED_VALUE"""),45202.0)</f>
        <v>45202</v>
      </c>
      <c r="B7112" s="16" t="str">
        <f>IFERROR(__xludf.DUMMYFUNCTION("""COMPUTED_VALUE"""),"Johan Alexander Escobar Arroyo ")</f>
        <v>Johan Alexander Escobar Arroyo </v>
      </c>
      <c r="C7112" s="15" t="str">
        <f>IFERROR(__xludf.DUMMYFUNCTION("""COMPUTED_VALUE"""),"CALI")</f>
        <v>CALI</v>
      </c>
      <c r="D7112" s="15" t="str">
        <f>IFERROR(__xludf.DUMMYFUNCTION("""COMPUTED_VALUE"""),"BOGOTÁ")</f>
        <v>BOGOTÁ</v>
      </c>
      <c r="E7112" s="15" t="str">
        <f>IFERROR(__xludf.DUMMYFUNCTION("""COMPUTED_VALUE"""),"Evamazzita")</f>
        <v>Evamazzita</v>
      </c>
      <c r="F7112" s="17" t="str">
        <f>IFERROR(__xludf.DUMMYFUNCTION("""COMPUTED_VALUE"""),"CALI: cra 89# 18-61 / casa 81 villas de san joaquin 1")</f>
        <v>CALI: cra 89# 18-61 / casa 81 villas de san joaquin 1</v>
      </c>
      <c r="G7112" s="15" t="str">
        <f>IFERROR(__xludf.DUMMYFUNCTION("""COMPUTED_VALUE"""),"TATIANA GONZALEZ")</f>
        <v>TATIANA GONZALEZ</v>
      </c>
      <c r="H7112" s="16">
        <f>IFERROR(__xludf.DUMMYFUNCTION("""COMPUTED_VALUE"""),15849.0)</f>
        <v>15849</v>
      </c>
      <c r="I7112" s="18">
        <f>IFERROR(__xludf.DUMMYFUNCTION("""COMPUTED_VALUE"""),1.0)</f>
        <v>1</v>
      </c>
      <c r="J7112" s="18">
        <f>IFERROR(__xludf.DUMMYFUNCTION("""COMPUTED_VALUE"""),1.0)</f>
        <v>1</v>
      </c>
      <c r="K7112" s="18">
        <f>IFERROR(__xludf.DUMMYFUNCTION("""COMPUTED_VALUE"""),1.0)</f>
        <v>1</v>
      </c>
      <c r="L7112" s="17">
        <f>IFERROR(__xludf.DUMMYFUNCTION("""COMPUTED_VALUE"""),3.104643005E9)</f>
        <v>3104643005</v>
      </c>
      <c r="M7112" s="17"/>
      <c r="N7112" s="17"/>
      <c r="O7112" s="17"/>
      <c r="P7112" s="17" t="b">
        <f>IFERROR(__xludf.DUMMYFUNCTION("""COMPUTED_VALUE"""),FALSE)</f>
        <v>0</v>
      </c>
      <c r="Q7112" s="20" t="str">
        <f>IFERROR(__xludf.DUMMYFUNCTION("""COMPUTED_VALUE"""),"")</f>
        <v/>
      </c>
      <c r="R7112" s="21" t="str">
        <f>IFERROR(__xludf.DUMMYFUNCTION("""COMPUTED_VALUE"""),"https://drive.google.com/file/d/1wxV34N4EuvPVP-zSMtLrPLH1KiyOHahw/view?usp=drivesdk")</f>
        <v>https://drive.google.com/file/d/1wxV34N4EuvPVP-zSMtLrPLH1KiyOHahw/view?usp=drivesdk</v>
      </c>
    </row>
    <row r="7113">
      <c r="A7113" s="15">
        <f>IFERROR(__xludf.DUMMYFUNCTION("""COMPUTED_VALUE"""),45202.0)</f>
        <v>45202</v>
      </c>
      <c r="B7113" s="16" t="str">
        <f>IFERROR(__xludf.DUMMYFUNCTION("""COMPUTED_VALUE"""),"Johan Alexander Escobar Arroyo ")</f>
        <v>Johan Alexander Escobar Arroyo </v>
      </c>
      <c r="C7113" s="15" t="str">
        <f>IFERROR(__xludf.DUMMYFUNCTION("""COMPUTED_VALUE"""),"CALI")</f>
        <v>CALI</v>
      </c>
      <c r="D7113" s="15" t="str">
        <f>IFERROR(__xludf.DUMMYFUNCTION("""COMPUTED_VALUE"""),"BOGOTÁ")</f>
        <v>BOGOTÁ</v>
      </c>
      <c r="E7113" s="15" t="str">
        <f>IFERROR(__xludf.DUMMYFUNCTION("""COMPUTED_VALUE"""),"Evamazzita")</f>
        <v>Evamazzita</v>
      </c>
      <c r="F7113" s="17" t="str">
        <f>IFERROR(__xludf.DUMMYFUNCTION("""COMPUTED_VALUE"""),"CRA 46C No. 55A - 15 / BARRIO CIUDAD CORDOBA")</f>
        <v>CRA 46C No. 55A - 15 / BARRIO CIUDAD CORDOBA</v>
      </c>
      <c r="G7113" s="15" t="str">
        <f>IFERROR(__xludf.DUMMYFUNCTION("""COMPUTED_VALUE"""),"CLAUDIA CANTERO")</f>
        <v>CLAUDIA CANTERO</v>
      </c>
      <c r="H7113" s="16">
        <f>IFERROR(__xludf.DUMMYFUNCTION("""COMPUTED_VALUE"""),15850.0)</f>
        <v>15850</v>
      </c>
      <c r="I7113" s="18">
        <f>IFERROR(__xludf.DUMMYFUNCTION("""COMPUTED_VALUE"""),1.0)</f>
        <v>1</v>
      </c>
      <c r="J7113" s="18">
        <f>IFERROR(__xludf.DUMMYFUNCTION("""COMPUTED_VALUE"""),1.0)</f>
        <v>1</v>
      </c>
      <c r="K7113" s="18">
        <f>IFERROR(__xludf.DUMMYFUNCTION("""COMPUTED_VALUE"""),1.0)</f>
        <v>1</v>
      </c>
      <c r="L7113" s="17">
        <f>IFERROR(__xludf.DUMMYFUNCTION("""COMPUTED_VALUE"""),3.176248548E9)</f>
        <v>3176248548</v>
      </c>
      <c r="M7113" s="17"/>
      <c r="N7113" s="17"/>
      <c r="O7113" s="17"/>
      <c r="P7113" s="17" t="b">
        <f>IFERROR(__xludf.DUMMYFUNCTION("""COMPUTED_VALUE"""),FALSE)</f>
        <v>0</v>
      </c>
      <c r="Q7113" s="20" t="str">
        <f>IFERROR(__xludf.DUMMYFUNCTION("""COMPUTED_VALUE"""),"")</f>
        <v/>
      </c>
      <c r="R7113" s="21" t="str">
        <f>IFERROR(__xludf.DUMMYFUNCTION("""COMPUTED_VALUE"""),"https://drive.google.com/file/d/13JfrF6EuJW8hj1JWvfRGLwHXhNFjv5H7/view?usp=drivesdk")</f>
        <v>https://drive.google.com/file/d/13JfrF6EuJW8hj1JWvfRGLwHXhNFjv5H7/view?usp=drivesdk</v>
      </c>
    </row>
    <row r="7114">
      <c r="A7114" s="15">
        <f>IFERROR(__xludf.DUMMYFUNCTION("""COMPUTED_VALUE"""),45202.0)</f>
        <v>45202</v>
      </c>
      <c r="B7114" s="16" t="str">
        <f>IFERROR(__xludf.DUMMYFUNCTION("""COMPUTED_VALUE"""),"Johan Alexander Escobar Arroyo ")</f>
        <v>Johan Alexander Escobar Arroyo </v>
      </c>
      <c r="C7114" s="15" t="str">
        <f>IFERROR(__xludf.DUMMYFUNCTION("""COMPUTED_VALUE"""),"CALI")</f>
        <v>CALI</v>
      </c>
      <c r="D7114" s="15" t="str">
        <f>IFERROR(__xludf.DUMMYFUNCTION("""COMPUTED_VALUE"""),"BOGOTÁ")</f>
        <v>BOGOTÁ</v>
      </c>
      <c r="E7114" s="15" t="str">
        <f>IFERROR(__xludf.DUMMYFUNCTION("""COMPUTED_VALUE"""),"Helados Socos")</f>
        <v>Helados Socos</v>
      </c>
      <c r="F7114" s="17" t="str">
        <f>IFERROR(__xludf.DUMMYFUNCTION("""COMPUTED_VALUE"""),"Cra 106 # 12 A - 43  / Torre 3 apto 701 Sotogrande / Ciudad jardín")</f>
        <v>Cra 106 # 12 A - 43  / Torre 3 apto 701 Sotogrande / Ciudad jardín</v>
      </c>
      <c r="G7114" s="15" t="str">
        <f>IFERROR(__xludf.DUMMYFUNCTION("""COMPUTED_VALUE"""),"María Juliana López")</f>
        <v>María Juliana López</v>
      </c>
      <c r="H7114" s="16">
        <f>IFERROR(__xludf.DUMMYFUNCTION("""COMPUTED_VALUE"""),15781.0)</f>
        <v>15781</v>
      </c>
      <c r="I7114" s="18">
        <f>IFERROR(__xludf.DUMMYFUNCTION("""COMPUTED_VALUE"""),10.0)</f>
        <v>10</v>
      </c>
      <c r="J7114" s="18">
        <f>IFERROR(__xludf.DUMMYFUNCTION("""COMPUTED_VALUE"""),10.0)</f>
        <v>10</v>
      </c>
      <c r="K7114" s="18">
        <f>IFERROR(__xludf.DUMMYFUNCTION("""COMPUTED_VALUE"""),15.0)</f>
        <v>15</v>
      </c>
      <c r="L7114" s="17">
        <f>IFERROR(__xludf.DUMMYFUNCTION("""COMPUTED_VALUE"""),3.182755577E9)</f>
        <v>3182755577</v>
      </c>
      <c r="M7114" s="17"/>
      <c r="N7114" s="17"/>
      <c r="O7114" s="17"/>
      <c r="P7114" s="17" t="b">
        <f>IFERROR(__xludf.DUMMYFUNCTION("""COMPUTED_VALUE"""),FALSE)</f>
        <v>0</v>
      </c>
      <c r="Q7114" s="20" t="str">
        <f>IFERROR(__xludf.DUMMYFUNCTION("""COMPUTED_VALUE"""),"")</f>
        <v/>
      </c>
      <c r="R7114" s="21" t="str">
        <f>IFERROR(__xludf.DUMMYFUNCTION("""COMPUTED_VALUE"""),"https://drive.google.com/file/d/1lZk7I1QfxNCjXH2rYjHvsvyPXy--GL70/view?usp=drivesdk")</f>
        <v>https://drive.google.com/file/d/1lZk7I1QfxNCjXH2rYjHvsvyPXy--GL70/view?usp=drivesdk</v>
      </c>
    </row>
    <row r="7115">
      <c r="A7115" s="15">
        <f>IFERROR(__xludf.DUMMYFUNCTION("""COMPUTED_VALUE"""),45202.0)</f>
        <v>45202</v>
      </c>
      <c r="B7115" s="16" t="str">
        <f>IFERROR(__xludf.DUMMYFUNCTION("""COMPUTED_VALUE"""),"Johan Alexander Escobar Arroyo ")</f>
        <v>Johan Alexander Escobar Arroyo </v>
      </c>
      <c r="C7115" s="15" t="str">
        <f>IFERROR(__xludf.DUMMYFUNCTION("""COMPUTED_VALUE"""),"CALI")</f>
        <v>CALI</v>
      </c>
      <c r="D7115" s="15" t="str">
        <f>IFERROR(__xludf.DUMMYFUNCTION("""COMPUTED_VALUE"""),"BOGOTÁ")</f>
        <v>BOGOTÁ</v>
      </c>
      <c r="E7115" s="15" t="str">
        <f>IFERROR(__xludf.DUMMYFUNCTION("""COMPUTED_VALUE"""),"Ins. Alimento Vital")</f>
        <v>Ins. Alimento Vital</v>
      </c>
      <c r="F7115" s="17" t="str">
        <f>IFERROR(__xludf.DUMMYFUNCTION("""COMPUTED_VALUE"""),"CL 34N 2BN 33 / BODEGA / BARRIO SAN VICENTE")</f>
        <v>CL 34N 2BN 33 / BODEGA / BARRIO SAN VICENTE</v>
      </c>
      <c r="G7115" s="15" t="str">
        <f>IFERROR(__xludf.DUMMYFUNCTION("""COMPUTED_VALUE"""),"VELOCITY CALI")</f>
        <v>VELOCITY CALI</v>
      </c>
      <c r="H7115" s="16">
        <f>IFERROR(__xludf.DUMMYFUNCTION("""COMPUTED_VALUE"""),15824.0)</f>
        <v>15824</v>
      </c>
      <c r="I7115" s="18">
        <f>IFERROR(__xludf.DUMMYFUNCTION("""COMPUTED_VALUE"""),1.0)</f>
        <v>1</v>
      </c>
      <c r="J7115" s="18">
        <f>IFERROR(__xludf.DUMMYFUNCTION("""COMPUTED_VALUE"""),1.0)</f>
        <v>1</v>
      </c>
      <c r="K7115" s="18">
        <f>IFERROR(__xludf.DUMMYFUNCTION("""COMPUTED_VALUE"""),1.0)</f>
        <v>1</v>
      </c>
      <c r="L7115" s="17">
        <f>IFERROR(__xludf.DUMMYFUNCTION("""COMPUTED_VALUE"""),3.117591055E9)</f>
        <v>3117591055</v>
      </c>
      <c r="M7115" s="17"/>
      <c r="N7115" s="17"/>
      <c r="O7115" s="17"/>
      <c r="P7115" s="17" t="b">
        <f>IFERROR(__xludf.DUMMYFUNCTION("""COMPUTED_VALUE"""),FALSE)</f>
        <v>0</v>
      </c>
      <c r="Q7115" s="20" t="str">
        <f>IFERROR(__xludf.DUMMYFUNCTION("""COMPUTED_VALUE"""),"")</f>
        <v/>
      </c>
      <c r="R7115" s="22" t="str">
        <f>IFERROR(__xludf.DUMMYFUNCTION("""COMPUTED_VALUE"""),"")</f>
        <v/>
      </c>
    </row>
    <row r="7116">
      <c r="A7116" s="15">
        <f>IFERROR(__xludf.DUMMYFUNCTION("""COMPUTED_VALUE"""),45202.0)</f>
        <v>45202</v>
      </c>
      <c r="B7116" s="16" t="str">
        <f>IFERROR(__xludf.DUMMYFUNCTION("""COMPUTED_VALUE"""),"Johan Alexander Escobar Arroyo ")</f>
        <v>Johan Alexander Escobar Arroyo </v>
      </c>
      <c r="C7116" s="15" t="str">
        <f>IFERROR(__xludf.DUMMYFUNCTION("""COMPUTED_VALUE"""),"CALI")</f>
        <v>CALI</v>
      </c>
      <c r="D7116" s="15" t="str">
        <f>IFERROR(__xludf.DUMMYFUNCTION("""COMPUTED_VALUE"""),"BOGOTÁ")</f>
        <v>BOGOTÁ</v>
      </c>
      <c r="E7116" s="15" t="str">
        <f>IFERROR(__xludf.DUMMYFUNCTION("""COMPUTED_VALUE"""),"Pan de Waffle")</f>
        <v>Pan de Waffle</v>
      </c>
      <c r="F7116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7116" s="15" t="str">
        <f>IFERROR(__xludf.DUMMYFUNCTION("""COMPUTED_VALUE"""),"FOODOLOGY CALI")</f>
        <v>FOODOLOGY CALI</v>
      </c>
      <c r="H7116" s="16">
        <f>IFERROR(__xludf.DUMMYFUNCTION("""COMPUTED_VALUE"""),15834.0)</f>
        <v>15834</v>
      </c>
      <c r="I7116" s="18">
        <f>IFERROR(__xludf.DUMMYFUNCTION("""COMPUTED_VALUE"""),40.0)</f>
        <v>40</v>
      </c>
      <c r="J7116" s="18">
        <f>IFERROR(__xludf.DUMMYFUNCTION("""COMPUTED_VALUE"""),40.0)</f>
        <v>40</v>
      </c>
      <c r="K7116" s="18">
        <f>IFERROR(__xludf.DUMMYFUNCTION("""COMPUTED_VALUE"""),30.0)</f>
        <v>30</v>
      </c>
      <c r="L7116" s="17">
        <f>IFERROR(__xludf.DUMMYFUNCTION("""COMPUTED_VALUE"""),3.158323233E9)</f>
        <v>3158323233</v>
      </c>
      <c r="M7116" s="17"/>
      <c r="N7116" s="17"/>
      <c r="O7116" s="17"/>
      <c r="P7116" s="17" t="b">
        <f>IFERROR(__xludf.DUMMYFUNCTION("""COMPUTED_VALUE"""),FALSE)</f>
        <v>0</v>
      </c>
      <c r="Q7116" s="20" t="str">
        <f>IFERROR(__xludf.DUMMYFUNCTION("""COMPUTED_VALUE"""),"")</f>
        <v/>
      </c>
      <c r="R7116" s="21" t="str">
        <f>IFERROR(__xludf.DUMMYFUNCTION("""COMPUTED_VALUE"""),"https://drive.google.com/file/d/1LJFll7aq6ueRXwW9nYYGbl7_MiF07arT/view?usp=drivesdk")</f>
        <v>https://drive.google.com/file/d/1LJFll7aq6ueRXwW9nYYGbl7_MiF07arT/view?usp=drivesdk</v>
      </c>
    </row>
    <row r="7117">
      <c r="A7117" s="15">
        <f>IFERROR(__xludf.DUMMYFUNCTION("""COMPUTED_VALUE"""),45202.0)</f>
        <v>45202</v>
      </c>
      <c r="B7117" s="16" t="str">
        <f>IFERROR(__xludf.DUMMYFUNCTION("""COMPUTED_VALUE"""),"Johan Alexander Escobar Arroyo ")</f>
        <v>Johan Alexander Escobar Arroyo </v>
      </c>
      <c r="C7117" s="15" t="str">
        <f>IFERROR(__xludf.DUMMYFUNCTION("""COMPUTED_VALUE"""),"CALI")</f>
        <v>CALI</v>
      </c>
      <c r="D7117" s="15" t="str">
        <f>IFERROR(__xludf.DUMMYFUNCTION("""COMPUTED_VALUE"""),"BOGOTÁ")</f>
        <v>BOGOTÁ</v>
      </c>
      <c r="E7117" s="15" t="str">
        <f>IFERROR(__xludf.DUMMYFUNCTION("""COMPUTED_VALUE"""),"Ser Fit")</f>
        <v>Ser Fit</v>
      </c>
      <c r="F7117" s="17" t="str">
        <f>IFERROR(__xludf.DUMMYFUNCTION("""COMPUTED_VALUE"""),"Avenida 8 norte #18N-44 / Reciben de 7am a 11am  y 2pm a 5 pm  / Av8norte #18N -44")</f>
        <v>Avenida 8 norte #18N-44 / Reciben de 7am a 11am  y 2pm a 5 pm  / Av8norte #18N -44</v>
      </c>
      <c r="G7117" s="15" t="str">
        <f>IFERROR(__xludf.DUMMYFUNCTION("""COMPUTED_VALUE"""),"Farmatodo Colombia s.a")</f>
        <v>Farmatodo Colombia s.a</v>
      </c>
      <c r="H7117" s="16">
        <f>IFERROR(__xludf.DUMMYFUNCTION("""COMPUTED_VALUE"""),15886.0)</f>
        <v>15886</v>
      </c>
      <c r="I7117" s="18">
        <f>IFERROR(__xludf.DUMMYFUNCTION("""COMPUTED_VALUE"""),20.0)</f>
        <v>20</v>
      </c>
      <c r="J7117" s="18">
        <f>IFERROR(__xludf.DUMMYFUNCTION("""COMPUTED_VALUE"""),18.0)</f>
        <v>18</v>
      </c>
      <c r="K7117" s="18">
        <f>IFERROR(__xludf.DUMMYFUNCTION("""COMPUTED_VALUE"""),30.0)</f>
        <v>30</v>
      </c>
      <c r="L7117" s="17">
        <f>IFERROR(__xludf.DUMMYFUNCTION("""COMPUTED_VALUE"""),3.163354647E9)</f>
        <v>3163354647</v>
      </c>
      <c r="M7117" s="17"/>
      <c r="N7117" s="17"/>
      <c r="O7117" s="17"/>
      <c r="P7117" s="17" t="b">
        <f>IFERROR(__xludf.DUMMYFUNCTION("""COMPUTED_VALUE"""),FALSE)</f>
        <v>0</v>
      </c>
      <c r="Q7117" s="20" t="str">
        <f>IFERROR(__xludf.DUMMYFUNCTION("""COMPUTED_VALUE"""),"")</f>
        <v/>
      </c>
      <c r="R7117" s="21" t="str">
        <f>IFERROR(__xludf.DUMMYFUNCTION("""COMPUTED_VALUE"""),"https://drive.google.com/file/d/1TIeYpIu1vFNcGa_ItHnDuEdsLzn6s6_e/view?usp=drivesdk")</f>
        <v>https://drive.google.com/file/d/1TIeYpIu1vFNcGa_ItHnDuEdsLzn6s6_e/view?usp=drivesdk</v>
      </c>
    </row>
    <row r="7118">
      <c r="A7118" s="15">
        <f>IFERROR(__xludf.DUMMYFUNCTION("""COMPUTED_VALUE"""),45202.0)</f>
        <v>45202</v>
      </c>
      <c r="B7118" s="16" t="str">
        <f>IFERROR(__xludf.DUMMYFUNCTION("""COMPUTED_VALUE"""),"Johan Alexander Escobar Arroyo ")</f>
        <v>Johan Alexander Escobar Arroyo </v>
      </c>
      <c r="C7118" s="15" t="str">
        <f>IFERROR(__xludf.DUMMYFUNCTION("""COMPUTED_VALUE"""),"CALI")</f>
        <v>CALI</v>
      </c>
      <c r="D7118" s="15" t="str">
        <f>IFERROR(__xludf.DUMMYFUNCTION("""COMPUTED_VALUE"""),"BOGOTÁ")</f>
        <v>BOGOTÁ</v>
      </c>
      <c r="E7118" s="15" t="str">
        <f>IFERROR(__xludf.DUMMYFUNCTION("""COMPUTED_VALUE"""),"Top Spun")</f>
        <v>Top Spun</v>
      </c>
      <c r="F7118" s="17" t="str">
        <f>IFERROR(__xludf.DUMMYFUNCTION("""COMPUTED_VALUE"""),"Calle 2 # 92a - 19  / Barrio Melendez / Cali")</f>
        <v>Calle 2 # 92a - 19  / Barrio Melendez / Cali</v>
      </c>
      <c r="G7118" s="15" t="str">
        <f>IFERROR(__xludf.DUMMYFUNCTION("""COMPUTED_VALUE"""),"Esthefany Obando")</f>
        <v>Esthefany Obando</v>
      </c>
      <c r="H7118" s="16">
        <f>IFERROR(__xludf.DUMMYFUNCTION("""COMPUTED_VALUE"""),15774.0)</f>
        <v>15774</v>
      </c>
      <c r="I7118" s="18">
        <f>IFERROR(__xludf.DUMMYFUNCTION("""COMPUTED_VALUE"""),20.0)</f>
        <v>20</v>
      </c>
      <c r="J7118" s="18">
        <f>IFERROR(__xludf.DUMMYFUNCTION("""COMPUTED_VALUE"""),10.0)</f>
        <v>10</v>
      </c>
      <c r="K7118" s="18">
        <f>IFERROR(__xludf.DUMMYFUNCTION("""COMPUTED_VALUE"""),40.0)</f>
        <v>40</v>
      </c>
      <c r="L7118" s="17">
        <f>IFERROR(__xludf.DUMMYFUNCTION("""COMPUTED_VALUE"""),3.226860215E9)</f>
        <v>3226860215</v>
      </c>
      <c r="M7118" s="17"/>
      <c r="N7118" s="17"/>
      <c r="O7118" s="17"/>
      <c r="P7118" s="17" t="b">
        <f>IFERROR(__xludf.DUMMYFUNCTION("""COMPUTED_VALUE"""),FALSE)</f>
        <v>0</v>
      </c>
      <c r="Q7118" s="20" t="str">
        <f>IFERROR(__xludf.DUMMYFUNCTION("""COMPUTED_VALUE"""),"")</f>
        <v/>
      </c>
      <c r="R7118" s="21" t="str">
        <f>IFERROR(__xludf.DUMMYFUNCTION("""COMPUTED_VALUE"""),"https://drive.google.com/file/d/1Q3qJZsvg2jpQ3NJfG0cW8GvNnKagbvJO/view?usp=drivesdk")</f>
        <v>https://drive.google.com/file/d/1Q3qJZsvg2jpQ3NJfG0cW8GvNnKagbvJO/view?usp=drivesdk</v>
      </c>
    </row>
    <row r="7119">
      <c r="A7119" s="15">
        <f>IFERROR(__xludf.DUMMYFUNCTION("""COMPUTED_VALUE"""),45202.0)</f>
        <v>45202</v>
      </c>
      <c r="B7119" s="16" t="str">
        <f>IFERROR(__xludf.DUMMYFUNCTION("""COMPUTED_VALUE"""),"Johan Alexander Escobar Arroyo ")</f>
        <v>Johan Alexander Escobar Arroyo </v>
      </c>
      <c r="C7119" s="15" t="str">
        <f>IFERROR(__xludf.DUMMYFUNCTION("""COMPUTED_VALUE"""),"CALI")</f>
        <v>CALI</v>
      </c>
      <c r="D7119" s="15" t="str">
        <f>IFERROR(__xludf.DUMMYFUNCTION("""COMPUTED_VALUE"""),"MEDELLÍN")</f>
        <v>MEDELLÍN</v>
      </c>
      <c r="E7119" s="15" t="str">
        <f>IFERROR(__xludf.DUMMYFUNCTION("""COMPUTED_VALUE"""),"Helados swip")</f>
        <v>Helados swip</v>
      </c>
      <c r="F7119" s="17" t="str">
        <f>IFERROR(__xludf.DUMMYFUNCTION("""COMPUTED_VALUE"""),"AV 4 NORTE # 7N 46 / LOCAL 129 / C.C CENTENARIO")</f>
        <v>AV 4 NORTE # 7N 46 / LOCAL 129 / C.C CENTENARIO</v>
      </c>
      <c r="G7119" s="15" t="str">
        <f>IFERROR(__xludf.DUMMYFUNCTION("""COMPUTED_VALUE"""),"VITAFITNESS CALI")</f>
        <v>VITAFITNESS CALI</v>
      </c>
      <c r="H7119" s="16">
        <f>IFERROR(__xludf.DUMMYFUNCTION("""COMPUTED_VALUE"""),15842.0)</f>
        <v>15842</v>
      </c>
      <c r="I7119" s="18">
        <f>IFERROR(__xludf.DUMMYFUNCTION("""COMPUTED_VALUE"""),29.0)</f>
        <v>29</v>
      </c>
      <c r="J7119" s="18">
        <f>IFERROR(__xludf.DUMMYFUNCTION("""COMPUTED_VALUE"""),55.0)</f>
        <v>55</v>
      </c>
      <c r="K7119" s="18">
        <f>IFERROR(__xludf.DUMMYFUNCTION("""COMPUTED_VALUE"""),45.0)</f>
        <v>45</v>
      </c>
      <c r="L7119" s="17">
        <f>IFERROR(__xludf.DUMMYFUNCTION("""COMPUTED_VALUE"""),3.10443232E9)</f>
        <v>3104432320</v>
      </c>
      <c r="M7119" s="17"/>
      <c r="N7119" s="17"/>
      <c r="O7119" s="17"/>
      <c r="P7119" s="17" t="b">
        <f>IFERROR(__xludf.DUMMYFUNCTION("""COMPUTED_VALUE"""),FALSE)</f>
        <v>0</v>
      </c>
      <c r="Q7119" s="20" t="str">
        <f>IFERROR(__xludf.DUMMYFUNCTION("""COMPUTED_VALUE"""),"")</f>
        <v/>
      </c>
      <c r="R7119" s="22" t="str">
        <f>IFERROR(__xludf.DUMMYFUNCTION("""COMPUTED_VALUE"""),"")</f>
        <v/>
      </c>
    </row>
    <row r="7120">
      <c r="A7120" s="15">
        <f>IFERROR(__xludf.DUMMYFUNCTION("""COMPUTED_VALUE"""),45202.0)</f>
        <v>45202</v>
      </c>
      <c r="B7120" s="16" t="str">
        <f>IFERROR(__xludf.DUMMYFUNCTION("""COMPUTED_VALUE"""),"Johan Alexander Escobar Arroyo ")</f>
        <v>Johan Alexander Escobar Arroyo </v>
      </c>
      <c r="C7120" s="15" t="str">
        <f>IFERROR(__xludf.DUMMYFUNCTION("""COMPUTED_VALUE"""),"IBAGUÉ")</f>
        <v>IBAGUÉ</v>
      </c>
      <c r="D7120" s="15" t="str">
        <f>IFERROR(__xludf.DUMMYFUNCTION("""COMPUTED_VALUE"""),"BUCARAMANGA")</f>
        <v>BUCARAMANGA</v>
      </c>
      <c r="E7120" s="15" t="str">
        <f>IFERROR(__xludf.DUMMYFUNCTION("""COMPUTED_VALUE"""),"Yo Como Solito")</f>
        <v>Yo Como Solito</v>
      </c>
      <c r="F7120" s="17" t="str">
        <f>IFERROR(__xludf.DUMMYFUNCTION("""COMPUTED_VALUE"""),"CALLE 93 7SUR -90 PARQUE RESIDENCIAL ALTAGRACIA TORRE 7/701 BARRIO SAMARIA / CALLE 93 7SUR -90 PARQUE RESIDENCIAL ALTAGRACIA TORRE 7/701 BARRIO SAMARIA / CALLE 93 7SUR -90 PARQUE RESIDENCIAL ALTAGRACIA TORRE 7/701 BARRIO SAMARIA")</f>
        <v>CALLE 93 7SUR -90 PARQUE RESIDENCIAL ALTAGRACIA TORRE 7/701 BARRIO SAMARIA / CALLE 93 7SUR -90 PARQUE RESIDENCIAL ALTAGRACIA TORRE 7/701 BARRIO SAMARIA / CALLE 93 7SUR -90 PARQUE RESIDENCIAL ALTAGRACIA TORRE 7/701 BARRIO SAMARIA</v>
      </c>
      <c r="G7120" s="15" t="str">
        <f>IFERROR(__xludf.DUMMYFUNCTION("""COMPUTED_VALUE"""),"MARIAM YASMIN MURILLO RUBIO")</f>
        <v>MARIAM YASMIN MURILLO RUBIO</v>
      </c>
      <c r="H7120" s="16">
        <f>IFERROR(__xludf.DUMMYFUNCTION("""COMPUTED_VALUE"""),15747.0)</f>
        <v>15747</v>
      </c>
      <c r="I7120" s="18">
        <f>IFERROR(__xludf.DUMMYFUNCTION("""COMPUTED_VALUE"""),20.0)</f>
        <v>20</v>
      </c>
      <c r="J7120" s="18">
        <f>IFERROR(__xludf.DUMMYFUNCTION("""COMPUTED_VALUE"""),35.0)</f>
        <v>35</v>
      </c>
      <c r="K7120" s="18">
        <f>IFERROR(__xludf.DUMMYFUNCTION("""COMPUTED_VALUE"""),40.0)</f>
        <v>40</v>
      </c>
      <c r="L7120" s="17">
        <f>IFERROR(__xludf.DUMMYFUNCTION("""COMPUTED_VALUE"""),3.175051573E9)</f>
        <v>3175051573</v>
      </c>
      <c r="M7120" s="17"/>
      <c r="N7120" s="17"/>
      <c r="O7120" s="17"/>
      <c r="P7120" s="17" t="b">
        <f>IFERROR(__xludf.DUMMYFUNCTION("""COMPUTED_VALUE"""),FALSE)</f>
        <v>0</v>
      </c>
      <c r="Q7120" s="20" t="str">
        <f>IFERROR(__xludf.DUMMYFUNCTION("""COMPUTED_VALUE"""),"")</f>
        <v/>
      </c>
      <c r="R7120" s="22" t="str">
        <f>IFERROR(__xludf.DUMMYFUNCTION("""COMPUTED_VALUE"""),"")</f>
        <v/>
      </c>
    </row>
    <row r="7121">
      <c r="A7121" s="15">
        <f>IFERROR(__xludf.DUMMYFUNCTION("""COMPUTED_VALUE"""),45202.0)</f>
        <v>45202</v>
      </c>
      <c r="B7121" s="16" t="str">
        <f>IFERROR(__xludf.DUMMYFUNCTION("""COMPUTED_VALUE"""),"Johan Alexander Escobar Arroyo ")</f>
        <v>Johan Alexander Escobar Arroyo </v>
      </c>
      <c r="C7121" s="15" t="str">
        <f>IFERROR(__xludf.DUMMYFUNCTION("""COMPUTED_VALUE"""),"IBAGUÉ")</f>
        <v>IBAGUÉ</v>
      </c>
      <c r="D7121" s="15" t="str">
        <f>IFERROR(__xludf.DUMMYFUNCTION("""COMPUTED_VALUE"""),"MEDELLÍN")</f>
        <v>MEDELLÍN</v>
      </c>
      <c r="E7121" s="15" t="str">
        <f>IFERROR(__xludf.DUMMYFUNCTION("""COMPUTED_VALUE"""),"Moloso S.A.S")</f>
        <v>Moloso S.A.S</v>
      </c>
      <c r="F7121" s="17" t="str">
        <f>IFERROR(__xludf.DUMMYFUNCTION("""COMPUTED_VALUE"""),"CL 93 20 40SUR CON MIRADOR DE LOS ANDES")</f>
        <v>CL 93 20 40SUR CON MIRADOR DE LOS ANDES</v>
      </c>
      <c r="G7121" s="15" t="str">
        <f>IFERROR(__xludf.DUMMYFUNCTION("""COMPUTED_VALUE"""),"ANA MARLY  DONHAUSER JOYA")</f>
        <v>ANA MARLY  DONHAUSER JOYA</v>
      </c>
      <c r="H7121" s="16">
        <f>IFERROR(__xludf.DUMMYFUNCTION("""COMPUTED_VALUE"""),15873.0)</f>
        <v>15873</v>
      </c>
      <c r="I7121" s="18">
        <f>IFERROR(__xludf.DUMMYFUNCTION("""COMPUTED_VALUE"""),17.0)</f>
        <v>17</v>
      </c>
      <c r="J7121" s="18">
        <f>IFERROR(__xludf.DUMMYFUNCTION("""COMPUTED_VALUE"""),15.0)</f>
        <v>15</v>
      </c>
      <c r="K7121" s="18">
        <f>IFERROR(__xludf.DUMMYFUNCTION("""COMPUTED_VALUE"""),28.0)</f>
        <v>28</v>
      </c>
      <c r="L7121" s="17" t="str">
        <f>IFERROR(__xludf.DUMMYFUNCTION("""COMPUTED_VALUE"""),"320 2568253")</f>
        <v>320 2568253</v>
      </c>
      <c r="M7121" s="17"/>
      <c r="N7121" s="17"/>
      <c r="O7121" s="17"/>
      <c r="P7121" s="17" t="b">
        <f>IFERROR(__xludf.DUMMYFUNCTION("""COMPUTED_VALUE"""),FALSE)</f>
        <v>0</v>
      </c>
      <c r="Q7121" s="20" t="str">
        <f>IFERROR(__xludf.DUMMYFUNCTION("""COMPUTED_VALUE"""),"")</f>
        <v/>
      </c>
      <c r="R7121" s="22" t="str">
        <f>IFERROR(__xludf.DUMMYFUNCTION("""COMPUTED_VALUE"""),"")</f>
        <v/>
      </c>
    </row>
    <row r="7122">
      <c r="A7122" s="17" t="str">
        <f>IFERROR(__xludf.DUMMYFUNCTION("""COMPUTED_VALUE"""),"")</f>
        <v/>
      </c>
      <c r="B7122" s="17" t="str">
        <f>IFERROR(__xludf.DUMMYFUNCTION("""COMPUTED_VALUE"""),"")</f>
        <v/>
      </c>
      <c r="C7122" s="17" t="str">
        <f>IFERROR(__xludf.DUMMYFUNCTION("""COMPUTED_VALUE"""),"")</f>
        <v/>
      </c>
      <c r="D7122" s="17" t="str">
        <f>IFERROR(__xludf.DUMMYFUNCTION("""COMPUTED_VALUE"""),"")</f>
        <v/>
      </c>
      <c r="E7122" s="17" t="str">
        <f>IFERROR(__xludf.DUMMYFUNCTION("""COMPUTED_VALUE"""),"")</f>
        <v/>
      </c>
      <c r="F7122" s="17" t="str">
        <f>IFERROR(__xludf.DUMMYFUNCTION("""COMPUTED_VALUE"""),"")</f>
        <v/>
      </c>
      <c r="G7122" s="17" t="str">
        <f>IFERROR(__xludf.DUMMYFUNCTION("""COMPUTED_VALUE"""),"")</f>
        <v/>
      </c>
      <c r="H7122" s="17" t="str">
        <f>IFERROR(__xludf.DUMMYFUNCTION("""COMPUTED_VALUE"""),"")</f>
        <v/>
      </c>
      <c r="I7122" s="17" t="str">
        <f>IFERROR(__xludf.DUMMYFUNCTION("""COMPUTED_VALUE"""),"")</f>
        <v/>
      </c>
      <c r="J7122" s="17" t="str">
        <f>IFERROR(__xludf.DUMMYFUNCTION("""COMPUTED_VALUE"""),"")</f>
        <v/>
      </c>
      <c r="K7122" s="17" t="str">
        <f>IFERROR(__xludf.DUMMYFUNCTION("""COMPUTED_VALUE"""),"")</f>
        <v/>
      </c>
      <c r="L7122" s="17" t="str">
        <f>IFERROR(__xludf.DUMMYFUNCTION("""COMPUTED_VALUE"""),"")</f>
        <v/>
      </c>
      <c r="M7122" s="17" t="str">
        <f>IFERROR(__xludf.DUMMYFUNCTION("""COMPUTED_VALUE"""),"")</f>
        <v/>
      </c>
      <c r="N7122" s="17" t="str">
        <f>IFERROR(__xludf.DUMMYFUNCTION("""COMPUTED_VALUE"""),"")</f>
        <v/>
      </c>
      <c r="O7122" s="17" t="str">
        <f>IFERROR(__xludf.DUMMYFUNCTION("""COMPUTED_VALUE"""),"")</f>
        <v/>
      </c>
      <c r="P7122" s="17" t="str">
        <f>IFERROR(__xludf.DUMMYFUNCTION("""COMPUTED_VALUE"""),"")</f>
        <v/>
      </c>
      <c r="Q7122" s="17" t="str">
        <f>IFERROR(__xludf.DUMMYFUNCTION("""COMPUTED_VALUE"""),"")</f>
        <v/>
      </c>
      <c r="R7122" s="17" t="str">
        <f>IFERROR(__xludf.DUMMYFUNCTION("""COMPUTED_VALUE"""),"")</f>
        <v/>
      </c>
    </row>
    <row r="7123">
      <c r="A7123" s="15">
        <f>IFERROR(__xludf.DUMMYFUNCTION("""COMPUTED_VALUE"""),45202.0)</f>
        <v>45202</v>
      </c>
      <c r="B7123" s="16" t="str">
        <f>IFERROR(__xludf.DUMMYFUNCTION("""COMPUTED_VALUE"""),"Johanna Arango Barrera")</f>
        <v>Johanna Arango Barrera</v>
      </c>
      <c r="C7123" s="15" t="str">
        <f>IFERROR(__xludf.DUMMYFUNCTION("""COMPUTED_VALUE"""),"PEREIRA")</f>
        <v>PEREIRA</v>
      </c>
      <c r="D7123" s="15" t="str">
        <f>IFERROR(__xludf.DUMMYFUNCTION("""COMPUTED_VALUE"""),"MEDELLÍN")</f>
        <v>MEDELLÍN</v>
      </c>
      <c r="E7123" s="15" t="str">
        <f>IFERROR(__xludf.DUMMYFUNCTION("""COMPUTED_VALUE"""),"Videobase")</f>
        <v>Videobase</v>
      </c>
      <c r="F7123" s="17" t="str">
        <f>IFERROR(__xludf.DUMMYFUNCTION("""COMPUTED_VALUE"""),"km2 via cerrito la virginia,centro industrial logístico entrada 5 cefelia  / Consumer Electronics Group S.A / No hay referencia")</f>
        <v>km2 via cerrito la virginia,centro industrial logístico entrada 5 cefelia  / Consumer Electronics Group S.A / No hay referencia</v>
      </c>
      <c r="G7123" s="15" t="str">
        <f>IFERROR(__xludf.DUMMYFUNCTION("""COMPUTED_VALUE"""),"Jorge Olaya")</f>
        <v>Jorge Olaya</v>
      </c>
      <c r="H7123" s="16">
        <f>IFERROR(__xludf.DUMMYFUNCTION("""COMPUTED_VALUE"""),15830.0)</f>
        <v>15830</v>
      </c>
      <c r="I7123" s="18">
        <f>IFERROR(__xludf.DUMMYFUNCTION("""COMPUTED_VALUE"""),4.0)</f>
        <v>4</v>
      </c>
      <c r="J7123" s="18">
        <f>IFERROR(__xludf.DUMMYFUNCTION("""COMPUTED_VALUE"""),45067.0)</f>
        <v>45067</v>
      </c>
      <c r="K7123" s="18">
        <f>IFERROR(__xludf.DUMMYFUNCTION("""COMPUTED_VALUE"""),45065.0)</f>
        <v>45065</v>
      </c>
      <c r="L7123" s="17">
        <f>IFERROR(__xludf.DUMMYFUNCTION("""COMPUTED_VALUE"""),3.152887684E9)</f>
        <v>3152887684</v>
      </c>
      <c r="M7123" s="17"/>
      <c r="N7123" s="17"/>
      <c r="O7123" s="17"/>
      <c r="P7123" s="17" t="b">
        <f>IFERROR(__xludf.DUMMYFUNCTION("""COMPUTED_VALUE"""),FALSE)</f>
        <v>0</v>
      </c>
      <c r="Q7123" s="20" t="str">
        <f>IFERROR(__xludf.DUMMYFUNCTION("""COMPUTED_VALUE"""),"")</f>
        <v/>
      </c>
      <c r="R7123" s="21" t="str">
        <f>IFERROR(__xludf.DUMMYFUNCTION("""COMPUTED_VALUE"""),"https://drive.google.com/file/d/1xmxAzQzGZWScabUGW6SEprd-v7ss99h-/view?usp=drivesdk")</f>
        <v>https://drive.google.com/file/d/1xmxAzQzGZWScabUGW6SEprd-v7ss99h-/view?usp=drivesdk</v>
      </c>
    </row>
    <row r="7124">
      <c r="A7124" s="17" t="str">
        <f>IFERROR(__xludf.DUMMYFUNCTION("""COMPUTED_VALUE"""),"")</f>
        <v/>
      </c>
      <c r="B7124" s="17" t="str">
        <f>IFERROR(__xludf.DUMMYFUNCTION("""COMPUTED_VALUE"""),"")</f>
        <v/>
      </c>
      <c r="C7124" s="17" t="str">
        <f>IFERROR(__xludf.DUMMYFUNCTION("""COMPUTED_VALUE"""),"")</f>
        <v/>
      </c>
      <c r="D7124" s="17" t="str">
        <f>IFERROR(__xludf.DUMMYFUNCTION("""COMPUTED_VALUE"""),"")</f>
        <v/>
      </c>
      <c r="E7124" s="17" t="str">
        <f>IFERROR(__xludf.DUMMYFUNCTION("""COMPUTED_VALUE"""),"")</f>
        <v/>
      </c>
      <c r="F7124" s="17" t="str">
        <f>IFERROR(__xludf.DUMMYFUNCTION("""COMPUTED_VALUE"""),"")</f>
        <v/>
      </c>
      <c r="G7124" s="17" t="str">
        <f>IFERROR(__xludf.DUMMYFUNCTION("""COMPUTED_VALUE"""),"")</f>
        <v/>
      </c>
      <c r="H7124" s="17" t="str">
        <f>IFERROR(__xludf.DUMMYFUNCTION("""COMPUTED_VALUE"""),"")</f>
        <v/>
      </c>
      <c r="I7124" s="17" t="str">
        <f>IFERROR(__xludf.DUMMYFUNCTION("""COMPUTED_VALUE"""),"")</f>
        <v/>
      </c>
      <c r="J7124" s="17" t="str">
        <f>IFERROR(__xludf.DUMMYFUNCTION("""COMPUTED_VALUE"""),"")</f>
        <v/>
      </c>
      <c r="K7124" s="17" t="str">
        <f>IFERROR(__xludf.DUMMYFUNCTION("""COMPUTED_VALUE"""),"")</f>
        <v/>
      </c>
      <c r="L7124" s="17" t="str">
        <f>IFERROR(__xludf.DUMMYFUNCTION("""COMPUTED_VALUE"""),"")</f>
        <v/>
      </c>
      <c r="M7124" s="17" t="str">
        <f>IFERROR(__xludf.DUMMYFUNCTION("""COMPUTED_VALUE"""),"")</f>
        <v/>
      </c>
      <c r="N7124" s="17" t="str">
        <f>IFERROR(__xludf.DUMMYFUNCTION("""COMPUTED_VALUE"""),"")</f>
        <v/>
      </c>
      <c r="O7124" s="17" t="str">
        <f>IFERROR(__xludf.DUMMYFUNCTION("""COMPUTED_VALUE"""),"")</f>
        <v/>
      </c>
      <c r="P7124" s="17" t="str">
        <f>IFERROR(__xludf.DUMMYFUNCTION("""COMPUTED_VALUE"""),"")</f>
        <v/>
      </c>
      <c r="Q7124" s="17" t="str">
        <f>IFERROR(__xludf.DUMMYFUNCTION("""COMPUTED_VALUE"""),"")</f>
        <v/>
      </c>
      <c r="R7124" s="17" t="str">
        <f>IFERROR(__xludf.DUMMYFUNCTION("""COMPUTED_VALUE"""),"")</f>
        <v/>
      </c>
    </row>
    <row r="7125">
      <c r="A7125" s="15">
        <f>IFERROR(__xludf.DUMMYFUNCTION("""COMPUTED_VALUE"""),45202.0)</f>
        <v>45202</v>
      </c>
      <c r="B7125" s="16" t="str">
        <f>IFERROR(__xludf.DUMMYFUNCTION("""COMPUTED_VALUE"""),"Julián Alexis salazar Anaya ")</f>
        <v>Julián Alexis salazar Anaya </v>
      </c>
      <c r="C7125" s="15" t="str">
        <f>IFERROR(__xludf.DUMMYFUNCTION("""COMPUTED_VALUE"""),"ARMENIA")</f>
        <v>ARMENIA</v>
      </c>
      <c r="D7125" s="15" t="str">
        <f>IFERROR(__xludf.DUMMYFUNCTION("""COMPUTED_VALUE"""),"BOGOTÁ")</f>
        <v>BOGOTÁ</v>
      </c>
      <c r="E7125" s="15" t="str">
        <f>IFERROR(__xludf.DUMMYFUNCTION("""COMPUTED_VALUE"""),"Asociacion Agropecuaria Juana Maria")</f>
        <v>Asociacion Agropecuaria Juana Maria</v>
      </c>
      <c r="F7125" s="17" t="str">
        <f>IFERROR(__xludf.DUMMYFUNCTION("""COMPUTED_VALUE"""),"calle 45 # 42 - 10 mz 7 cs 39 caminos del bosque")</f>
        <v>calle 45 # 42 - 10 mz 7 cs 39 caminos del bosque</v>
      </c>
      <c r="G7125" s="15" t="str">
        <f>IFERROR(__xludf.DUMMYFUNCTION("""COMPUTED_VALUE"""),"Sandra Maritza Lizarazo Bejarano")</f>
        <v>Sandra Maritza Lizarazo Bejarano</v>
      </c>
      <c r="H7125" s="16">
        <f>IFERROR(__xludf.DUMMYFUNCTION("""COMPUTED_VALUE"""),15798.0)</f>
        <v>15798</v>
      </c>
      <c r="I7125" s="18">
        <f>IFERROR(__xludf.DUMMYFUNCTION("""COMPUTED_VALUE"""),10.0)</f>
        <v>10</v>
      </c>
      <c r="J7125" s="18">
        <f>IFERROR(__xludf.DUMMYFUNCTION("""COMPUTED_VALUE"""),34.0)</f>
        <v>34</v>
      </c>
      <c r="K7125" s="18">
        <f>IFERROR(__xludf.DUMMYFUNCTION("""COMPUTED_VALUE"""),18.0)</f>
        <v>18</v>
      </c>
      <c r="L7125" s="17">
        <f>IFERROR(__xludf.DUMMYFUNCTION("""COMPUTED_VALUE"""),3.163412536E9)</f>
        <v>3163412536</v>
      </c>
      <c r="M7125" s="17"/>
      <c r="N7125" s="17"/>
      <c r="O7125" s="17"/>
      <c r="P7125" s="17" t="b">
        <f>IFERROR(__xludf.DUMMYFUNCTION("""COMPUTED_VALUE"""),TRUE)</f>
        <v>1</v>
      </c>
      <c r="Q7125" s="20">
        <f>IFERROR(__xludf.DUMMYFUNCTION("""COMPUTED_VALUE"""),45203.654330034726)</f>
        <v>45203.65433</v>
      </c>
      <c r="R7125" s="21" t="str">
        <f>IFERROR(__xludf.DUMMYFUNCTION("""COMPUTED_VALUE"""),"https://drive.google.com/file/d/171zGFRYxjRJp2PWfqgc7t35_ssQf90Kv/view?usp=drivesdk")</f>
        <v>https://drive.google.com/file/d/171zGFRYxjRJp2PWfqgc7t35_ssQf90Kv/view?usp=drivesdk</v>
      </c>
    </row>
    <row r="7126">
      <c r="A7126" s="15">
        <f>IFERROR(__xludf.DUMMYFUNCTION("""COMPUTED_VALUE"""),45202.0)</f>
        <v>45202</v>
      </c>
      <c r="B7126" s="16" t="str">
        <f>IFERROR(__xludf.DUMMYFUNCTION("""COMPUTED_VALUE"""),"Julián Alexis salazar Anaya ")</f>
        <v>Julián Alexis salazar Anaya </v>
      </c>
      <c r="C7126" s="15" t="str">
        <f>IFERROR(__xludf.DUMMYFUNCTION("""COMPUTED_VALUE"""),"ARMENIA")</f>
        <v>ARMENIA</v>
      </c>
      <c r="D7126" s="15" t="str">
        <f>IFERROR(__xludf.DUMMYFUNCTION("""COMPUTED_VALUE"""),"BOGOTÁ")</f>
        <v>BOGOTÁ</v>
      </c>
      <c r="E7126" s="15" t="str">
        <f>IFERROR(__xludf.DUMMYFUNCTION("""COMPUTED_VALUE"""),"Evamazzita")</f>
        <v>Evamazzita</v>
      </c>
      <c r="F7126" s="17" t="str">
        <f>IFERROR(__xludf.DUMMYFUNCTION("""COMPUTED_VALUE"""),"Calle 30#30-11 / Calle 30#30-11")</f>
        <v>Calle 30#30-11 / Calle 30#30-11</v>
      </c>
      <c r="G7126" s="15" t="str">
        <f>IFERROR(__xludf.DUMMYFUNCTION("""COMPUTED_VALUE"""),"YORMARY JIMENEZ")</f>
        <v>YORMARY JIMENEZ</v>
      </c>
      <c r="H7126" s="16">
        <f>IFERROR(__xludf.DUMMYFUNCTION("""COMPUTED_VALUE"""),15863.0)</f>
        <v>15863</v>
      </c>
      <c r="I7126" s="18">
        <f>IFERROR(__xludf.DUMMYFUNCTION("""COMPUTED_VALUE"""),1.0)</f>
        <v>1</v>
      </c>
      <c r="J7126" s="18">
        <f>IFERROR(__xludf.DUMMYFUNCTION("""COMPUTED_VALUE"""),1.0)</f>
        <v>1</v>
      </c>
      <c r="K7126" s="18">
        <f>IFERROR(__xludf.DUMMYFUNCTION("""COMPUTED_VALUE"""),1.0)</f>
        <v>1</v>
      </c>
      <c r="L7126" s="17">
        <f>IFERROR(__xludf.DUMMYFUNCTION("""COMPUTED_VALUE"""),3.113196178E9)</f>
        <v>3113196178</v>
      </c>
      <c r="M7126" s="17"/>
      <c r="N7126" s="17"/>
      <c r="O7126" s="17"/>
      <c r="P7126" s="17" t="b">
        <f>IFERROR(__xludf.DUMMYFUNCTION("""COMPUTED_VALUE"""),FALSE)</f>
        <v>0</v>
      </c>
      <c r="Q7126" s="20" t="str">
        <f>IFERROR(__xludf.DUMMYFUNCTION("""COMPUTED_VALUE"""),"")</f>
        <v/>
      </c>
      <c r="R7126" s="22" t="str">
        <f>IFERROR(__xludf.DUMMYFUNCTION("""COMPUTED_VALUE"""),"")</f>
        <v/>
      </c>
    </row>
    <row r="7127">
      <c r="A7127" s="15">
        <f>IFERROR(__xludf.DUMMYFUNCTION("""COMPUTED_VALUE"""),45202.0)</f>
        <v>45202</v>
      </c>
      <c r="B7127" s="16" t="str">
        <f>IFERROR(__xludf.DUMMYFUNCTION("""COMPUTED_VALUE"""),"Julián Alexis salazar Anaya ")</f>
        <v>Julián Alexis salazar Anaya </v>
      </c>
      <c r="C7127" s="15" t="str">
        <f>IFERROR(__xludf.DUMMYFUNCTION("""COMPUTED_VALUE"""),"ARMENIA")</f>
        <v>ARMENIA</v>
      </c>
      <c r="D7127" s="15" t="str">
        <f>IFERROR(__xludf.DUMMYFUNCTION("""COMPUTED_VALUE"""),"BOGOTÁ")</f>
        <v>BOGOTÁ</v>
      </c>
      <c r="E7127" s="15" t="str">
        <f>IFERROR(__xludf.DUMMYFUNCTION("""COMPUTED_VALUE"""),"Ins. Alimento Vital")</f>
        <v>Ins. Alimento Vital</v>
      </c>
      <c r="F7127" s="17" t="str">
        <f>IFERROR(__xludf.DUMMYFUNCTION("""COMPUTED_VALUE"""),"MZ E CASA 12 / MZ E CASA 12 / BARRIO QUINTAS DE LA MARINA")</f>
        <v>MZ E CASA 12 / MZ E CASA 12 / BARRIO QUINTAS DE LA MARINA</v>
      </c>
      <c r="G7127" s="15" t="str">
        <f>IFERROR(__xludf.DUMMYFUNCTION("""COMPUTED_VALUE"""),"ANDRES FELIPE MACIAS PARDO")</f>
        <v>ANDRES FELIPE MACIAS PARDO</v>
      </c>
      <c r="H7127" s="16">
        <f>IFERROR(__xludf.DUMMYFUNCTION("""COMPUTED_VALUE"""),15826.0)</f>
        <v>15826</v>
      </c>
      <c r="I7127" s="18">
        <f>IFERROR(__xludf.DUMMYFUNCTION("""COMPUTED_VALUE"""),1.0)</f>
        <v>1</v>
      </c>
      <c r="J7127" s="18">
        <f>IFERROR(__xludf.DUMMYFUNCTION("""COMPUTED_VALUE"""),1.0)</f>
        <v>1</v>
      </c>
      <c r="K7127" s="18">
        <f>IFERROR(__xludf.DUMMYFUNCTION("""COMPUTED_VALUE"""),1.0)</f>
        <v>1</v>
      </c>
      <c r="L7127" s="17">
        <f>IFERROR(__xludf.DUMMYFUNCTION("""COMPUTED_VALUE"""),3.022419673E9)</f>
        <v>3022419673</v>
      </c>
      <c r="M7127" s="17"/>
      <c r="N7127" s="17"/>
      <c r="O7127" s="17"/>
      <c r="P7127" s="17" t="b">
        <f>IFERROR(__xludf.DUMMYFUNCTION("""COMPUTED_VALUE"""),FALSE)</f>
        <v>0</v>
      </c>
      <c r="Q7127" s="20" t="str">
        <f>IFERROR(__xludf.DUMMYFUNCTION("""COMPUTED_VALUE"""),"")</f>
        <v/>
      </c>
      <c r="R7127" s="21" t="str">
        <f>IFERROR(__xludf.DUMMYFUNCTION("""COMPUTED_VALUE"""),"https://drive.google.com/file/d/1w757yPShSD3hl9AW9TzCih6sRfEbl-jy/view?usp=drivesdk")</f>
        <v>https://drive.google.com/file/d/1w757yPShSD3hl9AW9TzCih6sRfEbl-jy/view?usp=drivesdk</v>
      </c>
    </row>
    <row r="7128">
      <c r="A7128" s="15">
        <f>IFERROR(__xludf.DUMMYFUNCTION("""COMPUTED_VALUE"""),45202.0)</f>
        <v>45202</v>
      </c>
      <c r="B7128" s="16" t="str">
        <f>IFERROR(__xludf.DUMMYFUNCTION("""COMPUTED_VALUE"""),"Julián Alexis salazar Anaya ")</f>
        <v>Julián Alexis salazar Anaya </v>
      </c>
      <c r="C7128" s="15" t="str">
        <f>IFERROR(__xludf.DUMMYFUNCTION("""COMPUTED_VALUE"""),"ARMENIA")</f>
        <v>ARMENIA</v>
      </c>
      <c r="D7128" s="15" t="str">
        <f>IFERROR(__xludf.DUMMYFUNCTION("""COMPUTED_VALUE"""),"BOGOTÁ")</f>
        <v>BOGOTÁ</v>
      </c>
      <c r="E7128" s="15" t="str">
        <f>IFERROR(__xludf.DUMMYFUNCTION("""COMPUTED_VALUE"""),"Top Spun")</f>
        <v>Top Spun</v>
      </c>
      <c r="F7128" s="17" t="str">
        <f>IFERROR(__xludf.DUMMYFUNCTION("""COMPUTED_VALUE"""),"Calle 19 Norte#10-41 /  CASTELLON MANZANA J  / CASA 16")</f>
        <v>Calle 19 Norte#10-41 /  CASTELLON MANZANA J  / CASA 16</v>
      </c>
      <c r="G7128" s="15" t="str">
        <f>IFERROR(__xludf.DUMMYFUNCTION("""COMPUTED_VALUE"""),"Laura Mireya Cardona Tamayo")</f>
        <v>Laura Mireya Cardona Tamayo</v>
      </c>
      <c r="H7128" s="16">
        <f>IFERROR(__xludf.DUMMYFUNCTION("""COMPUTED_VALUE"""),15777.0)</f>
        <v>15777</v>
      </c>
      <c r="I7128" s="18">
        <f>IFERROR(__xludf.DUMMYFUNCTION("""COMPUTED_VALUE"""),20.0)</f>
        <v>20</v>
      </c>
      <c r="J7128" s="18">
        <f>IFERROR(__xludf.DUMMYFUNCTION("""COMPUTED_VALUE"""),10.0)</f>
        <v>10</v>
      </c>
      <c r="K7128" s="18">
        <f>IFERROR(__xludf.DUMMYFUNCTION("""COMPUTED_VALUE"""),40.0)</f>
        <v>40</v>
      </c>
      <c r="L7128" s="17">
        <f>IFERROR(__xludf.DUMMYFUNCTION("""COMPUTED_VALUE"""),3.01435952E9)</f>
        <v>3014359520</v>
      </c>
      <c r="M7128" s="17"/>
      <c r="N7128" s="17"/>
      <c r="O7128" s="17"/>
      <c r="P7128" s="17" t="b">
        <f>IFERROR(__xludf.DUMMYFUNCTION("""COMPUTED_VALUE"""),FALSE)</f>
        <v>0</v>
      </c>
      <c r="Q7128" s="20" t="str">
        <f>IFERROR(__xludf.DUMMYFUNCTION("""COMPUTED_VALUE"""),"")</f>
        <v/>
      </c>
      <c r="R7128" s="21" t="str">
        <f>IFERROR(__xludf.DUMMYFUNCTION("""COMPUTED_VALUE"""),"https://drive.google.com/file/d/1_CXduVNzLHD5OPMNeBOlNpAb0mw-IZqk/view?usp=drivesdk")</f>
        <v>https://drive.google.com/file/d/1_CXduVNzLHD5OPMNeBOlNpAb0mw-IZqk/view?usp=drivesdk</v>
      </c>
    </row>
    <row r="7129">
      <c r="A7129" s="15">
        <f>IFERROR(__xludf.DUMMYFUNCTION("""COMPUTED_VALUE"""),45202.0)</f>
        <v>45202</v>
      </c>
      <c r="B7129" s="16" t="str">
        <f>IFERROR(__xludf.DUMMYFUNCTION("""COMPUTED_VALUE"""),"Julián Alexis salazar Anaya ")</f>
        <v>Julián Alexis salazar Anaya </v>
      </c>
      <c r="C7129" s="15" t="str">
        <f>IFERROR(__xludf.DUMMYFUNCTION("""COMPUTED_VALUE"""),"ARMENIA")</f>
        <v>ARMENIA</v>
      </c>
      <c r="D7129" s="15" t="str">
        <f>IFERROR(__xludf.DUMMYFUNCTION("""COMPUTED_VALUE"""),"MEDELLÍN")</f>
        <v>MEDELLÍN</v>
      </c>
      <c r="E7129" s="15" t="str">
        <f>IFERROR(__xludf.DUMMYFUNCTION("""COMPUTED_VALUE"""),"AREPAS LA MARY")</f>
        <v>AREPAS LA MARY</v>
      </c>
      <c r="F7129" s="17" t="str">
        <f>IFERROR(__xludf.DUMMYFUNCTION("""COMPUTED_VALUE"""),"Edificio equilibrio apartamento 1005 / ARMENIA")</f>
        <v>Edificio equilibrio apartamento 1005 / ARMENIA</v>
      </c>
      <c r="G7129" s="15" t="str">
        <f>IFERROR(__xludf.DUMMYFUNCTION("""COMPUTED_VALUE"""),"SANDRA MILENA VARELA")</f>
        <v>SANDRA MILENA VARELA</v>
      </c>
      <c r="H7129" s="16">
        <f>IFERROR(__xludf.DUMMYFUNCTION("""COMPUTED_VALUE"""),15836.0)</f>
        <v>15836</v>
      </c>
      <c r="I7129" s="18">
        <f>IFERROR(__xludf.DUMMYFUNCTION("""COMPUTED_VALUE"""),89.0)</f>
        <v>89</v>
      </c>
      <c r="J7129" s="18">
        <f>IFERROR(__xludf.DUMMYFUNCTION("""COMPUTED_VALUE"""),1.0)</f>
        <v>1</v>
      </c>
      <c r="K7129" s="18">
        <f>IFERROR(__xludf.DUMMYFUNCTION("""COMPUTED_VALUE"""),10.0)</f>
        <v>10</v>
      </c>
      <c r="L7129" s="17">
        <f>IFERROR(__xludf.DUMMYFUNCTION("""COMPUTED_VALUE"""),3.125082125E9)</f>
        <v>3125082125</v>
      </c>
      <c r="M7129" s="17"/>
      <c r="N7129" s="17"/>
      <c r="O7129" s="17"/>
      <c r="P7129" s="17" t="b">
        <f>IFERROR(__xludf.DUMMYFUNCTION("""COMPUTED_VALUE"""),FALSE)</f>
        <v>0</v>
      </c>
      <c r="Q7129" s="20" t="str">
        <f>IFERROR(__xludf.DUMMYFUNCTION("""COMPUTED_VALUE"""),"")</f>
        <v/>
      </c>
      <c r="R7129" s="21" t="str">
        <f>IFERROR(__xludf.DUMMYFUNCTION("""COMPUTED_VALUE"""),"https://drive.google.com/file/d/1Q2uLe3YB3pxjJRR48l6-5gbqjD_hZmmm/view?usp=drivesdk")</f>
        <v>https://drive.google.com/file/d/1Q2uLe3YB3pxjJRR48l6-5gbqjD_hZmmm/view?usp=drivesdk</v>
      </c>
    </row>
    <row r="7130">
      <c r="A7130" s="15">
        <f>IFERROR(__xludf.DUMMYFUNCTION("""COMPUTED_VALUE"""),45202.0)</f>
        <v>45202</v>
      </c>
      <c r="B7130" s="16" t="str">
        <f>IFERROR(__xludf.DUMMYFUNCTION("""COMPUTED_VALUE"""),"Julián Alexis salazar Anaya ")</f>
        <v>Julián Alexis salazar Anaya </v>
      </c>
      <c r="C7130" s="15" t="str">
        <f>IFERROR(__xludf.DUMMYFUNCTION("""COMPUTED_VALUE"""),"ARMENIA")</f>
        <v>ARMENIA</v>
      </c>
      <c r="D7130" s="15" t="str">
        <f>IFERROR(__xludf.DUMMYFUNCTION("""COMPUTED_VALUE"""),"MEDELLÍN")</f>
        <v>MEDELLÍN</v>
      </c>
      <c r="E7130" s="15" t="str">
        <f>IFERROR(__xludf.DUMMYFUNCTION("""COMPUTED_VALUE"""),"Baby Chef")</f>
        <v>Baby Chef</v>
      </c>
      <c r="F7130" s="17" t="str">
        <f>IFERROR(__xludf.DUMMYFUNCTION("""COMPUTED_VALUE"""),"Calle 19N # 10-41 Castellon Castellon Manzana J Casa 16 / ""Calle 19N # 10-41 Castellon Castellon Manzana J Casa 16"" / ""Calle 19N # 10-41 Castellon Castellon Manzana J Casa 16""")</f>
        <v>Calle 19N # 10-41 Castellon Castellon Manzana J Casa 16 / "Calle 19N # 10-41 Castellon Castellon Manzana J Casa 16" / "Calle 19N # 10-41 Castellon Castellon Manzana J Casa 16"</v>
      </c>
      <c r="G7130" s="15" t="str">
        <f>IFERROR(__xludf.DUMMYFUNCTION("""COMPUTED_VALUE"""),"Laura Mireya Cardona Tamayo")</f>
        <v>Laura Mireya Cardona Tamayo</v>
      </c>
      <c r="H7130" s="16">
        <f>IFERROR(__xludf.DUMMYFUNCTION("""COMPUTED_VALUE"""),15882.0)</f>
        <v>15882</v>
      </c>
      <c r="I7130" s="18">
        <f>IFERROR(__xludf.DUMMYFUNCTION("""COMPUTED_VALUE"""),6.0)</f>
        <v>6</v>
      </c>
      <c r="J7130" s="18">
        <f>IFERROR(__xludf.DUMMYFUNCTION("""COMPUTED_VALUE"""),23.0)</f>
        <v>23</v>
      </c>
      <c r="K7130" s="18">
        <f>IFERROR(__xludf.DUMMYFUNCTION("""COMPUTED_VALUE"""),32.0)</f>
        <v>32</v>
      </c>
      <c r="L7130" s="17">
        <f>IFERROR(__xludf.DUMMYFUNCTION("""COMPUTED_VALUE"""),3.01435952E9)</f>
        <v>3014359520</v>
      </c>
      <c r="M7130" s="17"/>
      <c r="N7130" s="17"/>
      <c r="O7130" s="17"/>
      <c r="P7130" s="17" t="b">
        <f>IFERROR(__xludf.DUMMYFUNCTION("""COMPUTED_VALUE"""),FALSE)</f>
        <v>0</v>
      </c>
      <c r="Q7130" s="20" t="str">
        <f>IFERROR(__xludf.DUMMYFUNCTION("""COMPUTED_VALUE"""),"")</f>
        <v/>
      </c>
      <c r="R7130" s="21" t="str">
        <f>IFERROR(__xludf.DUMMYFUNCTION("""COMPUTED_VALUE"""),"https://drive.google.com/file/d/1udPErXMvJjz5tFPypZ5-uEPDrlBFOqHV/view?usp=drivesdk")</f>
        <v>https://drive.google.com/file/d/1udPErXMvJjz5tFPypZ5-uEPDrlBFOqHV/view?usp=drivesdk</v>
      </c>
    </row>
    <row r="7131">
      <c r="A7131" s="15">
        <f>IFERROR(__xludf.DUMMYFUNCTION("""COMPUTED_VALUE"""),45202.0)</f>
        <v>45202</v>
      </c>
      <c r="B7131" s="16" t="str">
        <f>IFERROR(__xludf.DUMMYFUNCTION("""COMPUTED_VALUE"""),"Julián Alexis salazar Anaya ")</f>
        <v>Julián Alexis salazar Anaya </v>
      </c>
      <c r="C7131" s="15" t="str">
        <f>IFERROR(__xludf.DUMMYFUNCTION("""COMPUTED_VALUE"""),"MANIZALES")</f>
        <v>MANIZALES</v>
      </c>
      <c r="D7131" s="15" t="str">
        <f>IFERROR(__xludf.DUMMYFUNCTION("""COMPUTED_VALUE"""),"BOGOTÁ")</f>
        <v>BOGOTÁ</v>
      </c>
      <c r="E7131" s="15" t="str">
        <f>IFERROR(__xludf.DUMMYFUNCTION("""COMPUTED_VALUE"""),"Top Spun")</f>
        <v>Top Spun</v>
      </c>
      <c r="F7131" s="17" t="str">
        <f>IFERROR(__xludf.DUMMYFUNCTION("""COMPUTED_VALUE"""),"calle 75 #24-61 / Apartamento 501 / edificio portobelo")</f>
        <v>calle 75 #24-61 / Apartamento 501 / edificio portobelo</v>
      </c>
      <c r="G7131" s="15" t="str">
        <f>IFERROR(__xludf.DUMMYFUNCTION("""COMPUTED_VALUE"""),"Maria Gonzalez")</f>
        <v>Maria Gonzalez</v>
      </c>
      <c r="H7131" s="16">
        <f>IFERROR(__xludf.DUMMYFUNCTION("""COMPUTED_VALUE"""),15776.0)</f>
        <v>15776</v>
      </c>
      <c r="I7131" s="18">
        <f>IFERROR(__xludf.DUMMYFUNCTION("""COMPUTED_VALUE"""),20.0)</f>
        <v>20</v>
      </c>
      <c r="J7131" s="18">
        <f>IFERROR(__xludf.DUMMYFUNCTION("""COMPUTED_VALUE"""),10.0)</f>
        <v>10</v>
      </c>
      <c r="K7131" s="18">
        <f>IFERROR(__xludf.DUMMYFUNCTION("""COMPUTED_VALUE"""),40.0)</f>
        <v>40</v>
      </c>
      <c r="L7131" s="17">
        <f>IFERROR(__xludf.DUMMYFUNCTION("""COMPUTED_VALUE"""),3.104841774E9)</f>
        <v>3104841774</v>
      </c>
      <c r="M7131" s="17"/>
      <c r="N7131" s="17"/>
      <c r="O7131" s="17"/>
      <c r="P7131" s="17" t="b">
        <f>IFERROR(__xludf.DUMMYFUNCTION("""COMPUTED_VALUE"""),TRUE)</f>
        <v>1</v>
      </c>
      <c r="Q7131" s="20">
        <f>IFERROR(__xludf.DUMMYFUNCTION("""COMPUTED_VALUE"""),45203.654330034726)</f>
        <v>45203.65433</v>
      </c>
      <c r="R7131" s="21" t="str">
        <f>IFERROR(__xludf.DUMMYFUNCTION("""COMPUTED_VALUE"""),"https://drive.google.com/file/d/1ASy5Ijj19JVxK69-UEmgUCII9eGagaWN/view?usp=drivesdk")</f>
        <v>https://drive.google.com/file/d/1ASy5Ijj19JVxK69-UEmgUCII9eGagaWN/view?usp=drivesdk</v>
      </c>
    </row>
    <row r="7132">
      <c r="A7132" s="15">
        <f>IFERROR(__xludf.DUMMYFUNCTION("""COMPUTED_VALUE"""),45202.0)</f>
        <v>45202</v>
      </c>
      <c r="B7132" s="16" t="str">
        <f>IFERROR(__xludf.DUMMYFUNCTION("""COMPUTED_VALUE"""),"Julián Alexis salazar Anaya ")</f>
        <v>Julián Alexis salazar Anaya </v>
      </c>
      <c r="C7132" s="15" t="str">
        <f>IFERROR(__xludf.DUMMYFUNCTION("""COMPUTED_VALUE"""),"MANIZALES")</f>
        <v>MANIZALES</v>
      </c>
      <c r="D7132" s="15" t="str">
        <f>IFERROR(__xludf.DUMMYFUNCTION("""COMPUTED_VALUE"""),"MEDELLÍN")</f>
        <v>MEDELLÍN</v>
      </c>
      <c r="E7132" s="15" t="str">
        <f>IFERROR(__xludf.DUMMYFUNCTION("""COMPUTED_VALUE"""),"Todo Bufala")</f>
        <v>Todo Bufala</v>
      </c>
      <c r="F7132" s="17" t="str">
        <f>IFERROR(__xludf.DUMMYFUNCTION("""COMPUTED_VALUE"""),"Calle 66 #23B - 211 / Edifico calle larga, local 5c")</f>
        <v>Calle 66 #23B - 211 / Edifico calle larga, local 5c</v>
      </c>
      <c r="G7132" s="15" t="str">
        <f>IFERROR(__xludf.DUMMYFUNCTION("""COMPUTED_VALUE"""),"Sebastian Perez Pineda")</f>
        <v>Sebastian Perez Pineda</v>
      </c>
      <c r="H7132" s="16">
        <f>IFERROR(__xludf.DUMMYFUNCTION("""COMPUTED_VALUE"""),15783.0)</f>
        <v>15783</v>
      </c>
      <c r="I7132" s="18">
        <f>IFERROR(__xludf.DUMMYFUNCTION("""COMPUTED_VALUE"""),20.0)</f>
        <v>20</v>
      </c>
      <c r="J7132" s="18">
        <f>IFERROR(__xludf.DUMMYFUNCTION("""COMPUTED_VALUE"""),30.0)</f>
        <v>30</v>
      </c>
      <c r="K7132" s="18">
        <f>IFERROR(__xludf.DUMMYFUNCTION("""COMPUTED_VALUE"""),40.0)</f>
        <v>40</v>
      </c>
      <c r="L7132" s="17">
        <f>IFERROR(__xludf.DUMMYFUNCTION("""COMPUTED_VALUE"""),3.106974621E9)</f>
        <v>3106974621</v>
      </c>
      <c r="M7132" s="17"/>
      <c r="N7132" s="17"/>
      <c r="O7132" s="17"/>
      <c r="P7132" s="17" t="b">
        <f>IFERROR(__xludf.DUMMYFUNCTION("""COMPUTED_VALUE"""),FALSE)</f>
        <v>0</v>
      </c>
      <c r="Q7132" s="20" t="str">
        <f>IFERROR(__xludf.DUMMYFUNCTION("""COMPUTED_VALUE"""),"")</f>
        <v/>
      </c>
      <c r="R7132" s="22" t="str">
        <f>IFERROR(__xludf.DUMMYFUNCTION("""COMPUTED_VALUE"""),"")</f>
        <v/>
      </c>
    </row>
    <row r="7133">
      <c r="A7133" s="17" t="str">
        <f>IFERROR(__xludf.DUMMYFUNCTION("""COMPUTED_VALUE"""),"")</f>
        <v/>
      </c>
      <c r="B7133" s="17" t="str">
        <f>IFERROR(__xludf.DUMMYFUNCTION("""COMPUTED_VALUE"""),"")</f>
        <v/>
      </c>
      <c r="C7133" s="17" t="str">
        <f>IFERROR(__xludf.DUMMYFUNCTION("""COMPUTED_VALUE"""),"")</f>
        <v/>
      </c>
      <c r="D7133" s="17" t="str">
        <f>IFERROR(__xludf.DUMMYFUNCTION("""COMPUTED_VALUE"""),"")</f>
        <v/>
      </c>
      <c r="E7133" s="17" t="str">
        <f>IFERROR(__xludf.DUMMYFUNCTION("""COMPUTED_VALUE"""),"")</f>
        <v/>
      </c>
      <c r="F7133" s="17" t="str">
        <f>IFERROR(__xludf.DUMMYFUNCTION("""COMPUTED_VALUE"""),"")</f>
        <v/>
      </c>
      <c r="G7133" s="17" t="str">
        <f>IFERROR(__xludf.DUMMYFUNCTION("""COMPUTED_VALUE"""),"")</f>
        <v/>
      </c>
      <c r="H7133" s="17" t="str">
        <f>IFERROR(__xludf.DUMMYFUNCTION("""COMPUTED_VALUE"""),"")</f>
        <v/>
      </c>
      <c r="I7133" s="17" t="str">
        <f>IFERROR(__xludf.DUMMYFUNCTION("""COMPUTED_VALUE"""),"")</f>
        <v/>
      </c>
      <c r="J7133" s="17" t="str">
        <f>IFERROR(__xludf.DUMMYFUNCTION("""COMPUTED_VALUE"""),"")</f>
        <v/>
      </c>
      <c r="K7133" s="17" t="str">
        <f>IFERROR(__xludf.DUMMYFUNCTION("""COMPUTED_VALUE"""),"")</f>
        <v/>
      </c>
      <c r="L7133" s="17" t="str">
        <f>IFERROR(__xludf.DUMMYFUNCTION("""COMPUTED_VALUE"""),"")</f>
        <v/>
      </c>
      <c r="M7133" s="17" t="str">
        <f>IFERROR(__xludf.DUMMYFUNCTION("""COMPUTED_VALUE"""),"")</f>
        <v/>
      </c>
      <c r="N7133" s="17" t="str">
        <f>IFERROR(__xludf.DUMMYFUNCTION("""COMPUTED_VALUE"""),"")</f>
        <v/>
      </c>
      <c r="O7133" s="17" t="str">
        <f>IFERROR(__xludf.DUMMYFUNCTION("""COMPUTED_VALUE"""),"")</f>
        <v/>
      </c>
      <c r="P7133" s="17" t="str">
        <f>IFERROR(__xludf.DUMMYFUNCTION("""COMPUTED_VALUE"""),"")</f>
        <v/>
      </c>
      <c r="Q7133" s="17" t="str">
        <f>IFERROR(__xludf.DUMMYFUNCTION("""COMPUTED_VALUE"""),"")</f>
        <v/>
      </c>
      <c r="R7133" s="17" t="str">
        <f>IFERROR(__xludf.DUMMYFUNCTION("""COMPUTED_VALUE"""),"")</f>
        <v/>
      </c>
    </row>
    <row r="7134">
      <c r="A7134" s="15">
        <f>IFERROR(__xludf.DUMMYFUNCTION("""COMPUTED_VALUE"""),45202.0)</f>
        <v>45202</v>
      </c>
      <c r="B7134" s="16" t="str">
        <f>IFERROR(__xludf.DUMMYFUNCTION("""COMPUTED_VALUE"""),"Santiago Garces Restrepo")</f>
        <v>Santiago Garces Restrepo</v>
      </c>
      <c r="C7134" s="15" t="str">
        <f>IFERROR(__xludf.DUMMYFUNCTION("""COMPUTED_VALUE"""),"ENVIGADO")</f>
        <v>ENVIGADO</v>
      </c>
      <c r="D7134" s="15" t="str">
        <f>IFERROR(__xludf.DUMMYFUNCTION("""COMPUTED_VALUE"""),"BOGOTÁ")</f>
        <v>BOGOTÁ</v>
      </c>
      <c r="E7134" s="15" t="str">
        <f>IFERROR(__xludf.DUMMYFUNCTION("""COMPUTED_VALUE"""),"Ind. Karpos")</f>
        <v>Ind. Karpos</v>
      </c>
      <c r="F7134" s="17" t="str">
        <f>IFERROR(__xludf.DUMMYFUNCTION("""COMPUTED_VALUE"""),"CALLE 36 SUR # 43 - 40 ENVIGADO / HELADERIA YASAWA / ENVIGADO CENTRO")</f>
        <v>CALLE 36 SUR # 43 - 40 ENVIGADO / HELADERIA YASAWA / ENVIGADO CENTRO</v>
      </c>
      <c r="G7134" s="15" t="str">
        <f>IFERROR(__xludf.DUMMYFUNCTION("""COMPUTED_VALUE"""),"DANIEL TIRADO")</f>
        <v>DANIEL TIRADO</v>
      </c>
      <c r="H7134" s="16">
        <f>IFERROR(__xludf.DUMMYFUNCTION("""COMPUTED_VALUE"""),15767.0)</f>
        <v>15767</v>
      </c>
      <c r="I7134" s="18">
        <f>IFERROR(__xludf.DUMMYFUNCTION("""COMPUTED_VALUE"""),30.0)</f>
        <v>30</v>
      </c>
      <c r="J7134" s="18">
        <f>IFERROR(__xludf.DUMMYFUNCTION("""COMPUTED_VALUE"""),20.0)</f>
        <v>20</v>
      </c>
      <c r="K7134" s="18">
        <f>IFERROR(__xludf.DUMMYFUNCTION("""COMPUTED_VALUE"""),38.0)</f>
        <v>38</v>
      </c>
      <c r="L7134" s="17">
        <f>IFERROR(__xludf.DUMMYFUNCTION("""COMPUTED_VALUE"""),3.105986088E9)</f>
        <v>3105986088</v>
      </c>
      <c r="M7134" s="17"/>
      <c r="N7134" s="17"/>
      <c r="O7134" s="17"/>
      <c r="P7134" s="17" t="b">
        <f>IFERROR(__xludf.DUMMYFUNCTION("""COMPUTED_VALUE"""),TRUE)</f>
        <v>1</v>
      </c>
      <c r="Q7134" s="20">
        <f>IFERROR(__xludf.DUMMYFUNCTION("""COMPUTED_VALUE"""),45204.38673283564)</f>
        <v>45204.38673</v>
      </c>
      <c r="R7134" s="21" t="str">
        <f>IFERROR(__xludf.DUMMYFUNCTION("""COMPUTED_VALUE"""),"https://drive.google.com/file/d/1JwTpbx5LewEGmpAzwfHZfdr5aXRuAtKA/view?usp=drivesdk")</f>
        <v>https://drive.google.com/file/d/1JwTpbx5LewEGmpAzwfHZfdr5aXRuAtKA/view?usp=drivesdk</v>
      </c>
    </row>
    <row r="7135">
      <c r="A7135" s="15">
        <f>IFERROR(__xludf.DUMMYFUNCTION("""COMPUTED_VALUE"""),45202.0)</f>
        <v>45202</v>
      </c>
      <c r="B7135" s="16" t="str">
        <f>IFERROR(__xludf.DUMMYFUNCTION("""COMPUTED_VALUE"""),"Santiago Garces Restrepo")</f>
        <v>Santiago Garces Restrepo</v>
      </c>
      <c r="C7135" s="15" t="str">
        <f>IFERROR(__xludf.DUMMYFUNCTION("""COMPUTED_VALUE"""),"ITAGÜI")</f>
        <v>ITAGÜI</v>
      </c>
      <c r="D7135" s="15" t="str">
        <f>IFERROR(__xludf.DUMMYFUNCTION("""COMPUTED_VALUE"""),"BOGOTÁ")</f>
        <v>BOGOTÁ</v>
      </c>
      <c r="E7135" s="15" t="str">
        <f>IFERROR(__xludf.DUMMYFUNCTION("""COMPUTED_VALUE"""),"Evamazzita")</f>
        <v>Evamazzita</v>
      </c>
      <c r="F7135" s="17" t="str">
        <f>IFERROR(__xludf.DUMMYFUNCTION("""COMPUTED_VALUE"""),"Calle 75 ab sur #52d-336 / Unidad ariza/apto 1508/suramerica")</f>
        <v>Calle 75 ab sur #52d-336 / Unidad ariza/apto 1508/suramerica</v>
      </c>
      <c r="G7135" s="15" t="str">
        <f>IFERROR(__xludf.DUMMYFUNCTION("""COMPUTED_VALUE"""),"YENNY MARCELA ESTRADA OSORIO")</f>
        <v>YENNY MARCELA ESTRADA OSORIO</v>
      </c>
      <c r="H7135" s="16">
        <f>IFERROR(__xludf.DUMMYFUNCTION("""COMPUTED_VALUE"""),15855.0)</f>
        <v>15855</v>
      </c>
      <c r="I7135" s="18">
        <f>IFERROR(__xludf.DUMMYFUNCTION("""COMPUTED_VALUE"""),1.0)</f>
        <v>1</v>
      </c>
      <c r="J7135" s="18">
        <f>IFERROR(__xludf.DUMMYFUNCTION("""COMPUTED_VALUE"""),1.0)</f>
        <v>1</v>
      </c>
      <c r="K7135" s="18">
        <f>IFERROR(__xludf.DUMMYFUNCTION("""COMPUTED_VALUE"""),1.0)</f>
        <v>1</v>
      </c>
      <c r="L7135" s="17">
        <f>IFERROR(__xludf.DUMMYFUNCTION("""COMPUTED_VALUE"""),3.004581617E9)</f>
        <v>3004581617</v>
      </c>
      <c r="M7135" s="17"/>
      <c r="N7135" s="17"/>
      <c r="O7135" s="17"/>
      <c r="P7135" s="17" t="b">
        <f>IFERROR(__xludf.DUMMYFUNCTION("""COMPUTED_VALUE"""),TRUE)</f>
        <v>1</v>
      </c>
      <c r="Q7135" s="20">
        <f>IFERROR(__xludf.DUMMYFUNCTION("""COMPUTED_VALUE"""),45203.546063472226)</f>
        <v>45203.54606</v>
      </c>
      <c r="R7135" s="21" t="str">
        <f>IFERROR(__xludf.DUMMYFUNCTION("""COMPUTED_VALUE"""),"https://drive.google.com/file/d/1WH1eTUOrIlNT_25uXe11jOatZzbF4TTi/view?usp=drivesdk")</f>
        <v>https://drive.google.com/file/d/1WH1eTUOrIlNT_25uXe11jOatZzbF4TTi/view?usp=drivesdk</v>
      </c>
    </row>
    <row r="7136">
      <c r="A7136" s="15">
        <f>IFERROR(__xludf.DUMMYFUNCTION("""COMPUTED_VALUE"""),45202.0)</f>
        <v>45202</v>
      </c>
      <c r="B7136" s="16" t="str">
        <f>IFERROR(__xludf.DUMMYFUNCTION("""COMPUTED_VALUE"""),"Santiago Garces Restrepo")</f>
        <v>Santiago Garces Restrepo</v>
      </c>
      <c r="C7136" s="15" t="str">
        <f>IFERROR(__xludf.DUMMYFUNCTION("""COMPUTED_VALUE"""),"MEDELLÍN")</f>
        <v>MEDELLÍN</v>
      </c>
      <c r="D7136" s="15" t="str">
        <f>IFERROR(__xludf.DUMMYFUNCTION("""COMPUTED_VALUE"""),"BOGOTÁ")</f>
        <v>BOGOTÁ</v>
      </c>
      <c r="E7136" s="15" t="str">
        <f>IFERROR(__xludf.DUMMYFUNCTION("""COMPUTED_VALUE"""),"Asociacion Agropecuaria Juana Maria")</f>
        <v>Asociacion Agropecuaria Juana Maria</v>
      </c>
      <c r="F7136" s="17" t="str">
        <f>IFERROR(__xludf.DUMMYFUNCTION("""COMPUTED_VALUE"""),"Carrera 15 BA # 30D-44 int 201")</f>
        <v>Carrera 15 BA # 30D-44 int 201</v>
      </c>
      <c r="G7136" s="15" t="str">
        <f>IFERROR(__xludf.DUMMYFUNCTION("""COMPUTED_VALUE"""),"Daniela Bedoya Blandon")</f>
        <v>Daniela Bedoya Blandon</v>
      </c>
      <c r="H7136" s="16">
        <f>IFERROR(__xludf.DUMMYFUNCTION("""COMPUTED_VALUE"""),15787.0)</f>
        <v>15787</v>
      </c>
      <c r="I7136" s="18">
        <f>IFERROR(__xludf.DUMMYFUNCTION("""COMPUTED_VALUE"""),21.0)</f>
        <v>21</v>
      </c>
      <c r="J7136" s="18">
        <f>IFERROR(__xludf.DUMMYFUNCTION("""COMPUTED_VALUE"""),37.0)</f>
        <v>37</v>
      </c>
      <c r="K7136" s="18">
        <f>IFERROR(__xludf.DUMMYFUNCTION("""COMPUTED_VALUE"""),30.0)</f>
        <v>30</v>
      </c>
      <c r="L7136" s="17">
        <f>IFERROR(__xludf.DUMMYFUNCTION("""COMPUTED_VALUE"""),3.14672822E9)</f>
        <v>3146728220</v>
      </c>
      <c r="M7136" s="17"/>
      <c r="N7136" s="17"/>
      <c r="O7136" s="17"/>
      <c r="P7136" s="17" t="b">
        <f>IFERROR(__xludf.DUMMYFUNCTION("""COMPUTED_VALUE"""),TRUE)</f>
        <v>1</v>
      </c>
      <c r="Q7136" s="20">
        <f>IFERROR(__xludf.DUMMYFUNCTION("""COMPUTED_VALUE"""),45203.546063483795)</f>
        <v>45203.54606</v>
      </c>
      <c r="R7136" s="22" t="str">
        <f>IFERROR(__xludf.DUMMYFUNCTION("""COMPUTED_VALUE"""),"")</f>
        <v/>
      </c>
    </row>
    <row r="7137">
      <c r="A7137" s="15">
        <f>IFERROR(__xludf.DUMMYFUNCTION("""COMPUTED_VALUE"""),45202.0)</f>
        <v>45202</v>
      </c>
      <c r="B7137" s="16" t="str">
        <f>IFERROR(__xludf.DUMMYFUNCTION("""COMPUTED_VALUE"""),"Santiago Garces Restrepo")</f>
        <v>Santiago Garces Restrepo</v>
      </c>
      <c r="C7137" s="15" t="str">
        <f>IFERROR(__xludf.DUMMYFUNCTION("""COMPUTED_VALUE"""),"MEDELLÍN")</f>
        <v>MEDELLÍN</v>
      </c>
      <c r="D7137" s="15" t="str">
        <f>IFERROR(__xludf.DUMMYFUNCTION("""COMPUTED_VALUE"""),"BOGOTÁ")</f>
        <v>BOGOTÁ</v>
      </c>
      <c r="E7137" s="15" t="str">
        <f>IFERROR(__xludf.DUMMYFUNCTION("""COMPUTED_VALUE"""),"Asociacion Agropecuaria Juana Maria")</f>
        <v>Asociacion Agropecuaria Juana Maria</v>
      </c>
      <c r="F713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7137" s="15" t="str">
        <f>IFERROR(__xludf.DUMMYFUNCTION("""COMPUTED_VALUE"""),"Jennifer Sanchez Blandon")</f>
        <v>Jennifer Sanchez Blandon</v>
      </c>
      <c r="H7137" s="16">
        <f>IFERROR(__xludf.DUMMYFUNCTION("""COMPUTED_VALUE"""),15790.0)</f>
        <v>15790</v>
      </c>
      <c r="I7137" s="18">
        <f>IFERROR(__xludf.DUMMYFUNCTION("""COMPUTED_VALUE"""),21.0)</f>
        <v>21</v>
      </c>
      <c r="J7137" s="18">
        <f>IFERROR(__xludf.DUMMYFUNCTION("""COMPUTED_VALUE"""),37.0)</f>
        <v>37</v>
      </c>
      <c r="K7137" s="18">
        <f>IFERROR(__xludf.DUMMYFUNCTION("""COMPUTED_VALUE"""),30.0)</f>
        <v>30</v>
      </c>
      <c r="L7137" s="17">
        <f>IFERROR(__xludf.DUMMYFUNCTION("""COMPUTED_VALUE"""),3.016937674E9)</f>
        <v>3016937674</v>
      </c>
      <c r="M7137" s="17"/>
      <c r="N7137" s="17"/>
      <c r="O7137" s="17"/>
      <c r="P7137" s="17" t="b">
        <f>IFERROR(__xludf.DUMMYFUNCTION("""COMPUTED_VALUE"""),TRUE)</f>
        <v>1</v>
      </c>
      <c r="Q7137" s="20">
        <f>IFERROR(__xludf.DUMMYFUNCTION("""COMPUTED_VALUE"""),45203.546063483795)</f>
        <v>45203.54606</v>
      </c>
      <c r="R7137" s="21" t="str">
        <f>IFERROR(__xludf.DUMMYFUNCTION("""COMPUTED_VALUE"""),"https://drive.google.com/file/d/1b4MeYS4qGy_AzBUIK-TgvRzlgBNgh-uj/view?usp=drivesdk")</f>
        <v>https://drive.google.com/file/d/1b4MeYS4qGy_AzBUIK-TgvRzlgBNgh-uj/view?usp=drivesdk</v>
      </c>
    </row>
    <row r="7138">
      <c r="A7138" s="15">
        <f>IFERROR(__xludf.DUMMYFUNCTION("""COMPUTED_VALUE"""),45202.0)</f>
        <v>45202</v>
      </c>
      <c r="B7138" s="16" t="str">
        <f>IFERROR(__xludf.DUMMYFUNCTION("""COMPUTED_VALUE"""),"Santiago Garces Restrepo")</f>
        <v>Santiago Garces Restrepo</v>
      </c>
      <c r="C7138" s="15" t="str">
        <f>IFERROR(__xludf.DUMMYFUNCTION("""COMPUTED_VALUE"""),"MEDELLÍN")</f>
        <v>MEDELLÍN</v>
      </c>
      <c r="D7138" s="15" t="str">
        <f>IFERROR(__xludf.DUMMYFUNCTION("""COMPUTED_VALUE"""),"BOGOTÁ")</f>
        <v>BOGOTÁ</v>
      </c>
      <c r="E7138" s="15" t="str">
        <f>IFERROR(__xludf.DUMMYFUNCTION("""COMPUTED_VALUE"""),"Asociacion Agropecuaria Juana Maria")</f>
        <v>Asociacion Agropecuaria Juana Maria</v>
      </c>
      <c r="F7138" s="17" t="str">
        <f>IFERROR(__xludf.DUMMYFUNCTION("""COMPUTED_VALUE"""),"Cra 82C # 30A-100 apto 1202 urbanizacion Torres de Vicuña Belen los Alpes")</f>
        <v>Cra 82C # 30A-100 apto 1202 urbanizacion Torres de Vicuña Belen los Alpes</v>
      </c>
      <c r="G7138" s="15" t="str">
        <f>IFERROR(__xludf.DUMMYFUNCTION("""COMPUTED_VALUE"""),"Gloria Moreno")</f>
        <v>Gloria Moreno</v>
      </c>
      <c r="H7138" s="16">
        <f>IFERROR(__xludf.DUMMYFUNCTION("""COMPUTED_VALUE"""),15788.0)</f>
        <v>15788</v>
      </c>
      <c r="I7138" s="18">
        <f>IFERROR(__xludf.DUMMYFUNCTION("""COMPUTED_VALUE"""),16.0)</f>
        <v>16</v>
      </c>
      <c r="J7138" s="18">
        <f>IFERROR(__xludf.DUMMYFUNCTION("""COMPUTED_VALUE"""),34.0)</f>
        <v>34</v>
      </c>
      <c r="K7138" s="18">
        <f>IFERROR(__xludf.DUMMYFUNCTION("""COMPUTED_VALUE"""),25.0)</f>
        <v>25</v>
      </c>
      <c r="L7138" s="17">
        <f>IFERROR(__xludf.DUMMYFUNCTION("""COMPUTED_VALUE"""),3.162544201E9)</f>
        <v>3162544201</v>
      </c>
      <c r="M7138" s="17"/>
      <c r="N7138" s="17"/>
      <c r="O7138" s="17"/>
      <c r="P7138" s="17" t="b">
        <f>IFERROR(__xludf.DUMMYFUNCTION("""COMPUTED_VALUE"""),TRUE)</f>
        <v>1</v>
      </c>
      <c r="Q7138" s="20">
        <f>IFERROR(__xludf.DUMMYFUNCTION("""COMPUTED_VALUE"""),45203.546063483795)</f>
        <v>45203.54606</v>
      </c>
      <c r="R7138" s="21" t="str">
        <f>IFERROR(__xludf.DUMMYFUNCTION("""COMPUTED_VALUE"""),"https://drive.google.com/file/d/11hgTiGnOIAPhjP5wM6wo_EN06reBwagp/view?usp=drivesdk")</f>
        <v>https://drive.google.com/file/d/11hgTiGnOIAPhjP5wM6wo_EN06reBwagp/view?usp=drivesdk</v>
      </c>
    </row>
    <row r="7139">
      <c r="A7139" s="15">
        <f>IFERROR(__xludf.DUMMYFUNCTION("""COMPUTED_VALUE"""),45202.0)</f>
        <v>45202</v>
      </c>
      <c r="B7139" s="16" t="str">
        <f>IFERROR(__xludf.DUMMYFUNCTION("""COMPUTED_VALUE"""),"Santiago Garces Restrepo")</f>
        <v>Santiago Garces Restrepo</v>
      </c>
      <c r="C7139" s="15" t="str">
        <f>IFERROR(__xludf.DUMMYFUNCTION("""COMPUTED_VALUE"""),"MEDELLÍN")</f>
        <v>MEDELLÍN</v>
      </c>
      <c r="D7139" s="15" t="str">
        <f>IFERROR(__xludf.DUMMYFUNCTION("""COMPUTED_VALUE"""),"BOGOTÁ")</f>
        <v>BOGOTÁ</v>
      </c>
      <c r="E7139" s="15" t="str">
        <f>IFERROR(__xludf.DUMMYFUNCTION("""COMPUTED_VALUE"""),"Evamazzita")</f>
        <v>Evamazzita</v>
      </c>
      <c r="F7139" s="17" t="str">
        <f>IFERROR(__xludf.DUMMYFUNCTION("""COMPUTED_VALUE"""),"Calle 14 #40A-75 / Edificio Toulouse/Apto1303/Castropol")</f>
        <v>Calle 14 #40A-75 / Edificio Toulouse/Apto1303/Castropol</v>
      </c>
      <c r="G7139" s="15" t="str">
        <f>IFERROR(__xludf.DUMMYFUNCTION("""COMPUTED_VALUE"""),"CARLA GARCIA")</f>
        <v>CARLA GARCIA</v>
      </c>
      <c r="H7139" s="16">
        <f>IFERROR(__xludf.DUMMYFUNCTION("""COMPUTED_VALUE"""),15856.0)</f>
        <v>15856</v>
      </c>
      <c r="I7139" s="18">
        <f>IFERROR(__xludf.DUMMYFUNCTION("""COMPUTED_VALUE"""),1.0)</f>
        <v>1</v>
      </c>
      <c r="J7139" s="18">
        <f>IFERROR(__xludf.DUMMYFUNCTION("""COMPUTED_VALUE"""),1.0)</f>
        <v>1</v>
      </c>
      <c r="K7139" s="18">
        <f>IFERROR(__xludf.DUMMYFUNCTION("""COMPUTED_VALUE"""),1.0)</f>
        <v>1</v>
      </c>
      <c r="L7139" s="17">
        <f>IFERROR(__xludf.DUMMYFUNCTION("""COMPUTED_VALUE"""),3.104795116E9)</f>
        <v>3104795116</v>
      </c>
      <c r="M7139" s="17"/>
      <c r="N7139" s="17"/>
      <c r="O7139" s="17"/>
      <c r="P7139" s="17" t="b">
        <f>IFERROR(__xludf.DUMMYFUNCTION("""COMPUTED_VALUE"""),TRUE)</f>
        <v>1</v>
      </c>
      <c r="Q7139" s="20">
        <f>IFERROR(__xludf.DUMMYFUNCTION("""COMPUTED_VALUE"""),45204.38673283564)</f>
        <v>45204.38673</v>
      </c>
      <c r="R7139" s="21" t="str">
        <f>IFERROR(__xludf.DUMMYFUNCTION("""COMPUTED_VALUE"""),"https://drive.google.com/file/d/1-iDLhwSfYBvEMUsPZMehzv0nowMAol95/view?usp=drivesdk")</f>
        <v>https://drive.google.com/file/d/1-iDLhwSfYBvEMUsPZMehzv0nowMAol95/view?usp=drivesdk</v>
      </c>
    </row>
    <row r="7140">
      <c r="A7140" s="15">
        <f>IFERROR(__xludf.DUMMYFUNCTION("""COMPUTED_VALUE"""),45202.0)</f>
        <v>45202</v>
      </c>
      <c r="B7140" s="16" t="str">
        <f>IFERROR(__xludf.DUMMYFUNCTION("""COMPUTED_VALUE"""),"Santiago Garces Restrepo")</f>
        <v>Santiago Garces Restrepo</v>
      </c>
      <c r="C7140" s="15" t="str">
        <f>IFERROR(__xludf.DUMMYFUNCTION("""COMPUTED_VALUE"""),"MEDELLÍN")</f>
        <v>MEDELLÍN</v>
      </c>
      <c r="D7140" s="15" t="str">
        <f>IFERROR(__xludf.DUMMYFUNCTION("""COMPUTED_VALUE"""),"BOGOTÁ")</f>
        <v>BOGOTÁ</v>
      </c>
      <c r="E7140" s="15" t="str">
        <f>IFERROR(__xludf.DUMMYFUNCTION("""COMPUTED_VALUE"""),"Evamazzita")</f>
        <v>Evamazzita</v>
      </c>
      <c r="F7140" s="17" t="str">
        <f>IFERROR(__xludf.DUMMYFUNCTION("""COMPUTED_VALUE"""),"Carrera 86#47 dd-36 / Apto 302/Edificio Santa Isabel/A una cuadra de la estación santa lucia")</f>
        <v>Carrera 86#47 dd-36 / Apto 302/Edificio Santa Isabel/A una cuadra de la estación santa lucia</v>
      </c>
      <c r="G7140" s="15" t="str">
        <f>IFERROR(__xludf.DUMMYFUNCTION("""COMPUTED_VALUE"""),"YERALDINE BERTEL")</f>
        <v>YERALDINE BERTEL</v>
      </c>
      <c r="H7140" s="16">
        <f>IFERROR(__xludf.DUMMYFUNCTION("""COMPUTED_VALUE"""),15860.0)</f>
        <v>15860</v>
      </c>
      <c r="I7140" s="18">
        <f>IFERROR(__xludf.DUMMYFUNCTION("""COMPUTED_VALUE"""),1.0)</f>
        <v>1</v>
      </c>
      <c r="J7140" s="18">
        <f>IFERROR(__xludf.DUMMYFUNCTION("""COMPUTED_VALUE"""),1.0)</f>
        <v>1</v>
      </c>
      <c r="K7140" s="18">
        <f>IFERROR(__xludf.DUMMYFUNCTION("""COMPUTED_VALUE"""),1.0)</f>
        <v>1</v>
      </c>
      <c r="L7140" s="17">
        <f>IFERROR(__xludf.DUMMYFUNCTION("""COMPUTED_VALUE"""),3.002742294E9)</f>
        <v>3002742294</v>
      </c>
      <c r="M7140" s="17"/>
      <c r="N7140" s="17"/>
      <c r="O7140" s="17"/>
      <c r="P7140" s="17" t="b">
        <f>IFERROR(__xludf.DUMMYFUNCTION("""COMPUTED_VALUE"""),TRUE)</f>
        <v>1</v>
      </c>
      <c r="Q7140" s="20">
        <f>IFERROR(__xludf.DUMMYFUNCTION("""COMPUTED_VALUE"""),45204.386732847226)</f>
        <v>45204.38673</v>
      </c>
      <c r="R7140" s="21" t="str">
        <f>IFERROR(__xludf.DUMMYFUNCTION("""COMPUTED_VALUE"""),"https://drive.google.com/file/d/1Z4wKnQURRayLcAV9g7lQ4LvZwwEc8vme/view?usp=drivesdk")</f>
        <v>https://drive.google.com/file/d/1Z4wKnQURRayLcAV9g7lQ4LvZwwEc8vme/view?usp=drivesdk</v>
      </c>
    </row>
    <row r="7141">
      <c r="A7141" s="15">
        <f>IFERROR(__xludf.DUMMYFUNCTION("""COMPUTED_VALUE"""),45202.0)</f>
        <v>45202</v>
      </c>
      <c r="B7141" s="16" t="str">
        <f>IFERROR(__xludf.DUMMYFUNCTION("""COMPUTED_VALUE"""),"Santiago Garces Restrepo")</f>
        <v>Santiago Garces Restrepo</v>
      </c>
      <c r="C7141" s="15" t="str">
        <f>IFERROR(__xludf.DUMMYFUNCTION("""COMPUTED_VALUE"""),"MEDELLÍN")</f>
        <v>MEDELLÍN</v>
      </c>
      <c r="D7141" s="15" t="str">
        <f>IFERROR(__xludf.DUMMYFUNCTION("""COMPUTED_VALUE"""),"BOGOTÁ")</f>
        <v>BOGOTÁ</v>
      </c>
      <c r="E7141" s="15" t="str">
        <f>IFERROR(__xludf.DUMMYFUNCTION("""COMPUTED_VALUE"""),"Evamazzita")</f>
        <v>Evamazzita</v>
      </c>
      <c r="F7141" s="17" t="str">
        <f>IFERROR(__xludf.DUMMYFUNCTION("""COMPUTED_VALUE"""),"CRA 15 BA No. 34D - 44 / INT 201")</f>
        <v>CRA 15 BA No. 34D - 44 / INT 201</v>
      </c>
      <c r="G7141" s="15" t="str">
        <f>IFERROR(__xludf.DUMMYFUNCTION("""COMPUTED_VALUE"""),"DANIELA BEDOYA BLANDON")</f>
        <v>DANIELA BEDOYA BLANDON</v>
      </c>
      <c r="H7141" s="16">
        <f>IFERROR(__xludf.DUMMYFUNCTION("""COMPUTED_VALUE"""),15866.0)</f>
        <v>15866</v>
      </c>
      <c r="I7141" s="18">
        <f>IFERROR(__xludf.DUMMYFUNCTION("""COMPUTED_VALUE"""),1.0)</f>
        <v>1</v>
      </c>
      <c r="J7141" s="18">
        <f>IFERROR(__xludf.DUMMYFUNCTION("""COMPUTED_VALUE"""),1.0)</f>
        <v>1</v>
      </c>
      <c r="K7141" s="18">
        <f>IFERROR(__xludf.DUMMYFUNCTION("""COMPUTED_VALUE"""),1.0)</f>
        <v>1</v>
      </c>
      <c r="L7141" s="17">
        <f>IFERROR(__xludf.DUMMYFUNCTION("""COMPUTED_VALUE"""),3.14672822E9)</f>
        <v>3146728220</v>
      </c>
      <c r="M7141" s="17"/>
      <c r="N7141" s="17"/>
      <c r="O7141" s="17"/>
      <c r="P7141" s="17" t="b">
        <f>IFERROR(__xludf.DUMMYFUNCTION("""COMPUTED_VALUE"""),TRUE)</f>
        <v>1</v>
      </c>
      <c r="Q7141" s="20">
        <f>IFERROR(__xludf.DUMMYFUNCTION("""COMPUTED_VALUE"""),45203.54611391204)</f>
        <v>45203.54611</v>
      </c>
      <c r="R7141" s="22" t="str">
        <f>IFERROR(__xludf.DUMMYFUNCTION("""COMPUTED_VALUE"""),"")</f>
        <v/>
      </c>
    </row>
    <row r="7142">
      <c r="A7142" s="15">
        <f>IFERROR(__xludf.DUMMYFUNCTION("""COMPUTED_VALUE"""),45202.0)</f>
        <v>45202</v>
      </c>
      <c r="B7142" s="16" t="str">
        <f>IFERROR(__xludf.DUMMYFUNCTION("""COMPUTED_VALUE"""),"Santiago Garces Restrepo")</f>
        <v>Santiago Garces Restrepo</v>
      </c>
      <c r="C7142" s="15" t="str">
        <f>IFERROR(__xludf.DUMMYFUNCTION("""COMPUTED_VALUE"""),"MEDELLÍN")</f>
        <v>MEDELLÍN</v>
      </c>
      <c r="D7142" s="15" t="str">
        <f>IFERROR(__xludf.DUMMYFUNCTION("""COMPUTED_VALUE"""),"BOGOTÁ")</f>
        <v>BOGOTÁ</v>
      </c>
      <c r="E7142" s="15" t="str">
        <f>IFERROR(__xludf.DUMMYFUNCTION("""COMPUTED_VALUE"""),"Orso")</f>
        <v>Orso</v>
      </c>
      <c r="F7142" s="17" t="str">
        <f>IFERROR(__xludf.DUMMYFUNCTION("""COMPUTED_VALUE"""),"Carrera 46 # 14-140, Medellin / RAPPI TURBO DE MEDELLIN / RAPPI TURBO DE MEDELLIN")</f>
        <v>Carrera 46 # 14-140, Medellin / RAPPI TURBO DE MEDELLIN / RAPPI TURBO DE MEDELLIN</v>
      </c>
      <c r="G7142" s="15" t="str">
        <f>IFERROR(__xludf.DUMMYFUNCTION("""COMPUTED_VALUE"""),"Santiago Salazar")</f>
        <v>Santiago Salazar</v>
      </c>
      <c r="H7142" s="16">
        <f>IFERROR(__xludf.DUMMYFUNCTION("""COMPUTED_VALUE"""),15727.0)</f>
        <v>15727</v>
      </c>
      <c r="I7142" s="18">
        <f>IFERROR(__xludf.DUMMYFUNCTION("""COMPUTED_VALUE"""),1.0)</f>
        <v>1</v>
      </c>
      <c r="J7142" s="18">
        <f>IFERROR(__xludf.DUMMYFUNCTION("""COMPUTED_VALUE"""),1.0)</f>
        <v>1</v>
      </c>
      <c r="K7142" s="18">
        <f>IFERROR(__xludf.DUMMYFUNCTION("""COMPUTED_VALUE"""),1.0)</f>
        <v>1</v>
      </c>
      <c r="L7142" s="17">
        <f>IFERROR(__xludf.DUMMYFUNCTION("""COMPUTED_VALUE"""),3.175005565E9)</f>
        <v>3175005565</v>
      </c>
      <c r="M7142" s="17"/>
      <c r="N7142" s="17"/>
      <c r="O7142" s="17"/>
      <c r="P7142" s="17" t="b">
        <f>IFERROR(__xludf.DUMMYFUNCTION("""COMPUTED_VALUE"""),TRUE)</f>
        <v>1</v>
      </c>
      <c r="Q7142" s="20">
        <f>IFERROR(__xludf.DUMMYFUNCTION("""COMPUTED_VALUE"""),45203.54611391204)</f>
        <v>45203.54611</v>
      </c>
      <c r="R7142" s="22" t="str">
        <f>IFERROR(__xludf.DUMMYFUNCTION("""COMPUTED_VALUE"""),"")</f>
        <v/>
      </c>
    </row>
    <row r="7143">
      <c r="A7143" s="15">
        <f>IFERROR(__xludf.DUMMYFUNCTION("""COMPUTED_VALUE"""),45202.0)</f>
        <v>45202</v>
      </c>
      <c r="B7143" s="16" t="str">
        <f>IFERROR(__xludf.DUMMYFUNCTION("""COMPUTED_VALUE"""),"Santiago Garces Restrepo")</f>
        <v>Santiago Garces Restrepo</v>
      </c>
      <c r="C7143" s="15" t="str">
        <f>IFERROR(__xludf.DUMMYFUNCTION("""COMPUTED_VALUE"""),"MEDELLÍN")</f>
        <v>MEDELLÍN</v>
      </c>
      <c r="D7143" s="15" t="str">
        <f>IFERROR(__xludf.DUMMYFUNCTION("""COMPUTED_VALUE"""),"BOGOTÁ")</f>
        <v>BOGOTÁ</v>
      </c>
      <c r="E7143" s="15" t="str">
        <f>IFERROR(__xludf.DUMMYFUNCTION("""COMPUTED_VALUE"""),"Orso")</f>
        <v>Orso</v>
      </c>
      <c r="F7143" s="17" t="str">
        <f>IFERROR(__xludf.DUMMYFUNCTION("""COMPUTED_VALUE"""),"carrera 80 #34B-51, Medellín / RAPPI TURBO DE  MEDELLIN / RAPPI TURBO DE MEDELLIN")</f>
        <v>carrera 80 #34B-51, Medellín / RAPPI TURBO DE  MEDELLIN / RAPPI TURBO DE MEDELLIN</v>
      </c>
      <c r="G7143" s="15" t="str">
        <f>IFERROR(__xludf.DUMMYFUNCTION("""COMPUTED_VALUE"""),"Santiago Salazar")</f>
        <v>Santiago Salazar</v>
      </c>
      <c r="H7143" s="16">
        <f>IFERROR(__xludf.DUMMYFUNCTION("""COMPUTED_VALUE"""),15728.0)</f>
        <v>15728</v>
      </c>
      <c r="I7143" s="18">
        <f>IFERROR(__xludf.DUMMYFUNCTION("""COMPUTED_VALUE"""),1.0)</f>
        <v>1</v>
      </c>
      <c r="J7143" s="18">
        <f>IFERROR(__xludf.DUMMYFUNCTION("""COMPUTED_VALUE"""),1.0)</f>
        <v>1</v>
      </c>
      <c r="K7143" s="18">
        <f>IFERROR(__xludf.DUMMYFUNCTION("""COMPUTED_VALUE"""),1.0)</f>
        <v>1</v>
      </c>
      <c r="L7143" s="17">
        <f>IFERROR(__xludf.DUMMYFUNCTION("""COMPUTED_VALUE"""),3.175005565E9)</f>
        <v>3175005565</v>
      </c>
      <c r="M7143" s="17"/>
      <c r="N7143" s="17"/>
      <c r="O7143" s="17"/>
      <c r="P7143" s="17" t="b">
        <f>IFERROR(__xludf.DUMMYFUNCTION("""COMPUTED_VALUE"""),TRUE)</f>
        <v>1</v>
      </c>
      <c r="Q7143" s="20">
        <f>IFERROR(__xludf.DUMMYFUNCTION("""COMPUTED_VALUE"""),45203.54611391204)</f>
        <v>45203.54611</v>
      </c>
      <c r="R7143" s="22" t="str">
        <f>IFERROR(__xludf.DUMMYFUNCTION("""COMPUTED_VALUE"""),"")</f>
        <v/>
      </c>
    </row>
    <row r="7144">
      <c r="A7144" s="15">
        <f>IFERROR(__xludf.DUMMYFUNCTION("""COMPUTED_VALUE"""),45202.0)</f>
        <v>45202</v>
      </c>
      <c r="B7144" s="16" t="str">
        <f>IFERROR(__xludf.DUMMYFUNCTION("""COMPUTED_VALUE"""),"Santiago Garces Restrepo")</f>
        <v>Santiago Garces Restrepo</v>
      </c>
      <c r="C7144" s="15" t="str">
        <f>IFERROR(__xludf.DUMMYFUNCTION("""COMPUTED_VALUE"""),"MEDELLÍN")</f>
        <v>MEDELLÍN</v>
      </c>
      <c r="D7144" s="15" t="str">
        <f>IFERROR(__xludf.DUMMYFUNCTION("""COMPUTED_VALUE"""),"BOGOTÁ")</f>
        <v>BOGOTÁ</v>
      </c>
      <c r="E7144" s="15" t="str">
        <f>IFERROR(__xludf.DUMMYFUNCTION("""COMPUTED_VALUE"""),"Ser Fit")</f>
        <v>Ser Fit</v>
      </c>
      <c r="F7144" s="17" t="str">
        <f>IFERROR(__xludf.DUMMYFUNCTION("""COMPUTED_VALUE"""),"Calle 5 sur #42-51 / Reciben 7am a 11am y de 2pm a 5 pm  / Calle 5 sur #42-51")</f>
        <v>Calle 5 sur #42-51 / Reciben 7am a 11am y de 2pm a 5 pm  / Calle 5 sur #42-51</v>
      </c>
      <c r="G7144" s="15" t="str">
        <f>IFERROR(__xludf.DUMMYFUNCTION("""COMPUTED_VALUE"""),"Farmatodo Colombia s.a")</f>
        <v>Farmatodo Colombia s.a</v>
      </c>
      <c r="H7144" s="16">
        <f>IFERROR(__xludf.DUMMYFUNCTION("""COMPUTED_VALUE"""),15887.0)</f>
        <v>15887</v>
      </c>
      <c r="I7144" s="18">
        <f>IFERROR(__xludf.DUMMYFUNCTION("""COMPUTED_VALUE"""),20.0)</f>
        <v>20</v>
      </c>
      <c r="J7144" s="18">
        <f>IFERROR(__xludf.DUMMYFUNCTION("""COMPUTED_VALUE"""),18.0)</f>
        <v>18</v>
      </c>
      <c r="K7144" s="18">
        <f>IFERROR(__xludf.DUMMYFUNCTION("""COMPUTED_VALUE"""),30.0)</f>
        <v>30</v>
      </c>
      <c r="L7144" s="17">
        <f>IFERROR(__xludf.DUMMYFUNCTION("""COMPUTED_VALUE"""),3.163354647E9)</f>
        <v>3163354647</v>
      </c>
      <c r="M7144" s="17"/>
      <c r="N7144" s="17"/>
      <c r="O7144" s="17"/>
      <c r="P7144" s="17" t="b">
        <f>IFERROR(__xludf.DUMMYFUNCTION("""COMPUTED_VALUE"""),TRUE)</f>
        <v>1</v>
      </c>
      <c r="Q7144" s="20">
        <f>IFERROR(__xludf.DUMMYFUNCTION("""COMPUTED_VALUE"""),45203.54616702546)</f>
        <v>45203.54617</v>
      </c>
      <c r="R7144" s="21" t="str">
        <f>IFERROR(__xludf.DUMMYFUNCTION("""COMPUTED_VALUE"""),"https://drive.google.com/file/d/1Xn2HtV7dSgQIPm5V0OQdkL4fnlV5lAZC/view?usp=drivesdk")</f>
        <v>https://drive.google.com/file/d/1Xn2HtV7dSgQIPm5V0OQdkL4fnlV5lAZC/view?usp=drivesdk</v>
      </c>
    </row>
    <row r="7145">
      <c r="A7145" s="15">
        <f>IFERROR(__xludf.DUMMYFUNCTION("""COMPUTED_VALUE"""),45202.0)</f>
        <v>45202</v>
      </c>
      <c r="B7145" s="16" t="str">
        <f>IFERROR(__xludf.DUMMYFUNCTION("""COMPUTED_VALUE"""),"Santiago Garces Restrepo")</f>
        <v>Santiago Garces Restrepo</v>
      </c>
      <c r="C7145" s="15" t="str">
        <f>IFERROR(__xludf.DUMMYFUNCTION("""COMPUTED_VALUE"""),"MEDELLÍN")</f>
        <v>MEDELLÍN</v>
      </c>
      <c r="D7145" s="15" t="str">
        <f>IFERROR(__xludf.DUMMYFUNCTION("""COMPUTED_VALUE"""),"BOGOTÁ")</f>
        <v>BOGOTÁ</v>
      </c>
      <c r="E7145" s="15" t="str">
        <f>IFERROR(__xludf.DUMMYFUNCTION("""COMPUTED_VALUE"""),"Spirulina Fresca")</f>
        <v>Spirulina Fresca</v>
      </c>
      <c r="F7145" s="17" t="str">
        <f>IFERROR(__xludf.DUMMYFUNCTION("""COMPUTED_VALUE"""),"Carrera 18 #12 sur 50 Cantagirone Cinque  / Apto 601 El Poblado, Medellín / El Poblado")</f>
        <v>Carrera 18 #12 sur 50 Cantagirone Cinque  / Apto 601 El Poblado, Medellín / El Poblado</v>
      </c>
      <c r="G7145" s="15" t="str">
        <f>IFERROR(__xludf.DUMMYFUNCTION("""COMPUTED_VALUE"""),"Carolina Franco")</f>
        <v>Carolina Franco</v>
      </c>
      <c r="H7145" s="16">
        <f>IFERROR(__xludf.DUMMYFUNCTION("""COMPUTED_VALUE"""),15827.0)</f>
        <v>15827</v>
      </c>
      <c r="I7145" s="18">
        <f>IFERROR(__xludf.DUMMYFUNCTION("""COMPUTED_VALUE"""),5.0)</f>
        <v>5</v>
      </c>
      <c r="J7145" s="18">
        <f>IFERROR(__xludf.DUMMYFUNCTION("""COMPUTED_VALUE"""),10.0)</f>
        <v>10</v>
      </c>
      <c r="K7145" s="18">
        <f>IFERROR(__xludf.DUMMYFUNCTION("""COMPUTED_VALUE"""),22.0)</f>
        <v>22</v>
      </c>
      <c r="L7145" s="17">
        <f>IFERROR(__xludf.DUMMYFUNCTION("""COMPUTED_VALUE"""),3.103906174E9)</f>
        <v>3103906174</v>
      </c>
      <c r="M7145" s="17"/>
      <c r="N7145" s="17"/>
      <c r="O7145" s="17"/>
      <c r="P7145" s="17" t="b">
        <f>IFERROR(__xludf.DUMMYFUNCTION("""COMPUTED_VALUE"""),TRUE)</f>
        <v>1</v>
      </c>
      <c r="Q7145" s="20">
        <f>IFERROR(__xludf.DUMMYFUNCTION("""COMPUTED_VALUE"""),45203.54616702546)</f>
        <v>45203.54617</v>
      </c>
      <c r="R7145" s="21" t="str">
        <f>IFERROR(__xludf.DUMMYFUNCTION("""COMPUTED_VALUE"""),"https://drive.google.com/file/d/1MxL0HE66biv0jYargY74rwi80LTA1OBG/view?usp=drivesdk")</f>
        <v>https://drive.google.com/file/d/1MxL0HE66biv0jYargY74rwi80LTA1OBG/view?usp=drivesdk</v>
      </c>
    </row>
    <row r="7146">
      <c r="A7146" s="15">
        <f>IFERROR(__xludf.DUMMYFUNCTION("""COMPUTED_VALUE"""),45202.0)</f>
        <v>45202</v>
      </c>
      <c r="B7146" s="16" t="str">
        <f>IFERROR(__xludf.DUMMYFUNCTION("""COMPUTED_VALUE"""),"Santiago Garces Restrepo")</f>
        <v>Santiago Garces Restrepo</v>
      </c>
      <c r="C7146" s="15" t="str">
        <f>IFERROR(__xludf.DUMMYFUNCTION("""COMPUTED_VALUE"""),"MEDELLÍN")</f>
        <v>MEDELLÍN</v>
      </c>
      <c r="D7146" s="15" t="str">
        <f>IFERROR(__xludf.DUMMYFUNCTION("""COMPUTED_VALUE"""),"BOGOTÁ")</f>
        <v>BOGOTÁ</v>
      </c>
      <c r="E7146" s="15" t="str">
        <f>IFERROR(__xludf.DUMMYFUNCTION("""COMPUTED_VALUE"""),"Spirulina Fresca")</f>
        <v>Spirulina Fresca</v>
      </c>
      <c r="F7146" s="17" t="str">
        <f>IFERROR(__xludf.DUMMYFUNCTION("""COMPUTED_VALUE"""),"Diagonal 29d # 9a sur - 150 .   / urbanización algeciras - casa 105 Barrios los balsos - el  / El poblado")</f>
        <v>Diagonal 29d # 9a sur - 150 .   / urbanización algeciras - casa 105 Barrios los balsos - el  / El poblado</v>
      </c>
      <c r="G7146" s="15" t="str">
        <f>IFERROR(__xludf.DUMMYFUNCTION("""COMPUTED_VALUE"""),"Esteban Estarita")</f>
        <v>Esteban Estarita</v>
      </c>
      <c r="H7146" s="16">
        <f>IFERROR(__xludf.DUMMYFUNCTION("""COMPUTED_VALUE"""),15828.0)</f>
        <v>15828</v>
      </c>
      <c r="I7146" s="18">
        <f>IFERROR(__xludf.DUMMYFUNCTION("""COMPUTED_VALUE"""),5.0)</f>
        <v>5</v>
      </c>
      <c r="J7146" s="18">
        <f>IFERROR(__xludf.DUMMYFUNCTION("""COMPUTED_VALUE"""),5.0)</f>
        <v>5</v>
      </c>
      <c r="K7146" s="18">
        <f>IFERROR(__xludf.DUMMYFUNCTION("""COMPUTED_VALUE"""),22.0)</f>
        <v>22</v>
      </c>
      <c r="L7146" s="17">
        <f>IFERROR(__xludf.DUMMYFUNCTION("""COMPUTED_VALUE"""),3.015703767E9)</f>
        <v>3015703767</v>
      </c>
      <c r="M7146" s="17"/>
      <c r="N7146" s="17"/>
      <c r="O7146" s="17"/>
      <c r="P7146" s="17" t="b">
        <f>IFERROR(__xludf.DUMMYFUNCTION("""COMPUTED_VALUE"""),TRUE)</f>
        <v>1</v>
      </c>
      <c r="Q7146" s="20">
        <f>IFERROR(__xludf.DUMMYFUNCTION("""COMPUTED_VALUE"""),45204.386732847226)</f>
        <v>45204.38673</v>
      </c>
      <c r="R7146" s="21" t="str">
        <f>IFERROR(__xludf.DUMMYFUNCTION("""COMPUTED_VALUE"""),"https://drive.google.com/file/d/1Z4JXWCj7LncCdG22qCkwRjoyDuVfZ7Mq/view?usp=drivesdk")</f>
        <v>https://drive.google.com/file/d/1Z4JXWCj7LncCdG22qCkwRjoyDuVfZ7Mq/view?usp=drivesdk</v>
      </c>
    </row>
    <row r="7147">
      <c r="A7147" s="15">
        <f>IFERROR(__xludf.DUMMYFUNCTION("""COMPUTED_VALUE"""),45202.0)</f>
        <v>45202</v>
      </c>
      <c r="B7147" s="16" t="str">
        <f>IFERROR(__xludf.DUMMYFUNCTION("""COMPUTED_VALUE"""),"Santiago Garces Restrepo")</f>
        <v>Santiago Garces Restrepo</v>
      </c>
      <c r="C7147" s="15" t="str">
        <f>IFERROR(__xludf.DUMMYFUNCTION("""COMPUTED_VALUE"""),"MEDELLÍN")</f>
        <v>MEDELLÍN</v>
      </c>
      <c r="D7147" s="15" t="str">
        <f>IFERROR(__xludf.DUMMYFUNCTION("""COMPUTED_VALUE"""),"BOGOTÁ")</f>
        <v>BOGOTÁ</v>
      </c>
      <c r="E7147" s="15" t="str">
        <f>IFERROR(__xludf.DUMMYFUNCTION("""COMPUTED_VALUE"""),"Top Spun")</f>
        <v>Top Spun</v>
      </c>
      <c r="F7147" s="17" t="str">
        <f>IFERROR(__xludf.DUMMYFUNCTION("""COMPUTED_VALUE"""),"Calle 115 b sur #45c-96 / Barrio La Aguacatala  / parte baja Caldas Antioquia")</f>
        <v>Calle 115 b sur #45c-96 / Barrio La Aguacatala  / parte baja Caldas Antioquia</v>
      </c>
      <c r="G7147" s="15" t="str">
        <f>IFERROR(__xludf.DUMMYFUNCTION("""COMPUTED_VALUE"""),"Yeny Paola Castrillon Ramirez")</f>
        <v>Yeny Paola Castrillon Ramirez</v>
      </c>
      <c r="H7147" s="16">
        <f>IFERROR(__xludf.DUMMYFUNCTION("""COMPUTED_VALUE"""),15768.0)</f>
        <v>15768</v>
      </c>
      <c r="I7147" s="18">
        <f>IFERROR(__xludf.DUMMYFUNCTION("""COMPUTED_VALUE"""),20.0)</f>
        <v>20</v>
      </c>
      <c r="J7147" s="18">
        <f>IFERROR(__xludf.DUMMYFUNCTION("""COMPUTED_VALUE"""),10.0)</f>
        <v>10</v>
      </c>
      <c r="K7147" s="18">
        <f>IFERROR(__xludf.DUMMYFUNCTION("""COMPUTED_VALUE"""),40.0)</f>
        <v>40</v>
      </c>
      <c r="L7147" s="17">
        <f>IFERROR(__xludf.DUMMYFUNCTION("""COMPUTED_VALUE"""),3.127976549E9)</f>
        <v>3127976549</v>
      </c>
      <c r="M7147" s="17"/>
      <c r="N7147" s="17"/>
      <c r="O7147" s="17"/>
      <c r="P7147" s="17" t="b">
        <f>IFERROR(__xludf.DUMMYFUNCTION("""COMPUTED_VALUE"""),TRUE)</f>
        <v>1</v>
      </c>
      <c r="Q7147" s="20">
        <f>IFERROR(__xludf.DUMMYFUNCTION("""COMPUTED_VALUE"""),45204.386732847226)</f>
        <v>45204.38673</v>
      </c>
      <c r="R7147" s="22" t="str">
        <f>IFERROR(__xludf.DUMMYFUNCTION("""COMPUTED_VALUE"""),"")</f>
        <v/>
      </c>
    </row>
    <row r="7148">
      <c r="A7148" s="15">
        <f>IFERROR(__xludf.DUMMYFUNCTION("""COMPUTED_VALUE"""),45202.0)</f>
        <v>45202</v>
      </c>
      <c r="B7148" s="16" t="str">
        <f>IFERROR(__xludf.DUMMYFUNCTION("""COMPUTED_VALUE"""),"Santiago Garces Restrepo")</f>
        <v>Santiago Garces Restrepo</v>
      </c>
      <c r="C7148" s="15" t="str">
        <f>IFERROR(__xludf.DUMMYFUNCTION("""COMPUTED_VALUE"""),"MEDELLÍN")</f>
        <v>MEDELLÍN</v>
      </c>
      <c r="D7148" s="15" t="str">
        <f>IFERROR(__xludf.DUMMYFUNCTION("""COMPUTED_VALUE"""),"BOGOTÁ")</f>
        <v>BOGOTÁ</v>
      </c>
      <c r="E7148" s="15" t="str">
        <f>IFERROR(__xludf.DUMMYFUNCTION("""COMPUTED_VALUE"""),"Top Spun")</f>
        <v>Top Spun</v>
      </c>
      <c r="F7148" s="17" t="str">
        <f>IFERROR(__xludf.DUMMYFUNCTION("""COMPUTED_VALUE"""),"Calle 19 # 43g 80 / apt 1013 / Medellin")</f>
        <v>Calle 19 # 43g 80 / apt 1013 / Medellin</v>
      </c>
      <c r="G7148" s="15" t="str">
        <f>IFERROR(__xludf.DUMMYFUNCTION("""COMPUTED_VALUE"""),"Daniela Bohorquez")</f>
        <v>Daniela Bohorquez</v>
      </c>
      <c r="H7148" s="16">
        <f>IFERROR(__xludf.DUMMYFUNCTION("""COMPUTED_VALUE"""),15770.0)</f>
        <v>15770</v>
      </c>
      <c r="I7148" s="18">
        <f>IFERROR(__xludf.DUMMYFUNCTION("""COMPUTED_VALUE"""),20.0)</f>
        <v>20</v>
      </c>
      <c r="J7148" s="18">
        <f>IFERROR(__xludf.DUMMYFUNCTION("""COMPUTED_VALUE"""),10.0)</f>
        <v>10</v>
      </c>
      <c r="K7148" s="18">
        <f>IFERROR(__xludf.DUMMYFUNCTION("""COMPUTED_VALUE"""),40.0)</f>
        <v>40</v>
      </c>
      <c r="L7148" s="17">
        <f>IFERROR(__xludf.DUMMYFUNCTION("""COMPUTED_VALUE"""),3.002457132E9)</f>
        <v>3002457132</v>
      </c>
      <c r="M7148" s="17"/>
      <c r="N7148" s="17"/>
      <c r="O7148" s="17"/>
      <c r="P7148" s="17" t="b">
        <f>IFERROR(__xludf.DUMMYFUNCTION("""COMPUTED_VALUE"""),TRUE)</f>
        <v>1</v>
      </c>
      <c r="Q7148" s="20">
        <f>IFERROR(__xludf.DUMMYFUNCTION("""COMPUTED_VALUE"""),45203.54719048611)</f>
        <v>45203.54719</v>
      </c>
      <c r="R7148" s="21" t="str">
        <f>IFERROR(__xludf.DUMMYFUNCTION("""COMPUTED_VALUE"""),"https://drive.google.com/file/d/15nKKZ4RYnJpL9k9DQKw_ROTLJ1CS6j-p/view?usp=drivesdk")</f>
        <v>https://drive.google.com/file/d/15nKKZ4RYnJpL9k9DQKw_ROTLJ1CS6j-p/view?usp=drivesdk</v>
      </c>
    </row>
    <row r="7149">
      <c r="A7149" s="15">
        <f>IFERROR(__xludf.DUMMYFUNCTION("""COMPUTED_VALUE"""),45202.0)</f>
        <v>45202</v>
      </c>
      <c r="B7149" s="16" t="str">
        <f>IFERROR(__xludf.DUMMYFUNCTION("""COMPUTED_VALUE"""),"Santiago Garces Restrepo")</f>
        <v>Santiago Garces Restrepo</v>
      </c>
      <c r="C7149" s="15" t="str">
        <f>IFERROR(__xludf.DUMMYFUNCTION("""COMPUTED_VALUE"""),"MEDELLÍN")</f>
        <v>MEDELLÍN</v>
      </c>
      <c r="D7149" s="15" t="str">
        <f>IFERROR(__xludf.DUMMYFUNCTION("""COMPUTED_VALUE"""),"BOGOTÁ")</f>
        <v>BOGOTÁ</v>
      </c>
      <c r="E7149" s="15" t="str">
        <f>IFERROR(__xludf.DUMMYFUNCTION("""COMPUTED_VALUE"""),"Top Spun")</f>
        <v>Top Spun</v>
      </c>
      <c r="F7149" s="17" t="str">
        <f>IFERROR(__xludf.DUMMYFUNCTION("""COMPUTED_VALUE"""),"Cra27a #37bsur-145 / Casa finca interior 102 / Envigado")</f>
        <v>Cra27a #37bsur-145 / Casa finca interior 102 / Envigado</v>
      </c>
      <c r="G7149" s="15" t="str">
        <f>IFERROR(__xludf.DUMMYFUNCTION("""COMPUTED_VALUE"""),"Liseth Dariana Zuluaga Isaza")</f>
        <v>Liseth Dariana Zuluaga Isaza</v>
      </c>
      <c r="H7149" s="16">
        <f>IFERROR(__xludf.DUMMYFUNCTION("""COMPUTED_VALUE"""),15772.0)</f>
        <v>15772</v>
      </c>
      <c r="I7149" s="18">
        <f>IFERROR(__xludf.DUMMYFUNCTION("""COMPUTED_VALUE"""),20.0)</f>
        <v>20</v>
      </c>
      <c r="J7149" s="18">
        <f>IFERROR(__xludf.DUMMYFUNCTION("""COMPUTED_VALUE"""),10.0)</f>
        <v>10</v>
      </c>
      <c r="K7149" s="18">
        <f>IFERROR(__xludf.DUMMYFUNCTION("""COMPUTED_VALUE"""),40.0)</f>
        <v>40</v>
      </c>
      <c r="L7149" s="17">
        <f>IFERROR(__xludf.DUMMYFUNCTION("""COMPUTED_VALUE"""),3.233067353E9)</f>
        <v>3233067353</v>
      </c>
      <c r="M7149" s="17"/>
      <c r="N7149" s="17"/>
      <c r="O7149" s="17"/>
      <c r="P7149" s="17" t="b">
        <f>IFERROR(__xludf.DUMMYFUNCTION("""COMPUTED_VALUE"""),TRUE)</f>
        <v>1</v>
      </c>
      <c r="Q7149" s="20">
        <f>IFERROR(__xludf.DUMMYFUNCTION("""COMPUTED_VALUE"""),45203.54724105324)</f>
        <v>45203.54724</v>
      </c>
      <c r="R7149" s="21" t="str">
        <f>IFERROR(__xludf.DUMMYFUNCTION("""COMPUTED_VALUE"""),"https://drive.google.com/file/d/1GZx4_TepRnY5E7qspkqKiwqWh41dut8I/view?usp=drivesdk")</f>
        <v>https://drive.google.com/file/d/1GZx4_TepRnY5E7qspkqKiwqWh41dut8I/view?usp=drivesdk</v>
      </c>
    </row>
    <row r="7150">
      <c r="A7150" s="17" t="str">
        <f>IFERROR(__xludf.DUMMYFUNCTION("""COMPUTED_VALUE"""),"")</f>
        <v/>
      </c>
      <c r="B7150" s="17" t="str">
        <f>IFERROR(__xludf.DUMMYFUNCTION("""COMPUTED_VALUE"""),"")</f>
        <v/>
      </c>
      <c r="C7150" s="17" t="str">
        <f>IFERROR(__xludf.DUMMYFUNCTION("""COMPUTED_VALUE"""),"")</f>
        <v/>
      </c>
      <c r="D7150" s="17" t="str">
        <f>IFERROR(__xludf.DUMMYFUNCTION("""COMPUTED_VALUE"""),"")</f>
        <v/>
      </c>
      <c r="E7150" s="17" t="str">
        <f>IFERROR(__xludf.DUMMYFUNCTION("""COMPUTED_VALUE"""),"")</f>
        <v/>
      </c>
      <c r="F7150" s="17" t="str">
        <f>IFERROR(__xludf.DUMMYFUNCTION("""COMPUTED_VALUE"""),"")</f>
        <v/>
      </c>
      <c r="G7150" s="17" t="str">
        <f>IFERROR(__xludf.DUMMYFUNCTION("""COMPUTED_VALUE"""),"")</f>
        <v/>
      </c>
      <c r="H7150" s="17" t="str">
        <f>IFERROR(__xludf.DUMMYFUNCTION("""COMPUTED_VALUE"""),"")</f>
        <v/>
      </c>
      <c r="I7150" s="17" t="str">
        <f>IFERROR(__xludf.DUMMYFUNCTION("""COMPUTED_VALUE"""),"")</f>
        <v/>
      </c>
      <c r="J7150" s="17" t="str">
        <f>IFERROR(__xludf.DUMMYFUNCTION("""COMPUTED_VALUE"""),"")</f>
        <v/>
      </c>
      <c r="K7150" s="17" t="str">
        <f>IFERROR(__xludf.DUMMYFUNCTION("""COMPUTED_VALUE"""),"")</f>
        <v/>
      </c>
      <c r="L7150" s="17" t="str">
        <f>IFERROR(__xludf.DUMMYFUNCTION("""COMPUTED_VALUE"""),"")</f>
        <v/>
      </c>
      <c r="M7150" s="17" t="str">
        <f>IFERROR(__xludf.DUMMYFUNCTION("""COMPUTED_VALUE"""),"")</f>
        <v/>
      </c>
      <c r="N7150" s="17" t="str">
        <f>IFERROR(__xludf.DUMMYFUNCTION("""COMPUTED_VALUE"""),"")</f>
        <v/>
      </c>
      <c r="O7150" s="17" t="str">
        <f>IFERROR(__xludf.DUMMYFUNCTION("""COMPUTED_VALUE"""),"")</f>
        <v/>
      </c>
      <c r="P7150" s="17" t="str">
        <f>IFERROR(__xludf.DUMMYFUNCTION("""COMPUTED_VALUE"""),"")</f>
        <v/>
      </c>
      <c r="Q7150" s="17" t="str">
        <f>IFERROR(__xludf.DUMMYFUNCTION("""COMPUTED_VALUE"""),"")</f>
        <v/>
      </c>
      <c r="R7150" s="17" t="str">
        <f>IFERROR(__xludf.DUMMYFUNCTION("""COMPUTED_VALUE"""),"")</f>
        <v/>
      </c>
    </row>
    <row r="7151">
      <c r="A7151" s="15">
        <f>IFERROR(__xludf.DUMMYFUNCTION("""COMPUTED_VALUE"""),45203.0)</f>
        <v>45203</v>
      </c>
      <c r="B7151" s="17"/>
      <c r="C7151" s="15" t="str">
        <f>IFERROR(__xludf.DUMMYFUNCTION("""COMPUTED_VALUE"""),"MONTERIA")</f>
        <v>MONTERIA</v>
      </c>
      <c r="D7151" s="15" t="str">
        <f>IFERROR(__xludf.DUMMYFUNCTION("""COMPUTED_VALUE"""),"MEDELLÍN")</f>
        <v>MEDELLÍN</v>
      </c>
      <c r="E7151" s="15" t="str">
        <f>IFERROR(__xludf.DUMMYFUNCTION("""COMPUTED_VALUE"""),"Videobase")</f>
        <v>Videobase</v>
      </c>
      <c r="F7151" s="17" t="str">
        <f>IFERROR(__xludf.DUMMYFUNCTION("""COMPUTED_VALUE"""),"Calle 29#36A-54.Montería ( Córdoba ) / Frigosinu S.A. / No tenemos")</f>
        <v>Calle 29#36A-54.Montería ( Córdoba ) / Frigosinu S.A. / No tenemos</v>
      </c>
      <c r="G7151" s="15" t="str">
        <f>IFERROR(__xludf.DUMMYFUNCTION("""COMPUTED_VALUE"""),"Bernardo Dyner")</f>
        <v>Bernardo Dyner</v>
      </c>
      <c r="H7151" s="16">
        <f>IFERROR(__xludf.DUMMYFUNCTION("""COMPUTED_VALUE"""),15920.0)</f>
        <v>15920</v>
      </c>
      <c r="I7151" s="18">
        <f>IFERROR(__xludf.DUMMYFUNCTION("""COMPUTED_VALUE"""),4.0)</f>
        <v>4</v>
      </c>
      <c r="J7151" s="18">
        <f>IFERROR(__xludf.DUMMYFUNCTION("""COMPUTED_VALUE"""),22.0)</f>
        <v>22</v>
      </c>
      <c r="K7151" s="18">
        <f>IFERROR(__xludf.DUMMYFUNCTION("""COMPUTED_VALUE"""),18.0)</f>
        <v>18</v>
      </c>
      <c r="L7151" s="17">
        <f>IFERROR(__xludf.DUMMYFUNCTION("""COMPUTED_VALUE"""),5.0688624444E10)</f>
        <v>50688624444</v>
      </c>
      <c r="M7151" s="17"/>
      <c r="N7151" s="17"/>
      <c r="O7151" s="17"/>
      <c r="P7151" s="17" t="b">
        <f>IFERROR(__xludf.DUMMYFUNCTION("""COMPUTED_VALUE"""),FALSE)</f>
        <v>0</v>
      </c>
      <c r="Q7151" s="20" t="str">
        <f>IFERROR(__xludf.DUMMYFUNCTION("""COMPUTED_VALUE"""),"")</f>
        <v/>
      </c>
      <c r="R7151" s="21" t="str">
        <f>IFERROR(__xludf.DUMMYFUNCTION("""COMPUTED_VALUE"""),"https://drive.google.com/file/d/1-GJ04tlk3dGEhgq8Qiyt_ZZvkTXNoV1_/view?usp=drivesdk")</f>
        <v>https://drive.google.com/file/d/1-GJ04tlk3dGEhgq8Qiyt_ZZvkTXNoV1_/view?usp=drivesdk</v>
      </c>
    </row>
    <row r="7152">
      <c r="A7152" s="17" t="str">
        <f>IFERROR(__xludf.DUMMYFUNCTION("""COMPUTED_VALUE"""),"")</f>
        <v/>
      </c>
      <c r="B7152" s="17" t="str">
        <f>IFERROR(__xludf.DUMMYFUNCTION("""COMPUTED_VALUE"""),"")</f>
        <v/>
      </c>
      <c r="C7152" s="17" t="str">
        <f>IFERROR(__xludf.DUMMYFUNCTION("""COMPUTED_VALUE"""),"")</f>
        <v/>
      </c>
      <c r="D7152" s="17" t="str">
        <f>IFERROR(__xludf.DUMMYFUNCTION("""COMPUTED_VALUE"""),"")</f>
        <v/>
      </c>
      <c r="E7152" s="17" t="str">
        <f>IFERROR(__xludf.DUMMYFUNCTION("""COMPUTED_VALUE"""),"")</f>
        <v/>
      </c>
      <c r="F7152" s="17" t="str">
        <f>IFERROR(__xludf.DUMMYFUNCTION("""COMPUTED_VALUE"""),"")</f>
        <v/>
      </c>
      <c r="G7152" s="17" t="str">
        <f>IFERROR(__xludf.DUMMYFUNCTION("""COMPUTED_VALUE"""),"")</f>
        <v/>
      </c>
      <c r="H7152" s="17" t="str">
        <f>IFERROR(__xludf.DUMMYFUNCTION("""COMPUTED_VALUE"""),"")</f>
        <v/>
      </c>
      <c r="I7152" s="17" t="str">
        <f>IFERROR(__xludf.DUMMYFUNCTION("""COMPUTED_VALUE"""),"")</f>
        <v/>
      </c>
      <c r="J7152" s="17" t="str">
        <f>IFERROR(__xludf.DUMMYFUNCTION("""COMPUTED_VALUE"""),"")</f>
        <v/>
      </c>
      <c r="K7152" s="17" t="str">
        <f>IFERROR(__xludf.DUMMYFUNCTION("""COMPUTED_VALUE"""),"")</f>
        <v/>
      </c>
      <c r="L7152" s="17" t="str">
        <f>IFERROR(__xludf.DUMMYFUNCTION("""COMPUTED_VALUE"""),"")</f>
        <v/>
      </c>
      <c r="M7152" s="17" t="str">
        <f>IFERROR(__xludf.DUMMYFUNCTION("""COMPUTED_VALUE"""),"")</f>
        <v/>
      </c>
      <c r="N7152" s="17" t="str">
        <f>IFERROR(__xludf.DUMMYFUNCTION("""COMPUTED_VALUE"""),"")</f>
        <v/>
      </c>
      <c r="O7152" s="17" t="str">
        <f>IFERROR(__xludf.DUMMYFUNCTION("""COMPUTED_VALUE"""),"")</f>
        <v/>
      </c>
      <c r="P7152" s="17" t="str">
        <f>IFERROR(__xludf.DUMMYFUNCTION("""COMPUTED_VALUE"""),"")</f>
        <v/>
      </c>
      <c r="Q7152" s="17" t="str">
        <f>IFERROR(__xludf.DUMMYFUNCTION("""COMPUTED_VALUE"""),"")</f>
        <v/>
      </c>
      <c r="R7152" s="17" t="str">
        <f>IFERROR(__xludf.DUMMYFUNCTION("""COMPUTED_VALUE"""),"")</f>
        <v/>
      </c>
    </row>
    <row r="7153">
      <c r="A7153" s="15">
        <f>IFERROR(__xludf.DUMMYFUNCTION("""COMPUTED_VALUE"""),45203.0)</f>
        <v>45203</v>
      </c>
      <c r="B7153" s="16" t="str">
        <f>IFERROR(__xludf.DUMMYFUNCTION("""COMPUTED_VALUE"""),"Anuar suarez jimenez ")</f>
        <v>Anuar suarez jimenez </v>
      </c>
      <c r="C7153" s="15" t="str">
        <f>IFERROR(__xludf.DUMMYFUNCTION("""COMPUTED_VALUE"""),"DUITAMA")</f>
        <v>DUITAMA</v>
      </c>
      <c r="D7153" s="15" t="str">
        <f>IFERROR(__xludf.DUMMYFUNCTION("""COMPUTED_VALUE"""),"BOGOTÁ")</f>
        <v>BOGOTÁ</v>
      </c>
      <c r="E7153" s="15" t="str">
        <f>IFERROR(__xludf.DUMMYFUNCTION("""COMPUTED_VALUE"""),"Evamazzita")</f>
        <v>Evamazzita</v>
      </c>
      <c r="F7153" s="17" t="str">
        <f>IFERROR(__xludf.DUMMYFUNCTION("""COMPUTED_VALUE"""),"Cra 36A #22-26 / Casa 18/Reserva de los sauces")</f>
        <v>Cra 36A #22-26 / Casa 18/Reserva de los sauces</v>
      </c>
      <c r="G7153" s="15" t="str">
        <f>IFERROR(__xludf.DUMMYFUNCTION("""COMPUTED_VALUE"""),"MAGDA SOFIA BOTIA")</f>
        <v>MAGDA SOFIA BOTIA</v>
      </c>
      <c r="H7153" s="16">
        <f>IFERROR(__xludf.DUMMYFUNCTION("""COMPUTED_VALUE"""),15861.0)</f>
        <v>15861</v>
      </c>
      <c r="I7153" s="18">
        <f>IFERROR(__xludf.DUMMYFUNCTION("""COMPUTED_VALUE"""),1.0)</f>
        <v>1</v>
      </c>
      <c r="J7153" s="18">
        <f>IFERROR(__xludf.DUMMYFUNCTION("""COMPUTED_VALUE"""),1.0)</f>
        <v>1</v>
      </c>
      <c r="K7153" s="18">
        <f>IFERROR(__xludf.DUMMYFUNCTION("""COMPUTED_VALUE"""),1.0)</f>
        <v>1</v>
      </c>
      <c r="L7153" s="17">
        <f>IFERROR(__xludf.DUMMYFUNCTION("""COMPUTED_VALUE"""),3.16322304E9)</f>
        <v>3163223040</v>
      </c>
      <c r="M7153" s="17"/>
      <c r="N7153" s="17"/>
      <c r="O7153" s="17"/>
      <c r="P7153" s="17" t="b">
        <f>IFERROR(__xludf.DUMMYFUNCTION("""COMPUTED_VALUE"""),FALSE)</f>
        <v>0</v>
      </c>
      <c r="Q7153" s="20" t="str">
        <f>IFERROR(__xludf.DUMMYFUNCTION("""COMPUTED_VALUE"""),"")</f>
        <v/>
      </c>
      <c r="R7153" s="22" t="str">
        <f>IFERROR(__xludf.DUMMYFUNCTION("""COMPUTED_VALUE"""),"")</f>
        <v/>
      </c>
    </row>
    <row r="7154">
      <c r="A7154" s="15">
        <f>IFERROR(__xludf.DUMMYFUNCTION("""COMPUTED_VALUE"""),45203.0)</f>
        <v>45203</v>
      </c>
      <c r="B7154" s="16" t="str">
        <f>IFERROR(__xludf.DUMMYFUNCTION("""COMPUTED_VALUE"""),"Anuar suarez jimenez ")</f>
        <v>Anuar suarez jimenez </v>
      </c>
      <c r="C7154" s="15" t="str">
        <f>IFERROR(__xludf.DUMMYFUNCTION("""COMPUTED_VALUE"""),"MONTERIA")</f>
        <v>MONTERIA</v>
      </c>
      <c r="D7154" s="15" t="str">
        <f>IFERROR(__xludf.DUMMYFUNCTION("""COMPUTED_VALUE"""),"BOGOTÁ")</f>
        <v>BOGOTÁ</v>
      </c>
      <c r="E7154" s="15" t="str">
        <f>IFERROR(__xludf.DUMMYFUNCTION("""COMPUTED_VALUE"""),"Top Spun")</f>
        <v>Top Spun</v>
      </c>
      <c r="F7154" s="17" t="str">
        <f>IFERROR(__xludf.DUMMYFUNCTION("""COMPUTED_VALUE"""),"Calle 78 no. 6 225 / casa 27 / Portal de picacho")</f>
        <v>Calle 78 no. 6 225 / casa 27 / Portal de picacho</v>
      </c>
      <c r="G7154" s="15" t="str">
        <f>IFERROR(__xludf.DUMMYFUNCTION("""COMPUTED_VALUE"""),"Laura Olmos")</f>
        <v>Laura Olmos</v>
      </c>
      <c r="H7154" s="16">
        <f>IFERROR(__xludf.DUMMYFUNCTION("""COMPUTED_VALUE"""),15782.0)</f>
        <v>15782</v>
      </c>
      <c r="I7154" s="18">
        <f>IFERROR(__xludf.DUMMYFUNCTION("""COMPUTED_VALUE"""),20.0)</f>
        <v>20</v>
      </c>
      <c r="J7154" s="18">
        <f>IFERROR(__xludf.DUMMYFUNCTION("""COMPUTED_VALUE"""),10.0)</f>
        <v>10</v>
      </c>
      <c r="K7154" s="18">
        <f>IFERROR(__xludf.DUMMYFUNCTION("""COMPUTED_VALUE"""),40.0)</f>
        <v>40</v>
      </c>
      <c r="L7154" s="17">
        <f>IFERROR(__xludf.DUMMYFUNCTION("""COMPUTED_VALUE"""),3.176403298E9)</f>
        <v>3176403298</v>
      </c>
      <c r="M7154" s="17"/>
      <c r="N7154" s="17"/>
      <c r="O7154" s="17"/>
      <c r="P7154" s="17" t="b">
        <f>IFERROR(__xludf.DUMMYFUNCTION("""COMPUTED_VALUE"""),FALSE)</f>
        <v>0</v>
      </c>
      <c r="Q7154" s="20" t="str">
        <f>IFERROR(__xludf.DUMMYFUNCTION("""COMPUTED_VALUE"""),"")</f>
        <v/>
      </c>
      <c r="R7154" s="21" t="str">
        <f>IFERROR(__xludf.DUMMYFUNCTION("""COMPUTED_VALUE"""),"https://drive.google.com/file/d/1Fdz2_TbtWgztaiA_73tMqT_v0PVAM6eA/view?usp=drivesdk")</f>
        <v>https://drive.google.com/file/d/1Fdz2_TbtWgztaiA_73tMqT_v0PVAM6eA/view?usp=drivesdk</v>
      </c>
    </row>
    <row r="7155">
      <c r="A7155" s="15">
        <f>IFERROR(__xludf.DUMMYFUNCTION("""COMPUTED_VALUE"""),45203.0)</f>
        <v>45203</v>
      </c>
      <c r="B7155" s="16" t="str">
        <f>IFERROR(__xludf.DUMMYFUNCTION("""COMPUTED_VALUE"""),"Anuar suarez jimenez ")</f>
        <v>Anuar suarez jimenez </v>
      </c>
      <c r="C7155" s="15" t="str">
        <f>IFERROR(__xludf.DUMMYFUNCTION("""COMPUTED_VALUE"""),"SOGAMOSO")</f>
        <v>SOGAMOSO</v>
      </c>
      <c r="D7155" s="15" t="str">
        <f>IFERROR(__xludf.DUMMYFUNCTION("""COMPUTED_VALUE"""),"BOGOTÁ")</f>
        <v>BOGOTÁ</v>
      </c>
      <c r="E7155" s="15" t="str">
        <f>IFERROR(__xludf.DUMMYFUNCTION("""COMPUTED_VALUE"""),"Evamazzita")</f>
        <v>Evamazzita</v>
      </c>
      <c r="F7155" s="17" t="str">
        <f>IFERROR(__xludf.DUMMYFUNCTION("""COMPUTED_VALUE"""),"Cra 5 BIS #1A-06 / Cra 5 BIS #1A-06")</f>
        <v>Cra 5 BIS #1A-06 / Cra 5 BIS #1A-06</v>
      </c>
      <c r="G7155" s="15" t="str">
        <f>IFERROR(__xludf.DUMMYFUNCTION("""COMPUTED_VALUE"""),"MONICA YULIETH VARGAS CADENA")</f>
        <v>MONICA YULIETH VARGAS CADENA</v>
      </c>
      <c r="H7155" s="16">
        <f>IFERROR(__xludf.DUMMYFUNCTION("""COMPUTED_VALUE"""),15864.0)</f>
        <v>15864</v>
      </c>
      <c r="I7155" s="18">
        <f>IFERROR(__xludf.DUMMYFUNCTION("""COMPUTED_VALUE"""),1.0)</f>
        <v>1</v>
      </c>
      <c r="J7155" s="18">
        <f>IFERROR(__xludf.DUMMYFUNCTION("""COMPUTED_VALUE"""),1.0)</f>
        <v>1</v>
      </c>
      <c r="K7155" s="18">
        <f>IFERROR(__xludf.DUMMYFUNCTION("""COMPUTED_VALUE"""),1.0)</f>
        <v>1</v>
      </c>
      <c r="L7155" s="17">
        <f>IFERROR(__xludf.DUMMYFUNCTION("""COMPUTED_VALUE"""),3.144782385E9)</f>
        <v>3144782385</v>
      </c>
      <c r="M7155" s="17"/>
      <c r="N7155" s="17"/>
      <c r="O7155" s="17"/>
      <c r="P7155" s="17" t="b">
        <f>IFERROR(__xludf.DUMMYFUNCTION("""COMPUTED_VALUE"""),TRUE)</f>
        <v>1</v>
      </c>
      <c r="Q7155" s="20">
        <f>IFERROR(__xludf.DUMMYFUNCTION("""COMPUTED_VALUE"""),45203.72748809028)</f>
        <v>45203.72749</v>
      </c>
      <c r="R7155" s="22" t="str">
        <f>IFERROR(__xludf.DUMMYFUNCTION("""COMPUTED_VALUE"""),"")</f>
        <v/>
      </c>
    </row>
    <row r="7156">
      <c r="A7156" s="17" t="str">
        <f>IFERROR(__xludf.DUMMYFUNCTION("""COMPUTED_VALUE"""),"")</f>
        <v/>
      </c>
      <c r="B7156" s="17" t="str">
        <f>IFERROR(__xludf.DUMMYFUNCTION("""COMPUTED_VALUE"""),"")</f>
        <v/>
      </c>
      <c r="C7156" s="17" t="str">
        <f>IFERROR(__xludf.DUMMYFUNCTION("""COMPUTED_VALUE"""),"")</f>
        <v/>
      </c>
      <c r="D7156" s="17" t="str">
        <f>IFERROR(__xludf.DUMMYFUNCTION("""COMPUTED_VALUE"""),"")</f>
        <v/>
      </c>
      <c r="E7156" s="17" t="str">
        <f>IFERROR(__xludf.DUMMYFUNCTION("""COMPUTED_VALUE"""),"")</f>
        <v/>
      </c>
      <c r="F7156" s="17" t="str">
        <f>IFERROR(__xludf.DUMMYFUNCTION("""COMPUTED_VALUE"""),"")</f>
        <v/>
      </c>
      <c r="G7156" s="17" t="str">
        <f>IFERROR(__xludf.DUMMYFUNCTION("""COMPUTED_VALUE"""),"")</f>
        <v/>
      </c>
      <c r="H7156" s="17" t="str">
        <f>IFERROR(__xludf.DUMMYFUNCTION("""COMPUTED_VALUE"""),"")</f>
        <v/>
      </c>
      <c r="I7156" s="17" t="str">
        <f>IFERROR(__xludf.DUMMYFUNCTION("""COMPUTED_VALUE"""),"")</f>
        <v/>
      </c>
      <c r="J7156" s="17" t="str">
        <f>IFERROR(__xludf.DUMMYFUNCTION("""COMPUTED_VALUE"""),"")</f>
        <v/>
      </c>
      <c r="K7156" s="17" t="str">
        <f>IFERROR(__xludf.DUMMYFUNCTION("""COMPUTED_VALUE"""),"")</f>
        <v/>
      </c>
      <c r="L7156" s="17" t="str">
        <f>IFERROR(__xludf.DUMMYFUNCTION("""COMPUTED_VALUE"""),"")</f>
        <v/>
      </c>
      <c r="M7156" s="17" t="str">
        <f>IFERROR(__xludf.DUMMYFUNCTION("""COMPUTED_VALUE"""),"")</f>
        <v/>
      </c>
      <c r="N7156" s="17" t="str">
        <f>IFERROR(__xludf.DUMMYFUNCTION("""COMPUTED_VALUE"""),"")</f>
        <v/>
      </c>
      <c r="O7156" s="17" t="str">
        <f>IFERROR(__xludf.DUMMYFUNCTION("""COMPUTED_VALUE"""),"")</f>
        <v/>
      </c>
      <c r="P7156" s="17" t="str">
        <f>IFERROR(__xludf.DUMMYFUNCTION("""COMPUTED_VALUE"""),"")</f>
        <v/>
      </c>
      <c r="Q7156" s="17" t="str">
        <f>IFERROR(__xludf.DUMMYFUNCTION("""COMPUTED_VALUE"""),"")</f>
        <v/>
      </c>
      <c r="R7156" s="17" t="str">
        <f>IFERROR(__xludf.DUMMYFUNCTION("""COMPUTED_VALUE"""),"")</f>
        <v/>
      </c>
    </row>
    <row r="7157">
      <c r="A7157" s="15">
        <f>IFERROR(__xludf.DUMMYFUNCTION("""COMPUTED_VALUE"""),45203.0)</f>
        <v>45203</v>
      </c>
      <c r="B7157" s="16" t="str">
        <f>IFERROR(__xludf.DUMMYFUNCTION("""COMPUTED_VALUE"""),"Carlos Manuel Sosa")</f>
        <v>Carlos Manuel Sosa</v>
      </c>
      <c r="C7157" s="15" t="str">
        <f>IFERROR(__xludf.DUMMYFUNCTION("""COMPUTED_VALUE"""),"BARRANQUILLA")</f>
        <v>BARRANQUILLA</v>
      </c>
      <c r="D7157" s="15" t="str">
        <f>IFERROR(__xludf.DUMMYFUNCTION("""COMPUTED_VALUE"""),"BOGOTÁ")</f>
        <v>BOGOTÁ</v>
      </c>
      <c r="E7157" s="15" t="str">
        <f>IFERROR(__xludf.DUMMYFUNCTION("""COMPUTED_VALUE"""),"Mochi")</f>
        <v>Mochi</v>
      </c>
      <c r="F7157" s="17" t="str">
        <f>IFERROR(__xludf.DUMMYFUNCTION("""COMPUTED_VALUE"""),"Cra 51b# 87- 50 / Centro comercial  / Rio mar")</f>
        <v>Cra 51b# 87- 50 / Centro comercial  / Rio mar</v>
      </c>
      <c r="G7157" s="15" t="str">
        <f>IFERROR(__xludf.DUMMYFUNCTION("""COMPUTED_VALUE"""),"María Camila Giraldo")</f>
        <v>María Camila Giraldo</v>
      </c>
      <c r="H7157" s="16">
        <f>IFERROR(__xludf.DUMMYFUNCTION("""COMPUTED_VALUE"""),15947.0)</f>
        <v>15947</v>
      </c>
      <c r="I7157" s="18">
        <f>IFERROR(__xludf.DUMMYFUNCTION("""COMPUTED_VALUE"""),55.0)</f>
        <v>55</v>
      </c>
      <c r="J7157" s="18">
        <f>IFERROR(__xludf.DUMMYFUNCTION("""COMPUTED_VALUE"""),44.0)</f>
        <v>44</v>
      </c>
      <c r="K7157" s="18" t="str">
        <f>IFERROR(__xludf.DUMMYFUNCTION("""COMPUTED_VALUE"""),"52.5")</f>
        <v>52.5</v>
      </c>
      <c r="L7157" s="17">
        <f>IFERROR(__xludf.DUMMYFUNCTION("""COMPUTED_VALUE"""),3.116026252E9)</f>
        <v>3116026252</v>
      </c>
      <c r="M7157" s="17"/>
      <c r="N7157" s="17"/>
      <c r="O7157" s="17"/>
      <c r="P7157" s="17" t="b">
        <f>IFERROR(__xludf.DUMMYFUNCTION("""COMPUTED_VALUE"""),TRUE)</f>
        <v>1</v>
      </c>
      <c r="Q7157" s="20">
        <f>IFERROR(__xludf.DUMMYFUNCTION("""COMPUTED_VALUE"""),45203.53312645834)</f>
        <v>45203.53313</v>
      </c>
      <c r="R7157" s="22" t="str">
        <f>IFERROR(__xludf.DUMMYFUNCTION("""COMPUTED_VALUE"""),"")</f>
        <v/>
      </c>
    </row>
    <row r="7158">
      <c r="A7158" s="17" t="str">
        <f>IFERROR(__xludf.DUMMYFUNCTION("""COMPUTED_VALUE"""),"")</f>
        <v/>
      </c>
      <c r="B7158" s="17" t="str">
        <f>IFERROR(__xludf.DUMMYFUNCTION("""COMPUTED_VALUE"""),"")</f>
        <v/>
      </c>
      <c r="C7158" s="17" t="str">
        <f>IFERROR(__xludf.DUMMYFUNCTION("""COMPUTED_VALUE"""),"")</f>
        <v/>
      </c>
      <c r="D7158" s="17" t="str">
        <f>IFERROR(__xludf.DUMMYFUNCTION("""COMPUTED_VALUE"""),"")</f>
        <v/>
      </c>
      <c r="E7158" s="17" t="str">
        <f>IFERROR(__xludf.DUMMYFUNCTION("""COMPUTED_VALUE"""),"")</f>
        <v/>
      </c>
      <c r="F7158" s="17" t="str">
        <f>IFERROR(__xludf.DUMMYFUNCTION("""COMPUTED_VALUE"""),"")</f>
        <v/>
      </c>
      <c r="G7158" s="17" t="str">
        <f>IFERROR(__xludf.DUMMYFUNCTION("""COMPUTED_VALUE"""),"")</f>
        <v/>
      </c>
      <c r="H7158" s="17" t="str">
        <f>IFERROR(__xludf.DUMMYFUNCTION("""COMPUTED_VALUE"""),"")</f>
        <v/>
      </c>
      <c r="I7158" s="17" t="str">
        <f>IFERROR(__xludf.DUMMYFUNCTION("""COMPUTED_VALUE"""),"")</f>
        <v/>
      </c>
      <c r="J7158" s="17" t="str">
        <f>IFERROR(__xludf.DUMMYFUNCTION("""COMPUTED_VALUE"""),"")</f>
        <v/>
      </c>
      <c r="K7158" s="17" t="str">
        <f>IFERROR(__xludf.DUMMYFUNCTION("""COMPUTED_VALUE"""),"")</f>
        <v/>
      </c>
      <c r="L7158" s="17" t="str">
        <f>IFERROR(__xludf.DUMMYFUNCTION("""COMPUTED_VALUE"""),"")</f>
        <v/>
      </c>
      <c r="M7158" s="17" t="str">
        <f>IFERROR(__xludf.DUMMYFUNCTION("""COMPUTED_VALUE"""),"")</f>
        <v/>
      </c>
      <c r="N7158" s="17" t="str">
        <f>IFERROR(__xludf.DUMMYFUNCTION("""COMPUTED_VALUE"""),"")</f>
        <v/>
      </c>
      <c r="O7158" s="17" t="str">
        <f>IFERROR(__xludf.DUMMYFUNCTION("""COMPUTED_VALUE"""),"")</f>
        <v/>
      </c>
      <c r="P7158" s="17" t="str">
        <f>IFERROR(__xludf.DUMMYFUNCTION("""COMPUTED_VALUE"""),"")</f>
        <v/>
      </c>
      <c r="Q7158" s="17" t="str">
        <f>IFERROR(__xludf.DUMMYFUNCTION("""COMPUTED_VALUE"""),"")</f>
        <v/>
      </c>
      <c r="R7158" s="17" t="str">
        <f>IFERROR(__xludf.DUMMYFUNCTION("""COMPUTED_VALUE"""),"")</f>
        <v/>
      </c>
    </row>
    <row r="7159">
      <c r="A7159" s="15">
        <f>IFERROR(__xludf.DUMMYFUNCTION("""COMPUTED_VALUE"""),45203.0)</f>
        <v>45203</v>
      </c>
      <c r="B7159" s="16" t="str">
        <f>IFERROR(__xludf.DUMMYFUNCTION("""COMPUTED_VALUE"""),"EASYMAIL S.A.S")</f>
        <v>EASYMAIL S.A.S</v>
      </c>
      <c r="C7159" s="15" t="str">
        <f>IFERROR(__xludf.DUMMYFUNCTION("""COMPUTED_VALUE"""),"BOGOTÁ")</f>
        <v>BOGOTÁ</v>
      </c>
      <c r="D7159" s="15" t="str">
        <f>IFERROR(__xludf.DUMMYFUNCTION("""COMPUTED_VALUE"""),"BUCARAMANGA")</f>
        <v>BUCARAMANGA</v>
      </c>
      <c r="E7159" s="15" t="str">
        <f>IFERROR(__xludf.DUMMYFUNCTION("""COMPUTED_VALUE"""),"Yo Como Solito")</f>
        <v>Yo Como Solito</v>
      </c>
      <c r="F7159" s="17" t="str">
        <f>IFERROR(__xludf.DUMMYFUNCTION("""COMPUTED_VALUE"""),"CARRERA 45A # 128-62 / CARRERA 45A # 128-62 / CARRERA 45A # 128-62")</f>
        <v>CARRERA 45A # 128-62 / CARRERA 45A # 128-62 / CARRERA 45A # 128-62</v>
      </c>
      <c r="G7159" s="15" t="str">
        <f>IFERROR(__xludf.DUMMYFUNCTION("""COMPUTED_VALUE"""),"LINA PAOLA RAMIREZ")</f>
        <v>LINA PAOLA RAMIREZ</v>
      </c>
      <c r="H7159" s="16">
        <f>IFERROR(__xludf.DUMMYFUNCTION("""COMPUTED_VALUE"""),15893.0)</f>
        <v>15893</v>
      </c>
      <c r="I7159" s="18">
        <f>IFERROR(__xludf.DUMMYFUNCTION("""COMPUTED_VALUE"""),35.0)</f>
        <v>35</v>
      </c>
      <c r="J7159" s="18">
        <f>IFERROR(__xludf.DUMMYFUNCTION("""COMPUTED_VALUE"""),25.0)</f>
        <v>25</v>
      </c>
      <c r="K7159" s="18">
        <f>IFERROR(__xludf.DUMMYFUNCTION("""COMPUTED_VALUE"""),36.0)</f>
        <v>36</v>
      </c>
      <c r="L7159" s="17">
        <f>IFERROR(__xludf.DUMMYFUNCTION("""COMPUTED_VALUE"""),3.12327346E9)</f>
        <v>3123273460</v>
      </c>
      <c r="M7159" s="17"/>
      <c r="N7159" s="17"/>
      <c r="O7159" s="17"/>
      <c r="P7159" s="17" t="b">
        <f>IFERROR(__xludf.DUMMYFUNCTION("""COMPUTED_VALUE"""),TRUE)</f>
        <v>1</v>
      </c>
      <c r="Q7159" s="20">
        <f>IFERROR(__xludf.DUMMYFUNCTION("""COMPUTED_VALUE"""),45203.72955158565)</f>
        <v>45203.72955</v>
      </c>
      <c r="R7159" s="22" t="str">
        <f>IFERROR(__xludf.DUMMYFUNCTION("""COMPUTED_VALUE"""),"")</f>
        <v/>
      </c>
    </row>
    <row r="7160">
      <c r="A7160" s="15">
        <f>IFERROR(__xludf.DUMMYFUNCTION("""COMPUTED_VALUE"""),45203.0)</f>
        <v>45203</v>
      </c>
      <c r="B7160" s="16" t="str">
        <f>IFERROR(__xludf.DUMMYFUNCTION("""COMPUTED_VALUE"""),"EASYMAIL S.A.S")</f>
        <v>EASYMAIL S.A.S</v>
      </c>
      <c r="C7160" s="15" t="str">
        <f>IFERROR(__xludf.DUMMYFUNCTION("""COMPUTED_VALUE"""),"BOGOTÁ")</f>
        <v>BOGOTÁ</v>
      </c>
      <c r="D7160" s="15" t="str">
        <f>IFERROR(__xludf.DUMMYFUNCTION("""COMPUTED_VALUE"""),"BUCARAMANGA")</f>
        <v>BUCARAMANGA</v>
      </c>
      <c r="E7160" s="15" t="str">
        <f>IFERROR(__xludf.DUMMYFUNCTION("""COMPUTED_VALUE"""),"Yo Como Solito")</f>
        <v>Yo Como Solito</v>
      </c>
      <c r="F7160" s="17" t="str">
        <f>IFERROR(__xludf.DUMMYFUNCTION("""COMPUTED_VALUE"""),"CARRERA 45A #128-62 / CARRERA 45A #128-62 / CARRERA 45A #128-62")</f>
        <v>CARRERA 45A #128-62 / CARRERA 45A #128-62 / CARRERA 45A #128-62</v>
      </c>
      <c r="G7160" s="15" t="str">
        <f>IFERROR(__xludf.DUMMYFUNCTION("""COMPUTED_VALUE"""),"LINA PAOLA RAMIREZ")</f>
        <v>LINA PAOLA RAMIREZ</v>
      </c>
      <c r="H7160" s="16">
        <f>IFERROR(__xludf.DUMMYFUNCTION("""COMPUTED_VALUE"""),15894.0)</f>
        <v>15894</v>
      </c>
      <c r="I7160" s="18">
        <f>IFERROR(__xludf.DUMMYFUNCTION("""COMPUTED_VALUE"""),38.0)</f>
        <v>38</v>
      </c>
      <c r="J7160" s="18">
        <f>IFERROR(__xludf.DUMMYFUNCTION("""COMPUTED_VALUE"""),27.0)</f>
        <v>27</v>
      </c>
      <c r="K7160" s="18">
        <f>IFERROR(__xludf.DUMMYFUNCTION("""COMPUTED_VALUE"""),29.0)</f>
        <v>29</v>
      </c>
      <c r="L7160" s="17">
        <f>IFERROR(__xludf.DUMMYFUNCTION("""COMPUTED_VALUE"""),3.12327346E9)</f>
        <v>3123273460</v>
      </c>
      <c r="M7160" s="17"/>
      <c r="N7160" s="17"/>
      <c r="O7160" s="17"/>
      <c r="P7160" s="17" t="b">
        <f>IFERROR(__xludf.DUMMYFUNCTION("""COMPUTED_VALUE"""),TRUE)</f>
        <v>1</v>
      </c>
      <c r="Q7160" s="20">
        <f>IFERROR(__xludf.DUMMYFUNCTION("""COMPUTED_VALUE"""),45203.53312645834)</f>
        <v>45203.53313</v>
      </c>
      <c r="R7160" s="22" t="str">
        <f>IFERROR(__xludf.DUMMYFUNCTION("""COMPUTED_VALUE"""),"")</f>
        <v/>
      </c>
    </row>
    <row r="7161">
      <c r="A7161" s="15">
        <f>IFERROR(__xludf.DUMMYFUNCTION("""COMPUTED_VALUE"""),45203.0)</f>
        <v>45203</v>
      </c>
      <c r="B7161" s="16" t="str">
        <f>IFERROR(__xludf.DUMMYFUNCTION("""COMPUTED_VALUE"""),"EASYMAIL S.A.S")</f>
        <v>EASYMAIL S.A.S</v>
      </c>
      <c r="C7161" s="15" t="str">
        <f>IFERROR(__xludf.DUMMYFUNCTION("""COMPUTED_VALUE"""),"BOGOTÁ")</f>
        <v>BOGOTÁ</v>
      </c>
      <c r="D7161" s="15" t="str">
        <f>IFERROR(__xludf.DUMMYFUNCTION("""COMPUTED_VALUE"""),"MEDELLÍN")</f>
        <v>MEDELLÍN</v>
      </c>
      <c r="E7161" s="15" t="str">
        <f>IFERROR(__xludf.DUMMYFUNCTION("""COMPUTED_VALUE"""),"AREPAS LA MARY")</f>
        <v>AREPAS LA MARY</v>
      </c>
      <c r="F7161" s="17" t="str">
        <f>IFERROR(__xludf.DUMMYFUNCTION("""COMPUTED_VALUE"""),"Calle 95 #71-75, Torre 1, Apto 2302 / PONTEVEDRA BOGOTA")</f>
        <v>Calle 95 #71-75, Torre 1, Apto 2302 / PONTEVEDRA BOGOTA</v>
      </c>
      <c r="G7161" s="15" t="str">
        <f>IFERROR(__xludf.DUMMYFUNCTION("""COMPUTED_VALUE"""),"LUIS PULIDO RUIZ")</f>
        <v>LUIS PULIDO RUIZ</v>
      </c>
      <c r="H7161" s="16">
        <f>IFERROR(__xludf.DUMMYFUNCTION("""COMPUTED_VALUE"""),15837.0)</f>
        <v>15837</v>
      </c>
      <c r="I7161" s="18">
        <f>IFERROR(__xludf.DUMMYFUNCTION("""COMPUTED_VALUE"""),89.0)</f>
        <v>89</v>
      </c>
      <c r="J7161" s="18">
        <f>IFERROR(__xludf.DUMMYFUNCTION("""COMPUTED_VALUE"""),1.0)</f>
        <v>1</v>
      </c>
      <c r="K7161" s="18">
        <f>IFERROR(__xludf.DUMMYFUNCTION("""COMPUTED_VALUE"""),10.0)</f>
        <v>10</v>
      </c>
      <c r="L7161" s="17">
        <f>IFERROR(__xludf.DUMMYFUNCTION("""COMPUTED_VALUE"""),3.103410181E9)</f>
        <v>3103410181</v>
      </c>
      <c r="M7161" s="17"/>
      <c r="N7161" s="17"/>
      <c r="O7161" s="17"/>
      <c r="P7161" s="17" t="b">
        <f>IFERROR(__xludf.DUMMYFUNCTION("""COMPUTED_VALUE"""),TRUE)</f>
        <v>1</v>
      </c>
      <c r="Q7161" s="20">
        <f>IFERROR(__xludf.DUMMYFUNCTION("""COMPUTED_VALUE"""),45203.72840302083)</f>
        <v>45203.7284</v>
      </c>
      <c r="R7161" s="22" t="str">
        <f>IFERROR(__xludf.DUMMYFUNCTION("""COMPUTED_VALUE"""),"")</f>
        <v/>
      </c>
    </row>
    <row r="7162">
      <c r="A7162" s="15">
        <f>IFERROR(__xludf.DUMMYFUNCTION("""COMPUTED_VALUE"""),45203.0)</f>
        <v>45203</v>
      </c>
      <c r="B7162" s="16" t="str">
        <f>IFERROR(__xludf.DUMMYFUNCTION("""COMPUTED_VALUE"""),"EASYMAIL S.A.S")</f>
        <v>EASYMAIL S.A.S</v>
      </c>
      <c r="C7162" s="15" t="str">
        <f>IFERROR(__xludf.DUMMYFUNCTION("""COMPUTED_VALUE"""),"BOGOTÁ")</f>
        <v>BOGOTÁ</v>
      </c>
      <c r="D7162" s="15" t="str">
        <f>IFERROR(__xludf.DUMMYFUNCTION("""COMPUTED_VALUE"""),"MEDELLÍN")</f>
        <v>MEDELLÍN</v>
      </c>
      <c r="E7162" s="15" t="str">
        <f>IFERROR(__xludf.DUMMYFUNCTION("""COMPUTED_VALUE"""),"AREPAS LA MARY")</f>
        <v>AREPAS LA MARY</v>
      </c>
      <c r="F7162" s="17" t="str">
        <f>IFERROR(__xludf.DUMMYFUNCTION("""COMPUTED_VALUE"""),"cra 24 B # 20 -04 sur / multifamiliares alfonso lopez bloque 12 apto 101")</f>
        <v>cra 24 B # 20 -04 sur / multifamiliares alfonso lopez bloque 12 apto 101</v>
      </c>
      <c r="G7162" s="15" t="str">
        <f>IFERROR(__xludf.DUMMYFUNCTION("""COMPUTED_VALUE"""),"yenny verdugo")</f>
        <v>yenny verdugo</v>
      </c>
      <c r="H7162" s="16">
        <f>IFERROR(__xludf.DUMMYFUNCTION("""COMPUTED_VALUE"""),15840.0)</f>
        <v>15840</v>
      </c>
      <c r="I7162" s="18">
        <f>IFERROR(__xludf.DUMMYFUNCTION("""COMPUTED_VALUE"""),89.0)</f>
        <v>89</v>
      </c>
      <c r="J7162" s="18">
        <f>IFERROR(__xludf.DUMMYFUNCTION("""COMPUTED_VALUE"""),1.0)</f>
        <v>1</v>
      </c>
      <c r="K7162" s="18">
        <f>IFERROR(__xludf.DUMMYFUNCTION("""COMPUTED_VALUE"""),10.0)</f>
        <v>10</v>
      </c>
      <c r="L7162" s="17">
        <f>IFERROR(__xludf.DUMMYFUNCTION("""COMPUTED_VALUE"""),3.115046691E9)</f>
        <v>3115046691</v>
      </c>
      <c r="M7162" s="17"/>
      <c r="N7162" s="17"/>
      <c r="O7162" s="17"/>
      <c r="P7162" s="17" t="b">
        <f>IFERROR(__xludf.DUMMYFUNCTION("""COMPUTED_VALUE"""),TRUE)</f>
        <v>1</v>
      </c>
      <c r="Q7162" s="20">
        <f>IFERROR(__xludf.DUMMYFUNCTION("""COMPUTED_VALUE"""),45203.53312645834)</f>
        <v>45203.53313</v>
      </c>
      <c r="R7162" s="22" t="str">
        <f>IFERROR(__xludf.DUMMYFUNCTION("""COMPUTED_VALUE"""),"")</f>
        <v/>
      </c>
    </row>
    <row r="7163">
      <c r="A7163" s="15">
        <f>IFERROR(__xludf.DUMMYFUNCTION("""COMPUTED_VALUE"""),45203.0)</f>
        <v>45203</v>
      </c>
      <c r="B7163" s="16" t="str">
        <f>IFERROR(__xludf.DUMMYFUNCTION("""COMPUTED_VALUE"""),"EASYMAIL S.A.S")</f>
        <v>EASYMAIL S.A.S</v>
      </c>
      <c r="C7163" s="15" t="str">
        <f>IFERROR(__xludf.DUMMYFUNCTION("""COMPUTED_VALUE"""),"BOGOTÁ")</f>
        <v>BOGOTÁ</v>
      </c>
      <c r="D7163" s="15" t="str">
        <f>IFERROR(__xludf.DUMMYFUNCTION("""COMPUTED_VALUE"""),"MEDELLÍN")</f>
        <v>MEDELLÍN</v>
      </c>
      <c r="E7163" s="15" t="str">
        <f>IFERROR(__xludf.DUMMYFUNCTION("""COMPUTED_VALUE"""),"AREPAS LA MARY")</f>
        <v>AREPAS LA MARY</v>
      </c>
      <c r="F7163" s="17" t="str">
        <f>IFERROR(__xludf.DUMMYFUNCTION("""COMPUTED_VALUE"""),"CRA 3D 54 A 50 APTO 303 / CHAPINERO BOGOTA")</f>
        <v>CRA 3D 54 A 50 APTO 303 / CHAPINERO BOGOTA</v>
      </c>
      <c r="G7163" s="15" t="str">
        <f>IFERROR(__xludf.DUMMYFUNCTION("""COMPUTED_VALUE"""),"ANGELA JOHANA MARTINEZ")</f>
        <v>ANGELA JOHANA MARTINEZ</v>
      </c>
      <c r="H7163" s="16">
        <f>IFERROR(__xludf.DUMMYFUNCTION("""COMPUTED_VALUE"""),15841.0)</f>
        <v>15841</v>
      </c>
      <c r="I7163" s="18">
        <f>IFERROR(__xludf.DUMMYFUNCTION("""COMPUTED_VALUE"""),89.0)</f>
        <v>89</v>
      </c>
      <c r="J7163" s="18">
        <f>IFERROR(__xludf.DUMMYFUNCTION("""COMPUTED_VALUE"""),1.0)</f>
        <v>1</v>
      </c>
      <c r="K7163" s="18">
        <f>IFERROR(__xludf.DUMMYFUNCTION("""COMPUTED_VALUE"""),10.0)</f>
        <v>10</v>
      </c>
      <c r="L7163" s="17">
        <f>IFERROR(__xludf.DUMMYFUNCTION("""COMPUTED_VALUE"""),3.175351101E9)</f>
        <v>3175351101</v>
      </c>
      <c r="M7163" s="17"/>
      <c r="N7163" s="17"/>
      <c r="O7163" s="17"/>
      <c r="P7163" s="17" t="b">
        <f>IFERROR(__xludf.DUMMYFUNCTION("""COMPUTED_VALUE"""),TRUE)</f>
        <v>1</v>
      </c>
      <c r="Q7163" s="20">
        <f>IFERROR(__xludf.DUMMYFUNCTION("""COMPUTED_VALUE"""),45204.386732847226)</f>
        <v>45204.38673</v>
      </c>
      <c r="R7163" s="22" t="str">
        <f>IFERROR(__xludf.DUMMYFUNCTION("""COMPUTED_VALUE"""),"")</f>
        <v/>
      </c>
    </row>
    <row r="7164">
      <c r="A7164" s="15">
        <f>IFERROR(__xludf.DUMMYFUNCTION("""COMPUTED_VALUE"""),45203.0)</f>
        <v>45203</v>
      </c>
      <c r="B7164" s="16" t="str">
        <f>IFERROR(__xludf.DUMMYFUNCTION("""COMPUTED_VALUE"""),"EASYMAIL S.A.S")</f>
        <v>EASYMAIL S.A.S</v>
      </c>
      <c r="C7164" s="15" t="str">
        <f>IFERROR(__xludf.DUMMYFUNCTION("""COMPUTED_VALUE"""),"BOGOTÁ")</f>
        <v>BOGOTÁ</v>
      </c>
      <c r="D7164" s="15" t="str">
        <f>IFERROR(__xludf.DUMMYFUNCTION("""COMPUTED_VALUE"""),"MEDELLÍN")</f>
        <v>MEDELLÍN</v>
      </c>
      <c r="E7164" s="15" t="str">
        <f>IFERROR(__xludf.DUMMYFUNCTION("""COMPUTED_VALUE"""),"Baby Chef")</f>
        <v>Baby Chef</v>
      </c>
      <c r="F7164" s="17" t="str">
        <f>IFERROR(__xludf.DUMMYFUNCTION("""COMPUTED_VALUE"""),"Barrio Nariño sur Calle 3 a # 8b-35 sur / Barrio Nariño sur Calle 3 a # 8b-35 sur / Barrio Nariño sur Calle 3 a # 8b-35 sur")</f>
        <v>Barrio Nariño sur Calle 3 a # 8b-35 sur / Barrio Nariño sur Calle 3 a # 8b-35 sur / Barrio Nariño sur Calle 3 a # 8b-35 sur</v>
      </c>
      <c r="G7164" s="15" t="str">
        <f>IFERROR(__xludf.DUMMYFUNCTION("""COMPUTED_VALUE"""),"Vanesa Dominguez")</f>
        <v>Vanesa Dominguez</v>
      </c>
      <c r="H7164" s="16">
        <f>IFERROR(__xludf.DUMMYFUNCTION("""COMPUTED_VALUE"""),15922.0)</f>
        <v>15922</v>
      </c>
      <c r="I7164" s="18">
        <f>IFERROR(__xludf.DUMMYFUNCTION("""COMPUTED_VALUE"""),5.0)</f>
        <v>5</v>
      </c>
      <c r="J7164" s="18">
        <f>IFERROR(__xludf.DUMMYFUNCTION("""COMPUTED_VALUE"""),22.0)</f>
        <v>22</v>
      </c>
      <c r="K7164" s="18">
        <f>IFERROR(__xludf.DUMMYFUNCTION("""COMPUTED_VALUE"""),22.0)</f>
        <v>22</v>
      </c>
      <c r="L7164" s="17">
        <f>IFERROR(__xludf.DUMMYFUNCTION("""COMPUTED_VALUE"""),3.219208081E9)</f>
        <v>3219208081</v>
      </c>
      <c r="M7164" s="17"/>
      <c r="N7164" s="17"/>
      <c r="O7164" s="17"/>
      <c r="P7164" s="17" t="b">
        <f>IFERROR(__xludf.DUMMYFUNCTION("""COMPUTED_VALUE"""),TRUE)</f>
        <v>1</v>
      </c>
      <c r="Q7164" s="20">
        <f>IFERROR(__xludf.DUMMYFUNCTION("""COMPUTED_VALUE"""),45204.386732858795)</f>
        <v>45204.38673</v>
      </c>
      <c r="R7164" s="22" t="str">
        <f>IFERROR(__xludf.DUMMYFUNCTION("""COMPUTED_VALUE"""),"")</f>
        <v/>
      </c>
    </row>
    <row r="7165">
      <c r="A7165" s="15">
        <f>IFERROR(__xludf.DUMMYFUNCTION("""COMPUTED_VALUE"""),45203.0)</f>
        <v>45203</v>
      </c>
      <c r="B7165" s="16" t="str">
        <f>IFERROR(__xludf.DUMMYFUNCTION("""COMPUTED_VALUE"""),"EASYMAIL S.A.S")</f>
        <v>EASYMAIL S.A.S</v>
      </c>
      <c r="C7165" s="15" t="str">
        <f>IFERROR(__xludf.DUMMYFUNCTION("""COMPUTED_VALUE"""),"BOGOTÁ")</f>
        <v>BOGOTÁ</v>
      </c>
      <c r="D7165" s="15" t="str">
        <f>IFERROR(__xludf.DUMMYFUNCTION("""COMPUTED_VALUE"""),"MEDELLÍN")</f>
        <v>MEDELLÍN</v>
      </c>
      <c r="E7165" s="15" t="str">
        <f>IFERROR(__xludf.DUMMYFUNCTION("""COMPUTED_VALUE"""),"Baby Chef")</f>
        <v>Baby Chef</v>
      </c>
      <c r="F7165" s="17" t="str">
        <f>IFERROR(__xludf.DUMMYFUNCTION("""COMPUTED_VALUE"""),"Calle 145 # 19 - 79 APTO 606 Edificio El Duero  Barrio Cedritos  / ""Calle 145 # 19 - 79 APTO 606 Edificio El Duero  Barrio Cedritos "" / ""Calle 145 # 19 - 79 APTO 606 Edificio El Duero  Barrio Cedritos """)</f>
        <v>Calle 145 # 19 - 79 APTO 606 Edificio El Duero  Barrio Cedritos  / "Calle 145 # 19 - 79 APTO 606 Edificio El Duero  Barrio Cedritos " / "Calle 145 # 19 - 79 APTO 606 Edificio El Duero  Barrio Cedritos "</v>
      </c>
      <c r="G7165" s="15" t="str">
        <f>IFERROR(__xludf.DUMMYFUNCTION("""COMPUTED_VALUE"""),"Laura Rivera")</f>
        <v>Laura Rivera</v>
      </c>
      <c r="H7165" s="16">
        <f>IFERROR(__xludf.DUMMYFUNCTION("""COMPUTED_VALUE"""),15926.0)</f>
        <v>15926</v>
      </c>
      <c r="I7165" s="18">
        <f>IFERROR(__xludf.DUMMYFUNCTION("""COMPUTED_VALUE"""),5.0)</f>
        <v>5</v>
      </c>
      <c r="J7165" s="18">
        <f>IFERROR(__xludf.DUMMYFUNCTION("""COMPUTED_VALUE"""),7.0)</f>
        <v>7</v>
      </c>
      <c r="K7165" s="18">
        <f>IFERROR(__xludf.DUMMYFUNCTION("""COMPUTED_VALUE"""),11.0)</f>
        <v>11</v>
      </c>
      <c r="L7165" s="17">
        <f>IFERROR(__xludf.DUMMYFUNCTION("""COMPUTED_VALUE"""),3.138342242E9)</f>
        <v>3138342242</v>
      </c>
      <c r="M7165" s="17"/>
      <c r="N7165" s="17"/>
      <c r="O7165" s="17"/>
      <c r="P7165" s="17" t="b">
        <f>IFERROR(__xludf.DUMMYFUNCTION("""COMPUTED_VALUE"""),FALSE)</f>
        <v>0</v>
      </c>
      <c r="Q7165" s="20" t="str">
        <f>IFERROR(__xludf.DUMMYFUNCTION("""COMPUTED_VALUE"""),"")</f>
        <v/>
      </c>
      <c r="R7165" s="22" t="str">
        <f>IFERROR(__xludf.DUMMYFUNCTION("""COMPUTED_VALUE"""),"")</f>
        <v/>
      </c>
    </row>
    <row r="7166">
      <c r="A7166" s="15">
        <f>IFERROR(__xludf.DUMMYFUNCTION("""COMPUTED_VALUE"""),45203.0)</f>
        <v>45203</v>
      </c>
      <c r="B7166" s="16" t="str">
        <f>IFERROR(__xludf.DUMMYFUNCTION("""COMPUTED_VALUE"""),"EASYMAIL S.A.S")</f>
        <v>EASYMAIL S.A.S</v>
      </c>
      <c r="C7166" s="15" t="str">
        <f>IFERROR(__xludf.DUMMYFUNCTION("""COMPUTED_VALUE"""),"BOGOTÁ")</f>
        <v>BOGOTÁ</v>
      </c>
      <c r="D7166" s="15" t="str">
        <f>IFERROR(__xludf.DUMMYFUNCTION("""COMPUTED_VALUE"""),"MEDELLÍN")</f>
        <v>MEDELLÍN</v>
      </c>
      <c r="E7166" s="15" t="str">
        <f>IFERROR(__xludf.DUMMYFUNCTION("""COMPUTED_VALUE"""),"Baby Chef")</f>
        <v>Baby Chef</v>
      </c>
      <c r="F7166" s="17" t="str">
        <f>IFERROR(__xludf.DUMMYFUNCTION("""COMPUTED_VALUE"""),"Calle 90# 9-32 edificio ocal apto 603 bogota  Chico norte / ""Calle 90# 9-32 edificio ocal apto 603 bogota  Chico norte"" / Calle 90# 9-32 edificio ocal apto 603 bogota  Chico norte")</f>
        <v>Calle 90# 9-32 edificio ocal apto 603 bogota  Chico norte / "Calle 90# 9-32 edificio ocal apto 603 bogota  Chico norte" / Calle 90# 9-32 edificio ocal apto 603 bogota  Chico norte</v>
      </c>
      <c r="G7166" s="15" t="str">
        <f>IFERROR(__xludf.DUMMYFUNCTION("""COMPUTED_VALUE"""),"Camila de Ureña")</f>
        <v>Camila de Ureña</v>
      </c>
      <c r="H7166" s="16">
        <f>IFERROR(__xludf.DUMMYFUNCTION("""COMPUTED_VALUE"""),15925.0)</f>
        <v>15925</v>
      </c>
      <c r="I7166" s="18">
        <f>IFERROR(__xludf.DUMMYFUNCTION("""COMPUTED_VALUE"""),5.0)</f>
        <v>5</v>
      </c>
      <c r="J7166" s="18">
        <f>IFERROR(__xludf.DUMMYFUNCTION("""COMPUTED_VALUE"""),24.0)</f>
        <v>24</v>
      </c>
      <c r="K7166" s="18">
        <f>IFERROR(__xludf.DUMMYFUNCTION("""COMPUTED_VALUE"""),20.0)</f>
        <v>20</v>
      </c>
      <c r="L7166" s="17">
        <f>IFERROR(__xludf.DUMMYFUNCTION("""COMPUTED_VALUE"""),3.114550715E9)</f>
        <v>3114550715</v>
      </c>
      <c r="M7166" s="17"/>
      <c r="N7166" s="17"/>
      <c r="O7166" s="17"/>
      <c r="P7166" s="17" t="b">
        <f>IFERROR(__xludf.DUMMYFUNCTION("""COMPUTED_VALUE"""),FALSE)</f>
        <v>0</v>
      </c>
      <c r="Q7166" s="20" t="str">
        <f>IFERROR(__xludf.DUMMYFUNCTION("""COMPUTED_VALUE"""),"")</f>
        <v/>
      </c>
      <c r="R7166" s="22" t="str">
        <f>IFERROR(__xludf.DUMMYFUNCTION("""COMPUTED_VALUE"""),"")</f>
        <v/>
      </c>
    </row>
    <row r="7167">
      <c r="A7167" s="15">
        <f>IFERROR(__xludf.DUMMYFUNCTION("""COMPUTED_VALUE"""),45203.0)</f>
        <v>45203</v>
      </c>
      <c r="B7167" s="16" t="str">
        <f>IFERROR(__xludf.DUMMYFUNCTION("""COMPUTED_VALUE"""),"EASYMAIL S.A.S")</f>
        <v>EASYMAIL S.A.S</v>
      </c>
      <c r="C7167" s="15" t="str">
        <f>IFERROR(__xludf.DUMMYFUNCTION("""COMPUTED_VALUE"""),"BOGOTÁ")</f>
        <v>BOGOTÁ</v>
      </c>
      <c r="D7167" s="15" t="str">
        <f>IFERROR(__xludf.DUMMYFUNCTION("""COMPUTED_VALUE"""),"MEDELLÍN")</f>
        <v>MEDELLÍN</v>
      </c>
      <c r="E7167" s="15" t="str">
        <f>IFERROR(__xludf.DUMMYFUNCTION("""COMPUTED_VALUE"""),"Baby Chef")</f>
        <v>Baby Chef</v>
      </c>
      <c r="F7167" s="17" t="str">
        <f>IFERROR(__xludf.DUMMYFUNCTION("""COMPUTED_VALUE"""),"Cra 118 86-20 Barrio el Cortijo, COnjunto los almendros Interior 30 apto 103 / Cra 118 86-20 Barrio el Cortijo, COnjunto los almendros Interior 30 apto 103 / Cra 118 86-20 Barrio el Cortijo, COnjunto los almendros Interior 30 apto 103")</f>
        <v>Cra 118 86-20 Barrio el Cortijo, COnjunto los almendros Interior 30 apto 103 / Cra 118 86-20 Barrio el Cortijo, COnjunto los almendros Interior 30 apto 103 / Cra 118 86-20 Barrio el Cortijo, COnjunto los almendros Interior 30 apto 103</v>
      </c>
      <c r="G7167" s="15" t="str">
        <f>IFERROR(__xludf.DUMMYFUNCTION("""COMPUTED_VALUE"""),"Shirley Roldán")</f>
        <v>Shirley Roldán</v>
      </c>
      <c r="H7167" s="16">
        <f>IFERROR(__xludf.DUMMYFUNCTION("""COMPUTED_VALUE"""),15924.0)</f>
        <v>15924</v>
      </c>
      <c r="I7167" s="18">
        <f>IFERROR(__xludf.DUMMYFUNCTION("""COMPUTED_VALUE"""),12.0)</f>
        <v>12</v>
      </c>
      <c r="J7167" s="18">
        <f>IFERROR(__xludf.DUMMYFUNCTION("""COMPUTED_VALUE"""),21.0)</f>
        <v>21</v>
      </c>
      <c r="K7167" s="18">
        <f>IFERROR(__xludf.DUMMYFUNCTION("""COMPUTED_VALUE"""),36.0)</f>
        <v>36</v>
      </c>
      <c r="L7167" s="17">
        <f>IFERROR(__xludf.DUMMYFUNCTION("""COMPUTED_VALUE"""),3.016725674E9)</f>
        <v>3016725674</v>
      </c>
      <c r="M7167" s="17"/>
      <c r="N7167" s="17"/>
      <c r="O7167" s="17"/>
      <c r="P7167" s="17" t="b">
        <f>IFERROR(__xludf.DUMMYFUNCTION("""COMPUTED_VALUE"""),FALSE)</f>
        <v>0</v>
      </c>
      <c r="Q7167" s="20" t="str">
        <f>IFERROR(__xludf.DUMMYFUNCTION("""COMPUTED_VALUE"""),"")</f>
        <v/>
      </c>
      <c r="R7167" s="22" t="str">
        <f>IFERROR(__xludf.DUMMYFUNCTION("""COMPUTED_VALUE"""),"")</f>
        <v/>
      </c>
    </row>
    <row r="7168">
      <c r="A7168" s="15">
        <f>IFERROR(__xludf.DUMMYFUNCTION("""COMPUTED_VALUE"""),45203.0)</f>
        <v>45203</v>
      </c>
      <c r="B7168" s="16" t="str">
        <f>IFERROR(__xludf.DUMMYFUNCTION("""COMPUTED_VALUE"""),"EASYMAIL S.A.S")</f>
        <v>EASYMAIL S.A.S</v>
      </c>
      <c r="C7168" s="15" t="str">
        <f>IFERROR(__xludf.DUMMYFUNCTION("""COMPUTED_VALUE"""),"BOGOTÁ")</f>
        <v>BOGOTÁ</v>
      </c>
      <c r="D7168" s="15" t="str">
        <f>IFERROR(__xludf.DUMMYFUNCTION("""COMPUTED_VALUE"""),"MEDELLÍN")</f>
        <v>MEDELLÍN</v>
      </c>
      <c r="E7168" s="15" t="str">
        <f>IFERROR(__xludf.DUMMYFUNCTION("""COMPUTED_VALUE"""),"Baby Chef")</f>
        <v>Baby Chef</v>
      </c>
      <c r="F7168" s="17" t="str">
        <f>IFERROR(__xludf.DUMMYFUNCTION("""COMPUTED_VALUE"""),"transversal 78h#43a-31 sur  Barrio onassis Kennedy / transversal 78h#43a-31 sur  Barrio onassis Kennedy / transversal 78h#43a-31 sur  Barrio onassis Kennedy")</f>
        <v>transversal 78h#43a-31 sur  Barrio onassis Kennedy / transversal 78h#43a-31 sur  Barrio onassis Kennedy / transversal 78h#43a-31 sur  Barrio onassis Kennedy</v>
      </c>
      <c r="G7168" s="15" t="str">
        <f>IFERROR(__xludf.DUMMYFUNCTION("""COMPUTED_VALUE"""),"Lina Ramírez")</f>
        <v>Lina Ramírez</v>
      </c>
      <c r="H7168" s="16">
        <f>IFERROR(__xludf.DUMMYFUNCTION("""COMPUTED_VALUE"""),15923.0)</f>
        <v>15923</v>
      </c>
      <c r="I7168" s="18">
        <f>IFERROR(__xludf.DUMMYFUNCTION("""COMPUTED_VALUE"""),5.0)</f>
        <v>5</v>
      </c>
      <c r="J7168" s="18">
        <f>IFERROR(__xludf.DUMMYFUNCTION("""COMPUTED_VALUE"""),21.0)</f>
        <v>21</v>
      </c>
      <c r="K7168" s="18">
        <f>IFERROR(__xludf.DUMMYFUNCTION("""COMPUTED_VALUE"""),20.0)</f>
        <v>20</v>
      </c>
      <c r="L7168" s="17">
        <f>IFERROR(__xludf.DUMMYFUNCTION("""COMPUTED_VALUE"""),3.204866842E9)</f>
        <v>3204866842</v>
      </c>
      <c r="M7168" s="17"/>
      <c r="N7168" s="17"/>
      <c r="O7168" s="17"/>
      <c r="P7168" s="17" t="b">
        <f>IFERROR(__xludf.DUMMYFUNCTION("""COMPUTED_VALUE"""),FALSE)</f>
        <v>0</v>
      </c>
      <c r="Q7168" s="20" t="str">
        <f>IFERROR(__xludf.DUMMYFUNCTION("""COMPUTED_VALUE"""),"")</f>
        <v/>
      </c>
      <c r="R7168" s="22" t="str">
        <f>IFERROR(__xludf.DUMMYFUNCTION("""COMPUTED_VALUE"""),"")</f>
        <v/>
      </c>
    </row>
    <row r="7169">
      <c r="A7169" s="15">
        <f>IFERROR(__xludf.DUMMYFUNCTION("""COMPUTED_VALUE"""),45203.0)</f>
        <v>45203</v>
      </c>
      <c r="B7169" s="16" t="str">
        <f>IFERROR(__xludf.DUMMYFUNCTION("""COMPUTED_VALUE"""),"EASYMAIL S.A.S")</f>
        <v>EASYMAIL S.A.S</v>
      </c>
      <c r="C7169" s="15" t="str">
        <f>IFERROR(__xludf.DUMMYFUNCTION("""COMPUTED_VALUE"""),"BOGOTÁ")</f>
        <v>BOGOTÁ</v>
      </c>
      <c r="D7169" s="15" t="str">
        <f>IFERROR(__xludf.DUMMYFUNCTION("""COMPUTED_VALUE"""),"MEDELLÍN")</f>
        <v>MEDELLÍN</v>
      </c>
      <c r="E7169" s="15" t="str">
        <f>IFERROR(__xludf.DUMMYFUNCTION("""COMPUTED_VALUE"""),"Felicidad Bakery Bogotá")</f>
        <v>Felicidad Bakery Bogotá</v>
      </c>
      <c r="F7169" s="17" t="str">
        <f>IFERROR(__xludf.DUMMYFUNCTION("""COMPUTED_VALUE"""),"Calle 92 15-62 / Local 103 / Ed centro chico")</f>
        <v>Calle 92 15-62 / Local 103 / Ed centro chico</v>
      </c>
      <c r="G7169" s="15" t="str">
        <f>IFERROR(__xludf.DUMMYFUNCTION("""COMPUTED_VALUE"""),"Camilo hernandez")</f>
        <v>Camilo hernandez</v>
      </c>
      <c r="H7169" s="16">
        <f>IFERROR(__xludf.DUMMYFUNCTION("""COMPUTED_VALUE"""),15917.0)</f>
        <v>15917</v>
      </c>
      <c r="I7169" s="18">
        <f>IFERROR(__xludf.DUMMYFUNCTION("""COMPUTED_VALUE"""),1.0)</f>
        <v>1</v>
      </c>
      <c r="J7169" s="18">
        <f>IFERROR(__xludf.DUMMYFUNCTION("""COMPUTED_VALUE"""),1.0)</f>
        <v>1</v>
      </c>
      <c r="K7169" s="18">
        <f>IFERROR(__xludf.DUMMYFUNCTION("""COMPUTED_VALUE"""),1.0)</f>
        <v>1</v>
      </c>
      <c r="L7169" s="17">
        <f>IFERROR(__xludf.DUMMYFUNCTION("""COMPUTED_VALUE"""),3.013527163E9)</f>
        <v>3013527163</v>
      </c>
      <c r="M7169" s="17"/>
      <c r="N7169" s="17"/>
      <c r="O7169" s="17"/>
      <c r="P7169" s="17" t="b">
        <f>IFERROR(__xludf.DUMMYFUNCTION("""COMPUTED_VALUE"""),FALSE)</f>
        <v>0</v>
      </c>
      <c r="Q7169" s="20" t="str">
        <f>IFERROR(__xludf.DUMMYFUNCTION("""COMPUTED_VALUE"""),"")</f>
        <v/>
      </c>
      <c r="R7169" s="22" t="str">
        <f>IFERROR(__xludf.DUMMYFUNCTION("""COMPUTED_VALUE"""),"")</f>
        <v/>
      </c>
    </row>
    <row r="7170">
      <c r="A7170" s="15">
        <f>IFERROR(__xludf.DUMMYFUNCTION("""COMPUTED_VALUE"""),45203.0)</f>
        <v>45203</v>
      </c>
      <c r="B7170" s="16" t="str">
        <f>IFERROR(__xludf.DUMMYFUNCTION("""COMPUTED_VALUE"""),"EASYMAIL S.A.S")</f>
        <v>EASYMAIL S.A.S</v>
      </c>
      <c r="C7170" s="15" t="str">
        <f>IFERROR(__xludf.DUMMYFUNCTION("""COMPUTED_VALUE"""),"BOGOTÁ")</f>
        <v>BOGOTÁ</v>
      </c>
      <c r="D7170" s="15" t="str">
        <f>IFERROR(__xludf.DUMMYFUNCTION("""COMPUTED_VALUE"""),"MEDELLÍN")</f>
        <v>MEDELLÍN</v>
      </c>
      <c r="E7170" s="15" t="str">
        <f>IFERROR(__xludf.DUMMYFUNCTION("""COMPUTED_VALUE"""),"Lácteos El Pino SAS")</f>
        <v>Lácteos El Pino SAS</v>
      </c>
      <c r="F7170" s="17" t="str">
        <f>IFERROR(__xludf.DUMMYFUNCTION("""COMPUTED_VALUE"""),"CALLE 24A #57-60 / RECIBO EN ZONA DE CARGA POR EL DEPRIMIDO- COMPRAS")</f>
        <v>CALLE 24A #57-60 / RECIBO EN ZONA DE CARGA POR EL DEPRIMIDO- COMPRAS</v>
      </c>
      <c r="G7170" s="15" t="str">
        <f>IFERROR(__xludf.DUMMYFUNCTION("""COMPUTED_VALUE"""),"HOTEL GRAND HYATT BOGOTA")</f>
        <v>HOTEL GRAND HYATT BOGOTA</v>
      </c>
      <c r="H7170" s="16">
        <f>IFERROR(__xludf.DUMMYFUNCTION("""COMPUTED_VALUE"""),15839.0)</f>
        <v>15839</v>
      </c>
      <c r="I7170" s="18">
        <f>IFERROR(__xludf.DUMMYFUNCTION("""COMPUTED_VALUE"""),33.0)</f>
        <v>33</v>
      </c>
      <c r="J7170" s="18">
        <f>IFERROR(__xludf.DUMMYFUNCTION("""COMPUTED_VALUE"""),22.0)</f>
        <v>22</v>
      </c>
      <c r="K7170" s="18">
        <f>IFERROR(__xludf.DUMMYFUNCTION("""COMPUTED_VALUE"""),36.0)</f>
        <v>36</v>
      </c>
      <c r="L7170" s="17">
        <f>IFERROR(__xludf.DUMMYFUNCTION("""COMPUTED_VALUE"""),3.203093705E9)</f>
        <v>3203093705</v>
      </c>
      <c r="M7170" s="17"/>
      <c r="N7170" s="17"/>
      <c r="O7170" s="17"/>
      <c r="P7170" s="17" t="b">
        <f>IFERROR(__xludf.DUMMYFUNCTION("""COMPUTED_VALUE"""),FALSE)</f>
        <v>0</v>
      </c>
      <c r="Q7170" s="20" t="str">
        <f>IFERROR(__xludf.DUMMYFUNCTION("""COMPUTED_VALUE"""),"")</f>
        <v/>
      </c>
      <c r="R7170" s="22" t="str">
        <f>IFERROR(__xludf.DUMMYFUNCTION("""COMPUTED_VALUE"""),"")</f>
        <v/>
      </c>
    </row>
    <row r="7171">
      <c r="A7171" s="15">
        <f>IFERROR(__xludf.DUMMYFUNCTION("""COMPUTED_VALUE"""),45203.0)</f>
        <v>45203</v>
      </c>
      <c r="B7171" s="16" t="str">
        <f>IFERROR(__xludf.DUMMYFUNCTION("""COMPUTED_VALUE"""),"EASYMAIL S.A.S")</f>
        <v>EASYMAIL S.A.S</v>
      </c>
      <c r="C7171" s="15" t="str">
        <f>IFERROR(__xludf.DUMMYFUNCTION("""COMPUTED_VALUE"""),"BOGOTÁ")</f>
        <v>BOGOTÁ</v>
      </c>
      <c r="D7171" s="15" t="str">
        <f>IFERROR(__xludf.DUMMYFUNCTION("""COMPUTED_VALUE"""),"MEDELLÍN")</f>
        <v>MEDELLÍN</v>
      </c>
      <c r="E7171" s="15" t="str">
        <f>IFERROR(__xludf.DUMMYFUNCTION("""COMPUTED_VALUE"""),"Moloso S.A.S")</f>
        <v>Moloso S.A.S</v>
      </c>
      <c r="F7171" s="17" t="str">
        <f>IFERROR(__xludf.DUMMYFUNCTION("""COMPUTED_VALUE"""),"CARRERA 10 B # 135 A- 20/APTO 301 /EGAVE / ED AGAVE  AP 301")</f>
        <v>CARRERA 10 B # 135 A- 20/APTO 301 /EGAVE / ED AGAVE  AP 301</v>
      </c>
      <c r="G7171" s="15" t="str">
        <f>IFERROR(__xludf.DUMMYFUNCTION("""COMPUTED_VALUE"""),"ALEJANDRA MARIA QUIÑONES")</f>
        <v>ALEJANDRA MARIA QUIÑONES</v>
      </c>
      <c r="H7171" s="16">
        <f>IFERROR(__xludf.DUMMYFUNCTION("""COMPUTED_VALUE"""),15906.0)</f>
        <v>15906</v>
      </c>
      <c r="I7171" s="18">
        <f>IFERROR(__xludf.DUMMYFUNCTION("""COMPUTED_VALUE"""),17.0)</f>
        <v>17</v>
      </c>
      <c r="J7171" s="18">
        <f>IFERROR(__xludf.DUMMYFUNCTION("""COMPUTED_VALUE"""),15.0)</f>
        <v>15</v>
      </c>
      <c r="K7171" s="18">
        <f>IFERROR(__xludf.DUMMYFUNCTION("""COMPUTED_VALUE"""),28.0)</f>
        <v>28</v>
      </c>
      <c r="L7171" s="17" t="str">
        <f>IFERROR(__xludf.DUMMYFUNCTION("""COMPUTED_VALUE"""),"317 6391522")</f>
        <v>317 6391522</v>
      </c>
      <c r="M7171" s="17"/>
      <c r="N7171" s="17"/>
      <c r="O7171" s="17"/>
      <c r="P7171" s="17" t="b">
        <f>IFERROR(__xludf.DUMMYFUNCTION("""COMPUTED_VALUE"""),FALSE)</f>
        <v>0</v>
      </c>
      <c r="Q7171" s="20" t="str">
        <f>IFERROR(__xludf.DUMMYFUNCTION("""COMPUTED_VALUE"""),"")</f>
        <v/>
      </c>
      <c r="R7171" s="22" t="str">
        <f>IFERROR(__xludf.DUMMYFUNCTION("""COMPUTED_VALUE"""),"")</f>
        <v/>
      </c>
    </row>
    <row r="7172">
      <c r="A7172" s="15">
        <f>IFERROR(__xludf.DUMMYFUNCTION("""COMPUTED_VALUE"""),45203.0)</f>
        <v>45203</v>
      </c>
      <c r="B7172" s="16" t="str">
        <f>IFERROR(__xludf.DUMMYFUNCTION("""COMPUTED_VALUE"""),"EASYMAIL S.A.S")</f>
        <v>EASYMAIL S.A.S</v>
      </c>
      <c r="C7172" s="15" t="str">
        <f>IFERROR(__xludf.DUMMYFUNCTION("""COMPUTED_VALUE"""),"BOGOTÁ")</f>
        <v>BOGOTÁ</v>
      </c>
      <c r="D7172" s="15" t="str">
        <f>IFERROR(__xludf.DUMMYFUNCTION("""COMPUTED_VALUE"""),"MEDELLÍN")</f>
        <v>MEDELLÍN</v>
      </c>
      <c r="E7172" s="15" t="str">
        <f>IFERROR(__xludf.DUMMYFUNCTION("""COMPUTED_VALUE"""),"Moloso S.A.S")</f>
        <v>Moloso S.A.S</v>
      </c>
      <c r="F7172" s="17" t="str">
        <f>IFERROR(__xludf.DUMMYFUNCTION("""COMPUTED_VALUE"""),"CARRERA 10 B # 135 A- 20/APTO 301 /EGAVE / ED AGAVE  AP 301")</f>
        <v>CARRERA 10 B # 135 A- 20/APTO 301 /EGAVE / ED AGAVE  AP 301</v>
      </c>
      <c r="G7172" s="15" t="str">
        <f>IFERROR(__xludf.DUMMYFUNCTION("""COMPUTED_VALUE"""),"ALEJANDRA MARIA QUIÑONES")</f>
        <v>ALEJANDRA MARIA QUIÑONES</v>
      </c>
      <c r="H7172" s="16">
        <f>IFERROR(__xludf.DUMMYFUNCTION("""COMPUTED_VALUE"""),15907.0)</f>
        <v>15907</v>
      </c>
      <c r="I7172" s="18">
        <f>IFERROR(__xludf.DUMMYFUNCTION("""COMPUTED_VALUE"""),17.0)</f>
        <v>17</v>
      </c>
      <c r="J7172" s="18">
        <f>IFERROR(__xludf.DUMMYFUNCTION("""COMPUTED_VALUE"""),15.0)</f>
        <v>15</v>
      </c>
      <c r="K7172" s="18">
        <f>IFERROR(__xludf.DUMMYFUNCTION("""COMPUTED_VALUE"""),28.0)</f>
        <v>28</v>
      </c>
      <c r="L7172" s="17" t="str">
        <f>IFERROR(__xludf.DUMMYFUNCTION("""COMPUTED_VALUE"""),"317 6391522")</f>
        <v>317 6391522</v>
      </c>
      <c r="M7172" s="17"/>
      <c r="N7172" s="17"/>
      <c r="O7172" s="17"/>
      <c r="P7172" s="17" t="b">
        <f>IFERROR(__xludf.DUMMYFUNCTION("""COMPUTED_VALUE"""),FALSE)</f>
        <v>0</v>
      </c>
      <c r="Q7172" s="20" t="str">
        <f>IFERROR(__xludf.DUMMYFUNCTION("""COMPUTED_VALUE"""),"")</f>
        <v/>
      </c>
      <c r="R7172" s="22" t="str">
        <f>IFERROR(__xludf.DUMMYFUNCTION("""COMPUTED_VALUE"""),"")</f>
        <v/>
      </c>
    </row>
    <row r="7173">
      <c r="A7173" s="15">
        <f>IFERROR(__xludf.DUMMYFUNCTION("""COMPUTED_VALUE"""),45203.0)</f>
        <v>45203</v>
      </c>
      <c r="B7173" s="16" t="str">
        <f>IFERROR(__xludf.DUMMYFUNCTION("""COMPUTED_VALUE"""),"EASYMAIL S.A.S")</f>
        <v>EASYMAIL S.A.S</v>
      </c>
      <c r="C7173" s="15" t="str">
        <f>IFERROR(__xludf.DUMMYFUNCTION("""COMPUTED_VALUE"""),"BOGOTÁ")</f>
        <v>BOGOTÁ</v>
      </c>
      <c r="D7173" s="15" t="str">
        <f>IFERROR(__xludf.DUMMYFUNCTION("""COMPUTED_VALUE"""),"MEDELLÍN")</f>
        <v>MEDELLÍN</v>
      </c>
      <c r="E7173" s="15" t="str">
        <f>IFERROR(__xludf.DUMMYFUNCTION("""COMPUTED_VALUE"""),"Moloso S.A.S")</f>
        <v>Moloso S.A.S</v>
      </c>
      <c r="F7173" s="17" t="str">
        <f>IFERROR(__xludf.DUMMYFUNCTION("""COMPUTED_VALUE"""),"CL 90 9A 51 ED MT3 AP 403 / ED MT3 AP 403")</f>
        <v>CL 90 9A 51 ED MT3 AP 403 / ED MT3 AP 403</v>
      </c>
      <c r="G7173" s="15" t="str">
        <f>IFERROR(__xludf.DUMMYFUNCTION("""COMPUTED_VALUE"""),"MARIA XIMENA GUZMAN DEL CASTILLO")</f>
        <v>MARIA XIMENA GUZMAN DEL CASTILLO</v>
      </c>
      <c r="H7173" s="16">
        <f>IFERROR(__xludf.DUMMYFUNCTION("""COMPUTED_VALUE"""),15909.0)</f>
        <v>15909</v>
      </c>
      <c r="I7173" s="18">
        <f>IFERROR(__xludf.DUMMYFUNCTION("""COMPUTED_VALUE"""),17.0)</f>
        <v>17</v>
      </c>
      <c r="J7173" s="18">
        <f>IFERROR(__xludf.DUMMYFUNCTION("""COMPUTED_VALUE"""),15.0)</f>
        <v>15</v>
      </c>
      <c r="K7173" s="18">
        <f>IFERROR(__xludf.DUMMYFUNCTION("""COMPUTED_VALUE"""),28.0)</f>
        <v>28</v>
      </c>
      <c r="L7173" s="17" t="str">
        <f>IFERROR(__xludf.DUMMYFUNCTION("""COMPUTED_VALUE"""),"311 2848381")</f>
        <v>311 2848381</v>
      </c>
      <c r="M7173" s="17"/>
      <c r="N7173" s="17"/>
      <c r="O7173" s="17"/>
      <c r="P7173" s="17" t="b">
        <f>IFERROR(__xludf.DUMMYFUNCTION("""COMPUTED_VALUE"""),FALSE)</f>
        <v>0</v>
      </c>
      <c r="Q7173" s="20" t="str">
        <f>IFERROR(__xludf.DUMMYFUNCTION("""COMPUTED_VALUE"""),"")</f>
        <v/>
      </c>
      <c r="R7173" s="22" t="str">
        <f>IFERROR(__xludf.DUMMYFUNCTION("""COMPUTED_VALUE"""),"")</f>
        <v/>
      </c>
    </row>
    <row r="7174">
      <c r="A7174" s="15">
        <f>IFERROR(__xludf.DUMMYFUNCTION("""COMPUTED_VALUE"""),45203.0)</f>
        <v>45203</v>
      </c>
      <c r="B7174" s="16" t="str">
        <f>IFERROR(__xludf.DUMMYFUNCTION("""COMPUTED_VALUE"""),"EASYMAIL S.A.S")</f>
        <v>EASYMAIL S.A.S</v>
      </c>
      <c r="C7174" s="15" t="str">
        <f>IFERROR(__xludf.DUMMYFUNCTION("""COMPUTED_VALUE"""),"BOGOTÁ")</f>
        <v>BOGOTÁ</v>
      </c>
      <c r="D7174" s="15" t="str">
        <f>IFERROR(__xludf.DUMMYFUNCTION("""COMPUTED_VALUE"""),"MEDELLÍN")</f>
        <v>MEDELLÍN</v>
      </c>
      <c r="E7174" s="15" t="str">
        <f>IFERROR(__xludf.DUMMYFUNCTION("""COMPUTED_VALUE"""),"Moloso S.A.S")</f>
        <v>Moloso S.A.S</v>
      </c>
      <c r="F7174" s="17" t="str">
        <f>IFERROR(__xludf.DUMMYFUNCTION("""COMPUTED_VALUE"""),"CR 71B BIS 12 60 CONJUNTO RESIDENCIAL ALMANZA TORRE 3 AP 401 / CONJUNTO RESIDENCIAL ALMANZA TORRE 3 AP 401")</f>
        <v>CR 71B BIS 12 60 CONJUNTO RESIDENCIAL ALMANZA TORRE 3 AP 401 / CONJUNTO RESIDENCIAL ALMANZA TORRE 3 AP 401</v>
      </c>
      <c r="G7174" s="15" t="str">
        <f>IFERROR(__xludf.DUMMYFUNCTION("""COMPUTED_VALUE"""),"DAVID PULIDO ROMERO")</f>
        <v>DAVID PULIDO ROMERO</v>
      </c>
      <c r="H7174" s="16">
        <f>IFERROR(__xludf.DUMMYFUNCTION("""COMPUTED_VALUE"""),15908.0)</f>
        <v>15908</v>
      </c>
      <c r="I7174" s="18">
        <f>IFERROR(__xludf.DUMMYFUNCTION("""COMPUTED_VALUE"""),17.0)</f>
        <v>17</v>
      </c>
      <c r="J7174" s="18">
        <f>IFERROR(__xludf.DUMMYFUNCTION("""COMPUTED_VALUE"""),15.0)</f>
        <v>15</v>
      </c>
      <c r="K7174" s="18">
        <f>IFERROR(__xludf.DUMMYFUNCTION("""COMPUTED_VALUE"""),28.0)</f>
        <v>28</v>
      </c>
      <c r="L7174" s="17">
        <f>IFERROR(__xludf.DUMMYFUNCTION("""COMPUTED_VALUE"""),3.053165403E9)</f>
        <v>3053165403</v>
      </c>
      <c r="M7174" s="17"/>
      <c r="N7174" s="17"/>
      <c r="O7174" s="17"/>
      <c r="P7174" s="17" t="b">
        <f>IFERROR(__xludf.DUMMYFUNCTION("""COMPUTED_VALUE"""),FALSE)</f>
        <v>0</v>
      </c>
      <c r="Q7174" s="20" t="str">
        <f>IFERROR(__xludf.DUMMYFUNCTION("""COMPUTED_VALUE"""),"")</f>
        <v/>
      </c>
      <c r="R7174" s="22" t="str">
        <f>IFERROR(__xludf.DUMMYFUNCTION("""COMPUTED_VALUE"""),"")</f>
        <v/>
      </c>
    </row>
    <row r="7175">
      <c r="A7175" s="15">
        <f>IFERROR(__xludf.DUMMYFUNCTION("""COMPUTED_VALUE"""),45203.0)</f>
        <v>45203</v>
      </c>
      <c r="B7175" s="16" t="str">
        <f>IFERROR(__xludf.DUMMYFUNCTION("""COMPUTED_VALUE"""),"EASYMAIL S.A.S")</f>
        <v>EASYMAIL S.A.S</v>
      </c>
      <c r="C7175" s="15" t="str">
        <f>IFERROR(__xludf.DUMMYFUNCTION("""COMPUTED_VALUE"""),"BOGOTÁ")</f>
        <v>BOGOTÁ</v>
      </c>
      <c r="D7175" s="15" t="str">
        <f>IFERROR(__xludf.DUMMYFUNCTION("""COMPUTED_VALUE"""),"MEDELLÍN")</f>
        <v>MEDELLÍN</v>
      </c>
      <c r="E7175" s="15" t="str">
        <f>IFERROR(__xludf.DUMMYFUNCTION("""COMPUTED_VALUE"""),"Moloso S.A.S")</f>
        <v>Moloso S.A.S</v>
      </c>
      <c r="F7175" s="17" t="str">
        <f>IFERROR(__xludf.DUMMYFUNCTION("""COMPUTED_VALUE"""),"CRR 6 123A 12 / Torre 6 Apto 201 ENTREMONTES")</f>
        <v>CRR 6 123A 12 / Torre 6 Apto 201 ENTREMONTES</v>
      </c>
      <c r="G7175" s="15" t="str">
        <f>IFERROR(__xludf.DUMMYFUNCTION("""COMPUTED_VALUE"""),"MARCELA ARENAS SANIN")</f>
        <v>MARCELA ARENAS SANIN</v>
      </c>
      <c r="H7175" s="16">
        <f>IFERROR(__xludf.DUMMYFUNCTION("""COMPUTED_VALUE"""),15910.0)</f>
        <v>15910</v>
      </c>
      <c r="I7175" s="18">
        <f>IFERROR(__xludf.DUMMYFUNCTION("""COMPUTED_VALUE"""),17.0)</f>
        <v>17</v>
      </c>
      <c r="J7175" s="18">
        <f>IFERROR(__xludf.DUMMYFUNCTION("""COMPUTED_VALUE"""),15.0)</f>
        <v>15</v>
      </c>
      <c r="K7175" s="18">
        <f>IFERROR(__xludf.DUMMYFUNCTION("""COMPUTED_VALUE"""),28.0)</f>
        <v>28</v>
      </c>
      <c r="L7175" s="17" t="str">
        <f>IFERROR(__xludf.DUMMYFUNCTION("""COMPUTED_VALUE"""),"317 4008085")</f>
        <v>317 4008085</v>
      </c>
      <c r="M7175" s="17"/>
      <c r="N7175" s="17"/>
      <c r="O7175" s="17"/>
      <c r="P7175" s="17" t="b">
        <f>IFERROR(__xludf.DUMMYFUNCTION("""COMPUTED_VALUE"""),FALSE)</f>
        <v>0</v>
      </c>
      <c r="Q7175" s="20" t="str">
        <f>IFERROR(__xludf.DUMMYFUNCTION("""COMPUTED_VALUE"""),"")</f>
        <v/>
      </c>
      <c r="R7175" s="22" t="str">
        <f>IFERROR(__xludf.DUMMYFUNCTION("""COMPUTED_VALUE"""),"")</f>
        <v/>
      </c>
    </row>
    <row r="7176">
      <c r="A7176" s="15">
        <f>IFERROR(__xludf.DUMMYFUNCTION("""COMPUTED_VALUE"""),45203.0)</f>
        <v>45203</v>
      </c>
      <c r="B7176" s="16" t="str">
        <f>IFERROR(__xludf.DUMMYFUNCTION("""COMPUTED_VALUE"""),"EASYMAIL S.A.S")</f>
        <v>EASYMAIL S.A.S</v>
      </c>
      <c r="C7176" s="15" t="str">
        <f>IFERROR(__xludf.DUMMYFUNCTION("""COMPUTED_VALUE"""),"BOGOTÁ")</f>
        <v>BOGOTÁ</v>
      </c>
      <c r="D7176" s="15" t="str">
        <f>IFERROR(__xludf.DUMMYFUNCTION("""COMPUTED_VALUE"""),"MEDELLÍN")</f>
        <v>MEDELLÍN</v>
      </c>
      <c r="E7176" s="15" t="str">
        <f>IFERROR(__xludf.DUMMYFUNCTION("""COMPUTED_VALUE"""),"Pan de Waffle")</f>
        <v>Pan de Waffle</v>
      </c>
      <c r="F7176" s="17" t="str">
        <f>IFERROR(__xludf.DUMMYFUNCTION("""COMPUTED_VALUE"""),"Calle 120a 3a-45 / Calle 120a 3a-45 / Calle 120a 3a-45")</f>
        <v>Calle 120a 3a-45 / Calle 120a 3a-45 / Calle 120a 3a-45</v>
      </c>
      <c r="G7176" s="15" t="str">
        <f>IFERROR(__xludf.DUMMYFUNCTION("""COMPUTED_VALUE"""),"Pandewaffle")</f>
        <v>Pandewaffle</v>
      </c>
      <c r="H7176" s="16">
        <f>IFERROR(__xludf.DUMMYFUNCTION("""COMPUTED_VALUE"""),15951.0)</f>
        <v>15951</v>
      </c>
      <c r="I7176" s="18">
        <f>IFERROR(__xludf.DUMMYFUNCTION("""COMPUTED_VALUE"""),30.0)</f>
        <v>30</v>
      </c>
      <c r="J7176" s="18">
        <f>IFERROR(__xludf.DUMMYFUNCTION("""COMPUTED_VALUE"""),40.0)</f>
        <v>40</v>
      </c>
      <c r="K7176" s="18">
        <f>IFERROR(__xludf.DUMMYFUNCTION("""COMPUTED_VALUE"""),30.0)</f>
        <v>30</v>
      </c>
      <c r="L7176" s="17">
        <f>IFERROR(__xludf.DUMMYFUNCTION("""COMPUTED_VALUE"""),3.20865426E9)</f>
        <v>3208654260</v>
      </c>
      <c r="M7176" s="17"/>
      <c r="N7176" s="17"/>
      <c r="O7176" s="17"/>
      <c r="P7176" s="17" t="b">
        <f>IFERROR(__xludf.DUMMYFUNCTION("""COMPUTED_VALUE"""),FALSE)</f>
        <v>0</v>
      </c>
      <c r="Q7176" s="20" t="str">
        <f>IFERROR(__xludf.DUMMYFUNCTION("""COMPUTED_VALUE"""),"")</f>
        <v/>
      </c>
      <c r="R7176" s="22" t="str">
        <f>IFERROR(__xludf.DUMMYFUNCTION("""COMPUTED_VALUE"""),"")</f>
        <v/>
      </c>
    </row>
    <row r="7177">
      <c r="A7177" s="15">
        <f>IFERROR(__xludf.DUMMYFUNCTION("""COMPUTED_VALUE"""),45203.0)</f>
        <v>45203</v>
      </c>
      <c r="B7177" s="16" t="str">
        <f>IFERROR(__xludf.DUMMYFUNCTION("""COMPUTED_VALUE"""),"EASYMAIL S.A.S")</f>
        <v>EASYMAIL S.A.S</v>
      </c>
      <c r="C7177" s="15" t="str">
        <f>IFERROR(__xludf.DUMMYFUNCTION("""COMPUTED_VALUE"""),"BOGOTÁ")</f>
        <v>BOGOTÁ</v>
      </c>
      <c r="D7177" s="15" t="str">
        <f>IFERROR(__xludf.DUMMYFUNCTION("""COMPUTED_VALUE"""),"MEDELLÍN")</f>
        <v>MEDELLÍN</v>
      </c>
      <c r="E7177" s="15" t="str">
        <f>IFERROR(__xludf.DUMMYFUNCTION("""COMPUTED_VALUE"""),"Rambla")</f>
        <v>Rambla</v>
      </c>
      <c r="F7177" s="17" t="str">
        <f>IFERROR(__xludf.DUMMYFUNCTION("""COMPUTED_VALUE"""),"Carrera 56 A # 148-35, torre 2 apto 602 / - / -")</f>
        <v>Carrera 56 A # 148-35, torre 2 apto 602 / - / -</v>
      </c>
      <c r="G7177" s="15" t="str">
        <f>IFERROR(__xludf.DUMMYFUNCTION("""COMPUTED_VALUE"""),"Maria gabriela Alterio")</f>
        <v>Maria gabriela Alterio</v>
      </c>
      <c r="H7177" s="16">
        <f>IFERROR(__xludf.DUMMYFUNCTION("""COMPUTED_VALUE"""),15942.0)</f>
        <v>15942</v>
      </c>
      <c r="I7177" s="18">
        <f>IFERROR(__xludf.DUMMYFUNCTION("""COMPUTED_VALUE"""),10.0)</f>
        <v>10</v>
      </c>
      <c r="J7177" s="18">
        <f>IFERROR(__xludf.DUMMYFUNCTION("""COMPUTED_VALUE"""),19.0)</f>
        <v>19</v>
      </c>
      <c r="K7177" s="18">
        <f>IFERROR(__xludf.DUMMYFUNCTION("""COMPUTED_VALUE"""),20.0)</f>
        <v>20</v>
      </c>
      <c r="L7177" s="17">
        <f>IFERROR(__xludf.DUMMYFUNCTION("""COMPUTED_VALUE"""),3.165280629E9)</f>
        <v>3165280629</v>
      </c>
      <c r="M7177" s="17"/>
      <c r="N7177" s="17"/>
      <c r="O7177" s="17"/>
      <c r="P7177" s="17" t="b">
        <f>IFERROR(__xludf.DUMMYFUNCTION("""COMPUTED_VALUE"""),FALSE)</f>
        <v>0</v>
      </c>
      <c r="Q7177" s="20" t="str">
        <f>IFERROR(__xludf.DUMMYFUNCTION("""COMPUTED_VALUE"""),"")</f>
        <v/>
      </c>
      <c r="R7177" s="22" t="str">
        <f>IFERROR(__xludf.DUMMYFUNCTION("""COMPUTED_VALUE"""),"")</f>
        <v/>
      </c>
    </row>
    <row r="7178">
      <c r="A7178" s="17" t="str">
        <f>IFERROR(__xludf.DUMMYFUNCTION("""COMPUTED_VALUE"""),"")</f>
        <v/>
      </c>
      <c r="B7178" s="17" t="str">
        <f>IFERROR(__xludf.DUMMYFUNCTION("""COMPUTED_VALUE"""),"")</f>
        <v/>
      </c>
      <c r="C7178" s="17" t="str">
        <f>IFERROR(__xludf.DUMMYFUNCTION("""COMPUTED_VALUE"""),"")</f>
        <v/>
      </c>
      <c r="D7178" s="17" t="str">
        <f>IFERROR(__xludf.DUMMYFUNCTION("""COMPUTED_VALUE"""),"")</f>
        <v/>
      </c>
      <c r="E7178" s="17" t="str">
        <f>IFERROR(__xludf.DUMMYFUNCTION("""COMPUTED_VALUE"""),"")</f>
        <v/>
      </c>
      <c r="F7178" s="17" t="str">
        <f>IFERROR(__xludf.DUMMYFUNCTION("""COMPUTED_VALUE"""),"")</f>
        <v/>
      </c>
      <c r="G7178" s="17" t="str">
        <f>IFERROR(__xludf.DUMMYFUNCTION("""COMPUTED_VALUE"""),"")</f>
        <v/>
      </c>
      <c r="H7178" s="17" t="str">
        <f>IFERROR(__xludf.DUMMYFUNCTION("""COMPUTED_VALUE"""),"")</f>
        <v/>
      </c>
      <c r="I7178" s="17" t="str">
        <f>IFERROR(__xludf.DUMMYFUNCTION("""COMPUTED_VALUE"""),"")</f>
        <v/>
      </c>
      <c r="J7178" s="17" t="str">
        <f>IFERROR(__xludf.DUMMYFUNCTION("""COMPUTED_VALUE"""),"")</f>
        <v/>
      </c>
      <c r="K7178" s="17" t="str">
        <f>IFERROR(__xludf.DUMMYFUNCTION("""COMPUTED_VALUE"""),"")</f>
        <v/>
      </c>
      <c r="L7178" s="17" t="str">
        <f>IFERROR(__xludf.DUMMYFUNCTION("""COMPUTED_VALUE"""),"")</f>
        <v/>
      </c>
      <c r="M7178" s="17" t="str">
        <f>IFERROR(__xludf.DUMMYFUNCTION("""COMPUTED_VALUE"""),"")</f>
        <v/>
      </c>
      <c r="N7178" s="17" t="str">
        <f>IFERROR(__xludf.DUMMYFUNCTION("""COMPUTED_VALUE"""),"")</f>
        <v/>
      </c>
      <c r="O7178" s="17" t="str">
        <f>IFERROR(__xludf.DUMMYFUNCTION("""COMPUTED_VALUE"""),"")</f>
        <v/>
      </c>
      <c r="P7178" s="17" t="str">
        <f>IFERROR(__xludf.DUMMYFUNCTION("""COMPUTED_VALUE"""),"")</f>
        <v/>
      </c>
      <c r="Q7178" s="17" t="str">
        <f>IFERROR(__xludf.DUMMYFUNCTION("""COMPUTED_VALUE"""),"")</f>
        <v/>
      </c>
      <c r="R7178" s="17" t="str">
        <f>IFERROR(__xludf.DUMMYFUNCTION("""COMPUTED_VALUE"""),"")</f>
        <v/>
      </c>
    </row>
    <row r="7179">
      <c r="A7179" s="15">
        <f>IFERROR(__xludf.DUMMYFUNCTION("""COMPUTED_VALUE"""),45203.0)</f>
        <v>45203</v>
      </c>
      <c r="B7179" s="16" t="str">
        <f>IFERROR(__xludf.DUMMYFUNCTION("""COMPUTED_VALUE"""),"Envia")</f>
        <v>Envia</v>
      </c>
      <c r="C7179" s="15" t="str">
        <f>IFERROR(__xludf.DUMMYFUNCTION("""COMPUTED_VALUE"""),"BOGOTÁ")</f>
        <v>BOGOTÁ</v>
      </c>
      <c r="D7179" s="15" t="str">
        <f>IFERROR(__xludf.DUMMYFUNCTION("""COMPUTED_VALUE"""),"MEDELLÍN")</f>
        <v>MEDELLÍN</v>
      </c>
      <c r="E7179" s="15" t="str">
        <f>IFERROR(__xludf.DUMMYFUNCTION("""COMPUTED_VALUE"""),"Biota")</f>
        <v>Biota</v>
      </c>
      <c r="F7179" s="17" t="str">
        <f>IFERROR(__xludf.DUMMYFUNCTION("""COMPUTED_VALUE"""),"Cra 19 # 93-26 apto 508  / Barrio chico bogota  /  Barrio chico bogota")</f>
        <v>Cra 19 # 93-26 apto 508  / Barrio chico bogota  /  Barrio chico bogota</v>
      </c>
      <c r="G7179" s="15" t="str">
        <f>IFERROR(__xludf.DUMMYFUNCTION("""COMPUTED_VALUE"""),"Nicolas Beltran")</f>
        <v>Nicolas Beltran</v>
      </c>
      <c r="H7179" s="16">
        <f>IFERROR(__xludf.DUMMYFUNCTION("""COMPUTED_VALUE"""),15919.0)</f>
        <v>15919</v>
      </c>
      <c r="I7179" s="18">
        <f>IFERROR(__xludf.DUMMYFUNCTION("""COMPUTED_VALUE"""),30.0)</f>
        <v>30</v>
      </c>
      <c r="J7179" s="18">
        <f>IFERROR(__xludf.DUMMYFUNCTION("""COMPUTED_VALUE"""),17.0)</f>
        <v>17</v>
      </c>
      <c r="K7179" s="18">
        <f>IFERROR(__xludf.DUMMYFUNCTION("""COMPUTED_VALUE"""),15.0)</f>
        <v>15</v>
      </c>
      <c r="L7179" s="17">
        <f>IFERROR(__xludf.DUMMYFUNCTION("""COMPUTED_VALUE"""),3.103492469E9)</f>
        <v>3103492469</v>
      </c>
      <c r="M7179" s="17"/>
      <c r="N7179" s="17"/>
      <c r="O7179" s="17"/>
      <c r="P7179" s="17" t="b">
        <f>IFERROR(__xludf.DUMMYFUNCTION("""COMPUTED_VALUE"""),FALSE)</f>
        <v>0</v>
      </c>
      <c r="Q7179" s="20" t="str">
        <f>IFERROR(__xludf.DUMMYFUNCTION("""COMPUTED_VALUE"""),"")</f>
        <v/>
      </c>
      <c r="R7179" s="22" t="str">
        <f>IFERROR(__xludf.DUMMYFUNCTION("""COMPUTED_VALUE"""),"")</f>
        <v/>
      </c>
    </row>
    <row r="7180">
      <c r="A7180" s="15">
        <f>IFERROR(__xludf.DUMMYFUNCTION("""COMPUTED_VALUE"""),45203.0)</f>
        <v>45203</v>
      </c>
      <c r="B7180" s="16" t="str">
        <f>IFERROR(__xludf.DUMMYFUNCTION("""COMPUTED_VALUE"""),"Envia")</f>
        <v>Envia</v>
      </c>
      <c r="C7180" s="15" t="str">
        <f>IFERROR(__xludf.DUMMYFUNCTION("""COMPUTED_VALUE"""),"BOGOTÁ")</f>
        <v>BOGOTÁ</v>
      </c>
      <c r="D7180" s="15" t="str">
        <f>IFERROR(__xludf.DUMMYFUNCTION("""COMPUTED_VALUE"""),"MEDELLÍN")</f>
        <v>MEDELLÍN</v>
      </c>
      <c r="E7180" s="15" t="str">
        <f>IFERROR(__xludf.DUMMYFUNCTION("""COMPUTED_VALUE"""),"Rambla")</f>
        <v>Rambla</v>
      </c>
      <c r="F7180" s="17" t="str">
        <f>IFERROR(__xludf.DUMMYFUNCTION("""COMPUTED_VALUE"""),"Calle 41 a número 8-25 bulevar 42 apto 707 b / - / -")</f>
        <v>Calle 41 a número 8-25 bulevar 42 apto 707 b / - / -</v>
      </c>
      <c r="G7180" s="15" t="str">
        <f>IFERROR(__xludf.DUMMYFUNCTION("""COMPUTED_VALUE"""),"Nutriclic")</f>
        <v>Nutriclic</v>
      </c>
      <c r="H7180" s="16">
        <f>IFERROR(__xludf.DUMMYFUNCTION("""COMPUTED_VALUE"""),15941.0)</f>
        <v>15941</v>
      </c>
      <c r="I7180" s="18">
        <f>IFERROR(__xludf.DUMMYFUNCTION("""COMPUTED_VALUE"""),22.0)</f>
        <v>22</v>
      </c>
      <c r="J7180" s="18">
        <f>IFERROR(__xludf.DUMMYFUNCTION("""COMPUTED_VALUE"""),20.0)</f>
        <v>20</v>
      </c>
      <c r="K7180" s="18">
        <f>IFERROR(__xludf.DUMMYFUNCTION("""COMPUTED_VALUE"""),20.0)</f>
        <v>20</v>
      </c>
      <c r="L7180" s="17">
        <f>IFERROR(__xludf.DUMMYFUNCTION("""COMPUTED_VALUE"""),3.102661625E9)</f>
        <v>3102661625</v>
      </c>
      <c r="M7180" s="17"/>
      <c r="N7180" s="17"/>
      <c r="O7180" s="17"/>
      <c r="P7180" s="17" t="b">
        <f>IFERROR(__xludf.DUMMYFUNCTION("""COMPUTED_VALUE"""),FALSE)</f>
        <v>0</v>
      </c>
      <c r="Q7180" s="20" t="str">
        <f>IFERROR(__xludf.DUMMYFUNCTION("""COMPUTED_VALUE"""),"")</f>
        <v/>
      </c>
      <c r="R7180" s="22" t="str">
        <f>IFERROR(__xludf.DUMMYFUNCTION("""COMPUTED_VALUE"""),"")</f>
        <v/>
      </c>
    </row>
    <row r="7181">
      <c r="A7181" s="15">
        <f>IFERROR(__xludf.DUMMYFUNCTION("""COMPUTED_VALUE"""),45203.0)</f>
        <v>45203</v>
      </c>
      <c r="B7181" s="16" t="str">
        <f>IFERROR(__xludf.DUMMYFUNCTION("""COMPUTED_VALUE"""),"Envia")</f>
        <v>Envia</v>
      </c>
      <c r="C7181" s="15" t="str">
        <f>IFERROR(__xludf.DUMMYFUNCTION("""COMPUTED_VALUE"""),"CALI")</f>
        <v>CALI</v>
      </c>
      <c r="D7181" s="15" t="str">
        <f>IFERROR(__xludf.DUMMYFUNCTION("""COMPUTED_VALUE"""),"MEDELLÍN")</f>
        <v>MEDELLÍN</v>
      </c>
      <c r="E7181" s="15" t="str">
        <f>IFERROR(__xludf.DUMMYFUNCTION("""COMPUTED_VALUE"""),"Baby Chef")</f>
        <v>Baby Chef</v>
      </c>
      <c r="F7181" s="17" t="str">
        <f>IFERROR(__xludf.DUMMYFUNCTION("""COMPUTED_VALUE"""),"Cra. 68 # 16-07 Apto. 204E Porton de Asturias B/ La Hacienda  / Cra. 68 # 16-07 Apto. 204E Porton de Asturias B/ La Hacienda  / Cra. 68 # 16-07 Apto. 204E Porton de Asturias B/ La Hacienda")</f>
        <v>Cra. 68 # 16-07 Apto. 204E Porton de Asturias B/ La Hacienda  / Cra. 68 # 16-07 Apto. 204E Porton de Asturias B/ La Hacienda  / Cra. 68 # 16-07 Apto. 204E Porton de Asturias B/ La Hacienda</v>
      </c>
      <c r="G7181" s="15" t="str">
        <f>IFERROR(__xludf.DUMMYFUNCTION("""COMPUTED_VALUE"""),"Silvia Narvaez")</f>
        <v>Silvia Narvaez</v>
      </c>
      <c r="H7181" s="16">
        <f>IFERROR(__xludf.DUMMYFUNCTION("""COMPUTED_VALUE"""),15932.0)</f>
        <v>15932</v>
      </c>
      <c r="I7181" s="18">
        <f>IFERROR(__xludf.DUMMYFUNCTION("""COMPUTED_VALUE"""),7.0)</f>
        <v>7</v>
      </c>
      <c r="J7181" s="18">
        <f>IFERROR(__xludf.DUMMYFUNCTION("""COMPUTED_VALUE"""),22.0)</f>
        <v>22</v>
      </c>
      <c r="K7181" s="18">
        <f>IFERROR(__xludf.DUMMYFUNCTION("""COMPUTED_VALUE"""),40.0)</f>
        <v>40</v>
      </c>
      <c r="L7181" s="17">
        <f>IFERROR(__xludf.DUMMYFUNCTION("""COMPUTED_VALUE"""),3.173703258E9)</f>
        <v>3173703258</v>
      </c>
      <c r="M7181" s="17"/>
      <c r="N7181" s="17"/>
      <c r="O7181" s="17"/>
      <c r="P7181" s="17" t="b">
        <f>IFERROR(__xludf.DUMMYFUNCTION("""COMPUTED_VALUE"""),FALSE)</f>
        <v>0</v>
      </c>
      <c r="Q7181" s="20" t="str">
        <f>IFERROR(__xludf.DUMMYFUNCTION("""COMPUTED_VALUE"""),"")</f>
        <v/>
      </c>
      <c r="R7181" s="21" t="str">
        <f>IFERROR(__xludf.DUMMYFUNCTION("""COMPUTED_VALUE"""),"https://drive.google.com/file/d/1zmUV05PA7NmabmzfdKcZxAn6lKMmwjyE/view?usp=drivesdk")</f>
        <v>https://drive.google.com/file/d/1zmUV05PA7NmabmzfdKcZxAn6lKMmwjyE/view?usp=drivesdk</v>
      </c>
    </row>
    <row r="7182">
      <c r="A7182" s="15">
        <f>IFERROR(__xludf.DUMMYFUNCTION("""COMPUTED_VALUE"""),45203.0)</f>
        <v>45203</v>
      </c>
      <c r="B7182" s="16" t="str">
        <f>IFERROR(__xludf.DUMMYFUNCTION("""COMPUTED_VALUE"""),"Envia")</f>
        <v>Envia</v>
      </c>
      <c r="C7182" s="15" t="str">
        <f>IFERROR(__xludf.DUMMYFUNCTION("""COMPUTED_VALUE"""),"CALI")</f>
        <v>CALI</v>
      </c>
      <c r="D7182" s="15" t="str">
        <f>IFERROR(__xludf.DUMMYFUNCTION("""COMPUTED_VALUE"""),"MEDELLÍN")</f>
        <v>MEDELLÍN</v>
      </c>
      <c r="E7182" s="15" t="str">
        <f>IFERROR(__xludf.DUMMYFUNCTION("""COMPUTED_VALUE"""),"Videobase")</f>
        <v>Videobase</v>
      </c>
      <c r="F7182" s="17" t="str">
        <f>IFERROR(__xludf.DUMMYFUNCTION("""COMPUTED_VALUE"""),"Cra. 1A # 47-20 Cali - Colombia / Harinera Del Valle S.A. / no tenemos")</f>
        <v>Cra. 1A # 47-20 Cali - Colombia / Harinera Del Valle S.A. / no tenemos</v>
      </c>
      <c r="G7182" s="15" t="str">
        <f>IFERROR(__xludf.DUMMYFUNCTION("""COMPUTED_VALUE"""),"Juan Carlos Henao")</f>
        <v>Juan Carlos Henao</v>
      </c>
      <c r="H7182" s="16">
        <f>IFERROR(__xludf.DUMMYFUNCTION("""COMPUTED_VALUE"""),15945.0)</f>
        <v>15945</v>
      </c>
      <c r="I7182" s="18">
        <f>IFERROR(__xludf.DUMMYFUNCTION("""COMPUTED_VALUE"""),4.0)</f>
        <v>4</v>
      </c>
      <c r="J7182" s="18">
        <f>IFERROR(__xludf.DUMMYFUNCTION("""COMPUTED_VALUE"""),18.0)</f>
        <v>18</v>
      </c>
      <c r="K7182" s="18">
        <f>IFERROR(__xludf.DUMMYFUNCTION("""COMPUTED_VALUE"""),22.0)</f>
        <v>22</v>
      </c>
      <c r="L7182" s="17">
        <f>IFERROR(__xludf.DUMMYFUNCTION("""COMPUTED_VALUE"""),3.116353635E9)</f>
        <v>3116353635</v>
      </c>
      <c r="M7182" s="17"/>
      <c r="N7182" s="17"/>
      <c r="O7182" s="17"/>
      <c r="P7182" s="17" t="b">
        <f>IFERROR(__xludf.DUMMYFUNCTION("""COMPUTED_VALUE"""),FALSE)</f>
        <v>0</v>
      </c>
      <c r="Q7182" s="20" t="str">
        <f>IFERROR(__xludf.DUMMYFUNCTION("""COMPUTED_VALUE"""),"")</f>
        <v/>
      </c>
      <c r="R7182" s="21" t="str">
        <f>IFERROR(__xludf.DUMMYFUNCTION("""COMPUTED_VALUE"""),"https://drive.google.com/file/d/1Ui-45ZpPWXPAx3feXQHCnCeA5BevuaY9/view?usp=drivesdk")</f>
        <v>https://drive.google.com/file/d/1Ui-45ZpPWXPAx3feXQHCnCeA5BevuaY9/view?usp=drivesdk</v>
      </c>
    </row>
    <row r="7183">
      <c r="A7183" s="15">
        <f>IFERROR(__xludf.DUMMYFUNCTION("""COMPUTED_VALUE"""),45203.0)</f>
        <v>45203</v>
      </c>
      <c r="B7183" s="16" t="str">
        <f>IFERROR(__xludf.DUMMYFUNCTION("""COMPUTED_VALUE"""),"Envia")</f>
        <v>Envia</v>
      </c>
      <c r="C7183" s="15" t="str">
        <f>IFERROR(__xludf.DUMMYFUNCTION("""COMPUTED_VALUE"""),"CARTAGENA")</f>
        <v>CARTAGENA</v>
      </c>
      <c r="D7183" s="15" t="str">
        <f>IFERROR(__xludf.DUMMYFUNCTION("""COMPUTED_VALUE"""),"BOGOTÁ")</f>
        <v>BOGOTÁ</v>
      </c>
      <c r="E7183" s="15" t="str">
        <f>IFERROR(__xludf.DUMMYFUNCTION("""COMPUTED_VALUE"""),"Mochi")</f>
        <v>Mochi</v>
      </c>
      <c r="F7183" s="17" t="str">
        <f>IFERROR(__xludf.DUMMYFUNCTION("""COMPUTED_VALUE"""),"Cra 11#39-21 / Centro comercial  / San Diego")</f>
        <v>Cra 11#39-21 / Centro comercial  / San Diego</v>
      </c>
      <c r="G7183" s="15" t="str">
        <f>IFERROR(__xludf.DUMMYFUNCTION("""COMPUTED_VALUE"""),"María Camila")</f>
        <v>María Camila</v>
      </c>
      <c r="H7183" s="16">
        <f>IFERROR(__xludf.DUMMYFUNCTION("""COMPUTED_VALUE"""),15946.0)</f>
        <v>15946</v>
      </c>
      <c r="I7183" s="18">
        <f>IFERROR(__xludf.DUMMYFUNCTION("""COMPUTED_VALUE"""),55.0)</f>
        <v>55</v>
      </c>
      <c r="J7183" s="18">
        <f>IFERROR(__xludf.DUMMYFUNCTION("""COMPUTED_VALUE"""),44.0)</f>
        <v>44</v>
      </c>
      <c r="K7183" s="18" t="str">
        <f>IFERROR(__xludf.DUMMYFUNCTION("""COMPUTED_VALUE"""),"52.5")</f>
        <v>52.5</v>
      </c>
      <c r="L7183" s="17">
        <f>IFERROR(__xludf.DUMMYFUNCTION("""COMPUTED_VALUE"""),3.116026252E9)</f>
        <v>3116026252</v>
      </c>
      <c r="M7183" s="17"/>
      <c r="N7183" s="17"/>
      <c r="O7183" s="17"/>
      <c r="P7183" s="17" t="b">
        <f>IFERROR(__xludf.DUMMYFUNCTION("""COMPUTED_VALUE"""),FALSE)</f>
        <v>0</v>
      </c>
      <c r="Q7183" s="20" t="str">
        <f>IFERROR(__xludf.DUMMYFUNCTION("""COMPUTED_VALUE"""),"")</f>
        <v/>
      </c>
      <c r="R7183" s="22" t="str">
        <f>IFERROR(__xludf.DUMMYFUNCTION("""COMPUTED_VALUE"""),"")</f>
        <v/>
      </c>
    </row>
    <row r="7184">
      <c r="A7184" s="15">
        <f>IFERROR(__xludf.DUMMYFUNCTION("""COMPUTED_VALUE"""),45203.0)</f>
        <v>45203</v>
      </c>
      <c r="B7184" s="16" t="str">
        <f>IFERROR(__xludf.DUMMYFUNCTION("""COMPUTED_VALUE"""),"Envia")</f>
        <v>Envia</v>
      </c>
      <c r="C7184" s="15" t="str">
        <f>IFERROR(__xludf.DUMMYFUNCTION("""COMPUTED_VALUE"""),"CARTAGO")</f>
        <v>CARTAGO</v>
      </c>
      <c r="D7184" s="15" t="str">
        <f>IFERROR(__xludf.DUMMYFUNCTION("""COMPUTED_VALUE"""),"BOGOTÁ")</f>
        <v>BOGOTÁ</v>
      </c>
      <c r="E7184" s="15" t="str">
        <f>IFERROR(__xludf.DUMMYFUNCTION("""COMPUTED_VALUE"""),"Pan de Waffle")</f>
        <v>Pan de Waffle</v>
      </c>
      <c r="F7184" s="17" t="str">
        <f>IFERROR(__xludf.DUMMYFUNCTION("""COMPUTED_VALUE"""),"CR 4 # 16 107 / CR 4 # 16 107 / CR 4 # 16 107")</f>
        <v>CR 4 # 16 107 / CR 4 # 16 107 / CR 4 # 16 107</v>
      </c>
      <c r="G7184" s="15" t="str">
        <f>IFERROR(__xludf.DUMMYFUNCTION("""COMPUTED_VALUE"""),"THE NATURAL CARTAGO")</f>
        <v>THE NATURAL CARTAGO</v>
      </c>
      <c r="H7184" s="16">
        <f>IFERROR(__xludf.DUMMYFUNCTION("""COMPUTED_VALUE"""),15586.0)</f>
        <v>15586</v>
      </c>
      <c r="I7184" s="18">
        <f>IFERROR(__xludf.DUMMYFUNCTION("""COMPUTED_VALUE"""),40.0)</f>
        <v>40</v>
      </c>
      <c r="J7184" s="18">
        <f>IFERROR(__xludf.DUMMYFUNCTION("""COMPUTED_VALUE"""),40.0)</f>
        <v>40</v>
      </c>
      <c r="K7184" s="18">
        <f>IFERROR(__xludf.DUMMYFUNCTION("""COMPUTED_VALUE"""),40.0)</f>
        <v>40</v>
      </c>
      <c r="L7184" s="17">
        <f>IFERROR(__xludf.DUMMYFUNCTION("""COMPUTED_VALUE"""),3.146025882E9)</f>
        <v>3146025882</v>
      </c>
      <c r="M7184" s="17"/>
      <c r="N7184" s="17"/>
      <c r="O7184" s="17"/>
      <c r="P7184" s="17" t="b">
        <f>IFERROR(__xludf.DUMMYFUNCTION("""COMPUTED_VALUE"""),FALSE)</f>
        <v>0</v>
      </c>
      <c r="Q7184" s="20" t="str">
        <f>IFERROR(__xludf.DUMMYFUNCTION("""COMPUTED_VALUE"""),"")</f>
        <v/>
      </c>
      <c r="R7184" s="22" t="str">
        <f>IFERROR(__xludf.DUMMYFUNCTION("""COMPUTED_VALUE"""),"")</f>
        <v/>
      </c>
    </row>
    <row r="7185">
      <c r="A7185" s="15">
        <f>IFERROR(__xludf.DUMMYFUNCTION("""COMPUTED_VALUE"""),45203.0)</f>
        <v>45203</v>
      </c>
      <c r="B7185" s="16" t="str">
        <f>IFERROR(__xludf.DUMMYFUNCTION("""COMPUTED_VALUE"""),"Envia")</f>
        <v>Envia</v>
      </c>
      <c r="C7185" s="15" t="str">
        <f>IFERROR(__xludf.DUMMYFUNCTION("""COMPUTED_VALUE"""),"MEDELLÍN")</f>
        <v>MEDELLÍN</v>
      </c>
      <c r="D7185" s="15" t="str">
        <f>IFERROR(__xludf.DUMMYFUNCTION("""COMPUTED_VALUE"""),"BARRANQUILLA")</f>
        <v>BARRANQUILLA</v>
      </c>
      <c r="E7185" s="15" t="str">
        <f>IFERROR(__xludf.DUMMYFUNCTION("""COMPUTED_VALUE"""),"Lorenna Chaid")</f>
        <v>Lorenna Chaid</v>
      </c>
      <c r="F7185" s="17" t="str">
        <f>IFERROR(__xludf.DUMMYFUNCTION("""COMPUTED_VALUE"""),"Calle 27A sur # 47 - 50 / Interior 403 - 404 Conj. Residencial Las Vegas / Envigado - Antioquia")</f>
        <v>Calle 27A sur # 47 - 50 / Interior 403 - 404 Conj. Residencial Las Vegas / Envigado - Antioquia</v>
      </c>
      <c r="G7185" s="15" t="str">
        <f>IFERROR(__xludf.DUMMYFUNCTION("""COMPUTED_VALUE"""),"Eduardo Chadid Garrido")</f>
        <v>Eduardo Chadid Garrido</v>
      </c>
      <c r="H7185" s="16">
        <f>IFERROR(__xludf.DUMMYFUNCTION("""COMPUTED_VALUE"""),15829.0)</f>
        <v>15829</v>
      </c>
      <c r="I7185" s="18">
        <f>IFERROR(__xludf.DUMMYFUNCTION("""COMPUTED_VALUE"""),55.0)</f>
        <v>55</v>
      </c>
      <c r="J7185" s="18">
        <f>IFERROR(__xludf.DUMMYFUNCTION("""COMPUTED_VALUE"""),45.0)</f>
        <v>45</v>
      </c>
      <c r="K7185" s="18" t="str">
        <f>IFERROR(__xludf.DUMMYFUNCTION("""COMPUTED_VALUE"""),"52.5")</f>
        <v>52.5</v>
      </c>
      <c r="L7185" s="17">
        <f>IFERROR(__xludf.DUMMYFUNCTION("""COMPUTED_VALUE"""),3.16279944E9)</f>
        <v>3162799440</v>
      </c>
      <c r="M7185" s="17"/>
      <c r="N7185" s="17"/>
      <c r="O7185" s="17"/>
      <c r="P7185" s="17" t="b">
        <f>IFERROR(__xludf.DUMMYFUNCTION("""COMPUTED_VALUE"""),TRUE)</f>
        <v>1</v>
      </c>
      <c r="Q7185" s="20">
        <f>IFERROR(__xludf.DUMMYFUNCTION("""COMPUTED_VALUE"""),45203.53312645834)</f>
        <v>45203.53313</v>
      </c>
      <c r="R7185" s="22" t="str">
        <f>IFERROR(__xludf.DUMMYFUNCTION("""COMPUTED_VALUE"""),"")</f>
        <v/>
      </c>
    </row>
    <row r="7186">
      <c r="A7186" s="15">
        <f>IFERROR(__xludf.DUMMYFUNCTION("""COMPUTED_VALUE"""),45203.0)</f>
        <v>45203</v>
      </c>
      <c r="B7186" s="16" t="str">
        <f>IFERROR(__xludf.DUMMYFUNCTION("""COMPUTED_VALUE"""),"Envia")</f>
        <v>Envia</v>
      </c>
      <c r="C7186" s="15" t="str">
        <f>IFERROR(__xludf.DUMMYFUNCTION("""COMPUTED_VALUE"""),"MEDELLÍN")</f>
        <v>MEDELLÍN</v>
      </c>
      <c r="D7186" s="15" t="str">
        <f>IFERROR(__xludf.DUMMYFUNCTION("""COMPUTED_VALUE"""),"BUCARAMANGA")</f>
        <v>BUCARAMANGA</v>
      </c>
      <c r="E7186" s="15" t="str">
        <f>IFERROR(__xludf.DUMMYFUNCTION("""COMPUTED_VALUE"""),"Yo Como Solito")</f>
        <v>Yo Como Solito</v>
      </c>
      <c r="F7186" s="17" t="str">
        <f>IFERROR(__xludf.DUMMYFUNCTION("""COMPUTED_VALUE"""),"CARRERA 15 BA #34D-44 INT 201 QUINTA LINDA / CARRERA 15 BA #34D-44 INT 201 QUINTA LINDA / CARRERA 15 BA #34D-44 INT 201 QUINTA LINDA")</f>
        <v>CARRERA 15 BA #34D-44 INT 201 QUINTA LINDA / CARRERA 15 BA #34D-44 INT 201 QUINTA LINDA / CARRERA 15 BA #34D-44 INT 201 QUINTA LINDA</v>
      </c>
      <c r="G7186" s="15" t="str">
        <f>IFERROR(__xludf.DUMMYFUNCTION("""COMPUTED_VALUE"""),"DANIELA BEDOYA BLANDON")</f>
        <v>DANIELA BEDOYA BLANDON</v>
      </c>
      <c r="H7186" s="16">
        <f>IFERROR(__xludf.DUMMYFUNCTION("""COMPUTED_VALUE"""),15896.0)</f>
        <v>15896</v>
      </c>
      <c r="I7186" s="18">
        <f>IFERROR(__xludf.DUMMYFUNCTION("""COMPUTED_VALUE"""),14.0)</f>
        <v>14</v>
      </c>
      <c r="J7186" s="18">
        <f>IFERROR(__xludf.DUMMYFUNCTION("""COMPUTED_VALUE"""),27.0)</f>
        <v>27</v>
      </c>
      <c r="K7186" s="18">
        <f>IFERROR(__xludf.DUMMYFUNCTION("""COMPUTED_VALUE"""),33.0)</f>
        <v>33</v>
      </c>
      <c r="L7186" s="17">
        <f>IFERROR(__xludf.DUMMYFUNCTION("""COMPUTED_VALUE"""),3.14672822E9)</f>
        <v>3146728220</v>
      </c>
      <c r="M7186" s="17"/>
      <c r="N7186" s="17"/>
      <c r="O7186" s="17"/>
      <c r="P7186" s="17" t="b">
        <f>IFERROR(__xludf.DUMMYFUNCTION("""COMPUTED_VALUE"""),FALSE)</f>
        <v>0</v>
      </c>
      <c r="Q7186" s="20" t="str">
        <f>IFERROR(__xludf.DUMMYFUNCTION("""COMPUTED_VALUE"""),"")</f>
        <v/>
      </c>
      <c r="R7186" s="22" t="str">
        <f>IFERROR(__xludf.DUMMYFUNCTION("""COMPUTED_VALUE"""),"")</f>
        <v/>
      </c>
    </row>
    <row r="7187">
      <c r="A7187" s="15">
        <f>IFERROR(__xludf.DUMMYFUNCTION("""COMPUTED_VALUE"""),45203.0)</f>
        <v>45203</v>
      </c>
      <c r="B7187" s="16" t="str">
        <f>IFERROR(__xludf.DUMMYFUNCTION("""COMPUTED_VALUE"""),"Envia")</f>
        <v>Envia</v>
      </c>
      <c r="C7187" s="15" t="str">
        <f>IFERROR(__xludf.DUMMYFUNCTION("""COMPUTED_VALUE"""),"MEDELLÍN")</f>
        <v>MEDELLÍN</v>
      </c>
      <c r="D7187" s="15" t="str">
        <f>IFERROR(__xludf.DUMMYFUNCTION("""COMPUTED_VALUE"""),"BUCARAMANGA")</f>
        <v>BUCARAMANGA</v>
      </c>
      <c r="E7187" s="15" t="str">
        <f>IFERROR(__xludf.DUMMYFUNCTION("""COMPUTED_VALUE"""),"Yo Como Solito")</f>
        <v>Yo Como Solito</v>
      </c>
      <c r="F7187" s="17" t="str">
        <f>IFERROR(__xludf.DUMMYFUNCTION("""COMPUTED_VALUE"""),"CARRERA 56 #62-100  / CARRERA 56 #62-100  / CARRERA 56 #62-100")</f>
        <v>CARRERA 56 #62-100  / CARRERA 56 #62-100  / CARRERA 56 #62-100</v>
      </c>
      <c r="G7187" s="15" t="str">
        <f>IFERROR(__xludf.DUMMYFUNCTION("""COMPUTED_VALUE"""),"CATALINA MARIN GUISAO")</f>
        <v>CATALINA MARIN GUISAO</v>
      </c>
      <c r="H7187" s="16">
        <f>IFERROR(__xludf.DUMMYFUNCTION("""COMPUTED_VALUE"""),15898.0)</f>
        <v>15898</v>
      </c>
      <c r="I7187" s="18">
        <f>IFERROR(__xludf.DUMMYFUNCTION("""COMPUTED_VALUE"""),12.0)</f>
        <v>12</v>
      </c>
      <c r="J7187" s="18">
        <f>IFERROR(__xludf.DUMMYFUNCTION("""COMPUTED_VALUE"""),24.0)</f>
        <v>24</v>
      </c>
      <c r="K7187" s="18">
        <f>IFERROR(__xludf.DUMMYFUNCTION("""COMPUTED_VALUE"""),37.0)</f>
        <v>37</v>
      </c>
      <c r="L7187" s="17">
        <f>IFERROR(__xludf.DUMMYFUNCTION("""COMPUTED_VALUE"""),3.11420377E9)</f>
        <v>3114203770</v>
      </c>
      <c r="M7187" s="17"/>
      <c r="N7187" s="17"/>
      <c r="O7187" s="17"/>
      <c r="P7187" s="17" t="b">
        <f>IFERROR(__xludf.DUMMYFUNCTION("""COMPUTED_VALUE"""),FALSE)</f>
        <v>0</v>
      </c>
      <c r="Q7187" s="20" t="str">
        <f>IFERROR(__xludf.DUMMYFUNCTION("""COMPUTED_VALUE"""),"")</f>
        <v/>
      </c>
      <c r="R7187" s="22" t="str">
        <f>IFERROR(__xludf.DUMMYFUNCTION("""COMPUTED_VALUE"""),"")</f>
        <v/>
      </c>
    </row>
    <row r="7188">
      <c r="A7188" s="15">
        <f>IFERROR(__xludf.DUMMYFUNCTION("""COMPUTED_VALUE"""),45203.0)</f>
        <v>45203</v>
      </c>
      <c r="B7188" s="16" t="str">
        <f>IFERROR(__xludf.DUMMYFUNCTION("""COMPUTED_VALUE"""),"Envia")</f>
        <v>Envia</v>
      </c>
      <c r="C7188" s="15" t="str">
        <f>IFERROR(__xludf.DUMMYFUNCTION("""COMPUTED_VALUE"""),"MONTERIA")</f>
        <v>MONTERIA</v>
      </c>
      <c r="D7188" s="15" t="str">
        <f>IFERROR(__xludf.DUMMYFUNCTION("""COMPUTED_VALUE"""),"MEDELLÍN")</f>
        <v>MEDELLÍN</v>
      </c>
      <c r="E7188" s="15" t="str">
        <f>IFERROR(__xludf.DUMMYFUNCTION("""COMPUTED_VALUE"""),"Videobase")</f>
        <v>Videobase</v>
      </c>
      <c r="F7188" s="17" t="str">
        <f>IFERROR(__xludf.DUMMYFUNCTION("""COMPUTED_VALUE"""),"Of Tabaidá: Carrera 6 62 B 32 of 405 Edificio Sexta Avenida  / Agropecuaria Tabaida S.A. / No tenemos")</f>
        <v>Of Tabaidá: Carrera 6 62 B 32 of 405 Edificio Sexta Avenida  / Agropecuaria Tabaida S.A. / No tenemos</v>
      </c>
      <c r="G7188" s="15" t="str">
        <f>IFERROR(__xludf.DUMMYFUNCTION("""COMPUTED_VALUE"""),"Mauricio Martínez")</f>
        <v>Mauricio Martínez</v>
      </c>
      <c r="H7188" s="16">
        <f>IFERROR(__xludf.DUMMYFUNCTION("""COMPUTED_VALUE"""),15938.0)</f>
        <v>15938</v>
      </c>
      <c r="I7188" s="18">
        <f>IFERROR(__xludf.DUMMYFUNCTION("""COMPUTED_VALUE"""),4.0)</f>
        <v>4</v>
      </c>
      <c r="J7188" s="18">
        <f>IFERROR(__xludf.DUMMYFUNCTION("""COMPUTED_VALUE"""),22.0)</f>
        <v>22</v>
      </c>
      <c r="K7188" s="18">
        <f>IFERROR(__xludf.DUMMYFUNCTION("""COMPUTED_VALUE"""),18.0)</f>
        <v>18</v>
      </c>
      <c r="L7188" s="17">
        <f>IFERROR(__xludf.DUMMYFUNCTION("""COMPUTED_VALUE"""),3.215485034E9)</f>
        <v>3215485034</v>
      </c>
      <c r="M7188" s="17"/>
      <c r="N7188" s="17"/>
      <c r="O7188" s="17"/>
      <c r="P7188" s="17" t="b">
        <f>IFERROR(__xludf.DUMMYFUNCTION("""COMPUTED_VALUE"""),FALSE)</f>
        <v>0</v>
      </c>
      <c r="Q7188" s="20" t="str">
        <f>IFERROR(__xludf.DUMMYFUNCTION("""COMPUTED_VALUE"""),"")</f>
        <v/>
      </c>
      <c r="R7188" s="21" t="str">
        <f>IFERROR(__xludf.DUMMYFUNCTION("""COMPUTED_VALUE"""),"https://drive.google.com/file/d/1yo9Ib-XDU4mYcSXwXRvkddQHbwXtljdo/view?usp=drivesdk")</f>
        <v>https://drive.google.com/file/d/1yo9Ib-XDU4mYcSXwXRvkddQHbwXtljdo/view?usp=drivesdk</v>
      </c>
    </row>
    <row r="7189">
      <c r="A7189" s="15">
        <f>IFERROR(__xludf.DUMMYFUNCTION("""COMPUTED_VALUE"""),45203.0)</f>
        <v>45203</v>
      </c>
      <c r="B7189" s="16" t="str">
        <f>IFERROR(__xludf.DUMMYFUNCTION("""COMPUTED_VALUE"""),"Envia")</f>
        <v>Envia</v>
      </c>
      <c r="C7189" s="15" t="str">
        <f>IFERROR(__xludf.DUMMYFUNCTION("""COMPUTED_VALUE"""),"PALMIRA")</f>
        <v>PALMIRA</v>
      </c>
      <c r="D7189" s="15" t="str">
        <f>IFERROR(__xludf.DUMMYFUNCTION("""COMPUTED_VALUE"""),"MEDELLÍN")</f>
        <v>MEDELLÍN</v>
      </c>
      <c r="E7189" s="15" t="str">
        <f>IFERROR(__xludf.DUMMYFUNCTION("""COMPUTED_VALUE"""),"Videobase")</f>
        <v>Videobase</v>
      </c>
      <c r="F7189" s="17" t="str">
        <f>IFERROR(__xludf.DUMMYFUNCTION("""COMPUTED_VALUE"""),"Cra. 33A # 24-59 /  Compañía Colombiana De Empaqures Bates S.A.S / No tenemos")</f>
        <v>Cra. 33A # 24-59 /  Compañía Colombiana De Empaqures Bates S.A.S / No tenemos</v>
      </c>
      <c r="G7189" s="15" t="str">
        <f>IFERROR(__xludf.DUMMYFUNCTION("""COMPUTED_VALUE"""),"Victor Valery")</f>
        <v>Victor Valery</v>
      </c>
      <c r="H7189" s="16">
        <f>IFERROR(__xludf.DUMMYFUNCTION("""COMPUTED_VALUE"""),15950.0)</f>
        <v>15950</v>
      </c>
      <c r="I7189" s="18">
        <f>IFERROR(__xludf.DUMMYFUNCTION("""COMPUTED_VALUE"""),4.0)</f>
        <v>4</v>
      </c>
      <c r="J7189" s="18">
        <f>IFERROR(__xludf.DUMMYFUNCTION("""COMPUTED_VALUE"""),18.0)</f>
        <v>18</v>
      </c>
      <c r="K7189" s="18">
        <f>IFERROR(__xludf.DUMMYFUNCTION("""COMPUTED_VALUE"""),22.0)</f>
        <v>22</v>
      </c>
      <c r="L7189" s="17">
        <f>IFERROR(__xludf.DUMMYFUNCTION("""COMPUTED_VALUE"""),3.124740835E9)</f>
        <v>3124740835</v>
      </c>
      <c r="M7189" s="17"/>
      <c r="N7189" s="17"/>
      <c r="O7189" s="17"/>
      <c r="P7189" s="17" t="b">
        <f>IFERROR(__xludf.DUMMYFUNCTION("""COMPUTED_VALUE"""),FALSE)</f>
        <v>0</v>
      </c>
      <c r="Q7189" s="20" t="str">
        <f>IFERROR(__xludf.DUMMYFUNCTION("""COMPUTED_VALUE"""),"")</f>
        <v/>
      </c>
      <c r="R7189" s="21" t="str">
        <f>IFERROR(__xludf.DUMMYFUNCTION("""COMPUTED_VALUE"""),"https://drive.google.com/file/d/11KW5E-an5ox5diXZgXZ43tz3Snn-MRnk/view?usp=drivesdk")</f>
        <v>https://drive.google.com/file/d/11KW5E-an5ox5diXZgXZ43tz3Snn-MRnk/view?usp=drivesdk</v>
      </c>
    </row>
    <row r="7190">
      <c r="A7190" s="17" t="str">
        <f>IFERROR(__xludf.DUMMYFUNCTION("""COMPUTED_VALUE"""),"")</f>
        <v/>
      </c>
      <c r="B7190" s="17" t="str">
        <f>IFERROR(__xludf.DUMMYFUNCTION("""COMPUTED_VALUE"""),"")</f>
        <v/>
      </c>
      <c r="C7190" s="17" t="str">
        <f>IFERROR(__xludf.DUMMYFUNCTION("""COMPUTED_VALUE"""),"")</f>
        <v/>
      </c>
      <c r="D7190" s="17" t="str">
        <f>IFERROR(__xludf.DUMMYFUNCTION("""COMPUTED_VALUE"""),"")</f>
        <v/>
      </c>
      <c r="E7190" s="17" t="str">
        <f>IFERROR(__xludf.DUMMYFUNCTION("""COMPUTED_VALUE"""),"")</f>
        <v/>
      </c>
      <c r="F7190" s="17" t="str">
        <f>IFERROR(__xludf.DUMMYFUNCTION("""COMPUTED_VALUE"""),"")</f>
        <v/>
      </c>
      <c r="G7190" s="17" t="str">
        <f>IFERROR(__xludf.DUMMYFUNCTION("""COMPUTED_VALUE"""),"")</f>
        <v/>
      </c>
      <c r="H7190" s="17" t="str">
        <f>IFERROR(__xludf.DUMMYFUNCTION("""COMPUTED_VALUE"""),"")</f>
        <v/>
      </c>
      <c r="I7190" s="17" t="str">
        <f>IFERROR(__xludf.DUMMYFUNCTION("""COMPUTED_VALUE"""),"")</f>
        <v/>
      </c>
      <c r="J7190" s="17" t="str">
        <f>IFERROR(__xludf.DUMMYFUNCTION("""COMPUTED_VALUE"""),"")</f>
        <v/>
      </c>
      <c r="K7190" s="17" t="str">
        <f>IFERROR(__xludf.DUMMYFUNCTION("""COMPUTED_VALUE"""),"")</f>
        <v/>
      </c>
      <c r="L7190" s="17" t="str">
        <f>IFERROR(__xludf.DUMMYFUNCTION("""COMPUTED_VALUE"""),"")</f>
        <v/>
      </c>
      <c r="M7190" s="17" t="str">
        <f>IFERROR(__xludf.DUMMYFUNCTION("""COMPUTED_VALUE"""),"")</f>
        <v/>
      </c>
      <c r="N7190" s="17" t="str">
        <f>IFERROR(__xludf.DUMMYFUNCTION("""COMPUTED_VALUE"""),"")</f>
        <v/>
      </c>
      <c r="O7190" s="17" t="str">
        <f>IFERROR(__xludf.DUMMYFUNCTION("""COMPUTED_VALUE"""),"")</f>
        <v/>
      </c>
      <c r="P7190" s="17" t="str">
        <f>IFERROR(__xludf.DUMMYFUNCTION("""COMPUTED_VALUE"""),"")</f>
        <v/>
      </c>
      <c r="Q7190" s="17" t="str">
        <f>IFERROR(__xludf.DUMMYFUNCTION("""COMPUTED_VALUE"""),"")</f>
        <v/>
      </c>
      <c r="R7190" s="17" t="str">
        <f>IFERROR(__xludf.DUMMYFUNCTION("""COMPUTED_VALUE"""),"")</f>
        <v/>
      </c>
    </row>
    <row r="7191">
      <c r="A7191" s="15">
        <f>IFERROR(__xludf.DUMMYFUNCTION("""COMPUTED_VALUE"""),45203.0)</f>
        <v>45203</v>
      </c>
      <c r="B7191" s="16" t="str">
        <f>IFERROR(__xludf.DUMMYFUNCTION("""COMPUTED_VALUE"""),"Johan Alexander Escobar Arroyo ")</f>
        <v>Johan Alexander Escobar Arroyo </v>
      </c>
      <c r="C7191" s="15" t="str">
        <f>IFERROR(__xludf.DUMMYFUNCTION("""COMPUTED_VALUE"""),"BOGOTÁ")</f>
        <v>BOGOTÁ</v>
      </c>
      <c r="D7191" s="15" t="str">
        <f>IFERROR(__xludf.DUMMYFUNCTION("""COMPUTED_VALUE"""),"MEDELLÍN")</f>
        <v>MEDELLÍN</v>
      </c>
      <c r="E7191" s="15" t="str">
        <f>IFERROR(__xludf.DUMMYFUNCTION("""COMPUTED_VALUE"""),"Videobase")</f>
        <v>Videobase</v>
      </c>
      <c r="F7191" s="17" t="str">
        <f>IFERROR(__xludf.DUMMYFUNCTION("""COMPUTED_VALUE"""),"Cra 16a # 77 - 23 / centro de acopio cuerda  / N/A / NO aplica")</f>
        <v>Cra 16a # 77 - 23 / centro de acopio cuerda  / N/A / NO aplica</v>
      </c>
      <c r="G7191" s="15" t="str">
        <f>IFERROR(__xludf.DUMMYFUNCTION("""COMPUTED_VALUE"""),"Carlos Pérez")</f>
        <v>Carlos Pérez</v>
      </c>
      <c r="H7191" s="16">
        <f>IFERROR(__xludf.DUMMYFUNCTION("""COMPUTED_VALUE"""),15832.0)</f>
        <v>15832</v>
      </c>
      <c r="I7191" s="18">
        <f>IFERROR(__xludf.DUMMYFUNCTION("""COMPUTED_VALUE"""),30.0)</f>
        <v>30</v>
      </c>
      <c r="J7191" s="18">
        <f>IFERROR(__xludf.DUMMYFUNCTION("""COMPUTED_VALUE"""),40.0)</f>
        <v>40</v>
      </c>
      <c r="K7191" s="18">
        <f>IFERROR(__xludf.DUMMYFUNCTION("""COMPUTED_VALUE"""),59.0)</f>
        <v>59</v>
      </c>
      <c r="L7191" s="17">
        <f>IFERROR(__xludf.DUMMYFUNCTION("""COMPUTED_VALUE"""),3.137013886E9)</f>
        <v>3137013886</v>
      </c>
      <c r="M7191" s="17"/>
      <c r="N7191" s="17"/>
      <c r="O7191" s="17"/>
      <c r="P7191" s="17" t="b">
        <f>IFERROR(__xludf.DUMMYFUNCTION("""COMPUTED_VALUE"""),FALSE)</f>
        <v>0</v>
      </c>
      <c r="Q7191" s="20" t="str">
        <f>IFERROR(__xludf.DUMMYFUNCTION("""COMPUTED_VALUE"""),"")</f>
        <v/>
      </c>
      <c r="R7191" s="22" t="str">
        <f>IFERROR(__xludf.DUMMYFUNCTION("""COMPUTED_VALUE"""),"")</f>
        <v/>
      </c>
    </row>
    <row r="7192">
      <c r="A7192" s="15">
        <f>IFERROR(__xludf.DUMMYFUNCTION("""COMPUTED_VALUE"""),45203.0)</f>
        <v>45203</v>
      </c>
      <c r="B7192" s="16" t="str">
        <f>IFERROR(__xludf.DUMMYFUNCTION("""COMPUTED_VALUE"""),"Johan Alexander Escobar Arroyo ")</f>
        <v>Johan Alexander Escobar Arroyo </v>
      </c>
      <c r="C7192" s="15" t="str">
        <f>IFERROR(__xludf.DUMMYFUNCTION("""COMPUTED_VALUE"""),"CALI")</f>
        <v>CALI</v>
      </c>
      <c r="D7192" s="15" t="str">
        <f>IFERROR(__xludf.DUMMYFUNCTION("""COMPUTED_VALUE"""),"MEDELLÍN")</f>
        <v>MEDELLÍN</v>
      </c>
      <c r="E7192" s="15" t="str">
        <f>IFERROR(__xludf.DUMMYFUNCTION("""COMPUTED_VALUE"""),"Baby Chef")</f>
        <v>Baby Chef</v>
      </c>
      <c r="F7192" s="17" t="str">
        <f>IFERROR(__xludf.DUMMYFUNCTION("""COMPUTED_VALUE"""),"Calle 15 # 121 - 66 apto 102D Arboleda de la colina Pance  / Calle 15 # 121 - 66 apto 102D Arboleda de la colina Pance  / Calle 15 # 121 - 66 apto 102D Arboleda de la colina Pance")</f>
        <v>Calle 15 # 121 - 66 apto 102D Arboleda de la colina Pance  / Calle 15 # 121 - 66 apto 102D Arboleda de la colina Pance  / Calle 15 # 121 - 66 apto 102D Arboleda de la colina Pance</v>
      </c>
      <c r="G7192" s="15" t="str">
        <f>IFERROR(__xludf.DUMMYFUNCTION("""COMPUTED_VALUE"""),"Mayra Alejandra López")</f>
        <v>Mayra Alejandra López</v>
      </c>
      <c r="H7192" s="16">
        <f>IFERROR(__xludf.DUMMYFUNCTION("""COMPUTED_VALUE"""),15931.0)</f>
        <v>15931</v>
      </c>
      <c r="I7192" s="18">
        <f>IFERROR(__xludf.DUMMYFUNCTION("""COMPUTED_VALUE"""),6.0)</f>
        <v>6</v>
      </c>
      <c r="J7192" s="18">
        <f>IFERROR(__xludf.DUMMYFUNCTION("""COMPUTED_VALUE"""),21.0)</f>
        <v>21</v>
      </c>
      <c r="K7192" s="18">
        <f>IFERROR(__xludf.DUMMYFUNCTION("""COMPUTED_VALUE"""),27.0)</f>
        <v>27</v>
      </c>
      <c r="L7192" s="17">
        <f>IFERROR(__xludf.DUMMYFUNCTION("""COMPUTED_VALUE"""),3.188006094E9)</f>
        <v>3188006094</v>
      </c>
      <c r="M7192" s="17"/>
      <c r="N7192" s="17"/>
      <c r="O7192" s="17"/>
      <c r="P7192" s="17" t="b">
        <f>IFERROR(__xludf.DUMMYFUNCTION("""COMPUTED_VALUE"""),FALSE)</f>
        <v>0</v>
      </c>
      <c r="Q7192" s="20" t="str">
        <f>IFERROR(__xludf.DUMMYFUNCTION("""COMPUTED_VALUE"""),"")</f>
        <v/>
      </c>
      <c r="R7192" s="21" t="str">
        <f>IFERROR(__xludf.DUMMYFUNCTION("""COMPUTED_VALUE"""),"https://drive.google.com/file/d/1qISurPbKK1V7n7Am7I-1XdANjPcP3ozC/view?usp=drivesdk")</f>
        <v>https://drive.google.com/file/d/1qISurPbKK1V7n7Am7I-1XdANjPcP3ozC/view?usp=drivesdk</v>
      </c>
    </row>
    <row r="7193">
      <c r="A7193" s="15">
        <f>IFERROR(__xludf.DUMMYFUNCTION("""COMPUTED_VALUE"""),45203.0)</f>
        <v>45203</v>
      </c>
      <c r="B7193" s="16" t="str">
        <f>IFERROR(__xludf.DUMMYFUNCTION("""COMPUTED_VALUE"""),"Johan Alexander Escobar Arroyo ")</f>
        <v>Johan Alexander Escobar Arroyo </v>
      </c>
      <c r="C7193" s="15" t="str">
        <f>IFERROR(__xludf.DUMMYFUNCTION("""COMPUTED_VALUE"""),"CALI")</f>
        <v>CALI</v>
      </c>
      <c r="D7193" s="15" t="str">
        <f>IFERROR(__xludf.DUMMYFUNCTION("""COMPUTED_VALUE"""),"MEDELLÍN")</f>
        <v>MEDELLÍN</v>
      </c>
      <c r="E7193" s="15" t="str">
        <f>IFERROR(__xludf.DUMMYFUNCTION("""COMPUTED_VALUE"""),"Baby Chef")</f>
        <v>Baby Chef</v>
      </c>
      <c r="F7193" s="17" t="str">
        <f>IFERROR(__xludf.DUMMYFUNCTION("""COMPUTED_VALUE"""),"Calle 15 # 121-66 Apt 304 Torre B  Arboleda de la Colina / ""Calle 15 # 121-66 Apt 304 Torre B  Arboleda de la Colina"" / ""Calle 15 # 121-66 Apt 304 Torre B  Arboleda de la Colina""")</f>
        <v>Calle 15 # 121-66 Apt 304 Torre B  Arboleda de la Colina / "Calle 15 # 121-66 Apt 304 Torre B  Arboleda de la Colina" / "Calle 15 # 121-66 Apt 304 Torre B  Arboleda de la Colina"</v>
      </c>
      <c r="G7193" s="15" t="str">
        <f>IFERROR(__xludf.DUMMYFUNCTION("""COMPUTED_VALUE"""),"Lorena Jaramillo Cardona")</f>
        <v>Lorena Jaramillo Cardona</v>
      </c>
      <c r="H7193" s="16">
        <f>IFERROR(__xludf.DUMMYFUNCTION("""COMPUTED_VALUE"""),15936.0)</f>
        <v>15936</v>
      </c>
      <c r="I7193" s="18">
        <f>IFERROR(__xludf.DUMMYFUNCTION("""COMPUTED_VALUE"""),6.0)</f>
        <v>6</v>
      </c>
      <c r="J7193" s="18">
        <f>IFERROR(__xludf.DUMMYFUNCTION("""COMPUTED_VALUE"""),25.0)</f>
        <v>25</v>
      </c>
      <c r="K7193" s="18">
        <f>IFERROR(__xludf.DUMMYFUNCTION("""COMPUTED_VALUE"""),26.0)</f>
        <v>26</v>
      </c>
      <c r="L7193" s="17">
        <f>IFERROR(__xludf.DUMMYFUNCTION("""COMPUTED_VALUE"""),3.104387941E9)</f>
        <v>3104387941</v>
      </c>
      <c r="M7193" s="17"/>
      <c r="N7193" s="17"/>
      <c r="O7193" s="17"/>
      <c r="P7193" s="17" t="b">
        <f>IFERROR(__xludf.DUMMYFUNCTION("""COMPUTED_VALUE"""),FALSE)</f>
        <v>0</v>
      </c>
      <c r="Q7193" s="20" t="str">
        <f>IFERROR(__xludf.DUMMYFUNCTION("""COMPUTED_VALUE"""),"")</f>
        <v/>
      </c>
      <c r="R7193" s="21" t="str">
        <f>IFERROR(__xludf.DUMMYFUNCTION("""COMPUTED_VALUE"""),"https://drive.google.com/file/d/1mbtmXTUBL9yACiucCNiZ92mh7kexLozO/view?usp=drivesdk")</f>
        <v>https://drive.google.com/file/d/1mbtmXTUBL9yACiucCNiZ92mh7kexLozO/view?usp=drivesdk</v>
      </c>
    </row>
    <row r="7194">
      <c r="A7194" s="15">
        <f>IFERROR(__xludf.DUMMYFUNCTION("""COMPUTED_VALUE"""),45203.0)</f>
        <v>45203</v>
      </c>
      <c r="B7194" s="16" t="str">
        <f>IFERROR(__xludf.DUMMYFUNCTION("""COMPUTED_VALUE"""),"Johan Alexander Escobar Arroyo ")</f>
        <v>Johan Alexander Escobar Arroyo </v>
      </c>
      <c r="C7194" s="15" t="str">
        <f>IFERROR(__xludf.DUMMYFUNCTION("""COMPUTED_VALUE"""),"CALI")</f>
        <v>CALI</v>
      </c>
      <c r="D7194" s="15" t="str">
        <f>IFERROR(__xludf.DUMMYFUNCTION("""COMPUTED_VALUE"""),"MEDELLÍN")</f>
        <v>MEDELLÍN</v>
      </c>
      <c r="E7194" s="15" t="str">
        <f>IFERROR(__xludf.DUMMYFUNCTION("""COMPUTED_VALUE"""),"Baby Chef")</f>
        <v>Baby Chef</v>
      </c>
      <c r="F7194" s="17" t="str">
        <f>IFERROR(__xludf.DUMMYFUNCTION("""COMPUTED_VALUE"""),"Calle 4a # 35-49 apartamento 102 Barrio San Fernando / Calle 4a # 35-49 apartamento 102 Barrio San Fernando / Calle 4a # 35-49 apartamento 102 Barrio San Fernando")</f>
        <v>Calle 4a # 35-49 apartamento 102 Barrio San Fernando / Calle 4a # 35-49 apartamento 102 Barrio San Fernando / Calle 4a # 35-49 apartamento 102 Barrio San Fernando</v>
      </c>
      <c r="G7194" s="15" t="str">
        <f>IFERROR(__xludf.DUMMYFUNCTION("""COMPUTED_VALUE"""),"Stephany Ortega")</f>
        <v>Stephany Ortega</v>
      </c>
      <c r="H7194" s="16">
        <f>IFERROR(__xludf.DUMMYFUNCTION("""COMPUTED_VALUE"""),15930.0)</f>
        <v>15930</v>
      </c>
      <c r="I7194" s="18">
        <f>IFERROR(__xludf.DUMMYFUNCTION("""COMPUTED_VALUE"""),8.0)</f>
        <v>8</v>
      </c>
      <c r="J7194" s="18">
        <f>IFERROR(__xludf.DUMMYFUNCTION("""COMPUTED_VALUE"""),23.0)</f>
        <v>23</v>
      </c>
      <c r="K7194" s="18">
        <f>IFERROR(__xludf.DUMMYFUNCTION("""COMPUTED_VALUE"""),30.0)</f>
        <v>30</v>
      </c>
      <c r="L7194" s="17">
        <f>IFERROR(__xludf.DUMMYFUNCTION("""COMPUTED_VALUE"""),3.143036686E9)</f>
        <v>3143036686</v>
      </c>
      <c r="M7194" s="17"/>
      <c r="N7194" s="17"/>
      <c r="O7194" s="17"/>
      <c r="P7194" s="17" t="b">
        <f>IFERROR(__xludf.DUMMYFUNCTION("""COMPUTED_VALUE"""),FALSE)</f>
        <v>0</v>
      </c>
      <c r="Q7194" s="20" t="str">
        <f>IFERROR(__xludf.DUMMYFUNCTION("""COMPUTED_VALUE"""),"")</f>
        <v/>
      </c>
      <c r="R7194" s="21" t="str">
        <f>IFERROR(__xludf.DUMMYFUNCTION("""COMPUTED_VALUE"""),"https://drive.google.com/file/d/15wwyzLudsAObG7mCkG2ip4InqPAG0IP2/view?usp=drivesdk")</f>
        <v>https://drive.google.com/file/d/15wwyzLudsAObG7mCkG2ip4InqPAG0IP2/view?usp=drivesdk</v>
      </c>
    </row>
    <row r="7195">
      <c r="A7195" s="15">
        <f>IFERROR(__xludf.DUMMYFUNCTION("""COMPUTED_VALUE"""),45203.0)</f>
        <v>45203</v>
      </c>
      <c r="B7195" s="16" t="str">
        <f>IFERROR(__xludf.DUMMYFUNCTION("""COMPUTED_VALUE"""),"Johan Alexander Escobar Arroyo ")</f>
        <v>Johan Alexander Escobar Arroyo </v>
      </c>
      <c r="C7195" s="15" t="str">
        <f>IFERROR(__xludf.DUMMYFUNCTION("""COMPUTED_VALUE"""),"CALI")</f>
        <v>CALI</v>
      </c>
      <c r="D7195" s="15" t="str">
        <f>IFERROR(__xludf.DUMMYFUNCTION("""COMPUTED_VALUE"""),"MEDELLÍN")</f>
        <v>MEDELLÍN</v>
      </c>
      <c r="E7195" s="15" t="str">
        <f>IFERROR(__xludf.DUMMYFUNCTION("""COMPUTED_VALUE"""),"Baby Chef")</f>
        <v>Baby Chef</v>
      </c>
      <c r="F7195" s="17" t="str">
        <f>IFERROR(__xludf.DUMMYFUNCTION("""COMPUTED_VALUE"""),"Calle 9na #44-11 oficina 202  Barrio Cámbulos  Edificio La Fontaine / ""Calle 9na #44-11 oficina 202  Barrio Cámbulos  Edificio La Fontaine"" / ""Calle 9na #44-11 oficina 202  Barrio Cámbulos  Edificio La Fontaine""")</f>
        <v>Calle 9na #44-11 oficina 202  Barrio Cámbulos  Edificio La Fontaine / "Calle 9na #44-11 oficina 202  Barrio Cámbulos  Edificio La Fontaine" / "Calle 9na #44-11 oficina 202  Barrio Cámbulos  Edificio La Fontaine"</v>
      </c>
      <c r="G7195" s="15" t="str">
        <f>IFERROR(__xludf.DUMMYFUNCTION("""COMPUTED_VALUE"""),"Maria Alejandra Lasso")</f>
        <v>Maria Alejandra Lasso</v>
      </c>
      <c r="H7195" s="16">
        <f>IFERROR(__xludf.DUMMYFUNCTION("""COMPUTED_VALUE"""),15929.0)</f>
        <v>15929</v>
      </c>
      <c r="I7195" s="18">
        <f>IFERROR(__xludf.DUMMYFUNCTION("""COMPUTED_VALUE"""),7.0)</f>
        <v>7</v>
      </c>
      <c r="J7195" s="18">
        <f>IFERROR(__xludf.DUMMYFUNCTION("""COMPUTED_VALUE"""),22.0)</f>
        <v>22</v>
      </c>
      <c r="K7195" s="18">
        <f>IFERROR(__xludf.DUMMYFUNCTION("""COMPUTED_VALUE"""),30.0)</f>
        <v>30</v>
      </c>
      <c r="L7195" s="17">
        <f>IFERROR(__xludf.DUMMYFUNCTION("""COMPUTED_VALUE"""),3.174294533E9)</f>
        <v>3174294533</v>
      </c>
      <c r="M7195" s="17"/>
      <c r="N7195" s="17"/>
      <c r="O7195" s="17"/>
      <c r="P7195" s="17" t="b">
        <f>IFERROR(__xludf.DUMMYFUNCTION("""COMPUTED_VALUE"""),FALSE)</f>
        <v>0</v>
      </c>
      <c r="Q7195" s="20" t="str">
        <f>IFERROR(__xludf.DUMMYFUNCTION("""COMPUTED_VALUE"""),"")</f>
        <v/>
      </c>
      <c r="R7195" s="21" t="str">
        <f>IFERROR(__xludf.DUMMYFUNCTION("""COMPUTED_VALUE"""),"https://drive.google.com/file/d/16UggYBj-l0Za6hY6T7hLv9HpKTBzIuRK/view?usp=drivesdk")</f>
        <v>https://drive.google.com/file/d/16UggYBj-l0Za6hY6T7hLv9HpKTBzIuRK/view?usp=drivesdk</v>
      </c>
    </row>
    <row r="7196">
      <c r="A7196" s="15">
        <f>IFERROR(__xludf.DUMMYFUNCTION("""COMPUTED_VALUE"""),45203.0)</f>
        <v>45203</v>
      </c>
      <c r="B7196" s="16" t="str">
        <f>IFERROR(__xludf.DUMMYFUNCTION("""COMPUTED_VALUE"""),"Johan Alexander Escobar Arroyo ")</f>
        <v>Johan Alexander Escobar Arroyo </v>
      </c>
      <c r="C7196" s="15" t="str">
        <f>IFERROR(__xludf.DUMMYFUNCTION("""COMPUTED_VALUE"""),"CALI")</f>
        <v>CALI</v>
      </c>
      <c r="D7196" s="15" t="str">
        <f>IFERROR(__xludf.DUMMYFUNCTION("""COMPUTED_VALUE"""),"MEDELLÍN")</f>
        <v>MEDELLÍN</v>
      </c>
      <c r="E7196" s="15" t="str">
        <f>IFERROR(__xludf.DUMMYFUNCTION("""COMPUTED_VALUE"""),"Baby Chef")</f>
        <v>Baby Chef</v>
      </c>
      <c r="F7196" s="17" t="str">
        <f>IFERROR(__xludf.DUMMYFUNCTION("""COMPUTED_VALUE"""),"carrera 101b #11a-56 barrio ciudad jardin  / carrera 101b #11a-56 barrio ciudad jardin  / carrera 101b #11a-56 barrio ciudad jardin")</f>
        <v>carrera 101b #11a-56 barrio ciudad jardin  / carrera 101b #11a-56 barrio ciudad jardin  / carrera 101b #11a-56 barrio ciudad jardin</v>
      </c>
      <c r="G7196" s="15" t="str">
        <f>IFERROR(__xludf.DUMMYFUNCTION("""COMPUTED_VALUE"""),"Angela Calle")</f>
        <v>Angela Calle</v>
      </c>
      <c r="H7196" s="16">
        <f>IFERROR(__xludf.DUMMYFUNCTION("""COMPUTED_VALUE"""),15933.0)</f>
        <v>15933</v>
      </c>
      <c r="I7196" s="18">
        <f>IFERROR(__xludf.DUMMYFUNCTION("""COMPUTED_VALUE"""),7.0)</f>
        <v>7</v>
      </c>
      <c r="J7196" s="18">
        <f>IFERROR(__xludf.DUMMYFUNCTION("""COMPUTED_VALUE"""),23.0)</f>
        <v>23</v>
      </c>
      <c r="K7196" s="18">
        <f>IFERROR(__xludf.DUMMYFUNCTION("""COMPUTED_VALUE"""),22.0)</f>
        <v>22</v>
      </c>
      <c r="L7196" s="17">
        <f>IFERROR(__xludf.DUMMYFUNCTION("""COMPUTED_VALUE"""),3.128638198E9)</f>
        <v>3128638198</v>
      </c>
      <c r="M7196" s="17"/>
      <c r="N7196" s="17"/>
      <c r="O7196" s="17"/>
      <c r="P7196" s="17" t="b">
        <f>IFERROR(__xludf.DUMMYFUNCTION("""COMPUTED_VALUE"""),FALSE)</f>
        <v>0</v>
      </c>
      <c r="Q7196" s="20" t="str">
        <f>IFERROR(__xludf.DUMMYFUNCTION("""COMPUTED_VALUE"""),"")</f>
        <v/>
      </c>
      <c r="R7196" s="21" t="str">
        <f>IFERROR(__xludf.DUMMYFUNCTION("""COMPUTED_VALUE"""),"https://drive.google.com/file/d/1dBSo2ps4sx2J7-jCxDGHpMy6oxBuZlCt/view?usp=drivesdk")</f>
        <v>https://drive.google.com/file/d/1dBSo2ps4sx2J7-jCxDGHpMy6oxBuZlCt/view?usp=drivesdk</v>
      </c>
    </row>
    <row r="7197">
      <c r="A7197" s="15">
        <f>IFERROR(__xludf.DUMMYFUNCTION("""COMPUTED_VALUE"""),45203.0)</f>
        <v>45203</v>
      </c>
      <c r="B7197" s="16" t="str">
        <f>IFERROR(__xludf.DUMMYFUNCTION("""COMPUTED_VALUE"""),"Johan Alexander Escobar Arroyo ")</f>
        <v>Johan Alexander Escobar Arroyo </v>
      </c>
      <c r="C7197" s="15" t="str">
        <f>IFERROR(__xludf.DUMMYFUNCTION("""COMPUTED_VALUE"""),"CALI")</f>
        <v>CALI</v>
      </c>
      <c r="D7197" s="15" t="str">
        <f>IFERROR(__xludf.DUMMYFUNCTION("""COMPUTED_VALUE"""),"MEDELLÍN")</f>
        <v>MEDELLÍN</v>
      </c>
      <c r="E7197" s="15" t="str">
        <f>IFERROR(__xludf.DUMMYFUNCTION("""COMPUTED_VALUE"""),"Baby Chef")</f>
        <v>Baby Chef</v>
      </c>
      <c r="F7197" s="17" t="str">
        <f>IFERROR(__xludf.DUMMYFUNCTION("""COMPUTED_VALUE"""),"Carrera 127 9 100 Casa 12 Paraíso Del Río Barrio Pance Carrera 127 9 100 Casa 12 / ""Carrera 127 9 100 Casa 12 Paraíso Del Río Barrio Pance Carrera 127 9 100 Casa 12"" / ""Carrera 127 9 100 Casa 12 Paraíso Del Río Barrio Pance Carrera 127 9 100 Casa 12""")</f>
        <v>Carrera 127 9 100 Casa 12 Paraíso Del Río Barrio Pance Carrera 127 9 100 Casa 12 / "Carrera 127 9 100 Casa 12 Paraíso Del Río Barrio Pance Carrera 127 9 100 Casa 12" / "Carrera 127 9 100 Casa 12 Paraíso Del Río Barrio Pance Carrera 127 9 100 Casa 12"</v>
      </c>
      <c r="G7197" s="15" t="str">
        <f>IFERROR(__xludf.DUMMYFUNCTION("""COMPUTED_VALUE"""),"Lina Giraldo")</f>
        <v>Lina Giraldo</v>
      </c>
      <c r="H7197" s="16">
        <f>IFERROR(__xludf.DUMMYFUNCTION("""COMPUTED_VALUE"""),15934.0)</f>
        <v>15934</v>
      </c>
      <c r="I7197" s="18">
        <f>IFERROR(__xludf.DUMMYFUNCTION("""COMPUTED_VALUE"""),7.0)</f>
        <v>7</v>
      </c>
      <c r="J7197" s="18">
        <f>IFERROR(__xludf.DUMMYFUNCTION("""COMPUTED_VALUE"""),23.0)</f>
        <v>23</v>
      </c>
      <c r="K7197" s="18">
        <f>IFERROR(__xludf.DUMMYFUNCTION("""COMPUTED_VALUE"""),34.0)</f>
        <v>34</v>
      </c>
      <c r="L7197" s="17">
        <f>IFERROR(__xludf.DUMMYFUNCTION("""COMPUTED_VALUE"""),3.10896505E9)</f>
        <v>3108965050</v>
      </c>
      <c r="M7197" s="17"/>
      <c r="N7197" s="17"/>
      <c r="O7197" s="17"/>
      <c r="P7197" s="17" t="b">
        <f>IFERROR(__xludf.DUMMYFUNCTION("""COMPUTED_VALUE"""),FALSE)</f>
        <v>0</v>
      </c>
      <c r="Q7197" s="20" t="str">
        <f>IFERROR(__xludf.DUMMYFUNCTION("""COMPUTED_VALUE"""),"")</f>
        <v/>
      </c>
      <c r="R7197" s="21" t="str">
        <f>IFERROR(__xludf.DUMMYFUNCTION("""COMPUTED_VALUE"""),"https://drive.google.com/file/d/1pw8UwIlh0a2Msp2_pPrKSKpHiqlnLA90/view?usp=drivesdk")</f>
        <v>https://drive.google.com/file/d/1pw8UwIlh0a2Msp2_pPrKSKpHiqlnLA90/view?usp=drivesdk</v>
      </c>
    </row>
    <row r="7198">
      <c r="A7198" s="15">
        <f>IFERROR(__xludf.DUMMYFUNCTION("""COMPUTED_VALUE"""),45203.0)</f>
        <v>45203</v>
      </c>
      <c r="B7198" s="16" t="str">
        <f>IFERROR(__xludf.DUMMYFUNCTION("""COMPUTED_VALUE"""),"Johan Alexander Escobar Arroyo ")</f>
        <v>Johan Alexander Escobar Arroyo </v>
      </c>
      <c r="C7198" s="15" t="str">
        <f>IFERROR(__xludf.DUMMYFUNCTION("""COMPUTED_VALUE"""),"CALI")</f>
        <v>CALI</v>
      </c>
      <c r="D7198" s="15" t="str">
        <f>IFERROR(__xludf.DUMMYFUNCTION("""COMPUTED_VALUE"""),"MEDELLÍN")</f>
        <v>MEDELLÍN</v>
      </c>
      <c r="E7198" s="15" t="str">
        <f>IFERROR(__xludf.DUMMYFUNCTION("""COMPUTED_VALUE"""),"Baby Chef")</f>
        <v>Baby Chef</v>
      </c>
      <c r="F7198" s="17" t="str">
        <f>IFERROR(__xludf.DUMMYFUNCTION("""COMPUTED_VALUE"""),"Carrera 83 A # 18 - 70 Casa Esquinera Barrio Ingenio III / ""Carrera 83 A # 18 - 70 Casa Esquinera Barrio Ingenio III"" / ""Carrera 83 A # 18 - 70 Casa Esquinera Barrio Ingenio III""")</f>
        <v>Carrera 83 A # 18 - 70 Casa Esquinera Barrio Ingenio III / "Carrera 83 A # 18 - 70 Casa Esquinera Barrio Ingenio III" / "Carrera 83 A # 18 - 70 Casa Esquinera Barrio Ingenio III"</v>
      </c>
      <c r="G7198" s="15" t="str">
        <f>IFERROR(__xludf.DUMMYFUNCTION("""COMPUTED_VALUE"""),"Mayerline Montealegre Toro")</f>
        <v>Mayerline Montealegre Toro</v>
      </c>
      <c r="H7198" s="16">
        <f>IFERROR(__xludf.DUMMYFUNCTION("""COMPUTED_VALUE"""),15928.0)</f>
        <v>15928</v>
      </c>
      <c r="I7198" s="18">
        <f>IFERROR(__xludf.DUMMYFUNCTION("""COMPUTED_VALUE"""),5.0)</f>
        <v>5</v>
      </c>
      <c r="J7198" s="18">
        <f>IFERROR(__xludf.DUMMYFUNCTION("""COMPUTED_VALUE"""),22.0)</f>
        <v>22</v>
      </c>
      <c r="K7198" s="18">
        <f>IFERROR(__xludf.DUMMYFUNCTION("""COMPUTED_VALUE"""),24.0)</f>
        <v>24</v>
      </c>
      <c r="L7198" s="17">
        <f>IFERROR(__xludf.DUMMYFUNCTION("""COMPUTED_VALUE"""),3.217394082E9)</f>
        <v>3217394082</v>
      </c>
      <c r="M7198" s="17"/>
      <c r="N7198" s="17"/>
      <c r="O7198" s="17"/>
      <c r="P7198" s="17" t="b">
        <f>IFERROR(__xludf.DUMMYFUNCTION("""COMPUTED_VALUE"""),FALSE)</f>
        <v>0</v>
      </c>
      <c r="Q7198" s="20" t="str">
        <f>IFERROR(__xludf.DUMMYFUNCTION("""COMPUTED_VALUE"""),"")</f>
        <v/>
      </c>
      <c r="R7198" s="21" t="str">
        <f>IFERROR(__xludf.DUMMYFUNCTION("""COMPUTED_VALUE"""),"https://drive.google.com/file/d/1WM0Q7k72jwrwd2WQegep9ZNu6dsd9rHj/view?usp=drivesdk")</f>
        <v>https://drive.google.com/file/d/1WM0Q7k72jwrwd2WQegep9ZNu6dsd9rHj/view?usp=drivesdk</v>
      </c>
    </row>
    <row r="7199">
      <c r="A7199" s="15">
        <f>IFERROR(__xludf.DUMMYFUNCTION("""COMPUTED_VALUE"""),45203.0)</f>
        <v>45203</v>
      </c>
      <c r="B7199" s="16" t="str">
        <f>IFERROR(__xludf.DUMMYFUNCTION("""COMPUTED_VALUE"""),"Johan Alexander Escobar Arroyo ")</f>
        <v>Johan Alexander Escobar Arroyo </v>
      </c>
      <c r="C7199" s="15" t="str">
        <f>IFERROR(__xludf.DUMMYFUNCTION("""COMPUTED_VALUE"""),"CALI")</f>
        <v>CALI</v>
      </c>
      <c r="D7199" s="15" t="str">
        <f>IFERROR(__xludf.DUMMYFUNCTION("""COMPUTED_VALUE"""),"MEDELLÍN")</f>
        <v>MEDELLÍN</v>
      </c>
      <c r="E7199" s="15" t="str">
        <f>IFERROR(__xludf.DUMMYFUNCTION("""COMPUTED_VALUE"""),"Baby Chef")</f>
        <v>Baby Chef</v>
      </c>
      <c r="F7199" s="17" t="str">
        <f>IFERROR(__xludf.DUMMYFUNCTION("""COMPUTED_VALUE"""),"Torre 2 Carrera 85c # 13a-120. Unidad villas del ingenio. Casa 14. / ""Torre 2 Carrera 85c # 13a-120. Unidad villas del ingenio. Casa 14."" / ""Torre 2 Carrera 85c # 13a-120. Unidad villas del ingenio. Casa 14.""")</f>
        <v>Torre 2 Carrera 85c # 13a-120. Unidad villas del ingenio. Casa 14. / "Torre 2 Carrera 85c # 13a-120. Unidad villas del ingenio. Casa 14." / "Torre 2 Carrera 85c # 13a-120. Unidad villas del ingenio. Casa 14."</v>
      </c>
      <c r="G7199" s="15" t="str">
        <f>IFERROR(__xludf.DUMMYFUNCTION("""COMPUTED_VALUE"""),"Katherin Avila")</f>
        <v>Katherin Avila</v>
      </c>
      <c r="H7199" s="16">
        <f>IFERROR(__xludf.DUMMYFUNCTION("""COMPUTED_VALUE"""),15935.0)</f>
        <v>15935</v>
      </c>
      <c r="I7199" s="18">
        <f>IFERROR(__xludf.DUMMYFUNCTION("""COMPUTED_VALUE"""),6.0)</f>
        <v>6</v>
      </c>
      <c r="J7199" s="18">
        <f>IFERROR(__xludf.DUMMYFUNCTION("""COMPUTED_VALUE"""),22.0)</f>
        <v>22</v>
      </c>
      <c r="K7199" s="18">
        <f>IFERROR(__xludf.DUMMYFUNCTION("""COMPUTED_VALUE"""),24.0)</f>
        <v>24</v>
      </c>
      <c r="L7199" s="17">
        <f>IFERROR(__xludf.DUMMYFUNCTION("""COMPUTED_VALUE"""),3.183904278E9)</f>
        <v>3183904278</v>
      </c>
      <c r="M7199" s="17"/>
      <c r="N7199" s="17"/>
      <c r="O7199" s="17"/>
      <c r="P7199" s="17" t="b">
        <f>IFERROR(__xludf.DUMMYFUNCTION("""COMPUTED_VALUE"""),FALSE)</f>
        <v>0</v>
      </c>
      <c r="Q7199" s="20" t="str">
        <f>IFERROR(__xludf.DUMMYFUNCTION("""COMPUTED_VALUE"""),"")</f>
        <v/>
      </c>
      <c r="R7199" s="21" t="str">
        <f>IFERROR(__xludf.DUMMYFUNCTION("""COMPUTED_VALUE"""),"https://drive.google.com/file/d/15zBHtOeU6wDAfbXK51ZQRtlczhkEtJmb/view?usp=drivesdk")</f>
        <v>https://drive.google.com/file/d/15zBHtOeU6wDAfbXK51ZQRtlczhkEtJmb/view?usp=drivesdk</v>
      </c>
    </row>
    <row r="7200">
      <c r="A7200" s="15">
        <f>IFERROR(__xludf.DUMMYFUNCTION("""COMPUTED_VALUE"""),45203.0)</f>
        <v>45203</v>
      </c>
      <c r="B7200" s="16" t="str">
        <f>IFERROR(__xludf.DUMMYFUNCTION("""COMPUTED_VALUE"""),"Johan Alexander Escobar Arroyo ")</f>
        <v>Johan Alexander Escobar Arroyo </v>
      </c>
      <c r="C7200" s="15" t="str">
        <f>IFERROR(__xludf.DUMMYFUNCTION("""COMPUTED_VALUE"""),"CALI")</f>
        <v>CALI</v>
      </c>
      <c r="D7200" s="15" t="str">
        <f>IFERROR(__xludf.DUMMYFUNCTION("""COMPUTED_VALUE"""),"MEDELLÍN")</f>
        <v>MEDELLÍN</v>
      </c>
      <c r="E7200" s="15" t="str">
        <f>IFERROR(__xludf.DUMMYFUNCTION("""COMPUTED_VALUE"""),"JD Bufala")</f>
        <v>JD Bufala</v>
      </c>
      <c r="F7200" s="17" t="str">
        <f>IFERROR(__xludf.DUMMYFUNCTION("""COMPUTED_VALUE"""),"Calle 51norte # 4bn72 / Delhuertopizzeria  / La flora")</f>
        <v>Calle 51norte # 4bn72 / Delhuertopizzeria  / La flora</v>
      </c>
      <c r="G7200" s="15" t="str">
        <f>IFERROR(__xludf.DUMMYFUNCTION("""COMPUTED_VALUE"""),"Jaiver Rodríguez")</f>
        <v>Jaiver Rodríguez</v>
      </c>
      <c r="H7200" s="16">
        <f>IFERROR(__xludf.DUMMYFUNCTION("""COMPUTED_VALUE"""),15911.0)</f>
        <v>15911</v>
      </c>
      <c r="I7200" s="18" t="str">
        <f>IFERROR(__xludf.DUMMYFUNCTION("""COMPUTED_VALUE"""),"102.5")</f>
        <v>102.5</v>
      </c>
      <c r="J7200" s="18">
        <f>IFERROR(__xludf.DUMMYFUNCTION("""COMPUTED_VALUE"""),28.0)</f>
        <v>28</v>
      </c>
      <c r="K7200" s="18">
        <f>IFERROR(__xludf.DUMMYFUNCTION("""COMPUTED_VALUE"""),40.0)</f>
        <v>40</v>
      </c>
      <c r="L7200" s="17">
        <f>IFERROR(__xludf.DUMMYFUNCTION("""COMPUTED_VALUE"""),3.104919761E9)</f>
        <v>3104919761</v>
      </c>
      <c r="M7200" s="17"/>
      <c r="N7200" s="17"/>
      <c r="O7200" s="17"/>
      <c r="P7200" s="17" t="b">
        <f>IFERROR(__xludf.DUMMYFUNCTION("""COMPUTED_VALUE"""),FALSE)</f>
        <v>0</v>
      </c>
      <c r="Q7200" s="20" t="str">
        <f>IFERROR(__xludf.DUMMYFUNCTION("""COMPUTED_VALUE"""),"")</f>
        <v/>
      </c>
      <c r="R7200" s="22" t="str">
        <f>IFERROR(__xludf.DUMMYFUNCTION("""COMPUTED_VALUE"""),"")</f>
        <v/>
      </c>
    </row>
    <row r="7201">
      <c r="A7201" s="15">
        <f>IFERROR(__xludf.DUMMYFUNCTION("""COMPUTED_VALUE"""),45203.0)</f>
        <v>45203</v>
      </c>
      <c r="B7201" s="16" t="str">
        <f>IFERROR(__xludf.DUMMYFUNCTION("""COMPUTED_VALUE"""),"Johan Alexander Escobar Arroyo ")</f>
        <v>Johan Alexander Escobar Arroyo </v>
      </c>
      <c r="C7201" s="15" t="str">
        <f>IFERROR(__xludf.DUMMYFUNCTION("""COMPUTED_VALUE"""),"CALI")</f>
        <v>CALI</v>
      </c>
      <c r="D7201" s="15" t="str">
        <f>IFERROR(__xludf.DUMMYFUNCTION("""COMPUTED_VALUE"""),"MEDELLÍN")</f>
        <v>MEDELLÍN</v>
      </c>
      <c r="E7201" s="15" t="str">
        <f>IFERROR(__xludf.DUMMYFUNCTION("""COMPUTED_VALUE"""),"JD Bufala")</f>
        <v>JD Bufala</v>
      </c>
      <c r="F7201" s="17" t="str">
        <f>IFERROR(__xludf.DUMMYFUNCTION("""COMPUTED_VALUE"""),"Cra 76#3-80 / Apt  / Nápoles")</f>
        <v>Cra 76#3-80 / Apt  / Nápoles</v>
      </c>
      <c r="G7201" s="15" t="str">
        <f>IFERROR(__xludf.DUMMYFUNCTION("""COMPUTED_VALUE"""),"Oscar pinta")</f>
        <v>Oscar pinta</v>
      </c>
      <c r="H7201" s="16">
        <f>IFERROR(__xludf.DUMMYFUNCTION("""COMPUTED_VALUE"""),15913.0)</f>
        <v>15913</v>
      </c>
      <c r="I7201" s="18">
        <f>IFERROR(__xludf.DUMMYFUNCTION("""COMPUTED_VALUE"""),16.0)</f>
        <v>16</v>
      </c>
      <c r="J7201" s="18">
        <f>IFERROR(__xludf.DUMMYFUNCTION("""COMPUTED_VALUE"""),10.0)</f>
        <v>10</v>
      </c>
      <c r="K7201" s="18">
        <f>IFERROR(__xludf.DUMMYFUNCTION("""COMPUTED_VALUE"""),28.0)</f>
        <v>28</v>
      </c>
      <c r="L7201" s="17">
        <f>IFERROR(__xludf.DUMMYFUNCTION("""COMPUTED_VALUE"""),3.043565366E9)</f>
        <v>3043565366</v>
      </c>
      <c r="M7201" s="17"/>
      <c r="N7201" s="17"/>
      <c r="O7201" s="17"/>
      <c r="P7201" s="17" t="b">
        <f>IFERROR(__xludf.DUMMYFUNCTION("""COMPUTED_VALUE"""),FALSE)</f>
        <v>0</v>
      </c>
      <c r="Q7201" s="20" t="str">
        <f>IFERROR(__xludf.DUMMYFUNCTION("""COMPUTED_VALUE"""),"")</f>
        <v/>
      </c>
      <c r="R7201" s="21" t="str">
        <f>IFERROR(__xludf.DUMMYFUNCTION("""COMPUTED_VALUE"""),"https://drive.google.com/file/d/1TkBwZ_EY_Aec-LJV9KefPNOh6TmsKt9M/view?usp=drivesdk")</f>
        <v>https://drive.google.com/file/d/1TkBwZ_EY_Aec-LJV9KefPNOh6TmsKt9M/view?usp=drivesdk</v>
      </c>
    </row>
    <row r="7202">
      <c r="A7202" s="15">
        <f>IFERROR(__xludf.DUMMYFUNCTION("""COMPUTED_VALUE"""),45203.0)</f>
        <v>45203</v>
      </c>
      <c r="B7202" s="16" t="str">
        <f>IFERROR(__xludf.DUMMYFUNCTION("""COMPUTED_VALUE"""),"Johan Alexander Escobar Arroyo ")</f>
        <v>Johan Alexander Escobar Arroyo </v>
      </c>
      <c r="C7202" s="15" t="str">
        <f>IFERROR(__xludf.DUMMYFUNCTION("""COMPUTED_VALUE"""),"CALI")</f>
        <v>CALI</v>
      </c>
      <c r="D7202" s="15" t="str">
        <f>IFERROR(__xludf.DUMMYFUNCTION("""COMPUTED_VALUE"""),"MEDELLÍN")</f>
        <v>MEDELLÍN</v>
      </c>
      <c r="E7202" s="15" t="str">
        <f>IFERROR(__xludf.DUMMYFUNCTION("""COMPUTED_VALUE"""),"Rambla")</f>
        <v>Rambla</v>
      </c>
      <c r="F7202" s="17" t="str">
        <f>IFERROR(__xludf.DUMMYFUNCTION("""COMPUTED_VALUE"""),"Cra 100 #15 a -61 Local 104 / cc aventura / -")</f>
        <v>Cra 100 #15 a -61 Local 104 / cc aventura / -</v>
      </c>
      <c r="G7202" s="15" t="str">
        <f>IFERROR(__xludf.DUMMYFUNCTION("""COMPUTED_VALUE"""),"Nutrilight")</f>
        <v>Nutrilight</v>
      </c>
      <c r="H7202" s="16">
        <f>IFERROR(__xludf.DUMMYFUNCTION("""COMPUTED_VALUE"""),15940.0)</f>
        <v>15940</v>
      </c>
      <c r="I7202" s="18">
        <f>IFERROR(__xludf.DUMMYFUNCTION("""COMPUTED_VALUE"""),24.0)</f>
        <v>24</v>
      </c>
      <c r="J7202" s="18">
        <f>IFERROR(__xludf.DUMMYFUNCTION("""COMPUTED_VALUE"""),20.0)</f>
        <v>20</v>
      </c>
      <c r="K7202" s="18">
        <f>IFERROR(__xludf.DUMMYFUNCTION("""COMPUTED_VALUE"""),20.0)</f>
        <v>20</v>
      </c>
      <c r="L7202" s="17">
        <f>IFERROR(__xludf.DUMMYFUNCTION("""COMPUTED_VALUE"""),3.146112262E9)</f>
        <v>3146112262</v>
      </c>
      <c r="M7202" s="17"/>
      <c r="N7202" s="17"/>
      <c r="O7202" s="17"/>
      <c r="P7202" s="17" t="b">
        <f>IFERROR(__xludf.DUMMYFUNCTION("""COMPUTED_VALUE"""),FALSE)</f>
        <v>0</v>
      </c>
      <c r="Q7202" s="20" t="str">
        <f>IFERROR(__xludf.DUMMYFUNCTION("""COMPUTED_VALUE"""),"")</f>
        <v/>
      </c>
      <c r="R7202" s="21" t="str">
        <f>IFERROR(__xludf.DUMMYFUNCTION("""COMPUTED_VALUE"""),"https://drive.google.com/file/d/1Fe57fHD3KLPd3OS65gKrp3jOyKCHxxbS/view?usp=drivesdk")</f>
        <v>https://drive.google.com/file/d/1Fe57fHD3KLPd3OS65gKrp3jOyKCHxxbS/view?usp=drivesdk</v>
      </c>
    </row>
    <row r="7203">
      <c r="A7203" s="15">
        <f>IFERROR(__xludf.DUMMYFUNCTION("""COMPUTED_VALUE"""),45203.0)</f>
        <v>45203</v>
      </c>
      <c r="B7203" s="16" t="str">
        <f>IFERROR(__xludf.DUMMYFUNCTION("""COMPUTED_VALUE"""),"Johan Alexander Escobar Arroyo ")</f>
        <v>Johan Alexander Escobar Arroyo </v>
      </c>
      <c r="C7203" s="15" t="str">
        <f>IFERROR(__xludf.DUMMYFUNCTION("""COMPUTED_VALUE"""),"CALI")</f>
        <v>CALI</v>
      </c>
      <c r="D7203" s="15" t="str">
        <f>IFERROR(__xludf.DUMMYFUNCTION("""COMPUTED_VALUE"""),"MEDELLÍN")</f>
        <v>MEDELLÍN</v>
      </c>
      <c r="E7203" s="15" t="str">
        <f>IFERROR(__xludf.DUMMYFUNCTION("""COMPUTED_VALUE"""),"Rambla")</f>
        <v>Rambla</v>
      </c>
      <c r="F7203" s="17" t="str">
        <f>IFERROR(__xludf.DUMMYFUNCTION("""COMPUTED_VALUE"""),"CRA 105 #15B45 LOCAL 15 CENTRO COMERCIAL LAS VELAS  cali / - / -")</f>
        <v>CRA 105 #15B45 LOCAL 15 CENTRO COMERCIAL LAS VELAS  cali / - / -</v>
      </c>
      <c r="G7203" s="15" t="str">
        <f>IFERROR(__xludf.DUMMYFUNCTION("""COMPUTED_VALUE"""),"Welthy Market")</f>
        <v>Welthy Market</v>
      </c>
      <c r="H7203" s="16">
        <f>IFERROR(__xludf.DUMMYFUNCTION("""COMPUTED_VALUE"""),15939.0)</f>
        <v>15939</v>
      </c>
      <c r="I7203" s="18">
        <f>IFERROR(__xludf.DUMMYFUNCTION("""COMPUTED_VALUE"""),24.0)</f>
        <v>24</v>
      </c>
      <c r="J7203" s="18">
        <f>IFERROR(__xludf.DUMMYFUNCTION("""COMPUTED_VALUE"""),24.0)</f>
        <v>24</v>
      </c>
      <c r="K7203" s="18">
        <f>IFERROR(__xludf.DUMMYFUNCTION("""COMPUTED_VALUE"""),26.0)</f>
        <v>26</v>
      </c>
      <c r="L7203" s="17">
        <f>IFERROR(__xludf.DUMMYFUNCTION("""COMPUTED_VALUE"""),3.152542618E9)</f>
        <v>3152542618</v>
      </c>
      <c r="M7203" s="17"/>
      <c r="N7203" s="17"/>
      <c r="O7203" s="17"/>
      <c r="P7203" s="17" t="b">
        <f>IFERROR(__xludf.DUMMYFUNCTION("""COMPUTED_VALUE"""),FALSE)</f>
        <v>0</v>
      </c>
      <c r="Q7203" s="20" t="str">
        <f>IFERROR(__xludf.DUMMYFUNCTION("""COMPUTED_VALUE"""),"")</f>
        <v/>
      </c>
      <c r="R7203" s="21" t="str">
        <f>IFERROR(__xludf.DUMMYFUNCTION("""COMPUTED_VALUE"""),"https://drive.google.com/file/d/1xfAuVO35Jl74BypvQrlBQjJ_QssypoKc/view?usp=drivesdk")</f>
        <v>https://drive.google.com/file/d/1xfAuVO35Jl74BypvQrlBQjJ_QssypoKc/view?usp=drivesdk</v>
      </c>
    </row>
    <row r="7204">
      <c r="A7204" s="15">
        <f>IFERROR(__xludf.DUMMYFUNCTION("""COMPUTED_VALUE"""),45203.0)</f>
        <v>45203</v>
      </c>
      <c r="B7204" s="16" t="str">
        <f>IFERROR(__xludf.DUMMYFUNCTION("""COMPUTED_VALUE"""),"Johan Alexander Escobar Arroyo ")</f>
        <v>Johan Alexander Escobar Arroyo </v>
      </c>
      <c r="C7204" s="15" t="str">
        <f>IFERROR(__xludf.DUMMYFUNCTION("""COMPUTED_VALUE"""),"CALI")</f>
        <v>CALI</v>
      </c>
      <c r="D7204" s="15" t="str">
        <f>IFERROR(__xludf.DUMMYFUNCTION("""COMPUTED_VALUE"""),"MEDELLÍN")</f>
        <v>MEDELLÍN</v>
      </c>
      <c r="E7204" s="15" t="str">
        <f>IFERROR(__xludf.DUMMYFUNCTION("""COMPUTED_VALUE"""),"Videobase")</f>
        <v>Videobase</v>
      </c>
      <c r="F7204" s="17" t="str">
        <f>IFERROR(__xludf.DUMMYFUNCTION("""COMPUTED_VALUE""")," Cra 1 #40-108 / Colgate Palmolive Compania. / No tenemos")</f>
        <v> Cra 1 #40-108 / Colgate Palmolive Compania. / No tenemos</v>
      </c>
      <c r="G7204" s="15" t="str">
        <f>IFERROR(__xludf.DUMMYFUNCTION("""COMPUTED_VALUE""")," Carlos Andres Mejia")</f>
        <v> Carlos Andres Mejia</v>
      </c>
      <c r="H7204" s="16">
        <f>IFERROR(__xludf.DUMMYFUNCTION("""COMPUTED_VALUE"""),15948.0)</f>
        <v>15948</v>
      </c>
      <c r="I7204" s="18">
        <f>IFERROR(__xludf.DUMMYFUNCTION("""COMPUTED_VALUE"""),4.0)</f>
        <v>4</v>
      </c>
      <c r="J7204" s="18">
        <f>IFERROR(__xludf.DUMMYFUNCTION("""COMPUTED_VALUE"""),22.0)</f>
        <v>22</v>
      </c>
      <c r="K7204" s="18">
        <f>IFERROR(__xludf.DUMMYFUNCTION("""COMPUTED_VALUE"""),18.0)</f>
        <v>18</v>
      </c>
      <c r="L7204" s="17">
        <f>IFERROR(__xludf.DUMMYFUNCTION("""COMPUTED_VALUE"""),3.167433821E9)</f>
        <v>3167433821</v>
      </c>
      <c r="M7204" s="17"/>
      <c r="N7204" s="17"/>
      <c r="O7204" s="17"/>
      <c r="P7204" s="17" t="b">
        <f>IFERROR(__xludf.DUMMYFUNCTION("""COMPUTED_VALUE"""),FALSE)</f>
        <v>0</v>
      </c>
      <c r="Q7204" s="20" t="str">
        <f>IFERROR(__xludf.DUMMYFUNCTION("""COMPUTED_VALUE"""),"")</f>
        <v/>
      </c>
      <c r="R7204" s="21" t="str">
        <f>IFERROR(__xludf.DUMMYFUNCTION("""COMPUTED_VALUE"""),"https://drive.google.com/file/d/1_bYilw4s3CBVBN-KvXQTXxvJSKsrZi3r/view?usp=drivesdk")</f>
        <v>https://drive.google.com/file/d/1_bYilw4s3CBVBN-KvXQTXxvJSKsrZi3r/view?usp=drivesdk</v>
      </c>
    </row>
    <row r="7205">
      <c r="A7205" s="15">
        <f>IFERROR(__xludf.DUMMYFUNCTION("""COMPUTED_VALUE"""),45203.0)</f>
        <v>45203</v>
      </c>
      <c r="B7205" s="16" t="str">
        <f>IFERROR(__xludf.DUMMYFUNCTION("""COMPUTED_VALUE"""),"Johan Alexander Escobar Arroyo ")</f>
        <v>Johan Alexander Escobar Arroyo </v>
      </c>
      <c r="C7205" s="15" t="str">
        <f>IFERROR(__xludf.DUMMYFUNCTION("""COMPUTED_VALUE"""),"CALI")</f>
        <v>CALI</v>
      </c>
      <c r="D7205" s="15" t="str">
        <f>IFERROR(__xludf.DUMMYFUNCTION("""COMPUTED_VALUE"""),"MEDELLÍN")</f>
        <v>MEDELLÍN</v>
      </c>
      <c r="E7205" s="15" t="str">
        <f>IFERROR(__xludf.DUMMYFUNCTION("""COMPUTED_VALUE"""),"Videobase")</f>
        <v>Videobase</v>
      </c>
      <c r="F7205" s="17" t="str">
        <f>IFERROR(__xludf.DUMMYFUNCTION("""COMPUTED_VALUE"""),"AV 5N 23DN 93 / Tecno Plaza S.A.S / No tenemos")</f>
        <v>AV 5N 23DN 93 / Tecno Plaza S.A.S / No tenemos</v>
      </c>
      <c r="G7205" s="15" t="str">
        <f>IFERROR(__xludf.DUMMYFUNCTION("""COMPUTED_VALUE"""),"Fabián Mauricio Chica")</f>
        <v>Fabián Mauricio Chica</v>
      </c>
      <c r="H7205" s="16">
        <f>IFERROR(__xludf.DUMMYFUNCTION("""COMPUTED_VALUE"""),15943.0)</f>
        <v>15943</v>
      </c>
      <c r="I7205" s="18">
        <f>IFERROR(__xludf.DUMMYFUNCTION("""COMPUTED_VALUE"""),4.0)</f>
        <v>4</v>
      </c>
      <c r="J7205" s="18">
        <f>IFERROR(__xludf.DUMMYFUNCTION("""COMPUTED_VALUE"""),22.0)</f>
        <v>22</v>
      </c>
      <c r="K7205" s="18">
        <f>IFERROR(__xludf.DUMMYFUNCTION("""COMPUTED_VALUE"""),18.0)</f>
        <v>18</v>
      </c>
      <c r="L7205" s="17">
        <f>IFERROR(__xludf.DUMMYFUNCTION("""COMPUTED_VALUE"""),3.11208861E9)</f>
        <v>3112088610</v>
      </c>
      <c r="M7205" s="17"/>
      <c r="N7205" s="17"/>
      <c r="O7205" s="17"/>
      <c r="P7205" s="17" t="b">
        <f>IFERROR(__xludf.DUMMYFUNCTION("""COMPUTED_VALUE"""),FALSE)</f>
        <v>0</v>
      </c>
      <c r="Q7205" s="20" t="str">
        <f>IFERROR(__xludf.DUMMYFUNCTION("""COMPUTED_VALUE"""),"")</f>
        <v/>
      </c>
      <c r="R7205" s="21" t="str">
        <f>IFERROR(__xludf.DUMMYFUNCTION("""COMPUTED_VALUE"""),"https://drive.google.com/file/d/1fTTQHRIZH9lP6I2wFBm5pIQsXV1OK9yw/view?usp=drivesdk")</f>
        <v>https://drive.google.com/file/d/1fTTQHRIZH9lP6I2wFBm5pIQsXV1OK9yw/view?usp=drivesdk</v>
      </c>
    </row>
    <row r="7206">
      <c r="A7206" s="15">
        <f>IFERROR(__xludf.DUMMYFUNCTION("""COMPUTED_VALUE"""),45203.0)</f>
        <v>45203</v>
      </c>
      <c r="B7206" s="16" t="str">
        <f>IFERROR(__xludf.DUMMYFUNCTION("""COMPUTED_VALUE"""),"Johan Alexander Escobar Arroyo ")</f>
        <v>Johan Alexander Escobar Arroyo </v>
      </c>
      <c r="C7206" s="15" t="str">
        <f>IFERROR(__xludf.DUMMYFUNCTION("""COMPUTED_VALUE"""),"CALI")</f>
        <v>CALI</v>
      </c>
      <c r="D7206" s="15" t="str">
        <f>IFERROR(__xludf.DUMMYFUNCTION("""COMPUTED_VALUE"""),"MEDELLÍN")</f>
        <v>MEDELLÍN</v>
      </c>
      <c r="E7206" s="15" t="str">
        <f>IFERROR(__xludf.DUMMYFUNCTION("""COMPUTED_VALUE"""),"Videobase")</f>
        <v>Videobase</v>
      </c>
      <c r="F7206" s="17" t="str">
        <f>IFERROR(__xludf.DUMMYFUNCTION("""COMPUTED_VALUE"""),"Calle 48 # 99-75 / Grupo Vetas Global S.A.S / No temos")</f>
        <v>Calle 48 # 99-75 / Grupo Vetas Global S.A.S / No temos</v>
      </c>
      <c r="G7206" s="15" t="str">
        <f>IFERROR(__xludf.DUMMYFUNCTION("""COMPUTED_VALUE"""),"Mario Hernán Duque López")</f>
        <v>Mario Hernán Duque López</v>
      </c>
      <c r="H7206" s="16">
        <f>IFERROR(__xludf.DUMMYFUNCTION("""COMPUTED_VALUE"""),15944.0)</f>
        <v>15944</v>
      </c>
      <c r="I7206" s="18">
        <f>IFERROR(__xludf.DUMMYFUNCTION("""COMPUTED_VALUE"""),4.0)</f>
        <v>4</v>
      </c>
      <c r="J7206" s="18">
        <f>IFERROR(__xludf.DUMMYFUNCTION("""COMPUTED_VALUE"""),22.0)</f>
        <v>22</v>
      </c>
      <c r="K7206" s="18">
        <f>IFERROR(__xludf.DUMMYFUNCTION("""COMPUTED_VALUE"""),18.0)</f>
        <v>18</v>
      </c>
      <c r="L7206" s="17">
        <f>IFERROR(__xludf.DUMMYFUNCTION("""COMPUTED_VALUE"""),3.205541274E9)</f>
        <v>3205541274</v>
      </c>
      <c r="M7206" s="17"/>
      <c r="N7206" s="17"/>
      <c r="O7206" s="17"/>
      <c r="P7206" s="17" t="b">
        <f>IFERROR(__xludf.DUMMYFUNCTION("""COMPUTED_VALUE"""),FALSE)</f>
        <v>0</v>
      </c>
      <c r="Q7206" s="20" t="str">
        <f>IFERROR(__xludf.DUMMYFUNCTION("""COMPUTED_VALUE"""),"")</f>
        <v/>
      </c>
      <c r="R7206" s="21" t="str">
        <f>IFERROR(__xludf.DUMMYFUNCTION("""COMPUTED_VALUE"""),"https://drive.google.com/file/d/12UbBpzahRtqH1_cEsIaYCmDujE8fL6EW/view?usp=drivesdk")</f>
        <v>https://drive.google.com/file/d/12UbBpzahRtqH1_cEsIaYCmDujE8fL6EW/view?usp=drivesdk</v>
      </c>
    </row>
    <row r="7207">
      <c r="A7207" s="15">
        <f>IFERROR(__xludf.DUMMYFUNCTION("""COMPUTED_VALUE"""),45203.0)</f>
        <v>45203</v>
      </c>
      <c r="B7207" s="16" t="str">
        <f>IFERROR(__xludf.DUMMYFUNCTION("""COMPUTED_VALUE"""),"Johan Alexander Escobar Arroyo ")</f>
        <v>Johan Alexander Escobar Arroyo </v>
      </c>
      <c r="C7207" s="15" t="str">
        <f>IFERROR(__xludf.DUMMYFUNCTION("""COMPUTED_VALUE"""),"CALI")</f>
        <v>CALI</v>
      </c>
      <c r="D7207" s="15" t="str">
        <f>IFERROR(__xludf.DUMMYFUNCTION("""COMPUTED_VALUE"""),"MEDELLÍN")</f>
        <v>MEDELLÍN</v>
      </c>
      <c r="E7207" s="15" t="str">
        <f>IFERROR(__xludf.DUMMYFUNCTION("""COMPUTED_VALUE"""),"Videobase")</f>
        <v>Videobase</v>
      </c>
      <c r="F7207" s="17" t="str">
        <f>IFERROR(__xludf.DUMMYFUNCTION("""COMPUTED_VALUE"""),"Cra 29 B N°10 - 28 Bod. 4 / Manitoba Sas / No tenemos")</f>
        <v>Cra 29 B N°10 - 28 Bod. 4 / Manitoba Sas / No tenemos</v>
      </c>
      <c r="G7207" s="15" t="str">
        <f>IFERROR(__xludf.DUMMYFUNCTION("""COMPUTED_VALUE"""),"Gustavo Adolfo Llano Dominguez")</f>
        <v>Gustavo Adolfo Llano Dominguez</v>
      </c>
      <c r="H7207" s="16">
        <f>IFERROR(__xludf.DUMMYFUNCTION("""COMPUTED_VALUE"""),15949.0)</f>
        <v>15949</v>
      </c>
      <c r="I7207" s="18">
        <f>IFERROR(__xludf.DUMMYFUNCTION("""COMPUTED_VALUE"""),4.0)</f>
        <v>4</v>
      </c>
      <c r="J7207" s="18">
        <f>IFERROR(__xludf.DUMMYFUNCTION("""COMPUTED_VALUE"""),22.0)</f>
        <v>22</v>
      </c>
      <c r="K7207" s="18">
        <f>IFERROR(__xludf.DUMMYFUNCTION("""COMPUTED_VALUE"""),18.0)</f>
        <v>18</v>
      </c>
      <c r="L7207" s="17">
        <f>IFERROR(__xludf.DUMMYFUNCTION("""COMPUTED_VALUE"""),3.10388575E9)</f>
        <v>3103885750</v>
      </c>
      <c r="M7207" s="17"/>
      <c r="N7207" s="17"/>
      <c r="O7207" s="17"/>
      <c r="P7207" s="17" t="b">
        <f>IFERROR(__xludf.DUMMYFUNCTION("""COMPUTED_VALUE"""),TRUE)</f>
        <v>1</v>
      </c>
      <c r="Q7207" s="20">
        <f>IFERROR(__xludf.DUMMYFUNCTION("""COMPUTED_VALUE"""),45205.653748993056)</f>
        <v>45205.65375</v>
      </c>
      <c r="R7207" s="21" t="str">
        <f>IFERROR(__xludf.DUMMYFUNCTION("""COMPUTED_VALUE"""),"https://drive.google.com/file/d/1G0Z8jKSYA5QeKsFiFqAwf9hPNPcMQGBx/view?usp=drivesdk")</f>
        <v>https://drive.google.com/file/d/1G0Z8jKSYA5QeKsFiFqAwf9hPNPcMQGBx/view?usp=drivesdk</v>
      </c>
    </row>
    <row r="7208">
      <c r="A7208" s="15">
        <f>IFERROR(__xludf.DUMMYFUNCTION("""COMPUTED_VALUE"""),45203.0)</f>
        <v>45203</v>
      </c>
      <c r="B7208" s="16" t="str">
        <f>IFERROR(__xludf.DUMMYFUNCTION("""COMPUTED_VALUE"""),"Johan Alexander Escobar Arroyo ")</f>
        <v>Johan Alexander Escobar Arroyo </v>
      </c>
      <c r="C7208" s="15" t="str">
        <f>IFERROR(__xludf.DUMMYFUNCTION("""COMPUTED_VALUE"""),"CÚCUTA")</f>
        <v>CÚCUTA</v>
      </c>
      <c r="D7208" s="15" t="str">
        <f>IFERROR(__xludf.DUMMYFUNCTION("""COMPUTED_VALUE"""),"MEDELLÍN")</f>
        <v>MEDELLÍN</v>
      </c>
      <c r="E7208" s="15" t="str">
        <f>IFERROR(__xludf.DUMMYFUNCTION("""COMPUTED_VALUE"""),"Momo Tea S.A.S Gabriel Echavarría")</f>
        <v>Momo Tea S.A.S Gabriel Echavarría</v>
      </c>
      <c r="F7208" s="17" t="str">
        <f>IFERROR(__xludf.DUMMYFUNCTION("""COMPUTED_VALUE"""),"CL 11 N 16 E 35 / CA B 1")</f>
        <v>CL 11 N 16 E 35 / CA B 1</v>
      </c>
      <c r="G7208" s="15" t="str">
        <f>IFERROR(__xludf.DUMMYFUNCTION("""COMPUTED_VALUE"""),"Gabriel Echavarría")</f>
        <v>Gabriel Echavarría</v>
      </c>
      <c r="H7208" s="16">
        <f>IFERROR(__xludf.DUMMYFUNCTION("""COMPUTED_VALUE"""),15874.0)</f>
        <v>15874</v>
      </c>
      <c r="I7208" s="18">
        <f>IFERROR(__xludf.DUMMYFUNCTION("""COMPUTED_VALUE"""),21.0)</f>
        <v>21</v>
      </c>
      <c r="J7208" s="18">
        <f>IFERROR(__xludf.DUMMYFUNCTION("""COMPUTED_VALUE"""),29.0)</f>
        <v>29</v>
      </c>
      <c r="K7208" s="18">
        <f>IFERROR(__xludf.DUMMYFUNCTION("""COMPUTED_VALUE"""),29.0)</f>
        <v>29</v>
      </c>
      <c r="L7208" s="17">
        <f>IFERROR(__xludf.DUMMYFUNCTION("""COMPUTED_VALUE"""),3.017909548E9)</f>
        <v>3017909548</v>
      </c>
      <c r="M7208" s="17"/>
      <c r="N7208" s="17"/>
      <c r="O7208" s="17"/>
      <c r="P7208" s="17" t="b">
        <f>IFERROR(__xludf.DUMMYFUNCTION("""COMPUTED_VALUE"""),FALSE)</f>
        <v>0</v>
      </c>
      <c r="Q7208" s="20" t="str">
        <f>IFERROR(__xludf.DUMMYFUNCTION("""COMPUTED_VALUE"""),"")</f>
        <v/>
      </c>
      <c r="R7208" s="22" t="str">
        <f>IFERROR(__xludf.DUMMYFUNCTION("""COMPUTED_VALUE"""),"")</f>
        <v/>
      </c>
    </row>
    <row r="7209">
      <c r="A7209" s="17" t="str">
        <f>IFERROR(__xludf.DUMMYFUNCTION("""COMPUTED_VALUE"""),"")</f>
        <v/>
      </c>
      <c r="B7209" s="17" t="str">
        <f>IFERROR(__xludf.DUMMYFUNCTION("""COMPUTED_VALUE"""),"")</f>
        <v/>
      </c>
      <c r="C7209" s="17" t="str">
        <f>IFERROR(__xludf.DUMMYFUNCTION("""COMPUTED_VALUE"""),"")</f>
        <v/>
      </c>
      <c r="D7209" s="17" t="str">
        <f>IFERROR(__xludf.DUMMYFUNCTION("""COMPUTED_VALUE"""),"")</f>
        <v/>
      </c>
      <c r="E7209" s="17" t="str">
        <f>IFERROR(__xludf.DUMMYFUNCTION("""COMPUTED_VALUE"""),"")</f>
        <v/>
      </c>
      <c r="F7209" s="17" t="str">
        <f>IFERROR(__xludf.DUMMYFUNCTION("""COMPUTED_VALUE"""),"")</f>
        <v/>
      </c>
      <c r="G7209" s="17" t="str">
        <f>IFERROR(__xludf.DUMMYFUNCTION("""COMPUTED_VALUE"""),"")</f>
        <v/>
      </c>
      <c r="H7209" s="17" t="str">
        <f>IFERROR(__xludf.DUMMYFUNCTION("""COMPUTED_VALUE"""),"")</f>
        <v/>
      </c>
      <c r="I7209" s="17" t="str">
        <f>IFERROR(__xludf.DUMMYFUNCTION("""COMPUTED_VALUE"""),"")</f>
        <v/>
      </c>
      <c r="J7209" s="17" t="str">
        <f>IFERROR(__xludf.DUMMYFUNCTION("""COMPUTED_VALUE"""),"")</f>
        <v/>
      </c>
      <c r="K7209" s="17" t="str">
        <f>IFERROR(__xludf.DUMMYFUNCTION("""COMPUTED_VALUE"""),"")</f>
        <v/>
      </c>
      <c r="L7209" s="17" t="str">
        <f>IFERROR(__xludf.DUMMYFUNCTION("""COMPUTED_VALUE"""),"")</f>
        <v/>
      </c>
      <c r="M7209" s="17" t="str">
        <f>IFERROR(__xludf.DUMMYFUNCTION("""COMPUTED_VALUE"""),"")</f>
        <v/>
      </c>
      <c r="N7209" s="17" t="str">
        <f>IFERROR(__xludf.DUMMYFUNCTION("""COMPUTED_VALUE"""),"")</f>
        <v/>
      </c>
      <c r="O7209" s="17" t="str">
        <f>IFERROR(__xludf.DUMMYFUNCTION("""COMPUTED_VALUE"""),"")</f>
        <v/>
      </c>
      <c r="P7209" s="17" t="str">
        <f>IFERROR(__xludf.DUMMYFUNCTION("""COMPUTED_VALUE"""),"")</f>
        <v/>
      </c>
      <c r="Q7209" s="17" t="str">
        <f>IFERROR(__xludf.DUMMYFUNCTION("""COMPUTED_VALUE"""),"")</f>
        <v/>
      </c>
      <c r="R7209" s="17" t="str">
        <f>IFERROR(__xludf.DUMMYFUNCTION("""COMPUTED_VALUE"""),"")</f>
        <v/>
      </c>
    </row>
    <row r="7210">
      <c r="A7210" s="15">
        <f>IFERROR(__xludf.DUMMYFUNCTION("""COMPUTED_VALUE"""),45204.0)</f>
        <v>45204</v>
      </c>
      <c r="B7210" s="17"/>
      <c r="C7210" s="15" t="str">
        <f>IFERROR(__xludf.DUMMYFUNCTION("""COMPUTED_VALUE"""),"BARRANQUILLA")</f>
        <v>BARRANQUILLA</v>
      </c>
      <c r="D7210" s="15" t="str">
        <f>IFERROR(__xludf.DUMMYFUNCTION("""COMPUTED_VALUE"""),"BOGOTÁ")</f>
        <v>BOGOTÁ</v>
      </c>
      <c r="E7210" s="15" t="str">
        <f>IFERROR(__xludf.DUMMYFUNCTION("""COMPUTED_VALUE"""),"Top Spun")</f>
        <v>Top Spun</v>
      </c>
      <c r="F7210" s="17" t="str">
        <f>IFERROR(__xludf.DUMMYFUNCTION("""COMPUTED_VALUE"""),"Calle 84a 37-52 / Barrio Ruby / Barranquilla")</f>
        <v>Calle 84a 37-52 / Barrio Ruby / Barranquilla</v>
      </c>
      <c r="G7210" s="15" t="str">
        <f>IFERROR(__xludf.DUMMYFUNCTION("""COMPUTED_VALUE"""),"Silvana Carolina Villanueva Arteta")</f>
        <v>Silvana Carolina Villanueva Arteta</v>
      </c>
      <c r="H7210" s="16">
        <f>IFERROR(__xludf.DUMMYFUNCTION("""COMPUTED_VALUE"""),15905.0)</f>
        <v>15905</v>
      </c>
      <c r="I7210" s="18">
        <f>IFERROR(__xludf.DUMMYFUNCTION("""COMPUTED_VALUE"""),20.0)</f>
        <v>20</v>
      </c>
      <c r="J7210" s="18">
        <f>IFERROR(__xludf.DUMMYFUNCTION("""COMPUTED_VALUE"""),10.0)</f>
        <v>10</v>
      </c>
      <c r="K7210" s="18">
        <f>IFERROR(__xludf.DUMMYFUNCTION("""COMPUTED_VALUE"""),40.0)</f>
        <v>40</v>
      </c>
      <c r="L7210" s="17">
        <f>IFERROR(__xludf.DUMMYFUNCTION("""COMPUTED_VALUE"""),3.042916338E9)</f>
        <v>3042916338</v>
      </c>
      <c r="M7210" s="17"/>
      <c r="N7210" s="17"/>
      <c r="O7210" s="17"/>
      <c r="P7210" s="17" t="b">
        <f>IFERROR(__xludf.DUMMYFUNCTION("""COMPUTED_VALUE"""),FALSE)</f>
        <v>0</v>
      </c>
      <c r="Q7210" s="20" t="str">
        <f>IFERROR(__xludf.DUMMYFUNCTION("""COMPUTED_VALUE"""),"")</f>
        <v/>
      </c>
      <c r="R7210" s="21" t="str">
        <f>IFERROR(__xludf.DUMMYFUNCTION("""COMPUTED_VALUE"""),"https://drive.google.com/file/d/1kT2VxC7SoG9kfruiajVHhySLeYNHSPYC/view?usp=drivesdk")</f>
        <v>https://drive.google.com/file/d/1kT2VxC7SoG9kfruiajVHhySLeYNHSPYC/view?usp=drivesdk</v>
      </c>
    </row>
    <row r="7211">
      <c r="A7211" s="17" t="str">
        <f>IFERROR(__xludf.DUMMYFUNCTION("""COMPUTED_VALUE"""),"")</f>
        <v/>
      </c>
      <c r="B7211" s="17" t="str">
        <f>IFERROR(__xludf.DUMMYFUNCTION("""COMPUTED_VALUE"""),"")</f>
        <v/>
      </c>
      <c r="C7211" s="17" t="str">
        <f>IFERROR(__xludf.DUMMYFUNCTION("""COMPUTED_VALUE"""),"")</f>
        <v/>
      </c>
      <c r="D7211" s="17" t="str">
        <f>IFERROR(__xludf.DUMMYFUNCTION("""COMPUTED_VALUE"""),"")</f>
        <v/>
      </c>
      <c r="E7211" s="17" t="str">
        <f>IFERROR(__xludf.DUMMYFUNCTION("""COMPUTED_VALUE"""),"")</f>
        <v/>
      </c>
      <c r="F7211" s="17" t="str">
        <f>IFERROR(__xludf.DUMMYFUNCTION("""COMPUTED_VALUE"""),"")</f>
        <v/>
      </c>
      <c r="G7211" s="17" t="str">
        <f>IFERROR(__xludf.DUMMYFUNCTION("""COMPUTED_VALUE"""),"")</f>
        <v/>
      </c>
      <c r="H7211" s="17" t="str">
        <f>IFERROR(__xludf.DUMMYFUNCTION("""COMPUTED_VALUE"""),"")</f>
        <v/>
      </c>
      <c r="I7211" s="17" t="str">
        <f>IFERROR(__xludf.DUMMYFUNCTION("""COMPUTED_VALUE"""),"")</f>
        <v/>
      </c>
      <c r="J7211" s="17" t="str">
        <f>IFERROR(__xludf.DUMMYFUNCTION("""COMPUTED_VALUE"""),"")</f>
        <v/>
      </c>
      <c r="K7211" s="17" t="str">
        <f>IFERROR(__xludf.DUMMYFUNCTION("""COMPUTED_VALUE"""),"")</f>
        <v/>
      </c>
      <c r="L7211" s="17" t="str">
        <f>IFERROR(__xludf.DUMMYFUNCTION("""COMPUTED_VALUE"""),"")</f>
        <v/>
      </c>
      <c r="M7211" s="17" t="str">
        <f>IFERROR(__xludf.DUMMYFUNCTION("""COMPUTED_VALUE"""),"")</f>
        <v/>
      </c>
      <c r="N7211" s="17" t="str">
        <f>IFERROR(__xludf.DUMMYFUNCTION("""COMPUTED_VALUE"""),"")</f>
        <v/>
      </c>
      <c r="O7211" s="17" t="str">
        <f>IFERROR(__xludf.DUMMYFUNCTION("""COMPUTED_VALUE"""),"")</f>
        <v/>
      </c>
      <c r="P7211" s="17" t="str">
        <f>IFERROR(__xludf.DUMMYFUNCTION("""COMPUTED_VALUE"""),"")</f>
        <v/>
      </c>
      <c r="Q7211" s="17" t="str">
        <f>IFERROR(__xludf.DUMMYFUNCTION("""COMPUTED_VALUE"""),"")</f>
        <v/>
      </c>
      <c r="R7211" s="17" t="str">
        <f>IFERROR(__xludf.DUMMYFUNCTION("""COMPUTED_VALUE"""),"")</f>
        <v/>
      </c>
    </row>
    <row r="7212">
      <c r="A7212" s="15">
        <f>IFERROR(__xludf.DUMMYFUNCTION("""COMPUTED_VALUE"""),45204.0)</f>
        <v>45204</v>
      </c>
      <c r="B7212" s="16" t="str">
        <f>IFERROR(__xludf.DUMMYFUNCTION("""COMPUTED_VALUE"""),"Daniel José sandoval gonzalez")</f>
        <v>Daniel José sandoval gonzalez</v>
      </c>
      <c r="C7212" s="15" t="str">
        <f>IFERROR(__xludf.DUMMYFUNCTION("""COMPUTED_VALUE"""),"BARRANQUILLA")</f>
        <v>BARRANQUILLA</v>
      </c>
      <c r="D7212" s="15" t="str">
        <f>IFERROR(__xludf.DUMMYFUNCTION("""COMPUTED_VALUE"""),"BOGOTÁ")</f>
        <v>BOGOTÁ</v>
      </c>
      <c r="E7212" s="15" t="str">
        <f>IFERROR(__xludf.DUMMYFUNCTION("""COMPUTED_VALUE"""),"Banana Bread")</f>
        <v>Banana Bread</v>
      </c>
      <c r="F7212" s="17" t="str">
        <f>IFERROR(__xludf.DUMMYFUNCTION("""COMPUTED_VALUE"""),"CRA 55 # 82-136  / EDIFICIO RIMINI APTO 901 / CENTRO HISTORICO")</f>
        <v>CRA 55 # 82-136  / EDIFICIO RIMINI APTO 901 / CENTRO HISTORICO</v>
      </c>
      <c r="G7212" s="15" t="str">
        <f>IFERROR(__xludf.DUMMYFUNCTION("""COMPUTED_VALUE"""),"NATALIA MALKUM MONTOYA")</f>
        <v>NATALIA MALKUM MONTOYA</v>
      </c>
      <c r="H7212" s="16">
        <f>IFERROR(__xludf.DUMMYFUNCTION("""COMPUTED_VALUE"""),15994.0)</f>
        <v>15994</v>
      </c>
      <c r="I7212" s="18">
        <f>IFERROR(__xludf.DUMMYFUNCTION("""COMPUTED_VALUE"""),3.0)</f>
        <v>3</v>
      </c>
      <c r="J7212" s="18">
        <f>IFERROR(__xludf.DUMMYFUNCTION("""COMPUTED_VALUE"""),16.0)</f>
        <v>16</v>
      </c>
      <c r="K7212" s="18">
        <f>IFERROR(__xludf.DUMMYFUNCTION("""COMPUTED_VALUE"""),16.0)</f>
        <v>16</v>
      </c>
      <c r="L7212" s="17">
        <f>IFERROR(__xludf.DUMMYFUNCTION("""COMPUTED_VALUE"""),3.008020747E9)</f>
        <v>3008020747</v>
      </c>
      <c r="M7212" s="17"/>
      <c r="N7212" s="17"/>
      <c r="O7212" s="17"/>
      <c r="P7212" s="17" t="b">
        <f>IFERROR(__xludf.DUMMYFUNCTION("""COMPUTED_VALUE"""),TRUE)</f>
        <v>1</v>
      </c>
      <c r="Q7212" s="20">
        <f>IFERROR(__xludf.DUMMYFUNCTION("""COMPUTED_VALUE"""),45204.62522929398)</f>
        <v>45204.62523</v>
      </c>
      <c r="R7212" s="21" t="str">
        <f>IFERROR(__xludf.DUMMYFUNCTION("""COMPUTED_VALUE"""),"https://drive.google.com/file/d/1wkQT6y2ZbDtZ3Q3ytXRALoCj6xSI2dug/view?usp=drivesdk")</f>
        <v>https://drive.google.com/file/d/1wkQT6y2ZbDtZ3Q3ytXRALoCj6xSI2dug/view?usp=drivesdk</v>
      </c>
    </row>
    <row r="7213">
      <c r="A7213" s="15">
        <f>IFERROR(__xludf.DUMMYFUNCTION("""COMPUTED_VALUE"""),45204.0)</f>
        <v>45204</v>
      </c>
      <c r="B7213" s="16" t="str">
        <f>IFERROR(__xludf.DUMMYFUNCTION("""COMPUTED_VALUE"""),"Daniel José sandoval gonzalez")</f>
        <v>Daniel José sandoval gonzalez</v>
      </c>
      <c r="C7213" s="15" t="str">
        <f>IFERROR(__xludf.DUMMYFUNCTION("""COMPUTED_VALUE"""),"BARRANQUILLA")</f>
        <v>BARRANQUILLA</v>
      </c>
      <c r="D7213" s="15" t="str">
        <f>IFERROR(__xludf.DUMMYFUNCTION("""COMPUTED_VALUE"""),"BOGOTÁ")</f>
        <v>BOGOTÁ</v>
      </c>
      <c r="E7213" s="15" t="str">
        <f>IFERROR(__xludf.DUMMYFUNCTION("""COMPUTED_VALUE"""),"Banana Bread")</f>
        <v>Banana Bread</v>
      </c>
      <c r="F7213" s="17" t="str">
        <f>IFERROR(__xludf.DUMMYFUNCTION("""COMPUTED_VALUE"""),"CRA 57 #84-173 / E57 APTO 5A / ALTO PRADO")</f>
        <v>CRA 57 #84-173 / E57 APTO 5A / ALTO PRADO</v>
      </c>
      <c r="G7213" s="15" t="str">
        <f>IFERROR(__xludf.DUMMYFUNCTION("""COMPUTED_VALUE"""),"NASHUA  CHEDRAUI")</f>
        <v>NASHUA  CHEDRAUI</v>
      </c>
      <c r="H7213" s="16">
        <f>IFERROR(__xludf.DUMMYFUNCTION("""COMPUTED_VALUE"""),15993.0)</f>
        <v>15993</v>
      </c>
      <c r="I7213" s="18">
        <f>IFERROR(__xludf.DUMMYFUNCTION("""COMPUTED_VALUE"""),8.0)</f>
        <v>8</v>
      </c>
      <c r="J7213" s="18">
        <f>IFERROR(__xludf.DUMMYFUNCTION("""COMPUTED_VALUE"""),13.0)</f>
        <v>13</v>
      </c>
      <c r="K7213" s="18">
        <f>IFERROR(__xludf.DUMMYFUNCTION("""COMPUTED_VALUE"""),23.0)</f>
        <v>23</v>
      </c>
      <c r="L7213" s="17">
        <f>IFERROR(__xludf.DUMMYFUNCTION("""COMPUTED_VALUE"""),3.135829861E9)</f>
        <v>3135829861</v>
      </c>
      <c r="M7213" s="17"/>
      <c r="N7213" s="17"/>
      <c r="O7213" s="17"/>
      <c r="P7213" s="17" t="b">
        <f>IFERROR(__xludf.DUMMYFUNCTION("""COMPUTED_VALUE"""),TRUE)</f>
        <v>1</v>
      </c>
      <c r="Q7213" s="20">
        <f>IFERROR(__xludf.DUMMYFUNCTION("""COMPUTED_VALUE"""),45204.67383545139)</f>
        <v>45204.67384</v>
      </c>
      <c r="R7213" s="21" t="str">
        <f>IFERROR(__xludf.DUMMYFUNCTION("""COMPUTED_VALUE"""),"https://drive.google.com/file/d/1equHyQ7QlZFPR5lmFNgJGIQdZn26cojw/view?usp=drivesdk")</f>
        <v>https://drive.google.com/file/d/1equHyQ7QlZFPR5lmFNgJGIQdZn26cojw/view?usp=drivesdk</v>
      </c>
    </row>
    <row r="7214">
      <c r="A7214" s="15">
        <f>IFERROR(__xludf.DUMMYFUNCTION("""COMPUTED_VALUE"""),45204.0)</f>
        <v>45204</v>
      </c>
      <c r="B7214" s="16" t="str">
        <f>IFERROR(__xludf.DUMMYFUNCTION("""COMPUTED_VALUE"""),"Daniel José sandoval gonzalez")</f>
        <v>Daniel José sandoval gonzalez</v>
      </c>
      <c r="C7214" s="15" t="str">
        <f>IFERROR(__xludf.DUMMYFUNCTION("""COMPUTED_VALUE"""),"BARRANQUILLA")</f>
        <v>BARRANQUILLA</v>
      </c>
      <c r="D7214" s="15" t="str">
        <f>IFERROR(__xludf.DUMMYFUNCTION("""COMPUTED_VALUE"""),"BOGOTÁ")</f>
        <v>BOGOTÁ</v>
      </c>
      <c r="E7214" s="15" t="str">
        <f>IFERROR(__xludf.DUMMYFUNCTION("""COMPUTED_VALUE"""),"Evamazzita")</f>
        <v>Evamazzita</v>
      </c>
      <c r="F7214" s="17" t="str">
        <f>IFERROR(__xludf.DUMMYFUNCTION("""COMPUTED_VALUE"""),"Calle 35 # 1A-140 / apto 202D condominio las palmas   Galán")</f>
        <v>Calle 35 # 1A-140 / apto 202D condominio las palmas   Galán</v>
      </c>
      <c r="G7214" s="15" t="str">
        <f>IFERROR(__xludf.DUMMYFUNCTION("""COMPUTED_VALUE"""),"DARLING SUAREZ ALMANZA")</f>
        <v>DARLING SUAREZ ALMANZA</v>
      </c>
      <c r="H7214" s="16">
        <f>IFERROR(__xludf.DUMMYFUNCTION("""COMPUTED_VALUE"""),15989.0)</f>
        <v>15989</v>
      </c>
      <c r="I7214" s="18">
        <f>IFERROR(__xludf.DUMMYFUNCTION("""COMPUTED_VALUE"""),1.0)</f>
        <v>1</v>
      </c>
      <c r="J7214" s="18">
        <f>IFERROR(__xludf.DUMMYFUNCTION("""COMPUTED_VALUE"""),1.0)</f>
        <v>1</v>
      </c>
      <c r="K7214" s="18">
        <f>IFERROR(__xludf.DUMMYFUNCTION("""COMPUTED_VALUE"""),1.0)</f>
        <v>1</v>
      </c>
      <c r="L7214" s="17">
        <f>IFERROR(__xludf.DUMMYFUNCTION("""COMPUTED_VALUE"""),3.235915558E9)</f>
        <v>3235915558</v>
      </c>
      <c r="M7214" s="17"/>
      <c r="N7214" s="17"/>
      <c r="O7214" s="17"/>
      <c r="P7214" s="17" t="b">
        <f>IFERROR(__xludf.DUMMYFUNCTION("""COMPUTED_VALUE"""),TRUE)</f>
        <v>1</v>
      </c>
      <c r="Q7214" s="20">
        <f>IFERROR(__xludf.DUMMYFUNCTION("""COMPUTED_VALUE"""),45204.62522929398)</f>
        <v>45204.62523</v>
      </c>
      <c r="R7214" s="21" t="str">
        <f>IFERROR(__xludf.DUMMYFUNCTION("""COMPUTED_VALUE"""),"https://drive.google.com/file/d/1OpEJ6yR6GqGE-JEEUZGxrZVWMgPjmcqf/view?usp=drivesdk")</f>
        <v>https://drive.google.com/file/d/1OpEJ6yR6GqGE-JEEUZGxrZVWMgPjmcqf/view?usp=drivesdk</v>
      </c>
    </row>
    <row r="7215">
      <c r="A7215" s="15">
        <f>IFERROR(__xludf.DUMMYFUNCTION("""COMPUTED_VALUE"""),45204.0)</f>
        <v>45204</v>
      </c>
      <c r="B7215" s="16" t="str">
        <f>IFERROR(__xludf.DUMMYFUNCTION("""COMPUTED_VALUE"""),"Daniel José sandoval gonzalez")</f>
        <v>Daniel José sandoval gonzalez</v>
      </c>
      <c r="C7215" s="15" t="str">
        <f>IFERROR(__xludf.DUMMYFUNCTION("""COMPUTED_VALUE"""),"BARRANQUILLA")</f>
        <v>BARRANQUILLA</v>
      </c>
      <c r="D7215" s="15" t="str">
        <f>IFERROR(__xludf.DUMMYFUNCTION("""COMPUTED_VALUE"""),"BOGOTÁ")</f>
        <v>BOGOTÁ</v>
      </c>
      <c r="E7215" s="15" t="str">
        <f>IFERROR(__xludf.DUMMYFUNCTION("""COMPUTED_VALUE"""),"Evamazzita")</f>
        <v>Evamazzita</v>
      </c>
      <c r="F7215" s="17" t="str">
        <f>IFERROR(__xludf.DUMMYFUNCTION("""COMPUTED_VALUE"""),"carrera 50 # 46-93 / piso 2 apto 1 entrada principal por la calle 47")</f>
        <v>carrera 50 # 46-93 / piso 2 apto 1 entrada principal por la calle 47</v>
      </c>
      <c r="G7215" s="15" t="str">
        <f>IFERROR(__xludf.DUMMYFUNCTION("""COMPUTED_VALUE"""),"IVETH BARRERA REINA")</f>
        <v>IVETH BARRERA REINA</v>
      </c>
      <c r="H7215" s="16">
        <f>IFERROR(__xludf.DUMMYFUNCTION("""COMPUTED_VALUE"""),15985.0)</f>
        <v>15985</v>
      </c>
      <c r="I7215" s="18">
        <f>IFERROR(__xludf.DUMMYFUNCTION("""COMPUTED_VALUE"""),1.0)</f>
        <v>1</v>
      </c>
      <c r="J7215" s="18">
        <f>IFERROR(__xludf.DUMMYFUNCTION("""COMPUTED_VALUE"""),1.0)</f>
        <v>1</v>
      </c>
      <c r="K7215" s="18">
        <f>IFERROR(__xludf.DUMMYFUNCTION("""COMPUTED_VALUE"""),1.0)</f>
        <v>1</v>
      </c>
      <c r="L7215" s="17">
        <f>IFERROR(__xludf.DUMMYFUNCTION("""COMPUTED_VALUE"""),3.013669213E9)</f>
        <v>3013669213</v>
      </c>
      <c r="M7215" s="17"/>
      <c r="N7215" s="17"/>
      <c r="O7215" s="17"/>
      <c r="P7215" s="17" t="b">
        <f>IFERROR(__xludf.DUMMYFUNCTION("""COMPUTED_VALUE"""),TRUE)</f>
        <v>1</v>
      </c>
      <c r="Q7215" s="20">
        <f>IFERROR(__xludf.DUMMYFUNCTION("""COMPUTED_VALUE"""),45204.62522929398)</f>
        <v>45204.62523</v>
      </c>
      <c r="R7215" s="21" t="str">
        <f>IFERROR(__xludf.DUMMYFUNCTION("""COMPUTED_VALUE"""),"https://drive.google.com/file/d/1a4-x-hnWsVb58WLoJlTvwYIHHj3ic5V5/view?usp=drivesdk")</f>
        <v>https://drive.google.com/file/d/1a4-x-hnWsVb58WLoJlTvwYIHHj3ic5V5/view?usp=drivesdk</v>
      </c>
    </row>
    <row r="7216">
      <c r="A7216" s="15">
        <f>IFERROR(__xludf.DUMMYFUNCTION("""COMPUTED_VALUE"""),45204.0)</f>
        <v>45204</v>
      </c>
      <c r="B7216" s="16" t="str">
        <f>IFERROR(__xludf.DUMMYFUNCTION("""COMPUTED_VALUE"""),"Daniel José sandoval gonzalez")</f>
        <v>Daniel José sandoval gonzalez</v>
      </c>
      <c r="C7216" s="15" t="str">
        <f>IFERROR(__xludf.DUMMYFUNCTION("""COMPUTED_VALUE"""),"BARRANQUILLA")</f>
        <v>BARRANQUILLA</v>
      </c>
      <c r="D7216" s="15" t="str">
        <f>IFERROR(__xludf.DUMMYFUNCTION("""COMPUTED_VALUE"""),"BOGOTÁ")</f>
        <v>BOGOTÁ</v>
      </c>
      <c r="E7216" s="15" t="str">
        <f>IFERROR(__xludf.DUMMYFUNCTION("""COMPUTED_VALUE"""),"Evamazzita")</f>
        <v>Evamazzita</v>
      </c>
      <c r="F7216" s="17" t="str">
        <f>IFERROR(__xludf.DUMMYFUNCTION("""COMPUTED_VALUE"""),"Cl 45G #  3 -43 / bloque 15 apto 101 Ciudadela 20 de julio")</f>
        <v>Cl 45G #  3 -43 / bloque 15 apto 101 Ciudadela 20 de julio</v>
      </c>
      <c r="G7216" s="15" t="str">
        <f>IFERROR(__xludf.DUMMYFUNCTION("""COMPUTED_VALUE"""),"EMITH MARTINEZ")</f>
        <v>EMITH MARTINEZ</v>
      </c>
      <c r="H7216" s="16">
        <f>IFERROR(__xludf.DUMMYFUNCTION("""COMPUTED_VALUE"""),15990.0)</f>
        <v>15990</v>
      </c>
      <c r="I7216" s="18">
        <f>IFERROR(__xludf.DUMMYFUNCTION("""COMPUTED_VALUE"""),1.0)</f>
        <v>1</v>
      </c>
      <c r="J7216" s="18">
        <f>IFERROR(__xludf.DUMMYFUNCTION("""COMPUTED_VALUE"""),1.0)</f>
        <v>1</v>
      </c>
      <c r="K7216" s="18">
        <f>IFERROR(__xludf.DUMMYFUNCTION("""COMPUTED_VALUE"""),1.0)</f>
        <v>1</v>
      </c>
      <c r="L7216" s="17">
        <f>IFERROR(__xludf.DUMMYFUNCTION("""COMPUTED_VALUE"""),3.057903085E9)</f>
        <v>3057903085</v>
      </c>
      <c r="M7216" s="17"/>
      <c r="N7216" s="17"/>
      <c r="O7216" s="17"/>
      <c r="P7216" s="17" t="b">
        <f>IFERROR(__xludf.DUMMYFUNCTION("""COMPUTED_VALUE"""),TRUE)</f>
        <v>1</v>
      </c>
      <c r="Q7216" s="20">
        <f>IFERROR(__xludf.DUMMYFUNCTION("""COMPUTED_VALUE"""),45205.6519543287)</f>
        <v>45205.65195</v>
      </c>
      <c r="R7216" s="21" t="str">
        <f>IFERROR(__xludf.DUMMYFUNCTION("""COMPUTED_VALUE"""),"https://drive.google.com/file/d/1u-dmlbHNC_B2lxdI421aTeMOIzPVI8AZ/view?usp=drivesdk")</f>
        <v>https://drive.google.com/file/d/1u-dmlbHNC_B2lxdI421aTeMOIzPVI8AZ/view?usp=drivesdk</v>
      </c>
    </row>
    <row r="7217">
      <c r="A7217" s="15">
        <f>IFERROR(__xludf.DUMMYFUNCTION("""COMPUTED_VALUE"""),45204.0)</f>
        <v>45204</v>
      </c>
      <c r="B7217" s="16" t="str">
        <f>IFERROR(__xludf.DUMMYFUNCTION("""COMPUTED_VALUE"""),"Daniel José sandoval gonzalez")</f>
        <v>Daniel José sandoval gonzalez</v>
      </c>
      <c r="C7217" s="15" t="str">
        <f>IFERROR(__xludf.DUMMYFUNCTION("""COMPUTED_VALUE"""),"BARRANQUILLA")</f>
        <v>BARRANQUILLA</v>
      </c>
      <c r="D7217" s="15" t="str">
        <f>IFERROR(__xludf.DUMMYFUNCTION("""COMPUTED_VALUE"""),"BOGOTÁ")</f>
        <v>BOGOTÁ</v>
      </c>
      <c r="E7217" s="15" t="str">
        <f>IFERROR(__xludf.DUMMYFUNCTION("""COMPUTED_VALUE"""),"Evamazzita")</f>
        <v>Evamazzita</v>
      </c>
      <c r="F7217" s="17" t="str">
        <f>IFERROR(__xludf.DUMMYFUNCTION("""COMPUTED_VALUE"""),"CR 42 # 79 27 / EDIFICO PABLA APTO 1A")</f>
        <v>CR 42 # 79 27 / EDIFICO PABLA APTO 1A</v>
      </c>
      <c r="G7217" s="15" t="str">
        <f>IFERROR(__xludf.DUMMYFUNCTION("""COMPUTED_VALUE"""),"KEYLA ORTIZ VIZCAINO")</f>
        <v>KEYLA ORTIZ VIZCAINO</v>
      </c>
      <c r="H7217" s="16">
        <f>IFERROR(__xludf.DUMMYFUNCTION("""COMPUTED_VALUE"""),15987.0)</f>
        <v>15987</v>
      </c>
      <c r="I7217" s="18">
        <f>IFERROR(__xludf.DUMMYFUNCTION("""COMPUTED_VALUE"""),1.0)</f>
        <v>1</v>
      </c>
      <c r="J7217" s="18">
        <f>IFERROR(__xludf.DUMMYFUNCTION("""COMPUTED_VALUE"""),1.0)</f>
        <v>1</v>
      </c>
      <c r="K7217" s="18">
        <f>IFERROR(__xludf.DUMMYFUNCTION("""COMPUTED_VALUE"""),1.0)</f>
        <v>1</v>
      </c>
      <c r="L7217" s="17">
        <f>IFERROR(__xludf.DUMMYFUNCTION("""COMPUTED_VALUE"""),3.122766378E9)</f>
        <v>3122766378</v>
      </c>
      <c r="M7217" s="17"/>
      <c r="N7217" s="17"/>
      <c r="O7217" s="17"/>
      <c r="P7217" s="17" t="b">
        <f>IFERROR(__xludf.DUMMYFUNCTION("""COMPUTED_VALUE"""),TRUE)</f>
        <v>1</v>
      </c>
      <c r="Q7217" s="20">
        <f>IFERROR(__xludf.DUMMYFUNCTION("""COMPUTED_VALUE"""),45204.62522930556)</f>
        <v>45204.62523</v>
      </c>
      <c r="R7217" s="21" t="str">
        <f>IFERROR(__xludf.DUMMYFUNCTION("""COMPUTED_VALUE"""),"https://drive.google.com/file/d/13m70WVxIyPKwLGBrhc4Azr5K0VM62lJE/view?usp=drivesdk")</f>
        <v>https://drive.google.com/file/d/13m70WVxIyPKwLGBrhc4Azr5K0VM62lJE/view?usp=drivesdk</v>
      </c>
    </row>
    <row r="7218">
      <c r="A7218" s="15">
        <f>IFERROR(__xludf.DUMMYFUNCTION("""COMPUTED_VALUE"""),45204.0)</f>
        <v>45204</v>
      </c>
      <c r="B7218" s="16" t="str">
        <f>IFERROR(__xludf.DUMMYFUNCTION("""COMPUTED_VALUE"""),"Daniel José sandoval gonzalez")</f>
        <v>Daniel José sandoval gonzalez</v>
      </c>
      <c r="C7218" s="15" t="str">
        <f>IFERROR(__xludf.DUMMYFUNCTION("""COMPUTED_VALUE"""),"BARRANQUILLA")</f>
        <v>BARRANQUILLA</v>
      </c>
      <c r="D7218" s="15" t="str">
        <f>IFERROR(__xludf.DUMMYFUNCTION("""COMPUTED_VALUE"""),"BOGOTÁ")</f>
        <v>BOGOTÁ</v>
      </c>
      <c r="E7218" s="15" t="str">
        <f>IFERROR(__xludf.DUMMYFUNCTION("""COMPUTED_VALUE"""),"Evamazzita")</f>
        <v>Evamazzita</v>
      </c>
      <c r="F7218" s="17" t="str">
        <f>IFERROR(__xludf.DUMMYFUNCTION("""COMPUTED_VALUE"""),"Cra 8 # 36b 64 / segundo piso  Barrio el campito")</f>
        <v>Cra 8 # 36b 64 / segundo piso  Barrio el campito</v>
      </c>
      <c r="G7218" s="15" t="str">
        <f>IFERROR(__xludf.DUMMYFUNCTION("""COMPUTED_VALUE"""),"KATERINE ALGARIN MONSALVO")</f>
        <v>KATERINE ALGARIN MONSALVO</v>
      </c>
      <c r="H7218" s="16">
        <f>IFERROR(__xludf.DUMMYFUNCTION("""COMPUTED_VALUE"""),15986.0)</f>
        <v>15986</v>
      </c>
      <c r="I7218" s="18">
        <f>IFERROR(__xludf.DUMMYFUNCTION("""COMPUTED_VALUE"""),1.0)</f>
        <v>1</v>
      </c>
      <c r="J7218" s="18">
        <f>IFERROR(__xludf.DUMMYFUNCTION("""COMPUTED_VALUE"""),1.0)</f>
        <v>1</v>
      </c>
      <c r="K7218" s="18">
        <f>IFERROR(__xludf.DUMMYFUNCTION("""COMPUTED_VALUE"""),1.0)</f>
        <v>1</v>
      </c>
      <c r="L7218" s="17">
        <f>IFERROR(__xludf.DUMMYFUNCTION("""COMPUTED_VALUE"""),3.162935258E9)</f>
        <v>3162935258</v>
      </c>
      <c r="M7218" s="17"/>
      <c r="N7218" s="17"/>
      <c r="O7218" s="17"/>
      <c r="P7218" s="17" t="b">
        <f>IFERROR(__xludf.DUMMYFUNCTION("""COMPUTED_VALUE"""),TRUE)</f>
        <v>1</v>
      </c>
      <c r="Q7218" s="20">
        <f>IFERROR(__xludf.DUMMYFUNCTION("""COMPUTED_VALUE"""),45204.67611958334)</f>
        <v>45204.67612</v>
      </c>
      <c r="R7218" s="21" t="str">
        <f>IFERROR(__xludf.DUMMYFUNCTION("""COMPUTED_VALUE"""),"https://drive.google.com/file/d/1yVF_jdK1aRlaRk8_f_FD59yEjYRH9thO/view?usp=drivesdk")</f>
        <v>https://drive.google.com/file/d/1yVF_jdK1aRlaRk8_f_FD59yEjYRH9thO/view?usp=drivesdk</v>
      </c>
    </row>
    <row r="7219">
      <c r="A7219" s="15">
        <f>IFERROR(__xludf.DUMMYFUNCTION("""COMPUTED_VALUE"""),45204.0)</f>
        <v>45204</v>
      </c>
      <c r="B7219" s="16" t="str">
        <f>IFERROR(__xludf.DUMMYFUNCTION("""COMPUTED_VALUE"""),"Daniel José sandoval gonzalez")</f>
        <v>Daniel José sandoval gonzalez</v>
      </c>
      <c r="C7219" s="15" t="str">
        <f>IFERROR(__xludf.DUMMYFUNCTION("""COMPUTED_VALUE"""),"BARRANQUILLA")</f>
        <v>BARRANQUILLA</v>
      </c>
      <c r="D7219" s="15" t="str">
        <f>IFERROR(__xludf.DUMMYFUNCTION("""COMPUTED_VALUE"""),"BOGOTÁ")</f>
        <v>BOGOTÁ</v>
      </c>
      <c r="E7219" s="15" t="str">
        <f>IFERROR(__xludf.DUMMYFUNCTION("""COMPUTED_VALUE"""),"Lunchy Kids")</f>
        <v>Lunchy Kids</v>
      </c>
      <c r="F7219" s="17" t="str">
        <f>IFERROR(__xludf.DUMMYFUNCTION("""COMPUTED_VALUE"""),"Cra 70 # 91- 35 / Parques del Tivoly- Torre 1 - Apto 304 / Villacarolina")</f>
        <v>Cra 70 # 91- 35 / Parques del Tivoly- Torre 1 - Apto 304 / Villacarolina</v>
      </c>
      <c r="G7219" s="15" t="str">
        <f>IFERROR(__xludf.DUMMYFUNCTION("""COMPUTED_VALUE"""),"Yoleinis Jinete")</f>
        <v>Yoleinis Jinete</v>
      </c>
      <c r="H7219" s="16">
        <f>IFERROR(__xludf.DUMMYFUNCTION("""COMPUTED_VALUE"""),15785.0)</f>
        <v>15785</v>
      </c>
      <c r="I7219" s="18">
        <f>IFERROR(__xludf.DUMMYFUNCTION("""COMPUTED_VALUE"""),20.0)</f>
        <v>20</v>
      </c>
      <c r="J7219" s="18">
        <f>IFERROR(__xludf.DUMMYFUNCTION("""COMPUTED_VALUE"""),35.0)</f>
        <v>35</v>
      </c>
      <c r="K7219" s="18">
        <f>IFERROR(__xludf.DUMMYFUNCTION("""COMPUTED_VALUE"""),35.0)</f>
        <v>35</v>
      </c>
      <c r="L7219" s="17">
        <f>IFERROR(__xludf.DUMMYFUNCTION("""COMPUTED_VALUE"""),3.007943686E9)</f>
        <v>3007943686</v>
      </c>
      <c r="M7219" s="17"/>
      <c r="N7219" s="17"/>
      <c r="O7219" s="17"/>
      <c r="P7219" s="17" t="b">
        <f>IFERROR(__xludf.DUMMYFUNCTION("""COMPUTED_VALUE"""),TRUE)</f>
        <v>1</v>
      </c>
      <c r="Q7219" s="20">
        <f>IFERROR(__xludf.DUMMYFUNCTION("""COMPUTED_VALUE"""),45204.675607638885)</f>
        <v>45204.67561</v>
      </c>
      <c r="R7219" s="21" t="str">
        <f>IFERROR(__xludf.DUMMYFUNCTION("""COMPUTED_VALUE"""),"https://drive.google.com/file/d/1Aax0noQJgYdtk8FhsZWbf6XdmkbvzO-E/view?usp=drivesdk")</f>
        <v>https://drive.google.com/file/d/1Aax0noQJgYdtk8FhsZWbf6XdmkbvzO-E/view?usp=drivesdk</v>
      </c>
    </row>
    <row r="7220">
      <c r="A7220" s="15">
        <f>IFERROR(__xludf.DUMMYFUNCTION("""COMPUTED_VALUE"""),45204.0)</f>
        <v>45204</v>
      </c>
      <c r="B7220" s="16" t="str">
        <f>IFERROR(__xludf.DUMMYFUNCTION("""COMPUTED_VALUE"""),"Daniel José sandoval gonzalez")</f>
        <v>Daniel José sandoval gonzalez</v>
      </c>
      <c r="C7220" s="15" t="str">
        <f>IFERROR(__xludf.DUMMYFUNCTION("""COMPUTED_VALUE"""),"BARRANQUILLA")</f>
        <v>BARRANQUILLA</v>
      </c>
      <c r="D7220" s="15" t="str">
        <f>IFERROR(__xludf.DUMMYFUNCTION("""COMPUTED_VALUE"""),"BOGOTÁ")</f>
        <v>BOGOTÁ</v>
      </c>
      <c r="E7220" s="15" t="str">
        <f>IFERROR(__xludf.DUMMYFUNCTION("""COMPUTED_VALUE"""),"Pan de Waffle")</f>
        <v>Pan de Waffle</v>
      </c>
      <c r="F7220" s="17" t="str">
        <f>IFERROR(__xludf.DUMMYFUNCTION("""COMPUTED_VALUE"""),"Carrera 45 # 85 - 168 / Carrera 45 # 85 - 168 / Carrera 45 # 85 - 168")</f>
        <v>Carrera 45 # 85 - 168 / Carrera 45 # 85 - 168 / Carrera 45 # 85 - 168</v>
      </c>
      <c r="G7220" s="15" t="str">
        <f>IFERROR(__xludf.DUMMYFUNCTION("""COMPUTED_VALUE"""),"FOODOLOGY")</f>
        <v>FOODOLOGY</v>
      </c>
      <c r="H7220" s="16">
        <f>IFERROR(__xludf.DUMMYFUNCTION("""COMPUTED_VALUE"""),15963.0)</f>
        <v>15963</v>
      </c>
      <c r="I7220" s="18">
        <f>IFERROR(__xludf.DUMMYFUNCTION("""COMPUTED_VALUE"""),40.0)</f>
        <v>40</v>
      </c>
      <c r="J7220" s="18">
        <f>IFERROR(__xludf.DUMMYFUNCTION("""COMPUTED_VALUE"""),40.0)</f>
        <v>40</v>
      </c>
      <c r="K7220" s="18">
        <f>IFERROR(__xludf.DUMMYFUNCTION("""COMPUTED_VALUE"""),40.0)</f>
        <v>40</v>
      </c>
      <c r="L7220" s="17">
        <f>IFERROR(__xludf.DUMMYFUNCTION("""COMPUTED_VALUE"""),3.017001909E9)</f>
        <v>3017001909</v>
      </c>
      <c r="M7220" s="17"/>
      <c r="N7220" s="17"/>
      <c r="O7220" s="17"/>
      <c r="P7220" s="17" t="b">
        <f>IFERROR(__xludf.DUMMYFUNCTION("""COMPUTED_VALUE"""),TRUE)</f>
        <v>1</v>
      </c>
      <c r="Q7220" s="20">
        <f>IFERROR(__xludf.DUMMYFUNCTION("""COMPUTED_VALUE"""),45204.67352131945)</f>
        <v>45204.67352</v>
      </c>
      <c r="R7220" s="21" t="str">
        <f>IFERROR(__xludf.DUMMYFUNCTION("""COMPUTED_VALUE"""),"https://drive.google.com/file/d/1EPS3XoI6Ut6mCtjZGQbsAqvgbbxxjvpk/view?usp=drivesdk")</f>
        <v>https://drive.google.com/file/d/1EPS3XoI6Ut6mCtjZGQbsAqvgbbxxjvpk/view?usp=drivesdk</v>
      </c>
    </row>
    <row r="7221">
      <c r="A7221" s="15">
        <f>IFERROR(__xludf.DUMMYFUNCTION("""COMPUTED_VALUE"""),45204.0)</f>
        <v>45204</v>
      </c>
      <c r="B7221" s="16" t="str">
        <f>IFERROR(__xludf.DUMMYFUNCTION("""COMPUTED_VALUE"""),"Daniel José sandoval gonzalez")</f>
        <v>Daniel José sandoval gonzalez</v>
      </c>
      <c r="C7221" s="15" t="str">
        <f>IFERROR(__xludf.DUMMYFUNCTION("""COMPUTED_VALUE"""),"BARRANQUILLA")</f>
        <v>BARRANQUILLA</v>
      </c>
      <c r="D7221" s="15" t="str">
        <f>IFERROR(__xludf.DUMMYFUNCTION("""COMPUTED_VALUE"""),"BOGOTÁ")</f>
        <v>BOGOTÁ</v>
      </c>
      <c r="E7221" s="15" t="str">
        <f>IFERROR(__xludf.DUMMYFUNCTION("""COMPUTED_VALUE"""),"Pan de Waffle")</f>
        <v>Pan de Waffle</v>
      </c>
      <c r="F7221" s="17" t="str">
        <f>IFERROR(__xludf.DUMMYFUNCTION("""COMPUTED_VALUE"""),"CR 53 80 284 LC 8 / CR 53 80 284 LC 8 / CR 53 80 284 LC 8")</f>
        <v>CR 53 80 284 LC 8 / CR 53 80 284 LC 8 / CR 53 80 284 LC 8</v>
      </c>
      <c r="G7221" s="15" t="str">
        <f>IFERROR(__xludf.DUMMYFUNCTION("""COMPUTED_VALUE"""),"CORPOFIT")</f>
        <v>CORPOFIT</v>
      </c>
      <c r="H7221" s="16">
        <f>IFERROR(__xludf.DUMMYFUNCTION("""COMPUTED_VALUE"""),15966.0)</f>
        <v>15966</v>
      </c>
      <c r="I7221" s="18">
        <f>IFERROR(__xludf.DUMMYFUNCTION("""COMPUTED_VALUE"""),30.0)</f>
        <v>30</v>
      </c>
      <c r="J7221" s="18">
        <f>IFERROR(__xludf.DUMMYFUNCTION("""COMPUTED_VALUE"""),40.0)</f>
        <v>40</v>
      </c>
      <c r="K7221" s="18">
        <f>IFERROR(__xludf.DUMMYFUNCTION("""COMPUTED_VALUE"""),30.0)</f>
        <v>30</v>
      </c>
      <c r="L7221" s="17">
        <f>IFERROR(__xludf.DUMMYFUNCTION("""COMPUTED_VALUE"""),3.006125263E9)</f>
        <v>3006125263</v>
      </c>
      <c r="M7221" s="17"/>
      <c r="N7221" s="17"/>
      <c r="O7221" s="17"/>
      <c r="P7221" s="17" t="b">
        <f>IFERROR(__xludf.DUMMYFUNCTION("""COMPUTED_VALUE"""),TRUE)</f>
        <v>1</v>
      </c>
      <c r="Q7221" s="20">
        <f>IFERROR(__xludf.DUMMYFUNCTION("""COMPUTED_VALUE"""),45204.67598569444)</f>
        <v>45204.67599</v>
      </c>
      <c r="R7221" s="22" t="str">
        <f>IFERROR(__xludf.DUMMYFUNCTION("""COMPUTED_VALUE"""),"")</f>
        <v/>
      </c>
    </row>
    <row r="7222">
      <c r="A7222" s="15">
        <f>IFERROR(__xludf.DUMMYFUNCTION("""COMPUTED_VALUE"""),45204.0)</f>
        <v>45204</v>
      </c>
      <c r="B7222" s="16" t="str">
        <f>IFERROR(__xludf.DUMMYFUNCTION("""COMPUTED_VALUE"""),"Daniel José sandoval gonzalez")</f>
        <v>Daniel José sandoval gonzalez</v>
      </c>
      <c r="C7222" s="15" t="str">
        <f>IFERROR(__xludf.DUMMYFUNCTION("""COMPUTED_VALUE"""),"BARRANQUILLA")</f>
        <v>BARRANQUILLA</v>
      </c>
      <c r="D7222" s="15" t="str">
        <f>IFERROR(__xludf.DUMMYFUNCTION("""COMPUTED_VALUE"""),"BOGOTÁ")</f>
        <v>BOGOTÁ</v>
      </c>
      <c r="E7222" s="15" t="str">
        <f>IFERROR(__xludf.DUMMYFUNCTION("""COMPUTED_VALUE"""),"Top Spun")</f>
        <v>Top Spun</v>
      </c>
      <c r="F7222" s="17" t="str">
        <f>IFERROR(__xludf.DUMMYFUNCTION("""COMPUTED_VALUE"""),"Carrera 59B 84 48 / Apto 1401  / Barranquilla")</f>
        <v>Carrera 59B 84 48 / Apto 1401  / Barranquilla</v>
      </c>
      <c r="G7222" s="15" t="str">
        <f>IFERROR(__xludf.DUMMYFUNCTION("""COMPUTED_VALUE"""),"Camilo Trujillo")</f>
        <v>Camilo Trujillo</v>
      </c>
      <c r="H7222" s="16">
        <f>IFERROR(__xludf.DUMMYFUNCTION("""COMPUTED_VALUE"""),15903.0)</f>
        <v>15903</v>
      </c>
      <c r="I7222" s="18">
        <f>IFERROR(__xludf.DUMMYFUNCTION("""COMPUTED_VALUE"""),20.0)</f>
        <v>20</v>
      </c>
      <c r="J7222" s="18">
        <f>IFERROR(__xludf.DUMMYFUNCTION("""COMPUTED_VALUE"""),10.0)</f>
        <v>10</v>
      </c>
      <c r="K7222" s="18">
        <f>IFERROR(__xludf.DUMMYFUNCTION("""COMPUTED_VALUE"""),40.0)</f>
        <v>40</v>
      </c>
      <c r="L7222" s="17">
        <f>IFERROR(__xludf.DUMMYFUNCTION("""COMPUTED_VALUE"""),3.185480618E9)</f>
        <v>3185480618</v>
      </c>
      <c r="M7222" s="17"/>
      <c r="N7222" s="17"/>
      <c r="O7222" s="17"/>
      <c r="P7222" s="17" t="b">
        <f>IFERROR(__xludf.DUMMYFUNCTION("""COMPUTED_VALUE"""),TRUE)</f>
        <v>1</v>
      </c>
      <c r="Q7222" s="20">
        <f>IFERROR(__xludf.DUMMYFUNCTION("""COMPUTED_VALUE"""),45204.73322271991)</f>
        <v>45204.73322</v>
      </c>
      <c r="R7222" s="21" t="str">
        <f>IFERROR(__xludf.DUMMYFUNCTION("""COMPUTED_VALUE"""),"https://drive.google.com/file/d/18JFqObP84pFzu3PYjP_oj1H7MA82kC7b/view?usp=drivesdk")</f>
        <v>https://drive.google.com/file/d/18JFqObP84pFzu3PYjP_oj1H7MA82kC7b/view?usp=drivesdk</v>
      </c>
    </row>
    <row r="7223">
      <c r="A7223" s="15">
        <f>IFERROR(__xludf.DUMMYFUNCTION("""COMPUTED_VALUE"""),45204.0)</f>
        <v>45204</v>
      </c>
      <c r="B7223" s="16" t="str">
        <f>IFERROR(__xludf.DUMMYFUNCTION("""COMPUTED_VALUE"""),"Daniel José sandoval gonzalez")</f>
        <v>Daniel José sandoval gonzalez</v>
      </c>
      <c r="C7223" s="15" t="str">
        <f>IFERROR(__xludf.DUMMYFUNCTION("""COMPUTED_VALUE"""),"BARRANQUILLA")</f>
        <v>BARRANQUILLA</v>
      </c>
      <c r="D7223" s="15" t="str">
        <f>IFERROR(__xludf.DUMMYFUNCTION("""COMPUTED_VALUE"""),"BOGOTÁ")</f>
        <v>BOGOTÁ</v>
      </c>
      <c r="E7223" s="15" t="str">
        <f>IFERROR(__xludf.DUMMYFUNCTION("""COMPUTED_VALUE"""),"Top Spun")</f>
        <v>Top Spun</v>
      </c>
      <c r="F7223" s="17" t="str">
        <f>IFERROR(__xludf.DUMMYFUNCTION("""COMPUTED_VALUE"""),"CRA 55 NO 82-227 / EDIFICIO OM CLUB  APTO 1603 / BARRIO RIOMAR")</f>
        <v>CRA 55 NO 82-227 / EDIFICIO OM CLUB  APTO 1603 / BARRIO RIOMAR</v>
      </c>
      <c r="G7223" s="15" t="str">
        <f>IFERROR(__xludf.DUMMYFUNCTION("""COMPUTED_VALUE"""),"DANIELLA DONADO")</f>
        <v>DANIELLA DONADO</v>
      </c>
      <c r="H7223" s="16">
        <f>IFERROR(__xludf.DUMMYFUNCTION("""COMPUTED_VALUE"""),15902.0)</f>
        <v>15902</v>
      </c>
      <c r="I7223" s="18">
        <f>IFERROR(__xludf.DUMMYFUNCTION("""COMPUTED_VALUE"""),20.0)</f>
        <v>20</v>
      </c>
      <c r="J7223" s="18">
        <f>IFERROR(__xludf.DUMMYFUNCTION("""COMPUTED_VALUE"""),10.0)</f>
        <v>10</v>
      </c>
      <c r="K7223" s="18">
        <f>IFERROR(__xludf.DUMMYFUNCTION("""COMPUTED_VALUE"""),40.0)</f>
        <v>40</v>
      </c>
      <c r="L7223" s="17">
        <f>IFERROR(__xludf.DUMMYFUNCTION("""COMPUTED_VALUE"""),3.103677331E9)</f>
        <v>3103677331</v>
      </c>
      <c r="M7223" s="17"/>
      <c r="N7223" s="17"/>
      <c r="O7223" s="17"/>
      <c r="P7223" s="17" t="b">
        <f>IFERROR(__xludf.DUMMYFUNCTION("""COMPUTED_VALUE"""),TRUE)</f>
        <v>1</v>
      </c>
      <c r="Q7223" s="20">
        <f>IFERROR(__xludf.DUMMYFUNCTION("""COMPUTED_VALUE"""),45204.733583194444)</f>
        <v>45204.73358</v>
      </c>
      <c r="R7223" s="21" t="str">
        <f>IFERROR(__xludf.DUMMYFUNCTION("""COMPUTED_VALUE"""),"https://drive.google.com/file/d/1bLSuZYvJ5QvEl_TSgbFwqnZsbqJXcX-6/view?usp=drivesdk")</f>
        <v>https://drive.google.com/file/d/1bLSuZYvJ5QvEl_TSgbFwqnZsbqJXcX-6/view?usp=drivesdk</v>
      </c>
    </row>
    <row r="7224">
      <c r="A7224" s="15">
        <f>IFERROR(__xludf.DUMMYFUNCTION("""COMPUTED_VALUE"""),45204.0)</f>
        <v>45204</v>
      </c>
      <c r="B7224" s="16" t="str">
        <f>IFERROR(__xludf.DUMMYFUNCTION("""COMPUTED_VALUE"""),"Daniel José sandoval gonzalez")</f>
        <v>Daniel José sandoval gonzalez</v>
      </c>
      <c r="C7224" s="15" t="str">
        <f>IFERROR(__xludf.DUMMYFUNCTION("""COMPUTED_VALUE"""),"MEDELLÍN")</f>
        <v>MEDELLÍN</v>
      </c>
      <c r="D7224" s="15" t="str">
        <f>IFERROR(__xludf.DUMMYFUNCTION("""COMPUTED_VALUE"""),"BOGOTÁ")</f>
        <v>BOGOTÁ</v>
      </c>
      <c r="E7224" s="15" t="str">
        <f>IFERROR(__xludf.DUMMYFUNCTION("""COMPUTED_VALUE"""),"Forever Dog")</f>
        <v>Forever Dog</v>
      </c>
      <c r="F7224" s="17" t="str">
        <f>IFERROR(__xludf.DUMMYFUNCTION("""COMPUTED_VALUE"""),"Cra 28# 37b sur  / Edf. Torre san miguel apto 501 / Envigado, Barrio Loma de las Brujas")</f>
        <v>Cra 28# 37b sur  / Edf. Torre san miguel apto 501 / Envigado, Barrio Loma de las Brujas</v>
      </c>
      <c r="G7224" s="15" t="str">
        <f>IFERROR(__xludf.DUMMYFUNCTION("""COMPUTED_VALUE"""),"Dustin Torres")</f>
        <v>Dustin Torres</v>
      </c>
      <c r="H7224" s="16">
        <f>IFERROR(__xludf.DUMMYFUNCTION("""COMPUTED_VALUE"""),16001.0)</f>
        <v>16001</v>
      </c>
      <c r="I7224" s="18">
        <f>IFERROR(__xludf.DUMMYFUNCTION("""COMPUTED_VALUE"""),51.0)</f>
        <v>51</v>
      </c>
      <c r="J7224" s="18">
        <f>IFERROR(__xludf.DUMMYFUNCTION("""COMPUTED_VALUE"""),30.0)</f>
        <v>30</v>
      </c>
      <c r="K7224" s="18">
        <f>IFERROR(__xludf.DUMMYFUNCTION("""COMPUTED_VALUE"""),20.0)</f>
        <v>20</v>
      </c>
      <c r="L7224" s="17">
        <f>IFERROR(__xludf.DUMMYFUNCTION("""COMPUTED_VALUE"""),3.013390836E9)</f>
        <v>3013390836</v>
      </c>
      <c r="M7224" s="17"/>
      <c r="N7224" s="17"/>
      <c r="O7224" s="17"/>
      <c r="P7224" s="17" t="b">
        <f>IFERROR(__xludf.DUMMYFUNCTION("""COMPUTED_VALUE"""),TRUE)</f>
        <v>1</v>
      </c>
      <c r="Q7224" s="20">
        <f>IFERROR(__xludf.DUMMYFUNCTION("""COMPUTED_VALUE"""),45204.732830243054)</f>
        <v>45204.73283</v>
      </c>
      <c r="R7224" s="22" t="str">
        <f>IFERROR(__xludf.DUMMYFUNCTION("""COMPUTED_VALUE"""),"")</f>
        <v/>
      </c>
    </row>
    <row r="7225">
      <c r="A7225" s="15">
        <f>IFERROR(__xludf.DUMMYFUNCTION("""COMPUTED_VALUE"""),45204.0)</f>
        <v>45204</v>
      </c>
      <c r="B7225" s="16" t="str">
        <f>IFERROR(__xludf.DUMMYFUNCTION("""COMPUTED_VALUE"""),"Daniel José sandoval gonzalez")</f>
        <v>Daniel José sandoval gonzalez</v>
      </c>
      <c r="C7225" s="15" t="str">
        <f>IFERROR(__xludf.DUMMYFUNCTION("""COMPUTED_VALUE"""),"MEDELLÍN")</f>
        <v>MEDELLÍN</v>
      </c>
      <c r="D7225" s="15" t="str">
        <f>IFERROR(__xludf.DUMMYFUNCTION("""COMPUTED_VALUE"""),"BOGOTÁ")</f>
        <v>BOGOTÁ</v>
      </c>
      <c r="E7225" s="15" t="str">
        <f>IFERROR(__xludf.DUMMYFUNCTION("""COMPUTED_VALUE"""),"Karem foods")</f>
        <v>Karem foods</v>
      </c>
      <c r="F7225" s="17" t="str">
        <f>IFERROR(__xludf.DUMMYFUNCTION("""COMPUTED_VALUE"""),"Carrera 94#48a-11 / CASA unifamiliar / SANTA LUCIA")</f>
        <v>Carrera 94#48a-11 / CASA unifamiliar / SANTA LUCIA</v>
      </c>
      <c r="G7225" s="15" t="str">
        <f>IFERROR(__xludf.DUMMYFUNCTION("""COMPUTED_VALUE"""),"Camilo Cardona")</f>
        <v>Camilo Cardona</v>
      </c>
      <c r="H7225" s="16">
        <f>IFERROR(__xludf.DUMMYFUNCTION("""COMPUTED_VALUE"""),15992.0)</f>
        <v>15992</v>
      </c>
      <c r="I7225" s="18">
        <f>IFERROR(__xludf.DUMMYFUNCTION("""COMPUTED_VALUE"""),30.0)</f>
        <v>30</v>
      </c>
      <c r="J7225" s="18">
        <f>IFERROR(__xludf.DUMMYFUNCTION("""COMPUTED_VALUE"""),20.0)</f>
        <v>20</v>
      </c>
      <c r="K7225" s="18">
        <f>IFERROR(__xludf.DUMMYFUNCTION("""COMPUTED_VALUE"""),20.0)</f>
        <v>20</v>
      </c>
      <c r="L7225" s="17">
        <f>IFERROR(__xludf.DUMMYFUNCTION("""COMPUTED_VALUE"""),3.045749098E9)</f>
        <v>3045749098</v>
      </c>
      <c r="M7225" s="17"/>
      <c r="N7225" s="17"/>
      <c r="O7225" s="17"/>
      <c r="P7225" s="17" t="b">
        <f>IFERROR(__xludf.DUMMYFUNCTION("""COMPUTED_VALUE"""),FALSE)</f>
        <v>0</v>
      </c>
      <c r="Q7225" s="20" t="str">
        <f>IFERROR(__xludf.DUMMYFUNCTION("""COMPUTED_VALUE"""),"")</f>
        <v/>
      </c>
      <c r="R7225" s="22" t="str">
        <f>IFERROR(__xludf.DUMMYFUNCTION("""COMPUTED_VALUE"""),"")</f>
        <v/>
      </c>
    </row>
    <row r="7226">
      <c r="A7226" s="17" t="str">
        <f>IFERROR(__xludf.DUMMYFUNCTION("""COMPUTED_VALUE"""),"")</f>
        <v/>
      </c>
      <c r="B7226" s="17" t="str">
        <f>IFERROR(__xludf.DUMMYFUNCTION("""COMPUTED_VALUE"""),"")</f>
        <v/>
      </c>
      <c r="C7226" s="17" t="str">
        <f>IFERROR(__xludf.DUMMYFUNCTION("""COMPUTED_VALUE"""),"")</f>
        <v/>
      </c>
      <c r="D7226" s="17" t="str">
        <f>IFERROR(__xludf.DUMMYFUNCTION("""COMPUTED_VALUE"""),"")</f>
        <v/>
      </c>
      <c r="E7226" s="17" t="str">
        <f>IFERROR(__xludf.DUMMYFUNCTION("""COMPUTED_VALUE"""),"")</f>
        <v/>
      </c>
      <c r="F7226" s="17" t="str">
        <f>IFERROR(__xludf.DUMMYFUNCTION("""COMPUTED_VALUE"""),"")</f>
        <v/>
      </c>
      <c r="G7226" s="17" t="str">
        <f>IFERROR(__xludf.DUMMYFUNCTION("""COMPUTED_VALUE"""),"")</f>
        <v/>
      </c>
      <c r="H7226" s="17" t="str">
        <f>IFERROR(__xludf.DUMMYFUNCTION("""COMPUTED_VALUE"""),"")</f>
        <v/>
      </c>
      <c r="I7226" s="17" t="str">
        <f>IFERROR(__xludf.DUMMYFUNCTION("""COMPUTED_VALUE"""),"")</f>
        <v/>
      </c>
      <c r="J7226" s="17" t="str">
        <f>IFERROR(__xludf.DUMMYFUNCTION("""COMPUTED_VALUE"""),"")</f>
        <v/>
      </c>
      <c r="K7226" s="17" t="str">
        <f>IFERROR(__xludf.DUMMYFUNCTION("""COMPUTED_VALUE"""),"")</f>
        <v/>
      </c>
      <c r="L7226" s="17" t="str">
        <f>IFERROR(__xludf.DUMMYFUNCTION("""COMPUTED_VALUE"""),"")</f>
        <v/>
      </c>
      <c r="M7226" s="17" t="str">
        <f>IFERROR(__xludf.DUMMYFUNCTION("""COMPUTED_VALUE"""),"")</f>
        <v/>
      </c>
      <c r="N7226" s="17" t="str">
        <f>IFERROR(__xludf.DUMMYFUNCTION("""COMPUTED_VALUE"""),"")</f>
        <v/>
      </c>
      <c r="O7226" s="17" t="str">
        <f>IFERROR(__xludf.DUMMYFUNCTION("""COMPUTED_VALUE"""),"")</f>
        <v/>
      </c>
      <c r="P7226" s="17" t="str">
        <f>IFERROR(__xludf.DUMMYFUNCTION("""COMPUTED_VALUE"""),"")</f>
        <v/>
      </c>
      <c r="Q7226" s="17" t="str">
        <f>IFERROR(__xludf.DUMMYFUNCTION("""COMPUTED_VALUE"""),"")</f>
        <v/>
      </c>
      <c r="R7226" s="17" t="str">
        <f>IFERROR(__xludf.DUMMYFUNCTION("""COMPUTED_VALUE"""),"")</f>
        <v/>
      </c>
    </row>
    <row r="7227">
      <c r="A7227" s="15">
        <f>IFERROR(__xludf.DUMMYFUNCTION("""COMPUTED_VALUE"""),45204.0)</f>
        <v>45204</v>
      </c>
      <c r="B7227" s="16" t="str">
        <f>IFERROR(__xludf.DUMMYFUNCTION("""COMPUTED_VALUE"""),"David Sanmartin Bello")</f>
        <v>David Sanmartin Bello</v>
      </c>
      <c r="C7227" s="15" t="str">
        <f>IFERROR(__xludf.DUMMYFUNCTION("""COMPUTED_VALUE"""),"BARRANQUILLA")</f>
        <v>BARRANQUILLA</v>
      </c>
      <c r="D7227" s="15" t="str">
        <f>IFERROR(__xludf.DUMMYFUNCTION("""COMPUTED_VALUE"""),"BOGOTÁ")</f>
        <v>BOGOTÁ</v>
      </c>
      <c r="E7227" s="15" t="str">
        <f>IFERROR(__xludf.DUMMYFUNCTION("""COMPUTED_VALUE"""),"Ventura Productos Arg")</f>
        <v>Ventura Productos Arg</v>
      </c>
      <c r="F7227" s="17" t="str">
        <f>IFERROR(__xludf.DUMMYFUNCTION("""COMPUTED_VALUE"""),"Cra 64B # 96A - 28 / Jardines de Tivoli, Apto 903D")</f>
        <v>Cra 64B # 96A - 28 / Jardines de Tivoli, Apto 903D</v>
      </c>
      <c r="G7227" s="15" t="str">
        <f>IFERROR(__xludf.DUMMYFUNCTION("""COMPUTED_VALUE"""),"Angélica Moscotes")</f>
        <v>Angélica Moscotes</v>
      </c>
      <c r="H7227" s="16">
        <f>IFERROR(__xludf.DUMMYFUNCTION("""COMPUTED_VALUE"""),15871.0)</f>
        <v>15871</v>
      </c>
      <c r="I7227" s="18">
        <f>IFERROR(__xludf.DUMMYFUNCTION("""COMPUTED_VALUE"""),3.0)</f>
        <v>3</v>
      </c>
      <c r="J7227" s="18">
        <f>IFERROR(__xludf.DUMMYFUNCTION("""COMPUTED_VALUE"""),45053.0)</f>
        <v>45053</v>
      </c>
      <c r="K7227" s="18">
        <f>IFERROR(__xludf.DUMMYFUNCTION("""COMPUTED_VALUE"""),22.0)</f>
        <v>22</v>
      </c>
      <c r="L7227" s="17">
        <f>IFERROR(__xludf.DUMMYFUNCTION("""COMPUTED_VALUE"""),3.156961879E9)</f>
        <v>3156961879</v>
      </c>
      <c r="M7227" s="17"/>
      <c r="N7227" s="17"/>
      <c r="O7227" s="17"/>
      <c r="P7227" s="17" t="b">
        <f>IFERROR(__xludf.DUMMYFUNCTION("""COMPUTED_VALUE"""),TRUE)</f>
        <v>1</v>
      </c>
      <c r="Q7227" s="20">
        <f>IFERROR(__xludf.DUMMYFUNCTION("""COMPUTED_VALUE"""),45204.62522930556)</f>
        <v>45204.62523</v>
      </c>
      <c r="R7227" s="21" t="str">
        <f>IFERROR(__xludf.DUMMYFUNCTION("""COMPUTED_VALUE"""),"https://drive.google.com/file/d/1OXmqpPdO1BgHoDRQ0q9esmkoxcMH80_V/view?usp=drivesdk")</f>
        <v>https://drive.google.com/file/d/1OXmqpPdO1BgHoDRQ0q9esmkoxcMH80_V/view?usp=drivesdk</v>
      </c>
    </row>
    <row r="7228">
      <c r="A7228" s="15">
        <f>IFERROR(__xludf.DUMMYFUNCTION("""COMPUTED_VALUE"""),45204.0)</f>
        <v>45204</v>
      </c>
      <c r="B7228" s="16" t="str">
        <f>IFERROR(__xludf.DUMMYFUNCTION("""COMPUTED_VALUE"""),"David Sanmartin Bello")</f>
        <v>David Sanmartin Bello</v>
      </c>
      <c r="C7228" s="15" t="str">
        <f>IFERROR(__xludf.DUMMYFUNCTION("""COMPUTED_VALUE"""),"BARRANQUILLA")</f>
        <v>BARRANQUILLA</v>
      </c>
      <c r="D7228" s="15" t="str">
        <f>IFERROR(__xludf.DUMMYFUNCTION("""COMPUTED_VALUE"""),"BOGOTÁ")</f>
        <v>BOGOTÁ</v>
      </c>
      <c r="E7228" s="15" t="str">
        <f>IFERROR(__xludf.DUMMYFUNCTION("""COMPUTED_VALUE"""),"Ventura Productos Arg")</f>
        <v>Ventura Productos Arg</v>
      </c>
      <c r="F7228" s="17" t="str">
        <f>IFERROR(__xludf.DUMMYFUNCTION("""COMPUTED_VALUE"""),"Cra 64B # 96A - 28 / Jardines de Tivoli, Apto 903D")</f>
        <v>Cra 64B # 96A - 28 / Jardines de Tivoli, Apto 903D</v>
      </c>
      <c r="G7228" s="15" t="str">
        <f>IFERROR(__xludf.DUMMYFUNCTION("""COMPUTED_VALUE"""),"Angélica Moscotes")</f>
        <v>Angélica Moscotes</v>
      </c>
      <c r="H7228" s="16">
        <f>IFERROR(__xludf.DUMMYFUNCTION("""COMPUTED_VALUE"""),15872.0)</f>
        <v>15872</v>
      </c>
      <c r="I7228" s="18">
        <f>IFERROR(__xludf.DUMMYFUNCTION("""COMPUTED_VALUE"""),3.0)</f>
        <v>3</v>
      </c>
      <c r="J7228" s="18">
        <f>IFERROR(__xludf.DUMMYFUNCTION("""COMPUTED_VALUE"""),45060.0)</f>
        <v>45060</v>
      </c>
      <c r="K7228" s="18">
        <f>IFERROR(__xludf.DUMMYFUNCTION("""COMPUTED_VALUE"""),22.0)</f>
        <v>22</v>
      </c>
      <c r="L7228" s="17">
        <f>IFERROR(__xludf.DUMMYFUNCTION("""COMPUTED_VALUE"""),3.156961879E9)</f>
        <v>3156961879</v>
      </c>
      <c r="M7228" s="17"/>
      <c r="N7228" s="17"/>
      <c r="O7228" s="17"/>
      <c r="P7228" s="17" t="b">
        <f>IFERROR(__xludf.DUMMYFUNCTION("""COMPUTED_VALUE"""),TRUE)</f>
        <v>1</v>
      </c>
      <c r="Q7228" s="20">
        <f>IFERROR(__xludf.DUMMYFUNCTION("""COMPUTED_VALUE"""),45204.62522930556)</f>
        <v>45204.62523</v>
      </c>
      <c r="R7228" s="22" t="str">
        <f>IFERROR(__xludf.DUMMYFUNCTION("""COMPUTED_VALUE"""),"")</f>
        <v/>
      </c>
    </row>
    <row r="7229">
      <c r="A7229" s="15">
        <f>IFERROR(__xludf.DUMMYFUNCTION("""COMPUTED_VALUE"""),45204.0)</f>
        <v>45204</v>
      </c>
      <c r="B7229" s="16" t="str">
        <f>IFERROR(__xludf.DUMMYFUNCTION("""COMPUTED_VALUE"""),"David Sanmartin Bello")</f>
        <v>David Sanmartin Bello</v>
      </c>
      <c r="C7229" s="15" t="str">
        <f>IFERROR(__xludf.DUMMYFUNCTION("""COMPUTED_VALUE"""),"CARTAGENA")</f>
        <v>CARTAGENA</v>
      </c>
      <c r="D7229" s="15" t="str">
        <f>IFERROR(__xludf.DUMMYFUNCTION("""COMPUTED_VALUE"""),"BOGOTÁ")</f>
        <v>BOGOTÁ</v>
      </c>
      <c r="E7229" s="15" t="str">
        <f>IFERROR(__xludf.DUMMYFUNCTION("""COMPUTED_VALUE"""),"Asociacion Agropecuaria Juana Maria")</f>
        <v>Asociacion Agropecuaria Juana Maria</v>
      </c>
      <c r="F7229" s="17" t="str">
        <f>IFERROR(__xludf.DUMMYFUNCTION("""COMPUTED_VALUE"""),"Calle 32B # 80 -589 Barrio Villa Estrella condominio copacabana torre 4 apto 706")</f>
        <v>Calle 32B # 80 -589 Barrio Villa Estrella condominio copacabana torre 4 apto 706</v>
      </c>
      <c r="G7229" s="15" t="str">
        <f>IFERROR(__xludf.DUMMYFUNCTION("""COMPUTED_VALUE"""),"LUZ ELENA GIL BENAVIDES")</f>
        <v>LUZ ELENA GIL BENAVIDES</v>
      </c>
      <c r="H7229" s="16">
        <f>IFERROR(__xludf.DUMMYFUNCTION("""COMPUTED_VALUE"""),15794.0)</f>
        <v>15794</v>
      </c>
      <c r="I7229" s="18">
        <f>IFERROR(__xludf.DUMMYFUNCTION("""COMPUTED_VALUE"""),17.0)</f>
        <v>17</v>
      </c>
      <c r="J7229" s="18">
        <f>IFERROR(__xludf.DUMMYFUNCTION("""COMPUTED_VALUE"""),37.0)</f>
        <v>37</v>
      </c>
      <c r="K7229" s="18">
        <f>IFERROR(__xludf.DUMMYFUNCTION("""COMPUTED_VALUE"""),28.0)</f>
        <v>28</v>
      </c>
      <c r="L7229" s="17">
        <f>IFERROR(__xludf.DUMMYFUNCTION("""COMPUTED_VALUE"""),3.054312334E9)</f>
        <v>3054312334</v>
      </c>
      <c r="M7229" s="17"/>
      <c r="N7229" s="17"/>
      <c r="O7229" s="17"/>
      <c r="P7229" s="17" t="b">
        <f>IFERROR(__xludf.DUMMYFUNCTION("""COMPUTED_VALUE"""),TRUE)</f>
        <v>1</v>
      </c>
      <c r="Q7229" s="20">
        <f>IFERROR(__xludf.DUMMYFUNCTION("""COMPUTED_VALUE"""),45204.62522930556)</f>
        <v>45204.62523</v>
      </c>
      <c r="R7229" s="21" t="str">
        <f>IFERROR(__xludf.DUMMYFUNCTION("""COMPUTED_VALUE"""),"https://drive.google.com/file/d/1oFDGESMTtKErF-rP8d8OH-fV1yzkkwjB/view?usp=drivesdk")</f>
        <v>https://drive.google.com/file/d/1oFDGESMTtKErF-rP8d8OH-fV1yzkkwjB/view?usp=drivesdk</v>
      </c>
    </row>
    <row r="7230">
      <c r="A7230" s="15">
        <f>IFERROR(__xludf.DUMMYFUNCTION("""COMPUTED_VALUE"""),45204.0)</f>
        <v>45204</v>
      </c>
      <c r="B7230" s="16" t="str">
        <f>IFERROR(__xludf.DUMMYFUNCTION("""COMPUTED_VALUE"""),"David Sanmartin Bello")</f>
        <v>David Sanmartin Bello</v>
      </c>
      <c r="C7230" s="15" t="str">
        <f>IFERROR(__xludf.DUMMYFUNCTION("""COMPUTED_VALUE"""),"CARTAGENA")</f>
        <v>CARTAGENA</v>
      </c>
      <c r="D7230" s="15" t="str">
        <f>IFERROR(__xludf.DUMMYFUNCTION("""COMPUTED_VALUE"""),"BOGOTÁ")</f>
        <v>BOGOTÁ</v>
      </c>
      <c r="E7230" s="15" t="str">
        <f>IFERROR(__xludf.DUMMYFUNCTION("""COMPUTED_VALUE"""),"Evamazzita")</f>
        <v>Evamazzita</v>
      </c>
      <c r="F7230" s="17" t="str">
        <f>IFERROR(__xludf.DUMMYFUNCTION("""COMPUTED_VALUE"""),"BARRIO CRESPO CALLE 62 No. 1A - 28 / BARRIO CRESPO CALLE 62 No. 1A - 28")</f>
        <v>BARRIO CRESPO CALLE 62 No. 1A - 28 / BARRIO CRESPO CALLE 62 No. 1A - 28</v>
      </c>
      <c r="G7230" s="15" t="str">
        <f>IFERROR(__xludf.DUMMYFUNCTION("""COMPUTED_VALUE"""),"ONNEY GONZALEZ SOBRINO")</f>
        <v>ONNEY GONZALEZ SOBRINO</v>
      </c>
      <c r="H7230" s="16">
        <f>IFERROR(__xludf.DUMMYFUNCTION("""COMPUTED_VALUE"""),15969.0)</f>
        <v>15969</v>
      </c>
      <c r="I7230" s="18">
        <f>IFERROR(__xludf.DUMMYFUNCTION("""COMPUTED_VALUE"""),1.0)</f>
        <v>1</v>
      </c>
      <c r="J7230" s="18">
        <f>IFERROR(__xludf.DUMMYFUNCTION("""COMPUTED_VALUE"""),1.0)</f>
        <v>1</v>
      </c>
      <c r="K7230" s="18">
        <f>IFERROR(__xludf.DUMMYFUNCTION("""COMPUTED_VALUE"""),1.0)</f>
        <v>1</v>
      </c>
      <c r="L7230" s="17">
        <f>IFERROR(__xludf.DUMMYFUNCTION("""COMPUTED_VALUE"""),3.012988485E9)</f>
        <v>3012988485</v>
      </c>
      <c r="M7230" s="17"/>
      <c r="N7230" s="17"/>
      <c r="O7230" s="17"/>
      <c r="P7230" s="17" t="b">
        <f>IFERROR(__xludf.DUMMYFUNCTION("""COMPUTED_VALUE"""),TRUE)</f>
        <v>1</v>
      </c>
      <c r="Q7230" s="20">
        <f>IFERROR(__xludf.DUMMYFUNCTION("""COMPUTED_VALUE"""),45204.62522930556)</f>
        <v>45204.62523</v>
      </c>
      <c r="R7230" s="21" t="str">
        <f>IFERROR(__xludf.DUMMYFUNCTION("""COMPUTED_VALUE"""),"https://drive.google.com/file/d/1rTgigRDwRhCMmkZF9vPuOlv-S8GO2tQB/view?usp=drivesdk")</f>
        <v>https://drive.google.com/file/d/1rTgigRDwRhCMmkZF9vPuOlv-S8GO2tQB/view?usp=drivesdk</v>
      </c>
    </row>
    <row r="7231">
      <c r="A7231" s="15">
        <f>IFERROR(__xludf.DUMMYFUNCTION("""COMPUTED_VALUE"""),45204.0)</f>
        <v>45204</v>
      </c>
      <c r="B7231" s="16" t="str">
        <f>IFERROR(__xludf.DUMMYFUNCTION("""COMPUTED_VALUE"""),"David Sanmartin Bello")</f>
        <v>David Sanmartin Bello</v>
      </c>
      <c r="C7231" s="15" t="str">
        <f>IFERROR(__xludf.DUMMYFUNCTION("""COMPUTED_VALUE"""),"CARTAGENA")</f>
        <v>CARTAGENA</v>
      </c>
      <c r="D7231" s="15" t="str">
        <f>IFERROR(__xludf.DUMMYFUNCTION("""COMPUTED_VALUE"""),"BOGOTÁ")</f>
        <v>BOGOTÁ</v>
      </c>
      <c r="E7231" s="15" t="str">
        <f>IFERROR(__xludf.DUMMYFUNCTION("""COMPUTED_VALUE"""),"Evamazzita")</f>
        <v>Evamazzita</v>
      </c>
      <c r="F7231" s="17" t="str">
        <f>IFERROR(__xludf.DUMMYFUNCTION("""COMPUTED_VALUE"""),"Calle 35 # 102 - 10 / Condominio Torres de San José Apto. 407 B")</f>
        <v>Calle 35 # 102 - 10 / Condominio Torres de San José Apto. 407 B</v>
      </c>
      <c r="G7231" s="15" t="str">
        <f>IFERROR(__xludf.DUMMYFUNCTION("""COMPUTED_VALUE"""),"FANNY CABARCAS ARTEAGA")</f>
        <v>FANNY CABARCAS ARTEAGA</v>
      </c>
      <c r="H7231" s="16">
        <f>IFERROR(__xludf.DUMMYFUNCTION("""COMPUTED_VALUE"""),15971.0)</f>
        <v>15971</v>
      </c>
      <c r="I7231" s="18">
        <f>IFERROR(__xludf.DUMMYFUNCTION("""COMPUTED_VALUE"""),1.0)</f>
        <v>1</v>
      </c>
      <c r="J7231" s="18">
        <f>IFERROR(__xludf.DUMMYFUNCTION("""COMPUTED_VALUE"""),1.0)</f>
        <v>1</v>
      </c>
      <c r="K7231" s="18">
        <f>IFERROR(__xludf.DUMMYFUNCTION("""COMPUTED_VALUE"""),1.0)</f>
        <v>1</v>
      </c>
      <c r="L7231" s="17">
        <f>IFERROR(__xludf.DUMMYFUNCTION("""COMPUTED_VALUE"""),3.014081162E9)</f>
        <v>3014081162</v>
      </c>
      <c r="M7231" s="17"/>
      <c r="N7231" s="17"/>
      <c r="O7231" s="17"/>
      <c r="P7231" s="17" t="b">
        <f>IFERROR(__xludf.DUMMYFUNCTION("""COMPUTED_VALUE"""),TRUE)</f>
        <v>1</v>
      </c>
      <c r="Q7231" s="20">
        <f>IFERROR(__xludf.DUMMYFUNCTION("""COMPUTED_VALUE"""),45204.62522930556)</f>
        <v>45204.62523</v>
      </c>
      <c r="R7231" s="21" t="str">
        <f>IFERROR(__xludf.DUMMYFUNCTION("""COMPUTED_VALUE"""),"https://drive.google.com/file/d/1hvDsqsfl0hFb3IViOY-j46g2tB_6kHqa/view?usp=drivesdk")</f>
        <v>https://drive.google.com/file/d/1hvDsqsfl0hFb3IViOY-j46g2tB_6kHqa/view?usp=drivesdk</v>
      </c>
    </row>
    <row r="7232">
      <c r="A7232" s="15">
        <f>IFERROR(__xludf.DUMMYFUNCTION("""COMPUTED_VALUE"""),45204.0)</f>
        <v>45204</v>
      </c>
      <c r="B7232" s="16" t="str">
        <f>IFERROR(__xludf.DUMMYFUNCTION("""COMPUTED_VALUE"""),"David Sanmartin Bello")</f>
        <v>David Sanmartin Bello</v>
      </c>
      <c r="C7232" s="15" t="str">
        <f>IFERROR(__xludf.DUMMYFUNCTION("""COMPUTED_VALUE"""),"CARTAGENA")</f>
        <v>CARTAGENA</v>
      </c>
      <c r="D7232" s="15" t="str">
        <f>IFERROR(__xludf.DUMMYFUNCTION("""COMPUTED_VALUE"""),"BOGOTÁ")</f>
        <v>BOGOTÁ</v>
      </c>
      <c r="E7232" s="15" t="str">
        <f>IFERROR(__xludf.DUMMYFUNCTION("""COMPUTED_VALUE"""),"Evamazzita")</f>
        <v>Evamazzita</v>
      </c>
      <c r="F7232" s="17" t="str">
        <f>IFERROR(__xludf.DUMMYFUNCTION("""COMPUTED_VALUE"""),"Cll 32B No 80 589 / Condominio Copacabana T4 Apto 706")</f>
        <v>Cll 32B No 80 589 / Condominio Copacabana T4 Apto 706</v>
      </c>
      <c r="G7232" s="15" t="str">
        <f>IFERROR(__xludf.DUMMYFUNCTION("""COMPUTED_VALUE"""),"LUZ ELENA GIL BENAVIDES")</f>
        <v>LUZ ELENA GIL BENAVIDES</v>
      </c>
      <c r="H7232" s="16">
        <f>IFERROR(__xludf.DUMMYFUNCTION("""COMPUTED_VALUE"""),15970.0)</f>
        <v>15970</v>
      </c>
      <c r="I7232" s="18">
        <f>IFERROR(__xludf.DUMMYFUNCTION("""COMPUTED_VALUE"""),1.0)</f>
        <v>1</v>
      </c>
      <c r="J7232" s="18">
        <f>IFERROR(__xludf.DUMMYFUNCTION("""COMPUTED_VALUE"""),1.0)</f>
        <v>1</v>
      </c>
      <c r="K7232" s="18">
        <f>IFERROR(__xludf.DUMMYFUNCTION("""COMPUTED_VALUE"""),1.0)</f>
        <v>1</v>
      </c>
      <c r="L7232" s="17">
        <f>IFERROR(__xludf.DUMMYFUNCTION("""COMPUTED_VALUE"""),3.054312334E9)</f>
        <v>3054312334</v>
      </c>
      <c r="M7232" s="17"/>
      <c r="N7232" s="17"/>
      <c r="O7232" s="17"/>
      <c r="P7232" s="17" t="b">
        <f>IFERROR(__xludf.DUMMYFUNCTION("""COMPUTED_VALUE"""),TRUE)</f>
        <v>1</v>
      </c>
      <c r="Q7232" s="20">
        <f>IFERROR(__xludf.DUMMYFUNCTION("""COMPUTED_VALUE"""),45204.62522930556)</f>
        <v>45204.62523</v>
      </c>
      <c r="R7232" s="21" t="str">
        <f>IFERROR(__xludf.DUMMYFUNCTION("""COMPUTED_VALUE"""),"https://drive.google.com/file/d/1c6q3Gye53xlo7_sCm1-q_IbDFpp6FuZv/view?usp=drivesdk")</f>
        <v>https://drive.google.com/file/d/1c6q3Gye53xlo7_sCm1-q_IbDFpp6FuZv/view?usp=drivesdk</v>
      </c>
    </row>
    <row r="7233">
      <c r="A7233" s="15">
        <f>IFERROR(__xludf.DUMMYFUNCTION("""COMPUTED_VALUE"""),45204.0)</f>
        <v>45204</v>
      </c>
      <c r="B7233" s="16" t="str">
        <f>IFERROR(__xludf.DUMMYFUNCTION("""COMPUTED_VALUE"""),"David Sanmartin Bello")</f>
        <v>David Sanmartin Bello</v>
      </c>
      <c r="C7233" s="15" t="str">
        <f>IFERROR(__xludf.DUMMYFUNCTION("""COMPUTED_VALUE"""),"CARTAGENA")</f>
        <v>CARTAGENA</v>
      </c>
      <c r="D7233" s="15" t="str">
        <f>IFERROR(__xludf.DUMMYFUNCTION("""COMPUTED_VALUE"""),"BOGOTÁ")</f>
        <v>BOGOTÁ</v>
      </c>
      <c r="E7233" s="15" t="str">
        <f>IFERROR(__xludf.DUMMYFUNCTION("""COMPUTED_VALUE"""),"Top Spun")</f>
        <v>Top Spun</v>
      </c>
      <c r="F7233" s="17" t="str">
        <f>IFERROR(__xludf.DUMMYFUNCTION("""COMPUTED_VALUE"""),"KR 8 CL 5 A-85 / Tor B APT 1B  / Edificio Casa Blanca- Castillogrande")</f>
        <v>KR 8 CL 5 A-85 / Tor B APT 1B  / Edificio Casa Blanca- Castillogrande</v>
      </c>
      <c r="G7233" s="15" t="str">
        <f>IFERROR(__xludf.DUMMYFUNCTION("""COMPUTED_VALUE"""),"CYRIL PERETTI")</f>
        <v>CYRIL PERETTI</v>
      </c>
      <c r="H7233" s="16">
        <f>IFERROR(__xludf.DUMMYFUNCTION("""COMPUTED_VALUE"""),15904.0)</f>
        <v>15904</v>
      </c>
      <c r="I7233" s="18">
        <f>IFERROR(__xludf.DUMMYFUNCTION("""COMPUTED_VALUE"""),20.0)</f>
        <v>20</v>
      </c>
      <c r="J7233" s="18">
        <f>IFERROR(__xludf.DUMMYFUNCTION("""COMPUTED_VALUE"""),10.0)</f>
        <v>10</v>
      </c>
      <c r="K7233" s="18">
        <f>IFERROR(__xludf.DUMMYFUNCTION("""COMPUTED_VALUE"""),40.0)</f>
        <v>40</v>
      </c>
      <c r="L7233" s="17">
        <f>IFERROR(__xludf.DUMMYFUNCTION("""COMPUTED_VALUE"""),3.235276976E9)</f>
        <v>3235276976</v>
      </c>
      <c r="M7233" s="17"/>
      <c r="N7233" s="17"/>
      <c r="O7233" s="17"/>
      <c r="P7233" s="17" t="b">
        <f>IFERROR(__xludf.DUMMYFUNCTION("""COMPUTED_VALUE"""),TRUE)</f>
        <v>1</v>
      </c>
      <c r="Q7233" s="20">
        <f>IFERROR(__xludf.DUMMYFUNCTION("""COMPUTED_VALUE"""),45204.62522930556)</f>
        <v>45204.62523</v>
      </c>
      <c r="R7233" s="21" t="str">
        <f>IFERROR(__xludf.DUMMYFUNCTION("""COMPUTED_VALUE"""),"https://drive.google.com/file/d/1Q2SPX3CRELnCrc3vsv16U3t9J4lLwp_T/view?usp=drivesdk")</f>
        <v>https://drive.google.com/file/d/1Q2SPX3CRELnCrc3vsv16U3t9J4lLwp_T/view?usp=drivesdk</v>
      </c>
    </row>
    <row r="7234">
      <c r="A7234" s="15">
        <f>IFERROR(__xludf.DUMMYFUNCTION("""COMPUTED_VALUE"""),45204.0)</f>
        <v>45204</v>
      </c>
      <c r="B7234" s="16" t="str">
        <f>IFERROR(__xludf.DUMMYFUNCTION("""COMPUTED_VALUE"""),"David Sanmartin Bello")</f>
        <v>David Sanmartin Bello</v>
      </c>
      <c r="C7234" s="15" t="str">
        <f>IFERROR(__xludf.DUMMYFUNCTION("""COMPUTED_VALUE"""),"CARTAGENA")</f>
        <v>CARTAGENA</v>
      </c>
      <c r="D7234" s="15" t="str">
        <f>IFERROR(__xludf.DUMMYFUNCTION("""COMPUTED_VALUE"""),"BOGOTÁ")</f>
        <v>BOGOTÁ</v>
      </c>
      <c r="E7234" s="15" t="str">
        <f>IFERROR(__xludf.DUMMYFUNCTION("""COMPUTED_VALUE"""),"Viiva Fermentados")</f>
        <v>Viiva Fermentados</v>
      </c>
      <c r="F7234" s="17" t="str">
        <f>IFERROR(__xludf.DUMMYFUNCTION("""COMPUTED_VALUE"""),"Carrera 2 #9-161 / Salute Mercado / Bocagrande")</f>
        <v>Carrera 2 #9-161 / Salute Mercado / Bocagrande</v>
      </c>
      <c r="G7234" s="15" t="str">
        <f>IFERROR(__xludf.DUMMYFUNCTION("""COMPUTED_VALUE"""),"Salute Mercado  - Angélica Amaris")</f>
        <v>Salute Mercado  - Angélica Amaris</v>
      </c>
      <c r="H7234" s="16">
        <f>IFERROR(__xludf.DUMMYFUNCTION("""COMPUTED_VALUE"""),15959.0)</f>
        <v>15959</v>
      </c>
      <c r="I7234" s="18">
        <f>IFERROR(__xludf.DUMMYFUNCTION("""COMPUTED_VALUE"""),27.0)</f>
        <v>27</v>
      </c>
      <c r="J7234" s="18">
        <f>IFERROR(__xludf.DUMMYFUNCTION("""COMPUTED_VALUE"""),18.0)</f>
        <v>18</v>
      </c>
      <c r="K7234" s="18">
        <f>IFERROR(__xludf.DUMMYFUNCTION("""COMPUTED_VALUE"""),18.0)</f>
        <v>18</v>
      </c>
      <c r="L7234" s="17">
        <f>IFERROR(__xludf.DUMMYFUNCTION("""COMPUTED_VALUE"""),3.046083651E9)</f>
        <v>3046083651</v>
      </c>
      <c r="M7234" s="17"/>
      <c r="N7234" s="17"/>
      <c r="O7234" s="17"/>
      <c r="P7234" s="17" t="b">
        <f>IFERROR(__xludf.DUMMYFUNCTION("""COMPUTED_VALUE"""),TRUE)</f>
        <v>1</v>
      </c>
      <c r="Q7234" s="20">
        <f>IFERROR(__xludf.DUMMYFUNCTION("""COMPUTED_VALUE"""),45204.62522930556)</f>
        <v>45204.62523</v>
      </c>
      <c r="R7234" s="21" t="str">
        <f>IFERROR(__xludf.DUMMYFUNCTION("""COMPUTED_VALUE"""),"https://drive.google.com/file/d/1BxbDFCeqp5-J_bJsYw2ZvdLTznbQgaYM/view?usp=drivesdk")</f>
        <v>https://drive.google.com/file/d/1BxbDFCeqp5-J_bJsYw2ZvdLTznbQgaYM/view?usp=drivesdk</v>
      </c>
    </row>
    <row r="7235">
      <c r="A7235" s="17" t="str">
        <f>IFERROR(__xludf.DUMMYFUNCTION("""COMPUTED_VALUE"""),"")</f>
        <v/>
      </c>
      <c r="B7235" s="17" t="str">
        <f>IFERROR(__xludf.DUMMYFUNCTION("""COMPUTED_VALUE"""),"")</f>
        <v/>
      </c>
      <c r="C7235" s="17" t="str">
        <f>IFERROR(__xludf.DUMMYFUNCTION("""COMPUTED_VALUE"""),"")</f>
        <v/>
      </c>
      <c r="D7235" s="17" t="str">
        <f>IFERROR(__xludf.DUMMYFUNCTION("""COMPUTED_VALUE"""),"")</f>
        <v/>
      </c>
      <c r="E7235" s="17" t="str">
        <f>IFERROR(__xludf.DUMMYFUNCTION("""COMPUTED_VALUE"""),"")</f>
        <v/>
      </c>
      <c r="F7235" s="17" t="str">
        <f>IFERROR(__xludf.DUMMYFUNCTION("""COMPUTED_VALUE"""),"")</f>
        <v/>
      </c>
      <c r="G7235" s="17" t="str">
        <f>IFERROR(__xludf.DUMMYFUNCTION("""COMPUTED_VALUE"""),"")</f>
        <v/>
      </c>
      <c r="H7235" s="17" t="str">
        <f>IFERROR(__xludf.DUMMYFUNCTION("""COMPUTED_VALUE"""),"")</f>
        <v/>
      </c>
      <c r="I7235" s="17" t="str">
        <f>IFERROR(__xludf.DUMMYFUNCTION("""COMPUTED_VALUE"""),"")</f>
        <v/>
      </c>
      <c r="J7235" s="17" t="str">
        <f>IFERROR(__xludf.DUMMYFUNCTION("""COMPUTED_VALUE"""),"")</f>
        <v/>
      </c>
      <c r="K7235" s="17" t="str">
        <f>IFERROR(__xludf.DUMMYFUNCTION("""COMPUTED_VALUE"""),"")</f>
        <v/>
      </c>
      <c r="L7235" s="17" t="str">
        <f>IFERROR(__xludf.DUMMYFUNCTION("""COMPUTED_VALUE"""),"")</f>
        <v/>
      </c>
      <c r="M7235" s="17" t="str">
        <f>IFERROR(__xludf.DUMMYFUNCTION("""COMPUTED_VALUE"""),"")</f>
        <v/>
      </c>
      <c r="N7235" s="17" t="str">
        <f>IFERROR(__xludf.DUMMYFUNCTION("""COMPUTED_VALUE"""),"")</f>
        <v/>
      </c>
      <c r="O7235" s="17" t="str">
        <f>IFERROR(__xludf.DUMMYFUNCTION("""COMPUTED_VALUE"""),"")</f>
        <v/>
      </c>
      <c r="P7235" s="17" t="str">
        <f>IFERROR(__xludf.DUMMYFUNCTION("""COMPUTED_VALUE"""),"")</f>
        <v/>
      </c>
      <c r="Q7235" s="17" t="str">
        <f>IFERROR(__xludf.DUMMYFUNCTION("""COMPUTED_VALUE"""),"")</f>
        <v/>
      </c>
      <c r="R7235" s="17" t="str">
        <f>IFERROR(__xludf.DUMMYFUNCTION("""COMPUTED_VALUE"""),"")</f>
        <v/>
      </c>
    </row>
    <row r="7236">
      <c r="A7236" s="15">
        <f>IFERROR(__xludf.DUMMYFUNCTION("""COMPUTED_VALUE"""),45204.0)</f>
        <v>45204</v>
      </c>
      <c r="B7236" s="16" t="str">
        <f>IFERROR(__xludf.DUMMYFUNCTION("""COMPUTED_VALUE"""),"Envia")</f>
        <v>Envia</v>
      </c>
      <c r="C7236" s="15" t="str">
        <f>IFERROR(__xludf.DUMMYFUNCTION("""COMPUTED_VALUE"""),"BARRANQUILLA")</f>
        <v>BARRANQUILLA</v>
      </c>
      <c r="D7236" s="15" t="str">
        <f>IFERROR(__xludf.DUMMYFUNCTION("""COMPUTED_VALUE"""),"BOGOTÁ")</f>
        <v>BOGOTÁ</v>
      </c>
      <c r="E7236" s="15" t="str">
        <f>IFERROR(__xludf.DUMMYFUNCTION("""COMPUTED_VALUE"""),"Evamazzita")</f>
        <v>Evamazzita</v>
      </c>
      <c r="F7236" s="17" t="str">
        <f>IFERROR(__xludf.DUMMYFUNCTION("""COMPUTED_VALUE"""),"CALLE 117 # 42 B - 25 / EDIFICIO TURPIAL TORRE 6 APTO. 105 ALAMEDA DEL RÍO")</f>
        <v>CALLE 117 # 42 B - 25 / EDIFICIO TURPIAL TORRE 6 APTO. 105 ALAMEDA DEL RÍO</v>
      </c>
      <c r="G7236" s="15" t="str">
        <f>IFERROR(__xludf.DUMMYFUNCTION("""COMPUTED_VALUE"""),"LORAINE PAOLA JULIO SOLANO")</f>
        <v>LORAINE PAOLA JULIO SOLANO</v>
      </c>
      <c r="H7236" s="16">
        <f>IFERROR(__xludf.DUMMYFUNCTION("""COMPUTED_VALUE"""),15988.0)</f>
        <v>15988</v>
      </c>
      <c r="I7236" s="18">
        <f>IFERROR(__xludf.DUMMYFUNCTION("""COMPUTED_VALUE"""),1.0)</f>
        <v>1</v>
      </c>
      <c r="J7236" s="18">
        <f>IFERROR(__xludf.DUMMYFUNCTION("""COMPUTED_VALUE"""),1.0)</f>
        <v>1</v>
      </c>
      <c r="K7236" s="18">
        <f>IFERROR(__xludf.DUMMYFUNCTION("""COMPUTED_VALUE"""),1.0)</f>
        <v>1</v>
      </c>
      <c r="L7236" s="17">
        <f>IFERROR(__xludf.DUMMYFUNCTION("""COMPUTED_VALUE"""),3.013535388E9)</f>
        <v>3013535388</v>
      </c>
      <c r="M7236" s="17"/>
      <c r="N7236" s="17"/>
      <c r="O7236" s="17"/>
      <c r="P7236" s="17" t="b">
        <f>IFERROR(__xludf.DUMMYFUNCTION("""COMPUTED_VALUE"""),TRUE)</f>
        <v>1</v>
      </c>
      <c r="Q7236" s="20">
        <f>IFERROR(__xludf.DUMMYFUNCTION("""COMPUTED_VALUE"""),45204.62522931713)</f>
        <v>45204.62523</v>
      </c>
      <c r="R7236" s="21" t="str">
        <f>IFERROR(__xludf.DUMMYFUNCTION("""COMPUTED_VALUE"""),"https://drive.google.com/file/d/1XRzJuFsu-6jTQVtD3VixXKom0ukag8FT/view?usp=drivesdk")</f>
        <v>https://drive.google.com/file/d/1XRzJuFsu-6jTQVtD3VixXKom0ukag8FT/view?usp=drivesdk</v>
      </c>
    </row>
    <row r="7237">
      <c r="A7237" s="15">
        <f>IFERROR(__xludf.DUMMYFUNCTION("""COMPUTED_VALUE"""),45204.0)</f>
        <v>45204</v>
      </c>
      <c r="B7237" s="16" t="str">
        <f>IFERROR(__xludf.DUMMYFUNCTION("""COMPUTED_VALUE"""),"Envia")</f>
        <v>Envia</v>
      </c>
      <c r="C7237" s="15" t="str">
        <f>IFERROR(__xludf.DUMMYFUNCTION("""COMPUTED_VALUE"""),"BOGOTÁ")</f>
        <v>BOGOTÁ</v>
      </c>
      <c r="D7237" s="15" t="str">
        <f>IFERROR(__xludf.DUMMYFUNCTION("""COMPUTED_VALUE"""),"CALI")</f>
        <v>CALI</v>
      </c>
      <c r="E7237" s="15" t="str">
        <f>IFERROR(__xludf.DUMMYFUNCTION("""COMPUTED_VALUE"""),"Natalia Carreño")</f>
        <v>Natalia Carreño</v>
      </c>
      <c r="F7237" s="17" t="str">
        <f>IFERROR(__xludf.DUMMYFUNCTION("""COMPUTED_VALUE"""),"Carrera 27 #70-83 / Casa Rosada / Barrio Los Alcazares")</f>
        <v>Carrera 27 #70-83 / Casa Rosada / Barrio Los Alcazares</v>
      </c>
      <c r="G7237" s="15" t="str">
        <f>IFERROR(__xludf.DUMMYFUNCTION("""COMPUTED_VALUE"""),"Natalia Carreño")</f>
        <v>Natalia Carreño</v>
      </c>
      <c r="H7237" s="16">
        <f>IFERROR(__xludf.DUMMYFUNCTION("""COMPUTED_VALUE"""),15843.0)</f>
        <v>15843</v>
      </c>
      <c r="I7237" s="18">
        <f>IFERROR(__xludf.DUMMYFUNCTION("""COMPUTED_VALUE"""),49.0)</f>
        <v>49</v>
      </c>
      <c r="J7237" s="18">
        <f>IFERROR(__xludf.DUMMYFUNCTION("""COMPUTED_VALUE"""),49.0)</f>
        <v>49</v>
      </c>
      <c r="K7237" s="18">
        <f>IFERROR(__xludf.DUMMYFUNCTION("""COMPUTED_VALUE"""),60.0)</f>
        <v>60</v>
      </c>
      <c r="L7237" s="17">
        <f>IFERROR(__xludf.DUMMYFUNCTION("""COMPUTED_VALUE"""),3.11561131E9)</f>
        <v>3115611310</v>
      </c>
      <c r="M7237" s="17"/>
      <c r="N7237" s="17"/>
      <c r="O7237" s="17"/>
      <c r="P7237" s="17" t="b">
        <f>IFERROR(__xludf.DUMMYFUNCTION("""COMPUTED_VALUE"""),FALSE)</f>
        <v>0</v>
      </c>
      <c r="Q7237" s="20" t="str">
        <f>IFERROR(__xludf.DUMMYFUNCTION("""COMPUTED_VALUE"""),"")</f>
        <v/>
      </c>
      <c r="R7237" s="22" t="str">
        <f>IFERROR(__xludf.DUMMYFUNCTION("""COMPUTED_VALUE"""),"")</f>
        <v/>
      </c>
    </row>
    <row r="7238">
      <c r="A7238" s="15">
        <f>IFERROR(__xludf.DUMMYFUNCTION("""COMPUTED_VALUE"""),45204.0)</f>
        <v>45204</v>
      </c>
      <c r="B7238" s="16" t="str">
        <f>IFERROR(__xludf.DUMMYFUNCTION("""COMPUTED_VALUE"""),"Envia")</f>
        <v>Envia</v>
      </c>
      <c r="C7238" s="15" t="str">
        <f>IFERROR(__xludf.DUMMYFUNCTION("""COMPUTED_VALUE"""),"BUGA")</f>
        <v>BUGA</v>
      </c>
      <c r="D7238" s="15" t="str">
        <f>IFERROR(__xludf.DUMMYFUNCTION("""COMPUTED_VALUE"""),"BOGOTÁ")</f>
        <v>BOGOTÁ</v>
      </c>
      <c r="E7238" s="15" t="str">
        <f>IFERROR(__xludf.DUMMYFUNCTION("""COMPUTED_VALUE"""),"Top Spun")</f>
        <v>Top Spun</v>
      </c>
      <c r="F7238" s="17" t="str">
        <f>IFERROR(__xludf.DUMMYFUNCTION("""COMPUTED_VALUE"""),"Calle 19d sur 10a 199 / Buga / Valle del Cauca")</f>
        <v>Calle 19d sur 10a 199 / Buga / Valle del Cauca</v>
      </c>
      <c r="G7238" s="15" t="str">
        <f>IFERROR(__xludf.DUMMYFUNCTION("""COMPUTED_VALUE"""),"Jessica Arias")</f>
        <v>Jessica Arias</v>
      </c>
      <c r="H7238" s="16">
        <f>IFERROR(__xludf.DUMMYFUNCTION("""COMPUTED_VALUE"""),15778.0)</f>
        <v>15778</v>
      </c>
      <c r="I7238" s="18">
        <f>IFERROR(__xludf.DUMMYFUNCTION("""COMPUTED_VALUE"""),20.0)</f>
        <v>20</v>
      </c>
      <c r="J7238" s="18">
        <f>IFERROR(__xludf.DUMMYFUNCTION("""COMPUTED_VALUE"""),10.0)</f>
        <v>10</v>
      </c>
      <c r="K7238" s="18">
        <f>IFERROR(__xludf.DUMMYFUNCTION("""COMPUTED_VALUE"""),40.0)</f>
        <v>40</v>
      </c>
      <c r="L7238" s="17">
        <f>IFERROR(__xludf.DUMMYFUNCTION("""COMPUTED_VALUE"""),3.217216697E9)</f>
        <v>3217216697</v>
      </c>
      <c r="M7238" s="17"/>
      <c r="N7238" s="17"/>
      <c r="O7238" s="17"/>
      <c r="P7238" s="17" t="b">
        <f>IFERROR(__xludf.DUMMYFUNCTION("""COMPUTED_VALUE"""),TRUE)</f>
        <v>1</v>
      </c>
      <c r="Q7238" s="20">
        <f>IFERROR(__xludf.DUMMYFUNCTION("""COMPUTED_VALUE"""),45204.70873246528)</f>
        <v>45204.70873</v>
      </c>
      <c r="R7238" s="22" t="str">
        <f>IFERROR(__xludf.DUMMYFUNCTION("""COMPUTED_VALUE"""),"")</f>
        <v/>
      </c>
    </row>
    <row r="7239">
      <c r="A7239" s="15">
        <f>IFERROR(__xludf.DUMMYFUNCTION("""COMPUTED_VALUE"""),45204.0)</f>
        <v>45204</v>
      </c>
      <c r="B7239" s="16" t="str">
        <f>IFERROR(__xludf.DUMMYFUNCTION("""COMPUTED_VALUE"""),"Envia")</f>
        <v>Envia</v>
      </c>
      <c r="C7239" s="15" t="str">
        <f>IFERROR(__xludf.DUMMYFUNCTION("""COMPUTED_VALUE"""),"CARTAGENA")</f>
        <v>CARTAGENA</v>
      </c>
      <c r="D7239" s="15" t="str">
        <f>IFERROR(__xludf.DUMMYFUNCTION("""COMPUTED_VALUE"""),"MEDELLÍN")</f>
        <v>MEDELLÍN</v>
      </c>
      <c r="E7239" s="15" t="str">
        <f>IFERROR(__xludf.DUMMYFUNCTION("""COMPUTED_VALUE"""),"Terravocado")</f>
        <v>Terravocado</v>
      </c>
      <c r="F7239" s="17" t="str">
        <f>IFERROR(__xludf.DUMMYFUNCTION("""COMPUTED_VALUE"""),"Calle 30 # 44-13 / Edificio rosa helena  / barrio Amberes")</f>
        <v>Calle 30 # 44-13 / Edificio rosa helena  / barrio Amberes</v>
      </c>
      <c r="G7239" s="15" t="str">
        <f>IFERROR(__xludf.DUMMYFUNCTION("""COMPUTED_VALUE"""),"Nubia triviño Caraballo y/o LOABAR &amp; ROOFTOP")</f>
        <v>Nubia triviño Caraballo y/o LOABAR &amp; ROOFTOP</v>
      </c>
      <c r="H7239" s="16">
        <f>IFERROR(__xludf.DUMMYFUNCTION("""COMPUTED_VALUE"""),15952.0)</f>
        <v>15952</v>
      </c>
      <c r="I7239" s="18">
        <f>IFERROR(__xludf.DUMMYFUNCTION("""COMPUTED_VALUE"""),20.0)</f>
        <v>20</v>
      </c>
      <c r="J7239" s="18">
        <f>IFERROR(__xludf.DUMMYFUNCTION("""COMPUTED_VALUE"""),24.0)</f>
        <v>24</v>
      </c>
      <c r="K7239" s="18">
        <f>IFERROR(__xludf.DUMMYFUNCTION("""COMPUTED_VALUE"""),34.0)</f>
        <v>34</v>
      </c>
      <c r="L7239" s="17">
        <f>IFERROR(__xludf.DUMMYFUNCTION("""COMPUTED_VALUE"""),3.176366612E9)</f>
        <v>3176366612</v>
      </c>
      <c r="M7239" s="17"/>
      <c r="N7239" s="17"/>
      <c r="O7239" s="17"/>
      <c r="P7239" s="17" t="b">
        <f>IFERROR(__xludf.DUMMYFUNCTION("""COMPUTED_VALUE"""),TRUE)</f>
        <v>1</v>
      </c>
      <c r="Q7239" s="20">
        <f>IFERROR(__xludf.DUMMYFUNCTION("""COMPUTED_VALUE"""),45204.70881599537)</f>
        <v>45204.70882</v>
      </c>
      <c r="R7239" s="21" t="str">
        <f>IFERROR(__xludf.DUMMYFUNCTION("""COMPUTED_VALUE"""),"https://drive.google.com/file/d/1AORzGg0wXVlqj6pspw9tRWw9VI0F2bcU/view?usp=drivesdk")</f>
        <v>https://drive.google.com/file/d/1AORzGg0wXVlqj6pspw9tRWw9VI0F2bcU/view?usp=drivesdk</v>
      </c>
    </row>
    <row r="7240">
      <c r="A7240" s="15">
        <f>IFERROR(__xludf.DUMMYFUNCTION("""COMPUTED_VALUE"""),45204.0)</f>
        <v>45204</v>
      </c>
      <c r="B7240" s="16" t="str">
        <f>IFERROR(__xludf.DUMMYFUNCTION("""COMPUTED_VALUE"""),"Envia")</f>
        <v>Envia</v>
      </c>
      <c r="C7240" s="15" t="str">
        <f>IFERROR(__xludf.DUMMYFUNCTION("""COMPUTED_VALUE"""),"CARTAGENA")</f>
        <v>CARTAGENA</v>
      </c>
      <c r="D7240" s="15" t="str">
        <f>IFERROR(__xludf.DUMMYFUNCTION("""COMPUTED_VALUE"""),"MEDELLÍN")</f>
        <v>MEDELLÍN</v>
      </c>
      <c r="E7240" s="15" t="str">
        <f>IFERROR(__xludf.DUMMYFUNCTION("""COMPUTED_VALUE"""),"Videobase")</f>
        <v>Videobase</v>
      </c>
      <c r="F7240" s="17" t="str">
        <f>IFERROR(__xludf.DUMMYFUNCTION("""COMPUTED_VALUE"""),"Albornoz Km 3 N° 1-274 Vía Mamonal. Cartagena, Colombia. / Comercializadora Internacional / No tenemos")</f>
        <v>Albornoz Km 3 N° 1-274 Vía Mamonal. Cartagena, Colombia. / Comercializadora Internacional / No tenemos</v>
      </c>
      <c r="G7240" s="15" t="str">
        <f>IFERROR(__xludf.DUMMYFUNCTION("""COMPUTED_VALUE"""),"Eric Thiriez")</f>
        <v>Eric Thiriez</v>
      </c>
      <c r="H7240" s="16">
        <f>IFERROR(__xludf.DUMMYFUNCTION("""COMPUTED_VALUE"""),15921.0)</f>
        <v>15921</v>
      </c>
      <c r="I7240" s="18">
        <f>IFERROR(__xludf.DUMMYFUNCTION("""COMPUTED_VALUE"""),4.0)</f>
        <v>4</v>
      </c>
      <c r="J7240" s="18">
        <f>IFERROR(__xludf.DUMMYFUNCTION("""COMPUTED_VALUE"""),22.0)</f>
        <v>22</v>
      </c>
      <c r="K7240" s="18">
        <f>IFERROR(__xludf.DUMMYFUNCTION("""COMPUTED_VALUE"""),18.0)</f>
        <v>18</v>
      </c>
      <c r="L7240" s="17">
        <f>IFERROR(__xludf.DUMMYFUNCTION("""COMPUTED_VALUE"""),3.153328066E9)</f>
        <v>3153328066</v>
      </c>
      <c r="M7240" s="17"/>
      <c r="N7240" s="17"/>
      <c r="O7240" s="17"/>
      <c r="P7240" s="17" t="b">
        <f>IFERROR(__xludf.DUMMYFUNCTION("""COMPUTED_VALUE"""),FALSE)</f>
        <v>0</v>
      </c>
      <c r="Q7240" s="20" t="str">
        <f>IFERROR(__xludf.DUMMYFUNCTION("""COMPUTED_VALUE"""),"")</f>
        <v/>
      </c>
      <c r="R7240" s="22" t="str">
        <f>IFERROR(__xludf.DUMMYFUNCTION("""COMPUTED_VALUE"""),"")</f>
        <v/>
      </c>
    </row>
    <row r="7241">
      <c r="A7241" s="15">
        <f>IFERROR(__xludf.DUMMYFUNCTION("""COMPUTED_VALUE"""),45204.0)</f>
        <v>45204</v>
      </c>
      <c r="B7241" s="16" t="str">
        <f>IFERROR(__xludf.DUMMYFUNCTION("""COMPUTED_VALUE"""),"Envia")</f>
        <v>Envia</v>
      </c>
      <c r="C7241" s="15" t="str">
        <f>IFERROR(__xludf.DUMMYFUNCTION("""COMPUTED_VALUE"""),"FLORIDABLANCA")</f>
        <v>FLORIDABLANCA</v>
      </c>
      <c r="D7241" s="15" t="str">
        <f>IFERROR(__xludf.DUMMYFUNCTION("""COMPUTED_VALUE"""),"BOGOTÁ")</f>
        <v>BOGOTÁ</v>
      </c>
      <c r="E7241" s="15" t="str">
        <f>IFERROR(__xludf.DUMMYFUNCTION("""COMPUTED_VALUE"""),"Evamazzita")</f>
        <v>Evamazzita</v>
      </c>
      <c r="F7241" s="17" t="str">
        <f>IFERROR(__xludf.DUMMYFUNCTION("""COMPUTED_VALUE"""),"Carrera 25#148-156 / torre 1 apto 202  Conjunto Residencial Palmar del Viento")</f>
        <v>Carrera 25#148-156 / torre 1 apto 202  Conjunto Residencial Palmar del Viento</v>
      </c>
      <c r="G7241" s="15" t="str">
        <f>IFERROR(__xludf.DUMMYFUNCTION("""COMPUTED_VALUE"""),"MARIA ALEJANDRA GUERRERO")</f>
        <v>MARIA ALEJANDRA GUERRERO</v>
      </c>
      <c r="H7241" s="16">
        <f>IFERROR(__xludf.DUMMYFUNCTION("""COMPUTED_VALUE"""),15980.0)</f>
        <v>15980</v>
      </c>
      <c r="I7241" s="18">
        <f>IFERROR(__xludf.DUMMYFUNCTION("""COMPUTED_VALUE"""),1.0)</f>
        <v>1</v>
      </c>
      <c r="J7241" s="18">
        <f>IFERROR(__xludf.DUMMYFUNCTION("""COMPUTED_VALUE"""),1.0)</f>
        <v>1</v>
      </c>
      <c r="K7241" s="18">
        <f>IFERROR(__xludf.DUMMYFUNCTION("""COMPUTED_VALUE"""),1.0)</f>
        <v>1</v>
      </c>
      <c r="L7241" s="17">
        <f>IFERROR(__xludf.DUMMYFUNCTION("""COMPUTED_VALUE"""),3.185873908E9)</f>
        <v>3185873908</v>
      </c>
      <c r="M7241" s="17"/>
      <c r="N7241" s="17"/>
      <c r="O7241" s="17"/>
      <c r="P7241" s="17" t="b">
        <f>IFERROR(__xludf.DUMMYFUNCTION("""COMPUTED_VALUE"""),FALSE)</f>
        <v>0</v>
      </c>
      <c r="Q7241" s="20" t="str">
        <f>IFERROR(__xludf.DUMMYFUNCTION("""COMPUTED_VALUE"""),"")</f>
        <v/>
      </c>
      <c r="R7241" s="22" t="str">
        <f>IFERROR(__xludf.DUMMYFUNCTION("""COMPUTED_VALUE"""),"")</f>
        <v/>
      </c>
    </row>
    <row r="7242">
      <c r="A7242" s="15">
        <f>IFERROR(__xludf.DUMMYFUNCTION("""COMPUTED_VALUE"""),45204.0)</f>
        <v>45204</v>
      </c>
      <c r="B7242" s="16" t="str">
        <f>IFERROR(__xludf.DUMMYFUNCTION("""COMPUTED_VALUE"""),"Envia")</f>
        <v>Envia</v>
      </c>
      <c r="C7242" s="15" t="str">
        <f>IFERROR(__xludf.DUMMYFUNCTION("""COMPUTED_VALUE"""),"MANIZALES")</f>
        <v>MANIZALES</v>
      </c>
      <c r="D7242" s="15" t="str">
        <f>IFERROR(__xludf.DUMMYFUNCTION("""COMPUTED_VALUE"""),"BUCARAMANGA")</f>
        <v>BUCARAMANGA</v>
      </c>
      <c r="E7242" s="15" t="str">
        <f>IFERROR(__xludf.DUMMYFUNCTION("""COMPUTED_VALUE"""),"Yo Como Solito")</f>
        <v>Yo Como Solito</v>
      </c>
      <c r="F7242" s="17" t="str">
        <f>IFERROR(__xludf.DUMMYFUNCTION("""COMPUTED_VALUE"""),"CARRERA 28D # 70-46 BARRIO PALERMO -CASA / CARRERA 28D # 70-46 BARRIO PALERMO -CASA / CARRERA 28D # 70-46 BARRIO PALERMO -CASA")</f>
        <v>CARRERA 28D # 70-46 BARRIO PALERMO -CASA / CARRERA 28D # 70-46 BARRIO PALERMO -CASA / CARRERA 28D # 70-46 BARRIO PALERMO -CASA</v>
      </c>
      <c r="G7242" s="15" t="str">
        <f>IFERROR(__xludf.DUMMYFUNCTION("""COMPUTED_VALUE"""),"PAULA XIMENA BOLAÑOS QUINTERO")</f>
        <v>PAULA XIMENA BOLAÑOS QUINTERO</v>
      </c>
      <c r="H7242" s="16">
        <f>IFERROR(__xludf.DUMMYFUNCTION("""COMPUTED_VALUE"""),15897.0)</f>
        <v>15897</v>
      </c>
      <c r="I7242" s="18">
        <f>IFERROR(__xludf.DUMMYFUNCTION("""COMPUTED_VALUE"""),13.0)</f>
        <v>13</v>
      </c>
      <c r="J7242" s="18">
        <f>IFERROR(__xludf.DUMMYFUNCTION("""COMPUTED_VALUE"""),23.0)</f>
        <v>23</v>
      </c>
      <c r="K7242" s="18">
        <f>IFERROR(__xludf.DUMMYFUNCTION("""COMPUTED_VALUE"""),28.0)</f>
        <v>28</v>
      </c>
      <c r="L7242" s="17">
        <f>IFERROR(__xludf.DUMMYFUNCTION("""COMPUTED_VALUE"""),3.10398467E9)</f>
        <v>3103984670</v>
      </c>
      <c r="M7242" s="17"/>
      <c r="N7242" s="17"/>
      <c r="O7242" s="17"/>
      <c r="P7242" s="17" t="b">
        <f>IFERROR(__xludf.DUMMYFUNCTION("""COMPUTED_VALUE"""),FALSE)</f>
        <v>0</v>
      </c>
      <c r="Q7242" s="20" t="str">
        <f>IFERROR(__xludf.DUMMYFUNCTION("""COMPUTED_VALUE"""),"")</f>
        <v/>
      </c>
      <c r="R7242" s="22" t="str">
        <f>IFERROR(__xludf.DUMMYFUNCTION("""COMPUTED_VALUE"""),"")</f>
        <v/>
      </c>
    </row>
    <row r="7243">
      <c r="A7243" s="15">
        <f>IFERROR(__xludf.DUMMYFUNCTION("""COMPUTED_VALUE"""),45204.0)</f>
        <v>45204</v>
      </c>
      <c r="B7243" s="16" t="str">
        <f>IFERROR(__xludf.DUMMYFUNCTION("""COMPUTED_VALUE"""),"Envia")</f>
        <v>Envia</v>
      </c>
      <c r="C7243" s="15" t="str">
        <f>IFERROR(__xludf.DUMMYFUNCTION("""COMPUTED_VALUE"""),"NEIVA")</f>
        <v>NEIVA</v>
      </c>
      <c r="D7243" s="15" t="str">
        <f>IFERROR(__xludf.DUMMYFUNCTION("""COMPUTED_VALUE"""),"BOGOTÁ")</f>
        <v>BOGOTÁ</v>
      </c>
      <c r="E7243" s="15" t="str">
        <f>IFERROR(__xludf.DUMMYFUNCTION("""COMPUTED_VALUE"""),"Asociacion Agropecuaria Juana Maria")</f>
        <v>Asociacion Agropecuaria Juana Maria</v>
      </c>
      <c r="F7243" s="17" t="str">
        <f>IFERROR(__xludf.DUMMYFUNCTION("""COMPUTED_VALUE"""),"CARRERA 46 #17-13 CONDOMINIO ALTAVISTA CASA 31")</f>
        <v>CARRERA 46 #17-13 CONDOMINIO ALTAVISTA CASA 31</v>
      </c>
      <c r="G7243" s="15" t="str">
        <f>IFERROR(__xludf.DUMMYFUNCTION("""COMPUTED_VALUE"""),"JENNIFFER FERNANDEZ")</f>
        <v>JENNIFFER FERNANDEZ</v>
      </c>
      <c r="H7243" s="16">
        <f>IFERROR(__xludf.DUMMYFUNCTION("""COMPUTED_VALUE"""),15791.0)</f>
        <v>15791</v>
      </c>
      <c r="I7243" s="18">
        <f>IFERROR(__xludf.DUMMYFUNCTION("""COMPUTED_VALUE"""),22.0)</f>
        <v>22</v>
      </c>
      <c r="J7243" s="18">
        <f>IFERROR(__xludf.DUMMYFUNCTION("""COMPUTED_VALUE"""),15.0)</f>
        <v>15</v>
      </c>
      <c r="K7243" s="18">
        <f>IFERROR(__xludf.DUMMYFUNCTION("""COMPUTED_VALUE"""),3.0)</f>
        <v>3</v>
      </c>
      <c r="L7243" s="17">
        <f>IFERROR(__xludf.DUMMYFUNCTION("""COMPUTED_VALUE"""),3.167942612E9)</f>
        <v>3167942612</v>
      </c>
      <c r="M7243" s="17"/>
      <c r="N7243" s="17"/>
      <c r="O7243" s="17"/>
      <c r="P7243" s="17" t="b">
        <f>IFERROR(__xludf.DUMMYFUNCTION("""COMPUTED_VALUE"""),FALSE)</f>
        <v>0</v>
      </c>
      <c r="Q7243" s="20" t="str">
        <f>IFERROR(__xludf.DUMMYFUNCTION("""COMPUTED_VALUE"""),"")</f>
        <v/>
      </c>
      <c r="R7243" s="22" t="str">
        <f>IFERROR(__xludf.DUMMYFUNCTION("""COMPUTED_VALUE"""),"")</f>
        <v/>
      </c>
    </row>
    <row r="7244">
      <c r="A7244" s="15">
        <f>IFERROR(__xludf.DUMMYFUNCTION("""COMPUTED_VALUE"""),45204.0)</f>
        <v>45204</v>
      </c>
      <c r="B7244" s="16" t="str">
        <f>IFERROR(__xludf.DUMMYFUNCTION("""COMPUTED_VALUE"""),"Envia")</f>
        <v>Envia</v>
      </c>
      <c r="C7244" s="15" t="str">
        <f>IFERROR(__xludf.DUMMYFUNCTION("""COMPUTED_VALUE"""),"NEIVA")</f>
        <v>NEIVA</v>
      </c>
      <c r="D7244" s="15" t="str">
        <f>IFERROR(__xludf.DUMMYFUNCTION("""COMPUTED_VALUE"""),"BOGOTÁ")</f>
        <v>BOGOTÁ</v>
      </c>
      <c r="E7244" s="15" t="str">
        <f>IFERROR(__xludf.DUMMYFUNCTION("""COMPUTED_VALUE"""),"Lunchy Kids")</f>
        <v>Lunchy Kids</v>
      </c>
      <c r="F7244" s="17" t="str">
        <f>IFERROR(__xludf.DUMMYFUNCTION("""COMPUTED_VALUE"""),"Cra 8A# 43-44  / Conjunto Nio Torre 1 Apto 1402   / Barrio Granjas")</f>
        <v>Cra 8A# 43-44  / Conjunto Nio Torre 1 Apto 1402   / Barrio Granjas</v>
      </c>
      <c r="G7244" s="15" t="str">
        <f>IFERROR(__xludf.DUMMYFUNCTION("""COMPUTED_VALUE"""),"Carolina Rueda")</f>
        <v>Carolina Rueda</v>
      </c>
      <c r="H7244" s="16">
        <f>IFERROR(__xludf.DUMMYFUNCTION("""COMPUTED_VALUE"""),15956.0)</f>
        <v>15956</v>
      </c>
      <c r="I7244" s="18">
        <f>IFERROR(__xludf.DUMMYFUNCTION("""COMPUTED_VALUE"""),15.0)</f>
        <v>15</v>
      </c>
      <c r="J7244" s="18">
        <f>IFERROR(__xludf.DUMMYFUNCTION("""COMPUTED_VALUE"""),30.0)</f>
        <v>30</v>
      </c>
      <c r="K7244" s="18">
        <f>IFERROR(__xludf.DUMMYFUNCTION("""COMPUTED_VALUE"""),10.0)</f>
        <v>10</v>
      </c>
      <c r="L7244" s="17">
        <f>IFERROR(__xludf.DUMMYFUNCTION("""COMPUTED_VALUE"""),3.165259958E9)</f>
        <v>3165259958</v>
      </c>
      <c r="M7244" s="17"/>
      <c r="N7244" s="17"/>
      <c r="O7244" s="17"/>
      <c r="P7244" s="17" t="b">
        <f>IFERROR(__xludf.DUMMYFUNCTION("""COMPUTED_VALUE"""),FALSE)</f>
        <v>0</v>
      </c>
      <c r="Q7244" s="20" t="str">
        <f>IFERROR(__xludf.DUMMYFUNCTION("""COMPUTED_VALUE"""),"")</f>
        <v/>
      </c>
      <c r="R7244" s="22" t="str">
        <f>IFERROR(__xludf.DUMMYFUNCTION("""COMPUTED_VALUE"""),"")</f>
        <v/>
      </c>
    </row>
    <row r="7245">
      <c r="A7245" s="15">
        <f>IFERROR(__xludf.DUMMYFUNCTION("""COMPUTED_VALUE"""),45204.0)</f>
        <v>45204</v>
      </c>
      <c r="B7245" s="16" t="str">
        <f>IFERROR(__xludf.DUMMYFUNCTION("""COMPUTED_VALUE"""),"Envia")</f>
        <v>Envia</v>
      </c>
      <c r="C7245" s="15" t="str">
        <f>IFERROR(__xludf.DUMMYFUNCTION("""COMPUTED_VALUE"""),"SINCELEJO")</f>
        <v>SINCELEJO</v>
      </c>
      <c r="D7245" s="15" t="str">
        <f>IFERROR(__xludf.DUMMYFUNCTION("""COMPUTED_VALUE"""),"MEDELLÍN")</f>
        <v>MEDELLÍN</v>
      </c>
      <c r="E7245" s="15" t="str">
        <f>IFERROR(__xludf.DUMMYFUNCTION("""COMPUTED_VALUE"""),"AREPAS LA MARY")</f>
        <v>AREPAS LA MARY</v>
      </c>
      <c r="F7245" s="17" t="str">
        <f>IFERROR(__xludf.DUMMYFUNCTION("""COMPUTED_VALUE"""),"Calle 25 # 28B-194 Local 101 Barrio El Socorro / SINCELEJO")</f>
        <v>Calle 25 # 28B-194 Local 101 Barrio El Socorro / SINCELEJO</v>
      </c>
      <c r="G7245" s="15" t="str">
        <f>IFERROR(__xludf.DUMMYFUNCTION("""COMPUTED_VALUE"""),"NUTREFIT")</f>
        <v>NUTREFIT</v>
      </c>
      <c r="H7245" s="16">
        <f>IFERROR(__xludf.DUMMYFUNCTION("""COMPUTED_VALUE"""),15991.0)</f>
        <v>15991</v>
      </c>
      <c r="I7245" s="18">
        <f>IFERROR(__xludf.DUMMYFUNCTION("""COMPUTED_VALUE"""),89.0)</f>
        <v>89</v>
      </c>
      <c r="J7245" s="18">
        <f>IFERROR(__xludf.DUMMYFUNCTION("""COMPUTED_VALUE"""),1.0)</f>
        <v>1</v>
      </c>
      <c r="K7245" s="18">
        <f>IFERROR(__xludf.DUMMYFUNCTION("""COMPUTED_VALUE"""),10.0)</f>
        <v>10</v>
      </c>
      <c r="L7245" s="17">
        <f>IFERROR(__xludf.DUMMYFUNCTION("""COMPUTED_VALUE"""),3.228516794E9)</f>
        <v>3228516794</v>
      </c>
      <c r="M7245" s="17"/>
      <c r="N7245" s="17"/>
      <c r="O7245" s="17"/>
      <c r="P7245" s="17" t="b">
        <f>IFERROR(__xludf.DUMMYFUNCTION("""COMPUTED_VALUE"""),FALSE)</f>
        <v>0</v>
      </c>
      <c r="Q7245" s="20" t="str">
        <f>IFERROR(__xludf.DUMMYFUNCTION("""COMPUTED_VALUE"""),"")</f>
        <v/>
      </c>
      <c r="R7245" s="22" t="str">
        <f>IFERROR(__xludf.DUMMYFUNCTION("""COMPUTED_VALUE"""),"")</f>
        <v/>
      </c>
    </row>
    <row r="7246">
      <c r="A7246" s="15">
        <f>IFERROR(__xludf.DUMMYFUNCTION("""COMPUTED_VALUE"""),45204.0)</f>
        <v>45204</v>
      </c>
      <c r="B7246" s="16" t="str">
        <f>IFERROR(__xludf.DUMMYFUNCTION("""COMPUTED_VALUE"""),"Envia")</f>
        <v>Envia</v>
      </c>
      <c r="C7246" s="15" t="str">
        <f>IFERROR(__xludf.DUMMYFUNCTION("""COMPUTED_VALUE"""),"VALLEDUPAR")</f>
        <v>VALLEDUPAR</v>
      </c>
      <c r="D7246" s="15" t="str">
        <f>IFERROR(__xludf.DUMMYFUNCTION("""COMPUTED_VALUE"""),"BUCARAMANGA")</f>
        <v>BUCARAMANGA</v>
      </c>
      <c r="E7246" s="15" t="str">
        <f>IFERROR(__xludf.DUMMYFUNCTION("""COMPUTED_VALUE"""),"Yo Como Solito")</f>
        <v>Yo Como Solito</v>
      </c>
      <c r="F7246" s="17" t="str">
        <f>IFERROR(__xludf.DUMMYFUNCTION("""COMPUTED_VALUE"""),"CONJUNTO VILLA LIGIA 1MZ H CASA 5  / CONJUNTO VILLA LIGIA 1MZ H CASA 5  / CONJUNTO VILLA LIGIA 1MZ H CASA 5")</f>
        <v>CONJUNTO VILLA LIGIA 1MZ H CASA 5  / CONJUNTO VILLA LIGIA 1MZ H CASA 5  / CONJUNTO VILLA LIGIA 1MZ H CASA 5</v>
      </c>
      <c r="G7246" s="15" t="str">
        <f>IFERROR(__xludf.DUMMYFUNCTION("""COMPUTED_VALUE"""),"KAREN GONZALES VELEZ")</f>
        <v>KAREN GONZALES VELEZ</v>
      </c>
      <c r="H7246" s="16">
        <f>IFERROR(__xludf.DUMMYFUNCTION("""COMPUTED_VALUE"""),15899.0)</f>
        <v>15899</v>
      </c>
      <c r="I7246" s="18">
        <f>IFERROR(__xludf.DUMMYFUNCTION("""COMPUTED_VALUE"""),14.0)</f>
        <v>14</v>
      </c>
      <c r="J7246" s="18">
        <f>IFERROR(__xludf.DUMMYFUNCTION("""COMPUTED_VALUE"""),27.0)</f>
        <v>27</v>
      </c>
      <c r="K7246" s="18">
        <f>IFERROR(__xludf.DUMMYFUNCTION("""COMPUTED_VALUE"""),38.0)</f>
        <v>38</v>
      </c>
      <c r="L7246" s="17">
        <f>IFERROR(__xludf.DUMMYFUNCTION("""COMPUTED_VALUE"""),3.226903181E9)</f>
        <v>3226903181</v>
      </c>
      <c r="M7246" s="17"/>
      <c r="N7246" s="17"/>
      <c r="O7246" s="17"/>
      <c r="P7246" s="17" t="b">
        <f>IFERROR(__xludf.DUMMYFUNCTION("""COMPUTED_VALUE"""),FALSE)</f>
        <v>0</v>
      </c>
      <c r="Q7246" s="20" t="str">
        <f>IFERROR(__xludf.DUMMYFUNCTION("""COMPUTED_VALUE"""),"")</f>
        <v/>
      </c>
      <c r="R7246" s="22" t="str">
        <f>IFERROR(__xludf.DUMMYFUNCTION("""COMPUTED_VALUE"""),"")</f>
        <v/>
      </c>
    </row>
    <row r="7247">
      <c r="A7247" s="15">
        <f>IFERROR(__xludf.DUMMYFUNCTION("""COMPUTED_VALUE"""),45204.0)</f>
        <v>45204</v>
      </c>
      <c r="B7247" s="16" t="str">
        <f>IFERROR(__xludf.DUMMYFUNCTION("""COMPUTED_VALUE"""),"Envia")</f>
        <v>Envia</v>
      </c>
      <c r="C7247" s="15" t="str">
        <f>IFERROR(__xludf.DUMMYFUNCTION("""COMPUTED_VALUE"""),"VILLAVICENCIO")</f>
        <v>VILLAVICENCIO</v>
      </c>
      <c r="D7247" s="15" t="str">
        <f>IFERROR(__xludf.DUMMYFUNCTION("""COMPUTED_VALUE"""),"BOGOTÁ")</f>
        <v>BOGOTÁ</v>
      </c>
      <c r="E7247" s="15" t="str">
        <f>IFERROR(__xludf.DUMMYFUNCTION("""COMPUTED_VALUE"""),"Pan de Waffle")</f>
        <v>Pan de Waffle</v>
      </c>
      <c r="F7247" s="17" t="str">
        <f>IFERROR(__xludf.DUMMYFUNCTION("""COMPUTED_VALUE"""),"Calle 15 # 44D - 28 LOCAL 1 Edifi. Palos de Caña / Calle 15 # 44D - 28 LOCAL 1 Edifi. Palos de Caña / Calle 15 # 44D - 28 LOCAL 1 Edifi. Palos de Caña")</f>
        <v>Calle 15 # 44D - 28 LOCAL 1 Edifi. Palos de Caña / Calle 15 # 44D - 28 LOCAL 1 Edifi. Palos de Caña / Calle 15 # 44D - 28 LOCAL 1 Edifi. Palos de Caña</v>
      </c>
      <c r="G7247" s="15" t="str">
        <f>IFERROR(__xludf.DUMMYFUNCTION("""COMPUTED_VALUE"""),"SANA TENTACION")</f>
        <v>SANA TENTACION</v>
      </c>
      <c r="H7247" s="16">
        <f>IFERROR(__xludf.DUMMYFUNCTION("""COMPUTED_VALUE"""),15965.0)</f>
        <v>15965</v>
      </c>
      <c r="I7247" s="18">
        <f>IFERROR(__xludf.DUMMYFUNCTION("""COMPUTED_VALUE"""),40.0)</f>
        <v>40</v>
      </c>
      <c r="J7247" s="18">
        <f>IFERROR(__xludf.DUMMYFUNCTION("""COMPUTED_VALUE"""),30.0)</f>
        <v>30</v>
      </c>
      <c r="K7247" s="18">
        <f>IFERROR(__xludf.DUMMYFUNCTION("""COMPUTED_VALUE"""),40.0)</f>
        <v>40</v>
      </c>
      <c r="L7247" s="17">
        <f>IFERROR(__xludf.DUMMYFUNCTION("""COMPUTED_VALUE"""),3.008383033E9)</f>
        <v>3008383033</v>
      </c>
      <c r="M7247" s="17"/>
      <c r="N7247" s="17"/>
      <c r="O7247" s="17"/>
      <c r="P7247" s="17" t="b">
        <f>IFERROR(__xludf.DUMMYFUNCTION("""COMPUTED_VALUE"""),FALSE)</f>
        <v>0</v>
      </c>
      <c r="Q7247" s="20" t="str">
        <f>IFERROR(__xludf.DUMMYFUNCTION("""COMPUTED_VALUE"""),"")</f>
        <v/>
      </c>
      <c r="R7247" s="21" t="str">
        <f>IFERROR(__xludf.DUMMYFUNCTION("""COMPUTED_VALUE"""),"https://drive.google.com/file/d/1CvWNTOsJeLzb6VsIopWyCW0UOVh0X9V3/view?usp=drivesdk")</f>
        <v>https://drive.google.com/file/d/1CvWNTOsJeLzb6VsIopWyCW0UOVh0X9V3/view?usp=drivesdk</v>
      </c>
    </row>
    <row r="7248">
      <c r="A7248" s="17" t="str">
        <f>IFERROR(__xludf.DUMMYFUNCTION("""COMPUTED_VALUE"""),"")</f>
        <v/>
      </c>
      <c r="B7248" s="17" t="str">
        <f>IFERROR(__xludf.DUMMYFUNCTION("""COMPUTED_VALUE"""),"")</f>
        <v/>
      </c>
      <c r="C7248" s="17" t="str">
        <f>IFERROR(__xludf.DUMMYFUNCTION("""COMPUTED_VALUE"""),"")</f>
        <v/>
      </c>
      <c r="D7248" s="17" t="str">
        <f>IFERROR(__xludf.DUMMYFUNCTION("""COMPUTED_VALUE"""),"")</f>
        <v/>
      </c>
      <c r="E7248" s="17" t="str">
        <f>IFERROR(__xludf.DUMMYFUNCTION("""COMPUTED_VALUE"""),"")</f>
        <v/>
      </c>
      <c r="F7248" s="17" t="str">
        <f>IFERROR(__xludf.DUMMYFUNCTION("""COMPUTED_VALUE"""),"")</f>
        <v/>
      </c>
      <c r="G7248" s="17" t="str">
        <f>IFERROR(__xludf.DUMMYFUNCTION("""COMPUTED_VALUE"""),"")</f>
        <v/>
      </c>
      <c r="H7248" s="17" t="str">
        <f>IFERROR(__xludf.DUMMYFUNCTION("""COMPUTED_VALUE"""),"")</f>
        <v/>
      </c>
      <c r="I7248" s="17" t="str">
        <f>IFERROR(__xludf.DUMMYFUNCTION("""COMPUTED_VALUE"""),"")</f>
        <v/>
      </c>
      <c r="J7248" s="17" t="str">
        <f>IFERROR(__xludf.DUMMYFUNCTION("""COMPUTED_VALUE"""),"")</f>
        <v/>
      </c>
      <c r="K7248" s="17" t="str">
        <f>IFERROR(__xludf.DUMMYFUNCTION("""COMPUTED_VALUE"""),"")</f>
        <v/>
      </c>
      <c r="L7248" s="17" t="str">
        <f>IFERROR(__xludf.DUMMYFUNCTION("""COMPUTED_VALUE"""),"")</f>
        <v/>
      </c>
      <c r="M7248" s="17" t="str">
        <f>IFERROR(__xludf.DUMMYFUNCTION("""COMPUTED_VALUE"""),"")</f>
        <v/>
      </c>
      <c r="N7248" s="17" t="str">
        <f>IFERROR(__xludf.DUMMYFUNCTION("""COMPUTED_VALUE"""),"")</f>
        <v/>
      </c>
      <c r="O7248" s="17" t="str">
        <f>IFERROR(__xludf.DUMMYFUNCTION("""COMPUTED_VALUE"""),"")</f>
        <v/>
      </c>
      <c r="P7248" s="17" t="str">
        <f>IFERROR(__xludf.DUMMYFUNCTION("""COMPUTED_VALUE"""),"")</f>
        <v/>
      </c>
      <c r="Q7248" s="17" t="str">
        <f>IFERROR(__xludf.DUMMYFUNCTION("""COMPUTED_VALUE"""),"")</f>
        <v/>
      </c>
      <c r="R7248" s="17" t="str">
        <f>IFERROR(__xludf.DUMMYFUNCTION("""COMPUTED_VALUE"""),"")</f>
        <v/>
      </c>
    </row>
    <row r="7249">
      <c r="A7249" s="15">
        <f>IFERROR(__xludf.DUMMYFUNCTION("""COMPUTED_VALUE"""),45204.0)</f>
        <v>45204</v>
      </c>
      <c r="B7249" s="16" t="str">
        <f>IFERROR(__xludf.DUMMYFUNCTION("""COMPUTED_VALUE"""),"Johanna Arango Barrera")</f>
        <v>Johanna Arango Barrera</v>
      </c>
      <c r="C7249" s="15" t="str">
        <f>IFERROR(__xludf.DUMMYFUNCTION("""COMPUTED_VALUE"""),"BUCARAMANGA")</f>
        <v>BUCARAMANGA</v>
      </c>
      <c r="D7249" s="15" t="str">
        <f>IFERROR(__xludf.DUMMYFUNCTION("""COMPUTED_VALUE"""),"BOGOTÁ")</f>
        <v>BOGOTÁ</v>
      </c>
      <c r="E7249" s="15" t="str">
        <f>IFERROR(__xludf.DUMMYFUNCTION("""COMPUTED_VALUE"""),"Evamazzita")</f>
        <v>Evamazzita</v>
      </c>
      <c r="F7249" s="17" t="str">
        <f>IFERROR(__xludf.DUMMYFUNCTION("""COMPUTED_VALUE"""),"Avenida circunvalar 36a 104 47 / conjunto balcones de la colina T1 apto 404")</f>
        <v>Avenida circunvalar 36a 104 47 / conjunto balcones de la colina T1 apto 404</v>
      </c>
      <c r="G7249" s="15" t="str">
        <f>IFERROR(__xludf.DUMMYFUNCTION("""COMPUTED_VALUE"""),"LAURA ALEJANDRA ROJAS SUAREZ")</f>
        <v>LAURA ALEJANDRA ROJAS SUAREZ</v>
      </c>
      <c r="H7249" s="16">
        <f>IFERROR(__xludf.DUMMYFUNCTION("""COMPUTED_VALUE"""),15977.0)</f>
        <v>15977</v>
      </c>
      <c r="I7249" s="18">
        <f>IFERROR(__xludf.DUMMYFUNCTION("""COMPUTED_VALUE"""),1.0)</f>
        <v>1</v>
      </c>
      <c r="J7249" s="18">
        <f>IFERROR(__xludf.DUMMYFUNCTION("""COMPUTED_VALUE"""),1.0)</f>
        <v>1</v>
      </c>
      <c r="K7249" s="18">
        <f>IFERROR(__xludf.DUMMYFUNCTION("""COMPUTED_VALUE"""),1.0)</f>
        <v>1</v>
      </c>
      <c r="L7249" s="17">
        <f>IFERROR(__xludf.DUMMYFUNCTION("""COMPUTED_VALUE"""),3.166176135E9)</f>
        <v>3166176135</v>
      </c>
      <c r="M7249" s="17"/>
      <c r="N7249" s="17"/>
      <c r="O7249" s="17"/>
      <c r="P7249" s="17" t="b">
        <f>IFERROR(__xludf.DUMMYFUNCTION("""COMPUTED_VALUE"""),FALSE)</f>
        <v>0</v>
      </c>
      <c r="Q7249" s="20" t="str">
        <f>IFERROR(__xludf.DUMMYFUNCTION("""COMPUTED_VALUE"""),"")</f>
        <v/>
      </c>
      <c r="R7249" s="22" t="str">
        <f>IFERROR(__xludf.DUMMYFUNCTION("""COMPUTED_VALUE"""),"")</f>
        <v/>
      </c>
    </row>
    <row r="7250">
      <c r="A7250" s="15">
        <f>IFERROR(__xludf.DUMMYFUNCTION("""COMPUTED_VALUE"""),45204.0)</f>
        <v>45204</v>
      </c>
      <c r="B7250" s="16" t="str">
        <f>IFERROR(__xludf.DUMMYFUNCTION("""COMPUTED_VALUE"""),"Johanna Arango Barrera")</f>
        <v>Johanna Arango Barrera</v>
      </c>
      <c r="C7250" s="15" t="str">
        <f>IFERROR(__xludf.DUMMYFUNCTION("""COMPUTED_VALUE"""),"BUCARAMANGA")</f>
        <v>BUCARAMANGA</v>
      </c>
      <c r="D7250" s="15" t="str">
        <f>IFERROR(__xludf.DUMMYFUNCTION("""COMPUTED_VALUE"""),"BOGOTÁ")</f>
        <v>BOGOTÁ</v>
      </c>
      <c r="E7250" s="15" t="str">
        <f>IFERROR(__xludf.DUMMYFUNCTION("""COMPUTED_VALUE"""),"Evamazzita")</f>
        <v>Evamazzita</v>
      </c>
      <c r="F7250" s="17" t="str">
        <f>IFERROR(__xludf.DUMMYFUNCTION("""COMPUTED_VALUE"""),"Cr 2A # 55A - 15 / apto 301  Centauros")</f>
        <v>Cr 2A # 55A - 15 / apto 301  Centauros</v>
      </c>
      <c r="G7250" s="15" t="str">
        <f>IFERROR(__xludf.DUMMYFUNCTION("""COMPUTED_VALUE"""),"ELIANA BELLO")</f>
        <v>ELIANA BELLO</v>
      </c>
      <c r="H7250" s="16">
        <f>IFERROR(__xludf.DUMMYFUNCTION("""COMPUTED_VALUE"""),15975.0)</f>
        <v>15975</v>
      </c>
      <c r="I7250" s="18">
        <f>IFERROR(__xludf.DUMMYFUNCTION("""COMPUTED_VALUE"""),1.0)</f>
        <v>1</v>
      </c>
      <c r="J7250" s="18">
        <f>IFERROR(__xludf.DUMMYFUNCTION("""COMPUTED_VALUE"""),1.0)</f>
        <v>1</v>
      </c>
      <c r="K7250" s="18">
        <f>IFERROR(__xludf.DUMMYFUNCTION("""COMPUTED_VALUE"""),1.0)</f>
        <v>1</v>
      </c>
      <c r="L7250" s="17">
        <f>IFERROR(__xludf.DUMMYFUNCTION("""COMPUTED_VALUE"""),3.228462326E9)</f>
        <v>3228462326</v>
      </c>
      <c r="M7250" s="17"/>
      <c r="N7250" s="17"/>
      <c r="O7250" s="17"/>
      <c r="P7250" s="17" t="b">
        <f>IFERROR(__xludf.DUMMYFUNCTION("""COMPUTED_VALUE"""),FALSE)</f>
        <v>0</v>
      </c>
      <c r="Q7250" s="20" t="str">
        <f>IFERROR(__xludf.DUMMYFUNCTION("""COMPUTED_VALUE"""),"")</f>
        <v/>
      </c>
      <c r="R7250" s="22" t="str">
        <f>IFERROR(__xludf.DUMMYFUNCTION("""COMPUTED_VALUE"""),"")</f>
        <v/>
      </c>
    </row>
    <row r="7251">
      <c r="A7251" s="15">
        <f>IFERROR(__xludf.DUMMYFUNCTION("""COMPUTED_VALUE"""),45204.0)</f>
        <v>45204</v>
      </c>
      <c r="B7251" s="16" t="str">
        <f>IFERROR(__xludf.DUMMYFUNCTION("""COMPUTED_VALUE"""),"Johanna Arango Barrera")</f>
        <v>Johanna Arango Barrera</v>
      </c>
      <c r="C7251" s="15" t="str">
        <f>IFERROR(__xludf.DUMMYFUNCTION("""COMPUTED_VALUE"""),"BUCARAMANGA")</f>
        <v>BUCARAMANGA</v>
      </c>
      <c r="D7251" s="15" t="str">
        <f>IFERROR(__xludf.DUMMYFUNCTION("""COMPUTED_VALUE"""),"BOGOTÁ")</f>
        <v>BOGOTÁ</v>
      </c>
      <c r="E7251" s="15" t="str">
        <f>IFERROR(__xludf.DUMMYFUNCTION("""COMPUTED_VALUE"""),"Evamazzita")</f>
        <v>Evamazzita</v>
      </c>
      <c r="F7251" s="17" t="str">
        <f>IFERROR(__xludf.DUMMYFUNCTION("""COMPUTED_VALUE"""),"CRA 18 No. 11 - 43 / edificio atiko 18 apto 903 BARRIO MODELO")</f>
        <v>CRA 18 No. 11 - 43 / edificio atiko 18 apto 903 BARRIO MODELO</v>
      </c>
      <c r="G7251" s="15" t="str">
        <f>IFERROR(__xludf.DUMMYFUNCTION("""COMPUTED_VALUE"""),"ERIKA SANCHEZ")</f>
        <v>ERIKA SANCHEZ</v>
      </c>
      <c r="H7251" s="16">
        <f>IFERROR(__xludf.DUMMYFUNCTION("""COMPUTED_VALUE"""),15976.0)</f>
        <v>15976</v>
      </c>
      <c r="I7251" s="18">
        <f>IFERROR(__xludf.DUMMYFUNCTION("""COMPUTED_VALUE"""),1.0)</f>
        <v>1</v>
      </c>
      <c r="J7251" s="18">
        <f>IFERROR(__xludf.DUMMYFUNCTION("""COMPUTED_VALUE"""),1.0)</f>
        <v>1</v>
      </c>
      <c r="K7251" s="18">
        <f>IFERROR(__xludf.DUMMYFUNCTION("""COMPUTED_VALUE"""),1.0)</f>
        <v>1</v>
      </c>
      <c r="L7251" s="17">
        <f>IFERROR(__xludf.DUMMYFUNCTION("""COMPUTED_VALUE"""),3.12326778E9)</f>
        <v>3123267780</v>
      </c>
      <c r="M7251" s="17"/>
      <c r="N7251" s="17"/>
      <c r="O7251" s="17"/>
      <c r="P7251" s="17" t="b">
        <f>IFERROR(__xludf.DUMMYFUNCTION("""COMPUTED_VALUE"""),FALSE)</f>
        <v>0</v>
      </c>
      <c r="Q7251" s="20" t="str">
        <f>IFERROR(__xludf.DUMMYFUNCTION("""COMPUTED_VALUE"""),"")</f>
        <v/>
      </c>
      <c r="R7251" s="22" t="str">
        <f>IFERROR(__xludf.DUMMYFUNCTION("""COMPUTED_VALUE"""),"")</f>
        <v/>
      </c>
    </row>
    <row r="7252">
      <c r="A7252" s="15">
        <f>IFERROR(__xludf.DUMMYFUNCTION("""COMPUTED_VALUE"""),45204.0)</f>
        <v>45204</v>
      </c>
      <c r="B7252" s="16" t="str">
        <f>IFERROR(__xludf.DUMMYFUNCTION("""COMPUTED_VALUE"""),"Johanna Arango Barrera")</f>
        <v>Johanna Arango Barrera</v>
      </c>
      <c r="C7252" s="15" t="str">
        <f>IFERROR(__xludf.DUMMYFUNCTION("""COMPUTED_VALUE"""),"BUCARAMANGA")</f>
        <v>BUCARAMANGA</v>
      </c>
      <c r="D7252" s="15" t="str">
        <f>IFERROR(__xludf.DUMMYFUNCTION("""COMPUTED_VALUE"""),"BOGOTÁ")</f>
        <v>BOGOTÁ</v>
      </c>
      <c r="E7252" s="15" t="str">
        <f>IFERROR(__xludf.DUMMYFUNCTION("""COMPUTED_VALUE"""),"Evamazzita")</f>
        <v>Evamazzita</v>
      </c>
      <c r="F7252" s="17" t="str">
        <f>IFERROR(__xludf.DUMMYFUNCTION("""COMPUTED_VALUE"""),"CRA 20 No. 110 - 69 / CONJUNTO SAN LORENZO 2 APTO 1505 PROVENZA")</f>
        <v>CRA 20 No. 110 - 69 / CONJUNTO SAN LORENZO 2 APTO 1505 PROVENZA</v>
      </c>
      <c r="G7252" s="15" t="str">
        <f>IFERROR(__xludf.DUMMYFUNCTION("""COMPUTED_VALUE"""),"LAURA VANESSA PADILLA")</f>
        <v>LAURA VANESSA PADILLA</v>
      </c>
      <c r="H7252" s="16">
        <f>IFERROR(__xludf.DUMMYFUNCTION("""COMPUTED_VALUE"""),15979.0)</f>
        <v>15979</v>
      </c>
      <c r="I7252" s="18">
        <f>IFERROR(__xludf.DUMMYFUNCTION("""COMPUTED_VALUE"""),1.0)</f>
        <v>1</v>
      </c>
      <c r="J7252" s="18">
        <f>IFERROR(__xludf.DUMMYFUNCTION("""COMPUTED_VALUE"""),1.0)</f>
        <v>1</v>
      </c>
      <c r="K7252" s="18">
        <f>IFERROR(__xludf.DUMMYFUNCTION("""COMPUTED_VALUE"""),1.0)</f>
        <v>1</v>
      </c>
      <c r="L7252" s="17">
        <f>IFERROR(__xludf.DUMMYFUNCTION("""COMPUTED_VALUE"""),3.045236772E9)</f>
        <v>3045236772</v>
      </c>
      <c r="M7252" s="17"/>
      <c r="N7252" s="17"/>
      <c r="O7252" s="17"/>
      <c r="P7252" s="17" t="b">
        <f>IFERROR(__xludf.DUMMYFUNCTION("""COMPUTED_VALUE"""),FALSE)</f>
        <v>0</v>
      </c>
      <c r="Q7252" s="20" t="str">
        <f>IFERROR(__xludf.DUMMYFUNCTION("""COMPUTED_VALUE"""),"")</f>
        <v/>
      </c>
      <c r="R7252" s="22" t="str">
        <f>IFERROR(__xludf.DUMMYFUNCTION("""COMPUTED_VALUE"""),"")</f>
        <v/>
      </c>
    </row>
    <row r="7253">
      <c r="A7253" s="15">
        <f>IFERROR(__xludf.DUMMYFUNCTION("""COMPUTED_VALUE"""),45204.0)</f>
        <v>45204</v>
      </c>
      <c r="B7253" s="16" t="str">
        <f>IFERROR(__xludf.DUMMYFUNCTION("""COMPUTED_VALUE"""),"Johanna Arango Barrera")</f>
        <v>Johanna Arango Barrera</v>
      </c>
      <c r="C7253" s="15" t="str">
        <f>IFERROR(__xludf.DUMMYFUNCTION("""COMPUTED_VALUE"""),"BUCARAMANGA")</f>
        <v>BUCARAMANGA</v>
      </c>
      <c r="D7253" s="15" t="str">
        <f>IFERROR(__xludf.DUMMYFUNCTION("""COMPUTED_VALUE"""),"BOGOTÁ")</f>
        <v>BOGOTÁ</v>
      </c>
      <c r="E7253" s="15" t="str">
        <f>IFERROR(__xludf.DUMMYFUNCTION("""COMPUTED_VALUE"""),"Evamazzita")</f>
        <v>Evamazzita</v>
      </c>
      <c r="F7253" s="17" t="str">
        <f>IFERROR(__xludf.DUMMYFUNCTION("""COMPUTED_VALUE"""),"Cra 25#20-15 / apto 201 San Francisco")</f>
        <v>Cra 25#20-15 / apto 201 San Francisco</v>
      </c>
      <c r="G7253" s="15" t="str">
        <f>IFERROR(__xludf.DUMMYFUNCTION("""COMPUTED_VALUE"""),"CLAUDIA TIBAMOZA")</f>
        <v>CLAUDIA TIBAMOZA</v>
      </c>
      <c r="H7253" s="16">
        <f>IFERROR(__xludf.DUMMYFUNCTION("""COMPUTED_VALUE"""),15974.0)</f>
        <v>15974</v>
      </c>
      <c r="I7253" s="18">
        <f>IFERROR(__xludf.DUMMYFUNCTION("""COMPUTED_VALUE"""),1.0)</f>
        <v>1</v>
      </c>
      <c r="J7253" s="18">
        <f>IFERROR(__xludf.DUMMYFUNCTION("""COMPUTED_VALUE"""),1.0)</f>
        <v>1</v>
      </c>
      <c r="K7253" s="18">
        <f>IFERROR(__xludf.DUMMYFUNCTION("""COMPUTED_VALUE"""),1.0)</f>
        <v>1</v>
      </c>
      <c r="L7253" s="17">
        <f>IFERROR(__xludf.DUMMYFUNCTION("""COMPUTED_VALUE"""),3.166240312E9)</f>
        <v>3166240312</v>
      </c>
      <c r="M7253" s="17"/>
      <c r="N7253" s="17"/>
      <c r="O7253" s="17"/>
      <c r="P7253" s="17" t="b">
        <f>IFERROR(__xludf.DUMMYFUNCTION("""COMPUTED_VALUE"""),FALSE)</f>
        <v>0</v>
      </c>
      <c r="Q7253" s="20" t="str">
        <f>IFERROR(__xludf.DUMMYFUNCTION("""COMPUTED_VALUE"""),"")</f>
        <v/>
      </c>
      <c r="R7253" s="22" t="str">
        <f>IFERROR(__xludf.DUMMYFUNCTION("""COMPUTED_VALUE"""),"")</f>
        <v/>
      </c>
    </row>
    <row r="7254">
      <c r="A7254" s="15">
        <f>IFERROR(__xludf.DUMMYFUNCTION("""COMPUTED_VALUE"""),45204.0)</f>
        <v>45204</v>
      </c>
      <c r="B7254" s="16" t="str">
        <f>IFERROR(__xludf.DUMMYFUNCTION("""COMPUTED_VALUE"""),"Johanna Arango Barrera")</f>
        <v>Johanna Arango Barrera</v>
      </c>
      <c r="C7254" s="15" t="str">
        <f>IFERROR(__xludf.DUMMYFUNCTION("""COMPUTED_VALUE"""),"BUCARAMANGA")</f>
        <v>BUCARAMANGA</v>
      </c>
      <c r="D7254" s="15" t="str">
        <f>IFERROR(__xludf.DUMMYFUNCTION("""COMPUTED_VALUE"""),"BOGOTÁ")</f>
        <v>BOGOTÁ</v>
      </c>
      <c r="E7254" s="15" t="str">
        <f>IFERROR(__xludf.DUMMYFUNCTION("""COMPUTED_VALUE"""),"Evamazzita")</f>
        <v>Evamazzita</v>
      </c>
      <c r="F7254" s="17" t="str">
        <f>IFERROR(__xludf.DUMMYFUNCTION("""COMPUTED_VALUE"""),"cra 33 # 91 52 / torre 2 apto 1703 conjunto monviso Barrio El tejar")</f>
        <v>cra 33 # 91 52 / torre 2 apto 1703 conjunto monviso Barrio El tejar</v>
      </c>
      <c r="G7254" s="15" t="str">
        <f>IFERROR(__xludf.DUMMYFUNCTION("""COMPUTED_VALUE"""),"LAURA SILVA ARDILA")</f>
        <v>LAURA SILVA ARDILA</v>
      </c>
      <c r="H7254" s="16">
        <f>IFERROR(__xludf.DUMMYFUNCTION("""COMPUTED_VALUE"""),15978.0)</f>
        <v>15978</v>
      </c>
      <c r="I7254" s="18">
        <f>IFERROR(__xludf.DUMMYFUNCTION("""COMPUTED_VALUE"""),1.0)</f>
        <v>1</v>
      </c>
      <c r="J7254" s="18">
        <f>IFERROR(__xludf.DUMMYFUNCTION("""COMPUTED_VALUE"""),1.0)</f>
        <v>1</v>
      </c>
      <c r="K7254" s="18">
        <f>IFERROR(__xludf.DUMMYFUNCTION("""COMPUTED_VALUE"""),1.0)</f>
        <v>1</v>
      </c>
      <c r="L7254" s="17">
        <f>IFERROR(__xludf.DUMMYFUNCTION("""COMPUTED_VALUE"""),3.164970799E9)</f>
        <v>3164970799</v>
      </c>
      <c r="M7254" s="17"/>
      <c r="N7254" s="17"/>
      <c r="O7254" s="17"/>
      <c r="P7254" s="17" t="b">
        <f>IFERROR(__xludf.DUMMYFUNCTION("""COMPUTED_VALUE"""),FALSE)</f>
        <v>0</v>
      </c>
      <c r="Q7254" s="20" t="str">
        <f>IFERROR(__xludf.DUMMYFUNCTION("""COMPUTED_VALUE"""),"")</f>
        <v/>
      </c>
      <c r="R7254" s="22" t="str">
        <f>IFERROR(__xludf.DUMMYFUNCTION("""COMPUTED_VALUE"""),"")</f>
        <v/>
      </c>
    </row>
    <row r="7255">
      <c r="A7255" s="15">
        <f>IFERROR(__xludf.DUMMYFUNCTION("""COMPUTED_VALUE"""),45204.0)</f>
        <v>45204</v>
      </c>
      <c r="B7255" s="16" t="str">
        <f>IFERROR(__xludf.DUMMYFUNCTION("""COMPUTED_VALUE"""),"Johanna Arango Barrera")</f>
        <v>Johanna Arango Barrera</v>
      </c>
      <c r="C7255" s="15" t="str">
        <f>IFERROR(__xludf.DUMMYFUNCTION("""COMPUTED_VALUE"""),"BUCARAMANGA")</f>
        <v>BUCARAMANGA</v>
      </c>
      <c r="D7255" s="15" t="str">
        <f>IFERROR(__xludf.DUMMYFUNCTION("""COMPUTED_VALUE"""),"BOGOTÁ")</f>
        <v>BOGOTÁ</v>
      </c>
      <c r="E7255" s="15" t="str">
        <f>IFERROR(__xludf.DUMMYFUNCTION("""COMPUTED_VALUE"""),"Ins. Alimento Vital")</f>
        <v>Ins. Alimento Vital</v>
      </c>
      <c r="F7255" s="17" t="str">
        <f>IFERROR(__xludf.DUMMYFUNCTION("""COMPUTED_VALUE"""),"CL 31 #30-08 / APTO 501  / AURORA ROYAL")</f>
        <v>CL 31 #30-08 / APTO 501  / AURORA ROYAL</v>
      </c>
      <c r="G7255" s="15" t="str">
        <f>IFERROR(__xludf.DUMMYFUNCTION("""COMPUTED_VALUE"""),"LARRY ALBERTO LOPEZ MACANA")</f>
        <v>LARRY ALBERTO LOPEZ MACANA</v>
      </c>
      <c r="H7255" s="16">
        <f>IFERROR(__xludf.DUMMYFUNCTION("""COMPUTED_VALUE"""),15962.0)</f>
        <v>15962</v>
      </c>
      <c r="I7255" s="18">
        <f>IFERROR(__xludf.DUMMYFUNCTION("""COMPUTED_VALUE"""),1.0)</f>
        <v>1</v>
      </c>
      <c r="J7255" s="18">
        <f>IFERROR(__xludf.DUMMYFUNCTION("""COMPUTED_VALUE"""),1.0)</f>
        <v>1</v>
      </c>
      <c r="K7255" s="18">
        <f>IFERROR(__xludf.DUMMYFUNCTION("""COMPUTED_VALUE"""),1.0)</f>
        <v>1</v>
      </c>
      <c r="L7255" s="17">
        <f>IFERROR(__xludf.DUMMYFUNCTION("""COMPUTED_VALUE"""),3.185709801E9)</f>
        <v>3185709801</v>
      </c>
      <c r="M7255" s="17"/>
      <c r="N7255" s="17"/>
      <c r="O7255" s="17"/>
      <c r="P7255" s="17" t="b">
        <f>IFERROR(__xludf.DUMMYFUNCTION("""COMPUTED_VALUE"""),FALSE)</f>
        <v>0</v>
      </c>
      <c r="Q7255" s="20" t="str">
        <f>IFERROR(__xludf.DUMMYFUNCTION("""COMPUTED_VALUE"""),"")</f>
        <v/>
      </c>
      <c r="R7255" s="22" t="str">
        <f>IFERROR(__xludf.DUMMYFUNCTION("""COMPUTED_VALUE"""),"")</f>
        <v/>
      </c>
    </row>
    <row r="7256">
      <c r="A7256" s="15">
        <f>IFERROR(__xludf.DUMMYFUNCTION("""COMPUTED_VALUE"""),45204.0)</f>
        <v>45204</v>
      </c>
      <c r="B7256" s="16" t="str">
        <f>IFERROR(__xludf.DUMMYFUNCTION("""COMPUTED_VALUE"""),"Johanna Arango Barrera")</f>
        <v>Johanna Arango Barrera</v>
      </c>
      <c r="C7256" s="15" t="str">
        <f>IFERROR(__xludf.DUMMYFUNCTION("""COMPUTED_VALUE"""),"BUCARAMANGA")</f>
        <v>BUCARAMANGA</v>
      </c>
      <c r="D7256" s="15" t="str">
        <f>IFERROR(__xludf.DUMMYFUNCTION("""COMPUTED_VALUE"""),"BOGOTÁ")</f>
        <v>BOGOTÁ</v>
      </c>
      <c r="E7256" s="15" t="str">
        <f>IFERROR(__xludf.DUMMYFUNCTION("""COMPUTED_VALUE"""),"Ins. Alimento Vital")</f>
        <v>Ins. Alimento Vital</v>
      </c>
      <c r="F7256" s="17" t="str">
        <f>IFERROR(__xludf.DUMMYFUNCTION("""COMPUTED_VALUE"""),"CR48 N° 30-21  / TORRE 1 APTO 204 ED BOSQUES DEL VENADO  / BUCARAMANGA , SANTANDER")</f>
        <v>CR48 N° 30-21  / TORRE 1 APTO 204 ED BOSQUES DEL VENADO  / BUCARAMANGA , SANTANDER</v>
      </c>
      <c r="G7256" s="15" t="str">
        <f>IFERROR(__xludf.DUMMYFUNCTION("""COMPUTED_VALUE"""),"LEIDY CATERNIE PATIÑO LONDOÑO")</f>
        <v>LEIDY CATERNIE PATIÑO LONDOÑO</v>
      </c>
      <c r="H7256" s="16">
        <f>IFERROR(__xludf.DUMMYFUNCTION("""COMPUTED_VALUE"""),15912.0)</f>
        <v>15912</v>
      </c>
      <c r="I7256" s="18">
        <f>IFERROR(__xludf.DUMMYFUNCTION("""COMPUTED_VALUE"""),1.0)</f>
        <v>1</v>
      </c>
      <c r="J7256" s="18">
        <f>IFERROR(__xludf.DUMMYFUNCTION("""COMPUTED_VALUE"""),1.0)</f>
        <v>1</v>
      </c>
      <c r="K7256" s="18">
        <f>IFERROR(__xludf.DUMMYFUNCTION("""COMPUTED_VALUE"""),1.0)</f>
        <v>1</v>
      </c>
      <c r="L7256" s="17">
        <f>IFERROR(__xludf.DUMMYFUNCTION("""COMPUTED_VALUE"""),3.132936789E9)</f>
        <v>3132936789</v>
      </c>
      <c r="M7256" s="17"/>
      <c r="N7256" s="17"/>
      <c r="O7256" s="17"/>
      <c r="P7256" s="17" t="b">
        <f>IFERROR(__xludf.DUMMYFUNCTION("""COMPUTED_VALUE"""),FALSE)</f>
        <v>0</v>
      </c>
      <c r="Q7256" s="20" t="str">
        <f>IFERROR(__xludf.DUMMYFUNCTION("""COMPUTED_VALUE"""),"")</f>
        <v/>
      </c>
      <c r="R7256" s="22" t="str">
        <f>IFERROR(__xludf.DUMMYFUNCTION("""COMPUTED_VALUE"""),"")</f>
        <v/>
      </c>
    </row>
    <row r="7257">
      <c r="A7257" s="15">
        <f>IFERROR(__xludf.DUMMYFUNCTION("""COMPUTED_VALUE"""),45204.0)</f>
        <v>45204</v>
      </c>
      <c r="B7257" s="16" t="str">
        <f>IFERROR(__xludf.DUMMYFUNCTION("""COMPUTED_VALUE"""),"Johanna Arango Barrera")</f>
        <v>Johanna Arango Barrera</v>
      </c>
      <c r="C7257" s="15" t="str">
        <f>IFERROR(__xludf.DUMMYFUNCTION("""COMPUTED_VALUE"""),"BUCARAMANGA")</f>
        <v>BUCARAMANGA</v>
      </c>
      <c r="D7257" s="15" t="str">
        <f>IFERROR(__xludf.DUMMYFUNCTION("""COMPUTED_VALUE"""),"BOGOTÁ")</f>
        <v>BOGOTÁ</v>
      </c>
      <c r="E7257" s="15" t="str">
        <f>IFERROR(__xludf.DUMMYFUNCTION("""COMPUTED_VALUE"""),"Pan de Waffle")</f>
        <v>Pan de Waffle</v>
      </c>
      <c r="F7257" s="17" t="str">
        <f>IFERROR(__xludf.DUMMYFUNCTION("""COMPUTED_VALUE"""),"Carrera 31 # 50 - 27 / Carrera 31 # 50 - 27 / Carrera 31 # 50 - 27")</f>
        <v>Carrera 31 # 50 - 27 / Carrera 31 # 50 - 27 / Carrera 31 # 50 - 27</v>
      </c>
      <c r="G7257" s="15" t="str">
        <f>IFERROR(__xludf.DUMMYFUNCTION("""COMPUTED_VALUE"""),"FOODOLOGY")</f>
        <v>FOODOLOGY</v>
      </c>
      <c r="H7257" s="16">
        <f>IFERROR(__xludf.DUMMYFUNCTION("""COMPUTED_VALUE"""),15964.0)</f>
        <v>15964</v>
      </c>
      <c r="I7257" s="18">
        <f>IFERROR(__xludf.DUMMYFUNCTION("""COMPUTED_VALUE"""),40.0)</f>
        <v>40</v>
      </c>
      <c r="J7257" s="18">
        <f>IFERROR(__xludf.DUMMYFUNCTION("""COMPUTED_VALUE"""),40.0)</f>
        <v>40</v>
      </c>
      <c r="K7257" s="18">
        <f>IFERROR(__xludf.DUMMYFUNCTION("""COMPUTED_VALUE"""),30.0)</f>
        <v>30</v>
      </c>
      <c r="L7257" s="17">
        <f>IFERROR(__xludf.DUMMYFUNCTION("""COMPUTED_VALUE"""),3.017001909E9)</f>
        <v>3017001909</v>
      </c>
      <c r="M7257" s="17"/>
      <c r="N7257" s="17"/>
      <c r="O7257" s="17"/>
      <c r="P7257" s="17" t="b">
        <f>IFERROR(__xludf.DUMMYFUNCTION("""COMPUTED_VALUE"""),FALSE)</f>
        <v>0</v>
      </c>
      <c r="Q7257" s="20" t="str">
        <f>IFERROR(__xludf.DUMMYFUNCTION("""COMPUTED_VALUE"""),"")</f>
        <v/>
      </c>
      <c r="R7257" s="22" t="str">
        <f>IFERROR(__xludf.DUMMYFUNCTION("""COMPUTED_VALUE"""),"")</f>
        <v/>
      </c>
    </row>
    <row r="7258">
      <c r="A7258" s="15">
        <f>IFERROR(__xludf.DUMMYFUNCTION("""COMPUTED_VALUE"""),45204.0)</f>
        <v>45204</v>
      </c>
      <c r="B7258" s="16" t="str">
        <f>IFERROR(__xludf.DUMMYFUNCTION("""COMPUTED_VALUE"""),"Johanna Arango Barrera")</f>
        <v>Johanna Arango Barrera</v>
      </c>
      <c r="C7258" s="15" t="str">
        <f>IFERROR(__xludf.DUMMYFUNCTION("""COMPUTED_VALUE"""),"PEREIRA")</f>
        <v>PEREIRA</v>
      </c>
      <c r="D7258" s="15" t="str">
        <f>IFERROR(__xludf.DUMMYFUNCTION("""COMPUTED_VALUE"""),"BOGOTÁ")</f>
        <v>BOGOTÁ</v>
      </c>
      <c r="E7258" s="15" t="str">
        <f>IFERROR(__xludf.DUMMYFUNCTION("""COMPUTED_VALUE"""),"Athenas")</f>
        <v>Athenas</v>
      </c>
      <c r="F7258" s="17" t="str">
        <f>IFERROR(__xludf.DUMMYFUNCTION("""COMPUTED_VALUE"""),"AV CIRCUNVALAR CARRERA 13 #13-40  / CENTRO COMERCIAL UNIPLEX 6 PISO BODYTECH - CAFETERIA / BODYTECH CAFETERIA")</f>
        <v>AV CIRCUNVALAR CARRERA 13 #13-40  / CENTRO COMERCIAL UNIPLEX 6 PISO BODYTECH - CAFETERIA / BODYTECH CAFETERIA</v>
      </c>
      <c r="G7258" s="15" t="str">
        <f>IFERROR(__xludf.DUMMYFUNCTION("""COMPUTED_VALUE"""),"BELEN RODRIGUEZ")</f>
        <v>BELEN RODRIGUEZ</v>
      </c>
      <c r="H7258" s="16">
        <f>IFERROR(__xludf.DUMMYFUNCTION("""COMPUTED_VALUE"""),15890.0)</f>
        <v>15890</v>
      </c>
      <c r="I7258" s="18">
        <f>IFERROR(__xludf.DUMMYFUNCTION("""COMPUTED_VALUE"""),29.0)</f>
        <v>29</v>
      </c>
      <c r="J7258" s="18">
        <f>IFERROR(__xludf.DUMMYFUNCTION("""COMPUTED_VALUE"""),55.0)</f>
        <v>55</v>
      </c>
      <c r="K7258" s="18">
        <f>IFERROR(__xludf.DUMMYFUNCTION("""COMPUTED_VALUE"""),45.0)</f>
        <v>45</v>
      </c>
      <c r="L7258" s="17">
        <f>IFERROR(__xludf.DUMMYFUNCTION("""COMPUTED_VALUE"""),3.136258494E9)</f>
        <v>3136258494</v>
      </c>
      <c r="M7258" s="17"/>
      <c r="N7258" s="17"/>
      <c r="O7258" s="17"/>
      <c r="P7258" s="17" t="b">
        <f>IFERROR(__xludf.DUMMYFUNCTION("""COMPUTED_VALUE"""),FALSE)</f>
        <v>0</v>
      </c>
      <c r="Q7258" s="20" t="str">
        <f>IFERROR(__xludf.DUMMYFUNCTION("""COMPUTED_VALUE"""),"")</f>
        <v/>
      </c>
      <c r="R7258" s="22" t="str">
        <f>IFERROR(__xludf.DUMMYFUNCTION("""COMPUTED_VALUE"""),"")</f>
        <v/>
      </c>
    </row>
    <row r="7259">
      <c r="A7259" s="15">
        <f>IFERROR(__xludf.DUMMYFUNCTION("""COMPUTED_VALUE"""),45204.0)</f>
        <v>45204</v>
      </c>
      <c r="B7259" s="16" t="str">
        <f>IFERROR(__xludf.DUMMYFUNCTION("""COMPUTED_VALUE"""),"Johanna Arango Barrera")</f>
        <v>Johanna Arango Barrera</v>
      </c>
      <c r="C7259" s="15" t="str">
        <f>IFERROR(__xludf.DUMMYFUNCTION("""COMPUTED_VALUE"""),"VILLAVICENCIO")</f>
        <v>VILLAVICENCIO</v>
      </c>
      <c r="D7259" s="15" t="str">
        <f>IFERROR(__xludf.DUMMYFUNCTION("""COMPUTED_VALUE"""),"MEDELLÍN")</f>
        <v>MEDELLÍN</v>
      </c>
      <c r="E7259" s="15" t="str">
        <f>IFERROR(__xludf.DUMMYFUNCTION("""COMPUTED_VALUE"""),"Lácteos El Pino SAS")</f>
        <v>Lácteos El Pino SAS</v>
      </c>
      <c r="F7259" s="17" t="str">
        <f>IFERROR(__xludf.DUMMYFUNCTION("""COMPUTED_VALUE"""),"Cra. 32 #39-14 / CAFE BRA KAFFE")</f>
        <v>Cra. 32 #39-14 / CAFE BRA KAFFE</v>
      </c>
      <c r="G7259" s="15" t="str">
        <f>IFERROR(__xludf.DUMMYFUNCTION("""COMPUTED_VALUE"""),"BRA KAFFE SAS")</f>
        <v>BRA KAFFE SAS</v>
      </c>
      <c r="H7259" s="16">
        <f>IFERROR(__xludf.DUMMYFUNCTION("""COMPUTED_VALUE"""),15846.0)</f>
        <v>15846</v>
      </c>
      <c r="I7259" s="18">
        <f>IFERROR(__xludf.DUMMYFUNCTION("""COMPUTED_VALUE"""),18.0)</f>
        <v>18</v>
      </c>
      <c r="J7259" s="18">
        <f>IFERROR(__xludf.DUMMYFUNCTION("""COMPUTED_VALUE"""),21.0)</f>
        <v>21</v>
      </c>
      <c r="K7259" s="18">
        <f>IFERROR(__xludf.DUMMYFUNCTION("""COMPUTED_VALUE"""),36.0)</f>
        <v>36</v>
      </c>
      <c r="L7259" s="17">
        <f>IFERROR(__xludf.DUMMYFUNCTION("""COMPUTED_VALUE"""),3.188882386E9)</f>
        <v>3188882386</v>
      </c>
      <c r="M7259" s="17"/>
      <c r="N7259" s="17"/>
      <c r="O7259" s="17"/>
      <c r="P7259" s="17" t="b">
        <f>IFERROR(__xludf.DUMMYFUNCTION("""COMPUTED_VALUE"""),FALSE)</f>
        <v>0</v>
      </c>
      <c r="Q7259" s="20" t="str">
        <f>IFERROR(__xludf.DUMMYFUNCTION("""COMPUTED_VALUE"""),"")</f>
        <v/>
      </c>
      <c r="R7259" s="21" t="str">
        <f>IFERROR(__xludf.DUMMYFUNCTION("""COMPUTED_VALUE"""),"https://drive.google.com/file/d/1kGaFO1gB0IwsxkYcZRGd7whM-JSncRbd/view?usp=drivesdk")</f>
        <v>https://drive.google.com/file/d/1kGaFO1gB0IwsxkYcZRGd7whM-JSncRbd/view?usp=drivesdk</v>
      </c>
    </row>
    <row r="7260">
      <c r="A7260" s="17" t="str">
        <f>IFERROR(__xludf.DUMMYFUNCTION("""COMPUTED_VALUE"""),"")</f>
        <v/>
      </c>
      <c r="B7260" s="17" t="str">
        <f>IFERROR(__xludf.DUMMYFUNCTION("""COMPUTED_VALUE"""),"")</f>
        <v/>
      </c>
      <c r="C7260" s="17" t="str">
        <f>IFERROR(__xludf.DUMMYFUNCTION("""COMPUTED_VALUE"""),"")</f>
        <v/>
      </c>
      <c r="D7260" s="17" t="str">
        <f>IFERROR(__xludf.DUMMYFUNCTION("""COMPUTED_VALUE"""),"")</f>
        <v/>
      </c>
      <c r="E7260" s="17" t="str">
        <f>IFERROR(__xludf.DUMMYFUNCTION("""COMPUTED_VALUE"""),"")</f>
        <v/>
      </c>
      <c r="F7260" s="17" t="str">
        <f>IFERROR(__xludf.DUMMYFUNCTION("""COMPUTED_VALUE"""),"")</f>
        <v/>
      </c>
      <c r="G7260" s="17" t="str">
        <f>IFERROR(__xludf.DUMMYFUNCTION("""COMPUTED_VALUE"""),"")</f>
        <v/>
      </c>
      <c r="H7260" s="17" t="str">
        <f>IFERROR(__xludf.DUMMYFUNCTION("""COMPUTED_VALUE"""),"")</f>
        <v/>
      </c>
      <c r="I7260" s="17" t="str">
        <f>IFERROR(__xludf.DUMMYFUNCTION("""COMPUTED_VALUE"""),"")</f>
        <v/>
      </c>
      <c r="J7260" s="17" t="str">
        <f>IFERROR(__xludf.DUMMYFUNCTION("""COMPUTED_VALUE"""),"")</f>
        <v/>
      </c>
      <c r="K7260" s="17" t="str">
        <f>IFERROR(__xludf.DUMMYFUNCTION("""COMPUTED_VALUE"""),"")</f>
        <v/>
      </c>
      <c r="L7260" s="17" t="str">
        <f>IFERROR(__xludf.DUMMYFUNCTION("""COMPUTED_VALUE"""),"")</f>
        <v/>
      </c>
      <c r="M7260" s="17" t="str">
        <f>IFERROR(__xludf.DUMMYFUNCTION("""COMPUTED_VALUE"""),"")</f>
        <v/>
      </c>
      <c r="N7260" s="17" t="str">
        <f>IFERROR(__xludf.DUMMYFUNCTION("""COMPUTED_VALUE"""),"")</f>
        <v/>
      </c>
      <c r="O7260" s="17" t="str">
        <f>IFERROR(__xludf.DUMMYFUNCTION("""COMPUTED_VALUE"""),"")</f>
        <v/>
      </c>
      <c r="P7260" s="17" t="str">
        <f>IFERROR(__xludf.DUMMYFUNCTION("""COMPUTED_VALUE"""),"")</f>
        <v/>
      </c>
      <c r="Q7260" s="17" t="str">
        <f>IFERROR(__xludf.DUMMYFUNCTION("""COMPUTED_VALUE"""),"")</f>
        <v/>
      </c>
      <c r="R7260" s="17" t="str">
        <f>IFERROR(__xludf.DUMMYFUNCTION("""COMPUTED_VALUE"""),"")</f>
        <v/>
      </c>
    </row>
    <row r="7261">
      <c r="A7261" s="15">
        <f>IFERROR(__xludf.DUMMYFUNCTION("""COMPUTED_VALUE"""),45204.0)</f>
        <v>45204</v>
      </c>
      <c r="B7261" s="16" t="str">
        <f>IFERROR(__xludf.DUMMYFUNCTION("""COMPUTED_VALUE"""),"Juan José Giraldo (Sara)")</f>
        <v>Juan José Giraldo (Sara)</v>
      </c>
      <c r="C7261" s="15" t="str">
        <f>IFERROR(__xludf.DUMMYFUNCTION("""COMPUTED_VALUE"""),"CALI")</f>
        <v>CALI</v>
      </c>
      <c r="D7261" s="15" t="str">
        <f>IFERROR(__xludf.DUMMYFUNCTION("""COMPUTED_VALUE"""),"BOGOTÁ")</f>
        <v>BOGOTÁ</v>
      </c>
      <c r="E7261" s="15" t="str">
        <f>IFERROR(__xludf.DUMMYFUNCTION("""COMPUTED_VALUE"""),"Athenas")</f>
        <v>Athenas</v>
      </c>
      <c r="F7261" s="17" t="str">
        <f>IFERROR(__xludf.DUMMYFUNCTION("""COMPUTED_VALUE"""),"CALLE 7 OESTE #1A-59 PISO 2 / PISO 2 BODYTECH CAFETERIA / BARRIO SANTA TERESITA")</f>
        <v>CALLE 7 OESTE #1A-59 PISO 2 / PISO 2 BODYTECH CAFETERIA / BARRIO SANTA TERESITA</v>
      </c>
      <c r="G7261" s="15" t="str">
        <f>IFERROR(__xludf.DUMMYFUNCTION("""COMPUTED_VALUE"""),"JORGE PARRA")</f>
        <v>JORGE PARRA</v>
      </c>
      <c r="H7261" s="16">
        <f>IFERROR(__xludf.DUMMYFUNCTION("""COMPUTED_VALUE"""),15891.0)</f>
        <v>15891</v>
      </c>
      <c r="I7261" s="18">
        <f>IFERROR(__xludf.DUMMYFUNCTION("""COMPUTED_VALUE"""),29.0)</f>
        <v>29</v>
      </c>
      <c r="J7261" s="18">
        <f>IFERROR(__xludf.DUMMYFUNCTION("""COMPUTED_VALUE"""),55.0)</f>
        <v>55</v>
      </c>
      <c r="K7261" s="18">
        <f>IFERROR(__xludf.DUMMYFUNCTION("""COMPUTED_VALUE"""),45.0)</f>
        <v>45</v>
      </c>
      <c r="L7261" s="17">
        <f>IFERROR(__xludf.DUMMYFUNCTION("""COMPUTED_VALUE"""),3.246801614E9)</f>
        <v>3246801614</v>
      </c>
      <c r="M7261" s="17"/>
      <c r="N7261" s="17"/>
      <c r="O7261" s="17"/>
      <c r="P7261" s="17" t="b">
        <f>IFERROR(__xludf.DUMMYFUNCTION("""COMPUTED_VALUE"""),TRUE)</f>
        <v>1</v>
      </c>
      <c r="Q7261" s="20">
        <f>IFERROR(__xludf.DUMMYFUNCTION("""COMPUTED_VALUE"""),45205.651006354165)</f>
        <v>45205.65101</v>
      </c>
      <c r="R7261" s="22" t="str">
        <f>IFERROR(__xludf.DUMMYFUNCTION("""COMPUTED_VALUE"""),"")</f>
        <v/>
      </c>
    </row>
    <row r="7262">
      <c r="A7262" s="15">
        <f>IFERROR(__xludf.DUMMYFUNCTION("""COMPUTED_VALUE"""),45204.0)</f>
        <v>45204</v>
      </c>
      <c r="B7262" s="16" t="str">
        <f>IFERROR(__xludf.DUMMYFUNCTION("""COMPUTED_VALUE"""),"Juan José Giraldo (Sara)")</f>
        <v>Juan José Giraldo (Sara)</v>
      </c>
      <c r="C7262" s="15" t="str">
        <f>IFERROR(__xludf.DUMMYFUNCTION("""COMPUTED_VALUE"""),"PIEDECUESTA")</f>
        <v>PIEDECUESTA</v>
      </c>
      <c r="D7262" s="15" t="str">
        <f>IFERROR(__xludf.DUMMYFUNCTION("""COMPUTED_VALUE"""),"BOGOTÁ")</f>
        <v>BOGOTÁ</v>
      </c>
      <c r="E7262" s="15" t="str">
        <f>IFERROR(__xludf.DUMMYFUNCTION("""COMPUTED_VALUE"""),"Evamazzita")</f>
        <v>Evamazzita</v>
      </c>
      <c r="F7262" s="17" t="str">
        <f>IFERROR(__xludf.DUMMYFUNCTION("""COMPUTED_VALUE"""),"Calle 23 # 4 - 50 / Conjuto Portal de la Loma Torre 7 Apartamento 956  Barrio: Paseo del Puente 2")</f>
        <v>Calle 23 # 4 - 50 / Conjuto Portal de la Loma Torre 7 Apartamento 956  Barrio: Paseo del Puente 2</v>
      </c>
      <c r="G7262" s="15" t="str">
        <f>IFERROR(__xludf.DUMMYFUNCTION("""COMPUTED_VALUE"""),"MAYRA ALEJANDRA CARREÑO MILLAN")</f>
        <v>MAYRA ALEJANDRA CARREÑO MILLAN</v>
      </c>
      <c r="H7262" s="16">
        <f>IFERROR(__xludf.DUMMYFUNCTION("""COMPUTED_VALUE"""),15981.0)</f>
        <v>15981</v>
      </c>
      <c r="I7262" s="18">
        <f>IFERROR(__xludf.DUMMYFUNCTION("""COMPUTED_VALUE"""),1.0)</f>
        <v>1</v>
      </c>
      <c r="J7262" s="18">
        <f>IFERROR(__xludf.DUMMYFUNCTION("""COMPUTED_VALUE"""),1.0)</f>
        <v>1</v>
      </c>
      <c r="K7262" s="18">
        <f>IFERROR(__xludf.DUMMYFUNCTION("""COMPUTED_VALUE"""),1.0)</f>
        <v>1</v>
      </c>
      <c r="L7262" s="17">
        <f>IFERROR(__xludf.DUMMYFUNCTION("""COMPUTED_VALUE"""),3.165788209E9)</f>
        <v>3165788209</v>
      </c>
      <c r="M7262" s="17"/>
      <c r="N7262" s="17"/>
      <c r="O7262" s="17"/>
      <c r="P7262" s="17" t="b">
        <f>IFERROR(__xludf.DUMMYFUNCTION("""COMPUTED_VALUE"""),TRUE)</f>
        <v>1</v>
      </c>
      <c r="Q7262" s="20">
        <f>IFERROR(__xludf.DUMMYFUNCTION("""COMPUTED_VALUE"""),45208.58044846065)</f>
        <v>45208.58045</v>
      </c>
      <c r="R7262" s="22" t="str">
        <f>IFERROR(__xludf.DUMMYFUNCTION("""COMPUTED_VALUE"""),"")</f>
        <v/>
      </c>
    </row>
    <row r="7263">
      <c r="A7263" s="17" t="str">
        <f>IFERROR(__xludf.DUMMYFUNCTION("""COMPUTED_VALUE"""),"")</f>
        <v/>
      </c>
      <c r="B7263" s="17" t="str">
        <f>IFERROR(__xludf.DUMMYFUNCTION("""COMPUTED_VALUE"""),"")</f>
        <v/>
      </c>
      <c r="C7263" s="17" t="str">
        <f>IFERROR(__xludf.DUMMYFUNCTION("""COMPUTED_VALUE"""),"")</f>
        <v/>
      </c>
      <c r="D7263" s="17" t="str">
        <f>IFERROR(__xludf.DUMMYFUNCTION("""COMPUTED_VALUE"""),"")</f>
        <v/>
      </c>
      <c r="E7263" s="17" t="str">
        <f>IFERROR(__xludf.DUMMYFUNCTION("""COMPUTED_VALUE"""),"")</f>
        <v/>
      </c>
      <c r="F7263" s="17" t="str">
        <f>IFERROR(__xludf.DUMMYFUNCTION("""COMPUTED_VALUE"""),"")</f>
        <v/>
      </c>
      <c r="G7263" s="17" t="str">
        <f>IFERROR(__xludf.DUMMYFUNCTION("""COMPUTED_VALUE"""),"")</f>
        <v/>
      </c>
      <c r="H7263" s="17" t="str">
        <f>IFERROR(__xludf.DUMMYFUNCTION("""COMPUTED_VALUE"""),"")</f>
        <v/>
      </c>
      <c r="I7263" s="17" t="str">
        <f>IFERROR(__xludf.DUMMYFUNCTION("""COMPUTED_VALUE"""),"")</f>
        <v/>
      </c>
      <c r="J7263" s="17" t="str">
        <f>IFERROR(__xludf.DUMMYFUNCTION("""COMPUTED_VALUE"""),"")</f>
        <v/>
      </c>
      <c r="K7263" s="17" t="str">
        <f>IFERROR(__xludf.DUMMYFUNCTION("""COMPUTED_VALUE"""),"")</f>
        <v/>
      </c>
      <c r="L7263" s="17" t="str">
        <f>IFERROR(__xludf.DUMMYFUNCTION("""COMPUTED_VALUE"""),"")</f>
        <v/>
      </c>
      <c r="M7263" s="17" t="str">
        <f>IFERROR(__xludf.DUMMYFUNCTION("""COMPUTED_VALUE"""),"")</f>
        <v/>
      </c>
      <c r="N7263" s="17" t="str">
        <f>IFERROR(__xludf.DUMMYFUNCTION("""COMPUTED_VALUE"""),"")</f>
        <v/>
      </c>
      <c r="O7263" s="17" t="str">
        <f>IFERROR(__xludf.DUMMYFUNCTION("""COMPUTED_VALUE"""),"")</f>
        <v/>
      </c>
      <c r="P7263" s="17" t="str">
        <f>IFERROR(__xludf.DUMMYFUNCTION("""COMPUTED_VALUE"""),"")</f>
        <v/>
      </c>
      <c r="Q7263" s="17" t="str">
        <f>IFERROR(__xludf.DUMMYFUNCTION("""COMPUTED_VALUE"""),"")</f>
        <v/>
      </c>
      <c r="R7263" s="17" t="str">
        <f>IFERROR(__xludf.DUMMYFUNCTION("""COMPUTED_VALUE"""),"")</f>
        <v/>
      </c>
    </row>
    <row r="7264">
      <c r="A7264" s="15">
        <f>IFERROR(__xludf.DUMMYFUNCTION("""COMPUTED_VALUE"""),45204.0)</f>
        <v>45204</v>
      </c>
      <c r="B7264" s="16" t="str">
        <f>IFERROR(__xludf.DUMMYFUNCTION("""COMPUTED_VALUE"""),"Julian Calderon Rodriguez ")</f>
        <v>Julian Calderon Rodriguez </v>
      </c>
      <c r="C7264" s="15" t="str">
        <f>IFERROR(__xludf.DUMMYFUNCTION("""COMPUTED_VALUE"""),"SANTA MARTA")</f>
        <v>SANTA MARTA</v>
      </c>
      <c r="D7264" s="15" t="str">
        <f>IFERROR(__xludf.DUMMYFUNCTION("""COMPUTED_VALUE"""),"BOGOTÁ")</f>
        <v>BOGOTÁ</v>
      </c>
      <c r="E7264" s="15" t="str">
        <f>IFERROR(__xludf.DUMMYFUNCTION("""COMPUTED_VALUE"""),"Asociacion Agropecuaria Juana Maria")</f>
        <v>Asociacion Agropecuaria Juana Maria</v>
      </c>
      <c r="F7264" s="17" t="str">
        <f>IFERROR(__xludf.DUMMYFUNCTION("""COMPUTED_VALUE"""),"calle 29 E # 14A -38 torre 2 apto 701 conjunto reserva club residencial (diagonal a Makro)")</f>
        <v>calle 29 E # 14A -38 torre 2 apto 701 conjunto reserva club residencial (diagonal a Makro)</v>
      </c>
      <c r="G7264" s="15" t="str">
        <f>IFERROR(__xludf.DUMMYFUNCTION("""COMPUTED_VALUE"""),"Julio Sanchez")</f>
        <v>Julio Sanchez</v>
      </c>
      <c r="H7264" s="16">
        <f>IFERROR(__xludf.DUMMYFUNCTION("""COMPUTED_VALUE"""),15797.0)</f>
        <v>15797</v>
      </c>
      <c r="I7264" s="18">
        <f>IFERROR(__xludf.DUMMYFUNCTION("""COMPUTED_VALUE"""),22.0)</f>
        <v>22</v>
      </c>
      <c r="J7264" s="18">
        <f>IFERROR(__xludf.DUMMYFUNCTION("""COMPUTED_VALUE"""),15.0)</f>
        <v>15</v>
      </c>
      <c r="K7264" s="18">
        <f>IFERROR(__xludf.DUMMYFUNCTION("""COMPUTED_VALUE"""),3.0)</f>
        <v>3</v>
      </c>
      <c r="L7264" s="17">
        <f>IFERROR(__xludf.DUMMYFUNCTION("""COMPUTED_VALUE"""),3.045275841E9)</f>
        <v>3045275841</v>
      </c>
      <c r="M7264" s="17"/>
      <c r="N7264" s="17"/>
      <c r="O7264" s="17"/>
      <c r="P7264" s="17" t="b">
        <f>IFERROR(__xludf.DUMMYFUNCTION("""COMPUTED_VALUE"""),TRUE)</f>
        <v>1</v>
      </c>
      <c r="Q7264" s="20">
        <f>IFERROR(__xludf.DUMMYFUNCTION("""COMPUTED_VALUE"""),45205.65073071759)</f>
        <v>45205.65073</v>
      </c>
      <c r="R7264" s="21" t="str">
        <f>IFERROR(__xludf.DUMMYFUNCTION("""COMPUTED_VALUE"""),"https://drive.google.com/file/d/17SdxwUUS6yI1kw57sXzL3ZQNO4agP3jd/view?usp=drivesdk")</f>
        <v>https://drive.google.com/file/d/17SdxwUUS6yI1kw57sXzL3ZQNO4agP3jd/view?usp=drivesdk</v>
      </c>
    </row>
    <row r="7265">
      <c r="A7265" s="15">
        <f>IFERROR(__xludf.DUMMYFUNCTION("""COMPUTED_VALUE"""),45204.0)</f>
        <v>45204</v>
      </c>
      <c r="B7265" s="16" t="str">
        <f>IFERROR(__xludf.DUMMYFUNCTION("""COMPUTED_VALUE"""),"Julian Calderon Rodriguez ")</f>
        <v>Julian Calderon Rodriguez </v>
      </c>
      <c r="C7265" s="15" t="str">
        <f>IFERROR(__xludf.DUMMYFUNCTION("""COMPUTED_VALUE"""),"SANTA MARTA")</f>
        <v>SANTA MARTA</v>
      </c>
      <c r="D7265" s="15" t="str">
        <f>IFERROR(__xludf.DUMMYFUNCTION("""COMPUTED_VALUE"""),"BOGOTÁ")</f>
        <v>BOGOTÁ</v>
      </c>
      <c r="E7265" s="15" t="str">
        <f>IFERROR(__xludf.DUMMYFUNCTION("""COMPUTED_VALUE"""),"Evamazzita")</f>
        <v>Evamazzita</v>
      </c>
      <c r="F7265" s="17" t="str">
        <f>IFERROR(__xludf.DUMMYFUNCTION("""COMPUTED_VALUE"""),"Calle 22 #17-10 apto 202 / apto 202  Al lado de Envia  Barrio alcázares""")</f>
        <v>Calle 22 #17-10 apto 202 / apto 202  Al lado de Envia  Barrio alcázares"</v>
      </c>
      <c r="G7265" s="15" t="str">
        <f>IFERROR(__xludf.DUMMYFUNCTION("""COMPUTED_VALUE"""),"MARIA ANGELICA RINCON")</f>
        <v>MARIA ANGELICA RINCON</v>
      </c>
      <c r="H7265" s="16">
        <f>IFERROR(__xludf.DUMMYFUNCTION("""COMPUTED_VALUE"""),15973.0)</f>
        <v>15973</v>
      </c>
      <c r="I7265" s="18">
        <f>IFERROR(__xludf.DUMMYFUNCTION("""COMPUTED_VALUE"""),1.0)</f>
        <v>1</v>
      </c>
      <c r="J7265" s="18">
        <f>IFERROR(__xludf.DUMMYFUNCTION("""COMPUTED_VALUE"""),1.0)</f>
        <v>1</v>
      </c>
      <c r="K7265" s="18">
        <f>IFERROR(__xludf.DUMMYFUNCTION("""COMPUTED_VALUE"""),1.0)</f>
        <v>1</v>
      </c>
      <c r="L7265" s="17" t="str">
        <f>IFERROR(__xludf.DUMMYFUNCTION("""COMPUTED_VALUE"""),"3046823353 3002700385")</f>
        <v>3046823353 3002700385</v>
      </c>
      <c r="M7265" s="17"/>
      <c r="N7265" s="17"/>
      <c r="O7265" s="17"/>
      <c r="P7265" s="17" t="b">
        <f>IFERROR(__xludf.DUMMYFUNCTION("""COMPUTED_VALUE"""),TRUE)</f>
        <v>1</v>
      </c>
      <c r="Q7265" s="20">
        <f>IFERROR(__xludf.DUMMYFUNCTION("""COMPUTED_VALUE"""),45205.63270015046)</f>
        <v>45205.6327</v>
      </c>
      <c r="R7265" s="21" t="str">
        <f>IFERROR(__xludf.DUMMYFUNCTION("""COMPUTED_VALUE"""),"https://drive.google.com/file/d/1K5Mg_tZMv6mgx4omA8B8zVwgMx2z-3cA/view?usp=drivesdk")</f>
        <v>https://drive.google.com/file/d/1K5Mg_tZMv6mgx4omA8B8zVwgMx2z-3cA/view?usp=drivesdk</v>
      </c>
    </row>
    <row r="7266">
      <c r="A7266" s="15">
        <f>IFERROR(__xludf.DUMMYFUNCTION("""COMPUTED_VALUE"""),45204.0)</f>
        <v>45204</v>
      </c>
      <c r="B7266" s="16" t="str">
        <f>IFERROR(__xludf.DUMMYFUNCTION("""COMPUTED_VALUE"""),"Julian Calderon Rodriguez ")</f>
        <v>Julian Calderon Rodriguez </v>
      </c>
      <c r="C7266" s="15" t="str">
        <f>IFERROR(__xludf.DUMMYFUNCTION("""COMPUTED_VALUE"""),"VILLAVICENCIO")</f>
        <v>VILLAVICENCIO</v>
      </c>
      <c r="D7266" s="15" t="str">
        <f>IFERROR(__xludf.DUMMYFUNCTION("""COMPUTED_VALUE"""),"BOGOTÁ")</f>
        <v>BOGOTÁ</v>
      </c>
      <c r="E7266" s="15" t="str">
        <f>IFERROR(__xludf.DUMMYFUNCTION("""COMPUTED_VALUE"""),"Evamazzita")</f>
        <v>Evamazzita</v>
      </c>
      <c r="F7266" s="17" t="str">
        <f>IFERROR(__xludf.DUMMYFUNCTION("""COMPUTED_VALUE"""),"calle 46 #51-78 / Barrio virrey o poblado")</f>
        <v>calle 46 #51-78 / Barrio virrey o poblado</v>
      </c>
      <c r="G7266" s="15" t="str">
        <f>IFERROR(__xludf.DUMMYFUNCTION("""COMPUTED_VALUE"""),"JULIETH CABALLERO")</f>
        <v>JULIETH CABALLERO</v>
      </c>
      <c r="H7266" s="16">
        <f>IFERROR(__xludf.DUMMYFUNCTION("""COMPUTED_VALUE"""),15984.0)</f>
        <v>15984</v>
      </c>
      <c r="I7266" s="18">
        <f>IFERROR(__xludf.DUMMYFUNCTION("""COMPUTED_VALUE"""),1.0)</f>
        <v>1</v>
      </c>
      <c r="J7266" s="18">
        <f>IFERROR(__xludf.DUMMYFUNCTION("""COMPUTED_VALUE"""),1.0)</f>
        <v>1</v>
      </c>
      <c r="K7266" s="18">
        <f>IFERROR(__xludf.DUMMYFUNCTION("""COMPUTED_VALUE"""),1.0)</f>
        <v>1</v>
      </c>
      <c r="L7266" s="17">
        <f>IFERROR(__xludf.DUMMYFUNCTION("""COMPUTED_VALUE"""),3.178488429E9)</f>
        <v>3178488429</v>
      </c>
      <c r="M7266" s="17"/>
      <c r="N7266" s="17"/>
      <c r="O7266" s="17"/>
      <c r="P7266" s="17" t="b">
        <f>IFERROR(__xludf.DUMMYFUNCTION("""COMPUTED_VALUE"""),TRUE)</f>
        <v>1</v>
      </c>
      <c r="Q7266" s="20">
        <f>IFERROR(__xludf.DUMMYFUNCTION("""COMPUTED_VALUE"""),45208.58044847222)</f>
        <v>45208.58045</v>
      </c>
      <c r="R7266" s="21" t="str">
        <f>IFERROR(__xludf.DUMMYFUNCTION("""COMPUTED_VALUE"""),"https://drive.google.com/file/d/1sdoSi9GQvxE9vouLUbUld5U-lK6nTsUO/view?usp=drivesdk")</f>
        <v>https://drive.google.com/file/d/1sdoSi9GQvxE9vouLUbUld5U-lK6nTsUO/view?usp=drivesdk</v>
      </c>
    </row>
    <row r="7267">
      <c r="A7267" s="15">
        <f>IFERROR(__xludf.DUMMYFUNCTION("""COMPUTED_VALUE"""),45204.0)</f>
        <v>45204</v>
      </c>
      <c r="B7267" s="16" t="str">
        <f>IFERROR(__xludf.DUMMYFUNCTION("""COMPUTED_VALUE"""),"Julian Calderon Rodriguez ")</f>
        <v>Julian Calderon Rodriguez </v>
      </c>
      <c r="C7267" s="15" t="str">
        <f>IFERROR(__xludf.DUMMYFUNCTION("""COMPUTED_VALUE"""),"VILLAVICENCIO")</f>
        <v>VILLAVICENCIO</v>
      </c>
      <c r="D7267" s="15" t="str">
        <f>IFERROR(__xludf.DUMMYFUNCTION("""COMPUTED_VALUE"""),"BOGOTÁ")</f>
        <v>BOGOTÁ</v>
      </c>
      <c r="E7267" s="15" t="str">
        <f>IFERROR(__xludf.DUMMYFUNCTION("""COMPUTED_VALUE"""),"Evamazzita")</f>
        <v>Evamazzita</v>
      </c>
      <c r="F7267" s="17" t="str">
        <f>IFERROR(__xludf.DUMMYFUNCTION("""COMPUTED_VALUE"""),"Cra 41 Este # 16B 81 / apto 106 Torre 8 conjunto Sabana Grande")</f>
        <v>Cra 41 Este # 16B 81 / apto 106 Torre 8 conjunto Sabana Grande</v>
      </c>
      <c r="G7267" s="15" t="str">
        <f>IFERROR(__xludf.DUMMYFUNCTION("""COMPUTED_VALUE"""),"JEIMMY KATERINE  BERTEL CORTES")</f>
        <v>JEIMMY KATERINE  BERTEL CORTES</v>
      </c>
      <c r="H7267" s="16">
        <f>IFERROR(__xludf.DUMMYFUNCTION("""COMPUTED_VALUE"""),15983.0)</f>
        <v>15983</v>
      </c>
      <c r="I7267" s="18">
        <f>IFERROR(__xludf.DUMMYFUNCTION("""COMPUTED_VALUE"""),1.0)</f>
        <v>1</v>
      </c>
      <c r="J7267" s="18">
        <f>IFERROR(__xludf.DUMMYFUNCTION("""COMPUTED_VALUE"""),1.0)</f>
        <v>1</v>
      </c>
      <c r="K7267" s="18">
        <f>IFERROR(__xludf.DUMMYFUNCTION("""COMPUTED_VALUE"""),1.0)</f>
        <v>1</v>
      </c>
      <c r="L7267" s="17" t="str">
        <f>IFERROR(__xludf.DUMMYFUNCTION("""COMPUTED_VALUE"""),"3002357190 3213086928")</f>
        <v>3002357190 3213086928</v>
      </c>
      <c r="M7267" s="17"/>
      <c r="N7267" s="17"/>
      <c r="O7267" s="17"/>
      <c r="P7267" s="17" t="b">
        <f>IFERROR(__xludf.DUMMYFUNCTION("""COMPUTED_VALUE"""),TRUE)</f>
        <v>1</v>
      </c>
      <c r="Q7267" s="20">
        <f>IFERROR(__xludf.DUMMYFUNCTION("""COMPUTED_VALUE"""),45205.65229658565)</f>
        <v>45205.6523</v>
      </c>
      <c r="R7267" s="21" t="str">
        <f>IFERROR(__xludf.DUMMYFUNCTION("""COMPUTED_VALUE"""),"https://drive.google.com/file/d/1wwptGyZNQMlMeDbfDuKOGUXIL7Pnj6T-/view?usp=drivesdk")</f>
        <v>https://drive.google.com/file/d/1wwptGyZNQMlMeDbfDuKOGUXIL7Pnj6T-/view?usp=drivesdk</v>
      </c>
    </row>
    <row r="7268">
      <c r="A7268" s="17" t="str">
        <f>IFERROR(__xludf.DUMMYFUNCTION("""COMPUTED_VALUE"""),"")</f>
        <v/>
      </c>
      <c r="B7268" s="17" t="str">
        <f>IFERROR(__xludf.DUMMYFUNCTION("""COMPUTED_VALUE"""),"")</f>
        <v/>
      </c>
      <c r="C7268" s="17" t="str">
        <f>IFERROR(__xludf.DUMMYFUNCTION("""COMPUTED_VALUE"""),"")</f>
        <v/>
      </c>
      <c r="D7268" s="17" t="str">
        <f>IFERROR(__xludf.DUMMYFUNCTION("""COMPUTED_VALUE"""),"")</f>
        <v/>
      </c>
      <c r="E7268" s="17" t="str">
        <f>IFERROR(__xludf.DUMMYFUNCTION("""COMPUTED_VALUE"""),"")</f>
        <v/>
      </c>
      <c r="F7268" s="17" t="str">
        <f>IFERROR(__xludf.DUMMYFUNCTION("""COMPUTED_VALUE"""),"")</f>
        <v/>
      </c>
      <c r="G7268" s="17" t="str">
        <f>IFERROR(__xludf.DUMMYFUNCTION("""COMPUTED_VALUE"""),"")</f>
        <v/>
      </c>
      <c r="H7268" s="17" t="str">
        <f>IFERROR(__xludf.DUMMYFUNCTION("""COMPUTED_VALUE"""),"")</f>
        <v/>
      </c>
      <c r="I7268" s="17" t="str">
        <f>IFERROR(__xludf.DUMMYFUNCTION("""COMPUTED_VALUE"""),"")</f>
        <v/>
      </c>
      <c r="J7268" s="17" t="str">
        <f>IFERROR(__xludf.DUMMYFUNCTION("""COMPUTED_VALUE"""),"")</f>
        <v/>
      </c>
      <c r="K7268" s="17" t="str">
        <f>IFERROR(__xludf.DUMMYFUNCTION("""COMPUTED_VALUE"""),"")</f>
        <v/>
      </c>
      <c r="L7268" s="17" t="str">
        <f>IFERROR(__xludf.DUMMYFUNCTION("""COMPUTED_VALUE"""),"")</f>
        <v/>
      </c>
      <c r="M7268" s="17" t="str">
        <f>IFERROR(__xludf.DUMMYFUNCTION("""COMPUTED_VALUE"""),"")</f>
        <v/>
      </c>
      <c r="N7268" s="17" t="str">
        <f>IFERROR(__xludf.DUMMYFUNCTION("""COMPUTED_VALUE"""),"")</f>
        <v/>
      </c>
      <c r="O7268" s="17" t="str">
        <f>IFERROR(__xludf.DUMMYFUNCTION("""COMPUTED_VALUE"""),"")</f>
        <v/>
      </c>
      <c r="P7268" s="17" t="str">
        <f>IFERROR(__xludf.DUMMYFUNCTION("""COMPUTED_VALUE"""),"")</f>
        <v/>
      </c>
      <c r="Q7268" s="17" t="str">
        <f>IFERROR(__xludf.DUMMYFUNCTION("""COMPUTED_VALUE"""),"")</f>
        <v/>
      </c>
      <c r="R7268" s="17" t="str">
        <f>IFERROR(__xludf.DUMMYFUNCTION("""COMPUTED_VALUE"""),"")</f>
        <v/>
      </c>
    </row>
    <row r="7269">
      <c r="A7269" s="15">
        <f>IFERROR(__xludf.DUMMYFUNCTION("""COMPUTED_VALUE"""),45204.0)</f>
        <v>45204</v>
      </c>
      <c r="B7269" s="16" t="str">
        <f>IFERROR(__xludf.DUMMYFUNCTION("""COMPUTED_VALUE"""),"Orlando Urdaneta Rincon ")</f>
        <v>Orlando Urdaneta Rincon </v>
      </c>
      <c r="C7269" s="15" t="str">
        <f>IFERROR(__xludf.DUMMYFUNCTION("""COMPUTED_VALUE"""),"NEIVA")</f>
        <v>NEIVA</v>
      </c>
      <c r="D7269" s="15" t="str">
        <f>IFERROR(__xludf.DUMMYFUNCTION("""COMPUTED_VALUE"""),"BOGOTÁ")</f>
        <v>BOGOTÁ</v>
      </c>
      <c r="E7269" s="15" t="str">
        <f>IFERROR(__xludf.DUMMYFUNCTION("""COMPUTED_VALUE"""),"Verde Mango")</f>
        <v>Verde Mango</v>
      </c>
      <c r="F7269" s="17" t="str">
        <f>IFERROR(__xludf.DUMMYFUNCTION("""COMPUTED_VALUE"""),"calle 12 # 6-35 centro / Local La Gramera, Mercado Local / Centro")</f>
        <v>calle 12 # 6-35 centro / Local La Gramera, Mercado Local / Centro</v>
      </c>
      <c r="G7269" s="15" t="str">
        <f>IFERROR(__xludf.DUMMYFUNCTION("""COMPUTED_VALUE"""),"Ruby Garcia")</f>
        <v>Ruby Garcia</v>
      </c>
      <c r="H7269" s="16">
        <f>IFERROR(__xludf.DUMMYFUNCTION("""COMPUTED_VALUE"""),15967.0)</f>
        <v>15967</v>
      </c>
      <c r="I7269" s="18">
        <f>IFERROR(__xludf.DUMMYFUNCTION("""COMPUTED_VALUE"""),29.0)</f>
        <v>29</v>
      </c>
      <c r="J7269" s="18">
        <f>IFERROR(__xludf.DUMMYFUNCTION("""COMPUTED_VALUE"""),55.0)</f>
        <v>55</v>
      </c>
      <c r="K7269" s="18">
        <f>IFERROR(__xludf.DUMMYFUNCTION("""COMPUTED_VALUE"""),45.0)</f>
        <v>45</v>
      </c>
      <c r="L7269" s="17">
        <f>IFERROR(__xludf.DUMMYFUNCTION("""COMPUTED_VALUE"""),3.156979321E9)</f>
        <v>3156979321</v>
      </c>
      <c r="M7269" s="17"/>
      <c r="N7269" s="17"/>
      <c r="O7269" s="17"/>
      <c r="P7269" s="17" t="b">
        <f>IFERROR(__xludf.DUMMYFUNCTION("""COMPUTED_VALUE"""),TRUE)</f>
        <v>1</v>
      </c>
      <c r="Q7269" s="20">
        <f>IFERROR(__xludf.DUMMYFUNCTION("""COMPUTED_VALUE"""),45205.65162685185)</f>
        <v>45205.65163</v>
      </c>
      <c r="R7269" s="22" t="str">
        <f>IFERROR(__xludf.DUMMYFUNCTION("""COMPUTED_VALUE"""),"")</f>
        <v/>
      </c>
    </row>
    <row r="7270">
      <c r="A7270" s="15">
        <f>IFERROR(__xludf.DUMMYFUNCTION("""COMPUTED_VALUE"""),45204.0)</f>
        <v>45204</v>
      </c>
      <c r="B7270" s="16" t="str">
        <f>IFERROR(__xludf.DUMMYFUNCTION("""COMPUTED_VALUE"""),"Orlando Urdaneta Rincon ")</f>
        <v>Orlando Urdaneta Rincon </v>
      </c>
      <c r="C7270" s="15" t="str">
        <f>IFERROR(__xludf.DUMMYFUNCTION("""COMPUTED_VALUE"""),"NEIVA")</f>
        <v>NEIVA</v>
      </c>
      <c r="D7270" s="15" t="str">
        <f>IFERROR(__xludf.DUMMYFUNCTION("""COMPUTED_VALUE"""),"MEDELLÍN")</f>
        <v>MEDELLÍN</v>
      </c>
      <c r="E7270" s="15" t="str">
        <f>IFERROR(__xludf.DUMMYFUNCTION("""COMPUTED_VALUE"""),"Baby Chef")</f>
        <v>Baby Chef</v>
      </c>
      <c r="F7270" s="17" t="str">
        <f>IFERROR(__xludf.DUMMYFUNCTION("""COMPUTED_VALUE"""),"Cll 78 No 8 42 conjunto caminos de la primavera torre 1 apto 703 / Cll 78 No 8 42 conjunto caminos de la primavera torre 1 apto 703 / Cll 78 No 8 42 conjunto caminos de la primavera torre 1 apto 703")</f>
        <v>Cll 78 No 8 42 conjunto caminos de la primavera torre 1 apto 703 / Cll 78 No 8 42 conjunto caminos de la primavera torre 1 apto 703 / Cll 78 No 8 42 conjunto caminos de la primavera torre 1 apto 703</v>
      </c>
      <c r="G7270" s="15" t="str">
        <f>IFERROR(__xludf.DUMMYFUNCTION("""COMPUTED_VALUE"""),"Caterine del rosario Jiménez perdomo")</f>
        <v>Caterine del rosario Jiménez perdomo</v>
      </c>
      <c r="H7270" s="16">
        <f>IFERROR(__xludf.DUMMYFUNCTION("""COMPUTED_VALUE"""),15927.0)</f>
        <v>15927</v>
      </c>
      <c r="I7270" s="18">
        <f>IFERROR(__xludf.DUMMYFUNCTION("""COMPUTED_VALUE"""),5.0)</f>
        <v>5</v>
      </c>
      <c r="J7270" s="18">
        <f>IFERROR(__xludf.DUMMYFUNCTION("""COMPUTED_VALUE"""),22.0)</f>
        <v>22</v>
      </c>
      <c r="K7270" s="18">
        <f>IFERROR(__xludf.DUMMYFUNCTION("""COMPUTED_VALUE"""),30.0)</f>
        <v>30</v>
      </c>
      <c r="L7270" s="17">
        <f>IFERROR(__xludf.DUMMYFUNCTION("""COMPUTED_VALUE"""),3.125628342E9)</f>
        <v>3125628342</v>
      </c>
      <c r="M7270" s="17"/>
      <c r="N7270" s="17"/>
      <c r="O7270" s="17"/>
      <c r="P7270" s="17" t="b">
        <f>IFERROR(__xludf.DUMMYFUNCTION("""COMPUTED_VALUE"""),TRUE)</f>
        <v>1</v>
      </c>
      <c r="Q7270" s="20">
        <f>IFERROR(__xludf.DUMMYFUNCTION("""COMPUTED_VALUE"""),45208.58044847222)</f>
        <v>45208.58045</v>
      </c>
      <c r="R7270" s="22" t="str">
        <f>IFERROR(__xludf.DUMMYFUNCTION("""COMPUTED_VALUE"""),"")</f>
        <v/>
      </c>
    </row>
    <row r="7271">
      <c r="A7271" s="17" t="str">
        <f>IFERROR(__xludf.DUMMYFUNCTION("""COMPUTED_VALUE"""),"")</f>
        <v/>
      </c>
      <c r="B7271" s="17" t="str">
        <f>IFERROR(__xludf.DUMMYFUNCTION("""COMPUTED_VALUE"""),"")</f>
        <v/>
      </c>
      <c r="C7271" s="17" t="str">
        <f>IFERROR(__xludf.DUMMYFUNCTION("""COMPUTED_VALUE"""),"")</f>
        <v/>
      </c>
      <c r="D7271" s="17" t="str">
        <f>IFERROR(__xludf.DUMMYFUNCTION("""COMPUTED_VALUE"""),"")</f>
        <v/>
      </c>
      <c r="E7271" s="17" t="str">
        <f>IFERROR(__xludf.DUMMYFUNCTION("""COMPUTED_VALUE"""),"")</f>
        <v/>
      </c>
      <c r="F7271" s="17" t="str">
        <f>IFERROR(__xludf.DUMMYFUNCTION("""COMPUTED_VALUE"""),"")</f>
        <v/>
      </c>
      <c r="G7271" s="17" t="str">
        <f>IFERROR(__xludf.DUMMYFUNCTION("""COMPUTED_VALUE"""),"")</f>
        <v/>
      </c>
      <c r="H7271" s="17" t="str">
        <f>IFERROR(__xludf.DUMMYFUNCTION("""COMPUTED_VALUE"""),"")</f>
        <v/>
      </c>
      <c r="I7271" s="17" t="str">
        <f>IFERROR(__xludf.DUMMYFUNCTION("""COMPUTED_VALUE"""),"")</f>
        <v/>
      </c>
      <c r="J7271" s="17" t="str">
        <f>IFERROR(__xludf.DUMMYFUNCTION("""COMPUTED_VALUE"""),"")</f>
        <v/>
      </c>
      <c r="K7271" s="17" t="str">
        <f>IFERROR(__xludf.DUMMYFUNCTION("""COMPUTED_VALUE"""),"")</f>
        <v/>
      </c>
      <c r="L7271" s="17" t="str">
        <f>IFERROR(__xludf.DUMMYFUNCTION("""COMPUTED_VALUE"""),"")</f>
        <v/>
      </c>
      <c r="M7271" s="17" t="str">
        <f>IFERROR(__xludf.DUMMYFUNCTION("""COMPUTED_VALUE"""),"")</f>
        <v/>
      </c>
      <c r="N7271" s="17" t="str">
        <f>IFERROR(__xludf.DUMMYFUNCTION("""COMPUTED_VALUE"""),"")</f>
        <v/>
      </c>
      <c r="O7271" s="17" t="str">
        <f>IFERROR(__xludf.DUMMYFUNCTION("""COMPUTED_VALUE"""),"")</f>
        <v/>
      </c>
      <c r="P7271" s="17" t="str">
        <f>IFERROR(__xludf.DUMMYFUNCTION("""COMPUTED_VALUE"""),"")</f>
        <v/>
      </c>
      <c r="Q7271" s="17" t="str">
        <f>IFERROR(__xludf.DUMMYFUNCTION("""COMPUTED_VALUE"""),"")</f>
        <v/>
      </c>
      <c r="R7271" s="17" t="str">
        <f>IFERROR(__xludf.DUMMYFUNCTION("""COMPUTED_VALUE"""),"")</f>
        <v/>
      </c>
    </row>
    <row r="7272">
      <c r="A7272" s="15">
        <f>IFERROR(__xludf.DUMMYFUNCTION("""COMPUTED_VALUE"""),45204.0)</f>
        <v>45204</v>
      </c>
      <c r="B7272" s="16" t="str">
        <f>IFERROR(__xludf.DUMMYFUNCTION("""COMPUTED_VALUE"""),"Santiago Garces Restrepo")</f>
        <v>Santiago Garces Restrepo</v>
      </c>
      <c r="C7272" s="15" t="str">
        <f>IFERROR(__xludf.DUMMYFUNCTION("""COMPUTED_VALUE"""),"CALI")</f>
        <v>CALI</v>
      </c>
      <c r="D7272" s="15" t="str">
        <f>IFERROR(__xludf.DUMMYFUNCTION("""COMPUTED_VALUE"""),"BOGOTÁ")</f>
        <v>BOGOTÁ</v>
      </c>
      <c r="E7272" s="15" t="str">
        <f>IFERROR(__xludf.DUMMYFUNCTION("""COMPUTED_VALUE"""),"Athenas")</f>
        <v>Athenas</v>
      </c>
      <c r="F7272" s="17" t="str">
        <f>IFERROR(__xludf.DUMMYFUNCTION("""COMPUTED_VALUE"""),"CARRERA 98 #16-200 CENTRO COMERCIAL JARDIN PLAZA / BODYTECH - CAFETERIA / BARRIO CIUDAD JARDIN")</f>
        <v>CARRERA 98 #16-200 CENTRO COMERCIAL JARDIN PLAZA / BODYTECH - CAFETERIA / BARRIO CIUDAD JARDIN</v>
      </c>
      <c r="G7272" s="15" t="str">
        <f>IFERROR(__xludf.DUMMYFUNCTION("""COMPUTED_VALUE"""),"JORGE PARRA")</f>
        <v>JORGE PARRA</v>
      </c>
      <c r="H7272" s="16">
        <f>IFERROR(__xludf.DUMMYFUNCTION("""COMPUTED_VALUE"""),15892.0)</f>
        <v>15892</v>
      </c>
      <c r="I7272" s="18" t="str">
        <f>IFERROR(__xludf.DUMMYFUNCTION("""COMPUTED_VALUE"""),"52.5")</f>
        <v>52.5</v>
      </c>
      <c r="J7272" s="18">
        <f>IFERROR(__xludf.DUMMYFUNCTION("""COMPUTED_VALUE"""),55.0)</f>
        <v>55</v>
      </c>
      <c r="K7272" s="18">
        <f>IFERROR(__xludf.DUMMYFUNCTION("""COMPUTED_VALUE"""),45.0)</f>
        <v>45</v>
      </c>
      <c r="L7272" s="17">
        <f>IFERROR(__xludf.DUMMYFUNCTION("""COMPUTED_VALUE"""),3.246801614E9)</f>
        <v>3246801614</v>
      </c>
      <c r="M7272" s="17"/>
      <c r="N7272" s="17"/>
      <c r="O7272" s="17"/>
      <c r="P7272" s="17" t="b">
        <f>IFERROR(__xludf.DUMMYFUNCTION("""COMPUTED_VALUE"""),TRUE)</f>
        <v>1</v>
      </c>
      <c r="Q7272" s="20">
        <f>IFERROR(__xludf.DUMMYFUNCTION("""COMPUTED_VALUE"""),45205.652900381945)</f>
        <v>45205.6529</v>
      </c>
      <c r="R7272" s="22" t="str">
        <f>IFERROR(__xludf.DUMMYFUNCTION("""COMPUTED_VALUE"""),"")</f>
        <v/>
      </c>
    </row>
    <row r="7273">
      <c r="A7273" s="15">
        <f>IFERROR(__xludf.DUMMYFUNCTION("""COMPUTED_VALUE"""),45204.0)</f>
        <v>45204</v>
      </c>
      <c r="B7273" s="16" t="str">
        <f>IFERROR(__xludf.DUMMYFUNCTION("""COMPUTED_VALUE"""),"Santiago Garces Restrepo")</f>
        <v>Santiago Garces Restrepo</v>
      </c>
      <c r="C7273" s="15" t="str">
        <f>IFERROR(__xludf.DUMMYFUNCTION("""COMPUTED_VALUE"""),"TULUA")</f>
        <v>TULUA</v>
      </c>
      <c r="D7273" s="15" t="str">
        <f>IFERROR(__xludf.DUMMYFUNCTION("""COMPUTED_VALUE"""),"BOGOTÁ")</f>
        <v>BOGOTÁ</v>
      </c>
      <c r="E7273" s="15" t="str">
        <f>IFERROR(__xludf.DUMMYFUNCTION("""COMPUTED_VALUE"""),"Evamazzita")</f>
        <v>Evamazzita</v>
      </c>
      <c r="F7273" s="17" t="str">
        <f>IFERROR(__xludf.DUMMYFUNCTION("""COMPUTED_VALUE"""),"MANZANA 17 CASA 5 / BOSQUES DE MARACAIBO")</f>
        <v>MANZANA 17 CASA 5 / BOSQUES DE MARACAIBO</v>
      </c>
      <c r="G7273" s="15" t="str">
        <f>IFERROR(__xludf.DUMMYFUNCTION("""COMPUTED_VALUE"""),"DIANA CAROLINA MOLINA VALENCIA")</f>
        <v>DIANA CAROLINA MOLINA VALENCIA</v>
      </c>
      <c r="H7273" s="16">
        <f>IFERROR(__xludf.DUMMYFUNCTION("""COMPUTED_VALUE"""),15982.0)</f>
        <v>15982</v>
      </c>
      <c r="I7273" s="18">
        <f>IFERROR(__xludf.DUMMYFUNCTION("""COMPUTED_VALUE"""),1.0)</f>
        <v>1</v>
      </c>
      <c r="J7273" s="18">
        <f>IFERROR(__xludf.DUMMYFUNCTION("""COMPUTED_VALUE"""),1.0)</f>
        <v>1</v>
      </c>
      <c r="K7273" s="18">
        <f>IFERROR(__xludf.DUMMYFUNCTION("""COMPUTED_VALUE"""),1.0)</f>
        <v>1</v>
      </c>
      <c r="L7273" s="17" t="str">
        <f>IFERROR(__xludf.DUMMYFUNCTION("""COMPUTED_VALUE"""),"3104417918 3186856539")</f>
        <v>3104417918 3186856539</v>
      </c>
      <c r="M7273" s="17"/>
      <c r="N7273" s="17"/>
      <c r="O7273" s="17"/>
      <c r="P7273" s="17" t="b">
        <f>IFERROR(__xludf.DUMMYFUNCTION("""COMPUTED_VALUE"""),TRUE)</f>
        <v>1</v>
      </c>
      <c r="Q7273" s="20">
        <f>IFERROR(__xludf.DUMMYFUNCTION("""COMPUTED_VALUE"""),45205.65260113426)</f>
        <v>45205.6526</v>
      </c>
      <c r="R7273" s="22" t="str">
        <f>IFERROR(__xludf.DUMMYFUNCTION("""COMPUTED_VALUE"""),"")</f>
        <v/>
      </c>
    </row>
    <row r="7274">
      <c r="A7274" s="17" t="str">
        <f>IFERROR(__xludf.DUMMYFUNCTION("""COMPUTED_VALUE"""),"")</f>
        <v/>
      </c>
      <c r="B7274" s="17" t="str">
        <f>IFERROR(__xludf.DUMMYFUNCTION("""COMPUTED_VALUE"""),"")</f>
        <v/>
      </c>
      <c r="C7274" s="17" t="str">
        <f>IFERROR(__xludf.DUMMYFUNCTION("""COMPUTED_VALUE"""),"")</f>
        <v/>
      </c>
      <c r="D7274" s="17" t="str">
        <f>IFERROR(__xludf.DUMMYFUNCTION("""COMPUTED_VALUE"""),"")</f>
        <v/>
      </c>
      <c r="E7274" s="17" t="str">
        <f>IFERROR(__xludf.DUMMYFUNCTION("""COMPUTED_VALUE"""),"")</f>
        <v/>
      </c>
      <c r="F7274" s="17" t="str">
        <f>IFERROR(__xludf.DUMMYFUNCTION("""COMPUTED_VALUE"""),"")</f>
        <v/>
      </c>
      <c r="G7274" s="17" t="str">
        <f>IFERROR(__xludf.DUMMYFUNCTION("""COMPUTED_VALUE"""),"")</f>
        <v/>
      </c>
      <c r="H7274" s="17" t="str">
        <f>IFERROR(__xludf.DUMMYFUNCTION("""COMPUTED_VALUE"""),"")</f>
        <v/>
      </c>
      <c r="I7274" s="17" t="str">
        <f>IFERROR(__xludf.DUMMYFUNCTION("""COMPUTED_VALUE"""),"")</f>
        <v/>
      </c>
      <c r="J7274" s="17" t="str">
        <f>IFERROR(__xludf.DUMMYFUNCTION("""COMPUTED_VALUE"""),"")</f>
        <v/>
      </c>
      <c r="K7274" s="17" t="str">
        <f>IFERROR(__xludf.DUMMYFUNCTION("""COMPUTED_VALUE"""),"")</f>
        <v/>
      </c>
      <c r="L7274" s="17" t="str">
        <f>IFERROR(__xludf.DUMMYFUNCTION("""COMPUTED_VALUE"""),"")</f>
        <v/>
      </c>
      <c r="M7274" s="17" t="str">
        <f>IFERROR(__xludf.DUMMYFUNCTION("""COMPUTED_VALUE"""),"")</f>
        <v/>
      </c>
      <c r="N7274" s="17" t="str">
        <f>IFERROR(__xludf.DUMMYFUNCTION("""COMPUTED_VALUE"""),"")</f>
        <v/>
      </c>
      <c r="O7274" s="17" t="str">
        <f>IFERROR(__xludf.DUMMYFUNCTION("""COMPUTED_VALUE"""),"")</f>
        <v/>
      </c>
      <c r="P7274" s="17" t="str">
        <f>IFERROR(__xludf.DUMMYFUNCTION("""COMPUTED_VALUE"""),"")</f>
        <v/>
      </c>
      <c r="Q7274" s="17" t="str">
        <f>IFERROR(__xludf.DUMMYFUNCTION("""COMPUTED_VALUE"""),"")</f>
        <v/>
      </c>
      <c r="R7274" s="17" t="str">
        <f>IFERROR(__xludf.DUMMYFUNCTION("""COMPUTED_VALUE"""),"")</f>
        <v/>
      </c>
    </row>
    <row r="7275">
      <c r="A7275" s="15">
        <f>IFERROR(__xludf.DUMMYFUNCTION("""COMPUTED_VALUE"""),45205.0)</f>
        <v>45205</v>
      </c>
      <c r="B7275" s="17"/>
      <c r="C7275" s="15" t="str">
        <f>IFERROR(__xludf.DUMMYFUNCTION("""COMPUTED_VALUE"""),"CÚCUTA")</f>
        <v>CÚCUTA</v>
      </c>
      <c r="D7275" s="15" t="str">
        <f>IFERROR(__xludf.DUMMYFUNCTION("""COMPUTED_VALUE"""),"BOGOTÁ")</f>
        <v>BOGOTÁ</v>
      </c>
      <c r="E7275" s="15" t="str">
        <f>IFERROR(__xludf.DUMMYFUNCTION("""COMPUTED_VALUE"""),"Asociacion Agropecuaria Juana Maria")</f>
        <v>Asociacion Agropecuaria Juana Maria</v>
      </c>
      <c r="F7275" s="17" t="str">
        <f>IFERROR(__xludf.DUMMYFUNCTION("""COMPUTED_VALUE"""),"AV. 2E # 15 A -17   PISTACHO FIT MARKET BARRIO CAOBOS")</f>
        <v>AV. 2E # 15 A -17   PISTACHO FIT MARKET BARRIO CAOBOS</v>
      </c>
      <c r="G7275" s="15" t="str">
        <f>IFERROR(__xludf.DUMMYFUNCTION("""COMPUTED_VALUE"""),"DACCY KARINA LOPEZ")</f>
        <v>DACCY KARINA LOPEZ</v>
      </c>
      <c r="H7275" s="16">
        <f>IFERROR(__xludf.DUMMYFUNCTION("""COMPUTED_VALUE"""),15793.0)</f>
        <v>15793</v>
      </c>
      <c r="I7275" s="18">
        <f>IFERROR(__xludf.DUMMYFUNCTION("""COMPUTED_VALUE"""),21.0)</f>
        <v>21</v>
      </c>
      <c r="J7275" s="18">
        <f>IFERROR(__xludf.DUMMYFUNCTION("""COMPUTED_VALUE"""),37.0)</f>
        <v>37</v>
      </c>
      <c r="K7275" s="18">
        <f>IFERROR(__xludf.DUMMYFUNCTION("""COMPUTED_VALUE"""),30.0)</f>
        <v>30</v>
      </c>
      <c r="L7275" s="17">
        <f>IFERROR(__xludf.DUMMYFUNCTION("""COMPUTED_VALUE"""),3.208615379E9)</f>
        <v>3208615379</v>
      </c>
      <c r="M7275" s="17"/>
      <c r="N7275" s="17"/>
      <c r="O7275" s="17"/>
      <c r="P7275" s="17" t="b">
        <f>IFERROR(__xludf.DUMMYFUNCTION("""COMPUTED_VALUE"""),TRUE)</f>
        <v>1</v>
      </c>
      <c r="Q7275" s="20">
        <f>IFERROR(__xludf.DUMMYFUNCTION("""COMPUTED_VALUE"""),45205.632578668985)</f>
        <v>45205.63258</v>
      </c>
      <c r="R7275" s="21" t="str">
        <f>IFERROR(__xludf.DUMMYFUNCTION("""COMPUTED_VALUE"""),"https://drive.google.com/file/d/1TiiFoKxPLuHS0l1uPmL6Ap93vHBuNYVt/view?usp=drivesdk")</f>
        <v>https://drive.google.com/file/d/1TiiFoKxPLuHS0l1uPmL6Ap93vHBuNYVt/view?usp=drivesdk</v>
      </c>
    </row>
    <row r="7276">
      <c r="A7276" s="17" t="str">
        <f>IFERROR(__xludf.DUMMYFUNCTION("""COMPUTED_VALUE"""),"")</f>
        <v/>
      </c>
      <c r="B7276" s="17" t="str">
        <f>IFERROR(__xludf.DUMMYFUNCTION("""COMPUTED_VALUE"""),"")</f>
        <v/>
      </c>
      <c r="C7276" s="17" t="str">
        <f>IFERROR(__xludf.DUMMYFUNCTION("""COMPUTED_VALUE"""),"")</f>
        <v/>
      </c>
      <c r="D7276" s="17" t="str">
        <f>IFERROR(__xludf.DUMMYFUNCTION("""COMPUTED_VALUE"""),"")</f>
        <v/>
      </c>
      <c r="E7276" s="17" t="str">
        <f>IFERROR(__xludf.DUMMYFUNCTION("""COMPUTED_VALUE"""),"")</f>
        <v/>
      </c>
      <c r="F7276" s="17" t="str">
        <f>IFERROR(__xludf.DUMMYFUNCTION("""COMPUTED_VALUE"""),"")</f>
        <v/>
      </c>
      <c r="G7276" s="17" t="str">
        <f>IFERROR(__xludf.DUMMYFUNCTION("""COMPUTED_VALUE"""),"")</f>
        <v/>
      </c>
      <c r="H7276" s="17" t="str">
        <f>IFERROR(__xludf.DUMMYFUNCTION("""COMPUTED_VALUE"""),"")</f>
        <v/>
      </c>
      <c r="I7276" s="17" t="str">
        <f>IFERROR(__xludf.DUMMYFUNCTION("""COMPUTED_VALUE"""),"")</f>
        <v/>
      </c>
      <c r="J7276" s="17" t="str">
        <f>IFERROR(__xludf.DUMMYFUNCTION("""COMPUTED_VALUE"""),"")</f>
        <v/>
      </c>
      <c r="K7276" s="17" t="str">
        <f>IFERROR(__xludf.DUMMYFUNCTION("""COMPUTED_VALUE"""),"")</f>
        <v/>
      </c>
      <c r="L7276" s="17" t="str">
        <f>IFERROR(__xludf.DUMMYFUNCTION("""COMPUTED_VALUE"""),"")</f>
        <v/>
      </c>
      <c r="M7276" s="17" t="str">
        <f>IFERROR(__xludf.DUMMYFUNCTION("""COMPUTED_VALUE"""),"")</f>
        <v/>
      </c>
      <c r="N7276" s="17" t="str">
        <f>IFERROR(__xludf.DUMMYFUNCTION("""COMPUTED_VALUE"""),"")</f>
        <v/>
      </c>
      <c r="O7276" s="17" t="str">
        <f>IFERROR(__xludf.DUMMYFUNCTION("""COMPUTED_VALUE"""),"")</f>
        <v/>
      </c>
      <c r="P7276" s="17" t="str">
        <f>IFERROR(__xludf.DUMMYFUNCTION("""COMPUTED_VALUE"""),"")</f>
        <v/>
      </c>
      <c r="Q7276" s="17" t="str">
        <f>IFERROR(__xludf.DUMMYFUNCTION("""COMPUTED_VALUE"""),"")</f>
        <v/>
      </c>
      <c r="R7276" s="17" t="str">
        <f>IFERROR(__xludf.DUMMYFUNCTION("""COMPUTED_VALUE"""),"")</f>
        <v/>
      </c>
    </row>
    <row r="7277">
      <c r="A7277" s="15">
        <f>IFERROR(__xludf.DUMMYFUNCTION("""COMPUTED_VALUE"""),45205.0)</f>
        <v>45205</v>
      </c>
      <c r="B7277" s="16" t="str">
        <f>IFERROR(__xludf.DUMMYFUNCTION("""COMPUTED_VALUE"""),"Daniel José sandoval gonzalez")</f>
        <v>Daniel José sandoval gonzalez</v>
      </c>
      <c r="C7277" s="15" t="str">
        <f>IFERROR(__xludf.DUMMYFUNCTION("""COMPUTED_VALUE"""),"BARRANQUILLA")</f>
        <v>BARRANQUILLA</v>
      </c>
      <c r="D7277" s="15" t="str">
        <f>IFERROR(__xludf.DUMMYFUNCTION("""COMPUTED_VALUE"""),"MEDELLÍN")</f>
        <v>MEDELLÍN</v>
      </c>
      <c r="E7277" s="15" t="str">
        <f>IFERROR(__xludf.DUMMYFUNCTION("""COMPUTED_VALUE"""),"Baby Chef")</f>
        <v>Baby Chef</v>
      </c>
      <c r="F7277" s="17" t="str">
        <f>IFERROR(__xludf.DUMMYFUNCTION("""COMPUTED_VALUE"""),"calle79b#42-494 apto 704 jardín plaza 2 Barrio ciudad jardín  /  calle79b#42-494 apto 704 jardín plaza 2 Barrio ciudad jardín  /  calle79b#42-494 apto 704 jardín plaza 2 Barrio ciudad jardín")</f>
        <v>calle79b#42-494 apto 704 jardín plaza 2 Barrio ciudad jardín  /  calle79b#42-494 apto 704 jardín plaza 2 Barrio ciudad jardín  /  calle79b#42-494 apto 704 jardín plaza 2 Barrio ciudad jardín</v>
      </c>
      <c r="G7277" s="15" t="str">
        <f>IFERROR(__xludf.DUMMYFUNCTION("""COMPUTED_VALUE"""),"Elmis Figueroa")</f>
        <v>Elmis Figueroa</v>
      </c>
      <c r="H7277" s="16">
        <f>IFERROR(__xludf.DUMMYFUNCTION("""COMPUTED_VALUE"""),15995.0)</f>
        <v>15995</v>
      </c>
      <c r="I7277" s="18">
        <f>IFERROR(__xludf.DUMMYFUNCTION("""COMPUTED_VALUE"""),9.0)</f>
        <v>9</v>
      </c>
      <c r="J7277" s="18">
        <f>IFERROR(__xludf.DUMMYFUNCTION("""COMPUTED_VALUE"""),23.0)</f>
        <v>23</v>
      </c>
      <c r="K7277" s="18">
        <f>IFERROR(__xludf.DUMMYFUNCTION("""COMPUTED_VALUE"""),28.0)</f>
        <v>28</v>
      </c>
      <c r="L7277" s="17">
        <f>IFERROR(__xludf.DUMMYFUNCTION("""COMPUTED_VALUE"""),3.135429179E9)</f>
        <v>3135429179</v>
      </c>
      <c r="M7277" s="17"/>
      <c r="N7277" s="17"/>
      <c r="O7277" s="17"/>
      <c r="P7277" s="17" t="b">
        <f>IFERROR(__xludf.DUMMYFUNCTION("""COMPUTED_VALUE"""),TRUE)</f>
        <v>1</v>
      </c>
      <c r="Q7277" s="20">
        <f>IFERROR(__xludf.DUMMYFUNCTION("""COMPUTED_VALUE"""),45208.58044847222)</f>
        <v>45208.58045</v>
      </c>
      <c r="R7277" s="21" t="str">
        <f>IFERROR(__xludf.DUMMYFUNCTION("""COMPUTED_VALUE"""),"https://drive.google.com/file/d/1BndpjhW7SuOOadTchFXPRwjET84Llrq6/view?usp=drivesdk")</f>
        <v>https://drive.google.com/file/d/1BndpjhW7SuOOadTchFXPRwjET84Llrq6/view?usp=drivesdk</v>
      </c>
    </row>
    <row r="7278">
      <c r="A7278" s="15">
        <f>IFERROR(__xludf.DUMMYFUNCTION("""COMPUTED_VALUE"""),45205.0)</f>
        <v>45205</v>
      </c>
      <c r="B7278" s="16" t="str">
        <f>IFERROR(__xludf.DUMMYFUNCTION("""COMPUTED_VALUE"""),"Daniel José sandoval gonzalez")</f>
        <v>Daniel José sandoval gonzalez</v>
      </c>
      <c r="C7278" s="15" t="str">
        <f>IFERROR(__xludf.DUMMYFUNCTION("""COMPUTED_VALUE"""),"BARRANQUILLA")</f>
        <v>BARRANQUILLA</v>
      </c>
      <c r="D7278" s="15" t="str">
        <f>IFERROR(__xludf.DUMMYFUNCTION("""COMPUTED_VALUE"""),"MEDELLÍN")</f>
        <v>MEDELLÍN</v>
      </c>
      <c r="E7278" s="15" t="str">
        <f>IFERROR(__xludf.DUMMYFUNCTION("""COMPUTED_VALUE"""),"Baby Chef")</f>
        <v>Baby Chef</v>
      </c>
      <c r="F7278" s="17" t="str">
        <f>IFERROR(__xludf.DUMMYFUNCTION("""COMPUTED_VALUE"""),"carrera 18 #26-118, Barrio Las Nieves Casa esquina Barrio Las Nieves / carrera 18 #26-118, Barrio Las Nieves Casa esquina Barrio Las Nieves / carrera 18 #26-118, Barrio Las Nieves Casa esquina Barrio Las Nieves")</f>
        <v>carrera 18 #26-118, Barrio Las Nieves Casa esquina Barrio Las Nieves / carrera 18 #26-118, Barrio Las Nieves Casa esquina Barrio Las Nieves / carrera 18 #26-118, Barrio Las Nieves Casa esquina Barrio Las Nieves</v>
      </c>
      <c r="G7278" s="15" t="str">
        <f>IFERROR(__xludf.DUMMYFUNCTION("""COMPUTED_VALUE"""),"Karen Madrid")</f>
        <v>Karen Madrid</v>
      </c>
      <c r="H7278" s="16">
        <f>IFERROR(__xludf.DUMMYFUNCTION("""COMPUTED_VALUE"""),15996.0)</f>
        <v>15996</v>
      </c>
      <c r="I7278" s="18">
        <f>IFERROR(__xludf.DUMMYFUNCTION("""COMPUTED_VALUE"""),7.0)</f>
        <v>7</v>
      </c>
      <c r="J7278" s="18">
        <f>IFERROR(__xludf.DUMMYFUNCTION("""COMPUTED_VALUE"""),22.0)</f>
        <v>22</v>
      </c>
      <c r="K7278" s="18">
        <f>IFERROR(__xludf.DUMMYFUNCTION("""COMPUTED_VALUE"""),27.0)</f>
        <v>27</v>
      </c>
      <c r="L7278" s="17">
        <f>IFERROR(__xludf.DUMMYFUNCTION("""COMPUTED_VALUE"""),3.00735457E9)</f>
        <v>3007354570</v>
      </c>
      <c r="M7278" s="17"/>
      <c r="N7278" s="17"/>
      <c r="O7278" s="17"/>
      <c r="P7278" s="17" t="b">
        <f>IFERROR(__xludf.DUMMYFUNCTION("""COMPUTED_VALUE"""),FALSE)</f>
        <v>0</v>
      </c>
      <c r="Q7278" s="20" t="str">
        <f>IFERROR(__xludf.DUMMYFUNCTION("""COMPUTED_VALUE"""),"")</f>
        <v/>
      </c>
      <c r="R7278" s="21" t="str">
        <f>IFERROR(__xludf.DUMMYFUNCTION("""COMPUTED_VALUE"""),"https://drive.google.com/file/d/1HtsqaXj8Uu1ghAvuayqfMDch0pFXbaqH/view?usp=drivesdk")</f>
        <v>https://drive.google.com/file/d/1HtsqaXj8Uu1ghAvuayqfMDch0pFXbaqH/view?usp=drivesdk</v>
      </c>
    </row>
    <row r="7279">
      <c r="A7279" s="15">
        <f>IFERROR(__xludf.DUMMYFUNCTION("""COMPUTED_VALUE"""),45205.0)</f>
        <v>45205</v>
      </c>
      <c r="B7279" s="16" t="str">
        <f>IFERROR(__xludf.DUMMYFUNCTION("""COMPUTED_VALUE"""),"Daniel José sandoval gonzalez")</f>
        <v>Daniel José sandoval gonzalez</v>
      </c>
      <c r="C7279" s="15" t="str">
        <f>IFERROR(__xludf.DUMMYFUNCTION("""COMPUTED_VALUE"""),"BARRANQUILLA")</f>
        <v>BARRANQUILLA</v>
      </c>
      <c r="D7279" s="15" t="str">
        <f>IFERROR(__xludf.DUMMYFUNCTION("""COMPUTED_VALUE"""),"MEDELLÍN")</f>
        <v>MEDELLÍN</v>
      </c>
      <c r="E7279" s="15" t="str">
        <f>IFERROR(__xludf.DUMMYFUNCTION("""COMPUTED_VALUE"""),"Rambla")</f>
        <v>Rambla</v>
      </c>
      <c r="F7279" s="17" t="str">
        <f>IFERROR(__xludf.DUMMYFUNCTION("""COMPUTED_VALUE"""),"CRA 53 80 284 LC 8 / - / -")</f>
        <v>CRA 53 80 284 LC 8 / - / -</v>
      </c>
      <c r="G7279" s="15" t="str">
        <f>IFERROR(__xludf.DUMMYFUNCTION("""COMPUTED_VALUE"""),"Corpofit")</f>
        <v>Corpofit</v>
      </c>
      <c r="H7279" s="16">
        <f>IFERROR(__xludf.DUMMYFUNCTION("""COMPUTED_VALUE"""),15999.0)</f>
        <v>15999</v>
      </c>
      <c r="I7279" s="18">
        <f>IFERROR(__xludf.DUMMYFUNCTION("""COMPUTED_VALUE"""),26.0)</f>
        <v>26</v>
      </c>
      <c r="J7279" s="18">
        <f>IFERROR(__xludf.DUMMYFUNCTION("""COMPUTED_VALUE"""),24.0)</f>
        <v>24</v>
      </c>
      <c r="K7279" s="18">
        <f>IFERROR(__xludf.DUMMYFUNCTION("""COMPUTED_VALUE"""),24.0)</f>
        <v>24</v>
      </c>
      <c r="L7279" s="17">
        <f>IFERROR(__xludf.DUMMYFUNCTION("""COMPUTED_VALUE"""),3.162889776E9)</f>
        <v>3162889776</v>
      </c>
      <c r="M7279" s="17"/>
      <c r="N7279" s="17"/>
      <c r="O7279" s="17"/>
      <c r="P7279" s="17" t="b">
        <f>IFERROR(__xludf.DUMMYFUNCTION("""COMPUTED_VALUE"""),FALSE)</f>
        <v>0</v>
      </c>
      <c r="Q7279" s="20" t="str">
        <f>IFERROR(__xludf.DUMMYFUNCTION("""COMPUTED_VALUE"""),"")</f>
        <v/>
      </c>
      <c r="R7279" s="21" t="str">
        <f>IFERROR(__xludf.DUMMYFUNCTION("""COMPUTED_VALUE"""),"https://drive.google.com/file/d/1u9DcxtWheqUtt81vxQAeblkYbfuYvsIq/view?usp=drivesdk")</f>
        <v>https://drive.google.com/file/d/1u9DcxtWheqUtt81vxQAeblkYbfuYvsIq/view?usp=drivesdk</v>
      </c>
    </row>
    <row r="7280">
      <c r="A7280" s="15">
        <f>IFERROR(__xludf.DUMMYFUNCTION("""COMPUTED_VALUE"""),45205.0)</f>
        <v>45205</v>
      </c>
      <c r="B7280" s="16" t="str">
        <f>IFERROR(__xludf.DUMMYFUNCTION("""COMPUTED_VALUE"""),"Daniel José sandoval gonzalez")</f>
        <v>Daniel José sandoval gonzalez</v>
      </c>
      <c r="C7280" s="15" t="str">
        <f>IFERROR(__xludf.DUMMYFUNCTION("""COMPUTED_VALUE"""),"BARRANQUILLA")</f>
        <v>BARRANQUILLA</v>
      </c>
      <c r="D7280" s="15" t="str">
        <f>IFERROR(__xludf.DUMMYFUNCTION("""COMPUTED_VALUE"""),"MEDELLÍN")</f>
        <v>MEDELLÍN</v>
      </c>
      <c r="E7280" s="15" t="str">
        <f>IFERROR(__xludf.DUMMYFUNCTION("""COMPUTED_VALUE"""),"Todo Bufala")</f>
        <v>Todo Bufala</v>
      </c>
      <c r="F7280" s="17" t="str">
        <f>IFERROR(__xludf.DUMMYFUNCTION("""COMPUTED_VALUE"""),"cra 43 N 84 - 74 / Centro nutricional local 3")</f>
        <v>cra 43 N 84 - 74 / Centro nutricional local 3</v>
      </c>
      <c r="G7280" s="15" t="str">
        <f>IFERROR(__xludf.DUMMYFUNCTION("""COMPUTED_VALUE"""),"Eliana Sarmiento")</f>
        <v>Eliana Sarmiento</v>
      </c>
      <c r="H7280" s="16">
        <f>IFERROR(__xludf.DUMMYFUNCTION("""COMPUTED_VALUE"""),15784.0)</f>
        <v>15784</v>
      </c>
      <c r="I7280" s="18">
        <f>IFERROR(__xludf.DUMMYFUNCTION("""COMPUTED_VALUE"""),20.0)</f>
        <v>20</v>
      </c>
      <c r="J7280" s="18">
        <f>IFERROR(__xludf.DUMMYFUNCTION("""COMPUTED_VALUE"""),15.0)</f>
        <v>15</v>
      </c>
      <c r="K7280" s="18">
        <f>IFERROR(__xludf.DUMMYFUNCTION("""COMPUTED_VALUE"""),20.0)</f>
        <v>20</v>
      </c>
      <c r="L7280" s="17">
        <f>IFERROR(__xludf.DUMMYFUNCTION("""COMPUTED_VALUE"""),3.226082052E9)</f>
        <v>3226082052</v>
      </c>
      <c r="M7280" s="17"/>
      <c r="N7280" s="17"/>
      <c r="O7280" s="17"/>
      <c r="P7280" s="17" t="b">
        <f>IFERROR(__xludf.DUMMYFUNCTION("""COMPUTED_VALUE"""),TRUE)</f>
        <v>1</v>
      </c>
      <c r="Q7280" s="20">
        <f>IFERROR(__xludf.DUMMYFUNCTION("""COMPUTED_VALUE"""),45205.6578387037)</f>
        <v>45205.65784</v>
      </c>
      <c r="R7280" s="21" t="str">
        <f>IFERROR(__xludf.DUMMYFUNCTION("""COMPUTED_VALUE"""),"https://drive.google.com/file/d/1Pkb3-D2n05LEsLzlzLUygpaHRQUaJKel/view?usp=drivesdk")</f>
        <v>https://drive.google.com/file/d/1Pkb3-D2n05LEsLzlzLUygpaHRQUaJKel/view?usp=drivesdk</v>
      </c>
    </row>
    <row r="7281">
      <c r="A7281" s="15">
        <f>IFERROR(__xludf.DUMMYFUNCTION("""COMPUTED_VALUE"""),45205.0)</f>
        <v>45205</v>
      </c>
      <c r="B7281" s="16" t="str">
        <f>IFERROR(__xludf.DUMMYFUNCTION("""COMPUTED_VALUE"""),"Daniel José sandoval gonzalez")</f>
        <v>Daniel José sandoval gonzalez</v>
      </c>
      <c r="C7281" s="15" t="str">
        <f>IFERROR(__xludf.DUMMYFUNCTION("""COMPUTED_VALUE"""),"BARRANQUILLA")</f>
        <v>BARRANQUILLA</v>
      </c>
      <c r="D7281" s="15" t="str">
        <f>IFERROR(__xludf.DUMMYFUNCTION("""COMPUTED_VALUE"""),"MEDELLÍN")</f>
        <v>MEDELLÍN</v>
      </c>
      <c r="E7281" s="15" t="str">
        <f>IFERROR(__xludf.DUMMYFUNCTION("""COMPUTED_VALUE"""),"Videobase")</f>
        <v>Videobase</v>
      </c>
      <c r="F7281" s="17" t="str">
        <f>IFERROR(__xludf.DUMMYFUNCTION("""COMPUTED_VALUE"""),"Calle 30 #21-47 / Empresa Industrias Cannon De Colombia / No tenemos")</f>
        <v>Calle 30 #21-47 / Empresa Industrias Cannon De Colombia / No tenemos</v>
      </c>
      <c r="G7281" s="15" t="str">
        <f>IFERROR(__xludf.DUMMYFUNCTION("""COMPUTED_VALUE"""),"Alfonso Cachán Ricardo")</f>
        <v>Alfonso Cachán Ricardo</v>
      </c>
      <c r="H7281" s="16">
        <f>IFERROR(__xludf.DUMMYFUNCTION("""COMPUTED_VALUE"""),16003.0)</f>
        <v>16003</v>
      </c>
      <c r="I7281" s="18">
        <f>IFERROR(__xludf.DUMMYFUNCTION("""COMPUTED_VALUE"""),4.0)</f>
        <v>4</v>
      </c>
      <c r="J7281" s="18">
        <f>IFERROR(__xludf.DUMMYFUNCTION("""COMPUTED_VALUE"""),22.0)</f>
        <v>22</v>
      </c>
      <c r="K7281" s="18">
        <f>IFERROR(__xludf.DUMMYFUNCTION("""COMPUTED_VALUE"""),18.0)</f>
        <v>18</v>
      </c>
      <c r="L7281" s="17">
        <f>IFERROR(__xludf.DUMMYFUNCTION("""COMPUTED_VALUE"""),3.106172063E9)</f>
        <v>3106172063</v>
      </c>
      <c r="M7281" s="17"/>
      <c r="N7281" s="17"/>
      <c r="O7281" s="17"/>
      <c r="P7281" s="17" t="b">
        <f>IFERROR(__xludf.DUMMYFUNCTION("""COMPUTED_VALUE"""),TRUE)</f>
        <v>1</v>
      </c>
      <c r="Q7281" s="20">
        <f>IFERROR(__xludf.DUMMYFUNCTION("""COMPUTED_VALUE"""),45205.65466637732)</f>
        <v>45205.65467</v>
      </c>
      <c r="R7281" s="21" t="str">
        <f>IFERROR(__xludf.DUMMYFUNCTION("""COMPUTED_VALUE"""),"https://drive.google.com/file/d/1GnaSg9DqsEsGOsLJSmCU1ZZBZ0tEQ6Mm/view?usp=drivesdk")</f>
        <v>https://drive.google.com/file/d/1GnaSg9DqsEsGOsLJSmCU1ZZBZ0tEQ6Mm/view?usp=drivesdk</v>
      </c>
    </row>
    <row r="7282">
      <c r="A7282" s="15">
        <f>IFERROR(__xludf.DUMMYFUNCTION("""COMPUTED_VALUE"""),45205.0)</f>
        <v>45205</v>
      </c>
      <c r="B7282" s="16" t="str">
        <f>IFERROR(__xludf.DUMMYFUNCTION("""COMPUTED_VALUE"""),"Daniel José sandoval gonzalez")</f>
        <v>Daniel José sandoval gonzalez</v>
      </c>
      <c r="C7282" s="15" t="str">
        <f>IFERROR(__xludf.DUMMYFUNCTION("""COMPUTED_VALUE"""),"BARRANQUILLA")</f>
        <v>BARRANQUILLA</v>
      </c>
      <c r="D7282" s="15" t="str">
        <f>IFERROR(__xludf.DUMMYFUNCTION("""COMPUTED_VALUE"""),"MEDELLÍN")</f>
        <v>MEDELLÍN</v>
      </c>
      <c r="E7282" s="15" t="str">
        <f>IFERROR(__xludf.DUMMYFUNCTION("""COMPUTED_VALUE"""),"Videobase")</f>
        <v>Videobase</v>
      </c>
      <c r="F7282" s="17" t="str">
        <f>IFERROR(__xludf.DUMMYFUNCTION("""COMPUTED_VALUE"""),"Cra 57 No 79-199 Edificio Ferreti / Empresa Granja Todofierro Ltda / no tenemos")</f>
        <v>Cra 57 No 79-199 Edificio Ferreti / Empresa Granja Todofierro Ltda / no tenemos</v>
      </c>
      <c r="G7282" s="15" t="str">
        <f>IFERROR(__xludf.DUMMYFUNCTION("""COMPUTED_VALUE"""),"Carlos Escrib Saieh")</f>
        <v>Carlos Escrib Saieh</v>
      </c>
      <c r="H7282" s="16">
        <f>IFERROR(__xludf.DUMMYFUNCTION("""COMPUTED_VALUE"""),16002.0)</f>
        <v>16002</v>
      </c>
      <c r="I7282" s="18">
        <f>IFERROR(__xludf.DUMMYFUNCTION("""COMPUTED_VALUE"""),4.0)</f>
        <v>4</v>
      </c>
      <c r="J7282" s="18">
        <f>IFERROR(__xludf.DUMMYFUNCTION("""COMPUTED_VALUE"""),22.0)</f>
        <v>22</v>
      </c>
      <c r="K7282" s="18">
        <f>IFERROR(__xludf.DUMMYFUNCTION("""COMPUTED_VALUE"""),18.0)</f>
        <v>18</v>
      </c>
      <c r="L7282" s="17">
        <f>IFERROR(__xludf.DUMMYFUNCTION("""COMPUTED_VALUE"""),3.135097928E9)</f>
        <v>3135097928</v>
      </c>
      <c r="M7282" s="17"/>
      <c r="N7282" s="17"/>
      <c r="O7282" s="17"/>
      <c r="P7282" s="17" t="b">
        <f>IFERROR(__xludf.DUMMYFUNCTION("""COMPUTED_VALUE"""),TRUE)</f>
        <v>1</v>
      </c>
      <c r="Q7282" s="20">
        <f>IFERROR(__xludf.DUMMYFUNCTION("""COMPUTED_VALUE"""),45205.65512325232)</f>
        <v>45205.65512</v>
      </c>
      <c r="R7282" s="21" t="str">
        <f>IFERROR(__xludf.DUMMYFUNCTION("""COMPUTED_VALUE"""),"https://drive.google.com/file/d/15eolGZExsPXiD86qQFUdNxYwFOlOisaV/view?usp=drivesdk")</f>
        <v>https://drive.google.com/file/d/15eolGZExsPXiD86qQFUdNxYwFOlOisaV/view?usp=drivesdk</v>
      </c>
    </row>
    <row r="7283">
      <c r="A7283" s="15">
        <f>IFERROR(__xludf.DUMMYFUNCTION("""COMPUTED_VALUE"""),45205.0)</f>
        <v>45205</v>
      </c>
      <c r="B7283" s="16" t="str">
        <f>IFERROR(__xludf.DUMMYFUNCTION("""COMPUTED_VALUE"""),"Daniel José sandoval gonzalez")</f>
        <v>Daniel José sandoval gonzalez</v>
      </c>
      <c r="C7283" s="15" t="str">
        <f>IFERROR(__xludf.DUMMYFUNCTION("""COMPUTED_VALUE"""),"MEDELLÍN")</f>
        <v>MEDELLÍN</v>
      </c>
      <c r="D7283" s="15" t="str">
        <f>IFERROR(__xludf.DUMMYFUNCTION("""COMPUTED_VALUE"""),"BOGOTÁ")</f>
        <v>BOGOTÁ</v>
      </c>
      <c r="E7283" s="15" t="str">
        <f>IFERROR(__xludf.DUMMYFUNCTION("""COMPUTED_VALUE"""),"Viiva Fermentados")</f>
        <v>Viiva Fermentados</v>
      </c>
      <c r="F7283" s="17" t="str">
        <f>IFERROR(__xludf.DUMMYFUNCTION("""COMPUTED_VALUE"""),"Calle 30A #77-27 / piso 3 / belen parque")</f>
        <v>Calle 30A #77-27 / piso 3 / belen parque</v>
      </c>
      <c r="G7283" s="15" t="str">
        <f>IFERROR(__xludf.DUMMYFUNCTION("""COMPUTED_VALUE"""),"Diana Ximena Arias")</f>
        <v>Diana Ximena Arias</v>
      </c>
      <c r="H7283" s="16">
        <f>IFERROR(__xludf.DUMMYFUNCTION("""COMPUTED_VALUE"""),15957.0)</f>
        <v>15957</v>
      </c>
      <c r="I7283" s="18">
        <f>IFERROR(__xludf.DUMMYFUNCTION("""COMPUTED_VALUE"""),27.0)</f>
        <v>27</v>
      </c>
      <c r="J7283" s="18">
        <f>IFERROR(__xludf.DUMMYFUNCTION("""COMPUTED_VALUE"""),18.0)</f>
        <v>18</v>
      </c>
      <c r="K7283" s="18">
        <f>IFERROR(__xludf.DUMMYFUNCTION("""COMPUTED_VALUE"""),18.0)</f>
        <v>18</v>
      </c>
      <c r="L7283" s="17">
        <f>IFERROR(__xludf.DUMMYFUNCTION("""COMPUTED_VALUE"""),3.116451151E9)</f>
        <v>3116451151</v>
      </c>
      <c r="M7283" s="17"/>
      <c r="N7283" s="17"/>
      <c r="O7283" s="17"/>
      <c r="P7283" s="17" t="b">
        <f>IFERROR(__xludf.DUMMYFUNCTION("""COMPUTED_VALUE"""),TRUE)</f>
        <v>1</v>
      </c>
      <c r="Q7283" s="20">
        <f>IFERROR(__xludf.DUMMYFUNCTION("""COMPUTED_VALUE"""),45205.65220135417)</f>
        <v>45205.6522</v>
      </c>
      <c r="R7283" s="21" t="str">
        <f>IFERROR(__xludf.DUMMYFUNCTION("""COMPUTED_VALUE"""),"https://drive.google.com/file/d/1agk44gJhP0_lvlmNxbHEpNo8mduDiAaK/view?usp=drivesdk")</f>
        <v>https://drive.google.com/file/d/1agk44gJhP0_lvlmNxbHEpNo8mduDiAaK/view?usp=drivesdk</v>
      </c>
    </row>
    <row r="7284">
      <c r="A7284" s="15">
        <f>IFERROR(__xludf.DUMMYFUNCTION("""COMPUTED_VALUE"""),45205.0)</f>
        <v>45205</v>
      </c>
      <c r="B7284" s="16" t="str">
        <f>IFERROR(__xludf.DUMMYFUNCTION("""COMPUTED_VALUE"""),"Daniel José sandoval gonzalez")</f>
        <v>Daniel José sandoval gonzalez</v>
      </c>
      <c r="C7284" s="15" t="str">
        <f>IFERROR(__xludf.DUMMYFUNCTION("""COMPUTED_VALUE"""),"MEDELLÍN")</f>
        <v>MEDELLÍN</v>
      </c>
      <c r="D7284" s="15" t="str">
        <f>IFERROR(__xludf.DUMMYFUNCTION("""COMPUTED_VALUE"""),"BOGOTÁ")</f>
        <v>BOGOTÁ</v>
      </c>
      <c r="E7284" s="15" t="str">
        <f>IFERROR(__xludf.DUMMYFUNCTION("""COMPUTED_VALUE"""),"Viiva Fermentados")</f>
        <v>Viiva Fermentados</v>
      </c>
      <c r="F7284" s="17" t="str">
        <f>IFERROR(__xludf.DUMMYFUNCTION("""COMPUTED_VALUE"""),"Calle 98 #50b-19 / primer piso  Preguntar por Doña Fabiola / Aranjuez")</f>
        <v>Calle 98 #50b-19 / primer piso  Preguntar por Doña Fabiola / Aranjuez</v>
      </c>
      <c r="G7284" s="15" t="str">
        <f>IFERROR(__xludf.DUMMYFUNCTION("""COMPUTED_VALUE"""),"Bayron Rodriguez")</f>
        <v>Bayron Rodriguez</v>
      </c>
      <c r="H7284" s="16">
        <f>IFERROR(__xludf.DUMMYFUNCTION("""COMPUTED_VALUE"""),15958.0)</f>
        <v>15958</v>
      </c>
      <c r="I7284" s="18">
        <f>IFERROR(__xludf.DUMMYFUNCTION("""COMPUTED_VALUE"""),21.0)</f>
        <v>21</v>
      </c>
      <c r="J7284" s="18">
        <f>IFERROR(__xludf.DUMMYFUNCTION("""COMPUTED_VALUE"""),36.0)</f>
        <v>36</v>
      </c>
      <c r="K7284" s="18">
        <f>IFERROR(__xludf.DUMMYFUNCTION("""COMPUTED_VALUE"""),24.0)</f>
        <v>24</v>
      </c>
      <c r="L7284" s="17">
        <f>IFERROR(__xludf.DUMMYFUNCTION("""COMPUTED_VALUE"""),3.166261966E9)</f>
        <v>3166261966</v>
      </c>
      <c r="M7284" s="17"/>
      <c r="N7284" s="17"/>
      <c r="O7284" s="17"/>
      <c r="P7284" s="17" t="b">
        <f>IFERROR(__xludf.DUMMYFUNCTION("""COMPUTED_VALUE"""),FALSE)</f>
        <v>0</v>
      </c>
      <c r="Q7284" s="20" t="str">
        <f>IFERROR(__xludf.DUMMYFUNCTION("""COMPUTED_VALUE"""),"")</f>
        <v/>
      </c>
      <c r="R7284" s="21" t="str">
        <f>IFERROR(__xludf.DUMMYFUNCTION("""COMPUTED_VALUE"""),"https://drive.google.com/file/d/1s7BzPdY_9tpK_mi70bMlXOyjkPTjNUV2/view?usp=drivesdk")</f>
        <v>https://drive.google.com/file/d/1s7BzPdY_9tpK_mi70bMlXOyjkPTjNUV2/view?usp=drivesdk</v>
      </c>
    </row>
    <row r="7285">
      <c r="A7285" s="17" t="str">
        <f>IFERROR(__xludf.DUMMYFUNCTION("""COMPUTED_VALUE"""),"")</f>
        <v/>
      </c>
      <c r="B7285" s="17" t="str">
        <f>IFERROR(__xludf.DUMMYFUNCTION("""COMPUTED_VALUE"""),"")</f>
        <v/>
      </c>
      <c r="C7285" s="17" t="str">
        <f>IFERROR(__xludf.DUMMYFUNCTION("""COMPUTED_VALUE"""),"")</f>
        <v/>
      </c>
      <c r="D7285" s="17" t="str">
        <f>IFERROR(__xludf.DUMMYFUNCTION("""COMPUTED_VALUE"""),"")</f>
        <v/>
      </c>
      <c r="E7285" s="17" t="str">
        <f>IFERROR(__xludf.DUMMYFUNCTION("""COMPUTED_VALUE"""),"")</f>
        <v/>
      </c>
      <c r="F7285" s="17" t="str">
        <f>IFERROR(__xludf.DUMMYFUNCTION("""COMPUTED_VALUE"""),"")</f>
        <v/>
      </c>
      <c r="G7285" s="17" t="str">
        <f>IFERROR(__xludf.DUMMYFUNCTION("""COMPUTED_VALUE"""),"")</f>
        <v/>
      </c>
      <c r="H7285" s="17" t="str">
        <f>IFERROR(__xludf.DUMMYFUNCTION("""COMPUTED_VALUE"""),"")</f>
        <v/>
      </c>
      <c r="I7285" s="17" t="str">
        <f>IFERROR(__xludf.DUMMYFUNCTION("""COMPUTED_VALUE"""),"")</f>
        <v/>
      </c>
      <c r="J7285" s="17" t="str">
        <f>IFERROR(__xludf.DUMMYFUNCTION("""COMPUTED_VALUE"""),"")</f>
        <v/>
      </c>
      <c r="K7285" s="17" t="str">
        <f>IFERROR(__xludf.DUMMYFUNCTION("""COMPUTED_VALUE"""),"")</f>
        <v/>
      </c>
      <c r="L7285" s="17" t="str">
        <f>IFERROR(__xludf.DUMMYFUNCTION("""COMPUTED_VALUE"""),"")</f>
        <v/>
      </c>
      <c r="M7285" s="17" t="str">
        <f>IFERROR(__xludf.DUMMYFUNCTION("""COMPUTED_VALUE"""),"")</f>
        <v/>
      </c>
      <c r="N7285" s="17" t="str">
        <f>IFERROR(__xludf.DUMMYFUNCTION("""COMPUTED_VALUE"""),"")</f>
        <v/>
      </c>
      <c r="O7285" s="17" t="str">
        <f>IFERROR(__xludf.DUMMYFUNCTION("""COMPUTED_VALUE"""),"")</f>
        <v/>
      </c>
      <c r="P7285" s="17" t="str">
        <f>IFERROR(__xludf.DUMMYFUNCTION("""COMPUTED_VALUE"""),"")</f>
        <v/>
      </c>
      <c r="Q7285" s="17" t="str">
        <f>IFERROR(__xludf.DUMMYFUNCTION("""COMPUTED_VALUE"""),"")</f>
        <v/>
      </c>
      <c r="R7285" s="17" t="str">
        <f>IFERROR(__xludf.DUMMYFUNCTION("""COMPUTED_VALUE"""),"")</f>
        <v/>
      </c>
    </row>
    <row r="7286">
      <c r="A7286" s="15">
        <f>IFERROR(__xludf.DUMMYFUNCTION("""COMPUTED_VALUE"""),45205.0)</f>
        <v>45205</v>
      </c>
      <c r="B7286" s="16" t="str">
        <f>IFERROR(__xludf.DUMMYFUNCTION("""COMPUTED_VALUE"""),"EASYMAIL S.A.S")</f>
        <v>EASYMAIL S.A.S</v>
      </c>
      <c r="C7286" s="15" t="str">
        <f>IFERROR(__xludf.DUMMYFUNCTION("""COMPUTED_VALUE"""),"BOGOTÁ")</f>
        <v>BOGOTÁ</v>
      </c>
      <c r="D7286" s="15" t="str">
        <f>IFERROR(__xludf.DUMMYFUNCTION("""COMPUTED_VALUE"""),"MEDELLÍN")</f>
        <v>MEDELLÍN</v>
      </c>
      <c r="E7286" s="15" t="str">
        <f>IFERROR(__xludf.DUMMYFUNCTION("""COMPUTED_VALUE"""),"AREPAS LA MARY")</f>
        <v>AREPAS LA MARY</v>
      </c>
      <c r="F7286" s="17" t="str">
        <f>IFERROR(__xludf.DUMMYFUNCTION("""COMPUTED_VALUE"""),"Calle23b #68c-40 apto1001 torre 3 / SALITRE BOGOTA")</f>
        <v>Calle23b #68c-40 apto1001 torre 3 / SALITRE BOGOTA</v>
      </c>
      <c r="G7286" s="15" t="str">
        <f>IFERROR(__xludf.DUMMYFUNCTION("""COMPUTED_VALUE"""),"SANDRA CARDENAS")</f>
        <v>SANDRA CARDENAS</v>
      </c>
      <c r="H7286" s="16">
        <f>IFERROR(__xludf.DUMMYFUNCTION("""COMPUTED_VALUE"""),16023.0)</f>
        <v>16023</v>
      </c>
      <c r="I7286" s="18">
        <f>IFERROR(__xludf.DUMMYFUNCTION("""COMPUTED_VALUE"""),89.0)</f>
        <v>89</v>
      </c>
      <c r="J7286" s="18">
        <f>IFERROR(__xludf.DUMMYFUNCTION("""COMPUTED_VALUE"""),1.0)</f>
        <v>1</v>
      </c>
      <c r="K7286" s="18">
        <f>IFERROR(__xludf.DUMMYFUNCTION("""COMPUTED_VALUE"""),10.0)</f>
        <v>10</v>
      </c>
      <c r="L7286" s="17">
        <f>IFERROR(__xludf.DUMMYFUNCTION("""COMPUTED_VALUE"""),3.203194306E9)</f>
        <v>3203194306</v>
      </c>
      <c r="M7286" s="17"/>
      <c r="N7286" s="17"/>
      <c r="O7286" s="17"/>
      <c r="P7286" s="17" t="b">
        <f>IFERROR(__xludf.DUMMYFUNCTION("""COMPUTED_VALUE"""),TRUE)</f>
        <v>1</v>
      </c>
      <c r="Q7286" s="20">
        <f>IFERROR(__xludf.DUMMYFUNCTION("""COMPUTED_VALUE"""),45205.61915164352)</f>
        <v>45205.61915</v>
      </c>
      <c r="R7286" s="21" t="str">
        <f>IFERROR(__xludf.DUMMYFUNCTION("""COMPUTED_VALUE"""),"https://drive.google.com/file/d/1mXMPyssMIkbsmHkpb4ddFf5E3-HnhdEl/view?usp=drivesdk")</f>
        <v>https://drive.google.com/file/d/1mXMPyssMIkbsmHkpb4ddFf5E3-HnhdEl/view?usp=drivesdk</v>
      </c>
    </row>
    <row r="7287">
      <c r="A7287" s="15">
        <f>IFERROR(__xludf.DUMMYFUNCTION("""COMPUTED_VALUE"""),45205.0)</f>
        <v>45205</v>
      </c>
      <c r="B7287" s="16" t="str">
        <f>IFERROR(__xludf.DUMMYFUNCTION("""COMPUTED_VALUE"""),"EASYMAIL S.A.S")</f>
        <v>EASYMAIL S.A.S</v>
      </c>
      <c r="C7287" s="15" t="str">
        <f>IFERROR(__xludf.DUMMYFUNCTION("""COMPUTED_VALUE"""),"BOGOTÁ")</f>
        <v>BOGOTÁ</v>
      </c>
      <c r="D7287" s="15" t="str">
        <f>IFERROR(__xludf.DUMMYFUNCTION("""COMPUTED_VALUE"""),"MEDELLÍN")</f>
        <v>MEDELLÍN</v>
      </c>
      <c r="E7287" s="15" t="str">
        <f>IFERROR(__xludf.DUMMYFUNCTION("""COMPUTED_VALUE"""),"AREPAS LA MARY")</f>
        <v>AREPAS LA MARY</v>
      </c>
      <c r="F7287" s="17" t="str">
        <f>IFERROR(__xludf.DUMMYFUNCTION("""COMPUTED_VALUE"""),"CRA 9 N.85 75 APTO 602 / bogota")</f>
        <v>CRA 9 N.85 75 APTO 602 / bogota</v>
      </c>
      <c r="G7287" s="15" t="str">
        <f>IFERROR(__xludf.DUMMYFUNCTION("""COMPUTED_VALUE"""),"LINA ENRIQUEZ")</f>
        <v>LINA ENRIQUEZ</v>
      </c>
      <c r="H7287" s="16">
        <f>IFERROR(__xludf.DUMMYFUNCTION("""COMPUTED_VALUE"""),16022.0)</f>
        <v>16022</v>
      </c>
      <c r="I7287" s="18">
        <f>IFERROR(__xludf.DUMMYFUNCTION("""COMPUTED_VALUE"""),89.0)</f>
        <v>89</v>
      </c>
      <c r="J7287" s="18">
        <f>IFERROR(__xludf.DUMMYFUNCTION("""COMPUTED_VALUE"""),1.0)</f>
        <v>1</v>
      </c>
      <c r="K7287" s="18">
        <f>IFERROR(__xludf.DUMMYFUNCTION("""COMPUTED_VALUE"""),10.0)</f>
        <v>10</v>
      </c>
      <c r="L7287" s="17">
        <f>IFERROR(__xludf.DUMMYFUNCTION("""COMPUTED_VALUE"""),3.214265812E9)</f>
        <v>3214265812</v>
      </c>
      <c r="M7287" s="17"/>
      <c r="N7287" s="17"/>
      <c r="O7287" s="17"/>
      <c r="P7287" s="17" t="b">
        <f>IFERROR(__xludf.DUMMYFUNCTION("""COMPUTED_VALUE"""),TRUE)</f>
        <v>1</v>
      </c>
      <c r="Q7287" s="20">
        <f>IFERROR(__xludf.DUMMYFUNCTION("""COMPUTED_VALUE"""),45205.65172887732)</f>
        <v>45205.65173</v>
      </c>
      <c r="R7287" s="22" t="str">
        <f>IFERROR(__xludf.DUMMYFUNCTION("""COMPUTED_VALUE"""),"")</f>
        <v/>
      </c>
    </row>
    <row r="7288">
      <c r="A7288" s="15">
        <f>IFERROR(__xludf.DUMMYFUNCTION("""COMPUTED_VALUE"""),45205.0)</f>
        <v>45205</v>
      </c>
      <c r="B7288" s="16" t="str">
        <f>IFERROR(__xludf.DUMMYFUNCTION("""COMPUTED_VALUE"""),"EASYMAIL S.A.S")</f>
        <v>EASYMAIL S.A.S</v>
      </c>
      <c r="C7288" s="15" t="str">
        <f>IFERROR(__xludf.DUMMYFUNCTION("""COMPUTED_VALUE"""),"BOGOTÁ")</f>
        <v>BOGOTÁ</v>
      </c>
      <c r="D7288" s="15" t="str">
        <f>IFERROR(__xludf.DUMMYFUNCTION("""COMPUTED_VALUE"""),"MEDELLÍN")</f>
        <v>MEDELLÍN</v>
      </c>
      <c r="E7288" s="15" t="str">
        <f>IFERROR(__xludf.DUMMYFUNCTION("""COMPUTED_VALUE"""),"Baby Chef")</f>
        <v>Baby Chef</v>
      </c>
      <c r="F7288" s="17" t="str">
        <f>IFERROR(__xludf.DUMMYFUNCTION("""COMPUTED_VALUE"""),"calle 23 bis # 28-21 manzana L apto 216 Barrio Usatama / calle 23 bis # 28-21 manzana L apto 216 Barrio Usatama / calle 23 bis # 28-21 manzana L apto 216 Barrio Usatama")</f>
        <v>calle 23 bis # 28-21 manzana L apto 216 Barrio Usatama / calle 23 bis # 28-21 manzana L apto 216 Barrio Usatama / calle 23 bis # 28-21 manzana L apto 216 Barrio Usatama</v>
      </c>
      <c r="G7288" s="15" t="str">
        <f>IFERROR(__xludf.DUMMYFUNCTION("""COMPUTED_VALUE"""),"Mábel González")</f>
        <v>Mábel González</v>
      </c>
      <c r="H7288" s="16">
        <f>IFERROR(__xludf.DUMMYFUNCTION("""COMPUTED_VALUE"""),16030.0)</f>
        <v>16030</v>
      </c>
      <c r="I7288" s="18">
        <f>IFERROR(__xludf.DUMMYFUNCTION("""COMPUTED_VALUE"""),9.0)</f>
        <v>9</v>
      </c>
      <c r="J7288" s="18">
        <f>IFERROR(__xludf.DUMMYFUNCTION("""COMPUTED_VALUE"""),23.0)</f>
        <v>23</v>
      </c>
      <c r="K7288" s="18">
        <f>IFERROR(__xludf.DUMMYFUNCTION("""COMPUTED_VALUE"""),38.0)</f>
        <v>38</v>
      </c>
      <c r="L7288" s="17">
        <f>IFERROR(__xludf.DUMMYFUNCTION("""COMPUTED_VALUE"""),3.012958438E9)</f>
        <v>3012958438</v>
      </c>
      <c r="M7288" s="17"/>
      <c r="N7288" s="17"/>
      <c r="O7288" s="17"/>
      <c r="P7288" s="17" t="b">
        <f>IFERROR(__xludf.DUMMYFUNCTION("""COMPUTED_VALUE"""),FALSE)</f>
        <v>0</v>
      </c>
      <c r="Q7288" s="20" t="str">
        <f>IFERROR(__xludf.DUMMYFUNCTION("""COMPUTED_VALUE"""),"")</f>
        <v/>
      </c>
      <c r="R7288" s="22" t="str">
        <f>IFERROR(__xludf.DUMMYFUNCTION("""COMPUTED_VALUE"""),"")</f>
        <v/>
      </c>
    </row>
    <row r="7289">
      <c r="A7289" s="15">
        <f>IFERROR(__xludf.DUMMYFUNCTION("""COMPUTED_VALUE"""),45205.0)</f>
        <v>45205</v>
      </c>
      <c r="B7289" s="16" t="str">
        <f>IFERROR(__xludf.DUMMYFUNCTION("""COMPUTED_VALUE"""),"EASYMAIL S.A.S")</f>
        <v>EASYMAIL S.A.S</v>
      </c>
      <c r="C7289" s="15" t="str">
        <f>IFERROR(__xludf.DUMMYFUNCTION("""COMPUTED_VALUE"""),"BOGOTÁ")</f>
        <v>BOGOTÁ</v>
      </c>
      <c r="D7289" s="15" t="str">
        <f>IFERROR(__xludf.DUMMYFUNCTION("""COMPUTED_VALUE"""),"MEDELLÍN")</f>
        <v>MEDELLÍN</v>
      </c>
      <c r="E7289" s="15" t="str">
        <f>IFERROR(__xludf.DUMMYFUNCTION("""COMPUTED_VALUE"""),"Baby Chef")</f>
        <v>Baby Chef</v>
      </c>
      <c r="F7289" s="17" t="str">
        <f>IFERROR(__xludf.DUMMYFUNCTION("""COMPUTED_VALUE"""),"Cra 56 # 145-51 interior 5 apartamento 204 Edificio colinas de santa paula / Cra 56 # 145-51 interior 5 apartamento 204 Edificio colinas de santa paula / Cra 56 # 145-51 interior 5 apartamento 204 Edificio colinas de santa paula")</f>
        <v>Cra 56 # 145-51 interior 5 apartamento 204 Edificio colinas de santa paula / Cra 56 # 145-51 interior 5 apartamento 204 Edificio colinas de santa paula / Cra 56 # 145-51 interior 5 apartamento 204 Edificio colinas de santa paula</v>
      </c>
      <c r="G7289" s="15" t="str">
        <f>IFERROR(__xludf.DUMMYFUNCTION("""COMPUTED_VALUE"""),"Dunya Marcela Ortíz")</f>
        <v>Dunya Marcela Ortíz</v>
      </c>
      <c r="H7289" s="16">
        <f>IFERROR(__xludf.DUMMYFUNCTION("""COMPUTED_VALUE"""),16029.0)</f>
        <v>16029</v>
      </c>
      <c r="I7289" s="18">
        <f>IFERROR(__xludf.DUMMYFUNCTION("""COMPUTED_VALUE"""),9.0)</f>
        <v>9</v>
      </c>
      <c r="J7289" s="18">
        <f>IFERROR(__xludf.DUMMYFUNCTION("""COMPUTED_VALUE"""),21.0)</f>
        <v>21</v>
      </c>
      <c r="K7289" s="18">
        <f>IFERROR(__xludf.DUMMYFUNCTION("""COMPUTED_VALUE"""),40.0)</f>
        <v>40</v>
      </c>
      <c r="L7289" s="17">
        <f>IFERROR(__xludf.DUMMYFUNCTION("""COMPUTED_VALUE"""),3.008428993E9)</f>
        <v>3008428993</v>
      </c>
      <c r="M7289" s="17"/>
      <c r="N7289" s="17"/>
      <c r="O7289" s="17"/>
      <c r="P7289" s="17" t="b">
        <f>IFERROR(__xludf.DUMMYFUNCTION("""COMPUTED_VALUE"""),TRUE)</f>
        <v>1</v>
      </c>
      <c r="Q7289" s="20">
        <f>IFERROR(__xludf.DUMMYFUNCTION("""COMPUTED_VALUE"""),45205.66646420139)</f>
        <v>45205.66646</v>
      </c>
      <c r="R7289" s="22" t="str">
        <f>IFERROR(__xludf.DUMMYFUNCTION("""COMPUTED_VALUE"""),"")</f>
        <v/>
      </c>
    </row>
    <row r="7290">
      <c r="A7290" s="15">
        <f>IFERROR(__xludf.DUMMYFUNCTION("""COMPUTED_VALUE"""),45205.0)</f>
        <v>45205</v>
      </c>
      <c r="B7290" s="16" t="str">
        <f>IFERROR(__xludf.DUMMYFUNCTION("""COMPUTED_VALUE"""),"EASYMAIL S.A.S")</f>
        <v>EASYMAIL S.A.S</v>
      </c>
      <c r="C7290" s="15" t="str">
        <f>IFERROR(__xludf.DUMMYFUNCTION("""COMPUTED_VALUE"""),"BOGOTÁ")</f>
        <v>BOGOTÁ</v>
      </c>
      <c r="D7290" s="15" t="str">
        <f>IFERROR(__xludf.DUMMYFUNCTION("""COMPUTED_VALUE"""),"MEDELLÍN")</f>
        <v>MEDELLÍN</v>
      </c>
      <c r="E7290" s="15" t="str">
        <f>IFERROR(__xludf.DUMMYFUNCTION("""COMPUTED_VALUE"""),"Baby Chef")</f>
        <v>Baby Chef</v>
      </c>
      <c r="F7290" s="17" t="str">
        <f>IFERROR(__xludf.DUMMYFUNCTION("""COMPUTED_VALUE"""),"Cra 71a bis#64-20 Apto 301 Sombras del cerezo / Cra 71a bis#64-20 Apto 301 Sombras del cerezo / Cra 71a bis#64-20 Apto 301 Sombras del cerezo")</f>
        <v>Cra 71a bis#64-20 Apto 301 Sombras del cerezo / Cra 71a bis#64-20 Apto 301 Sombras del cerezo / Cra 71a bis#64-20 Apto 301 Sombras del cerezo</v>
      </c>
      <c r="G7290" s="15" t="str">
        <f>IFERROR(__xludf.DUMMYFUNCTION("""COMPUTED_VALUE"""),"Adriana Peralta")</f>
        <v>Adriana Peralta</v>
      </c>
      <c r="H7290" s="16">
        <f>IFERROR(__xludf.DUMMYFUNCTION("""COMPUTED_VALUE"""),16031.0)</f>
        <v>16031</v>
      </c>
      <c r="I7290" s="18">
        <f>IFERROR(__xludf.DUMMYFUNCTION("""COMPUTED_VALUE"""),6.0)</f>
        <v>6</v>
      </c>
      <c r="J7290" s="18">
        <f>IFERROR(__xludf.DUMMYFUNCTION("""COMPUTED_VALUE"""),21.0)</f>
        <v>21</v>
      </c>
      <c r="K7290" s="18">
        <f>IFERROR(__xludf.DUMMYFUNCTION("""COMPUTED_VALUE"""),34.0)</f>
        <v>34</v>
      </c>
      <c r="L7290" s="17">
        <f>IFERROR(__xludf.DUMMYFUNCTION("""COMPUTED_VALUE"""),3.102550963E9)</f>
        <v>3102550963</v>
      </c>
      <c r="M7290" s="17"/>
      <c r="N7290" s="17"/>
      <c r="O7290" s="17"/>
      <c r="P7290" s="17" t="b">
        <f>IFERROR(__xludf.DUMMYFUNCTION("""COMPUTED_VALUE"""),TRUE)</f>
        <v>1</v>
      </c>
      <c r="Q7290" s="20">
        <f>IFERROR(__xludf.DUMMYFUNCTION("""COMPUTED_VALUE"""),45205.65305907407)</f>
        <v>45205.65306</v>
      </c>
      <c r="R7290" s="22" t="str">
        <f>IFERROR(__xludf.DUMMYFUNCTION("""COMPUTED_VALUE"""),"")</f>
        <v/>
      </c>
    </row>
    <row r="7291">
      <c r="A7291" s="15">
        <f>IFERROR(__xludf.DUMMYFUNCTION("""COMPUTED_VALUE"""),45205.0)</f>
        <v>45205</v>
      </c>
      <c r="B7291" s="16" t="str">
        <f>IFERROR(__xludf.DUMMYFUNCTION("""COMPUTED_VALUE"""),"EASYMAIL S.A.S")</f>
        <v>EASYMAIL S.A.S</v>
      </c>
      <c r="C7291" s="15" t="str">
        <f>IFERROR(__xludf.DUMMYFUNCTION("""COMPUTED_VALUE"""),"BOGOTÁ")</f>
        <v>BOGOTÁ</v>
      </c>
      <c r="D7291" s="15" t="str">
        <f>IFERROR(__xludf.DUMMYFUNCTION("""COMPUTED_VALUE"""),"MEDELLÍN")</f>
        <v>MEDELLÍN</v>
      </c>
      <c r="E7291" s="15" t="str">
        <f>IFERROR(__xludf.DUMMYFUNCTION("""COMPUTED_VALUE"""),"Helados Artesanos")</f>
        <v>Helados Artesanos</v>
      </c>
      <c r="F7291" s="17" t="str">
        <f>IFERROR(__xludf.DUMMYFUNCTION("""COMPUTED_VALUE"""),"Carrera 16 a No 77 23 / Local 4. / Reclama un domiciliario")</f>
        <v>Carrera 16 a No 77 23 / Local 4. / Reclama un domiciliario</v>
      </c>
      <c r="G7291" s="15" t="str">
        <f>IFERROR(__xludf.DUMMYFUNCTION("""COMPUTED_VALUE"""),"Angie comaker nutresa")</f>
        <v>Angie comaker nutresa</v>
      </c>
      <c r="H7291" s="16">
        <f>IFERROR(__xludf.DUMMYFUNCTION("""COMPUTED_VALUE"""),16025.0)</f>
        <v>16025</v>
      </c>
      <c r="I7291" s="18">
        <f>IFERROR(__xludf.DUMMYFUNCTION("""COMPUTED_VALUE"""),15.0)</f>
        <v>15</v>
      </c>
      <c r="J7291" s="18">
        <f>IFERROR(__xludf.DUMMYFUNCTION("""COMPUTED_VALUE"""),15.0)</f>
        <v>15</v>
      </c>
      <c r="K7291" s="18">
        <f>IFERROR(__xludf.DUMMYFUNCTION("""COMPUTED_VALUE"""),15.0)</f>
        <v>15</v>
      </c>
      <c r="L7291" s="17">
        <f>IFERROR(__xludf.DUMMYFUNCTION("""COMPUTED_VALUE"""),3.167567914E9)</f>
        <v>3167567914</v>
      </c>
      <c r="M7291" s="17"/>
      <c r="N7291" s="17"/>
      <c r="O7291" s="17"/>
      <c r="P7291" s="17" t="b">
        <f>IFERROR(__xludf.DUMMYFUNCTION("""COMPUTED_VALUE"""),TRUE)</f>
        <v>1</v>
      </c>
      <c r="Q7291" s="20">
        <f>IFERROR(__xludf.DUMMYFUNCTION("""COMPUTED_VALUE"""),45205.65269785879)</f>
        <v>45205.6527</v>
      </c>
      <c r="R7291" s="21" t="str">
        <f>IFERROR(__xludf.DUMMYFUNCTION("""COMPUTED_VALUE"""),"https://drive.google.com/file/d/1DbXXG9hynePpjDo0--7qLQRzOBGyF62C/view?usp=drivesdk")</f>
        <v>https://drive.google.com/file/d/1DbXXG9hynePpjDo0--7qLQRzOBGyF62C/view?usp=drivesdk</v>
      </c>
    </row>
    <row r="7292">
      <c r="A7292" s="15">
        <f>IFERROR(__xludf.DUMMYFUNCTION("""COMPUTED_VALUE"""),45205.0)</f>
        <v>45205</v>
      </c>
      <c r="B7292" s="16" t="str">
        <f>IFERROR(__xludf.DUMMYFUNCTION("""COMPUTED_VALUE"""),"EASYMAIL S.A.S")</f>
        <v>EASYMAIL S.A.S</v>
      </c>
      <c r="C7292" s="15" t="str">
        <f>IFERROR(__xludf.DUMMYFUNCTION("""COMPUTED_VALUE"""),"BOGOTÁ")</f>
        <v>BOGOTÁ</v>
      </c>
      <c r="D7292" s="15" t="str">
        <f>IFERROR(__xludf.DUMMYFUNCTION("""COMPUTED_VALUE"""),"MEDELLÍN")</f>
        <v>MEDELLÍN</v>
      </c>
      <c r="E7292" s="15" t="str">
        <f>IFERROR(__xludf.DUMMYFUNCTION("""COMPUTED_VALUE"""),"Moloso S.A.S")</f>
        <v>Moloso S.A.S</v>
      </c>
      <c r="F7292" s="17" t="str">
        <f>IFERROR(__xludf.DUMMYFUNCTION("""COMPUTED_VALUE"""),"CR 78AN 58M 88 SUR CJ PARQUES DE VILLA ANITA / CJ PARQUES DE VILLA ANITA")</f>
        <v>CR 78AN 58M 88 SUR CJ PARQUES DE VILLA ANITA / CJ PARQUES DE VILLA ANITA</v>
      </c>
      <c r="G7292" s="15" t="str">
        <f>IFERROR(__xludf.DUMMYFUNCTION("""COMPUTED_VALUE"""),"VANESSA BELTRAN BUITRAGO")</f>
        <v>VANESSA BELTRAN BUITRAGO</v>
      </c>
      <c r="H7292" s="16">
        <f>IFERROR(__xludf.DUMMYFUNCTION("""COMPUTED_VALUE"""),16026.0)</f>
        <v>16026</v>
      </c>
      <c r="I7292" s="18">
        <f>IFERROR(__xludf.DUMMYFUNCTION("""COMPUTED_VALUE"""),17.0)</f>
        <v>17</v>
      </c>
      <c r="J7292" s="18">
        <f>IFERROR(__xludf.DUMMYFUNCTION("""COMPUTED_VALUE"""),15.0)</f>
        <v>15</v>
      </c>
      <c r="K7292" s="18">
        <f>IFERROR(__xludf.DUMMYFUNCTION("""COMPUTED_VALUE"""),28.0)</f>
        <v>28</v>
      </c>
      <c r="L7292" s="17" t="str">
        <f>IFERROR(__xludf.DUMMYFUNCTION("""COMPUTED_VALUE"""),"319 5025532")</f>
        <v>319 5025532</v>
      </c>
      <c r="M7292" s="17"/>
      <c r="N7292" s="17"/>
      <c r="O7292" s="17"/>
      <c r="P7292" s="17" t="b">
        <f>IFERROR(__xludf.DUMMYFUNCTION("""COMPUTED_VALUE"""),TRUE)</f>
        <v>1</v>
      </c>
      <c r="Q7292" s="20">
        <f>IFERROR(__xludf.DUMMYFUNCTION("""COMPUTED_VALUE"""),45205.65839575231)</f>
        <v>45205.6584</v>
      </c>
      <c r="R7292" s="22" t="str">
        <f>IFERROR(__xludf.DUMMYFUNCTION("""COMPUTED_VALUE"""),"")</f>
        <v/>
      </c>
    </row>
    <row r="7293">
      <c r="A7293" s="15">
        <f>IFERROR(__xludf.DUMMYFUNCTION("""COMPUTED_VALUE"""),45205.0)</f>
        <v>45205</v>
      </c>
      <c r="B7293" s="16" t="str">
        <f>IFERROR(__xludf.DUMMYFUNCTION("""COMPUTED_VALUE"""),"EASYMAIL S.A.S")</f>
        <v>EASYMAIL S.A.S</v>
      </c>
      <c r="C7293" s="15" t="str">
        <f>IFERROR(__xludf.DUMMYFUNCTION("""COMPUTED_VALUE"""),"BOGOTÁ")</f>
        <v>BOGOTÁ</v>
      </c>
      <c r="D7293" s="15" t="str">
        <f>IFERROR(__xludf.DUMMYFUNCTION("""COMPUTED_VALUE"""),"MEDELLÍN")</f>
        <v>MEDELLÍN</v>
      </c>
      <c r="E7293" s="15" t="str">
        <f>IFERROR(__xludf.DUMMYFUNCTION("""COMPUTED_VALUE"""),"Puro Verde")</f>
        <v>Puro Verde</v>
      </c>
      <c r="F7293" s="17" t="str">
        <f>IFERROR(__xludf.DUMMYFUNCTION("""COMPUTED_VALUE"""),"CRA 16A # 77-23.  / LOCAL 4 / BARRIO EL LAGO")</f>
        <v>CRA 16A # 77-23.  / LOCAL 4 / BARRIO EL LAGO</v>
      </c>
      <c r="G7293" s="15" t="str">
        <f>IFERROR(__xludf.DUMMYFUNCTION("""COMPUTED_VALUE"""),"DANDO CUERDA")</f>
        <v>DANDO CUERDA</v>
      </c>
      <c r="H7293" s="16">
        <f>IFERROR(__xludf.DUMMYFUNCTION("""COMPUTED_VALUE"""),16007.0)</f>
        <v>16007</v>
      </c>
      <c r="I7293" s="18">
        <f>IFERROR(__xludf.DUMMYFUNCTION("""COMPUTED_VALUE"""),55.0)</f>
        <v>55</v>
      </c>
      <c r="J7293" s="18">
        <f>IFERROR(__xludf.DUMMYFUNCTION("""COMPUTED_VALUE"""),45.0)</f>
        <v>45</v>
      </c>
      <c r="K7293" s="18" t="str">
        <f>IFERROR(__xludf.DUMMYFUNCTION("""COMPUTED_VALUE"""),"52.5")</f>
        <v>52.5</v>
      </c>
      <c r="L7293" s="17">
        <f>IFERROR(__xludf.DUMMYFUNCTION("""COMPUTED_VALUE"""),3.163816691E9)</f>
        <v>3163816691</v>
      </c>
      <c r="M7293" s="17"/>
      <c r="N7293" s="17"/>
      <c r="O7293" s="17"/>
      <c r="P7293" s="17" t="b">
        <f>IFERROR(__xludf.DUMMYFUNCTION("""COMPUTED_VALUE"""),TRUE)</f>
        <v>1</v>
      </c>
      <c r="Q7293" s="20">
        <f>IFERROR(__xludf.DUMMYFUNCTION("""COMPUTED_VALUE"""),45205.65850701389)</f>
        <v>45205.65851</v>
      </c>
      <c r="R7293" s="21" t="str">
        <f>IFERROR(__xludf.DUMMYFUNCTION("""COMPUTED_VALUE"""),"https://drive.google.com/file/d/1N4Tt9DZtK7ZQ3LBNzHDZ1vOjt-wHUHJ1/view?usp=drivesdk")</f>
        <v>https://drive.google.com/file/d/1N4Tt9DZtK7ZQ3LBNzHDZ1vOjt-wHUHJ1/view?usp=drivesdk</v>
      </c>
    </row>
    <row r="7294">
      <c r="A7294" s="15">
        <f>IFERROR(__xludf.DUMMYFUNCTION("""COMPUTED_VALUE"""),45205.0)</f>
        <v>45205</v>
      </c>
      <c r="B7294" s="16" t="str">
        <f>IFERROR(__xludf.DUMMYFUNCTION("""COMPUTED_VALUE"""),"EASYMAIL S.A.S")</f>
        <v>EASYMAIL S.A.S</v>
      </c>
      <c r="C7294" s="15" t="str">
        <f>IFERROR(__xludf.DUMMYFUNCTION("""COMPUTED_VALUE"""),"BOGOTÁ")</f>
        <v>BOGOTÁ</v>
      </c>
      <c r="D7294" s="15" t="str">
        <f>IFERROR(__xludf.DUMMYFUNCTION("""COMPUTED_VALUE"""),"MEDELLÍN")</f>
        <v>MEDELLÍN</v>
      </c>
      <c r="E7294" s="15" t="str">
        <f>IFERROR(__xludf.DUMMYFUNCTION("""COMPUTED_VALUE"""),"Rambla")</f>
        <v>Rambla</v>
      </c>
      <c r="F7294" s="17" t="str">
        <f>IFERROR(__xludf.DUMMYFUNCTION("""COMPUTED_VALUE"""),"Av Cra 9 # 113-52 local 306 / - / -")</f>
        <v>Av Cra 9 # 113-52 local 306 / - / -</v>
      </c>
      <c r="G7294" s="15" t="str">
        <f>IFERROR(__xludf.DUMMYFUNCTION("""COMPUTED_VALUE"""),"Fresh co")</f>
        <v>Fresh co</v>
      </c>
      <c r="H7294" s="16">
        <f>IFERROR(__xludf.DUMMYFUNCTION("""COMPUTED_VALUE"""),16042.0)</f>
        <v>16042</v>
      </c>
      <c r="I7294" s="18">
        <f>IFERROR(__xludf.DUMMYFUNCTION("""COMPUTED_VALUE"""),12.0)</f>
        <v>12</v>
      </c>
      <c r="J7294" s="18">
        <f>IFERROR(__xludf.DUMMYFUNCTION("""COMPUTED_VALUE"""),28.0)</f>
        <v>28</v>
      </c>
      <c r="K7294" s="18">
        <f>IFERROR(__xludf.DUMMYFUNCTION("""COMPUTED_VALUE"""),28.0)</f>
        <v>28</v>
      </c>
      <c r="L7294" s="17">
        <f>IFERROR(__xludf.DUMMYFUNCTION("""COMPUTED_VALUE"""),3.229417869E9)</f>
        <v>3229417869</v>
      </c>
      <c r="M7294" s="17"/>
      <c r="N7294" s="17"/>
      <c r="O7294" s="17"/>
      <c r="P7294" s="17" t="b">
        <f>IFERROR(__xludf.DUMMYFUNCTION("""COMPUTED_VALUE"""),TRUE)</f>
        <v>1</v>
      </c>
      <c r="Q7294" s="20">
        <f>IFERROR(__xludf.DUMMYFUNCTION("""COMPUTED_VALUE"""),45205.664949513884)</f>
        <v>45205.66495</v>
      </c>
      <c r="R7294" s="22" t="str">
        <f>IFERROR(__xludf.DUMMYFUNCTION("""COMPUTED_VALUE"""),"")</f>
        <v/>
      </c>
    </row>
    <row r="7295">
      <c r="A7295" s="15">
        <f>IFERROR(__xludf.DUMMYFUNCTION("""COMPUTED_VALUE"""),45205.0)</f>
        <v>45205</v>
      </c>
      <c r="B7295" s="16" t="str">
        <f>IFERROR(__xludf.DUMMYFUNCTION("""COMPUTED_VALUE"""),"EASYMAIL S.A.S")</f>
        <v>EASYMAIL S.A.S</v>
      </c>
      <c r="C7295" s="15" t="str">
        <f>IFERROR(__xludf.DUMMYFUNCTION("""COMPUTED_VALUE"""),"BOGOTÁ")</f>
        <v>BOGOTÁ</v>
      </c>
      <c r="D7295" s="15" t="str">
        <f>IFERROR(__xludf.DUMMYFUNCTION("""COMPUTED_VALUE"""),"MEDELLÍN")</f>
        <v>MEDELLÍN</v>
      </c>
      <c r="E7295" s="15" t="str">
        <f>IFERROR(__xludf.DUMMYFUNCTION("""COMPUTED_VALUE"""),"Rambla")</f>
        <v>Rambla</v>
      </c>
      <c r="F7295" s="17" t="str">
        <f>IFERROR(__xludf.DUMMYFUNCTION("""COMPUTED_VALUE"""),"Calle 106 #57- 23 Pasadena local 102 / - / -")</f>
        <v>Calle 106 #57- 23 Pasadena local 102 / - / -</v>
      </c>
      <c r="G7295" s="15" t="str">
        <f>IFERROR(__xludf.DUMMYFUNCTION("""COMPUTED_VALUE"""),"Equilibrio exprés")</f>
        <v>Equilibrio exprés</v>
      </c>
      <c r="H7295" s="16">
        <f>IFERROR(__xludf.DUMMYFUNCTION("""COMPUTED_VALUE"""),16038.0)</f>
        <v>16038</v>
      </c>
      <c r="I7295" s="18">
        <f>IFERROR(__xludf.DUMMYFUNCTION("""COMPUTED_VALUE"""),10.0)</f>
        <v>10</v>
      </c>
      <c r="J7295" s="18">
        <f>IFERROR(__xludf.DUMMYFUNCTION("""COMPUTED_VALUE"""),10.0)</f>
        <v>10</v>
      </c>
      <c r="K7295" s="18">
        <f>IFERROR(__xludf.DUMMYFUNCTION("""COMPUTED_VALUE"""),10.0)</f>
        <v>10</v>
      </c>
      <c r="L7295" s="17">
        <f>IFERROR(__xludf.DUMMYFUNCTION("""COMPUTED_VALUE"""),3.103229857E9)</f>
        <v>3103229857</v>
      </c>
      <c r="M7295" s="17"/>
      <c r="N7295" s="17"/>
      <c r="O7295" s="17"/>
      <c r="P7295" s="17" t="b">
        <f>IFERROR(__xludf.DUMMYFUNCTION("""COMPUTED_VALUE"""),FALSE)</f>
        <v>0</v>
      </c>
      <c r="Q7295" s="20" t="str">
        <f>IFERROR(__xludf.DUMMYFUNCTION("""COMPUTED_VALUE"""),"")</f>
        <v/>
      </c>
      <c r="R7295" s="22" t="str">
        <f>IFERROR(__xludf.DUMMYFUNCTION("""COMPUTED_VALUE"""),"")</f>
        <v/>
      </c>
    </row>
    <row r="7296">
      <c r="A7296" s="15">
        <f>IFERROR(__xludf.DUMMYFUNCTION("""COMPUTED_VALUE"""),45205.0)</f>
        <v>45205</v>
      </c>
      <c r="B7296" s="16" t="str">
        <f>IFERROR(__xludf.DUMMYFUNCTION("""COMPUTED_VALUE"""),"EASYMAIL S.A.S")</f>
        <v>EASYMAIL S.A.S</v>
      </c>
      <c r="C7296" s="15" t="str">
        <f>IFERROR(__xludf.DUMMYFUNCTION("""COMPUTED_VALUE"""),"BOGOTÁ")</f>
        <v>BOGOTÁ</v>
      </c>
      <c r="D7296" s="15" t="str">
        <f>IFERROR(__xludf.DUMMYFUNCTION("""COMPUTED_VALUE"""),"MEDELLÍN")</f>
        <v>MEDELLÍN</v>
      </c>
      <c r="E7296" s="15" t="str">
        <f>IFERROR(__xludf.DUMMYFUNCTION("""COMPUTED_VALUE"""),"Rambla")</f>
        <v>Rambla</v>
      </c>
      <c r="F7296" s="17" t="str">
        <f>IFERROR(__xludf.DUMMYFUNCTION("""COMPUTED_VALUE"""),"Calle 25B # 70B - 50, Conjunto Gran reserva de Mallorca, Torre 3, Apto 1207, Barrio Salitre / - / -")</f>
        <v>Calle 25B # 70B - 50, Conjunto Gran reserva de Mallorca, Torre 3, Apto 1207, Barrio Salitre / - / -</v>
      </c>
      <c r="G7296" s="15" t="str">
        <f>IFERROR(__xludf.DUMMYFUNCTION("""COMPUTED_VALUE"""),"Andrés Hamón Silva")</f>
        <v>Andrés Hamón Silva</v>
      </c>
      <c r="H7296" s="16">
        <f>IFERROR(__xludf.DUMMYFUNCTION("""COMPUTED_VALUE"""),16036.0)</f>
        <v>16036</v>
      </c>
      <c r="I7296" s="18">
        <f>IFERROR(__xludf.DUMMYFUNCTION("""COMPUTED_VALUE"""),18.0)</f>
        <v>18</v>
      </c>
      <c r="J7296" s="18">
        <f>IFERROR(__xludf.DUMMYFUNCTION("""COMPUTED_VALUE"""),18.0)</f>
        <v>18</v>
      </c>
      <c r="K7296" s="18">
        <f>IFERROR(__xludf.DUMMYFUNCTION("""COMPUTED_VALUE"""),12.0)</f>
        <v>12</v>
      </c>
      <c r="L7296" s="17">
        <f>IFERROR(__xludf.DUMMYFUNCTION("""COMPUTED_VALUE"""),3.014772992E9)</f>
        <v>3014772992</v>
      </c>
      <c r="M7296" s="17"/>
      <c r="N7296" s="17"/>
      <c r="O7296" s="17"/>
      <c r="P7296" s="17" t="b">
        <f>IFERROR(__xludf.DUMMYFUNCTION("""COMPUTED_VALUE"""),TRUE)</f>
        <v>1</v>
      </c>
      <c r="Q7296" s="20">
        <f>IFERROR(__xludf.DUMMYFUNCTION("""COMPUTED_VALUE"""),45205.45594061342)</f>
        <v>45205.45594</v>
      </c>
      <c r="R7296" s="22" t="str">
        <f>IFERROR(__xludf.DUMMYFUNCTION("""COMPUTED_VALUE"""),"")</f>
        <v/>
      </c>
    </row>
    <row r="7297">
      <c r="A7297" s="15">
        <f>IFERROR(__xludf.DUMMYFUNCTION("""COMPUTED_VALUE"""),45205.0)</f>
        <v>45205</v>
      </c>
      <c r="B7297" s="16" t="str">
        <f>IFERROR(__xludf.DUMMYFUNCTION("""COMPUTED_VALUE"""),"EASYMAIL S.A.S")</f>
        <v>EASYMAIL S.A.S</v>
      </c>
      <c r="C7297" s="15" t="str">
        <f>IFERROR(__xludf.DUMMYFUNCTION("""COMPUTED_VALUE"""),"BOGOTÁ")</f>
        <v>BOGOTÁ</v>
      </c>
      <c r="D7297" s="15" t="str">
        <f>IFERROR(__xludf.DUMMYFUNCTION("""COMPUTED_VALUE"""),"MEDELLÍN")</f>
        <v>MEDELLÍN</v>
      </c>
      <c r="E7297" s="15" t="str">
        <f>IFERROR(__xludf.DUMMYFUNCTION("""COMPUTED_VALUE"""),"Rambla")</f>
        <v>Rambla</v>
      </c>
      <c r="F7297" s="17" t="str">
        <f>IFERROR(__xludf.DUMMYFUNCTION("""COMPUTED_VALUE"""),"Calle 94 no 15 28 local 3 / - / -")</f>
        <v>Calle 94 no 15 28 local 3 / - / -</v>
      </c>
      <c r="G7297" s="15" t="str">
        <f>IFERROR(__xludf.DUMMYFUNCTION("""COMPUTED_VALUE"""),"Brunch market")</f>
        <v>Brunch market</v>
      </c>
      <c r="H7297" s="16">
        <f>IFERROR(__xludf.DUMMYFUNCTION("""COMPUTED_VALUE"""),16044.0)</f>
        <v>16044</v>
      </c>
      <c r="I7297" s="18">
        <f>IFERROR(__xludf.DUMMYFUNCTION("""COMPUTED_VALUE"""),26.0)</f>
        <v>26</v>
      </c>
      <c r="J7297" s="18">
        <f>IFERROR(__xludf.DUMMYFUNCTION("""COMPUTED_VALUE"""),24.0)</f>
        <v>24</v>
      </c>
      <c r="K7297" s="18">
        <f>IFERROR(__xludf.DUMMYFUNCTION("""COMPUTED_VALUE"""),24.0)</f>
        <v>24</v>
      </c>
      <c r="L7297" s="17">
        <f>IFERROR(__xludf.DUMMYFUNCTION("""COMPUTED_VALUE"""),3.10565416E9)</f>
        <v>3105654160</v>
      </c>
      <c r="M7297" s="17"/>
      <c r="N7297" s="17"/>
      <c r="O7297" s="17"/>
      <c r="P7297" s="17" t="b">
        <f>IFERROR(__xludf.DUMMYFUNCTION("""COMPUTED_VALUE"""),FALSE)</f>
        <v>0</v>
      </c>
      <c r="Q7297" s="20" t="str">
        <f>IFERROR(__xludf.DUMMYFUNCTION("""COMPUTED_VALUE"""),"")</f>
        <v/>
      </c>
      <c r="R7297" s="22" t="str">
        <f>IFERROR(__xludf.DUMMYFUNCTION("""COMPUTED_VALUE"""),"")</f>
        <v/>
      </c>
    </row>
    <row r="7298">
      <c r="A7298" s="15">
        <f>IFERROR(__xludf.DUMMYFUNCTION("""COMPUTED_VALUE"""),45205.0)</f>
        <v>45205</v>
      </c>
      <c r="B7298" s="16" t="str">
        <f>IFERROR(__xludf.DUMMYFUNCTION("""COMPUTED_VALUE"""),"EASYMAIL S.A.S")</f>
        <v>EASYMAIL S.A.S</v>
      </c>
      <c r="C7298" s="15" t="str">
        <f>IFERROR(__xludf.DUMMYFUNCTION("""COMPUTED_VALUE"""),"BOGOTÁ")</f>
        <v>BOGOTÁ</v>
      </c>
      <c r="D7298" s="15" t="str">
        <f>IFERROR(__xludf.DUMMYFUNCTION("""COMPUTED_VALUE"""),"MEDELLÍN")</f>
        <v>MEDELLÍN</v>
      </c>
      <c r="E7298" s="15" t="str">
        <f>IFERROR(__xludf.DUMMYFUNCTION("""COMPUTED_VALUE"""),"Rambla")</f>
        <v>Rambla</v>
      </c>
      <c r="F7298" s="17" t="str">
        <f>IFERROR(__xludf.DUMMYFUNCTION("""COMPUTED_VALUE"""),"carrera 11 #118 96 apto 301 / - / -")</f>
        <v>carrera 11 #118 96 apto 301 / - / -</v>
      </c>
      <c r="G7298" s="15" t="str">
        <f>IFERROR(__xludf.DUMMYFUNCTION("""COMPUTED_VALUE"""),"Mana")</f>
        <v>Mana</v>
      </c>
      <c r="H7298" s="16">
        <f>IFERROR(__xludf.DUMMYFUNCTION("""COMPUTED_VALUE"""),16037.0)</f>
        <v>16037</v>
      </c>
      <c r="I7298" s="18">
        <f>IFERROR(__xludf.DUMMYFUNCTION("""COMPUTED_VALUE"""),24.0)</f>
        <v>24</v>
      </c>
      <c r="J7298" s="18">
        <f>IFERROR(__xludf.DUMMYFUNCTION("""COMPUTED_VALUE"""),24.0)</f>
        <v>24</v>
      </c>
      <c r="K7298" s="18">
        <f>IFERROR(__xludf.DUMMYFUNCTION("""COMPUTED_VALUE"""),24.0)</f>
        <v>24</v>
      </c>
      <c r="L7298" s="17">
        <f>IFERROR(__xludf.DUMMYFUNCTION("""COMPUTED_VALUE"""),3.053685385E9)</f>
        <v>3053685385</v>
      </c>
      <c r="M7298" s="17"/>
      <c r="N7298" s="17"/>
      <c r="O7298" s="17"/>
      <c r="P7298" s="17" t="b">
        <f>IFERROR(__xludf.DUMMYFUNCTION("""COMPUTED_VALUE"""),TRUE)</f>
        <v>1</v>
      </c>
      <c r="Q7298" s="20">
        <f>IFERROR(__xludf.DUMMYFUNCTION("""COMPUTED_VALUE"""),45205.45603903935)</f>
        <v>45205.45604</v>
      </c>
      <c r="R7298" s="22" t="str">
        <f>IFERROR(__xludf.DUMMYFUNCTION("""COMPUTED_VALUE"""),"")</f>
        <v/>
      </c>
    </row>
    <row r="7299">
      <c r="A7299" s="15">
        <f>IFERROR(__xludf.DUMMYFUNCTION("""COMPUTED_VALUE"""),45205.0)</f>
        <v>45205</v>
      </c>
      <c r="B7299" s="16" t="str">
        <f>IFERROR(__xludf.DUMMYFUNCTION("""COMPUTED_VALUE"""),"EASYMAIL S.A.S")</f>
        <v>EASYMAIL S.A.S</v>
      </c>
      <c r="C7299" s="15" t="str">
        <f>IFERROR(__xludf.DUMMYFUNCTION("""COMPUTED_VALUE"""),"BOGOTÁ")</f>
        <v>BOGOTÁ</v>
      </c>
      <c r="D7299" s="15" t="str">
        <f>IFERROR(__xludf.DUMMYFUNCTION("""COMPUTED_VALUE"""),"MEDELLÍN")</f>
        <v>MEDELLÍN</v>
      </c>
      <c r="E7299" s="15" t="str">
        <f>IFERROR(__xludf.DUMMYFUNCTION("""COMPUTED_VALUE"""),"Rambla")</f>
        <v>Rambla</v>
      </c>
      <c r="F7299" s="17" t="str">
        <f>IFERROR(__xludf.DUMMYFUNCTION("""COMPUTED_VALUE"""),"carrera 72bis No 24c-02 apto 202 / - / -")</f>
        <v>carrera 72bis No 24c-02 apto 202 / - / -</v>
      </c>
      <c r="G7299" s="15" t="str">
        <f>IFERROR(__xludf.DUMMYFUNCTION("""COMPUTED_VALUE"""),"Luis Medina")</f>
        <v>Luis Medina</v>
      </c>
      <c r="H7299" s="16">
        <f>IFERROR(__xludf.DUMMYFUNCTION("""COMPUTED_VALUE"""),16045.0)</f>
        <v>16045</v>
      </c>
      <c r="I7299" s="18">
        <f>IFERROR(__xludf.DUMMYFUNCTION("""COMPUTED_VALUE"""),17.0)</f>
        <v>17</v>
      </c>
      <c r="J7299" s="18">
        <f>IFERROR(__xludf.DUMMYFUNCTION("""COMPUTED_VALUE"""),20.0)</f>
        <v>20</v>
      </c>
      <c r="K7299" s="18">
        <f>IFERROR(__xludf.DUMMYFUNCTION("""COMPUTED_VALUE"""),20.0)</f>
        <v>20</v>
      </c>
      <c r="L7299" s="17">
        <f>IFERROR(__xludf.DUMMYFUNCTION("""COMPUTED_VALUE"""),3.006077106E9)</f>
        <v>3006077106</v>
      </c>
      <c r="M7299" s="17"/>
      <c r="N7299" s="17"/>
      <c r="O7299" s="17"/>
      <c r="P7299" s="17" t="b">
        <f>IFERROR(__xludf.DUMMYFUNCTION("""COMPUTED_VALUE"""),FALSE)</f>
        <v>0</v>
      </c>
      <c r="Q7299" s="20" t="str">
        <f>IFERROR(__xludf.DUMMYFUNCTION("""COMPUTED_VALUE"""),"")</f>
        <v/>
      </c>
      <c r="R7299" s="22" t="str">
        <f>IFERROR(__xludf.DUMMYFUNCTION("""COMPUTED_VALUE"""),"")</f>
        <v/>
      </c>
    </row>
    <row r="7300">
      <c r="A7300" s="15">
        <f>IFERROR(__xludf.DUMMYFUNCTION("""COMPUTED_VALUE"""),45205.0)</f>
        <v>45205</v>
      </c>
      <c r="B7300" s="16" t="str">
        <f>IFERROR(__xludf.DUMMYFUNCTION("""COMPUTED_VALUE"""),"EASYMAIL S.A.S")</f>
        <v>EASYMAIL S.A.S</v>
      </c>
      <c r="C7300" s="15" t="str">
        <f>IFERROR(__xludf.DUMMYFUNCTION("""COMPUTED_VALUE"""),"BOGOTÁ")</f>
        <v>BOGOTÁ</v>
      </c>
      <c r="D7300" s="15" t="str">
        <f>IFERROR(__xludf.DUMMYFUNCTION("""COMPUTED_VALUE"""),"MEDELLÍN")</f>
        <v>MEDELLÍN</v>
      </c>
      <c r="E7300" s="15" t="str">
        <f>IFERROR(__xludf.DUMMYFUNCTION("""COMPUTED_VALUE"""),"Rambla")</f>
        <v>Rambla</v>
      </c>
      <c r="F7300" s="17" t="str">
        <f>IFERROR(__xludf.DUMMYFUNCTION("""COMPUTED_VALUE"""),"Cl. 93a #11-46, Barrio Chicó / - / -")</f>
        <v>Cl. 93a #11-46, Barrio Chicó / - / -</v>
      </c>
      <c r="G7300" s="15" t="str">
        <f>IFERROR(__xludf.DUMMYFUNCTION("""COMPUTED_VALUE"""),"Fit Hub")</f>
        <v>Fit Hub</v>
      </c>
      <c r="H7300" s="16">
        <f>IFERROR(__xludf.DUMMYFUNCTION("""COMPUTED_VALUE"""),16043.0)</f>
        <v>16043</v>
      </c>
      <c r="I7300" s="18">
        <f>IFERROR(__xludf.DUMMYFUNCTION("""COMPUTED_VALUE"""),12.0)</f>
        <v>12</v>
      </c>
      <c r="J7300" s="18">
        <f>IFERROR(__xludf.DUMMYFUNCTION("""COMPUTED_VALUE"""),18.0)</f>
        <v>18</v>
      </c>
      <c r="K7300" s="18">
        <f>IFERROR(__xludf.DUMMYFUNCTION("""COMPUTED_VALUE"""),18.0)</f>
        <v>18</v>
      </c>
      <c r="L7300" s="17">
        <f>IFERROR(__xludf.DUMMYFUNCTION("""COMPUTED_VALUE"""),3.015447307E9)</f>
        <v>3015447307</v>
      </c>
      <c r="M7300" s="17"/>
      <c r="N7300" s="17"/>
      <c r="O7300" s="17"/>
      <c r="P7300" s="17" t="b">
        <f>IFERROR(__xludf.DUMMYFUNCTION("""COMPUTED_VALUE"""),FALSE)</f>
        <v>0</v>
      </c>
      <c r="Q7300" s="20" t="str">
        <f>IFERROR(__xludf.DUMMYFUNCTION("""COMPUTED_VALUE"""),"")</f>
        <v/>
      </c>
      <c r="R7300" s="22" t="str">
        <f>IFERROR(__xludf.DUMMYFUNCTION("""COMPUTED_VALUE"""),"")</f>
        <v/>
      </c>
    </row>
    <row r="7301">
      <c r="A7301" s="15">
        <f>IFERROR(__xludf.DUMMYFUNCTION("""COMPUTED_VALUE"""),45205.0)</f>
        <v>45205</v>
      </c>
      <c r="B7301" s="16" t="str">
        <f>IFERROR(__xludf.DUMMYFUNCTION("""COMPUTED_VALUE"""),"EASYMAIL S.A.S")</f>
        <v>EASYMAIL S.A.S</v>
      </c>
      <c r="C7301" s="15" t="str">
        <f>IFERROR(__xludf.DUMMYFUNCTION("""COMPUTED_VALUE"""),"BOGOTÁ")</f>
        <v>BOGOTÁ</v>
      </c>
      <c r="D7301" s="15" t="str">
        <f>IFERROR(__xludf.DUMMYFUNCTION("""COMPUTED_VALUE"""),"MEDELLÍN")</f>
        <v>MEDELLÍN</v>
      </c>
      <c r="E7301" s="15" t="str">
        <f>IFERROR(__xludf.DUMMYFUNCTION("""COMPUTED_VALUE"""),"Vivente")</f>
        <v>Vivente</v>
      </c>
      <c r="F7301" s="17" t="str">
        <f>IFERROR(__xludf.DUMMYFUNCTION("""COMPUTED_VALUE"""),"cra 128 145 20  / t5 apto 520 / Barrio. Suba prados de San felipe.")</f>
        <v>cra 128 145 20  / t5 apto 520 / Barrio. Suba prados de San felipe.</v>
      </c>
      <c r="G7301" s="15" t="str">
        <f>IFERROR(__xludf.DUMMYFUNCTION("""COMPUTED_VALUE"""),"Leidy Espinal")</f>
        <v>Leidy Espinal</v>
      </c>
      <c r="H7301" s="16">
        <f>IFERROR(__xludf.DUMMYFUNCTION("""COMPUTED_VALUE"""),16020.0)</f>
        <v>16020</v>
      </c>
      <c r="I7301" s="18">
        <f>IFERROR(__xludf.DUMMYFUNCTION("""COMPUTED_VALUE"""),3.0)</f>
        <v>3</v>
      </c>
      <c r="J7301" s="18">
        <f>IFERROR(__xludf.DUMMYFUNCTION("""COMPUTED_VALUE"""),27.0)</f>
        <v>27</v>
      </c>
      <c r="K7301" s="18">
        <f>IFERROR(__xludf.DUMMYFUNCTION("""COMPUTED_VALUE"""),25.0)</f>
        <v>25</v>
      </c>
      <c r="L7301" s="17">
        <f>IFERROR(__xludf.DUMMYFUNCTION("""COMPUTED_VALUE"""),3.008723757E9)</f>
        <v>3008723757</v>
      </c>
      <c r="M7301" s="17"/>
      <c r="N7301" s="17"/>
      <c r="O7301" s="17"/>
      <c r="P7301" s="17" t="b">
        <f>IFERROR(__xludf.DUMMYFUNCTION("""COMPUTED_VALUE"""),FALSE)</f>
        <v>0</v>
      </c>
      <c r="Q7301" s="20" t="str">
        <f>IFERROR(__xludf.DUMMYFUNCTION("""COMPUTED_VALUE"""),"")</f>
        <v/>
      </c>
      <c r="R7301" s="22" t="str">
        <f>IFERROR(__xludf.DUMMYFUNCTION("""COMPUTED_VALUE"""),"")</f>
        <v/>
      </c>
    </row>
    <row r="7302">
      <c r="A7302" s="15">
        <f>IFERROR(__xludf.DUMMYFUNCTION("""COMPUTED_VALUE"""),45205.0)</f>
        <v>45205</v>
      </c>
      <c r="B7302" s="16" t="str">
        <f>IFERROR(__xludf.DUMMYFUNCTION("""COMPUTED_VALUE"""),"EASYMAIL S.A.S")</f>
        <v>EASYMAIL S.A.S</v>
      </c>
      <c r="C7302" s="15" t="str">
        <f>IFERROR(__xludf.DUMMYFUNCTION("""COMPUTED_VALUE"""),"BOGOTÁ")</f>
        <v>BOGOTÁ</v>
      </c>
      <c r="D7302" s="15" t="str">
        <f>IFERROR(__xludf.DUMMYFUNCTION("""COMPUTED_VALUE"""),"NEIVA")</f>
        <v>NEIVA</v>
      </c>
      <c r="E7302" s="15" t="str">
        <f>IFERROR(__xludf.DUMMYFUNCTION("""COMPUTED_VALUE"""),"Natalia Carreño")</f>
        <v>Natalia Carreño</v>
      </c>
      <c r="F7302" s="17" t="str">
        <f>IFERROR(__xludf.DUMMYFUNCTION("""COMPUTED_VALUE"""),"Carrera 27 #70-83 / Casa rosada / Barrios Alcázares")</f>
        <v>Carrera 27 #70-83 / Casa rosada / Barrios Alcázares</v>
      </c>
      <c r="G7302" s="15" t="str">
        <f>IFERROR(__xludf.DUMMYFUNCTION("""COMPUTED_VALUE"""),"Natalia Carreño")</f>
        <v>Natalia Carreño</v>
      </c>
      <c r="H7302" s="16">
        <f>IFERROR(__xludf.DUMMYFUNCTION("""COMPUTED_VALUE"""),16015.0)</f>
        <v>16015</v>
      </c>
      <c r="I7302" s="18">
        <f>IFERROR(__xludf.DUMMYFUNCTION("""COMPUTED_VALUE"""),50.0)</f>
        <v>50</v>
      </c>
      <c r="J7302" s="18">
        <f>IFERROR(__xludf.DUMMYFUNCTION("""COMPUTED_VALUE"""),50.0)</f>
        <v>50</v>
      </c>
      <c r="K7302" s="18">
        <f>IFERROR(__xludf.DUMMYFUNCTION("""COMPUTED_VALUE"""),50.0)</f>
        <v>50</v>
      </c>
      <c r="L7302" s="17">
        <f>IFERROR(__xludf.DUMMYFUNCTION("""COMPUTED_VALUE"""),3.11561131E9)</f>
        <v>3115611310</v>
      </c>
      <c r="M7302" s="17"/>
      <c r="N7302" s="17"/>
      <c r="O7302" s="17"/>
      <c r="P7302" s="17" t="b">
        <f>IFERROR(__xludf.DUMMYFUNCTION("""COMPUTED_VALUE"""),FALSE)</f>
        <v>0</v>
      </c>
      <c r="Q7302" s="20" t="str">
        <f>IFERROR(__xludf.DUMMYFUNCTION("""COMPUTED_VALUE"""),"")</f>
        <v/>
      </c>
      <c r="R7302" s="21" t="str">
        <f>IFERROR(__xludf.DUMMYFUNCTION("""COMPUTED_VALUE"""),"https://drive.google.com/file/d/1ztSX9ePb7LcaXmSMwNM9A1F3KARGZKbK/view?usp=drivesdk")</f>
        <v>https://drive.google.com/file/d/1ztSX9ePb7LcaXmSMwNM9A1F3KARGZKbK/view?usp=drivesdk</v>
      </c>
    </row>
    <row r="7303">
      <c r="A7303" s="15">
        <f>IFERROR(__xludf.DUMMYFUNCTION("""COMPUTED_VALUE"""),45205.0)</f>
        <v>45205</v>
      </c>
      <c r="B7303" s="16" t="str">
        <f>IFERROR(__xludf.DUMMYFUNCTION("""COMPUTED_VALUE"""),"EASYMAIL S.A.S")</f>
        <v>EASYMAIL S.A.S</v>
      </c>
      <c r="C7303" s="15" t="str">
        <f>IFERROR(__xludf.DUMMYFUNCTION("""COMPUTED_VALUE"""),"CARTAGENA")</f>
        <v>CARTAGENA</v>
      </c>
      <c r="D7303" s="15" t="str">
        <f>IFERROR(__xludf.DUMMYFUNCTION("""COMPUTED_VALUE"""),"MEDELLÍN")</f>
        <v>MEDELLÍN</v>
      </c>
      <c r="E7303" s="15" t="str">
        <f>IFERROR(__xludf.DUMMYFUNCTION("""COMPUTED_VALUE"""),"Inv. Jelb")</f>
        <v>Inv. Jelb</v>
      </c>
      <c r="F7303" s="17" t="str">
        <f>IFERROR(__xludf.DUMMYFUNCTION("""COMPUTED_VALUE"""),"Cra 4 # 8 -175 / Edificio parque interior 1101 bocagrande / Bocagrande")</f>
        <v>Cra 4 # 8 -175 / Edificio parque interior 1101 bocagrande / Bocagrande</v>
      </c>
      <c r="G7303" s="15" t="str">
        <f>IFERROR(__xludf.DUMMYFUNCTION("""COMPUTED_VALUE"""),"Fabian cadavid")</f>
        <v>Fabian cadavid</v>
      </c>
      <c r="H7303" s="16">
        <f>IFERROR(__xludf.DUMMYFUNCTION("""COMPUTED_VALUE"""),15961.0)</f>
        <v>15961</v>
      </c>
      <c r="I7303" s="18">
        <f>IFERROR(__xludf.DUMMYFUNCTION("""COMPUTED_VALUE"""),21.0)</f>
        <v>21</v>
      </c>
      <c r="J7303" s="18">
        <f>IFERROR(__xludf.DUMMYFUNCTION("""COMPUTED_VALUE"""),30.0)</f>
        <v>30</v>
      </c>
      <c r="K7303" s="18">
        <f>IFERROR(__xludf.DUMMYFUNCTION("""COMPUTED_VALUE"""),50.0)</f>
        <v>50</v>
      </c>
      <c r="L7303" s="17">
        <f>IFERROR(__xludf.DUMMYFUNCTION("""COMPUTED_VALUE"""),3.226188398E9)</f>
        <v>3226188398</v>
      </c>
      <c r="M7303" s="17"/>
      <c r="N7303" s="17"/>
      <c r="O7303" s="17"/>
      <c r="P7303" s="17" t="b">
        <f>IFERROR(__xludf.DUMMYFUNCTION("""COMPUTED_VALUE"""),FALSE)</f>
        <v>0</v>
      </c>
      <c r="Q7303" s="20" t="str">
        <f>IFERROR(__xludf.DUMMYFUNCTION("""COMPUTED_VALUE"""),"")</f>
        <v/>
      </c>
      <c r="R7303" s="21" t="str">
        <f>IFERROR(__xludf.DUMMYFUNCTION("""COMPUTED_VALUE"""),"https://drive.google.com/file/d/1VtkgXu4xfmV7lCMyXXoImcKrBQYRz7ZH/view?usp=drivesdk")</f>
        <v>https://drive.google.com/file/d/1VtkgXu4xfmV7lCMyXXoImcKrBQYRz7ZH/view?usp=drivesdk</v>
      </c>
    </row>
    <row r="7304">
      <c r="A7304" s="17" t="str">
        <f>IFERROR(__xludf.DUMMYFUNCTION("""COMPUTED_VALUE"""),"")</f>
        <v/>
      </c>
      <c r="B7304" s="17" t="str">
        <f>IFERROR(__xludf.DUMMYFUNCTION("""COMPUTED_VALUE"""),"")</f>
        <v/>
      </c>
      <c r="C7304" s="17" t="str">
        <f>IFERROR(__xludf.DUMMYFUNCTION("""COMPUTED_VALUE"""),"")</f>
        <v/>
      </c>
      <c r="D7304" s="17" t="str">
        <f>IFERROR(__xludf.DUMMYFUNCTION("""COMPUTED_VALUE"""),"")</f>
        <v/>
      </c>
      <c r="E7304" s="17" t="str">
        <f>IFERROR(__xludf.DUMMYFUNCTION("""COMPUTED_VALUE"""),"")</f>
        <v/>
      </c>
      <c r="F7304" s="17" t="str">
        <f>IFERROR(__xludf.DUMMYFUNCTION("""COMPUTED_VALUE"""),"")</f>
        <v/>
      </c>
      <c r="G7304" s="17" t="str">
        <f>IFERROR(__xludf.DUMMYFUNCTION("""COMPUTED_VALUE"""),"")</f>
        <v/>
      </c>
      <c r="H7304" s="17" t="str">
        <f>IFERROR(__xludf.DUMMYFUNCTION("""COMPUTED_VALUE"""),"")</f>
        <v/>
      </c>
      <c r="I7304" s="17" t="str">
        <f>IFERROR(__xludf.DUMMYFUNCTION("""COMPUTED_VALUE"""),"")</f>
        <v/>
      </c>
      <c r="J7304" s="17" t="str">
        <f>IFERROR(__xludf.DUMMYFUNCTION("""COMPUTED_VALUE"""),"")</f>
        <v/>
      </c>
      <c r="K7304" s="17" t="str">
        <f>IFERROR(__xludf.DUMMYFUNCTION("""COMPUTED_VALUE"""),"")</f>
        <v/>
      </c>
      <c r="L7304" s="17" t="str">
        <f>IFERROR(__xludf.DUMMYFUNCTION("""COMPUTED_VALUE"""),"")</f>
        <v/>
      </c>
      <c r="M7304" s="17" t="str">
        <f>IFERROR(__xludf.DUMMYFUNCTION("""COMPUTED_VALUE"""),"")</f>
        <v/>
      </c>
      <c r="N7304" s="17" t="str">
        <f>IFERROR(__xludf.DUMMYFUNCTION("""COMPUTED_VALUE"""),"")</f>
        <v/>
      </c>
      <c r="O7304" s="17" t="str">
        <f>IFERROR(__xludf.DUMMYFUNCTION("""COMPUTED_VALUE"""),"")</f>
        <v/>
      </c>
      <c r="P7304" s="17" t="str">
        <f>IFERROR(__xludf.DUMMYFUNCTION("""COMPUTED_VALUE"""),"")</f>
        <v/>
      </c>
      <c r="Q7304" s="17" t="str">
        <f>IFERROR(__xludf.DUMMYFUNCTION("""COMPUTED_VALUE"""),"")</f>
        <v/>
      </c>
      <c r="R7304" s="17" t="str">
        <f>IFERROR(__xludf.DUMMYFUNCTION("""COMPUTED_VALUE"""),"")</f>
        <v/>
      </c>
    </row>
    <row r="7305">
      <c r="A7305" s="15">
        <f>IFERROR(__xludf.DUMMYFUNCTION("""COMPUTED_VALUE"""),45205.0)</f>
        <v>45205</v>
      </c>
      <c r="B7305" s="16" t="str">
        <f>IFERROR(__xludf.DUMMYFUNCTION("""COMPUTED_VALUE"""),"Envia")</f>
        <v>Envia</v>
      </c>
      <c r="C7305" s="15" t="str">
        <f>IFERROR(__xludf.DUMMYFUNCTION("""COMPUTED_VALUE"""),"BARRANQUILLA")</f>
        <v>BARRANQUILLA</v>
      </c>
      <c r="D7305" s="15" t="str">
        <f>IFERROR(__xludf.DUMMYFUNCTION("""COMPUTED_VALUE"""),"MEDELLÍN")</f>
        <v>MEDELLÍN</v>
      </c>
      <c r="E7305" s="15" t="str">
        <f>IFERROR(__xludf.DUMMYFUNCTION("""COMPUTED_VALUE"""),"Videobase")</f>
        <v>Videobase</v>
      </c>
      <c r="F7305" s="17" t="str">
        <f>IFERROR(__xludf.DUMMYFUNCTION("""COMPUTED_VALUE"""),"Calle 80 # 53-23 Suite 3B / Efena S.A.S / No tenemos")</f>
        <v>Calle 80 # 53-23 Suite 3B / Efena S.A.S / No tenemos</v>
      </c>
      <c r="G7305" s="15" t="str">
        <f>IFERROR(__xludf.DUMMYFUNCTION("""COMPUTED_VALUE"""),"Mayer Wancejer")</f>
        <v>Mayer Wancejer</v>
      </c>
      <c r="H7305" s="16">
        <f>IFERROR(__xludf.DUMMYFUNCTION("""COMPUTED_VALUE"""),16004.0)</f>
        <v>16004</v>
      </c>
      <c r="I7305" s="18">
        <f>IFERROR(__xludf.DUMMYFUNCTION("""COMPUTED_VALUE"""),4.0)</f>
        <v>4</v>
      </c>
      <c r="J7305" s="18">
        <f>IFERROR(__xludf.DUMMYFUNCTION("""COMPUTED_VALUE"""),22.0)</f>
        <v>22</v>
      </c>
      <c r="K7305" s="18">
        <f>IFERROR(__xludf.DUMMYFUNCTION("""COMPUTED_VALUE"""),18.0)</f>
        <v>18</v>
      </c>
      <c r="L7305" s="17">
        <f>IFERROR(__xludf.DUMMYFUNCTION("""COMPUTED_VALUE"""),3.126647988E9)</f>
        <v>3126647988</v>
      </c>
      <c r="M7305" s="17"/>
      <c r="N7305" s="17"/>
      <c r="O7305" s="17"/>
      <c r="P7305" s="17" t="b">
        <f>IFERROR(__xludf.DUMMYFUNCTION("""COMPUTED_VALUE"""),FALSE)</f>
        <v>0</v>
      </c>
      <c r="Q7305" s="20" t="str">
        <f>IFERROR(__xludf.DUMMYFUNCTION("""COMPUTED_VALUE"""),"")</f>
        <v/>
      </c>
      <c r="R7305" s="21" t="str">
        <f>IFERROR(__xludf.DUMMYFUNCTION("""COMPUTED_VALUE"""),"https://drive.google.com/file/d/13FYPAyvgwp3O7pQSTC2gR9GmwWMLrTO2/view?usp=drivesdk")</f>
        <v>https://drive.google.com/file/d/13FYPAyvgwp3O7pQSTC2gR9GmwWMLrTO2/view?usp=drivesdk</v>
      </c>
    </row>
    <row r="7306">
      <c r="A7306" s="15">
        <f>IFERROR(__xludf.DUMMYFUNCTION("""COMPUTED_VALUE"""),45205.0)</f>
        <v>45205</v>
      </c>
      <c r="B7306" s="16" t="str">
        <f>IFERROR(__xludf.DUMMYFUNCTION("""COMPUTED_VALUE"""),"Envia")</f>
        <v>Envia</v>
      </c>
      <c r="C7306" s="15" t="str">
        <f>IFERROR(__xludf.DUMMYFUNCTION("""COMPUTED_VALUE"""),"BARRANQUILLA")</f>
        <v>BARRANQUILLA</v>
      </c>
      <c r="D7306" s="15" t="str">
        <f>IFERROR(__xludf.DUMMYFUNCTION("""COMPUTED_VALUE"""),"MEDELLÍN")</f>
        <v>MEDELLÍN</v>
      </c>
      <c r="E7306" s="15" t="str">
        <f>IFERROR(__xludf.DUMMYFUNCTION("""COMPUTED_VALUE"""),"Videobase")</f>
        <v>Videobase</v>
      </c>
      <c r="F7306" s="17" t="str">
        <f>IFERROR(__xludf.DUMMYFUNCTION("""COMPUTED_VALUE"""),"Cl 77 No 65 – 37 Of 123 / Orgánicos Del Caribe Sas / No tenemos")</f>
        <v>Cl 77 No 65 – 37 Of 123 / Orgánicos Del Caribe Sas / No tenemos</v>
      </c>
      <c r="G7306" s="15" t="str">
        <f>IFERROR(__xludf.DUMMYFUNCTION("""COMPUTED_VALUE"""),"Maria Teresa Cruz Díaz")</f>
        <v>Maria Teresa Cruz Díaz</v>
      </c>
      <c r="H7306" s="16">
        <f>IFERROR(__xludf.DUMMYFUNCTION("""COMPUTED_VALUE"""),16005.0)</f>
        <v>16005</v>
      </c>
      <c r="I7306" s="18">
        <f>IFERROR(__xludf.DUMMYFUNCTION("""COMPUTED_VALUE"""),4.0)</f>
        <v>4</v>
      </c>
      <c r="J7306" s="18">
        <f>IFERROR(__xludf.DUMMYFUNCTION("""COMPUTED_VALUE"""),22.0)</f>
        <v>22</v>
      </c>
      <c r="K7306" s="18">
        <f>IFERROR(__xludf.DUMMYFUNCTION("""COMPUTED_VALUE"""),18.0)</f>
        <v>18</v>
      </c>
      <c r="L7306" s="17">
        <f>IFERROR(__xludf.DUMMYFUNCTION("""COMPUTED_VALUE"""),3.164055746E9)</f>
        <v>3164055746</v>
      </c>
      <c r="M7306" s="17"/>
      <c r="N7306" s="17"/>
      <c r="O7306" s="17"/>
      <c r="P7306" s="17" t="b">
        <f>IFERROR(__xludf.DUMMYFUNCTION("""COMPUTED_VALUE"""),FALSE)</f>
        <v>0</v>
      </c>
      <c r="Q7306" s="20" t="str">
        <f>IFERROR(__xludf.DUMMYFUNCTION("""COMPUTED_VALUE"""),"")</f>
        <v/>
      </c>
      <c r="R7306" s="21" t="str">
        <f>IFERROR(__xludf.DUMMYFUNCTION("""COMPUTED_VALUE"""),"https://drive.google.com/file/d/1ZKITldSelHbu3Q0Wsrle-SF8_L-c1-RF/view?usp=drivesdk")</f>
        <v>https://drive.google.com/file/d/1ZKITldSelHbu3Q0Wsrle-SF8_L-c1-RF/view?usp=drivesdk</v>
      </c>
    </row>
    <row r="7307">
      <c r="A7307" s="15">
        <f>IFERROR(__xludf.DUMMYFUNCTION("""COMPUTED_VALUE"""),45205.0)</f>
        <v>45205</v>
      </c>
      <c r="B7307" s="16" t="str">
        <f>IFERROR(__xludf.DUMMYFUNCTION("""COMPUTED_VALUE"""),"Envia")</f>
        <v>Envia</v>
      </c>
      <c r="C7307" s="15" t="str">
        <f>IFERROR(__xludf.DUMMYFUNCTION("""COMPUTED_VALUE"""),"BOGOTÁ")</f>
        <v>BOGOTÁ</v>
      </c>
      <c r="D7307" s="15" t="str">
        <f>IFERROR(__xludf.DUMMYFUNCTION("""COMPUTED_VALUE"""),"MEDELLÍN")</f>
        <v>MEDELLÍN</v>
      </c>
      <c r="E7307" s="15" t="str">
        <f>IFERROR(__xludf.DUMMYFUNCTION("""COMPUTED_VALUE"""),"Baby Chef")</f>
        <v>Baby Chef</v>
      </c>
      <c r="F7307" s="17" t="str">
        <f>IFERROR(__xludf.DUMMYFUNCTION("""COMPUTED_VALUE"""),"Calle 106A # 54-78. Apto 201 Barrio: Puente Largo Edificio: Govinda / Calle 106A # 54-78. Apto 201 Barrio: Puente Largo Edificio: Govinda / Calle 106A # 54-78. Apto 201 Barrio: Puente Largo Edificio: Govinda")</f>
        <v>Calle 106A # 54-78. Apto 201 Barrio: Puente Largo Edificio: Govinda / Calle 106A # 54-78. Apto 201 Barrio: Puente Largo Edificio: Govinda / Calle 106A # 54-78. Apto 201 Barrio: Puente Largo Edificio: Govinda</v>
      </c>
      <c r="G7307" s="15" t="str">
        <f>IFERROR(__xludf.DUMMYFUNCTION("""COMPUTED_VALUE"""),"Oscar Espinosa")</f>
        <v>Oscar Espinosa</v>
      </c>
      <c r="H7307" s="16">
        <f>IFERROR(__xludf.DUMMYFUNCTION("""COMPUTED_VALUE"""),16032.0)</f>
        <v>16032</v>
      </c>
      <c r="I7307" s="18">
        <f>IFERROR(__xludf.DUMMYFUNCTION("""COMPUTED_VALUE"""),6.0)</f>
        <v>6</v>
      </c>
      <c r="J7307" s="18">
        <f>IFERROR(__xludf.DUMMYFUNCTION("""COMPUTED_VALUE"""),21.0)</f>
        <v>21</v>
      </c>
      <c r="K7307" s="18">
        <f>IFERROR(__xludf.DUMMYFUNCTION("""COMPUTED_VALUE"""),33.0)</f>
        <v>33</v>
      </c>
      <c r="L7307" s="17">
        <f>IFERROR(__xludf.DUMMYFUNCTION("""COMPUTED_VALUE"""),3.184560864E9)</f>
        <v>3184560864</v>
      </c>
      <c r="M7307" s="17"/>
      <c r="N7307" s="17"/>
      <c r="O7307" s="17"/>
      <c r="P7307" s="17" t="b">
        <f>IFERROR(__xludf.DUMMYFUNCTION("""COMPUTED_VALUE"""),FALSE)</f>
        <v>0</v>
      </c>
      <c r="Q7307" s="20" t="str">
        <f>IFERROR(__xludf.DUMMYFUNCTION("""COMPUTED_VALUE"""),"")</f>
        <v/>
      </c>
      <c r="R7307" s="22" t="str">
        <f>IFERROR(__xludf.DUMMYFUNCTION("""COMPUTED_VALUE"""),"")</f>
        <v/>
      </c>
    </row>
    <row r="7308">
      <c r="A7308" s="15">
        <f>IFERROR(__xludf.DUMMYFUNCTION("""COMPUTED_VALUE"""),45205.0)</f>
        <v>45205</v>
      </c>
      <c r="B7308" s="16" t="str">
        <f>IFERROR(__xludf.DUMMYFUNCTION("""COMPUTED_VALUE"""),"Envia")</f>
        <v>Envia</v>
      </c>
      <c r="C7308" s="15" t="str">
        <f>IFERROR(__xludf.DUMMYFUNCTION("""COMPUTED_VALUE"""),"BOGOTÁ")</f>
        <v>BOGOTÁ</v>
      </c>
      <c r="D7308" s="15" t="str">
        <f>IFERROR(__xludf.DUMMYFUNCTION("""COMPUTED_VALUE"""),"MEDELLÍN")</f>
        <v>MEDELLÍN</v>
      </c>
      <c r="E7308" s="15" t="str">
        <f>IFERROR(__xludf.DUMMYFUNCTION("""COMPUTED_VALUE"""),"Baby Chef")</f>
        <v>Baby Chef</v>
      </c>
      <c r="F7308" s="17" t="str">
        <f>IFERROR(__xludf.DUMMYFUNCTION("""COMPUTED_VALUE"""),"Carrera 43#24A-05 Apto 401 edif. Portal de quinta paredes / Carrera 43#24A-05 Apto 401 edif. Portal de quinta paredes / Carrera 43#24A-05 Apto 401 edif. Portal de quinta paredes")</f>
        <v>Carrera 43#24A-05 Apto 401 edif. Portal de quinta paredes / Carrera 43#24A-05 Apto 401 edif. Portal de quinta paredes / Carrera 43#24A-05 Apto 401 edif. Portal de quinta paredes</v>
      </c>
      <c r="G7308" s="15" t="str">
        <f>IFERROR(__xludf.DUMMYFUNCTION("""COMPUTED_VALUE"""),"Sandra Caliman")</f>
        <v>Sandra Caliman</v>
      </c>
      <c r="H7308" s="16">
        <f>IFERROR(__xludf.DUMMYFUNCTION("""COMPUTED_VALUE"""),16028.0)</f>
        <v>16028</v>
      </c>
      <c r="I7308" s="18">
        <f>IFERROR(__xludf.DUMMYFUNCTION("""COMPUTED_VALUE"""),12.0)</f>
        <v>12</v>
      </c>
      <c r="J7308" s="18">
        <f>IFERROR(__xludf.DUMMYFUNCTION("""COMPUTED_VALUE"""),32.0)</f>
        <v>32</v>
      </c>
      <c r="K7308" s="18">
        <f>IFERROR(__xludf.DUMMYFUNCTION("""COMPUTED_VALUE"""),44.0)</f>
        <v>44</v>
      </c>
      <c r="L7308" s="17">
        <f>IFERROR(__xludf.DUMMYFUNCTION("""COMPUTED_VALUE"""),3.132833408E9)</f>
        <v>3132833408</v>
      </c>
      <c r="M7308" s="17"/>
      <c r="N7308" s="17"/>
      <c r="O7308" s="17"/>
      <c r="P7308" s="17" t="b">
        <f>IFERROR(__xludf.DUMMYFUNCTION("""COMPUTED_VALUE"""),FALSE)</f>
        <v>0</v>
      </c>
      <c r="Q7308" s="20" t="str">
        <f>IFERROR(__xludf.DUMMYFUNCTION("""COMPUTED_VALUE"""),"")</f>
        <v/>
      </c>
      <c r="R7308" s="22" t="str">
        <f>IFERROR(__xludf.DUMMYFUNCTION("""COMPUTED_VALUE"""),"")</f>
        <v/>
      </c>
    </row>
    <row r="7309">
      <c r="A7309" s="15">
        <f>IFERROR(__xludf.DUMMYFUNCTION("""COMPUTED_VALUE"""),45205.0)</f>
        <v>45205</v>
      </c>
      <c r="B7309" s="16" t="str">
        <f>IFERROR(__xludf.DUMMYFUNCTION("""COMPUTED_VALUE"""),"Envia")</f>
        <v>Envia</v>
      </c>
      <c r="C7309" s="15" t="str">
        <f>IFERROR(__xludf.DUMMYFUNCTION("""COMPUTED_VALUE"""),"BOGOTÁ")</f>
        <v>BOGOTÁ</v>
      </c>
      <c r="D7309" s="15" t="str">
        <f>IFERROR(__xludf.DUMMYFUNCTION("""COMPUTED_VALUE"""),"MEDELLÍN")</f>
        <v>MEDELLÍN</v>
      </c>
      <c r="E7309" s="15" t="str">
        <f>IFERROR(__xludf.DUMMYFUNCTION("""COMPUTED_VALUE"""),"Magda")</f>
        <v>Magda</v>
      </c>
      <c r="F7309" s="17" t="str">
        <f>IFERROR(__xludf.DUMMYFUNCTION("""COMPUTED_VALUE"""),"Calle 71 A # 14 A-22/26 / Cocina Oculta  / Barrio San Felipe")</f>
        <v>Calle 71 A # 14 A-22/26 / Cocina Oculta  / Barrio San Felipe</v>
      </c>
      <c r="G7309" s="15" t="str">
        <f>IFERROR(__xludf.DUMMYFUNCTION("""COMPUTED_VALUE"""),"Danilo Ardila")</f>
        <v>Danilo Ardila</v>
      </c>
      <c r="H7309" s="16">
        <f>IFERROR(__xludf.DUMMYFUNCTION("""COMPUTED_VALUE"""),16034.0)</f>
        <v>16034</v>
      </c>
      <c r="I7309" s="18">
        <f>IFERROR(__xludf.DUMMYFUNCTION("""COMPUTED_VALUE"""),23213.0)</f>
        <v>23213</v>
      </c>
      <c r="J7309" s="18">
        <f>IFERROR(__xludf.DUMMYFUNCTION("""COMPUTED_VALUE"""),32132.0)</f>
        <v>32132</v>
      </c>
      <c r="K7309" s="18">
        <f>IFERROR(__xludf.DUMMYFUNCTION("""COMPUTED_VALUE"""),3.12321321E8)</f>
        <v>312321321</v>
      </c>
      <c r="L7309" s="17">
        <f>IFERROR(__xludf.DUMMYFUNCTION("""COMPUTED_VALUE"""),3.156303988E9)</f>
        <v>3156303988</v>
      </c>
      <c r="M7309" s="17"/>
      <c r="N7309" s="17"/>
      <c r="O7309" s="17"/>
      <c r="P7309" s="17" t="b">
        <f>IFERROR(__xludf.DUMMYFUNCTION("""COMPUTED_VALUE"""),FALSE)</f>
        <v>0</v>
      </c>
      <c r="Q7309" s="20" t="str">
        <f>IFERROR(__xludf.DUMMYFUNCTION("""COMPUTED_VALUE"""),"")</f>
        <v/>
      </c>
      <c r="R7309" s="21" t="str">
        <f>IFERROR(__xludf.DUMMYFUNCTION("""COMPUTED_VALUE"""),"https://drive.google.com/file/d/1vysV8m55oY5nj65SgX1GA63f7mGb1m9q/view?usp=drivesdk")</f>
        <v>https://drive.google.com/file/d/1vysV8m55oY5nj65SgX1GA63f7mGb1m9q/view?usp=drivesdk</v>
      </c>
    </row>
    <row r="7310">
      <c r="A7310" s="15">
        <f>IFERROR(__xludf.DUMMYFUNCTION("""COMPUTED_VALUE"""),45205.0)</f>
        <v>45205</v>
      </c>
      <c r="B7310" s="16" t="str">
        <f>IFERROR(__xludf.DUMMYFUNCTION("""COMPUTED_VALUE"""),"Envia")</f>
        <v>Envia</v>
      </c>
      <c r="C7310" s="15" t="str">
        <f>IFERROR(__xludf.DUMMYFUNCTION("""COMPUTED_VALUE"""),"BOGOTÁ")</f>
        <v>BOGOTÁ</v>
      </c>
      <c r="D7310" s="15" t="str">
        <f>IFERROR(__xludf.DUMMYFUNCTION("""COMPUTED_VALUE"""),"MEDELLÍN")</f>
        <v>MEDELLÍN</v>
      </c>
      <c r="E7310" s="15" t="str">
        <f>IFERROR(__xludf.DUMMYFUNCTION("""COMPUTED_VALUE"""),"Rambla")</f>
        <v>Rambla</v>
      </c>
      <c r="F7310" s="17" t="str">
        <f>IFERROR(__xludf.DUMMYFUNCTION("""COMPUTED_VALUE"""),"Calle 80 # 10-51 Apt. 303 Bogota, Colombia / - / -")</f>
        <v>Calle 80 # 10-51 Apt. 303 Bogota, Colombia / - / -</v>
      </c>
      <c r="G7310" s="15" t="str">
        <f>IFERROR(__xludf.DUMMYFUNCTION("""COMPUTED_VALUE"""),"Maria Fernanda Saldarriaga")</f>
        <v>Maria Fernanda Saldarriaga</v>
      </c>
      <c r="H7310" s="16">
        <f>IFERROR(__xludf.DUMMYFUNCTION("""COMPUTED_VALUE"""),16041.0)</f>
        <v>16041</v>
      </c>
      <c r="I7310" s="18">
        <f>IFERROR(__xludf.DUMMYFUNCTION("""COMPUTED_VALUE"""),12.0)</f>
        <v>12</v>
      </c>
      <c r="J7310" s="18">
        <f>IFERROR(__xludf.DUMMYFUNCTION("""COMPUTED_VALUE"""),12.0)</f>
        <v>12</v>
      </c>
      <c r="K7310" s="18">
        <f>IFERROR(__xludf.DUMMYFUNCTION("""COMPUTED_VALUE"""),12.0)</f>
        <v>12</v>
      </c>
      <c r="L7310" s="17">
        <f>IFERROR(__xludf.DUMMYFUNCTION("""COMPUTED_VALUE"""),3.202433601E9)</f>
        <v>3202433601</v>
      </c>
      <c r="M7310" s="17"/>
      <c r="N7310" s="17"/>
      <c r="O7310" s="17"/>
      <c r="P7310" s="17" t="b">
        <f>IFERROR(__xludf.DUMMYFUNCTION("""COMPUTED_VALUE"""),FALSE)</f>
        <v>0</v>
      </c>
      <c r="Q7310" s="20" t="str">
        <f>IFERROR(__xludf.DUMMYFUNCTION("""COMPUTED_VALUE"""),"")</f>
        <v/>
      </c>
      <c r="R7310" s="22" t="str">
        <f>IFERROR(__xludf.DUMMYFUNCTION("""COMPUTED_VALUE"""),"")</f>
        <v/>
      </c>
    </row>
    <row r="7311">
      <c r="A7311" s="15">
        <f>IFERROR(__xludf.DUMMYFUNCTION("""COMPUTED_VALUE"""),45205.0)</f>
        <v>45205</v>
      </c>
      <c r="B7311" s="16" t="str">
        <f>IFERROR(__xludf.DUMMYFUNCTION("""COMPUTED_VALUE"""),"Envia")</f>
        <v>Envia</v>
      </c>
      <c r="C7311" s="15" t="str">
        <f>IFERROR(__xludf.DUMMYFUNCTION("""COMPUTED_VALUE"""),"CÚCUTA")</f>
        <v>CÚCUTA</v>
      </c>
      <c r="D7311" s="15" t="str">
        <f>IFERROR(__xludf.DUMMYFUNCTION("""COMPUTED_VALUE"""),"BOGOTÁ")</f>
        <v>BOGOTÁ</v>
      </c>
      <c r="E7311" s="15" t="str">
        <f>IFERROR(__xludf.DUMMYFUNCTION("""COMPUTED_VALUE"""),"Asociacion Agropecuaria Juana Maria")</f>
        <v>Asociacion Agropecuaria Juana Maria</v>
      </c>
      <c r="F7311" s="17" t="str">
        <f>IFERROR(__xludf.DUMMYFUNCTION("""COMPUTED_VALUE"""),"Calle 18 N #4-31 edificio tulipán apto 702 Prados Norte")</f>
        <v>Calle 18 N #4-31 edificio tulipán apto 702 Prados Norte</v>
      </c>
      <c r="G7311" s="15" t="str">
        <f>IFERROR(__xludf.DUMMYFUNCTION("""COMPUTED_VALUE"""),"Yurley Camacho")</f>
        <v>Yurley Camacho</v>
      </c>
      <c r="H7311" s="16">
        <f>IFERROR(__xludf.DUMMYFUNCTION("""COMPUTED_VALUE"""),15795.0)</f>
        <v>15795</v>
      </c>
      <c r="I7311" s="18">
        <f>IFERROR(__xludf.DUMMYFUNCTION("""COMPUTED_VALUE"""),22.0)</f>
        <v>22</v>
      </c>
      <c r="J7311" s="18">
        <f>IFERROR(__xludf.DUMMYFUNCTION("""COMPUTED_VALUE"""),15.0)</f>
        <v>15</v>
      </c>
      <c r="K7311" s="18">
        <f>IFERROR(__xludf.DUMMYFUNCTION("""COMPUTED_VALUE"""),3.0)</f>
        <v>3</v>
      </c>
      <c r="L7311" s="17">
        <f>IFERROR(__xludf.DUMMYFUNCTION("""COMPUTED_VALUE"""),3.142544369E9)</f>
        <v>3142544369</v>
      </c>
      <c r="M7311" s="17"/>
      <c r="N7311" s="17"/>
      <c r="O7311" s="17"/>
      <c r="P7311" s="17" t="b">
        <f>IFERROR(__xludf.DUMMYFUNCTION("""COMPUTED_VALUE"""),FALSE)</f>
        <v>0</v>
      </c>
      <c r="Q7311" s="20" t="str">
        <f>IFERROR(__xludf.DUMMYFUNCTION("""COMPUTED_VALUE"""),"")</f>
        <v/>
      </c>
      <c r="R7311" s="21" t="str">
        <f>IFERROR(__xludf.DUMMYFUNCTION("""COMPUTED_VALUE"""),"https://drive.google.com/file/d/12eccUbk7wZ6o3nkhtXEpsSf5X3gwVMqS/view?usp=drivesdk")</f>
        <v>https://drive.google.com/file/d/12eccUbk7wZ6o3nkhtXEpsSf5X3gwVMqS/view?usp=drivesdk</v>
      </c>
    </row>
    <row r="7312">
      <c r="A7312" s="15">
        <f>IFERROR(__xludf.DUMMYFUNCTION("""COMPUTED_VALUE"""),45205.0)</f>
        <v>45205</v>
      </c>
      <c r="B7312" s="16" t="str">
        <f>IFERROR(__xludf.DUMMYFUNCTION("""COMPUTED_VALUE"""),"Envia")</f>
        <v>Envia</v>
      </c>
      <c r="C7312" s="15" t="str">
        <f>IFERROR(__xludf.DUMMYFUNCTION("""COMPUTED_VALUE"""),"CÚCUTA")</f>
        <v>CÚCUTA</v>
      </c>
      <c r="D7312" s="15" t="str">
        <f>IFERROR(__xludf.DUMMYFUNCTION("""COMPUTED_VALUE"""),"MEDELLÍN")</f>
        <v>MEDELLÍN</v>
      </c>
      <c r="E7312" s="15" t="str">
        <f>IFERROR(__xludf.DUMMYFUNCTION("""COMPUTED_VALUE"""),"Moloso S.A.S")</f>
        <v>Moloso S.A.S</v>
      </c>
      <c r="F7312" s="17" t="str">
        <f>IFERROR(__xludf.DUMMYFUNCTION("""COMPUTED_VALUE"""),"CL 7 18 09 / ASTURIAS TORRES AP 402 TORRE A")</f>
        <v>CL 7 18 09 / ASTURIAS TORRES AP 402 TORRE A</v>
      </c>
      <c r="G7312" s="15" t="str">
        <f>IFERROR(__xludf.DUMMYFUNCTION("""COMPUTED_VALUE"""),"GENESIS VICTORIA MELENDEZ")</f>
        <v>GENESIS VICTORIA MELENDEZ</v>
      </c>
      <c r="H7312" s="16">
        <f>IFERROR(__xludf.DUMMYFUNCTION("""COMPUTED_VALUE"""),16006.0)</f>
        <v>16006</v>
      </c>
      <c r="I7312" s="18">
        <f>IFERROR(__xludf.DUMMYFUNCTION("""COMPUTED_VALUE"""),17.0)</f>
        <v>17</v>
      </c>
      <c r="J7312" s="18">
        <f>IFERROR(__xludf.DUMMYFUNCTION("""COMPUTED_VALUE"""),15.0)</f>
        <v>15</v>
      </c>
      <c r="K7312" s="18">
        <f>IFERROR(__xludf.DUMMYFUNCTION("""COMPUTED_VALUE"""),28.0)</f>
        <v>28</v>
      </c>
      <c r="L7312" s="17" t="str">
        <f>IFERROR(__xludf.DUMMYFUNCTION("""COMPUTED_VALUE"""),"317 3835451")</f>
        <v>317 3835451</v>
      </c>
      <c r="M7312" s="17"/>
      <c r="N7312" s="17"/>
      <c r="O7312" s="17"/>
      <c r="P7312" s="17" t="b">
        <f>IFERROR(__xludf.DUMMYFUNCTION("""COMPUTED_VALUE"""),FALSE)</f>
        <v>0</v>
      </c>
      <c r="Q7312" s="20" t="str">
        <f>IFERROR(__xludf.DUMMYFUNCTION("""COMPUTED_VALUE"""),"")</f>
        <v/>
      </c>
      <c r="R7312" s="21" t="str">
        <f>IFERROR(__xludf.DUMMYFUNCTION("""COMPUTED_VALUE"""),"https://drive.google.com/file/d/1koCBLDYWhgyYk-AH12s0KEG8BfY41amx/view?usp=drivesdk")</f>
        <v>https://drive.google.com/file/d/1koCBLDYWhgyYk-AH12s0KEG8BfY41amx/view?usp=drivesdk</v>
      </c>
    </row>
    <row r="7313">
      <c r="A7313" s="15">
        <f>IFERROR(__xludf.DUMMYFUNCTION("""COMPUTED_VALUE"""),45205.0)</f>
        <v>45205</v>
      </c>
      <c r="B7313" s="16" t="str">
        <f>IFERROR(__xludf.DUMMYFUNCTION("""COMPUTED_VALUE"""),"Envia")</f>
        <v>Envia</v>
      </c>
      <c r="C7313" s="15" t="str">
        <f>IFERROR(__xludf.DUMMYFUNCTION("""COMPUTED_VALUE"""),"MEDELLÍN")</f>
        <v>MEDELLÍN</v>
      </c>
      <c r="D7313" s="15" t="str">
        <f>IFERROR(__xludf.DUMMYFUNCTION("""COMPUTED_VALUE"""),"BOGOTÁ")</f>
        <v>BOGOTÁ</v>
      </c>
      <c r="E7313" s="15" t="str">
        <f>IFERROR(__xludf.DUMMYFUNCTION("""COMPUTED_VALUE"""),"FamiliaReal S.A.S")</f>
        <v>FamiliaReal S.A.S</v>
      </c>
      <c r="F7313" s="17" t="str">
        <f>IFERROR(__xludf.DUMMYFUNCTION("""COMPUTED_VALUE"""),"Carrera 105 F 61 A 17, Casa tercer piso, robledo santa margarita, sector el plan")</f>
        <v>Carrera 105 F 61 A 17, Casa tercer piso, robledo santa margarita, sector el plan</v>
      </c>
      <c r="G7313" s="15" t="str">
        <f>IFERROR(__xludf.DUMMYFUNCTION("""COMPUTED_VALUE"""),"Yany Paola Mejía Pineda")</f>
        <v>Yany Paola Mejía Pineda</v>
      </c>
      <c r="H7313" s="16">
        <f>IFERROR(__xludf.DUMMYFUNCTION("""COMPUTED_VALUE"""),15916.0)</f>
        <v>15916</v>
      </c>
      <c r="I7313" s="18">
        <f>IFERROR(__xludf.DUMMYFUNCTION("""COMPUTED_VALUE"""),26.0)</f>
        <v>26</v>
      </c>
      <c r="J7313" s="18">
        <f>IFERROR(__xludf.DUMMYFUNCTION("""COMPUTED_VALUE"""),45115.0)</f>
        <v>45115</v>
      </c>
      <c r="K7313" s="18">
        <f>IFERROR(__xludf.DUMMYFUNCTION("""COMPUTED_VALUE"""),45115.0)</f>
        <v>45115</v>
      </c>
      <c r="L7313" s="17">
        <f>IFERROR(__xludf.DUMMYFUNCTION("""COMPUTED_VALUE"""),3.148745373E9)</f>
        <v>3148745373</v>
      </c>
      <c r="M7313" s="17"/>
      <c r="N7313" s="17"/>
      <c r="O7313" s="17"/>
      <c r="P7313" s="17" t="b">
        <f>IFERROR(__xludf.DUMMYFUNCTION("""COMPUTED_VALUE"""),FALSE)</f>
        <v>0</v>
      </c>
      <c r="Q7313" s="20" t="str">
        <f>IFERROR(__xludf.DUMMYFUNCTION("""COMPUTED_VALUE"""),"")</f>
        <v/>
      </c>
      <c r="R7313" s="21" t="str">
        <f>IFERROR(__xludf.DUMMYFUNCTION("""COMPUTED_VALUE"""),"https://drive.google.com/file/d/1juKmzxzHBDlTDIrgFysDns8PGzFPTEbf/view?usp=drivesdk")</f>
        <v>https://drive.google.com/file/d/1juKmzxzHBDlTDIrgFysDns8PGzFPTEbf/view?usp=drivesdk</v>
      </c>
    </row>
    <row r="7314">
      <c r="A7314" s="15">
        <f>IFERROR(__xludf.DUMMYFUNCTION("""COMPUTED_VALUE"""),45205.0)</f>
        <v>45205</v>
      </c>
      <c r="B7314" s="16" t="str">
        <f>IFERROR(__xludf.DUMMYFUNCTION("""COMPUTED_VALUE"""),"Envia")</f>
        <v>Envia</v>
      </c>
      <c r="C7314" s="15" t="str">
        <f>IFERROR(__xludf.DUMMYFUNCTION("""COMPUTED_VALUE"""),"MEDELLÍN")</f>
        <v>MEDELLÍN</v>
      </c>
      <c r="D7314" s="15" t="str">
        <f>IFERROR(__xludf.DUMMYFUNCTION("""COMPUTED_VALUE"""),"BOGOTÁ")</f>
        <v>BOGOTÁ</v>
      </c>
      <c r="E7314" s="15" t="str">
        <f>IFERROR(__xludf.DUMMYFUNCTION("""COMPUTED_VALUE"""),"Frubits")</f>
        <v>Frubits</v>
      </c>
      <c r="F7314" s="17" t="str">
        <f>IFERROR(__xludf.DUMMYFUNCTION("""COMPUTED_VALUE"""),"Calle 5g #32-103 / Edificio 5G / Medellín, Colombia")</f>
        <v>Calle 5g #32-103 / Edificio 5G / Medellín, Colombia</v>
      </c>
      <c r="G7314" s="15" t="str">
        <f>IFERROR(__xludf.DUMMYFUNCTION("""COMPUTED_VALUE"""),"Carlos Jones")</f>
        <v>Carlos Jones</v>
      </c>
      <c r="H7314" s="16">
        <f>IFERROR(__xludf.DUMMYFUNCTION("""COMPUTED_VALUE"""),16071.0)</f>
        <v>16071</v>
      </c>
      <c r="I7314" s="18">
        <f>IFERROR(__xludf.DUMMYFUNCTION("""COMPUTED_VALUE"""),20.0)</f>
        <v>20</v>
      </c>
      <c r="J7314" s="18">
        <f>IFERROR(__xludf.DUMMYFUNCTION("""COMPUTED_VALUE"""),10.0)</f>
        <v>10</v>
      </c>
      <c r="K7314" s="18">
        <f>IFERROR(__xludf.DUMMYFUNCTION("""COMPUTED_VALUE"""),10.0)</f>
        <v>10</v>
      </c>
      <c r="L7314" s="17">
        <f>IFERROR(__xludf.DUMMYFUNCTION("""COMPUTED_VALUE"""),3.208270511E9)</f>
        <v>3208270511</v>
      </c>
      <c r="M7314" s="17"/>
      <c r="N7314" s="17"/>
      <c r="O7314" s="17"/>
      <c r="P7314" s="17" t="b">
        <f>IFERROR(__xludf.DUMMYFUNCTION("""COMPUTED_VALUE"""),FALSE)</f>
        <v>0</v>
      </c>
      <c r="Q7314" s="20" t="str">
        <f>IFERROR(__xludf.DUMMYFUNCTION("""COMPUTED_VALUE"""),"")</f>
        <v/>
      </c>
      <c r="R7314" s="21" t="str">
        <f>IFERROR(__xludf.DUMMYFUNCTION("""COMPUTED_VALUE"""),"https://drive.google.com/file/d/13LKx8ecpafyYksVudTP1nObV8XzeAQpF/view?usp=drivesdk")</f>
        <v>https://drive.google.com/file/d/13LKx8ecpafyYksVudTP1nObV8XzeAQpF/view?usp=drivesdk</v>
      </c>
    </row>
    <row r="7315">
      <c r="A7315" s="15">
        <f>IFERROR(__xludf.DUMMYFUNCTION("""COMPUTED_VALUE"""),45205.0)</f>
        <v>45205</v>
      </c>
      <c r="B7315" s="16" t="str">
        <f>IFERROR(__xludf.DUMMYFUNCTION("""COMPUTED_VALUE"""),"Envia")</f>
        <v>Envia</v>
      </c>
      <c r="C7315" s="15" t="str">
        <f>IFERROR(__xludf.DUMMYFUNCTION("""COMPUTED_VALUE"""),"MEDELLÍN")</f>
        <v>MEDELLÍN</v>
      </c>
      <c r="D7315" s="15" t="str">
        <f>IFERROR(__xludf.DUMMYFUNCTION("""COMPUTED_VALUE"""),"BOGOTÁ")</f>
        <v>BOGOTÁ</v>
      </c>
      <c r="E7315" s="15" t="str">
        <f>IFERROR(__xludf.DUMMYFUNCTION("""COMPUTED_VALUE"""),"MAI ALIMENTOS S.A.S")</f>
        <v>MAI ALIMENTOS S.A.S</v>
      </c>
      <c r="F7315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7315" s="15" t="str">
        <f>IFERROR(__xludf.DUMMYFUNCTION("""COMPUTED_VALUE"""),"Novaventas")</f>
        <v>Novaventas</v>
      </c>
      <c r="H7315" s="16">
        <f>IFERROR(__xludf.DUMMYFUNCTION("""COMPUTED_VALUE"""),15960.0)</f>
        <v>15960</v>
      </c>
      <c r="I7315" s="18">
        <f>IFERROR(__xludf.DUMMYFUNCTION("""COMPUTED_VALUE"""),35.0)</f>
        <v>35</v>
      </c>
      <c r="J7315" s="18">
        <f>IFERROR(__xludf.DUMMYFUNCTION("""COMPUTED_VALUE"""),17.0)</f>
        <v>17</v>
      </c>
      <c r="K7315" s="18">
        <f>IFERROR(__xludf.DUMMYFUNCTION("""COMPUTED_VALUE"""),13.0)</f>
        <v>13</v>
      </c>
      <c r="L7315" s="17"/>
      <c r="M7315" s="17"/>
      <c r="N7315" s="17"/>
      <c r="O7315" s="17"/>
      <c r="P7315" s="17" t="b">
        <f>IFERROR(__xludf.DUMMYFUNCTION("""COMPUTED_VALUE"""),FALSE)</f>
        <v>0</v>
      </c>
      <c r="Q7315" s="20" t="str">
        <f>IFERROR(__xludf.DUMMYFUNCTION("""COMPUTED_VALUE"""),"")</f>
        <v/>
      </c>
      <c r="R7315" s="21" t="str">
        <f>IFERROR(__xludf.DUMMYFUNCTION("""COMPUTED_VALUE"""),"https://drive.google.com/file/d/1IX8pIYIDxTIwUISe--I4Ck8A1Uo9B25L/view?usp=drivesdk")</f>
        <v>https://drive.google.com/file/d/1IX8pIYIDxTIwUISe--I4Ck8A1Uo9B25L/view?usp=drivesdk</v>
      </c>
    </row>
    <row r="7316">
      <c r="A7316" s="15">
        <f>IFERROR(__xludf.DUMMYFUNCTION("""COMPUTED_VALUE"""),45205.0)</f>
        <v>45205</v>
      </c>
      <c r="B7316" s="16" t="str">
        <f>IFERROR(__xludf.DUMMYFUNCTION("""COMPUTED_VALUE"""),"Envia")</f>
        <v>Envia</v>
      </c>
      <c r="C7316" s="15" t="str">
        <f>IFERROR(__xludf.DUMMYFUNCTION("""COMPUTED_VALUE"""),"MEDELLÍN")</f>
        <v>MEDELLÍN</v>
      </c>
      <c r="D7316" s="15" t="str">
        <f>IFERROR(__xludf.DUMMYFUNCTION("""COMPUTED_VALUE"""),"BOGOTÁ")</f>
        <v>BOGOTÁ</v>
      </c>
      <c r="E7316" s="15" t="str">
        <f>IFERROR(__xludf.DUMMYFUNCTION("""COMPUTED_VALUE"""),"Pan de Waffle")</f>
        <v>Pan de Waffle</v>
      </c>
      <c r="F7316" s="17" t="str">
        <f>IFERROR(__xludf.DUMMYFUNCTION("""COMPUTED_VALUE"""),"Carrera 25 # 10 - 40 Apto 1302 Caminos de Monticello  / Carrera 25 # 10 - 40 Apto 1302 Caminos de Monticello  / Carrera 25 # 10 - 40 Apto 1302 Caminos de Monticello")</f>
        <v>Carrera 25 # 10 - 40 Apto 1302 Caminos de Monticello  / Carrera 25 # 10 - 40 Apto 1302 Caminos de Monticello  / Carrera 25 # 10 - 40 Apto 1302 Caminos de Monticello</v>
      </c>
      <c r="G7316" s="15" t="str">
        <f>IFERROR(__xludf.DUMMYFUNCTION("""COMPUTED_VALUE"""),"ANA SOFIA TORRADO")</f>
        <v>ANA SOFIA TORRADO</v>
      </c>
      <c r="H7316" s="16">
        <f>IFERROR(__xludf.DUMMYFUNCTION("""COMPUTED_VALUE"""),16019.0)</f>
        <v>16019</v>
      </c>
      <c r="I7316" s="18">
        <f>IFERROR(__xludf.DUMMYFUNCTION("""COMPUTED_VALUE"""),40.0)</f>
        <v>40</v>
      </c>
      <c r="J7316" s="18">
        <f>IFERROR(__xludf.DUMMYFUNCTION("""COMPUTED_VALUE"""),30.0)</f>
        <v>30</v>
      </c>
      <c r="K7316" s="18">
        <f>IFERROR(__xludf.DUMMYFUNCTION("""COMPUTED_VALUE"""),30.0)</f>
        <v>30</v>
      </c>
      <c r="L7316" s="17">
        <f>IFERROR(__xludf.DUMMYFUNCTION("""COMPUTED_VALUE"""),3.164178153E9)</f>
        <v>3164178153</v>
      </c>
      <c r="M7316" s="17"/>
      <c r="N7316" s="17"/>
      <c r="O7316" s="17"/>
      <c r="P7316" s="17" t="b">
        <f>IFERROR(__xludf.DUMMYFUNCTION("""COMPUTED_VALUE"""),FALSE)</f>
        <v>0</v>
      </c>
      <c r="Q7316" s="20" t="str">
        <f>IFERROR(__xludf.DUMMYFUNCTION("""COMPUTED_VALUE"""),"")</f>
        <v/>
      </c>
      <c r="R7316" s="21" t="str">
        <f>IFERROR(__xludf.DUMMYFUNCTION("""COMPUTED_VALUE"""),"https://drive.google.com/file/d/1lPXfDrjf_TSplPa8b4I9Se-bQavN1eta/view?usp=drivesdk")</f>
        <v>https://drive.google.com/file/d/1lPXfDrjf_TSplPa8b4I9Se-bQavN1eta/view?usp=drivesdk</v>
      </c>
    </row>
    <row r="7317">
      <c r="A7317" s="15">
        <f>IFERROR(__xludf.DUMMYFUNCTION("""COMPUTED_VALUE"""),45205.0)</f>
        <v>45205</v>
      </c>
      <c r="B7317" s="16" t="str">
        <f>IFERROR(__xludf.DUMMYFUNCTION("""COMPUTED_VALUE"""),"Envia")</f>
        <v>Envia</v>
      </c>
      <c r="C7317" s="15" t="str">
        <f>IFERROR(__xludf.DUMMYFUNCTION("""COMPUTED_VALUE"""),"SANTA MARTA")</f>
        <v>SANTA MARTA</v>
      </c>
      <c r="D7317" s="15" t="str">
        <f>IFERROR(__xludf.DUMMYFUNCTION("""COMPUTED_VALUE"""),"BUCARAMANGA")</f>
        <v>BUCARAMANGA</v>
      </c>
      <c r="E7317" s="15" t="str">
        <f>IFERROR(__xludf.DUMMYFUNCTION("""COMPUTED_VALUE"""),"Yo Como Solito")</f>
        <v>Yo Como Solito</v>
      </c>
      <c r="F7317" s="17" t="str">
        <f>IFERROR(__xludf.DUMMYFUNCTION("""COMPUTED_VALUE"""),"CALLE 15 #21-115 APARTAMENTO 6C EDIFICIO ESLOVENIA  / CALLE 15 #21-115 APARTAMENTO 6C EDIFICIO ESLOVENIA / CALLE 15 #21-115 APARTAMENTO 6C EDIFICIO ESLOVENIA")</f>
        <v>CALLE 15 #21-115 APARTAMENTO 6C EDIFICIO ESLOVENIA  / CALLE 15 #21-115 APARTAMENTO 6C EDIFICIO ESLOVENIA / CALLE 15 #21-115 APARTAMENTO 6C EDIFICIO ESLOVENIA</v>
      </c>
      <c r="G7317" s="15" t="str">
        <f>IFERROR(__xludf.DUMMYFUNCTION("""COMPUTED_VALUE"""),"PAMELA PEDRAZA PEREZ")</f>
        <v>PAMELA PEDRAZA PEREZ</v>
      </c>
      <c r="H7317" s="16">
        <f>IFERROR(__xludf.DUMMYFUNCTION("""COMPUTED_VALUE"""),15901.0)</f>
        <v>15901</v>
      </c>
      <c r="I7317" s="18">
        <f>IFERROR(__xludf.DUMMYFUNCTION("""COMPUTED_VALUE"""),14.0)</f>
        <v>14</v>
      </c>
      <c r="J7317" s="18">
        <f>IFERROR(__xludf.DUMMYFUNCTION("""COMPUTED_VALUE"""),27.0)</f>
        <v>27</v>
      </c>
      <c r="K7317" s="18">
        <f>IFERROR(__xludf.DUMMYFUNCTION("""COMPUTED_VALUE"""),30.0)</f>
        <v>30</v>
      </c>
      <c r="L7317" s="17">
        <f>IFERROR(__xludf.DUMMYFUNCTION("""COMPUTED_VALUE"""),3.174012187E9)</f>
        <v>3174012187</v>
      </c>
      <c r="M7317" s="17"/>
      <c r="N7317" s="17"/>
      <c r="O7317" s="17"/>
      <c r="P7317" s="17" t="b">
        <f>IFERROR(__xludf.DUMMYFUNCTION("""COMPUTED_VALUE"""),FALSE)</f>
        <v>0</v>
      </c>
      <c r="Q7317" s="20" t="str">
        <f>IFERROR(__xludf.DUMMYFUNCTION("""COMPUTED_VALUE"""),"")</f>
        <v/>
      </c>
      <c r="R7317" s="21" t="str">
        <f>IFERROR(__xludf.DUMMYFUNCTION("""COMPUTED_VALUE"""),"https://drive.google.com/file/d/157hlTlSfcMfNVEi0MRs3Kkrn-xJue9sB/view?usp=drivesdk")</f>
        <v>https://drive.google.com/file/d/157hlTlSfcMfNVEi0MRs3Kkrn-xJue9sB/view?usp=drivesdk</v>
      </c>
    </row>
    <row r="7318">
      <c r="A7318" s="15">
        <f>IFERROR(__xludf.DUMMYFUNCTION("""COMPUTED_VALUE"""),45205.0)</f>
        <v>45205</v>
      </c>
      <c r="B7318" s="16" t="str">
        <f>IFERROR(__xludf.DUMMYFUNCTION("""COMPUTED_VALUE"""),"Envia")</f>
        <v>Envia</v>
      </c>
      <c r="C7318" s="15" t="str">
        <f>IFERROR(__xludf.DUMMYFUNCTION("""COMPUTED_VALUE"""),"SANTA MARTA")</f>
        <v>SANTA MARTA</v>
      </c>
      <c r="D7318" s="15" t="str">
        <f>IFERROR(__xludf.DUMMYFUNCTION("""COMPUTED_VALUE"""),"BUCARAMANGA")</f>
        <v>BUCARAMANGA</v>
      </c>
      <c r="E7318" s="15" t="str">
        <f>IFERROR(__xludf.DUMMYFUNCTION("""COMPUTED_VALUE"""),"Yo Como Solito")</f>
        <v>Yo Como Solito</v>
      </c>
      <c r="F7318" s="17" t="str">
        <f>IFERROR(__xludf.DUMMYFUNCTION("""COMPUTED_VALUE"""),"CALLE 29N # 17-174 CASA 19 CONJUNTO QUINTAS DEL ROSARIO / CALLE 29N # 17-174 CASA 19 CONJUNTO QUINTAS DEL ROSARIO / CALLE 29N # 17-174 CASA 19 CONJUNTO QUINTAS DEL ROSARIO")</f>
        <v>CALLE 29N # 17-174 CASA 19 CONJUNTO QUINTAS DEL ROSARIO / CALLE 29N # 17-174 CASA 19 CONJUNTO QUINTAS DEL ROSARIO / CALLE 29N # 17-174 CASA 19 CONJUNTO QUINTAS DEL ROSARIO</v>
      </c>
      <c r="G7318" s="15" t="str">
        <f>IFERROR(__xludf.DUMMYFUNCTION("""COMPUTED_VALUE"""),"STEPHANIA GARCIA")</f>
        <v>STEPHANIA GARCIA</v>
      </c>
      <c r="H7318" s="16">
        <f>IFERROR(__xludf.DUMMYFUNCTION("""COMPUTED_VALUE"""),15900.0)</f>
        <v>15900</v>
      </c>
      <c r="I7318" s="18">
        <f>IFERROR(__xludf.DUMMYFUNCTION("""COMPUTED_VALUE"""),18.0)</f>
        <v>18</v>
      </c>
      <c r="J7318" s="18">
        <f>IFERROR(__xludf.DUMMYFUNCTION("""COMPUTED_VALUE"""),24.0)</f>
        <v>24</v>
      </c>
      <c r="K7318" s="18">
        <f>IFERROR(__xludf.DUMMYFUNCTION("""COMPUTED_VALUE"""),29.0)</f>
        <v>29</v>
      </c>
      <c r="L7318" s="17">
        <f>IFERROR(__xludf.DUMMYFUNCTION("""COMPUTED_VALUE"""),3.002695985E9)</f>
        <v>3002695985</v>
      </c>
      <c r="M7318" s="17"/>
      <c r="N7318" s="17"/>
      <c r="O7318" s="17"/>
      <c r="P7318" s="17" t="b">
        <f>IFERROR(__xludf.DUMMYFUNCTION("""COMPUTED_VALUE"""),FALSE)</f>
        <v>0</v>
      </c>
      <c r="Q7318" s="20" t="str">
        <f>IFERROR(__xludf.DUMMYFUNCTION("""COMPUTED_VALUE"""),"")</f>
        <v/>
      </c>
      <c r="R7318" s="21" t="str">
        <f>IFERROR(__xludf.DUMMYFUNCTION("""COMPUTED_VALUE"""),"https://drive.google.com/file/d/1EocjQAiqo4Cim-gx2jJqUKyWpDpRS54_/view?usp=drivesdk")</f>
        <v>https://drive.google.com/file/d/1EocjQAiqo4Cim-gx2jJqUKyWpDpRS54_/view?usp=drivesdk</v>
      </c>
    </row>
    <row r="7319">
      <c r="A7319" s="15">
        <f>IFERROR(__xludf.DUMMYFUNCTION("""COMPUTED_VALUE"""),45205.0)</f>
        <v>45205</v>
      </c>
      <c r="B7319" s="16" t="str">
        <f>IFERROR(__xludf.DUMMYFUNCTION("""COMPUTED_VALUE"""),"Envia")</f>
        <v>Envia</v>
      </c>
      <c r="C7319" s="15" t="str">
        <f>IFERROR(__xludf.DUMMYFUNCTION("""COMPUTED_VALUE"""),"SANTA MARTA")</f>
        <v>SANTA MARTA</v>
      </c>
      <c r="D7319" s="15" t="str">
        <f>IFERROR(__xludf.DUMMYFUNCTION("""COMPUTED_VALUE"""),"MEDELLÍN")</f>
        <v>MEDELLÍN</v>
      </c>
      <c r="E7319" s="15" t="str">
        <f>IFERROR(__xludf.DUMMYFUNCTION("""COMPUTED_VALUE"""),"Rambla")</f>
        <v>Rambla</v>
      </c>
      <c r="F7319" s="17" t="str">
        <f>IFERROR(__xludf.DUMMYFUNCTION("""COMPUTED_VALUE"""),"Carrera 2 # 11A - 23  En el crossfit del rodadero - santa marta / - / -")</f>
        <v>Carrera 2 # 11A - 23  En el crossfit del rodadero - santa marta / - / -</v>
      </c>
      <c r="G7319" s="15" t="str">
        <f>IFERROR(__xludf.DUMMYFUNCTION("""COMPUTED_VALUE"""),"Enjoy fit market")</f>
        <v>Enjoy fit market</v>
      </c>
      <c r="H7319" s="16">
        <f>IFERROR(__xludf.DUMMYFUNCTION("""COMPUTED_VALUE"""),16000.0)</f>
        <v>16000</v>
      </c>
      <c r="I7319" s="18">
        <f>IFERROR(__xludf.DUMMYFUNCTION("""COMPUTED_VALUE"""),16.0)</f>
        <v>16</v>
      </c>
      <c r="J7319" s="18">
        <f>IFERROR(__xludf.DUMMYFUNCTION("""COMPUTED_VALUE"""),18.0)</f>
        <v>18</v>
      </c>
      <c r="K7319" s="18">
        <f>IFERROR(__xludf.DUMMYFUNCTION("""COMPUTED_VALUE"""),24.0)</f>
        <v>24</v>
      </c>
      <c r="L7319" s="17">
        <f>IFERROR(__xludf.DUMMYFUNCTION("""COMPUTED_VALUE"""),3.105785099E9)</f>
        <v>3105785099</v>
      </c>
      <c r="M7319" s="17"/>
      <c r="N7319" s="17"/>
      <c r="O7319" s="17"/>
      <c r="P7319" s="17" t="b">
        <f>IFERROR(__xludf.DUMMYFUNCTION("""COMPUTED_VALUE"""),FALSE)</f>
        <v>0</v>
      </c>
      <c r="Q7319" s="20" t="str">
        <f>IFERROR(__xludf.DUMMYFUNCTION("""COMPUTED_VALUE"""),"")</f>
        <v/>
      </c>
      <c r="R7319" s="21" t="str">
        <f>IFERROR(__xludf.DUMMYFUNCTION("""COMPUTED_VALUE"""),"https://drive.google.com/file/d/1Z1k47CcqHt8fimSnwwULSuxufA_HiaFq/view?usp=drivesdk")</f>
        <v>https://drive.google.com/file/d/1Z1k47CcqHt8fimSnwwULSuxufA_HiaFq/view?usp=drivesdk</v>
      </c>
    </row>
    <row r="7320">
      <c r="A7320" s="15">
        <f>IFERROR(__xludf.DUMMYFUNCTION("""COMPUTED_VALUE"""),45205.0)</f>
        <v>45205</v>
      </c>
      <c r="B7320" s="16" t="str">
        <f>IFERROR(__xludf.DUMMYFUNCTION("""COMPUTED_VALUE"""),"Envia")</f>
        <v>Envia</v>
      </c>
      <c r="C7320" s="15" t="str">
        <f>IFERROR(__xludf.DUMMYFUNCTION("""COMPUTED_VALUE"""),"TULUÁ")</f>
        <v>TULUÁ</v>
      </c>
      <c r="D7320" s="15" t="str">
        <f>IFERROR(__xludf.DUMMYFUNCTION("""COMPUTED_VALUE"""),"MEDELLÍN")</f>
        <v>MEDELLÍN</v>
      </c>
      <c r="E7320" s="15" t="str">
        <f>IFERROR(__xludf.DUMMYFUNCTION("""COMPUTED_VALUE"""),"Baby Chef")</f>
        <v>Baby Chef</v>
      </c>
      <c r="F7320" s="17" t="str">
        <f>IFERROR(__xludf.DUMMYFUNCTION("""COMPUTED_VALUE"""),"Callé 12g 28f 24 Piso 2 El bosque / ""Callé 12g 28f 24 Piso 2 El bosque"" / ""Callé 12g 28f 24 Piso 2 El bosque""")</f>
        <v>Callé 12g 28f 24 Piso 2 El bosque / "Callé 12g 28f 24 Piso 2 El bosque" / "Callé 12g 28f 24 Piso 2 El bosque"</v>
      </c>
      <c r="G7320" s="15" t="str">
        <f>IFERROR(__xludf.DUMMYFUNCTION("""COMPUTED_VALUE"""),"Alejandra Arcila Osorio")</f>
        <v>Alejandra Arcila Osorio</v>
      </c>
      <c r="H7320" s="16">
        <f>IFERROR(__xludf.DUMMYFUNCTION("""COMPUTED_VALUE"""),15937.0)</f>
        <v>15937</v>
      </c>
      <c r="I7320" s="18">
        <f>IFERROR(__xludf.DUMMYFUNCTION("""COMPUTED_VALUE"""),5.0)</f>
        <v>5</v>
      </c>
      <c r="J7320" s="18">
        <f>IFERROR(__xludf.DUMMYFUNCTION("""COMPUTED_VALUE"""),22.0)</f>
        <v>22</v>
      </c>
      <c r="K7320" s="18">
        <f>IFERROR(__xludf.DUMMYFUNCTION("""COMPUTED_VALUE"""),24.0)</f>
        <v>24</v>
      </c>
      <c r="L7320" s="17">
        <f>IFERROR(__xludf.DUMMYFUNCTION("""COMPUTED_VALUE"""),3.185935278E9)</f>
        <v>3185935278</v>
      </c>
      <c r="M7320" s="17"/>
      <c r="N7320" s="17"/>
      <c r="O7320" s="17"/>
      <c r="P7320" s="17" t="b">
        <f>IFERROR(__xludf.DUMMYFUNCTION("""COMPUTED_VALUE"""),FALSE)</f>
        <v>0</v>
      </c>
      <c r="Q7320" s="20" t="str">
        <f>IFERROR(__xludf.DUMMYFUNCTION("""COMPUTED_VALUE"""),"")</f>
        <v/>
      </c>
      <c r="R7320" s="22" t="str">
        <f>IFERROR(__xludf.DUMMYFUNCTION("""COMPUTED_VALUE"""),"")</f>
        <v/>
      </c>
    </row>
    <row r="7321">
      <c r="A7321" s="15">
        <f>IFERROR(__xludf.DUMMYFUNCTION("""COMPUTED_VALUE"""),45205.0)</f>
        <v>45205</v>
      </c>
      <c r="B7321" s="16" t="str">
        <f>IFERROR(__xludf.DUMMYFUNCTION("""COMPUTED_VALUE"""),"Envia")</f>
        <v>Envia</v>
      </c>
      <c r="C7321" s="15" t="str">
        <f>IFERROR(__xludf.DUMMYFUNCTION("""COMPUTED_VALUE"""),"VILLAVICENCIO")</f>
        <v>VILLAVICENCIO</v>
      </c>
      <c r="D7321" s="15" t="str">
        <f>IFERROR(__xludf.DUMMYFUNCTION("""COMPUTED_VALUE"""),"BOGOTÁ")</f>
        <v>BOGOTÁ</v>
      </c>
      <c r="E7321" s="15" t="str">
        <f>IFERROR(__xludf.DUMMYFUNCTION("""COMPUTED_VALUE"""),"Mochi")</f>
        <v>Mochi</v>
      </c>
      <c r="F7321" s="17" t="str">
        <f>IFERROR(__xludf.DUMMYFUNCTION("""COMPUTED_VALUE"""),"Cra 7 # 45- 18 / Centro comercial  / Quinta etapa Villavicencio meta")</f>
        <v>Cra 7 # 45- 18 / Centro comercial  / Quinta etapa Villavicencio meta</v>
      </c>
      <c r="G7321" s="15" t="str">
        <f>IFERROR(__xludf.DUMMYFUNCTION("""COMPUTED_VALUE"""),"Natalia")</f>
        <v>Natalia</v>
      </c>
      <c r="H7321" s="16">
        <f>IFERROR(__xludf.DUMMYFUNCTION("""COMPUTED_VALUE"""),16027.0)</f>
        <v>16027</v>
      </c>
      <c r="I7321" s="18">
        <f>IFERROR(__xludf.DUMMYFUNCTION("""COMPUTED_VALUE"""),55.0)</f>
        <v>55</v>
      </c>
      <c r="J7321" s="18">
        <f>IFERROR(__xludf.DUMMYFUNCTION("""COMPUTED_VALUE"""),44.0)</f>
        <v>44</v>
      </c>
      <c r="K7321" s="18" t="str">
        <f>IFERROR(__xludf.DUMMYFUNCTION("""COMPUTED_VALUE"""),"52.5")</f>
        <v>52.5</v>
      </c>
      <c r="L7321" s="17">
        <f>IFERROR(__xludf.DUMMYFUNCTION("""COMPUTED_VALUE"""),3.134100428E9)</f>
        <v>3134100428</v>
      </c>
      <c r="M7321" s="17"/>
      <c r="N7321" s="17"/>
      <c r="O7321" s="17"/>
      <c r="P7321" s="17" t="b">
        <f>IFERROR(__xludf.DUMMYFUNCTION("""COMPUTED_VALUE"""),FALSE)</f>
        <v>0</v>
      </c>
      <c r="Q7321" s="20" t="str">
        <f>IFERROR(__xludf.DUMMYFUNCTION("""COMPUTED_VALUE"""),"")</f>
        <v/>
      </c>
      <c r="R7321" s="21" t="str">
        <f>IFERROR(__xludf.DUMMYFUNCTION("""COMPUTED_VALUE"""),"https://drive.google.com/file/d/1JFz6GWo9kSgXx9RAKB7yOJQedeCFVsmT/view?usp=drivesdk")</f>
        <v>https://drive.google.com/file/d/1JFz6GWo9kSgXx9RAKB7yOJQedeCFVsmT/view?usp=drivesdk</v>
      </c>
    </row>
    <row r="7322">
      <c r="A7322" s="17" t="str">
        <f>IFERROR(__xludf.DUMMYFUNCTION("""COMPUTED_VALUE"""),"")</f>
        <v/>
      </c>
      <c r="B7322" s="17" t="str">
        <f>IFERROR(__xludf.DUMMYFUNCTION("""COMPUTED_VALUE"""),"")</f>
        <v/>
      </c>
      <c r="C7322" s="17" t="str">
        <f>IFERROR(__xludf.DUMMYFUNCTION("""COMPUTED_VALUE"""),"")</f>
        <v/>
      </c>
      <c r="D7322" s="17" t="str">
        <f>IFERROR(__xludf.DUMMYFUNCTION("""COMPUTED_VALUE"""),"")</f>
        <v/>
      </c>
      <c r="E7322" s="17" t="str">
        <f>IFERROR(__xludf.DUMMYFUNCTION("""COMPUTED_VALUE"""),"")</f>
        <v/>
      </c>
      <c r="F7322" s="17" t="str">
        <f>IFERROR(__xludf.DUMMYFUNCTION("""COMPUTED_VALUE"""),"")</f>
        <v/>
      </c>
      <c r="G7322" s="17" t="str">
        <f>IFERROR(__xludf.DUMMYFUNCTION("""COMPUTED_VALUE"""),"")</f>
        <v/>
      </c>
      <c r="H7322" s="17" t="str">
        <f>IFERROR(__xludf.DUMMYFUNCTION("""COMPUTED_VALUE"""),"")</f>
        <v/>
      </c>
      <c r="I7322" s="17" t="str">
        <f>IFERROR(__xludf.DUMMYFUNCTION("""COMPUTED_VALUE"""),"")</f>
        <v/>
      </c>
      <c r="J7322" s="17" t="str">
        <f>IFERROR(__xludf.DUMMYFUNCTION("""COMPUTED_VALUE"""),"")</f>
        <v/>
      </c>
      <c r="K7322" s="17" t="str">
        <f>IFERROR(__xludf.DUMMYFUNCTION("""COMPUTED_VALUE"""),"")</f>
        <v/>
      </c>
      <c r="L7322" s="17" t="str">
        <f>IFERROR(__xludf.DUMMYFUNCTION("""COMPUTED_VALUE"""),"")</f>
        <v/>
      </c>
      <c r="M7322" s="17" t="str">
        <f>IFERROR(__xludf.DUMMYFUNCTION("""COMPUTED_VALUE"""),"")</f>
        <v/>
      </c>
      <c r="N7322" s="17" t="str">
        <f>IFERROR(__xludf.DUMMYFUNCTION("""COMPUTED_VALUE"""),"")</f>
        <v/>
      </c>
      <c r="O7322" s="17" t="str">
        <f>IFERROR(__xludf.DUMMYFUNCTION("""COMPUTED_VALUE"""),"")</f>
        <v/>
      </c>
      <c r="P7322" s="17" t="str">
        <f>IFERROR(__xludf.DUMMYFUNCTION("""COMPUTED_VALUE"""),"")</f>
        <v/>
      </c>
      <c r="Q7322" s="17" t="str">
        <f>IFERROR(__xludf.DUMMYFUNCTION("""COMPUTED_VALUE"""),"")</f>
        <v/>
      </c>
      <c r="R7322" s="17" t="str">
        <f>IFERROR(__xludf.DUMMYFUNCTION("""COMPUTED_VALUE"""),"")</f>
        <v/>
      </c>
    </row>
    <row r="7323">
      <c r="A7323" s="15">
        <f>IFERROR(__xludf.DUMMYFUNCTION("""COMPUTED_VALUE"""),45205.0)</f>
        <v>45205</v>
      </c>
      <c r="B7323" s="16" t="str">
        <f>IFERROR(__xludf.DUMMYFUNCTION("""COMPUTED_VALUE"""),"JOSE ALFREDO RAMIREZ VERGARA ")</f>
        <v>JOSE ALFREDO RAMIREZ VERGARA </v>
      </c>
      <c r="C7323" s="15" t="str">
        <f>IFERROR(__xludf.DUMMYFUNCTION("""COMPUTED_VALUE"""),"POPAYAN")</f>
        <v>POPAYAN</v>
      </c>
      <c r="D7323" s="15" t="str">
        <f>IFERROR(__xludf.DUMMYFUNCTION("""COMPUTED_VALUE"""),"MEDELLÍN")</f>
        <v>MEDELLÍN</v>
      </c>
      <c r="E7323" s="15" t="str">
        <f>IFERROR(__xludf.DUMMYFUNCTION("""COMPUTED_VALUE"""),"Rambla")</f>
        <v>Rambla</v>
      </c>
      <c r="F7323" s="17" t="str">
        <f>IFERROR(__xludf.DUMMYFUNCTION("""COMPUTED_VALUE"""),"Calle 16 an # 6-66 Barrio el recuerdo  Popayán caucas / - / -")</f>
        <v>Calle 16 an # 6-66 Barrio el recuerdo  Popayán caucas / - / -</v>
      </c>
      <c r="G7323" s="15" t="str">
        <f>IFERROR(__xludf.DUMMYFUNCTION("""COMPUTED_VALUE"""),"Vid Natura")</f>
        <v>Vid Natura</v>
      </c>
      <c r="H7323" s="16">
        <f>IFERROR(__xludf.DUMMYFUNCTION("""COMPUTED_VALUE"""),15998.0)</f>
        <v>15998</v>
      </c>
      <c r="I7323" s="18">
        <f>IFERROR(__xludf.DUMMYFUNCTION("""COMPUTED_VALUE"""),24.0)</f>
        <v>24</v>
      </c>
      <c r="J7323" s="18">
        <f>IFERROR(__xludf.DUMMYFUNCTION("""COMPUTED_VALUE"""),24.0)</f>
        <v>24</v>
      </c>
      <c r="K7323" s="18">
        <f>IFERROR(__xludf.DUMMYFUNCTION("""COMPUTED_VALUE"""),24.0)</f>
        <v>24</v>
      </c>
      <c r="L7323" s="17">
        <f>IFERROR(__xludf.DUMMYFUNCTION("""COMPUTED_VALUE"""),3.18557702E9)</f>
        <v>3185577020</v>
      </c>
      <c r="M7323" s="17"/>
      <c r="N7323" s="17"/>
      <c r="O7323" s="17"/>
      <c r="P7323" s="17" t="b">
        <f>IFERROR(__xludf.DUMMYFUNCTION("""COMPUTED_VALUE"""),TRUE)</f>
        <v>1</v>
      </c>
      <c r="Q7323" s="20">
        <f>IFERROR(__xludf.DUMMYFUNCTION("""COMPUTED_VALUE"""),45209.77464833333)</f>
        <v>45209.77465</v>
      </c>
      <c r="R7323" s="21" t="str">
        <f>IFERROR(__xludf.DUMMYFUNCTION("""COMPUTED_VALUE"""),"https://drive.google.com/file/d/1RyaK6NWRvphrjsBW_BlAtwecwTpxss0d/view?usp=drivesdk")</f>
        <v>https://drive.google.com/file/d/1RyaK6NWRvphrjsBW_BlAtwecwTpxss0d/view?usp=drivesdk</v>
      </c>
    </row>
    <row r="7324">
      <c r="A7324" s="17" t="str">
        <f>IFERROR(__xludf.DUMMYFUNCTION("""COMPUTED_VALUE"""),"")</f>
        <v/>
      </c>
      <c r="B7324" s="17" t="str">
        <f>IFERROR(__xludf.DUMMYFUNCTION("""COMPUTED_VALUE"""),"")</f>
        <v/>
      </c>
      <c r="C7324" s="17" t="str">
        <f>IFERROR(__xludf.DUMMYFUNCTION("""COMPUTED_VALUE"""),"")</f>
        <v/>
      </c>
      <c r="D7324" s="17" t="str">
        <f>IFERROR(__xludf.DUMMYFUNCTION("""COMPUTED_VALUE"""),"")</f>
        <v/>
      </c>
      <c r="E7324" s="17" t="str">
        <f>IFERROR(__xludf.DUMMYFUNCTION("""COMPUTED_VALUE"""),"")</f>
        <v/>
      </c>
      <c r="F7324" s="17" t="str">
        <f>IFERROR(__xludf.DUMMYFUNCTION("""COMPUTED_VALUE"""),"")</f>
        <v/>
      </c>
      <c r="G7324" s="17" t="str">
        <f>IFERROR(__xludf.DUMMYFUNCTION("""COMPUTED_VALUE"""),"")</f>
        <v/>
      </c>
      <c r="H7324" s="17" t="str">
        <f>IFERROR(__xludf.DUMMYFUNCTION("""COMPUTED_VALUE"""),"")</f>
        <v/>
      </c>
      <c r="I7324" s="17" t="str">
        <f>IFERROR(__xludf.DUMMYFUNCTION("""COMPUTED_VALUE"""),"")</f>
        <v/>
      </c>
      <c r="J7324" s="17" t="str">
        <f>IFERROR(__xludf.DUMMYFUNCTION("""COMPUTED_VALUE"""),"")</f>
        <v/>
      </c>
      <c r="K7324" s="17" t="str">
        <f>IFERROR(__xludf.DUMMYFUNCTION("""COMPUTED_VALUE"""),"")</f>
        <v/>
      </c>
      <c r="L7324" s="17" t="str">
        <f>IFERROR(__xludf.DUMMYFUNCTION("""COMPUTED_VALUE"""),"")</f>
        <v/>
      </c>
      <c r="M7324" s="17" t="str">
        <f>IFERROR(__xludf.DUMMYFUNCTION("""COMPUTED_VALUE"""),"")</f>
        <v/>
      </c>
      <c r="N7324" s="17" t="str">
        <f>IFERROR(__xludf.DUMMYFUNCTION("""COMPUTED_VALUE"""),"")</f>
        <v/>
      </c>
      <c r="O7324" s="17" t="str">
        <f>IFERROR(__xludf.DUMMYFUNCTION("""COMPUTED_VALUE"""),"")</f>
        <v/>
      </c>
      <c r="P7324" s="17" t="str">
        <f>IFERROR(__xludf.DUMMYFUNCTION("""COMPUTED_VALUE"""),"")</f>
        <v/>
      </c>
      <c r="Q7324" s="17" t="str">
        <f>IFERROR(__xludf.DUMMYFUNCTION("""COMPUTED_VALUE"""),"")</f>
        <v/>
      </c>
      <c r="R7324" s="17" t="str">
        <f>IFERROR(__xludf.DUMMYFUNCTION("""COMPUTED_VALUE"""),"")</f>
        <v/>
      </c>
    </row>
    <row r="7325">
      <c r="A7325" s="15">
        <f>IFERROR(__xludf.DUMMYFUNCTION("""COMPUTED_VALUE"""),45205.0)</f>
        <v>45205</v>
      </c>
      <c r="B7325" s="16" t="str">
        <f>IFERROR(__xludf.DUMMYFUNCTION("""COMPUTED_VALUE"""),"Juan José Giraldo (Sara)")</f>
        <v>Juan José Giraldo (Sara)</v>
      </c>
      <c r="C7325" s="15" t="str">
        <f>IFERROR(__xludf.DUMMYFUNCTION("""COMPUTED_VALUE"""),"CÚCUTA")</f>
        <v>CÚCUTA</v>
      </c>
      <c r="D7325" s="15" t="str">
        <f>IFERROR(__xludf.DUMMYFUNCTION("""COMPUTED_VALUE"""),"MEDELLÍN")</f>
        <v>MEDELLÍN</v>
      </c>
      <c r="E7325" s="15" t="str">
        <f>IFERROR(__xludf.DUMMYFUNCTION("""COMPUTED_VALUE"""),"Rambla")</f>
        <v>Rambla</v>
      </c>
      <c r="F7325" s="17" t="str">
        <f>IFERROR(__xludf.DUMMYFUNCTION("""COMPUTED_VALUE"""),"Av 3e No 6cn-12 ceiba 2 / - / -")</f>
        <v>Av 3e No 6cn-12 ceiba 2 / - / -</v>
      </c>
      <c r="G7325" s="15" t="str">
        <f>IFERROR(__xludf.DUMMYFUNCTION("""COMPUTED_VALUE"""),"La bodeguita")</f>
        <v>La bodeguita</v>
      </c>
      <c r="H7325" s="16">
        <f>IFERROR(__xludf.DUMMYFUNCTION("""COMPUTED_VALUE"""),15997.0)</f>
        <v>15997</v>
      </c>
      <c r="I7325" s="18">
        <f>IFERROR(__xludf.DUMMYFUNCTION("""COMPUTED_VALUE"""),19.0)</f>
        <v>19</v>
      </c>
      <c r="J7325" s="18">
        <f>IFERROR(__xludf.DUMMYFUNCTION("""COMPUTED_VALUE"""),32.0)</f>
        <v>32</v>
      </c>
      <c r="K7325" s="18">
        <f>IFERROR(__xludf.DUMMYFUNCTION("""COMPUTED_VALUE"""),32.0)</f>
        <v>32</v>
      </c>
      <c r="L7325" s="17">
        <f>IFERROR(__xludf.DUMMYFUNCTION("""COMPUTED_VALUE"""),3.209091389E9)</f>
        <v>3209091389</v>
      </c>
      <c r="M7325" s="17"/>
      <c r="N7325" s="17"/>
      <c r="O7325" s="17"/>
      <c r="P7325" s="17" t="b">
        <f>IFERROR(__xludf.DUMMYFUNCTION("""COMPUTED_VALUE"""),FALSE)</f>
        <v>0</v>
      </c>
      <c r="Q7325" s="20" t="str">
        <f>IFERROR(__xludf.DUMMYFUNCTION("""COMPUTED_VALUE"""),"")</f>
        <v/>
      </c>
      <c r="R7325" s="21" t="str">
        <f>IFERROR(__xludf.DUMMYFUNCTION("""COMPUTED_VALUE"""),"https://drive.google.com/file/d/1bnHFYCz3dZJT_ZfAkFgY0SQYpmifQjG5/view?usp=drivesdk")</f>
        <v>https://drive.google.com/file/d/1bnHFYCz3dZJT_ZfAkFgY0SQYpmifQjG5/view?usp=drivesdk</v>
      </c>
    </row>
    <row r="7326">
      <c r="A7326" s="17" t="str">
        <f>IFERROR(__xludf.DUMMYFUNCTION("""COMPUTED_VALUE"""),"")</f>
        <v/>
      </c>
      <c r="B7326" s="17" t="str">
        <f>IFERROR(__xludf.DUMMYFUNCTION("""COMPUTED_VALUE"""),"")</f>
        <v/>
      </c>
      <c r="C7326" s="17" t="str">
        <f>IFERROR(__xludf.DUMMYFUNCTION("""COMPUTED_VALUE"""),"")</f>
        <v/>
      </c>
      <c r="D7326" s="17" t="str">
        <f>IFERROR(__xludf.DUMMYFUNCTION("""COMPUTED_VALUE"""),"")</f>
        <v/>
      </c>
      <c r="E7326" s="17" t="str">
        <f>IFERROR(__xludf.DUMMYFUNCTION("""COMPUTED_VALUE"""),"")</f>
        <v/>
      </c>
      <c r="F7326" s="17" t="str">
        <f>IFERROR(__xludf.DUMMYFUNCTION("""COMPUTED_VALUE"""),"")</f>
        <v/>
      </c>
      <c r="G7326" s="17" t="str">
        <f>IFERROR(__xludf.DUMMYFUNCTION("""COMPUTED_VALUE"""),"")</f>
        <v/>
      </c>
      <c r="H7326" s="17" t="str">
        <f>IFERROR(__xludf.DUMMYFUNCTION("""COMPUTED_VALUE"""),"")</f>
        <v/>
      </c>
      <c r="I7326" s="17" t="str">
        <f>IFERROR(__xludf.DUMMYFUNCTION("""COMPUTED_VALUE"""),"")</f>
        <v/>
      </c>
      <c r="J7326" s="17" t="str">
        <f>IFERROR(__xludf.DUMMYFUNCTION("""COMPUTED_VALUE"""),"")</f>
        <v/>
      </c>
      <c r="K7326" s="17" t="str">
        <f>IFERROR(__xludf.DUMMYFUNCTION("""COMPUTED_VALUE"""),"")</f>
        <v/>
      </c>
      <c r="L7326" s="17" t="str">
        <f>IFERROR(__xludf.DUMMYFUNCTION("""COMPUTED_VALUE"""),"")</f>
        <v/>
      </c>
      <c r="M7326" s="17" t="str">
        <f>IFERROR(__xludf.DUMMYFUNCTION("""COMPUTED_VALUE"""),"")</f>
        <v/>
      </c>
      <c r="N7326" s="17" t="str">
        <f>IFERROR(__xludf.DUMMYFUNCTION("""COMPUTED_VALUE"""),"")</f>
        <v/>
      </c>
      <c r="O7326" s="17" t="str">
        <f>IFERROR(__xludf.DUMMYFUNCTION("""COMPUTED_VALUE"""),"")</f>
        <v/>
      </c>
      <c r="P7326" s="17" t="str">
        <f>IFERROR(__xludf.DUMMYFUNCTION("""COMPUTED_VALUE"""),"")</f>
        <v/>
      </c>
      <c r="Q7326" s="17" t="str">
        <f>IFERROR(__xludf.DUMMYFUNCTION("""COMPUTED_VALUE"""),"")</f>
        <v/>
      </c>
      <c r="R7326" s="17" t="str">
        <f>IFERROR(__xludf.DUMMYFUNCTION("""COMPUTED_VALUE"""),"")</f>
        <v/>
      </c>
    </row>
    <row r="7327">
      <c r="A7327" s="15">
        <f>IFERROR(__xludf.DUMMYFUNCTION("""COMPUTED_VALUE"""),45205.0)</f>
        <v>45205</v>
      </c>
      <c r="B7327" s="16" t="str">
        <f>IFERROR(__xludf.DUMMYFUNCTION("""COMPUTED_VALUE"""),"Lina Gaona")</f>
        <v>Lina Gaona</v>
      </c>
      <c r="C7327" s="15" t="str">
        <f>IFERROR(__xludf.DUMMYFUNCTION("""COMPUTED_VALUE"""),"CÚCUTA")</f>
        <v>CÚCUTA</v>
      </c>
      <c r="D7327" s="15" t="str">
        <f>IFERROR(__xludf.DUMMYFUNCTION("""COMPUTED_VALUE"""),"BOGOTÁ")</f>
        <v>BOGOTÁ</v>
      </c>
      <c r="E7327" s="15" t="str">
        <f>IFERROR(__xludf.DUMMYFUNCTION("""COMPUTED_VALUE"""),"Asociacion Agropecuaria Juana Maria")</f>
        <v>Asociacion Agropecuaria Juana Maria</v>
      </c>
      <c r="F7327" s="17" t="str">
        <f>IFERROR(__xludf.DUMMYFUNCTION("""COMPUTED_VALUE"""),"Calle 18 N #4-31 edificio tulipán apto 702 Prados Norte")</f>
        <v>Calle 18 N #4-31 edificio tulipán apto 702 Prados Norte</v>
      </c>
      <c r="G7327" s="15" t="str">
        <f>IFERROR(__xludf.DUMMYFUNCTION("""COMPUTED_VALUE"""),"Yurley Camacho")</f>
        <v>Yurley Camacho</v>
      </c>
      <c r="H7327" s="16">
        <f>IFERROR(__xludf.DUMMYFUNCTION("""COMPUTED_VALUE"""),15796.0)</f>
        <v>15796</v>
      </c>
      <c r="I7327" s="18">
        <f>IFERROR(__xludf.DUMMYFUNCTION("""COMPUTED_VALUE"""),36.0)</f>
        <v>36</v>
      </c>
      <c r="J7327" s="18">
        <f>IFERROR(__xludf.DUMMYFUNCTION("""COMPUTED_VALUE"""),25.0)</f>
        <v>25</v>
      </c>
      <c r="K7327" s="18">
        <f>IFERROR(__xludf.DUMMYFUNCTION("""COMPUTED_VALUE"""),3.0)</f>
        <v>3</v>
      </c>
      <c r="L7327" s="17">
        <f>IFERROR(__xludf.DUMMYFUNCTION("""COMPUTED_VALUE"""),3.142544369E9)</f>
        <v>3142544369</v>
      </c>
      <c r="M7327" s="17"/>
      <c r="N7327" s="17"/>
      <c r="O7327" s="17"/>
      <c r="P7327" s="17" t="b">
        <f>IFERROR(__xludf.DUMMYFUNCTION("""COMPUTED_VALUE"""),FALSE)</f>
        <v>0</v>
      </c>
      <c r="Q7327" s="20" t="str">
        <f>IFERROR(__xludf.DUMMYFUNCTION("""COMPUTED_VALUE"""),"")</f>
        <v/>
      </c>
      <c r="R7327" s="22" t="str">
        <f>IFERROR(__xludf.DUMMYFUNCTION("""COMPUTED_VALUE"""),"")</f>
        <v/>
      </c>
    </row>
    <row r="7328">
      <c r="A7328" s="15">
        <f>IFERROR(__xludf.DUMMYFUNCTION("""COMPUTED_VALUE"""),45205.0)</f>
        <v>45205</v>
      </c>
      <c r="B7328" s="16" t="str">
        <f>IFERROR(__xludf.DUMMYFUNCTION("""COMPUTED_VALUE"""),"Lina Gaona")</f>
        <v>Lina Gaona</v>
      </c>
      <c r="C7328" s="15" t="str">
        <f>IFERROR(__xludf.DUMMYFUNCTION("""COMPUTED_VALUE"""),"CÚCUTA")</f>
        <v>CÚCUTA</v>
      </c>
      <c r="D7328" s="15" t="str">
        <f>IFERROR(__xludf.DUMMYFUNCTION("""COMPUTED_VALUE"""),"BOGOTÁ")</f>
        <v>BOGOTÁ</v>
      </c>
      <c r="E7328" s="15" t="str">
        <f>IFERROR(__xludf.DUMMYFUNCTION("""COMPUTED_VALUE"""),"Evamazzita")</f>
        <v>Evamazzita</v>
      </c>
      <c r="F7328" s="17" t="str">
        <f>IFERROR(__xludf.DUMMYFUNCTION("""COMPUTED_VALUE"""),"Av 2E # 15A -17 Caobos / Caobos")</f>
        <v>Av 2E # 15A -17 Caobos / Caobos</v>
      </c>
      <c r="G7328" s="15" t="str">
        <f>IFERROR(__xludf.DUMMYFUNCTION("""COMPUTED_VALUE"""),"DACCY KARINA LOPEZ MORENO")</f>
        <v>DACCY KARINA LOPEZ MORENO</v>
      </c>
      <c r="H7328" s="16">
        <f>IFERROR(__xludf.DUMMYFUNCTION("""COMPUTED_VALUE"""),15972.0)</f>
        <v>15972</v>
      </c>
      <c r="I7328" s="18">
        <f>IFERROR(__xludf.DUMMYFUNCTION("""COMPUTED_VALUE"""),1.0)</f>
        <v>1</v>
      </c>
      <c r="J7328" s="18">
        <f>IFERROR(__xludf.DUMMYFUNCTION("""COMPUTED_VALUE"""),1.0)</f>
        <v>1</v>
      </c>
      <c r="K7328" s="18">
        <f>IFERROR(__xludf.DUMMYFUNCTION("""COMPUTED_VALUE"""),1.0)</f>
        <v>1</v>
      </c>
      <c r="L7328" s="17">
        <f>IFERROR(__xludf.DUMMYFUNCTION("""COMPUTED_VALUE"""),3.208615379E9)</f>
        <v>3208615379</v>
      </c>
      <c r="M7328" s="17"/>
      <c r="N7328" s="17"/>
      <c r="O7328" s="17"/>
      <c r="P7328" s="17" t="b">
        <f>IFERROR(__xludf.DUMMYFUNCTION("""COMPUTED_VALUE"""),FALSE)</f>
        <v>0</v>
      </c>
      <c r="Q7328" s="20" t="str">
        <f>IFERROR(__xludf.DUMMYFUNCTION("""COMPUTED_VALUE"""),"")</f>
        <v/>
      </c>
      <c r="R7328" s="21" t="str">
        <f>IFERROR(__xludf.DUMMYFUNCTION("""COMPUTED_VALUE"""),"https://drive.google.com/file/d/19HFluf3X9npnWs_5JLJqKLaVGmiNR46F/view?usp=drivesdk")</f>
        <v>https://drive.google.com/file/d/19HFluf3X9npnWs_5JLJqKLaVGmiNR46F/view?usp=drivesdk</v>
      </c>
    </row>
    <row r="7329">
      <c r="A7329" s="17" t="str">
        <f>IFERROR(__xludf.DUMMYFUNCTION("""COMPUTED_VALUE"""),"")</f>
        <v/>
      </c>
      <c r="B7329" s="17" t="str">
        <f>IFERROR(__xludf.DUMMYFUNCTION("""COMPUTED_VALUE"""),"")</f>
        <v/>
      </c>
      <c r="C7329" s="17" t="str">
        <f>IFERROR(__xludf.DUMMYFUNCTION("""COMPUTED_VALUE"""),"")</f>
        <v/>
      </c>
      <c r="D7329" s="17" t="str">
        <f>IFERROR(__xludf.DUMMYFUNCTION("""COMPUTED_VALUE"""),"")</f>
        <v/>
      </c>
      <c r="E7329" s="17" t="str">
        <f>IFERROR(__xludf.DUMMYFUNCTION("""COMPUTED_VALUE"""),"")</f>
        <v/>
      </c>
      <c r="F7329" s="17" t="str">
        <f>IFERROR(__xludf.DUMMYFUNCTION("""COMPUTED_VALUE"""),"")</f>
        <v/>
      </c>
      <c r="G7329" s="17" t="str">
        <f>IFERROR(__xludf.DUMMYFUNCTION("""COMPUTED_VALUE"""),"")</f>
        <v/>
      </c>
      <c r="H7329" s="17" t="str">
        <f>IFERROR(__xludf.DUMMYFUNCTION("""COMPUTED_VALUE"""),"")</f>
        <v/>
      </c>
      <c r="I7329" s="17" t="str">
        <f>IFERROR(__xludf.DUMMYFUNCTION("""COMPUTED_VALUE"""),"")</f>
        <v/>
      </c>
      <c r="J7329" s="17" t="str">
        <f>IFERROR(__xludf.DUMMYFUNCTION("""COMPUTED_VALUE"""),"")</f>
        <v/>
      </c>
      <c r="K7329" s="17" t="str">
        <f>IFERROR(__xludf.DUMMYFUNCTION("""COMPUTED_VALUE"""),"")</f>
        <v/>
      </c>
      <c r="L7329" s="17" t="str">
        <f>IFERROR(__xludf.DUMMYFUNCTION("""COMPUTED_VALUE"""),"")</f>
        <v/>
      </c>
      <c r="M7329" s="17" t="str">
        <f>IFERROR(__xludf.DUMMYFUNCTION("""COMPUTED_VALUE"""),"")</f>
        <v/>
      </c>
      <c r="N7329" s="17" t="str">
        <f>IFERROR(__xludf.DUMMYFUNCTION("""COMPUTED_VALUE"""),"")</f>
        <v/>
      </c>
      <c r="O7329" s="17" t="str">
        <f>IFERROR(__xludf.DUMMYFUNCTION("""COMPUTED_VALUE"""),"")</f>
        <v/>
      </c>
      <c r="P7329" s="17" t="str">
        <f>IFERROR(__xludf.DUMMYFUNCTION("""COMPUTED_VALUE"""),"")</f>
        <v/>
      </c>
      <c r="Q7329" s="17" t="str">
        <f>IFERROR(__xludf.DUMMYFUNCTION("""COMPUTED_VALUE"""),"")</f>
        <v/>
      </c>
      <c r="R7329" s="17" t="str">
        <f>IFERROR(__xludf.DUMMYFUNCTION("""COMPUTED_VALUE"""),"")</f>
        <v/>
      </c>
    </row>
    <row r="7330">
      <c r="A7330" s="15">
        <f>IFERROR(__xludf.DUMMYFUNCTION("""COMPUTED_VALUE"""),45205.0)</f>
        <v>45205</v>
      </c>
      <c r="B7330" s="16" t="str">
        <f>IFERROR(__xludf.DUMMYFUNCTION("""COMPUTED_VALUE"""),"Orlando Urdaneta Rincon ")</f>
        <v>Orlando Urdaneta Rincon </v>
      </c>
      <c r="C7330" s="15" t="str">
        <f>IFERROR(__xludf.DUMMYFUNCTION("""COMPUTED_VALUE"""),"CHÍA")</f>
        <v>CHÍA</v>
      </c>
      <c r="D7330" s="15" t="str">
        <f>IFERROR(__xludf.DUMMYFUNCTION("""COMPUTED_VALUE"""),"MEDELLÍN")</f>
        <v>MEDELLÍN</v>
      </c>
      <c r="E7330" s="15" t="str">
        <f>IFERROR(__xludf.DUMMYFUNCTION("""COMPUTED_VALUE"""),"Rambla")</f>
        <v>Rambla</v>
      </c>
      <c r="F7330" s="17" t="str">
        <f>IFERROR(__xludf.DUMMYFUNCTION("""COMPUTED_VALUE"""),"a la calle 29 # 6-54, apto 201, T2- Chia, cundinamarca / - / -")</f>
        <v>a la calle 29 # 6-54, apto 201, T2- Chia, cundinamarca / - / -</v>
      </c>
      <c r="G7330" s="15" t="str">
        <f>IFERROR(__xludf.DUMMYFUNCTION("""COMPUTED_VALUE"""),"Salama")</f>
        <v>Salama</v>
      </c>
      <c r="H7330" s="16">
        <f>IFERROR(__xludf.DUMMYFUNCTION("""COMPUTED_VALUE"""),16039.0)</f>
        <v>16039</v>
      </c>
      <c r="I7330" s="18">
        <f>IFERROR(__xludf.DUMMYFUNCTION("""COMPUTED_VALUE"""),18.0)</f>
        <v>18</v>
      </c>
      <c r="J7330" s="18">
        <f>IFERROR(__xludf.DUMMYFUNCTION("""COMPUTED_VALUE"""),18.0)</f>
        <v>18</v>
      </c>
      <c r="K7330" s="18">
        <f>IFERROR(__xludf.DUMMYFUNCTION("""COMPUTED_VALUE"""),18.0)</f>
        <v>18</v>
      </c>
      <c r="L7330" s="17">
        <f>IFERROR(__xludf.DUMMYFUNCTION("""COMPUTED_VALUE"""),3.183745233E9)</f>
        <v>3183745233</v>
      </c>
      <c r="M7330" s="17"/>
      <c r="N7330" s="17"/>
      <c r="O7330" s="17"/>
      <c r="P7330" s="17" t="b">
        <f>IFERROR(__xludf.DUMMYFUNCTION("""COMPUTED_VALUE"""),FALSE)</f>
        <v>0</v>
      </c>
      <c r="Q7330" s="20" t="str">
        <f>IFERROR(__xludf.DUMMYFUNCTION("""COMPUTED_VALUE"""),"")</f>
        <v/>
      </c>
      <c r="R7330" s="22" t="str">
        <f>IFERROR(__xludf.DUMMYFUNCTION("""COMPUTED_VALUE"""),"")</f>
        <v/>
      </c>
    </row>
    <row r="7331">
      <c r="A7331" s="15">
        <f>IFERROR(__xludf.DUMMYFUNCTION("""COMPUTED_VALUE"""),45205.0)</f>
        <v>45205</v>
      </c>
      <c r="B7331" s="16" t="str">
        <f>IFERROR(__xludf.DUMMYFUNCTION("""COMPUTED_VALUE"""),"Orlando Urdaneta Rincon ")</f>
        <v>Orlando Urdaneta Rincon </v>
      </c>
      <c r="C7331" s="15" t="str">
        <f>IFERROR(__xludf.DUMMYFUNCTION("""COMPUTED_VALUE"""),"CHÍA")</f>
        <v>CHÍA</v>
      </c>
      <c r="D7331" s="15" t="str">
        <f>IFERROR(__xludf.DUMMYFUNCTION("""COMPUTED_VALUE"""),"MEDELLÍN")</f>
        <v>MEDELLÍN</v>
      </c>
      <c r="E7331" s="15" t="str">
        <f>IFERROR(__xludf.DUMMYFUNCTION("""COMPUTED_VALUE"""),"Rambla")</f>
        <v>Rambla</v>
      </c>
      <c r="F7331" s="17" t="str">
        <f>IFERROR(__xludf.DUMMYFUNCTION("""COMPUTED_VALUE"""),"Km 1.5 via Chia Cajica 100 mts antes de Fontanar / - / -")</f>
        <v>Km 1.5 via Chia Cajica 100 mts antes de Fontanar / - / -</v>
      </c>
      <c r="G7331" s="15" t="str">
        <f>IFERROR(__xludf.DUMMYFUNCTION("""COMPUTED_VALUE"""),"The Choice")</f>
        <v>The Choice</v>
      </c>
      <c r="H7331" s="16">
        <f>IFERROR(__xludf.DUMMYFUNCTION("""COMPUTED_VALUE"""),16035.0)</f>
        <v>16035</v>
      </c>
      <c r="I7331" s="18">
        <f>IFERROR(__xludf.DUMMYFUNCTION("""COMPUTED_VALUE"""),27.0)</f>
        <v>27</v>
      </c>
      <c r="J7331" s="18">
        <f>IFERROR(__xludf.DUMMYFUNCTION("""COMPUTED_VALUE"""),20.0)</f>
        <v>20</v>
      </c>
      <c r="K7331" s="18">
        <f>IFERROR(__xludf.DUMMYFUNCTION("""COMPUTED_VALUE"""),20.0)</f>
        <v>20</v>
      </c>
      <c r="L7331" s="17">
        <f>IFERROR(__xludf.DUMMYFUNCTION("""COMPUTED_VALUE"""),3.212415592E9)</f>
        <v>3212415592</v>
      </c>
      <c r="M7331" s="17"/>
      <c r="N7331" s="17"/>
      <c r="O7331" s="17"/>
      <c r="P7331" s="17" t="b">
        <f>IFERROR(__xludf.DUMMYFUNCTION("""COMPUTED_VALUE"""),FALSE)</f>
        <v>0</v>
      </c>
      <c r="Q7331" s="20" t="str">
        <f>IFERROR(__xludf.DUMMYFUNCTION("""COMPUTED_VALUE"""),"")</f>
        <v/>
      </c>
      <c r="R7331" s="22" t="str">
        <f>IFERROR(__xludf.DUMMYFUNCTION("""COMPUTED_VALUE"""),"")</f>
        <v/>
      </c>
    </row>
    <row r="7332">
      <c r="A7332" s="17" t="str">
        <f>IFERROR(__xludf.DUMMYFUNCTION("""COMPUTED_VALUE"""),"")</f>
        <v/>
      </c>
      <c r="B7332" s="17" t="str">
        <f>IFERROR(__xludf.DUMMYFUNCTION("""COMPUTED_VALUE"""),"")</f>
        <v/>
      </c>
      <c r="C7332" s="17" t="str">
        <f>IFERROR(__xludf.DUMMYFUNCTION("""COMPUTED_VALUE"""),"")</f>
        <v/>
      </c>
      <c r="D7332" s="17" t="str">
        <f>IFERROR(__xludf.DUMMYFUNCTION("""COMPUTED_VALUE"""),"")</f>
        <v/>
      </c>
      <c r="E7332" s="17" t="str">
        <f>IFERROR(__xludf.DUMMYFUNCTION("""COMPUTED_VALUE"""),"")</f>
        <v/>
      </c>
      <c r="F7332" s="17" t="str">
        <f>IFERROR(__xludf.DUMMYFUNCTION("""COMPUTED_VALUE"""),"")</f>
        <v/>
      </c>
      <c r="G7332" s="17" t="str">
        <f>IFERROR(__xludf.DUMMYFUNCTION("""COMPUTED_VALUE"""),"")</f>
        <v/>
      </c>
      <c r="H7332" s="17" t="str">
        <f>IFERROR(__xludf.DUMMYFUNCTION("""COMPUTED_VALUE"""),"")</f>
        <v/>
      </c>
      <c r="I7332" s="17" t="str">
        <f>IFERROR(__xludf.DUMMYFUNCTION("""COMPUTED_VALUE"""),"")</f>
        <v/>
      </c>
      <c r="J7332" s="17" t="str">
        <f>IFERROR(__xludf.DUMMYFUNCTION("""COMPUTED_VALUE"""),"")</f>
        <v/>
      </c>
      <c r="K7332" s="17" t="str">
        <f>IFERROR(__xludf.DUMMYFUNCTION("""COMPUTED_VALUE"""),"")</f>
        <v/>
      </c>
      <c r="L7332" s="17" t="str">
        <f>IFERROR(__xludf.DUMMYFUNCTION("""COMPUTED_VALUE"""),"")</f>
        <v/>
      </c>
      <c r="M7332" s="17" t="str">
        <f>IFERROR(__xludf.DUMMYFUNCTION("""COMPUTED_VALUE"""),"")</f>
        <v/>
      </c>
      <c r="N7332" s="17" t="str">
        <f>IFERROR(__xludf.DUMMYFUNCTION("""COMPUTED_VALUE"""),"")</f>
        <v/>
      </c>
      <c r="O7332" s="17" t="str">
        <f>IFERROR(__xludf.DUMMYFUNCTION("""COMPUTED_VALUE"""),"")</f>
        <v/>
      </c>
      <c r="P7332" s="17" t="str">
        <f>IFERROR(__xludf.DUMMYFUNCTION("""COMPUTED_VALUE"""),"")</f>
        <v/>
      </c>
      <c r="Q7332" s="17" t="str">
        <f>IFERROR(__xludf.DUMMYFUNCTION("""COMPUTED_VALUE"""),"")</f>
        <v/>
      </c>
      <c r="R7332" s="17" t="str">
        <f>IFERROR(__xludf.DUMMYFUNCTION("""COMPUTED_VALUE"""),"")</f>
        <v/>
      </c>
    </row>
    <row r="7333">
      <c r="A7333" s="15">
        <f>IFERROR(__xludf.DUMMYFUNCTION("""COMPUTED_VALUE"""),45205.0)</f>
        <v>45205</v>
      </c>
      <c r="B7333" s="16" t="str">
        <f>IFERROR(__xludf.DUMMYFUNCTION("""COMPUTED_VALUE"""),"Santiago Garces Restrepo")</f>
        <v>Santiago Garces Restrepo</v>
      </c>
      <c r="C7333" s="15" t="str">
        <f>IFERROR(__xludf.DUMMYFUNCTION("""COMPUTED_VALUE"""),"CALI")</f>
        <v>CALI</v>
      </c>
      <c r="D7333" s="15" t="str">
        <f>IFERROR(__xludf.DUMMYFUNCTION("""COMPUTED_VALUE"""),"BOGOTÁ")</f>
        <v>BOGOTÁ</v>
      </c>
      <c r="E7333" s="15" t="str">
        <f>IFERROR(__xludf.DUMMYFUNCTION("""COMPUTED_VALUE"""),"Renata")</f>
        <v>Renata</v>
      </c>
      <c r="F7333" s="17" t="str">
        <f>IFERROR(__xludf.DUMMYFUNCTION("""COMPUTED_VALUE"""),"Carrera 3#3a-83 / Patio 34 food containers -restaurante  / San Fernando")</f>
        <v>Carrera 3#3a-83 / Patio 34 food containers -restaurante  / San Fernando</v>
      </c>
      <c r="G7333" s="15" t="str">
        <f>IFERROR(__xludf.DUMMYFUNCTION("""COMPUTED_VALUE"""),"Retaco sas")</f>
        <v>Retaco sas</v>
      </c>
      <c r="H7333" s="16">
        <f>IFERROR(__xludf.DUMMYFUNCTION("""COMPUTED_VALUE"""),16016.0)</f>
        <v>16016</v>
      </c>
      <c r="I7333" s="18">
        <f>IFERROR(__xludf.DUMMYFUNCTION("""COMPUTED_VALUE"""),90.0)</f>
        <v>90</v>
      </c>
      <c r="J7333" s="18">
        <f>IFERROR(__xludf.DUMMYFUNCTION("""COMPUTED_VALUE"""),70.0)</f>
        <v>70</v>
      </c>
      <c r="K7333" s="18">
        <f>IFERROR(__xludf.DUMMYFUNCTION("""COMPUTED_VALUE"""),60.0)</f>
        <v>60</v>
      </c>
      <c r="L7333" s="17">
        <f>IFERROR(__xludf.DUMMYFUNCTION("""COMPUTED_VALUE"""),3.134720976E9)</f>
        <v>3134720976</v>
      </c>
      <c r="M7333" s="17"/>
      <c r="N7333" s="17"/>
      <c r="O7333" s="17"/>
      <c r="P7333" s="17" t="b">
        <f>IFERROR(__xludf.DUMMYFUNCTION("""COMPUTED_VALUE"""),FALSE)</f>
        <v>0</v>
      </c>
      <c r="Q7333" s="20" t="str">
        <f>IFERROR(__xludf.DUMMYFUNCTION("""COMPUTED_VALUE"""),"")</f>
        <v/>
      </c>
      <c r="R7333" s="21" t="str">
        <f>IFERROR(__xludf.DUMMYFUNCTION("""COMPUTED_VALUE"""),"https://drive.google.com/file/d/1gOYCCv8b0EK2lopowFV-iTYBTNd40V13/view?usp=drivesdk")</f>
        <v>https://drive.google.com/file/d/1gOYCCv8b0EK2lopowFV-iTYBTNd40V13/view?usp=drivesdk</v>
      </c>
    </row>
    <row r="7334">
      <c r="A7334" s="15">
        <f>IFERROR(__xludf.DUMMYFUNCTION("""COMPUTED_VALUE"""),45205.0)</f>
        <v>45205</v>
      </c>
      <c r="B7334" s="16" t="str">
        <f>IFERROR(__xludf.DUMMYFUNCTION("""COMPUTED_VALUE"""),"Santiago Garces Restrepo")</f>
        <v>Santiago Garces Restrepo</v>
      </c>
      <c r="C7334" s="15" t="str">
        <f>IFERROR(__xludf.DUMMYFUNCTION("""COMPUTED_VALUE"""),"ENVIGADO")</f>
        <v>ENVIGADO</v>
      </c>
      <c r="D7334" s="15" t="str">
        <f>IFERROR(__xludf.DUMMYFUNCTION("""COMPUTED_VALUE"""),"BOGOTÁ")</f>
        <v>BOGOTÁ</v>
      </c>
      <c r="E7334" s="15" t="str">
        <f>IFERROR(__xludf.DUMMYFUNCTION("""COMPUTED_VALUE"""),"Top Spun")</f>
        <v>Top Spun</v>
      </c>
      <c r="F7334" s="17" t="str">
        <f>IFERROR(__xludf.DUMMYFUNCTION("""COMPUTED_VALUE"""),"Carrera 25 A # 38D sur 30 / Apartamento 902 / Envigado")</f>
        <v>Carrera 25 A # 38D sur 30 / Apartamento 902 / Envigado</v>
      </c>
      <c r="G7334" s="15" t="str">
        <f>IFERROR(__xludf.DUMMYFUNCTION("""COMPUTED_VALUE"""),"Karen Martínez Villa")</f>
        <v>Karen Martínez Villa</v>
      </c>
      <c r="H7334" s="16">
        <f>IFERROR(__xludf.DUMMYFUNCTION("""COMPUTED_VALUE"""),16010.0)</f>
        <v>16010</v>
      </c>
      <c r="I7334" s="18">
        <f>IFERROR(__xludf.DUMMYFUNCTION("""COMPUTED_VALUE"""),20.0)</f>
        <v>20</v>
      </c>
      <c r="J7334" s="18">
        <f>IFERROR(__xludf.DUMMYFUNCTION("""COMPUTED_VALUE"""),10.0)</f>
        <v>10</v>
      </c>
      <c r="K7334" s="18">
        <f>IFERROR(__xludf.DUMMYFUNCTION("""COMPUTED_VALUE"""),40.0)</f>
        <v>40</v>
      </c>
      <c r="L7334" s="17">
        <f>IFERROR(__xludf.DUMMYFUNCTION("""COMPUTED_VALUE"""),3.00547152E9)</f>
        <v>3005471520</v>
      </c>
      <c r="M7334" s="17"/>
      <c r="N7334" s="17"/>
      <c r="O7334" s="17"/>
      <c r="P7334" s="17" t="b">
        <f>IFERROR(__xludf.DUMMYFUNCTION("""COMPUTED_VALUE"""),FALSE)</f>
        <v>0</v>
      </c>
      <c r="Q7334" s="20" t="str">
        <f>IFERROR(__xludf.DUMMYFUNCTION("""COMPUTED_VALUE"""),"")</f>
        <v/>
      </c>
      <c r="R7334" s="22" t="str">
        <f>IFERROR(__xludf.DUMMYFUNCTION("""COMPUTED_VALUE"""),"")</f>
        <v/>
      </c>
    </row>
    <row r="7335">
      <c r="A7335" s="15">
        <f>IFERROR(__xludf.DUMMYFUNCTION("""COMPUTED_VALUE"""),45205.0)</f>
        <v>45205</v>
      </c>
      <c r="B7335" s="16" t="str">
        <f>IFERROR(__xludf.DUMMYFUNCTION("""COMPUTED_VALUE"""),"Santiago Garces Restrepo")</f>
        <v>Santiago Garces Restrepo</v>
      </c>
      <c r="C7335" s="15" t="str">
        <f>IFERROR(__xludf.DUMMYFUNCTION("""COMPUTED_VALUE"""),"MEDELLÍN")</f>
        <v>MEDELLÍN</v>
      </c>
      <c r="D7335" s="15" t="str">
        <f>IFERROR(__xludf.DUMMYFUNCTION("""COMPUTED_VALUE"""),"BOGOTÁ")</f>
        <v>BOGOTÁ</v>
      </c>
      <c r="E7335" s="15" t="str">
        <f>IFERROR(__xludf.DUMMYFUNCTION("""COMPUTED_VALUE"""),"FamiliaReal S.A.S")</f>
        <v>FamiliaReal S.A.S</v>
      </c>
      <c r="F7335" s="17" t="str">
        <f>IFERROR(__xludf.DUMMYFUNCTION("""COMPUTED_VALUE"""),"Calle 4 a sur # 37-67 apto 301. Edificio torres de Oviedo")</f>
        <v>Calle 4 a sur # 37-67 apto 301. Edificio torres de Oviedo</v>
      </c>
      <c r="G7335" s="15" t="str">
        <f>IFERROR(__xludf.DUMMYFUNCTION("""COMPUTED_VALUE"""),"Angela Correa")</f>
        <v>Angela Correa</v>
      </c>
      <c r="H7335" s="16">
        <f>IFERROR(__xludf.DUMMYFUNCTION("""COMPUTED_VALUE"""),15915.0)</f>
        <v>15915</v>
      </c>
      <c r="I7335" s="18">
        <f>IFERROR(__xludf.DUMMYFUNCTION("""COMPUTED_VALUE"""),26.0)</f>
        <v>26</v>
      </c>
      <c r="J7335" s="18">
        <f>IFERROR(__xludf.DUMMYFUNCTION("""COMPUTED_VALUE"""),45115.0)</f>
        <v>45115</v>
      </c>
      <c r="K7335" s="18">
        <f>IFERROR(__xludf.DUMMYFUNCTION("""COMPUTED_VALUE"""),45115.0)</f>
        <v>45115</v>
      </c>
      <c r="L7335" s="17">
        <f>IFERROR(__xludf.DUMMYFUNCTION("""COMPUTED_VALUE"""),3.183253096E9)</f>
        <v>3183253096</v>
      </c>
      <c r="M7335" s="17"/>
      <c r="N7335" s="17"/>
      <c r="O7335" s="17"/>
      <c r="P7335" s="17" t="b">
        <f>IFERROR(__xludf.DUMMYFUNCTION("""COMPUTED_VALUE"""),FALSE)</f>
        <v>0</v>
      </c>
      <c r="Q7335" s="20" t="str">
        <f>IFERROR(__xludf.DUMMYFUNCTION("""COMPUTED_VALUE"""),"")</f>
        <v/>
      </c>
      <c r="R7335" s="22" t="str">
        <f>IFERROR(__xludf.DUMMYFUNCTION("""COMPUTED_VALUE"""),"")</f>
        <v/>
      </c>
    </row>
    <row r="7336">
      <c r="A7336" s="15">
        <f>IFERROR(__xludf.DUMMYFUNCTION("""COMPUTED_VALUE"""),45205.0)</f>
        <v>45205</v>
      </c>
      <c r="B7336" s="16" t="str">
        <f>IFERROR(__xludf.DUMMYFUNCTION("""COMPUTED_VALUE"""),"Santiago Garces Restrepo")</f>
        <v>Santiago Garces Restrepo</v>
      </c>
      <c r="C7336" s="15" t="str">
        <f>IFERROR(__xludf.DUMMYFUNCTION("""COMPUTED_VALUE"""),"MEDELLÍN")</f>
        <v>MEDELLÍN</v>
      </c>
      <c r="D7336" s="15" t="str">
        <f>IFERROR(__xludf.DUMMYFUNCTION("""COMPUTED_VALUE"""),"BOGOTÁ")</f>
        <v>BOGOTÁ</v>
      </c>
      <c r="E7336" s="15" t="str">
        <f>IFERROR(__xludf.DUMMYFUNCTION("""COMPUTED_VALUE"""),"FamiliaReal S.A.S")</f>
        <v>FamiliaReal S.A.S</v>
      </c>
      <c r="F7336" s="17" t="str">
        <f>IFERROR(__xludf.DUMMYFUNCTION("""COMPUTED_VALUE"""),"Calle 64 # 45 60 interior 301 Villa hermosa la mansión")</f>
        <v>Calle 64 # 45 60 interior 301 Villa hermosa la mansión</v>
      </c>
      <c r="G7336" s="15" t="str">
        <f>IFERROR(__xludf.DUMMYFUNCTION("""COMPUTED_VALUE"""),"Karem Lemmel")</f>
        <v>Karem Lemmel</v>
      </c>
      <c r="H7336" s="16">
        <f>IFERROR(__xludf.DUMMYFUNCTION("""COMPUTED_VALUE"""),15954.0)</f>
        <v>15954</v>
      </c>
      <c r="I7336" s="18">
        <f>IFERROR(__xludf.DUMMYFUNCTION("""COMPUTED_VALUE"""),26.0)</f>
        <v>26</v>
      </c>
      <c r="J7336" s="18">
        <f>IFERROR(__xludf.DUMMYFUNCTION("""COMPUTED_VALUE"""),45115.0)</f>
        <v>45115</v>
      </c>
      <c r="K7336" s="18">
        <f>IFERROR(__xludf.DUMMYFUNCTION("""COMPUTED_VALUE"""),45115.0)</f>
        <v>45115</v>
      </c>
      <c r="L7336" s="17">
        <f>IFERROR(__xludf.DUMMYFUNCTION("""COMPUTED_VALUE"""),3.012765758E9)</f>
        <v>3012765758</v>
      </c>
      <c r="M7336" s="17"/>
      <c r="N7336" s="17"/>
      <c r="O7336" s="17"/>
      <c r="P7336" s="17" t="b">
        <f>IFERROR(__xludf.DUMMYFUNCTION("""COMPUTED_VALUE"""),FALSE)</f>
        <v>0</v>
      </c>
      <c r="Q7336" s="20" t="str">
        <f>IFERROR(__xludf.DUMMYFUNCTION("""COMPUTED_VALUE"""),"")</f>
        <v/>
      </c>
      <c r="R7336" s="21" t="str">
        <f>IFERROR(__xludf.DUMMYFUNCTION("""COMPUTED_VALUE"""),"https://drive.google.com/file/d/1VPJfsgFz1JWvX42iKTY0aKMpQsISt7uL/view?usp=drivesdk")</f>
        <v>https://drive.google.com/file/d/1VPJfsgFz1JWvX42iKTY0aKMpQsISt7uL/view?usp=drivesdk</v>
      </c>
    </row>
    <row r="7337">
      <c r="A7337" s="15">
        <f>IFERROR(__xludf.DUMMYFUNCTION("""COMPUTED_VALUE"""),45205.0)</f>
        <v>45205</v>
      </c>
      <c r="B7337" s="16" t="str">
        <f>IFERROR(__xludf.DUMMYFUNCTION("""COMPUTED_VALUE"""),"Santiago Garces Restrepo")</f>
        <v>Santiago Garces Restrepo</v>
      </c>
      <c r="C7337" s="15" t="str">
        <f>IFERROR(__xludf.DUMMYFUNCTION("""COMPUTED_VALUE"""),"MEDELLÍN")</f>
        <v>MEDELLÍN</v>
      </c>
      <c r="D7337" s="15" t="str">
        <f>IFERROR(__xludf.DUMMYFUNCTION("""COMPUTED_VALUE"""),"BOGOTÁ")</f>
        <v>BOGOTÁ</v>
      </c>
      <c r="E7337" s="15" t="str">
        <f>IFERROR(__xludf.DUMMYFUNCTION("""COMPUTED_VALUE"""),"FamiliaReal S.A.S")</f>
        <v>FamiliaReal S.A.S</v>
      </c>
      <c r="F7337" s="17" t="str">
        <f>IFERROR(__xludf.DUMMYFUNCTION("""COMPUTED_VALUE"""),"Calle 73sur # 63aa 185 torre 1 apto 1704 Urbanización Polaris Barrio La Ferrería")</f>
        <v>Calle 73sur # 63aa 185 torre 1 apto 1704 Urbanización Polaris Barrio La Ferrería</v>
      </c>
      <c r="G7337" s="15" t="str">
        <f>IFERROR(__xludf.DUMMYFUNCTION("""COMPUTED_VALUE"""),"Dorian Isaza")</f>
        <v>Dorian Isaza</v>
      </c>
      <c r="H7337" s="16">
        <f>IFERROR(__xludf.DUMMYFUNCTION("""COMPUTED_VALUE"""),15953.0)</f>
        <v>15953</v>
      </c>
      <c r="I7337" s="18">
        <f>IFERROR(__xludf.DUMMYFUNCTION("""COMPUTED_VALUE"""),26.0)</f>
        <v>26</v>
      </c>
      <c r="J7337" s="18">
        <f>IFERROR(__xludf.DUMMYFUNCTION("""COMPUTED_VALUE"""),45115.0)</f>
        <v>45115</v>
      </c>
      <c r="K7337" s="18">
        <f>IFERROR(__xludf.DUMMYFUNCTION("""COMPUTED_VALUE"""),45115.0)</f>
        <v>45115</v>
      </c>
      <c r="L7337" s="17">
        <f>IFERROR(__xludf.DUMMYFUNCTION("""COMPUTED_VALUE"""),3.00314838E9)</f>
        <v>3003148380</v>
      </c>
      <c r="M7337" s="17"/>
      <c r="N7337" s="17"/>
      <c r="O7337" s="17"/>
      <c r="P7337" s="17" t="b">
        <f>IFERROR(__xludf.DUMMYFUNCTION("""COMPUTED_VALUE"""),FALSE)</f>
        <v>0</v>
      </c>
      <c r="Q7337" s="20" t="str">
        <f>IFERROR(__xludf.DUMMYFUNCTION("""COMPUTED_VALUE"""),"")</f>
        <v/>
      </c>
      <c r="R7337" s="21" t="str">
        <f>IFERROR(__xludf.DUMMYFUNCTION("""COMPUTED_VALUE"""),"https://drive.google.com/file/d/1I5mSiItgCXGpAO2rMlmiewLOU7C2ASn5/view?usp=drivesdk")</f>
        <v>https://drive.google.com/file/d/1I5mSiItgCXGpAO2rMlmiewLOU7C2ASn5/view?usp=drivesdk</v>
      </c>
    </row>
    <row r="7338">
      <c r="A7338" s="15">
        <f>IFERROR(__xludf.DUMMYFUNCTION("""COMPUTED_VALUE"""),45205.0)</f>
        <v>45205</v>
      </c>
      <c r="B7338" s="16" t="str">
        <f>IFERROR(__xludf.DUMMYFUNCTION("""COMPUTED_VALUE"""),"Santiago Garces Restrepo")</f>
        <v>Santiago Garces Restrepo</v>
      </c>
      <c r="C7338" s="15" t="str">
        <f>IFERROR(__xludf.DUMMYFUNCTION("""COMPUTED_VALUE"""),"MEDELLÍN")</f>
        <v>MEDELLÍN</v>
      </c>
      <c r="D7338" s="15" t="str">
        <f>IFERROR(__xludf.DUMMYFUNCTION("""COMPUTED_VALUE"""),"BOGOTÁ")</f>
        <v>BOGOTÁ</v>
      </c>
      <c r="E7338" s="15" t="str">
        <f>IFERROR(__xludf.DUMMYFUNCTION("""COMPUTED_VALUE"""),"FamiliaReal S.A.S")</f>
        <v>FamiliaReal S.A.S</v>
      </c>
      <c r="F7338" s="17" t="str">
        <f>IFERROR(__xludf.DUMMYFUNCTION("""COMPUTED_VALUE"""),"Carrera 41 # 57 sur 60 urbanización Laurel apto 1205")</f>
        <v>Carrera 41 # 57 sur 60 urbanización Laurel apto 1205</v>
      </c>
      <c r="G7338" s="15" t="str">
        <f>IFERROR(__xludf.DUMMYFUNCTION("""COMPUTED_VALUE"""),"Alejandra Bastidas")</f>
        <v>Alejandra Bastidas</v>
      </c>
      <c r="H7338" s="16">
        <f>IFERROR(__xludf.DUMMYFUNCTION("""COMPUTED_VALUE"""),15914.0)</f>
        <v>15914</v>
      </c>
      <c r="I7338" s="18">
        <f>IFERROR(__xludf.DUMMYFUNCTION("""COMPUTED_VALUE"""),45068.0)</f>
        <v>45068</v>
      </c>
      <c r="J7338" s="18">
        <f>IFERROR(__xludf.DUMMYFUNCTION("""COMPUTED_VALUE"""),45053.0)</f>
        <v>45053</v>
      </c>
      <c r="K7338" s="18">
        <f>IFERROR(__xludf.DUMMYFUNCTION("""COMPUTED_VALUE"""),45053.0)</f>
        <v>45053</v>
      </c>
      <c r="L7338" s="17">
        <f>IFERROR(__xludf.DUMMYFUNCTION("""COMPUTED_VALUE"""),3.107761095E9)</f>
        <v>3107761095</v>
      </c>
      <c r="M7338" s="17"/>
      <c r="N7338" s="17"/>
      <c r="O7338" s="17"/>
      <c r="P7338" s="17" t="b">
        <f>IFERROR(__xludf.DUMMYFUNCTION("""COMPUTED_VALUE"""),FALSE)</f>
        <v>0</v>
      </c>
      <c r="Q7338" s="20" t="str">
        <f>IFERROR(__xludf.DUMMYFUNCTION("""COMPUTED_VALUE"""),"")</f>
        <v/>
      </c>
      <c r="R7338" s="21" t="str">
        <f>IFERROR(__xludf.DUMMYFUNCTION("""COMPUTED_VALUE"""),"https://drive.google.com/file/d/1Za4ATIrX-P7PdNMAj-fW3To989kN3Mfj/view?usp=drivesdk")</f>
        <v>https://drive.google.com/file/d/1Za4ATIrX-P7PdNMAj-fW3To989kN3Mfj/view?usp=drivesdk</v>
      </c>
    </row>
    <row r="7339">
      <c r="A7339" s="15">
        <f>IFERROR(__xludf.DUMMYFUNCTION("""COMPUTED_VALUE"""),45205.0)</f>
        <v>45205</v>
      </c>
      <c r="B7339" s="16" t="str">
        <f>IFERROR(__xludf.DUMMYFUNCTION("""COMPUTED_VALUE"""),"Santiago Garces Restrepo")</f>
        <v>Santiago Garces Restrepo</v>
      </c>
      <c r="C7339" s="15" t="str">
        <f>IFERROR(__xludf.DUMMYFUNCTION("""COMPUTED_VALUE"""),"MEDELLÍN")</f>
        <v>MEDELLÍN</v>
      </c>
      <c r="D7339" s="15" t="str">
        <f>IFERROR(__xludf.DUMMYFUNCTION("""COMPUTED_VALUE"""),"BOGOTÁ")</f>
        <v>BOGOTÁ</v>
      </c>
      <c r="E7339" s="15" t="str">
        <f>IFERROR(__xludf.DUMMYFUNCTION("""COMPUTED_VALUE"""),"Ins. Alimento Vital")</f>
        <v>Ins. Alimento Vital</v>
      </c>
      <c r="F7339" s="17" t="str">
        <f>IFERROR(__xludf.DUMMYFUNCTION("""COMPUTED_VALUE"""),"CR 44 26 27 / BODEGA / EL POBLADO")</f>
        <v>CR 44 26 27 / BODEGA / EL POBLADO</v>
      </c>
      <c r="G7339" s="15" t="str">
        <f>IFERROR(__xludf.DUMMYFUNCTION("""COMPUTED_VALUE"""),"VELOCITY MEDELLIN")</f>
        <v>VELOCITY MEDELLIN</v>
      </c>
      <c r="H7339" s="16">
        <f>IFERROR(__xludf.DUMMYFUNCTION("""COMPUTED_VALUE"""),16024.0)</f>
        <v>16024</v>
      </c>
      <c r="I7339" s="18">
        <f>IFERROR(__xludf.DUMMYFUNCTION("""COMPUTED_VALUE"""),1.0)</f>
        <v>1</v>
      </c>
      <c r="J7339" s="18">
        <f>IFERROR(__xludf.DUMMYFUNCTION("""COMPUTED_VALUE"""),1.0)</f>
        <v>1</v>
      </c>
      <c r="K7339" s="18">
        <f>IFERROR(__xludf.DUMMYFUNCTION("""COMPUTED_VALUE"""),1.0)</f>
        <v>1</v>
      </c>
      <c r="L7339" s="17">
        <f>IFERROR(__xludf.DUMMYFUNCTION("""COMPUTED_VALUE"""),3.214683372E9)</f>
        <v>3214683372</v>
      </c>
      <c r="M7339" s="17"/>
      <c r="N7339" s="17"/>
      <c r="O7339" s="17"/>
      <c r="P7339" s="17" t="b">
        <f>IFERROR(__xludf.DUMMYFUNCTION("""COMPUTED_VALUE"""),FALSE)</f>
        <v>0</v>
      </c>
      <c r="Q7339" s="20" t="str">
        <f>IFERROR(__xludf.DUMMYFUNCTION("""COMPUTED_VALUE"""),"")</f>
        <v/>
      </c>
      <c r="R7339" s="21" t="str">
        <f>IFERROR(__xludf.DUMMYFUNCTION("""COMPUTED_VALUE"""),"https://drive.google.com/file/d/1LzmK0geoC9eDFsIDn3hSExxll2Zve9Dh/view?usp=drivesdk")</f>
        <v>https://drive.google.com/file/d/1LzmK0geoC9eDFsIDn3hSExxll2Zve9Dh/view?usp=drivesdk</v>
      </c>
    </row>
    <row r="7340">
      <c r="A7340" s="15">
        <f>IFERROR(__xludf.DUMMYFUNCTION("""COMPUTED_VALUE"""),45205.0)</f>
        <v>45205</v>
      </c>
      <c r="B7340" s="16" t="str">
        <f>IFERROR(__xludf.DUMMYFUNCTION("""COMPUTED_VALUE"""),"Santiago Garces Restrepo")</f>
        <v>Santiago Garces Restrepo</v>
      </c>
      <c r="C7340" s="15" t="str">
        <f>IFERROR(__xludf.DUMMYFUNCTION("""COMPUTED_VALUE"""),"MEDELLÍN")</f>
        <v>MEDELLÍN</v>
      </c>
      <c r="D7340" s="15" t="str">
        <f>IFERROR(__xludf.DUMMYFUNCTION("""COMPUTED_VALUE"""),"BOGOTÁ")</f>
        <v>BOGOTÁ</v>
      </c>
      <c r="E7340" s="15" t="str">
        <f>IFERROR(__xludf.DUMMYFUNCTION("""COMPUTED_VALUE"""),"Pan de Waffle")</f>
        <v>Pan de Waffle</v>
      </c>
      <c r="F7340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7340" s="15" t="str">
        <f>IFERROR(__xludf.DUMMYFUNCTION("""COMPUTED_VALUE"""),"VITA INTEGRAL")</f>
        <v>VITA INTEGRAL</v>
      </c>
      <c r="H7340" s="16">
        <f>IFERROR(__xludf.DUMMYFUNCTION("""COMPUTED_VALUE"""),16018.0)</f>
        <v>16018</v>
      </c>
      <c r="I7340" s="18">
        <f>IFERROR(__xludf.DUMMYFUNCTION("""COMPUTED_VALUE"""),40.0)</f>
        <v>40</v>
      </c>
      <c r="J7340" s="18">
        <f>IFERROR(__xludf.DUMMYFUNCTION("""COMPUTED_VALUE"""),30.0)</f>
        <v>30</v>
      </c>
      <c r="K7340" s="18">
        <f>IFERROR(__xludf.DUMMYFUNCTION("""COMPUTED_VALUE"""),40.0)</f>
        <v>40</v>
      </c>
      <c r="L7340" s="17">
        <f>IFERROR(__xludf.DUMMYFUNCTION("""COMPUTED_VALUE"""),3.20865425E9)</f>
        <v>3208654250</v>
      </c>
      <c r="M7340" s="17"/>
      <c r="N7340" s="17"/>
      <c r="O7340" s="17"/>
      <c r="P7340" s="17" t="b">
        <f>IFERROR(__xludf.DUMMYFUNCTION("""COMPUTED_VALUE"""),FALSE)</f>
        <v>0</v>
      </c>
      <c r="Q7340" s="20" t="str">
        <f>IFERROR(__xludf.DUMMYFUNCTION("""COMPUTED_VALUE"""),"")</f>
        <v/>
      </c>
      <c r="R7340" s="21" t="str">
        <f>IFERROR(__xludf.DUMMYFUNCTION("""COMPUTED_VALUE"""),"https://drive.google.com/file/d/1lCth2xdX2MfUmzPQ0MEh8QjG2AlHU7Z8/view?usp=drivesdk")</f>
        <v>https://drive.google.com/file/d/1lCth2xdX2MfUmzPQ0MEh8QjG2AlHU7Z8/view?usp=drivesdk</v>
      </c>
    </row>
    <row r="7341">
      <c r="A7341" s="15">
        <f>IFERROR(__xludf.DUMMYFUNCTION("""COMPUTED_VALUE"""),45205.0)</f>
        <v>45205</v>
      </c>
      <c r="B7341" s="16" t="str">
        <f>IFERROR(__xludf.DUMMYFUNCTION("""COMPUTED_VALUE"""),"Santiago Garces Restrepo")</f>
        <v>Santiago Garces Restrepo</v>
      </c>
      <c r="C7341" s="15" t="str">
        <f>IFERROR(__xludf.DUMMYFUNCTION("""COMPUTED_VALUE"""),"MEDELLÍN")</f>
        <v>MEDELLÍN</v>
      </c>
      <c r="D7341" s="15" t="str">
        <f>IFERROR(__xludf.DUMMYFUNCTION("""COMPUTED_VALUE"""),"BOGOTÁ")</f>
        <v>BOGOTÁ</v>
      </c>
      <c r="E7341" s="15" t="str">
        <f>IFERROR(__xludf.DUMMYFUNCTION("""COMPUTED_VALUE"""),"Renata")</f>
        <v>Renata</v>
      </c>
      <c r="F7341" s="17" t="str">
        <f>IFERROR(__xludf.DUMMYFUNCTION("""COMPUTED_VALUE"""),"Correra 32d #9-43 / Seline y cowork -restaurante  / Provenza")</f>
        <v>Correra 32d #9-43 / Seline y cowork -restaurante  / Provenza</v>
      </c>
      <c r="G7341" s="15" t="str">
        <f>IFERROR(__xludf.DUMMYFUNCTION("""COMPUTED_VALUE"""),"Front y back hospitality group")</f>
        <v>Front y back hospitality group</v>
      </c>
      <c r="H7341" s="16">
        <f>IFERROR(__xludf.DUMMYFUNCTION("""COMPUTED_VALUE"""),16017.0)</f>
        <v>16017</v>
      </c>
      <c r="I7341" s="18">
        <f>IFERROR(__xludf.DUMMYFUNCTION("""COMPUTED_VALUE"""),90.0)</f>
        <v>90</v>
      </c>
      <c r="J7341" s="18">
        <f>IFERROR(__xludf.DUMMYFUNCTION("""COMPUTED_VALUE"""),70.0)</f>
        <v>70</v>
      </c>
      <c r="K7341" s="18">
        <f>IFERROR(__xludf.DUMMYFUNCTION("""COMPUTED_VALUE"""),60.0)</f>
        <v>60</v>
      </c>
      <c r="L7341" s="17">
        <f>IFERROR(__xludf.DUMMYFUNCTION("""COMPUTED_VALUE"""),3.104047368E9)</f>
        <v>3104047368</v>
      </c>
      <c r="M7341" s="17"/>
      <c r="N7341" s="17"/>
      <c r="O7341" s="17"/>
      <c r="P7341" s="17" t="b">
        <f>IFERROR(__xludf.DUMMYFUNCTION("""COMPUTED_VALUE"""),FALSE)</f>
        <v>0</v>
      </c>
      <c r="Q7341" s="20" t="str">
        <f>IFERROR(__xludf.DUMMYFUNCTION("""COMPUTED_VALUE"""),"")</f>
        <v/>
      </c>
      <c r="R7341" s="21" t="str">
        <f>IFERROR(__xludf.DUMMYFUNCTION("""COMPUTED_VALUE"""),"https://drive.google.com/file/d/14ZVbsoArwk1iVbEAEX1ntf9pf1maHcQW/view?usp=drivesdk")</f>
        <v>https://drive.google.com/file/d/14ZVbsoArwk1iVbEAEX1ntf9pf1maHcQW/view?usp=drivesdk</v>
      </c>
    </row>
    <row r="7342">
      <c r="A7342" s="15">
        <f>IFERROR(__xludf.DUMMYFUNCTION("""COMPUTED_VALUE"""),45205.0)</f>
        <v>45205</v>
      </c>
      <c r="B7342" s="16" t="str">
        <f>IFERROR(__xludf.DUMMYFUNCTION("""COMPUTED_VALUE"""),"Santiago Garces Restrepo")</f>
        <v>Santiago Garces Restrepo</v>
      </c>
      <c r="C7342" s="15" t="str">
        <f>IFERROR(__xludf.DUMMYFUNCTION("""COMPUTED_VALUE"""),"MEDELLÍN")</f>
        <v>MEDELLÍN</v>
      </c>
      <c r="D7342" s="15" t="str">
        <f>IFERROR(__xludf.DUMMYFUNCTION("""COMPUTED_VALUE"""),"BOGOTÁ")</f>
        <v>BOGOTÁ</v>
      </c>
      <c r="E7342" s="15" t="str">
        <f>IFERROR(__xludf.DUMMYFUNCTION("""COMPUTED_VALUE"""),"Spirulina Fresca")</f>
        <v>Spirulina Fresca</v>
      </c>
      <c r="F7342" s="17" t="str">
        <f>IFERROR(__xludf.DUMMYFUNCTION("""COMPUTED_VALUE"""),"Cl 27#82a-85 / Belen / Belen")</f>
        <v>Cl 27#82a-85 / Belen / Belen</v>
      </c>
      <c r="G7342" s="15" t="str">
        <f>IFERROR(__xludf.DUMMYFUNCTION("""COMPUTED_VALUE"""),"Juan David")</f>
        <v>Juan David</v>
      </c>
      <c r="H7342" s="16">
        <f>IFERROR(__xludf.DUMMYFUNCTION("""COMPUTED_VALUE"""),16014.0)</f>
        <v>16014</v>
      </c>
      <c r="I7342" s="18">
        <f>IFERROR(__xludf.DUMMYFUNCTION("""COMPUTED_VALUE"""),5.0)</f>
        <v>5</v>
      </c>
      <c r="J7342" s="18">
        <f>IFERROR(__xludf.DUMMYFUNCTION("""COMPUTED_VALUE"""),5.0)</f>
        <v>5</v>
      </c>
      <c r="K7342" s="18">
        <f>IFERROR(__xludf.DUMMYFUNCTION("""COMPUTED_VALUE"""),22.0)</f>
        <v>22</v>
      </c>
      <c r="L7342" s="17">
        <f>IFERROR(__xludf.DUMMYFUNCTION("""COMPUTED_VALUE"""),3.136244343E9)</f>
        <v>3136244343</v>
      </c>
      <c r="M7342" s="17"/>
      <c r="N7342" s="17"/>
      <c r="O7342" s="17"/>
      <c r="P7342" s="17" t="b">
        <f>IFERROR(__xludf.DUMMYFUNCTION("""COMPUTED_VALUE"""),FALSE)</f>
        <v>0</v>
      </c>
      <c r="Q7342" s="20" t="str">
        <f>IFERROR(__xludf.DUMMYFUNCTION("""COMPUTED_VALUE"""),"")</f>
        <v/>
      </c>
      <c r="R7342" s="21" t="str">
        <f>IFERROR(__xludf.DUMMYFUNCTION("""COMPUTED_VALUE"""),"https://drive.google.com/file/d/1qGR7ao979tL5xWCFwBbEef4Hnm6a4X2I/view?usp=drivesdk")</f>
        <v>https://drive.google.com/file/d/1qGR7ao979tL5xWCFwBbEef4Hnm6a4X2I/view?usp=drivesdk</v>
      </c>
    </row>
    <row r="7343">
      <c r="A7343" s="15">
        <f>IFERROR(__xludf.DUMMYFUNCTION("""COMPUTED_VALUE"""),45205.0)</f>
        <v>45205</v>
      </c>
      <c r="B7343" s="16" t="str">
        <f>IFERROR(__xludf.DUMMYFUNCTION("""COMPUTED_VALUE"""),"Santiago Garces Restrepo")</f>
        <v>Santiago Garces Restrepo</v>
      </c>
      <c r="C7343" s="15" t="str">
        <f>IFERROR(__xludf.DUMMYFUNCTION("""COMPUTED_VALUE"""),"MEDELLÍN")</f>
        <v>MEDELLÍN</v>
      </c>
      <c r="D7343" s="15" t="str">
        <f>IFERROR(__xludf.DUMMYFUNCTION("""COMPUTED_VALUE"""),"BOGOTÁ")</f>
        <v>BOGOTÁ</v>
      </c>
      <c r="E7343" s="15" t="str">
        <f>IFERROR(__xludf.DUMMYFUNCTION("""COMPUTED_VALUE"""),"Spirulina Fresca")</f>
        <v>Spirulina Fresca</v>
      </c>
      <c r="F7343" s="17" t="str">
        <f>IFERROR(__xludf.DUMMYFUNCTION("""COMPUTED_VALUE"""),"Cr32#-59-70  / Apto 3001 / El poblado")</f>
        <v>Cr32#-59-70  / Apto 3001 / El poblado</v>
      </c>
      <c r="G7343" s="15" t="str">
        <f>IFERROR(__xludf.DUMMYFUNCTION("""COMPUTED_VALUE"""),"Hugo Salazar")</f>
        <v>Hugo Salazar</v>
      </c>
      <c r="H7343" s="16">
        <f>IFERROR(__xludf.DUMMYFUNCTION("""COMPUTED_VALUE"""),16012.0)</f>
        <v>16012</v>
      </c>
      <c r="I7343" s="18">
        <f>IFERROR(__xludf.DUMMYFUNCTION("""COMPUTED_VALUE"""),5.0)</f>
        <v>5</v>
      </c>
      <c r="J7343" s="18">
        <f>IFERROR(__xludf.DUMMYFUNCTION("""COMPUTED_VALUE"""),10.0)</f>
        <v>10</v>
      </c>
      <c r="K7343" s="18">
        <f>IFERROR(__xludf.DUMMYFUNCTION("""COMPUTED_VALUE"""),22.0)</f>
        <v>22</v>
      </c>
      <c r="L7343" s="17">
        <f>IFERROR(__xludf.DUMMYFUNCTION("""COMPUTED_VALUE"""),3.125193079E9)</f>
        <v>3125193079</v>
      </c>
      <c r="M7343" s="17"/>
      <c r="N7343" s="17"/>
      <c r="O7343" s="17"/>
      <c r="P7343" s="17" t="b">
        <f>IFERROR(__xludf.DUMMYFUNCTION("""COMPUTED_VALUE"""),FALSE)</f>
        <v>0</v>
      </c>
      <c r="Q7343" s="20" t="str">
        <f>IFERROR(__xludf.DUMMYFUNCTION("""COMPUTED_VALUE"""),"")</f>
        <v/>
      </c>
      <c r="R7343" s="21" t="str">
        <f>IFERROR(__xludf.DUMMYFUNCTION("""COMPUTED_VALUE"""),"https://drive.google.com/file/d/18otnJ-PgvBGm-dyNnREikjZ5HRdMuIMl/view?usp=drivesdk")</f>
        <v>https://drive.google.com/file/d/18otnJ-PgvBGm-dyNnREikjZ5HRdMuIMl/view?usp=drivesdk</v>
      </c>
    </row>
    <row r="7344">
      <c r="A7344" s="15">
        <f>IFERROR(__xludf.DUMMYFUNCTION("""COMPUTED_VALUE"""),45205.0)</f>
        <v>45205</v>
      </c>
      <c r="B7344" s="16" t="str">
        <f>IFERROR(__xludf.DUMMYFUNCTION("""COMPUTED_VALUE"""),"Santiago Garces Restrepo")</f>
        <v>Santiago Garces Restrepo</v>
      </c>
      <c r="C7344" s="15" t="str">
        <f>IFERROR(__xludf.DUMMYFUNCTION("""COMPUTED_VALUE"""),"MEDELLÍN")</f>
        <v>MEDELLÍN</v>
      </c>
      <c r="D7344" s="15" t="str">
        <f>IFERROR(__xludf.DUMMYFUNCTION("""COMPUTED_VALUE"""),"BOGOTÁ")</f>
        <v>BOGOTÁ</v>
      </c>
      <c r="E7344" s="15" t="str">
        <f>IFERROR(__xludf.DUMMYFUNCTION("""COMPUTED_VALUE"""),"Spirulina Fresca")</f>
        <v>Spirulina Fresca</v>
      </c>
      <c r="F7344" s="17" t="str">
        <f>IFERROR(__xludf.DUMMYFUNCTION("""COMPUTED_VALUE"""),"Cr60#75aa sur 75 / Casa 171, conjunto pamplona / La Estrella")</f>
        <v>Cr60#75aa sur 75 / Casa 171, conjunto pamplona / La Estrella</v>
      </c>
      <c r="G7344" s="15" t="str">
        <f>IFERROR(__xludf.DUMMYFUNCTION("""COMPUTED_VALUE"""),"Mauricio Velasquez")</f>
        <v>Mauricio Velasquez</v>
      </c>
      <c r="H7344" s="16">
        <f>IFERROR(__xludf.DUMMYFUNCTION("""COMPUTED_VALUE"""),16013.0)</f>
        <v>16013</v>
      </c>
      <c r="I7344" s="18">
        <f>IFERROR(__xludf.DUMMYFUNCTION("""COMPUTED_VALUE"""),5.0)</f>
        <v>5</v>
      </c>
      <c r="J7344" s="18">
        <f>IFERROR(__xludf.DUMMYFUNCTION("""COMPUTED_VALUE"""),5.0)</f>
        <v>5</v>
      </c>
      <c r="K7344" s="18">
        <f>IFERROR(__xludf.DUMMYFUNCTION("""COMPUTED_VALUE"""),22.0)</f>
        <v>22</v>
      </c>
      <c r="L7344" s="17">
        <f>IFERROR(__xludf.DUMMYFUNCTION("""COMPUTED_VALUE"""),3.165251216E9)</f>
        <v>3165251216</v>
      </c>
      <c r="M7344" s="17"/>
      <c r="N7344" s="17"/>
      <c r="O7344" s="17"/>
      <c r="P7344" s="17" t="b">
        <f>IFERROR(__xludf.DUMMYFUNCTION("""COMPUTED_VALUE"""),FALSE)</f>
        <v>0</v>
      </c>
      <c r="Q7344" s="20" t="str">
        <f>IFERROR(__xludf.DUMMYFUNCTION("""COMPUTED_VALUE"""),"")</f>
        <v/>
      </c>
      <c r="R7344" s="21" t="str">
        <f>IFERROR(__xludf.DUMMYFUNCTION("""COMPUTED_VALUE"""),"https://drive.google.com/file/d/1noUC7f5YUdTLirCw_4V0eSO5zd2zikbC/view?usp=drivesdk")</f>
        <v>https://drive.google.com/file/d/1noUC7f5YUdTLirCw_4V0eSO5zd2zikbC/view?usp=drivesdk</v>
      </c>
    </row>
    <row r="7345">
      <c r="A7345" s="15">
        <f>IFERROR(__xludf.DUMMYFUNCTION("""COMPUTED_VALUE"""),45205.0)</f>
        <v>45205</v>
      </c>
      <c r="B7345" s="16" t="str">
        <f>IFERROR(__xludf.DUMMYFUNCTION("""COMPUTED_VALUE"""),"Santiago Garces Restrepo")</f>
        <v>Santiago Garces Restrepo</v>
      </c>
      <c r="C7345" s="15" t="str">
        <f>IFERROR(__xludf.DUMMYFUNCTION("""COMPUTED_VALUE"""),"MEDELLÍN")</f>
        <v>MEDELLÍN</v>
      </c>
      <c r="D7345" s="15" t="str">
        <f>IFERROR(__xludf.DUMMYFUNCTION("""COMPUTED_VALUE"""),"BOGOTÁ")</f>
        <v>BOGOTÁ</v>
      </c>
      <c r="E7345" s="15" t="str">
        <f>IFERROR(__xludf.DUMMYFUNCTION("""COMPUTED_VALUE"""),"Top Spun")</f>
        <v>Top Spun</v>
      </c>
      <c r="F7345" s="17" t="str">
        <f>IFERROR(__xludf.DUMMYFUNCTION("""COMPUTED_VALUE"""),"Carrera 13 B # 4 B Sur 205 / Apto 204 / Medellín")</f>
        <v>Carrera 13 B # 4 B Sur 205 / Apto 204 / Medellín</v>
      </c>
      <c r="G7345" s="15" t="str">
        <f>IFERROR(__xludf.DUMMYFUNCTION("""COMPUTED_VALUE"""),"Camila Sánchez")</f>
        <v>Camila Sánchez</v>
      </c>
      <c r="H7345" s="16">
        <f>IFERROR(__xludf.DUMMYFUNCTION("""COMPUTED_VALUE"""),16009.0)</f>
        <v>16009</v>
      </c>
      <c r="I7345" s="18">
        <f>IFERROR(__xludf.DUMMYFUNCTION("""COMPUTED_VALUE"""),20.0)</f>
        <v>20</v>
      </c>
      <c r="J7345" s="18">
        <f>IFERROR(__xludf.DUMMYFUNCTION("""COMPUTED_VALUE"""),10.0)</f>
        <v>10</v>
      </c>
      <c r="K7345" s="18">
        <f>IFERROR(__xludf.DUMMYFUNCTION("""COMPUTED_VALUE"""),40.0)</f>
        <v>40</v>
      </c>
      <c r="L7345" s="17">
        <f>IFERROR(__xludf.DUMMYFUNCTION("""COMPUTED_VALUE"""),3.117483504E9)</f>
        <v>3117483504</v>
      </c>
      <c r="M7345" s="17"/>
      <c r="N7345" s="17"/>
      <c r="O7345" s="17"/>
      <c r="P7345" s="17" t="b">
        <f>IFERROR(__xludf.DUMMYFUNCTION("""COMPUTED_VALUE"""),FALSE)</f>
        <v>0</v>
      </c>
      <c r="Q7345" s="20" t="str">
        <f>IFERROR(__xludf.DUMMYFUNCTION("""COMPUTED_VALUE"""),"")</f>
        <v/>
      </c>
      <c r="R7345" s="21" t="str">
        <f>IFERROR(__xludf.DUMMYFUNCTION("""COMPUTED_VALUE"""),"https://drive.google.com/file/d/1pDIXJHZoCY-Yjr12rl5kJIH-3Gki9fv9/view?usp=drivesdk")</f>
        <v>https://drive.google.com/file/d/1pDIXJHZoCY-Yjr12rl5kJIH-3Gki9fv9/view?usp=drivesdk</v>
      </c>
    </row>
    <row r="7346">
      <c r="A7346" s="15">
        <f>IFERROR(__xludf.DUMMYFUNCTION("""COMPUTED_VALUE"""),45205.0)</f>
        <v>45205</v>
      </c>
      <c r="B7346" s="16" t="str">
        <f>IFERROR(__xludf.DUMMYFUNCTION("""COMPUTED_VALUE"""),"Santiago Garces Restrepo")</f>
        <v>Santiago Garces Restrepo</v>
      </c>
      <c r="C7346" s="15" t="str">
        <f>IFERROR(__xludf.DUMMYFUNCTION("""COMPUTED_VALUE"""),"MEDELLÍN")</f>
        <v>MEDELLÍN</v>
      </c>
      <c r="D7346" s="15" t="str">
        <f>IFERROR(__xludf.DUMMYFUNCTION("""COMPUTED_VALUE"""),"BOGOTÁ")</f>
        <v>BOGOTÁ</v>
      </c>
      <c r="E7346" s="15" t="str">
        <f>IFERROR(__xludf.DUMMYFUNCTION("""COMPUTED_VALUE"""),"Tres Grados")</f>
        <v>Tres Grados</v>
      </c>
      <c r="F7346" s="17" t="str">
        <f>IFERROR(__xludf.DUMMYFUNCTION("""COMPUTED_VALUE"""),"Calle 1 A sur 43A 206 / Apto 103 Conjunto residencial Uno Sur  Diagonal al Hotel Marriott 050021 / Medellín")</f>
        <v>Calle 1 A sur 43A 206 / Apto 103 Conjunto residencial Uno Sur  Diagonal al Hotel Marriott 050021 / Medellín</v>
      </c>
      <c r="G7346" s="15" t="str">
        <f>IFERROR(__xludf.DUMMYFUNCTION("""COMPUTED_VALUE"""),"Adelaida del Corral")</f>
        <v>Adelaida del Corral</v>
      </c>
      <c r="H7346" s="16">
        <f>IFERROR(__xludf.DUMMYFUNCTION("""COMPUTED_VALUE"""),16021.0)</f>
        <v>16021</v>
      </c>
      <c r="I7346" s="18">
        <f>IFERROR(__xludf.DUMMYFUNCTION("""COMPUTED_VALUE"""),45062.0)</f>
        <v>45062</v>
      </c>
      <c r="J7346" s="18">
        <f>IFERROR(__xludf.DUMMYFUNCTION("""COMPUTED_VALUE"""),45040.0)</f>
        <v>45040</v>
      </c>
      <c r="K7346" s="18" t="str">
        <f>IFERROR(__xludf.DUMMYFUNCTION("""COMPUTED_VALUE"""),"31.2")</f>
        <v>31.2</v>
      </c>
      <c r="L7346" s="17">
        <f>IFERROR(__xludf.DUMMYFUNCTION("""COMPUTED_VALUE"""),3.132095861E9)</f>
        <v>3132095861</v>
      </c>
      <c r="M7346" s="17"/>
      <c r="N7346" s="17"/>
      <c r="O7346" s="17"/>
      <c r="P7346" s="17" t="b">
        <f>IFERROR(__xludf.DUMMYFUNCTION("""COMPUTED_VALUE"""),FALSE)</f>
        <v>0</v>
      </c>
      <c r="Q7346" s="20" t="str">
        <f>IFERROR(__xludf.DUMMYFUNCTION("""COMPUTED_VALUE"""),"")</f>
        <v/>
      </c>
      <c r="R7346" s="21" t="str">
        <f>IFERROR(__xludf.DUMMYFUNCTION("""COMPUTED_VALUE"""),"https://drive.google.com/file/d/1RYypyKSewH2UeBkLdkG6TBejcuzro5lA/view?usp=drivesdk")</f>
        <v>https://drive.google.com/file/d/1RYypyKSewH2UeBkLdkG6TBejcuzro5lA/view?usp=drivesdk</v>
      </c>
    </row>
    <row r="7347">
      <c r="A7347" s="17" t="str">
        <f>IFERROR(__xludf.DUMMYFUNCTION("""COMPUTED_VALUE"""),"")</f>
        <v/>
      </c>
      <c r="B7347" s="17" t="str">
        <f>IFERROR(__xludf.DUMMYFUNCTION("""COMPUTED_VALUE"""),"")</f>
        <v/>
      </c>
      <c r="C7347" s="17" t="str">
        <f>IFERROR(__xludf.DUMMYFUNCTION("""COMPUTED_VALUE"""),"")</f>
        <v/>
      </c>
      <c r="D7347" s="17" t="str">
        <f>IFERROR(__xludf.DUMMYFUNCTION("""COMPUTED_VALUE"""),"")</f>
        <v/>
      </c>
      <c r="E7347" s="17" t="str">
        <f>IFERROR(__xludf.DUMMYFUNCTION("""COMPUTED_VALUE"""),"")</f>
        <v/>
      </c>
      <c r="F7347" s="17" t="str">
        <f>IFERROR(__xludf.DUMMYFUNCTION("""COMPUTED_VALUE"""),"")</f>
        <v/>
      </c>
      <c r="G7347" s="17" t="str">
        <f>IFERROR(__xludf.DUMMYFUNCTION("""COMPUTED_VALUE"""),"")</f>
        <v/>
      </c>
      <c r="H7347" s="17" t="str">
        <f>IFERROR(__xludf.DUMMYFUNCTION("""COMPUTED_VALUE"""),"")</f>
        <v/>
      </c>
      <c r="I7347" s="17" t="str">
        <f>IFERROR(__xludf.DUMMYFUNCTION("""COMPUTED_VALUE"""),"")</f>
        <v/>
      </c>
      <c r="J7347" s="17" t="str">
        <f>IFERROR(__xludf.DUMMYFUNCTION("""COMPUTED_VALUE"""),"")</f>
        <v/>
      </c>
      <c r="K7347" s="17" t="str">
        <f>IFERROR(__xludf.DUMMYFUNCTION("""COMPUTED_VALUE"""),"")</f>
        <v/>
      </c>
      <c r="L7347" s="17" t="str">
        <f>IFERROR(__xludf.DUMMYFUNCTION("""COMPUTED_VALUE"""),"")</f>
        <v/>
      </c>
      <c r="M7347" s="17" t="str">
        <f>IFERROR(__xludf.DUMMYFUNCTION("""COMPUTED_VALUE"""),"")</f>
        <v/>
      </c>
      <c r="N7347" s="17" t="str">
        <f>IFERROR(__xludf.DUMMYFUNCTION("""COMPUTED_VALUE"""),"")</f>
        <v/>
      </c>
      <c r="O7347" s="17" t="str">
        <f>IFERROR(__xludf.DUMMYFUNCTION("""COMPUTED_VALUE"""),"")</f>
        <v/>
      </c>
      <c r="P7347" s="17" t="str">
        <f>IFERROR(__xludf.DUMMYFUNCTION("""COMPUTED_VALUE"""),"")</f>
        <v/>
      </c>
      <c r="Q7347" s="17" t="str">
        <f>IFERROR(__xludf.DUMMYFUNCTION("""COMPUTED_VALUE"""),"")</f>
        <v/>
      </c>
      <c r="R7347" s="17" t="str">
        <f>IFERROR(__xludf.DUMMYFUNCTION("""COMPUTED_VALUE"""),"")</f>
        <v/>
      </c>
    </row>
    <row r="7348">
      <c r="A7348" s="15">
        <f>IFERROR(__xludf.DUMMYFUNCTION("""COMPUTED_VALUE"""),45209.0)</f>
        <v>45209</v>
      </c>
      <c r="B7348" s="17"/>
      <c r="C7348" s="15" t="str">
        <f>IFERROR(__xludf.DUMMYFUNCTION("""COMPUTED_VALUE"""),"BUCARAMANGA")</f>
        <v>BUCARAMANGA</v>
      </c>
      <c r="D7348" s="15" t="str">
        <f>IFERROR(__xludf.DUMMYFUNCTION("""COMPUTED_VALUE"""),"BOGOTÁ")</f>
        <v>BOGOTÁ</v>
      </c>
      <c r="E7348" s="15" t="str">
        <f>IFERROR(__xludf.DUMMYFUNCTION("""COMPUTED_VALUE"""),"Top Spun")</f>
        <v>Top Spun</v>
      </c>
      <c r="F7348" s="17" t="str">
        <f>IFERROR(__xludf.DUMMYFUNCTION("""COMPUTED_VALUE"""),"Calle 20 # 30 - 24 / Edificio Amaranto apto 706  / Barrio San Alonso")</f>
        <v>Calle 20 # 30 - 24 / Edificio Amaranto apto 706  / Barrio San Alonso</v>
      </c>
      <c r="G7348" s="15" t="str">
        <f>IFERROR(__xludf.DUMMYFUNCTION("""COMPUTED_VALUE"""),"Denis Sanchez Porras")</f>
        <v>Denis Sanchez Porras</v>
      </c>
      <c r="H7348" s="16">
        <f>IFERROR(__xludf.DUMMYFUNCTION("""COMPUTED_VALUE"""),16081.0)</f>
        <v>16081</v>
      </c>
      <c r="I7348" s="18">
        <f>IFERROR(__xludf.DUMMYFUNCTION("""COMPUTED_VALUE"""),20.0)</f>
        <v>20</v>
      </c>
      <c r="J7348" s="18">
        <f>IFERROR(__xludf.DUMMYFUNCTION("""COMPUTED_VALUE"""),10.0)</f>
        <v>10</v>
      </c>
      <c r="K7348" s="18">
        <f>IFERROR(__xludf.DUMMYFUNCTION("""COMPUTED_VALUE"""),40.0)</f>
        <v>40</v>
      </c>
      <c r="L7348" s="17">
        <f>IFERROR(__xludf.DUMMYFUNCTION("""COMPUTED_VALUE"""),3.108070514E9)</f>
        <v>3108070514</v>
      </c>
      <c r="M7348" s="17"/>
      <c r="N7348" s="17"/>
      <c r="O7348" s="17"/>
      <c r="P7348" s="17" t="b">
        <f>IFERROR(__xludf.DUMMYFUNCTION("""COMPUTED_VALUE"""),FALSE)</f>
        <v>0</v>
      </c>
      <c r="Q7348" s="20" t="str">
        <f>IFERROR(__xludf.DUMMYFUNCTION("""COMPUTED_VALUE"""),"")</f>
        <v/>
      </c>
      <c r="R7348" s="21" t="str">
        <f>IFERROR(__xludf.DUMMYFUNCTION("""COMPUTED_VALUE"""),"https://drive.google.com/file/d/1x-1Hk4BmczwzXzAiySiX9GNrOd1RzkaC/view?usp=drivesdk")</f>
        <v>https://drive.google.com/file/d/1x-1Hk4BmczwzXzAiySiX9GNrOd1RzkaC/view?usp=drivesdk</v>
      </c>
    </row>
    <row r="7349">
      <c r="A7349" s="15">
        <f>IFERROR(__xludf.DUMMYFUNCTION("""COMPUTED_VALUE"""),45209.0)</f>
        <v>45209</v>
      </c>
      <c r="B7349" s="17"/>
      <c r="C7349" s="15" t="str">
        <f>IFERROR(__xludf.DUMMYFUNCTION("""COMPUTED_VALUE"""),"CARTAGO")</f>
        <v>CARTAGO</v>
      </c>
      <c r="D7349" s="15" t="str">
        <f>IFERROR(__xludf.DUMMYFUNCTION("""COMPUTED_VALUE"""),"BOGOTÁ")</f>
        <v>BOGOTÁ</v>
      </c>
      <c r="E7349" s="15" t="str">
        <f>IFERROR(__xludf.DUMMYFUNCTION("""COMPUTED_VALUE"""),"Karem foods")</f>
        <v>Karem foods</v>
      </c>
      <c r="F7349" s="17" t="str">
        <f>IFERROR(__xludf.DUMMYFUNCTION("""COMPUTED_VALUE"""),"Cra 22 #9-15 Variante / bodegas de trilladora de café Moreno Cartago / -")</f>
        <v>Cra 22 #9-15 Variante / bodegas de trilladora de café Moreno Cartago / -</v>
      </c>
      <c r="G7349" s="15" t="str">
        <f>IFERROR(__xludf.DUMMYFUNCTION("""COMPUTED_VALUE"""),"Melissa Castrillon")</f>
        <v>Melissa Castrillon</v>
      </c>
      <c r="H7349" s="16">
        <f>IFERROR(__xludf.DUMMYFUNCTION("""COMPUTED_VALUE"""),16167.0)</f>
        <v>16167</v>
      </c>
      <c r="I7349" s="18">
        <f>IFERROR(__xludf.DUMMYFUNCTION("""COMPUTED_VALUE"""),7.0)</f>
        <v>7</v>
      </c>
      <c r="J7349" s="18">
        <f>IFERROR(__xludf.DUMMYFUNCTION("""COMPUTED_VALUE"""),20.0)</f>
        <v>20</v>
      </c>
      <c r="K7349" s="18">
        <f>IFERROR(__xludf.DUMMYFUNCTION("""COMPUTED_VALUE"""),20.0)</f>
        <v>20</v>
      </c>
      <c r="L7349" s="17">
        <f>IFERROR(__xludf.DUMMYFUNCTION("""COMPUTED_VALUE"""),3.168272321E9)</f>
        <v>3168272321</v>
      </c>
      <c r="M7349" s="17"/>
      <c r="N7349" s="17"/>
      <c r="O7349" s="17"/>
      <c r="P7349" s="17" t="b">
        <f>IFERROR(__xludf.DUMMYFUNCTION("""COMPUTED_VALUE"""),FALSE)</f>
        <v>0</v>
      </c>
      <c r="Q7349" s="20" t="str">
        <f>IFERROR(__xludf.DUMMYFUNCTION("""COMPUTED_VALUE"""),"")</f>
        <v/>
      </c>
      <c r="R7349" s="22" t="str">
        <f>IFERROR(__xludf.DUMMYFUNCTION("""COMPUTED_VALUE"""),"")</f>
        <v/>
      </c>
    </row>
    <row r="7350">
      <c r="A7350" s="15">
        <f>IFERROR(__xludf.DUMMYFUNCTION("""COMPUTED_VALUE"""),45209.0)</f>
        <v>45209</v>
      </c>
      <c r="B7350" s="17"/>
      <c r="C7350" s="15" t="str">
        <f>IFERROR(__xludf.DUMMYFUNCTION("""COMPUTED_VALUE"""),"CARTAGO")</f>
        <v>CARTAGO</v>
      </c>
      <c r="D7350" s="15" t="str">
        <f>IFERROR(__xludf.DUMMYFUNCTION("""COMPUTED_VALUE"""),"BOGOTÁ")</f>
        <v>BOGOTÁ</v>
      </c>
      <c r="E7350" s="15" t="str">
        <f>IFERROR(__xludf.DUMMYFUNCTION("""COMPUTED_VALUE"""),"Karem foods")</f>
        <v>Karem foods</v>
      </c>
      <c r="F7350" s="17" t="str">
        <f>IFERROR(__xludf.DUMMYFUNCTION("""COMPUTED_VALUE"""),"Green fit food Calle 12 #1N-96 Barrio El Prado / - / -")</f>
        <v>Green fit food Calle 12 #1N-96 Barrio El Prado / - / -</v>
      </c>
      <c r="G7350" s="15" t="str">
        <f>IFERROR(__xludf.DUMMYFUNCTION("""COMPUTED_VALUE"""),"Karol Tatiana Santa")</f>
        <v>Karol Tatiana Santa</v>
      </c>
      <c r="H7350" s="16">
        <f>IFERROR(__xludf.DUMMYFUNCTION("""COMPUTED_VALUE"""),16164.0)</f>
        <v>16164</v>
      </c>
      <c r="I7350" s="18">
        <f>IFERROR(__xludf.DUMMYFUNCTION("""COMPUTED_VALUE"""),12.0)</f>
        <v>12</v>
      </c>
      <c r="J7350" s="18">
        <f>IFERROR(__xludf.DUMMYFUNCTION("""COMPUTED_VALUE"""),30.0)</f>
        <v>30</v>
      </c>
      <c r="K7350" s="18">
        <f>IFERROR(__xludf.DUMMYFUNCTION("""COMPUTED_VALUE"""),20.0)</f>
        <v>20</v>
      </c>
      <c r="L7350" s="17">
        <f>IFERROR(__xludf.DUMMYFUNCTION("""COMPUTED_VALUE"""),3.113159671E9)</f>
        <v>3113159671</v>
      </c>
      <c r="M7350" s="17"/>
      <c r="N7350" s="17"/>
      <c r="O7350" s="17"/>
      <c r="P7350" s="17" t="b">
        <f>IFERROR(__xludf.DUMMYFUNCTION("""COMPUTED_VALUE"""),FALSE)</f>
        <v>0</v>
      </c>
      <c r="Q7350" s="20" t="str">
        <f>IFERROR(__xludf.DUMMYFUNCTION("""COMPUTED_VALUE"""),"")</f>
        <v/>
      </c>
      <c r="R7350" s="22" t="str">
        <f>IFERROR(__xludf.DUMMYFUNCTION("""COMPUTED_VALUE"""),"")</f>
        <v/>
      </c>
    </row>
    <row r="7351">
      <c r="A7351" s="17" t="str">
        <f>IFERROR(__xludf.DUMMYFUNCTION("""COMPUTED_VALUE"""),"")</f>
        <v/>
      </c>
      <c r="B7351" s="17" t="str">
        <f>IFERROR(__xludf.DUMMYFUNCTION("""COMPUTED_VALUE"""),"")</f>
        <v/>
      </c>
      <c r="C7351" s="17" t="str">
        <f>IFERROR(__xludf.DUMMYFUNCTION("""COMPUTED_VALUE"""),"")</f>
        <v/>
      </c>
      <c r="D7351" s="17" t="str">
        <f>IFERROR(__xludf.DUMMYFUNCTION("""COMPUTED_VALUE"""),"")</f>
        <v/>
      </c>
      <c r="E7351" s="17" t="str">
        <f>IFERROR(__xludf.DUMMYFUNCTION("""COMPUTED_VALUE"""),"")</f>
        <v/>
      </c>
      <c r="F7351" s="17" t="str">
        <f>IFERROR(__xludf.DUMMYFUNCTION("""COMPUTED_VALUE"""),"")</f>
        <v/>
      </c>
      <c r="G7351" s="17" t="str">
        <f>IFERROR(__xludf.DUMMYFUNCTION("""COMPUTED_VALUE"""),"")</f>
        <v/>
      </c>
      <c r="H7351" s="17" t="str">
        <f>IFERROR(__xludf.DUMMYFUNCTION("""COMPUTED_VALUE"""),"")</f>
        <v/>
      </c>
      <c r="I7351" s="17" t="str">
        <f>IFERROR(__xludf.DUMMYFUNCTION("""COMPUTED_VALUE"""),"")</f>
        <v/>
      </c>
      <c r="J7351" s="17" t="str">
        <f>IFERROR(__xludf.DUMMYFUNCTION("""COMPUTED_VALUE"""),"")</f>
        <v/>
      </c>
      <c r="K7351" s="17" t="str">
        <f>IFERROR(__xludf.DUMMYFUNCTION("""COMPUTED_VALUE"""),"")</f>
        <v/>
      </c>
      <c r="L7351" s="17" t="str">
        <f>IFERROR(__xludf.DUMMYFUNCTION("""COMPUTED_VALUE"""),"")</f>
        <v/>
      </c>
      <c r="M7351" s="17" t="str">
        <f>IFERROR(__xludf.DUMMYFUNCTION("""COMPUTED_VALUE"""),"")</f>
        <v/>
      </c>
      <c r="N7351" s="17" t="str">
        <f>IFERROR(__xludf.DUMMYFUNCTION("""COMPUTED_VALUE"""),"")</f>
        <v/>
      </c>
      <c r="O7351" s="17" t="str">
        <f>IFERROR(__xludf.DUMMYFUNCTION("""COMPUTED_VALUE"""),"")</f>
        <v/>
      </c>
      <c r="P7351" s="17" t="str">
        <f>IFERROR(__xludf.DUMMYFUNCTION("""COMPUTED_VALUE"""),"")</f>
        <v/>
      </c>
      <c r="Q7351" s="17" t="str">
        <f>IFERROR(__xludf.DUMMYFUNCTION("""COMPUTED_VALUE"""),"")</f>
        <v/>
      </c>
      <c r="R7351" s="17" t="str">
        <f>IFERROR(__xludf.DUMMYFUNCTION("""COMPUTED_VALUE"""),"")</f>
        <v/>
      </c>
    </row>
    <row r="7352">
      <c r="A7352" s="15">
        <f>IFERROR(__xludf.DUMMYFUNCTION("""COMPUTED_VALUE"""),45209.0)</f>
        <v>45209</v>
      </c>
      <c r="B7352" s="16" t="str">
        <f>IFERROR(__xludf.DUMMYFUNCTION("""COMPUTED_VALUE"""),"Deivi Alejandro Quintero Corrales")</f>
        <v>Deivi Alejandro Quintero Corrales</v>
      </c>
      <c r="C7352" s="15" t="str">
        <f>IFERROR(__xludf.DUMMYFUNCTION("""COMPUTED_VALUE"""),"ARMENIA")</f>
        <v>ARMENIA</v>
      </c>
      <c r="D7352" s="15" t="str">
        <f>IFERROR(__xludf.DUMMYFUNCTION("""COMPUTED_VALUE"""),"MEDELLÍN")</f>
        <v>MEDELLÍN</v>
      </c>
      <c r="E7352" s="15" t="str">
        <f>IFERROR(__xludf.DUMMYFUNCTION("""COMPUTED_VALUE"""),"TOLEDALES S.A.S")</f>
        <v>TOLEDALES S.A.S</v>
      </c>
      <c r="F7352" s="17" t="str">
        <f>IFERROR(__xludf.DUMMYFUNCTION("""COMPUTED_VALUE"""),"Cra 14 # 46 norte -41 mall zona de oro")</f>
        <v>Cra 14 # 46 norte -41 mall zona de oro</v>
      </c>
      <c r="G7352" s="15" t="str">
        <f>IFERROR(__xludf.DUMMYFUNCTION("""COMPUTED_VALUE"""),"paola andrea gomez")</f>
        <v>paola andrea gomez</v>
      </c>
      <c r="H7352" s="16">
        <f>IFERROR(__xludf.DUMMYFUNCTION("""COMPUTED_VALUE"""),16091.0)</f>
        <v>16091</v>
      </c>
      <c r="I7352" s="18">
        <f>IFERROR(__xludf.DUMMYFUNCTION("""COMPUTED_VALUE"""),18.0)</f>
        <v>18</v>
      </c>
      <c r="J7352" s="18">
        <f>IFERROR(__xludf.DUMMYFUNCTION("""COMPUTED_VALUE"""),18.0)</f>
        <v>18</v>
      </c>
      <c r="K7352" s="18">
        <f>IFERROR(__xludf.DUMMYFUNCTION("""COMPUTED_VALUE"""),30.0)</f>
        <v>30</v>
      </c>
      <c r="L7352" s="17">
        <f>IFERROR(__xludf.DUMMYFUNCTION("""COMPUTED_VALUE"""),3.003222972E9)</f>
        <v>3003222972</v>
      </c>
      <c r="M7352" s="17"/>
      <c r="N7352" s="17"/>
      <c r="O7352" s="17"/>
      <c r="P7352" s="17" t="b">
        <f>IFERROR(__xludf.DUMMYFUNCTION("""COMPUTED_VALUE"""),FALSE)</f>
        <v>0</v>
      </c>
      <c r="Q7352" s="20" t="str">
        <f>IFERROR(__xludf.DUMMYFUNCTION("""COMPUTED_VALUE"""),"")</f>
        <v/>
      </c>
      <c r="R7352" s="21" t="str">
        <f>IFERROR(__xludf.DUMMYFUNCTION("""COMPUTED_VALUE"""),"https://drive.google.com/file/d/1tUTyDMr_dkJkCWjRl0o52Zs_8BENwYXm/view?usp=drivesdk")</f>
        <v>https://drive.google.com/file/d/1tUTyDMr_dkJkCWjRl0o52Zs_8BENwYXm/view?usp=drivesdk</v>
      </c>
    </row>
    <row r="7353">
      <c r="A7353" s="15">
        <f>IFERROR(__xludf.DUMMYFUNCTION("""COMPUTED_VALUE"""),45209.0)</f>
        <v>45209</v>
      </c>
      <c r="B7353" s="16" t="str">
        <f>IFERROR(__xludf.DUMMYFUNCTION("""COMPUTED_VALUE"""),"Deivi Alejandro Quintero Corrales")</f>
        <v>Deivi Alejandro Quintero Corrales</v>
      </c>
      <c r="C7353" s="15" t="str">
        <f>IFERROR(__xludf.DUMMYFUNCTION("""COMPUTED_VALUE"""),"PEREIRA")</f>
        <v>PEREIRA</v>
      </c>
      <c r="D7353" s="15" t="str">
        <f>IFERROR(__xludf.DUMMYFUNCTION("""COMPUTED_VALUE"""),"BOGOTÁ")</f>
        <v>BOGOTÁ</v>
      </c>
      <c r="E7353" s="15" t="str">
        <f>IFERROR(__xludf.DUMMYFUNCTION("""COMPUTED_VALUE"""),"Loomifoods")</f>
        <v>Loomifoods</v>
      </c>
      <c r="F7353" s="17" t="str">
        <f>IFERROR(__xludf.DUMMYFUNCTION("""COMPUTED_VALUE"""),"Calle 15 #4a-236 edificio zapan / Torre 4 apto 702 / Dos quebradas")</f>
        <v>Calle 15 #4a-236 edificio zapan / Torre 4 apto 702 / Dos quebradas</v>
      </c>
      <c r="G7353" s="15" t="str">
        <f>IFERROR(__xludf.DUMMYFUNCTION("""COMPUTED_VALUE"""),"Camila Escobar")</f>
        <v>Camila Escobar</v>
      </c>
      <c r="H7353" s="16">
        <f>IFERROR(__xludf.DUMMYFUNCTION("""COMPUTED_VALUE"""),16127.0)</f>
        <v>16127</v>
      </c>
      <c r="I7353" s="18">
        <f>IFERROR(__xludf.DUMMYFUNCTION("""COMPUTED_VALUE"""),19.0)</f>
        <v>19</v>
      </c>
      <c r="J7353" s="18">
        <f>IFERROR(__xludf.DUMMYFUNCTION("""COMPUTED_VALUE"""),10.0)</f>
        <v>10</v>
      </c>
      <c r="K7353" s="18">
        <f>IFERROR(__xludf.DUMMYFUNCTION("""COMPUTED_VALUE"""),16.0)</f>
        <v>16</v>
      </c>
      <c r="L7353" s="17">
        <f>IFERROR(__xludf.DUMMYFUNCTION("""COMPUTED_VALUE"""),3.128288244E9)</f>
        <v>3128288244</v>
      </c>
      <c r="M7353" s="17"/>
      <c r="N7353" s="17"/>
      <c r="O7353" s="17"/>
      <c r="P7353" s="17" t="b">
        <f>IFERROR(__xludf.DUMMYFUNCTION("""COMPUTED_VALUE"""),FALSE)</f>
        <v>0</v>
      </c>
      <c r="Q7353" s="20" t="str">
        <f>IFERROR(__xludf.DUMMYFUNCTION("""COMPUTED_VALUE"""),"")</f>
        <v/>
      </c>
      <c r="R7353" s="21" t="str">
        <f>IFERROR(__xludf.DUMMYFUNCTION("""COMPUTED_VALUE"""),"https://drive.google.com/file/d/1eSAVEZOUf1zJ-2BArex7fmGXqYz2lfU3/view?usp=drivesdk")</f>
        <v>https://drive.google.com/file/d/1eSAVEZOUf1zJ-2BArex7fmGXqYz2lfU3/view?usp=drivesdk</v>
      </c>
    </row>
    <row r="7354">
      <c r="A7354" s="15">
        <f>IFERROR(__xludf.DUMMYFUNCTION("""COMPUTED_VALUE"""),45209.0)</f>
        <v>45209</v>
      </c>
      <c r="B7354" s="16" t="str">
        <f>IFERROR(__xludf.DUMMYFUNCTION("""COMPUTED_VALUE"""),"Deivi Alejandro Quintero Corrales")</f>
        <v>Deivi Alejandro Quintero Corrales</v>
      </c>
      <c r="C7354" s="15" t="str">
        <f>IFERROR(__xludf.DUMMYFUNCTION("""COMPUTED_VALUE"""),"PEREIRA")</f>
        <v>PEREIRA</v>
      </c>
      <c r="D7354" s="15" t="str">
        <f>IFERROR(__xludf.DUMMYFUNCTION("""COMPUTED_VALUE"""),"BOGOTÁ")</f>
        <v>BOGOTÁ</v>
      </c>
      <c r="E7354" s="15" t="str">
        <f>IFERROR(__xludf.DUMMYFUNCTION("""COMPUTED_VALUE"""),"Pan de Waffle")</f>
        <v>Pan de Waffle</v>
      </c>
      <c r="F7354" s="17" t="str">
        <f>IFERROR(__xludf.DUMMYFUNCTION("""COMPUTED_VALUE"""),"Calle 14 # 14 - 15 San José sur circunvalar / Calle 14 # 14 - 15 San José sur circunvalar / Calle 14 # 14 - 15 San José sur circunvalar")</f>
        <v>Calle 14 # 14 - 15 San José sur circunvalar / Calle 14 # 14 - 15 San José sur circunvalar / Calle 14 # 14 - 15 San José sur circunvalar</v>
      </c>
      <c r="G7354" s="15" t="str">
        <f>IFERROR(__xludf.DUMMYFUNCTION("""COMPUTED_VALUE"""),"MAJANA PEREIRA")</f>
        <v>MAJANA PEREIRA</v>
      </c>
      <c r="H7354" s="16">
        <f>IFERROR(__xludf.DUMMYFUNCTION("""COMPUTED_VALUE"""),16078.0)</f>
        <v>16078</v>
      </c>
      <c r="I7354" s="18">
        <f>IFERROR(__xludf.DUMMYFUNCTION("""COMPUTED_VALUE"""),40.0)</f>
        <v>40</v>
      </c>
      <c r="J7354" s="18">
        <f>IFERROR(__xludf.DUMMYFUNCTION("""COMPUTED_VALUE"""),30.0)</f>
        <v>30</v>
      </c>
      <c r="K7354" s="18">
        <f>IFERROR(__xludf.DUMMYFUNCTION("""COMPUTED_VALUE"""),40.0)</f>
        <v>40</v>
      </c>
      <c r="L7354" s="17">
        <f>IFERROR(__xludf.DUMMYFUNCTION("""COMPUTED_VALUE"""),3.148112262E9)</f>
        <v>3148112262</v>
      </c>
      <c r="M7354" s="17"/>
      <c r="N7354" s="17"/>
      <c r="O7354" s="17"/>
      <c r="P7354" s="17" t="b">
        <f>IFERROR(__xludf.DUMMYFUNCTION("""COMPUTED_VALUE"""),FALSE)</f>
        <v>0</v>
      </c>
      <c r="Q7354" s="20" t="str">
        <f>IFERROR(__xludf.DUMMYFUNCTION("""COMPUTED_VALUE"""),"")</f>
        <v/>
      </c>
      <c r="R7354" s="21" t="str">
        <f>IFERROR(__xludf.DUMMYFUNCTION("""COMPUTED_VALUE"""),"https://drive.google.com/file/d/1m90lOKsTYLbLj6aPd0spI2qBKLCdXl79/view?usp=drivesdk")</f>
        <v>https://drive.google.com/file/d/1m90lOKsTYLbLj6aPd0spI2qBKLCdXl79/view?usp=drivesdk</v>
      </c>
    </row>
    <row r="7355">
      <c r="A7355" s="15">
        <f>IFERROR(__xludf.DUMMYFUNCTION("""COMPUTED_VALUE"""),45209.0)</f>
        <v>45209</v>
      </c>
      <c r="B7355" s="16" t="str">
        <f>IFERROR(__xludf.DUMMYFUNCTION("""COMPUTED_VALUE"""),"Deivi Alejandro Quintero Corrales")</f>
        <v>Deivi Alejandro Quintero Corrales</v>
      </c>
      <c r="C7355" s="15" t="str">
        <f>IFERROR(__xludf.DUMMYFUNCTION("""COMPUTED_VALUE"""),"PEREIRA")</f>
        <v>PEREIRA</v>
      </c>
      <c r="D7355" s="15" t="str">
        <f>IFERROR(__xludf.DUMMYFUNCTION("""COMPUTED_VALUE"""),"BOGOTÁ")</f>
        <v>BOGOTÁ</v>
      </c>
      <c r="E7355" s="15" t="str">
        <f>IFERROR(__xludf.DUMMYFUNCTION("""COMPUTED_VALUE"""),"Pan de Waffle")</f>
        <v>Pan de Waffle</v>
      </c>
      <c r="F7355" s="17" t="str">
        <f>IFERROR(__xludf.DUMMYFUNCTION("""COMPUTED_VALUE"""),"Carrera 14 # 12 - 55 / Carrera 14 # 12 - 55 / Carrera 14 # 12 - 55")</f>
        <v>Carrera 14 # 12 - 55 / Carrera 14 # 12 - 55 / Carrera 14 # 12 - 55</v>
      </c>
      <c r="G7355" s="15" t="str">
        <f>IFERROR(__xludf.DUMMYFUNCTION("""COMPUTED_VALUE"""),"VITA ECO")</f>
        <v>VITA ECO</v>
      </c>
      <c r="H7355" s="16">
        <f>IFERROR(__xludf.DUMMYFUNCTION("""COMPUTED_VALUE"""),16077.0)</f>
        <v>16077</v>
      </c>
      <c r="I7355" s="18">
        <f>IFERROR(__xludf.DUMMYFUNCTION("""COMPUTED_VALUE"""),40.0)</f>
        <v>40</v>
      </c>
      <c r="J7355" s="18">
        <f>IFERROR(__xludf.DUMMYFUNCTION("""COMPUTED_VALUE"""),40.0)</f>
        <v>40</v>
      </c>
      <c r="K7355" s="18">
        <f>IFERROR(__xludf.DUMMYFUNCTION("""COMPUTED_VALUE"""),40.0)</f>
        <v>40</v>
      </c>
      <c r="L7355" s="17">
        <f>IFERROR(__xludf.DUMMYFUNCTION("""COMPUTED_VALUE"""),3.215501948E9)</f>
        <v>3215501948</v>
      </c>
      <c r="M7355" s="17"/>
      <c r="N7355" s="17"/>
      <c r="O7355" s="17"/>
      <c r="P7355" s="17" t="b">
        <f>IFERROR(__xludf.DUMMYFUNCTION("""COMPUTED_VALUE"""),FALSE)</f>
        <v>0</v>
      </c>
      <c r="Q7355" s="20" t="str">
        <f>IFERROR(__xludf.DUMMYFUNCTION("""COMPUTED_VALUE"""),"")</f>
        <v/>
      </c>
      <c r="R7355" s="22" t="str">
        <f>IFERROR(__xludf.DUMMYFUNCTION("""COMPUTED_VALUE"""),"")</f>
        <v/>
      </c>
    </row>
    <row r="7356">
      <c r="A7356" s="15">
        <f>IFERROR(__xludf.DUMMYFUNCTION("""COMPUTED_VALUE"""),45209.0)</f>
        <v>45209</v>
      </c>
      <c r="B7356" s="16" t="str">
        <f>IFERROR(__xludf.DUMMYFUNCTION("""COMPUTED_VALUE"""),"Deivi Alejandro Quintero Corrales")</f>
        <v>Deivi Alejandro Quintero Corrales</v>
      </c>
      <c r="C7356" s="15" t="str">
        <f>IFERROR(__xludf.DUMMYFUNCTION("""COMPUTED_VALUE"""),"PEREIRA")</f>
        <v>PEREIRA</v>
      </c>
      <c r="D7356" s="15" t="str">
        <f>IFERROR(__xludf.DUMMYFUNCTION("""COMPUTED_VALUE"""),"BOGOTÁ")</f>
        <v>BOGOTÁ</v>
      </c>
      <c r="E7356" s="15" t="str">
        <f>IFERROR(__xludf.DUMMYFUNCTION("""COMPUTED_VALUE"""),"Spirulina Fresca")</f>
        <v>Spirulina Fresca</v>
      </c>
      <c r="F7356" s="17" t="str">
        <f>IFERROR(__xludf.DUMMYFUNCTION("""COMPUTED_VALUE"""),"Calle 17#2355 / Barlovento torre E apto 403 / Pereira")</f>
        <v>Calle 17#2355 / Barlovento torre E apto 403 / Pereira</v>
      </c>
      <c r="G7356" s="15" t="str">
        <f>IFERROR(__xludf.DUMMYFUNCTION("""COMPUTED_VALUE"""),"Raul Salcedo")</f>
        <v>Raul Salcedo</v>
      </c>
      <c r="H7356" s="16">
        <f>IFERROR(__xludf.DUMMYFUNCTION("""COMPUTED_VALUE"""),16110.0)</f>
        <v>16110</v>
      </c>
      <c r="I7356" s="18">
        <f>IFERROR(__xludf.DUMMYFUNCTION("""COMPUTED_VALUE"""),5.0)</f>
        <v>5</v>
      </c>
      <c r="J7356" s="18">
        <f>IFERROR(__xludf.DUMMYFUNCTION("""COMPUTED_VALUE"""),5.0)</f>
        <v>5</v>
      </c>
      <c r="K7356" s="18">
        <f>IFERROR(__xludf.DUMMYFUNCTION("""COMPUTED_VALUE"""),22.0)</f>
        <v>22</v>
      </c>
      <c r="L7356" s="17">
        <f>IFERROR(__xludf.DUMMYFUNCTION("""COMPUTED_VALUE"""),3.206929535E9)</f>
        <v>3206929535</v>
      </c>
      <c r="M7356" s="17"/>
      <c r="N7356" s="17"/>
      <c r="O7356" s="17"/>
      <c r="P7356" s="17" t="b">
        <f>IFERROR(__xludf.DUMMYFUNCTION("""COMPUTED_VALUE"""),FALSE)</f>
        <v>0</v>
      </c>
      <c r="Q7356" s="20" t="str">
        <f>IFERROR(__xludf.DUMMYFUNCTION("""COMPUTED_VALUE"""),"")</f>
        <v/>
      </c>
      <c r="R7356" s="21" t="str">
        <f>IFERROR(__xludf.DUMMYFUNCTION("""COMPUTED_VALUE"""),"https://drive.google.com/file/d/1t9e_VGqpop-AaNVAXFcgeocXppr_WeNU/view?usp=drivesdk")</f>
        <v>https://drive.google.com/file/d/1t9e_VGqpop-AaNVAXFcgeocXppr_WeNU/view?usp=drivesdk</v>
      </c>
    </row>
    <row r="7357">
      <c r="A7357" s="15">
        <f>IFERROR(__xludf.DUMMYFUNCTION("""COMPUTED_VALUE"""),45209.0)</f>
        <v>45209</v>
      </c>
      <c r="B7357" s="16" t="str">
        <f>IFERROR(__xludf.DUMMYFUNCTION("""COMPUTED_VALUE"""),"Deivi Alejandro Quintero Corrales")</f>
        <v>Deivi Alejandro Quintero Corrales</v>
      </c>
      <c r="C7357" s="15" t="str">
        <f>IFERROR(__xludf.DUMMYFUNCTION("""COMPUTED_VALUE"""),"PEREIRA")</f>
        <v>PEREIRA</v>
      </c>
      <c r="D7357" s="15" t="str">
        <f>IFERROR(__xludf.DUMMYFUNCTION("""COMPUTED_VALUE"""),"MEDELLÍN")</f>
        <v>MEDELLÍN</v>
      </c>
      <c r="E7357" s="15" t="str">
        <f>IFERROR(__xludf.DUMMYFUNCTION("""COMPUTED_VALUE"""),"AREPAS LA MARY")</f>
        <v>AREPAS LA MARY</v>
      </c>
      <c r="F7357" s="17" t="str">
        <f>IFERROR(__xludf.DUMMYFUNCTION("""COMPUTED_VALUE"""),"CRA 14 N.12 55 CIRCUNVALAR / LOCAL")</f>
        <v>CRA 14 N.12 55 CIRCUNVALAR / LOCAL</v>
      </c>
      <c r="G7357" s="15" t="str">
        <f>IFERROR(__xludf.DUMMYFUNCTION("""COMPUTED_VALUE"""),"VITAECO MARKET")</f>
        <v>VITAECO MARKET</v>
      </c>
      <c r="H7357" s="16">
        <f>IFERROR(__xludf.DUMMYFUNCTION("""COMPUTED_VALUE"""),16121.0)</f>
        <v>16121</v>
      </c>
      <c r="I7357" s="18">
        <f>IFERROR(__xludf.DUMMYFUNCTION("""COMPUTED_VALUE"""),89.0)</f>
        <v>89</v>
      </c>
      <c r="J7357" s="18">
        <f>IFERROR(__xludf.DUMMYFUNCTION("""COMPUTED_VALUE"""),1.0)</f>
        <v>1</v>
      </c>
      <c r="K7357" s="18">
        <f>IFERROR(__xludf.DUMMYFUNCTION("""COMPUTED_VALUE"""),10.0)</f>
        <v>10</v>
      </c>
      <c r="L7357" s="17" t="str">
        <f>IFERROR(__xludf.DUMMYFUNCTION("""COMPUTED_VALUE"""),"314 6455280")</f>
        <v>314 6455280</v>
      </c>
      <c r="M7357" s="17"/>
      <c r="N7357" s="17"/>
      <c r="O7357" s="17"/>
      <c r="P7357" s="17" t="b">
        <f>IFERROR(__xludf.DUMMYFUNCTION("""COMPUTED_VALUE"""),FALSE)</f>
        <v>0</v>
      </c>
      <c r="Q7357" s="20" t="str">
        <f>IFERROR(__xludf.DUMMYFUNCTION("""COMPUTED_VALUE"""),"")</f>
        <v/>
      </c>
      <c r="R7357" s="21" t="str">
        <f>IFERROR(__xludf.DUMMYFUNCTION("""COMPUTED_VALUE"""),"https://drive.google.com/file/d/1At5uNuqWXJO9R6LpTmKbOCNJi47ESUIs/view?usp=drivesdk")</f>
        <v>https://drive.google.com/file/d/1At5uNuqWXJO9R6LpTmKbOCNJi47ESUIs/view?usp=drivesdk</v>
      </c>
    </row>
    <row r="7358">
      <c r="A7358" s="15">
        <f>IFERROR(__xludf.DUMMYFUNCTION("""COMPUTED_VALUE"""),45209.0)</f>
        <v>45209</v>
      </c>
      <c r="B7358" s="16" t="str">
        <f>IFERROR(__xludf.DUMMYFUNCTION("""COMPUTED_VALUE"""),"Deivi Alejandro Quintero Corrales")</f>
        <v>Deivi Alejandro Quintero Corrales</v>
      </c>
      <c r="C7358" s="15" t="str">
        <f>IFERROR(__xludf.DUMMYFUNCTION("""COMPUTED_VALUE"""),"PEREIRA")</f>
        <v>PEREIRA</v>
      </c>
      <c r="D7358" s="15" t="str">
        <f>IFERROR(__xludf.DUMMYFUNCTION("""COMPUTED_VALUE"""),"MEDELLÍN")</f>
        <v>MEDELLÍN</v>
      </c>
      <c r="E7358" s="15" t="str">
        <f>IFERROR(__xludf.DUMMYFUNCTION("""COMPUTED_VALUE"""),"Goyo Todo por ellos")</f>
        <v>Goyo Todo por ellos</v>
      </c>
      <c r="F7358" s="17" t="str">
        <f>IFERROR(__xludf.DUMMYFUNCTION("""COMPUTED_VALUE"""),"Calle 12 bis #16 18  / Casa Hoja Comunidad Consciente  / Barrio Pinares")</f>
        <v>Calle 12 bis #16 18  / Casa Hoja Comunidad Consciente  / Barrio Pinares</v>
      </c>
      <c r="G7358" s="15" t="str">
        <f>IFERROR(__xludf.DUMMYFUNCTION("""COMPUTED_VALUE"""),"Hector Hernandez")</f>
        <v>Hector Hernandez</v>
      </c>
      <c r="H7358" s="16">
        <f>IFERROR(__xludf.DUMMYFUNCTION("""COMPUTED_VALUE"""),16131.0)</f>
        <v>16131</v>
      </c>
      <c r="I7358" s="18">
        <f>IFERROR(__xludf.DUMMYFUNCTION("""COMPUTED_VALUE"""),24.0)</f>
        <v>24</v>
      </c>
      <c r="J7358" s="18">
        <f>IFERROR(__xludf.DUMMYFUNCTION("""COMPUTED_VALUE"""),30.0)</f>
        <v>30</v>
      </c>
      <c r="K7358" s="18">
        <f>IFERROR(__xludf.DUMMYFUNCTION("""COMPUTED_VALUE"""),25.0)</f>
        <v>25</v>
      </c>
      <c r="L7358" s="17">
        <f>IFERROR(__xludf.DUMMYFUNCTION("""COMPUTED_VALUE"""),3.18591145E9)</f>
        <v>3185911450</v>
      </c>
      <c r="M7358" s="17"/>
      <c r="N7358" s="17"/>
      <c r="O7358" s="17"/>
      <c r="P7358" s="17" t="b">
        <f>IFERROR(__xludf.DUMMYFUNCTION("""COMPUTED_VALUE"""),FALSE)</f>
        <v>0</v>
      </c>
      <c r="Q7358" s="20" t="str">
        <f>IFERROR(__xludf.DUMMYFUNCTION("""COMPUTED_VALUE"""),"")</f>
        <v/>
      </c>
      <c r="R7358" s="21" t="str">
        <f>IFERROR(__xludf.DUMMYFUNCTION("""COMPUTED_VALUE"""),"https://drive.google.com/file/d/1J-jGleOyR5tgZ8Clm_h4_HvvW-HHAT2A/view?usp=drivesdk")</f>
        <v>https://drive.google.com/file/d/1J-jGleOyR5tgZ8Clm_h4_HvvW-HHAT2A/view?usp=drivesdk</v>
      </c>
    </row>
    <row r="7359">
      <c r="A7359" s="15">
        <f>IFERROR(__xludf.DUMMYFUNCTION("""COMPUTED_VALUE"""),45209.0)</f>
        <v>45209</v>
      </c>
      <c r="B7359" s="16" t="str">
        <f>IFERROR(__xludf.DUMMYFUNCTION("""COMPUTED_VALUE"""),"Deivi Alejandro Quintero Corrales")</f>
        <v>Deivi Alejandro Quintero Corrales</v>
      </c>
      <c r="C7359" s="15" t="str">
        <f>IFERROR(__xludf.DUMMYFUNCTION("""COMPUTED_VALUE"""),"PEREIRA")</f>
        <v>PEREIRA</v>
      </c>
      <c r="D7359" s="15" t="str">
        <f>IFERROR(__xludf.DUMMYFUNCTION("""COMPUTED_VALUE"""),"MEDELLÍN")</f>
        <v>MEDELLÍN</v>
      </c>
      <c r="E7359" s="15" t="str">
        <f>IFERROR(__xludf.DUMMYFUNCTION("""COMPUTED_VALUE"""),"Moloso S.A.S")</f>
        <v>Moloso S.A.S</v>
      </c>
      <c r="F7359" s="17" t="str">
        <f>IFERROR(__xludf.DUMMYFUNCTION("""COMPUTED_VALUE"""),"CL 11 22 34  ED LOS SAMANES  AP 301")</f>
        <v>CL 11 22 34  ED LOS SAMANES  AP 301</v>
      </c>
      <c r="G7359" s="15" t="str">
        <f>IFERROR(__xludf.DUMMYFUNCTION("""COMPUTED_VALUE"""),"MARIANA TORO BETANCUR")</f>
        <v>MARIANA TORO BETANCUR</v>
      </c>
      <c r="H7359" s="16">
        <f>IFERROR(__xludf.DUMMYFUNCTION("""COMPUTED_VALUE"""),16147.0)</f>
        <v>16147</v>
      </c>
      <c r="I7359" s="18">
        <f>IFERROR(__xludf.DUMMYFUNCTION("""COMPUTED_VALUE"""),17.0)</f>
        <v>17</v>
      </c>
      <c r="J7359" s="18">
        <f>IFERROR(__xludf.DUMMYFUNCTION("""COMPUTED_VALUE"""),15.0)</f>
        <v>15</v>
      </c>
      <c r="K7359" s="18">
        <f>IFERROR(__xludf.DUMMYFUNCTION("""COMPUTED_VALUE"""),28.0)</f>
        <v>28</v>
      </c>
      <c r="L7359" s="17" t="str">
        <f>IFERROR(__xludf.DUMMYFUNCTION("""COMPUTED_VALUE"""),"321 2568254")</f>
        <v>321 2568254</v>
      </c>
      <c r="M7359" s="17"/>
      <c r="N7359" s="17"/>
      <c r="O7359" s="17"/>
      <c r="P7359" s="17" t="b">
        <f>IFERROR(__xludf.DUMMYFUNCTION("""COMPUTED_VALUE"""),FALSE)</f>
        <v>0</v>
      </c>
      <c r="Q7359" s="20" t="str">
        <f>IFERROR(__xludf.DUMMYFUNCTION("""COMPUTED_VALUE"""),"")</f>
        <v/>
      </c>
      <c r="R7359" s="21" t="str">
        <f>IFERROR(__xludf.DUMMYFUNCTION("""COMPUTED_VALUE"""),"https://drive.google.com/file/d/1pKSzeFWQNiOT_H4iDI_emImckNC_GsrJ/view?usp=drivesdk")</f>
        <v>https://drive.google.com/file/d/1pKSzeFWQNiOT_H4iDI_emImckNC_GsrJ/view?usp=drivesdk</v>
      </c>
    </row>
    <row r="7360">
      <c r="A7360" s="15">
        <f>IFERROR(__xludf.DUMMYFUNCTION("""COMPUTED_VALUE"""),45209.0)</f>
        <v>45209</v>
      </c>
      <c r="B7360" s="16" t="str">
        <f>IFERROR(__xludf.DUMMYFUNCTION("""COMPUTED_VALUE"""),"Deivi Alejandro Quintero Corrales")</f>
        <v>Deivi Alejandro Quintero Corrales</v>
      </c>
      <c r="C7360" s="15" t="str">
        <f>IFERROR(__xludf.DUMMYFUNCTION("""COMPUTED_VALUE"""),"PEREIRA")</f>
        <v>PEREIRA</v>
      </c>
      <c r="D7360" s="15" t="str">
        <f>IFERROR(__xludf.DUMMYFUNCTION("""COMPUTED_VALUE"""),"MEDELLÍN")</f>
        <v>MEDELLÍN</v>
      </c>
      <c r="E7360" s="15" t="str">
        <f>IFERROR(__xludf.DUMMYFUNCTION("""COMPUTED_VALUE"""),"Moloso S.A.S")</f>
        <v>Moloso S.A.S</v>
      </c>
      <c r="F7360" s="17" t="str">
        <f>IFERROR(__xludf.DUMMYFUNCTION("""COMPUTED_VALUE"""),"CL 11 22 34  ED LOS SAMANES  AP 301")</f>
        <v>CL 11 22 34  ED LOS SAMANES  AP 301</v>
      </c>
      <c r="G7360" s="15" t="str">
        <f>IFERROR(__xludf.DUMMYFUNCTION("""COMPUTED_VALUE"""),"MARIANA TORO BETANCUR")</f>
        <v>MARIANA TORO BETANCUR</v>
      </c>
      <c r="H7360" s="16">
        <f>IFERROR(__xludf.DUMMYFUNCTION("""COMPUTED_VALUE"""),16148.0)</f>
        <v>16148</v>
      </c>
      <c r="I7360" s="18">
        <f>IFERROR(__xludf.DUMMYFUNCTION("""COMPUTED_VALUE"""),17.0)</f>
        <v>17</v>
      </c>
      <c r="J7360" s="18">
        <f>IFERROR(__xludf.DUMMYFUNCTION("""COMPUTED_VALUE"""),15.0)</f>
        <v>15</v>
      </c>
      <c r="K7360" s="18">
        <f>IFERROR(__xludf.DUMMYFUNCTION("""COMPUTED_VALUE"""),28.0)</f>
        <v>28</v>
      </c>
      <c r="L7360" s="17" t="str">
        <f>IFERROR(__xludf.DUMMYFUNCTION("""COMPUTED_VALUE"""),"321 2568254")</f>
        <v>321 2568254</v>
      </c>
      <c r="M7360" s="17"/>
      <c r="N7360" s="17"/>
      <c r="O7360" s="17"/>
      <c r="P7360" s="17" t="b">
        <f>IFERROR(__xludf.DUMMYFUNCTION("""COMPUTED_VALUE"""),FALSE)</f>
        <v>0</v>
      </c>
      <c r="Q7360" s="20" t="str">
        <f>IFERROR(__xludf.DUMMYFUNCTION("""COMPUTED_VALUE"""),"")</f>
        <v/>
      </c>
      <c r="R7360" s="22" t="str">
        <f>IFERROR(__xludf.DUMMYFUNCTION("""COMPUTED_VALUE"""),"")</f>
        <v/>
      </c>
    </row>
    <row r="7361">
      <c r="A7361" s="15">
        <f>IFERROR(__xludf.DUMMYFUNCTION("""COMPUTED_VALUE"""),45209.0)</f>
        <v>45209</v>
      </c>
      <c r="B7361" s="16" t="str">
        <f>IFERROR(__xludf.DUMMYFUNCTION("""COMPUTED_VALUE"""),"Deivi Alejandro Quintero Corrales")</f>
        <v>Deivi Alejandro Quintero Corrales</v>
      </c>
      <c r="C7361" s="15" t="str">
        <f>IFERROR(__xludf.DUMMYFUNCTION("""COMPUTED_VALUE"""),"PEREIRA")</f>
        <v>PEREIRA</v>
      </c>
      <c r="D7361" s="15" t="str">
        <f>IFERROR(__xludf.DUMMYFUNCTION("""COMPUTED_VALUE"""),"MEDELLÍN")</f>
        <v>MEDELLÍN</v>
      </c>
      <c r="E7361" s="15" t="str">
        <f>IFERROR(__xludf.DUMMYFUNCTION("""COMPUTED_VALUE"""),"Puro Verde")</f>
        <v>Puro Verde</v>
      </c>
      <c r="F7361" s="17" t="str">
        <f>IFERROR(__xludf.DUMMYFUNCTION("""COMPUTED_VALUE"""),"AV DE LAS AMERICAS #49-95. / OFICINA DE PROYECCIÓN SOCIAL.  / UNIVERSIDAD CATOLICA DE PEREIRA. ENTREGAR 8-12PM/2-6 PM")</f>
        <v>AV DE LAS AMERICAS #49-95. / OFICINA DE PROYECCIÓN SOCIAL.  / UNIVERSIDAD CATOLICA DE PEREIRA. ENTREGAR 8-12PM/2-6 PM</v>
      </c>
      <c r="G7361" s="15" t="str">
        <f>IFERROR(__xludf.DUMMYFUNCTION("""COMPUTED_VALUE"""),"CLAUDIA MERCEDES GIL")</f>
        <v>CLAUDIA MERCEDES GIL</v>
      </c>
      <c r="H7361" s="16">
        <f>IFERROR(__xludf.DUMMYFUNCTION("""COMPUTED_VALUE"""),16073.0)</f>
        <v>16073</v>
      </c>
      <c r="I7361" s="18">
        <f>IFERROR(__xludf.DUMMYFUNCTION("""COMPUTED_VALUE"""),15.0)</f>
        <v>15</v>
      </c>
      <c r="J7361" s="18">
        <f>IFERROR(__xludf.DUMMYFUNCTION("""COMPUTED_VALUE"""),29.0)</f>
        <v>29</v>
      </c>
      <c r="K7361" s="18">
        <f>IFERROR(__xludf.DUMMYFUNCTION("""COMPUTED_VALUE"""),39.0)</f>
        <v>39</v>
      </c>
      <c r="L7361" s="17">
        <f>IFERROR(__xludf.DUMMYFUNCTION("""COMPUTED_VALUE"""),3.146676419E9)</f>
        <v>3146676419</v>
      </c>
      <c r="M7361" s="17"/>
      <c r="N7361" s="17"/>
      <c r="O7361" s="17"/>
      <c r="P7361" s="17" t="b">
        <f>IFERROR(__xludf.DUMMYFUNCTION("""COMPUTED_VALUE"""),FALSE)</f>
        <v>0</v>
      </c>
      <c r="Q7361" s="20" t="str">
        <f>IFERROR(__xludf.DUMMYFUNCTION("""COMPUTED_VALUE"""),"")</f>
        <v/>
      </c>
      <c r="R7361" s="21" t="str">
        <f>IFERROR(__xludf.DUMMYFUNCTION("""COMPUTED_VALUE"""),"https://drive.google.com/file/d/1gKTytdHP9-EfKT6C4gY7A5NVE3Tu9K9B/view?usp=drivesdk")</f>
        <v>https://drive.google.com/file/d/1gKTytdHP9-EfKT6C4gY7A5NVE3Tu9K9B/view?usp=drivesdk</v>
      </c>
    </row>
    <row r="7362">
      <c r="A7362" s="17" t="str">
        <f>IFERROR(__xludf.DUMMYFUNCTION("""COMPUTED_VALUE"""),"")</f>
        <v/>
      </c>
      <c r="B7362" s="17" t="str">
        <f>IFERROR(__xludf.DUMMYFUNCTION("""COMPUTED_VALUE"""),"")</f>
        <v/>
      </c>
      <c r="C7362" s="17" t="str">
        <f>IFERROR(__xludf.DUMMYFUNCTION("""COMPUTED_VALUE"""),"")</f>
        <v/>
      </c>
      <c r="D7362" s="17" t="str">
        <f>IFERROR(__xludf.DUMMYFUNCTION("""COMPUTED_VALUE"""),"")</f>
        <v/>
      </c>
      <c r="E7362" s="17" t="str">
        <f>IFERROR(__xludf.DUMMYFUNCTION("""COMPUTED_VALUE"""),"")</f>
        <v/>
      </c>
      <c r="F7362" s="17" t="str">
        <f>IFERROR(__xludf.DUMMYFUNCTION("""COMPUTED_VALUE"""),"")</f>
        <v/>
      </c>
      <c r="G7362" s="17" t="str">
        <f>IFERROR(__xludf.DUMMYFUNCTION("""COMPUTED_VALUE"""),"")</f>
        <v/>
      </c>
      <c r="H7362" s="17" t="str">
        <f>IFERROR(__xludf.DUMMYFUNCTION("""COMPUTED_VALUE"""),"")</f>
        <v/>
      </c>
      <c r="I7362" s="17" t="str">
        <f>IFERROR(__xludf.DUMMYFUNCTION("""COMPUTED_VALUE"""),"")</f>
        <v/>
      </c>
      <c r="J7362" s="17" t="str">
        <f>IFERROR(__xludf.DUMMYFUNCTION("""COMPUTED_VALUE"""),"")</f>
        <v/>
      </c>
      <c r="K7362" s="17" t="str">
        <f>IFERROR(__xludf.DUMMYFUNCTION("""COMPUTED_VALUE"""),"")</f>
        <v/>
      </c>
      <c r="L7362" s="17" t="str">
        <f>IFERROR(__xludf.DUMMYFUNCTION("""COMPUTED_VALUE"""),"")</f>
        <v/>
      </c>
      <c r="M7362" s="17" t="str">
        <f>IFERROR(__xludf.DUMMYFUNCTION("""COMPUTED_VALUE"""),"")</f>
        <v/>
      </c>
      <c r="N7362" s="17" t="str">
        <f>IFERROR(__xludf.DUMMYFUNCTION("""COMPUTED_VALUE"""),"")</f>
        <v/>
      </c>
      <c r="O7362" s="17" t="str">
        <f>IFERROR(__xludf.DUMMYFUNCTION("""COMPUTED_VALUE"""),"")</f>
        <v/>
      </c>
      <c r="P7362" s="17" t="str">
        <f>IFERROR(__xludf.DUMMYFUNCTION("""COMPUTED_VALUE"""),"")</f>
        <v/>
      </c>
      <c r="Q7362" s="17" t="str">
        <f>IFERROR(__xludf.DUMMYFUNCTION("""COMPUTED_VALUE"""),"")</f>
        <v/>
      </c>
      <c r="R7362" s="17" t="str">
        <f>IFERROR(__xludf.DUMMYFUNCTION("""COMPUTED_VALUE"""),"")</f>
        <v/>
      </c>
    </row>
    <row r="7363">
      <c r="A7363" s="15">
        <f>IFERROR(__xludf.DUMMYFUNCTION("""COMPUTED_VALUE"""),45209.0)</f>
        <v>45209</v>
      </c>
      <c r="B7363" s="16" t="str">
        <f>IFERROR(__xludf.DUMMYFUNCTION("""COMPUTED_VALUE"""),"Duvan Gabriel Alvarez Giron")</f>
        <v>Duvan Gabriel Alvarez Giron</v>
      </c>
      <c r="C7363" s="15" t="str">
        <f>IFERROR(__xludf.DUMMYFUNCTION("""COMPUTED_VALUE"""),"FLORIDABLANCA")</f>
        <v>FLORIDABLANCA</v>
      </c>
      <c r="D7363" s="15" t="str">
        <f>IFERROR(__xludf.DUMMYFUNCTION("""COMPUTED_VALUE"""),"BOGOTÁ")</f>
        <v>BOGOTÁ</v>
      </c>
      <c r="E7363" s="15" t="str">
        <f>IFERROR(__xludf.DUMMYFUNCTION("""COMPUTED_VALUE"""),"Loomifoods")</f>
        <v>Loomifoods</v>
      </c>
      <c r="F7363" s="17" t="str">
        <f>IFERROR(__xludf.DUMMYFUNCTION("""COMPUTED_VALUE"""),"Cra 21 no. 158 - 65 / Tayrona 1, torre 2, apto 1101 / Barrio palomitas")</f>
        <v>Cra 21 no. 158 - 65 / Tayrona 1, torre 2, apto 1101 / Barrio palomitas</v>
      </c>
      <c r="G7363" s="15" t="str">
        <f>IFERROR(__xludf.DUMMYFUNCTION("""COMPUTED_VALUE"""),"Laura Isaza")</f>
        <v>Laura Isaza</v>
      </c>
      <c r="H7363" s="16">
        <f>IFERROR(__xludf.DUMMYFUNCTION("""COMPUTED_VALUE"""),16126.0)</f>
        <v>16126</v>
      </c>
      <c r="I7363" s="18">
        <f>IFERROR(__xludf.DUMMYFUNCTION("""COMPUTED_VALUE"""),19.0)</f>
        <v>19</v>
      </c>
      <c r="J7363" s="18">
        <f>IFERROR(__xludf.DUMMYFUNCTION("""COMPUTED_VALUE"""),10.0)</f>
        <v>10</v>
      </c>
      <c r="K7363" s="18">
        <f>IFERROR(__xludf.DUMMYFUNCTION("""COMPUTED_VALUE"""),16.0)</f>
        <v>16</v>
      </c>
      <c r="L7363" s="17">
        <f>IFERROR(__xludf.DUMMYFUNCTION("""COMPUTED_VALUE"""),3.223424491E9)</f>
        <v>3223424491</v>
      </c>
      <c r="M7363" s="17"/>
      <c r="N7363" s="17"/>
      <c r="O7363" s="17"/>
      <c r="P7363" s="17" t="b">
        <f>IFERROR(__xludf.DUMMYFUNCTION("""COMPUTED_VALUE"""),FALSE)</f>
        <v>0</v>
      </c>
      <c r="Q7363" s="20" t="str">
        <f>IFERROR(__xludf.DUMMYFUNCTION("""COMPUTED_VALUE"""),"")</f>
        <v/>
      </c>
      <c r="R7363" s="21" t="str">
        <f>IFERROR(__xludf.DUMMYFUNCTION("""COMPUTED_VALUE"""),"https://drive.google.com/file/d/1MmS6Jis8IJKD5MPM5Jh1-XxE42PjfFdM/view?usp=drivesdk")</f>
        <v>https://drive.google.com/file/d/1MmS6Jis8IJKD5MPM5Jh1-XxE42PjfFdM/view?usp=drivesdk</v>
      </c>
    </row>
    <row r="7364">
      <c r="A7364" s="15">
        <f>IFERROR(__xludf.DUMMYFUNCTION("""COMPUTED_VALUE"""),45209.0)</f>
        <v>45209</v>
      </c>
      <c r="B7364" s="16" t="str">
        <f>IFERROR(__xludf.DUMMYFUNCTION("""COMPUTED_VALUE"""),"Duvan Gabriel Alvarez Giron")</f>
        <v>Duvan Gabriel Alvarez Giron</v>
      </c>
      <c r="C7364" s="15" t="str">
        <f>IFERROR(__xludf.DUMMYFUNCTION("""COMPUTED_VALUE"""),"FLORIDABLANCA")</f>
        <v>FLORIDABLANCA</v>
      </c>
      <c r="D7364" s="15" t="str">
        <f>IFERROR(__xludf.DUMMYFUNCTION("""COMPUTED_VALUE"""),"BOGOTÁ")</f>
        <v>BOGOTÁ</v>
      </c>
      <c r="E7364" s="15" t="str">
        <f>IFERROR(__xludf.DUMMYFUNCTION("""COMPUTED_VALUE"""),"Top Spun")</f>
        <v>Top Spun</v>
      </c>
      <c r="F7364" s="17" t="str">
        <f>IFERROR(__xludf.DUMMYFUNCTION("""COMPUTED_VALUE"""),"Transversal 198 # 200-260 / Torre 5 apto 220 / Versalles real Floridablanca Santander")</f>
        <v>Transversal 198 # 200-260 / Torre 5 apto 220 / Versalles real Floridablanca Santander</v>
      </c>
      <c r="G7364" s="15" t="str">
        <f>IFERROR(__xludf.DUMMYFUNCTION("""COMPUTED_VALUE"""),"Carolina Monsalve")</f>
        <v>Carolina Monsalve</v>
      </c>
      <c r="H7364" s="16">
        <f>IFERROR(__xludf.DUMMYFUNCTION("""COMPUTED_VALUE"""),16083.0)</f>
        <v>16083</v>
      </c>
      <c r="I7364" s="18">
        <f>IFERROR(__xludf.DUMMYFUNCTION("""COMPUTED_VALUE"""),20.0)</f>
        <v>20</v>
      </c>
      <c r="J7364" s="18">
        <f>IFERROR(__xludf.DUMMYFUNCTION("""COMPUTED_VALUE"""),10.0)</f>
        <v>10</v>
      </c>
      <c r="K7364" s="18">
        <f>IFERROR(__xludf.DUMMYFUNCTION("""COMPUTED_VALUE"""),40.0)</f>
        <v>40</v>
      </c>
      <c r="L7364" s="17">
        <f>IFERROR(__xludf.DUMMYFUNCTION("""COMPUTED_VALUE"""),3.185277201E9)</f>
        <v>3185277201</v>
      </c>
      <c r="M7364" s="17"/>
      <c r="N7364" s="17"/>
      <c r="O7364" s="17"/>
      <c r="P7364" s="17" t="b">
        <f>IFERROR(__xludf.DUMMYFUNCTION("""COMPUTED_VALUE"""),FALSE)</f>
        <v>0</v>
      </c>
      <c r="Q7364" s="20" t="str">
        <f>IFERROR(__xludf.DUMMYFUNCTION("""COMPUTED_VALUE"""),"")</f>
        <v/>
      </c>
      <c r="R7364" s="21" t="str">
        <f>IFERROR(__xludf.DUMMYFUNCTION("""COMPUTED_VALUE"""),"https://drive.google.com/file/d/1Izd0UFNFT7DfHp4jGeA13y0VMKNlGtPH/view?usp=drivesdk")</f>
        <v>https://drive.google.com/file/d/1Izd0UFNFT7DfHp4jGeA13y0VMKNlGtPH/view?usp=drivesdk</v>
      </c>
    </row>
    <row r="7365">
      <c r="A7365" s="15">
        <f>IFERROR(__xludf.DUMMYFUNCTION("""COMPUTED_VALUE"""),45209.0)</f>
        <v>45209</v>
      </c>
      <c r="B7365" s="16" t="str">
        <f>IFERROR(__xludf.DUMMYFUNCTION("""COMPUTED_VALUE"""),"Duvan Gabriel Alvarez Giron")</f>
        <v>Duvan Gabriel Alvarez Giron</v>
      </c>
      <c r="C7365" s="15" t="str">
        <f>IFERROR(__xludf.DUMMYFUNCTION("""COMPUTED_VALUE"""),"IBAGUÉ")</f>
        <v>IBAGUÉ</v>
      </c>
      <c r="D7365" s="15" t="str">
        <f>IFERROR(__xludf.DUMMYFUNCTION("""COMPUTED_VALUE"""),"BOGOTÁ")</f>
        <v>BOGOTÁ</v>
      </c>
      <c r="E7365" s="15" t="str">
        <f>IFERROR(__xludf.DUMMYFUNCTION("""COMPUTED_VALUE"""),"Evamazzita")</f>
        <v>Evamazzita</v>
      </c>
      <c r="F7365" s="17" t="str">
        <f>IFERROR(__xludf.DUMMYFUNCTION("""COMPUTED_VALUE"""),"Cll 36 #6-12 / Villa Ilusión torre Tupinamba apto 402")</f>
        <v>Cll 36 #6-12 / Villa Ilusión torre Tupinamba apto 402</v>
      </c>
      <c r="G7365" s="15" t="str">
        <f>IFERROR(__xludf.DUMMYFUNCTION("""COMPUTED_VALUE"""),"ERIKA GONZALEZ")</f>
        <v>ERIKA GONZALEZ</v>
      </c>
      <c r="H7365" s="16">
        <f>IFERROR(__xludf.DUMMYFUNCTION("""COMPUTED_VALUE"""),16152.0)</f>
        <v>16152</v>
      </c>
      <c r="I7365" s="18">
        <f>IFERROR(__xludf.DUMMYFUNCTION("""COMPUTED_VALUE"""),1.0)</f>
        <v>1</v>
      </c>
      <c r="J7365" s="18">
        <f>IFERROR(__xludf.DUMMYFUNCTION("""COMPUTED_VALUE"""),1.0)</f>
        <v>1</v>
      </c>
      <c r="K7365" s="18">
        <f>IFERROR(__xludf.DUMMYFUNCTION("""COMPUTED_VALUE"""),1.0)</f>
        <v>1</v>
      </c>
      <c r="L7365" s="17">
        <f>IFERROR(__xludf.DUMMYFUNCTION("""COMPUTED_VALUE"""),3.123770233E9)</f>
        <v>3123770233</v>
      </c>
      <c r="M7365" s="17"/>
      <c r="N7365" s="17"/>
      <c r="O7365" s="17"/>
      <c r="P7365" s="17" t="b">
        <f>IFERROR(__xludf.DUMMYFUNCTION("""COMPUTED_VALUE"""),FALSE)</f>
        <v>0</v>
      </c>
      <c r="Q7365" s="20" t="str">
        <f>IFERROR(__xludf.DUMMYFUNCTION("""COMPUTED_VALUE"""),"")</f>
        <v/>
      </c>
      <c r="R7365" s="21" t="str">
        <f>IFERROR(__xludf.DUMMYFUNCTION("""COMPUTED_VALUE"""),"https://drive.google.com/file/d/1SRqYwOL7GAMovY85jn-WwLx2CMGPwYXT/view?usp=drivesdk")</f>
        <v>https://drive.google.com/file/d/1SRqYwOL7GAMovY85jn-WwLx2CMGPwYXT/view?usp=drivesdk</v>
      </c>
    </row>
    <row r="7366">
      <c r="A7366" s="15">
        <f>IFERROR(__xludf.DUMMYFUNCTION("""COMPUTED_VALUE"""),45209.0)</f>
        <v>45209</v>
      </c>
      <c r="B7366" s="16" t="str">
        <f>IFERROR(__xludf.DUMMYFUNCTION("""COMPUTED_VALUE"""),"Duvan Gabriel Alvarez Giron")</f>
        <v>Duvan Gabriel Alvarez Giron</v>
      </c>
      <c r="C7366" s="15" t="str">
        <f>IFERROR(__xludf.DUMMYFUNCTION("""COMPUTED_VALUE"""),"IBAGUÉ")</f>
        <v>IBAGUÉ</v>
      </c>
      <c r="D7366" s="15" t="str">
        <f>IFERROR(__xludf.DUMMYFUNCTION("""COMPUTED_VALUE"""),"BOGOTÁ")</f>
        <v>BOGOTÁ</v>
      </c>
      <c r="E7366" s="15" t="str">
        <f>IFERROR(__xludf.DUMMYFUNCTION("""COMPUTED_VALUE"""),"Frambascolombia sas")</f>
        <v>Frambascolombia sas</v>
      </c>
      <c r="F7366" s="17" t="str">
        <f>IFERROR(__xludf.DUMMYFUNCTION("""COMPUTED_VALUE"""),"Cll 10 # 3-01 / local 2")</f>
        <v>Cll 10 # 3-01 / local 2</v>
      </c>
      <c r="G7366" s="15" t="str">
        <f>IFERROR(__xludf.DUMMYFUNCTION("""COMPUTED_VALUE"""),"Soy Natural Sede JCCG")</f>
        <v>Soy Natural Sede JCCG</v>
      </c>
      <c r="H7366" s="16">
        <f>IFERROR(__xludf.DUMMYFUNCTION("""COMPUTED_VALUE"""),16116.0)</f>
        <v>16116</v>
      </c>
      <c r="I7366" s="18">
        <f>IFERROR(__xludf.DUMMYFUNCTION("""COMPUTED_VALUE"""),45057.0)</f>
        <v>45057</v>
      </c>
      <c r="J7366" s="18">
        <f>IFERROR(__xludf.DUMMYFUNCTION("""COMPUTED_VALUE"""),10.0)</f>
        <v>10</v>
      </c>
      <c r="K7366" s="18">
        <f>IFERROR(__xludf.DUMMYFUNCTION("""COMPUTED_VALUE"""),10.0)</f>
        <v>10</v>
      </c>
      <c r="L7366" s="17">
        <f>IFERROR(__xludf.DUMMYFUNCTION("""COMPUTED_VALUE"""),3.177777083E9)</f>
        <v>3177777083</v>
      </c>
      <c r="M7366" s="17"/>
      <c r="N7366" s="17"/>
      <c r="O7366" s="17"/>
      <c r="P7366" s="17" t="b">
        <f>IFERROR(__xludf.DUMMYFUNCTION("""COMPUTED_VALUE"""),FALSE)</f>
        <v>0</v>
      </c>
      <c r="Q7366" s="20" t="str">
        <f>IFERROR(__xludf.DUMMYFUNCTION("""COMPUTED_VALUE"""),"")</f>
        <v/>
      </c>
      <c r="R7366" s="21" t="str">
        <f>IFERROR(__xludf.DUMMYFUNCTION("""COMPUTED_VALUE"""),"https://drive.google.com/file/d/1jFTX2aqJM_D95lXBPE8S8ngGNjDNN0SY/view?usp=drivesdk")</f>
        <v>https://drive.google.com/file/d/1jFTX2aqJM_D95lXBPE8S8ngGNjDNN0SY/view?usp=drivesdk</v>
      </c>
    </row>
    <row r="7367">
      <c r="A7367" s="15">
        <f>IFERROR(__xludf.DUMMYFUNCTION("""COMPUTED_VALUE"""),45209.0)</f>
        <v>45209</v>
      </c>
      <c r="B7367" s="16" t="str">
        <f>IFERROR(__xludf.DUMMYFUNCTION("""COMPUTED_VALUE"""),"Duvan Gabriel Alvarez Giron")</f>
        <v>Duvan Gabriel Alvarez Giron</v>
      </c>
      <c r="C7367" s="15" t="str">
        <f>IFERROR(__xludf.DUMMYFUNCTION("""COMPUTED_VALUE"""),"IBAGUÉ")</f>
        <v>IBAGUÉ</v>
      </c>
      <c r="D7367" s="15" t="str">
        <f>IFERROR(__xludf.DUMMYFUNCTION("""COMPUTED_VALUE"""),"BOGOTÁ")</f>
        <v>BOGOTÁ</v>
      </c>
      <c r="E7367" s="15" t="str">
        <f>IFERROR(__xludf.DUMMYFUNCTION("""COMPUTED_VALUE"""),"Frubits")</f>
        <v>Frubits</v>
      </c>
      <c r="F7367" s="17" t="str">
        <f>IFERROR(__xludf.DUMMYFUNCTION("""COMPUTED_VALUE"""),"Manzana 7 casa 9 jordan 1 etapa / Manzana 7 casa 9 jordan 1 etapa / Manzana 7 casa 9 jordan 1 etapa")</f>
        <v>Manzana 7 casa 9 jordan 1 etapa / Manzana 7 casa 9 jordan 1 etapa / Manzana 7 casa 9 jordan 1 etapa</v>
      </c>
      <c r="G7367" s="15" t="str">
        <f>IFERROR(__xludf.DUMMYFUNCTION("""COMPUTED_VALUE"""),"Cindy rivera")</f>
        <v>Cindy rivera</v>
      </c>
      <c r="H7367" s="16">
        <f>IFERROR(__xludf.DUMMYFUNCTION("""COMPUTED_VALUE"""),16086.0)</f>
        <v>16086</v>
      </c>
      <c r="I7367" s="18" t="str">
        <f>IFERROR(__xludf.DUMMYFUNCTION("""COMPUTED_VALUE"""),"35.5")</f>
        <v>35.5</v>
      </c>
      <c r="J7367" s="18">
        <f>IFERROR(__xludf.DUMMYFUNCTION("""COMPUTED_VALUE"""),21.0)</f>
        <v>21</v>
      </c>
      <c r="K7367" s="18" t="str">
        <f>IFERROR(__xludf.DUMMYFUNCTION("""COMPUTED_VALUE"""),"35.5")</f>
        <v>35.5</v>
      </c>
      <c r="L7367" s="17">
        <f>IFERROR(__xludf.DUMMYFUNCTION("""COMPUTED_VALUE"""),3.102334198E9)</f>
        <v>3102334198</v>
      </c>
      <c r="M7367" s="17"/>
      <c r="N7367" s="17"/>
      <c r="O7367" s="17"/>
      <c r="P7367" s="17" t="b">
        <f>IFERROR(__xludf.DUMMYFUNCTION("""COMPUTED_VALUE"""),FALSE)</f>
        <v>0</v>
      </c>
      <c r="Q7367" s="20" t="str">
        <f>IFERROR(__xludf.DUMMYFUNCTION("""COMPUTED_VALUE"""),"")</f>
        <v/>
      </c>
      <c r="R7367" s="21" t="str">
        <f>IFERROR(__xludf.DUMMYFUNCTION("""COMPUTED_VALUE"""),"https://drive.google.com/file/d/17prkbb6ByUCk7ATF_XPFQcHnGSogKPrk/view?usp=drivesdk")</f>
        <v>https://drive.google.com/file/d/17prkbb6ByUCk7ATF_XPFQcHnGSogKPrk/view?usp=drivesdk</v>
      </c>
    </row>
    <row r="7368">
      <c r="A7368" s="15">
        <f>IFERROR(__xludf.DUMMYFUNCTION("""COMPUTED_VALUE"""),45209.0)</f>
        <v>45209</v>
      </c>
      <c r="B7368" s="16" t="str">
        <f>IFERROR(__xludf.DUMMYFUNCTION("""COMPUTED_VALUE"""),"Duvan Gabriel Alvarez Giron")</f>
        <v>Duvan Gabriel Alvarez Giron</v>
      </c>
      <c r="C7368" s="15" t="str">
        <f>IFERROR(__xludf.DUMMYFUNCTION("""COMPUTED_VALUE"""),"IBAGUÉ")</f>
        <v>IBAGUÉ</v>
      </c>
      <c r="D7368" s="15" t="str">
        <f>IFERROR(__xludf.DUMMYFUNCTION("""COMPUTED_VALUE"""),"BOGOTÁ")</f>
        <v>BOGOTÁ</v>
      </c>
      <c r="E7368" s="15" t="str">
        <f>IFERROR(__xludf.DUMMYFUNCTION("""COMPUTED_VALUE"""),"Ins. Alimento Vital")</f>
        <v>Ins. Alimento Vital</v>
      </c>
      <c r="F7368" s="17" t="str">
        <f>IFERROR(__xludf.DUMMYFUNCTION("""COMPUTED_VALUE"""),"CLL 87 #17-00  / CONJUNTO CAMINOS DE SAN FRANCISCO CASA 15")</f>
        <v>CLL 87 #17-00  / CONJUNTO CAMINOS DE SAN FRANCISCO CASA 15</v>
      </c>
      <c r="G7368" s="15" t="str">
        <f>IFERROR(__xludf.DUMMYFUNCTION("""COMPUTED_VALUE"""),"CAMILO ANDRES MANZANO VARGAS")</f>
        <v>CAMILO ANDRES MANZANO VARGAS</v>
      </c>
      <c r="H7368" s="16">
        <f>IFERROR(__xludf.DUMMYFUNCTION("""COMPUTED_VALUE"""),16113.0)</f>
        <v>16113</v>
      </c>
      <c r="I7368" s="18">
        <f>IFERROR(__xludf.DUMMYFUNCTION("""COMPUTED_VALUE"""),1.0)</f>
        <v>1</v>
      </c>
      <c r="J7368" s="18">
        <f>IFERROR(__xludf.DUMMYFUNCTION("""COMPUTED_VALUE"""),1.0)</f>
        <v>1</v>
      </c>
      <c r="K7368" s="18">
        <f>IFERROR(__xludf.DUMMYFUNCTION("""COMPUTED_VALUE"""),1.0)</f>
        <v>1</v>
      </c>
      <c r="L7368" s="17">
        <f>IFERROR(__xludf.DUMMYFUNCTION("""COMPUTED_VALUE"""),3.503480987E9)</f>
        <v>3503480987</v>
      </c>
      <c r="M7368" s="17"/>
      <c r="N7368" s="17"/>
      <c r="O7368" s="17"/>
      <c r="P7368" s="17" t="b">
        <f>IFERROR(__xludf.DUMMYFUNCTION("""COMPUTED_VALUE"""),FALSE)</f>
        <v>0</v>
      </c>
      <c r="Q7368" s="20" t="str">
        <f>IFERROR(__xludf.DUMMYFUNCTION("""COMPUTED_VALUE"""),"")</f>
        <v/>
      </c>
      <c r="R7368" s="21" t="str">
        <f>IFERROR(__xludf.DUMMYFUNCTION("""COMPUTED_VALUE"""),"https://drive.google.com/file/d/1RBrhINYiFjiFCMa6oMB-YNON1Bq7dD-t/view?usp=drivesdk")</f>
        <v>https://drive.google.com/file/d/1RBrhINYiFjiFCMa6oMB-YNON1Bq7dD-t/view?usp=drivesdk</v>
      </c>
    </row>
    <row r="7369">
      <c r="A7369" s="15">
        <f>IFERROR(__xludf.DUMMYFUNCTION("""COMPUTED_VALUE"""),45209.0)</f>
        <v>45209</v>
      </c>
      <c r="B7369" s="16" t="str">
        <f>IFERROR(__xludf.DUMMYFUNCTION("""COMPUTED_VALUE"""),"Duvan Gabriel Alvarez Giron")</f>
        <v>Duvan Gabriel Alvarez Giron</v>
      </c>
      <c r="C7369" s="15" t="str">
        <f>IFERROR(__xludf.DUMMYFUNCTION("""COMPUTED_VALUE"""),"IBAGUÉ")</f>
        <v>IBAGUÉ</v>
      </c>
      <c r="D7369" s="15" t="str">
        <f>IFERROR(__xludf.DUMMYFUNCTION("""COMPUTED_VALUE"""),"BOGOTÁ")</f>
        <v>BOGOTÁ</v>
      </c>
      <c r="E7369" s="15" t="str">
        <f>IFERROR(__xludf.DUMMYFUNCTION("""COMPUTED_VALUE"""),"Karem foods")</f>
        <v>Karem foods</v>
      </c>
      <c r="F7369" s="17" t="str">
        <f>IFERROR(__xludf.DUMMYFUNCTION("""COMPUTED_VALUE"""),"Cra 14 # 75A-29 Local 5 Estancia del Vergel / - / -")</f>
        <v>Cra 14 # 75A-29 Local 5 Estancia del Vergel / - / -</v>
      </c>
      <c r="G7369" s="15" t="str">
        <f>IFERROR(__xludf.DUMMYFUNCTION("""COMPUTED_VALUE"""),"Soy natural market")</f>
        <v>Soy natural market</v>
      </c>
      <c r="H7369" s="16">
        <f>IFERROR(__xludf.DUMMYFUNCTION("""COMPUTED_VALUE"""),16165.0)</f>
        <v>16165</v>
      </c>
      <c r="I7369" s="18">
        <f>IFERROR(__xludf.DUMMYFUNCTION("""COMPUTED_VALUE"""),20.0)</f>
        <v>20</v>
      </c>
      <c r="J7369" s="18">
        <f>IFERROR(__xludf.DUMMYFUNCTION("""COMPUTED_VALUE"""),30.0)</f>
        <v>30</v>
      </c>
      <c r="K7369" s="18">
        <f>IFERROR(__xludf.DUMMYFUNCTION("""COMPUTED_VALUE"""),20.0)</f>
        <v>20</v>
      </c>
      <c r="L7369" s="17">
        <f>IFERROR(__xludf.DUMMYFUNCTION("""COMPUTED_VALUE"""),3.177002909E9)</f>
        <v>3177002909</v>
      </c>
      <c r="M7369" s="17"/>
      <c r="N7369" s="17"/>
      <c r="O7369" s="17"/>
      <c r="P7369" s="17" t="b">
        <f>IFERROR(__xludf.DUMMYFUNCTION("""COMPUTED_VALUE"""),FALSE)</f>
        <v>0</v>
      </c>
      <c r="Q7369" s="20" t="str">
        <f>IFERROR(__xludf.DUMMYFUNCTION("""COMPUTED_VALUE"""),"")</f>
        <v/>
      </c>
      <c r="R7369" s="21" t="str">
        <f>IFERROR(__xludf.DUMMYFUNCTION("""COMPUTED_VALUE"""),"https://drive.google.com/file/d/1HxkIooX2Uo0wEZsDUqzb7xlgqZw5qebW/view?usp=drivesdk")</f>
        <v>https://drive.google.com/file/d/1HxkIooX2Uo0wEZsDUqzb7xlgqZw5qebW/view?usp=drivesdk</v>
      </c>
    </row>
    <row r="7370">
      <c r="A7370" s="15">
        <f>IFERROR(__xludf.DUMMYFUNCTION("""COMPUTED_VALUE"""),45209.0)</f>
        <v>45209</v>
      </c>
      <c r="B7370" s="16" t="str">
        <f>IFERROR(__xludf.DUMMYFUNCTION("""COMPUTED_VALUE"""),"Duvan Gabriel Alvarez Giron")</f>
        <v>Duvan Gabriel Alvarez Giron</v>
      </c>
      <c r="C7370" s="15" t="str">
        <f>IFERROR(__xludf.DUMMYFUNCTION("""COMPUTED_VALUE"""),"IBAGUÉ")</f>
        <v>IBAGUÉ</v>
      </c>
      <c r="D7370" s="15" t="str">
        <f>IFERROR(__xludf.DUMMYFUNCTION("""COMPUTED_VALUE"""),"MEDELLÍN")</f>
        <v>MEDELLÍN</v>
      </c>
      <c r="E7370" s="15" t="str">
        <f>IFERROR(__xludf.DUMMYFUNCTION("""COMPUTED_VALUE"""),"Baby Chef")</f>
        <v>Baby Chef</v>
      </c>
      <c r="F7370" s="17" t="str">
        <f>IFERROR(__xludf.DUMMYFUNCTION("""COMPUTED_VALUE"""),"calle 67 # 7-21  / torres de barlovento torre 2 apto 306 /  Barrio parrales")</f>
        <v>calle 67 # 7-21  / torres de barlovento torre 2 apto 306 /  Barrio parrales</v>
      </c>
      <c r="G7370" s="15" t="str">
        <f>IFERROR(__xludf.DUMMYFUNCTION("""COMPUTED_VALUE"""),"Laura Rios")</f>
        <v>Laura Rios</v>
      </c>
      <c r="H7370" s="16">
        <f>IFERROR(__xludf.DUMMYFUNCTION("""COMPUTED_VALUE"""),16168.0)</f>
        <v>16168</v>
      </c>
      <c r="I7370" s="18">
        <f>IFERROR(__xludf.DUMMYFUNCTION("""COMPUTED_VALUE"""),6.0)</f>
        <v>6</v>
      </c>
      <c r="J7370" s="18">
        <f>IFERROR(__xludf.DUMMYFUNCTION("""COMPUTED_VALUE"""),22.0)</f>
        <v>22</v>
      </c>
      <c r="K7370" s="18">
        <f>IFERROR(__xludf.DUMMYFUNCTION("""COMPUTED_VALUE"""),30.0)</f>
        <v>30</v>
      </c>
      <c r="L7370" s="17">
        <f>IFERROR(__xludf.DUMMYFUNCTION("""COMPUTED_VALUE"""),3.213717164E9)</f>
        <v>3213717164</v>
      </c>
      <c r="M7370" s="17"/>
      <c r="N7370" s="17"/>
      <c r="O7370" s="17"/>
      <c r="P7370" s="17" t="b">
        <f>IFERROR(__xludf.DUMMYFUNCTION("""COMPUTED_VALUE"""),FALSE)</f>
        <v>0</v>
      </c>
      <c r="Q7370" s="20" t="str">
        <f>IFERROR(__xludf.DUMMYFUNCTION("""COMPUTED_VALUE"""),"")</f>
        <v/>
      </c>
      <c r="R7370" s="21" t="str">
        <f>IFERROR(__xludf.DUMMYFUNCTION("""COMPUTED_VALUE"""),"https://drive.google.com/file/d/1MBJvRlevcaOPCxt13YRKUo_aPOlE0iSU/view?usp=drivesdk")</f>
        <v>https://drive.google.com/file/d/1MBJvRlevcaOPCxt13YRKUo_aPOlE0iSU/view?usp=drivesdk</v>
      </c>
    </row>
    <row r="7371">
      <c r="A7371" s="17" t="str">
        <f>IFERROR(__xludf.DUMMYFUNCTION("""COMPUTED_VALUE"""),"")</f>
        <v/>
      </c>
      <c r="B7371" s="17" t="str">
        <f>IFERROR(__xludf.DUMMYFUNCTION("""COMPUTED_VALUE"""),"")</f>
        <v/>
      </c>
      <c r="C7371" s="17" t="str">
        <f>IFERROR(__xludf.DUMMYFUNCTION("""COMPUTED_VALUE"""),"")</f>
        <v/>
      </c>
      <c r="D7371" s="17" t="str">
        <f>IFERROR(__xludf.DUMMYFUNCTION("""COMPUTED_VALUE"""),"")</f>
        <v/>
      </c>
      <c r="E7371" s="17" t="str">
        <f>IFERROR(__xludf.DUMMYFUNCTION("""COMPUTED_VALUE"""),"")</f>
        <v/>
      </c>
      <c r="F7371" s="17" t="str">
        <f>IFERROR(__xludf.DUMMYFUNCTION("""COMPUTED_VALUE"""),"")</f>
        <v/>
      </c>
      <c r="G7371" s="17" t="str">
        <f>IFERROR(__xludf.DUMMYFUNCTION("""COMPUTED_VALUE"""),"")</f>
        <v/>
      </c>
      <c r="H7371" s="17" t="str">
        <f>IFERROR(__xludf.DUMMYFUNCTION("""COMPUTED_VALUE"""),"")</f>
        <v/>
      </c>
      <c r="I7371" s="17" t="str">
        <f>IFERROR(__xludf.DUMMYFUNCTION("""COMPUTED_VALUE"""),"")</f>
        <v/>
      </c>
      <c r="J7371" s="17" t="str">
        <f>IFERROR(__xludf.DUMMYFUNCTION("""COMPUTED_VALUE"""),"")</f>
        <v/>
      </c>
      <c r="K7371" s="17" t="str">
        <f>IFERROR(__xludf.DUMMYFUNCTION("""COMPUTED_VALUE"""),"")</f>
        <v/>
      </c>
      <c r="L7371" s="17" t="str">
        <f>IFERROR(__xludf.DUMMYFUNCTION("""COMPUTED_VALUE"""),"")</f>
        <v/>
      </c>
      <c r="M7371" s="17" t="str">
        <f>IFERROR(__xludf.DUMMYFUNCTION("""COMPUTED_VALUE"""),"")</f>
        <v/>
      </c>
      <c r="N7371" s="17" t="str">
        <f>IFERROR(__xludf.DUMMYFUNCTION("""COMPUTED_VALUE"""),"")</f>
        <v/>
      </c>
      <c r="O7371" s="17" t="str">
        <f>IFERROR(__xludf.DUMMYFUNCTION("""COMPUTED_VALUE"""),"")</f>
        <v/>
      </c>
      <c r="P7371" s="17" t="str">
        <f>IFERROR(__xludf.DUMMYFUNCTION("""COMPUTED_VALUE"""),"")</f>
        <v/>
      </c>
      <c r="Q7371" s="17" t="str">
        <f>IFERROR(__xludf.DUMMYFUNCTION("""COMPUTED_VALUE"""),"")</f>
        <v/>
      </c>
      <c r="R7371" s="17" t="str">
        <f>IFERROR(__xludf.DUMMYFUNCTION("""COMPUTED_VALUE"""),"")</f>
        <v/>
      </c>
    </row>
    <row r="7372">
      <c r="A7372" s="15">
        <f>IFERROR(__xludf.DUMMYFUNCTION("""COMPUTED_VALUE"""),45209.0)</f>
        <v>45209</v>
      </c>
      <c r="B7372" s="16" t="str">
        <f>IFERROR(__xludf.DUMMYFUNCTION("""COMPUTED_VALUE"""),"Envia")</f>
        <v>Envia</v>
      </c>
      <c r="C7372" s="15" t="str">
        <f>IFERROR(__xludf.DUMMYFUNCTION("""COMPUTED_VALUE"""),"ARMENIA")</f>
        <v>ARMENIA</v>
      </c>
      <c r="D7372" s="15" t="str">
        <f>IFERROR(__xludf.DUMMYFUNCTION("""COMPUTED_VALUE"""),"BOGOTÁ")</f>
        <v>BOGOTÁ</v>
      </c>
      <c r="E7372" s="15" t="str">
        <f>IFERROR(__xludf.DUMMYFUNCTION("""COMPUTED_VALUE"""),"Chalupo")</f>
        <v>Chalupo</v>
      </c>
      <c r="F7372" s="17" t="str">
        <f>IFERROR(__xludf.DUMMYFUNCTION("""COMPUTED_VALUE"""),"Calle 12 Norte # 11-40 / La cascada apto 601 / Barrio La castellana")</f>
        <v>Calle 12 Norte # 11-40 / La cascada apto 601 / Barrio La castellana</v>
      </c>
      <c r="G7372" s="15" t="str">
        <f>IFERROR(__xludf.DUMMYFUNCTION("""COMPUTED_VALUE"""),"Luisa Fernanda Arcila")</f>
        <v>Luisa Fernanda Arcila</v>
      </c>
      <c r="H7372" s="16">
        <f>IFERROR(__xludf.DUMMYFUNCTION("""COMPUTED_VALUE"""),16119.0)</f>
        <v>16119</v>
      </c>
      <c r="I7372" s="18">
        <f>IFERROR(__xludf.DUMMYFUNCTION("""COMPUTED_VALUE"""),21.0)</f>
        <v>21</v>
      </c>
      <c r="J7372" s="18">
        <f>IFERROR(__xludf.DUMMYFUNCTION("""COMPUTED_VALUE"""),30.0)</f>
        <v>30</v>
      </c>
      <c r="K7372" s="18">
        <f>IFERROR(__xludf.DUMMYFUNCTION("""COMPUTED_VALUE"""),50.0)</f>
        <v>50</v>
      </c>
      <c r="L7372" s="17">
        <f>IFERROR(__xludf.DUMMYFUNCTION("""COMPUTED_VALUE"""),3.21722911E9)</f>
        <v>3217229110</v>
      </c>
      <c r="M7372" s="17"/>
      <c r="N7372" s="17"/>
      <c r="O7372" s="17"/>
      <c r="P7372" s="17" t="b">
        <f>IFERROR(__xludf.DUMMYFUNCTION("""COMPUTED_VALUE"""),FALSE)</f>
        <v>0</v>
      </c>
      <c r="Q7372" s="20" t="str">
        <f>IFERROR(__xludf.DUMMYFUNCTION("""COMPUTED_VALUE"""),"")</f>
        <v/>
      </c>
      <c r="R7372" s="21" t="str">
        <f>IFERROR(__xludf.DUMMYFUNCTION("""COMPUTED_VALUE"""),"https://drive.google.com/file/d/1CdulDTj6NRISR2YRtzBYhubz07lKkuT0/view?usp=drivesdk")</f>
        <v>https://drive.google.com/file/d/1CdulDTj6NRISR2YRtzBYhubz07lKkuT0/view?usp=drivesdk</v>
      </c>
    </row>
    <row r="7373">
      <c r="A7373" s="15">
        <f>IFERROR(__xludf.DUMMYFUNCTION("""COMPUTED_VALUE"""),45209.0)</f>
        <v>45209</v>
      </c>
      <c r="B7373" s="16" t="str">
        <f>IFERROR(__xludf.DUMMYFUNCTION("""COMPUTED_VALUE"""),"Envia")</f>
        <v>Envia</v>
      </c>
      <c r="C7373" s="15" t="str">
        <f>IFERROR(__xludf.DUMMYFUNCTION("""COMPUTED_VALUE"""),"ARMENIA")</f>
        <v>ARMENIA</v>
      </c>
      <c r="D7373" s="15" t="str">
        <f>IFERROR(__xludf.DUMMYFUNCTION("""COMPUTED_VALUE"""),"BOGOTÁ")</f>
        <v>BOGOTÁ</v>
      </c>
      <c r="E7373" s="15" t="str">
        <f>IFERROR(__xludf.DUMMYFUNCTION("""COMPUTED_VALUE"""),"Spirulina Fresca")</f>
        <v>Spirulina Fresca</v>
      </c>
      <c r="F7373" s="17" t="str">
        <f>IFERROR(__xludf.DUMMYFUNCTION("""COMPUTED_VALUE"""),"Av centenario   50n 01  / Casa 2 / Armenia")</f>
        <v>Av centenario   50n 01  / Casa 2 / Armenia</v>
      </c>
      <c r="G7373" s="15" t="str">
        <f>IFERROR(__xludf.DUMMYFUNCTION("""COMPUTED_VALUE"""),"Alfredo Silva")</f>
        <v>Alfredo Silva</v>
      </c>
      <c r="H7373" s="16">
        <f>IFERROR(__xludf.DUMMYFUNCTION("""COMPUTED_VALUE"""),16109.0)</f>
        <v>16109</v>
      </c>
      <c r="I7373" s="18">
        <f>IFERROR(__xludf.DUMMYFUNCTION("""COMPUTED_VALUE"""),5.0)</f>
        <v>5</v>
      </c>
      <c r="J7373" s="18">
        <f>IFERROR(__xludf.DUMMYFUNCTION("""COMPUTED_VALUE"""),5.0)</f>
        <v>5</v>
      </c>
      <c r="K7373" s="18">
        <f>IFERROR(__xludf.DUMMYFUNCTION("""COMPUTED_VALUE"""),22.0)</f>
        <v>22</v>
      </c>
      <c r="L7373" s="17">
        <f>IFERROR(__xludf.DUMMYFUNCTION("""COMPUTED_VALUE"""),3.166981411E9)</f>
        <v>3166981411</v>
      </c>
      <c r="M7373" s="17"/>
      <c r="N7373" s="17"/>
      <c r="O7373" s="17"/>
      <c r="P7373" s="17" t="b">
        <f>IFERROR(__xludf.DUMMYFUNCTION("""COMPUTED_VALUE"""),FALSE)</f>
        <v>0</v>
      </c>
      <c r="Q7373" s="20" t="str">
        <f>IFERROR(__xludf.DUMMYFUNCTION("""COMPUTED_VALUE"""),"")</f>
        <v/>
      </c>
      <c r="R7373" s="21" t="str">
        <f>IFERROR(__xludf.DUMMYFUNCTION("""COMPUTED_VALUE"""),"https://drive.google.com/file/d/1j3_dhjpRM1If0kM9KYnx6XPO6ZPoDP6F/view?usp=drivesdk")</f>
        <v>https://drive.google.com/file/d/1j3_dhjpRM1If0kM9KYnx6XPO6ZPoDP6F/view?usp=drivesdk</v>
      </c>
    </row>
    <row r="7374">
      <c r="A7374" s="15">
        <f>IFERROR(__xludf.DUMMYFUNCTION("""COMPUTED_VALUE"""),45209.0)</f>
        <v>45209</v>
      </c>
      <c r="B7374" s="16" t="str">
        <f>IFERROR(__xludf.DUMMYFUNCTION("""COMPUTED_VALUE"""),"Envia")</f>
        <v>Envia</v>
      </c>
      <c r="C7374" s="15" t="str">
        <f>IFERROR(__xludf.DUMMYFUNCTION("""COMPUTED_VALUE"""),"BOGOTÁ")</f>
        <v>BOGOTÁ</v>
      </c>
      <c r="D7374" s="15" t="str">
        <f>IFERROR(__xludf.DUMMYFUNCTION("""COMPUTED_VALUE"""),"MEDELLÍN")</f>
        <v>MEDELLÍN</v>
      </c>
      <c r="E7374" s="15" t="str">
        <f>IFERROR(__xludf.DUMMYFUNCTION("""COMPUTED_VALUE"""),"Helados swip")</f>
        <v>Helados swip</v>
      </c>
      <c r="F7374" s="17" t="str">
        <f>IFERROR(__xludf.DUMMYFUNCTION("""COMPUTED_VALUE"""),"CALLE 90 # 16-56 / TIENDA FIT MARKET 90 / TIENDA FIT MARKET 90")</f>
        <v>CALLE 90 # 16-56 / TIENDA FIT MARKET 90 / TIENDA FIT MARKET 90</v>
      </c>
      <c r="G7374" s="15" t="str">
        <f>IFERROR(__xludf.DUMMYFUNCTION("""COMPUTED_VALUE"""),"FIT MARKET TIENDA 90")</f>
        <v>FIT MARKET TIENDA 90</v>
      </c>
      <c r="H7374" s="16">
        <f>IFERROR(__xludf.DUMMYFUNCTION("""COMPUTED_VALUE"""),16123.0)</f>
        <v>16123</v>
      </c>
      <c r="I7374" s="18">
        <f>IFERROR(__xludf.DUMMYFUNCTION("""COMPUTED_VALUE"""),29.0)</f>
        <v>29</v>
      </c>
      <c r="J7374" s="18">
        <f>IFERROR(__xludf.DUMMYFUNCTION("""COMPUTED_VALUE"""),55.0)</f>
        <v>55</v>
      </c>
      <c r="K7374" s="18">
        <f>IFERROR(__xludf.DUMMYFUNCTION("""COMPUTED_VALUE"""),45.0)</f>
        <v>45</v>
      </c>
      <c r="L7374" s="17">
        <f>IFERROR(__xludf.DUMMYFUNCTION("""COMPUTED_VALUE"""),3.043777121E9)</f>
        <v>3043777121</v>
      </c>
      <c r="M7374" s="17"/>
      <c r="N7374" s="17"/>
      <c r="O7374" s="17"/>
      <c r="P7374" s="17" t="b">
        <f>IFERROR(__xludf.DUMMYFUNCTION("""COMPUTED_VALUE"""),FALSE)</f>
        <v>0</v>
      </c>
      <c r="Q7374" s="20" t="str">
        <f>IFERROR(__xludf.DUMMYFUNCTION("""COMPUTED_VALUE"""),"")</f>
        <v/>
      </c>
      <c r="R7374" s="21" t="str">
        <f>IFERROR(__xludf.DUMMYFUNCTION("""COMPUTED_VALUE"""),"https://drive.google.com/file/d/1b08AeFWEOsKv1Fpjs00Lojm-UOFKTZhs/view?usp=drivesdk")</f>
        <v>https://drive.google.com/file/d/1b08AeFWEOsKv1Fpjs00Lojm-UOFKTZhs/view?usp=drivesdk</v>
      </c>
    </row>
    <row r="7375">
      <c r="A7375" s="15">
        <f>IFERROR(__xludf.DUMMYFUNCTION("""COMPUTED_VALUE"""),45209.0)</f>
        <v>45209</v>
      </c>
      <c r="B7375" s="16" t="str">
        <f>IFERROR(__xludf.DUMMYFUNCTION("""COMPUTED_VALUE"""),"Envia")</f>
        <v>Envia</v>
      </c>
      <c r="C7375" s="15" t="str">
        <f>IFERROR(__xludf.DUMMYFUNCTION("""COMPUTED_VALUE"""),"IBAGUÉ")</f>
        <v>IBAGUÉ</v>
      </c>
      <c r="D7375" s="15" t="str">
        <f>IFERROR(__xludf.DUMMYFUNCTION("""COMPUTED_VALUE"""),"MEDELLÍN")</f>
        <v>MEDELLÍN</v>
      </c>
      <c r="E7375" s="15" t="str">
        <f>IFERROR(__xludf.DUMMYFUNCTION("""COMPUTED_VALUE"""),"Rambla")</f>
        <v>Rambla</v>
      </c>
      <c r="F7375" s="17" t="str">
        <f>IFERROR(__xludf.DUMMYFUNCTION("""COMPUTED_VALUE"""),"Cra 14 #75A-29 local 5 estancia del vergel ibague - Tolima / - / -")</f>
        <v>Cra 14 #75A-29 local 5 estancia del vergel ibague - Tolima / - / -</v>
      </c>
      <c r="G7375" s="15" t="str">
        <f>IFERROR(__xludf.DUMMYFUNCTION("""COMPUTED_VALUE"""),"Soy Natural")</f>
        <v>Soy Natural</v>
      </c>
      <c r="H7375" s="16">
        <f>IFERROR(__xludf.DUMMYFUNCTION("""COMPUTED_VALUE"""),16172.0)</f>
        <v>16172</v>
      </c>
      <c r="I7375" s="18">
        <f>IFERROR(__xludf.DUMMYFUNCTION("""COMPUTED_VALUE"""),24.0)</f>
        <v>24</v>
      </c>
      <c r="J7375" s="18">
        <f>IFERROR(__xludf.DUMMYFUNCTION("""COMPUTED_VALUE"""),24.0)</f>
        <v>24</v>
      </c>
      <c r="K7375" s="18">
        <f>IFERROR(__xludf.DUMMYFUNCTION("""COMPUTED_VALUE"""),24.0)</f>
        <v>24</v>
      </c>
      <c r="L7375" s="17">
        <f>IFERROR(__xludf.DUMMYFUNCTION("""COMPUTED_VALUE"""),3.177002909E9)</f>
        <v>3177002909</v>
      </c>
      <c r="M7375" s="17"/>
      <c r="N7375" s="17"/>
      <c r="O7375" s="17"/>
      <c r="P7375" s="17" t="b">
        <f>IFERROR(__xludf.DUMMYFUNCTION("""COMPUTED_VALUE"""),FALSE)</f>
        <v>0</v>
      </c>
      <c r="Q7375" s="20" t="str">
        <f>IFERROR(__xludf.DUMMYFUNCTION("""COMPUTED_VALUE"""),"")</f>
        <v/>
      </c>
      <c r="R7375" s="21" t="str">
        <f>IFERROR(__xludf.DUMMYFUNCTION("""COMPUTED_VALUE"""),"https://drive.google.com/file/d/1nkORFmXiFeleXYVTeA-XWC5jd-KvxyOD/view?usp=drivesdk")</f>
        <v>https://drive.google.com/file/d/1nkORFmXiFeleXYVTeA-XWC5jd-KvxyOD/view?usp=drivesdk</v>
      </c>
    </row>
    <row r="7376">
      <c r="A7376" s="15">
        <f>IFERROR(__xludf.DUMMYFUNCTION("""COMPUTED_VALUE"""),45209.0)</f>
        <v>45209</v>
      </c>
      <c r="B7376" s="16" t="str">
        <f>IFERROR(__xludf.DUMMYFUNCTION("""COMPUTED_VALUE"""),"Envia")</f>
        <v>Envia</v>
      </c>
      <c r="C7376" s="15" t="str">
        <f>IFERROR(__xludf.DUMMYFUNCTION("""COMPUTED_VALUE"""),"MANIZALES")</f>
        <v>MANIZALES</v>
      </c>
      <c r="D7376" s="15" t="str">
        <f>IFERROR(__xludf.DUMMYFUNCTION("""COMPUTED_VALUE"""),"BOGOTÁ")</f>
        <v>BOGOTÁ</v>
      </c>
      <c r="E7376" s="15" t="str">
        <f>IFERROR(__xludf.DUMMYFUNCTION("""COMPUTED_VALUE"""),"Spirulina Fresca")</f>
        <v>Spirulina Fresca</v>
      </c>
      <c r="F7376" s="17" t="str">
        <f>IFERROR(__xludf.DUMMYFUNCTION("""COMPUTED_VALUE"""),"Cr 23# 58-59 / Manizales  / Manizales")</f>
        <v>Cr 23# 58-59 / Manizales  / Manizales</v>
      </c>
      <c r="G7376" s="15" t="str">
        <f>IFERROR(__xludf.DUMMYFUNCTION("""COMPUTED_VALUE"""),"Paola Ceballos")</f>
        <v>Paola Ceballos</v>
      </c>
      <c r="H7376" s="16">
        <f>IFERROR(__xludf.DUMMYFUNCTION("""COMPUTED_VALUE"""),16111.0)</f>
        <v>16111</v>
      </c>
      <c r="I7376" s="18">
        <f>IFERROR(__xludf.DUMMYFUNCTION("""COMPUTED_VALUE"""),5.0)</f>
        <v>5</v>
      </c>
      <c r="J7376" s="18">
        <f>IFERROR(__xludf.DUMMYFUNCTION("""COMPUTED_VALUE"""),5.0)</f>
        <v>5</v>
      </c>
      <c r="K7376" s="18">
        <f>IFERROR(__xludf.DUMMYFUNCTION("""COMPUTED_VALUE"""),22.0)</f>
        <v>22</v>
      </c>
      <c r="L7376" s="17">
        <f>IFERROR(__xludf.DUMMYFUNCTION("""COMPUTED_VALUE"""),3.173652958E9)</f>
        <v>3173652958</v>
      </c>
      <c r="M7376" s="17"/>
      <c r="N7376" s="17"/>
      <c r="O7376" s="17"/>
      <c r="P7376" s="17" t="b">
        <f>IFERROR(__xludf.DUMMYFUNCTION("""COMPUTED_VALUE"""),FALSE)</f>
        <v>0</v>
      </c>
      <c r="Q7376" s="20" t="str">
        <f>IFERROR(__xludf.DUMMYFUNCTION("""COMPUTED_VALUE"""),"")</f>
        <v/>
      </c>
      <c r="R7376" s="21" t="str">
        <f>IFERROR(__xludf.DUMMYFUNCTION("""COMPUTED_VALUE"""),"https://drive.google.com/file/d/1OBWjVZ23HhSUnbMr5JheiNO_1iwmbu2l/view?usp=drivesdk")</f>
        <v>https://drive.google.com/file/d/1OBWjVZ23HhSUnbMr5JheiNO_1iwmbu2l/view?usp=drivesdk</v>
      </c>
    </row>
    <row r="7377">
      <c r="A7377" s="15">
        <f>IFERROR(__xludf.DUMMYFUNCTION("""COMPUTED_VALUE"""),45209.0)</f>
        <v>45209</v>
      </c>
      <c r="B7377" s="16" t="str">
        <f>IFERROR(__xludf.DUMMYFUNCTION("""COMPUTED_VALUE"""),"Envia")</f>
        <v>Envia</v>
      </c>
      <c r="C7377" s="15" t="str">
        <f>IFERROR(__xludf.DUMMYFUNCTION("""COMPUTED_VALUE"""),"MANIZALES")</f>
        <v>MANIZALES</v>
      </c>
      <c r="D7377" s="15" t="str">
        <f>IFERROR(__xludf.DUMMYFUNCTION("""COMPUTED_VALUE"""),"MEDELLÍN")</f>
        <v>MEDELLÍN</v>
      </c>
      <c r="E7377" s="15" t="str">
        <f>IFERROR(__xludf.DUMMYFUNCTION("""COMPUTED_VALUE"""),"Rambla")</f>
        <v>Rambla</v>
      </c>
      <c r="F7377" s="17" t="str">
        <f>IFERROR(__xludf.DUMMYFUNCTION("""COMPUTED_VALUE"""),"CL 66 26 45 ED GUAYACAN DE LA 66 / - / -")</f>
        <v>CL 66 26 45 ED GUAYACAN DE LA 66 / - / -</v>
      </c>
      <c r="G7377" s="15" t="str">
        <f>IFERROR(__xludf.DUMMYFUNCTION("""COMPUTED_VALUE"""),"Mercafit")</f>
        <v>Mercafit</v>
      </c>
      <c r="H7377" s="16">
        <f>IFERROR(__xludf.DUMMYFUNCTION("""COMPUTED_VALUE"""),16173.0)</f>
        <v>16173</v>
      </c>
      <c r="I7377" s="18">
        <f>IFERROR(__xludf.DUMMYFUNCTION("""COMPUTED_VALUE"""),35.0)</f>
        <v>35</v>
      </c>
      <c r="J7377" s="18">
        <f>IFERROR(__xludf.DUMMYFUNCTION("""COMPUTED_VALUE"""),34.0)</f>
        <v>34</v>
      </c>
      <c r="K7377" s="18">
        <f>IFERROR(__xludf.DUMMYFUNCTION("""COMPUTED_VALUE"""),34.0)</f>
        <v>34</v>
      </c>
      <c r="L7377" s="17">
        <f>IFERROR(__xludf.DUMMYFUNCTION("""COMPUTED_VALUE"""),3.004648126E9)</f>
        <v>3004648126</v>
      </c>
      <c r="M7377" s="17"/>
      <c r="N7377" s="17"/>
      <c r="O7377" s="17"/>
      <c r="P7377" s="17" t="b">
        <f>IFERROR(__xludf.DUMMYFUNCTION("""COMPUTED_VALUE"""),TRUE)</f>
        <v>1</v>
      </c>
      <c r="Q7377" s="20">
        <f>IFERROR(__xludf.DUMMYFUNCTION("""COMPUTED_VALUE"""),45210.4311628588)</f>
        <v>45210.43116</v>
      </c>
      <c r="R7377" s="21" t="str">
        <f>IFERROR(__xludf.DUMMYFUNCTION("""COMPUTED_VALUE"""),"https://drive.google.com/file/d/1Y31Wskym43fEAwx6m_62UcBKqbPekXYs/view?usp=drivesdk")</f>
        <v>https://drive.google.com/file/d/1Y31Wskym43fEAwx6m_62UcBKqbPekXYs/view?usp=drivesdk</v>
      </c>
    </row>
    <row r="7378">
      <c r="A7378" s="15">
        <f>IFERROR(__xludf.DUMMYFUNCTION("""COMPUTED_VALUE"""),45209.0)</f>
        <v>45209</v>
      </c>
      <c r="B7378" s="16" t="str">
        <f>IFERROR(__xludf.DUMMYFUNCTION("""COMPUTED_VALUE"""),"Envia")</f>
        <v>Envia</v>
      </c>
      <c r="C7378" s="15" t="str">
        <f>IFERROR(__xludf.DUMMYFUNCTION("""COMPUTED_VALUE"""),"MANIZALES")</f>
        <v>MANIZALES</v>
      </c>
      <c r="D7378" s="15" t="str">
        <f>IFERROR(__xludf.DUMMYFUNCTION("""COMPUTED_VALUE"""),"MEDELLÍN")</f>
        <v>MEDELLÍN</v>
      </c>
      <c r="E7378" s="15" t="str">
        <f>IFERROR(__xludf.DUMMYFUNCTION("""COMPUTED_VALUE"""),"Todo Bufala")</f>
        <v>Todo Bufala</v>
      </c>
      <c r="F7378" s="17" t="str">
        <f>IFERROR(__xludf.DUMMYFUNCTION("""COMPUTED_VALUE"""),"Calle 66 #23B - 211 / Edifico calle larga, local 5c")</f>
        <v>Calle 66 #23B - 211 / Edifico calle larga, local 5c</v>
      </c>
      <c r="G7378" s="15" t="str">
        <f>IFERROR(__xludf.DUMMYFUNCTION("""COMPUTED_VALUE"""),"Sebastian Perez Pineda")</f>
        <v>Sebastian Perez Pineda</v>
      </c>
      <c r="H7378" s="16">
        <f>IFERROR(__xludf.DUMMYFUNCTION("""COMPUTED_VALUE"""),16089.0)</f>
        <v>16089</v>
      </c>
      <c r="I7378" s="18">
        <f>IFERROR(__xludf.DUMMYFUNCTION("""COMPUTED_VALUE"""),20.0)</f>
        <v>20</v>
      </c>
      <c r="J7378" s="18">
        <f>IFERROR(__xludf.DUMMYFUNCTION("""COMPUTED_VALUE"""),30.0)</f>
        <v>30</v>
      </c>
      <c r="K7378" s="18">
        <f>IFERROR(__xludf.DUMMYFUNCTION("""COMPUTED_VALUE"""),40.0)</f>
        <v>40</v>
      </c>
      <c r="L7378" s="17">
        <f>IFERROR(__xludf.DUMMYFUNCTION("""COMPUTED_VALUE"""),3.106974621E9)</f>
        <v>3106974621</v>
      </c>
      <c r="M7378" s="17"/>
      <c r="N7378" s="17"/>
      <c r="O7378" s="17"/>
      <c r="P7378" s="17" t="b">
        <f>IFERROR(__xludf.DUMMYFUNCTION("""COMPUTED_VALUE"""),TRUE)</f>
        <v>1</v>
      </c>
      <c r="Q7378" s="20">
        <f>IFERROR(__xludf.DUMMYFUNCTION("""COMPUTED_VALUE"""),45210.43124597222)</f>
        <v>45210.43125</v>
      </c>
      <c r="R7378" s="21" t="str">
        <f>IFERROR(__xludf.DUMMYFUNCTION("""COMPUTED_VALUE"""),"https://drive.google.com/file/d/1rOaGfnPFhuP8SdZ1spwkQ2H3P-rT5ro_/view?usp=drivesdk")</f>
        <v>https://drive.google.com/file/d/1rOaGfnPFhuP8SdZ1spwkQ2H3P-rT5ro_/view?usp=drivesdk</v>
      </c>
    </row>
    <row r="7379">
      <c r="A7379" s="15">
        <f>IFERROR(__xludf.DUMMYFUNCTION("""COMPUTED_VALUE"""),45209.0)</f>
        <v>45209</v>
      </c>
      <c r="B7379" s="16" t="str">
        <f>IFERROR(__xludf.DUMMYFUNCTION("""COMPUTED_VALUE"""),"Envia")</f>
        <v>Envia</v>
      </c>
      <c r="C7379" s="15" t="str">
        <f>IFERROR(__xludf.DUMMYFUNCTION("""COMPUTED_VALUE"""),"MEDELLÍN")</f>
        <v>MEDELLÍN</v>
      </c>
      <c r="D7379" s="15" t="str">
        <f>IFERROR(__xludf.DUMMYFUNCTION("""COMPUTED_VALUE"""),"BOGOTÁ")</f>
        <v>BOGOTÁ</v>
      </c>
      <c r="E7379" s="15" t="str">
        <f>IFERROR(__xludf.DUMMYFUNCTION("""COMPUTED_VALUE"""),"Evamazzita")</f>
        <v>Evamazzita</v>
      </c>
      <c r="F7379" s="17" t="str">
        <f>IFERROR(__xludf.DUMMYFUNCTION("""COMPUTED_VALUE"""),"Cll 77 sur # 50 a 184 / Viña del mar Suramérica  Apto 1221 torre 6  Barrio Suramérica  La Estrella")</f>
        <v>Cll 77 sur # 50 a 184 / Viña del mar Suramérica  Apto 1221 torre 6  Barrio Suramérica  La Estrella</v>
      </c>
      <c r="G7379" s="15" t="str">
        <f>IFERROR(__xludf.DUMMYFUNCTION("""COMPUTED_VALUE"""),"ALEJANDRA ACOSTA MORALES")</f>
        <v>ALEJANDRA ACOSTA MORALES</v>
      </c>
      <c r="H7379" s="16">
        <f>IFERROR(__xludf.DUMMYFUNCTION("""COMPUTED_VALUE"""),16158.0)</f>
        <v>16158</v>
      </c>
      <c r="I7379" s="18">
        <f>IFERROR(__xludf.DUMMYFUNCTION("""COMPUTED_VALUE"""),1.0)</f>
        <v>1</v>
      </c>
      <c r="J7379" s="18">
        <f>IFERROR(__xludf.DUMMYFUNCTION("""COMPUTED_VALUE"""),1.0)</f>
        <v>1</v>
      </c>
      <c r="K7379" s="18">
        <f>IFERROR(__xludf.DUMMYFUNCTION("""COMPUTED_VALUE"""),1.0)</f>
        <v>1</v>
      </c>
      <c r="L7379" s="17">
        <f>IFERROR(__xludf.DUMMYFUNCTION("""COMPUTED_VALUE"""),3.023734592E9)</f>
        <v>3023734592</v>
      </c>
      <c r="M7379" s="17"/>
      <c r="N7379" s="17"/>
      <c r="O7379" s="17"/>
      <c r="P7379" s="17" t="b">
        <f>IFERROR(__xludf.DUMMYFUNCTION("""COMPUTED_VALUE"""),FALSE)</f>
        <v>0</v>
      </c>
      <c r="Q7379" s="20" t="str">
        <f>IFERROR(__xludf.DUMMYFUNCTION("""COMPUTED_VALUE"""),"")</f>
        <v/>
      </c>
      <c r="R7379" s="21" t="str">
        <f>IFERROR(__xludf.DUMMYFUNCTION("""COMPUTED_VALUE"""),"https://drive.google.com/file/d/1Zx6F7pbSkr3rtaJWnNrl0pUuB6-WDoKt/view?usp=drivesdk")</f>
        <v>https://drive.google.com/file/d/1Zx6F7pbSkr3rtaJWnNrl0pUuB6-WDoKt/view?usp=drivesdk</v>
      </c>
    </row>
    <row r="7380">
      <c r="A7380" s="15">
        <f>IFERROR(__xludf.DUMMYFUNCTION("""COMPUTED_VALUE"""),45209.0)</f>
        <v>45209</v>
      </c>
      <c r="B7380" s="16" t="str">
        <f>IFERROR(__xludf.DUMMYFUNCTION("""COMPUTED_VALUE"""),"Envia")</f>
        <v>Envia</v>
      </c>
      <c r="C7380" s="15" t="str">
        <f>IFERROR(__xludf.DUMMYFUNCTION("""COMPUTED_VALUE"""),"MEDELLÍN")</f>
        <v>MEDELLÍN</v>
      </c>
      <c r="D7380" s="15" t="str">
        <f>IFERROR(__xludf.DUMMYFUNCTION("""COMPUTED_VALUE"""),"BOGOTÁ")</f>
        <v>BOGOTÁ</v>
      </c>
      <c r="E7380" s="15" t="str">
        <f>IFERROR(__xludf.DUMMYFUNCTION("""COMPUTED_VALUE"""),"Frambascolombia sas")</f>
        <v>Frambascolombia sas</v>
      </c>
      <c r="F7380" s="17" t="str">
        <f>IFERROR(__xludf.DUMMYFUNCTION("""COMPUTED_VALUE"""),"Cl. 16 #55-129 / local 2")</f>
        <v>Cl. 16 #55-129 / local 2</v>
      </c>
      <c r="G7380" s="15" t="str">
        <f>IFERROR(__xludf.DUMMYFUNCTION("""COMPUTED_VALUE"""),"PikNPak Medellín")</f>
        <v>PikNPak Medellín</v>
      </c>
      <c r="H7380" s="16">
        <f>IFERROR(__xludf.DUMMYFUNCTION("""COMPUTED_VALUE"""),16115.0)</f>
        <v>16115</v>
      </c>
      <c r="I7380" s="18">
        <f>IFERROR(__xludf.DUMMYFUNCTION("""COMPUTED_VALUE"""),45057.0)</f>
        <v>45057</v>
      </c>
      <c r="J7380" s="18">
        <f>IFERROR(__xludf.DUMMYFUNCTION("""COMPUTED_VALUE"""),10.0)</f>
        <v>10</v>
      </c>
      <c r="K7380" s="18">
        <f>IFERROR(__xludf.DUMMYFUNCTION("""COMPUTED_VALUE"""),10.0)</f>
        <v>10</v>
      </c>
      <c r="L7380" s="17" t="str">
        <f>IFERROR(__xludf.DUMMYFUNCTION("""COMPUTED_VALUE"""),"321 4229567")</f>
        <v>321 4229567</v>
      </c>
      <c r="M7380" s="17"/>
      <c r="N7380" s="17"/>
      <c r="O7380" s="17"/>
      <c r="P7380" s="17" t="b">
        <f>IFERROR(__xludf.DUMMYFUNCTION("""COMPUTED_VALUE"""),FALSE)</f>
        <v>0</v>
      </c>
      <c r="Q7380" s="20" t="str">
        <f>IFERROR(__xludf.DUMMYFUNCTION("""COMPUTED_VALUE"""),"")</f>
        <v/>
      </c>
      <c r="R7380" s="21" t="str">
        <f>IFERROR(__xludf.DUMMYFUNCTION("""COMPUTED_VALUE"""),"https://drive.google.com/file/d/1ro0i8Hf2h3J0FafcUSNfL6Nhtx-GdJ4R/view?usp=drivesdk")</f>
        <v>https://drive.google.com/file/d/1ro0i8Hf2h3J0FafcUSNfL6Nhtx-GdJ4R/view?usp=drivesdk</v>
      </c>
    </row>
    <row r="7381">
      <c r="A7381" s="17" t="str">
        <f>IFERROR(__xludf.DUMMYFUNCTION("""COMPUTED_VALUE"""),"")</f>
        <v/>
      </c>
      <c r="B7381" s="17" t="str">
        <f>IFERROR(__xludf.DUMMYFUNCTION("""COMPUTED_VALUE"""),"")</f>
        <v/>
      </c>
      <c r="C7381" s="17" t="str">
        <f>IFERROR(__xludf.DUMMYFUNCTION("""COMPUTED_VALUE"""),"")</f>
        <v/>
      </c>
      <c r="D7381" s="17" t="str">
        <f>IFERROR(__xludf.DUMMYFUNCTION("""COMPUTED_VALUE"""),"")</f>
        <v/>
      </c>
      <c r="E7381" s="17" t="str">
        <f>IFERROR(__xludf.DUMMYFUNCTION("""COMPUTED_VALUE"""),"")</f>
        <v/>
      </c>
      <c r="F7381" s="17" t="str">
        <f>IFERROR(__xludf.DUMMYFUNCTION("""COMPUTED_VALUE"""),"")</f>
        <v/>
      </c>
      <c r="G7381" s="17" t="str">
        <f>IFERROR(__xludf.DUMMYFUNCTION("""COMPUTED_VALUE"""),"")</f>
        <v/>
      </c>
      <c r="H7381" s="17" t="str">
        <f>IFERROR(__xludf.DUMMYFUNCTION("""COMPUTED_VALUE"""),"")</f>
        <v/>
      </c>
      <c r="I7381" s="17" t="str">
        <f>IFERROR(__xludf.DUMMYFUNCTION("""COMPUTED_VALUE"""),"")</f>
        <v/>
      </c>
      <c r="J7381" s="17" t="str">
        <f>IFERROR(__xludf.DUMMYFUNCTION("""COMPUTED_VALUE"""),"")</f>
        <v/>
      </c>
      <c r="K7381" s="17" t="str">
        <f>IFERROR(__xludf.DUMMYFUNCTION("""COMPUTED_VALUE"""),"")</f>
        <v/>
      </c>
      <c r="L7381" s="17" t="str">
        <f>IFERROR(__xludf.DUMMYFUNCTION("""COMPUTED_VALUE"""),"")</f>
        <v/>
      </c>
      <c r="M7381" s="17" t="str">
        <f>IFERROR(__xludf.DUMMYFUNCTION("""COMPUTED_VALUE"""),"")</f>
        <v/>
      </c>
      <c r="N7381" s="17" t="str">
        <f>IFERROR(__xludf.DUMMYFUNCTION("""COMPUTED_VALUE"""),"")</f>
        <v/>
      </c>
      <c r="O7381" s="17" t="str">
        <f>IFERROR(__xludf.DUMMYFUNCTION("""COMPUTED_VALUE"""),"")</f>
        <v/>
      </c>
      <c r="P7381" s="17" t="str">
        <f>IFERROR(__xludf.DUMMYFUNCTION("""COMPUTED_VALUE"""),"")</f>
        <v/>
      </c>
      <c r="Q7381" s="17" t="str">
        <f>IFERROR(__xludf.DUMMYFUNCTION("""COMPUTED_VALUE"""),"")</f>
        <v/>
      </c>
      <c r="R7381" s="17" t="str">
        <f>IFERROR(__xludf.DUMMYFUNCTION("""COMPUTED_VALUE"""),"")</f>
        <v/>
      </c>
    </row>
    <row r="7382">
      <c r="A7382" s="15">
        <f>IFERROR(__xludf.DUMMYFUNCTION("""COMPUTED_VALUE"""),45209.0)</f>
        <v>45209</v>
      </c>
      <c r="B7382" s="16" t="str">
        <f>IFERROR(__xludf.DUMMYFUNCTION("""COMPUTED_VALUE"""),"Envia")</f>
        <v>Envia</v>
      </c>
      <c r="C7382" s="15" t="str">
        <f>IFERROR(__xludf.DUMMYFUNCTION("""COMPUTED_VALUE"""),"MEDELLÍN")</f>
        <v>MEDELLÍN</v>
      </c>
      <c r="D7382" s="15" t="str">
        <f>IFERROR(__xludf.DUMMYFUNCTION("""COMPUTED_VALUE"""),"BOGOTÁ")</f>
        <v>BOGOTÁ</v>
      </c>
      <c r="E7382" s="15" t="str">
        <f>IFERROR(__xludf.DUMMYFUNCTION("""COMPUTED_VALUE"""),"Loomifoods")</f>
        <v>Loomifoods</v>
      </c>
      <c r="F7382" s="17" t="str">
        <f>IFERROR(__xludf.DUMMYFUNCTION("""COMPUTED_VALUE"""),"Calle 49a no. 83a - 196 / Apto 519 / Urbanización sol, naciente calasanz")</f>
        <v>Calle 49a no. 83a - 196 / Apto 519 / Urbanización sol, naciente calasanz</v>
      </c>
      <c r="G7382" s="15" t="str">
        <f>IFERROR(__xludf.DUMMYFUNCTION("""COMPUTED_VALUE"""),"Yuliana Guzman")</f>
        <v>Yuliana Guzman</v>
      </c>
      <c r="H7382" s="16">
        <f>IFERROR(__xludf.DUMMYFUNCTION("""COMPUTED_VALUE"""),16128.0)</f>
        <v>16128</v>
      </c>
      <c r="I7382" s="18">
        <f>IFERROR(__xludf.DUMMYFUNCTION("""COMPUTED_VALUE"""),19.0)</f>
        <v>19</v>
      </c>
      <c r="J7382" s="18">
        <f>IFERROR(__xludf.DUMMYFUNCTION("""COMPUTED_VALUE"""),10.0)</f>
        <v>10</v>
      </c>
      <c r="K7382" s="18">
        <f>IFERROR(__xludf.DUMMYFUNCTION("""COMPUTED_VALUE"""),16.0)</f>
        <v>16</v>
      </c>
      <c r="L7382" s="17">
        <f>IFERROR(__xludf.DUMMYFUNCTION("""COMPUTED_VALUE"""),3.196999461E9)</f>
        <v>3196999461</v>
      </c>
      <c r="M7382" s="17"/>
      <c r="N7382" s="17"/>
      <c r="O7382" s="17"/>
      <c r="P7382" s="17" t="b">
        <f>IFERROR(__xludf.DUMMYFUNCTION("""COMPUTED_VALUE"""),FALSE)</f>
        <v>0</v>
      </c>
      <c r="Q7382" s="20" t="str">
        <f>IFERROR(__xludf.DUMMYFUNCTION("""COMPUTED_VALUE"""),"")</f>
        <v/>
      </c>
      <c r="R7382" s="21" t="str">
        <f>IFERROR(__xludf.DUMMYFUNCTION("""COMPUTED_VALUE"""),"https://drive.google.com/file/d/1izMkDCw3eloND1BHaRZzwihu58ruh-IQ/view?usp=drivesdk")</f>
        <v>https://drive.google.com/file/d/1izMkDCw3eloND1BHaRZzwihu58ruh-IQ/view?usp=drivesdk</v>
      </c>
    </row>
    <row r="7383">
      <c r="A7383" s="15">
        <f>IFERROR(__xludf.DUMMYFUNCTION("""COMPUTED_VALUE"""),45209.0)</f>
        <v>45209</v>
      </c>
      <c r="B7383" s="16" t="str">
        <f>IFERROR(__xludf.DUMMYFUNCTION("""COMPUTED_VALUE"""),"Envia")</f>
        <v>Envia</v>
      </c>
      <c r="C7383" s="15" t="str">
        <f>IFERROR(__xludf.DUMMYFUNCTION("""COMPUTED_VALUE"""),"MEDELLÍN")</f>
        <v>MEDELLÍN</v>
      </c>
      <c r="D7383" s="15" t="str">
        <f>IFERROR(__xludf.DUMMYFUNCTION("""COMPUTED_VALUE"""),"BOGOTÁ")</f>
        <v>BOGOTÁ</v>
      </c>
      <c r="E7383" s="15" t="str">
        <f>IFERROR(__xludf.DUMMYFUNCTION("""COMPUTED_VALUE"""),"Viiva Fermentados")</f>
        <v>Viiva Fermentados</v>
      </c>
      <c r="F7383" s="17" t="str">
        <f>IFERROR(__xludf.DUMMYFUNCTION("""COMPUTED_VALUE"""),"cra 52d # 81 07  / local 7 / supercentro de la moda itagui")</f>
        <v>cra 52d # 81 07  / local 7 / supercentro de la moda itagui</v>
      </c>
      <c r="G7383" s="15" t="str">
        <f>IFERROR(__xludf.DUMMYFUNCTION("""COMPUTED_VALUE"""),"Vegan Fit")</f>
        <v>Vegan Fit</v>
      </c>
      <c r="H7383" s="16">
        <f>IFERROR(__xludf.DUMMYFUNCTION("""COMPUTED_VALUE"""),16108.0)</f>
        <v>16108</v>
      </c>
      <c r="I7383" s="18">
        <f>IFERROR(__xludf.DUMMYFUNCTION("""COMPUTED_VALUE"""),27.0)</f>
        <v>27</v>
      </c>
      <c r="J7383" s="18">
        <f>IFERROR(__xludf.DUMMYFUNCTION("""COMPUTED_VALUE"""),18.0)</f>
        <v>18</v>
      </c>
      <c r="K7383" s="18">
        <f>IFERROR(__xludf.DUMMYFUNCTION("""COMPUTED_VALUE"""),18.0)</f>
        <v>18</v>
      </c>
      <c r="L7383" s="17">
        <f>IFERROR(__xludf.DUMMYFUNCTION("""COMPUTED_VALUE"""),3.05339111E9)</f>
        <v>3053391110</v>
      </c>
      <c r="M7383" s="17"/>
      <c r="N7383" s="17"/>
      <c r="O7383" s="17"/>
      <c r="P7383" s="17" t="b">
        <f>IFERROR(__xludf.DUMMYFUNCTION("""COMPUTED_VALUE"""),FALSE)</f>
        <v>0</v>
      </c>
      <c r="Q7383" s="20" t="str">
        <f>IFERROR(__xludf.DUMMYFUNCTION("""COMPUTED_VALUE"""),"")</f>
        <v/>
      </c>
      <c r="R7383" s="21" t="str">
        <f>IFERROR(__xludf.DUMMYFUNCTION("""COMPUTED_VALUE"""),"https://drive.google.com/file/d/1zXE5SHAsC5GDkli0kuY4H4hG9qjaRqmo/view?usp=drivesdk")</f>
        <v>https://drive.google.com/file/d/1zXE5SHAsC5GDkli0kuY4H4hG9qjaRqmo/view?usp=drivesdk</v>
      </c>
    </row>
    <row r="7384">
      <c r="A7384" s="15">
        <f>IFERROR(__xludf.DUMMYFUNCTION("""COMPUTED_VALUE"""),45209.0)</f>
        <v>45209</v>
      </c>
      <c r="B7384" s="16" t="str">
        <f>IFERROR(__xludf.DUMMYFUNCTION("""COMPUTED_VALUE"""),"Envia")</f>
        <v>Envia</v>
      </c>
      <c r="C7384" s="15" t="str">
        <f>IFERROR(__xludf.DUMMYFUNCTION("""COMPUTED_VALUE"""),"PEREIRA")</f>
        <v>PEREIRA</v>
      </c>
      <c r="D7384" s="15" t="str">
        <f>IFERROR(__xludf.DUMMYFUNCTION("""COMPUTED_VALUE"""),"BOGOTÁ")</f>
        <v>BOGOTÁ</v>
      </c>
      <c r="E7384" s="15" t="str">
        <f>IFERROR(__xludf.DUMMYFUNCTION("""COMPUTED_VALUE"""),"Ins. Alimento Vital")</f>
        <v>Ins. Alimento Vital</v>
      </c>
      <c r="F7384" s="17" t="str">
        <f>IFERROR(__xludf.DUMMYFUNCTION("""COMPUTED_VALUE"""),"CRA 5 #18-43 / EDIFICIO  CHALJUB  / BARRIO URIBE")</f>
        <v>CRA 5 #18-43 / EDIFICIO  CHALJUB  / BARRIO URIBE</v>
      </c>
      <c r="G7384" s="15" t="str">
        <f>IFERROR(__xludf.DUMMYFUNCTION("""COMPUTED_VALUE"""),"CHALJUB")</f>
        <v>CHALJUB</v>
      </c>
      <c r="H7384" s="16">
        <f>IFERROR(__xludf.DUMMYFUNCTION("""COMPUTED_VALUE"""),16146.0)</f>
        <v>16146</v>
      </c>
      <c r="I7384" s="18">
        <f>IFERROR(__xludf.DUMMYFUNCTION("""COMPUTED_VALUE"""),1.0)</f>
        <v>1</v>
      </c>
      <c r="J7384" s="18">
        <f>IFERROR(__xludf.DUMMYFUNCTION("""COMPUTED_VALUE"""),1.0)</f>
        <v>1</v>
      </c>
      <c r="K7384" s="18">
        <f>IFERROR(__xludf.DUMMYFUNCTION("""COMPUTED_VALUE"""),1.0)</f>
        <v>1</v>
      </c>
      <c r="L7384" s="17">
        <f>IFERROR(__xludf.DUMMYFUNCTION("""COMPUTED_VALUE"""),3.008252529E9)</f>
        <v>3008252529</v>
      </c>
      <c r="M7384" s="17"/>
      <c r="N7384" s="17"/>
      <c r="O7384" s="17"/>
      <c r="P7384" s="17" t="b">
        <f>IFERROR(__xludf.DUMMYFUNCTION("""COMPUTED_VALUE"""),TRUE)</f>
        <v>1</v>
      </c>
      <c r="Q7384" s="20">
        <f>IFERROR(__xludf.DUMMYFUNCTION("""COMPUTED_VALUE"""),45209.77441460648)</f>
        <v>45209.77441</v>
      </c>
      <c r="R7384" s="21" t="str">
        <f>IFERROR(__xludf.DUMMYFUNCTION("""COMPUTED_VALUE"""),"https://drive.google.com/file/d/1vPoDc6UfypvAlDKNYT101hV8MEJ04rj4/view?usp=drivesdk")</f>
        <v>https://drive.google.com/file/d/1vPoDc6UfypvAlDKNYT101hV8MEJ04rj4/view?usp=drivesdk</v>
      </c>
    </row>
    <row r="7385">
      <c r="A7385" s="15">
        <f>IFERROR(__xludf.DUMMYFUNCTION("""COMPUTED_VALUE"""),45209.0)</f>
        <v>45209</v>
      </c>
      <c r="B7385" s="16" t="str">
        <f>IFERROR(__xludf.DUMMYFUNCTION("""COMPUTED_VALUE"""),"Envia")</f>
        <v>Envia</v>
      </c>
      <c r="C7385" s="15" t="str">
        <f>IFERROR(__xludf.DUMMYFUNCTION("""COMPUTED_VALUE"""),"TULUA")</f>
        <v>TULUA</v>
      </c>
      <c r="D7385" s="15" t="str">
        <f>IFERROR(__xludf.DUMMYFUNCTION("""COMPUTED_VALUE"""),"BOGOTÁ")</f>
        <v>BOGOTÁ</v>
      </c>
      <c r="E7385" s="15" t="str">
        <f>IFERROR(__xludf.DUMMYFUNCTION("""COMPUTED_VALUE"""),"Evamazzita")</f>
        <v>Evamazzita</v>
      </c>
      <c r="F7385" s="17" t="str">
        <f>IFERROR(__xludf.DUMMYFUNCTION("""COMPUTED_VALUE"""),"MANZANA 17 CASA 5 / BOSQUES DE MARACAIBO")</f>
        <v>MANZANA 17 CASA 5 / BOSQUES DE MARACAIBO</v>
      </c>
      <c r="G7385" s="15" t="str">
        <f>IFERROR(__xludf.DUMMYFUNCTION("""COMPUTED_VALUE"""),"DIANA CAROLINA MOLINA VALENCIA")</f>
        <v>DIANA CAROLINA MOLINA VALENCIA</v>
      </c>
      <c r="H7385" s="16">
        <f>IFERROR(__xludf.DUMMYFUNCTION("""COMPUTED_VALUE"""),16163.0)</f>
        <v>16163</v>
      </c>
      <c r="I7385" s="18">
        <f>IFERROR(__xludf.DUMMYFUNCTION("""COMPUTED_VALUE"""),1.0)</f>
        <v>1</v>
      </c>
      <c r="J7385" s="18">
        <f>IFERROR(__xludf.DUMMYFUNCTION("""COMPUTED_VALUE"""),1.0)</f>
        <v>1</v>
      </c>
      <c r="K7385" s="18">
        <f>IFERROR(__xludf.DUMMYFUNCTION("""COMPUTED_VALUE"""),1.0)</f>
        <v>1</v>
      </c>
      <c r="L7385" s="17" t="str">
        <f>IFERROR(__xludf.DUMMYFUNCTION("""COMPUTED_VALUE"""),"3104417918 3186856539")</f>
        <v>3104417918 3186856539</v>
      </c>
      <c r="M7385" s="17"/>
      <c r="N7385" s="17"/>
      <c r="O7385" s="17"/>
      <c r="P7385" s="17" t="b">
        <f>IFERROR(__xludf.DUMMYFUNCTION("""COMPUTED_VALUE"""),FALSE)</f>
        <v>0</v>
      </c>
      <c r="Q7385" s="20" t="str">
        <f>IFERROR(__xludf.DUMMYFUNCTION("""COMPUTED_VALUE"""),"")</f>
        <v/>
      </c>
      <c r="R7385" s="22" t="str">
        <f>IFERROR(__xludf.DUMMYFUNCTION("""COMPUTED_VALUE"""),"")</f>
        <v/>
      </c>
    </row>
    <row r="7386">
      <c r="A7386" s="15">
        <f>IFERROR(__xludf.DUMMYFUNCTION("""COMPUTED_VALUE"""),45209.0)</f>
        <v>45209</v>
      </c>
      <c r="B7386" s="16" t="str">
        <f>IFERROR(__xludf.DUMMYFUNCTION("""COMPUTED_VALUE"""),"Envia")</f>
        <v>Envia</v>
      </c>
      <c r="C7386" s="15" t="str">
        <f>IFERROR(__xludf.DUMMYFUNCTION("""COMPUTED_VALUE"""),"TULUÁ")</f>
        <v>TULUÁ</v>
      </c>
      <c r="D7386" s="15" t="str">
        <f>IFERROR(__xludf.DUMMYFUNCTION("""COMPUTED_VALUE"""),"BOGOTÁ")</f>
        <v>BOGOTÁ</v>
      </c>
      <c r="E7386" s="15" t="str">
        <f>IFERROR(__xludf.DUMMYFUNCTION("""COMPUTED_VALUE"""),"Top Spun")</f>
        <v>Top Spun</v>
      </c>
      <c r="F7386" s="17" t="str">
        <f>IFERROR(__xludf.DUMMYFUNCTION("""COMPUTED_VALUE"""),"Carrera 27D #42-03 / Quintas de San Felipe / x la cancha de la avenida cali Tuluá")</f>
        <v>Carrera 27D #42-03 / Quintas de San Felipe / x la cancha de la avenida cali Tuluá</v>
      </c>
      <c r="G7386" s="15" t="str">
        <f>IFERROR(__xludf.DUMMYFUNCTION("""COMPUTED_VALUE"""),"Ximena Alarcon")</f>
        <v>Ximena Alarcon</v>
      </c>
      <c r="H7386" s="16">
        <f>IFERROR(__xludf.DUMMYFUNCTION("""COMPUTED_VALUE"""),16085.0)</f>
        <v>16085</v>
      </c>
      <c r="I7386" s="18">
        <f>IFERROR(__xludf.DUMMYFUNCTION("""COMPUTED_VALUE"""),20.0)</f>
        <v>20</v>
      </c>
      <c r="J7386" s="18">
        <f>IFERROR(__xludf.DUMMYFUNCTION("""COMPUTED_VALUE"""),10.0)</f>
        <v>10</v>
      </c>
      <c r="K7386" s="18">
        <f>IFERROR(__xludf.DUMMYFUNCTION("""COMPUTED_VALUE"""),40.0)</f>
        <v>40</v>
      </c>
      <c r="L7386" s="17">
        <f>IFERROR(__xludf.DUMMYFUNCTION("""COMPUTED_VALUE"""),3.172955751E9)</f>
        <v>3172955751</v>
      </c>
      <c r="M7386" s="17"/>
      <c r="N7386" s="17"/>
      <c r="O7386" s="17"/>
      <c r="P7386" s="17" t="b">
        <f>IFERROR(__xludf.DUMMYFUNCTION("""COMPUTED_VALUE"""),FALSE)</f>
        <v>0</v>
      </c>
      <c r="Q7386" s="20" t="str">
        <f>IFERROR(__xludf.DUMMYFUNCTION("""COMPUTED_VALUE"""),"")</f>
        <v/>
      </c>
      <c r="R7386" s="22" t="str">
        <f>IFERROR(__xludf.DUMMYFUNCTION("""COMPUTED_VALUE"""),"")</f>
        <v/>
      </c>
    </row>
    <row r="7387">
      <c r="A7387" s="15">
        <f>IFERROR(__xludf.DUMMYFUNCTION("""COMPUTED_VALUE"""),45209.0)</f>
        <v>45209</v>
      </c>
      <c r="B7387" s="16" t="str">
        <f>IFERROR(__xludf.DUMMYFUNCTION("""COMPUTED_VALUE"""),"Envia")</f>
        <v>Envia</v>
      </c>
      <c r="C7387" s="15" t="str">
        <f>IFERROR(__xludf.DUMMYFUNCTION("""COMPUTED_VALUE"""),"VILLAVICENCIO")</f>
        <v>VILLAVICENCIO</v>
      </c>
      <c r="D7387" s="15" t="str">
        <f>IFERROR(__xludf.DUMMYFUNCTION("""COMPUTED_VALUE"""),"BOGOTÁ")</f>
        <v>BOGOTÁ</v>
      </c>
      <c r="E7387" s="15" t="str">
        <f>IFERROR(__xludf.DUMMYFUNCTION("""COMPUTED_VALUE"""),"Verde Mango")</f>
        <v>Verde Mango</v>
      </c>
      <c r="F7387" s="17" t="str">
        <f>IFERROR(__xludf.DUMMYFUNCTION("""COMPUTED_VALUE"""),"Calle 15numero 44D 28  / Edificio palos de caña  Local 1  / El buque")</f>
        <v>Calle 15numero 44D 28  / Edificio palos de caña  Local 1  / El buque</v>
      </c>
      <c r="G7387" s="15" t="str">
        <f>IFERROR(__xludf.DUMMYFUNCTION("""COMPUTED_VALUE"""),"Santa Tentacion")</f>
        <v>Santa Tentacion</v>
      </c>
      <c r="H7387" s="16">
        <f>IFERROR(__xludf.DUMMYFUNCTION("""COMPUTED_VALUE"""),16143.0)</f>
        <v>16143</v>
      </c>
      <c r="I7387" s="18">
        <f>IFERROR(__xludf.DUMMYFUNCTION("""COMPUTED_VALUE"""),21.0)</f>
        <v>21</v>
      </c>
      <c r="J7387" s="18">
        <f>IFERROR(__xludf.DUMMYFUNCTION("""COMPUTED_VALUE"""),30.0)</f>
        <v>30</v>
      </c>
      <c r="K7387" s="18">
        <f>IFERROR(__xludf.DUMMYFUNCTION("""COMPUTED_VALUE"""),50.0)</f>
        <v>50</v>
      </c>
      <c r="L7387" s="17">
        <f>IFERROR(__xludf.DUMMYFUNCTION("""COMPUTED_VALUE"""),3.00838304E9)</f>
        <v>3008383040</v>
      </c>
      <c r="M7387" s="17"/>
      <c r="N7387" s="17"/>
      <c r="O7387" s="17"/>
      <c r="P7387" s="17" t="b">
        <f>IFERROR(__xludf.DUMMYFUNCTION("""COMPUTED_VALUE"""),FALSE)</f>
        <v>0</v>
      </c>
      <c r="Q7387" s="20" t="str">
        <f>IFERROR(__xludf.DUMMYFUNCTION("""COMPUTED_VALUE"""),"")</f>
        <v/>
      </c>
      <c r="R7387" s="21" t="str">
        <f>IFERROR(__xludf.DUMMYFUNCTION("""COMPUTED_VALUE"""),"https://drive.google.com/file/d/1mZvK57MXstEqhINb_pigrXPYOPSwtZ5Z/view?usp=drivesdk")</f>
        <v>https://drive.google.com/file/d/1mZvK57MXstEqhINb_pigrXPYOPSwtZ5Z/view?usp=drivesdk</v>
      </c>
    </row>
    <row r="7388">
      <c r="A7388" s="17" t="str">
        <f>IFERROR(__xludf.DUMMYFUNCTION("""COMPUTED_VALUE"""),"")</f>
        <v/>
      </c>
      <c r="B7388" s="17" t="str">
        <f>IFERROR(__xludf.DUMMYFUNCTION("""COMPUTED_VALUE"""),"")</f>
        <v/>
      </c>
      <c r="C7388" s="17" t="str">
        <f>IFERROR(__xludf.DUMMYFUNCTION("""COMPUTED_VALUE"""),"")</f>
        <v/>
      </c>
      <c r="D7388" s="17" t="str">
        <f>IFERROR(__xludf.DUMMYFUNCTION("""COMPUTED_VALUE"""),"")</f>
        <v/>
      </c>
      <c r="E7388" s="17" t="str">
        <f>IFERROR(__xludf.DUMMYFUNCTION("""COMPUTED_VALUE"""),"")</f>
        <v/>
      </c>
      <c r="F7388" s="17" t="str">
        <f>IFERROR(__xludf.DUMMYFUNCTION("""COMPUTED_VALUE"""),"")</f>
        <v/>
      </c>
      <c r="G7388" s="17" t="str">
        <f>IFERROR(__xludf.DUMMYFUNCTION("""COMPUTED_VALUE"""),"")</f>
        <v/>
      </c>
      <c r="H7388" s="17" t="str">
        <f>IFERROR(__xludf.DUMMYFUNCTION("""COMPUTED_VALUE"""),"")</f>
        <v/>
      </c>
      <c r="I7388" s="17" t="str">
        <f>IFERROR(__xludf.DUMMYFUNCTION("""COMPUTED_VALUE"""),"")</f>
        <v/>
      </c>
      <c r="J7388" s="17" t="str">
        <f>IFERROR(__xludf.DUMMYFUNCTION("""COMPUTED_VALUE"""),"")</f>
        <v/>
      </c>
      <c r="K7388" s="17" t="str">
        <f>IFERROR(__xludf.DUMMYFUNCTION("""COMPUTED_VALUE"""),"")</f>
        <v/>
      </c>
      <c r="L7388" s="17" t="str">
        <f>IFERROR(__xludf.DUMMYFUNCTION("""COMPUTED_VALUE"""),"")</f>
        <v/>
      </c>
      <c r="M7388" s="17" t="str">
        <f>IFERROR(__xludf.DUMMYFUNCTION("""COMPUTED_VALUE"""),"")</f>
        <v/>
      </c>
      <c r="N7388" s="17" t="str">
        <f>IFERROR(__xludf.DUMMYFUNCTION("""COMPUTED_VALUE"""),"")</f>
        <v/>
      </c>
      <c r="O7388" s="17" t="str">
        <f>IFERROR(__xludf.DUMMYFUNCTION("""COMPUTED_VALUE"""),"")</f>
        <v/>
      </c>
      <c r="P7388" s="17" t="str">
        <f>IFERROR(__xludf.DUMMYFUNCTION("""COMPUTED_VALUE"""),"")</f>
        <v/>
      </c>
      <c r="Q7388" s="17" t="str">
        <f>IFERROR(__xludf.DUMMYFUNCTION("""COMPUTED_VALUE"""),"")</f>
        <v/>
      </c>
      <c r="R7388" s="17" t="str">
        <f>IFERROR(__xludf.DUMMYFUNCTION("""COMPUTED_VALUE"""),"")</f>
        <v/>
      </c>
    </row>
    <row r="7389">
      <c r="A7389" s="15">
        <f>IFERROR(__xludf.DUMMYFUNCTION("""COMPUTED_VALUE"""),45209.0)</f>
        <v>45209</v>
      </c>
      <c r="B7389" s="16" t="str">
        <f>IFERROR(__xludf.DUMMYFUNCTION("""COMPUTED_VALUE"""),"Jhon Anderson Ceballos Hernandez")</f>
        <v>Jhon Anderson Ceballos Hernandez</v>
      </c>
      <c r="C7389" s="15" t="str">
        <f>IFERROR(__xludf.DUMMYFUNCTION("""COMPUTED_VALUE"""),"MANIZALES")</f>
        <v>MANIZALES</v>
      </c>
      <c r="D7389" s="15" t="str">
        <f>IFERROR(__xludf.DUMMYFUNCTION("""COMPUTED_VALUE"""),"BOGOTÁ")</f>
        <v>BOGOTÁ</v>
      </c>
      <c r="E7389" s="15" t="str">
        <f>IFERROR(__xludf.DUMMYFUNCTION("""COMPUTED_VALUE"""),"Asociacion Agropecuaria Juana Maria")</f>
        <v>Asociacion Agropecuaria Juana Maria</v>
      </c>
      <c r="F7389" s="17" t="str">
        <f>IFERROR(__xludf.DUMMYFUNCTION("""COMPUTED_VALUE"""),"CRA 9 # 16-9 MANZANA 28 CASA 2 CONJUNTO MIRADOR DE LAS LOMAS - BARRIO LA FLORIDA VILLAMARIA CALDAS")</f>
        <v>CRA 9 # 16-9 MANZANA 28 CASA 2 CONJUNTO MIRADOR DE LAS LOMAS - BARRIO LA FLORIDA VILLAMARIA CALDAS</v>
      </c>
      <c r="G7389" s="15" t="str">
        <f>IFERROR(__xludf.DUMMYFUNCTION("""COMPUTED_VALUE"""),"ANA MARIA GARZON")</f>
        <v>ANA MARIA GARZON</v>
      </c>
      <c r="H7389" s="16">
        <f>IFERROR(__xludf.DUMMYFUNCTION("""COMPUTED_VALUE"""),16100.0)</f>
        <v>16100</v>
      </c>
      <c r="I7389" s="18">
        <f>IFERROR(__xludf.DUMMYFUNCTION("""COMPUTED_VALUE"""),12.0)</f>
        <v>12</v>
      </c>
      <c r="J7389" s="18">
        <f>IFERROR(__xludf.DUMMYFUNCTION("""COMPUTED_VALUE"""),37.0)</f>
        <v>37</v>
      </c>
      <c r="K7389" s="18">
        <f>IFERROR(__xludf.DUMMYFUNCTION("""COMPUTED_VALUE"""),20.0)</f>
        <v>20</v>
      </c>
      <c r="L7389" s="17">
        <f>IFERROR(__xludf.DUMMYFUNCTION("""COMPUTED_VALUE"""),3.21566191E9)</f>
        <v>3215661910</v>
      </c>
      <c r="M7389" s="17"/>
      <c r="N7389" s="17"/>
      <c r="O7389" s="17"/>
      <c r="P7389" s="17" t="b">
        <f>IFERROR(__xludf.DUMMYFUNCTION("""COMPUTED_VALUE"""),FALSE)</f>
        <v>0</v>
      </c>
      <c r="Q7389" s="20" t="str">
        <f>IFERROR(__xludf.DUMMYFUNCTION("""COMPUTED_VALUE"""),"")</f>
        <v/>
      </c>
      <c r="R7389" s="21" t="str">
        <f>IFERROR(__xludf.DUMMYFUNCTION("""COMPUTED_VALUE"""),"https://drive.google.com/file/d/1uGzMK8II-JvnVJI2FINi2nYco3Uub2ne/view?usp=drivesdk")</f>
        <v>https://drive.google.com/file/d/1uGzMK8II-JvnVJI2FINi2nYco3Uub2ne/view?usp=drivesdk</v>
      </c>
    </row>
    <row r="7390">
      <c r="A7390" s="15">
        <f>IFERROR(__xludf.DUMMYFUNCTION("""COMPUTED_VALUE"""),45209.0)</f>
        <v>45209</v>
      </c>
      <c r="B7390" s="16" t="str">
        <f>IFERROR(__xludf.DUMMYFUNCTION("""COMPUTED_VALUE"""),"Jhon Anderson Ceballos Hernandez")</f>
        <v>Jhon Anderson Ceballos Hernandez</v>
      </c>
      <c r="C7390" s="15" t="str">
        <f>IFERROR(__xludf.DUMMYFUNCTION("""COMPUTED_VALUE"""),"MANIZALES")</f>
        <v>MANIZALES</v>
      </c>
      <c r="D7390" s="15" t="str">
        <f>IFERROR(__xludf.DUMMYFUNCTION("""COMPUTED_VALUE"""),"BOGOTÁ")</f>
        <v>BOGOTÁ</v>
      </c>
      <c r="E7390" s="15" t="str">
        <f>IFERROR(__xludf.DUMMYFUNCTION("""COMPUTED_VALUE"""),"Evamazzita")</f>
        <v>Evamazzita</v>
      </c>
      <c r="F7390" s="17" t="str">
        <f>IFERROR(__xludf.DUMMYFUNCTION("""COMPUTED_VALUE"""),"cra 22A # 70-60 / San Rafael")</f>
        <v>cra 22A # 70-60 / San Rafael</v>
      </c>
      <c r="G7390" s="15" t="str">
        <f>IFERROR(__xludf.DUMMYFUNCTION("""COMPUTED_VALUE"""),"CAMILA OLARTE")</f>
        <v>CAMILA OLARTE</v>
      </c>
      <c r="H7390" s="16">
        <f>IFERROR(__xludf.DUMMYFUNCTION("""COMPUTED_VALUE"""),16153.0)</f>
        <v>16153</v>
      </c>
      <c r="I7390" s="18">
        <f>IFERROR(__xludf.DUMMYFUNCTION("""COMPUTED_VALUE"""),1.0)</f>
        <v>1</v>
      </c>
      <c r="J7390" s="18">
        <f>IFERROR(__xludf.DUMMYFUNCTION("""COMPUTED_VALUE"""),1.0)</f>
        <v>1</v>
      </c>
      <c r="K7390" s="18">
        <f>IFERROR(__xludf.DUMMYFUNCTION("""COMPUTED_VALUE"""),1.0)</f>
        <v>1</v>
      </c>
      <c r="L7390" s="17">
        <f>IFERROR(__xludf.DUMMYFUNCTION("""COMPUTED_VALUE"""),3.004445331E9)</f>
        <v>3004445331</v>
      </c>
      <c r="M7390" s="17"/>
      <c r="N7390" s="17"/>
      <c r="O7390" s="17"/>
      <c r="P7390" s="17" t="b">
        <f>IFERROR(__xludf.DUMMYFUNCTION("""COMPUTED_VALUE"""),FALSE)</f>
        <v>0</v>
      </c>
      <c r="Q7390" s="20" t="str">
        <f>IFERROR(__xludf.DUMMYFUNCTION("""COMPUTED_VALUE"""),"")</f>
        <v/>
      </c>
      <c r="R7390" s="21" t="str">
        <f>IFERROR(__xludf.DUMMYFUNCTION("""COMPUTED_VALUE"""),"https://drive.google.com/file/d/1AEfLHLKkI1cZBvpySk08ol8iRmW7Vc6t/view?usp=drivesdk")</f>
        <v>https://drive.google.com/file/d/1AEfLHLKkI1cZBvpySk08ol8iRmW7Vc6t/view?usp=drivesdk</v>
      </c>
    </row>
    <row r="7391">
      <c r="A7391" s="15">
        <f>IFERROR(__xludf.DUMMYFUNCTION("""COMPUTED_VALUE"""),45209.0)</f>
        <v>45209</v>
      </c>
      <c r="B7391" s="16" t="str">
        <f>IFERROR(__xludf.DUMMYFUNCTION("""COMPUTED_VALUE"""),"Jhon Anderson Ceballos Hernandez")</f>
        <v>Jhon Anderson Ceballos Hernandez</v>
      </c>
      <c r="C7391" s="15" t="str">
        <f>IFERROR(__xludf.DUMMYFUNCTION("""COMPUTED_VALUE"""),"MANIZALES")</f>
        <v>MANIZALES</v>
      </c>
      <c r="D7391" s="15" t="str">
        <f>IFERROR(__xludf.DUMMYFUNCTION("""COMPUTED_VALUE"""),"BOGOTÁ")</f>
        <v>BOGOTÁ</v>
      </c>
      <c r="E7391" s="15" t="str">
        <f>IFERROR(__xludf.DUMMYFUNCTION("""COMPUTED_VALUE"""),"Evamazzita")</f>
        <v>Evamazzita</v>
      </c>
      <c r="F7391" s="17" t="str">
        <f>IFERROR(__xludf.DUMMYFUNCTION("""COMPUTED_VALUE"""),"CRA 23A No. 74 - 238 / TORRE B APTO 505 TORRES DE POSITANO")</f>
        <v>CRA 23A No. 74 - 238 / TORRE B APTO 505 TORRES DE POSITANO</v>
      </c>
      <c r="G7391" s="15" t="str">
        <f>IFERROR(__xludf.DUMMYFUNCTION("""COMPUTED_VALUE"""),"LINA BURITICA")</f>
        <v>LINA BURITICA</v>
      </c>
      <c r="H7391" s="16">
        <f>IFERROR(__xludf.DUMMYFUNCTION("""COMPUTED_VALUE"""),16154.0)</f>
        <v>16154</v>
      </c>
      <c r="I7391" s="18">
        <f>IFERROR(__xludf.DUMMYFUNCTION("""COMPUTED_VALUE"""),1.0)</f>
        <v>1</v>
      </c>
      <c r="J7391" s="18">
        <f>IFERROR(__xludf.DUMMYFUNCTION("""COMPUTED_VALUE"""),1.0)</f>
        <v>1</v>
      </c>
      <c r="K7391" s="18">
        <f>IFERROR(__xludf.DUMMYFUNCTION("""COMPUTED_VALUE"""),1.0)</f>
        <v>1</v>
      </c>
      <c r="L7391" s="17">
        <f>IFERROR(__xludf.DUMMYFUNCTION("""COMPUTED_VALUE"""),3.137133231E9)</f>
        <v>3137133231</v>
      </c>
      <c r="M7391" s="17"/>
      <c r="N7391" s="17"/>
      <c r="O7391" s="17"/>
      <c r="P7391" s="17" t="b">
        <f>IFERROR(__xludf.DUMMYFUNCTION("""COMPUTED_VALUE"""),FALSE)</f>
        <v>0</v>
      </c>
      <c r="Q7391" s="20" t="str">
        <f>IFERROR(__xludf.DUMMYFUNCTION("""COMPUTED_VALUE"""),"")</f>
        <v/>
      </c>
      <c r="R7391" s="21" t="str">
        <f>IFERROR(__xludf.DUMMYFUNCTION("""COMPUTED_VALUE"""),"https://drive.google.com/file/d/17JIFiIVeHTagofxcM2gS69u4nP7RKR9S/view?usp=drivesdk")</f>
        <v>https://drive.google.com/file/d/17JIFiIVeHTagofxcM2gS69u4nP7RKR9S/view?usp=drivesdk</v>
      </c>
    </row>
    <row r="7392">
      <c r="A7392" s="15">
        <f>IFERROR(__xludf.DUMMYFUNCTION("""COMPUTED_VALUE"""),45209.0)</f>
        <v>45209</v>
      </c>
      <c r="B7392" s="16" t="str">
        <f>IFERROR(__xludf.DUMMYFUNCTION("""COMPUTED_VALUE"""),"Jhon Anderson Ceballos Hernandez")</f>
        <v>Jhon Anderson Ceballos Hernandez</v>
      </c>
      <c r="C7392" s="15" t="str">
        <f>IFERROR(__xludf.DUMMYFUNCTION("""COMPUTED_VALUE"""),"MEDELLÍN")</f>
        <v>MEDELLÍN</v>
      </c>
      <c r="D7392" s="15" t="str">
        <f>IFERROR(__xludf.DUMMYFUNCTION("""COMPUTED_VALUE"""),"BOGOTÁ")</f>
        <v>BOGOTÁ</v>
      </c>
      <c r="E7392" s="15" t="str">
        <f>IFERROR(__xludf.DUMMYFUNCTION("""COMPUTED_VALUE"""),"Viiva Fermentados")</f>
        <v>Viiva Fermentados</v>
      </c>
      <c r="F7392" s="17" t="str">
        <f>IFERROR(__xludf.DUMMYFUNCTION("""COMPUTED_VALUE"""),"Transversal 39b#77-48 / int 302 / Laureles")</f>
        <v>Transversal 39b#77-48 / int 302 / Laureles</v>
      </c>
      <c r="G7392" s="15" t="str">
        <f>IFERROR(__xludf.DUMMYFUNCTION("""COMPUTED_VALUE"""),"VITA INTEGRAL SAS")</f>
        <v>VITA INTEGRAL SAS</v>
      </c>
      <c r="H7392" s="16">
        <f>IFERROR(__xludf.DUMMYFUNCTION("""COMPUTED_VALUE"""),16107.0)</f>
        <v>16107</v>
      </c>
      <c r="I7392" s="18">
        <f>IFERROR(__xludf.DUMMYFUNCTION("""COMPUTED_VALUE"""),24.0)</f>
        <v>24</v>
      </c>
      <c r="J7392" s="18">
        <f>IFERROR(__xludf.DUMMYFUNCTION("""COMPUTED_VALUE"""),36.0)</f>
        <v>36</v>
      </c>
      <c r="K7392" s="18">
        <f>IFERROR(__xludf.DUMMYFUNCTION("""COMPUTED_VALUE"""),24.0)</f>
        <v>24</v>
      </c>
      <c r="L7392" s="17">
        <f>IFERROR(__xludf.DUMMYFUNCTION("""COMPUTED_VALUE"""),3.188473468E9)</f>
        <v>3188473468</v>
      </c>
      <c r="M7392" s="17"/>
      <c r="N7392" s="17"/>
      <c r="O7392" s="17"/>
      <c r="P7392" s="17" t="b">
        <f>IFERROR(__xludf.DUMMYFUNCTION("""COMPUTED_VALUE"""),FALSE)</f>
        <v>0</v>
      </c>
      <c r="Q7392" s="20" t="str">
        <f>IFERROR(__xludf.DUMMYFUNCTION("""COMPUTED_VALUE"""),"")</f>
        <v/>
      </c>
      <c r="R7392" s="21" t="str">
        <f>IFERROR(__xludf.DUMMYFUNCTION("""COMPUTED_VALUE"""),"https://drive.google.com/file/d/1ZOADdAAbi3SsaDwYnc8wZ9K5OtGW_vFl/view?usp=drivesdk")</f>
        <v>https://drive.google.com/file/d/1ZOADdAAbi3SsaDwYnc8wZ9K5OtGW_vFl/view?usp=drivesdk</v>
      </c>
    </row>
    <row r="7393">
      <c r="A7393" s="15">
        <f>IFERROR(__xludf.DUMMYFUNCTION("""COMPUTED_VALUE"""),45209.0)</f>
        <v>45209</v>
      </c>
      <c r="B7393" s="16" t="str">
        <f>IFERROR(__xludf.DUMMYFUNCTION("""COMPUTED_VALUE"""),"Jhon Anderson Ceballos Hernandez")</f>
        <v>Jhon Anderson Ceballos Hernandez</v>
      </c>
      <c r="C7393" s="15" t="str">
        <f>IFERROR(__xludf.DUMMYFUNCTION("""COMPUTED_VALUE"""),"RIONEGRO")</f>
        <v>RIONEGRO</v>
      </c>
      <c r="D7393" s="15" t="str">
        <f>IFERROR(__xludf.DUMMYFUNCTION("""COMPUTED_VALUE"""),"BOGOTÁ")</f>
        <v>BOGOTÁ</v>
      </c>
      <c r="E7393" s="15" t="str">
        <f>IFERROR(__xludf.DUMMYFUNCTION("""COMPUTED_VALUE"""),"Evamazzita")</f>
        <v>Evamazzita</v>
      </c>
      <c r="F7393" s="17" t="str">
        <f>IFERROR(__xludf.DUMMYFUNCTION("""COMPUTED_VALUE"""),"CRA 52A No. 60A -51 / SENDEROS DE SAN SEBASTIAN TORRE 1 APTO 702 BARRIO HORIZONTES")</f>
        <v>CRA 52A No. 60A -51 / SENDEROS DE SAN SEBASTIAN TORRE 1 APTO 702 BARRIO HORIZONTES</v>
      </c>
      <c r="G7393" s="15" t="str">
        <f>IFERROR(__xludf.DUMMYFUNCTION("""COMPUTED_VALUE"""),"ANGELA MARIA GIRALDO")</f>
        <v>ANGELA MARIA GIRALDO</v>
      </c>
      <c r="H7393" s="16">
        <f>IFERROR(__xludf.DUMMYFUNCTION("""COMPUTED_VALUE"""),16151.0)</f>
        <v>16151</v>
      </c>
      <c r="I7393" s="18">
        <f>IFERROR(__xludf.DUMMYFUNCTION("""COMPUTED_VALUE"""),1.0)</f>
        <v>1</v>
      </c>
      <c r="J7393" s="18">
        <f>IFERROR(__xludf.DUMMYFUNCTION("""COMPUTED_VALUE"""),1.0)</f>
        <v>1</v>
      </c>
      <c r="K7393" s="18">
        <f>IFERROR(__xludf.DUMMYFUNCTION("""COMPUTED_VALUE"""),1.0)</f>
        <v>1</v>
      </c>
      <c r="L7393" s="17">
        <f>IFERROR(__xludf.DUMMYFUNCTION("""COMPUTED_VALUE"""),3.006140932E9)</f>
        <v>3006140932</v>
      </c>
      <c r="M7393" s="17"/>
      <c r="N7393" s="17"/>
      <c r="O7393" s="17"/>
      <c r="P7393" s="17" t="b">
        <f>IFERROR(__xludf.DUMMYFUNCTION("""COMPUTED_VALUE"""),FALSE)</f>
        <v>0</v>
      </c>
      <c r="Q7393" s="20" t="str">
        <f>IFERROR(__xludf.DUMMYFUNCTION("""COMPUTED_VALUE"""),"")</f>
        <v/>
      </c>
      <c r="R7393" s="21" t="str">
        <f>IFERROR(__xludf.DUMMYFUNCTION("""COMPUTED_VALUE"""),"https://drive.google.com/file/d/1TN5xs8_wf6YRBiAhvxmLnGizbofK2u9K/view?usp=drivesdk")</f>
        <v>https://drive.google.com/file/d/1TN5xs8_wf6YRBiAhvxmLnGizbofK2u9K/view?usp=drivesdk</v>
      </c>
    </row>
    <row r="7394">
      <c r="A7394" s="17" t="str">
        <f>IFERROR(__xludf.DUMMYFUNCTION("""COMPUTED_VALUE"""),"")</f>
        <v/>
      </c>
      <c r="B7394" s="17" t="str">
        <f>IFERROR(__xludf.DUMMYFUNCTION("""COMPUTED_VALUE"""),"")</f>
        <v/>
      </c>
      <c r="C7394" s="17" t="str">
        <f>IFERROR(__xludf.DUMMYFUNCTION("""COMPUTED_VALUE"""),"")</f>
        <v/>
      </c>
      <c r="D7394" s="17" t="str">
        <f>IFERROR(__xludf.DUMMYFUNCTION("""COMPUTED_VALUE"""),"")</f>
        <v/>
      </c>
      <c r="E7394" s="17" t="str">
        <f>IFERROR(__xludf.DUMMYFUNCTION("""COMPUTED_VALUE"""),"")</f>
        <v/>
      </c>
      <c r="F7394" s="17" t="str">
        <f>IFERROR(__xludf.DUMMYFUNCTION("""COMPUTED_VALUE"""),"")</f>
        <v/>
      </c>
      <c r="G7394" s="17" t="str">
        <f>IFERROR(__xludf.DUMMYFUNCTION("""COMPUTED_VALUE"""),"")</f>
        <v/>
      </c>
      <c r="H7394" s="17" t="str">
        <f>IFERROR(__xludf.DUMMYFUNCTION("""COMPUTED_VALUE"""),"")</f>
        <v/>
      </c>
      <c r="I7394" s="17" t="str">
        <f>IFERROR(__xludf.DUMMYFUNCTION("""COMPUTED_VALUE"""),"")</f>
        <v/>
      </c>
      <c r="J7394" s="17" t="str">
        <f>IFERROR(__xludf.DUMMYFUNCTION("""COMPUTED_VALUE"""),"")</f>
        <v/>
      </c>
      <c r="K7394" s="17" t="str">
        <f>IFERROR(__xludf.DUMMYFUNCTION("""COMPUTED_VALUE"""),"")</f>
        <v/>
      </c>
      <c r="L7394" s="17" t="str">
        <f>IFERROR(__xludf.DUMMYFUNCTION("""COMPUTED_VALUE"""),"")</f>
        <v/>
      </c>
      <c r="M7394" s="17" t="str">
        <f>IFERROR(__xludf.DUMMYFUNCTION("""COMPUTED_VALUE"""),"")</f>
        <v/>
      </c>
      <c r="N7394" s="17" t="str">
        <f>IFERROR(__xludf.DUMMYFUNCTION("""COMPUTED_VALUE"""),"")</f>
        <v/>
      </c>
      <c r="O7394" s="17" t="str">
        <f>IFERROR(__xludf.DUMMYFUNCTION("""COMPUTED_VALUE"""),"")</f>
        <v/>
      </c>
      <c r="P7394" s="17" t="str">
        <f>IFERROR(__xludf.DUMMYFUNCTION("""COMPUTED_VALUE"""),"")</f>
        <v/>
      </c>
      <c r="Q7394" s="17" t="str">
        <f>IFERROR(__xludf.DUMMYFUNCTION("""COMPUTED_VALUE"""),"")</f>
        <v/>
      </c>
      <c r="R7394" s="17" t="str">
        <f>IFERROR(__xludf.DUMMYFUNCTION("""COMPUTED_VALUE"""),"")</f>
        <v/>
      </c>
    </row>
    <row r="7395">
      <c r="A7395" s="15">
        <f>IFERROR(__xludf.DUMMYFUNCTION("""COMPUTED_VALUE"""),45209.0)</f>
        <v>45209</v>
      </c>
      <c r="B7395" s="16" t="str">
        <f>IFERROR(__xludf.DUMMYFUNCTION("""COMPUTED_VALUE"""),"Johan Alexander Escobar Arroyo ")</f>
        <v>Johan Alexander Escobar Arroyo </v>
      </c>
      <c r="C7395" s="15" t="str">
        <f>IFERROR(__xludf.DUMMYFUNCTION("""COMPUTED_VALUE"""),"CALI")</f>
        <v>CALI</v>
      </c>
      <c r="D7395" s="15" t="str">
        <f>IFERROR(__xludf.DUMMYFUNCTION("""COMPUTED_VALUE"""),"BOGOTÁ")</f>
        <v>BOGOTÁ</v>
      </c>
      <c r="E7395" s="15" t="str">
        <f>IFERROR(__xludf.DUMMYFUNCTION("""COMPUTED_VALUE"""),"Asociacion Agropecuaria Juana Maria")</f>
        <v>Asociacion Agropecuaria Juana Maria</v>
      </c>
      <c r="F7395" s="17" t="str">
        <f>IFERROR(__xludf.DUMMYFUNCTION("""COMPUTED_VALUE"""),"Carrera 17B # 33E-33 La Floresta vieja")</f>
        <v>Carrera 17B # 33E-33 La Floresta vieja</v>
      </c>
      <c r="G7395" s="15" t="str">
        <f>IFERROR(__xludf.DUMMYFUNCTION("""COMPUTED_VALUE"""),"Johanna acuña  Molina")</f>
        <v>Johanna acuña  Molina</v>
      </c>
      <c r="H7395" s="16">
        <f>IFERROR(__xludf.DUMMYFUNCTION("""COMPUTED_VALUE"""),16099.0)</f>
        <v>16099</v>
      </c>
      <c r="I7395" s="18">
        <f>IFERROR(__xludf.DUMMYFUNCTION("""COMPUTED_VALUE"""),16.0)</f>
        <v>16</v>
      </c>
      <c r="J7395" s="18">
        <f>IFERROR(__xludf.DUMMYFUNCTION("""COMPUTED_VALUE"""),34.0)</f>
        <v>34</v>
      </c>
      <c r="K7395" s="18">
        <f>IFERROR(__xludf.DUMMYFUNCTION("""COMPUTED_VALUE"""),25.0)</f>
        <v>25</v>
      </c>
      <c r="L7395" s="17">
        <f>IFERROR(__xludf.DUMMYFUNCTION("""COMPUTED_VALUE"""),3.218700343E9)</f>
        <v>3218700343</v>
      </c>
      <c r="M7395" s="17"/>
      <c r="N7395" s="17"/>
      <c r="O7395" s="17"/>
      <c r="P7395" s="17" t="b">
        <f>IFERROR(__xludf.DUMMYFUNCTION("""COMPUTED_VALUE"""),FALSE)</f>
        <v>0</v>
      </c>
      <c r="Q7395" s="20" t="str">
        <f>IFERROR(__xludf.DUMMYFUNCTION("""COMPUTED_VALUE"""),"")</f>
        <v/>
      </c>
      <c r="R7395" s="21" t="str">
        <f>IFERROR(__xludf.DUMMYFUNCTION("""COMPUTED_VALUE"""),"https://drive.google.com/file/d/12M29BE1Lx3lgorb4j0Dz6lzz4jKwWenJ/view?usp=drivesdk")</f>
        <v>https://drive.google.com/file/d/12M29BE1Lx3lgorb4j0Dz6lzz4jKwWenJ/view?usp=drivesdk</v>
      </c>
    </row>
    <row r="7396">
      <c r="A7396" s="15">
        <f>IFERROR(__xludf.DUMMYFUNCTION("""COMPUTED_VALUE"""),45209.0)</f>
        <v>45209</v>
      </c>
      <c r="B7396" s="16" t="str">
        <f>IFERROR(__xludf.DUMMYFUNCTION("""COMPUTED_VALUE"""),"Johan Alexander Escobar Arroyo ")</f>
        <v>Johan Alexander Escobar Arroyo </v>
      </c>
      <c r="C7396" s="15" t="str">
        <f>IFERROR(__xludf.DUMMYFUNCTION("""COMPUTED_VALUE"""),"CALI")</f>
        <v>CALI</v>
      </c>
      <c r="D7396" s="15" t="str">
        <f>IFERROR(__xludf.DUMMYFUNCTION("""COMPUTED_VALUE"""),"BOGOTÁ")</f>
        <v>BOGOTÁ</v>
      </c>
      <c r="E7396" s="15" t="str">
        <f>IFERROR(__xludf.DUMMYFUNCTION("""COMPUTED_VALUE"""),"Athenas")</f>
        <v>Athenas</v>
      </c>
      <c r="F7396" s="17" t="str">
        <f>IFERROR(__xludf.DUMMYFUNCTION("""COMPUTED_VALUE"""),"Carrera 98 #16-200 C.C.Jardín Plaza / Bodytech - Cafeteria / Ciudad Jardin")</f>
        <v>Carrera 98 #16-200 C.C.Jardín Plaza / Bodytech - Cafeteria / Ciudad Jardin</v>
      </c>
      <c r="G7396" s="15" t="str">
        <f>IFERROR(__xludf.DUMMYFUNCTION("""COMPUTED_VALUE"""),"JORGE PARRA")</f>
        <v>JORGE PARRA</v>
      </c>
      <c r="H7396" s="16">
        <f>IFERROR(__xludf.DUMMYFUNCTION("""COMPUTED_VALUE"""),16114.0)</f>
        <v>16114</v>
      </c>
      <c r="I7396" s="18" t="str">
        <f>IFERROR(__xludf.DUMMYFUNCTION("""COMPUTED_VALUE"""),"52.5")</f>
        <v>52.5</v>
      </c>
      <c r="J7396" s="18">
        <f>IFERROR(__xludf.DUMMYFUNCTION("""COMPUTED_VALUE"""),55.0)</f>
        <v>55</v>
      </c>
      <c r="K7396" s="18">
        <f>IFERROR(__xludf.DUMMYFUNCTION("""COMPUTED_VALUE"""),45.0)</f>
        <v>45</v>
      </c>
      <c r="L7396" s="17">
        <f>IFERROR(__xludf.DUMMYFUNCTION("""COMPUTED_VALUE"""),3.246801614E9)</f>
        <v>3246801614</v>
      </c>
      <c r="M7396" s="17"/>
      <c r="N7396" s="17"/>
      <c r="O7396" s="17"/>
      <c r="P7396" s="17" t="b">
        <f>IFERROR(__xludf.DUMMYFUNCTION("""COMPUTED_VALUE"""),FALSE)</f>
        <v>0</v>
      </c>
      <c r="Q7396" s="20" t="str">
        <f>IFERROR(__xludf.DUMMYFUNCTION("""COMPUTED_VALUE"""),"")</f>
        <v/>
      </c>
      <c r="R7396" s="21" t="str">
        <f>IFERROR(__xludf.DUMMYFUNCTION("""COMPUTED_VALUE"""),"https://drive.google.com/file/d/1PQZC-iH5ScdvqQawDHvi6QZgRxuavs22/view?usp=drivesdk")</f>
        <v>https://drive.google.com/file/d/1PQZC-iH5ScdvqQawDHvi6QZgRxuavs22/view?usp=drivesdk</v>
      </c>
    </row>
    <row r="7397">
      <c r="A7397" s="15">
        <f>IFERROR(__xludf.DUMMYFUNCTION("""COMPUTED_VALUE"""),45209.0)</f>
        <v>45209</v>
      </c>
      <c r="B7397" s="16" t="str">
        <f>IFERROR(__xludf.DUMMYFUNCTION("""COMPUTED_VALUE"""),"Johan Alexander Escobar Arroyo ")</f>
        <v>Johan Alexander Escobar Arroyo </v>
      </c>
      <c r="C7397" s="15" t="str">
        <f>IFERROR(__xludf.DUMMYFUNCTION("""COMPUTED_VALUE"""),"CALI")</f>
        <v>CALI</v>
      </c>
      <c r="D7397" s="15" t="str">
        <f>IFERROR(__xludf.DUMMYFUNCTION("""COMPUTED_VALUE"""),"BOGOTÁ")</f>
        <v>BOGOTÁ</v>
      </c>
      <c r="E7397" s="15" t="str">
        <f>IFERROR(__xludf.DUMMYFUNCTION("""COMPUTED_VALUE"""),"Evamazzita")</f>
        <v>Evamazzita</v>
      </c>
      <c r="F7397" s="17" t="str">
        <f>IFERROR(__xludf.DUMMYFUNCTION("""COMPUTED_VALUE"""),"CALLE 60B No. 4D BIS - 41 / CALLE 60B No. 4D BIS - 41")</f>
        <v>CALLE 60B No. 4D BIS - 41 / CALLE 60B No. 4D BIS - 41</v>
      </c>
      <c r="G7397" s="15" t="str">
        <f>IFERROR(__xludf.DUMMYFUNCTION("""COMPUTED_VALUE"""),"GLORIA PERLAZA")</f>
        <v>GLORIA PERLAZA</v>
      </c>
      <c r="H7397" s="16">
        <f>IFERROR(__xludf.DUMMYFUNCTION("""COMPUTED_VALUE"""),16159.0)</f>
        <v>16159</v>
      </c>
      <c r="I7397" s="18">
        <f>IFERROR(__xludf.DUMMYFUNCTION("""COMPUTED_VALUE"""),1.0)</f>
        <v>1</v>
      </c>
      <c r="J7397" s="18">
        <f>IFERROR(__xludf.DUMMYFUNCTION("""COMPUTED_VALUE"""),1.0)</f>
        <v>1</v>
      </c>
      <c r="K7397" s="18">
        <f>IFERROR(__xludf.DUMMYFUNCTION("""COMPUTED_VALUE"""),1.0)</f>
        <v>1</v>
      </c>
      <c r="L7397" s="17">
        <f>IFERROR(__xludf.DUMMYFUNCTION("""COMPUTED_VALUE"""),3.045777494E9)</f>
        <v>3045777494</v>
      </c>
      <c r="M7397" s="17"/>
      <c r="N7397" s="17"/>
      <c r="O7397" s="17"/>
      <c r="P7397" s="17" t="b">
        <f>IFERROR(__xludf.DUMMYFUNCTION("""COMPUTED_VALUE"""),FALSE)</f>
        <v>0</v>
      </c>
      <c r="Q7397" s="20" t="str">
        <f>IFERROR(__xludf.DUMMYFUNCTION("""COMPUTED_VALUE"""),"")</f>
        <v/>
      </c>
      <c r="R7397" s="21" t="str">
        <f>IFERROR(__xludf.DUMMYFUNCTION("""COMPUTED_VALUE"""),"https://drive.google.com/file/d/1HKCVhtQRTwTmEL-Qgni9QgFZ5BUS5-Qe/view?usp=drivesdk")</f>
        <v>https://drive.google.com/file/d/1HKCVhtQRTwTmEL-Qgni9QgFZ5BUS5-Qe/view?usp=drivesdk</v>
      </c>
    </row>
    <row r="7398">
      <c r="A7398" s="15">
        <f>IFERROR(__xludf.DUMMYFUNCTION("""COMPUTED_VALUE"""),45209.0)</f>
        <v>45209</v>
      </c>
      <c r="B7398" s="16" t="str">
        <f>IFERROR(__xludf.DUMMYFUNCTION("""COMPUTED_VALUE"""),"Johan Alexander Escobar Arroyo ")</f>
        <v>Johan Alexander Escobar Arroyo </v>
      </c>
      <c r="C7398" s="15" t="str">
        <f>IFERROR(__xludf.DUMMYFUNCTION("""COMPUTED_VALUE"""),"CALI")</f>
        <v>CALI</v>
      </c>
      <c r="D7398" s="15" t="str">
        <f>IFERROR(__xludf.DUMMYFUNCTION("""COMPUTED_VALUE"""),"BOGOTÁ")</f>
        <v>BOGOTÁ</v>
      </c>
      <c r="E7398" s="15" t="str">
        <f>IFERROR(__xludf.DUMMYFUNCTION("""COMPUTED_VALUE"""),"Evamazzita")</f>
        <v>Evamazzita</v>
      </c>
      <c r="F7398" s="17" t="str">
        <f>IFERROR(__xludf.DUMMYFUNCTION("""COMPUTED_VALUE"""),"carrera 5 # 17-46 / carrera 5 # 17-46")</f>
        <v>carrera 5 # 17-46 / carrera 5 # 17-46</v>
      </c>
      <c r="G7398" s="15" t="str">
        <f>IFERROR(__xludf.DUMMYFUNCTION("""COMPUTED_VALUE"""),"ANA MARIA QUINTERO CASTAÑO")</f>
        <v>ANA MARIA QUINTERO CASTAÑO</v>
      </c>
      <c r="H7398" s="16">
        <f>IFERROR(__xludf.DUMMYFUNCTION("""COMPUTED_VALUE"""),16162.0)</f>
        <v>16162</v>
      </c>
      <c r="I7398" s="18">
        <f>IFERROR(__xludf.DUMMYFUNCTION("""COMPUTED_VALUE"""),1.0)</f>
        <v>1</v>
      </c>
      <c r="J7398" s="18">
        <f>IFERROR(__xludf.DUMMYFUNCTION("""COMPUTED_VALUE"""),1.0)</f>
        <v>1</v>
      </c>
      <c r="K7398" s="18">
        <f>IFERROR(__xludf.DUMMYFUNCTION("""COMPUTED_VALUE"""),1.0)</f>
        <v>1</v>
      </c>
      <c r="L7398" s="17">
        <f>IFERROR(__xludf.DUMMYFUNCTION("""COMPUTED_VALUE"""),3.21589384E9)</f>
        <v>3215893840</v>
      </c>
      <c r="M7398" s="17"/>
      <c r="N7398" s="17"/>
      <c r="O7398" s="17"/>
      <c r="P7398" s="17" t="b">
        <f>IFERROR(__xludf.DUMMYFUNCTION("""COMPUTED_VALUE"""),FALSE)</f>
        <v>0</v>
      </c>
      <c r="Q7398" s="20" t="str">
        <f>IFERROR(__xludf.DUMMYFUNCTION("""COMPUTED_VALUE"""),"")</f>
        <v/>
      </c>
      <c r="R7398" s="21" t="str">
        <f>IFERROR(__xludf.DUMMYFUNCTION("""COMPUTED_VALUE"""),"https://drive.google.com/file/d/1fhBDHDC_2B-GuUpJrTOs-qltKgyT9CZ_/view?usp=drivesdk")</f>
        <v>https://drive.google.com/file/d/1fhBDHDC_2B-GuUpJrTOs-qltKgyT9CZ_/view?usp=drivesdk</v>
      </c>
    </row>
    <row r="7399">
      <c r="A7399" s="15">
        <f>IFERROR(__xludf.DUMMYFUNCTION("""COMPUTED_VALUE"""),45209.0)</f>
        <v>45209</v>
      </c>
      <c r="B7399" s="16" t="str">
        <f>IFERROR(__xludf.DUMMYFUNCTION("""COMPUTED_VALUE"""),"Johan Alexander Escobar Arroyo ")</f>
        <v>Johan Alexander Escobar Arroyo </v>
      </c>
      <c r="C7399" s="15" t="str">
        <f>IFERROR(__xludf.DUMMYFUNCTION("""COMPUTED_VALUE"""),"CALI")</f>
        <v>CALI</v>
      </c>
      <c r="D7399" s="15" t="str">
        <f>IFERROR(__xludf.DUMMYFUNCTION("""COMPUTED_VALUE"""),"BOGOTÁ")</f>
        <v>BOGOTÁ</v>
      </c>
      <c r="E7399" s="15" t="str">
        <f>IFERROR(__xludf.DUMMYFUNCTION("""COMPUTED_VALUE"""),"Evamazzita")</f>
        <v>Evamazzita</v>
      </c>
      <c r="F7399" s="17" t="str">
        <f>IFERROR(__xludf.DUMMYFUNCTION("""COMPUTED_VALUE"""),"Cra 64 a # 14-75. Casa 47 / Conjunto cañamiel Barrio limonar")</f>
        <v>Cra 64 a # 14-75. Casa 47 / Conjunto cañamiel Barrio limonar</v>
      </c>
      <c r="G7399" s="15" t="str">
        <f>IFERROR(__xludf.DUMMYFUNCTION("""COMPUTED_VALUE"""),"ANGELA MARIA LOPEZ")</f>
        <v>ANGELA MARIA LOPEZ</v>
      </c>
      <c r="H7399" s="16">
        <f>IFERROR(__xludf.DUMMYFUNCTION("""COMPUTED_VALUE"""),16161.0)</f>
        <v>16161</v>
      </c>
      <c r="I7399" s="18">
        <f>IFERROR(__xludf.DUMMYFUNCTION("""COMPUTED_VALUE"""),1.0)</f>
        <v>1</v>
      </c>
      <c r="J7399" s="18">
        <f>IFERROR(__xludf.DUMMYFUNCTION("""COMPUTED_VALUE"""),1.0)</f>
        <v>1</v>
      </c>
      <c r="K7399" s="18">
        <f>IFERROR(__xludf.DUMMYFUNCTION("""COMPUTED_VALUE"""),1.0)</f>
        <v>1</v>
      </c>
      <c r="L7399" s="17">
        <f>IFERROR(__xludf.DUMMYFUNCTION("""COMPUTED_VALUE"""),3.164688197E9)</f>
        <v>3164688197</v>
      </c>
      <c r="M7399" s="17"/>
      <c r="N7399" s="17"/>
      <c r="O7399" s="17"/>
      <c r="P7399" s="17" t="b">
        <f>IFERROR(__xludf.DUMMYFUNCTION("""COMPUTED_VALUE"""),FALSE)</f>
        <v>0</v>
      </c>
      <c r="Q7399" s="20" t="str">
        <f>IFERROR(__xludf.DUMMYFUNCTION("""COMPUTED_VALUE"""),"")</f>
        <v/>
      </c>
      <c r="R7399" s="21" t="str">
        <f>IFERROR(__xludf.DUMMYFUNCTION("""COMPUTED_VALUE"""),"https://drive.google.com/file/d/1NOoBguYOw-j3FmhcY-6UZdESy-6QFen6/view?usp=drivesdk")</f>
        <v>https://drive.google.com/file/d/1NOoBguYOw-j3FmhcY-6UZdESy-6QFen6/view?usp=drivesdk</v>
      </c>
    </row>
    <row r="7400">
      <c r="A7400" s="15">
        <f>IFERROR(__xludf.DUMMYFUNCTION("""COMPUTED_VALUE"""),45209.0)</f>
        <v>45209</v>
      </c>
      <c r="B7400" s="16" t="str">
        <f>IFERROR(__xludf.DUMMYFUNCTION("""COMPUTED_VALUE"""),"Johan Alexander Escobar Arroyo ")</f>
        <v>Johan Alexander Escobar Arroyo </v>
      </c>
      <c r="C7400" s="15" t="str">
        <f>IFERROR(__xludf.DUMMYFUNCTION("""COMPUTED_VALUE"""),"CALI")</f>
        <v>CALI</v>
      </c>
      <c r="D7400" s="15" t="str">
        <f>IFERROR(__xludf.DUMMYFUNCTION("""COMPUTED_VALUE"""),"BOGOTÁ")</f>
        <v>BOGOTÁ</v>
      </c>
      <c r="E7400" s="15" t="str">
        <f>IFERROR(__xludf.DUMMYFUNCTION("""COMPUTED_VALUE"""),"Evamazzita")</f>
        <v>Evamazzita</v>
      </c>
      <c r="F7400" s="17" t="str">
        <f>IFERROR(__xludf.DUMMYFUNCTION("""COMPUTED_VALUE"""),"Cra 79 #13B-110 / Apto B101 Torres de Santorino Barrio Quintas de Don Simón")</f>
        <v>Cra 79 #13B-110 / Apto B101 Torres de Santorino Barrio Quintas de Don Simón</v>
      </c>
      <c r="G7400" s="15" t="str">
        <f>IFERROR(__xludf.DUMMYFUNCTION("""COMPUTED_VALUE"""),"TERESA FRANCO")</f>
        <v>TERESA FRANCO</v>
      </c>
      <c r="H7400" s="16">
        <f>IFERROR(__xludf.DUMMYFUNCTION("""COMPUTED_VALUE"""),16160.0)</f>
        <v>16160</v>
      </c>
      <c r="I7400" s="18">
        <f>IFERROR(__xludf.DUMMYFUNCTION("""COMPUTED_VALUE"""),1.0)</f>
        <v>1</v>
      </c>
      <c r="J7400" s="18">
        <f>IFERROR(__xludf.DUMMYFUNCTION("""COMPUTED_VALUE"""),1.0)</f>
        <v>1</v>
      </c>
      <c r="K7400" s="18">
        <f>IFERROR(__xludf.DUMMYFUNCTION("""COMPUTED_VALUE"""),1.0)</f>
        <v>1</v>
      </c>
      <c r="L7400" s="17">
        <f>IFERROR(__xludf.DUMMYFUNCTION("""COMPUTED_VALUE"""),3.164825347E9)</f>
        <v>3164825347</v>
      </c>
      <c r="M7400" s="17"/>
      <c r="N7400" s="17"/>
      <c r="O7400" s="17"/>
      <c r="P7400" s="17" t="b">
        <f>IFERROR(__xludf.DUMMYFUNCTION("""COMPUTED_VALUE"""),FALSE)</f>
        <v>0</v>
      </c>
      <c r="Q7400" s="20" t="str">
        <f>IFERROR(__xludf.DUMMYFUNCTION("""COMPUTED_VALUE"""),"")</f>
        <v/>
      </c>
      <c r="R7400" s="21" t="str">
        <f>IFERROR(__xludf.DUMMYFUNCTION("""COMPUTED_VALUE"""),"https://drive.google.com/file/d/1aAL-EgV61aAGUXM3Zb7sT6Kh9Dte1WaY/view?usp=drivesdk")</f>
        <v>https://drive.google.com/file/d/1aAL-EgV61aAGUXM3Zb7sT6Kh9Dte1WaY/view?usp=drivesdk</v>
      </c>
    </row>
    <row r="7401">
      <c r="A7401" s="15">
        <f>IFERROR(__xludf.DUMMYFUNCTION("""COMPUTED_VALUE"""),45209.0)</f>
        <v>45209</v>
      </c>
      <c r="B7401" s="16" t="str">
        <f>IFERROR(__xludf.DUMMYFUNCTION("""COMPUTED_VALUE"""),"Johan Alexander Escobar Arroyo ")</f>
        <v>Johan Alexander Escobar Arroyo </v>
      </c>
      <c r="C7401" s="15" t="str">
        <f>IFERROR(__xludf.DUMMYFUNCTION("""COMPUTED_VALUE"""),"CALI")</f>
        <v>CALI</v>
      </c>
      <c r="D7401" s="15" t="str">
        <f>IFERROR(__xludf.DUMMYFUNCTION("""COMPUTED_VALUE"""),"BOGOTÁ")</f>
        <v>BOGOTÁ</v>
      </c>
      <c r="E7401" s="15" t="str">
        <f>IFERROR(__xludf.DUMMYFUNCTION("""COMPUTED_VALUE"""),"Frubits")</f>
        <v>Frubits</v>
      </c>
      <c r="F7401" s="17" t="str">
        <f>IFERROR(__xludf.DUMMYFUNCTION("""COMPUTED_VALUE"""),"Dirección avenida 6 oeste # 5 oeste 93 , Edificio Saint Patrick apto 501 / Dirección avenida 6 oeste # 5 oeste 93 , Edificio Saint Patrick apto 501 / Dirección avenida 6 oeste # 5 oeste 93 , Edificio Saint Patrick apto 501")</f>
        <v>Dirección avenida 6 oeste # 5 oeste 93 , Edificio Saint Patrick apto 501 / Dirección avenida 6 oeste # 5 oeste 93 , Edificio Saint Patrick apto 501 / Dirección avenida 6 oeste # 5 oeste 93 , Edificio Saint Patrick apto 501</v>
      </c>
      <c r="G7401" s="15" t="str">
        <f>IFERROR(__xludf.DUMMYFUNCTION("""COMPUTED_VALUE"""),"Sebastian Montoya David")</f>
        <v>Sebastian Montoya David</v>
      </c>
      <c r="H7401" s="16">
        <f>IFERROR(__xludf.DUMMYFUNCTION("""COMPUTED_VALUE"""),16088.0)</f>
        <v>16088</v>
      </c>
      <c r="I7401" s="18">
        <f>IFERROR(__xludf.DUMMYFUNCTION("""COMPUTED_VALUE"""),32.0)</f>
        <v>32</v>
      </c>
      <c r="J7401" s="18">
        <f>IFERROR(__xludf.DUMMYFUNCTION("""COMPUTED_VALUE"""),45074.0)</f>
        <v>45074</v>
      </c>
      <c r="K7401" s="18" t="str">
        <f>IFERROR(__xludf.DUMMYFUNCTION("""COMPUTED_VALUE"""),"38.5")</f>
        <v>38.5</v>
      </c>
      <c r="L7401" s="17">
        <f>IFERROR(__xludf.DUMMYFUNCTION("""COMPUTED_VALUE"""),3.162430548E9)</f>
        <v>3162430548</v>
      </c>
      <c r="M7401" s="17"/>
      <c r="N7401" s="17"/>
      <c r="O7401" s="17"/>
      <c r="P7401" s="17" t="b">
        <f>IFERROR(__xludf.DUMMYFUNCTION("""COMPUTED_VALUE"""),FALSE)</f>
        <v>0</v>
      </c>
      <c r="Q7401" s="20" t="str">
        <f>IFERROR(__xludf.DUMMYFUNCTION("""COMPUTED_VALUE"""),"")</f>
        <v/>
      </c>
      <c r="R7401" s="21" t="str">
        <f>IFERROR(__xludf.DUMMYFUNCTION("""COMPUTED_VALUE"""),"https://drive.google.com/file/d/1lmDF00yCkxYZKELzQo-Gakl1VZPEx7Gg/view?usp=drivesdk")</f>
        <v>https://drive.google.com/file/d/1lmDF00yCkxYZKELzQo-Gakl1VZPEx7Gg/view?usp=drivesdk</v>
      </c>
    </row>
    <row r="7402">
      <c r="A7402" s="15">
        <f>IFERROR(__xludf.DUMMYFUNCTION("""COMPUTED_VALUE"""),45209.0)</f>
        <v>45209</v>
      </c>
      <c r="B7402" s="16" t="str">
        <f>IFERROR(__xludf.DUMMYFUNCTION("""COMPUTED_VALUE"""),"Johan Alexander Escobar Arroyo ")</f>
        <v>Johan Alexander Escobar Arroyo </v>
      </c>
      <c r="C7402" s="15" t="str">
        <f>IFERROR(__xludf.DUMMYFUNCTION("""COMPUTED_VALUE"""),"CALI")</f>
        <v>CALI</v>
      </c>
      <c r="D7402" s="15" t="str">
        <f>IFERROR(__xludf.DUMMYFUNCTION("""COMPUTED_VALUE"""),"BOGOTÁ")</f>
        <v>BOGOTÁ</v>
      </c>
      <c r="E7402" s="15" t="str">
        <f>IFERROR(__xludf.DUMMYFUNCTION("""COMPUTED_VALUE"""),"Karem foods")</f>
        <v>Karem foods</v>
      </c>
      <c r="F7402" s="17" t="str">
        <f>IFERROR(__xludf.DUMMYFUNCTION("""COMPUTED_VALUE"""),"AVE 6 OESTE NO. 5 OESTE - 200,  / TORRE 2, APTO 502  / -")</f>
        <v>AVE 6 OESTE NO. 5 OESTE - 200,  / TORRE 2, APTO 502  / -</v>
      </c>
      <c r="G7402" s="15" t="str">
        <f>IFERROR(__xludf.DUMMYFUNCTION("""COMPUTED_VALUE"""),"Maria Paula Lopez Velez")</f>
        <v>Maria Paula Lopez Velez</v>
      </c>
      <c r="H7402" s="16">
        <f>IFERROR(__xludf.DUMMYFUNCTION("""COMPUTED_VALUE"""),16166.0)</f>
        <v>16166</v>
      </c>
      <c r="I7402" s="18">
        <f>IFERROR(__xludf.DUMMYFUNCTION("""COMPUTED_VALUE"""),7.0)</f>
        <v>7</v>
      </c>
      <c r="J7402" s="18">
        <f>IFERROR(__xludf.DUMMYFUNCTION("""COMPUTED_VALUE"""),20.0)</f>
        <v>20</v>
      </c>
      <c r="K7402" s="18">
        <f>IFERROR(__xludf.DUMMYFUNCTION("""COMPUTED_VALUE"""),20.0)</f>
        <v>20</v>
      </c>
      <c r="L7402" s="17">
        <f>IFERROR(__xludf.DUMMYFUNCTION("""COMPUTED_VALUE"""),3.203416838E9)</f>
        <v>3203416838</v>
      </c>
      <c r="M7402" s="17"/>
      <c r="N7402" s="17"/>
      <c r="O7402" s="17"/>
      <c r="P7402" s="17" t="b">
        <f>IFERROR(__xludf.DUMMYFUNCTION("""COMPUTED_VALUE"""),TRUE)</f>
        <v>1</v>
      </c>
      <c r="Q7402" s="20">
        <f>IFERROR(__xludf.DUMMYFUNCTION("""COMPUTED_VALUE"""),45210.57082581018)</f>
        <v>45210.57083</v>
      </c>
      <c r="R7402" s="21" t="str">
        <f>IFERROR(__xludf.DUMMYFUNCTION("""COMPUTED_VALUE"""),"https://drive.google.com/file/d/1jKm1dWTpfMwx55nfPimlxo8twApyAeFw/view?usp=drivesdk")</f>
        <v>https://drive.google.com/file/d/1jKm1dWTpfMwx55nfPimlxo8twApyAeFw/view?usp=drivesdk</v>
      </c>
    </row>
    <row r="7403">
      <c r="A7403" s="15">
        <f>IFERROR(__xludf.DUMMYFUNCTION("""COMPUTED_VALUE"""),45209.0)</f>
        <v>45209</v>
      </c>
      <c r="B7403" s="16" t="str">
        <f>IFERROR(__xludf.DUMMYFUNCTION("""COMPUTED_VALUE"""),"Johan Alexander Escobar Arroyo ")</f>
        <v>Johan Alexander Escobar Arroyo </v>
      </c>
      <c r="C7403" s="15" t="str">
        <f>IFERROR(__xludf.DUMMYFUNCTION("""COMPUTED_VALUE"""),"CALI")</f>
        <v>CALI</v>
      </c>
      <c r="D7403" s="15" t="str">
        <f>IFERROR(__xludf.DUMMYFUNCTION("""COMPUTED_VALUE"""),"BOGOTÁ")</f>
        <v>BOGOTÁ</v>
      </c>
      <c r="E7403" s="15" t="str">
        <f>IFERROR(__xludf.DUMMYFUNCTION("""COMPUTED_VALUE"""),"Pan de Waffle")</f>
        <v>Pan de Waffle</v>
      </c>
      <c r="F7403" s="17" t="str">
        <f>IFERROR(__xludf.DUMMYFUNCTION("""COMPUTED_VALUE"""),"Calle 34 Norte # 2bn - 33 / Calle 34 Norte # 2bn - 33 / Calle 34 Norte # 2bn - 33")</f>
        <v>Calle 34 Norte # 2bn - 33 / Calle 34 Norte # 2bn - 33 / Calle 34 Norte # 2bn - 33</v>
      </c>
      <c r="G7403" s="15" t="str">
        <f>IFERROR(__xludf.DUMMYFUNCTION("""COMPUTED_VALUE"""),"FOODOLOGY CALI")</f>
        <v>FOODOLOGY CALI</v>
      </c>
      <c r="H7403" s="16">
        <f>IFERROR(__xludf.DUMMYFUNCTION("""COMPUTED_VALUE"""),16076.0)</f>
        <v>16076</v>
      </c>
      <c r="I7403" s="18">
        <f>IFERROR(__xludf.DUMMYFUNCTION("""COMPUTED_VALUE"""),40.0)</f>
        <v>40</v>
      </c>
      <c r="J7403" s="18">
        <f>IFERROR(__xludf.DUMMYFUNCTION("""COMPUTED_VALUE"""),40.0)</f>
        <v>40</v>
      </c>
      <c r="K7403" s="18">
        <f>IFERROR(__xludf.DUMMYFUNCTION("""COMPUTED_VALUE"""),30.0)</f>
        <v>30</v>
      </c>
      <c r="L7403" s="17">
        <f>IFERROR(__xludf.DUMMYFUNCTION("""COMPUTED_VALUE"""),3.158323233E9)</f>
        <v>3158323233</v>
      </c>
      <c r="M7403" s="17"/>
      <c r="N7403" s="17"/>
      <c r="O7403" s="17"/>
      <c r="P7403" s="17" t="b">
        <f>IFERROR(__xludf.DUMMYFUNCTION("""COMPUTED_VALUE"""),TRUE)</f>
        <v>1</v>
      </c>
      <c r="Q7403" s="20">
        <f>IFERROR(__xludf.DUMMYFUNCTION("""COMPUTED_VALUE"""),45210.65826752315)</f>
        <v>45210.65827</v>
      </c>
      <c r="R7403" s="21" t="str">
        <f>IFERROR(__xludf.DUMMYFUNCTION("""COMPUTED_VALUE"""),"https://drive.google.com/file/d/1z-Vokcc6rSl0VwVYFziycdgdCzA0NfC4/view?usp=drivesdk")</f>
        <v>https://drive.google.com/file/d/1z-Vokcc6rSl0VwVYFziycdgdCzA0NfC4/view?usp=drivesdk</v>
      </c>
    </row>
    <row r="7404">
      <c r="A7404" s="15">
        <f>IFERROR(__xludf.DUMMYFUNCTION("""COMPUTED_VALUE"""),45209.0)</f>
        <v>45209</v>
      </c>
      <c r="B7404" s="16" t="str">
        <f>IFERROR(__xludf.DUMMYFUNCTION("""COMPUTED_VALUE"""),"Johan Alexander Escobar Arroyo ")</f>
        <v>Johan Alexander Escobar Arroyo </v>
      </c>
      <c r="C7404" s="15" t="str">
        <f>IFERROR(__xludf.DUMMYFUNCTION("""COMPUTED_VALUE"""),"CALI")</f>
        <v>CALI</v>
      </c>
      <c r="D7404" s="15" t="str">
        <f>IFERROR(__xludf.DUMMYFUNCTION("""COMPUTED_VALUE"""),"BOGOTÁ")</f>
        <v>BOGOTÁ</v>
      </c>
      <c r="E7404" s="15" t="str">
        <f>IFERROR(__xludf.DUMMYFUNCTION("""COMPUTED_VALUE"""),"Top Spun")</f>
        <v>Top Spun</v>
      </c>
      <c r="F7404" s="17" t="str">
        <f>IFERROR(__xludf.DUMMYFUNCTION("""COMPUTED_VALUE"""),"Calle 20 # 116-105 / Casa 28 / Casas del alferez")</f>
        <v>Calle 20 # 116-105 / Casa 28 / Casas del alferez</v>
      </c>
      <c r="G7404" s="15" t="str">
        <f>IFERROR(__xludf.DUMMYFUNCTION("""COMPUTED_VALUE"""),"Marie Ortiz Lobo")</f>
        <v>Marie Ortiz Lobo</v>
      </c>
      <c r="H7404" s="16">
        <f>IFERROR(__xludf.DUMMYFUNCTION("""COMPUTED_VALUE"""),16082.0)</f>
        <v>16082</v>
      </c>
      <c r="I7404" s="18">
        <f>IFERROR(__xludf.DUMMYFUNCTION("""COMPUTED_VALUE"""),20.0)</f>
        <v>20</v>
      </c>
      <c r="J7404" s="18">
        <f>IFERROR(__xludf.DUMMYFUNCTION("""COMPUTED_VALUE"""),10.0)</f>
        <v>10</v>
      </c>
      <c r="K7404" s="18">
        <f>IFERROR(__xludf.DUMMYFUNCTION("""COMPUTED_VALUE"""),40.0)</f>
        <v>40</v>
      </c>
      <c r="L7404" s="17">
        <f>IFERROR(__xludf.DUMMYFUNCTION("""COMPUTED_VALUE"""),3.188133896E9)</f>
        <v>3188133896</v>
      </c>
      <c r="M7404" s="17"/>
      <c r="N7404" s="17"/>
      <c r="O7404" s="17"/>
      <c r="P7404" s="17" t="b">
        <f>IFERROR(__xludf.DUMMYFUNCTION("""COMPUTED_VALUE"""),TRUE)</f>
        <v>1</v>
      </c>
      <c r="Q7404" s="20">
        <f>IFERROR(__xludf.DUMMYFUNCTION("""COMPUTED_VALUE"""),45210.63022947917)</f>
        <v>45210.63023</v>
      </c>
      <c r="R7404" s="21" t="str">
        <f>IFERROR(__xludf.DUMMYFUNCTION("""COMPUTED_VALUE"""),"https://drive.google.com/file/d/1zldfFbAQLOkVJCnkFiSrt-Gi3LpeT5ik/view?usp=drivesdk")</f>
        <v>https://drive.google.com/file/d/1zldfFbAQLOkVJCnkFiSrt-Gi3LpeT5ik/view?usp=drivesdk</v>
      </c>
    </row>
    <row r="7405">
      <c r="A7405" s="15">
        <f>IFERROR(__xludf.DUMMYFUNCTION("""COMPUTED_VALUE"""),45209.0)</f>
        <v>45209</v>
      </c>
      <c r="B7405" s="16" t="str">
        <f>IFERROR(__xludf.DUMMYFUNCTION("""COMPUTED_VALUE"""),"Johan Alexander Escobar Arroyo ")</f>
        <v>Johan Alexander Escobar Arroyo </v>
      </c>
      <c r="C7405" s="15" t="str">
        <f>IFERROR(__xludf.DUMMYFUNCTION("""COMPUTED_VALUE"""),"IBAGUÉ")</f>
        <v>IBAGUÉ</v>
      </c>
      <c r="D7405" s="15" t="str">
        <f>IFERROR(__xludf.DUMMYFUNCTION("""COMPUTED_VALUE"""),"MEDELLÍN")</f>
        <v>MEDELLÍN</v>
      </c>
      <c r="E7405" s="15" t="str">
        <f>IFERROR(__xludf.DUMMYFUNCTION("""COMPUTED_VALUE"""),"Moloso S.A.S")</f>
        <v>Moloso S.A.S</v>
      </c>
      <c r="F7405" s="17" t="str">
        <f>IFERROR(__xludf.DUMMYFUNCTION("""COMPUTED_VALUE"""),"TRANS 19 A SUR 125 134 RESERVAS DEL CAMPESTRE CS 32 ZONA 3 / RESERVAS DEL CAMPESTRE CS 32 ZONA 3")</f>
        <v>TRANS 19 A SUR 125 134 RESERVAS DEL CAMPESTRE CS 32 ZONA 3 / RESERVAS DEL CAMPESTRE CS 32 ZONA 3</v>
      </c>
      <c r="G7405" s="15" t="str">
        <f>IFERROR(__xludf.DUMMYFUNCTION("""COMPUTED_VALUE"""),"LUIS FELIPE ESPINOSA CASTRO")</f>
        <v>LUIS FELIPE ESPINOSA CASTRO</v>
      </c>
      <c r="H7405" s="16">
        <f>IFERROR(__xludf.DUMMYFUNCTION("""COMPUTED_VALUE"""),16145.0)</f>
        <v>16145</v>
      </c>
      <c r="I7405" s="18">
        <f>IFERROR(__xludf.DUMMYFUNCTION("""COMPUTED_VALUE"""),17.0)</f>
        <v>17</v>
      </c>
      <c r="J7405" s="18">
        <f>IFERROR(__xludf.DUMMYFUNCTION("""COMPUTED_VALUE"""),15.0)</f>
        <v>15</v>
      </c>
      <c r="K7405" s="18">
        <f>IFERROR(__xludf.DUMMYFUNCTION("""COMPUTED_VALUE"""),28.0)</f>
        <v>28</v>
      </c>
      <c r="L7405" s="17" t="str">
        <f>IFERROR(__xludf.DUMMYFUNCTION("""COMPUTED_VALUE"""),"320 3033742")</f>
        <v>320 3033742</v>
      </c>
      <c r="M7405" s="17"/>
      <c r="N7405" s="17"/>
      <c r="O7405" s="17"/>
      <c r="P7405" s="17" t="b">
        <f>IFERROR(__xludf.DUMMYFUNCTION("""COMPUTED_VALUE"""),TRUE)</f>
        <v>1</v>
      </c>
      <c r="Q7405" s="20">
        <f>IFERROR(__xludf.DUMMYFUNCTION("""COMPUTED_VALUE"""),45210.570753437496)</f>
        <v>45210.57075</v>
      </c>
      <c r="R7405" s="21" t="str">
        <f>IFERROR(__xludf.DUMMYFUNCTION("""COMPUTED_VALUE"""),"https://drive.google.com/file/d/1qP20TiUU1YDVesnGx0no74XcPLvrimBp/view?usp=drivesdk")</f>
        <v>https://drive.google.com/file/d/1qP20TiUU1YDVesnGx0no74XcPLvrimBp/view?usp=drivesdk</v>
      </c>
    </row>
    <row r="7406">
      <c r="A7406" s="17" t="str">
        <f>IFERROR(__xludf.DUMMYFUNCTION("""COMPUTED_VALUE"""),"")</f>
        <v/>
      </c>
      <c r="B7406" s="17" t="str">
        <f>IFERROR(__xludf.DUMMYFUNCTION("""COMPUTED_VALUE"""),"")</f>
        <v/>
      </c>
      <c r="C7406" s="17" t="str">
        <f>IFERROR(__xludf.DUMMYFUNCTION("""COMPUTED_VALUE"""),"")</f>
        <v/>
      </c>
      <c r="D7406" s="17" t="str">
        <f>IFERROR(__xludf.DUMMYFUNCTION("""COMPUTED_VALUE"""),"")</f>
        <v/>
      </c>
      <c r="E7406" s="17" t="str">
        <f>IFERROR(__xludf.DUMMYFUNCTION("""COMPUTED_VALUE"""),"")</f>
        <v/>
      </c>
      <c r="F7406" s="17" t="str">
        <f>IFERROR(__xludf.DUMMYFUNCTION("""COMPUTED_VALUE"""),"")</f>
        <v/>
      </c>
      <c r="G7406" s="17" t="str">
        <f>IFERROR(__xludf.DUMMYFUNCTION("""COMPUTED_VALUE"""),"")</f>
        <v/>
      </c>
      <c r="H7406" s="17" t="str">
        <f>IFERROR(__xludf.DUMMYFUNCTION("""COMPUTED_VALUE"""),"")</f>
        <v/>
      </c>
      <c r="I7406" s="17" t="str">
        <f>IFERROR(__xludf.DUMMYFUNCTION("""COMPUTED_VALUE"""),"")</f>
        <v/>
      </c>
      <c r="J7406" s="17" t="str">
        <f>IFERROR(__xludf.DUMMYFUNCTION("""COMPUTED_VALUE"""),"")</f>
        <v/>
      </c>
      <c r="K7406" s="17" t="str">
        <f>IFERROR(__xludf.DUMMYFUNCTION("""COMPUTED_VALUE"""),"")</f>
        <v/>
      </c>
      <c r="L7406" s="17" t="str">
        <f>IFERROR(__xludf.DUMMYFUNCTION("""COMPUTED_VALUE"""),"")</f>
        <v/>
      </c>
      <c r="M7406" s="17" t="str">
        <f>IFERROR(__xludf.DUMMYFUNCTION("""COMPUTED_VALUE"""),"")</f>
        <v/>
      </c>
      <c r="N7406" s="17" t="str">
        <f>IFERROR(__xludf.DUMMYFUNCTION("""COMPUTED_VALUE"""),"")</f>
        <v/>
      </c>
      <c r="O7406" s="17" t="str">
        <f>IFERROR(__xludf.DUMMYFUNCTION("""COMPUTED_VALUE"""),"")</f>
        <v/>
      </c>
      <c r="P7406" s="17" t="str">
        <f>IFERROR(__xludf.DUMMYFUNCTION("""COMPUTED_VALUE"""),"")</f>
        <v/>
      </c>
      <c r="Q7406" s="17" t="str">
        <f>IFERROR(__xludf.DUMMYFUNCTION("""COMPUTED_VALUE"""),"")</f>
        <v/>
      </c>
      <c r="R7406" s="17" t="str">
        <f>IFERROR(__xludf.DUMMYFUNCTION("""COMPUTED_VALUE"""),"")</f>
        <v/>
      </c>
    </row>
    <row r="7407">
      <c r="A7407" s="15">
        <f>IFERROR(__xludf.DUMMYFUNCTION("""COMPUTED_VALUE"""),45209.0)</f>
        <v>45209</v>
      </c>
      <c r="B7407" s="16" t="str">
        <f>IFERROR(__xludf.DUMMYFUNCTION("""COMPUTED_VALUE"""),"Johanna Arango Barrera")</f>
        <v>Johanna Arango Barrera</v>
      </c>
      <c r="C7407" s="15" t="str">
        <f>IFERROR(__xludf.DUMMYFUNCTION("""COMPUTED_VALUE"""),"BUCARAMANGA")</f>
        <v>BUCARAMANGA</v>
      </c>
      <c r="D7407" s="15" t="str">
        <f>IFERROR(__xludf.DUMMYFUNCTION("""COMPUTED_VALUE"""),"BOGOTÁ")</f>
        <v>BOGOTÁ</v>
      </c>
      <c r="E7407" s="15" t="str">
        <f>IFERROR(__xludf.DUMMYFUNCTION("""COMPUTED_VALUE"""),"Ins. Alimento Vital")</f>
        <v>Ins. Alimento Vital</v>
      </c>
      <c r="F7407" s="17" t="str">
        <f>IFERROR(__xludf.DUMMYFUNCTION("""COMPUTED_VALUE"""),"CR 23 # 31-63 / EDIFICIO MILANO XXIII APTO 1206 / BUCARAMANGA")</f>
        <v>CR 23 # 31-63 / EDIFICIO MILANO XXIII APTO 1206 / BUCARAMANGA</v>
      </c>
      <c r="G7407" s="15" t="str">
        <f>IFERROR(__xludf.DUMMYFUNCTION("""COMPUTED_VALUE"""),"DIEGO MAURICIO RODRIGUEZ BELTRAN")</f>
        <v>DIEGO MAURICIO RODRIGUEZ BELTRAN</v>
      </c>
      <c r="H7407" s="16">
        <f>IFERROR(__xludf.DUMMYFUNCTION("""COMPUTED_VALUE"""),16112.0)</f>
        <v>16112</v>
      </c>
      <c r="I7407" s="18">
        <f>IFERROR(__xludf.DUMMYFUNCTION("""COMPUTED_VALUE"""),1.0)</f>
        <v>1</v>
      </c>
      <c r="J7407" s="18">
        <f>IFERROR(__xludf.DUMMYFUNCTION("""COMPUTED_VALUE"""),1.0)</f>
        <v>1</v>
      </c>
      <c r="K7407" s="18">
        <f>IFERROR(__xludf.DUMMYFUNCTION("""COMPUTED_VALUE"""),1.0)</f>
        <v>1</v>
      </c>
      <c r="L7407" s="17">
        <f>IFERROR(__xludf.DUMMYFUNCTION("""COMPUTED_VALUE"""),3.178064951E9)</f>
        <v>3178064951</v>
      </c>
      <c r="M7407" s="17"/>
      <c r="N7407" s="17"/>
      <c r="O7407" s="17"/>
      <c r="P7407" s="17" t="b">
        <f>IFERROR(__xludf.DUMMYFUNCTION("""COMPUTED_VALUE"""),TRUE)</f>
        <v>1</v>
      </c>
      <c r="Q7407" s="20">
        <f>IFERROR(__xludf.DUMMYFUNCTION("""COMPUTED_VALUE"""),45210.57161557871)</f>
        <v>45210.57162</v>
      </c>
      <c r="R7407" s="21" t="str">
        <f>IFERROR(__xludf.DUMMYFUNCTION("""COMPUTED_VALUE"""),"https://drive.google.com/file/d/1658C8Sea_G24D4VpLSYNL-GE_hMwHNqu/view?usp=drivesdk")</f>
        <v>https://drive.google.com/file/d/1658C8Sea_G24D4VpLSYNL-GE_hMwHNqu/view?usp=drivesdk</v>
      </c>
    </row>
    <row r="7408">
      <c r="A7408" s="15">
        <f>IFERROR(__xludf.DUMMYFUNCTION("""COMPUTED_VALUE"""),45209.0)</f>
        <v>45209</v>
      </c>
      <c r="B7408" s="16" t="str">
        <f>IFERROR(__xludf.DUMMYFUNCTION("""COMPUTED_VALUE"""),"Johanna Arango Barrera")</f>
        <v>Johanna Arango Barrera</v>
      </c>
      <c r="C7408" s="15" t="str">
        <f>IFERROR(__xludf.DUMMYFUNCTION("""COMPUTED_VALUE"""),"BUCARAMANGA")</f>
        <v>BUCARAMANGA</v>
      </c>
      <c r="D7408" s="15" t="str">
        <f>IFERROR(__xludf.DUMMYFUNCTION("""COMPUTED_VALUE"""),"BOGOTÁ")</f>
        <v>BOGOTÁ</v>
      </c>
      <c r="E7408" s="15" t="str">
        <f>IFERROR(__xludf.DUMMYFUNCTION("""COMPUTED_VALUE"""),"MAI ALIMENTOS S.A.S")</f>
        <v>MAI ALIMENTOS S.A.S</v>
      </c>
      <c r="F7408" s="17" t="str">
        <f>IFERROR(__xludf.DUMMYFUNCTION("""COMPUTED_VALUE"""),"Envia Bucaramanga / La cliente Rcoge en Envia")</f>
        <v>Envia Bucaramanga / La cliente Rcoge en Envia</v>
      </c>
      <c r="G7408" s="15" t="str">
        <f>IFERROR(__xludf.DUMMYFUNCTION("""COMPUTED_VALUE"""),"Envia Bucaramanga")</f>
        <v>Envia Bucaramanga</v>
      </c>
      <c r="H7408" s="16">
        <f>IFERROR(__xludf.DUMMYFUNCTION("""COMPUTED_VALUE"""),16105.0)</f>
        <v>16105</v>
      </c>
      <c r="I7408" s="18">
        <f>IFERROR(__xludf.DUMMYFUNCTION("""COMPUTED_VALUE"""),35.0)</f>
        <v>35</v>
      </c>
      <c r="J7408" s="18">
        <f>IFERROR(__xludf.DUMMYFUNCTION("""COMPUTED_VALUE"""),17.0)</f>
        <v>17</v>
      </c>
      <c r="K7408" s="18">
        <f>IFERROR(__xludf.DUMMYFUNCTION("""COMPUTED_VALUE"""),13.0)</f>
        <v>13</v>
      </c>
      <c r="L7408" s="17">
        <f>IFERROR(__xludf.DUMMYFUNCTION("""COMPUTED_VALUE"""),3.005711168E9)</f>
        <v>3005711168</v>
      </c>
      <c r="M7408" s="17"/>
      <c r="N7408" s="17"/>
      <c r="O7408" s="17"/>
      <c r="P7408" s="17" t="b">
        <f>IFERROR(__xludf.DUMMYFUNCTION("""COMPUTED_VALUE"""),TRUE)</f>
        <v>1</v>
      </c>
      <c r="Q7408" s="20">
        <f>IFERROR(__xludf.DUMMYFUNCTION("""COMPUTED_VALUE"""),45210.57089555556)</f>
        <v>45210.5709</v>
      </c>
      <c r="R7408" s="22" t="str">
        <f>IFERROR(__xludf.DUMMYFUNCTION("""COMPUTED_VALUE"""),"")</f>
        <v/>
      </c>
    </row>
    <row r="7409">
      <c r="A7409" s="15">
        <f>IFERROR(__xludf.DUMMYFUNCTION("""COMPUTED_VALUE"""),45209.0)</f>
        <v>45209</v>
      </c>
      <c r="B7409" s="16" t="str">
        <f>IFERROR(__xludf.DUMMYFUNCTION("""COMPUTED_VALUE"""),"Johanna Arango Barrera")</f>
        <v>Johanna Arango Barrera</v>
      </c>
      <c r="C7409" s="15" t="str">
        <f>IFERROR(__xludf.DUMMYFUNCTION("""COMPUTED_VALUE"""),"BUCARAMANGA")</f>
        <v>BUCARAMANGA</v>
      </c>
      <c r="D7409" s="15" t="str">
        <f>IFERROR(__xludf.DUMMYFUNCTION("""COMPUTED_VALUE"""),"BOGOTÁ")</f>
        <v>BOGOTÁ</v>
      </c>
      <c r="E7409" s="15" t="str">
        <f>IFERROR(__xludf.DUMMYFUNCTION("""COMPUTED_VALUE"""),"Pan de Yuca")</f>
        <v>Pan de Yuca</v>
      </c>
      <c r="F7409" s="17" t="str">
        <f>IFERROR(__xludf.DUMMYFUNCTION("""COMPUTED_VALUE"""),"Carrera 37 # 53 - 08 / Casa / Cabecera")</f>
        <v>Carrera 37 # 53 - 08 / Casa / Cabecera</v>
      </c>
      <c r="G7409" s="15" t="str">
        <f>IFERROR(__xludf.DUMMYFUNCTION("""COMPUTED_VALUE"""),"Daniela Ordóñez")</f>
        <v>Daniela Ordóñez</v>
      </c>
      <c r="H7409" s="16">
        <f>IFERROR(__xludf.DUMMYFUNCTION("""COMPUTED_VALUE"""),16117.0)</f>
        <v>16117</v>
      </c>
      <c r="I7409" s="18">
        <f>IFERROR(__xludf.DUMMYFUNCTION("""COMPUTED_VALUE"""),30.0)</f>
        <v>30</v>
      </c>
      <c r="J7409" s="18">
        <f>IFERROR(__xludf.DUMMYFUNCTION("""COMPUTED_VALUE"""),32.0)</f>
        <v>32</v>
      </c>
      <c r="K7409" s="18">
        <f>IFERROR(__xludf.DUMMYFUNCTION("""COMPUTED_VALUE"""),43.0)</f>
        <v>43</v>
      </c>
      <c r="L7409" s="17">
        <f>IFERROR(__xludf.DUMMYFUNCTION("""COMPUTED_VALUE"""),3.002833712E9)</f>
        <v>3002833712</v>
      </c>
      <c r="M7409" s="17"/>
      <c r="N7409" s="17"/>
      <c r="O7409" s="17"/>
      <c r="P7409" s="17" t="b">
        <f>IFERROR(__xludf.DUMMYFUNCTION("""COMPUTED_VALUE"""),TRUE)</f>
        <v>1</v>
      </c>
      <c r="Q7409" s="20">
        <f>IFERROR(__xludf.DUMMYFUNCTION("""COMPUTED_VALUE"""),45210.57106811342)</f>
        <v>45210.57107</v>
      </c>
      <c r="R7409" s="21" t="str">
        <f>IFERROR(__xludf.DUMMYFUNCTION("""COMPUTED_VALUE"""),"https://drive.google.com/file/d/1nFNpv16c87PgJRUPvDu5ceH26zE-I4Cv/view?usp=drivesdk")</f>
        <v>https://drive.google.com/file/d/1nFNpv16c87PgJRUPvDu5ceH26zE-I4Cv/view?usp=drivesdk</v>
      </c>
    </row>
    <row r="7410">
      <c r="A7410" s="15">
        <f>IFERROR(__xludf.DUMMYFUNCTION("""COMPUTED_VALUE"""),45209.0)</f>
        <v>45209</v>
      </c>
      <c r="B7410" s="16" t="str">
        <f>IFERROR(__xludf.DUMMYFUNCTION("""COMPUTED_VALUE"""),"Johanna Arango Barrera")</f>
        <v>Johanna Arango Barrera</v>
      </c>
      <c r="C7410" s="15" t="str">
        <f>IFERROR(__xludf.DUMMYFUNCTION("""COMPUTED_VALUE"""),"FLORIDABLANCA")</f>
        <v>FLORIDABLANCA</v>
      </c>
      <c r="D7410" s="15" t="str">
        <f>IFERROR(__xludf.DUMMYFUNCTION("""COMPUTED_VALUE"""),"BOGOTÁ")</f>
        <v>BOGOTÁ</v>
      </c>
      <c r="E7410" s="15" t="str">
        <f>IFERROR(__xludf.DUMMYFUNCTION("""COMPUTED_VALUE"""),"Asociacion Agropecuaria Juana Maria")</f>
        <v>Asociacion Agropecuaria Juana Maria</v>
      </c>
      <c r="F7410" s="17" t="str">
        <f>IFERROR(__xludf.DUMMYFUNCTION("""COMPUTED_VALUE"""),"Calle 19 #11-37 Guanatá FLORIDABLANCA")</f>
        <v>Calle 19 #11-37 Guanatá FLORIDABLANCA</v>
      </c>
      <c r="G7410" s="15" t="str">
        <f>IFERROR(__xludf.DUMMYFUNCTION("""COMPUTED_VALUE"""),"Claudia Gonzalez")</f>
        <v>Claudia Gonzalez</v>
      </c>
      <c r="H7410" s="16">
        <f>IFERROR(__xludf.DUMMYFUNCTION("""COMPUTED_VALUE"""),16094.0)</f>
        <v>16094</v>
      </c>
      <c r="I7410" s="18">
        <f>IFERROR(__xludf.DUMMYFUNCTION("""COMPUTED_VALUE"""),21.0)</f>
        <v>21</v>
      </c>
      <c r="J7410" s="18">
        <f>IFERROR(__xludf.DUMMYFUNCTION("""COMPUTED_VALUE"""),37.0)</f>
        <v>37</v>
      </c>
      <c r="K7410" s="18">
        <f>IFERROR(__xludf.DUMMYFUNCTION("""COMPUTED_VALUE"""),30.0)</f>
        <v>30</v>
      </c>
      <c r="L7410" s="17">
        <f>IFERROR(__xludf.DUMMYFUNCTION("""COMPUTED_VALUE"""),3.002802001E9)</f>
        <v>3002802001</v>
      </c>
      <c r="M7410" s="17"/>
      <c r="N7410" s="17"/>
      <c r="O7410" s="17"/>
      <c r="P7410" s="17" t="b">
        <f>IFERROR(__xludf.DUMMYFUNCTION("""COMPUTED_VALUE"""),TRUE)</f>
        <v>1</v>
      </c>
      <c r="Q7410" s="20">
        <f>IFERROR(__xludf.DUMMYFUNCTION("""COMPUTED_VALUE"""),45210.63074565972)</f>
        <v>45210.63075</v>
      </c>
      <c r="R7410" s="21" t="str">
        <f>IFERROR(__xludf.DUMMYFUNCTION("""COMPUTED_VALUE"""),"https://drive.google.com/file/d/1vzHjWwWLODLNoUVW1FVvLiacUxXA5qOi/view?usp=drivesdk")</f>
        <v>https://drive.google.com/file/d/1vzHjWwWLODLNoUVW1FVvLiacUxXA5qOi/view?usp=drivesdk</v>
      </c>
    </row>
    <row r="7411">
      <c r="A7411" s="15">
        <f>IFERROR(__xludf.DUMMYFUNCTION("""COMPUTED_VALUE"""),45209.0)</f>
        <v>45209</v>
      </c>
      <c r="B7411" s="16" t="str">
        <f>IFERROR(__xludf.DUMMYFUNCTION("""COMPUTED_VALUE"""),"Johanna Arango Barrera")</f>
        <v>Johanna Arango Barrera</v>
      </c>
      <c r="C7411" s="15" t="str">
        <f>IFERROR(__xludf.DUMMYFUNCTION("""COMPUTED_VALUE"""),"FLORIDABLANCA")</f>
        <v>FLORIDABLANCA</v>
      </c>
      <c r="D7411" s="15" t="str">
        <f>IFERROR(__xludf.DUMMYFUNCTION("""COMPUTED_VALUE"""),"BOGOTÁ")</f>
        <v>BOGOTÁ</v>
      </c>
      <c r="E7411" s="15" t="str">
        <f>IFERROR(__xludf.DUMMYFUNCTION("""COMPUTED_VALUE"""),"Asociacion Agropecuaria Juana Maria")</f>
        <v>Asociacion Agropecuaria Juana Maria</v>
      </c>
      <c r="F7411" s="17" t="str">
        <f>IFERROR(__xludf.DUMMYFUNCTION("""COMPUTED_VALUE"""),"Calle 19 #11-37 Guanatá FLORIDABLANCA")</f>
        <v>Calle 19 #11-37 Guanatá FLORIDABLANCA</v>
      </c>
      <c r="G7411" s="15" t="str">
        <f>IFERROR(__xludf.DUMMYFUNCTION("""COMPUTED_VALUE"""),"Claudia Gonzalez")</f>
        <v>Claudia Gonzalez</v>
      </c>
      <c r="H7411" s="16">
        <f>IFERROR(__xludf.DUMMYFUNCTION("""COMPUTED_VALUE"""),16095.0)</f>
        <v>16095</v>
      </c>
      <c r="I7411" s="18">
        <f>IFERROR(__xludf.DUMMYFUNCTION("""COMPUTED_VALUE"""),12.0)</f>
        <v>12</v>
      </c>
      <c r="J7411" s="18">
        <f>IFERROR(__xludf.DUMMYFUNCTION("""COMPUTED_VALUE"""),37.0)</f>
        <v>37</v>
      </c>
      <c r="K7411" s="18">
        <f>IFERROR(__xludf.DUMMYFUNCTION("""COMPUTED_VALUE"""),20.0)</f>
        <v>20</v>
      </c>
      <c r="L7411" s="17">
        <f>IFERROR(__xludf.DUMMYFUNCTION("""COMPUTED_VALUE"""),3.002802001E9)</f>
        <v>3002802001</v>
      </c>
      <c r="M7411" s="17"/>
      <c r="N7411" s="17"/>
      <c r="O7411" s="17"/>
      <c r="P7411" s="17" t="b">
        <f>IFERROR(__xludf.DUMMYFUNCTION("""COMPUTED_VALUE"""),TRUE)</f>
        <v>1</v>
      </c>
      <c r="Q7411" s="20">
        <f>IFERROR(__xludf.DUMMYFUNCTION("""COMPUTED_VALUE"""),45210.57192729166)</f>
        <v>45210.57193</v>
      </c>
      <c r="R7411" s="22" t="str">
        <f>IFERROR(__xludf.DUMMYFUNCTION("""COMPUTED_VALUE"""),"")</f>
        <v/>
      </c>
    </row>
    <row r="7412">
      <c r="A7412" s="15">
        <f>IFERROR(__xludf.DUMMYFUNCTION("""COMPUTED_VALUE"""),45209.0)</f>
        <v>45209</v>
      </c>
      <c r="B7412" s="16" t="str">
        <f>IFERROR(__xludf.DUMMYFUNCTION("""COMPUTED_VALUE"""),"Johanna Arango Barrera")</f>
        <v>Johanna Arango Barrera</v>
      </c>
      <c r="C7412" s="15" t="str">
        <f>IFERROR(__xludf.DUMMYFUNCTION("""COMPUTED_VALUE"""),"PEREIRA")</f>
        <v>PEREIRA</v>
      </c>
      <c r="D7412" s="15" t="str">
        <f>IFERROR(__xludf.DUMMYFUNCTION("""COMPUTED_VALUE"""),"MEDELLÍN")</f>
        <v>MEDELLÍN</v>
      </c>
      <c r="E7412" s="15" t="str">
        <f>IFERROR(__xludf.DUMMYFUNCTION("""COMPUTED_VALUE"""),"Rambla")</f>
        <v>Rambla</v>
      </c>
      <c r="F7412" s="17" t="str">
        <f>IFERROR(__xludf.DUMMYFUNCTION("""COMPUTED_VALUE"""),"calle 14 # 14-15 San José sur circunvalar Pereira / - / -")</f>
        <v>calle 14 # 14-15 San José sur circunvalar Pereira / - / -</v>
      </c>
      <c r="G7412" s="15" t="str">
        <f>IFERROR(__xludf.DUMMYFUNCTION("""COMPUTED_VALUE"""),"Majana")</f>
        <v>Majana</v>
      </c>
      <c r="H7412" s="16">
        <f>IFERROR(__xludf.DUMMYFUNCTION("""COMPUTED_VALUE"""),16171.0)</f>
        <v>16171</v>
      </c>
      <c r="I7412" s="18">
        <f>IFERROR(__xludf.DUMMYFUNCTION("""COMPUTED_VALUE"""),30.0)</f>
        <v>30</v>
      </c>
      <c r="J7412" s="18">
        <f>IFERROR(__xludf.DUMMYFUNCTION("""COMPUTED_VALUE"""),31.0)</f>
        <v>31</v>
      </c>
      <c r="K7412" s="18">
        <f>IFERROR(__xludf.DUMMYFUNCTION("""COMPUTED_VALUE"""),30.0)</f>
        <v>30</v>
      </c>
      <c r="L7412" s="17">
        <f>IFERROR(__xludf.DUMMYFUNCTION("""COMPUTED_VALUE"""),3.148112262E9)</f>
        <v>3148112262</v>
      </c>
      <c r="M7412" s="17"/>
      <c r="N7412" s="17"/>
      <c r="O7412" s="17"/>
      <c r="P7412" s="17" t="b">
        <f>IFERROR(__xludf.DUMMYFUNCTION("""COMPUTED_VALUE"""),TRUE)</f>
        <v>1</v>
      </c>
      <c r="Q7412" s="20">
        <f>IFERROR(__xludf.DUMMYFUNCTION("""COMPUTED_VALUE"""),45210.65306340277)</f>
        <v>45210.65306</v>
      </c>
      <c r="R7412" s="21" t="str">
        <f>IFERROR(__xludf.DUMMYFUNCTION("""COMPUTED_VALUE"""),"https://drive.google.com/file/d/15SUH6m-HAjeCEcxOswC-7phA7bG55S4I/view?usp=drivesdk")</f>
        <v>https://drive.google.com/file/d/15SUH6m-HAjeCEcxOswC-7phA7bG55S4I/view?usp=drivesdk</v>
      </c>
    </row>
    <row r="7413">
      <c r="A7413" s="15">
        <f>IFERROR(__xludf.DUMMYFUNCTION("""COMPUTED_VALUE"""),45209.0)</f>
        <v>45209</v>
      </c>
      <c r="B7413" s="16" t="str">
        <f>IFERROR(__xludf.DUMMYFUNCTION("""COMPUTED_VALUE"""),"Johanna Arango Barrera")</f>
        <v>Johanna Arango Barrera</v>
      </c>
      <c r="C7413" s="15" t="str">
        <f>IFERROR(__xludf.DUMMYFUNCTION("""COMPUTED_VALUE"""),"PEREIRA")</f>
        <v>PEREIRA</v>
      </c>
      <c r="D7413" s="15" t="str">
        <f>IFERROR(__xludf.DUMMYFUNCTION("""COMPUTED_VALUE"""),"MEDELLÍN")</f>
        <v>MEDELLÍN</v>
      </c>
      <c r="E7413" s="15" t="str">
        <f>IFERROR(__xludf.DUMMYFUNCTION("""COMPUTED_VALUE"""),"Rambla")</f>
        <v>Rambla</v>
      </c>
      <c r="F7413" s="17" t="str">
        <f>IFERROR(__xludf.DUMMYFUNCTION("""COMPUTED_VALUE"""),"Cra 23 14 148 Trilogia apto 1505 torre1  / - / -")</f>
        <v>Cra 23 14 148 Trilogia apto 1505 torre1  / - / -</v>
      </c>
      <c r="G7413" s="15" t="str">
        <f>IFERROR(__xludf.DUMMYFUNCTION("""COMPUTED_VALUE"""),"Nutriishop")</f>
        <v>Nutriishop</v>
      </c>
      <c r="H7413" s="16">
        <f>IFERROR(__xludf.DUMMYFUNCTION("""COMPUTED_VALUE"""),16170.0)</f>
        <v>16170</v>
      </c>
      <c r="I7413" s="18">
        <f>IFERROR(__xludf.DUMMYFUNCTION("""COMPUTED_VALUE"""),24.0)</f>
        <v>24</v>
      </c>
      <c r="J7413" s="18">
        <f>IFERROR(__xludf.DUMMYFUNCTION("""COMPUTED_VALUE"""),20.0)</f>
        <v>20</v>
      </c>
      <c r="K7413" s="18">
        <f>IFERROR(__xludf.DUMMYFUNCTION("""COMPUTED_VALUE"""),20.0)</f>
        <v>20</v>
      </c>
      <c r="L7413" s="17">
        <f>IFERROR(__xludf.DUMMYFUNCTION("""COMPUTED_VALUE"""),3.10379892E9)</f>
        <v>3103798920</v>
      </c>
      <c r="M7413" s="17"/>
      <c r="N7413" s="17"/>
      <c r="O7413" s="17"/>
      <c r="P7413" s="17" t="b">
        <f>IFERROR(__xludf.DUMMYFUNCTION("""COMPUTED_VALUE"""),TRUE)</f>
        <v>1</v>
      </c>
      <c r="Q7413" s="20">
        <f>IFERROR(__xludf.DUMMYFUNCTION("""COMPUTED_VALUE"""),45210.572343368054)</f>
        <v>45210.57234</v>
      </c>
      <c r="R7413" s="21" t="str">
        <f>IFERROR(__xludf.DUMMYFUNCTION("""COMPUTED_VALUE"""),"https://drive.google.com/file/d/1RqLU_SA7E9Lk0wXgIcx45qlINpEk-gDK/view?usp=drivesdk")</f>
        <v>https://drive.google.com/file/d/1RqLU_SA7E9Lk0wXgIcx45qlINpEk-gDK/view?usp=drivesdk</v>
      </c>
    </row>
    <row r="7414">
      <c r="A7414" s="17" t="str">
        <f>IFERROR(__xludf.DUMMYFUNCTION("""COMPUTED_VALUE"""),"")</f>
        <v/>
      </c>
      <c r="B7414" s="17" t="str">
        <f>IFERROR(__xludf.DUMMYFUNCTION("""COMPUTED_VALUE"""),"")</f>
        <v/>
      </c>
      <c r="C7414" s="17" t="str">
        <f>IFERROR(__xludf.DUMMYFUNCTION("""COMPUTED_VALUE"""),"")</f>
        <v/>
      </c>
      <c r="D7414" s="17" t="str">
        <f>IFERROR(__xludf.DUMMYFUNCTION("""COMPUTED_VALUE"""),"")</f>
        <v/>
      </c>
      <c r="E7414" s="17" t="str">
        <f>IFERROR(__xludf.DUMMYFUNCTION("""COMPUTED_VALUE"""),"")</f>
        <v/>
      </c>
      <c r="F7414" s="17" t="str">
        <f>IFERROR(__xludf.DUMMYFUNCTION("""COMPUTED_VALUE"""),"")</f>
        <v/>
      </c>
      <c r="G7414" s="17" t="str">
        <f>IFERROR(__xludf.DUMMYFUNCTION("""COMPUTED_VALUE"""),"")</f>
        <v/>
      </c>
      <c r="H7414" s="17" t="str">
        <f>IFERROR(__xludf.DUMMYFUNCTION("""COMPUTED_VALUE"""),"")</f>
        <v/>
      </c>
      <c r="I7414" s="17" t="str">
        <f>IFERROR(__xludf.DUMMYFUNCTION("""COMPUTED_VALUE"""),"")</f>
        <v/>
      </c>
      <c r="J7414" s="17" t="str">
        <f>IFERROR(__xludf.DUMMYFUNCTION("""COMPUTED_VALUE"""),"")</f>
        <v/>
      </c>
      <c r="K7414" s="17" t="str">
        <f>IFERROR(__xludf.DUMMYFUNCTION("""COMPUTED_VALUE"""),"")</f>
        <v/>
      </c>
      <c r="L7414" s="17" t="str">
        <f>IFERROR(__xludf.DUMMYFUNCTION("""COMPUTED_VALUE"""),"")</f>
        <v/>
      </c>
      <c r="M7414" s="17" t="str">
        <f>IFERROR(__xludf.DUMMYFUNCTION("""COMPUTED_VALUE"""),"")</f>
        <v/>
      </c>
      <c r="N7414" s="17" t="str">
        <f>IFERROR(__xludf.DUMMYFUNCTION("""COMPUTED_VALUE"""),"")</f>
        <v/>
      </c>
      <c r="O7414" s="17" t="str">
        <f>IFERROR(__xludf.DUMMYFUNCTION("""COMPUTED_VALUE"""),"")</f>
        <v/>
      </c>
      <c r="P7414" s="17" t="str">
        <f>IFERROR(__xludf.DUMMYFUNCTION("""COMPUTED_VALUE"""),"")</f>
        <v/>
      </c>
      <c r="Q7414" s="17" t="str">
        <f>IFERROR(__xludf.DUMMYFUNCTION("""COMPUTED_VALUE"""),"")</f>
        <v/>
      </c>
      <c r="R7414" s="17" t="str">
        <f>IFERROR(__xludf.DUMMYFUNCTION("""COMPUTED_VALUE"""),"")</f>
        <v/>
      </c>
    </row>
    <row r="7415">
      <c r="A7415" s="15">
        <f>IFERROR(__xludf.DUMMYFUNCTION("""COMPUTED_VALUE"""),45209.0)</f>
        <v>45209</v>
      </c>
      <c r="B7415" s="16" t="str">
        <f>IFERROR(__xludf.DUMMYFUNCTION("""COMPUTED_VALUE"""),"Santiago Garces Restrepo")</f>
        <v>Santiago Garces Restrepo</v>
      </c>
      <c r="C7415" s="15" t="str">
        <f>IFERROR(__xludf.DUMMYFUNCTION("""COMPUTED_VALUE"""),"ENVIGADO")</f>
        <v>ENVIGADO</v>
      </c>
      <c r="D7415" s="15" t="str">
        <f>IFERROR(__xludf.DUMMYFUNCTION("""COMPUTED_VALUE"""),"BOGOTÁ")</f>
        <v>BOGOTÁ</v>
      </c>
      <c r="E7415" s="15" t="str">
        <f>IFERROR(__xludf.DUMMYFUNCTION("""COMPUTED_VALUE"""),"Evamazzita")</f>
        <v>Evamazzita</v>
      </c>
      <c r="F7415" s="17" t="str">
        <f>IFERROR(__xludf.DUMMYFUNCTION("""COMPUTED_VALUE"""),"calle 40 A sur #24B-105 / urbanización Palmeras etapa 3 apto 1001 Barrio la Mina")</f>
        <v>calle 40 A sur #24B-105 / urbanización Palmeras etapa 3 apto 1001 Barrio la Mina</v>
      </c>
      <c r="G7415" s="15" t="str">
        <f>IFERROR(__xludf.DUMMYFUNCTION("""COMPUTED_VALUE"""),"KELLY OSORIO")</f>
        <v>KELLY OSORIO</v>
      </c>
      <c r="H7415" s="16">
        <f>IFERROR(__xludf.DUMMYFUNCTION("""COMPUTED_VALUE"""),16155.0)</f>
        <v>16155</v>
      </c>
      <c r="I7415" s="18">
        <f>IFERROR(__xludf.DUMMYFUNCTION("""COMPUTED_VALUE"""),1.0)</f>
        <v>1</v>
      </c>
      <c r="J7415" s="18">
        <f>IFERROR(__xludf.DUMMYFUNCTION("""COMPUTED_VALUE"""),1.0)</f>
        <v>1</v>
      </c>
      <c r="K7415" s="18">
        <f>IFERROR(__xludf.DUMMYFUNCTION("""COMPUTED_VALUE"""),1.0)</f>
        <v>1</v>
      </c>
      <c r="L7415" s="17">
        <f>IFERROR(__xludf.DUMMYFUNCTION("""COMPUTED_VALUE"""),3.216192718E9)</f>
        <v>3216192718</v>
      </c>
      <c r="M7415" s="17"/>
      <c r="N7415" s="17"/>
      <c r="O7415" s="17"/>
      <c r="P7415" s="17" t="b">
        <f>IFERROR(__xludf.DUMMYFUNCTION("""COMPUTED_VALUE"""),TRUE)</f>
        <v>1</v>
      </c>
      <c r="Q7415" s="20">
        <f>IFERROR(__xludf.DUMMYFUNCTION("""COMPUTED_VALUE"""),45210.57241123843)</f>
        <v>45210.57241</v>
      </c>
      <c r="R7415" s="21" t="str">
        <f>IFERROR(__xludf.DUMMYFUNCTION("""COMPUTED_VALUE"""),"https://drive.google.com/file/d/1WCxid47CFFsnPr6m2MJYHZxULwxGBQyS/view?usp=drivesdk")</f>
        <v>https://drive.google.com/file/d/1WCxid47CFFsnPr6m2MJYHZxULwxGBQyS/view?usp=drivesdk</v>
      </c>
    </row>
    <row r="7416">
      <c r="A7416" s="15">
        <f>IFERROR(__xludf.DUMMYFUNCTION("""COMPUTED_VALUE"""),45209.0)</f>
        <v>45209</v>
      </c>
      <c r="B7416" s="16" t="str">
        <f>IFERROR(__xludf.DUMMYFUNCTION("""COMPUTED_VALUE"""),"Santiago Garces Restrepo")</f>
        <v>Santiago Garces Restrepo</v>
      </c>
      <c r="C7416" s="15" t="str">
        <f>IFERROR(__xludf.DUMMYFUNCTION("""COMPUTED_VALUE"""),"MEDELLÍN")</f>
        <v>MEDELLÍN</v>
      </c>
      <c r="D7416" s="15" t="str">
        <f>IFERROR(__xludf.DUMMYFUNCTION("""COMPUTED_VALUE"""),"BOGOTÁ")</f>
        <v>BOGOTÁ</v>
      </c>
      <c r="E7416" s="15" t="str">
        <f>IFERROR(__xludf.DUMMYFUNCTION("""COMPUTED_VALUE"""),"Asociacion Agropecuaria Juana Maria")</f>
        <v>Asociacion Agropecuaria Juana Maria</v>
      </c>
      <c r="F7416" s="17" t="str">
        <f>IFERROR(__xludf.DUMMYFUNCTION("""COMPUTED_VALUE"""),"Carrera 15 BA # 30D-44 int 201")</f>
        <v>Carrera 15 BA # 30D-44 int 201</v>
      </c>
      <c r="G7416" s="15" t="str">
        <f>IFERROR(__xludf.DUMMYFUNCTION("""COMPUTED_VALUE"""),"Daniela Bedoya Blandon")</f>
        <v>Daniela Bedoya Blandon</v>
      </c>
      <c r="H7416" s="16">
        <f>IFERROR(__xludf.DUMMYFUNCTION("""COMPUTED_VALUE"""),16092.0)</f>
        <v>16092</v>
      </c>
      <c r="I7416" s="18">
        <f>IFERROR(__xludf.DUMMYFUNCTION("""COMPUTED_VALUE"""),21.0)</f>
        <v>21</v>
      </c>
      <c r="J7416" s="18">
        <f>IFERROR(__xludf.DUMMYFUNCTION("""COMPUTED_VALUE"""),37.0)</f>
        <v>37</v>
      </c>
      <c r="K7416" s="18">
        <f>IFERROR(__xludf.DUMMYFUNCTION("""COMPUTED_VALUE"""),30.0)</f>
        <v>30</v>
      </c>
      <c r="L7416" s="17">
        <f>IFERROR(__xludf.DUMMYFUNCTION("""COMPUTED_VALUE"""),3.14672822E9)</f>
        <v>3146728220</v>
      </c>
      <c r="M7416" s="17"/>
      <c r="N7416" s="17"/>
      <c r="O7416" s="17"/>
      <c r="P7416" s="17" t="b">
        <f>IFERROR(__xludf.DUMMYFUNCTION("""COMPUTED_VALUE"""),TRUE)</f>
        <v>1</v>
      </c>
      <c r="Q7416" s="20">
        <f>IFERROR(__xludf.DUMMYFUNCTION("""COMPUTED_VALUE"""),45210.65818518518)</f>
        <v>45210.65819</v>
      </c>
      <c r="R7416" s="21" t="str">
        <f>IFERROR(__xludf.DUMMYFUNCTION("""COMPUTED_VALUE"""),"https://drive.google.com/file/d/1HYWP_j4jFpoM41bPsJXxS8BDQfrpWyjo/view?usp=drivesdk")</f>
        <v>https://drive.google.com/file/d/1HYWP_j4jFpoM41bPsJXxS8BDQfrpWyjo/view?usp=drivesdk</v>
      </c>
    </row>
    <row r="7417">
      <c r="A7417" s="15">
        <f>IFERROR(__xludf.DUMMYFUNCTION("""COMPUTED_VALUE"""),45209.0)</f>
        <v>45209</v>
      </c>
      <c r="B7417" s="16" t="str">
        <f>IFERROR(__xludf.DUMMYFUNCTION("""COMPUTED_VALUE"""),"Santiago Garces Restrepo")</f>
        <v>Santiago Garces Restrepo</v>
      </c>
      <c r="C7417" s="15" t="str">
        <f>IFERROR(__xludf.DUMMYFUNCTION("""COMPUTED_VALUE"""),"MEDELLÍN")</f>
        <v>MEDELLÍN</v>
      </c>
      <c r="D7417" s="15" t="str">
        <f>IFERROR(__xludf.DUMMYFUNCTION("""COMPUTED_VALUE"""),"BOGOTÁ")</f>
        <v>BOGOTÁ</v>
      </c>
      <c r="E7417" s="15" t="str">
        <f>IFERROR(__xludf.DUMMYFUNCTION("""COMPUTED_VALUE"""),"Asociacion Agropecuaria Juana Maria")</f>
        <v>Asociacion Agropecuaria Juana Maria</v>
      </c>
      <c r="F7417" s="17" t="str">
        <f>IFERROR(__xludf.DUMMYFUNCTION("""COMPUTED_VALUE"""),"Carrera 52 # 74 -85 Casa Segundo Piso Avenida Santa Maria Carril izquierdo Itagui")</f>
        <v>Carrera 52 # 74 -85 Casa Segundo Piso Avenida Santa Maria Carril izquierdo Itagui</v>
      </c>
      <c r="G7417" s="15" t="str">
        <f>IFERROR(__xludf.DUMMYFUNCTION("""COMPUTED_VALUE"""),"Jennifer Sanchez Blandon")</f>
        <v>Jennifer Sanchez Blandon</v>
      </c>
      <c r="H7417" s="16">
        <f>IFERROR(__xludf.DUMMYFUNCTION("""COMPUTED_VALUE"""),16093.0)</f>
        <v>16093</v>
      </c>
      <c r="I7417" s="18">
        <f>IFERROR(__xludf.DUMMYFUNCTION("""COMPUTED_VALUE"""),28.0)</f>
        <v>28</v>
      </c>
      <c r="J7417" s="18">
        <f>IFERROR(__xludf.DUMMYFUNCTION("""COMPUTED_VALUE"""),37.0)</f>
        <v>37</v>
      </c>
      <c r="K7417" s="18">
        <f>IFERROR(__xludf.DUMMYFUNCTION("""COMPUTED_VALUE"""),27.0)</f>
        <v>27</v>
      </c>
      <c r="L7417" s="17">
        <f>IFERROR(__xludf.DUMMYFUNCTION("""COMPUTED_VALUE"""),3.016937674E9)</f>
        <v>3016937674</v>
      </c>
      <c r="M7417" s="17"/>
      <c r="N7417" s="17"/>
      <c r="O7417" s="17"/>
      <c r="P7417" s="17" t="b">
        <f>IFERROR(__xludf.DUMMYFUNCTION("""COMPUTED_VALUE"""),FALSE)</f>
        <v>0</v>
      </c>
      <c r="Q7417" s="20" t="str">
        <f>IFERROR(__xludf.DUMMYFUNCTION("""COMPUTED_VALUE"""),"")</f>
        <v/>
      </c>
      <c r="R7417" s="22" t="str">
        <f>IFERROR(__xludf.DUMMYFUNCTION("""COMPUTED_VALUE"""),"")</f>
        <v/>
      </c>
    </row>
    <row r="7418">
      <c r="A7418" s="15">
        <f>IFERROR(__xludf.DUMMYFUNCTION("""COMPUTED_VALUE"""),45209.0)</f>
        <v>45209</v>
      </c>
      <c r="B7418" s="16" t="str">
        <f>IFERROR(__xludf.DUMMYFUNCTION("""COMPUTED_VALUE"""),"Santiago Garces Restrepo")</f>
        <v>Santiago Garces Restrepo</v>
      </c>
      <c r="C7418" s="15" t="str">
        <f>IFERROR(__xludf.DUMMYFUNCTION("""COMPUTED_VALUE"""),"MEDELLÍN")</f>
        <v>MEDELLÍN</v>
      </c>
      <c r="D7418" s="15" t="str">
        <f>IFERROR(__xludf.DUMMYFUNCTION("""COMPUTED_VALUE"""),"BOGOTÁ")</f>
        <v>BOGOTÁ</v>
      </c>
      <c r="E7418" s="15" t="str">
        <f>IFERROR(__xludf.DUMMYFUNCTION("""COMPUTED_VALUE"""),"Evamazzita")</f>
        <v>Evamazzita</v>
      </c>
      <c r="F7418" s="17" t="str">
        <f>IFERROR(__xludf.DUMMYFUNCTION("""COMPUTED_VALUE"""),"Calle 38 # 94 40  Medellín / Calle 38 # 94 40  Medellín")</f>
        <v>Calle 38 # 94 40  Medellín / Calle 38 # 94 40  Medellín</v>
      </c>
      <c r="G7418" s="15" t="str">
        <f>IFERROR(__xludf.DUMMYFUNCTION("""COMPUTED_VALUE"""),"MARIA FERNANDA GOMEZ")</f>
        <v>MARIA FERNANDA GOMEZ</v>
      </c>
      <c r="H7418" s="16">
        <f>IFERROR(__xludf.DUMMYFUNCTION("""COMPUTED_VALUE"""),16156.0)</f>
        <v>16156</v>
      </c>
      <c r="I7418" s="18">
        <f>IFERROR(__xludf.DUMMYFUNCTION("""COMPUTED_VALUE"""),1.0)</f>
        <v>1</v>
      </c>
      <c r="J7418" s="18">
        <f>IFERROR(__xludf.DUMMYFUNCTION("""COMPUTED_VALUE"""),1.0)</f>
        <v>1</v>
      </c>
      <c r="K7418" s="18">
        <f>IFERROR(__xludf.DUMMYFUNCTION("""COMPUTED_VALUE"""),1.0)</f>
        <v>1</v>
      </c>
      <c r="L7418" s="17">
        <f>IFERROR(__xludf.DUMMYFUNCTION("""COMPUTED_VALUE"""),3.20706392E9)</f>
        <v>3207063920</v>
      </c>
      <c r="M7418" s="17"/>
      <c r="N7418" s="17"/>
      <c r="O7418" s="17"/>
      <c r="P7418" s="17" t="b">
        <f>IFERROR(__xludf.DUMMYFUNCTION("""COMPUTED_VALUE"""),TRUE)</f>
        <v>1</v>
      </c>
      <c r="Q7418" s="20">
        <f>IFERROR(__xludf.DUMMYFUNCTION("""COMPUTED_VALUE"""),45210.57268363426)</f>
        <v>45210.57268</v>
      </c>
      <c r="R7418" s="21" t="str">
        <f>IFERROR(__xludf.DUMMYFUNCTION("""COMPUTED_VALUE"""),"https://drive.google.com/file/d/1tBe8AK_hwKDFrhnhAxMrLHR5S5STRIvI/view?usp=drivesdk")</f>
        <v>https://drive.google.com/file/d/1tBe8AK_hwKDFrhnhAxMrLHR5S5STRIvI/view?usp=drivesdk</v>
      </c>
    </row>
    <row r="7419">
      <c r="A7419" s="15">
        <f>IFERROR(__xludf.DUMMYFUNCTION("""COMPUTED_VALUE"""),45209.0)</f>
        <v>45209</v>
      </c>
      <c r="B7419" s="16" t="str">
        <f>IFERROR(__xludf.DUMMYFUNCTION("""COMPUTED_VALUE"""),"Santiago Garces Restrepo")</f>
        <v>Santiago Garces Restrepo</v>
      </c>
      <c r="C7419" s="15" t="str">
        <f>IFERROR(__xludf.DUMMYFUNCTION("""COMPUTED_VALUE"""),"MEDELLÍN")</f>
        <v>MEDELLÍN</v>
      </c>
      <c r="D7419" s="15" t="str">
        <f>IFERROR(__xludf.DUMMYFUNCTION("""COMPUTED_VALUE"""),"BOGOTÁ")</f>
        <v>BOGOTÁ</v>
      </c>
      <c r="E7419" s="15" t="str">
        <f>IFERROR(__xludf.DUMMYFUNCTION("""COMPUTED_VALUE"""),"Evamazzita")</f>
        <v>Evamazzita</v>
      </c>
      <c r="F7419" s="17" t="str">
        <f>IFERROR(__xludf.DUMMYFUNCTION("""COMPUTED_VALUE"""),"Calle 77a # 88-35 / casa 36 urbanización villa fernanda  Barrio robledo")</f>
        <v>Calle 77a # 88-35 / casa 36 urbanización villa fernanda  Barrio robledo</v>
      </c>
      <c r="G7419" s="15" t="str">
        <f>IFERROR(__xludf.DUMMYFUNCTION("""COMPUTED_VALUE"""),"BLANCA INES GOMEZ ALVAREZ")</f>
        <v>BLANCA INES GOMEZ ALVAREZ</v>
      </c>
      <c r="H7419" s="16">
        <f>IFERROR(__xludf.DUMMYFUNCTION("""COMPUTED_VALUE"""),16157.0)</f>
        <v>16157</v>
      </c>
      <c r="I7419" s="18">
        <f>IFERROR(__xludf.DUMMYFUNCTION("""COMPUTED_VALUE"""),1.0)</f>
        <v>1</v>
      </c>
      <c r="J7419" s="18">
        <f>IFERROR(__xludf.DUMMYFUNCTION("""COMPUTED_VALUE"""),1.0)</f>
        <v>1</v>
      </c>
      <c r="K7419" s="18">
        <f>IFERROR(__xludf.DUMMYFUNCTION("""COMPUTED_VALUE"""),1.0)</f>
        <v>1</v>
      </c>
      <c r="L7419" s="17">
        <f>IFERROR(__xludf.DUMMYFUNCTION("""COMPUTED_VALUE"""),3.137121846E9)</f>
        <v>3137121846</v>
      </c>
      <c r="M7419" s="17"/>
      <c r="N7419" s="17"/>
      <c r="O7419" s="17"/>
      <c r="P7419" s="17" t="b">
        <f>IFERROR(__xludf.DUMMYFUNCTION("""COMPUTED_VALUE"""),FALSE)</f>
        <v>0</v>
      </c>
      <c r="Q7419" s="20" t="str">
        <f>IFERROR(__xludf.DUMMYFUNCTION("""COMPUTED_VALUE"""),"")</f>
        <v/>
      </c>
      <c r="R7419" s="21" t="str">
        <f>IFERROR(__xludf.DUMMYFUNCTION("""COMPUTED_VALUE"""),"https://drive.google.com/file/d/1pG6_PPkUhvx87IykQQKzAd4E5_MWr9HQ/view?usp=drivesdk")</f>
        <v>https://drive.google.com/file/d/1pG6_PPkUhvx87IykQQKzAd4E5_MWr9HQ/view?usp=drivesdk</v>
      </c>
    </row>
    <row r="7420">
      <c r="A7420" s="15">
        <f>IFERROR(__xludf.DUMMYFUNCTION("""COMPUTED_VALUE"""),45209.0)</f>
        <v>45209</v>
      </c>
      <c r="B7420" s="16" t="str">
        <f>IFERROR(__xludf.DUMMYFUNCTION("""COMPUTED_VALUE"""),"Santiago Garces Restrepo")</f>
        <v>Santiago Garces Restrepo</v>
      </c>
      <c r="C7420" s="15" t="str">
        <f>IFERROR(__xludf.DUMMYFUNCTION("""COMPUTED_VALUE"""),"MEDELLÍN")</f>
        <v>MEDELLÍN</v>
      </c>
      <c r="D7420" s="15" t="str">
        <f>IFERROR(__xludf.DUMMYFUNCTION("""COMPUTED_VALUE"""),"BOGOTÁ")</f>
        <v>BOGOTÁ</v>
      </c>
      <c r="E7420" s="15" t="str">
        <f>IFERROR(__xludf.DUMMYFUNCTION("""COMPUTED_VALUE"""),"Evamazzita")</f>
        <v>Evamazzita</v>
      </c>
      <c r="F7420" s="17" t="str">
        <f>IFERROR(__xludf.DUMMYFUNCTION("""COMPUTED_VALUE"""),"CRA 15 BA No. 34D - 44 / INT 201")</f>
        <v>CRA 15 BA No. 34D - 44 / INT 201</v>
      </c>
      <c r="G7420" s="15" t="str">
        <f>IFERROR(__xludf.DUMMYFUNCTION("""COMPUTED_VALUE"""),"DANIELA BEDOYA BLANDON")</f>
        <v>DANIELA BEDOYA BLANDON</v>
      </c>
      <c r="H7420" s="16">
        <f>IFERROR(__xludf.DUMMYFUNCTION("""COMPUTED_VALUE"""),16150.0)</f>
        <v>16150</v>
      </c>
      <c r="I7420" s="18">
        <f>IFERROR(__xludf.DUMMYFUNCTION("""COMPUTED_VALUE"""),1.0)</f>
        <v>1</v>
      </c>
      <c r="J7420" s="18">
        <f>IFERROR(__xludf.DUMMYFUNCTION("""COMPUTED_VALUE"""),1.0)</f>
        <v>1</v>
      </c>
      <c r="K7420" s="18">
        <f>IFERROR(__xludf.DUMMYFUNCTION("""COMPUTED_VALUE"""),1.0)</f>
        <v>1</v>
      </c>
      <c r="L7420" s="17">
        <f>IFERROR(__xludf.DUMMYFUNCTION("""COMPUTED_VALUE"""),3.14672822E9)</f>
        <v>3146728220</v>
      </c>
      <c r="M7420" s="17"/>
      <c r="N7420" s="17"/>
      <c r="O7420" s="17"/>
      <c r="P7420" s="17" t="b">
        <f>IFERROR(__xludf.DUMMYFUNCTION("""COMPUTED_VALUE"""),TRUE)</f>
        <v>1</v>
      </c>
      <c r="Q7420" s="20">
        <f>IFERROR(__xludf.DUMMYFUNCTION("""COMPUTED_VALUE"""),45210.63126681713)</f>
        <v>45210.63127</v>
      </c>
      <c r="R7420" s="21" t="str">
        <f>IFERROR(__xludf.DUMMYFUNCTION("""COMPUTED_VALUE"""),"https://drive.google.com/file/d/1pT7MfCC7ZKL7YXh4pScmij7nmteeLBRK/view?usp=drivesdk")</f>
        <v>https://drive.google.com/file/d/1pT7MfCC7ZKL7YXh4pScmij7nmteeLBRK/view?usp=drivesdk</v>
      </c>
    </row>
    <row r="7421">
      <c r="A7421" s="15">
        <f>IFERROR(__xludf.DUMMYFUNCTION("""COMPUTED_VALUE"""),45209.0)</f>
        <v>45209</v>
      </c>
      <c r="B7421" s="16" t="str">
        <f>IFERROR(__xludf.DUMMYFUNCTION("""COMPUTED_VALUE"""),"Santiago Garces Restrepo")</f>
        <v>Santiago Garces Restrepo</v>
      </c>
      <c r="C7421" s="15" t="str">
        <f>IFERROR(__xludf.DUMMYFUNCTION("""COMPUTED_VALUE"""),"MEDELLÍN")</f>
        <v>MEDELLÍN</v>
      </c>
      <c r="D7421" s="15" t="str">
        <f>IFERROR(__xludf.DUMMYFUNCTION("""COMPUTED_VALUE"""),"BOGOTÁ")</f>
        <v>BOGOTÁ</v>
      </c>
      <c r="E7421" s="15" t="str">
        <f>IFERROR(__xludf.DUMMYFUNCTION("""COMPUTED_VALUE"""),"Helados Socos")</f>
        <v>Helados Socos</v>
      </c>
      <c r="F7421" s="17" t="str">
        <f>IFERROR(__xludf.DUMMYFUNCTION("""COMPUTED_VALUE"""),"Cll 49 D SUR # 43 A - 226 / zona 8 / Envigado Antioquia")</f>
        <v>Cll 49 D SUR # 43 A - 226 / zona 8 / Envigado Antioquia</v>
      </c>
      <c r="G7421" s="15" t="str">
        <f>IFERROR(__xludf.DUMMYFUNCTION("""COMPUTED_VALUE"""),"Evelyn Salazar")</f>
        <v>Evelyn Salazar</v>
      </c>
      <c r="H7421" s="16">
        <f>IFERROR(__xludf.DUMMYFUNCTION("""COMPUTED_VALUE"""),16074.0)</f>
        <v>16074</v>
      </c>
      <c r="I7421" s="18">
        <f>IFERROR(__xludf.DUMMYFUNCTION("""COMPUTED_VALUE"""),6.0)</f>
        <v>6</v>
      </c>
      <c r="J7421" s="18">
        <f>IFERROR(__xludf.DUMMYFUNCTION("""COMPUTED_VALUE"""),10.0)</f>
        <v>10</v>
      </c>
      <c r="K7421" s="18">
        <f>IFERROR(__xludf.DUMMYFUNCTION("""COMPUTED_VALUE"""),15.0)</f>
        <v>15</v>
      </c>
      <c r="L7421" s="17">
        <f>IFERROR(__xludf.DUMMYFUNCTION("""COMPUTED_VALUE"""),3.105725817E9)</f>
        <v>3105725817</v>
      </c>
      <c r="M7421" s="17"/>
      <c r="N7421" s="17"/>
      <c r="O7421" s="17"/>
      <c r="P7421" s="17" t="b">
        <f>IFERROR(__xludf.DUMMYFUNCTION("""COMPUTED_VALUE"""),FALSE)</f>
        <v>0</v>
      </c>
      <c r="Q7421" s="20" t="str">
        <f>IFERROR(__xludf.DUMMYFUNCTION("""COMPUTED_VALUE"""),"")</f>
        <v/>
      </c>
      <c r="R7421" s="21" t="str">
        <f>IFERROR(__xludf.DUMMYFUNCTION("""COMPUTED_VALUE"""),"https://drive.google.com/file/d/1sixH3HUGX4uWOlfQVWrH1JIzaNT4br3x/view?usp=drivesdk")</f>
        <v>https://drive.google.com/file/d/1sixH3HUGX4uWOlfQVWrH1JIzaNT4br3x/view?usp=drivesdk</v>
      </c>
    </row>
    <row r="7422">
      <c r="A7422" s="15">
        <f>IFERROR(__xludf.DUMMYFUNCTION("""COMPUTED_VALUE"""),45209.0)</f>
        <v>45209</v>
      </c>
      <c r="B7422" s="16" t="str">
        <f>IFERROR(__xludf.DUMMYFUNCTION("""COMPUTED_VALUE"""),"Santiago Garces Restrepo")</f>
        <v>Santiago Garces Restrepo</v>
      </c>
      <c r="C7422" s="15" t="str">
        <f>IFERROR(__xludf.DUMMYFUNCTION("""COMPUTED_VALUE"""),"MEDELLÍN")</f>
        <v>MEDELLÍN</v>
      </c>
      <c r="D7422" s="15" t="str">
        <f>IFERROR(__xludf.DUMMYFUNCTION("""COMPUTED_VALUE"""),"BOGOTÁ")</f>
        <v>BOGOTÁ</v>
      </c>
      <c r="E7422" s="15" t="str">
        <f>IFERROR(__xludf.DUMMYFUNCTION("""COMPUTED_VALUE"""),"MAI ALIMENTOS S.A.S")</f>
        <v>MAI ALIMENTOS S.A.S</v>
      </c>
      <c r="F7422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7422" s="15" t="str">
        <f>IFERROR(__xludf.DUMMYFUNCTION("""COMPUTED_VALUE"""),"Novaventas")</f>
        <v>Novaventas</v>
      </c>
      <c r="H7422" s="16">
        <f>IFERROR(__xludf.DUMMYFUNCTION("""COMPUTED_VALUE"""),16104.0)</f>
        <v>16104</v>
      </c>
      <c r="I7422" s="18">
        <f>IFERROR(__xludf.DUMMYFUNCTION("""COMPUTED_VALUE"""),35.0)</f>
        <v>35</v>
      </c>
      <c r="J7422" s="18">
        <f>IFERROR(__xludf.DUMMYFUNCTION("""COMPUTED_VALUE"""),17.0)</f>
        <v>17</v>
      </c>
      <c r="K7422" s="18">
        <f>IFERROR(__xludf.DUMMYFUNCTION("""COMPUTED_VALUE"""),13.0)</f>
        <v>13</v>
      </c>
      <c r="L7422" s="17"/>
      <c r="M7422" s="17"/>
      <c r="N7422" s="17"/>
      <c r="O7422" s="17"/>
      <c r="P7422" s="17" t="b">
        <f>IFERROR(__xludf.DUMMYFUNCTION("""COMPUTED_VALUE"""),FALSE)</f>
        <v>0</v>
      </c>
      <c r="Q7422" s="20" t="str">
        <f>IFERROR(__xludf.DUMMYFUNCTION("""COMPUTED_VALUE"""),"")</f>
        <v/>
      </c>
      <c r="R7422" s="21" t="str">
        <f>IFERROR(__xludf.DUMMYFUNCTION("""COMPUTED_VALUE"""),"https://drive.google.com/file/d/1LepuBzt0ev2xba9NtV1TdImnkBPRrh4Z/view?usp=drivesdk")</f>
        <v>https://drive.google.com/file/d/1LepuBzt0ev2xba9NtV1TdImnkBPRrh4Z/view?usp=drivesdk</v>
      </c>
    </row>
    <row r="7423">
      <c r="A7423" s="15">
        <f>IFERROR(__xludf.DUMMYFUNCTION("""COMPUTED_VALUE"""),45209.0)</f>
        <v>45209</v>
      </c>
      <c r="B7423" s="16" t="str">
        <f>IFERROR(__xludf.DUMMYFUNCTION("""COMPUTED_VALUE"""),"Santiago Garces Restrepo")</f>
        <v>Santiago Garces Restrepo</v>
      </c>
      <c r="C7423" s="15" t="str">
        <f>IFERROR(__xludf.DUMMYFUNCTION("""COMPUTED_VALUE"""),"MEDELLÍN")</f>
        <v>MEDELLÍN</v>
      </c>
      <c r="D7423" s="15" t="str">
        <f>IFERROR(__xludf.DUMMYFUNCTION("""COMPUTED_VALUE"""),"BOGOTÁ")</f>
        <v>BOGOTÁ</v>
      </c>
      <c r="E7423" s="15" t="str">
        <f>IFERROR(__xludf.DUMMYFUNCTION("""COMPUTED_VALUE"""),"Mochi")</f>
        <v>Mochi</v>
      </c>
      <c r="F7423" s="17" t="str">
        <f>IFERROR(__xludf.DUMMYFUNCTION("""COMPUTED_VALUE"""),"Cra 48# 32b sur 139 / Centro comercial  / Envigado")</f>
        <v>Cra 48# 32b sur 139 / Centro comercial  / Envigado</v>
      </c>
      <c r="G7423" s="15" t="str">
        <f>IFERROR(__xludf.DUMMYFUNCTION("""COMPUTED_VALUE"""),"Tania vellejon")</f>
        <v>Tania vellejon</v>
      </c>
      <c r="H7423" s="16">
        <f>IFERROR(__xludf.DUMMYFUNCTION("""COMPUTED_VALUE"""),16176.0)</f>
        <v>16176</v>
      </c>
      <c r="I7423" s="18">
        <f>IFERROR(__xludf.DUMMYFUNCTION("""COMPUTED_VALUE"""),55.0)</f>
        <v>55</v>
      </c>
      <c r="J7423" s="18">
        <f>IFERROR(__xludf.DUMMYFUNCTION("""COMPUTED_VALUE"""),44.0)</f>
        <v>44</v>
      </c>
      <c r="K7423" s="18" t="str">
        <f>IFERROR(__xludf.DUMMYFUNCTION("""COMPUTED_VALUE"""),"52.5")</f>
        <v>52.5</v>
      </c>
      <c r="L7423" s="17">
        <f>IFERROR(__xludf.DUMMYFUNCTION("""COMPUTED_VALUE"""),3.142587995E9)</f>
        <v>3142587995</v>
      </c>
      <c r="M7423" s="17"/>
      <c r="N7423" s="17"/>
      <c r="O7423" s="17"/>
      <c r="P7423" s="17" t="b">
        <f>IFERROR(__xludf.DUMMYFUNCTION("""COMPUTED_VALUE"""),FALSE)</f>
        <v>0</v>
      </c>
      <c r="Q7423" s="20" t="str">
        <f>IFERROR(__xludf.DUMMYFUNCTION("""COMPUTED_VALUE"""),"")</f>
        <v/>
      </c>
      <c r="R7423" s="21" t="str">
        <f>IFERROR(__xludf.DUMMYFUNCTION("""COMPUTED_VALUE"""),"https://drive.google.com/file/d/1g7Z00juA_Q2gGns5inj8OPAp715YdJ8o/view?usp=drivesdk")</f>
        <v>https://drive.google.com/file/d/1g7Z00juA_Q2gGns5inj8OPAp715YdJ8o/view?usp=drivesdk</v>
      </c>
    </row>
    <row r="7424">
      <c r="A7424" s="15">
        <f>IFERROR(__xludf.DUMMYFUNCTION("""COMPUTED_VALUE"""),45209.0)</f>
        <v>45209</v>
      </c>
      <c r="B7424" s="16" t="str">
        <f>IFERROR(__xludf.DUMMYFUNCTION("""COMPUTED_VALUE"""),"Santiago Garces Restrepo")</f>
        <v>Santiago Garces Restrepo</v>
      </c>
      <c r="C7424" s="15" t="str">
        <f>IFERROR(__xludf.DUMMYFUNCTION("""COMPUTED_VALUE"""),"MEDELLÍN")</f>
        <v>MEDELLÍN</v>
      </c>
      <c r="D7424" s="15" t="str">
        <f>IFERROR(__xludf.DUMMYFUNCTION("""COMPUTED_VALUE"""),"BOGOTÁ")</f>
        <v>BOGOTÁ</v>
      </c>
      <c r="E7424" s="15" t="str">
        <f>IFERROR(__xludf.DUMMYFUNCTION("""COMPUTED_VALUE"""),"Pan de Waffle")</f>
        <v>Pan de Waffle</v>
      </c>
      <c r="F7424" s="17" t="str">
        <f>IFERROR(__xludf.DUMMYFUNCTION("""COMPUTED_VALUE"""),"Carrera 39 # 59 - 32 / Carrera 39 # 59 - 32 / Carrera 39 # 59 - 32")</f>
        <v>Carrera 39 # 59 - 32 / Carrera 39 # 59 - 32 / Carrera 39 # 59 - 32</v>
      </c>
      <c r="G7424" s="15" t="str">
        <f>IFERROR(__xludf.DUMMYFUNCTION("""COMPUTED_VALUE"""),"FOODOLOGY MEDELLIN")</f>
        <v>FOODOLOGY MEDELLIN</v>
      </c>
      <c r="H7424" s="16">
        <f>IFERROR(__xludf.DUMMYFUNCTION("""COMPUTED_VALUE"""),16075.0)</f>
        <v>16075</v>
      </c>
      <c r="I7424" s="18">
        <f>IFERROR(__xludf.DUMMYFUNCTION("""COMPUTED_VALUE"""),40.0)</f>
        <v>40</v>
      </c>
      <c r="J7424" s="18">
        <f>IFERROR(__xludf.DUMMYFUNCTION("""COMPUTED_VALUE"""),30.0)</f>
        <v>30</v>
      </c>
      <c r="K7424" s="18">
        <f>IFERROR(__xludf.DUMMYFUNCTION("""COMPUTED_VALUE"""),30.0)</f>
        <v>30</v>
      </c>
      <c r="L7424" s="17">
        <f>IFERROR(__xludf.DUMMYFUNCTION("""COMPUTED_VALUE"""),3.123558292E9)</f>
        <v>3123558292</v>
      </c>
      <c r="M7424" s="17"/>
      <c r="N7424" s="17"/>
      <c r="O7424" s="17"/>
      <c r="P7424" s="17" t="b">
        <f>IFERROR(__xludf.DUMMYFUNCTION("""COMPUTED_VALUE"""),FALSE)</f>
        <v>0</v>
      </c>
      <c r="Q7424" s="20" t="str">
        <f>IFERROR(__xludf.DUMMYFUNCTION("""COMPUTED_VALUE"""),"")</f>
        <v/>
      </c>
      <c r="R7424" s="21" t="str">
        <f>IFERROR(__xludf.DUMMYFUNCTION("""COMPUTED_VALUE"""),"https://drive.google.com/file/d/1tsiXUSNnRGd4FqO4le23SVk3Kzp1nurl/view?usp=drivesdk")</f>
        <v>https://drive.google.com/file/d/1tsiXUSNnRGd4FqO4le23SVk3Kzp1nurl/view?usp=drivesdk</v>
      </c>
    </row>
    <row r="7425">
      <c r="A7425" s="15">
        <f>IFERROR(__xludf.DUMMYFUNCTION("""COMPUTED_VALUE"""),45209.0)</f>
        <v>45209</v>
      </c>
      <c r="B7425" s="16" t="str">
        <f>IFERROR(__xludf.DUMMYFUNCTION("""COMPUTED_VALUE"""),"Santiago Garces Restrepo")</f>
        <v>Santiago Garces Restrepo</v>
      </c>
      <c r="C7425" s="15" t="str">
        <f>IFERROR(__xludf.DUMMYFUNCTION("""COMPUTED_VALUE"""),"MEDELLÍN")</f>
        <v>MEDELLÍN</v>
      </c>
      <c r="D7425" s="15" t="str">
        <f>IFERROR(__xludf.DUMMYFUNCTION("""COMPUTED_VALUE"""),"BOGOTÁ")</f>
        <v>BOGOTÁ</v>
      </c>
      <c r="E7425" s="15" t="str">
        <f>IFERROR(__xludf.DUMMYFUNCTION("""COMPUTED_VALUE"""),"Top Spun")</f>
        <v>Top Spun</v>
      </c>
      <c r="F7425" s="17" t="str">
        <f>IFERROR(__xludf.DUMMYFUNCTION("""COMPUTED_VALUE"""),"Carrera 30 a número 17 sur 36 / Campestre Alto 502 / Medellín")</f>
        <v>Carrera 30 a número 17 sur 36 / Campestre Alto 502 / Medellín</v>
      </c>
      <c r="G7425" s="15" t="str">
        <f>IFERROR(__xludf.DUMMYFUNCTION("""COMPUTED_VALUE"""),"Guillermo Pérez")</f>
        <v>Guillermo Pérez</v>
      </c>
      <c r="H7425" s="16">
        <f>IFERROR(__xludf.DUMMYFUNCTION("""COMPUTED_VALUE"""),16080.0)</f>
        <v>16080</v>
      </c>
      <c r="I7425" s="18">
        <f>IFERROR(__xludf.DUMMYFUNCTION("""COMPUTED_VALUE"""),20.0)</f>
        <v>20</v>
      </c>
      <c r="J7425" s="18">
        <f>IFERROR(__xludf.DUMMYFUNCTION("""COMPUTED_VALUE"""),10.0)</f>
        <v>10</v>
      </c>
      <c r="K7425" s="18">
        <f>IFERROR(__xludf.DUMMYFUNCTION("""COMPUTED_VALUE"""),40.0)</f>
        <v>40</v>
      </c>
      <c r="L7425" s="17">
        <f>IFERROR(__xludf.DUMMYFUNCTION("""COMPUTED_VALUE"""),3.117476873E9)</f>
        <v>3117476873</v>
      </c>
      <c r="M7425" s="17"/>
      <c r="N7425" s="17"/>
      <c r="O7425" s="17"/>
      <c r="P7425" s="17" t="b">
        <f>IFERROR(__xludf.DUMMYFUNCTION("""COMPUTED_VALUE"""),FALSE)</f>
        <v>0</v>
      </c>
      <c r="Q7425" s="20" t="str">
        <f>IFERROR(__xludf.DUMMYFUNCTION("""COMPUTED_VALUE"""),"")</f>
        <v/>
      </c>
      <c r="R7425" s="21" t="str">
        <f>IFERROR(__xludf.DUMMYFUNCTION("""COMPUTED_VALUE"""),"https://drive.google.com/file/d/1LL3T-p1xC4IlaUyWRgfiovVARqnwKiKG/view?usp=drivesdk")</f>
        <v>https://drive.google.com/file/d/1LL3T-p1xC4IlaUyWRgfiovVARqnwKiKG/view?usp=drivesdk</v>
      </c>
    </row>
    <row r="7426">
      <c r="A7426" s="15">
        <f>IFERROR(__xludf.DUMMYFUNCTION("""COMPUTED_VALUE"""),45209.0)</f>
        <v>45209</v>
      </c>
      <c r="B7426" s="16" t="str">
        <f>IFERROR(__xludf.DUMMYFUNCTION("""COMPUTED_VALUE"""),"Santiago Garces Restrepo")</f>
        <v>Santiago Garces Restrepo</v>
      </c>
      <c r="C7426" s="15" t="str">
        <f>IFERROR(__xludf.DUMMYFUNCTION("""COMPUTED_VALUE"""),"MEDELLÍN")</f>
        <v>MEDELLÍN</v>
      </c>
      <c r="D7426" s="15" t="str">
        <f>IFERROR(__xludf.DUMMYFUNCTION("""COMPUTED_VALUE"""),"BOGOTÁ")</f>
        <v>BOGOTÁ</v>
      </c>
      <c r="E7426" s="15" t="str">
        <f>IFERROR(__xludf.DUMMYFUNCTION("""COMPUTED_VALUE"""),"Top Spun")</f>
        <v>Top Spun</v>
      </c>
      <c r="F7426" s="17" t="str">
        <f>IFERROR(__xludf.DUMMYFUNCTION("""COMPUTED_VALUE"""),"Cra 15 # 19 sur 200 / urbanización de apartamentos terrace Quinta esencia apto 101  / Los Balsos , Poblado")</f>
        <v>Cra 15 # 19 sur 200 / urbanización de apartamentos terrace Quinta esencia apto 101  / Los Balsos , Poblado</v>
      </c>
      <c r="G7426" s="15" t="str">
        <f>IFERROR(__xludf.DUMMYFUNCTION("""COMPUTED_VALUE"""),"Ana Galvis")</f>
        <v>Ana Galvis</v>
      </c>
      <c r="H7426" s="16">
        <f>IFERROR(__xludf.DUMMYFUNCTION("""COMPUTED_VALUE"""),16087.0)</f>
        <v>16087</v>
      </c>
      <c r="I7426" s="18">
        <f>IFERROR(__xludf.DUMMYFUNCTION("""COMPUTED_VALUE"""),20.0)</f>
        <v>20</v>
      </c>
      <c r="J7426" s="18">
        <f>IFERROR(__xludf.DUMMYFUNCTION("""COMPUTED_VALUE"""),10.0)</f>
        <v>10</v>
      </c>
      <c r="K7426" s="18">
        <f>IFERROR(__xludf.DUMMYFUNCTION("""COMPUTED_VALUE"""),40.0)</f>
        <v>40</v>
      </c>
      <c r="L7426" s="17">
        <f>IFERROR(__xludf.DUMMYFUNCTION("""COMPUTED_VALUE"""),3.183418618E9)</f>
        <v>3183418618</v>
      </c>
      <c r="M7426" s="17"/>
      <c r="N7426" s="17"/>
      <c r="O7426" s="17"/>
      <c r="P7426" s="17" t="b">
        <f>IFERROR(__xludf.DUMMYFUNCTION("""COMPUTED_VALUE"""),FALSE)</f>
        <v>0</v>
      </c>
      <c r="Q7426" s="20" t="str">
        <f>IFERROR(__xludf.DUMMYFUNCTION("""COMPUTED_VALUE"""),"")</f>
        <v/>
      </c>
      <c r="R7426" s="21" t="str">
        <f>IFERROR(__xludf.DUMMYFUNCTION("""COMPUTED_VALUE"""),"https://drive.google.com/file/d/1I9yUGvCTdSvJDOCwgWqxn-OUb7eeFFgJ/view?usp=drivesdk")</f>
        <v>https://drive.google.com/file/d/1I9yUGvCTdSvJDOCwgWqxn-OUb7eeFFgJ/view?usp=drivesdk</v>
      </c>
    </row>
    <row r="7427">
      <c r="A7427" s="17" t="str">
        <f>IFERROR(__xludf.DUMMYFUNCTION("""COMPUTED_VALUE"""),"")</f>
        <v/>
      </c>
      <c r="B7427" s="17" t="str">
        <f>IFERROR(__xludf.DUMMYFUNCTION("""COMPUTED_VALUE"""),"")</f>
        <v/>
      </c>
      <c r="C7427" s="17" t="str">
        <f>IFERROR(__xludf.DUMMYFUNCTION("""COMPUTED_VALUE"""),"")</f>
        <v/>
      </c>
      <c r="D7427" s="17" t="str">
        <f>IFERROR(__xludf.DUMMYFUNCTION("""COMPUTED_VALUE"""),"")</f>
        <v/>
      </c>
      <c r="E7427" s="17" t="str">
        <f>IFERROR(__xludf.DUMMYFUNCTION("""COMPUTED_VALUE"""),"")</f>
        <v/>
      </c>
      <c r="F7427" s="17" t="str">
        <f>IFERROR(__xludf.DUMMYFUNCTION("""COMPUTED_VALUE"""),"")</f>
        <v/>
      </c>
      <c r="G7427" s="17" t="str">
        <f>IFERROR(__xludf.DUMMYFUNCTION("""COMPUTED_VALUE"""),"")</f>
        <v/>
      </c>
      <c r="H7427" s="17" t="str">
        <f>IFERROR(__xludf.DUMMYFUNCTION("""COMPUTED_VALUE"""),"")</f>
        <v/>
      </c>
      <c r="I7427" s="17" t="str">
        <f>IFERROR(__xludf.DUMMYFUNCTION("""COMPUTED_VALUE"""),"")</f>
        <v/>
      </c>
      <c r="J7427" s="17" t="str">
        <f>IFERROR(__xludf.DUMMYFUNCTION("""COMPUTED_VALUE"""),"")</f>
        <v/>
      </c>
      <c r="K7427" s="17" t="str">
        <f>IFERROR(__xludf.DUMMYFUNCTION("""COMPUTED_VALUE"""),"")</f>
        <v/>
      </c>
      <c r="L7427" s="17" t="str">
        <f>IFERROR(__xludf.DUMMYFUNCTION("""COMPUTED_VALUE"""),"")</f>
        <v/>
      </c>
      <c r="M7427" s="17" t="str">
        <f>IFERROR(__xludf.DUMMYFUNCTION("""COMPUTED_VALUE"""),"")</f>
        <v/>
      </c>
      <c r="N7427" s="17" t="str">
        <f>IFERROR(__xludf.DUMMYFUNCTION("""COMPUTED_VALUE"""),"")</f>
        <v/>
      </c>
      <c r="O7427" s="17" t="str">
        <f>IFERROR(__xludf.DUMMYFUNCTION("""COMPUTED_VALUE"""),"")</f>
        <v/>
      </c>
      <c r="P7427" s="17" t="str">
        <f>IFERROR(__xludf.DUMMYFUNCTION("""COMPUTED_VALUE"""),"")</f>
        <v/>
      </c>
      <c r="Q7427" s="17" t="str">
        <f>IFERROR(__xludf.DUMMYFUNCTION("""COMPUTED_VALUE"""),"")</f>
        <v/>
      </c>
      <c r="R7427" s="17" t="str">
        <f>IFERROR(__xludf.DUMMYFUNCTION("""COMPUTED_VALUE"""),"")</f>
        <v/>
      </c>
    </row>
    <row r="7428">
      <c r="A7428" s="15">
        <f>IFERROR(__xludf.DUMMYFUNCTION("""COMPUTED_VALUE"""),45210.0)</f>
        <v>45210</v>
      </c>
      <c r="B7428" s="16" t="str">
        <f>IFERROR(__xludf.DUMMYFUNCTION("""COMPUTED_VALUE"""),"Daniel José sandoval gonzalez")</f>
        <v>Daniel José sandoval gonzalez</v>
      </c>
      <c r="C7428" s="15" t="str">
        <f>IFERROR(__xludf.DUMMYFUNCTION("""COMPUTED_VALUE"""),"CALI")</f>
        <v>CALI</v>
      </c>
      <c r="D7428" s="15" t="str">
        <f>IFERROR(__xludf.DUMMYFUNCTION("""COMPUTED_VALUE"""),"MEDELLÍN")</f>
        <v>MEDELLÍN</v>
      </c>
      <c r="E7428" s="15" t="str">
        <f>IFERROR(__xludf.DUMMYFUNCTION("""COMPUTED_VALUE"""),"Rambla")</f>
        <v>Rambla</v>
      </c>
      <c r="F7428" s="17" t="str">
        <f>IFERROR(__xludf.DUMMYFUNCTION("""COMPUTED_VALUE"""),"calle 16 #85-10 / local 102 / Barrio ingenio")</f>
        <v>calle 16 #85-10 / local 102 / Barrio ingenio</v>
      </c>
      <c r="G7428" s="15" t="str">
        <f>IFERROR(__xludf.DUMMYFUNCTION("""COMPUTED_VALUE"""),"Saludable tentación")</f>
        <v>Saludable tentación</v>
      </c>
      <c r="H7428" s="16">
        <f>IFERROR(__xludf.DUMMYFUNCTION("""COMPUTED_VALUE"""),16198.0)</f>
        <v>16198</v>
      </c>
      <c r="I7428" s="18">
        <f>IFERROR(__xludf.DUMMYFUNCTION("""COMPUTED_VALUE"""),30.0)</f>
        <v>30</v>
      </c>
      <c r="J7428" s="18">
        <f>IFERROR(__xludf.DUMMYFUNCTION("""COMPUTED_VALUE"""),21.0)</f>
        <v>21</v>
      </c>
      <c r="K7428" s="18">
        <f>IFERROR(__xludf.DUMMYFUNCTION("""COMPUTED_VALUE"""),31.0)</f>
        <v>31</v>
      </c>
      <c r="L7428" s="17">
        <f>IFERROR(__xludf.DUMMYFUNCTION("""COMPUTED_VALUE"""),3.112664694E9)</f>
        <v>3112664694</v>
      </c>
      <c r="M7428" s="17"/>
      <c r="N7428" s="17"/>
      <c r="O7428" s="17"/>
      <c r="P7428" s="17" t="b">
        <f>IFERROR(__xludf.DUMMYFUNCTION("""COMPUTED_VALUE"""),FALSE)</f>
        <v>0</v>
      </c>
      <c r="Q7428" s="20" t="str">
        <f>IFERROR(__xludf.DUMMYFUNCTION("""COMPUTED_VALUE"""),"")</f>
        <v/>
      </c>
      <c r="R7428" s="21" t="str">
        <f>IFERROR(__xludf.DUMMYFUNCTION("""COMPUTED_VALUE"""),"https://drive.google.com/file/d/1x8t5M9F7gnFWftx9rErS_dHknWEyjG9v/view?usp=drivesdk")</f>
        <v>https://drive.google.com/file/d/1x8t5M9F7gnFWftx9rErS_dHknWEyjG9v/view?usp=drivesdk</v>
      </c>
    </row>
    <row r="7429">
      <c r="A7429" s="17" t="str">
        <f>IFERROR(__xludf.DUMMYFUNCTION("""COMPUTED_VALUE"""),"")</f>
        <v/>
      </c>
      <c r="B7429" s="17" t="str">
        <f>IFERROR(__xludf.DUMMYFUNCTION("""COMPUTED_VALUE"""),"")</f>
        <v/>
      </c>
      <c r="C7429" s="17" t="str">
        <f>IFERROR(__xludf.DUMMYFUNCTION("""COMPUTED_VALUE"""),"")</f>
        <v/>
      </c>
      <c r="D7429" s="17" t="str">
        <f>IFERROR(__xludf.DUMMYFUNCTION("""COMPUTED_VALUE"""),"")</f>
        <v/>
      </c>
      <c r="E7429" s="17" t="str">
        <f>IFERROR(__xludf.DUMMYFUNCTION("""COMPUTED_VALUE"""),"")</f>
        <v/>
      </c>
      <c r="F7429" s="17" t="str">
        <f>IFERROR(__xludf.DUMMYFUNCTION("""COMPUTED_VALUE"""),"")</f>
        <v/>
      </c>
      <c r="G7429" s="17" t="str">
        <f>IFERROR(__xludf.DUMMYFUNCTION("""COMPUTED_VALUE"""),"")</f>
        <v/>
      </c>
      <c r="H7429" s="17" t="str">
        <f>IFERROR(__xludf.DUMMYFUNCTION("""COMPUTED_VALUE"""),"")</f>
        <v/>
      </c>
      <c r="I7429" s="17" t="str">
        <f>IFERROR(__xludf.DUMMYFUNCTION("""COMPUTED_VALUE"""),"")</f>
        <v/>
      </c>
      <c r="J7429" s="17" t="str">
        <f>IFERROR(__xludf.DUMMYFUNCTION("""COMPUTED_VALUE"""),"")</f>
        <v/>
      </c>
      <c r="K7429" s="17" t="str">
        <f>IFERROR(__xludf.DUMMYFUNCTION("""COMPUTED_VALUE"""),"")</f>
        <v/>
      </c>
      <c r="L7429" s="17" t="str">
        <f>IFERROR(__xludf.DUMMYFUNCTION("""COMPUTED_VALUE"""),"")</f>
        <v/>
      </c>
      <c r="M7429" s="17" t="str">
        <f>IFERROR(__xludf.DUMMYFUNCTION("""COMPUTED_VALUE"""),"")</f>
        <v/>
      </c>
      <c r="N7429" s="17" t="str">
        <f>IFERROR(__xludf.DUMMYFUNCTION("""COMPUTED_VALUE"""),"")</f>
        <v/>
      </c>
      <c r="O7429" s="17" t="str">
        <f>IFERROR(__xludf.DUMMYFUNCTION("""COMPUTED_VALUE"""),"")</f>
        <v/>
      </c>
      <c r="P7429" s="17" t="str">
        <f>IFERROR(__xludf.DUMMYFUNCTION("""COMPUTED_VALUE"""),"")</f>
        <v/>
      </c>
      <c r="Q7429" s="17" t="str">
        <f>IFERROR(__xludf.DUMMYFUNCTION("""COMPUTED_VALUE"""),"")</f>
        <v/>
      </c>
      <c r="R7429" s="17" t="str">
        <f>IFERROR(__xludf.DUMMYFUNCTION("""COMPUTED_VALUE"""),"")</f>
        <v/>
      </c>
    </row>
    <row r="7430">
      <c r="A7430" s="15">
        <f>IFERROR(__xludf.DUMMYFUNCTION("""COMPUTED_VALUE"""),45210.0)</f>
        <v>45210</v>
      </c>
      <c r="B7430" s="16" t="str">
        <f>IFERROR(__xludf.DUMMYFUNCTION("""COMPUTED_VALUE"""),"EASYMAIL S.A.S")</f>
        <v>EASYMAIL S.A.S</v>
      </c>
      <c r="C7430" s="15" t="str">
        <f>IFERROR(__xludf.DUMMYFUNCTION("""COMPUTED_VALUE"""),"BOGOTÁ")</f>
        <v>BOGOTÁ</v>
      </c>
      <c r="D7430" s="15" t="str">
        <f>IFERROR(__xludf.DUMMYFUNCTION("""COMPUTED_VALUE"""),"IBAGUÉ")</f>
        <v>IBAGUÉ</v>
      </c>
      <c r="E7430" s="15" t="str">
        <f>IFERROR(__xludf.DUMMYFUNCTION("""COMPUTED_VALUE"""),"Nutrikids Healthy")</f>
        <v>Nutrikids Healthy</v>
      </c>
      <c r="F7430" s="17" t="str">
        <f>IFERROR(__xludf.DUMMYFUNCTION("""COMPUTED_VALUE"""),"Calle 60A#5-29  / Edificio Abedul apto 401 / Localidad de Chapinero")</f>
        <v>Calle 60A#5-29  / Edificio Abedul apto 401 / Localidad de Chapinero</v>
      </c>
      <c r="G7430" s="15" t="str">
        <f>IFERROR(__xludf.DUMMYFUNCTION("""COMPUTED_VALUE"""),"Pedro Montes Rodriguez")</f>
        <v>Pedro Montes Rodriguez</v>
      </c>
      <c r="H7430" s="16">
        <f>IFERROR(__xludf.DUMMYFUNCTION("""COMPUTED_VALUE"""),16120.0)</f>
        <v>16120</v>
      </c>
      <c r="I7430" s="18">
        <f>IFERROR(__xludf.DUMMYFUNCTION("""COMPUTED_VALUE"""),17.0)</f>
        <v>17</v>
      </c>
      <c r="J7430" s="18">
        <f>IFERROR(__xludf.DUMMYFUNCTION("""COMPUTED_VALUE"""),21.0)</f>
        <v>21</v>
      </c>
      <c r="K7430" s="18">
        <f>IFERROR(__xludf.DUMMYFUNCTION("""COMPUTED_VALUE"""),31.0)</f>
        <v>31</v>
      </c>
      <c r="L7430" s="17">
        <f>IFERROR(__xludf.DUMMYFUNCTION("""COMPUTED_VALUE"""),3.173644573E9)</f>
        <v>3173644573</v>
      </c>
      <c r="M7430" s="17"/>
      <c r="N7430" s="17"/>
      <c r="O7430" s="17"/>
      <c r="P7430" s="17" t="b">
        <f>IFERROR(__xludf.DUMMYFUNCTION("""COMPUTED_VALUE"""),FALSE)</f>
        <v>0</v>
      </c>
      <c r="Q7430" s="20" t="str">
        <f>IFERROR(__xludf.DUMMYFUNCTION("""COMPUTED_VALUE"""),"")</f>
        <v/>
      </c>
      <c r="R7430" s="21" t="str">
        <f>IFERROR(__xludf.DUMMYFUNCTION("""COMPUTED_VALUE"""),"https://drive.google.com/file/d/1Yf8MmlcxMA2jcDNcI-IdUz0OlIS_7GQV/view?usp=drivesdk")</f>
        <v>https://drive.google.com/file/d/1Yf8MmlcxMA2jcDNcI-IdUz0OlIS_7GQV/view?usp=drivesdk</v>
      </c>
    </row>
    <row r="7431">
      <c r="A7431" s="15">
        <f>IFERROR(__xludf.DUMMYFUNCTION("""COMPUTED_VALUE"""),45210.0)</f>
        <v>45210</v>
      </c>
      <c r="B7431" s="16" t="str">
        <f>IFERROR(__xludf.DUMMYFUNCTION("""COMPUTED_VALUE"""),"EASYMAIL S.A.S")</f>
        <v>EASYMAIL S.A.S</v>
      </c>
      <c r="C7431" s="15" t="str">
        <f>IFERROR(__xludf.DUMMYFUNCTION("""COMPUTED_VALUE"""),"BOGOTÁ")</f>
        <v>BOGOTÁ</v>
      </c>
      <c r="D7431" s="15" t="str">
        <f>IFERROR(__xludf.DUMMYFUNCTION("""COMPUTED_VALUE"""),"IBAGUÉ")</f>
        <v>IBAGUÉ</v>
      </c>
      <c r="E7431" s="15" t="str">
        <f>IFERROR(__xludf.DUMMYFUNCTION("""COMPUTED_VALUE"""),"Pandeyucas de la Casa")</f>
        <v>Pandeyucas de la Casa</v>
      </c>
      <c r="F7431" s="17" t="str">
        <f>IFERROR(__xludf.DUMMYFUNCTION("""COMPUTED_VALUE"""),"Calle 105a #14-50 / Edificio Q105 - Apto 408 / Usaquen")</f>
        <v>Calle 105a #14-50 / Edificio Q105 - Apto 408 / Usaquen</v>
      </c>
      <c r="G7431" s="15" t="str">
        <f>IFERROR(__xludf.DUMMYFUNCTION("""COMPUTED_VALUE"""),"Daniela Nuñez")</f>
        <v>Daniela Nuñez</v>
      </c>
      <c r="H7431" s="16">
        <f>IFERROR(__xludf.DUMMYFUNCTION("""COMPUTED_VALUE"""),16174.0)</f>
        <v>16174</v>
      </c>
      <c r="I7431" s="18">
        <f>IFERROR(__xludf.DUMMYFUNCTION("""COMPUTED_VALUE"""),10.0)</f>
        <v>10</v>
      </c>
      <c r="J7431" s="18">
        <f>IFERROR(__xludf.DUMMYFUNCTION("""COMPUTED_VALUE"""),17.0)</f>
        <v>17</v>
      </c>
      <c r="K7431" s="18">
        <f>IFERROR(__xludf.DUMMYFUNCTION("""COMPUTED_VALUE"""),24.0)</f>
        <v>24</v>
      </c>
      <c r="L7431" s="17">
        <f>IFERROR(__xludf.DUMMYFUNCTION("""COMPUTED_VALUE"""),3.168705542E9)</f>
        <v>3168705542</v>
      </c>
      <c r="M7431" s="17"/>
      <c r="N7431" s="17"/>
      <c r="O7431" s="17"/>
      <c r="P7431" s="17" t="b">
        <f>IFERROR(__xludf.DUMMYFUNCTION("""COMPUTED_VALUE"""),FALSE)</f>
        <v>0</v>
      </c>
      <c r="Q7431" s="20" t="str">
        <f>IFERROR(__xludf.DUMMYFUNCTION("""COMPUTED_VALUE"""),"")</f>
        <v/>
      </c>
      <c r="R7431" s="21" t="str">
        <f>IFERROR(__xludf.DUMMYFUNCTION("""COMPUTED_VALUE"""),"https://drive.google.com/file/d/1zbGc8PaMRptkchEuzJOTXoVOp5rBfZH3/view?usp=drivesdk")</f>
        <v>https://drive.google.com/file/d/1zbGc8PaMRptkchEuzJOTXoVOp5rBfZH3/view?usp=drivesdk</v>
      </c>
    </row>
    <row r="7432">
      <c r="A7432" s="15">
        <f>IFERROR(__xludf.DUMMYFUNCTION("""COMPUTED_VALUE"""),45210.0)</f>
        <v>45210</v>
      </c>
      <c r="B7432" s="16" t="str">
        <f>IFERROR(__xludf.DUMMYFUNCTION("""COMPUTED_VALUE"""),"EASYMAIL S.A.S")</f>
        <v>EASYMAIL S.A.S</v>
      </c>
      <c r="C7432" s="15" t="str">
        <f>IFERROR(__xludf.DUMMYFUNCTION("""COMPUTED_VALUE"""),"BOGOTÁ")</f>
        <v>BOGOTÁ</v>
      </c>
      <c r="D7432" s="15" t="str">
        <f>IFERROR(__xludf.DUMMYFUNCTION("""COMPUTED_VALUE"""),"MEDELLÍN")</f>
        <v>MEDELLÍN</v>
      </c>
      <c r="E7432" s="15" t="str">
        <f>IFERROR(__xludf.DUMMYFUNCTION("""COMPUTED_VALUE"""),"Baby Chef")</f>
        <v>Baby Chef</v>
      </c>
      <c r="F7432" s="17" t="str">
        <f>IFERROR(__xludf.DUMMYFUNCTION("""COMPUTED_VALUE"""),"Calle 10 # 80-41  / conjunto oasis de castilla Torre 5 apto 920 / .")</f>
        <v>Calle 10 # 80-41  / conjunto oasis de castilla Torre 5 apto 920 / .</v>
      </c>
      <c r="G7432" s="15" t="str">
        <f>IFERROR(__xludf.DUMMYFUNCTION("""COMPUTED_VALUE"""),"Katherine Castro")</f>
        <v>Katherine Castro</v>
      </c>
      <c r="H7432" s="16">
        <f>IFERROR(__xludf.DUMMYFUNCTION("""COMPUTED_VALUE"""),16200.0)</f>
        <v>16200</v>
      </c>
      <c r="I7432" s="18">
        <f>IFERROR(__xludf.DUMMYFUNCTION("""COMPUTED_VALUE"""),5.0)</f>
        <v>5</v>
      </c>
      <c r="J7432" s="18">
        <f>IFERROR(__xludf.DUMMYFUNCTION("""COMPUTED_VALUE"""),22.0)</f>
        <v>22</v>
      </c>
      <c r="K7432" s="18">
        <f>IFERROR(__xludf.DUMMYFUNCTION("""COMPUTED_VALUE"""),30.0)</f>
        <v>30</v>
      </c>
      <c r="L7432" s="17">
        <f>IFERROR(__xludf.DUMMYFUNCTION("""COMPUTED_VALUE"""),3.005931932E9)</f>
        <v>3005931932</v>
      </c>
      <c r="M7432" s="17"/>
      <c r="N7432" s="17"/>
      <c r="O7432" s="17"/>
      <c r="P7432" s="17" t="b">
        <f>IFERROR(__xludf.DUMMYFUNCTION("""COMPUTED_VALUE"""),FALSE)</f>
        <v>0</v>
      </c>
      <c r="Q7432" s="20" t="str">
        <f>IFERROR(__xludf.DUMMYFUNCTION("""COMPUTED_VALUE"""),"")</f>
        <v/>
      </c>
      <c r="R7432" s="22" t="str">
        <f>IFERROR(__xludf.DUMMYFUNCTION("""COMPUTED_VALUE"""),"")</f>
        <v/>
      </c>
    </row>
    <row r="7433">
      <c r="A7433" s="15">
        <f>IFERROR(__xludf.DUMMYFUNCTION("""COMPUTED_VALUE"""),45210.0)</f>
        <v>45210</v>
      </c>
      <c r="B7433" s="16" t="str">
        <f>IFERROR(__xludf.DUMMYFUNCTION("""COMPUTED_VALUE"""),"EASYMAIL S.A.S")</f>
        <v>EASYMAIL S.A.S</v>
      </c>
      <c r="C7433" s="15" t="str">
        <f>IFERROR(__xludf.DUMMYFUNCTION("""COMPUTED_VALUE"""),"BOGOTÁ")</f>
        <v>BOGOTÁ</v>
      </c>
      <c r="D7433" s="15" t="str">
        <f>IFERROR(__xludf.DUMMYFUNCTION("""COMPUTED_VALUE"""),"MEDELLÍN")</f>
        <v>MEDELLÍN</v>
      </c>
      <c r="E7433" s="15" t="str">
        <f>IFERROR(__xludf.DUMMYFUNCTION("""COMPUTED_VALUE"""),"Baby Chef")</f>
        <v>Baby Chef</v>
      </c>
      <c r="F7433" s="17" t="str">
        <f>IFERROR(__xludf.DUMMYFUNCTION("""COMPUTED_VALUE"""),"Calle 131A 9-59 Apto 402 Torre 1 / . / .")</f>
        <v>Calle 131A 9-59 Apto 402 Torre 1 / . / .</v>
      </c>
      <c r="G7433" s="15" t="str">
        <f>IFERROR(__xludf.DUMMYFUNCTION("""COMPUTED_VALUE"""),"Cristian Pérez")</f>
        <v>Cristian Pérez</v>
      </c>
      <c r="H7433" s="16">
        <f>IFERROR(__xludf.DUMMYFUNCTION("""COMPUTED_VALUE"""),16191.0)</f>
        <v>16191</v>
      </c>
      <c r="I7433" s="18">
        <f>IFERROR(__xludf.DUMMYFUNCTION("""COMPUTED_VALUE"""),10.0)</f>
        <v>10</v>
      </c>
      <c r="J7433" s="18">
        <f>IFERROR(__xludf.DUMMYFUNCTION("""COMPUTED_VALUE"""),21.0)</f>
        <v>21</v>
      </c>
      <c r="K7433" s="18">
        <f>IFERROR(__xludf.DUMMYFUNCTION("""COMPUTED_VALUE"""),40.0)</f>
        <v>40</v>
      </c>
      <c r="L7433" s="17">
        <f>IFERROR(__xludf.DUMMYFUNCTION("""COMPUTED_VALUE"""),3.124244921E9)</f>
        <v>3124244921</v>
      </c>
      <c r="M7433" s="17"/>
      <c r="N7433" s="17"/>
      <c r="O7433" s="17"/>
      <c r="P7433" s="17" t="b">
        <f>IFERROR(__xludf.DUMMYFUNCTION("""COMPUTED_VALUE"""),FALSE)</f>
        <v>0</v>
      </c>
      <c r="Q7433" s="20" t="str">
        <f>IFERROR(__xludf.DUMMYFUNCTION("""COMPUTED_VALUE"""),"")</f>
        <v/>
      </c>
      <c r="R7433" s="22" t="str">
        <f>IFERROR(__xludf.DUMMYFUNCTION("""COMPUTED_VALUE"""),"")</f>
        <v/>
      </c>
    </row>
    <row r="7434">
      <c r="A7434" s="15">
        <f>IFERROR(__xludf.DUMMYFUNCTION("""COMPUTED_VALUE"""),45210.0)</f>
        <v>45210</v>
      </c>
      <c r="B7434" s="16" t="str">
        <f>IFERROR(__xludf.DUMMYFUNCTION("""COMPUTED_VALUE"""),"EASYMAIL S.A.S")</f>
        <v>EASYMAIL S.A.S</v>
      </c>
      <c r="C7434" s="15" t="str">
        <f>IFERROR(__xludf.DUMMYFUNCTION("""COMPUTED_VALUE"""),"BOGOTÁ")</f>
        <v>BOGOTÁ</v>
      </c>
      <c r="D7434" s="15" t="str">
        <f>IFERROR(__xludf.DUMMYFUNCTION("""COMPUTED_VALUE"""),"MEDELLÍN")</f>
        <v>MEDELLÍN</v>
      </c>
      <c r="E7434" s="15" t="str">
        <f>IFERROR(__xludf.DUMMYFUNCTION("""COMPUTED_VALUE"""),"Baby Chef")</f>
        <v>Baby Chef</v>
      </c>
      <c r="F7434" s="17" t="str">
        <f>IFERROR(__xludf.DUMMYFUNCTION("""COMPUTED_VALUE"""),"Calle 136#56a-18 Casa 13 R / incón de aticos 3 / .")</f>
        <v>Calle 136#56a-18 Casa 13 R / incón de aticos 3 / .</v>
      </c>
      <c r="G7434" s="15" t="str">
        <f>IFERROR(__xludf.DUMMYFUNCTION("""COMPUTED_VALUE"""),"Lissa Fajardo")</f>
        <v>Lissa Fajardo</v>
      </c>
      <c r="H7434" s="16">
        <f>IFERROR(__xludf.DUMMYFUNCTION("""COMPUTED_VALUE"""),16190.0)</f>
        <v>16190</v>
      </c>
      <c r="I7434" s="18">
        <f>IFERROR(__xludf.DUMMYFUNCTION("""COMPUTED_VALUE"""),10.0)</f>
        <v>10</v>
      </c>
      <c r="J7434" s="18">
        <f>IFERROR(__xludf.DUMMYFUNCTION("""COMPUTED_VALUE"""),24.0)</f>
        <v>24</v>
      </c>
      <c r="K7434" s="18">
        <f>IFERROR(__xludf.DUMMYFUNCTION("""COMPUTED_VALUE"""),39.0)</f>
        <v>39</v>
      </c>
      <c r="L7434" s="17">
        <f>IFERROR(__xludf.DUMMYFUNCTION("""COMPUTED_VALUE"""),3.105616953E9)</f>
        <v>3105616953</v>
      </c>
      <c r="M7434" s="17"/>
      <c r="N7434" s="17"/>
      <c r="O7434" s="17"/>
      <c r="P7434" s="17" t="b">
        <f>IFERROR(__xludf.DUMMYFUNCTION("""COMPUTED_VALUE"""),FALSE)</f>
        <v>0</v>
      </c>
      <c r="Q7434" s="20" t="str">
        <f>IFERROR(__xludf.DUMMYFUNCTION("""COMPUTED_VALUE"""),"")</f>
        <v/>
      </c>
      <c r="R7434" s="22" t="str">
        <f>IFERROR(__xludf.DUMMYFUNCTION("""COMPUTED_VALUE"""),"")</f>
        <v/>
      </c>
    </row>
    <row r="7435">
      <c r="A7435" s="15">
        <f>IFERROR(__xludf.DUMMYFUNCTION("""COMPUTED_VALUE"""),45210.0)</f>
        <v>45210</v>
      </c>
      <c r="B7435" s="16" t="str">
        <f>IFERROR(__xludf.DUMMYFUNCTION("""COMPUTED_VALUE"""),"EASYMAIL S.A.S")</f>
        <v>EASYMAIL S.A.S</v>
      </c>
      <c r="C7435" s="15" t="str">
        <f>IFERROR(__xludf.DUMMYFUNCTION("""COMPUTED_VALUE"""),"BOGOTÁ")</f>
        <v>BOGOTÁ</v>
      </c>
      <c r="D7435" s="15" t="str">
        <f>IFERROR(__xludf.DUMMYFUNCTION("""COMPUTED_VALUE"""),"MEDELLÍN")</f>
        <v>MEDELLÍN</v>
      </c>
      <c r="E7435" s="15" t="str">
        <f>IFERROR(__xludf.DUMMYFUNCTION("""COMPUTED_VALUE"""),"Baby Chef")</f>
        <v>Baby Chef</v>
      </c>
      <c r="F7435" s="17" t="str">
        <f>IFERROR(__xludf.DUMMYFUNCTION("""COMPUTED_VALUE"""),"Carera 73 #40_31sur tonoli1 entrada uno bloque 6 interior 7 apartamento 102 cielo / Barrió carimagua kennedy / Preguntar por Cielo Ospina")</f>
        <v>Carera 73 #40_31sur tonoli1 entrada uno bloque 6 interior 7 apartamento 102 cielo / Barrió carimagua kennedy / Preguntar por Cielo Ospina</v>
      </c>
      <c r="G7435" s="15" t="str">
        <f>IFERROR(__xludf.DUMMYFUNCTION("""COMPUTED_VALUE"""),"Angelica Mavinlly Chitiva")</f>
        <v>Angelica Mavinlly Chitiva</v>
      </c>
      <c r="H7435" s="16">
        <f>IFERROR(__xludf.DUMMYFUNCTION("""COMPUTED_VALUE"""),16201.0)</f>
        <v>16201</v>
      </c>
      <c r="I7435" s="18">
        <f>IFERROR(__xludf.DUMMYFUNCTION("""COMPUTED_VALUE"""),6.0)</f>
        <v>6</v>
      </c>
      <c r="J7435" s="18">
        <f>IFERROR(__xludf.DUMMYFUNCTION("""COMPUTED_VALUE"""),22.0)</f>
        <v>22</v>
      </c>
      <c r="K7435" s="18">
        <f>IFERROR(__xludf.DUMMYFUNCTION("""COMPUTED_VALUE"""),33.0)</f>
        <v>33</v>
      </c>
      <c r="L7435" s="17">
        <f>IFERROR(__xludf.DUMMYFUNCTION("""COMPUTED_VALUE"""),3.004987974E9)</f>
        <v>3004987974</v>
      </c>
      <c r="M7435" s="17"/>
      <c r="N7435" s="17"/>
      <c r="O7435" s="17"/>
      <c r="P7435" s="17" t="b">
        <f>IFERROR(__xludf.DUMMYFUNCTION("""COMPUTED_VALUE"""),FALSE)</f>
        <v>0</v>
      </c>
      <c r="Q7435" s="20" t="str">
        <f>IFERROR(__xludf.DUMMYFUNCTION("""COMPUTED_VALUE"""),"")</f>
        <v/>
      </c>
      <c r="R7435" s="22" t="str">
        <f>IFERROR(__xludf.DUMMYFUNCTION("""COMPUTED_VALUE"""),"")</f>
        <v/>
      </c>
    </row>
    <row r="7436">
      <c r="A7436" s="15">
        <f>IFERROR(__xludf.DUMMYFUNCTION("""COMPUTED_VALUE"""),45210.0)</f>
        <v>45210</v>
      </c>
      <c r="B7436" s="16" t="str">
        <f>IFERROR(__xludf.DUMMYFUNCTION("""COMPUTED_VALUE"""),"EASYMAIL S.A.S")</f>
        <v>EASYMAIL S.A.S</v>
      </c>
      <c r="C7436" s="15" t="str">
        <f>IFERROR(__xludf.DUMMYFUNCTION("""COMPUTED_VALUE"""),"BOGOTÁ")</f>
        <v>BOGOTÁ</v>
      </c>
      <c r="D7436" s="15" t="str">
        <f>IFERROR(__xludf.DUMMYFUNCTION("""COMPUTED_VALUE"""),"MEDELLÍN")</f>
        <v>MEDELLÍN</v>
      </c>
      <c r="E7436" s="15" t="str">
        <f>IFERROR(__xludf.DUMMYFUNCTION("""COMPUTED_VALUE"""),"Baby Chef")</f>
        <v>Baby Chef</v>
      </c>
      <c r="F7436" s="17" t="str">
        <f>IFERROR(__xludf.DUMMYFUNCTION("""COMPUTED_VALUE"""),"Carrera 45 # 56-07 apto 404   Bogota  / barrio Nicolás de federman /  Localidad teusaquillo")</f>
        <v>Carrera 45 # 56-07 apto 404   Bogota  / barrio Nicolás de federman /  Localidad teusaquillo</v>
      </c>
      <c r="G7436" s="15" t="str">
        <f>IFERROR(__xludf.DUMMYFUNCTION("""COMPUTED_VALUE"""),"Jennifer yepes cortes")</f>
        <v>Jennifer yepes cortes</v>
      </c>
      <c r="H7436" s="16">
        <f>IFERROR(__xludf.DUMMYFUNCTION("""COMPUTED_VALUE"""),16187.0)</f>
        <v>16187</v>
      </c>
      <c r="I7436" s="18">
        <f>IFERROR(__xludf.DUMMYFUNCTION("""COMPUTED_VALUE"""),8.0)</f>
        <v>8</v>
      </c>
      <c r="J7436" s="18">
        <f>IFERROR(__xludf.DUMMYFUNCTION("""COMPUTED_VALUE"""),19.0)</f>
        <v>19</v>
      </c>
      <c r="K7436" s="18">
        <f>IFERROR(__xludf.DUMMYFUNCTION("""COMPUTED_VALUE"""),34.0)</f>
        <v>34</v>
      </c>
      <c r="L7436" s="17">
        <f>IFERROR(__xludf.DUMMYFUNCTION("""COMPUTED_VALUE"""),3.043771585E9)</f>
        <v>3043771585</v>
      </c>
      <c r="M7436" s="17"/>
      <c r="N7436" s="17"/>
      <c r="O7436" s="17"/>
      <c r="P7436" s="17" t="b">
        <f>IFERROR(__xludf.DUMMYFUNCTION("""COMPUTED_VALUE"""),FALSE)</f>
        <v>0</v>
      </c>
      <c r="Q7436" s="20" t="str">
        <f>IFERROR(__xludf.DUMMYFUNCTION("""COMPUTED_VALUE"""),"")</f>
        <v/>
      </c>
      <c r="R7436" s="22" t="str">
        <f>IFERROR(__xludf.DUMMYFUNCTION("""COMPUTED_VALUE"""),"")</f>
        <v/>
      </c>
    </row>
    <row r="7437">
      <c r="A7437" s="15">
        <f>IFERROR(__xludf.DUMMYFUNCTION("""COMPUTED_VALUE"""),45210.0)</f>
        <v>45210</v>
      </c>
      <c r="B7437" s="16" t="str">
        <f>IFERROR(__xludf.DUMMYFUNCTION("""COMPUTED_VALUE"""),"EASYMAIL S.A.S")</f>
        <v>EASYMAIL S.A.S</v>
      </c>
      <c r="C7437" s="15" t="str">
        <f>IFERROR(__xludf.DUMMYFUNCTION("""COMPUTED_VALUE"""),"BOGOTÁ")</f>
        <v>BOGOTÁ</v>
      </c>
      <c r="D7437" s="15" t="str">
        <f>IFERROR(__xludf.DUMMYFUNCTION("""COMPUTED_VALUE"""),"MEDELLÍN")</f>
        <v>MEDELLÍN</v>
      </c>
      <c r="E7437" s="15" t="str">
        <f>IFERROR(__xludf.DUMMYFUNCTION("""COMPUTED_VALUE"""),"Baby Chef")</f>
        <v>Baby Chef</v>
      </c>
      <c r="F7437" s="17" t="str">
        <f>IFERROR(__xludf.DUMMYFUNCTION("""COMPUTED_VALUE"""),"Carrera 77 # 64c - 16  / . / Barrio Villa Luz")</f>
        <v>Carrera 77 # 64c - 16  / . / Barrio Villa Luz</v>
      </c>
      <c r="G7437" s="15" t="str">
        <f>IFERROR(__xludf.DUMMYFUNCTION("""COMPUTED_VALUE"""),"Heidi Pinilla")</f>
        <v>Heidi Pinilla</v>
      </c>
      <c r="H7437" s="16">
        <f>IFERROR(__xludf.DUMMYFUNCTION("""COMPUTED_VALUE"""),16193.0)</f>
        <v>16193</v>
      </c>
      <c r="I7437" s="18">
        <f>IFERROR(__xludf.DUMMYFUNCTION("""COMPUTED_VALUE"""),7.0)</f>
        <v>7</v>
      </c>
      <c r="J7437" s="18">
        <f>IFERROR(__xludf.DUMMYFUNCTION("""COMPUTED_VALUE"""),25.0)</f>
        <v>25</v>
      </c>
      <c r="K7437" s="18">
        <f>IFERROR(__xludf.DUMMYFUNCTION("""COMPUTED_VALUE"""),35.0)</f>
        <v>35</v>
      </c>
      <c r="L7437" s="17">
        <f>IFERROR(__xludf.DUMMYFUNCTION("""COMPUTED_VALUE"""),3.213748559E9)</f>
        <v>3213748559</v>
      </c>
      <c r="M7437" s="17"/>
      <c r="N7437" s="17"/>
      <c r="O7437" s="17"/>
      <c r="P7437" s="17" t="b">
        <f>IFERROR(__xludf.DUMMYFUNCTION("""COMPUTED_VALUE"""),FALSE)</f>
        <v>0</v>
      </c>
      <c r="Q7437" s="20" t="str">
        <f>IFERROR(__xludf.DUMMYFUNCTION("""COMPUTED_VALUE"""),"")</f>
        <v/>
      </c>
      <c r="R7437" s="22" t="str">
        <f>IFERROR(__xludf.DUMMYFUNCTION("""COMPUTED_VALUE"""),"")</f>
        <v/>
      </c>
    </row>
    <row r="7438">
      <c r="A7438" s="15">
        <f>IFERROR(__xludf.DUMMYFUNCTION("""COMPUTED_VALUE"""),45210.0)</f>
        <v>45210</v>
      </c>
      <c r="B7438" s="16" t="str">
        <f>IFERROR(__xludf.DUMMYFUNCTION("""COMPUTED_VALUE"""),"EASYMAIL S.A.S")</f>
        <v>EASYMAIL S.A.S</v>
      </c>
      <c r="C7438" s="15" t="str">
        <f>IFERROR(__xludf.DUMMYFUNCTION("""COMPUTED_VALUE"""),"BOGOTÁ")</f>
        <v>BOGOTÁ</v>
      </c>
      <c r="D7438" s="15" t="str">
        <f>IFERROR(__xludf.DUMMYFUNCTION("""COMPUTED_VALUE"""),"MEDELLÍN")</f>
        <v>MEDELLÍN</v>
      </c>
      <c r="E7438" s="15" t="str">
        <f>IFERROR(__xludf.DUMMYFUNCTION("""COMPUTED_VALUE"""),"Baby Chef")</f>
        <v>Baby Chef</v>
      </c>
      <c r="F7438" s="17" t="str">
        <f>IFERROR(__xludf.DUMMYFUNCTION("""COMPUTED_VALUE"""),"Cra 77 18 51 torre 4 apto 402 / . / .")</f>
        <v>Cra 77 18 51 torre 4 apto 402 / . / .</v>
      </c>
      <c r="G7438" s="15" t="str">
        <f>IFERROR(__xludf.DUMMYFUNCTION("""COMPUTED_VALUE"""),"Kate Figueroa")</f>
        <v>Kate Figueroa</v>
      </c>
      <c r="H7438" s="16">
        <f>IFERROR(__xludf.DUMMYFUNCTION("""COMPUTED_VALUE"""),16192.0)</f>
        <v>16192</v>
      </c>
      <c r="I7438" s="18">
        <f>IFERROR(__xludf.DUMMYFUNCTION("""COMPUTED_VALUE"""),8.0)</f>
        <v>8</v>
      </c>
      <c r="J7438" s="18">
        <f>IFERROR(__xludf.DUMMYFUNCTION("""COMPUTED_VALUE"""),21.0)</f>
        <v>21</v>
      </c>
      <c r="K7438" s="18">
        <f>IFERROR(__xludf.DUMMYFUNCTION("""COMPUTED_VALUE"""),42.0)</f>
        <v>42</v>
      </c>
      <c r="L7438" s="17">
        <f>IFERROR(__xludf.DUMMYFUNCTION("""COMPUTED_VALUE"""),3.502970217E9)</f>
        <v>3502970217</v>
      </c>
      <c r="M7438" s="17"/>
      <c r="N7438" s="17"/>
      <c r="O7438" s="17"/>
      <c r="P7438" s="17" t="b">
        <f>IFERROR(__xludf.DUMMYFUNCTION("""COMPUTED_VALUE"""),TRUE)</f>
        <v>1</v>
      </c>
      <c r="Q7438" s="20">
        <f>IFERROR(__xludf.DUMMYFUNCTION("""COMPUTED_VALUE"""),45211.51132737269)</f>
        <v>45211.51133</v>
      </c>
      <c r="R7438" s="22" t="str">
        <f>IFERROR(__xludf.DUMMYFUNCTION("""COMPUTED_VALUE"""),"")</f>
        <v/>
      </c>
    </row>
    <row r="7439">
      <c r="A7439" s="15">
        <f>IFERROR(__xludf.DUMMYFUNCTION("""COMPUTED_VALUE"""),45210.0)</f>
        <v>45210</v>
      </c>
      <c r="B7439" s="16" t="str">
        <f>IFERROR(__xludf.DUMMYFUNCTION("""COMPUTED_VALUE"""),"EASYMAIL S.A.S")</f>
        <v>EASYMAIL S.A.S</v>
      </c>
      <c r="C7439" s="15" t="str">
        <f>IFERROR(__xludf.DUMMYFUNCTION("""COMPUTED_VALUE"""),"BOGOTÁ")</f>
        <v>BOGOTÁ</v>
      </c>
      <c r="D7439" s="15" t="str">
        <f>IFERROR(__xludf.DUMMYFUNCTION("""COMPUTED_VALUE"""),"MEDELLÍN")</f>
        <v>MEDELLÍN</v>
      </c>
      <c r="E7439" s="15" t="str">
        <f>IFERROR(__xludf.DUMMYFUNCTION("""COMPUTED_VALUE"""),"Baby Chef")</f>
        <v>Baby Chef</v>
      </c>
      <c r="F7439" s="17" t="str">
        <f>IFERROR(__xludf.DUMMYFUNCTION("""COMPUTED_VALUE"""),"Diagonal 16B #104-23 int 9 apto 303 lote 2 primera etapa Centenario  / . / Fontibon")</f>
        <v>Diagonal 16B #104-23 int 9 apto 303 lote 2 primera etapa Centenario  / . / Fontibon</v>
      </c>
      <c r="G7439" s="15" t="str">
        <f>IFERROR(__xludf.DUMMYFUNCTION("""COMPUTED_VALUE"""),"Lina Jacquelyn Caicedo Velasco")</f>
        <v>Lina Jacquelyn Caicedo Velasco</v>
      </c>
      <c r="H7439" s="16">
        <f>IFERROR(__xludf.DUMMYFUNCTION("""COMPUTED_VALUE"""),16189.0)</f>
        <v>16189</v>
      </c>
      <c r="I7439" s="18">
        <f>IFERROR(__xludf.DUMMYFUNCTION("""COMPUTED_VALUE"""),10.0)</f>
        <v>10</v>
      </c>
      <c r="J7439" s="18">
        <f>IFERROR(__xludf.DUMMYFUNCTION("""COMPUTED_VALUE"""),21.0)</f>
        <v>21</v>
      </c>
      <c r="K7439" s="18">
        <f>IFERROR(__xludf.DUMMYFUNCTION("""COMPUTED_VALUE"""),42.0)</f>
        <v>42</v>
      </c>
      <c r="L7439" s="17">
        <f>IFERROR(__xludf.DUMMYFUNCTION("""COMPUTED_VALUE"""),3.108888253E9)</f>
        <v>3108888253</v>
      </c>
      <c r="M7439" s="17"/>
      <c r="N7439" s="17"/>
      <c r="O7439" s="17"/>
      <c r="P7439" s="17" t="b">
        <f>IFERROR(__xludf.DUMMYFUNCTION("""COMPUTED_VALUE"""),TRUE)</f>
        <v>1</v>
      </c>
      <c r="Q7439" s="20">
        <f>IFERROR(__xludf.DUMMYFUNCTION("""COMPUTED_VALUE"""),45210.57324489583)</f>
        <v>45210.57324</v>
      </c>
      <c r="R7439" s="22" t="str">
        <f>IFERROR(__xludf.DUMMYFUNCTION("""COMPUTED_VALUE"""),"")</f>
        <v/>
      </c>
    </row>
    <row r="7440">
      <c r="A7440" s="15">
        <f>IFERROR(__xludf.DUMMYFUNCTION("""COMPUTED_VALUE"""),45210.0)</f>
        <v>45210</v>
      </c>
      <c r="B7440" s="16" t="str">
        <f>IFERROR(__xludf.DUMMYFUNCTION("""COMPUTED_VALUE"""),"EASYMAIL S.A.S")</f>
        <v>EASYMAIL S.A.S</v>
      </c>
      <c r="C7440" s="15" t="str">
        <f>IFERROR(__xludf.DUMMYFUNCTION("""COMPUTED_VALUE"""),"BOGOTÁ")</f>
        <v>BOGOTÁ</v>
      </c>
      <c r="D7440" s="15" t="str">
        <f>IFERROR(__xludf.DUMMYFUNCTION("""COMPUTED_VALUE"""),"MEDELLÍN")</f>
        <v>MEDELLÍN</v>
      </c>
      <c r="E7440" s="15" t="str">
        <f>IFERROR(__xludf.DUMMYFUNCTION("""COMPUTED_VALUE"""),"Biota")</f>
        <v>Biota</v>
      </c>
      <c r="F7440" s="17" t="str">
        <f>IFERROR(__xludf.DUMMYFUNCTION("""COMPUTED_VALUE"""),"calle 166 #49-20 balcones de toledo torre 6 apto:109  / calle 166 #49-20 balcones de toledo torre 6 apto:109 / calle 166 #49-20 balcones de toledo torre 6 apto:109")</f>
        <v>calle 166 #49-20 balcones de toledo torre 6 apto:109  / calle 166 #49-20 balcones de toledo torre 6 apto:109 / calle 166 #49-20 balcones de toledo torre 6 apto:109</v>
      </c>
      <c r="G7440" s="15" t="str">
        <f>IFERROR(__xludf.DUMMYFUNCTION("""COMPUTED_VALUE"""),"Lorena Hernandez")</f>
        <v>Lorena Hernandez</v>
      </c>
      <c r="H7440" s="16">
        <f>IFERROR(__xludf.DUMMYFUNCTION("""COMPUTED_VALUE"""),16197.0)</f>
        <v>16197</v>
      </c>
      <c r="I7440" s="18">
        <f>IFERROR(__xludf.DUMMYFUNCTION("""COMPUTED_VALUE"""),30.0)</f>
        <v>30</v>
      </c>
      <c r="J7440" s="18">
        <f>IFERROR(__xludf.DUMMYFUNCTION("""COMPUTED_VALUE"""),8.0)</f>
        <v>8</v>
      </c>
      <c r="K7440" s="18">
        <f>IFERROR(__xludf.DUMMYFUNCTION("""COMPUTED_VALUE"""),14.0)</f>
        <v>14</v>
      </c>
      <c r="L7440" s="17">
        <f>IFERROR(__xludf.DUMMYFUNCTION("""COMPUTED_VALUE"""),3.107378986E9)</f>
        <v>3107378986</v>
      </c>
      <c r="M7440" s="17"/>
      <c r="N7440" s="17"/>
      <c r="O7440" s="17"/>
      <c r="P7440" s="17" t="b">
        <f>IFERROR(__xludf.DUMMYFUNCTION("""COMPUTED_VALUE"""),FALSE)</f>
        <v>0</v>
      </c>
      <c r="Q7440" s="20" t="str">
        <f>IFERROR(__xludf.DUMMYFUNCTION("""COMPUTED_VALUE"""),"")</f>
        <v/>
      </c>
      <c r="R7440" s="22" t="str">
        <f>IFERROR(__xludf.DUMMYFUNCTION("""COMPUTED_VALUE"""),"")</f>
        <v/>
      </c>
    </row>
    <row r="7441">
      <c r="A7441" s="15">
        <f>IFERROR(__xludf.DUMMYFUNCTION("""COMPUTED_VALUE"""),45210.0)</f>
        <v>45210</v>
      </c>
      <c r="B7441" s="16" t="str">
        <f>IFERROR(__xludf.DUMMYFUNCTION("""COMPUTED_VALUE"""),"EASYMAIL S.A.S")</f>
        <v>EASYMAIL S.A.S</v>
      </c>
      <c r="C7441" s="15" t="str">
        <f>IFERROR(__xludf.DUMMYFUNCTION("""COMPUTED_VALUE"""),"BOGOTÁ")</f>
        <v>BOGOTÁ</v>
      </c>
      <c r="D7441" s="15" t="str">
        <f>IFERROR(__xludf.DUMMYFUNCTION("""COMPUTED_VALUE"""),"MEDELLÍN")</f>
        <v>MEDELLÍN</v>
      </c>
      <c r="E7441" s="15" t="str">
        <f>IFERROR(__xludf.DUMMYFUNCTION("""COMPUTED_VALUE"""),"Biota")</f>
        <v>Biota</v>
      </c>
      <c r="F7441" s="17" t="str">
        <f>IFERROR(__xludf.DUMMYFUNCTION("""COMPUTED_VALUE"""),"Distribuidora MKT, Transversal 22A # 61c- 13  / Distribuidora MKT, Transversal 22A # 61c- 13  / Distribuidora MKT, Transversal 22A # 61c- 13")</f>
        <v>Distribuidora MKT, Transversal 22A # 61c- 13  / Distribuidora MKT, Transversal 22A # 61c- 13  / Distribuidora MKT, Transversal 22A # 61c- 13</v>
      </c>
      <c r="G7441" s="15" t="str">
        <f>IFERROR(__xludf.DUMMYFUNCTION("""COMPUTED_VALUE"""),"Nancy Baquero")</f>
        <v>Nancy Baquero</v>
      </c>
      <c r="H7441" s="16">
        <f>IFERROR(__xludf.DUMMYFUNCTION("""COMPUTED_VALUE"""),16203.0)</f>
        <v>16203</v>
      </c>
      <c r="I7441" s="18">
        <f>IFERROR(__xludf.DUMMYFUNCTION("""COMPUTED_VALUE"""),43.0)</f>
        <v>43</v>
      </c>
      <c r="J7441" s="18">
        <f>IFERROR(__xludf.DUMMYFUNCTION("""COMPUTED_VALUE"""),13.0)</f>
        <v>13</v>
      </c>
      <c r="K7441" s="18">
        <f>IFERROR(__xludf.DUMMYFUNCTION("""COMPUTED_VALUE"""),30.0)</f>
        <v>30</v>
      </c>
      <c r="L7441" s="17">
        <f>IFERROR(__xludf.DUMMYFUNCTION("""COMPUTED_VALUE"""),3.183593659E9)</f>
        <v>3183593659</v>
      </c>
      <c r="M7441" s="17"/>
      <c r="N7441" s="17"/>
      <c r="O7441" s="17"/>
      <c r="P7441" s="17" t="b">
        <f>IFERROR(__xludf.DUMMYFUNCTION("""COMPUTED_VALUE"""),FALSE)</f>
        <v>0</v>
      </c>
      <c r="Q7441" s="20" t="str">
        <f>IFERROR(__xludf.DUMMYFUNCTION("""COMPUTED_VALUE"""),"")</f>
        <v/>
      </c>
      <c r="R7441" s="22" t="str">
        <f>IFERROR(__xludf.DUMMYFUNCTION("""COMPUTED_VALUE"""),"")</f>
        <v/>
      </c>
    </row>
    <row r="7442">
      <c r="A7442" s="15">
        <f>IFERROR(__xludf.DUMMYFUNCTION("""COMPUTED_VALUE"""),45210.0)</f>
        <v>45210</v>
      </c>
      <c r="B7442" s="16" t="str">
        <f>IFERROR(__xludf.DUMMYFUNCTION("""COMPUTED_VALUE"""),"EASYMAIL S.A.S")</f>
        <v>EASYMAIL S.A.S</v>
      </c>
      <c r="C7442" s="15" t="str">
        <f>IFERROR(__xludf.DUMMYFUNCTION("""COMPUTED_VALUE"""),"BOGOTÁ")</f>
        <v>BOGOTÁ</v>
      </c>
      <c r="D7442" s="15" t="str">
        <f>IFERROR(__xludf.DUMMYFUNCTION("""COMPUTED_VALUE"""),"MEDELLÍN")</f>
        <v>MEDELLÍN</v>
      </c>
      <c r="E7442" s="15" t="str">
        <f>IFERROR(__xludf.DUMMYFUNCTION("""COMPUTED_VALUE"""),"Lácteos El Pino SAS")</f>
        <v>Lácteos El Pino SAS</v>
      </c>
      <c r="F7442" s="17" t="str">
        <f>IFERROR(__xludf.DUMMYFUNCTION("""COMPUTED_VALUE"""),"CALLE 93# 18 -81 / ENTREGAR EN EL LOCAL")</f>
        <v>CALLE 93# 18 -81 / ENTREGAR EN EL LOCAL</v>
      </c>
      <c r="G7442" s="15" t="str">
        <f>IFERROR(__xludf.DUMMYFUNCTION("""COMPUTED_VALUE"""),"KIM")</f>
        <v>KIM</v>
      </c>
      <c r="H7442" s="16">
        <f>IFERROR(__xludf.DUMMYFUNCTION("""COMPUTED_VALUE"""),16130.0)</f>
        <v>16130</v>
      </c>
      <c r="I7442" s="18">
        <f>IFERROR(__xludf.DUMMYFUNCTION("""COMPUTED_VALUE"""),33.0)</f>
        <v>33</v>
      </c>
      <c r="J7442" s="18">
        <f>IFERROR(__xludf.DUMMYFUNCTION("""COMPUTED_VALUE"""),22.0)</f>
        <v>22</v>
      </c>
      <c r="K7442" s="18">
        <f>IFERROR(__xludf.DUMMYFUNCTION("""COMPUTED_VALUE"""),36.0)</f>
        <v>36</v>
      </c>
      <c r="L7442" s="17">
        <f>IFERROR(__xludf.DUMMYFUNCTION("""COMPUTED_VALUE"""),3.24566062E9)</f>
        <v>3245660620</v>
      </c>
      <c r="M7442" s="17"/>
      <c r="N7442" s="17"/>
      <c r="O7442" s="17"/>
      <c r="P7442" s="17" t="b">
        <f>IFERROR(__xludf.DUMMYFUNCTION("""COMPUTED_VALUE"""),FALSE)</f>
        <v>0</v>
      </c>
      <c r="Q7442" s="20" t="str">
        <f>IFERROR(__xludf.DUMMYFUNCTION("""COMPUTED_VALUE"""),"")</f>
        <v/>
      </c>
      <c r="R7442" s="22" t="str">
        <f>IFERROR(__xludf.DUMMYFUNCTION("""COMPUTED_VALUE"""),"")</f>
        <v/>
      </c>
    </row>
    <row r="7443">
      <c r="A7443" s="15">
        <f>IFERROR(__xludf.DUMMYFUNCTION("""COMPUTED_VALUE"""),45210.0)</f>
        <v>45210</v>
      </c>
      <c r="B7443" s="16" t="str">
        <f>IFERROR(__xludf.DUMMYFUNCTION("""COMPUTED_VALUE"""),"EASYMAIL S.A.S")</f>
        <v>EASYMAIL S.A.S</v>
      </c>
      <c r="C7443" s="15" t="str">
        <f>IFERROR(__xludf.DUMMYFUNCTION("""COMPUTED_VALUE"""),"BOGOTÁ")</f>
        <v>BOGOTÁ</v>
      </c>
      <c r="D7443" s="15" t="str">
        <f>IFERROR(__xludf.DUMMYFUNCTION("""COMPUTED_VALUE"""),"MEDELLÍN")</f>
        <v>MEDELLÍN</v>
      </c>
      <c r="E7443" s="15" t="str">
        <f>IFERROR(__xludf.DUMMYFUNCTION("""COMPUTED_VALUE"""),"Lácteos El Pino SAS")</f>
        <v>Lácteos El Pino SAS</v>
      </c>
      <c r="F7443" s="17" t="str">
        <f>IFERROR(__xludf.DUMMYFUNCTION("""COMPUTED_VALUE"""),"CARRERA 54 # 65 - 25 / ENTREGAR  ENDIRECCION")</f>
        <v>CARRERA 54 # 65 - 25 / ENTREGAR  ENDIRECCION</v>
      </c>
      <c r="G7443" s="15" t="str">
        <f>IFERROR(__xludf.DUMMYFUNCTION("""COMPUTED_VALUE"""),"FELIPE MARIO PASCUA AGUIRRE")</f>
        <v>FELIPE MARIO PASCUA AGUIRRE</v>
      </c>
      <c r="H7443" s="16">
        <f>IFERROR(__xludf.DUMMYFUNCTION("""COMPUTED_VALUE"""),16132.0)</f>
        <v>16132</v>
      </c>
      <c r="I7443" s="18">
        <f>IFERROR(__xludf.DUMMYFUNCTION("""COMPUTED_VALUE"""),33.0)</f>
        <v>33</v>
      </c>
      <c r="J7443" s="18">
        <f>IFERROR(__xludf.DUMMYFUNCTION("""COMPUTED_VALUE"""),22.0)</f>
        <v>22</v>
      </c>
      <c r="K7443" s="18">
        <f>IFERROR(__xludf.DUMMYFUNCTION("""COMPUTED_VALUE"""),36.0)</f>
        <v>36</v>
      </c>
      <c r="L7443" s="17">
        <f>IFERROR(__xludf.DUMMYFUNCTION("""COMPUTED_VALUE"""),3.208334704E9)</f>
        <v>3208334704</v>
      </c>
      <c r="M7443" s="17"/>
      <c r="N7443" s="17"/>
      <c r="O7443" s="17"/>
      <c r="P7443" s="17" t="b">
        <f>IFERROR(__xludf.DUMMYFUNCTION("""COMPUTED_VALUE"""),FALSE)</f>
        <v>0</v>
      </c>
      <c r="Q7443" s="20" t="str">
        <f>IFERROR(__xludf.DUMMYFUNCTION("""COMPUTED_VALUE"""),"")</f>
        <v/>
      </c>
      <c r="R7443" s="22" t="str">
        <f>IFERROR(__xludf.DUMMYFUNCTION("""COMPUTED_VALUE"""),"")</f>
        <v/>
      </c>
    </row>
    <row r="7444">
      <c r="A7444" s="15">
        <f>IFERROR(__xludf.DUMMYFUNCTION("""COMPUTED_VALUE"""),45210.0)</f>
        <v>45210</v>
      </c>
      <c r="B7444" s="16" t="str">
        <f>IFERROR(__xludf.DUMMYFUNCTION("""COMPUTED_VALUE"""),"EASYMAIL S.A.S")</f>
        <v>EASYMAIL S.A.S</v>
      </c>
      <c r="C7444" s="15" t="str">
        <f>IFERROR(__xludf.DUMMYFUNCTION("""COMPUTED_VALUE"""),"BOGOTÁ")</f>
        <v>BOGOTÁ</v>
      </c>
      <c r="D7444" s="15" t="str">
        <f>IFERROR(__xludf.DUMMYFUNCTION("""COMPUTED_VALUE"""),"MEDELLÍN")</f>
        <v>MEDELLÍN</v>
      </c>
      <c r="E7444" s="15" t="str">
        <f>IFERROR(__xludf.DUMMYFUNCTION("""COMPUTED_VALUE"""),"Lácteos El Pino SAS")</f>
        <v>Lácteos El Pino SAS</v>
      </c>
      <c r="F7444" s="17" t="str">
        <f>IFERROR(__xludf.DUMMYFUNCTION("""COMPUTED_VALUE"""),"CRA 13 # 118-15 / LOCAL CASA GRIS- PRIMER PISO")</f>
        <v>CRA 13 # 118-15 / LOCAL CASA GRIS- PRIMER PISO</v>
      </c>
      <c r="G7444" s="15" t="str">
        <f>IFERROR(__xludf.DUMMYFUNCTION("""COMPUTED_VALUE"""),"MARCELA POSADA")</f>
        <v>MARCELA POSADA</v>
      </c>
      <c r="H7444" s="16">
        <f>IFERROR(__xludf.DUMMYFUNCTION("""COMPUTED_VALUE"""),16133.0)</f>
        <v>16133</v>
      </c>
      <c r="I7444" s="18">
        <f>IFERROR(__xludf.DUMMYFUNCTION("""COMPUTED_VALUE"""),18.0)</f>
        <v>18</v>
      </c>
      <c r="J7444" s="18">
        <f>IFERROR(__xludf.DUMMYFUNCTION("""COMPUTED_VALUE"""),21.0)</f>
        <v>21</v>
      </c>
      <c r="K7444" s="18">
        <f>IFERROR(__xludf.DUMMYFUNCTION("""COMPUTED_VALUE"""),36.0)</f>
        <v>36</v>
      </c>
      <c r="L7444" s="17">
        <f>IFERROR(__xludf.DUMMYFUNCTION("""COMPUTED_VALUE"""),3.207349904E9)</f>
        <v>3207349904</v>
      </c>
      <c r="M7444" s="17"/>
      <c r="N7444" s="17"/>
      <c r="O7444" s="17"/>
      <c r="P7444" s="17" t="b">
        <f>IFERROR(__xludf.DUMMYFUNCTION("""COMPUTED_VALUE"""),FALSE)</f>
        <v>0</v>
      </c>
      <c r="Q7444" s="20" t="str">
        <f>IFERROR(__xludf.DUMMYFUNCTION("""COMPUTED_VALUE"""),"")</f>
        <v/>
      </c>
      <c r="R7444" s="22" t="str">
        <f>IFERROR(__xludf.DUMMYFUNCTION("""COMPUTED_VALUE"""),"")</f>
        <v/>
      </c>
    </row>
    <row r="7445">
      <c r="A7445" s="15">
        <f>IFERROR(__xludf.DUMMYFUNCTION("""COMPUTED_VALUE"""),45210.0)</f>
        <v>45210</v>
      </c>
      <c r="B7445" s="16" t="str">
        <f>IFERROR(__xludf.DUMMYFUNCTION("""COMPUTED_VALUE"""),"EASYMAIL S.A.S")</f>
        <v>EASYMAIL S.A.S</v>
      </c>
      <c r="C7445" s="15" t="str">
        <f>IFERROR(__xludf.DUMMYFUNCTION("""COMPUTED_VALUE"""),"BOGOTÁ")</f>
        <v>BOGOTÁ</v>
      </c>
      <c r="D7445" s="15" t="str">
        <f>IFERROR(__xludf.DUMMYFUNCTION("""COMPUTED_VALUE"""),"MEDELLÍN")</f>
        <v>MEDELLÍN</v>
      </c>
      <c r="E7445" s="15" t="str">
        <f>IFERROR(__xludf.DUMMYFUNCTION("""COMPUTED_VALUE"""),"Moloso S.A.S")</f>
        <v>Moloso S.A.S</v>
      </c>
      <c r="F7445" s="17" t="str">
        <f>IFERROR(__xludf.DUMMYFUNCTION("""COMPUTED_VALUE"""),"CR 14B 161 49 ED TRINITARIOS BALCONES DE ORIENTE  BO 3 AP 103")</f>
        <v>CR 14B 161 49 ED TRINITARIOS BALCONES DE ORIENTE  BO 3 AP 103</v>
      </c>
      <c r="G7445" s="15" t="str">
        <f>IFERROR(__xludf.DUMMYFUNCTION("""COMPUTED_VALUE"""),"ALEJANDRA MARIA QUIÑONES")</f>
        <v>ALEJANDRA MARIA QUIÑONES</v>
      </c>
      <c r="H7445" s="16">
        <f>IFERROR(__xludf.DUMMYFUNCTION("""COMPUTED_VALUE"""),16180.0)</f>
        <v>16180</v>
      </c>
      <c r="I7445" s="18">
        <f>IFERROR(__xludf.DUMMYFUNCTION("""COMPUTED_VALUE"""),17.0)</f>
        <v>17</v>
      </c>
      <c r="J7445" s="18">
        <f>IFERROR(__xludf.DUMMYFUNCTION("""COMPUTED_VALUE"""),15.0)</f>
        <v>15</v>
      </c>
      <c r="K7445" s="18">
        <f>IFERROR(__xludf.DUMMYFUNCTION("""COMPUTED_VALUE"""),28.0)</f>
        <v>28</v>
      </c>
      <c r="L7445" s="17" t="str">
        <f>IFERROR(__xludf.DUMMYFUNCTION("""COMPUTED_VALUE"""),"310 8070529 317 6391522")</f>
        <v>310 8070529 317 6391522</v>
      </c>
      <c r="M7445" s="17"/>
      <c r="N7445" s="17"/>
      <c r="O7445" s="17"/>
      <c r="P7445" s="17" t="b">
        <f>IFERROR(__xludf.DUMMYFUNCTION("""COMPUTED_VALUE"""),FALSE)</f>
        <v>0</v>
      </c>
      <c r="Q7445" s="20" t="str">
        <f>IFERROR(__xludf.DUMMYFUNCTION("""COMPUTED_VALUE"""),"")</f>
        <v/>
      </c>
      <c r="R7445" s="22" t="str">
        <f>IFERROR(__xludf.DUMMYFUNCTION("""COMPUTED_VALUE"""),"")</f>
        <v/>
      </c>
    </row>
    <row r="7446">
      <c r="A7446" s="15">
        <f>IFERROR(__xludf.DUMMYFUNCTION("""COMPUTED_VALUE"""),45210.0)</f>
        <v>45210</v>
      </c>
      <c r="B7446" s="16" t="str">
        <f>IFERROR(__xludf.DUMMYFUNCTION("""COMPUTED_VALUE"""),"EASYMAIL S.A.S")</f>
        <v>EASYMAIL S.A.S</v>
      </c>
      <c r="C7446" s="15" t="str">
        <f>IFERROR(__xludf.DUMMYFUNCTION("""COMPUTED_VALUE"""),"BOGOTÁ")</f>
        <v>BOGOTÁ</v>
      </c>
      <c r="D7446" s="15" t="str">
        <f>IFERROR(__xludf.DUMMYFUNCTION("""COMPUTED_VALUE"""),"MEDELLÍN")</f>
        <v>MEDELLÍN</v>
      </c>
      <c r="E7446" s="15" t="str">
        <f>IFERROR(__xludf.DUMMYFUNCTION("""COMPUTED_VALUE"""),"Puro Verde")</f>
        <v>Puro Verde</v>
      </c>
      <c r="F7446" s="17" t="str">
        <f>IFERROR(__xludf.DUMMYFUNCTION("""COMPUTED_VALUE"""),"CRA 16A # 77-23 / LOCAL 4 / BARRIO EL LAGO")</f>
        <v>CRA 16A # 77-23 / LOCAL 4 / BARRIO EL LAGO</v>
      </c>
      <c r="G7446" s="15" t="str">
        <f>IFERROR(__xludf.DUMMYFUNCTION("""COMPUTED_VALUE"""),"DANDO CUERDA")</f>
        <v>DANDO CUERDA</v>
      </c>
      <c r="H7446" s="16">
        <f>IFERROR(__xludf.DUMMYFUNCTION("""COMPUTED_VALUE"""),16144.0)</f>
        <v>16144</v>
      </c>
      <c r="I7446" s="18">
        <f>IFERROR(__xludf.DUMMYFUNCTION("""COMPUTED_VALUE"""),55.0)</f>
        <v>55</v>
      </c>
      <c r="J7446" s="18">
        <f>IFERROR(__xludf.DUMMYFUNCTION("""COMPUTED_VALUE"""),45.0)</f>
        <v>45</v>
      </c>
      <c r="K7446" s="18" t="str">
        <f>IFERROR(__xludf.DUMMYFUNCTION("""COMPUTED_VALUE"""),"52.5")</f>
        <v>52.5</v>
      </c>
      <c r="L7446" s="17">
        <f>IFERROR(__xludf.DUMMYFUNCTION("""COMPUTED_VALUE"""),3.163816691E9)</f>
        <v>3163816691</v>
      </c>
      <c r="M7446" s="17"/>
      <c r="N7446" s="17"/>
      <c r="O7446" s="17"/>
      <c r="P7446" s="17" t="b">
        <f>IFERROR(__xludf.DUMMYFUNCTION("""COMPUTED_VALUE"""),FALSE)</f>
        <v>0</v>
      </c>
      <c r="Q7446" s="20" t="str">
        <f>IFERROR(__xludf.DUMMYFUNCTION("""COMPUTED_VALUE"""),"")</f>
        <v/>
      </c>
      <c r="R7446" s="21" t="str">
        <f>IFERROR(__xludf.DUMMYFUNCTION("""COMPUTED_VALUE"""),"https://drive.google.com/file/d/1V6ULi32lSSdapZPMmqeUlXQvVwGzcF-E/view?usp=drivesdk")</f>
        <v>https://drive.google.com/file/d/1V6ULi32lSSdapZPMmqeUlXQvVwGzcF-E/view?usp=drivesdk</v>
      </c>
    </row>
    <row r="7447">
      <c r="A7447" s="15">
        <f>IFERROR(__xludf.DUMMYFUNCTION("""COMPUTED_VALUE"""),45210.0)</f>
        <v>45210</v>
      </c>
      <c r="B7447" s="16" t="str">
        <f>IFERROR(__xludf.DUMMYFUNCTION("""COMPUTED_VALUE"""),"EASYMAIL S.A.S")</f>
        <v>EASYMAIL S.A.S</v>
      </c>
      <c r="C7447" s="15" t="str">
        <f>IFERROR(__xludf.DUMMYFUNCTION("""COMPUTED_VALUE"""),"BOGOTÁ")</f>
        <v>BOGOTÁ</v>
      </c>
      <c r="D7447" s="15" t="str">
        <f>IFERROR(__xludf.DUMMYFUNCTION("""COMPUTED_VALUE"""),"MEDELLÍN")</f>
        <v>MEDELLÍN</v>
      </c>
      <c r="E7447" s="15" t="str">
        <f>IFERROR(__xludf.DUMMYFUNCTION("""COMPUTED_VALUE"""),"Salón Ahumado")</f>
        <v>Salón Ahumado</v>
      </c>
      <c r="F7447" s="17" t="str">
        <f>IFERROR(__xludf.DUMMYFUNCTION("""COMPUTED_VALUE"""),"Calle 87 #10-51 / Apto 501 / Bogotá")</f>
        <v>Calle 87 #10-51 / Apto 501 / Bogotá</v>
      </c>
      <c r="G7447" s="15" t="str">
        <f>IFERROR(__xludf.DUMMYFUNCTION("""COMPUTED_VALUE"""),"Inés de Mosquera")</f>
        <v>Inés de Mosquera</v>
      </c>
      <c r="H7447" s="16">
        <f>IFERROR(__xludf.DUMMYFUNCTION("""COMPUTED_VALUE"""),16079.0)</f>
        <v>16079</v>
      </c>
      <c r="I7447" s="18">
        <f>IFERROR(__xludf.DUMMYFUNCTION("""COMPUTED_VALUE"""),24.0)</f>
        <v>24</v>
      </c>
      <c r="J7447" s="18">
        <f>IFERROR(__xludf.DUMMYFUNCTION("""COMPUTED_VALUE"""),12.0)</f>
        <v>12</v>
      </c>
      <c r="K7447" s="18">
        <f>IFERROR(__xludf.DUMMYFUNCTION("""COMPUTED_VALUE"""),23.0)</f>
        <v>23</v>
      </c>
      <c r="L7447" s="17">
        <f>IFERROR(__xludf.DUMMYFUNCTION("""COMPUTED_VALUE"""),3.102222246E9)</f>
        <v>3102222246</v>
      </c>
      <c r="M7447" s="17"/>
      <c r="N7447" s="17"/>
      <c r="O7447" s="17"/>
      <c r="P7447" s="17" t="b">
        <f>IFERROR(__xludf.DUMMYFUNCTION("""COMPUTED_VALUE"""),FALSE)</f>
        <v>0</v>
      </c>
      <c r="Q7447" s="20" t="str">
        <f>IFERROR(__xludf.DUMMYFUNCTION("""COMPUTED_VALUE"""),"")</f>
        <v/>
      </c>
      <c r="R7447" s="22" t="str">
        <f>IFERROR(__xludf.DUMMYFUNCTION("""COMPUTED_VALUE"""),"")</f>
        <v/>
      </c>
    </row>
    <row r="7448">
      <c r="A7448" s="15">
        <f>IFERROR(__xludf.DUMMYFUNCTION("""COMPUTED_VALUE"""),45210.0)</f>
        <v>45210</v>
      </c>
      <c r="B7448" s="16" t="str">
        <f>IFERROR(__xludf.DUMMYFUNCTION("""COMPUTED_VALUE"""),"EASYMAIL S.A.S")</f>
        <v>EASYMAIL S.A.S</v>
      </c>
      <c r="C7448" s="15" t="str">
        <f>IFERROR(__xludf.DUMMYFUNCTION("""COMPUTED_VALUE"""),"BOGOTÁ")</f>
        <v>BOGOTÁ</v>
      </c>
      <c r="D7448" s="15" t="str">
        <f>IFERROR(__xludf.DUMMYFUNCTION("""COMPUTED_VALUE"""),"MEDELLÍN")</f>
        <v>MEDELLÍN</v>
      </c>
      <c r="E7448" s="15" t="str">
        <f>IFERROR(__xludf.DUMMYFUNCTION("""COMPUTED_VALUE"""),"Terravocado")</f>
        <v>Terravocado</v>
      </c>
      <c r="F7448" s="17" t="str">
        <f>IFERROR(__xludf.DUMMYFUNCTION("""COMPUTED_VALUE"""),"KR 13  98 - 48 / CHICO NORTE  / CHICO NORTE")</f>
        <v>KR 13  98 - 48 / CHICO NORTE  / CHICO NORTE</v>
      </c>
      <c r="G7448" s="15" t="str">
        <f>IFERROR(__xludf.DUMMYFUNCTION("""COMPUTED_VALUE"""),"ALPARKE SAS")</f>
        <v>ALPARKE SAS</v>
      </c>
      <c r="H7448" s="16">
        <f>IFERROR(__xludf.DUMMYFUNCTION("""COMPUTED_VALUE"""),16072.0)</f>
        <v>16072</v>
      </c>
      <c r="I7448" s="18">
        <f>IFERROR(__xludf.DUMMYFUNCTION("""COMPUTED_VALUE"""),20.0)</f>
        <v>20</v>
      </c>
      <c r="J7448" s="18">
        <f>IFERROR(__xludf.DUMMYFUNCTION("""COMPUTED_VALUE"""),24.0)</f>
        <v>24</v>
      </c>
      <c r="K7448" s="18">
        <f>IFERROR(__xludf.DUMMYFUNCTION("""COMPUTED_VALUE"""),34.0)</f>
        <v>34</v>
      </c>
      <c r="L7448" s="17">
        <f>IFERROR(__xludf.DUMMYFUNCTION("""COMPUTED_VALUE"""),3.227737548E9)</f>
        <v>3227737548</v>
      </c>
      <c r="M7448" s="17"/>
      <c r="N7448" s="17"/>
      <c r="O7448" s="17"/>
      <c r="P7448" s="17" t="b">
        <f>IFERROR(__xludf.DUMMYFUNCTION("""COMPUTED_VALUE"""),FALSE)</f>
        <v>0</v>
      </c>
      <c r="Q7448" s="20" t="str">
        <f>IFERROR(__xludf.DUMMYFUNCTION("""COMPUTED_VALUE"""),"")</f>
        <v/>
      </c>
      <c r="R7448" s="22" t="str">
        <f>IFERROR(__xludf.DUMMYFUNCTION("""COMPUTED_VALUE"""),"")</f>
        <v/>
      </c>
    </row>
    <row r="7449">
      <c r="A7449" s="17" t="str">
        <f>IFERROR(__xludf.DUMMYFUNCTION("""COMPUTED_VALUE"""),"")</f>
        <v/>
      </c>
      <c r="B7449" s="17" t="str">
        <f>IFERROR(__xludf.DUMMYFUNCTION("""COMPUTED_VALUE"""),"")</f>
        <v/>
      </c>
      <c r="C7449" s="17" t="str">
        <f>IFERROR(__xludf.DUMMYFUNCTION("""COMPUTED_VALUE"""),"")</f>
        <v/>
      </c>
      <c r="D7449" s="17" t="str">
        <f>IFERROR(__xludf.DUMMYFUNCTION("""COMPUTED_VALUE"""),"")</f>
        <v/>
      </c>
      <c r="E7449" s="17" t="str">
        <f>IFERROR(__xludf.DUMMYFUNCTION("""COMPUTED_VALUE"""),"")</f>
        <v/>
      </c>
      <c r="F7449" s="17" t="str">
        <f>IFERROR(__xludf.DUMMYFUNCTION("""COMPUTED_VALUE"""),"")</f>
        <v/>
      </c>
      <c r="G7449" s="17" t="str">
        <f>IFERROR(__xludf.DUMMYFUNCTION("""COMPUTED_VALUE"""),"")</f>
        <v/>
      </c>
      <c r="H7449" s="17" t="str">
        <f>IFERROR(__xludf.DUMMYFUNCTION("""COMPUTED_VALUE"""),"")</f>
        <v/>
      </c>
      <c r="I7449" s="17" t="str">
        <f>IFERROR(__xludf.DUMMYFUNCTION("""COMPUTED_VALUE"""),"")</f>
        <v/>
      </c>
      <c r="J7449" s="17" t="str">
        <f>IFERROR(__xludf.DUMMYFUNCTION("""COMPUTED_VALUE"""),"")</f>
        <v/>
      </c>
      <c r="K7449" s="17" t="str">
        <f>IFERROR(__xludf.DUMMYFUNCTION("""COMPUTED_VALUE"""),"")</f>
        <v/>
      </c>
      <c r="L7449" s="17" t="str">
        <f>IFERROR(__xludf.DUMMYFUNCTION("""COMPUTED_VALUE"""),"")</f>
        <v/>
      </c>
      <c r="M7449" s="17" t="str">
        <f>IFERROR(__xludf.DUMMYFUNCTION("""COMPUTED_VALUE"""),"")</f>
        <v/>
      </c>
      <c r="N7449" s="17" t="str">
        <f>IFERROR(__xludf.DUMMYFUNCTION("""COMPUTED_VALUE"""),"")</f>
        <v/>
      </c>
      <c r="O7449" s="17" t="str">
        <f>IFERROR(__xludf.DUMMYFUNCTION("""COMPUTED_VALUE"""),"")</f>
        <v/>
      </c>
      <c r="P7449" s="17" t="str">
        <f>IFERROR(__xludf.DUMMYFUNCTION("""COMPUTED_VALUE"""),"")</f>
        <v/>
      </c>
      <c r="Q7449" s="17" t="str">
        <f>IFERROR(__xludf.DUMMYFUNCTION("""COMPUTED_VALUE"""),"")</f>
        <v/>
      </c>
      <c r="R7449" s="17" t="str">
        <f>IFERROR(__xludf.DUMMYFUNCTION("""COMPUTED_VALUE"""),"")</f>
        <v/>
      </c>
    </row>
    <row r="7450">
      <c r="A7450" s="15">
        <f>IFERROR(__xludf.DUMMYFUNCTION("""COMPUTED_VALUE"""),45210.0)</f>
        <v>45210</v>
      </c>
      <c r="B7450" s="16" t="str">
        <f>IFERROR(__xludf.DUMMYFUNCTION("""COMPUTED_VALUE"""),"Envia")</f>
        <v>Envia</v>
      </c>
      <c r="C7450" s="15" t="str">
        <f>IFERROR(__xludf.DUMMYFUNCTION("""COMPUTED_VALUE"""),"BOGOTÁ")</f>
        <v>BOGOTÁ</v>
      </c>
      <c r="D7450" s="15" t="str">
        <f>IFERROR(__xludf.DUMMYFUNCTION("""COMPUTED_VALUE"""),"MEDELLÍN")</f>
        <v>MEDELLÍN</v>
      </c>
      <c r="E7450" s="15" t="str">
        <f>IFERROR(__xludf.DUMMYFUNCTION("""COMPUTED_VALUE"""),"Lácteos El Pino SAS")</f>
        <v>Lácteos El Pino SAS</v>
      </c>
      <c r="F7450" s="17" t="str">
        <f>IFERROR(__xludf.DUMMYFUNCTION("""COMPUTED_VALUE"""),"Carrera 16#127-17 apto 1108 / EDIFICIO RIVERA DE SANTA INES")</f>
        <v>Carrera 16#127-17 apto 1108 / EDIFICIO RIVERA DE SANTA INES</v>
      </c>
      <c r="G7450" s="15" t="str">
        <f>IFERROR(__xludf.DUMMYFUNCTION("""COMPUTED_VALUE"""),"SONIA ROMAN")</f>
        <v>SONIA ROMAN</v>
      </c>
      <c r="H7450" s="16">
        <f>IFERROR(__xludf.DUMMYFUNCTION("""COMPUTED_VALUE"""),16169.0)</f>
        <v>16169</v>
      </c>
      <c r="I7450" s="18">
        <f>IFERROR(__xludf.DUMMYFUNCTION("""COMPUTED_VALUE"""),33.0)</f>
        <v>33</v>
      </c>
      <c r="J7450" s="18">
        <f>IFERROR(__xludf.DUMMYFUNCTION("""COMPUTED_VALUE"""),22.0)</f>
        <v>22</v>
      </c>
      <c r="K7450" s="18">
        <f>IFERROR(__xludf.DUMMYFUNCTION("""COMPUTED_VALUE"""),36.0)</f>
        <v>36</v>
      </c>
      <c r="L7450" s="17">
        <f>IFERROR(__xludf.DUMMYFUNCTION("""COMPUTED_VALUE"""),3.134516281E9)</f>
        <v>3134516281</v>
      </c>
      <c r="M7450" s="17"/>
      <c r="N7450" s="17"/>
      <c r="O7450" s="17"/>
      <c r="P7450" s="17" t="b">
        <f>IFERROR(__xludf.DUMMYFUNCTION("""COMPUTED_VALUE"""),FALSE)</f>
        <v>0</v>
      </c>
      <c r="Q7450" s="20" t="str">
        <f>IFERROR(__xludf.DUMMYFUNCTION("""COMPUTED_VALUE"""),"")</f>
        <v/>
      </c>
      <c r="R7450" s="22" t="str">
        <f>IFERROR(__xludf.DUMMYFUNCTION("""COMPUTED_VALUE"""),"")</f>
        <v/>
      </c>
    </row>
    <row r="7451">
      <c r="A7451" s="15">
        <f>IFERROR(__xludf.DUMMYFUNCTION("""COMPUTED_VALUE"""),45210.0)</f>
        <v>45210</v>
      </c>
      <c r="B7451" s="16" t="str">
        <f>IFERROR(__xludf.DUMMYFUNCTION("""COMPUTED_VALUE"""),"Envia")</f>
        <v>Envia</v>
      </c>
      <c r="C7451" s="15" t="str">
        <f>IFERROR(__xludf.DUMMYFUNCTION("""COMPUTED_VALUE"""),"BOGOTÁ")</f>
        <v>BOGOTÁ</v>
      </c>
      <c r="D7451" s="15" t="str">
        <f>IFERROR(__xludf.DUMMYFUNCTION("""COMPUTED_VALUE"""),"MEDELLÍN")</f>
        <v>MEDELLÍN</v>
      </c>
      <c r="E7451" s="15" t="str">
        <f>IFERROR(__xludf.DUMMYFUNCTION("""COMPUTED_VALUE"""),"Todo Bufala")</f>
        <v>Todo Bufala</v>
      </c>
      <c r="F7451" s="17" t="str">
        <f>IFERROR(__xludf.DUMMYFUNCTION("""COMPUTED_VALUE"""),"CR 60 B #93 A-20 Bogotá D.C.")</f>
        <v>CR 60 B #93 A-20 Bogotá D.C.</v>
      </c>
      <c r="G7451" s="15" t="str">
        <f>IFERROR(__xludf.DUMMYFUNCTION("""COMPUTED_VALUE"""),"VERMARKET GLOBAL SAS")</f>
        <v>VERMARKET GLOBAL SAS</v>
      </c>
      <c r="H7451" s="16">
        <f>IFERROR(__xludf.DUMMYFUNCTION("""COMPUTED_VALUE"""),16090.0)</f>
        <v>16090</v>
      </c>
      <c r="I7451" s="18">
        <f>IFERROR(__xludf.DUMMYFUNCTION("""COMPUTED_VALUE"""),20.0)</f>
        <v>20</v>
      </c>
      <c r="J7451" s="18">
        <f>IFERROR(__xludf.DUMMYFUNCTION("""COMPUTED_VALUE"""),15.0)</f>
        <v>15</v>
      </c>
      <c r="K7451" s="18">
        <f>IFERROR(__xludf.DUMMYFUNCTION("""COMPUTED_VALUE"""),20.0)</f>
        <v>20</v>
      </c>
      <c r="L7451" s="17" t="str">
        <f>IFERROR(__xludf.DUMMYFUNCTION("""COMPUTED_VALUE"""),"301 2325711")</f>
        <v>301 2325711</v>
      </c>
      <c r="M7451" s="17"/>
      <c r="N7451" s="17"/>
      <c r="O7451" s="17"/>
      <c r="P7451" s="17" t="b">
        <f>IFERROR(__xludf.DUMMYFUNCTION("""COMPUTED_VALUE"""),FALSE)</f>
        <v>0</v>
      </c>
      <c r="Q7451" s="20" t="str">
        <f>IFERROR(__xludf.DUMMYFUNCTION("""COMPUTED_VALUE"""),"")</f>
        <v/>
      </c>
      <c r="R7451" s="22" t="str">
        <f>IFERROR(__xludf.DUMMYFUNCTION("""COMPUTED_VALUE"""),"")</f>
        <v/>
      </c>
    </row>
    <row r="7452">
      <c r="A7452" s="15">
        <f>IFERROR(__xludf.DUMMYFUNCTION("""COMPUTED_VALUE"""),45210.0)</f>
        <v>45210</v>
      </c>
      <c r="B7452" s="16" t="str">
        <f>IFERROR(__xludf.DUMMYFUNCTION("""COMPUTED_VALUE"""),"Envia")</f>
        <v>Envia</v>
      </c>
      <c r="C7452" s="15" t="str">
        <f>IFERROR(__xludf.DUMMYFUNCTION("""COMPUTED_VALUE"""),"BOGOTÁ")</f>
        <v>BOGOTÁ</v>
      </c>
      <c r="D7452" s="15" t="str">
        <f>IFERROR(__xludf.DUMMYFUNCTION("""COMPUTED_VALUE"""),"MEDELLÍN")</f>
        <v>MEDELLÍN</v>
      </c>
      <c r="E7452" s="15" t="str">
        <f>IFERROR(__xludf.DUMMYFUNCTION("""COMPUTED_VALUE"""),"Videobase")</f>
        <v>Videobase</v>
      </c>
      <c r="F7452" s="17" t="str">
        <f>IFERROR(__xludf.DUMMYFUNCTION("""COMPUTED_VALUE"""),"Calle 163, No. 73-33, casa 45 Urb Santa María del Campo 2 Bogota D.C / Urbaniczación Santa Maria del Campo 2 / no tenemos")</f>
        <v>Calle 163, No. 73-33, casa 45 Urb Santa María del Campo 2 Bogota D.C / Urbaniczación Santa Maria del Campo 2 / no tenemos</v>
      </c>
      <c r="G7452" s="15" t="str">
        <f>IFERROR(__xludf.DUMMYFUNCTION("""COMPUTED_VALUE"""),"Antonio Robayo")</f>
        <v>Antonio Robayo</v>
      </c>
      <c r="H7452" s="16">
        <f>IFERROR(__xludf.DUMMYFUNCTION("""COMPUTED_VALUE"""),16103.0)</f>
        <v>16103</v>
      </c>
      <c r="I7452" s="18">
        <f>IFERROR(__xludf.DUMMYFUNCTION("""COMPUTED_VALUE"""),4.0)</f>
        <v>4</v>
      </c>
      <c r="J7452" s="18">
        <f>IFERROR(__xludf.DUMMYFUNCTION("""COMPUTED_VALUE"""),22.0)</f>
        <v>22</v>
      </c>
      <c r="K7452" s="18">
        <f>IFERROR(__xludf.DUMMYFUNCTION("""COMPUTED_VALUE"""),18.0)</f>
        <v>18</v>
      </c>
      <c r="L7452" s="17">
        <f>IFERROR(__xludf.DUMMYFUNCTION("""COMPUTED_VALUE"""),3.137013886E9)</f>
        <v>3137013886</v>
      </c>
      <c r="M7452" s="17"/>
      <c r="N7452" s="17"/>
      <c r="O7452" s="17"/>
      <c r="P7452" s="17" t="b">
        <f>IFERROR(__xludf.DUMMYFUNCTION("""COMPUTED_VALUE"""),FALSE)</f>
        <v>0</v>
      </c>
      <c r="Q7452" s="20" t="str">
        <f>IFERROR(__xludf.DUMMYFUNCTION("""COMPUTED_VALUE"""),"")</f>
        <v/>
      </c>
      <c r="R7452" s="22" t="str">
        <f>IFERROR(__xludf.DUMMYFUNCTION("""COMPUTED_VALUE"""),"")</f>
        <v/>
      </c>
    </row>
    <row r="7453">
      <c r="A7453" s="15">
        <f>IFERROR(__xludf.DUMMYFUNCTION("""COMPUTED_VALUE"""),45210.0)</f>
        <v>45210</v>
      </c>
      <c r="B7453" s="16" t="str">
        <f>IFERROR(__xludf.DUMMYFUNCTION("""COMPUTED_VALUE"""),"Envia")</f>
        <v>Envia</v>
      </c>
      <c r="C7453" s="15" t="str">
        <f>IFERROR(__xludf.DUMMYFUNCTION("""COMPUTED_VALUE"""),"CALI")</f>
        <v>CALI</v>
      </c>
      <c r="D7453" s="15" t="str">
        <f>IFERROR(__xludf.DUMMYFUNCTION("""COMPUTED_VALUE"""),"MEDELLÍN")</f>
        <v>MEDELLÍN</v>
      </c>
      <c r="E7453" s="15" t="str">
        <f>IFERROR(__xludf.DUMMYFUNCTION("""COMPUTED_VALUE"""),"Baby Chef")</f>
        <v>Baby Chef</v>
      </c>
      <c r="F7453" s="17" t="str">
        <f>IFERROR(__xludf.DUMMYFUNCTION("""COMPUTED_VALUE"""),"Carrera 99B # 48-22  / Masari torre 2 711 / .")</f>
        <v>Carrera 99B # 48-22  / Masari torre 2 711 / .</v>
      </c>
      <c r="G7453" s="15" t="str">
        <f>IFERROR(__xludf.DUMMYFUNCTION("""COMPUTED_VALUE"""),"Melissa Cardenas Henao")</f>
        <v>Melissa Cardenas Henao</v>
      </c>
      <c r="H7453" s="16">
        <f>IFERROR(__xludf.DUMMYFUNCTION("""COMPUTED_VALUE"""),16186.0)</f>
        <v>16186</v>
      </c>
      <c r="I7453" s="18">
        <f>IFERROR(__xludf.DUMMYFUNCTION("""COMPUTED_VALUE"""),8.0)</f>
        <v>8</v>
      </c>
      <c r="J7453" s="18">
        <f>IFERROR(__xludf.DUMMYFUNCTION("""COMPUTED_VALUE"""),20.0)</f>
        <v>20</v>
      </c>
      <c r="K7453" s="18">
        <f>IFERROR(__xludf.DUMMYFUNCTION("""COMPUTED_VALUE"""),39.0)</f>
        <v>39</v>
      </c>
      <c r="L7453" s="17">
        <f>IFERROR(__xludf.DUMMYFUNCTION("""COMPUTED_VALUE"""),3.157536742E9)</f>
        <v>3157536742</v>
      </c>
      <c r="M7453" s="17"/>
      <c r="N7453" s="17"/>
      <c r="O7453" s="17"/>
      <c r="P7453" s="17" t="b">
        <f>IFERROR(__xludf.DUMMYFUNCTION("""COMPUTED_VALUE"""),FALSE)</f>
        <v>0</v>
      </c>
      <c r="Q7453" s="20" t="str">
        <f>IFERROR(__xludf.DUMMYFUNCTION("""COMPUTED_VALUE"""),"")</f>
        <v/>
      </c>
      <c r="R7453" s="21" t="str">
        <f>IFERROR(__xludf.DUMMYFUNCTION("""COMPUTED_VALUE"""),"https://drive.google.com/file/d/1FhQfyyfypLdhzKX_ZSZo7SYXbt8y8rAn/view?usp=drivesdk")</f>
        <v>https://drive.google.com/file/d/1FhQfyyfypLdhzKX_ZSZo7SYXbt8y8rAn/view?usp=drivesdk</v>
      </c>
    </row>
    <row r="7454">
      <c r="A7454" s="15">
        <f>IFERROR(__xludf.DUMMYFUNCTION("""COMPUTED_VALUE"""),45210.0)</f>
        <v>45210</v>
      </c>
      <c r="B7454" s="16" t="str">
        <f>IFERROR(__xludf.DUMMYFUNCTION("""COMPUTED_VALUE"""),"Envia")</f>
        <v>Envia</v>
      </c>
      <c r="C7454" s="15" t="str">
        <f>IFERROR(__xludf.DUMMYFUNCTION("""COMPUTED_VALUE"""),"CALI")</f>
        <v>CALI</v>
      </c>
      <c r="D7454" s="15" t="str">
        <f>IFERROR(__xludf.DUMMYFUNCTION("""COMPUTED_VALUE"""),"MEDELLÍN")</f>
        <v>MEDELLÍN</v>
      </c>
      <c r="E7454" s="15" t="str">
        <f>IFERROR(__xludf.DUMMYFUNCTION("""COMPUTED_VALUE"""),"Rambla")</f>
        <v>Rambla</v>
      </c>
      <c r="F7454" s="17" t="str">
        <f>IFERROR(__xludf.DUMMYFUNCTION("""COMPUTED_VALUE"""),"Carrera 105 #14-05 / Ciudad jardín Local 5 / -")</f>
        <v>Carrera 105 #14-05 / Ciudad jardín Local 5 / -</v>
      </c>
      <c r="G7454" s="15" t="str">
        <f>IFERROR(__xludf.DUMMYFUNCTION("""COMPUTED_VALUE"""),"Green House")</f>
        <v>Green House</v>
      </c>
      <c r="H7454" s="16">
        <f>IFERROR(__xludf.DUMMYFUNCTION("""COMPUTED_VALUE"""),16199.0)</f>
        <v>16199</v>
      </c>
      <c r="I7454" s="18">
        <f>IFERROR(__xludf.DUMMYFUNCTION("""COMPUTED_VALUE"""),20.0)</f>
        <v>20</v>
      </c>
      <c r="J7454" s="18">
        <f>IFERROR(__xludf.DUMMYFUNCTION("""COMPUTED_VALUE"""),26.0)</f>
        <v>26</v>
      </c>
      <c r="K7454" s="18">
        <f>IFERROR(__xludf.DUMMYFUNCTION("""COMPUTED_VALUE"""),32.0)</f>
        <v>32</v>
      </c>
      <c r="L7454" s="17">
        <f>IFERROR(__xludf.DUMMYFUNCTION("""COMPUTED_VALUE"""),3.182527041E9)</f>
        <v>3182527041</v>
      </c>
      <c r="M7454" s="17"/>
      <c r="N7454" s="17"/>
      <c r="O7454" s="17"/>
      <c r="P7454" s="17" t="b">
        <f>IFERROR(__xludf.DUMMYFUNCTION("""COMPUTED_VALUE"""),FALSE)</f>
        <v>0</v>
      </c>
      <c r="Q7454" s="20" t="str">
        <f>IFERROR(__xludf.DUMMYFUNCTION("""COMPUTED_VALUE"""),"")</f>
        <v/>
      </c>
      <c r="R7454" s="21" t="str">
        <f>IFERROR(__xludf.DUMMYFUNCTION("""COMPUTED_VALUE"""),"https://drive.google.com/file/d/1lVn0_nv0f8OIFrWQv8viVg3yJy4aUfk5/view?usp=drivesdk")</f>
        <v>https://drive.google.com/file/d/1lVn0_nv0f8OIFrWQv8viVg3yJy4aUfk5/view?usp=drivesdk</v>
      </c>
    </row>
    <row r="7455">
      <c r="A7455" s="15">
        <f>IFERROR(__xludf.DUMMYFUNCTION("""COMPUTED_VALUE"""),45210.0)</f>
        <v>45210</v>
      </c>
      <c r="B7455" s="16" t="str">
        <f>IFERROR(__xludf.DUMMYFUNCTION("""COMPUTED_VALUE"""),"Envia")</f>
        <v>Envia</v>
      </c>
      <c r="C7455" s="15" t="str">
        <f>IFERROR(__xludf.DUMMYFUNCTION("""COMPUTED_VALUE"""),"MEDELLÍN")</f>
        <v>MEDELLÍN</v>
      </c>
      <c r="D7455" s="15" t="str">
        <f>IFERROR(__xludf.DUMMYFUNCTION("""COMPUTED_VALUE"""),"PEREIRA")</f>
        <v>PEREIRA</v>
      </c>
      <c r="E7455" s="15" t="str">
        <f>IFERROR(__xludf.DUMMYFUNCTION("""COMPUTED_VALUE"""),"BAK&amp;VEG")</f>
        <v>BAK&amp;VEG</v>
      </c>
      <c r="F7455" s="17" t="str">
        <f>IFERROR(__xludf.DUMMYFUNCTION("""COMPUTED_VALUE"""),"Carrera 39 # 5A 61 / Apto 204")</f>
        <v>Carrera 39 # 5A 61 / Apto 204</v>
      </c>
      <c r="G7455" s="15" t="str">
        <f>IFERROR(__xludf.DUMMYFUNCTION("""COMPUTED_VALUE"""),"Andrea Castrillón")</f>
        <v>Andrea Castrillón</v>
      </c>
      <c r="H7455" s="16">
        <f>IFERROR(__xludf.DUMMYFUNCTION("""COMPUTED_VALUE"""),16182.0)</f>
        <v>16182</v>
      </c>
      <c r="I7455" s="18">
        <f>IFERROR(__xludf.DUMMYFUNCTION("""COMPUTED_VALUE"""),15.0)</f>
        <v>15</v>
      </c>
      <c r="J7455" s="18">
        <f>IFERROR(__xludf.DUMMYFUNCTION("""COMPUTED_VALUE"""),8.0)</f>
        <v>8</v>
      </c>
      <c r="K7455" s="18">
        <f>IFERROR(__xludf.DUMMYFUNCTION("""COMPUTED_VALUE"""),25.0)</f>
        <v>25</v>
      </c>
      <c r="L7455" s="17">
        <f>IFERROR(__xludf.DUMMYFUNCTION("""COMPUTED_VALUE"""),3.128954309E9)</f>
        <v>3128954309</v>
      </c>
      <c r="M7455" s="17"/>
      <c r="N7455" s="17"/>
      <c r="O7455" s="17"/>
      <c r="P7455" s="17" t="b">
        <f>IFERROR(__xludf.DUMMYFUNCTION("""COMPUTED_VALUE"""),FALSE)</f>
        <v>0</v>
      </c>
      <c r="Q7455" s="20" t="str">
        <f>IFERROR(__xludf.DUMMYFUNCTION("""COMPUTED_VALUE"""),"")</f>
        <v/>
      </c>
      <c r="R7455" s="21" t="str">
        <f>IFERROR(__xludf.DUMMYFUNCTION("""COMPUTED_VALUE"""),"https://drive.google.com/file/d/1rTp5XmxkxJBsv-28MysTuCb4Q3T6Pp42/view?usp=drivesdk")</f>
        <v>https://drive.google.com/file/d/1rTp5XmxkxJBsv-28MysTuCb4Q3T6Pp42/view?usp=drivesdk</v>
      </c>
    </row>
    <row r="7456">
      <c r="A7456" s="17" t="str">
        <f>IFERROR(__xludf.DUMMYFUNCTION("""COMPUTED_VALUE"""),"")</f>
        <v/>
      </c>
      <c r="B7456" s="17" t="str">
        <f>IFERROR(__xludf.DUMMYFUNCTION("""COMPUTED_VALUE"""),"")</f>
        <v/>
      </c>
      <c r="C7456" s="17" t="str">
        <f>IFERROR(__xludf.DUMMYFUNCTION("""COMPUTED_VALUE"""),"")</f>
        <v/>
      </c>
      <c r="D7456" s="17" t="str">
        <f>IFERROR(__xludf.DUMMYFUNCTION("""COMPUTED_VALUE"""),"")</f>
        <v/>
      </c>
      <c r="E7456" s="17" t="str">
        <f>IFERROR(__xludf.DUMMYFUNCTION("""COMPUTED_VALUE"""),"")</f>
        <v/>
      </c>
      <c r="F7456" s="17" t="str">
        <f>IFERROR(__xludf.DUMMYFUNCTION("""COMPUTED_VALUE"""),"")</f>
        <v/>
      </c>
      <c r="G7456" s="17" t="str">
        <f>IFERROR(__xludf.DUMMYFUNCTION("""COMPUTED_VALUE"""),"")</f>
        <v/>
      </c>
      <c r="H7456" s="17" t="str">
        <f>IFERROR(__xludf.DUMMYFUNCTION("""COMPUTED_VALUE"""),"")</f>
        <v/>
      </c>
      <c r="I7456" s="17" t="str">
        <f>IFERROR(__xludf.DUMMYFUNCTION("""COMPUTED_VALUE"""),"")</f>
        <v/>
      </c>
      <c r="J7456" s="17" t="str">
        <f>IFERROR(__xludf.DUMMYFUNCTION("""COMPUTED_VALUE"""),"")</f>
        <v/>
      </c>
      <c r="K7456" s="17" t="str">
        <f>IFERROR(__xludf.DUMMYFUNCTION("""COMPUTED_VALUE"""),"")</f>
        <v/>
      </c>
      <c r="L7456" s="17" t="str">
        <f>IFERROR(__xludf.DUMMYFUNCTION("""COMPUTED_VALUE"""),"")</f>
        <v/>
      </c>
      <c r="M7456" s="17" t="str">
        <f>IFERROR(__xludf.DUMMYFUNCTION("""COMPUTED_VALUE"""),"")</f>
        <v/>
      </c>
      <c r="N7456" s="17" t="str">
        <f>IFERROR(__xludf.DUMMYFUNCTION("""COMPUTED_VALUE"""),"")</f>
        <v/>
      </c>
      <c r="O7456" s="17" t="str">
        <f>IFERROR(__xludf.DUMMYFUNCTION("""COMPUTED_VALUE"""),"")</f>
        <v/>
      </c>
      <c r="P7456" s="17" t="str">
        <f>IFERROR(__xludf.DUMMYFUNCTION("""COMPUTED_VALUE"""),"")</f>
        <v/>
      </c>
      <c r="Q7456" s="17" t="str">
        <f>IFERROR(__xludf.DUMMYFUNCTION("""COMPUTED_VALUE"""),"")</f>
        <v/>
      </c>
      <c r="R7456" s="17" t="str">
        <f>IFERROR(__xludf.DUMMYFUNCTION("""COMPUTED_VALUE"""),"")</f>
        <v/>
      </c>
    </row>
    <row r="7457">
      <c r="A7457" s="15">
        <f>IFERROR(__xludf.DUMMYFUNCTION("""COMPUTED_VALUE"""),45210.0)</f>
        <v>45210</v>
      </c>
      <c r="B7457" s="16" t="str">
        <f>IFERROR(__xludf.DUMMYFUNCTION("""COMPUTED_VALUE"""),"Johan Alexander Escobar Arroyo ")</f>
        <v>Johan Alexander Escobar Arroyo </v>
      </c>
      <c r="C7457" s="15" t="str">
        <f>IFERROR(__xludf.DUMMYFUNCTION("""COMPUTED_VALUE"""),"CALI")</f>
        <v>CALI</v>
      </c>
      <c r="D7457" s="15" t="str">
        <f>IFERROR(__xludf.DUMMYFUNCTION("""COMPUTED_VALUE"""),"BOGOTÁ")</f>
        <v>BOGOTÁ</v>
      </c>
      <c r="E7457" s="15" t="str">
        <f>IFERROR(__xludf.DUMMYFUNCTION("""COMPUTED_VALUE"""),"Mochi")</f>
        <v>Mochi</v>
      </c>
      <c r="F7457" s="17" t="str">
        <f>IFERROR(__xludf.DUMMYFUNCTION("""COMPUTED_VALUE"""),"Calle 15norte # 9 norte 16 / Local  / Granada cali")</f>
        <v>Calle 15norte # 9 norte 16 / Local  / Granada cali</v>
      </c>
      <c r="G7457" s="15" t="str">
        <f>IFERROR(__xludf.DUMMYFUNCTION("""COMPUTED_VALUE"""),"Estefania Tejada")</f>
        <v>Estefania Tejada</v>
      </c>
      <c r="H7457" s="16">
        <f>IFERROR(__xludf.DUMMYFUNCTION("""COMPUTED_VALUE"""),16205.0)</f>
        <v>16205</v>
      </c>
      <c r="I7457" s="18">
        <f>IFERROR(__xludf.DUMMYFUNCTION("""COMPUTED_VALUE"""),55.0)</f>
        <v>55</v>
      </c>
      <c r="J7457" s="18">
        <f>IFERROR(__xludf.DUMMYFUNCTION("""COMPUTED_VALUE"""),45.0)</f>
        <v>45</v>
      </c>
      <c r="K7457" s="18" t="str">
        <f>IFERROR(__xludf.DUMMYFUNCTION("""COMPUTED_VALUE"""),"52.5")</f>
        <v>52.5</v>
      </c>
      <c r="L7457" s="17">
        <f>IFERROR(__xludf.DUMMYFUNCTION("""COMPUTED_VALUE"""),3.183028598E9)</f>
        <v>3183028598</v>
      </c>
      <c r="M7457" s="17"/>
      <c r="N7457" s="17"/>
      <c r="O7457" s="17"/>
      <c r="P7457" s="17" t="b">
        <f>IFERROR(__xludf.DUMMYFUNCTION("""COMPUTED_VALUE"""),FALSE)</f>
        <v>0</v>
      </c>
      <c r="Q7457" s="20" t="str">
        <f>IFERROR(__xludf.DUMMYFUNCTION("""COMPUTED_VALUE"""),"")</f>
        <v/>
      </c>
      <c r="R7457" s="21" t="str">
        <f>IFERROR(__xludf.DUMMYFUNCTION("""COMPUTED_VALUE"""),"https://drive.google.com/file/d/1hc8n2JUR-jT6y-2-MuDR0wjRWPZwCygc/view?usp=drivesdk")</f>
        <v>https://drive.google.com/file/d/1hc8n2JUR-jT6y-2-MuDR0wjRWPZwCygc/view?usp=drivesdk</v>
      </c>
    </row>
    <row r="7458">
      <c r="A7458" s="15">
        <f>IFERROR(__xludf.DUMMYFUNCTION("""COMPUTED_VALUE"""),45210.0)</f>
        <v>45210</v>
      </c>
      <c r="B7458" s="16" t="str">
        <f>IFERROR(__xludf.DUMMYFUNCTION("""COMPUTED_VALUE"""),"Johan Alexander Escobar Arroyo ")</f>
        <v>Johan Alexander Escobar Arroyo </v>
      </c>
      <c r="C7458" s="15" t="str">
        <f>IFERROR(__xludf.DUMMYFUNCTION("""COMPUTED_VALUE"""),"CALI")</f>
        <v>CALI</v>
      </c>
      <c r="D7458" s="15" t="str">
        <f>IFERROR(__xludf.DUMMYFUNCTION("""COMPUTED_VALUE"""),"MEDELLÍN")</f>
        <v>MEDELLÍN</v>
      </c>
      <c r="E7458" s="15" t="str">
        <f>IFERROR(__xludf.DUMMYFUNCTION("""COMPUTED_VALUE"""),"AREPAS LA MARY")</f>
        <v>AREPAS LA MARY</v>
      </c>
      <c r="F7458" s="17" t="str">
        <f>IFERROR(__xludf.DUMMYFUNCTION("""COMPUTED_VALUE"""),"av 4 norte 7 n 46 local 129 / centro comercial centenario local 129")</f>
        <v>av 4 norte 7 n 46 local 129 / centro comercial centenario local 129</v>
      </c>
      <c r="G7458" s="15" t="str">
        <f>IFERROR(__xludf.DUMMYFUNCTION("""COMPUTED_VALUE"""),"Vitafitness SAS cali")</f>
        <v>Vitafitness SAS cali</v>
      </c>
      <c r="H7458" s="16">
        <f>IFERROR(__xludf.DUMMYFUNCTION("""COMPUTED_VALUE"""),16179.0)</f>
        <v>16179</v>
      </c>
      <c r="I7458" s="18">
        <f>IFERROR(__xludf.DUMMYFUNCTION("""COMPUTED_VALUE"""),89.0)</f>
        <v>89</v>
      </c>
      <c r="J7458" s="18">
        <f>IFERROR(__xludf.DUMMYFUNCTION("""COMPUTED_VALUE"""),1.0)</f>
        <v>1</v>
      </c>
      <c r="K7458" s="18">
        <f>IFERROR(__xludf.DUMMYFUNCTION("""COMPUTED_VALUE"""),10.0)</f>
        <v>10</v>
      </c>
      <c r="L7458" s="17">
        <f>IFERROR(__xludf.DUMMYFUNCTION("""COMPUTED_VALUE"""),3.10443232E9)</f>
        <v>3104432320</v>
      </c>
      <c r="M7458" s="17"/>
      <c r="N7458" s="17"/>
      <c r="O7458" s="17"/>
      <c r="P7458" s="17" t="b">
        <f>IFERROR(__xludf.DUMMYFUNCTION("""COMPUTED_VALUE"""),FALSE)</f>
        <v>0</v>
      </c>
      <c r="Q7458" s="20" t="str">
        <f>IFERROR(__xludf.DUMMYFUNCTION("""COMPUTED_VALUE"""),"")</f>
        <v/>
      </c>
      <c r="R7458" s="21" t="str">
        <f>IFERROR(__xludf.DUMMYFUNCTION("""COMPUTED_VALUE"""),"https://drive.google.com/file/d/1Hi9DISJAPngPCsg5MO5jHRqCJxlpAYSV/view?usp=drivesdk")</f>
        <v>https://drive.google.com/file/d/1Hi9DISJAPngPCsg5MO5jHRqCJxlpAYSV/view?usp=drivesdk</v>
      </c>
    </row>
    <row r="7459">
      <c r="A7459" s="15">
        <f>IFERROR(__xludf.DUMMYFUNCTION("""COMPUTED_VALUE"""),45210.0)</f>
        <v>45210</v>
      </c>
      <c r="B7459" s="16" t="str">
        <f>IFERROR(__xludf.DUMMYFUNCTION("""COMPUTED_VALUE"""),"Johan Alexander Escobar Arroyo ")</f>
        <v>Johan Alexander Escobar Arroyo </v>
      </c>
      <c r="C7459" s="15" t="str">
        <f>IFERROR(__xludf.DUMMYFUNCTION("""COMPUTED_VALUE"""),"CALI")</f>
        <v>CALI</v>
      </c>
      <c r="D7459" s="15" t="str">
        <f>IFERROR(__xludf.DUMMYFUNCTION("""COMPUTED_VALUE"""),"MEDELLÍN")</f>
        <v>MEDELLÍN</v>
      </c>
      <c r="E7459" s="15" t="str">
        <f>IFERROR(__xludf.DUMMYFUNCTION("""COMPUTED_VALUE"""),"Baby Chef")</f>
        <v>Baby Chef</v>
      </c>
      <c r="F7459" s="17" t="str">
        <f>IFERROR(__xludf.DUMMYFUNCTION("""COMPUTED_VALUE"""),"Cra 42 # 1- 13 apto 301 B   / . / Barrio nueva Granada")</f>
        <v>Cra 42 # 1- 13 apto 301 B   / . / Barrio nueva Granada</v>
      </c>
      <c r="G7459" s="15" t="str">
        <f>IFERROR(__xludf.DUMMYFUNCTION("""COMPUTED_VALUE"""),"Diana Milena Idárraga")</f>
        <v>Diana Milena Idárraga</v>
      </c>
      <c r="H7459" s="16">
        <f>IFERROR(__xludf.DUMMYFUNCTION("""COMPUTED_VALUE"""),16185.0)</f>
        <v>16185</v>
      </c>
      <c r="I7459" s="18">
        <f>IFERROR(__xludf.DUMMYFUNCTION("""COMPUTED_VALUE"""),6.0)</f>
        <v>6</v>
      </c>
      <c r="J7459" s="18">
        <f>IFERROR(__xludf.DUMMYFUNCTION("""COMPUTED_VALUE"""),21.0)</f>
        <v>21</v>
      </c>
      <c r="K7459" s="18">
        <f>IFERROR(__xludf.DUMMYFUNCTION("""COMPUTED_VALUE"""),31.0)</f>
        <v>31</v>
      </c>
      <c r="L7459" s="17">
        <f>IFERROR(__xludf.DUMMYFUNCTION("""COMPUTED_VALUE"""),3.168261995E9)</f>
        <v>3168261995</v>
      </c>
      <c r="M7459" s="17"/>
      <c r="N7459" s="17"/>
      <c r="O7459" s="17"/>
      <c r="P7459" s="17" t="b">
        <f>IFERROR(__xludf.DUMMYFUNCTION("""COMPUTED_VALUE"""),FALSE)</f>
        <v>0</v>
      </c>
      <c r="Q7459" s="20" t="str">
        <f>IFERROR(__xludf.DUMMYFUNCTION("""COMPUTED_VALUE"""),"")</f>
        <v/>
      </c>
      <c r="R7459" s="21" t="str">
        <f>IFERROR(__xludf.DUMMYFUNCTION("""COMPUTED_VALUE"""),"https://drive.google.com/file/d/1P2NuulZ5HOKQK95bnLng2heRQCxLl_GA/view?usp=drivesdk")</f>
        <v>https://drive.google.com/file/d/1P2NuulZ5HOKQK95bnLng2heRQCxLl_GA/view?usp=drivesdk</v>
      </c>
    </row>
    <row r="7460">
      <c r="A7460" s="15">
        <f>IFERROR(__xludf.DUMMYFUNCTION("""COMPUTED_VALUE"""),45210.0)</f>
        <v>45210</v>
      </c>
      <c r="B7460" s="16" t="str">
        <f>IFERROR(__xludf.DUMMYFUNCTION("""COMPUTED_VALUE"""),"Johan Alexander Escobar Arroyo ")</f>
        <v>Johan Alexander Escobar Arroyo </v>
      </c>
      <c r="C7460" s="15" t="str">
        <f>IFERROR(__xludf.DUMMYFUNCTION("""COMPUTED_VALUE"""),"CALI")</f>
        <v>CALI</v>
      </c>
      <c r="D7460" s="15" t="str">
        <f>IFERROR(__xludf.DUMMYFUNCTION("""COMPUTED_VALUE"""),"MEDELLÍN")</f>
        <v>MEDELLÍN</v>
      </c>
      <c r="E7460" s="15" t="str">
        <f>IFERROR(__xludf.DUMMYFUNCTION("""COMPUTED_VALUE"""),"Isabella Escobar")</f>
        <v>Isabella Escobar</v>
      </c>
      <c r="F7460" s="17" t="str">
        <f>IFERROR(__xludf.DUMMYFUNCTION("""COMPUTED_VALUE"""),"Av 4 Norte 7n 46  / Centro Comercial Centenario Cali valle local 129 / Barrio centenario")</f>
        <v>Av 4 Norte 7n 46  / Centro Comercial Centenario Cali valle local 129 / Barrio centenario</v>
      </c>
      <c r="G7460" s="15" t="str">
        <f>IFERROR(__xludf.DUMMYFUNCTION("""COMPUTED_VALUE"""),"Mauren Forero")</f>
        <v>Mauren Forero</v>
      </c>
      <c r="H7460" s="16">
        <f>IFERROR(__xludf.DUMMYFUNCTION("""COMPUTED_VALUE"""),16149.0)</f>
        <v>16149</v>
      </c>
      <c r="I7460" s="18">
        <f>IFERROR(__xludf.DUMMYFUNCTION("""COMPUTED_VALUE"""),28.0)</f>
        <v>28</v>
      </c>
      <c r="J7460" s="18">
        <f>IFERROR(__xludf.DUMMYFUNCTION("""COMPUTED_VALUE"""),35.0)</f>
        <v>35</v>
      </c>
      <c r="K7460" s="18">
        <f>IFERROR(__xludf.DUMMYFUNCTION("""COMPUTED_VALUE"""),22.0)</f>
        <v>22</v>
      </c>
      <c r="L7460" s="17">
        <f>IFERROR(__xludf.DUMMYFUNCTION("""COMPUTED_VALUE"""),3.10443232E9)</f>
        <v>3104432320</v>
      </c>
      <c r="M7460" s="17"/>
      <c r="N7460" s="17"/>
      <c r="O7460" s="17"/>
      <c r="P7460" s="17" t="b">
        <f>IFERROR(__xludf.DUMMYFUNCTION("""COMPUTED_VALUE"""),FALSE)</f>
        <v>0</v>
      </c>
      <c r="Q7460" s="20" t="str">
        <f>IFERROR(__xludf.DUMMYFUNCTION("""COMPUTED_VALUE"""),"")</f>
        <v/>
      </c>
      <c r="R7460" s="21" t="str">
        <f>IFERROR(__xludf.DUMMYFUNCTION("""COMPUTED_VALUE"""),"https://drive.google.com/file/d/1mWLYrR-2Omg7V4r3k4xoFSS5o9SBsdUW/view?usp=drivesdk")</f>
        <v>https://drive.google.com/file/d/1mWLYrR-2Omg7V4r3k4xoFSS5o9SBsdUW/view?usp=drivesdk</v>
      </c>
    </row>
    <row r="7461">
      <c r="A7461" s="15">
        <f>IFERROR(__xludf.DUMMYFUNCTION("""COMPUTED_VALUE"""),45210.0)</f>
        <v>45210</v>
      </c>
      <c r="B7461" s="16" t="str">
        <f>IFERROR(__xludf.DUMMYFUNCTION("""COMPUTED_VALUE"""),"Johan Alexander Escobar Arroyo ")</f>
        <v>Johan Alexander Escobar Arroyo </v>
      </c>
      <c r="C7461" s="15" t="str">
        <f>IFERROR(__xludf.DUMMYFUNCTION("""COMPUTED_VALUE"""),"CALI")</f>
        <v>CALI</v>
      </c>
      <c r="D7461" s="15" t="str">
        <f>IFERROR(__xludf.DUMMYFUNCTION("""COMPUTED_VALUE"""),"MEDELLÍN")</f>
        <v>MEDELLÍN</v>
      </c>
      <c r="E7461" s="15" t="str">
        <f>IFERROR(__xludf.DUMMYFUNCTION("""COMPUTED_VALUE"""),"JD Bufala")</f>
        <v>JD Bufala</v>
      </c>
      <c r="F7461" s="17" t="str">
        <f>IFERROR(__xludf.DUMMYFUNCTION("""COMPUTED_VALUE"""),"Calle 51 norte #4bn72 / Delhuertopizzeria  / La flora")</f>
        <v>Calle 51 norte #4bn72 / Delhuertopizzeria  / La flora</v>
      </c>
      <c r="G7461" s="15" t="str">
        <f>IFERROR(__xludf.DUMMYFUNCTION("""COMPUTED_VALUE"""),"Jaiver Rodríguez")</f>
        <v>Jaiver Rodríguez</v>
      </c>
      <c r="H7461" s="16">
        <f>IFERROR(__xludf.DUMMYFUNCTION("""COMPUTED_VALUE"""),16188.0)</f>
        <v>16188</v>
      </c>
      <c r="I7461" s="18" t="str">
        <f>IFERROR(__xludf.DUMMYFUNCTION("""COMPUTED_VALUE"""),"102.5")</f>
        <v>102.5</v>
      </c>
      <c r="J7461" s="18">
        <f>IFERROR(__xludf.DUMMYFUNCTION("""COMPUTED_VALUE"""),28.0)</f>
        <v>28</v>
      </c>
      <c r="K7461" s="18">
        <f>IFERROR(__xludf.DUMMYFUNCTION("""COMPUTED_VALUE"""),40.0)</f>
        <v>40</v>
      </c>
      <c r="L7461" s="17">
        <f>IFERROR(__xludf.DUMMYFUNCTION("""COMPUTED_VALUE"""),3.104919761E9)</f>
        <v>3104919761</v>
      </c>
      <c r="M7461" s="17"/>
      <c r="N7461" s="17"/>
      <c r="O7461" s="17"/>
      <c r="P7461" s="17" t="b">
        <f>IFERROR(__xludf.DUMMYFUNCTION("""COMPUTED_VALUE"""),FALSE)</f>
        <v>0</v>
      </c>
      <c r="Q7461" s="20" t="str">
        <f>IFERROR(__xludf.DUMMYFUNCTION("""COMPUTED_VALUE"""),"")</f>
        <v/>
      </c>
      <c r="R7461" s="21" t="str">
        <f>IFERROR(__xludf.DUMMYFUNCTION("""COMPUTED_VALUE"""),"https://drive.google.com/file/d/1vJ25PwpwCB_nAMjV0KPEx9Xh2BdehwHp/view?usp=drivesdk")</f>
        <v>https://drive.google.com/file/d/1vJ25PwpwCB_nAMjV0KPEx9Xh2BdehwHp/view?usp=drivesdk</v>
      </c>
    </row>
    <row r="7462">
      <c r="A7462" s="15">
        <f>IFERROR(__xludf.DUMMYFUNCTION("""COMPUTED_VALUE"""),45210.0)</f>
        <v>45210</v>
      </c>
      <c r="B7462" s="16" t="str">
        <f>IFERROR(__xludf.DUMMYFUNCTION("""COMPUTED_VALUE"""),"Johan Alexander Escobar Arroyo ")</f>
        <v>Johan Alexander Escobar Arroyo </v>
      </c>
      <c r="C7462" s="15" t="str">
        <f>IFERROR(__xludf.DUMMYFUNCTION("""COMPUTED_VALUE"""),"CALI")</f>
        <v>CALI</v>
      </c>
      <c r="D7462" s="15" t="str">
        <f>IFERROR(__xludf.DUMMYFUNCTION("""COMPUTED_VALUE"""),"MEDELLÍN")</f>
        <v>MEDELLÍN</v>
      </c>
      <c r="E7462" s="15" t="str">
        <f>IFERROR(__xludf.DUMMYFUNCTION("""COMPUTED_VALUE"""),"Moloso S.A.S")</f>
        <v>Moloso S.A.S</v>
      </c>
      <c r="F7462" s="17" t="str">
        <f>IFERROR(__xludf.DUMMYFUNCTION("""COMPUTED_VALUE"""),"AVENIDA 3 OESTE 13 94 EDIF SOL DEL OESTE APT 702 / EDIF SOL DEL OESTE APT 702")</f>
        <v>AVENIDA 3 OESTE 13 94 EDIF SOL DEL OESTE APT 702 / EDIF SOL DEL OESTE APT 702</v>
      </c>
      <c r="G7462" s="15" t="str">
        <f>IFERROR(__xludf.DUMMYFUNCTION("""COMPUTED_VALUE"""),"LAURA HERNÁNDEZ ALVIAR")</f>
        <v>LAURA HERNÁNDEZ ALVIAR</v>
      </c>
      <c r="H7462" s="16">
        <f>IFERROR(__xludf.DUMMYFUNCTION("""COMPUTED_VALUE"""),16181.0)</f>
        <v>16181</v>
      </c>
      <c r="I7462" s="18">
        <f>IFERROR(__xludf.DUMMYFUNCTION("""COMPUTED_VALUE"""),17.0)</f>
        <v>17</v>
      </c>
      <c r="J7462" s="18">
        <f>IFERROR(__xludf.DUMMYFUNCTION("""COMPUTED_VALUE"""),15.0)</f>
        <v>15</v>
      </c>
      <c r="K7462" s="18">
        <f>IFERROR(__xludf.DUMMYFUNCTION("""COMPUTED_VALUE"""),28.0)</f>
        <v>28</v>
      </c>
      <c r="L7462" s="17" t="str">
        <f>IFERROR(__xludf.DUMMYFUNCTION("""COMPUTED_VALUE"""),"315 5762974")</f>
        <v>315 5762974</v>
      </c>
      <c r="M7462" s="17"/>
      <c r="N7462" s="17"/>
      <c r="O7462" s="17"/>
      <c r="P7462" s="17" t="b">
        <f>IFERROR(__xludf.DUMMYFUNCTION("""COMPUTED_VALUE"""),FALSE)</f>
        <v>0</v>
      </c>
      <c r="Q7462" s="20" t="str">
        <f>IFERROR(__xludf.DUMMYFUNCTION("""COMPUTED_VALUE"""),"")</f>
        <v/>
      </c>
      <c r="R7462" s="21" t="str">
        <f>IFERROR(__xludf.DUMMYFUNCTION("""COMPUTED_VALUE"""),"https://drive.google.com/file/d/1HDUuraOJp5mB9tSFYwj9tCV-PW-w7OeV/view?usp=drivesdk")</f>
        <v>https://drive.google.com/file/d/1HDUuraOJp5mB9tSFYwj9tCV-PW-w7OeV/view?usp=drivesdk</v>
      </c>
    </row>
    <row r="7463">
      <c r="A7463" s="15">
        <f>IFERROR(__xludf.DUMMYFUNCTION("""COMPUTED_VALUE"""),45210.0)</f>
        <v>45210</v>
      </c>
      <c r="B7463" s="16" t="str">
        <f>IFERROR(__xludf.DUMMYFUNCTION("""COMPUTED_VALUE"""),"Johan Alexander Escobar Arroyo ")</f>
        <v>Johan Alexander Escobar Arroyo </v>
      </c>
      <c r="C7463" s="15" t="str">
        <f>IFERROR(__xludf.DUMMYFUNCTION("""COMPUTED_VALUE"""),"CÚCUTA")</f>
        <v>CÚCUTA</v>
      </c>
      <c r="D7463" s="15" t="str">
        <f>IFERROR(__xludf.DUMMYFUNCTION("""COMPUTED_VALUE"""),"MEDELLÍN")</f>
        <v>MEDELLÍN</v>
      </c>
      <c r="E7463" s="15" t="str">
        <f>IFERROR(__xludf.DUMMYFUNCTION("""COMPUTED_VALUE"""),"Momo Tea S.A.S Gabriel Echavarría")</f>
        <v>Momo Tea S.A.S Gabriel Echavarría</v>
      </c>
      <c r="F7463" s="17" t="str">
        <f>IFERROR(__xludf.DUMMYFUNCTION("""COMPUTED_VALUE"""),"CL 11 N 16 E 35 / CA B 1")</f>
        <v>CL 11 N 16 E 35 / CA B 1</v>
      </c>
      <c r="G7463" s="15" t="str">
        <f>IFERROR(__xludf.DUMMYFUNCTION("""COMPUTED_VALUE"""),"Gabriel Echavarría")</f>
        <v>Gabriel Echavarría</v>
      </c>
      <c r="H7463" s="16">
        <f>IFERROR(__xludf.DUMMYFUNCTION("""COMPUTED_VALUE"""),16134.0)</f>
        <v>16134</v>
      </c>
      <c r="I7463" s="18">
        <f>IFERROR(__xludf.DUMMYFUNCTION("""COMPUTED_VALUE"""),21.0)</f>
        <v>21</v>
      </c>
      <c r="J7463" s="18">
        <f>IFERROR(__xludf.DUMMYFUNCTION("""COMPUTED_VALUE"""),29.0)</f>
        <v>29</v>
      </c>
      <c r="K7463" s="18">
        <f>IFERROR(__xludf.DUMMYFUNCTION("""COMPUTED_VALUE"""),29.0)</f>
        <v>29</v>
      </c>
      <c r="L7463" s="17">
        <f>IFERROR(__xludf.DUMMYFUNCTION("""COMPUTED_VALUE"""),3.017909548E9)</f>
        <v>3017909548</v>
      </c>
      <c r="M7463" s="17"/>
      <c r="N7463" s="17"/>
      <c r="O7463" s="17"/>
      <c r="P7463" s="17" t="b">
        <f>IFERROR(__xludf.DUMMYFUNCTION("""COMPUTED_VALUE"""),FALSE)</f>
        <v>0</v>
      </c>
      <c r="Q7463" s="20" t="str">
        <f>IFERROR(__xludf.DUMMYFUNCTION("""COMPUTED_VALUE"""),"")</f>
        <v/>
      </c>
      <c r="R7463" s="21" t="str">
        <f>IFERROR(__xludf.DUMMYFUNCTION("""COMPUTED_VALUE"""),"https://drive.google.com/file/d/1Lxw8lXEjg8OBGJzx3A9y1xR_LbHmJk3Z/view?usp=drivesdk")</f>
        <v>https://drive.google.com/file/d/1Lxw8lXEjg8OBGJzx3A9y1xR_LbHmJk3Z/view?usp=drivesdk</v>
      </c>
    </row>
    <row r="7464">
      <c r="A7464" s="17" t="str">
        <f>IFERROR(__xludf.DUMMYFUNCTION("""COMPUTED_VALUE"""),"")</f>
        <v/>
      </c>
      <c r="B7464" s="17" t="str">
        <f>IFERROR(__xludf.DUMMYFUNCTION("""COMPUTED_VALUE"""),"")</f>
        <v/>
      </c>
      <c r="C7464" s="17" t="str">
        <f>IFERROR(__xludf.DUMMYFUNCTION("""COMPUTED_VALUE"""),"")</f>
        <v/>
      </c>
      <c r="D7464" s="17" t="str">
        <f>IFERROR(__xludf.DUMMYFUNCTION("""COMPUTED_VALUE"""),"")</f>
        <v/>
      </c>
      <c r="E7464" s="17" t="str">
        <f>IFERROR(__xludf.DUMMYFUNCTION("""COMPUTED_VALUE"""),"")</f>
        <v/>
      </c>
      <c r="F7464" s="17" t="str">
        <f>IFERROR(__xludf.DUMMYFUNCTION("""COMPUTED_VALUE"""),"")</f>
        <v/>
      </c>
      <c r="G7464" s="17" t="str">
        <f>IFERROR(__xludf.DUMMYFUNCTION("""COMPUTED_VALUE"""),"")</f>
        <v/>
      </c>
      <c r="H7464" s="17" t="str">
        <f>IFERROR(__xludf.DUMMYFUNCTION("""COMPUTED_VALUE"""),"")</f>
        <v/>
      </c>
      <c r="I7464" s="17" t="str">
        <f>IFERROR(__xludf.DUMMYFUNCTION("""COMPUTED_VALUE"""),"")</f>
        <v/>
      </c>
      <c r="J7464" s="17" t="str">
        <f>IFERROR(__xludf.DUMMYFUNCTION("""COMPUTED_VALUE"""),"")</f>
        <v/>
      </c>
      <c r="K7464" s="17" t="str">
        <f>IFERROR(__xludf.DUMMYFUNCTION("""COMPUTED_VALUE"""),"")</f>
        <v/>
      </c>
      <c r="L7464" s="17" t="str">
        <f>IFERROR(__xludf.DUMMYFUNCTION("""COMPUTED_VALUE"""),"")</f>
        <v/>
      </c>
      <c r="M7464" s="17" t="str">
        <f>IFERROR(__xludf.DUMMYFUNCTION("""COMPUTED_VALUE"""),"")</f>
        <v/>
      </c>
      <c r="N7464" s="17" t="str">
        <f>IFERROR(__xludf.DUMMYFUNCTION("""COMPUTED_VALUE"""),"")</f>
        <v/>
      </c>
      <c r="O7464" s="17" t="str">
        <f>IFERROR(__xludf.DUMMYFUNCTION("""COMPUTED_VALUE"""),"")</f>
        <v/>
      </c>
      <c r="P7464" s="17" t="str">
        <f>IFERROR(__xludf.DUMMYFUNCTION("""COMPUTED_VALUE"""),"")</f>
        <v/>
      </c>
      <c r="Q7464" s="17" t="str">
        <f>IFERROR(__xludf.DUMMYFUNCTION("""COMPUTED_VALUE"""),"")</f>
        <v/>
      </c>
      <c r="R7464" s="17" t="str">
        <f>IFERROR(__xludf.DUMMYFUNCTION("""COMPUTED_VALUE"""),"")</f>
        <v/>
      </c>
    </row>
    <row r="7465">
      <c r="A7465" s="15">
        <f>IFERROR(__xludf.DUMMYFUNCTION("""COMPUTED_VALUE"""),45210.0)</f>
        <v>45210</v>
      </c>
      <c r="B7465" s="16" t="str">
        <f>IFERROR(__xludf.DUMMYFUNCTION("""COMPUTED_VALUE"""),"JOSE ALFREDO RAMIREZ VERGARA ")</f>
        <v>JOSE ALFREDO RAMIREZ VERGARA </v>
      </c>
      <c r="C7465" s="15" t="str">
        <f>IFERROR(__xludf.DUMMYFUNCTION("""COMPUTED_VALUE"""),"MONTERIA")</f>
        <v>MONTERIA</v>
      </c>
      <c r="D7465" s="15" t="str">
        <f>IFERROR(__xludf.DUMMYFUNCTION("""COMPUTED_VALUE"""),"BUCARAMANGA")</f>
        <v>BUCARAMANGA</v>
      </c>
      <c r="E7465" s="15" t="str">
        <f>IFERROR(__xludf.DUMMYFUNCTION("""COMPUTED_VALUE"""),"Yo Como Solito")</f>
        <v>Yo Como Solito</v>
      </c>
      <c r="F7465" s="17" t="str">
        <f>IFERROR(__xludf.DUMMYFUNCTION("""COMPUTED_VALUE"""),"TRANSVERSAL 13B # 65-71 CONJUNTO RESIDENCIAL LIMA TORRE 7 APARTAMENTO 303 BARRIO CASTELLANA  / TRANSVERSAL 13B # 65-71 CONJUNTO RESIDENCIAL LIMA TORRE 7 APARTAMENTO 303 BARRIO CASTELLANA / TRANSVERSAL 13B # 65-71 CONJUNTO RESIDENCIAL LIMA TORRE 7 APARTAME"&amp;"NTO 303 BARRIO CASTELLANA")</f>
        <v>TRANSVERSAL 13B # 65-71 CONJUNTO RESIDENCIAL LIMA TORRE 7 APARTAMENTO 303 BARRIO CASTELLANA  / TRANSVERSAL 13B # 65-71 CONJUNTO RESIDENCIAL LIMA TORRE 7 APARTAMENTO 303 BARRIO CASTELLANA / TRANSVERSAL 13B # 65-71 CONJUNTO RESIDENCIAL LIMA TORRE 7 APARTAMENTO 303 BARRIO CASTELLANA</v>
      </c>
      <c r="G7465" s="15" t="str">
        <f>IFERROR(__xludf.DUMMYFUNCTION("""COMPUTED_VALUE"""),"JENIFER OVIEDO LARA")</f>
        <v>JENIFER OVIEDO LARA</v>
      </c>
      <c r="H7465" s="16">
        <f>IFERROR(__xludf.DUMMYFUNCTION("""COMPUTED_VALUE"""),16011.0)</f>
        <v>16011</v>
      </c>
      <c r="I7465" s="18">
        <f>IFERROR(__xludf.DUMMYFUNCTION("""COMPUTED_VALUE"""),19.0)</f>
        <v>19</v>
      </c>
      <c r="J7465" s="18">
        <f>IFERROR(__xludf.DUMMYFUNCTION("""COMPUTED_VALUE"""),33.0)</f>
        <v>33</v>
      </c>
      <c r="K7465" s="18">
        <f>IFERROR(__xludf.DUMMYFUNCTION("""COMPUTED_VALUE"""),49.0)</f>
        <v>49</v>
      </c>
      <c r="L7465" s="17">
        <f>IFERROR(__xludf.DUMMYFUNCTION("""COMPUTED_VALUE"""),3.013682027E9)</f>
        <v>3013682027</v>
      </c>
      <c r="M7465" s="17"/>
      <c r="N7465" s="17"/>
      <c r="O7465" s="17"/>
      <c r="P7465" s="17" t="b">
        <f>IFERROR(__xludf.DUMMYFUNCTION("""COMPUTED_VALUE"""),FALSE)</f>
        <v>0</v>
      </c>
      <c r="Q7465" s="20" t="str">
        <f>IFERROR(__xludf.DUMMYFUNCTION("""COMPUTED_VALUE"""),"")</f>
        <v/>
      </c>
      <c r="R7465" s="21" t="str">
        <f>IFERROR(__xludf.DUMMYFUNCTION("""COMPUTED_VALUE"""),"https://drive.google.com/file/d/1PNHUz1l_27uq5atBJmbgW4A3YkX98PZX/view?usp=drivesdk")</f>
        <v>https://drive.google.com/file/d/1PNHUz1l_27uq5atBJmbgW4A3YkX98PZX/view?usp=drivesdk</v>
      </c>
    </row>
    <row r="7466">
      <c r="A7466" s="15">
        <f>IFERROR(__xludf.DUMMYFUNCTION("""COMPUTED_VALUE"""),45210.0)</f>
        <v>45210</v>
      </c>
      <c r="B7466" s="16" t="str">
        <f>IFERROR(__xludf.DUMMYFUNCTION("""COMPUTED_VALUE"""),"JOSE ALFREDO RAMIREZ VERGARA ")</f>
        <v>JOSE ALFREDO RAMIREZ VERGARA </v>
      </c>
      <c r="C7466" s="15" t="str">
        <f>IFERROR(__xludf.DUMMYFUNCTION("""COMPUTED_VALUE"""),"TUNJA")</f>
        <v>TUNJA</v>
      </c>
      <c r="D7466" s="15" t="str">
        <f>IFERROR(__xludf.DUMMYFUNCTION("""COMPUTED_VALUE"""),"MEDELLÍN")</f>
        <v>MEDELLÍN</v>
      </c>
      <c r="E7466" s="15" t="str">
        <f>IFERROR(__xludf.DUMMYFUNCTION("""COMPUTED_VALUE"""),"Baby Chef")</f>
        <v>Baby Chef</v>
      </c>
      <c r="F7466" s="17" t="str">
        <f>IFERROR(__xludf.DUMMYFUNCTION("""COMPUTED_VALUE"""),"calle 45 N 4-79,  / Conjunto maría fernanda  Torre 8 Apto 931 /  santa ines")</f>
        <v>calle 45 N 4-79,  / Conjunto maría fernanda  Torre 8 Apto 931 /  santa ines</v>
      </c>
      <c r="G7466" s="15" t="str">
        <f>IFERROR(__xludf.DUMMYFUNCTION("""COMPUTED_VALUE"""),"Catalina Alvarado")</f>
        <v>Catalina Alvarado</v>
      </c>
      <c r="H7466" s="16">
        <f>IFERROR(__xludf.DUMMYFUNCTION("""COMPUTED_VALUE"""),16202.0)</f>
        <v>16202</v>
      </c>
      <c r="I7466" s="18">
        <f>IFERROR(__xludf.DUMMYFUNCTION("""COMPUTED_VALUE"""),3.0)</f>
        <v>3</v>
      </c>
      <c r="J7466" s="18">
        <f>IFERROR(__xludf.DUMMYFUNCTION("""COMPUTED_VALUE"""),21.0)</f>
        <v>21</v>
      </c>
      <c r="K7466" s="18">
        <f>IFERROR(__xludf.DUMMYFUNCTION("""COMPUTED_VALUE"""),20.0)</f>
        <v>20</v>
      </c>
      <c r="L7466" s="17">
        <f>IFERROR(__xludf.DUMMYFUNCTION("""COMPUTED_VALUE"""),3.133471897E9)</f>
        <v>3133471897</v>
      </c>
      <c r="M7466" s="17"/>
      <c r="N7466" s="17"/>
      <c r="O7466" s="17"/>
      <c r="P7466" s="17" t="b">
        <f>IFERROR(__xludf.DUMMYFUNCTION("""COMPUTED_VALUE"""),FALSE)</f>
        <v>0</v>
      </c>
      <c r="Q7466" s="20" t="str">
        <f>IFERROR(__xludf.DUMMYFUNCTION("""COMPUTED_VALUE"""),"")</f>
        <v/>
      </c>
      <c r="R7466" s="21" t="str">
        <f>IFERROR(__xludf.DUMMYFUNCTION("""COMPUTED_VALUE"""),"https://drive.google.com/file/d/1P3qspYJpjzCnwVqerU0w1SEXlTWDI2r4/view?usp=drivesdk")</f>
        <v>https://drive.google.com/file/d/1P3qspYJpjzCnwVqerU0w1SEXlTWDI2r4/view?usp=drivesdk</v>
      </c>
    </row>
    <row r="7467">
      <c r="A7467" s="17" t="str">
        <f>IFERROR(__xludf.DUMMYFUNCTION("""COMPUTED_VALUE"""),"")</f>
        <v/>
      </c>
      <c r="B7467" s="17" t="str">
        <f>IFERROR(__xludf.DUMMYFUNCTION("""COMPUTED_VALUE"""),"")</f>
        <v/>
      </c>
      <c r="C7467" s="17" t="str">
        <f>IFERROR(__xludf.DUMMYFUNCTION("""COMPUTED_VALUE"""),"")</f>
        <v/>
      </c>
      <c r="D7467" s="17" t="str">
        <f>IFERROR(__xludf.DUMMYFUNCTION("""COMPUTED_VALUE"""),"")</f>
        <v/>
      </c>
      <c r="E7467" s="17" t="str">
        <f>IFERROR(__xludf.DUMMYFUNCTION("""COMPUTED_VALUE"""),"")</f>
        <v/>
      </c>
      <c r="F7467" s="17" t="str">
        <f>IFERROR(__xludf.DUMMYFUNCTION("""COMPUTED_VALUE"""),"")</f>
        <v/>
      </c>
      <c r="G7467" s="17" t="str">
        <f>IFERROR(__xludf.DUMMYFUNCTION("""COMPUTED_VALUE"""),"")</f>
        <v/>
      </c>
      <c r="H7467" s="17" t="str">
        <f>IFERROR(__xludf.DUMMYFUNCTION("""COMPUTED_VALUE"""),"")</f>
        <v/>
      </c>
      <c r="I7467" s="17" t="str">
        <f>IFERROR(__xludf.DUMMYFUNCTION("""COMPUTED_VALUE"""),"")</f>
        <v/>
      </c>
      <c r="J7467" s="17" t="str">
        <f>IFERROR(__xludf.DUMMYFUNCTION("""COMPUTED_VALUE"""),"")</f>
        <v/>
      </c>
      <c r="K7467" s="17" t="str">
        <f>IFERROR(__xludf.DUMMYFUNCTION("""COMPUTED_VALUE"""),"")</f>
        <v/>
      </c>
      <c r="L7467" s="17" t="str">
        <f>IFERROR(__xludf.DUMMYFUNCTION("""COMPUTED_VALUE"""),"")</f>
        <v/>
      </c>
      <c r="M7467" s="17" t="str">
        <f>IFERROR(__xludf.DUMMYFUNCTION("""COMPUTED_VALUE"""),"")</f>
        <v/>
      </c>
      <c r="N7467" s="17" t="str">
        <f>IFERROR(__xludf.DUMMYFUNCTION("""COMPUTED_VALUE"""),"")</f>
        <v/>
      </c>
      <c r="O7467" s="17" t="str">
        <f>IFERROR(__xludf.DUMMYFUNCTION("""COMPUTED_VALUE"""),"")</f>
        <v/>
      </c>
      <c r="P7467" s="17" t="str">
        <f>IFERROR(__xludf.DUMMYFUNCTION("""COMPUTED_VALUE"""),"")</f>
        <v/>
      </c>
      <c r="Q7467" s="17" t="str">
        <f>IFERROR(__xludf.DUMMYFUNCTION("""COMPUTED_VALUE"""),"")</f>
        <v/>
      </c>
      <c r="R7467" s="17" t="str">
        <f>IFERROR(__xludf.DUMMYFUNCTION("""COMPUTED_VALUE"""),"")</f>
        <v/>
      </c>
    </row>
    <row r="7468">
      <c r="A7468" s="15">
        <f>IFERROR(__xludf.DUMMYFUNCTION("""COMPUTED_VALUE"""),45211.0)</f>
        <v>45211</v>
      </c>
      <c r="B7468" s="17"/>
      <c r="C7468" s="15" t="str">
        <f>IFERROR(__xludf.DUMMYFUNCTION("""COMPUTED_VALUE"""),"BOGOTÁ")</f>
        <v>BOGOTÁ</v>
      </c>
      <c r="D7468" s="15" t="str">
        <f>IFERROR(__xludf.DUMMYFUNCTION("""COMPUTED_VALUE"""),"MEDELLÍN")</f>
        <v>MEDELLÍN</v>
      </c>
      <c r="E7468" s="15" t="str">
        <f>IFERROR(__xludf.DUMMYFUNCTION("""COMPUTED_VALUE"""),"The Smoked House")</f>
        <v>The Smoked House</v>
      </c>
      <c r="F7468" s="17" t="str">
        <f>IFERROR(__xludf.DUMMYFUNCTION("""COMPUTED_VALUE"""),"Cra 49#238-60 / Hacienda San Simon, El Alcaparro, Casa 10  / Hacienda San Simon, El Alcaparro, Casa 10")</f>
        <v>Cra 49#238-60 / Hacienda San Simon, El Alcaparro, Casa 10  / Hacienda San Simon, El Alcaparro, Casa 10</v>
      </c>
      <c r="G7468" s="15" t="str">
        <f>IFERROR(__xludf.DUMMYFUNCTION("""COMPUTED_VALUE"""),"Monica bensour")</f>
        <v>Monica bensour</v>
      </c>
      <c r="H7468" s="16">
        <f>IFERROR(__xludf.DUMMYFUNCTION("""COMPUTED_VALUE"""),16226.0)</f>
        <v>16226</v>
      </c>
      <c r="I7468" s="18">
        <f>IFERROR(__xludf.DUMMYFUNCTION("""COMPUTED_VALUE"""),39.0)</f>
        <v>39</v>
      </c>
      <c r="J7468" s="18">
        <f>IFERROR(__xludf.DUMMYFUNCTION("""COMPUTED_VALUE"""),60.0)</f>
        <v>60</v>
      </c>
      <c r="K7468" s="18">
        <f>IFERROR(__xludf.DUMMYFUNCTION("""COMPUTED_VALUE"""),31.0)</f>
        <v>31</v>
      </c>
      <c r="L7468" s="17">
        <f>IFERROR(__xludf.DUMMYFUNCTION("""COMPUTED_VALUE"""),3.158825395E9)</f>
        <v>3158825395</v>
      </c>
      <c r="M7468" s="17"/>
      <c r="N7468" s="17"/>
      <c r="O7468" s="17"/>
      <c r="P7468" s="17" t="b">
        <f>IFERROR(__xludf.DUMMYFUNCTION("""COMPUTED_VALUE"""),FALSE)</f>
        <v>0</v>
      </c>
      <c r="Q7468" s="20" t="str">
        <f>IFERROR(__xludf.DUMMYFUNCTION("""COMPUTED_VALUE"""),"")</f>
        <v/>
      </c>
      <c r="R7468" s="21" t="str">
        <f>IFERROR(__xludf.DUMMYFUNCTION("""COMPUTED_VALUE"""),"https://drive.google.com/file/d/1RsUcFtTdkJ-y4i1EDNP1N8A_8OaOrIfh/view?usp=drivesdk")</f>
        <v>https://drive.google.com/file/d/1RsUcFtTdkJ-y4i1EDNP1N8A_8OaOrIfh/view?usp=drivesdk</v>
      </c>
    </row>
    <row r="7469">
      <c r="A7469" s="17" t="str">
        <f>IFERROR(__xludf.DUMMYFUNCTION("""COMPUTED_VALUE"""),"")</f>
        <v/>
      </c>
      <c r="B7469" s="17" t="str">
        <f>IFERROR(__xludf.DUMMYFUNCTION("""COMPUTED_VALUE"""),"")</f>
        <v/>
      </c>
      <c r="C7469" s="17" t="str">
        <f>IFERROR(__xludf.DUMMYFUNCTION("""COMPUTED_VALUE"""),"")</f>
        <v/>
      </c>
      <c r="D7469" s="17" t="str">
        <f>IFERROR(__xludf.DUMMYFUNCTION("""COMPUTED_VALUE"""),"")</f>
        <v/>
      </c>
      <c r="E7469" s="17" t="str">
        <f>IFERROR(__xludf.DUMMYFUNCTION("""COMPUTED_VALUE"""),"")</f>
        <v/>
      </c>
      <c r="F7469" s="17" t="str">
        <f>IFERROR(__xludf.DUMMYFUNCTION("""COMPUTED_VALUE"""),"")</f>
        <v/>
      </c>
      <c r="G7469" s="17" t="str">
        <f>IFERROR(__xludf.DUMMYFUNCTION("""COMPUTED_VALUE"""),"")</f>
        <v/>
      </c>
      <c r="H7469" s="17" t="str">
        <f>IFERROR(__xludf.DUMMYFUNCTION("""COMPUTED_VALUE"""),"")</f>
        <v/>
      </c>
      <c r="I7469" s="17" t="str">
        <f>IFERROR(__xludf.DUMMYFUNCTION("""COMPUTED_VALUE"""),"")</f>
        <v/>
      </c>
      <c r="J7469" s="17" t="str">
        <f>IFERROR(__xludf.DUMMYFUNCTION("""COMPUTED_VALUE"""),"")</f>
        <v/>
      </c>
      <c r="K7469" s="17" t="str">
        <f>IFERROR(__xludf.DUMMYFUNCTION("""COMPUTED_VALUE"""),"")</f>
        <v/>
      </c>
      <c r="L7469" s="17" t="str">
        <f>IFERROR(__xludf.DUMMYFUNCTION("""COMPUTED_VALUE"""),"")</f>
        <v/>
      </c>
      <c r="M7469" s="17" t="str">
        <f>IFERROR(__xludf.DUMMYFUNCTION("""COMPUTED_VALUE"""),"")</f>
        <v/>
      </c>
      <c r="N7469" s="17" t="str">
        <f>IFERROR(__xludf.DUMMYFUNCTION("""COMPUTED_VALUE"""),"")</f>
        <v/>
      </c>
      <c r="O7469" s="17" t="str">
        <f>IFERROR(__xludf.DUMMYFUNCTION("""COMPUTED_VALUE"""),"")</f>
        <v/>
      </c>
      <c r="P7469" s="17" t="str">
        <f>IFERROR(__xludf.DUMMYFUNCTION("""COMPUTED_VALUE"""),"")</f>
        <v/>
      </c>
      <c r="Q7469" s="17" t="str">
        <f>IFERROR(__xludf.DUMMYFUNCTION("""COMPUTED_VALUE"""),"")</f>
        <v/>
      </c>
      <c r="R7469" s="17" t="str">
        <f>IFERROR(__xludf.DUMMYFUNCTION("""COMPUTED_VALUE"""),"")</f>
        <v/>
      </c>
    </row>
    <row r="7470">
      <c r="A7470" s="15">
        <f>IFERROR(__xludf.DUMMYFUNCTION("""COMPUTED_VALUE"""),45211.0)</f>
        <v>45211</v>
      </c>
      <c r="B7470" s="16" t="str">
        <f>IFERROR(__xludf.DUMMYFUNCTION("""COMPUTED_VALUE"""),"Daniel José sandoval gonzalez")</f>
        <v>Daniel José sandoval gonzalez</v>
      </c>
      <c r="C7470" s="15" t="str">
        <f>IFERROR(__xludf.DUMMYFUNCTION("""COMPUTED_VALUE"""),"BARRANQUILLA")</f>
        <v>BARRANQUILLA</v>
      </c>
      <c r="D7470" s="15" t="str">
        <f>IFERROR(__xludf.DUMMYFUNCTION("""COMPUTED_VALUE"""),"BOGOTÁ")</f>
        <v>BOGOTÁ</v>
      </c>
      <c r="E7470" s="15" t="str">
        <f>IFERROR(__xludf.DUMMYFUNCTION("""COMPUTED_VALUE"""),"Asociacion Agropecuaria Juana Maria")</f>
        <v>Asociacion Agropecuaria Juana Maria</v>
      </c>
      <c r="F7470" s="17" t="str">
        <f>IFERROR(__xludf.DUMMYFUNCTION("""COMPUTED_VALUE"""),"Calle 82 # 49C-50 Local 3")</f>
        <v>Calle 82 # 49C-50 Local 3</v>
      </c>
      <c r="G7470" s="15" t="str">
        <f>IFERROR(__xludf.DUMMYFUNCTION("""COMPUTED_VALUE"""),"STALIN ALBERTO NAVARRO POLO")</f>
        <v>STALIN ALBERTO NAVARRO POLO</v>
      </c>
      <c r="H7470" s="16">
        <f>IFERROR(__xludf.DUMMYFUNCTION("""COMPUTED_VALUE"""),16096.0)</f>
        <v>16096</v>
      </c>
      <c r="I7470" s="18">
        <f>IFERROR(__xludf.DUMMYFUNCTION("""COMPUTED_VALUE"""),12.0)</f>
        <v>12</v>
      </c>
      <c r="J7470" s="18">
        <f>IFERROR(__xludf.DUMMYFUNCTION("""COMPUTED_VALUE"""),37.0)</f>
        <v>37</v>
      </c>
      <c r="K7470" s="18">
        <f>IFERROR(__xludf.DUMMYFUNCTION("""COMPUTED_VALUE"""),24.0)</f>
        <v>24</v>
      </c>
      <c r="L7470" s="17">
        <f>IFERROR(__xludf.DUMMYFUNCTION("""COMPUTED_VALUE"""),3.135021201E9)</f>
        <v>3135021201</v>
      </c>
      <c r="M7470" s="17"/>
      <c r="N7470" s="17"/>
      <c r="O7470" s="17"/>
      <c r="P7470" s="17" t="b">
        <f>IFERROR(__xludf.DUMMYFUNCTION("""COMPUTED_VALUE"""),FALSE)</f>
        <v>0</v>
      </c>
      <c r="Q7470" s="20" t="str">
        <f>IFERROR(__xludf.DUMMYFUNCTION("""COMPUTED_VALUE"""),"")</f>
        <v/>
      </c>
      <c r="R7470" s="21" t="str">
        <f>IFERROR(__xludf.DUMMYFUNCTION("""COMPUTED_VALUE"""),"https://drive.google.com/file/d/1mpSkWNXLjjpLLl9jV966Ue5_HslFu7Ut/view?usp=drivesdk")</f>
        <v>https://drive.google.com/file/d/1mpSkWNXLjjpLLl9jV966Ue5_HslFu7Ut/view?usp=drivesdk</v>
      </c>
    </row>
    <row r="7471">
      <c r="A7471" s="15">
        <f>IFERROR(__xludf.DUMMYFUNCTION("""COMPUTED_VALUE"""),45211.0)</f>
        <v>45211</v>
      </c>
      <c r="B7471" s="16" t="str">
        <f>IFERROR(__xludf.DUMMYFUNCTION("""COMPUTED_VALUE"""),"Daniel José sandoval gonzalez")</f>
        <v>Daniel José sandoval gonzalez</v>
      </c>
      <c r="C7471" s="15" t="str">
        <f>IFERROR(__xludf.DUMMYFUNCTION("""COMPUTED_VALUE"""),"BARRANQUILLA")</f>
        <v>BARRANQUILLA</v>
      </c>
      <c r="D7471" s="15" t="str">
        <f>IFERROR(__xludf.DUMMYFUNCTION("""COMPUTED_VALUE"""),"BOGOTÁ")</f>
        <v>BOGOTÁ</v>
      </c>
      <c r="E7471" s="15" t="str">
        <f>IFERROR(__xludf.DUMMYFUNCTION("""COMPUTED_VALUE"""),"Evamazzita")</f>
        <v>Evamazzita</v>
      </c>
      <c r="F7471" s="17" t="str">
        <f>IFERROR(__xludf.DUMMYFUNCTION("""COMPUTED_VALUE"""),"Calle 117. 42 189 / torres 23 apto 303. Canario, Alameda del rio.")</f>
        <v>Calle 117. 42 189 / torres 23 apto 303. Canario, Alameda del rio.</v>
      </c>
      <c r="G7471" s="15" t="str">
        <f>IFERROR(__xludf.DUMMYFUNCTION("""COMPUTED_VALUE"""),"LAURA DE LA VEGA")</f>
        <v>LAURA DE LA VEGA</v>
      </c>
      <c r="H7471" s="16">
        <f>IFERROR(__xludf.DUMMYFUNCTION("""COMPUTED_VALUE"""),16227.0)</f>
        <v>16227</v>
      </c>
      <c r="I7471" s="18">
        <f>IFERROR(__xludf.DUMMYFUNCTION("""COMPUTED_VALUE"""),1.0)</f>
        <v>1</v>
      </c>
      <c r="J7471" s="18">
        <f>IFERROR(__xludf.DUMMYFUNCTION("""COMPUTED_VALUE"""),1.0)</f>
        <v>1</v>
      </c>
      <c r="K7471" s="18">
        <f>IFERROR(__xludf.DUMMYFUNCTION("""COMPUTED_VALUE"""),1.0)</f>
        <v>1</v>
      </c>
      <c r="L7471" s="17">
        <f>IFERROR(__xludf.DUMMYFUNCTION("""COMPUTED_VALUE"""),3.007234558E9)</f>
        <v>3007234558</v>
      </c>
      <c r="M7471" s="17"/>
      <c r="N7471" s="17"/>
      <c r="O7471" s="17"/>
      <c r="P7471" s="17" t="b">
        <f>IFERROR(__xludf.DUMMYFUNCTION("""COMPUTED_VALUE"""),FALSE)</f>
        <v>0</v>
      </c>
      <c r="Q7471" s="20" t="str">
        <f>IFERROR(__xludf.DUMMYFUNCTION("""COMPUTED_VALUE"""),"")</f>
        <v/>
      </c>
      <c r="R7471" s="21" t="str">
        <f>IFERROR(__xludf.DUMMYFUNCTION("""COMPUTED_VALUE"""),"https://drive.google.com/file/d/1mkroN1Nc95eoWKnZ2BPLscwGWhus5EWb/view?usp=drivesdk")</f>
        <v>https://drive.google.com/file/d/1mkroN1Nc95eoWKnZ2BPLscwGWhus5EWb/view?usp=drivesdk</v>
      </c>
    </row>
    <row r="7472">
      <c r="A7472" s="15">
        <f>IFERROR(__xludf.DUMMYFUNCTION("""COMPUTED_VALUE"""),45211.0)</f>
        <v>45211</v>
      </c>
      <c r="B7472" s="16" t="str">
        <f>IFERROR(__xludf.DUMMYFUNCTION("""COMPUTED_VALUE"""),"Daniel José sandoval gonzalez")</f>
        <v>Daniel José sandoval gonzalez</v>
      </c>
      <c r="C7472" s="15" t="str">
        <f>IFERROR(__xludf.DUMMYFUNCTION("""COMPUTED_VALUE"""),"BARRANQUILLA")</f>
        <v>BARRANQUILLA</v>
      </c>
      <c r="D7472" s="15" t="str">
        <f>IFERROR(__xludf.DUMMYFUNCTION("""COMPUTED_VALUE"""),"BOGOTÁ")</f>
        <v>BOGOTÁ</v>
      </c>
      <c r="E7472" s="15" t="str">
        <f>IFERROR(__xludf.DUMMYFUNCTION("""COMPUTED_VALUE"""),"Evamazzita")</f>
        <v>Evamazzita</v>
      </c>
      <c r="F7472" s="17" t="str">
        <f>IFERROR(__xludf.DUMMYFUNCTION("""COMPUTED_VALUE"""),"Calle 71b #27-110 / barrio olaya")</f>
        <v>Calle 71b #27-110 / barrio olaya</v>
      </c>
      <c r="G7472" s="15" t="str">
        <f>IFERROR(__xludf.DUMMYFUNCTION("""COMPUTED_VALUE"""),"TATIANA MISAT CASTILLA")</f>
        <v>TATIANA MISAT CASTILLA</v>
      </c>
      <c r="H7472" s="16">
        <f>IFERROR(__xludf.DUMMYFUNCTION("""COMPUTED_VALUE"""),16230.0)</f>
        <v>16230</v>
      </c>
      <c r="I7472" s="18">
        <f>IFERROR(__xludf.DUMMYFUNCTION("""COMPUTED_VALUE"""),1.0)</f>
        <v>1</v>
      </c>
      <c r="J7472" s="18">
        <f>IFERROR(__xludf.DUMMYFUNCTION("""COMPUTED_VALUE"""),1.0)</f>
        <v>1</v>
      </c>
      <c r="K7472" s="18">
        <f>IFERROR(__xludf.DUMMYFUNCTION("""COMPUTED_VALUE"""),1.0)</f>
        <v>1</v>
      </c>
      <c r="L7472" s="17">
        <f>IFERROR(__xludf.DUMMYFUNCTION("""COMPUTED_VALUE"""),3.042450718E9)</f>
        <v>3042450718</v>
      </c>
      <c r="M7472" s="17"/>
      <c r="N7472" s="17"/>
      <c r="O7472" s="17"/>
      <c r="P7472" s="17" t="b">
        <f>IFERROR(__xludf.DUMMYFUNCTION("""COMPUTED_VALUE"""),FALSE)</f>
        <v>0</v>
      </c>
      <c r="Q7472" s="20" t="str">
        <f>IFERROR(__xludf.DUMMYFUNCTION("""COMPUTED_VALUE"""),"")</f>
        <v/>
      </c>
      <c r="R7472" s="21" t="str">
        <f>IFERROR(__xludf.DUMMYFUNCTION("""COMPUTED_VALUE"""),"https://drive.google.com/file/d/1kaZGkZIySzdiDMxywz2QgwuVnGWyJp7K/view?usp=drivesdk")</f>
        <v>https://drive.google.com/file/d/1kaZGkZIySzdiDMxywz2QgwuVnGWyJp7K/view?usp=drivesdk</v>
      </c>
    </row>
    <row r="7473">
      <c r="A7473" s="15">
        <f>IFERROR(__xludf.DUMMYFUNCTION("""COMPUTED_VALUE"""),45211.0)</f>
        <v>45211</v>
      </c>
      <c r="B7473" s="16" t="str">
        <f>IFERROR(__xludf.DUMMYFUNCTION("""COMPUTED_VALUE"""),"Daniel José sandoval gonzalez")</f>
        <v>Daniel José sandoval gonzalez</v>
      </c>
      <c r="C7473" s="15" t="str">
        <f>IFERROR(__xludf.DUMMYFUNCTION("""COMPUTED_VALUE"""),"BARRANQUILLA")</f>
        <v>BARRANQUILLA</v>
      </c>
      <c r="D7473" s="15" t="str">
        <f>IFERROR(__xludf.DUMMYFUNCTION("""COMPUTED_VALUE"""),"BOGOTÁ")</f>
        <v>BOGOTÁ</v>
      </c>
      <c r="E7473" s="15" t="str">
        <f>IFERROR(__xludf.DUMMYFUNCTION("""COMPUTED_VALUE"""),"Evamazzita")</f>
        <v>Evamazzita</v>
      </c>
      <c r="F7473" s="17" t="str">
        <f>IFERROR(__xludf.DUMMYFUNCTION("""COMPUTED_VALUE"""),"Calle 87 #44-77 / apto 6 Edificio Sol Caribe")</f>
        <v>Calle 87 #44-77 / apto 6 Edificio Sol Caribe</v>
      </c>
      <c r="G7473" s="15" t="str">
        <f>IFERROR(__xludf.DUMMYFUNCTION("""COMPUTED_VALUE"""),"LILIBETH DIAZ")</f>
        <v>LILIBETH DIAZ</v>
      </c>
      <c r="H7473" s="16">
        <f>IFERROR(__xludf.DUMMYFUNCTION("""COMPUTED_VALUE"""),16229.0)</f>
        <v>16229</v>
      </c>
      <c r="I7473" s="18">
        <f>IFERROR(__xludf.DUMMYFUNCTION("""COMPUTED_VALUE"""),1.0)</f>
        <v>1</v>
      </c>
      <c r="J7473" s="18">
        <f>IFERROR(__xludf.DUMMYFUNCTION("""COMPUTED_VALUE"""),1.0)</f>
        <v>1</v>
      </c>
      <c r="K7473" s="18">
        <f>IFERROR(__xludf.DUMMYFUNCTION("""COMPUTED_VALUE"""),1.0)</f>
        <v>1</v>
      </c>
      <c r="L7473" s="17">
        <f>IFERROR(__xludf.DUMMYFUNCTION("""COMPUTED_VALUE"""),3.016822894E9)</f>
        <v>3016822894</v>
      </c>
      <c r="M7473" s="17"/>
      <c r="N7473" s="17"/>
      <c r="O7473" s="17"/>
      <c r="P7473" s="17" t="b">
        <f>IFERROR(__xludf.DUMMYFUNCTION("""COMPUTED_VALUE"""),FALSE)</f>
        <v>0</v>
      </c>
      <c r="Q7473" s="20" t="str">
        <f>IFERROR(__xludf.DUMMYFUNCTION("""COMPUTED_VALUE"""),"")</f>
        <v/>
      </c>
      <c r="R7473" s="21" t="str">
        <f>IFERROR(__xludf.DUMMYFUNCTION("""COMPUTED_VALUE"""),"https://drive.google.com/file/d/1NnGJ40lUdCUdoqhEl0XNGWYrkWQMhWUe/view?usp=drivesdk")</f>
        <v>https://drive.google.com/file/d/1NnGJ40lUdCUdoqhEl0XNGWYrkWQMhWUe/view?usp=drivesdk</v>
      </c>
    </row>
    <row r="7474">
      <c r="A7474" s="15">
        <f>IFERROR(__xludf.DUMMYFUNCTION("""COMPUTED_VALUE"""),45211.0)</f>
        <v>45211</v>
      </c>
      <c r="B7474" s="16" t="str">
        <f>IFERROR(__xludf.DUMMYFUNCTION("""COMPUTED_VALUE"""),"Daniel José sandoval gonzalez")</f>
        <v>Daniel José sandoval gonzalez</v>
      </c>
      <c r="C7474" s="15" t="str">
        <f>IFERROR(__xludf.DUMMYFUNCTION("""COMPUTED_VALUE"""),"BARRANQUILLA")</f>
        <v>BARRANQUILLA</v>
      </c>
      <c r="D7474" s="15" t="str">
        <f>IFERROR(__xludf.DUMMYFUNCTION("""COMPUTED_VALUE"""),"BOGOTÁ")</f>
        <v>BOGOTÁ</v>
      </c>
      <c r="E7474" s="15" t="str">
        <f>IFERROR(__xludf.DUMMYFUNCTION("""COMPUTED_VALUE"""),"Evamazzita")</f>
        <v>Evamazzita</v>
      </c>
      <c r="F7474" s="17" t="str">
        <f>IFERROR(__xludf.DUMMYFUNCTION("""COMPUTED_VALUE"""),"TRANSV 44 No. 100-82 / CONJUNTO TOZCANA TORRE 5 APTO 318 MIRAMAR")</f>
        <v>TRANSV 44 No. 100-82 / CONJUNTO TOZCANA TORRE 5 APTO 318 MIRAMAR</v>
      </c>
      <c r="G7474" s="15" t="str">
        <f>IFERROR(__xludf.DUMMYFUNCTION("""COMPUTED_VALUE"""),"CAROLINA PARADA ACOSTA")</f>
        <v>CAROLINA PARADA ACOSTA</v>
      </c>
      <c r="H7474" s="16">
        <f>IFERROR(__xludf.DUMMYFUNCTION("""COMPUTED_VALUE"""),16228.0)</f>
        <v>16228</v>
      </c>
      <c r="I7474" s="18">
        <f>IFERROR(__xludf.DUMMYFUNCTION("""COMPUTED_VALUE"""),1.0)</f>
        <v>1</v>
      </c>
      <c r="J7474" s="18">
        <f>IFERROR(__xludf.DUMMYFUNCTION("""COMPUTED_VALUE"""),1.0)</f>
        <v>1</v>
      </c>
      <c r="K7474" s="18">
        <f>IFERROR(__xludf.DUMMYFUNCTION("""COMPUTED_VALUE"""),1.0)</f>
        <v>1</v>
      </c>
      <c r="L7474" s="17">
        <f>IFERROR(__xludf.DUMMYFUNCTION("""COMPUTED_VALUE"""),3.134122981E9)</f>
        <v>3134122981</v>
      </c>
      <c r="M7474" s="17"/>
      <c r="N7474" s="17"/>
      <c r="O7474" s="17"/>
      <c r="P7474" s="17" t="b">
        <f>IFERROR(__xludf.DUMMYFUNCTION("""COMPUTED_VALUE"""),FALSE)</f>
        <v>0</v>
      </c>
      <c r="Q7474" s="20" t="str">
        <f>IFERROR(__xludf.DUMMYFUNCTION("""COMPUTED_VALUE"""),"")</f>
        <v/>
      </c>
      <c r="R7474" s="21" t="str">
        <f>IFERROR(__xludf.DUMMYFUNCTION("""COMPUTED_VALUE"""),"https://drive.google.com/file/d/1Wobz5zxIIT-8sfOAAhi25HjkVAmL9k8b/view?usp=drivesdk")</f>
        <v>https://drive.google.com/file/d/1Wobz5zxIIT-8sfOAAhi25HjkVAmL9k8b/view?usp=drivesdk</v>
      </c>
    </row>
    <row r="7475">
      <c r="A7475" s="15">
        <f>IFERROR(__xludf.DUMMYFUNCTION("""COMPUTED_VALUE"""),45211.0)</f>
        <v>45211</v>
      </c>
      <c r="B7475" s="16" t="str">
        <f>IFERROR(__xludf.DUMMYFUNCTION("""COMPUTED_VALUE"""),"Daniel José sandoval gonzalez")</f>
        <v>Daniel José sandoval gonzalez</v>
      </c>
      <c r="C7475" s="15" t="str">
        <f>IFERROR(__xludf.DUMMYFUNCTION("""COMPUTED_VALUE"""),"BARRANQUILLA")</f>
        <v>BARRANQUILLA</v>
      </c>
      <c r="D7475" s="15" t="str">
        <f>IFERROR(__xludf.DUMMYFUNCTION("""COMPUTED_VALUE"""),"BOGOTÁ")</f>
        <v>BOGOTÁ</v>
      </c>
      <c r="E7475" s="15" t="str">
        <f>IFERROR(__xludf.DUMMYFUNCTION("""COMPUTED_VALUE"""),"Mochi")</f>
        <v>Mochi</v>
      </c>
      <c r="F7475" s="17" t="str">
        <f>IFERROR(__xludf.DUMMYFUNCTION("""COMPUTED_VALUE"""),"Cra 51 B #87/50 / Centro comercial / Rio mar")</f>
        <v>Cra 51 B #87/50 / Centro comercial / Rio mar</v>
      </c>
      <c r="G7475" s="15" t="str">
        <f>IFERROR(__xludf.DUMMYFUNCTION("""COMPUTED_VALUE"""),"Maria Camila giraldo")</f>
        <v>Maria Camila giraldo</v>
      </c>
      <c r="H7475" s="16">
        <f>IFERROR(__xludf.DUMMYFUNCTION("""COMPUTED_VALUE"""),16262.0)</f>
        <v>16262</v>
      </c>
      <c r="I7475" s="18">
        <f>IFERROR(__xludf.DUMMYFUNCTION("""COMPUTED_VALUE"""),55.0)</f>
        <v>55</v>
      </c>
      <c r="J7475" s="18">
        <f>IFERROR(__xludf.DUMMYFUNCTION("""COMPUTED_VALUE"""),44.0)</f>
        <v>44</v>
      </c>
      <c r="K7475" s="18" t="str">
        <f>IFERROR(__xludf.DUMMYFUNCTION("""COMPUTED_VALUE"""),"52.5")</f>
        <v>52.5</v>
      </c>
      <c r="L7475" s="17">
        <f>IFERROR(__xludf.DUMMYFUNCTION("""COMPUTED_VALUE"""),3.116026252E9)</f>
        <v>3116026252</v>
      </c>
      <c r="M7475" s="17"/>
      <c r="N7475" s="17"/>
      <c r="O7475" s="17"/>
      <c r="P7475" s="17" t="b">
        <f>IFERROR(__xludf.DUMMYFUNCTION("""COMPUTED_VALUE"""),FALSE)</f>
        <v>0</v>
      </c>
      <c r="Q7475" s="20" t="str">
        <f>IFERROR(__xludf.DUMMYFUNCTION("""COMPUTED_VALUE"""),"")</f>
        <v/>
      </c>
      <c r="R7475" s="21" t="str">
        <f>IFERROR(__xludf.DUMMYFUNCTION("""COMPUTED_VALUE"""),"https://drive.google.com/file/d/1i4f21f-GV66LmAjvwDtyJRZIunjydnug/view?usp=drivesdk")</f>
        <v>https://drive.google.com/file/d/1i4f21f-GV66LmAjvwDtyJRZIunjydnug/view?usp=drivesdk</v>
      </c>
    </row>
    <row r="7476">
      <c r="A7476" s="15">
        <f>IFERROR(__xludf.DUMMYFUNCTION("""COMPUTED_VALUE"""),45211.0)</f>
        <v>45211</v>
      </c>
      <c r="B7476" s="16" t="str">
        <f>IFERROR(__xludf.DUMMYFUNCTION("""COMPUTED_VALUE"""),"Daniel José sandoval gonzalez")</f>
        <v>Daniel José sandoval gonzalez</v>
      </c>
      <c r="C7476" s="15" t="str">
        <f>IFERROR(__xludf.DUMMYFUNCTION("""COMPUTED_VALUE"""),"BARRANQUILLA")</f>
        <v>BARRANQUILLA</v>
      </c>
      <c r="D7476" s="15" t="str">
        <f>IFERROR(__xludf.DUMMYFUNCTION("""COMPUTED_VALUE"""),"BOGOTÁ")</f>
        <v>BOGOTÁ</v>
      </c>
      <c r="E7476" s="15" t="str">
        <f>IFERROR(__xludf.DUMMYFUNCTION("""COMPUTED_VALUE"""),"Pan de Waffle")</f>
        <v>Pan de Waffle</v>
      </c>
      <c r="F7476" s="17" t="str">
        <f>IFERROR(__xludf.DUMMYFUNCTION("""COMPUTED_VALUE"""),"Carrera 45 # 85 - 168 / Carrera 45 # 85 - 168 / Carrera 45 # 85 - 168")</f>
        <v>Carrera 45 # 85 - 168 / Carrera 45 # 85 - 168 / Carrera 45 # 85 - 168</v>
      </c>
      <c r="G7476" s="15" t="str">
        <f>IFERROR(__xludf.DUMMYFUNCTION("""COMPUTED_VALUE"""),"FOODOLOGY")</f>
        <v>FOODOLOGY</v>
      </c>
      <c r="H7476" s="16">
        <f>IFERROR(__xludf.DUMMYFUNCTION("""COMPUTED_VALUE"""),16212.0)</f>
        <v>16212</v>
      </c>
      <c r="I7476" s="18">
        <f>IFERROR(__xludf.DUMMYFUNCTION("""COMPUTED_VALUE"""),40.0)</f>
        <v>40</v>
      </c>
      <c r="J7476" s="18">
        <f>IFERROR(__xludf.DUMMYFUNCTION("""COMPUTED_VALUE"""),40.0)</f>
        <v>40</v>
      </c>
      <c r="K7476" s="18">
        <f>IFERROR(__xludf.DUMMYFUNCTION("""COMPUTED_VALUE"""),30.0)</f>
        <v>30</v>
      </c>
      <c r="L7476" s="17">
        <f>IFERROR(__xludf.DUMMYFUNCTION("""COMPUTED_VALUE"""),3.017001909E9)</f>
        <v>3017001909</v>
      </c>
      <c r="M7476" s="17"/>
      <c r="N7476" s="17"/>
      <c r="O7476" s="17"/>
      <c r="P7476" s="17" t="b">
        <f>IFERROR(__xludf.DUMMYFUNCTION("""COMPUTED_VALUE"""),FALSE)</f>
        <v>0</v>
      </c>
      <c r="Q7476" s="20" t="str">
        <f>IFERROR(__xludf.DUMMYFUNCTION("""COMPUTED_VALUE"""),"")</f>
        <v/>
      </c>
      <c r="R7476" s="21" t="str">
        <f>IFERROR(__xludf.DUMMYFUNCTION("""COMPUTED_VALUE"""),"https://drive.google.com/file/d/1HoqFu3soRP9J_91nYJbYlVAyxCdx938X/view?usp=drivesdk")</f>
        <v>https://drive.google.com/file/d/1HoqFu3soRP9J_91nYJbYlVAyxCdx938X/view?usp=drivesdk</v>
      </c>
    </row>
    <row r="7477">
      <c r="A7477" s="17" t="str">
        <f>IFERROR(__xludf.DUMMYFUNCTION("""COMPUTED_VALUE"""),"")</f>
        <v/>
      </c>
      <c r="B7477" s="17" t="str">
        <f>IFERROR(__xludf.DUMMYFUNCTION("""COMPUTED_VALUE"""),"")</f>
        <v/>
      </c>
      <c r="C7477" s="17" t="str">
        <f>IFERROR(__xludf.DUMMYFUNCTION("""COMPUTED_VALUE"""),"")</f>
        <v/>
      </c>
      <c r="D7477" s="17" t="str">
        <f>IFERROR(__xludf.DUMMYFUNCTION("""COMPUTED_VALUE"""),"")</f>
        <v/>
      </c>
      <c r="E7477" s="17" t="str">
        <f>IFERROR(__xludf.DUMMYFUNCTION("""COMPUTED_VALUE"""),"")</f>
        <v/>
      </c>
      <c r="F7477" s="17" t="str">
        <f>IFERROR(__xludf.DUMMYFUNCTION("""COMPUTED_VALUE"""),"")</f>
        <v/>
      </c>
      <c r="G7477" s="17" t="str">
        <f>IFERROR(__xludf.DUMMYFUNCTION("""COMPUTED_VALUE"""),"")</f>
        <v/>
      </c>
      <c r="H7477" s="17" t="str">
        <f>IFERROR(__xludf.DUMMYFUNCTION("""COMPUTED_VALUE"""),"")</f>
        <v/>
      </c>
      <c r="I7477" s="17" t="str">
        <f>IFERROR(__xludf.DUMMYFUNCTION("""COMPUTED_VALUE"""),"")</f>
        <v/>
      </c>
      <c r="J7477" s="17" t="str">
        <f>IFERROR(__xludf.DUMMYFUNCTION("""COMPUTED_VALUE"""),"")</f>
        <v/>
      </c>
      <c r="K7477" s="17" t="str">
        <f>IFERROR(__xludf.DUMMYFUNCTION("""COMPUTED_VALUE"""),"")</f>
        <v/>
      </c>
      <c r="L7477" s="17" t="str">
        <f>IFERROR(__xludf.DUMMYFUNCTION("""COMPUTED_VALUE"""),"")</f>
        <v/>
      </c>
      <c r="M7477" s="17" t="str">
        <f>IFERROR(__xludf.DUMMYFUNCTION("""COMPUTED_VALUE"""),"")</f>
        <v/>
      </c>
      <c r="N7477" s="17" t="str">
        <f>IFERROR(__xludf.DUMMYFUNCTION("""COMPUTED_VALUE"""),"")</f>
        <v/>
      </c>
      <c r="O7477" s="17" t="str">
        <f>IFERROR(__xludf.DUMMYFUNCTION("""COMPUTED_VALUE"""),"")</f>
        <v/>
      </c>
      <c r="P7477" s="17" t="str">
        <f>IFERROR(__xludf.DUMMYFUNCTION("""COMPUTED_VALUE"""),"")</f>
        <v/>
      </c>
      <c r="Q7477" s="17" t="str">
        <f>IFERROR(__xludf.DUMMYFUNCTION("""COMPUTED_VALUE"""),"")</f>
        <v/>
      </c>
      <c r="R7477" s="17" t="str">
        <f>IFERROR(__xludf.DUMMYFUNCTION("""COMPUTED_VALUE"""),"")</f>
        <v/>
      </c>
    </row>
    <row r="7478">
      <c r="A7478" s="15">
        <f>IFERROR(__xludf.DUMMYFUNCTION("""COMPUTED_VALUE"""),45211.0)</f>
        <v>45211</v>
      </c>
      <c r="B7478" s="16" t="str">
        <f>IFERROR(__xludf.DUMMYFUNCTION("""COMPUTED_VALUE"""),"David Sanmartin Bello")</f>
        <v>David Sanmartin Bello</v>
      </c>
      <c r="C7478" s="15" t="str">
        <f>IFERROR(__xludf.DUMMYFUNCTION("""COMPUTED_VALUE"""),"BARRANQUILLA")</f>
        <v>BARRANQUILLA</v>
      </c>
      <c r="D7478" s="15" t="str">
        <f>IFERROR(__xludf.DUMMYFUNCTION("""COMPUTED_VALUE"""),"BOGOTÁ")</f>
        <v>BOGOTÁ</v>
      </c>
      <c r="E7478" s="15" t="str">
        <f>IFERROR(__xludf.DUMMYFUNCTION("""COMPUTED_VALUE"""),"Top Spun")</f>
        <v>Top Spun</v>
      </c>
      <c r="F7478" s="17" t="str">
        <f>IFERROR(__xludf.DUMMYFUNCTION("""COMPUTED_VALUE"""),"Calle 104 # 53 - 49 / Edificio Zioon Towers / Torre 3 Apto 505")</f>
        <v>Calle 104 # 53 - 49 / Edificio Zioon Towers / Torre 3 Apto 505</v>
      </c>
      <c r="G7478" s="15" t="str">
        <f>IFERROR(__xludf.DUMMYFUNCTION("""COMPUTED_VALUE"""),"Stephanie Correa Cardona")</f>
        <v>Stephanie Correa Cardona</v>
      </c>
      <c r="H7478" s="16">
        <f>IFERROR(__xludf.DUMMYFUNCTION("""COMPUTED_VALUE"""),16204.0)</f>
        <v>16204</v>
      </c>
      <c r="I7478" s="18">
        <f>IFERROR(__xludf.DUMMYFUNCTION("""COMPUTED_VALUE"""),20.0)</f>
        <v>20</v>
      </c>
      <c r="J7478" s="18">
        <f>IFERROR(__xludf.DUMMYFUNCTION("""COMPUTED_VALUE"""),10.0)</f>
        <v>10</v>
      </c>
      <c r="K7478" s="18">
        <f>IFERROR(__xludf.DUMMYFUNCTION("""COMPUTED_VALUE"""),40.0)</f>
        <v>40</v>
      </c>
      <c r="L7478" s="17">
        <f>IFERROR(__xludf.DUMMYFUNCTION("""COMPUTED_VALUE"""),3.13885894E9)</f>
        <v>3138858940</v>
      </c>
      <c r="M7478" s="17"/>
      <c r="N7478" s="17"/>
      <c r="O7478" s="17"/>
      <c r="P7478" s="17" t="b">
        <f>IFERROR(__xludf.DUMMYFUNCTION("""COMPUTED_VALUE"""),FALSE)</f>
        <v>0</v>
      </c>
      <c r="Q7478" s="20" t="str">
        <f>IFERROR(__xludf.DUMMYFUNCTION("""COMPUTED_VALUE"""),"")</f>
        <v/>
      </c>
      <c r="R7478" s="22" t="str">
        <f>IFERROR(__xludf.DUMMYFUNCTION("""COMPUTED_VALUE"""),"")</f>
        <v/>
      </c>
    </row>
    <row r="7479">
      <c r="A7479" s="15">
        <f>IFERROR(__xludf.DUMMYFUNCTION("""COMPUTED_VALUE"""),45211.0)</f>
        <v>45211</v>
      </c>
      <c r="B7479" s="16" t="str">
        <f>IFERROR(__xludf.DUMMYFUNCTION("""COMPUTED_VALUE"""),"David Sanmartin Bello")</f>
        <v>David Sanmartin Bello</v>
      </c>
      <c r="C7479" s="15" t="str">
        <f>IFERROR(__xludf.DUMMYFUNCTION("""COMPUTED_VALUE"""),"CARTAGENA")</f>
        <v>CARTAGENA</v>
      </c>
      <c r="D7479" s="15" t="str">
        <f>IFERROR(__xludf.DUMMYFUNCTION("""COMPUTED_VALUE"""),"BOGOTÁ")</f>
        <v>BOGOTÁ</v>
      </c>
      <c r="E7479" s="15" t="str">
        <f>IFERROR(__xludf.DUMMYFUNCTION("""COMPUTED_VALUE"""),"Mochi")</f>
        <v>Mochi</v>
      </c>
      <c r="F7479" s="17" t="str">
        <f>IFERROR(__xludf.DUMMYFUNCTION("""COMPUTED_VALUE"""),"Cra 11 #39 / 21 / Centro comercial / San diego")</f>
        <v>Cra 11 #39 / 21 / Centro comercial / San diego</v>
      </c>
      <c r="G7479" s="15" t="str">
        <f>IFERROR(__xludf.DUMMYFUNCTION("""COMPUTED_VALUE"""),"Maria Camila Giraldo")</f>
        <v>Maria Camila Giraldo</v>
      </c>
      <c r="H7479" s="16">
        <f>IFERROR(__xludf.DUMMYFUNCTION("""COMPUTED_VALUE"""),16207.0)</f>
        <v>16207</v>
      </c>
      <c r="I7479" s="18">
        <f>IFERROR(__xludf.DUMMYFUNCTION("""COMPUTED_VALUE"""),55.0)</f>
        <v>55</v>
      </c>
      <c r="J7479" s="18">
        <f>IFERROR(__xludf.DUMMYFUNCTION("""COMPUTED_VALUE"""),44.0)</f>
        <v>44</v>
      </c>
      <c r="K7479" s="18" t="str">
        <f>IFERROR(__xludf.DUMMYFUNCTION("""COMPUTED_VALUE"""),"52.5")</f>
        <v>52.5</v>
      </c>
      <c r="L7479" s="17">
        <f>IFERROR(__xludf.DUMMYFUNCTION("""COMPUTED_VALUE"""),3.116026252E9)</f>
        <v>3116026252</v>
      </c>
      <c r="M7479" s="17"/>
      <c r="N7479" s="17"/>
      <c r="O7479" s="17"/>
      <c r="P7479" s="17" t="b">
        <f>IFERROR(__xludf.DUMMYFUNCTION("""COMPUTED_VALUE"""),FALSE)</f>
        <v>0</v>
      </c>
      <c r="Q7479" s="20" t="str">
        <f>IFERROR(__xludf.DUMMYFUNCTION("""COMPUTED_VALUE"""),"")</f>
        <v/>
      </c>
      <c r="R7479" s="21" t="str">
        <f>IFERROR(__xludf.DUMMYFUNCTION("""COMPUTED_VALUE"""),"https://drive.google.com/file/d/1fQjVolI7f4b7Y9x7Uwa5bQjeIi_9JAE5/view?usp=drivesdk")</f>
        <v>https://drive.google.com/file/d/1fQjVolI7f4b7Y9x7Uwa5bQjeIi_9JAE5/view?usp=drivesdk</v>
      </c>
    </row>
    <row r="7480">
      <c r="A7480" s="15">
        <f>IFERROR(__xludf.DUMMYFUNCTION("""COMPUTED_VALUE"""),45211.0)</f>
        <v>45211</v>
      </c>
      <c r="B7480" s="16" t="str">
        <f>IFERROR(__xludf.DUMMYFUNCTION("""COMPUTED_VALUE"""),"David Sanmartin Bello")</f>
        <v>David Sanmartin Bello</v>
      </c>
      <c r="C7480" s="15" t="str">
        <f>IFERROR(__xludf.DUMMYFUNCTION("""COMPUTED_VALUE"""),"CARTAGENA")</f>
        <v>CARTAGENA</v>
      </c>
      <c r="D7480" s="15" t="str">
        <f>IFERROR(__xludf.DUMMYFUNCTION("""COMPUTED_VALUE"""),"BOGOTÁ")</f>
        <v>BOGOTÁ</v>
      </c>
      <c r="E7480" s="15" t="str">
        <f>IFERROR(__xludf.DUMMYFUNCTION("""COMPUTED_VALUE"""),"Top Spun")</f>
        <v>Top Spun</v>
      </c>
      <c r="F7480" s="17" t="str">
        <f>IFERROR(__xludf.DUMMYFUNCTION("""COMPUTED_VALUE"""),"Calle 27 # 20-44 / manga Edificio Villa Magna apto 102b / Cartagena")</f>
        <v>Calle 27 # 20-44 / manga Edificio Villa Magna apto 102b / Cartagena</v>
      </c>
      <c r="G7480" s="15" t="str">
        <f>IFERROR(__xludf.DUMMYFUNCTION("""COMPUTED_VALUE"""),"Margarita Valderrama")</f>
        <v>Margarita Valderrama</v>
      </c>
      <c r="H7480" s="16">
        <f>IFERROR(__xludf.DUMMYFUNCTION("""COMPUTED_VALUE"""),16178.0)</f>
        <v>16178</v>
      </c>
      <c r="I7480" s="18">
        <f>IFERROR(__xludf.DUMMYFUNCTION("""COMPUTED_VALUE"""),20.0)</f>
        <v>20</v>
      </c>
      <c r="J7480" s="18">
        <f>IFERROR(__xludf.DUMMYFUNCTION("""COMPUTED_VALUE"""),10.0)</f>
        <v>10</v>
      </c>
      <c r="K7480" s="18">
        <f>IFERROR(__xludf.DUMMYFUNCTION("""COMPUTED_VALUE"""),40.0)</f>
        <v>40</v>
      </c>
      <c r="L7480" s="17">
        <f>IFERROR(__xludf.DUMMYFUNCTION("""COMPUTED_VALUE"""),3.145639965E9)</f>
        <v>3145639965</v>
      </c>
      <c r="M7480" s="17"/>
      <c r="N7480" s="17"/>
      <c r="O7480" s="17"/>
      <c r="P7480" s="17" t="b">
        <f>IFERROR(__xludf.DUMMYFUNCTION("""COMPUTED_VALUE"""),FALSE)</f>
        <v>0</v>
      </c>
      <c r="Q7480" s="20" t="str">
        <f>IFERROR(__xludf.DUMMYFUNCTION("""COMPUTED_VALUE"""),"")</f>
        <v/>
      </c>
      <c r="R7480" s="21" t="str">
        <f>IFERROR(__xludf.DUMMYFUNCTION("""COMPUTED_VALUE"""),"https://drive.google.com/file/d/1HLyy-q6upW5YM6abFtptts6WwqmHGGZN/view?usp=drivesdk")</f>
        <v>https://drive.google.com/file/d/1HLyy-q6upW5YM6abFtptts6WwqmHGGZN/view?usp=drivesdk</v>
      </c>
    </row>
    <row r="7481">
      <c r="A7481" s="15">
        <f>IFERROR(__xludf.DUMMYFUNCTION("""COMPUTED_VALUE"""),45211.0)</f>
        <v>45211</v>
      </c>
      <c r="B7481" s="16" t="str">
        <f>IFERROR(__xludf.DUMMYFUNCTION("""COMPUTED_VALUE"""),"David Sanmartin Bello")</f>
        <v>David Sanmartin Bello</v>
      </c>
      <c r="C7481" s="15" t="str">
        <f>IFERROR(__xludf.DUMMYFUNCTION("""COMPUTED_VALUE"""),"CARTAGENA")</f>
        <v>CARTAGENA</v>
      </c>
      <c r="D7481" s="15" t="str">
        <f>IFERROR(__xludf.DUMMYFUNCTION("""COMPUTED_VALUE"""),"BOGOTÁ")</f>
        <v>BOGOTÁ</v>
      </c>
      <c r="E7481" s="15" t="str">
        <f>IFERROR(__xludf.DUMMYFUNCTION("""COMPUTED_VALUE"""),"Viiva Fermentados")</f>
        <v>Viiva Fermentados</v>
      </c>
      <c r="F7481" s="17" t="str">
        <f>IFERROR(__xludf.DUMMYFUNCTION("""COMPUTED_VALUE"""),"Centro Comercial Las Ramblas  / Local 406A / Centro Comercial Las Ramblas")</f>
        <v>Centro Comercial Las Ramblas  / Local 406A / Centro Comercial Las Ramblas</v>
      </c>
      <c r="G7481" s="15" t="str">
        <f>IFERROR(__xludf.DUMMYFUNCTION("""COMPUTED_VALUE"""),"Maricarmen - Tienda Vida Manai")</f>
        <v>Maricarmen - Tienda Vida Manai</v>
      </c>
      <c r="H7481" s="16">
        <f>IFERROR(__xludf.DUMMYFUNCTION("""COMPUTED_VALUE"""),16106.0)</f>
        <v>16106</v>
      </c>
      <c r="I7481" s="18">
        <f>IFERROR(__xludf.DUMMYFUNCTION("""COMPUTED_VALUE"""),37.0)</f>
        <v>37</v>
      </c>
      <c r="J7481" s="18">
        <f>IFERROR(__xludf.DUMMYFUNCTION("""COMPUTED_VALUE"""),18.0)</f>
        <v>18</v>
      </c>
      <c r="K7481" s="18">
        <f>IFERROR(__xludf.DUMMYFUNCTION("""COMPUTED_VALUE"""),18.0)</f>
        <v>18</v>
      </c>
      <c r="L7481" s="17">
        <f>IFERROR(__xludf.DUMMYFUNCTION("""COMPUTED_VALUE"""),3.168779204E9)</f>
        <v>3168779204</v>
      </c>
      <c r="M7481" s="17"/>
      <c r="N7481" s="17"/>
      <c r="O7481" s="17"/>
      <c r="P7481" s="17" t="b">
        <f>IFERROR(__xludf.DUMMYFUNCTION("""COMPUTED_VALUE"""),FALSE)</f>
        <v>0</v>
      </c>
      <c r="Q7481" s="20" t="str">
        <f>IFERROR(__xludf.DUMMYFUNCTION("""COMPUTED_VALUE"""),"")</f>
        <v/>
      </c>
      <c r="R7481" s="21" t="str">
        <f>IFERROR(__xludf.DUMMYFUNCTION("""COMPUTED_VALUE"""),"https://drive.google.com/file/d/1GRgSobj9_yqh_HJbTgff8sv2aoEk62Ng/view?usp=drivesdk")</f>
        <v>https://drive.google.com/file/d/1GRgSobj9_yqh_HJbTgff8sv2aoEk62Ng/view?usp=drivesdk</v>
      </c>
    </row>
    <row r="7482">
      <c r="A7482" s="15">
        <f>IFERROR(__xludf.DUMMYFUNCTION("""COMPUTED_VALUE"""),45211.0)</f>
        <v>45211</v>
      </c>
      <c r="B7482" s="16" t="str">
        <f>IFERROR(__xludf.DUMMYFUNCTION("""COMPUTED_VALUE"""),"David Sanmartin Bello")</f>
        <v>David Sanmartin Bello</v>
      </c>
      <c r="C7482" s="15" t="str">
        <f>IFERROR(__xludf.DUMMYFUNCTION("""COMPUTED_VALUE"""),"CARTAGENA")</f>
        <v>CARTAGENA</v>
      </c>
      <c r="D7482" s="15" t="str">
        <f>IFERROR(__xludf.DUMMYFUNCTION("""COMPUTED_VALUE"""),"MEDELLÍN")</f>
        <v>MEDELLÍN</v>
      </c>
      <c r="E7482" s="15" t="str">
        <f>IFERROR(__xludf.DUMMYFUNCTION("""COMPUTED_VALUE"""),"AREPAS LA MARY")</f>
        <v>AREPAS LA MARY</v>
      </c>
      <c r="F7482" s="17" t="str">
        <f>IFERROR(__xludf.DUMMYFUNCTION("""COMPUTED_VALUE"""),"CALLE 6 N 4 20 / CENTRO COMERCIAL LA ESTACION LOCAL 110")</f>
        <v>CALLE 6 N 4 20 / CENTRO COMERCIAL LA ESTACION LOCAL 110</v>
      </c>
      <c r="G7482" s="15" t="str">
        <f>IFERROR(__xludf.DUMMYFUNCTION("""COMPUTED_VALUE"""),"COCOFIT MERCADO SALUDABLE")</f>
        <v>COCOFIT MERCADO SALUDABLE</v>
      </c>
      <c r="H7482" s="16">
        <f>IFERROR(__xludf.DUMMYFUNCTION("""COMPUTED_VALUE"""),16122.0)</f>
        <v>16122</v>
      </c>
      <c r="I7482" s="18">
        <f>IFERROR(__xludf.DUMMYFUNCTION("""COMPUTED_VALUE"""),89.0)</f>
        <v>89</v>
      </c>
      <c r="J7482" s="18">
        <f>IFERROR(__xludf.DUMMYFUNCTION("""COMPUTED_VALUE"""),1.0)</f>
        <v>1</v>
      </c>
      <c r="K7482" s="18">
        <f>IFERROR(__xludf.DUMMYFUNCTION("""COMPUTED_VALUE"""),10.0)</f>
        <v>10</v>
      </c>
      <c r="L7482" s="17">
        <f>IFERROR(__xludf.DUMMYFUNCTION("""COMPUTED_VALUE"""),3.135781119E9)</f>
        <v>3135781119</v>
      </c>
      <c r="M7482" s="17"/>
      <c r="N7482" s="17"/>
      <c r="O7482" s="17"/>
      <c r="P7482" s="17" t="b">
        <f>IFERROR(__xludf.DUMMYFUNCTION("""COMPUTED_VALUE"""),FALSE)</f>
        <v>0</v>
      </c>
      <c r="Q7482" s="20" t="str">
        <f>IFERROR(__xludf.DUMMYFUNCTION("""COMPUTED_VALUE"""),"")</f>
        <v/>
      </c>
      <c r="R7482" s="21" t="str">
        <f>IFERROR(__xludf.DUMMYFUNCTION("""COMPUTED_VALUE"""),"https://drive.google.com/file/d/1sVoMy7R3LxVqa3E1YWVNsH_cSIy6fUKe/view?usp=drivesdk")</f>
        <v>https://drive.google.com/file/d/1sVoMy7R3LxVqa3E1YWVNsH_cSIy6fUKe/view?usp=drivesdk</v>
      </c>
    </row>
    <row r="7483">
      <c r="A7483" s="15">
        <f>IFERROR(__xludf.DUMMYFUNCTION("""COMPUTED_VALUE"""),45211.0)</f>
        <v>45211</v>
      </c>
      <c r="B7483" s="16" t="str">
        <f>IFERROR(__xludf.DUMMYFUNCTION("""COMPUTED_VALUE"""),"David Sanmartin Bello")</f>
        <v>David Sanmartin Bello</v>
      </c>
      <c r="C7483" s="15" t="str">
        <f>IFERROR(__xludf.DUMMYFUNCTION("""COMPUTED_VALUE"""),"CARTAGENA")</f>
        <v>CARTAGENA</v>
      </c>
      <c r="D7483" s="15" t="str">
        <f>IFERROR(__xludf.DUMMYFUNCTION("""COMPUTED_VALUE"""),"MEDELLÍN")</f>
        <v>MEDELLÍN</v>
      </c>
      <c r="E7483" s="15" t="str">
        <f>IFERROR(__xludf.DUMMYFUNCTION("""COMPUTED_VALUE"""),"Baby Chef")</f>
        <v>Baby Chef</v>
      </c>
      <c r="F7483" s="17" t="str">
        <f>IFERROR(__xludf.DUMMYFUNCTION("""COMPUTED_VALUE"""),"TV.78 No. 127-315  / parques de bolivar 3 casa 6 / parques de bolivar 3 casa 6")</f>
        <v>TV.78 No. 127-315  / parques de bolivar 3 casa 6 / parques de bolivar 3 casa 6</v>
      </c>
      <c r="G7483" s="15" t="str">
        <f>IFERROR(__xludf.DUMMYFUNCTION("""COMPUTED_VALUE"""),"Libis Acevedo")</f>
        <v>Libis Acevedo</v>
      </c>
      <c r="H7483" s="16">
        <f>IFERROR(__xludf.DUMMYFUNCTION("""COMPUTED_VALUE"""),16183.0)</f>
        <v>16183</v>
      </c>
      <c r="I7483" s="18">
        <f>IFERROR(__xludf.DUMMYFUNCTION("""COMPUTED_VALUE"""),12.0)</f>
        <v>12</v>
      </c>
      <c r="J7483" s="18">
        <f>IFERROR(__xludf.DUMMYFUNCTION("""COMPUTED_VALUE"""),24.0)</f>
        <v>24</v>
      </c>
      <c r="K7483" s="18">
        <f>IFERROR(__xludf.DUMMYFUNCTION("""COMPUTED_VALUE"""),42.0)</f>
        <v>42</v>
      </c>
      <c r="L7483" s="17">
        <f>IFERROR(__xludf.DUMMYFUNCTION("""COMPUTED_VALUE"""),3.122027581E9)</f>
        <v>3122027581</v>
      </c>
      <c r="M7483" s="17"/>
      <c r="N7483" s="17"/>
      <c r="O7483" s="17"/>
      <c r="P7483" s="17" t="b">
        <f>IFERROR(__xludf.DUMMYFUNCTION("""COMPUTED_VALUE"""),FALSE)</f>
        <v>0</v>
      </c>
      <c r="Q7483" s="20" t="str">
        <f>IFERROR(__xludf.DUMMYFUNCTION("""COMPUTED_VALUE"""),"")</f>
        <v/>
      </c>
      <c r="R7483" s="21" t="str">
        <f>IFERROR(__xludf.DUMMYFUNCTION("""COMPUTED_VALUE"""),"https://drive.google.com/file/d/1LgcbdurJdFwO_Y5N_EZxP18YwJ39Vti8/view?usp=drivesdk")</f>
        <v>https://drive.google.com/file/d/1LgcbdurJdFwO_Y5N_EZxP18YwJ39Vti8/view?usp=drivesdk</v>
      </c>
    </row>
    <row r="7484">
      <c r="A7484" s="17" t="str">
        <f>IFERROR(__xludf.DUMMYFUNCTION("""COMPUTED_VALUE"""),"")</f>
        <v/>
      </c>
      <c r="B7484" s="17" t="str">
        <f>IFERROR(__xludf.DUMMYFUNCTION("""COMPUTED_VALUE"""),"")</f>
        <v/>
      </c>
      <c r="C7484" s="17" t="str">
        <f>IFERROR(__xludf.DUMMYFUNCTION("""COMPUTED_VALUE"""),"")</f>
        <v/>
      </c>
      <c r="D7484" s="17" t="str">
        <f>IFERROR(__xludf.DUMMYFUNCTION("""COMPUTED_VALUE"""),"")</f>
        <v/>
      </c>
      <c r="E7484" s="17" t="str">
        <f>IFERROR(__xludf.DUMMYFUNCTION("""COMPUTED_VALUE"""),"")</f>
        <v/>
      </c>
      <c r="F7484" s="17" t="str">
        <f>IFERROR(__xludf.DUMMYFUNCTION("""COMPUTED_VALUE"""),"")</f>
        <v/>
      </c>
      <c r="G7484" s="17" t="str">
        <f>IFERROR(__xludf.DUMMYFUNCTION("""COMPUTED_VALUE"""),"")</f>
        <v/>
      </c>
      <c r="H7484" s="17" t="str">
        <f>IFERROR(__xludf.DUMMYFUNCTION("""COMPUTED_VALUE"""),"")</f>
        <v/>
      </c>
      <c r="I7484" s="17" t="str">
        <f>IFERROR(__xludf.DUMMYFUNCTION("""COMPUTED_VALUE"""),"")</f>
        <v/>
      </c>
      <c r="J7484" s="17" t="str">
        <f>IFERROR(__xludf.DUMMYFUNCTION("""COMPUTED_VALUE"""),"")</f>
        <v/>
      </c>
      <c r="K7484" s="17" t="str">
        <f>IFERROR(__xludf.DUMMYFUNCTION("""COMPUTED_VALUE"""),"")</f>
        <v/>
      </c>
      <c r="L7484" s="17" t="str">
        <f>IFERROR(__xludf.DUMMYFUNCTION("""COMPUTED_VALUE"""),"")</f>
        <v/>
      </c>
      <c r="M7484" s="17" t="str">
        <f>IFERROR(__xludf.DUMMYFUNCTION("""COMPUTED_VALUE"""),"")</f>
        <v/>
      </c>
      <c r="N7484" s="17" t="str">
        <f>IFERROR(__xludf.DUMMYFUNCTION("""COMPUTED_VALUE"""),"")</f>
        <v/>
      </c>
      <c r="O7484" s="17" t="str">
        <f>IFERROR(__xludf.DUMMYFUNCTION("""COMPUTED_VALUE"""),"")</f>
        <v/>
      </c>
      <c r="P7484" s="17" t="str">
        <f>IFERROR(__xludf.DUMMYFUNCTION("""COMPUTED_VALUE"""),"")</f>
        <v/>
      </c>
      <c r="Q7484" s="17" t="str">
        <f>IFERROR(__xludf.DUMMYFUNCTION("""COMPUTED_VALUE"""),"")</f>
        <v/>
      </c>
      <c r="R7484" s="17" t="str">
        <f>IFERROR(__xludf.DUMMYFUNCTION("""COMPUTED_VALUE"""),"")</f>
        <v/>
      </c>
    </row>
    <row r="7485">
      <c r="A7485" s="15">
        <f>IFERROR(__xludf.DUMMYFUNCTION("""COMPUTED_VALUE"""),45211.0)</f>
        <v>45211</v>
      </c>
      <c r="B7485" s="16" t="str">
        <f>IFERROR(__xludf.DUMMYFUNCTION("""COMPUTED_VALUE"""),"Deivi Alejandro Quintero Corrales")</f>
        <v>Deivi Alejandro Quintero Corrales</v>
      </c>
      <c r="C7485" s="15" t="str">
        <f>IFERROR(__xludf.DUMMYFUNCTION("""COMPUTED_VALUE"""),"DOSQUEBRADAS")</f>
        <v>DOSQUEBRADAS</v>
      </c>
      <c r="D7485" s="15" t="str">
        <f>IFERROR(__xludf.DUMMYFUNCTION("""COMPUTED_VALUE"""),"MEDELLÍN")</f>
        <v>MEDELLÍN</v>
      </c>
      <c r="E7485" s="15" t="str">
        <f>IFERROR(__xludf.DUMMYFUNCTION("""COMPUTED_VALUE"""),"Baby Chef")</f>
        <v>Baby Chef</v>
      </c>
      <c r="F7485" s="17" t="str">
        <f>IFERROR(__xludf.DUMMYFUNCTION("""COMPUTED_VALUE"""),"Transversal 21 diagonal 15c 44  / Conjunto rincon de la pradera Mz 1 casa 2 / .")</f>
        <v>Transversal 21 diagonal 15c 44  / Conjunto rincon de la pradera Mz 1 casa 2 / .</v>
      </c>
      <c r="G7485" s="15" t="str">
        <f>IFERROR(__xludf.DUMMYFUNCTION("""COMPUTED_VALUE"""),"Ana maria jimenez")</f>
        <v>Ana maria jimenez</v>
      </c>
      <c r="H7485" s="16">
        <f>IFERROR(__xludf.DUMMYFUNCTION("""COMPUTED_VALUE"""),16252.0)</f>
        <v>16252</v>
      </c>
      <c r="I7485" s="18">
        <f>IFERROR(__xludf.DUMMYFUNCTION("""COMPUTED_VALUE"""),10.0)</f>
        <v>10</v>
      </c>
      <c r="J7485" s="18">
        <f>IFERROR(__xludf.DUMMYFUNCTION("""COMPUTED_VALUE"""),21.0)</f>
        <v>21</v>
      </c>
      <c r="K7485" s="18">
        <f>IFERROR(__xludf.DUMMYFUNCTION("""COMPUTED_VALUE"""),40.0)</f>
        <v>40</v>
      </c>
      <c r="L7485" s="17">
        <f>IFERROR(__xludf.DUMMYFUNCTION("""COMPUTED_VALUE"""),3.164987747E9)</f>
        <v>3164987747</v>
      </c>
      <c r="M7485" s="17"/>
      <c r="N7485" s="17"/>
      <c r="O7485" s="17"/>
      <c r="P7485" s="17" t="b">
        <f>IFERROR(__xludf.DUMMYFUNCTION("""COMPUTED_VALUE"""),FALSE)</f>
        <v>0</v>
      </c>
      <c r="Q7485" s="20" t="str">
        <f>IFERROR(__xludf.DUMMYFUNCTION("""COMPUTED_VALUE"""),"")</f>
        <v/>
      </c>
      <c r="R7485" s="21" t="str">
        <f>IFERROR(__xludf.DUMMYFUNCTION("""COMPUTED_VALUE"""),"https://drive.google.com/file/d/1MOAqlJr-2TboNExH5e3Ae5a8O0iFP5rb/view?usp=drivesdk")</f>
        <v>https://drive.google.com/file/d/1MOAqlJr-2TboNExH5e3Ae5a8O0iFP5rb/view?usp=drivesdk</v>
      </c>
    </row>
    <row r="7486">
      <c r="A7486" s="15">
        <f>IFERROR(__xludf.DUMMYFUNCTION("""COMPUTED_VALUE"""),45211.0)</f>
        <v>45211</v>
      </c>
      <c r="B7486" s="16" t="str">
        <f>IFERROR(__xludf.DUMMYFUNCTION("""COMPUTED_VALUE"""),"Deivi Alejandro Quintero Corrales")</f>
        <v>Deivi Alejandro Quintero Corrales</v>
      </c>
      <c r="C7486" s="15" t="str">
        <f>IFERROR(__xludf.DUMMYFUNCTION("""COMPUTED_VALUE"""),"LA CEJA")</f>
        <v>LA CEJA</v>
      </c>
      <c r="D7486" s="15" t="str">
        <f>IFERROR(__xludf.DUMMYFUNCTION("""COMPUTED_VALUE"""),"BOGOTÁ")</f>
        <v>BOGOTÁ</v>
      </c>
      <c r="E7486" s="15" t="str">
        <f>IFERROR(__xludf.DUMMYFUNCTION("""COMPUTED_VALUE"""),"Top Spun")</f>
        <v>Top Spun</v>
      </c>
      <c r="F7486" s="17" t="str">
        <f>IFERROR(__xludf.DUMMYFUNCTION("""COMPUTED_VALUE"""),"Carrera 22 # 8 73 Barrio El Edén La ceja / Barrio El Edén / La Ceja, Antioquia")</f>
        <v>Carrera 22 # 8 73 Barrio El Edén La ceja / Barrio El Edén / La Ceja, Antioquia</v>
      </c>
      <c r="G7486" s="15" t="str">
        <f>IFERROR(__xludf.DUMMYFUNCTION("""COMPUTED_VALUE"""),"Daniela Ríos")</f>
        <v>Daniela Ríos</v>
      </c>
      <c r="H7486" s="16">
        <f>IFERROR(__xludf.DUMMYFUNCTION("""COMPUTED_VALUE"""),16008.0)</f>
        <v>16008</v>
      </c>
      <c r="I7486" s="18">
        <f>IFERROR(__xludf.DUMMYFUNCTION("""COMPUTED_VALUE"""),20.0)</f>
        <v>20</v>
      </c>
      <c r="J7486" s="18">
        <f>IFERROR(__xludf.DUMMYFUNCTION("""COMPUTED_VALUE"""),10.0)</f>
        <v>10</v>
      </c>
      <c r="K7486" s="18">
        <f>IFERROR(__xludf.DUMMYFUNCTION("""COMPUTED_VALUE"""),40.0)</f>
        <v>40</v>
      </c>
      <c r="L7486" s="17">
        <f>IFERROR(__xludf.DUMMYFUNCTION("""COMPUTED_VALUE"""),3.123135016E9)</f>
        <v>3123135016</v>
      </c>
      <c r="M7486" s="17"/>
      <c r="N7486" s="17"/>
      <c r="O7486" s="17"/>
      <c r="P7486" s="17" t="b">
        <f>IFERROR(__xludf.DUMMYFUNCTION("""COMPUTED_VALUE"""),FALSE)</f>
        <v>0</v>
      </c>
      <c r="Q7486" s="20" t="str">
        <f>IFERROR(__xludf.DUMMYFUNCTION("""COMPUTED_VALUE"""),"")</f>
        <v/>
      </c>
      <c r="R7486" s="21" t="str">
        <f>IFERROR(__xludf.DUMMYFUNCTION("""COMPUTED_VALUE"""),"https://drive.google.com/file/d/1ZCn46pv1AQCjbj9zRz3Z1KE1o7PbxVbl/view?usp=drivesdk")</f>
        <v>https://drive.google.com/file/d/1ZCn46pv1AQCjbj9zRz3Z1KE1o7PbxVbl/view?usp=drivesdk</v>
      </c>
    </row>
    <row r="7487">
      <c r="A7487" s="15">
        <f>IFERROR(__xludf.DUMMYFUNCTION("""COMPUTED_VALUE"""),45211.0)</f>
        <v>45211</v>
      </c>
      <c r="B7487" s="16" t="str">
        <f>IFERROR(__xludf.DUMMYFUNCTION("""COMPUTED_VALUE"""),"Deivi Alejandro Quintero Corrales")</f>
        <v>Deivi Alejandro Quintero Corrales</v>
      </c>
      <c r="C7487" s="15" t="str">
        <f>IFERROR(__xludf.DUMMYFUNCTION("""COMPUTED_VALUE"""),"VILLAVICENCIO")</f>
        <v>VILLAVICENCIO</v>
      </c>
      <c r="D7487" s="15" t="str">
        <f>IFERROR(__xludf.DUMMYFUNCTION("""COMPUTED_VALUE"""),"MEDELLÍN")</f>
        <v>MEDELLÍN</v>
      </c>
      <c r="E7487" s="15" t="str">
        <f>IFERROR(__xludf.DUMMYFUNCTION("""COMPUTED_VALUE"""),"Helados swip")</f>
        <v>Helados swip</v>
      </c>
      <c r="F7487" s="17" t="str">
        <f>IFERROR(__xludf.DUMMYFUNCTION("""COMPUTED_VALUE"""),"CALLE 15 # 44 D 28  / LOCAL 1 /  ED. PALOS DE CAÑA")</f>
        <v>CALLE 15 # 44 D 28  / LOCAL 1 /  ED. PALOS DE CAÑA</v>
      </c>
      <c r="G7487" s="15" t="str">
        <f>IFERROR(__xludf.DUMMYFUNCTION("""COMPUTED_VALUE"""),"SANA TENTACION LILIANA ESTEPAN")</f>
        <v>SANA TENTACION LILIANA ESTEPAN</v>
      </c>
      <c r="H7487" s="16">
        <f>IFERROR(__xludf.DUMMYFUNCTION("""COMPUTED_VALUE"""),16124.0)</f>
        <v>16124</v>
      </c>
      <c r="I7487" s="18">
        <f>IFERROR(__xludf.DUMMYFUNCTION("""COMPUTED_VALUE"""),50.0)</f>
        <v>50</v>
      </c>
      <c r="J7487" s="18">
        <f>IFERROR(__xludf.DUMMYFUNCTION("""COMPUTED_VALUE"""),30.0)</f>
        <v>30</v>
      </c>
      <c r="K7487" s="18">
        <f>IFERROR(__xludf.DUMMYFUNCTION("""COMPUTED_VALUE"""),21.0)</f>
        <v>21</v>
      </c>
      <c r="L7487" s="17">
        <f>IFERROR(__xludf.DUMMYFUNCTION("""COMPUTED_VALUE"""),3.008383044E9)</f>
        <v>3008383044</v>
      </c>
      <c r="M7487" s="17"/>
      <c r="N7487" s="17"/>
      <c r="O7487" s="17"/>
      <c r="P7487" s="17" t="b">
        <f>IFERROR(__xludf.DUMMYFUNCTION("""COMPUTED_VALUE"""),FALSE)</f>
        <v>0</v>
      </c>
      <c r="Q7487" s="20" t="str">
        <f>IFERROR(__xludf.DUMMYFUNCTION("""COMPUTED_VALUE"""),"")</f>
        <v/>
      </c>
      <c r="R7487" s="22" t="str">
        <f>IFERROR(__xludf.DUMMYFUNCTION("""COMPUTED_VALUE"""),"")</f>
        <v/>
      </c>
    </row>
    <row r="7488">
      <c r="A7488" s="17" t="str">
        <f>IFERROR(__xludf.DUMMYFUNCTION("""COMPUTED_VALUE"""),"")</f>
        <v/>
      </c>
      <c r="B7488" s="17" t="str">
        <f>IFERROR(__xludf.DUMMYFUNCTION("""COMPUTED_VALUE"""),"")</f>
        <v/>
      </c>
      <c r="C7488" s="17" t="str">
        <f>IFERROR(__xludf.DUMMYFUNCTION("""COMPUTED_VALUE"""),"")</f>
        <v/>
      </c>
      <c r="D7488" s="17" t="str">
        <f>IFERROR(__xludf.DUMMYFUNCTION("""COMPUTED_VALUE"""),"")</f>
        <v/>
      </c>
      <c r="E7488" s="17" t="str">
        <f>IFERROR(__xludf.DUMMYFUNCTION("""COMPUTED_VALUE"""),"")</f>
        <v/>
      </c>
      <c r="F7488" s="17" t="str">
        <f>IFERROR(__xludf.DUMMYFUNCTION("""COMPUTED_VALUE"""),"")</f>
        <v/>
      </c>
      <c r="G7488" s="17" t="str">
        <f>IFERROR(__xludf.DUMMYFUNCTION("""COMPUTED_VALUE"""),"")</f>
        <v/>
      </c>
      <c r="H7488" s="17" t="str">
        <f>IFERROR(__xludf.DUMMYFUNCTION("""COMPUTED_VALUE"""),"")</f>
        <v/>
      </c>
      <c r="I7488" s="17" t="str">
        <f>IFERROR(__xludf.DUMMYFUNCTION("""COMPUTED_VALUE"""),"")</f>
        <v/>
      </c>
      <c r="J7488" s="17" t="str">
        <f>IFERROR(__xludf.DUMMYFUNCTION("""COMPUTED_VALUE"""),"")</f>
        <v/>
      </c>
      <c r="K7488" s="17" t="str">
        <f>IFERROR(__xludf.DUMMYFUNCTION("""COMPUTED_VALUE"""),"")</f>
        <v/>
      </c>
      <c r="L7488" s="17" t="str">
        <f>IFERROR(__xludf.DUMMYFUNCTION("""COMPUTED_VALUE"""),"")</f>
        <v/>
      </c>
      <c r="M7488" s="17" t="str">
        <f>IFERROR(__xludf.DUMMYFUNCTION("""COMPUTED_VALUE"""),"")</f>
        <v/>
      </c>
      <c r="N7488" s="17" t="str">
        <f>IFERROR(__xludf.DUMMYFUNCTION("""COMPUTED_VALUE"""),"")</f>
        <v/>
      </c>
      <c r="O7488" s="17" t="str">
        <f>IFERROR(__xludf.DUMMYFUNCTION("""COMPUTED_VALUE"""),"")</f>
        <v/>
      </c>
      <c r="P7488" s="17" t="str">
        <f>IFERROR(__xludf.DUMMYFUNCTION("""COMPUTED_VALUE"""),"")</f>
        <v/>
      </c>
      <c r="Q7488" s="17" t="str">
        <f>IFERROR(__xludf.DUMMYFUNCTION("""COMPUTED_VALUE"""),"")</f>
        <v/>
      </c>
      <c r="R7488" s="17" t="str">
        <f>IFERROR(__xludf.DUMMYFUNCTION("""COMPUTED_VALUE"""),"")</f>
        <v/>
      </c>
    </row>
    <row r="7489">
      <c r="A7489" s="15">
        <f>IFERROR(__xludf.DUMMYFUNCTION("""COMPUTED_VALUE"""),45211.0)</f>
        <v>45211</v>
      </c>
      <c r="B7489" s="16" t="str">
        <f>IFERROR(__xludf.DUMMYFUNCTION("""COMPUTED_VALUE"""),"Envia")</f>
        <v>Envia</v>
      </c>
      <c r="C7489" s="15" t="str">
        <f>IFERROR(__xludf.DUMMYFUNCTION("""COMPUTED_VALUE"""),"BARRANQUILLA")</f>
        <v>BARRANQUILLA</v>
      </c>
      <c r="D7489" s="15" t="str">
        <f>IFERROR(__xludf.DUMMYFUNCTION("""COMPUTED_VALUE"""),"BOGOTÁ")</f>
        <v>BOGOTÁ</v>
      </c>
      <c r="E7489" s="15" t="str">
        <f>IFERROR(__xludf.DUMMYFUNCTION("""COMPUTED_VALUE"""),"Ins. Alimento Vital")</f>
        <v>Ins. Alimento Vital</v>
      </c>
      <c r="F7489" s="17" t="str">
        <f>IFERROR(__xludf.DUMMYFUNCTION("""COMPUTED_VALUE"""),"TV 43 100 50 / CONJUNTO NAPOLI TR 9 837 / BARRIO MIRAMAR")</f>
        <v>TV 43 100 50 / CONJUNTO NAPOLI TR 9 837 / BARRIO MIRAMAR</v>
      </c>
      <c r="G7489" s="15" t="str">
        <f>IFERROR(__xludf.DUMMYFUNCTION("""COMPUTED_VALUE"""),"LUISA FERNANDA MORA HOLGUIN")</f>
        <v>LUISA FERNANDA MORA HOLGUIN</v>
      </c>
      <c r="H7489" s="16">
        <f>IFERROR(__xludf.DUMMYFUNCTION("""COMPUTED_VALUE"""),16215.0)</f>
        <v>16215</v>
      </c>
      <c r="I7489" s="18">
        <f>IFERROR(__xludf.DUMMYFUNCTION("""COMPUTED_VALUE"""),1.0)</f>
        <v>1</v>
      </c>
      <c r="J7489" s="18">
        <f>IFERROR(__xludf.DUMMYFUNCTION("""COMPUTED_VALUE"""),1.0)</f>
        <v>1</v>
      </c>
      <c r="K7489" s="18">
        <f>IFERROR(__xludf.DUMMYFUNCTION("""COMPUTED_VALUE"""),1.0)</f>
        <v>1</v>
      </c>
      <c r="L7489" s="17">
        <f>IFERROR(__xludf.DUMMYFUNCTION("""COMPUTED_VALUE"""),3.045233029E9)</f>
        <v>3045233029</v>
      </c>
      <c r="M7489" s="17"/>
      <c r="N7489" s="17"/>
      <c r="O7489" s="17"/>
      <c r="P7489" s="17" t="b">
        <f>IFERROR(__xludf.DUMMYFUNCTION("""COMPUTED_VALUE"""),FALSE)</f>
        <v>0</v>
      </c>
      <c r="Q7489" s="20" t="str">
        <f>IFERROR(__xludf.DUMMYFUNCTION("""COMPUTED_VALUE"""),"")</f>
        <v/>
      </c>
      <c r="R7489" s="21" t="str">
        <f>IFERROR(__xludf.DUMMYFUNCTION("""COMPUTED_VALUE"""),"https://drive.google.com/file/d/18-ZE26KhK1UkCj4pVNwFS2gXo9b0M-9K/view?usp=drivesdk")</f>
        <v>https://drive.google.com/file/d/18-ZE26KhK1UkCj4pVNwFS2gXo9b0M-9K/view?usp=drivesdk</v>
      </c>
    </row>
    <row r="7490">
      <c r="A7490" s="15">
        <f>IFERROR(__xludf.DUMMYFUNCTION("""COMPUTED_VALUE"""),45211.0)</f>
        <v>45211</v>
      </c>
      <c r="B7490" s="16" t="str">
        <f>IFERROR(__xludf.DUMMYFUNCTION("""COMPUTED_VALUE"""),"Envia")</f>
        <v>Envia</v>
      </c>
      <c r="C7490" s="15" t="str">
        <f>IFERROR(__xludf.DUMMYFUNCTION("""COMPUTED_VALUE"""),"CARTAGENA")</f>
        <v>CARTAGENA</v>
      </c>
      <c r="D7490" s="15" t="str">
        <f>IFERROR(__xludf.DUMMYFUNCTION("""COMPUTED_VALUE"""),"BOGOTÁ")</f>
        <v>BOGOTÁ</v>
      </c>
      <c r="E7490" s="15" t="str">
        <f>IFERROR(__xludf.DUMMYFUNCTION("""COMPUTED_VALUE"""),"Karem foods")</f>
        <v>Karem foods</v>
      </c>
      <c r="F7490" s="17" t="str">
        <f>IFERROR(__xludf.DUMMYFUNCTION("""COMPUTED_VALUE"""),"Calle 6 # 4 20 / cc la estacion local 1 barrio castillo grande / -")</f>
        <v>Calle 6 # 4 20 / cc la estacion local 1 barrio castillo grande / -</v>
      </c>
      <c r="G7490" s="15" t="str">
        <f>IFERROR(__xludf.DUMMYFUNCTION("""COMPUTED_VALUE"""),"Cocofit Mercado Saludable")</f>
        <v>Cocofit Mercado Saludable</v>
      </c>
      <c r="H7490" s="16">
        <f>IFERROR(__xludf.DUMMYFUNCTION("""COMPUTED_VALUE"""),16224.0)</f>
        <v>16224</v>
      </c>
      <c r="I7490" s="18">
        <f>IFERROR(__xludf.DUMMYFUNCTION("""COMPUTED_VALUE"""),20.0)</f>
        <v>20</v>
      </c>
      <c r="J7490" s="18">
        <f>IFERROR(__xludf.DUMMYFUNCTION("""COMPUTED_VALUE"""),20.0)</f>
        <v>20</v>
      </c>
      <c r="K7490" s="18">
        <f>IFERROR(__xludf.DUMMYFUNCTION("""COMPUTED_VALUE"""),20.0)</f>
        <v>20</v>
      </c>
      <c r="L7490" s="17">
        <f>IFERROR(__xludf.DUMMYFUNCTION("""COMPUTED_VALUE"""),3.105318059E9)</f>
        <v>3105318059</v>
      </c>
      <c r="M7490" s="17"/>
      <c r="N7490" s="17"/>
      <c r="O7490" s="17"/>
      <c r="P7490" s="17" t="b">
        <f>IFERROR(__xludf.DUMMYFUNCTION("""COMPUTED_VALUE"""),FALSE)</f>
        <v>0</v>
      </c>
      <c r="Q7490" s="20" t="str">
        <f>IFERROR(__xludf.DUMMYFUNCTION("""COMPUTED_VALUE"""),"")</f>
        <v/>
      </c>
      <c r="R7490" s="21" t="str">
        <f>IFERROR(__xludf.DUMMYFUNCTION("""COMPUTED_VALUE"""),"https://drive.google.com/file/d/186nhlEZw5kLIkyC3V7SpvOMl7r8Q37OZ/view?usp=drivesdk")</f>
        <v>https://drive.google.com/file/d/186nhlEZw5kLIkyC3V7SpvOMl7r8Q37OZ/view?usp=drivesdk</v>
      </c>
    </row>
    <row r="7491">
      <c r="A7491" s="15">
        <f>IFERROR(__xludf.DUMMYFUNCTION("""COMPUTED_VALUE"""),45211.0)</f>
        <v>45211</v>
      </c>
      <c r="B7491" s="16" t="str">
        <f>IFERROR(__xludf.DUMMYFUNCTION("""COMPUTED_VALUE"""),"Envia")</f>
        <v>Envia</v>
      </c>
      <c r="C7491" s="15" t="str">
        <f>IFERROR(__xludf.DUMMYFUNCTION("""COMPUTED_VALUE"""),"CARTAGENA")</f>
        <v>CARTAGENA</v>
      </c>
      <c r="D7491" s="15" t="str">
        <f>IFERROR(__xludf.DUMMYFUNCTION("""COMPUTED_VALUE"""),"MEDELLÍN")</f>
        <v>MEDELLÍN</v>
      </c>
      <c r="E7491" s="15" t="str">
        <f>IFERROR(__xludf.DUMMYFUNCTION("""COMPUTED_VALUE"""),"Terravocado")</f>
        <v>Terravocado</v>
      </c>
      <c r="F7491" s="17" t="str">
        <f>IFERROR(__xludf.DUMMYFUNCTION("""COMPUTED_VALUE"""),"CLL 30 # 44 - 13  / EDIFICIO ROSA HELENA  / BARRIO AMBERES")</f>
        <v>CLL 30 # 44 - 13  / EDIFICIO ROSA HELENA  / BARRIO AMBERES</v>
      </c>
      <c r="G7491" s="15" t="str">
        <f>IFERROR(__xludf.DUMMYFUNCTION("""COMPUTED_VALUE"""),"NUBIA TRIVIÑO CARABALLO Y/O LOABAR &amp; ROOFTOP")</f>
        <v>NUBIA TRIVIÑO CARABALLO Y/O LOABAR &amp; ROOFTOP</v>
      </c>
      <c r="H7491" s="16">
        <f>IFERROR(__xludf.DUMMYFUNCTION("""COMPUTED_VALUE"""),16129.0)</f>
        <v>16129</v>
      </c>
      <c r="I7491" s="18">
        <f>IFERROR(__xludf.DUMMYFUNCTION("""COMPUTED_VALUE"""),20.0)</f>
        <v>20</v>
      </c>
      <c r="J7491" s="18">
        <f>IFERROR(__xludf.DUMMYFUNCTION("""COMPUTED_VALUE"""),24.0)</f>
        <v>24</v>
      </c>
      <c r="K7491" s="18">
        <f>IFERROR(__xludf.DUMMYFUNCTION("""COMPUTED_VALUE"""),34.0)</f>
        <v>34</v>
      </c>
      <c r="L7491" s="17">
        <f>IFERROR(__xludf.DUMMYFUNCTION("""COMPUTED_VALUE"""),3.176366612E9)</f>
        <v>3176366612</v>
      </c>
      <c r="M7491" s="17"/>
      <c r="N7491" s="17"/>
      <c r="O7491" s="17"/>
      <c r="P7491" s="17" t="b">
        <f>IFERROR(__xludf.DUMMYFUNCTION("""COMPUTED_VALUE"""),FALSE)</f>
        <v>0</v>
      </c>
      <c r="Q7491" s="20" t="str">
        <f>IFERROR(__xludf.DUMMYFUNCTION("""COMPUTED_VALUE"""),"")</f>
        <v/>
      </c>
      <c r="R7491" s="21" t="str">
        <f>IFERROR(__xludf.DUMMYFUNCTION("""COMPUTED_VALUE"""),"https://drive.google.com/file/d/1jcW4aEHND0dhbXo0OlMw14MrGGCTdEO8/view?usp=drivesdk")</f>
        <v>https://drive.google.com/file/d/1jcW4aEHND0dhbXo0OlMw14MrGGCTdEO8/view?usp=drivesdk</v>
      </c>
    </row>
    <row r="7492">
      <c r="A7492" s="15">
        <f>IFERROR(__xludf.DUMMYFUNCTION("""COMPUTED_VALUE"""),45211.0)</f>
        <v>45211</v>
      </c>
      <c r="B7492" s="16" t="str">
        <f>IFERROR(__xludf.DUMMYFUNCTION("""COMPUTED_VALUE"""),"Envia")</f>
        <v>Envia</v>
      </c>
      <c r="C7492" s="15" t="str">
        <f>IFERROR(__xludf.DUMMYFUNCTION("""COMPUTED_VALUE"""),"DUITAMA")</f>
        <v>DUITAMA</v>
      </c>
      <c r="D7492" s="15" t="str">
        <f>IFERROR(__xludf.DUMMYFUNCTION("""COMPUTED_VALUE"""),"BOGOTÁ")</f>
        <v>BOGOTÁ</v>
      </c>
      <c r="E7492" s="15" t="str">
        <f>IFERROR(__xludf.DUMMYFUNCTION("""COMPUTED_VALUE"""),"Top Spun")</f>
        <v>Top Spun</v>
      </c>
      <c r="F7492" s="17" t="str">
        <f>IFERROR(__xludf.DUMMYFUNCTION("""COMPUTED_VALUE"""),"Carrera 29#8-45 / Edificio avatar apartamento 405  / Duitama")</f>
        <v>Carrera 29#8-45 / Edificio avatar apartamento 405  / Duitama</v>
      </c>
      <c r="G7492" s="15" t="str">
        <f>IFERROR(__xludf.DUMMYFUNCTION("""COMPUTED_VALUE"""),"Ana María Mejía")</f>
        <v>Ana María Mejía</v>
      </c>
      <c r="H7492" s="16">
        <f>IFERROR(__xludf.DUMMYFUNCTION("""COMPUTED_VALUE"""),16084.0)</f>
        <v>16084</v>
      </c>
      <c r="I7492" s="18">
        <f>IFERROR(__xludf.DUMMYFUNCTION("""COMPUTED_VALUE"""),20.0)</f>
        <v>20</v>
      </c>
      <c r="J7492" s="18">
        <f>IFERROR(__xludf.DUMMYFUNCTION("""COMPUTED_VALUE"""),10.0)</f>
        <v>10</v>
      </c>
      <c r="K7492" s="18">
        <f>IFERROR(__xludf.DUMMYFUNCTION("""COMPUTED_VALUE"""),40.0)</f>
        <v>40</v>
      </c>
      <c r="L7492" s="17">
        <f>IFERROR(__xludf.DUMMYFUNCTION("""COMPUTED_VALUE"""),3.133449553E9)</f>
        <v>3133449553</v>
      </c>
      <c r="M7492" s="17"/>
      <c r="N7492" s="17"/>
      <c r="O7492" s="17"/>
      <c r="P7492" s="17" t="b">
        <f>IFERROR(__xludf.DUMMYFUNCTION("""COMPUTED_VALUE"""),FALSE)</f>
        <v>0</v>
      </c>
      <c r="Q7492" s="20" t="str">
        <f>IFERROR(__xludf.DUMMYFUNCTION("""COMPUTED_VALUE"""),"")</f>
        <v/>
      </c>
      <c r="R7492" s="21" t="str">
        <f>IFERROR(__xludf.DUMMYFUNCTION("""COMPUTED_VALUE"""),"https://drive.google.com/file/d/1xbv4bZADdneeN6LMAz-iQ_-jZo3eUB_G/view?usp=drivesdk")</f>
        <v>https://drive.google.com/file/d/1xbv4bZADdneeN6LMAz-iQ_-jZo3eUB_G/view?usp=drivesdk</v>
      </c>
    </row>
    <row r="7493">
      <c r="A7493" s="15">
        <f>IFERROR(__xludf.DUMMYFUNCTION("""COMPUTED_VALUE"""),45211.0)</f>
        <v>45211</v>
      </c>
      <c r="B7493" s="16" t="str">
        <f>IFERROR(__xludf.DUMMYFUNCTION("""COMPUTED_VALUE"""),"Envia")</f>
        <v>Envia</v>
      </c>
      <c r="C7493" s="15" t="str">
        <f>IFERROR(__xludf.DUMMYFUNCTION("""COMPUTED_VALUE"""),"FLORIDABLANCA")</f>
        <v>FLORIDABLANCA</v>
      </c>
      <c r="D7493" s="15" t="str">
        <f>IFERROR(__xludf.DUMMYFUNCTION("""COMPUTED_VALUE"""),"BOGOTÁ")</f>
        <v>BOGOTÁ</v>
      </c>
      <c r="E7493" s="15" t="str">
        <f>IFERROR(__xludf.DUMMYFUNCTION("""COMPUTED_VALUE"""),"Ins. Alimento Vital")</f>
        <v>Ins. Alimento Vital</v>
      </c>
      <c r="F7493" s="17" t="str">
        <f>IFERROR(__xludf.DUMMYFUNCTION("""COMPUTED_VALUE"""),"CL 30 22 129  / AP 902 EDIFICIO VENTUS / BARRIO CAÑAVERAL")</f>
        <v>CL 30 22 129  / AP 902 EDIFICIO VENTUS / BARRIO CAÑAVERAL</v>
      </c>
      <c r="G7493" s="15" t="str">
        <f>IFERROR(__xludf.DUMMYFUNCTION("""COMPUTED_VALUE"""),"LUZ ALEJANDRA URIBE ANGARITA")</f>
        <v>LUZ ALEJANDRA URIBE ANGARITA</v>
      </c>
      <c r="H7493" s="16">
        <f>IFERROR(__xludf.DUMMYFUNCTION("""COMPUTED_VALUE"""),16214.0)</f>
        <v>16214</v>
      </c>
      <c r="I7493" s="18">
        <f>IFERROR(__xludf.DUMMYFUNCTION("""COMPUTED_VALUE"""),1.0)</f>
        <v>1</v>
      </c>
      <c r="J7493" s="18">
        <f>IFERROR(__xludf.DUMMYFUNCTION("""COMPUTED_VALUE"""),1.0)</f>
        <v>1</v>
      </c>
      <c r="K7493" s="18">
        <f>IFERROR(__xludf.DUMMYFUNCTION("""COMPUTED_VALUE"""),1.0)</f>
        <v>1</v>
      </c>
      <c r="L7493" s="17">
        <f>IFERROR(__xludf.DUMMYFUNCTION("""COMPUTED_VALUE"""),3.005691834E9)</f>
        <v>3005691834</v>
      </c>
      <c r="M7493" s="17"/>
      <c r="N7493" s="17"/>
      <c r="O7493" s="17"/>
      <c r="P7493" s="17" t="b">
        <f>IFERROR(__xludf.DUMMYFUNCTION("""COMPUTED_VALUE"""),FALSE)</f>
        <v>0</v>
      </c>
      <c r="Q7493" s="20" t="str">
        <f>IFERROR(__xludf.DUMMYFUNCTION("""COMPUTED_VALUE"""),"")</f>
        <v/>
      </c>
      <c r="R7493" s="21" t="str">
        <f>IFERROR(__xludf.DUMMYFUNCTION("""COMPUTED_VALUE"""),"https://drive.google.com/file/d/1XQ3B62JGnf7HXyXMz59KcTJjPMpYR_q4/view?usp=drivesdk")</f>
        <v>https://drive.google.com/file/d/1XQ3B62JGnf7HXyXMz59KcTJjPMpYR_q4/view?usp=drivesdk</v>
      </c>
    </row>
    <row r="7494">
      <c r="A7494" s="15">
        <f>IFERROR(__xludf.DUMMYFUNCTION("""COMPUTED_VALUE"""),45211.0)</f>
        <v>45211</v>
      </c>
      <c r="B7494" s="16" t="str">
        <f>IFERROR(__xludf.DUMMYFUNCTION("""COMPUTED_VALUE"""),"Envia")</f>
        <v>Envia</v>
      </c>
      <c r="C7494" s="15" t="str">
        <f>IFERROR(__xludf.DUMMYFUNCTION("""COMPUTED_VALUE"""),"GIRÓN")</f>
        <v>GIRÓN</v>
      </c>
      <c r="D7494" s="15" t="str">
        <f>IFERROR(__xludf.DUMMYFUNCTION("""COMPUTED_VALUE"""),"BOGOTÁ")</f>
        <v>BOGOTÁ</v>
      </c>
      <c r="E7494" s="15" t="str">
        <f>IFERROR(__xludf.DUMMYFUNCTION("""COMPUTED_VALUE"""),"Evamazzita")</f>
        <v>Evamazzita</v>
      </c>
      <c r="F7494" s="17" t="str">
        <f>IFERROR(__xludf.DUMMYFUNCTION("""COMPUTED_VALUE"""),"RECOGE CENTRO DE ACOPIO / LLAMAR LA CLIENTA CUANDO ESTE EL PEDIDO EN EL CENTRO DE ACOPIO")</f>
        <v>RECOGE CENTRO DE ACOPIO / LLAMAR LA CLIENTA CUANDO ESTE EL PEDIDO EN EL CENTRO DE ACOPIO</v>
      </c>
      <c r="G7494" s="15" t="str">
        <f>IFERROR(__xludf.DUMMYFUNCTION("""COMPUTED_VALUE"""),"NOHORA RINCON VASQUEZ")</f>
        <v>NOHORA RINCON VASQUEZ</v>
      </c>
      <c r="H7494" s="16">
        <f>IFERROR(__xludf.DUMMYFUNCTION("""COMPUTED_VALUE"""),16238.0)</f>
        <v>16238</v>
      </c>
      <c r="I7494" s="18">
        <f>IFERROR(__xludf.DUMMYFUNCTION("""COMPUTED_VALUE"""),1.0)</f>
        <v>1</v>
      </c>
      <c r="J7494" s="18">
        <f>IFERROR(__xludf.DUMMYFUNCTION("""COMPUTED_VALUE"""),1.0)</f>
        <v>1</v>
      </c>
      <c r="K7494" s="18">
        <f>IFERROR(__xludf.DUMMYFUNCTION("""COMPUTED_VALUE"""),1.0)</f>
        <v>1</v>
      </c>
      <c r="L7494" s="17">
        <f>IFERROR(__xludf.DUMMYFUNCTION("""COMPUTED_VALUE"""),3.222003779E9)</f>
        <v>3222003779</v>
      </c>
      <c r="M7494" s="17"/>
      <c r="N7494" s="17"/>
      <c r="O7494" s="17"/>
      <c r="P7494" s="17" t="b">
        <f>IFERROR(__xludf.DUMMYFUNCTION("""COMPUTED_VALUE"""),FALSE)</f>
        <v>0</v>
      </c>
      <c r="Q7494" s="20" t="str">
        <f>IFERROR(__xludf.DUMMYFUNCTION("""COMPUTED_VALUE"""),"")</f>
        <v/>
      </c>
      <c r="R7494" s="22" t="str">
        <f>IFERROR(__xludf.DUMMYFUNCTION("""COMPUTED_VALUE"""),"")</f>
        <v/>
      </c>
    </row>
    <row r="7495">
      <c r="A7495" s="15">
        <f>IFERROR(__xludf.DUMMYFUNCTION("""COMPUTED_VALUE"""),45211.0)</f>
        <v>45211</v>
      </c>
      <c r="B7495" s="16" t="str">
        <f>IFERROR(__xludf.DUMMYFUNCTION("""COMPUTED_VALUE"""),"Envia")</f>
        <v>Envia</v>
      </c>
      <c r="C7495" s="15" t="str">
        <f>IFERROR(__xludf.DUMMYFUNCTION("""COMPUTED_VALUE"""),"MANIZALES")</f>
        <v>MANIZALES</v>
      </c>
      <c r="D7495" s="15" t="str">
        <f>IFERROR(__xludf.DUMMYFUNCTION("""COMPUTED_VALUE"""),"BOGOTÁ")</f>
        <v>BOGOTÁ</v>
      </c>
      <c r="E7495" s="15" t="str">
        <f>IFERROR(__xludf.DUMMYFUNCTION("""COMPUTED_VALUE"""),"Chalupo")</f>
        <v>Chalupo</v>
      </c>
      <c r="F7495" s="17" t="str">
        <f>IFERROR(__xludf.DUMMYFUNCTION("""COMPUTED_VALUE"""),"Av.Alberto Mendoza #81C-52 / Edificio Mirador del Trebol apto 1201B / Barrio El trébol")</f>
        <v>Av.Alberto Mendoza #81C-52 / Edificio Mirador del Trebol apto 1201B / Barrio El trébol</v>
      </c>
      <c r="G7495" s="15" t="str">
        <f>IFERROR(__xludf.DUMMYFUNCTION("""COMPUTED_VALUE"""),"Juliana Jimenez")</f>
        <v>Juliana Jimenez</v>
      </c>
      <c r="H7495" s="16">
        <f>IFERROR(__xludf.DUMMYFUNCTION("""COMPUTED_VALUE"""),16118.0)</f>
        <v>16118</v>
      </c>
      <c r="I7495" s="18">
        <f>IFERROR(__xludf.DUMMYFUNCTION("""COMPUTED_VALUE"""),21.0)</f>
        <v>21</v>
      </c>
      <c r="J7495" s="18">
        <f>IFERROR(__xludf.DUMMYFUNCTION("""COMPUTED_VALUE"""),30.0)</f>
        <v>30</v>
      </c>
      <c r="K7495" s="18">
        <f>IFERROR(__xludf.DUMMYFUNCTION("""COMPUTED_VALUE"""),50.0)</f>
        <v>50</v>
      </c>
      <c r="L7495" s="17">
        <f>IFERROR(__xludf.DUMMYFUNCTION("""COMPUTED_VALUE"""),3.128818706E9)</f>
        <v>3128818706</v>
      </c>
      <c r="M7495" s="17"/>
      <c r="N7495" s="17"/>
      <c r="O7495" s="17"/>
      <c r="P7495" s="17" t="b">
        <f>IFERROR(__xludf.DUMMYFUNCTION("""COMPUTED_VALUE"""),FALSE)</f>
        <v>0</v>
      </c>
      <c r="Q7495" s="20" t="str">
        <f>IFERROR(__xludf.DUMMYFUNCTION("""COMPUTED_VALUE"""),"")</f>
        <v/>
      </c>
      <c r="R7495" s="21" t="str">
        <f>IFERROR(__xludf.DUMMYFUNCTION("""COMPUTED_VALUE"""),"https://drive.google.com/file/d/1RQbAb3t0PLW2cCCPT2mWDL_6mjh9iN3f/view?usp=drivesdk")</f>
        <v>https://drive.google.com/file/d/1RQbAb3t0PLW2cCCPT2mWDL_6mjh9iN3f/view?usp=drivesdk</v>
      </c>
    </row>
    <row r="7496">
      <c r="A7496" s="15">
        <f>IFERROR(__xludf.DUMMYFUNCTION("""COMPUTED_VALUE"""),45211.0)</f>
        <v>45211</v>
      </c>
      <c r="B7496" s="16" t="str">
        <f>IFERROR(__xludf.DUMMYFUNCTION("""COMPUTED_VALUE"""),"Envia")</f>
        <v>Envia</v>
      </c>
      <c r="C7496" s="15" t="str">
        <f>IFERROR(__xludf.DUMMYFUNCTION("""COMPUTED_VALUE"""),"MONTERIA")</f>
        <v>MONTERIA</v>
      </c>
      <c r="D7496" s="15" t="str">
        <f>IFERROR(__xludf.DUMMYFUNCTION("""COMPUTED_VALUE"""),"MEDELLÍN")</f>
        <v>MEDELLÍN</v>
      </c>
      <c r="E7496" s="15" t="str">
        <f>IFERROR(__xludf.DUMMYFUNCTION("""COMPUTED_VALUE"""),"Helados swip")</f>
        <v>Helados swip</v>
      </c>
      <c r="F7496" s="17" t="str">
        <f>IFERROR(__xludf.DUMMYFUNCTION("""COMPUTED_VALUE"""),"CARRERA 6#68-62  / PISO 1 ISLA 004 C.C BUENAVISTA  / PISO 1 ISLA 004 C.C BUENAVISTA")</f>
        <v>CARRERA 6#68-62  / PISO 1 ISLA 004 C.C BUENAVISTA  / PISO 1 ISLA 004 C.C BUENAVISTA</v>
      </c>
      <c r="G7496" s="15" t="str">
        <f>IFERROR(__xludf.DUMMYFUNCTION("""COMPUTED_VALUE"""),"ENJOY")</f>
        <v>ENJOY</v>
      </c>
      <c r="H7496" s="16">
        <f>IFERROR(__xludf.DUMMYFUNCTION("""COMPUTED_VALUE"""),16125.0)</f>
        <v>16125</v>
      </c>
      <c r="I7496" s="18">
        <f>IFERROR(__xludf.DUMMYFUNCTION("""COMPUTED_VALUE"""),50.0)</f>
        <v>50</v>
      </c>
      <c r="J7496" s="18">
        <f>IFERROR(__xludf.DUMMYFUNCTION("""COMPUTED_VALUE"""),30.0)</f>
        <v>30</v>
      </c>
      <c r="K7496" s="18">
        <f>IFERROR(__xludf.DUMMYFUNCTION("""COMPUTED_VALUE"""),21.0)</f>
        <v>21</v>
      </c>
      <c r="L7496" s="17">
        <f>IFERROR(__xludf.DUMMYFUNCTION("""COMPUTED_VALUE"""),3.107294683E9)</f>
        <v>3107294683</v>
      </c>
      <c r="M7496" s="17"/>
      <c r="N7496" s="17"/>
      <c r="O7496" s="17"/>
      <c r="P7496" s="17" t="b">
        <f>IFERROR(__xludf.DUMMYFUNCTION("""COMPUTED_VALUE"""),FALSE)</f>
        <v>0</v>
      </c>
      <c r="Q7496" s="20" t="str">
        <f>IFERROR(__xludf.DUMMYFUNCTION("""COMPUTED_VALUE"""),"")</f>
        <v/>
      </c>
      <c r="R7496" s="21" t="str">
        <f>IFERROR(__xludf.DUMMYFUNCTION("""COMPUTED_VALUE"""),"https://drive.google.com/file/d/1vn6_2VM1bcVcrRr2vO3qEeuJK5R9Xyvf/view?usp=drivesdk")</f>
        <v>https://drive.google.com/file/d/1vn6_2VM1bcVcrRr2vO3qEeuJK5R9Xyvf/view?usp=drivesdk</v>
      </c>
    </row>
    <row r="7497">
      <c r="A7497" s="15">
        <f>IFERROR(__xludf.DUMMYFUNCTION("""COMPUTED_VALUE"""),45211.0)</f>
        <v>45211</v>
      </c>
      <c r="B7497" s="16" t="str">
        <f>IFERROR(__xludf.DUMMYFUNCTION("""COMPUTED_VALUE"""),"Envia")</f>
        <v>Envia</v>
      </c>
      <c r="C7497" s="15" t="str">
        <f>IFERROR(__xludf.DUMMYFUNCTION("""COMPUTED_VALUE"""),"VILLAVICENCIO")</f>
        <v>VILLAVICENCIO</v>
      </c>
      <c r="D7497" s="15" t="str">
        <f>IFERROR(__xludf.DUMMYFUNCTION("""COMPUTED_VALUE"""),"MEDELLÍN")</f>
        <v>MEDELLÍN</v>
      </c>
      <c r="E7497" s="15" t="str">
        <f>IFERROR(__xludf.DUMMYFUNCTION("""COMPUTED_VALUE"""),"Baby Chef")</f>
        <v>Baby Chef</v>
      </c>
      <c r="F7497" s="17" t="str">
        <f>IFERROR(__xludf.DUMMYFUNCTION("""COMPUTED_VALUE"""),"Cra 12 20 18 Local esquinero calzado / . / .")</f>
        <v>Cra 12 20 18 Local esquinero calzado / . / .</v>
      </c>
      <c r="G7497" s="15" t="str">
        <f>IFERROR(__xludf.DUMMYFUNCTION("""COMPUTED_VALUE"""),"Tatiana Ruiz")</f>
        <v>Tatiana Ruiz</v>
      </c>
      <c r="H7497" s="16">
        <f>IFERROR(__xludf.DUMMYFUNCTION("""COMPUTED_VALUE"""),16184.0)</f>
        <v>16184</v>
      </c>
      <c r="I7497" s="18">
        <f>IFERROR(__xludf.DUMMYFUNCTION("""COMPUTED_VALUE"""),7.0)</f>
        <v>7</v>
      </c>
      <c r="J7497" s="18">
        <f>IFERROR(__xludf.DUMMYFUNCTION("""COMPUTED_VALUE"""),21.0)</f>
        <v>21</v>
      </c>
      <c r="K7497" s="18">
        <f>IFERROR(__xludf.DUMMYFUNCTION("""COMPUTED_VALUE"""),32.0)</f>
        <v>32</v>
      </c>
      <c r="L7497" s="17">
        <f>IFERROR(__xludf.DUMMYFUNCTION("""COMPUTED_VALUE"""),3.202574637E9)</f>
        <v>3202574637</v>
      </c>
      <c r="M7497" s="17"/>
      <c r="N7497" s="17"/>
      <c r="O7497" s="17"/>
      <c r="P7497" s="17" t="b">
        <f>IFERROR(__xludf.DUMMYFUNCTION("""COMPUTED_VALUE"""),FALSE)</f>
        <v>0</v>
      </c>
      <c r="Q7497" s="20" t="str">
        <f>IFERROR(__xludf.DUMMYFUNCTION("""COMPUTED_VALUE"""),"")</f>
        <v/>
      </c>
      <c r="R7497" s="22" t="str">
        <f>IFERROR(__xludf.DUMMYFUNCTION("""COMPUTED_VALUE"""),"")</f>
        <v/>
      </c>
    </row>
    <row r="7498">
      <c r="A7498" s="15">
        <f>IFERROR(__xludf.DUMMYFUNCTION("""COMPUTED_VALUE"""),45211.0)</f>
        <v>45211</v>
      </c>
      <c r="B7498" s="16" t="str">
        <f>IFERROR(__xludf.DUMMYFUNCTION("""COMPUTED_VALUE"""),"Envia")</f>
        <v>Envia</v>
      </c>
      <c r="C7498" s="15" t="str">
        <f>IFERROR(__xludf.DUMMYFUNCTION("""COMPUTED_VALUE"""),"YOPAL")</f>
        <v>YOPAL</v>
      </c>
      <c r="D7498" s="15" t="str">
        <f>IFERROR(__xludf.DUMMYFUNCTION("""COMPUTED_VALUE"""),"BOGOTÁ")</f>
        <v>BOGOTÁ</v>
      </c>
      <c r="E7498" s="15" t="str">
        <f>IFERROR(__xludf.DUMMYFUNCTION("""COMPUTED_VALUE"""),"Asociacion Agropecuaria Juana Maria")</f>
        <v>Asociacion Agropecuaria Juana Maria</v>
      </c>
      <c r="F7498" s="17" t="str">
        <f>IFERROR(__xludf.DUMMYFUNCTION("""COMPUTED_VALUE"""),"Cra 8a # 46a - 26")</f>
        <v>Cra 8a # 46a - 26</v>
      </c>
      <c r="G7498" s="15" t="str">
        <f>IFERROR(__xludf.DUMMYFUNCTION("""COMPUTED_VALUE"""),"Magda liseth balaguera vargas")</f>
        <v>Magda liseth balaguera vargas</v>
      </c>
      <c r="H7498" s="16">
        <f>IFERROR(__xludf.DUMMYFUNCTION("""COMPUTED_VALUE"""),16098.0)</f>
        <v>16098</v>
      </c>
      <c r="I7498" s="18">
        <f>IFERROR(__xludf.DUMMYFUNCTION("""COMPUTED_VALUE"""),21.0)</f>
        <v>21</v>
      </c>
      <c r="J7498" s="18">
        <f>IFERROR(__xludf.DUMMYFUNCTION("""COMPUTED_VALUE"""),37.0)</f>
        <v>37</v>
      </c>
      <c r="K7498" s="18">
        <f>IFERROR(__xludf.DUMMYFUNCTION("""COMPUTED_VALUE"""),30.0)</f>
        <v>30</v>
      </c>
      <c r="L7498" s="17">
        <f>IFERROR(__xludf.DUMMYFUNCTION("""COMPUTED_VALUE"""),3.134945113E9)</f>
        <v>3134945113</v>
      </c>
      <c r="M7498" s="17"/>
      <c r="N7498" s="17"/>
      <c r="O7498" s="17"/>
      <c r="P7498" s="17" t="b">
        <f>IFERROR(__xludf.DUMMYFUNCTION("""COMPUTED_VALUE"""),FALSE)</f>
        <v>0</v>
      </c>
      <c r="Q7498" s="20" t="str">
        <f>IFERROR(__xludf.DUMMYFUNCTION("""COMPUTED_VALUE"""),"")</f>
        <v/>
      </c>
      <c r="R7498" s="21" t="str">
        <f>IFERROR(__xludf.DUMMYFUNCTION("""COMPUTED_VALUE"""),"https://drive.google.com/file/d/1ylVjaSEQvPWSWv5p-Jx265cyg1jQJbQZ/view?usp=drivesdk")</f>
        <v>https://drive.google.com/file/d/1ylVjaSEQvPWSWv5p-Jx265cyg1jQJbQZ/view?usp=drivesdk</v>
      </c>
    </row>
    <row r="7499">
      <c r="A7499" s="17" t="str">
        <f>IFERROR(__xludf.DUMMYFUNCTION("""COMPUTED_VALUE"""),"")</f>
        <v/>
      </c>
      <c r="B7499" s="17" t="str">
        <f>IFERROR(__xludf.DUMMYFUNCTION("""COMPUTED_VALUE"""),"")</f>
        <v/>
      </c>
      <c r="C7499" s="17" t="str">
        <f>IFERROR(__xludf.DUMMYFUNCTION("""COMPUTED_VALUE"""),"")</f>
        <v/>
      </c>
      <c r="D7499" s="17" t="str">
        <f>IFERROR(__xludf.DUMMYFUNCTION("""COMPUTED_VALUE"""),"")</f>
        <v/>
      </c>
      <c r="E7499" s="17" t="str">
        <f>IFERROR(__xludf.DUMMYFUNCTION("""COMPUTED_VALUE"""),"")</f>
        <v/>
      </c>
      <c r="F7499" s="17" t="str">
        <f>IFERROR(__xludf.DUMMYFUNCTION("""COMPUTED_VALUE"""),"")</f>
        <v/>
      </c>
      <c r="G7499" s="17" t="str">
        <f>IFERROR(__xludf.DUMMYFUNCTION("""COMPUTED_VALUE"""),"")</f>
        <v/>
      </c>
      <c r="H7499" s="17" t="str">
        <f>IFERROR(__xludf.DUMMYFUNCTION("""COMPUTED_VALUE"""),"")</f>
        <v/>
      </c>
      <c r="I7499" s="17" t="str">
        <f>IFERROR(__xludf.DUMMYFUNCTION("""COMPUTED_VALUE"""),"")</f>
        <v/>
      </c>
      <c r="J7499" s="17" t="str">
        <f>IFERROR(__xludf.DUMMYFUNCTION("""COMPUTED_VALUE"""),"")</f>
        <v/>
      </c>
      <c r="K7499" s="17" t="str">
        <f>IFERROR(__xludf.DUMMYFUNCTION("""COMPUTED_VALUE"""),"")</f>
        <v/>
      </c>
      <c r="L7499" s="17" t="str">
        <f>IFERROR(__xludf.DUMMYFUNCTION("""COMPUTED_VALUE"""),"")</f>
        <v/>
      </c>
      <c r="M7499" s="17" t="str">
        <f>IFERROR(__xludf.DUMMYFUNCTION("""COMPUTED_VALUE"""),"")</f>
        <v/>
      </c>
      <c r="N7499" s="17" t="str">
        <f>IFERROR(__xludf.DUMMYFUNCTION("""COMPUTED_VALUE"""),"")</f>
        <v/>
      </c>
      <c r="O7499" s="17" t="str">
        <f>IFERROR(__xludf.DUMMYFUNCTION("""COMPUTED_VALUE"""),"")</f>
        <v/>
      </c>
      <c r="P7499" s="17" t="str">
        <f>IFERROR(__xludf.DUMMYFUNCTION("""COMPUTED_VALUE"""),"")</f>
        <v/>
      </c>
      <c r="Q7499" s="17" t="str">
        <f>IFERROR(__xludf.DUMMYFUNCTION("""COMPUTED_VALUE"""),"")</f>
        <v/>
      </c>
      <c r="R7499" s="17" t="str">
        <f>IFERROR(__xludf.DUMMYFUNCTION("""COMPUTED_VALUE"""),"")</f>
        <v/>
      </c>
    </row>
    <row r="7500">
      <c r="A7500" s="15">
        <f>IFERROR(__xludf.DUMMYFUNCTION("""COMPUTED_VALUE"""),45211.0)</f>
        <v>45211</v>
      </c>
      <c r="B7500" s="16" t="str">
        <f>IFERROR(__xludf.DUMMYFUNCTION("""COMPUTED_VALUE"""),"Johanna Arango Barrera")</f>
        <v>Johanna Arango Barrera</v>
      </c>
      <c r="C7500" s="15" t="str">
        <f>IFERROR(__xludf.DUMMYFUNCTION("""COMPUTED_VALUE"""),"BUCARAMANGA")</f>
        <v>BUCARAMANGA</v>
      </c>
      <c r="D7500" s="15" t="str">
        <f>IFERROR(__xludf.DUMMYFUNCTION("""COMPUTED_VALUE"""),"BOGOTÁ")</f>
        <v>BOGOTÁ</v>
      </c>
      <c r="E7500" s="15" t="str">
        <f>IFERROR(__xludf.DUMMYFUNCTION("""COMPUTED_VALUE"""),"Evamazzita")</f>
        <v>Evamazzita</v>
      </c>
      <c r="F7500" s="17" t="str">
        <f>IFERROR(__xludf.DUMMYFUNCTION("""COMPUTED_VALUE"""),"Bloque 14 apt 101 Campo hermoso quinta estrella / Bloque 14 apt 101 Campo hermoso quinta estrella")</f>
        <v>Bloque 14 apt 101 Campo hermoso quinta estrella / Bloque 14 apt 101 Campo hermoso quinta estrella</v>
      </c>
      <c r="G7500" s="15" t="str">
        <f>IFERROR(__xludf.DUMMYFUNCTION("""COMPUTED_VALUE"""),"JIMENA OCHOA")</f>
        <v>JIMENA OCHOA</v>
      </c>
      <c r="H7500" s="16">
        <f>IFERROR(__xludf.DUMMYFUNCTION("""COMPUTED_VALUE"""),16241.0)</f>
        <v>16241</v>
      </c>
      <c r="I7500" s="18">
        <f>IFERROR(__xludf.DUMMYFUNCTION("""COMPUTED_VALUE"""),1.0)</f>
        <v>1</v>
      </c>
      <c r="J7500" s="18">
        <f>IFERROR(__xludf.DUMMYFUNCTION("""COMPUTED_VALUE"""),1.0)</f>
        <v>1</v>
      </c>
      <c r="K7500" s="18">
        <f>IFERROR(__xludf.DUMMYFUNCTION("""COMPUTED_VALUE"""),1.0)</f>
        <v>1</v>
      </c>
      <c r="L7500" s="17">
        <f>IFERROR(__xludf.DUMMYFUNCTION("""COMPUTED_VALUE"""),3.00358854E9)</f>
        <v>3003588540</v>
      </c>
      <c r="M7500" s="17"/>
      <c r="N7500" s="17"/>
      <c r="O7500" s="17"/>
      <c r="P7500" s="17" t="b">
        <f>IFERROR(__xludf.DUMMYFUNCTION("""COMPUTED_VALUE"""),FALSE)</f>
        <v>0</v>
      </c>
      <c r="Q7500" s="20" t="str">
        <f>IFERROR(__xludf.DUMMYFUNCTION("""COMPUTED_VALUE"""),"")</f>
        <v/>
      </c>
      <c r="R7500" s="21" t="str">
        <f>IFERROR(__xludf.DUMMYFUNCTION("""COMPUTED_VALUE"""),"https://drive.google.com/file/d/1UB8uMiVns4QCe3lUucLaC89Yl3rWx7NB/view?usp=drivesdk")</f>
        <v>https://drive.google.com/file/d/1UB8uMiVns4QCe3lUucLaC89Yl3rWx7NB/view?usp=drivesdk</v>
      </c>
    </row>
    <row r="7501">
      <c r="A7501" s="15">
        <f>IFERROR(__xludf.DUMMYFUNCTION("""COMPUTED_VALUE"""),45211.0)</f>
        <v>45211</v>
      </c>
      <c r="B7501" s="16" t="str">
        <f>IFERROR(__xludf.DUMMYFUNCTION("""COMPUTED_VALUE"""),"Johanna Arango Barrera")</f>
        <v>Johanna Arango Barrera</v>
      </c>
      <c r="C7501" s="15" t="str">
        <f>IFERROR(__xludf.DUMMYFUNCTION("""COMPUTED_VALUE"""),"BUCARAMANGA")</f>
        <v>BUCARAMANGA</v>
      </c>
      <c r="D7501" s="15" t="str">
        <f>IFERROR(__xludf.DUMMYFUNCTION("""COMPUTED_VALUE"""),"BOGOTÁ")</f>
        <v>BOGOTÁ</v>
      </c>
      <c r="E7501" s="15" t="str">
        <f>IFERROR(__xludf.DUMMYFUNCTION("""COMPUTED_VALUE"""),"Evamazzita")</f>
        <v>Evamazzita</v>
      </c>
      <c r="F7501" s="17" t="str">
        <f>IFERROR(__xludf.DUMMYFUNCTION("""COMPUTED_VALUE"""),"calle 14 nro 62b-28 / Morrorico")</f>
        <v>calle 14 nro 62b-28 / Morrorico</v>
      </c>
      <c r="G7501" s="15" t="str">
        <f>IFERROR(__xludf.DUMMYFUNCTION("""COMPUTED_VALUE"""),"CLAUDIA PATRICIA VEGA DELGADO")</f>
        <v>CLAUDIA PATRICIA VEGA DELGADO</v>
      </c>
      <c r="H7501" s="16">
        <f>IFERROR(__xludf.DUMMYFUNCTION("""COMPUTED_VALUE"""),16239.0)</f>
        <v>16239</v>
      </c>
      <c r="I7501" s="18">
        <f>IFERROR(__xludf.DUMMYFUNCTION("""COMPUTED_VALUE"""),1.0)</f>
        <v>1</v>
      </c>
      <c r="J7501" s="18">
        <f>IFERROR(__xludf.DUMMYFUNCTION("""COMPUTED_VALUE"""),1.0)</f>
        <v>1</v>
      </c>
      <c r="K7501" s="18">
        <f>IFERROR(__xludf.DUMMYFUNCTION("""COMPUTED_VALUE"""),1.0)</f>
        <v>1</v>
      </c>
      <c r="L7501" s="17">
        <f>IFERROR(__xludf.DUMMYFUNCTION("""COMPUTED_VALUE"""),3.188769629E9)</f>
        <v>3188769629</v>
      </c>
      <c r="M7501" s="17"/>
      <c r="N7501" s="17"/>
      <c r="O7501" s="17"/>
      <c r="P7501" s="17" t="b">
        <f>IFERROR(__xludf.DUMMYFUNCTION("""COMPUTED_VALUE"""),FALSE)</f>
        <v>0</v>
      </c>
      <c r="Q7501" s="20" t="str">
        <f>IFERROR(__xludf.DUMMYFUNCTION("""COMPUTED_VALUE"""),"")</f>
        <v/>
      </c>
      <c r="R7501" s="21" t="str">
        <f>IFERROR(__xludf.DUMMYFUNCTION("""COMPUTED_VALUE"""),"https://drive.google.com/file/d/1rvm0HCY5B5AwrgsPDpmzguBc0RyL2wBO/view?usp=drivesdk")</f>
        <v>https://drive.google.com/file/d/1rvm0HCY5B5AwrgsPDpmzguBc0RyL2wBO/view?usp=drivesdk</v>
      </c>
    </row>
    <row r="7502">
      <c r="A7502" s="15">
        <f>IFERROR(__xludf.DUMMYFUNCTION("""COMPUTED_VALUE"""),45211.0)</f>
        <v>45211</v>
      </c>
      <c r="B7502" s="16" t="str">
        <f>IFERROR(__xludf.DUMMYFUNCTION("""COMPUTED_VALUE"""),"Johanna Arango Barrera")</f>
        <v>Johanna Arango Barrera</v>
      </c>
      <c r="C7502" s="15" t="str">
        <f>IFERROR(__xludf.DUMMYFUNCTION("""COMPUTED_VALUE"""),"BUCARAMANGA")</f>
        <v>BUCARAMANGA</v>
      </c>
      <c r="D7502" s="15" t="str">
        <f>IFERROR(__xludf.DUMMYFUNCTION("""COMPUTED_VALUE"""),"BOGOTÁ")</f>
        <v>BOGOTÁ</v>
      </c>
      <c r="E7502" s="15" t="str">
        <f>IFERROR(__xludf.DUMMYFUNCTION("""COMPUTED_VALUE"""),"Evamazzita")</f>
        <v>Evamazzita</v>
      </c>
      <c r="F7502" s="17" t="str">
        <f>IFERROR(__xludf.DUMMYFUNCTION("""COMPUTED_VALUE"""),"CALLE 90 # 20 - 133 / BARRIO DIAMANTE 2")</f>
        <v>CALLE 90 # 20 - 133 / BARRIO DIAMANTE 2</v>
      </c>
      <c r="G7502" s="15" t="str">
        <f>IFERROR(__xludf.DUMMYFUNCTION("""COMPUTED_VALUE"""),"SILVIA JULIANA RIOS")</f>
        <v>SILVIA JULIANA RIOS</v>
      </c>
      <c r="H7502" s="16">
        <f>IFERROR(__xludf.DUMMYFUNCTION("""COMPUTED_VALUE"""),16242.0)</f>
        <v>16242</v>
      </c>
      <c r="I7502" s="18">
        <f>IFERROR(__xludf.DUMMYFUNCTION("""COMPUTED_VALUE"""),1.0)</f>
        <v>1</v>
      </c>
      <c r="J7502" s="18">
        <f>IFERROR(__xludf.DUMMYFUNCTION("""COMPUTED_VALUE"""),1.0)</f>
        <v>1</v>
      </c>
      <c r="K7502" s="18">
        <f>IFERROR(__xludf.DUMMYFUNCTION("""COMPUTED_VALUE"""),1.0)</f>
        <v>1</v>
      </c>
      <c r="L7502" s="17">
        <f>IFERROR(__xludf.DUMMYFUNCTION("""COMPUTED_VALUE"""),3.18576826E9)</f>
        <v>3185768260</v>
      </c>
      <c r="M7502" s="17"/>
      <c r="N7502" s="17"/>
      <c r="O7502" s="17"/>
      <c r="P7502" s="17" t="b">
        <f>IFERROR(__xludf.DUMMYFUNCTION("""COMPUTED_VALUE"""),FALSE)</f>
        <v>0</v>
      </c>
      <c r="Q7502" s="20" t="str">
        <f>IFERROR(__xludf.DUMMYFUNCTION("""COMPUTED_VALUE"""),"")</f>
        <v/>
      </c>
      <c r="R7502" s="21" t="str">
        <f>IFERROR(__xludf.DUMMYFUNCTION("""COMPUTED_VALUE"""),"https://drive.google.com/file/d/1eBKnnr5U4uSb7_gV6WMUrl9eBmeNYQm8/view?usp=drivesdk")</f>
        <v>https://drive.google.com/file/d/1eBKnnr5U4uSb7_gV6WMUrl9eBmeNYQm8/view?usp=drivesdk</v>
      </c>
    </row>
    <row r="7503">
      <c r="A7503" s="15">
        <f>IFERROR(__xludf.DUMMYFUNCTION("""COMPUTED_VALUE"""),45211.0)</f>
        <v>45211</v>
      </c>
      <c r="B7503" s="16" t="str">
        <f>IFERROR(__xludf.DUMMYFUNCTION("""COMPUTED_VALUE"""),"Johanna Arango Barrera")</f>
        <v>Johanna Arango Barrera</v>
      </c>
      <c r="C7503" s="15" t="str">
        <f>IFERROR(__xludf.DUMMYFUNCTION("""COMPUTED_VALUE"""),"BUCARAMANGA")</f>
        <v>BUCARAMANGA</v>
      </c>
      <c r="D7503" s="15" t="str">
        <f>IFERROR(__xludf.DUMMYFUNCTION("""COMPUTED_VALUE"""),"BOGOTÁ")</f>
        <v>BOGOTÁ</v>
      </c>
      <c r="E7503" s="15" t="str">
        <f>IFERROR(__xludf.DUMMYFUNCTION("""COMPUTED_VALUE"""),"Evamazzita")</f>
        <v>Evamazzita</v>
      </c>
      <c r="F7503" s="17" t="str">
        <f>IFERROR(__xludf.DUMMYFUNCTION("""COMPUTED_VALUE"""),"Circunvalar 35 # 92-156 / conjunto británia Torre 2 apto 1708 Barrio el tejar")</f>
        <v>Circunvalar 35 # 92-156 / conjunto británia Torre 2 apto 1708 Barrio el tejar</v>
      </c>
      <c r="G7503" s="15" t="str">
        <f>IFERROR(__xludf.DUMMYFUNCTION("""COMPUTED_VALUE"""),"MARCELA JAIMES")</f>
        <v>MARCELA JAIMES</v>
      </c>
      <c r="H7503" s="16">
        <f>IFERROR(__xludf.DUMMYFUNCTION("""COMPUTED_VALUE"""),16240.0)</f>
        <v>16240</v>
      </c>
      <c r="I7503" s="18">
        <f>IFERROR(__xludf.DUMMYFUNCTION("""COMPUTED_VALUE"""),1.0)</f>
        <v>1</v>
      </c>
      <c r="J7503" s="18">
        <f>IFERROR(__xludf.DUMMYFUNCTION("""COMPUTED_VALUE"""),1.0)</f>
        <v>1</v>
      </c>
      <c r="K7503" s="18">
        <f>IFERROR(__xludf.DUMMYFUNCTION("""COMPUTED_VALUE"""),1.0)</f>
        <v>1</v>
      </c>
      <c r="L7503" s="17">
        <f>IFERROR(__xludf.DUMMYFUNCTION("""COMPUTED_VALUE"""),3.164222887E9)</f>
        <v>3164222887</v>
      </c>
      <c r="M7503" s="17"/>
      <c r="N7503" s="17"/>
      <c r="O7503" s="17"/>
      <c r="P7503" s="17" t="b">
        <f>IFERROR(__xludf.DUMMYFUNCTION("""COMPUTED_VALUE"""),FALSE)</f>
        <v>0</v>
      </c>
      <c r="Q7503" s="20" t="str">
        <f>IFERROR(__xludf.DUMMYFUNCTION("""COMPUTED_VALUE"""),"")</f>
        <v/>
      </c>
      <c r="R7503" s="21" t="str">
        <f>IFERROR(__xludf.DUMMYFUNCTION("""COMPUTED_VALUE"""),"https://drive.google.com/file/d/1muXa9kIIANmLRbVtlWJsjcJ2WFcA9_PM/view?usp=drivesdk")</f>
        <v>https://drive.google.com/file/d/1muXa9kIIANmLRbVtlWJsjcJ2WFcA9_PM/view?usp=drivesdk</v>
      </c>
    </row>
    <row r="7504">
      <c r="A7504" s="15">
        <f>IFERROR(__xludf.DUMMYFUNCTION("""COMPUTED_VALUE"""),45211.0)</f>
        <v>45211</v>
      </c>
      <c r="B7504" s="16" t="str">
        <f>IFERROR(__xludf.DUMMYFUNCTION("""COMPUTED_VALUE"""),"Johanna Arango Barrera")</f>
        <v>Johanna Arango Barrera</v>
      </c>
      <c r="C7504" s="15" t="str">
        <f>IFERROR(__xludf.DUMMYFUNCTION("""COMPUTED_VALUE"""),"BUCARAMANGA")</f>
        <v>BUCARAMANGA</v>
      </c>
      <c r="D7504" s="15" t="str">
        <f>IFERROR(__xludf.DUMMYFUNCTION("""COMPUTED_VALUE"""),"BOGOTÁ")</f>
        <v>BOGOTÁ</v>
      </c>
      <c r="E7504" s="15" t="str">
        <f>IFERROR(__xludf.DUMMYFUNCTION("""COMPUTED_VALUE"""),"Evamazzita")</f>
        <v>Evamazzita</v>
      </c>
      <c r="F7504" s="17" t="str">
        <f>IFERROR(__xludf.DUMMYFUNCTION("""COMPUTED_VALUE"""),"Cra 13 #51A-25 / Apto 201 Barrio San Miguel")</f>
        <v>Cra 13 #51A-25 / Apto 201 Barrio San Miguel</v>
      </c>
      <c r="G7504" s="15" t="str">
        <f>IFERROR(__xludf.DUMMYFUNCTION("""COMPUTED_VALUE"""),"LUDY MARCELA ORTIZ COLMENARES")</f>
        <v>LUDY MARCELA ORTIZ COLMENARES</v>
      </c>
      <c r="H7504" s="16">
        <f>IFERROR(__xludf.DUMMYFUNCTION("""COMPUTED_VALUE"""),16244.0)</f>
        <v>16244</v>
      </c>
      <c r="I7504" s="18">
        <f>IFERROR(__xludf.DUMMYFUNCTION("""COMPUTED_VALUE"""),1.0)</f>
        <v>1</v>
      </c>
      <c r="J7504" s="18">
        <f>IFERROR(__xludf.DUMMYFUNCTION("""COMPUTED_VALUE"""),1.0)</f>
        <v>1</v>
      </c>
      <c r="K7504" s="18">
        <f>IFERROR(__xludf.DUMMYFUNCTION("""COMPUTED_VALUE"""),1.0)</f>
        <v>1</v>
      </c>
      <c r="L7504" s="17">
        <f>IFERROR(__xludf.DUMMYFUNCTION("""COMPUTED_VALUE"""),3.105650147E9)</f>
        <v>3105650147</v>
      </c>
      <c r="M7504" s="17"/>
      <c r="N7504" s="17"/>
      <c r="O7504" s="17"/>
      <c r="P7504" s="17" t="b">
        <f>IFERROR(__xludf.DUMMYFUNCTION("""COMPUTED_VALUE"""),FALSE)</f>
        <v>0</v>
      </c>
      <c r="Q7504" s="20" t="str">
        <f>IFERROR(__xludf.DUMMYFUNCTION("""COMPUTED_VALUE"""),"")</f>
        <v/>
      </c>
      <c r="R7504" s="21" t="str">
        <f>IFERROR(__xludf.DUMMYFUNCTION("""COMPUTED_VALUE"""),"https://drive.google.com/file/d/19Oq-TMZaALiJSPjx-wUDDmWJi0JNTNF0/view?usp=drivesdk")</f>
        <v>https://drive.google.com/file/d/19Oq-TMZaALiJSPjx-wUDDmWJi0JNTNF0/view?usp=drivesdk</v>
      </c>
    </row>
    <row r="7505">
      <c r="A7505" s="15">
        <f>IFERROR(__xludf.DUMMYFUNCTION("""COMPUTED_VALUE"""),45211.0)</f>
        <v>45211</v>
      </c>
      <c r="B7505" s="16" t="str">
        <f>IFERROR(__xludf.DUMMYFUNCTION("""COMPUTED_VALUE"""),"Johanna Arango Barrera")</f>
        <v>Johanna Arango Barrera</v>
      </c>
      <c r="C7505" s="15" t="str">
        <f>IFERROR(__xludf.DUMMYFUNCTION("""COMPUTED_VALUE"""),"BUCARAMANGA")</f>
        <v>BUCARAMANGA</v>
      </c>
      <c r="D7505" s="15" t="str">
        <f>IFERROR(__xludf.DUMMYFUNCTION("""COMPUTED_VALUE"""),"BOGOTÁ")</f>
        <v>BOGOTÁ</v>
      </c>
      <c r="E7505" s="15" t="str">
        <f>IFERROR(__xludf.DUMMYFUNCTION("""COMPUTED_VALUE"""),"Evamazzita")</f>
        <v>Evamazzita</v>
      </c>
      <c r="F7505" s="17" t="str">
        <f>IFERROR(__xludf.DUMMYFUNCTION("""COMPUTED_VALUE"""),"Cra 13 N 35-15 / Edifiicio las villas centro de Bucaramanga,  Oficina:405")</f>
        <v>Cra 13 N 35-15 / Edifiicio las villas centro de Bucaramanga,  Oficina:405</v>
      </c>
      <c r="G7505" s="15" t="str">
        <f>IFERROR(__xludf.DUMMYFUNCTION("""COMPUTED_VALUE"""),"SHIRLY RUBIANO")</f>
        <v>SHIRLY RUBIANO</v>
      </c>
      <c r="H7505" s="16">
        <f>IFERROR(__xludf.DUMMYFUNCTION("""COMPUTED_VALUE"""),16243.0)</f>
        <v>16243</v>
      </c>
      <c r="I7505" s="18">
        <f>IFERROR(__xludf.DUMMYFUNCTION("""COMPUTED_VALUE"""),1.0)</f>
        <v>1</v>
      </c>
      <c r="J7505" s="18">
        <f>IFERROR(__xludf.DUMMYFUNCTION("""COMPUTED_VALUE"""),1.0)</f>
        <v>1</v>
      </c>
      <c r="K7505" s="18">
        <f>IFERROR(__xludf.DUMMYFUNCTION("""COMPUTED_VALUE"""),1.0)</f>
        <v>1</v>
      </c>
      <c r="L7505" s="17">
        <f>IFERROR(__xludf.DUMMYFUNCTION("""COMPUTED_VALUE"""),3.162991483E9)</f>
        <v>3162991483</v>
      </c>
      <c r="M7505" s="17"/>
      <c r="N7505" s="17"/>
      <c r="O7505" s="17"/>
      <c r="P7505" s="17" t="b">
        <f>IFERROR(__xludf.DUMMYFUNCTION("""COMPUTED_VALUE"""),FALSE)</f>
        <v>0</v>
      </c>
      <c r="Q7505" s="20" t="str">
        <f>IFERROR(__xludf.DUMMYFUNCTION("""COMPUTED_VALUE"""),"")</f>
        <v/>
      </c>
      <c r="R7505" s="21" t="str">
        <f>IFERROR(__xludf.DUMMYFUNCTION("""COMPUTED_VALUE"""),"https://drive.google.com/file/d/1wiJt2CUDGcK925f2nzb9mQZ19Rzltkzb/view?usp=drivesdk")</f>
        <v>https://drive.google.com/file/d/1wiJt2CUDGcK925f2nzb9mQZ19Rzltkzb/view?usp=drivesdk</v>
      </c>
    </row>
    <row r="7506">
      <c r="A7506" s="15">
        <f>IFERROR(__xludf.DUMMYFUNCTION("""COMPUTED_VALUE"""),45211.0)</f>
        <v>45211</v>
      </c>
      <c r="B7506" s="16" t="str">
        <f>IFERROR(__xludf.DUMMYFUNCTION("""COMPUTED_VALUE"""),"Johanna Arango Barrera")</f>
        <v>Johanna Arango Barrera</v>
      </c>
      <c r="C7506" s="15" t="str">
        <f>IFERROR(__xludf.DUMMYFUNCTION("""COMPUTED_VALUE"""),"BUCARAMANGA")</f>
        <v>BUCARAMANGA</v>
      </c>
      <c r="D7506" s="15" t="str">
        <f>IFERROR(__xludf.DUMMYFUNCTION("""COMPUTED_VALUE"""),"BOGOTÁ")</f>
        <v>BOGOTÁ</v>
      </c>
      <c r="E7506" s="15" t="str">
        <f>IFERROR(__xludf.DUMMYFUNCTION("""COMPUTED_VALUE"""),"Pan de Waffle")</f>
        <v>Pan de Waffle</v>
      </c>
      <c r="F7506" s="17" t="str">
        <f>IFERROR(__xludf.DUMMYFUNCTION("""COMPUTED_VALUE"""),"Carrera 31 # 50 - 27 / Carrera 31 # 50 - 27 / Carrera 31 # 50 - 27")</f>
        <v>Carrera 31 # 50 - 27 / Carrera 31 # 50 - 27 / Carrera 31 # 50 - 27</v>
      </c>
      <c r="G7506" s="15" t="str">
        <f>IFERROR(__xludf.DUMMYFUNCTION("""COMPUTED_VALUE"""),"FOODOLOGY")</f>
        <v>FOODOLOGY</v>
      </c>
      <c r="H7506" s="16">
        <f>IFERROR(__xludf.DUMMYFUNCTION("""COMPUTED_VALUE"""),16213.0)</f>
        <v>16213</v>
      </c>
      <c r="I7506" s="18">
        <f>IFERROR(__xludf.DUMMYFUNCTION("""COMPUTED_VALUE"""),30.0)</f>
        <v>30</v>
      </c>
      <c r="J7506" s="18">
        <f>IFERROR(__xludf.DUMMYFUNCTION("""COMPUTED_VALUE"""),40.0)</f>
        <v>40</v>
      </c>
      <c r="K7506" s="18">
        <f>IFERROR(__xludf.DUMMYFUNCTION("""COMPUTED_VALUE"""),40.0)</f>
        <v>40</v>
      </c>
      <c r="L7506" s="17">
        <f>IFERROR(__xludf.DUMMYFUNCTION("""COMPUTED_VALUE"""),3.017001909E9)</f>
        <v>3017001909</v>
      </c>
      <c r="M7506" s="17"/>
      <c r="N7506" s="17"/>
      <c r="O7506" s="17"/>
      <c r="P7506" s="17" t="b">
        <f>IFERROR(__xludf.DUMMYFUNCTION("""COMPUTED_VALUE"""),FALSE)</f>
        <v>0</v>
      </c>
      <c r="Q7506" s="20" t="str">
        <f>IFERROR(__xludf.DUMMYFUNCTION("""COMPUTED_VALUE"""),"")</f>
        <v/>
      </c>
      <c r="R7506" s="21" t="str">
        <f>IFERROR(__xludf.DUMMYFUNCTION("""COMPUTED_VALUE"""),"https://drive.google.com/file/d/1TPvMgQYzE6IX8UFc-4nQQwoS6306H-tU/view?usp=drivesdk")</f>
        <v>https://drive.google.com/file/d/1TPvMgQYzE6IX8UFc-4nQQwoS6306H-tU/view?usp=drivesdk</v>
      </c>
    </row>
    <row r="7507">
      <c r="A7507" s="15">
        <f>IFERROR(__xludf.DUMMYFUNCTION("""COMPUTED_VALUE"""),45211.0)</f>
        <v>45211</v>
      </c>
      <c r="B7507" s="16" t="str">
        <f>IFERROR(__xludf.DUMMYFUNCTION("""COMPUTED_VALUE"""),"Johanna Arango Barrera")</f>
        <v>Johanna Arango Barrera</v>
      </c>
      <c r="C7507" s="15" t="str">
        <f>IFERROR(__xludf.DUMMYFUNCTION("""COMPUTED_VALUE"""),"BUCARAMANGA")</f>
        <v>BUCARAMANGA</v>
      </c>
      <c r="D7507" s="15" t="str">
        <f>IFERROR(__xludf.DUMMYFUNCTION("""COMPUTED_VALUE"""),"BOGOTÁ")</f>
        <v>BOGOTÁ</v>
      </c>
      <c r="E7507" s="15" t="str">
        <f>IFERROR(__xludf.DUMMYFUNCTION("""COMPUTED_VALUE"""),"Viiva Fermentados")</f>
        <v>Viiva Fermentados</v>
      </c>
      <c r="F7507" s="17" t="str">
        <f>IFERROR(__xludf.DUMMYFUNCTION("""COMPUTED_VALUE"""),"Transversal 93 N° 34 ­ 99 / Centro comercial El Cacique  Local 424 y 425 / El Tejar")</f>
        <v>Transversal 93 N° 34 ­ 99 / Centro comercial El Cacique  Local 424 y 425 / El Tejar</v>
      </c>
      <c r="G7507" s="15" t="str">
        <f>IFERROR(__xludf.DUMMYFUNCTION("""COMPUTED_VALUE"""),"SENDA NATURAL")</f>
        <v>SENDA NATURAL</v>
      </c>
      <c r="H7507" s="16">
        <f>IFERROR(__xludf.DUMMYFUNCTION("""COMPUTED_VALUE"""),16210.0)</f>
        <v>16210</v>
      </c>
      <c r="I7507" s="18">
        <f>IFERROR(__xludf.DUMMYFUNCTION("""COMPUTED_VALUE"""),21.0)</f>
        <v>21</v>
      </c>
      <c r="J7507" s="18">
        <f>IFERROR(__xludf.DUMMYFUNCTION("""COMPUTED_VALUE"""),36.0)</f>
        <v>36</v>
      </c>
      <c r="K7507" s="18">
        <f>IFERROR(__xludf.DUMMYFUNCTION("""COMPUTED_VALUE"""),24.0)</f>
        <v>24</v>
      </c>
      <c r="L7507" s="17">
        <f>IFERROR(__xludf.DUMMYFUNCTION("""COMPUTED_VALUE"""),3.045967069E9)</f>
        <v>3045967069</v>
      </c>
      <c r="M7507" s="17"/>
      <c r="N7507" s="17"/>
      <c r="O7507" s="17"/>
      <c r="P7507" s="17" t="b">
        <f>IFERROR(__xludf.DUMMYFUNCTION("""COMPUTED_VALUE"""),FALSE)</f>
        <v>0</v>
      </c>
      <c r="Q7507" s="20" t="str">
        <f>IFERROR(__xludf.DUMMYFUNCTION("""COMPUTED_VALUE"""),"")</f>
        <v/>
      </c>
      <c r="R7507" s="21" t="str">
        <f>IFERROR(__xludf.DUMMYFUNCTION("""COMPUTED_VALUE"""),"https://drive.google.com/file/d/1x4YQfVkZDHY1_MFZCPg6iFXP74IQ7ORR/view?usp=drivesdk")</f>
        <v>https://drive.google.com/file/d/1x4YQfVkZDHY1_MFZCPg6iFXP74IQ7ORR/view?usp=drivesdk</v>
      </c>
    </row>
    <row r="7508">
      <c r="A7508" s="15">
        <f>IFERROR(__xludf.DUMMYFUNCTION("""COMPUTED_VALUE"""),45211.0)</f>
        <v>45211</v>
      </c>
      <c r="B7508" s="16" t="str">
        <f>IFERROR(__xludf.DUMMYFUNCTION("""COMPUTED_VALUE"""),"Johanna Arango Barrera")</f>
        <v>Johanna Arango Barrera</v>
      </c>
      <c r="C7508" s="15" t="str">
        <f>IFERROR(__xludf.DUMMYFUNCTION("""COMPUTED_VALUE"""),"FLORIDABLANCA")</f>
        <v>FLORIDABLANCA</v>
      </c>
      <c r="D7508" s="15" t="str">
        <f>IFERROR(__xludf.DUMMYFUNCTION("""COMPUTED_VALUE"""),"BOGOTÁ")</f>
        <v>BOGOTÁ</v>
      </c>
      <c r="E7508" s="15" t="str">
        <f>IFERROR(__xludf.DUMMYFUNCTION("""COMPUTED_VALUE"""),"Evamazzita")</f>
        <v>Evamazzita</v>
      </c>
      <c r="F7508" s="17" t="str">
        <f>IFERROR(__xludf.DUMMYFUNCTION("""COMPUTED_VALUE"""),"Cra 26#37-35 / torre b apto 204  CAÑABERAL")</f>
        <v>Cra 26#37-35 / torre b apto 204  CAÑABERAL</v>
      </c>
      <c r="G7508" s="15" t="str">
        <f>IFERROR(__xludf.DUMMYFUNCTION("""COMPUTED_VALUE"""),"YENIFER REY")</f>
        <v>YENIFER REY</v>
      </c>
      <c r="H7508" s="16">
        <f>IFERROR(__xludf.DUMMYFUNCTION("""COMPUTED_VALUE"""),16246.0)</f>
        <v>16246</v>
      </c>
      <c r="I7508" s="18">
        <f>IFERROR(__xludf.DUMMYFUNCTION("""COMPUTED_VALUE"""),1.0)</f>
        <v>1</v>
      </c>
      <c r="J7508" s="18">
        <f>IFERROR(__xludf.DUMMYFUNCTION("""COMPUTED_VALUE"""),1.0)</f>
        <v>1</v>
      </c>
      <c r="K7508" s="18">
        <f>IFERROR(__xludf.DUMMYFUNCTION("""COMPUTED_VALUE"""),1.0)</f>
        <v>1</v>
      </c>
      <c r="L7508" s="17">
        <f>IFERROR(__xludf.DUMMYFUNCTION("""COMPUTED_VALUE"""),3.106899724E9)</f>
        <v>3106899724</v>
      </c>
      <c r="M7508" s="17"/>
      <c r="N7508" s="17"/>
      <c r="O7508" s="17"/>
      <c r="P7508" s="17" t="b">
        <f>IFERROR(__xludf.DUMMYFUNCTION("""COMPUTED_VALUE"""),FALSE)</f>
        <v>0</v>
      </c>
      <c r="Q7508" s="20" t="str">
        <f>IFERROR(__xludf.DUMMYFUNCTION("""COMPUTED_VALUE"""),"")</f>
        <v/>
      </c>
      <c r="R7508" s="21" t="str">
        <f>IFERROR(__xludf.DUMMYFUNCTION("""COMPUTED_VALUE"""),"https://drive.google.com/file/d/14KHnpWdPN2xfFXs6JVDPnPXv_EtDFiQN/view?usp=drivesdk")</f>
        <v>https://drive.google.com/file/d/14KHnpWdPN2xfFXs6JVDPnPXv_EtDFiQN/view?usp=drivesdk</v>
      </c>
    </row>
    <row r="7509">
      <c r="A7509" s="15">
        <f>IFERROR(__xludf.DUMMYFUNCTION("""COMPUTED_VALUE"""),45211.0)</f>
        <v>45211</v>
      </c>
      <c r="B7509" s="16" t="str">
        <f>IFERROR(__xludf.DUMMYFUNCTION("""COMPUTED_VALUE"""),"Johanna Arango Barrera")</f>
        <v>Johanna Arango Barrera</v>
      </c>
      <c r="C7509" s="15" t="str">
        <f>IFERROR(__xludf.DUMMYFUNCTION("""COMPUTED_VALUE"""),"FLORIDABLANCA")</f>
        <v>FLORIDABLANCA</v>
      </c>
      <c r="D7509" s="15" t="str">
        <f>IFERROR(__xludf.DUMMYFUNCTION("""COMPUTED_VALUE"""),"BOGOTÁ")</f>
        <v>BOGOTÁ</v>
      </c>
      <c r="E7509" s="15" t="str">
        <f>IFERROR(__xludf.DUMMYFUNCTION("""COMPUTED_VALUE"""),"Evamazzita")</f>
        <v>Evamazzita</v>
      </c>
      <c r="F7509" s="17" t="str">
        <f>IFERROR(__xludf.DUMMYFUNCTION("""COMPUTED_VALUE"""),"TRANSVERSAL 198 # 200 - 260 / CONJUNTO VERSALLES REAL TORRE 2 APTO. 607")</f>
        <v>TRANSVERSAL 198 # 200 - 260 / CONJUNTO VERSALLES REAL TORRE 2 APTO. 607</v>
      </c>
      <c r="G7509" s="15" t="str">
        <f>IFERROR(__xludf.DUMMYFUNCTION("""COMPUTED_VALUE"""),"JULIANA IBAÑEZ GAMBOA")</f>
        <v>JULIANA IBAÑEZ GAMBOA</v>
      </c>
      <c r="H7509" s="16">
        <f>IFERROR(__xludf.DUMMYFUNCTION("""COMPUTED_VALUE"""),16245.0)</f>
        <v>16245</v>
      </c>
      <c r="I7509" s="18">
        <f>IFERROR(__xludf.DUMMYFUNCTION("""COMPUTED_VALUE"""),1.0)</f>
        <v>1</v>
      </c>
      <c r="J7509" s="18">
        <f>IFERROR(__xludf.DUMMYFUNCTION("""COMPUTED_VALUE"""),1.0)</f>
        <v>1</v>
      </c>
      <c r="K7509" s="18">
        <f>IFERROR(__xludf.DUMMYFUNCTION("""COMPUTED_VALUE"""),1.0)</f>
        <v>1</v>
      </c>
      <c r="L7509" s="17">
        <f>IFERROR(__xludf.DUMMYFUNCTION("""COMPUTED_VALUE"""),3.00304442E9)</f>
        <v>3003044420</v>
      </c>
      <c r="M7509" s="17"/>
      <c r="N7509" s="17"/>
      <c r="O7509" s="17"/>
      <c r="P7509" s="17" t="b">
        <f>IFERROR(__xludf.DUMMYFUNCTION("""COMPUTED_VALUE"""),FALSE)</f>
        <v>0</v>
      </c>
      <c r="Q7509" s="20" t="str">
        <f>IFERROR(__xludf.DUMMYFUNCTION("""COMPUTED_VALUE"""),"")</f>
        <v/>
      </c>
      <c r="R7509" s="21" t="str">
        <f>IFERROR(__xludf.DUMMYFUNCTION("""COMPUTED_VALUE"""),"https://drive.google.com/file/d/1FExgtN8WdvexEBaGqjJpnjeCXTyUmE9k/view?usp=drivesdk")</f>
        <v>https://drive.google.com/file/d/1FExgtN8WdvexEBaGqjJpnjeCXTyUmE9k/view?usp=drivesdk</v>
      </c>
    </row>
    <row r="7510">
      <c r="A7510" s="15">
        <f>IFERROR(__xludf.DUMMYFUNCTION("""COMPUTED_VALUE"""),45211.0)</f>
        <v>45211</v>
      </c>
      <c r="B7510" s="16" t="str">
        <f>IFERROR(__xludf.DUMMYFUNCTION("""COMPUTED_VALUE"""),"Johanna Arango Barrera")</f>
        <v>Johanna Arango Barrera</v>
      </c>
      <c r="C7510" s="15" t="str">
        <f>IFERROR(__xludf.DUMMYFUNCTION("""COMPUTED_VALUE"""),"PEREIRA")</f>
        <v>PEREIRA</v>
      </c>
      <c r="D7510" s="15" t="str">
        <f>IFERROR(__xludf.DUMMYFUNCTION("""COMPUTED_VALUE"""),"MEDELLÍN")</f>
        <v>MEDELLÍN</v>
      </c>
      <c r="E7510" s="15" t="str">
        <f>IFERROR(__xludf.DUMMYFUNCTION("""COMPUTED_VALUE"""),"Baby Chef")</f>
        <v>Baby Chef</v>
      </c>
      <c r="F7510" s="17" t="str">
        <f>IFERROR(__xludf.DUMMYFUNCTION("""COMPUTED_VALUE"""),"conjunto batara parque central torre 3 apto 408 / . / .")</f>
        <v>conjunto batara parque central torre 3 apto 408 / . / .</v>
      </c>
      <c r="G7510" s="15" t="str">
        <f>IFERROR(__xludf.DUMMYFUNCTION("""COMPUTED_VALUE"""),"Angela Marín Gutiérrez")</f>
        <v>Angela Marín Gutiérrez</v>
      </c>
      <c r="H7510" s="16">
        <f>IFERROR(__xludf.DUMMYFUNCTION("""COMPUTED_VALUE"""),16251.0)</f>
        <v>16251</v>
      </c>
      <c r="I7510" s="18">
        <f>IFERROR(__xludf.DUMMYFUNCTION("""COMPUTED_VALUE"""),5.0)</f>
        <v>5</v>
      </c>
      <c r="J7510" s="18">
        <f>IFERROR(__xludf.DUMMYFUNCTION("""COMPUTED_VALUE"""),22.0)</f>
        <v>22</v>
      </c>
      <c r="K7510" s="18">
        <f>IFERROR(__xludf.DUMMYFUNCTION("""COMPUTED_VALUE"""),29.0)</f>
        <v>29</v>
      </c>
      <c r="L7510" s="17">
        <f>IFERROR(__xludf.DUMMYFUNCTION("""COMPUTED_VALUE"""),3.128423688E9)</f>
        <v>3128423688</v>
      </c>
      <c r="M7510" s="17"/>
      <c r="N7510" s="17"/>
      <c r="O7510" s="17"/>
      <c r="P7510" s="17" t="b">
        <f>IFERROR(__xludf.DUMMYFUNCTION("""COMPUTED_VALUE"""),FALSE)</f>
        <v>0</v>
      </c>
      <c r="Q7510" s="20" t="str">
        <f>IFERROR(__xludf.DUMMYFUNCTION("""COMPUTED_VALUE"""),"")</f>
        <v/>
      </c>
      <c r="R7510" s="21" t="str">
        <f>IFERROR(__xludf.DUMMYFUNCTION("""COMPUTED_VALUE"""),"https://drive.google.com/file/d/1BlwJrGbaxWKWi_ylkyllnA8tn2eBDmLa/view?usp=drivesdk")</f>
        <v>https://drive.google.com/file/d/1BlwJrGbaxWKWi_ylkyllnA8tn2eBDmLa/view?usp=drivesdk</v>
      </c>
    </row>
    <row r="7511">
      <c r="A7511" s="15">
        <f>IFERROR(__xludf.DUMMYFUNCTION("""COMPUTED_VALUE"""),45211.0)</f>
        <v>45211</v>
      </c>
      <c r="B7511" s="16" t="str">
        <f>IFERROR(__xludf.DUMMYFUNCTION("""COMPUTED_VALUE"""),"Johanna Arango Barrera")</f>
        <v>Johanna Arango Barrera</v>
      </c>
      <c r="C7511" s="15" t="str">
        <f>IFERROR(__xludf.DUMMYFUNCTION("""COMPUTED_VALUE"""),"PEREIRA")</f>
        <v>PEREIRA</v>
      </c>
      <c r="D7511" s="15" t="str">
        <f>IFERROR(__xludf.DUMMYFUNCTION("""COMPUTED_VALUE"""),"MEDELLÍN")</f>
        <v>MEDELLÍN</v>
      </c>
      <c r="E7511" s="15" t="str">
        <f>IFERROR(__xludf.DUMMYFUNCTION("""COMPUTED_VALUE"""),"Rambla")</f>
        <v>Rambla</v>
      </c>
      <c r="F7511" s="17" t="str">
        <f>IFERROR(__xludf.DUMMYFUNCTION("""COMPUTED_VALUE"""),"CARRERA 14 -12-55 / - / -")</f>
        <v>CARRERA 14 -12-55 / - / -</v>
      </c>
      <c r="G7511" s="15" t="str">
        <f>IFERROR(__xludf.DUMMYFUNCTION("""COMPUTED_VALUE"""),"Vita Eco")</f>
        <v>Vita Eco</v>
      </c>
      <c r="H7511" s="16">
        <f>IFERROR(__xludf.DUMMYFUNCTION("""COMPUTED_VALUE"""),16261.0)</f>
        <v>16261</v>
      </c>
      <c r="I7511" s="18">
        <f>IFERROR(__xludf.DUMMYFUNCTION("""COMPUTED_VALUE"""),24.0)</f>
        <v>24</v>
      </c>
      <c r="J7511" s="18">
        <f>IFERROR(__xludf.DUMMYFUNCTION("""COMPUTED_VALUE"""),32.0)</f>
        <v>32</v>
      </c>
      <c r="K7511" s="18">
        <f>IFERROR(__xludf.DUMMYFUNCTION("""COMPUTED_VALUE"""),32.0)</f>
        <v>32</v>
      </c>
      <c r="L7511" s="17">
        <f>IFERROR(__xludf.DUMMYFUNCTION("""COMPUTED_VALUE"""),3.215501948E9)</f>
        <v>3215501948</v>
      </c>
      <c r="M7511" s="17"/>
      <c r="N7511" s="17"/>
      <c r="O7511" s="17"/>
      <c r="P7511" s="17" t="b">
        <f>IFERROR(__xludf.DUMMYFUNCTION("""COMPUTED_VALUE"""),FALSE)</f>
        <v>0</v>
      </c>
      <c r="Q7511" s="20" t="str">
        <f>IFERROR(__xludf.DUMMYFUNCTION("""COMPUTED_VALUE"""),"")</f>
        <v/>
      </c>
      <c r="R7511" s="21" t="str">
        <f>IFERROR(__xludf.DUMMYFUNCTION("""COMPUTED_VALUE"""),"https://drive.google.com/file/d/1ux-j_64BFfzF5n2_-FNudUFUkxtmnu6M/view?usp=drivesdk")</f>
        <v>https://drive.google.com/file/d/1ux-j_64BFfzF5n2_-FNudUFUkxtmnu6M/view?usp=drivesdk</v>
      </c>
    </row>
    <row r="7512">
      <c r="A7512" s="17" t="str">
        <f>IFERROR(__xludf.DUMMYFUNCTION("""COMPUTED_VALUE"""),"")</f>
        <v/>
      </c>
      <c r="B7512" s="17" t="str">
        <f>IFERROR(__xludf.DUMMYFUNCTION("""COMPUTED_VALUE"""),"")</f>
        <v/>
      </c>
      <c r="C7512" s="17" t="str">
        <f>IFERROR(__xludf.DUMMYFUNCTION("""COMPUTED_VALUE"""),"")</f>
        <v/>
      </c>
      <c r="D7512" s="17" t="str">
        <f>IFERROR(__xludf.DUMMYFUNCTION("""COMPUTED_VALUE"""),"")</f>
        <v/>
      </c>
      <c r="E7512" s="17" t="str">
        <f>IFERROR(__xludf.DUMMYFUNCTION("""COMPUTED_VALUE"""),"")</f>
        <v/>
      </c>
      <c r="F7512" s="17" t="str">
        <f>IFERROR(__xludf.DUMMYFUNCTION("""COMPUTED_VALUE"""),"")</f>
        <v/>
      </c>
      <c r="G7512" s="17" t="str">
        <f>IFERROR(__xludf.DUMMYFUNCTION("""COMPUTED_VALUE"""),"")</f>
        <v/>
      </c>
      <c r="H7512" s="17" t="str">
        <f>IFERROR(__xludf.DUMMYFUNCTION("""COMPUTED_VALUE"""),"")</f>
        <v/>
      </c>
      <c r="I7512" s="17" t="str">
        <f>IFERROR(__xludf.DUMMYFUNCTION("""COMPUTED_VALUE"""),"")</f>
        <v/>
      </c>
      <c r="J7512" s="17" t="str">
        <f>IFERROR(__xludf.DUMMYFUNCTION("""COMPUTED_VALUE"""),"")</f>
        <v/>
      </c>
      <c r="K7512" s="17" t="str">
        <f>IFERROR(__xludf.DUMMYFUNCTION("""COMPUTED_VALUE"""),"")</f>
        <v/>
      </c>
      <c r="L7512" s="17" t="str">
        <f>IFERROR(__xludf.DUMMYFUNCTION("""COMPUTED_VALUE"""),"")</f>
        <v/>
      </c>
      <c r="M7512" s="17" t="str">
        <f>IFERROR(__xludf.DUMMYFUNCTION("""COMPUTED_VALUE"""),"")</f>
        <v/>
      </c>
      <c r="N7512" s="17" t="str">
        <f>IFERROR(__xludf.DUMMYFUNCTION("""COMPUTED_VALUE"""),"")</f>
        <v/>
      </c>
      <c r="O7512" s="17" t="str">
        <f>IFERROR(__xludf.DUMMYFUNCTION("""COMPUTED_VALUE"""),"")</f>
        <v/>
      </c>
      <c r="P7512" s="17" t="str">
        <f>IFERROR(__xludf.DUMMYFUNCTION("""COMPUTED_VALUE"""),"")</f>
        <v/>
      </c>
      <c r="Q7512" s="17" t="str">
        <f>IFERROR(__xludf.DUMMYFUNCTION("""COMPUTED_VALUE"""),"")</f>
        <v/>
      </c>
      <c r="R7512" s="17" t="str">
        <f>IFERROR(__xludf.DUMMYFUNCTION("""COMPUTED_VALUE"""),"")</f>
        <v/>
      </c>
    </row>
    <row r="7513">
      <c r="A7513" s="15">
        <f>IFERROR(__xludf.DUMMYFUNCTION("""COMPUTED_VALUE"""),45211.0)</f>
        <v>45211</v>
      </c>
      <c r="B7513" s="16" t="str">
        <f>IFERROR(__xludf.DUMMYFUNCTION("""COMPUTED_VALUE"""),"Julian Calderon Rodriguez ")</f>
        <v>Julian Calderon Rodriguez </v>
      </c>
      <c r="C7513" s="15" t="str">
        <f>IFERROR(__xludf.DUMMYFUNCTION("""COMPUTED_VALUE"""),"SANTA MARTA")</f>
        <v>SANTA MARTA</v>
      </c>
      <c r="D7513" s="15" t="str">
        <f>IFERROR(__xludf.DUMMYFUNCTION("""COMPUTED_VALUE"""),"BOGOTÁ")</f>
        <v>BOGOTÁ</v>
      </c>
      <c r="E7513" s="15" t="str">
        <f>IFERROR(__xludf.DUMMYFUNCTION("""COMPUTED_VALUE"""),"Ins. Alimento Vital")</f>
        <v>Ins. Alimento Vital</v>
      </c>
      <c r="F7513" s="17" t="str">
        <f>IFERROR(__xludf.DUMMYFUNCTION("""COMPUTED_VALUE"""),"CR 1B 26 A 109  / EDIFICIO ALMIRANTE AP 501 / EDIFICIO ALMIRANTE")</f>
        <v>CR 1B 26 A 109  / EDIFICIO ALMIRANTE AP 501 / EDIFICIO ALMIRANTE</v>
      </c>
      <c r="G7513" s="15" t="str">
        <f>IFERROR(__xludf.DUMMYFUNCTION("""COMPUTED_VALUE"""),"VERONICA GOMEZ DE ZUBIRIA")</f>
        <v>VERONICA GOMEZ DE ZUBIRIA</v>
      </c>
      <c r="H7513" s="16">
        <f>IFERROR(__xludf.DUMMYFUNCTION("""COMPUTED_VALUE"""),16216.0)</f>
        <v>16216</v>
      </c>
      <c r="I7513" s="18">
        <f>IFERROR(__xludf.DUMMYFUNCTION("""COMPUTED_VALUE"""),1.0)</f>
        <v>1</v>
      </c>
      <c r="J7513" s="18">
        <f>IFERROR(__xludf.DUMMYFUNCTION("""COMPUTED_VALUE"""),1.0)</f>
        <v>1</v>
      </c>
      <c r="K7513" s="18">
        <f>IFERROR(__xludf.DUMMYFUNCTION("""COMPUTED_VALUE"""),1.0)</f>
        <v>1</v>
      </c>
      <c r="L7513" s="17">
        <f>IFERROR(__xludf.DUMMYFUNCTION("""COMPUTED_VALUE"""),3.107893555E9)</f>
        <v>3107893555</v>
      </c>
      <c r="M7513" s="17"/>
      <c r="N7513" s="17"/>
      <c r="O7513" s="17"/>
      <c r="P7513" s="17" t="b">
        <f>IFERROR(__xludf.DUMMYFUNCTION("""COMPUTED_VALUE"""),FALSE)</f>
        <v>0</v>
      </c>
      <c r="Q7513" s="20" t="str">
        <f>IFERROR(__xludf.DUMMYFUNCTION("""COMPUTED_VALUE"""),"")</f>
        <v/>
      </c>
      <c r="R7513" s="21" t="str">
        <f>IFERROR(__xludf.DUMMYFUNCTION("""COMPUTED_VALUE"""),"https://drive.google.com/file/d/184zWso1TppP-DrY8JcHOqqCBICmIctdn/view?usp=drivesdk")</f>
        <v>https://drive.google.com/file/d/184zWso1TppP-DrY8JcHOqqCBICmIctdn/view?usp=drivesdk</v>
      </c>
    </row>
    <row r="7514">
      <c r="A7514" s="15">
        <f>IFERROR(__xludf.DUMMYFUNCTION("""COMPUTED_VALUE"""),45211.0)</f>
        <v>45211</v>
      </c>
      <c r="B7514" s="16" t="str">
        <f>IFERROR(__xludf.DUMMYFUNCTION("""COMPUTED_VALUE"""),"Julian Calderon Rodriguez ")</f>
        <v>Julian Calderon Rodriguez </v>
      </c>
      <c r="C7514" s="15" t="str">
        <f>IFERROR(__xludf.DUMMYFUNCTION("""COMPUTED_VALUE"""),"VILLAVICENCIO")</f>
        <v>VILLAVICENCIO</v>
      </c>
      <c r="D7514" s="15" t="str">
        <f>IFERROR(__xludf.DUMMYFUNCTION("""COMPUTED_VALUE"""),"BOGOTÁ")</f>
        <v>BOGOTÁ</v>
      </c>
      <c r="E7514" s="15" t="str">
        <f>IFERROR(__xludf.DUMMYFUNCTION("""COMPUTED_VALUE"""),"Asociacion Agropecuaria Juana Maria")</f>
        <v>Asociacion Agropecuaria Juana Maria</v>
      </c>
      <c r="F7514" s="17" t="str">
        <f>IFERROR(__xludf.DUMMYFUNCTION("""COMPUTED_VALUE"""),"CRA 40 # 5A -41 SUR TORRE8 APTO 305")</f>
        <v>CRA 40 # 5A -41 SUR TORRE8 APTO 305</v>
      </c>
      <c r="G7514" s="15" t="str">
        <f>IFERROR(__xludf.DUMMYFUNCTION("""COMPUTED_VALUE"""),"Tatiana Cortes")</f>
        <v>Tatiana Cortes</v>
      </c>
      <c r="H7514" s="16">
        <f>IFERROR(__xludf.DUMMYFUNCTION("""COMPUTED_VALUE"""),16097.0)</f>
        <v>16097</v>
      </c>
      <c r="I7514" s="18">
        <f>IFERROR(__xludf.DUMMYFUNCTION("""COMPUTED_VALUE"""),17.0)</f>
        <v>17</v>
      </c>
      <c r="J7514" s="18">
        <f>IFERROR(__xludf.DUMMYFUNCTION("""COMPUTED_VALUE"""),37.0)</f>
        <v>37</v>
      </c>
      <c r="K7514" s="18">
        <f>IFERROR(__xludf.DUMMYFUNCTION("""COMPUTED_VALUE"""),28.0)</f>
        <v>28</v>
      </c>
      <c r="L7514" s="17">
        <f>IFERROR(__xludf.DUMMYFUNCTION("""COMPUTED_VALUE"""),3.006485514E9)</f>
        <v>3006485514</v>
      </c>
      <c r="M7514" s="17"/>
      <c r="N7514" s="17"/>
      <c r="O7514" s="17"/>
      <c r="P7514" s="17" t="b">
        <f>IFERROR(__xludf.DUMMYFUNCTION("""COMPUTED_VALUE"""),TRUE)</f>
        <v>1</v>
      </c>
      <c r="Q7514" s="20">
        <f>IFERROR(__xludf.DUMMYFUNCTION("""COMPUTED_VALUE"""),45215.68285732639)</f>
        <v>45215.68286</v>
      </c>
      <c r="R7514" s="21" t="str">
        <f>IFERROR(__xludf.DUMMYFUNCTION("""COMPUTED_VALUE"""),"https://drive.google.com/file/d/1tMff2eMQNcXNMG49J617UtkyiHWmGW1q/view?usp=drivesdk")</f>
        <v>https://drive.google.com/file/d/1tMff2eMQNcXNMG49J617UtkyiHWmGW1q/view?usp=drivesdk</v>
      </c>
    </row>
    <row r="7515">
      <c r="A7515" s="15">
        <f>IFERROR(__xludf.DUMMYFUNCTION("""COMPUTED_VALUE"""),45211.0)</f>
        <v>45211</v>
      </c>
      <c r="B7515" s="16" t="str">
        <f>IFERROR(__xludf.DUMMYFUNCTION("""COMPUTED_VALUE"""),"Julian Calderon Rodriguez ")</f>
        <v>Julian Calderon Rodriguez </v>
      </c>
      <c r="C7515" s="15" t="str">
        <f>IFERROR(__xludf.DUMMYFUNCTION("""COMPUTED_VALUE"""),"VILLAVICENCIO")</f>
        <v>VILLAVICENCIO</v>
      </c>
      <c r="D7515" s="15" t="str">
        <f>IFERROR(__xludf.DUMMYFUNCTION("""COMPUTED_VALUE"""),"BOGOTÁ")</f>
        <v>BOGOTÁ</v>
      </c>
      <c r="E7515" s="15" t="str">
        <f>IFERROR(__xludf.DUMMYFUNCTION("""COMPUTED_VALUE"""),"Evamazzita")</f>
        <v>Evamazzita</v>
      </c>
      <c r="F7515" s="17" t="str">
        <f>IFERROR(__xludf.DUMMYFUNCTION("""COMPUTED_VALUE"""),"CLL 5 SUR # 26 26 / CONDOMINIO CASIBARE 2 MULTIFAMILIAR 7 CASA 18 VILLAVICENCIO")</f>
        <v>CLL 5 SUR # 26 26 / CONDOMINIO CASIBARE 2 MULTIFAMILIAR 7 CASA 18 VILLAVICENCIO</v>
      </c>
      <c r="G7515" s="15" t="str">
        <f>IFERROR(__xludf.DUMMYFUNCTION("""COMPUTED_VALUE"""),"JISEL BEDOYA TRIVIÑO")</f>
        <v>JISEL BEDOYA TRIVIÑO</v>
      </c>
      <c r="H7515" s="16">
        <f>IFERROR(__xludf.DUMMYFUNCTION("""COMPUTED_VALUE"""),16236.0)</f>
        <v>16236</v>
      </c>
      <c r="I7515" s="18">
        <f>IFERROR(__xludf.DUMMYFUNCTION("""COMPUTED_VALUE"""),1.0)</f>
        <v>1</v>
      </c>
      <c r="J7515" s="18">
        <f>IFERROR(__xludf.DUMMYFUNCTION("""COMPUTED_VALUE"""),1.0)</f>
        <v>1</v>
      </c>
      <c r="K7515" s="18">
        <f>IFERROR(__xludf.DUMMYFUNCTION("""COMPUTED_VALUE"""),1.0)</f>
        <v>1</v>
      </c>
      <c r="L7515" s="17">
        <f>IFERROR(__xludf.DUMMYFUNCTION("""COMPUTED_VALUE"""),3.134725406E9)</f>
        <v>3134725406</v>
      </c>
      <c r="M7515" s="17"/>
      <c r="N7515" s="17"/>
      <c r="O7515" s="17"/>
      <c r="P7515" s="17" t="b">
        <f>IFERROR(__xludf.DUMMYFUNCTION("""COMPUTED_VALUE"""),FALSE)</f>
        <v>0</v>
      </c>
      <c r="Q7515" s="20" t="str">
        <f>IFERROR(__xludf.DUMMYFUNCTION("""COMPUTED_VALUE"""),"")</f>
        <v/>
      </c>
      <c r="R7515" s="21" t="str">
        <f>IFERROR(__xludf.DUMMYFUNCTION("""COMPUTED_VALUE"""),"https://drive.google.com/file/d/18RlakM9xojyqEQ76f0G28Nnp17bX_Uz7/view?usp=drivesdk")</f>
        <v>https://drive.google.com/file/d/18RlakM9xojyqEQ76f0G28Nnp17bX_Uz7/view?usp=drivesdk</v>
      </c>
    </row>
    <row r="7516">
      <c r="A7516" s="15">
        <f>IFERROR(__xludf.DUMMYFUNCTION("""COMPUTED_VALUE"""),45211.0)</f>
        <v>45211</v>
      </c>
      <c r="B7516" s="16" t="str">
        <f>IFERROR(__xludf.DUMMYFUNCTION("""COMPUTED_VALUE"""),"Julian Calderon Rodriguez ")</f>
        <v>Julian Calderon Rodriguez </v>
      </c>
      <c r="C7516" s="15" t="str">
        <f>IFERROR(__xludf.DUMMYFUNCTION("""COMPUTED_VALUE"""),"VILLAVICENCIO")</f>
        <v>VILLAVICENCIO</v>
      </c>
      <c r="D7516" s="15" t="str">
        <f>IFERROR(__xludf.DUMMYFUNCTION("""COMPUTED_VALUE"""),"BOGOTÁ")</f>
        <v>BOGOTÁ</v>
      </c>
      <c r="E7516" s="15" t="str">
        <f>IFERROR(__xludf.DUMMYFUNCTION("""COMPUTED_VALUE"""),"Evamazzita")</f>
        <v>Evamazzita</v>
      </c>
      <c r="F7516" s="17" t="str">
        <f>IFERROR(__xludf.DUMMYFUNCTION("""COMPUTED_VALUE"""),"Diagonal al conjunto sabana grande Super manzana 2 Sección 2 / Detras de la Iglesia católica barrio San Antonio santa Laura montoya")</f>
        <v>Diagonal al conjunto sabana grande Super manzana 2 Sección 2 / Detras de la Iglesia católica barrio San Antonio santa Laura montoya</v>
      </c>
      <c r="G7516" s="15" t="str">
        <f>IFERROR(__xludf.DUMMYFUNCTION("""COMPUTED_VALUE"""),"LAURA MARIA ARGÜELLO PERDOMO")</f>
        <v>LAURA MARIA ARGÜELLO PERDOMO</v>
      </c>
      <c r="H7516" s="16">
        <f>IFERROR(__xludf.DUMMYFUNCTION("""COMPUTED_VALUE"""),16237.0)</f>
        <v>16237</v>
      </c>
      <c r="I7516" s="18">
        <f>IFERROR(__xludf.DUMMYFUNCTION("""COMPUTED_VALUE"""),1.0)</f>
        <v>1</v>
      </c>
      <c r="J7516" s="18">
        <f>IFERROR(__xludf.DUMMYFUNCTION("""COMPUTED_VALUE"""),1.0)</f>
        <v>1</v>
      </c>
      <c r="K7516" s="18">
        <f>IFERROR(__xludf.DUMMYFUNCTION("""COMPUTED_VALUE"""),1.0)</f>
        <v>1</v>
      </c>
      <c r="L7516" s="17">
        <f>IFERROR(__xludf.DUMMYFUNCTION("""COMPUTED_VALUE"""),3.21260194E9)</f>
        <v>3212601940</v>
      </c>
      <c r="M7516" s="17"/>
      <c r="N7516" s="17"/>
      <c r="O7516" s="17"/>
      <c r="P7516" s="17" t="b">
        <f>IFERROR(__xludf.DUMMYFUNCTION("""COMPUTED_VALUE"""),FALSE)</f>
        <v>0</v>
      </c>
      <c r="Q7516" s="20" t="str">
        <f>IFERROR(__xludf.DUMMYFUNCTION("""COMPUTED_VALUE"""),"")</f>
        <v/>
      </c>
      <c r="R7516" s="22" t="str">
        <f>IFERROR(__xludf.DUMMYFUNCTION("""COMPUTED_VALUE"""),"")</f>
        <v/>
      </c>
    </row>
    <row r="7517">
      <c r="A7517" s="17" t="str">
        <f>IFERROR(__xludf.DUMMYFUNCTION("""COMPUTED_VALUE"""),"")</f>
        <v/>
      </c>
      <c r="B7517" s="17" t="str">
        <f>IFERROR(__xludf.DUMMYFUNCTION("""COMPUTED_VALUE"""),"")</f>
        <v/>
      </c>
      <c r="C7517" s="17" t="str">
        <f>IFERROR(__xludf.DUMMYFUNCTION("""COMPUTED_VALUE"""),"")</f>
        <v/>
      </c>
      <c r="D7517" s="17" t="str">
        <f>IFERROR(__xludf.DUMMYFUNCTION("""COMPUTED_VALUE"""),"")</f>
        <v/>
      </c>
      <c r="E7517" s="17" t="str">
        <f>IFERROR(__xludf.DUMMYFUNCTION("""COMPUTED_VALUE"""),"")</f>
        <v/>
      </c>
      <c r="F7517" s="17" t="str">
        <f>IFERROR(__xludf.DUMMYFUNCTION("""COMPUTED_VALUE"""),"")</f>
        <v/>
      </c>
      <c r="G7517" s="17" t="str">
        <f>IFERROR(__xludf.DUMMYFUNCTION("""COMPUTED_VALUE"""),"")</f>
        <v/>
      </c>
      <c r="H7517" s="17" t="str">
        <f>IFERROR(__xludf.DUMMYFUNCTION("""COMPUTED_VALUE"""),"")</f>
        <v/>
      </c>
      <c r="I7517" s="17" t="str">
        <f>IFERROR(__xludf.DUMMYFUNCTION("""COMPUTED_VALUE"""),"")</f>
        <v/>
      </c>
      <c r="J7517" s="17" t="str">
        <f>IFERROR(__xludf.DUMMYFUNCTION("""COMPUTED_VALUE"""),"")</f>
        <v/>
      </c>
      <c r="K7517" s="17" t="str">
        <f>IFERROR(__xludf.DUMMYFUNCTION("""COMPUTED_VALUE"""),"")</f>
        <v/>
      </c>
      <c r="L7517" s="17" t="str">
        <f>IFERROR(__xludf.DUMMYFUNCTION("""COMPUTED_VALUE"""),"")</f>
        <v/>
      </c>
      <c r="M7517" s="17" t="str">
        <f>IFERROR(__xludf.DUMMYFUNCTION("""COMPUTED_VALUE"""),"")</f>
        <v/>
      </c>
      <c r="N7517" s="17" t="str">
        <f>IFERROR(__xludf.DUMMYFUNCTION("""COMPUTED_VALUE"""),"")</f>
        <v/>
      </c>
      <c r="O7517" s="17" t="str">
        <f>IFERROR(__xludf.DUMMYFUNCTION("""COMPUTED_VALUE"""),"")</f>
        <v/>
      </c>
      <c r="P7517" s="17" t="str">
        <f>IFERROR(__xludf.DUMMYFUNCTION("""COMPUTED_VALUE"""),"")</f>
        <v/>
      </c>
      <c r="Q7517" s="17" t="str">
        <f>IFERROR(__xludf.DUMMYFUNCTION("""COMPUTED_VALUE"""),"")</f>
        <v/>
      </c>
      <c r="R7517" s="17" t="str">
        <f>IFERROR(__xludf.DUMMYFUNCTION("""COMPUTED_VALUE"""),"")</f>
        <v/>
      </c>
    </row>
    <row r="7518">
      <c r="A7518" s="15">
        <f>IFERROR(__xludf.DUMMYFUNCTION("""COMPUTED_VALUE"""),45211.0)</f>
        <v>45211</v>
      </c>
      <c r="B7518" s="16" t="str">
        <f>IFERROR(__xludf.DUMMYFUNCTION("""COMPUTED_VALUE"""),"Orlando Urdaneta Rincon ")</f>
        <v>Orlando Urdaneta Rincon </v>
      </c>
      <c r="C7518" s="15" t="str">
        <f>IFERROR(__xludf.DUMMYFUNCTION("""COMPUTED_VALUE"""),"BOGOTÁ")</f>
        <v>BOGOTÁ</v>
      </c>
      <c r="D7518" s="15" t="str">
        <f>IFERROR(__xludf.DUMMYFUNCTION("""COMPUTED_VALUE"""),"MEDELLÍN")</f>
        <v>MEDELLÍN</v>
      </c>
      <c r="E7518" s="15" t="str">
        <f>IFERROR(__xludf.DUMMYFUNCTION("""COMPUTED_VALUE"""),"The Smoked House")</f>
        <v>The Smoked House</v>
      </c>
      <c r="F7518" s="17" t="str">
        <f>IFERROR(__xludf.DUMMYFUNCTION("""COMPUTED_VALUE"""),"Cra 49#238-60 / Hacienda San Simon, Alcaparro, casa 10 / Hacienda San Simon")</f>
        <v>Cra 49#238-60 / Hacienda San Simon, Alcaparro, casa 10 / Hacienda San Simon</v>
      </c>
      <c r="G7518" s="15" t="str">
        <f>IFERROR(__xludf.DUMMYFUNCTION("""COMPUTED_VALUE"""),"Mónica bensour")</f>
        <v>Mónica bensour</v>
      </c>
      <c r="H7518" s="16">
        <f>IFERROR(__xludf.DUMMYFUNCTION("""COMPUTED_VALUE"""),16225.0)</f>
        <v>16225</v>
      </c>
      <c r="I7518" s="18">
        <f>IFERROR(__xludf.DUMMYFUNCTION("""COMPUTED_VALUE"""),35.0)</f>
        <v>35</v>
      </c>
      <c r="J7518" s="18">
        <f>IFERROR(__xludf.DUMMYFUNCTION("""COMPUTED_VALUE"""),44.0)</f>
        <v>44</v>
      </c>
      <c r="K7518" s="18">
        <f>IFERROR(__xludf.DUMMYFUNCTION("""COMPUTED_VALUE"""),18.0)</f>
        <v>18</v>
      </c>
      <c r="L7518" s="17">
        <f>IFERROR(__xludf.DUMMYFUNCTION("""COMPUTED_VALUE"""),3.158825395E9)</f>
        <v>3158825395</v>
      </c>
      <c r="M7518" s="17"/>
      <c r="N7518" s="17"/>
      <c r="O7518" s="17"/>
      <c r="P7518" s="17" t="b">
        <f>IFERROR(__xludf.DUMMYFUNCTION("""COMPUTED_VALUE"""),FALSE)</f>
        <v>0</v>
      </c>
      <c r="Q7518" s="20" t="str">
        <f>IFERROR(__xludf.DUMMYFUNCTION("""COMPUTED_VALUE"""),"")</f>
        <v/>
      </c>
      <c r="R7518" s="22" t="str">
        <f>IFERROR(__xludf.DUMMYFUNCTION("""COMPUTED_VALUE"""),"")</f>
        <v/>
      </c>
    </row>
    <row r="7519">
      <c r="A7519" s="15">
        <f>IFERROR(__xludf.DUMMYFUNCTION("""COMPUTED_VALUE"""),45211.0)</f>
        <v>45211</v>
      </c>
      <c r="B7519" s="16" t="str">
        <f>IFERROR(__xludf.DUMMYFUNCTION("""COMPUTED_VALUE"""),"Orlando Urdaneta Rincon ")</f>
        <v>Orlando Urdaneta Rincon </v>
      </c>
      <c r="C7519" s="15" t="str">
        <f>IFERROR(__xludf.DUMMYFUNCTION("""COMPUTED_VALUE"""),"SANTA MARTA")</f>
        <v>SANTA MARTA</v>
      </c>
      <c r="D7519" s="15" t="str">
        <f>IFERROR(__xludf.DUMMYFUNCTION("""COMPUTED_VALUE"""),"BOGOTÁ")</f>
        <v>BOGOTÁ</v>
      </c>
      <c r="E7519" s="15" t="str">
        <f>IFERROR(__xludf.DUMMYFUNCTION("""COMPUTED_VALUE"""),"Evamazzita")</f>
        <v>Evamazzita</v>
      </c>
      <c r="F7519" s="17" t="str">
        <f>IFERROR(__xludf.DUMMYFUNCTION("""COMPUTED_VALUE"""),"Cra 30 A calle 29k 4-14 / Santana")</f>
        <v>Cra 30 A calle 29k 4-14 / Santana</v>
      </c>
      <c r="G7519" s="15" t="str">
        <f>IFERROR(__xludf.DUMMYFUNCTION("""COMPUTED_VALUE"""),"ANDREA CAROLINA MENDOZA BARROS")</f>
        <v>ANDREA CAROLINA MENDOZA BARROS</v>
      </c>
      <c r="H7519" s="16">
        <f>IFERROR(__xludf.DUMMYFUNCTION("""COMPUTED_VALUE"""),16231.0)</f>
        <v>16231</v>
      </c>
      <c r="I7519" s="18">
        <f>IFERROR(__xludf.DUMMYFUNCTION("""COMPUTED_VALUE"""),1.0)</f>
        <v>1</v>
      </c>
      <c r="J7519" s="18">
        <f>IFERROR(__xludf.DUMMYFUNCTION("""COMPUTED_VALUE"""),1.0)</f>
        <v>1</v>
      </c>
      <c r="K7519" s="18">
        <f>IFERROR(__xludf.DUMMYFUNCTION("""COMPUTED_VALUE"""),1.0)</f>
        <v>1</v>
      </c>
      <c r="L7519" s="17">
        <f>IFERROR(__xludf.DUMMYFUNCTION("""COMPUTED_VALUE"""),3.043615278E9)</f>
        <v>3043615278</v>
      </c>
      <c r="M7519" s="17"/>
      <c r="N7519" s="17"/>
      <c r="O7519" s="17"/>
      <c r="P7519" s="17" t="b">
        <f>IFERROR(__xludf.DUMMYFUNCTION("""COMPUTED_VALUE"""),FALSE)</f>
        <v>0</v>
      </c>
      <c r="Q7519" s="20" t="str">
        <f>IFERROR(__xludf.DUMMYFUNCTION("""COMPUTED_VALUE"""),"")</f>
        <v/>
      </c>
      <c r="R7519" s="21" t="str">
        <f>IFERROR(__xludf.DUMMYFUNCTION("""COMPUTED_VALUE"""),"https://drive.google.com/file/d/1DLkLwH7lQ6v21_tQ_NrLj2-NOsHWbK1C/view?usp=drivesdk")</f>
        <v>https://drive.google.com/file/d/1DLkLwH7lQ6v21_tQ_NrLj2-NOsHWbK1C/view?usp=drivesdk</v>
      </c>
    </row>
    <row r="7520">
      <c r="A7520" s="15">
        <f>IFERROR(__xludf.DUMMYFUNCTION("""COMPUTED_VALUE"""),45211.0)</f>
        <v>45211</v>
      </c>
      <c r="B7520" s="16" t="str">
        <f>IFERROR(__xludf.DUMMYFUNCTION("""COMPUTED_VALUE"""),"Orlando Urdaneta Rincon ")</f>
        <v>Orlando Urdaneta Rincon </v>
      </c>
      <c r="C7520" s="15" t="str">
        <f>IFERROR(__xludf.DUMMYFUNCTION("""COMPUTED_VALUE"""),"SANTA MARTA")</f>
        <v>SANTA MARTA</v>
      </c>
      <c r="D7520" s="15" t="str">
        <f>IFERROR(__xludf.DUMMYFUNCTION("""COMPUTED_VALUE"""),"BOGOTÁ")</f>
        <v>BOGOTÁ</v>
      </c>
      <c r="E7520" s="15" t="str">
        <f>IFERROR(__xludf.DUMMYFUNCTION("""COMPUTED_VALUE"""),"Evamazzita")</f>
        <v>Evamazzita</v>
      </c>
      <c r="F7520" s="17" t="str">
        <f>IFERROR(__xludf.DUMMYFUNCTION("""COMPUTED_VALUE"""),"MANZANA 8 CASA 5 / URBANIZACION SIERRA DENTRO")</f>
        <v>MANZANA 8 CASA 5 / URBANIZACION SIERRA DENTRO</v>
      </c>
      <c r="G7520" s="15" t="str">
        <f>IFERROR(__xludf.DUMMYFUNCTION("""COMPUTED_VALUE"""),"YULIANA MOSQUERA CASTAÑO")</f>
        <v>YULIANA MOSQUERA CASTAÑO</v>
      </c>
      <c r="H7520" s="16">
        <f>IFERROR(__xludf.DUMMYFUNCTION("""COMPUTED_VALUE"""),16232.0)</f>
        <v>16232</v>
      </c>
      <c r="I7520" s="18">
        <f>IFERROR(__xludf.DUMMYFUNCTION("""COMPUTED_VALUE"""),1.0)</f>
        <v>1</v>
      </c>
      <c r="J7520" s="18">
        <f>IFERROR(__xludf.DUMMYFUNCTION("""COMPUTED_VALUE"""),1.0)</f>
        <v>1</v>
      </c>
      <c r="K7520" s="18">
        <f>IFERROR(__xludf.DUMMYFUNCTION("""COMPUTED_VALUE"""),1.0)</f>
        <v>1</v>
      </c>
      <c r="L7520" s="17">
        <f>IFERROR(__xludf.DUMMYFUNCTION("""COMPUTED_VALUE"""),3.123318584E9)</f>
        <v>3123318584</v>
      </c>
      <c r="M7520" s="17"/>
      <c r="N7520" s="17"/>
      <c r="O7520" s="17"/>
      <c r="P7520" s="17" t="b">
        <f>IFERROR(__xludf.DUMMYFUNCTION("""COMPUTED_VALUE"""),FALSE)</f>
        <v>0</v>
      </c>
      <c r="Q7520" s="20" t="str">
        <f>IFERROR(__xludf.DUMMYFUNCTION("""COMPUTED_VALUE"""),"")</f>
        <v/>
      </c>
      <c r="R7520" s="21" t="str">
        <f>IFERROR(__xludf.DUMMYFUNCTION("""COMPUTED_VALUE"""),"https://drive.google.com/file/d/1mfxGDTz7pZ2zbIneaE44G4UwcGGJdWD7/view?usp=drivesdk")</f>
        <v>https://drive.google.com/file/d/1mfxGDTz7pZ2zbIneaE44G4UwcGGJdWD7/view?usp=drivesdk</v>
      </c>
    </row>
    <row r="7521">
      <c r="A7521" s="17" t="str">
        <f>IFERROR(__xludf.DUMMYFUNCTION("""COMPUTED_VALUE"""),"")</f>
        <v/>
      </c>
      <c r="B7521" s="17" t="str">
        <f>IFERROR(__xludf.DUMMYFUNCTION("""COMPUTED_VALUE"""),"")</f>
        <v/>
      </c>
      <c r="C7521" s="17" t="str">
        <f>IFERROR(__xludf.DUMMYFUNCTION("""COMPUTED_VALUE"""),"")</f>
        <v/>
      </c>
      <c r="D7521" s="17" t="str">
        <f>IFERROR(__xludf.DUMMYFUNCTION("""COMPUTED_VALUE"""),"")</f>
        <v/>
      </c>
      <c r="E7521" s="17" t="str">
        <f>IFERROR(__xludf.DUMMYFUNCTION("""COMPUTED_VALUE"""),"")</f>
        <v/>
      </c>
      <c r="F7521" s="17" t="str">
        <f>IFERROR(__xludf.DUMMYFUNCTION("""COMPUTED_VALUE"""),"")</f>
        <v/>
      </c>
      <c r="G7521" s="17" t="str">
        <f>IFERROR(__xludf.DUMMYFUNCTION("""COMPUTED_VALUE"""),"")</f>
        <v/>
      </c>
      <c r="H7521" s="17" t="str">
        <f>IFERROR(__xludf.DUMMYFUNCTION("""COMPUTED_VALUE"""),"")</f>
        <v/>
      </c>
      <c r="I7521" s="17" t="str">
        <f>IFERROR(__xludf.DUMMYFUNCTION("""COMPUTED_VALUE"""),"")</f>
        <v/>
      </c>
      <c r="J7521" s="17" t="str">
        <f>IFERROR(__xludf.DUMMYFUNCTION("""COMPUTED_VALUE"""),"")</f>
        <v/>
      </c>
      <c r="K7521" s="17" t="str">
        <f>IFERROR(__xludf.DUMMYFUNCTION("""COMPUTED_VALUE"""),"")</f>
        <v/>
      </c>
      <c r="L7521" s="17" t="str">
        <f>IFERROR(__xludf.DUMMYFUNCTION("""COMPUTED_VALUE"""),"")</f>
        <v/>
      </c>
      <c r="M7521" s="17" t="str">
        <f>IFERROR(__xludf.DUMMYFUNCTION("""COMPUTED_VALUE"""),"")</f>
        <v/>
      </c>
      <c r="N7521" s="17" t="str">
        <f>IFERROR(__xludf.DUMMYFUNCTION("""COMPUTED_VALUE"""),"")</f>
        <v/>
      </c>
      <c r="O7521" s="17" t="str">
        <f>IFERROR(__xludf.DUMMYFUNCTION("""COMPUTED_VALUE"""),"")</f>
        <v/>
      </c>
      <c r="P7521" s="17" t="str">
        <f>IFERROR(__xludf.DUMMYFUNCTION("""COMPUTED_VALUE"""),"")</f>
        <v/>
      </c>
      <c r="Q7521" s="17" t="str">
        <f>IFERROR(__xludf.DUMMYFUNCTION("""COMPUTED_VALUE"""),"")</f>
        <v/>
      </c>
      <c r="R7521" s="17" t="str">
        <f>IFERROR(__xludf.DUMMYFUNCTION("""COMPUTED_VALUE"""),"")</f>
        <v/>
      </c>
    </row>
    <row r="7522">
      <c r="A7522" s="15">
        <f>IFERROR(__xludf.DUMMYFUNCTION("""COMPUTED_VALUE"""),45211.0)</f>
        <v>45211</v>
      </c>
      <c r="B7522" s="16" t="str">
        <f>IFERROR(__xludf.DUMMYFUNCTION("""COMPUTED_VALUE"""),"Santiago Garces Restrepo")</f>
        <v>Santiago Garces Restrepo</v>
      </c>
      <c r="C7522" s="15" t="str">
        <f>IFERROR(__xludf.DUMMYFUNCTION("""COMPUTED_VALUE"""),"CALI")</f>
        <v>CALI</v>
      </c>
      <c r="D7522" s="15" t="str">
        <f>IFERROR(__xludf.DUMMYFUNCTION("""COMPUTED_VALUE"""),"BOGOTÁ")</f>
        <v>BOGOTÁ</v>
      </c>
      <c r="E7522" s="15" t="str">
        <f>IFERROR(__xludf.DUMMYFUNCTION("""COMPUTED_VALUE"""),"Karem foods")</f>
        <v>Karem foods</v>
      </c>
      <c r="F7522" s="17" t="str">
        <f>IFERROR(__xludf.DUMMYFUNCTION("""COMPUTED_VALUE"""),"Calle 8 #20a-190 / unidad Guatavita Torre 3 apto 10-05 Yumbo Ciudad guabinas / -")</f>
        <v>Calle 8 #20a-190 / unidad Guatavita Torre 3 apto 10-05 Yumbo Ciudad guabinas / -</v>
      </c>
      <c r="G7522" s="15" t="str">
        <f>IFERROR(__xludf.DUMMYFUNCTION("""COMPUTED_VALUE"""),"Karen Montes")</f>
        <v>Karen Montes</v>
      </c>
      <c r="H7522" s="16">
        <f>IFERROR(__xludf.DUMMYFUNCTION("""COMPUTED_VALUE"""),16223.0)</f>
        <v>16223</v>
      </c>
      <c r="I7522" s="18">
        <f>IFERROR(__xludf.DUMMYFUNCTION("""COMPUTED_VALUE"""),7.0)</f>
        <v>7</v>
      </c>
      <c r="J7522" s="18">
        <f>IFERROR(__xludf.DUMMYFUNCTION("""COMPUTED_VALUE"""),20.0)</f>
        <v>20</v>
      </c>
      <c r="K7522" s="18">
        <f>IFERROR(__xludf.DUMMYFUNCTION("""COMPUTED_VALUE"""),20.0)</f>
        <v>20</v>
      </c>
      <c r="L7522" s="17">
        <f>IFERROR(__xludf.DUMMYFUNCTION("""COMPUTED_VALUE"""),3.116124085E9)</f>
        <v>3116124085</v>
      </c>
      <c r="M7522" s="17"/>
      <c r="N7522" s="17"/>
      <c r="O7522" s="17"/>
      <c r="P7522" s="17" t="b">
        <f>IFERROR(__xludf.DUMMYFUNCTION("""COMPUTED_VALUE"""),FALSE)</f>
        <v>0</v>
      </c>
      <c r="Q7522" s="20" t="str">
        <f>IFERROR(__xludf.DUMMYFUNCTION("""COMPUTED_VALUE"""),"")</f>
        <v/>
      </c>
      <c r="R7522" s="21" t="str">
        <f>IFERROR(__xludf.DUMMYFUNCTION("""COMPUTED_VALUE"""),"https://drive.google.com/file/d/16t_tFnVsPf9h0pKRo7oE5qbGZS1y8CMn/view?usp=drivesdk")</f>
        <v>https://drive.google.com/file/d/16t_tFnVsPf9h0pKRo7oE5qbGZS1y8CMn/view?usp=drivesdk</v>
      </c>
    </row>
    <row r="7523">
      <c r="A7523" s="15">
        <f>IFERROR(__xludf.DUMMYFUNCTION("""COMPUTED_VALUE"""),45211.0)</f>
        <v>45211</v>
      </c>
      <c r="B7523" s="16" t="str">
        <f>IFERROR(__xludf.DUMMYFUNCTION("""COMPUTED_VALUE"""),"Santiago Garces Restrepo")</f>
        <v>Santiago Garces Restrepo</v>
      </c>
      <c r="C7523" s="15" t="str">
        <f>IFERROR(__xludf.DUMMYFUNCTION("""COMPUTED_VALUE"""),"SINCELEJO")</f>
        <v>SINCELEJO</v>
      </c>
      <c r="D7523" s="15" t="str">
        <f>IFERROR(__xludf.DUMMYFUNCTION("""COMPUTED_VALUE"""),"MEDELLÍN")</f>
        <v>MEDELLÍN</v>
      </c>
      <c r="E7523" s="15" t="str">
        <f>IFERROR(__xludf.DUMMYFUNCTION("""COMPUTED_VALUE"""),"Rambla")</f>
        <v>Rambla</v>
      </c>
      <c r="F7523" s="17" t="str">
        <f>IFERROR(__xludf.DUMMYFUNCTION("""COMPUTED_VALUE"""),"calle 32 #33 -119 local 101 cc living mall brr vene / - / -")</f>
        <v>calle 32 #33 -119 local 101 cc living mall brr vene / - / -</v>
      </c>
      <c r="G7523" s="15" t="str">
        <f>IFERROR(__xludf.DUMMYFUNCTION("""COMPUTED_VALUE"""),"Oliva")</f>
        <v>Oliva</v>
      </c>
      <c r="H7523" s="16">
        <f>IFERROR(__xludf.DUMMYFUNCTION("""COMPUTED_VALUE"""),16259.0)</f>
        <v>16259</v>
      </c>
      <c r="I7523" s="18">
        <f>IFERROR(__xludf.DUMMYFUNCTION("""COMPUTED_VALUE"""),26.0)</f>
        <v>26</v>
      </c>
      <c r="J7523" s="18">
        <f>IFERROR(__xludf.DUMMYFUNCTION("""COMPUTED_VALUE"""),26.0)</f>
        <v>26</v>
      </c>
      <c r="K7523" s="18">
        <f>IFERROR(__xludf.DUMMYFUNCTION("""COMPUTED_VALUE"""),25.0)</f>
        <v>25</v>
      </c>
      <c r="L7523" s="17">
        <f>IFERROR(__xludf.DUMMYFUNCTION("""COMPUTED_VALUE"""),3.022293728E9)</f>
        <v>3022293728</v>
      </c>
      <c r="M7523" s="17"/>
      <c r="N7523" s="17"/>
      <c r="O7523" s="17"/>
      <c r="P7523" s="17" t="b">
        <f>IFERROR(__xludf.DUMMYFUNCTION("""COMPUTED_VALUE"""),FALSE)</f>
        <v>0</v>
      </c>
      <c r="Q7523" s="20" t="str">
        <f>IFERROR(__xludf.DUMMYFUNCTION("""COMPUTED_VALUE"""),"")</f>
        <v/>
      </c>
      <c r="R7523" s="21" t="str">
        <f>IFERROR(__xludf.DUMMYFUNCTION("""COMPUTED_VALUE"""),"https://drive.google.com/file/d/1czJdHCV4NLMTNsSCazgFK9-L1WlrQFL5/view?usp=drivesdk")</f>
        <v>https://drive.google.com/file/d/1czJdHCV4NLMTNsSCazgFK9-L1WlrQFL5/view?usp=drivesdk</v>
      </c>
    </row>
    <row r="7524">
      <c r="A7524" s="17" t="str">
        <f>IFERROR(__xludf.DUMMYFUNCTION("""COMPUTED_VALUE"""),"")</f>
        <v/>
      </c>
      <c r="B7524" s="17" t="str">
        <f>IFERROR(__xludf.DUMMYFUNCTION("""COMPUTED_VALUE"""),"")</f>
        <v/>
      </c>
      <c r="C7524" s="17" t="str">
        <f>IFERROR(__xludf.DUMMYFUNCTION("""COMPUTED_VALUE"""),"")</f>
        <v/>
      </c>
      <c r="D7524" s="17" t="str">
        <f>IFERROR(__xludf.DUMMYFUNCTION("""COMPUTED_VALUE"""),"")</f>
        <v/>
      </c>
      <c r="E7524" s="17" t="str">
        <f>IFERROR(__xludf.DUMMYFUNCTION("""COMPUTED_VALUE"""),"")</f>
        <v/>
      </c>
      <c r="F7524" s="17" t="str">
        <f>IFERROR(__xludf.DUMMYFUNCTION("""COMPUTED_VALUE"""),"")</f>
        <v/>
      </c>
      <c r="G7524" s="17" t="str">
        <f>IFERROR(__xludf.DUMMYFUNCTION("""COMPUTED_VALUE"""),"")</f>
        <v/>
      </c>
      <c r="H7524" s="17" t="str">
        <f>IFERROR(__xludf.DUMMYFUNCTION("""COMPUTED_VALUE"""),"")</f>
        <v/>
      </c>
      <c r="I7524" s="17" t="str">
        <f>IFERROR(__xludf.DUMMYFUNCTION("""COMPUTED_VALUE"""),"")</f>
        <v/>
      </c>
      <c r="J7524" s="17" t="str">
        <f>IFERROR(__xludf.DUMMYFUNCTION("""COMPUTED_VALUE"""),"")</f>
        <v/>
      </c>
      <c r="K7524" s="17" t="str">
        <f>IFERROR(__xludf.DUMMYFUNCTION("""COMPUTED_VALUE"""),"")</f>
        <v/>
      </c>
      <c r="L7524" s="17" t="str">
        <f>IFERROR(__xludf.DUMMYFUNCTION("""COMPUTED_VALUE"""),"")</f>
        <v/>
      </c>
      <c r="M7524" s="17" t="str">
        <f>IFERROR(__xludf.DUMMYFUNCTION("""COMPUTED_VALUE"""),"")</f>
        <v/>
      </c>
      <c r="N7524" s="17" t="str">
        <f>IFERROR(__xludf.DUMMYFUNCTION("""COMPUTED_VALUE"""),"")</f>
        <v/>
      </c>
      <c r="O7524" s="17" t="str">
        <f>IFERROR(__xludf.DUMMYFUNCTION("""COMPUTED_VALUE"""),"")</f>
        <v/>
      </c>
      <c r="P7524" s="17" t="str">
        <f>IFERROR(__xludf.DUMMYFUNCTION("""COMPUTED_VALUE"""),"")</f>
        <v/>
      </c>
      <c r="Q7524" s="17" t="str">
        <f>IFERROR(__xludf.DUMMYFUNCTION("""COMPUTED_VALUE"""),"")</f>
        <v/>
      </c>
      <c r="R7524" s="17" t="str">
        <f>IFERROR(__xludf.DUMMYFUNCTION("""COMPUTED_VALUE"""),"")</f>
        <v/>
      </c>
    </row>
    <row r="7525">
      <c r="A7525" s="15">
        <f>IFERROR(__xludf.DUMMYFUNCTION("""COMPUTED_VALUE"""),45212.0)</f>
        <v>45212</v>
      </c>
      <c r="B7525" s="17"/>
      <c r="C7525" s="15" t="str">
        <f>IFERROR(__xludf.DUMMYFUNCTION("""COMPUTED_VALUE"""),"BOGOTÁ")</f>
        <v>BOGOTÁ</v>
      </c>
      <c r="D7525" s="15" t="str">
        <f>IFERROR(__xludf.DUMMYFUNCTION("""COMPUTED_VALUE"""),"MEDELLÍN")</f>
        <v>MEDELLÍN</v>
      </c>
      <c r="E7525" s="15" t="str">
        <f>IFERROR(__xludf.DUMMYFUNCTION("""COMPUTED_VALUE"""),"Magda")</f>
        <v>Magda</v>
      </c>
      <c r="F7525" s="17" t="str">
        <f>IFERROR(__xludf.DUMMYFUNCTION("""COMPUTED_VALUE"""),"CALLE 71A #14a22-26 / COCINA OCULTA / BARRIO SAN FELIPE")</f>
        <v>CALLE 71A #14a22-26 / COCINA OCULTA / BARRIO SAN FELIPE</v>
      </c>
      <c r="G7525" s="15" t="str">
        <f>IFERROR(__xludf.DUMMYFUNCTION("""COMPUTED_VALUE"""),"DANILO ARDILLA")</f>
        <v>DANILO ARDILLA</v>
      </c>
      <c r="H7525" s="16">
        <f>IFERROR(__xludf.DUMMYFUNCTION("""COMPUTED_VALUE"""),16267.0)</f>
        <v>16267</v>
      </c>
      <c r="I7525" s="18">
        <f>IFERROR(__xludf.DUMMYFUNCTION("""COMPUTED_VALUE"""),232132.0)</f>
        <v>232132</v>
      </c>
      <c r="J7525" s="18">
        <f>IFERROR(__xludf.DUMMYFUNCTION("""COMPUTED_VALUE"""),231232.0)</f>
        <v>231232</v>
      </c>
      <c r="K7525" s="18">
        <f>IFERROR(__xludf.DUMMYFUNCTION("""COMPUTED_VALUE"""),231232.0)</f>
        <v>231232</v>
      </c>
      <c r="L7525" s="17">
        <f>IFERROR(__xludf.DUMMYFUNCTION("""COMPUTED_VALUE"""),3.0542691558E10)</f>
        <v>30542691558</v>
      </c>
      <c r="M7525" s="17"/>
      <c r="N7525" s="17"/>
      <c r="O7525" s="17"/>
      <c r="P7525" s="17" t="b">
        <f>IFERROR(__xludf.DUMMYFUNCTION("""COMPUTED_VALUE"""),TRUE)</f>
        <v>1</v>
      </c>
      <c r="Q7525" s="20">
        <f>IFERROR(__xludf.DUMMYFUNCTION("""COMPUTED_VALUE"""),45215.68285732639)</f>
        <v>45215.68286</v>
      </c>
      <c r="R7525" s="21" t="str">
        <f>IFERROR(__xludf.DUMMYFUNCTION("""COMPUTED_VALUE"""),"https://drive.google.com/file/d/1UiM6rymanhvSx27g66fCmIM_NS2Tapul/view?usp=drivesdk")</f>
        <v>https://drive.google.com/file/d/1UiM6rymanhvSx27g66fCmIM_NS2Tapul/view?usp=drivesdk</v>
      </c>
    </row>
    <row r="7526">
      <c r="A7526" s="15">
        <f>IFERROR(__xludf.DUMMYFUNCTION("""COMPUTED_VALUE"""),45212.0)</f>
        <v>45212</v>
      </c>
      <c r="B7526" s="17"/>
      <c r="C7526" s="15" t="str">
        <f>IFERROR(__xludf.DUMMYFUNCTION("""COMPUTED_VALUE"""),"CALI")</f>
        <v>CALI</v>
      </c>
      <c r="D7526" s="15" t="str">
        <f>IFERROR(__xludf.DUMMYFUNCTION("""COMPUTED_VALUE"""),"BOGOTÁ")</f>
        <v>BOGOTÁ</v>
      </c>
      <c r="E7526" s="15" t="str">
        <f>IFERROR(__xludf.DUMMYFUNCTION("""COMPUTED_VALUE"""),"Renata")</f>
        <v>Renata</v>
      </c>
      <c r="F7526" s="17" t="str">
        <f>IFERROR(__xludf.DUMMYFUNCTION("""COMPUTED_VALUE"""),"Carrera 3#3a-83 / Patio 34 food containers -restaurante  / San Fernando")</f>
        <v>Carrera 3#3a-83 / Patio 34 food containers -restaurante  / San Fernando</v>
      </c>
      <c r="G7526" s="15" t="str">
        <f>IFERROR(__xludf.DUMMYFUNCTION("""COMPUTED_VALUE"""),"Retaco sas")</f>
        <v>Retaco sas</v>
      </c>
      <c r="H7526" s="16">
        <f>IFERROR(__xludf.DUMMYFUNCTION("""COMPUTED_VALUE"""),16270.0)</f>
        <v>16270</v>
      </c>
      <c r="I7526" s="18">
        <f>IFERROR(__xludf.DUMMYFUNCTION("""COMPUTED_VALUE"""),90.0)</f>
        <v>90</v>
      </c>
      <c r="J7526" s="18">
        <f>IFERROR(__xludf.DUMMYFUNCTION("""COMPUTED_VALUE"""),70.0)</f>
        <v>70</v>
      </c>
      <c r="K7526" s="18">
        <f>IFERROR(__xludf.DUMMYFUNCTION("""COMPUTED_VALUE"""),60.0)</f>
        <v>60</v>
      </c>
      <c r="L7526" s="17">
        <f>IFERROR(__xludf.DUMMYFUNCTION("""COMPUTED_VALUE"""),3.134720976E9)</f>
        <v>3134720976</v>
      </c>
      <c r="M7526" s="17"/>
      <c r="N7526" s="17"/>
      <c r="O7526" s="17"/>
      <c r="P7526" s="17" t="b">
        <f>IFERROR(__xludf.DUMMYFUNCTION("""COMPUTED_VALUE"""),FALSE)</f>
        <v>0</v>
      </c>
      <c r="Q7526" s="20" t="str">
        <f>IFERROR(__xludf.DUMMYFUNCTION("""COMPUTED_VALUE"""),"")</f>
        <v/>
      </c>
      <c r="R7526" s="21" t="str">
        <f>IFERROR(__xludf.DUMMYFUNCTION("""COMPUTED_VALUE"""),"https://drive.google.com/file/d/1EPnaibJ7BgIs5YN6utA_QIHs-sHHZAFs/view?usp=drivesdk")</f>
        <v>https://drive.google.com/file/d/1EPnaibJ7BgIs5YN6utA_QIHs-sHHZAFs/view?usp=drivesdk</v>
      </c>
    </row>
    <row r="7527">
      <c r="A7527" s="15">
        <f>IFERROR(__xludf.DUMMYFUNCTION("""COMPUTED_VALUE"""),45212.0)</f>
        <v>45212</v>
      </c>
      <c r="B7527" s="17"/>
      <c r="C7527" s="15" t="str">
        <f>IFERROR(__xludf.DUMMYFUNCTION("""COMPUTED_VALUE"""),"CÚCUTA")</f>
        <v>CÚCUTA</v>
      </c>
      <c r="D7527" s="15" t="str">
        <f>IFERROR(__xludf.DUMMYFUNCTION("""COMPUTED_VALUE"""),"MEDELLÍN")</f>
        <v>MEDELLÍN</v>
      </c>
      <c r="E7527" s="15" t="str">
        <f>IFERROR(__xludf.DUMMYFUNCTION("""COMPUTED_VALUE"""),"Rambla")</f>
        <v>Rambla</v>
      </c>
      <c r="F7527" s="17" t="str">
        <f>IFERROR(__xludf.DUMMYFUNCTION("""COMPUTED_VALUE"""),"Av 9e # 7-12 la Riviera / - / -")</f>
        <v>Av 9e # 7-12 la Riviera / - / -</v>
      </c>
      <c r="G7527" s="15" t="str">
        <f>IFERROR(__xludf.DUMMYFUNCTION("""COMPUTED_VALUE"""),"Sexto Sentido")</f>
        <v>Sexto Sentido</v>
      </c>
      <c r="H7527" s="16">
        <f>IFERROR(__xludf.DUMMYFUNCTION("""COMPUTED_VALUE"""),16260.0)</f>
        <v>16260</v>
      </c>
      <c r="I7527" s="18">
        <f>IFERROR(__xludf.DUMMYFUNCTION("""COMPUTED_VALUE"""),26.0)</f>
        <v>26</v>
      </c>
      <c r="J7527" s="18">
        <f>IFERROR(__xludf.DUMMYFUNCTION("""COMPUTED_VALUE"""),24.0)</f>
        <v>24</v>
      </c>
      <c r="K7527" s="18">
        <f>IFERROR(__xludf.DUMMYFUNCTION("""COMPUTED_VALUE"""),24.0)</f>
        <v>24</v>
      </c>
      <c r="L7527" s="17">
        <f>IFERROR(__xludf.DUMMYFUNCTION("""COMPUTED_VALUE"""),3.154996494E9)</f>
        <v>3154996494</v>
      </c>
      <c r="M7527" s="17"/>
      <c r="N7527" s="17"/>
      <c r="O7527" s="17"/>
      <c r="P7527" s="17" t="b">
        <f>IFERROR(__xludf.DUMMYFUNCTION("""COMPUTED_VALUE"""),FALSE)</f>
        <v>0</v>
      </c>
      <c r="Q7527" s="20" t="str">
        <f>IFERROR(__xludf.DUMMYFUNCTION("""COMPUTED_VALUE"""),"")</f>
        <v/>
      </c>
      <c r="R7527" s="21" t="str">
        <f>IFERROR(__xludf.DUMMYFUNCTION("""COMPUTED_VALUE"""),"https://drive.google.com/file/d/1pQGJFk1ivOqgs6CPsBdURj-Kt4QY3k86/view?usp=drivesdk")</f>
        <v>https://drive.google.com/file/d/1pQGJFk1ivOqgs6CPsBdURj-Kt4QY3k86/view?usp=drivesdk</v>
      </c>
    </row>
    <row r="7528">
      <c r="A7528" s="17" t="str">
        <f>IFERROR(__xludf.DUMMYFUNCTION("""COMPUTED_VALUE"""),"")</f>
        <v/>
      </c>
      <c r="B7528" s="17" t="str">
        <f>IFERROR(__xludf.DUMMYFUNCTION("""COMPUTED_VALUE"""),"")</f>
        <v/>
      </c>
      <c r="C7528" s="17" t="str">
        <f>IFERROR(__xludf.DUMMYFUNCTION("""COMPUTED_VALUE"""),"")</f>
        <v/>
      </c>
      <c r="D7528" s="17" t="str">
        <f>IFERROR(__xludf.DUMMYFUNCTION("""COMPUTED_VALUE"""),"")</f>
        <v/>
      </c>
      <c r="E7528" s="17" t="str">
        <f>IFERROR(__xludf.DUMMYFUNCTION("""COMPUTED_VALUE"""),"")</f>
        <v/>
      </c>
      <c r="F7528" s="17" t="str">
        <f>IFERROR(__xludf.DUMMYFUNCTION("""COMPUTED_VALUE"""),"")</f>
        <v/>
      </c>
      <c r="G7528" s="17" t="str">
        <f>IFERROR(__xludf.DUMMYFUNCTION("""COMPUTED_VALUE"""),"")</f>
        <v/>
      </c>
      <c r="H7528" s="17" t="str">
        <f>IFERROR(__xludf.DUMMYFUNCTION("""COMPUTED_VALUE"""),"")</f>
        <v/>
      </c>
      <c r="I7528" s="17" t="str">
        <f>IFERROR(__xludf.DUMMYFUNCTION("""COMPUTED_VALUE"""),"")</f>
        <v/>
      </c>
      <c r="J7528" s="17" t="str">
        <f>IFERROR(__xludf.DUMMYFUNCTION("""COMPUTED_VALUE"""),"")</f>
        <v/>
      </c>
      <c r="K7528" s="17" t="str">
        <f>IFERROR(__xludf.DUMMYFUNCTION("""COMPUTED_VALUE"""),"")</f>
        <v/>
      </c>
      <c r="L7528" s="17" t="str">
        <f>IFERROR(__xludf.DUMMYFUNCTION("""COMPUTED_VALUE"""),"")</f>
        <v/>
      </c>
      <c r="M7528" s="17" t="str">
        <f>IFERROR(__xludf.DUMMYFUNCTION("""COMPUTED_VALUE"""),"")</f>
        <v/>
      </c>
      <c r="N7528" s="17" t="str">
        <f>IFERROR(__xludf.DUMMYFUNCTION("""COMPUTED_VALUE"""),"")</f>
        <v/>
      </c>
      <c r="O7528" s="17" t="str">
        <f>IFERROR(__xludf.DUMMYFUNCTION("""COMPUTED_VALUE"""),"")</f>
        <v/>
      </c>
      <c r="P7528" s="17" t="str">
        <f>IFERROR(__xludf.DUMMYFUNCTION("""COMPUTED_VALUE"""),"")</f>
        <v/>
      </c>
      <c r="Q7528" s="17" t="str">
        <f>IFERROR(__xludf.DUMMYFUNCTION("""COMPUTED_VALUE"""),"")</f>
        <v/>
      </c>
      <c r="R7528" s="17" t="str">
        <f>IFERROR(__xludf.DUMMYFUNCTION("""COMPUTED_VALUE"""),"")</f>
        <v/>
      </c>
    </row>
    <row r="7529">
      <c r="A7529" s="15">
        <f>IFERROR(__xludf.DUMMYFUNCTION("""COMPUTED_VALUE"""),45212.0)</f>
        <v>45212</v>
      </c>
      <c r="B7529" s="16" t="str">
        <f>IFERROR(__xludf.DUMMYFUNCTION("""COMPUTED_VALUE"""),"Daniel José sandoval gonzalez")</f>
        <v>Daniel José sandoval gonzalez</v>
      </c>
      <c r="C7529" s="15" t="str">
        <f>IFERROR(__xludf.DUMMYFUNCTION("""COMPUTED_VALUE"""),"BARRANQUILLA")</f>
        <v>BARRANQUILLA</v>
      </c>
      <c r="D7529" s="15" t="str">
        <f>IFERROR(__xludf.DUMMYFUNCTION("""COMPUTED_VALUE"""),"BOGOTÁ")</f>
        <v>BOGOTÁ</v>
      </c>
      <c r="E7529" s="15" t="str">
        <f>IFERROR(__xludf.DUMMYFUNCTION("""COMPUTED_VALUE"""),"Athenas")</f>
        <v>Athenas</v>
      </c>
      <c r="F7529" s="17" t="str">
        <f>IFERROR(__xludf.DUMMYFUNCTION("""COMPUTED_VALUE"""),"CARRERA 43 #99-50 PISO 3 CENTRO COMERCIAL MIRAMAR / BODYTECH - CAFETERIA / BARRIO MIRAMAR")</f>
        <v>CARRERA 43 #99-50 PISO 3 CENTRO COMERCIAL MIRAMAR / BODYTECH - CAFETERIA / BARRIO MIRAMAR</v>
      </c>
      <c r="G7529" s="15" t="str">
        <f>IFERROR(__xludf.DUMMYFUNCTION("""COMPUTED_VALUE"""),"ZOBEIDA JIMENEZ")</f>
        <v>ZOBEIDA JIMENEZ</v>
      </c>
      <c r="H7529" s="16">
        <f>IFERROR(__xludf.DUMMYFUNCTION("""COMPUTED_VALUE"""),16195.0)</f>
        <v>16195</v>
      </c>
      <c r="I7529" s="18" t="str">
        <f>IFERROR(__xludf.DUMMYFUNCTION("""COMPUTED_VALUE"""),"52.5")</f>
        <v>52.5</v>
      </c>
      <c r="J7529" s="18">
        <f>IFERROR(__xludf.DUMMYFUNCTION("""COMPUTED_VALUE"""),55.0)</f>
        <v>55</v>
      </c>
      <c r="K7529" s="18">
        <f>IFERROR(__xludf.DUMMYFUNCTION("""COMPUTED_VALUE"""),45.0)</f>
        <v>45</v>
      </c>
      <c r="L7529" s="17">
        <f>IFERROR(__xludf.DUMMYFUNCTION("""COMPUTED_VALUE"""),3.104011367E9)</f>
        <v>3104011367</v>
      </c>
      <c r="M7529" s="17"/>
      <c r="N7529" s="17"/>
      <c r="O7529" s="17"/>
      <c r="P7529" s="17" t="b">
        <f>IFERROR(__xludf.DUMMYFUNCTION("""COMPUTED_VALUE"""),FALSE)</f>
        <v>0</v>
      </c>
      <c r="Q7529" s="20" t="str">
        <f>IFERROR(__xludf.DUMMYFUNCTION("""COMPUTED_VALUE"""),"")</f>
        <v/>
      </c>
      <c r="R7529" s="21" t="str">
        <f>IFERROR(__xludf.DUMMYFUNCTION("""COMPUTED_VALUE"""),"https://drive.google.com/file/d/1ntHQafjjJnzRGdxoBMYy4poRI24YMXNt/view?usp=drivesdk")</f>
        <v>https://drive.google.com/file/d/1ntHQafjjJnzRGdxoBMYy4poRI24YMXNt/view?usp=drivesdk</v>
      </c>
    </row>
    <row r="7530">
      <c r="A7530" s="15">
        <f>IFERROR(__xludf.DUMMYFUNCTION("""COMPUTED_VALUE"""),45212.0)</f>
        <v>45212</v>
      </c>
      <c r="B7530" s="16" t="str">
        <f>IFERROR(__xludf.DUMMYFUNCTION("""COMPUTED_VALUE"""),"Daniel José sandoval gonzalez")</f>
        <v>Daniel José sandoval gonzalez</v>
      </c>
      <c r="C7530" s="15" t="str">
        <f>IFERROR(__xludf.DUMMYFUNCTION("""COMPUTED_VALUE"""),"BARRANQUILLA")</f>
        <v>BARRANQUILLA</v>
      </c>
      <c r="D7530" s="15" t="str">
        <f>IFERROR(__xludf.DUMMYFUNCTION("""COMPUTED_VALUE"""),"BOGOTÁ")</f>
        <v>BOGOTÁ</v>
      </c>
      <c r="E7530" s="15" t="str">
        <f>IFERROR(__xludf.DUMMYFUNCTION("""COMPUTED_VALUE"""),"Viral Brands")</f>
        <v>Viral Brands</v>
      </c>
      <c r="F7530" s="17" t="str">
        <f>IFERROR(__xludf.DUMMYFUNCTION("""COMPUTED_VALUE"""),"cra 58 # 96-187 / cra 58 # 96-187 / restaurante maya .- gaucho")</f>
        <v>cra 58 # 96-187 / cra 58 # 96-187 / restaurante maya .- gaucho</v>
      </c>
      <c r="G7530" s="15" t="str">
        <f>IFERROR(__xludf.DUMMYFUNCTION("""COMPUTED_VALUE"""),"viral brands")</f>
        <v>viral brands</v>
      </c>
      <c r="H7530" s="16">
        <f>IFERROR(__xludf.DUMMYFUNCTION("""COMPUTED_VALUE"""),16221.0)</f>
        <v>16221</v>
      </c>
      <c r="I7530" s="18">
        <f>IFERROR(__xludf.DUMMYFUNCTION("""COMPUTED_VALUE"""),29.0)</f>
        <v>29</v>
      </c>
      <c r="J7530" s="18">
        <f>IFERROR(__xludf.DUMMYFUNCTION("""COMPUTED_VALUE"""),55.0)</f>
        <v>55</v>
      </c>
      <c r="K7530" s="18">
        <f>IFERROR(__xludf.DUMMYFUNCTION("""COMPUTED_VALUE"""),45.0)</f>
        <v>45</v>
      </c>
      <c r="L7530" s="17">
        <f>IFERROR(__xludf.DUMMYFUNCTION("""COMPUTED_VALUE"""),3.122454394E9)</f>
        <v>3122454394</v>
      </c>
      <c r="M7530" s="17"/>
      <c r="N7530" s="17"/>
      <c r="O7530" s="17"/>
      <c r="P7530" s="17" t="b">
        <f>IFERROR(__xludf.DUMMYFUNCTION("""COMPUTED_VALUE"""),TRUE)</f>
        <v>1</v>
      </c>
      <c r="Q7530" s="20">
        <f>IFERROR(__xludf.DUMMYFUNCTION("""COMPUTED_VALUE"""),45215.68285732639)</f>
        <v>45215.68286</v>
      </c>
      <c r="R7530" s="21" t="str">
        <f>IFERROR(__xludf.DUMMYFUNCTION("""COMPUTED_VALUE"""),"https://drive.google.com/file/d/1MfB6bS2J3rBUKTfIaQksir0mSAp1BpRi/view?usp=drivesdk")</f>
        <v>https://drive.google.com/file/d/1MfB6bS2J3rBUKTfIaQksir0mSAp1BpRi/view?usp=drivesdk</v>
      </c>
    </row>
    <row r="7531">
      <c r="A7531" s="15">
        <f>IFERROR(__xludf.DUMMYFUNCTION("""COMPUTED_VALUE"""),45212.0)</f>
        <v>45212</v>
      </c>
      <c r="B7531" s="16" t="str">
        <f>IFERROR(__xludf.DUMMYFUNCTION("""COMPUTED_VALUE"""),"Daniel José sandoval gonzalez")</f>
        <v>Daniel José sandoval gonzalez</v>
      </c>
      <c r="C7531" s="15" t="str">
        <f>IFERROR(__xludf.DUMMYFUNCTION("""COMPUTED_VALUE"""),"BARRANQUILLA")</f>
        <v>BARRANQUILLA</v>
      </c>
      <c r="D7531" s="15" t="str">
        <f>IFERROR(__xludf.DUMMYFUNCTION("""COMPUTED_VALUE"""),"MEDELLÍN")</f>
        <v>MEDELLÍN</v>
      </c>
      <c r="E7531" s="15" t="str">
        <f>IFERROR(__xludf.DUMMYFUNCTION("""COMPUTED_VALUE"""),"Moloso S.A.S")</f>
        <v>Moloso S.A.S</v>
      </c>
      <c r="F7531" s="17" t="str">
        <f>IFERROR(__xludf.DUMMYFUNCTION("""COMPUTED_VALUE"""),"CR 47 100 14 ED ALAMEDA 100 - 46 TORRE B AP1304")</f>
        <v>CR 47 100 14 ED ALAMEDA 100 - 46 TORRE B AP1304</v>
      </c>
      <c r="G7531" s="15" t="str">
        <f>IFERROR(__xludf.DUMMYFUNCTION("""COMPUTED_VALUE"""),"GRACIELA COHEN")</f>
        <v>GRACIELA COHEN</v>
      </c>
      <c r="H7531" s="16">
        <f>IFERROR(__xludf.DUMMYFUNCTION("""COMPUTED_VALUE"""),16247.0)</f>
        <v>16247</v>
      </c>
      <c r="I7531" s="18">
        <f>IFERROR(__xludf.DUMMYFUNCTION("""COMPUTED_VALUE"""),17.0)</f>
        <v>17</v>
      </c>
      <c r="J7531" s="18">
        <f>IFERROR(__xludf.DUMMYFUNCTION("""COMPUTED_VALUE"""),15.0)</f>
        <v>15</v>
      </c>
      <c r="K7531" s="18">
        <f>IFERROR(__xludf.DUMMYFUNCTION("""COMPUTED_VALUE"""),28.0)</f>
        <v>28</v>
      </c>
      <c r="L7531" s="17">
        <f>IFERROR(__xludf.DUMMYFUNCTION("""COMPUTED_VALUE"""),3.167401158E9)</f>
        <v>3167401158</v>
      </c>
      <c r="M7531" s="17"/>
      <c r="N7531" s="17"/>
      <c r="O7531" s="17"/>
      <c r="P7531" s="17" t="b">
        <f>IFERROR(__xludf.DUMMYFUNCTION("""COMPUTED_VALUE"""),FALSE)</f>
        <v>0</v>
      </c>
      <c r="Q7531" s="20" t="str">
        <f>IFERROR(__xludf.DUMMYFUNCTION("""COMPUTED_VALUE"""),"")</f>
        <v/>
      </c>
      <c r="R7531" s="21" t="str">
        <f>IFERROR(__xludf.DUMMYFUNCTION("""COMPUTED_VALUE"""),"https://drive.google.com/file/d/1oAC6DUNRigUQCbVJuVFsUXs_i-ye0kYU/view?usp=drivesdk")</f>
        <v>https://drive.google.com/file/d/1oAC6DUNRigUQCbVJuVFsUXs_i-ye0kYU/view?usp=drivesdk</v>
      </c>
    </row>
    <row r="7532">
      <c r="A7532" s="17" t="str">
        <f>IFERROR(__xludf.DUMMYFUNCTION("""COMPUTED_VALUE"""),"")</f>
        <v/>
      </c>
      <c r="B7532" s="17" t="str">
        <f>IFERROR(__xludf.DUMMYFUNCTION("""COMPUTED_VALUE"""),"")</f>
        <v/>
      </c>
      <c r="C7532" s="17" t="str">
        <f>IFERROR(__xludf.DUMMYFUNCTION("""COMPUTED_VALUE"""),"")</f>
        <v/>
      </c>
      <c r="D7532" s="17" t="str">
        <f>IFERROR(__xludf.DUMMYFUNCTION("""COMPUTED_VALUE"""),"")</f>
        <v/>
      </c>
      <c r="E7532" s="17" t="str">
        <f>IFERROR(__xludf.DUMMYFUNCTION("""COMPUTED_VALUE"""),"")</f>
        <v/>
      </c>
      <c r="F7532" s="17" t="str">
        <f>IFERROR(__xludf.DUMMYFUNCTION("""COMPUTED_VALUE"""),"")</f>
        <v/>
      </c>
      <c r="G7532" s="17" t="str">
        <f>IFERROR(__xludf.DUMMYFUNCTION("""COMPUTED_VALUE"""),"")</f>
        <v/>
      </c>
      <c r="H7532" s="17" t="str">
        <f>IFERROR(__xludf.DUMMYFUNCTION("""COMPUTED_VALUE"""),"")</f>
        <v/>
      </c>
      <c r="I7532" s="17" t="str">
        <f>IFERROR(__xludf.DUMMYFUNCTION("""COMPUTED_VALUE"""),"")</f>
        <v/>
      </c>
      <c r="J7532" s="17" t="str">
        <f>IFERROR(__xludf.DUMMYFUNCTION("""COMPUTED_VALUE"""),"")</f>
        <v/>
      </c>
      <c r="K7532" s="17" t="str">
        <f>IFERROR(__xludf.DUMMYFUNCTION("""COMPUTED_VALUE"""),"")</f>
        <v/>
      </c>
      <c r="L7532" s="17" t="str">
        <f>IFERROR(__xludf.DUMMYFUNCTION("""COMPUTED_VALUE"""),"")</f>
        <v/>
      </c>
      <c r="M7532" s="17" t="str">
        <f>IFERROR(__xludf.DUMMYFUNCTION("""COMPUTED_VALUE"""),"")</f>
        <v/>
      </c>
      <c r="N7532" s="17" t="str">
        <f>IFERROR(__xludf.DUMMYFUNCTION("""COMPUTED_VALUE"""),"")</f>
        <v/>
      </c>
      <c r="O7532" s="17" t="str">
        <f>IFERROR(__xludf.DUMMYFUNCTION("""COMPUTED_VALUE"""),"")</f>
        <v/>
      </c>
      <c r="P7532" s="17" t="str">
        <f>IFERROR(__xludf.DUMMYFUNCTION("""COMPUTED_VALUE"""),"")</f>
        <v/>
      </c>
      <c r="Q7532" s="17" t="str">
        <f>IFERROR(__xludf.DUMMYFUNCTION("""COMPUTED_VALUE"""),"")</f>
        <v/>
      </c>
      <c r="R7532" s="17" t="str">
        <f>IFERROR(__xludf.DUMMYFUNCTION("""COMPUTED_VALUE"""),"")</f>
        <v/>
      </c>
    </row>
    <row r="7533">
      <c r="A7533" s="15">
        <f>IFERROR(__xludf.DUMMYFUNCTION("""COMPUTED_VALUE"""),45212.0)</f>
        <v>45212</v>
      </c>
      <c r="B7533" s="16" t="str">
        <f>IFERROR(__xludf.DUMMYFUNCTION("""COMPUTED_VALUE"""),"Envia")</f>
        <v>Envia</v>
      </c>
      <c r="C7533" s="15" t="str">
        <f>IFERROR(__xludf.DUMMYFUNCTION("""COMPUTED_VALUE"""),"BARRANQUILLA")</f>
        <v>BARRANQUILLA</v>
      </c>
      <c r="D7533" s="15" t="str">
        <f>IFERROR(__xludf.DUMMYFUNCTION("""COMPUTED_VALUE"""),"BOGOTÁ")</f>
        <v>BOGOTÁ</v>
      </c>
      <c r="E7533" s="15" t="str">
        <f>IFERROR(__xludf.DUMMYFUNCTION("""COMPUTED_VALUE"""),"Athenas")</f>
        <v>Athenas</v>
      </c>
      <c r="F7533" s="17" t="str">
        <f>IFERROR(__xludf.DUMMYFUNCTION("""COMPUTED_VALUE"""),"CARRERA 52 #87-50 CENTRO COMERCIAL VIVA MUELLE DE CARGA / PISO 4 BODYTECH - CAFETERIA / BARRIO RIO MAR")</f>
        <v>CARRERA 52 #87-50 CENTRO COMERCIAL VIVA MUELLE DE CARGA / PISO 4 BODYTECH - CAFETERIA / BARRIO RIO MAR</v>
      </c>
      <c r="G7533" s="15" t="str">
        <f>IFERROR(__xludf.DUMMYFUNCTION("""COMPUTED_VALUE"""),"ADRIANA CASTRO")</f>
        <v>ADRIANA CASTRO</v>
      </c>
      <c r="H7533" s="16">
        <f>IFERROR(__xludf.DUMMYFUNCTION("""COMPUTED_VALUE"""),16196.0)</f>
        <v>16196</v>
      </c>
      <c r="I7533" s="18">
        <f>IFERROR(__xludf.DUMMYFUNCTION("""COMPUTED_VALUE"""),29.0)</f>
        <v>29</v>
      </c>
      <c r="J7533" s="18">
        <f>IFERROR(__xludf.DUMMYFUNCTION("""COMPUTED_VALUE"""),55.0)</f>
        <v>55</v>
      </c>
      <c r="K7533" s="18">
        <f>IFERROR(__xludf.DUMMYFUNCTION("""COMPUTED_VALUE"""),45.0)</f>
        <v>45</v>
      </c>
      <c r="L7533" s="17">
        <f>IFERROR(__xludf.DUMMYFUNCTION("""COMPUTED_VALUE"""),3.104011367E9)</f>
        <v>3104011367</v>
      </c>
      <c r="M7533" s="17"/>
      <c r="N7533" s="17"/>
      <c r="O7533" s="17"/>
      <c r="P7533" s="17" t="b">
        <f>IFERROR(__xludf.DUMMYFUNCTION("""COMPUTED_VALUE"""),FALSE)</f>
        <v>0</v>
      </c>
      <c r="Q7533" s="20" t="str">
        <f>IFERROR(__xludf.DUMMYFUNCTION("""COMPUTED_VALUE"""),"")</f>
        <v/>
      </c>
      <c r="R7533" s="21" t="str">
        <f>IFERROR(__xludf.DUMMYFUNCTION("""COMPUTED_VALUE"""),"https://drive.google.com/file/d/1FaE9RNYmATEiVsIHV9u_EqkeHBAww4pB/view?usp=drivesdk")</f>
        <v>https://drive.google.com/file/d/1FaE9RNYmATEiVsIHV9u_EqkeHBAww4pB/view?usp=drivesdk</v>
      </c>
    </row>
    <row r="7534">
      <c r="A7534" s="15">
        <f>IFERROR(__xludf.DUMMYFUNCTION("""COMPUTED_VALUE"""),45212.0)</f>
        <v>45212</v>
      </c>
      <c r="B7534" s="16" t="str">
        <f>IFERROR(__xludf.DUMMYFUNCTION("""COMPUTED_VALUE"""),"Envia")</f>
        <v>Envia</v>
      </c>
      <c r="C7534" s="15" t="str">
        <f>IFERROR(__xludf.DUMMYFUNCTION("""COMPUTED_VALUE"""),"BARRANQUILLA")</f>
        <v>BARRANQUILLA</v>
      </c>
      <c r="D7534" s="15" t="str">
        <f>IFERROR(__xludf.DUMMYFUNCTION("""COMPUTED_VALUE"""),"BOGOTÁ")</f>
        <v>BOGOTÁ</v>
      </c>
      <c r="E7534" s="15" t="str">
        <f>IFERROR(__xludf.DUMMYFUNCTION("""COMPUTED_VALUE"""),"Athenas")</f>
        <v>Athenas</v>
      </c>
      <c r="F7534" s="17" t="str">
        <f>IFERROR(__xludf.DUMMYFUNCTION("""COMPUTED_VALUE"""),"CARRERA 53 #79-279 EDIFICIO ROYAL WASHINGTON PISO 2 / BODYTECH - CAFETERIA  / BARRIO COUNTRY")</f>
        <v>CARRERA 53 #79-279 EDIFICIO ROYAL WASHINGTON PISO 2 / BODYTECH - CAFETERIA  / BARRIO COUNTRY</v>
      </c>
      <c r="G7534" s="15" t="str">
        <f>IFERROR(__xludf.DUMMYFUNCTION("""COMPUTED_VALUE"""),"ROSALBA FUENTES")</f>
        <v>ROSALBA FUENTES</v>
      </c>
      <c r="H7534" s="16">
        <f>IFERROR(__xludf.DUMMYFUNCTION("""COMPUTED_VALUE"""),16194.0)</f>
        <v>16194</v>
      </c>
      <c r="I7534" s="18" t="str">
        <f>IFERROR(__xludf.DUMMYFUNCTION("""COMPUTED_VALUE"""),"52.5")</f>
        <v>52.5</v>
      </c>
      <c r="J7534" s="18">
        <f>IFERROR(__xludf.DUMMYFUNCTION("""COMPUTED_VALUE"""),55.0)</f>
        <v>55</v>
      </c>
      <c r="K7534" s="18">
        <f>IFERROR(__xludf.DUMMYFUNCTION("""COMPUTED_VALUE"""),45.0)</f>
        <v>45</v>
      </c>
      <c r="L7534" s="17">
        <f>IFERROR(__xludf.DUMMYFUNCTION("""COMPUTED_VALUE"""),3.104011367E9)</f>
        <v>3104011367</v>
      </c>
      <c r="M7534" s="17"/>
      <c r="N7534" s="17"/>
      <c r="O7534" s="17"/>
      <c r="P7534" s="17" t="b">
        <f>IFERROR(__xludf.DUMMYFUNCTION("""COMPUTED_VALUE"""),FALSE)</f>
        <v>0</v>
      </c>
      <c r="Q7534" s="20" t="str">
        <f>IFERROR(__xludf.DUMMYFUNCTION("""COMPUTED_VALUE"""),"")</f>
        <v/>
      </c>
      <c r="R7534" s="21" t="str">
        <f>IFERROR(__xludf.DUMMYFUNCTION("""COMPUTED_VALUE"""),"https://drive.google.com/file/d/1GLncSi7QEN-H7V-XYog4ahva8nFkzWPe/view?usp=drivesdk")</f>
        <v>https://drive.google.com/file/d/1GLncSi7QEN-H7V-XYog4ahva8nFkzWPe/view?usp=drivesdk</v>
      </c>
    </row>
    <row r="7535">
      <c r="A7535" s="15">
        <f>IFERROR(__xludf.DUMMYFUNCTION("""COMPUTED_VALUE"""),45212.0)</f>
        <v>45212</v>
      </c>
      <c r="B7535" s="16" t="str">
        <f>IFERROR(__xludf.DUMMYFUNCTION("""COMPUTED_VALUE"""),"Envia")</f>
        <v>Envia</v>
      </c>
      <c r="C7535" s="15" t="str">
        <f>IFERROR(__xludf.DUMMYFUNCTION("""COMPUTED_VALUE"""),"BOGOTÁ")</f>
        <v>BOGOTÁ</v>
      </c>
      <c r="D7535" s="15" t="str">
        <f>IFERROR(__xludf.DUMMYFUNCTION("""COMPUTED_VALUE"""),"MEDELLÍN")</f>
        <v>MEDELLÍN</v>
      </c>
      <c r="E7535" s="15" t="str">
        <f>IFERROR(__xludf.DUMMYFUNCTION("""COMPUTED_VALUE"""),"Baby Chef")</f>
        <v>Baby Chef</v>
      </c>
      <c r="F7535" s="17" t="str">
        <f>IFERROR(__xludf.DUMMYFUNCTION("""COMPUTED_VALUE"""),"Cra 18 # 5-55  / empresa Arani Ltda 2do piso  / Eduardo Santos (ENTREGAR ANTES DE LAS 5PM)")</f>
        <v>Cra 18 # 5-55  / empresa Arani Ltda 2do piso  / Eduardo Santos (ENTREGAR ANTES DE LAS 5PM)</v>
      </c>
      <c r="G7535" s="15" t="str">
        <f>IFERROR(__xludf.DUMMYFUNCTION("""COMPUTED_VALUE"""),"Martha Acosta")</f>
        <v>Martha Acosta</v>
      </c>
      <c r="H7535" s="16">
        <f>IFERROR(__xludf.DUMMYFUNCTION("""COMPUTED_VALUE"""),16273.0)</f>
        <v>16273</v>
      </c>
      <c r="I7535" s="18">
        <f>IFERROR(__xludf.DUMMYFUNCTION("""COMPUTED_VALUE"""),5.0)</f>
        <v>5</v>
      </c>
      <c r="J7535" s="18">
        <f>IFERROR(__xludf.DUMMYFUNCTION("""COMPUTED_VALUE"""),21.0)</f>
        <v>21</v>
      </c>
      <c r="K7535" s="18">
        <f>IFERROR(__xludf.DUMMYFUNCTION("""COMPUTED_VALUE"""),29.0)</f>
        <v>29</v>
      </c>
      <c r="L7535" s="17">
        <f>IFERROR(__xludf.DUMMYFUNCTION("""COMPUTED_VALUE"""),3.11445749E9)</f>
        <v>3114457490</v>
      </c>
      <c r="M7535" s="17"/>
      <c r="N7535" s="17"/>
      <c r="O7535" s="17"/>
      <c r="P7535" s="17" t="b">
        <f>IFERROR(__xludf.DUMMYFUNCTION("""COMPUTED_VALUE"""),FALSE)</f>
        <v>0</v>
      </c>
      <c r="Q7535" s="20" t="str">
        <f>IFERROR(__xludf.DUMMYFUNCTION("""COMPUTED_VALUE"""),"")</f>
        <v/>
      </c>
      <c r="R7535" s="21" t="str">
        <f>IFERROR(__xludf.DUMMYFUNCTION("""COMPUTED_VALUE"""),"https://drive.google.com/file/d/1vmoo4vCjS-1O3DI45hQaqlfkF0yBMrzD/view?usp=drivesdk")</f>
        <v>https://drive.google.com/file/d/1vmoo4vCjS-1O3DI45hQaqlfkF0yBMrzD/view?usp=drivesdk</v>
      </c>
    </row>
    <row r="7536">
      <c r="A7536" s="15">
        <f>IFERROR(__xludf.DUMMYFUNCTION("""COMPUTED_VALUE"""),45212.0)</f>
        <v>45212</v>
      </c>
      <c r="B7536" s="16" t="str">
        <f>IFERROR(__xludf.DUMMYFUNCTION("""COMPUTED_VALUE"""),"Envia")</f>
        <v>Envia</v>
      </c>
      <c r="C7536" s="15" t="str">
        <f>IFERROR(__xludf.DUMMYFUNCTION("""COMPUTED_VALUE"""),"CÚCUTA")</f>
        <v>CÚCUTA</v>
      </c>
      <c r="D7536" s="15" t="str">
        <f>IFERROR(__xludf.DUMMYFUNCTION("""COMPUTED_VALUE"""),"MEDELLÍN")</f>
        <v>MEDELLÍN</v>
      </c>
      <c r="E7536" s="15" t="str">
        <f>IFERROR(__xludf.DUMMYFUNCTION("""COMPUTED_VALUE"""),"Rambla")</f>
        <v>Rambla</v>
      </c>
      <c r="F7536" s="17" t="str">
        <f>IFERROR(__xludf.DUMMYFUNCTION("""COMPUTED_VALUE"""),"Av 3e con 15A Esquina barrio Los Caobos / - / -")</f>
        <v>Av 3e con 15A Esquina barrio Los Caobos / - / -</v>
      </c>
      <c r="G7536" s="15" t="str">
        <f>IFERROR(__xludf.DUMMYFUNCTION("""COMPUTED_VALUE"""),"Jengibre")</f>
        <v>Jengibre</v>
      </c>
      <c r="H7536" s="16">
        <f>IFERROR(__xludf.DUMMYFUNCTION("""COMPUTED_VALUE"""),16258.0)</f>
        <v>16258</v>
      </c>
      <c r="I7536" s="18">
        <f>IFERROR(__xludf.DUMMYFUNCTION("""COMPUTED_VALUE"""),24.0)</f>
        <v>24</v>
      </c>
      <c r="J7536" s="18">
        <f>IFERROR(__xludf.DUMMYFUNCTION("""COMPUTED_VALUE"""),24.0)</f>
        <v>24</v>
      </c>
      <c r="K7536" s="18">
        <f>IFERROR(__xludf.DUMMYFUNCTION("""COMPUTED_VALUE"""),24.0)</f>
        <v>24</v>
      </c>
      <c r="L7536" s="17">
        <f>IFERROR(__xludf.DUMMYFUNCTION("""COMPUTED_VALUE"""),3.005618715E9)</f>
        <v>3005618715</v>
      </c>
      <c r="M7536" s="17"/>
      <c r="N7536" s="17"/>
      <c r="O7536" s="17"/>
      <c r="P7536" s="17" t="b">
        <f>IFERROR(__xludf.DUMMYFUNCTION("""COMPUTED_VALUE"""),FALSE)</f>
        <v>0</v>
      </c>
      <c r="Q7536" s="20" t="str">
        <f>IFERROR(__xludf.DUMMYFUNCTION("""COMPUTED_VALUE"""),"")</f>
        <v/>
      </c>
      <c r="R7536" s="21" t="str">
        <f>IFERROR(__xludf.DUMMYFUNCTION("""COMPUTED_VALUE"""),"https://drive.google.com/file/d/1_UrlLYfg2BlzJR0Z5VYoLRaOjbHxb9YM/view?usp=drivesdk")</f>
        <v>https://drive.google.com/file/d/1_UrlLYfg2BlzJR0Z5VYoLRaOjbHxb9YM/view?usp=drivesdk</v>
      </c>
    </row>
    <row r="7537">
      <c r="A7537" s="15">
        <f>IFERROR(__xludf.DUMMYFUNCTION("""COMPUTED_VALUE"""),45212.0)</f>
        <v>45212</v>
      </c>
      <c r="B7537" s="16" t="str">
        <f>IFERROR(__xludf.DUMMYFUNCTION("""COMPUTED_VALUE"""),"Envia")</f>
        <v>Envia</v>
      </c>
      <c r="C7537" s="15" t="str">
        <f>IFERROR(__xludf.DUMMYFUNCTION("""COMPUTED_VALUE"""),"MEDELLÍN")</f>
        <v>MEDELLÍN</v>
      </c>
      <c r="D7537" s="15" t="str">
        <f>IFERROR(__xludf.DUMMYFUNCTION("""COMPUTED_VALUE"""),"BOGOTÁ")</f>
        <v>BOGOTÁ</v>
      </c>
      <c r="E7537" s="15" t="str">
        <f>IFERROR(__xludf.DUMMYFUNCTION("""COMPUTED_VALUE"""),"FamiliaReal S.A.S")</f>
        <v>FamiliaReal S.A.S</v>
      </c>
      <c r="F7537" s="17" t="str">
        <f>IFERROR(__xludf.DUMMYFUNCTION("""COMPUTED_VALUE"""),"Cra. 27 # 23 Sur-68 Mall Comercial Distrito Avignon Mercado Saludable Local 106 Horario: 10 am - 7 pm")</f>
        <v>Cra. 27 # 23 Sur-68 Mall Comercial Distrito Avignon Mercado Saludable Local 106 Horario: 10 am - 7 pm</v>
      </c>
      <c r="G7537" s="15" t="str">
        <f>IFERROR(__xludf.DUMMYFUNCTION("""COMPUTED_VALUE"""),"Frutal Exotic SAS")</f>
        <v>Frutal Exotic SAS</v>
      </c>
      <c r="H7537" s="16">
        <f>IFERROR(__xludf.DUMMYFUNCTION("""COMPUTED_VALUE"""),16218.0)</f>
        <v>16218</v>
      </c>
      <c r="I7537" s="18">
        <f>IFERROR(__xludf.DUMMYFUNCTION("""COMPUTED_VALUE"""),26.0)</f>
        <v>26</v>
      </c>
      <c r="J7537" s="18">
        <f>IFERROR(__xludf.DUMMYFUNCTION("""COMPUTED_VALUE"""),45115.0)</f>
        <v>45115</v>
      </c>
      <c r="K7537" s="18">
        <f>IFERROR(__xludf.DUMMYFUNCTION("""COMPUTED_VALUE"""),45115.0)</f>
        <v>45115</v>
      </c>
      <c r="L7537" s="17">
        <f>IFERROR(__xludf.DUMMYFUNCTION("""COMPUTED_VALUE"""),3.218310603E9)</f>
        <v>3218310603</v>
      </c>
      <c r="M7537" s="17"/>
      <c r="N7537" s="17"/>
      <c r="O7537" s="17"/>
      <c r="P7537" s="17" t="b">
        <f>IFERROR(__xludf.DUMMYFUNCTION("""COMPUTED_VALUE"""),TRUE)</f>
        <v>1</v>
      </c>
      <c r="Q7537" s="20">
        <f>IFERROR(__xludf.DUMMYFUNCTION("""COMPUTED_VALUE"""),45215.68285732639)</f>
        <v>45215.68286</v>
      </c>
      <c r="R7537" s="21" t="str">
        <f>IFERROR(__xludf.DUMMYFUNCTION("""COMPUTED_VALUE"""),"https://drive.google.com/file/d/17FB5UJb3x4S9Z_S2o4f7uJU1w2QophkG/view?usp=drivesdk")</f>
        <v>https://drive.google.com/file/d/17FB5UJb3x4S9Z_S2o4f7uJU1w2QophkG/view?usp=drivesdk</v>
      </c>
    </row>
    <row r="7538">
      <c r="A7538" s="15">
        <f>IFERROR(__xludf.DUMMYFUNCTION("""COMPUTED_VALUE"""),45212.0)</f>
        <v>45212</v>
      </c>
      <c r="B7538" s="16" t="str">
        <f>IFERROR(__xludf.DUMMYFUNCTION("""COMPUTED_VALUE"""),"Envia")</f>
        <v>Envia</v>
      </c>
      <c r="C7538" s="15" t="str">
        <f>IFERROR(__xludf.DUMMYFUNCTION("""COMPUTED_VALUE"""),"MEDELLÍN")</f>
        <v>MEDELLÍN</v>
      </c>
      <c r="D7538" s="15" t="str">
        <f>IFERROR(__xludf.DUMMYFUNCTION("""COMPUTED_VALUE"""),"BOGOTÁ")</f>
        <v>BOGOTÁ</v>
      </c>
      <c r="E7538" s="15" t="str">
        <f>IFERROR(__xludf.DUMMYFUNCTION("""COMPUTED_VALUE"""),"MAI ALIMENTOS S.A.S")</f>
        <v>MAI ALIMENTOS S.A.S</v>
      </c>
      <c r="F7538" s="17" t="str">
        <f>IFERROR(__xludf.DUMMYFUNCTION("""COMPUTED_VALUE"""),"Carrera 42 # 75  367 / Novaventa, Bodega 111- 112, Centro Industrial del Sur. Bodega 111- 112. Itagui, Antioquia,")</f>
        <v>Carrera 42 # 75 _x0096_ 367 / Novaventa, Bodega 111- 112, Centro Industrial del Sur. Bodega 111- 112. Itagui, Antioquia,</v>
      </c>
      <c r="G7538" s="15" t="str">
        <f>IFERROR(__xludf.DUMMYFUNCTION("""COMPUTED_VALUE"""),"Novaventas")</f>
        <v>Novaventas</v>
      </c>
      <c r="H7538" s="16">
        <f>IFERROR(__xludf.DUMMYFUNCTION("""COMPUTED_VALUE"""),16250.0)</f>
        <v>16250</v>
      </c>
      <c r="I7538" s="18">
        <f>IFERROR(__xludf.DUMMYFUNCTION("""COMPUTED_VALUE"""),35.0)</f>
        <v>35</v>
      </c>
      <c r="J7538" s="18">
        <f>IFERROR(__xludf.DUMMYFUNCTION("""COMPUTED_VALUE"""),17.0)</f>
        <v>17</v>
      </c>
      <c r="K7538" s="18">
        <f>IFERROR(__xludf.DUMMYFUNCTION("""COMPUTED_VALUE"""),13.0)</f>
        <v>13</v>
      </c>
      <c r="L7538" s="17"/>
      <c r="M7538" s="17"/>
      <c r="N7538" s="17"/>
      <c r="O7538" s="17"/>
      <c r="P7538" s="17" t="b">
        <f>IFERROR(__xludf.DUMMYFUNCTION("""COMPUTED_VALUE"""),TRUE)</f>
        <v>1</v>
      </c>
      <c r="Q7538" s="20">
        <f>IFERROR(__xludf.DUMMYFUNCTION("""COMPUTED_VALUE"""),45215.68285732639)</f>
        <v>45215.68286</v>
      </c>
      <c r="R7538" s="21" t="str">
        <f>IFERROR(__xludf.DUMMYFUNCTION("""COMPUTED_VALUE"""),"https://drive.google.com/file/d/1aKxnRIUbpQhCVEfAfPafRYYgEW-jOSrr/view?usp=drivesdk")</f>
        <v>https://drive.google.com/file/d/1aKxnRIUbpQhCVEfAfPafRYYgEW-jOSrr/view?usp=drivesdk</v>
      </c>
    </row>
    <row r="7539">
      <c r="A7539" s="15">
        <f>IFERROR(__xludf.DUMMYFUNCTION("""COMPUTED_VALUE"""),45212.0)</f>
        <v>45212</v>
      </c>
      <c r="B7539" s="16" t="str">
        <f>IFERROR(__xludf.DUMMYFUNCTION("""COMPUTED_VALUE"""),"Envia")</f>
        <v>Envia</v>
      </c>
      <c r="C7539" s="15" t="str">
        <f>IFERROR(__xludf.DUMMYFUNCTION("""COMPUTED_VALUE"""),"MEDELLÍN")</f>
        <v>MEDELLÍN</v>
      </c>
      <c r="D7539" s="15" t="str">
        <f>IFERROR(__xludf.DUMMYFUNCTION("""COMPUTED_VALUE"""),"BOGOTÁ")</f>
        <v>BOGOTÁ</v>
      </c>
      <c r="E7539" s="15" t="str">
        <f>IFERROR(__xludf.DUMMYFUNCTION("""COMPUTED_VALUE"""),"Viiva Fermentados")</f>
        <v>Viiva Fermentados</v>
      </c>
      <c r="F7539" s="17" t="str">
        <f>IFERROR(__xludf.DUMMYFUNCTION("""COMPUTED_VALUE"""),"Cll 31 Sur #47 A -15 / apto 502, Urbanización Palmar de las Vegas. / Envigado")</f>
        <v>Cll 31 Sur #47 A -15 / apto 502, Urbanización Palmar de las Vegas. / Envigado</v>
      </c>
      <c r="G7539" s="15" t="str">
        <f>IFERROR(__xludf.DUMMYFUNCTION("""COMPUTED_VALUE"""),"Alejandro Murillo")</f>
        <v>Alejandro Murillo</v>
      </c>
      <c r="H7539" s="16">
        <f>IFERROR(__xludf.DUMMYFUNCTION("""COMPUTED_VALUE"""),16209.0)</f>
        <v>16209</v>
      </c>
      <c r="I7539" s="18">
        <f>IFERROR(__xludf.DUMMYFUNCTION("""COMPUTED_VALUE"""),27.0)</f>
        <v>27</v>
      </c>
      <c r="J7539" s="18">
        <f>IFERROR(__xludf.DUMMYFUNCTION("""COMPUTED_VALUE"""),18.0)</f>
        <v>18</v>
      </c>
      <c r="K7539" s="18">
        <f>IFERROR(__xludf.DUMMYFUNCTION("""COMPUTED_VALUE"""),18.0)</f>
        <v>18</v>
      </c>
      <c r="L7539" s="17">
        <f>IFERROR(__xludf.DUMMYFUNCTION("""COMPUTED_VALUE"""),3.152390088E9)</f>
        <v>3152390088</v>
      </c>
      <c r="M7539" s="17"/>
      <c r="N7539" s="17"/>
      <c r="O7539" s="17"/>
      <c r="P7539" s="17" t="b">
        <f>IFERROR(__xludf.DUMMYFUNCTION("""COMPUTED_VALUE"""),TRUE)</f>
        <v>1</v>
      </c>
      <c r="Q7539" s="20">
        <f>IFERROR(__xludf.DUMMYFUNCTION("""COMPUTED_VALUE"""),45215.68285732639)</f>
        <v>45215.68286</v>
      </c>
      <c r="R7539" s="21" t="str">
        <f>IFERROR(__xludf.DUMMYFUNCTION("""COMPUTED_VALUE"""),"https://drive.google.com/file/d/1atwsIi639DGY6jF57GaFp4bp2nWjbZEg/view?usp=drivesdk")</f>
        <v>https://drive.google.com/file/d/1atwsIi639DGY6jF57GaFp4bp2nWjbZEg/view?usp=drivesdk</v>
      </c>
    </row>
    <row r="7540">
      <c r="A7540" s="15">
        <f>IFERROR(__xludf.DUMMYFUNCTION("""COMPUTED_VALUE"""),45212.0)</f>
        <v>45212</v>
      </c>
      <c r="B7540" s="16" t="str">
        <f>IFERROR(__xludf.DUMMYFUNCTION("""COMPUTED_VALUE"""),"Envia")</f>
        <v>Envia</v>
      </c>
      <c r="C7540" s="15" t="str">
        <f>IFERROR(__xludf.DUMMYFUNCTION("""COMPUTED_VALUE"""),"MEDELLÍN")</f>
        <v>MEDELLÍN</v>
      </c>
      <c r="D7540" s="15" t="str">
        <f>IFERROR(__xludf.DUMMYFUNCTION("""COMPUTED_VALUE"""),"BOGOTÁ")</f>
        <v>BOGOTÁ</v>
      </c>
      <c r="E7540" s="15" t="str">
        <f>IFERROR(__xludf.DUMMYFUNCTION("""COMPUTED_VALUE"""),"Viiva Fermentados")</f>
        <v>Viiva Fermentados</v>
      </c>
      <c r="F7540" s="17" t="str">
        <f>IFERROR(__xludf.DUMMYFUNCTION("""COMPUTED_VALUE"""),"Cra 75A nro 45c-84 / tienda vita auxilium / Florida nueva")</f>
        <v>Cra 75A nro 45c-84 / tienda vita auxilium / Florida nueva</v>
      </c>
      <c r="G7540" s="15" t="str">
        <f>IFERROR(__xludf.DUMMYFUNCTION("""COMPUTED_VALUE"""),"Vita Auxilium")</f>
        <v>Vita Auxilium</v>
      </c>
      <c r="H7540" s="16">
        <f>IFERROR(__xludf.DUMMYFUNCTION("""COMPUTED_VALUE"""),16208.0)</f>
        <v>16208</v>
      </c>
      <c r="I7540" s="18">
        <f>IFERROR(__xludf.DUMMYFUNCTION("""COMPUTED_VALUE"""),21.0)</f>
        <v>21</v>
      </c>
      <c r="J7540" s="18">
        <f>IFERROR(__xludf.DUMMYFUNCTION("""COMPUTED_VALUE"""),36.0)</f>
        <v>36</v>
      </c>
      <c r="K7540" s="18">
        <f>IFERROR(__xludf.DUMMYFUNCTION("""COMPUTED_VALUE"""),24.0)</f>
        <v>24</v>
      </c>
      <c r="L7540" s="17">
        <f>IFERROR(__xludf.DUMMYFUNCTION("""COMPUTED_VALUE"""),3.148495573E9)</f>
        <v>3148495573</v>
      </c>
      <c r="M7540" s="17"/>
      <c r="N7540" s="17"/>
      <c r="O7540" s="17"/>
      <c r="P7540" s="17" t="b">
        <f>IFERROR(__xludf.DUMMYFUNCTION("""COMPUTED_VALUE"""),TRUE)</f>
        <v>1</v>
      </c>
      <c r="Q7540" s="20">
        <f>IFERROR(__xludf.DUMMYFUNCTION("""COMPUTED_VALUE"""),45215.68285733796)</f>
        <v>45215.68286</v>
      </c>
      <c r="R7540" s="21" t="str">
        <f>IFERROR(__xludf.DUMMYFUNCTION("""COMPUTED_VALUE"""),"https://drive.google.com/file/d/1hPD8QvlTk8SY0KAQNa9WQH4sG41m9CmJ/view?usp=drivesdk")</f>
        <v>https://drive.google.com/file/d/1hPD8QvlTk8SY0KAQNa9WQH4sG41m9CmJ/view?usp=drivesdk</v>
      </c>
    </row>
    <row r="7541">
      <c r="A7541" s="17" t="str">
        <f>IFERROR(__xludf.DUMMYFUNCTION("""COMPUTED_VALUE"""),"")</f>
        <v/>
      </c>
      <c r="B7541" s="17" t="str">
        <f>IFERROR(__xludf.DUMMYFUNCTION("""COMPUTED_VALUE"""),"")</f>
        <v/>
      </c>
      <c r="C7541" s="17" t="str">
        <f>IFERROR(__xludf.DUMMYFUNCTION("""COMPUTED_VALUE"""),"")</f>
        <v/>
      </c>
      <c r="D7541" s="17" t="str">
        <f>IFERROR(__xludf.DUMMYFUNCTION("""COMPUTED_VALUE"""),"")</f>
        <v/>
      </c>
      <c r="E7541" s="17" t="str">
        <f>IFERROR(__xludf.DUMMYFUNCTION("""COMPUTED_VALUE"""),"")</f>
        <v/>
      </c>
      <c r="F7541" s="17" t="str">
        <f>IFERROR(__xludf.DUMMYFUNCTION("""COMPUTED_VALUE"""),"")</f>
        <v/>
      </c>
      <c r="G7541" s="17" t="str">
        <f>IFERROR(__xludf.DUMMYFUNCTION("""COMPUTED_VALUE"""),"")</f>
        <v/>
      </c>
      <c r="H7541" s="17" t="str">
        <f>IFERROR(__xludf.DUMMYFUNCTION("""COMPUTED_VALUE"""),"")</f>
        <v/>
      </c>
      <c r="I7541" s="17" t="str">
        <f>IFERROR(__xludf.DUMMYFUNCTION("""COMPUTED_VALUE"""),"")</f>
        <v/>
      </c>
      <c r="J7541" s="17" t="str">
        <f>IFERROR(__xludf.DUMMYFUNCTION("""COMPUTED_VALUE"""),"")</f>
        <v/>
      </c>
      <c r="K7541" s="17" t="str">
        <f>IFERROR(__xludf.DUMMYFUNCTION("""COMPUTED_VALUE"""),"")</f>
        <v/>
      </c>
      <c r="L7541" s="17" t="str">
        <f>IFERROR(__xludf.DUMMYFUNCTION("""COMPUTED_VALUE"""),"")</f>
        <v/>
      </c>
      <c r="M7541" s="17" t="str">
        <f>IFERROR(__xludf.DUMMYFUNCTION("""COMPUTED_VALUE"""),"")</f>
        <v/>
      </c>
      <c r="N7541" s="17" t="str">
        <f>IFERROR(__xludf.DUMMYFUNCTION("""COMPUTED_VALUE"""),"")</f>
        <v/>
      </c>
      <c r="O7541" s="17" t="str">
        <f>IFERROR(__xludf.DUMMYFUNCTION("""COMPUTED_VALUE"""),"")</f>
        <v/>
      </c>
      <c r="P7541" s="17" t="str">
        <f>IFERROR(__xludf.DUMMYFUNCTION("""COMPUTED_VALUE"""),"")</f>
        <v/>
      </c>
      <c r="Q7541" s="17" t="str">
        <f>IFERROR(__xludf.DUMMYFUNCTION("""COMPUTED_VALUE"""),"")</f>
        <v/>
      </c>
      <c r="R7541" s="17" t="str">
        <f>IFERROR(__xludf.DUMMYFUNCTION("""COMPUTED_VALUE"""),"")</f>
        <v/>
      </c>
    </row>
    <row r="7542">
      <c r="A7542" s="15">
        <f>IFERROR(__xludf.DUMMYFUNCTION("""COMPUTED_VALUE"""),45212.0)</f>
        <v>45212</v>
      </c>
      <c r="B7542" s="16" t="str">
        <f>IFERROR(__xludf.DUMMYFUNCTION("""COMPUTED_VALUE"""),"JOSE ALFREDO RAMIREZ VERGARA ")</f>
        <v>JOSE ALFREDO RAMIREZ VERGARA </v>
      </c>
      <c r="C7542" s="15" t="str">
        <f>IFERROR(__xludf.DUMMYFUNCTION("""COMPUTED_VALUE"""),"BOGOTÁ")</f>
        <v>BOGOTÁ</v>
      </c>
      <c r="D7542" s="15" t="str">
        <f>IFERROR(__xludf.DUMMYFUNCTION("""COMPUTED_VALUE"""),"MEDELLÍN")</f>
        <v>MEDELLÍN</v>
      </c>
      <c r="E7542" s="15" t="str">
        <f>IFERROR(__xludf.DUMMYFUNCTION("""COMPUTED_VALUE"""),"Baby Chef")</f>
        <v>Baby Chef</v>
      </c>
      <c r="F7542" s="17" t="str">
        <f>IFERROR(__xludf.DUMMYFUNCTION("""COMPUTED_VALUE"""),"Calle 6c #73-40 casa 31  / Conjunto Américas F  / Barrio Castilla")</f>
        <v>Calle 6c #73-40 casa 31  / Conjunto Américas F  / Barrio Castilla</v>
      </c>
      <c r="G7542" s="15" t="str">
        <f>IFERROR(__xludf.DUMMYFUNCTION("""COMPUTED_VALUE"""),"Diana Camila santos")</f>
        <v>Diana Camila santos</v>
      </c>
      <c r="H7542" s="16">
        <f>IFERROR(__xludf.DUMMYFUNCTION("""COMPUTED_VALUE"""),16274.0)</f>
        <v>16274</v>
      </c>
      <c r="I7542" s="18">
        <f>IFERROR(__xludf.DUMMYFUNCTION("""COMPUTED_VALUE"""),5.0)</f>
        <v>5</v>
      </c>
      <c r="J7542" s="18">
        <f>IFERROR(__xludf.DUMMYFUNCTION("""COMPUTED_VALUE"""),21.0)</f>
        <v>21</v>
      </c>
      <c r="K7542" s="18">
        <f>IFERROR(__xludf.DUMMYFUNCTION("""COMPUTED_VALUE"""),21.0)</f>
        <v>21</v>
      </c>
      <c r="L7542" s="17">
        <f>IFERROR(__xludf.DUMMYFUNCTION("""COMPUTED_VALUE"""),3.21301367E9)</f>
        <v>3213013670</v>
      </c>
      <c r="M7542" s="17"/>
      <c r="N7542" s="17"/>
      <c r="O7542" s="17"/>
      <c r="P7542" s="17" t="b">
        <f>IFERROR(__xludf.DUMMYFUNCTION("""COMPUTED_VALUE"""),TRUE)</f>
        <v>1</v>
      </c>
      <c r="Q7542" s="20">
        <f>IFERROR(__xludf.DUMMYFUNCTION("""COMPUTED_VALUE"""),45215.68285733796)</f>
        <v>45215.68286</v>
      </c>
      <c r="R7542" s="21" t="str">
        <f>IFERROR(__xludf.DUMMYFUNCTION("""COMPUTED_VALUE"""),"https://drive.google.com/file/d/1pGrGmmURuyePUedTpaqkHd_-JhQ0LZ4Y/view?usp=drivesdk")</f>
        <v>https://drive.google.com/file/d/1pGrGmmURuyePUedTpaqkHd_-JhQ0LZ4Y/view?usp=drivesdk</v>
      </c>
    </row>
    <row r="7543">
      <c r="A7543" s="15">
        <f>IFERROR(__xludf.DUMMYFUNCTION("""COMPUTED_VALUE"""),45212.0)</f>
        <v>45212</v>
      </c>
      <c r="B7543" s="16" t="str">
        <f>IFERROR(__xludf.DUMMYFUNCTION("""COMPUTED_VALUE"""),"JOSE ALFREDO RAMIREZ VERGARA ")</f>
        <v>JOSE ALFREDO RAMIREZ VERGARA </v>
      </c>
      <c r="C7543" s="15" t="str">
        <f>IFERROR(__xludf.DUMMYFUNCTION("""COMPUTED_VALUE"""),"BOGOTÁ")</f>
        <v>BOGOTÁ</v>
      </c>
      <c r="D7543" s="15" t="str">
        <f>IFERROR(__xludf.DUMMYFUNCTION("""COMPUTED_VALUE"""),"MEDELLÍN")</f>
        <v>MEDELLÍN</v>
      </c>
      <c r="E7543" s="15" t="str">
        <f>IFERROR(__xludf.DUMMYFUNCTION("""COMPUTED_VALUE"""),"Felicidad Bakery Bogotá")</f>
        <v>Felicidad Bakery Bogotá</v>
      </c>
      <c r="F7543" s="17" t="str">
        <f>IFERROR(__xludf.DUMMYFUNCTION("""COMPUTED_VALUE"""),"Calle 92 #15-62 / Edificio centro chico  / Local 103")</f>
        <v>Calle 92 #15-62 / Edificio centro chico  / Local 103</v>
      </c>
      <c r="G7543" s="15" t="str">
        <f>IFERROR(__xludf.DUMMYFUNCTION("""COMPUTED_VALUE"""),"Camilo Hernandez")</f>
        <v>Camilo Hernandez</v>
      </c>
      <c r="H7543" s="16">
        <f>IFERROR(__xludf.DUMMYFUNCTION("""COMPUTED_VALUE"""),16268.0)</f>
        <v>16268</v>
      </c>
      <c r="I7543" s="18">
        <f>IFERROR(__xludf.DUMMYFUNCTION("""COMPUTED_VALUE"""),1.0)</f>
        <v>1</v>
      </c>
      <c r="J7543" s="18">
        <f>IFERROR(__xludf.DUMMYFUNCTION("""COMPUTED_VALUE"""),1.0)</f>
        <v>1</v>
      </c>
      <c r="K7543" s="18">
        <f>IFERROR(__xludf.DUMMYFUNCTION("""COMPUTED_VALUE"""),1.0)</f>
        <v>1</v>
      </c>
      <c r="L7543" s="17">
        <f>IFERROR(__xludf.DUMMYFUNCTION("""COMPUTED_VALUE"""),3.013527163E9)</f>
        <v>3013527163</v>
      </c>
      <c r="M7543" s="17"/>
      <c r="N7543" s="17"/>
      <c r="O7543" s="17"/>
      <c r="P7543" s="17" t="b">
        <f>IFERROR(__xludf.DUMMYFUNCTION("""COMPUTED_VALUE"""),TRUE)</f>
        <v>1</v>
      </c>
      <c r="Q7543" s="20">
        <f>IFERROR(__xludf.DUMMYFUNCTION("""COMPUTED_VALUE"""),45215.68285733796)</f>
        <v>45215.68286</v>
      </c>
      <c r="R7543" s="22" t="str">
        <f>IFERROR(__xludf.DUMMYFUNCTION("""COMPUTED_VALUE"""),"")</f>
        <v/>
      </c>
    </row>
    <row r="7544">
      <c r="A7544" s="15">
        <f>IFERROR(__xludf.DUMMYFUNCTION("""COMPUTED_VALUE"""),45212.0)</f>
        <v>45212</v>
      </c>
      <c r="B7544" s="16" t="str">
        <f>IFERROR(__xludf.DUMMYFUNCTION("""COMPUTED_VALUE"""),"JOSE ALFREDO RAMIREZ VERGARA ")</f>
        <v>JOSE ALFREDO RAMIREZ VERGARA </v>
      </c>
      <c r="C7544" s="15" t="str">
        <f>IFERROR(__xludf.DUMMYFUNCTION("""COMPUTED_VALUE"""),"VALLEDUPAR")</f>
        <v>VALLEDUPAR</v>
      </c>
      <c r="D7544" s="15" t="str">
        <f>IFERROR(__xludf.DUMMYFUNCTION("""COMPUTED_VALUE"""),"BOGOTÁ")</f>
        <v>BOGOTÁ</v>
      </c>
      <c r="E7544" s="15" t="str">
        <f>IFERROR(__xludf.DUMMYFUNCTION("""COMPUTED_VALUE"""),"Evamazzita")</f>
        <v>Evamazzita</v>
      </c>
      <c r="F7544" s="17" t="str">
        <f>IFERROR(__xludf.DUMMYFUNCTION("""COMPUTED_VALUE"""),"KRA 49 No. 5H -06 / NEVADA FERRETERIA ALEXANDRA")</f>
        <v>KRA 49 No. 5H -06 / NEVADA FERRETERIA ALEXANDRA</v>
      </c>
      <c r="G7544" s="15" t="str">
        <f>IFERROR(__xludf.DUMMYFUNCTION("""COMPUTED_VALUE"""),"YURY ALEXANDRA GARCIA RAMOS")</f>
        <v>YURY ALEXANDRA GARCIA RAMOS</v>
      </c>
      <c r="H7544" s="16">
        <f>IFERROR(__xludf.DUMMYFUNCTION("""COMPUTED_VALUE"""),16234.0)</f>
        <v>16234</v>
      </c>
      <c r="I7544" s="18">
        <f>IFERROR(__xludf.DUMMYFUNCTION("""COMPUTED_VALUE"""),1.0)</f>
        <v>1</v>
      </c>
      <c r="J7544" s="18">
        <f>IFERROR(__xludf.DUMMYFUNCTION("""COMPUTED_VALUE"""),1.0)</f>
        <v>1</v>
      </c>
      <c r="K7544" s="18">
        <f>IFERROR(__xludf.DUMMYFUNCTION("""COMPUTED_VALUE"""),1.0)</f>
        <v>1</v>
      </c>
      <c r="L7544" s="17">
        <f>IFERROR(__xludf.DUMMYFUNCTION("""COMPUTED_VALUE"""),3.0043957E9)</f>
        <v>3004395700</v>
      </c>
      <c r="M7544" s="17"/>
      <c r="N7544" s="17"/>
      <c r="O7544" s="17"/>
      <c r="P7544" s="17" t="b">
        <f>IFERROR(__xludf.DUMMYFUNCTION("""COMPUTED_VALUE"""),TRUE)</f>
        <v>1</v>
      </c>
      <c r="Q7544" s="20">
        <f>IFERROR(__xludf.DUMMYFUNCTION("""COMPUTED_VALUE"""),45215.68285733796)</f>
        <v>45215.68286</v>
      </c>
      <c r="R7544" s="22" t="str">
        <f>IFERROR(__xludf.DUMMYFUNCTION("""COMPUTED_VALUE"""),"")</f>
        <v/>
      </c>
    </row>
    <row r="7545">
      <c r="A7545" s="15">
        <f>IFERROR(__xludf.DUMMYFUNCTION("""COMPUTED_VALUE"""),45212.0)</f>
        <v>45212</v>
      </c>
      <c r="B7545" s="16" t="str">
        <f>IFERROR(__xludf.DUMMYFUNCTION("""COMPUTED_VALUE"""),"JOSE ALFREDO RAMIREZ VERGARA ")</f>
        <v>JOSE ALFREDO RAMIREZ VERGARA </v>
      </c>
      <c r="C7545" s="15" t="str">
        <f>IFERROR(__xludf.DUMMYFUNCTION("""COMPUTED_VALUE"""),"VALLEDUPAR")</f>
        <v>VALLEDUPAR</v>
      </c>
      <c r="D7545" s="15" t="str">
        <f>IFERROR(__xludf.DUMMYFUNCTION("""COMPUTED_VALUE"""),"BOGOTÁ")</f>
        <v>BOGOTÁ</v>
      </c>
      <c r="E7545" s="15" t="str">
        <f>IFERROR(__xludf.DUMMYFUNCTION("""COMPUTED_VALUE"""),"Top Spun")</f>
        <v>Top Spun</v>
      </c>
      <c r="F7545" s="17" t="str">
        <f>IFERROR(__xludf.DUMMYFUNCTION("""COMPUTED_VALUE"""),"Calle 5b # 19c 06 / barrio callejas norte   / Casa color blanco de dos pisos  Valledupar")</f>
        <v>Calle 5b # 19c 06 / barrio callejas norte   / Casa color blanco de dos pisos  Valledupar</v>
      </c>
      <c r="G7545" s="15" t="str">
        <f>IFERROR(__xludf.DUMMYFUNCTION("""COMPUTED_VALUE"""),"María Alejandra Vega Gómez")</f>
        <v>María Alejandra Vega Gómez</v>
      </c>
      <c r="H7545" s="16">
        <f>IFERROR(__xludf.DUMMYFUNCTION("""COMPUTED_VALUE"""),16177.0)</f>
        <v>16177</v>
      </c>
      <c r="I7545" s="18">
        <f>IFERROR(__xludf.DUMMYFUNCTION("""COMPUTED_VALUE"""),20.0)</f>
        <v>20</v>
      </c>
      <c r="J7545" s="18">
        <f>IFERROR(__xludf.DUMMYFUNCTION("""COMPUTED_VALUE"""),10.0)</f>
        <v>10</v>
      </c>
      <c r="K7545" s="18">
        <f>IFERROR(__xludf.DUMMYFUNCTION("""COMPUTED_VALUE"""),40.0)</f>
        <v>40</v>
      </c>
      <c r="L7545" s="17">
        <f>IFERROR(__xludf.DUMMYFUNCTION("""COMPUTED_VALUE"""),3.042354018E9)</f>
        <v>3042354018</v>
      </c>
      <c r="M7545" s="17"/>
      <c r="N7545" s="17"/>
      <c r="O7545" s="17"/>
      <c r="P7545" s="17" t="b">
        <f>IFERROR(__xludf.DUMMYFUNCTION("""COMPUTED_VALUE"""),FALSE)</f>
        <v>0</v>
      </c>
      <c r="Q7545" s="20" t="str">
        <f>IFERROR(__xludf.DUMMYFUNCTION("""COMPUTED_VALUE"""),"")</f>
        <v/>
      </c>
      <c r="R7545" s="22" t="str">
        <f>IFERROR(__xludf.DUMMYFUNCTION("""COMPUTED_VALUE"""),"")</f>
        <v/>
      </c>
    </row>
    <row r="7546">
      <c r="A7546" s="17" t="str">
        <f>IFERROR(__xludf.DUMMYFUNCTION("""COMPUTED_VALUE"""),"")</f>
        <v/>
      </c>
      <c r="B7546" s="17" t="str">
        <f>IFERROR(__xludf.DUMMYFUNCTION("""COMPUTED_VALUE"""),"")</f>
        <v/>
      </c>
      <c r="C7546" s="17" t="str">
        <f>IFERROR(__xludf.DUMMYFUNCTION("""COMPUTED_VALUE"""),"")</f>
        <v/>
      </c>
      <c r="D7546" s="17" t="str">
        <f>IFERROR(__xludf.DUMMYFUNCTION("""COMPUTED_VALUE"""),"")</f>
        <v/>
      </c>
      <c r="E7546" s="17" t="str">
        <f>IFERROR(__xludf.DUMMYFUNCTION("""COMPUTED_VALUE"""),"")</f>
        <v/>
      </c>
      <c r="F7546" s="17" t="str">
        <f>IFERROR(__xludf.DUMMYFUNCTION("""COMPUTED_VALUE"""),"")</f>
        <v/>
      </c>
      <c r="G7546" s="17" t="str">
        <f>IFERROR(__xludf.DUMMYFUNCTION("""COMPUTED_VALUE"""),"")</f>
        <v/>
      </c>
      <c r="H7546" s="17" t="str">
        <f>IFERROR(__xludf.DUMMYFUNCTION("""COMPUTED_VALUE"""),"")</f>
        <v/>
      </c>
      <c r="I7546" s="17" t="str">
        <f>IFERROR(__xludf.DUMMYFUNCTION("""COMPUTED_VALUE"""),"")</f>
        <v/>
      </c>
      <c r="J7546" s="17" t="str">
        <f>IFERROR(__xludf.DUMMYFUNCTION("""COMPUTED_VALUE"""),"")</f>
        <v/>
      </c>
      <c r="K7546" s="17" t="str">
        <f>IFERROR(__xludf.DUMMYFUNCTION("""COMPUTED_VALUE"""),"")</f>
        <v/>
      </c>
      <c r="L7546" s="17" t="str">
        <f>IFERROR(__xludf.DUMMYFUNCTION("""COMPUTED_VALUE"""),"")</f>
        <v/>
      </c>
      <c r="M7546" s="17" t="str">
        <f>IFERROR(__xludf.DUMMYFUNCTION("""COMPUTED_VALUE"""),"")</f>
        <v/>
      </c>
      <c r="N7546" s="17" t="str">
        <f>IFERROR(__xludf.DUMMYFUNCTION("""COMPUTED_VALUE"""),"")</f>
        <v/>
      </c>
      <c r="O7546" s="17" t="str">
        <f>IFERROR(__xludf.DUMMYFUNCTION("""COMPUTED_VALUE"""),"")</f>
        <v/>
      </c>
      <c r="P7546" s="17" t="str">
        <f>IFERROR(__xludf.DUMMYFUNCTION("""COMPUTED_VALUE"""),"")</f>
        <v/>
      </c>
      <c r="Q7546" s="17" t="str">
        <f>IFERROR(__xludf.DUMMYFUNCTION("""COMPUTED_VALUE"""),"")</f>
        <v/>
      </c>
      <c r="R7546" s="17" t="str">
        <f>IFERROR(__xludf.DUMMYFUNCTION("""COMPUTED_VALUE"""),"")</f>
        <v/>
      </c>
    </row>
    <row r="7547">
      <c r="A7547" s="15">
        <f>IFERROR(__xludf.DUMMYFUNCTION("""COMPUTED_VALUE"""),45212.0)</f>
        <v>45212</v>
      </c>
      <c r="B7547" s="16" t="str">
        <f>IFERROR(__xludf.DUMMYFUNCTION("""COMPUTED_VALUE"""),"Lina Gaona")</f>
        <v>Lina Gaona</v>
      </c>
      <c r="C7547" s="15" t="str">
        <f>IFERROR(__xludf.DUMMYFUNCTION("""COMPUTED_VALUE"""),"CÚCUTA")</f>
        <v>CÚCUTA</v>
      </c>
      <c r="D7547" s="15" t="str">
        <f>IFERROR(__xludf.DUMMYFUNCTION("""COMPUTED_VALUE"""),"BOGOTÁ")</f>
        <v>BOGOTÁ</v>
      </c>
      <c r="E7547" s="15" t="str">
        <f>IFERROR(__xludf.DUMMYFUNCTION("""COMPUTED_VALUE"""),"Evamazzita")</f>
        <v>Evamazzita</v>
      </c>
      <c r="F7547" s="17" t="str">
        <f>IFERROR(__xludf.DUMMYFUNCTION("""COMPUTED_VALUE"""),"Av 2E # 15A -17 Caobos / Caobos")</f>
        <v>Av 2E # 15A -17 Caobos / Caobos</v>
      </c>
      <c r="G7547" s="15" t="str">
        <f>IFERROR(__xludf.DUMMYFUNCTION("""COMPUTED_VALUE"""),"DACCY KARINA LOPEZ MORENO")</f>
        <v>DACCY KARINA LOPEZ MORENO</v>
      </c>
      <c r="H7547" s="16">
        <f>IFERROR(__xludf.DUMMYFUNCTION("""COMPUTED_VALUE"""),16235.0)</f>
        <v>16235</v>
      </c>
      <c r="I7547" s="18">
        <f>IFERROR(__xludf.DUMMYFUNCTION("""COMPUTED_VALUE"""),1.0)</f>
        <v>1</v>
      </c>
      <c r="J7547" s="18">
        <f>IFERROR(__xludf.DUMMYFUNCTION("""COMPUTED_VALUE"""),1.0)</f>
        <v>1</v>
      </c>
      <c r="K7547" s="18">
        <f>IFERROR(__xludf.DUMMYFUNCTION("""COMPUTED_VALUE"""),1.0)</f>
        <v>1</v>
      </c>
      <c r="L7547" s="17">
        <f>IFERROR(__xludf.DUMMYFUNCTION("""COMPUTED_VALUE"""),3.208615379E9)</f>
        <v>3208615379</v>
      </c>
      <c r="M7547" s="17"/>
      <c r="N7547" s="17"/>
      <c r="O7547" s="17"/>
      <c r="P7547" s="17" t="b">
        <f>IFERROR(__xludf.DUMMYFUNCTION("""COMPUTED_VALUE"""),FALSE)</f>
        <v>0</v>
      </c>
      <c r="Q7547" s="20" t="str">
        <f>IFERROR(__xludf.DUMMYFUNCTION("""COMPUTED_VALUE"""),"")</f>
        <v/>
      </c>
      <c r="R7547" s="21" t="str">
        <f>IFERROR(__xludf.DUMMYFUNCTION("""COMPUTED_VALUE"""),"https://drive.google.com/file/d/1J4i5DbeUIpkjozEHLbVxzcxIBpUes8zT/view?usp=drivesdk")</f>
        <v>https://drive.google.com/file/d/1J4i5DbeUIpkjozEHLbVxzcxIBpUes8zT/view?usp=drivesdk</v>
      </c>
    </row>
    <row r="7548">
      <c r="A7548" s="15">
        <f>IFERROR(__xludf.DUMMYFUNCTION("""COMPUTED_VALUE"""),45212.0)</f>
        <v>45212</v>
      </c>
      <c r="B7548" s="16" t="str">
        <f>IFERROR(__xludf.DUMMYFUNCTION("""COMPUTED_VALUE"""),"Lina Gaona")</f>
        <v>Lina Gaona</v>
      </c>
      <c r="C7548" s="15" t="str">
        <f>IFERROR(__xludf.DUMMYFUNCTION("""COMPUTED_VALUE"""),"CÚCUTA")</f>
        <v>CÚCUTA</v>
      </c>
      <c r="D7548" s="15" t="str">
        <f>IFERROR(__xludf.DUMMYFUNCTION("""COMPUTED_VALUE"""),"BOGOTÁ")</f>
        <v>BOGOTÁ</v>
      </c>
      <c r="E7548" s="15" t="str">
        <f>IFERROR(__xludf.DUMMYFUNCTION("""COMPUTED_VALUE"""),"Karem foods")</f>
        <v>Karem foods</v>
      </c>
      <c r="F7548" s="17" t="str">
        <f>IFERROR(__xludf.DUMMYFUNCTION("""COMPUTED_VALUE"""),"AVENIDA 6C # 6-126  / BARRIO PRADOS DEL ESTE / -")</f>
        <v>AVENIDA 6C # 6-126  / BARRIO PRADOS DEL ESTE / -</v>
      </c>
      <c r="G7548" s="15" t="str">
        <f>IFERROR(__xludf.DUMMYFUNCTION("""COMPUTED_VALUE"""),"Tania Bernal - Coco y Miel")</f>
        <v>Tania Bernal - Coco y Miel</v>
      </c>
      <c r="H7548" s="16">
        <f>IFERROR(__xludf.DUMMYFUNCTION("""COMPUTED_VALUE"""),16222.0)</f>
        <v>16222</v>
      </c>
      <c r="I7548" s="18">
        <f>IFERROR(__xludf.DUMMYFUNCTION("""COMPUTED_VALUE"""),25.0)</f>
        <v>25</v>
      </c>
      <c r="J7548" s="18">
        <f>IFERROR(__xludf.DUMMYFUNCTION("""COMPUTED_VALUE"""),35.0)</f>
        <v>35</v>
      </c>
      <c r="K7548" s="18">
        <f>IFERROR(__xludf.DUMMYFUNCTION("""COMPUTED_VALUE"""),20.0)</f>
        <v>20</v>
      </c>
      <c r="L7548" s="17">
        <f>IFERROR(__xludf.DUMMYFUNCTION("""COMPUTED_VALUE"""),3.182330939E9)</f>
        <v>3182330939</v>
      </c>
      <c r="M7548" s="17"/>
      <c r="N7548" s="17"/>
      <c r="O7548" s="17"/>
      <c r="P7548" s="17" t="b">
        <f>IFERROR(__xludf.DUMMYFUNCTION("""COMPUTED_VALUE"""),FALSE)</f>
        <v>0</v>
      </c>
      <c r="Q7548" s="20" t="str">
        <f>IFERROR(__xludf.DUMMYFUNCTION("""COMPUTED_VALUE"""),"")</f>
        <v/>
      </c>
      <c r="R7548" s="21" t="str">
        <f>IFERROR(__xludf.DUMMYFUNCTION("""COMPUTED_VALUE"""),"https://drive.google.com/file/d/1_WTZirhWdO_UD3kkG3m8-yj-S4KlJYwq/view?usp=drivesdk")</f>
        <v>https://drive.google.com/file/d/1_WTZirhWdO_UD3kkG3m8-yj-S4KlJYwq/view?usp=drivesdk</v>
      </c>
    </row>
    <row r="7549">
      <c r="A7549" s="15">
        <f>IFERROR(__xludf.DUMMYFUNCTION("""COMPUTED_VALUE"""),45212.0)</f>
        <v>45212</v>
      </c>
      <c r="B7549" s="16" t="str">
        <f>IFERROR(__xludf.DUMMYFUNCTION("""COMPUTED_VALUE"""),"Lina Gaona")</f>
        <v>Lina Gaona</v>
      </c>
      <c r="C7549" s="15" t="str">
        <f>IFERROR(__xludf.DUMMYFUNCTION("""COMPUTED_VALUE"""),"CÚCUTA")</f>
        <v>CÚCUTA</v>
      </c>
      <c r="D7549" s="15" t="str">
        <f>IFERROR(__xludf.DUMMYFUNCTION("""COMPUTED_VALUE"""),"BOGOTÁ")</f>
        <v>BOGOTÁ</v>
      </c>
      <c r="E7549" s="15" t="str">
        <f>IFERROR(__xludf.DUMMYFUNCTION("""COMPUTED_VALUE"""),"Lunchy Kids")</f>
        <v>Lunchy Kids</v>
      </c>
      <c r="F7549" s="17" t="str">
        <f>IFERROR(__xludf.DUMMYFUNCTION("""COMPUTED_VALUE"""),"Av.1E #1N-20  / Edificio Barcelona, apto 704.  / Barrio Quinta Bosch")</f>
        <v>Av.1E #1N-20  / Edificio Barcelona, apto 704.  / Barrio Quinta Bosch</v>
      </c>
      <c r="G7549" s="15" t="str">
        <f>IFERROR(__xludf.DUMMYFUNCTION("""COMPUTED_VALUE"""),"Vianny Gutiérrez")</f>
        <v>Vianny Gutiérrez</v>
      </c>
      <c r="H7549" s="16">
        <f>IFERROR(__xludf.DUMMYFUNCTION("""COMPUTED_VALUE"""),16217.0)</f>
        <v>16217</v>
      </c>
      <c r="I7549" s="18">
        <f>IFERROR(__xludf.DUMMYFUNCTION("""COMPUTED_VALUE"""),15.0)</f>
        <v>15</v>
      </c>
      <c r="J7549" s="18">
        <f>IFERROR(__xludf.DUMMYFUNCTION("""COMPUTED_VALUE"""),29.0)</f>
        <v>29</v>
      </c>
      <c r="K7549" s="18">
        <f>IFERROR(__xludf.DUMMYFUNCTION("""COMPUTED_VALUE"""),6.0)</f>
        <v>6</v>
      </c>
      <c r="L7549" s="17">
        <f>IFERROR(__xludf.DUMMYFUNCTION("""COMPUTED_VALUE"""),3.156254952E9)</f>
        <v>3156254952</v>
      </c>
      <c r="M7549" s="17"/>
      <c r="N7549" s="17"/>
      <c r="O7549" s="17"/>
      <c r="P7549" s="17" t="b">
        <f>IFERROR(__xludf.DUMMYFUNCTION("""COMPUTED_VALUE"""),FALSE)</f>
        <v>0</v>
      </c>
      <c r="Q7549" s="20" t="str">
        <f>IFERROR(__xludf.DUMMYFUNCTION("""COMPUTED_VALUE"""),"")</f>
        <v/>
      </c>
      <c r="R7549" s="21" t="str">
        <f>IFERROR(__xludf.DUMMYFUNCTION("""COMPUTED_VALUE"""),"https://drive.google.com/file/d/1Asg5DQMCIPwniRcUkFvrPwnJRGKUpqlE/view?usp=drivesdk")</f>
        <v>https://drive.google.com/file/d/1Asg5DQMCIPwniRcUkFvrPwnJRGKUpqlE/view?usp=drivesdk</v>
      </c>
    </row>
    <row r="7550">
      <c r="A7550" s="15">
        <f>IFERROR(__xludf.DUMMYFUNCTION("""COMPUTED_VALUE"""),45212.0)</f>
        <v>45212</v>
      </c>
      <c r="B7550" s="16" t="str">
        <f>IFERROR(__xludf.DUMMYFUNCTION("""COMPUTED_VALUE"""),"Lina Gaona")</f>
        <v>Lina Gaona</v>
      </c>
      <c r="C7550" s="15" t="str">
        <f>IFERROR(__xludf.DUMMYFUNCTION("""COMPUTED_VALUE"""),"CÚCUTA")</f>
        <v>CÚCUTA</v>
      </c>
      <c r="D7550" s="15" t="str">
        <f>IFERROR(__xludf.DUMMYFUNCTION("""COMPUTED_VALUE"""),"MEDELLÍN")</f>
        <v>MEDELLÍN</v>
      </c>
      <c r="E7550" s="15" t="str">
        <f>IFERROR(__xludf.DUMMYFUNCTION("""COMPUTED_VALUE"""),"Baby Chef")</f>
        <v>Baby Chef</v>
      </c>
      <c r="F7550" s="17" t="str">
        <f>IFERROR(__xludf.DUMMYFUNCTION("""COMPUTED_VALUE"""),"av 10 # 56-58  / apartamentos munn torre 2 apto 702  /  la floresta ( patios)")</f>
        <v>av 10 # 56-58  / apartamentos munn torre 2 apto 702  /  la floresta ( patios)</v>
      </c>
      <c r="G7550" s="15" t="str">
        <f>IFERROR(__xludf.DUMMYFUNCTION("""COMPUTED_VALUE"""),"paola buendia")</f>
        <v>paola buendia</v>
      </c>
      <c r="H7550" s="16">
        <f>IFERROR(__xludf.DUMMYFUNCTION("""COMPUTED_VALUE"""),16253.0)</f>
        <v>16253</v>
      </c>
      <c r="I7550" s="18">
        <f>IFERROR(__xludf.DUMMYFUNCTION("""COMPUTED_VALUE"""),10.0)</f>
        <v>10</v>
      </c>
      <c r="J7550" s="18">
        <f>IFERROR(__xludf.DUMMYFUNCTION("""COMPUTED_VALUE"""),21.0)</f>
        <v>21</v>
      </c>
      <c r="K7550" s="18">
        <f>IFERROR(__xludf.DUMMYFUNCTION("""COMPUTED_VALUE"""),34.0)</f>
        <v>34</v>
      </c>
      <c r="L7550" s="17">
        <f>IFERROR(__xludf.DUMMYFUNCTION("""COMPUTED_VALUE"""),3.16832202E9)</f>
        <v>3168322020</v>
      </c>
      <c r="M7550" s="17"/>
      <c r="N7550" s="17"/>
      <c r="O7550" s="17"/>
      <c r="P7550" s="17" t="b">
        <f>IFERROR(__xludf.DUMMYFUNCTION("""COMPUTED_VALUE"""),FALSE)</f>
        <v>0</v>
      </c>
      <c r="Q7550" s="20" t="str">
        <f>IFERROR(__xludf.DUMMYFUNCTION("""COMPUTED_VALUE"""),"")</f>
        <v/>
      </c>
      <c r="R7550" s="21" t="str">
        <f>IFERROR(__xludf.DUMMYFUNCTION("""COMPUTED_VALUE"""),"https://drive.google.com/file/d/1pHcRoTIUpGesYYIexBnIwVDdIsUQSP6j/view?usp=drivesdk")</f>
        <v>https://drive.google.com/file/d/1pHcRoTIUpGesYYIexBnIwVDdIsUQSP6j/view?usp=drivesdk</v>
      </c>
    </row>
    <row r="7551">
      <c r="A7551" s="15">
        <f>IFERROR(__xludf.DUMMYFUNCTION("""COMPUTED_VALUE"""),45212.0)</f>
        <v>45212</v>
      </c>
      <c r="B7551" s="16" t="str">
        <f>IFERROR(__xludf.DUMMYFUNCTION("""COMPUTED_VALUE"""),"Lina Gaona")</f>
        <v>Lina Gaona</v>
      </c>
      <c r="C7551" s="15" t="str">
        <f>IFERROR(__xludf.DUMMYFUNCTION("""COMPUTED_VALUE"""),"SANTA MARTA")</f>
        <v>SANTA MARTA</v>
      </c>
      <c r="D7551" s="15" t="str">
        <f>IFERROR(__xludf.DUMMYFUNCTION("""COMPUTED_VALUE"""),"BOGOTÁ")</f>
        <v>BOGOTÁ</v>
      </c>
      <c r="E7551" s="15" t="str">
        <f>IFERROR(__xludf.DUMMYFUNCTION("""COMPUTED_VALUE"""),"Asociacion Agropecuaria Juana Maria")</f>
        <v>Asociacion Agropecuaria Juana Maria</v>
      </c>
      <c r="F7551" s="17" t="str">
        <f>IFERROR(__xludf.DUMMYFUNCTION("""COMPUTED_VALUE"""),"Portal de nueva Andrea 2 casa 27")</f>
        <v>Portal de nueva Andrea 2 casa 27</v>
      </c>
      <c r="G7551" s="15" t="str">
        <f>IFERROR(__xludf.DUMMYFUNCTION("""COMPUTED_VALUE"""),"katiana Avendaño Garcia")</f>
        <v>katiana Avendaño Garcia</v>
      </c>
      <c r="H7551" s="16">
        <f>IFERROR(__xludf.DUMMYFUNCTION("""COMPUTED_VALUE"""),16101.0)</f>
        <v>16101</v>
      </c>
      <c r="I7551" s="18">
        <f>IFERROR(__xludf.DUMMYFUNCTION("""COMPUTED_VALUE"""),12.0)</f>
        <v>12</v>
      </c>
      <c r="J7551" s="18">
        <f>IFERROR(__xludf.DUMMYFUNCTION("""COMPUTED_VALUE"""),37.0)</f>
        <v>37</v>
      </c>
      <c r="K7551" s="18">
        <f>IFERROR(__xludf.DUMMYFUNCTION("""COMPUTED_VALUE"""),20.0)</f>
        <v>20</v>
      </c>
      <c r="L7551" s="17">
        <f>IFERROR(__xludf.DUMMYFUNCTION("""COMPUTED_VALUE"""),3.01763844E9)</f>
        <v>3017638440</v>
      </c>
      <c r="M7551" s="17"/>
      <c r="N7551" s="17"/>
      <c r="O7551" s="17"/>
      <c r="P7551" s="17" t="b">
        <f>IFERROR(__xludf.DUMMYFUNCTION("""COMPUTED_VALUE"""),FALSE)</f>
        <v>0</v>
      </c>
      <c r="Q7551" s="20" t="str">
        <f>IFERROR(__xludf.DUMMYFUNCTION("""COMPUTED_VALUE"""),"")</f>
        <v/>
      </c>
      <c r="R7551" s="21" t="str">
        <f>IFERROR(__xludf.DUMMYFUNCTION("""COMPUTED_VALUE"""),"https://drive.google.com/file/d/1OOzNo5yFFXnlpT20_Xkkn3Cb9p1n_hZC/view?usp=drivesdk")</f>
        <v>https://drive.google.com/file/d/1OOzNo5yFFXnlpT20_Xkkn3Cb9p1n_hZC/view?usp=drivesdk</v>
      </c>
    </row>
    <row r="7552">
      <c r="A7552" s="15">
        <f>IFERROR(__xludf.DUMMYFUNCTION("""COMPUTED_VALUE"""),45212.0)</f>
        <v>45212</v>
      </c>
      <c r="B7552" s="16" t="str">
        <f>IFERROR(__xludf.DUMMYFUNCTION("""COMPUTED_VALUE"""),"Lina Gaona")</f>
        <v>Lina Gaona</v>
      </c>
      <c r="C7552" s="15" t="str">
        <f>IFERROR(__xludf.DUMMYFUNCTION("""COMPUTED_VALUE"""),"SANTA MARTA")</f>
        <v>SANTA MARTA</v>
      </c>
      <c r="D7552" s="15" t="str">
        <f>IFERROR(__xludf.DUMMYFUNCTION("""COMPUTED_VALUE"""),"MEDELLÍN")</f>
        <v>MEDELLÍN</v>
      </c>
      <c r="E7552" s="15" t="str">
        <f>IFERROR(__xludf.DUMMYFUNCTION("""COMPUTED_VALUE"""),"Terravocado")</f>
        <v>Terravocado</v>
      </c>
      <c r="F7552" s="17" t="str">
        <f>IFERROR(__xludf.DUMMYFUNCTION("""COMPUTED_VALUE"""),"CLL 18 # 4 - 05 / BARRIO CENTRO  / BARRIO CENTRO")</f>
        <v>CLL 18 # 4 - 05 / BARRIO CENTRO  / BARRIO CENTRO</v>
      </c>
      <c r="G7552" s="15" t="str">
        <f>IFERROR(__xludf.DUMMYFUNCTION("""COMPUTED_VALUE"""),"GOOD FEAST SAS")</f>
        <v>GOOD FEAST SAS</v>
      </c>
      <c r="H7552" s="16">
        <f>IFERROR(__xludf.DUMMYFUNCTION("""COMPUTED_VALUE"""),16070.0)</f>
        <v>16070</v>
      </c>
      <c r="I7552" s="18">
        <f>IFERROR(__xludf.DUMMYFUNCTION("""COMPUTED_VALUE"""),20.0)</f>
        <v>20</v>
      </c>
      <c r="J7552" s="18">
        <f>IFERROR(__xludf.DUMMYFUNCTION("""COMPUTED_VALUE"""),24.0)</f>
        <v>24</v>
      </c>
      <c r="K7552" s="18">
        <f>IFERROR(__xludf.DUMMYFUNCTION("""COMPUTED_VALUE"""),34.0)</f>
        <v>34</v>
      </c>
      <c r="L7552" s="17">
        <f>IFERROR(__xludf.DUMMYFUNCTION("""COMPUTED_VALUE"""),3.13672152E9)</f>
        <v>3136721520</v>
      </c>
      <c r="M7552" s="17"/>
      <c r="N7552" s="17"/>
      <c r="O7552" s="17"/>
      <c r="P7552" s="17" t="b">
        <f>IFERROR(__xludf.DUMMYFUNCTION("""COMPUTED_VALUE"""),FALSE)</f>
        <v>0</v>
      </c>
      <c r="Q7552" s="20" t="str">
        <f>IFERROR(__xludf.DUMMYFUNCTION("""COMPUTED_VALUE"""),"")</f>
        <v/>
      </c>
      <c r="R7552" s="22" t="str">
        <f>IFERROR(__xludf.DUMMYFUNCTION("""COMPUTED_VALUE"""),"")</f>
        <v/>
      </c>
    </row>
    <row r="7553">
      <c r="A7553" s="17" t="str">
        <f>IFERROR(__xludf.DUMMYFUNCTION("""COMPUTED_VALUE"""),"")</f>
        <v/>
      </c>
      <c r="B7553" s="17" t="str">
        <f>IFERROR(__xludf.DUMMYFUNCTION("""COMPUTED_VALUE"""),"")</f>
        <v/>
      </c>
      <c r="C7553" s="17" t="str">
        <f>IFERROR(__xludf.DUMMYFUNCTION("""COMPUTED_VALUE"""),"")</f>
        <v/>
      </c>
      <c r="D7553" s="17" t="str">
        <f>IFERROR(__xludf.DUMMYFUNCTION("""COMPUTED_VALUE"""),"")</f>
        <v/>
      </c>
      <c r="E7553" s="17" t="str">
        <f>IFERROR(__xludf.DUMMYFUNCTION("""COMPUTED_VALUE"""),"")</f>
        <v/>
      </c>
      <c r="F7553" s="17" t="str">
        <f>IFERROR(__xludf.DUMMYFUNCTION("""COMPUTED_VALUE"""),"")</f>
        <v/>
      </c>
      <c r="G7553" s="17" t="str">
        <f>IFERROR(__xludf.DUMMYFUNCTION("""COMPUTED_VALUE"""),"")</f>
        <v/>
      </c>
      <c r="H7553" s="17" t="str">
        <f>IFERROR(__xludf.DUMMYFUNCTION("""COMPUTED_VALUE"""),"")</f>
        <v/>
      </c>
      <c r="I7553" s="17" t="str">
        <f>IFERROR(__xludf.DUMMYFUNCTION("""COMPUTED_VALUE"""),"")</f>
        <v/>
      </c>
      <c r="J7553" s="17" t="str">
        <f>IFERROR(__xludf.DUMMYFUNCTION("""COMPUTED_VALUE"""),"")</f>
        <v/>
      </c>
      <c r="K7553" s="17" t="str">
        <f>IFERROR(__xludf.DUMMYFUNCTION("""COMPUTED_VALUE"""),"")</f>
        <v/>
      </c>
      <c r="L7553" s="17" t="str">
        <f>IFERROR(__xludf.DUMMYFUNCTION("""COMPUTED_VALUE"""),"")</f>
        <v/>
      </c>
      <c r="M7553" s="17" t="str">
        <f>IFERROR(__xludf.DUMMYFUNCTION("""COMPUTED_VALUE"""),"")</f>
        <v/>
      </c>
      <c r="N7553" s="17" t="str">
        <f>IFERROR(__xludf.DUMMYFUNCTION("""COMPUTED_VALUE"""),"")</f>
        <v/>
      </c>
      <c r="O7553" s="17" t="str">
        <f>IFERROR(__xludf.DUMMYFUNCTION("""COMPUTED_VALUE"""),"")</f>
        <v/>
      </c>
      <c r="P7553" s="17" t="str">
        <f>IFERROR(__xludf.DUMMYFUNCTION("""COMPUTED_VALUE"""),"")</f>
        <v/>
      </c>
      <c r="Q7553" s="17" t="str">
        <f>IFERROR(__xludf.DUMMYFUNCTION("""COMPUTED_VALUE"""),"")</f>
        <v/>
      </c>
      <c r="R7553" s="17" t="str">
        <f>IFERROR(__xludf.DUMMYFUNCTION("""COMPUTED_VALUE"""),"")</f>
        <v/>
      </c>
    </row>
    <row r="7554">
      <c r="A7554" s="15">
        <f>IFERROR(__xludf.DUMMYFUNCTION("""COMPUTED_VALUE"""),45212.0)</f>
        <v>45212</v>
      </c>
      <c r="B7554" s="16" t="str">
        <f>IFERROR(__xludf.DUMMYFUNCTION("""COMPUTED_VALUE"""),"Orlando Urdaneta Rincon ")</f>
        <v>Orlando Urdaneta Rincon </v>
      </c>
      <c r="C7554" s="15" t="str">
        <f>IFERROR(__xludf.DUMMYFUNCTION("""COMPUTED_VALUE"""),"BOGOTÁ")</f>
        <v>BOGOTÁ</v>
      </c>
      <c r="D7554" s="15" t="str">
        <f>IFERROR(__xludf.DUMMYFUNCTION("""COMPUTED_VALUE"""),"MEDELLÍN")</f>
        <v>MEDELLÍN</v>
      </c>
      <c r="E7554" s="15" t="str">
        <f>IFERROR(__xludf.DUMMYFUNCTION("""COMPUTED_VALUE"""),"Rambla")</f>
        <v>Rambla</v>
      </c>
      <c r="F7554" s="17" t="str">
        <f>IFERROR(__xludf.DUMMYFUNCTION("""COMPUTED_VALUE"""),"Calle 72 A Bis # 1B - 52 Este. Edificio Lumini Apto 403. Barrio Rosales,Bogotá / - / -")</f>
        <v>Calle 72 A Bis # 1B - 52 Este. Edificio Lumini Apto 403. Barrio Rosales,Bogotá / - / -</v>
      </c>
      <c r="G7554" s="15" t="str">
        <f>IFERROR(__xludf.DUMMYFUNCTION("""COMPUTED_VALUE"""),"Johanna Contreras Romero")</f>
        <v>Johanna Contreras Romero</v>
      </c>
      <c r="H7554" s="16">
        <f>IFERROR(__xludf.DUMMYFUNCTION("""COMPUTED_VALUE"""),16278.0)</f>
        <v>16278</v>
      </c>
      <c r="I7554" s="18">
        <f>IFERROR(__xludf.DUMMYFUNCTION("""COMPUTED_VALUE"""),10.0)</f>
        <v>10</v>
      </c>
      <c r="J7554" s="18">
        <f>IFERROR(__xludf.DUMMYFUNCTION("""COMPUTED_VALUE"""),10.0)</f>
        <v>10</v>
      </c>
      <c r="K7554" s="18">
        <f>IFERROR(__xludf.DUMMYFUNCTION("""COMPUTED_VALUE"""),10.0)</f>
        <v>10</v>
      </c>
      <c r="L7554" s="17">
        <f>IFERROR(__xludf.DUMMYFUNCTION("""COMPUTED_VALUE"""),3.176419243E9)</f>
        <v>3176419243</v>
      </c>
      <c r="M7554" s="17"/>
      <c r="N7554" s="17"/>
      <c r="O7554" s="17"/>
      <c r="P7554" s="17" t="b">
        <f>IFERROR(__xludf.DUMMYFUNCTION("""COMPUTED_VALUE"""),FALSE)</f>
        <v>0</v>
      </c>
      <c r="Q7554" s="20" t="str">
        <f>IFERROR(__xludf.DUMMYFUNCTION("""COMPUTED_VALUE"""),"")</f>
        <v/>
      </c>
      <c r="R7554" s="22" t="str">
        <f>IFERROR(__xludf.DUMMYFUNCTION("""COMPUTED_VALUE"""),"")</f>
        <v/>
      </c>
    </row>
    <row r="7555">
      <c r="A7555" s="15">
        <f>IFERROR(__xludf.DUMMYFUNCTION("""COMPUTED_VALUE"""),45212.0)</f>
        <v>45212</v>
      </c>
      <c r="B7555" s="16" t="str">
        <f>IFERROR(__xludf.DUMMYFUNCTION("""COMPUTED_VALUE"""),"Orlando Urdaneta Rincon ")</f>
        <v>Orlando Urdaneta Rincon </v>
      </c>
      <c r="C7555" s="15" t="str">
        <f>IFERROR(__xludf.DUMMYFUNCTION("""COMPUTED_VALUE"""),"BOGOTÁ")</f>
        <v>BOGOTÁ</v>
      </c>
      <c r="D7555" s="15" t="str">
        <f>IFERROR(__xludf.DUMMYFUNCTION("""COMPUTED_VALUE"""),"MEDELLÍN")</f>
        <v>MEDELLÍN</v>
      </c>
      <c r="E7555" s="15" t="str">
        <f>IFERROR(__xludf.DUMMYFUNCTION("""COMPUTED_VALUE"""),"Rambla")</f>
        <v>Rambla</v>
      </c>
      <c r="F7555" s="17" t="str">
        <f>IFERROR(__xludf.DUMMYFUNCTION("""COMPUTED_VALUE"""),"CR 58 128 27 LC 102 / - / -")</f>
        <v>CR 58 128 27 LC 102 / - / -</v>
      </c>
      <c r="G7555" s="15" t="str">
        <f>IFERROR(__xludf.DUMMYFUNCTION("""COMPUTED_VALUE"""),"amarte market")</f>
        <v>amarte market</v>
      </c>
      <c r="H7555" s="16">
        <f>IFERROR(__xludf.DUMMYFUNCTION("""COMPUTED_VALUE"""),16277.0)</f>
        <v>16277</v>
      </c>
      <c r="I7555" s="18">
        <f>IFERROR(__xludf.DUMMYFUNCTION("""COMPUTED_VALUE"""),22.0)</f>
        <v>22</v>
      </c>
      <c r="J7555" s="18">
        <f>IFERROR(__xludf.DUMMYFUNCTION("""COMPUTED_VALUE"""),15.0)</f>
        <v>15</v>
      </c>
      <c r="K7555" s="18">
        <f>IFERROR(__xludf.DUMMYFUNCTION("""COMPUTED_VALUE"""),15.0)</f>
        <v>15</v>
      </c>
      <c r="L7555" s="17">
        <f>IFERROR(__xludf.DUMMYFUNCTION("""COMPUTED_VALUE"""),3.013659771E9)</f>
        <v>3013659771</v>
      </c>
      <c r="M7555" s="17"/>
      <c r="N7555" s="17"/>
      <c r="O7555" s="17"/>
      <c r="P7555" s="17" t="b">
        <f>IFERROR(__xludf.DUMMYFUNCTION("""COMPUTED_VALUE"""),FALSE)</f>
        <v>0</v>
      </c>
      <c r="Q7555" s="20" t="str">
        <f>IFERROR(__xludf.DUMMYFUNCTION("""COMPUTED_VALUE"""),"")</f>
        <v/>
      </c>
      <c r="R7555" s="22" t="str">
        <f>IFERROR(__xludf.DUMMYFUNCTION("""COMPUTED_VALUE"""),"")</f>
        <v/>
      </c>
    </row>
    <row r="7556">
      <c r="A7556" s="17" t="str">
        <f>IFERROR(__xludf.DUMMYFUNCTION("""COMPUTED_VALUE"""),"")</f>
        <v/>
      </c>
      <c r="B7556" s="17" t="str">
        <f>IFERROR(__xludf.DUMMYFUNCTION("""COMPUTED_VALUE"""),"")</f>
        <v/>
      </c>
      <c r="C7556" s="17" t="str">
        <f>IFERROR(__xludf.DUMMYFUNCTION("""COMPUTED_VALUE"""),"")</f>
        <v/>
      </c>
      <c r="D7556" s="17" t="str">
        <f>IFERROR(__xludf.DUMMYFUNCTION("""COMPUTED_VALUE"""),"")</f>
        <v/>
      </c>
      <c r="E7556" s="17" t="str">
        <f>IFERROR(__xludf.DUMMYFUNCTION("""COMPUTED_VALUE"""),"")</f>
        <v/>
      </c>
      <c r="F7556" s="17" t="str">
        <f>IFERROR(__xludf.DUMMYFUNCTION("""COMPUTED_VALUE"""),"")</f>
        <v/>
      </c>
      <c r="G7556" s="17" t="str">
        <f>IFERROR(__xludf.DUMMYFUNCTION("""COMPUTED_VALUE"""),"")</f>
        <v/>
      </c>
      <c r="H7556" s="17" t="str">
        <f>IFERROR(__xludf.DUMMYFUNCTION("""COMPUTED_VALUE"""),"")</f>
        <v/>
      </c>
      <c r="I7556" s="17" t="str">
        <f>IFERROR(__xludf.DUMMYFUNCTION("""COMPUTED_VALUE"""),"")</f>
        <v/>
      </c>
      <c r="J7556" s="17" t="str">
        <f>IFERROR(__xludf.DUMMYFUNCTION("""COMPUTED_VALUE"""),"")</f>
        <v/>
      </c>
      <c r="K7556" s="17" t="str">
        <f>IFERROR(__xludf.DUMMYFUNCTION("""COMPUTED_VALUE"""),"")</f>
        <v/>
      </c>
      <c r="L7556" s="17" t="str">
        <f>IFERROR(__xludf.DUMMYFUNCTION("""COMPUTED_VALUE"""),"")</f>
        <v/>
      </c>
      <c r="M7556" s="17" t="str">
        <f>IFERROR(__xludf.DUMMYFUNCTION("""COMPUTED_VALUE"""),"")</f>
        <v/>
      </c>
      <c r="N7556" s="17" t="str">
        <f>IFERROR(__xludf.DUMMYFUNCTION("""COMPUTED_VALUE"""),"")</f>
        <v/>
      </c>
      <c r="O7556" s="17" t="str">
        <f>IFERROR(__xludf.DUMMYFUNCTION("""COMPUTED_VALUE"""),"")</f>
        <v/>
      </c>
      <c r="P7556" s="17" t="str">
        <f>IFERROR(__xludf.DUMMYFUNCTION("""COMPUTED_VALUE"""),"")</f>
        <v/>
      </c>
      <c r="Q7556" s="17" t="str">
        <f>IFERROR(__xludf.DUMMYFUNCTION("""COMPUTED_VALUE"""),"")</f>
        <v/>
      </c>
      <c r="R7556" s="17" t="str">
        <f>IFERROR(__xludf.DUMMYFUNCTION("""COMPUTED_VALUE"""),"")</f>
        <v/>
      </c>
    </row>
    <row r="7557">
      <c r="A7557" s="15">
        <f>IFERROR(__xludf.DUMMYFUNCTION("""COMPUTED_VALUE"""),45212.0)</f>
        <v>45212</v>
      </c>
      <c r="B7557" s="16" t="str">
        <f>IFERROR(__xludf.DUMMYFUNCTION("""COMPUTED_VALUE"""),"Santiago Garces Restrepo")</f>
        <v>Santiago Garces Restrepo</v>
      </c>
      <c r="C7557" s="15" t="str">
        <f>IFERROR(__xludf.DUMMYFUNCTION("""COMPUTED_VALUE"""),"MEDELLÍN")</f>
        <v>MEDELLÍN</v>
      </c>
      <c r="D7557" s="15" t="str">
        <f>IFERROR(__xludf.DUMMYFUNCTION("""COMPUTED_VALUE"""),"BOGOTÁ")</f>
        <v>BOGOTÁ</v>
      </c>
      <c r="E7557" s="15" t="str">
        <f>IFERROR(__xludf.DUMMYFUNCTION("""COMPUTED_VALUE"""),"FamiliaReal S.A.S")</f>
        <v>FamiliaReal S.A.S</v>
      </c>
      <c r="F7557" s="17" t="str">
        <f>IFERROR(__xludf.DUMMYFUNCTION("""COMPUTED_VALUE"""),"calle 45e # 76-95 apto 602 edificio parque fontana (velodromo)")</f>
        <v>calle 45e # 76-95 apto 602 edificio parque fontana (velodromo)</v>
      </c>
      <c r="G7557" s="15" t="str">
        <f>IFERROR(__xludf.DUMMYFUNCTION("""COMPUTED_VALUE"""),"Lina Maria Perez")</f>
        <v>Lina Maria Perez</v>
      </c>
      <c r="H7557" s="16">
        <f>IFERROR(__xludf.DUMMYFUNCTION("""COMPUTED_VALUE"""),16220.0)</f>
        <v>16220</v>
      </c>
      <c r="I7557" s="18">
        <f>IFERROR(__xludf.DUMMYFUNCTION("""COMPUTED_VALUE"""),26.0)</f>
        <v>26</v>
      </c>
      <c r="J7557" s="18">
        <f>IFERROR(__xludf.DUMMYFUNCTION("""COMPUTED_VALUE"""),45115.0)</f>
        <v>45115</v>
      </c>
      <c r="K7557" s="18">
        <f>IFERROR(__xludf.DUMMYFUNCTION("""COMPUTED_VALUE"""),45115.0)</f>
        <v>45115</v>
      </c>
      <c r="L7557" s="17" t="str">
        <f>IFERROR(__xludf.DUMMYFUNCTION("""COMPUTED_VALUE"""),"320 7276237")</f>
        <v>320 7276237</v>
      </c>
      <c r="M7557" s="17"/>
      <c r="N7557" s="17"/>
      <c r="O7557" s="17"/>
      <c r="P7557" s="17" t="b">
        <f>IFERROR(__xludf.DUMMYFUNCTION("""COMPUTED_VALUE"""),FALSE)</f>
        <v>0</v>
      </c>
      <c r="Q7557" s="20" t="str">
        <f>IFERROR(__xludf.DUMMYFUNCTION("""COMPUTED_VALUE"""),"")</f>
        <v/>
      </c>
      <c r="R7557" s="21" t="str">
        <f>IFERROR(__xludf.DUMMYFUNCTION("""COMPUTED_VALUE"""),"https://drive.google.com/file/d/1dVyqAji7sLNosS7QGF2jUpdvHxN9VcpW/view?usp=drivesdk")</f>
        <v>https://drive.google.com/file/d/1dVyqAji7sLNosS7QGF2jUpdvHxN9VcpW/view?usp=drivesdk</v>
      </c>
    </row>
    <row r="7558">
      <c r="A7558" s="15">
        <f>IFERROR(__xludf.DUMMYFUNCTION("""COMPUTED_VALUE"""),45212.0)</f>
        <v>45212</v>
      </c>
      <c r="B7558" s="16" t="str">
        <f>IFERROR(__xludf.DUMMYFUNCTION("""COMPUTED_VALUE"""),"Santiago Garces Restrepo")</f>
        <v>Santiago Garces Restrepo</v>
      </c>
      <c r="C7558" s="15" t="str">
        <f>IFERROR(__xludf.DUMMYFUNCTION("""COMPUTED_VALUE"""),"MEDELLÍN")</f>
        <v>MEDELLÍN</v>
      </c>
      <c r="D7558" s="15" t="str">
        <f>IFERROR(__xludf.DUMMYFUNCTION("""COMPUTED_VALUE"""),"BOGOTÁ")</f>
        <v>BOGOTÁ</v>
      </c>
      <c r="E7558" s="15" t="str">
        <f>IFERROR(__xludf.DUMMYFUNCTION("""COMPUTED_VALUE"""),"FamiliaReal S.A.S")</f>
        <v>FamiliaReal S.A.S</v>
      </c>
      <c r="F7558" s="17" t="str">
        <f>IFERROR(__xludf.DUMMYFUNCTION("""COMPUTED_VALUE"""),"Diagonal 79A  #5-299 Bloque 16 Apto. 257 U.R. Cedros de la Colina.  Barrio Loma de los Bernal")</f>
        <v>Diagonal 79A  #5-299 Bloque 16 Apto. 257 U.R. Cedros de la Colina.  Barrio Loma de los Bernal</v>
      </c>
      <c r="G7558" s="15" t="str">
        <f>IFERROR(__xludf.DUMMYFUNCTION("""COMPUTED_VALUE"""),"Amparo Romero")</f>
        <v>Amparo Romero</v>
      </c>
      <c r="H7558" s="16">
        <f>IFERROR(__xludf.DUMMYFUNCTION("""COMPUTED_VALUE"""),16219.0)</f>
        <v>16219</v>
      </c>
      <c r="I7558" s="18">
        <f>IFERROR(__xludf.DUMMYFUNCTION("""COMPUTED_VALUE"""),26.0)</f>
        <v>26</v>
      </c>
      <c r="J7558" s="18">
        <f>IFERROR(__xludf.DUMMYFUNCTION("""COMPUTED_VALUE"""),45115.0)</f>
        <v>45115</v>
      </c>
      <c r="K7558" s="18">
        <f>IFERROR(__xludf.DUMMYFUNCTION("""COMPUTED_VALUE"""),45115.0)</f>
        <v>45115</v>
      </c>
      <c r="L7558" s="17">
        <f>IFERROR(__xludf.DUMMYFUNCTION("""COMPUTED_VALUE"""),3.136860859E9)</f>
        <v>3136860859</v>
      </c>
      <c r="M7558" s="17"/>
      <c r="N7558" s="17"/>
      <c r="O7558" s="17"/>
      <c r="P7558" s="17" t="b">
        <f>IFERROR(__xludf.DUMMYFUNCTION("""COMPUTED_VALUE"""),FALSE)</f>
        <v>0</v>
      </c>
      <c r="Q7558" s="20" t="str">
        <f>IFERROR(__xludf.DUMMYFUNCTION("""COMPUTED_VALUE"""),"")</f>
        <v/>
      </c>
      <c r="R7558" s="21" t="str">
        <f>IFERROR(__xludf.DUMMYFUNCTION("""COMPUTED_VALUE"""),"https://drive.google.com/file/d/1ujvSLuFEuEceqJkI7rIQZ1JyQO6rMwGc/view?usp=drivesdk")</f>
        <v>https://drive.google.com/file/d/1ujvSLuFEuEceqJkI7rIQZ1JyQO6rMwGc/view?usp=drivesdk</v>
      </c>
    </row>
    <row r="7559">
      <c r="A7559" s="15">
        <f>IFERROR(__xludf.DUMMYFUNCTION("""COMPUTED_VALUE"""),45212.0)</f>
        <v>45212</v>
      </c>
      <c r="B7559" s="16" t="str">
        <f>IFERROR(__xludf.DUMMYFUNCTION("""COMPUTED_VALUE"""),"Santiago Garces Restrepo")</f>
        <v>Santiago Garces Restrepo</v>
      </c>
      <c r="C7559" s="15" t="str">
        <f>IFERROR(__xludf.DUMMYFUNCTION("""COMPUTED_VALUE"""),"MEDELLÍN")</f>
        <v>MEDELLÍN</v>
      </c>
      <c r="D7559" s="15" t="str">
        <f>IFERROR(__xludf.DUMMYFUNCTION("""COMPUTED_VALUE"""),"BOGOTÁ")</f>
        <v>BOGOTÁ</v>
      </c>
      <c r="E7559" s="15" t="str">
        <f>IFERROR(__xludf.DUMMYFUNCTION("""COMPUTED_VALUE"""),"Pan de Waffle")</f>
        <v>Pan de Waffle</v>
      </c>
      <c r="F7559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7559" s="15" t="str">
        <f>IFERROR(__xludf.DUMMYFUNCTION("""COMPUTED_VALUE"""),"VITA INTEGRAL")</f>
        <v>VITA INTEGRAL</v>
      </c>
      <c r="H7559" s="16">
        <f>IFERROR(__xludf.DUMMYFUNCTION("""COMPUTED_VALUE"""),16276.0)</f>
        <v>16276</v>
      </c>
      <c r="I7559" s="18">
        <f>IFERROR(__xludf.DUMMYFUNCTION("""COMPUTED_VALUE"""),30.0)</f>
        <v>30</v>
      </c>
      <c r="J7559" s="18">
        <f>IFERROR(__xludf.DUMMYFUNCTION("""COMPUTED_VALUE"""),30.0)</f>
        <v>30</v>
      </c>
      <c r="K7559" s="18">
        <f>IFERROR(__xludf.DUMMYFUNCTION("""COMPUTED_VALUE"""),30.0)</f>
        <v>30</v>
      </c>
      <c r="L7559" s="17">
        <f>IFERROR(__xludf.DUMMYFUNCTION("""COMPUTED_VALUE"""),3.20865425E9)</f>
        <v>3208654250</v>
      </c>
      <c r="M7559" s="17"/>
      <c r="N7559" s="17"/>
      <c r="O7559" s="17"/>
      <c r="P7559" s="17" t="b">
        <f>IFERROR(__xludf.DUMMYFUNCTION("""COMPUTED_VALUE"""),FALSE)</f>
        <v>0</v>
      </c>
      <c r="Q7559" s="20" t="str">
        <f>IFERROR(__xludf.DUMMYFUNCTION("""COMPUTED_VALUE"""),"")</f>
        <v/>
      </c>
      <c r="R7559" s="22" t="str">
        <f>IFERROR(__xludf.DUMMYFUNCTION("""COMPUTED_VALUE"""),"")</f>
        <v/>
      </c>
    </row>
    <row r="7560">
      <c r="A7560" s="15">
        <f>IFERROR(__xludf.DUMMYFUNCTION("""COMPUTED_VALUE"""),45212.0)</f>
        <v>45212</v>
      </c>
      <c r="B7560" s="16" t="str">
        <f>IFERROR(__xludf.DUMMYFUNCTION("""COMPUTED_VALUE"""),"Santiago Garces Restrepo")</f>
        <v>Santiago Garces Restrepo</v>
      </c>
      <c r="C7560" s="15" t="str">
        <f>IFERROR(__xludf.DUMMYFUNCTION("""COMPUTED_VALUE"""),"MEDELLÍN")</f>
        <v>MEDELLÍN</v>
      </c>
      <c r="D7560" s="15" t="str">
        <f>IFERROR(__xludf.DUMMYFUNCTION("""COMPUTED_VALUE"""),"BOGOTÁ")</f>
        <v>BOGOTÁ</v>
      </c>
      <c r="E7560" s="15" t="str">
        <f>IFERROR(__xludf.DUMMYFUNCTION("""COMPUTED_VALUE"""),"Renata")</f>
        <v>Renata</v>
      </c>
      <c r="F7560" s="17" t="str">
        <f>IFERROR(__xludf.DUMMYFUNCTION("""COMPUTED_VALUE"""),"Carrera 32d-9-43 / Seline y cowork -restaurante  / Provenza")</f>
        <v>Carrera 32d-9-43 / Seline y cowork -restaurante  / Provenza</v>
      </c>
      <c r="G7560" s="15" t="str">
        <f>IFERROR(__xludf.DUMMYFUNCTION("""COMPUTED_VALUE"""),"Front y back hospitality group")</f>
        <v>Front y back hospitality group</v>
      </c>
      <c r="H7560" s="16">
        <f>IFERROR(__xludf.DUMMYFUNCTION("""COMPUTED_VALUE"""),16271.0)</f>
        <v>16271</v>
      </c>
      <c r="I7560" s="18">
        <f>IFERROR(__xludf.DUMMYFUNCTION("""COMPUTED_VALUE"""),90.0)</f>
        <v>90</v>
      </c>
      <c r="J7560" s="18">
        <f>IFERROR(__xludf.DUMMYFUNCTION("""COMPUTED_VALUE"""),70.0)</f>
        <v>70</v>
      </c>
      <c r="K7560" s="18">
        <f>IFERROR(__xludf.DUMMYFUNCTION("""COMPUTED_VALUE"""),60.0)</f>
        <v>60</v>
      </c>
      <c r="L7560" s="17">
        <f>IFERROR(__xludf.DUMMYFUNCTION("""COMPUTED_VALUE"""),3.104047368E9)</f>
        <v>3104047368</v>
      </c>
      <c r="M7560" s="17"/>
      <c r="N7560" s="17"/>
      <c r="O7560" s="17"/>
      <c r="P7560" s="17" t="b">
        <f>IFERROR(__xludf.DUMMYFUNCTION("""COMPUTED_VALUE"""),FALSE)</f>
        <v>0</v>
      </c>
      <c r="Q7560" s="20" t="str">
        <f>IFERROR(__xludf.DUMMYFUNCTION("""COMPUTED_VALUE"""),"")</f>
        <v/>
      </c>
      <c r="R7560" s="21" t="str">
        <f>IFERROR(__xludf.DUMMYFUNCTION("""COMPUTED_VALUE"""),"https://drive.google.com/file/d/1Ya-Mh2rhxCkYgEtXu-fXgH1yNHze0bEj/view?usp=drivesdk")</f>
        <v>https://drive.google.com/file/d/1Ya-Mh2rhxCkYgEtXu-fXgH1yNHze0bEj/view?usp=drivesdk</v>
      </c>
    </row>
    <row r="7561">
      <c r="A7561" s="15">
        <f>IFERROR(__xludf.DUMMYFUNCTION("""COMPUTED_VALUE"""),45212.0)</f>
        <v>45212</v>
      </c>
      <c r="B7561" s="16" t="str">
        <f>IFERROR(__xludf.DUMMYFUNCTION("""COMPUTED_VALUE"""),"Santiago Garces Restrepo")</f>
        <v>Santiago Garces Restrepo</v>
      </c>
      <c r="C7561" s="15" t="str">
        <f>IFERROR(__xludf.DUMMYFUNCTION("""COMPUTED_VALUE"""),"MEDELLÍN")</f>
        <v>MEDELLÍN</v>
      </c>
      <c r="D7561" s="15" t="str">
        <f>IFERROR(__xludf.DUMMYFUNCTION("""COMPUTED_VALUE"""),"BOGOTÁ")</f>
        <v>BOGOTÁ</v>
      </c>
      <c r="E7561" s="15" t="str">
        <f>IFERROR(__xludf.DUMMYFUNCTION("""COMPUTED_VALUE"""),"Top Spun")</f>
        <v>Top Spun</v>
      </c>
      <c r="F7561" s="17" t="str">
        <f>IFERROR(__xludf.DUMMYFUNCTION("""COMPUTED_VALUE"""),"Calle 45 número 50a51  / Segundo piso encima de la panaderia  / Itagüi")</f>
        <v>Calle 45 número 50a51  / Segundo piso encima de la panaderia  / Itagüi</v>
      </c>
      <c r="G7561" s="15" t="str">
        <f>IFERROR(__xludf.DUMMYFUNCTION("""COMPUTED_VALUE"""),"Verónica Castaño Aristizabal")</f>
        <v>Verónica Castaño Aristizabal</v>
      </c>
      <c r="H7561" s="16">
        <f>IFERROR(__xludf.DUMMYFUNCTION("""COMPUTED_VALUE"""),16263.0)</f>
        <v>16263</v>
      </c>
      <c r="I7561" s="18">
        <f>IFERROR(__xludf.DUMMYFUNCTION("""COMPUTED_VALUE"""),20.0)</f>
        <v>20</v>
      </c>
      <c r="J7561" s="18">
        <f>IFERROR(__xludf.DUMMYFUNCTION("""COMPUTED_VALUE"""),10.0)</f>
        <v>10</v>
      </c>
      <c r="K7561" s="18">
        <f>IFERROR(__xludf.DUMMYFUNCTION("""COMPUTED_VALUE"""),40.0)</f>
        <v>40</v>
      </c>
      <c r="L7561" s="17">
        <f>IFERROR(__xludf.DUMMYFUNCTION("""COMPUTED_VALUE"""),3.105446983E9)</f>
        <v>3105446983</v>
      </c>
      <c r="M7561" s="17"/>
      <c r="N7561" s="17"/>
      <c r="O7561" s="17"/>
      <c r="P7561" s="17" t="b">
        <f>IFERROR(__xludf.DUMMYFUNCTION("""COMPUTED_VALUE"""),FALSE)</f>
        <v>0</v>
      </c>
      <c r="Q7561" s="20" t="str">
        <f>IFERROR(__xludf.DUMMYFUNCTION("""COMPUTED_VALUE"""),"")</f>
        <v/>
      </c>
      <c r="R7561" s="21" t="str">
        <f>IFERROR(__xludf.DUMMYFUNCTION("""COMPUTED_VALUE"""),"https://drive.google.com/file/d/1wMMZCX0Db-BwXVRReWyalKUIPuee4kHr/view?usp=drivesdk")</f>
        <v>https://drive.google.com/file/d/1wMMZCX0Db-BwXVRReWyalKUIPuee4kHr/view?usp=drivesdk</v>
      </c>
    </row>
    <row r="7562">
      <c r="A7562" s="15">
        <f>IFERROR(__xludf.DUMMYFUNCTION("""COMPUTED_VALUE"""),45212.0)</f>
        <v>45212</v>
      </c>
      <c r="B7562" s="16" t="str">
        <f>IFERROR(__xludf.DUMMYFUNCTION("""COMPUTED_VALUE"""),"Santiago Garces Restrepo")</f>
        <v>Santiago Garces Restrepo</v>
      </c>
      <c r="C7562" s="15" t="str">
        <f>IFERROR(__xludf.DUMMYFUNCTION("""COMPUTED_VALUE"""),"MEDELLÍN")</f>
        <v>MEDELLÍN</v>
      </c>
      <c r="D7562" s="15" t="str">
        <f>IFERROR(__xludf.DUMMYFUNCTION("""COMPUTED_VALUE"""),"BOGOTÁ")</f>
        <v>BOGOTÁ</v>
      </c>
      <c r="E7562" s="15" t="str">
        <f>IFERROR(__xludf.DUMMYFUNCTION("""COMPUTED_VALUE"""),"Top Spun")</f>
        <v>Top Spun</v>
      </c>
      <c r="F7562" s="17" t="str">
        <f>IFERROR(__xludf.DUMMYFUNCTION("""COMPUTED_VALUE"""),"Cra 15a #10b -95 Apto 503  / Serrania De Los Bosques / Medellín")</f>
        <v>Cra 15a #10b -95 Apto 503  / Serrania De Los Bosques / Medellín</v>
      </c>
      <c r="G7562" s="15" t="str">
        <f>IFERROR(__xludf.DUMMYFUNCTION("""COMPUTED_VALUE"""),"XIMENA BENAVIDES")</f>
        <v>XIMENA BENAVIDES</v>
      </c>
      <c r="H7562" s="16">
        <f>IFERROR(__xludf.DUMMYFUNCTION("""COMPUTED_VALUE"""),16264.0)</f>
        <v>16264</v>
      </c>
      <c r="I7562" s="18">
        <f>IFERROR(__xludf.DUMMYFUNCTION("""COMPUTED_VALUE"""),20.0)</f>
        <v>20</v>
      </c>
      <c r="J7562" s="18">
        <f>IFERROR(__xludf.DUMMYFUNCTION("""COMPUTED_VALUE"""),10.0)</f>
        <v>10</v>
      </c>
      <c r="K7562" s="18">
        <f>IFERROR(__xludf.DUMMYFUNCTION("""COMPUTED_VALUE"""),40.0)</f>
        <v>40</v>
      </c>
      <c r="L7562" s="17">
        <f>IFERROR(__xludf.DUMMYFUNCTION("""COMPUTED_VALUE"""),3.232851271E9)</f>
        <v>3232851271</v>
      </c>
      <c r="M7562" s="17"/>
      <c r="N7562" s="17"/>
      <c r="O7562" s="17"/>
      <c r="P7562" s="17" t="b">
        <f>IFERROR(__xludf.DUMMYFUNCTION("""COMPUTED_VALUE"""),TRUE)</f>
        <v>1</v>
      </c>
      <c r="Q7562" s="20">
        <f>IFERROR(__xludf.DUMMYFUNCTION("""COMPUTED_VALUE"""),45217.63974141204)</f>
        <v>45217.63974</v>
      </c>
      <c r="R7562" s="21" t="str">
        <f>IFERROR(__xludf.DUMMYFUNCTION("""COMPUTED_VALUE"""),"https://drive.google.com/file/d/1EGshV8cpxiRSv7GqGAVba5ArKMTnytc_/view?usp=drivesdk")</f>
        <v>https://drive.google.com/file/d/1EGshV8cpxiRSv7GqGAVba5ArKMTnytc_/view?usp=drivesdk</v>
      </c>
    </row>
    <row r="7563">
      <c r="A7563" s="15">
        <f>IFERROR(__xludf.DUMMYFUNCTION("""COMPUTED_VALUE"""),45212.0)</f>
        <v>45212</v>
      </c>
      <c r="B7563" s="16" t="str">
        <f>IFERROR(__xludf.DUMMYFUNCTION("""COMPUTED_VALUE"""),"Santiago Garces Restrepo")</f>
        <v>Santiago Garces Restrepo</v>
      </c>
      <c r="C7563" s="15" t="str">
        <f>IFERROR(__xludf.DUMMYFUNCTION("""COMPUTED_VALUE"""),"MEDELLÍN")</f>
        <v>MEDELLÍN</v>
      </c>
      <c r="D7563" s="15" t="str">
        <f>IFERROR(__xludf.DUMMYFUNCTION("""COMPUTED_VALUE"""),"BOGOTÁ")</f>
        <v>BOGOTÁ</v>
      </c>
      <c r="E7563" s="15" t="str">
        <f>IFERROR(__xludf.DUMMYFUNCTION("""COMPUTED_VALUE"""),"Top Spun")</f>
        <v>Top Spun</v>
      </c>
      <c r="F7563" s="17" t="str">
        <f>IFERROR(__xludf.DUMMYFUNCTION("""COMPUTED_VALUE"""),"Cra 27 A # 27 e sur 51 apto 1307 / Unidad Residencial ST Laurent   / Envigado")</f>
        <v>Cra 27 A # 27 e sur 51 apto 1307 / Unidad Residencial ST Laurent   / Envigado</v>
      </c>
      <c r="G7563" s="15" t="str">
        <f>IFERROR(__xludf.DUMMYFUNCTION("""COMPUTED_VALUE"""),"Dakari Consulting Services")</f>
        <v>Dakari Consulting Services</v>
      </c>
      <c r="H7563" s="16">
        <f>IFERROR(__xludf.DUMMYFUNCTION("""COMPUTED_VALUE"""),16265.0)</f>
        <v>16265</v>
      </c>
      <c r="I7563" s="18">
        <f>IFERROR(__xludf.DUMMYFUNCTION("""COMPUTED_VALUE"""),20.0)</f>
        <v>20</v>
      </c>
      <c r="J7563" s="18">
        <f>IFERROR(__xludf.DUMMYFUNCTION("""COMPUTED_VALUE"""),10.0)</f>
        <v>10</v>
      </c>
      <c r="K7563" s="18">
        <f>IFERROR(__xludf.DUMMYFUNCTION("""COMPUTED_VALUE"""),40.0)</f>
        <v>40</v>
      </c>
      <c r="L7563" s="17">
        <f>IFERROR(__xludf.DUMMYFUNCTION("""COMPUTED_VALUE"""),3.218418498E9)</f>
        <v>3218418498</v>
      </c>
      <c r="M7563" s="17"/>
      <c r="N7563" s="17"/>
      <c r="O7563" s="17"/>
      <c r="P7563" s="17" t="b">
        <f>IFERROR(__xludf.DUMMYFUNCTION("""COMPUTED_VALUE"""),FALSE)</f>
        <v>0</v>
      </c>
      <c r="Q7563" s="20" t="str">
        <f>IFERROR(__xludf.DUMMYFUNCTION("""COMPUTED_VALUE"""),"")</f>
        <v/>
      </c>
      <c r="R7563" s="21" t="str">
        <f>IFERROR(__xludf.DUMMYFUNCTION("""COMPUTED_VALUE"""),"https://drive.google.com/file/d/1z-ndbiSnXyNv5E4ds6OOLvt3TluVESCQ/view?usp=drivesdk")</f>
        <v>https://drive.google.com/file/d/1z-ndbiSnXyNv5E4ds6OOLvt3TluVESCQ/view?usp=drivesdk</v>
      </c>
    </row>
    <row r="7564">
      <c r="A7564" s="17" t="str">
        <f>IFERROR(__xludf.DUMMYFUNCTION("""COMPUTED_VALUE"""),"")</f>
        <v/>
      </c>
      <c r="B7564" s="17" t="str">
        <f>IFERROR(__xludf.DUMMYFUNCTION("""COMPUTED_VALUE"""),"")</f>
        <v/>
      </c>
      <c r="C7564" s="17" t="str">
        <f>IFERROR(__xludf.DUMMYFUNCTION("""COMPUTED_VALUE"""),"")</f>
        <v/>
      </c>
      <c r="D7564" s="17" t="str">
        <f>IFERROR(__xludf.DUMMYFUNCTION("""COMPUTED_VALUE"""),"")</f>
        <v/>
      </c>
      <c r="E7564" s="17" t="str">
        <f>IFERROR(__xludf.DUMMYFUNCTION("""COMPUTED_VALUE"""),"")</f>
        <v/>
      </c>
      <c r="F7564" s="17" t="str">
        <f>IFERROR(__xludf.DUMMYFUNCTION("""COMPUTED_VALUE"""),"")</f>
        <v/>
      </c>
      <c r="G7564" s="17" t="str">
        <f>IFERROR(__xludf.DUMMYFUNCTION("""COMPUTED_VALUE"""),"")</f>
        <v/>
      </c>
      <c r="H7564" s="17" t="str">
        <f>IFERROR(__xludf.DUMMYFUNCTION("""COMPUTED_VALUE"""),"")</f>
        <v/>
      </c>
      <c r="I7564" s="17" t="str">
        <f>IFERROR(__xludf.DUMMYFUNCTION("""COMPUTED_VALUE"""),"")</f>
        <v/>
      </c>
      <c r="J7564" s="17" t="str">
        <f>IFERROR(__xludf.DUMMYFUNCTION("""COMPUTED_VALUE"""),"")</f>
        <v/>
      </c>
      <c r="K7564" s="17" t="str">
        <f>IFERROR(__xludf.DUMMYFUNCTION("""COMPUTED_VALUE"""),"")</f>
        <v/>
      </c>
      <c r="L7564" s="17" t="str">
        <f>IFERROR(__xludf.DUMMYFUNCTION("""COMPUTED_VALUE"""),"")</f>
        <v/>
      </c>
      <c r="M7564" s="17" t="str">
        <f>IFERROR(__xludf.DUMMYFUNCTION("""COMPUTED_VALUE"""),"")</f>
        <v/>
      </c>
      <c r="N7564" s="17" t="str">
        <f>IFERROR(__xludf.DUMMYFUNCTION("""COMPUTED_VALUE"""),"")</f>
        <v/>
      </c>
      <c r="O7564" s="17" t="str">
        <f>IFERROR(__xludf.DUMMYFUNCTION("""COMPUTED_VALUE"""),"")</f>
        <v/>
      </c>
      <c r="P7564" s="17" t="str">
        <f>IFERROR(__xludf.DUMMYFUNCTION("""COMPUTED_VALUE"""),"")</f>
        <v/>
      </c>
      <c r="Q7564" s="17" t="str">
        <f>IFERROR(__xludf.DUMMYFUNCTION("""COMPUTED_VALUE"""),"")</f>
        <v/>
      </c>
      <c r="R7564" s="17" t="str">
        <f>IFERROR(__xludf.DUMMYFUNCTION("""COMPUTED_VALUE"""),"")</f>
        <v/>
      </c>
    </row>
    <row r="7565">
      <c r="A7565" s="15">
        <f>IFERROR(__xludf.DUMMYFUNCTION("""COMPUTED_VALUE"""),45212.0)</f>
        <v>45212</v>
      </c>
      <c r="B7565" s="16" t="str">
        <f>IFERROR(__xludf.DUMMYFUNCTION("""COMPUTED_VALUE"""),"Usuarios de prueba")</f>
        <v>Usuarios de prueba</v>
      </c>
      <c r="C7565" s="15" t="str">
        <f>IFERROR(__xludf.DUMMYFUNCTION("""COMPUTED_VALUE"""),"BOGOTÁ")</f>
        <v>BOGOTÁ</v>
      </c>
      <c r="D7565" s="15" t="str">
        <f>IFERROR(__xludf.DUMMYFUNCTION("""COMPUTED_VALUE"""),"MEDELLÍN")</f>
        <v>MEDELLÍN</v>
      </c>
      <c r="E7565" s="15" t="str">
        <f>IFERROR(__xludf.DUMMYFUNCTION("""COMPUTED_VALUE"""),"Baby Chef")</f>
        <v>Baby Chef</v>
      </c>
      <c r="F7565" s="17" t="str">
        <f>IFERROR(__xludf.DUMMYFUNCTION("""COMPUTED_VALUE"""),"Carrera 53g # 1-39 Piso 1 / . / Camelia")</f>
        <v>Carrera 53g # 1-39 Piso 1 / . / Camelia</v>
      </c>
      <c r="G7565" s="15" t="str">
        <f>IFERROR(__xludf.DUMMYFUNCTION("""COMPUTED_VALUE"""),"Katherine Parra")</f>
        <v>Katherine Parra</v>
      </c>
      <c r="H7565" s="16">
        <f>IFERROR(__xludf.DUMMYFUNCTION("""COMPUTED_VALUE"""),16275.0)</f>
        <v>16275</v>
      </c>
      <c r="I7565" s="18">
        <f>IFERROR(__xludf.DUMMYFUNCTION("""COMPUTED_VALUE"""),6.0)</f>
        <v>6</v>
      </c>
      <c r="J7565" s="18">
        <f>IFERROR(__xludf.DUMMYFUNCTION("""COMPUTED_VALUE"""),24.0)</f>
        <v>24</v>
      </c>
      <c r="K7565" s="18">
        <f>IFERROR(__xludf.DUMMYFUNCTION("""COMPUTED_VALUE"""),27.0)</f>
        <v>27</v>
      </c>
      <c r="L7565" s="17">
        <f>IFERROR(__xludf.DUMMYFUNCTION("""COMPUTED_VALUE"""),3.153498559E9)</f>
        <v>3153498559</v>
      </c>
      <c r="M7565" s="17"/>
      <c r="N7565" s="17"/>
      <c r="O7565" s="17"/>
      <c r="P7565" s="17" t="b">
        <f>IFERROR(__xludf.DUMMYFUNCTION("""COMPUTED_VALUE"""),FALSE)</f>
        <v>0</v>
      </c>
      <c r="Q7565" s="20" t="str">
        <f>IFERROR(__xludf.DUMMYFUNCTION("""COMPUTED_VALUE"""),"")</f>
        <v/>
      </c>
      <c r="R7565" s="21" t="str">
        <f>IFERROR(__xludf.DUMMYFUNCTION("""COMPUTED_VALUE"""),"https://drive.google.com/file/d/1qGVfSYhwU9W1WfuS94fcmOnJix1kj-05/view?usp=drivesdk")</f>
        <v>https://drive.google.com/file/d/1qGVfSYhwU9W1WfuS94fcmOnJix1kj-05/view?usp=drivesdk</v>
      </c>
    </row>
    <row r="7566">
      <c r="A7566" s="15">
        <f>IFERROR(__xludf.DUMMYFUNCTION("""COMPUTED_VALUE"""),45212.0)</f>
        <v>45212</v>
      </c>
      <c r="B7566" s="16" t="str">
        <f>IFERROR(__xludf.DUMMYFUNCTION("""COMPUTED_VALUE"""),"Usuarios de prueba")</f>
        <v>Usuarios de prueba</v>
      </c>
      <c r="C7566" s="15" t="str">
        <f>IFERROR(__xludf.DUMMYFUNCTION("""COMPUTED_VALUE"""),"BOGOTÁ")</f>
        <v>BOGOTÁ</v>
      </c>
      <c r="D7566" s="15" t="str">
        <f>IFERROR(__xludf.DUMMYFUNCTION("""COMPUTED_VALUE"""),"MEDELLÍN")</f>
        <v>MEDELLÍN</v>
      </c>
      <c r="E7566" s="15" t="str">
        <f>IFERROR(__xludf.DUMMYFUNCTION("""COMPUTED_VALUE"""),"Moloso S.A.S")</f>
        <v>Moloso S.A.S</v>
      </c>
      <c r="F7566" s="17" t="str">
        <f>IFERROR(__xludf.DUMMYFUNCTION("""COMPUTED_VALUE"""),"CR 75 24 D 70 / CIGARRERIA")</f>
        <v>CR 75 24 D 70 / CIGARRERIA</v>
      </c>
      <c r="G7566" s="15" t="str">
        <f>IFERROR(__xludf.DUMMYFUNCTION("""COMPUTED_VALUE"""),"MARIA JOSE MELO BONILLA")</f>
        <v>MARIA JOSE MELO BONILLA</v>
      </c>
      <c r="H7566" s="16">
        <f>IFERROR(__xludf.DUMMYFUNCTION("""COMPUTED_VALUE"""),16249.0)</f>
        <v>16249</v>
      </c>
      <c r="I7566" s="18">
        <f>IFERROR(__xludf.DUMMYFUNCTION("""COMPUTED_VALUE"""),17.0)</f>
        <v>17</v>
      </c>
      <c r="J7566" s="18">
        <f>IFERROR(__xludf.DUMMYFUNCTION("""COMPUTED_VALUE"""),15.0)</f>
        <v>15</v>
      </c>
      <c r="K7566" s="18">
        <f>IFERROR(__xludf.DUMMYFUNCTION("""COMPUTED_VALUE"""),28.0)</f>
        <v>28</v>
      </c>
      <c r="L7566" s="17">
        <f>IFERROR(__xludf.DUMMYFUNCTION("""COMPUTED_VALUE"""),3.143504351E9)</f>
        <v>3143504351</v>
      </c>
      <c r="M7566" s="17"/>
      <c r="N7566" s="17"/>
      <c r="O7566" s="17"/>
      <c r="P7566" s="17" t="b">
        <f>IFERROR(__xludf.DUMMYFUNCTION("""COMPUTED_VALUE"""),FALSE)</f>
        <v>0</v>
      </c>
      <c r="Q7566" s="20" t="str">
        <f>IFERROR(__xludf.DUMMYFUNCTION("""COMPUTED_VALUE"""),"")</f>
        <v/>
      </c>
      <c r="R7566" s="21" t="str">
        <f>IFERROR(__xludf.DUMMYFUNCTION("""COMPUTED_VALUE"""),"https://drive.google.com/file/d/1bROM9yIO72x4ltup5SsbMb5gd8Epm2YH/view?usp=drivesdk")</f>
        <v>https://drive.google.com/file/d/1bROM9yIO72x4ltup5SsbMb5gd8Epm2YH/view?usp=drivesdk</v>
      </c>
    </row>
    <row r="7567">
      <c r="A7567" s="15">
        <f>IFERROR(__xludf.DUMMYFUNCTION("""COMPUTED_VALUE"""),45212.0)</f>
        <v>45212</v>
      </c>
      <c r="B7567" s="16" t="str">
        <f>IFERROR(__xludf.DUMMYFUNCTION("""COMPUTED_VALUE"""),"Usuarios de prueba")</f>
        <v>Usuarios de prueba</v>
      </c>
      <c r="C7567" s="15" t="str">
        <f>IFERROR(__xludf.DUMMYFUNCTION("""COMPUTED_VALUE"""),"BOGOTÁ")</f>
        <v>BOGOTÁ</v>
      </c>
      <c r="D7567" s="15" t="str">
        <f>IFERROR(__xludf.DUMMYFUNCTION("""COMPUTED_VALUE"""),"MEDELLÍN")</f>
        <v>MEDELLÍN</v>
      </c>
      <c r="E7567" s="15" t="str">
        <f>IFERROR(__xludf.DUMMYFUNCTION("""COMPUTED_VALUE"""),"Moloso S.A.S")</f>
        <v>Moloso S.A.S</v>
      </c>
      <c r="F7567" s="17" t="str">
        <f>IFERROR(__xludf.DUMMYFUNCTION("""COMPUTED_VALUE"""),"CR 75 24 D 70 / CIGARRERIA")</f>
        <v>CR 75 24 D 70 / CIGARRERIA</v>
      </c>
      <c r="G7567" s="15" t="str">
        <f>IFERROR(__xludf.DUMMYFUNCTION("""COMPUTED_VALUE"""),"MARIA JOSE MELO BONILLA")</f>
        <v>MARIA JOSE MELO BONILLA</v>
      </c>
      <c r="H7567" s="16">
        <f>IFERROR(__xludf.DUMMYFUNCTION("""COMPUTED_VALUE"""),16272.0)</f>
        <v>16272</v>
      </c>
      <c r="I7567" s="18">
        <f>IFERROR(__xludf.DUMMYFUNCTION("""COMPUTED_VALUE"""),17.0)</f>
        <v>17</v>
      </c>
      <c r="J7567" s="18">
        <f>IFERROR(__xludf.DUMMYFUNCTION("""COMPUTED_VALUE"""),15.0)</f>
        <v>15</v>
      </c>
      <c r="K7567" s="18">
        <f>IFERROR(__xludf.DUMMYFUNCTION("""COMPUTED_VALUE"""),28.0)</f>
        <v>28</v>
      </c>
      <c r="L7567" s="17">
        <f>IFERROR(__xludf.DUMMYFUNCTION("""COMPUTED_VALUE"""),3.143504351E9)</f>
        <v>3143504351</v>
      </c>
      <c r="M7567" s="17"/>
      <c r="N7567" s="17"/>
      <c r="O7567" s="17"/>
      <c r="P7567" s="17" t="b">
        <f>IFERROR(__xludf.DUMMYFUNCTION("""COMPUTED_VALUE"""),FALSE)</f>
        <v>0</v>
      </c>
      <c r="Q7567" s="20" t="str">
        <f>IFERROR(__xludf.DUMMYFUNCTION("""COMPUTED_VALUE"""),"")</f>
        <v/>
      </c>
      <c r="R7567" s="22" t="str">
        <f>IFERROR(__xludf.DUMMYFUNCTION("""COMPUTED_VALUE"""),"")</f>
        <v/>
      </c>
    </row>
    <row r="7568">
      <c r="A7568" s="15">
        <f>IFERROR(__xludf.DUMMYFUNCTION("""COMPUTED_VALUE"""),45212.0)</f>
        <v>45212</v>
      </c>
      <c r="B7568" s="16" t="str">
        <f>IFERROR(__xludf.DUMMYFUNCTION("""COMPUTED_VALUE"""),"Usuarios de prueba")</f>
        <v>Usuarios de prueba</v>
      </c>
      <c r="C7568" s="15" t="str">
        <f>IFERROR(__xludf.DUMMYFUNCTION("""COMPUTED_VALUE"""),"BOGOTÁ")</f>
        <v>BOGOTÁ</v>
      </c>
      <c r="D7568" s="15" t="str">
        <f>IFERROR(__xludf.DUMMYFUNCTION("""COMPUTED_VALUE"""),"MEDELLÍN")</f>
        <v>MEDELLÍN</v>
      </c>
      <c r="E7568" s="15" t="str">
        <f>IFERROR(__xludf.DUMMYFUNCTION("""COMPUTED_VALUE"""),"Natusoya")</f>
        <v>Natusoya</v>
      </c>
      <c r="F7568" s="17" t="str">
        <f>IFERROR(__xludf.DUMMYFUNCTION("""COMPUTED_VALUE"""),"Tv 22a# 61c-13 / Bogota / Tuesaquillo")</f>
        <v>Tv 22a# 61c-13 / Bogota / Tuesaquillo</v>
      </c>
      <c r="G7568" s="15" t="str">
        <f>IFERROR(__xludf.DUMMYFUNCTION("""COMPUTED_VALUE"""),"DISTRIBUIDORA MKT Nancy Baquero")</f>
        <v>DISTRIBUIDORA MKT Nancy Baquero</v>
      </c>
      <c r="H7568" s="16">
        <f>IFERROR(__xludf.DUMMYFUNCTION("""COMPUTED_VALUE"""),16266.0)</f>
        <v>16266</v>
      </c>
      <c r="I7568" s="18">
        <f>IFERROR(__xludf.DUMMYFUNCTION("""COMPUTED_VALUE"""),12.0)</f>
        <v>12</v>
      </c>
      <c r="J7568" s="18">
        <f>IFERROR(__xludf.DUMMYFUNCTION("""COMPUTED_VALUE"""),25.0)</f>
        <v>25</v>
      </c>
      <c r="K7568" s="18">
        <f>IFERROR(__xludf.DUMMYFUNCTION("""COMPUTED_VALUE"""),50.0)</f>
        <v>50</v>
      </c>
      <c r="L7568" s="17">
        <f>IFERROR(__xludf.DUMMYFUNCTION("""COMPUTED_VALUE"""),3.183593653E9)</f>
        <v>3183593653</v>
      </c>
      <c r="M7568" s="17"/>
      <c r="N7568" s="17"/>
      <c r="O7568" s="17"/>
      <c r="P7568" s="17" t="b">
        <f>IFERROR(__xludf.DUMMYFUNCTION("""COMPUTED_VALUE"""),FALSE)</f>
        <v>0</v>
      </c>
      <c r="Q7568" s="20" t="str">
        <f>IFERROR(__xludf.DUMMYFUNCTION("""COMPUTED_VALUE"""),"")</f>
        <v/>
      </c>
      <c r="R7568" s="22" t="str">
        <f>IFERROR(__xludf.DUMMYFUNCTION("""COMPUTED_VALUE"""),"")</f>
        <v/>
      </c>
    </row>
    <row r="7569">
      <c r="A7569" s="17" t="str">
        <f>IFERROR(__xludf.DUMMYFUNCTION("""COMPUTED_VALUE"""),"")</f>
        <v/>
      </c>
      <c r="B7569" s="17" t="str">
        <f>IFERROR(__xludf.DUMMYFUNCTION("""COMPUTED_VALUE"""),"")</f>
        <v/>
      </c>
      <c r="C7569" s="17" t="str">
        <f>IFERROR(__xludf.DUMMYFUNCTION("""COMPUTED_VALUE"""),"")</f>
        <v/>
      </c>
      <c r="D7569" s="17" t="str">
        <f>IFERROR(__xludf.DUMMYFUNCTION("""COMPUTED_VALUE"""),"")</f>
        <v/>
      </c>
      <c r="E7569" s="17" t="str">
        <f>IFERROR(__xludf.DUMMYFUNCTION("""COMPUTED_VALUE"""),"")</f>
        <v/>
      </c>
      <c r="F7569" s="17" t="str">
        <f>IFERROR(__xludf.DUMMYFUNCTION("""COMPUTED_VALUE"""),"")</f>
        <v/>
      </c>
      <c r="G7569" s="17" t="str">
        <f>IFERROR(__xludf.DUMMYFUNCTION("""COMPUTED_VALUE"""),"")</f>
        <v/>
      </c>
      <c r="H7569" s="17" t="str">
        <f>IFERROR(__xludf.DUMMYFUNCTION("""COMPUTED_VALUE"""),"")</f>
        <v/>
      </c>
      <c r="I7569" s="17" t="str">
        <f>IFERROR(__xludf.DUMMYFUNCTION("""COMPUTED_VALUE"""),"")</f>
        <v/>
      </c>
      <c r="J7569" s="17" t="str">
        <f>IFERROR(__xludf.DUMMYFUNCTION("""COMPUTED_VALUE"""),"")</f>
        <v/>
      </c>
      <c r="K7569" s="17" t="str">
        <f>IFERROR(__xludf.DUMMYFUNCTION("""COMPUTED_VALUE"""),"")</f>
        <v/>
      </c>
      <c r="L7569" s="17" t="str">
        <f>IFERROR(__xludf.DUMMYFUNCTION("""COMPUTED_VALUE"""),"")</f>
        <v/>
      </c>
      <c r="M7569" s="17" t="str">
        <f>IFERROR(__xludf.DUMMYFUNCTION("""COMPUTED_VALUE"""),"")</f>
        <v/>
      </c>
      <c r="N7569" s="17" t="str">
        <f>IFERROR(__xludf.DUMMYFUNCTION("""COMPUTED_VALUE"""),"")</f>
        <v/>
      </c>
      <c r="O7569" s="17" t="str">
        <f>IFERROR(__xludf.DUMMYFUNCTION("""COMPUTED_VALUE"""),"")</f>
        <v/>
      </c>
      <c r="P7569" s="17" t="str">
        <f>IFERROR(__xludf.DUMMYFUNCTION("""COMPUTED_VALUE"""),"")</f>
        <v/>
      </c>
      <c r="Q7569" s="17" t="str">
        <f>IFERROR(__xludf.DUMMYFUNCTION("""COMPUTED_VALUE"""),"")</f>
        <v/>
      </c>
      <c r="R7569" s="17" t="str">
        <f>IFERROR(__xludf.DUMMYFUNCTION("""COMPUTED_VALUE"""),"")</f>
        <v/>
      </c>
    </row>
    <row r="7570">
      <c r="A7570" s="15">
        <f>IFERROR(__xludf.DUMMYFUNCTION("""COMPUTED_VALUE"""),45212.0)</f>
        <v>45212</v>
      </c>
      <c r="B7570" s="16" t="str">
        <f>IFERROR(__xludf.DUMMYFUNCTION("""COMPUTED_VALUE"""),"Yenis Carolina sicuamia montaño")</f>
        <v>Yenis Carolina sicuamia montaño</v>
      </c>
      <c r="C7570" s="15" t="str">
        <f>IFERROR(__xludf.DUMMYFUNCTION("""COMPUTED_VALUE"""),"BARRANQUILLA")</f>
        <v>BARRANQUILLA</v>
      </c>
      <c r="D7570" s="15" t="str">
        <f>IFERROR(__xludf.DUMMYFUNCTION("""COMPUTED_VALUE"""),"MEDELLÍN")</f>
        <v>MEDELLÍN</v>
      </c>
      <c r="E7570" s="15" t="str">
        <f>IFERROR(__xludf.DUMMYFUNCTION("""COMPUTED_VALUE"""),"Moloso S.A.S")</f>
        <v>Moloso S.A.S</v>
      </c>
      <c r="F7570" s="17" t="str">
        <f>IFERROR(__xludf.DUMMYFUNCTION("""COMPUTED_VALUE"""),"TRANS 44 102 167 / CONJU. SIERRA. APTO. 939 T5")</f>
        <v>TRANS 44 102 167 / CONJU. SIERRA. APTO. 939 T5</v>
      </c>
      <c r="G7570" s="15" t="str">
        <f>IFERROR(__xludf.DUMMYFUNCTION("""COMPUTED_VALUE"""),"MARIANA ORJUELA CHARCÓN")</f>
        <v>MARIANA ORJUELA CHARCÓN</v>
      </c>
      <c r="H7570" s="16">
        <f>IFERROR(__xludf.DUMMYFUNCTION("""COMPUTED_VALUE"""),16248.0)</f>
        <v>16248</v>
      </c>
      <c r="I7570" s="18">
        <f>IFERROR(__xludf.DUMMYFUNCTION("""COMPUTED_VALUE"""),17.0)</f>
        <v>17</v>
      </c>
      <c r="J7570" s="18">
        <f>IFERROR(__xludf.DUMMYFUNCTION("""COMPUTED_VALUE"""),15.0)</f>
        <v>15</v>
      </c>
      <c r="K7570" s="18">
        <f>IFERROR(__xludf.DUMMYFUNCTION("""COMPUTED_VALUE"""),28.0)</f>
        <v>28</v>
      </c>
      <c r="L7570" s="17" t="str">
        <f>IFERROR(__xludf.DUMMYFUNCTION("""COMPUTED_VALUE"""),"304 5242414")</f>
        <v>304 5242414</v>
      </c>
      <c r="M7570" s="17"/>
      <c r="N7570" s="17"/>
      <c r="O7570" s="17"/>
      <c r="P7570" s="17" t="b">
        <f>IFERROR(__xludf.DUMMYFUNCTION("""COMPUTED_VALUE"""),FALSE)</f>
        <v>0</v>
      </c>
      <c r="Q7570" s="20" t="str">
        <f>IFERROR(__xludf.DUMMYFUNCTION("""COMPUTED_VALUE"""),"")</f>
        <v/>
      </c>
      <c r="R7570" s="21" t="str">
        <f>IFERROR(__xludf.DUMMYFUNCTION("""COMPUTED_VALUE"""),"https://drive.google.com/file/d/1C55WYn_VAsAw_RKKgEN1Gw5gvAQzO5Ae/view?usp=drivesdk")</f>
        <v>https://drive.google.com/file/d/1C55WYn_VAsAw_RKKgEN1Gw5gvAQzO5Ae/view?usp=drivesdk</v>
      </c>
    </row>
    <row r="7571">
      <c r="A7571" s="15">
        <f>IFERROR(__xludf.DUMMYFUNCTION("""COMPUTED_VALUE"""),45212.0)</f>
        <v>45212</v>
      </c>
      <c r="B7571" s="16" t="str">
        <f>IFERROR(__xludf.DUMMYFUNCTION("""COMPUTED_VALUE"""),"Yenis Carolina sicuamia montaño")</f>
        <v>Yenis Carolina sicuamia montaño</v>
      </c>
      <c r="C7571" s="15" t="str">
        <f>IFERROR(__xludf.DUMMYFUNCTION("""COMPUTED_VALUE"""),"BARRANQUILLA")</f>
        <v>BARRANQUILLA</v>
      </c>
      <c r="D7571" s="15" t="str">
        <f>IFERROR(__xludf.DUMMYFUNCTION("""COMPUTED_VALUE"""),"MEDELLÍN")</f>
        <v>MEDELLÍN</v>
      </c>
      <c r="E7571" s="15" t="str">
        <f>IFERROR(__xludf.DUMMYFUNCTION("""COMPUTED_VALUE"""),"Rambla")</f>
        <v>Rambla</v>
      </c>
      <c r="F7571" s="17" t="str">
        <f>IFERROR(__xludf.DUMMYFUNCTION("""COMPUTED_VALUE"""),"CARRERA 74 #76-74 / - / -")</f>
        <v>CARRERA 74 #76-74 / - / -</v>
      </c>
      <c r="G7571" s="15" t="str">
        <f>IFERROR(__xludf.DUMMYFUNCTION("""COMPUTED_VALUE"""),"Fit Hub")</f>
        <v>Fit Hub</v>
      </c>
      <c r="H7571" s="16">
        <f>IFERROR(__xludf.DUMMYFUNCTION("""COMPUTED_VALUE"""),16257.0)</f>
        <v>16257</v>
      </c>
      <c r="I7571" s="18">
        <f>IFERROR(__xludf.DUMMYFUNCTION("""COMPUTED_VALUE"""),24.0)</f>
        <v>24</v>
      </c>
      <c r="J7571" s="18">
        <f>IFERROR(__xludf.DUMMYFUNCTION("""COMPUTED_VALUE"""),24.0)</f>
        <v>24</v>
      </c>
      <c r="K7571" s="18">
        <f>IFERROR(__xludf.DUMMYFUNCTION("""COMPUTED_VALUE"""),24.0)</f>
        <v>24</v>
      </c>
      <c r="L7571" s="17">
        <f>IFERROR(__xludf.DUMMYFUNCTION("""COMPUTED_VALUE"""),3.157039547E9)</f>
        <v>3157039547</v>
      </c>
      <c r="M7571" s="17"/>
      <c r="N7571" s="17"/>
      <c r="O7571" s="17"/>
      <c r="P7571" s="17" t="b">
        <f>IFERROR(__xludf.DUMMYFUNCTION("""COMPUTED_VALUE"""),FALSE)</f>
        <v>0</v>
      </c>
      <c r="Q7571" s="20" t="str">
        <f>IFERROR(__xludf.DUMMYFUNCTION("""COMPUTED_VALUE"""),"")</f>
        <v/>
      </c>
      <c r="R7571" s="21" t="str">
        <f>IFERROR(__xludf.DUMMYFUNCTION("""COMPUTED_VALUE"""),"https://drive.google.com/file/d/1QcABlaXgtDcUxKn1x2QuZdv2hm5KZcAT/view?usp=drivesdk")</f>
        <v>https://drive.google.com/file/d/1QcABlaXgtDcUxKn1x2QuZdv2hm5KZcAT/view?usp=drivesdk</v>
      </c>
    </row>
    <row r="7572">
      <c r="A7572" s="15">
        <f>IFERROR(__xludf.DUMMYFUNCTION("""COMPUTED_VALUE"""),45212.0)</f>
        <v>45212</v>
      </c>
      <c r="B7572" s="16" t="str">
        <f>IFERROR(__xludf.DUMMYFUNCTION("""COMPUTED_VALUE"""),"Yenis Carolina sicuamia montaño")</f>
        <v>Yenis Carolina sicuamia montaño</v>
      </c>
      <c r="C7572" s="15" t="str">
        <f>IFERROR(__xludf.DUMMYFUNCTION("""COMPUTED_VALUE"""),"VALLEDUPAR")</f>
        <v>VALLEDUPAR</v>
      </c>
      <c r="D7572" s="15" t="str">
        <f>IFERROR(__xludf.DUMMYFUNCTION("""COMPUTED_VALUE"""),"BOGOTÁ")</f>
        <v>BOGOTÁ</v>
      </c>
      <c r="E7572" s="15" t="str">
        <f>IFERROR(__xludf.DUMMYFUNCTION("""COMPUTED_VALUE"""),"Evamazzita")</f>
        <v>Evamazzita</v>
      </c>
      <c r="F7572" s="17" t="str">
        <f>IFERROR(__xludf.DUMMYFUNCTION("""COMPUTED_VALUE"""),"Carrera16#16a-51 / barrio Santana Valledupar CésaR")</f>
        <v>Carrera16#16a-51 / barrio Santana Valledupar CésaR</v>
      </c>
      <c r="G7572" s="15" t="str">
        <f>IFERROR(__xludf.DUMMYFUNCTION("""COMPUTED_VALUE"""),"AIDA ELENA CAMPOS OSIAS")</f>
        <v>AIDA ELENA CAMPOS OSIAS</v>
      </c>
      <c r="H7572" s="16">
        <f>IFERROR(__xludf.DUMMYFUNCTION("""COMPUTED_VALUE"""),16233.0)</f>
        <v>16233</v>
      </c>
      <c r="I7572" s="18">
        <f>IFERROR(__xludf.DUMMYFUNCTION("""COMPUTED_VALUE"""),1.0)</f>
        <v>1</v>
      </c>
      <c r="J7572" s="18">
        <f>IFERROR(__xludf.DUMMYFUNCTION("""COMPUTED_VALUE"""),1.0)</f>
        <v>1</v>
      </c>
      <c r="K7572" s="18">
        <f>IFERROR(__xludf.DUMMYFUNCTION("""COMPUTED_VALUE"""),1.0)</f>
        <v>1</v>
      </c>
      <c r="L7572" s="17">
        <f>IFERROR(__xludf.DUMMYFUNCTION("""COMPUTED_VALUE"""),3.186238039E9)</f>
        <v>3186238039</v>
      </c>
      <c r="M7572" s="17"/>
      <c r="N7572" s="17"/>
      <c r="O7572" s="17"/>
      <c r="P7572" s="17" t="b">
        <f>IFERROR(__xludf.DUMMYFUNCTION("""COMPUTED_VALUE"""),FALSE)</f>
        <v>0</v>
      </c>
      <c r="Q7572" s="20" t="str">
        <f>IFERROR(__xludf.DUMMYFUNCTION("""COMPUTED_VALUE"""),"")</f>
        <v/>
      </c>
      <c r="R7572" s="22" t="str">
        <f>IFERROR(__xludf.DUMMYFUNCTION("""COMPUTED_VALUE"""),"")</f>
        <v/>
      </c>
    </row>
    <row r="7573">
      <c r="A7573" s="17" t="str">
        <f>IFERROR(__xludf.DUMMYFUNCTION("""COMPUTED_VALUE"""),"")</f>
        <v/>
      </c>
      <c r="B7573" s="17" t="str">
        <f>IFERROR(__xludf.DUMMYFUNCTION("""COMPUTED_VALUE"""),"")</f>
        <v/>
      </c>
      <c r="C7573" s="17" t="str">
        <f>IFERROR(__xludf.DUMMYFUNCTION("""COMPUTED_VALUE"""),"")</f>
        <v/>
      </c>
      <c r="D7573" s="17" t="str">
        <f>IFERROR(__xludf.DUMMYFUNCTION("""COMPUTED_VALUE"""),"")</f>
        <v/>
      </c>
      <c r="E7573" s="17" t="str">
        <f>IFERROR(__xludf.DUMMYFUNCTION("""COMPUTED_VALUE"""),"")</f>
        <v/>
      </c>
      <c r="F7573" s="17" t="str">
        <f>IFERROR(__xludf.DUMMYFUNCTION("""COMPUTED_VALUE"""),"")</f>
        <v/>
      </c>
      <c r="G7573" s="17" t="str">
        <f>IFERROR(__xludf.DUMMYFUNCTION("""COMPUTED_VALUE"""),"")</f>
        <v/>
      </c>
      <c r="H7573" s="17" t="str">
        <f>IFERROR(__xludf.DUMMYFUNCTION("""COMPUTED_VALUE"""),"")</f>
        <v/>
      </c>
      <c r="I7573" s="17" t="str">
        <f>IFERROR(__xludf.DUMMYFUNCTION("""COMPUTED_VALUE"""),"")</f>
        <v/>
      </c>
      <c r="J7573" s="17" t="str">
        <f>IFERROR(__xludf.DUMMYFUNCTION("""COMPUTED_VALUE"""),"")</f>
        <v/>
      </c>
      <c r="K7573" s="17" t="str">
        <f>IFERROR(__xludf.DUMMYFUNCTION("""COMPUTED_VALUE"""),"")</f>
        <v/>
      </c>
      <c r="L7573" s="17" t="str">
        <f>IFERROR(__xludf.DUMMYFUNCTION("""COMPUTED_VALUE"""),"")</f>
        <v/>
      </c>
      <c r="M7573" s="17" t="str">
        <f>IFERROR(__xludf.DUMMYFUNCTION("""COMPUTED_VALUE"""),"")</f>
        <v/>
      </c>
      <c r="N7573" s="17" t="str">
        <f>IFERROR(__xludf.DUMMYFUNCTION("""COMPUTED_VALUE"""),"")</f>
        <v/>
      </c>
      <c r="O7573" s="17" t="str">
        <f>IFERROR(__xludf.DUMMYFUNCTION("""COMPUTED_VALUE"""),"")</f>
        <v/>
      </c>
      <c r="P7573" s="17" t="str">
        <f>IFERROR(__xludf.DUMMYFUNCTION("""COMPUTED_VALUE"""),"")</f>
        <v/>
      </c>
      <c r="Q7573" s="17" t="str">
        <f>IFERROR(__xludf.DUMMYFUNCTION("""COMPUTED_VALUE"""),"")</f>
        <v/>
      </c>
      <c r="R7573" s="17" t="str">
        <f>IFERROR(__xludf.DUMMYFUNCTION("""COMPUTED_VALUE"""),"")</f>
        <v/>
      </c>
    </row>
    <row r="7574">
      <c r="A7574" s="15">
        <f>IFERROR(__xludf.DUMMYFUNCTION("""COMPUTED_VALUE"""),45213.0)</f>
        <v>45213</v>
      </c>
      <c r="B7574" s="16" t="str">
        <f>IFERROR(__xludf.DUMMYFUNCTION("""COMPUTED_VALUE"""),"Santiago Garces Restrepo")</f>
        <v>Santiago Garces Restrepo</v>
      </c>
      <c r="C7574" s="15" t="str">
        <f>IFERROR(__xludf.DUMMYFUNCTION("""COMPUTED_VALUE"""),"BOGOTÁ")</f>
        <v>BOGOTÁ</v>
      </c>
      <c r="D7574" s="15" t="str">
        <f>IFERROR(__xludf.DUMMYFUNCTION("""COMPUTED_VALUE"""),"BUCARAMANGA")</f>
        <v>BUCARAMANGA</v>
      </c>
      <c r="E7574" s="15" t="str">
        <f>IFERROR(__xludf.DUMMYFUNCTION("""COMPUTED_VALUE"""),"Yo Como Solito")</f>
        <v>Yo Como Solito</v>
      </c>
      <c r="F7574" s="17" t="str">
        <f>IFERROR(__xludf.DUMMYFUNCTION("""COMPUTED_VALUE"""),"CARRERA 45A #128-62  / CARRERA 45A #128-62  / CARRERA 45A #128-62")</f>
        <v>CARRERA 45A #128-62  / CARRERA 45A #128-62  / CARRERA 45A #128-62</v>
      </c>
      <c r="G7574" s="15" t="str">
        <f>IFERROR(__xludf.DUMMYFUNCTION("""COMPUTED_VALUE"""),"LINA PAOLA RAMIREZ")</f>
        <v>LINA PAOLA RAMIREZ</v>
      </c>
      <c r="H7574" s="16">
        <f>IFERROR(__xludf.DUMMYFUNCTION("""COMPUTED_VALUE"""),16256.0)</f>
        <v>16256</v>
      </c>
      <c r="I7574" s="18">
        <f>IFERROR(__xludf.DUMMYFUNCTION("""COMPUTED_VALUE"""),23.0)</f>
        <v>23</v>
      </c>
      <c r="J7574" s="18">
        <f>IFERROR(__xludf.DUMMYFUNCTION("""COMPUTED_VALUE"""),50.0)</f>
        <v>50</v>
      </c>
      <c r="K7574" s="18">
        <f>IFERROR(__xludf.DUMMYFUNCTION("""COMPUTED_VALUE"""),28.0)</f>
        <v>28</v>
      </c>
      <c r="L7574" s="17">
        <f>IFERROR(__xludf.DUMMYFUNCTION("""COMPUTED_VALUE"""),3.12327346E9)</f>
        <v>3123273460</v>
      </c>
      <c r="M7574" s="17"/>
      <c r="N7574" s="17"/>
      <c r="O7574" s="17"/>
      <c r="P7574" s="17" t="b">
        <f>IFERROR(__xludf.DUMMYFUNCTION("""COMPUTED_VALUE"""),FALSE)</f>
        <v>0</v>
      </c>
      <c r="Q7574" s="20" t="str">
        <f>IFERROR(__xludf.DUMMYFUNCTION("""COMPUTED_VALUE"""),"")</f>
        <v/>
      </c>
      <c r="R7574" s="22" t="str">
        <f>IFERROR(__xludf.DUMMYFUNCTION("""COMPUTED_VALUE"""),"")</f>
        <v/>
      </c>
    </row>
    <row r="7575">
      <c r="A7575" s="15">
        <f>IFERROR(__xludf.DUMMYFUNCTION("""COMPUTED_VALUE"""),45213.0)</f>
        <v>45213</v>
      </c>
      <c r="B7575" s="16" t="str">
        <f>IFERROR(__xludf.DUMMYFUNCTION("""COMPUTED_VALUE"""),"Santiago Garces Restrepo")</f>
        <v>Santiago Garces Restrepo</v>
      </c>
      <c r="C7575" s="15" t="str">
        <f>IFERROR(__xludf.DUMMYFUNCTION("""COMPUTED_VALUE"""),"MEDELLÍN")</f>
        <v>MEDELLÍN</v>
      </c>
      <c r="D7575" s="15" t="str">
        <f>IFERROR(__xludf.DUMMYFUNCTION("""COMPUTED_VALUE"""),"CARTAGENA")</f>
        <v>CARTAGENA</v>
      </c>
      <c r="E7575" s="15" t="str">
        <f>IFERROR(__xludf.DUMMYFUNCTION("""COMPUTED_VALUE"""),"Videobase")</f>
        <v>Videobase</v>
      </c>
      <c r="F7575" s="17" t="str">
        <f>IFERROR(__xludf.DUMMYFUNCTION("""COMPUTED_VALUE"""),"cra 48 # 12 sur -148  / Centro el crucero torre 2  / no tenemos")</f>
        <v>cra 48 # 12 sur -148  / Centro el crucero torre 2  / no tenemos</v>
      </c>
      <c r="G7575" s="15" t="str">
        <f>IFERROR(__xludf.DUMMYFUNCTION("""COMPUTED_VALUE"""),"Liseth Garzón")</f>
        <v>Liseth Garzón</v>
      </c>
      <c r="H7575" s="16">
        <f>IFERROR(__xludf.DUMMYFUNCTION("""COMPUTED_VALUE"""),16102.0)</f>
        <v>16102</v>
      </c>
      <c r="I7575" s="18">
        <f>IFERROR(__xludf.DUMMYFUNCTION("""COMPUTED_VALUE"""),4.0)</f>
        <v>4</v>
      </c>
      <c r="J7575" s="18">
        <f>IFERROR(__xludf.DUMMYFUNCTION("""COMPUTED_VALUE"""),22.0)</f>
        <v>22</v>
      </c>
      <c r="K7575" s="18">
        <f>IFERROR(__xludf.DUMMYFUNCTION("""COMPUTED_VALUE"""),18.0)</f>
        <v>18</v>
      </c>
      <c r="L7575" s="17">
        <f>IFERROR(__xludf.DUMMYFUNCTION("""COMPUTED_VALUE"""),3.137013886E9)</f>
        <v>3137013886</v>
      </c>
      <c r="M7575" s="17"/>
      <c r="N7575" s="17"/>
      <c r="O7575" s="17"/>
      <c r="P7575" s="17" t="b">
        <f>IFERROR(__xludf.DUMMYFUNCTION("""COMPUTED_VALUE"""),FALSE)</f>
        <v>0</v>
      </c>
      <c r="Q7575" s="20" t="str">
        <f>IFERROR(__xludf.DUMMYFUNCTION("""COMPUTED_VALUE"""),"")</f>
        <v/>
      </c>
      <c r="R7575" s="22" t="str">
        <f>IFERROR(__xludf.DUMMYFUNCTION("""COMPUTED_VALUE"""),"")</f>
        <v/>
      </c>
    </row>
    <row r="7576">
      <c r="A7576" s="17" t="str">
        <f>IFERROR(__xludf.DUMMYFUNCTION("""COMPUTED_VALUE"""),"")</f>
        <v/>
      </c>
      <c r="B7576" s="17" t="str">
        <f>IFERROR(__xludf.DUMMYFUNCTION("""COMPUTED_VALUE"""),"")</f>
        <v/>
      </c>
      <c r="C7576" s="17" t="str">
        <f>IFERROR(__xludf.DUMMYFUNCTION("""COMPUTED_VALUE"""),"")</f>
        <v/>
      </c>
      <c r="D7576" s="17" t="str">
        <f>IFERROR(__xludf.DUMMYFUNCTION("""COMPUTED_VALUE"""),"")</f>
        <v/>
      </c>
      <c r="E7576" s="17" t="str">
        <f>IFERROR(__xludf.DUMMYFUNCTION("""COMPUTED_VALUE"""),"")</f>
        <v/>
      </c>
      <c r="F7576" s="17" t="str">
        <f>IFERROR(__xludf.DUMMYFUNCTION("""COMPUTED_VALUE"""),"")</f>
        <v/>
      </c>
      <c r="G7576" s="17" t="str">
        <f>IFERROR(__xludf.DUMMYFUNCTION("""COMPUTED_VALUE"""),"")</f>
        <v/>
      </c>
      <c r="H7576" s="17" t="str">
        <f>IFERROR(__xludf.DUMMYFUNCTION("""COMPUTED_VALUE"""),"")</f>
        <v/>
      </c>
      <c r="I7576" s="17" t="str">
        <f>IFERROR(__xludf.DUMMYFUNCTION("""COMPUTED_VALUE"""),"")</f>
        <v/>
      </c>
      <c r="J7576" s="17" t="str">
        <f>IFERROR(__xludf.DUMMYFUNCTION("""COMPUTED_VALUE"""),"")</f>
        <v/>
      </c>
      <c r="K7576" s="17" t="str">
        <f>IFERROR(__xludf.DUMMYFUNCTION("""COMPUTED_VALUE"""),"")</f>
        <v/>
      </c>
      <c r="L7576" s="17" t="str">
        <f>IFERROR(__xludf.DUMMYFUNCTION("""COMPUTED_VALUE"""),"")</f>
        <v/>
      </c>
      <c r="M7576" s="17" t="str">
        <f>IFERROR(__xludf.DUMMYFUNCTION("""COMPUTED_VALUE"""),"")</f>
        <v/>
      </c>
      <c r="N7576" s="17" t="str">
        <f>IFERROR(__xludf.DUMMYFUNCTION("""COMPUTED_VALUE"""),"")</f>
        <v/>
      </c>
      <c r="O7576" s="17" t="str">
        <f>IFERROR(__xludf.DUMMYFUNCTION("""COMPUTED_VALUE"""),"")</f>
        <v/>
      </c>
      <c r="P7576" s="17" t="str">
        <f>IFERROR(__xludf.DUMMYFUNCTION("""COMPUTED_VALUE"""),"")</f>
        <v/>
      </c>
      <c r="Q7576" s="17" t="str">
        <f>IFERROR(__xludf.DUMMYFUNCTION("""COMPUTED_VALUE"""),"")</f>
        <v/>
      </c>
      <c r="R7576" s="17" t="str">
        <f>IFERROR(__xludf.DUMMYFUNCTION("""COMPUTED_VALUE"""),"")</f>
        <v/>
      </c>
    </row>
    <row r="7577">
      <c r="A7577" s="15">
        <f>IFERROR(__xludf.DUMMYFUNCTION("""COMPUTED_VALUE"""),45217.0)</f>
        <v>45217</v>
      </c>
      <c r="B7577" s="17"/>
      <c r="C7577" s="15" t="str">
        <f>IFERROR(__xludf.DUMMYFUNCTION("""COMPUTED_VALUE"""),"BOGOTÁ")</f>
        <v>BOGOTÁ</v>
      </c>
      <c r="D7577" s="15" t="str">
        <f>IFERROR(__xludf.DUMMYFUNCTION("""COMPUTED_VALUE"""),"MEDELLÍN")</f>
        <v>MEDELLÍN</v>
      </c>
      <c r="E7577" s="15" t="str">
        <f>IFERROR(__xludf.DUMMYFUNCTION("""COMPUTED_VALUE"""),"AREPAS LA MARY")</f>
        <v>AREPAS LA MARY</v>
      </c>
      <c r="F7577" s="17" t="str">
        <f>IFERROR(__xludf.DUMMYFUNCTION("""COMPUTED_VALUE"""),"CALLE 56 # 36 A 44  / APTO 102")</f>
        <v>CALLE 56 # 36 A 44  / APTO 102</v>
      </c>
      <c r="G7577" s="15" t="str">
        <f>IFERROR(__xludf.DUMMYFUNCTION("""COMPUTED_VALUE"""),"ALEJANDRA  HERAZO")</f>
        <v>ALEJANDRA  HERAZO</v>
      </c>
      <c r="H7577" s="16">
        <f>IFERROR(__xludf.DUMMYFUNCTION("""COMPUTED_VALUE"""),16375.0)</f>
        <v>16375</v>
      </c>
      <c r="I7577" s="18">
        <f>IFERROR(__xludf.DUMMYFUNCTION("""COMPUTED_VALUE"""),89.0)</f>
        <v>89</v>
      </c>
      <c r="J7577" s="18">
        <f>IFERROR(__xludf.DUMMYFUNCTION("""COMPUTED_VALUE"""),1.0)</f>
        <v>1</v>
      </c>
      <c r="K7577" s="18">
        <f>IFERROR(__xludf.DUMMYFUNCTION("""COMPUTED_VALUE"""),10.0)</f>
        <v>10</v>
      </c>
      <c r="L7577" s="17">
        <f>IFERROR(__xludf.DUMMYFUNCTION("""COMPUTED_VALUE"""),3.186337231E9)</f>
        <v>3186337231</v>
      </c>
      <c r="M7577" s="17"/>
      <c r="N7577" s="17"/>
      <c r="O7577" s="17"/>
      <c r="P7577" s="17" t="b">
        <f>IFERROR(__xludf.DUMMYFUNCTION("""COMPUTED_VALUE"""),FALSE)</f>
        <v>0</v>
      </c>
      <c r="Q7577" s="20" t="str">
        <f>IFERROR(__xludf.DUMMYFUNCTION("""COMPUTED_VALUE"""),"")</f>
        <v/>
      </c>
      <c r="R7577" s="21" t="str">
        <f>IFERROR(__xludf.DUMMYFUNCTION("""COMPUTED_VALUE"""),"https://drive.google.com/file/d/1gufIkXk4WXd-ASm8ndDPCorSxul3SZ81/view?usp=drivesdk")</f>
        <v>https://drive.google.com/file/d/1gufIkXk4WXd-ASm8ndDPCorSxul3SZ81/view?usp=drivesdk</v>
      </c>
    </row>
    <row r="7578">
      <c r="A7578" s="15">
        <f>IFERROR(__xludf.DUMMYFUNCTION("""COMPUTED_VALUE"""),45217.0)</f>
        <v>45217</v>
      </c>
      <c r="B7578" s="17"/>
      <c r="C7578" s="15" t="str">
        <f>IFERROR(__xludf.DUMMYFUNCTION("""COMPUTED_VALUE"""),"PEREIRA")</f>
        <v>PEREIRA</v>
      </c>
      <c r="D7578" s="15" t="str">
        <f>IFERROR(__xludf.DUMMYFUNCTION("""COMPUTED_VALUE"""),"BOGOTÁ")</f>
        <v>BOGOTÁ</v>
      </c>
      <c r="E7578" s="15" t="str">
        <f>IFERROR(__xludf.DUMMYFUNCTION("""COMPUTED_VALUE"""),"Pan de Waffle")</f>
        <v>Pan de Waffle</v>
      </c>
      <c r="F7578" s="17" t="str">
        <f>IFERROR(__xludf.DUMMYFUNCTION("""COMPUTED_VALUE"""),"Av. De las Americas Mercasa, zp 17 Bodega 2 - Pereira / Av. De las Americas Mercasa, zp 17 Bodega 2 - Pereira / Av. De las Americas Mercasa, zp 17 Bodega 2 - Pereira")</f>
        <v>Av. De las Americas Mercasa, zp 17 Bodega 2 - Pereira / Av. De las Americas Mercasa, zp 17 Bodega 2 - Pereira / Av. De las Americas Mercasa, zp 17 Bodega 2 - Pereira</v>
      </c>
      <c r="G7578" s="15" t="str">
        <f>IFERROR(__xludf.DUMMYFUNCTION("""COMPUTED_VALUE"""),"EL ORIGEN")</f>
        <v>EL ORIGEN</v>
      </c>
      <c r="H7578" s="16">
        <f>IFERROR(__xludf.DUMMYFUNCTION("""COMPUTED_VALUE"""),16347.0)</f>
        <v>16347</v>
      </c>
      <c r="I7578" s="18">
        <f>IFERROR(__xludf.DUMMYFUNCTION("""COMPUTED_VALUE"""),40.0)</f>
        <v>40</v>
      </c>
      <c r="J7578" s="18">
        <f>IFERROR(__xludf.DUMMYFUNCTION("""COMPUTED_VALUE"""),30.0)</f>
        <v>30</v>
      </c>
      <c r="K7578" s="18">
        <f>IFERROR(__xludf.DUMMYFUNCTION("""COMPUTED_VALUE"""),30.0)</f>
        <v>30</v>
      </c>
      <c r="L7578" s="17">
        <f>IFERROR(__xludf.DUMMYFUNCTION("""COMPUTED_VALUE"""),3.184341572E9)</f>
        <v>3184341572</v>
      </c>
      <c r="M7578" s="17"/>
      <c r="N7578" s="17"/>
      <c r="O7578" s="17"/>
      <c r="P7578" s="17" t="b">
        <f>IFERROR(__xludf.DUMMYFUNCTION("""COMPUTED_VALUE"""),FALSE)</f>
        <v>0</v>
      </c>
      <c r="Q7578" s="20" t="str">
        <f>IFERROR(__xludf.DUMMYFUNCTION("""COMPUTED_VALUE"""),"")</f>
        <v/>
      </c>
      <c r="R7578" s="22" t="str">
        <f>IFERROR(__xludf.DUMMYFUNCTION("""COMPUTED_VALUE"""),"")</f>
        <v/>
      </c>
    </row>
    <row r="7579">
      <c r="A7579" s="17" t="str">
        <f>IFERROR(__xludf.DUMMYFUNCTION("""COMPUTED_VALUE"""),"")</f>
        <v/>
      </c>
      <c r="B7579" s="17" t="str">
        <f>IFERROR(__xludf.DUMMYFUNCTION("""COMPUTED_VALUE"""),"")</f>
        <v/>
      </c>
      <c r="C7579" s="17" t="str">
        <f>IFERROR(__xludf.DUMMYFUNCTION("""COMPUTED_VALUE"""),"")</f>
        <v/>
      </c>
      <c r="D7579" s="17" t="str">
        <f>IFERROR(__xludf.DUMMYFUNCTION("""COMPUTED_VALUE"""),"")</f>
        <v/>
      </c>
      <c r="E7579" s="17" t="str">
        <f>IFERROR(__xludf.DUMMYFUNCTION("""COMPUTED_VALUE"""),"")</f>
        <v/>
      </c>
      <c r="F7579" s="17" t="str">
        <f>IFERROR(__xludf.DUMMYFUNCTION("""COMPUTED_VALUE"""),"")</f>
        <v/>
      </c>
      <c r="G7579" s="17" t="str">
        <f>IFERROR(__xludf.DUMMYFUNCTION("""COMPUTED_VALUE"""),"")</f>
        <v/>
      </c>
      <c r="H7579" s="17" t="str">
        <f>IFERROR(__xludf.DUMMYFUNCTION("""COMPUTED_VALUE"""),"")</f>
        <v/>
      </c>
      <c r="I7579" s="17" t="str">
        <f>IFERROR(__xludf.DUMMYFUNCTION("""COMPUTED_VALUE"""),"")</f>
        <v/>
      </c>
      <c r="J7579" s="17" t="str">
        <f>IFERROR(__xludf.DUMMYFUNCTION("""COMPUTED_VALUE"""),"")</f>
        <v/>
      </c>
      <c r="K7579" s="17" t="str">
        <f>IFERROR(__xludf.DUMMYFUNCTION("""COMPUTED_VALUE"""),"")</f>
        <v/>
      </c>
      <c r="L7579" s="17" t="str">
        <f>IFERROR(__xludf.DUMMYFUNCTION("""COMPUTED_VALUE"""),"")</f>
        <v/>
      </c>
      <c r="M7579" s="17" t="str">
        <f>IFERROR(__xludf.DUMMYFUNCTION("""COMPUTED_VALUE"""),"")</f>
        <v/>
      </c>
      <c r="N7579" s="17" t="str">
        <f>IFERROR(__xludf.DUMMYFUNCTION("""COMPUTED_VALUE"""),"")</f>
        <v/>
      </c>
      <c r="O7579" s="17" t="str">
        <f>IFERROR(__xludf.DUMMYFUNCTION("""COMPUTED_VALUE"""),"")</f>
        <v/>
      </c>
      <c r="P7579" s="17" t="str">
        <f>IFERROR(__xludf.DUMMYFUNCTION("""COMPUTED_VALUE"""),"")</f>
        <v/>
      </c>
      <c r="Q7579" s="17" t="str">
        <f>IFERROR(__xludf.DUMMYFUNCTION("""COMPUTED_VALUE"""),"")</f>
        <v/>
      </c>
      <c r="R7579" s="17" t="str">
        <f>IFERROR(__xludf.DUMMYFUNCTION("""COMPUTED_VALUE"""),"")</f>
        <v/>
      </c>
    </row>
    <row r="7580">
      <c r="A7580" s="15">
        <f>IFERROR(__xludf.DUMMYFUNCTION("""COMPUTED_VALUE"""),45217.0)</f>
        <v>45217</v>
      </c>
      <c r="B7580" s="16" t="str">
        <f>IFERROR(__xludf.DUMMYFUNCTION("""COMPUTED_VALUE"""),"Alvaro Chacón")</f>
        <v>Alvaro Chacón</v>
      </c>
      <c r="C7580" s="15" t="str">
        <f>IFERROR(__xludf.DUMMYFUNCTION("""COMPUTED_VALUE"""),"BOGOTÁ")</f>
        <v>BOGOTÁ</v>
      </c>
      <c r="D7580" s="15" t="str">
        <f>IFERROR(__xludf.DUMMYFUNCTION("""COMPUTED_VALUE"""),"MEDELLÍN")</f>
        <v>MEDELLÍN</v>
      </c>
      <c r="E7580" s="15" t="str">
        <f>IFERROR(__xludf.DUMMYFUNCTION("""COMPUTED_VALUE"""),"AREPAS LA MARY")</f>
        <v>AREPAS LA MARY</v>
      </c>
      <c r="F7580" s="17" t="str">
        <f>IFERROR(__xludf.DUMMYFUNCTION("""COMPUTED_VALUE"""),"CALLE 142 # 13 - 44  APTO 1011")</f>
        <v>CALLE 142 # 13 - 44  APTO 1011</v>
      </c>
      <c r="G7580" s="15" t="str">
        <f>IFERROR(__xludf.DUMMYFUNCTION("""COMPUTED_VALUE"""),"GIUSEPPINA")</f>
        <v>GIUSEPPINA</v>
      </c>
      <c r="H7580" s="16">
        <f>IFERROR(__xludf.DUMMYFUNCTION("""COMPUTED_VALUE"""),16377.0)</f>
        <v>16377</v>
      </c>
      <c r="I7580" s="18">
        <f>IFERROR(__xludf.DUMMYFUNCTION("""COMPUTED_VALUE"""),89.0)</f>
        <v>89</v>
      </c>
      <c r="J7580" s="18">
        <f>IFERROR(__xludf.DUMMYFUNCTION("""COMPUTED_VALUE"""),1.0)</f>
        <v>1</v>
      </c>
      <c r="K7580" s="18">
        <f>IFERROR(__xludf.DUMMYFUNCTION("""COMPUTED_VALUE"""),10.0)</f>
        <v>10</v>
      </c>
      <c r="L7580" s="17">
        <f>IFERROR(__xludf.DUMMYFUNCTION("""COMPUTED_VALUE"""),3.147241445E9)</f>
        <v>3147241445</v>
      </c>
      <c r="M7580" s="17"/>
      <c r="N7580" s="17"/>
      <c r="O7580" s="17"/>
      <c r="P7580" s="17" t="b">
        <f>IFERROR(__xludf.DUMMYFUNCTION("""COMPUTED_VALUE"""),FALSE)</f>
        <v>0</v>
      </c>
      <c r="Q7580" s="20" t="str">
        <f>IFERROR(__xludf.DUMMYFUNCTION("""COMPUTED_VALUE"""),"")</f>
        <v/>
      </c>
      <c r="R7580" s="21" t="str">
        <f>IFERROR(__xludf.DUMMYFUNCTION("""COMPUTED_VALUE"""),"https://drive.google.com/file/d/1b-xT_Ip0LCJm0wqpRcZDVfjP8CYgFFr1/view?usp=drivesdk")</f>
        <v>https://drive.google.com/file/d/1b-xT_Ip0LCJm0wqpRcZDVfjP8CYgFFr1/view?usp=drivesdk</v>
      </c>
    </row>
    <row r="7581">
      <c r="A7581" s="15">
        <f>IFERROR(__xludf.DUMMYFUNCTION("""COMPUTED_VALUE"""),45217.0)</f>
        <v>45217</v>
      </c>
      <c r="B7581" s="16" t="str">
        <f>IFERROR(__xludf.DUMMYFUNCTION("""COMPUTED_VALUE"""),"Alvaro Chacón")</f>
        <v>Alvaro Chacón</v>
      </c>
      <c r="C7581" s="15" t="str">
        <f>IFERROR(__xludf.DUMMYFUNCTION("""COMPUTED_VALUE"""),"BOGOTÁ")</f>
        <v>BOGOTÁ</v>
      </c>
      <c r="D7581" s="15" t="str">
        <f>IFERROR(__xludf.DUMMYFUNCTION("""COMPUTED_VALUE"""),"MEDELLÍN")</f>
        <v>MEDELLÍN</v>
      </c>
      <c r="E7581" s="15" t="str">
        <f>IFERROR(__xludf.DUMMYFUNCTION("""COMPUTED_VALUE"""),"AREPAS LA MARY")</f>
        <v>AREPAS LA MARY</v>
      </c>
      <c r="F7581" s="17" t="str">
        <f>IFERROR(__xludf.DUMMYFUNCTION("""COMPUTED_VALUE"""),"CARRERA 22 # 106 B 61")</f>
        <v>CARRERA 22 # 106 B 61</v>
      </c>
      <c r="G7581" s="15" t="str">
        <f>IFERROR(__xludf.DUMMYFUNCTION("""COMPUTED_VALUE"""),"ANGELA  RIVEROS")</f>
        <v>ANGELA  RIVEROS</v>
      </c>
      <c r="H7581" s="16">
        <f>IFERROR(__xludf.DUMMYFUNCTION("""COMPUTED_VALUE"""),16376.0)</f>
        <v>16376</v>
      </c>
      <c r="I7581" s="18">
        <f>IFERROR(__xludf.DUMMYFUNCTION("""COMPUTED_VALUE"""),89.0)</f>
        <v>89</v>
      </c>
      <c r="J7581" s="18">
        <f>IFERROR(__xludf.DUMMYFUNCTION("""COMPUTED_VALUE"""),1.0)</f>
        <v>1</v>
      </c>
      <c r="K7581" s="18">
        <f>IFERROR(__xludf.DUMMYFUNCTION("""COMPUTED_VALUE"""),10.0)</f>
        <v>10</v>
      </c>
      <c r="L7581" s="17">
        <f>IFERROR(__xludf.DUMMYFUNCTION("""COMPUTED_VALUE"""),3.017365249E9)</f>
        <v>3017365249</v>
      </c>
      <c r="M7581" s="17"/>
      <c r="N7581" s="17"/>
      <c r="O7581" s="17"/>
      <c r="P7581" s="17" t="b">
        <f>IFERROR(__xludf.DUMMYFUNCTION("""COMPUTED_VALUE"""),FALSE)</f>
        <v>0</v>
      </c>
      <c r="Q7581" s="20" t="str">
        <f>IFERROR(__xludf.DUMMYFUNCTION("""COMPUTED_VALUE"""),"")</f>
        <v/>
      </c>
      <c r="R7581" s="21" t="str">
        <f>IFERROR(__xludf.DUMMYFUNCTION("""COMPUTED_VALUE"""),"https://drive.google.com/file/d/1wGVvSJxd8oZxtAn4vTrFrvGOTQ2Te3ig/view?usp=drivesdk")</f>
        <v>https://drive.google.com/file/d/1wGVvSJxd8oZxtAn4vTrFrvGOTQ2Te3ig/view?usp=drivesdk</v>
      </c>
    </row>
    <row r="7582">
      <c r="A7582" s="15">
        <f>IFERROR(__xludf.DUMMYFUNCTION("""COMPUTED_VALUE"""),45217.0)</f>
        <v>45217</v>
      </c>
      <c r="B7582" s="16" t="str">
        <f>IFERROR(__xludf.DUMMYFUNCTION("""COMPUTED_VALUE"""),"Alvaro Chacón")</f>
        <v>Alvaro Chacón</v>
      </c>
      <c r="C7582" s="15" t="str">
        <f>IFERROR(__xludf.DUMMYFUNCTION("""COMPUTED_VALUE"""),"BOGOTÁ")</f>
        <v>BOGOTÁ</v>
      </c>
      <c r="D7582" s="15" t="str">
        <f>IFERROR(__xludf.DUMMYFUNCTION("""COMPUTED_VALUE"""),"MEDELLÍN")</f>
        <v>MEDELLÍN</v>
      </c>
      <c r="E7582" s="15" t="str">
        <f>IFERROR(__xludf.DUMMYFUNCTION("""COMPUTED_VALUE"""),"AREPAS LA MARY")</f>
        <v>AREPAS LA MARY</v>
      </c>
      <c r="F7582" s="17" t="str">
        <f>IFERROR(__xludf.DUMMYFUNCTION("""COMPUTED_VALUE"""),"CARRERA 22 # 106 B 61")</f>
        <v>CARRERA 22 # 106 B 61</v>
      </c>
      <c r="G7582" s="15" t="str">
        <f>IFERROR(__xludf.DUMMYFUNCTION("""COMPUTED_VALUE"""),"ANGELA  RIVEROS")</f>
        <v>ANGELA  RIVEROS</v>
      </c>
      <c r="H7582" s="16">
        <f>IFERROR(__xludf.DUMMYFUNCTION("""COMPUTED_VALUE"""),16380.0)</f>
        <v>16380</v>
      </c>
      <c r="I7582" s="18">
        <f>IFERROR(__xludf.DUMMYFUNCTION("""COMPUTED_VALUE"""),89.0)</f>
        <v>89</v>
      </c>
      <c r="J7582" s="18">
        <f>IFERROR(__xludf.DUMMYFUNCTION("""COMPUTED_VALUE"""),1.0)</f>
        <v>1</v>
      </c>
      <c r="K7582" s="18">
        <f>IFERROR(__xludf.DUMMYFUNCTION("""COMPUTED_VALUE"""),10.0)</f>
        <v>10</v>
      </c>
      <c r="L7582" s="17">
        <f>IFERROR(__xludf.DUMMYFUNCTION("""COMPUTED_VALUE"""),3.017365249E9)</f>
        <v>3017365249</v>
      </c>
      <c r="M7582" s="17"/>
      <c r="N7582" s="17"/>
      <c r="O7582" s="17"/>
      <c r="P7582" s="17" t="b">
        <f>IFERROR(__xludf.DUMMYFUNCTION("""COMPUTED_VALUE"""),FALSE)</f>
        <v>0</v>
      </c>
      <c r="Q7582" s="20" t="str">
        <f>IFERROR(__xludf.DUMMYFUNCTION("""COMPUTED_VALUE"""),"")</f>
        <v/>
      </c>
      <c r="R7582" s="22" t="str">
        <f>IFERROR(__xludf.DUMMYFUNCTION("""COMPUTED_VALUE"""),"")</f>
        <v/>
      </c>
    </row>
    <row r="7583">
      <c r="A7583" s="15">
        <f>IFERROR(__xludf.DUMMYFUNCTION("""COMPUTED_VALUE"""),45217.0)</f>
        <v>45217</v>
      </c>
      <c r="B7583" s="16" t="str">
        <f>IFERROR(__xludf.DUMMYFUNCTION("""COMPUTED_VALUE"""),"Alvaro Chacón")</f>
        <v>Alvaro Chacón</v>
      </c>
      <c r="C7583" s="15" t="str">
        <f>IFERROR(__xludf.DUMMYFUNCTION("""COMPUTED_VALUE"""),"BOGOTÁ")</f>
        <v>BOGOTÁ</v>
      </c>
      <c r="D7583" s="15" t="str">
        <f>IFERROR(__xludf.DUMMYFUNCTION("""COMPUTED_VALUE"""),"MEDELLÍN")</f>
        <v>MEDELLÍN</v>
      </c>
      <c r="E7583" s="15" t="str">
        <f>IFERROR(__xludf.DUMMYFUNCTION("""COMPUTED_VALUE"""),"Baby Chef")</f>
        <v>Baby Chef</v>
      </c>
      <c r="F7583" s="17" t="str">
        <f>IFERROR(__xludf.DUMMYFUNCTION("""COMPUTED_VALUE"""),"Calle 160 #72 - 51 Int 5 Apto 1401 / . / .")</f>
        <v>Calle 160 #72 - 51 Int 5 Apto 1401 / . / .</v>
      </c>
      <c r="G7583" s="15" t="str">
        <f>IFERROR(__xludf.DUMMYFUNCTION("""COMPUTED_VALUE"""),"Carolina Rodriguez")</f>
        <v>Carolina Rodriguez</v>
      </c>
      <c r="H7583" s="16">
        <f>IFERROR(__xludf.DUMMYFUNCTION("""COMPUTED_VALUE"""),16334.0)</f>
        <v>16334</v>
      </c>
      <c r="I7583" s="18">
        <f>IFERROR(__xludf.DUMMYFUNCTION("""COMPUTED_VALUE"""),5.0)</f>
        <v>5</v>
      </c>
      <c r="J7583" s="18">
        <f>IFERROR(__xludf.DUMMYFUNCTION("""COMPUTED_VALUE"""),21.0)</f>
        <v>21</v>
      </c>
      <c r="K7583" s="18">
        <f>IFERROR(__xludf.DUMMYFUNCTION("""COMPUTED_VALUE"""),22.0)</f>
        <v>22</v>
      </c>
      <c r="L7583" s="17">
        <f>IFERROR(__xludf.DUMMYFUNCTION("""COMPUTED_VALUE"""),3.219725008E9)</f>
        <v>3219725008</v>
      </c>
      <c r="M7583" s="17"/>
      <c r="N7583" s="17"/>
      <c r="O7583" s="17"/>
      <c r="P7583" s="17" t="b">
        <f>IFERROR(__xludf.DUMMYFUNCTION("""COMPUTED_VALUE"""),FALSE)</f>
        <v>0</v>
      </c>
      <c r="Q7583" s="20" t="str">
        <f>IFERROR(__xludf.DUMMYFUNCTION("""COMPUTED_VALUE"""),"")</f>
        <v/>
      </c>
      <c r="R7583" s="21" t="str">
        <f>IFERROR(__xludf.DUMMYFUNCTION("""COMPUTED_VALUE"""),"https://drive.google.com/file/d/1NAIN9u9GBdDJRr-WqtfKVLmmgkpVeEM7/view?usp=drivesdk")</f>
        <v>https://drive.google.com/file/d/1NAIN9u9GBdDJRr-WqtfKVLmmgkpVeEM7/view?usp=drivesdk</v>
      </c>
    </row>
    <row r="7584">
      <c r="A7584" s="15">
        <f>IFERROR(__xludf.DUMMYFUNCTION("""COMPUTED_VALUE"""),45217.0)</f>
        <v>45217</v>
      </c>
      <c r="B7584" s="16" t="str">
        <f>IFERROR(__xludf.DUMMYFUNCTION("""COMPUTED_VALUE"""),"Alvaro Chacón")</f>
        <v>Alvaro Chacón</v>
      </c>
      <c r="C7584" s="15" t="str">
        <f>IFERROR(__xludf.DUMMYFUNCTION("""COMPUTED_VALUE"""),"BOGOTÁ")</f>
        <v>BOGOTÁ</v>
      </c>
      <c r="D7584" s="15" t="str">
        <f>IFERROR(__xludf.DUMMYFUNCTION("""COMPUTED_VALUE"""),"MEDELLÍN")</f>
        <v>MEDELLÍN</v>
      </c>
      <c r="E7584" s="15" t="str">
        <f>IFERROR(__xludf.DUMMYFUNCTION("""COMPUTED_VALUE"""),"Baby Chef")</f>
        <v>Baby Chef</v>
      </c>
      <c r="F7584" s="17" t="str">
        <f>IFERROR(__xludf.DUMMYFUNCTION("""COMPUTED_VALUE"""),"Cll 24A # 59-59 torre 8 apto 1001 Conjunto Avenida parque / . / .")</f>
        <v>Cll 24A # 59-59 torre 8 apto 1001 Conjunto Avenida parque / . / .</v>
      </c>
      <c r="G7584" s="15" t="str">
        <f>IFERROR(__xludf.DUMMYFUNCTION("""COMPUTED_VALUE"""),"Laura Rojas")</f>
        <v>Laura Rojas</v>
      </c>
      <c r="H7584" s="16">
        <f>IFERROR(__xludf.DUMMYFUNCTION("""COMPUTED_VALUE"""),16331.0)</f>
        <v>16331</v>
      </c>
      <c r="I7584" s="18">
        <f>IFERROR(__xludf.DUMMYFUNCTION("""COMPUTED_VALUE"""),6.0)</f>
        <v>6</v>
      </c>
      <c r="J7584" s="18">
        <f>IFERROR(__xludf.DUMMYFUNCTION("""COMPUTED_VALUE"""),24.0)</f>
        <v>24</v>
      </c>
      <c r="K7584" s="18">
        <f>IFERROR(__xludf.DUMMYFUNCTION("""COMPUTED_VALUE"""),31.0)</f>
        <v>31</v>
      </c>
      <c r="L7584" s="17">
        <f>IFERROR(__xludf.DUMMYFUNCTION("""COMPUTED_VALUE"""),3.176406641E9)</f>
        <v>3176406641</v>
      </c>
      <c r="M7584" s="17"/>
      <c r="N7584" s="17"/>
      <c r="O7584" s="17"/>
      <c r="P7584" s="17" t="b">
        <f>IFERROR(__xludf.DUMMYFUNCTION("""COMPUTED_VALUE"""),FALSE)</f>
        <v>0</v>
      </c>
      <c r="Q7584" s="20" t="str">
        <f>IFERROR(__xludf.DUMMYFUNCTION("""COMPUTED_VALUE"""),"")</f>
        <v/>
      </c>
      <c r="R7584" s="21" t="str">
        <f>IFERROR(__xludf.DUMMYFUNCTION("""COMPUTED_VALUE"""),"https://drive.google.com/file/d/1lWwwdxQKfT0FXBbYn1L-59dHl26laqWV/view?usp=drivesdk")</f>
        <v>https://drive.google.com/file/d/1lWwwdxQKfT0FXBbYn1L-59dHl26laqWV/view?usp=drivesdk</v>
      </c>
    </row>
    <row r="7585">
      <c r="A7585" s="15">
        <f>IFERROR(__xludf.DUMMYFUNCTION("""COMPUTED_VALUE"""),45217.0)</f>
        <v>45217</v>
      </c>
      <c r="B7585" s="16" t="str">
        <f>IFERROR(__xludf.DUMMYFUNCTION("""COMPUTED_VALUE"""),"Alvaro Chacón")</f>
        <v>Alvaro Chacón</v>
      </c>
      <c r="C7585" s="15" t="str">
        <f>IFERROR(__xludf.DUMMYFUNCTION("""COMPUTED_VALUE"""),"BOGOTÁ")</f>
        <v>BOGOTÁ</v>
      </c>
      <c r="D7585" s="15" t="str">
        <f>IFERROR(__xludf.DUMMYFUNCTION("""COMPUTED_VALUE"""),"MEDELLÍN")</f>
        <v>MEDELLÍN</v>
      </c>
      <c r="E7585" s="15" t="str">
        <f>IFERROR(__xludf.DUMMYFUNCTION("""COMPUTED_VALUE"""),"Moloso S.A.S")</f>
        <v>Moloso S.A.S</v>
      </c>
      <c r="F7585" s="17" t="str">
        <f>IFERROR(__xludf.DUMMYFUNCTION("""COMPUTED_VALUE"""),"CL 90 9A 51 ED MT3 AP 403 / ED MT3 AP 403")</f>
        <v>CL 90 9A 51 ED MT3 AP 403 / ED MT3 AP 403</v>
      </c>
      <c r="G7585" s="15" t="str">
        <f>IFERROR(__xludf.DUMMYFUNCTION("""COMPUTED_VALUE"""),"MARIA XIMENA GUZMAN DEL CASTILLO")</f>
        <v>MARIA XIMENA GUZMAN DEL CASTILLO</v>
      </c>
      <c r="H7585" s="16">
        <f>IFERROR(__xludf.DUMMYFUNCTION("""COMPUTED_VALUE"""),16342.0)</f>
        <v>16342</v>
      </c>
      <c r="I7585" s="18">
        <f>IFERROR(__xludf.DUMMYFUNCTION("""COMPUTED_VALUE"""),17.0)</f>
        <v>17</v>
      </c>
      <c r="J7585" s="18">
        <f>IFERROR(__xludf.DUMMYFUNCTION("""COMPUTED_VALUE"""),15.0)</f>
        <v>15</v>
      </c>
      <c r="K7585" s="18">
        <f>IFERROR(__xludf.DUMMYFUNCTION("""COMPUTED_VALUE"""),28.0)</f>
        <v>28</v>
      </c>
      <c r="L7585" s="17" t="str">
        <f>IFERROR(__xludf.DUMMYFUNCTION("""COMPUTED_VALUE"""),"311 2848381")</f>
        <v>311 2848381</v>
      </c>
      <c r="M7585" s="17"/>
      <c r="N7585" s="17"/>
      <c r="O7585" s="17"/>
      <c r="P7585" s="17" t="b">
        <f>IFERROR(__xludf.DUMMYFUNCTION("""COMPUTED_VALUE"""),FALSE)</f>
        <v>0</v>
      </c>
      <c r="Q7585" s="20" t="str">
        <f>IFERROR(__xludf.DUMMYFUNCTION("""COMPUTED_VALUE"""),"")</f>
        <v/>
      </c>
      <c r="R7585" s="21" t="str">
        <f>IFERROR(__xludf.DUMMYFUNCTION("""COMPUTED_VALUE"""),"https://drive.google.com/file/d/1DODDXy_2sSQ7uyofZ1_6-dww7SlbH1Ds/view?usp=drivesdk")</f>
        <v>https://drive.google.com/file/d/1DODDXy_2sSQ7uyofZ1_6-dww7SlbH1Ds/view?usp=drivesdk</v>
      </c>
    </row>
    <row r="7586">
      <c r="A7586" s="15">
        <f>IFERROR(__xludf.DUMMYFUNCTION("""COMPUTED_VALUE"""),45217.0)</f>
        <v>45217</v>
      </c>
      <c r="B7586" s="16" t="str">
        <f>IFERROR(__xludf.DUMMYFUNCTION("""COMPUTED_VALUE"""),"Alvaro Chacón")</f>
        <v>Alvaro Chacón</v>
      </c>
      <c r="C7586" s="15" t="str">
        <f>IFERROR(__xludf.DUMMYFUNCTION("""COMPUTED_VALUE"""),"MANIZALES")</f>
        <v>MANIZALES</v>
      </c>
      <c r="D7586" s="15" t="str">
        <f>IFERROR(__xludf.DUMMYFUNCTION("""COMPUTED_VALUE"""),"MEDELLÍN")</f>
        <v>MEDELLÍN</v>
      </c>
      <c r="E7586" s="15" t="str">
        <f>IFERROR(__xludf.DUMMYFUNCTION("""COMPUTED_VALUE"""),"Todo Bufala")</f>
        <v>Todo Bufala</v>
      </c>
      <c r="F7586" s="17" t="str">
        <f>IFERROR(__xludf.DUMMYFUNCTION("""COMPUTED_VALUE"""),"Calle 66 #23B - 211 / Edifico calle larga, local 5c")</f>
        <v>Calle 66 #23B - 211 / Edifico calle larga, local 5c</v>
      </c>
      <c r="G7586" s="15" t="str">
        <f>IFERROR(__xludf.DUMMYFUNCTION("""COMPUTED_VALUE"""),"Sebastian Perez Pineda")</f>
        <v>Sebastian Perez Pineda</v>
      </c>
      <c r="H7586" s="16">
        <f>IFERROR(__xludf.DUMMYFUNCTION("""COMPUTED_VALUE"""),16287.0)</f>
        <v>16287</v>
      </c>
      <c r="I7586" s="17"/>
      <c r="J7586" s="17"/>
      <c r="K7586" s="17"/>
      <c r="L7586" s="17">
        <f>IFERROR(__xludf.DUMMYFUNCTION("""COMPUTED_VALUE"""),3.106974621E9)</f>
        <v>3106974621</v>
      </c>
      <c r="M7586" s="17"/>
      <c r="N7586" s="17"/>
      <c r="O7586" s="17"/>
      <c r="P7586" s="17" t="b">
        <f>IFERROR(__xludf.DUMMYFUNCTION("""COMPUTED_VALUE"""),TRUE)</f>
        <v>1</v>
      </c>
      <c r="Q7586" s="20">
        <f>IFERROR(__xludf.DUMMYFUNCTION("""COMPUTED_VALUE"""),45224.383206099534)</f>
        <v>45224.38321</v>
      </c>
      <c r="R7586" s="21" t="str">
        <f>IFERROR(__xludf.DUMMYFUNCTION("""COMPUTED_VALUE"""),"https://drive.google.com/file/d/1AhbA0fE5epn_lj_eAP2tgWgncPg5wNmA/view?usp=drivesdk")</f>
        <v>https://drive.google.com/file/d/1AhbA0fE5epn_lj_eAP2tgWgncPg5wNmA/view?usp=drivesdk</v>
      </c>
    </row>
    <row r="7587">
      <c r="A7587" s="17" t="str">
        <f>IFERROR(__xludf.DUMMYFUNCTION("""COMPUTED_VALUE"""),"")</f>
        <v/>
      </c>
      <c r="B7587" s="17" t="str">
        <f>IFERROR(__xludf.DUMMYFUNCTION("""COMPUTED_VALUE"""),"")</f>
        <v/>
      </c>
      <c r="C7587" s="17" t="str">
        <f>IFERROR(__xludf.DUMMYFUNCTION("""COMPUTED_VALUE"""),"")</f>
        <v/>
      </c>
      <c r="D7587" s="17" t="str">
        <f>IFERROR(__xludf.DUMMYFUNCTION("""COMPUTED_VALUE"""),"")</f>
        <v/>
      </c>
      <c r="E7587" s="17" t="str">
        <f>IFERROR(__xludf.DUMMYFUNCTION("""COMPUTED_VALUE"""),"")</f>
        <v/>
      </c>
      <c r="F7587" s="17" t="str">
        <f>IFERROR(__xludf.DUMMYFUNCTION("""COMPUTED_VALUE"""),"")</f>
        <v/>
      </c>
      <c r="G7587" s="17" t="str">
        <f>IFERROR(__xludf.DUMMYFUNCTION("""COMPUTED_VALUE"""),"")</f>
        <v/>
      </c>
      <c r="H7587" s="17" t="str">
        <f>IFERROR(__xludf.DUMMYFUNCTION("""COMPUTED_VALUE"""),"")</f>
        <v/>
      </c>
      <c r="I7587" s="17" t="str">
        <f>IFERROR(__xludf.DUMMYFUNCTION("""COMPUTED_VALUE"""),"")</f>
        <v/>
      </c>
      <c r="J7587" s="17" t="str">
        <f>IFERROR(__xludf.DUMMYFUNCTION("""COMPUTED_VALUE"""),"")</f>
        <v/>
      </c>
      <c r="K7587" s="17" t="str">
        <f>IFERROR(__xludf.DUMMYFUNCTION("""COMPUTED_VALUE"""),"")</f>
        <v/>
      </c>
      <c r="L7587" s="17" t="str">
        <f>IFERROR(__xludf.DUMMYFUNCTION("""COMPUTED_VALUE"""),"")</f>
        <v/>
      </c>
      <c r="M7587" s="17" t="str">
        <f>IFERROR(__xludf.DUMMYFUNCTION("""COMPUTED_VALUE"""),"")</f>
        <v/>
      </c>
      <c r="N7587" s="17" t="str">
        <f>IFERROR(__xludf.DUMMYFUNCTION("""COMPUTED_VALUE"""),"")</f>
        <v/>
      </c>
      <c r="O7587" s="17" t="str">
        <f>IFERROR(__xludf.DUMMYFUNCTION("""COMPUTED_VALUE"""),"")</f>
        <v/>
      </c>
      <c r="P7587" s="17" t="str">
        <f>IFERROR(__xludf.DUMMYFUNCTION("""COMPUTED_VALUE"""),"")</f>
        <v/>
      </c>
      <c r="Q7587" s="17" t="str">
        <f>IFERROR(__xludf.DUMMYFUNCTION("""COMPUTED_VALUE"""),"")</f>
        <v/>
      </c>
      <c r="R7587" s="17" t="str">
        <f>IFERROR(__xludf.DUMMYFUNCTION("""COMPUTED_VALUE"""),"")</f>
        <v/>
      </c>
    </row>
    <row r="7588">
      <c r="A7588" s="15">
        <f>IFERROR(__xludf.DUMMYFUNCTION("""COMPUTED_VALUE"""),45217.0)</f>
        <v>45217</v>
      </c>
      <c r="B7588" s="16" t="str">
        <f>IFERROR(__xludf.DUMMYFUNCTION("""COMPUTED_VALUE"""),"Deivi Alejandro Quintero Corrales")</f>
        <v>Deivi Alejandro Quintero Corrales</v>
      </c>
      <c r="C7588" s="15" t="str">
        <f>IFERROR(__xludf.DUMMYFUNCTION("""COMPUTED_VALUE"""),"ARMENIA")</f>
        <v>ARMENIA</v>
      </c>
      <c r="D7588" s="15" t="str">
        <f>IFERROR(__xludf.DUMMYFUNCTION("""COMPUTED_VALUE"""),"BOGOTÁ")</f>
        <v>BOGOTÁ</v>
      </c>
      <c r="E7588" s="15" t="str">
        <f>IFERROR(__xludf.DUMMYFUNCTION("""COMPUTED_VALUE"""),"Pan de Waffle")</f>
        <v>Pan de Waffle</v>
      </c>
      <c r="F7588" s="17" t="str">
        <f>IFERROR(__xludf.DUMMYFUNCTION("""COMPUTED_VALUE"""),"Calle 25 NORTE 13 - 31 Local 7 Privilegio Mall / Calle 25 NORTE 13 - 31 Local 7 Privilegio Mall / Calle 25 NORTE 13 - 31 Local 7 Privilegio Mall")</f>
        <v>Calle 25 NORTE 13 - 31 Local 7 Privilegio Mall / Calle 25 NORTE 13 - 31 Local 7 Privilegio Mall / Calle 25 NORTE 13 - 31 Local 7 Privilegio Mall</v>
      </c>
      <c r="G7588" s="15" t="str">
        <f>IFERROR(__xludf.DUMMYFUNCTION("""COMPUTED_VALUE"""),"FEEL FIT")</f>
        <v>FEEL FIT</v>
      </c>
      <c r="H7588" s="16">
        <f>IFERROR(__xludf.DUMMYFUNCTION("""COMPUTED_VALUE"""),16350.0)</f>
        <v>16350</v>
      </c>
      <c r="I7588" s="18">
        <f>IFERROR(__xludf.DUMMYFUNCTION("""COMPUTED_VALUE"""),30.0)</f>
        <v>30</v>
      </c>
      <c r="J7588" s="18">
        <f>IFERROR(__xludf.DUMMYFUNCTION("""COMPUTED_VALUE"""),40.0)</f>
        <v>40</v>
      </c>
      <c r="K7588" s="18">
        <f>IFERROR(__xludf.DUMMYFUNCTION("""COMPUTED_VALUE"""),40.0)</f>
        <v>40</v>
      </c>
      <c r="L7588" s="17">
        <f>IFERROR(__xludf.DUMMYFUNCTION("""COMPUTED_VALUE"""),3.113745588E9)</f>
        <v>3113745588</v>
      </c>
      <c r="M7588" s="17"/>
      <c r="N7588" s="17"/>
      <c r="O7588" s="17"/>
      <c r="P7588" s="17" t="b">
        <f>IFERROR(__xludf.DUMMYFUNCTION("""COMPUTED_VALUE"""),FALSE)</f>
        <v>0</v>
      </c>
      <c r="Q7588" s="20" t="str">
        <f>IFERROR(__xludf.DUMMYFUNCTION("""COMPUTED_VALUE"""),"")</f>
        <v/>
      </c>
      <c r="R7588" s="22" t="str">
        <f>IFERROR(__xludf.DUMMYFUNCTION("""COMPUTED_VALUE"""),"")</f>
        <v/>
      </c>
    </row>
    <row r="7589">
      <c r="A7589" s="15">
        <f>IFERROR(__xludf.DUMMYFUNCTION("""COMPUTED_VALUE"""),45217.0)</f>
        <v>45217</v>
      </c>
      <c r="B7589" s="16" t="str">
        <f>IFERROR(__xludf.DUMMYFUNCTION("""COMPUTED_VALUE"""),"Deivi Alejandro Quintero Corrales")</f>
        <v>Deivi Alejandro Quintero Corrales</v>
      </c>
      <c r="C7589" s="15" t="str">
        <f>IFERROR(__xludf.DUMMYFUNCTION("""COMPUTED_VALUE"""),"PEREIRA")</f>
        <v>PEREIRA</v>
      </c>
      <c r="D7589" s="15" t="str">
        <f>IFERROR(__xludf.DUMMYFUNCTION("""COMPUTED_VALUE"""),"BOGOTÁ")</f>
        <v>BOGOTÁ</v>
      </c>
      <c r="E7589" s="15" t="str">
        <f>IFERROR(__xludf.DUMMYFUNCTION("""COMPUTED_VALUE"""),"LINA PAOLA RAMIREZ GOMEZ - EVA MAZZITA")</f>
        <v>LINA PAOLA RAMIREZ GOMEZ - EVA MAZZITA</v>
      </c>
      <c r="F7589" s="17" t="str">
        <f>IFERROR(__xludf.DUMMYFUNCTION("""COMPUTED_VALUE"""),"Cra 15 #171-85 / Barrio el 25 Esperanza Galicia por el parque ukumary")</f>
        <v>Cra 15 #171-85 / Barrio el 25 Esperanza Galicia por el parque ukumary</v>
      </c>
      <c r="G7589" s="15" t="str">
        <f>IFERROR(__xludf.DUMMYFUNCTION("""COMPUTED_VALUE"""),"DIANA CAROLINA MARIN")</f>
        <v>DIANA CAROLINA MARIN</v>
      </c>
      <c r="H7589" s="16">
        <f>IFERROR(__xludf.DUMMYFUNCTION("""COMPUTED_VALUE"""),16323.0)</f>
        <v>16323</v>
      </c>
      <c r="I7589" s="17"/>
      <c r="J7589" s="17"/>
      <c r="K7589" s="17"/>
      <c r="L7589" s="17">
        <f>IFERROR(__xludf.DUMMYFUNCTION("""COMPUTED_VALUE"""),3.23487056E9)</f>
        <v>3234870560</v>
      </c>
      <c r="M7589" s="17"/>
      <c r="N7589" s="17"/>
      <c r="O7589" s="17"/>
      <c r="P7589" s="17" t="b">
        <f>IFERROR(__xludf.DUMMYFUNCTION("""COMPUTED_VALUE"""),FALSE)</f>
        <v>0</v>
      </c>
      <c r="Q7589" s="20" t="str">
        <f>IFERROR(__xludf.DUMMYFUNCTION("""COMPUTED_VALUE"""),"")</f>
        <v/>
      </c>
      <c r="R7589" s="21" t="str">
        <f>IFERROR(__xludf.DUMMYFUNCTION("""COMPUTED_VALUE"""),"https://drive.google.com/file/d/1ro6amPCejUUiT_9sRXWOGquWESK3nzRU/view?usp=drivesdk")</f>
        <v>https://drive.google.com/file/d/1ro6amPCejUUiT_9sRXWOGquWESK3nzRU/view?usp=drivesdk</v>
      </c>
    </row>
    <row r="7590">
      <c r="A7590" s="15">
        <f>IFERROR(__xludf.DUMMYFUNCTION("""COMPUTED_VALUE"""),45217.0)</f>
        <v>45217</v>
      </c>
      <c r="B7590" s="16" t="str">
        <f>IFERROR(__xludf.DUMMYFUNCTION("""COMPUTED_VALUE"""),"Deivi Alejandro Quintero Corrales")</f>
        <v>Deivi Alejandro Quintero Corrales</v>
      </c>
      <c r="C7590" s="15" t="str">
        <f>IFERROR(__xludf.DUMMYFUNCTION("""COMPUTED_VALUE"""),"PEREIRA")</f>
        <v>PEREIRA</v>
      </c>
      <c r="D7590" s="15" t="str">
        <f>IFERROR(__xludf.DUMMYFUNCTION("""COMPUTED_VALUE"""),"BOGOTÁ")</f>
        <v>BOGOTÁ</v>
      </c>
      <c r="E7590" s="15" t="str">
        <f>IFERROR(__xludf.DUMMYFUNCTION("""COMPUTED_VALUE"""),"Smart Superfoods SAS")</f>
        <v>Smart Superfoods SAS</v>
      </c>
      <c r="F7590" s="17" t="str">
        <f>IFERROR(__xludf.DUMMYFUNCTION("""COMPUTED_VALUE"""),"Vereda El Tigre, Condominio La Calabria, / Casa 10.")</f>
        <v>Vereda El Tigre, Condominio La Calabria, / Casa 10.</v>
      </c>
      <c r="G7590" s="15" t="str">
        <f>IFERROR(__xludf.DUMMYFUNCTION("""COMPUTED_VALUE"""),"MAURICIO CORDOBA")</f>
        <v>MAURICIO CORDOBA</v>
      </c>
      <c r="H7590" s="16">
        <f>IFERROR(__xludf.DUMMYFUNCTION("""COMPUTED_VALUE"""),16303.0)</f>
        <v>16303</v>
      </c>
      <c r="I7590" s="17"/>
      <c r="J7590" s="17"/>
      <c r="K7590" s="17"/>
      <c r="L7590" s="17"/>
      <c r="M7590" s="17"/>
      <c r="N7590" s="17"/>
      <c r="O7590" s="17"/>
      <c r="P7590" s="17" t="b">
        <f>IFERROR(__xludf.DUMMYFUNCTION("""COMPUTED_VALUE"""),FALSE)</f>
        <v>0</v>
      </c>
      <c r="Q7590" s="20" t="str">
        <f>IFERROR(__xludf.DUMMYFUNCTION("""COMPUTED_VALUE"""),"")</f>
        <v/>
      </c>
      <c r="R7590" s="21" t="str">
        <f>IFERROR(__xludf.DUMMYFUNCTION("""COMPUTED_VALUE"""),"https://drive.google.com/file/d/1afDlGCycvdlZWFQtVE4l_VAPPtkvk730/view?usp=drivesdk")</f>
        <v>https://drive.google.com/file/d/1afDlGCycvdlZWFQtVE4l_VAPPtkvk730/view?usp=drivesdk</v>
      </c>
    </row>
    <row r="7591">
      <c r="A7591" s="15">
        <f>IFERROR(__xludf.DUMMYFUNCTION("""COMPUTED_VALUE"""),45217.0)</f>
        <v>45217</v>
      </c>
      <c r="B7591" s="16" t="str">
        <f>IFERROR(__xludf.DUMMYFUNCTION("""COMPUTED_VALUE"""),"Deivi Alejandro Quintero Corrales")</f>
        <v>Deivi Alejandro Quintero Corrales</v>
      </c>
      <c r="C7591" s="15" t="str">
        <f>IFERROR(__xludf.DUMMYFUNCTION("""COMPUTED_VALUE"""),"PEREIRA")</f>
        <v>PEREIRA</v>
      </c>
      <c r="D7591" s="15" t="str">
        <f>IFERROR(__xludf.DUMMYFUNCTION("""COMPUTED_VALUE"""),"BOGOTÁ")</f>
        <v>BOGOTÁ</v>
      </c>
      <c r="E7591" s="15" t="str">
        <f>IFERROR(__xludf.DUMMYFUNCTION("""COMPUTED_VALUE"""),"Smart Superfoods SAS")</f>
        <v>Smart Superfoods SAS</v>
      </c>
      <c r="F7591" s="17" t="str">
        <f>IFERROR(__xludf.DUMMYFUNCTION("""COMPUTED_VALUE"""),"Vereda El Tigre, Condominio La Calabria, / Casa 10.")</f>
        <v>Vereda El Tigre, Condominio La Calabria, / Casa 10.</v>
      </c>
      <c r="G7591" s="15" t="str">
        <f>IFERROR(__xludf.DUMMYFUNCTION("""COMPUTED_VALUE"""),"MAURICIO CORDOBA")</f>
        <v>MAURICIO CORDOBA</v>
      </c>
      <c r="H7591" s="16">
        <f>IFERROR(__xludf.DUMMYFUNCTION("""COMPUTED_VALUE"""),16304.0)</f>
        <v>16304</v>
      </c>
      <c r="I7591" s="17"/>
      <c r="J7591" s="17"/>
      <c r="K7591" s="17"/>
      <c r="L7591" s="17"/>
      <c r="M7591" s="17"/>
      <c r="N7591" s="17"/>
      <c r="O7591" s="17"/>
      <c r="P7591" s="17" t="b">
        <f>IFERROR(__xludf.DUMMYFUNCTION("""COMPUTED_VALUE"""),FALSE)</f>
        <v>0</v>
      </c>
      <c r="Q7591" s="20" t="str">
        <f>IFERROR(__xludf.DUMMYFUNCTION("""COMPUTED_VALUE"""),"")</f>
        <v/>
      </c>
      <c r="R7591" s="22" t="str">
        <f>IFERROR(__xludf.DUMMYFUNCTION("""COMPUTED_VALUE"""),"")</f>
        <v/>
      </c>
    </row>
    <row r="7592">
      <c r="A7592" s="15">
        <f>IFERROR(__xludf.DUMMYFUNCTION("""COMPUTED_VALUE"""),45217.0)</f>
        <v>45217</v>
      </c>
      <c r="B7592" s="16" t="str">
        <f>IFERROR(__xludf.DUMMYFUNCTION("""COMPUTED_VALUE"""),"Deivi Alejandro Quintero Corrales")</f>
        <v>Deivi Alejandro Quintero Corrales</v>
      </c>
      <c r="C7592" s="15" t="str">
        <f>IFERROR(__xludf.DUMMYFUNCTION("""COMPUTED_VALUE"""),"PEREIRA")</f>
        <v>PEREIRA</v>
      </c>
      <c r="D7592" s="15" t="str">
        <f>IFERROR(__xludf.DUMMYFUNCTION("""COMPUTED_VALUE"""),"MEDELLÍN")</f>
        <v>MEDELLÍN</v>
      </c>
      <c r="E7592" s="15" t="str">
        <f>IFERROR(__xludf.DUMMYFUNCTION("""COMPUTED_VALUE"""),"AREPAS LA MARY")</f>
        <v>AREPAS LA MARY</v>
      </c>
      <c r="F7592" s="17" t="str">
        <f>IFERROR(__xludf.DUMMYFUNCTION("""COMPUTED_VALUE"""),"Calle 13#24-39 APTO 101")</f>
        <v>Calle 13#24-39 APTO 101</v>
      </c>
      <c r="G7592" s="15" t="str">
        <f>IFERROR(__xludf.DUMMYFUNCTION("""COMPUTED_VALUE"""),"GLORIA GALLO")</f>
        <v>GLORIA GALLO</v>
      </c>
      <c r="H7592" s="16">
        <f>IFERROR(__xludf.DUMMYFUNCTION("""COMPUTED_VALUE"""),16309.0)</f>
        <v>16309</v>
      </c>
      <c r="I7592" s="18">
        <f>IFERROR(__xludf.DUMMYFUNCTION("""COMPUTED_VALUE"""),89.0)</f>
        <v>89</v>
      </c>
      <c r="J7592" s="18">
        <f>IFERROR(__xludf.DUMMYFUNCTION("""COMPUTED_VALUE"""),1.0)</f>
        <v>1</v>
      </c>
      <c r="K7592" s="18">
        <f>IFERROR(__xludf.DUMMYFUNCTION("""COMPUTED_VALUE"""),10.0)</f>
        <v>10</v>
      </c>
      <c r="L7592" s="17" t="str">
        <f>IFERROR(__xludf.DUMMYFUNCTION("""COMPUTED_VALUE"""),"300 3513407")</f>
        <v>300 3513407</v>
      </c>
      <c r="M7592" s="17"/>
      <c r="N7592" s="17"/>
      <c r="O7592" s="17"/>
      <c r="P7592" s="17" t="b">
        <f>IFERROR(__xludf.DUMMYFUNCTION("""COMPUTED_VALUE"""),FALSE)</f>
        <v>0</v>
      </c>
      <c r="Q7592" s="20" t="str">
        <f>IFERROR(__xludf.DUMMYFUNCTION("""COMPUTED_VALUE"""),"")</f>
        <v/>
      </c>
      <c r="R7592" s="22" t="str">
        <f>IFERROR(__xludf.DUMMYFUNCTION("""COMPUTED_VALUE"""),"")</f>
        <v/>
      </c>
    </row>
    <row r="7593">
      <c r="A7593" s="15">
        <f>IFERROR(__xludf.DUMMYFUNCTION("""COMPUTED_VALUE"""),45217.0)</f>
        <v>45217</v>
      </c>
      <c r="B7593" s="16" t="str">
        <f>IFERROR(__xludf.DUMMYFUNCTION("""COMPUTED_VALUE"""),"Deivi Alejandro Quintero Corrales")</f>
        <v>Deivi Alejandro Quintero Corrales</v>
      </c>
      <c r="C7593" s="15" t="str">
        <f>IFERROR(__xludf.DUMMYFUNCTION("""COMPUTED_VALUE"""),"PEREIRA")</f>
        <v>PEREIRA</v>
      </c>
      <c r="D7593" s="15" t="str">
        <f>IFERROR(__xludf.DUMMYFUNCTION("""COMPUTED_VALUE"""),"MEDELLÍN")</f>
        <v>MEDELLÍN</v>
      </c>
      <c r="E7593" s="15" t="str">
        <f>IFERROR(__xludf.DUMMYFUNCTION("""COMPUTED_VALUE"""),"Baby Chef")</f>
        <v>Baby Chef</v>
      </c>
      <c r="F7593" s="17" t="str">
        <f>IFERROR(__xludf.DUMMYFUNCTION("""COMPUTED_VALUE"""),"Avenida sur #36A-87 conjunto palma Apto 605 / . / .")</f>
        <v>Avenida sur #36A-87 conjunto palma Apto 605 / . / .</v>
      </c>
      <c r="G7593" s="15" t="str">
        <f>IFERROR(__xludf.DUMMYFUNCTION("""COMPUTED_VALUE"""),"Jessica Alzate palacio")</f>
        <v>Jessica Alzate palacio</v>
      </c>
      <c r="H7593" s="16">
        <f>IFERROR(__xludf.DUMMYFUNCTION("""COMPUTED_VALUE"""),16365.0)</f>
        <v>16365</v>
      </c>
      <c r="I7593" s="18">
        <f>IFERROR(__xludf.DUMMYFUNCTION("""COMPUTED_VALUE"""),8.0)</f>
        <v>8</v>
      </c>
      <c r="J7593" s="18">
        <f>IFERROR(__xludf.DUMMYFUNCTION("""COMPUTED_VALUE"""),16.0)</f>
        <v>16</v>
      </c>
      <c r="K7593" s="18">
        <f>IFERROR(__xludf.DUMMYFUNCTION("""COMPUTED_VALUE"""),20.0)</f>
        <v>20</v>
      </c>
      <c r="L7593" s="17">
        <f>IFERROR(__xludf.DUMMYFUNCTION("""COMPUTED_VALUE"""),3.113924059E9)</f>
        <v>3113924059</v>
      </c>
      <c r="M7593" s="17"/>
      <c r="N7593" s="17"/>
      <c r="O7593" s="17"/>
      <c r="P7593" s="17" t="b">
        <f>IFERROR(__xludf.DUMMYFUNCTION("""COMPUTED_VALUE"""),FALSE)</f>
        <v>0</v>
      </c>
      <c r="Q7593" s="20" t="str">
        <f>IFERROR(__xludf.DUMMYFUNCTION("""COMPUTED_VALUE"""),"")</f>
        <v/>
      </c>
      <c r="R7593" s="22" t="str">
        <f>IFERROR(__xludf.DUMMYFUNCTION("""COMPUTED_VALUE"""),"")</f>
        <v/>
      </c>
    </row>
    <row r="7594">
      <c r="A7594" s="17" t="str">
        <f>IFERROR(__xludf.DUMMYFUNCTION("""COMPUTED_VALUE"""),"")</f>
        <v/>
      </c>
      <c r="B7594" s="17" t="str">
        <f>IFERROR(__xludf.DUMMYFUNCTION("""COMPUTED_VALUE"""),"")</f>
        <v/>
      </c>
      <c r="C7594" s="17" t="str">
        <f>IFERROR(__xludf.DUMMYFUNCTION("""COMPUTED_VALUE"""),"")</f>
        <v/>
      </c>
      <c r="D7594" s="17" t="str">
        <f>IFERROR(__xludf.DUMMYFUNCTION("""COMPUTED_VALUE"""),"")</f>
        <v/>
      </c>
      <c r="E7594" s="17" t="str">
        <f>IFERROR(__xludf.DUMMYFUNCTION("""COMPUTED_VALUE"""),"")</f>
        <v/>
      </c>
      <c r="F7594" s="17" t="str">
        <f>IFERROR(__xludf.DUMMYFUNCTION("""COMPUTED_VALUE"""),"")</f>
        <v/>
      </c>
      <c r="G7594" s="17" t="str">
        <f>IFERROR(__xludf.DUMMYFUNCTION("""COMPUTED_VALUE"""),"")</f>
        <v/>
      </c>
      <c r="H7594" s="17" t="str">
        <f>IFERROR(__xludf.DUMMYFUNCTION("""COMPUTED_VALUE"""),"")</f>
        <v/>
      </c>
      <c r="I7594" s="17" t="str">
        <f>IFERROR(__xludf.DUMMYFUNCTION("""COMPUTED_VALUE"""),"")</f>
        <v/>
      </c>
      <c r="J7594" s="17" t="str">
        <f>IFERROR(__xludf.DUMMYFUNCTION("""COMPUTED_VALUE"""),"")</f>
        <v/>
      </c>
      <c r="K7594" s="17" t="str">
        <f>IFERROR(__xludf.DUMMYFUNCTION("""COMPUTED_VALUE"""),"")</f>
        <v/>
      </c>
      <c r="L7594" s="17" t="str">
        <f>IFERROR(__xludf.DUMMYFUNCTION("""COMPUTED_VALUE"""),"")</f>
        <v/>
      </c>
      <c r="M7594" s="17" t="str">
        <f>IFERROR(__xludf.DUMMYFUNCTION("""COMPUTED_VALUE"""),"")</f>
        <v/>
      </c>
      <c r="N7594" s="17" t="str">
        <f>IFERROR(__xludf.DUMMYFUNCTION("""COMPUTED_VALUE"""),"")</f>
        <v/>
      </c>
      <c r="O7594" s="17" t="str">
        <f>IFERROR(__xludf.DUMMYFUNCTION("""COMPUTED_VALUE"""),"")</f>
        <v/>
      </c>
      <c r="P7594" s="17" t="str">
        <f>IFERROR(__xludf.DUMMYFUNCTION("""COMPUTED_VALUE"""),"")</f>
        <v/>
      </c>
      <c r="Q7594" s="17" t="str">
        <f>IFERROR(__xludf.DUMMYFUNCTION("""COMPUTED_VALUE"""),"")</f>
        <v/>
      </c>
      <c r="R7594" s="17" t="str">
        <f>IFERROR(__xludf.DUMMYFUNCTION("""COMPUTED_VALUE"""),"")</f>
        <v/>
      </c>
    </row>
    <row r="7595">
      <c r="A7595" s="15">
        <f>IFERROR(__xludf.DUMMYFUNCTION("""COMPUTED_VALUE"""),45217.0)</f>
        <v>45217</v>
      </c>
      <c r="B7595" s="16" t="str">
        <f>IFERROR(__xludf.DUMMYFUNCTION("""COMPUTED_VALUE"""),"Duvan Gabriel Alvarez Giron")</f>
        <v>Duvan Gabriel Alvarez Giron</v>
      </c>
      <c r="C7595" s="15" t="str">
        <f>IFERROR(__xludf.DUMMYFUNCTION("""COMPUTED_VALUE"""),"BUCARAMANGA")</f>
        <v>BUCARAMANGA</v>
      </c>
      <c r="D7595" s="15" t="str">
        <f>IFERROR(__xludf.DUMMYFUNCTION("""COMPUTED_VALUE"""),"MEDELLÍN")</f>
        <v>MEDELLÍN</v>
      </c>
      <c r="E7595" s="15" t="str">
        <f>IFERROR(__xludf.DUMMYFUNCTION("""COMPUTED_VALUE"""),"Rambla")</f>
        <v>Rambla</v>
      </c>
      <c r="F7595" s="17" t="str">
        <f>IFERROR(__xludf.DUMMYFUNCTION("""COMPUTED_VALUE"""),"CR 36 52 45 LC 2 BRR CABECERA / - / -")</f>
        <v>CR 36 52 45 LC 2 BRR CABECERA / - / -</v>
      </c>
      <c r="G7595" s="15" t="str">
        <f>IFERROR(__xludf.DUMMYFUNCTION("""COMPUTED_VALUE"""),"Olivetta")</f>
        <v>Olivetta</v>
      </c>
      <c r="H7595" s="16">
        <f>IFERROR(__xludf.DUMMYFUNCTION("""COMPUTED_VALUE"""),16369.0)</f>
        <v>16369</v>
      </c>
      <c r="I7595" s="18">
        <f>IFERROR(__xludf.DUMMYFUNCTION("""COMPUTED_VALUE"""),24.0)</f>
        <v>24</v>
      </c>
      <c r="J7595" s="18">
        <f>IFERROR(__xludf.DUMMYFUNCTION("""COMPUTED_VALUE"""),22.0)</f>
        <v>22</v>
      </c>
      <c r="K7595" s="18">
        <f>IFERROR(__xludf.DUMMYFUNCTION("""COMPUTED_VALUE"""),22.0)</f>
        <v>22</v>
      </c>
      <c r="L7595" s="17">
        <f>IFERROR(__xludf.DUMMYFUNCTION("""COMPUTED_VALUE"""),3.213076245E9)</f>
        <v>3213076245</v>
      </c>
      <c r="M7595" s="17"/>
      <c r="N7595" s="17"/>
      <c r="O7595" s="17"/>
      <c r="P7595" s="17" t="b">
        <f>IFERROR(__xludf.DUMMYFUNCTION("""COMPUTED_VALUE"""),FALSE)</f>
        <v>0</v>
      </c>
      <c r="Q7595" s="20" t="str">
        <f>IFERROR(__xludf.DUMMYFUNCTION("""COMPUTED_VALUE"""),"")</f>
        <v/>
      </c>
      <c r="R7595" s="21" t="str">
        <f>IFERROR(__xludf.DUMMYFUNCTION("""COMPUTED_VALUE"""),"https://drive.google.com/file/d/1WotoopQ6euh8jp381n9Wzdc-asJhJ0aU/view?usp=drivesdk")</f>
        <v>https://drive.google.com/file/d/1WotoopQ6euh8jp381n9Wzdc-asJhJ0aU/view?usp=drivesdk</v>
      </c>
    </row>
    <row r="7596">
      <c r="A7596" s="15">
        <f>IFERROR(__xludf.DUMMYFUNCTION("""COMPUTED_VALUE"""),45217.0)</f>
        <v>45217</v>
      </c>
      <c r="B7596" s="16" t="str">
        <f>IFERROR(__xludf.DUMMYFUNCTION("""COMPUTED_VALUE"""),"Duvan Gabriel Alvarez Giron")</f>
        <v>Duvan Gabriel Alvarez Giron</v>
      </c>
      <c r="C7596" s="15" t="str">
        <f>IFERROR(__xludf.DUMMYFUNCTION("""COMPUTED_VALUE"""),"IBAGUÉ")</f>
        <v>IBAGUÉ</v>
      </c>
      <c r="D7596" s="15" t="str">
        <f>IFERROR(__xludf.DUMMYFUNCTION("""COMPUTED_VALUE"""),"BOGOTÁ")</f>
        <v>BOGOTÁ</v>
      </c>
      <c r="E7596" s="15" t="str">
        <f>IFERROR(__xludf.DUMMYFUNCTION("""COMPUTED_VALUE"""),"Asociacion Agropecuaria Juana Maria")</f>
        <v>Asociacion Agropecuaria Juana Maria</v>
      </c>
      <c r="F7596" s="17" t="str">
        <f>IFERROR(__xludf.DUMMYFUNCTION("""COMPUTED_VALUE"""),"Calle 93 # 7 Sur-90 / torre 7 apto 701 Conjunto Residencial Altagracia")</f>
        <v>Calle 93 # 7 Sur-90 / torre 7 apto 701 Conjunto Residencial Altagracia</v>
      </c>
      <c r="G7596" s="15" t="str">
        <f>IFERROR(__xludf.DUMMYFUNCTION("""COMPUTED_VALUE"""),"Mariam Yasmin Murillo Rubio")</f>
        <v>Mariam Yasmin Murillo Rubio</v>
      </c>
      <c r="H7596" s="16">
        <f>IFERROR(__xludf.DUMMYFUNCTION("""COMPUTED_VALUE"""),16290.0)</f>
        <v>16290</v>
      </c>
      <c r="I7596" s="17"/>
      <c r="J7596" s="17"/>
      <c r="K7596" s="17"/>
      <c r="L7596" s="17">
        <f>IFERROR(__xludf.DUMMYFUNCTION("""COMPUTED_VALUE"""),3.105789664E9)</f>
        <v>3105789664</v>
      </c>
      <c r="M7596" s="17"/>
      <c r="N7596" s="17"/>
      <c r="O7596" s="17"/>
      <c r="P7596" s="17" t="b">
        <f>IFERROR(__xludf.DUMMYFUNCTION("""COMPUTED_VALUE"""),FALSE)</f>
        <v>0</v>
      </c>
      <c r="Q7596" s="20" t="str">
        <f>IFERROR(__xludf.DUMMYFUNCTION("""COMPUTED_VALUE"""),"")</f>
        <v/>
      </c>
      <c r="R7596" s="21" t="str">
        <f>IFERROR(__xludf.DUMMYFUNCTION("""COMPUTED_VALUE"""),"https://drive.google.com/file/d/1hUlZZj2IxR7eMTTVaigp_HrbROE4DMCg/view?usp=drivesdk")</f>
        <v>https://drive.google.com/file/d/1hUlZZj2IxR7eMTTVaigp_HrbROE4DMCg/view?usp=drivesdk</v>
      </c>
    </row>
    <row r="7597">
      <c r="A7597" s="17" t="str">
        <f>IFERROR(__xludf.DUMMYFUNCTION("""COMPUTED_VALUE"""),"")</f>
        <v/>
      </c>
      <c r="B7597" s="17" t="str">
        <f>IFERROR(__xludf.DUMMYFUNCTION("""COMPUTED_VALUE"""),"")</f>
        <v/>
      </c>
      <c r="C7597" s="17" t="str">
        <f>IFERROR(__xludf.DUMMYFUNCTION("""COMPUTED_VALUE"""),"")</f>
        <v/>
      </c>
      <c r="D7597" s="17" t="str">
        <f>IFERROR(__xludf.DUMMYFUNCTION("""COMPUTED_VALUE"""),"")</f>
        <v/>
      </c>
      <c r="E7597" s="17" t="str">
        <f>IFERROR(__xludf.DUMMYFUNCTION("""COMPUTED_VALUE"""),"")</f>
        <v/>
      </c>
      <c r="F7597" s="17" t="str">
        <f>IFERROR(__xludf.DUMMYFUNCTION("""COMPUTED_VALUE"""),"")</f>
        <v/>
      </c>
      <c r="G7597" s="17" t="str">
        <f>IFERROR(__xludf.DUMMYFUNCTION("""COMPUTED_VALUE"""),"")</f>
        <v/>
      </c>
      <c r="H7597" s="17" t="str">
        <f>IFERROR(__xludf.DUMMYFUNCTION("""COMPUTED_VALUE"""),"")</f>
        <v/>
      </c>
      <c r="I7597" s="17" t="str">
        <f>IFERROR(__xludf.DUMMYFUNCTION("""COMPUTED_VALUE"""),"")</f>
        <v/>
      </c>
      <c r="J7597" s="17" t="str">
        <f>IFERROR(__xludf.DUMMYFUNCTION("""COMPUTED_VALUE"""),"")</f>
        <v/>
      </c>
      <c r="K7597" s="17" t="str">
        <f>IFERROR(__xludf.DUMMYFUNCTION("""COMPUTED_VALUE"""),"")</f>
        <v/>
      </c>
      <c r="L7597" s="17" t="str">
        <f>IFERROR(__xludf.DUMMYFUNCTION("""COMPUTED_VALUE"""),"")</f>
        <v/>
      </c>
      <c r="M7597" s="17" t="str">
        <f>IFERROR(__xludf.DUMMYFUNCTION("""COMPUTED_VALUE"""),"")</f>
        <v/>
      </c>
      <c r="N7597" s="17" t="str">
        <f>IFERROR(__xludf.DUMMYFUNCTION("""COMPUTED_VALUE"""),"")</f>
        <v/>
      </c>
      <c r="O7597" s="17" t="str">
        <f>IFERROR(__xludf.DUMMYFUNCTION("""COMPUTED_VALUE"""),"")</f>
        <v/>
      </c>
      <c r="P7597" s="17" t="str">
        <f>IFERROR(__xludf.DUMMYFUNCTION("""COMPUTED_VALUE"""),"")</f>
        <v/>
      </c>
      <c r="Q7597" s="17" t="str">
        <f>IFERROR(__xludf.DUMMYFUNCTION("""COMPUTED_VALUE"""),"")</f>
        <v/>
      </c>
      <c r="R7597" s="17" t="str">
        <f>IFERROR(__xludf.DUMMYFUNCTION("""COMPUTED_VALUE"""),"")</f>
        <v/>
      </c>
    </row>
    <row r="7598">
      <c r="A7598" s="15">
        <f>IFERROR(__xludf.DUMMYFUNCTION("""COMPUTED_VALUE"""),45217.0)</f>
        <v>45217</v>
      </c>
      <c r="B7598" s="16" t="str">
        <f>IFERROR(__xludf.DUMMYFUNCTION("""COMPUTED_VALUE"""),"Envia")</f>
        <v>Envia</v>
      </c>
      <c r="C7598" s="15" t="str">
        <f>IFERROR(__xludf.DUMMYFUNCTION("""COMPUTED_VALUE"""),"ARMENIA")</f>
        <v>ARMENIA</v>
      </c>
      <c r="D7598" s="15" t="str">
        <f>IFERROR(__xludf.DUMMYFUNCTION("""COMPUTED_VALUE"""),"BOGOTÁ")</f>
        <v>BOGOTÁ</v>
      </c>
      <c r="E7598" s="15" t="str">
        <f>IFERROR(__xludf.DUMMYFUNCTION("""COMPUTED_VALUE"""),"Asociacion Agropecuaria Juana Maria")</f>
        <v>Asociacion Agropecuaria Juana Maria</v>
      </c>
      <c r="F7598" s="17" t="str">
        <f>IFERROR(__xludf.DUMMYFUNCTION("""COMPUTED_VALUE"""),"URBANIZACION ENTREVERDES MANZANA 8 CASA 7 / URBANIZACION ENTREVERDES MANZANA 8 CASA 7")</f>
        <v>URBANIZACION ENTREVERDES MANZANA 8 CASA 7 / URBANIZACION ENTREVERDES MANZANA 8 CASA 7</v>
      </c>
      <c r="G7598" s="15" t="str">
        <f>IFERROR(__xludf.DUMMYFUNCTION("""COMPUTED_VALUE"""),"Claudia Castillo")</f>
        <v>Claudia Castillo</v>
      </c>
      <c r="H7598" s="16">
        <f>IFERROR(__xludf.DUMMYFUNCTION("""COMPUTED_VALUE"""),16340.0)</f>
        <v>16340</v>
      </c>
      <c r="I7598" s="17"/>
      <c r="J7598" s="17"/>
      <c r="K7598" s="17"/>
      <c r="L7598" s="17">
        <f>IFERROR(__xludf.DUMMYFUNCTION("""COMPUTED_VALUE"""),3.20804821E9)</f>
        <v>3208048210</v>
      </c>
      <c r="M7598" s="17"/>
      <c r="N7598" s="17"/>
      <c r="O7598" s="17"/>
      <c r="P7598" s="17" t="b">
        <f>IFERROR(__xludf.DUMMYFUNCTION("""COMPUTED_VALUE"""),FALSE)</f>
        <v>0</v>
      </c>
      <c r="Q7598" s="20" t="str">
        <f>IFERROR(__xludf.DUMMYFUNCTION("""COMPUTED_VALUE"""),"")</f>
        <v/>
      </c>
      <c r="R7598" s="22" t="str">
        <f>IFERROR(__xludf.DUMMYFUNCTION("""COMPUTED_VALUE"""),"")</f>
        <v/>
      </c>
    </row>
    <row r="7599">
      <c r="A7599" s="15">
        <f>IFERROR(__xludf.DUMMYFUNCTION("""COMPUTED_VALUE"""),45217.0)</f>
        <v>45217</v>
      </c>
      <c r="B7599" s="16" t="str">
        <f>IFERROR(__xludf.DUMMYFUNCTION("""COMPUTED_VALUE"""),"Envia")</f>
        <v>Envia</v>
      </c>
      <c r="C7599" s="15" t="str">
        <f>IFERROR(__xludf.DUMMYFUNCTION("""COMPUTED_VALUE"""),"CALI")</f>
        <v>CALI</v>
      </c>
      <c r="D7599" s="15" t="str">
        <f>IFERROR(__xludf.DUMMYFUNCTION("""COMPUTED_VALUE"""),"BOGOTÁ")</f>
        <v>BOGOTÁ</v>
      </c>
      <c r="E7599" s="15" t="str">
        <f>IFERROR(__xludf.DUMMYFUNCTION("""COMPUTED_VALUE"""),"Chocao")</f>
        <v>Chocao</v>
      </c>
      <c r="F7599" s="17" t="str">
        <f>IFERROR(__xludf.DUMMYFUNCTION("""COMPUTED_VALUE"""),"Calle 51 norte # 3 in 08 B/ la flora / Pop lovers Heladeria  / La flora")</f>
        <v>Calle 51 norte # 3 in 08 B/ la flora / Pop lovers Heladeria  / La flora</v>
      </c>
      <c r="G7599" s="15" t="str">
        <f>IFERROR(__xludf.DUMMYFUNCTION("""COMPUTED_VALUE"""),"Edgar mejia")</f>
        <v>Edgar mejia</v>
      </c>
      <c r="H7599" s="16">
        <f>IFERROR(__xludf.DUMMYFUNCTION("""COMPUTED_VALUE"""),16374.0)</f>
        <v>16374</v>
      </c>
      <c r="I7599" s="18">
        <f>IFERROR(__xludf.DUMMYFUNCTION("""COMPUTED_VALUE"""),30.0)</f>
        <v>30</v>
      </c>
      <c r="J7599" s="18">
        <f>IFERROR(__xludf.DUMMYFUNCTION("""COMPUTED_VALUE"""),30.0)</f>
        <v>30</v>
      </c>
      <c r="K7599" s="18">
        <f>IFERROR(__xludf.DUMMYFUNCTION("""COMPUTED_VALUE"""),49.0)</f>
        <v>49</v>
      </c>
      <c r="L7599" s="17">
        <f>IFERROR(__xludf.DUMMYFUNCTION("""COMPUTED_VALUE"""),3.192525211E9)</f>
        <v>3192525211</v>
      </c>
      <c r="M7599" s="17"/>
      <c r="N7599" s="17"/>
      <c r="O7599" s="17"/>
      <c r="P7599" s="17" t="b">
        <f>IFERROR(__xludf.DUMMYFUNCTION("""COMPUTED_VALUE"""),FALSE)</f>
        <v>0</v>
      </c>
      <c r="Q7599" s="20" t="str">
        <f>IFERROR(__xludf.DUMMYFUNCTION("""COMPUTED_VALUE"""),"")</f>
        <v/>
      </c>
      <c r="R7599" s="21" t="str">
        <f>IFERROR(__xludf.DUMMYFUNCTION("""COMPUTED_VALUE"""),"https://drive.google.com/file/d/13G5aGSnew09Qw3m-lMSRG9mNUFOmv1Ky/view?usp=drivesdk")</f>
        <v>https://drive.google.com/file/d/13G5aGSnew09Qw3m-lMSRG9mNUFOmv1Ky/view?usp=drivesdk</v>
      </c>
    </row>
    <row r="7600">
      <c r="A7600" s="15">
        <f>IFERROR(__xludf.DUMMYFUNCTION("""COMPUTED_VALUE"""),45217.0)</f>
        <v>45217</v>
      </c>
      <c r="B7600" s="16" t="str">
        <f>IFERROR(__xludf.DUMMYFUNCTION("""COMPUTED_VALUE"""),"Envia")</f>
        <v>Envia</v>
      </c>
      <c r="C7600" s="15" t="str">
        <f>IFERROR(__xludf.DUMMYFUNCTION("""COMPUTED_VALUE"""),"CALI")</f>
        <v>CALI</v>
      </c>
      <c r="D7600" s="15" t="str">
        <f>IFERROR(__xludf.DUMMYFUNCTION("""COMPUTED_VALUE"""),"BOGOTÁ")</f>
        <v>BOGOTÁ</v>
      </c>
      <c r="E7600" s="15" t="str">
        <f>IFERROR(__xludf.DUMMYFUNCTION("""COMPUTED_VALUE"""),"LINA PAOLA RAMIREZ GOMEZ - EVA MAZZITA")</f>
        <v>LINA PAOLA RAMIREZ GOMEZ - EVA MAZZITA</v>
      </c>
      <c r="F7600" s="17" t="str">
        <f>IFERROR(__xludf.DUMMYFUNCTION("""COMPUTED_VALUE"""),"Carrera 83 #13b-170 / Casa 20/ Los Rosales")</f>
        <v>Carrera 83 #13b-170 / Casa 20/ Los Rosales</v>
      </c>
      <c r="G7600" s="15" t="str">
        <f>IFERROR(__xludf.DUMMYFUNCTION("""COMPUTED_VALUE"""),"VALENTINA GUTIERREZ")</f>
        <v>VALENTINA GUTIERREZ</v>
      </c>
      <c r="H7600" s="16">
        <f>IFERROR(__xludf.DUMMYFUNCTION("""COMPUTED_VALUE"""),16326.0)</f>
        <v>16326</v>
      </c>
      <c r="I7600" s="17"/>
      <c r="J7600" s="17"/>
      <c r="K7600" s="17"/>
      <c r="L7600" s="17">
        <f>IFERROR(__xludf.DUMMYFUNCTION("""COMPUTED_VALUE"""),3.014785084E9)</f>
        <v>3014785084</v>
      </c>
      <c r="M7600" s="17"/>
      <c r="N7600" s="17"/>
      <c r="O7600" s="17"/>
      <c r="P7600" s="17" t="b">
        <f>IFERROR(__xludf.DUMMYFUNCTION("""COMPUTED_VALUE"""),FALSE)</f>
        <v>0</v>
      </c>
      <c r="Q7600" s="20" t="str">
        <f>IFERROR(__xludf.DUMMYFUNCTION("""COMPUTED_VALUE"""),"")</f>
        <v/>
      </c>
      <c r="R7600" s="21" t="str">
        <f>IFERROR(__xludf.DUMMYFUNCTION("""COMPUTED_VALUE"""),"https://drive.google.com/file/d/1rV_ObrO97Et3b6sb5RU03XpSOC-6yBTo/view?usp=drivesdk")</f>
        <v>https://drive.google.com/file/d/1rV_ObrO97Et3b6sb5RU03XpSOC-6yBTo/view?usp=drivesdk</v>
      </c>
    </row>
    <row r="7601">
      <c r="A7601" s="15">
        <f>IFERROR(__xludf.DUMMYFUNCTION("""COMPUTED_VALUE"""),45217.0)</f>
        <v>45217</v>
      </c>
      <c r="B7601" s="16" t="str">
        <f>IFERROR(__xludf.DUMMYFUNCTION("""COMPUTED_VALUE"""),"Envia")</f>
        <v>Envia</v>
      </c>
      <c r="C7601" s="15" t="str">
        <f>IFERROR(__xludf.DUMMYFUNCTION("""COMPUTED_VALUE"""),"CALI")</f>
        <v>CALI</v>
      </c>
      <c r="D7601" s="15" t="str">
        <f>IFERROR(__xludf.DUMMYFUNCTION("""COMPUTED_VALUE"""),"BOGOTÁ")</f>
        <v>BOGOTÁ</v>
      </c>
      <c r="E7601" s="15" t="str">
        <f>IFERROR(__xludf.DUMMYFUNCTION("""COMPUTED_VALUE"""),"Top Spun")</f>
        <v>Top Spun</v>
      </c>
      <c r="F7601" s="17" t="str">
        <f>IFERROR(__xludf.DUMMYFUNCTION("""COMPUTED_VALUE"""),"Av 2 Oe #11-56  / Av 2 Oe #11-56  / Santa Rita")</f>
        <v>Av 2 Oe #11-56  / Av 2 Oe #11-56  / Santa Rita</v>
      </c>
      <c r="G7601" s="15" t="str">
        <f>IFERROR(__xludf.DUMMYFUNCTION("""COMPUTED_VALUE"""),"Oriana Diez Alvarado")</f>
        <v>Oriana Diez Alvarado</v>
      </c>
      <c r="H7601" s="16">
        <f>IFERROR(__xludf.DUMMYFUNCTION("""COMPUTED_VALUE"""),16284.0)</f>
        <v>16284</v>
      </c>
      <c r="I7601" s="18">
        <f>IFERROR(__xludf.DUMMYFUNCTION("""COMPUTED_VALUE"""),20.0)</f>
        <v>20</v>
      </c>
      <c r="J7601" s="18">
        <f>IFERROR(__xludf.DUMMYFUNCTION("""COMPUTED_VALUE"""),10.0)</f>
        <v>10</v>
      </c>
      <c r="K7601" s="18">
        <f>IFERROR(__xludf.DUMMYFUNCTION("""COMPUTED_VALUE"""),40.0)</f>
        <v>40</v>
      </c>
      <c r="L7601" s="17">
        <f>IFERROR(__xludf.DUMMYFUNCTION("""COMPUTED_VALUE"""),3.155804277E9)</f>
        <v>3155804277</v>
      </c>
      <c r="M7601" s="17"/>
      <c r="N7601" s="17"/>
      <c r="O7601" s="17"/>
      <c r="P7601" s="17" t="b">
        <f>IFERROR(__xludf.DUMMYFUNCTION("""COMPUTED_VALUE"""),FALSE)</f>
        <v>0</v>
      </c>
      <c r="Q7601" s="20" t="str">
        <f>IFERROR(__xludf.DUMMYFUNCTION("""COMPUTED_VALUE"""),"")</f>
        <v/>
      </c>
      <c r="R7601" s="21" t="str">
        <f>IFERROR(__xludf.DUMMYFUNCTION("""COMPUTED_VALUE"""),"https://drive.google.com/file/d/1mjaIQDpJnJpM5rEEhXWaHXg-ONSQoSkU/view?usp=drivesdk")</f>
        <v>https://drive.google.com/file/d/1mjaIQDpJnJpM5rEEhXWaHXg-ONSQoSkU/view?usp=drivesdk</v>
      </c>
    </row>
    <row r="7602">
      <c r="A7602" s="15">
        <f>IFERROR(__xludf.DUMMYFUNCTION("""COMPUTED_VALUE"""),45217.0)</f>
        <v>45217</v>
      </c>
      <c r="B7602" s="16" t="str">
        <f>IFERROR(__xludf.DUMMYFUNCTION("""COMPUTED_VALUE"""),"Envia")</f>
        <v>Envia</v>
      </c>
      <c r="C7602" s="15" t="str">
        <f>IFERROR(__xludf.DUMMYFUNCTION("""COMPUTED_VALUE"""),"CALI")</f>
        <v>CALI</v>
      </c>
      <c r="D7602" s="15" t="str">
        <f>IFERROR(__xludf.DUMMYFUNCTION("""COMPUTED_VALUE"""),"BOGOTÁ")</f>
        <v>BOGOTÁ</v>
      </c>
      <c r="E7602" s="15" t="str">
        <f>IFERROR(__xludf.DUMMYFUNCTION("""COMPUTED_VALUE"""),"Top Spun")</f>
        <v>Top Spun</v>
      </c>
      <c r="F7602" s="17" t="str">
        <f>IFERROR(__xludf.DUMMYFUNCTION("""COMPUTED_VALUE"""),"AVENIDA 6 OESTE # 5 - 163 / Normandía / SANTANGELLO, TORRE 3, APARTAMENTO 605")</f>
        <v>AVENIDA 6 OESTE # 5 - 163 / Normandía / SANTANGELLO, TORRE 3, APARTAMENTO 605</v>
      </c>
      <c r="G7602" s="15" t="str">
        <f>IFERROR(__xludf.DUMMYFUNCTION("""COMPUTED_VALUE"""),"CAROLINA MURCILLO RIVILLAS")</f>
        <v>CAROLINA MURCILLO RIVILLAS</v>
      </c>
      <c r="H7602" s="16">
        <f>IFERROR(__xludf.DUMMYFUNCTION("""COMPUTED_VALUE"""),16285.0)</f>
        <v>16285</v>
      </c>
      <c r="I7602" s="18">
        <f>IFERROR(__xludf.DUMMYFUNCTION("""COMPUTED_VALUE"""),20.0)</f>
        <v>20</v>
      </c>
      <c r="J7602" s="18">
        <f>IFERROR(__xludf.DUMMYFUNCTION("""COMPUTED_VALUE"""),10.0)</f>
        <v>10</v>
      </c>
      <c r="K7602" s="18">
        <f>IFERROR(__xludf.DUMMYFUNCTION("""COMPUTED_VALUE"""),40.0)</f>
        <v>40</v>
      </c>
      <c r="L7602" s="17">
        <f>IFERROR(__xludf.DUMMYFUNCTION("""COMPUTED_VALUE"""),3.164309003E9)</f>
        <v>3164309003</v>
      </c>
      <c r="M7602" s="17"/>
      <c r="N7602" s="17"/>
      <c r="O7602" s="17"/>
      <c r="P7602" s="17" t="b">
        <f>IFERROR(__xludf.DUMMYFUNCTION("""COMPUTED_VALUE"""),FALSE)</f>
        <v>0</v>
      </c>
      <c r="Q7602" s="20" t="str">
        <f>IFERROR(__xludf.DUMMYFUNCTION("""COMPUTED_VALUE"""),"")</f>
        <v/>
      </c>
      <c r="R7602" s="21" t="str">
        <f>IFERROR(__xludf.DUMMYFUNCTION("""COMPUTED_VALUE"""),"https://drive.google.com/file/d/1FiqFvyQ-n_4UTl6oXOqm0oxi34XeZBpL/view?usp=drivesdk")</f>
        <v>https://drive.google.com/file/d/1FiqFvyQ-n_4UTl6oXOqm0oxi34XeZBpL/view?usp=drivesdk</v>
      </c>
    </row>
    <row r="7603">
      <c r="A7603" s="15">
        <f>IFERROR(__xludf.DUMMYFUNCTION("""COMPUTED_VALUE"""),45217.0)</f>
        <v>45217</v>
      </c>
      <c r="B7603" s="16" t="str">
        <f>IFERROR(__xludf.DUMMYFUNCTION("""COMPUTED_VALUE"""),"Envia")</f>
        <v>Envia</v>
      </c>
      <c r="C7603" s="15" t="str">
        <f>IFERROR(__xludf.DUMMYFUNCTION("""COMPUTED_VALUE"""),"CALI")</f>
        <v>CALI</v>
      </c>
      <c r="D7603" s="15" t="str">
        <f>IFERROR(__xludf.DUMMYFUNCTION("""COMPUTED_VALUE"""),"BUCARAMANGA")</f>
        <v>BUCARAMANGA</v>
      </c>
      <c r="E7603" s="15" t="str">
        <f>IFERROR(__xludf.DUMMYFUNCTION("""COMPUTED_VALUE"""),"Yo Como Solito")</f>
        <v>Yo Como Solito</v>
      </c>
      <c r="F7603" s="17" t="str">
        <f>IFERROR(__xludf.DUMMYFUNCTION("""COMPUTED_VALUE"""),"CALLE 59 #93-130 UNIDAD TERRACOTA A APARTAMENTO 604 TORRE 2A /B CIUDAD MELENDEZ (VALLE DEL LILI) / CALLE 59 #93-130 UNIDAD TERRACOTA A APARTAMENTO 604 TORRE 2A /B CIUDAD MELENDEZ (VALLE DEL LILI) / CALLE 59 #93-130 UNIDAD TERRACOTA A APARTAMENTO 604 TORRE"&amp;" 2A /B CIUDAD MELENDEZ (VALLE DEL LILI)")</f>
        <v>CALLE 59 #93-130 UNIDAD TERRACOTA A APARTAMENTO 604 TORRE 2A /B CIUDAD MELENDEZ (VALLE DEL LILI) / CALLE 59 #93-130 UNIDAD TERRACOTA A APARTAMENTO 604 TORRE 2A /B CIUDAD MELENDEZ (VALLE DEL LILI) / CALLE 59 #93-130 UNIDAD TERRACOTA A APARTAMENTO 604 TORRE 2A /B CIUDAD MELENDEZ (VALLE DEL LILI)</v>
      </c>
      <c r="G7603" s="15" t="str">
        <f>IFERROR(__xludf.DUMMYFUNCTION("""COMPUTED_VALUE"""),"JIREH RAMOS")</f>
        <v>JIREH RAMOS</v>
      </c>
      <c r="H7603" s="16">
        <f>IFERROR(__xludf.DUMMYFUNCTION("""COMPUTED_VALUE"""),16254.0)</f>
        <v>16254</v>
      </c>
      <c r="I7603" s="18">
        <f>IFERROR(__xludf.DUMMYFUNCTION("""COMPUTED_VALUE"""),16.0)</f>
        <v>16</v>
      </c>
      <c r="J7603" s="18">
        <f>IFERROR(__xludf.DUMMYFUNCTION("""COMPUTED_VALUE"""),32.0)</f>
        <v>32</v>
      </c>
      <c r="K7603" s="18">
        <f>IFERROR(__xludf.DUMMYFUNCTION("""COMPUTED_VALUE"""),41.0)</f>
        <v>41</v>
      </c>
      <c r="L7603" s="17">
        <f>IFERROR(__xludf.DUMMYFUNCTION("""COMPUTED_VALUE"""),3.175170844E9)</f>
        <v>3175170844</v>
      </c>
      <c r="M7603" s="17"/>
      <c r="N7603" s="17"/>
      <c r="O7603" s="17"/>
      <c r="P7603" s="17" t="b">
        <f>IFERROR(__xludf.DUMMYFUNCTION("""COMPUTED_VALUE"""),FALSE)</f>
        <v>0</v>
      </c>
      <c r="Q7603" s="20" t="str">
        <f>IFERROR(__xludf.DUMMYFUNCTION("""COMPUTED_VALUE"""),"")</f>
        <v/>
      </c>
      <c r="R7603" s="21" t="str">
        <f>IFERROR(__xludf.DUMMYFUNCTION("""COMPUTED_VALUE"""),"https://drive.google.com/file/d/14S3pMNjLGd_5zP4N4N7WGlzWySrQgGds/view?usp=drivesdk")</f>
        <v>https://drive.google.com/file/d/14S3pMNjLGd_5zP4N4N7WGlzWySrQgGds/view?usp=drivesdk</v>
      </c>
    </row>
    <row r="7604">
      <c r="A7604" s="15">
        <f>IFERROR(__xludf.DUMMYFUNCTION("""COMPUTED_VALUE"""),45217.0)</f>
        <v>45217</v>
      </c>
      <c r="B7604" s="16" t="str">
        <f>IFERROR(__xludf.DUMMYFUNCTION("""COMPUTED_VALUE"""),"Envia")</f>
        <v>Envia</v>
      </c>
      <c r="C7604" s="15" t="str">
        <f>IFERROR(__xludf.DUMMYFUNCTION("""COMPUTED_VALUE"""),"CALI")</f>
        <v>CALI</v>
      </c>
      <c r="D7604" s="15" t="str">
        <f>IFERROR(__xludf.DUMMYFUNCTION("""COMPUTED_VALUE"""),"MEDELLÍN")</f>
        <v>MEDELLÍN</v>
      </c>
      <c r="E7604" s="15" t="str">
        <f>IFERROR(__xludf.DUMMYFUNCTION("""COMPUTED_VALUE"""),"AREPAS LA MARY")</f>
        <v>AREPAS LA MARY</v>
      </c>
      <c r="F7604" s="17" t="str">
        <f>IFERROR(__xludf.DUMMYFUNCTION("""COMPUTED_VALUE"""),"Transversal de 27 a sur 42-90")</f>
        <v>Transversal de 27 a sur 42-90</v>
      </c>
      <c r="G7604" s="15" t="str">
        <f>IFERROR(__xludf.DUMMYFUNCTION("""COMPUTED_VALUE"""),"DANIELA CASTRO")</f>
        <v>DANIELA CASTRO</v>
      </c>
      <c r="H7604" s="16">
        <f>IFERROR(__xludf.DUMMYFUNCTION("""COMPUTED_VALUE"""),16313.0)</f>
        <v>16313</v>
      </c>
      <c r="I7604" s="18">
        <f>IFERROR(__xludf.DUMMYFUNCTION("""COMPUTED_VALUE"""),89.0)</f>
        <v>89</v>
      </c>
      <c r="J7604" s="18">
        <f>IFERROR(__xludf.DUMMYFUNCTION("""COMPUTED_VALUE"""),1.0)</f>
        <v>1</v>
      </c>
      <c r="K7604" s="18">
        <f>IFERROR(__xludf.DUMMYFUNCTION("""COMPUTED_VALUE"""),10.0)</f>
        <v>10</v>
      </c>
      <c r="L7604" s="17">
        <f>IFERROR(__xludf.DUMMYFUNCTION("""COMPUTED_VALUE"""),3.183398682E9)</f>
        <v>3183398682</v>
      </c>
      <c r="M7604" s="17"/>
      <c r="N7604" s="17"/>
      <c r="O7604" s="17"/>
      <c r="P7604" s="17" t="b">
        <f>IFERROR(__xludf.DUMMYFUNCTION("""COMPUTED_VALUE"""),FALSE)</f>
        <v>0</v>
      </c>
      <c r="Q7604" s="20" t="str">
        <f>IFERROR(__xludf.DUMMYFUNCTION("""COMPUTED_VALUE"""),"")</f>
        <v/>
      </c>
      <c r="R7604" s="22" t="str">
        <f>IFERROR(__xludf.DUMMYFUNCTION("""COMPUTED_VALUE"""),"")</f>
        <v/>
      </c>
    </row>
    <row r="7605">
      <c r="A7605" s="15">
        <f>IFERROR(__xludf.DUMMYFUNCTION("""COMPUTED_VALUE"""),45217.0)</f>
        <v>45217</v>
      </c>
      <c r="B7605" s="16" t="str">
        <f>IFERROR(__xludf.DUMMYFUNCTION("""COMPUTED_VALUE"""),"Envia")</f>
        <v>Envia</v>
      </c>
      <c r="C7605" s="15" t="str">
        <f>IFERROR(__xludf.DUMMYFUNCTION("""COMPUTED_VALUE"""),"ENVIGADO")</f>
        <v>ENVIGADO</v>
      </c>
      <c r="D7605" s="15" t="str">
        <f>IFERROR(__xludf.DUMMYFUNCTION("""COMPUTED_VALUE"""),"BOGOTÁ")</f>
        <v>BOGOTÁ</v>
      </c>
      <c r="E7605" s="15" t="str">
        <f>IFERROR(__xludf.DUMMYFUNCTION("""COMPUTED_VALUE"""),"LINA PAOLA RAMIREZ GOMEZ - EVA MAZZITA")</f>
        <v>LINA PAOLA RAMIREZ GOMEZ - EVA MAZZITA</v>
      </c>
      <c r="F7605" s="17" t="str">
        <f>IFERROR(__xludf.DUMMYFUNCTION("""COMPUTED_VALUE"""),"CALLE 40 C SUR #42 28 / CASA PRIMER PISO")</f>
        <v>CALLE 40 C SUR #42 28 / CASA PRIMER PISO</v>
      </c>
      <c r="G7605" s="15" t="str">
        <f>IFERROR(__xludf.DUMMYFUNCTION("""COMPUTED_VALUE"""),"LIZETH ARANGO")</f>
        <v>LIZETH ARANGO</v>
      </c>
      <c r="H7605" s="16">
        <f>IFERROR(__xludf.DUMMYFUNCTION("""COMPUTED_VALUE"""),16317.0)</f>
        <v>16317</v>
      </c>
      <c r="I7605" s="17"/>
      <c r="J7605" s="17"/>
      <c r="K7605" s="17"/>
      <c r="L7605" s="17">
        <f>IFERROR(__xludf.DUMMYFUNCTION("""COMPUTED_VALUE"""),3.152227165E9)</f>
        <v>3152227165</v>
      </c>
      <c r="M7605" s="17"/>
      <c r="N7605" s="17"/>
      <c r="O7605" s="17"/>
      <c r="P7605" s="17" t="b">
        <f>IFERROR(__xludf.DUMMYFUNCTION("""COMPUTED_VALUE"""),FALSE)</f>
        <v>0</v>
      </c>
      <c r="Q7605" s="20" t="str">
        <f>IFERROR(__xludf.DUMMYFUNCTION("""COMPUTED_VALUE"""),"")</f>
        <v/>
      </c>
      <c r="R7605" s="22" t="str">
        <f>IFERROR(__xludf.DUMMYFUNCTION("""COMPUTED_VALUE"""),"")</f>
        <v/>
      </c>
    </row>
    <row r="7606">
      <c r="A7606" s="15">
        <f>IFERROR(__xludf.DUMMYFUNCTION("""COMPUTED_VALUE"""),45217.0)</f>
        <v>45217</v>
      </c>
      <c r="B7606" s="16" t="str">
        <f>IFERROR(__xludf.DUMMYFUNCTION("""COMPUTED_VALUE"""),"Envia")</f>
        <v>Envia</v>
      </c>
      <c r="C7606" s="15" t="str">
        <f>IFERROR(__xludf.DUMMYFUNCTION("""COMPUTED_VALUE"""),"ENVIGADO")</f>
        <v>ENVIGADO</v>
      </c>
      <c r="D7606" s="15" t="str">
        <f>IFERROR(__xludf.DUMMYFUNCTION("""COMPUTED_VALUE"""),"BOGOTÁ")</f>
        <v>BOGOTÁ</v>
      </c>
      <c r="E7606" s="15" t="str">
        <f>IFERROR(__xludf.DUMMYFUNCTION("""COMPUTED_VALUE"""),"LINA PAOLA RAMIREZ GOMEZ - EVA MAZZITA")</f>
        <v>LINA PAOLA RAMIREZ GOMEZ - EVA MAZZITA</v>
      </c>
      <c r="F7606" s="17" t="str">
        <f>IFERROR(__xludf.DUMMYFUNCTION("""COMPUTED_VALUE"""),"Cra 46c #44sur 100 / apto 202")</f>
        <v>Cra 46c #44sur 100 / apto 202</v>
      </c>
      <c r="G7606" s="15" t="str">
        <f>IFERROR(__xludf.DUMMYFUNCTION("""COMPUTED_VALUE"""),"VIVIANA ROJAS RIOS")</f>
        <v>VIVIANA ROJAS RIOS</v>
      </c>
      <c r="H7606" s="16">
        <f>IFERROR(__xludf.DUMMYFUNCTION("""COMPUTED_VALUE"""),16318.0)</f>
        <v>16318</v>
      </c>
      <c r="I7606" s="17"/>
      <c r="J7606" s="17"/>
      <c r="K7606" s="17"/>
      <c r="L7606" s="17">
        <f>IFERROR(__xludf.DUMMYFUNCTION("""COMPUTED_VALUE"""),3.113885292E9)</f>
        <v>3113885292</v>
      </c>
      <c r="M7606" s="17"/>
      <c r="N7606" s="17"/>
      <c r="O7606" s="17"/>
      <c r="P7606" s="17" t="b">
        <f>IFERROR(__xludf.DUMMYFUNCTION("""COMPUTED_VALUE"""),FALSE)</f>
        <v>0</v>
      </c>
      <c r="Q7606" s="20" t="str">
        <f>IFERROR(__xludf.DUMMYFUNCTION("""COMPUTED_VALUE"""),"")</f>
        <v/>
      </c>
      <c r="R7606" s="21" t="str">
        <f>IFERROR(__xludf.DUMMYFUNCTION("""COMPUTED_VALUE"""),"https://drive.google.com/file/d/1F8xJ6vqxHFOjkvnRrpB_JikGcVzAvxnV/view?usp=drivesdk")</f>
        <v>https://drive.google.com/file/d/1F8xJ6vqxHFOjkvnRrpB_JikGcVzAvxnV/view?usp=drivesdk</v>
      </c>
    </row>
    <row r="7607">
      <c r="A7607" s="15">
        <f>IFERROR(__xludf.DUMMYFUNCTION("""COMPUTED_VALUE"""),45217.0)</f>
        <v>45217</v>
      </c>
      <c r="B7607" s="16" t="str">
        <f>IFERROR(__xludf.DUMMYFUNCTION("""COMPUTED_VALUE"""),"Envia")</f>
        <v>Envia</v>
      </c>
      <c r="C7607" s="15" t="str">
        <f>IFERROR(__xludf.DUMMYFUNCTION("""COMPUTED_VALUE"""),"FLORIDABLANCA")</f>
        <v>FLORIDABLANCA</v>
      </c>
      <c r="D7607" s="15" t="str">
        <f>IFERROR(__xludf.DUMMYFUNCTION("""COMPUTED_VALUE"""),"BOGOTÁ")</f>
        <v>BOGOTÁ</v>
      </c>
      <c r="E7607" s="15" t="str">
        <f>IFERROR(__xludf.DUMMYFUNCTION("""COMPUTED_VALUE"""),"Asociacion Agropecuaria Juana Maria")</f>
        <v>Asociacion Agropecuaria Juana Maria</v>
      </c>
      <c r="F7607" s="17" t="str">
        <f>IFERROR(__xludf.DUMMYFUNCTION("""COMPUTED_VALUE"""),"Calle 19 #11-37 / Guanatá FLORIDABLANCA")</f>
        <v>Calle 19 #11-37 / Guanatá FLORIDABLANCA</v>
      </c>
      <c r="G7607" s="15" t="str">
        <f>IFERROR(__xludf.DUMMYFUNCTION("""COMPUTED_VALUE"""),"Claudia Gonzalez")</f>
        <v>Claudia Gonzalez</v>
      </c>
      <c r="H7607" s="16">
        <f>IFERROR(__xludf.DUMMYFUNCTION("""COMPUTED_VALUE"""),16291.0)</f>
        <v>16291</v>
      </c>
      <c r="I7607" s="17"/>
      <c r="J7607" s="17"/>
      <c r="K7607" s="17"/>
      <c r="L7607" s="17">
        <f>IFERROR(__xludf.DUMMYFUNCTION("""COMPUTED_VALUE"""),3.002802001E9)</f>
        <v>3002802001</v>
      </c>
      <c r="M7607" s="17"/>
      <c r="N7607" s="17"/>
      <c r="O7607" s="17"/>
      <c r="P7607" s="17" t="b">
        <f>IFERROR(__xludf.DUMMYFUNCTION("""COMPUTED_VALUE"""),FALSE)</f>
        <v>0</v>
      </c>
      <c r="Q7607" s="20" t="str">
        <f>IFERROR(__xludf.DUMMYFUNCTION("""COMPUTED_VALUE"""),"")</f>
        <v/>
      </c>
      <c r="R7607" s="22" t="str">
        <f>IFERROR(__xludf.DUMMYFUNCTION("""COMPUTED_VALUE"""),"")</f>
        <v/>
      </c>
    </row>
    <row r="7608">
      <c r="A7608" s="15">
        <f>IFERROR(__xludf.DUMMYFUNCTION("""COMPUTED_VALUE"""),45217.0)</f>
        <v>45217</v>
      </c>
      <c r="B7608" s="16" t="str">
        <f>IFERROR(__xludf.DUMMYFUNCTION("""COMPUTED_VALUE"""),"Envia")</f>
        <v>Envia</v>
      </c>
      <c r="C7608" s="15" t="str">
        <f>IFERROR(__xludf.DUMMYFUNCTION("""COMPUTED_VALUE"""),"IBAGUÉ")</f>
        <v>IBAGUÉ</v>
      </c>
      <c r="D7608" s="15" t="str">
        <f>IFERROR(__xludf.DUMMYFUNCTION("""COMPUTED_VALUE"""),"BOGOTÁ")</f>
        <v>BOGOTÁ</v>
      </c>
      <c r="E7608" s="15" t="str">
        <f>IFERROR(__xludf.DUMMYFUNCTION("""COMPUTED_VALUE"""),"Ins. Alimento Vital")</f>
        <v>Ins. Alimento Vital</v>
      </c>
      <c r="F7608" s="17" t="str">
        <f>IFERROR(__xludf.DUMMYFUNCTION("""COMPUTED_VALUE"""),"CASA 48 MANZANA 4 ALAMEDA LA CAMPIÑA SECTOR CALATAYUD / CASA 48 MANZANA 4 ALAMEDA LA CAMPIÑA SECTOR CALATAYUD / CASA 48 MANZANA 4 ALAMEDA LA CAMPIÑA SECTOR CALATAYUD")</f>
        <v>CASA 48 MANZANA 4 ALAMEDA LA CAMPIÑA SECTOR CALATAYUD / CASA 48 MANZANA 4 ALAMEDA LA CAMPIÑA SECTOR CALATAYUD / CASA 48 MANZANA 4 ALAMEDA LA CAMPIÑA SECTOR CALATAYUD</v>
      </c>
      <c r="G7608" s="15" t="str">
        <f>IFERROR(__xludf.DUMMYFUNCTION("""COMPUTED_VALUE"""),"JESUS DAVID DELGADO TASCON")</f>
        <v>JESUS DAVID DELGADO TASCON</v>
      </c>
      <c r="H7608" s="16">
        <f>IFERROR(__xludf.DUMMYFUNCTION("""COMPUTED_VALUE"""),16346.0)</f>
        <v>16346</v>
      </c>
      <c r="I7608" s="18">
        <f>IFERROR(__xludf.DUMMYFUNCTION("""COMPUTED_VALUE"""),29.0)</f>
        <v>29</v>
      </c>
      <c r="J7608" s="18">
        <f>IFERROR(__xludf.DUMMYFUNCTION("""COMPUTED_VALUE"""),65.0)</f>
        <v>65</v>
      </c>
      <c r="K7608" s="18">
        <f>IFERROR(__xludf.DUMMYFUNCTION("""COMPUTED_VALUE"""),30.0)</f>
        <v>30</v>
      </c>
      <c r="L7608" s="17">
        <f>IFERROR(__xludf.DUMMYFUNCTION("""COMPUTED_VALUE"""),3.196515049E9)</f>
        <v>3196515049</v>
      </c>
      <c r="M7608" s="17"/>
      <c r="N7608" s="17"/>
      <c r="O7608" s="17"/>
      <c r="P7608" s="17" t="b">
        <f>IFERROR(__xludf.DUMMYFUNCTION("""COMPUTED_VALUE"""),FALSE)</f>
        <v>0</v>
      </c>
      <c r="Q7608" s="20" t="str">
        <f>IFERROR(__xludf.DUMMYFUNCTION("""COMPUTED_VALUE"""),"")</f>
        <v/>
      </c>
      <c r="R7608" s="21" t="str">
        <f>IFERROR(__xludf.DUMMYFUNCTION("""COMPUTED_VALUE"""),"https://drive.google.com/file/d/1ix1dmNJIQ6DMKvwLBmTsjYk2ykFL4csy/view?usp=drivesdk")</f>
        <v>https://drive.google.com/file/d/1ix1dmNJIQ6DMKvwLBmTsjYk2ykFL4csy/view?usp=drivesdk</v>
      </c>
    </row>
    <row r="7609">
      <c r="A7609" s="15">
        <f>IFERROR(__xludf.DUMMYFUNCTION("""COMPUTED_VALUE"""),45217.0)</f>
        <v>45217</v>
      </c>
      <c r="B7609" s="16" t="str">
        <f>IFERROR(__xludf.DUMMYFUNCTION("""COMPUTED_VALUE"""),"Envia")</f>
        <v>Envia</v>
      </c>
      <c r="C7609" s="15" t="str">
        <f>IFERROR(__xludf.DUMMYFUNCTION("""COMPUTED_VALUE"""),"MANIZALES")</f>
        <v>MANIZALES</v>
      </c>
      <c r="D7609" s="15" t="str">
        <f>IFERROR(__xludf.DUMMYFUNCTION("""COMPUTED_VALUE"""),"BOGOTÁ")</f>
        <v>BOGOTÁ</v>
      </c>
      <c r="E7609" s="15" t="str">
        <f>IFERROR(__xludf.DUMMYFUNCTION("""COMPUTED_VALUE"""),"Viiva Fermentados")</f>
        <v>Viiva Fermentados</v>
      </c>
      <c r="F7609" s="17" t="str">
        <f>IFERROR(__xludf.DUMMYFUNCTION("""COMPUTED_VALUE"""),"Carrera 23#75A 95  / Opla Market / Milán")</f>
        <v>Carrera 23#75A 95  / Opla Market / Milán</v>
      </c>
      <c r="G7609" s="15" t="str">
        <f>IFERROR(__xludf.DUMMYFUNCTION("""COMPUTED_VALUE"""),"Opla Market")</f>
        <v>Opla Market</v>
      </c>
      <c r="H7609" s="16">
        <f>IFERROR(__xludf.DUMMYFUNCTION("""COMPUTED_VALUE"""),16300.0)</f>
        <v>16300</v>
      </c>
      <c r="I7609" s="18">
        <f>IFERROR(__xludf.DUMMYFUNCTION("""COMPUTED_VALUE"""),21.0)</f>
        <v>21</v>
      </c>
      <c r="J7609" s="18">
        <f>IFERROR(__xludf.DUMMYFUNCTION("""COMPUTED_VALUE"""),36.0)</f>
        <v>36</v>
      </c>
      <c r="K7609" s="18">
        <f>IFERROR(__xludf.DUMMYFUNCTION("""COMPUTED_VALUE"""),24.0)</f>
        <v>24</v>
      </c>
      <c r="L7609" s="17">
        <f>IFERROR(__xludf.DUMMYFUNCTION("""COMPUTED_VALUE"""),3.24428274E9)</f>
        <v>3244282740</v>
      </c>
      <c r="M7609" s="17"/>
      <c r="N7609" s="17"/>
      <c r="O7609" s="17"/>
      <c r="P7609" s="17" t="b">
        <f>IFERROR(__xludf.DUMMYFUNCTION("""COMPUTED_VALUE"""),FALSE)</f>
        <v>0</v>
      </c>
      <c r="Q7609" s="20" t="str">
        <f>IFERROR(__xludf.DUMMYFUNCTION("""COMPUTED_VALUE"""),"")</f>
        <v/>
      </c>
      <c r="R7609" s="21" t="str">
        <f>IFERROR(__xludf.DUMMYFUNCTION("""COMPUTED_VALUE"""),"https://drive.google.com/file/d/1lKHofOpk6vZo6OGWTGzMU4z6oji8oD3S/view?usp=drivesdk")</f>
        <v>https://drive.google.com/file/d/1lKHofOpk6vZo6OGWTGzMU4z6oji8oD3S/view?usp=drivesdk</v>
      </c>
    </row>
    <row r="7610">
      <c r="A7610" s="15">
        <f>IFERROR(__xludf.DUMMYFUNCTION("""COMPUTED_VALUE"""),45217.0)</f>
        <v>45217</v>
      </c>
      <c r="B7610" s="16" t="str">
        <f>IFERROR(__xludf.DUMMYFUNCTION("""COMPUTED_VALUE"""),"Envia")</f>
        <v>Envia</v>
      </c>
      <c r="C7610" s="15" t="str">
        <f>IFERROR(__xludf.DUMMYFUNCTION("""COMPUTED_VALUE"""),"MEDELLÍN")</f>
        <v>MEDELLÍN</v>
      </c>
      <c r="D7610" s="15" t="str">
        <f>IFERROR(__xludf.DUMMYFUNCTION("""COMPUTED_VALUE"""),"BOGOTÁ")</f>
        <v>BOGOTÁ</v>
      </c>
      <c r="E7610" s="15" t="str">
        <f>IFERROR(__xludf.DUMMYFUNCTION("""COMPUTED_VALUE"""),"Asociacion Agropecuaria Juana Maria")</f>
        <v>Asociacion Agropecuaria Juana Maria</v>
      </c>
      <c r="F7610" s="17" t="str">
        <f>IFERROR(__xludf.DUMMYFUNCTION("""COMPUTED_VALUE"""),"Carrera 15 BA # 30D-44 / int 201")</f>
        <v>Carrera 15 BA # 30D-44 / int 201</v>
      </c>
      <c r="G7610" s="15" t="str">
        <f>IFERROR(__xludf.DUMMYFUNCTION("""COMPUTED_VALUE"""),"Daniela Bedoya Blandon")</f>
        <v>Daniela Bedoya Blandon</v>
      </c>
      <c r="H7610" s="16">
        <f>IFERROR(__xludf.DUMMYFUNCTION("""COMPUTED_VALUE"""),16289.0)</f>
        <v>16289</v>
      </c>
      <c r="I7610" s="17"/>
      <c r="J7610" s="17"/>
      <c r="K7610" s="17"/>
      <c r="L7610" s="17">
        <f>IFERROR(__xludf.DUMMYFUNCTION("""COMPUTED_VALUE"""),3.14672822E9)</f>
        <v>3146728220</v>
      </c>
      <c r="M7610" s="17"/>
      <c r="N7610" s="17"/>
      <c r="O7610" s="17"/>
      <c r="P7610" s="17" t="b">
        <f>IFERROR(__xludf.DUMMYFUNCTION("""COMPUTED_VALUE"""),FALSE)</f>
        <v>0</v>
      </c>
      <c r="Q7610" s="20" t="str">
        <f>IFERROR(__xludf.DUMMYFUNCTION("""COMPUTED_VALUE"""),"")</f>
        <v/>
      </c>
      <c r="R7610" s="21" t="str">
        <f>IFERROR(__xludf.DUMMYFUNCTION("""COMPUTED_VALUE"""),"https://drive.google.com/file/d/1UJvdy3BDJN6Kk4MSuf1Y3Vysy38xAkEB/view?usp=drivesdk")</f>
        <v>https://drive.google.com/file/d/1UJvdy3BDJN6Kk4MSuf1Y3Vysy38xAkEB/view?usp=drivesdk</v>
      </c>
    </row>
    <row r="7611">
      <c r="A7611" s="15">
        <f>IFERROR(__xludf.DUMMYFUNCTION("""COMPUTED_VALUE"""),45217.0)</f>
        <v>45217</v>
      </c>
      <c r="B7611" s="16" t="str">
        <f>IFERROR(__xludf.DUMMYFUNCTION("""COMPUTED_VALUE"""),"Envia")</f>
        <v>Envia</v>
      </c>
      <c r="C7611" s="15" t="str">
        <f>IFERROR(__xludf.DUMMYFUNCTION("""COMPUTED_VALUE"""),"MEDELLÍN")</f>
        <v>MEDELLÍN</v>
      </c>
      <c r="D7611" s="15" t="str">
        <f>IFERROR(__xludf.DUMMYFUNCTION("""COMPUTED_VALUE"""),"BOGOTÁ")</f>
        <v>BOGOTÁ</v>
      </c>
      <c r="E7611" s="15" t="str">
        <f>IFERROR(__xludf.DUMMYFUNCTION("""COMPUTED_VALUE"""),"Karem foods")</f>
        <v>Karem foods</v>
      </c>
      <c r="F7611" s="17" t="str">
        <f>IFERROR(__xludf.DUMMYFUNCTION("""COMPUTED_VALUE"""),"Calle 20 sur #27-55  / local 165 / -")</f>
        <v>Calle 20 sur #27-55  / local 165 / -</v>
      </c>
      <c r="G7611" s="15" t="str">
        <f>IFERROR(__xludf.DUMMYFUNCTION("""COMPUTED_VALUE"""),"San Lucas plaza (sede principal ALIMENTOS SOSTENIBLES)")</f>
        <v>San Lucas plaza (sede principal ALIMENTOS SOSTENIBLES)</v>
      </c>
      <c r="H7611" s="16">
        <f>IFERROR(__xludf.DUMMYFUNCTION("""COMPUTED_VALUE"""),16269.0)</f>
        <v>16269</v>
      </c>
      <c r="I7611" s="18">
        <f>IFERROR(__xludf.DUMMYFUNCTION("""COMPUTED_VALUE"""),15.0)</f>
        <v>15</v>
      </c>
      <c r="J7611" s="18">
        <f>IFERROR(__xludf.DUMMYFUNCTION("""COMPUTED_VALUE"""),32.0)</f>
        <v>32</v>
      </c>
      <c r="K7611" s="18">
        <f>IFERROR(__xludf.DUMMYFUNCTION("""COMPUTED_VALUE"""),50.0)</f>
        <v>50</v>
      </c>
      <c r="L7611" s="17">
        <f>IFERROR(__xludf.DUMMYFUNCTION("""COMPUTED_VALUE"""),3.185206999E9)</f>
        <v>3185206999</v>
      </c>
      <c r="M7611" s="17"/>
      <c r="N7611" s="17"/>
      <c r="O7611" s="17"/>
      <c r="P7611" s="17" t="b">
        <f>IFERROR(__xludf.DUMMYFUNCTION("""COMPUTED_VALUE"""),FALSE)</f>
        <v>0</v>
      </c>
      <c r="Q7611" s="20" t="str">
        <f>IFERROR(__xludf.DUMMYFUNCTION("""COMPUTED_VALUE"""),"")</f>
        <v/>
      </c>
      <c r="R7611" s="21" t="str">
        <f>IFERROR(__xludf.DUMMYFUNCTION("""COMPUTED_VALUE"""),"https://drive.google.com/file/d/11obEux6RgKEDe7wnqxm3oK6Llpq2qjRQ/view?usp=drivesdk")</f>
        <v>https://drive.google.com/file/d/11obEux6RgKEDe7wnqxm3oK6Llpq2qjRQ/view?usp=drivesdk</v>
      </c>
    </row>
    <row r="7612">
      <c r="A7612" s="15">
        <f>IFERROR(__xludf.DUMMYFUNCTION("""COMPUTED_VALUE"""),45217.0)</f>
        <v>45217</v>
      </c>
      <c r="B7612" s="16" t="str">
        <f>IFERROR(__xludf.DUMMYFUNCTION("""COMPUTED_VALUE"""),"Envia")</f>
        <v>Envia</v>
      </c>
      <c r="C7612" s="15" t="str">
        <f>IFERROR(__xludf.DUMMYFUNCTION("""COMPUTED_VALUE"""),"MEDELLÍN")</f>
        <v>MEDELLÍN</v>
      </c>
      <c r="D7612" s="15" t="str">
        <f>IFERROR(__xludf.DUMMYFUNCTION("""COMPUTED_VALUE"""),"BOGOTÁ")</f>
        <v>BOGOTÁ</v>
      </c>
      <c r="E7612" s="15" t="str">
        <f>IFERROR(__xludf.DUMMYFUNCTION("""COMPUTED_VALUE"""),"LINA PAOLA RAMIREZ GOMEZ - EVA MAZZITA")</f>
        <v>LINA PAOLA RAMIREZ GOMEZ - EVA MAZZITA</v>
      </c>
      <c r="F7612" s="17" t="str">
        <f>IFERROR(__xludf.DUMMYFUNCTION("""COMPUTED_VALUE"""),"Calle 63 No 77 41 / Turmalina Apto 1505- B. San German")</f>
        <v>Calle 63 No 77 41 / Turmalina Apto 1505- B. San German</v>
      </c>
      <c r="G7612" s="15" t="str">
        <f>IFERROR(__xludf.DUMMYFUNCTION("""COMPUTED_VALUE"""),"LINA MARIA GOMÉZ")</f>
        <v>LINA MARIA GOMÉZ</v>
      </c>
      <c r="H7612" s="16">
        <f>IFERROR(__xludf.DUMMYFUNCTION("""COMPUTED_VALUE"""),16321.0)</f>
        <v>16321</v>
      </c>
      <c r="I7612" s="17"/>
      <c r="J7612" s="17"/>
      <c r="K7612" s="17"/>
      <c r="L7612" s="17">
        <f>IFERROR(__xludf.DUMMYFUNCTION("""COMPUTED_VALUE"""),3.104300894E9)</f>
        <v>3104300894</v>
      </c>
      <c r="M7612" s="17"/>
      <c r="N7612" s="17"/>
      <c r="O7612" s="17"/>
      <c r="P7612" s="17" t="b">
        <f>IFERROR(__xludf.DUMMYFUNCTION("""COMPUTED_VALUE"""),FALSE)</f>
        <v>0</v>
      </c>
      <c r="Q7612" s="20" t="str">
        <f>IFERROR(__xludf.DUMMYFUNCTION("""COMPUTED_VALUE"""),"")</f>
        <v/>
      </c>
      <c r="R7612" s="21" t="str">
        <f>IFERROR(__xludf.DUMMYFUNCTION("""COMPUTED_VALUE"""),"https://drive.google.com/file/d/1Qb-nbzHhCN_om8M5xnVJdE-J-4rBax5h/view?usp=drivesdk")</f>
        <v>https://drive.google.com/file/d/1Qb-nbzHhCN_om8M5xnVJdE-J-4rBax5h/view?usp=drivesdk</v>
      </c>
    </row>
    <row r="7613">
      <c r="A7613" s="15">
        <f>IFERROR(__xludf.DUMMYFUNCTION("""COMPUTED_VALUE"""),45217.0)</f>
        <v>45217</v>
      </c>
      <c r="B7613" s="16" t="str">
        <f>IFERROR(__xludf.DUMMYFUNCTION("""COMPUTED_VALUE"""),"Envia")</f>
        <v>Envia</v>
      </c>
      <c r="C7613" s="15" t="str">
        <f>IFERROR(__xludf.DUMMYFUNCTION("""COMPUTED_VALUE"""),"MEDELLÍN")</f>
        <v>MEDELLÍN</v>
      </c>
      <c r="D7613" s="15" t="str">
        <f>IFERROR(__xludf.DUMMYFUNCTION("""COMPUTED_VALUE"""),"BOGOTÁ")</f>
        <v>BOGOTÁ</v>
      </c>
      <c r="E7613" s="15" t="str">
        <f>IFERROR(__xludf.DUMMYFUNCTION("""COMPUTED_VALUE"""),"LINA PAOLA RAMIREZ GOMEZ - EVA MAZZITA")</f>
        <v>LINA PAOLA RAMIREZ GOMEZ - EVA MAZZITA</v>
      </c>
      <c r="F7613" s="17" t="str">
        <f>IFERROR(__xludf.DUMMYFUNCTION("""COMPUTED_VALUE"""),"Calle 93c #83 a 81 / Barrio Robledo Primaveral")</f>
        <v>Calle 93c #83 a 81 / Barrio Robledo Primaveral</v>
      </c>
      <c r="G7613" s="15" t="str">
        <f>IFERROR(__xludf.DUMMYFUNCTION("""COMPUTED_VALUE"""),"MILENA JARAMILLO ACEVEDO")</f>
        <v>MILENA JARAMILLO ACEVEDO</v>
      </c>
      <c r="H7613" s="16">
        <f>IFERROR(__xludf.DUMMYFUNCTION("""COMPUTED_VALUE"""),16330.0)</f>
        <v>16330</v>
      </c>
      <c r="I7613" s="17"/>
      <c r="J7613" s="17"/>
      <c r="K7613" s="17"/>
      <c r="L7613" s="17">
        <f>IFERROR(__xludf.DUMMYFUNCTION("""COMPUTED_VALUE"""),3.005579612E9)</f>
        <v>3005579612</v>
      </c>
      <c r="M7613" s="17"/>
      <c r="N7613" s="17"/>
      <c r="O7613" s="17"/>
      <c r="P7613" s="17" t="b">
        <f>IFERROR(__xludf.DUMMYFUNCTION("""COMPUTED_VALUE"""),FALSE)</f>
        <v>0</v>
      </c>
      <c r="Q7613" s="20" t="str">
        <f>IFERROR(__xludf.DUMMYFUNCTION("""COMPUTED_VALUE"""),"")</f>
        <v/>
      </c>
      <c r="R7613" s="21" t="str">
        <f>IFERROR(__xludf.DUMMYFUNCTION("""COMPUTED_VALUE"""),"https://drive.google.com/file/d/1N3oxGoMJdk1Ygk0wxbzxfOp58yUZireu/view?usp=drivesdk")</f>
        <v>https://drive.google.com/file/d/1N3oxGoMJdk1Ygk0wxbzxfOp58yUZireu/view?usp=drivesdk</v>
      </c>
    </row>
    <row r="7614">
      <c r="A7614" s="15">
        <f>IFERROR(__xludf.DUMMYFUNCTION("""COMPUTED_VALUE"""),45217.0)</f>
        <v>45217</v>
      </c>
      <c r="B7614" s="16" t="str">
        <f>IFERROR(__xludf.DUMMYFUNCTION("""COMPUTED_VALUE"""),"Envia")</f>
        <v>Envia</v>
      </c>
      <c r="C7614" s="15" t="str">
        <f>IFERROR(__xludf.DUMMYFUNCTION("""COMPUTED_VALUE"""),"MEDELLÍN")</f>
        <v>MEDELLÍN</v>
      </c>
      <c r="D7614" s="15" t="str">
        <f>IFERROR(__xludf.DUMMYFUNCTION("""COMPUTED_VALUE"""),"BOGOTÁ")</f>
        <v>BOGOTÁ</v>
      </c>
      <c r="E7614" s="15" t="str">
        <f>IFERROR(__xludf.DUMMYFUNCTION("""COMPUTED_VALUE"""),"MAI ALIMENTOS REALES")</f>
        <v>MAI ALIMENTOS REALES</v>
      </c>
      <c r="F7614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7614" s="15" t="str">
        <f>IFERROR(__xludf.DUMMYFUNCTION("""COMPUTED_VALUE"""),"Novaventas")</f>
        <v>Novaventas</v>
      </c>
      <c r="H7614" s="16">
        <f>IFERROR(__xludf.DUMMYFUNCTION("""COMPUTED_VALUE"""),16280.0)</f>
        <v>16280</v>
      </c>
      <c r="I7614" s="17"/>
      <c r="J7614" s="17"/>
      <c r="K7614" s="17"/>
      <c r="L7614" s="17">
        <f>IFERROR(__xludf.DUMMYFUNCTION("""COMPUTED_VALUE"""),3.187351593E9)</f>
        <v>3187351593</v>
      </c>
      <c r="M7614" s="17"/>
      <c r="N7614" s="17"/>
      <c r="O7614" s="17"/>
      <c r="P7614" s="17" t="b">
        <f>IFERROR(__xludf.DUMMYFUNCTION("""COMPUTED_VALUE"""),FALSE)</f>
        <v>0</v>
      </c>
      <c r="Q7614" s="20" t="str">
        <f>IFERROR(__xludf.DUMMYFUNCTION("""COMPUTED_VALUE"""),"")</f>
        <v/>
      </c>
      <c r="R7614" s="21" t="str">
        <f>IFERROR(__xludf.DUMMYFUNCTION("""COMPUTED_VALUE"""),"https://drive.google.com/file/d/1c6JDzNT8tbX3aELny6gum-RTl-Ee1JKD/view?usp=drivesdk")</f>
        <v>https://drive.google.com/file/d/1c6JDzNT8tbX3aELny6gum-RTl-Ee1JKD/view?usp=drivesdk</v>
      </c>
    </row>
    <row r="7615">
      <c r="A7615" s="15">
        <f>IFERROR(__xludf.DUMMYFUNCTION("""COMPUTED_VALUE"""),45217.0)</f>
        <v>45217</v>
      </c>
      <c r="B7615" s="16" t="str">
        <f>IFERROR(__xludf.DUMMYFUNCTION("""COMPUTED_VALUE"""),"Envia")</f>
        <v>Envia</v>
      </c>
      <c r="C7615" s="15" t="str">
        <f>IFERROR(__xludf.DUMMYFUNCTION("""COMPUTED_VALUE"""),"MEDELLÍN")</f>
        <v>MEDELLÍN</v>
      </c>
      <c r="D7615" s="15" t="str">
        <f>IFERROR(__xludf.DUMMYFUNCTION("""COMPUTED_VALUE"""),"BOGOTÁ")</f>
        <v>BOGOTÁ</v>
      </c>
      <c r="E7615" s="15" t="str">
        <f>IFERROR(__xludf.DUMMYFUNCTION("""COMPUTED_VALUE"""),"MAI ALIMENTOS REALES")</f>
        <v>MAI ALIMENTOS REALES</v>
      </c>
      <c r="F7615" s="17" t="str">
        <f>IFERROR(__xludf.DUMMYFUNCTION("""COMPUTED_VALUE"""),"Carrera 52#20-124 / Guayabal - Entregar a la señora Yasmín Echavarría")</f>
        <v>Carrera 52#20-124 / Guayabal - Entregar a la señora Yasmín Echavarría</v>
      </c>
      <c r="G7615" s="15" t="str">
        <f>IFERROR(__xludf.DUMMYFUNCTION("""COMPUTED_VALUE"""),"Yasmin Echavarría - Novaventas Medellín Sede Principal")</f>
        <v>Yasmin Echavarría - Novaventas Medellín Sede Principal</v>
      </c>
      <c r="H7615" s="16">
        <f>IFERROR(__xludf.DUMMYFUNCTION("""COMPUTED_VALUE"""),16299.0)</f>
        <v>16299</v>
      </c>
      <c r="I7615" s="17"/>
      <c r="J7615" s="17"/>
      <c r="K7615" s="17"/>
      <c r="L7615" s="17">
        <f>IFERROR(__xludf.DUMMYFUNCTION("""COMPUTED_VALUE"""),3.003933353E9)</f>
        <v>3003933353</v>
      </c>
      <c r="M7615" s="17"/>
      <c r="N7615" s="17"/>
      <c r="O7615" s="17"/>
      <c r="P7615" s="17" t="b">
        <f>IFERROR(__xludf.DUMMYFUNCTION("""COMPUTED_VALUE"""),FALSE)</f>
        <v>0</v>
      </c>
      <c r="Q7615" s="20" t="str">
        <f>IFERROR(__xludf.DUMMYFUNCTION("""COMPUTED_VALUE"""),"")</f>
        <v/>
      </c>
      <c r="R7615" s="21" t="str">
        <f>IFERROR(__xludf.DUMMYFUNCTION("""COMPUTED_VALUE"""),"https://drive.google.com/file/d/16SsTT6YQ6gSBizNNT5_6Gn86E7m5WPRB/view?usp=drivesdk")</f>
        <v>https://drive.google.com/file/d/16SsTT6YQ6gSBizNNT5_6Gn86E7m5WPRB/view?usp=drivesdk</v>
      </c>
    </row>
    <row r="7616">
      <c r="A7616" s="15">
        <f>IFERROR(__xludf.DUMMYFUNCTION("""COMPUTED_VALUE"""),45217.0)</f>
        <v>45217</v>
      </c>
      <c r="B7616" s="16" t="str">
        <f>IFERROR(__xludf.DUMMYFUNCTION("""COMPUTED_VALUE"""),"Envia")</f>
        <v>Envia</v>
      </c>
      <c r="C7616" s="15" t="str">
        <f>IFERROR(__xludf.DUMMYFUNCTION("""COMPUTED_VALUE"""),"PEREIRA")</f>
        <v>PEREIRA</v>
      </c>
      <c r="D7616" s="15" t="str">
        <f>IFERROR(__xludf.DUMMYFUNCTION("""COMPUTED_VALUE"""),"BOGOTÁ")</f>
        <v>BOGOTÁ</v>
      </c>
      <c r="E7616" s="15" t="str">
        <f>IFERROR(__xludf.DUMMYFUNCTION("""COMPUTED_VALUE"""),"Ins. Alimento Vital")</f>
        <v>Ins. Alimento Vital</v>
      </c>
      <c r="F7616" s="17" t="str">
        <f>IFERROR(__xludf.DUMMYFUNCTION("""COMPUTED_VALUE"""),"CRA 5 # 18-43 / CASA PEREIRA / PEREIRA")</f>
        <v>CRA 5 # 18-43 / CASA PEREIRA / PEREIRA</v>
      </c>
      <c r="G7616" s="15" t="str">
        <f>IFERROR(__xludf.DUMMYFUNCTION("""COMPUTED_VALUE"""),"MOISES EN PEREIRA")</f>
        <v>MOISES EN PEREIRA</v>
      </c>
      <c r="H7616" s="16">
        <f>IFERROR(__xludf.DUMMYFUNCTION("""COMPUTED_VALUE"""),16363.0)</f>
        <v>16363</v>
      </c>
      <c r="I7616" s="18">
        <f>IFERROR(__xludf.DUMMYFUNCTION("""COMPUTED_VALUE"""),1.0)</f>
        <v>1</v>
      </c>
      <c r="J7616" s="18">
        <f>IFERROR(__xludf.DUMMYFUNCTION("""COMPUTED_VALUE"""),1.0)</f>
        <v>1</v>
      </c>
      <c r="K7616" s="18">
        <f>IFERROR(__xludf.DUMMYFUNCTION("""COMPUTED_VALUE"""),1.0)</f>
        <v>1</v>
      </c>
      <c r="L7616" s="17">
        <f>IFERROR(__xludf.DUMMYFUNCTION("""COMPUTED_VALUE"""),3.0089252529E10)</f>
        <v>30089252529</v>
      </c>
      <c r="M7616" s="17"/>
      <c r="N7616" s="17"/>
      <c r="O7616" s="17"/>
      <c r="P7616" s="17" t="b">
        <f>IFERROR(__xludf.DUMMYFUNCTION("""COMPUTED_VALUE"""),FALSE)</f>
        <v>0</v>
      </c>
      <c r="Q7616" s="20" t="str">
        <f>IFERROR(__xludf.DUMMYFUNCTION("""COMPUTED_VALUE"""),"")</f>
        <v/>
      </c>
      <c r="R7616" s="21" t="str">
        <f>IFERROR(__xludf.DUMMYFUNCTION("""COMPUTED_VALUE"""),"https://drive.google.com/file/d/1LJhIVSbr19zUN0ammeT7nWbq8g0IMBpG/view?usp=drivesdk")</f>
        <v>https://drive.google.com/file/d/1LJhIVSbr19zUN0ammeT7nWbq8g0IMBpG/view?usp=drivesdk</v>
      </c>
    </row>
    <row r="7617">
      <c r="A7617" s="17" t="str">
        <f>IFERROR(__xludf.DUMMYFUNCTION("""COMPUTED_VALUE"""),"")</f>
        <v/>
      </c>
      <c r="B7617" s="17" t="str">
        <f>IFERROR(__xludf.DUMMYFUNCTION("""COMPUTED_VALUE"""),"")</f>
        <v/>
      </c>
      <c r="C7617" s="17" t="str">
        <f>IFERROR(__xludf.DUMMYFUNCTION("""COMPUTED_VALUE"""),"")</f>
        <v/>
      </c>
      <c r="D7617" s="17" t="str">
        <f>IFERROR(__xludf.DUMMYFUNCTION("""COMPUTED_VALUE"""),"")</f>
        <v/>
      </c>
      <c r="E7617" s="17" t="str">
        <f>IFERROR(__xludf.DUMMYFUNCTION("""COMPUTED_VALUE"""),"")</f>
        <v/>
      </c>
      <c r="F7617" s="17" t="str">
        <f>IFERROR(__xludf.DUMMYFUNCTION("""COMPUTED_VALUE"""),"")</f>
        <v/>
      </c>
      <c r="G7617" s="17" t="str">
        <f>IFERROR(__xludf.DUMMYFUNCTION("""COMPUTED_VALUE"""),"")</f>
        <v/>
      </c>
      <c r="H7617" s="17" t="str">
        <f>IFERROR(__xludf.DUMMYFUNCTION("""COMPUTED_VALUE"""),"")</f>
        <v/>
      </c>
      <c r="I7617" s="17" t="str">
        <f>IFERROR(__xludf.DUMMYFUNCTION("""COMPUTED_VALUE"""),"")</f>
        <v/>
      </c>
      <c r="J7617" s="17" t="str">
        <f>IFERROR(__xludf.DUMMYFUNCTION("""COMPUTED_VALUE"""),"")</f>
        <v/>
      </c>
      <c r="K7617" s="17" t="str">
        <f>IFERROR(__xludf.DUMMYFUNCTION("""COMPUTED_VALUE"""),"")</f>
        <v/>
      </c>
      <c r="L7617" s="17" t="str">
        <f>IFERROR(__xludf.DUMMYFUNCTION("""COMPUTED_VALUE"""),"")</f>
        <v/>
      </c>
      <c r="M7617" s="17" t="str">
        <f>IFERROR(__xludf.DUMMYFUNCTION("""COMPUTED_VALUE"""),"")</f>
        <v/>
      </c>
      <c r="N7617" s="17" t="str">
        <f>IFERROR(__xludf.DUMMYFUNCTION("""COMPUTED_VALUE"""),"")</f>
        <v/>
      </c>
      <c r="O7617" s="17" t="str">
        <f>IFERROR(__xludf.DUMMYFUNCTION("""COMPUTED_VALUE"""),"")</f>
        <v/>
      </c>
      <c r="P7617" s="17" t="str">
        <f>IFERROR(__xludf.DUMMYFUNCTION("""COMPUTED_VALUE"""),"")</f>
        <v/>
      </c>
      <c r="Q7617" s="17" t="str">
        <f>IFERROR(__xludf.DUMMYFUNCTION("""COMPUTED_VALUE"""),"")</f>
        <v/>
      </c>
      <c r="R7617" s="17" t="str">
        <f>IFERROR(__xludf.DUMMYFUNCTION("""COMPUTED_VALUE"""),"")</f>
        <v/>
      </c>
    </row>
    <row r="7618">
      <c r="A7618" s="15">
        <f>IFERROR(__xludf.DUMMYFUNCTION("""COMPUTED_VALUE"""),45217.0)</f>
        <v>45217</v>
      </c>
      <c r="B7618" s="16" t="str">
        <f>IFERROR(__xludf.DUMMYFUNCTION("""COMPUTED_VALUE"""),"Jhon Anderson Ceballos Hernandez")</f>
        <v>Jhon Anderson Ceballos Hernandez</v>
      </c>
      <c r="C7618" s="15" t="str">
        <f>IFERROR(__xludf.DUMMYFUNCTION("""COMPUTED_VALUE"""),"MANIZALES")</f>
        <v>MANIZALES</v>
      </c>
      <c r="D7618" s="15" t="str">
        <f>IFERROR(__xludf.DUMMYFUNCTION("""COMPUTED_VALUE"""),"BOGOTÁ")</f>
        <v>BOGOTÁ</v>
      </c>
      <c r="E7618" s="15" t="str">
        <f>IFERROR(__xludf.DUMMYFUNCTION("""COMPUTED_VALUE"""),"Top Spun")</f>
        <v>Top Spun</v>
      </c>
      <c r="F7618" s="17" t="str">
        <f>IFERROR(__xludf.DUMMYFUNCTION("""COMPUTED_VALUE"""),"Calle 72#25-75 / Edificio Punta del Este, apto 503, torre 1  / Manizales")</f>
        <v>Calle 72#25-75 / Edificio Punta del Este, apto 503, torre 1  / Manizales</v>
      </c>
      <c r="G7618" s="15" t="str">
        <f>IFERROR(__xludf.DUMMYFUNCTION("""COMPUTED_VALUE"""),"Ana María Perez")</f>
        <v>Ana María Perez</v>
      </c>
      <c r="H7618" s="16">
        <f>IFERROR(__xludf.DUMMYFUNCTION("""COMPUTED_VALUE"""),16281.0)</f>
        <v>16281</v>
      </c>
      <c r="I7618" s="18">
        <f>IFERROR(__xludf.DUMMYFUNCTION("""COMPUTED_VALUE"""),20.0)</f>
        <v>20</v>
      </c>
      <c r="J7618" s="18">
        <f>IFERROR(__xludf.DUMMYFUNCTION("""COMPUTED_VALUE"""),10.0)</f>
        <v>10</v>
      </c>
      <c r="K7618" s="18">
        <f>IFERROR(__xludf.DUMMYFUNCTION("""COMPUTED_VALUE"""),40.0)</f>
        <v>40</v>
      </c>
      <c r="L7618" s="17">
        <f>IFERROR(__xludf.DUMMYFUNCTION("""COMPUTED_VALUE"""),3.046303476E9)</f>
        <v>3046303476</v>
      </c>
      <c r="M7618" s="17"/>
      <c r="N7618" s="17"/>
      <c r="O7618" s="17"/>
      <c r="P7618" s="17" t="b">
        <f>IFERROR(__xludf.DUMMYFUNCTION("""COMPUTED_VALUE"""),FALSE)</f>
        <v>0</v>
      </c>
      <c r="Q7618" s="20" t="str">
        <f>IFERROR(__xludf.DUMMYFUNCTION("""COMPUTED_VALUE"""),"")</f>
        <v/>
      </c>
      <c r="R7618" s="21" t="str">
        <f>IFERROR(__xludf.DUMMYFUNCTION("""COMPUTED_VALUE"""),"https://drive.google.com/file/d/1cUe53gARnfgyl52uGUnPBclgdu1XXlJo/view?usp=drivesdk")</f>
        <v>https://drive.google.com/file/d/1cUe53gARnfgyl52uGUnPBclgdu1XXlJo/view?usp=drivesdk</v>
      </c>
    </row>
    <row r="7619">
      <c r="A7619" s="15">
        <f>IFERROR(__xludf.DUMMYFUNCTION("""COMPUTED_VALUE"""),45217.0)</f>
        <v>45217</v>
      </c>
      <c r="B7619" s="16" t="str">
        <f>IFERROR(__xludf.DUMMYFUNCTION("""COMPUTED_VALUE"""),"Jhon Anderson Ceballos Hernandez")</f>
        <v>Jhon Anderson Ceballos Hernandez</v>
      </c>
      <c r="C7619" s="15" t="str">
        <f>IFERROR(__xludf.DUMMYFUNCTION("""COMPUTED_VALUE"""),"MEDELLÍN")</f>
        <v>MEDELLÍN</v>
      </c>
      <c r="D7619" s="15" t="str">
        <f>IFERROR(__xludf.DUMMYFUNCTION("""COMPUTED_VALUE"""),"BOGOTÁ")</f>
        <v>BOGOTÁ</v>
      </c>
      <c r="E7619" s="15" t="str">
        <f>IFERROR(__xludf.DUMMYFUNCTION("""COMPUTED_VALUE"""),"Top Spun")</f>
        <v>Top Spun</v>
      </c>
      <c r="F7619" s="17" t="str">
        <f>IFERROR(__xludf.DUMMYFUNCTION("""COMPUTED_VALUE"""),"CARRERA 77 # 43-43 / APARTAMENTO 501 / Medellín")</f>
        <v>CARRERA 77 # 43-43 / APARTAMENTO 501 / Medellín</v>
      </c>
      <c r="G7619" s="15" t="str">
        <f>IFERROR(__xludf.DUMMYFUNCTION("""COMPUTED_VALUE"""),"NATALIA HURTADO")</f>
        <v>NATALIA HURTADO</v>
      </c>
      <c r="H7619" s="16">
        <f>IFERROR(__xludf.DUMMYFUNCTION("""COMPUTED_VALUE"""),16282.0)</f>
        <v>16282</v>
      </c>
      <c r="I7619" s="18">
        <f>IFERROR(__xludf.DUMMYFUNCTION("""COMPUTED_VALUE"""),20.0)</f>
        <v>20</v>
      </c>
      <c r="J7619" s="18">
        <f>IFERROR(__xludf.DUMMYFUNCTION("""COMPUTED_VALUE"""),10.0)</f>
        <v>10</v>
      </c>
      <c r="K7619" s="18">
        <f>IFERROR(__xludf.DUMMYFUNCTION("""COMPUTED_VALUE"""),40.0)</f>
        <v>40</v>
      </c>
      <c r="L7619" s="17">
        <f>IFERROR(__xludf.DUMMYFUNCTION("""COMPUTED_VALUE"""),3.043291242E9)</f>
        <v>3043291242</v>
      </c>
      <c r="M7619" s="17"/>
      <c r="N7619" s="17"/>
      <c r="O7619" s="17"/>
      <c r="P7619" s="17" t="b">
        <f>IFERROR(__xludf.DUMMYFUNCTION("""COMPUTED_VALUE"""),FALSE)</f>
        <v>0</v>
      </c>
      <c r="Q7619" s="20" t="str">
        <f>IFERROR(__xludf.DUMMYFUNCTION("""COMPUTED_VALUE"""),"")</f>
        <v/>
      </c>
      <c r="R7619" s="21" t="str">
        <f>IFERROR(__xludf.DUMMYFUNCTION("""COMPUTED_VALUE"""),"https://drive.google.com/file/d/1yCJBfOgs63prMiZhphXjNeSnk-GL2Kqw/view?usp=drivesdk")</f>
        <v>https://drive.google.com/file/d/1yCJBfOgs63prMiZhphXjNeSnk-GL2Kqw/view?usp=drivesdk</v>
      </c>
    </row>
    <row r="7620">
      <c r="A7620" s="15">
        <f>IFERROR(__xludf.DUMMYFUNCTION("""COMPUTED_VALUE"""),45217.0)</f>
        <v>45217</v>
      </c>
      <c r="B7620" s="16" t="str">
        <f>IFERROR(__xludf.DUMMYFUNCTION("""COMPUTED_VALUE"""),"Jhon Anderson Ceballos Hernandez")</f>
        <v>Jhon Anderson Ceballos Hernandez</v>
      </c>
      <c r="C7620" s="15" t="str">
        <f>IFERROR(__xludf.DUMMYFUNCTION("""COMPUTED_VALUE"""),"MEDELLÍN")</f>
        <v>MEDELLÍN</v>
      </c>
      <c r="D7620" s="15" t="str">
        <f>IFERROR(__xludf.DUMMYFUNCTION("""COMPUTED_VALUE"""),"BOGOTÁ")</f>
        <v>BOGOTÁ</v>
      </c>
      <c r="E7620" s="15" t="str">
        <f>IFERROR(__xludf.DUMMYFUNCTION("""COMPUTED_VALUE"""),"Viiva Fermentados")</f>
        <v>Viiva Fermentados</v>
      </c>
      <c r="F7620" s="17" t="str">
        <f>IFERROR(__xludf.DUMMYFUNCTION("""COMPUTED_VALUE"""),"CR 42 # 08 -39 / local primer piso / poblado")</f>
        <v>CR 42 # 08 -39 / local primer piso / poblado</v>
      </c>
      <c r="G7620" s="15" t="str">
        <f>IFERROR(__xludf.DUMMYFUNCTION("""COMPUTED_VALUE"""),"Julia Correa Ochoa La Real Vegetal")</f>
        <v>Julia Correa Ochoa La Real Vegetal</v>
      </c>
      <c r="H7620" s="16">
        <f>IFERROR(__xludf.DUMMYFUNCTION("""COMPUTED_VALUE"""),16301.0)</f>
        <v>16301</v>
      </c>
      <c r="I7620" s="18">
        <f>IFERROR(__xludf.DUMMYFUNCTION("""COMPUTED_VALUE"""),27.0)</f>
        <v>27</v>
      </c>
      <c r="J7620" s="18">
        <f>IFERROR(__xludf.DUMMYFUNCTION("""COMPUTED_VALUE"""),36.0)</f>
        <v>36</v>
      </c>
      <c r="K7620" s="18">
        <f>IFERROR(__xludf.DUMMYFUNCTION("""COMPUTED_VALUE"""),24.0)</f>
        <v>24</v>
      </c>
      <c r="L7620" s="17">
        <f>IFERROR(__xludf.DUMMYFUNCTION("""COMPUTED_VALUE"""),3.116345472E9)</f>
        <v>3116345472</v>
      </c>
      <c r="M7620" s="17"/>
      <c r="N7620" s="17"/>
      <c r="O7620" s="17"/>
      <c r="P7620" s="17" t="b">
        <f>IFERROR(__xludf.DUMMYFUNCTION("""COMPUTED_VALUE"""),FALSE)</f>
        <v>0</v>
      </c>
      <c r="Q7620" s="20" t="str">
        <f>IFERROR(__xludf.DUMMYFUNCTION("""COMPUTED_VALUE"""),"")</f>
        <v/>
      </c>
      <c r="R7620" s="21" t="str">
        <f>IFERROR(__xludf.DUMMYFUNCTION("""COMPUTED_VALUE"""),"https://drive.google.com/file/d/1EzqYKfvz935e3woBSlxsTNVQIx8ZKrVT/view?usp=drivesdk")</f>
        <v>https://drive.google.com/file/d/1EzqYKfvz935e3woBSlxsTNVQIx8ZKrVT/view?usp=drivesdk</v>
      </c>
    </row>
    <row r="7621">
      <c r="A7621" s="17" t="str">
        <f>IFERROR(__xludf.DUMMYFUNCTION("""COMPUTED_VALUE"""),"")</f>
        <v/>
      </c>
      <c r="B7621" s="17" t="str">
        <f>IFERROR(__xludf.DUMMYFUNCTION("""COMPUTED_VALUE"""),"")</f>
        <v/>
      </c>
      <c r="C7621" s="17" t="str">
        <f>IFERROR(__xludf.DUMMYFUNCTION("""COMPUTED_VALUE"""),"")</f>
        <v/>
      </c>
      <c r="D7621" s="17" t="str">
        <f>IFERROR(__xludf.DUMMYFUNCTION("""COMPUTED_VALUE"""),"")</f>
        <v/>
      </c>
      <c r="E7621" s="17" t="str">
        <f>IFERROR(__xludf.DUMMYFUNCTION("""COMPUTED_VALUE"""),"")</f>
        <v/>
      </c>
      <c r="F7621" s="17" t="str">
        <f>IFERROR(__xludf.DUMMYFUNCTION("""COMPUTED_VALUE"""),"")</f>
        <v/>
      </c>
      <c r="G7621" s="17" t="str">
        <f>IFERROR(__xludf.DUMMYFUNCTION("""COMPUTED_VALUE"""),"")</f>
        <v/>
      </c>
      <c r="H7621" s="17" t="str">
        <f>IFERROR(__xludf.DUMMYFUNCTION("""COMPUTED_VALUE"""),"")</f>
        <v/>
      </c>
      <c r="I7621" s="17" t="str">
        <f>IFERROR(__xludf.DUMMYFUNCTION("""COMPUTED_VALUE"""),"")</f>
        <v/>
      </c>
      <c r="J7621" s="17" t="str">
        <f>IFERROR(__xludf.DUMMYFUNCTION("""COMPUTED_VALUE"""),"")</f>
        <v/>
      </c>
      <c r="K7621" s="17" t="str">
        <f>IFERROR(__xludf.DUMMYFUNCTION("""COMPUTED_VALUE"""),"")</f>
        <v/>
      </c>
      <c r="L7621" s="17" t="str">
        <f>IFERROR(__xludf.DUMMYFUNCTION("""COMPUTED_VALUE"""),"")</f>
        <v/>
      </c>
      <c r="M7621" s="17" t="str">
        <f>IFERROR(__xludf.DUMMYFUNCTION("""COMPUTED_VALUE"""),"")</f>
        <v/>
      </c>
      <c r="N7621" s="17" t="str">
        <f>IFERROR(__xludf.DUMMYFUNCTION("""COMPUTED_VALUE"""),"")</f>
        <v/>
      </c>
      <c r="O7621" s="17" t="str">
        <f>IFERROR(__xludf.DUMMYFUNCTION("""COMPUTED_VALUE"""),"")</f>
        <v/>
      </c>
      <c r="P7621" s="17" t="str">
        <f>IFERROR(__xludf.DUMMYFUNCTION("""COMPUTED_VALUE"""),"")</f>
        <v/>
      </c>
      <c r="Q7621" s="17" t="str">
        <f>IFERROR(__xludf.DUMMYFUNCTION("""COMPUTED_VALUE"""),"")</f>
        <v/>
      </c>
      <c r="R7621" s="17" t="str">
        <f>IFERROR(__xludf.DUMMYFUNCTION("""COMPUTED_VALUE"""),"")</f>
        <v/>
      </c>
    </row>
    <row r="7622">
      <c r="A7622" s="15">
        <f>IFERROR(__xludf.DUMMYFUNCTION("""COMPUTED_VALUE"""),45217.0)</f>
        <v>45217</v>
      </c>
      <c r="B7622" s="16" t="str">
        <f>IFERROR(__xludf.DUMMYFUNCTION("""COMPUTED_VALUE"""),"Johan Alexander Escobar Arroyo ")</f>
        <v>Johan Alexander Escobar Arroyo </v>
      </c>
      <c r="C7622" s="15" t="str">
        <f>IFERROR(__xludf.DUMMYFUNCTION("""COMPUTED_VALUE"""),"CALI")</f>
        <v>CALI</v>
      </c>
      <c r="D7622" s="15" t="str">
        <f>IFERROR(__xludf.DUMMYFUNCTION("""COMPUTED_VALUE"""),"BOGOTÁ")</f>
        <v>BOGOTÁ</v>
      </c>
      <c r="E7622" s="15" t="str">
        <f>IFERROR(__xludf.DUMMYFUNCTION("""COMPUTED_VALUE"""),"Asociacion Agropecuaria Juana Maria")</f>
        <v>Asociacion Agropecuaria Juana Maria</v>
      </c>
      <c r="F7622" s="17" t="str">
        <f>IFERROR(__xludf.DUMMYFUNCTION("""COMPUTED_VALUE"""),"Carrera 17B # 33E-33 / La Floresta vieja")</f>
        <v>Carrera 17B # 33E-33 / La Floresta vieja</v>
      </c>
      <c r="G7622" s="15" t="str">
        <f>IFERROR(__xludf.DUMMYFUNCTION("""COMPUTED_VALUE"""),"Johanna acuña Molina")</f>
        <v>Johanna acuña Molina</v>
      </c>
      <c r="H7622" s="16">
        <f>IFERROR(__xludf.DUMMYFUNCTION("""COMPUTED_VALUE"""),16295.0)</f>
        <v>16295</v>
      </c>
      <c r="I7622" s="17"/>
      <c r="J7622" s="17"/>
      <c r="K7622" s="17"/>
      <c r="L7622" s="17">
        <f>IFERROR(__xludf.DUMMYFUNCTION("""COMPUTED_VALUE"""),3.218700343E9)</f>
        <v>3218700343</v>
      </c>
      <c r="M7622" s="17"/>
      <c r="N7622" s="17"/>
      <c r="O7622" s="17"/>
      <c r="P7622" s="17" t="b">
        <f>IFERROR(__xludf.DUMMYFUNCTION("""COMPUTED_VALUE"""),TRUE)</f>
        <v>1</v>
      </c>
      <c r="Q7622" s="20">
        <f>IFERROR(__xludf.DUMMYFUNCTION("""COMPUTED_VALUE"""),45217.700990682875)</f>
        <v>45217.70099</v>
      </c>
      <c r="R7622" s="22" t="str">
        <f>IFERROR(__xludf.DUMMYFUNCTION("""COMPUTED_VALUE"""),"")</f>
        <v/>
      </c>
    </row>
    <row r="7623">
      <c r="A7623" s="15">
        <f>IFERROR(__xludf.DUMMYFUNCTION("""COMPUTED_VALUE"""),45217.0)</f>
        <v>45217</v>
      </c>
      <c r="B7623" s="16" t="str">
        <f>IFERROR(__xludf.DUMMYFUNCTION("""COMPUTED_VALUE"""),"Johan Alexander Escobar Arroyo ")</f>
        <v>Johan Alexander Escobar Arroyo </v>
      </c>
      <c r="C7623" s="15" t="str">
        <f>IFERROR(__xludf.DUMMYFUNCTION("""COMPUTED_VALUE"""),"CALI")</f>
        <v>CALI</v>
      </c>
      <c r="D7623" s="15" t="str">
        <f>IFERROR(__xludf.DUMMYFUNCTION("""COMPUTED_VALUE"""),"BOGOTÁ")</f>
        <v>BOGOTÁ</v>
      </c>
      <c r="E7623" s="15" t="str">
        <f>IFERROR(__xludf.DUMMYFUNCTION("""COMPUTED_VALUE"""),"Crowd innovation Lab")</f>
        <v>Crowd innovation Lab</v>
      </c>
      <c r="F7623" s="17" t="str">
        <f>IFERROR(__xludf.DUMMYFUNCTION("""COMPUTED_VALUE"""),"Cl. 4b #35a-11, El Sindicato, Cali, Valle del Cauca / Casa / Casa ubicada en una esquina")</f>
        <v>Cl. 4b #35a-11, El Sindicato, Cali, Valle del Cauca / Casa / Casa ubicada en una esquina</v>
      </c>
      <c r="G7623" s="15" t="str">
        <f>IFERROR(__xludf.DUMMYFUNCTION("""COMPUTED_VALUE"""),"Stiven johan hurtado")</f>
        <v>Stiven johan hurtado</v>
      </c>
      <c r="H7623" s="16">
        <f>IFERROR(__xludf.DUMMYFUNCTION("""COMPUTED_VALUE"""),16310.0)</f>
        <v>16310</v>
      </c>
      <c r="I7623" s="18">
        <f>IFERROR(__xludf.DUMMYFUNCTION("""COMPUTED_VALUE"""),20.0)</f>
        <v>20</v>
      </c>
      <c r="J7623" s="18">
        <f>IFERROR(__xludf.DUMMYFUNCTION("""COMPUTED_VALUE"""),20.0)</f>
        <v>20</v>
      </c>
      <c r="K7623" s="18">
        <f>IFERROR(__xludf.DUMMYFUNCTION("""COMPUTED_VALUE"""),32.0)</f>
        <v>32</v>
      </c>
      <c r="L7623" s="17">
        <f>IFERROR(__xludf.DUMMYFUNCTION("""COMPUTED_VALUE"""),3.1064514171E10)</f>
        <v>31064514171</v>
      </c>
      <c r="M7623" s="17"/>
      <c r="N7623" s="17"/>
      <c r="O7623" s="17"/>
      <c r="P7623" s="17" t="b">
        <f>IFERROR(__xludf.DUMMYFUNCTION("""COMPUTED_VALUE"""),FALSE)</f>
        <v>0</v>
      </c>
      <c r="Q7623" s="20" t="str">
        <f>IFERROR(__xludf.DUMMYFUNCTION("""COMPUTED_VALUE"""),"")</f>
        <v/>
      </c>
      <c r="R7623" s="21" t="str">
        <f>IFERROR(__xludf.DUMMYFUNCTION("""COMPUTED_VALUE"""),"https://drive.google.com/file/d/1lg8099SfTw1i1UIaRjmUnkfeJKZ7Ck6P/view?usp=drivesdk")</f>
        <v>https://drive.google.com/file/d/1lg8099SfTw1i1UIaRjmUnkfeJKZ7Ck6P/view?usp=drivesdk</v>
      </c>
    </row>
    <row r="7624">
      <c r="A7624" s="15">
        <f>IFERROR(__xludf.DUMMYFUNCTION("""COMPUTED_VALUE"""),45217.0)</f>
        <v>45217</v>
      </c>
      <c r="B7624" s="16" t="str">
        <f>IFERROR(__xludf.DUMMYFUNCTION("""COMPUTED_VALUE"""),"Johan Alexander Escobar Arroyo ")</f>
        <v>Johan Alexander Escobar Arroyo </v>
      </c>
      <c r="C7624" s="15" t="str">
        <f>IFERROR(__xludf.DUMMYFUNCTION("""COMPUTED_VALUE"""),"CALI")</f>
        <v>CALI</v>
      </c>
      <c r="D7624" s="15" t="str">
        <f>IFERROR(__xludf.DUMMYFUNCTION("""COMPUTED_VALUE"""),"BOGOTÁ")</f>
        <v>BOGOTÁ</v>
      </c>
      <c r="E7624" s="15" t="str">
        <f>IFERROR(__xludf.DUMMYFUNCTION("""COMPUTED_VALUE"""),"Ins. Alimento Vital")</f>
        <v>Ins. Alimento Vital</v>
      </c>
      <c r="F7624" s="17" t="str">
        <f>IFERROR(__xludf.DUMMYFUNCTION("""COMPUTED_VALUE"""),"CALLE 34 N # 2BN 33  / CASA / SAN VICENTE")</f>
        <v>CALLE 34 N # 2BN 33  / CASA / SAN VICENTE</v>
      </c>
      <c r="G7624" s="15" t="str">
        <f>IFERROR(__xludf.DUMMYFUNCTION("""COMPUTED_VALUE"""),"VELOCITY CALI")</f>
        <v>VELOCITY CALI</v>
      </c>
      <c r="H7624" s="16">
        <f>IFERROR(__xludf.DUMMYFUNCTION("""COMPUTED_VALUE"""),16364.0)</f>
        <v>16364</v>
      </c>
      <c r="I7624" s="18">
        <f>IFERROR(__xludf.DUMMYFUNCTION("""COMPUTED_VALUE"""),1.0)</f>
        <v>1</v>
      </c>
      <c r="J7624" s="18">
        <f>IFERROR(__xludf.DUMMYFUNCTION("""COMPUTED_VALUE"""),1.0)</f>
        <v>1</v>
      </c>
      <c r="K7624" s="18">
        <f>IFERROR(__xludf.DUMMYFUNCTION("""COMPUTED_VALUE"""),1.0)</f>
        <v>1</v>
      </c>
      <c r="L7624" s="17">
        <f>IFERROR(__xludf.DUMMYFUNCTION("""COMPUTED_VALUE"""),3.15586906E9)</f>
        <v>3155869060</v>
      </c>
      <c r="M7624" s="17"/>
      <c r="N7624" s="17"/>
      <c r="O7624" s="17"/>
      <c r="P7624" s="17" t="b">
        <f>IFERROR(__xludf.DUMMYFUNCTION("""COMPUTED_VALUE"""),FALSE)</f>
        <v>0</v>
      </c>
      <c r="Q7624" s="20" t="str">
        <f>IFERROR(__xludf.DUMMYFUNCTION("""COMPUTED_VALUE"""),"")</f>
        <v/>
      </c>
      <c r="R7624" s="21" t="str">
        <f>IFERROR(__xludf.DUMMYFUNCTION("""COMPUTED_VALUE"""),"https://drive.google.com/file/d/1LNU4OCDwUxtQRdKnLAoLG9U_UIoHeLKt/view?usp=drivesdk")</f>
        <v>https://drive.google.com/file/d/1LNU4OCDwUxtQRdKnLAoLG9U_UIoHeLKt/view?usp=drivesdk</v>
      </c>
    </row>
    <row r="7625">
      <c r="A7625" s="15">
        <f>IFERROR(__xludf.DUMMYFUNCTION("""COMPUTED_VALUE"""),45217.0)</f>
        <v>45217</v>
      </c>
      <c r="B7625" s="16" t="str">
        <f>IFERROR(__xludf.DUMMYFUNCTION("""COMPUTED_VALUE"""),"Johan Alexander Escobar Arroyo ")</f>
        <v>Johan Alexander Escobar Arroyo </v>
      </c>
      <c r="C7625" s="15" t="str">
        <f>IFERROR(__xludf.DUMMYFUNCTION("""COMPUTED_VALUE"""),"CALI")</f>
        <v>CALI</v>
      </c>
      <c r="D7625" s="15" t="str">
        <f>IFERROR(__xludf.DUMMYFUNCTION("""COMPUTED_VALUE"""),"BOGOTÁ")</f>
        <v>BOGOTÁ</v>
      </c>
      <c r="E7625" s="15" t="str">
        <f>IFERROR(__xludf.DUMMYFUNCTION("""COMPUTED_VALUE"""),"LINA PAOLA RAMIREZ GOMEZ - EVA MAZZITA")</f>
        <v>LINA PAOLA RAMIREZ GOMEZ - EVA MAZZITA</v>
      </c>
      <c r="F7625" s="17" t="str">
        <f>IFERROR(__xludf.DUMMYFUNCTION("""COMPUTED_VALUE"""),"Calle 13 A # 37-31 / apto 402 D Unidad Residencial Alambra 3 Barrio El Dorado")</f>
        <v>Calle 13 A # 37-31 / apto 402 D Unidad Residencial Alambra 3 Barrio El Dorado</v>
      </c>
      <c r="G7625" s="15" t="str">
        <f>IFERROR(__xludf.DUMMYFUNCTION("""COMPUTED_VALUE"""),"AURA SANCHEZ")</f>
        <v>AURA SANCHEZ</v>
      </c>
      <c r="H7625" s="16">
        <f>IFERROR(__xludf.DUMMYFUNCTION("""COMPUTED_VALUE"""),16324.0)</f>
        <v>16324</v>
      </c>
      <c r="I7625" s="17"/>
      <c r="J7625" s="17"/>
      <c r="K7625" s="17"/>
      <c r="L7625" s="17">
        <f>IFERROR(__xludf.DUMMYFUNCTION("""COMPUTED_VALUE"""),3.127255718E9)</f>
        <v>3127255718</v>
      </c>
      <c r="M7625" s="17"/>
      <c r="N7625" s="17"/>
      <c r="O7625" s="17"/>
      <c r="P7625" s="17" t="b">
        <f>IFERROR(__xludf.DUMMYFUNCTION("""COMPUTED_VALUE"""),FALSE)</f>
        <v>0</v>
      </c>
      <c r="Q7625" s="20" t="str">
        <f>IFERROR(__xludf.DUMMYFUNCTION("""COMPUTED_VALUE"""),"")</f>
        <v/>
      </c>
      <c r="R7625" s="21" t="str">
        <f>IFERROR(__xludf.DUMMYFUNCTION("""COMPUTED_VALUE"""),"https://drive.google.com/file/d/1L-dudaqc2nbaAuExiZq5HMkY1aGZZXvE/view?usp=drivesdk")</f>
        <v>https://drive.google.com/file/d/1L-dudaqc2nbaAuExiZq5HMkY1aGZZXvE/view?usp=drivesdk</v>
      </c>
    </row>
    <row r="7626">
      <c r="A7626" s="15">
        <f>IFERROR(__xludf.DUMMYFUNCTION("""COMPUTED_VALUE"""),45217.0)</f>
        <v>45217</v>
      </c>
      <c r="B7626" s="16" t="str">
        <f>IFERROR(__xludf.DUMMYFUNCTION("""COMPUTED_VALUE"""),"Johan Alexander Escobar Arroyo ")</f>
        <v>Johan Alexander Escobar Arroyo </v>
      </c>
      <c r="C7626" s="15" t="str">
        <f>IFERROR(__xludf.DUMMYFUNCTION("""COMPUTED_VALUE"""),"CALI")</f>
        <v>CALI</v>
      </c>
      <c r="D7626" s="15" t="str">
        <f>IFERROR(__xludf.DUMMYFUNCTION("""COMPUTED_VALUE"""),"BOGOTÁ")</f>
        <v>BOGOTÁ</v>
      </c>
      <c r="E7626" s="15" t="str">
        <f>IFERROR(__xludf.DUMMYFUNCTION("""COMPUTED_VALUE"""),"LINA PAOLA RAMIREZ GOMEZ - EVA MAZZITA")</f>
        <v>LINA PAOLA RAMIREZ GOMEZ - EVA MAZZITA</v>
      </c>
      <c r="F7626" s="17" t="str">
        <f>IFERROR(__xludf.DUMMYFUNCTION("""COMPUTED_VALUE"""),"Calle 18 #85b-15 / Apto505/ edificio talinn")</f>
        <v>Calle 18 #85b-15 / Apto505/ edificio talinn</v>
      </c>
      <c r="G7626" s="15" t="str">
        <f>IFERROR(__xludf.DUMMYFUNCTION("""COMPUTED_VALUE"""),"LEIDY VANESSA GUTIERREZ")</f>
        <v>LEIDY VANESSA GUTIERREZ</v>
      </c>
      <c r="H7626" s="16">
        <f>IFERROR(__xludf.DUMMYFUNCTION("""COMPUTED_VALUE"""),16327.0)</f>
        <v>16327</v>
      </c>
      <c r="I7626" s="17"/>
      <c r="J7626" s="17"/>
      <c r="K7626" s="17"/>
      <c r="L7626" s="17">
        <f>IFERROR(__xludf.DUMMYFUNCTION("""COMPUTED_VALUE"""),3.178873686E9)</f>
        <v>3178873686</v>
      </c>
      <c r="M7626" s="17"/>
      <c r="N7626" s="17"/>
      <c r="O7626" s="17"/>
      <c r="P7626" s="17" t="b">
        <f>IFERROR(__xludf.DUMMYFUNCTION("""COMPUTED_VALUE"""),FALSE)</f>
        <v>0</v>
      </c>
      <c r="Q7626" s="20" t="str">
        <f>IFERROR(__xludf.DUMMYFUNCTION("""COMPUTED_VALUE"""),"")</f>
        <v/>
      </c>
      <c r="R7626" s="21" t="str">
        <f>IFERROR(__xludf.DUMMYFUNCTION("""COMPUTED_VALUE"""),"https://drive.google.com/file/d/1eox3RgihTYFb1kg35MMvaPOC99o_wNvb/view?usp=drivesdk")</f>
        <v>https://drive.google.com/file/d/1eox3RgihTYFb1kg35MMvaPOC99o_wNvb/view?usp=drivesdk</v>
      </c>
    </row>
    <row r="7627">
      <c r="A7627" s="15">
        <f>IFERROR(__xludf.DUMMYFUNCTION("""COMPUTED_VALUE"""),45217.0)</f>
        <v>45217</v>
      </c>
      <c r="B7627" s="16" t="str">
        <f>IFERROR(__xludf.DUMMYFUNCTION("""COMPUTED_VALUE"""),"Johan Alexander Escobar Arroyo ")</f>
        <v>Johan Alexander Escobar Arroyo </v>
      </c>
      <c r="C7627" s="15" t="str">
        <f>IFERROR(__xludf.DUMMYFUNCTION("""COMPUTED_VALUE"""),"CALI")</f>
        <v>CALI</v>
      </c>
      <c r="D7627" s="15" t="str">
        <f>IFERROR(__xludf.DUMMYFUNCTION("""COMPUTED_VALUE"""),"BOGOTÁ")</f>
        <v>BOGOTÁ</v>
      </c>
      <c r="E7627" s="15" t="str">
        <f>IFERROR(__xludf.DUMMYFUNCTION("""COMPUTED_VALUE"""),"LINA PAOLA RAMIREZ GOMEZ - EVA MAZZITA")</f>
        <v>LINA PAOLA RAMIREZ GOMEZ - EVA MAZZITA</v>
      </c>
      <c r="F7627" s="17" t="str">
        <f>IFERROR(__xludf.DUMMYFUNCTION("""COMPUTED_VALUE"""),"Cra 102 #11-45 / Balcon del campestre / Torre 2/ Apto 501")</f>
        <v>Cra 102 #11-45 / Balcon del campestre / Torre 2/ Apto 501</v>
      </c>
      <c r="G7627" s="15" t="str">
        <f>IFERROR(__xludf.DUMMYFUNCTION("""COMPUTED_VALUE"""),"HEIDY JOHANA PERALTA RODRIGUEZ")</f>
        <v>HEIDY JOHANA PERALTA RODRIGUEZ</v>
      </c>
      <c r="H7627" s="16">
        <f>IFERROR(__xludf.DUMMYFUNCTION("""COMPUTED_VALUE"""),16325.0)</f>
        <v>16325</v>
      </c>
      <c r="I7627" s="17"/>
      <c r="J7627" s="17"/>
      <c r="K7627" s="17"/>
      <c r="L7627" s="17">
        <f>IFERROR(__xludf.DUMMYFUNCTION("""COMPUTED_VALUE"""),3.155462981E9)</f>
        <v>3155462981</v>
      </c>
      <c r="M7627" s="17"/>
      <c r="N7627" s="17"/>
      <c r="O7627" s="17"/>
      <c r="P7627" s="17" t="b">
        <f>IFERROR(__xludf.DUMMYFUNCTION("""COMPUTED_VALUE"""),FALSE)</f>
        <v>0</v>
      </c>
      <c r="Q7627" s="20" t="str">
        <f>IFERROR(__xludf.DUMMYFUNCTION("""COMPUTED_VALUE"""),"")</f>
        <v/>
      </c>
      <c r="R7627" s="21" t="str">
        <f>IFERROR(__xludf.DUMMYFUNCTION("""COMPUTED_VALUE"""),"https://drive.google.com/file/d/1W8RD-ppPHhJzhXQXCZMlIX8b4uQ3PS8A/view?usp=drivesdk")</f>
        <v>https://drive.google.com/file/d/1W8RD-ppPHhJzhXQXCZMlIX8b4uQ3PS8A/view?usp=drivesdk</v>
      </c>
    </row>
    <row r="7628">
      <c r="A7628" s="15">
        <f>IFERROR(__xludf.DUMMYFUNCTION("""COMPUTED_VALUE"""),45217.0)</f>
        <v>45217</v>
      </c>
      <c r="B7628" s="16" t="str">
        <f>IFERROR(__xludf.DUMMYFUNCTION("""COMPUTED_VALUE"""),"Johan Alexander Escobar Arroyo ")</f>
        <v>Johan Alexander Escobar Arroyo </v>
      </c>
      <c r="C7628" s="15" t="str">
        <f>IFERROR(__xludf.DUMMYFUNCTION("""COMPUTED_VALUE"""),"CALI")</f>
        <v>CALI</v>
      </c>
      <c r="D7628" s="15" t="str">
        <f>IFERROR(__xludf.DUMMYFUNCTION("""COMPUTED_VALUE"""),"BOGOTÁ")</f>
        <v>BOGOTÁ</v>
      </c>
      <c r="E7628" s="15" t="str">
        <f>IFERROR(__xludf.DUMMYFUNCTION("""COMPUTED_VALUE"""),"Pan de Waffle")</f>
        <v>Pan de Waffle</v>
      </c>
      <c r="F7628" s="17" t="str">
        <f>IFERROR(__xludf.DUMMYFUNCTION("""COMPUTED_VALUE"""),"Calle 18 norte # 9n-45 Cali  / Calle 18 norte # 9n-45 Cali  / Calle 18 norte # 9n-45 Cali")</f>
        <v>Calle 18 norte # 9n-45 Cali  / Calle 18 norte # 9n-45 Cali  / Calle 18 norte # 9n-45 Cali</v>
      </c>
      <c r="G7628" s="15" t="str">
        <f>IFERROR(__xludf.DUMMYFUNCTION("""COMPUTED_VALUE"""),"NUTRICION EN MOVIMIENTO")</f>
        <v>NUTRICION EN MOVIMIENTO</v>
      </c>
      <c r="H7628" s="16">
        <f>IFERROR(__xludf.DUMMYFUNCTION("""COMPUTED_VALUE"""),16352.0)</f>
        <v>16352</v>
      </c>
      <c r="I7628" s="18">
        <f>IFERROR(__xludf.DUMMYFUNCTION("""COMPUTED_VALUE"""),30.0)</f>
        <v>30</v>
      </c>
      <c r="J7628" s="18">
        <f>IFERROR(__xludf.DUMMYFUNCTION("""COMPUTED_VALUE"""),40.0)</f>
        <v>40</v>
      </c>
      <c r="K7628" s="18">
        <f>IFERROR(__xludf.DUMMYFUNCTION("""COMPUTED_VALUE"""),40.0)</f>
        <v>40</v>
      </c>
      <c r="L7628" s="17">
        <f>IFERROR(__xludf.DUMMYFUNCTION("""COMPUTED_VALUE"""),3.148101084E9)</f>
        <v>3148101084</v>
      </c>
      <c r="M7628" s="17"/>
      <c r="N7628" s="17"/>
      <c r="O7628" s="17"/>
      <c r="P7628" s="17" t="b">
        <f>IFERROR(__xludf.DUMMYFUNCTION("""COMPUTED_VALUE"""),FALSE)</f>
        <v>0</v>
      </c>
      <c r="Q7628" s="20" t="str">
        <f>IFERROR(__xludf.DUMMYFUNCTION("""COMPUTED_VALUE"""),"")</f>
        <v/>
      </c>
      <c r="R7628" s="21" t="str">
        <f>IFERROR(__xludf.DUMMYFUNCTION("""COMPUTED_VALUE"""),"https://drive.google.com/file/d/1hFHBChwLuVp5bc93-TEx5mMOuLoL1C7Z/view?usp=drivesdk")</f>
        <v>https://drive.google.com/file/d/1hFHBChwLuVp5bc93-TEx5mMOuLoL1C7Z/view?usp=drivesdk</v>
      </c>
    </row>
    <row r="7629">
      <c r="A7629" s="15">
        <f>IFERROR(__xludf.DUMMYFUNCTION("""COMPUTED_VALUE"""),45217.0)</f>
        <v>45217</v>
      </c>
      <c r="B7629" s="16" t="str">
        <f>IFERROR(__xludf.DUMMYFUNCTION("""COMPUTED_VALUE"""),"Johan Alexander Escobar Arroyo ")</f>
        <v>Johan Alexander Escobar Arroyo </v>
      </c>
      <c r="C7629" s="15" t="str">
        <f>IFERROR(__xludf.DUMMYFUNCTION("""COMPUTED_VALUE"""),"CALI")</f>
        <v>CALI</v>
      </c>
      <c r="D7629" s="15" t="str">
        <f>IFERROR(__xludf.DUMMYFUNCTION("""COMPUTED_VALUE"""),"BOGOTÁ")</f>
        <v>BOGOTÁ</v>
      </c>
      <c r="E7629" s="15" t="str">
        <f>IFERROR(__xludf.DUMMYFUNCTION("""COMPUTED_VALUE"""),"Pan de Waffle")</f>
        <v>Pan de Waffle</v>
      </c>
      <c r="F7629" s="17" t="str">
        <f>IFERROR(__xludf.DUMMYFUNCTION("""COMPUTED_VALUE"""),"Calle 5c # 26 - 55 Barrio 3 Julio  / Calle 5c # 26 - 55 Barrio 3 Julio  / Calle 5c # 26 - 55 Barrio 3 Julio")</f>
        <v>Calle 5c # 26 - 55 Barrio 3 Julio  / Calle 5c # 26 - 55 Barrio 3 Julio  / Calle 5c # 26 - 55 Barrio 3 Julio</v>
      </c>
      <c r="G7629" s="15" t="str">
        <f>IFERROR(__xludf.DUMMYFUNCTION("""COMPUTED_VALUE"""),"ARTEMISA")</f>
        <v>ARTEMISA</v>
      </c>
      <c r="H7629" s="16">
        <f>IFERROR(__xludf.DUMMYFUNCTION("""COMPUTED_VALUE"""),16351.0)</f>
        <v>16351</v>
      </c>
      <c r="I7629" s="18">
        <f>IFERROR(__xludf.DUMMYFUNCTION("""COMPUTED_VALUE"""),30.0)</f>
        <v>30</v>
      </c>
      <c r="J7629" s="18">
        <f>IFERROR(__xludf.DUMMYFUNCTION("""COMPUTED_VALUE"""),30.0)</f>
        <v>30</v>
      </c>
      <c r="K7629" s="18">
        <f>IFERROR(__xludf.DUMMYFUNCTION("""COMPUTED_VALUE"""),40.0)</f>
        <v>40</v>
      </c>
      <c r="L7629" s="17">
        <f>IFERROR(__xludf.DUMMYFUNCTION("""COMPUTED_VALUE"""),3.164830178E9)</f>
        <v>3164830178</v>
      </c>
      <c r="M7629" s="17"/>
      <c r="N7629" s="17"/>
      <c r="O7629" s="17"/>
      <c r="P7629" s="17" t="b">
        <f>IFERROR(__xludf.DUMMYFUNCTION("""COMPUTED_VALUE"""),FALSE)</f>
        <v>0</v>
      </c>
      <c r="Q7629" s="20" t="str">
        <f>IFERROR(__xludf.DUMMYFUNCTION("""COMPUTED_VALUE"""),"")</f>
        <v/>
      </c>
      <c r="R7629" s="21" t="str">
        <f>IFERROR(__xludf.DUMMYFUNCTION("""COMPUTED_VALUE"""),"https://drive.google.com/file/d/198IK2yfFu0qDBX2iem5TD2BMu1gql-US/view?usp=drivesdk")</f>
        <v>https://drive.google.com/file/d/198IK2yfFu0qDBX2iem5TD2BMu1gql-US/view?usp=drivesdk</v>
      </c>
    </row>
    <row r="7630">
      <c r="A7630" s="15">
        <f>IFERROR(__xludf.DUMMYFUNCTION("""COMPUTED_VALUE"""),45217.0)</f>
        <v>45217</v>
      </c>
      <c r="B7630" s="16" t="str">
        <f>IFERROR(__xludf.DUMMYFUNCTION("""COMPUTED_VALUE"""),"Johan Alexander Escobar Arroyo ")</f>
        <v>Johan Alexander Escobar Arroyo </v>
      </c>
      <c r="C7630" s="15" t="str">
        <f>IFERROR(__xludf.DUMMYFUNCTION("""COMPUTED_VALUE"""),"CALI")</f>
        <v>CALI</v>
      </c>
      <c r="D7630" s="15" t="str">
        <f>IFERROR(__xludf.DUMMYFUNCTION("""COMPUTED_VALUE"""),"BOGOTÁ")</f>
        <v>BOGOTÁ</v>
      </c>
      <c r="E7630" s="15" t="str">
        <f>IFERROR(__xludf.DUMMYFUNCTION("""COMPUTED_VALUE"""),"Spirulina Fresca")</f>
        <v>Spirulina Fresca</v>
      </c>
      <c r="F7630" s="17" t="str">
        <f>IFERROR(__xludf.DUMMYFUNCTION("""COMPUTED_VALUE"""),"Oscar Giraldo Calle 1 56 70  / Casa 13 Conjunto cerros de guadalupe   / Cero de guadalupe")</f>
        <v>Oscar Giraldo Calle 1 56 70  / Casa 13 Conjunto cerros de guadalupe   / Cero de guadalupe</v>
      </c>
      <c r="G7630" s="15" t="str">
        <f>IFERROR(__xludf.DUMMYFUNCTION("""COMPUTED_VALUE"""),"Oscar Giraldo")</f>
        <v>Oscar Giraldo</v>
      </c>
      <c r="H7630" s="16">
        <f>IFERROR(__xludf.DUMMYFUNCTION("""COMPUTED_VALUE"""),16307.0)</f>
        <v>16307</v>
      </c>
      <c r="I7630" s="18">
        <f>IFERROR(__xludf.DUMMYFUNCTION("""COMPUTED_VALUE"""),5.0)</f>
        <v>5</v>
      </c>
      <c r="J7630" s="18">
        <f>IFERROR(__xludf.DUMMYFUNCTION("""COMPUTED_VALUE"""),5.0)</f>
        <v>5</v>
      </c>
      <c r="K7630" s="18">
        <f>IFERROR(__xludf.DUMMYFUNCTION("""COMPUTED_VALUE"""),22.0)</f>
        <v>22</v>
      </c>
      <c r="L7630" s="17">
        <f>IFERROR(__xludf.DUMMYFUNCTION("""COMPUTED_VALUE"""),3.163977798E9)</f>
        <v>3163977798</v>
      </c>
      <c r="M7630" s="17"/>
      <c r="N7630" s="17"/>
      <c r="O7630" s="17"/>
      <c r="P7630" s="17" t="b">
        <f>IFERROR(__xludf.DUMMYFUNCTION("""COMPUTED_VALUE"""),FALSE)</f>
        <v>0</v>
      </c>
      <c r="Q7630" s="20" t="str">
        <f>IFERROR(__xludf.DUMMYFUNCTION("""COMPUTED_VALUE"""),"")</f>
        <v/>
      </c>
      <c r="R7630" s="21" t="str">
        <f>IFERROR(__xludf.DUMMYFUNCTION("""COMPUTED_VALUE"""),"https://drive.google.com/file/d/1zC_EuZIhRGx6YjR6zbakU5L2MEA0o_O-/view?usp=drivesdk")</f>
        <v>https://drive.google.com/file/d/1zC_EuZIhRGx6YjR6zbakU5L2MEA0o_O-/view?usp=drivesdk</v>
      </c>
    </row>
    <row r="7631">
      <c r="A7631" s="15">
        <f>IFERROR(__xludf.DUMMYFUNCTION("""COMPUTED_VALUE"""),45217.0)</f>
        <v>45217</v>
      </c>
      <c r="B7631" s="16" t="str">
        <f>IFERROR(__xludf.DUMMYFUNCTION("""COMPUTED_VALUE"""),"Johan Alexander Escobar Arroyo ")</f>
        <v>Johan Alexander Escobar Arroyo </v>
      </c>
      <c r="C7631" s="15" t="str">
        <f>IFERROR(__xludf.DUMMYFUNCTION("""COMPUTED_VALUE"""),"IBAGUÉ")</f>
        <v>IBAGUÉ</v>
      </c>
      <c r="D7631" s="15" t="str">
        <f>IFERROR(__xludf.DUMMYFUNCTION("""COMPUTED_VALUE"""),"BOGOTÁ")</f>
        <v>BOGOTÁ</v>
      </c>
      <c r="E7631" s="15" t="str">
        <f>IFERROR(__xludf.DUMMYFUNCTION("""COMPUTED_VALUE"""),"LINA PAOLA RAMIREZ GOMEZ - EVA MAZZITA")</f>
        <v>LINA PAOLA RAMIREZ GOMEZ - EVA MAZZITA</v>
      </c>
      <c r="F7631" s="17" t="str">
        <f>IFERROR(__xludf.DUMMYFUNCTION("""COMPUTED_VALUE"""),"ENTRERIOS III / BLOQUE 3/ APTO 201")</f>
        <v>ENTRERIOS III / BLOQUE 3/ APTO 201</v>
      </c>
      <c r="G7631" s="15" t="str">
        <f>IFERROR(__xludf.DUMMYFUNCTION("""COMPUTED_VALUE"""),"CATALINA LINARES")</f>
        <v>CATALINA LINARES</v>
      </c>
      <c r="H7631" s="16">
        <f>IFERROR(__xludf.DUMMYFUNCTION("""COMPUTED_VALUE"""),16315.0)</f>
        <v>16315</v>
      </c>
      <c r="I7631" s="17"/>
      <c r="J7631" s="17"/>
      <c r="K7631" s="17"/>
      <c r="L7631" s="17">
        <f>IFERROR(__xludf.DUMMYFUNCTION("""COMPUTED_VALUE"""),3.017545459E9)</f>
        <v>3017545459</v>
      </c>
      <c r="M7631" s="17"/>
      <c r="N7631" s="17"/>
      <c r="O7631" s="17"/>
      <c r="P7631" s="17" t="b">
        <f>IFERROR(__xludf.DUMMYFUNCTION("""COMPUTED_VALUE"""),FALSE)</f>
        <v>0</v>
      </c>
      <c r="Q7631" s="20" t="str">
        <f>IFERROR(__xludf.DUMMYFUNCTION("""COMPUTED_VALUE"""),"")</f>
        <v/>
      </c>
      <c r="R7631" s="21" t="str">
        <f>IFERROR(__xludf.DUMMYFUNCTION("""COMPUTED_VALUE"""),"https://drive.google.com/file/d/1gNTI7OBLYT96QbCjU-buiWieOJibsnu5/view?usp=drivesdk")</f>
        <v>https://drive.google.com/file/d/1gNTI7OBLYT96QbCjU-buiWieOJibsnu5/view?usp=drivesdk</v>
      </c>
    </row>
    <row r="7632">
      <c r="A7632" s="15">
        <f>IFERROR(__xludf.DUMMYFUNCTION("""COMPUTED_VALUE"""),45217.0)</f>
        <v>45217</v>
      </c>
      <c r="B7632" s="16" t="str">
        <f>IFERROR(__xludf.DUMMYFUNCTION("""COMPUTED_VALUE"""),"Johan Alexander Escobar Arroyo ")</f>
        <v>Johan Alexander Escobar Arroyo </v>
      </c>
      <c r="C7632" s="15" t="str">
        <f>IFERROR(__xludf.DUMMYFUNCTION("""COMPUTED_VALUE"""),"IBAGUÉ")</f>
        <v>IBAGUÉ</v>
      </c>
      <c r="D7632" s="15" t="str">
        <f>IFERROR(__xludf.DUMMYFUNCTION("""COMPUTED_VALUE"""),"BUCARAMANGA")</f>
        <v>BUCARAMANGA</v>
      </c>
      <c r="E7632" s="15" t="str">
        <f>IFERROR(__xludf.DUMMYFUNCTION("""COMPUTED_VALUE"""),"Yo Como Solito")</f>
        <v>Yo Como Solito</v>
      </c>
      <c r="F7632" s="17" t="str">
        <f>IFERROR(__xludf.DUMMYFUNCTION("""COMPUTED_VALUE"""),"CALLE 93 # 20-40 SUR MIRADOR DE LOS ANDES TORRE 6 APARTAMENTO 1601 / CALLE 93 # 20-40 SUR MIRADOR DE LOS ANDES TORRE 6 APARTAMENTO 1601 / CALLE 93 # 20-40 SUR MIRADOR DE LOS ANDES TORRE 6 APARTAMENTO 1601")</f>
        <v>CALLE 93 # 20-40 SUR MIRADOR DE LOS ANDES TORRE 6 APARTAMENTO 1601 / CALLE 93 # 20-40 SUR MIRADOR DE LOS ANDES TORRE 6 APARTAMENTO 1601 / CALLE 93 # 20-40 SUR MIRADOR DE LOS ANDES TORRE 6 APARTAMENTO 1601</v>
      </c>
      <c r="G7632" s="15" t="str">
        <f>IFERROR(__xludf.DUMMYFUNCTION("""COMPUTED_VALUE"""),"MARIA FERNANDA BERRIO ENCISO")</f>
        <v>MARIA FERNANDA BERRIO ENCISO</v>
      </c>
      <c r="H7632" s="16">
        <f>IFERROR(__xludf.DUMMYFUNCTION("""COMPUTED_VALUE"""),16255.0)</f>
        <v>16255</v>
      </c>
      <c r="I7632" s="18">
        <f>IFERROR(__xludf.DUMMYFUNCTION("""COMPUTED_VALUE"""),24.0)</f>
        <v>24</v>
      </c>
      <c r="J7632" s="18">
        <f>IFERROR(__xludf.DUMMYFUNCTION("""COMPUTED_VALUE"""),25.0)</f>
        <v>25</v>
      </c>
      <c r="K7632" s="18">
        <f>IFERROR(__xludf.DUMMYFUNCTION("""COMPUTED_VALUE"""),34.0)</f>
        <v>34</v>
      </c>
      <c r="L7632" s="17">
        <f>IFERROR(__xludf.DUMMYFUNCTION("""COMPUTED_VALUE"""),3.023899361E9)</f>
        <v>3023899361</v>
      </c>
      <c r="M7632" s="17"/>
      <c r="N7632" s="17"/>
      <c r="O7632" s="17"/>
      <c r="P7632" s="17" t="b">
        <f>IFERROR(__xludf.DUMMYFUNCTION("""COMPUTED_VALUE"""),FALSE)</f>
        <v>0</v>
      </c>
      <c r="Q7632" s="20" t="str">
        <f>IFERROR(__xludf.DUMMYFUNCTION("""COMPUTED_VALUE"""),"")</f>
        <v/>
      </c>
      <c r="R7632" s="21" t="str">
        <f>IFERROR(__xludf.DUMMYFUNCTION("""COMPUTED_VALUE"""),"https://drive.google.com/file/d/1l5QF1A66On2q57ZSJO_dh81DRY4Jz46T/view?usp=drivesdk")</f>
        <v>https://drive.google.com/file/d/1l5QF1A66On2q57ZSJO_dh81DRY4Jz46T/view?usp=drivesdk</v>
      </c>
    </row>
    <row r="7633">
      <c r="A7633" s="17" t="str">
        <f>IFERROR(__xludf.DUMMYFUNCTION("""COMPUTED_VALUE"""),"")</f>
        <v/>
      </c>
      <c r="B7633" s="17" t="str">
        <f>IFERROR(__xludf.DUMMYFUNCTION("""COMPUTED_VALUE"""),"")</f>
        <v/>
      </c>
      <c r="C7633" s="17" t="str">
        <f>IFERROR(__xludf.DUMMYFUNCTION("""COMPUTED_VALUE"""),"")</f>
        <v/>
      </c>
      <c r="D7633" s="17" t="str">
        <f>IFERROR(__xludf.DUMMYFUNCTION("""COMPUTED_VALUE"""),"")</f>
        <v/>
      </c>
      <c r="E7633" s="17" t="str">
        <f>IFERROR(__xludf.DUMMYFUNCTION("""COMPUTED_VALUE"""),"")</f>
        <v/>
      </c>
      <c r="F7633" s="17" t="str">
        <f>IFERROR(__xludf.DUMMYFUNCTION("""COMPUTED_VALUE"""),"")</f>
        <v/>
      </c>
      <c r="G7633" s="17" t="str">
        <f>IFERROR(__xludf.DUMMYFUNCTION("""COMPUTED_VALUE"""),"")</f>
        <v/>
      </c>
      <c r="H7633" s="17" t="str">
        <f>IFERROR(__xludf.DUMMYFUNCTION("""COMPUTED_VALUE"""),"")</f>
        <v/>
      </c>
      <c r="I7633" s="17" t="str">
        <f>IFERROR(__xludf.DUMMYFUNCTION("""COMPUTED_VALUE"""),"")</f>
        <v/>
      </c>
      <c r="J7633" s="17" t="str">
        <f>IFERROR(__xludf.DUMMYFUNCTION("""COMPUTED_VALUE"""),"")</f>
        <v/>
      </c>
      <c r="K7633" s="17" t="str">
        <f>IFERROR(__xludf.DUMMYFUNCTION("""COMPUTED_VALUE"""),"")</f>
        <v/>
      </c>
      <c r="L7633" s="17" t="str">
        <f>IFERROR(__xludf.DUMMYFUNCTION("""COMPUTED_VALUE"""),"")</f>
        <v/>
      </c>
      <c r="M7633" s="17" t="str">
        <f>IFERROR(__xludf.DUMMYFUNCTION("""COMPUTED_VALUE"""),"")</f>
        <v/>
      </c>
      <c r="N7633" s="17" t="str">
        <f>IFERROR(__xludf.DUMMYFUNCTION("""COMPUTED_VALUE"""),"")</f>
        <v/>
      </c>
      <c r="O7633" s="17" t="str">
        <f>IFERROR(__xludf.DUMMYFUNCTION("""COMPUTED_VALUE"""),"")</f>
        <v/>
      </c>
      <c r="P7633" s="17" t="str">
        <f>IFERROR(__xludf.DUMMYFUNCTION("""COMPUTED_VALUE"""),"")</f>
        <v/>
      </c>
      <c r="Q7633" s="17" t="str">
        <f>IFERROR(__xludf.DUMMYFUNCTION("""COMPUTED_VALUE"""),"")</f>
        <v/>
      </c>
      <c r="R7633" s="17" t="str">
        <f>IFERROR(__xludf.DUMMYFUNCTION("""COMPUTED_VALUE"""),"")</f>
        <v/>
      </c>
    </row>
    <row r="7634">
      <c r="A7634" s="15">
        <f>IFERROR(__xludf.DUMMYFUNCTION("""COMPUTED_VALUE"""),45217.0)</f>
        <v>45217</v>
      </c>
      <c r="B7634" s="16" t="str">
        <f>IFERROR(__xludf.DUMMYFUNCTION("""COMPUTED_VALUE"""),"Johanna Arango Barrera")</f>
        <v>Johanna Arango Barrera</v>
      </c>
      <c r="C7634" s="15" t="str">
        <f>IFERROR(__xludf.DUMMYFUNCTION("""COMPUTED_VALUE"""),"BUCARAMANGA")</f>
        <v>BUCARAMANGA</v>
      </c>
      <c r="D7634" s="15" t="str">
        <f>IFERROR(__xludf.DUMMYFUNCTION("""COMPUTED_VALUE"""),"BOGOTÁ")</f>
        <v>BOGOTÁ</v>
      </c>
      <c r="E7634" s="15" t="str">
        <f>IFERROR(__xludf.DUMMYFUNCTION("""COMPUTED_VALUE"""),"Loomifoods")</f>
        <v>Loomifoods</v>
      </c>
      <c r="F7634" s="17" t="str">
        <f>IFERROR(__xludf.DUMMYFUNCTION("""COMPUTED_VALUE"""),"Calle 18 no. 25 - 49  / Apto 1401 / Bucaramanga")</f>
        <v>Calle 18 no. 25 - 49  / Apto 1401 / Bucaramanga</v>
      </c>
      <c r="G7634" s="15" t="str">
        <f>IFERROR(__xludf.DUMMYFUNCTION("""COMPUTED_VALUE"""),"Shirley Alvarado")</f>
        <v>Shirley Alvarado</v>
      </c>
      <c r="H7634" s="16">
        <f>IFERROR(__xludf.DUMMYFUNCTION("""COMPUTED_VALUE"""),16361.0)</f>
        <v>16361</v>
      </c>
      <c r="I7634" s="18">
        <f>IFERROR(__xludf.DUMMYFUNCTION("""COMPUTED_VALUE"""),19.0)</f>
        <v>19</v>
      </c>
      <c r="J7634" s="18">
        <f>IFERROR(__xludf.DUMMYFUNCTION("""COMPUTED_VALUE"""),5.0)</f>
        <v>5</v>
      </c>
      <c r="K7634" s="18">
        <f>IFERROR(__xludf.DUMMYFUNCTION("""COMPUTED_VALUE"""),16.0)</f>
        <v>16</v>
      </c>
      <c r="L7634" s="17">
        <f>IFERROR(__xludf.DUMMYFUNCTION("""COMPUTED_VALUE"""),3.203548295E9)</f>
        <v>3203548295</v>
      </c>
      <c r="M7634" s="17"/>
      <c r="N7634" s="17"/>
      <c r="O7634" s="17"/>
      <c r="P7634" s="17" t="b">
        <f>IFERROR(__xludf.DUMMYFUNCTION("""COMPUTED_VALUE"""),FALSE)</f>
        <v>0</v>
      </c>
      <c r="Q7634" s="20" t="str">
        <f>IFERROR(__xludf.DUMMYFUNCTION("""COMPUTED_VALUE"""),"")</f>
        <v/>
      </c>
      <c r="R7634" s="21" t="str">
        <f>IFERROR(__xludf.DUMMYFUNCTION("""COMPUTED_VALUE"""),"https://drive.google.com/file/d/1spZVH30_mlKrNX6CZe_VjE23A2eaV6gc/view?usp=drivesdk")</f>
        <v>https://drive.google.com/file/d/1spZVH30_mlKrNX6CZe_VjE23A2eaV6gc/view?usp=drivesdk</v>
      </c>
    </row>
    <row r="7635">
      <c r="A7635" s="15">
        <f>IFERROR(__xludf.DUMMYFUNCTION("""COMPUTED_VALUE"""),45217.0)</f>
        <v>45217</v>
      </c>
      <c r="B7635" s="16" t="str">
        <f>IFERROR(__xludf.DUMMYFUNCTION("""COMPUTED_VALUE"""),"Johanna Arango Barrera")</f>
        <v>Johanna Arango Barrera</v>
      </c>
      <c r="C7635" s="15" t="str">
        <f>IFERROR(__xludf.DUMMYFUNCTION("""COMPUTED_VALUE"""),"BUCARAMANGA")</f>
        <v>BUCARAMANGA</v>
      </c>
      <c r="D7635" s="15" t="str">
        <f>IFERROR(__xludf.DUMMYFUNCTION("""COMPUTED_VALUE"""),"BOGOTÁ")</f>
        <v>BOGOTÁ</v>
      </c>
      <c r="E7635" s="15" t="str">
        <f>IFERROR(__xludf.DUMMYFUNCTION("""COMPUTED_VALUE"""),"Lunchy Kids")</f>
        <v>Lunchy Kids</v>
      </c>
      <c r="F7635" s="17" t="str">
        <f>IFERROR(__xludf.DUMMYFUNCTION("""COMPUTED_VALUE"""),"Cra 26 # 34-18 / Edificio Terzetto condominio- Apto 1202  / Bucaramanga")</f>
        <v>Cra 26 # 34-18 / Edificio Terzetto condominio- Apto 1202  / Bucaramanga</v>
      </c>
      <c r="G7635" s="15" t="str">
        <f>IFERROR(__xludf.DUMMYFUNCTION("""COMPUTED_VALUE"""),"Catalina Buriticá")</f>
        <v>Catalina Buriticá</v>
      </c>
      <c r="H7635" s="16">
        <f>IFERROR(__xludf.DUMMYFUNCTION("""COMPUTED_VALUE"""),16302.0)</f>
        <v>16302</v>
      </c>
      <c r="I7635" s="18">
        <f>IFERROR(__xludf.DUMMYFUNCTION("""COMPUTED_VALUE"""),21.0)</f>
        <v>21</v>
      </c>
      <c r="J7635" s="18">
        <f>IFERROR(__xludf.DUMMYFUNCTION("""COMPUTED_VALUE"""),25.0)</f>
        <v>25</v>
      </c>
      <c r="K7635" s="18">
        <f>IFERROR(__xludf.DUMMYFUNCTION("""COMPUTED_VALUE"""),6.0)</f>
        <v>6</v>
      </c>
      <c r="L7635" s="17">
        <f>IFERROR(__xludf.DUMMYFUNCTION("""COMPUTED_VALUE"""),3.157300445E9)</f>
        <v>3157300445</v>
      </c>
      <c r="M7635" s="17"/>
      <c r="N7635" s="17"/>
      <c r="O7635" s="17"/>
      <c r="P7635" s="17" t="b">
        <f>IFERROR(__xludf.DUMMYFUNCTION("""COMPUTED_VALUE"""),FALSE)</f>
        <v>0</v>
      </c>
      <c r="Q7635" s="20" t="str">
        <f>IFERROR(__xludf.DUMMYFUNCTION("""COMPUTED_VALUE"""),"")</f>
        <v/>
      </c>
      <c r="R7635" s="21" t="str">
        <f>IFERROR(__xludf.DUMMYFUNCTION("""COMPUTED_VALUE"""),"https://drive.google.com/file/d/1m6VdahhwJgTh3c4bQMLKtrUi10vPgKY2/view?usp=drivesdk")</f>
        <v>https://drive.google.com/file/d/1m6VdahhwJgTh3c4bQMLKtrUi10vPgKY2/view?usp=drivesdk</v>
      </c>
    </row>
    <row r="7636">
      <c r="A7636" s="15">
        <f>IFERROR(__xludf.DUMMYFUNCTION("""COMPUTED_VALUE"""),45217.0)</f>
        <v>45217</v>
      </c>
      <c r="B7636" s="16" t="str">
        <f>IFERROR(__xludf.DUMMYFUNCTION("""COMPUTED_VALUE"""),"Johanna Arango Barrera")</f>
        <v>Johanna Arango Barrera</v>
      </c>
      <c r="C7636" s="15" t="str">
        <f>IFERROR(__xludf.DUMMYFUNCTION("""COMPUTED_VALUE"""),"BUCARAMANGA")</f>
        <v>BUCARAMANGA</v>
      </c>
      <c r="D7636" s="15" t="str">
        <f>IFERROR(__xludf.DUMMYFUNCTION("""COMPUTED_VALUE"""),"BOGOTÁ")</f>
        <v>BOGOTÁ</v>
      </c>
      <c r="E7636" s="15" t="str">
        <f>IFERROR(__xludf.DUMMYFUNCTION("""COMPUTED_VALUE"""),"Pan de Waffle")</f>
        <v>Pan de Waffle</v>
      </c>
      <c r="F7636" s="17" t="str">
        <f>IFERROR(__xludf.DUMMYFUNCTION("""COMPUTED_VALUE"""),"Carrera 31 # 50 - 27 / Carrera 31 # 50 - 27 / Carrera 31 # 50 - 27")</f>
        <v>Carrera 31 # 50 - 27 / Carrera 31 # 50 - 27 / Carrera 31 # 50 - 27</v>
      </c>
      <c r="G7636" s="15" t="str">
        <f>IFERROR(__xludf.DUMMYFUNCTION("""COMPUTED_VALUE"""),"FOODOLOGY")</f>
        <v>FOODOLOGY</v>
      </c>
      <c r="H7636" s="16">
        <f>IFERROR(__xludf.DUMMYFUNCTION("""COMPUTED_VALUE"""),16349.0)</f>
        <v>16349</v>
      </c>
      <c r="I7636" s="18">
        <f>IFERROR(__xludf.DUMMYFUNCTION("""COMPUTED_VALUE"""),40.0)</f>
        <v>40</v>
      </c>
      <c r="J7636" s="18">
        <f>IFERROR(__xludf.DUMMYFUNCTION("""COMPUTED_VALUE"""),40.0)</f>
        <v>40</v>
      </c>
      <c r="K7636" s="18">
        <f>IFERROR(__xludf.DUMMYFUNCTION("""COMPUTED_VALUE"""),30.0)</f>
        <v>30</v>
      </c>
      <c r="L7636" s="17">
        <f>IFERROR(__xludf.DUMMYFUNCTION("""COMPUTED_VALUE"""),3.017001909E9)</f>
        <v>3017001909</v>
      </c>
      <c r="M7636" s="17"/>
      <c r="N7636" s="17"/>
      <c r="O7636" s="17"/>
      <c r="P7636" s="17" t="b">
        <f>IFERROR(__xludf.DUMMYFUNCTION("""COMPUTED_VALUE"""),FALSE)</f>
        <v>0</v>
      </c>
      <c r="Q7636" s="20" t="str">
        <f>IFERROR(__xludf.DUMMYFUNCTION("""COMPUTED_VALUE"""),"")</f>
        <v/>
      </c>
      <c r="R7636" s="21" t="str">
        <f>IFERROR(__xludf.DUMMYFUNCTION("""COMPUTED_VALUE"""),"https://drive.google.com/file/d/1fl_UuYUdKUWM7ZB-fXF1W6P7AStF6DJR/view?usp=drivesdk")</f>
        <v>https://drive.google.com/file/d/1fl_UuYUdKUWM7ZB-fXF1W6P7AStF6DJR/view?usp=drivesdk</v>
      </c>
    </row>
    <row r="7637">
      <c r="A7637" s="15">
        <f>IFERROR(__xludf.DUMMYFUNCTION("""COMPUTED_VALUE"""),45217.0)</f>
        <v>45217</v>
      </c>
      <c r="B7637" s="16" t="str">
        <f>IFERROR(__xludf.DUMMYFUNCTION("""COMPUTED_VALUE"""),"Johanna Arango Barrera")</f>
        <v>Johanna Arango Barrera</v>
      </c>
      <c r="C7637" s="15" t="str">
        <f>IFERROR(__xludf.DUMMYFUNCTION("""COMPUTED_VALUE"""),"BUCARAMANGA")</f>
        <v>BUCARAMANGA</v>
      </c>
      <c r="D7637" s="15" t="str">
        <f>IFERROR(__xludf.DUMMYFUNCTION("""COMPUTED_VALUE"""),"BOGOTÁ")</f>
        <v>BOGOTÁ</v>
      </c>
      <c r="E7637" s="15" t="str">
        <f>IFERROR(__xludf.DUMMYFUNCTION("""COMPUTED_VALUE"""),"Pan de Yuca")</f>
        <v>Pan de Yuca</v>
      </c>
      <c r="F7637" s="17" t="str">
        <f>IFERROR(__xludf.DUMMYFUNCTION("""COMPUTED_VALUE"""),"Carrera 27A #42 - 51   / Apto 601  Edificio Britania de Sotomayor / Sotomayor")</f>
        <v>Carrera 27A #42 - 51   / Apto 601  Edificio Britania de Sotomayor / Sotomayor</v>
      </c>
      <c r="G7637" s="15" t="str">
        <f>IFERROR(__xludf.DUMMYFUNCTION("""COMPUTED_VALUE"""),"Carmen Ines Santamaria")</f>
        <v>Carmen Ines Santamaria</v>
      </c>
      <c r="H7637" s="16">
        <f>IFERROR(__xludf.DUMMYFUNCTION("""COMPUTED_VALUE"""),16314.0)</f>
        <v>16314</v>
      </c>
      <c r="I7637" s="18">
        <f>IFERROR(__xludf.DUMMYFUNCTION("""COMPUTED_VALUE"""),8.0)</f>
        <v>8</v>
      </c>
      <c r="J7637" s="18" t="str">
        <f>IFERROR(__xludf.DUMMYFUNCTION("""COMPUTED_VALUE"""),"36.5")</f>
        <v>36.5</v>
      </c>
      <c r="K7637" s="18">
        <f>IFERROR(__xludf.DUMMYFUNCTION("""COMPUTED_VALUE"""),45153.0)</f>
        <v>45153</v>
      </c>
      <c r="L7637" s="17">
        <f>IFERROR(__xludf.DUMMYFUNCTION("""COMPUTED_VALUE"""),3.176607489E9)</f>
        <v>3176607489</v>
      </c>
      <c r="M7637" s="17"/>
      <c r="N7637" s="17"/>
      <c r="O7637" s="17"/>
      <c r="P7637" s="17" t="b">
        <f>IFERROR(__xludf.DUMMYFUNCTION("""COMPUTED_VALUE"""),FALSE)</f>
        <v>0</v>
      </c>
      <c r="Q7637" s="20" t="str">
        <f>IFERROR(__xludf.DUMMYFUNCTION("""COMPUTED_VALUE"""),"")</f>
        <v/>
      </c>
      <c r="R7637" s="21" t="str">
        <f>IFERROR(__xludf.DUMMYFUNCTION("""COMPUTED_VALUE"""),"https://drive.google.com/file/d/1ugHpXxblqO00deo_KhcySZK20IlCYCvG/view?usp=drivesdk")</f>
        <v>https://drive.google.com/file/d/1ugHpXxblqO00deo_KhcySZK20IlCYCvG/view?usp=drivesdk</v>
      </c>
    </row>
    <row r="7638">
      <c r="A7638" s="15">
        <f>IFERROR(__xludf.DUMMYFUNCTION("""COMPUTED_VALUE"""),45217.0)</f>
        <v>45217</v>
      </c>
      <c r="B7638" s="16" t="str">
        <f>IFERROR(__xludf.DUMMYFUNCTION("""COMPUTED_VALUE"""),"Johanna Arango Barrera")</f>
        <v>Johanna Arango Barrera</v>
      </c>
      <c r="C7638" s="15" t="str">
        <f>IFERROR(__xludf.DUMMYFUNCTION("""COMPUTED_VALUE"""),"BUCARAMANGA")</f>
        <v>BUCARAMANGA</v>
      </c>
      <c r="D7638" s="15" t="str">
        <f>IFERROR(__xludf.DUMMYFUNCTION("""COMPUTED_VALUE"""),"BOGOTÁ")</f>
        <v>BOGOTÁ</v>
      </c>
      <c r="E7638" s="15" t="str">
        <f>IFERROR(__xludf.DUMMYFUNCTION("""COMPUTED_VALUE"""),"Spirulina Fresca")</f>
        <v>Spirulina Fresca</v>
      </c>
      <c r="F7638" s="17" t="str">
        <f>IFERROR(__xludf.DUMMYFUNCTION("""COMPUTED_VALUE"""),"Cra 39 # 46 - 132 /  edf tintoretto apto 1102    / Barrio cabecera")</f>
        <v>Cra 39 # 46 - 132 /  edf tintoretto apto 1102    / Barrio cabecera</v>
      </c>
      <c r="G7638" s="15" t="str">
        <f>IFERROR(__xludf.DUMMYFUNCTION("""COMPUTED_VALUE"""),"Miguel Martinez")</f>
        <v>Miguel Martinez</v>
      </c>
      <c r="H7638" s="16">
        <f>IFERROR(__xludf.DUMMYFUNCTION("""COMPUTED_VALUE"""),16306.0)</f>
        <v>16306</v>
      </c>
      <c r="I7638" s="18">
        <f>IFERROR(__xludf.DUMMYFUNCTION("""COMPUTED_VALUE"""),5.0)</f>
        <v>5</v>
      </c>
      <c r="J7638" s="18">
        <f>IFERROR(__xludf.DUMMYFUNCTION("""COMPUTED_VALUE"""),5.0)</f>
        <v>5</v>
      </c>
      <c r="K7638" s="18">
        <f>IFERROR(__xludf.DUMMYFUNCTION("""COMPUTED_VALUE"""),22.0)</f>
        <v>22</v>
      </c>
      <c r="L7638" s="17">
        <f>IFERROR(__xludf.DUMMYFUNCTION("""COMPUTED_VALUE"""),3.00491295E9)</f>
        <v>3004912950</v>
      </c>
      <c r="M7638" s="17"/>
      <c r="N7638" s="17"/>
      <c r="O7638" s="17"/>
      <c r="P7638" s="17" t="b">
        <f>IFERROR(__xludf.DUMMYFUNCTION("""COMPUTED_VALUE"""),FALSE)</f>
        <v>0</v>
      </c>
      <c r="Q7638" s="20" t="str">
        <f>IFERROR(__xludf.DUMMYFUNCTION("""COMPUTED_VALUE"""),"")</f>
        <v/>
      </c>
      <c r="R7638" s="21" t="str">
        <f>IFERROR(__xludf.DUMMYFUNCTION("""COMPUTED_VALUE"""),"https://drive.google.com/file/d/1WRb7d2S3gop1BgizzjjigU9SWRXZihsv/view?usp=drivesdk")</f>
        <v>https://drive.google.com/file/d/1WRb7d2S3gop1BgizzjjigU9SWRXZihsv/view?usp=drivesdk</v>
      </c>
    </row>
    <row r="7639">
      <c r="A7639" s="15">
        <f>IFERROR(__xludf.DUMMYFUNCTION("""COMPUTED_VALUE"""),45217.0)</f>
        <v>45217</v>
      </c>
      <c r="B7639" s="16" t="str">
        <f>IFERROR(__xludf.DUMMYFUNCTION("""COMPUTED_VALUE"""),"Johanna Arango Barrera")</f>
        <v>Johanna Arango Barrera</v>
      </c>
      <c r="C7639" s="15" t="str">
        <f>IFERROR(__xludf.DUMMYFUNCTION("""COMPUTED_VALUE"""),"BUCARAMANGA")</f>
        <v>BUCARAMANGA</v>
      </c>
      <c r="D7639" s="15" t="str">
        <f>IFERROR(__xludf.DUMMYFUNCTION("""COMPUTED_VALUE"""),"MEDELLÍN")</f>
        <v>MEDELLÍN</v>
      </c>
      <c r="E7639" s="15" t="str">
        <f>IFERROR(__xludf.DUMMYFUNCTION("""COMPUTED_VALUE"""),"Baby Chef")</f>
        <v>Baby Chef</v>
      </c>
      <c r="F7639" s="17" t="str">
        <f>IFERROR(__xludf.DUMMYFUNCTION("""COMPUTED_VALUE"""),"calle 18 # 25-49 apto 1401 edificio santa isabella barrio san francisco / . / .")</f>
        <v>calle 18 # 25-49 apto 1401 edificio santa isabella barrio san francisco / . / .</v>
      </c>
      <c r="G7639" s="15" t="str">
        <f>IFERROR(__xludf.DUMMYFUNCTION("""COMPUTED_VALUE"""),"Shirley Alvarado")</f>
        <v>Shirley Alvarado</v>
      </c>
      <c r="H7639" s="16">
        <f>IFERROR(__xludf.DUMMYFUNCTION("""COMPUTED_VALUE"""),16339.0)</f>
        <v>16339</v>
      </c>
      <c r="I7639" s="18">
        <f>IFERROR(__xludf.DUMMYFUNCTION("""COMPUTED_VALUE"""),9.0)</f>
        <v>9</v>
      </c>
      <c r="J7639" s="18">
        <f>IFERROR(__xludf.DUMMYFUNCTION("""COMPUTED_VALUE"""),22.0)</f>
        <v>22</v>
      </c>
      <c r="K7639" s="18">
        <f>IFERROR(__xludf.DUMMYFUNCTION("""COMPUTED_VALUE"""),40.0)</f>
        <v>40</v>
      </c>
      <c r="L7639" s="17">
        <f>IFERROR(__xludf.DUMMYFUNCTION("""COMPUTED_VALUE"""),3.203548295E9)</f>
        <v>3203548295</v>
      </c>
      <c r="M7639" s="17"/>
      <c r="N7639" s="17"/>
      <c r="O7639" s="17"/>
      <c r="P7639" s="17" t="b">
        <f>IFERROR(__xludf.DUMMYFUNCTION("""COMPUTED_VALUE"""),FALSE)</f>
        <v>0</v>
      </c>
      <c r="Q7639" s="20" t="str">
        <f>IFERROR(__xludf.DUMMYFUNCTION("""COMPUTED_VALUE"""),"")</f>
        <v/>
      </c>
      <c r="R7639" s="21" t="str">
        <f>IFERROR(__xludf.DUMMYFUNCTION("""COMPUTED_VALUE"""),"https://drive.google.com/file/d/1y04cOqm3DMgzbkPwdNLbPd0ELDqy1WF-/view?usp=drivesdk")</f>
        <v>https://drive.google.com/file/d/1y04cOqm3DMgzbkPwdNLbPd0ELDqy1WF-/view?usp=drivesdk</v>
      </c>
    </row>
    <row r="7640">
      <c r="A7640" s="15">
        <f>IFERROR(__xludf.DUMMYFUNCTION("""COMPUTED_VALUE"""),45217.0)</f>
        <v>45217</v>
      </c>
      <c r="B7640" s="16" t="str">
        <f>IFERROR(__xludf.DUMMYFUNCTION("""COMPUTED_VALUE"""),"Johanna Arango Barrera")</f>
        <v>Johanna Arango Barrera</v>
      </c>
      <c r="C7640" s="15" t="str">
        <f>IFERROR(__xludf.DUMMYFUNCTION("""COMPUTED_VALUE"""),"BUCARAMANGA")</f>
        <v>BUCARAMANGA</v>
      </c>
      <c r="D7640" s="15" t="str">
        <f>IFERROR(__xludf.DUMMYFUNCTION("""COMPUTED_VALUE"""),"MEDELLÍN")</f>
        <v>MEDELLÍN</v>
      </c>
      <c r="E7640" s="15" t="str">
        <f>IFERROR(__xludf.DUMMYFUNCTION("""COMPUTED_VALUE"""),"Baby Chef")</f>
        <v>Baby Chef</v>
      </c>
      <c r="F7640" s="17" t="str">
        <f>IFERROR(__xludf.DUMMYFUNCTION("""COMPUTED_VALUE"""),"Calle 31 #14occ-14 -barrio don Bosco / . / .")</f>
        <v>Calle 31 #14occ-14 -barrio don Bosco / . / .</v>
      </c>
      <c r="G7640" s="15" t="str">
        <f>IFERROR(__xludf.DUMMYFUNCTION("""COMPUTED_VALUE"""),"Fernanda Romero")</f>
        <v>Fernanda Romero</v>
      </c>
      <c r="H7640" s="16">
        <f>IFERROR(__xludf.DUMMYFUNCTION("""COMPUTED_VALUE"""),16367.0)</f>
        <v>16367</v>
      </c>
      <c r="I7640" s="18">
        <f>IFERROR(__xludf.DUMMYFUNCTION("""COMPUTED_VALUE"""),7.0)</f>
        <v>7</v>
      </c>
      <c r="J7640" s="18">
        <f>IFERROR(__xludf.DUMMYFUNCTION("""COMPUTED_VALUE"""),22.0)</f>
        <v>22</v>
      </c>
      <c r="K7640" s="18">
        <f>IFERROR(__xludf.DUMMYFUNCTION("""COMPUTED_VALUE"""),30.0)</f>
        <v>30</v>
      </c>
      <c r="L7640" s="17">
        <f>IFERROR(__xludf.DUMMYFUNCTION("""COMPUTED_VALUE"""),3.194260714E9)</f>
        <v>3194260714</v>
      </c>
      <c r="M7640" s="17"/>
      <c r="N7640" s="17"/>
      <c r="O7640" s="17"/>
      <c r="P7640" s="17" t="b">
        <f>IFERROR(__xludf.DUMMYFUNCTION("""COMPUTED_VALUE"""),FALSE)</f>
        <v>0</v>
      </c>
      <c r="Q7640" s="20" t="str">
        <f>IFERROR(__xludf.DUMMYFUNCTION("""COMPUTED_VALUE"""),"")</f>
        <v/>
      </c>
      <c r="R7640" s="21" t="str">
        <f>IFERROR(__xludf.DUMMYFUNCTION("""COMPUTED_VALUE"""),"https://drive.google.com/file/d/1u6McYZoL58A9dzKaQ-Mq_hk_HdClNnN0/view?usp=drivesdk")</f>
        <v>https://drive.google.com/file/d/1u6McYZoL58A9dzKaQ-Mq_hk_HdClNnN0/view?usp=drivesdk</v>
      </c>
    </row>
    <row r="7641">
      <c r="A7641" s="15">
        <f>IFERROR(__xludf.DUMMYFUNCTION("""COMPUTED_VALUE"""),45217.0)</f>
        <v>45217</v>
      </c>
      <c r="B7641" s="16" t="str">
        <f>IFERROR(__xludf.DUMMYFUNCTION("""COMPUTED_VALUE"""),"Johanna Arango Barrera")</f>
        <v>Johanna Arango Barrera</v>
      </c>
      <c r="C7641" s="15" t="str">
        <f>IFERROR(__xludf.DUMMYFUNCTION("""COMPUTED_VALUE"""),"PEREIRA")</f>
        <v>PEREIRA</v>
      </c>
      <c r="D7641" s="15" t="str">
        <f>IFERROR(__xludf.DUMMYFUNCTION("""COMPUTED_VALUE"""),"MEDELLÍN")</f>
        <v>MEDELLÍN</v>
      </c>
      <c r="E7641" s="15" t="str">
        <f>IFERROR(__xludf.DUMMYFUNCTION("""COMPUTED_VALUE"""),"Salón Ahumado")</f>
        <v>Salón Ahumado</v>
      </c>
      <c r="F7641" s="17" t="str">
        <f>IFERROR(__xludf.DUMMYFUNCTION("""COMPUTED_VALUE"""),"Via Pereira, cerritos  / Centro comercial cerritos del Mar, restaurante el correo,  local 27 / El correo restaurante")</f>
        <v>Via Pereira, cerritos  / Centro comercial cerritos del Mar, restaurante el correo,  local 27 / El correo restaurante</v>
      </c>
      <c r="G7641" s="15" t="str">
        <f>IFERROR(__xludf.DUMMYFUNCTION("""COMPUTED_VALUE"""),"Natalia Becerra")</f>
        <v>Natalia Becerra</v>
      </c>
      <c r="H7641" s="16">
        <f>IFERROR(__xludf.DUMMYFUNCTION("""COMPUTED_VALUE"""),16368.0)</f>
        <v>16368</v>
      </c>
      <c r="I7641" s="18">
        <f>IFERROR(__xludf.DUMMYFUNCTION("""COMPUTED_VALUE"""),20.0)</f>
        <v>20</v>
      </c>
      <c r="J7641" s="18">
        <f>IFERROR(__xludf.DUMMYFUNCTION("""COMPUTED_VALUE"""),33.0)</f>
        <v>33</v>
      </c>
      <c r="K7641" s="18">
        <f>IFERROR(__xludf.DUMMYFUNCTION("""COMPUTED_VALUE"""),50.0)</f>
        <v>50</v>
      </c>
      <c r="L7641" s="17">
        <f>IFERROR(__xludf.DUMMYFUNCTION("""COMPUTED_VALUE"""),3.105520466E9)</f>
        <v>3105520466</v>
      </c>
      <c r="M7641" s="17"/>
      <c r="N7641" s="17"/>
      <c r="O7641" s="17"/>
      <c r="P7641" s="17" t="b">
        <f>IFERROR(__xludf.DUMMYFUNCTION("""COMPUTED_VALUE"""),FALSE)</f>
        <v>0</v>
      </c>
      <c r="Q7641" s="20" t="str">
        <f>IFERROR(__xludf.DUMMYFUNCTION("""COMPUTED_VALUE"""),"")</f>
        <v/>
      </c>
      <c r="R7641" s="22" t="str">
        <f>IFERROR(__xludf.DUMMYFUNCTION("""COMPUTED_VALUE"""),"")</f>
        <v/>
      </c>
    </row>
    <row r="7642">
      <c r="A7642" s="15">
        <f>IFERROR(__xludf.DUMMYFUNCTION("""COMPUTED_VALUE"""),45217.0)</f>
        <v>45217</v>
      </c>
      <c r="B7642" s="16" t="str">
        <f>IFERROR(__xludf.DUMMYFUNCTION("""COMPUTED_VALUE"""),"Johanna Arango Barrera")</f>
        <v>Johanna Arango Barrera</v>
      </c>
      <c r="C7642" s="15" t="str">
        <f>IFERROR(__xludf.DUMMYFUNCTION("""COMPUTED_VALUE"""),"PEREIRA")</f>
        <v>PEREIRA</v>
      </c>
      <c r="D7642" s="15" t="str">
        <f>IFERROR(__xludf.DUMMYFUNCTION("""COMPUTED_VALUE"""),"MEDELLÍN")</f>
        <v>MEDELLÍN</v>
      </c>
      <c r="E7642" s="15" t="str">
        <f>IFERROR(__xludf.DUMMYFUNCTION("""COMPUTED_VALUE"""),"TOLEDALES S.A.S")</f>
        <v>TOLEDALES S.A.S</v>
      </c>
      <c r="F7642" s="17" t="str">
        <f>IFERROR(__xludf.DUMMYFUNCTION("""COMPUTED_VALUE"""),"Manzana 42 casa 13 piso 2 Samaria 1")</f>
        <v>Manzana 42 casa 13 piso 2 Samaria 1</v>
      </c>
      <c r="G7642" s="15" t="str">
        <f>IFERROR(__xludf.DUMMYFUNCTION("""COMPUTED_VALUE"""),"luz omaida jimenez")</f>
        <v>luz omaida jimenez</v>
      </c>
      <c r="H7642" s="16">
        <f>IFERROR(__xludf.DUMMYFUNCTION("""COMPUTED_VALUE"""),16298.0)</f>
        <v>16298</v>
      </c>
      <c r="I7642" s="18">
        <f>IFERROR(__xludf.DUMMYFUNCTION("""COMPUTED_VALUE"""),23.0)</f>
        <v>23</v>
      </c>
      <c r="J7642" s="18">
        <f>IFERROR(__xludf.DUMMYFUNCTION("""COMPUTED_VALUE"""),24.0)</f>
        <v>24</v>
      </c>
      <c r="K7642" s="18">
        <f>IFERROR(__xludf.DUMMYFUNCTION("""COMPUTED_VALUE"""),45.0)</f>
        <v>45</v>
      </c>
      <c r="L7642" s="17">
        <f>IFERROR(__xludf.DUMMYFUNCTION("""COMPUTED_VALUE"""),3.14562573E9)</f>
        <v>3145625730</v>
      </c>
      <c r="M7642" s="17"/>
      <c r="N7642" s="17"/>
      <c r="O7642" s="17"/>
      <c r="P7642" s="17" t="b">
        <f>IFERROR(__xludf.DUMMYFUNCTION("""COMPUTED_VALUE"""),FALSE)</f>
        <v>0</v>
      </c>
      <c r="Q7642" s="20" t="str">
        <f>IFERROR(__xludf.DUMMYFUNCTION("""COMPUTED_VALUE"""),"")</f>
        <v/>
      </c>
      <c r="R7642" s="22" t="str">
        <f>IFERROR(__xludf.DUMMYFUNCTION("""COMPUTED_VALUE"""),"")</f>
        <v/>
      </c>
    </row>
    <row r="7643">
      <c r="A7643" s="17" t="str">
        <f>IFERROR(__xludf.DUMMYFUNCTION("""COMPUTED_VALUE"""),"")</f>
        <v/>
      </c>
      <c r="B7643" s="17" t="str">
        <f>IFERROR(__xludf.DUMMYFUNCTION("""COMPUTED_VALUE"""),"")</f>
        <v/>
      </c>
      <c r="C7643" s="17" t="str">
        <f>IFERROR(__xludf.DUMMYFUNCTION("""COMPUTED_VALUE"""),"")</f>
        <v/>
      </c>
      <c r="D7643" s="17" t="str">
        <f>IFERROR(__xludf.DUMMYFUNCTION("""COMPUTED_VALUE"""),"")</f>
        <v/>
      </c>
      <c r="E7643" s="17" t="str">
        <f>IFERROR(__xludf.DUMMYFUNCTION("""COMPUTED_VALUE"""),"")</f>
        <v/>
      </c>
      <c r="F7643" s="17" t="str">
        <f>IFERROR(__xludf.DUMMYFUNCTION("""COMPUTED_VALUE"""),"")</f>
        <v/>
      </c>
      <c r="G7643" s="17" t="str">
        <f>IFERROR(__xludf.DUMMYFUNCTION("""COMPUTED_VALUE"""),"")</f>
        <v/>
      </c>
      <c r="H7643" s="17" t="str">
        <f>IFERROR(__xludf.DUMMYFUNCTION("""COMPUTED_VALUE"""),"")</f>
        <v/>
      </c>
      <c r="I7643" s="17" t="str">
        <f>IFERROR(__xludf.DUMMYFUNCTION("""COMPUTED_VALUE"""),"")</f>
        <v/>
      </c>
      <c r="J7643" s="17" t="str">
        <f>IFERROR(__xludf.DUMMYFUNCTION("""COMPUTED_VALUE"""),"")</f>
        <v/>
      </c>
      <c r="K7643" s="17" t="str">
        <f>IFERROR(__xludf.DUMMYFUNCTION("""COMPUTED_VALUE"""),"")</f>
        <v/>
      </c>
      <c r="L7643" s="17" t="str">
        <f>IFERROR(__xludf.DUMMYFUNCTION("""COMPUTED_VALUE"""),"")</f>
        <v/>
      </c>
      <c r="M7643" s="17" t="str">
        <f>IFERROR(__xludf.DUMMYFUNCTION("""COMPUTED_VALUE"""),"")</f>
        <v/>
      </c>
      <c r="N7643" s="17" t="str">
        <f>IFERROR(__xludf.DUMMYFUNCTION("""COMPUTED_VALUE"""),"")</f>
        <v/>
      </c>
      <c r="O7643" s="17" t="str">
        <f>IFERROR(__xludf.DUMMYFUNCTION("""COMPUTED_VALUE"""),"")</f>
        <v/>
      </c>
      <c r="P7643" s="17" t="str">
        <f>IFERROR(__xludf.DUMMYFUNCTION("""COMPUTED_VALUE"""),"")</f>
        <v/>
      </c>
      <c r="Q7643" s="17" t="str">
        <f>IFERROR(__xludf.DUMMYFUNCTION("""COMPUTED_VALUE"""),"")</f>
        <v/>
      </c>
      <c r="R7643" s="17" t="str">
        <f>IFERROR(__xludf.DUMMYFUNCTION("""COMPUTED_VALUE"""),"")</f>
        <v/>
      </c>
    </row>
    <row r="7644">
      <c r="A7644" s="15">
        <f>IFERROR(__xludf.DUMMYFUNCTION("""COMPUTED_VALUE"""),45217.0)</f>
        <v>45217</v>
      </c>
      <c r="B7644" s="16" t="str">
        <f>IFERROR(__xludf.DUMMYFUNCTION("""COMPUTED_VALUE"""),"JOSE ALFREDO RAMIREZ VERGARA ")</f>
        <v>JOSE ALFREDO RAMIREZ VERGARA </v>
      </c>
      <c r="C7644" s="15" t="str">
        <f>IFERROR(__xludf.DUMMYFUNCTION("""COMPUTED_VALUE"""),"BOGOTÁ")</f>
        <v>BOGOTÁ</v>
      </c>
      <c r="D7644" s="15" t="str">
        <f>IFERROR(__xludf.DUMMYFUNCTION("""COMPUTED_VALUE"""),"MEDELLÍN")</f>
        <v>MEDELLÍN</v>
      </c>
      <c r="E7644" s="15" t="str">
        <f>IFERROR(__xludf.DUMMYFUNCTION("""COMPUTED_VALUE"""),"AREPAS LA MARY")</f>
        <v>AREPAS LA MARY</v>
      </c>
      <c r="F7644" s="17" t="str">
        <f>IFERROR(__xludf.DUMMYFUNCTION("""COMPUTED_VALUE"""),"CRA 13 # 93-13 LOCAL 103 / LOCAL 103")</f>
        <v>CRA 13 # 93-13 LOCAL 103 / LOCAL 103</v>
      </c>
      <c r="G7644" s="15" t="str">
        <f>IFERROR(__xludf.DUMMYFUNCTION("""COMPUTED_VALUE"""),"HEALING FOODS")</f>
        <v>HEALING FOODS</v>
      </c>
      <c r="H7644" s="16">
        <f>IFERROR(__xludf.DUMMYFUNCTION("""COMPUTED_VALUE"""),16308.0)</f>
        <v>16308</v>
      </c>
      <c r="I7644" s="18">
        <f>IFERROR(__xludf.DUMMYFUNCTION("""COMPUTED_VALUE"""),89.0)</f>
        <v>89</v>
      </c>
      <c r="J7644" s="18">
        <f>IFERROR(__xludf.DUMMYFUNCTION("""COMPUTED_VALUE"""),1.0)</f>
        <v>1</v>
      </c>
      <c r="K7644" s="18">
        <f>IFERROR(__xludf.DUMMYFUNCTION("""COMPUTED_VALUE"""),10.0)</f>
        <v>10</v>
      </c>
      <c r="L7644" s="17">
        <f>IFERROR(__xludf.DUMMYFUNCTION("""COMPUTED_VALUE"""),3.142647408E9)</f>
        <v>3142647408</v>
      </c>
      <c r="M7644" s="17"/>
      <c r="N7644" s="17"/>
      <c r="O7644" s="17"/>
      <c r="P7644" s="17" t="b">
        <f>IFERROR(__xludf.DUMMYFUNCTION("""COMPUTED_VALUE"""),FALSE)</f>
        <v>0</v>
      </c>
      <c r="Q7644" s="20" t="str">
        <f>IFERROR(__xludf.DUMMYFUNCTION("""COMPUTED_VALUE"""),"")</f>
        <v/>
      </c>
      <c r="R7644" s="21" t="str">
        <f>IFERROR(__xludf.DUMMYFUNCTION("""COMPUTED_VALUE"""),"https://drive.google.com/file/d/1prALe24O6ZCdzhADJSiYib7F3EttCTe1/view?usp=drivesdk")</f>
        <v>https://drive.google.com/file/d/1prALe24O6ZCdzhADJSiYib7F3EttCTe1/view?usp=drivesdk</v>
      </c>
    </row>
    <row r="7645">
      <c r="A7645" s="15">
        <f>IFERROR(__xludf.DUMMYFUNCTION("""COMPUTED_VALUE"""),45217.0)</f>
        <v>45217</v>
      </c>
      <c r="B7645" s="16" t="str">
        <f>IFERROR(__xludf.DUMMYFUNCTION("""COMPUTED_VALUE"""),"JOSE ALFREDO RAMIREZ VERGARA ")</f>
        <v>JOSE ALFREDO RAMIREZ VERGARA </v>
      </c>
      <c r="C7645" s="15" t="str">
        <f>IFERROR(__xludf.DUMMYFUNCTION("""COMPUTED_VALUE"""),"BOGOTÁ")</f>
        <v>BOGOTÁ</v>
      </c>
      <c r="D7645" s="15" t="str">
        <f>IFERROR(__xludf.DUMMYFUNCTION("""COMPUTED_VALUE"""),"MEDELLÍN")</f>
        <v>MEDELLÍN</v>
      </c>
      <c r="E7645" s="15" t="str">
        <f>IFERROR(__xludf.DUMMYFUNCTION("""COMPUTED_VALUE"""),"Baby Chef")</f>
        <v>Baby Chef</v>
      </c>
      <c r="F7645" s="17" t="str">
        <f>IFERROR(__xludf.DUMMYFUNCTION("""COMPUTED_VALUE"""),"Calle 90# 9-32 edificio ocal apto 603 bogota  Chico norte / . / .")</f>
        <v>Calle 90# 9-32 edificio ocal apto 603 bogota  Chico norte / . / .</v>
      </c>
      <c r="G7645" s="15" t="str">
        <f>IFERROR(__xludf.DUMMYFUNCTION("""COMPUTED_VALUE"""),"Camila de Ureña")</f>
        <v>Camila de Ureña</v>
      </c>
      <c r="H7645" s="16">
        <f>IFERROR(__xludf.DUMMYFUNCTION("""COMPUTED_VALUE"""),16333.0)</f>
        <v>16333</v>
      </c>
      <c r="I7645" s="18">
        <f>IFERROR(__xludf.DUMMYFUNCTION("""COMPUTED_VALUE"""),9.0)</f>
        <v>9</v>
      </c>
      <c r="J7645" s="18">
        <f>IFERROR(__xludf.DUMMYFUNCTION("""COMPUTED_VALUE"""),22.0)</f>
        <v>22</v>
      </c>
      <c r="K7645" s="18">
        <f>IFERROR(__xludf.DUMMYFUNCTION("""COMPUTED_VALUE"""),36.0)</f>
        <v>36</v>
      </c>
      <c r="L7645" s="17">
        <f>IFERROR(__xludf.DUMMYFUNCTION("""COMPUTED_VALUE"""),3.114550715E9)</f>
        <v>3114550715</v>
      </c>
      <c r="M7645" s="17"/>
      <c r="N7645" s="17"/>
      <c r="O7645" s="17"/>
      <c r="P7645" s="17" t="b">
        <f>IFERROR(__xludf.DUMMYFUNCTION("""COMPUTED_VALUE"""),FALSE)</f>
        <v>0</v>
      </c>
      <c r="Q7645" s="20" t="str">
        <f>IFERROR(__xludf.DUMMYFUNCTION("""COMPUTED_VALUE"""),"")</f>
        <v/>
      </c>
      <c r="R7645" s="21" t="str">
        <f>IFERROR(__xludf.DUMMYFUNCTION("""COMPUTED_VALUE"""),"https://drive.google.com/file/d/1c_07H9IGD3aOD9EvY4zjunMLKCCYKVEW/view?usp=drivesdk")</f>
        <v>https://drive.google.com/file/d/1c_07H9IGD3aOD9EvY4zjunMLKCCYKVEW/view?usp=drivesdk</v>
      </c>
    </row>
    <row r="7646">
      <c r="A7646" s="15">
        <f>IFERROR(__xludf.DUMMYFUNCTION("""COMPUTED_VALUE"""),45217.0)</f>
        <v>45217</v>
      </c>
      <c r="B7646" s="16" t="str">
        <f>IFERROR(__xludf.DUMMYFUNCTION("""COMPUTED_VALUE"""),"JOSE ALFREDO RAMIREZ VERGARA ")</f>
        <v>JOSE ALFREDO RAMIREZ VERGARA </v>
      </c>
      <c r="C7646" s="15" t="str">
        <f>IFERROR(__xludf.DUMMYFUNCTION("""COMPUTED_VALUE"""),"BOGOTÁ")</f>
        <v>BOGOTÁ</v>
      </c>
      <c r="D7646" s="15" t="str">
        <f>IFERROR(__xludf.DUMMYFUNCTION("""COMPUTED_VALUE"""),"MEDELLÍN")</f>
        <v>MEDELLÍN</v>
      </c>
      <c r="E7646" s="15" t="str">
        <f>IFERROR(__xludf.DUMMYFUNCTION("""COMPUTED_VALUE"""),"Baby Chef")</f>
        <v>Baby Chef</v>
      </c>
      <c r="F7646" s="17" t="str">
        <f>IFERROR(__xludf.DUMMYFUNCTION("""COMPUTED_VALUE"""),"Carrera 21 114-20 apto 101 edificio Cerezo  / . / .")</f>
        <v>Carrera 21 114-20 apto 101 edificio Cerezo  / . / .</v>
      </c>
      <c r="G7646" s="15" t="str">
        <f>IFERROR(__xludf.DUMMYFUNCTION("""COMPUTED_VALUE"""),"Laura Martinez")</f>
        <v>Laura Martinez</v>
      </c>
      <c r="H7646" s="16">
        <f>IFERROR(__xludf.DUMMYFUNCTION("""COMPUTED_VALUE"""),16335.0)</f>
        <v>16335</v>
      </c>
      <c r="I7646" s="18">
        <f>IFERROR(__xludf.DUMMYFUNCTION("""COMPUTED_VALUE"""),12.0)</f>
        <v>12</v>
      </c>
      <c r="J7646" s="18">
        <f>IFERROR(__xludf.DUMMYFUNCTION("""COMPUTED_VALUE"""),22.0)</f>
        <v>22</v>
      </c>
      <c r="K7646" s="18">
        <f>IFERROR(__xludf.DUMMYFUNCTION("""COMPUTED_VALUE"""),40.0)</f>
        <v>40</v>
      </c>
      <c r="L7646" s="17">
        <f>IFERROR(__xludf.DUMMYFUNCTION("""COMPUTED_VALUE"""),3.152629963E9)</f>
        <v>3152629963</v>
      </c>
      <c r="M7646" s="17"/>
      <c r="N7646" s="17"/>
      <c r="O7646" s="17"/>
      <c r="P7646" s="17" t="b">
        <f>IFERROR(__xludf.DUMMYFUNCTION("""COMPUTED_VALUE"""),FALSE)</f>
        <v>0</v>
      </c>
      <c r="Q7646" s="20" t="str">
        <f>IFERROR(__xludf.DUMMYFUNCTION("""COMPUTED_VALUE"""),"")</f>
        <v/>
      </c>
      <c r="R7646" s="21" t="str">
        <f>IFERROR(__xludf.DUMMYFUNCTION("""COMPUTED_VALUE"""),"https://drive.google.com/file/d/12VI1_FcUgk5LuglrSLqh9ljEaTZySjR-/view?usp=drivesdk")</f>
        <v>https://drive.google.com/file/d/12VI1_FcUgk5LuglrSLqh9ljEaTZySjR-/view?usp=drivesdk</v>
      </c>
    </row>
    <row r="7647">
      <c r="A7647" s="15">
        <f>IFERROR(__xludf.DUMMYFUNCTION("""COMPUTED_VALUE"""),45217.0)</f>
        <v>45217</v>
      </c>
      <c r="B7647" s="16" t="str">
        <f>IFERROR(__xludf.DUMMYFUNCTION("""COMPUTED_VALUE"""),"JOSE ALFREDO RAMIREZ VERGARA ")</f>
        <v>JOSE ALFREDO RAMIREZ VERGARA </v>
      </c>
      <c r="C7647" s="15" t="str">
        <f>IFERROR(__xludf.DUMMYFUNCTION("""COMPUTED_VALUE"""),"BOGOTÁ")</f>
        <v>BOGOTÁ</v>
      </c>
      <c r="D7647" s="15" t="str">
        <f>IFERROR(__xludf.DUMMYFUNCTION("""COMPUTED_VALUE"""),"MEDELLÍN")</f>
        <v>MEDELLÍN</v>
      </c>
      <c r="E7647" s="15" t="str">
        <f>IFERROR(__xludf.DUMMYFUNCTION("""COMPUTED_VALUE"""),"Baby Chef")</f>
        <v>Baby Chef</v>
      </c>
      <c r="F7647" s="17" t="str">
        <f>IFERROR(__xludf.DUMMYFUNCTION("""COMPUTED_VALUE"""),"Carrera 38 # 55 - 10  Nicolas de Federman  apto 205. Castillo Reservado / . / .")</f>
        <v>Carrera 38 # 55 - 10  Nicolas de Federman  apto 205. Castillo Reservado / . / .</v>
      </c>
      <c r="G7647" s="15" t="str">
        <f>IFERROR(__xludf.DUMMYFUNCTION("""COMPUTED_VALUE"""),"Erika Liliana Rojas")</f>
        <v>Erika Liliana Rojas</v>
      </c>
      <c r="H7647" s="16">
        <f>IFERROR(__xludf.DUMMYFUNCTION("""COMPUTED_VALUE"""),16332.0)</f>
        <v>16332</v>
      </c>
      <c r="I7647" s="18">
        <f>IFERROR(__xludf.DUMMYFUNCTION("""COMPUTED_VALUE"""),6.0)</f>
        <v>6</v>
      </c>
      <c r="J7647" s="18">
        <f>IFERROR(__xludf.DUMMYFUNCTION("""COMPUTED_VALUE"""),24.0)</f>
        <v>24</v>
      </c>
      <c r="K7647" s="18">
        <f>IFERROR(__xludf.DUMMYFUNCTION("""COMPUTED_VALUE"""),23.0)</f>
        <v>23</v>
      </c>
      <c r="L7647" s="17">
        <f>IFERROR(__xludf.DUMMYFUNCTION("""COMPUTED_VALUE"""),3.193242981E9)</f>
        <v>3193242981</v>
      </c>
      <c r="M7647" s="17"/>
      <c r="N7647" s="17"/>
      <c r="O7647" s="17"/>
      <c r="P7647" s="17" t="b">
        <f>IFERROR(__xludf.DUMMYFUNCTION("""COMPUTED_VALUE"""),FALSE)</f>
        <v>0</v>
      </c>
      <c r="Q7647" s="20" t="str">
        <f>IFERROR(__xludf.DUMMYFUNCTION("""COMPUTED_VALUE"""),"")</f>
        <v/>
      </c>
      <c r="R7647" s="21" t="str">
        <f>IFERROR(__xludf.DUMMYFUNCTION("""COMPUTED_VALUE"""),"https://drive.google.com/file/d/1WYUfV7YtyWXqjNeraE8uO2APhu88DfPd/view?usp=drivesdk")</f>
        <v>https://drive.google.com/file/d/1WYUfV7YtyWXqjNeraE8uO2APhu88DfPd/view?usp=drivesdk</v>
      </c>
    </row>
    <row r="7648">
      <c r="A7648" s="15">
        <f>IFERROR(__xludf.DUMMYFUNCTION("""COMPUTED_VALUE"""),45217.0)</f>
        <v>45217</v>
      </c>
      <c r="B7648" s="16" t="str">
        <f>IFERROR(__xludf.DUMMYFUNCTION("""COMPUTED_VALUE"""),"JOSE ALFREDO RAMIREZ VERGARA ")</f>
        <v>JOSE ALFREDO RAMIREZ VERGARA </v>
      </c>
      <c r="C7648" s="15" t="str">
        <f>IFERROR(__xludf.DUMMYFUNCTION("""COMPUTED_VALUE"""),"BOGOTÁ")</f>
        <v>BOGOTÁ</v>
      </c>
      <c r="D7648" s="15" t="str">
        <f>IFERROR(__xludf.DUMMYFUNCTION("""COMPUTED_VALUE"""),"MEDELLÍN")</f>
        <v>MEDELLÍN</v>
      </c>
      <c r="E7648" s="15" t="str">
        <f>IFERROR(__xludf.DUMMYFUNCTION("""COMPUTED_VALUE"""),"Lácteos El Pino SAS")</f>
        <v>Lácteos El Pino SAS</v>
      </c>
      <c r="F7648" s="17" t="str">
        <f>IFERROR(__xludf.DUMMYFUNCTION("""COMPUTED_VALUE"""),"CALLE 59 # 58 - 17 INTERIOR 23 APTO 502 / ENTREGAR EN APARTAMENTO")</f>
        <v>CALLE 59 # 58 - 17 INTERIOR 23 APTO 502 / ENTREGAR EN APARTAMENTO</v>
      </c>
      <c r="G7648" s="15" t="str">
        <f>IFERROR(__xludf.DUMMYFUNCTION("""COMPUTED_VALUE"""),"JUANITA ROJAS")</f>
        <v>JUANITA ROJAS</v>
      </c>
      <c r="H7648" s="16">
        <f>IFERROR(__xludf.DUMMYFUNCTION("""COMPUTED_VALUE"""),16297.0)</f>
        <v>16297</v>
      </c>
      <c r="I7648" s="17"/>
      <c r="J7648" s="17"/>
      <c r="K7648" s="17"/>
      <c r="L7648" s="17">
        <f>IFERROR(__xludf.DUMMYFUNCTION("""COMPUTED_VALUE"""),3.058150695E9)</f>
        <v>3058150695</v>
      </c>
      <c r="M7648" s="17"/>
      <c r="N7648" s="17"/>
      <c r="O7648" s="17"/>
      <c r="P7648" s="17" t="b">
        <f>IFERROR(__xludf.DUMMYFUNCTION("""COMPUTED_VALUE"""),FALSE)</f>
        <v>0</v>
      </c>
      <c r="Q7648" s="20" t="str">
        <f>IFERROR(__xludf.DUMMYFUNCTION("""COMPUTED_VALUE"""),"")</f>
        <v/>
      </c>
      <c r="R7648" s="21" t="str">
        <f>IFERROR(__xludf.DUMMYFUNCTION("""COMPUTED_VALUE"""),"https://drive.google.com/file/d/1KOiOjddhWNbIizlRbSDWRKmUPV0Ztr-O/view?usp=drivesdk")</f>
        <v>https://drive.google.com/file/d/1KOiOjddhWNbIizlRbSDWRKmUPV0Ztr-O/view?usp=drivesdk</v>
      </c>
    </row>
    <row r="7649">
      <c r="A7649" s="15">
        <f>IFERROR(__xludf.DUMMYFUNCTION("""COMPUTED_VALUE"""),45217.0)</f>
        <v>45217</v>
      </c>
      <c r="B7649" s="16" t="str">
        <f>IFERROR(__xludf.DUMMYFUNCTION("""COMPUTED_VALUE"""),"JOSE ALFREDO RAMIREZ VERGARA ")</f>
        <v>JOSE ALFREDO RAMIREZ VERGARA </v>
      </c>
      <c r="C7649" s="15" t="str">
        <f>IFERROR(__xludf.DUMMYFUNCTION("""COMPUTED_VALUE"""),"MANIZALES")</f>
        <v>MANIZALES</v>
      </c>
      <c r="D7649" s="15" t="str">
        <f>IFERROR(__xludf.DUMMYFUNCTION("""COMPUTED_VALUE"""),"MEDELLÍN")</f>
        <v>MEDELLÍN</v>
      </c>
      <c r="E7649" s="15" t="str">
        <f>IFERROR(__xludf.DUMMYFUNCTION("""COMPUTED_VALUE"""),"Rambla")</f>
        <v>Rambla</v>
      </c>
      <c r="F7649" s="17" t="str">
        <f>IFERROR(__xludf.DUMMYFUNCTION("""COMPUTED_VALUE"""),"Carrera 21 #65c - 37 Primer piso, Local 03, Ed, Venneto sector Cable / - / -")</f>
        <v>Carrera 21 #65c - 37 Primer piso, Local 03, Ed, Venneto sector Cable / - / -</v>
      </c>
      <c r="G7649" s="15" t="str">
        <f>IFERROR(__xludf.DUMMYFUNCTION("""COMPUTED_VALUE"""),"Esentional")</f>
        <v>Esentional</v>
      </c>
      <c r="H7649" s="16">
        <f>IFERROR(__xludf.DUMMYFUNCTION("""COMPUTED_VALUE"""),16370.0)</f>
        <v>16370</v>
      </c>
      <c r="I7649" s="18">
        <f>IFERROR(__xludf.DUMMYFUNCTION("""COMPUTED_VALUE"""),24.0)</f>
        <v>24</v>
      </c>
      <c r="J7649" s="18">
        <f>IFERROR(__xludf.DUMMYFUNCTION("""COMPUTED_VALUE"""),22.0)</f>
        <v>22</v>
      </c>
      <c r="K7649" s="18">
        <f>IFERROR(__xludf.DUMMYFUNCTION("""COMPUTED_VALUE"""),22.0)</f>
        <v>22</v>
      </c>
      <c r="L7649" s="17">
        <f>IFERROR(__xludf.DUMMYFUNCTION("""COMPUTED_VALUE"""),3.043760201E9)</f>
        <v>3043760201</v>
      </c>
      <c r="M7649" s="17"/>
      <c r="N7649" s="17"/>
      <c r="O7649" s="17"/>
      <c r="P7649" s="17" t="b">
        <f>IFERROR(__xludf.DUMMYFUNCTION("""COMPUTED_VALUE"""),FALSE)</f>
        <v>0</v>
      </c>
      <c r="Q7649" s="20" t="str">
        <f>IFERROR(__xludf.DUMMYFUNCTION("""COMPUTED_VALUE"""),"")</f>
        <v/>
      </c>
      <c r="R7649" s="21" t="str">
        <f>IFERROR(__xludf.DUMMYFUNCTION("""COMPUTED_VALUE"""),"https://drive.google.com/file/d/1yHxmqBMIuWLOb8IJyr7sxVROd4-jBvVG/view?usp=drivesdk")</f>
        <v>https://drive.google.com/file/d/1yHxmqBMIuWLOb8IJyr7sxVROd4-jBvVG/view?usp=drivesdk</v>
      </c>
    </row>
    <row r="7650">
      <c r="A7650" s="17" t="str">
        <f>IFERROR(__xludf.DUMMYFUNCTION("""COMPUTED_VALUE"""),"")</f>
        <v/>
      </c>
      <c r="B7650" s="17" t="str">
        <f>IFERROR(__xludf.DUMMYFUNCTION("""COMPUTED_VALUE"""),"")</f>
        <v/>
      </c>
      <c r="C7650" s="17" t="str">
        <f>IFERROR(__xludf.DUMMYFUNCTION("""COMPUTED_VALUE"""),"")</f>
        <v/>
      </c>
      <c r="D7650" s="17" t="str">
        <f>IFERROR(__xludf.DUMMYFUNCTION("""COMPUTED_VALUE"""),"")</f>
        <v/>
      </c>
      <c r="E7650" s="17" t="str">
        <f>IFERROR(__xludf.DUMMYFUNCTION("""COMPUTED_VALUE"""),"")</f>
        <v/>
      </c>
      <c r="F7650" s="17" t="str">
        <f>IFERROR(__xludf.DUMMYFUNCTION("""COMPUTED_VALUE"""),"")</f>
        <v/>
      </c>
      <c r="G7650" s="17" t="str">
        <f>IFERROR(__xludf.DUMMYFUNCTION("""COMPUTED_VALUE"""),"")</f>
        <v/>
      </c>
      <c r="H7650" s="17" t="str">
        <f>IFERROR(__xludf.DUMMYFUNCTION("""COMPUTED_VALUE"""),"")</f>
        <v/>
      </c>
      <c r="I7650" s="17" t="str">
        <f>IFERROR(__xludf.DUMMYFUNCTION("""COMPUTED_VALUE"""),"")</f>
        <v/>
      </c>
      <c r="J7650" s="17" t="str">
        <f>IFERROR(__xludf.DUMMYFUNCTION("""COMPUTED_VALUE"""),"")</f>
        <v/>
      </c>
      <c r="K7650" s="17" t="str">
        <f>IFERROR(__xludf.DUMMYFUNCTION("""COMPUTED_VALUE"""),"")</f>
        <v/>
      </c>
      <c r="L7650" s="17" t="str">
        <f>IFERROR(__xludf.DUMMYFUNCTION("""COMPUTED_VALUE"""),"")</f>
        <v/>
      </c>
      <c r="M7650" s="17" t="str">
        <f>IFERROR(__xludf.DUMMYFUNCTION("""COMPUTED_VALUE"""),"")</f>
        <v/>
      </c>
      <c r="N7650" s="17" t="str">
        <f>IFERROR(__xludf.DUMMYFUNCTION("""COMPUTED_VALUE"""),"")</f>
        <v/>
      </c>
      <c r="O7650" s="17" t="str">
        <f>IFERROR(__xludf.DUMMYFUNCTION("""COMPUTED_VALUE"""),"")</f>
        <v/>
      </c>
      <c r="P7650" s="17" t="str">
        <f>IFERROR(__xludf.DUMMYFUNCTION("""COMPUTED_VALUE"""),"")</f>
        <v/>
      </c>
      <c r="Q7650" s="17" t="str">
        <f>IFERROR(__xludf.DUMMYFUNCTION("""COMPUTED_VALUE"""),"")</f>
        <v/>
      </c>
      <c r="R7650" s="17" t="str">
        <f>IFERROR(__xludf.DUMMYFUNCTION("""COMPUTED_VALUE"""),"")</f>
        <v/>
      </c>
    </row>
    <row r="7651">
      <c r="A7651" s="15">
        <f>IFERROR(__xludf.DUMMYFUNCTION("""COMPUTED_VALUE"""),45217.0)</f>
        <v>45217</v>
      </c>
      <c r="B7651" s="16" t="str">
        <f>IFERROR(__xludf.DUMMYFUNCTION("""COMPUTED_VALUE"""),"Julián Alexis salazar Anaya ")</f>
        <v>Julián Alexis salazar Anaya </v>
      </c>
      <c r="C7651" s="15" t="str">
        <f>IFERROR(__xludf.DUMMYFUNCTION("""COMPUTED_VALUE"""),"BOGOTÁ")</f>
        <v>BOGOTÁ</v>
      </c>
      <c r="D7651" s="15" t="str">
        <f>IFERROR(__xludf.DUMMYFUNCTION("""COMPUTED_VALUE"""),"MEDELLÍN")</f>
        <v>MEDELLÍN</v>
      </c>
      <c r="E7651" s="15" t="str">
        <f>IFERROR(__xludf.DUMMYFUNCTION("""COMPUTED_VALUE"""),"Natusoya")</f>
        <v>Natusoya</v>
      </c>
      <c r="F7651" s="17" t="str">
        <f>IFERROR(__xludf.DUMMYFUNCTION("""COMPUTED_VALUE"""),"Tv 22a #61c-13 / Bogota / Tuesquillo")</f>
        <v>Tv 22a #61c-13 / Bogota / Tuesquillo</v>
      </c>
      <c r="G7651" s="15" t="str">
        <f>IFERROR(__xludf.DUMMYFUNCTION("""COMPUTED_VALUE"""),"NANCY BAQUERO DISTRIBUIDORA MKT")</f>
        <v>NANCY BAQUERO DISTRIBUIDORA MKT</v>
      </c>
      <c r="H7651" s="16">
        <f>IFERROR(__xludf.DUMMYFUNCTION("""COMPUTED_VALUE"""),16343.0)</f>
        <v>16343</v>
      </c>
      <c r="I7651" s="18">
        <f>IFERROR(__xludf.DUMMYFUNCTION("""COMPUTED_VALUE"""),40.0)</f>
        <v>40</v>
      </c>
      <c r="J7651" s="18">
        <f>IFERROR(__xludf.DUMMYFUNCTION("""COMPUTED_VALUE"""),30.0)</f>
        <v>30</v>
      </c>
      <c r="K7651" s="18">
        <f>IFERROR(__xludf.DUMMYFUNCTION("""COMPUTED_VALUE"""),40.0)</f>
        <v>40</v>
      </c>
      <c r="L7651" s="17">
        <f>IFERROR(__xludf.DUMMYFUNCTION("""COMPUTED_VALUE"""),3.183593653E9)</f>
        <v>3183593653</v>
      </c>
      <c r="M7651" s="17"/>
      <c r="N7651" s="17"/>
      <c r="O7651" s="17"/>
      <c r="P7651" s="17" t="b">
        <f>IFERROR(__xludf.DUMMYFUNCTION("""COMPUTED_VALUE"""),FALSE)</f>
        <v>0</v>
      </c>
      <c r="Q7651" s="20" t="str">
        <f>IFERROR(__xludf.DUMMYFUNCTION("""COMPUTED_VALUE"""),"")</f>
        <v/>
      </c>
      <c r="R7651" s="21" t="str">
        <f>IFERROR(__xludf.DUMMYFUNCTION("""COMPUTED_VALUE"""),"https://drive.google.com/file/d/1F7GiJU-kkrbyDWazSG_pqTKN0-Mau4ic/view?usp=drivesdk")</f>
        <v>https://drive.google.com/file/d/1F7GiJU-kkrbyDWazSG_pqTKN0-Mau4ic/view?usp=drivesdk</v>
      </c>
    </row>
    <row r="7652">
      <c r="A7652" s="15">
        <f>IFERROR(__xludf.DUMMYFUNCTION("""COMPUTED_VALUE"""),45217.0)</f>
        <v>45217</v>
      </c>
      <c r="B7652" s="16" t="str">
        <f>IFERROR(__xludf.DUMMYFUNCTION("""COMPUTED_VALUE"""),"Julián Alexis salazar Anaya ")</f>
        <v>Julián Alexis salazar Anaya </v>
      </c>
      <c r="C7652" s="15" t="str">
        <f>IFERROR(__xludf.DUMMYFUNCTION("""COMPUTED_VALUE"""),"BOGOTÁ")</f>
        <v>BOGOTÁ</v>
      </c>
      <c r="D7652" s="15" t="str">
        <f>IFERROR(__xludf.DUMMYFUNCTION("""COMPUTED_VALUE"""),"MEDELLÍN")</f>
        <v>MEDELLÍN</v>
      </c>
      <c r="E7652" s="15" t="str">
        <f>IFERROR(__xludf.DUMMYFUNCTION("""COMPUTED_VALUE"""),"Vivente")</f>
        <v>Vivente</v>
      </c>
      <c r="F7652" s="17" t="str">
        <f>IFERROR(__xludf.DUMMYFUNCTION("""COMPUTED_VALUE"""),"cra 21 #145-57  / imara II  / barrios cedritos")</f>
        <v>cra 21 #145-57  / imara II  / barrios cedritos</v>
      </c>
      <c r="G7652" s="15" t="str">
        <f>IFERROR(__xludf.DUMMYFUNCTION("""COMPUTED_VALUE"""),"Claudia Milena Moreno")</f>
        <v>Claudia Milena Moreno</v>
      </c>
      <c r="H7652" s="16">
        <f>IFERROR(__xludf.DUMMYFUNCTION("""COMPUTED_VALUE"""),16344.0)</f>
        <v>16344</v>
      </c>
      <c r="I7652" s="18">
        <f>IFERROR(__xludf.DUMMYFUNCTION("""COMPUTED_VALUE"""),3.0)</f>
        <v>3</v>
      </c>
      <c r="J7652" s="18">
        <f>IFERROR(__xludf.DUMMYFUNCTION("""COMPUTED_VALUE"""),27.0)</f>
        <v>27</v>
      </c>
      <c r="K7652" s="18">
        <f>IFERROR(__xludf.DUMMYFUNCTION("""COMPUTED_VALUE"""),25.0)</f>
        <v>25</v>
      </c>
      <c r="L7652" s="17">
        <f>IFERROR(__xludf.DUMMYFUNCTION("""COMPUTED_VALUE"""),3.125994777E9)</f>
        <v>3125994777</v>
      </c>
      <c r="M7652" s="17"/>
      <c r="N7652" s="17"/>
      <c r="O7652" s="17"/>
      <c r="P7652" s="17" t="b">
        <f>IFERROR(__xludf.DUMMYFUNCTION("""COMPUTED_VALUE"""),FALSE)</f>
        <v>0</v>
      </c>
      <c r="Q7652" s="20" t="str">
        <f>IFERROR(__xludf.DUMMYFUNCTION("""COMPUTED_VALUE"""),"")</f>
        <v/>
      </c>
      <c r="R7652" s="21" t="str">
        <f>IFERROR(__xludf.DUMMYFUNCTION("""COMPUTED_VALUE"""),"https://drive.google.com/file/d/1FbOVvfuccmOBuIc3XWapIdBPVVdaj4Oy/view?usp=drivesdk")</f>
        <v>https://drive.google.com/file/d/1FbOVvfuccmOBuIc3XWapIdBPVVdaj4Oy/view?usp=drivesdk</v>
      </c>
    </row>
    <row r="7653">
      <c r="A7653" s="17" t="str">
        <f>IFERROR(__xludf.DUMMYFUNCTION("""COMPUTED_VALUE"""),"")</f>
        <v/>
      </c>
      <c r="B7653" s="17" t="str">
        <f>IFERROR(__xludf.DUMMYFUNCTION("""COMPUTED_VALUE"""),"")</f>
        <v/>
      </c>
      <c r="C7653" s="17" t="str">
        <f>IFERROR(__xludf.DUMMYFUNCTION("""COMPUTED_VALUE"""),"")</f>
        <v/>
      </c>
      <c r="D7653" s="17" t="str">
        <f>IFERROR(__xludf.DUMMYFUNCTION("""COMPUTED_VALUE"""),"")</f>
        <v/>
      </c>
      <c r="E7653" s="17" t="str">
        <f>IFERROR(__xludf.DUMMYFUNCTION("""COMPUTED_VALUE"""),"")</f>
        <v/>
      </c>
      <c r="F7653" s="17" t="str">
        <f>IFERROR(__xludf.DUMMYFUNCTION("""COMPUTED_VALUE"""),"")</f>
        <v/>
      </c>
      <c r="G7653" s="17" t="str">
        <f>IFERROR(__xludf.DUMMYFUNCTION("""COMPUTED_VALUE"""),"")</f>
        <v/>
      </c>
      <c r="H7653" s="17" t="str">
        <f>IFERROR(__xludf.DUMMYFUNCTION("""COMPUTED_VALUE"""),"")</f>
        <v/>
      </c>
      <c r="I7653" s="17" t="str">
        <f>IFERROR(__xludf.DUMMYFUNCTION("""COMPUTED_VALUE"""),"")</f>
        <v/>
      </c>
      <c r="J7653" s="17" t="str">
        <f>IFERROR(__xludf.DUMMYFUNCTION("""COMPUTED_VALUE"""),"")</f>
        <v/>
      </c>
      <c r="K7653" s="17" t="str">
        <f>IFERROR(__xludf.DUMMYFUNCTION("""COMPUTED_VALUE"""),"")</f>
        <v/>
      </c>
      <c r="L7653" s="17" t="str">
        <f>IFERROR(__xludf.DUMMYFUNCTION("""COMPUTED_VALUE"""),"")</f>
        <v/>
      </c>
      <c r="M7653" s="17" t="str">
        <f>IFERROR(__xludf.DUMMYFUNCTION("""COMPUTED_VALUE"""),"")</f>
        <v/>
      </c>
      <c r="N7653" s="17" t="str">
        <f>IFERROR(__xludf.DUMMYFUNCTION("""COMPUTED_VALUE"""),"")</f>
        <v/>
      </c>
      <c r="O7653" s="17" t="str">
        <f>IFERROR(__xludf.DUMMYFUNCTION("""COMPUTED_VALUE"""),"")</f>
        <v/>
      </c>
      <c r="P7653" s="17" t="str">
        <f>IFERROR(__xludf.DUMMYFUNCTION("""COMPUTED_VALUE"""),"")</f>
        <v/>
      </c>
      <c r="Q7653" s="17" t="str">
        <f>IFERROR(__xludf.DUMMYFUNCTION("""COMPUTED_VALUE"""),"")</f>
        <v/>
      </c>
      <c r="R7653" s="17" t="str">
        <f>IFERROR(__xludf.DUMMYFUNCTION("""COMPUTED_VALUE"""),"")</f>
        <v/>
      </c>
    </row>
    <row r="7654">
      <c r="A7654" s="15">
        <f>IFERROR(__xludf.DUMMYFUNCTION("""COMPUTED_VALUE"""),45217.0)</f>
        <v>45217</v>
      </c>
      <c r="B7654" s="16" t="str">
        <f>IFERROR(__xludf.DUMMYFUNCTION("""COMPUTED_VALUE"""),"Santiago Garces Restrepo")</f>
        <v>Santiago Garces Restrepo</v>
      </c>
      <c r="C7654" s="15" t="str">
        <f>IFERROR(__xludf.DUMMYFUNCTION("""COMPUTED_VALUE"""),"MEDELLÍN")</f>
        <v>MEDELLÍN</v>
      </c>
      <c r="D7654" s="15" t="str">
        <f>IFERROR(__xludf.DUMMYFUNCTION("""COMPUTED_VALUE"""),"BOGOTÁ")</f>
        <v>BOGOTÁ</v>
      </c>
      <c r="E7654" s="15" t="str">
        <f>IFERROR(__xludf.DUMMYFUNCTION("""COMPUTED_VALUE"""),"Asociacion Agropecuaria Juana Maria")</f>
        <v>Asociacion Agropecuaria Juana Maria</v>
      </c>
      <c r="F7654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7654" s="15" t="str">
        <f>IFERROR(__xludf.DUMMYFUNCTION("""COMPUTED_VALUE"""),"Jennifer Sanchez Blandon")</f>
        <v>Jennifer Sanchez Blandon</v>
      </c>
      <c r="H7654" s="16">
        <f>IFERROR(__xludf.DUMMYFUNCTION("""COMPUTED_VALUE"""),16292.0)</f>
        <v>16292</v>
      </c>
      <c r="I7654" s="17"/>
      <c r="J7654" s="17"/>
      <c r="K7654" s="17"/>
      <c r="L7654" s="17">
        <f>IFERROR(__xludf.DUMMYFUNCTION("""COMPUTED_VALUE"""),3.016937674E9)</f>
        <v>3016937674</v>
      </c>
      <c r="M7654" s="17"/>
      <c r="N7654" s="17"/>
      <c r="O7654" s="17"/>
      <c r="P7654" s="17" t="b">
        <f>IFERROR(__xludf.DUMMYFUNCTION("""COMPUTED_VALUE"""),FALSE)</f>
        <v>0</v>
      </c>
      <c r="Q7654" s="20" t="str">
        <f>IFERROR(__xludf.DUMMYFUNCTION("""COMPUTED_VALUE"""),"")</f>
        <v/>
      </c>
      <c r="R7654" s="21" t="str">
        <f>IFERROR(__xludf.DUMMYFUNCTION("""COMPUTED_VALUE"""),"https://drive.google.com/file/d/1Hd1JsBNTxldoNqcqRaXboqvRn7wjc1iQ/view?usp=drivesdk")</f>
        <v>https://drive.google.com/file/d/1Hd1JsBNTxldoNqcqRaXboqvRn7wjc1iQ/view?usp=drivesdk</v>
      </c>
    </row>
    <row r="7655">
      <c r="A7655" s="15">
        <f>IFERROR(__xludf.DUMMYFUNCTION("""COMPUTED_VALUE"""),45217.0)</f>
        <v>45217</v>
      </c>
      <c r="B7655" s="16" t="str">
        <f>IFERROR(__xludf.DUMMYFUNCTION("""COMPUTED_VALUE"""),"Santiago Garces Restrepo")</f>
        <v>Santiago Garces Restrepo</v>
      </c>
      <c r="C7655" s="15" t="str">
        <f>IFERROR(__xludf.DUMMYFUNCTION("""COMPUTED_VALUE"""),"MEDELLÍN")</f>
        <v>MEDELLÍN</v>
      </c>
      <c r="D7655" s="15" t="str">
        <f>IFERROR(__xludf.DUMMYFUNCTION("""COMPUTED_VALUE"""),"BOGOTÁ")</f>
        <v>BOGOTÁ</v>
      </c>
      <c r="E7655" s="15" t="str">
        <f>IFERROR(__xludf.DUMMYFUNCTION("""COMPUTED_VALUE"""),"Frambascolombia sas")</f>
        <v>Frambascolombia sas</v>
      </c>
      <c r="F7655" s="17" t="str">
        <f>IFERROR(__xludf.DUMMYFUNCTION("""COMPUTED_VALUE"""),"Cl. 16 #55-129 / DeModa Poblado")</f>
        <v>Cl. 16 #55-129 / DeModa Poblado</v>
      </c>
      <c r="G7655" s="15" t="str">
        <f>IFERROR(__xludf.DUMMYFUNCTION("""COMPUTED_VALUE"""),"PikNPak Medellín")</f>
        <v>PikNPak Medellín</v>
      </c>
      <c r="H7655" s="16">
        <f>IFERROR(__xludf.DUMMYFUNCTION("""COMPUTED_VALUE"""),16378.0)</f>
        <v>16378</v>
      </c>
      <c r="I7655" s="17"/>
      <c r="J7655" s="17"/>
      <c r="K7655" s="17"/>
      <c r="L7655" s="17"/>
      <c r="M7655" s="17"/>
      <c r="N7655" s="17"/>
      <c r="O7655" s="17"/>
      <c r="P7655" s="17" t="b">
        <f>IFERROR(__xludf.DUMMYFUNCTION("""COMPUTED_VALUE"""),FALSE)</f>
        <v>0</v>
      </c>
      <c r="Q7655" s="20" t="str">
        <f>IFERROR(__xludf.DUMMYFUNCTION("""COMPUTED_VALUE"""),"")</f>
        <v/>
      </c>
      <c r="R7655" s="21" t="str">
        <f>IFERROR(__xludf.DUMMYFUNCTION("""COMPUTED_VALUE"""),"https://drive.google.com/file/d/16JAc1BDhkGfNgy3QLPllxGssossZBM9P/view?usp=drivesdk")</f>
        <v>https://drive.google.com/file/d/16JAc1BDhkGfNgy3QLPllxGssossZBM9P/view?usp=drivesdk</v>
      </c>
    </row>
    <row r="7656">
      <c r="A7656" s="15">
        <f>IFERROR(__xludf.DUMMYFUNCTION("""COMPUTED_VALUE"""),45217.0)</f>
        <v>45217</v>
      </c>
      <c r="B7656" s="16" t="str">
        <f>IFERROR(__xludf.DUMMYFUNCTION("""COMPUTED_VALUE"""),"Santiago Garces Restrepo")</f>
        <v>Santiago Garces Restrepo</v>
      </c>
      <c r="C7656" s="15" t="str">
        <f>IFERROR(__xludf.DUMMYFUNCTION("""COMPUTED_VALUE"""),"MEDELLÍN")</f>
        <v>MEDELLÍN</v>
      </c>
      <c r="D7656" s="15" t="str">
        <f>IFERROR(__xludf.DUMMYFUNCTION("""COMPUTED_VALUE"""),"BOGOTÁ")</f>
        <v>BOGOTÁ</v>
      </c>
      <c r="E7656" s="15" t="str">
        <f>IFERROR(__xludf.DUMMYFUNCTION("""COMPUTED_VALUE"""),"LINA PAOLA RAMIREZ GOMEZ - EVA MAZZITA")</f>
        <v>LINA PAOLA RAMIREZ GOMEZ - EVA MAZZITA</v>
      </c>
      <c r="F7656" s="17" t="str">
        <f>IFERROR(__xludf.DUMMYFUNCTION("""COMPUTED_VALUE"""),"Calle 7 No. 18-115 / Apto 802")</f>
        <v>Calle 7 No. 18-115 / Apto 802</v>
      </c>
      <c r="G7656" s="15" t="str">
        <f>IFERROR(__xludf.DUMMYFUNCTION("""COMPUTED_VALUE"""),"LAURA SANTANA")</f>
        <v>LAURA SANTANA</v>
      </c>
      <c r="H7656" s="16">
        <f>IFERROR(__xludf.DUMMYFUNCTION("""COMPUTED_VALUE"""),16320.0)</f>
        <v>16320</v>
      </c>
      <c r="I7656" s="17"/>
      <c r="J7656" s="17"/>
      <c r="K7656" s="17"/>
      <c r="L7656" s="17">
        <f>IFERROR(__xludf.DUMMYFUNCTION("""COMPUTED_VALUE"""),3.187441575E9)</f>
        <v>3187441575</v>
      </c>
      <c r="M7656" s="17"/>
      <c r="N7656" s="17"/>
      <c r="O7656" s="17"/>
      <c r="P7656" s="17" t="b">
        <f>IFERROR(__xludf.DUMMYFUNCTION("""COMPUTED_VALUE"""),FALSE)</f>
        <v>0</v>
      </c>
      <c r="Q7656" s="20" t="str">
        <f>IFERROR(__xludf.DUMMYFUNCTION("""COMPUTED_VALUE"""),"")</f>
        <v/>
      </c>
      <c r="R7656" s="21" t="str">
        <f>IFERROR(__xludf.DUMMYFUNCTION("""COMPUTED_VALUE"""),"https://drive.google.com/file/d/1G7AAJ4KYyqnxcRDLyEyOICnmkKw8Rb_B/view?usp=drivesdk")</f>
        <v>https://drive.google.com/file/d/1G7AAJ4KYyqnxcRDLyEyOICnmkKw8Rb_B/view?usp=drivesdk</v>
      </c>
    </row>
    <row r="7657">
      <c r="A7657" s="15">
        <f>IFERROR(__xludf.DUMMYFUNCTION("""COMPUTED_VALUE"""),45217.0)</f>
        <v>45217</v>
      </c>
      <c r="B7657" s="16" t="str">
        <f>IFERROR(__xludf.DUMMYFUNCTION("""COMPUTED_VALUE"""),"Santiago Garces Restrepo")</f>
        <v>Santiago Garces Restrepo</v>
      </c>
      <c r="C7657" s="15" t="str">
        <f>IFERROR(__xludf.DUMMYFUNCTION("""COMPUTED_VALUE"""),"MEDELLÍN")</f>
        <v>MEDELLÍN</v>
      </c>
      <c r="D7657" s="15" t="str">
        <f>IFERROR(__xludf.DUMMYFUNCTION("""COMPUTED_VALUE"""),"BOGOTÁ")</f>
        <v>BOGOTÁ</v>
      </c>
      <c r="E7657" s="15" t="str">
        <f>IFERROR(__xludf.DUMMYFUNCTION("""COMPUTED_VALUE"""),"LINA PAOLA RAMIREZ GOMEZ - EVA MAZZITA")</f>
        <v>LINA PAOLA RAMIREZ GOMEZ - EVA MAZZITA</v>
      </c>
      <c r="F7657" s="17" t="str">
        <f>IFERROR(__xludf.DUMMYFUNCTION("""COMPUTED_VALUE"""),"Calle 77a # 88-35 / casa 36 urbanización villa fernanda Barrio robledo")</f>
        <v>Calle 77a # 88-35 / casa 36 urbanización villa fernanda Barrio robledo</v>
      </c>
      <c r="G7657" s="15" t="str">
        <f>IFERROR(__xludf.DUMMYFUNCTION("""COMPUTED_VALUE"""),"BLANCA INES GOMEZ ALVAREZ")</f>
        <v>BLANCA INES GOMEZ ALVAREZ</v>
      </c>
      <c r="H7657" s="16">
        <f>IFERROR(__xludf.DUMMYFUNCTION("""COMPUTED_VALUE"""),16329.0)</f>
        <v>16329</v>
      </c>
      <c r="I7657" s="17"/>
      <c r="J7657" s="17"/>
      <c r="K7657" s="17"/>
      <c r="L7657" s="17">
        <f>IFERROR(__xludf.DUMMYFUNCTION("""COMPUTED_VALUE"""),3.137121846E9)</f>
        <v>3137121846</v>
      </c>
      <c r="M7657" s="17"/>
      <c r="N7657" s="17"/>
      <c r="O7657" s="17"/>
      <c r="P7657" s="17" t="b">
        <f>IFERROR(__xludf.DUMMYFUNCTION("""COMPUTED_VALUE"""),FALSE)</f>
        <v>0</v>
      </c>
      <c r="Q7657" s="20" t="str">
        <f>IFERROR(__xludf.DUMMYFUNCTION("""COMPUTED_VALUE"""),"")</f>
        <v/>
      </c>
      <c r="R7657" s="21" t="str">
        <f>IFERROR(__xludf.DUMMYFUNCTION("""COMPUTED_VALUE"""),"https://drive.google.com/file/d/1Z46aS3dPZiKTXC1gg3b1xPnv6iNeg2Iv/view?usp=drivesdk")</f>
        <v>https://drive.google.com/file/d/1Z46aS3dPZiKTXC1gg3b1xPnv6iNeg2Iv/view?usp=drivesdk</v>
      </c>
    </row>
    <row r="7658">
      <c r="A7658" s="15">
        <f>IFERROR(__xludf.DUMMYFUNCTION("""COMPUTED_VALUE"""),45217.0)</f>
        <v>45217</v>
      </c>
      <c r="B7658" s="16" t="str">
        <f>IFERROR(__xludf.DUMMYFUNCTION("""COMPUTED_VALUE"""),"Santiago Garces Restrepo")</f>
        <v>Santiago Garces Restrepo</v>
      </c>
      <c r="C7658" s="15" t="str">
        <f>IFERROR(__xludf.DUMMYFUNCTION("""COMPUTED_VALUE"""),"MEDELLÍN")</f>
        <v>MEDELLÍN</v>
      </c>
      <c r="D7658" s="15" t="str">
        <f>IFERROR(__xludf.DUMMYFUNCTION("""COMPUTED_VALUE"""),"BOGOTÁ")</f>
        <v>BOGOTÁ</v>
      </c>
      <c r="E7658" s="15" t="str">
        <f>IFERROR(__xludf.DUMMYFUNCTION("""COMPUTED_VALUE"""),"LINA PAOLA RAMIREZ GOMEZ - EVA MAZZITA")</f>
        <v>LINA PAOLA RAMIREZ GOMEZ - EVA MAZZITA</v>
      </c>
      <c r="F7658" s="17" t="str">
        <f>IFERROR(__xludf.DUMMYFUNCTION("""COMPUTED_VALUE"""),"CRA 15 BA No. 34D - 44 / INT 201")</f>
        <v>CRA 15 BA No. 34D - 44 / INT 201</v>
      </c>
      <c r="G7658" s="15" t="str">
        <f>IFERROR(__xludf.DUMMYFUNCTION("""COMPUTED_VALUE"""),"DANIELA BEDOYA BLANDON")</f>
        <v>DANIELA BEDOYA BLANDON</v>
      </c>
      <c r="H7658" s="16">
        <f>IFERROR(__xludf.DUMMYFUNCTION("""COMPUTED_VALUE"""),16316.0)</f>
        <v>16316</v>
      </c>
      <c r="I7658" s="17"/>
      <c r="J7658" s="17"/>
      <c r="K7658" s="17"/>
      <c r="L7658" s="17">
        <f>IFERROR(__xludf.DUMMYFUNCTION("""COMPUTED_VALUE"""),3.14672822E9)</f>
        <v>3146728220</v>
      </c>
      <c r="M7658" s="17"/>
      <c r="N7658" s="17"/>
      <c r="O7658" s="17"/>
      <c r="P7658" s="17" t="b">
        <f>IFERROR(__xludf.DUMMYFUNCTION("""COMPUTED_VALUE"""),FALSE)</f>
        <v>0</v>
      </c>
      <c r="Q7658" s="20" t="str">
        <f>IFERROR(__xludf.DUMMYFUNCTION("""COMPUTED_VALUE"""),"")</f>
        <v/>
      </c>
      <c r="R7658" s="21" t="str">
        <f>IFERROR(__xludf.DUMMYFUNCTION("""COMPUTED_VALUE"""),"https://drive.google.com/file/d/1iLAiXXuL5LAGqbIPdza9JLlYQxs_l4x-/view?usp=drivesdk")</f>
        <v>https://drive.google.com/file/d/1iLAiXXuL5LAGqbIPdza9JLlYQxs_l4x-/view?usp=drivesdk</v>
      </c>
    </row>
    <row r="7659">
      <c r="A7659" s="15">
        <f>IFERROR(__xludf.DUMMYFUNCTION("""COMPUTED_VALUE"""),45217.0)</f>
        <v>45217</v>
      </c>
      <c r="B7659" s="16" t="str">
        <f>IFERROR(__xludf.DUMMYFUNCTION("""COMPUTED_VALUE"""),"Santiago Garces Restrepo")</f>
        <v>Santiago Garces Restrepo</v>
      </c>
      <c r="C7659" s="15" t="str">
        <f>IFERROR(__xludf.DUMMYFUNCTION("""COMPUTED_VALUE"""),"MEDELLÍN")</f>
        <v>MEDELLÍN</v>
      </c>
      <c r="D7659" s="15" t="str">
        <f>IFERROR(__xludf.DUMMYFUNCTION("""COMPUTED_VALUE"""),"BOGOTÁ")</f>
        <v>BOGOTÁ</v>
      </c>
      <c r="E7659" s="15" t="str">
        <f>IFERROR(__xludf.DUMMYFUNCTION("""COMPUTED_VALUE"""),"LINA PAOLA RAMIREZ GOMEZ - EVA MAZZITA")</f>
        <v>LINA PAOLA RAMIREZ GOMEZ - EVA MAZZITA</v>
      </c>
      <c r="F7659" s="17" t="str">
        <f>IFERROR(__xludf.DUMMYFUNCTION("""COMPUTED_VALUE"""),"Cra 48 No. 17A SUR -47 / Edificio Portugal 404")</f>
        <v>Cra 48 No. 17A SUR -47 / Edificio Portugal 404</v>
      </c>
      <c r="G7659" s="15" t="str">
        <f>IFERROR(__xludf.DUMMYFUNCTION("""COMPUTED_VALUE"""),"DANIELA VELASQUEZ")</f>
        <v>DANIELA VELASQUEZ</v>
      </c>
      <c r="H7659" s="16">
        <f>IFERROR(__xludf.DUMMYFUNCTION("""COMPUTED_VALUE"""),16322.0)</f>
        <v>16322</v>
      </c>
      <c r="I7659" s="17"/>
      <c r="J7659" s="17"/>
      <c r="K7659" s="17"/>
      <c r="L7659" s="17">
        <f>IFERROR(__xludf.DUMMYFUNCTION("""COMPUTED_VALUE"""),3.135401331E9)</f>
        <v>3135401331</v>
      </c>
      <c r="M7659" s="17"/>
      <c r="N7659" s="17"/>
      <c r="O7659" s="17"/>
      <c r="P7659" s="17" t="b">
        <f>IFERROR(__xludf.DUMMYFUNCTION("""COMPUTED_VALUE"""),FALSE)</f>
        <v>0</v>
      </c>
      <c r="Q7659" s="20" t="str">
        <f>IFERROR(__xludf.DUMMYFUNCTION("""COMPUTED_VALUE"""),"")</f>
        <v/>
      </c>
      <c r="R7659" s="21" t="str">
        <f>IFERROR(__xludf.DUMMYFUNCTION("""COMPUTED_VALUE"""),"https://drive.google.com/file/d/16p2t_XmUnhyklAfUVL2eEGYrE_yGGjoW/view?usp=drivesdk")</f>
        <v>https://drive.google.com/file/d/16p2t_XmUnhyklAfUVL2eEGYrE_yGGjoW/view?usp=drivesdk</v>
      </c>
    </row>
    <row r="7660">
      <c r="A7660" s="15">
        <f>IFERROR(__xludf.DUMMYFUNCTION("""COMPUTED_VALUE"""),45217.0)</f>
        <v>45217</v>
      </c>
      <c r="B7660" s="16" t="str">
        <f>IFERROR(__xludf.DUMMYFUNCTION("""COMPUTED_VALUE"""),"Santiago Garces Restrepo")</f>
        <v>Santiago Garces Restrepo</v>
      </c>
      <c r="C7660" s="15" t="str">
        <f>IFERROR(__xludf.DUMMYFUNCTION("""COMPUTED_VALUE"""),"MEDELLÍN")</f>
        <v>MEDELLÍN</v>
      </c>
      <c r="D7660" s="15" t="str">
        <f>IFERROR(__xludf.DUMMYFUNCTION("""COMPUTED_VALUE"""),"BOGOTÁ")</f>
        <v>BOGOTÁ</v>
      </c>
      <c r="E7660" s="15" t="str">
        <f>IFERROR(__xludf.DUMMYFUNCTION("""COMPUTED_VALUE"""),"LINA PAOLA RAMIREZ GOMEZ - EVA MAZZITA")</f>
        <v>LINA PAOLA RAMIREZ GOMEZ - EVA MAZZITA</v>
      </c>
      <c r="F7660" s="17" t="str">
        <f>IFERROR(__xludf.DUMMYFUNCTION("""COMPUTED_VALUE"""),"Cra 84b #4g-75 / apto 1319/Urbanización colina de los Bernal")</f>
        <v>Cra 84b #4g-75 / apto 1319/Urbanización colina de los Bernal</v>
      </c>
      <c r="G7660" s="15" t="str">
        <f>IFERROR(__xludf.DUMMYFUNCTION("""COMPUTED_VALUE"""),"ELIZABETH CARMONA CANO")</f>
        <v>ELIZABETH CARMONA CANO</v>
      </c>
      <c r="H7660" s="16">
        <f>IFERROR(__xludf.DUMMYFUNCTION("""COMPUTED_VALUE"""),16319.0)</f>
        <v>16319</v>
      </c>
      <c r="I7660" s="17"/>
      <c r="J7660" s="17"/>
      <c r="K7660" s="17"/>
      <c r="L7660" s="17">
        <f>IFERROR(__xludf.DUMMYFUNCTION("""COMPUTED_VALUE"""),3.046035483E9)</f>
        <v>3046035483</v>
      </c>
      <c r="M7660" s="17"/>
      <c r="N7660" s="17"/>
      <c r="O7660" s="17"/>
      <c r="P7660" s="17" t="b">
        <f>IFERROR(__xludf.DUMMYFUNCTION("""COMPUTED_VALUE"""),FALSE)</f>
        <v>0</v>
      </c>
      <c r="Q7660" s="20" t="str">
        <f>IFERROR(__xludf.DUMMYFUNCTION("""COMPUTED_VALUE"""),"")</f>
        <v/>
      </c>
      <c r="R7660" s="21" t="str">
        <f>IFERROR(__xludf.DUMMYFUNCTION("""COMPUTED_VALUE"""),"https://drive.google.com/file/d/1lsZozs4ekwkgm37Z8m58okrXrviSewyf/view?usp=drivesdk")</f>
        <v>https://drive.google.com/file/d/1lsZozs4ekwkgm37Z8m58okrXrviSewyf/view?usp=drivesdk</v>
      </c>
    </row>
    <row r="7661">
      <c r="A7661" s="15">
        <f>IFERROR(__xludf.DUMMYFUNCTION("""COMPUTED_VALUE"""),45217.0)</f>
        <v>45217</v>
      </c>
      <c r="B7661" s="16" t="str">
        <f>IFERROR(__xludf.DUMMYFUNCTION("""COMPUTED_VALUE"""),"Santiago Garces Restrepo")</f>
        <v>Santiago Garces Restrepo</v>
      </c>
      <c r="C7661" s="15" t="str">
        <f>IFERROR(__xludf.DUMMYFUNCTION("""COMPUTED_VALUE"""),"MEDELLÍN")</f>
        <v>MEDELLÍN</v>
      </c>
      <c r="D7661" s="15" t="str">
        <f>IFERROR(__xludf.DUMMYFUNCTION("""COMPUTED_VALUE"""),"BOGOTÁ")</f>
        <v>BOGOTÁ</v>
      </c>
      <c r="E7661" s="15" t="str">
        <f>IFERROR(__xludf.DUMMYFUNCTION("""COMPUTED_VALUE"""),"Loomifoods")</f>
        <v>Loomifoods</v>
      </c>
      <c r="F7661" s="17" t="str">
        <f>IFERROR(__xludf.DUMMYFUNCTION("""COMPUTED_VALUE"""),"Cra 15 BA no. 34D - 44 / Interior 201 / Medellin")</f>
        <v>Cra 15 BA no. 34D - 44 / Interior 201 / Medellin</v>
      </c>
      <c r="G7661" s="15" t="str">
        <f>IFERROR(__xludf.DUMMYFUNCTION("""COMPUTED_VALUE"""),"Daniela Bedoya")</f>
        <v>Daniela Bedoya</v>
      </c>
      <c r="H7661" s="16">
        <f>IFERROR(__xludf.DUMMYFUNCTION("""COMPUTED_VALUE"""),16360.0)</f>
        <v>16360</v>
      </c>
      <c r="I7661" s="18">
        <f>IFERROR(__xludf.DUMMYFUNCTION("""COMPUTED_VALUE"""),19.0)</f>
        <v>19</v>
      </c>
      <c r="J7661" s="18">
        <f>IFERROR(__xludf.DUMMYFUNCTION("""COMPUTED_VALUE"""),10.0)</f>
        <v>10</v>
      </c>
      <c r="K7661" s="18">
        <f>IFERROR(__xludf.DUMMYFUNCTION("""COMPUTED_VALUE"""),16.0)</f>
        <v>16</v>
      </c>
      <c r="L7661" s="17">
        <f>IFERROR(__xludf.DUMMYFUNCTION("""COMPUTED_VALUE"""),3.14672822E9)</f>
        <v>3146728220</v>
      </c>
      <c r="M7661" s="17"/>
      <c r="N7661" s="17"/>
      <c r="O7661" s="17"/>
      <c r="P7661" s="17" t="b">
        <f>IFERROR(__xludf.DUMMYFUNCTION("""COMPUTED_VALUE"""),FALSE)</f>
        <v>0</v>
      </c>
      <c r="Q7661" s="20" t="str">
        <f>IFERROR(__xludf.DUMMYFUNCTION("""COMPUTED_VALUE"""),"")</f>
        <v/>
      </c>
      <c r="R7661" s="21" t="str">
        <f>IFERROR(__xludf.DUMMYFUNCTION("""COMPUTED_VALUE"""),"https://drive.google.com/file/d/1ElTJIMkX1IH4KleNDyBeRwtSddD2tiz-/view?usp=drivesdk")</f>
        <v>https://drive.google.com/file/d/1ElTJIMkX1IH4KleNDyBeRwtSddD2tiz-/view?usp=drivesdk</v>
      </c>
    </row>
    <row r="7662">
      <c r="A7662" s="15">
        <f>IFERROR(__xludf.DUMMYFUNCTION("""COMPUTED_VALUE"""),45217.0)</f>
        <v>45217</v>
      </c>
      <c r="B7662" s="16" t="str">
        <f>IFERROR(__xludf.DUMMYFUNCTION("""COMPUTED_VALUE"""),"Santiago Garces Restrepo")</f>
        <v>Santiago Garces Restrepo</v>
      </c>
      <c r="C7662" s="15" t="str">
        <f>IFERROR(__xludf.DUMMYFUNCTION("""COMPUTED_VALUE"""),"MEDELLÍN")</f>
        <v>MEDELLÍN</v>
      </c>
      <c r="D7662" s="15" t="str">
        <f>IFERROR(__xludf.DUMMYFUNCTION("""COMPUTED_VALUE"""),"BOGOTÁ")</f>
        <v>BOGOTÁ</v>
      </c>
      <c r="E7662" s="15" t="str">
        <f>IFERROR(__xludf.DUMMYFUNCTION("""COMPUTED_VALUE"""),"Mochi")</f>
        <v>Mochi</v>
      </c>
      <c r="F7662" s="17" t="str">
        <f>IFERROR(__xludf.DUMMYFUNCTION("""COMPUTED_VALUE"""),"Centro comercial viva envigado sotano 2 naranja bodega 30 / Centro comercial / Envigado")</f>
        <v>Centro comercial viva envigado sotano 2 naranja bodega 30 / Centro comercial / Envigado</v>
      </c>
      <c r="G7662" s="15" t="str">
        <f>IFERROR(__xludf.DUMMYFUNCTION("""COMPUTED_VALUE"""),"Tania Vellojin")</f>
        <v>Tania Vellojin</v>
      </c>
      <c r="H7662" s="16">
        <f>IFERROR(__xludf.DUMMYFUNCTION("""COMPUTED_VALUE"""),16379.0)</f>
        <v>16379</v>
      </c>
      <c r="I7662" s="18">
        <f>IFERROR(__xludf.DUMMYFUNCTION("""COMPUTED_VALUE"""),55.0)</f>
        <v>55</v>
      </c>
      <c r="J7662" s="18">
        <f>IFERROR(__xludf.DUMMYFUNCTION("""COMPUTED_VALUE"""),44.0)</f>
        <v>44</v>
      </c>
      <c r="K7662" s="18" t="str">
        <f>IFERROR(__xludf.DUMMYFUNCTION("""COMPUTED_VALUE"""),"52.5")</f>
        <v>52.5</v>
      </c>
      <c r="L7662" s="17">
        <f>IFERROR(__xludf.DUMMYFUNCTION("""COMPUTED_VALUE"""),3.142587995E9)</f>
        <v>3142587995</v>
      </c>
      <c r="M7662" s="17"/>
      <c r="N7662" s="17"/>
      <c r="O7662" s="17"/>
      <c r="P7662" s="17" t="b">
        <f>IFERROR(__xludf.DUMMYFUNCTION("""COMPUTED_VALUE"""),FALSE)</f>
        <v>0</v>
      </c>
      <c r="Q7662" s="20" t="str">
        <f>IFERROR(__xludf.DUMMYFUNCTION("""COMPUTED_VALUE"""),"")</f>
        <v/>
      </c>
      <c r="R7662" s="21" t="str">
        <f>IFERROR(__xludf.DUMMYFUNCTION("""COMPUTED_VALUE"""),"https://drive.google.com/file/d/1cKODzYNmeGjVsjtAPm7SGuQsJwL-qzWp/view?usp=drivesdk")</f>
        <v>https://drive.google.com/file/d/1cKODzYNmeGjVsjtAPm7SGuQsJwL-qzWp/view?usp=drivesdk</v>
      </c>
    </row>
    <row r="7663">
      <c r="A7663" s="15">
        <f>IFERROR(__xludf.DUMMYFUNCTION("""COMPUTED_VALUE"""),45217.0)</f>
        <v>45217</v>
      </c>
      <c r="B7663" s="16" t="str">
        <f>IFERROR(__xludf.DUMMYFUNCTION("""COMPUTED_VALUE"""),"Santiago Garces Restrepo")</f>
        <v>Santiago Garces Restrepo</v>
      </c>
      <c r="C7663" s="15" t="str">
        <f>IFERROR(__xludf.DUMMYFUNCTION("""COMPUTED_VALUE"""),"MEDELLÍN")</f>
        <v>MEDELLÍN</v>
      </c>
      <c r="D7663" s="15" t="str">
        <f>IFERROR(__xludf.DUMMYFUNCTION("""COMPUTED_VALUE"""),"BOGOTÁ")</f>
        <v>BOGOTÁ</v>
      </c>
      <c r="E7663" s="15" t="str">
        <f>IFERROR(__xludf.DUMMYFUNCTION("""COMPUTED_VALUE"""),"Pan de Waffle")</f>
        <v>Pan de Waffle</v>
      </c>
      <c r="F7663" s="17" t="str">
        <f>IFERROR(__xludf.DUMMYFUNCTION("""COMPUTED_VALUE"""),"Carrera 39 # 59 - 32 / Carrera 39 # 59 - 32 / Carrera 39 # 59 - 32")</f>
        <v>Carrera 39 # 59 - 32 / Carrera 39 # 59 - 32 / Carrera 39 # 59 - 32</v>
      </c>
      <c r="G7663" s="15" t="str">
        <f>IFERROR(__xludf.DUMMYFUNCTION("""COMPUTED_VALUE"""),"FOODOLOGY")</f>
        <v>FOODOLOGY</v>
      </c>
      <c r="H7663" s="16">
        <f>IFERROR(__xludf.DUMMYFUNCTION("""COMPUTED_VALUE"""),16348.0)</f>
        <v>16348</v>
      </c>
      <c r="I7663" s="18">
        <f>IFERROR(__xludf.DUMMYFUNCTION("""COMPUTED_VALUE"""),40.0)</f>
        <v>40</v>
      </c>
      <c r="J7663" s="18">
        <f>IFERROR(__xludf.DUMMYFUNCTION("""COMPUTED_VALUE"""),30.0)</f>
        <v>30</v>
      </c>
      <c r="K7663" s="18">
        <f>IFERROR(__xludf.DUMMYFUNCTION("""COMPUTED_VALUE"""),40.0)</f>
        <v>40</v>
      </c>
      <c r="L7663" s="17">
        <f>IFERROR(__xludf.DUMMYFUNCTION("""COMPUTED_VALUE"""),3.123558292E9)</f>
        <v>3123558292</v>
      </c>
      <c r="M7663" s="17"/>
      <c r="N7663" s="17"/>
      <c r="O7663" s="17"/>
      <c r="P7663" s="17" t="b">
        <f>IFERROR(__xludf.DUMMYFUNCTION("""COMPUTED_VALUE"""),TRUE)</f>
        <v>1</v>
      </c>
      <c r="Q7663" s="20">
        <f>IFERROR(__xludf.DUMMYFUNCTION("""COMPUTED_VALUE"""),45221.248607581016)</f>
        <v>45221.24861</v>
      </c>
      <c r="R7663" s="21" t="str">
        <f>IFERROR(__xludf.DUMMYFUNCTION("""COMPUTED_VALUE"""),"https://drive.google.com/file/d/1CnE15noZ2MGvXYcofFC0hzjaSK4kqTcy/view?usp=drivesdk")</f>
        <v>https://drive.google.com/file/d/1CnE15noZ2MGvXYcofFC0hzjaSK4kqTcy/view?usp=drivesdk</v>
      </c>
    </row>
    <row r="7664">
      <c r="A7664" s="15">
        <f>IFERROR(__xludf.DUMMYFUNCTION("""COMPUTED_VALUE"""),45217.0)</f>
        <v>45217</v>
      </c>
      <c r="B7664" s="16" t="str">
        <f>IFERROR(__xludf.DUMMYFUNCTION("""COMPUTED_VALUE"""),"Santiago Garces Restrepo")</f>
        <v>Santiago Garces Restrepo</v>
      </c>
      <c r="C7664" s="15" t="str">
        <f>IFERROR(__xludf.DUMMYFUNCTION("""COMPUTED_VALUE"""),"MEDELLÍN")</f>
        <v>MEDELLÍN</v>
      </c>
      <c r="D7664" s="15" t="str">
        <f>IFERROR(__xludf.DUMMYFUNCTION("""COMPUTED_VALUE"""),"BOGOTÁ")</f>
        <v>BOGOTÁ</v>
      </c>
      <c r="E7664" s="15" t="str">
        <f>IFERROR(__xludf.DUMMYFUNCTION("""COMPUTED_VALUE"""),"Top Spun")</f>
        <v>Top Spun</v>
      </c>
      <c r="F7664" s="17" t="str">
        <f>IFERROR(__xludf.DUMMYFUNCTION("""COMPUTED_VALUE"""),"Carrera 76 D # 110 A 09 / Casa tercer piso  / barrio santander detrás de la Parroquia San Juan Bautista")</f>
        <v>Carrera 76 D # 110 A 09 / Casa tercer piso  / barrio santander detrás de la Parroquia San Juan Bautista</v>
      </c>
      <c r="G7664" s="15" t="str">
        <f>IFERROR(__xludf.DUMMYFUNCTION("""COMPUTED_VALUE"""),"Marcela Henao")</f>
        <v>Marcela Henao</v>
      </c>
      <c r="H7664" s="16">
        <f>IFERROR(__xludf.DUMMYFUNCTION("""COMPUTED_VALUE"""),16283.0)</f>
        <v>16283</v>
      </c>
      <c r="I7664" s="18">
        <f>IFERROR(__xludf.DUMMYFUNCTION("""COMPUTED_VALUE"""),20.0)</f>
        <v>20</v>
      </c>
      <c r="J7664" s="18">
        <f>IFERROR(__xludf.DUMMYFUNCTION("""COMPUTED_VALUE"""),10.0)</f>
        <v>10</v>
      </c>
      <c r="K7664" s="18">
        <f>IFERROR(__xludf.DUMMYFUNCTION("""COMPUTED_VALUE"""),40.0)</f>
        <v>40</v>
      </c>
      <c r="L7664" s="17">
        <f>IFERROR(__xludf.DUMMYFUNCTION("""COMPUTED_VALUE"""),3.014476038E9)</f>
        <v>3014476038</v>
      </c>
      <c r="M7664" s="17"/>
      <c r="N7664" s="17"/>
      <c r="O7664" s="17"/>
      <c r="P7664" s="17" t="b">
        <f>IFERROR(__xludf.DUMMYFUNCTION("""COMPUTED_VALUE"""),FALSE)</f>
        <v>0</v>
      </c>
      <c r="Q7664" s="20" t="str">
        <f>IFERROR(__xludf.DUMMYFUNCTION("""COMPUTED_VALUE"""),"")</f>
        <v/>
      </c>
      <c r="R7664" s="21" t="str">
        <f>IFERROR(__xludf.DUMMYFUNCTION("""COMPUTED_VALUE"""),"https://drive.google.com/file/d/11UFHlFMkhyTSWbzyXWlm76MGeTEzzB5x/view?usp=drivesdk")</f>
        <v>https://drive.google.com/file/d/11UFHlFMkhyTSWbzyXWlm76MGeTEzzB5x/view?usp=drivesdk</v>
      </c>
    </row>
    <row r="7665">
      <c r="A7665" s="17" t="str">
        <f>IFERROR(__xludf.DUMMYFUNCTION("""COMPUTED_VALUE"""),"")</f>
        <v/>
      </c>
      <c r="B7665" s="17" t="str">
        <f>IFERROR(__xludf.DUMMYFUNCTION("""COMPUTED_VALUE"""),"")</f>
        <v/>
      </c>
      <c r="C7665" s="17" t="str">
        <f>IFERROR(__xludf.DUMMYFUNCTION("""COMPUTED_VALUE"""),"")</f>
        <v/>
      </c>
      <c r="D7665" s="17" t="str">
        <f>IFERROR(__xludf.DUMMYFUNCTION("""COMPUTED_VALUE"""),"")</f>
        <v/>
      </c>
      <c r="E7665" s="17" t="str">
        <f>IFERROR(__xludf.DUMMYFUNCTION("""COMPUTED_VALUE"""),"")</f>
        <v/>
      </c>
      <c r="F7665" s="17" t="str">
        <f>IFERROR(__xludf.DUMMYFUNCTION("""COMPUTED_VALUE"""),"")</f>
        <v/>
      </c>
      <c r="G7665" s="17" t="str">
        <f>IFERROR(__xludf.DUMMYFUNCTION("""COMPUTED_VALUE"""),"")</f>
        <v/>
      </c>
      <c r="H7665" s="17" t="str">
        <f>IFERROR(__xludf.DUMMYFUNCTION("""COMPUTED_VALUE"""),"")</f>
        <v/>
      </c>
      <c r="I7665" s="17" t="str">
        <f>IFERROR(__xludf.DUMMYFUNCTION("""COMPUTED_VALUE"""),"")</f>
        <v/>
      </c>
      <c r="J7665" s="17" t="str">
        <f>IFERROR(__xludf.DUMMYFUNCTION("""COMPUTED_VALUE"""),"")</f>
        <v/>
      </c>
      <c r="K7665" s="17" t="str">
        <f>IFERROR(__xludf.DUMMYFUNCTION("""COMPUTED_VALUE"""),"")</f>
        <v/>
      </c>
      <c r="L7665" s="17" t="str">
        <f>IFERROR(__xludf.DUMMYFUNCTION("""COMPUTED_VALUE"""),"")</f>
        <v/>
      </c>
      <c r="M7665" s="17" t="str">
        <f>IFERROR(__xludf.DUMMYFUNCTION("""COMPUTED_VALUE"""),"")</f>
        <v/>
      </c>
      <c r="N7665" s="17" t="str">
        <f>IFERROR(__xludf.DUMMYFUNCTION("""COMPUTED_VALUE"""),"")</f>
        <v/>
      </c>
      <c r="O7665" s="17" t="str">
        <f>IFERROR(__xludf.DUMMYFUNCTION("""COMPUTED_VALUE"""),"")</f>
        <v/>
      </c>
      <c r="P7665" s="17" t="str">
        <f>IFERROR(__xludf.DUMMYFUNCTION("""COMPUTED_VALUE"""),"")</f>
        <v/>
      </c>
      <c r="Q7665" s="17" t="str">
        <f>IFERROR(__xludf.DUMMYFUNCTION("""COMPUTED_VALUE"""),"")</f>
        <v/>
      </c>
      <c r="R7665" s="17" t="str">
        <f>IFERROR(__xludf.DUMMYFUNCTION("""COMPUTED_VALUE"""),"")</f>
        <v/>
      </c>
    </row>
    <row r="7666">
      <c r="A7666" s="15">
        <f>IFERROR(__xludf.DUMMYFUNCTION("""COMPUTED_VALUE"""),45218.0)</f>
        <v>45218</v>
      </c>
      <c r="B7666" s="17"/>
      <c r="C7666" s="15" t="str">
        <f>IFERROR(__xludf.DUMMYFUNCTION("""COMPUTED_VALUE"""),"CALI")</f>
        <v>CALI</v>
      </c>
      <c r="D7666" s="15" t="str">
        <f>IFERROR(__xludf.DUMMYFUNCTION("""COMPUTED_VALUE"""),"MEDELLÍN")</f>
        <v>MEDELLÍN</v>
      </c>
      <c r="E7666" s="15" t="str">
        <f>IFERROR(__xludf.DUMMYFUNCTION("""COMPUTED_VALUE"""),"Terravocado")</f>
        <v>Terravocado</v>
      </c>
      <c r="F7666" s="17" t="str">
        <f>IFERROR(__xludf.DUMMYFUNCTION("""COMPUTED_VALUE"""),"CLL 34 N #2BN 33  / COCINA 1 / ENTRE LA 14 DE LAS SEXTA Y EL DEPORTIVO CALI")</f>
        <v>CLL 34 N #2BN 33  / COCINA 1 / ENTRE LA 14 DE LAS SEXTA Y EL DEPORTIVO CALI</v>
      </c>
      <c r="G7666" s="15" t="str">
        <f>IFERROR(__xludf.DUMMYFUNCTION("""COMPUTED_VALUE"""),"CONTINENTAL KITCHENS")</f>
        <v>CONTINENTAL KITCHENS</v>
      </c>
      <c r="H7666" s="16">
        <f>IFERROR(__xludf.DUMMYFUNCTION("""COMPUTED_VALUE"""),16384.0)</f>
        <v>16384</v>
      </c>
      <c r="I7666" s="18">
        <f>IFERROR(__xludf.DUMMYFUNCTION("""COMPUTED_VALUE"""),34.0)</f>
        <v>34</v>
      </c>
      <c r="J7666" s="18">
        <f>IFERROR(__xludf.DUMMYFUNCTION("""COMPUTED_VALUE"""),24.0)</f>
        <v>24</v>
      </c>
      <c r="K7666" s="18">
        <f>IFERROR(__xludf.DUMMYFUNCTION("""COMPUTED_VALUE"""),20.0)</f>
        <v>20</v>
      </c>
      <c r="L7666" s="17">
        <f>IFERROR(__xludf.DUMMYFUNCTION("""COMPUTED_VALUE"""),3.112634547E9)</f>
        <v>3112634547</v>
      </c>
      <c r="M7666" s="17"/>
      <c r="N7666" s="17"/>
      <c r="O7666" s="17"/>
      <c r="P7666" s="17" t="b">
        <f>IFERROR(__xludf.DUMMYFUNCTION("""COMPUTED_VALUE"""),FALSE)</f>
        <v>0</v>
      </c>
      <c r="Q7666" s="20" t="str">
        <f>IFERROR(__xludf.DUMMYFUNCTION("""COMPUTED_VALUE"""),"")</f>
        <v/>
      </c>
      <c r="R7666" s="21" t="str">
        <f>IFERROR(__xludf.DUMMYFUNCTION("""COMPUTED_VALUE"""),"https://drive.google.com/file/d/15NEkV80i7TvDXGseKBQH9vCeP7US35y4/view?usp=drivesdk")</f>
        <v>https://drive.google.com/file/d/15NEkV80i7TvDXGseKBQH9vCeP7US35y4/view?usp=drivesdk</v>
      </c>
    </row>
    <row r="7667">
      <c r="A7667" s="15">
        <f>IFERROR(__xludf.DUMMYFUNCTION("""COMPUTED_VALUE"""),45218.0)</f>
        <v>45218</v>
      </c>
      <c r="B7667" s="17"/>
      <c r="C7667" s="15" t="str">
        <f>IFERROR(__xludf.DUMMYFUNCTION("""COMPUTED_VALUE"""),"CARTAGENA")</f>
        <v>CARTAGENA</v>
      </c>
      <c r="D7667" s="15" t="str">
        <f>IFERROR(__xludf.DUMMYFUNCTION("""COMPUTED_VALUE"""),"MEDELLÍN")</f>
        <v>MEDELLÍN</v>
      </c>
      <c r="E7667" s="15" t="str">
        <f>IFERROR(__xludf.DUMMYFUNCTION("""COMPUTED_VALUE"""),"Rambla")</f>
        <v>Rambla</v>
      </c>
      <c r="F7667" s="17" t="str">
        <f>IFERROR(__xludf.DUMMYFUNCTION("""COMPUTED_VALUE"""),"CALLE 6 #20 CC LA ESTANCIA LC 1 10 BRR  CASTILLO GRANDE  / - / -")</f>
        <v>CALLE 6 #20 CC LA ESTANCIA LC 1 10 BRR  CASTILLO GRANDE  / - / -</v>
      </c>
      <c r="G7667" s="15" t="str">
        <f>IFERROR(__xludf.DUMMYFUNCTION("""COMPUTED_VALUE"""),"Cocofit Mercado Saludable S.A.S")</f>
        <v>Cocofit Mercado Saludable S.A.S</v>
      </c>
      <c r="H7667" s="16">
        <f>IFERROR(__xludf.DUMMYFUNCTION("""COMPUTED_VALUE"""),16371.0)</f>
        <v>16371</v>
      </c>
      <c r="I7667" s="18">
        <f>IFERROR(__xludf.DUMMYFUNCTION("""COMPUTED_VALUE"""),24.0)</f>
        <v>24</v>
      </c>
      <c r="J7667" s="18">
        <f>IFERROR(__xludf.DUMMYFUNCTION("""COMPUTED_VALUE"""),24.0)</f>
        <v>24</v>
      </c>
      <c r="K7667" s="18">
        <f>IFERROR(__xludf.DUMMYFUNCTION("""COMPUTED_VALUE"""),24.0)</f>
        <v>24</v>
      </c>
      <c r="L7667" s="17">
        <f>IFERROR(__xludf.DUMMYFUNCTION("""COMPUTED_VALUE"""),3.135781119E9)</f>
        <v>3135781119</v>
      </c>
      <c r="M7667" s="17"/>
      <c r="N7667" s="17"/>
      <c r="O7667" s="17"/>
      <c r="P7667" s="17" t="b">
        <f>IFERROR(__xludf.DUMMYFUNCTION("""COMPUTED_VALUE"""),FALSE)</f>
        <v>0</v>
      </c>
      <c r="Q7667" s="20" t="str">
        <f>IFERROR(__xludf.DUMMYFUNCTION("""COMPUTED_VALUE"""),"")</f>
        <v/>
      </c>
      <c r="R7667" s="21" t="str">
        <f>IFERROR(__xludf.DUMMYFUNCTION("""COMPUTED_VALUE"""),"https://drive.google.com/file/d/1639WrH0gGYGMJkMyJyf_P-EtBkC0Jk7y/view?usp=drivesdk")</f>
        <v>https://drive.google.com/file/d/1639WrH0gGYGMJkMyJyf_P-EtBkC0Jk7y/view?usp=drivesdk</v>
      </c>
    </row>
    <row r="7668">
      <c r="A7668" s="17" t="str">
        <f>IFERROR(__xludf.DUMMYFUNCTION("""COMPUTED_VALUE"""),"")</f>
        <v/>
      </c>
      <c r="B7668" s="17" t="str">
        <f>IFERROR(__xludf.DUMMYFUNCTION("""COMPUTED_VALUE"""),"")</f>
        <v/>
      </c>
      <c r="C7668" s="17" t="str">
        <f>IFERROR(__xludf.DUMMYFUNCTION("""COMPUTED_VALUE"""),"")</f>
        <v/>
      </c>
      <c r="D7668" s="17" t="str">
        <f>IFERROR(__xludf.DUMMYFUNCTION("""COMPUTED_VALUE"""),"")</f>
        <v/>
      </c>
      <c r="E7668" s="17" t="str">
        <f>IFERROR(__xludf.DUMMYFUNCTION("""COMPUTED_VALUE"""),"")</f>
        <v/>
      </c>
      <c r="F7668" s="17" t="str">
        <f>IFERROR(__xludf.DUMMYFUNCTION("""COMPUTED_VALUE"""),"")</f>
        <v/>
      </c>
      <c r="G7668" s="17" t="str">
        <f>IFERROR(__xludf.DUMMYFUNCTION("""COMPUTED_VALUE"""),"")</f>
        <v/>
      </c>
      <c r="H7668" s="17" t="str">
        <f>IFERROR(__xludf.DUMMYFUNCTION("""COMPUTED_VALUE"""),"")</f>
        <v/>
      </c>
      <c r="I7668" s="17" t="str">
        <f>IFERROR(__xludf.DUMMYFUNCTION("""COMPUTED_VALUE"""),"")</f>
        <v/>
      </c>
      <c r="J7668" s="17" t="str">
        <f>IFERROR(__xludf.DUMMYFUNCTION("""COMPUTED_VALUE"""),"")</f>
        <v/>
      </c>
      <c r="K7668" s="17" t="str">
        <f>IFERROR(__xludf.DUMMYFUNCTION("""COMPUTED_VALUE"""),"")</f>
        <v/>
      </c>
      <c r="L7668" s="17" t="str">
        <f>IFERROR(__xludf.DUMMYFUNCTION("""COMPUTED_VALUE"""),"")</f>
        <v/>
      </c>
      <c r="M7668" s="17" t="str">
        <f>IFERROR(__xludf.DUMMYFUNCTION("""COMPUTED_VALUE"""),"")</f>
        <v/>
      </c>
      <c r="N7668" s="17" t="str">
        <f>IFERROR(__xludf.DUMMYFUNCTION("""COMPUTED_VALUE"""),"")</f>
        <v/>
      </c>
      <c r="O7668" s="17" t="str">
        <f>IFERROR(__xludf.DUMMYFUNCTION("""COMPUTED_VALUE"""),"")</f>
        <v/>
      </c>
      <c r="P7668" s="17" t="str">
        <f>IFERROR(__xludf.DUMMYFUNCTION("""COMPUTED_VALUE"""),"")</f>
        <v/>
      </c>
      <c r="Q7668" s="17" t="str">
        <f>IFERROR(__xludf.DUMMYFUNCTION("""COMPUTED_VALUE"""),"")</f>
        <v/>
      </c>
      <c r="R7668" s="17" t="str">
        <f>IFERROR(__xludf.DUMMYFUNCTION("""COMPUTED_VALUE"""),"")</f>
        <v/>
      </c>
    </row>
    <row r="7669">
      <c r="A7669" s="15">
        <f>IFERROR(__xludf.DUMMYFUNCTION("""COMPUTED_VALUE"""),45218.0)</f>
        <v>45218</v>
      </c>
      <c r="B7669" s="16" t="str">
        <f>IFERROR(__xludf.DUMMYFUNCTION("""COMPUTED_VALUE"""),"Anuar suarez jimenez ")</f>
        <v>Anuar suarez jimenez </v>
      </c>
      <c r="C7669" s="15" t="str">
        <f>IFERROR(__xludf.DUMMYFUNCTION("""COMPUTED_VALUE"""),"LA DORADA")</f>
        <v>LA DORADA</v>
      </c>
      <c r="D7669" s="15" t="str">
        <f>IFERROR(__xludf.DUMMYFUNCTION("""COMPUTED_VALUE"""),"BOGOTÁ")</f>
        <v>BOGOTÁ</v>
      </c>
      <c r="E7669" s="15" t="str">
        <f>IFERROR(__xludf.DUMMYFUNCTION("""COMPUTED_VALUE"""),"Instinto alimento vital")</f>
        <v>Instinto alimento vital</v>
      </c>
      <c r="F7669" s="17" t="str">
        <f>IFERROR(__xludf.DUMMYFUNCTION("""COMPUTED_VALUE"""),"CR 8 # 13-27 / LA DORADA")</f>
        <v>CR 8 # 13-27 / LA DORADA</v>
      </c>
      <c r="G7669" s="15" t="str">
        <f>IFERROR(__xludf.DUMMYFUNCTION("""COMPUTED_VALUE"""),"DANIELA ALEJANDRA REYES DUARTE")</f>
        <v>DANIELA ALEJANDRA REYES DUARTE</v>
      </c>
      <c r="H7669" s="16">
        <f>IFERROR(__xludf.DUMMYFUNCTION("""COMPUTED_VALUE"""),16387.0)</f>
        <v>16387</v>
      </c>
      <c r="I7669" s="17"/>
      <c r="J7669" s="17"/>
      <c r="K7669" s="17"/>
      <c r="L7669" s="17">
        <f>IFERROR(__xludf.DUMMYFUNCTION("""COMPUTED_VALUE"""),3.217659965E9)</f>
        <v>3217659965</v>
      </c>
      <c r="M7669" s="17"/>
      <c r="N7669" s="17"/>
      <c r="O7669" s="17"/>
      <c r="P7669" s="17" t="b">
        <f>IFERROR(__xludf.DUMMYFUNCTION("""COMPUTED_VALUE"""),FALSE)</f>
        <v>0</v>
      </c>
      <c r="Q7669" s="20" t="str">
        <f>IFERROR(__xludf.DUMMYFUNCTION("""COMPUTED_VALUE"""),"")</f>
        <v/>
      </c>
      <c r="R7669" s="21" t="str">
        <f>IFERROR(__xludf.DUMMYFUNCTION("""COMPUTED_VALUE"""),"https://drive.google.com/file/d/1-eMWYCGefNQjsKj1aP3cMLgSO7-vV-aa/view?usp=drivesdk")</f>
        <v>https://drive.google.com/file/d/1-eMWYCGefNQjsKj1aP3cMLgSO7-vV-aa/view?usp=drivesdk</v>
      </c>
    </row>
    <row r="7670">
      <c r="A7670" s="15">
        <f>IFERROR(__xludf.DUMMYFUNCTION("""COMPUTED_VALUE"""),45218.0)</f>
        <v>45218</v>
      </c>
      <c r="B7670" s="16" t="str">
        <f>IFERROR(__xludf.DUMMYFUNCTION("""COMPUTED_VALUE"""),"Anuar suarez jimenez ")</f>
        <v>Anuar suarez jimenez </v>
      </c>
      <c r="C7670" s="15" t="str">
        <f>IFERROR(__xludf.DUMMYFUNCTION("""COMPUTED_VALUE"""),"MONTERIA")</f>
        <v>MONTERIA</v>
      </c>
      <c r="D7670" s="15" t="str">
        <f>IFERROR(__xludf.DUMMYFUNCTION("""COMPUTED_VALUE"""),"BOGOTÁ")</f>
        <v>BOGOTÁ</v>
      </c>
      <c r="E7670" s="15" t="str">
        <f>IFERROR(__xludf.DUMMYFUNCTION("""COMPUTED_VALUE"""),"Asociacion Agropecuaria Juana Maria")</f>
        <v>Asociacion Agropecuaria Juana Maria</v>
      </c>
      <c r="F7670" s="17" t="str">
        <f>IFERROR(__xludf.DUMMYFUNCTION("""COMPUTED_VALUE"""),"Carrera 12 # 53A-39 edificio alta vista torre 1 apto 603 / Carrera 12 # 53A-39 edificio alta vista torre 1 apto 603")</f>
        <v>Carrera 12 # 53A-39 edificio alta vista torre 1 apto 603 / Carrera 12 # 53A-39 edificio alta vista torre 1 apto 603</v>
      </c>
      <c r="G7670" s="15" t="str">
        <f>IFERROR(__xludf.DUMMYFUNCTION("""COMPUTED_VALUE"""),"Emilia Miranda")</f>
        <v>Emilia Miranda</v>
      </c>
      <c r="H7670" s="16">
        <f>IFERROR(__xludf.DUMMYFUNCTION("""COMPUTED_VALUE"""),16294.0)</f>
        <v>16294</v>
      </c>
      <c r="I7670" s="17"/>
      <c r="J7670" s="17"/>
      <c r="K7670" s="17"/>
      <c r="L7670" s="17">
        <f>IFERROR(__xludf.DUMMYFUNCTION("""COMPUTED_VALUE"""),3.113438505E9)</f>
        <v>3113438505</v>
      </c>
      <c r="M7670" s="17"/>
      <c r="N7670" s="17"/>
      <c r="O7670" s="17"/>
      <c r="P7670" s="17" t="b">
        <f>IFERROR(__xludf.DUMMYFUNCTION("""COMPUTED_VALUE"""),FALSE)</f>
        <v>0</v>
      </c>
      <c r="Q7670" s="20" t="str">
        <f>IFERROR(__xludf.DUMMYFUNCTION("""COMPUTED_VALUE"""),"")</f>
        <v/>
      </c>
      <c r="R7670" s="21" t="str">
        <f>IFERROR(__xludf.DUMMYFUNCTION("""COMPUTED_VALUE"""),"https://drive.google.com/file/d/1IMCAzWzTdPHEhnvZUl8ntskuliYFaT43/view?usp=drivesdk")</f>
        <v>https://drive.google.com/file/d/1IMCAzWzTdPHEhnvZUl8ntskuliYFaT43/view?usp=drivesdk</v>
      </c>
    </row>
    <row r="7671">
      <c r="A7671" s="15">
        <f>IFERROR(__xludf.DUMMYFUNCTION("""COMPUTED_VALUE"""),45218.0)</f>
        <v>45218</v>
      </c>
      <c r="B7671" s="16" t="str">
        <f>IFERROR(__xludf.DUMMYFUNCTION("""COMPUTED_VALUE"""),"Anuar suarez jimenez ")</f>
        <v>Anuar suarez jimenez </v>
      </c>
      <c r="C7671" s="15" t="str">
        <f>IFERROR(__xludf.DUMMYFUNCTION("""COMPUTED_VALUE"""),"MONTERIA")</f>
        <v>MONTERIA</v>
      </c>
      <c r="D7671" s="15" t="str">
        <f>IFERROR(__xludf.DUMMYFUNCTION("""COMPUTED_VALUE"""),"BOGOTÁ")</f>
        <v>BOGOTÁ</v>
      </c>
      <c r="E7671" s="15" t="str">
        <f>IFERROR(__xludf.DUMMYFUNCTION("""COMPUTED_VALUE"""),"MAI ALIMENTOS REALES")</f>
        <v>MAI ALIMENTOS REALES</v>
      </c>
      <c r="F7671" s="17" t="str">
        <f>IFERROR(__xludf.DUMMYFUNCTION("""COMPUTED_VALUE"""),"Calle 44 # 10 - 91 / Local 4")</f>
        <v>Calle 44 # 10 - 91 / Local 4</v>
      </c>
      <c r="G7671" s="15" t="str">
        <f>IFERROR(__xludf.DUMMYFUNCTION("""COMPUTED_VALUE"""),"Enjoy Fit")</f>
        <v>Enjoy Fit</v>
      </c>
      <c r="H7671" s="16">
        <f>IFERROR(__xludf.DUMMYFUNCTION("""COMPUTED_VALUE"""),16279.0)</f>
        <v>16279</v>
      </c>
      <c r="I7671" s="17"/>
      <c r="J7671" s="17"/>
      <c r="K7671" s="17"/>
      <c r="L7671" s="17">
        <f>IFERROR(__xludf.DUMMYFUNCTION("""COMPUTED_VALUE"""),3.002161363E9)</f>
        <v>3002161363</v>
      </c>
      <c r="M7671" s="17"/>
      <c r="N7671" s="17"/>
      <c r="O7671" s="17"/>
      <c r="P7671" s="17" t="b">
        <f>IFERROR(__xludf.DUMMYFUNCTION("""COMPUTED_VALUE"""),FALSE)</f>
        <v>0</v>
      </c>
      <c r="Q7671" s="20" t="str">
        <f>IFERROR(__xludf.DUMMYFUNCTION("""COMPUTED_VALUE"""),"")</f>
        <v/>
      </c>
      <c r="R7671" s="21" t="str">
        <f>IFERROR(__xludf.DUMMYFUNCTION("""COMPUTED_VALUE"""),"https://drive.google.com/file/d/1crFV13zDeE_g8ZUtm4gSPP35xL556rEX/view?usp=drivesdk")</f>
        <v>https://drive.google.com/file/d/1crFV13zDeE_g8ZUtm4gSPP35xL556rEX/view?usp=drivesdk</v>
      </c>
    </row>
    <row r="7672">
      <c r="A7672" s="17" t="str">
        <f>IFERROR(__xludf.DUMMYFUNCTION("""COMPUTED_VALUE"""),"")</f>
        <v/>
      </c>
      <c r="B7672" s="17" t="str">
        <f>IFERROR(__xludf.DUMMYFUNCTION("""COMPUTED_VALUE"""),"")</f>
        <v/>
      </c>
      <c r="C7672" s="17" t="str">
        <f>IFERROR(__xludf.DUMMYFUNCTION("""COMPUTED_VALUE"""),"")</f>
        <v/>
      </c>
      <c r="D7672" s="17" t="str">
        <f>IFERROR(__xludf.DUMMYFUNCTION("""COMPUTED_VALUE"""),"")</f>
        <v/>
      </c>
      <c r="E7672" s="17" t="str">
        <f>IFERROR(__xludf.DUMMYFUNCTION("""COMPUTED_VALUE"""),"")</f>
        <v/>
      </c>
      <c r="F7672" s="17" t="str">
        <f>IFERROR(__xludf.DUMMYFUNCTION("""COMPUTED_VALUE"""),"")</f>
        <v/>
      </c>
      <c r="G7672" s="17" t="str">
        <f>IFERROR(__xludf.DUMMYFUNCTION("""COMPUTED_VALUE"""),"")</f>
        <v/>
      </c>
      <c r="H7672" s="17" t="str">
        <f>IFERROR(__xludf.DUMMYFUNCTION("""COMPUTED_VALUE"""),"")</f>
        <v/>
      </c>
      <c r="I7672" s="17" t="str">
        <f>IFERROR(__xludf.DUMMYFUNCTION("""COMPUTED_VALUE"""),"")</f>
        <v/>
      </c>
      <c r="J7672" s="17" t="str">
        <f>IFERROR(__xludf.DUMMYFUNCTION("""COMPUTED_VALUE"""),"")</f>
        <v/>
      </c>
      <c r="K7672" s="17" t="str">
        <f>IFERROR(__xludf.DUMMYFUNCTION("""COMPUTED_VALUE"""),"")</f>
        <v/>
      </c>
      <c r="L7672" s="17" t="str">
        <f>IFERROR(__xludf.DUMMYFUNCTION("""COMPUTED_VALUE"""),"")</f>
        <v/>
      </c>
      <c r="M7672" s="17" t="str">
        <f>IFERROR(__xludf.DUMMYFUNCTION("""COMPUTED_VALUE"""),"")</f>
        <v/>
      </c>
      <c r="N7672" s="17" t="str">
        <f>IFERROR(__xludf.DUMMYFUNCTION("""COMPUTED_VALUE"""),"")</f>
        <v/>
      </c>
      <c r="O7672" s="17" t="str">
        <f>IFERROR(__xludf.DUMMYFUNCTION("""COMPUTED_VALUE"""),"")</f>
        <v/>
      </c>
      <c r="P7672" s="17" t="str">
        <f>IFERROR(__xludf.DUMMYFUNCTION("""COMPUTED_VALUE"""),"")</f>
        <v/>
      </c>
      <c r="Q7672" s="17" t="str">
        <f>IFERROR(__xludf.DUMMYFUNCTION("""COMPUTED_VALUE"""),"")</f>
        <v/>
      </c>
      <c r="R7672" s="17" t="str">
        <f>IFERROR(__xludf.DUMMYFUNCTION("""COMPUTED_VALUE"""),"")</f>
        <v/>
      </c>
    </row>
    <row r="7673">
      <c r="A7673" s="15">
        <f>IFERROR(__xludf.DUMMYFUNCTION("""COMPUTED_VALUE"""),45218.0)</f>
        <v>45218</v>
      </c>
      <c r="B7673" s="16" t="str">
        <f>IFERROR(__xludf.DUMMYFUNCTION("""COMPUTED_VALUE"""),"Daniel José sandoval gonzalez")</f>
        <v>Daniel José sandoval gonzalez</v>
      </c>
      <c r="C7673" s="15" t="str">
        <f>IFERROR(__xludf.DUMMYFUNCTION("""COMPUTED_VALUE"""),"BARRANQUILLA")</f>
        <v>BARRANQUILLA</v>
      </c>
      <c r="D7673" s="15" t="str">
        <f>IFERROR(__xludf.DUMMYFUNCTION("""COMPUTED_VALUE"""),"BOGOTÁ")</f>
        <v>BOGOTÁ</v>
      </c>
      <c r="E7673" s="15" t="str">
        <f>IFERROR(__xludf.DUMMYFUNCTION("""COMPUTED_VALUE"""),"Asociacion Agropecuaria Juana Maria")</f>
        <v>Asociacion Agropecuaria Juana Maria</v>
      </c>
      <c r="F7673" s="17" t="str">
        <f>IFERROR(__xludf.DUMMYFUNCTION("""COMPUTED_VALUE"""),"Calle 34 # 44 - 63 / Edificio Seguros tequendama piso 8 oficina 8D")</f>
        <v>Calle 34 # 44 - 63 / Edificio Seguros tequendama piso 8 oficina 8D</v>
      </c>
      <c r="G7673" s="15" t="str">
        <f>IFERROR(__xludf.DUMMYFUNCTION("""COMPUTED_VALUE"""),"Yamile Rada")</f>
        <v>Yamile Rada</v>
      </c>
      <c r="H7673" s="16">
        <f>IFERROR(__xludf.DUMMYFUNCTION("""COMPUTED_VALUE"""),16296.0)</f>
        <v>16296</v>
      </c>
      <c r="I7673" s="17"/>
      <c r="J7673" s="17"/>
      <c r="K7673" s="17"/>
      <c r="L7673" s="17">
        <f>IFERROR(__xludf.DUMMYFUNCTION("""COMPUTED_VALUE"""),3.017184164E9)</f>
        <v>3017184164</v>
      </c>
      <c r="M7673" s="17"/>
      <c r="N7673" s="17"/>
      <c r="O7673" s="17"/>
      <c r="P7673" s="17" t="b">
        <f>IFERROR(__xludf.DUMMYFUNCTION("""COMPUTED_VALUE"""),FALSE)</f>
        <v>0</v>
      </c>
      <c r="Q7673" s="20" t="str">
        <f>IFERROR(__xludf.DUMMYFUNCTION("""COMPUTED_VALUE"""),"")</f>
        <v/>
      </c>
      <c r="R7673" s="21" t="str">
        <f>IFERROR(__xludf.DUMMYFUNCTION("""COMPUTED_VALUE"""),"https://drive.google.com/file/d/12EyJ-7m_ce6Mr1PM5DRQEmQqIyzyM4QW/view?usp=drivesdk")</f>
        <v>https://drive.google.com/file/d/12EyJ-7m_ce6Mr1PM5DRQEmQqIyzyM4QW/view?usp=drivesdk</v>
      </c>
    </row>
    <row r="7674">
      <c r="A7674" s="15">
        <f>IFERROR(__xludf.DUMMYFUNCTION("""COMPUTED_VALUE"""),45218.0)</f>
        <v>45218</v>
      </c>
      <c r="B7674" s="16" t="str">
        <f>IFERROR(__xludf.DUMMYFUNCTION("""COMPUTED_VALUE"""),"Daniel José sandoval gonzalez")</f>
        <v>Daniel José sandoval gonzalez</v>
      </c>
      <c r="C7674" s="15" t="str">
        <f>IFERROR(__xludf.DUMMYFUNCTION("""COMPUTED_VALUE"""),"BARRANQUILLA")</f>
        <v>BARRANQUILLA</v>
      </c>
      <c r="D7674" s="15" t="str">
        <f>IFERROR(__xludf.DUMMYFUNCTION("""COMPUTED_VALUE"""),"BOGOTÁ")</f>
        <v>BOGOTÁ</v>
      </c>
      <c r="E7674" s="15" t="str">
        <f>IFERROR(__xludf.DUMMYFUNCTION("""COMPUTED_VALUE"""),"Instinto alimento vital")</f>
        <v>Instinto alimento vital</v>
      </c>
      <c r="F7674" s="17" t="str">
        <f>IFERROR(__xludf.DUMMYFUNCTION("""COMPUTED_VALUE"""),"CRA 64 # 99-100 / TORRE 2 APTO 622")</f>
        <v>CRA 64 # 99-100 / TORRE 2 APTO 622</v>
      </c>
      <c r="G7674" s="15" t="str">
        <f>IFERROR(__xludf.DUMMYFUNCTION("""COMPUTED_VALUE"""),"SILVIA DEL PILAR RUIZ PINO")</f>
        <v>SILVIA DEL PILAR RUIZ PINO</v>
      </c>
      <c r="H7674" s="16">
        <f>IFERROR(__xludf.DUMMYFUNCTION("""COMPUTED_VALUE"""),16386.0)</f>
        <v>16386</v>
      </c>
      <c r="I7674" s="17"/>
      <c r="J7674" s="17"/>
      <c r="K7674" s="17"/>
      <c r="L7674" s="17">
        <f>IFERROR(__xludf.DUMMYFUNCTION("""COMPUTED_VALUE"""),3.102552967E9)</f>
        <v>3102552967</v>
      </c>
      <c r="M7674" s="17"/>
      <c r="N7674" s="17"/>
      <c r="O7674" s="17"/>
      <c r="P7674" s="17" t="b">
        <f>IFERROR(__xludf.DUMMYFUNCTION("""COMPUTED_VALUE"""),FALSE)</f>
        <v>0</v>
      </c>
      <c r="Q7674" s="20" t="str">
        <f>IFERROR(__xludf.DUMMYFUNCTION("""COMPUTED_VALUE"""),"")</f>
        <v/>
      </c>
      <c r="R7674" s="21" t="str">
        <f>IFERROR(__xludf.DUMMYFUNCTION("""COMPUTED_VALUE"""),"https://drive.google.com/file/d/1vSgcUaJybM9JOd6ikj-1-c5Y5F8Cbunh/view?usp=drivesdk")</f>
        <v>https://drive.google.com/file/d/1vSgcUaJybM9JOd6ikj-1-c5Y5F8Cbunh/view?usp=drivesdk</v>
      </c>
    </row>
    <row r="7675">
      <c r="A7675" s="15">
        <f>IFERROR(__xludf.DUMMYFUNCTION("""COMPUTED_VALUE"""),45218.0)</f>
        <v>45218</v>
      </c>
      <c r="B7675" s="16" t="str">
        <f>IFERROR(__xludf.DUMMYFUNCTION("""COMPUTED_VALUE"""),"Daniel José sandoval gonzalez")</f>
        <v>Daniel José sandoval gonzalez</v>
      </c>
      <c r="C7675" s="15" t="str">
        <f>IFERROR(__xludf.DUMMYFUNCTION("""COMPUTED_VALUE"""),"BARRANQUILLA")</f>
        <v>BARRANQUILLA</v>
      </c>
      <c r="D7675" s="15" t="str">
        <f>IFERROR(__xludf.DUMMYFUNCTION("""COMPUTED_VALUE"""),"BOGOTÁ")</f>
        <v>BOGOTÁ</v>
      </c>
      <c r="E7675" s="15" t="str">
        <f>IFERROR(__xludf.DUMMYFUNCTION("""COMPUTED_VALUE"""),"Pan de Waffle")</f>
        <v>Pan de Waffle</v>
      </c>
      <c r="F7675" s="17" t="str">
        <f>IFERROR(__xludf.DUMMYFUNCTION("""COMPUTED_VALUE"""),"Calle 80 # 65 - 07 / Calle 80 # 65 - 07 / Calle 80 # 65 - 07")</f>
        <v>Calle 80 # 65 - 07 / Calle 80 # 65 - 07 / Calle 80 # 65 - 07</v>
      </c>
      <c r="G7675" s="15" t="str">
        <f>IFERROR(__xludf.DUMMYFUNCTION("""COMPUTED_VALUE"""),"RAPPI TURBO")</f>
        <v>RAPPI TURBO</v>
      </c>
      <c r="H7675" s="16">
        <f>IFERROR(__xludf.DUMMYFUNCTION("""COMPUTED_VALUE"""),16418.0)</f>
        <v>16418</v>
      </c>
      <c r="I7675" s="18">
        <f>IFERROR(__xludf.DUMMYFUNCTION("""COMPUTED_VALUE"""),40.0)</f>
        <v>40</v>
      </c>
      <c r="J7675" s="18">
        <f>IFERROR(__xludf.DUMMYFUNCTION("""COMPUTED_VALUE"""),30.0)</f>
        <v>30</v>
      </c>
      <c r="K7675" s="18">
        <f>IFERROR(__xludf.DUMMYFUNCTION("""COMPUTED_VALUE"""),40.0)</f>
        <v>40</v>
      </c>
      <c r="L7675" s="17">
        <f>IFERROR(__xludf.DUMMYFUNCTION("""COMPUTED_VALUE"""),3.017032143E9)</f>
        <v>3017032143</v>
      </c>
      <c r="M7675" s="17"/>
      <c r="N7675" s="17"/>
      <c r="O7675" s="17"/>
      <c r="P7675" s="17" t="b">
        <f>IFERROR(__xludf.DUMMYFUNCTION("""COMPUTED_VALUE"""),FALSE)</f>
        <v>0</v>
      </c>
      <c r="Q7675" s="20" t="str">
        <f>IFERROR(__xludf.DUMMYFUNCTION("""COMPUTED_VALUE"""),"")</f>
        <v/>
      </c>
      <c r="R7675" s="21" t="str">
        <f>IFERROR(__xludf.DUMMYFUNCTION("""COMPUTED_VALUE"""),"https://drive.google.com/file/d/1Yb0Vf2sqDC7bpU6LPdADpJY8kLdd6vEy/view?usp=drivesdk")</f>
        <v>https://drive.google.com/file/d/1Yb0Vf2sqDC7bpU6LPdADpJY8kLdd6vEy/view?usp=drivesdk</v>
      </c>
    </row>
    <row r="7676">
      <c r="A7676" s="15">
        <f>IFERROR(__xludf.DUMMYFUNCTION("""COMPUTED_VALUE"""),45218.0)</f>
        <v>45218</v>
      </c>
      <c r="B7676" s="16" t="str">
        <f>IFERROR(__xludf.DUMMYFUNCTION("""COMPUTED_VALUE"""),"Daniel José sandoval gonzalez")</f>
        <v>Daniel José sandoval gonzalez</v>
      </c>
      <c r="C7676" s="15" t="str">
        <f>IFERROR(__xludf.DUMMYFUNCTION("""COMPUTED_VALUE"""),"BARRANQUILLA")</f>
        <v>BARRANQUILLA</v>
      </c>
      <c r="D7676" s="15" t="str">
        <f>IFERROR(__xludf.DUMMYFUNCTION("""COMPUTED_VALUE"""),"BOGOTÁ")</f>
        <v>BOGOTÁ</v>
      </c>
      <c r="E7676" s="15" t="str">
        <f>IFERROR(__xludf.DUMMYFUNCTION("""COMPUTED_VALUE"""),"Pan de Waffle")</f>
        <v>Pan de Waffle</v>
      </c>
      <c r="F7676" s="17" t="str">
        <f>IFERROR(__xludf.DUMMYFUNCTION("""COMPUTED_VALUE"""),"Carrera 45 # 85 - 168 / Carrera 45 # 85 - 168 / Carrera 45 # 85 - 168")</f>
        <v>Carrera 45 # 85 - 168 / Carrera 45 # 85 - 168 / Carrera 45 # 85 - 168</v>
      </c>
      <c r="G7676" s="15" t="str">
        <f>IFERROR(__xludf.DUMMYFUNCTION("""COMPUTED_VALUE"""),"FOODOLOGY")</f>
        <v>FOODOLOGY</v>
      </c>
      <c r="H7676" s="16">
        <f>IFERROR(__xludf.DUMMYFUNCTION("""COMPUTED_VALUE"""),16416.0)</f>
        <v>16416</v>
      </c>
      <c r="I7676" s="18">
        <f>IFERROR(__xludf.DUMMYFUNCTION("""COMPUTED_VALUE"""),30.0)</f>
        <v>30</v>
      </c>
      <c r="J7676" s="18">
        <f>IFERROR(__xludf.DUMMYFUNCTION("""COMPUTED_VALUE"""),40.0)</f>
        <v>40</v>
      </c>
      <c r="K7676" s="18">
        <f>IFERROR(__xludf.DUMMYFUNCTION("""COMPUTED_VALUE"""),40.0)</f>
        <v>40</v>
      </c>
      <c r="L7676" s="17">
        <f>IFERROR(__xludf.DUMMYFUNCTION("""COMPUTED_VALUE"""),3.017001909E9)</f>
        <v>3017001909</v>
      </c>
      <c r="M7676" s="17"/>
      <c r="N7676" s="17"/>
      <c r="O7676" s="17"/>
      <c r="P7676" s="17" t="b">
        <f>IFERROR(__xludf.DUMMYFUNCTION("""COMPUTED_VALUE"""),FALSE)</f>
        <v>0</v>
      </c>
      <c r="Q7676" s="20" t="str">
        <f>IFERROR(__xludf.DUMMYFUNCTION("""COMPUTED_VALUE"""),"")</f>
        <v/>
      </c>
      <c r="R7676" s="21" t="str">
        <f>IFERROR(__xludf.DUMMYFUNCTION("""COMPUTED_VALUE"""),"https://drive.google.com/file/d/1i82YtMHTCnwqLfE909Zzg2gnbdVRPpM0/view?usp=drivesdk")</f>
        <v>https://drive.google.com/file/d/1i82YtMHTCnwqLfE909Zzg2gnbdVRPpM0/view?usp=drivesdk</v>
      </c>
    </row>
    <row r="7677">
      <c r="A7677" s="15">
        <f>IFERROR(__xludf.DUMMYFUNCTION("""COMPUTED_VALUE"""),45218.0)</f>
        <v>45218</v>
      </c>
      <c r="B7677" s="16" t="str">
        <f>IFERROR(__xludf.DUMMYFUNCTION("""COMPUTED_VALUE"""),"Daniel José sandoval gonzalez")</f>
        <v>Daniel José sandoval gonzalez</v>
      </c>
      <c r="C7677" s="15" t="str">
        <f>IFERROR(__xludf.DUMMYFUNCTION("""COMPUTED_VALUE"""),"BARRANQUILLA")</f>
        <v>BARRANQUILLA</v>
      </c>
      <c r="D7677" s="15" t="str">
        <f>IFERROR(__xludf.DUMMYFUNCTION("""COMPUTED_VALUE"""),"BOGOTÁ")</f>
        <v>BOGOTÁ</v>
      </c>
      <c r="E7677" s="15" t="str">
        <f>IFERROR(__xludf.DUMMYFUNCTION("""COMPUTED_VALUE"""),"Ser Fit")</f>
        <v>Ser Fit</v>
      </c>
      <c r="F7677" s="17" t="str">
        <f>IFERROR(__xludf.DUMMYFUNCTION("""COMPUTED_VALUE"""),"Cra. 51 #82-223, Barranquilla, Atlántico, / barranquilla / enviar fotografia de factura y orden de entrega firmadas ambas al entregar con nombre legible de quien recibe y sello")</f>
        <v>Cra. 51 #82-223, Barranquilla, Atlántico, / barranquilla / enviar fotografia de factura y orden de entrega firmadas ambas al entregar con nombre legible de quien recibe y sello</v>
      </c>
      <c r="G7677" s="15" t="str">
        <f>IFERROR(__xludf.DUMMYFUNCTION("""COMPUTED_VALUE"""),"fit hub barranquilla")</f>
        <v>fit hub barranquilla</v>
      </c>
      <c r="H7677" s="16">
        <f>IFERROR(__xludf.DUMMYFUNCTION("""COMPUTED_VALUE"""),16396.0)</f>
        <v>16396</v>
      </c>
      <c r="I7677" s="18">
        <f>IFERROR(__xludf.DUMMYFUNCTION("""COMPUTED_VALUE"""),20.0)</f>
        <v>20</v>
      </c>
      <c r="J7677" s="18">
        <f>IFERROR(__xludf.DUMMYFUNCTION("""COMPUTED_VALUE"""),30.0)</f>
        <v>30</v>
      </c>
      <c r="K7677" s="18">
        <f>IFERROR(__xludf.DUMMYFUNCTION("""COMPUTED_VALUE"""),16.0)</f>
        <v>16</v>
      </c>
      <c r="L7677" s="17">
        <f>IFERROR(__xludf.DUMMYFUNCTION("""COMPUTED_VALUE"""),3.163354647E9)</f>
        <v>3163354647</v>
      </c>
      <c r="M7677" s="17"/>
      <c r="N7677" s="17"/>
      <c r="O7677" s="17"/>
      <c r="P7677" s="17" t="b">
        <f>IFERROR(__xludf.DUMMYFUNCTION("""COMPUTED_VALUE"""),FALSE)</f>
        <v>0</v>
      </c>
      <c r="Q7677" s="20" t="str">
        <f>IFERROR(__xludf.DUMMYFUNCTION("""COMPUTED_VALUE"""),"")</f>
        <v/>
      </c>
      <c r="R7677" s="21" t="str">
        <f>IFERROR(__xludf.DUMMYFUNCTION("""COMPUTED_VALUE"""),"https://drive.google.com/file/d/1EQJRWNvz7KKrD3MKPkrgU7UJMxJHmmbx/view?usp=drivesdk")</f>
        <v>https://drive.google.com/file/d/1EQJRWNvz7KKrD3MKPkrgU7UJMxJHmmbx/view?usp=drivesdk</v>
      </c>
    </row>
    <row r="7678">
      <c r="A7678" s="15">
        <f>IFERROR(__xludf.DUMMYFUNCTION("""COMPUTED_VALUE"""),45218.0)</f>
        <v>45218</v>
      </c>
      <c r="B7678" s="16" t="str">
        <f>IFERROR(__xludf.DUMMYFUNCTION("""COMPUTED_VALUE"""),"Daniel José sandoval gonzalez")</f>
        <v>Daniel José sandoval gonzalez</v>
      </c>
      <c r="C7678" s="15" t="str">
        <f>IFERROR(__xludf.DUMMYFUNCTION("""COMPUTED_VALUE"""),"BARRANQUILLA")</f>
        <v>BARRANQUILLA</v>
      </c>
      <c r="D7678" s="15" t="str">
        <f>IFERROR(__xludf.DUMMYFUNCTION("""COMPUTED_VALUE"""),"BOGOTÁ")</f>
        <v>BOGOTÁ</v>
      </c>
      <c r="E7678" s="15" t="str">
        <f>IFERROR(__xludf.DUMMYFUNCTION("""COMPUTED_VALUE"""),"Top Spun")</f>
        <v>Top Spun</v>
      </c>
      <c r="F7678" s="17" t="str">
        <f>IFERROR(__xludf.DUMMYFUNCTION("""COMPUTED_VALUE"""),"Calle 104 # 53-49 / Edificio Ziioon Towers / Torre 3 apto 505")</f>
        <v>Calle 104 # 53-49 / Edificio Ziioon Towers / Torre 3 apto 505</v>
      </c>
      <c r="G7678" s="15" t="str">
        <f>IFERROR(__xludf.DUMMYFUNCTION("""COMPUTED_VALUE"""),"Stephanie Correa Cardona")</f>
        <v>Stephanie Correa Cardona</v>
      </c>
      <c r="H7678" s="16">
        <f>IFERROR(__xludf.DUMMYFUNCTION("""COMPUTED_VALUE"""),16391.0)</f>
        <v>16391</v>
      </c>
      <c r="I7678" s="18">
        <f>IFERROR(__xludf.DUMMYFUNCTION("""COMPUTED_VALUE"""),40.0)</f>
        <v>40</v>
      </c>
      <c r="J7678" s="18">
        <f>IFERROR(__xludf.DUMMYFUNCTION("""COMPUTED_VALUE"""),10.0)</f>
        <v>10</v>
      </c>
      <c r="K7678" s="18">
        <f>IFERROR(__xludf.DUMMYFUNCTION("""COMPUTED_VALUE"""),20.0)</f>
        <v>20</v>
      </c>
      <c r="L7678" s="17">
        <f>IFERROR(__xludf.DUMMYFUNCTION("""COMPUTED_VALUE"""),3.13885894E9)</f>
        <v>3138858940</v>
      </c>
      <c r="M7678" s="17"/>
      <c r="N7678" s="17"/>
      <c r="O7678" s="17"/>
      <c r="P7678" s="17" t="b">
        <f>IFERROR(__xludf.DUMMYFUNCTION("""COMPUTED_VALUE"""),FALSE)</f>
        <v>0</v>
      </c>
      <c r="Q7678" s="20" t="str">
        <f>IFERROR(__xludf.DUMMYFUNCTION("""COMPUTED_VALUE"""),"")</f>
        <v/>
      </c>
      <c r="R7678" s="21" t="str">
        <f>IFERROR(__xludf.DUMMYFUNCTION("""COMPUTED_VALUE"""),"https://drive.google.com/file/d/1mVjar5zfOVi3XxzKlw2g8ce0nz6_Pg2M/view?usp=drivesdk")</f>
        <v>https://drive.google.com/file/d/1mVjar5zfOVi3XxzKlw2g8ce0nz6_Pg2M/view?usp=drivesdk</v>
      </c>
    </row>
    <row r="7679">
      <c r="A7679" s="15">
        <f>IFERROR(__xludf.DUMMYFUNCTION("""COMPUTED_VALUE"""),45218.0)</f>
        <v>45218</v>
      </c>
      <c r="B7679" s="16" t="str">
        <f>IFERROR(__xludf.DUMMYFUNCTION("""COMPUTED_VALUE"""),"Daniel José sandoval gonzalez")</f>
        <v>Daniel José sandoval gonzalez</v>
      </c>
      <c r="C7679" s="15" t="str">
        <f>IFERROR(__xludf.DUMMYFUNCTION("""COMPUTED_VALUE"""),"BARRANQUILLA")</f>
        <v>BARRANQUILLA</v>
      </c>
      <c r="D7679" s="15" t="str">
        <f>IFERROR(__xludf.DUMMYFUNCTION("""COMPUTED_VALUE"""),"BOGOTÁ")</f>
        <v>BOGOTÁ</v>
      </c>
      <c r="E7679" s="15" t="str">
        <f>IFERROR(__xludf.DUMMYFUNCTION("""COMPUTED_VALUE"""),"Top Spun")</f>
        <v>Top Spun</v>
      </c>
      <c r="F7679" s="17" t="str">
        <f>IFERROR(__xludf.DUMMYFUNCTION("""COMPUTED_VALUE"""),"Calle 76 # 54-231 / Country club - barranquilla / Centro Histórico")</f>
        <v>Calle 76 # 54-231 / Country club - barranquilla / Centro Histórico</v>
      </c>
      <c r="G7679" s="15" t="str">
        <f>IFERROR(__xludf.DUMMYFUNCTION("""COMPUTED_VALUE"""),"Paola Figueroa")</f>
        <v>Paola Figueroa</v>
      </c>
      <c r="H7679" s="16">
        <f>IFERROR(__xludf.DUMMYFUNCTION("""COMPUTED_VALUE"""),16390.0)</f>
        <v>16390</v>
      </c>
      <c r="I7679" s="18">
        <f>IFERROR(__xludf.DUMMYFUNCTION("""COMPUTED_VALUE"""),40.0)</f>
        <v>40</v>
      </c>
      <c r="J7679" s="18">
        <f>IFERROR(__xludf.DUMMYFUNCTION("""COMPUTED_VALUE"""),10.0)</f>
        <v>10</v>
      </c>
      <c r="K7679" s="18">
        <f>IFERROR(__xludf.DUMMYFUNCTION("""COMPUTED_VALUE"""),20.0)</f>
        <v>20</v>
      </c>
      <c r="L7679" s="17">
        <f>IFERROR(__xludf.DUMMYFUNCTION("""COMPUTED_VALUE"""),3.13885894E9)</f>
        <v>3138858940</v>
      </c>
      <c r="M7679" s="17"/>
      <c r="N7679" s="17"/>
      <c r="O7679" s="17"/>
      <c r="P7679" s="17" t="b">
        <f>IFERROR(__xludf.DUMMYFUNCTION("""COMPUTED_VALUE"""),FALSE)</f>
        <v>0</v>
      </c>
      <c r="Q7679" s="20" t="str">
        <f>IFERROR(__xludf.DUMMYFUNCTION("""COMPUTED_VALUE"""),"")</f>
        <v/>
      </c>
      <c r="R7679" s="21" t="str">
        <f>IFERROR(__xludf.DUMMYFUNCTION("""COMPUTED_VALUE"""),"https://drive.google.com/file/d/1vNz-0P-cwZ22zpCRBKtBnJ49X_AR95uI/view?usp=drivesdk")</f>
        <v>https://drive.google.com/file/d/1vNz-0P-cwZ22zpCRBKtBnJ49X_AR95uI/view?usp=drivesdk</v>
      </c>
    </row>
    <row r="7680">
      <c r="A7680" s="15">
        <f>IFERROR(__xludf.DUMMYFUNCTION("""COMPUTED_VALUE"""),45218.0)</f>
        <v>45218</v>
      </c>
      <c r="B7680" s="16" t="str">
        <f>IFERROR(__xludf.DUMMYFUNCTION("""COMPUTED_VALUE"""),"Daniel José sandoval gonzalez")</f>
        <v>Daniel José sandoval gonzalez</v>
      </c>
      <c r="C7680" s="15" t="str">
        <f>IFERROR(__xludf.DUMMYFUNCTION("""COMPUTED_VALUE"""),"BARRANQUILLA")</f>
        <v>BARRANQUILLA</v>
      </c>
      <c r="D7680" s="15" t="str">
        <f>IFERROR(__xludf.DUMMYFUNCTION("""COMPUTED_VALUE"""),"BOGOTÁ")</f>
        <v>BOGOTÁ</v>
      </c>
      <c r="E7680" s="15" t="str">
        <f>IFERROR(__xludf.DUMMYFUNCTION("""COMPUTED_VALUE"""),"Top Spun")</f>
        <v>Top Spun</v>
      </c>
      <c r="F7680" s="17" t="str">
        <f>IFERROR(__xludf.DUMMYFUNCTION("""COMPUTED_VALUE"""),"Cra 59B# 84-48  / Edificio Vivace / apto 1401")</f>
        <v>Cra 59B# 84-48  / Edificio Vivace / apto 1401</v>
      </c>
      <c r="G7680" s="15" t="str">
        <f>IFERROR(__xludf.DUMMYFUNCTION("""COMPUTED_VALUE"""),"Roxana Iglesias")</f>
        <v>Roxana Iglesias</v>
      </c>
      <c r="H7680" s="16">
        <f>IFERROR(__xludf.DUMMYFUNCTION("""COMPUTED_VALUE"""),16389.0)</f>
        <v>16389</v>
      </c>
      <c r="I7680" s="18">
        <f>IFERROR(__xludf.DUMMYFUNCTION("""COMPUTED_VALUE"""),40.0)</f>
        <v>40</v>
      </c>
      <c r="J7680" s="18">
        <f>IFERROR(__xludf.DUMMYFUNCTION("""COMPUTED_VALUE"""),10.0)</f>
        <v>10</v>
      </c>
      <c r="K7680" s="18">
        <f>IFERROR(__xludf.DUMMYFUNCTION("""COMPUTED_VALUE"""),20.0)</f>
        <v>20</v>
      </c>
      <c r="L7680" s="17">
        <f>IFERROR(__xludf.DUMMYFUNCTION("""COMPUTED_VALUE"""),3.135005418E9)</f>
        <v>3135005418</v>
      </c>
      <c r="M7680" s="17"/>
      <c r="N7680" s="17"/>
      <c r="O7680" s="17"/>
      <c r="P7680" s="17" t="b">
        <f>IFERROR(__xludf.DUMMYFUNCTION("""COMPUTED_VALUE"""),FALSE)</f>
        <v>0</v>
      </c>
      <c r="Q7680" s="20" t="str">
        <f>IFERROR(__xludf.DUMMYFUNCTION("""COMPUTED_VALUE"""),"")</f>
        <v/>
      </c>
      <c r="R7680" s="21" t="str">
        <f>IFERROR(__xludf.DUMMYFUNCTION("""COMPUTED_VALUE"""),"https://drive.google.com/file/d/1vPpbB9SO_xvy2rFD2dbh_V0T73RD8avs/view?usp=drivesdk")</f>
        <v>https://drive.google.com/file/d/1vPpbB9SO_xvy2rFD2dbh_V0T73RD8avs/view?usp=drivesdk</v>
      </c>
    </row>
    <row r="7681">
      <c r="A7681" s="15">
        <f>IFERROR(__xludf.DUMMYFUNCTION("""COMPUTED_VALUE"""),45218.0)</f>
        <v>45218</v>
      </c>
      <c r="B7681" s="16" t="str">
        <f>IFERROR(__xludf.DUMMYFUNCTION("""COMPUTED_VALUE"""),"Daniel José sandoval gonzalez")</f>
        <v>Daniel José sandoval gonzalez</v>
      </c>
      <c r="C7681" s="15" t="str">
        <f>IFERROR(__xludf.DUMMYFUNCTION("""COMPUTED_VALUE"""),"GUARNE")</f>
        <v>GUARNE</v>
      </c>
      <c r="D7681" s="15" t="str">
        <f>IFERROR(__xludf.DUMMYFUNCTION("""COMPUTED_VALUE"""),"BOGOTÁ")</f>
        <v>BOGOTÁ</v>
      </c>
      <c r="E7681" s="15" t="str">
        <f>IFERROR(__xludf.DUMMYFUNCTION("""COMPUTED_VALUE"""),"Asociacion Agropecuaria Juana Maria")</f>
        <v>Asociacion Agropecuaria Juana Maria</v>
      </c>
      <c r="F7681" s="17" t="str">
        <f>IFERROR(__xludf.DUMMYFUNCTION("""COMPUTED_VALUE"""),"Autopista Medellin Bogota Retorno 6 Vereda San Isidro Sector el salado GUARNE ANTIOQUIA / Autopista Medellin Bogota Retorno 6 Vereda San Isidro Sector el salado GUARNE ANTIOQUIA")</f>
        <v>Autopista Medellin Bogota Retorno 6 Vereda San Isidro Sector el salado GUARNE ANTIOQUIA / Autopista Medellin Bogota Retorno 6 Vereda San Isidro Sector el salado GUARNE ANTIOQUIA</v>
      </c>
      <c r="G7681" s="15" t="str">
        <f>IFERROR(__xludf.DUMMYFUNCTION("""COMPUTED_VALUE"""),"Katty Arteaga")</f>
        <v>Katty Arteaga</v>
      </c>
      <c r="H7681" s="16">
        <f>IFERROR(__xludf.DUMMYFUNCTION("""COMPUTED_VALUE"""),16341.0)</f>
        <v>16341</v>
      </c>
      <c r="I7681" s="17"/>
      <c r="J7681" s="17"/>
      <c r="K7681" s="17"/>
      <c r="L7681" s="17">
        <f>IFERROR(__xludf.DUMMYFUNCTION("""COMPUTED_VALUE"""),3.013295248E9)</f>
        <v>3013295248</v>
      </c>
      <c r="M7681" s="17"/>
      <c r="N7681" s="17"/>
      <c r="O7681" s="17"/>
      <c r="P7681" s="17" t="b">
        <f>IFERROR(__xludf.DUMMYFUNCTION("""COMPUTED_VALUE"""),FALSE)</f>
        <v>0</v>
      </c>
      <c r="Q7681" s="20" t="str">
        <f>IFERROR(__xludf.DUMMYFUNCTION("""COMPUTED_VALUE"""),"")</f>
        <v/>
      </c>
      <c r="R7681" s="21" t="str">
        <f>IFERROR(__xludf.DUMMYFUNCTION("""COMPUTED_VALUE"""),"https://drive.google.com/file/d/1QYz87jw43YN-tIKM4AuNEuprnqnbKSAv/view?usp=drivesdk")</f>
        <v>https://drive.google.com/file/d/1QYz87jw43YN-tIKM4AuNEuprnqnbKSAv/view?usp=drivesdk</v>
      </c>
    </row>
    <row r="7682">
      <c r="A7682" s="17" t="str">
        <f>IFERROR(__xludf.DUMMYFUNCTION("""COMPUTED_VALUE"""),"")</f>
        <v/>
      </c>
      <c r="B7682" s="17" t="str">
        <f>IFERROR(__xludf.DUMMYFUNCTION("""COMPUTED_VALUE"""),"")</f>
        <v/>
      </c>
      <c r="C7682" s="17" t="str">
        <f>IFERROR(__xludf.DUMMYFUNCTION("""COMPUTED_VALUE"""),"")</f>
        <v/>
      </c>
      <c r="D7682" s="17" t="str">
        <f>IFERROR(__xludf.DUMMYFUNCTION("""COMPUTED_VALUE"""),"")</f>
        <v/>
      </c>
      <c r="E7682" s="17" t="str">
        <f>IFERROR(__xludf.DUMMYFUNCTION("""COMPUTED_VALUE"""),"")</f>
        <v/>
      </c>
      <c r="F7682" s="17" t="str">
        <f>IFERROR(__xludf.DUMMYFUNCTION("""COMPUTED_VALUE"""),"")</f>
        <v/>
      </c>
      <c r="G7682" s="17" t="str">
        <f>IFERROR(__xludf.DUMMYFUNCTION("""COMPUTED_VALUE"""),"")</f>
        <v/>
      </c>
      <c r="H7682" s="17" t="str">
        <f>IFERROR(__xludf.DUMMYFUNCTION("""COMPUTED_VALUE"""),"")</f>
        <v/>
      </c>
      <c r="I7682" s="17" t="str">
        <f>IFERROR(__xludf.DUMMYFUNCTION("""COMPUTED_VALUE"""),"")</f>
        <v/>
      </c>
      <c r="J7682" s="17" t="str">
        <f>IFERROR(__xludf.DUMMYFUNCTION("""COMPUTED_VALUE"""),"")</f>
        <v/>
      </c>
      <c r="K7682" s="17" t="str">
        <f>IFERROR(__xludf.DUMMYFUNCTION("""COMPUTED_VALUE"""),"")</f>
        <v/>
      </c>
      <c r="L7682" s="17" t="str">
        <f>IFERROR(__xludf.DUMMYFUNCTION("""COMPUTED_VALUE"""),"")</f>
        <v/>
      </c>
      <c r="M7682" s="17" t="str">
        <f>IFERROR(__xludf.DUMMYFUNCTION("""COMPUTED_VALUE"""),"")</f>
        <v/>
      </c>
      <c r="N7682" s="17" t="str">
        <f>IFERROR(__xludf.DUMMYFUNCTION("""COMPUTED_VALUE"""),"")</f>
        <v/>
      </c>
      <c r="O7682" s="17" t="str">
        <f>IFERROR(__xludf.DUMMYFUNCTION("""COMPUTED_VALUE"""),"")</f>
        <v/>
      </c>
      <c r="P7682" s="17" t="str">
        <f>IFERROR(__xludf.DUMMYFUNCTION("""COMPUTED_VALUE"""),"")</f>
        <v/>
      </c>
      <c r="Q7682" s="17" t="str">
        <f>IFERROR(__xludf.DUMMYFUNCTION("""COMPUTED_VALUE"""),"")</f>
        <v/>
      </c>
      <c r="R7682" s="17" t="str">
        <f>IFERROR(__xludf.DUMMYFUNCTION("""COMPUTED_VALUE"""),"")</f>
        <v/>
      </c>
    </row>
    <row r="7683">
      <c r="A7683" s="15">
        <f>IFERROR(__xludf.DUMMYFUNCTION("""COMPUTED_VALUE"""),45218.0)</f>
        <v>45218</v>
      </c>
      <c r="B7683" s="16" t="str">
        <f>IFERROR(__xludf.DUMMYFUNCTION("""COMPUTED_VALUE"""),"Envia")</f>
        <v>Envia</v>
      </c>
      <c r="C7683" s="15" t="str">
        <f>IFERROR(__xludf.DUMMYFUNCTION("""COMPUTED_VALUE"""),"BARRANQUILLA")</f>
        <v>BARRANQUILLA</v>
      </c>
      <c r="D7683" s="15" t="str">
        <f>IFERROR(__xludf.DUMMYFUNCTION("""COMPUTED_VALUE"""),"BOGOTÁ")</f>
        <v>BOGOTÁ</v>
      </c>
      <c r="E7683" s="15" t="str">
        <f>IFERROR(__xludf.DUMMYFUNCTION("""COMPUTED_VALUE"""),"LINA PAOLA RAMIREZ GOMEZ - EVA MAZZITA")</f>
        <v>LINA PAOLA RAMIREZ GOMEZ - EVA MAZZITA</v>
      </c>
      <c r="F7683" s="17" t="str">
        <f>IFERROR(__xludf.DUMMYFUNCTION("""COMPUTED_VALUE"""),"Cra 30#2c-196,  torre 1-1204 / conjunto  River  Place. Barrio Villa Campestre")</f>
        <v>Cra 30#2c-196,  torre 1-1204 / conjunto  River  Place. Barrio Villa Campestre</v>
      </c>
      <c r="G7683" s="15" t="str">
        <f>IFERROR(__xludf.DUMMYFUNCTION("""COMPUTED_VALUE"""),"KAREN PALACIO BAYONA")</f>
        <v>KAREN PALACIO BAYONA</v>
      </c>
      <c r="H7683" s="16">
        <f>IFERROR(__xludf.DUMMYFUNCTION("""COMPUTED_VALUE"""),16394.0)</f>
        <v>16394</v>
      </c>
      <c r="I7683" s="17"/>
      <c r="J7683" s="17"/>
      <c r="K7683" s="17"/>
      <c r="L7683" s="17">
        <f>IFERROR(__xludf.DUMMYFUNCTION("""COMPUTED_VALUE"""),3.174333414E9)</f>
        <v>3174333414</v>
      </c>
      <c r="M7683" s="17"/>
      <c r="N7683" s="17"/>
      <c r="O7683" s="17"/>
      <c r="P7683" s="17" t="b">
        <f>IFERROR(__xludf.DUMMYFUNCTION("""COMPUTED_VALUE"""),FALSE)</f>
        <v>0</v>
      </c>
      <c r="Q7683" s="20" t="str">
        <f>IFERROR(__xludf.DUMMYFUNCTION("""COMPUTED_VALUE"""),"")</f>
        <v/>
      </c>
      <c r="R7683" s="21" t="str">
        <f>IFERROR(__xludf.DUMMYFUNCTION("""COMPUTED_VALUE"""),"https://drive.google.com/file/d/1lq54UiAASyiULkBJeXUDJqiO0m_moZ0o/view?usp=drivesdk")</f>
        <v>https://drive.google.com/file/d/1lq54UiAASyiULkBJeXUDJqiO0m_moZ0o/view?usp=drivesdk</v>
      </c>
    </row>
    <row r="7684">
      <c r="A7684" s="15">
        <f>IFERROR(__xludf.DUMMYFUNCTION("""COMPUTED_VALUE"""),45218.0)</f>
        <v>45218</v>
      </c>
      <c r="B7684" s="16" t="str">
        <f>IFERROR(__xludf.DUMMYFUNCTION("""COMPUTED_VALUE"""),"Envia")</f>
        <v>Envia</v>
      </c>
      <c r="C7684" s="15" t="str">
        <f>IFERROR(__xludf.DUMMYFUNCTION("""COMPUTED_VALUE"""),"BARRANQUILLA")</f>
        <v>BARRANQUILLA</v>
      </c>
      <c r="D7684" s="15" t="str">
        <f>IFERROR(__xludf.DUMMYFUNCTION("""COMPUTED_VALUE"""),"BOGOTÁ")</f>
        <v>BOGOTÁ</v>
      </c>
      <c r="E7684" s="15" t="str">
        <f>IFERROR(__xludf.DUMMYFUNCTION("""COMPUTED_VALUE"""),"Viral Brands")</f>
        <v>Viral Brands</v>
      </c>
      <c r="F7684" s="17" t="str">
        <f>IFERROR(__xludf.DUMMYFUNCTION("""COMPUTED_VALUE"""),"cra 58 # 96-187 / lyd house 98  restaurante maya gaucho / barrio buenavista")</f>
        <v>cra 58 # 96-187 / lyd house 98  restaurante maya gaucho / barrio buenavista</v>
      </c>
      <c r="G7684" s="15" t="str">
        <f>IFERROR(__xludf.DUMMYFUNCTION("""COMPUTED_VALUE"""),"restarurante maya")</f>
        <v>restarurante maya</v>
      </c>
      <c r="H7684" s="16">
        <f>IFERROR(__xludf.DUMMYFUNCTION("""COMPUTED_VALUE"""),16362.0)</f>
        <v>16362</v>
      </c>
      <c r="I7684" s="18">
        <f>IFERROR(__xludf.DUMMYFUNCTION("""COMPUTED_VALUE"""),29.0)</f>
        <v>29</v>
      </c>
      <c r="J7684" s="18">
        <f>IFERROR(__xludf.DUMMYFUNCTION("""COMPUTED_VALUE"""),55.0)</f>
        <v>55</v>
      </c>
      <c r="K7684" s="18">
        <f>IFERROR(__xludf.DUMMYFUNCTION("""COMPUTED_VALUE"""),45.0)</f>
        <v>45</v>
      </c>
      <c r="L7684" s="17">
        <f>IFERROR(__xludf.DUMMYFUNCTION("""COMPUTED_VALUE"""),3.122454394E9)</f>
        <v>3122454394</v>
      </c>
      <c r="M7684" s="17"/>
      <c r="N7684" s="17"/>
      <c r="O7684" s="17"/>
      <c r="P7684" s="17" t="b">
        <f>IFERROR(__xludf.DUMMYFUNCTION("""COMPUTED_VALUE"""),FALSE)</f>
        <v>0</v>
      </c>
      <c r="Q7684" s="20" t="str">
        <f>IFERROR(__xludf.DUMMYFUNCTION("""COMPUTED_VALUE"""),"")</f>
        <v/>
      </c>
      <c r="R7684" s="22" t="str">
        <f>IFERROR(__xludf.DUMMYFUNCTION("""COMPUTED_VALUE"""),"")</f>
        <v/>
      </c>
    </row>
    <row r="7685">
      <c r="A7685" s="15">
        <f>IFERROR(__xludf.DUMMYFUNCTION("""COMPUTED_VALUE"""),45218.0)</f>
        <v>45218</v>
      </c>
      <c r="B7685" s="16" t="str">
        <f>IFERROR(__xludf.DUMMYFUNCTION("""COMPUTED_VALUE"""),"Envia")</f>
        <v>Envia</v>
      </c>
      <c r="C7685" s="15" t="str">
        <f>IFERROR(__xludf.DUMMYFUNCTION("""COMPUTED_VALUE"""),"BOGOTÁ")</f>
        <v>BOGOTÁ</v>
      </c>
      <c r="D7685" s="15" t="str">
        <f>IFERROR(__xludf.DUMMYFUNCTION("""COMPUTED_VALUE"""),"CALI")</f>
        <v>CALI</v>
      </c>
      <c r="E7685" s="15" t="str">
        <f>IFERROR(__xludf.DUMMYFUNCTION("""COMPUTED_VALUE"""),"Natalia Carreño")</f>
        <v>Natalia Carreño</v>
      </c>
      <c r="F7685" s="17" t="str">
        <f>IFERROR(__xludf.DUMMYFUNCTION("""COMPUTED_VALUE"""),"Carrera 27 #70-83 / Casa rosada / Barrio los alcazares")</f>
        <v>Carrera 27 #70-83 / Casa rosada / Barrio los alcazares</v>
      </c>
      <c r="G7685" s="15" t="str">
        <f>IFERROR(__xludf.DUMMYFUNCTION("""COMPUTED_VALUE"""),"Natalia Carreño")</f>
        <v>Natalia Carreño</v>
      </c>
      <c r="H7685" s="16">
        <f>IFERROR(__xludf.DUMMYFUNCTION("""COMPUTED_VALUE"""),16385.0)</f>
        <v>16385</v>
      </c>
      <c r="I7685" s="18">
        <f>IFERROR(__xludf.DUMMYFUNCTION("""COMPUTED_VALUE"""),50.0)</f>
        <v>50</v>
      </c>
      <c r="J7685" s="18">
        <f>IFERROR(__xludf.DUMMYFUNCTION("""COMPUTED_VALUE"""),50.0)</f>
        <v>50</v>
      </c>
      <c r="K7685" s="18">
        <f>IFERROR(__xludf.DUMMYFUNCTION("""COMPUTED_VALUE"""),60.0)</f>
        <v>60</v>
      </c>
      <c r="L7685" s="17">
        <f>IFERROR(__xludf.DUMMYFUNCTION("""COMPUTED_VALUE"""),3.11561131E9)</f>
        <v>3115611310</v>
      </c>
      <c r="M7685" s="17"/>
      <c r="N7685" s="17"/>
      <c r="O7685" s="17"/>
      <c r="P7685" s="17" t="b">
        <f>IFERROR(__xludf.DUMMYFUNCTION("""COMPUTED_VALUE"""),FALSE)</f>
        <v>0</v>
      </c>
      <c r="Q7685" s="20" t="str">
        <f>IFERROR(__xludf.DUMMYFUNCTION("""COMPUTED_VALUE"""),"")</f>
        <v/>
      </c>
      <c r="R7685" s="21" t="str">
        <f>IFERROR(__xludf.DUMMYFUNCTION("""COMPUTED_VALUE"""),"https://drive.google.com/file/d/1_RAzcGUXDFtDlSoa7OfGjQ7HWBS-gA0l/view?usp=drivesdk")</f>
        <v>https://drive.google.com/file/d/1_RAzcGUXDFtDlSoa7OfGjQ7HWBS-gA0l/view?usp=drivesdk</v>
      </c>
    </row>
    <row r="7686">
      <c r="A7686" s="15">
        <f>IFERROR(__xludf.DUMMYFUNCTION("""COMPUTED_VALUE"""),45218.0)</f>
        <v>45218</v>
      </c>
      <c r="B7686" s="16" t="str">
        <f>IFERROR(__xludf.DUMMYFUNCTION("""COMPUTED_VALUE"""),"Envia")</f>
        <v>Envia</v>
      </c>
      <c r="C7686" s="15" t="str">
        <f>IFERROR(__xludf.DUMMYFUNCTION("""COMPUTED_VALUE"""),"BOGOTÁ")</f>
        <v>BOGOTÁ</v>
      </c>
      <c r="D7686" s="15" t="str">
        <f>IFERROR(__xludf.DUMMYFUNCTION("""COMPUTED_VALUE"""),"MEDELLÍN")</f>
        <v>MEDELLÍN</v>
      </c>
      <c r="E7686" s="15" t="str">
        <f>IFERROR(__xludf.DUMMYFUNCTION("""COMPUTED_VALUE"""),"Terravocado")</f>
        <v>Terravocado</v>
      </c>
      <c r="F7686" s="17" t="str">
        <f>IFERROR(__xludf.DUMMYFUNCTION("""COMPUTED_VALUE"""),"CRA 20 # 168 - 32 / BOGOTA  / BOGOTA")</f>
        <v>CRA 20 # 168 - 32 / BOGOTA  / BOGOTA</v>
      </c>
      <c r="G7686" s="15" t="str">
        <f>IFERROR(__xludf.DUMMYFUNCTION("""COMPUTED_VALUE"""),"BUKOI SAS")</f>
        <v>BUKOI SAS</v>
      </c>
      <c r="H7686" s="16">
        <f>IFERROR(__xludf.DUMMYFUNCTION("""COMPUTED_VALUE"""),16445.0)</f>
        <v>16445</v>
      </c>
      <c r="I7686" s="18">
        <f>IFERROR(__xludf.DUMMYFUNCTION("""COMPUTED_VALUE"""),20.0)</f>
        <v>20</v>
      </c>
      <c r="J7686" s="18">
        <f>IFERROR(__xludf.DUMMYFUNCTION("""COMPUTED_VALUE"""),24.0)</f>
        <v>24</v>
      </c>
      <c r="K7686" s="18">
        <f>IFERROR(__xludf.DUMMYFUNCTION("""COMPUTED_VALUE"""),34.0)</f>
        <v>34</v>
      </c>
      <c r="L7686" s="17">
        <f>IFERROR(__xludf.DUMMYFUNCTION("""COMPUTED_VALUE"""),3.163816691E9)</f>
        <v>3163816691</v>
      </c>
      <c r="M7686" s="17"/>
      <c r="N7686" s="17"/>
      <c r="O7686" s="17"/>
      <c r="P7686" s="17" t="b">
        <f>IFERROR(__xludf.DUMMYFUNCTION("""COMPUTED_VALUE"""),FALSE)</f>
        <v>0</v>
      </c>
      <c r="Q7686" s="20" t="str">
        <f>IFERROR(__xludf.DUMMYFUNCTION("""COMPUTED_VALUE"""),"")</f>
        <v/>
      </c>
      <c r="R7686" s="21" t="str">
        <f>IFERROR(__xludf.DUMMYFUNCTION("""COMPUTED_VALUE"""),"https://drive.google.com/file/d/1St1j5EGetZWgcjtBEOKHo6ZPGTE5o-5s/view?usp=drivesdk")</f>
        <v>https://drive.google.com/file/d/1St1j5EGetZWgcjtBEOKHo6ZPGTE5o-5s/view?usp=drivesdk</v>
      </c>
    </row>
    <row r="7687">
      <c r="A7687" s="15">
        <f>IFERROR(__xludf.DUMMYFUNCTION("""COMPUTED_VALUE"""),45218.0)</f>
        <v>45218</v>
      </c>
      <c r="B7687" s="16" t="str">
        <f>IFERROR(__xludf.DUMMYFUNCTION("""COMPUTED_VALUE"""),"Envia")</f>
        <v>Envia</v>
      </c>
      <c r="C7687" s="15" t="str">
        <f>IFERROR(__xludf.DUMMYFUNCTION("""COMPUTED_VALUE"""),"CALI")</f>
        <v>CALI</v>
      </c>
      <c r="D7687" s="15" t="str">
        <f>IFERROR(__xludf.DUMMYFUNCTION("""COMPUTED_VALUE"""),"MEDELLÍN")</f>
        <v>MEDELLÍN</v>
      </c>
      <c r="E7687" s="15" t="str">
        <f>IFERROR(__xludf.DUMMYFUNCTION("""COMPUTED_VALUE"""),"Baby Chef")</f>
        <v>Baby Chef</v>
      </c>
      <c r="F7687" s="17" t="str">
        <f>IFERROR(__xludf.DUMMYFUNCTION("""COMPUTED_VALUE"""),"Cra 103 no 12 c-50 casa A3  Barrio: Ciudad Jardin / . / .")</f>
        <v>Cra 103 no 12 c-50 casa A3  Barrio: Ciudad Jardin / . / .</v>
      </c>
      <c r="G7687" s="15" t="str">
        <f>IFERROR(__xludf.DUMMYFUNCTION("""COMPUTED_VALUE"""),"Lina Marcela Velásquez Tafur")</f>
        <v>Lina Marcela Velásquez Tafur</v>
      </c>
      <c r="H7687" s="16">
        <f>IFERROR(__xludf.DUMMYFUNCTION("""COMPUTED_VALUE"""),16407.0)</f>
        <v>16407</v>
      </c>
      <c r="I7687" s="18">
        <f>IFERROR(__xludf.DUMMYFUNCTION("""COMPUTED_VALUE"""),33.0)</f>
        <v>33</v>
      </c>
      <c r="J7687" s="18">
        <f>IFERROR(__xludf.DUMMYFUNCTION("""COMPUTED_VALUE"""),24.0)</f>
        <v>24</v>
      </c>
      <c r="K7687" s="18">
        <f>IFERROR(__xludf.DUMMYFUNCTION("""COMPUTED_VALUE"""),11.0)</f>
        <v>11</v>
      </c>
      <c r="L7687" s="17">
        <f>IFERROR(__xludf.DUMMYFUNCTION("""COMPUTED_VALUE"""),3.00613134E9)</f>
        <v>3006131340</v>
      </c>
      <c r="M7687" s="17"/>
      <c r="N7687" s="17"/>
      <c r="O7687" s="17"/>
      <c r="P7687" s="17" t="b">
        <f>IFERROR(__xludf.DUMMYFUNCTION("""COMPUTED_VALUE"""),FALSE)</f>
        <v>0</v>
      </c>
      <c r="Q7687" s="20" t="str">
        <f>IFERROR(__xludf.DUMMYFUNCTION("""COMPUTED_VALUE"""),"")</f>
        <v/>
      </c>
      <c r="R7687" s="21" t="str">
        <f>IFERROR(__xludf.DUMMYFUNCTION("""COMPUTED_VALUE"""),"https://drive.google.com/file/d/1BbNsSrsrzSQKSIetQaFXw-u-5brpOnxF/view?usp=drivesdk")</f>
        <v>https://drive.google.com/file/d/1BbNsSrsrzSQKSIetQaFXw-u-5brpOnxF/view?usp=drivesdk</v>
      </c>
    </row>
    <row r="7688">
      <c r="A7688" s="15">
        <f>IFERROR(__xludf.DUMMYFUNCTION("""COMPUTED_VALUE"""),45218.0)</f>
        <v>45218</v>
      </c>
      <c r="B7688" s="16" t="str">
        <f>IFERROR(__xludf.DUMMYFUNCTION("""COMPUTED_VALUE"""),"Envia")</f>
        <v>Envia</v>
      </c>
      <c r="C7688" s="15" t="str">
        <f>IFERROR(__xludf.DUMMYFUNCTION("""COMPUTED_VALUE"""),"CARTAGENA")</f>
        <v>CARTAGENA</v>
      </c>
      <c r="D7688" s="15" t="str">
        <f>IFERROR(__xludf.DUMMYFUNCTION("""COMPUTED_VALUE"""),"BOGOTÁ")</f>
        <v>BOGOTÁ</v>
      </c>
      <c r="E7688" s="15" t="str">
        <f>IFERROR(__xludf.DUMMYFUNCTION("""COMPUTED_VALUE"""),"Mochi")</f>
        <v>Mochi</v>
      </c>
      <c r="F7688" s="17" t="str">
        <f>IFERROR(__xludf.DUMMYFUNCTION("""COMPUTED_VALUE"""),"Cra 11 #39/21 / Centro comercial  / San Diego")</f>
        <v>Cra 11 #39/21 / Centro comercial  / San Diego</v>
      </c>
      <c r="G7688" s="15" t="str">
        <f>IFERROR(__xludf.DUMMYFUNCTION("""COMPUTED_VALUE"""),"Maria Camila Giraldo")</f>
        <v>Maria Camila Giraldo</v>
      </c>
      <c r="H7688" s="16">
        <f>IFERROR(__xludf.DUMMYFUNCTION("""COMPUTED_VALUE"""),16393.0)</f>
        <v>16393</v>
      </c>
      <c r="I7688" s="18" t="str">
        <f>IFERROR(__xludf.DUMMYFUNCTION("""COMPUTED_VALUE"""),"52.5")</f>
        <v>52.5</v>
      </c>
      <c r="J7688" s="18">
        <f>IFERROR(__xludf.DUMMYFUNCTION("""COMPUTED_VALUE"""),44.0)</f>
        <v>44</v>
      </c>
      <c r="K7688" s="18">
        <f>IFERROR(__xludf.DUMMYFUNCTION("""COMPUTED_VALUE"""),55.0)</f>
        <v>55</v>
      </c>
      <c r="L7688" s="17">
        <f>IFERROR(__xludf.DUMMYFUNCTION("""COMPUTED_VALUE"""),3.116026252E9)</f>
        <v>3116026252</v>
      </c>
      <c r="M7688" s="17"/>
      <c r="N7688" s="17"/>
      <c r="O7688" s="17"/>
      <c r="P7688" s="17" t="b">
        <f>IFERROR(__xludf.DUMMYFUNCTION("""COMPUTED_VALUE"""),FALSE)</f>
        <v>0</v>
      </c>
      <c r="Q7688" s="20" t="str">
        <f>IFERROR(__xludf.DUMMYFUNCTION("""COMPUTED_VALUE"""),"")</f>
        <v/>
      </c>
      <c r="R7688" s="21" t="str">
        <f>IFERROR(__xludf.DUMMYFUNCTION("""COMPUTED_VALUE"""),"https://drive.google.com/file/d/1sCWthA-MYdYru-cgW1LzVxoI-f9CZ_Aq/view?usp=drivesdk")</f>
        <v>https://drive.google.com/file/d/1sCWthA-MYdYru-cgW1LzVxoI-f9CZ_Aq/view?usp=drivesdk</v>
      </c>
    </row>
    <row r="7689">
      <c r="A7689" s="15">
        <f>IFERROR(__xludf.DUMMYFUNCTION("""COMPUTED_VALUE"""),45218.0)</f>
        <v>45218</v>
      </c>
      <c r="B7689" s="16" t="str">
        <f>IFERROR(__xludf.DUMMYFUNCTION("""COMPUTED_VALUE"""),"Envia")</f>
        <v>Envia</v>
      </c>
      <c r="C7689" s="15" t="str">
        <f>IFERROR(__xludf.DUMMYFUNCTION("""COMPUTED_VALUE"""),"CARTAGENA")</f>
        <v>CARTAGENA</v>
      </c>
      <c r="D7689" s="15" t="str">
        <f>IFERROR(__xludf.DUMMYFUNCTION("""COMPUTED_VALUE"""),"BOGOTÁ")</f>
        <v>BOGOTÁ</v>
      </c>
      <c r="E7689" s="15" t="str">
        <f>IFERROR(__xludf.DUMMYFUNCTION("""COMPUTED_VALUE"""),"Spirulina Fresca")</f>
        <v>Spirulina Fresca</v>
      </c>
      <c r="F7689" s="17" t="str">
        <f>IFERROR(__xludf.DUMMYFUNCTION("""COMPUTED_VALUE"""),"CRA 4 #46-42 / EDIFICIO LAGUNA DEL CABRERO APTO 1505L. Barrio MARBELLA / Marbella")</f>
        <v>CRA 4 #46-42 / EDIFICIO LAGUNA DEL CABRERO APTO 1505L. Barrio MARBELLA / Marbella</v>
      </c>
      <c r="G7689" s="15" t="str">
        <f>IFERROR(__xludf.DUMMYFUNCTION("""COMPUTED_VALUE"""),"Abdon Ramirez")</f>
        <v>Abdon Ramirez</v>
      </c>
      <c r="H7689" s="16">
        <f>IFERROR(__xludf.DUMMYFUNCTION("""COMPUTED_VALUE"""),16305.0)</f>
        <v>16305</v>
      </c>
      <c r="I7689" s="18">
        <f>IFERROR(__xludf.DUMMYFUNCTION("""COMPUTED_VALUE"""),5.0)</f>
        <v>5</v>
      </c>
      <c r="J7689" s="18">
        <f>IFERROR(__xludf.DUMMYFUNCTION("""COMPUTED_VALUE"""),5.0)</f>
        <v>5</v>
      </c>
      <c r="K7689" s="18">
        <f>IFERROR(__xludf.DUMMYFUNCTION("""COMPUTED_VALUE"""),22.0)</f>
        <v>22</v>
      </c>
      <c r="L7689" s="17">
        <f>IFERROR(__xludf.DUMMYFUNCTION("""COMPUTED_VALUE"""),3.008099663E9)</f>
        <v>3008099663</v>
      </c>
      <c r="M7689" s="17"/>
      <c r="N7689" s="17"/>
      <c r="O7689" s="17"/>
      <c r="P7689" s="17" t="b">
        <f>IFERROR(__xludf.DUMMYFUNCTION("""COMPUTED_VALUE"""),FALSE)</f>
        <v>0</v>
      </c>
      <c r="Q7689" s="20" t="str">
        <f>IFERROR(__xludf.DUMMYFUNCTION("""COMPUTED_VALUE"""),"")</f>
        <v/>
      </c>
      <c r="R7689" s="22" t="str">
        <f>IFERROR(__xludf.DUMMYFUNCTION("""COMPUTED_VALUE"""),"")</f>
        <v/>
      </c>
    </row>
    <row r="7690">
      <c r="A7690" s="15">
        <f>IFERROR(__xludf.DUMMYFUNCTION("""COMPUTED_VALUE"""),45218.0)</f>
        <v>45218</v>
      </c>
      <c r="B7690" s="16" t="str">
        <f>IFERROR(__xludf.DUMMYFUNCTION("""COMPUTED_VALUE"""),"Envia")</f>
        <v>Envia</v>
      </c>
      <c r="C7690" s="15" t="str">
        <f>IFERROR(__xludf.DUMMYFUNCTION("""COMPUTED_VALUE"""),"CARTAGENA")</f>
        <v>CARTAGENA</v>
      </c>
      <c r="D7690" s="15" t="str">
        <f>IFERROR(__xludf.DUMMYFUNCTION("""COMPUTED_VALUE"""),"MEDELLÍN")</f>
        <v>MEDELLÍN</v>
      </c>
      <c r="E7690" s="15" t="str">
        <f>IFERROR(__xludf.DUMMYFUNCTION("""COMPUTED_VALUE"""),"Rambla")</f>
        <v>Rambla</v>
      </c>
      <c r="F7690" s="17" t="str">
        <f>IFERROR(__xludf.DUMMYFUNCTION("""COMPUTED_VALUE"""),"CALLE 6 #20 CC LA ESTANCIA LC 1 10 BRR  CASTILLO GRANDE  / - / -")</f>
        <v>CALLE 6 #20 CC LA ESTANCIA LC 1 10 BRR  CASTILLO GRANDE  / - / -</v>
      </c>
      <c r="G7690" s="15" t="str">
        <f>IFERROR(__xludf.DUMMYFUNCTION("""COMPUTED_VALUE"""),"Cocofit Mercado Saludable S.A.S")</f>
        <v>Cocofit Mercado Saludable S.A.S</v>
      </c>
      <c r="H7690" s="16">
        <f>IFERROR(__xludf.DUMMYFUNCTION("""COMPUTED_VALUE"""),16372.0)</f>
        <v>16372</v>
      </c>
      <c r="I7690" s="18">
        <f>IFERROR(__xludf.DUMMYFUNCTION("""COMPUTED_VALUE"""),24.0)</f>
        <v>24</v>
      </c>
      <c r="J7690" s="18">
        <f>IFERROR(__xludf.DUMMYFUNCTION("""COMPUTED_VALUE"""),24.0)</f>
        <v>24</v>
      </c>
      <c r="K7690" s="18">
        <f>IFERROR(__xludf.DUMMYFUNCTION("""COMPUTED_VALUE"""),24.0)</f>
        <v>24</v>
      </c>
      <c r="L7690" s="17">
        <f>IFERROR(__xludf.DUMMYFUNCTION("""COMPUTED_VALUE"""),3.135781119E9)</f>
        <v>3135781119</v>
      </c>
      <c r="M7690" s="17"/>
      <c r="N7690" s="17"/>
      <c r="O7690" s="17"/>
      <c r="P7690" s="17" t="b">
        <f>IFERROR(__xludf.DUMMYFUNCTION("""COMPUTED_VALUE"""),FALSE)</f>
        <v>0</v>
      </c>
      <c r="Q7690" s="20" t="str">
        <f>IFERROR(__xludf.DUMMYFUNCTION("""COMPUTED_VALUE"""),"")</f>
        <v/>
      </c>
      <c r="R7690" s="22" t="str">
        <f>IFERROR(__xludf.DUMMYFUNCTION("""COMPUTED_VALUE"""),"")</f>
        <v/>
      </c>
    </row>
    <row r="7691">
      <c r="A7691" s="15">
        <f>IFERROR(__xludf.DUMMYFUNCTION("""COMPUTED_VALUE"""),45218.0)</f>
        <v>45218</v>
      </c>
      <c r="B7691" s="16" t="str">
        <f>IFERROR(__xludf.DUMMYFUNCTION("""COMPUTED_VALUE"""),"Envia")</f>
        <v>Envia</v>
      </c>
      <c r="C7691" s="15" t="str">
        <f>IFERROR(__xludf.DUMMYFUNCTION("""COMPUTED_VALUE"""),"MONTERIA")</f>
        <v>MONTERIA</v>
      </c>
      <c r="D7691" s="15" t="str">
        <f>IFERROR(__xludf.DUMMYFUNCTION("""COMPUTED_VALUE"""),"BOGOTÁ")</f>
        <v>BOGOTÁ</v>
      </c>
      <c r="E7691" s="15" t="str">
        <f>IFERROR(__xludf.DUMMYFUNCTION("""COMPUTED_VALUE"""),"Top Spun")</f>
        <v>Top Spun</v>
      </c>
      <c r="F7691" s="17" t="str">
        <f>IFERROR(__xludf.DUMMYFUNCTION("""COMPUTED_VALUE"""),"calle 73 #3-106 / edificio Márquez de sevilla / apto 701")</f>
        <v>calle 73 #3-106 / edificio Márquez de sevilla / apto 701</v>
      </c>
      <c r="G7691" s="15" t="str">
        <f>IFERROR(__xludf.DUMMYFUNCTION("""COMPUTED_VALUE"""),"Yuliett Andrea Nova Peralta")</f>
        <v>Yuliett Andrea Nova Peralta</v>
      </c>
      <c r="H7691" s="16">
        <f>IFERROR(__xludf.DUMMYFUNCTION("""COMPUTED_VALUE"""),16286.0)</f>
        <v>16286</v>
      </c>
      <c r="I7691" s="18">
        <f>IFERROR(__xludf.DUMMYFUNCTION("""COMPUTED_VALUE"""),20.0)</f>
        <v>20</v>
      </c>
      <c r="J7691" s="18">
        <f>IFERROR(__xludf.DUMMYFUNCTION("""COMPUTED_VALUE"""),10.0)</f>
        <v>10</v>
      </c>
      <c r="K7691" s="18">
        <f>IFERROR(__xludf.DUMMYFUNCTION("""COMPUTED_VALUE"""),40.0)</f>
        <v>40</v>
      </c>
      <c r="L7691" s="17">
        <f>IFERROR(__xludf.DUMMYFUNCTION("""COMPUTED_VALUE"""),3.008469907E9)</f>
        <v>3008469907</v>
      </c>
      <c r="M7691" s="17"/>
      <c r="N7691" s="17"/>
      <c r="O7691" s="17"/>
      <c r="P7691" s="17" t="b">
        <f>IFERROR(__xludf.DUMMYFUNCTION("""COMPUTED_VALUE"""),FALSE)</f>
        <v>0</v>
      </c>
      <c r="Q7691" s="20" t="str">
        <f>IFERROR(__xludf.DUMMYFUNCTION("""COMPUTED_VALUE"""),"")</f>
        <v/>
      </c>
      <c r="R7691" s="21" t="str">
        <f>IFERROR(__xludf.DUMMYFUNCTION("""COMPUTED_VALUE"""),"https://drive.google.com/file/d/1hGIBtO2ra6JTX7lDjA33szCLvroTU-v9/view?usp=drivesdk")</f>
        <v>https://drive.google.com/file/d/1hGIBtO2ra6JTX7lDjA33szCLvroTU-v9/view?usp=drivesdk</v>
      </c>
    </row>
    <row r="7692">
      <c r="A7692" s="15">
        <f>IFERROR(__xludf.DUMMYFUNCTION("""COMPUTED_VALUE"""),45218.0)</f>
        <v>45218</v>
      </c>
      <c r="B7692" s="16" t="str">
        <f>IFERROR(__xludf.DUMMYFUNCTION("""COMPUTED_VALUE"""),"Envia")</f>
        <v>Envia</v>
      </c>
      <c r="C7692" s="15" t="str">
        <f>IFERROR(__xludf.DUMMYFUNCTION("""COMPUTED_VALUE"""),"NEIVA")</f>
        <v>NEIVA</v>
      </c>
      <c r="D7692" s="15" t="str">
        <f>IFERROR(__xludf.DUMMYFUNCTION("""COMPUTED_VALUE"""),"MEDELLÍN")</f>
        <v>MEDELLÍN</v>
      </c>
      <c r="E7692" s="15" t="str">
        <f>IFERROR(__xludf.DUMMYFUNCTION("""COMPUTED_VALUE"""),"Baby Chef")</f>
        <v>Baby Chef</v>
      </c>
      <c r="F7692" s="17" t="str">
        <f>IFERROR(__xludf.DUMMYFUNCTION("""COMPUTED_VALUE"""),"CALLE 60 # 22-18 / . / .")</f>
        <v>CALLE 60 # 22-18 / . / .</v>
      </c>
      <c r="G7692" s="15" t="str">
        <f>IFERROR(__xludf.DUMMYFUNCTION("""COMPUTED_VALUE"""),"Liceth Calderón")</f>
        <v>Liceth Calderón</v>
      </c>
      <c r="H7692" s="16">
        <f>IFERROR(__xludf.DUMMYFUNCTION("""COMPUTED_VALUE"""),16336.0)</f>
        <v>16336</v>
      </c>
      <c r="I7692" s="18">
        <f>IFERROR(__xludf.DUMMYFUNCTION("""COMPUTED_VALUE"""),9.0)</f>
        <v>9</v>
      </c>
      <c r="J7692" s="18">
        <f>IFERROR(__xludf.DUMMYFUNCTION("""COMPUTED_VALUE"""),19.0)</f>
        <v>19</v>
      </c>
      <c r="K7692" s="18">
        <f>IFERROR(__xludf.DUMMYFUNCTION("""COMPUTED_VALUE"""),35.0)</f>
        <v>35</v>
      </c>
      <c r="L7692" s="17">
        <f>IFERROR(__xludf.DUMMYFUNCTION("""COMPUTED_VALUE"""),3.112846194E9)</f>
        <v>3112846194</v>
      </c>
      <c r="M7692" s="17"/>
      <c r="N7692" s="17"/>
      <c r="O7692" s="17"/>
      <c r="P7692" s="17" t="b">
        <f>IFERROR(__xludf.DUMMYFUNCTION("""COMPUTED_VALUE"""),FALSE)</f>
        <v>0</v>
      </c>
      <c r="Q7692" s="20" t="str">
        <f>IFERROR(__xludf.DUMMYFUNCTION("""COMPUTED_VALUE"""),"")</f>
        <v/>
      </c>
      <c r="R7692" s="21" t="str">
        <f>IFERROR(__xludf.DUMMYFUNCTION("""COMPUTED_VALUE"""),"https://drive.google.com/file/d/16T3ZMQf5nOKv8eypmqVHOvZP_b6KDxtj/view?usp=drivesdk")</f>
        <v>https://drive.google.com/file/d/16T3ZMQf5nOKv8eypmqVHOvZP_b6KDxtj/view?usp=drivesdk</v>
      </c>
    </row>
    <row r="7693">
      <c r="A7693" s="15">
        <f>IFERROR(__xludf.DUMMYFUNCTION("""COMPUTED_VALUE"""),45218.0)</f>
        <v>45218</v>
      </c>
      <c r="B7693" s="16" t="str">
        <f>IFERROR(__xludf.DUMMYFUNCTION("""COMPUTED_VALUE"""),"Envia")</f>
        <v>Envia</v>
      </c>
      <c r="C7693" s="15" t="str">
        <f>IFERROR(__xludf.DUMMYFUNCTION("""COMPUTED_VALUE"""),"NEIVA")</f>
        <v>NEIVA</v>
      </c>
      <c r="D7693" s="15" t="str">
        <f>IFERROR(__xludf.DUMMYFUNCTION("""COMPUTED_VALUE"""),"MEDELLÍN")</f>
        <v>MEDELLÍN</v>
      </c>
      <c r="E7693" s="15" t="str">
        <f>IFERROR(__xludf.DUMMYFUNCTION("""COMPUTED_VALUE"""),"Baby Chef")</f>
        <v>Baby Chef</v>
      </c>
      <c r="F7693" s="17" t="str">
        <f>IFERROR(__xludf.DUMMYFUNCTION("""COMPUTED_VALUE"""),"Calle 8 # 100-102 casa 112 conjunto altos de la Pradera  / . / .")</f>
        <v>Calle 8 # 100-102 casa 112 conjunto altos de la Pradera  / . / .</v>
      </c>
      <c r="G7693" s="15" t="str">
        <f>IFERROR(__xludf.DUMMYFUNCTION("""COMPUTED_VALUE"""),"Lucy Rojas")</f>
        <v>Lucy Rojas</v>
      </c>
      <c r="H7693" s="16">
        <f>IFERROR(__xludf.DUMMYFUNCTION("""COMPUTED_VALUE"""),16337.0)</f>
        <v>16337</v>
      </c>
      <c r="I7693" s="18">
        <f>IFERROR(__xludf.DUMMYFUNCTION("""COMPUTED_VALUE"""),7.0)</f>
        <v>7</v>
      </c>
      <c r="J7693" s="18">
        <f>IFERROR(__xludf.DUMMYFUNCTION("""COMPUTED_VALUE"""),24.0)</f>
        <v>24</v>
      </c>
      <c r="K7693" s="18">
        <f>IFERROR(__xludf.DUMMYFUNCTION("""COMPUTED_VALUE"""),30.0)</f>
        <v>30</v>
      </c>
      <c r="L7693" s="17">
        <f>IFERROR(__xludf.DUMMYFUNCTION("""COMPUTED_VALUE"""),3.164736141E9)</f>
        <v>3164736141</v>
      </c>
      <c r="M7693" s="17"/>
      <c r="N7693" s="17"/>
      <c r="O7693" s="17"/>
      <c r="P7693" s="17" t="b">
        <f>IFERROR(__xludf.DUMMYFUNCTION("""COMPUTED_VALUE"""),TRUE)</f>
        <v>1</v>
      </c>
      <c r="Q7693" s="20">
        <f>IFERROR(__xludf.DUMMYFUNCTION("""COMPUTED_VALUE"""),45221.248607581016)</f>
        <v>45221.24861</v>
      </c>
      <c r="R7693" s="21" t="str">
        <f>IFERROR(__xludf.DUMMYFUNCTION("""COMPUTED_VALUE"""),"https://drive.google.com/file/d/1tf0vOZ2gC7qomhYbYWpc0l1UALGdqeBb/view?usp=drivesdk")</f>
        <v>https://drive.google.com/file/d/1tf0vOZ2gC7qomhYbYWpc0l1UALGdqeBb/view?usp=drivesdk</v>
      </c>
    </row>
    <row r="7694">
      <c r="A7694" s="15">
        <f>IFERROR(__xludf.DUMMYFUNCTION("""COMPUTED_VALUE"""),45218.0)</f>
        <v>45218</v>
      </c>
      <c r="B7694" s="16" t="str">
        <f>IFERROR(__xludf.DUMMYFUNCTION("""COMPUTED_VALUE"""),"Envia")</f>
        <v>Envia</v>
      </c>
      <c r="C7694" s="15" t="str">
        <f>IFERROR(__xludf.DUMMYFUNCTION("""COMPUTED_VALUE"""),"OTRO")</f>
        <v>OTRO</v>
      </c>
      <c r="D7694" s="15" t="str">
        <f>IFERROR(__xludf.DUMMYFUNCTION("""COMPUTED_VALUE"""),"MEDELLÍN")</f>
        <v>MEDELLÍN</v>
      </c>
      <c r="E7694" s="15" t="str">
        <f>IFERROR(__xludf.DUMMYFUNCTION("""COMPUTED_VALUE"""),"Baby Chef")</f>
        <v>Baby Chef</v>
      </c>
      <c r="F7694" s="17" t="str">
        <f>IFERROR(__xludf.DUMMYFUNCTION("""COMPUTED_VALUE"""),"Calle24a # 12- 51 primer piso Araguaney / . / .")</f>
        <v>Calle24a # 12- 51 primer piso Araguaney / . / .</v>
      </c>
      <c r="G7694" s="15" t="str">
        <f>IFERROR(__xludf.DUMMYFUNCTION("""COMPUTED_VALUE"""),"Xiomara alejandra bernal castillo")</f>
        <v>Xiomara alejandra bernal castillo</v>
      </c>
      <c r="H7694" s="16">
        <f>IFERROR(__xludf.DUMMYFUNCTION("""COMPUTED_VALUE"""),16366.0)</f>
        <v>16366</v>
      </c>
      <c r="I7694" s="18">
        <f>IFERROR(__xludf.DUMMYFUNCTION("""COMPUTED_VALUE"""),7.0)</f>
        <v>7</v>
      </c>
      <c r="J7694" s="18">
        <f>IFERROR(__xludf.DUMMYFUNCTION("""COMPUTED_VALUE"""),21.0)</f>
        <v>21</v>
      </c>
      <c r="K7694" s="18">
        <f>IFERROR(__xludf.DUMMYFUNCTION("""COMPUTED_VALUE"""),30.0)</f>
        <v>30</v>
      </c>
      <c r="L7694" s="17">
        <f>IFERROR(__xludf.DUMMYFUNCTION("""COMPUTED_VALUE"""),3.108007025E9)</f>
        <v>3108007025</v>
      </c>
      <c r="M7694" s="17"/>
      <c r="N7694" s="17"/>
      <c r="O7694" s="17"/>
      <c r="P7694" s="17" t="b">
        <f>IFERROR(__xludf.DUMMYFUNCTION("""COMPUTED_VALUE"""),FALSE)</f>
        <v>0</v>
      </c>
      <c r="Q7694" s="20" t="str">
        <f>IFERROR(__xludf.DUMMYFUNCTION("""COMPUTED_VALUE"""),"")</f>
        <v/>
      </c>
      <c r="R7694" s="21" t="str">
        <f>IFERROR(__xludf.DUMMYFUNCTION("""COMPUTED_VALUE"""),"https://drive.google.com/file/d/1pTco3fHSWx2VA1wMI6uuDU6UBKY4t-a2/view?usp=drivesdk")</f>
        <v>https://drive.google.com/file/d/1pTco3fHSWx2VA1wMI6uuDU6UBKY4t-a2/view?usp=drivesdk</v>
      </c>
    </row>
    <row r="7695">
      <c r="A7695" s="15">
        <f>IFERROR(__xludf.DUMMYFUNCTION("""COMPUTED_VALUE"""),45218.0)</f>
        <v>45218</v>
      </c>
      <c r="B7695" s="16" t="str">
        <f>IFERROR(__xludf.DUMMYFUNCTION("""COMPUTED_VALUE"""),"Envia")</f>
        <v>Envia</v>
      </c>
      <c r="C7695" s="15" t="str">
        <f>IFERROR(__xludf.DUMMYFUNCTION("""COMPUTED_VALUE"""),"SANTA MARTA")</f>
        <v>SANTA MARTA</v>
      </c>
      <c r="D7695" s="15" t="str">
        <f>IFERROR(__xludf.DUMMYFUNCTION("""COMPUTED_VALUE"""),"BOGOTÁ")</f>
        <v>BOGOTÁ</v>
      </c>
      <c r="E7695" s="15" t="str">
        <f>IFERROR(__xludf.DUMMYFUNCTION("""COMPUTED_VALUE"""),"Instinto alimento vital")</f>
        <v>Instinto alimento vital</v>
      </c>
      <c r="F7695" s="17" t="str">
        <f>IFERROR(__xludf.DUMMYFUNCTION("""COMPUTED_VALUE"""),"CR 2 # 16-28 / CASA 10")</f>
        <v>CR 2 # 16-28 / CASA 10</v>
      </c>
      <c r="G7695" s="15" t="str">
        <f>IFERROR(__xludf.DUMMYFUNCTION("""COMPUTED_VALUE"""),"LILIANA DDEL CARMEN RODRIGUEZ ACEVEDO")</f>
        <v>LILIANA DDEL CARMEN RODRIGUEZ ACEVEDO</v>
      </c>
      <c r="H7695" s="16">
        <f>IFERROR(__xludf.DUMMYFUNCTION("""COMPUTED_VALUE"""),16388.0)</f>
        <v>16388</v>
      </c>
      <c r="I7695" s="17"/>
      <c r="J7695" s="17"/>
      <c r="K7695" s="17"/>
      <c r="L7695" s="17">
        <f>IFERROR(__xludf.DUMMYFUNCTION("""COMPUTED_VALUE"""),3.008165296E9)</f>
        <v>3008165296</v>
      </c>
      <c r="M7695" s="17"/>
      <c r="N7695" s="17"/>
      <c r="O7695" s="17"/>
      <c r="P7695" s="17" t="b">
        <f>IFERROR(__xludf.DUMMYFUNCTION("""COMPUTED_VALUE"""),FALSE)</f>
        <v>0</v>
      </c>
      <c r="Q7695" s="20" t="str">
        <f>IFERROR(__xludf.DUMMYFUNCTION("""COMPUTED_VALUE"""),"")</f>
        <v/>
      </c>
      <c r="R7695" s="21" t="str">
        <f>IFERROR(__xludf.DUMMYFUNCTION("""COMPUTED_VALUE"""),"https://drive.google.com/file/d/1eXdMhicIFzNEaC6h7xp-RvEYyZe2-TkF/view?usp=drivesdk")</f>
        <v>https://drive.google.com/file/d/1eXdMhicIFzNEaC6h7xp-RvEYyZe2-TkF/view?usp=drivesdk</v>
      </c>
    </row>
    <row r="7696">
      <c r="A7696" s="15">
        <f>IFERROR(__xludf.DUMMYFUNCTION("""COMPUTED_VALUE"""),45218.0)</f>
        <v>45218</v>
      </c>
      <c r="B7696" s="16" t="str">
        <f>IFERROR(__xludf.DUMMYFUNCTION("""COMPUTED_VALUE"""),"Envia")</f>
        <v>Envia</v>
      </c>
      <c r="C7696" s="15" t="str">
        <f>IFERROR(__xludf.DUMMYFUNCTION("""COMPUTED_VALUE"""),"SANTA MARTA")</f>
        <v>SANTA MARTA</v>
      </c>
      <c r="D7696" s="15" t="str">
        <f>IFERROR(__xludf.DUMMYFUNCTION("""COMPUTED_VALUE"""),"BOGOTÁ")</f>
        <v>BOGOTÁ</v>
      </c>
      <c r="E7696" s="15" t="str">
        <f>IFERROR(__xludf.DUMMYFUNCTION("""COMPUTED_VALUE"""),"Ser Fit")</f>
        <v>Ser Fit</v>
      </c>
      <c r="F7696" s="17" t="str">
        <f>IFERROR(__xludf.DUMMYFUNCTION("""COMPUTED_VALUE"""),"AVENIDA FERROCARRIL CON AVENIDA LOS ESTUDIANTES / enviar foto de factura y orden de compra firmadas al entregar nombre legible de quien recibe  y sello  / san pedro")</f>
        <v>AVENIDA FERROCARRIL CON AVENIDA LOS ESTUDIANTES / enviar foto de factura y orden de compra firmadas al entregar nombre legible de quien recibe  y sello  / san pedro</v>
      </c>
      <c r="G7696" s="15" t="str">
        <f>IFERROR(__xludf.DUMMYFUNCTION("""COMPUTED_VALUE"""),"farmatodo santamarta")</f>
        <v>farmatodo santamarta</v>
      </c>
      <c r="H7696" s="16">
        <f>IFERROR(__xludf.DUMMYFUNCTION("""COMPUTED_VALUE"""),16395.0)</f>
        <v>16395</v>
      </c>
      <c r="I7696" s="18">
        <f>IFERROR(__xludf.DUMMYFUNCTION("""COMPUTED_VALUE"""),20.0)</f>
        <v>20</v>
      </c>
      <c r="J7696" s="18">
        <f>IFERROR(__xludf.DUMMYFUNCTION("""COMPUTED_VALUE"""),25.0)</f>
        <v>25</v>
      </c>
      <c r="K7696" s="18">
        <f>IFERROR(__xludf.DUMMYFUNCTION("""COMPUTED_VALUE"""),20.0)</f>
        <v>20</v>
      </c>
      <c r="L7696" s="17">
        <f>IFERROR(__xludf.DUMMYFUNCTION("""COMPUTED_VALUE"""),3.163354647E9)</f>
        <v>3163354647</v>
      </c>
      <c r="M7696" s="17"/>
      <c r="N7696" s="17"/>
      <c r="O7696" s="17"/>
      <c r="P7696" s="17" t="b">
        <f>IFERROR(__xludf.DUMMYFUNCTION("""COMPUTED_VALUE"""),FALSE)</f>
        <v>0</v>
      </c>
      <c r="Q7696" s="20" t="str">
        <f>IFERROR(__xludf.DUMMYFUNCTION("""COMPUTED_VALUE"""),"")</f>
        <v/>
      </c>
      <c r="R7696" s="21" t="str">
        <f>IFERROR(__xludf.DUMMYFUNCTION("""COMPUTED_VALUE"""),"https://drive.google.com/file/d/1_MqOIhiGDFDssAsaVfLWUPu10KMevBEK/view?usp=drivesdk")</f>
        <v>https://drive.google.com/file/d/1_MqOIhiGDFDssAsaVfLWUPu10KMevBEK/view?usp=drivesdk</v>
      </c>
    </row>
    <row r="7697">
      <c r="A7697" s="15">
        <f>IFERROR(__xludf.DUMMYFUNCTION("""COMPUTED_VALUE"""),45218.0)</f>
        <v>45218</v>
      </c>
      <c r="B7697" s="16" t="str">
        <f>IFERROR(__xludf.DUMMYFUNCTION("""COMPUTED_VALUE"""),"Envia")</f>
        <v>Envia</v>
      </c>
      <c r="C7697" s="15" t="str">
        <f>IFERROR(__xludf.DUMMYFUNCTION("""COMPUTED_VALUE"""),"VILLAVICENCIO")</f>
        <v>VILLAVICENCIO</v>
      </c>
      <c r="D7697" s="15" t="str">
        <f>IFERROR(__xludf.DUMMYFUNCTION("""COMPUTED_VALUE"""),"BOGOTÁ")</f>
        <v>BOGOTÁ</v>
      </c>
      <c r="E7697" s="15" t="str">
        <f>IFERROR(__xludf.DUMMYFUNCTION("""COMPUTED_VALUE"""),"Pan de Waffle")</f>
        <v>Pan de Waffle</v>
      </c>
      <c r="F7697" s="17" t="str">
        <f>IFERROR(__xludf.DUMMYFUNCTION("""COMPUTED_VALUE"""),"Calle 29a # 13b - 13 Barrio Los Rosales / Calle 29a # 13b - 13 Barrio Los Rosales / Calle 29a # 13b - 13 Barrio Los Rosales")</f>
        <v>Calle 29a # 13b - 13 Barrio Los Rosales / Calle 29a # 13b - 13 Barrio Los Rosales / Calle 29a # 13b - 13 Barrio Los Rosales</v>
      </c>
      <c r="G7697" s="15" t="str">
        <f>IFERROR(__xludf.DUMMYFUNCTION("""COMPUTED_VALUE"""),"ACAI TIENDA SALUDABLE")</f>
        <v>ACAI TIENDA SALUDABLE</v>
      </c>
      <c r="H7697" s="16">
        <f>IFERROR(__xludf.DUMMYFUNCTION("""COMPUTED_VALUE"""),16417.0)</f>
        <v>16417</v>
      </c>
      <c r="I7697" s="18">
        <f>IFERROR(__xludf.DUMMYFUNCTION("""COMPUTED_VALUE"""),30.0)</f>
        <v>30</v>
      </c>
      <c r="J7697" s="18">
        <f>IFERROR(__xludf.DUMMYFUNCTION("""COMPUTED_VALUE"""),30.0)</f>
        <v>30</v>
      </c>
      <c r="K7697" s="18">
        <f>IFERROR(__xludf.DUMMYFUNCTION("""COMPUTED_VALUE"""),30.0)</f>
        <v>30</v>
      </c>
      <c r="L7697" s="17">
        <f>IFERROR(__xludf.DUMMYFUNCTION("""COMPUTED_VALUE"""),3.102990909E9)</f>
        <v>3102990909</v>
      </c>
      <c r="M7697" s="17"/>
      <c r="N7697" s="17"/>
      <c r="O7697" s="17"/>
      <c r="P7697" s="17" t="b">
        <f>IFERROR(__xludf.DUMMYFUNCTION("""COMPUTED_VALUE"""),FALSE)</f>
        <v>0</v>
      </c>
      <c r="Q7697" s="20" t="str">
        <f>IFERROR(__xludf.DUMMYFUNCTION("""COMPUTED_VALUE"""),"")</f>
        <v/>
      </c>
      <c r="R7697" s="21" t="str">
        <f>IFERROR(__xludf.DUMMYFUNCTION("""COMPUTED_VALUE"""),"https://drive.google.com/file/d/1EUwIVWrh7235bTbu7jl0CT9SZtGThd-a/view?usp=drivesdk")</f>
        <v>https://drive.google.com/file/d/1EUwIVWrh7235bTbu7jl0CT9SZtGThd-a/view?usp=drivesdk</v>
      </c>
    </row>
    <row r="7698">
      <c r="A7698" s="17" t="str">
        <f>IFERROR(__xludf.DUMMYFUNCTION("""COMPUTED_VALUE"""),"")</f>
        <v/>
      </c>
      <c r="B7698" s="17" t="str">
        <f>IFERROR(__xludf.DUMMYFUNCTION("""COMPUTED_VALUE"""),"")</f>
        <v/>
      </c>
      <c r="C7698" s="17" t="str">
        <f>IFERROR(__xludf.DUMMYFUNCTION("""COMPUTED_VALUE"""),"")</f>
        <v/>
      </c>
      <c r="D7698" s="17" t="str">
        <f>IFERROR(__xludf.DUMMYFUNCTION("""COMPUTED_VALUE"""),"")</f>
        <v/>
      </c>
      <c r="E7698" s="17" t="str">
        <f>IFERROR(__xludf.DUMMYFUNCTION("""COMPUTED_VALUE"""),"")</f>
        <v/>
      </c>
      <c r="F7698" s="17" t="str">
        <f>IFERROR(__xludf.DUMMYFUNCTION("""COMPUTED_VALUE"""),"")</f>
        <v/>
      </c>
      <c r="G7698" s="17" t="str">
        <f>IFERROR(__xludf.DUMMYFUNCTION("""COMPUTED_VALUE"""),"")</f>
        <v/>
      </c>
      <c r="H7698" s="17" t="str">
        <f>IFERROR(__xludf.DUMMYFUNCTION("""COMPUTED_VALUE"""),"")</f>
        <v/>
      </c>
      <c r="I7698" s="17" t="str">
        <f>IFERROR(__xludf.DUMMYFUNCTION("""COMPUTED_VALUE"""),"")</f>
        <v/>
      </c>
      <c r="J7698" s="17" t="str">
        <f>IFERROR(__xludf.DUMMYFUNCTION("""COMPUTED_VALUE"""),"")</f>
        <v/>
      </c>
      <c r="K7698" s="17" t="str">
        <f>IFERROR(__xludf.DUMMYFUNCTION("""COMPUTED_VALUE"""),"")</f>
        <v/>
      </c>
      <c r="L7698" s="17" t="str">
        <f>IFERROR(__xludf.DUMMYFUNCTION("""COMPUTED_VALUE"""),"")</f>
        <v/>
      </c>
      <c r="M7698" s="17" t="str">
        <f>IFERROR(__xludf.DUMMYFUNCTION("""COMPUTED_VALUE"""),"")</f>
        <v/>
      </c>
      <c r="N7698" s="17" t="str">
        <f>IFERROR(__xludf.DUMMYFUNCTION("""COMPUTED_VALUE"""),"")</f>
        <v/>
      </c>
      <c r="O7698" s="17" t="str">
        <f>IFERROR(__xludf.DUMMYFUNCTION("""COMPUTED_VALUE"""),"")</f>
        <v/>
      </c>
      <c r="P7698" s="17" t="str">
        <f>IFERROR(__xludf.DUMMYFUNCTION("""COMPUTED_VALUE"""),"")</f>
        <v/>
      </c>
      <c r="Q7698" s="17" t="str">
        <f>IFERROR(__xludf.DUMMYFUNCTION("""COMPUTED_VALUE"""),"")</f>
        <v/>
      </c>
      <c r="R7698" s="17" t="str">
        <f>IFERROR(__xludf.DUMMYFUNCTION("""COMPUTED_VALUE"""),"")</f>
        <v/>
      </c>
    </row>
    <row r="7699">
      <c r="A7699" s="15">
        <f>IFERROR(__xludf.DUMMYFUNCTION("""COMPUTED_VALUE"""),45218.0)</f>
        <v>45218</v>
      </c>
      <c r="B7699" s="16" t="str">
        <f>IFERROR(__xludf.DUMMYFUNCTION("""COMPUTED_VALUE"""),"Johan Alexander Escobar Arroyo ")</f>
        <v>Johan Alexander Escobar Arroyo </v>
      </c>
      <c r="C7699" s="15" t="str">
        <f>IFERROR(__xludf.DUMMYFUNCTION("""COMPUTED_VALUE"""),"BUCARAMANGA")</f>
        <v>BUCARAMANGA</v>
      </c>
      <c r="D7699" s="15" t="str">
        <f>IFERROR(__xludf.DUMMYFUNCTION("""COMPUTED_VALUE"""),"MEDELLÍN")</f>
        <v>MEDELLÍN</v>
      </c>
      <c r="E7699" s="15" t="str">
        <f>IFERROR(__xludf.DUMMYFUNCTION("""COMPUTED_VALUE"""),"Helados swip")</f>
        <v>Helados swip</v>
      </c>
      <c r="F7699" s="17" t="str">
        <f>IFERROR(__xludf.DUMMYFUNCTION("""COMPUTED_VALUE"""),"CALLE 52 # 37-12 CABECERA BUCARAMANGA / MERCADO MULTIFIT / CABECERA")</f>
        <v>CALLE 52 # 37-12 CABECERA BUCARAMANGA / MERCADO MULTIFIT / CABECERA</v>
      </c>
      <c r="G7699" s="15" t="str">
        <f>IFERROR(__xludf.DUMMYFUNCTION("""COMPUTED_VALUE"""),"MULTIFIT")</f>
        <v>MULTIFIT</v>
      </c>
      <c r="H7699" s="16">
        <f>IFERROR(__xludf.DUMMYFUNCTION("""COMPUTED_VALUE"""),16415.0)</f>
        <v>16415</v>
      </c>
      <c r="I7699" s="18">
        <f>IFERROR(__xludf.DUMMYFUNCTION("""COMPUTED_VALUE"""),45.0)</f>
        <v>45</v>
      </c>
      <c r="J7699" s="18">
        <f>IFERROR(__xludf.DUMMYFUNCTION("""COMPUTED_VALUE"""),55.0)</f>
        <v>55</v>
      </c>
      <c r="K7699" s="18">
        <f>IFERROR(__xludf.DUMMYFUNCTION("""COMPUTED_VALUE"""),29.0)</f>
        <v>29</v>
      </c>
      <c r="L7699" s="17">
        <f>IFERROR(__xludf.DUMMYFUNCTION("""COMPUTED_VALUE"""),3.158785729E9)</f>
        <v>3158785729</v>
      </c>
      <c r="M7699" s="17"/>
      <c r="N7699" s="17"/>
      <c r="O7699" s="17"/>
      <c r="P7699" s="17" t="b">
        <f>IFERROR(__xludf.DUMMYFUNCTION("""COMPUTED_VALUE"""),FALSE)</f>
        <v>0</v>
      </c>
      <c r="Q7699" s="20" t="str">
        <f>IFERROR(__xludf.DUMMYFUNCTION("""COMPUTED_VALUE"""),"")</f>
        <v/>
      </c>
      <c r="R7699" s="21" t="str">
        <f>IFERROR(__xludf.DUMMYFUNCTION("""COMPUTED_VALUE"""),"https://drive.google.com/file/d/1S3WFtmVOHRu4xaqQjDRuke3vD4lx3O4U/view?usp=drivesdk")</f>
        <v>https://drive.google.com/file/d/1S3WFtmVOHRu4xaqQjDRuke3vD4lx3O4U/view?usp=drivesdk</v>
      </c>
    </row>
    <row r="7700">
      <c r="A7700" s="15">
        <f>IFERROR(__xludf.DUMMYFUNCTION("""COMPUTED_VALUE"""),45218.0)</f>
        <v>45218</v>
      </c>
      <c r="B7700" s="16" t="str">
        <f>IFERROR(__xludf.DUMMYFUNCTION("""COMPUTED_VALUE"""),"Johan Alexander Escobar Arroyo ")</f>
        <v>Johan Alexander Escobar Arroyo </v>
      </c>
      <c r="C7700" s="15" t="str">
        <f>IFERROR(__xludf.DUMMYFUNCTION("""COMPUTED_VALUE"""),"CALI")</f>
        <v>CALI</v>
      </c>
      <c r="D7700" s="15" t="str">
        <f>IFERROR(__xludf.DUMMYFUNCTION("""COMPUTED_VALUE"""),"MEDELLÍN")</f>
        <v>MEDELLÍN</v>
      </c>
      <c r="E7700" s="15" t="str">
        <f>IFERROR(__xludf.DUMMYFUNCTION("""COMPUTED_VALUE"""),"AREPAS LA MARY")</f>
        <v>AREPAS LA MARY</v>
      </c>
      <c r="F7700" s="17" t="str">
        <f>IFERROR(__xludf.DUMMYFUNCTION("""COMPUTED_VALUE"""),"calle 22 a # 121 -180 / ines de lara apto 502 b")</f>
        <v>calle 22 a # 121 -180 / ines de lara apto 502 b</v>
      </c>
      <c r="G7700" s="15" t="str">
        <f>IFERROR(__xludf.DUMMYFUNCTION("""COMPUTED_VALUE"""),"JESSICA GOMEZ")</f>
        <v>JESSICA GOMEZ</v>
      </c>
      <c r="H7700" s="16">
        <f>IFERROR(__xludf.DUMMYFUNCTION("""COMPUTED_VALUE"""),16398.0)</f>
        <v>16398</v>
      </c>
      <c r="I7700" s="18">
        <f>IFERROR(__xludf.DUMMYFUNCTION("""COMPUTED_VALUE"""),89.0)</f>
        <v>89</v>
      </c>
      <c r="J7700" s="18">
        <f>IFERROR(__xludf.DUMMYFUNCTION("""COMPUTED_VALUE"""),1.0)</f>
        <v>1</v>
      </c>
      <c r="K7700" s="18">
        <f>IFERROR(__xludf.DUMMYFUNCTION("""COMPUTED_VALUE"""),10.0)</f>
        <v>10</v>
      </c>
      <c r="L7700" s="17">
        <f>IFERROR(__xludf.DUMMYFUNCTION("""COMPUTED_VALUE"""),3.160187294E9)</f>
        <v>3160187294</v>
      </c>
      <c r="M7700" s="17"/>
      <c r="N7700" s="17"/>
      <c r="O7700" s="17"/>
      <c r="P7700" s="17" t="b">
        <f>IFERROR(__xludf.DUMMYFUNCTION("""COMPUTED_VALUE"""),FALSE)</f>
        <v>0</v>
      </c>
      <c r="Q7700" s="20" t="str">
        <f>IFERROR(__xludf.DUMMYFUNCTION("""COMPUTED_VALUE"""),"")</f>
        <v/>
      </c>
      <c r="R7700" s="21" t="str">
        <f>IFERROR(__xludf.DUMMYFUNCTION("""COMPUTED_VALUE"""),"https://drive.google.com/file/d/1I0VwopWBAYiPMP6Yi4UVtNkWZ-DnreRV/view?usp=drivesdk")</f>
        <v>https://drive.google.com/file/d/1I0VwopWBAYiPMP6Yi4UVtNkWZ-DnreRV/view?usp=drivesdk</v>
      </c>
    </row>
    <row r="7701">
      <c r="A7701" s="15">
        <f>IFERROR(__xludf.DUMMYFUNCTION("""COMPUTED_VALUE"""),45218.0)</f>
        <v>45218</v>
      </c>
      <c r="B7701" s="16" t="str">
        <f>IFERROR(__xludf.DUMMYFUNCTION("""COMPUTED_VALUE"""),"Johan Alexander Escobar Arroyo ")</f>
        <v>Johan Alexander Escobar Arroyo </v>
      </c>
      <c r="C7701" s="15" t="str">
        <f>IFERROR(__xludf.DUMMYFUNCTION("""COMPUTED_VALUE"""),"CALI")</f>
        <v>CALI</v>
      </c>
      <c r="D7701" s="15" t="str">
        <f>IFERROR(__xludf.DUMMYFUNCTION("""COMPUTED_VALUE"""),"MEDELLÍN")</f>
        <v>MEDELLÍN</v>
      </c>
      <c r="E7701" s="15" t="str">
        <f>IFERROR(__xludf.DUMMYFUNCTION("""COMPUTED_VALUE"""),"AREPAS LA MARY")</f>
        <v>AREPAS LA MARY</v>
      </c>
      <c r="F7701" s="17" t="str">
        <f>IFERROR(__xludf.DUMMYFUNCTION("""COMPUTED_VALUE"""),"Cra 36B # 1 oeste - 75 apto 405 / Barrio altos de santa Isabel cali")</f>
        <v>Cra 36B # 1 oeste - 75 apto 405 / Barrio altos de santa Isabel cali</v>
      </c>
      <c r="G7701" s="15" t="str">
        <f>IFERROR(__xludf.DUMMYFUNCTION("""COMPUTED_VALUE"""),"LUZ MARIA RIVERA")</f>
        <v>LUZ MARIA RIVERA</v>
      </c>
      <c r="H7701" s="16">
        <f>IFERROR(__xludf.DUMMYFUNCTION("""COMPUTED_VALUE"""),16397.0)</f>
        <v>16397</v>
      </c>
      <c r="I7701" s="18">
        <f>IFERROR(__xludf.DUMMYFUNCTION("""COMPUTED_VALUE"""),89.0)</f>
        <v>89</v>
      </c>
      <c r="J7701" s="18">
        <f>IFERROR(__xludf.DUMMYFUNCTION("""COMPUTED_VALUE"""),1.0)</f>
        <v>1</v>
      </c>
      <c r="K7701" s="18">
        <f>IFERROR(__xludf.DUMMYFUNCTION("""COMPUTED_VALUE"""),10.0)</f>
        <v>10</v>
      </c>
      <c r="L7701" s="17">
        <f>IFERROR(__xludf.DUMMYFUNCTION("""COMPUTED_VALUE"""),3.137327816E9)</f>
        <v>3137327816</v>
      </c>
      <c r="M7701" s="17"/>
      <c r="N7701" s="17"/>
      <c r="O7701" s="17"/>
      <c r="P7701" s="17" t="b">
        <f>IFERROR(__xludf.DUMMYFUNCTION("""COMPUTED_VALUE"""),FALSE)</f>
        <v>0</v>
      </c>
      <c r="Q7701" s="20" t="str">
        <f>IFERROR(__xludf.DUMMYFUNCTION("""COMPUTED_VALUE"""),"")</f>
        <v/>
      </c>
      <c r="R7701" s="21" t="str">
        <f>IFERROR(__xludf.DUMMYFUNCTION("""COMPUTED_VALUE"""),"https://drive.google.com/file/d/1nyRj_72O1-de_DBXIwBu0rgrG1DZ2mbO/view?usp=drivesdk")</f>
        <v>https://drive.google.com/file/d/1nyRj_72O1-de_DBXIwBu0rgrG1DZ2mbO/view?usp=drivesdk</v>
      </c>
    </row>
    <row r="7702">
      <c r="A7702" s="15">
        <f>IFERROR(__xludf.DUMMYFUNCTION("""COMPUTED_VALUE"""),45218.0)</f>
        <v>45218</v>
      </c>
      <c r="B7702" s="16" t="str">
        <f>IFERROR(__xludf.DUMMYFUNCTION("""COMPUTED_VALUE"""),"Johan Alexander Escobar Arroyo ")</f>
        <v>Johan Alexander Escobar Arroyo </v>
      </c>
      <c r="C7702" s="15" t="str">
        <f>IFERROR(__xludf.DUMMYFUNCTION("""COMPUTED_VALUE"""),"CALI")</f>
        <v>CALI</v>
      </c>
      <c r="D7702" s="15" t="str">
        <f>IFERROR(__xludf.DUMMYFUNCTION("""COMPUTED_VALUE"""),"MEDELLÍN")</f>
        <v>MEDELLÍN</v>
      </c>
      <c r="E7702" s="15" t="str">
        <f>IFERROR(__xludf.DUMMYFUNCTION("""COMPUTED_VALUE"""),"Baby Chef")</f>
        <v>Baby Chef</v>
      </c>
      <c r="F7702" s="17" t="str">
        <f>IFERROR(__xludf.DUMMYFUNCTION("""COMPUTED_VALUE"""),"Avenida 9 # 6N 100 Apto 101 C Edificio bosques de Juanambu / . / .")</f>
        <v>Avenida 9 # 6N 100 Apto 101 C Edificio bosques de Juanambu / . / .</v>
      </c>
      <c r="G7702" s="15" t="str">
        <f>IFERROR(__xludf.DUMMYFUNCTION("""COMPUTED_VALUE"""),"Estefania Doglioni")</f>
        <v>Estefania Doglioni</v>
      </c>
      <c r="H7702" s="16">
        <f>IFERROR(__xludf.DUMMYFUNCTION("""COMPUTED_VALUE"""),16408.0)</f>
        <v>16408</v>
      </c>
      <c r="I7702" s="18">
        <f>IFERROR(__xludf.DUMMYFUNCTION("""COMPUTED_VALUE"""),30.0)</f>
        <v>30</v>
      </c>
      <c r="J7702" s="18">
        <f>IFERROR(__xludf.DUMMYFUNCTION("""COMPUTED_VALUE"""),24.0)</f>
        <v>24</v>
      </c>
      <c r="K7702" s="18">
        <f>IFERROR(__xludf.DUMMYFUNCTION("""COMPUTED_VALUE"""),6.0)</f>
        <v>6</v>
      </c>
      <c r="L7702" s="17">
        <f>IFERROR(__xludf.DUMMYFUNCTION("""COMPUTED_VALUE"""),3.164306724E9)</f>
        <v>3164306724</v>
      </c>
      <c r="M7702" s="17"/>
      <c r="N7702" s="17"/>
      <c r="O7702" s="17"/>
      <c r="P7702" s="17" t="b">
        <f>IFERROR(__xludf.DUMMYFUNCTION("""COMPUTED_VALUE"""),FALSE)</f>
        <v>0</v>
      </c>
      <c r="Q7702" s="20" t="str">
        <f>IFERROR(__xludf.DUMMYFUNCTION("""COMPUTED_VALUE"""),"")</f>
        <v/>
      </c>
      <c r="R7702" s="21" t="str">
        <f>IFERROR(__xludf.DUMMYFUNCTION("""COMPUTED_VALUE"""),"https://drive.google.com/file/d/1_zSfpHUx2T1DC7MPO4FXKuGvTO-ZcomH/view?usp=drivesdk")</f>
        <v>https://drive.google.com/file/d/1_zSfpHUx2T1DC7MPO4FXKuGvTO-ZcomH/view?usp=drivesdk</v>
      </c>
    </row>
    <row r="7703">
      <c r="A7703" s="15">
        <f>IFERROR(__xludf.DUMMYFUNCTION("""COMPUTED_VALUE"""),45218.0)</f>
        <v>45218</v>
      </c>
      <c r="B7703" s="16" t="str">
        <f>IFERROR(__xludf.DUMMYFUNCTION("""COMPUTED_VALUE"""),"Johan Alexander Escobar Arroyo ")</f>
        <v>Johan Alexander Escobar Arroyo </v>
      </c>
      <c r="C7703" s="15" t="str">
        <f>IFERROR(__xludf.DUMMYFUNCTION("""COMPUTED_VALUE"""),"CALI")</f>
        <v>CALI</v>
      </c>
      <c r="D7703" s="15" t="str">
        <f>IFERROR(__xludf.DUMMYFUNCTION("""COMPUTED_VALUE"""),"MEDELLÍN")</f>
        <v>MEDELLÍN</v>
      </c>
      <c r="E7703" s="15" t="str">
        <f>IFERROR(__xludf.DUMMYFUNCTION("""COMPUTED_VALUE"""),"Baby Chef")</f>
        <v>Baby Chef</v>
      </c>
      <c r="F7703" s="17" t="str">
        <f>IFERROR(__xludf.DUMMYFUNCTION("""COMPUTED_VALUE"""),"Calle 12a# 56 25. Bloque 7 apto 302. Conjunto Residencial Santa María de Guadalupe / . / .")</f>
        <v>Calle 12a# 56 25. Bloque 7 apto 302. Conjunto Residencial Santa María de Guadalupe / . / .</v>
      </c>
      <c r="G7703" s="15" t="str">
        <f>IFERROR(__xludf.DUMMYFUNCTION("""COMPUTED_VALUE"""),"Lina María Bonilla Correa")</f>
        <v>Lina María Bonilla Correa</v>
      </c>
      <c r="H7703" s="16">
        <f>IFERROR(__xludf.DUMMYFUNCTION("""COMPUTED_VALUE"""),16411.0)</f>
        <v>16411</v>
      </c>
      <c r="I7703" s="18">
        <f>IFERROR(__xludf.DUMMYFUNCTION("""COMPUTED_VALUE"""),30.0)</f>
        <v>30</v>
      </c>
      <c r="J7703" s="18">
        <f>IFERROR(__xludf.DUMMYFUNCTION("""COMPUTED_VALUE"""),21.0)</f>
        <v>21</v>
      </c>
      <c r="K7703" s="18">
        <f>IFERROR(__xludf.DUMMYFUNCTION("""COMPUTED_VALUE"""),5.0)</f>
        <v>5</v>
      </c>
      <c r="L7703" s="17">
        <f>IFERROR(__xludf.DUMMYFUNCTION("""COMPUTED_VALUE"""),3.163881451E9)</f>
        <v>3163881451</v>
      </c>
      <c r="M7703" s="17"/>
      <c r="N7703" s="17"/>
      <c r="O7703" s="17"/>
      <c r="P7703" s="17" t="b">
        <f>IFERROR(__xludf.DUMMYFUNCTION("""COMPUTED_VALUE"""),FALSE)</f>
        <v>0</v>
      </c>
      <c r="Q7703" s="20" t="str">
        <f>IFERROR(__xludf.DUMMYFUNCTION("""COMPUTED_VALUE"""),"")</f>
        <v/>
      </c>
      <c r="R7703" s="21" t="str">
        <f>IFERROR(__xludf.DUMMYFUNCTION("""COMPUTED_VALUE"""),"https://drive.google.com/file/d/1IEZgrtIj4HfLmBwhr1CzuSrrriHqt1PJ/view?usp=drivesdk")</f>
        <v>https://drive.google.com/file/d/1IEZgrtIj4HfLmBwhr1CzuSrrriHqt1PJ/view?usp=drivesdk</v>
      </c>
    </row>
    <row r="7704">
      <c r="A7704" s="15">
        <f>IFERROR(__xludf.DUMMYFUNCTION("""COMPUTED_VALUE"""),45218.0)</f>
        <v>45218</v>
      </c>
      <c r="B7704" s="16" t="str">
        <f>IFERROR(__xludf.DUMMYFUNCTION("""COMPUTED_VALUE"""),"Johan Alexander Escobar Arroyo ")</f>
        <v>Johan Alexander Escobar Arroyo </v>
      </c>
      <c r="C7704" s="15" t="str">
        <f>IFERROR(__xludf.DUMMYFUNCTION("""COMPUTED_VALUE"""),"CALI")</f>
        <v>CALI</v>
      </c>
      <c r="D7704" s="15" t="str">
        <f>IFERROR(__xludf.DUMMYFUNCTION("""COMPUTED_VALUE"""),"MEDELLÍN")</f>
        <v>MEDELLÍN</v>
      </c>
      <c r="E7704" s="15" t="str">
        <f>IFERROR(__xludf.DUMMYFUNCTION("""COMPUTED_VALUE"""),"Baby Chef")</f>
        <v>Baby Chef</v>
      </c>
      <c r="F7704" s="17" t="str">
        <f>IFERROR(__xludf.DUMMYFUNCTION("""COMPUTED_VALUE"""),"Carrera 103 # 11-40 Sendero del Polo club casa P1 / . / .")</f>
        <v>Carrera 103 # 11-40 Sendero del Polo club casa P1 / . / .</v>
      </c>
      <c r="G7704" s="15" t="str">
        <f>IFERROR(__xludf.DUMMYFUNCTION("""COMPUTED_VALUE"""),"Johanna Rojas")</f>
        <v>Johanna Rojas</v>
      </c>
      <c r="H7704" s="16">
        <f>IFERROR(__xludf.DUMMYFUNCTION("""COMPUTED_VALUE"""),16410.0)</f>
        <v>16410</v>
      </c>
      <c r="I7704" s="18">
        <f>IFERROR(__xludf.DUMMYFUNCTION("""COMPUTED_VALUE"""),36.0)</f>
        <v>36</v>
      </c>
      <c r="J7704" s="18">
        <f>IFERROR(__xludf.DUMMYFUNCTION("""COMPUTED_VALUE"""),22.0)</f>
        <v>22</v>
      </c>
      <c r="K7704" s="18">
        <f>IFERROR(__xludf.DUMMYFUNCTION("""COMPUTED_VALUE"""),8.0)</f>
        <v>8</v>
      </c>
      <c r="L7704" s="17">
        <f>IFERROR(__xludf.DUMMYFUNCTION("""COMPUTED_VALUE"""),3.183307191E9)</f>
        <v>3183307191</v>
      </c>
      <c r="M7704" s="17"/>
      <c r="N7704" s="17"/>
      <c r="O7704" s="17"/>
      <c r="P7704" s="17" t="b">
        <f>IFERROR(__xludf.DUMMYFUNCTION("""COMPUTED_VALUE"""),FALSE)</f>
        <v>0</v>
      </c>
      <c r="Q7704" s="20" t="str">
        <f>IFERROR(__xludf.DUMMYFUNCTION("""COMPUTED_VALUE"""),"")</f>
        <v/>
      </c>
      <c r="R7704" s="21" t="str">
        <f>IFERROR(__xludf.DUMMYFUNCTION("""COMPUTED_VALUE"""),"https://drive.google.com/file/d/1cFwYKx43HfRt00nAmDLt31VSWBZh8uNH/view?usp=drivesdk")</f>
        <v>https://drive.google.com/file/d/1cFwYKx43HfRt00nAmDLt31VSWBZh8uNH/view?usp=drivesdk</v>
      </c>
    </row>
    <row r="7705">
      <c r="A7705" s="15">
        <f>IFERROR(__xludf.DUMMYFUNCTION("""COMPUTED_VALUE"""),45218.0)</f>
        <v>45218</v>
      </c>
      <c r="B7705" s="16" t="str">
        <f>IFERROR(__xludf.DUMMYFUNCTION("""COMPUTED_VALUE"""),"Johan Alexander Escobar Arroyo ")</f>
        <v>Johan Alexander Escobar Arroyo </v>
      </c>
      <c r="C7705" s="15" t="str">
        <f>IFERROR(__xludf.DUMMYFUNCTION("""COMPUTED_VALUE"""),"CALI")</f>
        <v>CALI</v>
      </c>
      <c r="D7705" s="15" t="str">
        <f>IFERROR(__xludf.DUMMYFUNCTION("""COMPUTED_VALUE"""),"MEDELLÍN")</f>
        <v>MEDELLÍN</v>
      </c>
      <c r="E7705" s="15" t="str">
        <f>IFERROR(__xludf.DUMMYFUNCTION("""COMPUTED_VALUE"""),"Baby Chef")</f>
        <v>Baby Chef</v>
      </c>
      <c r="F7705" s="17" t="str">
        <f>IFERROR(__xludf.DUMMYFUNCTION("""COMPUTED_VALUE"""),"Carrera 103 #6-85 Ciudad jardín apto 608 torre 2 / . / .")</f>
        <v>Carrera 103 #6-85 Ciudad jardín apto 608 torre 2 / . / .</v>
      </c>
      <c r="G7705" s="15" t="str">
        <f>IFERROR(__xludf.DUMMYFUNCTION("""COMPUTED_VALUE"""),"Jennifer Moreno")</f>
        <v>Jennifer Moreno</v>
      </c>
      <c r="H7705" s="16">
        <f>IFERROR(__xludf.DUMMYFUNCTION("""COMPUTED_VALUE"""),16409.0)</f>
        <v>16409</v>
      </c>
      <c r="I7705" s="18">
        <f>IFERROR(__xludf.DUMMYFUNCTION("""COMPUTED_VALUE"""),40.0)</f>
        <v>40</v>
      </c>
      <c r="J7705" s="18">
        <f>IFERROR(__xludf.DUMMYFUNCTION("""COMPUTED_VALUE"""),24.0)</f>
        <v>24</v>
      </c>
      <c r="K7705" s="18">
        <f>IFERROR(__xludf.DUMMYFUNCTION("""COMPUTED_VALUE"""),9.0)</f>
        <v>9</v>
      </c>
      <c r="L7705" s="17">
        <f>IFERROR(__xludf.DUMMYFUNCTION("""COMPUTED_VALUE"""),3.504311527E9)</f>
        <v>3504311527</v>
      </c>
      <c r="M7705" s="17"/>
      <c r="N7705" s="17"/>
      <c r="O7705" s="17"/>
      <c r="P7705" s="17" t="b">
        <f>IFERROR(__xludf.DUMMYFUNCTION("""COMPUTED_VALUE"""),FALSE)</f>
        <v>0</v>
      </c>
      <c r="Q7705" s="20" t="str">
        <f>IFERROR(__xludf.DUMMYFUNCTION("""COMPUTED_VALUE"""),"")</f>
        <v/>
      </c>
      <c r="R7705" s="21" t="str">
        <f>IFERROR(__xludf.DUMMYFUNCTION("""COMPUTED_VALUE"""),"https://drive.google.com/file/d/1nSGxLZ-QjmzZXre74-hZPLA-xIEG-uPr/view?usp=drivesdk")</f>
        <v>https://drive.google.com/file/d/1nSGxLZ-QjmzZXre74-hZPLA-xIEG-uPr/view?usp=drivesdk</v>
      </c>
    </row>
    <row r="7706">
      <c r="A7706" s="15">
        <f>IFERROR(__xludf.DUMMYFUNCTION("""COMPUTED_VALUE"""),45218.0)</f>
        <v>45218</v>
      </c>
      <c r="B7706" s="16" t="str">
        <f>IFERROR(__xludf.DUMMYFUNCTION("""COMPUTED_VALUE"""),"Johan Alexander Escobar Arroyo ")</f>
        <v>Johan Alexander Escobar Arroyo </v>
      </c>
      <c r="C7706" s="15" t="str">
        <f>IFERROR(__xludf.DUMMYFUNCTION("""COMPUTED_VALUE"""),"CALI")</f>
        <v>CALI</v>
      </c>
      <c r="D7706" s="15" t="str">
        <f>IFERROR(__xludf.DUMMYFUNCTION("""COMPUTED_VALUE"""),"MEDELLÍN")</f>
        <v>MEDELLÍN</v>
      </c>
      <c r="E7706" s="15" t="str">
        <f>IFERROR(__xludf.DUMMYFUNCTION("""COMPUTED_VALUE"""),"Baby Chef")</f>
        <v>Baby Chef</v>
      </c>
      <c r="F7706" s="17" t="str">
        <f>IFERROR(__xludf.DUMMYFUNCTION("""COMPUTED_VALUE"""),"Cra 11 # 54-113 2piso  Cali / . / .")</f>
        <v>Cra 11 # 54-113 2piso  Cali / . / .</v>
      </c>
      <c r="G7706" s="15" t="str">
        <f>IFERROR(__xludf.DUMMYFUNCTION("""COMPUTED_VALUE"""),"Lina Marcela Rincon")</f>
        <v>Lina Marcela Rincon</v>
      </c>
      <c r="H7706" s="16">
        <f>IFERROR(__xludf.DUMMYFUNCTION("""COMPUTED_VALUE"""),16414.0)</f>
        <v>16414</v>
      </c>
      <c r="I7706" s="18">
        <f>IFERROR(__xludf.DUMMYFUNCTION("""COMPUTED_VALUE"""),30.0)</f>
        <v>30</v>
      </c>
      <c r="J7706" s="18">
        <f>IFERROR(__xludf.DUMMYFUNCTION("""COMPUTED_VALUE"""),22.0)</f>
        <v>22</v>
      </c>
      <c r="K7706" s="18">
        <f>IFERROR(__xludf.DUMMYFUNCTION("""COMPUTED_VALUE"""),10.0)</f>
        <v>10</v>
      </c>
      <c r="L7706" s="17">
        <f>IFERROR(__xludf.DUMMYFUNCTION("""COMPUTED_VALUE"""),3.022688878E9)</f>
        <v>3022688878</v>
      </c>
      <c r="M7706" s="17"/>
      <c r="N7706" s="17"/>
      <c r="O7706" s="17"/>
      <c r="P7706" s="17" t="b">
        <f>IFERROR(__xludf.DUMMYFUNCTION("""COMPUTED_VALUE"""),FALSE)</f>
        <v>0</v>
      </c>
      <c r="Q7706" s="20" t="str">
        <f>IFERROR(__xludf.DUMMYFUNCTION("""COMPUTED_VALUE"""),"")</f>
        <v/>
      </c>
      <c r="R7706" s="21" t="str">
        <f>IFERROR(__xludf.DUMMYFUNCTION("""COMPUTED_VALUE"""),"https://drive.google.com/file/d/1ZLiM1dcOHVs4Gx7CBm9_Q6Qft3bT-0IG/view?usp=drivesdk")</f>
        <v>https://drive.google.com/file/d/1ZLiM1dcOHVs4Gx7CBm9_Q6Qft3bT-0IG/view?usp=drivesdk</v>
      </c>
    </row>
    <row r="7707">
      <c r="A7707" s="15">
        <f>IFERROR(__xludf.DUMMYFUNCTION("""COMPUTED_VALUE"""),45218.0)</f>
        <v>45218</v>
      </c>
      <c r="B7707" s="16" t="str">
        <f>IFERROR(__xludf.DUMMYFUNCTION("""COMPUTED_VALUE"""),"Johan Alexander Escobar Arroyo ")</f>
        <v>Johan Alexander Escobar Arroyo </v>
      </c>
      <c r="C7707" s="15" t="str">
        <f>IFERROR(__xludf.DUMMYFUNCTION("""COMPUTED_VALUE"""),"CALI")</f>
        <v>CALI</v>
      </c>
      <c r="D7707" s="15" t="str">
        <f>IFERROR(__xludf.DUMMYFUNCTION("""COMPUTED_VALUE"""),"MEDELLÍN")</f>
        <v>MEDELLÍN</v>
      </c>
      <c r="E7707" s="15" t="str">
        <f>IFERROR(__xludf.DUMMYFUNCTION("""COMPUTED_VALUE"""),"Baby Chef")</f>
        <v>Baby Chef</v>
      </c>
      <c r="F7707" s="17" t="str">
        <f>IFERROR(__xludf.DUMMYFUNCTION("""COMPUTED_VALUE"""),"Cra 43a#38a03  Republica de Israel  Cali / . / .")</f>
        <v>Cra 43a#38a03  Republica de Israel  Cali / . / .</v>
      </c>
      <c r="G7707" s="15" t="str">
        <f>IFERROR(__xludf.DUMMYFUNCTION("""COMPUTED_VALUE"""),"Angie Guevara")</f>
        <v>Angie Guevara</v>
      </c>
      <c r="H7707" s="16">
        <f>IFERROR(__xludf.DUMMYFUNCTION("""COMPUTED_VALUE"""),16413.0)</f>
        <v>16413</v>
      </c>
      <c r="I7707" s="18">
        <f>IFERROR(__xludf.DUMMYFUNCTION("""COMPUTED_VALUE"""),18.0)</f>
        <v>18</v>
      </c>
      <c r="J7707" s="18">
        <f>IFERROR(__xludf.DUMMYFUNCTION("""COMPUTED_VALUE"""),23.0)</f>
        <v>23</v>
      </c>
      <c r="K7707" s="18">
        <f>IFERROR(__xludf.DUMMYFUNCTION("""COMPUTED_VALUE"""),4.0)</f>
        <v>4</v>
      </c>
      <c r="L7707" s="17">
        <f>IFERROR(__xludf.DUMMYFUNCTION("""COMPUTED_VALUE"""),3.183199507E9)</f>
        <v>3183199507</v>
      </c>
      <c r="M7707" s="17"/>
      <c r="N7707" s="17"/>
      <c r="O7707" s="17"/>
      <c r="P7707" s="17" t="b">
        <f>IFERROR(__xludf.DUMMYFUNCTION("""COMPUTED_VALUE"""),FALSE)</f>
        <v>0</v>
      </c>
      <c r="Q7707" s="20" t="str">
        <f>IFERROR(__xludf.DUMMYFUNCTION("""COMPUTED_VALUE"""),"")</f>
        <v/>
      </c>
      <c r="R7707" s="21" t="str">
        <f>IFERROR(__xludf.DUMMYFUNCTION("""COMPUTED_VALUE"""),"https://drive.google.com/file/d/1haA_5CS9VEsyODn0ajORXNxcAqKfcW4s/view?usp=drivesdk")</f>
        <v>https://drive.google.com/file/d/1haA_5CS9VEsyODn0ajORXNxcAqKfcW4s/view?usp=drivesdk</v>
      </c>
    </row>
    <row r="7708">
      <c r="A7708" s="15">
        <f>IFERROR(__xludf.DUMMYFUNCTION("""COMPUTED_VALUE"""),45218.0)</f>
        <v>45218</v>
      </c>
      <c r="B7708" s="16" t="str">
        <f>IFERROR(__xludf.DUMMYFUNCTION("""COMPUTED_VALUE"""),"Johan Alexander Escobar Arroyo ")</f>
        <v>Johan Alexander Escobar Arroyo </v>
      </c>
      <c r="C7708" s="15" t="str">
        <f>IFERROR(__xludf.DUMMYFUNCTION("""COMPUTED_VALUE"""),"CALI")</f>
        <v>CALI</v>
      </c>
      <c r="D7708" s="15" t="str">
        <f>IFERROR(__xludf.DUMMYFUNCTION("""COMPUTED_VALUE"""),"MEDELLÍN")</f>
        <v>MEDELLÍN</v>
      </c>
      <c r="E7708" s="15" t="str">
        <f>IFERROR(__xludf.DUMMYFUNCTION("""COMPUTED_VALUE"""),"Baby Chef")</f>
        <v>Baby Chef</v>
      </c>
      <c r="F7708" s="17" t="str">
        <f>IFERROR(__xludf.DUMMYFUNCTION("""COMPUTED_VALUE"""),"Cra28E 76-23 Odontologia  Cali /nuevo latir  Enseguida de Farmacenter / . / .")</f>
        <v>Cra28E 76-23 Odontologia  Cali /nuevo latir  Enseguida de Farmacenter / . / .</v>
      </c>
      <c r="G7708" s="15" t="str">
        <f>IFERROR(__xludf.DUMMYFUNCTION("""COMPUTED_VALUE"""),"ileana montilla")</f>
        <v>ileana montilla</v>
      </c>
      <c r="H7708" s="16">
        <f>IFERROR(__xludf.DUMMYFUNCTION("""COMPUTED_VALUE"""),16412.0)</f>
        <v>16412</v>
      </c>
      <c r="I7708" s="18">
        <f>IFERROR(__xludf.DUMMYFUNCTION("""COMPUTED_VALUE"""),34.0)</f>
        <v>34</v>
      </c>
      <c r="J7708" s="18">
        <f>IFERROR(__xludf.DUMMYFUNCTION("""COMPUTED_VALUE"""),22.0)</f>
        <v>22</v>
      </c>
      <c r="K7708" s="18">
        <f>IFERROR(__xludf.DUMMYFUNCTION("""COMPUTED_VALUE"""),13.0)</f>
        <v>13</v>
      </c>
      <c r="L7708" s="17">
        <f>IFERROR(__xludf.DUMMYFUNCTION("""COMPUTED_VALUE"""),3.205965279E9)</f>
        <v>3205965279</v>
      </c>
      <c r="M7708" s="17"/>
      <c r="N7708" s="17"/>
      <c r="O7708" s="17"/>
      <c r="P7708" s="17" t="b">
        <f>IFERROR(__xludf.DUMMYFUNCTION("""COMPUTED_VALUE"""),FALSE)</f>
        <v>0</v>
      </c>
      <c r="Q7708" s="20" t="str">
        <f>IFERROR(__xludf.DUMMYFUNCTION("""COMPUTED_VALUE"""),"")</f>
        <v/>
      </c>
      <c r="R7708" s="21" t="str">
        <f>IFERROR(__xludf.DUMMYFUNCTION("""COMPUTED_VALUE"""),"https://drive.google.com/file/d/1p4NHQucNjH8MDgqV_djzhxpV-19QVfx2/view?usp=drivesdk")</f>
        <v>https://drive.google.com/file/d/1p4NHQucNjH8MDgqV_djzhxpV-19QVfx2/view?usp=drivesdk</v>
      </c>
    </row>
    <row r="7709">
      <c r="A7709" s="15">
        <f>IFERROR(__xludf.DUMMYFUNCTION("""COMPUTED_VALUE"""),45218.0)</f>
        <v>45218</v>
      </c>
      <c r="B7709" s="16" t="str">
        <f>IFERROR(__xludf.DUMMYFUNCTION("""COMPUTED_VALUE"""),"Johan Alexander Escobar Arroyo ")</f>
        <v>Johan Alexander Escobar Arroyo </v>
      </c>
      <c r="C7709" s="15" t="str">
        <f>IFERROR(__xludf.DUMMYFUNCTION("""COMPUTED_VALUE"""),"CALI")</f>
        <v>CALI</v>
      </c>
      <c r="D7709" s="15" t="str">
        <f>IFERROR(__xludf.DUMMYFUNCTION("""COMPUTED_VALUE"""),"MEDELLÍN")</f>
        <v>MEDELLÍN</v>
      </c>
      <c r="E7709" s="15" t="str">
        <f>IFERROR(__xludf.DUMMYFUNCTION("""COMPUTED_VALUE"""),"JD Bufala")</f>
        <v>JD Bufala</v>
      </c>
      <c r="F7709" s="17" t="str">
        <f>IFERROR(__xludf.DUMMYFUNCTION("""COMPUTED_VALUE"""),"Calle 51 norte # 4bn 72 / Delhuertopizzeria  / La flora")</f>
        <v>Calle 51 norte # 4bn 72 / Delhuertopizzeria  / La flora</v>
      </c>
      <c r="G7709" s="15" t="str">
        <f>IFERROR(__xludf.DUMMYFUNCTION("""COMPUTED_VALUE"""),"Jaiver Rodríguez")</f>
        <v>Jaiver Rodríguez</v>
      </c>
      <c r="H7709" s="16">
        <f>IFERROR(__xludf.DUMMYFUNCTION("""COMPUTED_VALUE"""),16420.0)</f>
        <v>16420</v>
      </c>
      <c r="I7709" s="18">
        <f>IFERROR(__xludf.DUMMYFUNCTION("""COMPUTED_VALUE"""),40.0)</f>
        <v>40</v>
      </c>
      <c r="J7709" s="18">
        <f>IFERROR(__xludf.DUMMYFUNCTION("""COMPUTED_VALUE"""),28.0)</f>
        <v>28</v>
      </c>
      <c r="K7709" s="18" t="str">
        <f>IFERROR(__xludf.DUMMYFUNCTION("""COMPUTED_VALUE"""),"102.5")</f>
        <v>102.5</v>
      </c>
      <c r="L7709" s="17">
        <f>IFERROR(__xludf.DUMMYFUNCTION("""COMPUTED_VALUE"""),3.104919761E9)</f>
        <v>3104919761</v>
      </c>
      <c r="M7709" s="17"/>
      <c r="N7709" s="17"/>
      <c r="O7709" s="17"/>
      <c r="P7709" s="17" t="b">
        <f>IFERROR(__xludf.DUMMYFUNCTION("""COMPUTED_VALUE"""),FALSE)</f>
        <v>0</v>
      </c>
      <c r="Q7709" s="20" t="str">
        <f>IFERROR(__xludf.DUMMYFUNCTION("""COMPUTED_VALUE"""),"")</f>
        <v/>
      </c>
      <c r="R7709" s="21" t="str">
        <f>IFERROR(__xludf.DUMMYFUNCTION("""COMPUTED_VALUE"""),"https://drive.google.com/file/d/1tMd3Jx2jefCirXrrycBmnP4gCrFoH-HT/view?usp=drivesdk")</f>
        <v>https://drive.google.com/file/d/1tMd3Jx2jefCirXrrycBmnP4gCrFoH-HT/view?usp=drivesdk</v>
      </c>
    </row>
    <row r="7710">
      <c r="A7710" s="15">
        <f>IFERROR(__xludf.DUMMYFUNCTION("""COMPUTED_VALUE"""),45218.0)</f>
        <v>45218</v>
      </c>
      <c r="B7710" s="16" t="str">
        <f>IFERROR(__xludf.DUMMYFUNCTION("""COMPUTED_VALUE"""),"Johan Alexander Escobar Arroyo ")</f>
        <v>Johan Alexander Escobar Arroyo </v>
      </c>
      <c r="C7710" s="15" t="str">
        <f>IFERROR(__xludf.DUMMYFUNCTION("""COMPUTED_VALUE"""),"CALI")</f>
        <v>CALI</v>
      </c>
      <c r="D7710" s="15" t="str">
        <f>IFERROR(__xludf.DUMMYFUNCTION("""COMPUTED_VALUE"""),"MEDELLÍN")</f>
        <v>MEDELLÍN</v>
      </c>
      <c r="E7710" s="15" t="str">
        <f>IFERROR(__xludf.DUMMYFUNCTION("""COMPUTED_VALUE"""),"Moloso S.A.S")</f>
        <v>Moloso S.A.S</v>
      </c>
      <c r="F7710" s="17" t="str">
        <f>IFERROR(__xludf.DUMMYFUNCTION("""COMPUTED_VALUE"""),"CR 117  9 67 ED SCALA  1004B")</f>
        <v>CR 117  9 67 ED SCALA  1004B</v>
      </c>
      <c r="G7710" s="15" t="str">
        <f>IFERROR(__xludf.DUMMYFUNCTION("""COMPUTED_VALUE"""),"NICOLE CRUZ MUÑOZ")</f>
        <v>NICOLE CRUZ MUÑOZ</v>
      </c>
      <c r="H7710" s="16">
        <f>IFERROR(__xludf.DUMMYFUNCTION("""COMPUTED_VALUE"""),16422.0)</f>
        <v>16422</v>
      </c>
      <c r="I7710" s="18">
        <f>IFERROR(__xludf.DUMMYFUNCTION("""COMPUTED_VALUE"""),17.0)</f>
        <v>17</v>
      </c>
      <c r="J7710" s="18">
        <f>IFERROR(__xludf.DUMMYFUNCTION("""COMPUTED_VALUE"""),15.0)</f>
        <v>15</v>
      </c>
      <c r="K7710" s="18">
        <f>IFERROR(__xludf.DUMMYFUNCTION("""COMPUTED_VALUE"""),28.0)</f>
        <v>28</v>
      </c>
      <c r="L7710" s="17" t="str">
        <f>IFERROR(__xludf.DUMMYFUNCTION("""COMPUTED_VALUE"""),"316 0470203")</f>
        <v>316 0470203</v>
      </c>
      <c r="M7710" s="17"/>
      <c r="N7710" s="17"/>
      <c r="O7710" s="17"/>
      <c r="P7710" s="17" t="b">
        <f>IFERROR(__xludf.DUMMYFUNCTION("""COMPUTED_VALUE"""),FALSE)</f>
        <v>0</v>
      </c>
      <c r="Q7710" s="20" t="str">
        <f>IFERROR(__xludf.DUMMYFUNCTION("""COMPUTED_VALUE"""),"")</f>
        <v/>
      </c>
      <c r="R7710" s="21" t="str">
        <f>IFERROR(__xludf.DUMMYFUNCTION("""COMPUTED_VALUE"""),"https://drive.google.com/file/d/1lPjFtDt-980da7BDmyTLvHNnItWUDTEC/view?usp=drivesdk")</f>
        <v>https://drive.google.com/file/d/1lPjFtDt-980da7BDmyTLvHNnItWUDTEC/view?usp=drivesdk</v>
      </c>
    </row>
    <row r="7711">
      <c r="A7711" s="15">
        <f>IFERROR(__xludf.DUMMYFUNCTION("""COMPUTED_VALUE"""),45218.0)</f>
        <v>45218</v>
      </c>
      <c r="B7711" s="16" t="str">
        <f>IFERROR(__xludf.DUMMYFUNCTION("""COMPUTED_VALUE"""),"Johan Alexander Escobar Arroyo ")</f>
        <v>Johan Alexander Escobar Arroyo </v>
      </c>
      <c r="C7711" s="15" t="str">
        <f>IFERROR(__xludf.DUMMYFUNCTION("""COMPUTED_VALUE"""),"CALI")</f>
        <v>CALI</v>
      </c>
      <c r="D7711" s="15" t="str">
        <f>IFERROR(__xludf.DUMMYFUNCTION("""COMPUTED_VALUE"""),"MEDELLÍN")</f>
        <v>MEDELLÍN</v>
      </c>
      <c r="E7711" s="15" t="str">
        <f>IFERROR(__xludf.DUMMYFUNCTION("""COMPUTED_VALUE"""),"Rambla")</f>
        <v>Rambla</v>
      </c>
      <c r="F7711" s="17" t="str">
        <f>IFERROR(__xludf.DUMMYFUNCTION("""COMPUTED_VALUE"""),"avenida 4 norte #7n-46 lc 129 centro comercial centenario  / - / -")</f>
        <v>avenida 4 norte #7n-46 lc 129 centro comercial centenario  / - / -</v>
      </c>
      <c r="G7711" s="15" t="str">
        <f>IFERROR(__xludf.DUMMYFUNCTION("""COMPUTED_VALUE"""),"Vita Fitness")</f>
        <v>Vita Fitness</v>
      </c>
      <c r="H7711" s="16">
        <f>IFERROR(__xludf.DUMMYFUNCTION("""COMPUTED_VALUE"""),16433.0)</f>
        <v>16433</v>
      </c>
      <c r="I7711" s="18">
        <f>IFERROR(__xludf.DUMMYFUNCTION("""COMPUTED_VALUE"""),35.0)</f>
        <v>35</v>
      </c>
      <c r="J7711" s="18">
        <f>IFERROR(__xludf.DUMMYFUNCTION("""COMPUTED_VALUE"""),35.0)</f>
        <v>35</v>
      </c>
      <c r="K7711" s="18">
        <f>IFERROR(__xludf.DUMMYFUNCTION("""COMPUTED_VALUE"""),30.0)</f>
        <v>30</v>
      </c>
      <c r="L7711" s="17">
        <f>IFERROR(__xludf.DUMMYFUNCTION("""COMPUTED_VALUE"""),3.226925759E9)</f>
        <v>3226925759</v>
      </c>
      <c r="M7711" s="17"/>
      <c r="N7711" s="17"/>
      <c r="O7711" s="17"/>
      <c r="P7711" s="17" t="b">
        <f>IFERROR(__xludf.DUMMYFUNCTION("""COMPUTED_VALUE"""),FALSE)</f>
        <v>0</v>
      </c>
      <c r="Q7711" s="20" t="str">
        <f>IFERROR(__xludf.DUMMYFUNCTION("""COMPUTED_VALUE"""),"")</f>
        <v/>
      </c>
      <c r="R7711" s="21" t="str">
        <f>IFERROR(__xludf.DUMMYFUNCTION("""COMPUTED_VALUE"""),"https://drive.google.com/file/d/1r7_K6KzgvO-iLtbLEpGOKZQtU59Zoynm/view?usp=drivesdk")</f>
        <v>https://drive.google.com/file/d/1r7_K6KzgvO-iLtbLEpGOKZQtU59Zoynm/view?usp=drivesdk</v>
      </c>
    </row>
    <row r="7712">
      <c r="A7712" s="15">
        <f>IFERROR(__xludf.DUMMYFUNCTION("""COMPUTED_VALUE"""),45218.0)</f>
        <v>45218</v>
      </c>
      <c r="B7712" s="16" t="str">
        <f>IFERROR(__xludf.DUMMYFUNCTION("""COMPUTED_VALUE"""),"Johan Alexander Escobar Arroyo ")</f>
        <v>Johan Alexander Escobar Arroyo </v>
      </c>
      <c r="C7712" s="15" t="str">
        <f>IFERROR(__xludf.DUMMYFUNCTION("""COMPUTED_VALUE"""),"CALI")</f>
        <v>CALI</v>
      </c>
      <c r="D7712" s="15" t="str">
        <f>IFERROR(__xludf.DUMMYFUNCTION("""COMPUTED_VALUE"""),"MEDELLÍN")</f>
        <v>MEDELLÍN</v>
      </c>
      <c r="E7712" s="15" t="str">
        <f>IFERROR(__xludf.DUMMYFUNCTION("""COMPUTED_VALUE"""),"Rambla")</f>
        <v>Rambla</v>
      </c>
      <c r="F7712" s="17" t="str">
        <f>IFERROR(__xludf.DUMMYFUNCTION("""COMPUTED_VALUE"""),"CRA 105 #15B45 LOCAL 15 CENTRO COMERCIAL LAS VELAS  cali / - / -")</f>
        <v>CRA 105 #15B45 LOCAL 15 CENTRO COMERCIAL LAS VELAS  cali / - / -</v>
      </c>
      <c r="G7712" s="15" t="str">
        <f>IFERROR(__xludf.DUMMYFUNCTION("""COMPUTED_VALUE"""),"Wellthy market")</f>
        <v>Wellthy market</v>
      </c>
      <c r="H7712" s="16">
        <f>IFERROR(__xludf.DUMMYFUNCTION("""COMPUTED_VALUE"""),16436.0)</f>
        <v>16436</v>
      </c>
      <c r="I7712" s="18">
        <f>IFERROR(__xludf.DUMMYFUNCTION("""COMPUTED_VALUE"""),24.0)</f>
        <v>24</v>
      </c>
      <c r="J7712" s="18">
        <f>IFERROR(__xludf.DUMMYFUNCTION("""COMPUTED_VALUE"""),25.0)</f>
        <v>25</v>
      </c>
      <c r="K7712" s="18">
        <f>IFERROR(__xludf.DUMMYFUNCTION("""COMPUTED_VALUE"""),25.0)</f>
        <v>25</v>
      </c>
      <c r="L7712" s="17">
        <f>IFERROR(__xludf.DUMMYFUNCTION("""COMPUTED_VALUE"""),3.152542618E9)</f>
        <v>3152542618</v>
      </c>
      <c r="M7712" s="17"/>
      <c r="N7712" s="17"/>
      <c r="O7712" s="17"/>
      <c r="P7712" s="17" t="b">
        <f>IFERROR(__xludf.DUMMYFUNCTION("""COMPUTED_VALUE"""),FALSE)</f>
        <v>0</v>
      </c>
      <c r="Q7712" s="20" t="str">
        <f>IFERROR(__xludf.DUMMYFUNCTION("""COMPUTED_VALUE"""),"")</f>
        <v/>
      </c>
      <c r="R7712" s="21" t="str">
        <f>IFERROR(__xludf.DUMMYFUNCTION("""COMPUTED_VALUE"""),"https://drive.google.com/file/d/1ap3s9q5tPiCOviRydua1_tAkbRm1s4tq/view?usp=drivesdk")</f>
        <v>https://drive.google.com/file/d/1ap3s9q5tPiCOviRydua1_tAkbRm1s4tq/view?usp=drivesdk</v>
      </c>
    </row>
    <row r="7713">
      <c r="A7713" s="15">
        <f>IFERROR(__xludf.DUMMYFUNCTION("""COMPUTED_VALUE"""),45218.0)</f>
        <v>45218</v>
      </c>
      <c r="B7713" s="16" t="str">
        <f>IFERROR(__xludf.DUMMYFUNCTION("""COMPUTED_VALUE"""),"Johan Alexander Escobar Arroyo ")</f>
        <v>Johan Alexander Escobar Arroyo </v>
      </c>
      <c r="C7713" s="15" t="str">
        <f>IFERROR(__xludf.DUMMYFUNCTION("""COMPUTED_VALUE"""),"CÚCUTA")</f>
        <v>CÚCUTA</v>
      </c>
      <c r="D7713" s="15" t="str">
        <f>IFERROR(__xludf.DUMMYFUNCTION("""COMPUTED_VALUE"""),"MEDELLÍN")</f>
        <v>MEDELLÍN</v>
      </c>
      <c r="E7713" s="15" t="str">
        <f>IFERROR(__xludf.DUMMYFUNCTION("""COMPUTED_VALUE"""),"Momo Tea S.A.S Gabriel Echavarría")</f>
        <v>Momo Tea S.A.S Gabriel Echavarría</v>
      </c>
      <c r="F7713" s="17" t="str">
        <f>IFERROR(__xludf.DUMMYFUNCTION("""COMPUTED_VALUE"""),"CL 11 N 16 E 35 / CA B 1")</f>
        <v>CL 11 N 16 E 35 / CA B 1</v>
      </c>
      <c r="G7713" s="15" t="str">
        <f>IFERROR(__xludf.DUMMYFUNCTION("""COMPUTED_VALUE"""),"Gabriel Echavarría")</f>
        <v>Gabriel Echavarría</v>
      </c>
      <c r="H7713" s="16">
        <f>IFERROR(__xludf.DUMMYFUNCTION("""COMPUTED_VALUE"""),16353.0)</f>
        <v>16353</v>
      </c>
      <c r="I7713" s="18">
        <f>IFERROR(__xludf.DUMMYFUNCTION("""COMPUTED_VALUE"""),21.0)</f>
        <v>21</v>
      </c>
      <c r="J7713" s="18">
        <f>IFERROR(__xludf.DUMMYFUNCTION("""COMPUTED_VALUE"""),29.0)</f>
        <v>29</v>
      </c>
      <c r="K7713" s="18">
        <f>IFERROR(__xludf.DUMMYFUNCTION("""COMPUTED_VALUE"""),29.0)</f>
        <v>29</v>
      </c>
      <c r="L7713" s="17">
        <f>IFERROR(__xludf.DUMMYFUNCTION("""COMPUTED_VALUE"""),3.017909548E9)</f>
        <v>3017909548</v>
      </c>
      <c r="M7713" s="17"/>
      <c r="N7713" s="17"/>
      <c r="O7713" s="17"/>
      <c r="P7713" s="17" t="b">
        <f>IFERROR(__xludf.DUMMYFUNCTION("""COMPUTED_VALUE"""),FALSE)</f>
        <v>0</v>
      </c>
      <c r="Q7713" s="20" t="str">
        <f>IFERROR(__xludf.DUMMYFUNCTION("""COMPUTED_VALUE"""),"")</f>
        <v/>
      </c>
      <c r="R7713" s="21" t="str">
        <f>IFERROR(__xludf.DUMMYFUNCTION("""COMPUTED_VALUE"""),"https://drive.google.com/file/d/1ivATbn0mJunOKpInqvnIH3lPihf-tXY6/view?usp=drivesdk")</f>
        <v>https://drive.google.com/file/d/1ivATbn0mJunOKpInqvnIH3lPihf-tXY6/view?usp=drivesdk</v>
      </c>
    </row>
    <row r="7714">
      <c r="A7714" s="17" t="str">
        <f>IFERROR(__xludf.DUMMYFUNCTION("""COMPUTED_VALUE"""),"")</f>
        <v/>
      </c>
      <c r="B7714" s="17" t="str">
        <f>IFERROR(__xludf.DUMMYFUNCTION("""COMPUTED_VALUE"""),"")</f>
        <v/>
      </c>
      <c r="C7714" s="17" t="str">
        <f>IFERROR(__xludf.DUMMYFUNCTION("""COMPUTED_VALUE"""),"")</f>
        <v/>
      </c>
      <c r="D7714" s="17" t="str">
        <f>IFERROR(__xludf.DUMMYFUNCTION("""COMPUTED_VALUE"""),"")</f>
        <v/>
      </c>
      <c r="E7714" s="17" t="str">
        <f>IFERROR(__xludf.DUMMYFUNCTION("""COMPUTED_VALUE"""),"")</f>
        <v/>
      </c>
      <c r="F7714" s="17" t="str">
        <f>IFERROR(__xludf.DUMMYFUNCTION("""COMPUTED_VALUE"""),"")</f>
        <v/>
      </c>
      <c r="G7714" s="17" t="str">
        <f>IFERROR(__xludf.DUMMYFUNCTION("""COMPUTED_VALUE"""),"")</f>
        <v/>
      </c>
      <c r="H7714" s="17" t="str">
        <f>IFERROR(__xludf.DUMMYFUNCTION("""COMPUTED_VALUE"""),"")</f>
        <v/>
      </c>
      <c r="I7714" s="17" t="str">
        <f>IFERROR(__xludf.DUMMYFUNCTION("""COMPUTED_VALUE"""),"")</f>
        <v/>
      </c>
      <c r="J7714" s="17" t="str">
        <f>IFERROR(__xludf.DUMMYFUNCTION("""COMPUTED_VALUE"""),"")</f>
        <v/>
      </c>
      <c r="K7714" s="17" t="str">
        <f>IFERROR(__xludf.DUMMYFUNCTION("""COMPUTED_VALUE"""),"")</f>
        <v/>
      </c>
      <c r="L7714" s="17" t="str">
        <f>IFERROR(__xludf.DUMMYFUNCTION("""COMPUTED_VALUE"""),"")</f>
        <v/>
      </c>
      <c r="M7714" s="17" t="str">
        <f>IFERROR(__xludf.DUMMYFUNCTION("""COMPUTED_VALUE"""),"")</f>
        <v/>
      </c>
      <c r="N7714" s="17" t="str">
        <f>IFERROR(__xludf.DUMMYFUNCTION("""COMPUTED_VALUE"""),"")</f>
        <v/>
      </c>
      <c r="O7714" s="17" t="str">
        <f>IFERROR(__xludf.DUMMYFUNCTION("""COMPUTED_VALUE"""),"")</f>
        <v/>
      </c>
      <c r="P7714" s="17" t="str">
        <f>IFERROR(__xludf.DUMMYFUNCTION("""COMPUTED_VALUE"""),"")</f>
        <v/>
      </c>
      <c r="Q7714" s="17" t="str">
        <f>IFERROR(__xludf.DUMMYFUNCTION("""COMPUTED_VALUE"""),"")</f>
        <v/>
      </c>
      <c r="R7714" s="17" t="str">
        <f>IFERROR(__xludf.DUMMYFUNCTION("""COMPUTED_VALUE"""),"")</f>
        <v/>
      </c>
    </row>
    <row r="7715">
      <c r="A7715" s="15">
        <f>IFERROR(__xludf.DUMMYFUNCTION("""COMPUTED_VALUE"""),45218.0)</f>
        <v>45218</v>
      </c>
      <c r="B7715" s="16" t="str">
        <f>IFERROR(__xludf.DUMMYFUNCTION("""COMPUTED_VALUE"""),"JOSE ALFREDO RAMIREZ VERGARA ")</f>
        <v>JOSE ALFREDO RAMIREZ VERGARA </v>
      </c>
      <c r="C7715" s="15" t="str">
        <f>IFERROR(__xludf.DUMMYFUNCTION("""COMPUTED_VALUE"""),"BOGOTÁ")</f>
        <v>BOGOTÁ</v>
      </c>
      <c r="D7715" s="15" t="str">
        <f>IFERROR(__xludf.DUMMYFUNCTION("""COMPUTED_VALUE"""),"MEDELLÍN")</f>
        <v>MEDELLÍN</v>
      </c>
      <c r="E7715" s="15" t="str">
        <f>IFERROR(__xludf.DUMMYFUNCTION("""COMPUTED_VALUE"""),"Puro Verde")</f>
        <v>Puro Verde</v>
      </c>
      <c r="F7715" s="17" t="str">
        <f>IFERROR(__xludf.DUMMYFUNCTION("""COMPUTED_VALUE"""),"CRA 16A # 77-23 / LOCAL 4 / BARRIO EL LAGO")</f>
        <v>CRA 16A # 77-23 / LOCAL 4 / BARRIO EL LAGO</v>
      </c>
      <c r="G7715" s="15" t="str">
        <f>IFERROR(__xludf.DUMMYFUNCTION("""COMPUTED_VALUE"""),"DANDO CUERDA")</f>
        <v>DANDO CUERDA</v>
      </c>
      <c r="H7715" s="16">
        <f>IFERROR(__xludf.DUMMYFUNCTION("""COMPUTED_VALUE"""),16373.0)</f>
        <v>16373</v>
      </c>
      <c r="I7715" s="18">
        <f>IFERROR(__xludf.DUMMYFUNCTION("""COMPUTED_VALUE"""),55.0)</f>
        <v>55</v>
      </c>
      <c r="J7715" s="18">
        <f>IFERROR(__xludf.DUMMYFUNCTION("""COMPUTED_VALUE"""),45.0)</f>
        <v>45</v>
      </c>
      <c r="K7715" s="18" t="str">
        <f>IFERROR(__xludf.DUMMYFUNCTION("""COMPUTED_VALUE"""),"52.5")</f>
        <v>52.5</v>
      </c>
      <c r="L7715" s="17">
        <f>IFERROR(__xludf.DUMMYFUNCTION("""COMPUTED_VALUE"""),3.163816691E9)</f>
        <v>3163816691</v>
      </c>
      <c r="M7715" s="17"/>
      <c r="N7715" s="17"/>
      <c r="O7715" s="17"/>
      <c r="P7715" s="17" t="b">
        <f>IFERROR(__xludf.DUMMYFUNCTION("""COMPUTED_VALUE"""),FALSE)</f>
        <v>0</v>
      </c>
      <c r="Q7715" s="20" t="str">
        <f>IFERROR(__xludf.DUMMYFUNCTION("""COMPUTED_VALUE"""),"")</f>
        <v/>
      </c>
      <c r="R7715" s="21" t="str">
        <f>IFERROR(__xludf.DUMMYFUNCTION("""COMPUTED_VALUE"""),"https://drive.google.com/file/d/16xWLAY4tW3viFejmpFVKc_eBvvKlL_YE/view?usp=drivesdk")</f>
        <v>https://drive.google.com/file/d/16xWLAY4tW3viFejmpFVKc_eBvvKlL_YE/view?usp=drivesdk</v>
      </c>
    </row>
    <row r="7716">
      <c r="A7716" s="17" t="str">
        <f>IFERROR(__xludf.DUMMYFUNCTION("""COMPUTED_VALUE"""),"")</f>
        <v/>
      </c>
      <c r="B7716" s="17" t="str">
        <f>IFERROR(__xludf.DUMMYFUNCTION("""COMPUTED_VALUE"""),"")</f>
        <v/>
      </c>
      <c r="C7716" s="17" t="str">
        <f>IFERROR(__xludf.DUMMYFUNCTION("""COMPUTED_VALUE"""),"")</f>
        <v/>
      </c>
      <c r="D7716" s="17" t="str">
        <f>IFERROR(__xludf.DUMMYFUNCTION("""COMPUTED_VALUE"""),"")</f>
        <v/>
      </c>
      <c r="E7716" s="17" t="str">
        <f>IFERROR(__xludf.DUMMYFUNCTION("""COMPUTED_VALUE"""),"")</f>
        <v/>
      </c>
      <c r="F7716" s="17" t="str">
        <f>IFERROR(__xludf.DUMMYFUNCTION("""COMPUTED_VALUE"""),"")</f>
        <v/>
      </c>
      <c r="G7716" s="17" t="str">
        <f>IFERROR(__xludf.DUMMYFUNCTION("""COMPUTED_VALUE"""),"")</f>
        <v/>
      </c>
      <c r="H7716" s="17" t="str">
        <f>IFERROR(__xludf.DUMMYFUNCTION("""COMPUTED_VALUE"""),"")</f>
        <v/>
      </c>
      <c r="I7716" s="17" t="str">
        <f>IFERROR(__xludf.DUMMYFUNCTION("""COMPUTED_VALUE"""),"")</f>
        <v/>
      </c>
      <c r="J7716" s="17" t="str">
        <f>IFERROR(__xludf.DUMMYFUNCTION("""COMPUTED_VALUE"""),"")</f>
        <v/>
      </c>
      <c r="K7716" s="17" t="str">
        <f>IFERROR(__xludf.DUMMYFUNCTION("""COMPUTED_VALUE"""),"")</f>
        <v/>
      </c>
      <c r="L7716" s="17" t="str">
        <f>IFERROR(__xludf.DUMMYFUNCTION("""COMPUTED_VALUE"""),"")</f>
        <v/>
      </c>
      <c r="M7716" s="17" t="str">
        <f>IFERROR(__xludf.DUMMYFUNCTION("""COMPUTED_VALUE"""),"")</f>
        <v/>
      </c>
      <c r="N7716" s="17" t="str">
        <f>IFERROR(__xludf.DUMMYFUNCTION("""COMPUTED_VALUE"""),"")</f>
        <v/>
      </c>
      <c r="O7716" s="17" t="str">
        <f>IFERROR(__xludf.DUMMYFUNCTION("""COMPUTED_VALUE"""),"")</f>
        <v/>
      </c>
      <c r="P7716" s="17" t="str">
        <f>IFERROR(__xludf.DUMMYFUNCTION("""COMPUTED_VALUE"""),"")</f>
        <v/>
      </c>
      <c r="Q7716" s="17" t="str">
        <f>IFERROR(__xludf.DUMMYFUNCTION("""COMPUTED_VALUE"""),"")</f>
        <v/>
      </c>
      <c r="R7716" s="17" t="str">
        <f>IFERROR(__xludf.DUMMYFUNCTION("""COMPUTED_VALUE"""),"")</f>
        <v/>
      </c>
    </row>
    <row r="7717">
      <c r="A7717" s="15">
        <f>IFERROR(__xludf.DUMMYFUNCTION("""COMPUTED_VALUE"""),45218.0)</f>
        <v>45218</v>
      </c>
      <c r="B7717" s="16" t="str">
        <f>IFERROR(__xludf.DUMMYFUNCTION("""COMPUTED_VALUE"""),"Orlando Urdaneta Rincon ")</f>
        <v>Orlando Urdaneta Rincon </v>
      </c>
      <c r="C7717" s="15" t="str">
        <f>IFERROR(__xludf.DUMMYFUNCTION("""COMPUTED_VALUE"""),"NEIVA")</f>
        <v>NEIVA</v>
      </c>
      <c r="D7717" s="15" t="str">
        <f>IFERROR(__xludf.DUMMYFUNCTION("""COMPUTED_VALUE"""),"MEDELLÍN")</f>
        <v>MEDELLÍN</v>
      </c>
      <c r="E7717" s="15" t="str">
        <f>IFERROR(__xludf.DUMMYFUNCTION("""COMPUTED_VALUE"""),"Baby Chef")</f>
        <v>Baby Chef</v>
      </c>
      <c r="F7717" s="17" t="str">
        <f>IFERROR(__xludf.DUMMYFUNCTION("""COMPUTED_VALUE"""),"Cra 46 6-29 conjunto antawara apto 303 / . / .")</f>
        <v>Cra 46 6-29 conjunto antawara apto 303 / . / .</v>
      </c>
      <c r="G7717" s="15" t="str">
        <f>IFERROR(__xludf.DUMMYFUNCTION("""COMPUTED_VALUE"""),"Maria Paola Cardenas")</f>
        <v>Maria Paola Cardenas</v>
      </c>
      <c r="H7717" s="16">
        <f>IFERROR(__xludf.DUMMYFUNCTION("""COMPUTED_VALUE"""),16338.0)</f>
        <v>16338</v>
      </c>
      <c r="I7717" s="18">
        <f>IFERROR(__xludf.DUMMYFUNCTION("""COMPUTED_VALUE"""),8.0)</f>
        <v>8</v>
      </c>
      <c r="J7717" s="18">
        <f>IFERROR(__xludf.DUMMYFUNCTION("""COMPUTED_VALUE"""),21.0)</f>
        <v>21</v>
      </c>
      <c r="K7717" s="18">
        <f>IFERROR(__xludf.DUMMYFUNCTION("""COMPUTED_VALUE"""),37.0)</f>
        <v>37</v>
      </c>
      <c r="L7717" s="17">
        <f>IFERROR(__xludf.DUMMYFUNCTION("""COMPUTED_VALUE"""),3.10578461E9)</f>
        <v>3105784610</v>
      </c>
      <c r="M7717" s="17"/>
      <c r="N7717" s="17"/>
      <c r="O7717" s="17"/>
      <c r="P7717" s="17" t="b">
        <f>IFERROR(__xludf.DUMMYFUNCTION("""COMPUTED_VALUE"""),FALSE)</f>
        <v>0</v>
      </c>
      <c r="Q7717" s="20" t="str">
        <f>IFERROR(__xludf.DUMMYFUNCTION("""COMPUTED_VALUE"""),"")</f>
        <v/>
      </c>
      <c r="R7717" s="21" t="str">
        <f>IFERROR(__xludf.DUMMYFUNCTION("""COMPUTED_VALUE"""),"https://drive.google.com/file/d/1WYfgvdAnAiCqo8TgIXH7TO6HsgFHfi4L/view?usp=drivesdk")</f>
        <v>https://drive.google.com/file/d/1WYfgvdAnAiCqo8TgIXH7TO6HsgFHfi4L/view?usp=drivesdk</v>
      </c>
    </row>
    <row r="7718">
      <c r="A7718" s="15">
        <f>IFERROR(__xludf.DUMMYFUNCTION("""COMPUTED_VALUE"""),45218.0)</f>
        <v>45218</v>
      </c>
      <c r="B7718" s="16" t="str">
        <f>IFERROR(__xludf.DUMMYFUNCTION("""COMPUTED_VALUE"""),"Orlando Urdaneta Rincon ")</f>
        <v>Orlando Urdaneta Rincon </v>
      </c>
      <c r="C7718" s="15" t="str">
        <f>IFERROR(__xludf.DUMMYFUNCTION("""COMPUTED_VALUE"""),"SANTA MARTA")</f>
        <v>SANTA MARTA</v>
      </c>
      <c r="D7718" s="15" t="str">
        <f>IFERROR(__xludf.DUMMYFUNCTION("""COMPUTED_VALUE"""),"BOGOTÁ")</f>
        <v>BOGOTÁ</v>
      </c>
      <c r="E7718" s="15" t="str">
        <f>IFERROR(__xludf.DUMMYFUNCTION("""COMPUTED_VALUE"""),"Juan Carlos Aponte")</f>
        <v>Juan Carlos Aponte</v>
      </c>
      <c r="F7718" s="17" t="str">
        <f>IFERROR(__xludf.DUMMYFUNCTION("""COMPUTED_VALUE"""),"Km 14 - 278 Carrera 90 calle 113 / Edificio Balcones de Andalucía Apto B54 / Bello Horizonte Santa Marta Magdalena CO")</f>
        <v>Km 14 - 278 Carrera 90 calle 113 / Edificio Balcones de Andalucía Apto B54 / Bello Horizonte Santa Marta Magdalena CO</v>
      </c>
      <c r="G7718" s="15" t="str">
        <f>IFERROR(__xludf.DUMMYFUNCTION("""COMPUTED_VALUE"""),"Juan Carlos Aponte Ordóñez")</f>
        <v>Juan Carlos Aponte Ordóñez</v>
      </c>
      <c r="H7718" s="16">
        <f>IFERROR(__xludf.DUMMYFUNCTION("""COMPUTED_VALUE"""),16345.0)</f>
        <v>16345</v>
      </c>
      <c r="I7718" s="18">
        <f>IFERROR(__xludf.DUMMYFUNCTION("""COMPUTED_VALUE"""),50.0)</f>
        <v>50</v>
      </c>
      <c r="J7718" s="18">
        <f>IFERROR(__xludf.DUMMYFUNCTION("""COMPUTED_VALUE"""),60.0)</f>
        <v>60</v>
      </c>
      <c r="K7718" s="18">
        <f>IFERROR(__xludf.DUMMYFUNCTION("""COMPUTED_VALUE"""),50.0)</f>
        <v>50</v>
      </c>
      <c r="L7718" s="17">
        <f>IFERROR(__xludf.DUMMYFUNCTION("""COMPUTED_VALUE"""),3.157835032E9)</f>
        <v>3157835032</v>
      </c>
      <c r="M7718" s="17"/>
      <c r="N7718" s="17"/>
      <c r="O7718" s="17"/>
      <c r="P7718" s="17" t="b">
        <f>IFERROR(__xludf.DUMMYFUNCTION("""COMPUTED_VALUE"""),FALSE)</f>
        <v>0</v>
      </c>
      <c r="Q7718" s="20" t="str">
        <f>IFERROR(__xludf.DUMMYFUNCTION("""COMPUTED_VALUE"""),"")</f>
        <v/>
      </c>
      <c r="R7718" s="21" t="str">
        <f>IFERROR(__xludf.DUMMYFUNCTION("""COMPUTED_VALUE"""),"https://drive.google.com/file/d/1F--6-bPJF-0mruA_itFB59DJUKjw4rau/view?usp=drivesdk")</f>
        <v>https://drive.google.com/file/d/1F--6-bPJF-0mruA_itFB59DJUKjw4rau/view?usp=drivesdk</v>
      </c>
    </row>
    <row r="7719">
      <c r="A7719" s="17" t="str">
        <f>IFERROR(__xludf.DUMMYFUNCTION("""COMPUTED_VALUE"""),"")</f>
        <v/>
      </c>
      <c r="B7719" s="17" t="str">
        <f>IFERROR(__xludf.DUMMYFUNCTION("""COMPUTED_VALUE"""),"")</f>
        <v/>
      </c>
      <c r="C7719" s="17" t="str">
        <f>IFERROR(__xludf.DUMMYFUNCTION("""COMPUTED_VALUE"""),"")</f>
        <v/>
      </c>
      <c r="D7719" s="17" t="str">
        <f>IFERROR(__xludf.DUMMYFUNCTION("""COMPUTED_VALUE"""),"")</f>
        <v/>
      </c>
      <c r="E7719" s="17" t="str">
        <f>IFERROR(__xludf.DUMMYFUNCTION("""COMPUTED_VALUE"""),"")</f>
        <v/>
      </c>
      <c r="F7719" s="17" t="str">
        <f>IFERROR(__xludf.DUMMYFUNCTION("""COMPUTED_VALUE"""),"")</f>
        <v/>
      </c>
      <c r="G7719" s="17" t="str">
        <f>IFERROR(__xludf.DUMMYFUNCTION("""COMPUTED_VALUE"""),"")</f>
        <v/>
      </c>
      <c r="H7719" s="17" t="str">
        <f>IFERROR(__xludf.DUMMYFUNCTION("""COMPUTED_VALUE"""),"")</f>
        <v/>
      </c>
      <c r="I7719" s="17" t="str">
        <f>IFERROR(__xludf.DUMMYFUNCTION("""COMPUTED_VALUE"""),"")</f>
        <v/>
      </c>
      <c r="J7719" s="17" t="str">
        <f>IFERROR(__xludf.DUMMYFUNCTION("""COMPUTED_VALUE"""),"")</f>
        <v/>
      </c>
      <c r="K7719" s="17" t="str">
        <f>IFERROR(__xludf.DUMMYFUNCTION("""COMPUTED_VALUE"""),"")</f>
        <v/>
      </c>
      <c r="L7719" s="17" t="str">
        <f>IFERROR(__xludf.DUMMYFUNCTION("""COMPUTED_VALUE"""),"")</f>
        <v/>
      </c>
      <c r="M7719" s="17" t="str">
        <f>IFERROR(__xludf.DUMMYFUNCTION("""COMPUTED_VALUE"""),"")</f>
        <v/>
      </c>
      <c r="N7719" s="17" t="str">
        <f>IFERROR(__xludf.DUMMYFUNCTION("""COMPUTED_VALUE"""),"")</f>
        <v/>
      </c>
      <c r="O7719" s="17" t="str">
        <f>IFERROR(__xludf.DUMMYFUNCTION("""COMPUTED_VALUE"""),"")</f>
        <v/>
      </c>
      <c r="P7719" s="17" t="str">
        <f>IFERROR(__xludf.DUMMYFUNCTION("""COMPUTED_VALUE"""),"")</f>
        <v/>
      </c>
      <c r="Q7719" s="17" t="str">
        <f>IFERROR(__xludf.DUMMYFUNCTION("""COMPUTED_VALUE"""),"")</f>
        <v/>
      </c>
      <c r="R7719" s="17" t="str">
        <f>IFERROR(__xludf.DUMMYFUNCTION("""COMPUTED_VALUE"""),"")</f>
        <v/>
      </c>
    </row>
    <row r="7720">
      <c r="A7720" s="15">
        <f>IFERROR(__xludf.DUMMYFUNCTION("""COMPUTED_VALUE"""),45218.0)</f>
        <v>45218</v>
      </c>
      <c r="B7720" s="16" t="str">
        <f>IFERROR(__xludf.DUMMYFUNCTION("""COMPUTED_VALUE"""),"Santiago Garces Restrepo")</f>
        <v>Santiago Garces Restrepo</v>
      </c>
      <c r="C7720" s="15" t="str">
        <f>IFERROR(__xludf.DUMMYFUNCTION("""COMPUTED_VALUE"""),"CALI")</f>
        <v>CALI</v>
      </c>
      <c r="D7720" s="15" t="str">
        <f>IFERROR(__xludf.DUMMYFUNCTION("""COMPUTED_VALUE"""),"MEDELLÍN")</f>
        <v>MEDELLÍN</v>
      </c>
      <c r="E7720" s="15" t="str">
        <f>IFERROR(__xludf.DUMMYFUNCTION("""COMPUTED_VALUE"""),"Terravocado")</f>
        <v>Terravocado</v>
      </c>
      <c r="F7720" s="17" t="str">
        <f>IFERROR(__xludf.DUMMYFUNCTION("""COMPUTED_VALUE"""),"CLL 33 AN 2 A 73 / CONJUNTO DEL CEREZO APT 208A  / CALI")</f>
        <v>CLL 33 AN 2 A 73 / CONJUNTO DEL CEREZO APT 208A  / CALI</v>
      </c>
      <c r="G7720" s="15" t="str">
        <f>IFERROR(__xludf.DUMMYFUNCTION("""COMPUTED_VALUE"""),"JAIME GIRON  - LINA MARCELA")</f>
        <v>JAIME GIRON  - LINA MARCELA</v>
      </c>
      <c r="H7720" s="16">
        <f>IFERROR(__xludf.DUMMYFUNCTION("""COMPUTED_VALUE"""),16382.0)</f>
        <v>16382</v>
      </c>
      <c r="I7720" s="18">
        <f>IFERROR(__xludf.DUMMYFUNCTION("""COMPUTED_VALUE"""),34.0)</f>
        <v>34</v>
      </c>
      <c r="J7720" s="18">
        <f>IFERROR(__xludf.DUMMYFUNCTION("""COMPUTED_VALUE"""),24.0)</f>
        <v>24</v>
      </c>
      <c r="K7720" s="18">
        <f>IFERROR(__xludf.DUMMYFUNCTION("""COMPUTED_VALUE"""),20.0)</f>
        <v>20</v>
      </c>
      <c r="L7720" s="17">
        <f>IFERROR(__xludf.DUMMYFUNCTION("""COMPUTED_VALUE"""),3.206667413E9)</f>
        <v>3206667413</v>
      </c>
      <c r="M7720" s="17"/>
      <c r="N7720" s="17"/>
      <c r="O7720" s="17"/>
      <c r="P7720" s="17" t="b">
        <f>IFERROR(__xludf.DUMMYFUNCTION("""COMPUTED_VALUE"""),FALSE)</f>
        <v>0</v>
      </c>
      <c r="Q7720" s="20" t="str">
        <f>IFERROR(__xludf.DUMMYFUNCTION("""COMPUTED_VALUE"""),"")</f>
        <v/>
      </c>
      <c r="R7720" s="21" t="str">
        <f>IFERROR(__xludf.DUMMYFUNCTION("""COMPUTED_VALUE"""),"https://drive.google.com/file/d/1YEACePyNsxoxNmI7hNwuc-n5t9ufSvvy/view?usp=drivesdk")</f>
        <v>https://drive.google.com/file/d/1YEACePyNsxoxNmI7hNwuc-n5t9ufSvvy/view?usp=drivesdk</v>
      </c>
    </row>
    <row r="7721">
      <c r="A7721" s="17" t="str">
        <f>IFERROR(__xludf.DUMMYFUNCTION("""COMPUTED_VALUE"""),"")</f>
        <v/>
      </c>
      <c r="B7721" s="17" t="str">
        <f>IFERROR(__xludf.DUMMYFUNCTION("""COMPUTED_VALUE"""),"")</f>
        <v/>
      </c>
      <c r="C7721" s="17" t="str">
        <f>IFERROR(__xludf.DUMMYFUNCTION("""COMPUTED_VALUE"""),"")</f>
        <v/>
      </c>
      <c r="D7721" s="17" t="str">
        <f>IFERROR(__xludf.DUMMYFUNCTION("""COMPUTED_VALUE"""),"")</f>
        <v/>
      </c>
      <c r="E7721" s="17" t="str">
        <f>IFERROR(__xludf.DUMMYFUNCTION("""COMPUTED_VALUE"""),"")</f>
        <v/>
      </c>
      <c r="F7721" s="17" t="str">
        <f>IFERROR(__xludf.DUMMYFUNCTION("""COMPUTED_VALUE"""),"")</f>
        <v/>
      </c>
      <c r="G7721" s="17" t="str">
        <f>IFERROR(__xludf.DUMMYFUNCTION("""COMPUTED_VALUE"""),"")</f>
        <v/>
      </c>
      <c r="H7721" s="17" t="str">
        <f>IFERROR(__xludf.DUMMYFUNCTION("""COMPUTED_VALUE"""),"")</f>
        <v/>
      </c>
      <c r="I7721" s="17" t="str">
        <f>IFERROR(__xludf.DUMMYFUNCTION("""COMPUTED_VALUE"""),"")</f>
        <v/>
      </c>
      <c r="J7721" s="17" t="str">
        <f>IFERROR(__xludf.DUMMYFUNCTION("""COMPUTED_VALUE"""),"")</f>
        <v/>
      </c>
      <c r="K7721" s="17" t="str">
        <f>IFERROR(__xludf.DUMMYFUNCTION("""COMPUTED_VALUE"""),"")</f>
        <v/>
      </c>
      <c r="L7721" s="17" t="str">
        <f>IFERROR(__xludf.DUMMYFUNCTION("""COMPUTED_VALUE"""),"")</f>
        <v/>
      </c>
      <c r="M7721" s="17" t="str">
        <f>IFERROR(__xludf.DUMMYFUNCTION("""COMPUTED_VALUE"""),"")</f>
        <v/>
      </c>
      <c r="N7721" s="17" t="str">
        <f>IFERROR(__xludf.DUMMYFUNCTION("""COMPUTED_VALUE"""),"")</f>
        <v/>
      </c>
      <c r="O7721" s="17" t="str">
        <f>IFERROR(__xludf.DUMMYFUNCTION("""COMPUTED_VALUE"""),"")</f>
        <v/>
      </c>
      <c r="P7721" s="17" t="str">
        <f>IFERROR(__xludf.DUMMYFUNCTION("""COMPUTED_VALUE"""),"")</f>
        <v/>
      </c>
      <c r="Q7721" s="17" t="str">
        <f>IFERROR(__xludf.DUMMYFUNCTION("""COMPUTED_VALUE"""),"")</f>
        <v/>
      </c>
      <c r="R7721" s="17" t="str">
        <f>IFERROR(__xludf.DUMMYFUNCTION("""COMPUTED_VALUE"""),"")</f>
        <v/>
      </c>
    </row>
    <row r="7722">
      <c r="A7722" s="15">
        <f>IFERROR(__xludf.DUMMYFUNCTION("""COMPUTED_VALUE"""),45219.0)</f>
        <v>45219</v>
      </c>
      <c r="B7722" s="16" t="str">
        <f>IFERROR(__xludf.DUMMYFUNCTION("""COMPUTED_VALUE"""),"Alvaro Chacón")</f>
        <v>Alvaro Chacón</v>
      </c>
      <c r="C7722" s="15" t="str">
        <f>IFERROR(__xludf.DUMMYFUNCTION("""COMPUTED_VALUE"""),"BOGOTÁ")</f>
        <v>BOGOTÁ</v>
      </c>
      <c r="D7722" s="15" t="str">
        <f>IFERROR(__xludf.DUMMYFUNCTION("""COMPUTED_VALUE"""),"CALI")</f>
        <v>CALI</v>
      </c>
      <c r="E7722" s="15" t="str">
        <f>IFERROR(__xludf.DUMMYFUNCTION("""COMPUTED_VALUE"""),"Natalia Carreño")</f>
        <v>Natalia Carreño</v>
      </c>
      <c r="F7722" s="17" t="str">
        <f>IFERROR(__xludf.DUMMYFUNCTION("""COMPUTED_VALUE"""),"Carrera 27 #70-83 / Casa rosada / Barrio los alcazares")</f>
        <v>Carrera 27 #70-83 / Casa rosada / Barrio los alcazares</v>
      </c>
      <c r="G7722" s="15" t="str">
        <f>IFERROR(__xludf.DUMMYFUNCTION("""COMPUTED_VALUE"""),"Natalia Carreño")</f>
        <v>Natalia Carreño</v>
      </c>
      <c r="H7722" s="16">
        <f>IFERROR(__xludf.DUMMYFUNCTION("""COMPUTED_VALUE"""),16449.0)</f>
        <v>16449</v>
      </c>
      <c r="I7722" s="18">
        <f>IFERROR(__xludf.DUMMYFUNCTION("""COMPUTED_VALUE"""),60.0)</f>
        <v>60</v>
      </c>
      <c r="J7722" s="18">
        <f>IFERROR(__xludf.DUMMYFUNCTION("""COMPUTED_VALUE"""),50.0)</f>
        <v>50</v>
      </c>
      <c r="K7722" s="18">
        <f>IFERROR(__xludf.DUMMYFUNCTION("""COMPUTED_VALUE"""),50.0)</f>
        <v>50</v>
      </c>
      <c r="L7722" s="17">
        <f>IFERROR(__xludf.DUMMYFUNCTION("""COMPUTED_VALUE"""),3.11561131E9)</f>
        <v>3115611310</v>
      </c>
      <c r="M7722" s="17"/>
      <c r="N7722" s="17"/>
      <c r="O7722" s="17"/>
      <c r="P7722" s="17" t="b">
        <f>IFERROR(__xludf.DUMMYFUNCTION("""COMPUTED_VALUE"""),FALSE)</f>
        <v>0</v>
      </c>
      <c r="Q7722" s="20" t="str">
        <f>IFERROR(__xludf.DUMMYFUNCTION("""COMPUTED_VALUE"""),"")</f>
        <v/>
      </c>
      <c r="R7722" s="21" t="str">
        <f>IFERROR(__xludf.DUMMYFUNCTION("""COMPUTED_VALUE"""),"https://drive.google.com/file/d/1X7-XSaJBBWXXF7j3zkyRIvvxorHg8D5j/view?usp=drivesdk")</f>
        <v>https://drive.google.com/file/d/1X7-XSaJBBWXXF7j3zkyRIvvxorHg8D5j/view?usp=drivesdk</v>
      </c>
    </row>
    <row r="7723">
      <c r="A7723" s="15">
        <f>IFERROR(__xludf.DUMMYFUNCTION("""COMPUTED_VALUE"""),45219.0)</f>
        <v>45219</v>
      </c>
      <c r="B7723" s="16" t="str">
        <f>IFERROR(__xludf.DUMMYFUNCTION("""COMPUTED_VALUE"""),"Alvaro Chacón")</f>
        <v>Alvaro Chacón</v>
      </c>
      <c r="C7723" s="15" t="str">
        <f>IFERROR(__xludf.DUMMYFUNCTION("""COMPUTED_VALUE"""),"BOGOTÁ")</f>
        <v>BOGOTÁ</v>
      </c>
      <c r="D7723" s="15" t="str">
        <f>IFERROR(__xludf.DUMMYFUNCTION("""COMPUTED_VALUE"""),"MEDELLÍN")</f>
        <v>MEDELLÍN</v>
      </c>
      <c r="E7723" s="15" t="str">
        <f>IFERROR(__xludf.DUMMYFUNCTION("""COMPUTED_VALUE"""),"AREPAS LA MARY")</f>
        <v>AREPAS LA MARY</v>
      </c>
      <c r="F7723" s="17" t="str">
        <f>IFERROR(__xludf.DUMMYFUNCTION("""COMPUTED_VALUE"""),"AV. ESPERANZA N.46 39 APTO 205 / QUINTA PAREDES BOGOTA")</f>
        <v>AV. ESPERANZA N.46 39 APTO 205 / QUINTA PAREDES BOGOTA</v>
      </c>
      <c r="G7723" s="15" t="str">
        <f>IFERROR(__xludf.DUMMYFUNCTION("""COMPUTED_VALUE"""),"ANDREA ARIAS")</f>
        <v>ANDREA ARIAS</v>
      </c>
      <c r="H7723" s="16">
        <f>IFERROR(__xludf.DUMMYFUNCTION("""COMPUTED_VALUE"""),16400.0)</f>
        <v>16400</v>
      </c>
      <c r="I7723" s="18">
        <f>IFERROR(__xludf.DUMMYFUNCTION("""COMPUTED_VALUE"""),89.0)</f>
        <v>89</v>
      </c>
      <c r="J7723" s="18">
        <f>IFERROR(__xludf.DUMMYFUNCTION("""COMPUTED_VALUE"""),1.0)</f>
        <v>1</v>
      </c>
      <c r="K7723" s="18">
        <f>IFERROR(__xludf.DUMMYFUNCTION("""COMPUTED_VALUE"""),10.0)</f>
        <v>10</v>
      </c>
      <c r="L7723" s="17">
        <f>IFERROR(__xludf.DUMMYFUNCTION("""COMPUTED_VALUE"""),3.504287479E9)</f>
        <v>3504287479</v>
      </c>
      <c r="M7723" s="17"/>
      <c r="N7723" s="17"/>
      <c r="O7723" s="17"/>
      <c r="P7723" s="17" t="b">
        <f>IFERROR(__xludf.DUMMYFUNCTION("""COMPUTED_VALUE"""),FALSE)</f>
        <v>0</v>
      </c>
      <c r="Q7723" s="20" t="str">
        <f>IFERROR(__xludf.DUMMYFUNCTION("""COMPUTED_VALUE"""),"")</f>
        <v/>
      </c>
      <c r="R7723" s="21" t="str">
        <f>IFERROR(__xludf.DUMMYFUNCTION("""COMPUTED_VALUE"""),"https://drive.google.com/file/d/1ZnH70Ai_qrQyOdP4vZGyz8bM9h2mHVsZ/view?usp=drivesdk")</f>
        <v>https://drive.google.com/file/d/1ZnH70Ai_qrQyOdP4vZGyz8bM9h2mHVsZ/view?usp=drivesdk</v>
      </c>
    </row>
    <row r="7724">
      <c r="A7724" s="15">
        <f>IFERROR(__xludf.DUMMYFUNCTION("""COMPUTED_VALUE"""),45219.0)</f>
        <v>45219</v>
      </c>
      <c r="B7724" s="16" t="str">
        <f>IFERROR(__xludf.DUMMYFUNCTION("""COMPUTED_VALUE"""),"Alvaro Chacón")</f>
        <v>Alvaro Chacón</v>
      </c>
      <c r="C7724" s="15" t="str">
        <f>IFERROR(__xludf.DUMMYFUNCTION("""COMPUTED_VALUE"""),"BOGOTÁ")</f>
        <v>BOGOTÁ</v>
      </c>
      <c r="D7724" s="15" t="str">
        <f>IFERROR(__xludf.DUMMYFUNCTION("""COMPUTED_VALUE"""),"MEDELLÍN")</f>
        <v>MEDELLÍN</v>
      </c>
      <c r="E7724" s="15" t="str">
        <f>IFERROR(__xludf.DUMMYFUNCTION("""COMPUTED_VALUE"""),"AREPAS LA MARY")</f>
        <v>AREPAS LA MARY</v>
      </c>
      <c r="F7724" s="17" t="str">
        <f>IFERROR(__xludf.DUMMYFUNCTION("""COMPUTED_VALUE"""),"calle 40c #13-21, / conjunto residencial bariloche")</f>
        <v>calle 40c #13-21, / conjunto residencial bariloche</v>
      </c>
      <c r="G7724" s="15" t="str">
        <f>IFERROR(__xludf.DUMMYFUNCTION("""COMPUTED_VALUE"""),"YENNIFER MARMOLEJO")</f>
        <v>YENNIFER MARMOLEJO</v>
      </c>
      <c r="H7724" s="16">
        <f>IFERROR(__xludf.DUMMYFUNCTION("""COMPUTED_VALUE"""),16458.0)</f>
        <v>16458</v>
      </c>
      <c r="I7724" s="18">
        <f>IFERROR(__xludf.DUMMYFUNCTION("""COMPUTED_VALUE"""),89.0)</f>
        <v>89</v>
      </c>
      <c r="J7724" s="18">
        <f>IFERROR(__xludf.DUMMYFUNCTION("""COMPUTED_VALUE"""),1.0)</f>
        <v>1</v>
      </c>
      <c r="K7724" s="18">
        <f>IFERROR(__xludf.DUMMYFUNCTION("""COMPUTED_VALUE"""),10.0)</f>
        <v>10</v>
      </c>
      <c r="L7724" s="17">
        <f>IFERROR(__xludf.DUMMYFUNCTION("""COMPUTED_VALUE"""),3.01333367E9)</f>
        <v>3013333670</v>
      </c>
      <c r="M7724" s="17"/>
      <c r="N7724" s="17"/>
      <c r="O7724" s="17"/>
      <c r="P7724" s="17" t="b">
        <f>IFERROR(__xludf.DUMMYFUNCTION("""COMPUTED_VALUE"""),FALSE)</f>
        <v>0</v>
      </c>
      <c r="Q7724" s="20" t="str">
        <f>IFERROR(__xludf.DUMMYFUNCTION("""COMPUTED_VALUE"""),"")</f>
        <v/>
      </c>
      <c r="R7724" s="21" t="str">
        <f>IFERROR(__xludf.DUMMYFUNCTION("""COMPUTED_VALUE"""),"https://drive.google.com/file/d/1R0HBh96QO-mFmIQ9A3tbsSQXA9XN-bss/view?usp=drivesdk")</f>
        <v>https://drive.google.com/file/d/1R0HBh96QO-mFmIQ9A3tbsSQXA9XN-bss/view?usp=drivesdk</v>
      </c>
    </row>
    <row r="7725">
      <c r="A7725" s="15">
        <f>IFERROR(__xludf.DUMMYFUNCTION("""COMPUTED_VALUE"""),45219.0)</f>
        <v>45219</v>
      </c>
      <c r="B7725" s="16" t="str">
        <f>IFERROR(__xludf.DUMMYFUNCTION("""COMPUTED_VALUE"""),"Alvaro Chacón")</f>
        <v>Alvaro Chacón</v>
      </c>
      <c r="C7725" s="15" t="str">
        <f>IFERROR(__xludf.DUMMYFUNCTION("""COMPUTED_VALUE"""),"BOGOTÁ")</f>
        <v>BOGOTÁ</v>
      </c>
      <c r="D7725" s="15" t="str">
        <f>IFERROR(__xludf.DUMMYFUNCTION("""COMPUTED_VALUE"""),"MEDELLÍN")</f>
        <v>MEDELLÍN</v>
      </c>
      <c r="E7725" s="15" t="str">
        <f>IFERROR(__xludf.DUMMYFUNCTION("""COMPUTED_VALUE"""),"Baby Chef")</f>
        <v>Baby Chef</v>
      </c>
      <c r="F7725" s="17" t="str">
        <f>IFERROR(__xludf.DUMMYFUNCTION("""COMPUTED_VALUE"""),"Calle 1 #52-45 apto 201 barrio la ponderosa / . / .")</f>
        <v>Calle 1 #52-45 apto 201 barrio la ponderosa / . / .</v>
      </c>
      <c r="G7725" s="15" t="str">
        <f>IFERROR(__xludf.DUMMYFUNCTION("""COMPUTED_VALUE"""),"Juliana Andrea Pinzón wilches")</f>
        <v>Juliana Andrea Pinzón wilches</v>
      </c>
      <c r="H7725" s="16">
        <f>IFERROR(__xludf.DUMMYFUNCTION("""COMPUTED_VALUE"""),16452.0)</f>
        <v>16452</v>
      </c>
      <c r="I7725" s="18">
        <f>IFERROR(__xludf.DUMMYFUNCTION("""COMPUTED_VALUE"""),9.0)</f>
        <v>9</v>
      </c>
      <c r="J7725" s="18">
        <f>IFERROR(__xludf.DUMMYFUNCTION("""COMPUTED_VALUE"""),22.0)</f>
        <v>22</v>
      </c>
      <c r="K7725" s="18">
        <f>IFERROR(__xludf.DUMMYFUNCTION("""COMPUTED_VALUE"""),26.0)</f>
        <v>26</v>
      </c>
      <c r="L7725" s="17">
        <f>IFERROR(__xludf.DUMMYFUNCTION("""COMPUTED_VALUE"""),3.177362504E9)</f>
        <v>3177362504</v>
      </c>
      <c r="M7725" s="17"/>
      <c r="N7725" s="17"/>
      <c r="O7725" s="17"/>
      <c r="P7725" s="17" t="b">
        <f>IFERROR(__xludf.DUMMYFUNCTION("""COMPUTED_VALUE"""),FALSE)</f>
        <v>0</v>
      </c>
      <c r="Q7725" s="20" t="str">
        <f>IFERROR(__xludf.DUMMYFUNCTION("""COMPUTED_VALUE"""),"")</f>
        <v/>
      </c>
      <c r="R7725" s="21" t="str">
        <f>IFERROR(__xludf.DUMMYFUNCTION("""COMPUTED_VALUE"""),"https://drive.google.com/file/d/1Giwx4XLVeNw5Mq6QIVr-RgWDWPfQebEc/view?usp=drivesdk")</f>
        <v>https://drive.google.com/file/d/1Giwx4XLVeNw5Mq6QIVr-RgWDWPfQebEc/view?usp=drivesdk</v>
      </c>
    </row>
    <row r="7726">
      <c r="A7726" s="15">
        <f>IFERROR(__xludf.DUMMYFUNCTION("""COMPUTED_VALUE"""),45219.0)</f>
        <v>45219</v>
      </c>
      <c r="B7726" s="16" t="str">
        <f>IFERROR(__xludf.DUMMYFUNCTION("""COMPUTED_VALUE"""),"Alvaro Chacón")</f>
        <v>Alvaro Chacón</v>
      </c>
      <c r="C7726" s="15" t="str">
        <f>IFERROR(__xludf.DUMMYFUNCTION("""COMPUTED_VALUE"""),"BOGOTÁ")</f>
        <v>BOGOTÁ</v>
      </c>
      <c r="D7726" s="15" t="str">
        <f>IFERROR(__xludf.DUMMYFUNCTION("""COMPUTED_VALUE"""),"MEDELLÍN")</f>
        <v>MEDELLÍN</v>
      </c>
      <c r="E7726" s="15" t="str">
        <f>IFERROR(__xludf.DUMMYFUNCTION("""COMPUTED_VALUE"""),"Baby Chef")</f>
        <v>Baby Chef</v>
      </c>
      <c r="F7726" s="17" t="str">
        <f>IFERROR(__xludf.DUMMYFUNCTION("""COMPUTED_VALUE"""),"calle 71#68f-84 Bellavista cerca del alkosto de la 68, apto 202, Bogota / . / .")</f>
        <v>calle 71#68f-84 Bellavista cerca del alkosto de la 68, apto 202, Bogota / . / .</v>
      </c>
      <c r="G7726" s="15" t="str">
        <f>IFERROR(__xludf.DUMMYFUNCTION("""COMPUTED_VALUE"""),"Yuranys Rodríguez")</f>
        <v>Yuranys Rodríguez</v>
      </c>
      <c r="H7726" s="16">
        <f>IFERROR(__xludf.DUMMYFUNCTION("""COMPUTED_VALUE"""),16450.0)</f>
        <v>16450</v>
      </c>
      <c r="I7726" s="18">
        <f>IFERROR(__xludf.DUMMYFUNCTION("""COMPUTED_VALUE"""),6.0)</f>
        <v>6</v>
      </c>
      <c r="J7726" s="18">
        <f>IFERROR(__xludf.DUMMYFUNCTION("""COMPUTED_VALUE"""),22.0)</f>
        <v>22</v>
      </c>
      <c r="K7726" s="18">
        <f>IFERROR(__xludf.DUMMYFUNCTION("""COMPUTED_VALUE"""),23.0)</f>
        <v>23</v>
      </c>
      <c r="L7726" s="17">
        <f>IFERROR(__xludf.DUMMYFUNCTION("""COMPUTED_VALUE"""),3.158900316E9)</f>
        <v>3158900316</v>
      </c>
      <c r="M7726" s="17"/>
      <c r="N7726" s="17"/>
      <c r="O7726" s="17"/>
      <c r="P7726" s="17" t="b">
        <f>IFERROR(__xludf.DUMMYFUNCTION("""COMPUTED_VALUE"""),FALSE)</f>
        <v>0</v>
      </c>
      <c r="Q7726" s="20" t="str">
        <f>IFERROR(__xludf.DUMMYFUNCTION("""COMPUTED_VALUE"""),"")</f>
        <v/>
      </c>
      <c r="R7726" s="21" t="str">
        <f>IFERROR(__xludf.DUMMYFUNCTION("""COMPUTED_VALUE"""),"https://drive.google.com/file/d/1VdXsDzrershHp0X0bmRaNzEnm13Cr2DR/view?usp=drivesdk")</f>
        <v>https://drive.google.com/file/d/1VdXsDzrershHp0X0bmRaNzEnm13Cr2DR/view?usp=drivesdk</v>
      </c>
    </row>
    <row r="7727">
      <c r="A7727" s="15">
        <f>IFERROR(__xludf.DUMMYFUNCTION("""COMPUTED_VALUE"""),45219.0)</f>
        <v>45219</v>
      </c>
      <c r="B7727" s="16" t="str">
        <f>IFERROR(__xludf.DUMMYFUNCTION("""COMPUTED_VALUE"""),"Alvaro Chacón")</f>
        <v>Alvaro Chacón</v>
      </c>
      <c r="C7727" s="15" t="str">
        <f>IFERROR(__xludf.DUMMYFUNCTION("""COMPUTED_VALUE"""),"BOGOTÁ")</f>
        <v>BOGOTÁ</v>
      </c>
      <c r="D7727" s="15" t="str">
        <f>IFERROR(__xludf.DUMMYFUNCTION("""COMPUTED_VALUE"""),"MEDELLÍN")</f>
        <v>MEDELLÍN</v>
      </c>
      <c r="E7727" s="15" t="str">
        <f>IFERROR(__xludf.DUMMYFUNCTION("""COMPUTED_VALUE"""),"Baby Chef")</f>
        <v>Baby Chef</v>
      </c>
      <c r="F7727" s="17" t="str">
        <f>IFERROR(__xludf.DUMMYFUNCTION("""COMPUTED_VALUE"""),"Carrera 19B # 86A 47 apt 401  Barrio Antiguo Country / . / .")</f>
        <v>Carrera 19B # 86A 47 apt 401  Barrio Antiguo Country / . / .</v>
      </c>
      <c r="G7727" s="15" t="str">
        <f>IFERROR(__xludf.DUMMYFUNCTION("""COMPUTED_VALUE"""),"Olga Lucia Mariño")</f>
        <v>Olga Lucia Mariño</v>
      </c>
      <c r="H7727" s="16">
        <f>IFERROR(__xludf.DUMMYFUNCTION("""COMPUTED_VALUE"""),16451.0)</f>
        <v>16451</v>
      </c>
      <c r="I7727" s="18">
        <f>IFERROR(__xludf.DUMMYFUNCTION("""COMPUTED_VALUE"""),6.0)</f>
        <v>6</v>
      </c>
      <c r="J7727" s="18">
        <f>IFERROR(__xludf.DUMMYFUNCTION("""COMPUTED_VALUE"""),22.0)</f>
        <v>22</v>
      </c>
      <c r="K7727" s="18">
        <f>IFERROR(__xludf.DUMMYFUNCTION("""COMPUTED_VALUE"""),29.0)</f>
        <v>29</v>
      </c>
      <c r="L7727" s="17">
        <f>IFERROR(__xludf.DUMMYFUNCTION("""COMPUTED_VALUE"""),3.005548003E9)</f>
        <v>3005548003</v>
      </c>
      <c r="M7727" s="17"/>
      <c r="N7727" s="17"/>
      <c r="O7727" s="17"/>
      <c r="P7727" s="17" t="b">
        <f>IFERROR(__xludf.DUMMYFUNCTION("""COMPUTED_VALUE"""),FALSE)</f>
        <v>0</v>
      </c>
      <c r="Q7727" s="20" t="str">
        <f>IFERROR(__xludf.DUMMYFUNCTION("""COMPUTED_VALUE"""),"")</f>
        <v/>
      </c>
      <c r="R7727" s="21" t="str">
        <f>IFERROR(__xludf.DUMMYFUNCTION("""COMPUTED_VALUE"""),"https://drive.google.com/file/d/1WMBeShmxu4yDKEjWKpOvFKxvGx70oqoQ/view?usp=drivesdk")</f>
        <v>https://drive.google.com/file/d/1WMBeShmxu4yDKEjWKpOvFKxvGx70oqoQ/view?usp=drivesdk</v>
      </c>
    </row>
    <row r="7728">
      <c r="A7728" s="15">
        <f>IFERROR(__xludf.DUMMYFUNCTION("""COMPUTED_VALUE"""),45219.0)</f>
        <v>45219</v>
      </c>
      <c r="B7728" s="16" t="str">
        <f>IFERROR(__xludf.DUMMYFUNCTION("""COMPUTED_VALUE"""),"Alvaro Chacón")</f>
        <v>Alvaro Chacón</v>
      </c>
      <c r="C7728" s="15" t="str">
        <f>IFERROR(__xludf.DUMMYFUNCTION("""COMPUTED_VALUE"""),"BOGOTÁ")</f>
        <v>BOGOTÁ</v>
      </c>
      <c r="D7728" s="15" t="str">
        <f>IFERROR(__xludf.DUMMYFUNCTION("""COMPUTED_VALUE"""),"MEDELLÍN")</f>
        <v>MEDELLÍN</v>
      </c>
      <c r="E7728" s="15" t="str">
        <f>IFERROR(__xludf.DUMMYFUNCTION("""COMPUTED_VALUE"""),"Cocina Artesanal")</f>
        <v>Cocina Artesanal</v>
      </c>
      <c r="F7728" s="17" t="str">
        <f>IFERROR(__xludf.DUMMYFUNCTION("""COMPUTED_VALUE"""),"Calle 81 #13-5 Local 011A / Centro Comercial Atlantis  / Zona Rosa")</f>
        <v>Calle 81 #13-5 Local 011A / Centro Comercial Atlantis  / Zona Rosa</v>
      </c>
      <c r="G7728" s="15" t="str">
        <f>IFERROR(__xludf.DUMMYFUNCTION("""COMPUTED_VALUE"""),"Zulay Betancourt /Parmessano Atlantis")</f>
        <v>Zulay Betancourt /Parmessano Atlantis</v>
      </c>
      <c r="H7728" s="16">
        <f>IFERROR(__xludf.DUMMYFUNCTION("""COMPUTED_VALUE"""),16455.0)</f>
        <v>16455</v>
      </c>
      <c r="I7728" s="18">
        <f>IFERROR(__xludf.DUMMYFUNCTION("""COMPUTED_VALUE"""),30.0)</f>
        <v>30</v>
      </c>
      <c r="J7728" s="18">
        <f>IFERROR(__xludf.DUMMYFUNCTION("""COMPUTED_VALUE"""),30.0)</f>
        <v>30</v>
      </c>
      <c r="K7728" s="18">
        <f>IFERROR(__xludf.DUMMYFUNCTION("""COMPUTED_VALUE"""),30.0)</f>
        <v>30</v>
      </c>
      <c r="L7728" s="17">
        <f>IFERROR(__xludf.DUMMYFUNCTION("""COMPUTED_VALUE"""),3.046406412E9)</f>
        <v>3046406412</v>
      </c>
      <c r="M7728" s="17"/>
      <c r="N7728" s="17"/>
      <c r="O7728" s="17"/>
      <c r="P7728" s="17" t="b">
        <f>IFERROR(__xludf.DUMMYFUNCTION("""COMPUTED_VALUE"""),FALSE)</f>
        <v>0</v>
      </c>
      <c r="Q7728" s="20" t="str">
        <f>IFERROR(__xludf.DUMMYFUNCTION("""COMPUTED_VALUE"""),"")</f>
        <v/>
      </c>
      <c r="R7728" s="21" t="str">
        <f>IFERROR(__xludf.DUMMYFUNCTION("""COMPUTED_VALUE"""),"https://drive.google.com/file/d/1JdzCT57cVtXr8cjQffdREliPZWqutSk9/view?usp=drivesdk")</f>
        <v>https://drive.google.com/file/d/1JdzCT57cVtXr8cjQffdREliPZWqutSk9/view?usp=drivesdk</v>
      </c>
    </row>
    <row r="7729">
      <c r="A7729" s="15">
        <f>IFERROR(__xludf.DUMMYFUNCTION("""COMPUTED_VALUE"""),45219.0)</f>
        <v>45219</v>
      </c>
      <c r="B7729" s="16" t="str">
        <f>IFERROR(__xludf.DUMMYFUNCTION("""COMPUTED_VALUE"""),"Alvaro Chacón")</f>
        <v>Alvaro Chacón</v>
      </c>
      <c r="C7729" s="15" t="str">
        <f>IFERROR(__xludf.DUMMYFUNCTION("""COMPUTED_VALUE"""),"BOGOTÁ")</f>
        <v>BOGOTÁ</v>
      </c>
      <c r="D7729" s="15" t="str">
        <f>IFERROR(__xludf.DUMMYFUNCTION("""COMPUTED_VALUE"""),"MEDELLÍN")</f>
        <v>MEDELLÍN</v>
      </c>
      <c r="E7729" s="15" t="str">
        <f>IFERROR(__xludf.DUMMYFUNCTION("""COMPUTED_VALUE"""),"Lácteos El Pino SAS")</f>
        <v>Lácteos El Pino SAS</v>
      </c>
      <c r="F7729" s="17" t="str">
        <f>IFERROR(__xludf.DUMMYFUNCTION("""COMPUTED_VALUE"""),"CALLE 24A #57-60 / RECIBO EN ZONA DE CARGA POR EL DEPRIMIDO- COMPRAS")</f>
        <v>CALLE 24A #57-60 / RECIBO EN ZONA DE CARGA POR EL DEPRIMIDO- COMPRAS</v>
      </c>
      <c r="G7729" s="15" t="str">
        <f>IFERROR(__xludf.DUMMYFUNCTION("""COMPUTED_VALUE"""),"HOTEL GRAND HYATT BOGOTA")</f>
        <v>HOTEL GRAND HYATT BOGOTA</v>
      </c>
      <c r="H7729" s="16">
        <f>IFERROR(__xludf.DUMMYFUNCTION("""COMPUTED_VALUE"""),16447.0)</f>
        <v>16447</v>
      </c>
      <c r="I7729" s="17"/>
      <c r="J7729" s="17"/>
      <c r="K7729" s="17"/>
      <c r="L7729" s="17">
        <f>IFERROR(__xludf.DUMMYFUNCTION("""COMPUTED_VALUE"""),3.203093705E9)</f>
        <v>3203093705</v>
      </c>
      <c r="M7729" s="17"/>
      <c r="N7729" s="17"/>
      <c r="O7729" s="17"/>
      <c r="P7729" s="17" t="b">
        <f>IFERROR(__xludf.DUMMYFUNCTION("""COMPUTED_VALUE"""),FALSE)</f>
        <v>0</v>
      </c>
      <c r="Q7729" s="20" t="str">
        <f>IFERROR(__xludf.DUMMYFUNCTION("""COMPUTED_VALUE"""),"")</f>
        <v/>
      </c>
      <c r="R7729" s="21" t="str">
        <f>IFERROR(__xludf.DUMMYFUNCTION("""COMPUTED_VALUE"""),"https://drive.google.com/file/d/1XiQ1mnXaGgAGcJzov-3mlu3AAL4XklNC/view?usp=drivesdk")</f>
        <v>https://drive.google.com/file/d/1XiQ1mnXaGgAGcJzov-3mlu3AAL4XklNC/view?usp=drivesdk</v>
      </c>
    </row>
    <row r="7730">
      <c r="A7730" s="15">
        <f>IFERROR(__xludf.DUMMYFUNCTION("""COMPUTED_VALUE"""),45219.0)</f>
        <v>45219</v>
      </c>
      <c r="B7730" s="16" t="str">
        <f>IFERROR(__xludf.DUMMYFUNCTION("""COMPUTED_VALUE"""),"Alvaro Chacón")</f>
        <v>Alvaro Chacón</v>
      </c>
      <c r="C7730" s="15" t="str">
        <f>IFERROR(__xludf.DUMMYFUNCTION("""COMPUTED_VALUE"""),"BOGOTÁ")</f>
        <v>BOGOTÁ</v>
      </c>
      <c r="D7730" s="15" t="str">
        <f>IFERROR(__xludf.DUMMYFUNCTION("""COMPUTED_VALUE"""),"MEDELLÍN")</f>
        <v>MEDELLÍN</v>
      </c>
      <c r="E7730" s="15" t="str">
        <f>IFERROR(__xludf.DUMMYFUNCTION("""COMPUTED_VALUE"""),"Puro Verde")</f>
        <v>Puro Verde</v>
      </c>
      <c r="F7730" s="17" t="str">
        <f>IFERROR(__xludf.DUMMYFUNCTION("""COMPUTED_VALUE"""),"CRA 16A #77-23.  / LOCAL 4 / BARRIO EL LAGO")</f>
        <v>CRA 16A #77-23.  / LOCAL 4 / BARRIO EL LAGO</v>
      </c>
      <c r="G7730" s="15" t="str">
        <f>IFERROR(__xludf.DUMMYFUNCTION("""COMPUTED_VALUE"""),"DANDO CUERDA")</f>
        <v>DANDO CUERDA</v>
      </c>
      <c r="H7730" s="16">
        <f>IFERROR(__xludf.DUMMYFUNCTION("""COMPUTED_VALUE"""),16421.0)</f>
        <v>16421</v>
      </c>
      <c r="I7730" s="18" t="str">
        <f>IFERROR(__xludf.DUMMYFUNCTION("""COMPUTED_VALUE"""),"52.5")</f>
        <v>52.5</v>
      </c>
      <c r="J7730" s="18">
        <f>IFERROR(__xludf.DUMMYFUNCTION("""COMPUTED_VALUE"""),45.0)</f>
        <v>45</v>
      </c>
      <c r="K7730" s="18">
        <f>IFERROR(__xludf.DUMMYFUNCTION("""COMPUTED_VALUE"""),55.0)</f>
        <v>55</v>
      </c>
      <c r="L7730" s="17">
        <f>IFERROR(__xludf.DUMMYFUNCTION("""COMPUTED_VALUE"""),3.163816691E9)</f>
        <v>3163816691</v>
      </c>
      <c r="M7730" s="17"/>
      <c r="N7730" s="17"/>
      <c r="O7730" s="17"/>
      <c r="P7730" s="17" t="b">
        <f>IFERROR(__xludf.DUMMYFUNCTION("""COMPUTED_VALUE"""),FALSE)</f>
        <v>0</v>
      </c>
      <c r="Q7730" s="20" t="str">
        <f>IFERROR(__xludf.DUMMYFUNCTION("""COMPUTED_VALUE"""),"")</f>
        <v/>
      </c>
      <c r="R7730" s="21" t="str">
        <f>IFERROR(__xludf.DUMMYFUNCTION("""COMPUTED_VALUE"""),"https://drive.google.com/file/d/1vwTkJKSe8XRBXXr_fYi6zCqsCLuSwkve/view?usp=drivesdk")</f>
        <v>https://drive.google.com/file/d/1vwTkJKSe8XRBXXr_fYi6zCqsCLuSwkve/view?usp=drivesdk</v>
      </c>
    </row>
    <row r="7731">
      <c r="A7731" s="15">
        <f>IFERROR(__xludf.DUMMYFUNCTION("""COMPUTED_VALUE"""),45219.0)</f>
        <v>45219</v>
      </c>
      <c r="B7731" s="16" t="str">
        <f>IFERROR(__xludf.DUMMYFUNCTION("""COMPUTED_VALUE"""),"Alvaro Chacón")</f>
        <v>Alvaro Chacón</v>
      </c>
      <c r="C7731" s="15" t="str">
        <f>IFERROR(__xludf.DUMMYFUNCTION("""COMPUTED_VALUE"""),"BOGOTÁ")</f>
        <v>BOGOTÁ</v>
      </c>
      <c r="D7731" s="15" t="str">
        <f>IFERROR(__xludf.DUMMYFUNCTION("""COMPUTED_VALUE"""),"MEDELLÍN")</f>
        <v>MEDELLÍN</v>
      </c>
      <c r="E7731" s="15" t="str">
        <f>IFERROR(__xludf.DUMMYFUNCTION("""COMPUTED_VALUE"""),"Rambla")</f>
        <v>Rambla</v>
      </c>
      <c r="F7731" s="17" t="str">
        <f>IFERROR(__xludf.DUMMYFUNCTION("""COMPUTED_VALUE"""),"Carrera 13a #89-31 edificio Elementto Torre 2 apto 302 Bogota / - / -")</f>
        <v>Carrera 13a #89-31 edificio Elementto Torre 2 apto 302 Bogota / - / -</v>
      </c>
      <c r="G7731" s="15" t="str">
        <f>IFERROR(__xludf.DUMMYFUNCTION("""COMPUTED_VALUE"""),"Laura SALAZAR")</f>
        <v>Laura SALAZAR</v>
      </c>
      <c r="H7731" s="16">
        <f>IFERROR(__xludf.DUMMYFUNCTION("""COMPUTED_VALUE"""),16462.0)</f>
        <v>16462</v>
      </c>
      <c r="I7731" s="18">
        <f>IFERROR(__xludf.DUMMYFUNCTION("""COMPUTED_VALUE"""),10.0)</f>
        <v>10</v>
      </c>
      <c r="J7731" s="18">
        <f>IFERROR(__xludf.DUMMYFUNCTION("""COMPUTED_VALUE"""),10.0)</f>
        <v>10</v>
      </c>
      <c r="K7731" s="18">
        <f>IFERROR(__xludf.DUMMYFUNCTION("""COMPUTED_VALUE"""),20.0)</f>
        <v>20</v>
      </c>
      <c r="L7731" s="17">
        <f>IFERROR(__xludf.DUMMYFUNCTION("""COMPUTED_VALUE"""),3.127934969E9)</f>
        <v>3127934969</v>
      </c>
      <c r="M7731" s="17"/>
      <c r="N7731" s="17"/>
      <c r="O7731" s="17"/>
      <c r="P7731" s="17" t="b">
        <f>IFERROR(__xludf.DUMMYFUNCTION("""COMPUTED_VALUE"""),FALSE)</f>
        <v>0</v>
      </c>
      <c r="Q7731" s="20" t="str">
        <f>IFERROR(__xludf.DUMMYFUNCTION("""COMPUTED_VALUE"""),"")</f>
        <v/>
      </c>
      <c r="R7731" s="21" t="str">
        <f>IFERROR(__xludf.DUMMYFUNCTION("""COMPUTED_VALUE"""),"https://drive.google.com/file/d/1Ve8ZxlhTRlY6Zp_1kyJUVXywWgH9uzbX/view?usp=drivesdk")</f>
        <v>https://drive.google.com/file/d/1Ve8ZxlhTRlY6Zp_1kyJUVXywWgH9uzbX/view?usp=drivesdk</v>
      </c>
    </row>
    <row r="7732">
      <c r="A7732" s="15">
        <f>IFERROR(__xludf.DUMMYFUNCTION("""COMPUTED_VALUE"""),45219.0)</f>
        <v>45219</v>
      </c>
      <c r="B7732" s="16" t="str">
        <f>IFERROR(__xludf.DUMMYFUNCTION("""COMPUTED_VALUE"""),"Alvaro Chacón")</f>
        <v>Alvaro Chacón</v>
      </c>
      <c r="C7732" s="15" t="str">
        <f>IFERROR(__xludf.DUMMYFUNCTION("""COMPUTED_VALUE"""),"BOGOTÁ")</f>
        <v>BOGOTÁ</v>
      </c>
      <c r="D7732" s="15" t="str">
        <f>IFERROR(__xludf.DUMMYFUNCTION("""COMPUTED_VALUE"""),"MEDELLÍN")</f>
        <v>MEDELLÍN</v>
      </c>
      <c r="E7732" s="15" t="str">
        <f>IFERROR(__xludf.DUMMYFUNCTION("""COMPUTED_VALUE"""),"Rambla")</f>
        <v>Rambla</v>
      </c>
      <c r="F7732" s="17" t="str">
        <f>IFERROR(__xludf.DUMMYFUNCTION("""COMPUTED_VALUE"""),"Carrera 15 # 116-47 / - / -")</f>
        <v>Carrera 15 # 116-47 / - / -</v>
      </c>
      <c r="G7732" s="15" t="str">
        <f>IFERROR(__xludf.DUMMYFUNCTION("""COMPUTED_VALUE"""),"Fruitsec")</f>
        <v>Fruitsec</v>
      </c>
      <c r="H7732" s="16">
        <f>IFERROR(__xludf.DUMMYFUNCTION("""COMPUTED_VALUE"""),16463.0)</f>
        <v>16463</v>
      </c>
      <c r="I7732" s="18">
        <f>IFERROR(__xludf.DUMMYFUNCTION("""COMPUTED_VALUE"""),25.0)</f>
        <v>25</v>
      </c>
      <c r="J7732" s="18">
        <f>IFERROR(__xludf.DUMMYFUNCTION("""COMPUTED_VALUE"""),28.0)</f>
        <v>28</v>
      </c>
      <c r="K7732" s="18">
        <f>IFERROR(__xludf.DUMMYFUNCTION("""COMPUTED_VALUE"""),28.0)</f>
        <v>28</v>
      </c>
      <c r="L7732" s="17">
        <f>IFERROR(__xludf.DUMMYFUNCTION("""COMPUTED_VALUE"""),3.00396388E9)</f>
        <v>3003963880</v>
      </c>
      <c r="M7732" s="17"/>
      <c r="N7732" s="17"/>
      <c r="O7732" s="17"/>
      <c r="P7732" s="17" t="b">
        <f>IFERROR(__xludf.DUMMYFUNCTION("""COMPUTED_VALUE"""),FALSE)</f>
        <v>0</v>
      </c>
      <c r="Q7732" s="20" t="str">
        <f>IFERROR(__xludf.DUMMYFUNCTION("""COMPUTED_VALUE"""),"")</f>
        <v/>
      </c>
      <c r="R7732" s="21" t="str">
        <f>IFERROR(__xludf.DUMMYFUNCTION("""COMPUTED_VALUE"""),"https://drive.google.com/file/d/14fubtZWk15DZozC7fOnI2FfowdbRtzRW/view?usp=drivesdk")</f>
        <v>https://drive.google.com/file/d/14fubtZWk15DZozC7fOnI2FfowdbRtzRW/view?usp=drivesdk</v>
      </c>
    </row>
    <row r="7733">
      <c r="A7733" s="17" t="str">
        <f>IFERROR(__xludf.DUMMYFUNCTION("""COMPUTED_VALUE"""),"")</f>
        <v/>
      </c>
      <c r="B7733" s="17" t="str">
        <f>IFERROR(__xludf.DUMMYFUNCTION("""COMPUTED_VALUE"""),"")</f>
        <v/>
      </c>
      <c r="C7733" s="17" t="str">
        <f>IFERROR(__xludf.DUMMYFUNCTION("""COMPUTED_VALUE"""),"")</f>
        <v/>
      </c>
      <c r="D7733" s="17" t="str">
        <f>IFERROR(__xludf.DUMMYFUNCTION("""COMPUTED_VALUE"""),"")</f>
        <v/>
      </c>
      <c r="E7733" s="17" t="str">
        <f>IFERROR(__xludf.DUMMYFUNCTION("""COMPUTED_VALUE"""),"")</f>
        <v/>
      </c>
      <c r="F7733" s="17" t="str">
        <f>IFERROR(__xludf.DUMMYFUNCTION("""COMPUTED_VALUE"""),"")</f>
        <v/>
      </c>
      <c r="G7733" s="17" t="str">
        <f>IFERROR(__xludf.DUMMYFUNCTION("""COMPUTED_VALUE"""),"")</f>
        <v/>
      </c>
      <c r="H7733" s="17" t="str">
        <f>IFERROR(__xludf.DUMMYFUNCTION("""COMPUTED_VALUE"""),"")</f>
        <v/>
      </c>
      <c r="I7733" s="17" t="str">
        <f>IFERROR(__xludf.DUMMYFUNCTION("""COMPUTED_VALUE"""),"")</f>
        <v/>
      </c>
      <c r="J7733" s="17" t="str">
        <f>IFERROR(__xludf.DUMMYFUNCTION("""COMPUTED_VALUE"""),"")</f>
        <v/>
      </c>
      <c r="K7733" s="17" t="str">
        <f>IFERROR(__xludf.DUMMYFUNCTION("""COMPUTED_VALUE"""),"")</f>
        <v/>
      </c>
      <c r="L7733" s="17" t="str">
        <f>IFERROR(__xludf.DUMMYFUNCTION("""COMPUTED_VALUE"""),"")</f>
        <v/>
      </c>
      <c r="M7733" s="17" t="str">
        <f>IFERROR(__xludf.DUMMYFUNCTION("""COMPUTED_VALUE"""),"")</f>
        <v/>
      </c>
      <c r="N7733" s="17" t="str">
        <f>IFERROR(__xludf.DUMMYFUNCTION("""COMPUTED_VALUE"""),"")</f>
        <v/>
      </c>
      <c r="O7733" s="17" t="str">
        <f>IFERROR(__xludf.DUMMYFUNCTION("""COMPUTED_VALUE"""),"")</f>
        <v/>
      </c>
      <c r="P7733" s="17" t="str">
        <f>IFERROR(__xludf.DUMMYFUNCTION("""COMPUTED_VALUE"""),"")</f>
        <v/>
      </c>
      <c r="Q7733" s="17" t="str">
        <f>IFERROR(__xludf.DUMMYFUNCTION("""COMPUTED_VALUE"""),"")</f>
        <v/>
      </c>
      <c r="R7733" s="17" t="str">
        <f>IFERROR(__xludf.DUMMYFUNCTION("""COMPUTED_VALUE"""),"")</f>
        <v/>
      </c>
    </row>
    <row r="7734">
      <c r="A7734" s="15">
        <f>IFERROR(__xludf.DUMMYFUNCTION("""COMPUTED_VALUE"""),45219.0)</f>
        <v>45219</v>
      </c>
      <c r="B7734" s="16" t="str">
        <f>IFERROR(__xludf.DUMMYFUNCTION("""COMPUTED_VALUE"""),"Daniel José sandoval gonzalez")</f>
        <v>Daniel José sandoval gonzalez</v>
      </c>
      <c r="C7734" s="15" t="str">
        <f>IFERROR(__xludf.DUMMYFUNCTION("""COMPUTED_VALUE"""),"BARRANQUILLA")</f>
        <v>BARRANQUILLA</v>
      </c>
      <c r="D7734" s="15" t="str">
        <f>IFERROR(__xludf.DUMMYFUNCTION("""COMPUTED_VALUE"""),"BOGOTÁ")</f>
        <v>BOGOTÁ</v>
      </c>
      <c r="E7734" s="15" t="str">
        <f>IFERROR(__xludf.DUMMYFUNCTION("""COMPUTED_VALUE"""),"Mochi")</f>
        <v>Mochi</v>
      </c>
      <c r="F7734" s="17" t="str">
        <f>IFERROR(__xludf.DUMMYFUNCTION("""COMPUTED_VALUE"""),"Cra 51b #87/50 / Centro comercial viva barranquilla / Riomar")</f>
        <v>Cra 51b #87/50 / Centro comercial viva barranquilla / Riomar</v>
      </c>
      <c r="G7734" s="15" t="str">
        <f>IFERROR(__xludf.DUMMYFUNCTION("""COMPUTED_VALUE"""),"Maria Camila Giraldo")</f>
        <v>Maria Camila Giraldo</v>
      </c>
      <c r="H7734" s="16">
        <f>IFERROR(__xludf.DUMMYFUNCTION("""COMPUTED_VALUE"""),16446.0)</f>
        <v>16446</v>
      </c>
      <c r="I7734" s="18">
        <f>IFERROR(__xludf.DUMMYFUNCTION("""COMPUTED_VALUE"""),55.0)</f>
        <v>55</v>
      </c>
      <c r="J7734" s="18">
        <f>IFERROR(__xludf.DUMMYFUNCTION("""COMPUTED_VALUE"""),44.0)</f>
        <v>44</v>
      </c>
      <c r="K7734" s="18" t="str">
        <f>IFERROR(__xludf.DUMMYFUNCTION("""COMPUTED_VALUE"""),"52.5")</f>
        <v>52.5</v>
      </c>
      <c r="L7734" s="17">
        <f>IFERROR(__xludf.DUMMYFUNCTION("""COMPUTED_VALUE"""),3.116026252E9)</f>
        <v>3116026252</v>
      </c>
      <c r="M7734" s="17"/>
      <c r="N7734" s="17"/>
      <c r="O7734" s="17"/>
      <c r="P7734" s="17" t="b">
        <f>IFERROR(__xludf.DUMMYFUNCTION("""COMPUTED_VALUE"""),FALSE)</f>
        <v>0</v>
      </c>
      <c r="Q7734" s="20" t="str">
        <f>IFERROR(__xludf.DUMMYFUNCTION("""COMPUTED_VALUE"""),"")</f>
        <v/>
      </c>
      <c r="R7734" s="21" t="str">
        <f>IFERROR(__xludf.DUMMYFUNCTION("""COMPUTED_VALUE"""),"https://drive.google.com/file/d/1O17_X5cYvCHrEqgxdLDTzpgMnleRE9k4/view?usp=drivesdk")</f>
        <v>https://drive.google.com/file/d/1O17_X5cYvCHrEqgxdLDTzpgMnleRE9k4/view?usp=drivesdk</v>
      </c>
    </row>
    <row r="7735">
      <c r="A7735" s="15">
        <f>IFERROR(__xludf.DUMMYFUNCTION("""COMPUTED_VALUE"""),45219.0)</f>
        <v>45219</v>
      </c>
      <c r="B7735" s="16" t="str">
        <f>IFERROR(__xludf.DUMMYFUNCTION("""COMPUTED_VALUE"""),"Daniel José sandoval gonzalez")</f>
        <v>Daniel José sandoval gonzalez</v>
      </c>
      <c r="C7735" s="15" t="str">
        <f>IFERROR(__xludf.DUMMYFUNCTION("""COMPUTED_VALUE"""),"BARRANQUILLA")</f>
        <v>BARRANQUILLA</v>
      </c>
      <c r="D7735" s="15" t="str">
        <f>IFERROR(__xludf.DUMMYFUNCTION("""COMPUTED_VALUE"""),"BUCARAMANGA")</f>
        <v>BUCARAMANGA</v>
      </c>
      <c r="E7735" s="15" t="str">
        <f>IFERROR(__xludf.DUMMYFUNCTION("""COMPUTED_VALUE"""),"Yo Como Solito")</f>
        <v>Yo Como Solito</v>
      </c>
      <c r="F7735" s="17" t="str">
        <f>IFERROR(__xludf.DUMMYFUNCTION("""COMPUTED_VALUE"""),"CALLE 89 # 75B-83 PISO 3  / CALLE 89 # 75B-83 PISO 3  / CALLE 89 # 75B-83 PISO 3")</f>
        <v>CALLE 89 # 75B-83 PISO 3  / CALLE 89 # 75B-83 PISO 3  / CALLE 89 # 75B-83 PISO 3</v>
      </c>
      <c r="G7735" s="15" t="str">
        <f>IFERROR(__xludf.DUMMYFUNCTION("""COMPUTED_VALUE"""),"SARA FALLA RUIZ")</f>
        <v>SARA FALLA RUIZ</v>
      </c>
      <c r="H7735" s="16">
        <f>IFERROR(__xludf.DUMMYFUNCTION("""COMPUTED_VALUE"""),16381.0)</f>
        <v>16381</v>
      </c>
      <c r="I7735" s="18">
        <f>IFERROR(__xludf.DUMMYFUNCTION("""COMPUTED_VALUE"""),14.0)</f>
        <v>14</v>
      </c>
      <c r="J7735" s="18">
        <f>IFERROR(__xludf.DUMMYFUNCTION("""COMPUTED_VALUE"""),28.0)</f>
        <v>28</v>
      </c>
      <c r="K7735" s="18">
        <f>IFERROR(__xludf.DUMMYFUNCTION("""COMPUTED_VALUE"""),40.0)</f>
        <v>40</v>
      </c>
      <c r="L7735" s="17">
        <f>IFERROR(__xludf.DUMMYFUNCTION("""COMPUTED_VALUE"""),3.1042966E9)</f>
        <v>3104296600</v>
      </c>
      <c r="M7735" s="17"/>
      <c r="N7735" s="17"/>
      <c r="O7735" s="17"/>
      <c r="P7735" s="17" t="b">
        <f>IFERROR(__xludf.DUMMYFUNCTION("""COMPUTED_VALUE"""),FALSE)</f>
        <v>0</v>
      </c>
      <c r="Q7735" s="20" t="str">
        <f>IFERROR(__xludf.DUMMYFUNCTION("""COMPUTED_VALUE"""),"")</f>
        <v/>
      </c>
      <c r="R7735" s="21" t="str">
        <f>IFERROR(__xludf.DUMMYFUNCTION("""COMPUTED_VALUE"""),"https://drive.google.com/file/d/1Cy_4TsjGEJza8d-jvsI_kKd6YOnNbgwu/view?usp=drivesdk")</f>
        <v>https://drive.google.com/file/d/1Cy_4TsjGEJza8d-jvsI_kKd6YOnNbgwu/view?usp=drivesdk</v>
      </c>
    </row>
    <row r="7736">
      <c r="A7736" s="15">
        <f>IFERROR(__xludf.DUMMYFUNCTION("""COMPUTED_VALUE"""),45219.0)</f>
        <v>45219</v>
      </c>
      <c r="B7736" s="16" t="str">
        <f>IFERROR(__xludf.DUMMYFUNCTION("""COMPUTED_VALUE"""),"Daniel José sandoval gonzalez")</f>
        <v>Daniel José sandoval gonzalez</v>
      </c>
      <c r="C7736" s="15" t="str">
        <f>IFERROR(__xludf.DUMMYFUNCTION("""COMPUTED_VALUE"""),"BARRANQUILLA")</f>
        <v>BARRANQUILLA</v>
      </c>
      <c r="D7736" s="15" t="str">
        <f>IFERROR(__xludf.DUMMYFUNCTION("""COMPUTED_VALUE"""),"MEDELLÍN")</f>
        <v>MEDELLÍN</v>
      </c>
      <c r="E7736" s="15" t="str">
        <f>IFERROR(__xludf.DUMMYFUNCTION("""COMPUTED_VALUE"""),"AREPAS LA MARY")</f>
        <v>AREPAS LA MARY</v>
      </c>
      <c r="F7736" s="17" t="str">
        <f>IFERROR(__xludf.DUMMYFUNCTION("""COMPUTED_VALUE"""),"CALLE 93 N.42 C 123 APTO 607")</f>
        <v>CALLE 93 N.42 C 123 APTO 607</v>
      </c>
      <c r="G7736" s="15" t="str">
        <f>IFERROR(__xludf.DUMMYFUNCTION("""COMPUTED_VALUE"""),"CINDY GARCIA")</f>
        <v>CINDY GARCIA</v>
      </c>
      <c r="H7736" s="16">
        <f>IFERROR(__xludf.DUMMYFUNCTION("""COMPUTED_VALUE"""),16399.0)</f>
        <v>16399</v>
      </c>
      <c r="I7736" s="18">
        <f>IFERROR(__xludf.DUMMYFUNCTION("""COMPUTED_VALUE"""),89.0)</f>
        <v>89</v>
      </c>
      <c r="J7736" s="18">
        <f>IFERROR(__xludf.DUMMYFUNCTION("""COMPUTED_VALUE"""),1.0)</f>
        <v>1</v>
      </c>
      <c r="K7736" s="18">
        <f>IFERROR(__xludf.DUMMYFUNCTION("""COMPUTED_VALUE"""),10.0)</f>
        <v>10</v>
      </c>
      <c r="L7736" s="17">
        <f>IFERROR(__xludf.DUMMYFUNCTION("""COMPUTED_VALUE"""),3.017247359E9)</f>
        <v>3017247359</v>
      </c>
      <c r="M7736" s="17"/>
      <c r="N7736" s="17"/>
      <c r="O7736" s="17"/>
      <c r="P7736" s="17" t="b">
        <f>IFERROR(__xludf.DUMMYFUNCTION("""COMPUTED_VALUE"""),FALSE)</f>
        <v>0</v>
      </c>
      <c r="Q7736" s="20" t="str">
        <f>IFERROR(__xludf.DUMMYFUNCTION("""COMPUTED_VALUE"""),"")</f>
        <v/>
      </c>
      <c r="R7736" s="21" t="str">
        <f>IFERROR(__xludf.DUMMYFUNCTION("""COMPUTED_VALUE"""),"https://drive.google.com/file/d/1051X_C5qwhBxhAQOXesPid6HyilZ_qhL/view?usp=drivesdk")</f>
        <v>https://drive.google.com/file/d/1051X_C5qwhBxhAQOXesPid6HyilZ_qhL/view?usp=drivesdk</v>
      </c>
    </row>
    <row r="7737">
      <c r="A7737" s="15">
        <f>IFERROR(__xludf.DUMMYFUNCTION("""COMPUTED_VALUE"""),45219.0)</f>
        <v>45219</v>
      </c>
      <c r="B7737" s="16" t="str">
        <f>IFERROR(__xludf.DUMMYFUNCTION("""COMPUTED_VALUE"""),"Daniel José sandoval gonzalez")</f>
        <v>Daniel José sandoval gonzalez</v>
      </c>
      <c r="C7737" s="15" t="str">
        <f>IFERROR(__xludf.DUMMYFUNCTION("""COMPUTED_VALUE"""),"BARRANQUILLA")</f>
        <v>BARRANQUILLA</v>
      </c>
      <c r="D7737" s="15" t="str">
        <f>IFERROR(__xludf.DUMMYFUNCTION("""COMPUTED_VALUE"""),"MEDELLÍN")</f>
        <v>MEDELLÍN</v>
      </c>
      <c r="E7737" s="15" t="str">
        <f>IFERROR(__xludf.DUMMYFUNCTION("""COMPUTED_VALUE"""),"Baby Chef")</f>
        <v>Baby Chef</v>
      </c>
      <c r="F7737" s="17" t="str">
        <f>IFERROR(__xludf.DUMMYFUNCTION("""COMPUTED_VALUE"""),"Barrio la Concepción  Cra 60#75-50 apto 4B Edificio Sirius / . / .")</f>
        <v>Barrio la Concepción  Cra 60#75-50 apto 4B Edificio Sirius / . / .</v>
      </c>
      <c r="G7737" s="15" t="str">
        <f>IFERROR(__xludf.DUMMYFUNCTION("""COMPUTED_VALUE"""),"Nely Marcela Mejia Lopez")</f>
        <v>Nely Marcela Mejia Lopez</v>
      </c>
      <c r="H7737" s="16">
        <f>IFERROR(__xludf.DUMMYFUNCTION("""COMPUTED_VALUE"""),16405.0)</f>
        <v>16405</v>
      </c>
      <c r="I7737" s="18">
        <f>IFERROR(__xludf.DUMMYFUNCTION("""COMPUTED_VALUE"""),28.0)</f>
        <v>28</v>
      </c>
      <c r="J7737" s="18">
        <f>IFERROR(__xludf.DUMMYFUNCTION("""COMPUTED_VALUE"""),21.0)</f>
        <v>21</v>
      </c>
      <c r="K7737" s="18">
        <f>IFERROR(__xludf.DUMMYFUNCTION("""COMPUTED_VALUE"""),6.0)</f>
        <v>6</v>
      </c>
      <c r="L7737" s="17">
        <f>IFERROR(__xludf.DUMMYFUNCTION("""COMPUTED_VALUE"""),3.215410096E9)</f>
        <v>3215410096</v>
      </c>
      <c r="M7737" s="17"/>
      <c r="N7737" s="17"/>
      <c r="O7737" s="17"/>
      <c r="P7737" s="17" t="b">
        <f>IFERROR(__xludf.DUMMYFUNCTION("""COMPUTED_VALUE"""),FALSE)</f>
        <v>0</v>
      </c>
      <c r="Q7737" s="20" t="str">
        <f>IFERROR(__xludf.DUMMYFUNCTION("""COMPUTED_VALUE"""),"")</f>
        <v/>
      </c>
      <c r="R7737" s="21" t="str">
        <f>IFERROR(__xludf.DUMMYFUNCTION("""COMPUTED_VALUE"""),"https://drive.google.com/file/d/1HtMx8rjun1N76oSytAtwBtDb-eYWucLF/view?usp=drivesdk")</f>
        <v>https://drive.google.com/file/d/1HtMx8rjun1N76oSytAtwBtDb-eYWucLF/view?usp=drivesdk</v>
      </c>
    </row>
    <row r="7738">
      <c r="A7738" s="15">
        <f>IFERROR(__xludf.DUMMYFUNCTION("""COMPUTED_VALUE"""),45219.0)</f>
        <v>45219</v>
      </c>
      <c r="B7738" s="16" t="str">
        <f>IFERROR(__xludf.DUMMYFUNCTION("""COMPUTED_VALUE"""),"Daniel José sandoval gonzalez")</f>
        <v>Daniel José sandoval gonzalez</v>
      </c>
      <c r="C7738" s="15" t="str">
        <f>IFERROR(__xludf.DUMMYFUNCTION("""COMPUTED_VALUE"""),"BARRANQUILLA")</f>
        <v>BARRANQUILLA</v>
      </c>
      <c r="D7738" s="15" t="str">
        <f>IFERROR(__xludf.DUMMYFUNCTION("""COMPUTED_VALUE"""),"MEDELLÍN")</f>
        <v>MEDELLÍN</v>
      </c>
      <c r="E7738" s="15" t="str">
        <f>IFERROR(__xludf.DUMMYFUNCTION("""COMPUTED_VALUE"""),"Baby Chef")</f>
        <v>Baby Chef</v>
      </c>
      <c r="F7738" s="17" t="str">
        <f>IFERROR(__xludf.DUMMYFUNCTION("""COMPUTED_VALUE"""),"calle79b#42-494 apto 704 jardín plaza 2 Barrio ciudad jardín  / . / .")</f>
        <v>calle79b#42-494 apto 704 jardín plaza 2 Barrio ciudad jardín  / . / .</v>
      </c>
      <c r="G7738" s="15" t="str">
        <f>IFERROR(__xludf.DUMMYFUNCTION("""COMPUTED_VALUE"""),"Elmis Figueroa")</f>
        <v>Elmis Figueroa</v>
      </c>
      <c r="H7738" s="16">
        <f>IFERROR(__xludf.DUMMYFUNCTION("""COMPUTED_VALUE"""),16404.0)</f>
        <v>16404</v>
      </c>
      <c r="I7738" s="18">
        <f>IFERROR(__xludf.DUMMYFUNCTION("""COMPUTED_VALUE"""),32.0)</f>
        <v>32</v>
      </c>
      <c r="J7738" s="18">
        <f>IFERROR(__xludf.DUMMYFUNCTION("""COMPUTED_VALUE"""),21.0)</f>
        <v>21</v>
      </c>
      <c r="K7738" s="18">
        <f>IFERROR(__xludf.DUMMYFUNCTION("""COMPUTED_VALUE"""),6.0)</f>
        <v>6</v>
      </c>
      <c r="L7738" s="17">
        <f>IFERROR(__xludf.DUMMYFUNCTION("""COMPUTED_VALUE"""),3.135429179E9)</f>
        <v>3135429179</v>
      </c>
      <c r="M7738" s="17"/>
      <c r="N7738" s="17"/>
      <c r="O7738" s="17"/>
      <c r="P7738" s="17" t="b">
        <f>IFERROR(__xludf.DUMMYFUNCTION("""COMPUTED_VALUE"""),FALSE)</f>
        <v>0</v>
      </c>
      <c r="Q7738" s="20" t="str">
        <f>IFERROR(__xludf.DUMMYFUNCTION("""COMPUTED_VALUE"""),"")</f>
        <v/>
      </c>
      <c r="R7738" s="21" t="str">
        <f>IFERROR(__xludf.DUMMYFUNCTION("""COMPUTED_VALUE"""),"https://drive.google.com/file/d/1A4iuF32eT7wJw8pBmpeK5Z5W4ZMWebVG/view?usp=drivesdk")</f>
        <v>https://drive.google.com/file/d/1A4iuF32eT7wJw8pBmpeK5Z5W4ZMWebVG/view?usp=drivesdk</v>
      </c>
    </row>
    <row r="7739">
      <c r="A7739" s="15">
        <f>IFERROR(__xludf.DUMMYFUNCTION("""COMPUTED_VALUE"""),45219.0)</f>
        <v>45219</v>
      </c>
      <c r="B7739" s="16" t="str">
        <f>IFERROR(__xludf.DUMMYFUNCTION("""COMPUTED_VALUE"""),"Daniel José sandoval gonzalez")</f>
        <v>Daniel José sandoval gonzalez</v>
      </c>
      <c r="C7739" s="15" t="str">
        <f>IFERROR(__xludf.DUMMYFUNCTION("""COMPUTED_VALUE"""),"BARRANQUILLA")</f>
        <v>BARRANQUILLA</v>
      </c>
      <c r="D7739" s="15" t="str">
        <f>IFERROR(__xludf.DUMMYFUNCTION("""COMPUTED_VALUE"""),"MEDELLÍN")</f>
        <v>MEDELLÍN</v>
      </c>
      <c r="E7739" s="15" t="str">
        <f>IFERROR(__xludf.DUMMYFUNCTION("""COMPUTED_VALUE"""),"Magda")</f>
        <v>Magda</v>
      </c>
      <c r="F7739" s="17" t="str">
        <f>IFERROR(__xludf.DUMMYFUNCTION("""COMPUTED_VALUE"""),"Calle 93 n 43-41 / Cityhub  / CENTRO")</f>
        <v>Calle 93 n 43-41 / Cityhub  / CENTRO</v>
      </c>
      <c r="G7739" s="15" t="str">
        <f>IFERROR(__xludf.DUMMYFUNCTION("""COMPUTED_VALUE"""),"CRISTINA DE LA CUESTA")</f>
        <v>CRISTINA DE LA CUESTA</v>
      </c>
      <c r="H7739" s="16">
        <f>IFERROR(__xludf.DUMMYFUNCTION("""COMPUTED_VALUE"""),16428.0)</f>
        <v>16428</v>
      </c>
      <c r="I7739" s="18">
        <f>IFERROR(__xludf.DUMMYFUNCTION("""COMPUTED_VALUE"""),29.0)</f>
        <v>29</v>
      </c>
      <c r="J7739" s="18">
        <f>IFERROR(__xludf.DUMMYFUNCTION("""COMPUTED_VALUE"""),45.0)</f>
        <v>45</v>
      </c>
      <c r="K7739" s="18">
        <f>IFERROR(__xludf.DUMMYFUNCTION("""COMPUTED_VALUE"""),55.0)</f>
        <v>55</v>
      </c>
      <c r="L7739" s="17">
        <f>IFERROR(__xludf.DUMMYFUNCTION("""COMPUTED_VALUE"""),3.205236596E9)</f>
        <v>3205236596</v>
      </c>
      <c r="M7739" s="17"/>
      <c r="N7739" s="17"/>
      <c r="O7739" s="17"/>
      <c r="P7739" s="17" t="b">
        <f>IFERROR(__xludf.DUMMYFUNCTION("""COMPUTED_VALUE"""),FALSE)</f>
        <v>0</v>
      </c>
      <c r="Q7739" s="20" t="str">
        <f>IFERROR(__xludf.DUMMYFUNCTION("""COMPUTED_VALUE"""),"")</f>
        <v/>
      </c>
      <c r="R7739" s="21" t="str">
        <f>IFERROR(__xludf.DUMMYFUNCTION("""COMPUTED_VALUE"""),"https://drive.google.com/file/d/186a2xumyDtUwaspdbmPsCW7S-yZSyw5U/view?usp=drivesdk")</f>
        <v>https://drive.google.com/file/d/186a2xumyDtUwaspdbmPsCW7S-yZSyw5U/view?usp=drivesdk</v>
      </c>
    </row>
    <row r="7740">
      <c r="A7740" s="15">
        <f>IFERROR(__xludf.DUMMYFUNCTION("""COMPUTED_VALUE"""),45219.0)</f>
        <v>45219</v>
      </c>
      <c r="B7740" s="16" t="str">
        <f>IFERROR(__xludf.DUMMYFUNCTION("""COMPUTED_VALUE"""),"Daniel José sandoval gonzalez")</f>
        <v>Daniel José sandoval gonzalez</v>
      </c>
      <c r="C7740" s="15" t="str">
        <f>IFERROR(__xludf.DUMMYFUNCTION("""COMPUTED_VALUE"""),"BARRANQUILLA")</f>
        <v>BARRANQUILLA</v>
      </c>
      <c r="D7740" s="15" t="str">
        <f>IFERROR(__xludf.DUMMYFUNCTION("""COMPUTED_VALUE"""),"MEDELLÍN")</f>
        <v>MEDELLÍN</v>
      </c>
      <c r="E7740" s="15" t="str">
        <f>IFERROR(__xludf.DUMMYFUNCTION("""COMPUTED_VALUE"""),"Moloso S.A.S")</f>
        <v>Moloso S.A.S</v>
      </c>
      <c r="F7740" s="17" t="str">
        <f>IFERROR(__xludf.DUMMYFUNCTION("""COMPUTED_VALUE"""),"CR 47 100 14 ED ALAMEDA 100 - 46 TORRE B AP1304")</f>
        <v>CR 47 100 14 ED ALAMEDA 100 - 46 TORRE B AP1304</v>
      </c>
      <c r="G7740" s="15" t="str">
        <f>IFERROR(__xludf.DUMMYFUNCTION("""COMPUTED_VALUE"""),"GRACIELA COHEN")</f>
        <v>GRACIELA COHEN</v>
      </c>
      <c r="H7740" s="16">
        <f>IFERROR(__xludf.DUMMYFUNCTION("""COMPUTED_VALUE"""),16423.0)</f>
        <v>16423</v>
      </c>
      <c r="I7740" s="18">
        <f>IFERROR(__xludf.DUMMYFUNCTION("""COMPUTED_VALUE"""),17.0)</f>
        <v>17</v>
      </c>
      <c r="J7740" s="18">
        <f>IFERROR(__xludf.DUMMYFUNCTION("""COMPUTED_VALUE"""),15.0)</f>
        <v>15</v>
      </c>
      <c r="K7740" s="18">
        <f>IFERROR(__xludf.DUMMYFUNCTION("""COMPUTED_VALUE"""),28.0)</f>
        <v>28</v>
      </c>
      <c r="L7740" s="17">
        <f>IFERROR(__xludf.DUMMYFUNCTION("""COMPUTED_VALUE"""),3.167401158E9)</f>
        <v>3167401158</v>
      </c>
      <c r="M7740" s="17"/>
      <c r="N7740" s="17"/>
      <c r="O7740" s="17"/>
      <c r="P7740" s="17" t="b">
        <f>IFERROR(__xludf.DUMMYFUNCTION("""COMPUTED_VALUE"""),FALSE)</f>
        <v>0</v>
      </c>
      <c r="Q7740" s="20" t="str">
        <f>IFERROR(__xludf.DUMMYFUNCTION("""COMPUTED_VALUE"""),"")</f>
        <v/>
      </c>
      <c r="R7740" s="21" t="str">
        <f>IFERROR(__xludf.DUMMYFUNCTION("""COMPUTED_VALUE"""),"https://drive.google.com/file/d/1ymNS2HRbIzUQr2IGFBQhRF-9sknSUJyl/view?usp=drivesdk")</f>
        <v>https://drive.google.com/file/d/1ymNS2HRbIzUQr2IGFBQhRF-9sknSUJyl/view?usp=drivesdk</v>
      </c>
    </row>
    <row r="7741">
      <c r="A7741" s="15">
        <f>IFERROR(__xludf.DUMMYFUNCTION("""COMPUTED_VALUE"""),45219.0)</f>
        <v>45219</v>
      </c>
      <c r="B7741" s="16" t="str">
        <f>IFERROR(__xludf.DUMMYFUNCTION("""COMPUTED_VALUE"""),"Daniel José sandoval gonzalez")</f>
        <v>Daniel José sandoval gonzalez</v>
      </c>
      <c r="C7741" s="15" t="str">
        <f>IFERROR(__xludf.DUMMYFUNCTION("""COMPUTED_VALUE"""),"BARRANQUILLA")</f>
        <v>BARRANQUILLA</v>
      </c>
      <c r="D7741" s="15" t="str">
        <f>IFERROR(__xludf.DUMMYFUNCTION("""COMPUTED_VALUE"""),"MEDELLÍN")</f>
        <v>MEDELLÍN</v>
      </c>
      <c r="E7741" s="15" t="str">
        <f>IFERROR(__xludf.DUMMYFUNCTION("""COMPUTED_VALUE"""),"Natusoya")</f>
        <v>Natusoya</v>
      </c>
      <c r="F7741" s="17" t="str">
        <f>IFERROR(__xludf.DUMMYFUNCTION("""COMPUTED_VALUE"""),"Cra 51b #80-163 / Esificio cuesta del sol 1 piso / BARRANQUILLA")</f>
        <v>Cra 51b #80-163 / Esificio cuesta del sol 1 piso / BARRANQUILLA</v>
      </c>
      <c r="G7741" s="15" t="str">
        <f>IFERROR(__xludf.DUMMYFUNCTION("""COMPUTED_VALUE"""),"Green Organic Market")</f>
        <v>Green Organic Market</v>
      </c>
      <c r="H7741" s="16">
        <f>IFERROR(__xludf.DUMMYFUNCTION("""COMPUTED_VALUE"""),16403.0)</f>
        <v>16403</v>
      </c>
      <c r="I7741" s="18">
        <f>IFERROR(__xludf.DUMMYFUNCTION("""COMPUTED_VALUE"""),30.0)</f>
        <v>30</v>
      </c>
      <c r="J7741" s="18">
        <f>IFERROR(__xludf.DUMMYFUNCTION("""COMPUTED_VALUE"""),25.0)</f>
        <v>25</v>
      </c>
      <c r="K7741" s="18">
        <f>IFERROR(__xludf.DUMMYFUNCTION("""COMPUTED_VALUE"""),20.0)</f>
        <v>20</v>
      </c>
      <c r="L7741" s="17">
        <f>IFERROR(__xludf.DUMMYFUNCTION("""COMPUTED_VALUE"""),3.008032038E9)</f>
        <v>3008032038</v>
      </c>
      <c r="M7741" s="17"/>
      <c r="N7741" s="17"/>
      <c r="O7741" s="17"/>
      <c r="P7741" s="17" t="b">
        <f>IFERROR(__xludf.DUMMYFUNCTION("""COMPUTED_VALUE"""),FALSE)</f>
        <v>0</v>
      </c>
      <c r="Q7741" s="20" t="str">
        <f>IFERROR(__xludf.DUMMYFUNCTION("""COMPUTED_VALUE"""),"")</f>
        <v/>
      </c>
      <c r="R7741" s="21" t="str">
        <f>IFERROR(__xludf.DUMMYFUNCTION("""COMPUTED_VALUE"""),"https://drive.google.com/file/d/181bObLC0_pZt4AiWc62kT7wv0NjT_SRm/view?usp=drivesdk")</f>
        <v>https://drive.google.com/file/d/181bObLC0_pZt4AiWc62kT7wv0NjT_SRm/view?usp=drivesdk</v>
      </c>
    </row>
    <row r="7742">
      <c r="A7742" s="17" t="str">
        <f>IFERROR(__xludf.DUMMYFUNCTION("""COMPUTED_VALUE"""),"")</f>
        <v/>
      </c>
      <c r="B7742" s="17" t="str">
        <f>IFERROR(__xludf.DUMMYFUNCTION("""COMPUTED_VALUE"""),"")</f>
        <v/>
      </c>
      <c r="C7742" s="17" t="str">
        <f>IFERROR(__xludf.DUMMYFUNCTION("""COMPUTED_VALUE"""),"")</f>
        <v/>
      </c>
      <c r="D7742" s="17" t="str">
        <f>IFERROR(__xludf.DUMMYFUNCTION("""COMPUTED_VALUE"""),"")</f>
        <v/>
      </c>
      <c r="E7742" s="17" t="str">
        <f>IFERROR(__xludf.DUMMYFUNCTION("""COMPUTED_VALUE"""),"")</f>
        <v/>
      </c>
      <c r="F7742" s="17" t="str">
        <f>IFERROR(__xludf.DUMMYFUNCTION("""COMPUTED_VALUE"""),"")</f>
        <v/>
      </c>
      <c r="G7742" s="17" t="str">
        <f>IFERROR(__xludf.DUMMYFUNCTION("""COMPUTED_VALUE"""),"")</f>
        <v/>
      </c>
      <c r="H7742" s="17" t="str">
        <f>IFERROR(__xludf.DUMMYFUNCTION("""COMPUTED_VALUE"""),"")</f>
        <v/>
      </c>
      <c r="I7742" s="17" t="str">
        <f>IFERROR(__xludf.DUMMYFUNCTION("""COMPUTED_VALUE"""),"")</f>
        <v/>
      </c>
      <c r="J7742" s="17" t="str">
        <f>IFERROR(__xludf.DUMMYFUNCTION("""COMPUTED_VALUE"""),"")</f>
        <v/>
      </c>
      <c r="K7742" s="17" t="str">
        <f>IFERROR(__xludf.DUMMYFUNCTION("""COMPUTED_VALUE"""),"")</f>
        <v/>
      </c>
      <c r="L7742" s="17" t="str">
        <f>IFERROR(__xludf.DUMMYFUNCTION("""COMPUTED_VALUE"""),"")</f>
        <v/>
      </c>
      <c r="M7742" s="17" t="str">
        <f>IFERROR(__xludf.DUMMYFUNCTION("""COMPUTED_VALUE"""),"")</f>
        <v/>
      </c>
      <c r="N7742" s="17" t="str">
        <f>IFERROR(__xludf.DUMMYFUNCTION("""COMPUTED_VALUE"""),"")</f>
        <v/>
      </c>
      <c r="O7742" s="17" t="str">
        <f>IFERROR(__xludf.DUMMYFUNCTION("""COMPUTED_VALUE"""),"")</f>
        <v/>
      </c>
      <c r="P7742" s="17" t="str">
        <f>IFERROR(__xludf.DUMMYFUNCTION("""COMPUTED_VALUE"""),"")</f>
        <v/>
      </c>
      <c r="Q7742" s="17" t="str">
        <f>IFERROR(__xludf.DUMMYFUNCTION("""COMPUTED_VALUE"""),"")</f>
        <v/>
      </c>
      <c r="R7742" s="17" t="str">
        <f>IFERROR(__xludf.DUMMYFUNCTION("""COMPUTED_VALUE"""),"")</f>
        <v/>
      </c>
    </row>
    <row r="7743">
      <c r="A7743" s="15">
        <f>IFERROR(__xludf.DUMMYFUNCTION("""COMPUTED_VALUE"""),45219.0)</f>
        <v>45219</v>
      </c>
      <c r="B7743" s="16" t="str">
        <f>IFERROR(__xludf.DUMMYFUNCTION("""COMPUTED_VALUE"""),"Envia")</f>
        <v>Envia</v>
      </c>
      <c r="C7743" s="15" t="str">
        <f>IFERROR(__xludf.DUMMYFUNCTION("""COMPUTED_VALUE"""),"BARRANQUILLA")</f>
        <v>BARRANQUILLA</v>
      </c>
      <c r="D7743" s="15" t="str">
        <f>IFERROR(__xludf.DUMMYFUNCTION("""COMPUTED_VALUE"""),"MEDELLÍN")</f>
        <v>MEDELLÍN</v>
      </c>
      <c r="E7743" s="15" t="str">
        <f>IFERROR(__xludf.DUMMYFUNCTION("""COMPUTED_VALUE"""),"Baby Chef")</f>
        <v>Baby Chef</v>
      </c>
      <c r="F7743" s="17" t="str">
        <f>IFERROR(__xludf.DUMMYFUNCTION("""COMPUTED_VALUE"""),"cra 18 No 26-118 barrio Las Nieves  / . / .")</f>
        <v>cra 18 No 26-118 barrio Las Nieves  / . / .</v>
      </c>
      <c r="G7743" s="15" t="str">
        <f>IFERROR(__xludf.DUMMYFUNCTION("""COMPUTED_VALUE"""),"Karen Madrid Velez")</f>
        <v>Karen Madrid Velez</v>
      </c>
      <c r="H7743" s="16">
        <f>IFERROR(__xludf.DUMMYFUNCTION("""COMPUTED_VALUE"""),16406.0)</f>
        <v>16406</v>
      </c>
      <c r="I7743" s="18">
        <f>IFERROR(__xludf.DUMMYFUNCTION("""COMPUTED_VALUE"""),33.0)</f>
        <v>33</v>
      </c>
      <c r="J7743" s="18">
        <f>IFERROR(__xludf.DUMMYFUNCTION("""COMPUTED_VALUE"""),23.0)</f>
        <v>23</v>
      </c>
      <c r="K7743" s="18">
        <f>IFERROR(__xludf.DUMMYFUNCTION("""COMPUTED_VALUE"""),9.0)</f>
        <v>9</v>
      </c>
      <c r="L7743" s="17">
        <f>IFERROR(__xludf.DUMMYFUNCTION("""COMPUTED_VALUE"""),3.00735457E9)</f>
        <v>3007354570</v>
      </c>
      <c r="M7743" s="17"/>
      <c r="N7743" s="17"/>
      <c r="O7743" s="17"/>
      <c r="P7743" s="17" t="b">
        <f>IFERROR(__xludf.DUMMYFUNCTION("""COMPUTED_VALUE"""),FALSE)</f>
        <v>0</v>
      </c>
      <c r="Q7743" s="20" t="str">
        <f>IFERROR(__xludf.DUMMYFUNCTION("""COMPUTED_VALUE"""),"")</f>
        <v/>
      </c>
      <c r="R7743" s="21" t="str">
        <f>IFERROR(__xludf.DUMMYFUNCTION("""COMPUTED_VALUE"""),"https://drive.google.com/file/d/1x4J0Q-6BFaJt5VkcJ21rV5PU-HhoDB5U/view?usp=drivesdk")</f>
        <v>https://drive.google.com/file/d/1x4J0Q-6BFaJt5VkcJ21rV5PU-HhoDB5U/view?usp=drivesdk</v>
      </c>
    </row>
    <row r="7744">
      <c r="A7744" s="15">
        <f>IFERROR(__xludf.DUMMYFUNCTION("""COMPUTED_VALUE"""),45219.0)</f>
        <v>45219</v>
      </c>
      <c r="B7744" s="16" t="str">
        <f>IFERROR(__xludf.DUMMYFUNCTION("""COMPUTED_VALUE"""),"Envia")</f>
        <v>Envia</v>
      </c>
      <c r="C7744" s="15" t="str">
        <f>IFERROR(__xludf.DUMMYFUNCTION("""COMPUTED_VALUE"""),"BARRANQUILLA")</f>
        <v>BARRANQUILLA</v>
      </c>
      <c r="D7744" s="15" t="str">
        <f>IFERROR(__xludf.DUMMYFUNCTION("""COMPUTED_VALUE"""),"MEDELLÍN")</f>
        <v>MEDELLÍN</v>
      </c>
      <c r="E7744" s="15" t="str">
        <f>IFERROR(__xludf.DUMMYFUNCTION("""COMPUTED_VALUE"""),"Rambla")</f>
        <v>Rambla</v>
      </c>
      <c r="F7744" s="17" t="str">
        <f>IFERROR(__xludf.DUMMYFUNCTION("""COMPUTED_VALUE"""),"Carrera 67 no 81-95 Barrio paraíso / - / -")</f>
        <v>Carrera 67 no 81-95 Barrio paraíso / - / -</v>
      </c>
      <c r="G7744" s="15" t="str">
        <f>IFERROR(__xludf.DUMMYFUNCTION("""COMPUTED_VALUE"""),"Santiago Arbelaez")</f>
        <v>Santiago Arbelaez</v>
      </c>
      <c r="H7744" s="16">
        <f>IFERROR(__xludf.DUMMYFUNCTION("""COMPUTED_VALUE"""),16434.0)</f>
        <v>16434</v>
      </c>
      <c r="I7744" s="18">
        <f>IFERROR(__xludf.DUMMYFUNCTION("""COMPUTED_VALUE"""),35.0)</f>
        <v>35</v>
      </c>
      <c r="J7744" s="18">
        <f>IFERROR(__xludf.DUMMYFUNCTION("""COMPUTED_VALUE"""),30.0)</f>
        <v>30</v>
      </c>
      <c r="K7744" s="18">
        <f>IFERROR(__xludf.DUMMYFUNCTION("""COMPUTED_VALUE"""),30.0)</f>
        <v>30</v>
      </c>
      <c r="L7744" s="17">
        <f>IFERROR(__xludf.DUMMYFUNCTION("""COMPUTED_VALUE"""),3.204749856E9)</f>
        <v>3204749856</v>
      </c>
      <c r="M7744" s="17"/>
      <c r="N7744" s="17"/>
      <c r="O7744" s="17"/>
      <c r="P7744" s="17" t="b">
        <f>IFERROR(__xludf.DUMMYFUNCTION("""COMPUTED_VALUE"""),FALSE)</f>
        <v>0</v>
      </c>
      <c r="Q7744" s="20" t="str">
        <f>IFERROR(__xludf.DUMMYFUNCTION("""COMPUTED_VALUE"""),"")</f>
        <v/>
      </c>
      <c r="R7744" s="21" t="str">
        <f>IFERROR(__xludf.DUMMYFUNCTION("""COMPUTED_VALUE"""),"https://drive.google.com/file/d/1wayDDqEjYbdpU27Mx4UT2T0iD3ej8w7D/view?usp=drivesdk")</f>
        <v>https://drive.google.com/file/d/1wayDDqEjYbdpU27Mx4UT2T0iD3ej8w7D/view?usp=drivesdk</v>
      </c>
    </row>
    <row r="7745">
      <c r="A7745" s="15">
        <f>IFERROR(__xludf.DUMMYFUNCTION("""COMPUTED_VALUE"""),45219.0)</f>
        <v>45219</v>
      </c>
      <c r="B7745" s="16" t="str">
        <f>IFERROR(__xludf.DUMMYFUNCTION("""COMPUTED_VALUE"""),"Envia")</f>
        <v>Envia</v>
      </c>
      <c r="C7745" s="15" t="str">
        <f>IFERROR(__xludf.DUMMYFUNCTION("""COMPUTED_VALUE"""),"BARRANQUILLA")</f>
        <v>BARRANQUILLA</v>
      </c>
      <c r="D7745" s="15" t="str">
        <f>IFERROR(__xludf.DUMMYFUNCTION("""COMPUTED_VALUE"""),"MEDELLÍN")</f>
        <v>MEDELLÍN</v>
      </c>
      <c r="E7745" s="15" t="str">
        <f>IFERROR(__xludf.DUMMYFUNCTION("""COMPUTED_VALUE"""),"Terravocado")</f>
        <v>Terravocado</v>
      </c>
      <c r="F7745" s="17" t="str">
        <f>IFERROR(__xludf.DUMMYFUNCTION("""COMPUTED_VALUE"""),"CRA 74 # 76 - 74 / BODEGA 2 FITHUB  / FITHUB")</f>
        <v>CRA 74 # 76 - 74 / BODEGA 2 FITHUB  / FITHUB</v>
      </c>
      <c r="G7745" s="15" t="str">
        <f>IFERROR(__xludf.DUMMYFUNCTION("""COMPUTED_VALUE"""),"JORGE BLANCO OJEDA")</f>
        <v>JORGE BLANCO OJEDA</v>
      </c>
      <c r="H7745" s="16">
        <f>IFERROR(__xludf.DUMMYFUNCTION("""COMPUTED_VALUE"""),16383.0)</f>
        <v>16383</v>
      </c>
      <c r="I7745" s="18">
        <f>IFERROR(__xludf.DUMMYFUNCTION("""COMPUTED_VALUE"""),34.0)</f>
        <v>34</v>
      </c>
      <c r="J7745" s="18">
        <f>IFERROR(__xludf.DUMMYFUNCTION("""COMPUTED_VALUE"""),24.0)</f>
        <v>24</v>
      </c>
      <c r="K7745" s="18">
        <f>IFERROR(__xludf.DUMMYFUNCTION("""COMPUTED_VALUE"""),20.0)</f>
        <v>20</v>
      </c>
      <c r="L7745" s="17">
        <f>IFERROR(__xludf.DUMMYFUNCTION("""COMPUTED_VALUE"""),3.173663357E9)</f>
        <v>3173663357</v>
      </c>
      <c r="M7745" s="17"/>
      <c r="N7745" s="17"/>
      <c r="O7745" s="17"/>
      <c r="P7745" s="17" t="b">
        <f>IFERROR(__xludf.DUMMYFUNCTION("""COMPUTED_VALUE"""),FALSE)</f>
        <v>0</v>
      </c>
      <c r="Q7745" s="20" t="str">
        <f>IFERROR(__xludf.DUMMYFUNCTION("""COMPUTED_VALUE"""),"")</f>
        <v/>
      </c>
      <c r="R7745" s="21" t="str">
        <f>IFERROR(__xludf.DUMMYFUNCTION("""COMPUTED_VALUE"""),"https://drive.google.com/file/d/1x4xiwnsD-_1fF-1VkinacejSVbfYaIIg/view?usp=drivesdk")</f>
        <v>https://drive.google.com/file/d/1x4xiwnsD-_1fF-1VkinacejSVbfYaIIg/view?usp=drivesdk</v>
      </c>
    </row>
    <row r="7746">
      <c r="A7746" s="15">
        <f>IFERROR(__xludf.DUMMYFUNCTION("""COMPUTED_VALUE"""),45219.0)</f>
        <v>45219</v>
      </c>
      <c r="B7746" s="16" t="str">
        <f>IFERROR(__xludf.DUMMYFUNCTION("""COMPUTED_VALUE"""),"Envia")</f>
        <v>Envia</v>
      </c>
      <c r="C7746" s="15" t="str">
        <f>IFERROR(__xludf.DUMMYFUNCTION("""COMPUTED_VALUE"""),"BOGOTÁ")</f>
        <v>BOGOTÁ</v>
      </c>
      <c r="D7746" s="15" t="str">
        <f>IFERROR(__xludf.DUMMYFUNCTION("""COMPUTED_VALUE"""),"MEDELLÍN")</f>
        <v>MEDELLÍN</v>
      </c>
      <c r="E7746" s="15" t="str">
        <f>IFERROR(__xludf.DUMMYFUNCTION("""COMPUTED_VALUE"""),"Felicidad Bakery Bogotá")</f>
        <v>Felicidad Bakery Bogotá</v>
      </c>
      <c r="F7746" s="17" t="str">
        <f>IFERROR(__xludf.DUMMYFUNCTION("""COMPUTED_VALUE"""),"Calle 92 15 62 / Es centro chico / Local 103")</f>
        <v>Calle 92 15 62 / Es centro chico / Local 103</v>
      </c>
      <c r="G7746" s="15" t="str">
        <f>IFERROR(__xludf.DUMMYFUNCTION("""COMPUTED_VALUE"""),"sara ceballos")</f>
        <v>sara ceballos</v>
      </c>
      <c r="H7746" s="16">
        <f>IFERROR(__xludf.DUMMYFUNCTION("""COMPUTED_VALUE"""),16460.0)</f>
        <v>16460</v>
      </c>
      <c r="I7746" s="18">
        <f>IFERROR(__xludf.DUMMYFUNCTION("""COMPUTED_VALUE"""),1.0)</f>
        <v>1</v>
      </c>
      <c r="J7746" s="18">
        <f>IFERROR(__xludf.DUMMYFUNCTION("""COMPUTED_VALUE"""),1.0)</f>
        <v>1</v>
      </c>
      <c r="K7746" s="18">
        <f>IFERROR(__xludf.DUMMYFUNCTION("""COMPUTED_VALUE"""),1.0)</f>
        <v>1</v>
      </c>
      <c r="L7746" s="17">
        <f>IFERROR(__xludf.DUMMYFUNCTION("""COMPUTED_VALUE"""),3.013527163E9)</f>
        <v>3013527163</v>
      </c>
      <c r="M7746" s="17"/>
      <c r="N7746" s="17"/>
      <c r="O7746" s="17"/>
      <c r="P7746" s="17" t="b">
        <f>IFERROR(__xludf.DUMMYFUNCTION("""COMPUTED_VALUE"""),FALSE)</f>
        <v>0</v>
      </c>
      <c r="Q7746" s="20" t="str">
        <f>IFERROR(__xludf.DUMMYFUNCTION("""COMPUTED_VALUE"""),"")</f>
        <v/>
      </c>
      <c r="R7746" s="21" t="str">
        <f>IFERROR(__xludf.DUMMYFUNCTION("""COMPUTED_VALUE"""),"https://drive.google.com/file/d/16Bpx8-jjr4UzFnENPolJXsdeCt_Yi3uv/view?usp=drivesdk")</f>
        <v>https://drive.google.com/file/d/16Bpx8-jjr4UzFnENPolJXsdeCt_Yi3uv/view?usp=drivesdk</v>
      </c>
    </row>
    <row r="7747">
      <c r="A7747" s="15">
        <f>IFERROR(__xludf.DUMMYFUNCTION("""COMPUTED_VALUE"""),45219.0)</f>
        <v>45219</v>
      </c>
      <c r="B7747" s="16" t="str">
        <f>IFERROR(__xludf.DUMMYFUNCTION("""COMPUTED_VALUE"""),"Envia")</f>
        <v>Envia</v>
      </c>
      <c r="C7747" s="15" t="str">
        <f>IFERROR(__xludf.DUMMYFUNCTION("""COMPUTED_VALUE"""),"BOGOTÁ")</f>
        <v>BOGOTÁ</v>
      </c>
      <c r="D7747" s="15" t="str">
        <f>IFERROR(__xludf.DUMMYFUNCTION("""COMPUTED_VALUE"""),"MEDELLÍN")</f>
        <v>MEDELLÍN</v>
      </c>
      <c r="E7747" s="15" t="str">
        <f>IFERROR(__xludf.DUMMYFUNCTION("""COMPUTED_VALUE"""),"La Promesa")</f>
        <v>La Promesa</v>
      </c>
      <c r="F7747" s="17" t="str">
        <f>IFERROR(__xludf.DUMMYFUNCTION("""COMPUTED_VALUE"""),"Carrera 11 número 93a - 20 / Local 103 - Godo / Local 103 Godo / Bogotá")</f>
        <v>Carrera 11 número 93a - 20 / Local 103 - Godo / Local 103 Godo / Bogotá</v>
      </c>
      <c r="G7747" s="15" t="str">
        <f>IFERROR(__xludf.DUMMYFUNCTION("""COMPUTED_VALUE"""),"Alfonso Urzuela")</f>
        <v>Alfonso Urzuela</v>
      </c>
      <c r="H7747" s="16">
        <f>IFERROR(__xludf.DUMMYFUNCTION("""COMPUTED_VALUE"""),16456.0)</f>
        <v>16456</v>
      </c>
      <c r="I7747" s="18">
        <f>IFERROR(__xludf.DUMMYFUNCTION("""COMPUTED_VALUE"""),29.0)</f>
        <v>29</v>
      </c>
      <c r="J7747" s="18">
        <f>IFERROR(__xludf.DUMMYFUNCTION("""COMPUTED_VALUE"""),30.0)</f>
        <v>30</v>
      </c>
      <c r="K7747" s="18">
        <f>IFERROR(__xludf.DUMMYFUNCTION("""COMPUTED_VALUE"""),43.0)</f>
        <v>43</v>
      </c>
      <c r="L7747" s="17">
        <f>IFERROR(__xludf.DUMMYFUNCTION("""COMPUTED_VALUE"""),3.008106085E9)</f>
        <v>3008106085</v>
      </c>
      <c r="M7747" s="17"/>
      <c r="N7747" s="17"/>
      <c r="O7747" s="17"/>
      <c r="P7747" s="17" t="b">
        <f>IFERROR(__xludf.DUMMYFUNCTION("""COMPUTED_VALUE"""),FALSE)</f>
        <v>0</v>
      </c>
      <c r="Q7747" s="20" t="str">
        <f>IFERROR(__xludf.DUMMYFUNCTION("""COMPUTED_VALUE"""),"")</f>
        <v/>
      </c>
      <c r="R7747" s="21" t="str">
        <f>IFERROR(__xludf.DUMMYFUNCTION("""COMPUTED_VALUE"""),"https://drive.google.com/file/d/1NScUYop7D68hMl6g5F40zhvk3h_AW3bF/view?usp=drivesdk")</f>
        <v>https://drive.google.com/file/d/1NScUYop7D68hMl6g5F40zhvk3h_AW3bF/view?usp=drivesdk</v>
      </c>
    </row>
    <row r="7748">
      <c r="A7748" s="15">
        <f>IFERROR(__xludf.DUMMYFUNCTION("""COMPUTED_VALUE"""),45219.0)</f>
        <v>45219</v>
      </c>
      <c r="B7748" s="16" t="str">
        <f>IFERROR(__xludf.DUMMYFUNCTION("""COMPUTED_VALUE"""),"Envia")</f>
        <v>Envia</v>
      </c>
      <c r="C7748" s="15" t="str">
        <f>IFERROR(__xludf.DUMMYFUNCTION("""COMPUTED_VALUE"""),"BOGOTÁ")</f>
        <v>BOGOTÁ</v>
      </c>
      <c r="D7748" s="15" t="str">
        <f>IFERROR(__xludf.DUMMYFUNCTION("""COMPUTED_VALUE"""),"MEDELLÍN")</f>
        <v>MEDELLÍN</v>
      </c>
      <c r="E7748" s="15" t="str">
        <f>IFERROR(__xludf.DUMMYFUNCTION("""COMPUTED_VALUE"""),"Moloso S.A.S")</f>
        <v>Moloso S.A.S</v>
      </c>
      <c r="F7748" s="17" t="str">
        <f>IFERROR(__xludf.DUMMYFUNCTION("""COMPUTED_VALUE"""),"CR 78AN 58M 88 SUR CJ PARQUES DE VILLA ANITA / CJ PARQUES DE VILLA ANITA")</f>
        <v>CR 78AN 58M 88 SUR CJ PARQUES DE VILLA ANITA / CJ PARQUES DE VILLA ANITA</v>
      </c>
      <c r="G7748" s="15" t="str">
        <f>IFERROR(__xludf.DUMMYFUNCTION("""COMPUTED_VALUE"""),"VANESSA BELTRAN BUITRAGO")</f>
        <v>VANESSA BELTRAN BUITRAGO</v>
      </c>
      <c r="H7748" s="16">
        <f>IFERROR(__xludf.DUMMYFUNCTION("""COMPUTED_VALUE"""),16426.0)</f>
        <v>16426</v>
      </c>
      <c r="I7748" s="18">
        <f>IFERROR(__xludf.DUMMYFUNCTION("""COMPUTED_VALUE"""),17.0)</f>
        <v>17</v>
      </c>
      <c r="J7748" s="18">
        <f>IFERROR(__xludf.DUMMYFUNCTION("""COMPUTED_VALUE"""),15.0)</f>
        <v>15</v>
      </c>
      <c r="K7748" s="18">
        <f>IFERROR(__xludf.DUMMYFUNCTION("""COMPUTED_VALUE"""),28.0)</f>
        <v>28</v>
      </c>
      <c r="L7748" s="17" t="str">
        <f>IFERROR(__xludf.DUMMYFUNCTION("""COMPUTED_VALUE"""),"319 5025532")</f>
        <v>319 5025532</v>
      </c>
      <c r="M7748" s="17"/>
      <c r="N7748" s="17"/>
      <c r="O7748" s="17"/>
      <c r="P7748" s="17" t="b">
        <f>IFERROR(__xludf.DUMMYFUNCTION("""COMPUTED_VALUE"""),FALSE)</f>
        <v>0</v>
      </c>
      <c r="Q7748" s="20" t="str">
        <f>IFERROR(__xludf.DUMMYFUNCTION("""COMPUTED_VALUE"""),"")</f>
        <v/>
      </c>
      <c r="R7748" s="21" t="str">
        <f>IFERROR(__xludf.DUMMYFUNCTION("""COMPUTED_VALUE"""),"https://drive.google.com/file/d/1e8Ujoq4GnzbVVwV0az7jUgcFErODsRuc/view?usp=drivesdk")</f>
        <v>https://drive.google.com/file/d/1e8Ujoq4GnzbVVwV0az7jUgcFErODsRuc/view?usp=drivesdk</v>
      </c>
    </row>
    <row r="7749">
      <c r="A7749" s="15">
        <f>IFERROR(__xludf.DUMMYFUNCTION("""COMPUTED_VALUE"""),45219.0)</f>
        <v>45219</v>
      </c>
      <c r="B7749" s="16" t="str">
        <f>IFERROR(__xludf.DUMMYFUNCTION("""COMPUTED_VALUE"""),"Envia")</f>
        <v>Envia</v>
      </c>
      <c r="C7749" s="15" t="str">
        <f>IFERROR(__xludf.DUMMYFUNCTION("""COMPUTED_VALUE"""),"BUCARAMANGA")</f>
        <v>BUCARAMANGA</v>
      </c>
      <c r="D7749" s="15" t="str">
        <f>IFERROR(__xludf.DUMMYFUNCTION("""COMPUTED_VALUE"""),"BOGOTÁ")</f>
        <v>BOGOTÁ</v>
      </c>
      <c r="E7749" s="15" t="str">
        <f>IFERROR(__xludf.DUMMYFUNCTION("""COMPUTED_VALUE"""),"LINA PAOLA RAMIREZ GOMEZ - EVA MAZZITA")</f>
        <v>LINA PAOLA RAMIREZ GOMEZ - EVA MAZZITA</v>
      </c>
      <c r="F7749" s="17" t="str">
        <f>IFERROR(__xludf.DUMMYFUNCTION("""COMPUTED_VALUE"""),"Cra 33 #86-144 / Cacique Condominio. Torre sur, apto 1809. Por la vía antigua, al lado de Monviso")</f>
        <v>Cra 33 #86-144 / Cacique Condominio. Torre sur, apto 1809. Por la vía antigua, al lado de Monviso</v>
      </c>
      <c r="G7749" s="15" t="str">
        <f>IFERROR(__xludf.DUMMYFUNCTION("""COMPUTED_VALUE"""),"TANIA CAROLINA ROJAS VARGAS")</f>
        <v>TANIA CAROLINA ROJAS VARGAS</v>
      </c>
      <c r="H7749" s="16">
        <f>IFERROR(__xludf.DUMMYFUNCTION("""COMPUTED_VALUE"""),16468.0)</f>
        <v>16468</v>
      </c>
      <c r="I7749" s="17"/>
      <c r="J7749" s="17"/>
      <c r="K7749" s="17"/>
      <c r="L7749" s="17">
        <f>IFERROR(__xludf.DUMMYFUNCTION("""COMPUTED_VALUE"""),3.012002884E9)</f>
        <v>3012002884</v>
      </c>
      <c r="M7749" s="17"/>
      <c r="N7749" s="17"/>
      <c r="O7749" s="17"/>
      <c r="P7749" s="17" t="b">
        <f>IFERROR(__xludf.DUMMYFUNCTION("""COMPUTED_VALUE"""),FALSE)</f>
        <v>0</v>
      </c>
      <c r="Q7749" s="20" t="str">
        <f>IFERROR(__xludf.DUMMYFUNCTION("""COMPUTED_VALUE"""),"")</f>
        <v/>
      </c>
      <c r="R7749" s="21" t="str">
        <f>IFERROR(__xludf.DUMMYFUNCTION("""COMPUTED_VALUE"""),"https://drive.google.com/file/d/1jdeCa8QmpEa904h_X1tCT3enhtK8UC5A/view?usp=drivesdk")</f>
        <v>https://drive.google.com/file/d/1jdeCa8QmpEa904h_X1tCT3enhtK8UC5A/view?usp=drivesdk</v>
      </c>
    </row>
    <row r="7750">
      <c r="A7750" s="15">
        <f>IFERROR(__xludf.DUMMYFUNCTION("""COMPUTED_VALUE"""),45219.0)</f>
        <v>45219</v>
      </c>
      <c r="B7750" s="16" t="str">
        <f>IFERROR(__xludf.DUMMYFUNCTION("""COMPUTED_VALUE"""),"Envia")</f>
        <v>Envia</v>
      </c>
      <c r="C7750" s="15" t="str">
        <f>IFERROR(__xludf.DUMMYFUNCTION("""COMPUTED_VALUE"""),"CHÍA")</f>
        <v>CHÍA</v>
      </c>
      <c r="D7750" s="15" t="str">
        <f>IFERROR(__xludf.DUMMYFUNCTION("""COMPUTED_VALUE"""),"MEDELLÍN")</f>
        <v>MEDELLÍN</v>
      </c>
      <c r="E7750" s="15" t="str">
        <f>IFERROR(__xludf.DUMMYFUNCTION("""COMPUTED_VALUE"""),"Rambla")</f>
        <v>Rambla</v>
      </c>
      <c r="F7750" s="17" t="str">
        <f>IFERROR(__xludf.DUMMYFUNCTION("""COMPUTED_VALUE"""),"Km 1.5 via Chia Cajica 100 mts antes de Fontanar / - / -")</f>
        <v>Km 1.5 via Chia Cajica 100 mts antes de Fontanar / - / -</v>
      </c>
      <c r="G7750" s="15" t="str">
        <f>IFERROR(__xludf.DUMMYFUNCTION("""COMPUTED_VALUE"""),"The Choice")</f>
        <v>The Choice</v>
      </c>
      <c r="H7750" s="16">
        <f>IFERROR(__xludf.DUMMYFUNCTION("""COMPUTED_VALUE"""),16471.0)</f>
        <v>16471</v>
      </c>
      <c r="I7750" s="18">
        <f>IFERROR(__xludf.DUMMYFUNCTION("""COMPUTED_VALUE"""),24.0)</f>
        <v>24</v>
      </c>
      <c r="J7750" s="18">
        <f>IFERROR(__xludf.DUMMYFUNCTION("""COMPUTED_VALUE"""),23.0)</f>
        <v>23</v>
      </c>
      <c r="K7750" s="18">
        <f>IFERROR(__xludf.DUMMYFUNCTION("""COMPUTED_VALUE"""),23.0)</f>
        <v>23</v>
      </c>
      <c r="L7750" s="17">
        <f>IFERROR(__xludf.DUMMYFUNCTION("""COMPUTED_VALUE"""),3.212415592E9)</f>
        <v>3212415592</v>
      </c>
      <c r="M7750" s="17"/>
      <c r="N7750" s="17"/>
      <c r="O7750" s="17"/>
      <c r="P7750" s="17" t="b">
        <f>IFERROR(__xludf.DUMMYFUNCTION("""COMPUTED_VALUE"""),FALSE)</f>
        <v>0</v>
      </c>
      <c r="Q7750" s="20" t="str">
        <f>IFERROR(__xludf.DUMMYFUNCTION("""COMPUTED_VALUE"""),"")</f>
        <v/>
      </c>
      <c r="R7750" s="21" t="str">
        <f>IFERROR(__xludf.DUMMYFUNCTION("""COMPUTED_VALUE"""),"https://drive.google.com/file/d/16SL_aAgyf96Kt5ZhQFnyEII7mneIantc/view?usp=drivesdk")</f>
        <v>https://drive.google.com/file/d/16SL_aAgyf96Kt5ZhQFnyEII7mneIantc/view?usp=drivesdk</v>
      </c>
    </row>
    <row r="7751">
      <c r="A7751" s="15">
        <f>IFERROR(__xludf.DUMMYFUNCTION("""COMPUTED_VALUE"""),45219.0)</f>
        <v>45219</v>
      </c>
      <c r="B7751" s="16" t="str">
        <f>IFERROR(__xludf.DUMMYFUNCTION("""COMPUTED_VALUE"""),"Envia")</f>
        <v>Envia</v>
      </c>
      <c r="C7751" s="15" t="str">
        <f>IFERROR(__xludf.DUMMYFUNCTION("""COMPUTED_VALUE"""),"CÚCUTA")</f>
        <v>CÚCUTA</v>
      </c>
      <c r="D7751" s="15" t="str">
        <f>IFERROR(__xludf.DUMMYFUNCTION("""COMPUTED_VALUE"""),"MEDELLÍN")</f>
        <v>MEDELLÍN</v>
      </c>
      <c r="E7751" s="15" t="str">
        <f>IFERROR(__xludf.DUMMYFUNCTION("""COMPUTED_VALUE"""),"AREPAS LA MARY")</f>
        <v>AREPAS LA MARY</v>
      </c>
      <c r="F7751" s="17" t="str">
        <f>IFERROR(__xludf.DUMMYFUNCTION("""COMPUTED_VALUE"""),"AV. 11E N.1 35 AV. GUAIMARAL LC 3")</f>
        <v>AV. 11E N.1 35 AV. GUAIMARAL LC 3</v>
      </c>
      <c r="G7751" s="15" t="str">
        <f>IFERROR(__xludf.DUMMYFUNCTION("""COMPUTED_VALUE"""),"VITALFIT CUCUTA")</f>
        <v>VITALFIT CUCUTA</v>
      </c>
      <c r="H7751" s="16">
        <f>IFERROR(__xludf.DUMMYFUNCTION("""COMPUTED_VALUE"""),16312.0)</f>
        <v>16312</v>
      </c>
      <c r="I7751" s="18">
        <f>IFERROR(__xludf.DUMMYFUNCTION("""COMPUTED_VALUE"""),89.0)</f>
        <v>89</v>
      </c>
      <c r="J7751" s="18">
        <f>IFERROR(__xludf.DUMMYFUNCTION("""COMPUTED_VALUE"""),1.0)</f>
        <v>1</v>
      </c>
      <c r="K7751" s="18">
        <f>IFERROR(__xludf.DUMMYFUNCTION("""COMPUTED_VALUE"""),10.0)</f>
        <v>10</v>
      </c>
      <c r="L7751" s="17">
        <f>IFERROR(__xludf.DUMMYFUNCTION("""COMPUTED_VALUE"""),3.01782078E9)</f>
        <v>3017820780</v>
      </c>
      <c r="M7751" s="17"/>
      <c r="N7751" s="17"/>
      <c r="O7751" s="17"/>
      <c r="P7751" s="17" t="b">
        <f>IFERROR(__xludf.DUMMYFUNCTION("""COMPUTED_VALUE"""),FALSE)</f>
        <v>0</v>
      </c>
      <c r="Q7751" s="20" t="str">
        <f>IFERROR(__xludf.DUMMYFUNCTION("""COMPUTED_VALUE"""),"")</f>
        <v/>
      </c>
      <c r="R7751" s="22" t="str">
        <f>IFERROR(__xludf.DUMMYFUNCTION("""COMPUTED_VALUE"""),"")</f>
        <v/>
      </c>
    </row>
    <row r="7752">
      <c r="A7752" s="15">
        <f>IFERROR(__xludf.DUMMYFUNCTION("""COMPUTED_VALUE"""),45219.0)</f>
        <v>45219</v>
      </c>
      <c r="B7752" s="16" t="str">
        <f>IFERROR(__xludf.DUMMYFUNCTION("""COMPUTED_VALUE"""),"Envia")</f>
        <v>Envia</v>
      </c>
      <c r="C7752" s="15" t="str">
        <f>IFERROR(__xludf.DUMMYFUNCTION("""COMPUTED_VALUE"""),"MEDELLÍN")</f>
        <v>MEDELLÍN</v>
      </c>
      <c r="D7752" s="15" t="str">
        <f>IFERROR(__xludf.DUMMYFUNCTION("""COMPUTED_VALUE"""),"BOGOTÁ")</f>
        <v>BOGOTÁ</v>
      </c>
      <c r="E7752" s="15" t="str">
        <f>IFERROR(__xludf.DUMMYFUNCTION("""COMPUTED_VALUE"""),"Frubits")</f>
        <v>Frubits</v>
      </c>
      <c r="F7752" s="17" t="str">
        <f>IFERROR(__xludf.DUMMYFUNCTION("""COMPUTED_VALUE"""),"CC DeModa Sotano 1 Local Cocinas Ocultas Cll 14 # 52 A - 250 / CC DeModa Sotano 1 Local Cocinas Ocultas Cll 14 # 52 A - 25 / CC DeModa Sotano 1 Local Cocinas Ocultas Cll 14 # 52 A - 25")</f>
        <v>CC DeModa Sotano 1 Local Cocinas Ocultas Cll 14 # 52 A - 250 / CC DeModa Sotano 1 Local Cocinas Ocultas Cll 14 # 52 A - 25 / CC DeModa Sotano 1 Local Cocinas Ocultas Cll 14 # 52 A - 25</v>
      </c>
      <c r="G7752" s="15" t="str">
        <f>IFERROR(__xludf.DUMMYFUNCTION("""COMPUTED_VALUE"""),"Pik and Pak - Frubits Medellin")</f>
        <v>Pik and Pak - Frubits Medellin</v>
      </c>
      <c r="H7752" s="16">
        <f>IFERROR(__xludf.DUMMYFUNCTION("""COMPUTED_VALUE"""),16288.0)</f>
        <v>16288</v>
      </c>
      <c r="I7752" s="18">
        <f>IFERROR(__xludf.DUMMYFUNCTION("""COMPUTED_VALUE"""),60.0)</f>
        <v>60</v>
      </c>
      <c r="J7752" s="18">
        <f>IFERROR(__xludf.DUMMYFUNCTION("""COMPUTED_VALUE"""),38.0)</f>
        <v>38</v>
      </c>
      <c r="K7752" s="18">
        <f>IFERROR(__xludf.DUMMYFUNCTION("""COMPUTED_VALUE"""),43.0)</f>
        <v>43</v>
      </c>
      <c r="L7752" s="17">
        <f>IFERROR(__xludf.DUMMYFUNCTION("""COMPUTED_VALUE"""),3.156303988E9)</f>
        <v>3156303988</v>
      </c>
      <c r="M7752" s="17"/>
      <c r="N7752" s="17"/>
      <c r="O7752" s="17"/>
      <c r="P7752" s="17" t="b">
        <f>IFERROR(__xludf.DUMMYFUNCTION("""COMPUTED_VALUE"""),FALSE)</f>
        <v>0</v>
      </c>
      <c r="Q7752" s="20" t="str">
        <f>IFERROR(__xludf.DUMMYFUNCTION("""COMPUTED_VALUE"""),"")</f>
        <v/>
      </c>
      <c r="R7752" s="21" t="str">
        <f>IFERROR(__xludf.DUMMYFUNCTION("""COMPUTED_VALUE"""),"https://drive.google.com/file/d/1N7HYL2FNK2-0s-DifyaXAqWv2zBioorx/view?usp=drivesdk")</f>
        <v>https://drive.google.com/file/d/1N7HYL2FNK2-0s-DifyaXAqWv2zBioorx/view?usp=drivesdk</v>
      </c>
    </row>
    <row r="7753">
      <c r="A7753" s="15">
        <f>IFERROR(__xludf.DUMMYFUNCTION("""COMPUTED_VALUE"""),45219.0)</f>
        <v>45219</v>
      </c>
      <c r="B7753" s="16" t="str">
        <f>IFERROR(__xludf.DUMMYFUNCTION("""COMPUTED_VALUE"""),"Envia")</f>
        <v>Envia</v>
      </c>
      <c r="C7753" s="15" t="str">
        <f>IFERROR(__xludf.DUMMYFUNCTION("""COMPUTED_VALUE"""),"MEDELLÍN")</f>
        <v>MEDELLÍN</v>
      </c>
      <c r="D7753" s="15" t="str">
        <f>IFERROR(__xludf.DUMMYFUNCTION("""COMPUTED_VALUE"""),"BOGOTÁ")</f>
        <v>BOGOTÁ</v>
      </c>
      <c r="E7753" s="15" t="str">
        <f>IFERROR(__xludf.DUMMYFUNCTION("""COMPUTED_VALUE"""),"Jacobsen")</f>
        <v>Jacobsen</v>
      </c>
      <c r="F7753" s="17" t="str">
        <f>IFERROR(__xludf.DUMMYFUNCTION("""COMPUTED_VALUE"""),"CIRCULAR 75 #38-31 / EDIFICIO ARMONIKO SEGUNDO PISO / LAURELES DE MEDELLIN")</f>
        <v>CIRCULAR 75 #38-31 / EDIFICIO ARMONIKO SEGUNDO PISO / LAURELES DE MEDELLIN</v>
      </c>
      <c r="G7753" s="15" t="str">
        <f>IFERROR(__xludf.DUMMYFUNCTION("""COMPUTED_VALUE"""),"TORREALTA CERVECERIA LAURALE")</f>
        <v>TORREALTA CERVECERIA LAURALE</v>
      </c>
      <c r="H7753" s="16">
        <f>IFERROR(__xludf.DUMMYFUNCTION("""COMPUTED_VALUE"""),16438.0)</f>
        <v>16438</v>
      </c>
      <c r="I7753" s="18">
        <f>IFERROR(__xludf.DUMMYFUNCTION("""COMPUTED_VALUE"""),26.0)</f>
        <v>26</v>
      </c>
      <c r="J7753" s="18">
        <f>IFERROR(__xludf.DUMMYFUNCTION("""COMPUTED_VALUE"""),45065.0)</f>
        <v>45065</v>
      </c>
      <c r="K7753" s="18">
        <f>IFERROR(__xludf.DUMMYFUNCTION("""COMPUTED_VALUE"""),45055.0)</f>
        <v>45055</v>
      </c>
      <c r="L7753" s="17">
        <f>IFERROR(__xludf.DUMMYFUNCTION("""COMPUTED_VALUE"""),3.046089973E9)</f>
        <v>3046089973</v>
      </c>
      <c r="M7753" s="17"/>
      <c r="N7753" s="17"/>
      <c r="O7753" s="17"/>
      <c r="P7753" s="17" t="b">
        <f>IFERROR(__xludf.DUMMYFUNCTION("""COMPUTED_VALUE"""),FALSE)</f>
        <v>0</v>
      </c>
      <c r="Q7753" s="20" t="str">
        <f>IFERROR(__xludf.DUMMYFUNCTION("""COMPUTED_VALUE"""),"")</f>
        <v/>
      </c>
      <c r="R7753" s="21" t="str">
        <f>IFERROR(__xludf.DUMMYFUNCTION("""COMPUTED_VALUE"""),"https://drive.google.com/file/d/1CVqGs3w3GDYZ3e5yVdDLgSNpRW7QuWXb/view?usp=drivesdk")</f>
        <v>https://drive.google.com/file/d/1CVqGs3w3GDYZ3e5yVdDLgSNpRW7QuWXb/view?usp=drivesdk</v>
      </c>
    </row>
    <row r="7754">
      <c r="A7754" s="15">
        <f>IFERROR(__xludf.DUMMYFUNCTION("""COMPUTED_VALUE"""),45219.0)</f>
        <v>45219</v>
      </c>
      <c r="B7754" s="16" t="str">
        <f>IFERROR(__xludf.DUMMYFUNCTION("""COMPUTED_VALUE"""),"Envia")</f>
        <v>Envia</v>
      </c>
      <c r="C7754" s="15" t="str">
        <f>IFERROR(__xludf.DUMMYFUNCTION("""COMPUTED_VALUE"""),"MEDELLÍN")</f>
        <v>MEDELLÍN</v>
      </c>
      <c r="D7754" s="15" t="str">
        <f>IFERROR(__xludf.DUMMYFUNCTION("""COMPUTED_VALUE"""),"BOGOTÁ")</f>
        <v>BOGOTÁ</v>
      </c>
      <c r="E7754" s="15" t="str">
        <f>IFERROR(__xludf.DUMMYFUNCTION("""COMPUTED_VALUE"""),"Top Spun")</f>
        <v>Top Spun</v>
      </c>
      <c r="F7754" s="17" t="str">
        <f>IFERROR(__xludf.DUMMYFUNCTION("""COMPUTED_VALUE"""),"Carrera 27aa # 36 Sur - 151 / Urbanización Nativo Flora / Apto 1215 Medellin")</f>
        <v>Carrera 27aa # 36 Sur - 151 / Urbanización Nativo Flora / Apto 1215 Medellin</v>
      </c>
      <c r="G7754" s="15" t="str">
        <f>IFERROR(__xludf.DUMMYFUNCTION("""COMPUTED_VALUE"""),"Sofía Hincapié Mejía")</f>
        <v>Sofía Hincapié Mejía</v>
      </c>
      <c r="H7754" s="16">
        <f>IFERROR(__xludf.DUMMYFUNCTION("""COMPUTED_VALUE"""),16431.0)</f>
        <v>16431</v>
      </c>
      <c r="I7754" s="18">
        <f>IFERROR(__xludf.DUMMYFUNCTION("""COMPUTED_VALUE"""),40.0)</f>
        <v>40</v>
      </c>
      <c r="J7754" s="18">
        <f>IFERROR(__xludf.DUMMYFUNCTION("""COMPUTED_VALUE"""),10.0)</f>
        <v>10</v>
      </c>
      <c r="K7754" s="18">
        <f>IFERROR(__xludf.DUMMYFUNCTION("""COMPUTED_VALUE"""),20.0)</f>
        <v>20</v>
      </c>
      <c r="L7754" s="17">
        <f>IFERROR(__xludf.DUMMYFUNCTION("""COMPUTED_VALUE"""),3.167596956E9)</f>
        <v>3167596956</v>
      </c>
      <c r="M7754" s="17"/>
      <c r="N7754" s="17"/>
      <c r="O7754" s="17"/>
      <c r="P7754" s="17" t="b">
        <f>IFERROR(__xludf.DUMMYFUNCTION("""COMPUTED_VALUE"""),FALSE)</f>
        <v>0</v>
      </c>
      <c r="Q7754" s="20" t="str">
        <f>IFERROR(__xludf.DUMMYFUNCTION("""COMPUTED_VALUE"""),"")</f>
        <v/>
      </c>
      <c r="R7754" s="21" t="str">
        <f>IFERROR(__xludf.DUMMYFUNCTION("""COMPUTED_VALUE"""),"https://drive.google.com/file/d/14OZGwoa-9QAJYKBsJu0DGcES4XHpeeRk/view?usp=drivesdk")</f>
        <v>https://drive.google.com/file/d/14OZGwoa-9QAJYKBsJu0DGcES4XHpeeRk/view?usp=drivesdk</v>
      </c>
    </row>
    <row r="7755">
      <c r="A7755" s="15">
        <f>IFERROR(__xludf.DUMMYFUNCTION("""COMPUTED_VALUE"""),45219.0)</f>
        <v>45219</v>
      </c>
      <c r="B7755" s="16" t="str">
        <f>IFERROR(__xludf.DUMMYFUNCTION("""COMPUTED_VALUE"""),"Envia")</f>
        <v>Envia</v>
      </c>
      <c r="C7755" s="15" t="str">
        <f>IFERROR(__xludf.DUMMYFUNCTION("""COMPUTED_VALUE"""),"MEDELLÍN")</f>
        <v>MEDELLÍN</v>
      </c>
      <c r="D7755" s="15" t="str">
        <f>IFERROR(__xludf.DUMMYFUNCTION("""COMPUTED_VALUE"""),"BOGOTÁ")</f>
        <v>BOGOTÁ</v>
      </c>
      <c r="E7755" s="15" t="str">
        <f>IFERROR(__xludf.DUMMYFUNCTION("""COMPUTED_VALUE"""),"Top Spun")</f>
        <v>Top Spun</v>
      </c>
      <c r="F7755" s="17" t="str">
        <f>IFERROR(__xludf.DUMMYFUNCTION("""COMPUTED_VALUE"""),"Cra 15 # 19 sur 200 / urbanización de apartamentos terrace Quinta esencia  / apto 101 los balsos , poblado")</f>
        <v>Cra 15 # 19 sur 200 / urbanización de apartamentos terrace Quinta esencia  / apto 101 los balsos , poblado</v>
      </c>
      <c r="G7755" s="15" t="str">
        <f>IFERROR(__xludf.DUMMYFUNCTION("""COMPUTED_VALUE"""),"Ana Galvis")</f>
        <v>Ana Galvis</v>
      </c>
      <c r="H7755" s="16">
        <f>IFERROR(__xludf.DUMMYFUNCTION("""COMPUTED_VALUE"""),16432.0)</f>
        <v>16432</v>
      </c>
      <c r="I7755" s="18">
        <f>IFERROR(__xludf.DUMMYFUNCTION("""COMPUTED_VALUE"""),40.0)</f>
        <v>40</v>
      </c>
      <c r="J7755" s="18">
        <f>IFERROR(__xludf.DUMMYFUNCTION("""COMPUTED_VALUE"""),10.0)</f>
        <v>10</v>
      </c>
      <c r="K7755" s="18">
        <f>IFERROR(__xludf.DUMMYFUNCTION("""COMPUTED_VALUE"""),20.0)</f>
        <v>20</v>
      </c>
      <c r="L7755" s="17">
        <f>IFERROR(__xludf.DUMMYFUNCTION("""COMPUTED_VALUE"""),3.183418618E9)</f>
        <v>3183418618</v>
      </c>
      <c r="M7755" s="17"/>
      <c r="N7755" s="17"/>
      <c r="O7755" s="17"/>
      <c r="P7755" s="17" t="b">
        <f>IFERROR(__xludf.DUMMYFUNCTION("""COMPUTED_VALUE"""),FALSE)</f>
        <v>0</v>
      </c>
      <c r="Q7755" s="20" t="str">
        <f>IFERROR(__xludf.DUMMYFUNCTION("""COMPUTED_VALUE"""),"")</f>
        <v/>
      </c>
      <c r="R7755" s="21" t="str">
        <f>IFERROR(__xludf.DUMMYFUNCTION("""COMPUTED_VALUE"""),"https://drive.google.com/file/d/1KMVUUgqUCheo3HcoDxMVvRIaGpbFscLz/view?usp=drivesdk")</f>
        <v>https://drive.google.com/file/d/1KMVUUgqUCheo3HcoDxMVvRIaGpbFscLz/view?usp=drivesdk</v>
      </c>
    </row>
    <row r="7756">
      <c r="A7756" s="15">
        <f>IFERROR(__xludf.DUMMYFUNCTION("""COMPUTED_VALUE"""),45219.0)</f>
        <v>45219</v>
      </c>
      <c r="B7756" s="16" t="str">
        <f>IFERROR(__xludf.DUMMYFUNCTION("""COMPUTED_VALUE"""),"Envia")</f>
        <v>Envia</v>
      </c>
      <c r="C7756" s="15" t="str">
        <f>IFERROR(__xludf.DUMMYFUNCTION("""COMPUTED_VALUE"""),"RIONEGRO")</f>
        <v>RIONEGRO</v>
      </c>
      <c r="D7756" s="15" t="str">
        <f>IFERROR(__xludf.DUMMYFUNCTION("""COMPUTED_VALUE"""),"BOGOTÁ")</f>
        <v>BOGOTÁ</v>
      </c>
      <c r="E7756" s="15" t="str">
        <f>IFERROR(__xludf.DUMMYFUNCTION("""COMPUTED_VALUE"""),"Jacobsen")</f>
        <v>Jacobsen</v>
      </c>
      <c r="F7756" s="17" t="str">
        <f>IFERROR(__xludf.DUMMYFUNCTION("""COMPUTED_VALUE"""),"GLORIATA AEROPUERTO JOSE MARIA CORDOVA  / VIA GUARNE 300MT KARGA FASE 2 BODEGA 105  / RIO NEGRO ANTIOQUIA")</f>
        <v>GLORIATA AEROPUERTO JOSE MARIA CORDOVA  / VIA GUARNE 300MT KARGA FASE 2 BODEGA 105  / RIO NEGRO ANTIOQUIA</v>
      </c>
      <c r="G7756" s="15" t="str">
        <f>IFERROR(__xludf.DUMMYFUNCTION("""COMPUTED_VALUE"""),"HEINZ HILLER")</f>
        <v>HEINZ HILLER</v>
      </c>
      <c r="H7756" s="16">
        <f>IFERROR(__xludf.DUMMYFUNCTION("""COMPUTED_VALUE"""),16439.0)</f>
        <v>16439</v>
      </c>
      <c r="I7756" s="18">
        <f>IFERROR(__xludf.DUMMYFUNCTION("""COMPUTED_VALUE"""),26.0)</f>
        <v>26</v>
      </c>
      <c r="J7756" s="18">
        <f>IFERROR(__xludf.DUMMYFUNCTION("""COMPUTED_VALUE"""),43.0)</f>
        <v>43</v>
      </c>
      <c r="K7756" s="18">
        <f>IFERROR(__xludf.DUMMYFUNCTION("""COMPUTED_VALUE"""),19.0)</f>
        <v>19</v>
      </c>
      <c r="L7756" s="17">
        <f>IFERROR(__xludf.DUMMYFUNCTION("""COMPUTED_VALUE"""),3.18456074E9)</f>
        <v>3184560740</v>
      </c>
      <c r="M7756" s="17"/>
      <c r="N7756" s="17"/>
      <c r="O7756" s="17"/>
      <c r="P7756" s="17" t="b">
        <f>IFERROR(__xludf.DUMMYFUNCTION("""COMPUTED_VALUE"""),FALSE)</f>
        <v>0</v>
      </c>
      <c r="Q7756" s="20" t="str">
        <f>IFERROR(__xludf.DUMMYFUNCTION("""COMPUTED_VALUE"""),"")</f>
        <v/>
      </c>
      <c r="R7756" s="21" t="str">
        <f>IFERROR(__xludf.DUMMYFUNCTION("""COMPUTED_VALUE"""),"https://drive.google.com/file/d/197XlIFdsJWKdeMsXYKx7RVOKDIEzZnGT/view?usp=drivesdk")</f>
        <v>https://drive.google.com/file/d/197XlIFdsJWKdeMsXYKx7RVOKDIEzZnGT/view?usp=drivesdk</v>
      </c>
    </row>
    <row r="7757">
      <c r="A7757" s="15">
        <f>IFERROR(__xludf.DUMMYFUNCTION("""COMPUTED_VALUE"""),45219.0)</f>
        <v>45219</v>
      </c>
      <c r="B7757" s="16" t="str">
        <f>IFERROR(__xludf.DUMMYFUNCTION("""COMPUTED_VALUE"""),"Envia")</f>
        <v>Envia</v>
      </c>
      <c r="C7757" s="15" t="str">
        <f>IFERROR(__xludf.DUMMYFUNCTION("""COMPUTED_VALUE"""),"SANTA MARTA")</f>
        <v>SANTA MARTA</v>
      </c>
      <c r="D7757" s="15" t="str">
        <f>IFERROR(__xludf.DUMMYFUNCTION("""COMPUTED_VALUE"""),"MEDELLÍN")</f>
        <v>MEDELLÍN</v>
      </c>
      <c r="E7757" s="15" t="str">
        <f>IFERROR(__xludf.DUMMYFUNCTION("""COMPUTED_VALUE"""),"Rambla")</f>
        <v>Rambla</v>
      </c>
      <c r="F7757" s="17" t="str">
        <f>IFERROR(__xludf.DUMMYFUNCTION("""COMPUTED_VALUE"""),"calle 24a #2-39 bella vista ed san marino lc 1 / - / -")</f>
        <v>calle 24a #2-39 bella vista ed san marino lc 1 / - / -</v>
      </c>
      <c r="G7757" s="15" t="str">
        <f>IFERROR(__xludf.DUMMYFUNCTION("""COMPUTED_VALUE"""),"Corozo")</f>
        <v>Corozo</v>
      </c>
      <c r="H7757" s="16">
        <f>IFERROR(__xludf.DUMMYFUNCTION("""COMPUTED_VALUE"""),16435.0)</f>
        <v>16435</v>
      </c>
      <c r="I7757" s="18">
        <f>IFERROR(__xludf.DUMMYFUNCTION("""COMPUTED_VALUE"""),24.0)</f>
        <v>24</v>
      </c>
      <c r="J7757" s="18">
        <f>IFERROR(__xludf.DUMMYFUNCTION("""COMPUTED_VALUE"""),24.0)</f>
        <v>24</v>
      </c>
      <c r="K7757" s="18">
        <f>IFERROR(__xludf.DUMMYFUNCTION("""COMPUTED_VALUE"""),24.0)</f>
        <v>24</v>
      </c>
      <c r="L7757" s="17">
        <f>IFERROR(__xludf.DUMMYFUNCTION("""COMPUTED_VALUE"""),3.206763524E9)</f>
        <v>3206763524</v>
      </c>
      <c r="M7757" s="17"/>
      <c r="N7757" s="17"/>
      <c r="O7757" s="17"/>
      <c r="P7757" s="17" t="b">
        <f>IFERROR(__xludf.DUMMYFUNCTION("""COMPUTED_VALUE"""),FALSE)</f>
        <v>0</v>
      </c>
      <c r="Q7757" s="20" t="str">
        <f>IFERROR(__xludf.DUMMYFUNCTION("""COMPUTED_VALUE"""),"")</f>
        <v/>
      </c>
      <c r="R7757" s="21" t="str">
        <f>IFERROR(__xludf.DUMMYFUNCTION("""COMPUTED_VALUE"""),"https://drive.google.com/file/d/1jK_qVw6KlB77MjEV3GjEx6dc2ebOPBtW/view?usp=drivesdk")</f>
        <v>https://drive.google.com/file/d/1jK_qVw6KlB77MjEV3GjEx6dc2ebOPBtW/view?usp=drivesdk</v>
      </c>
    </row>
    <row r="7758">
      <c r="A7758" s="15">
        <f>IFERROR(__xludf.DUMMYFUNCTION("""COMPUTED_VALUE"""),45219.0)</f>
        <v>45219</v>
      </c>
      <c r="B7758" s="16" t="str">
        <f>IFERROR(__xludf.DUMMYFUNCTION("""COMPUTED_VALUE"""),"Envia")</f>
        <v>Envia</v>
      </c>
      <c r="C7758" s="15" t="str">
        <f>IFERROR(__xludf.DUMMYFUNCTION("""COMPUTED_VALUE"""),"SANTA MARTA")</f>
        <v>SANTA MARTA</v>
      </c>
      <c r="D7758" s="15" t="str">
        <f>IFERROR(__xludf.DUMMYFUNCTION("""COMPUTED_VALUE"""),"MEDELLÍN")</f>
        <v>MEDELLÍN</v>
      </c>
      <c r="E7758" s="15" t="str">
        <f>IFERROR(__xludf.DUMMYFUNCTION("""COMPUTED_VALUE"""),"Rambla")</f>
        <v>Rambla</v>
      </c>
      <c r="F7758" s="17" t="str">
        <f>IFERROR(__xludf.DUMMYFUNCTION("""COMPUTED_VALUE"""),"CR 4 26 40 CC PRADO PLAZA LC 117 / - / -")</f>
        <v>CR 4 26 40 CC PRADO PLAZA LC 117 / - / -</v>
      </c>
      <c r="G7758" s="15" t="str">
        <f>IFERROR(__xludf.DUMMYFUNCTION("""COMPUTED_VALUE"""),"Hecho en casa")</f>
        <v>Hecho en casa</v>
      </c>
      <c r="H7758" s="16">
        <f>IFERROR(__xludf.DUMMYFUNCTION("""COMPUTED_VALUE"""),16437.0)</f>
        <v>16437</v>
      </c>
      <c r="I7758" s="18">
        <f>IFERROR(__xludf.DUMMYFUNCTION("""COMPUTED_VALUE"""),20.0)</f>
        <v>20</v>
      </c>
      <c r="J7758" s="18">
        <f>IFERROR(__xludf.DUMMYFUNCTION("""COMPUTED_VALUE"""),24.0)</f>
        <v>24</v>
      </c>
      <c r="K7758" s="18">
        <f>IFERROR(__xludf.DUMMYFUNCTION("""COMPUTED_VALUE"""),24.0)</f>
        <v>24</v>
      </c>
      <c r="L7758" s="17">
        <f>IFERROR(__xludf.DUMMYFUNCTION("""COMPUTED_VALUE"""),3.176455877E9)</f>
        <v>3176455877</v>
      </c>
      <c r="M7758" s="17"/>
      <c r="N7758" s="17"/>
      <c r="O7758" s="17"/>
      <c r="P7758" s="17" t="b">
        <f>IFERROR(__xludf.DUMMYFUNCTION("""COMPUTED_VALUE"""),FALSE)</f>
        <v>0</v>
      </c>
      <c r="Q7758" s="20" t="str">
        <f>IFERROR(__xludf.DUMMYFUNCTION("""COMPUTED_VALUE"""),"")</f>
        <v/>
      </c>
      <c r="R7758" s="21" t="str">
        <f>IFERROR(__xludf.DUMMYFUNCTION("""COMPUTED_VALUE"""),"https://drive.google.com/file/d/1EHjxFWZFiOqPdh02cy6WFGQJExnY4OBQ/view?usp=drivesdk")</f>
        <v>https://drive.google.com/file/d/1EHjxFWZFiOqPdh02cy6WFGQJExnY4OBQ/view?usp=drivesdk</v>
      </c>
    </row>
    <row r="7759">
      <c r="A7759" s="17" t="str">
        <f>IFERROR(__xludf.DUMMYFUNCTION("""COMPUTED_VALUE"""),"")</f>
        <v/>
      </c>
      <c r="B7759" s="17" t="str">
        <f>IFERROR(__xludf.DUMMYFUNCTION("""COMPUTED_VALUE"""),"")</f>
        <v/>
      </c>
      <c r="C7759" s="17" t="str">
        <f>IFERROR(__xludf.DUMMYFUNCTION("""COMPUTED_VALUE"""),"")</f>
        <v/>
      </c>
      <c r="D7759" s="17" t="str">
        <f>IFERROR(__xludf.DUMMYFUNCTION("""COMPUTED_VALUE"""),"")</f>
        <v/>
      </c>
      <c r="E7759" s="17" t="str">
        <f>IFERROR(__xludf.DUMMYFUNCTION("""COMPUTED_VALUE"""),"")</f>
        <v/>
      </c>
      <c r="F7759" s="17" t="str">
        <f>IFERROR(__xludf.DUMMYFUNCTION("""COMPUTED_VALUE"""),"")</f>
        <v/>
      </c>
      <c r="G7759" s="17" t="str">
        <f>IFERROR(__xludf.DUMMYFUNCTION("""COMPUTED_VALUE"""),"")</f>
        <v/>
      </c>
      <c r="H7759" s="17" t="str">
        <f>IFERROR(__xludf.DUMMYFUNCTION("""COMPUTED_VALUE"""),"")</f>
        <v/>
      </c>
      <c r="I7759" s="17" t="str">
        <f>IFERROR(__xludf.DUMMYFUNCTION("""COMPUTED_VALUE"""),"")</f>
        <v/>
      </c>
      <c r="J7759" s="17" t="str">
        <f>IFERROR(__xludf.DUMMYFUNCTION("""COMPUTED_VALUE"""),"")</f>
        <v/>
      </c>
      <c r="K7759" s="17" t="str">
        <f>IFERROR(__xludf.DUMMYFUNCTION("""COMPUTED_VALUE"""),"")</f>
        <v/>
      </c>
      <c r="L7759" s="17" t="str">
        <f>IFERROR(__xludf.DUMMYFUNCTION("""COMPUTED_VALUE"""),"")</f>
        <v/>
      </c>
      <c r="M7759" s="17" t="str">
        <f>IFERROR(__xludf.DUMMYFUNCTION("""COMPUTED_VALUE"""),"")</f>
        <v/>
      </c>
      <c r="N7759" s="17" t="str">
        <f>IFERROR(__xludf.DUMMYFUNCTION("""COMPUTED_VALUE"""),"")</f>
        <v/>
      </c>
      <c r="O7759" s="17" t="str">
        <f>IFERROR(__xludf.DUMMYFUNCTION("""COMPUTED_VALUE"""),"")</f>
        <v/>
      </c>
      <c r="P7759" s="17" t="str">
        <f>IFERROR(__xludf.DUMMYFUNCTION("""COMPUTED_VALUE"""),"")</f>
        <v/>
      </c>
      <c r="Q7759" s="17" t="str">
        <f>IFERROR(__xludf.DUMMYFUNCTION("""COMPUTED_VALUE"""),"")</f>
        <v/>
      </c>
      <c r="R7759" s="17" t="str">
        <f>IFERROR(__xludf.DUMMYFUNCTION("""COMPUTED_VALUE"""),"")</f>
        <v/>
      </c>
    </row>
    <row r="7760">
      <c r="A7760" s="15">
        <f>IFERROR(__xludf.DUMMYFUNCTION("""COMPUTED_VALUE"""),45219.0)</f>
        <v>45219</v>
      </c>
      <c r="B7760" s="16" t="str">
        <f>IFERROR(__xludf.DUMMYFUNCTION("""COMPUTED_VALUE"""),"Johanna Arango Barrera")</f>
        <v>Johanna Arango Barrera</v>
      </c>
      <c r="C7760" s="15" t="str">
        <f>IFERROR(__xludf.DUMMYFUNCTION("""COMPUTED_VALUE"""),"BUCARAMANGA")</f>
        <v>BUCARAMANGA</v>
      </c>
      <c r="D7760" s="15" t="str">
        <f>IFERROR(__xludf.DUMMYFUNCTION("""COMPUTED_VALUE"""),"BOGOTÁ")</f>
        <v>BOGOTÁ</v>
      </c>
      <c r="E7760" s="15" t="str">
        <f>IFERROR(__xludf.DUMMYFUNCTION("""COMPUTED_VALUE"""),"LINA PAOLA RAMIREZ GOMEZ - EVA MAZZITA")</f>
        <v>LINA PAOLA RAMIREZ GOMEZ - EVA MAZZITA</v>
      </c>
      <c r="F7760" s="17" t="str">
        <f>IFERROR(__xludf.DUMMYFUNCTION("""COMPUTED_VALUE"""),"Avenida Bucaros # 3-05 / Samanes VI torre 8 apto 102 Real de Minas")</f>
        <v>Avenida Bucaros # 3-05 / Samanes VI torre 8 apto 102 Real de Minas</v>
      </c>
      <c r="G7760" s="15" t="str">
        <f>IFERROR(__xludf.DUMMYFUNCTION("""COMPUTED_VALUE"""),"NAYED JULIANA ARENAS NAVARRO")</f>
        <v>NAYED JULIANA ARENAS NAVARRO</v>
      </c>
      <c r="H7760" s="16">
        <f>IFERROR(__xludf.DUMMYFUNCTION("""COMPUTED_VALUE"""),16469.0)</f>
        <v>16469</v>
      </c>
      <c r="I7760" s="17"/>
      <c r="J7760" s="17"/>
      <c r="K7760" s="17"/>
      <c r="L7760" s="17">
        <f>IFERROR(__xludf.DUMMYFUNCTION("""COMPUTED_VALUE"""),3.165770456E9)</f>
        <v>3165770456</v>
      </c>
      <c r="M7760" s="17"/>
      <c r="N7760" s="17"/>
      <c r="O7760" s="17"/>
      <c r="P7760" s="17" t="b">
        <f>IFERROR(__xludf.DUMMYFUNCTION("""COMPUTED_VALUE"""),FALSE)</f>
        <v>0</v>
      </c>
      <c r="Q7760" s="20" t="str">
        <f>IFERROR(__xludf.DUMMYFUNCTION("""COMPUTED_VALUE"""),"")</f>
        <v/>
      </c>
      <c r="R7760" s="21" t="str">
        <f>IFERROR(__xludf.DUMMYFUNCTION("""COMPUTED_VALUE"""),"https://drive.google.com/file/d/1n2Im9MScaAqaAcNJP4N4xMmqU9MyqTQj/view?usp=drivesdk")</f>
        <v>https://drive.google.com/file/d/1n2Im9MScaAqaAcNJP4N4xMmqU9MyqTQj/view?usp=drivesdk</v>
      </c>
    </row>
    <row r="7761">
      <c r="A7761" s="15">
        <f>IFERROR(__xludf.DUMMYFUNCTION("""COMPUTED_VALUE"""),45219.0)</f>
        <v>45219</v>
      </c>
      <c r="B7761" s="16" t="str">
        <f>IFERROR(__xludf.DUMMYFUNCTION("""COMPUTED_VALUE"""),"Johanna Arango Barrera")</f>
        <v>Johanna Arango Barrera</v>
      </c>
      <c r="C7761" s="15" t="str">
        <f>IFERROR(__xludf.DUMMYFUNCTION("""COMPUTED_VALUE"""),"BUCARAMANGA")</f>
        <v>BUCARAMANGA</v>
      </c>
      <c r="D7761" s="15" t="str">
        <f>IFERROR(__xludf.DUMMYFUNCTION("""COMPUTED_VALUE"""),"BOGOTÁ")</f>
        <v>BOGOTÁ</v>
      </c>
      <c r="E7761" s="15" t="str">
        <f>IFERROR(__xludf.DUMMYFUNCTION("""COMPUTED_VALUE"""),"LINA PAOLA RAMIREZ GOMEZ - EVA MAZZITA")</f>
        <v>LINA PAOLA RAMIREZ GOMEZ - EVA MAZZITA</v>
      </c>
      <c r="F7761" s="17" t="str">
        <f>IFERROR(__xludf.DUMMYFUNCTION("""COMPUTED_VALUE"""),"CALLE 54 # 23 - 12 / NUEVO SOTOMAYOR APTO 301 DIAGONAL A DROGAS PAGUE MENOS")</f>
        <v>CALLE 54 # 23 - 12 / NUEVO SOTOMAYOR APTO 301 DIAGONAL A DROGAS PAGUE MENOS</v>
      </c>
      <c r="G7761" s="15" t="str">
        <f>IFERROR(__xludf.DUMMYFUNCTION("""COMPUTED_VALUE"""),"LEYDI JOHANA GALVIS AMAYA")</f>
        <v>LEYDI JOHANA GALVIS AMAYA</v>
      </c>
      <c r="H7761" s="16">
        <f>IFERROR(__xludf.DUMMYFUNCTION("""COMPUTED_VALUE"""),16467.0)</f>
        <v>16467</v>
      </c>
      <c r="I7761" s="17"/>
      <c r="J7761" s="17"/>
      <c r="K7761" s="17"/>
      <c r="L7761" s="17">
        <f>IFERROR(__xludf.DUMMYFUNCTION("""COMPUTED_VALUE"""),3.174719982E9)</f>
        <v>3174719982</v>
      </c>
      <c r="M7761" s="17"/>
      <c r="N7761" s="17"/>
      <c r="O7761" s="17"/>
      <c r="P7761" s="17" t="b">
        <f>IFERROR(__xludf.DUMMYFUNCTION("""COMPUTED_VALUE"""),FALSE)</f>
        <v>0</v>
      </c>
      <c r="Q7761" s="20" t="str">
        <f>IFERROR(__xludf.DUMMYFUNCTION("""COMPUTED_VALUE"""),"")</f>
        <v/>
      </c>
      <c r="R7761" s="21" t="str">
        <f>IFERROR(__xludf.DUMMYFUNCTION("""COMPUTED_VALUE"""),"https://drive.google.com/file/d/1pdPxBkXKtxOL47wdyZe87q0lnTE6u28G/view?usp=drivesdk")</f>
        <v>https://drive.google.com/file/d/1pdPxBkXKtxOL47wdyZe87q0lnTE6u28G/view?usp=drivesdk</v>
      </c>
    </row>
    <row r="7762">
      <c r="A7762" s="15">
        <f>IFERROR(__xludf.DUMMYFUNCTION("""COMPUTED_VALUE"""),45219.0)</f>
        <v>45219</v>
      </c>
      <c r="B7762" s="16" t="str">
        <f>IFERROR(__xludf.DUMMYFUNCTION("""COMPUTED_VALUE"""),"Johanna Arango Barrera")</f>
        <v>Johanna Arango Barrera</v>
      </c>
      <c r="C7762" s="15" t="str">
        <f>IFERROR(__xludf.DUMMYFUNCTION("""COMPUTED_VALUE"""),"CÚCUTA")</f>
        <v>CÚCUTA</v>
      </c>
      <c r="D7762" s="15" t="str">
        <f>IFERROR(__xludf.DUMMYFUNCTION("""COMPUTED_VALUE"""),"MEDELLÍN")</f>
        <v>MEDELLÍN</v>
      </c>
      <c r="E7762" s="15" t="str">
        <f>IFERROR(__xludf.DUMMYFUNCTION("""COMPUTED_VALUE"""),"Moloso S.A.S")</f>
        <v>Moloso S.A.S</v>
      </c>
      <c r="F7762" s="17" t="str">
        <f>IFERROR(__xludf.DUMMYFUNCTION("""COMPUTED_VALUE"""),"CL 7 18 09 / ASTURIAS TORRES AP 402 TORRE A")</f>
        <v>CL 7 18 09 / ASTURIAS TORRES AP 402 TORRE A</v>
      </c>
      <c r="G7762" s="15" t="str">
        <f>IFERROR(__xludf.DUMMYFUNCTION("""COMPUTED_VALUE"""),"GENESIS VICTORIA MELENDEZ")</f>
        <v>GENESIS VICTORIA MELENDEZ</v>
      </c>
      <c r="H7762" s="16">
        <f>IFERROR(__xludf.DUMMYFUNCTION("""COMPUTED_VALUE"""),16424.0)</f>
        <v>16424</v>
      </c>
      <c r="I7762" s="18">
        <f>IFERROR(__xludf.DUMMYFUNCTION("""COMPUTED_VALUE"""),17.0)</f>
        <v>17</v>
      </c>
      <c r="J7762" s="18">
        <f>IFERROR(__xludf.DUMMYFUNCTION("""COMPUTED_VALUE"""),15.0)</f>
        <v>15</v>
      </c>
      <c r="K7762" s="18">
        <f>IFERROR(__xludf.DUMMYFUNCTION("""COMPUTED_VALUE"""),28.0)</f>
        <v>28</v>
      </c>
      <c r="L7762" s="17" t="str">
        <f>IFERROR(__xludf.DUMMYFUNCTION("""COMPUTED_VALUE"""),"317 3835451")</f>
        <v>317 3835451</v>
      </c>
      <c r="M7762" s="17"/>
      <c r="N7762" s="17"/>
      <c r="O7762" s="17"/>
      <c r="P7762" s="17" t="b">
        <f>IFERROR(__xludf.DUMMYFUNCTION("""COMPUTED_VALUE"""),FALSE)</f>
        <v>0</v>
      </c>
      <c r="Q7762" s="20" t="str">
        <f>IFERROR(__xludf.DUMMYFUNCTION("""COMPUTED_VALUE"""),"")</f>
        <v/>
      </c>
      <c r="R7762" s="22" t="str">
        <f>IFERROR(__xludf.DUMMYFUNCTION("""COMPUTED_VALUE"""),"")</f>
        <v/>
      </c>
    </row>
    <row r="7763">
      <c r="A7763" s="15">
        <f>IFERROR(__xludf.DUMMYFUNCTION("""COMPUTED_VALUE"""),45219.0)</f>
        <v>45219</v>
      </c>
      <c r="B7763" s="16" t="str">
        <f>IFERROR(__xludf.DUMMYFUNCTION("""COMPUTED_VALUE"""),"Johanna Arango Barrera")</f>
        <v>Johanna Arango Barrera</v>
      </c>
      <c r="C7763" s="15" t="str">
        <f>IFERROR(__xludf.DUMMYFUNCTION("""COMPUTED_VALUE"""),"PEREIRA")</f>
        <v>PEREIRA</v>
      </c>
      <c r="D7763" s="15" t="str">
        <f>IFERROR(__xludf.DUMMYFUNCTION("""COMPUTED_VALUE"""),"BOGOTÁ")</f>
        <v>BOGOTÁ</v>
      </c>
      <c r="E7763" s="15" t="str">
        <f>IFERROR(__xludf.DUMMYFUNCTION("""COMPUTED_VALUE"""),"Athenas")</f>
        <v>Athenas</v>
      </c>
      <c r="F7763" s="17" t="str">
        <f>IFERROR(__xludf.DUMMYFUNCTION("""COMPUTED_VALUE"""),"AV. CIRCUNVALAR CARRERA 13 #13-40 CENTRO COMERCIAL UNIPLEX 6 PISO / BODYTECH - CAFETERIA / AV CIRCUNVALAR")</f>
        <v>AV. CIRCUNVALAR CARRERA 13 #13-40 CENTRO COMERCIAL UNIPLEX 6 PISO / BODYTECH - CAFETERIA / AV CIRCUNVALAR</v>
      </c>
      <c r="G7763" s="15" t="str">
        <f>IFERROR(__xludf.DUMMYFUNCTION("""COMPUTED_VALUE"""),"BELEN RODRIGUEZ")</f>
        <v>BELEN RODRIGUEZ</v>
      </c>
      <c r="H7763" s="16">
        <f>IFERROR(__xludf.DUMMYFUNCTION("""COMPUTED_VALUE"""),16444.0)</f>
        <v>16444</v>
      </c>
      <c r="I7763" s="18" t="str">
        <f>IFERROR(__xludf.DUMMYFUNCTION("""COMPUTED_VALUE"""),"52.5")</f>
        <v>52.5</v>
      </c>
      <c r="J7763" s="18">
        <f>IFERROR(__xludf.DUMMYFUNCTION("""COMPUTED_VALUE"""),55.0)</f>
        <v>55</v>
      </c>
      <c r="K7763" s="18">
        <f>IFERROR(__xludf.DUMMYFUNCTION("""COMPUTED_VALUE"""),45.0)</f>
        <v>45</v>
      </c>
      <c r="L7763" s="17">
        <f>IFERROR(__xludf.DUMMYFUNCTION("""COMPUTED_VALUE"""),3.163816691E9)</f>
        <v>3163816691</v>
      </c>
      <c r="M7763" s="17"/>
      <c r="N7763" s="17"/>
      <c r="O7763" s="17"/>
      <c r="P7763" s="17" t="b">
        <f>IFERROR(__xludf.DUMMYFUNCTION("""COMPUTED_VALUE"""),FALSE)</f>
        <v>0</v>
      </c>
      <c r="Q7763" s="20" t="str">
        <f>IFERROR(__xludf.DUMMYFUNCTION("""COMPUTED_VALUE"""),"")</f>
        <v/>
      </c>
      <c r="R7763" s="21" t="str">
        <f>IFERROR(__xludf.DUMMYFUNCTION("""COMPUTED_VALUE"""),"https://drive.google.com/file/d/1ulgMdxxci99pC4tmzZvPo7l3CD_hWAFB/view?usp=drivesdk")</f>
        <v>https://drive.google.com/file/d/1ulgMdxxci99pC4tmzZvPo7l3CD_hWAFB/view?usp=drivesdk</v>
      </c>
    </row>
    <row r="7764">
      <c r="A7764" s="17" t="str">
        <f>IFERROR(__xludf.DUMMYFUNCTION("""COMPUTED_VALUE"""),"")</f>
        <v/>
      </c>
      <c r="B7764" s="17" t="str">
        <f>IFERROR(__xludf.DUMMYFUNCTION("""COMPUTED_VALUE"""),"")</f>
        <v/>
      </c>
      <c r="C7764" s="17" t="str">
        <f>IFERROR(__xludf.DUMMYFUNCTION("""COMPUTED_VALUE"""),"")</f>
        <v/>
      </c>
      <c r="D7764" s="17" t="str">
        <f>IFERROR(__xludf.DUMMYFUNCTION("""COMPUTED_VALUE"""),"")</f>
        <v/>
      </c>
      <c r="E7764" s="17" t="str">
        <f>IFERROR(__xludf.DUMMYFUNCTION("""COMPUTED_VALUE"""),"")</f>
        <v/>
      </c>
      <c r="F7764" s="17" t="str">
        <f>IFERROR(__xludf.DUMMYFUNCTION("""COMPUTED_VALUE"""),"")</f>
        <v/>
      </c>
      <c r="G7764" s="17" t="str">
        <f>IFERROR(__xludf.DUMMYFUNCTION("""COMPUTED_VALUE"""),"")</f>
        <v/>
      </c>
      <c r="H7764" s="17" t="str">
        <f>IFERROR(__xludf.DUMMYFUNCTION("""COMPUTED_VALUE"""),"")</f>
        <v/>
      </c>
      <c r="I7764" s="17" t="str">
        <f>IFERROR(__xludf.DUMMYFUNCTION("""COMPUTED_VALUE"""),"")</f>
        <v/>
      </c>
      <c r="J7764" s="17" t="str">
        <f>IFERROR(__xludf.DUMMYFUNCTION("""COMPUTED_VALUE"""),"")</f>
        <v/>
      </c>
      <c r="K7764" s="17" t="str">
        <f>IFERROR(__xludf.DUMMYFUNCTION("""COMPUTED_VALUE"""),"")</f>
        <v/>
      </c>
      <c r="L7764" s="17" t="str">
        <f>IFERROR(__xludf.DUMMYFUNCTION("""COMPUTED_VALUE"""),"")</f>
        <v/>
      </c>
      <c r="M7764" s="17" t="str">
        <f>IFERROR(__xludf.DUMMYFUNCTION("""COMPUTED_VALUE"""),"")</f>
        <v/>
      </c>
      <c r="N7764" s="17" t="str">
        <f>IFERROR(__xludf.DUMMYFUNCTION("""COMPUTED_VALUE"""),"")</f>
        <v/>
      </c>
      <c r="O7764" s="17" t="str">
        <f>IFERROR(__xludf.DUMMYFUNCTION("""COMPUTED_VALUE"""),"")</f>
        <v/>
      </c>
      <c r="P7764" s="17" t="str">
        <f>IFERROR(__xludf.DUMMYFUNCTION("""COMPUTED_VALUE"""),"")</f>
        <v/>
      </c>
      <c r="Q7764" s="17" t="str">
        <f>IFERROR(__xludf.DUMMYFUNCTION("""COMPUTED_VALUE"""),"")</f>
        <v/>
      </c>
      <c r="R7764" s="17" t="str">
        <f>IFERROR(__xludf.DUMMYFUNCTION("""COMPUTED_VALUE"""),"")</f>
        <v/>
      </c>
    </row>
    <row r="7765">
      <c r="A7765" s="15">
        <f>IFERROR(__xludf.DUMMYFUNCTION("""COMPUTED_VALUE"""),45219.0)</f>
        <v>45219</v>
      </c>
      <c r="B7765" s="16" t="str">
        <f>IFERROR(__xludf.DUMMYFUNCTION("""COMPUTED_VALUE"""),"JOSE ALFREDO RAMIREZ VERGARA ")</f>
        <v>JOSE ALFREDO RAMIREZ VERGARA </v>
      </c>
      <c r="C7765" s="15" t="str">
        <f>IFERROR(__xludf.DUMMYFUNCTION("""COMPUTED_VALUE"""),"BOGOTÁ")</f>
        <v>BOGOTÁ</v>
      </c>
      <c r="D7765" s="15" t="str">
        <f>IFERROR(__xludf.DUMMYFUNCTION("""COMPUTED_VALUE"""),"MEDELLÍN")</f>
        <v>MEDELLÍN</v>
      </c>
      <c r="E7765" s="15" t="str">
        <f>IFERROR(__xludf.DUMMYFUNCTION("""COMPUTED_VALUE"""),"AREPAS LA MARY")</f>
        <v>AREPAS LA MARY</v>
      </c>
      <c r="F7765" s="17" t="str">
        <f>IFERROR(__xludf.DUMMYFUNCTION("""COMPUTED_VALUE"""),"Cr 4 # 46 16 apto 101 / CHAPINERO ALTO")</f>
        <v>Cr 4 # 46 16 apto 101 / CHAPINERO ALTO</v>
      </c>
      <c r="G7765" s="15" t="str">
        <f>IFERROR(__xludf.DUMMYFUNCTION("""COMPUTED_VALUE"""),"VIVIAN JARAMILLO")</f>
        <v>VIVIAN JARAMILLO</v>
      </c>
      <c r="H7765" s="16">
        <f>IFERROR(__xludf.DUMMYFUNCTION("""COMPUTED_VALUE"""),16401.0)</f>
        <v>16401</v>
      </c>
      <c r="I7765" s="18">
        <f>IFERROR(__xludf.DUMMYFUNCTION("""COMPUTED_VALUE"""),89.0)</f>
        <v>89</v>
      </c>
      <c r="J7765" s="18">
        <f>IFERROR(__xludf.DUMMYFUNCTION("""COMPUTED_VALUE"""),1.0)</f>
        <v>1</v>
      </c>
      <c r="K7765" s="18">
        <f>IFERROR(__xludf.DUMMYFUNCTION("""COMPUTED_VALUE"""),10.0)</f>
        <v>10</v>
      </c>
      <c r="L7765" s="17" t="str">
        <f>IFERROR(__xludf.DUMMYFUNCTION("""COMPUTED_VALUE"""),"301 5510812")</f>
        <v>301 5510812</v>
      </c>
      <c r="M7765" s="17"/>
      <c r="N7765" s="17"/>
      <c r="O7765" s="17"/>
      <c r="P7765" s="17" t="b">
        <f>IFERROR(__xludf.DUMMYFUNCTION("""COMPUTED_VALUE"""),FALSE)</f>
        <v>0</v>
      </c>
      <c r="Q7765" s="20" t="str">
        <f>IFERROR(__xludf.DUMMYFUNCTION("""COMPUTED_VALUE"""),"")</f>
        <v/>
      </c>
      <c r="R7765" s="21" t="str">
        <f>IFERROR(__xludf.DUMMYFUNCTION("""COMPUTED_VALUE"""),"https://drive.google.com/file/d/1V_sFs5JHPXWczzyUeQTi1z6yJad6X10h/view?usp=drivesdk")</f>
        <v>https://drive.google.com/file/d/1V_sFs5JHPXWczzyUeQTi1z6yJad6X10h/view?usp=drivesdk</v>
      </c>
    </row>
    <row r="7766">
      <c r="A7766" s="15">
        <f>IFERROR(__xludf.DUMMYFUNCTION("""COMPUTED_VALUE"""),45219.0)</f>
        <v>45219</v>
      </c>
      <c r="B7766" s="16" t="str">
        <f>IFERROR(__xludf.DUMMYFUNCTION("""COMPUTED_VALUE"""),"JOSE ALFREDO RAMIREZ VERGARA ")</f>
        <v>JOSE ALFREDO RAMIREZ VERGARA </v>
      </c>
      <c r="C7766" s="15" t="str">
        <f>IFERROR(__xludf.DUMMYFUNCTION("""COMPUTED_VALUE"""),"BOGOTÁ")</f>
        <v>BOGOTÁ</v>
      </c>
      <c r="D7766" s="15" t="str">
        <f>IFERROR(__xludf.DUMMYFUNCTION("""COMPUTED_VALUE"""),"MEDELLÍN")</f>
        <v>MEDELLÍN</v>
      </c>
      <c r="E7766" s="15" t="str">
        <f>IFERROR(__xludf.DUMMYFUNCTION("""COMPUTED_VALUE"""),"AREPAS LA MARY")</f>
        <v>AREPAS LA MARY</v>
      </c>
      <c r="F7766" s="17" t="str">
        <f>IFERROR(__xludf.DUMMYFUNCTION("""COMPUTED_VALUE"""),"cra 11 #96-75 apto 502 / CHICO BOGOTA")</f>
        <v>cra 11 #96-75 apto 502 / CHICO BOGOTA</v>
      </c>
      <c r="G7766" s="15" t="str">
        <f>IFERROR(__xludf.DUMMYFUNCTION("""COMPUTED_VALUE"""),"MARIA FLORENCIA SEGOVIA")</f>
        <v>MARIA FLORENCIA SEGOVIA</v>
      </c>
      <c r="H7766" s="16">
        <f>IFERROR(__xludf.DUMMYFUNCTION("""COMPUTED_VALUE"""),16459.0)</f>
        <v>16459</v>
      </c>
      <c r="I7766" s="18">
        <f>IFERROR(__xludf.DUMMYFUNCTION("""COMPUTED_VALUE"""),89.0)</f>
        <v>89</v>
      </c>
      <c r="J7766" s="18">
        <f>IFERROR(__xludf.DUMMYFUNCTION("""COMPUTED_VALUE"""),1.0)</f>
        <v>1</v>
      </c>
      <c r="K7766" s="18">
        <f>IFERROR(__xludf.DUMMYFUNCTION("""COMPUTED_VALUE"""),10.0)</f>
        <v>10</v>
      </c>
      <c r="L7766" s="17">
        <f>IFERROR(__xludf.DUMMYFUNCTION("""COMPUTED_VALUE"""),3.176432094E9)</f>
        <v>3176432094</v>
      </c>
      <c r="M7766" s="17"/>
      <c r="N7766" s="17"/>
      <c r="O7766" s="17"/>
      <c r="P7766" s="17" t="b">
        <f>IFERROR(__xludf.DUMMYFUNCTION("""COMPUTED_VALUE"""),FALSE)</f>
        <v>0</v>
      </c>
      <c r="Q7766" s="20" t="str">
        <f>IFERROR(__xludf.DUMMYFUNCTION("""COMPUTED_VALUE"""),"")</f>
        <v/>
      </c>
      <c r="R7766" s="21" t="str">
        <f>IFERROR(__xludf.DUMMYFUNCTION("""COMPUTED_VALUE"""),"https://drive.google.com/file/d/1RgIHXSMlmfV9uN_ZMi-MOqNaMGVO1Gu2/view?usp=drivesdk")</f>
        <v>https://drive.google.com/file/d/1RgIHXSMlmfV9uN_ZMi-MOqNaMGVO1Gu2/view?usp=drivesdk</v>
      </c>
    </row>
    <row r="7767">
      <c r="A7767" s="15">
        <f>IFERROR(__xludf.DUMMYFUNCTION("""COMPUTED_VALUE"""),45219.0)</f>
        <v>45219</v>
      </c>
      <c r="B7767" s="16" t="str">
        <f>IFERROR(__xludf.DUMMYFUNCTION("""COMPUTED_VALUE"""),"JOSE ALFREDO RAMIREZ VERGARA ")</f>
        <v>JOSE ALFREDO RAMIREZ VERGARA </v>
      </c>
      <c r="C7767" s="15" t="str">
        <f>IFERROR(__xludf.DUMMYFUNCTION("""COMPUTED_VALUE"""),"BOGOTÁ")</f>
        <v>BOGOTÁ</v>
      </c>
      <c r="D7767" s="15" t="str">
        <f>IFERROR(__xludf.DUMMYFUNCTION("""COMPUTED_VALUE"""),"MEDELLÍN")</f>
        <v>MEDELLÍN</v>
      </c>
      <c r="E7767" s="15" t="str">
        <f>IFERROR(__xludf.DUMMYFUNCTION("""COMPUTED_VALUE"""),"AREPAS LA MARY")</f>
        <v>AREPAS LA MARY</v>
      </c>
      <c r="F7767" s="17" t="str">
        <f>IFERROR(__xludf.DUMMYFUNCTION("""COMPUTED_VALUE"""),"Diagonal 136 #84-2")</f>
        <v>Diagonal 136 #84-2</v>
      </c>
      <c r="G7767" s="15" t="str">
        <f>IFERROR(__xludf.DUMMYFUNCTION("""COMPUTED_VALUE"""),"ELINARCO GARAY")</f>
        <v>ELINARCO GARAY</v>
      </c>
      <c r="H7767" s="16">
        <f>IFERROR(__xludf.DUMMYFUNCTION("""COMPUTED_VALUE"""),16402.0)</f>
        <v>16402</v>
      </c>
      <c r="I7767" s="18">
        <f>IFERROR(__xludf.DUMMYFUNCTION("""COMPUTED_VALUE"""),89.0)</f>
        <v>89</v>
      </c>
      <c r="J7767" s="18">
        <f>IFERROR(__xludf.DUMMYFUNCTION("""COMPUTED_VALUE"""),1.0)</f>
        <v>1</v>
      </c>
      <c r="K7767" s="18">
        <f>IFERROR(__xludf.DUMMYFUNCTION("""COMPUTED_VALUE"""),10.0)</f>
        <v>10</v>
      </c>
      <c r="L7767" s="17">
        <f>IFERROR(__xludf.DUMMYFUNCTION("""COMPUTED_VALUE"""),3.102330282E9)</f>
        <v>3102330282</v>
      </c>
      <c r="M7767" s="17"/>
      <c r="N7767" s="17"/>
      <c r="O7767" s="17"/>
      <c r="P7767" s="17" t="b">
        <f>IFERROR(__xludf.DUMMYFUNCTION("""COMPUTED_VALUE"""),FALSE)</f>
        <v>0</v>
      </c>
      <c r="Q7767" s="20" t="str">
        <f>IFERROR(__xludf.DUMMYFUNCTION("""COMPUTED_VALUE"""),"")</f>
        <v/>
      </c>
      <c r="R7767" s="21" t="str">
        <f>IFERROR(__xludf.DUMMYFUNCTION("""COMPUTED_VALUE"""),"https://drive.google.com/file/d/1OZjB-ygk16rL1x2zyp1LvepbOniJsBWz/view?usp=drivesdk")</f>
        <v>https://drive.google.com/file/d/1OZjB-ygk16rL1x2zyp1LvepbOniJsBWz/view?usp=drivesdk</v>
      </c>
    </row>
    <row r="7768">
      <c r="A7768" s="15">
        <f>IFERROR(__xludf.DUMMYFUNCTION("""COMPUTED_VALUE"""),45219.0)</f>
        <v>45219</v>
      </c>
      <c r="B7768" s="16" t="str">
        <f>IFERROR(__xludf.DUMMYFUNCTION("""COMPUTED_VALUE"""),"JOSE ALFREDO RAMIREZ VERGARA ")</f>
        <v>JOSE ALFREDO RAMIREZ VERGARA </v>
      </c>
      <c r="C7768" s="15" t="str">
        <f>IFERROR(__xludf.DUMMYFUNCTION("""COMPUTED_VALUE"""),"BOGOTÁ")</f>
        <v>BOGOTÁ</v>
      </c>
      <c r="D7768" s="15" t="str">
        <f>IFERROR(__xludf.DUMMYFUNCTION("""COMPUTED_VALUE"""),"MEDELLÍN")</f>
        <v>MEDELLÍN</v>
      </c>
      <c r="E7768" s="15" t="str">
        <f>IFERROR(__xludf.DUMMYFUNCTION("""COMPUTED_VALUE"""),"Magda")</f>
        <v>Magda</v>
      </c>
      <c r="F7768" s="17" t="str">
        <f>IFERROR(__xludf.DUMMYFUNCTION("""COMPUTED_VALUE"""),"calle 71a #14a 21/26 / Cocina oculta  / San felipe")</f>
        <v>calle 71a #14a 21/26 / Cocina oculta  / San felipe</v>
      </c>
      <c r="G7768" s="15" t="str">
        <f>IFERROR(__xludf.DUMMYFUNCTION("""COMPUTED_VALUE"""),"Danilo Ardila")</f>
        <v>Danilo Ardila</v>
      </c>
      <c r="H7768" s="16">
        <f>IFERROR(__xludf.DUMMYFUNCTION("""COMPUTED_VALUE"""),16457.0)</f>
        <v>16457</v>
      </c>
      <c r="I7768" s="18">
        <f>IFERROR(__xludf.DUMMYFUNCTION("""COMPUTED_VALUE"""),29.0)</f>
        <v>29</v>
      </c>
      <c r="J7768" s="18">
        <f>IFERROR(__xludf.DUMMYFUNCTION("""COMPUTED_VALUE"""),45.0)</f>
        <v>45</v>
      </c>
      <c r="K7768" s="18">
        <f>IFERROR(__xludf.DUMMYFUNCTION("""COMPUTED_VALUE"""),55.0)</f>
        <v>55</v>
      </c>
      <c r="L7768" s="17">
        <f>IFERROR(__xludf.DUMMYFUNCTION("""COMPUTED_VALUE"""),3.156303988E9)</f>
        <v>3156303988</v>
      </c>
      <c r="M7768" s="17"/>
      <c r="N7768" s="17"/>
      <c r="O7768" s="17"/>
      <c r="P7768" s="17" t="b">
        <f>IFERROR(__xludf.DUMMYFUNCTION("""COMPUTED_VALUE"""),FALSE)</f>
        <v>0</v>
      </c>
      <c r="Q7768" s="20" t="str">
        <f>IFERROR(__xludf.DUMMYFUNCTION("""COMPUTED_VALUE"""),"")</f>
        <v/>
      </c>
      <c r="R7768" s="21" t="str">
        <f>IFERROR(__xludf.DUMMYFUNCTION("""COMPUTED_VALUE"""),"https://drive.google.com/file/d/1k37w85QI5HWFqMXB27FyvxnyOB0jfMDZ/view?usp=drivesdk")</f>
        <v>https://drive.google.com/file/d/1k37w85QI5HWFqMXB27FyvxnyOB0jfMDZ/view?usp=drivesdk</v>
      </c>
    </row>
    <row r="7769">
      <c r="A7769" s="15">
        <f>IFERROR(__xludf.DUMMYFUNCTION("""COMPUTED_VALUE"""),45219.0)</f>
        <v>45219</v>
      </c>
      <c r="B7769" s="16" t="str">
        <f>IFERROR(__xludf.DUMMYFUNCTION("""COMPUTED_VALUE"""),"JOSE ALFREDO RAMIREZ VERGARA ")</f>
        <v>JOSE ALFREDO RAMIREZ VERGARA </v>
      </c>
      <c r="C7769" s="15" t="str">
        <f>IFERROR(__xludf.DUMMYFUNCTION("""COMPUTED_VALUE"""),"BOGOTÁ")</f>
        <v>BOGOTÁ</v>
      </c>
      <c r="D7769" s="15" t="str">
        <f>IFERROR(__xludf.DUMMYFUNCTION("""COMPUTED_VALUE"""),"MEDELLÍN")</f>
        <v>MEDELLÍN</v>
      </c>
      <c r="E7769" s="15" t="str">
        <f>IFERROR(__xludf.DUMMYFUNCTION("""COMPUTED_VALUE"""),"Moloso S.A.S")</f>
        <v>Moloso S.A.S</v>
      </c>
      <c r="F7769" s="17" t="str">
        <f>IFERROR(__xludf.DUMMYFUNCTION("""COMPUTED_VALUE"""),"CRA 55 149 09  CONJUNTO MONTECARLO 3 CASA 16")</f>
        <v>CRA 55 149 09  CONJUNTO MONTECARLO 3 CASA 16</v>
      </c>
      <c r="G7769" s="15" t="str">
        <f>IFERROR(__xludf.DUMMYFUNCTION("""COMPUTED_VALUE"""),"CLAUDIA ADRIANA GARCIA FINO")</f>
        <v>CLAUDIA ADRIANA GARCIA FINO</v>
      </c>
      <c r="H7769" s="16">
        <f>IFERROR(__xludf.DUMMYFUNCTION("""COMPUTED_VALUE"""),16425.0)</f>
        <v>16425</v>
      </c>
      <c r="I7769" s="18">
        <f>IFERROR(__xludf.DUMMYFUNCTION("""COMPUTED_VALUE"""),17.0)</f>
        <v>17</v>
      </c>
      <c r="J7769" s="18">
        <f>IFERROR(__xludf.DUMMYFUNCTION("""COMPUTED_VALUE"""),15.0)</f>
        <v>15</v>
      </c>
      <c r="K7769" s="18">
        <f>IFERROR(__xludf.DUMMYFUNCTION("""COMPUTED_VALUE"""),28.0)</f>
        <v>28</v>
      </c>
      <c r="L7769" s="17" t="str">
        <f>IFERROR(__xludf.DUMMYFUNCTION("""COMPUTED_VALUE"""),"313 2628813")</f>
        <v>313 2628813</v>
      </c>
      <c r="M7769" s="17"/>
      <c r="N7769" s="17"/>
      <c r="O7769" s="17"/>
      <c r="P7769" s="17" t="b">
        <f>IFERROR(__xludf.DUMMYFUNCTION("""COMPUTED_VALUE"""),FALSE)</f>
        <v>0</v>
      </c>
      <c r="Q7769" s="20" t="str">
        <f>IFERROR(__xludf.DUMMYFUNCTION("""COMPUTED_VALUE"""),"")</f>
        <v/>
      </c>
      <c r="R7769" s="21" t="str">
        <f>IFERROR(__xludf.DUMMYFUNCTION("""COMPUTED_VALUE"""),"https://drive.google.com/file/d/12-2O13cZ5DOQtBCkNuamSHBkn7eok8V4/view?usp=drivesdk")</f>
        <v>https://drive.google.com/file/d/12-2O13cZ5DOQtBCkNuamSHBkn7eok8V4/view?usp=drivesdk</v>
      </c>
    </row>
    <row r="7770">
      <c r="A7770" s="15">
        <f>IFERROR(__xludf.DUMMYFUNCTION("""COMPUTED_VALUE"""),45219.0)</f>
        <v>45219</v>
      </c>
      <c r="B7770" s="16" t="str">
        <f>IFERROR(__xludf.DUMMYFUNCTION("""COMPUTED_VALUE"""),"JOSE ALFREDO RAMIREZ VERGARA ")</f>
        <v>JOSE ALFREDO RAMIREZ VERGARA </v>
      </c>
      <c r="C7770" s="15" t="str">
        <f>IFERROR(__xludf.DUMMYFUNCTION("""COMPUTED_VALUE"""),"BOGOTÁ")</f>
        <v>BOGOTÁ</v>
      </c>
      <c r="D7770" s="15" t="str">
        <f>IFERROR(__xludf.DUMMYFUNCTION("""COMPUTED_VALUE"""),"MEDELLÍN")</f>
        <v>MEDELLÍN</v>
      </c>
      <c r="E7770" s="15" t="str">
        <f>IFERROR(__xludf.DUMMYFUNCTION("""COMPUTED_VALUE"""),"Natusoya")</f>
        <v>Natusoya</v>
      </c>
      <c r="F7770" s="17" t="str">
        <f>IFERROR(__xludf.DUMMYFUNCTION("""COMPUTED_VALUE"""),"Crra 3d #54a-58 / Local 1 / Chapinero")</f>
        <v>Crra 3d #54a-58 / Local 1 / Chapinero</v>
      </c>
      <c r="G7770" s="15" t="str">
        <f>IFERROR(__xludf.DUMMYFUNCTION("""COMPUTED_VALUE"""),"Mercados el Konny")</f>
        <v>Mercados el Konny</v>
      </c>
      <c r="H7770" s="16">
        <f>IFERROR(__xludf.DUMMYFUNCTION("""COMPUTED_VALUE"""),16443.0)</f>
        <v>16443</v>
      </c>
      <c r="I7770" s="18">
        <f>IFERROR(__xludf.DUMMYFUNCTION("""COMPUTED_VALUE"""),20.0)</f>
        <v>20</v>
      </c>
      <c r="J7770" s="18">
        <f>IFERROR(__xludf.DUMMYFUNCTION("""COMPUTED_VALUE"""),25.0)</f>
        <v>25</v>
      </c>
      <c r="K7770" s="18">
        <f>IFERROR(__xludf.DUMMYFUNCTION("""COMPUTED_VALUE"""),30.0)</f>
        <v>30</v>
      </c>
      <c r="L7770" s="17">
        <f>IFERROR(__xludf.DUMMYFUNCTION("""COMPUTED_VALUE"""),3.163816691E9)</f>
        <v>3163816691</v>
      </c>
      <c r="M7770" s="17"/>
      <c r="N7770" s="17"/>
      <c r="O7770" s="17"/>
      <c r="P7770" s="17" t="b">
        <f>IFERROR(__xludf.DUMMYFUNCTION("""COMPUTED_VALUE"""),FALSE)</f>
        <v>0</v>
      </c>
      <c r="Q7770" s="20" t="str">
        <f>IFERROR(__xludf.DUMMYFUNCTION("""COMPUTED_VALUE"""),"")</f>
        <v/>
      </c>
      <c r="R7770" s="21" t="str">
        <f>IFERROR(__xludf.DUMMYFUNCTION("""COMPUTED_VALUE"""),"https://drive.google.com/file/d/1_nRzsWIAZIMvdzXWJmIBht1-Eiz5cObN/view?usp=drivesdk")</f>
        <v>https://drive.google.com/file/d/1_nRzsWIAZIMvdzXWJmIBht1-Eiz5cObN/view?usp=drivesdk</v>
      </c>
    </row>
    <row r="7771">
      <c r="A7771" s="15">
        <f>IFERROR(__xludf.DUMMYFUNCTION("""COMPUTED_VALUE"""),45219.0)</f>
        <v>45219</v>
      </c>
      <c r="B7771" s="16" t="str">
        <f>IFERROR(__xludf.DUMMYFUNCTION("""COMPUTED_VALUE"""),"JOSE ALFREDO RAMIREZ VERGARA ")</f>
        <v>JOSE ALFREDO RAMIREZ VERGARA </v>
      </c>
      <c r="C7771" s="15" t="str">
        <f>IFERROR(__xludf.DUMMYFUNCTION("""COMPUTED_VALUE"""),"BOGOTÁ")</f>
        <v>BOGOTÁ</v>
      </c>
      <c r="D7771" s="15" t="str">
        <f>IFERROR(__xludf.DUMMYFUNCTION("""COMPUTED_VALUE"""),"MEDELLÍN")</f>
        <v>MEDELLÍN</v>
      </c>
      <c r="E7771" s="15" t="str">
        <f>IFERROR(__xludf.DUMMYFUNCTION("""COMPUTED_VALUE"""),"Rambla")</f>
        <v>Rambla</v>
      </c>
      <c r="F7771" s="17" t="str">
        <f>IFERROR(__xludf.DUMMYFUNCTION("""COMPUTED_VALUE"""),"Calle 136 A # 73 A 69 / - / -")</f>
        <v>Calle 136 A # 73 A 69 / - / -</v>
      </c>
      <c r="G7771" s="15" t="str">
        <f>IFERROR(__xludf.DUMMYFUNCTION("""COMPUTED_VALUE"""),"Margehrita Omarini")</f>
        <v>Margehrita Omarini</v>
      </c>
      <c r="H7771" s="16">
        <f>IFERROR(__xludf.DUMMYFUNCTION("""COMPUTED_VALUE"""),16472.0)</f>
        <v>16472</v>
      </c>
      <c r="I7771" s="18">
        <f>IFERROR(__xludf.DUMMYFUNCTION("""COMPUTED_VALUE"""),30.0)</f>
        <v>30</v>
      </c>
      <c r="J7771" s="18">
        <f>IFERROR(__xludf.DUMMYFUNCTION("""COMPUTED_VALUE"""),10.0)</f>
        <v>10</v>
      </c>
      <c r="K7771" s="18">
        <f>IFERROR(__xludf.DUMMYFUNCTION("""COMPUTED_VALUE"""),10.0)</f>
        <v>10</v>
      </c>
      <c r="L7771" s="17">
        <f>IFERROR(__xludf.DUMMYFUNCTION("""COMPUTED_VALUE"""),3.164684094E9)</f>
        <v>3164684094</v>
      </c>
      <c r="M7771" s="17"/>
      <c r="N7771" s="17"/>
      <c r="O7771" s="17"/>
      <c r="P7771" s="17" t="b">
        <f>IFERROR(__xludf.DUMMYFUNCTION("""COMPUTED_VALUE"""),FALSE)</f>
        <v>0</v>
      </c>
      <c r="Q7771" s="20" t="str">
        <f>IFERROR(__xludf.DUMMYFUNCTION("""COMPUTED_VALUE"""),"")</f>
        <v/>
      </c>
      <c r="R7771" s="21" t="str">
        <f>IFERROR(__xludf.DUMMYFUNCTION("""COMPUTED_VALUE"""),"https://drive.google.com/file/d/1V0J_WyKP829CL2m0WUkNawXFnGZyBZHz/view?usp=drivesdk")</f>
        <v>https://drive.google.com/file/d/1V0J_WyKP829CL2m0WUkNawXFnGZyBZHz/view?usp=drivesdk</v>
      </c>
    </row>
    <row r="7772">
      <c r="A7772" s="15">
        <f>IFERROR(__xludf.DUMMYFUNCTION("""COMPUTED_VALUE"""),45219.0)</f>
        <v>45219</v>
      </c>
      <c r="B7772" s="16" t="str">
        <f>IFERROR(__xludf.DUMMYFUNCTION("""COMPUTED_VALUE"""),"JOSE ALFREDO RAMIREZ VERGARA ")</f>
        <v>JOSE ALFREDO RAMIREZ VERGARA </v>
      </c>
      <c r="C7772" s="15" t="str">
        <f>IFERROR(__xludf.DUMMYFUNCTION("""COMPUTED_VALUE"""),"BOGOTÁ")</f>
        <v>BOGOTÁ</v>
      </c>
      <c r="D7772" s="15" t="str">
        <f>IFERROR(__xludf.DUMMYFUNCTION("""COMPUTED_VALUE"""),"MEDELLÍN")</f>
        <v>MEDELLÍN</v>
      </c>
      <c r="E7772" s="15" t="str">
        <f>IFERROR(__xludf.DUMMYFUNCTION("""COMPUTED_VALUE"""),"Rambla")</f>
        <v>Rambla</v>
      </c>
      <c r="F7772" s="17" t="str">
        <f>IFERROR(__xludf.DUMMYFUNCTION("""COMPUTED_VALUE"""),"Calle 20 sur # 12B 26 apto 402 barrio ciudad jardín sur / - / -")</f>
        <v>Calle 20 sur # 12B 26 apto 402 barrio ciudad jardín sur / - / -</v>
      </c>
      <c r="G7772" s="15" t="str">
        <f>IFERROR(__xludf.DUMMYFUNCTION("""COMPUTED_VALUE"""),"Elisa Joya")</f>
        <v>Elisa Joya</v>
      </c>
      <c r="H7772" s="16">
        <f>IFERROR(__xludf.DUMMYFUNCTION("""COMPUTED_VALUE"""),16474.0)</f>
        <v>16474</v>
      </c>
      <c r="I7772" s="18">
        <f>IFERROR(__xludf.DUMMYFUNCTION("""COMPUTED_VALUE"""),20.0)</f>
        <v>20</v>
      </c>
      <c r="J7772" s="18">
        <f>IFERROR(__xludf.DUMMYFUNCTION("""COMPUTED_VALUE"""),10.0)</f>
        <v>10</v>
      </c>
      <c r="K7772" s="18">
        <f>IFERROR(__xludf.DUMMYFUNCTION("""COMPUTED_VALUE"""),10.0)</f>
        <v>10</v>
      </c>
      <c r="L7772" s="17">
        <f>IFERROR(__xludf.DUMMYFUNCTION("""COMPUTED_VALUE"""),3.115842241E9)</f>
        <v>3115842241</v>
      </c>
      <c r="M7772" s="17"/>
      <c r="N7772" s="17"/>
      <c r="O7772" s="17"/>
      <c r="P7772" s="17" t="b">
        <f>IFERROR(__xludf.DUMMYFUNCTION("""COMPUTED_VALUE"""),FALSE)</f>
        <v>0</v>
      </c>
      <c r="Q7772" s="20" t="str">
        <f>IFERROR(__xludf.DUMMYFUNCTION("""COMPUTED_VALUE"""),"")</f>
        <v/>
      </c>
      <c r="R7772" s="21" t="str">
        <f>IFERROR(__xludf.DUMMYFUNCTION("""COMPUTED_VALUE"""),"https://drive.google.com/file/d/1kBpR0vFGQ7aTpS1Po6V6Cemtax6Ez2y7/view?usp=drivesdk")</f>
        <v>https://drive.google.com/file/d/1kBpR0vFGQ7aTpS1Po6V6Cemtax6Ez2y7/view?usp=drivesdk</v>
      </c>
    </row>
    <row r="7773">
      <c r="A7773" s="15">
        <f>IFERROR(__xludf.DUMMYFUNCTION("""COMPUTED_VALUE"""),45219.0)</f>
        <v>45219</v>
      </c>
      <c r="B7773" s="16" t="str">
        <f>IFERROR(__xludf.DUMMYFUNCTION("""COMPUTED_VALUE"""),"JOSE ALFREDO RAMIREZ VERGARA ")</f>
        <v>JOSE ALFREDO RAMIREZ VERGARA </v>
      </c>
      <c r="C7773" s="15" t="str">
        <f>IFERROR(__xludf.DUMMYFUNCTION("""COMPUTED_VALUE"""),"BOGOTÁ")</f>
        <v>BOGOTÁ</v>
      </c>
      <c r="D7773" s="15" t="str">
        <f>IFERROR(__xludf.DUMMYFUNCTION("""COMPUTED_VALUE"""),"MEDELLÍN")</f>
        <v>MEDELLÍN</v>
      </c>
      <c r="E7773" s="15" t="str">
        <f>IFERROR(__xludf.DUMMYFUNCTION("""COMPUTED_VALUE"""),"Rambla")</f>
        <v>Rambla</v>
      </c>
      <c r="F7773" s="17" t="str">
        <f>IFERROR(__xludf.DUMMYFUNCTION("""COMPUTED_VALUE"""),"Calle 24 80b 82 Modelia / - / -")</f>
        <v>Calle 24 80b 82 Modelia / - / -</v>
      </c>
      <c r="G7773" s="15" t="str">
        <f>IFERROR(__xludf.DUMMYFUNCTION("""COMPUTED_VALUE"""),"Origenes")</f>
        <v>Origenes</v>
      </c>
      <c r="H7773" s="16">
        <f>IFERROR(__xludf.DUMMYFUNCTION("""COMPUTED_VALUE"""),16465.0)</f>
        <v>16465</v>
      </c>
      <c r="I7773" s="18">
        <f>IFERROR(__xludf.DUMMYFUNCTION("""COMPUTED_VALUE"""),24.0)</f>
        <v>24</v>
      </c>
      <c r="J7773" s="18">
        <f>IFERROR(__xludf.DUMMYFUNCTION("""COMPUTED_VALUE"""),22.0)</f>
        <v>22</v>
      </c>
      <c r="K7773" s="18">
        <f>IFERROR(__xludf.DUMMYFUNCTION("""COMPUTED_VALUE"""),22.0)</f>
        <v>22</v>
      </c>
      <c r="L7773" s="17">
        <f>IFERROR(__xludf.DUMMYFUNCTION("""COMPUTED_VALUE"""),3.136299043E9)</f>
        <v>3136299043</v>
      </c>
      <c r="M7773" s="17"/>
      <c r="N7773" s="17"/>
      <c r="O7773" s="17"/>
      <c r="P7773" s="17" t="b">
        <f>IFERROR(__xludf.DUMMYFUNCTION("""COMPUTED_VALUE"""),FALSE)</f>
        <v>0</v>
      </c>
      <c r="Q7773" s="20" t="str">
        <f>IFERROR(__xludf.DUMMYFUNCTION("""COMPUTED_VALUE"""),"")</f>
        <v/>
      </c>
      <c r="R7773" s="21" t="str">
        <f>IFERROR(__xludf.DUMMYFUNCTION("""COMPUTED_VALUE"""),"https://drive.google.com/file/d/1Cs-w4IXUe7zWg7wHT0YnE8HoionpVK6-/view?usp=drivesdk")</f>
        <v>https://drive.google.com/file/d/1Cs-w4IXUe7zWg7wHT0YnE8HoionpVK6-/view?usp=drivesdk</v>
      </c>
    </row>
    <row r="7774">
      <c r="A7774" s="15">
        <f>IFERROR(__xludf.DUMMYFUNCTION("""COMPUTED_VALUE"""),45219.0)</f>
        <v>45219</v>
      </c>
      <c r="B7774" s="16" t="str">
        <f>IFERROR(__xludf.DUMMYFUNCTION("""COMPUTED_VALUE"""),"JOSE ALFREDO RAMIREZ VERGARA ")</f>
        <v>JOSE ALFREDO RAMIREZ VERGARA </v>
      </c>
      <c r="C7774" s="15" t="str">
        <f>IFERROR(__xludf.DUMMYFUNCTION("""COMPUTED_VALUE"""),"BOGOTÁ")</f>
        <v>BOGOTÁ</v>
      </c>
      <c r="D7774" s="15" t="str">
        <f>IFERROR(__xludf.DUMMYFUNCTION("""COMPUTED_VALUE"""),"MEDELLÍN")</f>
        <v>MEDELLÍN</v>
      </c>
      <c r="E7774" s="15" t="str">
        <f>IFERROR(__xludf.DUMMYFUNCTION("""COMPUTED_VALUE"""),"Rambla")</f>
        <v>Rambla</v>
      </c>
      <c r="F7774" s="17" t="str">
        <f>IFERROR(__xludf.DUMMYFUNCTION("""COMPUTED_VALUE"""),"Calle 41 a número 8-25 bulevar 42 apto 707 b / - / -")</f>
        <v>Calle 41 a número 8-25 bulevar 42 apto 707 b / - / -</v>
      </c>
      <c r="G7774" s="15" t="str">
        <f>IFERROR(__xludf.DUMMYFUNCTION("""COMPUTED_VALUE"""),"Nutriclic")</f>
        <v>Nutriclic</v>
      </c>
      <c r="H7774" s="16">
        <f>IFERROR(__xludf.DUMMYFUNCTION("""COMPUTED_VALUE"""),16464.0)</f>
        <v>16464</v>
      </c>
      <c r="I7774" s="18">
        <f>IFERROR(__xludf.DUMMYFUNCTION("""COMPUTED_VALUE"""),20.0)</f>
        <v>20</v>
      </c>
      <c r="J7774" s="18">
        <f>IFERROR(__xludf.DUMMYFUNCTION("""COMPUTED_VALUE"""),20.0)</f>
        <v>20</v>
      </c>
      <c r="K7774" s="18">
        <f>IFERROR(__xludf.DUMMYFUNCTION("""COMPUTED_VALUE"""),20.0)</f>
        <v>20</v>
      </c>
      <c r="L7774" s="17">
        <f>IFERROR(__xludf.DUMMYFUNCTION("""COMPUTED_VALUE"""),3.102661625E9)</f>
        <v>3102661625</v>
      </c>
      <c r="M7774" s="17"/>
      <c r="N7774" s="17"/>
      <c r="O7774" s="17"/>
      <c r="P7774" s="17" t="b">
        <f>IFERROR(__xludf.DUMMYFUNCTION("""COMPUTED_VALUE"""),FALSE)</f>
        <v>0</v>
      </c>
      <c r="Q7774" s="20" t="str">
        <f>IFERROR(__xludf.DUMMYFUNCTION("""COMPUTED_VALUE"""),"")</f>
        <v/>
      </c>
      <c r="R7774" s="21" t="str">
        <f>IFERROR(__xludf.DUMMYFUNCTION("""COMPUTED_VALUE"""),"https://drive.google.com/file/d/1-b59vkM-fRkRbrPAYyx5zuFzNS4bFogB/view?usp=drivesdk")</f>
        <v>https://drive.google.com/file/d/1-b59vkM-fRkRbrPAYyx5zuFzNS4bFogB/view?usp=drivesdk</v>
      </c>
    </row>
    <row r="7775">
      <c r="A7775" s="15">
        <f>IFERROR(__xludf.DUMMYFUNCTION("""COMPUTED_VALUE"""),45219.0)</f>
        <v>45219</v>
      </c>
      <c r="B7775" s="16" t="str">
        <f>IFERROR(__xludf.DUMMYFUNCTION("""COMPUTED_VALUE"""),"JOSE ALFREDO RAMIREZ VERGARA ")</f>
        <v>JOSE ALFREDO RAMIREZ VERGARA </v>
      </c>
      <c r="C7775" s="15" t="str">
        <f>IFERROR(__xludf.DUMMYFUNCTION("""COMPUTED_VALUE"""),"BOGOTÁ")</f>
        <v>BOGOTÁ</v>
      </c>
      <c r="D7775" s="15" t="str">
        <f>IFERROR(__xludf.DUMMYFUNCTION("""COMPUTED_VALUE"""),"MEDELLÍN")</f>
        <v>MEDELLÍN</v>
      </c>
      <c r="E7775" s="15" t="str">
        <f>IFERROR(__xludf.DUMMYFUNCTION("""COMPUTED_VALUE"""),"Rambla")</f>
        <v>Rambla</v>
      </c>
      <c r="F7775" s="17" t="str">
        <f>IFERROR(__xludf.DUMMYFUNCTION("""COMPUTED_VALUE"""),"Calle 65 # 2-66. Apto 502. Edificio Abydos / - / -")</f>
        <v>Calle 65 # 2-66. Apto 502. Edificio Abydos / - / -</v>
      </c>
      <c r="G7775" s="15" t="str">
        <f>IFERROR(__xludf.DUMMYFUNCTION("""COMPUTED_VALUE"""),"Lena Aarón")</f>
        <v>Lena Aarón</v>
      </c>
      <c r="H7775" s="16">
        <f>IFERROR(__xludf.DUMMYFUNCTION("""COMPUTED_VALUE"""),16473.0)</f>
        <v>16473</v>
      </c>
      <c r="I7775" s="18">
        <f>IFERROR(__xludf.DUMMYFUNCTION("""COMPUTED_VALUE"""),15.0)</f>
        <v>15</v>
      </c>
      <c r="J7775" s="18">
        <f>IFERROR(__xludf.DUMMYFUNCTION("""COMPUTED_VALUE"""),16.0)</f>
        <v>16</v>
      </c>
      <c r="K7775" s="18">
        <f>IFERROR(__xludf.DUMMYFUNCTION("""COMPUTED_VALUE"""),16.0)</f>
        <v>16</v>
      </c>
      <c r="L7775" s="17">
        <f>IFERROR(__xludf.DUMMYFUNCTION("""COMPUTED_VALUE"""),3.014238586E9)</f>
        <v>3014238586</v>
      </c>
      <c r="M7775" s="17"/>
      <c r="N7775" s="17"/>
      <c r="O7775" s="17"/>
      <c r="P7775" s="17" t="b">
        <f>IFERROR(__xludf.DUMMYFUNCTION("""COMPUTED_VALUE"""),FALSE)</f>
        <v>0</v>
      </c>
      <c r="Q7775" s="20" t="str">
        <f>IFERROR(__xludf.DUMMYFUNCTION("""COMPUTED_VALUE"""),"")</f>
        <v/>
      </c>
      <c r="R7775" s="21" t="str">
        <f>IFERROR(__xludf.DUMMYFUNCTION("""COMPUTED_VALUE"""),"https://drive.google.com/file/d/1jlzYtmOudcWvLtK0MdYv7r9Z5gtMi9no/view?usp=drivesdk")</f>
        <v>https://drive.google.com/file/d/1jlzYtmOudcWvLtK0MdYv7r9Z5gtMi9no/view?usp=drivesdk</v>
      </c>
    </row>
    <row r="7776">
      <c r="A7776" s="15">
        <f>IFERROR(__xludf.DUMMYFUNCTION("""COMPUTED_VALUE"""),45219.0)</f>
        <v>45219</v>
      </c>
      <c r="B7776" s="16" t="str">
        <f>IFERROR(__xludf.DUMMYFUNCTION("""COMPUTED_VALUE"""),"JOSE ALFREDO RAMIREZ VERGARA ")</f>
        <v>JOSE ALFREDO RAMIREZ VERGARA </v>
      </c>
      <c r="C7776" s="15" t="str">
        <f>IFERROR(__xludf.DUMMYFUNCTION("""COMPUTED_VALUE"""),"BOGOTÁ")</f>
        <v>BOGOTÁ</v>
      </c>
      <c r="D7776" s="15" t="str">
        <f>IFERROR(__xludf.DUMMYFUNCTION("""COMPUTED_VALUE"""),"MEDELLÍN")</f>
        <v>MEDELLÍN</v>
      </c>
      <c r="E7776" s="15" t="str">
        <f>IFERROR(__xludf.DUMMYFUNCTION("""COMPUTED_VALUE"""),"Rambla")</f>
        <v>Rambla</v>
      </c>
      <c r="F7776" s="17" t="str">
        <f>IFERROR(__xludf.DUMMYFUNCTION("""COMPUTED_VALUE"""),"Calle 72 A Bis # 1B - 52 Este. Edificio Lumini Apto 403. Barrio Rosales,Bogotá / - / -")</f>
        <v>Calle 72 A Bis # 1B - 52 Este. Edificio Lumini Apto 403. Barrio Rosales,Bogotá / - / -</v>
      </c>
      <c r="G7776" s="15" t="str">
        <f>IFERROR(__xludf.DUMMYFUNCTION("""COMPUTED_VALUE"""),"Johanna Contreras Romero")</f>
        <v>Johanna Contreras Romero</v>
      </c>
      <c r="H7776" s="16">
        <f>IFERROR(__xludf.DUMMYFUNCTION("""COMPUTED_VALUE"""),16475.0)</f>
        <v>16475</v>
      </c>
      <c r="I7776" s="18">
        <f>IFERROR(__xludf.DUMMYFUNCTION("""COMPUTED_VALUE"""),30.0)</f>
        <v>30</v>
      </c>
      <c r="J7776" s="18">
        <f>IFERROR(__xludf.DUMMYFUNCTION("""COMPUTED_VALUE"""),10.0)</f>
        <v>10</v>
      </c>
      <c r="K7776" s="18">
        <f>IFERROR(__xludf.DUMMYFUNCTION("""COMPUTED_VALUE"""),10.0)</f>
        <v>10</v>
      </c>
      <c r="L7776" s="17">
        <f>IFERROR(__xludf.DUMMYFUNCTION("""COMPUTED_VALUE"""),3.176419243E9)</f>
        <v>3176419243</v>
      </c>
      <c r="M7776" s="17"/>
      <c r="N7776" s="17"/>
      <c r="O7776" s="17"/>
      <c r="P7776" s="17" t="b">
        <f>IFERROR(__xludf.DUMMYFUNCTION("""COMPUTED_VALUE"""),FALSE)</f>
        <v>0</v>
      </c>
      <c r="Q7776" s="20" t="str">
        <f>IFERROR(__xludf.DUMMYFUNCTION("""COMPUTED_VALUE"""),"")</f>
        <v/>
      </c>
      <c r="R7776" s="21" t="str">
        <f>IFERROR(__xludf.DUMMYFUNCTION("""COMPUTED_VALUE"""),"https://drive.google.com/file/d/1StFZ7cO1xpmSVe7eXryffDDxp9B8X0Tw/view?usp=drivesdk")</f>
        <v>https://drive.google.com/file/d/1StFZ7cO1xpmSVe7eXryffDDxp9B8X0Tw/view?usp=drivesdk</v>
      </c>
    </row>
    <row r="7777">
      <c r="A7777" s="15">
        <f>IFERROR(__xludf.DUMMYFUNCTION("""COMPUTED_VALUE"""),45219.0)</f>
        <v>45219</v>
      </c>
      <c r="B7777" s="16" t="str">
        <f>IFERROR(__xludf.DUMMYFUNCTION("""COMPUTED_VALUE"""),"JOSE ALFREDO RAMIREZ VERGARA ")</f>
        <v>JOSE ALFREDO RAMIREZ VERGARA </v>
      </c>
      <c r="C7777" s="15" t="str">
        <f>IFERROR(__xludf.DUMMYFUNCTION("""COMPUTED_VALUE"""),"MANIZALES")</f>
        <v>MANIZALES</v>
      </c>
      <c r="D7777" s="15" t="str">
        <f>IFERROR(__xludf.DUMMYFUNCTION("""COMPUTED_VALUE"""),"BUCARAMANGA")</f>
        <v>BUCARAMANGA</v>
      </c>
      <c r="E7777" s="15" t="str">
        <f>IFERROR(__xludf.DUMMYFUNCTION("""COMPUTED_VALUE"""),"Yo Como Solito")</f>
        <v>Yo Como Solito</v>
      </c>
      <c r="F7777" s="17" t="str">
        <f>IFERROR(__xludf.DUMMYFUNCTION("""COMPUTED_VALUE"""),"CARRERA 28D  # 70-46 BARRIO PALERMO CASA / CARRERA 28D  # 70-46 BARRIO PALERMO CASA / CARRERA 28D  # 70-46 BARRIO PALERMO CASA")</f>
        <v>CARRERA 28D  # 70-46 BARRIO PALERMO CASA / CARRERA 28D  # 70-46 BARRIO PALERMO CASA / CARRERA 28D  # 70-46 BARRIO PALERMO CASA</v>
      </c>
      <c r="G7777" s="15" t="str">
        <f>IFERROR(__xludf.DUMMYFUNCTION("""COMPUTED_VALUE"""),"PAULA XIMENA BOLAÑOS QUINTERO")</f>
        <v>PAULA XIMENA BOLAÑOS QUINTERO</v>
      </c>
      <c r="H7777" s="16">
        <f>IFERROR(__xludf.DUMMYFUNCTION("""COMPUTED_VALUE"""),16328.0)</f>
        <v>16328</v>
      </c>
      <c r="I7777" s="18">
        <f>IFERROR(__xludf.DUMMYFUNCTION("""COMPUTED_VALUE"""),35.0)</f>
        <v>35</v>
      </c>
      <c r="J7777" s="18">
        <f>IFERROR(__xludf.DUMMYFUNCTION("""COMPUTED_VALUE"""),15.0)</f>
        <v>15</v>
      </c>
      <c r="K7777" s="18">
        <f>IFERROR(__xludf.DUMMYFUNCTION("""COMPUTED_VALUE"""),40.0)</f>
        <v>40</v>
      </c>
      <c r="L7777" s="17">
        <f>IFERROR(__xludf.DUMMYFUNCTION("""COMPUTED_VALUE"""),3.10398467E9)</f>
        <v>3103984670</v>
      </c>
      <c r="M7777" s="17"/>
      <c r="N7777" s="17"/>
      <c r="O7777" s="17"/>
      <c r="P7777" s="17" t="b">
        <f>IFERROR(__xludf.DUMMYFUNCTION("""COMPUTED_VALUE"""),FALSE)</f>
        <v>0</v>
      </c>
      <c r="Q7777" s="20" t="str">
        <f>IFERROR(__xludf.DUMMYFUNCTION("""COMPUTED_VALUE"""),"")</f>
        <v/>
      </c>
      <c r="R7777" s="21" t="str">
        <f>IFERROR(__xludf.DUMMYFUNCTION("""COMPUTED_VALUE"""),"https://drive.google.com/file/d/1ntiSB-ENYgQzmCAAOxmIFMUfd-fZPJZI/view?usp=drivesdk")</f>
        <v>https://drive.google.com/file/d/1ntiSB-ENYgQzmCAAOxmIFMUfd-fZPJZI/view?usp=drivesdk</v>
      </c>
    </row>
    <row r="7778">
      <c r="A7778" s="17" t="str">
        <f>IFERROR(__xludf.DUMMYFUNCTION("""COMPUTED_VALUE"""),"")</f>
        <v/>
      </c>
      <c r="B7778" s="17" t="str">
        <f>IFERROR(__xludf.DUMMYFUNCTION("""COMPUTED_VALUE"""),"")</f>
        <v/>
      </c>
      <c r="C7778" s="17" t="str">
        <f>IFERROR(__xludf.DUMMYFUNCTION("""COMPUTED_VALUE"""),"")</f>
        <v/>
      </c>
      <c r="D7778" s="17" t="str">
        <f>IFERROR(__xludf.DUMMYFUNCTION("""COMPUTED_VALUE"""),"")</f>
        <v/>
      </c>
      <c r="E7778" s="17" t="str">
        <f>IFERROR(__xludf.DUMMYFUNCTION("""COMPUTED_VALUE"""),"")</f>
        <v/>
      </c>
      <c r="F7778" s="17" t="str">
        <f>IFERROR(__xludf.DUMMYFUNCTION("""COMPUTED_VALUE"""),"")</f>
        <v/>
      </c>
      <c r="G7778" s="17" t="str">
        <f>IFERROR(__xludf.DUMMYFUNCTION("""COMPUTED_VALUE"""),"")</f>
        <v/>
      </c>
      <c r="H7778" s="17" t="str">
        <f>IFERROR(__xludf.DUMMYFUNCTION("""COMPUTED_VALUE"""),"")</f>
        <v/>
      </c>
      <c r="I7778" s="17" t="str">
        <f>IFERROR(__xludf.DUMMYFUNCTION("""COMPUTED_VALUE"""),"")</f>
        <v/>
      </c>
      <c r="J7778" s="17" t="str">
        <f>IFERROR(__xludf.DUMMYFUNCTION("""COMPUTED_VALUE"""),"")</f>
        <v/>
      </c>
      <c r="K7778" s="17" t="str">
        <f>IFERROR(__xludf.DUMMYFUNCTION("""COMPUTED_VALUE"""),"")</f>
        <v/>
      </c>
      <c r="L7778" s="17" t="str">
        <f>IFERROR(__xludf.DUMMYFUNCTION("""COMPUTED_VALUE"""),"")</f>
        <v/>
      </c>
      <c r="M7778" s="17" t="str">
        <f>IFERROR(__xludf.DUMMYFUNCTION("""COMPUTED_VALUE"""),"")</f>
        <v/>
      </c>
      <c r="N7778" s="17" t="str">
        <f>IFERROR(__xludf.DUMMYFUNCTION("""COMPUTED_VALUE"""),"")</f>
        <v/>
      </c>
      <c r="O7778" s="17" t="str">
        <f>IFERROR(__xludf.DUMMYFUNCTION("""COMPUTED_VALUE"""),"")</f>
        <v/>
      </c>
      <c r="P7778" s="17" t="str">
        <f>IFERROR(__xludf.DUMMYFUNCTION("""COMPUTED_VALUE"""),"")</f>
        <v/>
      </c>
      <c r="Q7778" s="17" t="str">
        <f>IFERROR(__xludf.DUMMYFUNCTION("""COMPUTED_VALUE"""),"")</f>
        <v/>
      </c>
      <c r="R7778" s="17" t="str">
        <f>IFERROR(__xludf.DUMMYFUNCTION("""COMPUTED_VALUE"""),"")</f>
        <v/>
      </c>
    </row>
    <row r="7779">
      <c r="A7779" s="15">
        <f>IFERROR(__xludf.DUMMYFUNCTION("""COMPUTED_VALUE"""),45219.0)</f>
        <v>45219</v>
      </c>
      <c r="B7779" s="16" t="str">
        <f>IFERROR(__xludf.DUMMYFUNCTION("""COMPUTED_VALUE"""),"Lina Gaona")</f>
        <v>Lina Gaona</v>
      </c>
      <c r="C7779" s="15" t="str">
        <f>IFERROR(__xludf.DUMMYFUNCTION("""COMPUTED_VALUE"""),"CÚCUTA")</f>
        <v>CÚCUTA</v>
      </c>
      <c r="D7779" s="15" t="str">
        <f>IFERROR(__xludf.DUMMYFUNCTION("""COMPUTED_VALUE"""),"BOGOTÁ")</f>
        <v>BOGOTÁ</v>
      </c>
      <c r="E7779" s="15" t="str">
        <f>IFERROR(__xludf.DUMMYFUNCTION("""COMPUTED_VALUE"""),"Asociacion Agropecuaria Juana Maria")</f>
        <v>Asociacion Agropecuaria Juana Maria</v>
      </c>
      <c r="F7779" s="17" t="str">
        <f>IFERROR(__xludf.DUMMYFUNCTION("""COMPUTED_VALUE"""),"AV. 2E # 15 A -17 / PISTACHO FIT MARKET BARRIO CAOBOS")</f>
        <v>AV. 2E # 15 A -17 / PISTACHO FIT MARKET BARRIO CAOBOS</v>
      </c>
      <c r="G7779" s="15" t="str">
        <f>IFERROR(__xludf.DUMMYFUNCTION("""COMPUTED_VALUE"""),"DACCY KARINA LOPEZ")</f>
        <v>DACCY KARINA LOPEZ</v>
      </c>
      <c r="H7779" s="16">
        <f>IFERROR(__xludf.DUMMYFUNCTION("""COMPUTED_VALUE"""),16293.0)</f>
        <v>16293</v>
      </c>
      <c r="I7779" s="17"/>
      <c r="J7779" s="17"/>
      <c r="K7779" s="17"/>
      <c r="L7779" s="17">
        <f>IFERROR(__xludf.DUMMYFUNCTION("""COMPUTED_VALUE"""),3.208615379E9)</f>
        <v>3208615379</v>
      </c>
      <c r="M7779" s="17"/>
      <c r="N7779" s="17"/>
      <c r="O7779" s="17"/>
      <c r="P7779" s="17" t="b">
        <f>IFERROR(__xludf.DUMMYFUNCTION("""COMPUTED_VALUE"""),FALSE)</f>
        <v>0</v>
      </c>
      <c r="Q7779" s="20" t="str">
        <f>IFERROR(__xludf.DUMMYFUNCTION("""COMPUTED_VALUE"""),"")</f>
        <v/>
      </c>
      <c r="R7779" s="21" t="str">
        <f>IFERROR(__xludf.DUMMYFUNCTION("""COMPUTED_VALUE"""),"https://drive.google.com/file/d/1xs-SMqetvcZot2bXf-QoOUgDMgYTDBsM/view?usp=drivesdk")</f>
        <v>https://drive.google.com/file/d/1xs-SMqetvcZot2bXf-QoOUgDMgYTDBsM/view?usp=drivesdk</v>
      </c>
    </row>
    <row r="7780">
      <c r="A7780" s="15">
        <f>IFERROR(__xludf.DUMMYFUNCTION("""COMPUTED_VALUE"""),45219.0)</f>
        <v>45219</v>
      </c>
      <c r="B7780" s="16" t="str">
        <f>IFERROR(__xludf.DUMMYFUNCTION("""COMPUTED_VALUE"""),"Lina Gaona")</f>
        <v>Lina Gaona</v>
      </c>
      <c r="C7780" s="15" t="str">
        <f>IFERROR(__xludf.DUMMYFUNCTION("""COMPUTED_VALUE"""),"CÚCUTA")</f>
        <v>CÚCUTA</v>
      </c>
      <c r="D7780" s="15" t="str">
        <f>IFERROR(__xludf.DUMMYFUNCTION("""COMPUTED_VALUE"""),"BOGOTÁ")</f>
        <v>BOGOTÁ</v>
      </c>
      <c r="E7780" s="15" t="str">
        <f>IFERROR(__xludf.DUMMYFUNCTION("""COMPUTED_VALUE"""),"LINA PAOLA RAMIREZ GOMEZ - EVA MAZZITA")</f>
        <v>LINA PAOLA RAMIREZ GOMEZ - EVA MAZZITA</v>
      </c>
      <c r="F7780" s="17" t="str">
        <f>IFERROR(__xludf.DUMMYFUNCTION("""COMPUTED_VALUE"""),"Av 2E # 15A -17 Caobos / Caobos")</f>
        <v>Av 2E # 15A -17 Caobos / Caobos</v>
      </c>
      <c r="G7780" s="15" t="str">
        <f>IFERROR(__xludf.DUMMYFUNCTION("""COMPUTED_VALUE"""),"DACCY KARINA LOPEZ MORENO")</f>
        <v>DACCY KARINA LOPEZ MORENO</v>
      </c>
      <c r="H7780" s="16">
        <f>IFERROR(__xludf.DUMMYFUNCTION("""COMPUTED_VALUE"""),16392.0)</f>
        <v>16392</v>
      </c>
      <c r="I7780" s="17"/>
      <c r="J7780" s="17"/>
      <c r="K7780" s="17"/>
      <c r="L7780" s="17">
        <f>IFERROR(__xludf.DUMMYFUNCTION("""COMPUTED_VALUE"""),3.208615379E9)</f>
        <v>3208615379</v>
      </c>
      <c r="M7780" s="17"/>
      <c r="N7780" s="17"/>
      <c r="O7780" s="17"/>
      <c r="P7780" s="17" t="b">
        <f>IFERROR(__xludf.DUMMYFUNCTION("""COMPUTED_VALUE"""),FALSE)</f>
        <v>0</v>
      </c>
      <c r="Q7780" s="20" t="str">
        <f>IFERROR(__xludf.DUMMYFUNCTION("""COMPUTED_VALUE"""),"")</f>
        <v/>
      </c>
      <c r="R7780" s="21" t="str">
        <f>IFERROR(__xludf.DUMMYFUNCTION("""COMPUTED_VALUE"""),"https://drive.google.com/file/d/1cVLU7MhV_bPGq2yKMjauczIgZoIt2Cn7/view?usp=drivesdk")</f>
        <v>https://drive.google.com/file/d/1cVLU7MhV_bPGq2yKMjauczIgZoIt2Cn7/view?usp=drivesdk</v>
      </c>
    </row>
    <row r="7781">
      <c r="A7781" s="17" t="str">
        <f>IFERROR(__xludf.DUMMYFUNCTION("""COMPUTED_VALUE"""),"")</f>
        <v/>
      </c>
      <c r="B7781" s="17" t="str">
        <f>IFERROR(__xludf.DUMMYFUNCTION("""COMPUTED_VALUE"""),"")</f>
        <v/>
      </c>
      <c r="C7781" s="17" t="str">
        <f>IFERROR(__xludf.DUMMYFUNCTION("""COMPUTED_VALUE"""),"")</f>
        <v/>
      </c>
      <c r="D7781" s="17" t="str">
        <f>IFERROR(__xludf.DUMMYFUNCTION("""COMPUTED_VALUE"""),"")</f>
        <v/>
      </c>
      <c r="E7781" s="17" t="str">
        <f>IFERROR(__xludf.DUMMYFUNCTION("""COMPUTED_VALUE"""),"")</f>
        <v/>
      </c>
      <c r="F7781" s="17" t="str">
        <f>IFERROR(__xludf.DUMMYFUNCTION("""COMPUTED_VALUE"""),"")</f>
        <v/>
      </c>
      <c r="G7781" s="17" t="str">
        <f>IFERROR(__xludf.DUMMYFUNCTION("""COMPUTED_VALUE"""),"")</f>
        <v/>
      </c>
      <c r="H7781" s="17" t="str">
        <f>IFERROR(__xludf.DUMMYFUNCTION("""COMPUTED_VALUE"""),"")</f>
        <v/>
      </c>
      <c r="I7781" s="17" t="str">
        <f>IFERROR(__xludf.DUMMYFUNCTION("""COMPUTED_VALUE"""),"")</f>
        <v/>
      </c>
      <c r="J7781" s="17" t="str">
        <f>IFERROR(__xludf.DUMMYFUNCTION("""COMPUTED_VALUE"""),"")</f>
        <v/>
      </c>
      <c r="K7781" s="17" t="str">
        <f>IFERROR(__xludf.DUMMYFUNCTION("""COMPUTED_VALUE"""),"")</f>
        <v/>
      </c>
      <c r="L7781" s="17" t="str">
        <f>IFERROR(__xludf.DUMMYFUNCTION("""COMPUTED_VALUE"""),"")</f>
        <v/>
      </c>
      <c r="M7781" s="17" t="str">
        <f>IFERROR(__xludf.DUMMYFUNCTION("""COMPUTED_VALUE"""),"")</f>
        <v/>
      </c>
      <c r="N7781" s="17" t="str">
        <f>IFERROR(__xludf.DUMMYFUNCTION("""COMPUTED_VALUE"""),"")</f>
        <v/>
      </c>
      <c r="O7781" s="17" t="str">
        <f>IFERROR(__xludf.DUMMYFUNCTION("""COMPUTED_VALUE"""),"")</f>
        <v/>
      </c>
      <c r="P7781" s="17" t="str">
        <f>IFERROR(__xludf.DUMMYFUNCTION("""COMPUTED_VALUE"""),"")</f>
        <v/>
      </c>
      <c r="Q7781" s="17" t="str">
        <f>IFERROR(__xludf.DUMMYFUNCTION("""COMPUTED_VALUE"""),"")</f>
        <v/>
      </c>
      <c r="R7781" s="17" t="str">
        <f>IFERROR(__xludf.DUMMYFUNCTION("""COMPUTED_VALUE"""),"")</f>
        <v/>
      </c>
    </row>
    <row r="7782">
      <c r="A7782" s="15">
        <f>IFERROR(__xludf.DUMMYFUNCTION("""COMPUTED_VALUE"""),45219.0)</f>
        <v>45219</v>
      </c>
      <c r="B7782" s="16" t="str">
        <f>IFERROR(__xludf.DUMMYFUNCTION("""COMPUTED_VALUE"""),"Orlando Urdaneta Rincon ")</f>
        <v>Orlando Urdaneta Rincon </v>
      </c>
      <c r="C7782" s="15" t="str">
        <f>IFERROR(__xludf.DUMMYFUNCTION("""COMPUTED_VALUE"""),"BOGOTÁ")</f>
        <v>BOGOTÁ</v>
      </c>
      <c r="D7782" s="15" t="str">
        <f>IFERROR(__xludf.DUMMYFUNCTION("""COMPUTED_VALUE"""),"MEDELLÍN")</f>
        <v>MEDELLÍN</v>
      </c>
      <c r="E7782" s="15" t="str">
        <f>IFERROR(__xludf.DUMMYFUNCTION("""COMPUTED_VALUE"""),"Rambla")</f>
        <v>Rambla</v>
      </c>
      <c r="F7782" s="17" t="str">
        <f>IFERROR(__xludf.DUMMYFUNCTION("""COMPUTED_VALUE"""),"Calle 176#51-49 torre 1-1309. Conjunto Entreverde club / - / -")</f>
        <v>Calle 176#51-49 torre 1-1309. Conjunto Entreverde club / - / -</v>
      </c>
      <c r="G7782" s="15" t="str">
        <f>IFERROR(__xludf.DUMMYFUNCTION("""COMPUTED_VALUE"""),"Valeria muñoz alzate")</f>
        <v>Valeria muñoz alzate</v>
      </c>
      <c r="H7782" s="16">
        <f>IFERROR(__xludf.DUMMYFUNCTION("""COMPUTED_VALUE"""),16461.0)</f>
        <v>16461</v>
      </c>
      <c r="I7782" s="18">
        <f>IFERROR(__xludf.DUMMYFUNCTION("""COMPUTED_VALUE"""),10.0)</f>
        <v>10</v>
      </c>
      <c r="J7782" s="18">
        <f>IFERROR(__xludf.DUMMYFUNCTION("""COMPUTED_VALUE"""),10.0)</f>
        <v>10</v>
      </c>
      <c r="K7782" s="18">
        <f>IFERROR(__xludf.DUMMYFUNCTION("""COMPUTED_VALUE"""),10.0)</f>
        <v>10</v>
      </c>
      <c r="L7782" s="17">
        <f>IFERROR(__xludf.DUMMYFUNCTION("""COMPUTED_VALUE"""),3.163474859E9)</f>
        <v>3163474859</v>
      </c>
      <c r="M7782" s="17"/>
      <c r="N7782" s="17"/>
      <c r="O7782" s="17"/>
      <c r="P7782" s="17" t="b">
        <f>IFERROR(__xludf.DUMMYFUNCTION("""COMPUTED_VALUE"""),FALSE)</f>
        <v>0</v>
      </c>
      <c r="Q7782" s="20" t="str">
        <f>IFERROR(__xludf.DUMMYFUNCTION("""COMPUTED_VALUE"""),"")</f>
        <v/>
      </c>
      <c r="R7782" s="21" t="str">
        <f>IFERROR(__xludf.DUMMYFUNCTION("""COMPUTED_VALUE"""),"https://drive.google.com/file/d/1Ai1sUY5yVonbYFdg-gmoub9r4Pi096nh/view?usp=drivesdk")</f>
        <v>https://drive.google.com/file/d/1Ai1sUY5yVonbYFdg-gmoub9r4Pi096nh/view?usp=drivesdk</v>
      </c>
    </row>
    <row r="7783">
      <c r="A7783" s="15">
        <f>IFERROR(__xludf.DUMMYFUNCTION("""COMPUTED_VALUE"""),45219.0)</f>
        <v>45219</v>
      </c>
      <c r="B7783" s="16" t="str">
        <f>IFERROR(__xludf.DUMMYFUNCTION("""COMPUTED_VALUE"""),"Orlando Urdaneta Rincon ")</f>
        <v>Orlando Urdaneta Rincon </v>
      </c>
      <c r="C7783" s="15" t="str">
        <f>IFERROR(__xludf.DUMMYFUNCTION("""COMPUTED_VALUE"""),"SANTA MARTA")</f>
        <v>SANTA MARTA</v>
      </c>
      <c r="D7783" s="15" t="str">
        <f>IFERROR(__xludf.DUMMYFUNCTION("""COMPUTED_VALUE"""),"MEDELLÍN")</f>
        <v>MEDELLÍN</v>
      </c>
      <c r="E7783" s="15" t="str">
        <f>IFERROR(__xludf.DUMMYFUNCTION("""COMPUTED_VALUE"""),"AREPAS LA MARY")</f>
        <v>AREPAS LA MARY</v>
      </c>
      <c r="F7783" s="17" t="str">
        <f>IFERROR(__xludf.DUMMYFUNCTION("""COMPUTED_VALUE"""),"Calle 22 # 1-102")</f>
        <v>Calle 22 # 1-102</v>
      </c>
      <c r="G7783" s="15" t="str">
        <f>IFERROR(__xludf.DUMMYFUNCTION("""COMPUTED_VALUE"""),"JUAN CAMILO ROJAS")</f>
        <v>JUAN CAMILO ROJAS</v>
      </c>
      <c r="H7783" s="16">
        <f>IFERROR(__xludf.DUMMYFUNCTION("""COMPUTED_VALUE"""),16311.0)</f>
        <v>16311</v>
      </c>
      <c r="I7783" s="18">
        <f>IFERROR(__xludf.DUMMYFUNCTION("""COMPUTED_VALUE"""),89.0)</f>
        <v>89</v>
      </c>
      <c r="J7783" s="18">
        <f>IFERROR(__xludf.DUMMYFUNCTION("""COMPUTED_VALUE"""),1.0)</f>
        <v>1</v>
      </c>
      <c r="K7783" s="18">
        <f>IFERROR(__xludf.DUMMYFUNCTION("""COMPUTED_VALUE"""),10.0)</f>
        <v>10</v>
      </c>
      <c r="L7783" s="17" t="str">
        <f>IFERROR(__xludf.DUMMYFUNCTION("""COMPUTED_VALUE"""),"316 312 9574")</f>
        <v>316 312 9574</v>
      </c>
      <c r="M7783" s="17"/>
      <c r="N7783" s="17"/>
      <c r="O7783" s="17"/>
      <c r="P7783" s="17" t="b">
        <f>IFERROR(__xludf.DUMMYFUNCTION("""COMPUTED_VALUE"""),FALSE)</f>
        <v>0</v>
      </c>
      <c r="Q7783" s="20" t="str">
        <f>IFERROR(__xludf.DUMMYFUNCTION("""COMPUTED_VALUE"""),"")</f>
        <v/>
      </c>
      <c r="R7783" s="21" t="str">
        <f>IFERROR(__xludf.DUMMYFUNCTION("""COMPUTED_VALUE"""),"https://drive.google.com/file/d/1VunXXY8MmzCN3XGGDRc-MY5hToHRv6BT/view?usp=drivesdk")</f>
        <v>https://drive.google.com/file/d/1VunXXY8MmzCN3XGGDRc-MY5hToHRv6BT/view?usp=drivesdk</v>
      </c>
    </row>
    <row r="7784">
      <c r="A7784" s="15">
        <f>IFERROR(__xludf.DUMMYFUNCTION("""COMPUTED_VALUE"""),45219.0)</f>
        <v>45219</v>
      </c>
      <c r="B7784" s="16" t="str">
        <f>IFERROR(__xludf.DUMMYFUNCTION("""COMPUTED_VALUE"""),"Orlando Urdaneta Rincon ")</f>
        <v>Orlando Urdaneta Rincon </v>
      </c>
      <c r="C7784" s="15" t="str">
        <f>IFERROR(__xludf.DUMMYFUNCTION("""COMPUTED_VALUE"""),"SANTA MARTA")</f>
        <v>SANTA MARTA</v>
      </c>
      <c r="D7784" s="15" t="str">
        <f>IFERROR(__xludf.DUMMYFUNCTION("""COMPUTED_VALUE"""),"MEDELLÍN")</f>
        <v>MEDELLÍN</v>
      </c>
      <c r="E7784" s="15" t="str">
        <f>IFERROR(__xludf.DUMMYFUNCTION("""COMPUTED_VALUE"""),"Magda")</f>
        <v>Magda</v>
      </c>
      <c r="F7784" s="17" t="str">
        <f>IFERROR(__xludf.DUMMYFUNCTION("""COMPUTED_VALUE"""),"Cl. 22 #6-82 /  Plazuela 22 Local 27, Santa Mart / centro")</f>
        <v>Cl. 22 #6-82 /  Plazuela 22 Local 27, Santa Mart / centro</v>
      </c>
      <c r="G7784" s="15" t="str">
        <f>IFERROR(__xludf.DUMMYFUNCTION("""COMPUTED_VALUE"""),"Shirley Manjarres")</f>
        <v>Shirley Manjarres</v>
      </c>
      <c r="H7784" s="16">
        <f>IFERROR(__xludf.DUMMYFUNCTION("""COMPUTED_VALUE"""),16427.0)</f>
        <v>16427</v>
      </c>
      <c r="I7784" s="18">
        <f>IFERROR(__xludf.DUMMYFUNCTION("""COMPUTED_VALUE"""),29.0)</f>
        <v>29</v>
      </c>
      <c r="J7784" s="18">
        <f>IFERROR(__xludf.DUMMYFUNCTION("""COMPUTED_VALUE"""),45.0)</f>
        <v>45</v>
      </c>
      <c r="K7784" s="18">
        <f>IFERROR(__xludf.DUMMYFUNCTION("""COMPUTED_VALUE"""),55.0)</f>
        <v>55</v>
      </c>
      <c r="L7784" s="17">
        <f>IFERROR(__xludf.DUMMYFUNCTION("""COMPUTED_VALUE"""),3.054269156E9)</f>
        <v>3054269156</v>
      </c>
      <c r="M7784" s="17"/>
      <c r="N7784" s="17"/>
      <c r="O7784" s="17"/>
      <c r="P7784" s="17" t="b">
        <f>IFERROR(__xludf.DUMMYFUNCTION("""COMPUTED_VALUE"""),FALSE)</f>
        <v>0</v>
      </c>
      <c r="Q7784" s="20" t="str">
        <f>IFERROR(__xludf.DUMMYFUNCTION("""COMPUTED_VALUE"""),"")</f>
        <v/>
      </c>
      <c r="R7784" s="21" t="str">
        <f>IFERROR(__xludf.DUMMYFUNCTION("""COMPUTED_VALUE"""),"https://drive.google.com/file/d/1rzclaZEMTf2lsIJYNOAjw6DHR5Nu3pGW/view?usp=drivesdk")</f>
        <v>https://drive.google.com/file/d/1rzclaZEMTf2lsIJYNOAjw6DHR5Nu3pGW/view?usp=drivesdk</v>
      </c>
    </row>
    <row r="7785">
      <c r="A7785" s="17" t="str">
        <f>IFERROR(__xludf.DUMMYFUNCTION("""COMPUTED_VALUE"""),"")</f>
        <v/>
      </c>
      <c r="B7785" s="17" t="str">
        <f>IFERROR(__xludf.DUMMYFUNCTION("""COMPUTED_VALUE"""),"")</f>
        <v/>
      </c>
      <c r="C7785" s="17" t="str">
        <f>IFERROR(__xludf.DUMMYFUNCTION("""COMPUTED_VALUE"""),"")</f>
        <v/>
      </c>
      <c r="D7785" s="17" t="str">
        <f>IFERROR(__xludf.DUMMYFUNCTION("""COMPUTED_VALUE"""),"")</f>
        <v/>
      </c>
      <c r="E7785" s="17" t="str">
        <f>IFERROR(__xludf.DUMMYFUNCTION("""COMPUTED_VALUE"""),"")</f>
        <v/>
      </c>
      <c r="F7785" s="17" t="str">
        <f>IFERROR(__xludf.DUMMYFUNCTION("""COMPUTED_VALUE"""),"")</f>
        <v/>
      </c>
      <c r="G7785" s="17" t="str">
        <f>IFERROR(__xludf.DUMMYFUNCTION("""COMPUTED_VALUE"""),"")</f>
        <v/>
      </c>
      <c r="H7785" s="17" t="str">
        <f>IFERROR(__xludf.DUMMYFUNCTION("""COMPUTED_VALUE"""),"")</f>
        <v/>
      </c>
      <c r="I7785" s="17" t="str">
        <f>IFERROR(__xludf.DUMMYFUNCTION("""COMPUTED_VALUE"""),"")</f>
        <v/>
      </c>
      <c r="J7785" s="17" t="str">
        <f>IFERROR(__xludf.DUMMYFUNCTION("""COMPUTED_VALUE"""),"")</f>
        <v/>
      </c>
      <c r="K7785" s="17" t="str">
        <f>IFERROR(__xludf.DUMMYFUNCTION("""COMPUTED_VALUE"""),"")</f>
        <v/>
      </c>
      <c r="L7785" s="17" t="str">
        <f>IFERROR(__xludf.DUMMYFUNCTION("""COMPUTED_VALUE"""),"")</f>
        <v/>
      </c>
      <c r="M7785" s="17" t="str">
        <f>IFERROR(__xludf.DUMMYFUNCTION("""COMPUTED_VALUE"""),"")</f>
        <v/>
      </c>
      <c r="N7785" s="17" t="str">
        <f>IFERROR(__xludf.DUMMYFUNCTION("""COMPUTED_VALUE"""),"")</f>
        <v/>
      </c>
      <c r="O7785" s="17" t="str">
        <f>IFERROR(__xludf.DUMMYFUNCTION("""COMPUTED_VALUE"""),"")</f>
        <v/>
      </c>
      <c r="P7785" s="17" t="str">
        <f>IFERROR(__xludf.DUMMYFUNCTION("""COMPUTED_VALUE"""),"")</f>
        <v/>
      </c>
      <c r="Q7785" s="17" t="str">
        <f>IFERROR(__xludf.DUMMYFUNCTION("""COMPUTED_VALUE"""),"")</f>
        <v/>
      </c>
      <c r="R7785" s="17" t="str">
        <f>IFERROR(__xludf.DUMMYFUNCTION("""COMPUTED_VALUE"""),"")</f>
        <v/>
      </c>
    </row>
    <row r="7786">
      <c r="A7786" s="15">
        <f>IFERROR(__xludf.DUMMYFUNCTION("""COMPUTED_VALUE"""),45219.0)</f>
        <v>45219</v>
      </c>
      <c r="B7786" s="16" t="str">
        <f>IFERROR(__xludf.DUMMYFUNCTION("""COMPUTED_VALUE"""),"Santiago Garces Restrepo")</f>
        <v>Santiago Garces Restrepo</v>
      </c>
      <c r="C7786" s="15" t="str">
        <f>IFERROR(__xludf.DUMMYFUNCTION("""COMPUTED_VALUE"""),"CALI")</f>
        <v>CALI</v>
      </c>
      <c r="D7786" s="15" t="str">
        <f>IFERROR(__xludf.DUMMYFUNCTION("""COMPUTED_VALUE"""),"BOGOTÁ")</f>
        <v>BOGOTÁ</v>
      </c>
      <c r="E7786" s="15" t="str">
        <f>IFERROR(__xludf.DUMMYFUNCTION("""COMPUTED_VALUE"""),"Renata")</f>
        <v>Renata</v>
      </c>
      <c r="F7786" s="17" t="str">
        <f>IFERROR(__xludf.DUMMYFUNCTION("""COMPUTED_VALUE"""),"Carrera 3#3a-83 / Patio 34 food containers -restaurante  / San Fernando")</f>
        <v>Carrera 3#3a-83 / Patio 34 food containers -restaurante  / San Fernando</v>
      </c>
      <c r="G7786" s="15" t="str">
        <f>IFERROR(__xludf.DUMMYFUNCTION("""COMPUTED_VALUE"""),"Retaco sas")</f>
        <v>Retaco sas</v>
      </c>
      <c r="H7786" s="16">
        <f>IFERROR(__xludf.DUMMYFUNCTION("""COMPUTED_VALUE"""),16453.0)</f>
        <v>16453</v>
      </c>
      <c r="I7786" s="18">
        <f>IFERROR(__xludf.DUMMYFUNCTION("""COMPUTED_VALUE"""),90.0)</f>
        <v>90</v>
      </c>
      <c r="J7786" s="18">
        <f>IFERROR(__xludf.DUMMYFUNCTION("""COMPUTED_VALUE"""),70.0)</f>
        <v>70</v>
      </c>
      <c r="K7786" s="18">
        <f>IFERROR(__xludf.DUMMYFUNCTION("""COMPUTED_VALUE"""),60.0)</f>
        <v>60</v>
      </c>
      <c r="L7786" s="17">
        <f>IFERROR(__xludf.DUMMYFUNCTION("""COMPUTED_VALUE"""),3.134720976E9)</f>
        <v>3134720976</v>
      </c>
      <c r="M7786" s="17"/>
      <c r="N7786" s="17"/>
      <c r="O7786" s="17"/>
      <c r="P7786" s="17" t="b">
        <f>IFERROR(__xludf.DUMMYFUNCTION("""COMPUTED_VALUE"""),FALSE)</f>
        <v>0</v>
      </c>
      <c r="Q7786" s="20" t="str">
        <f>IFERROR(__xludf.DUMMYFUNCTION("""COMPUTED_VALUE"""),"")</f>
        <v/>
      </c>
      <c r="R7786" s="21" t="str">
        <f>IFERROR(__xludf.DUMMYFUNCTION("""COMPUTED_VALUE"""),"https://drive.google.com/file/d/17jpjeaIZfOwKoOJk3Qn8vGCArAPR8GOn/view?usp=drivesdk")</f>
        <v>https://drive.google.com/file/d/17jpjeaIZfOwKoOJk3Qn8vGCArAPR8GOn/view?usp=drivesdk</v>
      </c>
    </row>
    <row r="7787">
      <c r="A7787" s="15">
        <f>IFERROR(__xludf.DUMMYFUNCTION("""COMPUTED_VALUE"""),45219.0)</f>
        <v>45219</v>
      </c>
      <c r="B7787" s="16" t="str">
        <f>IFERROR(__xludf.DUMMYFUNCTION("""COMPUTED_VALUE"""),"Santiago Garces Restrepo")</f>
        <v>Santiago Garces Restrepo</v>
      </c>
      <c r="C7787" s="15" t="str">
        <f>IFERROR(__xludf.DUMMYFUNCTION("""COMPUTED_VALUE"""),"ENVIGADO")</f>
        <v>ENVIGADO</v>
      </c>
      <c r="D7787" s="15" t="str">
        <f>IFERROR(__xludf.DUMMYFUNCTION("""COMPUTED_VALUE"""),"BOGOTÁ")</f>
        <v>BOGOTÁ</v>
      </c>
      <c r="E7787" s="15" t="str">
        <f>IFERROR(__xludf.DUMMYFUNCTION("""COMPUTED_VALUE"""),"Top Spun")</f>
        <v>Top Spun</v>
      </c>
      <c r="F7787" s="17" t="str">
        <f>IFERROR(__xludf.DUMMYFUNCTION("""COMPUTED_VALUE"""),"Calle 28 Sur #27 - 201 /  Apto 1209 Urb. Regatta  / Envigado")</f>
        <v>Calle 28 Sur #27 - 201 /  Apto 1209 Urb. Regatta  / Envigado</v>
      </c>
      <c r="G7787" s="15" t="str">
        <f>IFERROR(__xludf.DUMMYFUNCTION("""COMPUTED_VALUE"""),"Monica Londoño")</f>
        <v>Monica Londoño</v>
      </c>
      <c r="H7787" s="16">
        <f>IFERROR(__xludf.DUMMYFUNCTION("""COMPUTED_VALUE"""),16429.0)</f>
        <v>16429</v>
      </c>
      <c r="I7787" s="18">
        <f>IFERROR(__xludf.DUMMYFUNCTION("""COMPUTED_VALUE"""),40.0)</f>
        <v>40</v>
      </c>
      <c r="J7787" s="18">
        <f>IFERROR(__xludf.DUMMYFUNCTION("""COMPUTED_VALUE"""),10.0)</f>
        <v>10</v>
      </c>
      <c r="K7787" s="18">
        <f>IFERROR(__xludf.DUMMYFUNCTION("""COMPUTED_VALUE"""),20.0)</f>
        <v>20</v>
      </c>
      <c r="L7787" s="17">
        <f>IFERROR(__xludf.DUMMYFUNCTION("""COMPUTED_VALUE"""),3.045588861E9)</f>
        <v>3045588861</v>
      </c>
      <c r="M7787" s="17"/>
      <c r="N7787" s="17"/>
      <c r="O7787" s="17"/>
      <c r="P7787" s="17" t="b">
        <f>IFERROR(__xludf.DUMMYFUNCTION("""COMPUTED_VALUE"""),FALSE)</f>
        <v>0</v>
      </c>
      <c r="Q7787" s="20" t="str">
        <f>IFERROR(__xludf.DUMMYFUNCTION("""COMPUTED_VALUE"""),"")</f>
        <v/>
      </c>
      <c r="R7787" s="21" t="str">
        <f>IFERROR(__xludf.DUMMYFUNCTION("""COMPUTED_VALUE"""),"https://drive.google.com/file/d/1vVEScJYnpMnMA2B35NBym5sTGNCk1_qn/view?usp=drivesdk")</f>
        <v>https://drive.google.com/file/d/1vVEScJYnpMnMA2B35NBym5sTGNCk1_qn/view?usp=drivesdk</v>
      </c>
    </row>
    <row r="7788">
      <c r="A7788" s="15">
        <f>IFERROR(__xludf.DUMMYFUNCTION("""COMPUTED_VALUE"""),45219.0)</f>
        <v>45219</v>
      </c>
      <c r="B7788" s="16" t="str">
        <f>IFERROR(__xludf.DUMMYFUNCTION("""COMPUTED_VALUE"""),"Santiago Garces Restrepo")</f>
        <v>Santiago Garces Restrepo</v>
      </c>
      <c r="C7788" s="15" t="str">
        <f>IFERROR(__xludf.DUMMYFUNCTION("""COMPUTED_VALUE"""),"ENVIGADO")</f>
        <v>ENVIGADO</v>
      </c>
      <c r="D7788" s="15" t="str">
        <f>IFERROR(__xludf.DUMMYFUNCTION("""COMPUTED_VALUE"""),"BOGOTÁ")</f>
        <v>BOGOTÁ</v>
      </c>
      <c r="E7788" s="15" t="str">
        <f>IFERROR(__xludf.DUMMYFUNCTION("""COMPUTED_VALUE"""),"Top Spun")</f>
        <v>Top Spun</v>
      </c>
      <c r="F7788" s="17" t="str">
        <f>IFERROR(__xludf.DUMMYFUNCTION("""COMPUTED_VALUE"""),"Calle 37b Sur # 27-17 / Urbanización Brujas Campestre  / apto 607 Envigado")</f>
        <v>Calle 37b Sur # 27-17 / Urbanización Brujas Campestre  / apto 607 Envigado</v>
      </c>
      <c r="G7788" s="15" t="str">
        <f>IFERROR(__xludf.DUMMYFUNCTION("""COMPUTED_VALUE"""),"Susana Pizza")</f>
        <v>Susana Pizza</v>
      </c>
      <c r="H7788" s="16">
        <f>IFERROR(__xludf.DUMMYFUNCTION("""COMPUTED_VALUE"""),16430.0)</f>
        <v>16430</v>
      </c>
      <c r="I7788" s="18">
        <f>IFERROR(__xludf.DUMMYFUNCTION("""COMPUTED_VALUE"""),40.0)</f>
        <v>40</v>
      </c>
      <c r="J7788" s="18">
        <f>IFERROR(__xludf.DUMMYFUNCTION("""COMPUTED_VALUE"""),10.0)</f>
        <v>10</v>
      </c>
      <c r="K7788" s="18">
        <f>IFERROR(__xludf.DUMMYFUNCTION("""COMPUTED_VALUE"""),20.0)</f>
        <v>20</v>
      </c>
      <c r="L7788" s="17">
        <f>IFERROR(__xludf.DUMMYFUNCTION("""COMPUTED_VALUE"""),3.206743826E9)</f>
        <v>3206743826</v>
      </c>
      <c r="M7788" s="17"/>
      <c r="N7788" s="17"/>
      <c r="O7788" s="17"/>
      <c r="P7788" s="17" t="b">
        <f>IFERROR(__xludf.DUMMYFUNCTION("""COMPUTED_VALUE"""),FALSE)</f>
        <v>0</v>
      </c>
      <c r="Q7788" s="20" t="str">
        <f>IFERROR(__xludf.DUMMYFUNCTION("""COMPUTED_VALUE"""),"")</f>
        <v/>
      </c>
      <c r="R7788" s="21" t="str">
        <f>IFERROR(__xludf.DUMMYFUNCTION("""COMPUTED_VALUE"""),"https://drive.google.com/file/d/1xT8Kwsxe9A9QckBUmTDR_bHSvoC52YcK/view?usp=drivesdk")</f>
        <v>https://drive.google.com/file/d/1xT8Kwsxe9A9QckBUmTDR_bHSvoC52YcK/view?usp=drivesdk</v>
      </c>
    </row>
    <row r="7789">
      <c r="A7789" s="15">
        <f>IFERROR(__xludf.DUMMYFUNCTION("""COMPUTED_VALUE"""),45219.0)</f>
        <v>45219</v>
      </c>
      <c r="B7789" s="16" t="str">
        <f>IFERROR(__xludf.DUMMYFUNCTION("""COMPUTED_VALUE"""),"Santiago Garces Restrepo")</f>
        <v>Santiago Garces Restrepo</v>
      </c>
      <c r="C7789" s="15" t="str">
        <f>IFERROR(__xludf.DUMMYFUNCTION("""COMPUTED_VALUE"""),"GIRÓN")</f>
        <v>GIRÓN</v>
      </c>
      <c r="D7789" s="15" t="str">
        <f>IFERROR(__xludf.DUMMYFUNCTION("""COMPUTED_VALUE"""),"BOGOTÁ")</f>
        <v>BOGOTÁ</v>
      </c>
      <c r="E7789" s="15" t="str">
        <f>IFERROR(__xludf.DUMMYFUNCTION("""COMPUTED_VALUE"""),"LINA PAOLA RAMIREZ GOMEZ - EVA MAZZITA")</f>
        <v>LINA PAOLA RAMIREZ GOMEZ - EVA MAZZITA</v>
      </c>
      <c r="F7789" s="17" t="str">
        <f>IFERROR(__xludf.DUMMYFUNCTION("""COMPUTED_VALUE"""),"DG 36 #31 118 / APTO 1103 GRAN ALICANTE")</f>
        <v>DG 36 #31 118 / APTO 1103 GRAN ALICANTE</v>
      </c>
      <c r="G7789" s="15" t="str">
        <f>IFERROR(__xludf.DUMMYFUNCTION("""COMPUTED_VALUE"""),"LEIDY VIVIANA ROJAS PRADA")</f>
        <v>LEIDY VIVIANA ROJAS PRADA</v>
      </c>
      <c r="H7789" s="16">
        <f>IFERROR(__xludf.DUMMYFUNCTION("""COMPUTED_VALUE"""),16470.0)</f>
        <v>16470</v>
      </c>
      <c r="I7789" s="17"/>
      <c r="J7789" s="17"/>
      <c r="K7789" s="17"/>
      <c r="L7789" s="17">
        <f>IFERROR(__xludf.DUMMYFUNCTION("""COMPUTED_VALUE"""),3.17365704E9)</f>
        <v>3173657040</v>
      </c>
      <c r="M7789" s="17"/>
      <c r="N7789" s="17"/>
      <c r="O7789" s="17"/>
      <c r="P7789" s="17" t="b">
        <f>IFERROR(__xludf.DUMMYFUNCTION("""COMPUTED_VALUE"""),FALSE)</f>
        <v>0</v>
      </c>
      <c r="Q7789" s="20" t="str">
        <f>IFERROR(__xludf.DUMMYFUNCTION("""COMPUTED_VALUE"""),"")</f>
        <v/>
      </c>
      <c r="R7789" s="21" t="str">
        <f>IFERROR(__xludf.DUMMYFUNCTION("""COMPUTED_VALUE"""),"https://drive.google.com/file/d/1Lge5q1rumsXnpbKqOeS1n_CffvRI0SSz/view?usp=drivesdk")</f>
        <v>https://drive.google.com/file/d/1Lge5q1rumsXnpbKqOeS1n_CffvRI0SSz/view?usp=drivesdk</v>
      </c>
    </row>
    <row r="7790">
      <c r="A7790" s="15">
        <f>IFERROR(__xludf.DUMMYFUNCTION("""COMPUTED_VALUE"""),45219.0)</f>
        <v>45219</v>
      </c>
      <c r="B7790" s="16" t="str">
        <f>IFERROR(__xludf.DUMMYFUNCTION("""COMPUTED_VALUE"""),"Santiago Garces Restrepo")</f>
        <v>Santiago Garces Restrepo</v>
      </c>
      <c r="C7790" s="15" t="str">
        <f>IFERROR(__xludf.DUMMYFUNCTION("""COMPUTED_VALUE"""),"GUARNE")</f>
        <v>GUARNE</v>
      </c>
      <c r="D7790" s="15" t="str">
        <f>IFERROR(__xludf.DUMMYFUNCTION("""COMPUTED_VALUE"""),"BOGOTÁ")</f>
        <v>BOGOTÁ</v>
      </c>
      <c r="E7790" s="15" t="str">
        <f>IFERROR(__xludf.DUMMYFUNCTION("""COMPUTED_VALUE"""),"Asociacion Agropecuaria Juana Maria")</f>
        <v>Asociacion Agropecuaria Juana Maria</v>
      </c>
      <c r="F7790" s="17" t="str">
        <f>IFERROR(__xludf.DUMMYFUNCTION("""COMPUTED_VALUE"""),"Autopista Medellin Bogota Retorno 6 Vereda San Isidro Sector el salado GUARNE ANTIOQUIA / Finca Centro de Psicoligia Canina Katty Arteaga")</f>
        <v>Autopista Medellin Bogota Retorno 6 Vereda San Isidro Sector el salado GUARNE ANTIOQUIA / Finca Centro de Psicoligia Canina Katty Arteaga</v>
      </c>
      <c r="G7790" s="15" t="str">
        <f>IFERROR(__xludf.DUMMYFUNCTION("""COMPUTED_VALUE"""),"Katty Arteaga")</f>
        <v>Katty Arteaga</v>
      </c>
      <c r="H7790" s="16">
        <f>IFERROR(__xludf.DUMMYFUNCTION("""COMPUTED_VALUE"""),16448.0)</f>
        <v>16448</v>
      </c>
      <c r="I7790" s="17"/>
      <c r="J7790" s="17"/>
      <c r="K7790" s="17"/>
      <c r="L7790" s="17">
        <f>IFERROR(__xludf.DUMMYFUNCTION("""COMPUTED_VALUE"""),3.013295248E9)</f>
        <v>3013295248</v>
      </c>
      <c r="M7790" s="17"/>
      <c r="N7790" s="17"/>
      <c r="O7790" s="17"/>
      <c r="P7790" s="17" t="b">
        <f>IFERROR(__xludf.DUMMYFUNCTION("""COMPUTED_VALUE"""),FALSE)</f>
        <v>0</v>
      </c>
      <c r="Q7790" s="20" t="str">
        <f>IFERROR(__xludf.DUMMYFUNCTION("""COMPUTED_VALUE"""),"")</f>
        <v/>
      </c>
      <c r="R7790" s="22" t="str">
        <f>IFERROR(__xludf.DUMMYFUNCTION("""COMPUTED_VALUE"""),"")</f>
        <v/>
      </c>
    </row>
    <row r="7791">
      <c r="A7791" s="15">
        <f>IFERROR(__xludf.DUMMYFUNCTION("""COMPUTED_VALUE"""),45219.0)</f>
        <v>45219</v>
      </c>
      <c r="B7791" s="16" t="str">
        <f>IFERROR(__xludf.DUMMYFUNCTION("""COMPUTED_VALUE"""),"Santiago Garces Restrepo")</f>
        <v>Santiago Garces Restrepo</v>
      </c>
      <c r="C7791" s="15" t="str">
        <f>IFERROR(__xludf.DUMMYFUNCTION("""COMPUTED_VALUE"""),"MEDELLÍN")</f>
        <v>MEDELLÍN</v>
      </c>
      <c r="D7791" s="15" t="str">
        <f>IFERROR(__xludf.DUMMYFUNCTION("""COMPUTED_VALUE"""),"BOGOTÁ")</f>
        <v>BOGOTÁ</v>
      </c>
      <c r="E7791" s="15" t="str">
        <f>IFERROR(__xludf.DUMMYFUNCTION("""COMPUTED_VALUE"""),"50 Gr Alfajores")</f>
        <v>50 Gr Alfajores</v>
      </c>
      <c r="F7791" s="17" t="str">
        <f>IFERROR(__xludf.DUMMYFUNCTION("""COMPUTED_VALUE"""),"Cll87 Sur # 55-695   / Club Familiar Sensero del Bosque  /  La Estrella Antioquia")</f>
        <v>Cll87 Sur # 55-695   / Club Familiar Sensero del Bosque  /  La Estrella Antioquia</v>
      </c>
      <c r="G7791" s="15" t="str">
        <f>IFERROR(__xludf.DUMMYFUNCTION("""COMPUTED_VALUE"""),"Wilson arenales G")</f>
        <v>Wilson arenales G</v>
      </c>
      <c r="H7791" s="16">
        <f>IFERROR(__xludf.DUMMYFUNCTION("""COMPUTED_VALUE"""),16477.0)</f>
        <v>16477</v>
      </c>
      <c r="I7791" s="18">
        <f>IFERROR(__xludf.DUMMYFUNCTION("""COMPUTED_VALUE"""),8.0)</f>
        <v>8</v>
      </c>
      <c r="J7791" s="18">
        <f>IFERROR(__xludf.DUMMYFUNCTION("""COMPUTED_VALUE"""),5.0)</f>
        <v>5</v>
      </c>
      <c r="K7791" s="18">
        <f>IFERROR(__xludf.DUMMYFUNCTION("""COMPUTED_VALUE"""),8.0)</f>
        <v>8</v>
      </c>
      <c r="L7791" s="17">
        <f>IFERROR(__xludf.DUMMYFUNCTION("""COMPUTED_VALUE"""),3.162836486E9)</f>
        <v>3162836486</v>
      </c>
      <c r="M7791" s="17"/>
      <c r="N7791" s="17"/>
      <c r="O7791" s="17"/>
      <c r="P7791" s="17" t="b">
        <f>IFERROR(__xludf.DUMMYFUNCTION("""COMPUTED_VALUE"""),FALSE)</f>
        <v>0</v>
      </c>
      <c r="Q7791" s="20" t="str">
        <f>IFERROR(__xludf.DUMMYFUNCTION("""COMPUTED_VALUE"""),"")</f>
        <v/>
      </c>
      <c r="R7791" s="21" t="str">
        <f>IFERROR(__xludf.DUMMYFUNCTION("""COMPUTED_VALUE"""),"https://drive.google.com/file/d/1xZqWt_6u4ayP-AMww8FOsvJsx5CnOfQ-/view?usp=drivesdk")</f>
        <v>https://drive.google.com/file/d/1xZqWt_6u4ayP-AMww8FOsvJsx5CnOfQ-/view?usp=drivesdk</v>
      </c>
    </row>
    <row r="7792">
      <c r="A7792" s="15">
        <f>IFERROR(__xludf.DUMMYFUNCTION("""COMPUTED_VALUE"""),45219.0)</f>
        <v>45219</v>
      </c>
      <c r="B7792" s="16" t="str">
        <f>IFERROR(__xludf.DUMMYFUNCTION("""COMPUTED_VALUE"""),"Santiago Garces Restrepo")</f>
        <v>Santiago Garces Restrepo</v>
      </c>
      <c r="C7792" s="15" t="str">
        <f>IFERROR(__xludf.DUMMYFUNCTION("""COMPUTED_VALUE"""),"MEDELLÍN")</f>
        <v>MEDELLÍN</v>
      </c>
      <c r="D7792" s="15" t="str">
        <f>IFERROR(__xludf.DUMMYFUNCTION("""COMPUTED_VALUE"""),"BOGOTÁ")</f>
        <v>BOGOTÁ</v>
      </c>
      <c r="E7792" s="15" t="str">
        <f>IFERROR(__xludf.DUMMYFUNCTION("""COMPUTED_VALUE"""),"50 Gr Alfajores")</f>
        <v>50 Gr Alfajores</v>
      </c>
      <c r="F7792" s="17" t="str">
        <f>IFERROR(__xludf.DUMMYFUNCTION("""COMPUTED_VALUE"""),"Cll87 Sur # 55-695   / Club Familiar Sensero del Bosque / torre 1 / La Estrella Antioquia")</f>
        <v>Cll87 Sur # 55-695   / Club Familiar Sensero del Bosque / torre 1 / La Estrella Antioquia</v>
      </c>
      <c r="G7792" s="15" t="str">
        <f>IFERROR(__xludf.DUMMYFUNCTION("""COMPUTED_VALUE"""),"Nahed David Álvarez B.")</f>
        <v>Nahed David Álvarez B.</v>
      </c>
      <c r="H7792" s="16">
        <f>IFERROR(__xludf.DUMMYFUNCTION("""COMPUTED_VALUE"""),16478.0)</f>
        <v>16478</v>
      </c>
      <c r="I7792" s="18">
        <f>IFERROR(__xludf.DUMMYFUNCTION("""COMPUTED_VALUE"""),8.0)</f>
        <v>8</v>
      </c>
      <c r="J7792" s="18">
        <f>IFERROR(__xludf.DUMMYFUNCTION("""COMPUTED_VALUE"""),5.0)</f>
        <v>5</v>
      </c>
      <c r="K7792" s="18">
        <f>IFERROR(__xludf.DUMMYFUNCTION("""COMPUTED_VALUE"""),8.0)</f>
        <v>8</v>
      </c>
      <c r="L7792" s="17">
        <f>IFERROR(__xludf.DUMMYFUNCTION("""COMPUTED_VALUE"""),3.015511411E9)</f>
        <v>3015511411</v>
      </c>
      <c r="M7792" s="17"/>
      <c r="N7792" s="17"/>
      <c r="O7792" s="17"/>
      <c r="P7792" s="17" t="b">
        <f>IFERROR(__xludf.DUMMYFUNCTION("""COMPUTED_VALUE"""),FALSE)</f>
        <v>0</v>
      </c>
      <c r="Q7792" s="20" t="str">
        <f>IFERROR(__xludf.DUMMYFUNCTION("""COMPUTED_VALUE"""),"")</f>
        <v/>
      </c>
      <c r="R7792" s="21" t="str">
        <f>IFERROR(__xludf.DUMMYFUNCTION("""COMPUTED_VALUE"""),"https://drive.google.com/file/d/1yL-2KYZdBETOACp8M2aYxaKD89xhyCIf/view?usp=drivesdk")</f>
        <v>https://drive.google.com/file/d/1yL-2KYZdBETOACp8M2aYxaKD89xhyCIf/view?usp=drivesdk</v>
      </c>
    </row>
    <row r="7793">
      <c r="A7793" s="15">
        <f>IFERROR(__xludf.DUMMYFUNCTION("""COMPUTED_VALUE"""),45219.0)</f>
        <v>45219</v>
      </c>
      <c r="B7793" s="16" t="str">
        <f>IFERROR(__xludf.DUMMYFUNCTION("""COMPUTED_VALUE"""),"Santiago Garces Restrepo")</f>
        <v>Santiago Garces Restrepo</v>
      </c>
      <c r="C7793" s="15" t="str">
        <f>IFERROR(__xludf.DUMMYFUNCTION("""COMPUTED_VALUE"""),"MEDELLÍN")</f>
        <v>MEDELLÍN</v>
      </c>
      <c r="D7793" s="15" t="str">
        <f>IFERROR(__xludf.DUMMYFUNCTION("""COMPUTED_VALUE"""),"BOGOTÁ")</f>
        <v>BOGOTÁ</v>
      </c>
      <c r="E7793" s="15" t="str">
        <f>IFERROR(__xludf.DUMMYFUNCTION("""COMPUTED_VALUE"""),"MAI ALIMENTOS REALES")</f>
        <v>MAI ALIMENTOS REALES</v>
      </c>
      <c r="F7793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7793" s="15" t="str">
        <f>IFERROR(__xludf.DUMMYFUNCTION("""COMPUTED_VALUE"""),"Novaventas")</f>
        <v>Novaventas</v>
      </c>
      <c r="H7793" s="16">
        <f>IFERROR(__xludf.DUMMYFUNCTION("""COMPUTED_VALUE"""),16466.0)</f>
        <v>16466</v>
      </c>
      <c r="I7793" s="17"/>
      <c r="J7793" s="17"/>
      <c r="K7793" s="17"/>
      <c r="L7793" s="17">
        <f>IFERROR(__xludf.DUMMYFUNCTION("""COMPUTED_VALUE"""),3.187351593E9)</f>
        <v>3187351593</v>
      </c>
      <c r="M7793" s="17"/>
      <c r="N7793" s="17"/>
      <c r="O7793" s="17"/>
      <c r="P7793" s="17" t="b">
        <f>IFERROR(__xludf.DUMMYFUNCTION("""COMPUTED_VALUE"""),FALSE)</f>
        <v>0</v>
      </c>
      <c r="Q7793" s="20" t="str">
        <f>IFERROR(__xludf.DUMMYFUNCTION("""COMPUTED_VALUE"""),"")</f>
        <v/>
      </c>
      <c r="R7793" s="21" t="str">
        <f>IFERROR(__xludf.DUMMYFUNCTION("""COMPUTED_VALUE"""),"https://drive.google.com/file/d/1WNtZTnjj_xjYbwKK_hLHTur894gZBbDM/view?usp=drivesdk")</f>
        <v>https://drive.google.com/file/d/1WNtZTnjj_xjYbwKK_hLHTur894gZBbDM/view?usp=drivesdk</v>
      </c>
    </row>
    <row r="7794">
      <c r="A7794" s="15">
        <f>IFERROR(__xludf.DUMMYFUNCTION("""COMPUTED_VALUE"""),45219.0)</f>
        <v>45219</v>
      </c>
      <c r="B7794" s="16" t="str">
        <f>IFERROR(__xludf.DUMMYFUNCTION("""COMPUTED_VALUE"""),"Santiago Garces Restrepo")</f>
        <v>Santiago Garces Restrepo</v>
      </c>
      <c r="C7794" s="15" t="str">
        <f>IFERROR(__xludf.DUMMYFUNCTION("""COMPUTED_VALUE"""),"MEDELLÍN")</f>
        <v>MEDELLÍN</v>
      </c>
      <c r="D7794" s="15" t="str">
        <f>IFERROR(__xludf.DUMMYFUNCTION("""COMPUTED_VALUE"""),"BOGOTÁ")</f>
        <v>BOGOTÁ</v>
      </c>
      <c r="E7794" s="15" t="str">
        <f>IFERROR(__xludf.DUMMYFUNCTION("""COMPUTED_VALUE"""),"Renata")</f>
        <v>Renata</v>
      </c>
      <c r="F7794" s="17" t="str">
        <f>IFERROR(__xludf.DUMMYFUNCTION("""COMPUTED_VALUE"""),"Carrera 32d#9-43 / Seline y cowork -restaurante  / Provenza")</f>
        <v>Carrera 32d#9-43 / Seline y cowork -restaurante  / Provenza</v>
      </c>
      <c r="G7794" s="15" t="str">
        <f>IFERROR(__xludf.DUMMYFUNCTION("""COMPUTED_VALUE"""),"Front y back hospitality group")</f>
        <v>Front y back hospitality group</v>
      </c>
      <c r="H7794" s="16">
        <f>IFERROR(__xludf.DUMMYFUNCTION("""COMPUTED_VALUE"""),16454.0)</f>
        <v>16454</v>
      </c>
      <c r="I7794" s="18">
        <f>IFERROR(__xludf.DUMMYFUNCTION("""COMPUTED_VALUE"""),90.0)</f>
        <v>90</v>
      </c>
      <c r="J7794" s="18">
        <f>IFERROR(__xludf.DUMMYFUNCTION("""COMPUTED_VALUE"""),70.0)</f>
        <v>70</v>
      </c>
      <c r="K7794" s="18">
        <f>IFERROR(__xludf.DUMMYFUNCTION("""COMPUTED_VALUE"""),60.0)</f>
        <v>60</v>
      </c>
      <c r="L7794" s="17">
        <f>IFERROR(__xludf.DUMMYFUNCTION("""COMPUTED_VALUE"""),3.104047368E9)</f>
        <v>3104047368</v>
      </c>
      <c r="M7794" s="17"/>
      <c r="N7794" s="17"/>
      <c r="O7794" s="17"/>
      <c r="P7794" s="17" t="b">
        <f>IFERROR(__xludf.DUMMYFUNCTION("""COMPUTED_VALUE"""),FALSE)</f>
        <v>0</v>
      </c>
      <c r="Q7794" s="20" t="str">
        <f>IFERROR(__xludf.DUMMYFUNCTION("""COMPUTED_VALUE"""),"")</f>
        <v/>
      </c>
      <c r="R7794" s="21" t="str">
        <f>IFERROR(__xludf.DUMMYFUNCTION("""COMPUTED_VALUE"""),"https://drive.google.com/file/d/1sFgKswAPj8TvmSFvkj1goIl48gRhiI0s/view?usp=drivesdk")</f>
        <v>https://drive.google.com/file/d/1sFgKswAPj8TvmSFvkj1goIl48gRhiI0s/view?usp=drivesdk</v>
      </c>
    </row>
    <row r="7795">
      <c r="A7795" s="15">
        <f>IFERROR(__xludf.DUMMYFUNCTION("""COMPUTED_VALUE"""),45219.0)</f>
        <v>45219</v>
      </c>
      <c r="B7795" s="16" t="str">
        <f>IFERROR(__xludf.DUMMYFUNCTION("""COMPUTED_VALUE"""),"Santiago Garces Restrepo")</f>
        <v>Santiago Garces Restrepo</v>
      </c>
      <c r="C7795" s="15" t="str">
        <f>IFERROR(__xludf.DUMMYFUNCTION("""COMPUTED_VALUE"""),"MEDELLÍN")</f>
        <v>MEDELLÍN</v>
      </c>
      <c r="D7795" s="15" t="str">
        <f>IFERROR(__xludf.DUMMYFUNCTION("""COMPUTED_VALUE"""),"BOGOTÁ")</f>
        <v>BOGOTÁ</v>
      </c>
      <c r="E7795" s="15" t="str">
        <f>IFERROR(__xludf.DUMMYFUNCTION("""COMPUTED_VALUE"""),"SISU PARTNERS SAS")</f>
        <v>SISU PARTNERS SAS</v>
      </c>
      <c r="F7795" s="17" t="str">
        <f>IFERROR(__xludf.DUMMYFUNCTION("""COMPUTED_VALUE"""),"calle 16b N° 23 - 17 / casa 145 Poblado Mirador Chuscalito")</f>
        <v>calle 16b N° 23 - 17 / casa 145 Poblado Mirador Chuscalito</v>
      </c>
      <c r="G7795" s="15" t="str">
        <f>IFERROR(__xludf.DUMMYFUNCTION("""COMPUTED_VALUE"""),"Natalia Lopéz")</f>
        <v>Natalia Lopéz</v>
      </c>
      <c r="H7795" s="16">
        <f>IFERROR(__xludf.DUMMYFUNCTION("""COMPUTED_VALUE"""),16442.0)</f>
        <v>16442</v>
      </c>
      <c r="I7795" s="17"/>
      <c r="J7795" s="17"/>
      <c r="K7795" s="17"/>
      <c r="L7795" s="17">
        <f>IFERROR(__xludf.DUMMYFUNCTION("""COMPUTED_VALUE"""),3.102984132E9)</f>
        <v>3102984132</v>
      </c>
      <c r="M7795" s="17"/>
      <c r="N7795" s="17"/>
      <c r="O7795" s="17"/>
      <c r="P7795" s="17" t="b">
        <f>IFERROR(__xludf.DUMMYFUNCTION("""COMPUTED_VALUE"""),FALSE)</f>
        <v>0</v>
      </c>
      <c r="Q7795" s="20" t="str">
        <f>IFERROR(__xludf.DUMMYFUNCTION("""COMPUTED_VALUE"""),"")</f>
        <v/>
      </c>
      <c r="R7795" s="21" t="str">
        <f>IFERROR(__xludf.DUMMYFUNCTION("""COMPUTED_VALUE"""),"https://drive.google.com/file/d/132S1LBB5W8ItmFsJ9a0jBnIEAbjSu37A/view?usp=drivesdk")</f>
        <v>https://drive.google.com/file/d/132S1LBB5W8ItmFsJ9a0jBnIEAbjSu37A/view?usp=drivesdk</v>
      </c>
    </row>
    <row r="7796">
      <c r="A7796" s="17" t="str">
        <f>IFERROR(__xludf.DUMMYFUNCTION("""COMPUTED_VALUE"""),"")</f>
        <v/>
      </c>
      <c r="B7796" s="17" t="str">
        <f>IFERROR(__xludf.DUMMYFUNCTION("""COMPUTED_VALUE"""),"")</f>
        <v/>
      </c>
      <c r="C7796" s="17" t="str">
        <f>IFERROR(__xludf.DUMMYFUNCTION("""COMPUTED_VALUE"""),"")</f>
        <v/>
      </c>
      <c r="D7796" s="17" t="str">
        <f>IFERROR(__xludf.DUMMYFUNCTION("""COMPUTED_VALUE"""),"")</f>
        <v/>
      </c>
      <c r="E7796" s="17" t="str">
        <f>IFERROR(__xludf.DUMMYFUNCTION("""COMPUTED_VALUE"""),"")</f>
        <v/>
      </c>
      <c r="F7796" s="17" t="str">
        <f>IFERROR(__xludf.DUMMYFUNCTION("""COMPUTED_VALUE"""),"")</f>
        <v/>
      </c>
      <c r="G7796" s="17" t="str">
        <f>IFERROR(__xludf.DUMMYFUNCTION("""COMPUTED_VALUE"""),"")</f>
        <v/>
      </c>
      <c r="H7796" s="17" t="str">
        <f>IFERROR(__xludf.DUMMYFUNCTION("""COMPUTED_VALUE"""),"")</f>
        <v/>
      </c>
      <c r="I7796" s="17" t="str">
        <f>IFERROR(__xludf.DUMMYFUNCTION("""COMPUTED_VALUE"""),"")</f>
        <v/>
      </c>
      <c r="J7796" s="17" t="str">
        <f>IFERROR(__xludf.DUMMYFUNCTION("""COMPUTED_VALUE"""),"")</f>
        <v/>
      </c>
      <c r="K7796" s="17" t="str">
        <f>IFERROR(__xludf.DUMMYFUNCTION("""COMPUTED_VALUE"""),"")</f>
        <v/>
      </c>
      <c r="L7796" s="17" t="str">
        <f>IFERROR(__xludf.DUMMYFUNCTION("""COMPUTED_VALUE"""),"")</f>
        <v/>
      </c>
      <c r="M7796" s="17" t="str">
        <f>IFERROR(__xludf.DUMMYFUNCTION("""COMPUTED_VALUE"""),"")</f>
        <v/>
      </c>
      <c r="N7796" s="17" t="str">
        <f>IFERROR(__xludf.DUMMYFUNCTION("""COMPUTED_VALUE"""),"")</f>
        <v/>
      </c>
      <c r="O7796" s="17" t="str">
        <f>IFERROR(__xludf.DUMMYFUNCTION("""COMPUTED_VALUE"""),"")</f>
        <v/>
      </c>
      <c r="P7796" s="17" t="str">
        <f>IFERROR(__xludf.DUMMYFUNCTION("""COMPUTED_VALUE"""),"")</f>
        <v/>
      </c>
      <c r="Q7796" s="17" t="str">
        <f>IFERROR(__xludf.DUMMYFUNCTION("""COMPUTED_VALUE"""),"")</f>
        <v/>
      </c>
      <c r="R7796" s="17" t="str">
        <f>IFERROR(__xludf.DUMMYFUNCTION("""COMPUTED_VALUE"""),"")</f>
        <v/>
      </c>
    </row>
    <row r="7797">
      <c r="A7797" s="15">
        <f>IFERROR(__xludf.DUMMYFUNCTION("""COMPUTED_VALUE"""),45223.0)</f>
        <v>45223</v>
      </c>
      <c r="B7797" s="16" t="str">
        <f>IFERROR(__xludf.DUMMYFUNCTION("""COMPUTED_VALUE"""),"David Sanmartin Bello")</f>
        <v>David Sanmartin Bello</v>
      </c>
      <c r="C7797" s="15" t="str">
        <f>IFERROR(__xludf.DUMMYFUNCTION("""COMPUTED_VALUE"""),"CALI")</f>
        <v>CALI</v>
      </c>
      <c r="D7797" s="15" t="str">
        <f>IFERROR(__xludf.DUMMYFUNCTION("""COMPUTED_VALUE"""),"BOGOTÁ")</f>
        <v>BOGOTÁ</v>
      </c>
      <c r="E7797" s="15" t="str">
        <f>IFERROR(__xludf.DUMMYFUNCTION("""COMPUTED_VALUE"""),"Viiva Fermentados")</f>
        <v>Viiva Fermentados</v>
      </c>
      <c r="F7797" s="17" t="str">
        <f>IFERROR(__xludf.DUMMYFUNCTION("""COMPUTED_VALUE"""),"Av 5 Nte # 42 - 42 / tienda ecohuerta /  la flora")</f>
        <v>Av 5 Nte # 42 - 42 / tienda ecohuerta /  la flora</v>
      </c>
      <c r="G7797" s="15" t="str">
        <f>IFERROR(__xludf.DUMMYFUNCTION("""COMPUTED_VALUE"""),"Isabel Cristina Ecohuerta Cali")</f>
        <v>Isabel Cristina Ecohuerta Cali</v>
      </c>
      <c r="H7797" s="16">
        <f>IFERROR(__xludf.DUMMYFUNCTION("""COMPUTED_VALUE"""),16507.0)</f>
        <v>16507</v>
      </c>
      <c r="I7797" s="18">
        <f>IFERROR(__xludf.DUMMYFUNCTION("""COMPUTED_VALUE"""),21.0)</f>
        <v>21</v>
      </c>
      <c r="J7797" s="18">
        <f>IFERROR(__xludf.DUMMYFUNCTION("""COMPUTED_VALUE"""),36.0)</f>
        <v>36</v>
      </c>
      <c r="K7797" s="18">
        <f>IFERROR(__xludf.DUMMYFUNCTION("""COMPUTED_VALUE"""),24.0)</f>
        <v>24</v>
      </c>
      <c r="L7797" s="17">
        <f>IFERROR(__xludf.DUMMYFUNCTION("""COMPUTED_VALUE"""),3.113856209E9)</f>
        <v>3113856209</v>
      </c>
      <c r="M7797" s="17"/>
      <c r="N7797" s="17"/>
      <c r="O7797" s="17"/>
      <c r="P7797" s="17" t="b">
        <f>IFERROR(__xludf.DUMMYFUNCTION("""COMPUTED_VALUE"""),FALSE)</f>
        <v>0</v>
      </c>
      <c r="Q7797" s="20" t="str">
        <f>IFERROR(__xludf.DUMMYFUNCTION("""COMPUTED_VALUE"""),"")</f>
        <v/>
      </c>
      <c r="R7797" s="21" t="str">
        <f>IFERROR(__xludf.DUMMYFUNCTION("""COMPUTED_VALUE"""),"https://drive.google.com/file/d/13SAO-BMZvLRyaoZL92zD6Zm80RClp567/view?usp=drivesdk")</f>
        <v>https://drive.google.com/file/d/13SAO-BMZvLRyaoZL92zD6Zm80RClp567/view?usp=drivesdk</v>
      </c>
    </row>
    <row r="7798">
      <c r="A7798" s="15">
        <f>IFERROR(__xludf.DUMMYFUNCTION("""COMPUTED_VALUE"""),45223.0)</f>
        <v>45223</v>
      </c>
      <c r="B7798" s="16" t="str">
        <f>IFERROR(__xludf.DUMMYFUNCTION("""COMPUTED_VALUE"""),"David Sanmartin Bello")</f>
        <v>David Sanmartin Bello</v>
      </c>
      <c r="C7798" s="15" t="str">
        <f>IFERROR(__xludf.DUMMYFUNCTION("""COMPUTED_VALUE"""),"PALMIRA")</f>
        <v>PALMIRA</v>
      </c>
      <c r="D7798" s="15" t="str">
        <f>IFERROR(__xludf.DUMMYFUNCTION("""COMPUTED_VALUE"""),"BOGOTÁ")</f>
        <v>BOGOTÁ</v>
      </c>
      <c r="E7798" s="15" t="str">
        <f>IFERROR(__xludf.DUMMYFUNCTION("""COMPUTED_VALUE"""),"Karem foods")</f>
        <v>Karem foods</v>
      </c>
      <c r="F7798" s="17" t="str">
        <f>IFERROR(__xludf.DUMMYFUNCTION("""COMPUTED_VALUE"""),"Cra 28 # 47 - 90 / Local / -")</f>
        <v>Cra 28 # 47 - 90 / Local / -</v>
      </c>
      <c r="G7798" s="15" t="str">
        <f>IFERROR(__xludf.DUMMYFUNCTION("""COMPUTED_VALUE"""),"Pezcar market")</f>
        <v>Pezcar market</v>
      </c>
      <c r="H7798" s="16">
        <f>IFERROR(__xludf.DUMMYFUNCTION("""COMPUTED_VALUE"""),16541.0)</f>
        <v>16541</v>
      </c>
      <c r="I7798" s="18">
        <f>IFERROR(__xludf.DUMMYFUNCTION("""COMPUTED_VALUE"""),7.0)</f>
        <v>7</v>
      </c>
      <c r="J7798" s="18">
        <f>IFERROR(__xludf.DUMMYFUNCTION("""COMPUTED_VALUE"""),20.0)</f>
        <v>20</v>
      </c>
      <c r="K7798" s="18">
        <f>IFERROR(__xludf.DUMMYFUNCTION("""COMPUTED_VALUE"""),20.0)</f>
        <v>20</v>
      </c>
      <c r="L7798" s="17">
        <f>IFERROR(__xludf.DUMMYFUNCTION("""COMPUTED_VALUE"""),3.177759344E9)</f>
        <v>3177759344</v>
      </c>
      <c r="M7798" s="17"/>
      <c r="N7798" s="17"/>
      <c r="O7798" s="17"/>
      <c r="P7798" s="17" t="b">
        <f>IFERROR(__xludf.DUMMYFUNCTION("""COMPUTED_VALUE"""),FALSE)</f>
        <v>0</v>
      </c>
      <c r="Q7798" s="20" t="str">
        <f>IFERROR(__xludf.DUMMYFUNCTION("""COMPUTED_VALUE"""),"")</f>
        <v/>
      </c>
      <c r="R7798" s="21" t="str">
        <f>IFERROR(__xludf.DUMMYFUNCTION("""COMPUTED_VALUE"""),"https://drive.google.com/file/d/1ZuBDfTMA4V7eIU0Axhz4Fshbe_8pZ-sK/view?usp=drivesdk")</f>
        <v>https://drive.google.com/file/d/1ZuBDfTMA4V7eIU0Axhz4Fshbe_8pZ-sK/view?usp=drivesdk</v>
      </c>
    </row>
    <row r="7799">
      <c r="A7799" s="17" t="str">
        <f>IFERROR(__xludf.DUMMYFUNCTION("""COMPUTED_VALUE"""),"")</f>
        <v/>
      </c>
      <c r="B7799" s="17" t="str">
        <f>IFERROR(__xludf.DUMMYFUNCTION("""COMPUTED_VALUE"""),"")</f>
        <v/>
      </c>
      <c r="C7799" s="17" t="str">
        <f>IFERROR(__xludf.DUMMYFUNCTION("""COMPUTED_VALUE"""),"")</f>
        <v/>
      </c>
      <c r="D7799" s="17" t="str">
        <f>IFERROR(__xludf.DUMMYFUNCTION("""COMPUTED_VALUE"""),"")</f>
        <v/>
      </c>
      <c r="E7799" s="17" t="str">
        <f>IFERROR(__xludf.DUMMYFUNCTION("""COMPUTED_VALUE"""),"")</f>
        <v/>
      </c>
      <c r="F7799" s="17" t="str">
        <f>IFERROR(__xludf.DUMMYFUNCTION("""COMPUTED_VALUE"""),"")</f>
        <v/>
      </c>
      <c r="G7799" s="17" t="str">
        <f>IFERROR(__xludf.DUMMYFUNCTION("""COMPUTED_VALUE"""),"")</f>
        <v/>
      </c>
      <c r="H7799" s="17" t="str">
        <f>IFERROR(__xludf.DUMMYFUNCTION("""COMPUTED_VALUE"""),"")</f>
        <v/>
      </c>
      <c r="I7799" s="17" t="str">
        <f>IFERROR(__xludf.DUMMYFUNCTION("""COMPUTED_VALUE"""),"")</f>
        <v/>
      </c>
      <c r="J7799" s="17" t="str">
        <f>IFERROR(__xludf.DUMMYFUNCTION("""COMPUTED_VALUE"""),"")</f>
        <v/>
      </c>
      <c r="K7799" s="17" t="str">
        <f>IFERROR(__xludf.DUMMYFUNCTION("""COMPUTED_VALUE"""),"")</f>
        <v/>
      </c>
      <c r="L7799" s="17" t="str">
        <f>IFERROR(__xludf.DUMMYFUNCTION("""COMPUTED_VALUE"""),"")</f>
        <v/>
      </c>
      <c r="M7799" s="17" t="str">
        <f>IFERROR(__xludf.DUMMYFUNCTION("""COMPUTED_VALUE"""),"")</f>
        <v/>
      </c>
      <c r="N7799" s="17" t="str">
        <f>IFERROR(__xludf.DUMMYFUNCTION("""COMPUTED_VALUE"""),"")</f>
        <v/>
      </c>
      <c r="O7799" s="17" t="str">
        <f>IFERROR(__xludf.DUMMYFUNCTION("""COMPUTED_VALUE"""),"")</f>
        <v/>
      </c>
      <c r="P7799" s="17" t="str">
        <f>IFERROR(__xludf.DUMMYFUNCTION("""COMPUTED_VALUE"""),"")</f>
        <v/>
      </c>
      <c r="Q7799" s="17" t="str">
        <f>IFERROR(__xludf.DUMMYFUNCTION("""COMPUTED_VALUE"""),"")</f>
        <v/>
      </c>
      <c r="R7799" s="17" t="str">
        <f>IFERROR(__xludf.DUMMYFUNCTION("""COMPUTED_VALUE"""),"")</f>
        <v/>
      </c>
    </row>
    <row r="7800">
      <c r="A7800" s="15">
        <f>IFERROR(__xludf.DUMMYFUNCTION("""COMPUTED_VALUE"""),45223.0)</f>
        <v>45223</v>
      </c>
      <c r="B7800" s="16" t="str">
        <f>IFERROR(__xludf.DUMMYFUNCTION("""COMPUTED_VALUE"""),"Deivi Alejandro Quintero Corrales")</f>
        <v>Deivi Alejandro Quintero Corrales</v>
      </c>
      <c r="C7800" s="15" t="str">
        <f>IFERROR(__xludf.DUMMYFUNCTION("""COMPUTED_VALUE"""),"ARMENIA")</f>
        <v>ARMENIA</v>
      </c>
      <c r="D7800" s="15" t="str">
        <f>IFERROR(__xludf.DUMMYFUNCTION("""COMPUTED_VALUE"""),"MEDELLÍN")</f>
        <v>MEDELLÍN</v>
      </c>
      <c r="E7800" s="15" t="str">
        <f>IFERROR(__xludf.DUMMYFUNCTION("""COMPUTED_VALUE"""),"Baby Chef")</f>
        <v>Baby Chef</v>
      </c>
      <c r="F7800" s="17" t="str">
        <f>IFERROR(__xludf.DUMMYFUNCTION("""COMPUTED_VALUE"""),"Calle 6 Norte #16A 44 Edificio Valparaiso Apto 1102 Barrio los profesionales / . / .")</f>
        <v>Calle 6 Norte #16A 44 Edificio Valparaiso Apto 1102 Barrio los profesionales / . / .</v>
      </c>
      <c r="G7800" s="15" t="str">
        <f>IFERROR(__xludf.DUMMYFUNCTION("""COMPUTED_VALUE"""),"Leidy Echeverri Botero")</f>
        <v>Leidy Echeverri Botero</v>
      </c>
      <c r="H7800" s="16">
        <f>IFERROR(__xludf.DUMMYFUNCTION("""COMPUTED_VALUE"""),16532.0)</f>
        <v>16532</v>
      </c>
      <c r="I7800" s="18">
        <f>IFERROR(__xludf.DUMMYFUNCTION("""COMPUTED_VALUE"""),9.0)</f>
        <v>9</v>
      </c>
      <c r="J7800" s="18">
        <f>IFERROR(__xludf.DUMMYFUNCTION("""COMPUTED_VALUE"""),33.0)</f>
        <v>33</v>
      </c>
      <c r="K7800" s="18">
        <f>IFERROR(__xludf.DUMMYFUNCTION("""COMPUTED_VALUE"""),21.0)</f>
        <v>21</v>
      </c>
      <c r="L7800" s="17">
        <f>IFERROR(__xludf.DUMMYFUNCTION("""COMPUTED_VALUE"""),3.16575559E9)</f>
        <v>3165755590</v>
      </c>
      <c r="M7800" s="17"/>
      <c r="N7800" s="17"/>
      <c r="O7800" s="17"/>
      <c r="P7800" s="17" t="b">
        <f>IFERROR(__xludf.DUMMYFUNCTION("""COMPUTED_VALUE"""),FALSE)</f>
        <v>0</v>
      </c>
      <c r="Q7800" s="20" t="str">
        <f>IFERROR(__xludf.DUMMYFUNCTION("""COMPUTED_VALUE"""),"")</f>
        <v/>
      </c>
      <c r="R7800" s="21" t="str">
        <f>IFERROR(__xludf.DUMMYFUNCTION("""COMPUTED_VALUE"""),"https://drive.google.com/file/d/179QRnS5KR1Dr4MSsf4F2h2DTyF9Jpgr5/view?usp=drivesdk")</f>
        <v>https://drive.google.com/file/d/179QRnS5KR1Dr4MSsf4F2h2DTyF9Jpgr5/view?usp=drivesdk</v>
      </c>
    </row>
    <row r="7801">
      <c r="A7801" s="15">
        <f>IFERROR(__xludf.DUMMYFUNCTION("""COMPUTED_VALUE"""),45223.0)</f>
        <v>45223</v>
      </c>
      <c r="B7801" s="16" t="str">
        <f>IFERROR(__xludf.DUMMYFUNCTION("""COMPUTED_VALUE"""),"Deivi Alejandro Quintero Corrales")</f>
        <v>Deivi Alejandro Quintero Corrales</v>
      </c>
      <c r="C7801" s="15" t="str">
        <f>IFERROR(__xludf.DUMMYFUNCTION("""COMPUTED_VALUE"""),"ARMENIA")</f>
        <v>ARMENIA</v>
      </c>
      <c r="D7801" s="15" t="str">
        <f>IFERROR(__xludf.DUMMYFUNCTION("""COMPUTED_VALUE"""),"MEDELLÍN")</f>
        <v>MEDELLÍN</v>
      </c>
      <c r="E7801" s="15" t="str">
        <f>IFERROR(__xludf.DUMMYFUNCTION("""COMPUTED_VALUE"""),"Puro Verde")</f>
        <v>Puro Verde</v>
      </c>
      <c r="F7801" s="17" t="str">
        <f>IFERROR(__xludf.DUMMYFUNCTION("""COMPUTED_VALUE"""),"CALLE 10 # 11N - 05 / APTO 405. TORRE 1. CONJUNTO RESIDENCIAL TERRA / BARRIO LA CASTELLANA")</f>
        <v>CALLE 10 # 11N - 05 / APTO 405. TORRE 1. CONJUNTO RESIDENCIAL TERRA / BARRIO LA CASTELLANA</v>
      </c>
      <c r="G7801" s="15" t="str">
        <f>IFERROR(__xludf.DUMMYFUNCTION("""COMPUTED_VALUE"""),"CLAUDIA VILLAMIZAR")</f>
        <v>CLAUDIA VILLAMIZAR</v>
      </c>
      <c r="H7801" s="16">
        <f>IFERROR(__xludf.DUMMYFUNCTION("""COMPUTED_VALUE"""),16480.0)</f>
        <v>16480</v>
      </c>
      <c r="I7801" s="18">
        <f>IFERROR(__xludf.DUMMYFUNCTION("""COMPUTED_VALUE"""),45034.0)</f>
        <v>45034</v>
      </c>
      <c r="J7801" s="18" t="str">
        <f>IFERROR(__xludf.DUMMYFUNCTION("""COMPUTED_VALUE"""),"32.2")</f>
        <v>32.2</v>
      </c>
      <c r="K7801" s="18" t="str">
        <f>IFERROR(__xludf.DUMMYFUNCTION("""COMPUTED_VALUE"""),"39.4")</f>
        <v>39.4</v>
      </c>
      <c r="L7801" s="17">
        <f>IFERROR(__xludf.DUMMYFUNCTION("""COMPUTED_VALUE"""),3.225175611E9)</f>
        <v>3225175611</v>
      </c>
      <c r="M7801" s="17"/>
      <c r="N7801" s="17"/>
      <c r="O7801" s="17"/>
      <c r="P7801" s="17" t="b">
        <f>IFERROR(__xludf.DUMMYFUNCTION("""COMPUTED_VALUE"""),FALSE)</f>
        <v>0</v>
      </c>
      <c r="Q7801" s="20" t="str">
        <f>IFERROR(__xludf.DUMMYFUNCTION("""COMPUTED_VALUE"""),"")</f>
        <v/>
      </c>
      <c r="R7801" s="21" t="str">
        <f>IFERROR(__xludf.DUMMYFUNCTION("""COMPUTED_VALUE"""),"https://drive.google.com/file/d/1Fb2NoTBgz1mRvz4yukTm8A-DStGh2kJ2/view?usp=drivesdk")</f>
        <v>https://drive.google.com/file/d/1Fb2NoTBgz1mRvz4yukTm8A-DStGh2kJ2/view?usp=drivesdk</v>
      </c>
    </row>
    <row r="7802">
      <c r="A7802" s="15">
        <f>IFERROR(__xludf.DUMMYFUNCTION("""COMPUTED_VALUE"""),45223.0)</f>
        <v>45223</v>
      </c>
      <c r="B7802" s="16" t="str">
        <f>IFERROR(__xludf.DUMMYFUNCTION("""COMPUTED_VALUE"""),"Deivi Alejandro Quintero Corrales")</f>
        <v>Deivi Alejandro Quintero Corrales</v>
      </c>
      <c r="C7802" s="15" t="str">
        <f>IFERROR(__xludf.DUMMYFUNCTION("""COMPUTED_VALUE"""),"PEREIRA")</f>
        <v>PEREIRA</v>
      </c>
      <c r="D7802" s="15" t="str">
        <f>IFERROR(__xludf.DUMMYFUNCTION("""COMPUTED_VALUE"""),"BOGOTÁ")</f>
        <v>BOGOTÁ</v>
      </c>
      <c r="E7802" s="15" t="str">
        <f>IFERROR(__xludf.DUMMYFUNCTION("""COMPUTED_VALUE"""),"Asociacion Agropecuaria Juana Maria")</f>
        <v>Asociacion Agropecuaria Juana Maria</v>
      </c>
      <c r="F7802" s="17" t="str">
        <f>IFERROR(__xludf.DUMMYFUNCTION("""COMPUTED_VALUE"""),"Mz 19 Cs 22 colinas del bosque dosquebradas / Dosquebradas")</f>
        <v>Mz 19 Cs 22 colinas del bosque dosquebradas / Dosquebradas</v>
      </c>
      <c r="G7802" s="15" t="str">
        <f>IFERROR(__xludf.DUMMYFUNCTION("""COMPUTED_VALUE"""),"Viviana Paola Jaramillo Figueroa")</f>
        <v>Viviana Paola Jaramillo Figueroa</v>
      </c>
      <c r="H7802" s="16">
        <f>IFERROR(__xludf.DUMMYFUNCTION("""COMPUTED_VALUE"""),16497.0)</f>
        <v>16497</v>
      </c>
      <c r="I7802" s="17"/>
      <c r="J7802" s="17"/>
      <c r="K7802" s="17"/>
      <c r="L7802" s="17">
        <f>IFERROR(__xludf.DUMMYFUNCTION("""COMPUTED_VALUE"""),3.136551321E9)</f>
        <v>3136551321</v>
      </c>
      <c r="M7802" s="17"/>
      <c r="N7802" s="17"/>
      <c r="O7802" s="17"/>
      <c r="P7802" s="17" t="b">
        <f>IFERROR(__xludf.DUMMYFUNCTION("""COMPUTED_VALUE"""),FALSE)</f>
        <v>0</v>
      </c>
      <c r="Q7802" s="20" t="str">
        <f>IFERROR(__xludf.DUMMYFUNCTION("""COMPUTED_VALUE"""),"")</f>
        <v/>
      </c>
      <c r="R7802" s="21" t="str">
        <f>IFERROR(__xludf.DUMMYFUNCTION("""COMPUTED_VALUE"""),"https://drive.google.com/file/d/1CC4CH2W2miyqSPU5tQP2rsf3fZYMWsL1/view?usp=drivesdk")</f>
        <v>https://drive.google.com/file/d/1CC4CH2W2miyqSPU5tQP2rsf3fZYMWsL1/view?usp=drivesdk</v>
      </c>
    </row>
    <row r="7803">
      <c r="A7803" s="15">
        <f>IFERROR(__xludf.DUMMYFUNCTION("""COMPUTED_VALUE"""),45223.0)</f>
        <v>45223</v>
      </c>
      <c r="B7803" s="16" t="str">
        <f>IFERROR(__xludf.DUMMYFUNCTION("""COMPUTED_VALUE"""),"Deivi Alejandro Quintero Corrales")</f>
        <v>Deivi Alejandro Quintero Corrales</v>
      </c>
      <c r="C7803" s="15" t="str">
        <f>IFERROR(__xludf.DUMMYFUNCTION("""COMPUTED_VALUE"""),"PEREIRA")</f>
        <v>PEREIRA</v>
      </c>
      <c r="D7803" s="15" t="str">
        <f>IFERROR(__xludf.DUMMYFUNCTION("""COMPUTED_VALUE"""),"BOGOTÁ")</f>
        <v>BOGOTÁ</v>
      </c>
      <c r="E7803" s="15" t="str">
        <f>IFERROR(__xludf.DUMMYFUNCTION("""COMPUTED_VALUE"""),"Instinto alimento vital")</f>
        <v>Instinto alimento vital</v>
      </c>
      <c r="F7803" s="17" t="str">
        <f>IFERROR(__xludf.DUMMYFUNCTION("""COMPUTED_VALUE"""),"CRA 5 # 18 - 43 / MERCANCIA REQUIERE CONGELACION - CONTACTO CON MOISES")</f>
        <v>CRA 5 # 18 - 43 / MERCANCIA REQUIERE CONGELACION - CONTACTO CON MOISES</v>
      </c>
      <c r="G7803" s="15" t="str">
        <f>IFERROR(__xludf.DUMMYFUNCTION("""COMPUTED_VALUE"""),"BODEGA PEREIRA")</f>
        <v>BODEGA PEREIRA</v>
      </c>
      <c r="H7803" s="16">
        <f>IFERROR(__xludf.DUMMYFUNCTION("""COMPUTED_VALUE"""),16572.0)</f>
        <v>16572</v>
      </c>
      <c r="I7803" s="17"/>
      <c r="J7803" s="17"/>
      <c r="K7803" s="17"/>
      <c r="L7803" s="17">
        <f>IFERROR(__xludf.DUMMYFUNCTION("""COMPUTED_VALUE"""),3.008252529E9)</f>
        <v>3008252529</v>
      </c>
      <c r="M7803" s="17"/>
      <c r="N7803" s="17"/>
      <c r="O7803" s="17"/>
      <c r="P7803" s="17" t="b">
        <f>IFERROR(__xludf.DUMMYFUNCTION("""COMPUTED_VALUE"""),FALSE)</f>
        <v>0</v>
      </c>
      <c r="Q7803" s="20" t="str">
        <f>IFERROR(__xludf.DUMMYFUNCTION("""COMPUTED_VALUE"""),"")</f>
        <v/>
      </c>
      <c r="R7803" s="21" t="str">
        <f>IFERROR(__xludf.DUMMYFUNCTION("""COMPUTED_VALUE"""),"https://drive.google.com/file/d/1StVzS4crxWAq3tWjul4AxkMkFpSbjy6T/view?usp=drivesdk")</f>
        <v>https://drive.google.com/file/d/1StVzS4crxWAq3tWjul4AxkMkFpSbjy6T/view?usp=drivesdk</v>
      </c>
    </row>
    <row r="7804">
      <c r="A7804" s="15">
        <f>IFERROR(__xludf.DUMMYFUNCTION("""COMPUTED_VALUE"""),45223.0)</f>
        <v>45223</v>
      </c>
      <c r="B7804" s="16" t="str">
        <f>IFERROR(__xludf.DUMMYFUNCTION("""COMPUTED_VALUE"""),"Deivi Alejandro Quintero Corrales")</f>
        <v>Deivi Alejandro Quintero Corrales</v>
      </c>
      <c r="C7804" s="15" t="str">
        <f>IFERROR(__xludf.DUMMYFUNCTION("""COMPUTED_VALUE"""),"PEREIRA")</f>
        <v>PEREIRA</v>
      </c>
      <c r="D7804" s="15" t="str">
        <f>IFERROR(__xludf.DUMMYFUNCTION("""COMPUTED_VALUE"""),"BOGOTÁ")</f>
        <v>BOGOTÁ</v>
      </c>
      <c r="E7804" s="15" t="str">
        <f>IFERROR(__xludf.DUMMYFUNCTION("""COMPUTED_VALUE"""),"Karem foods")</f>
        <v>Karem foods</v>
      </c>
      <c r="F7804" s="17" t="str">
        <f>IFERROR(__xludf.DUMMYFUNCTION("""COMPUTED_VALUE"""),"Conjunto San José De Las Villas 3 Casa 173 / Casa 173 / -")</f>
        <v>Conjunto San José De Las Villas 3 Casa 173 / Casa 173 / -</v>
      </c>
      <c r="G7804" s="15" t="str">
        <f>IFERROR(__xludf.DUMMYFUNCTION("""COMPUTED_VALUE"""),"Jessica Chevalier maya")</f>
        <v>Jessica Chevalier maya</v>
      </c>
      <c r="H7804" s="16">
        <f>IFERROR(__xludf.DUMMYFUNCTION("""COMPUTED_VALUE"""),16542.0)</f>
        <v>16542</v>
      </c>
      <c r="I7804" s="18">
        <f>IFERROR(__xludf.DUMMYFUNCTION("""COMPUTED_VALUE"""),7.0)</f>
        <v>7</v>
      </c>
      <c r="J7804" s="18">
        <f>IFERROR(__xludf.DUMMYFUNCTION("""COMPUTED_VALUE"""),20.0)</f>
        <v>20</v>
      </c>
      <c r="K7804" s="18">
        <f>IFERROR(__xludf.DUMMYFUNCTION("""COMPUTED_VALUE"""),20.0)</f>
        <v>20</v>
      </c>
      <c r="L7804" s="17">
        <f>IFERROR(__xludf.DUMMYFUNCTION("""COMPUTED_VALUE"""),3.195968178E9)</f>
        <v>3195968178</v>
      </c>
      <c r="M7804" s="17"/>
      <c r="N7804" s="17"/>
      <c r="O7804" s="17"/>
      <c r="P7804" s="17" t="b">
        <f>IFERROR(__xludf.DUMMYFUNCTION("""COMPUTED_VALUE"""),FALSE)</f>
        <v>0</v>
      </c>
      <c r="Q7804" s="20" t="str">
        <f>IFERROR(__xludf.DUMMYFUNCTION("""COMPUTED_VALUE"""),"")</f>
        <v/>
      </c>
      <c r="R7804" s="21" t="str">
        <f>IFERROR(__xludf.DUMMYFUNCTION("""COMPUTED_VALUE"""),"https://drive.google.com/file/d/1LOpIwhxIrbh6-OOeLKqAzQRSgUPS7YzE/view?usp=drivesdk")</f>
        <v>https://drive.google.com/file/d/1LOpIwhxIrbh6-OOeLKqAzQRSgUPS7YzE/view?usp=drivesdk</v>
      </c>
    </row>
    <row r="7805">
      <c r="A7805" s="15">
        <f>IFERROR(__xludf.DUMMYFUNCTION("""COMPUTED_VALUE"""),45223.0)</f>
        <v>45223</v>
      </c>
      <c r="B7805" s="16" t="str">
        <f>IFERROR(__xludf.DUMMYFUNCTION("""COMPUTED_VALUE"""),"Deivi Alejandro Quintero Corrales")</f>
        <v>Deivi Alejandro Quintero Corrales</v>
      </c>
      <c r="C7805" s="15" t="str">
        <f>IFERROR(__xludf.DUMMYFUNCTION("""COMPUTED_VALUE"""),"PEREIRA")</f>
        <v>PEREIRA</v>
      </c>
      <c r="D7805" s="15" t="str">
        <f>IFERROR(__xludf.DUMMYFUNCTION("""COMPUTED_VALUE"""),"BOGOTÁ")</f>
        <v>BOGOTÁ</v>
      </c>
      <c r="E7805" s="15" t="str">
        <f>IFERROR(__xludf.DUMMYFUNCTION("""COMPUTED_VALUE"""),"LINA PAOLA RAMIREZ GOMEZ - EVA MAZZITA")</f>
        <v>LINA PAOLA RAMIREZ GOMEZ - EVA MAZZITA</v>
      </c>
      <c r="F7805" s="17" t="str">
        <f>IFERROR(__xludf.DUMMYFUNCTION("""COMPUTED_VALUE"""),"Carrera 20#9-22 / Casa 10 / conjunto Quintas de San Martin")</f>
        <v>Carrera 20#9-22 / Casa 10 / conjunto Quintas de San Martin</v>
      </c>
      <c r="G7805" s="15" t="str">
        <f>IFERROR(__xludf.DUMMYFUNCTION("""COMPUTED_VALUE"""),"LAURA OCHOA ORTIZ")</f>
        <v>LAURA OCHOA ORTIZ</v>
      </c>
      <c r="H7805" s="16">
        <f>IFERROR(__xludf.DUMMYFUNCTION("""COMPUTED_VALUE"""),16563.0)</f>
        <v>16563</v>
      </c>
      <c r="I7805" s="17"/>
      <c r="J7805" s="17"/>
      <c r="K7805" s="17"/>
      <c r="L7805" s="17">
        <f>IFERROR(__xludf.DUMMYFUNCTION("""COMPUTED_VALUE"""),3.208868646E9)</f>
        <v>3208868646</v>
      </c>
      <c r="M7805" s="17"/>
      <c r="N7805" s="17"/>
      <c r="O7805" s="17"/>
      <c r="P7805" s="17" t="b">
        <f>IFERROR(__xludf.DUMMYFUNCTION("""COMPUTED_VALUE"""),FALSE)</f>
        <v>0</v>
      </c>
      <c r="Q7805" s="20" t="str">
        <f>IFERROR(__xludf.DUMMYFUNCTION("""COMPUTED_VALUE"""),"")</f>
        <v/>
      </c>
      <c r="R7805" s="21" t="str">
        <f>IFERROR(__xludf.DUMMYFUNCTION("""COMPUTED_VALUE"""),"https://drive.google.com/file/d/1LbTOG3OJ2vYZTB2XLvzAJw5asqEfZCIT/view?usp=drivesdk")</f>
        <v>https://drive.google.com/file/d/1LbTOG3OJ2vYZTB2XLvzAJw5asqEfZCIT/view?usp=drivesdk</v>
      </c>
    </row>
    <row r="7806">
      <c r="A7806" s="15">
        <f>IFERROR(__xludf.DUMMYFUNCTION("""COMPUTED_VALUE"""),45223.0)</f>
        <v>45223</v>
      </c>
      <c r="B7806" s="16" t="str">
        <f>IFERROR(__xludf.DUMMYFUNCTION("""COMPUTED_VALUE"""),"Deivi Alejandro Quintero Corrales")</f>
        <v>Deivi Alejandro Quintero Corrales</v>
      </c>
      <c r="C7806" s="15" t="str">
        <f>IFERROR(__xludf.DUMMYFUNCTION("""COMPUTED_VALUE"""),"PEREIRA")</f>
        <v>PEREIRA</v>
      </c>
      <c r="D7806" s="15" t="str">
        <f>IFERROR(__xludf.DUMMYFUNCTION("""COMPUTED_VALUE"""),"BOGOTÁ")</f>
        <v>BOGOTÁ</v>
      </c>
      <c r="E7806" s="15" t="str">
        <f>IFERROR(__xludf.DUMMYFUNCTION("""COMPUTED_VALUE"""),"Top Spun")</f>
        <v>Top Spun</v>
      </c>
      <c r="F7806" s="17" t="str">
        <f>IFERROR(__xludf.DUMMYFUNCTION("""COMPUTED_VALUE"""),"AV LAS AMéRICAS #85-80 / PARQUE RESIDENCIAL SAN SILVESTRE  / APTO 3015")</f>
        <v>AV LAS AMéRICAS #85-80 / PARQUE RESIDENCIAL SAN SILVESTRE  / APTO 3015</v>
      </c>
      <c r="G7806" s="15" t="str">
        <f>IFERROR(__xludf.DUMMYFUNCTION("""COMPUTED_VALUE"""),"STEPHANY COLORADO")</f>
        <v>STEPHANY COLORADO</v>
      </c>
      <c r="H7806" s="16">
        <f>IFERROR(__xludf.DUMMYFUNCTION("""COMPUTED_VALUE"""),16489.0)</f>
        <v>16489</v>
      </c>
      <c r="I7806" s="18">
        <f>IFERROR(__xludf.DUMMYFUNCTION("""COMPUTED_VALUE"""),20.0)</f>
        <v>20</v>
      </c>
      <c r="J7806" s="18">
        <f>IFERROR(__xludf.DUMMYFUNCTION("""COMPUTED_VALUE"""),10.0)</f>
        <v>10</v>
      </c>
      <c r="K7806" s="18">
        <f>IFERROR(__xludf.DUMMYFUNCTION("""COMPUTED_VALUE"""),40.0)</f>
        <v>40</v>
      </c>
      <c r="L7806" s="17">
        <f>IFERROR(__xludf.DUMMYFUNCTION("""COMPUTED_VALUE"""),3.137239429E9)</f>
        <v>3137239429</v>
      </c>
      <c r="M7806" s="17"/>
      <c r="N7806" s="17"/>
      <c r="O7806" s="17"/>
      <c r="P7806" s="17" t="b">
        <f>IFERROR(__xludf.DUMMYFUNCTION("""COMPUTED_VALUE"""),FALSE)</f>
        <v>0</v>
      </c>
      <c r="Q7806" s="20" t="str">
        <f>IFERROR(__xludf.DUMMYFUNCTION("""COMPUTED_VALUE"""),"")</f>
        <v/>
      </c>
      <c r="R7806" s="21" t="str">
        <f>IFERROR(__xludf.DUMMYFUNCTION("""COMPUTED_VALUE"""),"https://drive.google.com/file/d/1FAH173zNcO4kzbdpSsQfS2iu8uKhQynJ/view?usp=drivesdk")</f>
        <v>https://drive.google.com/file/d/1FAH173zNcO4kzbdpSsQfS2iu8uKhQynJ/view?usp=drivesdk</v>
      </c>
    </row>
    <row r="7807">
      <c r="A7807" s="15">
        <f>IFERROR(__xludf.DUMMYFUNCTION("""COMPUTED_VALUE"""),45223.0)</f>
        <v>45223</v>
      </c>
      <c r="B7807" s="16" t="str">
        <f>IFERROR(__xludf.DUMMYFUNCTION("""COMPUTED_VALUE"""),"Deivi Alejandro Quintero Corrales")</f>
        <v>Deivi Alejandro Quintero Corrales</v>
      </c>
      <c r="C7807" s="15" t="str">
        <f>IFERROR(__xludf.DUMMYFUNCTION("""COMPUTED_VALUE"""),"PEREIRA")</f>
        <v>PEREIRA</v>
      </c>
      <c r="D7807" s="15" t="str">
        <f>IFERROR(__xludf.DUMMYFUNCTION("""COMPUTED_VALUE"""),"BOGOTÁ")</f>
        <v>BOGOTÁ</v>
      </c>
      <c r="E7807" s="15" t="str">
        <f>IFERROR(__xludf.DUMMYFUNCTION("""COMPUTED_VALUE"""),"Top Spun")</f>
        <v>Top Spun</v>
      </c>
      <c r="F7807" s="17" t="str">
        <f>IFERROR(__xludf.DUMMYFUNCTION("""COMPUTED_VALUE"""),"Calle 7 #20-20 / apto 1902  / pinares de alameda")</f>
        <v>Calle 7 #20-20 / apto 1902  / pinares de alameda</v>
      </c>
      <c r="G7807" s="15" t="str">
        <f>IFERROR(__xludf.DUMMYFUNCTION("""COMPUTED_VALUE"""),"Ana Milena Salinas Noreña")</f>
        <v>Ana Milena Salinas Noreña</v>
      </c>
      <c r="H7807" s="16">
        <f>IFERROR(__xludf.DUMMYFUNCTION("""COMPUTED_VALUE"""),16488.0)</f>
        <v>16488</v>
      </c>
      <c r="I7807" s="18">
        <f>IFERROR(__xludf.DUMMYFUNCTION("""COMPUTED_VALUE"""),20.0)</f>
        <v>20</v>
      </c>
      <c r="J7807" s="18">
        <f>IFERROR(__xludf.DUMMYFUNCTION("""COMPUTED_VALUE"""),10.0)</f>
        <v>10</v>
      </c>
      <c r="K7807" s="18">
        <f>IFERROR(__xludf.DUMMYFUNCTION("""COMPUTED_VALUE"""),40.0)</f>
        <v>40</v>
      </c>
      <c r="L7807" s="17">
        <f>IFERROR(__xludf.DUMMYFUNCTION("""COMPUTED_VALUE"""),3.113340108E9)</f>
        <v>3113340108</v>
      </c>
      <c r="M7807" s="17"/>
      <c r="N7807" s="17"/>
      <c r="O7807" s="17"/>
      <c r="P7807" s="17" t="b">
        <f>IFERROR(__xludf.DUMMYFUNCTION("""COMPUTED_VALUE"""),FALSE)</f>
        <v>0</v>
      </c>
      <c r="Q7807" s="20" t="str">
        <f>IFERROR(__xludf.DUMMYFUNCTION("""COMPUTED_VALUE"""),"")</f>
        <v/>
      </c>
      <c r="R7807" s="21" t="str">
        <f>IFERROR(__xludf.DUMMYFUNCTION("""COMPUTED_VALUE"""),"https://drive.google.com/file/d/1XKMm-YeN_SK3hgAiuUWkg1zAoYnpm1X5/view?usp=drivesdk")</f>
        <v>https://drive.google.com/file/d/1XKMm-YeN_SK3hgAiuUWkg1zAoYnpm1X5/view?usp=drivesdk</v>
      </c>
    </row>
    <row r="7808">
      <c r="A7808" s="15">
        <f>IFERROR(__xludf.DUMMYFUNCTION("""COMPUTED_VALUE"""),45223.0)</f>
        <v>45223</v>
      </c>
      <c r="B7808" s="16" t="str">
        <f>IFERROR(__xludf.DUMMYFUNCTION("""COMPUTED_VALUE"""),"Deivi Alejandro Quintero Corrales")</f>
        <v>Deivi Alejandro Quintero Corrales</v>
      </c>
      <c r="C7808" s="15" t="str">
        <f>IFERROR(__xludf.DUMMYFUNCTION("""COMPUTED_VALUE"""),"PEREIRA")</f>
        <v>PEREIRA</v>
      </c>
      <c r="D7808" s="15" t="str">
        <f>IFERROR(__xludf.DUMMYFUNCTION("""COMPUTED_VALUE"""),"MEDELLÍN")</f>
        <v>MEDELLÍN</v>
      </c>
      <c r="E7808" s="15" t="str">
        <f>IFERROR(__xludf.DUMMYFUNCTION("""COMPUTED_VALUE"""),"AREPAS LA MARY")</f>
        <v>AREPAS LA MARY</v>
      </c>
      <c r="F7808" s="17" t="str">
        <f>IFERROR(__xludf.DUMMYFUNCTION("""COMPUTED_VALUE"""),"ROCIO ALTO CASA 241 A / PEREIRA")</f>
        <v>ROCIO ALTO CASA 241 A / PEREIRA</v>
      </c>
      <c r="G7808" s="15" t="str">
        <f>IFERROR(__xludf.DUMMYFUNCTION("""COMPUTED_VALUE"""),"JOHANNA ROJAS")</f>
        <v>JOHANNA ROJAS</v>
      </c>
      <c r="H7808" s="16">
        <f>IFERROR(__xludf.DUMMYFUNCTION("""COMPUTED_VALUE"""),16521.0)</f>
        <v>16521</v>
      </c>
      <c r="I7808" s="18">
        <f>IFERROR(__xludf.DUMMYFUNCTION("""COMPUTED_VALUE"""),89.0)</f>
        <v>89</v>
      </c>
      <c r="J7808" s="18">
        <f>IFERROR(__xludf.DUMMYFUNCTION("""COMPUTED_VALUE"""),1.0)</f>
        <v>1</v>
      </c>
      <c r="K7808" s="18">
        <f>IFERROR(__xludf.DUMMYFUNCTION("""COMPUTED_VALUE"""),10.0)</f>
        <v>10</v>
      </c>
      <c r="L7808" s="17">
        <f>IFERROR(__xludf.DUMMYFUNCTION("""COMPUTED_VALUE"""),3.104329904E9)</f>
        <v>3104329904</v>
      </c>
      <c r="M7808" s="17"/>
      <c r="N7808" s="17"/>
      <c r="O7808" s="17"/>
      <c r="P7808" s="17" t="b">
        <f>IFERROR(__xludf.DUMMYFUNCTION("""COMPUTED_VALUE"""),FALSE)</f>
        <v>0</v>
      </c>
      <c r="Q7808" s="20" t="str">
        <f>IFERROR(__xludf.DUMMYFUNCTION("""COMPUTED_VALUE"""),"")</f>
        <v/>
      </c>
      <c r="R7808" s="21" t="str">
        <f>IFERROR(__xludf.DUMMYFUNCTION("""COMPUTED_VALUE"""),"https://drive.google.com/file/d/1yXO0R1aQpy7hkuKrYkV7_SMQUU_IhCrI/view?usp=drivesdk")</f>
        <v>https://drive.google.com/file/d/1yXO0R1aQpy7hkuKrYkV7_SMQUU_IhCrI/view?usp=drivesdk</v>
      </c>
    </row>
    <row r="7809">
      <c r="A7809" s="15">
        <f>IFERROR(__xludf.DUMMYFUNCTION("""COMPUTED_VALUE"""),45223.0)</f>
        <v>45223</v>
      </c>
      <c r="B7809" s="16" t="str">
        <f>IFERROR(__xludf.DUMMYFUNCTION("""COMPUTED_VALUE"""),"Deivi Alejandro Quintero Corrales")</f>
        <v>Deivi Alejandro Quintero Corrales</v>
      </c>
      <c r="C7809" s="15" t="str">
        <f>IFERROR(__xludf.DUMMYFUNCTION("""COMPUTED_VALUE"""),"PEREIRA")</f>
        <v>PEREIRA</v>
      </c>
      <c r="D7809" s="15" t="str">
        <f>IFERROR(__xludf.DUMMYFUNCTION("""COMPUTED_VALUE"""),"MEDELLÍN")</f>
        <v>MEDELLÍN</v>
      </c>
      <c r="E7809" s="15" t="str">
        <f>IFERROR(__xludf.DUMMYFUNCTION("""COMPUTED_VALUE"""),"AREPAS LA MARY")</f>
        <v>AREPAS LA MARY</v>
      </c>
      <c r="F7809" s="17" t="str">
        <f>IFERROR(__xludf.DUMMYFUNCTION("""COMPUTED_VALUE"""),"Taller Solo Frenos / PEREIRA")</f>
        <v>Taller Solo Frenos / PEREIRA</v>
      </c>
      <c r="G7809" s="15" t="str">
        <f>IFERROR(__xludf.DUMMYFUNCTION("""COMPUTED_VALUE"""),"CLAUDIA VALENCIA")</f>
        <v>CLAUDIA VALENCIA</v>
      </c>
      <c r="H7809" s="16">
        <f>IFERROR(__xludf.DUMMYFUNCTION("""COMPUTED_VALUE"""),16522.0)</f>
        <v>16522</v>
      </c>
      <c r="I7809" s="18">
        <f>IFERROR(__xludf.DUMMYFUNCTION("""COMPUTED_VALUE"""),89.0)</f>
        <v>89</v>
      </c>
      <c r="J7809" s="18">
        <f>IFERROR(__xludf.DUMMYFUNCTION("""COMPUTED_VALUE"""),1.0)</f>
        <v>1</v>
      </c>
      <c r="K7809" s="18">
        <f>IFERROR(__xludf.DUMMYFUNCTION("""COMPUTED_VALUE"""),10.0)</f>
        <v>10</v>
      </c>
      <c r="L7809" s="17">
        <f>IFERROR(__xludf.DUMMYFUNCTION("""COMPUTED_VALUE"""),3.148927589E9)</f>
        <v>3148927589</v>
      </c>
      <c r="M7809" s="17"/>
      <c r="N7809" s="17"/>
      <c r="O7809" s="17"/>
      <c r="P7809" s="17" t="b">
        <f>IFERROR(__xludf.DUMMYFUNCTION("""COMPUTED_VALUE"""),FALSE)</f>
        <v>0</v>
      </c>
      <c r="Q7809" s="20" t="str">
        <f>IFERROR(__xludf.DUMMYFUNCTION("""COMPUTED_VALUE"""),"")</f>
        <v/>
      </c>
      <c r="R7809" s="21" t="str">
        <f>IFERROR(__xludf.DUMMYFUNCTION("""COMPUTED_VALUE"""),"https://drive.google.com/file/d/1oIo2x6-S3AahzJvmkUx-iFJ7ITrl_bWa/view?usp=drivesdk")</f>
        <v>https://drive.google.com/file/d/1oIo2x6-S3AahzJvmkUx-iFJ7ITrl_bWa/view?usp=drivesdk</v>
      </c>
    </row>
    <row r="7810">
      <c r="A7810" s="15">
        <f>IFERROR(__xludf.DUMMYFUNCTION("""COMPUTED_VALUE"""),45223.0)</f>
        <v>45223</v>
      </c>
      <c r="B7810" s="16" t="str">
        <f>IFERROR(__xludf.DUMMYFUNCTION("""COMPUTED_VALUE"""),"Deivi Alejandro Quintero Corrales")</f>
        <v>Deivi Alejandro Quintero Corrales</v>
      </c>
      <c r="C7810" s="15" t="str">
        <f>IFERROR(__xludf.DUMMYFUNCTION("""COMPUTED_VALUE"""),"PEREIRA")</f>
        <v>PEREIRA</v>
      </c>
      <c r="D7810" s="15" t="str">
        <f>IFERROR(__xludf.DUMMYFUNCTION("""COMPUTED_VALUE"""),"MEDELLÍN")</f>
        <v>MEDELLÍN</v>
      </c>
      <c r="E7810" s="15" t="str">
        <f>IFERROR(__xludf.DUMMYFUNCTION("""COMPUTED_VALUE"""),"Baby Chef")</f>
        <v>Baby Chef</v>
      </c>
      <c r="F7810" s="17" t="str">
        <f>IFERROR(__xludf.DUMMYFUNCTION("""COMPUTED_VALUE"""),"Avenida Sur #36A-87 conjunto palma apto 605 Pereira  Al frente del barrio el Jardín / . / .")</f>
        <v>Avenida Sur #36A-87 conjunto palma apto 605 Pereira  Al frente del barrio el Jardín / . / .</v>
      </c>
      <c r="G7810" s="15" t="str">
        <f>IFERROR(__xludf.DUMMYFUNCTION("""COMPUTED_VALUE"""),"Jessica Alzate Palacio")</f>
        <v>Jessica Alzate Palacio</v>
      </c>
      <c r="H7810" s="16">
        <f>IFERROR(__xludf.DUMMYFUNCTION("""COMPUTED_VALUE"""),16531.0)</f>
        <v>16531</v>
      </c>
      <c r="I7810" s="18">
        <f>IFERROR(__xludf.DUMMYFUNCTION("""COMPUTED_VALUE"""),6.0)</f>
        <v>6</v>
      </c>
      <c r="J7810" s="18">
        <f>IFERROR(__xludf.DUMMYFUNCTION("""COMPUTED_VALUE"""),32.0)</f>
        <v>32</v>
      </c>
      <c r="K7810" s="18">
        <f>IFERROR(__xludf.DUMMYFUNCTION("""COMPUTED_VALUE"""),21.0)</f>
        <v>21</v>
      </c>
      <c r="L7810" s="17">
        <f>IFERROR(__xludf.DUMMYFUNCTION("""COMPUTED_VALUE"""),3.113924059E9)</f>
        <v>3113924059</v>
      </c>
      <c r="M7810" s="17"/>
      <c r="N7810" s="17"/>
      <c r="O7810" s="17"/>
      <c r="P7810" s="17" t="b">
        <f>IFERROR(__xludf.DUMMYFUNCTION("""COMPUTED_VALUE"""),FALSE)</f>
        <v>0</v>
      </c>
      <c r="Q7810" s="20" t="str">
        <f>IFERROR(__xludf.DUMMYFUNCTION("""COMPUTED_VALUE"""),"")</f>
        <v/>
      </c>
      <c r="R7810" s="21" t="str">
        <f>IFERROR(__xludf.DUMMYFUNCTION("""COMPUTED_VALUE"""),"https://drive.google.com/file/d/1O8_vPacvFovF9Vbk2_4X-wudJcCH_Cvd/view?usp=drivesdk")</f>
        <v>https://drive.google.com/file/d/1O8_vPacvFovF9Vbk2_4X-wudJcCH_Cvd/view?usp=drivesdk</v>
      </c>
    </row>
    <row r="7811">
      <c r="A7811" s="17" t="str">
        <f>IFERROR(__xludf.DUMMYFUNCTION("""COMPUTED_VALUE"""),"")</f>
        <v/>
      </c>
      <c r="B7811" s="17" t="str">
        <f>IFERROR(__xludf.DUMMYFUNCTION("""COMPUTED_VALUE"""),"")</f>
        <v/>
      </c>
      <c r="C7811" s="17" t="str">
        <f>IFERROR(__xludf.DUMMYFUNCTION("""COMPUTED_VALUE"""),"")</f>
        <v/>
      </c>
      <c r="D7811" s="17" t="str">
        <f>IFERROR(__xludf.DUMMYFUNCTION("""COMPUTED_VALUE"""),"")</f>
        <v/>
      </c>
      <c r="E7811" s="17" t="str">
        <f>IFERROR(__xludf.DUMMYFUNCTION("""COMPUTED_VALUE"""),"")</f>
        <v/>
      </c>
      <c r="F7811" s="17" t="str">
        <f>IFERROR(__xludf.DUMMYFUNCTION("""COMPUTED_VALUE"""),"")</f>
        <v/>
      </c>
      <c r="G7811" s="17" t="str">
        <f>IFERROR(__xludf.DUMMYFUNCTION("""COMPUTED_VALUE"""),"")</f>
        <v/>
      </c>
      <c r="H7811" s="17" t="str">
        <f>IFERROR(__xludf.DUMMYFUNCTION("""COMPUTED_VALUE"""),"")</f>
        <v/>
      </c>
      <c r="I7811" s="17" t="str">
        <f>IFERROR(__xludf.DUMMYFUNCTION("""COMPUTED_VALUE"""),"")</f>
        <v/>
      </c>
      <c r="J7811" s="17" t="str">
        <f>IFERROR(__xludf.DUMMYFUNCTION("""COMPUTED_VALUE"""),"")</f>
        <v/>
      </c>
      <c r="K7811" s="17" t="str">
        <f>IFERROR(__xludf.DUMMYFUNCTION("""COMPUTED_VALUE"""),"")</f>
        <v/>
      </c>
      <c r="L7811" s="17" t="str">
        <f>IFERROR(__xludf.DUMMYFUNCTION("""COMPUTED_VALUE"""),"")</f>
        <v/>
      </c>
      <c r="M7811" s="17" t="str">
        <f>IFERROR(__xludf.DUMMYFUNCTION("""COMPUTED_VALUE"""),"")</f>
        <v/>
      </c>
      <c r="N7811" s="17" t="str">
        <f>IFERROR(__xludf.DUMMYFUNCTION("""COMPUTED_VALUE"""),"")</f>
        <v/>
      </c>
      <c r="O7811" s="17" t="str">
        <f>IFERROR(__xludf.DUMMYFUNCTION("""COMPUTED_VALUE"""),"")</f>
        <v/>
      </c>
      <c r="P7811" s="17" t="str">
        <f>IFERROR(__xludf.DUMMYFUNCTION("""COMPUTED_VALUE"""),"")</f>
        <v/>
      </c>
      <c r="Q7811" s="17" t="str">
        <f>IFERROR(__xludf.DUMMYFUNCTION("""COMPUTED_VALUE"""),"")</f>
        <v/>
      </c>
      <c r="R7811" s="17" t="str">
        <f>IFERROR(__xludf.DUMMYFUNCTION("""COMPUTED_VALUE"""),"")</f>
        <v/>
      </c>
    </row>
    <row r="7812">
      <c r="A7812" s="15">
        <f>IFERROR(__xludf.DUMMYFUNCTION("""COMPUTED_VALUE"""),45223.0)</f>
        <v>45223</v>
      </c>
      <c r="B7812" s="16" t="str">
        <f>IFERROR(__xludf.DUMMYFUNCTION("""COMPUTED_VALUE"""),"Duvan Gabriel Alvarez Giron")</f>
        <v>Duvan Gabriel Alvarez Giron</v>
      </c>
      <c r="C7812" s="15" t="str">
        <f>IFERROR(__xludf.DUMMYFUNCTION("""COMPUTED_VALUE"""),"FLORIDABLANCA")</f>
        <v>FLORIDABLANCA</v>
      </c>
      <c r="D7812" s="15" t="str">
        <f>IFERROR(__xludf.DUMMYFUNCTION("""COMPUTED_VALUE"""),"BOGOTÁ")</f>
        <v>BOGOTÁ</v>
      </c>
      <c r="E7812" s="15" t="str">
        <f>IFERROR(__xludf.DUMMYFUNCTION("""COMPUTED_VALUE"""),"Lunchy Kids")</f>
        <v>Lunchy Kids</v>
      </c>
      <c r="F7812" s="17" t="str">
        <f>IFERROR(__xludf.DUMMYFUNCTION("""COMPUTED_VALUE"""),"Av anillo vial # 21- 462  / Conjunto Caminos de Providenza Torre 1 Apto 1703   / Floridablanca")</f>
        <v>Av anillo vial # 21- 462  / Conjunto Caminos de Providenza Torre 1 Apto 1703   / Floridablanca</v>
      </c>
      <c r="G7812" s="15" t="str">
        <f>IFERROR(__xludf.DUMMYFUNCTION("""COMPUTED_VALUE"""),"Maria Fernanda Moscoso")</f>
        <v>Maria Fernanda Moscoso</v>
      </c>
      <c r="H7812" s="16">
        <f>IFERROR(__xludf.DUMMYFUNCTION("""COMPUTED_VALUE"""),16513.0)</f>
        <v>16513</v>
      </c>
      <c r="I7812" s="18">
        <f>IFERROR(__xludf.DUMMYFUNCTION("""COMPUTED_VALUE"""),10.0)</f>
        <v>10</v>
      </c>
      <c r="J7812" s="18">
        <f>IFERROR(__xludf.DUMMYFUNCTION("""COMPUTED_VALUE"""),25.0)</f>
        <v>25</v>
      </c>
      <c r="K7812" s="18">
        <f>IFERROR(__xludf.DUMMYFUNCTION("""COMPUTED_VALUE"""),6.0)</f>
        <v>6</v>
      </c>
      <c r="L7812" s="17">
        <f>IFERROR(__xludf.DUMMYFUNCTION("""COMPUTED_VALUE"""),3.202329537E9)</f>
        <v>3202329537</v>
      </c>
      <c r="M7812" s="17"/>
      <c r="N7812" s="17"/>
      <c r="O7812" s="17"/>
      <c r="P7812" s="17" t="b">
        <f>IFERROR(__xludf.DUMMYFUNCTION("""COMPUTED_VALUE"""),FALSE)</f>
        <v>0</v>
      </c>
      <c r="Q7812" s="20" t="str">
        <f>IFERROR(__xludf.DUMMYFUNCTION("""COMPUTED_VALUE"""),"")</f>
        <v/>
      </c>
      <c r="R7812" s="21" t="str">
        <f>IFERROR(__xludf.DUMMYFUNCTION("""COMPUTED_VALUE"""),"https://drive.google.com/file/d/1aGIpZwjjsDHPUR7azRnvYybji3Emoq-_/view?usp=drivesdk")</f>
        <v>https://drive.google.com/file/d/1aGIpZwjjsDHPUR7azRnvYybji3Emoq-_/view?usp=drivesdk</v>
      </c>
    </row>
    <row r="7813">
      <c r="A7813" s="15">
        <f>IFERROR(__xludf.DUMMYFUNCTION("""COMPUTED_VALUE"""),45223.0)</f>
        <v>45223</v>
      </c>
      <c r="B7813" s="16" t="str">
        <f>IFERROR(__xludf.DUMMYFUNCTION("""COMPUTED_VALUE"""),"Duvan Gabriel Alvarez Giron")</f>
        <v>Duvan Gabriel Alvarez Giron</v>
      </c>
      <c r="C7813" s="15" t="str">
        <f>IFERROR(__xludf.DUMMYFUNCTION("""COMPUTED_VALUE"""),"FLORIDABLANCA")</f>
        <v>FLORIDABLANCA</v>
      </c>
      <c r="D7813" s="15" t="str">
        <f>IFERROR(__xludf.DUMMYFUNCTION("""COMPUTED_VALUE"""),"MEDELLÍN")</f>
        <v>MEDELLÍN</v>
      </c>
      <c r="E7813" s="15" t="str">
        <f>IFERROR(__xludf.DUMMYFUNCTION("""COMPUTED_VALUE"""),"Moloso S.A.S")</f>
        <v>Moloso S.A.S</v>
      </c>
      <c r="F7813" s="17" t="str">
        <f>IFERROR(__xludf.DUMMYFUNCTION("""COMPUTED_VALUE"""),"CR 27A 15 01 CONJ CARABELAS AP 103")</f>
        <v>CR 27A 15 01 CONJ CARABELAS AP 103</v>
      </c>
      <c r="G7813" s="15" t="str">
        <f>IFERROR(__xludf.DUMMYFUNCTION("""COMPUTED_VALUE"""),"ELIANA PEREIRA CARDEÑO")</f>
        <v>ELIANA PEREIRA CARDEÑO</v>
      </c>
      <c r="H7813" s="16">
        <f>IFERROR(__xludf.DUMMYFUNCTION("""COMPUTED_VALUE"""),16526.0)</f>
        <v>16526</v>
      </c>
      <c r="I7813" s="18">
        <f>IFERROR(__xludf.DUMMYFUNCTION("""COMPUTED_VALUE"""),17.0)</f>
        <v>17</v>
      </c>
      <c r="J7813" s="18">
        <f>IFERROR(__xludf.DUMMYFUNCTION("""COMPUTED_VALUE"""),15.0)</f>
        <v>15</v>
      </c>
      <c r="K7813" s="18">
        <f>IFERROR(__xludf.DUMMYFUNCTION("""COMPUTED_VALUE"""),28.0)</f>
        <v>28</v>
      </c>
      <c r="L7813" s="17" t="str">
        <f>IFERROR(__xludf.DUMMYFUNCTION("""COMPUTED_VALUE"""),"317 5562066")</f>
        <v>317 5562066</v>
      </c>
      <c r="M7813" s="17"/>
      <c r="N7813" s="17"/>
      <c r="O7813" s="17"/>
      <c r="P7813" s="17" t="b">
        <f>IFERROR(__xludf.DUMMYFUNCTION("""COMPUTED_VALUE"""),FALSE)</f>
        <v>0</v>
      </c>
      <c r="Q7813" s="20" t="str">
        <f>IFERROR(__xludf.DUMMYFUNCTION("""COMPUTED_VALUE"""),"")</f>
        <v/>
      </c>
      <c r="R7813" s="21" t="str">
        <f>IFERROR(__xludf.DUMMYFUNCTION("""COMPUTED_VALUE"""),"https://drive.google.com/file/d/1F1ZeETSvdtk7tCyMUX-L6W1b_Qf1nU2U/view?usp=drivesdk")</f>
        <v>https://drive.google.com/file/d/1F1ZeETSvdtk7tCyMUX-L6W1b_Qf1nU2U/view?usp=drivesdk</v>
      </c>
    </row>
    <row r="7814">
      <c r="A7814" s="15">
        <f>IFERROR(__xludf.DUMMYFUNCTION("""COMPUTED_VALUE"""),45223.0)</f>
        <v>45223</v>
      </c>
      <c r="B7814" s="16" t="str">
        <f>IFERROR(__xludf.DUMMYFUNCTION("""COMPUTED_VALUE"""),"Duvan Gabriel Alvarez Giron")</f>
        <v>Duvan Gabriel Alvarez Giron</v>
      </c>
      <c r="C7814" s="15" t="str">
        <f>IFERROR(__xludf.DUMMYFUNCTION("""COMPUTED_VALUE"""),"IBAGUÉ")</f>
        <v>IBAGUÉ</v>
      </c>
      <c r="D7814" s="15" t="str">
        <f>IFERROR(__xludf.DUMMYFUNCTION("""COMPUTED_VALUE"""),"BOGOTÁ")</f>
        <v>BOGOTÁ</v>
      </c>
      <c r="E7814" s="15" t="str">
        <f>IFERROR(__xludf.DUMMYFUNCTION("""COMPUTED_VALUE"""),"Frambascolombia sas")</f>
        <v>Frambascolombia sas</v>
      </c>
      <c r="F7814" s="17" t="str">
        <f>IFERROR(__xludf.DUMMYFUNCTION("""COMPUTED_VALUE"""),"CR 16 Sur # 96-48 / .")</f>
        <v>CR 16 Sur # 96-48 / .</v>
      </c>
      <c r="G7814" s="15" t="str">
        <f>IFERROR(__xludf.DUMMYFUNCTION("""COMPUTED_VALUE"""),"EQUILIBRIO SANA NUTRICION")</f>
        <v>EQUILIBRIO SANA NUTRICION</v>
      </c>
      <c r="H7814" s="16">
        <f>IFERROR(__xludf.DUMMYFUNCTION("""COMPUTED_VALUE"""),16571.0)</f>
        <v>16571</v>
      </c>
      <c r="I7814" s="17"/>
      <c r="J7814" s="17"/>
      <c r="K7814" s="17"/>
      <c r="L7814" s="17">
        <f>IFERROR(__xludf.DUMMYFUNCTION("""COMPUTED_VALUE"""),3.116192364E9)</f>
        <v>3116192364</v>
      </c>
      <c r="M7814" s="17"/>
      <c r="N7814" s="17"/>
      <c r="O7814" s="17"/>
      <c r="P7814" s="17" t="b">
        <f>IFERROR(__xludf.DUMMYFUNCTION("""COMPUTED_VALUE"""),FALSE)</f>
        <v>0</v>
      </c>
      <c r="Q7814" s="20" t="str">
        <f>IFERROR(__xludf.DUMMYFUNCTION("""COMPUTED_VALUE"""),"")</f>
        <v/>
      </c>
      <c r="R7814" s="21" t="str">
        <f>IFERROR(__xludf.DUMMYFUNCTION("""COMPUTED_VALUE"""),"https://drive.google.com/file/d/1wSJuJSNVNra9AgHgQpx0kC8LdNfvf8v3/view?usp=drivesdk")</f>
        <v>https://drive.google.com/file/d/1wSJuJSNVNra9AgHgQpx0kC8LdNfvf8v3/view?usp=drivesdk</v>
      </c>
    </row>
    <row r="7815">
      <c r="A7815" s="15">
        <f>IFERROR(__xludf.DUMMYFUNCTION("""COMPUTED_VALUE"""),45223.0)</f>
        <v>45223</v>
      </c>
      <c r="B7815" s="16" t="str">
        <f>IFERROR(__xludf.DUMMYFUNCTION("""COMPUTED_VALUE"""),"Duvan Gabriel Alvarez Giron")</f>
        <v>Duvan Gabriel Alvarez Giron</v>
      </c>
      <c r="C7815" s="15" t="str">
        <f>IFERROR(__xludf.DUMMYFUNCTION("""COMPUTED_VALUE"""),"IBAGUÉ")</f>
        <v>IBAGUÉ</v>
      </c>
      <c r="D7815" s="15" t="str">
        <f>IFERROR(__xludf.DUMMYFUNCTION("""COMPUTED_VALUE"""),"BOGOTÁ")</f>
        <v>BOGOTÁ</v>
      </c>
      <c r="E7815" s="15" t="str">
        <f>IFERROR(__xludf.DUMMYFUNCTION("""COMPUTED_VALUE"""),"LINA PAOLA RAMIREZ GOMEZ - EVA MAZZITA")</f>
        <v>LINA PAOLA RAMIREZ GOMEZ - EVA MAZZITA</v>
      </c>
      <c r="F7815" s="17" t="str">
        <f>IFERROR(__xludf.DUMMYFUNCTION("""COMPUTED_VALUE"""),"CALLE 93 No. 7SUR - 90 / TORRE 7 APTO 701 CONJUNTO PARQUE RESIDENCIAL ALTAGRACIA")</f>
        <v>CALLE 93 No. 7SUR - 90 / TORRE 7 APTO 701 CONJUNTO PARQUE RESIDENCIAL ALTAGRACIA</v>
      </c>
      <c r="G7815" s="15" t="str">
        <f>IFERROR(__xludf.DUMMYFUNCTION("""COMPUTED_VALUE"""),"MARIAM MURILLO")</f>
        <v>MARIAM MURILLO</v>
      </c>
      <c r="H7815" s="16">
        <f>IFERROR(__xludf.DUMMYFUNCTION("""COMPUTED_VALUE"""),16547.0)</f>
        <v>16547</v>
      </c>
      <c r="I7815" s="17"/>
      <c r="J7815" s="17"/>
      <c r="K7815" s="17"/>
      <c r="L7815" s="17">
        <f>IFERROR(__xludf.DUMMYFUNCTION("""COMPUTED_VALUE"""),3.105789664E9)</f>
        <v>3105789664</v>
      </c>
      <c r="M7815" s="17"/>
      <c r="N7815" s="17"/>
      <c r="O7815" s="17"/>
      <c r="P7815" s="17" t="b">
        <f>IFERROR(__xludf.DUMMYFUNCTION("""COMPUTED_VALUE"""),FALSE)</f>
        <v>0</v>
      </c>
      <c r="Q7815" s="20" t="str">
        <f>IFERROR(__xludf.DUMMYFUNCTION("""COMPUTED_VALUE"""),"")</f>
        <v/>
      </c>
      <c r="R7815" s="21" t="str">
        <f>IFERROR(__xludf.DUMMYFUNCTION("""COMPUTED_VALUE"""),"https://drive.google.com/file/d/1LUXApA_SQK-1dsftvKQyZEEDGJb3uZ7E/view?usp=drivesdk")</f>
        <v>https://drive.google.com/file/d/1LUXApA_SQK-1dsftvKQyZEEDGJb3uZ7E/view?usp=drivesdk</v>
      </c>
    </row>
    <row r="7816">
      <c r="A7816" s="15">
        <f>IFERROR(__xludf.DUMMYFUNCTION("""COMPUTED_VALUE"""),45223.0)</f>
        <v>45223</v>
      </c>
      <c r="B7816" s="16" t="str">
        <f>IFERROR(__xludf.DUMMYFUNCTION("""COMPUTED_VALUE"""),"Duvan Gabriel Alvarez Giron")</f>
        <v>Duvan Gabriel Alvarez Giron</v>
      </c>
      <c r="C7816" s="15" t="str">
        <f>IFERROR(__xludf.DUMMYFUNCTION("""COMPUTED_VALUE"""),"IBAGUÉ")</f>
        <v>IBAGUÉ</v>
      </c>
      <c r="D7816" s="15" t="str">
        <f>IFERROR(__xludf.DUMMYFUNCTION("""COMPUTED_VALUE"""),"BOGOTÁ")</f>
        <v>BOGOTÁ</v>
      </c>
      <c r="E7816" s="15" t="str">
        <f>IFERROR(__xludf.DUMMYFUNCTION("""COMPUTED_VALUE"""),"LINA PAOLA RAMIREZ GOMEZ - EVA MAZZITA")</f>
        <v>LINA PAOLA RAMIREZ GOMEZ - EVA MAZZITA</v>
      </c>
      <c r="F7816" s="17" t="str">
        <f>IFERROR(__xludf.DUMMYFUNCTION("""COMPUTED_VALUE"""),"Carrera 22 sur#114-90 / Edificio bosque sereno/apto1007")</f>
        <v>Carrera 22 sur#114-90 / Edificio bosque sereno/apto1007</v>
      </c>
      <c r="G7816" s="15" t="str">
        <f>IFERROR(__xludf.DUMMYFUNCTION("""COMPUTED_VALUE"""),"JULIANA CARRANZA")</f>
        <v>JULIANA CARRANZA</v>
      </c>
      <c r="H7816" s="16">
        <f>IFERROR(__xludf.DUMMYFUNCTION("""COMPUTED_VALUE"""),16550.0)</f>
        <v>16550</v>
      </c>
      <c r="I7816" s="17"/>
      <c r="J7816" s="17"/>
      <c r="K7816" s="17"/>
      <c r="L7816" s="17">
        <f>IFERROR(__xludf.DUMMYFUNCTION("""COMPUTED_VALUE"""),3.102379988E9)</f>
        <v>3102379988</v>
      </c>
      <c r="M7816" s="17"/>
      <c r="N7816" s="17"/>
      <c r="O7816" s="17"/>
      <c r="P7816" s="17" t="b">
        <f>IFERROR(__xludf.DUMMYFUNCTION("""COMPUTED_VALUE"""),FALSE)</f>
        <v>0</v>
      </c>
      <c r="Q7816" s="20" t="str">
        <f>IFERROR(__xludf.DUMMYFUNCTION("""COMPUTED_VALUE"""),"")</f>
        <v/>
      </c>
      <c r="R7816" s="21" t="str">
        <f>IFERROR(__xludf.DUMMYFUNCTION("""COMPUTED_VALUE"""),"https://drive.google.com/file/d/1EuKt_hmW1K8N-hJWNYDJ_58vo-IUCodL/view?usp=drivesdk")</f>
        <v>https://drive.google.com/file/d/1EuKt_hmW1K8N-hJWNYDJ_58vo-IUCodL/view?usp=drivesdk</v>
      </c>
    </row>
    <row r="7817">
      <c r="A7817" s="15">
        <f>IFERROR(__xludf.DUMMYFUNCTION("""COMPUTED_VALUE"""),45223.0)</f>
        <v>45223</v>
      </c>
      <c r="B7817" s="16" t="str">
        <f>IFERROR(__xludf.DUMMYFUNCTION("""COMPUTED_VALUE"""),"Duvan Gabriel Alvarez Giron")</f>
        <v>Duvan Gabriel Alvarez Giron</v>
      </c>
      <c r="C7817" s="15" t="str">
        <f>IFERROR(__xludf.DUMMYFUNCTION("""COMPUTED_VALUE"""),"IBAGUÉ")</f>
        <v>IBAGUÉ</v>
      </c>
      <c r="D7817" s="15" t="str">
        <f>IFERROR(__xludf.DUMMYFUNCTION("""COMPUTED_VALUE"""),"BOGOTÁ")</f>
        <v>BOGOTÁ</v>
      </c>
      <c r="E7817" s="15" t="str">
        <f>IFERROR(__xludf.DUMMYFUNCTION("""COMPUTED_VALUE"""),"LINA PAOLA RAMIREZ GOMEZ - EVA MAZZITA")</f>
        <v>LINA PAOLA RAMIREZ GOMEZ - EVA MAZZITA</v>
      </c>
      <c r="F7817" s="17" t="str">
        <f>IFERROR(__xludf.DUMMYFUNCTION("""COMPUTED_VALUE"""),"Cra 19 #14-90 / Torre 4/Apto 1002/ Foresta residencial-calambeo")</f>
        <v>Cra 19 #14-90 / Torre 4/Apto 1002/ Foresta residencial-calambeo</v>
      </c>
      <c r="G7817" s="15" t="str">
        <f>IFERROR(__xludf.DUMMYFUNCTION("""COMPUTED_VALUE"""),"JULIANA VALENTINA RIOS AREVALO")</f>
        <v>JULIANA VALENTINA RIOS AREVALO</v>
      </c>
      <c r="H7817" s="16">
        <f>IFERROR(__xludf.DUMMYFUNCTION("""COMPUTED_VALUE"""),16551.0)</f>
        <v>16551</v>
      </c>
      <c r="I7817" s="17"/>
      <c r="J7817" s="17"/>
      <c r="K7817" s="17"/>
      <c r="L7817" s="17">
        <f>IFERROR(__xludf.DUMMYFUNCTION("""COMPUTED_VALUE"""),3.209027048E9)</f>
        <v>3209027048</v>
      </c>
      <c r="M7817" s="17"/>
      <c r="N7817" s="17"/>
      <c r="O7817" s="17"/>
      <c r="P7817" s="17" t="b">
        <f>IFERROR(__xludf.DUMMYFUNCTION("""COMPUTED_VALUE"""),FALSE)</f>
        <v>0</v>
      </c>
      <c r="Q7817" s="20" t="str">
        <f>IFERROR(__xludf.DUMMYFUNCTION("""COMPUTED_VALUE"""),"")</f>
        <v/>
      </c>
      <c r="R7817" s="21" t="str">
        <f>IFERROR(__xludf.DUMMYFUNCTION("""COMPUTED_VALUE"""),"https://drive.google.com/file/d/1YmJg3opWaZqp0rxVWzhXBnbkfsCtZ78b/view?usp=drivesdk")</f>
        <v>https://drive.google.com/file/d/1YmJg3opWaZqp0rxVWzhXBnbkfsCtZ78b/view?usp=drivesdk</v>
      </c>
    </row>
    <row r="7818">
      <c r="A7818" s="15">
        <f>IFERROR(__xludf.DUMMYFUNCTION("""COMPUTED_VALUE"""),45223.0)</f>
        <v>45223</v>
      </c>
      <c r="B7818" s="16" t="str">
        <f>IFERROR(__xludf.DUMMYFUNCTION("""COMPUTED_VALUE"""),"Duvan Gabriel Alvarez Giron")</f>
        <v>Duvan Gabriel Alvarez Giron</v>
      </c>
      <c r="C7818" s="15" t="str">
        <f>IFERROR(__xludf.DUMMYFUNCTION("""COMPUTED_VALUE"""),"IBAGUÉ")</f>
        <v>IBAGUÉ</v>
      </c>
      <c r="D7818" s="15" t="str">
        <f>IFERROR(__xludf.DUMMYFUNCTION("""COMPUTED_VALUE"""),"BOGOTÁ")</f>
        <v>BOGOTÁ</v>
      </c>
      <c r="E7818" s="15" t="str">
        <f>IFERROR(__xludf.DUMMYFUNCTION("""COMPUTED_VALUE"""),"LINA PAOLA RAMIREZ GOMEZ - EVA MAZZITA")</f>
        <v>LINA PAOLA RAMIREZ GOMEZ - EVA MAZZITA</v>
      </c>
      <c r="F7818" s="17" t="str">
        <f>IFERROR(__xludf.DUMMYFUNCTION("""COMPUTED_VALUE"""),"MZ 58/casa 5/ jordan 3 etapa / MZ 58/casa 5/ jordan 3 etapa")</f>
        <v>MZ 58/casa 5/ jordan 3 etapa / MZ 58/casa 5/ jordan 3 etapa</v>
      </c>
      <c r="G7818" s="15" t="str">
        <f>IFERROR(__xludf.DUMMYFUNCTION("""COMPUTED_VALUE"""),"LUISA CAVIEDES")</f>
        <v>LUISA CAVIEDES</v>
      </c>
      <c r="H7818" s="16">
        <f>IFERROR(__xludf.DUMMYFUNCTION("""COMPUTED_VALUE"""),16552.0)</f>
        <v>16552</v>
      </c>
      <c r="I7818" s="17"/>
      <c r="J7818" s="17"/>
      <c r="K7818" s="17"/>
      <c r="L7818" s="17">
        <f>IFERROR(__xludf.DUMMYFUNCTION("""COMPUTED_VALUE"""),3.115961759E9)</f>
        <v>3115961759</v>
      </c>
      <c r="M7818" s="17"/>
      <c r="N7818" s="17"/>
      <c r="O7818" s="17"/>
      <c r="P7818" s="17" t="b">
        <f>IFERROR(__xludf.DUMMYFUNCTION("""COMPUTED_VALUE"""),FALSE)</f>
        <v>0</v>
      </c>
      <c r="Q7818" s="20" t="str">
        <f>IFERROR(__xludf.DUMMYFUNCTION("""COMPUTED_VALUE"""),"")</f>
        <v/>
      </c>
      <c r="R7818" s="21" t="str">
        <f>IFERROR(__xludf.DUMMYFUNCTION("""COMPUTED_VALUE"""),"https://drive.google.com/file/d/1yd1CAvkVLaA9_6kvU3MxGdza9-hHEDrZ/view?usp=drivesdk")</f>
        <v>https://drive.google.com/file/d/1yd1CAvkVLaA9_6kvU3MxGdza9-hHEDrZ/view?usp=drivesdk</v>
      </c>
    </row>
    <row r="7819">
      <c r="A7819" s="15">
        <f>IFERROR(__xludf.DUMMYFUNCTION("""COMPUTED_VALUE"""),45223.0)</f>
        <v>45223</v>
      </c>
      <c r="B7819" s="16" t="str">
        <f>IFERROR(__xludf.DUMMYFUNCTION("""COMPUTED_VALUE"""),"Duvan Gabriel Alvarez Giron")</f>
        <v>Duvan Gabriel Alvarez Giron</v>
      </c>
      <c r="C7819" s="15" t="str">
        <f>IFERROR(__xludf.DUMMYFUNCTION("""COMPUTED_VALUE"""),"IBAGUÉ")</f>
        <v>IBAGUÉ</v>
      </c>
      <c r="D7819" s="15" t="str">
        <f>IFERROR(__xludf.DUMMYFUNCTION("""COMPUTED_VALUE"""),"BOGOTÁ")</f>
        <v>BOGOTÁ</v>
      </c>
      <c r="E7819" s="15" t="str">
        <f>IFERROR(__xludf.DUMMYFUNCTION("""COMPUTED_VALUE"""),"Pan de Waffle")</f>
        <v>Pan de Waffle</v>
      </c>
      <c r="F7819" s="17" t="str">
        <f>IFERROR(__xludf.DUMMYFUNCTION("""COMPUTED_VALUE"""),"Carrera 14 # 75a - 29  Local 5 Conjunto Estancia Del Vergel  / Carrera 14 # 75a - 29  Local 5 Conjunto Estancia Del Vergel  / Carrera 14 # 75a - 29  Local 5 Conjunto Estancia Del Vergel")</f>
        <v>Carrera 14 # 75a - 29  Local 5 Conjunto Estancia Del Vergel  / Carrera 14 # 75a - 29  Local 5 Conjunto Estancia Del Vergel  / Carrera 14 # 75a - 29  Local 5 Conjunto Estancia Del Vergel</v>
      </c>
      <c r="G7819" s="15" t="str">
        <f>IFERROR(__xludf.DUMMYFUNCTION("""COMPUTED_VALUE"""),"SOY NATURAL SEDE EL VERGEL")</f>
        <v>SOY NATURAL SEDE EL VERGEL</v>
      </c>
      <c r="H7819" s="16">
        <f>IFERROR(__xludf.DUMMYFUNCTION("""COMPUTED_VALUE"""),16575.0)</f>
        <v>16575</v>
      </c>
      <c r="I7819" s="18">
        <f>IFERROR(__xludf.DUMMYFUNCTION("""COMPUTED_VALUE"""),30.0)</f>
        <v>30</v>
      </c>
      <c r="J7819" s="18">
        <f>IFERROR(__xludf.DUMMYFUNCTION("""COMPUTED_VALUE"""),30.0)</f>
        <v>30</v>
      </c>
      <c r="K7819" s="18">
        <f>IFERROR(__xludf.DUMMYFUNCTION("""COMPUTED_VALUE"""),40.0)</f>
        <v>40</v>
      </c>
      <c r="L7819" s="17">
        <f>IFERROR(__xludf.DUMMYFUNCTION("""COMPUTED_VALUE"""),3.208565148E9)</f>
        <v>3208565148</v>
      </c>
      <c r="M7819" s="17"/>
      <c r="N7819" s="17"/>
      <c r="O7819" s="17"/>
      <c r="P7819" s="17" t="b">
        <f>IFERROR(__xludf.DUMMYFUNCTION("""COMPUTED_VALUE"""),FALSE)</f>
        <v>0</v>
      </c>
      <c r="Q7819" s="20" t="str">
        <f>IFERROR(__xludf.DUMMYFUNCTION("""COMPUTED_VALUE"""),"")</f>
        <v/>
      </c>
      <c r="R7819" s="21" t="str">
        <f>IFERROR(__xludf.DUMMYFUNCTION("""COMPUTED_VALUE"""),"https://drive.google.com/file/d/1xRbaFwAZSgJpd3UZSlcZzQTN4fEZJZE-/view?usp=drivesdk")</f>
        <v>https://drive.google.com/file/d/1xRbaFwAZSgJpd3UZSlcZzQTN4fEZJZE-/view?usp=drivesdk</v>
      </c>
    </row>
    <row r="7820">
      <c r="A7820" s="17" t="str">
        <f>IFERROR(__xludf.DUMMYFUNCTION("""COMPUTED_VALUE"""),"")</f>
        <v/>
      </c>
      <c r="B7820" s="17" t="str">
        <f>IFERROR(__xludf.DUMMYFUNCTION("""COMPUTED_VALUE"""),"")</f>
        <v/>
      </c>
      <c r="C7820" s="17" t="str">
        <f>IFERROR(__xludf.DUMMYFUNCTION("""COMPUTED_VALUE"""),"")</f>
        <v/>
      </c>
      <c r="D7820" s="17" t="str">
        <f>IFERROR(__xludf.DUMMYFUNCTION("""COMPUTED_VALUE"""),"")</f>
        <v/>
      </c>
      <c r="E7820" s="17" t="str">
        <f>IFERROR(__xludf.DUMMYFUNCTION("""COMPUTED_VALUE"""),"")</f>
        <v/>
      </c>
      <c r="F7820" s="17" t="str">
        <f>IFERROR(__xludf.DUMMYFUNCTION("""COMPUTED_VALUE"""),"")</f>
        <v/>
      </c>
      <c r="G7820" s="17" t="str">
        <f>IFERROR(__xludf.DUMMYFUNCTION("""COMPUTED_VALUE"""),"")</f>
        <v/>
      </c>
      <c r="H7820" s="17" t="str">
        <f>IFERROR(__xludf.DUMMYFUNCTION("""COMPUTED_VALUE"""),"")</f>
        <v/>
      </c>
      <c r="I7820" s="17" t="str">
        <f>IFERROR(__xludf.DUMMYFUNCTION("""COMPUTED_VALUE"""),"")</f>
        <v/>
      </c>
      <c r="J7820" s="17" t="str">
        <f>IFERROR(__xludf.DUMMYFUNCTION("""COMPUTED_VALUE"""),"")</f>
        <v/>
      </c>
      <c r="K7820" s="17" t="str">
        <f>IFERROR(__xludf.DUMMYFUNCTION("""COMPUTED_VALUE"""),"")</f>
        <v/>
      </c>
      <c r="L7820" s="17" t="str">
        <f>IFERROR(__xludf.DUMMYFUNCTION("""COMPUTED_VALUE"""),"")</f>
        <v/>
      </c>
      <c r="M7820" s="17" t="str">
        <f>IFERROR(__xludf.DUMMYFUNCTION("""COMPUTED_VALUE"""),"")</f>
        <v/>
      </c>
      <c r="N7820" s="17" t="str">
        <f>IFERROR(__xludf.DUMMYFUNCTION("""COMPUTED_VALUE"""),"")</f>
        <v/>
      </c>
      <c r="O7820" s="17" t="str">
        <f>IFERROR(__xludf.DUMMYFUNCTION("""COMPUTED_VALUE"""),"")</f>
        <v/>
      </c>
      <c r="P7820" s="17" t="str">
        <f>IFERROR(__xludf.DUMMYFUNCTION("""COMPUTED_VALUE"""),"")</f>
        <v/>
      </c>
      <c r="Q7820" s="17" t="str">
        <f>IFERROR(__xludf.DUMMYFUNCTION("""COMPUTED_VALUE"""),"")</f>
        <v/>
      </c>
      <c r="R7820" s="17" t="str">
        <f>IFERROR(__xludf.DUMMYFUNCTION("""COMPUTED_VALUE"""),"")</f>
        <v/>
      </c>
    </row>
    <row r="7821">
      <c r="A7821" s="15">
        <f>IFERROR(__xludf.DUMMYFUNCTION("""COMPUTED_VALUE"""),45223.0)</f>
        <v>45223</v>
      </c>
      <c r="B7821" s="16" t="str">
        <f>IFERROR(__xludf.DUMMYFUNCTION("""COMPUTED_VALUE"""),"Envia")</f>
        <v>Envia</v>
      </c>
      <c r="C7821" s="15" t="str">
        <f>IFERROR(__xludf.DUMMYFUNCTION("""COMPUTED_VALUE"""),"ARMENIA")</f>
        <v>ARMENIA</v>
      </c>
      <c r="D7821" s="15" t="str">
        <f>IFERROR(__xludf.DUMMYFUNCTION("""COMPUTED_VALUE"""),"BOGOTÁ")</f>
        <v>BOGOTÁ</v>
      </c>
      <c r="E7821" s="15" t="str">
        <f>IFERROR(__xludf.DUMMYFUNCTION("""COMPUTED_VALUE"""),"Chalupo")</f>
        <v>Chalupo</v>
      </c>
      <c r="F7821" s="17" t="str">
        <f>IFERROR(__xludf.DUMMYFUNCTION("""COMPUTED_VALUE"""),"Calle 12 norte # 11- 40  / apto 601 La cascada  / barrio la castellana")</f>
        <v>Calle 12 norte # 11- 40  / apto 601 La cascada  / barrio la castellana</v>
      </c>
      <c r="G7821" s="15" t="str">
        <f>IFERROR(__xludf.DUMMYFUNCTION("""COMPUTED_VALUE"""),"Luisa Fernanda Arcila o Angel Eduardo Luna")</f>
        <v>Luisa Fernanda Arcila o Angel Eduardo Luna</v>
      </c>
      <c r="H7821" s="16">
        <f>IFERROR(__xludf.DUMMYFUNCTION("""COMPUTED_VALUE"""),16546.0)</f>
        <v>16546</v>
      </c>
      <c r="I7821" s="18">
        <f>IFERROR(__xludf.DUMMYFUNCTION("""COMPUTED_VALUE"""),21.0)</f>
        <v>21</v>
      </c>
      <c r="J7821" s="18">
        <f>IFERROR(__xludf.DUMMYFUNCTION("""COMPUTED_VALUE"""),30.0)</f>
        <v>30</v>
      </c>
      <c r="K7821" s="18">
        <f>IFERROR(__xludf.DUMMYFUNCTION("""COMPUTED_VALUE"""),50.0)</f>
        <v>50</v>
      </c>
      <c r="L7821" s="17">
        <f>IFERROR(__xludf.DUMMYFUNCTION("""COMPUTED_VALUE"""),3.216328053E9)</f>
        <v>3216328053</v>
      </c>
      <c r="M7821" s="17"/>
      <c r="N7821" s="17"/>
      <c r="O7821" s="17"/>
      <c r="P7821" s="17" t="b">
        <f>IFERROR(__xludf.DUMMYFUNCTION("""COMPUTED_VALUE"""),FALSE)</f>
        <v>0</v>
      </c>
      <c r="Q7821" s="20" t="str">
        <f>IFERROR(__xludf.DUMMYFUNCTION("""COMPUTED_VALUE"""),"")</f>
        <v/>
      </c>
      <c r="R7821" s="21" t="str">
        <f>IFERROR(__xludf.DUMMYFUNCTION("""COMPUTED_VALUE"""),"https://drive.google.com/file/d/1q_dni9Wp7pfeM9EApYLg10INixSRuZnu/view?usp=drivesdk")</f>
        <v>https://drive.google.com/file/d/1q_dni9Wp7pfeM9EApYLg10INixSRuZnu/view?usp=drivesdk</v>
      </c>
    </row>
    <row r="7822">
      <c r="A7822" s="15">
        <f>IFERROR(__xludf.DUMMYFUNCTION("""COMPUTED_VALUE"""),45223.0)</f>
        <v>45223</v>
      </c>
      <c r="B7822" s="16" t="str">
        <f>IFERROR(__xludf.DUMMYFUNCTION("""COMPUTED_VALUE"""),"Envia")</f>
        <v>Envia</v>
      </c>
      <c r="C7822" s="15" t="str">
        <f>IFERROR(__xludf.DUMMYFUNCTION("""COMPUTED_VALUE"""),"DOSQUEBRADAS")</f>
        <v>DOSQUEBRADAS</v>
      </c>
      <c r="D7822" s="15" t="str">
        <f>IFERROR(__xludf.DUMMYFUNCTION("""COMPUTED_VALUE"""),"MEDELLÍN")</f>
        <v>MEDELLÍN</v>
      </c>
      <c r="E7822" s="15" t="str">
        <f>IFERROR(__xludf.DUMMYFUNCTION("""COMPUTED_VALUE"""),"Baby Chef")</f>
        <v>Baby Chef</v>
      </c>
      <c r="F7822" s="17" t="str">
        <f>IFERROR(__xludf.DUMMYFUNCTION("""COMPUTED_VALUE"""),"carrera 15 bis no 63-26 santa Teresita Dosquebradas, Risaralda casa 1 piso / . / .")</f>
        <v>carrera 15 bis no 63-26 santa Teresita Dosquebradas, Risaralda casa 1 piso / . / .</v>
      </c>
      <c r="G7822" s="15" t="str">
        <f>IFERROR(__xludf.DUMMYFUNCTION("""COMPUTED_VALUE"""),"Johana Hernández")</f>
        <v>Johana Hernández</v>
      </c>
      <c r="H7822" s="16">
        <f>IFERROR(__xludf.DUMMYFUNCTION("""COMPUTED_VALUE"""),16530.0)</f>
        <v>16530</v>
      </c>
      <c r="I7822" s="18">
        <f>IFERROR(__xludf.DUMMYFUNCTION("""COMPUTED_VALUE"""),10.0)</f>
        <v>10</v>
      </c>
      <c r="J7822" s="18">
        <f>IFERROR(__xludf.DUMMYFUNCTION("""COMPUTED_VALUE"""),25.0)</f>
        <v>25</v>
      </c>
      <c r="K7822" s="18">
        <f>IFERROR(__xludf.DUMMYFUNCTION("""COMPUTED_VALUE"""),22.0)</f>
        <v>22</v>
      </c>
      <c r="L7822" s="17">
        <f>IFERROR(__xludf.DUMMYFUNCTION("""COMPUTED_VALUE"""),3.178279263E9)</f>
        <v>3178279263</v>
      </c>
      <c r="M7822" s="17"/>
      <c r="N7822" s="17"/>
      <c r="O7822" s="17"/>
      <c r="P7822" s="17" t="b">
        <f>IFERROR(__xludf.DUMMYFUNCTION("""COMPUTED_VALUE"""),FALSE)</f>
        <v>0</v>
      </c>
      <c r="Q7822" s="20" t="str">
        <f>IFERROR(__xludf.DUMMYFUNCTION("""COMPUTED_VALUE"""),"")</f>
        <v/>
      </c>
      <c r="R7822" s="21" t="str">
        <f>IFERROR(__xludf.DUMMYFUNCTION("""COMPUTED_VALUE"""),"https://drive.google.com/file/d/1Sg56RJLQjpX3dASTF-8SqUi8-kXThjth/view?usp=drivesdk")</f>
        <v>https://drive.google.com/file/d/1Sg56RJLQjpX3dASTF-8SqUi8-kXThjth/view?usp=drivesdk</v>
      </c>
    </row>
    <row r="7823">
      <c r="A7823" s="15">
        <f>IFERROR(__xludf.DUMMYFUNCTION("""COMPUTED_VALUE"""),45223.0)</f>
        <v>45223</v>
      </c>
      <c r="B7823" s="16" t="str">
        <f>IFERROR(__xludf.DUMMYFUNCTION("""COMPUTED_VALUE"""),"Envia")</f>
        <v>Envia</v>
      </c>
      <c r="C7823" s="15" t="str">
        <f>IFERROR(__xludf.DUMMYFUNCTION("""COMPUTED_VALUE"""),"ENVIGADO")</f>
        <v>ENVIGADO</v>
      </c>
      <c r="D7823" s="15" t="str">
        <f>IFERROR(__xludf.DUMMYFUNCTION("""COMPUTED_VALUE"""),"BOGOTÁ")</f>
        <v>BOGOTÁ</v>
      </c>
      <c r="E7823" s="15" t="str">
        <f>IFERROR(__xludf.DUMMYFUNCTION("""COMPUTED_VALUE"""),"LINA PAOLA RAMIREZ GOMEZ - EVA MAZZITA")</f>
        <v>LINA PAOLA RAMIREZ GOMEZ - EVA MAZZITA</v>
      </c>
      <c r="F7823" s="17" t="str">
        <f>IFERROR(__xludf.DUMMYFUNCTION("""COMPUTED_VALUE"""),"Calle 45 a sur # 39 b 101 apto 247 torre 12 / Barrio las antillas, en envigado, unidad Parques de la gloria")</f>
        <v>Calle 45 a sur # 39 b 101 apto 247 torre 12 / Barrio las antillas, en envigado, unidad Parques de la gloria</v>
      </c>
      <c r="G7823" s="15" t="str">
        <f>IFERROR(__xludf.DUMMYFUNCTION("""COMPUTED_VALUE"""),"ASTRID CORREA LONDOÑO")</f>
        <v>ASTRID CORREA LONDOÑO</v>
      </c>
      <c r="H7823" s="16">
        <f>IFERROR(__xludf.DUMMYFUNCTION("""COMPUTED_VALUE"""),16562.0)</f>
        <v>16562</v>
      </c>
      <c r="I7823" s="17"/>
      <c r="J7823" s="17"/>
      <c r="K7823" s="17"/>
      <c r="L7823" s="17">
        <f>IFERROR(__xludf.DUMMYFUNCTION("""COMPUTED_VALUE"""),3.002779087E9)</f>
        <v>3002779087</v>
      </c>
      <c r="M7823" s="17"/>
      <c r="N7823" s="17"/>
      <c r="O7823" s="17"/>
      <c r="P7823" s="17" t="b">
        <f>IFERROR(__xludf.DUMMYFUNCTION("""COMPUTED_VALUE"""),FALSE)</f>
        <v>0</v>
      </c>
      <c r="Q7823" s="20" t="str">
        <f>IFERROR(__xludf.DUMMYFUNCTION("""COMPUTED_VALUE"""),"")</f>
        <v/>
      </c>
      <c r="R7823" s="22" t="str">
        <f>IFERROR(__xludf.DUMMYFUNCTION("""COMPUTED_VALUE"""),"")</f>
        <v/>
      </c>
    </row>
    <row r="7824">
      <c r="A7824" s="15">
        <f>IFERROR(__xludf.DUMMYFUNCTION("""COMPUTED_VALUE"""),45223.0)</f>
        <v>45223</v>
      </c>
      <c r="B7824" s="16" t="str">
        <f>IFERROR(__xludf.DUMMYFUNCTION("""COMPUTED_VALUE"""),"Envia")</f>
        <v>Envia</v>
      </c>
      <c r="C7824" s="15" t="str">
        <f>IFERROR(__xludf.DUMMYFUNCTION("""COMPUTED_VALUE"""),"IBAGUÉ")</f>
        <v>IBAGUÉ</v>
      </c>
      <c r="D7824" s="15" t="str">
        <f>IFERROR(__xludf.DUMMYFUNCTION("""COMPUTED_VALUE"""),"MEDELLÍN")</f>
        <v>MEDELLÍN</v>
      </c>
      <c r="E7824" s="15" t="str">
        <f>IFERROR(__xludf.DUMMYFUNCTION("""COMPUTED_VALUE"""),"AREPAS LA MARY")</f>
        <v>AREPAS LA MARY</v>
      </c>
      <c r="F7824" s="17" t="str">
        <f>IFERROR(__xludf.DUMMYFUNCTION("""COMPUTED_VALUE"""),"cra 14 # 75 a 29 / local 5 estancia del vergel")</f>
        <v>cra 14 # 75 a 29 / local 5 estancia del vergel</v>
      </c>
      <c r="G7824" s="15" t="str">
        <f>IFERROR(__xludf.DUMMYFUNCTION("""COMPUTED_VALUE"""),"soy natural market")</f>
        <v>soy natural market</v>
      </c>
      <c r="H7824" s="16">
        <f>IFERROR(__xludf.DUMMYFUNCTION("""COMPUTED_VALUE"""),16515.0)</f>
        <v>16515</v>
      </c>
      <c r="I7824" s="18">
        <f>IFERROR(__xludf.DUMMYFUNCTION("""COMPUTED_VALUE"""),89.0)</f>
        <v>89</v>
      </c>
      <c r="J7824" s="18">
        <f>IFERROR(__xludf.DUMMYFUNCTION("""COMPUTED_VALUE"""),1.0)</f>
        <v>1</v>
      </c>
      <c r="K7824" s="18">
        <f>IFERROR(__xludf.DUMMYFUNCTION("""COMPUTED_VALUE"""),10.0)</f>
        <v>10</v>
      </c>
      <c r="L7824" s="17">
        <f>IFERROR(__xludf.DUMMYFUNCTION("""COMPUTED_VALUE"""),3.177002909E9)</f>
        <v>3177002909</v>
      </c>
      <c r="M7824" s="17"/>
      <c r="N7824" s="17"/>
      <c r="O7824" s="17"/>
      <c r="P7824" s="17" t="b">
        <f>IFERROR(__xludf.DUMMYFUNCTION("""COMPUTED_VALUE"""),FALSE)</f>
        <v>0</v>
      </c>
      <c r="Q7824" s="20" t="str">
        <f>IFERROR(__xludf.DUMMYFUNCTION("""COMPUTED_VALUE"""),"")</f>
        <v/>
      </c>
      <c r="R7824" s="21" t="str">
        <f>IFERROR(__xludf.DUMMYFUNCTION("""COMPUTED_VALUE"""),"https://drive.google.com/file/d/1FGQLYVyv_ASWE8blr0GDzpjO7x4CpZb8/view?usp=drivesdk")</f>
        <v>https://drive.google.com/file/d/1FGQLYVyv_ASWE8blr0GDzpjO7x4CpZb8/view?usp=drivesdk</v>
      </c>
    </row>
    <row r="7825">
      <c r="A7825" s="15">
        <f>IFERROR(__xludf.DUMMYFUNCTION("""COMPUTED_VALUE"""),45223.0)</f>
        <v>45223</v>
      </c>
      <c r="B7825" s="16" t="str">
        <f>IFERROR(__xludf.DUMMYFUNCTION("""COMPUTED_VALUE"""),"Envia")</f>
        <v>Envia</v>
      </c>
      <c r="C7825" s="15" t="str">
        <f>IFERROR(__xludf.DUMMYFUNCTION("""COMPUTED_VALUE"""),"IBAGUÉ")</f>
        <v>IBAGUÉ</v>
      </c>
      <c r="D7825" s="15" t="str">
        <f>IFERROR(__xludf.DUMMYFUNCTION("""COMPUTED_VALUE"""),"MEDELLÍN")</f>
        <v>MEDELLÍN</v>
      </c>
      <c r="E7825" s="15" t="str">
        <f>IFERROR(__xludf.DUMMYFUNCTION("""COMPUTED_VALUE"""),"Baby Chef")</f>
        <v>Baby Chef</v>
      </c>
      <c r="F7825" s="17" t="str">
        <f>IFERROR(__xludf.DUMMYFUNCTION("""COMPUTED_VALUE"""),"Calle 93 #20-40 Sur Torre1 Apto 1102 Mirador De Los Andes / . / .")</f>
        <v>Calle 93 #20-40 Sur Torre1 Apto 1102 Mirador De Los Andes / . / .</v>
      </c>
      <c r="G7825" s="15" t="str">
        <f>IFERROR(__xludf.DUMMYFUNCTION("""COMPUTED_VALUE"""),"Monica Surez")</f>
        <v>Monica Surez</v>
      </c>
      <c r="H7825" s="16">
        <f>IFERROR(__xludf.DUMMYFUNCTION("""COMPUTED_VALUE"""),16533.0)</f>
        <v>16533</v>
      </c>
      <c r="I7825" s="18">
        <f>IFERROR(__xludf.DUMMYFUNCTION("""COMPUTED_VALUE"""),6.0)</f>
        <v>6</v>
      </c>
      <c r="J7825" s="18">
        <f>IFERROR(__xludf.DUMMYFUNCTION("""COMPUTED_VALUE"""),25.0)</f>
        <v>25</v>
      </c>
      <c r="K7825" s="18">
        <f>IFERROR(__xludf.DUMMYFUNCTION("""COMPUTED_VALUE"""),21.0)</f>
        <v>21</v>
      </c>
      <c r="L7825" s="17">
        <f>IFERROR(__xludf.DUMMYFUNCTION("""COMPUTED_VALUE"""),3.154282865E9)</f>
        <v>3154282865</v>
      </c>
      <c r="M7825" s="17"/>
      <c r="N7825" s="17"/>
      <c r="O7825" s="17"/>
      <c r="P7825" s="17" t="b">
        <f>IFERROR(__xludf.DUMMYFUNCTION("""COMPUTED_VALUE"""),FALSE)</f>
        <v>0</v>
      </c>
      <c r="Q7825" s="20" t="str">
        <f>IFERROR(__xludf.DUMMYFUNCTION("""COMPUTED_VALUE"""),"")</f>
        <v/>
      </c>
      <c r="R7825" s="21" t="str">
        <f>IFERROR(__xludf.DUMMYFUNCTION("""COMPUTED_VALUE"""),"https://drive.google.com/file/d/16QeRw3JHRIDMm6zR9-QcxfqytiPOCSSz/view?usp=drivesdk")</f>
        <v>https://drive.google.com/file/d/16QeRw3JHRIDMm6zR9-QcxfqytiPOCSSz/view?usp=drivesdk</v>
      </c>
    </row>
    <row r="7826">
      <c r="A7826" s="15">
        <f>IFERROR(__xludf.DUMMYFUNCTION("""COMPUTED_VALUE"""),45223.0)</f>
        <v>45223</v>
      </c>
      <c r="B7826" s="16" t="str">
        <f>IFERROR(__xludf.DUMMYFUNCTION("""COMPUTED_VALUE"""),"Envia")</f>
        <v>Envia</v>
      </c>
      <c r="C7826" s="15" t="str">
        <f>IFERROR(__xludf.DUMMYFUNCTION("""COMPUTED_VALUE"""),"MANIZALES")</f>
        <v>MANIZALES</v>
      </c>
      <c r="D7826" s="15" t="str">
        <f>IFERROR(__xludf.DUMMYFUNCTION("""COMPUTED_VALUE"""),"BOGOTÁ")</f>
        <v>BOGOTÁ</v>
      </c>
      <c r="E7826" s="15" t="str">
        <f>IFERROR(__xludf.DUMMYFUNCTION("""COMPUTED_VALUE"""),"Asociacion Agropecuaria Juana Maria")</f>
        <v>Asociacion Agropecuaria Juana Maria</v>
      </c>
      <c r="F7826" s="17" t="str">
        <f>IFERROR(__xludf.DUMMYFUNCTION("""COMPUTED_VALUE"""),"Cra 23 #53a-24 santo cafetto / Local Comercial")</f>
        <v>Cra 23 #53a-24 santo cafetto / Local Comercial</v>
      </c>
      <c r="G7826" s="15" t="str">
        <f>IFERROR(__xludf.DUMMYFUNCTION("""COMPUTED_VALUE"""),"Juan David Henao Lopez")</f>
        <v>Juan David Henao Lopez</v>
      </c>
      <c r="H7826" s="16">
        <f>IFERROR(__xludf.DUMMYFUNCTION("""COMPUTED_VALUE"""),16500.0)</f>
        <v>16500</v>
      </c>
      <c r="I7826" s="17"/>
      <c r="J7826" s="17"/>
      <c r="K7826" s="17"/>
      <c r="L7826" s="17">
        <f>IFERROR(__xludf.DUMMYFUNCTION("""COMPUTED_VALUE"""),3.106036418E9)</f>
        <v>3106036418</v>
      </c>
      <c r="M7826" s="17"/>
      <c r="N7826" s="17"/>
      <c r="O7826" s="17"/>
      <c r="P7826" s="17" t="b">
        <f>IFERROR(__xludf.DUMMYFUNCTION("""COMPUTED_VALUE"""),FALSE)</f>
        <v>0</v>
      </c>
      <c r="Q7826" s="20" t="str">
        <f>IFERROR(__xludf.DUMMYFUNCTION("""COMPUTED_VALUE"""),"")</f>
        <v/>
      </c>
      <c r="R7826" s="21" t="str">
        <f>IFERROR(__xludf.DUMMYFUNCTION("""COMPUTED_VALUE"""),"https://drive.google.com/file/d/1CDw23CNYON1KFKzRDVNpoQu9Y4-r-7BE/view?usp=drivesdk")</f>
        <v>https://drive.google.com/file/d/1CDw23CNYON1KFKzRDVNpoQu9Y4-r-7BE/view?usp=drivesdk</v>
      </c>
    </row>
    <row r="7827">
      <c r="A7827" s="15">
        <f>IFERROR(__xludf.DUMMYFUNCTION("""COMPUTED_VALUE"""),45223.0)</f>
        <v>45223</v>
      </c>
      <c r="B7827" s="16" t="str">
        <f>IFERROR(__xludf.DUMMYFUNCTION("""COMPUTED_VALUE"""),"Envia")</f>
        <v>Envia</v>
      </c>
      <c r="C7827" s="15" t="str">
        <f>IFERROR(__xludf.DUMMYFUNCTION("""COMPUTED_VALUE"""),"MANIZALES")</f>
        <v>MANIZALES</v>
      </c>
      <c r="D7827" s="15" t="str">
        <f>IFERROR(__xludf.DUMMYFUNCTION("""COMPUTED_VALUE"""),"MEDELLÍN")</f>
        <v>MEDELLÍN</v>
      </c>
      <c r="E7827" s="15" t="str">
        <f>IFERROR(__xludf.DUMMYFUNCTION("""COMPUTED_VALUE"""),"Vivente")</f>
        <v>Vivente</v>
      </c>
      <c r="F7827" s="17" t="str">
        <f>IFERROR(__xludf.DUMMYFUNCTION("""COMPUTED_VALUE"""),"Entrada puerta de Alcalá conjunto atardeceres  / Casa1 / Mami sales caldas la Florida")</f>
        <v>Entrada puerta de Alcalá conjunto atardeceres  / Casa1 / Mami sales caldas la Florida</v>
      </c>
      <c r="G7827" s="15" t="str">
        <f>IFERROR(__xludf.DUMMYFUNCTION("""COMPUTED_VALUE"""),"Katerin  Valencia")</f>
        <v>Katerin  Valencia</v>
      </c>
      <c r="H7827" s="16">
        <f>IFERROR(__xludf.DUMMYFUNCTION("""COMPUTED_VALUE"""),16516.0)</f>
        <v>16516</v>
      </c>
      <c r="I7827" s="18">
        <f>IFERROR(__xludf.DUMMYFUNCTION("""COMPUTED_VALUE"""),27.0)</f>
        <v>27</v>
      </c>
      <c r="J7827" s="18">
        <f>IFERROR(__xludf.DUMMYFUNCTION("""COMPUTED_VALUE"""),25.0)</f>
        <v>25</v>
      </c>
      <c r="K7827" s="18">
        <f>IFERROR(__xludf.DUMMYFUNCTION("""COMPUTED_VALUE"""),25.0)</f>
        <v>25</v>
      </c>
      <c r="L7827" s="17">
        <f>IFERROR(__xludf.DUMMYFUNCTION("""COMPUTED_VALUE"""),3.108938049E9)</f>
        <v>3108938049</v>
      </c>
      <c r="M7827" s="17"/>
      <c r="N7827" s="17"/>
      <c r="O7827" s="17"/>
      <c r="P7827" s="17" t="b">
        <f>IFERROR(__xludf.DUMMYFUNCTION("""COMPUTED_VALUE"""),FALSE)</f>
        <v>0</v>
      </c>
      <c r="Q7827" s="20" t="str">
        <f>IFERROR(__xludf.DUMMYFUNCTION("""COMPUTED_VALUE"""),"")</f>
        <v/>
      </c>
      <c r="R7827" s="21" t="str">
        <f>IFERROR(__xludf.DUMMYFUNCTION("""COMPUTED_VALUE"""),"https://drive.google.com/file/d/1nUob1nWQAqkIZ9UPTlvC2ABG9GM6zWu4/view?usp=drivesdk")</f>
        <v>https://drive.google.com/file/d/1nUob1nWQAqkIZ9UPTlvC2ABG9GM6zWu4/view?usp=drivesdk</v>
      </c>
    </row>
    <row r="7828">
      <c r="A7828" s="15">
        <f>IFERROR(__xludf.DUMMYFUNCTION("""COMPUTED_VALUE"""),45223.0)</f>
        <v>45223</v>
      </c>
      <c r="B7828" s="16" t="str">
        <f>IFERROR(__xludf.DUMMYFUNCTION("""COMPUTED_VALUE"""),"Envia")</f>
        <v>Envia</v>
      </c>
      <c r="C7828" s="15" t="str">
        <f>IFERROR(__xludf.DUMMYFUNCTION("""COMPUTED_VALUE"""),"MEDELLÍN")</f>
        <v>MEDELLÍN</v>
      </c>
      <c r="D7828" s="15" t="str">
        <f>IFERROR(__xludf.DUMMYFUNCTION("""COMPUTED_VALUE"""),"BOGOTÁ")</f>
        <v>BOGOTÁ</v>
      </c>
      <c r="E7828" s="15" t="str">
        <f>IFERROR(__xludf.DUMMYFUNCTION("""COMPUTED_VALUE"""),"Asociacion Agropecuaria Juana Maria")</f>
        <v>Asociacion Agropecuaria Juana Maria</v>
      </c>
      <c r="F7828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7828" s="15" t="str">
        <f>IFERROR(__xludf.DUMMYFUNCTION("""COMPUTED_VALUE"""),"Jennifer Sanchez Blandon")</f>
        <v>Jennifer Sanchez Blandon</v>
      </c>
      <c r="H7828" s="16">
        <f>IFERROR(__xludf.DUMMYFUNCTION("""COMPUTED_VALUE"""),16495.0)</f>
        <v>16495</v>
      </c>
      <c r="I7828" s="17"/>
      <c r="J7828" s="17"/>
      <c r="K7828" s="17"/>
      <c r="L7828" s="17">
        <f>IFERROR(__xludf.DUMMYFUNCTION("""COMPUTED_VALUE"""),3.016937674E9)</f>
        <v>3016937674</v>
      </c>
      <c r="M7828" s="17"/>
      <c r="N7828" s="17"/>
      <c r="O7828" s="17"/>
      <c r="P7828" s="17" t="b">
        <f>IFERROR(__xludf.DUMMYFUNCTION("""COMPUTED_VALUE"""),FALSE)</f>
        <v>0</v>
      </c>
      <c r="Q7828" s="20" t="str">
        <f>IFERROR(__xludf.DUMMYFUNCTION("""COMPUTED_VALUE"""),"")</f>
        <v/>
      </c>
      <c r="R7828" s="22" t="str">
        <f>IFERROR(__xludf.DUMMYFUNCTION("""COMPUTED_VALUE"""),"")</f>
        <v/>
      </c>
    </row>
    <row r="7829">
      <c r="A7829" s="15">
        <f>IFERROR(__xludf.DUMMYFUNCTION("""COMPUTED_VALUE"""),45223.0)</f>
        <v>45223</v>
      </c>
      <c r="B7829" s="16" t="str">
        <f>IFERROR(__xludf.DUMMYFUNCTION("""COMPUTED_VALUE"""),"Envia")</f>
        <v>Envia</v>
      </c>
      <c r="C7829" s="15" t="str">
        <f>IFERROR(__xludf.DUMMYFUNCTION("""COMPUTED_VALUE"""),"MEDELLÍN")</f>
        <v>MEDELLÍN</v>
      </c>
      <c r="D7829" s="15" t="str">
        <f>IFERROR(__xludf.DUMMYFUNCTION("""COMPUTED_VALUE"""),"BOGOTÁ")</f>
        <v>BOGOTÁ</v>
      </c>
      <c r="E7829" s="15" t="str">
        <f>IFERROR(__xludf.DUMMYFUNCTION("""COMPUTED_VALUE"""),"Asociacion Agropecuaria Juana Maria")</f>
        <v>Asociacion Agropecuaria Juana Maria</v>
      </c>
      <c r="F7829" s="17" t="str">
        <f>IFERROR(__xludf.DUMMYFUNCTION("""COMPUTED_VALUE"""),"Cra 88 # 37A - 37 apto 305 / Medllin")</f>
        <v>Cra 88 # 37A - 37 apto 305 / Medllin</v>
      </c>
      <c r="G7829" s="15" t="str">
        <f>IFERROR(__xludf.DUMMYFUNCTION("""COMPUTED_VALUE"""),"Eliana Varela")</f>
        <v>Eliana Varela</v>
      </c>
      <c r="H7829" s="16">
        <f>IFERROR(__xludf.DUMMYFUNCTION("""COMPUTED_VALUE"""),16498.0)</f>
        <v>16498</v>
      </c>
      <c r="I7829" s="17"/>
      <c r="J7829" s="17"/>
      <c r="K7829" s="17"/>
      <c r="L7829" s="17">
        <f>IFERROR(__xludf.DUMMYFUNCTION("""COMPUTED_VALUE"""),3.006192264E9)</f>
        <v>3006192264</v>
      </c>
      <c r="M7829" s="17"/>
      <c r="N7829" s="17"/>
      <c r="O7829" s="17"/>
      <c r="P7829" s="17" t="b">
        <f>IFERROR(__xludf.DUMMYFUNCTION("""COMPUTED_VALUE"""),FALSE)</f>
        <v>0</v>
      </c>
      <c r="Q7829" s="20" t="str">
        <f>IFERROR(__xludf.DUMMYFUNCTION("""COMPUTED_VALUE"""),"")</f>
        <v/>
      </c>
      <c r="R7829" s="22" t="str">
        <f>IFERROR(__xludf.DUMMYFUNCTION("""COMPUTED_VALUE"""),"")</f>
        <v/>
      </c>
    </row>
    <row r="7830">
      <c r="A7830" s="15">
        <f>IFERROR(__xludf.DUMMYFUNCTION("""COMPUTED_VALUE"""),45223.0)</f>
        <v>45223</v>
      </c>
      <c r="B7830" s="16" t="str">
        <f>IFERROR(__xludf.DUMMYFUNCTION("""COMPUTED_VALUE"""),"Envia")</f>
        <v>Envia</v>
      </c>
      <c r="C7830" s="15" t="str">
        <f>IFERROR(__xludf.DUMMYFUNCTION("""COMPUTED_VALUE"""),"MEDELLÍN")</f>
        <v>MEDELLÍN</v>
      </c>
      <c r="D7830" s="15" t="str">
        <f>IFERROR(__xludf.DUMMYFUNCTION("""COMPUTED_VALUE"""),"BOGOTÁ")</f>
        <v>BOGOTÁ</v>
      </c>
      <c r="E7830" s="15" t="str">
        <f>IFERROR(__xludf.DUMMYFUNCTION("""COMPUTED_VALUE"""),"Frambascolombia sas")</f>
        <v>Frambascolombia sas</v>
      </c>
      <c r="F7830" s="17" t="str">
        <f>IFERROR(__xludf.DUMMYFUNCTION("""COMPUTED_VALUE"""),"Cl. 16 #55-129 / DeModa Poblado")</f>
        <v>Cl. 16 #55-129 / DeModa Poblado</v>
      </c>
      <c r="G7830" s="15" t="str">
        <f>IFERROR(__xludf.DUMMYFUNCTION("""COMPUTED_VALUE"""),"PikNPak Medellín")</f>
        <v>PikNPak Medellín</v>
      </c>
      <c r="H7830" s="16">
        <f>IFERROR(__xludf.DUMMYFUNCTION("""COMPUTED_VALUE"""),16517.0)</f>
        <v>16517</v>
      </c>
      <c r="I7830" s="17"/>
      <c r="J7830" s="17"/>
      <c r="K7830" s="17"/>
      <c r="L7830" s="17"/>
      <c r="M7830" s="17"/>
      <c r="N7830" s="17"/>
      <c r="O7830" s="17"/>
      <c r="P7830" s="17" t="b">
        <f>IFERROR(__xludf.DUMMYFUNCTION("""COMPUTED_VALUE"""),FALSE)</f>
        <v>0</v>
      </c>
      <c r="Q7830" s="20" t="str">
        <f>IFERROR(__xludf.DUMMYFUNCTION("""COMPUTED_VALUE"""),"")</f>
        <v/>
      </c>
      <c r="R7830" s="22" t="str">
        <f>IFERROR(__xludf.DUMMYFUNCTION("""COMPUTED_VALUE"""),"")</f>
        <v/>
      </c>
    </row>
    <row r="7831">
      <c r="A7831" s="15">
        <f>IFERROR(__xludf.DUMMYFUNCTION("""COMPUTED_VALUE"""),45223.0)</f>
        <v>45223</v>
      </c>
      <c r="B7831" s="16" t="str">
        <f>IFERROR(__xludf.DUMMYFUNCTION("""COMPUTED_VALUE"""),"Envia")</f>
        <v>Envia</v>
      </c>
      <c r="C7831" s="15" t="str">
        <f>IFERROR(__xludf.DUMMYFUNCTION("""COMPUTED_VALUE"""),"MEDELLÍN")</f>
        <v>MEDELLÍN</v>
      </c>
      <c r="D7831" s="15" t="str">
        <f>IFERROR(__xludf.DUMMYFUNCTION("""COMPUTED_VALUE"""),"BOGOTÁ")</f>
        <v>BOGOTÁ</v>
      </c>
      <c r="E7831" s="15" t="str">
        <f>IFERROR(__xludf.DUMMYFUNCTION("""COMPUTED_VALUE"""),"Loomifoods")</f>
        <v>Loomifoods</v>
      </c>
      <c r="F7831" s="17" t="str">
        <f>IFERROR(__xludf.DUMMYFUNCTION("""COMPUTED_VALUE"""),"Calle 27 a sur 45 74  / Envigado / medellin")</f>
        <v>Calle 27 a sur 45 74  / Envigado / medellin</v>
      </c>
      <c r="G7831" s="15" t="str">
        <f>IFERROR(__xludf.DUMMYFUNCTION("""COMPUTED_VALUE"""),"Manuela Pelaez")</f>
        <v>Manuela Pelaez</v>
      </c>
      <c r="H7831" s="16">
        <f>IFERROR(__xludf.DUMMYFUNCTION("""COMPUTED_VALUE"""),16544.0)</f>
        <v>16544</v>
      </c>
      <c r="I7831" s="18">
        <f>IFERROR(__xludf.DUMMYFUNCTION("""COMPUTED_VALUE"""),19.0)</f>
        <v>19</v>
      </c>
      <c r="J7831" s="18">
        <f>IFERROR(__xludf.DUMMYFUNCTION("""COMPUTED_VALUE"""),10.0)</f>
        <v>10</v>
      </c>
      <c r="K7831" s="18">
        <f>IFERROR(__xludf.DUMMYFUNCTION("""COMPUTED_VALUE"""),16.0)</f>
        <v>16</v>
      </c>
      <c r="L7831" s="17">
        <f>IFERROR(__xludf.DUMMYFUNCTION("""COMPUTED_VALUE"""),3.13671667E9)</f>
        <v>3136716670</v>
      </c>
      <c r="M7831" s="17"/>
      <c r="N7831" s="17"/>
      <c r="O7831" s="17"/>
      <c r="P7831" s="17" t="b">
        <f>IFERROR(__xludf.DUMMYFUNCTION("""COMPUTED_VALUE"""),FALSE)</f>
        <v>0</v>
      </c>
      <c r="Q7831" s="20" t="str">
        <f>IFERROR(__xludf.DUMMYFUNCTION("""COMPUTED_VALUE"""),"")</f>
        <v/>
      </c>
      <c r="R7831" s="22" t="str">
        <f>IFERROR(__xludf.DUMMYFUNCTION("""COMPUTED_VALUE"""),"")</f>
        <v/>
      </c>
    </row>
    <row r="7832">
      <c r="A7832" s="15">
        <f>IFERROR(__xludf.DUMMYFUNCTION("""COMPUTED_VALUE"""),45223.0)</f>
        <v>45223</v>
      </c>
      <c r="B7832" s="16" t="str">
        <f>IFERROR(__xludf.DUMMYFUNCTION("""COMPUTED_VALUE"""),"Envia")</f>
        <v>Envia</v>
      </c>
      <c r="C7832" s="15" t="str">
        <f>IFERROR(__xludf.DUMMYFUNCTION("""COMPUTED_VALUE"""),"MEDELLÍN")</f>
        <v>MEDELLÍN</v>
      </c>
      <c r="D7832" s="15" t="str">
        <f>IFERROR(__xludf.DUMMYFUNCTION("""COMPUTED_VALUE"""),"BOGOTÁ")</f>
        <v>BOGOTÁ</v>
      </c>
      <c r="E7832" s="15" t="str">
        <f>IFERROR(__xludf.DUMMYFUNCTION("""COMPUTED_VALUE"""),"Lunchy Kids")</f>
        <v>Lunchy Kids</v>
      </c>
      <c r="F7832" s="17" t="str">
        <f>IFERROR(__xludf.DUMMYFUNCTION("""COMPUTED_VALUE"""),"Carrera 33 # 27A- 91. / Apto 305. Edificio Citté / Loma del indio")</f>
        <v>Carrera 33 # 27A- 91. / Apto 305. Edificio Citté / Loma del indio</v>
      </c>
      <c r="G7832" s="15" t="str">
        <f>IFERROR(__xludf.DUMMYFUNCTION("""COMPUTED_VALUE"""),"Sarita Granada")</f>
        <v>Sarita Granada</v>
      </c>
      <c r="H7832" s="16">
        <f>IFERROR(__xludf.DUMMYFUNCTION("""COMPUTED_VALUE"""),16502.0)</f>
        <v>16502</v>
      </c>
      <c r="I7832" s="18">
        <f>IFERROR(__xludf.DUMMYFUNCTION("""COMPUTED_VALUE"""),21.0)</f>
        <v>21</v>
      </c>
      <c r="J7832" s="18">
        <f>IFERROR(__xludf.DUMMYFUNCTION("""COMPUTED_VALUE"""),28.0)</f>
        <v>28</v>
      </c>
      <c r="K7832" s="18">
        <f>IFERROR(__xludf.DUMMYFUNCTION("""COMPUTED_VALUE"""),8.0)</f>
        <v>8</v>
      </c>
      <c r="L7832" s="17">
        <f>IFERROR(__xludf.DUMMYFUNCTION("""COMPUTED_VALUE"""),3.216478342E9)</f>
        <v>3216478342</v>
      </c>
      <c r="M7832" s="17"/>
      <c r="N7832" s="17"/>
      <c r="O7832" s="17"/>
      <c r="P7832" s="17" t="b">
        <f>IFERROR(__xludf.DUMMYFUNCTION("""COMPUTED_VALUE"""),FALSE)</f>
        <v>0</v>
      </c>
      <c r="Q7832" s="20" t="str">
        <f>IFERROR(__xludf.DUMMYFUNCTION("""COMPUTED_VALUE"""),"")</f>
        <v/>
      </c>
      <c r="R7832" s="22" t="str">
        <f>IFERROR(__xludf.DUMMYFUNCTION("""COMPUTED_VALUE"""),"")</f>
        <v/>
      </c>
    </row>
    <row r="7833">
      <c r="A7833" s="15">
        <f>IFERROR(__xludf.DUMMYFUNCTION("""COMPUTED_VALUE"""),45223.0)</f>
        <v>45223</v>
      </c>
      <c r="B7833" s="16" t="str">
        <f>IFERROR(__xludf.DUMMYFUNCTION("""COMPUTED_VALUE"""),"Envia")</f>
        <v>Envia</v>
      </c>
      <c r="C7833" s="15" t="str">
        <f>IFERROR(__xludf.DUMMYFUNCTION("""COMPUTED_VALUE"""),"MEDELLÍN")</f>
        <v>MEDELLÍN</v>
      </c>
      <c r="D7833" s="15" t="str">
        <f>IFERROR(__xludf.DUMMYFUNCTION("""COMPUTED_VALUE"""),"BOGOTÁ")</f>
        <v>BOGOTÁ</v>
      </c>
      <c r="E7833" s="15" t="str">
        <f>IFERROR(__xludf.DUMMYFUNCTION("""COMPUTED_VALUE"""),"MAI ALIMENTOS REALES")</f>
        <v>MAI ALIMENTOS REALES</v>
      </c>
      <c r="F7833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7833" s="15" t="str">
        <f>IFERROR(__xludf.DUMMYFUNCTION("""COMPUTED_VALUE"""),"Novaventas")</f>
        <v>Novaventas</v>
      </c>
      <c r="H7833" s="16">
        <f>IFERROR(__xludf.DUMMYFUNCTION("""COMPUTED_VALUE"""),16476.0)</f>
        <v>16476</v>
      </c>
      <c r="I7833" s="17"/>
      <c r="J7833" s="17"/>
      <c r="K7833" s="17"/>
      <c r="L7833" s="17">
        <f>IFERROR(__xludf.DUMMYFUNCTION("""COMPUTED_VALUE"""),3.187351593E9)</f>
        <v>3187351593</v>
      </c>
      <c r="M7833" s="17"/>
      <c r="N7833" s="17"/>
      <c r="O7833" s="17"/>
      <c r="P7833" s="17" t="b">
        <f>IFERROR(__xludf.DUMMYFUNCTION("""COMPUTED_VALUE"""),FALSE)</f>
        <v>0</v>
      </c>
      <c r="Q7833" s="20" t="str">
        <f>IFERROR(__xludf.DUMMYFUNCTION("""COMPUTED_VALUE"""),"")</f>
        <v/>
      </c>
      <c r="R7833" s="21" t="str">
        <f>IFERROR(__xludf.DUMMYFUNCTION("""COMPUTED_VALUE"""),"https://drive.google.com/file/d/1Xh7_GGMzpU3F67ZpV7yz44QANJtAQBkH/view?usp=drivesdk")</f>
        <v>https://drive.google.com/file/d/1Xh7_GGMzpU3F67ZpV7yz44QANJtAQBkH/view?usp=drivesdk</v>
      </c>
    </row>
    <row r="7834">
      <c r="A7834" s="15">
        <f>IFERROR(__xludf.DUMMYFUNCTION("""COMPUTED_VALUE"""),45223.0)</f>
        <v>45223</v>
      </c>
      <c r="B7834" s="16" t="str">
        <f>IFERROR(__xludf.DUMMYFUNCTION("""COMPUTED_VALUE"""),"Envia")</f>
        <v>Envia</v>
      </c>
      <c r="C7834" s="15" t="str">
        <f>IFERROR(__xludf.DUMMYFUNCTION("""COMPUTED_VALUE"""),"MEDELLÍN")</f>
        <v>MEDELLÍN</v>
      </c>
      <c r="D7834" s="15" t="str">
        <f>IFERROR(__xludf.DUMMYFUNCTION("""COMPUTED_VALUE"""),"BOGOTÁ")</f>
        <v>BOGOTÁ</v>
      </c>
      <c r="E7834" s="15" t="str">
        <f>IFERROR(__xludf.DUMMYFUNCTION("""COMPUTED_VALUE"""),"Viiva Fermentados")</f>
        <v>Viiva Fermentados</v>
      </c>
      <c r="F7834" s="17" t="str">
        <f>IFERROR(__xludf.DUMMYFUNCTION("""COMPUTED_VALUE"""),"Transversal 39b#77-48 / int 302 / laureles")</f>
        <v>Transversal 39b#77-48 / int 302 / laureles</v>
      </c>
      <c r="G7834" s="15" t="str">
        <f>IFERROR(__xludf.DUMMYFUNCTION("""COMPUTED_VALUE"""),"VITA INTEGRAL SAS")</f>
        <v>VITA INTEGRAL SAS</v>
      </c>
      <c r="H7834" s="16">
        <f>IFERROR(__xludf.DUMMYFUNCTION("""COMPUTED_VALUE"""),16506.0)</f>
        <v>16506</v>
      </c>
      <c r="I7834" s="18">
        <f>IFERROR(__xludf.DUMMYFUNCTION("""COMPUTED_VALUE"""),21.0)</f>
        <v>21</v>
      </c>
      <c r="J7834" s="18">
        <f>IFERROR(__xludf.DUMMYFUNCTION("""COMPUTED_VALUE"""),36.0)</f>
        <v>36</v>
      </c>
      <c r="K7834" s="18">
        <f>IFERROR(__xludf.DUMMYFUNCTION("""COMPUTED_VALUE"""),24.0)</f>
        <v>24</v>
      </c>
      <c r="L7834" s="17">
        <f>IFERROR(__xludf.DUMMYFUNCTION("""COMPUTED_VALUE"""),3.188473468E9)</f>
        <v>3188473468</v>
      </c>
      <c r="M7834" s="17"/>
      <c r="N7834" s="17"/>
      <c r="O7834" s="17"/>
      <c r="P7834" s="17" t="b">
        <f>IFERROR(__xludf.DUMMYFUNCTION("""COMPUTED_VALUE"""),FALSE)</f>
        <v>0</v>
      </c>
      <c r="Q7834" s="20" t="str">
        <f>IFERROR(__xludf.DUMMYFUNCTION("""COMPUTED_VALUE"""),"")</f>
        <v/>
      </c>
      <c r="R7834" s="22" t="str">
        <f>IFERROR(__xludf.DUMMYFUNCTION("""COMPUTED_VALUE"""),"")</f>
        <v/>
      </c>
    </row>
    <row r="7835">
      <c r="A7835" s="17" t="str">
        <f>IFERROR(__xludf.DUMMYFUNCTION("""COMPUTED_VALUE"""),"")</f>
        <v/>
      </c>
      <c r="B7835" s="17" t="str">
        <f>IFERROR(__xludf.DUMMYFUNCTION("""COMPUTED_VALUE"""),"")</f>
        <v/>
      </c>
      <c r="C7835" s="17" t="str">
        <f>IFERROR(__xludf.DUMMYFUNCTION("""COMPUTED_VALUE"""),"")</f>
        <v/>
      </c>
      <c r="D7835" s="17" t="str">
        <f>IFERROR(__xludf.DUMMYFUNCTION("""COMPUTED_VALUE"""),"")</f>
        <v/>
      </c>
      <c r="E7835" s="17" t="str">
        <f>IFERROR(__xludf.DUMMYFUNCTION("""COMPUTED_VALUE"""),"")</f>
        <v/>
      </c>
      <c r="F7835" s="17" t="str">
        <f>IFERROR(__xludf.DUMMYFUNCTION("""COMPUTED_VALUE"""),"")</f>
        <v/>
      </c>
      <c r="G7835" s="17" t="str">
        <f>IFERROR(__xludf.DUMMYFUNCTION("""COMPUTED_VALUE"""),"")</f>
        <v/>
      </c>
      <c r="H7835" s="17" t="str">
        <f>IFERROR(__xludf.DUMMYFUNCTION("""COMPUTED_VALUE"""),"")</f>
        <v/>
      </c>
      <c r="I7835" s="17" t="str">
        <f>IFERROR(__xludf.DUMMYFUNCTION("""COMPUTED_VALUE"""),"")</f>
        <v/>
      </c>
      <c r="J7835" s="17" t="str">
        <f>IFERROR(__xludf.DUMMYFUNCTION("""COMPUTED_VALUE"""),"")</f>
        <v/>
      </c>
      <c r="K7835" s="17" t="str">
        <f>IFERROR(__xludf.DUMMYFUNCTION("""COMPUTED_VALUE"""),"")</f>
        <v/>
      </c>
      <c r="L7835" s="17" t="str">
        <f>IFERROR(__xludf.DUMMYFUNCTION("""COMPUTED_VALUE"""),"")</f>
        <v/>
      </c>
      <c r="M7835" s="17" t="str">
        <f>IFERROR(__xludf.DUMMYFUNCTION("""COMPUTED_VALUE"""),"")</f>
        <v/>
      </c>
      <c r="N7835" s="17" t="str">
        <f>IFERROR(__xludf.DUMMYFUNCTION("""COMPUTED_VALUE"""),"")</f>
        <v/>
      </c>
      <c r="O7835" s="17" t="str">
        <f>IFERROR(__xludf.DUMMYFUNCTION("""COMPUTED_VALUE"""),"")</f>
        <v/>
      </c>
      <c r="P7835" s="17" t="str">
        <f>IFERROR(__xludf.DUMMYFUNCTION("""COMPUTED_VALUE"""),"")</f>
        <v/>
      </c>
      <c r="Q7835" s="17" t="str">
        <f>IFERROR(__xludf.DUMMYFUNCTION("""COMPUTED_VALUE"""),"")</f>
        <v/>
      </c>
      <c r="R7835" s="17" t="str">
        <f>IFERROR(__xludf.DUMMYFUNCTION("""COMPUTED_VALUE"""),"")</f>
        <v/>
      </c>
    </row>
    <row r="7836">
      <c r="A7836" s="15">
        <f>IFERROR(__xludf.DUMMYFUNCTION("""COMPUTED_VALUE"""),45223.0)</f>
        <v>45223</v>
      </c>
      <c r="B7836" s="16" t="str">
        <f>IFERROR(__xludf.DUMMYFUNCTION("""COMPUTED_VALUE"""),"Jhon Anderson Ceballos Hernandez")</f>
        <v>Jhon Anderson Ceballos Hernandez</v>
      </c>
      <c r="C7836" s="15" t="str">
        <f>IFERROR(__xludf.DUMMYFUNCTION("""COMPUTED_VALUE"""),"MANIZALES")</f>
        <v>MANIZALES</v>
      </c>
      <c r="D7836" s="15" t="str">
        <f>IFERROR(__xludf.DUMMYFUNCTION("""COMPUTED_VALUE"""),"BOGOTÁ")</f>
        <v>BOGOTÁ</v>
      </c>
      <c r="E7836" s="15" t="str">
        <f>IFERROR(__xludf.DUMMYFUNCTION("""COMPUTED_VALUE"""),"LINA PAOLA RAMIREZ GOMEZ - EVA MAZZITA")</f>
        <v>LINA PAOLA RAMIREZ GOMEZ - EVA MAZZITA</v>
      </c>
      <c r="F7836" s="17" t="str">
        <f>IFERROR(__xludf.DUMMYFUNCTION("""COMPUTED_VALUE"""),"Calle 12 #7b-71 / Apto 503/ edificio Arcoiris")</f>
        <v>Calle 12 #7b-71 / Apto 503/ edificio Arcoiris</v>
      </c>
      <c r="G7836" s="15" t="str">
        <f>IFERROR(__xludf.DUMMYFUNCTION("""COMPUTED_VALUE"""),"DIANA LONDOÑO")</f>
        <v>DIANA LONDOÑO</v>
      </c>
      <c r="H7836" s="16">
        <f>IFERROR(__xludf.DUMMYFUNCTION("""COMPUTED_VALUE"""),16553.0)</f>
        <v>16553</v>
      </c>
      <c r="I7836" s="17"/>
      <c r="J7836" s="17"/>
      <c r="K7836" s="17"/>
      <c r="L7836" s="17">
        <f>IFERROR(__xludf.DUMMYFUNCTION("""COMPUTED_VALUE"""),3.208553721E9)</f>
        <v>3208553721</v>
      </c>
      <c r="M7836" s="17"/>
      <c r="N7836" s="17"/>
      <c r="O7836" s="17"/>
      <c r="P7836" s="17" t="b">
        <f>IFERROR(__xludf.DUMMYFUNCTION("""COMPUTED_VALUE"""),TRUE)</f>
        <v>1</v>
      </c>
      <c r="Q7836" s="20">
        <f>IFERROR(__xludf.DUMMYFUNCTION("""COMPUTED_VALUE"""),45223.71718288194)</f>
        <v>45223.71718</v>
      </c>
      <c r="R7836" s="21" t="str">
        <f>IFERROR(__xludf.DUMMYFUNCTION("""COMPUTED_VALUE"""),"https://drive.google.com/file/d/1hxgFMeMbGcVRTTFuh_vmmnEcW6Q1Uxnh/view?usp=drivesdk")</f>
        <v>https://drive.google.com/file/d/1hxgFMeMbGcVRTTFuh_vmmnEcW6Q1Uxnh/view?usp=drivesdk</v>
      </c>
    </row>
    <row r="7837">
      <c r="A7837" s="15">
        <f>IFERROR(__xludf.DUMMYFUNCTION("""COMPUTED_VALUE"""),45223.0)</f>
        <v>45223</v>
      </c>
      <c r="B7837" s="16" t="str">
        <f>IFERROR(__xludf.DUMMYFUNCTION("""COMPUTED_VALUE"""),"Jhon Anderson Ceballos Hernandez")</f>
        <v>Jhon Anderson Ceballos Hernandez</v>
      </c>
      <c r="C7837" s="15" t="str">
        <f>IFERROR(__xludf.DUMMYFUNCTION("""COMPUTED_VALUE"""),"SABANETA")</f>
        <v>SABANETA</v>
      </c>
      <c r="D7837" s="15" t="str">
        <f>IFERROR(__xludf.DUMMYFUNCTION("""COMPUTED_VALUE"""),"BOGOTÁ")</f>
        <v>BOGOTÁ</v>
      </c>
      <c r="E7837" s="15" t="str">
        <f>IFERROR(__xludf.DUMMYFUNCTION("""COMPUTED_VALUE"""),"LINA PAOLA RAMIREZ GOMEZ - EVA MAZZITA")</f>
        <v>LINA PAOLA RAMIREZ GOMEZ - EVA MAZZITA</v>
      </c>
      <c r="F7837" s="17" t="str">
        <f>IFERROR(__xludf.DUMMYFUNCTION("""COMPUTED_VALUE"""),"carrera 46c #80sur-155 / Apto 2705 San José")</f>
        <v>carrera 46c #80sur-155 / Apto 2705 San José</v>
      </c>
      <c r="G7837" s="15" t="str">
        <f>IFERROR(__xludf.DUMMYFUNCTION("""COMPUTED_VALUE"""),"LAURA RUIZ RODRIGUEZ")</f>
        <v>LAURA RUIZ RODRIGUEZ</v>
      </c>
      <c r="H7837" s="16">
        <f>IFERROR(__xludf.DUMMYFUNCTION("""COMPUTED_VALUE"""),16561.0)</f>
        <v>16561</v>
      </c>
      <c r="I7837" s="17"/>
      <c r="J7837" s="17"/>
      <c r="K7837" s="17"/>
      <c r="L7837" s="17">
        <f>IFERROR(__xludf.DUMMYFUNCTION("""COMPUTED_VALUE"""),3.14795531E9)</f>
        <v>3147955310</v>
      </c>
      <c r="M7837" s="17"/>
      <c r="N7837" s="17"/>
      <c r="O7837" s="17"/>
      <c r="P7837" s="17" t="b">
        <f>IFERROR(__xludf.DUMMYFUNCTION("""COMPUTED_VALUE"""),TRUE)</f>
        <v>1</v>
      </c>
      <c r="Q7837" s="20">
        <f>IFERROR(__xludf.DUMMYFUNCTION("""COMPUTED_VALUE"""),45223.59341050926)</f>
        <v>45223.59341</v>
      </c>
      <c r="R7837" s="22" t="str">
        <f>IFERROR(__xludf.DUMMYFUNCTION("""COMPUTED_VALUE"""),"")</f>
        <v/>
      </c>
    </row>
    <row r="7838">
      <c r="A7838" s="15">
        <f>IFERROR(__xludf.DUMMYFUNCTION("""COMPUTED_VALUE"""),45223.0)</f>
        <v>45223</v>
      </c>
      <c r="B7838" s="16" t="str">
        <f>IFERROR(__xludf.DUMMYFUNCTION("""COMPUTED_VALUE"""),"Jhon Anderson Ceballos Hernandez")</f>
        <v>Jhon Anderson Ceballos Hernandez</v>
      </c>
      <c r="C7838" s="15" t="str">
        <f>IFERROR(__xludf.DUMMYFUNCTION("""COMPUTED_VALUE"""),"TUNJA")</f>
        <v>TUNJA</v>
      </c>
      <c r="D7838" s="15" t="str">
        <f>IFERROR(__xludf.DUMMYFUNCTION("""COMPUTED_VALUE"""),"BOGOTÁ")</f>
        <v>BOGOTÁ</v>
      </c>
      <c r="E7838" s="15" t="str">
        <f>IFERROR(__xludf.DUMMYFUNCTION("""COMPUTED_VALUE"""),"LINA PAOLA RAMIREZ GOMEZ - EVA MAZZITA")</f>
        <v>LINA PAOLA RAMIREZ GOMEZ - EVA MAZZITA</v>
      </c>
      <c r="F7838" s="17" t="str">
        <f>IFERROR(__xludf.DUMMYFUNCTION("""COMPUTED_VALUE"""),"Calle 9 #13-63 / Casa")</f>
        <v>Calle 9 #13-63 / Casa</v>
      </c>
      <c r="G7838" s="15" t="str">
        <f>IFERROR(__xludf.DUMMYFUNCTION("""COMPUTED_VALUE"""),"AIDA JASMIN MOLINA PITA")</f>
        <v>AIDA JASMIN MOLINA PITA</v>
      </c>
      <c r="H7838" s="16">
        <f>IFERROR(__xludf.DUMMYFUNCTION("""COMPUTED_VALUE"""),16548.0)</f>
        <v>16548</v>
      </c>
      <c r="I7838" s="17"/>
      <c r="J7838" s="17"/>
      <c r="K7838" s="17"/>
      <c r="L7838" s="17">
        <f>IFERROR(__xludf.DUMMYFUNCTION("""COMPUTED_VALUE"""),3.108582786E9)</f>
        <v>3108582786</v>
      </c>
      <c r="M7838" s="17"/>
      <c r="N7838" s="17"/>
      <c r="O7838" s="17"/>
      <c r="P7838" s="17" t="b">
        <f>IFERROR(__xludf.DUMMYFUNCTION("""COMPUTED_VALUE"""),TRUE)</f>
        <v>1</v>
      </c>
      <c r="Q7838" s="20">
        <f>IFERROR(__xludf.DUMMYFUNCTION("""COMPUTED_VALUE"""),45223.54419712963)</f>
        <v>45223.5442</v>
      </c>
      <c r="R7838" s="21" t="str">
        <f>IFERROR(__xludf.DUMMYFUNCTION("""COMPUTED_VALUE"""),"https://drive.google.com/file/d/1HbewA0oZvYINvYUxSAo2QWe_toS8hddn/view?usp=drivesdk")</f>
        <v>https://drive.google.com/file/d/1HbewA0oZvYINvYUxSAo2QWe_toS8hddn/view?usp=drivesdk</v>
      </c>
    </row>
    <row r="7839">
      <c r="A7839" s="17" t="str">
        <f>IFERROR(__xludf.DUMMYFUNCTION("""COMPUTED_VALUE"""),"")</f>
        <v/>
      </c>
      <c r="B7839" s="17" t="str">
        <f>IFERROR(__xludf.DUMMYFUNCTION("""COMPUTED_VALUE"""),"")</f>
        <v/>
      </c>
      <c r="C7839" s="17" t="str">
        <f>IFERROR(__xludf.DUMMYFUNCTION("""COMPUTED_VALUE"""),"")</f>
        <v/>
      </c>
      <c r="D7839" s="17" t="str">
        <f>IFERROR(__xludf.DUMMYFUNCTION("""COMPUTED_VALUE"""),"")</f>
        <v/>
      </c>
      <c r="E7839" s="17" t="str">
        <f>IFERROR(__xludf.DUMMYFUNCTION("""COMPUTED_VALUE"""),"")</f>
        <v/>
      </c>
      <c r="F7839" s="17" t="str">
        <f>IFERROR(__xludf.DUMMYFUNCTION("""COMPUTED_VALUE"""),"")</f>
        <v/>
      </c>
      <c r="G7839" s="17" t="str">
        <f>IFERROR(__xludf.DUMMYFUNCTION("""COMPUTED_VALUE"""),"")</f>
        <v/>
      </c>
      <c r="H7839" s="17" t="str">
        <f>IFERROR(__xludf.DUMMYFUNCTION("""COMPUTED_VALUE"""),"")</f>
        <v/>
      </c>
      <c r="I7839" s="17" t="str">
        <f>IFERROR(__xludf.DUMMYFUNCTION("""COMPUTED_VALUE"""),"")</f>
        <v/>
      </c>
      <c r="J7839" s="17" t="str">
        <f>IFERROR(__xludf.DUMMYFUNCTION("""COMPUTED_VALUE"""),"")</f>
        <v/>
      </c>
      <c r="K7839" s="17" t="str">
        <f>IFERROR(__xludf.DUMMYFUNCTION("""COMPUTED_VALUE"""),"")</f>
        <v/>
      </c>
      <c r="L7839" s="17" t="str">
        <f>IFERROR(__xludf.DUMMYFUNCTION("""COMPUTED_VALUE"""),"")</f>
        <v/>
      </c>
      <c r="M7839" s="17" t="str">
        <f>IFERROR(__xludf.DUMMYFUNCTION("""COMPUTED_VALUE"""),"")</f>
        <v/>
      </c>
      <c r="N7839" s="17" t="str">
        <f>IFERROR(__xludf.DUMMYFUNCTION("""COMPUTED_VALUE"""),"")</f>
        <v/>
      </c>
      <c r="O7839" s="17" t="str">
        <f>IFERROR(__xludf.DUMMYFUNCTION("""COMPUTED_VALUE"""),"")</f>
        <v/>
      </c>
      <c r="P7839" s="17" t="str">
        <f>IFERROR(__xludf.DUMMYFUNCTION("""COMPUTED_VALUE"""),"")</f>
        <v/>
      </c>
      <c r="Q7839" s="17" t="str">
        <f>IFERROR(__xludf.DUMMYFUNCTION("""COMPUTED_VALUE"""),"")</f>
        <v/>
      </c>
      <c r="R7839" s="17" t="str">
        <f>IFERROR(__xludf.DUMMYFUNCTION("""COMPUTED_VALUE"""),"")</f>
        <v/>
      </c>
    </row>
    <row r="7840">
      <c r="A7840" s="15">
        <f>IFERROR(__xludf.DUMMYFUNCTION("""COMPUTED_VALUE"""),45223.0)</f>
        <v>45223</v>
      </c>
      <c r="B7840" s="16" t="str">
        <f>IFERROR(__xludf.DUMMYFUNCTION("""COMPUTED_VALUE"""),"Johan Alexander Escobar Arroyo ")</f>
        <v>Johan Alexander Escobar Arroyo </v>
      </c>
      <c r="C7840" s="15" t="str">
        <f>IFERROR(__xludf.DUMMYFUNCTION("""COMPUTED_VALUE"""),"CALI")</f>
        <v>CALI</v>
      </c>
      <c r="D7840" s="15" t="str">
        <f>IFERROR(__xludf.DUMMYFUNCTION("""COMPUTED_VALUE"""),"BOGOTÁ")</f>
        <v>BOGOTÁ</v>
      </c>
      <c r="E7840" s="15" t="str">
        <f>IFERROR(__xludf.DUMMYFUNCTION("""COMPUTED_VALUE"""),"Frubits")</f>
        <v>Frubits</v>
      </c>
      <c r="F7840" s="17" t="str">
        <f>IFERROR(__xludf.DUMMYFUNCTION("""COMPUTED_VALUE"""),"AVENIDA 6 OESTE Nº 5 OESTE – 93 / : AVENIDA 6 OESTE Nº 5 OESTE – 93 EDIFICIO SAINT PATRICK APTO 501 / : AVENIDA 6 OESTE Nº 5 OESTE – 93 EDIFICIO SAINT PATRICK APTO 501")</f>
        <v>AVENIDA 6 OESTE Nº 5 OESTE – 93 / : AVENIDA 6 OESTE Nº 5 OESTE – 93 EDIFICIO SAINT PATRICK APTO 501 / : AVENIDA 6 OESTE Nº 5 OESTE – 93 EDIFICIO SAINT PATRICK APTO 501</v>
      </c>
      <c r="G7840" s="15" t="str">
        <f>IFERROR(__xludf.DUMMYFUNCTION("""COMPUTED_VALUE"""),"SEBASTIAN MONTOYA DAVID")</f>
        <v>SEBASTIAN MONTOYA DAVID</v>
      </c>
      <c r="H7840" s="16">
        <f>IFERROR(__xludf.DUMMYFUNCTION("""COMPUTED_VALUE"""),16578.0)</f>
        <v>16578</v>
      </c>
      <c r="I7840" s="18">
        <f>IFERROR(__xludf.DUMMYFUNCTION("""COMPUTED_VALUE"""),1.0)</f>
        <v>1</v>
      </c>
      <c r="J7840" s="18">
        <f>IFERROR(__xludf.DUMMYFUNCTION("""COMPUTED_VALUE"""),1.0)</f>
        <v>1</v>
      </c>
      <c r="K7840" s="18">
        <f>IFERROR(__xludf.DUMMYFUNCTION("""COMPUTED_VALUE"""),1.0)</f>
        <v>1</v>
      </c>
      <c r="L7840" s="17">
        <f>IFERROR(__xludf.DUMMYFUNCTION("""COMPUTED_VALUE"""),3.162430548E9)</f>
        <v>3162430548</v>
      </c>
      <c r="M7840" s="17"/>
      <c r="N7840" s="17"/>
      <c r="O7840" s="17"/>
      <c r="P7840" s="17" t="b">
        <f>IFERROR(__xludf.DUMMYFUNCTION("""COMPUTED_VALUE"""),TRUE)</f>
        <v>1</v>
      </c>
      <c r="Q7840" s="20">
        <f>IFERROR(__xludf.DUMMYFUNCTION("""COMPUTED_VALUE"""),45224.641922986106)</f>
        <v>45224.64192</v>
      </c>
      <c r="R7840" s="21" t="str">
        <f>IFERROR(__xludf.DUMMYFUNCTION("""COMPUTED_VALUE"""),"https://drive.google.com/file/d/1hbJuooiitzmCqXDXIdAuD36qWj3BdC0M/view?usp=drivesdk")</f>
        <v>https://drive.google.com/file/d/1hbJuooiitzmCqXDXIdAuD36qWj3BdC0M/view?usp=drivesdk</v>
      </c>
    </row>
    <row r="7841">
      <c r="A7841" s="15">
        <f>IFERROR(__xludf.DUMMYFUNCTION("""COMPUTED_VALUE"""),45223.0)</f>
        <v>45223</v>
      </c>
      <c r="B7841" s="16" t="str">
        <f>IFERROR(__xludf.DUMMYFUNCTION("""COMPUTED_VALUE"""),"Johan Alexander Escobar Arroyo ")</f>
        <v>Johan Alexander Escobar Arroyo </v>
      </c>
      <c r="C7841" s="15" t="str">
        <f>IFERROR(__xludf.DUMMYFUNCTION("""COMPUTED_VALUE"""),"CALI")</f>
        <v>CALI</v>
      </c>
      <c r="D7841" s="15" t="str">
        <f>IFERROR(__xludf.DUMMYFUNCTION("""COMPUTED_VALUE"""),"BOGOTÁ")</f>
        <v>BOGOTÁ</v>
      </c>
      <c r="E7841" s="15" t="str">
        <f>IFERROR(__xludf.DUMMYFUNCTION("""COMPUTED_VALUE"""),"Instinto alimento vital")</f>
        <v>Instinto alimento vital</v>
      </c>
      <c r="F7841" s="17" t="str">
        <f>IFERROR(__xludf.DUMMYFUNCTION("""COMPUTED_VALUE"""),"CALLE 34 N # 2B N 33 / MERCANCIA REQUIERE REFRIGERACION")</f>
        <v>CALLE 34 N # 2B N 33 / MERCANCIA REQUIERE REFRIGERACION</v>
      </c>
      <c r="G7841" s="15" t="str">
        <f>IFERROR(__xludf.DUMMYFUNCTION("""COMPUTED_VALUE"""),"BODEGA VELOCITY CALI")</f>
        <v>BODEGA VELOCITY CALI</v>
      </c>
      <c r="H7841" s="16">
        <f>IFERROR(__xludf.DUMMYFUNCTION("""COMPUTED_VALUE"""),16560.0)</f>
        <v>16560</v>
      </c>
      <c r="I7841" s="17"/>
      <c r="J7841" s="17"/>
      <c r="K7841" s="17"/>
      <c r="L7841" s="17">
        <f>IFERROR(__xludf.DUMMYFUNCTION("""COMPUTED_VALUE"""),3.15586906E9)</f>
        <v>3155869060</v>
      </c>
      <c r="M7841" s="17"/>
      <c r="N7841" s="17"/>
      <c r="O7841" s="17"/>
      <c r="P7841" s="17" t="b">
        <f>IFERROR(__xludf.DUMMYFUNCTION("""COMPUTED_VALUE"""),TRUE)</f>
        <v>1</v>
      </c>
      <c r="Q7841" s="20">
        <f>IFERROR(__xludf.DUMMYFUNCTION("""COMPUTED_VALUE"""),45224.70369443287)</f>
        <v>45224.70369</v>
      </c>
      <c r="R7841" s="21" t="str">
        <f>IFERROR(__xludf.DUMMYFUNCTION("""COMPUTED_VALUE"""),"https://drive.google.com/file/d/1GkdSjiBiK__9rRDC1t--PEcfcjIlT4yI/view?usp=drivesdk")</f>
        <v>https://drive.google.com/file/d/1GkdSjiBiK__9rRDC1t--PEcfcjIlT4yI/view?usp=drivesdk</v>
      </c>
    </row>
    <row r="7842">
      <c r="A7842" s="15">
        <f>IFERROR(__xludf.DUMMYFUNCTION("""COMPUTED_VALUE"""),45223.0)</f>
        <v>45223</v>
      </c>
      <c r="B7842" s="16" t="str">
        <f>IFERROR(__xludf.DUMMYFUNCTION("""COMPUTED_VALUE"""),"Johan Alexander Escobar Arroyo ")</f>
        <v>Johan Alexander Escobar Arroyo </v>
      </c>
      <c r="C7842" s="15" t="str">
        <f>IFERROR(__xludf.DUMMYFUNCTION("""COMPUTED_VALUE"""),"CALI")</f>
        <v>CALI</v>
      </c>
      <c r="D7842" s="15" t="str">
        <f>IFERROR(__xludf.DUMMYFUNCTION("""COMPUTED_VALUE"""),"BOGOTÁ")</f>
        <v>BOGOTÁ</v>
      </c>
      <c r="E7842" s="15" t="str">
        <f>IFERROR(__xludf.DUMMYFUNCTION("""COMPUTED_VALUE"""),"LINA PAOLA RAMIREZ GOMEZ - EVA MAZZITA")</f>
        <v>LINA PAOLA RAMIREZ GOMEZ - EVA MAZZITA</v>
      </c>
      <c r="F7842" s="17" t="str">
        <f>IFERROR(__xludf.DUMMYFUNCTION("""COMPUTED_VALUE"""),"Avenida 6C #41n-17 / La campiña")</f>
        <v>Avenida 6C #41n-17 / La campiña</v>
      </c>
      <c r="G7842" s="15" t="str">
        <f>IFERROR(__xludf.DUMMYFUNCTION("""COMPUTED_VALUE"""),"PAOLA ANDREA AGUIRRE GOMEZ")</f>
        <v>PAOLA ANDREA AGUIRRE GOMEZ</v>
      </c>
      <c r="H7842" s="16">
        <f>IFERROR(__xludf.DUMMYFUNCTION("""COMPUTED_VALUE"""),16567.0)</f>
        <v>16567</v>
      </c>
      <c r="I7842" s="17"/>
      <c r="J7842" s="17"/>
      <c r="K7842" s="17"/>
      <c r="L7842" s="17">
        <f>IFERROR(__xludf.DUMMYFUNCTION("""COMPUTED_VALUE"""),3.154343079E9)</f>
        <v>3154343079</v>
      </c>
      <c r="M7842" s="17"/>
      <c r="N7842" s="17"/>
      <c r="O7842" s="17"/>
      <c r="P7842" s="17" t="b">
        <f>IFERROR(__xludf.DUMMYFUNCTION("""COMPUTED_VALUE"""),TRUE)</f>
        <v>1</v>
      </c>
      <c r="Q7842" s="20">
        <f>IFERROR(__xludf.DUMMYFUNCTION("""COMPUTED_VALUE"""),45223.52072864583)</f>
        <v>45223.52073</v>
      </c>
      <c r="R7842" s="21" t="str">
        <f>IFERROR(__xludf.DUMMYFUNCTION("""COMPUTED_VALUE"""),"https://drive.google.com/file/d/1ATsQdpLJhyOF2X155v8PBNSuQHoQ995m/view?usp=drivesdk")</f>
        <v>https://drive.google.com/file/d/1ATsQdpLJhyOF2X155v8PBNSuQHoQ995m/view?usp=drivesdk</v>
      </c>
    </row>
    <row r="7843">
      <c r="A7843" s="15">
        <f>IFERROR(__xludf.DUMMYFUNCTION("""COMPUTED_VALUE"""),45223.0)</f>
        <v>45223</v>
      </c>
      <c r="B7843" s="16" t="str">
        <f>IFERROR(__xludf.DUMMYFUNCTION("""COMPUTED_VALUE"""),"Johan Alexander Escobar Arroyo ")</f>
        <v>Johan Alexander Escobar Arroyo </v>
      </c>
      <c r="C7843" s="15" t="str">
        <f>IFERROR(__xludf.DUMMYFUNCTION("""COMPUTED_VALUE"""),"CALI")</f>
        <v>CALI</v>
      </c>
      <c r="D7843" s="15" t="str">
        <f>IFERROR(__xludf.DUMMYFUNCTION("""COMPUTED_VALUE"""),"BOGOTÁ")</f>
        <v>BOGOTÁ</v>
      </c>
      <c r="E7843" s="15" t="str">
        <f>IFERROR(__xludf.DUMMYFUNCTION("""COMPUTED_VALUE"""),"LINA PAOLA RAMIREZ GOMEZ - EVA MAZZITA")</f>
        <v>LINA PAOLA RAMIREZ GOMEZ - EVA MAZZITA</v>
      </c>
      <c r="F7843" s="17" t="str">
        <f>IFERROR(__xludf.DUMMYFUNCTION("""COMPUTED_VALUE"""),"Calle 13b # 37-86 / apto 101 bloque 2")</f>
        <v>Calle 13b # 37-86 / apto 101 bloque 2</v>
      </c>
      <c r="G7843" s="15" t="str">
        <f>IFERROR(__xludf.DUMMYFUNCTION("""COMPUTED_VALUE"""),"YENI ARISTIZABAL")</f>
        <v>YENI ARISTIZABAL</v>
      </c>
      <c r="H7843" s="16">
        <f>IFERROR(__xludf.DUMMYFUNCTION("""COMPUTED_VALUE"""),16568.0)</f>
        <v>16568</v>
      </c>
      <c r="I7843" s="17"/>
      <c r="J7843" s="17"/>
      <c r="K7843" s="17"/>
      <c r="L7843" s="17">
        <f>IFERROR(__xludf.DUMMYFUNCTION("""COMPUTED_VALUE"""),3.113816929E9)</f>
        <v>3113816929</v>
      </c>
      <c r="M7843" s="17"/>
      <c r="N7843" s="17"/>
      <c r="O7843" s="17"/>
      <c r="P7843" s="17" t="b">
        <f>IFERROR(__xludf.DUMMYFUNCTION("""COMPUTED_VALUE"""),TRUE)</f>
        <v>1</v>
      </c>
      <c r="Q7843" s="20">
        <f>IFERROR(__xludf.DUMMYFUNCTION("""COMPUTED_VALUE"""),45223.521729375)</f>
        <v>45223.52173</v>
      </c>
      <c r="R7843" s="21" t="str">
        <f>IFERROR(__xludf.DUMMYFUNCTION("""COMPUTED_VALUE"""),"https://drive.google.com/file/d/1LTzm8imyVhikPEKOxWmT3UNMukHCj1Hf/view?usp=drivesdk")</f>
        <v>https://drive.google.com/file/d/1LTzm8imyVhikPEKOxWmT3UNMukHCj1Hf/view?usp=drivesdk</v>
      </c>
    </row>
    <row r="7844">
      <c r="A7844" s="15">
        <f>IFERROR(__xludf.DUMMYFUNCTION("""COMPUTED_VALUE"""),45223.0)</f>
        <v>45223</v>
      </c>
      <c r="B7844" s="16" t="str">
        <f>IFERROR(__xludf.DUMMYFUNCTION("""COMPUTED_VALUE"""),"Johan Alexander Escobar Arroyo ")</f>
        <v>Johan Alexander Escobar Arroyo </v>
      </c>
      <c r="C7844" s="15" t="str">
        <f>IFERROR(__xludf.DUMMYFUNCTION("""COMPUTED_VALUE"""),"CALI")</f>
        <v>CALI</v>
      </c>
      <c r="D7844" s="15" t="str">
        <f>IFERROR(__xludf.DUMMYFUNCTION("""COMPUTED_VALUE"""),"BOGOTÁ")</f>
        <v>BOGOTÁ</v>
      </c>
      <c r="E7844" s="15" t="str">
        <f>IFERROR(__xludf.DUMMYFUNCTION("""COMPUTED_VALUE"""),"LINA PAOLA RAMIREZ GOMEZ - EVA MAZZITA")</f>
        <v>LINA PAOLA RAMIREZ GOMEZ - EVA MAZZITA</v>
      </c>
      <c r="F7844" s="17" t="str">
        <f>IFERROR(__xludf.DUMMYFUNCTION("""COMPUTED_VALUE"""),"Calle 9c #40a 57 / Apto 201")</f>
        <v>Calle 9c #40a 57 / Apto 201</v>
      </c>
      <c r="G7844" s="15" t="str">
        <f>IFERROR(__xludf.DUMMYFUNCTION("""COMPUTED_VALUE"""),"GABRIELA URBANO")</f>
        <v>GABRIELA URBANO</v>
      </c>
      <c r="H7844" s="16">
        <f>IFERROR(__xludf.DUMMYFUNCTION("""COMPUTED_VALUE"""),16566.0)</f>
        <v>16566</v>
      </c>
      <c r="I7844" s="17"/>
      <c r="J7844" s="17"/>
      <c r="K7844" s="17"/>
      <c r="L7844" s="17">
        <f>IFERROR(__xludf.DUMMYFUNCTION("""COMPUTED_VALUE"""),3.165364257E9)</f>
        <v>3165364257</v>
      </c>
      <c r="M7844" s="17"/>
      <c r="N7844" s="17"/>
      <c r="O7844" s="17"/>
      <c r="P7844" s="17" t="b">
        <f>IFERROR(__xludf.DUMMYFUNCTION("""COMPUTED_VALUE"""),TRUE)</f>
        <v>1</v>
      </c>
      <c r="Q7844" s="20">
        <f>IFERROR(__xludf.DUMMYFUNCTION("""COMPUTED_VALUE"""),45223.6780766088)</f>
        <v>45223.67808</v>
      </c>
      <c r="R7844" s="21" t="str">
        <f>IFERROR(__xludf.DUMMYFUNCTION("""COMPUTED_VALUE"""),"https://drive.google.com/file/d/1HrZ9RHIQMwakbiiacfYQNOI9jW9cTF4U/view?usp=drivesdk")</f>
        <v>https://drive.google.com/file/d/1HrZ9RHIQMwakbiiacfYQNOI9jW9cTF4U/view?usp=drivesdk</v>
      </c>
    </row>
    <row r="7845">
      <c r="A7845" s="15">
        <f>IFERROR(__xludf.DUMMYFUNCTION("""COMPUTED_VALUE"""),45223.0)</f>
        <v>45223</v>
      </c>
      <c r="B7845" s="16" t="str">
        <f>IFERROR(__xludf.DUMMYFUNCTION("""COMPUTED_VALUE"""),"Johan Alexander Escobar Arroyo ")</f>
        <v>Johan Alexander Escobar Arroyo </v>
      </c>
      <c r="C7845" s="15" t="str">
        <f>IFERROR(__xludf.DUMMYFUNCTION("""COMPUTED_VALUE"""),"CALI")</f>
        <v>CALI</v>
      </c>
      <c r="D7845" s="15" t="str">
        <f>IFERROR(__xludf.DUMMYFUNCTION("""COMPUTED_VALUE"""),"BOGOTÁ")</f>
        <v>BOGOTÁ</v>
      </c>
      <c r="E7845" s="15" t="str">
        <f>IFERROR(__xludf.DUMMYFUNCTION("""COMPUTED_VALUE"""),"LINA PAOLA RAMIREZ GOMEZ - EVA MAZZITA")</f>
        <v>LINA PAOLA RAMIREZ GOMEZ - EVA MAZZITA</v>
      </c>
      <c r="F7845" s="17" t="str">
        <f>IFERROR(__xludf.DUMMYFUNCTION("""COMPUTED_VALUE"""),"Carrera 1D #61a-46 / Carrera 1D #61a-46")</f>
        <v>Carrera 1D #61a-46 / Carrera 1D #61a-46</v>
      </c>
      <c r="G7845" s="15" t="str">
        <f>IFERROR(__xludf.DUMMYFUNCTION("""COMPUTED_VALUE"""),"LORENA ORTEGA")</f>
        <v>LORENA ORTEGA</v>
      </c>
      <c r="H7845" s="16">
        <f>IFERROR(__xludf.DUMMYFUNCTION("""COMPUTED_VALUE"""),16569.0)</f>
        <v>16569</v>
      </c>
      <c r="I7845" s="17"/>
      <c r="J7845" s="17"/>
      <c r="K7845" s="17"/>
      <c r="L7845" s="17">
        <f>IFERROR(__xludf.DUMMYFUNCTION("""COMPUTED_VALUE"""),3.20475686E9)</f>
        <v>3204756860</v>
      </c>
      <c r="M7845" s="17"/>
      <c r="N7845" s="17"/>
      <c r="O7845" s="17"/>
      <c r="P7845" s="17" t="b">
        <f>IFERROR(__xludf.DUMMYFUNCTION("""COMPUTED_VALUE"""),TRUE)</f>
        <v>1</v>
      </c>
      <c r="Q7845" s="20">
        <f>IFERROR(__xludf.DUMMYFUNCTION("""COMPUTED_VALUE"""),45223.522751446755)</f>
        <v>45223.52275</v>
      </c>
      <c r="R7845" s="21" t="str">
        <f>IFERROR(__xludf.DUMMYFUNCTION("""COMPUTED_VALUE"""),"https://drive.google.com/file/d/1iU4SnBKgEla7RQQZnQBKmS419AmRXLD8/view?usp=drivesdk")</f>
        <v>https://drive.google.com/file/d/1iU4SnBKgEla7RQQZnQBKmS419AmRXLD8/view?usp=drivesdk</v>
      </c>
    </row>
    <row r="7846">
      <c r="A7846" s="15">
        <f>IFERROR(__xludf.DUMMYFUNCTION("""COMPUTED_VALUE"""),45223.0)</f>
        <v>45223</v>
      </c>
      <c r="B7846" s="16" t="str">
        <f>IFERROR(__xludf.DUMMYFUNCTION("""COMPUTED_VALUE"""),"Johan Alexander Escobar Arroyo ")</f>
        <v>Johan Alexander Escobar Arroyo </v>
      </c>
      <c r="C7846" s="15" t="str">
        <f>IFERROR(__xludf.DUMMYFUNCTION("""COMPUTED_VALUE"""),"CALI")</f>
        <v>CALI</v>
      </c>
      <c r="D7846" s="15" t="str">
        <f>IFERROR(__xludf.DUMMYFUNCTION("""COMPUTED_VALUE"""),"BOGOTÁ")</f>
        <v>BOGOTÁ</v>
      </c>
      <c r="E7846" s="15" t="str">
        <f>IFERROR(__xludf.DUMMYFUNCTION("""COMPUTED_VALUE"""),"LINA PAOLA RAMIREZ GOMEZ - EVA MAZZITA")</f>
        <v>LINA PAOLA RAMIREZ GOMEZ - EVA MAZZITA</v>
      </c>
      <c r="F7846" s="17" t="str">
        <f>IFERROR(__xludf.DUMMYFUNCTION("""COMPUTED_VALUE"""),"CRA 46C No. 55A - 15 / BARRIO CIUDAD CORDOBA")</f>
        <v>CRA 46C No. 55A - 15 / BARRIO CIUDAD CORDOBA</v>
      </c>
      <c r="G7846" s="15" t="str">
        <f>IFERROR(__xludf.DUMMYFUNCTION("""COMPUTED_VALUE"""),"CLAUDIA CANTERO")</f>
        <v>CLAUDIA CANTERO</v>
      </c>
      <c r="H7846" s="16">
        <f>IFERROR(__xludf.DUMMYFUNCTION("""COMPUTED_VALUE"""),16564.0)</f>
        <v>16564</v>
      </c>
      <c r="I7846" s="17"/>
      <c r="J7846" s="17"/>
      <c r="K7846" s="17"/>
      <c r="L7846" s="17">
        <f>IFERROR(__xludf.DUMMYFUNCTION("""COMPUTED_VALUE"""),3.176248548E9)</f>
        <v>3176248548</v>
      </c>
      <c r="M7846" s="17"/>
      <c r="N7846" s="17"/>
      <c r="O7846" s="17"/>
      <c r="P7846" s="17" t="b">
        <f>IFERROR(__xludf.DUMMYFUNCTION("""COMPUTED_VALUE"""),TRUE)</f>
        <v>1</v>
      </c>
      <c r="Q7846" s="20">
        <f>IFERROR(__xludf.DUMMYFUNCTION("""COMPUTED_VALUE"""),45223.592219872684)</f>
        <v>45223.59222</v>
      </c>
      <c r="R7846" s="21" t="str">
        <f>IFERROR(__xludf.DUMMYFUNCTION("""COMPUTED_VALUE"""),"https://drive.google.com/file/d/1L12puj3M2zh8ES1_t-fKv7QvoKSYWS5e/view?usp=drivesdk")</f>
        <v>https://drive.google.com/file/d/1L12puj3M2zh8ES1_t-fKv7QvoKSYWS5e/view?usp=drivesdk</v>
      </c>
    </row>
    <row r="7847">
      <c r="A7847" s="15">
        <f>IFERROR(__xludf.DUMMYFUNCTION("""COMPUTED_VALUE"""),45223.0)</f>
        <v>45223</v>
      </c>
      <c r="B7847" s="16" t="str">
        <f>IFERROR(__xludf.DUMMYFUNCTION("""COMPUTED_VALUE"""),"Johan Alexander Escobar Arroyo ")</f>
        <v>Johan Alexander Escobar Arroyo </v>
      </c>
      <c r="C7847" s="15" t="str">
        <f>IFERROR(__xludf.DUMMYFUNCTION("""COMPUTED_VALUE"""),"CALI")</f>
        <v>CALI</v>
      </c>
      <c r="D7847" s="15" t="str">
        <f>IFERROR(__xludf.DUMMYFUNCTION("""COMPUTED_VALUE"""),"BOGOTÁ")</f>
        <v>BOGOTÁ</v>
      </c>
      <c r="E7847" s="15" t="str">
        <f>IFERROR(__xludf.DUMMYFUNCTION("""COMPUTED_VALUE"""),"Loomifoods")</f>
        <v>Loomifoods</v>
      </c>
      <c r="F7847" s="17" t="str">
        <f>IFERROR(__xludf.DUMMYFUNCTION("""COMPUTED_VALUE"""),"Calle 56 5n 08 / Flora industrial / Empresa produccion grafica editores")</f>
        <v>Calle 56 5n 08 / Flora industrial / Empresa produccion grafica editores</v>
      </c>
      <c r="G7847" s="15" t="str">
        <f>IFERROR(__xludf.DUMMYFUNCTION("""COMPUTED_VALUE"""),"Mónica Gonzalez")</f>
        <v>Mónica Gonzalez</v>
      </c>
      <c r="H7847" s="16">
        <f>IFERROR(__xludf.DUMMYFUNCTION("""COMPUTED_VALUE"""),16543.0)</f>
        <v>16543</v>
      </c>
      <c r="I7847" s="18">
        <f>IFERROR(__xludf.DUMMYFUNCTION("""COMPUTED_VALUE"""),19.0)</f>
        <v>19</v>
      </c>
      <c r="J7847" s="18">
        <f>IFERROR(__xludf.DUMMYFUNCTION("""COMPUTED_VALUE"""),10.0)</f>
        <v>10</v>
      </c>
      <c r="K7847" s="18">
        <f>IFERROR(__xludf.DUMMYFUNCTION("""COMPUTED_VALUE"""),16.0)</f>
        <v>16</v>
      </c>
      <c r="L7847" s="17">
        <f>IFERROR(__xludf.DUMMYFUNCTION("""COMPUTED_VALUE"""),3.128937305E9)</f>
        <v>3128937305</v>
      </c>
      <c r="M7847" s="17"/>
      <c r="N7847" s="17"/>
      <c r="O7847" s="17"/>
      <c r="P7847" s="17" t="b">
        <f>IFERROR(__xludf.DUMMYFUNCTION("""COMPUTED_VALUE"""),TRUE)</f>
        <v>1</v>
      </c>
      <c r="Q7847" s="20">
        <f>IFERROR(__xludf.DUMMYFUNCTION("""COMPUTED_VALUE"""),45223.70525179398)</f>
        <v>45223.70525</v>
      </c>
      <c r="R7847" s="21" t="str">
        <f>IFERROR(__xludf.DUMMYFUNCTION("""COMPUTED_VALUE"""),"https://drive.google.com/file/d/1MmumA0tT0bi7UscbmF2qw9GpaOh9_t-l/view?usp=drivesdk")</f>
        <v>https://drive.google.com/file/d/1MmumA0tT0bi7UscbmF2qw9GpaOh9_t-l/view?usp=drivesdk</v>
      </c>
    </row>
    <row r="7848">
      <c r="A7848" s="15">
        <f>IFERROR(__xludf.DUMMYFUNCTION("""COMPUTED_VALUE"""),45223.0)</f>
        <v>45223</v>
      </c>
      <c r="B7848" s="16" t="str">
        <f>IFERROR(__xludf.DUMMYFUNCTION("""COMPUTED_VALUE"""),"Johan Alexander Escobar Arroyo ")</f>
        <v>Johan Alexander Escobar Arroyo </v>
      </c>
      <c r="C7848" s="15" t="str">
        <f>IFERROR(__xludf.DUMMYFUNCTION("""COMPUTED_VALUE"""),"CALI")</f>
        <v>CALI</v>
      </c>
      <c r="D7848" s="15" t="str">
        <f>IFERROR(__xludf.DUMMYFUNCTION("""COMPUTED_VALUE"""),"BOGOTÁ")</f>
        <v>BOGOTÁ</v>
      </c>
      <c r="E7848" s="15" t="str">
        <f>IFERROR(__xludf.DUMMYFUNCTION("""COMPUTED_VALUE"""),"Top Spun")</f>
        <v>Top Spun</v>
      </c>
      <c r="F7848" s="17" t="str">
        <f>IFERROR(__xludf.DUMMYFUNCTION("""COMPUTED_VALUE"""),"Azucenas del Castillo casa 86 vía Cali-Jamundí  / Vía Cali - Jamundí / Cali")</f>
        <v>Azucenas del Castillo casa 86 vía Cali-Jamundí  / Vía Cali - Jamundí / Cali</v>
      </c>
      <c r="G7848" s="15" t="str">
        <f>IFERROR(__xludf.DUMMYFUNCTION("""COMPUTED_VALUE"""),"Angelica Salazar")</f>
        <v>Angelica Salazar</v>
      </c>
      <c r="H7848" s="16">
        <f>IFERROR(__xludf.DUMMYFUNCTION("""COMPUTED_VALUE"""),16482.0)</f>
        <v>16482</v>
      </c>
      <c r="I7848" s="18">
        <f>IFERROR(__xludf.DUMMYFUNCTION("""COMPUTED_VALUE"""),20.0)</f>
        <v>20</v>
      </c>
      <c r="J7848" s="18">
        <f>IFERROR(__xludf.DUMMYFUNCTION("""COMPUTED_VALUE"""),10.0)</f>
        <v>10</v>
      </c>
      <c r="K7848" s="18">
        <f>IFERROR(__xludf.DUMMYFUNCTION("""COMPUTED_VALUE"""),40.0)</f>
        <v>40</v>
      </c>
      <c r="L7848" s="17">
        <f>IFERROR(__xludf.DUMMYFUNCTION("""COMPUTED_VALUE"""),3.117325374E9)</f>
        <v>3117325374</v>
      </c>
      <c r="M7848" s="17"/>
      <c r="N7848" s="17"/>
      <c r="O7848" s="17"/>
      <c r="P7848" s="17" t="b">
        <f>IFERROR(__xludf.DUMMYFUNCTION("""COMPUTED_VALUE"""),TRUE)</f>
        <v>1</v>
      </c>
      <c r="Q7848" s="20">
        <f>IFERROR(__xludf.DUMMYFUNCTION("""COMPUTED_VALUE"""),45223.5225294213)</f>
        <v>45223.52253</v>
      </c>
      <c r="R7848" s="21" t="str">
        <f>IFERROR(__xludf.DUMMYFUNCTION("""COMPUTED_VALUE"""),"https://drive.google.com/file/d/1z4TsWw0NROAEbY_5-lq5AEqeode5wwI4/view?usp=drivesdk")</f>
        <v>https://drive.google.com/file/d/1z4TsWw0NROAEbY_5-lq5AEqeode5wwI4/view?usp=drivesdk</v>
      </c>
    </row>
    <row r="7849">
      <c r="A7849" s="15">
        <f>IFERROR(__xludf.DUMMYFUNCTION("""COMPUTED_VALUE"""),45223.0)</f>
        <v>45223</v>
      </c>
      <c r="B7849" s="16" t="str">
        <f>IFERROR(__xludf.DUMMYFUNCTION("""COMPUTED_VALUE"""),"Johan Alexander Escobar Arroyo ")</f>
        <v>Johan Alexander Escobar Arroyo </v>
      </c>
      <c r="C7849" s="15" t="str">
        <f>IFERROR(__xludf.DUMMYFUNCTION("""COMPUTED_VALUE"""),"CALI")</f>
        <v>CALI</v>
      </c>
      <c r="D7849" s="15" t="str">
        <f>IFERROR(__xludf.DUMMYFUNCTION("""COMPUTED_VALUE"""),"BOGOTÁ")</f>
        <v>BOGOTÁ</v>
      </c>
      <c r="E7849" s="15" t="str">
        <f>IFERROR(__xludf.DUMMYFUNCTION("""COMPUTED_VALUE"""),"Top Spun")</f>
        <v>Top Spun</v>
      </c>
      <c r="F7849" s="17" t="str">
        <f>IFERROR(__xludf.DUMMYFUNCTION("""COMPUTED_VALUE"""),"Carrera 59#1-44 / Edificio Guadalupe, apto 402  / Barrio seminario")</f>
        <v>Carrera 59#1-44 / Edificio Guadalupe, apto 402  / Barrio seminario</v>
      </c>
      <c r="G7849" s="15" t="str">
        <f>IFERROR(__xludf.DUMMYFUNCTION("""COMPUTED_VALUE"""),"Daniela Baraya Londoño")</f>
        <v>Daniela Baraya Londoño</v>
      </c>
      <c r="H7849" s="16">
        <f>IFERROR(__xludf.DUMMYFUNCTION("""COMPUTED_VALUE"""),16481.0)</f>
        <v>16481</v>
      </c>
      <c r="I7849" s="18">
        <f>IFERROR(__xludf.DUMMYFUNCTION("""COMPUTED_VALUE"""),20.0)</f>
        <v>20</v>
      </c>
      <c r="J7849" s="18">
        <f>IFERROR(__xludf.DUMMYFUNCTION("""COMPUTED_VALUE"""),10.0)</f>
        <v>10</v>
      </c>
      <c r="K7849" s="18">
        <f>IFERROR(__xludf.DUMMYFUNCTION("""COMPUTED_VALUE"""),40.0)</f>
        <v>40</v>
      </c>
      <c r="L7849" s="17">
        <f>IFERROR(__xludf.DUMMYFUNCTION("""COMPUTED_VALUE"""),3.218536044E9)</f>
        <v>3218536044</v>
      </c>
      <c r="M7849" s="17"/>
      <c r="N7849" s="17"/>
      <c r="O7849" s="17"/>
      <c r="P7849" s="17" t="b">
        <f>IFERROR(__xludf.DUMMYFUNCTION("""COMPUTED_VALUE"""),TRUE)</f>
        <v>1</v>
      </c>
      <c r="Q7849" s="20">
        <f>IFERROR(__xludf.DUMMYFUNCTION("""COMPUTED_VALUE"""),45223.67797372685)</f>
        <v>45223.67797</v>
      </c>
      <c r="R7849" s="21" t="str">
        <f>IFERROR(__xludf.DUMMYFUNCTION("""COMPUTED_VALUE"""),"https://drive.google.com/file/d/1nti3rZf11HACvtRtYZIm661dZqfRimTl/view?usp=drivesdk")</f>
        <v>https://drive.google.com/file/d/1nti3rZf11HACvtRtYZIm661dZqfRimTl/view?usp=drivesdk</v>
      </c>
    </row>
    <row r="7850">
      <c r="A7850" s="17" t="str">
        <f>IFERROR(__xludf.DUMMYFUNCTION("""COMPUTED_VALUE"""),"")</f>
        <v/>
      </c>
      <c r="B7850" s="17" t="str">
        <f>IFERROR(__xludf.DUMMYFUNCTION("""COMPUTED_VALUE"""),"")</f>
        <v/>
      </c>
      <c r="C7850" s="17" t="str">
        <f>IFERROR(__xludf.DUMMYFUNCTION("""COMPUTED_VALUE"""),"")</f>
        <v/>
      </c>
      <c r="D7850" s="17" t="str">
        <f>IFERROR(__xludf.DUMMYFUNCTION("""COMPUTED_VALUE"""),"")</f>
        <v/>
      </c>
      <c r="E7850" s="17" t="str">
        <f>IFERROR(__xludf.DUMMYFUNCTION("""COMPUTED_VALUE"""),"")</f>
        <v/>
      </c>
      <c r="F7850" s="17" t="str">
        <f>IFERROR(__xludf.DUMMYFUNCTION("""COMPUTED_VALUE"""),"")</f>
        <v/>
      </c>
      <c r="G7850" s="17" t="str">
        <f>IFERROR(__xludf.DUMMYFUNCTION("""COMPUTED_VALUE"""),"")</f>
        <v/>
      </c>
      <c r="H7850" s="17" t="str">
        <f>IFERROR(__xludf.DUMMYFUNCTION("""COMPUTED_VALUE"""),"")</f>
        <v/>
      </c>
      <c r="I7850" s="17" t="str">
        <f>IFERROR(__xludf.DUMMYFUNCTION("""COMPUTED_VALUE"""),"")</f>
        <v/>
      </c>
      <c r="J7850" s="17" t="str">
        <f>IFERROR(__xludf.DUMMYFUNCTION("""COMPUTED_VALUE"""),"")</f>
        <v/>
      </c>
      <c r="K7850" s="17" t="str">
        <f>IFERROR(__xludf.DUMMYFUNCTION("""COMPUTED_VALUE"""),"")</f>
        <v/>
      </c>
      <c r="L7850" s="17" t="str">
        <f>IFERROR(__xludf.DUMMYFUNCTION("""COMPUTED_VALUE"""),"")</f>
        <v/>
      </c>
      <c r="M7850" s="17" t="str">
        <f>IFERROR(__xludf.DUMMYFUNCTION("""COMPUTED_VALUE"""),"")</f>
        <v/>
      </c>
      <c r="N7850" s="17" t="str">
        <f>IFERROR(__xludf.DUMMYFUNCTION("""COMPUTED_VALUE"""),"")</f>
        <v/>
      </c>
      <c r="O7850" s="17" t="str">
        <f>IFERROR(__xludf.DUMMYFUNCTION("""COMPUTED_VALUE"""),"")</f>
        <v/>
      </c>
      <c r="P7850" s="17" t="str">
        <f>IFERROR(__xludf.DUMMYFUNCTION("""COMPUTED_VALUE"""),"")</f>
        <v/>
      </c>
      <c r="Q7850" s="17" t="str">
        <f>IFERROR(__xludf.DUMMYFUNCTION("""COMPUTED_VALUE"""),"")</f>
        <v/>
      </c>
      <c r="R7850" s="17" t="str">
        <f>IFERROR(__xludf.DUMMYFUNCTION("""COMPUTED_VALUE"""),"")</f>
        <v/>
      </c>
    </row>
    <row r="7851">
      <c r="A7851" s="15">
        <f>IFERROR(__xludf.DUMMYFUNCTION("""COMPUTED_VALUE"""),45223.0)</f>
        <v>45223</v>
      </c>
      <c r="B7851" s="16" t="str">
        <f>IFERROR(__xludf.DUMMYFUNCTION("""COMPUTED_VALUE"""),"Johanna Arango Barrera")</f>
        <v>Johanna Arango Barrera</v>
      </c>
      <c r="C7851" s="15" t="str">
        <f>IFERROR(__xludf.DUMMYFUNCTION("""COMPUTED_VALUE"""),"BUCARAMANGA")</f>
        <v>BUCARAMANGA</v>
      </c>
      <c r="D7851" s="15" t="str">
        <f>IFERROR(__xludf.DUMMYFUNCTION("""COMPUTED_VALUE"""),"BOGOTÁ")</f>
        <v>BOGOTÁ</v>
      </c>
      <c r="E7851" s="15" t="str">
        <f>IFERROR(__xludf.DUMMYFUNCTION("""COMPUTED_VALUE"""),"Instinto alimento vital")</f>
        <v>Instinto alimento vital</v>
      </c>
      <c r="F7851" s="17" t="str">
        <f>IFERROR(__xludf.DUMMYFUNCTION("""COMPUTED_VALUE"""),"CL 31 30 08 / AP 501")</f>
        <v>CL 31 30 08 / AP 501</v>
      </c>
      <c r="G7851" s="15" t="str">
        <f>IFERROR(__xludf.DUMMYFUNCTION("""COMPUTED_VALUE"""),"LARRY ALBERTO LOPEZ MACANA")</f>
        <v>LARRY ALBERTO LOPEZ MACANA</v>
      </c>
      <c r="H7851" s="16">
        <f>IFERROR(__xludf.DUMMYFUNCTION("""COMPUTED_VALUE"""),16570.0)</f>
        <v>16570</v>
      </c>
      <c r="I7851" s="17"/>
      <c r="J7851" s="17"/>
      <c r="K7851" s="17"/>
      <c r="L7851" s="17">
        <f>IFERROR(__xludf.DUMMYFUNCTION("""COMPUTED_VALUE"""),3.185709801E9)</f>
        <v>3185709801</v>
      </c>
      <c r="M7851" s="17"/>
      <c r="N7851" s="17"/>
      <c r="O7851" s="17"/>
      <c r="P7851" s="17" t="b">
        <f>IFERROR(__xludf.DUMMYFUNCTION("""COMPUTED_VALUE"""),TRUE)</f>
        <v>1</v>
      </c>
      <c r="Q7851" s="20">
        <f>IFERROR(__xludf.DUMMYFUNCTION("""COMPUTED_VALUE"""),45223.71387349537)</f>
        <v>45223.71387</v>
      </c>
      <c r="R7851" s="21" t="str">
        <f>IFERROR(__xludf.DUMMYFUNCTION("""COMPUTED_VALUE"""),"https://drive.google.com/file/d/1Qqhl_bRoQgvFlnX8i3siNX05aeidejoz/view?usp=drivesdk")</f>
        <v>https://drive.google.com/file/d/1Qqhl_bRoQgvFlnX8i3siNX05aeidejoz/view?usp=drivesdk</v>
      </c>
    </row>
    <row r="7852">
      <c r="A7852" s="15">
        <f>IFERROR(__xludf.DUMMYFUNCTION("""COMPUTED_VALUE"""),45223.0)</f>
        <v>45223</v>
      </c>
      <c r="B7852" s="16" t="str">
        <f>IFERROR(__xludf.DUMMYFUNCTION("""COMPUTED_VALUE"""),"Johanna Arango Barrera")</f>
        <v>Johanna Arango Barrera</v>
      </c>
      <c r="C7852" s="15" t="str">
        <f>IFERROR(__xludf.DUMMYFUNCTION("""COMPUTED_VALUE"""),"BUCARAMANGA")</f>
        <v>BUCARAMANGA</v>
      </c>
      <c r="D7852" s="15" t="str">
        <f>IFERROR(__xludf.DUMMYFUNCTION("""COMPUTED_VALUE"""),"BOGOTÁ")</f>
        <v>BOGOTÁ</v>
      </c>
      <c r="E7852" s="15" t="str">
        <f>IFERROR(__xludf.DUMMYFUNCTION("""COMPUTED_VALUE"""),"Lunchy Kids")</f>
        <v>Lunchy Kids</v>
      </c>
      <c r="F7852" s="17" t="str">
        <f>IFERROR(__xludf.DUMMYFUNCTION("""COMPUTED_VALUE"""),"Cra 41 # 40-131  / edificio Aqua apto 3002  / Bucaramanga")</f>
        <v>Cra 41 # 40-131  / edificio Aqua apto 3002  / Bucaramanga</v>
      </c>
      <c r="G7852" s="15" t="str">
        <f>IFERROR(__xludf.DUMMYFUNCTION("""COMPUTED_VALUE"""),"Natalia Martínez")</f>
        <v>Natalia Martínez</v>
      </c>
      <c r="H7852" s="16">
        <f>IFERROR(__xludf.DUMMYFUNCTION("""COMPUTED_VALUE"""),16503.0)</f>
        <v>16503</v>
      </c>
      <c r="I7852" s="18">
        <f>IFERROR(__xludf.DUMMYFUNCTION("""COMPUTED_VALUE"""),15.0)</f>
        <v>15</v>
      </c>
      <c r="J7852" s="18">
        <f>IFERROR(__xludf.DUMMYFUNCTION("""COMPUTED_VALUE"""),28.0)</f>
        <v>28</v>
      </c>
      <c r="K7852" s="18">
        <f>IFERROR(__xludf.DUMMYFUNCTION("""COMPUTED_VALUE"""),6.0)</f>
        <v>6</v>
      </c>
      <c r="L7852" s="17">
        <f>IFERROR(__xludf.DUMMYFUNCTION("""COMPUTED_VALUE"""),3.185159428E9)</f>
        <v>3185159428</v>
      </c>
      <c r="M7852" s="17"/>
      <c r="N7852" s="17"/>
      <c r="O7852" s="17"/>
      <c r="P7852" s="17" t="b">
        <f>IFERROR(__xludf.DUMMYFUNCTION("""COMPUTED_VALUE"""),TRUE)</f>
        <v>1</v>
      </c>
      <c r="Q7852" s="20">
        <f>IFERROR(__xludf.DUMMYFUNCTION("""COMPUTED_VALUE"""),45224.64192299769)</f>
        <v>45224.64192</v>
      </c>
      <c r="R7852" s="21" t="str">
        <f>IFERROR(__xludf.DUMMYFUNCTION("""COMPUTED_VALUE"""),"https://drive.google.com/file/d/1UL3-jaP2erS7R_pRO5L8MGqJppEgdJF4/view?usp=drivesdk")</f>
        <v>https://drive.google.com/file/d/1UL3-jaP2erS7R_pRO5L8MGqJppEgdJF4/view?usp=drivesdk</v>
      </c>
    </row>
    <row r="7853">
      <c r="A7853" s="15">
        <f>IFERROR(__xludf.DUMMYFUNCTION("""COMPUTED_VALUE"""),45223.0)</f>
        <v>45223</v>
      </c>
      <c r="B7853" s="16" t="str">
        <f>IFERROR(__xludf.DUMMYFUNCTION("""COMPUTED_VALUE"""),"Johanna Arango Barrera")</f>
        <v>Johanna Arango Barrera</v>
      </c>
      <c r="C7853" s="15" t="str">
        <f>IFERROR(__xludf.DUMMYFUNCTION("""COMPUTED_VALUE"""),"BUCARAMANGA")</f>
        <v>BUCARAMANGA</v>
      </c>
      <c r="D7853" s="15" t="str">
        <f>IFERROR(__xludf.DUMMYFUNCTION("""COMPUTED_VALUE"""),"BOGOTÁ")</f>
        <v>BOGOTÁ</v>
      </c>
      <c r="E7853" s="15" t="str">
        <f>IFERROR(__xludf.DUMMYFUNCTION("""COMPUTED_VALUE"""),"Pan de Yuca")</f>
        <v>Pan de Yuca</v>
      </c>
      <c r="F7853" s="17" t="str">
        <f>IFERROR(__xludf.DUMMYFUNCTION("""COMPUTED_VALUE"""),"Carrera 27A #42 - 51  / Apto 601  Britania - Sotomayor / Sotomayor")</f>
        <v>Carrera 27A #42 - 51  / Apto 601  Britania - Sotomayor / Sotomayor</v>
      </c>
      <c r="G7853" s="15" t="str">
        <f>IFERROR(__xludf.DUMMYFUNCTION("""COMPUTED_VALUE"""),"Carmen Ines Santamaria")</f>
        <v>Carmen Ines Santamaria</v>
      </c>
      <c r="H7853" s="16">
        <f>IFERROR(__xludf.DUMMYFUNCTION("""COMPUTED_VALUE"""),16523.0)</f>
        <v>16523</v>
      </c>
      <c r="I7853" s="18">
        <f>IFERROR(__xludf.DUMMYFUNCTION("""COMPUTED_VALUE"""),7.0)</f>
        <v>7</v>
      </c>
      <c r="J7853" s="18">
        <f>IFERROR(__xludf.DUMMYFUNCTION("""COMPUTED_VALUE"""),45072.0)</f>
        <v>45072</v>
      </c>
      <c r="K7853" s="18">
        <f>IFERROR(__xludf.DUMMYFUNCTION("""COMPUTED_VALUE"""),24.0)</f>
        <v>24</v>
      </c>
      <c r="L7853" s="17">
        <f>IFERROR(__xludf.DUMMYFUNCTION("""COMPUTED_VALUE"""),3.176607489E9)</f>
        <v>3176607489</v>
      </c>
      <c r="M7853" s="17"/>
      <c r="N7853" s="17"/>
      <c r="O7853" s="17"/>
      <c r="P7853" s="17" t="b">
        <f>IFERROR(__xludf.DUMMYFUNCTION("""COMPUTED_VALUE"""),TRUE)</f>
        <v>1</v>
      </c>
      <c r="Q7853" s="20">
        <f>IFERROR(__xludf.DUMMYFUNCTION("""COMPUTED_VALUE"""),45223.65582486111)</f>
        <v>45223.65582</v>
      </c>
      <c r="R7853" s="21" t="str">
        <f>IFERROR(__xludf.DUMMYFUNCTION("""COMPUTED_VALUE"""),"https://drive.google.com/file/d/1ey6_2h6LwKhAFoz7KPka5XMoToJMdzM4/view?usp=drivesdk")</f>
        <v>https://drive.google.com/file/d/1ey6_2h6LwKhAFoz7KPka5XMoToJMdzM4/view?usp=drivesdk</v>
      </c>
    </row>
    <row r="7854">
      <c r="A7854" s="15">
        <f>IFERROR(__xludf.DUMMYFUNCTION("""COMPUTED_VALUE"""),45223.0)</f>
        <v>45223</v>
      </c>
      <c r="B7854" s="16" t="str">
        <f>IFERROR(__xludf.DUMMYFUNCTION("""COMPUTED_VALUE"""),"Johanna Arango Barrera")</f>
        <v>Johanna Arango Barrera</v>
      </c>
      <c r="C7854" s="15" t="str">
        <f>IFERROR(__xludf.DUMMYFUNCTION("""COMPUTED_VALUE"""),"BUCARAMANGA")</f>
        <v>BUCARAMANGA</v>
      </c>
      <c r="D7854" s="15" t="str">
        <f>IFERROR(__xludf.DUMMYFUNCTION("""COMPUTED_VALUE"""),"MEDELLÍN")</f>
        <v>MEDELLÍN</v>
      </c>
      <c r="E7854" s="15" t="str">
        <f>IFERROR(__xludf.DUMMYFUNCTION("""COMPUTED_VALUE"""),"Puro Verde")</f>
        <v>Puro Verde</v>
      </c>
      <c r="F7854" s="17" t="str">
        <f>IFERROR(__xludf.DUMMYFUNCTION("""COMPUTED_VALUE"""),"CALLE 51 #23-95. / APTO 405. EDIFICIO BONARDI / BARRIO NUEVO SOTOMAYOR")</f>
        <v>CALLE 51 #23-95. / APTO 405. EDIFICIO BONARDI / BARRIO NUEVO SOTOMAYOR</v>
      </c>
      <c r="G7854" s="15" t="str">
        <f>IFERROR(__xludf.DUMMYFUNCTION("""COMPUTED_VALUE"""),"SANDRA MILENA RESTREPO")</f>
        <v>SANDRA MILENA RESTREPO</v>
      </c>
      <c r="H7854" s="16">
        <f>IFERROR(__xludf.DUMMYFUNCTION("""COMPUTED_VALUE"""),16479.0)</f>
        <v>16479</v>
      </c>
      <c r="I7854" s="18">
        <f>IFERROR(__xludf.DUMMYFUNCTION("""COMPUTED_VALUE"""),45149.0)</f>
        <v>45149</v>
      </c>
      <c r="J7854" s="18">
        <f>IFERROR(__xludf.DUMMYFUNCTION("""COMPUTED_VALUE"""),45185.0)</f>
        <v>45185</v>
      </c>
      <c r="K7854" s="18" t="str">
        <f>IFERROR(__xludf.DUMMYFUNCTION("""COMPUTED_VALUE"""),"44.1")</f>
        <v>44.1</v>
      </c>
      <c r="L7854" s="17">
        <f>IFERROR(__xludf.DUMMYFUNCTION("""COMPUTED_VALUE"""),3.204491255E9)</f>
        <v>3204491255</v>
      </c>
      <c r="M7854" s="17"/>
      <c r="N7854" s="17"/>
      <c r="O7854" s="17"/>
      <c r="P7854" s="17" t="b">
        <f>IFERROR(__xludf.DUMMYFUNCTION("""COMPUTED_VALUE"""),FALSE)</f>
        <v>0</v>
      </c>
      <c r="Q7854" s="20" t="str">
        <f>IFERROR(__xludf.DUMMYFUNCTION("""COMPUTED_VALUE"""),"")</f>
        <v/>
      </c>
      <c r="R7854" s="21" t="str">
        <f>IFERROR(__xludf.DUMMYFUNCTION("""COMPUTED_VALUE"""),"https://drive.google.com/file/d/1QINYOBLSLA5HSN2EspHXZB8PtXLg9QOl/view?usp=drivesdk")</f>
        <v>https://drive.google.com/file/d/1QINYOBLSLA5HSN2EspHXZB8PtXLg9QOl/view?usp=drivesdk</v>
      </c>
    </row>
    <row r="7855">
      <c r="A7855" s="15">
        <f>IFERROR(__xludf.DUMMYFUNCTION("""COMPUTED_VALUE"""),45223.0)</f>
        <v>45223</v>
      </c>
      <c r="B7855" s="16" t="str">
        <f>IFERROR(__xludf.DUMMYFUNCTION("""COMPUTED_VALUE"""),"Johanna Arango Barrera")</f>
        <v>Johanna Arango Barrera</v>
      </c>
      <c r="C7855" s="15" t="str">
        <f>IFERROR(__xludf.DUMMYFUNCTION("""COMPUTED_VALUE"""),"BUCARAMANGA")</f>
        <v>BUCARAMANGA</v>
      </c>
      <c r="D7855" s="15" t="str">
        <f>IFERROR(__xludf.DUMMYFUNCTION("""COMPUTED_VALUE"""),"MEDELLÍN")</f>
        <v>MEDELLÍN</v>
      </c>
      <c r="E7855" s="15" t="str">
        <f>IFERROR(__xludf.DUMMYFUNCTION("""COMPUTED_VALUE"""),"Rambla")</f>
        <v>Rambla</v>
      </c>
      <c r="F7855" s="17" t="str">
        <f>IFERROR(__xludf.DUMMYFUNCTION("""COMPUTED_VALUE"""),"Cra 36#41-59 local 5 barrio el prado / - / -")</f>
        <v>Cra 36#41-59 local 5 barrio el prado / - / -</v>
      </c>
      <c r="G7855" s="15" t="str">
        <f>IFERROR(__xludf.DUMMYFUNCTION("""COMPUTED_VALUE"""),"Fit store")</f>
        <v>Fit store</v>
      </c>
      <c r="H7855" s="16">
        <f>IFERROR(__xludf.DUMMYFUNCTION("""COMPUTED_VALUE"""),16580.0)</f>
        <v>16580</v>
      </c>
      <c r="I7855" s="18">
        <f>IFERROR(__xludf.DUMMYFUNCTION("""COMPUTED_VALUE"""),22.0)</f>
        <v>22</v>
      </c>
      <c r="J7855" s="18">
        <f>IFERROR(__xludf.DUMMYFUNCTION("""COMPUTED_VALUE"""),22.0)</f>
        <v>22</v>
      </c>
      <c r="K7855" s="18">
        <f>IFERROR(__xludf.DUMMYFUNCTION("""COMPUTED_VALUE"""),20.0)</f>
        <v>20</v>
      </c>
      <c r="L7855" s="17">
        <f>IFERROR(__xludf.DUMMYFUNCTION("""COMPUTED_VALUE"""),3.102792453E9)</f>
        <v>3102792453</v>
      </c>
      <c r="M7855" s="17"/>
      <c r="N7855" s="17"/>
      <c r="O7855" s="17"/>
      <c r="P7855" s="17" t="b">
        <f>IFERROR(__xludf.DUMMYFUNCTION("""COMPUTED_VALUE"""),FALSE)</f>
        <v>0</v>
      </c>
      <c r="Q7855" s="20" t="str">
        <f>IFERROR(__xludf.DUMMYFUNCTION("""COMPUTED_VALUE"""),"")</f>
        <v/>
      </c>
      <c r="R7855" s="21" t="str">
        <f>IFERROR(__xludf.DUMMYFUNCTION("""COMPUTED_VALUE"""),"https://drive.google.com/file/d/1-fp3YHqsAcbdF-t3zBBvk-qNaTtDDWkF/view?usp=drivesdk")</f>
        <v>https://drive.google.com/file/d/1-fp3YHqsAcbdF-t3zBBvk-qNaTtDDWkF/view?usp=drivesdk</v>
      </c>
    </row>
    <row r="7856">
      <c r="A7856" s="15">
        <f>IFERROR(__xludf.DUMMYFUNCTION("""COMPUTED_VALUE"""),45223.0)</f>
        <v>45223</v>
      </c>
      <c r="B7856" s="16" t="str">
        <f>IFERROR(__xludf.DUMMYFUNCTION("""COMPUTED_VALUE"""),"Johanna Arango Barrera")</f>
        <v>Johanna Arango Barrera</v>
      </c>
      <c r="C7856" s="15" t="str">
        <f>IFERROR(__xludf.DUMMYFUNCTION("""COMPUTED_VALUE"""),"FLORIDABLANCA")</f>
        <v>FLORIDABLANCA</v>
      </c>
      <c r="D7856" s="15" t="str">
        <f>IFERROR(__xludf.DUMMYFUNCTION("""COMPUTED_VALUE"""),"BOGOTÁ")</f>
        <v>BOGOTÁ</v>
      </c>
      <c r="E7856" s="15" t="str">
        <f>IFERROR(__xludf.DUMMYFUNCTION("""COMPUTED_VALUE"""),"Asociacion Agropecuaria Juana Maria")</f>
        <v>Asociacion Agropecuaria Juana Maria</v>
      </c>
      <c r="F7856" s="17" t="str">
        <f>IFERROR(__xludf.DUMMYFUNCTION("""COMPUTED_VALUE"""),"Calle 19 #11-37 / Guanatá FLORIDABLANCA")</f>
        <v>Calle 19 #11-37 / Guanatá FLORIDABLANCA</v>
      </c>
      <c r="G7856" s="15" t="str">
        <f>IFERROR(__xludf.DUMMYFUNCTION("""COMPUTED_VALUE"""),"Claudia Gonzalez")</f>
        <v>Claudia Gonzalez</v>
      </c>
      <c r="H7856" s="16">
        <f>IFERROR(__xludf.DUMMYFUNCTION("""COMPUTED_VALUE"""),16496.0)</f>
        <v>16496</v>
      </c>
      <c r="I7856" s="17"/>
      <c r="J7856" s="17"/>
      <c r="K7856" s="17"/>
      <c r="L7856" s="17">
        <f>IFERROR(__xludf.DUMMYFUNCTION("""COMPUTED_VALUE"""),3.002802001E9)</f>
        <v>3002802001</v>
      </c>
      <c r="M7856" s="17"/>
      <c r="N7856" s="17"/>
      <c r="O7856" s="17"/>
      <c r="P7856" s="17" t="b">
        <f>IFERROR(__xludf.DUMMYFUNCTION("""COMPUTED_VALUE"""),FALSE)</f>
        <v>0</v>
      </c>
      <c r="Q7856" s="20" t="str">
        <f>IFERROR(__xludf.DUMMYFUNCTION("""COMPUTED_VALUE"""),"")</f>
        <v/>
      </c>
      <c r="R7856" s="21" t="str">
        <f>IFERROR(__xludf.DUMMYFUNCTION("""COMPUTED_VALUE"""),"https://drive.google.com/file/d/171cqJZQREY3a0P2gTI6NjvpTfvWX0thE/view?usp=drivesdk")</f>
        <v>https://drive.google.com/file/d/171cqJZQREY3a0P2gTI6NjvpTfvWX0thE/view?usp=drivesdk</v>
      </c>
    </row>
    <row r="7857">
      <c r="A7857" s="15">
        <f>IFERROR(__xludf.DUMMYFUNCTION("""COMPUTED_VALUE"""),45223.0)</f>
        <v>45223</v>
      </c>
      <c r="B7857" s="16" t="str">
        <f>IFERROR(__xludf.DUMMYFUNCTION("""COMPUTED_VALUE"""),"Johanna Arango Barrera")</f>
        <v>Johanna Arango Barrera</v>
      </c>
      <c r="C7857" s="15" t="str">
        <f>IFERROR(__xludf.DUMMYFUNCTION("""COMPUTED_VALUE"""),"FLORIDABLANCA")</f>
        <v>FLORIDABLANCA</v>
      </c>
      <c r="D7857" s="15" t="str">
        <f>IFERROR(__xludf.DUMMYFUNCTION("""COMPUTED_VALUE"""),"BOGOTÁ")</f>
        <v>BOGOTÁ</v>
      </c>
      <c r="E7857" s="15" t="str">
        <f>IFERROR(__xludf.DUMMYFUNCTION("""COMPUTED_VALUE"""),"Lunchy Kids")</f>
        <v>Lunchy Kids</v>
      </c>
      <c r="F7857" s="17" t="str">
        <f>IFERROR(__xludf.DUMMYFUNCTION("""COMPUTED_VALUE"""),"cra 12 # 200 - 105   / Condominio Mediterrane Firenze torre 2 apto 1603  / Floridablanca")</f>
        <v>cra 12 # 200 - 105   / Condominio Mediterrane Firenze torre 2 apto 1603  / Floridablanca</v>
      </c>
      <c r="G7857" s="15" t="str">
        <f>IFERROR(__xludf.DUMMYFUNCTION("""COMPUTED_VALUE"""),"Maria  F. Aguirre")</f>
        <v>Maria  F. Aguirre</v>
      </c>
      <c r="H7857" s="16">
        <f>IFERROR(__xludf.DUMMYFUNCTION("""COMPUTED_VALUE"""),16501.0)</f>
        <v>16501</v>
      </c>
      <c r="I7857" s="18">
        <f>IFERROR(__xludf.DUMMYFUNCTION("""COMPUTED_VALUE"""),15.0)</f>
        <v>15</v>
      </c>
      <c r="J7857" s="18">
        <f>IFERROR(__xludf.DUMMYFUNCTION("""COMPUTED_VALUE"""),28.0)</f>
        <v>28</v>
      </c>
      <c r="K7857" s="18">
        <f>IFERROR(__xludf.DUMMYFUNCTION("""COMPUTED_VALUE"""),10.0)</f>
        <v>10</v>
      </c>
      <c r="L7857" s="17">
        <f>IFERROR(__xludf.DUMMYFUNCTION("""COMPUTED_VALUE"""),3.015736035E9)</f>
        <v>3015736035</v>
      </c>
      <c r="M7857" s="17"/>
      <c r="N7857" s="17"/>
      <c r="O7857" s="17"/>
      <c r="P7857" s="17" t="b">
        <f>IFERROR(__xludf.DUMMYFUNCTION("""COMPUTED_VALUE"""),FALSE)</f>
        <v>0</v>
      </c>
      <c r="Q7857" s="20" t="str">
        <f>IFERROR(__xludf.DUMMYFUNCTION("""COMPUTED_VALUE"""),"")</f>
        <v/>
      </c>
      <c r="R7857" s="21" t="str">
        <f>IFERROR(__xludf.DUMMYFUNCTION("""COMPUTED_VALUE"""),"https://drive.google.com/file/d/14tRsRknZdfd22pLKmhuycdpukQ9lUCVj/view?usp=drivesdk")</f>
        <v>https://drive.google.com/file/d/14tRsRknZdfd22pLKmhuycdpukQ9lUCVj/view?usp=drivesdk</v>
      </c>
    </row>
    <row r="7858">
      <c r="A7858" s="15">
        <f>IFERROR(__xludf.DUMMYFUNCTION("""COMPUTED_VALUE"""),45223.0)</f>
        <v>45223</v>
      </c>
      <c r="B7858" s="16" t="str">
        <f>IFERROR(__xludf.DUMMYFUNCTION("""COMPUTED_VALUE"""),"Johanna Arango Barrera")</f>
        <v>Johanna Arango Barrera</v>
      </c>
      <c r="C7858" s="15" t="str">
        <f>IFERROR(__xludf.DUMMYFUNCTION("""COMPUTED_VALUE"""),"PEREIRA")</f>
        <v>PEREIRA</v>
      </c>
      <c r="D7858" s="15" t="str">
        <f>IFERROR(__xludf.DUMMYFUNCTION("""COMPUTED_VALUE"""),"MEDELLÍN")</f>
        <v>MEDELLÍN</v>
      </c>
      <c r="E7858" s="15" t="str">
        <f>IFERROR(__xludf.DUMMYFUNCTION("""COMPUTED_VALUE"""),"Goyo Todo por ellos")</f>
        <v>Goyo Todo por ellos</v>
      </c>
      <c r="F7858" s="17" t="str">
        <f>IFERROR(__xludf.DUMMYFUNCTION("""COMPUTED_VALUE"""),"Calle 12 bis #16 18 / Casa Hoja Comunidad Consciente  / Barrio Pinares")</f>
        <v>Calle 12 bis #16 18 / Casa Hoja Comunidad Consciente  / Barrio Pinares</v>
      </c>
      <c r="G7858" s="15" t="str">
        <f>IFERROR(__xludf.DUMMYFUNCTION("""COMPUTED_VALUE"""),"Hector Hernandez")</f>
        <v>Hector Hernandez</v>
      </c>
      <c r="H7858" s="16">
        <f>IFERROR(__xludf.DUMMYFUNCTION("""COMPUTED_VALUE"""),16514.0)</f>
        <v>16514</v>
      </c>
      <c r="I7858" s="18">
        <f>IFERROR(__xludf.DUMMYFUNCTION("""COMPUTED_VALUE"""),12.0)</f>
        <v>12</v>
      </c>
      <c r="J7858" s="18">
        <f>IFERROR(__xludf.DUMMYFUNCTION("""COMPUTED_VALUE"""),40.0)</f>
        <v>40</v>
      </c>
      <c r="K7858" s="18">
        <f>IFERROR(__xludf.DUMMYFUNCTION("""COMPUTED_VALUE"""),26.0)</f>
        <v>26</v>
      </c>
      <c r="L7858" s="17">
        <f>IFERROR(__xludf.DUMMYFUNCTION("""COMPUTED_VALUE"""),3.18591145E9)</f>
        <v>3185911450</v>
      </c>
      <c r="M7858" s="17"/>
      <c r="N7858" s="17"/>
      <c r="O7858" s="17"/>
      <c r="P7858" s="17" t="b">
        <f>IFERROR(__xludf.DUMMYFUNCTION("""COMPUTED_VALUE"""),FALSE)</f>
        <v>0</v>
      </c>
      <c r="Q7858" s="20" t="str">
        <f>IFERROR(__xludf.DUMMYFUNCTION("""COMPUTED_VALUE"""),"")</f>
        <v/>
      </c>
      <c r="R7858" s="21" t="str">
        <f>IFERROR(__xludf.DUMMYFUNCTION("""COMPUTED_VALUE"""),"https://drive.google.com/file/d/1ZIJGdy7oqKsi5ocgav9T5wZdUS3oDDys/view?usp=drivesdk")</f>
        <v>https://drive.google.com/file/d/1ZIJGdy7oqKsi5ocgav9T5wZdUS3oDDys/view?usp=drivesdk</v>
      </c>
    </row>
    <row r="7859">
      <c r="A7859" s="15">
        <f>IFERROR(__xludf.DUMMYFUNCTION("""COMPUTED_VALUE"""),45223.0)</f>
        <v>45223</v>
      </c>
      <c r="B7859" s="16" t="str">
        <f>IFERROR(__xludf.DUMMYFUNCTION("""COMPUTED_VALUE"""),"Johanna Arango Barrera")</f>
        <v>Johanna Arango Barrera</v>
      </c>
      <c r="C7859" s="15" t="str">
        <f>IFERROR(__xludf.DUMMYFUNCTION("""COMPUTED_VALUE"""),"PEREIRA")</f>
        <v>PEREIRA</v>
      </c>
      <c r="D7859" s="15" t="str">
        <f>IFERROR(__xludf.DUMMYFUNCTION("""COMPUTED_VALUE"""),"MEDELLÍN")</f>
        <v>MEDELLÍN</v>
      </c>
      <c r="E7859" s="15" t="str">
        <f>IFERROR(__xludf.DUMMYFUNCTION("""COMPUTED_VALUE"""),"Rambla")</f>
        <v>Rambla</v>
      </c>
      <c r="F7859" s="17" t="str">
        <f>IFERROR(__xludf.DUMMYFUNCTION("""COMPUTED_VALUE"""),"Calle 7# 14-68 circunvalar  / - / -")</f>
        <v>Calle 7# 14-68 circunvalar  / - / -</v>
      </c>
      <c r="G7859" s="15" t="str">
        <f>IFERROR(__xludf.DUMMYFUNCTION("""COMPUTED_VALUE"""),"PRANA")</f>
        <v>PRANA</v>
      </c>
      <c r="H7859" s="16">
        <f>IFERROR(__xludf.DUMMYFUNCTION("""COMPUTED_VALUE"""),16581.0)</f>
        <v>16581</v>
      </c>
      <c r="I7859" s="18">
        <f>IFERROR(__xludf.DUMMYFUNCTION("""COMPUTED_VALUE"""),10.0)</f>
        <v>10</v>
      </c>
      <c r="J7859" s="18">
        <f>IFERROR(__xludf.DUMMYFUNCTION("""COMPUTED_VALUE"""),10.0)</f>
        <v>10</v>
      </c>
      <c r="K7859" s="18">
        <f>IFERROR(__xludf.DUMMYFUNCTION("""COMPUTED_VALUE"""),10.0)</f>
        <v>10</v>
      </c>
      <c r="L7859" s="17">
        <f>IFERROR(__xludf.DUMMYFUNCTION("""COMPUTED_VALUE"""),3.143079851E9)</f>
        <v>3143079851</v>
      </c>
      <c r="M7859" s="17"/>
      <c r="N7859" s="17"/>
      <c r="O7859" s="17"/>
      <c r="P7859" s="17" t="b">
        <f>IFERROR(__xludf.DUMMYFUNCTION("""COMPUTED_VALUE"""),FALSE)</f>
        <v>0</v>
      </c>
      <c r="Q7859" s="20" t="str">
        <f>IFERROR(__xludf.DUMMYFUNCTION("""COMPUTED_VALUE"""),"")</f>
        <v/>
      </c>
      <c r="R7859" s="21" t="str">
        <f>IFERROR(__xludf.DUMMYFUNCTION("""COMPUTED_VALUE"""),"https://drive.google.com/file/d/1oPTVInbvIK1Yt7L7LXQ3C5BMH0kkM6Vx/view?usp=drivesdk")</f>
        <v>https://drive.google.com/file/d/1oPTVInbvIK1Yt7L7LXQ3C5BMH0kkM6Vx/view?usp=drivesdk</v>
      </c>
    </row>
    <row r="7860">
      <c r="A7860" s="17" t="str">
        <f>IFERROR(__xludf.DUMMYFUNCTION("""COMPUTED_VALUE"""),"")</f>
        <v/>
      </c>
      <c r="B7860" s="17" t="str">
        <f>IFERROR(__xludf.DUMMYFUNCTION("""COMPUTED_VALUE"""),"")</f>
        <v/>
      </c>
      <c r="C7860" s="17" t="str">
        <f>IFERROR(__xludf.DUMMYFUNCTION("""COMPUTED_VALUE"""),"")</f>
        <v/>
      </c>
      <c r="D7860" s="17" t="str">
        <f>IFERROR(__xludf.DUMMYFUNCTION("""COMPUTED_VALUE"""),"")</f>
        <v/>
      </c>
      <c r="E7860" s="17" t="str">
        <f>IFERROR(__xludf.DUMMYFUNCTION("""COMPUTED_VALUE"""),"")</f>
        <v/>
      </c>
      <c r="F7860" s="17" t="str">
        <f>IFERROR(__xludf.DUMMYFUNCTION("""COMPUTED_VALUE"""),"")</f>
        <v/>
      </c>
      <c r="G7860" s="17" t="str">
        <f>IFERROR(__xludf.DUMMYFUNCTION("""COMPUTED_VALUE"""),"")</f>
        <v/>
      </c>
      <c r="H7860" s="17" t="str">
        <f>IFERROR(__xludf.DUMMYFUNCTION("""COMPUTED_VALUE"""),"")</f>
        <v/>
      </c>
      <c r="I7860" s="17" t="str">
        <f>IFERROR(__xludf.DUMMYFUNCTION("""COMPUTED_VALUE"""),"")</f>
        <v/>
      </c>
      <c r="J7860" s="17" t="str">
        <f>IFERROR(__xludf.DUMMYFUNCTION("""COMPUTED_VALUE"""),"")</f>
        <v/>
      </c>
      <c r="K7860" s="17" t="str">
        <f>IFERROR(__xludf.DUMMYFUNCTION("""COMPUTED_VALUE"""),"")</f>
        <v/>
      </c>
      <c r="L7860" s="17" t="str">
        <f>IFERROR(__xludf.DUMMYFUNCTION("""COMPUTED_VALUE"""),"")</f>
        <v/>
      </c>
      <c r="M7860" s="17" t="str">
        <f>IFERROR(__xludf.DUMMYFUNCTION("""COMPUTED_VALUE"""),"")</f>
        <v/>
      </c>
      <c r="N7860" s="17" t="str">
        <f>IFERROR(__xludf.DUMMYFUNCTION("""COMPUTED_VALUE"""),"")</f>
        <v/>
      </c>
      <c r="O7860" s="17" t="str">
        <f>IFERROR(__xludf.DUMMYFUNCTION("""COMPUTED_VALUE"""),"")</f>
        <v/>
      </c>
      <c r="P7860" s="17" t="str">
        <f>IFERROR(__xludf.DUMMYFUNCTION("""COMPUTED_VALUE"""),"")</f>
        <v/>
      </c>
      <c r="Q7860" s="17" t="str">
        <f>IFERROR(__xludf.DUMMYFUNCTION("""COMPUTED_VALUE"""),"")</f>
        <v/>
      </c>
      <c r="R7860" s="17" t="str">
        <f>IFERROR(__xludf.DUMMYFUNCTION("""COMPUTED_VALUE"""),"")</f>
        <v/>
      </c>
    </row>
    <row r="7861">
      <c r="A7861" s="15">
        <f>IFERROR(__xludf.DUMMYFUNCTION("""COMPUTED_VALUE"""),45223.0)</f>
        <v>45223</v>
      </c>
      <c r="B7861" s="16" t="str">
        <f>IFERROR(__xludf.DUMMYFUNCTION("""COMPUTED_VALUE"""),"JOSE ALFREDO RAMIREZ VERGARA ")</f>
        <v>JOSE ALFREDO RAMIREZ VERGARA </v>
      </c>
      <c r="C7861" s="15" t="str">
        <f>IFERROR(__xludf.DUMMYFUNCTION("""COMPUTED_VALUE"""),"MANIZALES")</f>
        <v>MANIZALES</v>
      </c>
      <c r="D7861" s="15" t="str">
        <f>IFERROR(__xludf.DUMMYFUNCTION("""COMPUTED_VALUE"""),"MEDELLÍN")</f>
        <v>MEDELLÍN</v>
      </c>
      <c r="E7861" s="15" t="str">
        <f>IFERROR(__xludf.DUMMYFUNCTION("""COMPUTED_VALUE"""),"Todo Bufala")</f>
        <v>Todo Bufala</v>
      </c>
      <c r="F7861" s="17" t="str">
        <f>IFERROR(__xludf.DUMMYFUNCTION("""COMPUTED_VALUE"""),"Calle 66 #23B - 211 / Edifico calle larga, local 5c")</f>
        <v>Calle 66 #23B - 211 / Edifico calle larga, local 5c</v>
      </c>
      <c r="G7861" s="15" t="str">
        <f>IFERROR(__xludf.DUMMYFUNCTION("""COMPUTED_VALUE"""),"Sebastian Perez Pineda")</f>
        <v>Sebastian Perez Pineda</v>
      </c>
      <c r="H7861" s="16">
        <f>IFERROR(__xludf.DUMMYFUNCTION("""COMPUTED_VALUE"""),16519.0)</f>
        <v>16519</v>
      </c>
      <c r="I7861" s="17"/>
      <c r="J7861" s="17"/>
      <c r="K7861" s="17"/>
      <c r="L7861" s="17">
        <f>IFERROR(__xludf.DUMMYFUNCTION("""COMPUTED_VALUE"""),3.106974621E9)</f>
        <v>3106974621</v>
      </c>
      <c r="M7861" s="17"/>
      <c r="N7861" s="17"/>
      <c r="O7861" s="17"/>
      <c r="P7861" s="17" t="b">
        <f>IFERROR(__xludf.DUMMYFUNCTION("""COMPUTED_VALUE"""),FALSE)</f>
        <v>0</v>
      </c>
      <c r="Q7861" s="20" t="str">
        <f>IFERROR(__xludf.DUMMYFUNCTION("""COMPUTED_VALUE"""),"")</f>
        <v/>
      </c>
      <c r="R7861" s="21" t="str">
        <f>IFERROR(__xludf.DUMMYFUNCTION("""COMPUTED_VALUE"""),"https://drive.google.com/file/d/1AyhZ4uAWxNxL-2EI_M0dpop4yWOzh7nR/view?usp=drivesdk")</f>
        <v>https://drive.google.com/file/d/1AyhZ4uAWxNxL-2EI_M0dpop4yWOzh7nR/view?usp=drivesdk</v>
      </c>
    </row>
    <row r="7862">
      <c r="A7862" s="17" t="str">
        <f>IFERROR(__xludf.DUMMYFUNCTION("""COMPUTED_VALUE"""),"")</f>
        <v/>
      </c>
      <c r="B7862" s="17" t="str">
        <f>IFERROR(__xludf.DUMMYFUNCTION("""COMPUTED_VALUE"""),"")</f>
        <v/>
      </c>
      <c r="C7862" s="17" t="str">
        <f>IFERROR(__xludf.DUMMYFUNCTION("""COMPUTED_VALUE"""),"")</f>
        <v/>
      </c>
      <c r="D7862" s="17" t="str">
        <f>IFERROR(__xludf.DUMMYFUNCTION("""COMPUTED_VALUE"""),"")</f>
        <v/>
      </c>
      <c r="E7862" s="17" t="str">
        <f>IFERROR(__xludf.DUMMYFUNCTION("""COMPUTED_VALUE"""),"")</f>
        <v/>
      </c>
      <c r="F7862" s="17" t="str">
        <f>IFERROR(__xludf.DUMMYFUNCTION("""COMPUTED_VALUE"""),"")</f>
        <v/>
      </c>
      <c r="G7862" s="17" t="str">
        <f>IFERROR(__xludf.DUMMYFUNCTION("""COMPUTED_VALUE"""),"")</f>
        <v/>
      </c>
      <c r="H7862" s="17" t="str">
        <f>IFERROR(__xludf.DUMMYFUNCTION("""COMPUTED_VALUE"""),"")</f>
        <v/>
      </c>
      <c r="I7862" s="17" t="str">
        <f>IFERROR(__xludf.DUMMYFUNCTION("""COMPUTED_VALUE"""),"")</f>
        <v/>
      </c>
      <c r="J7862" s="17" t="str">
        <f>IFERROR(__xludf.DUMMYFUNCTION("""COMPUTED_VALUE"""),"")</f>
        <v/>
      </c>
      <c r="K7862" s="17" t="str">
        <f>IFERROR(__xludf.DUMMYFUNCTION("""COMPUTED_VALUE"""),"")</f>
        <v/>
      </c>
      <c r="L7862" s="17" t="str">
        <f>IFERROR(__xludf.DUMMYFUNCTION("""COMPUTED_VALUE"""),"")</f>
        <v/>
      </c>
      <c r="M7862" s="17" t="str">
        <f>IFERROR(__xludf.DUMMYFUNCTION("""COMPUTED_VALUE"""),"")</f>
        <v/>
      </c>
      <c r="N7862" s="17" t="str">
        <f>IFERROR(__xludf.DUMMYFUNCTION("""COMPUTED_VALUE"""),"")</f>
        <v/>
      </c>
      <c r="O7862" s="17" t="str">
        <f>IFERROR(__xludf.DUMMYFUNCTION("""COMPUTED_VALUE"""),"")</f>
        <v/>
      </c>
      <c r="P7862" s="17" t="str">
        <f>IFERROR(__xludf.DUMMYFUNCTION("""COMPUTED_VALUE"""),"")</f>
        <v/>
      </c>
      <c r="Q7862" s="17" t="str">
        <f>IFERROR(__xludf.DUMMYFUNCTION("""COMPUTED_VALUE"""),"")</f>
        <v/>
      </c>
      <c r="R7862" s="17" t="str">
        <f>IFERROR(__xludf.DUMMYFUNCTION("""COMPUTED_VALUE"""),"")</f>
        <v/>
      </c>
    </row>
    <row r="7863">
      <c r="A7863" s="15">
        <f>IFERROR(__xludf.DUMMYFUNCTION("""COMPUTED_VALUE"""),45223.0)</f>
        <v>45223</v>
      </c>
      <c r="B7863" s="16" t="str">
        <f>IFERROR(__xludf.DUMMYFUNCTION("""COMPUTED_VALUE"""),"Julián Alexis salazar Anaya ")</f>
        <v>Julián Alexis salazar Anaya </v>
      </c>
      <c r="C7863" s="15" t="str">
        <f>IFERROR(__xludf.DUMMYFUNCTION("""COMPUTED_VALUE"""),"ARMENIA")</f>
        <v>ARMENIA</v>
      </c>
      <c r="D7863" s="15" t="str">
        <f>IFERROR(__xludf.DUMMYFUNCTION("""COMPUTED_VALUE"""),"BOGOTÁ")</f>
        <v>BOGOTÁ</v>
      </c>
      <c r="E7863" s="15" t="str">
        <f>IFERROR(__xludf.DUMMYFUNCTION("""COMPUTED_VALUE"""),"Instinto alimento vital")</f>
        <v>Instinto alimento vital</v>
      </c>
      <c r="F7863" s="17" t="str">
        <f>IFERROR(__xludf.DUMMYFUNCTION("""COMPUTED_VALUE"""),"BR LA IRLANDA MZ D CASA 12 / BR LA IRLANDA MZ D CASA 12")</f>
        <v>BR LA IRLANDA MZ D CASA 12 / BR LA IRLANDA MZ D CASA 12</v>
      </c>
      <c r="G7863" s="15" t="str">
        <f>IFERROR(__xludf.DUMMYFUNCTION("""COMPUTED_VALUE"""),"GINA MARCELA QUINTERO GIL")</f>
        <v>GINA MARCELA QUINTERO GIL</v>
      </c>
      <c r="H7863" s="16">
        <f>IFERROR(__xludf.DUMMYFUNCTION("""COMPUTED_VALUE"""),16518.0)</f>
        <v>16518</v>
      </c>
      <c r="I7863" s="17"/>
      <c r="J7863" s="17"/>
      <c r="K7863" s="17"/>
      <c r="L7863" s="17">
        <f>IFERROR(__xludf.DUMMYFUNCTION("""COMPUTED_VALUE"""),3.136682209E9)</f>
        <v>3136682209</v>
      </c>
      <c r="M7863" s="17"/>
      <c r="N7863" s="17"/>
      <c r="O7863" s="17"/>
      <c r="P7863" s="17" t="b">
        <f>IFERROR(__xludf.DUMMYFUNCTION("""COMPUTED_VALUE"""),FALSE)</f>
        <v>0</v>
      </c>
      <c r="Q7863" s="20" t="str">
        <f>IFERROR(__xludf.DUMMYFUNCTION("""COMPUTED_VALUE"""),"")</f>
        <v/>
      </c>
      <c r="R7863" s="21" t="str">
        <f>IFERROR(__xludf.DUMMYFUNCTION("""COMPUTED_VALUE"""),"https://drive.google.com/file/d/1ItqqgDl9mfy1JEKuykvRrfy5n3Xq6ey5/view?usp=drivesdk")</f>
        <v>https://drive.google.com/file/d/1ItqqgDl9mfy1JEKuykvRrfy5n3Xq6ey5/view?usp=drivesdk</v>
      </c>
    </row>
    <row r="7864">
      <c r="A7864" s="15">
        <f>IFERROR(__xludf.DUMMYFUNCTION("""COMPUTED_VALUE"""),45223.0)</f>
        <v>45223</v>
      </c>
      <c r="B7864" s="16" t="str">
        <f>IFERROR(__xludf.DUMMYFUNCTION("""COMPUTED_VALUE"""),"Julián Alexis salazar Anaya ")</f>
        <v>Julián Alexis salazar Anaya </v>
      </c>
      <c r="C7864" s="15" t="str">
        <f>IFERROR(__xludf.DUMMYFUNCTION("""COMPUTED_VALUE"""),"ARMENIA")</f>
        <v>ARMENIA</v>
      </c>
      <c r="D7864" s="15" t="str">
        <f>IFERROR(__xludf.DUMMYFUNCTION("""COMPUTED_VALUE"""),"BOGOTÁ")</f>
        <v>BOGOTÁ</v>
      </c>
      <c r="E7864" s="15" t="str">
        <f>IFERROR(__xludf.DUMMYFUNCTION("""COMPUTED_VALUE"""),"Pan de Waffle")</f>
        <v>Pan de Waffle</v>
      </c>
      <c r="F7864" s="17" t="str">
        <f>IFERROR(__xludf.DUMMYFUNCTION("""COMPUTED_VALUE"""),"carrera 13 # 9a - 58, local 5, con la castellana / carrera 13 # 9a - 58, local 5, con la castellana / carrera 13 # 9a - 58, local 5, con la castellana")</f>
        <v>carrera 13 # 9a - 58, local 5, con la castellana / carrera 13 # 9a - 58, local 5, con la castellana / carrera 13 # 9a - 58, local 5, con la castellana</v>
      </c>
      <c r="G7864" s="15" t="str">
        <f>IFERROR(__xludf.DUMMYFUNCTION("""COMPUTED_VALUE"""),"TIENDA FITNESS ECO")</f>
        <v>TIENDA FITNESS ECO</v>
      </c>
      <c r="H7864" s="16">
        <f>IFERROR(__xludf.DUMMYFUNCTION("""COMPUTED_VALUE"""),16577.0)</f>
        <v>16577</v>
      </c>
      <c r="I7864" s="18">
        <f>IFERROR(__xludf.DUMMYFUNCTION("""COMPUTED_VALUE"""),40.0)</f>
        <v>40</v>
      </c>
      <c r="J7864" s="18">
        <f>IFERROR(__xludf.DUMMYFUNCTION("""COMPUTED_VALUE"""),30.0)</f>
        <v>30</v>
      </c>
      <c r="K7864" s="18">
        <f>IFERROR(__xludf.DUMMYFUNCTION("""COMPUTED_VALUE"""),40.0)</f>
        <v>40</v>
      </c>
      <c r="L7864" s="17">
        <f>IFERROR(__xludf.DUMMYFUNCTION("""COMPUTED_VALUE"""),3.217007417E9)</f>
        <v>3217007417</v>
      </c>
      <c r="M7864" s="17"/>
      <c r="N7864" s="17"/>
      <c r="O7864" s="17"/>
      <c r="P7864" s="17" t="b">
        <f>IFERROR(__xludf.DUMMYFUNCTION("""COMPUTED_VALUE"""),FALSE)</f>
        <v>0</v>
      </c>
      <c r="Q7864" s="20" t="str">
        <f>IFERROR(__xludf.DUMMYFUNCTION("""COMPUTED_VALUE"""),"")</f>
        <v/>
      </c>
      <c r="R7864" s="21" t="str">
        <f>IFERROR(__xludf.DUMMYFUNCTION("""COMPUTED_VALUE"""),"https://drive.google.com/file/d/1m5D76SFokSK2Dwd1AHlvFc8fSVQ_r6L5/view?usp=drivesdk")</f>
        <v>https://drive.google.com/file/d/1m5D76SFokSK2Dwd1AHlvFc8fSVQ_r6L5/view?usp=drivesdk</v>
      </c>
    </row>
    <row r="7865">
      <c r="A7865" s="15">
        <f>IFERROR(__xludf.DUMMYFUNCTION("""COMPUTED_VALUE"""),45223.0)</f>
        <v>45223</v>
      </c>
      <c r="B7865" s="16" t="str">
        <f>IFERROR(__xludf.DUMMYFUNCTION("""COMPUTED_VALUE"""),"Julián Alexis salazar Anaya ")</f>
        <v>Julián Alexis salazar Anaya </v>
      </c>
      <c r="C7865" s="15" t="str">
        <f>IFERROR(__xludf.DUMMYFUNCTION("""COMPUTED_VALUE"""),"MOSQUERA")</f>
        <v>MOSQUERA</v>
      </c>
      <c r="D7865" s="15" t="str">
        <f>IFERROR(__xludf.DUMMYFUNCTION("""COMPUTED_VALUE"""),"BOGOTÁ")</f>
        <v>BOGOTÁ</v>
      </c>
      <c r="E7865" s="15" t="str">
        <f>IFERROR(__xludf.DUMMYFUNCTION("""COMPUTED_VALUE"""),"Instinto alimento vital")</f>
        <v>Instinto alimento vital</v>
      </c>
      <c r="F7865" s="17" t="str">
        <f>IFERROR(__xludf.DUMMYFUNCTION("""COMPUTED_VALUE"""),"CRA 6A 14 44 SUR / TR 8 AP 529 / NOVATERRA ARRAYANES")</f>
        <v>CRA 6A 14 44 SUR / TR 8 AP 529 / NOVATERRA ARRAYANES</v>
      </c>
      <c r="G7865" s="15" t="str">
        <f>IFERROR(__xludf.DUMMYFUNCTION("""COMPUTED_VALUE"""),"LADY CAROLINA MORALES GARZON")</f>
        <v>LADY CAROLINA MORALES GARZON</v>
      </c>
      <c r="H7865" s="16">
        <f>IFERROR(__xludf.DUMMYFUNCTION("""COMPUTED_VALUE"""),16527.0)</f>
        <v>16527</v>
      </c>
      <c r="I7865" s="18">
        <f>IFERROR(__xludf.DUMMYFUNCTION("""COMPUTED_VALUE"""),1.0)</f>
        <v>1</v>
      </c>
      <c r="J7865" s="18">
        <f>IFERROR(__xludf.DUMMYFUNCTION("""COMPUTED_VALUE"""),1.0)</f>
        <v>1</v>
      </c>
      <c r="K7865" s="18">
        <f>IFERROR(__xludf.DUMMYFUNCTION("""COMPUTED_VALUE"""),1.0)</f>
        <v>1</v>
      </c>
      <c r="L7865" s="17">
        <f>IFERROR(__xludf.DUMMYFUNCTION("""COMPUTED_VALUE"""),3.138886002E9)</f>
        <v>3138886002</v>
      </c>
      <c r="M7865" s="17"/>
      <c r="N7865" s="17"/>
      <c r="O7865" s="17"/>
      <c r="P7865" s="17" t="b">
        <f>IFERROR(__xludf.DUMMYFUNCTION("""COMPUTED_VALUE"""),FALSE)</f>
        <v>0</v>
      </c>
      <c r="Q7865" s="20" t="str">
        <f>IFERROR(__xludf.DUMMYFUNCTION("""COMPUTED_VALUE"""),"")</f>
        <v/>
      </c>
      <c r="R7865" s="21" t="str">
        <f>IFERROR(__xludf.DUMMYFUNCTION("""COMPUTED_VALUE"""),"https://drive.google.com/file/d/1-ebREMqhKYSqhfTTZHn14IGAk00r708P/view?usp=drivesdk")</f>
        <v>https://drive.google.com/file/d/1-ebREMqhKYSqhfTTZHn14IGAk00r708P/view?usp=drivesdk</v>
      </c>
    </row>
    <row r="7866">
      <c r="A7866" s="17" t="str">
        <f>IFERROR(__xludf.DUMMYFUNCTION("""COMPUTED_VALUE"""),"")</f>
        <v/>
      </c>
      <c r="B7866" s="17" t="str">
        <f>IFERROR(__xludf.DUMMYFUNCTION("""COMPUTED_VALUE"""),"")</f>
        <v/>
      </c>
      <c r="C7866" s="17" t="str">
        <f>IFERROR(__xludf.DUMMYFUNCTION("""COMPUTED_VALUE"""),"")</f>
        <v/>
      </c>
      <c r="D7866" s="17" t="str">
        <f>IFERROR(__xludf.DUMMYFUNCTION("""COMPUTED_VALUE"""),"")</f>
        <v/>
      </c>
      <c r="E7866" s="17" t="str">
        <f>IFERROR(__xludf.DUMMYFUNCTION("""COMPUTED_VALUE"""),"")</f>
        <v/>
      </c>
      <c r="F7866" s="17" t="str">
        <f>IFERROR(__xludf.DUMMYFUNCTION("""COMPUTED_VALUE"""),"")</f>
        <v/>
      </c>
      <c r="G7866" s="17" t="str">
        <f>IFERROR(__xludf.DUMMYFUNCTION("""COMPUTED_VALUE"""),"")</f>
        <v/>
      </c>
      <c r="H7866" s="17" t="str">
        <f>IFERROR(__xludf.DUMMYFUNCTION("""COMPUTED_VALUE"""),"")</f>
        <v/>
      </c>
      <c r="I7866" s="17" t="str">
        <f>IFERROR(__xludf.DUMMYFUNCTION("""COMPUTED_VALUE"""),"")</f>
        <v/>
      </c>
      <c r="J7866" s="17" t="str">
        <f>IFERROR(__xludf.DUMMYFUNCTION("""COMPUTED_VALUE"""),"")</f>
        <v/>
      </c>
      <c r="K7866" s="17" t="str">
        <f>IFERROR(__xludf.DUMMYFUNCTION("""COMPUTED_VALUE"""),"")</f>
        <v/>
      </c>
      <c r="L7866" s="17" t="str">
        <f>IFERROR(__xludf.DUMMYFUNCTION("""COMPUTED_VALUE"""),"")</f>
        <v/>
      </c>
      <c r="M7866" s="17" t="str">
        <f>IFERROR(__xludf.DUMMYFUNCTION("""COMPUTED_VALUE"""),"")</f>
        <v/>
      </c>
      <c r="N7866" s="17" t="str">
        <f>IFERROR(__xludf.DUMMYFUNCTION("""COMPUTED_VALUE"""),"")</f>
        <v/>
      </c>
      <c r="O7866" s="17" t="str">
        <f>IFERROR(__xludf.DUMMYFUNCTION("""COMPUTED_VALUE"""),"")</f>
        <v/>
      </c>
      <c r="P7866" s="17" t="str">
        <f>IFERROR(__xludf.DUMMYFUNCTION("""COMPUTED_VALUE"""),"")</f>
        <v/>
      </c>
      <c r="Q7866" s="17" t="str">
        <f>IFERROR(__xludf.DUMMYFUNCTION("""COMPUTED_VALUE"""),"")</f>
        <v/>
      </c>
      <c r="R7866" s="17" t="str">
        <f>IFERROR(__xludf.DUMMYFUNCTION("""COMPUTED_VALUE"""),"")</f>
        <v/>
      </c>
    </row>
    <row r="7867">
      <c r="A7867" s="15">
        <f>IFERROR(__xludf.DUMMYFUNCTION("""COMPUTED_VALUE"""),45223.0)</f>
        <v>45223</v>
      </c>
      <c r="B7867" s="16" t="str">
        <f>IFERROR(__xludf.DUMMYFUNCTION("""COMPUTED_VALUE"""),"Santiago Garces Restrepo")</f>
        <v>Santiago Garces Restrepo</v>
      </c>
      <c r="C7867" s="15" t="str">
        <f>IFERROR(__xludf.DUMMYFUNCTION("""COMPUTED_VALUE"""),"BELLO")</f>
        <v>BELLO</v>
      </c>
      <c r="D7867" s="15" t="str">
        <f>IFERROR(__xludf.DUMMYFUNCTION("""COMPUTED_VALUE"""),"BOGOTÁ")</f>
        <v>BOGOTÁ</v>
      </c>
      <c r="E7867" s="15" t="str">
        <f>IFERROR(__xludf.DUMMYFUNCTION("""COMPUTED_VALUE"""),"LINA PAOLA RAMIREZ GOMEZ - EVA MAZZITA")</f>
        <v>LINA PAOLA RAMIREZ GOMEZ - EVA MAZZITA</v>
      </c>
      <c r="F7867" s="17" t="str">
        <f>IFERROR(__xludf.DUMMYFUNCTION("""COMPUTED_VALUE"""),"Calle 29 # 58-122 / Segundo piso")</f>
        <v>Calle 29 # 58-122 / Segundo piso</v>
      </c>
      <c r="G7867" s="15" t="str">
        <f>IFERROR(__xludf.DUMMYFUNCTION("""COMPUTED_VALUE"""),"CAMILA ANDREA PARRA ZULETA")</f>
        <v>CAMILA ANDREA PARRA ZULETA</v>
      </c>
      <c r="H7867" s="16">
        <f>IFERROR(__xludf.DUMMYFUNCTION("""COMPUTED_VALUE"""),16554.0)</f>
        <v>16554</v>
      </c>
      <c r="I7867" s="17"/>
      <c r="J7867" s="17"/>
      <c r="K7867" s="17"/>
      <c r="L7867" s="17">
        <f>IFERROR(__xludf.DUMMYFUNCTION("""COMPUTED_VALUE"""),3.14397666E9)</f>
        <v>3143976660</v>
      </c>
      <c r="M7867" s="17"/>
      <c r="N7867" s="17"/>
      <c r="O7867" s="17"/>
      <c r="P7867" s="17" t="b">
        <f>IFERROR(__xludf.DUMMYFUNCTION("""COMPUTED_VALUE"""),FALSE)</f>
        <v>0</v>
      </c>
      <c r="Q7867" s="20" t="str">
        <f>IFERROR(__xludf.DUMMYFUNCTION("""COMPUTED_VALUE"""),"")</f>
        <v/>
      </c>
      <c r="R7867" s="22" t="str">
        <f>IFERROR(__xludf.DUMMYFUNCTION("""COMPUTED_VALUE"""),"")</f>
        <v/>
      </c>
    </row>
    <row r="7868">
      <c r="A7868" s="15">
        <f>IFERROR(__xludf.DUMMYFUNCTION("""COMPUTED_VALUE"""),45223.0)</f>
        <v>45223</v>
      </c>
      <c r="B7868" s="16" t="str">
        <f>IFERROR(__xludf.DUMMYFUNCTION("""COMPUTED_VALUE"""),"Santiago Garces Restrepo")</f>
        <v>Santiago Garces Restrepo</v>
      </c>
      <c r="C7868" s="15" t="str">
        <f>IFERROR(__xludf.DUMMYFUNCTION("""COMPUTED_VALUE"""),"ENVIGADO")</f>
        <v>ENVIGADO</v>
      </c>
      <c r="D7868" s="15" t="str">
        <f>IFERROR(__xludf.DUMMYFUNCTION("""COMPUTED_VALUE"""),"BOGOTÁ")</f>
        <v>BOGOTÁ</v>
      </c>
      <c r="E7868" s="15" t="str">
        <f>IFERROR(__xludf.DUMMYFUNCTION("""COMPUTED_VALUE"""),"LINA PAOLA RAMIREZ GOMEZ - EVA MAZZITA")</f>
        <v>LINA PAOLA RAMIREZ GOMEZ - EVA MAZZITA</v>
      </c>
      <c r="F7868" s="17" t="str">
        <f>IFERROR(__xludf.DUMMYFUNCTION("""COMPUTED_VALUE"""),"Cra 24 n 27sur 191 / Ginebra Houses/ casa 112")</f>
        <v>Cra 24 n 27sur 191 / Ginebra Houses/ casa 112</v>
      </c>
      <c r="G7868" s="15" t="str">
        <f>IFERROR(__xludf.DUMMYFUNCTION("""COMPUTED_VALUE"""),"CAROLINA VALLEJO YEPEZ")</f>
        <v>CAROLINA VALLEJO YEPEZ</v>
      </c>
      <c r="H7868" s="16">
        <f>IFERROR(__xludf.DUMMYFUNCTION("""COMPUTED_VALUE"""),16555.0)</f>
        <v>16555</v>
      </c>
      <c r="I7868" s="17"/>
      <c r="J7868" s="17"/>
      <c r="K7868" s="17"/>
      <c r="L7868" s="17">
        <f>IFERROR(__xludf.DUMMYFUNCTION("""COMPUTED_VALUE"""),3.20694448E9)</f>
        <v>3206944480</v>
      </c>
      <c r="M7868" s="17"/>
      <c r="N7868" s="17"/>
      <c r="O7868" s="17"/>
      <c r="P7868" s="17" t="b">
        <f>IFERROR(__xludf.DUMMYFUNCTION("""COMPUTED_VALUE"""),FALSE)</f>
        <v>0</v>
      </c>
      <c r="Q7868" s="20" t="str">
        <f>IFERROR(__xludf.DUMMYFUNCTION("""COMPUTED_VALUE"""),"")</f>
        <v/>
      </c>
      <c r="R7868" s="22" t="str">
        <f>IFERROR(__xludf.DUMMYFUNCTION("""COMPUTED_VALUE"""),"")</f>
        <v/>
      </c>
    </row>
    <row r="7869">
      <c r="A7869" s="15">
        <f>IFERROR(__xludf.DUMMYFUNCTION("""COMPUTED_VALUE"""),45223.0)</f>
        <v>45223</v>
      </c>
      <c r="B7869" s="16" t="str">
        <f>IFERROR(__xludf.DUMMYFUNCTION("""COMPUTED_VALUE"""),"Santiago Garces Restrepo")</f>
        <v>Santiago Garces Restrepo</v>
      </c>
      <c r="C7869" s="15" t="str">
        <f>IFERROR(__xludf.DUMMYFUNCTION("""COMPUTED_VALUE"""),"MEDELLÍN")</f>
        <v>MEDELLÍN</v>
      </c>
      <c r="D7869" s="15" t="str">
        <f>IFERROR(__xludf.DUMMYFUNCTION("""COMPUTED_VALUE"""),"BOGOTÁ")</f>
        <v>BOGOTÁ</v>
      </c>
      <c r="E7869" s="15" t="str">
        <f>IFERROR(__xludf.DUMMYFUNCTION("""COMPUTED_VALUE"""),"Asociacion Agropecuaria Juana Maria")</f>
        <v>Asociacion Agropecuaria Juana Maria</v>
      </c>
      <c r="F7869" s="17" t="str">
        <f>IFERROR(__xludf.DUMMYFUNCTION("""COMPUTED_VALUE"""),"Carrera 15 BA # 30D-44 / int 201")</f>
        <v>Carrera 15 BA # 30D-44 / int 201</v>
      </c>
      <c r="G7869" s="15" t="str">
        <f>IFERROR(__xludf.DUMMYFUNCTION("""COMPUTED_VALUE"""),"Daniela Bedoya Blandon")</f>
        <v>Daniela Bedoya Blandon</v>
      </c>
      <c r="H7869" s="16">
        <f>IFERROR(__xludf.DUMMYFUNCTION("""COMPUTED_VALUE"""),16493.0)</f>
        <v>16493</v>
      </c>
      <c r="I7869" s="17"/>
      <c r="J7869" s="17"/>
      <c r="K7869" s="17"/>
      <c r="L7869" s="17">
        <f>IFERROR(__xludf.DUMMYFUNCTION("""COMPUTED_VALUE"""),3.14672822E9)</f>
        <v>3146728220</v>
      </c>
      <c r="M7869" s="17"/>
      <c r="N7869" s="17"/>
      <c r="O7869" s="17"/>
      <c r="P7869" s="17" t="b">
        <f>IFERROR(__xludf.DUMMYFUNCTION("""COMPUTED_VALUE"""),FALSE)</f>
        <v>0</v>
      </c>
      <c r="Q7869" s="20" t="str">
        <f>IFERROR(__xludf.DUMMYFUNCTION("""COMPUTED_VALUE"""),"")</f>
        <v/>
      </c>
      <c r="R7869" s="21" t="str">
        <f>IFERROR(__xludf.DUMMYFUNCTION("""COMPUTED_VALUE"""),"https://drive.google.com/file/d/1kpOuGUqN0LAo5zZy0iBMNoQm-SKkfl40/view?usp=drivesdk")</f>
        <v>https://drive.google.com/file/d/1kpOuGUqN0LAo5zZy0iBMNoQm-SKkfl40/view?usp=drivesdk</v>
      </c>
    </row>
    <row r="7870">
      <c r="A7870" s="15">
        <f>IFERROR(__xludf.DUMMYFUNCTION("""COMPUTED_VALUE"""),45223.0)</f>
        <v>45223</v>
      </c>
      <c r="B7870" s="16" t="str">
        <f>IFERROR(__xludf.DUMMYFUNCTION("""COMPUTED_VALUE"""),"Santiago Garces Restrepo")</f>
        <v>Santiago Garces Restrepo</v>
      </c>
      <c r="C7870" s="15" t="str">
        <f>IFERROR(__xludf.DUMMYFUNCTION("""COMPUTED_VALUE"""),"MEDELLÍN")</f>
        <v>MEDELLÍN</v>
      </c>
      <c r="D7870" s="15" t="str">
        <f>IFERROR(__xludf.DUMMYFUNCTION("""COMPUTED_VALUE"""),"BOGOTÁ")</f>
        <v>BOGOTÁ</v>
      </c>
      <c r="E7870" s="15" t="str">
        <f>IFERROR(__xludf.DUMMYFUNCTION("""COMPUTED_VALUE"""),"Asociacion Agropecuaria Juana Maria")</f>
        <v>Asociacion Agropecuaria Juana Maria</v>
      </c>
      <c r="F7870" s="17" t="str">
        <f>IFERROR(__xludf.DUMMYFUNCTION("""COMPUTED_VALUE"""),"Cra 82C # 30A-100 / apto 1202 urbanizacion Torres de Vicuña Belen los Alpes")</f>
        <v>Cra 82C # 30A-100 / apto 1202 urbanizacion Torres de Vicuña Belen los Alpes</v>
      </c>
      <c r="G7870" s="15" t="str">
        <f>IFERROR(__xludf.DUMMYFUNCTION("""COMPUTED_VALUE"""),"Gloria Moreno")</f>
        <v>Gloria Moreno</v>
      </c>
      <c r="H7870" s="16">
        <f>IFERROR(__xludf.DUMMYFUNCTION("""COMPUTED_VALUE"""),16494.0)</f>
        <v>16494</v>
      </c>
      <c r="I7870" s="17"/>
      <c r="J7870" s="17"/>
      <c r="K7870" s="17"/>
      <c r="L7870" s="17">
        <f>IFERROR(__xludf.DUMMYFUNCTION("""COMPUTED_VALUE"""),3.162544201E9)</f>
        <v>3162544201</v>
      </c>
      <c r="M7870" s="17"/>
      <c r="N7870" s="17"/>
      <c r="O7870" s="17"/>
      <c r="P7870" s="17" t="b">
        <f>IFERROR(__xludf.DUMMYFUNCTION("""COMPUTED_VALUE"""),FALSE)</f>
        <v>0</v>
      </c>
      <c r="Q7870" s="20" t="str">
        <f>IFERROR(__xludf.DUMMYFUNCTION("""COMPUTED_VALUE"""),"")</f>
        <v/>
      </c>
      <c r="R7870" s="22" t="str">
        <f>IFERROR(__xludf.DUMMYFUNCTION("""COMPUTED_VALUE"""),"")</f>
        <v/>
      </c>
    </row>
    <row r="7871">
      <c r="A7871" s="15">
        <f>IFERROR(__xludf.DUMMYFUNCTION("""COMPUTED_VALUE"""),45223.0)</f>
        <v>45223</v>
      </c>
      <c r="B7871" s="16" t="str">
        <f>IFERROR(__xludf.DUMMYFUNCTION("""COMPUTED_VALUE"""),"Santiago Garces Restrepo")</f>
        <v>Santiago Garces Restrepo</v>
      </c>
      <c r="C7871" s="15" t="str">
        <f>IFERROR(__xludf.DUMMYFUNCTION("""COMPUTED_VALUE"""),"MEDELLÍN")</f>
        <v>MEDELLÍN</v>
      </c>
      <c r="D7871" s="15" t="str">
        <f>IFERROR(__xludf.DUMMYFUNCTION("""COMPUTED_VALUE"""),"BOGOTÁ")</f>
        <v>BOGOTÁ</v>
      </c>
      <c r="E7871" s="15" t="str">
        <f>IFERROR(__xludf.DUMMYFUNCTION("""COMPUTED_VALUE"""),"Instinto alimento vital")</f>
        <v>Instinto alimento vital</v>
      </c>
      <c r="F7871" s="17" t="str">
        <f>IFERROR(__xludf.DUMMYFUNCTION("""COMPUTED_VALUE"""),"CRA 44 # 26 27 / EL POBLADO")</f>
        <v>CRA 44 # 26 27 / EL POBLADO</v>
      </c>
      <c r="G7871" s="15" t="str">
        <f>IFERROR(__xludf.DUMMYFUNCTION("""COMPUTED_VALUE"""),"BODEGA VELOSITY MEDELLIN")</f>
        <v>BODEGA VELOSITY MEDELLIN</v>
      </c>
      <c r="H7871" s="16">
        <f>IFERROR(__xludf.DUMMYFUNCTION("""COMPUTED_VALUE"""),16573.0)</f>
        <v>16573</v>
      </c>
      <c r="I7871" s="17"/>
      <c r="J7871" s="17"/>
      <c r="K7871" s="17"/>
      <c r="L7871" s="17">
        <f>IFERROR(__xludf.DUMMYFUNCTION("""COMPUTED_VALUE"""),3.124683372E9)</f>
        <v>3124683372</v>
      </c>
      <c r="M7871" s="17"/>
      <c r="N7871" s="17"/>
      <c r="O7871" s="17"/>
      <c r="P7871" s="17" t="b">
        <f>IFERROR(__xludf.DUMMYFUNCTION("""COMPUTED_VALUE"""),FALSE)</f>
        <v>0</v>
      </c>
      <c r="Q7871" s="20" t="str">
        <f>IFERROR(__xludf.DUMMYFUNCTION("""COMPUTED_VALUE"""),"")</f>
        <v/>
      </c>
      <c r="R7871" s="21" t="str">
        <f>IFERROR(__xludf.DUMMYFUNCTION("""COMPUTED_VALUE"""),"https://drive.google.com/file/d/19fydqT0jsisg1EycEqYkAaZHep-izefe/view?usp=drivesdk")</f>
        <v>https://drive.google.com/file/d/19fydqT0jsisg1EycEqYkAaZHep-izefe/view?usp=drivesdk</v>
      </c>
    </row>
    <row r="7872">
      <c r="A7872" s="15">
        <f>IFERROR(__xludf.DUMMYFUNCTION("""COMPUTED_VALUE"""),45223.0)</f>
        <v>45223</v>
      </c>
      <c r="B7872" s="16" t="str">
        <f>IFERROR(__xludf.DUMMYFUNCTION("""COMPUTED_VALUE"""),"Santiago Garces Restrepo")</f>
        <v>Santiago Garces Restrepo</v>
      </c>
      <c r="C7872" s="15" t="str">
        <f>IFERROR(__xludf.DUMMYFUNCTION("""COMPUTED_VALUE"""),"MEDELLÍN")</f>
        <v>MEDELLÍN</v>
      </c>
      <c r="D7872" s="15" t="str">
        <f>IFERROR(__xludf.DUMMYFUNCTION("""COMPUTED_VALUE"""),"BOGOTÁ")</f>
        <v>BOGOTÁ</v>
      </c>
      <c r="E7872" s="15" t="str">
        <f>IFERROR(__xludf.DUMMYFUNCTION("""COMPUTED_VALUE"""),"LINA PAOLA RAMIREZ GOMEZ - EVA MAZZITA")</f>
        <v>LINA PAOLA RAMIREZ GOMEZ - EVA MAZZITA</v>
      </c>
      <c r="F7872" s="17" t="str">
        <f>IFERROR(__xludf.DUMMYFUNCTION("""COMPUTED_VALUE"""),"CARRERA 47 B # 17 A SUR - 35 / EDIFICIO PORTONES DE SANTA MARÍA APTO. 409")</f>
        <v>CARRERA 47 B # 17 A SUR - 35 / EDIFICIO PORTONES DE SANTA MARÍA APTO. 409</v>
      </c>
      <c r="G7872" s="15" t="str">
        <f>IFERROR(__xludf.DUMMYFUNCTION("""COMPUTED_VALUE"""),"JULIANA GARCIA")</f>
        <v>JULIANA GARCIA</v>
      </c>
      <c r="H7872" s="16">
        <f>IFERROR(__xludf.DUMMYFUNCTION("""COMPUTED_VALUE"""),16556.0)</f>
        <v>16556</v>
      </c>
      <c r="I7872" s="17"/>
      <c r="J7872" s="17"/>
      <c r="K7872" s="17"/>
      <c r="L7872" s="17">
        <f>IFERROR(__xludf.DUMMYFUNCTION("""COMPUTED_VALUE"""),3.104017541E9)</f>
        <v>3104017541</v>
      </c>
      <c r="M7872" s="17"/>
      <c r="N7872" s="17"/>
      <c r="O7872" s="17"/>
      <c r="P7872" s="17" t="b">
        <f>IFERROR(__xludf.DUMMYFUNCTION("""COMPUTED_VALUE"""),FALSE)</f>
        <v>0</v>
      </c>
      <c r="Q7872" s="20" t="str">
        <f>IFERROR(__xludf.DUMMYFUNCTION("""COMPUTED_VALUE"""),"")</f>
        <v/>
      </c>
      <c r="R7872" s="22" t="str">
        <f>IFERROR(__xludf.DUMMYFUNCTION("""COMPUTED_VALUE"""),"")</f>
        <v/>
      </c>
    </row>
    <row r="7873">
      <c r="A7873" s="15">
        <f>IFERROR(__xludf.DUMMYFUNCTION("""COMPUTED_VALUE"""),45223.0)</f>
        <v>45223</v>
      </c>
      <c r="B7873" s="16" t="str">
        <f>IFERROR(__xludf.DUMMYFUNCTION("""COMPUTED_VALUE"""),"Santiago Garces Restrepo")</f>
        <v>Santiago Garces Restrepo</v>
      </c>
      <c r="C7873" s="15" t="str">
        <f>IFERROR(__xludf.DUMMYFUNCTION("""COMPUTED_VALUE"""),"MEDELLÍN")</f>
        <v>MEDELLÍN</v>
      </c>
      <c r="D7873" s="15" t="str">
        <f>IFERROR(__xludf.DUMMYFUNCTION("""COMPUTED_VALUE"""),"BOGOTÁ")</f>
        <v>BOGOTÁ</v>
      </c>
      <c r="E7873" s="15" t="str">
        <f>IFERROR(__xludf.DUMMYFUNCTION("""COMPUTED_VALUE"""),"LINA PAOLA RAMIREZ GOMEZ - EVA MAZZITA")</f>
        <v>LINA PAOLA RAMIREZ GOMEZ - EVA MAZZITA</v>
      </c>
      <c r="F7873" s="17" t="str">
        <f>IFERROR(__xludf.DUMMYFUNCTION("""COMPUTED_VALUE"""),"CRA 15 BA No. 34D - 44 / INT 201")</f>
        <v>CRA 15 BA No. 34D - 44 / INT 201</v>
      </c>
      <c r="G7873" s="15" t="str">
        <f>IFERROR(__xludf.DUMMYFUNCTION("""COMPUTED_VALUE"""),"DANIELA BEDOYA BLANDON")</f>
        <v>DANIELA BEDOYA BLANDON</v>
      </c>
      <c r="H7873" s="16">
        <f>IFERROR(__xludf.DUMMYFUNCTION("""COMPUTED_VALUE"""),16549.0)</f>
        <v>16549</v>
      </c>
      <c r="I7873" s="17"/>
      <c r="J7873" s="17"/>
      <c r="K7873" s="17"/>
      <c r="L7873" s="17">
        <f>IFERROR(__xludf.DUMMYFUNCTION("""COMPUTED_VALUE"""),3.14672822E9)</f>
        <v>3146728220</v>
      </c>
      <c r="M7873" s="17"/>
      <c r="N7873" s="17"/>
      <c r="O7873" s="17"/>
      <c r="P7873" s="17" t="b">
        <f>IFERROR(__xludf.DUMMYFUNCTION("""COMPUTED_VALUE"""),FALSE)</f>
        <v>0</v>
      </c>
      <c r="Q7873" s="20" t="str">
        <f>IFERROR(__xludf.DUMMYFUNCTION("""COMPUTED_VALUE"""),"")</f>
        <v/>
      </c>
      <c r="R7873" s="21" t="str">
        <f>IFERROR(__xludf.DUMMYFUNCTION("""COMPUTED_VALUE"""),"https://drive.google.com/file/d/1D5XRZmUag1K0kSeg33fZ0ABE8LBVg8_V/view?usp=drivesdk")</f>
        <v>https://drive.google.com/file/d/1D5XRZmUag1K0kSeg33fZ0ABE8LBVg8_V/view?usp=drivesdk</v>
      </c>
    </row>
    <row r="7874">
      <c r="A7874" s="15">
        <f>IFERROR(__xludf.DUMMYFUNCTION("""COMPUTED_VALUE"""),45223.0)</f>
        <v>45223</v>
      </c>
      <c r="B7874" s="16" t="str">
        <f>IFERROR(__xludf.DUMMYFUNCTION("""COMPUTED_VALUE"""),"Santiago Garces Restrepo")</f>
        <v>Santiago Garces Restrepo</v>
      </c>
      <c r="C7874" s="15" t="str">
        <f>IFERROR(__xludf.DUMMYFUNCTION("""COMPUTED_VALUE"""),"MEDELLÍN")</f>
        <v>MEDELLÍN</v>
      </c>
      <c r="D7874" s="15" t="str">
        <f>IFERROR(__xludf.DUMMYFUNCTION("""COMPUTED_VALUE"""),"BOGOTÁ")</f>
        <v>BOGOTÁ</v>
      </c>
      <c r="E7874" s="15" t="str">
        <f>IFERROR(__xludf.DUMMYFUNCTION("""COMPUTED_VALUE"""),"LINA PAOLA RAMIREZ GOMEZ - EVA MAZZITA")</f>
        <v>LINA PAOLA RAMIREZ GOMEZ - EVA MAZZITA</v>
      </c>
      <c r="F7874" s="17" t="str">
        <f>IFERROR(__xludf.DUMMYFUNCTION("""COMPUTED_VALUE"""),"CRA 29C No. 4 SUR -130 / CASA 119 URBANIZACION LA CAMPIÑA DEL POBLADO")</f>
        <v>CRA 29C No. 4 SUR -130 / CASA 119 URBANIZACION LA CAMPIÑA DEL POBLADO</v>
      </c>
      <c r="G7874" s="15" t="str">
        <f>IFERROR(__xludf.DUMMYFUNCTION("""COMPUTED_VALUE"""),"MARCELA GIL")</f>
        <v>MARCELA GIL</v>
      </c>
      <c r="H7874" s="16">
        <f>IFERROR(__xludf.DUMMYFUNCTION("""COMPUTED_VALUE"""),16557.0)</f>
        <v>16557</v>
      </c>
      <c r="I7874" s="17"/>
      <c r="J7874" s="17"/>
      <c r="K7874" s="17"/>
      <c r="L7874" s="17">
        <f>IFERROR(__xludf.DUMMYFUNCTION("""COMPUTED_VALUE"""),3.04382291E9)</f>
        <v>3043822910</v>
      </c>
      <c r="M7874" s="17"/>
      <c r="N7874" s="17"/>
      <c r="O7874" s="17"/>
      <c r="P7874" s="17" t="b">
        <f>IFERROR(__xludf.DUMMYFUNCTION("""COMPUTED_VALUE"""),FALSE)</f>
        <v>0</v>
      </c>
      <c r="Q7874" s="20" t="str">
        <f>IFERROR(__xludf.DUMMYFUNCTION("""COMPUTED_VALUE"""),"")</f>
        <v/>
      </c>
      <c r="R7874" s="22" t="str">
        <f>IFERROR(__xludf.DUMMYFUNCTION("""COMPUTED_VALUE"""),"")</f>
        <v/>
      </c>
    </row>
    <row r="7875">
      <c r="A7875" s="15">
        <f>IFERROR(__xludf.DUMMYFUNCTION("""COMPUTED_VALUE"""),45223.0)</f>
        <v>45223</v>
      </c>
      <c r="B7875" s="16" t="str">
        <f>IFERROR(__xludf.DUMMYFUNCTION("""COMPUTED_VALUE"""),"Santiago Garces Restrepo")</f>
        <v>Santiago Garces Restrepo</v>
      </c>
      <c r="C7875" s="15" t="str">
        <f>IFERROR(__xludf.DUMMYFUNCTION("""COMPUTED_VALUE"""),"MEDELLÍN")</f>
        <v>MEDELLÍN</v>
      </c>
      <c r="D7875" s="15" t="str">
        <f>IFERROR(__xludf.DUMMYFUNCTION("""COMPUTED_VALUE"""),"BOGOTÁ")</f>
        <v>BOGOTÁ</v>
      </c>
      <c r="E7875" s="15" t="str">
        <f>IFERROR(__xludf.DUMMYFUNCTION("""COMPUTED_VALUE"""),"LINA PAOLA RAMIREZ GOMEZ - EVA MAZZITA")</f>
        <v>LINA PAOLA RAMIREZ GOMEZ - EVA MAZZITA</v>
      </c>
      <c r="F7875" s="17" t="str">
        <f>IFERROR(__xludf.DUMMYFUNCTION("""COMPUTED_VALUE"""),"Cra 42 # 18B-31 / Edificio castropol señorial 2 /apto 301")</f>
        <v>Cra 42 # 18B-31 / Edificio castropol señorial 2 /apto 301</v>
      </c>
      <c r="G7875" s="15" t="str">
        <f>IFERROR(__xludf.DUMMYFUNCTION("""COMPUTED_VALUE"""),"TATIANA MAZO")</f>
        <v>TATIANA MAZO</v>
      </c>
      <c r="H7875" s="16">
        <f>IFERROR(__xludf.DUMMYFUNCTION("""COMPUTED_VALUE"""),16559.0)</f>
        <v>16559</v>
      </c>
      <c r="I7875" s="17"/>
      <c r="J7875" s="17"/>
      <c r="K7875" s="17"/>
      <c r="L7875" s="17">
        <f>IFERROR(__xludf.DUMMYFUNCTION("""COMPUTED_VALUE"""),3.136745425E9)</f>
        <v>3136745425</v>
      </c>
      <c r="M7875" s="17"/>
      <c r="N7875" s="17"/>
      <c r="O7875" s="17"/>
      <c r="P7875" s="17" t="b">
        <f>IFERROR(__xludf.DUMMYFUNCTION("""COMPUTED_VALUE"""),FALSE)</f>
        <v>0</v>
      </c>
      <c r="Q7875" s="20" t="str">
        <f>IFERROR(__xludf.DUMMYFUNCTION("""COMPUTED_VALUE"""),"")</f>
        <v/>
      </c>
      <c r="R7875" s="22" t="str">
        <f>IFERROR(__xludf.DUMMYFUNCTION("""COMPUTED_VALUE"""),"")</f>
        <v/>
      </c>
    </row>
    <row r="7876">
      <c r="A7876" s="15">
        <f>IFERROR(__xludf.DUMMYFUNCTION("""COMPUTED_VALUE"""),45223.0)</f>
        <v>45223</v>
      </c>
      <c r="B7876" s="16" t="str">
        <f>IFERROR(__xludf.DUMMYFUNCTION("""COMPUTED_VALUE"""),"Santiago Garces Restrepo")</f>
        <v>Santiago Garces Restrepo</v>
      </c>
      <c r="C7876" s="15" t="str">
        <f>IFERROR(__xludf.DUMMYFUNCTION("""COMPUTED_VALUE"""),"MEDELLÍN")</f>
        <v>MEDELLÍN</v>
      </c>
      <c r="D7876" s="15" t="str">
        <f>IFERROR(__xludf.DUMMYFUNCTION("""COMPUTED_VALUE"""),"BOGOTÁ")</f>
        <v>BOGOTÁ</v>
      </c>
      <c r="E7876" s="15" t="str">
        <f>IFERROR(__xludf.DUMMYFUNCTION("""COMPUTED_VALUE"""),"LINA PAOLA RAMIREZ GOMEZ - EVA MAZZITA")</f>
        <v>LINA PAOLA RAMIREZ GOMEZ - EVA MAZZITA</v>
      </c>
      <c r="F7876" s="17" t="str">
        <f>IFERROR(__xludf.DUMMYFUNCTION("""COMPUTED_VALUE"""),"Crr 20 n 12 sur 424 / DuVille 805 Poblado")</f>
        <v>Crr 20 n 12 sur 424 / DuVille 805 Poblado</v>
      </c>
      <c r="G7876" s="15" t="str">
        <f>IFERROR(__xludf.DUMMYFUNCTION("""COMPUTED_VALUE"""),"MANUELA MONSALVE")</f>
        <v>MANUELA MONSALVE</v>
      </c>
      <c r="H7876" s="16">
        <f>IFERROR(__xludf.DUMMYFUNCTION("""COMPUTED_VALUE"""),16558.0)</f>
        <v>16558</v>
      </c>
      <c r="I7876" s="17"/>
      <c r="J7876" s="17"/>
      <c r="K7876" s="17"/>
      <c r="L7876" s="17">
        <f>IFERROR(__xludf.DUMMYFUNCTION("""COMPUTED_VALUE"""),3.18649839E9)</f>
        <v>3186498390</v>
      </c>
      <c r="M7876" s="17"/>
      <c r="N7876" s="17"/>
      <c r="O7876" s="17"/>
      <c r="P7876" s="17" t="b">
        <f>IFERROR(__xludf.DUMMYFUNCTION("""COMPUTED_VALUE"""),FALSE)</f>
        <v>0</v>
      </c>
      <c r="Q7876" s="20" t="str">
        <f>IFERROR(__xludf.DUMMYFUNCTION("""COMPUTED_VALUE"""),"")</f>
        <v/>
      </c>
      <c r="R7876" s="22" t="str">
        <f>IFERROR(__xludf.DUMMYFUNCTION("""COMPUTED_VALUE"""),"")</f>
        <v/>
      </c>
    </row>
    <row r="7877">
      <c r="A7877" s="15">
        <f>IFERROR(__xludf.DUMMYFUNCTION("""COMPUTED_VALUE"""),45223.0)</f>
        <v>45223</v>
      </c>
      <c r="B7877" s="16" t="str">
        <f>IFERROR(__xludf.DUMMYFUNCTION("""COMPUTED_VALUE"""),"Santiago Garces Restrepo")</f>
        <v>Santiago Garces Restrepo</v>
      </c>
      <c r="C7877" s="15" t="str">
        <f>IFERROR(__xludf.DUMMYFUNCTION("""COMPUTED_VALUE"""),"MEDELLÍN")</f>
        <v>MEDELLÍN</v>
      </c>
      <c r="D7877" s="15" t="str">
        <f>IFERROR(__xludf.DUMMYFUNCTION("""COMPUTED_VALUE"""),"BOGOTÁ")</f>
        <v>BOGOTÁ</v>
      </c>
      <c r="E7877" s="15" t="str">
        <f>IFERROR(__xludf.DUMMYFUNCTION("""COMPUTED_VALUE"""),"Mochi")</f>
        <v>Mochi</v>
      </c>
      <c r="F7877" s="17" t="str">
        <f>IFERROR(__xludf.DUMMYFUNCTION("""COMPUTED_VALUE"""),"Cra 48 #32 b sur 139 / Centro comercial viva envigado sotano 2 bodega 30 / Envigado")</f>
        <v>Cra 48 #32 b sur 139 / Centro comercial viva envigado sotano 2 bodega 30 / Envigado</v>
      </c>
      <c r="G7877" s="15" t="str">
        <f>IFERROR(__xludf.DUMMYFUNCTION("""COMPUTED_VALUE"""),"Tania vellojin")</f>
        <v>Tania vellojin</v>
      </c>
      <c r="H7877" s="16">
        <f>IFERROR(__xludf.DUMMYFUNCTION("""COMPUTED_VALUE"""),16579.0)</f>
        <v>16579</v>
      </c>
      <c r="I7877" s="18">
        <f>IFERROR(__xludf.DUMMYFUNCTION("""COMPUTED_VALUE"""),55.0)</f>
        <v>55</v>
      </c>
      <c r="J7877" s="18">
        <f>IFERROR(__xludf.DUMMYFUNCTION("""COMPUTED_VALUE"""),44.0)</f>
        <v>44</v>
      </c>
      <c r="K7877" s="18" t="str">
        <f>IFERROR(__xludf.DUMMYFUNCTION("""COMPUTED_VALUE"""),"52.5")</f>
        <v>52.5</v>
      </c>
      <c r="L7877" s="17">
        <f>IFERROR(__xludf.DUMMYFUNCTION("""COMPUTED_VALUE"""),3.142587996E9)</f>
        <v>3142587996</v>
      </c>
      <c r="M7877" s="17"/>
      <c r="N7877" s="17"/>
      <c r="O7877" s="17"/>
      <c r="P7877" s="17" t="b">
        <f>IFERROR(__xludf.DUMMYFUNCTION("""COMPUTED_VALUE"""),FALSE)</f>
        <v>0</v>
      </c>
      <c r="Q7877" s="20" t="str">
        <f>IFERROR(__xludf.DUMMYFUNCTION("""COMPUTED_VALUE"""),"")</f>
        <v/>
      </c>
      <c r="R7877" s="21" t="str">
        <f>IFERROR(__xludf.DUMMYFUNCTION("""COMPUTED_VALUE"""),"https://drive.google.com/file/d/1nquJEcZ61ID4QtaE9dwfwpkuxFkZRsXS/view?usp=drivesdk")</f>
        <v>https://drive.google.com/file/d/1nquJEcZ61ID4QtaE9dwfwpkuxFkZRsXS/view?usp=drivesdk</v>
      </c>
    </row>
    <row r="7878">
      <c r="A7878" s="15">
        <f>IFERROR(__xludf.DUMMYFUNCTION("""COMPUTED_VALUE"""),45223.0)</f>
        <v>45223</v>
      </c>
      <c r="B7878" s="16" t="str">
        <f>IFERROR(__xludf.DUMMYFUNCTION("""COMPUTED_VALUE"""),"Santiago Garces Restrepo")</f>
        <v>Santiago Garces Restrepo</v>
      </c>
      <c r="C7878" s="15" t="str">
        <f>IFERROR(__xludf.DUMMYFUNCTION("""COMPUTED_VALUE"""),"MEDELLÍN")</f>
        <v>MEDELLÍN</v>
      </c>
      <c r="D7878" s="15" t="str">
        <f>IFERROR(__xludf.DUMMYFUNCTION("""COMPUTED_VALUE"""),"BOGOTÁ")</f>
        <v>BOGOTÁ</v>
      </c>
      <c r="E7878" s="15" t="str">
        <f>IFERROR(__xludf.DUMMYFUNCTION("""COMPUTED_VALUE"""),"Pan de Waffle")</f>
        <v>Pan de Waffle</v>
      </c>
      <c r="F7878" s="17" t="str">
        <f>IFERROR(__xludf.DUMMYFUNCTION("""COMPUTED_VALUE"""),"Transveral 39b # 77 - 40 Laureles  / Transveral 39b # 77 - 40 Laureles  / Transveral 39b # 77 - 40 Laureles")</f>
        <v>Transveral 39b # 77 - 40 Laureles  / Transveral 39b # 77 - 40 Laureles  / Transveral 39b # 77 - 40 Laureles</v>
      </c>
      <c r="G7878" s="15" t="str">
        <f>IFERROR(__xludf.DUMMYFUNCTION("""COMPUTED_VALUE"""),"VITA INTEGRAL")</f>
        <v>VITA INTEGRAL</v>
      </c>
      <c r="H7878" s="16">
        <f>IFERROR(__xludf.DUMMYFUNCTION("""COMPUTED_VALUE"""),16576.0)</f>
        <v>16576</v>
      </c>
      <c r="I7878" s="18">
        <f>IFERROR(__xludf.DUMMYFUNCTION("""COMPUTED_VALUE"""),40.0)</f>
        <v>40</v>
      </c>
      <c r="J7878" s="18">
        <f>IFERROR(__xludf.DUMMYFUNCTION("""COMPUTED_VALUE"""),30.0)</f>
        <v>30</v>
      </c>
      <c r="K7878" s="18">
        <f>IFERROR(__xludf.DUMMYFUNCTION("""COMPUTED_VALUE"""),40.0)</f>
        <v>40</v>
      </c>
      <c r="L7878" s="17">
        <f>IFERROR(__xludf.DUMMYFUNCTION("""COMPUTED_VALUE"""),3.20865425E9)</f>
        <v>3208654250</v>
      </c>
      <c r="M7878" s="17"/>
      <c r="N7878" s="17"/>
      <c r="O7878" s="17"/>
      <c r="P7878" s="17" t="b">
        <f>IFERROR(__xludf.DUMMYFUNCTION("""COMPUTED_VALUE"""),FALSE)</f>
        <v>0</v>
      </c>
      <c r="Q7878" s="20" t="str">
        <f>IFERROR(__xludf.DUMMYFUNCTION("""COMPUTED_VALUE"""),"")</f>
        <v/>
      </c>
      <c r="R7878" s="21" t="str">
        <f>IFERROR(__xludf.DUMMYFUNCTION("""COMPUTED_VALUE"""),"https://drive.google.com/file/d/1Tbg1z89d7_oU-3zXdsj-aNz1n9Pri88b/view?usp=drivesdk")</f>
        <v>https://drive.google.com/file/d/1Tbg1z89d7_oU-3zXdsj-aNz1n9Pri88b/view?usp=drivesdk</v>
      </c>
    </row>
    <row r="7879">
      <c r="A7879" s="15">
        <f>IFERROR(__xludf.DUMMYFUNCTION("""COMPUTED_VALUE"""),45223.0)</f>
        <v>45223</v>
      </c>
      <c r="B7879" s="16" t="str">
        <f>IFERROR(__xludf.DUMMYFUNCTION("""COMPUTED_VALUE"""),"Santiago Garces Restrepo")</f>
        <v>Santiago Garces Restrepo</v>
      </c>
      <c r="C7879" s="15" t="str">
        <f>IFERROR(__xludf.DUMMYFUNCTION("""COMPUTED_VALUE"""),"MEDELLÍN")</f>
        <v>MEDELLÍN</v>
      </c>
      <c r="D7879" s="15" t="str">
        <f>IFERROR(__xludf.DUMMYFUNCTION("""COMPUTED_VALUE"""),"BOGOTÁ")</f>
        <v>BOGOTÁ</v>
      </c>
      <c r="E7879" s="15" t="str">
        <f>IFERROR(__xludf.DUMMYFUNCTION("""COMPUTED_VALUE"""),"Top Spun")</f>
        <v>Top Spun</v>
      </c>
      <c r="F7879" s="17" t="str">
        <f>IFERROR(__xludf.DUMMYFUNCTION("""COMPUTED_VALUE"""),"Cra 30 #17 sur 26 / Apto 502  / Vega de Antares")</f>
        <v>Cra 30 #17 sur 26 / Apto 502  / Vega de Antares</v>
      </c>
      <c r="G7879" s="15" t="str">
        <f>IFERROR(__xludf.DUMMYFUNCTION("""COMPUTED_VALUE"""),"Susana Escobar")</f>
        <v>Susana Escobar</v>
      </c>
      <c r="H7879" s="16">
        <f>IFERROR(__xludf.DUMMYFUNCTION("""COMPUTED_VALUE"""),16483.0)</f>
        <v>16483</v>
      </c>
      <c r="I7879" s="18">
        <f>IFERROR(__xludf.DUMMYFUNCTION("""COMPUTED_VALUE"""),20.0)</f>
        <v>20</v>
      </c>
      <c r="J7879" s="18">
        <f>IFERROR(__xludf.DUMMYFUNCTION("""COMPUTED_VALUE"""),10.0)</f>
        <v>10</v>
      </c>
      <c r="K7879" s="18">
        <f>IFERROR(__xludf.DUMMYFUNCTION("""COMPUTED_VALUE"""),40.0)</f>
        <v>40</v>
      </c>
      <c r="L7879" s="17">
        <f>IFERROR(__xludf.DUMMYFUNCTION("""COMPUTED_VALUE"""),3.007873217E9)</f>
        <v>3007873217</v>
      </c>
      <c r="M7879" s="17"/>
      <c r="N7879" s="17"/>
      <c r="O7879" s="17"/>
      <c r="P7879" s="17" t="b">
        <f>IFERROR(__xludf.DUMMYFUNCTION("""COMPUTED_VALUE"""),FALSE)</f>
        <v>0</v>
      </c>
      <c r="Q7879" s="20" t="str">
        <f>IFERROR(__xludf.DUMMYFUNCTION("""COMPUTED_VALUE"""),"")</f>
        <v/>
      </c>
      <c r="R7879" s="22" t="str">
        <f>IFERROR(__xludf.DUMMYFUNCTION("""COMPUTED_VALUE"""),"")</f>
        <v/>
      </c>
    </row>
    <row r="7880">
      <c r="A7880" s="15">
        <f>IFERROR(__xludf.DUMMYFUNCTION("""COMPUTED_VALUE"""),45223.0)</f>
        <v>45223</v>
      </c>
      <c r="B7880" s="16" t="str">
        <f>IFERROR(__xludf.DUMMYFUNCTION("""COMPUTED_VALUE"""),"Santiago Garces Restrepo")</f>
        <v>Santiago Garces Restrepo</v>
      </c>
      <c r="C7880" s="15" t="str">
        <f>IFERROR(__xludf.DUMMYFUNCTION("""COMPUTED_VALUE"""),"MEDELLÍN")</f>
        <v>MEDELLÍN</v>
      </c>
      <c r="D7880" s="15" t="str">
        <f>IFERROR(__xludf.DUMMYFUNCTION("""COMPUTED_VALUE"""),"BOGOTÁ")</f>
        <v>BOGOTÁ</v>
      </c>
      <c r="E7880" s="15" t="str">
        <f>IFERROR(__xludf.DUMMYFUNCTION("""COMPUTED_VALUE"""),"Top Spun")</f>
        <v>Top Spun</v>
      </c>
      <c r="F7880" s="17" t="str">
        <f>IFERROR(__xludf.DUMMYFUNCTION("""COMPUTED_VALUE"""),"Cra 40B 15-300 / Apto 306 / Ed. Cabo Verde")</f>
        <v>Cra 40B 15-300 / Apto 306 / Ed. Cabo Verde</v>
      </c>
      <c r="G7880" s="15" t="str">
        <f>IFERROR(__xludf.DUMMYFUNCTION("""COMPUTED_VALUE"""),"Juliana Posada Estrada")</f>
        <v>Juliana Posada Estrada</v>
      </c>
      <c r="H7880" s="16">
        <f>IFERROR(__xludf.DUMMYFUNCTION("""COMPUTED_VALUE"""),16484.0)</f>
        <v>16484</v>
      </c>
      <c r="I7880" s="18">
        <f>IFERROR(__xludf.DUMMYFUNCTION("""COMPUTED_VALUE"""),20.0)</f>
        <v>20</v>
      </c>
      <c r="J7880" s="18">
        <f>IFERROR(__xludf.DUMMYFUNCTION("""COMPUTED_VALUE"""),10.0)</f>
        <v>10</v>
      </c>
      <c r="K7880" s="18">
        <f>IFERROR(__xludf.DUMMYFUNCTION("""COMPUTED_VALUE"""),40.0)</f>
        <v>40</v>
      </c>
      <c r="L7880" s="17">
        <f>IFERROR(__xludf.DUMMYFUNCTION("""COMPUTED_VALUE"""),3.007870782E9)</f>
        <v>3007870782</v>
      </c>
      <c r="M7880" s="17"/>
      <c r="N7880" s="17"/>
      <c r="O7880" s="17"/>
      <c r="P7880" s="17" t="b">
        <f>IFERROR(__xludf.DUMMYFUNCTION("""COMPUTED_VALUE"""),FALSE)</f>
        <v>0</v>
      </c>
      <c r="Q7880" s="20" t="str">
        <f>IFERROR(__xludf.DUMMYFUNCTION("""COMPUTED_VALUE"""),"")</f>
        <v/>
      </c>
      <c r="R7880" s="22" t="str">
        <f>IFERROR(__xludf.DUMMYFUNCTION("""COMPUTED_VALUE"""),"")</f>
        <v/>
      </c>
    </row>
    <row r="7881">
      <c r="A7881" s="15">
        <f>IFERROR(__xludf.DUMMYFUNCTION("""COMPUTED_VALUE"""),45223.0)</f>
        <v>45223</v>
      </c>
      <c r="B7881" s="16" t="str">
        <f>IFERROR(__xludf.DUMMYFUNCTION("""COMPUTED_VALUE"""),"Santiago Garces Restrepo")</f>
        <v>Santiago Garces Restrepo</v>
      </c>
      <c r="C7881" s="15" t="str">
        <f>IFERROR(__xludf.DUMMYFUNCTION("""COMPUTED_VALUE"""),"MEDELLÍN")</f>
        <v>MEDELLÍN</v>
      </c>
      <c r="D7881" s="15" t="str">
        <f>IFERROR(__xludf.DUMMYFUNCTION("""COMPUTED_VALUE"""),"BOGOTÁ")</f>
        <v>BOGOTÁ</v>
      </c>
      <c r="E7881" s="15" t="str">
        <f>IFERROR(__xludf.DUMMYFUNCTION("""COMPUTED_VALUE"""),"Ventura Productos Arg")</f>
        <v>Ventura Productos Arg</v>
      </c>
      <c r="F7881" s="17" t="str">
        <f>IFERROR(__xludf.DUMMYFUNCTION("""COMPUTED_VALUE"""),"Cra 29 A # 5 Sur 95 / apto 1002 edificio torre Génesis")</f>
        <v>Cra 29 A # 5 Sur 95 / apto 1002 edificio torre Génesis</v>
      </c>
      <c r="G7881" s="15" t="str">
        <f>IFERROR(__xludf.DUMMYFUNCTION("""COMPUTED_VALUE"""),"Antonia Gutierrez")</f>
        <v>Antonia Gutierrez</v>
      </c>
      <c r="H7881" s="16">
        <f>IFERROR(__xludf.DUMMYFUNCTION("""COMPUTED_VALUE"""),16520.0)</f>
        <v>16520</v>
      </c>
      <c r="I7881" s="17"/>
      <c r="J7881" s="17"/>
      <c r="K7881" s="17"/>
      <c r="L7881" s="17"/>
      <c r="M7881" s="17"/>
      <c r="N7881" s="17"/>
      <c r="O7881" s="17"/>
      <c r="P7881" s="17" t="b">
        <f>IFERROR(__xludf.DUMMYFUNCTION("""COMPUTED_VALUE"""),FALSE)</f>
        <v>0</v>
      </c>
      <c r="Q7881" s="20" t="str">
        <f>IFERROR(__xludf.DUMMYFUNCTION("""COMPUTED_VALUE"""),"")</f>
        <v/>
      </c>
      <c r="R7881" s="22" t="str">
        <f>IFERROR(__xludf.DUMMYFUNCTION("""COMPUTED_VALUE"""),"")</f>
        <v/>
      </c>
    </row>
    <row r="7882">
      <c r="A7882" s="15">
        <f>IFERROR(__xludf.DUMMYFUNCTION("""COMPUTED_VALUE"""),45223.0)</f>
        <v>45223</v>
      </c>
      <c r="B7882" s="16" t="str">
        <f>IFERROR(__xludf.DUMMYFUNCTION("""COMPUTED_VALUE"""),"Santiago Garces Restrepo")</f>
        <v>Santiago Garces Restrepo</v>
      </c>
      <c r="C7882" s="15" t="str">
        <f>IFERROR(__xludf.DUMMYFUNCTION("""COMPUTED_VALUE"""),"MEDELLÍN")</f>
        <v>MEDELLÍN</v>
      </c>
      <c r="D7882" s="15" t="str">
        <f>IFERROR(__xludf.DUMMYFUNCTION("""COMPUTED_VALUE"""),"BOGOTÁ")</f>
        <v>BOGOTÁ</v>
      </c>
      <c r="E7882" s="15" t="str">
        <f>IFERROR(__xludf.DUMMYFUNCTION("""COMPUTED_VALUE"""),"Viiva Fermentados")</f>
        <v>Viiva Fermentados</v>
      </c>
      <c r="F7882" s="17" t="str">
        <f>IFERROR(__xludf.DUMMYFUNCTION("""COMPUTED_VALUE"""),"Calle 98 #50b-19 / primer piso preguntar por Doña Fabiola / Aranjuez")</f>
        <v>Calle 98 #50b-19 / primer piso preguntar por Doña Fabiola / Aranjuez</v>
      </c>
      <c r="G7882" s="15" t="str">
        <f>IFERROR(__xludf.DUMMYFUNCTION("""COMPUTED_VALUE"""),"Bayron Rodriguez")</f>
        <v>Bayron Rodriguez</v>
      </c>
      <c r="H7882" s="16">
        <f>IFERROR(__xludf.DUMMYFUNCTION("""COMPUTED_VALUE"""),16504.0)</f>
        <v>16504</v>
      </c>
      <c r="I7882" s="18">
        <f>IFERROR(__xludf.DUMMYFUNCTION("""COMPUTED_VALUE"""),21.0)</f>
        <v>21</v>
      </c>
      <c r="J7882" s="18">
        <f>IFERROR(__xludf.DUMMYFUNCTION("""COMPUTED_VALUE"""),36.0)</f>
        <v>36</v>
      </c>
      <c r="K7882" s="18">
        <f>IFERROR(__xludf.DUMMYFUNCTION("""COMPUTED_VALUE"""),24.0)</f>
        <v>24</v>
      </c>
      <c r="L7882" s="17">
        <f>IFERROR(__xludf.DUMMYFUNCTION("""COMPUTED_VALUE"""),3.166261966E9)</f>
        <v>3166261966</v>
      </c>
      <c r="M7882" s="17"/>
      <c r="N7882" s="17"/>
      <c r="O7882" s="17"/>
      <c r="P7882" s="17" t="b">
        <f>IFERROR(__xludf.DUMMYFUNCTION("""COMPUTED_VALUE"""),FALSE)</f>
        <v>0</v>
      </c>
      <c r="Q7882" s="20" t="str">
        <f>IFERROR(__xludf.DUMMYFUNCTION("""COMPUTED_VALUE"""),"")</f>
        <v/>
      </c>
      <c r="R7882" s="22" t="str">
        <f>IFERROR(__xludf.DUMMYFUNCTION("""COMPUTED_VALUE"""),"")</f>
        <v/>
      </c>
    </row>
    <row r="7883">
      <c r="A7883" s="17" t="str">
        <f>IFERROR(__xludf.DUMMYFUNCTION("""COMPUTED_VALUE"""),"")</f>
        <v/>
      </c>
      <c r="B7883" s="17" t="str">
        <f>IFERROR(__xludf.DUMMYFUNCTION("""COMPUTED_VALUE"""),"")</f>
        <v/>
      </c>
      <c r="C7883" s="17" t="str">
        <f>IFERROR(__xludf.DUMMYFUNCTION("""COMPUTED_VALUE"""),"")</f>
        <v/>
      </c>
      <c r="D7883" s="17" t="str">
        <f>IFERROR(__xludf.DUMMYFUNCTION("""COMPUTED_VALUE"""),"")</f>
        <v/>
      </c>
      <c r="E7883" s="17" t="str">
        <f>IFERROR(__xludf.DUMMYFUNCTION("""COMPUTED_VALUE"""),"")</f>
        <v/>
      </c>
      <c r="F7883" s="17" t="str">
        <f>IFERROR(__xludf.DUMMYFUNCTION("""COMPUTED_VALUE"""),"")</f>
        <v/>
      </c>
      <c r="G7883" s="17" t="str">
        <f>IFERROR(__xludf.DUMMYFUNCTION("""COMPUTED_VALUE"""),"")</f>
        <v/>
      </c>
      <c r="H7883" s="17" t="str">
        <f>IFERROR(__xludf.DUMMYFUNCTION("""COMPUTED_VALUE"""),"")</f>
        <v/>
      </c>
      <c r="I7883" s="17" t="str">
        <f>IFERROR(__xludf.DUMMYFUNCTION("""COMPUTED_VALUE"""),"")</f>
        <v/>
      </c>
      <c r="J7883" s="17" t="str">
        <f>IFERROR(__xludf.DUMMYFUNCTION("""COMPUTED_VALUE"""),"")</f>
        <v/>
      </c>
      <c r="K7883" s="17" t="str">
        <f>IFERROR(__xludf.DUMMYFUNCTION("""COMPUTED_VALUE"""),"")</f>
        <v/>
      </c>
      <c r="L7883" s="17" t="str">
        <f>IFERROR(__xludf.DUMMYFUNCTION("""COMPUTED_VALUE"""),"")</f>
        <v/>
      </c>
      <c r="M7883" s="17" t="str">
        <f>IFERROR(__xludf.DUMMYFUNCTION("""COMPUTED_VALUE"""),"")</f>
        <v/>
      </c>
      <c r="N7883" s="17" t="str">
        <f>IFERROR(__xludf.DUMMYFUNCTION("""COMPUTED_VALUE"""),"")</f>
        <v/>
      </c>
      <c r="O7883" s="17" t="str">
        <f>IFERROR(__xludf.DUMMYFUNCTION("""COMPUTED_VALUE"""),"")</f>
        <v/>
      </c>
      <c r="P7883" s="17" t="str">
        <f>IFERROR(__xludf.DUMMYFUNCTION("""COMPUTED_VALUE"""),"")</f>
        <v/>
      </c>
      <c r="Q7883" s="17" t="str">
        <f>IFERROR(__xludf.DUMMYFUNCTION("""COMPUTED_VALUE"""),"")</f>
        <v/>
      </c>
      <c r="R7883" s="17" t="str">
        <f>IFERROR(__xludf.DUMMYFUNCTION("""COMPUTED_VALUE"""),"")</f>
        <v/>
      </c>
    </row>
    <row r="7884">
      <c r="A7884" s="15">
        <f>IFERROR(__xludf.DUMMYFUNCTION("""COMPUTED_VALUE"""),45224.0)</f>
        <v>45224</v>
      </c>
      <c r="B7884" s="16" t="str">
        <f>IFERROR(__xludf.DUMMYFUNCTION("""COMPUTED_VALUE"""),"Alvaro Chacón")</f>
        <v>Alvaro Chacón</v>
      </c>
      <c r="C7884" s="15" t="str">
        <f>IFERROR(__xludf.DUMMYFUNCTION("""COMPUTED_VALUE"""),"BOGOTÁ")</f>
        <v>BOGOTÁ</v>
      </c>
      <c r="D7884" s="15" t="str">
        <f>IFERROR(__xludf.DUMMYFUNCTION("""COMPUTED_VALUE"""),"MEDELLÍN")</f>
        <v>MEDELLÍN</v>
      </c>
      <c r="E7884" s="15" t="str">
        <f>IFERROR(__xludf.DUMMYFUNCTION("""COMPUTED_VALUE"""),"Aurea Foods SAS")</f>
        <v>Aurea Foods SAS</v>
      </c>
      <c r="F7884" s="17" t="str">
        <f>IFERROR(__xludf.DUMMYFUNCTION("""COMPUTED_VALUE"""),"Calle 63 #1-59 / Edf. View 63, Apto.2612 / Chapinero Alto")</f>
        <v>Calle 63 #1-59 / Edf. View 63, Apto.2612 / Chapinero Alto</v>
      </c>
      <c r="G7884" s="15" t="str">
        <f>IFERROR(__xludf.DUMMYFUNCTION("""COMPUTED_VALUE"""),"Carolina Gallon")</f>
        <v>Carolina Gallon</v>
      </c>
      <c r="H7884" s="16">
        <f>IFERROR(__xludf.DUMMYFUNCTION("""COMPUTED_VALUE"""),16582.0)</f>
        <v>16582</v>
      </c>
      <c r="I7884" s="18">
        <f>IFERROR(__xludf.DUMMYFUNCTION("""COMPUTED_VALUE"""),45057.0)</f>
        <v>45057</v>
      </c>
      <c r="J7884" s="18">
        <f>IFERROR(__xludf.DUMMYFUNCTION("""COMPUTED_VALUE"""),23.0)</f>
        <v>23</v>
      </c>
      <c r="K7884" s="18">
        <f>IFERROR(__xludf.DUMMYFUNCTION("""COMPUTED_VALUE"""),17.0)</f>
        <v>17</v>
      </c>
      <c r="L7884" s="17">
        <f>IFERROR(__xludf.DUMMYFUNCTION("""COMPUTED_VALUE"""),3.144691025E9)</f>
        <v>3144691025</v>
      </c>
      <c r="M7884" s="17"/>
      <c r="N7884" s="17"/>
      <c r="O7884" s="17"/>
      <c r="P7884" s="17" t="b">
        <f>IFERROR(__xludf.DUMMYFUNCTION("""COMPUTED_VALUE"""),FALSE)</f>
        <v>0</v>
      </c>
      <c r="Q7884" s="20" t="str">
        <f>IFERROR(__xludf.DUMMYFUNCTION("""COMPUTED_VALUE"""),"")</f>
        <v/>
      </c>
      <c r="R7884" s="21" t="str">
        <f>IFERROR(__xludf.DUMMYFUNCTION("""COMPUTED_VALUE"""),"https://drive.google.com/file/d/1C436uQ1hawVSawP-uC_7m7m-U0XmIS2z/view?usp=drivesdk")</f>
        <v>https://drive.google.com/file/d/1C436uQ1hawVSawP-uC_7m7m-U0XmIS2z/view?usp=drivesdk</v>
      </c>
    </row>
    <row r="7885">
      <c r="A7885" s="15">
        <f>IFERROR(__xludf.DUMMYFUNCTION("""COMPUTED_VALUE"""),45224.0)</f>
        <v>45224</v>
      </c>
      <c r="B7885" s="16" t="str">
        <f>IFERROR(__xludf.DUMMYFUNCTION("""COMPUTED_VALUE"""),"Alvaro Chacón")</f>
        <v>Alvaro Chacón</v>
      </c>
      <c r="C7885" s="15" t="str">
        <f>IFERROR(__xludf.DUMMYFUNCTION("""COMPUTED_VALUE"""),"BOGOTÁ")</f>
        <v>BOGOTÁ</v>
      </c>
      <c r="D7885" s="15" t="str">
        <f>IFERROR(__xludf.DUMMYFUNCTION("""COMPUTED_VALUE"""),"MEDELLÍN")</f>
        <v>MEDELLÍN</v>
      </c>
      <c r="E7885" s="15" t="str">
        <f>IFERROR(__xludf.DUMMYFUNCTION("""COMPUTED_VALUE"""),"Baby Chef")</f>
        <v>Baby Chef</v>
      </c>
      <c r="F7885" s="17" t="str">
        <f>IFERROR(__xludf.DUMMYFUNCTION("""COMPUTED_VALUE"""),"Calle 12 c 71c-31torre 8 apto 301 conjunto residencial atalanta  Barrio : ciudad alsacia  / . / .")</f>
        <v>Calle 12 c 71c-31torre 8 apto 301 conjunto residencial atalanta  Barrio : ciudad alsacia  / . / .</v>
      </c>
      <c r="G7885" s="15" t="str">
        <f>IFERROR(__xludf.DUMMYFUNCTION("""COMPUTED_VALUE"""),"Paula Viviana Ariza Blandon")</f>
        <v>Paula Viviana Ariza Blandon</v>
      </c>
      <c r="H7885" s="16">
        <f>IFERROR(__xludf.DUMMYFUNCTION("""COMPUTED_VALUE"""),16632.0)</f>
        <v>16632</v>
      </c>
      <c r="I7885" s="18">
        <f>IFERROR(__xludf.DUMMYFUNCTION("""COMPUTED_VALUE"""),7.0)</f>
        <v>7</v>
      </c>
      <c r="J7885" s="18">
        <f>IFERROR(__xludf.DUMMYFUNCTION("""COMPUTED_VALUE"""),5.0)</f>
        <v>5</v>
      </c>
      <c r="K7885" s="18">
        <f>IFERROR(__xludf.DUMMYFUNCTION("""COMPUTED_VALUE"""),22.0)</f>
        <v>22</v>
      </c>
      <c r="L7885" s="17">
        <f>IFERROR(__xludf.DUMMYFUNCTION("""COMPUTED_VALUE"""),3.202801695E9)</f>
        <v>3202801695</v>
      </c>
      <c r="M7885" s="17"/>
      <c r="N7885" s="17"/>
      <c r="O7885" s="17"/>
      <c r="P7885" s="17" t="b">
        <f>IFERROR(__xludf.DUMMYFUNCTION("""COMPUTED_VALUE"""),FALSE)</f>
        <v>0</v>
      </c>
      <c r="Q7885" s="20" t="str">
        <f>IFERROR(__xludf.DUMMYFUNCTION("""COMPUTED_VALUE"""),"")</f>
        <v/>
      </c>
      <c r="R7885" s="21" t="str">
        <f>IFERROR(__xludf.DUMMYFUNCTION("""COMPUTED_VALUE"""),"https://drive.google.com/file/d/1_T0v-F0-PlAEzNSxbF9a92n3yfq2tM8C/view?usp=drivesdk")</f>
        <v>https://drive.google.com/file/d/1_T0v-F0-PlAEzNSxbF9a92n3yfq2tM8C/view?usp=drivesdk</v>
      </c>
    </row>
    <row r="7886">
      <c r="A7886" s="15">
        <f>IFERROR(__xludf.DUMMYFUNCTION("""COMPUTED_VALUE"""),45224.0)</f>
        <v>45224</v>
      </c>
      <c r="B7886" s="16" t="str">
        <f>IFERROR(__xludf.DUMMYFUNCTION("""COMPUTED_VALUE"""),"Alvaro Chacón")</f>
        <v>Alvaro Chacón</v>
      </c>
      <c r="C7886" s="15" t="str">
        <f>IFERROR(__xludf.DUMMYFUNCTION("""COMPUTED_VALUE"""),"BOGOTÁ")</f>
        <v>BOGOTÁ</v>
      </c>
      <c r="D7886" s="15" t="str">
        <f>IFERROR(__xludf.DUMMYFUNCTION("""COMPUTED_VALUE"""),"MEDELLÍN")</f>
        <v>MEDELLÍN</v>
      </c>
      <c r="E7886" s="15" t="str">
        <f>IFERROR(__xludf.DUMMYFUNCTION("""COMPUTED_VALUE"""),"Baby Chef")</f>
        <v>Baby Chef</v>
      </c>
      <c r="F7886" s="17" t="str">
        <f>IFERROR(__xludf.DUMMYFUNCTION("""COMPUTED_VALUE"""),"Calle 127 b bis # 20-66 apto 306 edificio pórtico 3 barrio la calleja / . / .")</f>
        <v>Calle 127 b bis # 20-66 apto 306 edificio pórtico 3 barrio la calleja / . / .</v>
      </c>
      <c r="G7886" s="15" t="str">
        <f>IFERROR(__xludf.DUMMYFUNCTION("""COMPUTED_VALUE"""),"Viviana Fandiño")</f>
        <v>Viviana Fandiño</v>
      </c>
      <c r="H7886" s="16">
        <f>IFERROR(__xludf.DUMMYFUNCTION("""COMPUTED_VALUE"""),16633.0)</f>
        <v>16633</v>
      </c>
      <c r="I7886" s="18">
        <f>IFERROR(__xludf.DUMMYFUNCTION("""COMPUTED_VALUE"""),15.0)</f>
        <v>15</v>
      </c>
      <c r="J7886" s="18">
        <f>IFERROR(__xludf.DUMMYFUNCTION("""COMPUTED_VALUE"""),35.0)</f>
        <v>35</v>
      </c>
      <c r="K7886" s="18">
        <f>IFERROR(__xludf.DUMMYFUNCTION("""COMPUTED_VALUE"""),22.0)</f>
        <v>22</v>
      </c>
      <c r="L7886" s="17">
        <f>IFERROR(__xludf.DUMMYFUNCTION("""COMPUTED_VALUE"""),3.202185275E9)</f>
        <v>3202185275</v>
      </c>
      <c r="M7886" s="17"/>
      <c r="N7886" s="17"/>
      <c r="O7886" s="17"/>
      <c r="P7886" s="17" t="b">
        <f>IFERROR(__xludf.DUMMYFUNCTION("""COMPUTED_VALUE"""),FALSE)</f>
        <v>0</v>
      </c>
      <c r="Q7886" s="20" t="str">
        <f>IFERROR(__xludf.DUMMYFUNCTION("""COMPUTED_VALUE"""),"")</f>
        <v/>
      </c>
      <c r="R7886" s="21" t="str">
        <f>IFERROR(__xludf.DUMMYFUNCTION("""COMPUTED_VALUE"""),"https://drive.google.com/file/d/1ULpvf979oLAiS9RKKPDKkPng7ixpC2nl/view?usp=drivesdk")</f>
        <v>https://drive.google.com/file/d/1ULpvf979oLAiS9RKKPDKkPng7ixpC2nl/view?usp=drivesdk</v>
      </c>
    </row>
    <row r="7887">
      <c r="A7887" s="15">
        <f>IFERROR(__xludf.DUMMYFUNCTION("""COMPUTED_VALUE"""),45224.0)</f>
        <v>45224</v>
      </c>
      <c r="B7887" s="16" t="str">
        <f>IFERROR(__xludf.DUMMYFUNCTION("""COMPUTED_VALUE"""),"Alvaro Chacón")</f>
        <v>Alvaro Chacón</v>
      </c>
      <c r="C7887" s="15" t="str">
        <f>IFERROR(__xludf.DUMMYFUNCTION("""COMPUTED_VALUE"""),"BOGOTÁ")</f>
        <v>BOGOTÁ</v>
      </c>
      <c r="D7887" s="15" t="str">
        <f>IFERROR(__xludf.DUMMYFUNCTION("""COMPUTED_VALUE"""),"MEDELLÍN")</f>
        <v>MEDELLÍN</v>
      </c>
      <c r="E7887" s="15" t="str">
        <f>IFERROR(__xludf.DUMMYFUNCTION("""COMPUTED_VALUE"""),"Baby Chef")</f>
        <v>Baby Chef</v>
      </c>
      <c r="F7887" s="17" t="str">
        <f>IFERROR(__xludf.DUMMYFUNCTION("""COMPUTED_VALUE"""),"Calle 146 número 12-72 apartamento 203  Edificio Nazaku  Barrio cedritos  Bogota / . / .")</f>
        <v>Calle 146 número 12-72 apartamento 203  Edificio Nazaku  Barrio cedritos  Bogota / . / .</v>
      </c>
      <c r="G7887" s="15" t="str">
        <f>IFERROR(__xludf.DUMMYFUNCTION("""COMPUTED_VALUE"""),"Erika Pabón")</f>
        <v>Erika Pabón</v>
      </c>
      <c r="H7887" s="16">
        <f>IFERROR(__xludf.DUMMYFUNCTION("""COMPUTED_VALUE"""),16626.0)</f>
        <v>16626</v>
      </c>
      <c r="I7887" s="18">
        <f>IFERROR(__xludf.DUMMYFUNCTION("""COMPUTED_VALUE"""),6.0)</f>
        <v>6</v>
      </c>
      <c r="J7887" s="18">
        <f>IFERROR(__xludf.DUMMYFUNCTION("""COMPUTED_VALUE"""),22.0)</f>
        <v>22</v>
      </c>
      <c r="K7887" s="18">
        <f>IFERROR(__xludf.DUMMYFUNCTION("""COMPUTED_VALUE"""),20.0)</f>
        <v>20</v>
      </c>
      <c r="L7887" s="17">
        <f>IFERROR(__xludf.DUMMYFUNCTION("""COMPUTED_VALUE"""),3.108311285E9)</f>
        <v>3108311285</v>
      </c>
      <c r="M7887" s="17"/>
      <c r="N7887" s="17"/>
      <c r="O7887" s="17"/>
      <c r="P7887" s="17" t="b">
        <f>IFERROR(__xludf.DUMMYFUNCTION("""COMPUTED_VALUE"""),FALSE)</f>
        <v>0</v>
      </c>
      <c r="Q7887" s="20" t="str">
        <f>IFERROR(__xludf.DUMMYFUNCTION("""COMPUTED_VALUE"""),"")</f>
        <v/>
      </c>
      <c r="R7887" s="21" t="str">
        <f>IFERROR(__xludf.DUMMYFUNCTION("""COMPUTED_VALUE"""),"https://drive.google.com/file/d/1XvPlIHEO-sqRm034sbBreEZ--waNr3S0/view?usp=drivesdk")</f>
        <v>https://drive.google.com/file/d/1XvPlIHEO-sqRm034sbBreEZ--waNr3S0/view?usp=drivesdk</v>
      </c>
    </row>
    <row r="7888">
      <c r="A7888" s="15">
        <f>IFERROR(__xludf.DUMMYFUNCTION("""COMPUTED_VALUE"""),45224.0)</f>
        <v>45224</v>
      </c>
      <c r="B7888" s="16" t="str">
        <f>IFERROR(__xludf.DUMMYFUNCTION("""COMPUTED_VALUE"""),"Alvaro Chacón")</f>
        <v>Alvaro Chacón</v>
      </c>
      <c r="C7888" s="15" t="str">
        <f>IFERROR(__xludf.DUMMYFUNCTION("""COMPUTED_VALUE"""),"BOGOTÁ")</f>
        <v>BOGOTÁ</v>
      </c>
      <c r="D7888" s="15" t="str">
        <f>IFERROR(__xludf.DUMMYFUNCTION("""COMPUTED_VALUE"""),"MEDELLÍN")</f>
        <v>MEDELLÍN</v>
      </c>
      <c r="E7888" s="15" t="str">
        <f>IFERROR(__xludf.DUMMYFUNCTION("""COMPUTED_VALUE"""),"Baby Chef")</f>
        <v>Baby Chef</v>
      </c>
      <c r="F7888" s="17" t="str">
        <f>IFERROR(__xludf.DUMMYFUNCTION("""COMPUTED_VALUE"""),"Calle 95 # 71-87 Apto 622 T2 / . / .")</f>
        <v>Calle 95 # 71-87 Apto 622 T2 / . / .</v>
      </c>
      <c r="G7888" s="15" t="str">
        <f>IFERROR(__xludf.DUMMYFUNCTION("""COMPUTED_VALUE"""),"Andrea Sastre")</f>
        <v>Andrea Sastre</v>
      </c>
      <c r="H7888" s="16">
        <f>IFERROR(__xludf.DUMMYFUNCTION("""COMPUTED_VALUE"""),16638.0)</f>
        <v>16638</v>
      </c>
      <c r="I7888" s="18">
        <f>IFERROR(__xludf.DUMMYFUNCTION("""COMPUTED_VALUE"""),6.0)</f>
        <v>6</v>
      </c>
      <c r="J7888" s="18">
        <f>IFERROR(__xludf.DUMMYFUNCTION("""COMPUTED_VALUE"""),24.0)</f>
        <v>24</v>
      </c>
      <c r="K7888" s="18">
        <f>IFERROR(__xludf.DUMMYFUNCTION("""COMPUTED_VALUE"""),21.0)</f>
        <v>21</v>
      </c>
      <c r="L7888" s="17">
        <f>IFERROR(__xludf.DUMMYFUNCTION("""COMPUTED_VALUE"""),3.013366893E9)</f>
        <v>3013366893</v>
      </c>
      <c r="M7888" s="17"/>
      <c r="N7888" s="17"/>
      <c r="O7888" s="17"/>
      <c r="P7888" s="17" t="b">
        <f>IFERROR(__xludf.DUMMYFUNCTION("""COMPUTED_VALUE"""),FALSE)</f>
        <v>0</v>
      </c>
      <c r="Q7888" s="20" t="str">
        <f>IFERROR(__xludf.DUMMYFUNCTION("""COMPUTED_VALUE"""),"")</f>
        <v/>
      </c>
      <c r="R7888" s="21" t="str">
        <f>IFERROR(__xludf.DUMMYFUNCTION("""COMPUTED_VALUE"""),"https://drive.google.com/file/d/1ld_l3MyhIch-zkuXzyWEnoGTpftvOkZ9/view?usp=drivesdk")</f>
        <v>https://drive.google.com/file/d/1ld_l3MyhIch-zkuXzyWEnoGTpftvOkZ9/view?usp=drivesdk</v>
      </c>
    </row>
    <row r="7889">
      <c r="A7889" s="15">
        <f>IFERROR(__xludf.DUMMYFUNCTION("""COMPUTED_VALUE"""),45224.0)</f>
        <v>45224</v>
      </c>
      <c r="B7889" s="16" t="str">
        <f>IFERROR(__xludf.DUMMYFUNCTION("""COMPUTED_VALUE"""),"Alvaro Chacón")</f>
        <v>Alvaro Chacón</v>
      </c>
      <c r="C7889" s="15" t="str">
        <f>IFERROR(__xludf.DUMMYFUNCTION("""COMPUTED_VALUE"""),"BOGOTÁ")</f>
        <v>BOGOTÁ</v>
      </c>
      <c r="D7889" s="15" t="str">
        <f>IFERROR(__xludf.DUMMYFUNCTION("""COMPUTED_VALUE"""),"MEDELLÍN")</f>
        <v>MEDELLÍN</v>
      </c>
      <c r="E7889" s="15" t="str">
        <f>IFERROR(__xludf.DUMMYFUNCTION("""COMPUTED_VALUE"""),"Baby Chef")</f>
        <v>Baby Chef</v>
      </c>
      <c r="F7889" s="17" t="str">
        <f>IFERROR(__xludf.DUMMYFUNCTION("""COMPUTED_VALUE"""),"Carrera 48 #22-83 casa 10 (ANUNCIARSE EN RECEPCIÓN AL LLEGAR) / . / .")</f>
        <v>Carrera 48 #22-83 casa 10 (ANUNCIARSE EN RECEPCIÓN AL LLEGAR) / . / .</v>
      </c>
      <c r="G7889" s="15" t="str">
        <f>IFERROR(__xludf.DUMMYFUNCTION("""COMPUTED_VALUE"""),"Yuri Peña")</f>
        <v>Yuri Peña</v>
      </c>
      <c r="H7889" s="16">
        <f>IFERROR(__xludf.DUMMYFUNCTION("""COMPUTED_VALUE"""),16639.0)</f>
        <v>16639</v>
      </c>
      <c r="I7889" s="18">
        <f>IFERROR(__xludf.DUMMYFUNCTION("""COMPUTED_VALUE"""),8.0)</f>
        <v>8</v>
      </c>
      <c r="J7889" s="18">
        <f>IFERROR(__xludf.DUMMYFUNCTION("""COMPUTED_VALUE"""),16.0)</f>
        <v>16</v>
      </c>
      <c r="K7889" s="18">
        <f>IFERROR(__xludf.DUMMYFUNCTION("""COMPUTED_VALUE"""),20.0)</f>
        <v>20</v>
      </c>
      <c r="L7889" s="17">
        <f>IFERROR(__xludf.DUMMYFUNCTION("""COMPUTED_VALUE"""),3.132071833E9)</f>
        <v>3132071833</v>
      </c>
      <c r="M7889" s="17"/>
      <c r="N7889" s="17"/>
      <c r="O7889" s="17"/>
      <c r="P7889" s="17" t="b">
        <f>IFERROR(__xludf.DUMMYFUNCTION("""COMPUTED_VALUE"""),FALSE)</f>
        <v>0</v>
      </c>
      <c r="Q7889" s="20" t="str">
        <f>IFERROR(__xludf.DUMMYFUNCTION("""COMPUTED_VALUE"""),"")</f>
        <v/>
      </c>
      <c r="R7889" s="21" t="str">
        <f>IFERROR(__xludf.DUMMYFUNCTION("""COMPUTED_VALUE"""),"https://drive.google.com/file/d/184hSUHUIsEiRbaAjMXM7DP_PWOec8C7D/view?usp=drivesdk")</f>
        <v>https://drive.google.com/file/d/184hSUHUIsEiRbaAjMXM7DP_PWOec8C7D/view?usp=drivesdk</v>
      </c>
    </row>
    <row r="7890">
      <c r="A7890" s="15">
        <f>IFERROR(__xludf.DUMMYFUNCTION("""COMPUTED_VALUE"""),45224.0)</f>
        <v>45224</v>
      </c>
      <c r="B7890" s="16" t="str">
        <f>IFERROR(__xludf.DUMMYFUNCTION("""COMPUTED_VALUE"""),"Alvaro Chacón")</f>
        <v>Alvaro Chacón</v>
      </c>
      <c r="C7890" s="15" t="str">
        <f>IFERROR(__xludf.DUMMYFUNCTION("""COMPUTED_VALUE"""),"BOGOTÁ")</f>
        <v>BOGOTÁ</v>
      </c>
      <c r="D7890" s="15" t="str">
        <f>IFERROR(__xludf.DUMMYFUNCTION("""COMPUTED_VALUE"""),"MEDELLÍN")</f>
        <v>MEDELLÍN</v>
      </c>
      <c r="E7890" s="15" t="str">
        <f>IFERROR(__xludf.DUMMYFUNCTION("""COMPUTED_VALUE"""),"Baby Chef")</f>
        <v>Baby Chef</v>
      </c>
      <c r="F7890" s="17" t="str">
        <f>IFERROR(__xludf.DUMMYFUNCTION("""COMPUTED_VALUE"""),"Carrera 8 #75-19. Apto 301 Edificio Ayram Barrio el Nogal / . / .")</f>
        <v>Carrera 8 #75-19. Apto 301 Edificio Ayram Barrio el Nogal / . / .</v>
      </c>
      <c r="G7890" s="15" t="str">
        <f>IFERROR(__xludf.DUMMYFUNCTION("""COMPUTED_VALUE"""),"Juliana Raigosa")</f>
        <v>Juliana Raigosa</v>
      </c>
      <c r="H7890" s="16">
        <f>IFERROR(__xludf.DUMMYFUNCTION("""COMPUTED_VALUE"""),16629.0)</f>
        <v>16629</v>
      </c>
      <c r="I7890" s="18">
        <f>IFERROR(__xludf.DUMMYFUNCTION("""COMPUTED_VALUE"""),8.0)</f>
        <v>8</v>
      </c>
      <c r="J7890" s="18">
        <f>IFERROR(__xludf.DUMMYFUNCTION("""COMPUTED_VALUE"""),32.0)</f>
        <v>32</v>
      </c>
      <c r="K7890" s="18">
        <f>IFERROR(__xludf.DUMMYFUNCTION("""COMPUTED_VALUE"""),20.0)</f>
        <v>20</v>
      </c>
      <c r="L7890" s="17">
        <f>IFERROR(__xludf.DUMMYFUNCTION("""COMPUTED_VALUE"""),3.003485924E9)</f>
        <v>3003485924</v>
      </c>
      <c r="M7890" s="17"/>
      <c r="N7890" s="17"/>
      <c r="O7890" s="17"/>
      <c r="P7890" s="17" t="b">
        <f>IFERROR(__xludf.DUMMYFUNCTION("""COMPUTED_VALUE"""),FALSE)</f>
        <v>0</v>
      </c>
      <c r="Q7890" s="20" t="str">
        <f>IFERROR(__xludf.DUMMYFUNCTION("""COMPUTED_VALUE"""),"")</f>
        <v/>
      </c>
      <c r="R7890" s="21" t="str">
        <f>IFERROR(__xludf.DUMMYFUNCTION("""COMPUTED_VALUE"""),"https://drive.google.com/file/d/1-GUqx46LtXhOmDEia2rU-_3N0dVMsjjg/view?usp=drivesdk")</f>
        <v>https://drive.google.com/file/d/1-GUqx46LtXhOmDEia2rU-_3N0dVMsjjg/view?usp=drivesdk</v>
      </c>
    </row>
    <row r="7891">
      <c r="A7891" s="15">
        <f>IFERROR(__xludf.DUMMYFUNCTION("""COMPUTED_VALUE"""),45224.0)</f>
        <v>45224</v>
      </c>
      <c r="B7891" s="16" t="str">
        <f>IFERROR(__xludf.DUMMYFUNCTION("""COMPUTED_VALUE"""),"Alvaro Chacón")</f>
        <v>Alvaro Chacón</v>
      </c>
      <c r="C7891" s="15" t="str">
        <f>IFERROR(__xludf.DUMMYFUNCTION("""COMPUTED_VALUE"""),"BOGOTÁ")</f>
        <v>BOGOTÁ</v>
      </c>
      <c r="D7891" s="15" t="str">
        <f>IFERROR(__xludf.DUMMYFUNCTION("""COMPUTED_VALUE"""),"MEDELLÍN")</f>
        <v>MEDELLÍN</v>
      </c>
      <c r="E7891" s="15" t="str">
        <f>IFERROR(__xludf.DUMMYFUNCTION("""COMPUTED_VALUE"""),"Lácteos El Pino SAS")</f>
        <v>Lácteos El Pino SAS</v>
      </c>
      <c r="F7891" s="17" t="str">
        <f>IFERROR(__xludf.DUMMYFUNCTION("""COMPUTED_VALUE"""),"Calle 80 # 9-25 / MATCHACHA-ENTREGAR EN LOCAL")</f>
        <v>Calle 80 # 9-25 / MATCHACHA-ENTREGAR EN LOCAL</v>
      </c>
      <c r="G7891" s="15" t="str">
        <f>IFERROR(__xludf.DUMMYFUNCTION("""COMPUTED_VALUE"""),"MARISOL MATVERSO")</f>
        <v>MARISOL MATVERSO</v>
      </c>
      <c r="H7891" s="16">
        <f>IFERROR(__xludf.DUMMYFUNCTION("""COMPUTED_VALUE"""),16574.0)</f>
        <v>16574</v>
      </c>
      <c r="I7891" s="17"/>
      <c r="J7891" s="17"/>
      <c r="K7891" s="17"/>
      <c r="L7891" s="17"/>
      <c r="M7891" s="17"/>
      <c r="N7891" s="17"/>
      <c r="O7891" s="17"/>
      <c r="P7891" s="17" t="b">
        <f>IFERROR(__xludf.DUMMYFUNCTION("""COMPUTED_VALUE"""),FALSE)</f>
        <v>0</v>
      </c>
      <c r="Q7891" s="20" t="str">
        <f>IFERROR(__xludf.DUMMYFUNCTION("""COMPUTED_VALUE"""),"")</f>
        <v/>
      </c>
      <c r="R7891" s="21" t="str">
        <f>IFERROR(__xludf.DUMMYFUNCTION("""COMPUTED_VALUE"""),"https://drive.google.com/file/d/1-qPMhnuazD7Wd1UGm2huxZpRxkbEDgKo/view?usp=drivesdk")</f>
        <v>https://drive.google.com/file/d/1-qPMhnuazD7Wd1UGm2huxZpRxkbEDgKo/view?usp=drivesdk</v>
      </c>
    </row>
    <row r="7892">
      <c r="A7892" s="15">
        <f>IFERROR(__xludf.DUMMYFUNCTION("""COMPUTED_VALUE"""),45224.0)</f>
        <v>45224</v>
      </c>
      <c r="B7892" s="16" t="str">
        <f>IFERROR(__xludf.DUMMYFUNCTION("""COMPUTED_VALUE"""),"Alvaro Chacón")</f>
        <v>Alvaro Chacón</v>
      </c>
      <c r="C7892" s="15" t="str">
        <f>IFERROR(__xludf.DUMMYFUNCTION("""COMPUTED_VALUE"""),"BOGOTÁ")</f>
        <v>BOGOTÁ</v>
      </c>
      <c r="D7892" s="15" t="str">
        <f>IFERROR(__xludf.DUMMYFUNCTION("""COMPUTED_VALUE"""),"MEDELLÍN")</f>
        <v>MEDELLÍN</v>
      </c>
      <c r="E7892" s="15" t="str">
        <f>IFERROR(__xludf.DUMMYFUNCTION("""COMPUTED_VALUE"""),"Moloso S.A.S")</f>
        <v>Moloso S.A.S</v>
      </c>
      <c r="F7892" s="17" t="str">
        <f>IFERROR(__xludf.DUMMYFUNCTION("""COMPUTED_VALUE"""),"CR 14B 161 49 ED TRINITARIOS BALCONES DE ORIENTE  BO 3 AP 103")</f>
        <v>CR 14B 161 49 ED TRINITARIOS BALCONES DE ORIENTE  BO 3 AP 103</v>
      </c>
      <c r="G7892" s="15" t="str">
        <f>IFERROR(__xludf.DUMMYFUNCTION("""COMPUTED_VALUE"""),"ALEJANDRA MARIA QUIÑONES")</f>
        <v>ALEJANDRA MARIA QUIÑONES</v>
      </c>
      <c r="H7892" s="16">
        <f>IFERROR(__xludf.DUMMYFUNCTION("""COMPUTED_VALUE"""),16615.0)</f>
        <v>16615</v>
      </c>
      <c r="I7892" s="18">
        <f>IFERROR(__xludf.DUMMYFUNCTION("""COMPUTED_VALUE"""),17.0)</f>
        <v>17</v>
      </c>
      <c r="J7892" s="18">
        <f>IFERROR(__xludf.DUMMYFUNCTION("""COMPUTED_VALUE"""),15.0)</f>
        <v>15</v>
      </c>
      <c r="K7892" s="18">
        <f>IFERROR(__xludf.DUMMYFUNCTION("""COMPUTED_VALUE"""),28.0)</f>
        <v>28</v>
      </c>
      <c r="L7892" s="17" t="str">
        <f>IFERROR(__xludf.DUMMYFUNCTION("""COMPUTED_VALUE"""),"310 8070529 317 6391522")</f>
        <v>310 8070529 317 6391522</v>
      </c>
      <c r="M7892" s="17"/>
      <c r="N7892" s="17"/>
      <c r="O7892" s="17"/>
      <c r="P7892" s="17" t="b">
        <f>IFERROR(__xludf.DUMMYFUNCTION("""COMPUTED_VALUE"""),FALSE)</f>
        <v>0</v>
      </c>
      <c r="Q7892" s="20" t="str">
        <f>IFERROR(__xludf.DUMMYFUNCTION("""COMPUTED_VALUE"""),"")</f>
        <v/>
      </c>
      <c r="R7892" s="21" t="str">
        <f>IFERROR(__xludf.DUMMYFUNCTION("""COMPUTED_VALUE"""),"https://drive.google.com/file/d/1JZkqpXjZ2CrSYzbkarQaYkIoWR6XLitw/view?usp=drivesdk")</f>
        <v>https://drive.google.com/file/d/1JZkqpXjZ2CrSYzbkarQaYkIoWR6XLitw/view?usp=drivesdk</v>
      </c>
    </row>
    <row r="7893">
      <c r="A7893" s="15">
        <f>IFERROR(__xludf.DUMMYFUNCTION("""COMPUTED_VALUE"""),45224.0)</f>
        <v>45224</v>
      </c>
      <c r="B7893" s="16" t="str">
        <f>IFERROR(__xludf.DUMMYFUNCTION("""COMPUTED_VALUE"""),"Alvaro Chacón")</f>
        <v>Alvaro Chacón</v>
      </c>
      <c r="C7893" s="15" t="str">
        <f>IFERROR(__xludf.DUMMYFUNCTION("""COMPUTED_VALUE"""),"BOGOTÁ")</f>
        <v>BOGOTÁ</v>
      </c>
      <c r="D7893" s="15" t="str">
        <f>IFERROR(__xludf.DUMMYFUNCTION("""COMPUTED_VALUE"""),"MEDELLÍN")</f>
        <v>MEDELLÍN</v>
      </c>
      <c r="E7893" s="15" t="str">
        <f>IFERROR(__xludf.DUMMYFUNCTION("""COMPUTED_VALUE"""),"Puro Verde")</f>
        <v>Puro Verde</v>
      </c>
      <c r="F7893" s="17" t="str">
        <f>IFERROR(__xludf.DUMMYFUNCTION("""COMPUTED_VALUE"""),"CALLE 93 BIS # 19-77 / APTO 207. EDIFICIO CUADRATTO / CHICO")</f>
        <v>CALLE 93 BIS # 19-77 / APTO 207. EDIFICIO CUADRATTO / CHICO</v>
      </c>
      <c r="G7893" s="15" t="str">
        <f>IFERROR(__xludf.DUMMYFUNCTION("""COMPUTED_VALUE"""),"JUAN CARLOS CHITIVA")</f>
        <v>JUAN CARLOS CHITIVA</v>
      </c>
      <c r="H7893" s="16">
        <f>IFERROR(__xludf.DUMMYFUNCTION("""COMPUTED_VALUE"""),16589.0)</f>
        <v>16589</v>
      </c>
      <c r="I7893" s="18">
        <f>IFERROR(__xludf.DUMMYFUNCTION("""COMPUTED_VALUE"""),10.0)</f>
        <v>10</v>
      </c>
      <c r="J7893" s="18">
        <f>IFERROR(__xludf.DUMMYFUNCTION("""COMPUTED_VALUE"""),29.0)</f>
        <v>29</v>
      </c>
      <c r="K7893" s="18">
        <f>IFERROR(__xludf.DUMMYFUNCTION("""COMPUTED_VALUE"""),30.0)</f>
        <v>30</v>
      </c>
      <c r="L7893" s="17">
        <f>IFERROR(__xludf.DUMMYFUNCTION("""COMPUTED_VALUE"""),3.124480558E9)</f>
        <v>3124480558</v>
      </c>
      <c r="M7893" s="17"/>
      <c r="N7893" s="17"/>
      <c r="O7893" s="17"/>
      <c r="P7893" s="17" t="b">
        <f>IFERROR(__xludf.DUMMYFUNCTION("""COMPUTED_VALUE"""),FALSE)</f>
        <v>0</v>
      </c>
      <c r="Q7893" s="20" t="str">
        <f>IFERROR(__xludf.DUMMYFUNCTION("""COMPUTED_VALUE"""),"")</f>
        <v/>
      </c>
      <c r="R7893" s="21" t="str">
        <f>IFERROR(__xludf.DUMMYFUNCTION("""COMPUTED_VALUE"""),"https://drive.google.com/file/d/1fpMXmLlAe3zpW9q9rNn88kooOkL9kY93/view?usp=drivesdk")</f>
        <v>https://drive.google.com/file/d/1fpMXmLlAe3zpW9q9rNn88kooOkL9kY93/view?usp=drivesdk</v>
      </c>
    </row>
    <row r="7894">
      <c r="A7894" s="15">
        <f>IFERROR(__xludf.DUMMYFUNCTION("""COMPUTED_VALUE"""),45224.0)</f>
        <v>45224</v>
      </c>
      <c r="B7894" s="16" t="str">
        <f>IFERROR(__xludf.DUMMYFUNCTION("""COMPUTED_VALUE"""),"Alvaro Chacón")</f>
        <v>Alvaro Chacón</v>
      </c>
      <c r="C7894" s="15" t="str">
        <f>IFERROR(__xludf.DUMMYFUNCTION("""COMPUTED_VALUE"""),"BOGOTÁ")</f>
        <v>BOGOTÁ</v>
      </c>
      <c r="D7894" s="15" t="str">
        <f>IFERROR(__xludf.DUMMYFUNCTION("""COMPUTED_VALUE"""),"MEDELLÍN")</f>
        <v>MEDELLÍN</v>
      </c>
      <c r="E7894" s="15" t="str">
        <f>IFERROR(__xludf.DUMMYFUNCTION("""COMPUTED_VALUE"""),"Terravocado")</f>
        <v>Terravocado</v>
      </c>
      <c r="F7894" s="17" t="str">
        <f>IFERROR(__xludf.DUMMYFUNCTION("""COMPUTED_VALUE"""),"CR 20 # 168 -32 / BOGOTA  / BOGOTA")</f>
        <v>CR 20 # 168 -32 / BOGOTA  / BOGOTA</v>
      </c>
      <c r="G7894" s="15" t="str">
        <f>IFERROR(__xludf.DUMMYFUNCTION("""COMPUTED_VALUE"""),"BUKOI O GRUPO KOI FU")</f>
        <v>BUKOI O GRUPO KOI FU</v>
      </c>
      <c r="H7894" s="16">
        <f>IFERROR(__xludf.DUMMYFUNCTION("""COMPUTED_VALUE"""),16524.0)</f>
        <v>16524</v>
      </c>
      <c r="I7894" s="18">
        <f>IFERROR(__xludf.DUMMYFUNCTION("""COMPUTED_VALUE"""),20.0)</f>
        <v>20</v>
      </c>
      <c r="J7894" s="18">
        <f>IFERROR(__xludf.DUMMYFUNCTION("""COMPUTED_VALUE"""),24.0)</f>
        <v>24</v>
      </c>
      <c r="K7894" s="18">
        <f>IFERROR(__xludf.DUMMYFUNCTION("""COMPUTED_VALUE"""),34.0)</f>
        <v>34</v>
      </c>
      <c r="L7894" s="17">
        <f>IFERROR(__xludf.DUMMYFUNCTION("""COMPUTED_VALUE"""),3.125489315E9)</f>
        <v>3125489315</v>
      </c>
      <c r="M7894" s="17"/>
      <c r="N7894" s="17"/>
      <c r="O7894" s="17"/>
      <c r="P7894" s="17" t="b">
        <f>IFERROR(__xludf.DUMMYFUNCTION("""COMPUTED_VALUE"""),FALSE)</f>
        <v>0</v>
      </c>
      <c r="Q7894" s="20" t="str">
        <f>IFERROR(__xludf.DUMMYFUNCTION("""COMPUTED_VALUE"""),"")</f>
        <v/>
      </c>
      <c r="R7894" s="21" t="str">
        <f>IFERROR(__xludf.DUMMYFUNCTION("""COMPUTED_VALUE"""),"https://drive.google.com/file/d/1mDSmTHrxhO7JlYYpXdWwqR-EKiBZxRwe/view?usp=drivesdk")</f>
        <v>https://drive.google.com/file/d/1mDSmTHrxhO7JlYYpXdWwqR-EKiBZxRwe/view?usp=drivesdk</v>
      </c>
    </row>
    <row r="7895">
      <c r="A7895" s="15">
        <f>IFERROR(__xludf.DUMMYFUNCTION("""COMPUTED_VALUE"""),45224.0)</f>
        <v>45224</v>
      </c>
      <c r="B7895" s="16" t="str">
        <f>IFERROR(__xludf.DUMMYFUNCTION("""COMPUTED_VALUE"""),"Alvaro Chacón")</f>
        <v>Alvaro Chacón</v>
      </c>
      <c r="C7895" s="15" t="str">
        <f>IFERROR(__xludf.DUMMYFUNCTION("""COMPUTED_VALUE"""),"CARTAGENA")</f>
        <v>CARTAGENA</v>
      </c>
      <c r="D7895" s="15" t="str">
        <f>IFERROR(__xludf.DUMMYFUNCTION("""COMPUTED_VALUE"""),"BOGOTÁ")</f>
        <v>BOGOTÁ</v>
      </c>
      <c r="E7895" s="15" t="str">
        <f>IFERROR(__xludf.DUMMYFUNCTION("""COMPUTED_VALUE"""),"Top Spun")</f>
        <v>Top Spun</v>
      </c>
      <c r="F7895" s="17" t="str">
        <f>IFERROR(__xludf.DUMMYFUNCTION("""COMPUTED_VALUE"""),"Las Gaviotas Manzana 45 lote 1 / Edificio Abana  / apto 201")</f>
        <v>Las Gaviotas Manzana 45 lote 1 / Edificio Abana  / apto 201</v>
      </c>
      <c r="G7895" s="15" t="str">
        <f>IFERROR(__xludf.DUMMYFUNCTION("""COMPUTED_VALUE"""),"Katherine Naranjo Pico")</f>
        <v>Katherine Naranjo Pico</v>
      </c>
      <c r="H7895" s="16">
        <f>IFERROR(__xludf.DUMMYFUNCTION("""COMPUTED_VALUE"""),16486.0)</f>
        <v>16486</v>
      </c>
      <c r="I7895" s="18">
        <f>IFERROR(__xludf.DUMMYFUNCTION("""COMPUTED_VALUE"""),20.0)</f>
        <v>20</v>
      </c>
      <c r="J7895" s="18">
        <f>IFERROR(__xludf.DUMMYFUNCTION("""COMPUTED_VALUE"""),10.0)</f>
        <v>10</v>
      </c>
      <c r="K7895" s="18">
        <f>IFERROR(__xludf.DUMMYFUNCTION("""COMPUTED_VALUE"""),40.0)</f>
        <v>40</v>
      </c>
      <c r="L7895" s="17">
        <f>IFERROR(__xludf.DUMMYFUNCTION("""COMPUTED_VALUE"""),3.215128112E9)</f>
        <v>3215128112</v>
      </c>
      <c r="M7895" s="17"/>
      <c r="N7895" s="17"/>
      <c r="O7895" s="17"/>
      <c r="P7895" s="17" t="b">
        <f>IFERROR(__xludf.DUMMYFUNCTION("""COMPUTED_VALUE"""),FALSE)</f>
        <v>0</v>
      </c>
      <c r="Q7895" s="20" t="str">
        <f>IFERROR(__xludf.DUMMYFUNCTION("""COMPUTED_VALUE"""),"")</f>
        <v/>
      </c>
      <c r="R7895" s="21" t="str">
        <f>IFERROR(__xludf.DUMMYFUNCTION("""COMPUTED_VALUE"""),"https://drive.google.com/file/d/1y7phy5EQ6hpRYHiP162L2RvKMqRtL2TD/view?usp=drivesdk")</f>
        <v>https://drive.google.com/file/d/1y7phy5EQ6hpRYHiP162L2RvKMqRtL2TD/view?usp=drivesdk</v>
      </c>
    </row>
    <row r="7896">
      <c r="A7896" s="15">
        <f>IFERROR(__xludf.DUMMYFUNCTION("""COMPUTED_VALUE"""),45224.0)</f>
        <v>45224</v>
      </c>
      <c r="B7896" s="16" t="str">
        <f>IFERROR(__xludf.DUMMYFUNCTION("""COMPUTED_VALUE"""),"Alvaro Chacón")</f>
        <v>Alvaro Chacón</v>
      </c>
      <c r="C7896" s="15" t="str">
        <f>IFERROR(__xludf.DUMMYFUNCTION("""COMPUTED_VALUE"""),"MONTERIA")</f>
        <v>MONTERIA</v>
      </c>
      <c r="D7896" s="15" t="str">
        <f>IFERROR(__xludf.DUMMYFUNCTION("""COMPUTED_VALUE"""),"MEDELLÍN")</f>
        <v>MEDELLÍN</v>
      </c>
      <c r="E7896" s="15" t="str">
        <f>IFERROR(__xludf.DUMMYFUNCTION("""COMPUTED_VALUE"""),"Rambla")</f>
        <v>Rambla</v>
      </c>
      <c r="F7896" s="17" t="str">
        <f>IFERROR(__xludf.DUMMYFUNCTION("""COMPUTED_VALUE"""),"calle 62  #6 45lc  2 barrio los alcazares cr7 / - / -")</f>
        <v>calle 62  #6 45lc  2 barrio los alcazares cr7 / - / -</v>
      </c>
      <c r="G7896" s="15" t="str">
        <f>IFERROR(__xludf.DUMMYFUNCTION("""COMPUTED_VALUE"""),"Felii Restaurante")</f>
        <v>Felii Restaurante</v>
      </c>
      <c r="H7896" s="16">
        <f>IFERROR(__xludf.DUMMYFUNCTION("""COMPUTED_VALUE"""),16617.0)</f>
        <v>16617</v>
      </c>
      <c r="I7896" s="18">
        <f>IFERROR(__xludf.DUMMYFUNCTION("""COMPUTED_VALUE"""),26.0)</f>
        <v>26</v>
      </c>
      <c r="J7896" s="18">
        <f>IFERROR(__xludf.DUMMYFUNCTION("""COMPUTED_VALUE"""),26.0)</f>
        <v>26</v>
      </c>
      <c r="K7896" s="18">
        <f>IFERROR(__xludf.DUMMYFUNCTION("""COMPUTED_VALUE"""),26.0)</f>
        <v>26</v>
      </c>
      <c r="L7896" s="17">
        <f>IFERROR(__xludf.DUMMYFUNCTION("""COMPUTED_VALUE"""),3.052261719E9)</f>
        <v>3052261719</v>
      </c>
      <c r="M7896" s="17"/>
      <c r="N7896" s="17"/>
      <c r="O7896" s="17"/>
      <c r="P7896" s="17" t="b">
        <f>IFERROR(__xludf.DUMMYFUNCTION("""COMPUTED_VALUE"""),FALSE)</f>
        <v>0</v>
      </c>
      <c r="Q7896" s="20" t="str">
        <f>IFERROR(__xludf.DUMMYFUNCTION("""COMPUTED_VALUE"""),"")</f>
        <v/>
      </c>
      <c r="R7896" s="21" t="str">
        <f>IFERROR(__xludf.DUMMYFUNCTION("""COMPUTED_VALUE"""),"https://drive.google.com/file/d/1icn20ko0h4zwEYVSeu1DTJqOuTalbIqF/view?usp=drivesdk")</f>
        <v>https://drive.google.com/file/d/1icn20ko0h4zwEYVSeu1DTJqOuTalbIqF/view?usp=drivesdk</v>
      </c>
    </row>
    <row r="7897">
      <c r="A7897" s="17" t="str">
        <f>IFERROR(__xludf.DUMMYFUNCTION("""COMPUTED_VALUE"""),"")</f>
        <v/>
      </c>
      <c r="B7897" s="17" t="str">
        <f>IFERROR(__xludf.DUMMYFUNCTION("""COMPUTED_VALUE"""),"")</f>
        <v/>
      </c>
      <c r="C7897" s="17" t="str">
        <f>IFERROR(__xludf.DUMMYFUNCTION("""COMPUTED_VALUE"""),"")</f>
        <v/>
      </c>
      <c r="D7897" s="17" t="str">
        <f>IFERROR(__xludf.DUMMYFUNCTION("""COMPUTED_VALUE"""),"")</f>
        <v/>
      </c>
      <c r="E7897" s="17" t="str">
        <f>IFERROR(__xludf.DUMMYFUNCTION("""COMPUTED_VALUE"""),"")</f>
        <v/>
      </c>
      <c r="F7897" s="17" t="str">
        <f>IFERROR(__xludf.DUMMYFUNCTION("""COMPUTED_VALUE"""),"")</f>
        <v/>
      </c>
      <c r="G7897" s="17" t="str">
        <f>IFERROR(__xludf.DUMMYFUNCTION("""COMPUTED_VALUE"""),"")</f>
        <v/>
      </c>
      <c r="H7897" s="17" t="str">
        <f>IFERROR(__xludf.DUMMYFUNCTION("""COMPUTED_VALUE"""),"")</f>
        <v/>
      </c>
      <c r="I7897" s="17" t="str">
        <f>IFERROR(__xludf.DUMMYFUNCTION("""COMPUTED_VALUE"""),"")</f>
        <v/>
      </c>
      <c r="J7897" s="17" t="str">
        <f>IFERROR(__xludf.DUMMYFUNCTION("""COMPUTED_VALUE"""),"")</f>
        <v/>
      </c>
      <c r="K7897" s="17" t="str">
        <f>IFERROR(__xludf.DUMMYFUNCTION("""COMPUTED_VALUE"""),"")</f>
        <v/>
      </c>
      <c r="L7897" s="17" t="str">
        <f>IFERROR(__xludf.DUMMYFUNCTION("""COMPUTED_VALUE"""),"")</f>
        <v/>
      </c>
      <c r="M7897" s="17" t="str">
        <f>IFERROR(__xludf.DUMMYFUNCTION("""COMPUTED_VALUE"""),"")</f>
        <v/>
      </c>
      <c r="N7897" s="17" t="str">
        <f>IFERROR(__xludf.DUMMYFUNCTION("""COMPUTED_VALUE"""),"")</f>
        <v/>
      </c>
      <c r="O7897" s="17" t="str">
        <f>IFERROR(__xludf.DUMMYFUNCTION("""COMPUTED_VALUE"""),"")</f>
        <v/>
      </c>
      <c r="P7897" s="17" t="str">
        <f>IFERROR(__xludf.DUMMYFUNCTION("""COMPUTED_VALUE"""),"")</f>
        <v/>
      </c>
      <c r="Q7897" s="17" t="str">
        <f>IFERROR(__xludf.DUMMYFUNCTION("""COMPUTED_VALUE"""),"")</f>
        <v/>
      </c>
      <c r="R7897" s="17" t="str">
        <f>IFERROR(__xludf.DUMMYFUNCTION("""COMPUTED_VALUE"""),"")</f>
        <v/>
      </c>
    </row>
    <row r="7898">
      <c r="A7898" s="15">
        <f>IFERROR(__xludf.DUMMYFUNCTION("""COMPUTED_VALUE"""),45224.0)</f>
        <v>45224</v>
      </c>
      <c r="B7898" s="16" t="str">
        <f>IFERROR(__xludf.DUMMYFUNCTION("""COMPUTED_VALUE"""),"Daniel José sandoval gonzalez")</f>
        <v>Daniel José sandoval gonzalez</v>
      </c>
      <c r="C7898" s="15" t="str">
        <f>IFERROR(__xludf.DUMMYFUNCTION("""COMPUTED_VALUE"""),"CALI")</f>
        <v>CALI</v>
      </c>
      <c r="D7898" s="15" t="str">
        <f>IFERROR(__xludf.DUMMYFUNCTION("""COMPUTED_VALUE"""),"MEDELLÍN")</f>
        <v>MEDELLÍN</v>
      </c>
      <c r="E7898" s="15" t="str">
        <f>IFERROR(__xludf.DUMMYFUNCTION("""COMPUTED_VALUE"""),"Rambla")</f>
        <v>Rambla</v>
      </c>
      <c r="F7898" s="17" t="str">
        <f>IFERROR(__xludf.DUMMYFUNCTION("""COMPUTED_VALUE"""),"avenida 4 norte #7n-46 lc 129 centro comercial centenario  / - / -")</f>
        <v>avenida 4 norte #7n-46 lc 129 centro comercial centenario  / - / -</v>
      </c>
      <c r="G7898" s="15" t="str">
        <f>IFERROR(__xludf.DUMMYFUNCTION("""COMPUTED_VALUE"""),"Vita fitnes")</f>
        <v>Vita fitnes</v>
      </c>
      <c r="H7898" s="16">
        <f>IFERROR(__xludf.DUMMYFUNCTION("""COMPUTED_VALUE"""),16618.0)</f>
        <v>16618</v>
      </c>
      <c r="I7898" s="18">
        <f>IFERROR(__xludf.DUMMYFUNCTION("""COMPUTED_VALUE"""),23.0)</f>
        <v>23</v>
      </c>
      <c r="J7898" s="18">
        <f>IFERROR(__xludf.DUMMYFUNCTION("""COMPUTED_VALUE"""),45.0)</f>
        <v>45</v>
      </c>
      <c r="K7898" s="18">
        <f>IFERROR(__xludf.DUMMYFUNCTION("""COMPUTED_VALUE"""),45.0)</f>
        <v>45</v>
      </c>
      <c r="L7898" s="17">
        <f>IFERROR(__xludf.DUMMYFUNCTION("""COMPUTED_VALUE"""),3.226925759E9)</f>
        <v>3226925759</v>
      </c>
      <c r="M7898" s="17"/>
      <c r="N7898" s="17"/>
      <c r="O7898" s="17"/>
      <c r="P7898" s="17" t="b">
        <f>IFERROR(__xludf.DUMMYFUNCTION("""COMPUTED_VALUE"""),FALSE)</f>
        <v>0</v>
      </c>
      <c r="Q7898" s="20" t="str">
        <f>IFERROR(__xludf.DUMMYFUNCTION("""COMPUTED_VALUE"""),"")</f>
        <v/>
      </c>
      <c r="R7898" s="21" t="str">
        <f>IFERROR(__xludf.DUMMYFUNCTION("""COMPUTED_VALUE"""),"https://drive.google.com/file/d/1HenxXmTaG8HWVlPylN1O0Ul5tC_F3njP/view?usp=drivesdk")</f>
        <v>https://drive.google.com/file/d/1HenxXmTaG8HWVlPylN1O0Ul5tC_F3njP/view?usp=drivesdk</v>
      </c>
    </row>
    <row r="7899">
      <c r="A7899" s="15">
        <f>IFERROR(__xludf.DUMMYFUNCTION("""COMPUTED_VALUE"""),45224.0)</f>
        <v>45224</v>
      </c>
      <c r="B7899" s="16" t="str">
        <f>IFERROR(__xludf.DUMMYFUNCTION("""COMPUTED_VALUE"""),"Daniel José sandoval gonzalez")</f>
        <v>Daniel José sandoval gonzalez</v>
      </c>
      <c r="C7899" s="15" t="str">
        <f>IFERROR(__xludf.DUMMYFUNCTION("""COMPUTED_VALUE"""),"CALI")</f>
        <v>CALI</v>
      </c>
      <c r="D7899" s="15" t="str">
        <f>IFERROR(__xludf.DUMMYFUNCTION("""COMPUTED_VALUE"""),"MEDELLÍN")</f>
        <v>MEDELLÍN</v>
      </c>
      <c r="E7899" s="15" t="str">
        <f>IFERROR(__xludf.DUMMYFUNCTION("""COMPUTED_VALUE"""),"Rambla")</f>
        <v>Rambla</v>
      </c>
      <c r="F7899" s="17" t="str">
        <f>IFERROR(__xludf.DUMMYFUNCTION("""COMPUTED_VALUE"""),"Cra 1 oeste #1b -30 barrio Santa Teresita  / - / -")</f>
        <v>Cra 1 oeste #1b -30 barrio Santa Teresita  / - / -</v>
      </c>
      <c r="G7899" s="15" t="str">
        <f>IFERROR(__xludf.DUMMYFUNCTION("""COMPUTED_VALUE"""),"HOM (Lucía)")</f>
        <v>HOM (Lucía)</v>
      </c>
      <c r="H7899" s="16">
        <f>IFERROR(__xludf.DUMMYFUNCTION("""COMPUTED_VALUE"""),16616.0)</f>
        <v>16616</v>
      </c>
      <c r="I7899" s="18">
        <f>IFERROR(__xludf.DUMMYFUNCTION("""COMPUTED_VALUE"""),10.0)</f>
        <v>10</v>
      </c>
      <c r="J7899" s="18">
        <f>IFERROR(__xludf.DUMMYFUNCTION("""COMPUTED_VALUE"""),10.0)</f>
        <v>10</v>
      </c>
      <c r="K7899" s="18">
        <f>IFERROR(__xludf.DUMMYFUNCTION("""COMPUTED_VALUE"""),10.0)</f>
        <v>10</v>
      </c>
      <c r="L7899" s="17">
        <f>IFERROR(__xludf.DUMMYFUNCTION("""COMPUTED_VALUE"""),3.1764984E9)</f>
        <v>3176498400</v>
      </c>
      <c r="M7899" s="17"/>
      <c r="N7899" s="17"/>
      <c r="O7899" s="17"/>
      <c r="P7899" s="17" t="b">
        <f>IFERROR(__xludf.DUMMYFUNCTION("""COMPUTED_VALUE"""),FALSE)</f>
        <v>0</v>
      </c>
      <c r="Q7899" s="20" t="str">
        <f>IFERROR(__xludf.DUMMYFUNCTION("""COMPUTED_VALUE"""),"")</f>
        <v/>
      </c>
      <c r="R7899" s="21" t="str">
        <f>IFERROR(__xludf.DUMMYFUNCTION("""COMPUTED_VALUE"""),"https://drive.google.com/file/d/1AVt_bdIWeSzmZvysptmIH1Us-JYGtxgZ/view?usp=drivesdk")</f>
        <v>https://drive.google.com/file/d/1AVt_bdIWeSzmZvysptmIH1Us-JYGtxgZ/view?usp=drivesdk</v>
      </c>
    </row>
    <row r="7900">
      <c r="A7900" s="17" t="str">
        <f>IFERROR(__xludf.DUMMYFUNCTION("""COMPUTED_VALUE"""),"")</f>
        <v/>
      </c>
      <c r="B7900" s="17" t="str">
        <f>IFERROR(__xludf.DUMMYFUNCTION("""COMPUTED_VALUE"""),"")</f>
        <v/>
      </c>
      <c r="C7900" s="17" t="str">
        <f>IFERROR(__xludf.DUMMYFUNCTION("""COMPUTED_VALUE"""),"")</f>
        <v/>
      </c>
      <c r="D7900" s="17" t="str">
        <f>IFERROR(__xludf.DUMMYFUNCTION("""COMPUTED_VALUE"""),"")</f>
        <v/>
      </c>
      <c r="E7900" s="17" t="str">
        <f>IFERROR(__xludf.DUMMYFUNCTION("""COMPUTED_VALUE"""),"")</f>
        <v/>
      </c>
      <c r="F7900" s="17" t="str">
        <f>IFERROR(__xludf.DUMMYFUNCTION("""COMPUTED_VALUE"""),"")</f>
        <v/>
      </c>
      <c r="G7900" s="17" t="str">
        <f>IFERROR(__xludf.DUMMYFUNCTION("""COMPUTED_VALUE"""),"")</f>
        <v/>
      </c>
      <c r="H7900" s="17" t="str">
        <f>IFERROR(__xludf.DUMMYFUNCTION("""COMPUTED_VALUE"""),"")</f>
        <v/>
      </c>
      <c r="I7900" s="17" t="str">
        <f>IFERROR(__xludf.DUMMYFUNCTION("""COMPUTED_VALUE"""),"")</f>
        <v/>
      </c>
      <c r="J7900" s="17" t="str">
        <f>IFERROR(__xludf.DUMMYFUNCTION("""COMPUTED_VALUE"""),"")</f>
        <v/>
      </c>
      <c r="K7900" s="17" t="str">
        <f>IFERROR(__xludf.DUMMYFUNCTION("""COMPUTED_VALUE"""),"")</f>
        <v/>
      </c>
      <c r="L7900" s="17" t="str">
        <f>IFERROR(__xludf.DUMMYFUNCTION("""COMPUTED_VALUE"""),"")</f>
        <v/>
      </c>
      <c r="M7900" s="17" t="str">
        <f>IFERROR(__xludf.DUMMYFUNCTION("""COMPUTED_VALUE"""),"")</f>
        <v/>
      </c>
      <c r="N7900" s="17" t="str">
        <f>IFERROR(__xludf.DUMMYFUNCTION("""COMPUTED_VALUE"""),"")</f>
        <v/>
      </c>
      <c r="O7900" s="17" t="str">
        <f>IFERROR(__xludf.DUMMYFUNCTION("""COMPUTED_VALUE"""),"")</f>
        <v/>
      </c>
      <c r="P7900" s="17" t="str">
        <f>IFERROR(__xludf.DUMMYFUNCTION("""COMPUTED_VALUE"""),"")</f>
        <v/>
      </c>
      <c r="Q7900" s="17" t="str">
        <f>IFERROR(__xludf.DUMMYFUNCTION("""COMPUTED_VALUE"""),"")</f>
        <v/>
      </c>
      <c r="R7900" s="17" t="str">
        <f>IFERROR(__xludf.DUMMYFUNCTION("""COMPUTED_VALUE"""),"")</f>
        <v/>
      </c>
    </row>
    <row r="7901">
      <c r="A7901" s="15">
        <f>IFERROR(__xludf.DUMMYFUNCTION("""COMPUTED_VALUE"""),45224.0)</f>
        <v>45224</v>
      </c>
      <c r="B7901" s="16" t="str">
        <f>IFERROR(__xludf.DUMMYFUNCTION("""COMPUTED_VALUE"""),"David Sanmartin Bello")</f>
        <v>David Sanmartin Bello</v>
      </c>
      <c r="C7901" s="15" t="str">
        <f>IFERROR(__xludf.DUMMYFUNCTION("""COMPUTED_VALUE"""),"CARTAGENA")</f>
        <v>CARTAGENA</v>
      </c>
      <c r="D7901" s="15" t="str">
        <f>IFERROR(__xludf.DUMMYFUNCTION("""COMPUTED_VALUE"""),"BOGOTÁ")</f>
        <v>BOGOTÁ</v>
      </c>
      <c r="E7901" s="15" t="str">
        <f>IFERROR(__xludf.DUMMYFUNCTION("""COMPUTED_VALUE"""),"Instinto alimento vital")</f>
        <v>Instinto alimento vital</v>
      </c>
      <c r="F7901" s="17" t="str">
        <f>IFERROR(__xludf.DUMMYFUNCTION("""COMPUTED_VALUE"""),"CL 1 # 1-71 / CASA")</f>
        <v>CL 1 # 1-71 / CASA</v>
      </c>
      <c r="G7901" s="15" t="str">
        <f>IFERROR(__xludf.DUMMYFUNCTION("""COMPUTED_VALUE"""),"LAURA VANESA SABOGAL VILLADIEGO")</f>
        <v>LAURA VANESA SABOGAL VILLADIEGO</v>
      </c>
      <c r="H7901" s="16">
        <f>IFERROR(__xludf.DUMMYFUNCTION("""COMPUTED_VALUE"""),16635.0)</f>
        <v>16635</v>
      </c>
      <c r="I7901" s="17"/>
      <c r="J7901" s="17"/>
      <c r="K7901" s="17"/>
      <c r="L7901" s="17">
        <f>IFERROR(__xludf.DUMMYFUNCTION("""COMPUTED_VALUE"""),3.209402467E9)</f>
        <v>3209402467</v>
      </c>
      <c r="M7901" s="17"/>
      <c r="N7901" s="17"/>
      <c r="O7901" s="17"/>
      <c r="P7901" s="17" t="b">
        <f>IFERROR(__xludf.DUMMYFUNCTION("""COMPUTED_VALUE"""),FALSE)</f>
        <v>0</v>
      </c>
      <c r="Q7901" s="20" t="str">
        <f>IFERROR(__xludf.DUMMYFUNCTION("""COMPUTED_VALUE"""),"")</f>
        <v/>
      </c>
      <c r="R7901" s="21" t="str">
        <f>IFERROR(__xludf.DUMMYFUNCTION("""COMPUTED_VALUE"""),"https://drive.google.com/file/d/1-Lop-n18tef-41aqoWrfDJTSErsxTqqt/view?usp=drivesdk")</f>
        <v>https://drive.google.com/file/d/1-Lop-n18tef-41aqoWrfDJTSErsxTqqt/view?usp=drivesdk</v>
      </c>
    </row>
    <row r="7902">
      <c r="A7902" s="15">
        <f>IFERROR(__xludf.DUMMYFUNCTION("""COMPUTED_VALUE"""),45224.0)</f>
        <v>45224</v>
      </c>
      <c r="B7902" s="16" t="str">
        <f>IFERROR(__xludf.DUMMYFUNCTION("""COMPUTED_VALUE"""),"David Sanmartin Bello")</f>
        <v>David Sanmartin Bello</v>
      </c>
      <c r="C7902" s="15" t="str">
        <f>IFERROR(__xludf.DUMMYFUNCTION("""COMPUTED_VALUE"""),"CARTAGENA")</f>
        <v>CARTAGENA</v>
      </c>
      <c r="D7902" s="15" t="str">
        <f>IFERROR(__xludf.DUMMYFUNCTION("""COMPUTED_VALUE"""),"BOGOTÁ")</f>
        <v>BOGOTÁ</v>
      </c>
      <c r="E7902" s="15" t="str">
        <f>IFERROR(__xludf.DUMMYFUNCTION("""COMPUTED_VALUE"""),"MAI ALIMENTOS REALES")</f>
        <v>MAI ALIMENTOS REALES</v>
      </c>
      <c r="F7902" s="17" t="str">
        <f>IFERROR(__xludf.DUMMYFUNCTION("""COMPUTED_VALUE"""),"Carrera 3 A # 31 - 23 / Plaza Santa teresa / Restaurante Harry Sasson")</f>
        <v>Carrera 3 A # 31 - 23 / Plaza Santa teresa / Restaurante Harry Sasson</v>
      </c>
      <c r="G7902" s="15" t="str">
        <f>IFERROR(__xludf.DUMMYFUNCTION("""COMPUTED_VALUE"""),"Hoteles Charleston SAS")</f>
        <v>Hoteles Charleston SAS</v>
      </c>
      <c r="H7902" s="16">
        <f>IFERROR(__xludf.DUMMYFUNCTION("""COMPUTED_VALUE"""),16440.0)</f>
        <v>16440</v>
      </c>
      <c r="I7902" s="17"/>
      <c r="J7902" s="17"/>
      <c r="K7902" s="17"/>
      <c r="L7902" s="17">
        <f>IFERROR(__xludf.DUMMYFUNCTION("""COMPUTED_VALUE"""),3.174374246E9)</f>
        <v>3174374246</v>
      </c>
      <c r="M7902" s="17"/>
      <c r="N7902" s="17"/>
      <c r="O7902" s="17"/>
      <c r="P7902" s="17" t="b">
        <f>IFERROR(__xludf.DUMMYFUNCTION("""COMPUTED_VALUE"""),FALSE)</f>
        <v>0</v>
      </c>
      <c r="Q7902" s="20" t="str">
        <f>IFERROR(__xludf.DUMMYFUNCTION("""COMPUTED_VALUE"""),"")</f>
        <v/>
      </c>
      <c r="R7902" s="21" t="str">
        <f>IFERROR(__xludf.DUMMYFUNCTION("""COMPUTED_VALUE"""),"https://drive.google.com/file/d/1gq6Mw4b2bv3_YhBdMzCidAb_aGC_btpA/view?usp=drivesdk")</f>
        <v>https://drive.google.com/file/d/1gq6Mw4b2bv3_YhBdMzCidAb_aGC_btpA/view?usp=drivesdk</v>
      </c>
    </row>
    <row r="7903">
      <c r="A7903" s="15">
        <f>IFERROR(__xludf.DUMMYFUNCTION("""COMPUTED_VALUE"""),45224.0)</f>
        <v>45224</v>
      </c>
      <c r="B7903" s="16" t="str">
        <f>IFERROR(__xludf.DUMMYFUNCTION("""COMPUTED_VALUE"""),"David Sanmartin Bello")</f>
        <v>David Sanmartin Bello</v>
      </c>
      <c r="C7903" s="15" t="str">
        <f>IFERROR(__xludf.DUMMYFUNCTION("""COMPUTED_VALUE"""),"CARTAGENA")</f>
        <v>CARTAGENA</v>
      </c>
      <c r="D7903" s="15" t="str">
        <f>IFERROR(__xludf.DUMMYFUNCTION("""COMPUTED_VALUE"""),"BOGOTÁ")</f>
        <v>BOGOTÁ</v>
      </c>
      <c r="E7903" s="15" t="str">
        <f>IFERROR(__xludf.DUMMYFUNCTION("""COMPUTED_VALUE"""),"Top Spun")</f>
        <v>Top Spun</v>
      </c>
      <c r="F7903" s="17" t="str">
        <f>IFERROR(__xludf.DUMMYFUNCTION("""COMPUTED_VALUE"""),"Calle 31 No. 69-75 / Edificio La Caracola, detrás del éxito cartagena / La Castellana")</f>
        <v>Calle 31 No. 69-75 / Edificio La Caracola, detrás del éxito cartagena / La Castellana</v>
      </c>
      <c r="G7903" s="15" t="str">
        <f>IFERROR(__xludf.DUMMYFUNCTION("""COMPUTED_VALUE"""),"Alexandra Tello Fénix")</f>
        <v>Alexandra Tello Fénix</v>
      </c>
      <c r="H7903" s="16">
        <f>IFERROR(__xludf.DUMMYFUNCTION("""COMPUTED_VALUE"""),16487.0)</f>
        <v>16487</v>
      </c>
      <c r="I7903" s="18">
        <f>IFERROR(__xludf.DUMMYFUNCTION("""COMPUTED_VALUE"""),20.0)</f>
        <v>20</v>
      </c>
      <c r="J7903" s="18">
        <f>IFERROR(__xludf.DUMMYFUNCTION("""COMPUTED_VALUE"""),10.0)</f>
        <v>10</v>
      </c>
      <c r="K7903" s="18">
        <f>IFERROR(__xludf.DUMMYFUNCTION("""COMPUTED_VALUE"""),40.0)</f>
        <v>40</v>
      </c>
      <c r="L7903" s="17">
        <f>IFERROR(__xludf.DUMMYFUNCTION("""COMPUTED_VALUE"""),3.008085269E9)</f>
        <v>3008085269</v>
      </c>
      <c r="M7903" s="17"/>
      <c r="N7903" s="17"/>
      <c r="O7903" s="17"/>
      <c r="P7903" s="17" t="b">
        <f>IFERROR(__xludf.DUMMYFUNCTION("""COMPUTED_VALUE"""),FALSE)</f>
        <v>0</v>
      </c>
      <c r="Q7903" s="20" t="str">
        <f>IFERROR(__xludf.DUMMYFUNCTION("""COMPUTED_VALUE"""),"")</f>
        <v/>
      </c>
      <c r="R7903" s="21" t="str">
        <f>IFERROR(__xludf.DUMMYFUNCTION("""COMPUTED_VALUE"""),"https://drive.google.com/file/d/1uwN9rva7im-JzBQBPoee8mryXEut_-Cw/view?usp=drivesdk")</f>
        <v>https://drive.google.com/file/d/1uwN9rva7im-JzBQBPoee8mryXEut_-Cw/view?usp=drivesdk</v>
      </c>
    </row>
    <row r="7904">
      <c r="A7904" s="15">
        <f>IFERROR(__xludf.DUMMYFUNCTION("""COMPUTED_VALUE"""),45224.0)</f>
        <v>45224</v>
      </c>
      <c r="B7904" s="16" t="str">
        <f>IFERROR(__xludf.DUMMYFUNCTION("""COMPUTED_VALUE"""),"David Sanmartin Bello")</f>
        <v>David Sanmartin Bello</v>
      </c>
      <c r="C7904" s="15" t="str">
        <f>IFERROR(__xludf.DUMMYFUNCTION("""COMPUTED_VALUE"""),"CARTAGENA")</f>
        <v>CARTAGENA</v>
      </c>
      <c r="D7904" s="15" t="str">
        <f>IFERROR(__xludf.DUMMYFUNCTION("""COMPUTED_VALUE"""),"BOGOTÁ")</f>
        <v>BOGOTÁ</v>
      </c>
      <c r="E7904" s="15" t="str">
        <f>IFERROR(__xludf.DUMMYFUNCTION("""COMPUTED_VALUE"""),"Top Spun")</f>
        <v>Top Spun</v>
      </c>
      <c r="F7904" s="17" t="str">
        <f>IFERROR(__xludf.DUMMYFUNCTION("""COMPUTED_VALUE"""),"Dg 21 # 30-238 / Barrio El Prado / Cartagena")</f>
        <v>Dg 21 # 30-238 / Barrio El Prado / Cartagena</v>
      </c>
      <c r="G7904" s="15" t="str">
        <f>IFERROR(__xludf.DUMMYFUNCTION("""COMPUTED_VALUE"""),"Alexander Güiza	")</f>
        <v>Alexander Güiza	</v>
      </c>
      <c r="H7904" s="16">
        <f>IFERROR(__xludf.DUMMYFUNCTION("""COMPUTED_VALUE"""),16491.0)</f>
        <v>16491</v>
      </c>
      <c r="I7904" s="18">
        <f>IFERROR(__xludf.DUMMYFUNCTION("""COMPUTED_VALUE"""),20.0)</f>
        <v>20</v>
      </c>
      <c r="J7904" s="18">
        <f>IFERROR(__xludf.DUMMYFUNCTION("""COMPUTED_VALUE"""),10.0)</f>
        <v>10</v>
      </c>
      <c r="K7904" s="18">
        <f>IFERROR(__xludf.DUMMYFUNCTION("""COMPUTED_VALUE"""),40.0)</f>
        <v>40</v>
      </c>
      <c r="L7904" s="17">
        <f>IFERROR(__xludf.DUMMYFUNCTION("""COMPUTED_VALUE"""),3.13885894E9)</f>
        <v>3138858940</v>
      </c>
      <c r="M7904" s="17"/>
      <c r="N7904" s="17"/>
      <c r="O7904" s="17"/>
      <c r="P7904" s="17" t="b">
        <f>IFERROR(__xludf.DUMMYFUNCTION("""COMPUTED_VALUE"""),FALSE)</f>
        <v>0</v>
      </c>
      <c r="Q7904" s="20" t="str">
        <f>IFERROR(__xludf.DUMMYFUNCTION("""COMPUTED_VALUE"""),"")</f>
        <v/>
      </c>
      <c r="R7904" s="21" t="str">
        <f>IFERROR(__xludf.DUMMYFUNCTION("""COMPUTED_VALUE"""),"https://drive.google.com/file/d/1sTBdRYD8VoBrT8InHkASQ44KWmpR9E0_/view?usp=drivesdk")</f>
        <v>https://drive.google.com/file/d/1sTBdRYD8VoBrT8InHkASQ44KWmpR9E0_/view?usp=drivesdk</v>
      </c>
    </row>
    <row r="7905">
      <c r="A7905" s="17" t="str">
        <f>IFERROR(__xludf.DUMMYFUNCTION("""COMPUTED_VALUE"""),"")</f>
        <v/>
      </c>
      <c r="B7905" s="17" t="str">
        <f>IFERROR(__xludf.DUMMYFUNCTION("""COMPUTED_VALUE"""),"")</f>
        <v/>
      </c>
      <c r="C7905" s="17" t="str">
        <f>IFERROR(__xludf.DUMMYFUNCTION("""COMPUTED_VALUE"""),"")</f>
        <v/>
      </c>
      <c r="D7905" s="17" t="str">
        <f>IFERROR(__xludf.DUMMYFUNCTION("""COMPUTED_VALUE"""),"")</f>
        <v/>
      </c>
      <c r="E7905" s="17" t="str">
        <f>IFERROR(__xludf.DUMMYFUNCTION("""COMPUTED_VALUE"""),"")</f>
        <v/>
      </c>
      <c r="F7905" s="17" t="str">
        <f>IFERROR(__xludf.DUMMYFUNCTION("""COMPUTED_VALUE"""),"")</f>
        <v/>
      </c>
      <c r="G7905" s="17" t="str">
        <f>IFERROR(__xludf.DUMMYFUNCTION("""COMPUTED_VALUE"""),"")</f>
        <v/>
      </c>
      <c r="H7905" s="17" t="str">
        <f>IFERROR(__xludf.DUMMYFUNCTION("""COMPUTED_VALUE"""),"")</f>
        <v/>
      </c>
      <c r="I7905" s="17" t="str">
        <f>IFERROR(__xludf.DUMMYFUNCTION("""COMPUTED_VALUE"""),"")</f>
        <v/>
      </c>
      <c r="J7905" s="17" t="str">
        <f>IFERROR(__xludf.DUMMYFUNCTION("""COMPUTED_VALUE"""),"")</f>
        <v/>
      </c>
      <c r="K7905" s="17" t="str">
        <f>IFERROR(__xludf.DUMMYFUNCTION("""COMPUTED_VALUE"""),"")</f>
        <v/>
      </c>
      <c r="L7905" s="17" t="str">
        <f>IFERROR(__xludf.DUMMYFUNCTION("""COMPUTED_VALUE"""),"")</f>
        <v/>
      </c>
      <c r="M7905" s="17" t="str">
        <f>IFERROR(__xludf.DUMMYFUNCTION("""COMPUTED_VALUE"""),"")</f>
        <v/>
      </c>
      <c r="N7905" s="17" t="str">
        <f>IFERROR(__xludf.DUMMYFUNCTION("""COMPUTED_VALUE"""),"")</f>
        <v/>
      </c>
      <c r="O7905" s="17" t="str">
        <f>IFERROR(__xludf.DUMMYFUNCTION("""COMPUTED_VALUE"""),"")</f>
        <v/>
      </c>
      <c r="P7905" s="17" t="str">
        <f>IFERROR(__xludf.DUMMYFUNCTION("""COMPUTED_VALUE"""),"")</f>
        <v/>
      </c>
      <c r="Q7905" s="17" t="str">
        <f>IFERROR(__xludf.DUMMYFUNCTION("""COMPUTED_VALUE"""),"")</f>
        <v/>
      </c>
      <c r="R7905" s="17" t="str">
        <f>IFERROR(__xludf.DUMMYFUNCTION("""COMPUTED_VALUE"""),"")</f>
        <v/>
      </c>
    </row>
    <row r="7906">
      <c r="A7906" s="15">
        <f>IFERROR(__xludf.DUMMYFUNCTION("""COMPUTED_VALUE"""),45224.0)</f>
        <v>45224</v>
      </c>
      <c r="B7906" s="16" t="str">
        <f>IFERROR(__xludf.DUMMYFUNCTION("""COMPUTED_VALUE"""),"Envia")</f>
        <v>Envia</v>
      </c>
      <c r="C7906" s="15" t="str">
        <f>IFERROR(__xludf.DUMMYFUNCTION("""COMPUTED_VALUE"""),"BOGOTÁ")</f>
        <v>BOGOTÁ</v>
      </c>
      <c r="D7906" s="15" t="str">
        <f>IFERROR(__xludf.DUMMYFUNCTION("""COMPUTED_VALUE"""),"PEREIRA")</f>
        <v>PEREIRA</v>
      </c>
      <c r="E7906" s="15" t="str">
        <f>IFERROR(__xludf.DUMMYFUNCTION("""COMPUTED_VALUE"""),"BAK&amp;VEG")</f>
        <v>BAK&amp;VEG</v>
      </c>
      <c r="F7906" s="17" t="str">
        <f>IFERROR(__xludf.DUMMYFUNCTION("""COMPUTED_VALUE"""),"calle 85 #22-73")</f>
        <v>calle 85 #22-73</v>
      </c>
      <c r="G7906" s="15" t="str">
        <f>IFERROR(__xludf.DUMMYFUNCTION("""COMPUTED_VALUE"""),"natalia mendez")</f>
        <v>natalia mendez</v>
      </c>
      <c r="H7906" s="16">
        <f>IFERROR(__xludf.DUMMYFUNCTION("""COMPUTED_VALUE"""),16512.0)</f>
        <v>16512</v>
      </c>
      <c r="I7906" s="18">
        <f>IFERROR(__xludf.DUMMYFUNCTION("""COMPUTED_VALUE"""),5.0)</f>
        <v>5</v>
      </c>
      <c r="J7906" s="18">
        <f>IFERROR(__xludf.DUMMYFUNCTION("""COMPUTED_VALUE"""),14.0)</f>
        <v>14</v>
      </c>
      <c r="K7906" s="18">
        <f>IFERROR(__xludf.DUMMYFUNCTION("""COMPUTED_VALUE"""),16.0)</f>
        <v>16</v>
      </c>
      <c r="L7906" s="17">
        <f>IFERROR(__xludf.DUMMYFUNCTION("""COMPUTED_VALUE"""),3.214021341E9)</f>
        <v>3214021341</v>
      </c>
      <c r="M7906" s="17"/>
      <c r="N7906" s="17"/>
      <c r="O7906" s="17"/>
      <c r="P7906" s="17" t="b">
        <f>IFERROR(__xludf.DUMMYFUNCTION("""COMPUTED_VALUE"""),FALSE)</f>
        <v>0</v>
      </c>
      <c r="Q7906" s="20" t="str">
        <f>IFERROR(__xludf.DUMMYFUNCTION("""COMPUTED_VALUE"""),"")</f>
        <v/>
      </c>
      <c r="R7906" s="21" t="str">
        <f>IFERROR(__xludf.DUMMYFUNCTION("""COMPUTED_VALUE"""),"https://drive.google.com/file/d/1zdufyjLEW_xD-phJp_AIuZE_isq1NyQ8/view?usp=drivesdk")</f>
        <v>https://drive.google.com/file/d/1zdufyjLEW_xD-phJp_AIuZE_isq1NyQ8/view?usp=drivesdk</v>
      </c>
    </row>
    <row r="7907">
      <c r="A7907" s="15">
        <f>IFERROR(__xludf.DUMMYFUNCTION("""COMPUTED_VALUE"""),45224.0)</f>
        <v>45224</v>
      </c>
      <c r="B7907" s="16" t="str">
        <f>IFERROR(__xludf.DUMMYFUNCTION("""COMPUTED_VALUE"""),"Envia")</f>
        <v>Envia</v>
      </c>
      <c r="C7907" s="15" t="str">
        <f>IFERROR(__xludf.DUMMYFUNCTION("""COMPUTED_VALUE"""),"CALI")</f>
        <v>CALI</v>
      </c>
      <c r="D7907" s="15" t="str">
        <f>IFERROR(__xludf.DUMMYFUNCTION("""COMPUTED_VALUE"""),"MEDELLÍN")</f>
        <v>MEDELLÍN</v>
      </c>
      <c r="E7907" s="15" t="str">
        <f>IFERROR(__xludf.DUMMYFUNCTION("""COMPUTED_VALUE"""),"Baby Chef")</f>
        <v>Baby Chef</v>
      </c>
      <c r="F7907" s="17" t="str">
        <f>IFERROR(__xludf.DUMMYFUNCTION("""COMPUTED_VALUE"""),"Cra 63#9-57  Limonar / . / .")</f>
        <v>Cra 63#9-57  Limonar / . / .</v>
      </c>
      <c r="G7907" s="15" t="str">
        <f>IFERROR(__xludf.DUMMYFUNCTION("""COMPUTED_VALUE"""),"Martha Sánchez")</f>
        <v>Martha Sánchez</v>
      </c>
      <c r="H7907" s="16">
        <f>IFERROR(__xludf.DUMMYFUNCTION("""COMPUTED_VALUE"""),16619.0)</f>
        <v>16619</v>
      </c>
      <c r="I7907" s="18">
        <f>IFERROR(__xludf.DUMMYFUNCTION("""COMPUTED_VALUE"""),7.0)</f>
        <v>7</v>
      </c>
      <c r="J7907" s="18">
        <f>IFERROR(__xludf.DUMMYFUNCTION("""COMPUTED_VALUE"""),23.0)</f>
        <v>23</v>
      </c>
      <c r="K7907" s="18">
        <f>IFERROR(__xludf.DUMMYFUNCTION("""COMPUTED_VALUE"""),22.0)</f>
        <v>22</v>
      </c>
      <c r="L7907" s="17">
        <f>IFERROR(__xludf.DUMMYFUNCTION("""COMPUTED_VALUE"""),3.113974638E9)</f>
        <v>3113974638</v>
      </c>
      <c r="M7907" s="17"/>
      <c r="N7907" s="17"/>
      <c r="O7907" s="17"/>
      <c r="P7907" s="17" t="b">
        <f>IFERROR(__xludf.DUMMYFUNCTION("""COMPUTED_VALUE"""),FALSE)</f>
        <v>0</v>
      </c>
      <c r="Q7907" s="20" t="str">
        <f>IFERROR(__xludf.DUMMYFUNCTION("""COMPUTED_VALUE"""),"")</f>
        <v/>
      </c>
      <c r="R7907" s="21" t="str">
        <f>IFERROR(__xludf.DUMMYFUNCTION("""COMPUTED_VALUE"""),"https://drive.google.com/file/d/1xGQwrtbNexZJSUrDzppH_traWjquSzN5/view?usp=drivesdk")</f>
        <v>https://drive.google.com/file/d/1xGQwrtbNexZJSUrDzppH_traWjquSzN5/view?usp=drivesdk</v>
      </c>
    </row>
    <row r="7908">
      <c r="A7908" s="15">
        <f>IFERROR(__xludf.DUMMYFUNCTION("""COMPUTED_VALUE"""),45224.0)</f>
        <v>45224</v>
      </c>
      <c r="B7908" s="16" t="str">
        <f>IFERROR(__xludf.DUMMYFUNCTION("""COMPUTED_VALUE"""),"Envia")</f>
        <v>Envia</v>
      </c>
      <c r="C7908" s="15" t="str">
        <f>IFERROR(__xludf.DUMMYFUNCTION("""COMPUTED_VALUE"""),"CARTAGENA")</f>
        <v>CARTAGENA</v>
      </c>
      <c r="D7908" s="15" t="str">
        <f>IFERROR(__xludf.DUMMYFUNCTION("""COMPUTED_VALUE"""),"BOGOTÁ")</f>
        <v>BOGOTÁ</v>
      </c>
      <c r="E7908" s="15" t="str">
        <f>IFERROR(__xludf.DUMMYFUNCTION("""COMPUTED_VALUE"""),"Top Spun")</f>
        <v>Top Spun</v>
      </c>
      <c r="F7908" s="17" t="str">
        <f>IFERROR(__xludf.DUMMYFUNCTION("""COMPUTED_VALUE"""),"Barrio la carolina mzna k lote 16 / Barrio La Carolina / Cartagena")</f>
        <v>Barrio la carolina mzna k lote 16 / Barrio La Carolina / Cartagena</v>
      </c>
      <c r="G7908" s="15" t="str">
        <f>IFERROR(__xludf.DUMMYFUNCTION("""COMPUTED_VALUE"""),"Jeinny Villadiego")</f>
        <v>Jeinny Villadiego</v>
      </c>
      <c r="H7908" s="16">
        <f>IFERROR(__xludf.DUMMYFUNCTION("""COMPUTED_VALUE"""),16490.0)</f>
        <v>16490</v>
      </c>
      <c r="I7908" s="18">
        <f>IFERROR(__xludf.DUMMYFUNCTION("""COMPUTED_VALUE"""),20.0)</f>
        <v>20</v>
      </c>
      <c r="J7908" s="18">
        <f>IFERROR(__xludf.DUMMYFUNCTION("""COMPUTED_VALUE"""),10.0)</f>
        <v>10</v>
      </c>
      <c r="K7908" s="18">
        <f>IFERROR(__xludf.DUMMYFUNCTION("""COMPUTED_VALUE"""),40.0)</f>
        <v>40</v>
      </c>
      <c r="L7908" s="17">
        <f>IFERROR(__xludf.DUMMYFUNCTION("""COMPUTED_VALUE"""),3.102684875E9)</f>
        <v>3102684875</v>
      </c>
      <c r="M7908" s="17"/>
      <c r="N7908" s="17"/>
      <c r="O7908" s="17"/>
      <c r="P7908" s="17" t="b">
        <f>IFERROR(__xludf.DUMMYFUNCTION("""COMPUTED_VALUE"""),FALSE)</f>
        <v>0</v>
      </c>
      <c r="Q7908" s="20" t="str">
        <f>IFERROR(__xludf.DUMMYFUNCTION("""COMPUTED_VALUE"""),"")</f>
        <v/>
      </c>
      <c r="R7908" s="21" t="str">
        <f>IFERROR(__xludf.DUMMYFUNCTION("""COMPUTED_VALUE"""),"https://drive.google.com/file/d/1wN6Hke2af3sUWhiox_0DH_4uyfkbuMuQ/view?usp=drivesdk")</f>
        <v>https://drive.google.com/file/d/1wN6Hke2af3sUWhiox_0DH_4uyfkbuMuQ/view?usp=drivesdk</v>
      </c>
    </row>
    <row r="7909">
      <c r="A7909" s="15">
        <f>IFERROR(__xludf.DUMMYFUNCTION("""COMPUTED_VALUE"""),45224.0)</f>
        <v>45224</v>
      </c>
      <c r="B7909" s="16" t="str">
        <f>IFERROR(__xludf.DUMMYFUNCTION("""COMPUTED_VALUE"""),"Envia")</f>
        <v>Envia</v>
      </c>
      <c r="C7909" s="15" t="str">
        <f>IFERROR(__xludf.DUMMYFUNCTION("""COMPUTED_VALUE"""),"CHÍA")</f>
        <v>CHÍA</v>
      </c>
      <c r="D7909" s="15" t="str">
        <f>IFERROR(__xludf.DUMMYFUNCTION("""COMPUTED_VALUE"""),"MEDELLÍN")</f>
        <v>MEDELLÍN</v>
      </c>
      <c r="E7909" s="15" t="str">
        <f>IFERROR(__xludf.DUMMYFUNCTION("""COMPUTED_VALUE"""),"Baby Chef")</f>
        <v>Baby Chef</v>
      </c>
      <c r="F7909" s="17" t="str">
        <f>IFERROR(__xludf.DUMMYFUNCTION("""COMPUTED_VALUE"""),"calle 3 sur # 6-56 casa 7, Conjunto Robles de Guaymaral, vereda la balsa. Chia, Cundinamarca / . / .")</f>
        <v>calle 3 sur # 6-56 casa 7, Conjunto Robles de Guaymaral, vereda la balsa. Chia, Cundinamarca / . / .</v>
      </c>
      <c r="G7909" s="15" t="str">
        <f>IFERROR(__xludf.DUMMYFUNCTION("""COMPUTED_VALUE"""),"Nataly Trujillo")</f>
        <v>Nataly Trujillo</v>
      </c>
      <c r="H7909" s="16">
        <f>IFERROR(__xludf.DUMMYFUNCTION("""COMPUTED_VALUE"""),16637.0)</f>
        <v>16637</v>
      </c>
      <c r="I7909" s="18">
        <f>IFERROR(__xludf.DUMMYFUNCTION("""COMPUTED_VALUE"""),8.0)</f>
        <v>8</v>
      </c>
      <c r="J7909" s="18">
        <f>IFERROR(__xludf.DUMMYFUNCTION("""COMPUTED_VALUE"""),24.0)</f>
        <v>24</v>
      </c>
      <c r="K7909" s="18">
        <f>IFERROR(__xludf.DUMMYFUNCTION("""COMPUTED_VALUE"""),21.0)</f>
        <v>21</v>
      </c>
      <c r="L7909" s="17">
        <f>IFERROR(__xludf.DUMMYFUNCTION("""COMPUTED_VALUE"""),3.183851496E9)</f>
        <v>3183851496</v>
      </c>
      <c r="M7909" s="17"/>
      <c r="N7909" s="17"/>
      <c r="O7909" s="17"/>
      <c r="P7909" s="17" t="b">
        <f>IFERROR(__xludf.DUMMYFUNCTION("""COMPUTED_VALUE"""),FALSE)</f>
        <v>0</v>
      </c>
      <c r="Q7909" s="20" t="str">
        <f>IFERROR(__xludf.DUMMYFUNCTION("""COMPUTED_VALUE"""),"")</f>
        <v/>
      </c>
      <c r="R7909" s="21" t="str">
        <f>IFERROR(__xludf.DUMMYFUNCTION("""COMPUTED_VALUE"""),"https://drive.google.com/file/d/1lErKzmwvCHFTSoWi0qR66U2WqbembJ5G/view?usp=drivesdk")</f>
        <v>https://drive.google.com/file/d/1lErKzmwvCHFTSoWi0qR66U2WqbembJ5G/view?usp=drivesdk</v>
      </c>
    </row>
    <row r="7910">
      <c r="A7910" s="15">
        <f>IFERROR(__xludf.DUMMYFUNCTION("""COMPUTED_VALUE"""),45224.0)</f>
        <v>45224</v>
      </c>
      <c r="B7910" s="16" t="str">
        <f>IFERROR(__xludf.DUMMYFUNCTION("""COMPUTED_VALUE"""),"Envia")</f>
        <v>Envia</v>
      </c>
      <c r="C7910" s="15" t="str">
        <f>IFERROR(__xludf.DUMMYFUNCTION("""COMPUTED_VALUE"""),"VILLAVICENCIO")</f>
        <v>VILLAVICENCIO</v>
      </c>
      <c r="D7910" s="15" t="str">
        <f>IFERROR(__xludf.DUMMYFUNCTION("""COMPUTED_VALUE"""),"BOGOTÁ")</f>
        <v>BOGOTÁ</v>
      </c>
      <c r="E7910" s="15" t="str">
        <f>IFERROR(__xludf.DUMMYFUNCTION("""COMPUTED_VALUE"""),"Mochi")</f>
        <v>Mochi</v>
      </c>
      <c r="F7910" s="17" t="str">
        <f>IFERROR(__xludf.DUMMYFUNCTION("""COMPUTED_VALUE"""),"Calle 7 #45/18 / Centro comercial viva villavicencio  / Centro comercial")</f>
        <v>Calle 7 #45/18 / Centro comercial viva villavicencio  / Centro comercial</v>
      </c>
      <c r="G7910" s="15" t="str">
        <f>IFERROR(__xludf.DUMMYFUNCTION("""COMPUTED_VALUE"""),"Natalia numpaque")</f>
        <v>Natalia numpaque</v>
      </c>
      <c r="H7910" s="16">
        <f>IFERROR(__xludf.DUMMYFUNCTION("""COMPUTED_VALUE"""),16624.0)</f>
        <v>16624</v>
      </c>
      <c r="I7910" s="18">
        <f>IFERROR(__xludf.DUMMYFUNCTION("""COMPUTED_VALUE"""),55.0)</f>
        <v>55</v>
      </c>
      <c r="J7910" s="18">
        <f>IFERROR(__xludf.DUMMYFUNCTION("""COMPUTED_VALUE"""),44.0)</f>
        <v>44</v>
      </c>
      <c r="K7910" s="18" t="str">
        <f>IFERROR(__xludf.DUMMYFUNCTION("""COMPUTED_VALUE"""),"52.5")</f>
        <v>52.5</v>
      </c>
      <c r="L7910" s="17">
        <f>IFERROR(__xludf.DUMMYFUNCTION("""COMPUTED_VALUE"""),3.134100428E9)</f>
        <v>3134100428</v>
      </c>
      <c r="M7910" s="17"/>
      <c r="N7910" s="17"/>
      <c r="O7910" s="17"/>
      <c r="P7910" s="17" t="b">
        <f>IFERROR(__xludf.DUMMYFUNCTION("""COMPUTED_VALUE"""),FALSE)</f>
        <v>0</v>
      </c>
      <c r="Q7910" s="20" t="str">
        <f>IFERROR(__xludf.DUMMYFUNCTION("""COMPUTED_VALUE"""),"")</f>
        <v/>
      </c>
      <c r="R7910" s="21" t="str">
        <f>IFERROR(__xludf.DUMMYFUNCTION("""COMPUTED_VALUE"""),"https://drive.google.com/file/d/1efMWrkfraVKlSbAQNuyddlu1AoOrBhrZ/view?usp=drivesdk")</f>
        <v>https://drive.google.com/file/d/1efMWrkfraVKlSbAQNuyddlu1AoOrBhrZ/view?usp=drivesdk</v>
      </c>
    </row>
    <row r="7911">
      <c r="A7911" s="17" t="str">
        <f>IFERROR(__xludf.DUMMYFUNCTION("""COMPUTED_VALUE"""),"")</f>
        <v/>
      </c>
      <c r="B7911" s="17" t="str">
        <f>IFERROR(__xludf.DUMMYFUNCTION("""COMPUTED_VALUE"""),"")</f>
        <v/>
      </c>
      <c r="C7911" s="17" t="str">
        <f>IFERROR(__xludf.DUMMYFUNCTION("""COMPUTED_VALUE"""),"")</f>
        <v/>
      </c>
      <c r="D7911" s="17" t="str">
        <f>IFERROR(__xludf.DUMMYFUNCTION("""COMPUTED_VALUE"""),"")</f>
        <v/>
      </c>
      <c r="E7911" s="17" t="str">
        <f>IFERROR(__xludf.DUMMYFUNCTION("""COMPUTED_VALUE"""),"")</f>
        <v/>
      </c>
      <c r="F7911" s="17" t="str">
        <f>IFERROR(__xludf.DUMMYFUNCTION("""COMPUTED_VALUE"""),"")</f>
        <v/>
      </c>
      <c r="G7911" s="17" t="str">
        <f>IFERROR(__xludf.DUMMYFUNCTION("""COMPUTED_VALUE"""),"")</f>
        <v/>
      </c>
      <c r="H7911" s="17" t="str">
        <f>IFERROR(__xludf.DUMMYFUNCTION("""COMPUTED_VALUE"""),"")</f>
        <v/>
      </c>
      <c r="I7911" s="17" t="str">
        <f>IFERROR(__xludf.DUMMYFUNCTION("""COMPUTED_VALUE"""),"")</f>
        <v/>
      </c>
      <c r="J7911" s="17" t="str">
        <f>IFERROR(__xludf.DUMMYFUNCTION("""COMPUTED_VALUE"""),"")</f>
        <v/>
      </c>
      <c r="K7911" s="17" t="str">
        <f>IFERROR(__xludf.DUMMYFUNCTION("""COMPUTED_VALUE"""),"")</f>
        <v/>
      </c>
      <c r="L7911" s="17" t="str">
        <f>IFERROR(__xludf.DUMMYFUNCTION("""COMPUTED_VALUE"""),"")</f>
        <v/>
      </c>
      <c r="M7911" s="17" t="str">
        <f>IFERROR(__xludf.DUMMYFUNCTION("""COMPUTED_VALUE"""),"")</f>
        <v/>
      </c>
      <c r="N7911" s="17" t="str">
        <f>IFERROR(__xludf.DUMMYFUNCTION("""COMPUTED_VALUE"""),"")</f>
        <v/>
      </c>
      <c r="O7911" s="17" t="str">
        <f>IFERROR(__xludf.DUMMYFUNCTION("""COMPUTED_VALUE"""),"")</f>
        <v/>
      </c>
      <c r="P7911" s="17" t="str">
        <f>IFERROR(__xludf.DUMMYFUNCTION("""COMPUTED_VALUE"""),"")</f>
        <v/>
      </c>
      <c r="Q7911" s="17" t="str">
        <f>IFERROR(__xludf.DUMMYFUNCTION("""COMPUTED_VALUE"""),"")</f>
        <v/>
      </c>
      <c r="R7911" s="17" t="str">
        <f>IFERROR(__xludf.DUMMYFUNCTION("""COMPUTED_VALUE"""),"")</f>
        <v/>
      </c>
    </row>
    <row r="7912">
      <c r="A7912" s="15">
        <f>IFERROR(__xludf.DUMMYFUNCTION("""COMPUTED_VALUE"""),45224.0)</f>
        <v>45224</v>
      </c>
      <c r="B7912" s="16" t="str">
        <f>IFERROR(__xludf.DUMMYFUNCTION("""COMPUTED_VALUE"""),"Johan Alexander Escobar Arroyo ")</f>
        <v>Johan Alexander Escobar Arroyo </v>
      </c>
      <c r="C7912" s="15" t="str">
        <f>IFERROR(__xludf.DUMMYFUNCTION("""COMPUTED_VALUE"""),"BUCARAMANGA")</f>
        <v>BUCARAMANGA</v>
      </c>
      <c r="D7912" s="15" t="str">
        <f>IFERROR(__xludf.DUMMYFUNCTION("""COMPUTED_VALUE"""),"BOGOTÁ")</f>
        <v>BOGOTÁ</v>
      </c>
      <c r="E7912" s="15" t="str">
        <f>IFERROR(__xludf.DUMMYFUNCTION("""COMPUTED_VALUE"""),"Mochi")</f>
        <v>Mochi</v>
      </c>
      <c r="F7912" s="17" t="str">
        <f>IFERROR(__xludf.DUMMYFUNCTION("""COMPUTED_VALUE"""),"Cra 29 # 47/14 / Local / Sotomayor")</f>
        <v>Cra 29 # 47/14 / Local / Sotomayor</v>
      </c>
      <c r="G7912" s="15" t="str">
        <f>IFERROR(__xludf.DUMMYFUNCTION("""COMPUTED_VALUE"""),"David sebastian molina")</f>
        <v>David sebastian molina</v>
      </c>
      <c r="H7912" s="16">
        <f>IFERROR(__xludf.DUMMYFUNCTION("""COMPUTED_VALUE"""),16642.0)</f>
        <v>16642</v>
      </c>
      <c r="I7912" s="18">
        <f>IFERROR(__xludf.DUMMYFUNCTION("""COMPUTED_VALUE"""),55.0)</f>
        <v>55</v>
      </c>
      <c r="J7912" s="18">
        <f>IFERROR(__xludf.DUMMYFUNCTION("""COMPUTED_VALUE"""),44.0)</f>
        <v>44</v>
      </c>
      <c r="K7912" s="18" t="str">
        <f>IFERROR(__xludf.DUMMYFUNCTION("""COMPUTED_VALUE"""),"52.5")</f>
        <v>52.5</v>
      </c>
      <c r="L7912" s="17">
        <f>IFERROR(__xludf.DUMMYFUNCTION("""COMPUTED_VALUE"""),3.155539734E9)</f>
        <v>3155539734</v>
      </c>
      <c r="M7912" s="17"/>
      <c r="N7912" s="17"/>
      <c r="O7912" s="17"/>
      <c r="P7912" s="17" t="b">
        <f>IFERROR(__xludf.DUMMYFUNCTION("""COMPUTED_VALUE"""),FALSE)</f>
        <v>0</v>
      </c>
      <c r="Q7912" s="20" t="str">
        <f>IFERROR(__xludf.DUMMYFUNCTION("""COMPUTED_VALUE"""),"")</f>
        <v/>
      </c>
      <c r="R7912" s="21" t="str">
        <f>IFERROR(__xludf.DUMMYFUNCTION("""COMPUTED_VALUE"""),"https://drive.google.com/file/d/1gtsgEQUBMBSQMpkiM_tOhbwDzLt2Zkr5/view?usp=drivesdk")</f>
        <v>https://drive.google.com/file/d/1gtsgEQUBMBSQMpkiM_tOhbwDzLt2Zkr5/view?usp=drivesdk</v>
      </c>
    </row>
    <row r="7913">
      <c r="A7913" s="15">
        <f>IFERROR(__xludf.DUMMYFUNCTION("""COMPUTED_VALUE"""),45224.0)</f>
        <v>45224</v>
      </c>
      <c r="B7913" s="16" t="str">
        <f>IFERROR(__xludf.DUMMYFUNCTION("""COMPUTED_VALUE"""),"Johan Alexander Escobar Arroyo ")</f>
        <v>Johan Alexander Escobar Arroyo </v>
      </c>
      <c r="C7913" s="15" t="str">
        <f>IFERROR(__xludf.DUMMYFUNCTION("""COMPUTED_VALUE"""),"CALI")</f>
        <v>CALI</v>
      </c>
      <c r="D7913" s="15" t="str">
        <f>IFERROR(__xludf.DUMMYFUNCTION("""COMPUTED_VALUE"""),"MEDELLÍN")</f>
        <v>MEDELLÍN</v>
      </c>
      <c r="E7913" s="15" t="str">
        <f>IFERROR(__xludf.DUMMYFUNCTION("""COMPUTED_VALUE"""),"Baby Chef")</f>
        <v>Baby Chef</v>
      </c>
      <c r="F7913" s="17" t="str">
        <f>IFERROR(__xludf.DUMMYFUNCTION("""COMPUTED_VALUE"""),"Avenida 3 oeste # 13-43 Edificio santa Rita reservado apto 301 / . / .")</f>
        <v>Avenida 3 oeste # 13-43 Edificio santa Rita reservado apto 301 / . / .</v>
      </c>
      <c r="G7913" s="15" t="str">
        <f>IFERROR(__xludf.DUMMYFUNCTION("""COMPUTED_VALUE"""),"Valerie Hormaza")</f>
        <v>Valerie Hormaza</v>
      </c>
      <c r="H7913" s="16">
        <f>IFERROR(__xludf.DUMMYFUNCTION("""COMPUTED_VALUE"""),16620.0)</f>
        <v>16620</v>
      </c>
      <c r="I7913" s="18">
        <f>IFERROR(__xludf.DUMMYFUNCTION("""COMPUTED_VALUE"""),10.0)</f>
        <v>10</v>
      </c>
      <c r="J7913" s="18">
        <f>IFERROR(__xludf.DUMMYFUNCTION("""COMPUTED_VALUE"""),36.0)</f>
        <v>36</v>
      </c>
      <c r="K7913" s="18">
        <f>IFERROR(__xludf.DUMMYFUNCTION("""COMPUTED_VALUE"""),26.0)</f>
        <v>26</v>
      </c>
      <c r="L7913" s="17">
        <f>IFERROR(__xludf.DUMMYFUNCTION("""COMPUTED_VALUE"""),3.164405143E9)</f>
        <v>3164405143</v>
      </c>
      <c r="M7913" s="17"/>
      <c r="N7913" s="17"/>
      <c r="O7913" s="17"/>
      <c r="P7913" s="17" t="b">
        <f>IFERROR(__xludf.DUMMYFUNCTION("""COMPUTED_VALUE"""),FALSE)</f>
        <v>0</v>
      </c>
      <c r="Q7913" s="20" t="str">
        <f>IFERROR(__xludf.DUMMYFUNCTION("""COMPUTED_VALUE"""),"")</f>
        <v/>
      </c>
      <c r="R7913" s="21" t="str">
        <f>IFERROR(__xludf.DUMMYFUNCTION("""COMPUTED_VALUE"""),"https://drive.google.com/file/d/1e9TsQGruj7esx00rfLPI6oW_KeEa3er1/view?usp=drivesdk")</f>
        <v>https://drive.google.com/file/d/1e9TsQGruj7esx00rfLPI6oW_KeEa3er1/view?usp=drivesdk</v>
      </c>
    </row>
    <row r="7914">
      <c r="A7914" s="15">
        <f>IFERROR(__xludf.DUMMYFUNCTION("""COMPUTED_VALUE"""),45224.0)</f>
        <v>45224</v>
      </c>
      <c r="B7914" s="16" t="str">
        <f>IFERROR(__xludf.DUMMYFUNCTION("""COMPUTED_VALUE"""),"Johan Alexander Escobar Arroyo ")</f>
        <v>Johan Alexander Escobar Arroyo </v>
      </c>
      <c r="C7914" s="15" t="str">
        <f>IFERROR(__xludf.DUMMYFUNCTION("""COMPUTED_VALUE"""),"CALI")</f>
        <v>CALI</v>
      </c>
      <c r="D7914" s="15" t="str">
        <f>IFERROR(__xludf.DUMMYFUNCTION("""COMPUTED_VALUE"""),"MEDELLÍN")</f>
        <v>MEDELLÍN</v>
      </c>
      <c r="E7914" s="15" t="str">
        <f>IFERROR(__xludf.DUMMYFUNCTION("""COMPUTED_VALUE"""),"Baby Chef")</f>
        <v>Baby Chef</v>
      </c>
      <c r="F7914" s="17" t="str">
        <f>IFERROR(__xludf.DUMMYFUNCTION("""COMPUTED_VALUE"""),"Calle 64N # 4-90 parque de las flores apto 1201 Torre B / . / .")</f>
        <v>Calle 64N # 4-90 parque de las flores apto 1201 Torre B / . / .</v>
      </c>
      <c r="G7914" s="15" t="str">
        <f>IFERROR(__xludf.DUMMYFUNCTION("""COMPUTED_VALUE"""),"Danny Valentina Chaparro")</f>
        <v>Danny Valentina Chaparro</v>
      </c>
      <c r="H7914" s="16">
        <f>IFERROR(__xludf.DUMMYFUNCTION("""COMPUTED_VALUE"""),16621.0)</f>
        <v>16621</v>
      </c>
      <c r="I7914" s="18">
        <f>IFERROR(__xludf.DUMMYFUNCTION("""COMPUTED_VALUE"""),13.0)</f>
        <v>13</v>
      </c>
      <c r="J7914" s="18">
        <f>IFERROR(__xludf.DUMMYFUNCTION("""COMPUTED_VALUE"""),35.0)</f>
        <v>35</v>
      </c>
      <c r="K7914" s="18">
        <f>IFERROR(__xludf.DUMMYFUNCTION("""COMPUTED_VALUE"""),21.0)</f>
        <v>21</v>
      </c>
      <c r="L7914" s="17">
        <f>IFERROR(__xludf.DUMMYFUNCTION("""COMPUTED_VALUE"""),3.107539338E9)</f>
        <v>3107539338</v>
      </c>
      <c r="M7914" s="17"/>
      <c r="N7914" s="17"/>
      <c r="O7914" s="17"/>
      <c r="P7914" s="17" t="b">
        <f>IFERROR(__xludf.DUMMYFUNCTION("""COMPUTED_VALUE"""),FALSE)</f>
        <v>0</v>
      </c>
      <c r="Q7914" s="20" t="str">
        <f>IFERROR(__xludf.DUMMYFUNCTION("""COMPUTED_VALUE"""),"")</f>
        <v/>
      </c>
      <c r="R7914" s="21" t="str">
        <f>IFERROR(__xludf.DUMMYFUNCTION("""COMPUTED_VALUE"""),"https://drive.google.com/file/d/1Mc7vk6-u7AHOB6tnMK1Iuqs_9rqRXQOB/view?usp=drivesdk")</f>
        <v>https://drive.google.com/file/d/1Mc7vk6-u7AHOB6tnMK1Iuqs_9rqRXQOB/view?usp=drivesdk</v>
      </c>
    </row>
    <row r="7915">
      <c r="A7915" s="15">
        <f>IFERROR(__xludf.DUMMYFUNCTION("""COMPUTED_VALUE"""),45224.0)</f>
        <v>45224</v>
      </c>
      <c r="B7915" s="16" t="str">
        <f>IFERROR(__xludf.DUMMYFUNCTION("""COMPUTED_VALUE"""),"Johan Alexander Escobar Arroyo ")</f>
        <v>Johan Alexander Escobar Arroyo </v>
      </c>
      <c r="C7915" s="15" t="str">
        <f>IFERROR(__xludf.DUMMYFUNCTION("""COMPUTED_VALUE"""),"CALI")</f>
        <v>CALI</v>
      </c>
      <c r="D7915" s="15" t="str">
        <f>IFERROR(__xludf.DUMMYFUNCTION("""COMPUTED_VALUE"""),"MEDELLÍN")</f>
        <v>MEDELLÍN</v>
      </c>
      <c r="E7915" s="15" t="str">
        <f>IFERROR(__xludf.DUMMYFUNCTION("""COMPUTED_VALUE"""),"Baby Chef")</f>
        <v>Baby Chef</v>
      </c>
      <c r="F7915" s="17" t="str">
        <f>IFERROR(__xludf.DUMMYFUNCTION("""COMPUTED_VALUE"""),"Entregar a nombre de: (María stella rodriguez) Carrera 118 # 4-147, condominio gaudi casa 24, barrio PANCE Cali / . / .")</f>
        <v>Entregar a nombre de: (María stella rodriguez) Carrera 118 # 4-147, condominio gaudi casa 24, barrio PANCE Cali / . / .</v>
      </c>
      <c r="G7915" s="15" t="str">
        <f>IFERROR(__xludf.DUMMYFUNCTION("""COMPUTED_VALUE"""),"Andrea Vélez")</f>
        <v>Andrea Vélez</v>
      </c>
      <c r="H7915" s="16">
        <f>IFERROR(__xludf.DUMMYFUNCTION("""COMPUTED_VALUE"""),16622.0)</f>
        <v>16622</v>
      </c>
      <c r="I7915" s="18">
        <f>IFERROR(__xludf.DUMMYFUNCTION("""COMPUTED_VALUE"""),6.0)</f>
        <v>6</v>
      </c>
      <c r="J7915" s="18">
        <f>IFERROR(__xludf.DUMMYFUNCTION("""COMPUTED_VALUE"""),20.0)</f>
        <v>20</v>
      </c>
      <c r="K7915" s="18">
        <f>IFERROR(__xludf.DUMMYFUNCTION("""COMPUTED_VALUE"""),33.0)</f>
        <v>33</v>
      </c>
      <c r="L7915" s="17">
        <f>IFERROR(__xludf.DUMMYFUNCTION("""COMPUTED_VALUE"""),3.13695189E9)</f>
        <v>3136951890</v>
      </c>
      <c r="M7915" s="17"/>
      <c r="N7915" s="17"/>
      <c r="O7915" s="17"/>
      <c r="P7915" s="17" t="b">
        <f>IFERROR(__xludf.DUMMYFUNCTION("""COMPUTED_VALUE"""),FALSE)</f>
        <v>0</v>
      </c>
      <c r="Q7915" s="20" t="str">
        <f>IFERROR(__xludf.DUMMYFUNCTION("""COMPUTED_VALUE"""),"")</f>
        <v/>
      </c>
      <c r="R7915" s="21" t="str">
        <f>IFERROR(__xludf.DUMMYFUNCTION("""COMPUTED_VALUE"""),"https://drive.google.com/file/d/15LOKdnveqDZxeIyyiWuHl_cqcWGe727R/view?usp=drivesdk")</f>
        <v>https://drive.google.com/file/d/15LOKdnveqDZxeIyyiWuHl_cqcWGe727R/view?usp=drivesdk</v>
      </c>
    </row>
    <row r="7916">
      <c r="A7916" s="15">
        <f>IFERROR(__xludf.DUMMYFUNCTION("""COMPUTED_VALUE"""),45224.0)</f>
        <v>45224</v>
      </c>
      <c r="B7916" s="16" t="str">
        <f>IFERROR(__xludf.DUMMYFUNCTION("""COMPUTED_VALUE"""),"Johan Alexander Escobar Arroyo ")</f>
        <v>Johan Alexander Escobar Arroyo </v>
      </c>
      <c r="C7916" s="15" t="str">
        <f>IFERROR(__xludf.DUMMYFUNCTION("""COMPUTED_VALUE"""),"CALI")</f>
        <v>CALI</v>
      </c>
      <c r="D7916" s="15" t="str">
        <f>IFERROR(__xludf.DUMMYFUNCTION("""COMPUTED_VALUE"""),"MEDELLÍN")</f>
        <v>MEDELLÍN</v>
      </c>
      <c r="E7916" s="15" t="str">
        <f>IFERROR(__xludf.DUMMYFUNCTION("""COMPUTED_VALUE"""),"JD Bufala")</f>
        <v>JD Bufala</v>
      </c>
      <c r="F7916" s="17" t="str">
        <f>IFERROR(__xludf.DUMMYFUNCTION("""COMPUTED_VALUE"""),"Calle 51 norte # 4bn72 / Delhuertopizzeria  / La flora")</f>
        <v>Calle 51 norte # 4bn72 / Delhuertopizzeria  / La flora</v>
      </c>
      <c r="G7916" s="15" t="str">
        <f>IFERROR(__xludf.DUMMYFUNCTION("""COMPUTED_VALUE"""),"Jaiver Rodríguez")</f>
        <v>Jaiver Rodríguez</v>
      </c>
      <c r="H7916" s="16">
        <f>IFERROR(__xludf.DUMMYFUNCTION("""COMPUTED_VALUE"""),16586.0)</f>
        <v>16586</v>
      </c>
      <c r="I7916" s="18" t="str">
        <f>IFERROR(__xludf.DUMMYFUNCTION("""COMPUTED_VALUE"""),"102.5")</f>
        <v>102.5</v>
      </c>
      <c r="J7916" s="18">
        <f>IFERROR(__xludf.DUMMYFUNCTION("""COMPUTED_VALUE"""),28.0)</f>
        <v>28</v>
      </c>
      <c r="K7916" s="18">
        <f>IFERROR(__xludf.DUMMYFUNCTION("""COMPUTED_VALUE"""),40.0)</f>
        <v>40</v>
      </c>
      <c r="L7916" s="17">
        <f>IFERROR(__xludf.DUMMYFUNCTION("""COMPUTED_VALUE"""),3.104919761E9)</f>
        <v>3104919761</v>
      </c>
      <c r="M7916" s="17"/>
      <c r="N7916" s="17"/>
      <c r="O7916" s="17"/>
      <c r="P7916" s="17" t="b">
        <f>IFERROR(__xludf.DUMMYFUNCTION("""COMPUTED_VALUE"""),FALSE)</f>
        <v>0</v>
      </c>
      <c r="Q7916" s="20" t="str">
        <f>IFERROR(__xludf.DUMMYFUNCTION("""COMPUTED_VALUE"""),"")</f>
        <v/>
      </c>
      <c r="R7916" s="21" t="str">
        <f>IFERROR(__xludf.DUMMYFUNCTION("""COMPUTED_VALUE"""),"https://drive.google.com/file/d/16ZsBMqIxJR8YMcoi5uYrq6sT4_4TzYKH/view?usp=drivesdk")</f>
        <v>https://drive.google.com/file/d/16ZsBMqIxJR8YMcoi5uYrq6sT4_4TzYKH/view?usp=drivesdk</v>
      </c>
    </row>
    <row r="7917">
      <c r="A7917" s="15">
        <f>IFERROR(__xludf.DUMMYFUNCTION("""COMPUTED_VALUE"""),45224.0)</f>
        <v>45224</v>
      </c>
      <c r="B7917" s="16" t="str">
        <f>IFERROR(__xludf.DUMMYFUNCTION("""COMPUTED_VALUE"""),"Johan Alexander Escobar Arroyo ")</f>
        <v>Johan Alexander Escobar Arroyo </v>
      </c>
      <c r="C7917" s="15" t="str">
        <f>IFERROR(__xludf.DUMMYFUNCTION("""COMPUTED_VALUE"""),"CALI")</f>
        <v>CALI</v>
      </c>
      <c r="D7917" s="15" t="str">
        <f>IFERROR(__xludf.DUMMYFUNCTION("""COMPUTED_VALUE"""),"MEDELLÍN")</f>
        <v>MEDELLÍN</v>
      </c>
      <c r="E7917" s="15" t="str">
        <f>IFERROR(__xludf.DUMMYFUNCTION("""COMPUTED_VALUE"""),"Moloso S.A.S")</f>
        <v>Moloso S.A.S</v>
      </c>
      <c r="F7917" s="17" t="str">
        <f>IFERROR(__xludf.DUMMYFUNCTION("""COMPUTED_VALUE"""),"AVENIDA 3 OESTE 13 94 EDIF SOL DEL OESTE APT 702 / EDIF SOL DEL OESTE APT 702")</f>
        <v>AVENIDA 3 OESTE 13 94 EDIF SOL DEL OESTE APT 702 / EDIF SOL DEL OESTE APT 702</v>
      </c>
      <c r="G7917" s="15" t="str">
        <f>IFERROR(__xludf.DUMMYFUNCTION("""COMPUTED_VALUE"""),"LAURA HERNÁNDEZ ALVIAR")</f>
        <v>LAURA HERNÁNDEZ ALVIAR</v>
      </c>
      <c r="H7917" s="16">
        <f>IFERROR(__xludf.DUMMYFUNCTION("""COMPUTED_VALUE"""),16613.0)</f>
        <v>16613</v>
      </c>
      <c r="I7917" s="18">
        <f>IFERROR(__xludf.DUMMYFUNCTION("""COMPUTED_VALUE"""),17.0)</f>
        <v>17</v>
      </c>
      <c r="J7917" s="18">
        <f>IFERROR(__xludf.DUMMYFUNCTION("""COMPUTED_VALUE"""),15.0)</f>
        <v>15</v>
      </c>
      <c r="K7917" s="18">
        <f>IFERROR(__xludf.DUMMYFUNCTION("""COMPUTED_VALUE"""),28.0)</f>
        <v>28</v>
      </c>
      <c r="L7917" s="17" t="str">
        <f>IFERROR(__xludf.DUMMYFUNCTION("""COMPUTED_VALUE"""),"315 5762974")</f>
        <v>315 5762974</v>
      </c>
      <c r="M7917" s="17"/>
      <c r="N7917" s="17"/>
      <c r="O7917" s="17"/>
      <c r="P7917" s="17" t="b">
        <f>IFERROR(__xludf.DUMMYFUNCTION("""COMPUTED_VALUE"""),FALSE)</f>
        <v>0</v>
      </c>
      <c r="Q7917" s="20" t="str">
        <f>IFERROR(__xludf.DUMMYFUNCTION("""COMPUTED_VALUE"""),"")</f>
        <v/>
      </c>
      <c r="R7917" s="21" t="str">
        <f>IFERROR(__xludf.DUMMYFUNCTION("""COMPUTED_VALUE"""),"https://drive.google.com/file/d/1nFmIQ8R3_eOW5px-1shzWgX4opCJNe2v/view?usp=drivesdk")</f>
        <v>https://drive.google.com/file/d/1nFmIQ8R3_eOW5px-1shzWgX4opCJNe2v/view?usp=drivesdk</v>
      </c>
    </row>
    <row r="7918">
      <c r="A7918" s="15">
        <f>IFERROR(__xludf.DUMMYFUNCTION("""COMPUTED_VALUE"""),45224.0)</f>
        <v>45224</v>
      </c>
      <c r="B7918" s="16" t="str">
        <f>IFERROR(__xludf.DUMMYFUNCTION("""COMPUTED_VALUE"""),"Johan Alexander Escobar Arroyo ")</f>
        <v>Johan Alexander Escobar Arroyo </v>
      </c>
      <c r="C7918" s="15" t="str">
        <f>IFERROR(__xludf.DUMMYFUNCTION("""COMPUTED_VALUE"""),"CÚCUTA")</f>
        <v>CÚCUTA</v>
      </c>
      <c r="D7918" s="15" t="str">
        <f>IFERROR(__xludf.DUMMYFUNCTION("""COMPUTED_VALUE"""),"MEDELLÍN")</f>
        <v>MEDELLÍN</v>
      </c>
      <c r="E7918" s="15" t="str">
        <f>IFERROR(__xludf.DUMMYFUNCTION("""COMPUTED_VALUE"""),"Momo Tea S.A.S Gabriel Echavarría")</f>
        <v>Momo Tea S.A.S Gabriel Echavarría</v>
      </c>
      <c r="F7918" s="17" t="str">
        <f>IFERROR(__xludf.DUMMYFUNCTION("""COMPUTED_VALUE"""),"CL 11 N 16 E 35 / CA B 1")</f>
        <v>CL 11 N 16 E 35 / CA B 1</v>
      </c>
      <c r="G7918" s="15" t="str">
        <f>IFERROR(__xludf.DUMMYFUNCTION("""COMPUTED_VALUE"""),"Gabriel Echavarría")</f>
        <v>Gabriel Echavarría</v>
      </c>
      <c r="H7918" s="16">
        <f>IFERROR(__xludf.DUMMYFUNCTION("""COMPUTED_VALUE"""),16534.0)</f>
        <v>16534</v>
      </c>
      <c r="I7918" s="18">
        <f>IFERROR(__xludf.DUMMYFUNCTION("""COMPUTED_VALUE"""),21.0)</f>
        <v>21</v>
      </c>
      <c r="J7918" s="18">
        <f>IFERROR(__xludf.DUMMYFUNCTION("""COMPUTED_VALUE"""),29.0)</f>
        <v>29</v>
      </c>
      <c r="K7918" s="18">
        <f>IFERROR(__xludf.DUMMYFUNCTION("""COMPUTED_VALUE"""),29.0)</f>
        <v>29</v>
      </c>
      <c r="L7918" s="17">
        <f>IFERROR(__xludf.DUMMYFUNCTION("""COMPUTED_VALUE"""),3.017909548E9)</f>
        <v>3017909548</v>
      </c>
      <c r="M7918" s="17"/>
      <c r="N7918" s="17"/>
      <c r="O7918" s="17"/>
      <c r="P7918" s="17" t="b">
        <f>IFERROR(__xludf.DUMMYFUNCTION("""COMPUTED_VALUE"""),FALSE)</f>
        <v>0</v>
      </c>
      <c r="Q7918" s="20" t="str">
        <f>IFERROR(__xludf.DUMMYFUNCTION("""COMPUTED_VALUE"""),"")</f>
        <v/>
      </c>
      <c r="R7918" s="21" t="str">
        <f>IFERROR(__xludf.DUMMYFUNCTION("""COMPUTED_VALUE"""),"https://drive.google.com/file/d/14y3P50XKkBl31s6DaC7tn5zmzi4r_CnV/view?usp=drivesdk")</f>
        <v>https://drive.google.com/file/d/14y3P50XKkBl31s6DaC7tn5zmzi4r_CnV/view?usp=drivesdk</v>
      </c>
    </row>
    <row r="7919">
      <c r="A7919" s="17" t="str">
        <f>IFERROR(__xludf.DUMMYFUNCTION("""COMPUTED_VALUE"""),"")</f>
        <v/>
      </c>
      <c r="B7919" s="17" t="str">
        <f>IFERROR(__xludf.DUMMYFUNCTION("""COMPUTED_VALUE"""),"")</f>
        <v/>
      </c>
      <c r="C7919" s="17" t="str">
        <f>IFERROR(__xludf.DUMMYFUNCTION("""COMPUTED_VALUE"""),"")</f>
        <v/>
      </c>
      <c r="D7919" s="17" t="str">
        <f>IFERROR(__xludf.DUMMYFUNCTION("""COMPUTED_VALUE"""),"")</f>
        <v/>
      </c>
      <c r="E7919" s="17" t="str">
        <f>IFERROR(__xludf.DUMMYFUNCTION("""COMPUTED_VALUE"""),"")</f>
        <v/>
      </c>
      <c r="F7919" s="17" t="str">
        <f>IFERROR(__xludf.DUMMYFUNCTION("""COMPUTED_VALUE"""),"")</f>
        <v/>
      </c>
      <c r="G7919" s="17" t="str">
        <f>IFERROR(__xludf.DUMMYFUNCTION("""COMPUTED_VALUE"""),"")</f>
        <v/>
      </c>
      <c r="H7919" s="17" t="str">
        <f>IFERROR(__xludf.DUMMYFUNCTION("""COMPUTED_VALUE"""),"")</f>
        <v/>
      </c>
      <c r="I7919" s="17" t="str">
        <f>IFERROR(__xludf.DUMMYFUNCTION("""COMPUTED_VALUE"""),"")</f>
        <v/>
      </c>
      <c r="J7919" s="17" t="str">
        <f>IFERROR(__xludf.DUMMYFUNCTION("""COMPUTED_VALUE"""),"")</f>
        <v/>
      </c>
      <c r="K7919" s="17" t="str">
        <f>IFERROR(__xludf.DUMMYFUNCTION("""COMPUTED_VALUE"""),"")</f>
        <v/>
      </c>
      <c r="L7919" s="17" t="str">
        <f>IFERROR(__xludf.DUMMYFUNCTION("""COMPUTED_VALUE"""),"")</f>
        <v/>
      </c>
      <c r="M7919" s="17" t="str">
        <f>IFERROR(__xludf.DUMMYFUNCTION("""COMPUTED_VALUE"""),"")</f>
        <v/>
      </c>
      <c r="N7919" s="17" t="str">
        <f>IFERROR(__xludf.DUMMYFUNCTION("""COMPUTED_VALUE"""),"")</f>
        <v/>
      </c>
      <c r="O7919" s="17" t="str">
        <f>IFERROR(__xludf.DUMMYFUNCTION("""COMPUTED_VALUE"""),"")</f>
        <v/>
      </c>
      <c r="P7919" s="17" t="str">
        <f>IFERROR(__xludf.DUMMYFUNCTION("""COMPUTED_VALUE"""),"")</f>
        <v/>
      </c>
      <c r="Q7919" s="17" t="str">
        <f>IFERROR(__xludf.DUMMYFUNCTION("""COMPUTED_VALUE"""),"")</f>
        <v/>
      </c>
      <c r="R7919" s="17" t="str">
        <f>IFERROR(__xludf.DUMMYFUNCTION("""COMPUTED_VALUE"""),"")</f>
        <v/>
      </c>
    </row>
    <row r="7920">
      <c r="A7920" s="15">
        <f>IFERROR(__xludf.DUMMYFUNCTION("""COMPUTED_VALUE"""),45224.0)</f>
        <v>45224</v>
      </c>
      <c r="B7920" s="16" t="str">
        <f>IFERROR(__xludf.DUMMYFUNCTION("""COMPUTED_VALUE"""),"JOSE ALFREDO RAMIREZ VERGARA ")</f>
        <v>JOSE ALFREDO RAMIREZ VERGARA </v>
      </c>
      <c r="C7920" s="15" t="str">
        <f>IFERROR(__xludf.DUMMYFUNCTION("""COMPUTED_VALUE"""),"BOGOTÁ")</f>
        <v>BOGOTÁ</v>
      </c>
      <c r="D7920" s="15" t="str">
        <f>IFERROR(__xludf.DUMMYFUNCTION("""COMPUTED_VALUE"""),"MEDELLÍN")</f>
        <v>MEDELLÍN</v>
      </c>
      <c r="E7920" s="15" t="str">
        <f>IFERROR(__xludf.DUMMYFUNCTION("""COMPUTED_VALUE"""),"AREPAS LA MARY")</f>
        <v>AREPAS LA MARY</v>
      </c>
      <c r="F7920" s="17" t="str">
        <f>IFERROR(__xludf.DUMMYFUNCTION("""COMPUTED_VALUE"""),"Calle 127 #58-45 torre 1 apto 1301")</f>
        <v>Calle 127 #58-45 torre 1 apto 1301</v>
      </c>
      <c r="G7920" s="15" t="str">
        <f>IFERROR(__xludf.DUMMYFUNCTION("""COMPUTED_VALUE"""),"IRIS VIOLETTA")</f>
        <v>IRIS VIOLETTA</v>
      </c>
      <c r="H7920" s="16">
        <f>IFERROR(__xludf.DUMMYFUNCTION("""COMPUTED_VALUE"""),16644.0)</f>
        <v>16644</v>
      </c>
      <c r="I7920" s="18">
        <f>IFERROR(__xludf.DUMMYFUNCTION("""COMPUTED_VALUE"""),89.0)</f>
        <v>89</v>
      </c>
      <c r="J7920" s="18">
        <f>IFERROR(__xludf.DUMMYFUNCTION("""COMPUTED_VALUE"""),1.0)</f>
        <v>1</v>
      </c>
      <c r="K7920" s="18">
        <f>IFERROR(__xludf.DUMMYFUNCTION("""COMPUTED_VALUE"""),10.0)</f>
        <v>10</v>
      </c>
      <c r="L7920" s="17">
        <f>IFERROR(__xludf.DUMMYFUNCTION("""COMPUTED_VALUE"""),3.187651806E9)</f>
        <v>3187651806</v>
      </c>
      <c r="M7920" s="17"/>
      <c r="N7920" s="17"/>
      <c r="O7920" s="17"/>
      <c r="P7920" s="17" t="b">
        <f>IFERROR(__xludf.DUMMYFUNCTION("""COMPUTED_VALUE"""),FALSE)</f>
        <v>0</v>
      </c>
      <c r="Q7920" s="20" t="str">
        <f>IFERROR(__xludf.DUMMYFUNCTION("""COMPUTED_VALUE"""),"")</f>
        <v/>
      </c>
      <c r="R7920" s="21" t="str">
        <f>IFERROR(__xludf.DUMMYFUNCTION("""COMPUTED_VALUE"""),"https://drive.google.com/file/d/1uhdWr0pUPm0JMWam9obEChiJyVgtQmIA/view?usp=drivesdk")</f>
        <v>https://drive.google.com/file/d/1uhdWr0pUPm0JMWam9obEChiJyVgtQmIA/view?usp=drivesdk</v>
      </c>
    </row>
    <row r="7921">
      <c r="A7921" s="15">
        <f>IFERROR(__xludf.DUMMYFUNCTION("""COMPUTED_VALUE"""),45224.0)</f>
        <v>45224</v>
      </c>
      <c r="B7921" s="16" t="str">
        <f>IFERROR(__xludf.DUMMYFUNCTION("""COMPUTED_VALUE"""),"JOSE ALFREDO RAMIREZ VERGARA ")</f>
        <v>JOSE ALFREDO RAMIREZ VERGARA </v>
      </c>
      <c r="C7921" s="15" t="str">
        <f>IFERROR(__xludf.DUMMYFUNCTION("""COMPUTED_VALUE"""),"BOGOTÁ")</f>
        <v>BOGOTÁ</v>
      </c>
      <c r="D7921" s="15" t="str">
        <f>IFERROR(__xludf.DUMMYFUNCTION("""COMPUTED_VALUE"""),"MEDELLÍN")</f>
        <v>MEDELLÍN</v>
      </c>
      <c r="E7921" s="15" t="str">
        <f>IFERROR(__xludf.DUMMYFUNCTION("""COMPUTED_VALUE"""),"AREPAS LA MARY")</f>
        <v>AREPAS LA MARY</v>
      </c>
      <c r="F7921" s="17" t="str">
        <f>IFERROR(__xludf.DUMMYFUNCTION("""COMPUTED_VALUE"""),"calle 39 # 14-62 / tuesalito bogota")</f>
        <v>calle 39 # 14-62 / tuesalito bogota</v>
      </c>
      <c r="G7921" s="15" t="str">
        <f>IFERROR(__xludf.DUMMYFUNCTION("""COMPUTED_VALUE"""),"JAQUELINE SERNA")</f>
        <v>JAQUELINE SERNA</v>
      </c>
      <c r="H7921" s="16">
        <f>IFERROR(__xludf.DUMMYFUNCTION("""COMPUTED_VALUE"""),16646.0)</f>
        <v>16646</v>
      </c>
      <c r="I7921" s="18">
        <f>IFERROR(__xludf.DUMMYFUNCTION("""COMPUTED_VALUE"""),89.0)</f>
        <v>89</v>
      </c>
      <c r="J7921" s="18">
        <f>IFERROR(__xludf.DUMMYFUNCTION("""COMPUTED_VALUE"""),1.0)</f>
        <v>1</v>
      </c>
      <c r="K7921" s="18">
        <f>IFERROR(__xludf.DUMMYFUNCTION("""COMPUTED_VALUE"""),10.0)</f>
        <v>10</v>
      </c>
      <c r="L7921" s="17">
        <f>IFERROR(__xludf.DUMMYFUNCTION("""COMPUTED_VALUE"""),3.112967123E9)</f>
        <v>3112967123</v>
      </c>
      <c r="M7921" s="17"/>
      <c r="N7921" s="17"/>
      <c r="O7921" s="17"/>
      <c r="P7921" s="17" t="b">
        <f>IFERROR(__xludf.DUMMYFUNCTION("""COMPUTED_VALUE"""),FALSE)</f>
        <v>0</v>
      </c>
      <c r="Q7921" s="20" t="str">
        <f>IFERROR(__xludf.DUMMYFUNCTION("""COMPUTED_VALUE"""),"")</f>
        <v/>
      </c>
      <c r="R7921" s="21" t="str">
        <f>IFERROR(__xludf.DUMMYFUNCTION("""COMPUTED_VALUE"""),"https://drive.google.com/file/d/1LCpE37WAePmTEofBpw30hC9oNr9aJShK/view?usp=drivesdk")</f>
        <v>https://drive.google.com/file/d/1LCpE37WAePmTEofBpw30hC9oNr9aJShK/view?usp=drivesdk</v>
      </c>
    </row>
    <row r="7922">
      <c r="A7922" s="15">
        <f>IFERROR(__xludf.DUMMYFUNCTION("""COMPUTED_VALUE"""),45224.0)</f>
        <v>45224</v>
      </c>
      <c r="B7922" s="16" t="str">
        <f>IFERROR(__xludf.DUMMYFUNCTION("""COMPUTED_VALUE"""),"JOSE ALFREDO RAMIREZ VERGARA ")</f>
        <v>JOSE ALFREDO RAMIREZ VERGARA </v>
      </c>
      <c r="C7922" s="15" t="str">
        <f>IFERROR(__xludf.DUMMYFUNCTION("""COMPUTED_VALUE"""),"BOGOTÁ")</f>
        <v>BOGOTÁ</v>
      </c>
      <c r="D7922" s="15" t="str">
        <f>IFERROR(__xludf.DUMMYFUNCTION("""COMPUTED_VALUE"""),"MEDELLÍN")</f>
        <v>MEDELLÍN</v>
      </c>
      <c r="E7922" s="15" t="str">
        <f>IFERROR(__xludf.DUMMYFUNCTION("""COMPUTED_VALUE"""),"AREPAS LA MARY")</f>
        <v>AREPAS LA MARY</v>
      </c>
      <c r="F7922" s="17" t="str">
        <f>IFERROR(__xludf.DUMMYFUNCTION("""COMPUTED_VALUE"""),"SANTA BARBARA")</f>
        <v>SANTA BARBARA</v>
      </c>
      <c r="G7922" s="15" t="str">
        <f>IFERROR(__xludf.DUMMYFUNCTION("""COMPUTED_VALUE"""),"ANA MARIA SILVA")</f>
        <v>ANA MARIA SILVA</v>
      </c>
      <c r="H7922" s="16">
        <f>IFERROR(__xludf.DUMMYFUNCTION("""COMPUTED_VALUE"""),16643.0)</f>
        <v>16643</v>
      </c>
      <c r="I7922" s="18">
        <f>IFERROR(__xludf.DUMMYFUNCTION("""COMPUTED_VALUE"""),89.0)</f>
        <v>89</v>
      </c>
      <c r="J7922" s="18">
        <f>IFERROR(__xludf.DUMMYFUNCTION("""COMPUTED_VALUE"""),1.0)</f>
        <v>1</v>
      </c>
      <c r="K7922" s="18">
        <f>IFERROR(__xludf.DUMMYFUNCTION("""COMPUTED_VALUE"""),10.0)</f>
        <v>10</v>
      </c>
      <c r="L7922" s="17">
        <f>IFERROR(__xludf.DUMMYFUNCTION("""COMPUTED_VALUE"""),3.106880881E9)</f>
        <v>3106880881</v>
      </c>
      <c r="M7922" s="17"/>
      <c r="N7922" s="17"/>
      <c r="O7922" s="17"/>
      <c r="P7922" s="17" t="b">
        <f>IFERROR(__xludf.DUMMYFUNCTION("""COMPUTED_VALUE"""),FALSE)</f>
        <v>0</v>
      </c>
      <c r="Q7922" s="20" t="str">
        <f>IFERROR(__xludf.DUMMYFUNCTION("""COMPUTED_VALUE"""),"")</f>
        <v/>
      </c>
      <c r="R7922" s="21" t="str">
        <f>IFERROR(__xludf.DUMMYFUNCTION("""COMPUTED_VALUE"""),"https://drive.google.com/file/d/1c8ea6-Qgow3UI_8YPvFnrjs1gVmsL8qQ/view?usp=drivesdk")</f>
        <v>https://drive.google.com/file/d/1c8ea6-Qgow3UI_8YPvFnrjs1gVmsL8qQ/view?usp=drivesdk</v>
      </c>
    </row>
    <row r="7923">
      <c r="A7923" s="15">
        <f>IFERROR(__xludf.DUMMYFUNCTION("""COMPUTED_VALUE"""),45224.0)</f>
        <v>45224</v>
      </c>
      <c r="B7923" s="16" t="str">
        <f>IFERROR(__xludf.DUMMYFUNCTION("""COMPUTED_VALUE"""),"JOSE ALFREDO RAMIREZ VERGARA ")</f>
        <v>JOSE ALFREDO RAMIREZ VERGARA </v>
      </c>
      <c r="C7923" s="15" t="str">
        <f>IFERROR(__xludf.DUMMYFUNCTION("""COMPUTED_VALUE"""),"BOGOTÁ")</f>
        <v>BOGOTÁ</v>
      </c>
      <c r="D7923" s="15" t="str">
        <f>IFERROR(__xludf.DUMMYFUNCTION("""COMPUTED_VALUE"""),"MEDELLÍN")</f>
        <v>MEDELLÍN</v>
      </c>
      <c r="E7923" s="15" t="str">
        <f>IFERROR(__xludf.DUMMYFUNCTION("""COMPUTED_VALUE"""),"Aurea Foods SAS")</f>
        <v>Aurea Foods SAS</v>
      </c>
      <c r="F7923" s="17" t="str">
        <f>IFERROR(__xludf.DUMMYFUNCTION("""COMPUTED_VALUE"""),"Cra.5 # 63-27 / Edf. La Selva II, Apto. 505 / Chapinero Alto")</f>
        <v>Cra.5 # 63-27 / Edf. La Selva II, Apto. 505 / Chapinero Alto</v>
      </c>
      <c r="G7923" s="15" t="str">
        <f>IFERROR(__xludf.DUMMYFUNCTION("""COMPUTED_VALUE"""),"Emilio Gallon")</f>
        <v>Emilio Gallon</v>
      </c>
      <c r="H7923" s="16">
        <f>IFERROR(__xludf.DUMMYFUNCTION("""COMPUTED_VALUE"""),16583.0)</f>
        <v>16583</v>
      </c>
      <c r="I7923" s="18">
        <f>IFERROR(__xludf.DUMMYFUNCTION("""COMPUTED_VALUE"""),45057.0)</f>
        <v>45057</v>
      </c>
      <c r="J7923" s="18">
        <f>IFERROR(__xludf.DUMMYFUNCTION("""COMPUTED_VALUE"""),23.0)</f>
        <v>23</v>
      </c>
      <c r="K7923" s="18">
        <f>IFERROR(__xludf.DUMMYFUNCTION("""COMPUTED_VALUE"""),17.0)</f>
        <v>17</v>
      </c>
      <c r="L7923" s="17">
        <f>IFERROR(__xludf.DUMMYFUNCTION("""COMPUTED_VALUE"""),3.144669445E9)</f>
        <v>3144669445</v>
      </c>
      <c r="M7923" s="17"/>
      <c r="N7923" s="17"/>
      <c r="O7923" s="17"/>
      <c r="P7923" s="17" t="b">
        <f>IFERROR(__xludf.DUMMYFUNCTION("""COMPUTED_VALUE"""),FALSE)</f>
        <v>0</v>
      </c>
      <c r="Q7923" s="20" t="str">
        <f>IFERROR(__xludf.DUMMYFUNCTION("""COMPUTED_VALUE"""),"")</f>
        <v/>
      </c>
      <c r="R7923" s="21" t="str">
        <f>IFERROR(__xludf.DUMMYFUNCTION("""COMPUTED_VALUE"""),"https://drive.google.com/file/d/1d65Uzn95kQ00W59zfw9SDAaJMOmqND0c/view?usp=drivesdk")</f>
        <v>https://drive.google.com/file/d/1d65Uzn95kQ00W59zfw9SDAaJMOmqND0c/view?usp=drivesdk</v>
      </c>
    </row>
    <row r="7924">
      <c r="A7924" s="15">
        <f>IFERROR(__xludf.DUMMYFUNCTION("""COMPUTED_VALUE"""),45224.0)</f>
        <v>45224</v>
      </c>
      <c r="B7924" s="16" t="str">
        <f>IFERROR(__xludf.DUMMYFUNCTION("""COMPUTED_VALUE"""),"JOSE ALFREDO RAMIREZ VERGARA ")</f>
        <v>JOSE ALFREDO RAMIREZ VERGARA </v>
      </c>
      <c r="C7924" s="15" t="str">
        <f>IFERROR(__xludf.DUMMYFUNCTION("""COMPUTED_VALUE"""),"BOGOTÁ")</f>
        <v>BOGOTÁ</v>
      </c>
      <c r="D7924" s="15" t="str">
        <f>IFERROR(__xludf.DUMMYFUNCTION("""COMPUTED_VALUE"""),"MEDELLÍN")</f>
        <v>MEDELLÍN</v>
      </c>
      <c r="E7924" s="15" t="str">
        <f>IFERROR(__xludf.DUMMYFUNCTION("""COMPUTED_VALUE"""),"Baby Chef")</f>
        <v>Baby Chef</v>
      </c>
      <c r="F7924" s="17" t="str">
        <f>IFERROR(__xludf.DUMMYFUNCTION("""COMPUTED_VALUE"""),"Calle 129 #54-75 interior 11 apto 303 Barrio prado jardin Conjunto el poblado  / . / .")</f>
        <v>Calle 129 #54-75 interior 11 apto 303 Barrio prado jardin Conjunto el poblado  / . / .</v>
      </c>
      <c r="G7924" s="15" t="str">
        <f>IFERROR(__xludf.DUMMYFUNCTION("""COMPUTED_VALUE"""),"Leidy Yate")</f>
        <v>Leidy Yate</v>
      </c>
      <c r="H7924" s="16">
        <f>IFERROR(__xludf.DUMMYFUNCTION("""COMPUTED_VALUE"""),16625.0)</f>
        <v>16625</v>
      </c>
      <c r="I7924" s="18">
        <f>IFERROR(__xludf.DUMMYFUNCTION("""COMPUTED_VALUE"""),7.0)</f>
        <v>7</v>
      </c>
      <c r="J7924" s="18">
        <f>IFERROR(__xludf.DUMMYFUNCTION("""COMPUTED_VALUE"""),21.0)</f>
        <v>21</v>
      </c>
      <c r="K7924" s="18">
        <f>IFERROR(__xludf.DUMMYFUNCTION("""COMPUTED_VALUE"""),22.0)</f>
        <v>22</v>
      </c>
      <c r="L7924" s="17">
        <f>IFERROR(__xludf.DUMMYFUNCTION("""COMPUTED_VALUE"""),3.058113207E9)</f>
        <v>3058113207</v>
      </c>
      <c r="M7924" s="17"/>
      <c r="N7924" s="17"/>
      <c r="O7924" s="17"/>
      <c r="P7924" s="17" t="b">
        <f>IFERROR(__xludf.DUMMYFUNCTION("""COMPUTED_VALUE"""),FALSE)</f>
        <v>0</v>
      </c>
      <c r="Q7924" s="20" t="str">
        <f>IFERROR(__xludf.DUMMYFUNCTION("""COMPUTED_VALUE"""),"")</f>
        <v/>
      </c>
      <c r="R7924" s="21" t="str">
        <f>IFERROR(__xludf.DUMMYFUNCTION("""COMPUTED_VALUE"""),"https://drive.google.com/file/d/1cKioHWm7ekB8Y3wh3W0MwfPPUXy3WG6n/view?usp=drivesdk")</f>
        <v>https://drive.google.com/file/d/1cKioHWm7ekB8Y3wh3W0MwfPPUXy3WG6n/view?usp=drivesdk</v>
      </c>
    </row>
    <row r="7925">
      <c r="A7925" s="15">
        <f>IFERROR(__xludf.DUMMYFUNCTION("""COMPUTED_VALUE"""),45224.0)</f>
        <v>45224</v>
      </c>
      <c r="B7925" s="16" t="str">
        <f>IFERROR(__xludf.DUMMYFUNCTION("""COMPUTED_VALUE"""),"JOSE ALFREDO RAMIREZ VERGARA ")</f>
        <v>JOSE ALFREDO RAMIREZ VERGARA </v>
      </c>
      <c r="C7925" s="15" t="str">
        <f>IFERROR(__xludf.DUMMYFUNCTION("""COMPUTED_VALUE"""),"BOGOTÁ")</f>
        <v>BOGOTÁ</v>
      </c>
      <c r="D7925" s="15" t="str">
        <f>IFERROR(__xludf.DUMMYFUNCTION("""COMPUTED_VALUE"""),"MEDELLÍN")</f>
        <v>MEDELLÍN</v>
      </c>
      <c r="E7925" s="15" t="str">
        <f>IFERROR(__xludf.DUMMYFUNCTION("""COMPUTED_VALUE"""),"Baby Chef")</f>
        <v>Baby Chef</v>
      </c>
      <c r="F7925" s="17" t="str">
        <f>IFERROR(__xludf.DUMMYFUNCTION("""COMPUTED_VALUE"""),"calle 44D # 45-86. Bloque 1 apto 1103 Barrio : Entre parques / . / .")</f>
        <v>calle 44D # 45-86. Bloque 1 apto 1103 Barrio : Entre parques / . / .</v>
      </c>
      <c r="G7925" s="15" t="str">
        <f>IFERROR(__xludf.DUMMYFUNCTION("""COMPUTED_VALUE"""),"Lorena Leguizamón")</f>
        <v>Lorena Leguizamón</v>
      </c>
      <c r="H7925" s="16">
        <f>IFERROR(__xludf.DUMMYFUNCTION("""COMPUTED_VALUE"""),16627.0)</f>
        <v>16627</v>
      </c>
      <c r="I7925" s="18">
        <f>IFERROR(__xludf.DUMMYFUNCTION("""COMPUTED_VALUE"""),4.0)</f>
        <v>4</v>
      </c>
      <c r="J7925" s="18">
        <f>IFERROR(__xludf.DUMMYFUNCTION("""COMPUTED_VALUE"""),30.0)</f>
        <v>30</v>
      </c>
      <c r="K7925" s="18">
        <f>IFERROR(__xludf.DUMMYFUNCTION("""COMPUTED_VALUE"""),40.0)</f>
        <v>40</v>
      </c>
      <c r="L7925" s="17">
        <f>IFERROR(__xludf.DUMMYFUNCTION("""COMPUTED_VALUE"""),3.005564759E9)</f>
        <v>3005564759</v>
      </c>
      <c r="M7925" s="17"/>
      <c r="N7925" s="17"/>
      <c r="O7925" s="17"/>
      <c r="P7925" s="17" t="b">
        <f>IFERROR(__xludf.DUMMYFUNCTION("""COMPUTED_VALUE"""),FALSE)</f>
        <v>0</v>
      </c>
      <c r="Q7925" s="20" t="str">
        <f>IFERROR(__xludf.DUMMYFUNCTION("""COMPUTED_VALUE"""),"")</f>
        <v/>
      </c>
      <c r="R7925" s="21" t="str">
        <f>IFERROR(__xludf.DUMMYFUNCTION("""COMPUTED_VALUE"""),"https://drive.google.com/file/d/1eNv66XTwDB1qGmSkclD-Jd-fluwjdkZQ/view?usp=drivesdk")</f>
        <v>https://drive.google.com/file/d/1eNv66XTwDB1qGmSkclD-Jd-fluwjdkZQ/view?usp=drivesdk</v>
      </c>
    </row>
    <row r="7926">
      <c r="A7926" s="15">
        <f>IFERROR(__xludf.DUMMYFUNCTION("""COMPUTED_VALUE"""),45224.0)</f>
        <v>45224</v>
      </c>
      <c r="B7926" s="16" t="str">
        <f>IFERROR(__xludf.DUMMYFUNCTION("""COMPUTED_VALUE"""),"JOSE ALFREDO RAMIREZ VERGARA ")</f>
        <v>JOSE ALFREDO RAMIREZ VERGARA </v>
      </c>
      <c r="C7926" s="15" t="str">
        <f>IFERROR(__xludf.DUMMYFUNCTION("""COMPUTED_VALUE"""),"BOGOTÁ")</f>
        <v>BOGOTÁ</v>
      </c>
      <c r="D7926" s="15" t="str">
        <f>IFERROR(__xludf.DUMMYFUNCTION("""COMPUTED_VALUE"""),"MEDELLÍN")</f>
        <v>MEDELLÍN</v>
      </c>
      <c r="E7926" s="15" t="str">
        <f>IFERROR(__xludf.DUMMYFUNCTION("""COMPUTED_VALUE"""),"Baby Chef")</f>
        <v>Baby Chef</v>
      </c>
      <c r="F7926" s="17" t="str">
        <f>IFERROR(__xludf.DUMMYFUNCTION("""COMPUTED_VALUE"""),"Calle 64 #2-55 apto 503 Torre 2.  Maria Cristina - Chapinero Alto / . / .")</f>
        <v>Calle 64 #2-55 apto 503 Torre 2.  Maria Cristina - Chapinero Alto / . / .</v>
      </c>
      <c r="G7926" s="15" t="str">
        <f>IFERROR(__xludf.DUMMYFUNCTION("""COMPUTED_VALUE"""),"Angela García Perez")</f>
        <v>Angela García Perez</v>
      </c>
      <c r="H7926" s="16">
        <f>IFERROR(__xludf.DUMMYFUNCTION("""COMPUTED_VALUE"""),16634.0)</f>
        <v>16634</v>
      </c>
      <c r="I7926" s="18">
        <f>IFERROR(__xludf.DUMMYFUNCTION("""COMPUTED_VALUE"""),6.0)</f>
        <v>6</v>
      </c>
      <c r="J7926" s="18">
        <f>IFERROR(__xludf.DUMMYFUNCTION("""COMPUTED_VALUE"""),10.0)</f>
        <v>10</v>
      </c>
      <c r="K7926" s="18">
        <f>IFERROR(__xludf.DUMMYFUNCTION("""COMPUTED_VALUE"""),10.0)</f>
        <v>10</v>
      </c>
      <c r="L7926" s="17">
        <f>IFERROR(__xludf.DUMMYFUNCTION("""COMPUTED_VALUE"""),3.232258547E9)</f>
        <v>3232258547</v>
      </c>
      <c r="M7926" s="17"/>
      <c r="N7926" s="17"/>
      <c r="O7926" s="17"/>
      <c r="P7926" s="17" t="b">
        <f>IFERROR(__xludf.DUMMYFUNCTION("""COMPUTED_VALUE"""),FALSE)</f>
        <v>0</v>
      </c>
      <c r="Q7926" s="20" t="str">
        <f>IFERROR(__xludf.DUMMYFUNCTION("""COMPUTED_VALUE"""),"")</f>
        <v/>
      </c>
      <c r="R7926" s="21" t="str">
        <f>IFERROR(__xludf.DUMMYFUNCTION("""COMPUTED_VALUE"""),"https://drive.google.com/file/d/1z1h0qUBfgUdVXBU70fw6OxCs8AdhgUlV/view?usp=drivesdk")</f>
        <v>https://drive.google.com/file/d/1z1h0qUBfgUdVXBU70fw6OxCs8AdhgUlV/view?usp=drivesdk</v>
      </c>
    </row>
    <row r="7927">
      <c r="A7927" s="15">
        <f>IFERROR(__xludf.DUMMYFUNCTION("""COMPUTED_VALUE"""),45224.0)</f>
        <v>45224</v>
      </c>
      <c r="B7927" s="16" t="str">
        <f>IFERROR(__xludf.DUMMYFUNCTION("""COMPUTED_VALUE"""),"JOSE ALFREDO RAMIREZ VERGARA ")</f>
        <v>JOSE ALFREDO RAMIREZ VERGARA </v>
      </c>
      <c r="C7927" s="15" t="str">
        <f>IFERROR(__xludf.DUMMYFUNCTION("""COMPUTED_VALUE"""),"BOGOTÁ")</f>
        <v>BOGOTÁ</v>
      </c>
      <c r="D7927" s="15" t="str">
        <f>IFERROR(__xludf.DUMMYFUNCTION("""COMPUTED_VALUE"""),"MEDELLÍN")</f>
        <v>MEDELLÍN</v>
      </c>
      <c r="E7927" s="15" t="str">
        <f>IFERROR(__xludf.DUMMYFUNCTION("""COMPUTED_VALUE"""),"Baby Chef")</f>
        <v>Baby Chef</v>
      </c>
      <c r="F7927" s="17" t="str">
        <f>IFERROR(__xludf.DUMMYFUNCTION("""COMPUTED_VALUE"""),"Calle 95 no 71-75 torre 1 apto 1504 Conjunto Gran Reserva de Pontevedra  / . / .")</f>
        <v>Calle 95 no 71-75 torre 1 apto 1504 Conjunto Gran Reserva de Pontevedra  / . / .</v>
      </c>
      <c r="G7927" s="15" t="str">
        <f>IFERROR(__xludf.DUMMYFUNCTION("""COMPUTED_VALUE"""),"Lesly González")</f>
        <v>Lesly González</v>
      </c>
      <c r="H7927" s="16">
        <f>IFERROR(__xludf.DUMMYFUNCTION("""COMPUTED_VALUE"""),16628.0)</f>
        <v>16628</v>
      </c>
      <c r="I7927" s="18">
        <f>IFERROR(__xludf.DUMMYFUNCTION("""COMPUTED_VALUE"""),8.0)</f>
        <v>8</v>
      </c>
      <c r="J7927" s="18">
        <f>IFERROR(__xludf.DUMMYFUNCTION("""COMPUTED_VALUE"""),32.0)</f>
        <v>32</v>
      </c>
      <c r="K7927" s="18">
        <f>IFERROR(__xludf.DUMMYFUNCTION("""COMPUTED_VALUE"""),23.0)</f>
        <v>23</v>
      </c>
      <c r="L7927" s="17">
        <f>IFERROR(__xludf.DUMMYFUNCTION("""COMPUTED_VALUE"""),3.142183616E9)</f>
        <v>3142183616</v>
      </c>
      <c r="M7927" s="17"/>
      <c r="N7927" s="17"/>
      <c r="O7927" s="17"/>
      <c r="P7927" s="17" t="b">
        <f>IFERROR(__xludf.DUMMYFUNCTION("""COMPUTED_VALUE"""),FALSE)</f>
        <v>0</v>
      </c>
      <c r="Q7927" s="20" t="str">
        <f>IFERROR(__xludf.DUMMYFUNCTION("""COMPUTED_VALUE"""),"")</f>
        <v/>
      </c>
      <c r="R7927" s="21" t="str">
        <f>IFERROR(__xludf.DUMMYFUNCTION("""COMPUTED_VALUE"""),"https://drive.google.com/file/d/1VqK_yAczZtDg_r1k2oUjlq5ac0Q-Z9rd/view?usp=drivesdk")</f>
        <v>https://drive.google.com/file/d/1VqK_yAczZtDg_r1k2oUjlq5ac0Q-Z9rd/view?usp=drivesdk</v>
      </c>
    </row>
    <row r="7928">
      <c r="A7928" s="15">
        <f>IFERROR(__xludf.DUMMYFUNCTION("""COMPUTED_VALUE"""),45224.0)</f>
        <v>45224</v>
      </c>
      <c r="B7928" s="16" t="str">
        <f>IFERROR(__xludf.DUMMYFUNCTION("""COMPUTED_VALUE"""),"JOSE ALFREDO RAMIREZ VERGARA ")</f>
        <v>JOSE ALFREDO RAMIREZ VERGARA </v>
      </c>
      <c r="C7928" s="15" t="str">
        <f>IFERROR(__xludf.DUMMYFUNCTION("""COMPUTED_VALUE"""),"BOGOTÁ")</f>
        <v>BOGOTÁ</v>
      </c>
      <c r="D7928" s="15" t="str">
        <f>IFERROR(__xludf.DUMMYFUNCTION("""COMPUTED_VALUE"""),"MEDELLÍN")</f>
        <v>MEDELLÍN</v>
      </c>
      <c r="E7928" s="15" t="str">
        <f>IFERROR(__xludf.DUMMYFUNCTION("""COMPUTED_VALUE"""),"Baby Chef")</f>
        <v>Baby Chef</v>
      </c>
      <c r="F7928" s="17" t="str">
        <f>IFERROR(__xludf.DUMMYFUNCTION("""COMPUTED_VALUE"""),"Carrera 69 No 12 70 torre 2 apto 1909 ! Conjunto la flora alsacia reservado!  Barrio nueva villa aslacia Bogota / . / .")</f>
        <v>Carrera 69 No 12 70 torre 2 apto 1909 ! Conjunto la flora alsacia reservado!  Barrio nueva villa aslacia Bogota / . / .</v>
      </c>
      <c r="G7928" s="15" t="str">
        <f>IFERROR(__xludf.DUMMYFUNCTION("""COMPUTED_VALUE"""),"Sandra Jysel Enciso Suarez")</f>
        <v>Sandra Jysel Enciso Suarez</v>
      </c>
      <c r="H7928" s="16">
        <f>IFERROR(__xludf.DUMMYFUNCTION("""COMPUTED_VALUE"""),16630.0)</f>
        <v>16630</v>
      </c>
      <c r="I7928" s="18">
        <f>IFERROR(__xludf.DUMMYFUNCTION("""COMPUTED_VALUE"""),14.0)</f>
        <v>14</v>
      </c>
      <c r="J7928" s="18">
        <f>IFERROR(__xludf.DUMMYFUNCTION("""COMPUTED_VALUE"""),42.0)</f>
        <v>42</v>
      </c>
      <c r="K7928" s="18">
        <f>IFERROR(__xludf.DUMMYFUNCTION("""COMPUTED_VALUE"""),28.0)</f>
        <v>28</v>
      </c>
      <c r="L7928" s="17">
        <f>IFERROR(__xludf.DUMMYFUNCTION("""COMPUTED_VALUE"""),3.003127802E9)</f>
        <v>3003127802</v>
      </c>
      <c r="M7928" s="17"/>
      <c r="N7928" s="17"/>
      <c r="O7928" s="17"/>
      <c r="P7928" s="17" t="b">
        <f>IFERROR(__xludf.DUMMYFUNCTION("""COMPUTED_VALUE"""),FALSE)</f>
        <v>0</v>
      </c>
      <c r="Q7928" s="20" t="str">
        <f>IFERROR(__xludf.DUMMYFUNCTION("""COMPUTED_VALUE"""),"")</f>
        <v/>
      </c>
      <c r="R7928" s="21" t="str">
        <f>IFERROR(__xludf.DUMMYFUNCTION("""COMPUTED_VALUE"""),"https://drive.google.com/file/d/1FPkgEUGoePjUUwKYumkVjrCl4SEdernA/view?usp=drivesdk")</f>
        <v>https://drive.google.com/file/d/1FPkgEUGoePjUUwKYumkVjrCl4SEdernA/view?usp=drivesdk</v>
      </c>
    </row>
    <row r="7929">
      <c r="A7929" s="15">
        <f>IFERROR(__xludf.DUMMYFUNCTION("""COMPUTED_VALUE"""),45224.0)</f>
        <v>45224</v>
      </c>
      <c r="B7929" s="16" t="str">
        <f>IFERROR(__xludf.DUMMYFUNCTION("""COMPUTED_VALUE"""),"JOSE ALFREDO RAMIREZ VERGARA ")</f>
        <v>JOSE ALFREDO RAMIREZ VERGARA </v>
      </c>
      <c r="C7929" s="15" t="str">
        <f>IFERROR(__xludf.DUMMYFUNCTION("""COMPUTED_VALUE"""),"BOGOTÁ")</f>
        <v>BOGOTÁ</v>
      </c>
      <c r="D7929" s="15" t="str">
        <f>IFERROR(__xludf.DUMMYFUNCTION("""COMPUTED_VALUE"""),"MEDELLÍN")</f>
        <v>MEDELLÍN</v>
      </c>
      <c r="E7929" s="15" t="str">
        <f>IFERROR(__xludf.DUMMYFUNCTION("""COMPUTED_VALUE"""),"Baby Chef")</f>
        <v>Baby Chef</v>
      </c>
      <c r="F7929" s="17" t="str">
        <f>IFERROR(__xludf.DUMMYFUNCTION("""COMPUTED_VALUE"""),"cra 7ma #55-25 apto 101 chapinero / . / .")</f>
        <v>cra 7ma #55-25 apto 101 chapinero / . / .</v>
      </c>
      <c r="G7929" s="15" t="str">
        <f>IFERROR(__xludf.DUMMYFUNCTION("""COMPUTED_VALUE"""),"Lucero Gómez")</f>
        <v>Lucero Gómez</v>
      </c>
      <c r="H7929" s="16">
        <f>IFERROR(__xludf.DUMMYFUNCTION("""COMPUTED_VALUE"""),16631.0)</f>
        <v>16631</v>
      </c>
      <c r="I7929" s="18">
        <f>IFERROR(__xludf.DUMMYFUNCTION("""COMPUTED_VALUE"""),7.0)</f>
        <v>7</v>
      </c>
      <c r="J7929" s="18">
        <f>IFERROR(__xludf.DUMMYFUNCTION("""COMPUTED_VALUE"""),32.0)</f>
        <v>32</v>
      </c>
      <c r="K7929" s="18">
        <f>IFERROR(__xludf.DUMMYFUNCTION("""COMPUTED_VALUE"""),32.0)</f>
        <v>32</v>
      </c>
      <c r="L7929" s="17">
        <f>IFERROR(__xludf.DUMMYFUNCTION("""COMPUTED_VALUE"""),3.168293079E9)</f>
        <v>3168293079</v>
      </c>
      <c r="M7929" s="17"/>
      <c r="N7929" s="17"/>
      <c r="O7929" s="17"/>
      <c r="P7929" s="17" t="b">
        <f>IFERROR(__xludf.DUMMYFUNCTION("""COMPUTED_VALUE"""),FALSE)</f>
        <v>0</v>
      </c>
      <c r="Q7929" s="20" t="str">
        <f>IFERROR(__xludf.DUMMYFUNCTION("""COMPUTED_VALUE"""),"")</f>
        <v/>
      </c>
      <c r="R7929" s="21" t="str">
        <f>IFERROR(__xludf.DUMMYFUNCTION("""COMPUTED_VALUE"""),"https://drive.google.com/file/d/1ZL7wQRtovqvJyfl5-X5uoMJmtM-WjnoM/view?usp=drivesdk")</f>
        <v>https://drive.google.com/file/d/1ZL7wQRtovqvJyfl5-X5uoMJmtM-WjnoM/view?usp=drivesdk</v>
      </c>
    </row>
    <row r="7930">
      <c r="A7930" s="15">
        <f>IFERROR(__xludf.DUMMYFUNCTION("""COMPUTED_VALUE"""),45224.0)</f>
        <v>45224</v>
      </c>
      <c r="B7930" s="16" t="str">
        <f>IFERROR(__xludf.DUMMYFUNCTION("""COMPUTED_VALUE"""),"JOSE ALFREDO RAMIREZ VERGARA ")</f>
        <v>JOSE ALFREDO RAMIREZ VERGARA </v>
      </c>
      <c r="C7930" s="15" t="str">
        <f>IFERROR(__xludf.DUMMYFUNCTION("""COMPUTED_VALUE"""),"BOGOTÁ")</f>
        <v>BOGOTÁ</v>
      </c>
      <c r="D7930" s="15" t="str">
        <f>IFERROR(__xludf.DUMMYFUNCTION("""COMPUTED_VALUE"""),"MEDELLÍN")</f>
        <v>MEDELLÍN</v>
      </c>
      <c r="E7930" s="15" t="str">
        <f>IFERROR(__xludf.DUMMYFUNCTION("""COMPUTED_VALUE"""),"Moloso S.A.S")</f>
        <v>Moloso S.A.S</v>
      </c>
      <c r="F7930" s="17" t="str">
        <f>IFERROR(__xludf.DUMMYFUNCTION("""COMPUTED_VALUE"""),"CLL 118 16 32 / APT 502")</f>
        <v>CLL 118 16 32 / APT 502</v>
      </c>
      <c r="G7930" s="15" t="str">
        <f>IFERROR(__xludf.DUMMYFUNCTION("""COMPUTED_VALUE"""),"ANGELICA MANCILLA")</f>
        <v>ANGELICA MANCILLA</v>
      </c>
      <c r="H7930" s="16">
        <f>IFERROR(__xludf.DUMMYFUNCTION("""COMPUTED_VALUE"""),16614.0)</f>
        <v>16614</v>
      </c>
      <c r="I7930" s="18">
        <f>IFERROR(__xludf.DUMMYFUNCTION("""COMPUTED_VALUE"""),17.0)</f>
        <v>17</v>
      </c>
      <c r="J7930" s="18">
        <f>IFERROR(__xludf.DUMMYFUNCTION("""COMPUTED_VALUE"""),15.0)</f>
        <v>15</v>
      </c>
      <c r="K7930" s="18">
        <f>IFERROR(__xludf.DUMMYFUNCTION("""COMPUTED_VALUE"""),28.0)</f>
        <v>28</v>
      </c>
      <c r="L7930" s="17">
        <f>IFERROR(__xludf.DUMMYFUNCTION("""COMPUTED_VALUE"""),3.174401028E9)</f>
        <v>3174401028</v>
      </c>
      <c r="M7930" s="17"/>
      <c r="N7930" s="17"/>
      <c r="O7930" s="17"/>
      <c r="P7930" s="17" t="b">
        <f>IFERROR(__xludf.DUMMYFUNCTION("""COMPUTED_VALUE"""),FALSE)</f>
        <v>0</v>
      </c>
      <c r="Q7930" s="20" t="str">
        <f>IFERROR(__xludf.DUMMYFUNCTION("""COMPUTED_VALUE"""),"")</f>
        <v/>
      </c>
      <c r="R7930" s="21" t="str">
        <f>IFERROR(__xludf.DUMMYFUNCTION("""COMPUTED_VALUE"""),"https://drive.google.com/file/d/1bn0U0RDV74Wh_TbnpOsjQ9F8jbgmP-WC/view?usp=drivesdk")</f>
        <v>https://drive.google.com/file/d/1bn0U0RDV74Wh_TbnpOsjQ9F8jbgmP-WC/view?usp=drivesdk</v>
      </c>
    </row>
    <row r="7931">
      <c r="A7931" s="15">
        <f>IFERROR(__xludf.DUMMYFUNCTION("""COMPUTED_VALUE"""),45224.0)</f>
        <v>45224</v>
      </c>
      <c r="B7931" s="16" t="str">
        <f>IFERROR(__xludf.DUMMYFUNCTION("""COMPUTED_VALUE"""),"JOSE ALFREDO RAMIREZ VERGARA ")</f>
        <v>JOSE ALFREDO RAMIREZ VERGARA </v>
      </c>
      <c r="C7931" s="15" t="str">
        <f>IFERROR(__xludf.DUMMYFUNCTION("""COMPUTED_VALUE"""),"BOGOTÁ")</f>
        <v>BOGOTÁ</v>
      </c>
      <c r="D7931" s="15" t="str">
        <f>IFERROR(__xludf.DUMMYFUNCTION("""COMPUTED_VALUE"""),"PEREIRA")</f>
        <v>PEREIRA</v>
      </c>
      <c r="E7931" s="15" t="str">
        <f>IFERROR(__xludf.DUMMYFUNCTION("""COMPUTED_VALUE"""),"BAK&amp;VEG")</f>
        <v>BAK&amp;VEG</v>
      </c>
      <c r="F7931" s="17" t="str">
        <f>IFERROR(__xludf.DUMMYFUNCTION("""COMPUTED_VALUE"""),"calle 85 #22-73")</f>
        <v>calle 85 #22-73</v>
      </c>
      <c r="G7931" s="15" t="str">
        <f>IFERROR(__xludf.DUMMYFUNCTION("""COMPUTED_VALUE"""),"natalia mendez")</f>
        <v>natalia mendez</v>
      </c>
      <c r="H7931" s="16">
        <f>IFERROR(__xludf.DUMMYFUNCTION("""COMPUTED_VALUE"""),16511.0)</f>
        <v>16511</v>
      </c>
      <c r="I7931" s="17"/>
      <c r="J7931" s="17"/>
      <c r="K7931" s="17"/>
      <c r="L7931" s="17">
        <f>IFERROR(__xludf.DUMMYFUNCTION("""COMPUTED_VALUE"""),3.214021341E9)</f>
        <v>3214021341</v>
      </c>
      <c r="M7931" s="17"/>
      <c r="N7931" s="17"/>
      <c r="O7931" s="17"/>
      <c r="P7931" s="17" t="b">
        <f>IFERROR(__xludf.DUMMYFUNCTION("""COMPUTED_VALUE"""),FALSE)</f>
        <v>0</v>
      </c>
      <c r="Q7931" s="20" t="str">
        <f>IFERROR(__xludf.DUMMYFUNCTION("""COMPUTED_VALUE"""),"")</f>
        <v/>
      </c>
      <c r="R7931" s="21" t="str">
        <f>IFERROR(__xludf.DUMMYFUNCTION("""COMPUTED_VALUE"""),"https://drive.google.com/file/d/1KKptDtVUF_HHvt_AlJnrjcmrw4z5rxwV/view?usp=drivesdk")</f>
        <v>https://drive.google.com/file/d/1KKptDtVUF_HHvt_AlJnrjcmrw4z5rxwV/view?usp=drivesdk</v>
      </c>
    </row>
    <row r="7932">
      <c r="A7932" s="17" t="str">
        <f>IFERROR(__xludf.DUMMYFUNCTION("""COMPUTED_VALUE"""),"")</f>
        <v/>
      </c>
      <c r="B7932" s="17" t="str">
        <f>IFERROR(__xludf.DUMMYFUNCTION("""COMPUTED_VALUE"""),"")</f>
        <v/>
      </c>
      <c r="C7932" s="17" t="str">
        <f>IFERROR(__xludf.DUMMYFUNCTION("""COMPUTED_VALUE"""),"")</f>
        <v/>
      </c>
      <c r="D7932" s="17" t="str">
        <f>IFERROR(__xludf.DUMMYFUNCTION("""COMPUTED_VALUE"""),"")</f>
        <v/>
      </c>
      <c r="E7932" s="17" t="str">
        <f>IFERROR(__xludf.DUMMYFUNCTION("""COMPUTED_VALUE"""),"")</f>
        <v/>
      </c>
      <c r="F7932" s="17" t="str">
        <f>IFERROR(__xludf.DUMMYFUNCTION("""COMPUTED_VALUE"""),"")</f>
        <v/>
      </c>
      <c r="G7932" s="17" t="str">
        <f>IFERROR(__xludf.DUMMYFUNCTION("""COMPUTED_VALUE"""),"")</f>
        <v/>
      </c>
      <c r="H7932" s="17" t="str">
        <f>IFERROR(__xludf.DUMMYFUNCTION("""COMPUTED_VALUE"""),"")</f>
        <v/>
      </c>
      <c r="I7932" s="17" t="str">
        <f>IFERROR(__xludf.DUMMYFUNCTION("""COMPUTED_VALUE"""),"")</f>
        <v/>
      </c>
      <c r="J7932" s="17" t="str">
        <f>IFERROR(__xludf.DUMMYFUNCTION("""COMPUTED_VALUE"""),"")</f>
        <v/>
      </c>
      <c r="K7932" s="17" t="str">
        <f>IFERROR(__xludf.DUMMYFUNCTION("""COMPUTED_VALUE"""),"")</f>
        <v/>
      </c>
      <c r="L7932" s="17" t="str">
        <f>IFERROR(__xludf.DUMMYFUNCTION("""COMPUTED_VALUE"""),"")</f>
        <v/>
      </c>
      <c r="M7932" s="17" t="str">
        <f>IFERROR(__xludf.DUMMYFUNCTION("""COMPUTED_VALUE"""),"")</f>
        <v/>
      </c>
      <c r="N7932" s="17" t="str">
        <f>IFERROR(__xludf.DUMMYFUNCTION("""COMPUTED_VALUE"""),"")</f>
        <v/>
      </c>
      <c r="O7932" s="17" t="str">
        <f>IFERROR(__xludf.DUMMYFUNCTION("""COMPUTED_VALUE"""),"")</f>
        <v/>
      </c>
      <c r="P7932" s="17" t="str">
        <f>IFERROR(__xludf.DUMMYFUNCTION("""COMPUTED_VALUE"""),"")</f>
        <v/>
      </c>
      <c r="Q7932" s="17" t="str">
        <f>IFERROR(__xludf.DUMMYFUNCTION("""COMPUTED_VALUE"""),"")</f>
        <v/>
      </c>
      <c r="R7932" s="17" t="str">
        <f>IFERROR(__xludf.DUMMYFUNCTION("""COMPUTED_VALUE"""),"")</f>
        <v/>
      </c>
    </row>
    <row r="7933">
      <c r="A7933" s="15">
        <f>IFERROR(__xludf.DUMMYFUNCTION("""COMPUTED_VALUE"""),45225.0)</f>
        <v>45225</v>
      </c>
      <c r="B7933" s="16" t="str">
        <f>IFERROR(__xludf.DUMMYFUNCTION("""COMPUTED_VALUE"""),"Cristian David Buitrago Lozano")</f>
        <v>Cristian David Buitrago Lozano</v>
      </c>
      <c r="C7933" s="15" t="str">
        <f>IFERROR(__xludf.DUMMYFUNCTION("""COMPUTED_VALUE"""),"BARRANQUILLA")</f>
        <v>BARRANQUILLA</v>
      </c>
      <c r="D7933" s="15" t="str">
        <f>IFERROR(__xludf.DUMMYFUNCTION("""COMPUTED_VALUE"""),"BOGOTÁ")</f>
        <v>BOGOTÁ</v>
      </c>
      <c r="E7933" s="15" t="str">
        <f>IFERROR(__xludf.DUMMYFUNCTION("""COMPUTED_VALUE"""),"Viral Brands")</f>
        <v>Viral Brands</v>
      </c>
      <c r="F7933" s="17" t="str">
        <f>IFERROR(__xludf.DUMMYFUNCTION("""COMPUTED_VALUE"""),"cra 58 n 96 -187 / lyd house 98 restaurante maya gaucho / buenavista")</f>
        <v>cra 58 n 96 -187 / lyd house 98 restaurante maya gaucho / buenavista</v>
      </c>
      <c r="G7933" s="15" t="str">
        <f>IFERROR(__xludf.DUMMYFUNCTION("""COMPUTED_VALUE"""),"viral brands")</f>
        <v>viral brands</v>
      </c>
      <c r="H7933" s="16">
        <f>IFERROR(__xludf.DUMMYFUNCTION("""COMPUTED_VALUE"""),16652.0)</f>
        <v>16652</v>
      </c>
      <c r="I7933" s="18">
        <f>IFERROR(__xludf.DUMMYFUNCTION("""COMPUTED_VALUE"""),29.0)</f>
        <v>29</v>
      </c>
      <c r="J7933" s="18">
        <f>IFERROR(__xludf.DUMMYFUNCTION("""COMPUTED_VALUE"""),55.0)</f>
        <v>55</v>
      </c>
      <c r="K7933" s="18">
        <f>IFERROR(__xludf.DUMMYFUNCTION("""COMPUTED_VALUE"""),45.0)</f>
        <v>45</v>
      </c>
      <c r="L7933" s="17">
        <f>IFERROR(__xludf.DUMMYFUNCTION("""COMPUTED_VALUE"""),3.122454394E9)</f>
        <v>3122454394</v>
      </c>
      <c r="M7933" s="17"/>
      <c r="N7933" s="17"/>
      <c r="O7933" s="17"/>
      <c r="P7933" s="17" t="b">
        <f>IFERROR(__xludf.DUMMYFUNCTION("""COMPUTED_VALUE"""),FALSE)</f>
        <v>0</v>
      </c>
      <c r="Q7933" s="20" t="str">
        <f>IFERROR(__xludf.DUMMYFUNCTION("""COMPUTED_VALUE"""),"")</f>
        <v/>
      </c>
      <c r="R7933" s="21" t="str">
        <f>IFERROR(__xludf.DUMMYFUNCTION("""COMPUTED_VALUE"""),"https://drive.google.com/file/d/1q_5rONWcUIaUKvzorf05KhBzGmfOi0Ft/view?usp=drivesdk")</f>
        <v>https://drive.google.com/file/d/1q_5rONWcUIaUKvzorf05KhBzGmfOi0Ft/view?usp=drivesdk</v>
      </c>
    </row>
    <row r="7934">
      <c r="A7934" s="17" t="str">
        <f>IFERROR(__xludf.DUMMYFUNCTION("""COMPUTED_VALUE"""),"")</f>
        <v/>
      </c>
      <c r="B7934" s="17" t="str">
        <f>IFERROR(__xludf.DUMMYFUNCTION("""COMPUTED_VALUE"""),"")</f>
        <v/>
      </c>
      <c r="C7934" s="17" t="str">
        <f>IFERROR(__xludf.DUMMYFUNCTION("""COMPUTED_VALUE"""),"")</f>
        <v/>
      </c>
      <c r="D7934" s="17" t="str">
        <f>IFERROR(__xludf.DUMMYFUNCTION("""COMPUTED_VALUE"""),"")</f>
        <v/>
      </c>
      <c r="E7934" s="17" t="str">
        <f>IFERROR(__xludf.DUMMYFUNCTION("""COMPUTED_VALUE"""),"")</f>
        <v/>
      </c>
      <c r="F7934" s="17" t="str">
        <f>IFERROR(__xludf.DUMMYFUNCTION("""COMPUTED_VALUE"""),"")</f>
        <v/>
      </c>
      <c r="G7934" s="17" t="str">
        <f>IFERROR(__xludf.DUMMYFUNCTION("""COMPUTED_VALUE"""),"")</f>
        <v/>
      </c>
      <c r="H7934" s="17" t="str">
        <f>IFERROR(__xludf.DUMMYFUNCTION("""COMPUTED_VALUE"""),"")</f>
        <v/>
      </c>
      <c r="I7934" s="17" t="str">
        <f>IFERROR(__xludf.DUMMYFUNCTION("""COMPUTED_VALUE"""),"")</f>
        <v/>
      </c>
      <c r="J7934" s="17" t="str">
        <f>IFERROR(__xludf.DUMMYFUNCTION("""COMPUTED_VALUE"""),"")</f>
        <v/>
      </c>
      <c r="K7934" s="17" t="str">
        <f>IFERROR(__xludf.DUMMYFUNCTION("""COMPUTED_VALUE"""),"")</f>
        <v/>
      </c>
      <c r="L7934" s="17" t="str">
        <f>IFERROR(__xludf.DUMMYFUNCTION("""COMPUTED_VALUE"""),"")</f>
        <v/>
      </c>
      <c r="M7934" s="17" t="str">
        <f>IFERROR(__xludf.DUMMYFUNCTION("""COMPUTED_VALUE"""),"")</f>
        <v/>
      </c>
      <c r="N7934" s="17" t="str">
        <f>IFERROR(__xludf.DUMMYFUNCTION("""COMPUTED_VALUE"""),"")</f>
        <v/>
      </c>
      <c r="O7934" s="17" t="str">
        <f>IFERROR(__xludf.DUMMYFUNCTION("""COMPUTED_VALUE"""),"")</f>
        <v/>
      </c>
      <c r="P7934" s="17" t="str">
        <f>IFERROR(__xludf.DUMMYFUNCTION("""COMPUTED_VALUE"""),"")</f>
        <v/>
      </c>
      <c r="Q7934" s="17" t="str">
        <f>IFERROR(__xludf.DUMMYFUNCTION("""COMPUTED_VALUE"""),"")</f>
        <v/>
      </c>
      <c r="R7934" s="17" t="str">
        <f>IFERROR(__xludf.DUMMYFUNCTION("""COMPUTED_VALUE"""),"")</f>
        <v/>
      </c>
    </row>
    <row r="7935">
      <c r="A7935" s="15">
        <f>IFERROR(__xludf.DUMMYFUNCTION("""COMPUTED_VALUE"""),45225.0)</f>
        <v>45225</v>
      </c>
      <c r="B7935" s="16" t="str">
        <f>IFERROR(__xludf.DUMMYFUNCTION("""COMPUTED_VALUE"""),"Daniel José sandoval gonzalez")</f>
        <v>Daniel José sandoval gonzalez</v>
      </c>
      <c r="C7935" s="15" t="str">
        <f>IFERROR(__xludf.DUMMYFUNCTION("""COMPUTED_VALUE"""),"BARRANQUILLA")</f>
        <v>BARRANQUILLA</v>
      </c>
      <c r="D7935" s="15" t="str">
        <f>IFERROR(__xludf.DUMMYFUNCTION("""COMPUTED_VALUE"""),"BOGOTÁ")</f>
        <v>BOGOTÁ</v>
      </c>
      <c r="E7935" s="15" t="str">
        <f>IFERROR(__xludf.DUMMYFUNCTION("""COMPUTED_VALUE"""),"LINA PAOLA RAMIREZ GOMEZ - EVA MAZZITA")</f>
        <v>LINA PAOLA RAMIREZ GOMEZ - EVA MAZZITA</v>
      </c>
      <c r="F7935" s="17" t="str">
        <f>IFERROR(__xludf.DUMMYFUNCTION("""COMPUTED_VALUE"""),"Cra 8d # 128 - 123 / Caribe Verde, manzana 18, casa 127")</f>
        <v>Cra 8d # 128 - 123 / Caribe Verde, manzana 18, casa 127</v>
      </c>
      <c r="G7935" s="15" t="str">
        <f>IFERROR(__xludf.DUMMYFUNCTION("""COMPUTED_VALUE"""),"FREDDY GARCIA")</f>
        <v>FREDDY GARCIA</v>
      </c>
      <c r="H7935" s="16">
        <f>IFERROR(__xludf.DUMMYFUNCTION("""COMPUTED_VALUE"""),16689.0)</f>
        <v>16689</v>
      </c>
      <c r="I7935" s="17"/>
      <c r="J7935" s="17"/>
      <c r="K7935" s="17"/>
      <c r="L7935" s="17">
        <f>IFERROR(__xludf.DUMMYFUNCTION("""COMPUTED_VALUE"""),3.013793023E9)</f>
        <v>3013793023</v>
      </c>
      <c r="M7935" s="17"/>
      <c r="N7935" s="17"/>
      <c r="O7935" s="17"/>
      <c r="P7935" s="17" t="b">
        <f>IFERROR(__xludf.DUMMYFUNCTION("""COMPUTED_VALUE"""),FALSE)</f>
        <v>0</v>
      </c>
      <c r="Q7935" s="20" t="str">
        <f>IFERROR(__xludf.DUMMYFUNCTION("""COMPUTED_VALUE"""),"")</f>
        <v/>
      </c>
      <c r="R7935" s="21" t="str">
        <f>IFERROR(__xludf.DUMMYFUNCTION("""COMPUTED_VALUE"""),"https://drive.google.com/file/d/1LPVH7JX4hIJF1Lqu4TTW3edFGrx1GHFW/view?usp=drivesdk")</f>
        <v>https://drive.google.com/file/d/1LPVH7JX4hIJF1Lqu4TTW3edFGrx1GHFW/view?usp=drivesdk</v>
      </c>
    </row>
    <row r="7936">
      <c r="A7936" s="15">
        <f>IFERROR(__xludf.DUMMYFUNCTION("""COMPUTED_VALUE"""),45225.0)</f>
        <v>45225</v>
      </c>
      <c r="B7936" s="16" t="str">
        <f>IFERROR(__xludf.DUMMYFUNCTION("""COMPUTED_VALUE"""),"Daniel José sandoval gonzalez")</f>
        <v>Daniel José sandoval gonzalez</v>
      </c>
      <c r="C7936" s="15" t="str">
        <f>IFERROR(__xludf.DUMMYFUNCTION("""COMPUTED_VALUE"""),"BARRANQUILLA")</f>
        <v>BARRANQUILLA</v>
      </c>
      <c r="D7936" s="15" t="str">
        <f>IFERROR(__xludf.DUMMYFUNCTION("""COMPUTED_VALUE"""),"BOGOTÁ")</f>
        <v>BOGOTÁ</v>
      </c>
      <c r="E7936" s="15" t="str">
        <f>IFERROR(__xludf.DUMMYFUNCTION("""COMPUTED_VALUE"""),"Top Spun")</f>
        <v>Top Spun</v>
      </c>
      <c r="F7936" s="17" t="str">
        <f>IFERROR(__xludf.DUMMYFUNCTION("""COMPUTED_VALUE"""),"Carrera 56 82 104 / Edifício Lalique / Piso 17")</f>
        <v>Carrera 56 82 104 / Edifício Lalique / Piso 17</v>
      </c>
      <c r="G7936" s="15" t="str">
        <f>IFERROR(__xludf.DUMMYFUNCTION("""COMPUTED_VALUE"""),"Valentina Garcia")</f>
        <v>Valentina Garcia</v>
      </c>
      <c r="H7936" s="16">
        <f>IFERROR(__xludf.DUMMYFUNCTION("""COMPUTED_VALUE"""),16485.0)</f>
        <v>16485</v>
      </c>
      <c r="I7936" s="18">
        <f>IFERROR(__xludf.DUMMYFUNCTION("""COMPUTED_VALUE"""),20.0)</f>
        <v>20</v>
      </c>
      <c r="J7936" s="18">
        <f>IFERROR(__xludf.DUMMYFUNCTION("""COMPUTED_VALUE"""),10.0)</f>
        <v>10</v>
      </c>
      <c r="K7936" s="18">
        <f>IFERROR(__xludf.DUMMYFUNCTION("""COMPUTED_VALUE"""),40.0)</f>
        <v>40</v>
      </c>
      <c r="L7936" s="17">
        <f>IFERROR(__xludf.DUMMYFUNCTION("""COMPUTED_VALUE"""),3.157212652E9)</f>
        <v>3157212652</v>
      </c>
      <c r="M7936" s="17"/>
      <c r="N7936" s="17"/>
      <c r="O7936" s="17"/>
      <c r="P7936" s="17" t="b">
        <f>IFERROR(__xludf.DUMMYFUNCTION("""COMPUTED_VALUE"""),FALSE)</f>
        <v>0</v>
      </c>
      <c r="Q7936" s="20" t="str">
        <f>IFERROR(__xludf.DUMMYFUNCTION("""COMPUTED_VALUE"""),"")</f>
        <v/>
      </c>
      <c r="R7936" s="21" t="str">
        <f>IFERROR(__xludf.DUMMYFUNCTION("""COMPUTED_VALUE"""),"https://drive.google.com/file/d/1sPBaPOuhgm_ebzyW502q7h5D_SNPOCDE/view?usp=drivesdk")</f>
        <v>https://drive.google.com/file/d/1sPBaPOuhgm_ebzyW502q7h5D_SNPOCDE/view?usp=drivesdk</v>
      </c>
    </row>
    <row r="7937">
      <c r="A7937" s="15">
        <f>IFERROR(__xludf.DUMMYFUNCTION("""COMPUTED_VALUE"""),45225.0)</f>
        <v>45225</v>
      </c>
      <c r="B7937" s="16" t="str">
        <f>IFERROR(__xludf.DUMMYFUNCTION("""COMPUTED_VALUE"""),"Daniel José sandoval gonzalez")</f>
        <v>Daniel José sandoval gonzalez</v>
      </c>
      <c r="C7937" s="15" t="str">
        <f>IFERROR(__xludf.DUMMYFUNCTION("""COMPUTED_VALUE"""),"BARRANQUILLA")</f>
        <v>BARRANQUILLA</v>
      </c>
      <c r="D7937" s="15" t="str">
        <f>IFERROR(__xludf.DUMMYFUNCTION("""COMPUTED_VALUE"""),"BOGOTÁ")</f>
        <v>BOGOTÁ</v>
      </c>
      <c r="E7937" s="15" t="str">
        <f>IFERROR(__xludf.DUMMYFUNCTION("""COMPUTED_VALUE"""),"Top Spun")</f>
        <v>Top Spun</v>
      </c>
      <c r="F7937" s="17" t="str">
        <f>IFERROR(__xludf.DUMMYFUNCTION("""COMPUTED_VALUE"""),"Cra 30 # 2c - 118 / local a117  / Centro Comercial Plaza Campestre, Barrio Villa Campestre")</f>
        <v>Cra 30 # 2c - 118 / local a117  / Centro Comercial Plaza Campestre, Barrio Villa Campestre</v>
      </c>
      <c r="G7937" s="15" t="str">
        <f>IFERROR(__xludf.DUMMYFUNCTION("""COMPUTED_VALUE"""),"Dg 21 # 30-238")</f>
        <v>Dg 21 # 30-238</v>
      </c>
      <c r="H7937" s="16">
        <f>IFERROR(__xludf.DUMMYFUNCTION("""COMPUTED_VALUE"""),16492.0)</f>
        <v>16492</v>
      </c>
      <c r="I7937" s="18">
        <f>IFERROR(__xludf.DUMMYFUNCTION("""COMPUTED_VALUE"""),20.0)</f>
        <v>20</v>
      </c>
      <c r="J7937" s="18">
        <f>IFERROR(__xludf.DUMMYFUNCTION("""COMPUTED_VALUE"""),10.0)</f>
        <v>10</v>
      </c>
      <c r="K7937" s="18">
        <f>IFERROR(__xludf.DUMMYFUNCTION("""COMPUTED_VALUE"""),40.0)</f>
        <v>40</v>
      </c>
      <c r="L7937" s="17">
        <f>IFERROR(__xludf.DUMMYFUNCTION("""COMPUTED_VALUE"""),3.13885894E9)</f>
        <v>3138858940</v>
      </c>
      <c r="M7937" s="17"/>
      <c r="N7937" s="17"/>
      <c r="O7937" s="17"/>
      <c r="P7937" s="17" t="b">
        <f>IFERROR(__xludf.DUMMYFUNCTION("""COMPUTED_VALUE"""),FALSE)</f>
        <v>0</v>
      </c>
      <c r="Q7937" s="20" t="str">
        <f>IFERROR(__xludf.DUMMYFUNCTION("""COMPUTED_VALUE"""),"")</f>
        <v/>
      </c>
      <c r="R7937" s="21" t="str">
        <f>IFERROR(__xludf.DUMMYFUNCTION("""COMPUTED_VALUE"""),"https://drive.google.com/file/d/10QAlOqhGxS5xIwFRXSeORFjO7Zgg1fUa/view?usp=drivesdk")</f>
        <v>https://drive.google.com/file/d/10QAlOqhGxS5xIwFRXSeORFjO7Zgg1fUa/view?usp=drivesdk</v>
      </c>
    </row>
    <row r="7938">
      <c r="A7938" s="17" t="str">
        <f>IFERROR(__xludf.DUMMYFUNCTION("""COMPUTED_VALUE"""),"")</f>
        <v/>
      </c>
      <c r="B7938" s="17" t="str">
        <f>IFERROR(__xludf.DUMMYFUNCTION("""COMPUTED_VALUE"""),"")</f>
        <v/>
      </c>
      <c r="C7938" s="17" t="str">
        <f>IFERROR(__xludf.DUMMYFUNCTION("""COMPUTED_VALUE"""),"")</f>
        <v/>
      </c>
      <c r="D7938" s="17" t="str">
        <f>IFERROR(__xludf.DUMMYFUNCTION("""COMPUTED_VALUE"""),"")</f>
        <v/>
      </c>
      <c r="E7938" s="17" t="str">
        <f>IFERROR(__xludf.DUMMYFUNCTION("""COMPUTED_VALUE"""),"")</f>
        <v/>
      </c>
      <c r="F7938" s="17" t="str">
        <f>IFERROR(__xludf.DUMMYFUNCTION("""COMPUTED_VALUE"""),"")</f>
        <v/>
      </c>
      <c r="G7938" s="17" t="str">
        <f>IFERROR(__xludf.DUMMYFUNCTION("""COMPUTED_VALUE"""),"")</f>
        <v/>
      </c>
      <c r="H7938" s="17" t="str">
        <f>IFERROR(__xludf.DUMMYFUNCTION("""COMPUTED_VALUE"""),"")</f>
        <v/>
      </c>
      <c r="I7938" s="17" t="str">
        <f>IFERROR(__xludf.DUMMYFUNCTION("""COMPUTED_VALUE"""),"")</f>
        <v/>
      </c>
      <c r="J7938" s="17" t="str">
        <f>IFERROR(__xludf.DUMMYFUNCTION("""COMPUTED_VALUE"""),"")</f>
        <v/>
      </c>
      <c r="K7938" s="17" t="str">
        <f>IFERROR(__xludf.DUMMYFUNCTION("""COMPUTED_VALUE"""),"")</f>
        <v/>
      </c>
      <c r="L7938" s="17" t="str">
        <f>IFERROR(__xludf.DUMMYFUNCTION("""COMPUTED_VALUE"""),"")</f>
        <v/>
      </c>
      <c r="M7938" s="17" t="str">
        <f>IFERROR(__xludf.DUMMYFUNCTION("""COMPUTED_VALUE"""),"")</f>
        <v/>
      </c>
      <c r="N7938" s="17" t="str">
        <f>IFERROR(__xludf.DUMMYFUNCTION("""COMPUTED_VALUE"""),"")</f>
        <v/>
      </c>
      <c r="O7938" s="17" t="str">
        <f>IFERROR(__xludf.DUMMYFUNCTION("""COMPUTED_VALUE"""),"")</f>
        <v/>
      </c>
      <c r="P7938" s="17" t="str">
        <f>IFERROR(__xludf.DUMMYFUNCTION("""COMPUTED_VALUE"""),"")</f>
        <v/>
      </c>
      <c r="Q7938" s="17" t="str">
        <f>IFERROR(__xludf.DUMMYFUNCTION("""COMPUTED_VALUE"""),"")</f>
        <v/>
      </c>
      <c r="R7938" s="17" t="str">
        <f>IFERROR(__xludf.DUMMYFUNCTION("""COMPUTED_VALUE"""),"")</f>
        <v/>
      </c>
    </row>
    <row r="7939">
      <c r="A7939" s="15">
        <f>IFERROR(__xludf.DUMMYFUNCTION("""COMPUTED_VALUE"""),45225.0)</f>
        <v>45225</v>
      </c>
      <c r="B7939" s="16" t="str">
        <f>IFERROR(__xludf.DUMMYFUNCTION("""COMPUTED_VALUE"""),"Envia")</f>
        <v>Envia</v>
      </c>
      <c r="C7939" s="15" t="str">
        <f>IFERROR(__xludf.DUMMYFUNCTION("""COMPUTED_VALUE"""),"BARRANQUILLA")</f>
        <v>BARRANQUILLA</v>
      </c>
      <c r="D7939" s="15" t="str">
        <f>IFERROR(__xludf.DUMMYFUNCTION("""COMPUTED_VALUE"""),"BOGOTÁ")</f>
        <v>BOGOTÁ</v>
      </c>
      <c r="E7939" s="15" t="str">
        <f>IFERROR(__xludf.DUMMYFUNCTION("""COMPUTED_VALUE"""),"Ventura Productos Arg")</f>
        <v>Ventura Productos Arg</v>
      </c>
      <c r="F7939" s="17" t="str">
        <f>IFERROR(__xludf.DUMMYFUNCTION("""COMPUTED_VALUE"""),"Calle 96 71 109 / apto 1102A Edificio Irati")</f>
        <v>Calle 96 71 109 / apto 1102A Edificio Irati</v>
      </c>
      <c r="G7939" s="15" t="str">
        <f>IFERROR(__xludf.DUMMYFUNCTION("""COMPUTED_VALUE"""),"Laura Acosta")</f>
        <v>Laura Acosta</v>
      </c>
      <c r="H7939" s="16">
        <f>IFERROR(__xludf.DUMMYFUNCTION("""COMPUTED_VALUE"""),16636.0)</f>
        <v>16636</v>
      </c>
      <c r="I7939" s="17"/>
      <c r="J7939" s="17"/>
      <c r="K7939" s="17"/>
      <c r="L7939" s="17">
        <f>IFERROR(__xludf.DUMMYFUNCTION("""COMPUTED_VALUE"""),3.015351845E9)</f>
        <v>3015351845</v>
      </c>
      <c r="M7939" s="17"/>
      <c r="N7939" s="17"/>
      <c r="O7939" s="17"/>
      <c r="P7939" s="17" t="b">
        <f>IFERROR(__xludf.DUMMYFUNCTION("""COMPUTED_VALUE"""),FALSE)</f>
        <v>0</v>
      </c>
      <c r="Q7939" s="20" t="str">
        <f>IFERROR(__xludf.DUMMYFUNCTION("""COMPUTED_VALUE"""),"")</f>
        <v/>
      </c>
      <c r="R7939" s="21" t="str">
        <f>IFERROR(__xludf.DUMMYFUNCTION("""COMPUTED_VALUE"""),"https://drive.google.com/file/d/1HARBPCnYHkOiyGS8JYqQOJkKpe7rmIoa/view?usp=drivesdk")</f>
        <v>https://drive.google.com/file/d/1HARBPCnYHkOiyGS8JYqQOJkKpe7rmIoa/view?usp=drivesdk</v>
      </c>
    </row>
    <row r="7940">
      <c r="A7940" s="15">
        <f>IFERROR(__xludf.DUMMYFUNCTION("""COMPUTED_VALUE"""),45225.0)</f>
        <v>45225</v>
      </c>
      <c r="B7940" s="16" t="str">
        <f>IFERROR(__xludf.DUMMYFUNCTION("""COMPUTED_VALUE"""),"Envia")</f>
        <v>Envia</v>
      </c>
      <c r="C7940" s="15" t="str">
        <f>IFERROR(__xludf.DUMMYFUNCTION("""COMPUTED_VALUE"""),"BARRANQUILLA")</f>
        <v>BARRANQUILLA</v>
      </c>
      <c r="D7940" s="15" t="str">
        <f>IFERROR(__xludf.DUMMYFUNCTION("""COMPUTED_VALUE"""),"BOGOTÁ")</f>
        <v>BOGOTÁ</v>
      </c>
      <c r="E7940" s="15" t="str">
        <f>IFERROR(__xludf.DUMMYFUNCTION("""COMPUTED_VALUE"""),"Viiva Fermentados")</f>
        <v>Viiva Fermentados</v>
      </c>
      <c r="F7940" s="17" t="str">
        <f>IFERROR(__xludf.DUMMYFUNCTION("""COMPUTED_VALUE"""),"Cra 4A 33 125 / casa blanca rejas blancas / universal 2")</f>
        <v>Cra 4A 33 125 / casa blanca rejas blancas / universal 2</v>
      </c>
      <c r="G7940" s="15" t="str">
        <f>IFERROR(__xludf.DUMMYFUNCTION("""COMPUTED_VALUE"""),"Maria Redondo")</f>
        <v>Maria Redondo</v>
      </c>
      <c r="H7940" s="16">
        <f>IFERROR(__xludf.DUMMYFUNCTION("""COMPUTED_VALUE"""),16509.0)</f>
        <v>16509</v>
      </c>
      <c r="I7940" s="18">
        <f>IFERROR(__xludf.DUMMYFUNCTION("""COMPUTED_VALUE"""),27.0)</f>
        <v>27</v>
      </c>
      <c r="J7940" s="18">
        <f>IFERROR(__xludf.DUMMYFUNCTION("""COMPUTED_VALUE"""),18.0)</f>
        <v>18</v>
      </c>
      <c r="K7940" s="18">
        <f>IFERROR(__xludf.DUMMYFUNCTION("""COMPUTED_VALUE"""),18.0)</f>
        <v>18</v>
      </c>
      <c r="L7940" s="17">
        <f>IFERROR(__xludf.DUMMYFUNCTION("""COMPUTED_VALUE"""),3.012630998E9)</f>
        <v>3012630998</v>
      </c>
      <c r="M7940" s="17"/>
      <c r="N7940" s="17"/>
      <c r="O7940" s="17"/>
      <c r="P7940" s="17" t="b">
        <f>IFERROR(__xludf.DUMMYFUNCTION("""COMPUTED_VALUE"""),FALSE)</f>
        <v>0</v>
      </c>
      <c r="Q7940" s="20" t="str">
        <f>IFERROR(__xludf.DUMMYFUNCTION("""COMPUTED_VALUE"""),"")</f>
        <v/>
      </c>
      <c r="R7940" s="21" t="str">
        <f>IFERROR(__xludf.DUMMYFUNCTION("""COMPUTED_VALUE"""),"https://drive.google.com/file/d/1ZCqB4wgHFlpXsCApVDmuY-mchb-rtuVM/view?usp=drivesdk")</f>
        <v>https://drive.google.com/file/d/1ZCqB4wgHFlpXsCApVDmuY-mchb-rtuVM/view?usp=drivesdk</v>
      </c>
    </row>
    <row r="7941">
      <c r="A7941" s="15">
        <f>IFERROR(__xludf.DUMMYFUNCTION("""COMPUTED_VALUE"""),45225.0)</f>
        <v>45225</v>
      </c>
      <c r="B7941" s="16" t="str">
        <f>IFERROR(__xludf.DUMMYFUNCTION("""COMPUTED_VALUE"""),"Envia")</f>
        <v>Envia</v>
      </c>
      <c r="C7941" s="15" t="str">
        <f>IFERROR(__xludf.DUMMYFUNCTION("""COMPUTED_VALUE"""),"BARRANQUILLA")</f>
        <v>BARRANQUILLA</v>
      </c>
      <c r="D7941" s="15" t="str">
        <f>IFERROR(__xludf.DUMMYFUNCTION("""COMPUTED_VALUE"""),"BOGOTÁ")</f>
        <v>BOGOTÁ</v>
      </c>
      <c r="E7941" s="15" t="str">
        <f>IFERROR(__xludf.DUMMYFUNCTION("""COMPUTED_VALUE"""),"Viral Brands")</f>
        <v>Viral Brands</v>
      </c>
      <c r="F7941" s="17" t="str">
        <f>IFERROR(__xludf.DUMMYFUNCTION("""COMPUTED_VALUE"""),"cra 58 n 96 -187 / lyd hose 98 restaurant maya gaucho / buenavista")</f>
        <v>cra 58 n 96 -187 / lyd hose 98 restaurant maya gaucho / buenavista</v>
      </c>
      <c r="G7941" s="15" t="str">
        <f>IFERROR(__xludf.DUMMYFUNCTION("""COMPUTED_VALUE"""),"viral brands")</f>
        <v>viral brands</v>
      </c>
      <c r="H7941" s="16">
        <f>IFERROR(__xludf.DUMMYFUNCTION("""COMPUTED_VALUE"""),16651.0)</f>
        <v>16651</v>
      </c>
      <c r="I7941" s="18">
        <f>IFERROR(__xludf.DUMMYFUNCTION("""COMPUTED_VALUE"""),21.0)</f>
        <v>21</v>
      </c>
      <c r="J7941" s="18">
        <f>IFERROR(__xludf.DUMMYFUNCTION("""COMPUTED_VALUE"""),50.0)</f>
        <v>50</v>
      </c>
      <c r="K7941" s="18">
        <f>IFERROR(__xludf.DUMMYFUNCTION("""COMPUTED_VALUE"""),30.0)</f>
        <v>30</v>
      </c>
      <c r="L7941" s="17">
        <f>IFERROR(__xludf.DUMMYFUNCTION("""COMPUTED_VALUE"""),3.122454394E9)</f>
        <v>3122454394</v>
      </c>
      <c r="M7941" s="17"/>
      <c r="N7941" s="17"/>
      <c r="O7941" s="17"/>
      <c r="P7941" s="17" t="b">
        <f>IFERROR(__xludf.DUMMYFUNCTION("""COMPUTED_VALUE"""),FALSE)</f>
        <v>0</v>
      </c>
      <c r="Q7941" s="20" t="str">
        <f>IFERROR(__xludf.DUMMYFUNCTION("""COMPUTED_VALUE"""),"")</f>
        <v/>
      </c>
      <c r="R7941" s="21" t="str">
        <f>IFERROR(__xludf.DUMMYFUNCTION("""COMPUTED_VALUE"""),"https://drive.google.com/file/d/1z8mMs76guQu-CAtOKCb2rBIEYoNhgAvU/view?usp=drivesdk")</f>
        <v>https://drive.google.com/file/d/1z8mMs76guQu-CAtOKCb2rBIEYoNhgAvU/view?usp=drivesdk</v>
      </c>
    </row>
    <row r="7942">
      <c r="A7942" s="15">
        <f>IFERROR(__xludf.DUMMYFUNCTION("""COMPUTED_VALUE"""),45225.0)</f>
        <v>45225</v>
      </c>
      <c r="B7942" s="16" t="str">
        <f>IFERROR(__xludf.DUMMYFUNCTION("""COMPUTED_VALUE"""),"Envia")</f>
        <v>Envia</v>
      </c>
      <c r="C7942" s="15" t="str">
        <f>IFERROR(__xludf.DUMMYFUNCTION("""COMPUTED_VALUE"""),"CALI")</f>
        <v>CALI</v>
      </c>
      <c r="D7942" s="15" t="str">
        <f>IFERROR(__xludf.DUMMYFUNCTION("""COMPUTED_VALUE"""),"BOGOTÁ")</f>
        <v>BOGOTÁ</v>
      </c>
      <c r="E7942" s="15" t="str">
        <f>IFERROR(__xludf.DUMMYFUNCTION("""COMPUTED_VALUE"""),"Athenas")</f>
        <v>Athenas</v>
      </c>
      <c r="F7942" s="17" t="str">
        <f>IFERROR(__xludf.DUMMYFUNCTION("""COMPUTED_VALUE"""),"CARRERA 98 #16-200 CENTRO COMERCIAL JARDIN PLAZA / BODYTECH - CAFETERIA / CIUDAD JARDIN")</f>
        <v>CARRERA 98 #16-200 CENTRO COMERCIAL JARDIN PLAZA / BODYTECH - CAFETERIA / CIUDAD JARDIN</v>
      </c>
      <c r="G7942" s="15" t="str">
        <f>IFERROR(__xludf.DUMMYFUNCTION("""COMPUTED_VALUE"""),"JORGE PARRA")</f>
        <v>JORGE PARRA</v>
      </c>
      <c r="H7942" s="16">
        <f>IFERROR(__xludf.DUMMYFUNCTION("""COMPUTED_VALUE"""),16528.0)</f>
        <v>16528</v>
      </c>
      <c r="I7942" s="18">
        <f>IFERROR(__xludf.DUMMYFUNCTION("""COMPUTED_VALUE"""),29.0)</f>
        <v>29</v>
      </c>
      <c r="J7942" s="18">
        <f>IFERROR(__xludf.DUMMYFUNCTION("""COMPUTED_VALUE"""),55.0)</f>
        <v>55</v>
      </c>
      <c r="K7942" s="18">
        <f>IFERROR(__xludf.DUMMYFUNCTION("""COMPUTED_VALUE"""),45.0)</f>
        <v>45</v>
      </c>
      <c r="L7942" s="17">
        <f>IFERROR(__xludf.DUMMYFUNCTION("""COMPUTED_VALUE"""),3.246801614E9)</f>
        <v>3246801614</v>
      </c>
      <c r="M7942" s="17"/>
      <c r="N7942" s="17"/>
      <c r="O7942" s="17"/>
      <c r="P7942" s="17" t="b">
        <f>IFERROR(__xludf.DUMMYFUNCTION("""COMPUTED_VALUE"""),FALSE)</f>
        <v>0</v>
      </c>
      <c r="Q7942" s="20" t="str">
        <f>IFERROR(__xludf.DUMMYFUNCTION("""COMPUTED_VALUE"""),"")</f>
        <v/>
      </c>
      <c r="R7942" s="21" t="str">
        <f>IFERROR(__xludf.DUMMYFUNCTION("""COMPUTED_VALUE"""),"https://drive.google.com/file/d/1vqrGfZlV9FJ46KhlUn9gdSxzWODAWjrw/view?usp=drivesdk")</f>
        <v>https://drive.google.com/file/d/1vqrGfZlV9FJ46KhlUn9gdSxzWODAWjrw/view?usp=drivesdk</v>
      </c>
    </row>
    <row r="7943">
      <c r="A7943" s="15">
        <f>IFERROR(__xludf.DUMMYFUNCTION("""COMPUTED_VALUE"""),45225.0)</f>
        <v>45225</v>
      </c>
      <c r="B7943" s="16" t="str">
        <f>IFERROR(__xludf.DUMMYFUNCTION("""COMPUTED_VALUE"""),"Envia")</f>
        <v>Envia</v>
      </c>
      <c r="C7943" s="15" t="str">
        <f>IFERROR(__xludf.DUMMYFUNCTION("""COMPUTED_VALUE"""),"Cartagena")</f>
        <v>Cartagena</v>
      </c>
      <c r="D7943" s="15" t="str">
        <f>IFERROR(__xludf.DUMMYFUNCTION("""COMPUTED_VALUE"""),"BOGOTÁ")</f>
        <v>BOGOTÁ</v>
      </c>
      <c r="E7943" s="15" t="str">
        <f>IFERROR(__xludf.DUMMYFUNCTION("""COMPUTED_VALUE"""),"Mochi")</f>
        <v>Mochi</v>
      </c>
      <c r="F7943" s="17" t="str">
        <f>IFERROR(__xludf.DUMMYFUNCTION("""COMPUTED_VALUE"""),"Cra 11#39/21 / Centro comercial la serrezuela / San Diego")</f>
        <v>Cra 11#39/21 / Centro comercial la serrezuela / San Diego</v>
      </c>
      <c r="G7943" s="15" t="str">
        <f>IFERROR(__xludf.DUMMYFUNCTION("""COMPUTED_VALUE"""),"Maria camila giraldo")</f>
        <v>Maria camila giraldo</v>
      </c>
      <c r="H7943" s="16">
        <f>IFERROR(__xludf.DUMMYFUNCTION("""COMPUTED_VALUE"""),16659.0)</f>
        <v>16659</v>
      </c>
      <c r="I7943" s="18">
        <f>IFERROR(__xludf.DUMMYFUNCTION("""COMPUTED_VALUE"""),55.0)</f>
        <v>55</v>
      </c>
      <c r="J7943" s="18">
        <f>IFERROR(__xludf.DUMMYFUNCTION("""COMPUTED_VALUE"""),44.0)</f>
        <v>44</v>
      </c>
      <c r="K7943" s="18" t="str">
        <f>IFERROR(__xludf.DUMMYFUNCTION("""COMPUTED_VALUE"""),"52.5")</f>
        <v>52.5</v>
      </c>
      <c r="L7943" s="17">
        <f>IFERROR(__xludf.DUMMYFUNCTION("""COMPUTED_VALUE"""),3.116026252E9)</f>
        <v>3116026252</v>
      </c>
      <c r="M7943" s="17"/>
      <c r="N7943" s="17"/>
      <c r="O7943" s="17"/>
      <c r="P7943" s="17" t="b">
        <f>IFERROR(__xludf.DUMMYFUNCTION("""COMPUTED_VALUE"""),FALSE)</f>
        <v>0</v>
      </c>
      <c r="Q7943" s="20" t="str">
        <f>IFERROR(__xludf.DUMMYFUNCTION("""COMPUTED_VALUE"""),"")</f>
        <v/>
      </c>
      <c r="R7943" s="22" t="str">
        <f>IFERROR(__xludf.DUMMYFUNCTION("""COMPUTED_VALUE"""),"")</f>
        <v/>
      </c>
    </row>
    <row r="7944">
      <c r="A7944" s="15">
        <f>IFERROR(__xludf.DUMMYFUNCTION("""COMPUTED_VALUE"""),45225.0)</f>
        <v>45225</v>
      </c>
      <c r="B7944" s="16" t="str">
        <f>IFERROR(__xludf.DUMMYFUNCTION("""COMPUTED_VALUE"""),"Envia")</f>
        <v>Envia</v>
      </c>
      <c r="C7944" s="15" t="str">
        <f>IFERROR(__xludf.DUMMYFUNCTION("""COMPUTED_VALUE"""),"Cartagena")</f>
        <v>Cartagena</v>
      </c>
      <c r="D7944" s="15" t="str">
        <f>IFERROR(__xludf.DUMMYFUNCTION("""COMPUTED_VALUE"""),"MEDELLÍN")</f>
        <v>MEDELLÍN</v>
      </c>
      <c r="E7944" s="15" t="str">
        <f>IFERROR(__xludf.DUMMYFUNCTION("""COMPUTED_VALUE"""),"TOLEDALES S.A.S")</f>
        <v>TOLEDALES S.A.S</v>
      </c>
      <c r="F7944" s="17" t="str">
        <f>IFERROR(__xludf.DUMMYFUNCTION("""COMPUTED_VALUE"""),"Cra 1 #9-6")</f>
        <v>Cra 1 #9-6</v>
      </c>
      <c r="G7944" s="15" t="str">
        <f>IFERROR(__xludf.DUMMYFUNCTION("""COMPUTED_VALUE"""),"Salomé González")</f>
        <v>Salomé González</v>
      </c>
      <c r="H7944" s="16">
        <f>IFERROR(__xludf.DUMMYFUNCTION("""COMPUTED_VALUE"""),16585.0)</f>
        <v>16585</v>
      </c>
      <c r="I7944" s="18">
        <f>IFERROR(__xludf.DUMMYFUNCTION("""COMPUTED_VALUE"""),13.0)</f>
        <v>13</v>
      </c>
      <c r="J7944" s="18">
        <f>IFERROR(__xludf.DUMMYFUNCTION("""COMPUTED_VALUE"""),16.0)</f>
        <v>16</v>
      </c>
      <c r="K7944" s="18">
        <f>IFERROR(__xludf.DUMMYFUNCTION("""COMPUTED_VALUE"""),20.0)</f>
        <v>20</v>
      </c>
      <c r="L7944" s="17">
        <f>IFERROR(__xludf.DUMMYFUNCTION("""COMPUTED_VALUE"""),3.145267593E9)</f>
        <v>3145267593</v>
      </c>
      <c r="M7944" s="17"/>
      <c r="N7944" s="17"/>
      <c r="O7944" s="17"/>
      <c r="P7944" s="17" t="b">
        <f>IFERROR(__xludf.DUMMYFUNCTION("""COMPUTED_VALUE"""),FALSE)</f>
        <v>0</v>
      </c>
      <c r="Q7944" s="20" t="str">
        <f>IFERROR(__xludf.DUMMYFUNCTION("""COMPUTED_VALUE"""),"")</f>
        <v/>
      </c>
      <c r="R7944" s="22" t="str">
        <f>IFERROR(__xludf.DUMMYFUNCTION("""COMPUTED_VALUE"""),"")</f>
        <v/>
      </c>
    </row>
    <row r="7945">
      <c r="A7945" s="15">
        <f>IFERROR(__xludf.DUMMYFUNCTION("""COMPUTED_VALUE"""),45225.0)</f>
        <v>45225</v>
      </c>
      <c r="B7945" s="16" t="str">
        <f>IFERROR(__xludf.DUMMYFUNCTION("""COMPUTED_VALUE"""),"Envia")</f>
        <v>Envia</v>
      </c>
      <c r="C7945" s="15" t="str">
        <f>IFERROR(__xludf.DUMMYFUNCTION("""COMPUTED_VALUE"""),"FLORIDABLANCA")</f>
        <v>FLORIDABLANCA</v>
      </c>
      <c r="D7945" s="15" t="str">
        <f>IFERROR(__xludf.DUMMYFUNCTION("""COMPUTED_VALUE"""),"BOGOTÁ")</f>
        <v>BOGOTÁ</v>
      </c>
      <c r="E7945" s="15" t="str">
        <f>IFERROR(__xludf.DUMMYFUNCTION("""COMPUTED_VALUE"""),"LINA PAOLA RAMIREZ GOMEZ - EVA MAZZITA")</f>
        <v>LINA PAOLA RAMIREZ GOMEZ - EVA MAZZITA</v>
      </c>
      <c r="F7945" s="17" t="str">
        <f>IFERROR(__xludf.DUMMYFUNCTION("""COMPUTED_VALUE"""),"Calle 198 # 29 - 83 / Villas de San Francisco")</f>
        <v>Calle 198 # 29 - 83 / Villas de San Francisco</v>
      </c>
      <c r="G7945" s="15" t="str">
        <f>IFERROR(__xludf.DUMMYFUNCTION("""COMPUTED_VALUE"""),"MAYRA ALEJANDRA GUEVARA")</f>
        <v>MAYRA ALEJANDRA GUEVARA</v>
      </c>
      <c r="H7945" s="16">
        <f>IFERROR(__xludf.DUMMYFUNCTION("""COMPUTED_VALUE"""),16705.0)</f>
        <v>16705</v>
      </c>
      <c r="I7945" s="17"/>
      <c r="J7945" s="17"/>
      <c r="K7945" s="17"/>
      <c r="L7945" s="17">
        <f>IFERROR(__xludf.DUMMYFUNCTION("""COMPUTED_VALUE"""),3.22405814E9)</f>
        <v>3224058140</v>
      </c>
      <c r="M7945" s="17"/>
      <c r="N7945" s="17"/>
      <c r="O7945" s="17"/>
      <c r="P7945" s="17" t="b">
        <f>IFERROR(__xludf.DUMMYFUNCTION("""COMPUTED_VALUE"""),FALSE)</f>
        <v>0</v>
      </c>
      <c r="Q7945" s="20" t="str">
        <f>IFERROR(__xludf.DUMMYFUNCTION("""COMPUTED_VALUE"""),"")</f>
        <v/>
      </c>
      <c r="R7945" s="21" t="str">
        <f>IFERROR(__xludf.DUMMYFUNCTION("""COMPUTED_VALUE"""),"https://drive.google.com/file/d/18IR45PEbwAW3vZanEx52K5iNyPX6fsQM/view?usp=drivesdk")</f>
        <v>https://drive.google.com/file/d/18IR45PEbwAW3vZanEx52K5iNyPX6fsQM/view?usp=drivesdk</v>
      </c>
    </row>
    <row r="7946">
      <c r="A7946" s="15">
        <f>IFERROR(__xludf.DUMMYFUNCTION("""COMPUTED_VALUE"""),45225.0)</f>
        <v>45225</v>
      </c>
      <c r="B7946" s="16" t="str">
        <f>IFERROR(__xludf.DUMMYFUNCTION("""COMPUTED_VALUE"""),"Envia")</f>
        <v>Envia</v>
      </c>
      <c r="C7946" s="15" t="str">
        <f>IFERROR(__xludf.DUMMYFUNCTION("""COMPUTED_VALUE"""),"GIRÓN")</f>
        <v>GIRÓN</v>
      </c>
      <c r="D7946" s="15" t="str">
        <f>IFERROR(__xludf.DUMMYFUNCTION("""COMPUTED_VALUE"""),"BOGOTÁ")</f>
        <v>BOGOTÁ</v>
      </c>
      <c r="E7946" s="15" t="str">
        <f>IFERROR(__xludf.DUMMYFUNCTION("""COMPUTED_VALUE"""),"LINA PAOLA RAMIREZ GOMEZ - EVA MAZZITA")</f>
        <v>LINA PAOLA RAMIREZ GOMEZ - EVA MAZZITA</v>
      </c>
      <c r="F7946" s="17" t="str">
        <f>IFERROR(__xludf.DUMMYFUNCTION("""COMPUTED_VALUE"""),"CALLE 22 # 15 - 71 / LOS CEDROS TORRE 4 APTO 1227 BARRIO SAN JORGE")</f>
        <v>CALLE 22 # 15 - 71 / LOS CEDROS TORRE 4 APTO 1227 BARRIO SAN JORGE</v>
      </c>
      <c r="G7946" s="15" t="str">
        <f>IFERROR(__xludf.DUMMYFUNCTION("""COMPUTED_VALUE"""),"LUISA VARGAS - GIRON")</f>
        <v>LUISA VARGAS - GIRON</v>
      </c>
      <c r="H7946" s="16">
        <f>IFERROR(__xludf.DUMMYFUNCTION("""COMPUTED_VALUE"""),16708.0)</f>
        <v>16708</v>
      </c>
      <c r="I7946" s="17"/>
      <c r="J7946" s="17"/>
      <c r="K7946" s="17"/>
      <c r="L7946" s="17">
        <f>IFERROR(__xludf.DUMMYFUNCTION("""COMPUTED_VALUE"""),3.167515694E9)</f>
        <v>3167515694</v>
      </c>
      <c r="M7946" s="17"/>
      <c r="N7946" s="17"/>
      <c r="O7946" s="17"/>
      <c r="P7946" s="17" t="b">
        <f>IFERROR(__xludf.DUMMYFUNCTION("""COMPUTED_VALUE"""),FALSE)</f>
        <v>0</v>
      </c>
      <c r="Q7946" s="20" t="str">
        <f>IFERROR(__xludf.DUMMYFUNCTION("""COMPUTED_VALUE"""),"")</f>
        <v/>
      </c>
      <c r="R7946" s="21" t="str">
        <f>IFERROR(__xludf.DUMMYFUNCTION("""COMPUTED_VALUE"""),"https://drive.google.com/file/d/1OgvndMUg8StEEvy1dpcsRUMkdWYcFRjt/view?usp=drivesdk")</f>
        <v>https://drive.google.com/file/d/1OgvndMUg8StEEvy1dpcsRUMkdWYcFRjt/view?usp=drivesdk</v>
      </c>
    </row>
    <row r="7947">
      <c r="A7947" s="15">
        <f>IFERROR(__xludf.DUMMYFUNCTION("""COMPUTED_VALUE"""),45225.0)</f>
        <v>45225</v>
      </c>
      <c r="B7947" s="16" t="str">
        <f>IFERROR(__xludf.DUMMYFUNCTION("""COMPUTED_VALUE"""),"Envia")</f>
        <v>Envia</v>
      </c>
      <c r="C7947" s="15" t="str">
        <f>IFERROR(__xludf.DUMMYFUNCTION("""COMPUTED_VALUE"""),"GIRÓN")</f>
        <v>GIRÓN</v>
      </c>
      <c r="D7947" s="15" t="str">
        <f>IFERROR(__xludf.DUMMYFUNCTION("""COMPUTED_VALUE"""),"MEDELLÍN")</f>
        <v>MEDELLÍN</v>
      </c>
      <c r="E7947" s="15" t="str">
        <f>IFERROR(__xludf.DUMMYFUNCTION("""COMPUTED_VALUE"""),"Terravocado")</f>
        <v>Terravocado</v>
      </c>
      <c r="F7947" s="17" t="str">
        <f>IFERROR(__xludf.DUMMYFUNCTION("""COMPUTED_VALUE"""),"CLL 22 #15 - 38 / CONJUNTO ROBLES TORRE 3 APT 222 / GIRON SANTANDER")</f>
        <v>CLL 22 #15 - 38 / CONJUNTO ROBLES TORRE 3 APT 222 / GIRON SANTANDER</v>
      </c>
      <c r="G7947" s="15" t="str">
        <f>IFERROR(__xludf.DUMMYFUNCTION("""COMPUTED_VALUE"""),"RAFAEL CONTRERAS")</f>
        <v>RAFAEL CONTRERAS</v>
      </c>
      <c r="H7947" s="16">
        <f>IFERROR(__xludf.DUMMYFUNCTION("""COMPUTED_VALUE"""),16587.0)</f>
        <v>16587</v>
      </c>
      <c r="I7947" s="18">
        <f>IFERROR(__xludf.DUMMYFUNCTION("""COMPUTED_VALUE"""),20.0)</f>
        <v>20</v>
      </c>
      <c r="J7947" s="18">
        <f>IFERROR(__xludf.DUMMYFUNCTION("""COMPUTED_VALUE"""),24.0)</f>
        <v>24</v>
      </c>
      <c r="K7947" s="18">
        <f>IFERROR(__xludf.DUMMYFUNCTION("""COMPUTED_VALUE"""),34.0)</f>
        <v>34</v>
      </c>
      <c r="L7947" s="17">
        <f>IFERROR(__xludf.DUMMYFUNCTION("""COMPUTED_VALUE"""),3.223626148E9)</f>
        <v>3223626148</v>
      </c>
      <c r="M7947" s="17"/>
      <c r="N7947" s="17"/>
      <c r="O7947" s="17"/>
      <c r="P7947" s="17" t="b">
        <f>IFERROR(__xludf.DUMMYFUNCTION("""COMPUTED_VALUE"""),TRUE)</f>
        <v>1</v>
      </c>
      <c r="Q7947" s="20">
        <f>IFERROR(__xludf.DUMMYFUNCTION("""COMPUTED_VALUE"""),45229.57268886574)</f>
        <v>45229.57269</v>
      </c>
      <c r="R7947" s="21" t="str">
        <f>IFERROR(__xludf.DUMMYFUNCTION("""COMPUTED_VALUE"""),"https://drive.google.com/file/d/1tWsqBziY-jDaTSCebEuWFAg7EdgWc6Va/view?usp=drivesdk")</f>
        <v>https://drive.google.com/file/d/1tWsqBziY-jDaTSCebEuWFAg7EdgWc6Va/view?usp=drivesdk</v>
      </c>
    </row>
    <row r="7948">
      <c r="A7948" s="15">
        <f>IFERROR(__xludf.DUMMYFUNCTION("""COMPUTED_VALUE"""),45225.0)</f>
        <v>45225</v>
      </c>
      <c r="B7948" s="16" t="str">
        <f>IFERROR(__xludf.DUMMYFUNCTION("""COMPUTED_VALUE"""),"Envia")</f>
        <v>Envia</v>
      </c>
      <c r="C7948" s="15" t="str">
        <f>IFERROR(__xludf.DUMMYFUNCTION("""COMPUTED_VALUE"""),"SANTA MARTA")</f>
        <v>SANTA MARTA</v>
      </c>
      <c r="D7948" s="15" t="str">
        <f>IFERROR(__xludf.DUMMYFUNCTION("""COMPUTED_VALUE"""),"BOGOTÁ")</f>
        <v>BOGOTÁ</v>
      </c>
      <c r="E7948" s="15" t="str">
        <f>IFERROR(__xludf.DUMMYFUNCTION("""COMPUTED_VALUE"""),"Loomifoods")</f>
        <v>Loomifoods</v>
      </c>
      <c r="F7948" s="17" t="str">
        <f>IFERROR(__xludf.DUMMYFUNCTION("""COMPUTED_VALUE"""),"Carrera 7a #29-114 / Santa Marta / Santa Marta")</f>
        <v>Carrera 7a #29-114 / Santa Marta / Santa Marta</v>
      </c>
      <c r="G7948" s="15" t="str">
        <f>IFERROR(__xludf.DUMMYFUNCTION("""COMPUTED_VALUE"""),"Caroline Thevenet")</f>
        <v>Caroline Thevenet</v>
      </c>
      <c r="H7948" s="16">
        <f>IFERROR(__xludf.DUMMYFUNCTION("""COMPUTED_VALUE"""),16660.0)</f>
        <v>16660</v>
      </c>
      <c r="I7948" s="18">
        <f>IFERROR(__xludf.DUMMYFUNCTION("""COMPUTED_VALUE"""),19.0)</f>
        <v>19</v>
      </c>
      <c r="J7948" s="18">
        <f>IFERROR(__xludf.DUMMYFUNCTION("""COMPUTED_VALUE"""),10.0)</f>
        <v>10</v>
      </c>
      <c r="K7948" s="18">
        <f>IFERROR(__xludf.DUMMYFUNCTION("""COMPUTED_VALUE"""),16.0)</f>
        <v>16</v>
      </c>
      <c r="L7948" s="17">
        <f>IFERROR(__xludf.DUMMYFUNCTION("""COMPUTED_VALUE"""),3.103051294E9)</f>
        <v>3103051294</v>
      </c>
      <c r="M7948" s="17"/>
      <c r="N7948" s="17"/>
      <c r="O7948" s="17"/>
      <c r="P7948" s="17" t="b">
        <f>IFERROR(__xludf.DUMMYFUNCTION("""COMPUTED_VALUE"""),FALSE)</f>
        <v>0</v>
      </c>
      <c r="Q7948" s="20" t="str">
        <f>IFERROR(__xludf.DUMMYFUNCTION("""COMPUTED_VALUE"""),"")</f>
        <v/>
      </c>
      <c r="R7948" s="21" t="str">
        <f>IFERROR(__xludf.DUMMYFUNCTION("""COMPUTED_VALUE"""),"https://drive.google.com/file/d/1r-df0cHPAavZAOGpdRB5pYAaWLjqZ1lV/view?usp=drivesdk")</f>
        <v>https://drive.google.com/file/d/1r-df0cHPAavZAOGpdRB5pYAaWLjqZ1lV/view?usp=drivesdk</v>
      </c>
    </row>
    <row r="7949">
      <c r="A7949" s="15">
        <f>IFERROR(__xludf.DUMMYFUNCTION("""COMPUTED_VALUE"""),45225.0)</f>
        <v>45225</v>
      </c>
      <c r="B7949" s="16" t="str">
        <f>IFERROR(__xludf.DUMMYFUNCTION("""COMPUTED_VALUE"""),"Envia")</f>
        <v>Envia</v>
      </c>
      <c r="C7949" s="15" t="str">
        <f>IFERROR(__xludf.DUMMYFUNCTION("""COMPUTED_VALUE"""),"SANTA MARTA")</f>
        <v>SANTA MARTA</v>
      </c>
      <c r="D7949" s="15" t="str">
        <f>IFERROR(__xludf.DUMMYFUNCTION("""COMPUTED_VALUE"""),"BOGOTÁ")</f>
        <v>BOGOTÁ</v>
      </c>
      <c r="E7949" s="15" t="str">
        <f>IFERROR(__xludf.DUMMYFUNCTION("""COMPUTED_VALUE"""),"Top Spun")</f>
        <v>Top Spun</v>
      </c>
      <c r="F7949" s="17" t="str">
        <f>IFERROR(__xludf.DUMMYFUNCTION("""COMPUTED_VALUE"""),"Carrera 7A # 29-114 / Santa Marta / Santa Marta")</f>
        <v>Carrera 7A # 29-114 / Santa Marta / Santa Marta</v>
      </c>
      <c r="G7949" s="15" t="str">
        <f>IFERROR(__xludf.DUMMYFUNCTION("""COMPUTED_VALUE"""),"Caroline Thevenet")</f>
        <v>Caroline Thevenet</v>
      </c>
      <c r="H7949" s="16">
        <f>IFERROR(__xludf.DUMMYFUNCTION("""COMPUTED_VALUE"""),16645.0)</f>
        <v>16645</v>
      </c>
      <c r="I7949" s="18">
        <f>IFERROR(__xludf.DUMMYFUNCTION("""COMPUTED_VALUE"""),20.0)</f>
        <v>20</v>
      </c>
      <c r="J7949" s="18">
        <f>IFERROR(__xludf.DUMMYFUNCTION("""COMPUTED_VALUE"""),10.0)</f>
        <v>10</v>
      </c>
      <c r="K7949" s="18">
        <f>IFERROR(__xludf.DUMMYFUNCTION("""COMPUTED_VALUE"""),40.0)</f>
        <v>40</v>
      </c>
      <c r="L7949" s="17">
        <f>IFERROR(__xludf.DUMMYFUNCTION("""COMPUTED_VALUE"""),3.103051294E9)</f>
        <v>3103051294</v>
      </c>
      <c r="M7949" s="17"/>
      <c r="N7949" s="17"/>
      <c r="O7949" s="17"/>
      <c r="P7949" s="17" t="b">
        <f>IFERROR(__xludf.DUMMYFUNCTION("""COMPUTED_VALUE"""),FALSE)</f>
        <v>0</v>
      </c>
      <c r="Q7949" s="20" t="str">
        <f>IFERROR(__xludf.DUMMYFUNCTION("""COMPUTED_VALUE"""),"")</f>
        <v/>
      </c>
      <c r="R7949" s="21" t="str">
        <f>IFERROR(__xludf.DUMMYFUNCTION("""COMPUTED_VALUE"""),"https://drive.google.com/file/d/1tm_lwoyopqfFBgHGxtOGkb55CYDqAG-w/view?usp=drivesdk")</f>
        <v>https://drive.google.com/file/d/1tm_lwoyopqfFBgHGxtOGkb55CYDqAG-w/view?usp=drivesdk</v>
      </c>
    </row>
    <row r="7950">
      <c r="A7950" s="15">
        <f>IFERROR(__xludf.DUMMYFUNCTION("""COMPUTED_VALUE"""),45225.0)</f>
        <v>45225</v>
      </c>
      <c r="B7950" s="16" t="str">
        <f>IFERROR(__xludf.DUMMYFUNCTION("""COMPUTED_VALUE"""),"Envia")</f>
        <v>Envia</v>
      </c>
      <c r="C7950" s="15" t="str">
        <f>IFERROR(__xludf.DUMMYFUNCTION("""COMPUTED_VALUE"""),"SINCELEJO")</f>
        <v>SINCELEJO</v>
      </c>
      <c r="D7950" s="15" t="str">
        <f>IFERROR(__xludf.DUMMYFUNCTION("""COMPUTED_VALUE"""),"MEDELLÍN")</f>
        <v>MEDELLÍN</v>
      </c>
      <c r="E7950" s="15" t="str">
        <f>IFERROR(__xludf.DUMMYFUNCTION("""COMPUTED_VALUE"""),"Helados swip")</f>
        <v>Helados swip</v>
      </c>
      <c r="F7950" s="17" t="str">
        <f>IFERROR(__xludf.DUMMYFUNCTION("""COMPUTED_VALUE"""),"CALLE 32#33.119 / LOCAL 101 / MALL VENECIA LIVING")</f>
        <v>CALLE 32#33.119 / LOCAL 101 / MALL VENECIA LIVING</v>
      </c>
      <c r="G7950" s="15" t="str">
        <f>IFERROR(__xludf.DUMMYFUNCTION("""COMPUTED_VALUE"""),"OLIVA MERCADO SALUDABLE")</f>
        <v>OLIVA MERCADO SALUDABLE</v>
      </c>
      <c r="H7950" s="16">
        <f>IFERROR(__xludf.DUMMYFUNCTION("""COMPUTED_VALUE"""),16657.0)</f>
        <v>16657</v>
      </c>
      <c r="I7950" s="18">
        <f>IFERROR(__xludf.DUMMYFUNCTION("""COMPUTED_VALUE"""),50.0)</f>
        <v>50</v>
      </c>
      <c r="J7950" s="18">
        <f>IFERROR(__xludf.DUMMYFUNCTION("""COMPUTED_VALUE"""),30.0)</f>
        <v>30</v>
      </c>
      <c r="K7950" s="18">
        <f>IFERROR(__xludf.DUMMYFUNCTION("""COMPUTED_VALUE"""),21.0)</f>
        <v>21</v>
      </c>
      <c r="L7950" s="17">
        <f>IFERROR(__xludf.DUMMYFUNCTION("""COMPUTED_VALUE"""),3.022293728E9)</f>
        <v>3022293728</v>
      </c>
      <c r="M7950" s="17"/>
      <c r="N7950" s="17"/>
      <c r="O7950" s="17"/>
      <c r="P7950" s="17" t="b">
        <f>IFERROR(__xludf.DUMMYFUNCTION("""COMPUTED_VALUE"""),FALSE)</f>
        <v>0</v>
      </c>
      <c r="Q7950" s="20" t="str">
        <f>IFERROR(__xludf.DUMMYFUNCTION("""COMPUTED_VALUE"""),"")</f>
        <v/>
      </c>
      <c r="R7950" s="21" t="str">
        <f>IFERROR(__xludf.DUMMYFUNCTION("""COMPUTED_VALUE"""),"https://drive.google.com/file/d/1fc7LN3ecvRxUzcovA9K9Xq3_dCBxiCdh/view?usp=drivesdk")</f>
        <v>https://drive.google.com/file/d/1fc7LN3ecvRxUzcovA9K9Xq3_dCBxiCdh/view?usp=drivesdk</v>
      </c>
    </row>
    <row r="7951">
      <c r="A7951" s="15">
        <f>IFERROR(__xludf.DUMMYFUNCTION("""COMPUTED_VALUE"""),45225.0)</f>
        <v>45225</v>
      </c>
      <c r="B7951" s="16" t="str">
        <f>IFERROR(__xludf.DUMMYFUNCTION("""COMPUTED_VALUE"""),"Envia")</f>
        <v>Envia</v>
      </c>
      <c r="C7951" s="15" t="str">
        <f>IFERROR(__xludf.DUMMYFUNCTION("""COMPUTED_VALUE"""),"VILLAVICENCIO")</f>
        <v>VILLAVICENCIO</v>
      </c>
      <c r="D7951" s="15" t="str">
        <f>IFERROR(__xludf.DUMMYFUNCTION("""COMPUTED_VALUE"""),"MEDELLÍN")</f>
        <v>MEDELLÍN</v>
      </c>
      <c r="E7951" s="15" t="str">
        <f>IFERROR(__xludf.DUMMYFUNCTION("""COMPUTED_VALUE"""),"Baby Chef")</f>
        <v>Baby Chef</v>
      </c>
      <c r="F7951" s="17" t="str">
        <f>IFERROR(__xludf.DUMMYFUNCTION("""COMPUTED_VALUE"""),"Calle 4sur 35 95 multifamiliares centauros bloque c 6 apto 302 Barrio Multifamiliares los centauros  Ciudad: Villavicencio Meta / . / .")</f>
        <v>Calle 4sur 35 95 multifamiliares centauros bloque c 6 apto 302 Barrio Multifamiliares los centauros  Ciudad: Villavicencio Meta / . / .</v>
      </c>
      <c r="G7951" s="15" t="str">
        <f>IFERROR(__xludf.DUMMYFUNCTION("""COMPUTED_VALUE"""),"sandy Sandoval montoya")</f>
        <v>sandy Sandoval montoya</v>
      </c>
      <c r="H7951" s="16">
        <f>IFERROR(__xludf.DUMMYFUNCTION("""COMPUTED_VALUE"""),16640.0)</f>
        <v>16640</v>
      </c>
      <c r="I7951" s="18">
        <f>IFERROR(__xludf.DUMMYFUNCTION("""COMPUTED_VALUE"""),4.0)</f>
        <v>4</v>
      </c>
      <c r="J7951" s="18">
        <f>IFERROR(__xludf.DUMMYFUNCTION("""COMPUTED_VALUE"""),25.0)</f>
        <v>25</v>
      </c>
      <c r="K7951" s="18">
        <f>IFERROR(__xludf.DUMMYFUNCTION("""COMPUTED_VALUE"""),21.0)</f>
        <v>21</v>
      </c>
      <c r="L7951" s="17">
        <f>IFERROR(__xludf.DUMMYFUNCTION("""COMPUTED_VALUE"""),3.235844724E9)</f>
        <v>3235844724</v>
      </c>
      <c r="M7951" s="17"/>
      <c r="N7951" s="17"/>
      <c r="O7951" s="17"/>
      <c r="P7951" s="17" t="b">
        <f>IFERROR(__xludf.DUMMYFUNCTION("""COMPUTED_VALUE"""),TRUE)</f>
        <v>1</v>
      </c>
      <c r="Q7951" s="20">
        <f>IFERROR(__xludf.DUMMYFUNCTION("""COMPUTED_VALUE"""),45229.57268886574)</f>
        <v>45229.57269</v>
      </c>
      <c r="R7951" s="21" t="str">
        <f>IFERROR(__xludf.DUMMYFUNCTION("""COMPUTED_VALUE"""),"https://drive.google.com/file/d/1Bx67pMt_liBs_eM72VMNBS1LrAEBG2LY/view?usp=drivesdk")</f>
        <v>https://drive.google.com/file/d/1Bx67pMt_liBs_eM72VMNBS1LrAEBG2LY/view?usp=drivesdk</v>
      </c>
    </row>
    <row r="7952">
      <c r="A7952" s="15">
        <f>IFERROR(__xludf.DUMMYFUNCTION("""COMPUTED_VALUE"""),45225.0)</f>
        <v>45225</v>
      </c>
      <c r="B7952" s="16" t="str">
        <f>IFERROR(__xludf.DUMMYFUNCTION("""COMPUTED_VALUE"""),"Envia")</f>
        <v>Envia</v>
      </c>
      <c r="C7952" s="15" t="str">
        <f>IFERROR(__xludf.DUMMYFUNCTION("""COMPUTED_VALUE"""),"YOPAL")</f>
        <v>YOPAL</v>
      </c>
      <c r="D7952" s="15" t="str">
        <f>IFERROR(__xludf.DUMMYFUNCTION("""COMPUTED_VALUE"""),"BOGOTÁ")</f>
        <v>BOGOTÁ</v>
      </c>
      <c r="E7952" s="15" t="str">
        <f>IFERROR(__xludf.DUMMYFUNCTION("""COMPUTED_VALUE"""),"LINA PAOLA RAMIREZ GOMEZ - EVA MAZZITA")</f>
        <v>LINA PAOLA RAMIREZ GOMEZ - EVA MAZZITA</v>
      </c>
      <c r="F7952" s="17" t="str">
        <f>IFERROR(__xludf.DUMMYFUNCTION("""COMPUTED_VALUE"""),"Calle15#27a-21 / edificio Oregón apto 402 Barrio Los Helechos")</f>
        <v>Calle15#27a-21 / edificio Oregón apto 402 Barrio Los Helechos</v>
      </c>
      <c r="G7952" s="15" t="str">
        <f>IFERROR(__xludf.DUMMYFUNCTION("""COMPUTED_VALUE"""),"JENNY VIVIANA CARPINTERO VARGAS")</f>
        <v>JENNY VIVIANA CARPINTERO VARGAS</v>
      </c>
      <c r="H7952" s="16">
        <f>IFERROR(__xludf.DUMMYFUNCTION("""COMPUTED_VALUE"""),16693.0)</f>
        <v>16693</v>
      </c>
      <c r="I7952" s="17"/>
      <c r="J7952" s="17"/>
      <c r="K7952" s="17"/>
      <c r="L7952" s="17">
        <f>IFERROR(__xludf.DUMMYFUNCTION("""COMPUTED_VALUE"""),3.186319767E9)</f>
        <v>3186319767</v>
      </c>
      <c r="M7952" s="17"/>
      <c r="N7952" s="17"/>
      <c r="O7952" s="17"/>
      <c r="P7952" s="17" t="b">
        <f>IFERROR(__xludf.DUMMYFUNCTION("""COMPUTED_VALUE"""),FALSE)</f>
        <v>0</v>
      </c>
      <c r="Q7952" s="20" t="str">
        <f>IFERROR(__xludf.DUMMYFUNCTION("""COMPUTED_VALUE"""),"")</f>
        <v/>
      </c>
      <c r="R7952" s="21" t="str">
        <f>IFERROR(__xludf.DUMMYFUNCTION("""COMPUTED_VALUE"""),"https://drive.google.com/file/d/1iX6FKFhZ8OUptF3eol69lQS5Ay2pLsRu/view?usp=drivesdk")</f>
        <v>https://drive.google.com/file/d/1iX6FKFhZ8OUptF3eol69lQS5Ay2pLsRu/view?usp=drivesdk</v>
      </c>
    </row>
    <row r="7953">
      <c r="A7953" s="17" t="str">
        <f>IFERROR(__xludf.DUMMYFUNCTION("""COMPUTED_VALUE"""),"")</f>
        <v/>
      </c>
      <c r="B7953" s="17" t="str">
        <f>IFERROR(__xludf.DUMMYFUNCTION("""COMPUTED_VALUE"""),"")</f>
        <v/>
      </c>
      <c r="C7953" s="17" t="str">
        <f>IFERROR(__xludf.DUMMYFUNCTION("""COMPUTED_VALUE"""),"")</f>
        <v/>
      </c>
      <c r="D7953" s="17" t="str">
        <f>IFERROR(__xludf.DUMMYFUNCTION("""COMPUTED_VALUE"""),"")</f>
        <v/>
      </c>
      <c r="E7953" s="17" t="str">
        <f>IFERROR(__xludf.DUMMYFUNCTION("""COMPUTED_VALUE"""),"")</f>
        <v/>
      </c>
      <c r="F7953" s="17" t="str">
        <f>IFERROR(__xludf.DUMMYFUNCTION("""COMPUTED_VALUE"""),"")</f>
        <v/>
      </c>
      <c r="G7953" s="17" t="str">
        <f>IFERROR(__xludf.DUMMYFUNCTION("""COMPUTED_VALUE"""),"")</f>
        <v/>
      </c>
      <c r="H7953" s="17" t="str">
        <f>IFERROR(__xludf.DUMMYFUNCTION("""COMPUTED_VALUE"""),"")</f>
        <v/>
      </c>
      <c r="I7953" s="17" t="str">
        <f>IFERROR(__xludf.DUMMYFUNCTION("""COMPUTED_VALUE"""),"")</f>
        <v/>
      </c>
      <c r="J7953" s="17" t="str">
        <f>IFERROR(__xludf.DUMMYFUNCTION("""COMPUTED_VALUE"""),"")</f>
        <v/>
      </c>
      <c r="K7953" s="17" t="str">
        <f>IFERROR(__xludf.DUMMYFUNCTION("""COMPUTED_VALUE"""),"")</f>
        <v/>
      </c>
      <c r="L7953" s="17" t="str">
        <f>IFERROR(__xludf.DUMMYFUNCTION("""COMPUTED_VALUE"""),"")</f>
        <v/>
      </c>
      <c r="M7953" s="17" t="str">
        <f>IFERROR(__xludf.DUMMYFUNCTION("""COMPUTED_VALUE"""),"")</f>
        <v/>
      </c>
      <c r="N7953" s="17" t="str">
        <f>IFERROR(__xludf.DUMMYFUNCTION("""COMPUTED_VALUE"""),"")</f>
        <v/>
      </c>
      <c r="O7953" s="17" t="str">
        <f>IFERROR(__xludf.DUMMYFUNCTION("""COMPUTED_VALUE"""),"")</f>
        <v/>
      </c>
      <c r="P7953" s="17" t="str">
        <f>IFERROR(__xludf.DUMMYFUNCTION("""COMPUTED_VALUE"""),"")</f>
        <v/>
      </c>
      <c r="Q7953" s="17" t="str">
        <f>IFERROR(__xludf.DUMMYFUNCTION("""COMPUTED_VALUE"""),"")</f>
        <v/>
      </c>
      <c r="R7953" s="17" t="str">
        <f>IFERROR(__xludf.DUMMYFUNCTION("""COMPUTED_VALUE"""),"")</f>
        <v/>
      </c>
    </row>
    <row r="7954">
      <c r="A7954" s="15">
        <f>IFERROR(__xludf.DUMMYFUNCTION("""COMPUTED_VALUE"""),45225.0)</f>
        <v>45225</v>
      </c>
      <c r="B7954" s="16" t="str">
        <f>IFERROR(__xludf.DUMMYFUNCTION("""COMPUTED_VALUE"""),"Johanna Arango Barrera")</f>
        <v>Johanna Arango Barrera</v>
      </c>
      <c r="C7954" s="15" t="str">
        <f>IFERROR(__xludf.DUMMYFUNCTION("""COMPUTED_VALUE"""),"BUCARAMANGA")</f>
        <v>BUCARAMANGA</v>
      </c>
      <c r="D7954" s="15" t="str">
        <f>IFERROR(__xludf.DUMMYFUNCTION("""COMPUTED_VALUE"""),"BOGOTÁ")</f>
        <v>BOGOTÁ</v>
      </c>
      <c r="E7954" s="15" t="str">
        <f>IFERROR(__xludf.DUMMYFUNCTION("""COMPUTED_VALUE"""),"LINA PAOLA RAMIREZ GOMEZ - EVA MAZZITA")</f>
        <v>LINA PAOLA RAMIREZ GOMEZ - EVA MAZZITA</v>
      </c>
      <c r="F7954" s="17" t="str">
        <f>IFERROR(__xludf.DUMMYFUNCTION("""COMPUTED_VALUE"""),"Calle 34 28-60 / edificio Borealix apto 1401")</f>
        <v>Calle 34 28-60 / edificio Borealix apto 1401</v>
      </c>
      <c r="G7954" s="15" t="str">
        <f>IFERROR(__xludf.DUMMYFUNCTION("""COMPUTED_VALUE"""),"JACKELINE GAMARRA")</f>
        <v>JACKELINE GAMARRA</v>
      </c>
      <c r="H7954" s="16">
        <f>IFERROR(__xludf.DUMMYFUNCTION("""COMPUTED_VALUE"""),16700.0)</f>
        <v>16700</v>
      </c>
      <c r="I7954" s="17"/>
      <c r="J7954" s="17"/>
      <c r="K7954" s="17"/>
      <c r="L7954" s="17">
        <f>IFERROR(__xludf.DUMMYFUNCTION("""COMPUTED_VALUE"""),3.017594797E9)</f>
        <v>3017594797</v>
      </c>
      <c r="M7954" s="17"/>
      <c r="N7954" s="17"/>
      <c r="O7954" s="17"/>
      <c r="P7954" s="17" t="b">
        <f>IFERROR(__xludf.DUMMYFUNCTION("""COMPUTED_VALUE"""),TRUE)</f>
        <v>1</v>
      </c>
      <c r="Q7954" s="20">
        <f>IFERROR(__xludf.DUMMYFUNCTION("""COMPUTED_VALUE"""),45229.57268886574)</f>
        <v>45229.57269</v>
      </c>
      <c r="R7954" s="21" t="str">
        <f>IFERROR(__xludf.DUMMYFUNCTION("""COMPUTED_VALUE"""),"https://drive.google.com/file/d/1gtIH6XzUaLufWU4f7lQf4IRW4JKogBUq/view?usp=drivesdk")</f>
        <v>https://drive.google.com/file/d/1gtIH6XzUaLufWU4f7lQf4IRW4JKogBUq/view?usp=drivesdk</v>
      </c>
    </row>
    <row r="7955">
      <c r="A7955" s="15">
        <f>IFERROR(__xludf.DUMMYFUNCTION("""COMPUTED_VALUE"""),45225.0)</f>
        <v>45225</v>
      </c>
      <c r="B7955" s="16" t="str">
        <f>IFERROR(__xludf.DUMMYFUNCTION("""COMPUTED_VALUE"""),"Johanna Arango Barrera")</f>
        <v>Johanna Arango Barrera</v>
      </c>
      <c r="C7955" s="15" t="str">
        <f>IFERROR(__xludf.DUMMYFUNCTION("""COMPUTED_VALUE"""),"BUCARAMANGA")</f>
        <v>BUCARAMANGA</v>
      </c>
      <c r="D7955" s="15" t="str">
        <f>IFERROR(__xludf.DUMMYFUNCTION("""COMPUTED_VALUE"""),"BOGOTÁ")</f>
        <v>BOGOTÁ</v>
      </c>
      <c r="E7955" s="15" t="str">
        <f>IFERROR(__xludf.DUMMYFUNCTION("""COMPUTED_VALUE"""),"LINA PAOLA RAMIREZ GOMEZ - EVA MAZZITA")</f>
        <v>LINA PAOLA RAMIREZ GOMEZ - EVA MAZZITA</v>
      </c>
      <c r="F7955" s="17" t="str">
        <f>IFERROR(__xludf.DUMMYFUNCTION("""COMPUTED_VALUE"""),"Calle 64a # 17a-50 / BARRIO LA CEIBA")</f>
        <v>Calle 64a # 17a-50 / BARRIO LA CEIBA</v>
      </c>
      <c r="G7955" s="15" t="str">
        <f>IFERROR(__xludf.DUMMYFUNCTION("""COMPUTED_VALUE"""),"MARIA JOSE REYES")</f>
        <v>MARIA JOSE REYES</v>
      </c>
      <c r="H7955" s="16">
        <f>IFERROR(__xludf.DUMMYFUNCTION("""COMPUTED_VALUE"""),16702.0)</f>
        <v>16702</v>
      </c>
      <c r="I7955" s="17"/>
      <c r="J7955" s="17"/>
      <c r="K7955" s="17"/>
      <c r="L7955" s="17">
        <f>IFERROR(__xludf.DUMMYFUNCTION("""COMPUTED_VALUE"""),3.124206903E9)</f>
        <v>3124206903</v>
      </c>
      <c r="M7955" s="17"/>
      <c r="N7955" s="17"/>
      <c r="O7955" s="17"/>
      <c r="P7955" s="17" t="b">
        <f>IFERROR(__xludf.DUMMYFUNCTION("""COMPUTED_VALUE"""),FALSE)</f>
        <v>0</v>
      </c>
      <c r="Q7955" s="20" t="str">
        <f>IFERROR(__xludf.DUMMYFUNCTION("""COMPUTED_VALUE"""),"")</f>
        <v/>
      </c>
      <c r="R7955" s="21" t="str">
        <f>IFERROR(__xludf.DUMMYFUNCTION("""COMPUTED_VALUE"""),"https://drive.google.com/file/d/1WkdtEZyiawdERJXbYNKz6Lhl163EU6nk/view?usp=drivesdk")</f>
        <v>https://drive.google.com/file/d/1WkdtEZyiawdERJXbYNKz6Lhl163EU6nk/view?usp=drivesdk</v>
      </c>
    </row>
    <row r="7956">
      <c r="A7956" s="15">
        <f>IFERROR(__xludf.DUMMYFUNCTION("""COMPUTED_VALUE"""),45225.0)</f>
        <v>45225</v>
      </c>
      <c r="B7956" s="16" t="str">
        <f>IFERROR(__xludf.DUMMYFUNCTION("""COMPUTED_VALUE"""),"Johanna Arango Barrera")</f>
        <v>Johanna Arango Barrera</v>
      </c>
      <c r="C7956" s="15" t="str">
        <f>IFERROR(__xludf.DUMMYFUNCTION("""COMPUTED_VALUE"""),"BUCARAMANGA")</f>
        <v>BUCARAMANGA</v>
      </c>
      <c r="D7956" s="15" t="str">
        <f>IFERROR(__xludf.DUMMYFUNCTION("""COMPUTED_VALUE"""),"BOGOTÁ")</f>
        <v>BOGOTÁ</v>
      </c>
      <c r="E7956" s="15" t="str">
        <f>IFERROR(__xludf.DUMMYFUNCTION("""COMPUTED_VALUE"""),"LINA PAOLA RAMIREZ GOMEZ - EVA MAZZITA")</f>
        <v>LINA PAOLA RAMIREZ GOMEZ - EVA MAZZITA</v>
      </c>
      <c r="F7956" s="17" t="str">
        <f>IFERROR(__xludf.DUMMYFUNCTION("""COMPUTED_VALUE"""),"conjunto residencial prados de Santa bárbara - casa 19 / conjunto residencial prados de Santa bárbara - casa 19")</f>
        <v>conjunto residencial prados de Santa bárbara - casa 19 / conjunto residencial prados de Santa bárbara - casa 19</v>
      </c>
      <c r="G7956" s="15" t="str">
        <f>IFERROR(__xludf.DUMMYFUNCTION("""COMPUTED_VALUE"""),"JOHANNA AGUILAR")</f>
        <v>JOHANNA AGUILAR</v>
      </c>
      <c r="H7956" s="16">
        <f>IFERROR(__xludf.DUMMYFUNCTION("""COMPUTED_VALUE"""),16698.0)</f>
        <v>16698</v>
      </c>
      <c r="I7956" s="17"/>
      <c r="J7956" s="17"/>
      <c r="K7956" s="17"/>
      <c r="L7956" s="17">
        <f>IFERROR(__xludf.DUMMYFUNCTION("""COMPUTED_VALUE"""),3.044961629E9)</f>
        <v>3044961629</v>
      </c>
      <c r="M7956" s="17"/>
      <c r="N7956" s="17"/>
      <c r="O7956" s="17"/>
      <c r="P7956" s="17" t="b">
        <f>IFERROR(__xludf.DUMMYFUNCTION("""COMPUTED_VALUE"""),FALSE)</f>
        <v>0</v>
      </c>
      <c r="Q7956" s="20" t="str">
        <f>IFERROR(__xludf.DUMMYFUNCTION("""COMPUTED_VALUE"""),"")</f>
        <v/>
      </c>
      <c r="R7956" s="21" t="str">
        <f>IFERROR(__xludf.DUMMYFUNCTION("""COMPUTED_VALUE"""),"https://drive.google.com/file/d/1BBGihbyXkXdYXWDrMp0h5HOKGcA405lg/view?usp=drivesdk")</f>
        <v>https://drive.google.com/file/d/1BBGihbyXkXdYXWDrMp0h5HOKGcA405lg/view?usp=drivesdk</v>
      </c>
    </row>
    <row r="7957">
      <c r="A7957" s="15">
        <f>IFERROR(__xludf.DUMMYFUNCTION("""COMPUTED_VALUE"""),45225.0)</f>
        <v>45225</v>
      </c>
      <c r="B7957" s="16" t="str">
        <f>IFERROR(__xludf.DUMMYFUNCTION("""COMPUTED_VALUE"""),"Johanna Arango Barrera")</f>
        <v>Johanna Arango Barrera</v>
      </c>
      <c r="C7957" s="15" t="str">
        <f>IFERROR(__xludf.DUMMYFUNCTION("""COMPUTED_VALUE"""),"BUCARAMANGA")</f>
        <v>BUCARAMANGA</v>
      </c>
      <c r="D7957" s="15" t="str">
        <f>IFERROR(__xludf.DUMMYFUNCTION("""COMPUTED_VALUE"""),"BOGOTÁ")</f>
        <v>BOGOTÁ</v>
      </c>
      <c r="E7957" s="15" t="str">
        <f>IFERROR(__xludf.DUMMYFUNCTION("""COMPUTED_VALUE"""),"LINA PAOLA RAMIREZ GOMEZ - EVA MAZZITA")</f>
        <v>LINA PAOLA RAMIREZ GOMEZ - EVA MAZZITA</v>
      </c>
      <c r="F7957" s="17" t="str">
        <f>IFERROR(__xludf.DUMMYFUNCTION("""COMPUTED_VALUE"""),"cr 27 #84-18 / conjunto Terranova apto 804 torre 2 Diamante 2")</f>
        <v>cr 27 #84-18 / conjunto Terranova apto 804 torre 2 Diamante 2</v>
      </c>
      <c r="G7957" s="15" t="str">
        <f>IFERROR(__xludf.DUMMYFUNCTION("""COMPUTED_VALUE"""),"TATHIANA CAMACHO BECERRA")</f>
        <v>TATHIANA CAMACHO BECERRA</v>
      </c>
      <c r="H7957" s="16">
        <f>IFERROR(__xludf.DUMMYFUNCTION("""COMPUTED_VALUE"""),16699.0)</f>
        <v>16699</v>
      </c>
      <c r="I7957" s="17"/>
      <c r="J7957" s="17"/>
      <c r="K7957" s="17"/>
      <c r="L7957" s="17">
        <f>IFERROR(__xludf.DUMMYFUNCTION("""COMPUTED_VALUE"""),3.183934947E9)</f>
        <v>3183934947</v>
      </c>
      <c r="M7957" s="17"/>
      <c r="N7957" s="17"/>
      <c r="O7957" s="17"/>
      <c r="P7957" s="17" t="b">
        <f>IFERROR(__xludf.DUMMYFUNCTION("""COMPUTED_VALUE"""),FALSE)</f>
        <v>0</v>
      </c>
      <c r="Q7957" s="20" t="str">
        <f>IFERROR(__xludf.DUMMYFUNCTION("""COMPUTED_VALUE"""),"")</f>
        <v/>
      </c>
      <c r="R7957" s="21" t="str">
        <f>IFERROR(__xludf.DUMMYFUNCTION("""COMPUTED_VALUE"""),"https://drive.google.com/file/d/1ajrOp-4VO2nR0TFwUjqnE2c_6I39iiLE/view?usp=drivesdk")</f>
        <v>https://drive.google.com/file/d/1ajrOp-4VO2nR0TFwUjqnE2c_6I39iiLE/view?usp=drivesdk</v>
      </c>
    </row>
    <row r="7958">
      <c r="A7958" s="15">
        <f>IFERROR(__xludf.DUMMYFUNCTION("""COMPUTED_VALUE"""),45225.0)</f>
        <v>45225</v>
      </c>
      <c r="B7958" s="16" t="str">
        <f>IFERROR(__xludf.DUMMYFUNCTION("""COMPUTED_VALUE"""),"Johanna Arango Barrera")</f>
        <v>Johanna Arango Barrera</v>
      </c>
      <c r="C7958" s="15" t="str">
        <f>IFERROR(__xludf.DUMMYFUNCTION("""COMPUTED_VALUE"""),"BUCARAMANGA")</f>
        <v>BUCARAMANGA</v>
      </c>
      <c r="D7958" s="15" t="str">
        <f>IFERROR(__xludf.DUMMYFUNCTION("""COMPUTED_VALUE"""),"BOGOTÁ")</f>
        <v>BOGOTÁ</v>
      </c>
      <c r="E7958" s="15" t="str">
        <f>IFERROR(__xludf.DUMMYFUNCTION("""COMPUTED_VALUE"""),"LINA PAOLA RAMIREZ GOMEZ - EVA MAZZITA")</f>
        <v>LINA PAOLA RAMIREZ GOMEZ - EVA MAZZITA</v>
      </c>
      <c r="F7958" s="17" t="str">
        <f>IFERROR(__xludf.DUMMYFUNCTION("""COMPUTED_VALUE"""),"Cr 49#73a-62 / palmeras del cacique 2 casa 20")</f>
        <v>Cr 49#73a-62 / palmeras del cacique 2 casa 20</v>
      </c>
      <c r="G7958" s="15" t="str">
        <f>IFERROR(__xludf.DUMMYFUNCTION("""COMPUTED_VALUE"""),"LADY YAHIRA LESMES MANTILLA")</f>
        <v>LADY YAHIRA LESMES MANTILLA</v>
      </c>
      <c r="H7958" s="16">
        <f>IFERROR(__xludf.DUMMYFUNCTION("""COMPUTED_VALUE"""),16697.0)</f>
        <v>16697</v>
      </c>
      <c r="I7958" s="17"/>
      <c r="J7958" s="17"/>
      <c r="K7958" s="17"/>
      <c r="L7958" s="17">
        <f>IFERROR(__xludf.DUMMYFUNCTION("""COMPUTED_VALUE"""),3.177729567E9)</f>
        <v>3177729567</v>
      </c>
      <c r="M7958" s="17"/>
      <c r="N7958" s="17"/>
      <c r="O7958" s="17"/>
      <c r="P7958" s="17" t="b">
        <f>IFERROR(__xludf.DUMMYFUNCTION("""COMPUTED_VALUE"""),FALSE)</f>
        <v>0</v>
      </c>
      <c r="Q7958" s="20" t="str">
        <f>IFERROR(__xludf.DUMMYFUNCTION("""COMPUTED_VALUE"""),"")</f>
        <v/>
      </c>
      <c r="R7958" s="21" t="str">
        <f>IFERROR(__xludf.DUMMYFUNCTION("""COMPUTED_VALUE"""),"https://drive.google.com/file/d/1L-1p0if8sAnOJJOatZwyime3MlyptFNE/view?usp=drivesdk")</f>
        <v>https://drive.google.com/file/d/1L-1p0if8sAnOJJOatZwyime3MlyptFNE/view?usp=drivesdk</v>
      </c>
    </row>
    <row r="7959">
      <c r="A7959" s="15">
        <f>IFERROR(__xludf.DUMMYFUNCTION("""COMPUTED_VALUE"""),45225.0)</f>
        <v>45225</v>
      </c>
      <c r="B7959" s="16" t="str">
        <f>IFERROR(__xludf.DUMMYFUNCTION("""COMPUTED_VALUE"""),"Johanna Arango Barrera")</f>
        <v>Johanna Arango Barrera</v>
      </c>
      <c r="C7959" s="15" t="str">
        <f>IFERROR(__xludf.DUMMYFUNCTION("""COMPUTED_VALUE"""),"BUCARAMANGA")</f>
        <v>BUCARAMANGA</v>
      </c>
      <c r="D7959" s="15" t="str">
        <f>IFERROR(__xludf.DUMMYFUNCTION("""COMPUTED_VALUE"""),"BOGOTÁ")</f>
        <v>BOGOTÁ</v>
      </c>
      <c r="E7959" s="15" t="str">
        <f>IFERROR(__xludf.DUMMYFUNCTION("""COMPUTED_VALUE"""),"LINA PAOLA RAMIREZ GOMEZ - EVA MAZZITA")</f>
        <v>LINA PAOLA RAMIREZ GOMEZ - EVA MAZZITA</v>
      </c>
      <c r="F7959" s="17" t="str">
        <f>IFERROR(__xludf.DUMMYFUNCTION("""COMPUTED_VALUE"""),"CRA 19 No. 8 - 45 / TORRE 3 APTO 604 COMUNEROS")</f>
        <v>CRA 19 No. 8 - 45 / TORRE 3 APTO 604 COMUNEROS</v>
      </c>
      <c r="G7959" s="15" t="str">
        <f>IFERROR(__xludf.DUMMYFUNCTION("""COMPUTED_VALUE"""),"MAYRA FERNANDA LOZADA MOTTA")</f>
        <v>MAYRA FERNANDA LOZADA MOTTA</v>
      </c>
      <c r="H7959" s="16">
        <f>IFERROR(__xludf.DUMMYFUNCTION("""COMPUTED_VALUE"""),16695.0)</f>
        <v>16695</v>
      </c>
      <c r="I7959" s="17"/>
      <c r="J7959" s="17"/>
      <c r="K7959" s="17"/>
      <c r="L7959" s="17">
        <f>IFERROR(__xludf.DUMMYFUNCTION("""COMPUTED_VALUE"""),3.214080448E9)</f>
        <v>3214080448</v>
      </c>
      <c r="M7959" s="17"/>
      <c r="N7959" s="17"/>
      <c r="O7959" s="17"/>
      <c r="P7959" s="17" t="b">
        <f>IFERROR(__xludf.DUMMYFUNCTION("""COMPUTED_VALUE"""),FALSE)</f>
        <v>0</v>
      </c>
      <c r="Q7959" s="20" t="str">
        <f>IFERROR(__xludf.DUMMYFUNCTION("""COMPUTED_VALUE"""),"")</f>
        <v/>
      </c>
      <c r="R7959" s="21" t="str">
        <f>IFERROR(__xludf.DUMMYFUNCTION("""COMPUTED_VALUE"""),"https://drive.google.com/file/d/1cQLHNjAq8AISwljiTSb8JlQhbfiLTZ7N/view?usp=drivesdk")</f>
        <v>https://drive.google.com/file/d/1cQLHNjAq8AISwljiTSb8JlQhbfiLTZ7N/view?usp=drivesdk</v>
      </c>
    </row>
    <row r="7960">
      <c r="A7960" s="15">
        <f>IFERROR(__xludf.DUMMYFUNCTION("""COMPUTED_VALUE"""),45225.0)</f>
        <v>45225</v>
      </c>
      <c r="B7960" s="16" t="str">
        <f>IFERROR(__xludf.DUMMYFUNCTION("""COMPUTED_VALUE"""),"Johanna Arango Barrera")</f>
        <v>Johanna Arango Barrera</v>
      </c>
      <c r="C7960" s="15" t="str">
        <f>IFERROR(__xludf.DUMMYFUNCTION("""COMPUTED_VALUE"""),"BUCARAMANGA")</f>
        <v>BUCARAMANGA</v>
      </c>
      <c r="D7960" s="15" t="str">
        <f>IFERROR(__xludf.DUMMYFUNCTION("""COMPUTED_VALUE"""),"BOGOTÁ")</f>
        <v>BOGOTÁ</v>
      </c>
      <c r="E7960" s="15" t="str">
        <f>IFERROR(__xludf.DUMMYFUNCTION("""COMPUTED_VALUE"""),"LINA PAOLA RAMIREZ GOMEZ - EVA MAZZITA")</f>
        <v>LINA PAOLA RAMIREZ GOMEZ - EVA MAZZITA</v>
      </c>
      <c r="F7960" s="17" t="str">
        <f>IFERROR(__xludf.DUMMYFUNCTION("""COMPUTED_VALUE"""),"Cra 6 28-45 / apto 1703 edificio Girardot 628 BARRIO GIRARDOT")</f>
        <v>Cra 6 28-45 / apto 1703 edificio Girardot 628 BARRIO GIRARDOT</v>
      </c>
      <c r="G7960" s="15" t="str">
        <f>IFERROR(__xludf.DUMMYFUNCTION("""COMPUTED_VALUE"""),"MARIA VERONICA PARADA SANCHEZ")</f>
        <v>MARIA VERONICA PARADA SANCHEZ</v>
      </c>
      <c r="H7960" s="16">
        <f>IFERROR(__xludf.DUMMYFUNCTION("""COMPUTED_VALUE"""),16701.0)</f>
        <v>16701</v>
      </c>
      <c r="I7960" s="17"/>
      <c r="J7960" s="17"/>
      <c r="K7960" s="17"/>
      <c r="L7960" s="17">
        <f>IFERROR(__xludf.DUMMYFUNCTION("""COMPUTED_VALUE"""),3.162414833E9)</f>
        <v>3162414833</v>
      </c>
      <c r="M7960" s="17"/>
      <c r="N7960" s="17"/>
      <c r="O7960" s="17"/>
      <c r="P7960" s="17" t="b">
        <f>IFERROR(__xludf.DUMMYFUNCTION("""COMPUTED_VALUE"""),FALSE)</f>
        <v>0</v>
      </c>
      <c r="Q7960" s="20" t="str">
        <f>IFERROR(__xludf.DUMMYFUNCTION("""COMPUTED_VALUE"""),"")</f>
        <v/>
      </c>
      <c r="R7960" s="21" t="str">
        <f>IFERROR(__xludf.DUMMYFUNCTION("""COMPUTED_VALUE"""),"https://drive.google.com/file/d/1tb9xSqONz9GUhMs6-rdC9iUtDvf8-EI9/view?usp=drivesdk")</f>
        <v>https://drive.google.com/file/d/1tb9xSqONz9GUhMs6-rdC9iUtDvf8-EI9/view?usp=drivesdk</v>
      </c>
    </row>
    <row r="7961">
      <c r="A7961" s="15">
        <f>IFERROR(__xludf.DUMMYFUNCTION("""COMPUTED_VALUE"""),45225.0)</f>
        <v>45225</v>
      </c>
      <c r="B7961" s="16" t="str">
        <f>IFERROR(__xludf.DUMMYFUNCTION("""COMPUTED_VALUE"""),"Johanna Arango Barrera")</f>
        <v>Johanna Arango Barrera</v>
      </c>
      <c r="C7961" s="15" t="str">
        <f>IFERROR(__xludf.DUMMYFUNCTION("""COMPUTED_VALUE"""),"BUCARAMANGA")</f>
        <v>BUCARAMANGA</v>
      </c>
      <c r="D7961" s="15" t="str">
        <f>IFERROR(__xludf.DUMMYFUNCTION("""COMPUTED_VALUE"""),"BOGOTÁ")</f>
        <v>BOGOTÁ</v>
      </c>
      <c r="E7961" s="15" t="str">
        <f>IFERROR(__xludf.DUMMYFUNCTION("""COMPUTED_VALUE"""),"LINA PAOLA RAMIREZ GOMEZ - EVA MAZZITA")</f>
        <v>LINA PAOLA RAMIREZ GOMEZ - EVA MAZZITA</v>
      </c>
      <c r="F7961" s="17" t="str">
        <f>IFERROR(__xludf.DUMMYFUNCTION("""COMPUTED_VALUE"""),"Transversal Oriental # 90-223 / Torre 3 Apto 711 Frente al Cacique al lado de la pista de Atletismo")</f>
        <v>Transversal Oriental # 90-223 / Torre 3 Apto 711 Frente al Cacique al lado de la pista de Atletismo</v>
      </c>
      <c r="G7961" s="15" t="str">
        <f>IFERROR(__xludf.DUMMYFUNCTION("""COMPUTED_VALUE"""),"ASTRID SERRANO")</f>
        <v>ASTRID SERRANO</v>
      </c>
      <c r="H7961" s="16">
        <f>IFERROR(__xludf.DUMMYFUNCTION("""COMPUTED_VALUE"""),16696.0)</f>
        <v>16696</v>
      </c>
      <c r="I7961" s="17"/>
      <c r="J7961" s="17"/>
      <c r="K7961" s="17"/>
      <c r="L7961" s="17">
        <f>IFERROR(__xludf.DUMMYFUNCTION("""COMPUTED_VALUE"""),3.004420245E9)</f>
        <v>3004420245</v>
      </c>
      <c r="M7961" s="17"/>
      <c r="N7961" s="17"/>
      <c r="O7961" s="17"/>
      <c r="P7961" s="17" t="b">
        <f>IFERROR(__xludf.DUMMYFUNCTION("""COMPUTED_VALUE"""),FALSE)</f>
        <v>0</v>
      </c>
      <c r="Q7961" s="20" t="str">
        <f>IFERROR(__xludf.DUMMYFUNCTION("""COMPUTED_VALUE"""),"")</f>
        <v/>
      </c>
      <c r="R7961" s="21" t="str">
        <f>IFERROR(__xludf.DUMMYFUNCTION("""COMPUTED_VALUE"""),"https://drive.google.com/file/d/1JkVnfN2b0ufigHqa368cbq3o1oGzzZQE/view?usp=drivesdk")</f>
        <v>https://drive.google.com/file/d/1JkVnfN2b0ufigHqa368cbq3o1oGzzZQE/view?usp=drivesdk</v>
      </c>
    </row>
    <row r="7962">
      <c r="A7962" s="15">
        <f>IFERROR(__xludf.DUMMYFUNCTION("""COMPUTED_VALUE"""),45225.0)</f>
        <v>45225</v>
      </c>
      <c r="B7962" s="16" t="str">
        <f>IFERROR(__xludf.DUMMYFUNCTION("""COMPUTED_VALUE"""),"Johanna Arango Barrera")</f>
        <v>Johanna Arango Barrera</v>
      </c>
      <c r="C7962" s="15" t="str">
        <f>IFERROR(__xludf.DUMMYFUNCTION("""COMPUTED_VALUE"""),"BUCARAMANGA")</f>
        <v>BUCARAMANGA</v>
      </c>
      <c r="D7962" s="15" t="str">
        <f>IFERROR(__xludf.DUMMYFUNCTION("""COMPUTED_VALUE"""),"BOGOTÁ")</f>
        <v>BOGOTÁ</v>
      </c>
      <c r="E7962" s="15" t="str">
        <f>IFERROR(__xludf.DUMMYFUNCTION("""COMPUTED_VALUE"""),"Pan de Waffle")</f>
        <v>Pan de Waffle</v>
      </c>
      <c r="F7962" s="17" t="str">
        <f>IFERROR(__xludf.DUMMYFUNCTION("""COMPUTED_VALUE"""),"Carrera 31 # 50 - 27 / Carrera 31 # 50 - 27 / Carrera 31 # 50 - 27")</f>
        <v>Carrera 31 # 50 - 27 / Carrera 31 # 50 - 27 / Carrera 31 # 50 - 27</v>
      </c>
      <c r="G7962" s="15" t="str">
        <f>IFERROR(__xludf.DUMMYFUNCTION("""COMPUTED_VALUE"""),"FOODOLOGY")</f>
        <v>FOODOLOGY</v>
      </c>
      <c r="H7962" s="16">
        <f>IFERROR(__xludf.DUMMYFUNCTION("""COMPUTED_VALUE"""),16648.0)</f>
        <v>16648</v>
      </c>
      <c r="I7962" s="18">
        <f>IFERROR(__xludf.DUMMYFUNCTION("""COMPUTED_VALUE"""),40.0)</f>
        <v>40</v>
      </c>
      <c r="J7962" s="18">
        <f>IFERROR(__xludf.DUMMYFUNCTION("""COMPUTED_VALUE"""),30.0)</f>
        <v>30</v>
      </c>
      <c r="K7962" s="18">
        <f>IFERROR(__xludf.DUMMYFUNCTION("""COMPUTED_VALUE"""),40.0)</f>
        <v>40</v>
      </c>
      <c r="L7962" s="17">
        <f>IFERROR(__xludf.DUMMYFUNCTION("""COMPUTED_VALUE"""),3.017001909E9)</f>
        <v>3017001909</v>
      </c>
      <c r="M7962" s="17"/>
      <c r="N7962" s="17"/>
      <c r="O7962" s="17"/>
      <c r="P7962" s="17" t="b">
        <f>IFERROR(__xludf.DUMMYFUNCTION("""COMPUTED_VALUE"""),FALSE)</f>
        <v>0</v>
      </c>
      <c r="Q7962" s="20" t="str">
        <f>IFERROR(__xludf.DUMMYFUNCTION("""COMPUTED_VALUE"""),"")</f>
        <v/>
      </c>
      <c r="R7962" s="21" t="str">
        <f>IFERROR(__xludf.DUMMYFUNCTION("""COMPUTED_VALUE"""),"https://drive.google.com/file/d/1e_Lc_69kLs1OANJpGL9OBo5xe63k8dmG/view?usp=drivesdk")</f>
        <v>https://drive.google.com/file/d/1e_Lc_69kLs1OANJpGL9OBo5xe63k8dmG/view?usp=drivesdk</v>
      </c>
    </row>
    <row r="7963">
      <c r="A7963" s="15">
        <f>IFERROR(__xludf.DUMMYFUNCTION("""COMPUTED_VALUE"""),45225.0)</f>
        <v>45225</v>
      </c>
      <c r="B7963" s="16" t="str">
        <f>IFERROR(__xludf.DUMMYFUNCTION("""COMPUTED_VALUE"""),"Johanna Arango Barrera")</f>
        <v>Johanna Arango Barrera</v>
      </c>
      <c r="C7963" s="15" t="str">
        <f>IFERROR(__xludf.DUMMYFUNCTION("""COMPUTED_VALUE"""),"CÚCUTA")</f>
        <v>CÚCUTA</v>
      </c>
      <c r="D7963" s="15" t="str">
        <f>IFERROR(__xludf.DUMMYFUNCTION("""COMPUTED_VALUE"""),"BOGOTÁ")</f>
        <v>BOGOTÁ</v>
      </c>
      <c r="E7963" s="15" t="str">
        <f>IFERROR(__xludf.DUMMYFUNCTION("""COMPUTED_VALUE"""),"Athenas")</f>
        <v>Athenas</v>
      </c>
      <c r="F7963" s="17" t="str">
        <f>IFERROR(__xludf.DUMMYFUNCTION("""COMPUTED_VALUE"""),"CALLE 11 #2E-10 CAOBOS L 301 / CUCUTA NORTE DE SANTANDER BODYTECH- CAFETERIA / CAOBOS")</f>
        <v>CALLE 11 #2E-10 CAOBOS L 301 / CUCUTA NORTE DE SANTANDER BODYTECH- CAFETERIA / CAOBOS</v>
      </c>
      <c r="G7963" s="15" t="str">
        <f>IFERROR(__xludf.DUMMYFUNCTION("""COMPUTED_VALUE"""),"JENIFER RODRIGUEZ")</f>
        <v>JENIFER RODRIGUEZ</v>
      </c>
      <c r="H7963" s="16">
        <f>IFERROR(__xludf.DUMMYFUNCTION("""COMPUTED_VALUE"""),16529.0)</f>
        <v>16529</v>
      </c>
      <c r="I7963" s="18">
        <f>IFERROR(__xludf.DUMMYFUNCTION("""COMPUTED_VALUE"""),29.0)</f>
        <v>29</v>
      </c>
      <c r="J7963" s="18">
        <f>IFERROR(__xludf.DUMMYFUNCTION("""COMPUTED_VALUE"""),55.0)</f>
        <v>55</v>
      </c>
      <c r="K7963" s="18">
        <f>IFERROR(__xludf.DUMMYFUNCTION("""COMPUTED_VALUE"""),45.0)</f>
        <v>45</v>
      </c>
      <c r="L7963" s="17">
        <f>IFERROR(__xludf.DUMMYFUNCTION("""COMPUTED_VALUE"""),3.166748316E9)</f>
        <v>3166748316</v>
      </c>
      <c r="M7963" s="17"/>
      <c r="N7963" s="17"/>
      <c r="O7963" s="17"/>
      <c r="P7963" s="17" t="b">
        <f>IFERROR(__xludf.DUMMYFUNCTION("""COMPUTED_VALUE"""),FALSE)</f>
        <v>0</v>
      </c>
      <c r="Q7963" s="20" t="str">
        <f>IFERROR(__xludf.DUMMYFUNCTION("""COMPUTED_VALUE"""),"")</f>
        <v/>
      </c>
      <c r="R7963" s="21" t="str">
        <f>IFERROR(__xludf.DUMMYFUNCTION("""COMPUTED_VALUE"""),"https://drive.google.com/file/d/1DYxST5GYTokDCqCr3bhOgOFC75G5F87K/view?usp=drivesdk")</f>
        <v>https://drive.google.com/file/d/1DYxST5GYTokDCqCr3bhOgOFC75G5F87K/view?usp=drivesdk</v>
      </c>
    </row>
    <row r="7964">
      <c r="A7964" s="15">
        <f>IFERROR(__xludf.DUMMYFUNCTION("""COMPUTED_VALUE"""),45225.0)</f>
        <v>45225</v>
      </c>
      <c r="B7964" s="16" t="str">
        <f>IFERROR(__xludf.DUMMYFUNCTION("""COMPUTED_VALUE"""),"Johanna Arango Barrera")</f>
        <v>Johanna Arango Barrera</v>
      </c>
      <c r="C7964" s="15" t="str">
        <f>IFERROR(__xludf.DUMMYFUNCTION("""COMPUTED_VALUE"""),"FLORIDABLANCA")</f>
        <v>FLORIDABLANCA</v>
      </c>
      <c r="D7964" s="15" t="str">
        <f>IFERROR(__xludf.DUMMYFUNCTION("""COMPUTED_VALUE"""),"BOGOTÁ")</f>
        <v>BOGOTÁ</v>
      </c>
      <c r="E7964" s="15" t="str">
        <f>IFERROR(__xludf.DUMMYFUNCTION("""COMPUTED_VALUE"""),"LINA PAOLA RAMIREZ GOMEZ - EVA MAZZITA")</f>
        <v>LINA PAOLA RAMIREZ GOMEZ - EVA MAZZITA</v>
      </c>
      <c r="F7964" s="17" t="str">
        <f>IFERROR(__xludf.DUMMYFUNCTION("""COMPUTED_VALUE"""),"CLL 31 # 24 68 / TORRE 1 APTO 503")</f>
        <v>CLL 31 # 24 68 / TORRE 1 APTO 503</v>
      </c>
      <c r="G7964" s="15" t="str">
        <f>IFERROR(__xludf.DUMMYFUNCTION("""COMPUTED_VALUE"""),"LEIDY JOHANA SANCHEZ RINCON")</f>
        <v>LEIDY JOHANA SANCHEZ RINCON</v>
      </c>
      <c r="H7964" s="16">
        <f>IFERROR(__xludf.DUMMYFUNCTION("""COMPUTED_VALUE"""),16703.0)</f>
        <v>16703</v>
      </c>
      <c r="I7964" s="17"/>
      <c r="J7964" s="17"/>
      <c r="K7964" s="17"/>
      <c r="L7964" s="17">
        <f>IFERROR(__xludf.DUMMYFUNCTION("""COMPUTED_VALUE"""),3.005906904E9)</f>
        <v>3005906904</v>
      </c>
      <c r="M7964" s="17"/>
      <c r="N7964" s="17"/>
      <c r="O7964" s="17"/>
      <c r="P7964" s="17" t="b">
        <f>IFERROR(__xludf.DUMMYFUNCTION("""COMPUTED_VALUE"""),FALSE)</f>
        <v>0</v>
      </c>
      <c r="Q7964" s="20" t="str">
        <f>IFERROR(__xludf.DUMMYFUNCTION("""COMPUTED_VALUE"""),"")</f>
        <v/>
      </c>
      <c r="R7964" s="21" t="str">
        <f>IFERROR(__xludf.DUMMYFUNCTION("""COMPUTED_VALUE"""),"https://drive.google.com/file/d/1gdN8SXXcPSbSoZlAMIclSEVWEbigSQ4h/view?usp=drivesdk")</f>
        <v>https://drive.google.com/file/d/1gdN8SXXcPSbSoZlAMIclSEVWEbigSQ4h/view?usp=drivesdk</v>
      </c>
    </row>
    <row r="7965">
      <c r="A7965" s="15">
        <f>IFERROR(__xludf.DUMMYFUNCTION("""COMPUTED_VALUE"""),45225.0)</f>
        <v>45225</v>
      </c>
      <c r="B7965" s="16" t="str">
        <f>IFERROR(__xludf.DUMMYFUNCTION("""COMPUTED_VALUE"""),"Johanna Arango Barrera")</f>
        <v>Johanna Arango Barrera</v>
      </c>
      <c r="C7965" s="15" t="str">
        <f>IFERROR(__xludf.DUMMYFUNCTION("""COMPUTED_VALUE"""),"FLORIDABLANCA")</f>
        <v>FLORIDABLANCA</v>
      </c>
      <c r="D7965" s="15" t="str">
        <f>IFERROR(__xludf.DUMMYFUNCTION("""COMPUTED_VALUE"""),"BOGOTÁ")</f>
        <v>BOGOTÁ</v>
      </c>
      <c r="E7965" s="15" t="str">
        <f>IFERROR(__xludf.DUMMYFUNCTION("""COMPUTED_VALUE"""),"LINA PAOLA RAMIREZ GOMEZ - EVA MAZZITA")</f>
        <v>LINA PAOLA RAMIREZ GOMEZ - EVA MAZZITA</v>
      </c>
      <c r="F7965" s="17" t="str">
        <f>IFERROR(__xludf.DUMMYFUNCTION("""COMPUTED_VALUE"""),"CRA 21 No. 152 - 30 / TORRE 22 APTO 101 C.R. PARQUE SAN AGUSTIN BARRIO PALOMITAS")</f>
        <v>CRA 21 No. 152 - 30 / TORRE 22 APTO 101 C.R. PARQUE SAN AGUSTIN BARRIO PALOMITAS</v>
      </c>
      <c r="G7965" s="15" t="str">
        <f>IFERROR(__xludf.DUMMYFUNCTION("""COMPUTED_VALUE"""),"RUTH HERNANDEZ JAIMES")</f>
        <v>RUTH HERNANDEZ JAIMES</v>
      </c>
      <c r="H7965" s="16">
        <f>IFERROR(__xludf.DUMMYFUNCTION("""COMPUTED_VALUE"""),16704.0)</f>
        <v>16704</v>
      </c>
      <c r="I7965" s="17"/>
      <c r="J7965" s="17"/>
      <c r="K7965" s="17"/>
      <c r="L7965" s="17">
        <f>IFERROR(__xludf.DUMMYFUNCTION("""COMPUTED_VALUE"""),3.204995602E9)</f>
        <v>3204995602</v>
      </c>
      <c r="M7965" s="17"/>
      <c r="N7965" s="17"/>
      <c r="O7965" s="17"/>
      <c r="P7965" s="17" t="b">
        <f>IFERROR(__xludf.DUMMYFUNCTION("""COMPUTED_VALUE"""),FALSE)</f>
        <v>0</v>
      </c>
      <c r="Q7965" s="20" t="str">
        <f>IFERROR(__xludf.DUMMYFUNCTION("""COMPUTED_VALUE"""),"")</f>
        <v/>
      </c>
      <c r="R7965" s="21" t="str">
        <f>IFERROR(__xludf.DUMMYFUNCTION("""COMPUTED_VALUE"""),"https://drive.google.com/file/d/1otrkebZPpeCVAJ21Kt7b2luiWbgVAEPC/view?usp=drivesdk")</f>
        <v>https://drive.google.com/file/d/1otrkebZPpeCVAJ21Kt7b2luiWbgVAEPC/view?usp=drivesdk</v>
      </c>
    </row>
    <row r="7966">
      <c r="A7966" s="15">
        <f>IFERROR(__xludf.DUMMYFUNCTION("""COMPUTED_VALUE"""),45225.0)</f>
        <v>45225</v>
      </c>
      <c r="B7966" s="16" t="str">
        <f>IFERROR(__xludf.DUMMYFUNCTION("""COMPUTED_VALUE"""),"Johanna Arango Barrera")</f>
        <v>Johanna Arango Barrera</v>
      </c>
      <c r="C7966" s="15" t="str">
        <f>IFERROR(__xludf.DUMMYFUNCTION("""COMPUTED_VALUE"""),"FLORIDABLANCA")</f>
        <v>FLORIDABLANCA</v>
      </c>
      <c r="D7966" s="15" t="str">
        <f>IFERROR(__xludf.DUMMYFUNCTION("""COMPUTED_VALUE"""),"BOGOTÁ")</f>
        <v>BOGOTÁ</v>
      </c>
      <c r="E7966" s="15" t="str">
        <f>IFERROR(__xludf.DUMMYFUNCTION("""COMPUTED_VALUE"""),"LINA PAOLA RAMIREZ GOMEZ - EVA MAZZITA")</f>
        <v>LINA PAOLA RAMIREZ GOMEZ - EVA MAZZITA</v>
      </c>
      <c r="F7966" s="17" t="str">
        <f>IFERROR(__xludf.DUMMYFUNCTION("""COMPUTED_VALUE"""),"Transversal 25No 1-92 / torres 1 apto 305 Colina Ruitoque Floridablanca")</f>
        <v>Transversal 25No 1-92 / torres 1 apto 305 Colina Ruitoque Floridablanca</v>
      </c>
      <c r="G7966" s="15" t="str">
        <f>IFERROR(__xludf.DUMMYFUNCTION("""COMPUTED_VALUE"""),"LILIANA VELASQUEZ TORRES")</f>
        <v>LILIANA VELASQUEZ TORRES</v>
      </c>
      <c r="H7966" s="16">
        <f>IFERROR(__xludf.DUMMYFUNCTION("""COMPUTED_VALUE"""),16706.0)</f>
        <v>16706</v>
      </c>
      <c r="I7966" s="17"/>
      <c r="J7966" s="17"/>
      <c r="K7966" s="17"/>
      <c r="L7966" s="17">
        <f>IFERROR(__xludf.DUMMYFUNCTION("""COMPUTED_VALUE"""),3.002651032E9)</f>
        <v>3002651032</v>
      </c>
      <c r="M7966" s="17"/>
      <c r="N7966" s="17"/>
      <c r="O7966" s="17"/>
      <c r="P7966" s="17" t="b">
        <f>IFERROR(__xludf.DUMMYFUNCTION("""COMPUTED_VALUE"""),TRUE)</f>
        <v>1</v>
      </c>
      <c r="Q7966" s="20">
        <f>IFERROR(__xludf.DUMMYFUNCTION("""COMPUTED_VALUE"""),45229.57268886574)</f>
        <v>45229.57269</v>
      </c>
      <c r="R7966" s="21" t="str">
        <f>IFERROR(__xludf.DUMMYFUNCTION("""COMPUTED_VALUE"""),"https://drive.google.com/file/d/1XJopFP2BYxbI2nIOjhSZrmbvX8Xmc7A0/view?usp=drivesdk")</f>
        <v>https://drive.google.com/file/d/1XJopFP2BYxbI2nIOjhSZrmbvX8Xmc7A0/view?usp=drivesdk</v>
      </c>
    </row>
    <row r="7967">
      <c r="A7967" s="15">
        <f>IFERROR(__xludf.DUMMYFUNCTION("""COMPUTED_VALUE"""),45225.0)</f>
        <v>45225</v>
      </c>
      <c r="B7967" s="16" t="str">
        <f>IFERROR(__xludf.DUMMYFUNCTION("""COMPUTED_VALUE"""),"Johanna Arango Barrera")</f>
        <v>Johanna Arango Barrera</v>
      </c>
      <c r="C7967" s="15" t="str">
        <f>IFERROR(__xludf.DUMMYFUNCTION("""COMPUTED_VALUE"""),"FLORIDABLANCA")</f>
        <v>FLORIDABLANCA</v>
      </c>
      <c r="D7967" s="15" t="str">
        <f>IFERROR(__xludf.DUMMYFUNCTION("""COMPUTED_VALUE"""),"MEDELLÍN")</f>
        <v>MEDELLÍN</v>
      </c>
      <c r="E7967" s="15" t="str">
        <f>IFERROR(__xludf.DUMMYFUNCTION("""COMPUTED_VALUE"""),"Helados swip")</f>
        <v>Helados swip</v>
      </c>
      <c r="F7967" s="17" t="str">
        <f>IFERROR(__xludf.DUMMYFUNCTION("""COMPUTED_VALUE"""),"CALLE 33 # 26-25 / AL LADO DE DROGAS PAGUE MENOS  / AL LADO DE DROGAS PAGUE MENOS")</f>
        <v>CALLE 33 # 26-25 / AL LADO DE DROGAS PAGUE MENOS  / AL LADO DE DROGAS PAGUE MENOS</v>
      </c>
      <c r="G7967" s="15" t="str">
        <f>IFERROR(__xludf.DUMMYFUNCTION("""COMPUTED_VALUE"""),"MULTIFIT")</f>
        <v>MULTIFIT</v>
      </c>
      <c r="H7967" s="16">
        <f>IFERROR(__xludf.DUMMYFUNCTION("""COMPUTED_VALUE"""),16656.0)</f>
        <v>16656</v>
      </c>
      <c r="I7967" s="18">
        <f>IFERROR(__xludf.DUMMYFUNCTION("""COMPUTED_VALUE"""),29.0)</f>
        <v>29</v>
      </c>
      <c r="J7967" s="18">
        <f>IFERROR(__xludf.DUMMYFUNCTION("""COMPUTED_VALUE"""),55.0)</f>
        <v>55</v>
      </c>
      <c r="K7967" s="18">
        <f>IFERROR(__xludf.DUMMYFUNCTION("""COMPUTED_VALUE"""),45.0)</f>
        <v>45</v>
      </c>
      <c r="L7967" s="17">
        <f>IFERROR(__xludf.DUMMYFUNCTION("""COMPUTED_VALUE"""),3.158785729E9)</f>
        <v>3158785729</v>
      </c>
      <c r="M7967" s="17"/>
      <c r="N7967" s="17"/>
      <c r="O7967" s="17"/>
      <c r="P7967" s="17" t="b">
        <f>IFERROR(__xludf.DUMMYFUNCTION("""COMPUTED_VALUE"""),FALSE)</f>
        <v>0</v>
      </c>
      <c r="Q7967" s="20" t="str">
        <f>IFERROR(__xludf.DUMMYFUNCTION("""COMPUTED_VALUE"""),"")</f>
        <v/>
      </c>
      <c r="R7967" s="21" t="str">
        <f>IFERROR(__xludf.DUMMYFUNCTION("""COMPUTED_VALUE"""),"https://drive.google.com/file/d/1K8cFgTh873BMpzS14v66QqVxVEncAsE9/view?usp=drivesdk")</f>
        <v>https://drive.google.com/file/d/1K8cFgTh873BMpzS14v66QqVxVEncAsE9/view?usp=drivesdk</v>
      </c>
    </row>
    <row r="7968">
      <c r="A7968" s="15">
        <f>IFERROR(__xludf.DUMMYFUNCTION("""COMPUTED_VALUE"""),45225.0)</f>
        <v>45225</v>
      </c>
      <c r="B7968" s="16" t="str">
        <f>IFERROR(__xludf.DUMMYFUNCTION("""COMPUTED_VALUE"""),"Johanna Arango Barrera")</f>
        <v>Johanna Arango Barrera</v>
      </c>
      <c r="C7968" s="15" t="str">
        <f>IFERROR(__xludf.DUMMYFUNCTION("""COMPUTED_VALUE"""),"GIRÓN")</f>
        <v>GIRÓN</v>
      </c>
      <c r="D7968" s="15" t="str">
        <f>IFERROR(__xludf.DUMMYFUNCTION("""COMPUTED_VALUE"""),"BOGOTÁ")</f>
        <v>BOGOTÁ</v>
      </c>
      <c r="E7968" s="15" t="str">
        <f>IFERROR(__xludf.DUMMYFUNCTION("""COMPUTED_VALUE"""),"LINA PAOLA RAMIREZ GOMEZ - EVA MAZZITA")</f>
        <v>LINA PAOLA RAMIREZ GOMEZ - EVA MAZZITA</v>
      </c>
      <c r="F7968" s="17" t="str">
        <f>IFERROR(__xludf.DUMMYFUNCTION("""COMPUTED_VALUE"""),"Cra 11 c # 11 03 / puerto viento torre 4 apto 805 prados de Cataluña")</f>
        <v>Cra 11 c # 11 03 / puerto viento torre 4 apto 805 prados de Cataluña</v>
      </c>
      <c r="G7968" s="15" t="str">
        <f>IFERROR(__xludf.DUMMYFUNCTION("""COMPUTED_VALUE"""),"BELKIS ROCIO GAMBOA AGUDELO")</f>
        <v>BELKIS ROCIO GAMBOA AGUDELO</v>
      </c>
      <c r="H7968" s="16">
        <f>IFERROR(__xludf.DUMMYFUNCTION("""COMPUTED_VALUE"""),16707.0)</f>
        <v>16707</v>
      </c>
      <c r="I7968" s="17"/>
      <c r="J7968" s="17"/>
      <c r="K7968" s="17"/>
      <c r="L7968" s="17">
        <f>IFERROR(__xludf.DUMMYFUNCTION("""COMPUTED_VALUE"""),3.004212712E9)</f>
        <v>3004212712</v>
      </c>
      <c r="M7968" s="17"/>
      <c r="N7968" s="17"/>
      <c r="O7968" s="17"/>
      <c r="P7968" s="17" t="b">
        <f>IFERROR(__xludf.DUMMYFUNCTION("""COMPUTED_VALUE"""),FALSE)</f>
        <v>0</v>
      </c>
      <c r="Q7968" s="20" t="str">
        <f>IFERROR(__xludf.DUMMYFUNCTION("""COMPUTED_VALUE"""),"")</f>
        <v/>
      </c>
      <c r="R7968" s="21" t="str">
        <f>IFERROR(__xludf.DUMMYFUNCTION("""COMPUTED_VALUE"""),"https://drive.google.com/file/d/1rTgor3XCFKv-6RWk86w-W0Qx8lqxv9WK/view?usp=drivesdk")</f>
        <v>https://drive.google.com/file/d/1rTgor3XCFKv-6RWk86w-W0Qx8lqxv9WK/view?usp=drivesdk</v>
      </c>
    </row>
    <row r="7969">
      <c r="A7969" s="15">
        <f>IFERROR(__xludf.DUMMYFUNCTION("""COMPUTED_VALUE"""),45225.0)</f>
        <v>45225</v>
      </c>
      <c r="B7969" s="16" t="str">
        <f>IFERROR(__xludf.DUMMYFUNCTION("""COMPUTED_VALUE"""),"Johanna Arango Barrera")</f>
        <v>Johanna Arango Barrera</v>
      </c>
      <c r="C7969" s="15" t="str">
        <f>IFERROR(__xludf.DUMMYFUNCTION("""COMPUTED_VALUE"""),"PEREIRA")</f>
        <v>PEREIRA</v>
      </c>
      <c r="D7969" s="15" t="str">
        <f>IFERROR(__xludf.DUMMYFUNCTION("""COMPUTED_VALUE"""),"MEDELLÍN")</f>
        <v>MEDELLÍN</v>
      </c>
      <c r="E7969" s="15" t="str">
        <f>IFERROR(__xludf.DUMMYFUNCTION("""COMPUTED_VALUE"""),"Tres Trigos")</f>
        <v>Tres Trigos</v>
      </c>
      <c r="F7969" s="17" t="str">
        <f>IFERROR(__xludf.DUMMYFUNCTION("""COMPUTED_VALUE"""),"Carrera 8 # 19 - 41 CC Bolivar Plaza / Local 226 / Cafe Il Cafesino Local")</f>
        <v>Carrera 8 # 19 - 41 CC Bolivar Plaza / Local 226 / Cafe Il Cafesino Local</v>
      </c>
      <c r="G7969" s="15" t="str">
        <f>IFERROR(__xludf.DUMMYFUNCTION("""COMPUTED_VALUE"""),"IL CAFESINO")</f>
        <v>IL CAFESINO</v>
      </c>
      <c r="H7969" s="16">
        <f>IFERROR(__xludf.DUMMYFUNCTION("""COMPUTED_VALUE"""),16588.0)</f>
        <v>16588</v>
      </c>
      <c r="I7969" s="18">
        <f>IFERROR(__xludf.DUMMYFUNCTION("""COMPUTED_VALUE"""),18.0)</f>
        <v>18</v>
      </c>
      <c r="J7969" s="18">
        <f>IFERROR(__xludf.DUMMYFUNCTION("""COMPUTED_VALUE"""),35.0)</f>
        <v>35</v>
      </c>
      <c r="K7969" s="18">
        <f>IFERROR(__xludf.DUMMYFUNCTION("""COMPUTED_VALUE"""),45.0)</f>
        <v>45</v>
      </c>
      <c r="L7969" s="17">
        <f>IFERROR(__xludf.DUMMYFUNCTION("""COMPUTED_VALUE"""),3.106458682E9)</f>
        <v>3106458682</v>
      </c>
      <c r="M7969" s="17"/>
      <c r="N7969" s="17"/>
      <c r="O7969" s="17"/>
      <c r="P7969" s="17" t="b">
        <f>IFERROR(__xludf.DUMMYFUNCTION("""COMPUTED_VALUE"""),FALSE)</f>
        <v>0</v>
      </c>
      <c r="Q7969" s="20" t="str">
        <f>IFERROR(__xludf.DUMMYFUNCTION("""COMPUTED_VALUE"""),"")</f>
        <v/>
      </c>
      <c r="R7969" s="21" t="str">
        <f>IFERROR(__xludf.DUMMYFUNCTION("""COMPUTED_VALUE"""),"https://drive.google.com/file/d/1aKsRz-ARyddpO-_e_BYHUsI9kN9OrVhf/view?usp=drivesdk")</f>
        <v>https://drive.google.com/file/d/1aKsRz-ARyddpO-_e_BYHUsI9kN9OrVhf/view?usp=drivesdk</v>
      </c>
    </row>
    <row r="7970">
      <c r="A7970" s="17" t="str">
        <f>IFERROR(__xludf.DUMMYFUNCTION("""COMPUTED_VALUE"""),"")</f>
        <v/>
      </c>
      <c r="B7970" s="17" t="str">
        <f>IFERROR(__xludf.DUMMYFUNCTION("""COMPUTED_VALUE"""),"")</f>
        <v/>
      </c>
      <c r="C7970" s="17" t="str">
        <f>IFERROR(__xludf.DUMMYFUNCTION("""COMPUTED_VALUE"""),"")</f>
        <v/>
      </c>
      <c r="D7970" s="17" t="str">
        <f>IFERROR(__xludf.DUMMYFUNCTION("""COMPUTED_VALUE"""),"")</f>
        <v/>
      </c>
      <c r="E7970" s="17" t="str">
        <f>IFERROR(__xludf.DUMMYFUNCTION("""COMPUTED_VALUE"""),"")</f>
        <v/>
      </c>
      <c r="F7970" s="17" t="str">
        <f>IFERROR(__xludf.DUMMYFUNCTION("""COMPUTED_VALUE"""),"")</f>
        <v/>
      </c>
      <c r="G7970" s="17" t="str">
        <f>IFERROR(__xludf.DUMMYFUNCTION("""COMPUTED_VALUE"""),"")</f>
        <v/>
      </c>
      <c r="H7970" s="17" t="str">
        <f>IFERROR(__xludf.DUMMYFUNCTION("""COMPUTED_VALUE"""),"")</f>
        <v/>
      </c>
      <c r="I7970" s="17" t="str">
        <f>IFERROR(__xludf.DUMMYFUNCTION("""COMPUTED_VALUE"""),"")</f>
        <v/>
      </c>
      <c r="J7970" s="17" t="str">
        <f>IFERROR(__xludf.DUMMYFUNCTION("""COMPUTED_VALUE"""),"")</f>
        <v/>
      </c>
      <c r="K7970" s="17" t="str">
        <f>IFERROR(__xludf.DUMMYFUNCTION("""COMPUTED_VALUE"""),"")</f>
        <v/>
      </c>
      <c r="L7970" s="17" t="str">
        <f>IFERROR(__xludf.DUMMYFUNCTION("""COMPUTED_VALUE"""),"")</f>
        <v/>
      </c>
      <c r="M7970" s="17" t="str">
        <f>IFERROR(__xludf.DUMMYFUNCTION("""COMPUTED_VALUE"""),"")</f>
        <v/>
      </c>
      <c r="N7970" s="17" t="str">
        <f>IFERROR(__xludf.DUMMYFUNCTION("""COMPUTED_VALUE"""),"")</f>
        <v/>
      </c>
      <c r="O7970" s="17" t="str">
        <f>IFERROR(__xludf.DUMMYFUNCTION("""COMPUTED_VALUE"""),"")</f>
        <v/>
      </c>
      <c r="P7970" s="17" t="str">
        <f>IFERROR(__xludf.DUMMYFUNCTION("""COMPUTED_VALUE"""),"")</f>
        <v/>
      </c>
      <c r="Q7970" s="17" t="str">
        <f>IFERROR(__xludf.DUMMYFUNCTION("""COMPUTED_VALUE"""),"")</f>
        <v/>
      </c>
      <c r="R7970" s="17" t="str">
        <f>IFERROR(__xludf.DUMMYFUNCTION("""COMPUTED_VALUE"""),"")</f>
        <v/>
      </c>
    </row>
    <row r="7971">
      <c r="A7971" s="15">
        <f>IFERROR(__xludf.DUMMYFUNCTION("""COMPUTED_VALUE"""),45225.0)</f>
        <v>45225</v>
      </c>
      <c r="B7971" s="16" t="str">
        <f>IFERROR(__xludf.DUMMYFUNCTION("""COMPUTED_VALUE"""),"Orlando Urdaneta Rincon ")</f>
        <v>Orlando Urdaneta Rincon </v>
      </c>
      <c r="C7971" s="15" t="str">
        <f>IFERROR(__xludf.DUMMYFUNCTION("""COMPUTED_VALUE"""),"NEIVA")</f>
        <v>NEIVA</v>
      </c>
      <c r="D7971" s="15" t="str">
        <f>IFERROR(__xludf.DUMMYFUNCTION("""COMPUTED_VALUE"""),"MEDELLÍN")</f>
        <v>MEDELLÍN</v>
      </c>
      <c r="E7971" s="15" t="str">
        <f>IFERROR(__xludf.DUMMYFUNCTION("""COMPUTED_VALUE"""),"Baby Chef")</f>
        <v>Baby Chef</v>
      </c>
      <c r="F7971" s="17" t="str">
        <f>IFERROR(__xludf.DUMMYFUNCTION("""COMPUTED_VALUE"""),"Avenida 26 # 31 - 68 bloque 6 apto 301 conjunto santa clara barrio cambulos Neiva Huila   / . / .")</f>
        <v>Avenida 26 # 31 - 68 bloque 6 apto 301 conjunto santa clara barrio cambulos Neiva Huila   / . / .</v>
      </c>
      <c r="G7971" s="15" t="str">
        <f>IFERROR(__xludf.DUMMYFUNCTION("""COMPUTED_VALUE"""),"Diana torres rivera")</f>
        <v>Diana torres rivera</v>
      </c>
      <c r="H7971" s="16">
        <f>IFERROR(__xludf.DUMMYFUNCTION("""COMPUTED_VALUE"""),16623.0)</f>
        <v>16623</v>
      </c>
      <c r="I7971" s="18">
        <f>IFERROR(__xludf.DUMMYFUNCTION("""COMPUTED_VALUE"""),9.0)</f>
        <v>9</v>
      </c>
      <c r="J7971" s="18">
        <f>IFERROR(__xludf.DUMMYFUNCTION("""COMPUTED_VALUE"""),33.0)</f>
        <v>33</v>
      </c>
      <c r="K7971" s="18">
        <f>IFERROR(__xludf.DUMMYFUNCTION("""COMPUTED_VALUE"""),21.0)</f>
        <v>21</v>
      </c>
      <c r="L7971" s="17">
        <f>IFERROR(__xludf.DUMMYFUNCTION("""COMPUTED_VALUE"""),3.186937781E9)</f>
        <v>3186937781</v>
      </c>
      <c r="M7971" s="17"/>
      <c r="N7971" s="17"/>
      <c r="O7971" s="17"/>
      <c r="P7971" s="17" t="b">
        <f>IFERROR(__xludf.DUMMYFUNCTION("""COMPUTED_VALUE"""),FALSE)</f>
        <v>0</v>
      </c>
      <c r="Q7971" s="20" t="str">
        <f>IFERROR(__xludf.DUMMYFUNCTION("""COMPUTED_VALUE"""),"")</f>
        <v/>
      </c>
      <c r="R7971" s="21" t="str">
        <f>IFERROR(__xludf.DUMMYFUNCTION("""COMPUTED_VALUE"""),"https://drive.google.com/file/d/1Qgj4YK7fPWUaG0kVGOuedITkK2hFWU9J/view?usp=drivesdk")</f>
        <v>https://drive.google.com/file/d/1Qgj4YK7fPWUaG0kVGOuedITkK2hFWU9J/view?usp=drivesdk</v>
      </c>
    </row>
    <row r="7972">
      <c r="A7972" s="15">
        <f>IFERROR(__xludf.DUMMYFUNCTION("""COMPUTED_VALUE"""),45225.0)</f>
        <v>45225</v>
      </c>
      <c r="B7972" s="16" t="str">
        <f>IFERROR(__xludf.DUMMYFUNCTION("""COMPUTED_VALUE"""),"Orlando Urdaneta Rincon ")</f>
        <v>Orlando Urdaneta Rincon </v>
      </c>
      <c r="C7972" s="15" t="str">
        <f>IFERROR(__xludf.DUMMYFUNCTION("""COMPUTED_VALUE"""),"SANTA MARTA")</f>
        <v>SANTA MARTA</v>
      </c>
      <c r="D7972" s="15" t="str">
        <f>IFERROR(__xludf.DUMMYFUNCTION("""COMPUTED_VALUE"""),"BOGOTÁ")</f>
        <v>BOGOTÁ</v>
      </c>
      <c r="E7972" s="15" t="str">
        <f>IFERROR(__xludf.DUMMYFUNCTION("""COMPUTED_VALUE"""),"Instinto alimento vital")</f>
        <v>Instinto alimento vital</v>
      </c>
      <c r="F7972" s="17" t="str">
        <f>IFERROR(__xludf.DUMMYFUNCTION("""COMPUTED_VALUE"""),"CR 1 B 26 A 109 / EDIFICIO ALMIRANTE APT 501")</f>
        <v>CR 1 B 26 A 109 / EDIFICIO ALMIRANTE APT 501</v>
      </c>
      <c r="G7972" s="15" t="str">
        <f>IFERROR(__xludf.DUMMYFUNCTION("""COMPUTED_VALUE"""),"VERONICA GOMEZ DE ZUBIRIA")</f>
        <v>VERONICA GOMEZ DE ZUBIRIA</v>
      </c>
      <c r="H7972" s="16">
        <f>IFERROR(__xludf.DUMMYFUNCTION("""COMPUTED_VALUE"""),16685.0)</f>
        <v>16685</v>
      </c>
      <c r="I7972" s="17"/>
      <c r="J7972" s="17"/>
      <c r="K7972" s="17"/>
      <c r="L7972" s="17">
        <f>IFERROR(__xludf.DUMMYFUNCTION("""COMPUTED_VALUE"""),3.107893555E9)</f>
        <v>3107893555</v>
      </c>
      <c r="M7972" s="17"/>
      <c r="N7972" s="17"/>
      <c r="O7972" s="17"/>
      <c r="P7972" s="17" t="b">
        <f>IFERROR(__xludf.DUMMYFUNCTION("""COMPUTED_VALUE"""),FALSE)</f>
        <v>0</v>
      </c>
      <c r="Q7972" s="20" t="str">
        <f>IFERROR(__xludf.DUMMYFUNCTION("""COMPUTED_VALUE"""),"")</f>
        <v/>
      </c>
      <c r="R7972" s="21" t="str">
        <f>IFERROR(__xludf.DUMMYFUNCTION("""COMPUTED_VALUE"""),"https://drive.google.com/file/d/1yD5M22fda72f6_QOBvTf3M05h15k3jw4/view?usp=drivesdk")</f>
        <v>https://drive.google.com/file/d/1yD5M22fda72f6_QOBvTf3M05h15k3jw4/view?usp=drivesdk</v>
      </c>
    </row>
    <row r="7973">
      <c r="A7973" s="15">
        <f>IFERROR(__xludf.DUMMYFUNCTION("""COMPUTED_VALUE"""),45225.0)</f>
        <v>45225</v>
      </c>
      <c r="B7973" s="16" t="str">
        <f>IFERROR(__xludf.DUMMYFUNCTION("""COMPUTED_VALUE"""),"Orlando Urdaneta Rincon ")</f>
        <v>Orlando Urdaneta Rincon </v>
      </c>
      <c r="C7973" s="15" t="str">
        <f>IFERROR(__xludf.DUMMYFUNCTION("""COMPUTED_VALUE"""),"SANTA MARTA")</f>
        <v>SANTA MARTA</v>
      </c>
      <c r="D7973" s="15" t="str">
        <f>IFERROR(__xludf.DUMMYFUNCTION("""COMPUTED_VALUE"""),"BOGOTÁ")</f>
        <v>BOGOTÁ</v>
      </c>
      <c r="E7973" s="15" t="str">
        <f>IFERROR(__xludf.DUMMYFUNCTION("""COMPUTED_VALUE"""),"Loomifoods")</f>
        <v>Loomifoods</v>
      </c>
      <c r="F7973" s="17" t="str">
        <f>IFERROR(__xludf.DUMMYFUNCTION("""COMPUTED_VALUE"""),"Carrera 1 no 1 - 03  /  Edif cascadas apto 7a   / Rodadero santa marta")</f>
        <v>Carrera 1 no 1 - 03  /  Edif cascadas apto 7a   / Rodadero santa marta</v>
      </c>
      <c r="G7973" s="15" t="str">
        <f>IFERROR(__xludf.DUMMYFUNCTION("""COMPUTED_VALUE"""),"Carolina Murcia")</f>
        <v>Carolina Murcia</v>
      </c>
      <c r="H7973" s="16">
        <f>IFERROR(__xludf.DUMMYFUNCTION("""COMPUTED_VALUE"""),16545.0)</f>
        <v>16545</v>
      </c>
      <c r="I7973" s="18">
        <f>IFERROR(__xludf.DUMMYFUNCTION("""COMPUTED_VALUE"""),19.0)</f>
        <v>19</v>
      </c>
      <c r="J7973" s="18">
        <f>IFERROR(__xludf.DUMMYFUNCTION("""COMPUTED_VALUE"""),10.0)</f>
        <v>10</v>
      </c>
      <c r="K7973" s="18">
        <f>IFERROR(__xludf.DUMMYFUNCTION("""COMPUTED_VALUE"""),16.0)</f>
        <v>16</v>
      </c>
      <c r="L7973" s="17">
        <f>IFERROR(__xludf.DUMMYFUNCTION("""COMPUTED_VALUE"""),3.145790696E9)</f>
        <v>3145790696</v>
      </c>
      <c r="M7973" s="17"/>
      <c r="N7973" s="17"/>
      <c r="O7973" s="17"/>
      <c r="P7973" s="17" t="b">
        <f>IFERROR(__xludf.DUMMYFUNCTION("""COMPUTED_VALUE"""),FALSE)</f>
        <v>0</v>
      </c>
      <c r="Q7973" s="20" t="str">
        <f>IFERROR(__xludf.DUMMYFUNCTION("""COMPUTED_VALUE"""),"")</f>
        <v/>
      </c>
      <c r="R7973" s="21" t="str">
        <f>IFERROR(__xludf.DUMMYFUNCTION("""COMPUTED_VALUE"""),"https://drive.google.com/file/d/1Kg0BuVMkmdCzw13blOHY-SVA173IY36L/view?usp=drivesdk")</f>
        <v>https://drive.google.com/file/d/1Kg0BuVMkmdCzw13blOHY-SVA173IY36L/view?usp=drivesdk</v>
      </c>
    </row>
    <row r="7974">
      <c r="A7974" s="17" t="str">
        <f>IFERROR(__xludf.DUMMYFUNCTION("""COMPUTED_VALUE"""),"")</f>
        <v/>
      </c>
      <c r="B7974" s="17" t="str">
        <f>IFERROR(__xludf.DUMMYFUNCTION("""COMPUTED_VALUE"""),"")</f>
        <v/>
      </c>
      <c r="C7974" s="17" t="str">
        <f>IFERROR(__xludf.DUMMYFUNCTION("""COMPUTED_VALUE"""),"")</f>
        <v/>
      </c>
      <c r="D7974" s="17" t="str">
        <f>IFERROR(__xludf.DUMMYFUNCTION("""COMPUTED_VALUE"""),"")</f>
        <v/>
      </c>
      <c r="E7974" s="17" t="str">
        <f>IFERROR(__xludf.DUMMYFUNCTION("""COMPUTED_VALUE"""),"")</f>
        <v/>
      </c>
      <c r="F7974" s="17" t="str">
        <f>IFERROR(__xludf.DUMMYFUNCTION("""COMPUTED_VALUE"""),"")</f>
        <v/>
      </c>
      <c r="G7974" s="17" t="str">
        <f>IFERROR(__xludf.DUMMYFUNCTION("""COMPUTED_VALUE"""),"")</f>
        <v/>
      </c>
      <c r="H7974" s="17" t="str">
        <f>IFERROR(__xludf.DUMMYFUNCTION("""COMPUTED_VALUE"""),"")</f>
        <v/>
      </c>
      <c r="I7974" s="17" t="str">
        <f>IFERROR(__xludf.DUMMYFUNCTION("""COMPUTED_VALUE"""),"")</f>
        <v/>
      </c>
      <c r="J7974" s="17" t="str">
        <f>IFERROR(__xludf.DUMMYFUNCTION("""COMPUTED_VALUE"""),"")</f>
        <v/>
      </c>
      <c r="K7974" s="17" t="str">
        <f>IFERROR(__xludf.DUMMYFUNCTION("""COMPUTED_VALUE"""),"")</f>
        <v/>
      </c>
      <c r="L7974" s="17" t="str">
        <f>IFERROR(__xludf.DUMMYFUNCTION("""COMPUTED_VALUE"""),"")</f>
        <v/>
      </c>
      <c r="M7974" s="17" t="str">
        <f>IFERROR(__xludf.DUMMYFUNCTION("""COMPUTED_VALUE"""),"")</f>
        <v/>
      </c>
      <c r="N7974" s="17" t="str">
        <f>IFERROR(__xludf.DUMMYFUNCTION("""COMPUTED_VALUE"""),"")</f>
        <v/>
      </c>
      <c r="O7974" s="17" t="str">
        <f>IFERROR(__xludf.DUMMYFUNCTION("""COMPUTED_VALUE"""),"")</f>
        <v/>
      </c>
      <c r="P7974" s="17" t="str">
        <f>IFERROR(__xludf.DUMMYFUNCTION("""COMPUTED_VALUE"""),"")</f>
        <v/>
      </c>
      <c r="Q7974" s="17" t="str">
        <f>IFERROR(__xludf.DUMMYFUNCTION("""COMPUTED_VALUE"""),"")</f>
        <v/>
      </c>
      <c r="R7974" s="17" t="str">
        <f>IFERROR(__xludf.DUMMYFUNCTION("""COMPUTED_VALUE"""),"")</f>
        <v/>
      </c>
    </row>
    <row r="7975">
      <c r="A7975" s="15">
        <f>IFERROR(__xludf.DUMMYFUNCTION("""COMPUTED_VALUE"""),45226.0)</f>
        <v>45226</v>
      </c>
      <c r="B7975" s="16" t="str">
        <f>IFERROR(__xludf.DUMMYFUNCTION("""COMPUTED_VALUE"""),"Alvaro Chacón")</f>
        <v>Alvaro Chacón</v>
      </c>
      <c r="C7975" s="15" t="str">
        <f>IFERROR(__xludf.DUMMYFUNCTION("""COMPUTED_VALUE"""),"BOGOTÁ")</f>
        <v>BOGOTÁ</v>
      </c>
      <c r="D7975" s="15" t="str">
        <f>IFERROR(__xludf.DUMMYFUNCTION("""COMPUTED_VALUE"""),"MEDELLÍN")</f>
        <v>MEDELLÍN</v>
      </c>
      <c r="E7975" s="15" t="str">
        <f>IFERROR(__xludf.DUMMYFUNCTION("""COMPUTED_VALUE"""),"Baby Chef")</f>
        <v>Baby Chef</v>
      </c>
      <c r="F7975" s="17" t="str">
        <f>IFERROR(__xludf.DUMMYFUNCTION("""COMPUTED_VALUE"""),"carrera 71c # 54-17 apto 401 Barrio: Normandia 1 / . / .")</f>
        <v>carrera 71c # 54-17 apto 401 Barrio: Normandia 1 / . / .</v>
      </c>
      <c r="G7975" s="15" t="str">
        <f>IFERROR(__xludf.DUMMYFUNCTION("""COMPUTED_VALUE"""),"María Angélica Castaño")</f>
        <v>María Angélica Castaño</v>
      </c>
      <c r="H7975" s="16">
        <f>IFERROR(__xludf.DUMMYFUNCTION("""COMPUTED_VALUE"""),16729.0)</f>
        <v>16729</v>
      </c>
      <c r="I7975" s="18">
        <f>IFERROR(__xludf.DUMMYFUNCTION("""COMPUTED_VALUE"""),6.0)</f>
        <v>6</v>
      </c>
      <c r="J7975" s="18">
        <f>IFERROR(__xludf.DUMMYFUNCTION("""COMPUTED_VALUE"""),22.0)</f>
        <v>22</v>
      </c>
      <c r="K7975" s="18">
        <f>IFERROR(__xludf.DUMMYFUNCTION("""COMPUTED_VALUE"""),30.0)</f>
        <v>30</v>
      </c>
      <c r="L7975" s="17">
        <f>IFERROR(__xludf.DUMMYFUNCTION("""COMPUTED_VALUE"""),3.213767799E9)</f>
        <v>3213767799</v>
      </c>
      <c r="M7975" s="17"/>
      <c r="N7975" s="17"/>
      <c r="O7975" s="17"/>
      <c r="P7975" s="17" t="b">
        <f>IFERROR(__xludf.DUMMYFUNCTION("""COMPUTED_VALUE"""),FALSE)</f>
        <v>0</v>
      </c>
      <c r="Q7975" s="20" t="str">
        <f>IFERROR(__xludf.DUMMYFUNCTION("""COMPUTED_VALUE"""),"")</f>
        <v/>
      </c>
      <c r="R7975" s="21" t="str">
        <f>IFERROR(__xludf.DUMMYFUNCTION("""COMPUTED_VALUE"""),"https://drive.google.com/file/d/1AQ8w3_jDG_gwdlQ8Eaprggf4viM8FXfS/view?usp=drivesdk")</f>
        <v>https://drive.google.com/file/d/1AQ8w3_jDG_gwdlQ8Eaprggf4viM8FXfS/view?usp=drivesdk</v>
      </c>
    </row>
    <row r="7976">
      <c r="A7976" s="15">
        <f>IFERROR(__xludf.DUMMYFUNCTION("""COMPUTED_VALUE"""),45226.0)</f>
        <v>45226</v>
      </c>
      <c r="B7976" s="16" t="str">
        <f>IFERROR(__xludf.DUMMYFUNCTION("""COMPUTED_VALUE"""),"Alvaro Chacón")</f>
        <v>Alvaro Chacón</v>
      </c>
      <c r="C7976" s="15" t="str">
        <f>IFERROR(__xludf.DUMMYFUNCTION("""COMPUTED_VALUE"""),"BOGOTÁ")</f>
        <v>BOGOTÁ</v>
      </c>
      <c r="D7976" s="15" t="str">
        <f>IFERROR(__xludf.DUMMYFUNCTION("""COMPUTED_VALUE"""),"MEDELLÍN")</f>
        <v>MEDELLÍN</v>
      </c>
      <c r="E7976" s="15" t="str">
        <f>IFERROR(__xludf.DUMMYFUNCTION("""COMPUTED_VALUE"""),"Moloso S.A.S")</f>
        <v>Moloso S.A.S</v>
      </c>
      <c r="F7976" s="17" t="str">
        <f>IFERROR(__xludf.DUMMYFUNCTION("""COMPUTED_VALUE"""),"CL 23C 69B 56 TORRE 4 APT 804 CONJUNTO ALBORARIA / CONJUNTO ALBORARIA")</f>
        <v>CL 23C 69B 56 TORRE 4 APT 804 CONJUNTO ALBORARIA / CONJUNTO ALBORARIA</v>
      </c>
      <c r="G7976" s="15" t="str">
        <f>IFERROR(__xludf.DUMMYFUNCTION("""COMPUTED_VALUE"""),"CLAUDIA LILIANA SANCHEZ FINO")</f>
        <v>CLAUDIA LILIANA SANCHEZ FINO</v>
      </c>
      <c r="H7976" s="16">
        <f>IFERROR(__xludf.DUMMYFUNCTION("""COMPUTED_VALUE"""),16723.0)</f>
        <v>16723</v>
      </c>
      <c r="I7976" s="18">
        <f>IFERROR(__xludf.DUMMYFUNCTION("""COMPUTED_VALUE"""),17.0)</f>
        <v>17</v>
      </c>
      <c r="J7976" s="18">
        <f>IFERROR(__xludf.DUMMYFUNCTION("""COMPUTED_VALUE"""),15.0)</f>
        <v>15</v>
      </c>
      <c r="K7976" s="18">
        <f>IFERROR(__xludf.DUMMYFUNCTION("""COMPUTED_VALUE"""),28.0)</f>
        <v>28</v>
      </c>
      <c r="L7976" s="17" t="str">
        <f>IFERROR(__xludf.DUMMYFUNCTION("""COMPUTED_VALUE"""),"313 2626232")</f>
        <v>313 2626232</v>
      </c>
      <c r="M7976" s="17"/>
      <c r="N7976" s="17"/>
      <c r="O7976" s="17"/>
      <c r="P7976" s="17" t="b">
        <f>IFERROR(__xludf.DUMMYFUNCTION("""COMPUTED_VALUE"""),FALSE)</f>
        <v>0</v>
      </c>
      <c r="Q7976" s="20" t="str">
        <f>IFERROR(__xludf.DUMMYFUNCTION("""COMPUTED_VALUE"""),"")</f>
        <v/>
      </c>
      <c r="R7976" s="21" t="str">
        <f>IFERROR(__xludf.DUMMYFUNCTION("""COMPUTED_VALUE"""),"https://drive.google.com/file/d/1kSPVMCGVnPTGlcQi5X2jM82SPeCWwA__/view?usp=drivesdk")</f>
        <v>https://drive.google.com/file/d/1kSPVMCGVnPTGlcQi5X2jM82SPeCWwA__/view?usp=drivesdk</v>
      </c>
    </row>
    <row r="7977">
      <c r="A7977" s="15">
        <f>IFERROR(__xludf.DUMMYFUNCTION("""COMPUTED_VALUE"""),45226.0)</f>
        <v>45226</v>
      </c>
      <c r="B7977" s="16" t="str">
        <f>IFERROR(__xludf.DUMMYFUNCTION("""COMPUTED_VALUE"""),"Alvaro Chacón")</f>
        <v>Alvaro Chacón</v>
      </c>
      <c r="C7977" s="15" t="str">
        <f>IFERROR(__xludf.DUMMYFUNCTION("""COMPUTED_VALUE"""),"BOGOTÁ")</f>
        <v>BOGOTÁ</v>
      </c>
      <c r="D7977" s="15" t="str">
        <f>IFERROR(__xludf.DUMMYFUNCTION("""COMPUTED_VALUE"""),"MEDELLÍN")</f>
        <v>MEDELLÍN</v>
      </c>
      <c r="E7977" s="15" t="str">
        <f>IFERROR(__xludf.DUMMYFUNCTION("""COMPUTED_VALUE"""),"Moloso S.A.S")</f>
        <v>Moloso S.A.S</v>
      </c>
      <c r="F7977" s="17" t="str">
        <f>IFERROR(__xludf.DUMMYFUNCTION("""COMPUTED_VALUE"""),"CRA 18C 112 76 / APTO. 402")</f>
        <v>CRA 18C 112 76 / APTO. 402</v>
      </c>
      <c r="G7977" s="15" t="str">
        <f>IFERROR(__xludf.DUMMYFUNCTION("""COMPUTED_VALUE"""),"MARIA OCHOA MARTELO")</f>
        <v>MARIA OCHOA MARTELO</v>
      </c>
      <c r="H7977" s="16">
        <f>IFERROR(__xludf.DUMMYFUNCTION("""COMPUTED_VALUE"""),16724.0)</f>
        <v>16724</v>
      </c>
      <c r="I7977" s="18">
        <f>IFERROR(__xludf.DUMMYFUNCTION("""COMPUTED_VALUE"""),17.0)</f>
        <v>17</v>
      </c>
      <c r="J7977" s="18">
        <f>IFERROR(__xludf.DUMMYFUNCTION("""COMPUTED_VALUE"""),15.0)</f>
        <v>15</v>
      </c>
      <c r="K7977" s="18">
        <f>IFERROR(__xludf.DUMMYFUNCTION("""COMPUTED_VALUE"""),28.0)</f>
        <v>28</v>
      </c>
      <c r="L7977" s="17" t="str">
        <f>IFERROR(__xludf.DUMMYFUNCTION("""COMPUTED_VALUE"""),"301 7890418")</f>
        <v>301 7890418</v>
      </c>
      <c r="M7977" s="17"/>
      <c r="N7977" s="17"/>
      <c r="O7977" s="17"/>
      <c r="P7977" s="17" t="b">
        <f>IFERROR(__xludf.DUMMYFUNCTION("""COMPUTED_VALUE"""),FALSE)</f>
        <v>0</v>
      </c>
      <c r="Q7977" s="20" t="str">
        <f>IFERROR(__xludf.DUMMYFUNCTION("""COMPUTED_VALUE"""),"")</f>
        <v/>
      </c>
      <c r="R7977" s="21" t="str">
        <f>IFERROR(__xludf.DUMMYFUNCTION("""COMPUTED_VALUE"""),"https://drive.google.com/file/d/17EAE-ZXQJ3XJywCV5Gn8HiJhzdwGgS1C/view?usp=drivesdk")</f>
        <v>https://drive.google.com/file/d/17EAE-ZXQJ3XJywCV5Gn8HiJhzdwGgS1C/view?usp=drivesdk</v>
      </c>
    </row>
    <row r="7978">
      <c r="A7978" s="15">
        <f>IFERROR(__xludf.DUMMYFUNCTION("""COMPUTED_VALUE"""),45226.0)</f>
        <v>45226</v>
      </c>
      <c r="B7978" s="16" t="str">
        <f>IFERROR(__xludf.DUMMYFUNCTION("""COMPUTED_VALUE"""),"Alvaro Chacón")</f>
        <v>Alvaro Chacón</v>
      </c>
      <c r="C7978" s="15" t="str">
        <f>IFERROR(__xludf.DUMMYFUNCTION("""COMPUTED_VALUE"""),"BOGOTÁ")</f>
        <v>BOGOTÁ</v>
      </c>
      <c r="D7978" s="15" t="str">
        <f>IFERROR(__xludf.DUMMYFUNCTION("""COMPUTED_VALUE"""),"MEDELLÍN")</f>
        <v>MEDELLÍN</v>
      </c>
      <c r="E7978" s="15" t="str">
        <f>IFERROR(__xludf.DUMMYFUNCTION("""COMPUTED_VALUE"""),"Puro Verde")</f>
        <v>Puro Verde</v>
      </c>
      <c r="F7978" s="17" t="str">
        <f>IFERROR(__xludf.DUMMYFUNCTION("""COMPUTED_VALUE"""),"CRA 16A # 77-23.  / LOCAL 4 / BARRIO EL LAGO")</f>
        <v>CRA 16A # 77-23.  / LOCAL 4 / BARRIO EL LAGO</v>
      </c>
      <c r="G7978" s="15" t="str">
        <f>IFERROR(__xludf.DUMMYFUNCTION("""COMPUTED_VALUE"""),"DANDO CUERDA")</f>
        <v>DANDO CUERDA</v>
      </c>
      <c r="H7978" s="16">
        <f>IFERROR(__xludf.DUMMYFUNCTION("""COMPUTED_VALUE"""),16647.0)</f>
        <v>16647</v>
      </c>
      <c r="I7978" s="18">
        <f>IFERROR(__xludf.DUMMYFUNCTION("""COMPUTED_VALUE"""),55.0)</f>
        <v>55</v>
      </c>
      <c r="J7978" s="18">
        <f>IFERROR(__xludf.DUMMYFUNCTION("""COMPUTED_VALUE"""),45.0)</f>
        <v>45</v>
      </c>
      <c r="K7978" s="18" t="str">
        <f>IFERROR(__xludf.DUMMYFUNCTION("""COMPUTED_VALUE"""),"52.5")</f>
        <v>52.5</v>
      </c>
      <c r="L7978" s="17">
        <f>IFERROR(__xludf.DUMMYFUNCTION("""COMPUTED_VALUE"""),3.163816691E9)</f>
        <v>3163816691</v>
      </c>
      <c r="M7978" s="17"/>
      <c r="N7978" s="17"/>
      <c r="O7978" s="17"/>
      <c r="P7978" s="17" t="b">
        <f>IFERROR(__xludf.DUMMYFUNCTION("""COMPUTED_VALUE"""),FALSE)</f>
        <v>0</v>
      </c>
      <c r="Q7978" s="20" t="str">
        <f>IFERROR(__xludf.DUMMYFUNCTION("""COMPUTED_VALUE"""),"")</f>
        <v/>
      </c>
      <c r="R7978" s="21" t="str">
        <f>IFERROR(__xludf.DUMMYFUNCTION("""COMPUTED_VALUE"""),"https://drive.google.com/file/d/1HFnPRwdXm0n-vyX89c268ZbpBTDpBmbS/view?usp=drivesdk")</f>
        <v>https://drive.google.com/file/d/1HFnPRwdXm0n-vyX89c268ZbpBTDpBmbS/view?usp=drivesdk</v>
      </c>
    </row>
    <row r="7979">
      <c r="A7979" s="15">
        <f>IFERROR(__xludf.DUMMYFUNCTION("""COMPUTED_VALUE"""),45226.0)</f>
        <v>45226</v>
      </c>
      <c r="B7979" s="16" t="str">
        <f>IFERROR(__xludf.DUMMYFUNCTION("""COMPUTED_VALUE"""),"Alvaro Chacón")</f>
        <v>Alvaro Chacón</v>
      </c>
      <c r="C7979" s="15" t="str">
        <f>IFERROR(__xludf.DUMMYFUNCTION("""COMPUTED_VALUE"""),"BOGOTÁ")</f>
        <v>BOGOTÁ</v>
      </c>
      <c r="D7979" s="15" t="str">
        <f>IFERROR(__xludf.DUMMYFUNCTION("""COMPUTED_VALUE"""),"MEDELLÍN")</f>
        <v>MEDELLÍN</v>
      </c>
      <c r="E7979" s="15" t="str">
        <f>IFERROR(__xludf.DUMMYFUNCTION("""COMPUTED_VALUE"""),"Rambla")</f>
        <v>Rambla</v>
      </c>
      <c r="F7979" s="17" t="str">
        <f>IFERROR(__xludf.DUMMYFUNCTION("""COMPUTED_VALUE"""),"Cl. 93a #11-46, Barrio Chicó / - / -")</f>
        <v>Cl. 93a #11-46, Barrio Chicó / - / -</v>
      </c>
      <c r="G7979" s="15" t="str">
        <f>IFERROR(__xludf.DUMMYFUNCTION("""COMPUTED_VALUE"""),"Fit Hub")</f>
        <v>Fit Hub</v>
      </c>
      <c r="H7979" s="16">
        <f>IFERROR(__xludf.DUMMYFUNCTION("""COMPUTED_VALUE"""),16718.0)</f>
        <v>16718</v>
      </c>
      <c r="I7979" s="18">
        <f>IFERROR(__xludf.DUMMYFUNCTION("""COMPUTED_VALUE"""),28.0)</f>
        <v>28</v>
      </c>
      <c r="J7979" s="18">
        <f>IFERROR(__xludf.DUMMYFUNCTION("""COMPUTED_VALUE"""),29.0)</f>
        <v>29</v>
      </c>
      <c r="K7979" s="18">
        <f>IFERROR(__xludf.DUMMYFUNCTION("""COMPUTED_VALUE"""),29.0)</f>
        <v>29</v>
      </c>
      <c r="L7979" s="17">
        <f>IFERROR(__xludf.DUMMYFUNCTION("""COMPUTED_VALUE"""),3.015447307E9)</f>
        <v>3015447307</v>
      </c>
      <c r="M7979" s="17"/>
      <c r="N7979" s="17"/>
      <c r="O7979" s="17"/>
      <c r="P7979" s="17" t="b">
        <f>IFERROR(__xludf.DUMMYFUNCTION("""COMPUTED_VALUE"""),FALSE)</f>
        <v>0</v>
      </c>
      <c r="Q7979" s="20" t="str">
        <f>IFERROR(__xludf.DUMMYFUNCTION("""COMPUTED_VALUE"""),"")</f>
        <v/>
      </c>
      <c r="R7979" s="21" t="str">
        <f>IFERROR(__xludf.DUMMYFUNCTION("""COMPUTED_VALUE"""),"https://drive.google.com/file/d/1iGT_qInrJwDE3GnkYRs2pyWTQ4VOzlyU/view?usp=drivesdk")</f>
        <v>https://drive.google.com/file/d/1iGT_qInrJwDE3GnkYRs2pyWTQ4VOzlyU/view?usp=drivesdk</v>
      </c>
    </row>
    <row r="7980">
      <c r="A7980" s="15">
        <f>IFERROR(__xludf.DUMMYFUNCTION("""COMPUTED_VALUE"""),45226.0)</f>
        <v>45226</v>
      </c>
      <c r="B7980" s="16" t="str">
        <f>IFERROR(__xludf.DUMMYFUNCTION("""COMPUTED_VALUE"""),"Alvaro Chacón")</f>
        <v>Alvaro Chacón</v>
      </c>
      <c r="C7980" s="15" t="str">
        <f>IFERROR(__xludf.DUMMYFUNCTION("""COMPUTED_VALUE"""),"VALLEDUPAR")</f>
        <v>VALLEDUPAR</v>
      </c>
      <c r="D7980" s="15" t="str">
        <f>IFERROR(__xludf.DUMMYFUNCTION("""COMPUTED_VALUE"""),"BOGOTÁ")</f>
        <v>BOGOTÁ</v>
      </c>
      <c r="E7980" s="15" t="str">
        <f>IFERROR(__xludf.DUMMYFUNCTION("""COMPUTED_VALUE"""),"Top Spun")</f>
        <v>Top Spun</v>
      </c>
      <c r="F7980" s="17" t="str">
        <f>IFERROR(__xludf.DUMMYFUNCTION("""COMPUTED_VALUE"""),"Diagonal 10n Numero 22bis-163 / Conjunto Residencial Hiraca Casa 89  / Valledupar")</f>
        <v>Diagonal 10n Numero 22bis-163 / Conjunto Residencial Hiraca Casa 89  / Valledupar</v>
      </c>
      <c r="G7980" s="15" t="str">
        <f>IFERROR(__xludf.DUMMYFUNCTION("""COMPUTED_VALUE"""),"Diana Daza")</f>
        <v>Diana Daza</v>
      </c>
      <c r="H7980" s="16">
        <f>IFERROR(__xludf.DUMMYFUNCTION("""COMPUTED_VALUE"""),16641.0)</f>
        <v>16641</v>
      </c>
      <c r="I7980" s="18">
        <f>IFERROR(__xludf.DUMMYFUNCTION("""COMPUTED_VALUE"""),20.0)</f>
        <v>20</v>
      </c>
      <c r="J7980" s="18">
        <f>IFERROR(__xludf.DUMMYFUNCTION("""COMPUTED_VALUE"""),10.0)</f>
        <v>10</v>
      </c>
      <c r="K7980" s="18">
        <f>IFERROR(__xludf.DUMMYFUNCTION("""COMPUTED_VALUE"""),40.0)</f>
        <v>40</v>
      </c>
      <c r="L7980" s="17">
        <f>IFERROR(__xludf.DUMMYFUNCTION("""COMPUTED_VALUE"""),3.002123541E9)</f>
        <v>3002123541</v>
      </c>
      <c r="M7980" s="17"/>
      <c r="N7980" s="17"/>
      <c r="O7980" s="17"/>
      <c r="P7980" s="17" t="b">
        <f>IFERROR(__xludf.DUMMYFUNCTION("""COMPUTED_VALUE"""),FALSE)</f>
        <v>0</v>
      </c>
      <c r="Q7980" s="20" t="str">
        <f>IFERROR(__xludf.DUMMYFUNCTION("""COMPUTED_VALUE"""),"")</f>
        <v/>
      </c>
      <c r="R7980" s="22" t="str">
        <f>IFERROR(__xludf.DUMMYFUNCTION("""COMPUTED_VALUE"""),"")</f>
        <v/>
      </c>
    </row>
    <row r="7981">
      <c r="A7981" s="15">
        <f>IFERROR(__xludf.DUMMYFUNCTION("""COMPUTED_VALUE"""),45226.0)</f>
        <v>45226</v>
      </c>
      <c r="B7981" s="16" t="str">
        <f>IFERROR(__xludf.DUMMYFUNCTION("""COMPUTED_VALUE"""),"Alvaro Chacón")</f>
        <v>Alvaro Chacón</v>
      </c>
      <c r="C7981" s="15" t="str">
        <f>IFERROR(__xludf.DUMMYFUNCTION("""COMPUTED_VALUE"""),"VALLEDUPAR")</f>
        <v>VALLEDUPAR</v>
      </c>
      <c r="D7981" s="15" t="str">
        <f>IFERROR(__xludf.DUMMYFUNCTION("""COMPUTED_VALUE"""),"BOGOTÁ")</f>
        <v>BOGOTÁ</v>
      </c>
      <c r="E7981" s="15" t="str">
        <f>IFERROR(__xludf.DUMMYFUNCTION("""COMPUTED_VALUE"""),"Viiva Fermentados")</f>
        <v>Viiva Fermentados</v>
      </c>
      <c r="F7981" s="17" t="str">
        <f>IFERROR(__xludf.DUMMYFUNCTION("""COMPUTED_VALUE"""),"Diagonal 10N # 22Bis - 163  / Apto 401 / Conjunto Residencial Hiraca")</f>
        <v>Diagonal 10N # 22Bis - 163  / Apto 401 / Conjunto Residencial Hiraca</v>
      </c>
      <c r="G7981" s="15" t="str">
        <f>IFERROR(__xludf.DUMMYFUNCTION("""COMPUTED_VALUE"""),"Rosario Ochoa")</f>
        <v>Rosario Ochoa</v>
      </c>
      <c r="H7981" s="16">
        <f>IFERROR(__xludf.DUMMYFUNCTION("""COMPUTED_VALUE"""),16510.0)</f>
        <v>16510</v>
      </c>
      <c r="I7981" s="18">
        <f>IFERROR(__xludf.DUMMYFUNCTION("""COMPUTED_VALUE"""),27.0)</f>
        <v>27</v>
      </c>
      <c r="J7981" s="18">
        <f>IFERROR(__xludf.DUMMYFUNCTION("""COMPUTED_VALUE"""),18.0)</f>
        <v>18</v>
      </c>
      <c r="K7981" s="18">
        <f>IFERROR(__xludf.DUMMYFUNCTION("""COMPUTED_VALUE"""),18.0)</f>
        <v>18</v>
      </c>
      <c r="L7981" s="17">
        <f>IFERROR(__xludf.DUMMYFUNCTION("""COMPUTED_VALUE"""),3.022346431E9)</f>
        <v>3022346431</v>
      </c>
      <c r="M7981" s="17"/>
      <c r="N7981" s="17"/>
      <c r="O7981" s="17"/>
      <c r="P7981" s="17" t="b">
        <f>IFERROR(__xludf.DUMMYFUNCTION("""COMPUTED_VALUE"""),FALSE)</f>
        <v>0</v>
      </c>
      <c r="Q7981" s="20" t="str">
        <f>IFERROR(__xludf.DUMMYFUNCTION("""COMPUTED_VALUE"""),"")</f>
        <v/>
      </c>
      <c r="R7981" s="22" t="str">
        <f>IFERROR(__xludf.DUMMYFUNCTION("""COMPUTED_VALUE"""),"")</f>
        <v/>
      </c>
    </row>
    <row r="7982">
      <c r="A7982" s="17" t="str">
        <f>IFERROR(__xludf.DUMMYFUNCTION("""COMPUTED_VALUE"""),"")</f>
        <v/>
      </c>
      <c r="B7982" s="17" t="str">
        <f>IFERROR(__xludf.DUMMYFUNCTION("""COMPUTED_VALUE"""),"")</f>
        <v/>
      </c>
      <c r="C7982" s="17" t="str">
        <f>IFERROR(__xludf.DUMMYFUNCTION("""COMPUTED_VALUE"""),"")</f>
        <v/>
      </c>
      <c r="D7982" s="17" t="str">
        <f>IFERROR(__xludf.DUMMYFUNCTION("""COMPUTED_VALUE"""),"")</f>
        <v/>
      </c>
      <c r="E7982" s="17" t="str">
        <f>IFERROR(__xludf.DUMMYFUNCTION("""COMPUTED_VALUE"""),"")</f>
        <v/>
      </c>
      <c r="F7982" s="17" t="str">
        <f>IFERROR(__xludf.DUMMYFUNCTION("""COMPUTED_VALUE"""),"")</f>
        <v/>
      </c>
      <c r="G7982" s="17" t="str">
        <f>IFERROR(__xludf.DUMMYFUNCTION("""COMPUTED_VALUE"""),"")</f>
        <v/>
      </c>
      <c r="H7982" s="17" t="str">
        <f>IFERROR(__xludf.DUMMYFUNCTION("""COMPUTED_VALUE"""),"")</f>
        <v/>
      </c>
      <c r="I7982" s="17" t="str">
        <f>IFERROR(__xludf.DUMMYFUNCTION("""COMPUTED_VALUE"""),"")</f>
        <v/>
      </c>
      <c r="J7982" s="17" t="str">
        <f>IFERROR(__xludf.DUMMYFUNCTION("""COMPUTED_VALUE"""),"")</f>
        <v/>
      </c>
      <c r="K7982" s="17" t="str">
        <f>IFERROR(__xludf.DUMMYFUNCTION("""COMPUTED_VALUE"""),"")</f>
        <v/>
      </c>
      <c r="L7982" s="17" t="str">
        <f>IFERROR(__xludf.DUMMYFUNCTION("""COMPUTED_VALUE"""),"")</f>
        <v/>
      </c>
      <c r="M7982" s="17" t="str">
        <f>IFERROR(__xludf.DUMMYFUNCTION("""COMPUTED_VALUE"""),"")</f>
        <v/>
      </c>
      <c r="N7982" s="17" t="str">
        <f>IFERROR(__xludf.DUMMYFUNCTION("""COMPUTED_VALUE"""),"")</f>
        <v/>
      </c>
      <c r="O7982" s="17" t="str">
        <f>IFERROR(__xludf.DUMMYFUNCTION("""COMPUTED_VALUE"""),"")</f>
        <v/>
      </c>
      <c r="P7982" s="17" t="str">
        <f>IFERROR(__xludf.DUMMYFUNCTION("""COMPUTED_VALUE"""),"")</f>
        <v/>
      </c>
      <c r="Q7982" s="17" t="str">
        <f>IFERROR(__xludf.DUMMYFUNCTION("""COMPUTED_VALUE"""),"")</f>
        <v/>
      </c>
      <c r="R7982" s="17" t="str">
        <f>IFERROR(__xludf.DUMMYFUNCTION("""COMPUTED_VALUE"""),"")</f>
        <v/>
      </c>
    </row>
    <row r="7983">
      <c r="A7983" s="15">
        <f>IFERROR(__xludf.DUMMYFUNCTION("""COMPUTED_VALUE"""),45226.0)</f>
        <v>45226</v>
      </c>
      <c r="B7983" s="16" t="str">
        <f>IFERROR(__xludf.DUMMYFUNCTION("""COMPUTED_VALUE"""),"Angie Daniela Meneses ")</f>
        <v>Angie Daniela Meneses </v>
      </c>
      <c r="C7983" s="15" t="str">
        <f>IFERROR(__xludf.DUMMYFUNCTION("""COMPUTED_VALUE"""),"BARRANQUILLA")</f>
        <v>BARRANQUILLA</v>
      </c>
      <c r="D7983" s="15" t="str">
        <f>IFERROR(__xludf.DUMMYFUNCTION("""COMPUTED_VALUE"""),"MEDELLÍN")</f>
        <v>MEDELLÍN</v>
      </c>
      <c r="E7983" s="15" t="str">
        <f>IFERROR(__xludf.DUMMYFUNCTION("""COMPUTED_VALUE"""),"Rambla")</f>
        <v>Rambla</v>
      </c>
      <c r="F7983" s="17" t="str">
        <f>IFERROR(__xludf.DUMMYFUNCTION("""COMPUTED_VALUE"""),"Carrera 67 no 81-95 Barrio paraíso / - / -")</f>
        <v>Carrera 67 no 81-95 Barrio paraíso / - / -</v>
      </c>
      <c r="G7983" s="15" t="str">
        <f>IFERROR(__xludf.DUMMYFUNCTION("""COMPUTED_VALUE"""),"Santiago Arbelaez")</f>
        <v>Santiago Arbelaez</v>
      </c>
      <c r="H7983" s="16">
        <f>IFERROR(__xludf.DUMMYFUNCTION("""COMPUTED_VALUE"""),16679.0)</f>
        <v>16679</v>
      </c>
      <c r="I7983" s="18">
        <f>IFERROR(__xludf.DUMMYFUNCTION("""COMPUTED_VALUE"""),33.0)</f>
        <v>33</v>
      </c>
      <c r="J7983" s="18">
        <f>IFERROR(__xludf.DUMMYFUNCTION("""COMPUTED_VALUE"""),41.0)</f>
        <v>41</v>
      </c>
      <c r="K7983" s="18">
        <f>IFERROR(__xludf.DUMMYFUNCTION("""COMPUTED_VALUE"""),40.0)</f>
        <v>40</v>
      </c>
      <c r="L7983" s="17">
        <f>IFERROR(__xludf.DUMMYFUNCTION("""COMPUTED_VALUE"""),3.204749856E9)</f>
        <v>3204749856</v>
      </c>
      <c r="M7983" s="17"/>
      <c r="N7983" s="17"/>
      <c r="O7983" s="17"/>
      <c r="P7983" s="17" t="b">
        <f>IFERROR(__xludf.DUMMYFUNCTION("""COMPUTED_VALUE"""),FALSE)</f>
        <v>0</v>
      </c>
      <c r="Q7983" s="20" t="str">
        <f>IFERROR(__xludf.DUMMYFUNCTION("""COMPUTED_VALUE"""),"")</f>
        <v/>
      </c>
      <c r="R7983" s="21" t="str">
        <f>IFERROR(__xludf.DUMMYFUNCTION("""COMPUTED_VALUE"""),"https://drive.google.com/file/d/1OZuwWeYr-kS-X_yctOF1h-zbzi-sgeCk/view?usp=drivesdk")</f>
        <v>https://drive.google.com/file/d/1OZuwWeYr-kS-X_yctOF1h-zbzi-sgeCk/view?usp=drivesdk</v>
      </c>
    </row>
    <row r="7984">
      <c r="A7984" s="15">
        <f>IFERROR(__xludf.DUMMYFUNCTION("""COMPUTED_VALUE"""),45226.0)</f>
        <v>45226</v>
      </c>
      <c r="B7984" s="16" t="str">
        <f>IFERROR(__xludf.DUMMYFUNCTION("""COMPUTED_VALUE"""),"Angie Daniela Meneses ")</f>
        <v>Angie Daniela Meneses </v>
      </c>
      <c r="C7984" s="15" t="str">
        <f>IFERROR(__xludf.DUMMYFUNCTION("""COMPUTED_VALUE"""),"MANIZALES")</f>
        <v>MANIZALES</v>
      </c>
      <c r="D7984" s="15" t="str">
        <f>IFERROR(__xludf.DUMMYFUNCTION("""COMPUTED_VALUE"""),"BOGOTÁ")</f>
        <v>BOGOTÁ</v>
      </c>
      <c r="E7984" s="15" t="str">
        <f>IFERROR(__xludf.DUMMYFUNCTION("""COMPUTED_VALUE"""),"Chalupo")</f>
        <v>Chalupo</v>
      </c>
      <c r="F7984" s="17" t="str">
        <f>IFERROR(__xludf.DUMMYFUNCTION("""COMPUTED_VALUE"""),"Av. Alberto Mendoza # 81C- 52  / edificio Mirador del trebol apto 1201 B / El trébol")</f>
        <v>Av. Alberto Mendoza # 81C- 52  / edificio Mirador del trebol apto 1201 B / El trébol</v>
      </c>
      <c r="G7984" s="15" t="str">
        <f>IFERROR(__xludf.DUMMYFUNCTION("""COMPUTED_VALUE"""),"Juliana Jiménez Gómez")</f>
        <v>Juliana Jiménez Gómez</v>
      </c>
      <c r="H7984" s="16">
        <f>IFERROR(__xludf.DUMMYFUNCTION("""COMPUTED_VALUE"""),16653.0)</f>
        <v>16653</v>
      </c>
      <c r="I7984" s="18">
        <f>IFERROR(__xludf.DUMMYFUNCTION("""COMPUTED_VALUE"""),21.0)</f>
        <v>21</v>
      </c>
      <c r="J7984" s="18">
        <f>IFERROR(__xludf.DUMMYFUNCTION("""COMPUTED_VALUE"""),30.0)</f>
        <v>30</v>
      </c>
      <c r="K7984" s="18">
        <f>IFERROR(__xludf.DUMMYFUNCTION("""COMPUTED_VALUE"""),50.0)</f>
        <v>50</v>
      </c>
      <c r="L7984" s="17">
        <f>IFERROR(__xludf.DUMMYFUNCTION("""COMPUTED_VALUE"""),3.128818706E9)</f>
        <v>3128818706</v>
      </c>
      <c r="M7984" s="17"/>
      <c r="N7984" s="17"/>
      <c r="O7984" s="17"/>
      <c r="P7984" s="17" t="b">
        <f>IFERROR(__xludf.DUMMYFUNCTION("""COMPUTED_VALUE"""),FALSE)</f>
        <v>0</v>
      </c>
      <c r="Q7984" s="20" t="str">
        <f>IFERROR(__xludf.DUMMYFUNCTION("""COMPUTED_VALUE"""),"")</f>
        <v/>
      </c>
      <c r="R7984" s="21" t="str">
        <f>IFERROR(__xludf.DUMMYFUNCTION("""COMPUTED_VALUE"""),"https://drive.google.com/file/d/1rPuk0Wz7ZwHajsaVEE0K05PvH0Gjqfxo/view?usp=drivesdk")</f>
        <v>https://drive.google.com/file/d/1rPuk0Wz7ZwHajsaVEE0K05PvH0Gjqfxo/view?usp=drivesdk</v>
      </c>
    </row>
    <row r="7985">
      <c r="A7985" s="17" t="str">
        <f>IFERROR(__xludf.DUMMYFUNCTION("""COMPUTED_VALUE"""),"")</f>
        <v/>
      </c>
      <c r="B7985" s="17" t="str">
        <f>IFERROR(__xludf.DUMMYFUNCTION("""COMPUTED_VALUE"""),"")</f>
        <v/>
      </c>
      <c r="C7985" s="17" t="str">
        <f>IFERROR(__xludf.DUMMYFUNCTION("""COMPUTED_VALUE"""),"")</f>
        <v/>
      </c>
      <c r="D7985" s="17" t="str">
        <f>IFERROR(__xludf.DUMMYFUNCTION("""COMPUTED_VALUE"""),"")</f>
        <v/>
      </c>
      <c r="E7985" s="17" t="str">
        <f>IFERROR(__xludf.DUMMYFUNCTION("""COMPUTED_VALUE"""),"")</f>
        <v/>
      </c>
      <c r="F7985" s="17" t="str">
        <f>IFERROR(__xludf.DUMMYFUNCTION("""COMPUTED_VALUE"""),"")</f>
        <v/>
      </c>
      <c r="G7985" s="17" t="str">
        <f>IFERROR(__xludf.DUMMYFUNCTION("""COMPUTED_VALUE"""),"")</f>
        <v/>
      </c>
      <c r="H7985" s="17" t="str">
        <f>IFERROR(__xludf.DUMMYFUNCTION("""COMPUTED_VALUE"""),"")</f>
        <v/>
      </c>
      <c r="I7985" s="17" t="str">
        <f>IFERROR(__xludf.DUMMYFUNCTION("""COMPUTED_VALUE"""),"")</f>
        <v/>
      </c>
      <c r="J7985" s="17" t="str">
        <f>IFERROR(__xludf.DUMMYFUNCTION("""COMPUTED_VALUE"""),"")</f>
        <v/>
      </c>
      <c r="K7985" s="17" t="str">
        <f>IFERROR(__xludf.DUMMYFUNCTION("""COMPUTED_VALUE"""),"")</f>
        <v/>
      </c>
      <c r="L7985" s="17" t="str">
        <f>IFERROR(__xludf.DUMMYFUNCTION("""COMPUTED_VALUE"""),"")</f>
        <v/>
      </c>
      <c r="M7985" s="17" t="str">
        <f>IFERROR(__xludf.DUMMYFUNCTION("""COMPUTED_VALUE"""),"")</f>
        <v/>
      </c>
      <c r="N7985" s="17" t="str">
        <f>IFERROR(__xludf.DUMMYFUNCTION("""COMPUTED_VALUE"""),"")</f>
        <v/>
      </c>
      <c r="O7985" s="17" t="str">
        <f>IFERROR(__xludf.DUMMYFUNCTION("""COMPUTED_VALUE"""),"")</f>
        <v/>
      </c>
      <c r="P7985" s="17" t="str">
        <f>IFERROR(__xludf.DUMMYFUNCTION("""COMPUTED_VALUE"""),"")</f>
        <v/>
      </c>
      <c r="Q7985" s="17" t="str">
        <f>IFERROR(__xludf.DUMMYFUNCTION("""COMPUTED_VALUE"""),"")</f>
        <v/>
      </c>
      <c r="R7985" s="17" t="str">
        <f>IFERROR(__xludf.DUMMYFUNCTION("""COMPUTED_VALUE"""),"")</f>
        <v/>
      </c>
    </row>
    <row r="7986">
      <c r="A7986" s="15">
        <f>IFERROR(__xludf.DUMMYFUNCTION("""COMPUTED_VALUE"""),45226.0)</f>
        <v>45226</v>
      </c>
      <c r="B7986" s="16" t="str">
        <f>IFERROR(__xludf.DUMMYFUNCTION("""COMPUTED_VALUE"""),"Daniel José sandoval gonzalez")</f>
        <v>Daniel José sandoval gonzalez</v>
      </c>
      <c r="C7986" s="15" t="str">
        <f>IFERROR(__xludf.DUMMYFUNCTION("""COMPUTED_VALUE"""),"BARRANQUILLA")</f>
        <v>BARRANQUILLA</v>
      </c>
      <c r="D7986" s="15" t="str">
        <f>IFERROR(__xludf.DUMMYFUNCTION("""COMPUTED_VALUE"""),"MEDELLÍN")</f>
        <v>MEDELLÍN</v>
      </c>
      <c r="E7986" s="15" t="str">
        <f>IFERROR(__xludf.DUMMYFUNCTION("""COMPUTED_VALUE"""),"Baby Chef")</f>
        <v>Baby Chef</v>
      </c>
      <c r="F7986" s="17" t="str">
        <f>IFERROR(__xludf.DUMMYFUNCTION("""COMPUTED_VALUE"""),"Calle 84 # 42c - 181  Edificio más house Nuevo Horizonte apto 406 Barranquilla Barrio Nuevo Horizonte / . / .")</f>
        <v>Calle 84 # 42c - 181  Edificio más house Nuevo Horizonte apto 406 Barranquilla Barrio Nuevo Horizonte / . / .</v>
      </c>
      <c r="G7986" s="15" t="str">
        <f>IFERROR(__xludf.DUMMYFUNCTION("""COMPUTED_VALUE"""),"Viviana Fontalve")</f>
        <v>Viviana Fontalve</v>
      </c>
      <c r="H7986" s="16">
        <f>IFERROR(__xludf.DUMMYFUNCTION("""COMPUTED_VALUE"""),16649.0)</f>
        <v>16649</v>
      </c>
      <c r="I7986" s="18">
        <f>IFERROR(__xludf.DUMMYFUNCTION("""COMPUTED_VALUE"""),10.0)</f>
        <v>10</v>
      </c>
      <c r="J7986" s="18">
        <f>IFERROR(__xludf.DUMMYFUNCTION("""COMPUTED_VALUE"""),22.0)</f>
        <v>22</v>
      </c>
      <c r="K7986" s="18">
        <f>IFERROR(__xludf.DUMMYFUNCTION("""COMPUTED_VALUE"""),30.0)</f>
        <v>30</v>
      </c>
      <c r="L7986" s="17">
        <f>IFERROR(__xludf.DUMMYFUNCTION("""COMPUTED_VALUE"""),3.003883187E9)</f>
        <v>3003883187</v>
      </c>
      <c r="M7986" s="17"/>
      <c r="N7986" s="17"/>
      <c r="O7986" s="17"/>
      <c r="P7986" s="17" t="b">
        <f>IFERROR(__xludf.DUMMYFUNCTION("""COMPUTED_VALUE"""),FALSE)</f>
        <v>0</v>
      </c>
      <c r="Q7986" s="20" t="str">
        <f>IFERROR(__xludf.DUMMYFUNCTION("""COMPUTED_VALUE"""),"")</f>
        <v/>
      </c>
      <c r="R7986" s="22" t="str">
        <f>IFERROR(__xludf.DUMMYFUNCTION("""COMPUTED_VALUE"""),"")</f>
        <v/>
      </c>
    </row>
    <row r="7987">
      <c r="A7987" s="15">
        <f>IFERROR(__xludf.DUMMYFUNCTION("""COMPUTED_VALUE"""),45226.0)</f>
        <v>45226</v>
      </c>
      <c r="B7987" s="16" t="str">
        <f>IFERROR(__xludf.DUMMYFUNCTION("""COMPUTED_VALUE"""),"Daniel José sandoval gonzalez")</f>
        <v>Daniel José sandoval gonzalez</v>
      </c>
      <c r="C7987" s="15" t="str">
        <f>IFERROR(__xludf.DUMMYFUNCTION("""COMPUTED_VALUE"""),"BARRANQUILLA")</f>
        <v>BARRANQUILLA</v>
      </c>
      <c r="D7987" s="15" t="str">
        <f>IFERROR(__xludf.DUMMYFUNCTION("""COMPUTED_VALUE"""),"MEDELLÍN")</f>
        <v>MEDELLÍN</v>
      </c>
      <c r="E7987" s="15" t="str">
        <f>IFERROR(__xludf.DUMMYFUNCTION("""COMPUTED_VALUE"""),"HELADERIA MAGDA")</f>
        <v>HELADERIA MAGDA</v>
      </c>
      <c r="F7987" s="17" t="str">
        <f>IFERROR(__xludf.DUMMYFUNCTION("""COMPUTED_VALUE"""),"CALLE 93 #43-41 / COCINA OCULTA")</f>
        <v>CALLE 93 #43-41 / COCINA OCULTA</v>
      </c>
      <c r="G7987" s="15" t="str">
        <f>IFERROR(__xludf.DUMMYFUNCTION("""COMPUTED_VALUE"""),"CITY HUB")</f>
        <v>CITY HUB</v>
      </c>
      <c r="H7987" s="16">
        <f>IFERROR(__xludf.DUMMYFUNCTION("""COMPUTED_VALUE"""),16710.0)</f>
        <v>16710</v>
      </c>
      <c r="I7987" s="17"/>
      <c r="J7987" s="17"/>
      <c r="K7987" s="17"/>
      <c r="L7987" s="17">
        <f>IFERROR(__xludf.DUMMYFUNCTION("""COMPUTED_VALUE"""),3.235800359E9)</f>
        <v>3235800359</v>
      </c>
      <c r="M7987" s="17"/>
      <c r="N7987" s="17"/>
      <c r="O7987" s="17"/>
      <c r="P7987" s="17" t="b">
        <f>IFERROR(__xludf.DUMMYFUNCTION("""COMPUTED_VALUE"""),FALSE)</f>
        <v>0</v>
      </c>
      <c r="Q7987" s="20" t="str">
        <f>IFERROR(__xludf.DUMMYFUNCTION("""COMPUTED_VALUE"""),"")</f>
        <v/>
      </c>
      <c r="R7987" s="21" t="str">
        <f>IFERROR(__xludf.DUMMYFUNCTION("""COMPUTED_VALUE"""),"https://drive.google.com/file/d/1Ven3OkPPKaKWktpnKiqoGWNlrjz3EQ72/view?usp=drivesdk")</f>
        <v>https://drive.google.com/file/d/1Ven3OkPPKaKWktpnKiqoGWNlrjz3EQ72/view?usp=drivesdk</v>
      </c>
    </row>
    <row r="7988">
      <c r="A7988" s="15">
        <f>IFERROR(__xludf.DUMMYFUNCTION("""COMPUTED_VALUE"""),45226.0)</f>
        <v>45226</v>
      </c>
      <c r="B7988" s="16" t="str">
        <f>IFERROR(__xludf.DUMMYFUNCTION("""COMPUTED_VALUE"""),"Daniel José sandoval gonzalez")</f>
        <v>Daniel José sandoval gonzalez</v>
      </c>
      <c r="C7988" s="15" t="str">
        <f>IFERROR(__xludf.DUMMYFUNCTION("""COMPUTED_VALUE"""),"BARRANQUILLA")</f>
        <v>BARRANQUILLA</v>
      </c>
      <c r="D7988" s="15" t="str">
        <f>IFERROR(__xludf.DUMMYFUNCTION("""COMPUTED_VALUE"""),"MEDELLÍN")</f>
        <v>MEDELLÍN</v>
      </c>
      <c r="E7988" s="15" t="str">
        <f>IFERROR(__xludf.DUMMYFUNCTION("""COMPUTED_VALUE"""),"Lacteos Juanita")</f>
        <v>Lacteos Juanita</v>
      </c>
      <c r="F7988" s="17" t="str">
        <f>IFERROR(__xludf.DUMMYFUNCTION("""COMPUTED_VALUE"""),"Carrera 43 # 87-175 apto 303 / Barranquilla")</f>
        <v>Carrera 43 # 87-175 apto 303 / Barranquilla</v>
      </c>
      <c r="G7988" s="15" t="str">
        <f>IFERROR(__xludf.DUMMYFUNCTION("""COMPUTED_VALUE"""),"Camila Duque")</f>
        <v>Camila Duque</v>
      </c>
      <c r="H7988" s="16">
        <f>IFERROR(__xludf.DUMMYFUNCTION("""COMPUTED_VALUE"""),16688.0)</f>
        <v>16688</v>
      </c>
      <c r="I7988" s="17"/>
      <c r="J7988" s="17"/>
      <c r="K7988" s="17"/>
      <c r="L7988" s="17"/>
      <c r="M7988" s="17"/>
      <c r="N7988" s="17"/>
      <c r="O7988" s="17"/>
      <c r="P7988" s="17" t="b">
        <f>IFERROR(__xludf.DUMMYFUNCTION("""COMPUTED_VALUE"""),FALSE)</f>
        <v>0</v>
      </c>
      <c r="Q7988" s="20" t="str">
        <f>IFERROR(__xludf.DUMMYFUNCTION("""COMPUTED_VALUE"""),"")</f>
        <v/>
      </c>
      <c r="R7988" s="21" t="str">
        <f>IFERROR(__xludf.DUMMYFUNCTION("""COMPUTED_VALUE"""),"https://drive.google.com/file/d/1yW56Sf92KelKETNzYj45PXdrJjnkgaze/view?usp=drivesdk")</f>
        <v>https://drive.google.com/file/d/1yW56Sf92KelKETNzYj45PXdrJjnkgaze/view?usp=drivesdk</v>
      </c>
    </row>
    <row r="7989">
      <c r="A7989" s="15">
        <f>IFERROR(__xludf.DUMMYFUNCTION("""COMPUTED_VALUE"""),45226.0)</f>
        <v>45226</v>
      </c>
      <c r="B7989" s="16" t="str">
        <f>IFERROR(__xludf.DUMMYFUNCTION("""COMPUTED_VALUE"""),"Daniel José sandoval gonzalez")</f>
        <v>Daniel José sandoval gonzalez</v>
      </c>
      <c r="C7989" s="15" t="str">
        <f>IFERROR(__xludf.DUMMYFUNCTION("""COMPUTED_VALUE"""),"BARRANQUILLA")</f>
        <v>BARRANQUILLA</v>
      </c>
      <c r="D7989" s="15" t="str">
        <f>IFERROR(__xludf.DUMMYFUNCTION("""COMPUTED_VALUE"""),"MEDELLÍN")</f>
        <v>MEDELLÍN</v>
      </c>
      <c r="E7989" s="15" t="str">
        <f>IFERROR(__xludf.DUMMYFUNCTION("""COMPUTED_VALUE"""),"Moloso S.A.S")</f>
        <v>Moloso S.A.S</v>
      </c>
      <c r="F7989" s="17" t="str">
        <f>IFERROR(__xludf.DUMMYFUNCTION("""COMPUTED_VALUE"""),"CRA 65 99 109 / EDF. CENTRAL GARDEN APTO 521 TORRE 4")</f>
        <v>CRA 65 99 109 / EDF. CENTRAL GARDEN APTO 521 TORRE 4</v>
      </c>
      <c r="G7989" s="15" t="str">
        <f>IFERROR(__xludf.DUMMYFUNCTION("""COMPUTED_VALUE"""),"LOURDES ACOSTA")</f>
        <v>LOURDES ACOSTA</v>
      </c>
      <c r="H7989" s="16">
        <f>IFERROR(__xludf.DUMMYFUNCTION("""COMPUTED_VALUE"""),16654.0)</f>
        <v>16654</v>
      </c>
      <c r="I7989" s="18">
        <f>IFERROR(__xludf.DUMMYFUNCTION("""COMPUTED_VALUE"""),17.0)</f>
        <v>17</v>
      </c>
      <c r="J7989" s="18">
        <f>IFERROR(__xludf.DUMMYFUNCTION("""COMPUTED_VALUE"""),15.0)</f>
        <v>15</v>
      </c>
      <c r="K7989" s="18">
        <f>IFERROR(__xludf.DUMMYFUNCTION("""COMPUTED_VALUE"""),28.0)</f>
        <v>28</v>
      </c>
      <c r="L7989" s="17" t="str">
        <f>IFERROR(__xludf.DUMMYFUNCTION("""COMPUTED_VALUE"""),"322 5119030")</f>
        <v>322 5119030</v>
      </c>
      <c r="M7989" s="17"/>
      <c r="N7989" s="17"/>
      <c r="O7989" s="17"/>
      <c r="P7989" s="17" t="b">
        <f>IFERROR(__xludf.DUMMYFUNCTION("""COMPUTED_VALUE"""),FALSE)</f>
        <v>0</v>
      </c>
      <c r="Q7989" s="20" t="str">
        <f>IFERROR(__xludf.DUMMYFUNCTION("""COMPUTED_VALUE"""),"")</f>
        <v/>
      </c>
      <c r="R7989" s="21" t="str">
        <f>IFERROR(__xludf.DUMMYFUNCTION("""COMPUTED_VALUE"""),"https://drive.google.com/file/d/1g24veW7CCg5KzRxDTFMZmT4Ie9mF7cap/view?usp=drivesdk")</f>
        <v>https://drive.google.com/file/d/1g24veW7CCg5KzRxDTFMZmT4Ie9mF7cap/view?usp=drivesdk</v>
      </c>
    </row>
    <row r="7990">
      <c r="A7990" s="15">
        <f>IFERROR(__xludf.DUMMYFUNCTION("""COMPUTED_VALUE"""),45226.0)</f>
        <v>45226</v>
      </c>
      <c r="B7990" s="16" t="str">
        <f>IFERROR(__xludf.DUMMYFUNCTION("""COMPUTED_VALUE"""),"Daniel José sandoval gonzalez")</f>
        <v>Daniel José sandoval gonzalez</v>
      </c>
      <c r="C7990" s="15" t="str">
        <f>IFERROR(__xludf.DUMMYFUNCTION("""COMPUTED_VALUE"""),"BARRANQUILLA")</f>
        <v>BARRANQUILLA</v>
      </c>
      <c r="D7990" s="15" t="str">
        <f>IFERROR(__xludf.DUMMYFUNCTION("""COMPUTED_VALUE"""),"MEDELLÍN")</f>
        <v>MEDELLÍN</v>
      </c>
      <c r="E7990" s="15" t="str">
        <f>IFERROR(__xludf.DUMMYFUNCTION("""COMPUTED_VALUE"""),"Moloso S.A.S")</f>
        <v>Moloso S.A.S</v>
      </c>
      <c r="F7990" s="17" t="str">
        <f>IFERROR(__xludf.DUMMYFUNCTION("""COMPUTED_VALUE"""),"TRANS 44 102 167 / CONJU. SIERRA. APTO. 939 T5")</f>
        <v>TRANS 44 102 167 / CONJU. SIERRA. APTO. 939 T5</v>
      </c>
      <c r="G7990" s="15" t="str">
        <f>IFERROR(__xludf.DUMMYFUNCTION("""COMPUTED_VALUE"""),"MARIANA ORJUELA CHARCÓN")</f>
        <v>MARIANA ORJUELA CHARCÓN</v>
      </c>
      <c r="H7990" s="16">
        <f>IFERROR(__xludf.DUMMYFUNCTION("""COMPUTED_VALUE"""),16655.0)</f>
        <v>16655</v>
      </c>
      <c r="I7990" s="18">
        <f>IFERROR(__xludf.DUMMYFUNCTION("""COMPUTED_VALUE"""),17.0)</f>
        <v>17</v>
      </c>
      <c r="J7990" s="18">
        <f>IFERROR(__xludf.DUMMYFUNCTION("""COMPUTED_VALUE"""),15.0)</f>
        <v>15</v>
      </c>
      <c r="K7990" s="18">
        <f>IFERROR(__xludf.DUMMYFUNCTION("""COMPUTED_VALUE"""),28.0)</f>
        <v>28</v>
      </c>
      <c r="L7990" s="17" t="str">
        <f>IFERROR(__xludf.DUMMYFUNCTION("""COMPUTED_VALUE"""),"304 5242414")</f>
        <v>304 5242414</v>
      </c>
      <c r="M7990" s="17"/>
      <c r="N7990" s="17"/>
      <c r="O7990" s="17"/>
      <c r="P7990" s="17" t="b">
        <f>IFERROR(__xludf.DUMMYFUNCTION("""COMPUTED_VALUE"""),FALSE)</f>
        <v>0</v>
      </c>
      <c r="Q7990" s="20" t="str">
        <f>IFERROR(__xludf.DUMMYFUNCTION("""COMPUTED_VALUE"""),"")</f>
        <v/>
      </c>
      <c r="R7990" s="21" t="str">
        <f>IFERROR(__xludf.DUMMYFUNCTION("""COMPUTED_VALUE"""),"https://drive.google.com/file/d/1UIWEBSeX35yf16aAkEAKUwaLr82btr8Z/view?usp=drivesdk")</f>
        <v>https://drive.google.com/file/d/1UIWEBSeX35yf16aAkEAKUwaLr82btr8Z/view?usp=drivesdk</v>
      </c>
    </row>
    <row r="7991">
      <c r="A7991" s="15">
        <f>IFERROR(__xludf.DUMMYFUNCTION("""COMPUTED_VALUE"""),45226.0)</f>
        <v>45226</v>
      </c>
      <c r="B7991" s="16" t="str">
        <f>IFERROR(__xludf.DUMMYFUNCTION("""COMPUTED_VALUE"""),"Daniel José sandoval gonzalez")</f>
        <v>Daniel José sandoval gonzalez</v>
      </c>
      <c r="C7991" s="15" t="str">
        <f>IFERROR(__xludf.DUMMYFUNCTION("""COMPUTED_VALUE"""),"BARRANQUILLA")</f>
        <v>BARRANQUILLA</v>
      </c>
      <c r="D7991" s="15" t="str">
        <f>IFERROR(__xludf.DUMMYFUNCTION("""COMPUTED_VALUE"""),"MEDELLÍN")</f>
        <v>MEDELLÍN</v>
      </c>
      <c r="E7991" s="15" t="str">
        <f>IFERROR(__xludf.DUMMYFUNCTION("""COMPUTED_VALUE"""),"Rambla")</f>
        <v>Rambla</v>
      </c>
      <c r="F7991" s="17" t="str">
        <f>IFERROR(__xludf.DUMMYFUNCTION("""COMPUTED_VALUE"""),"CRA 53 80 284 LC 8 / . / .")</f>
        <v>CRA 53 80 284 LC 8 / . / .</v>
      </c>
      <c r="G7991" s="15" t="str">
        <f>IFERROR(__xludf.DUMMYFUNCTION("""COMPUTED_VALUE"""),"Corpofit")</f>
        <v>Corpofit</v>
      </c>
      <c r="H7991" s="16">
        <f>IFERROR(__xludf.DUMMYFUNCTION("""COMPUTED_VALUE"""),16676.0)</f>
        <v>16676</v>
      </c>
      <c r="I7991" s="18">
        <f>IFERROR(__xludf.DUMMYFUNCTION("""COMPUTED_VALUE"""),22.0)</f>
        <v>22</v>
      </c>
      <c r="J7991" s="18">
        <f>IFERROR(__xludf.DUMMYFUNCTION("""COMPUTED_VALUE"""),22.0)</f>
        <v>22</v>
      </c>
      <c r="K7991" s="18">
        <f>IFERROR(__xludf.DUMMYFUNCTION("""COMPUTED_VALUE"""),24.0)</f>
        <v>24</v>
      </c>
      <c r="L7991" s="17">
        <f>IFERROR(__xludf.DUMMYFUNCTION("""COMPUTED_VALUE"""),3.162889776E9)</f>
        <v>3162889776</v>
      </c>
      <c r="M7991" s="17"/>
      <c r="N7991" s="17"/>
      <c r="O7991" s="17"/>
      <c r="P7991" s="17" t="b">
        <f>IFERROR(__xludf.DUMMYFUNCTION("""COMPUTED_VALUE"""),FALSE)</f>
        <v>0</v>
      </c>
      <c r="Q7991" s="20" t="str">
        <f>IFERROR(__xludf.DUMMYFUNCTION("""COMPUTED_VALUE"""),"")</f>
        <v/>
      </c>
      <c r="R7991" s="21" t="str">
        <f>IFERROR(__xludf.DUMMYFUNCTION("""COMPUTED_VALUE"""),"https://drive.google.com/file/d/1tp_BJoR2tA4aRALbMJEl7Qljj-Z45h14/view?usp=drivesdk")</f>
        <v>https://drive.google.com/file/d/1tp_BJoR2tA4aRALbMJEl7Qljj-Z45h14/view?usp=drivesdk</v>
      </c>
    </row>
    <row r="7992">
      <c r="A7992" s="15">
        <f>IFERROR(__xludf.DUMMYFUNCTION("""COMPUTED_VALUE"""),45226.0)</f>
        <v>45226</v>
      </c>
      <c r="B7992" s="16" t="str">
        <f>IFERROR(__xludf.DUMMYFUNCTION("""COMPUTED_VALUE"""),"Daniel José sandoval gonzalez")</f>
        <v>Daniel José sandoval gonzalez</v>
      </c>
      <c r="C7992" s="15" t="str">
        <f>IFERROR(__xludf.DUMMYFUNCTION("""COMPUTED_VALUE"""),"MEDELLÍN")</f>
        <v>MEDELLÍN</v>
      </c>
      <c r="D7992" s="15" t="str">
        <f>IFERROR(__xludf.DUMMYFUNCTION("""COMPUTED_VALUE"""),"BOGOTÁ")</f>
        <v>BOGOTÁ</v>
      </c>
      <c r="E7992" s="15" t="str">
        <f>IFERROR(__xludf.DUMMYFUNCTION("""COMPUTED_VALUE"""),"Top Spun")</f>
        <v>Top Spun</v>
      </c>
      <c r="F7992" s="17" t="str">
        <f>IFERROR(__xludf.DUMMYFUNCTION("""COMPUTED_VALUE"""),"Calle 7a # 30-60 / Element 301  / Medellín")</f>
        <v>Calle 7a # 30-60 / Element 301  / Medellín</v>
      </c>
      <c r="G7992" s="15" t="str">
        <f>IFERROR(__xludf.DUMMYFUNCTION("""COMPUTED_VALUE"""),"Vanessa Molina")</f>
        <v>Vanessa Molina</v>
      </c>
      <c r="H7992" s="16">
        <f>IFERROR(__xludf.DUMMYFUNCTION("""COMPUTED_VALUE"""),16675.0)</f>
        <v>16675</v>
      </c>
      <c r="I7992" s="18">
        <f>IFERROR(__xludf.DUMMYFUNCTION("""COMPUTED_VALUE"""),20.0)</f>
        <v>20</v>
      </c>
      <c r="J7992" s="18">
        <f>IFERROR(__xludf.DUMMYFUNCTION("""COMPUTED_VALUE"""),10.0)</f>
        <v>10</v>
      </c>
      <c r="K7992" s="18">
        <f>IFERROR(__xludf.DUMMYFUNCTION("""COMPUTED_VALUE"""),40.0)</f>
        <v>40</v>
      </c>
      <c r="L7992" s="17">
        <f>IFERROR(__xludf.DUMMYFUNCTION("""COMPUTED_VALUE"""),3.218725432E9)</f>
        <v>3218725432</v>
      </c>
      <c r="M7992" s="17"/>
      <c r="N7992" s="17"/>
      <c r="O7992" s="17"/>
      <c r="P7992" s="17" t="b">
        <f>IFERROR(__xludf.DUMMYFUNCTION("""COMPUTED_VALUE"""),FALSE)</f>
        <v>0</v>
      </c>
      <c r="Q7992" s="20" t="str">
        <f>IFERROR(__xludf.DUMMYFUNCTION("""COMPUTED_VALUE"""),"")</f>
        <v/>
      </c>
      <c r="R7992" s="21" t="str">
        <f>IFERROR(__xludf.DUMMYFUNCTION("""COMPUTED_VALUE"""),"https://drive.google.com/file/d/1MXqacxJdHEqd0odKJqAWL7ebLLAbzhxr/view?usp=drivesdk")</f>
        <v>https://drive.google.com/file/d/1MXqacxJdHEqd0odKJqAWL7ebLLAbzhxr/view?usp=drivesdk</v>
      </c>
    </row>
    <row r="7993">
      <c r="A7993" s="15">
        <f>IFERROR(__xludf.DUMMYFUNCTION("""COMPUTED_VALUE"""),45226.0)</f>
        <v>45226</v>
      </c>
      <c r="B7993" s="16" t="str">
        <f>IFERROR(__xludf.DUMMYFUNCTION("""COMPUTED_VALUE"""),"Daniel José sandoval gonzalez")</f>
        <v>Daniel José sandoval gonzalez</v>
      </c>
      <c r="C7993" s="15" t="str">
        <f>IFERROR(__xludf.DUMMYFUNCTION("""COMPUTED_VALUE"""),"MEDELLÍN")</f>
        <v>MEDELLÍN</v>
      </c>
      <c r="D7993" s="15" t="str">
        <f>IFERROR(__xludf.DUMMYFUNCTION("""COMPUTED_VALUE"""),"BOGOTÁ")</f>
        <v>BOGOTÁ</v>
      </c>
      <c r="E7993" s="15" t="str">
        <f>IFERROR(__xludf.DUMMYFUNCTION("""COMPUTED_VALUE"""),"Viiva Fermentados")</f>
        <v>Viiva Fermentados</v>
      </c>
      <c r="F7993" s="17" t="str">
        <f>IFERROR(__xludf.DUMMYFUNCTION("""COMPUTED_VALUE"""),"carrera 44 # 60B sur 54 / Apt 1106 torre 2  Caminos de Mayorca / Sabaneta, Antioquia")</f>
        <v>carrera 44 # 60B sur 54 / Apt 1106 torre 2  Caminos de Mayorca / Sabaneta, Antioquia</v>
      </c>
      <c r="G7993" s="15" t="str">
        <f>IFERROR(__xludf.DUMMYFUNCTION("""COMPUTED_VALUE"""),"Viviana Andrade")</f>
        <v>Viviana Andrade</v>
      </c>
      <c r="H7993" s="16">
        <f>IFERROR(__xludf.DUMMYFUNCTION("""COMPUTED_VALUE"""),16661.0)</f>
        <v>16661</v>
      </c>
      <c r="I7993" s="18">
        <f>IFERROR(__xludf.DUMMYFUNCTION("""COMPUTED_VALUE"""),37.0)</f>
        <v>37</v>
      </c>
      <c r="J7993" s="18">
        <f>IFERROR(__xludf.DUMMYFUNCTION("""COMPUTED_VALUE"""),18.0)</f>
        <v>18</v>
      </c>
      <c r="K7993" s="18">
        <f>IFERROR(__xludf.DUMMYFUNCTION("""COMPUTED_VALUE"""),18.0)</f>
        <v>18</v>
      </c>
      <c r="L7993" s="17">
        <f>IFERROR(__xludf.DUMMYFUNCTION("""COMPUTED_VALUE"""),3.107960361E9)</f>
        <v>3107960361</v>
      </c>
      <c r="M7993" s="17"/>
      <c r="N7993" s="17"/>
      <c r="O7993" s="17"/>
      <c r="P7993" s="17" t="b">
        <f>IFERROR(__xludf.DUMMYFUNCTION("""COMPUTED_VALUE"""),FALSE)</f>
        <v>0</v>
      </c>
      <c r="Q7993" s="20" t="str">
        <f>IFERROR(__xludf.DUMMYFUNCTION("""COMPUTED_VALUE"""),"")</f>
        <v/>
      </c>
      <c r="R7993" s="22" t="str">
        <f>IFERROR(__xludf.DUMMYFUNCTION("""COMPUTED_VALUE"""),"")</f>
        <v/>
      </c>
    </row>
    <row r="7994">
      <c r="A7994" s="15">
        <f>IFERROR(__xludf.DUMMYFUNCTION("""COMPUTED_VALUE"""),45226.0)</f>
        <v>45226</v>
      </c>
      <c r="B7994" s="16" t="str">
        <f>IFERROR(__xludf.DUMMYFUNCTION("""COMPUTED_VALUE"""),"Daniel José sandoval gonzalez")</f>
        <v>Daniel José sandoval gonzalez</v>
      </c>
      <c r="C7994" s="15" t="str">
        <f>IFERROR(__xludf.DUMMYFUNCTION("""COMPUTED_VALUE"""),"SABANETA")</f>
        <v>SABANETA</v>
      </c>
      <c r="D7994" s="15" t="str">
        <f>IFERROR(__xludf.DUMMYFUNCTION("""COMPUTED_VALUE"""),"BOGOTÁ")</f>
        <v>BOGOTÁ</v>
      </c>
      <c r="E7994" s="15" t="str">
        <f>IFERROR(__xludf.DUMMYFUNCTION("""COMPUTED_VALUE"""),"Natural Foodie")</f>
        <v>Natural Foodie</v>
      </c>
      <c r="F7994" s="17" t="str">
        <f>IFERROR(__xludf.DUMMYFUNCTION("""COMPUTED_VALUE"""),"Ciudad: Sabaneta, Antioquia Cra 46 75 sur 150, apto 2107, torre 2 / Torre 2 apto 2107 / Ciudad: Sabaneta, Antioquia")</f>
        <v>Ciudad: Sabaneta, Antioquia Cra 46 75 sur 150, apto 2107, torre 2 / Torre 2 apto 2107 / Ciudad: Sabaneta, Antioquia</v>
      </c>
      <c r="G7994" s="15" t="str">
        <f>IFERROR(__xludf.DUMMYFUNCTION("""COMPUTED_VALUE"""),"Victor David Castaño Sanchez")</f>
        <v>Victor David Castaño Sanchez</v>
      </c>
      <c r="H7994" s="16">
        <f>IFERROR(__xludf.DUMMYFUNCTION("""COMPUTED_VALUE"""),16683.0)</f>
        <v>16683</v>
      </c>
      <c r="I7994" s="18">
        <f>IFERROR(__xludf.DUMMYFUNCTION("""COMPUTED_VALUE"""),24.0)</f>
        <v>24</v>
      </c>
      <c r="J7994" s="18">
        <f>IFERROR(__xludf.DUMMYFUNCTION("""COMPUTED_VALUE"""),20.0)</f>
        <v>20</v>
      </c>
      <c r="K7994" s="18">
        <f>IFERROR(__xludf.DUMMYFUNCTION("""COMPUTED_VALUE"""),30.0)</f>
        <v>30</v>
      </c>
      <c r="L7994" s="17">
        <f>IFERROR(__xludf.DUMMYFUNCTION("""COMPUTED_VALUE"""),3.156749841E9)</f>
        <v>3156749841</v>
      </c>
      <c r="M7994" s="17"/>
      <c r="N7994" s="17"/>
      <c r="O7994" s="17"/>
      <c r="P7994" s="17" t="b">
        <f>IFERROR(__xludf.DUMMYFUNCTION("""COMPUTED_VALUE"""),FALSE)</f>
        <v>0</v>
      </c>
      <c r="Q7994" s="20" t="str">
        <f>IFERROR(__xludf.DUMMYFUNCTION("""COMPUTED_VALUE"""),"")</f>
        <v/>
      </c>
      <c r="R7994" s="22" t="str">
        <f>IFERROR(__xludf.DUMMYFUNCTION("""COMPUTED_VALUE"""),"")</f>
        <v/>
      </c>
    </row>
    <row r="7995">
      <c r="A7995" s="17" t="str">
        <f>IFERROR(__xludf.DUMMYFUNCTION("""COMPUTED_VALUE"""),"")</f>
        <v/>
      </c>
      <c r="B7995" s="17" t="str">
        <f>IFERROR(__xludf.DUMMYFUNCTION("""COMPUTED_VALUE"""),"")</f>
        <v/>
      </c>
      <c r="C7995" s="17" t="str">
        <f>IFERROR(__xludf.DUMMYFUNCTION("""COMPUTED_VALUE"""),"")</f>
        <v/>
      </c>
      <c r="D7995" s="17" t="str">
        <f>IFERROR(__xludf.DUMMYFUNCTION("""COMPUTED_VALUE"""),"")</f>
        <v/>
      </c>
      <c r="E7995" s="17" t="str">
        <f>IFERROR(__xludf.DUMMYFUNCTION("""COMPUTED_VALUE"""),"")</f>
        <v/>
      </c>
      <c r="F7995" s="17" t="str">
        <f>IFERROR(__xludf.DUMMYFUNCTION("""COMPUTED_VALUE"""),"")</f>
        <v/>
      </c>
      <c r="G7995" s="17" t="str">
        <f>IFERROR(__xludf.DUMMYFUNCTION("""COMPUTED_VALUE"""),"")</f>
        <v/>
      </c>
      <c r="H7995" s="17" t="str">
        <f>IFERROR(__xludf.DUMMYFUNCTION("""COMPUTED_VALUE"""),"")</f>
        <v/>
      </c>
      <c r="I7995" s="17" t="str">
        <f>IFERROR(__xludf.DUMMYFUNCTION("""COMPUTED_VALUE"""),"")</f>
        <v/>
      </c>
      <c r="J7995" s="17" t="str">
        <f>IFERROR(__xludf.DUMMYFUNCTION("""COMPUTED_VALUE"""),"")</f>
        <v/>
      </c>
      <c r="K7995" s="17" t="str">
        <f>IFERROR(__xludf.DUMMYFUNCTION("""COMPUTED_VALUE"""),"")</f>
        <v/>
      </c>
      <c r="L7995" s="17" t="str">
        <f>IFERROR(__xludf.DUMMYFUNCTION("""COMPUTED_VALUE"""),"")</f>
        <v/>
      </c>
      <c r="M7995" s="17" t="str">
        <f>IFERROR(__xludf.DUMMYFUNCTION("""COMPUTED_VALUE"""),"")</f>
        <v/>
      </c>
      <c r="N7995" s="17" t="str">
        <f>IFERROR(__xludf.DUMMYFUNCTION("""COMPUTED_VALUE"""),"")</f>
        <v/>
      </c>
      <c r="O7995" s="17" t="str">
        <f>IFERROR(__xludf.DUMMYFUNCTION("""COMPUTED_VALUE"""),"")</f>
        <v/>
      </c>
      <c r="P7995" s="17" t="str">
        <f>IFERROR(__xludf.DUMMYFUNCTION("""COMPUTED_VALUE"""),"")</f>
        <v/>
      </c>
      <c r="Q7995" s="17" t="str">
        <f>IFERROR(__xludf.DUMMYFUNCTION("""COMPUTED_VALUE"""),"")</f>
        <v/>
      </c>
      <c r="R7995" s="17" t="str">
        <f>IFERROR(__xludf.DUMMYFUNCTION("""COMPUTED_VALUE"""),"")</f>
        <v/>
      </c>
    </row>
    <row r="7996">
      <c r="A7996" s="15">
        <f>IFERROR(__xludf.DUMMYFUNCTION("""COMPUTED_VALUE"""),45226.0)</f>
        <v>45226</v>
      </c>
      <c r="B7996" s="16" t="str">
        <f>IFERROR(__xludf.DUMMYFUNCTION("""COMPUTED_VALUE"""),"env")</f>
        <v>env</v>
      </c>
      <c r="C7996" s="15" t="str">
        <f>IFERROR(__xludf.DUMMYFUNCTION("""COMPUTED_VALUE"""),"MEDELLÍN")</f>
        <v>MEDELLÍN</v>
      </c>
      <c r="D7996" s="15" t="str">
        <f>IFERROR(__xludf.DUMMYFUNCTION("""COMPUTED_VALUE"""),"BOGOTÁ")</f>
        <v>BOGOTÁ</v>
      </c>
      <c r="E7996" s="15" t="str">
        <f>IFERROR(__xludf.DUMMYFUNCTION("""COMPUTED_VALUE"""),"Redi Food")</f>
        <v>Redi Food</v>
      </c>
      <c r="F7996" s="17" t="str">
        <f>IFERROR(__xludf.DUMMYFUNCTION("""COMPUTED_VALUE"""),"Cr 27g # 35 sur- 175 / saltamonte  grand APTO 219 / Loma del escobero ENVIGADO")</f>
        <v>Cr 27g # 35 sur- 175 / saltamonte  grand APTO 219 / Loma del escobero ENVIGADO</v>
      </c>
      <c r="G7996" s="15" t="str">
        <f>IFERROR(__xludf.DUMMYFUNCTION("""COMPUTED_VALUE"""),"Manuela Lopera")</f>
        <v>Manuela Lopera</v>
      </c>
      <c r="H7996" s="16">
        <f>IFERROR(__xludf.DUMMYFUNCTION("""COMPUTED_VALUE"""),16665.0)</f>
        <v>16665</v>
      </c>
      <c r="I7996" s="18">
        <f>IFERROR(__xludf.DUMMYFUNCTION("""COMPUTED_VALUE"""),14.0)</f>
        <v>14</v>
      </c>
      <c r="J7996" s="18">
        <f>IFERROR(__xludf.DUMMYFUNCTION("""COMPUTED_VALUE"""),15.0)</f>
        <v>15</v>
      </c>
      <c r="K7996" s="18">
        <f>IFERROR(__xludf.DUMMYFUNCTION("""COMPUTED_VALUE"""),30.0)</f>
        <v>30</v>
      </c>
      <c r="L7996" s="17">
        <f>IFERROR(__xludf.DUMMYFUNCTION("""COMPUTED_VALUE"""),3.153116801E9)</f>
        <v>3153116801</v>
      </c>
      <c r="M7996" s="17"/>
      <c r="N7996" s="17"/>
      <c r="O7996" s="17"/>
      <c r="P7996" s="17" t="b">
        <f>IFERROR(__xludf.DUMMYFUNCTION("""COMPUTED_VALUE"""),FALSE)</f>
        <v>0</v>
      </c>
      <c r="Q7996" s="20" t="str">
        <f>IFERROR(__xludf.DUMMYFUNCTION("""COMPUTED_VALUE"""),"")</f>
        <v/>
      </c>
      <c r="R7996" s="21" t="str">
        <f>IFERROR(__xludf.DUMMYFUNCTION("""COMPUTED_VALUE"""),"https://drive.google.com/file/d/1S16Ld1fqt5llHcV6a5MIun-v4B_K_NKP/view?usp=drivesdk")</f>
        <v>https://drive.google.com/file/d/1S16Ld1fqt5llHcV6a5MIun-v4B_K_NKP/view?usp=drivesdk</v>
      </c>
    </row>
    <row r="7997">
      <c r="A7997" s="17" t="str">
        <f>IFERROR(__xludf.DUMMYFUNCTION("""COMPUTED_VALUE"""),"")</f>
        <v/>
      </c>
      <c r="B7997" s="17" t="str">
        <f>IFERROR(__xludf.DUMMYFUNCTION("""COMPUTED_VALUE"""),"")</f>
        <v/>
      </c>
      <c r="C7997" s="17" t="str">
        <f>IFERROR(__xludf.DUMMYFUNCTION("""COMPUTED_VALUE"""),"")</f>
        <v/>
      </c>
      <c r="D7997" s="17" t="str">
        <f>IFERROR(__xludf.DUMMYFUNCTION("""COMPUTED_VALUE"""),"")</f>
        <v/>
      </c>
      <c r="E7997" s="17" t="str">
        <f>IFERROR(__xludf.DUMMYFUNCTION("""COMPUTED_VALUE"""),"")</f>
        <v/>
      </c>
      <c r="F7997" s="17" t="str">
        <f>IFERROR(__xludf.DUMMYFUNCTION("""COMPUTED_VALUE"""),"")</f>
        <v/>
      </c>
      <c r="G7997" s="17" t="str">
        <f>IFERROR(__xludf.DUMMYFUNCTION("""COMPUTED_VALUE"""),"")</f>
        <v/>
      </c>
      <c r="H7997" s="17" t="str">
        <f>IFERROR(__xludf.DUMMYFUNCTION("""COMPUTED_VALUE"""),"")</f>
        <v/>
      </c>
      <c r="I7997" s="17" t="str">
        <f>IFERROR(__xludf.DUMMYFUNCTION("""COMPUTED_VALUE"""),"")</f>
        <v/>
      </c>
      <c r="J7997" s="17" t="str">
        <f>IFERROR(__xludf.DUMMYFUNCTION("""COMPUTED_VALUE"""),"")</f>
        <v/>
      </c>
      <c r="K7997" s="17" t="str">
        <f>IFERROR(__xludf.DUMMYFUNCTION("""COMPUTED_VALUE"""),"")</f>
        <v/>
      </c>
      <c r="L7997" s="17" t="str">
        <f>IFERROR(__xludf.DUMMYFUNCTION("""COMPUTED_VALUE"""),"")</f>
        <v/>
      </c>
      <c r="M7997" s="17" t="str">
        <f>IFERROR(__xludf.DUMMYFUNCTION("""COMPUTED_VALUE"""),"")</f>
        <v/>
      </c>
      <c r="N7997" s="17" t="str">
        <f>IFERROR(__xludf.DUMMYFUNCTION("""COMPUTED_VALUE"""),"")</f>
        <v/>
      </c>
      <c r="O7997" s="17" t="str">
        <f>IFERROR(__xludf.DUMMYFUNCTION("""COMPUTED_VALUE"""),"")</f>
        <v/>
      </c>
      <c r="P7997" s="17" t="str">
        <f>IFERROR(__xludf.DUMMYFUNCTION("""COMPUTED_VALUE"""),"")</f>
        <v/>
      </c>
      <c r="Q7997" s="17" t="str">
        <f>IFERROR(__xludf.DUMMYFUNCTION("""COMPUTED_VALUE"""),"")</f>
        <v/>
      </c>
      <c r="R7997" s="17" t="str">
        <f>IFERROR(__xludf.DUMMYFUNCTION("""COMPUTED_VALUE"""),"")</f>
        <v/>
      </c>
    </row>
    <row r="7998">
      <c r="A7998" s="15">
        <f>IFERROR(__xludf.DUMMYFUNCTION("""COMPUTED_VALUE"""),45226.0)</f>
        <v>45226</v>
      </c>
      <c r="B7998" s="16" t="str">
        <f>IFERROR(__xludf.DUMMYFUNCTION("""COMPUTED_VALUE"""),"Envia")</f>
        <v>Envia</v>
      </c>
      <c r="C7998" s="15" t="str">
        <f>IFERROR(__xludf.DUMMYFUNCTION("""COMPUTED_VALUE"""),"BARRANQUILLA")</f>
        <v>BARRANQUILLA</v>
      </c>
      <c r="D7998" s="15" t="str">
        <f>IFERROR(__xludf.DUMMYFUNCTION("""COMPUTED_VALUE"""),"MEDELLÍN")</f>
        <v>MEDELLÍN</v>
      </c>
      <c r="E7998" s="15" t="str">
        <f>IFERROR(__xludf.DUMMYFUNCTION("""COMPUTED_VALUE"""),"Baby Chef")</f>
        <v>Baby Chef</v>
      </c>
      <c r="F7998" s="17" t="str">
        <f>IFERROR(__xludf.DUMMYFUNCTION("""COMPUTED_VALUE"""),"Calle 81 B # 64 - 27 Edificio Valle de Ordesa, Apto 203 / . / FAVOR PONER CUIDADO, EL PEDIDO ANTERIOR LE LLEGÓ DESCONGELADO Y LOS PRODUCTOS APLASTADOS.")</f>
        <v>Calle 81 B # 64 - 27 Edificio Valle de Ordesa, Apto 203 / . / FAVOR PONER CUIDADO, EL PEDIDO ANTERIOR LE LLEGÓ DESCONGELADO Y LOS PRODUCTOS APLASTADOS.</v>
      </c>
      <c r="G7998" s="15" t="str">
        <f>IFERROR(__xludf.DUMMYFUNCTION("""COMPUTED_VALUE"""),"Fabiola Alcalá Manjarres")</f>
        <v>Fabiola Alcalá Manjarres</v>
      </c>
      <c r="H7998" s="16">
        <f>IFERROR(__xludf.DUMMYFUNCTION("""COMPUTED_VALUE"""),16650.0)</f>
        <v>16650</v>
      </c>
      <c r="I7998" s="18">
        <f>IFERROR(__xludf.DUMMYFUNCTION("""COMPUTED_VALUE"""),9.0)</f>
        <v>9</v>
      </c>
      <c r="J7998" s="18">
        <f>IFERROR(__xludf.DUMMYFUNCTION("""COMPUTED_VALUE"""),21.0)</f>
        <v>21</v>
      </c>
      <c r="K7998" s="18">
        <f>IFERROR(__xludf.DUMMYFUNCTION("""COMPUTED_VALUE"""),32.0)</f>
        <v>32</v>
      </c>
      <c r="L7998" s="17">
        <f>IFERROR(__xludf.DUMMYFUNCTION("""COMPUTED_VALUE"""),3.007540313E9)</f>
        <v>3007540313</v>
      </c>
      <c r="M7998" s="17"/>
      <c r="N7998" s="17"/>
      <c r="O7998" s="17"/>
      <c r="P7998" s="17" t="b">
        <f>IFERROR(__xludf.DUMMYFUNCTION("""COMPUTED_VALUE"""),FALSE)</f>
        <v>0</v>
      </c>
      <c r="Q7998" s="20" t="str">
        <f>IFERROR(__xludf.DUMMYFUNCTION("""COMPUTED_VALUE"""),"")</f>
        <v/>
      </c>
      <c r="R7998" s="21" t="str">
        <f>IFERROR(__xludf.DUMMYFUNCTION("""COMPUTED_VALUE"""),"https://drive.google.com/file/d/1u-sSC1hc-oarkprvVbKZy_dcD41_62rL/view?usp=drivesdk")</f>
        <v>https://drive.google.com/file/d/1u-sSC1hc-oarkprvVbKZy_dcD41_62rL/view?usp=drivesdk</v>
      </c>
    </row>
    <row r="7999">
      <c r="A7999" s="15">
        <f>IFERROR(__xludf.DUMMYFUNCTION("""COMPUTED_VALUE"""),45226.0)</f>
        <v>45226</v>
      </c>
      <c r="B7999" s="16" t="str">
        <f>IFERROR(__xludf.DUMMYFUNCTION("""COMPUTED_VALUE"""),"Envia")</f>
        <v>Envia</v>
      </c>
      <c r="C7999" s="15" t="str">
        <f>IFERROR(__xludf.DUMMYFUNCTION("""COMPUTED_VALUE"""),"BARRANQUILLA")</f>
        <v>BARRANQUILLA</v>
      </c>
      <c r="D7999" s="15" t="str">
        <f>IFERROR(__xludf.DUMMYFUNCTION("""COMPUTED_VALUE"""),"MEDELLÍN")</f>
        <v>MEDELLÍN</v>
      </c>
      <c r="E7999" s="15" t="str">
        <f>IFERROR(__xludf.DUMMYFUNCTION("""COMPUTED_VALUE"""),"Rambla")</f>
        <v>Rambla</v>
      </c>
      <c r="F7999" s="17" t="str">
        <f>IFERROR(__xludf.DUMMYFUNCTION("""COMPUTED_VALUE"""),"CARRERA 74 #76-74 / - / -")</f>
        <v>CARRERA 74 #76-74 / - / -</v>
      </c>
      <c r="G7999" s="15" t="str">
        <f>IFERROR(__xludf.DUMMYFUNCTION("""COMPUTED_VALUE"""),"Fit Hub")</f>
        <v>Fit Hub</v>
      </c>
      <c r="H7999" s="16">
        <f>IFERROR(__xludf.DUMMYFUNCTION("""COMPUTED_VALUE"""),16677.0)</f>
        <v>16677</v>
      </c>
      <c r="I7999" s="18">
        <f>IFERROR(__xludf.DUMMYFUNCTION("""COMPUTED_VALUE"""),24.0)</f>
        <v>24</v>
      </c>
      <c r="J7999" s="18">
        <f>IFERROR(__xludf.DUMMYFUNCTION("""COMPUTED_VALUE"""),24.0)</f>
        <v>24</v>
      </c>
      <c r="K7999" s="18">
        <f>IFERROR(__xludf.DUMMYFUNCTION("""COMPUTED_VALUE"""),24.0)</f>
        <v>24</v>
      </c>
      <c r="L7999" s="17">
        <f>IFERROR(__xludf.DUMMYFUNCTION("""COMPUTED_VALUE"""),3.157039547E9)</f>
        <v>3157039547</v>
      </c>
      <c r="M7999" s="17"/>
      <c r="N7999" s="17"/>
      <c r="O7999" s="17"/>
      <c r="P7999" s="17" t="b">
        <f>IFERROR(__xludf.DUMMYFUNCTION("""COMPUTED_VALUE"""),FALSE)</f>
        <v>0</v>
      </c>
      <c r="Q7999" s="20" t="str">
        <f>IFERROR(__xludf.DUMMYFUNCTION("""COMPUTED_VALUE"""),"")</f>
        <v/>
      </c>
      <c r="R7999" s="21" t="str">
        <f>IFERROR(__xludf.DUMMYFUNCTION("""COMPUTED_VALUE"""),"https://drive.google.com/file/d/1n6TXWVH1iJNJG8eOhYwNbepihgQSeNIb/view?usp=drivesdk")</f>
        <v>https://drive.google.com/file/d/1n6TXWVH1iJNJG8eOhYwNbepihgQSeNIb/view?usp=drivesdk</v>
      </c>
    </row>
    <row r="8000">
      <c r="A8000" s="15">
        <f>IFERROR(__xludf.DUMMYFUNCTION("""COMPUTED_VALUE"""),45226.0)</f>
        <v>45226</v>
      </c>
      <c r="B8000" s="16" t="str">
        <f>IFERROR(__xludf.DUMMYFUNCTION("""COMPUTED_VALUE"""),"Envia")</f>
        <v>Envia</v>
      </c>
      <c r="C8000" s="15" t="str">
        <f>IFERROR(__xludf.DUMMYFUNCTION("""COMPUTED_VALUE"""),"BOGOTÁ")</f>
        <v>BOGOTÁ</v>
      </c>
      <c r="D8000" s="15" t="str">
        <f>IFERROR(__xludf.DUMMYFUNCTION("""COMPUTED_VALUE"""),"MEDELLÍN")</f>
        <v>MEDELLÍN</v>
      </c>
      <c r="E8000" s="15" t="str">
        <f>IFERROR(__xludf.DUMMYFUNCTION("""COMPUTED_VALUE"""),"Baby Chef")</f>
        <v>Baby Chef</v>
      </c>
      <c r="F8000" s="17" t="str">
        <f>IFERROR(__xludf.DUMMYFUNCTION("""COMPUTED_VALUE"""),"Calle 55 # 58-88 Bloque 82 Apartamento 101 / . / .")</f>
        <v>Calle 55 # 58-88 Bloque 82 Apartamento 101 / . / .</v>
      </c>
      <c r="G8000" s="15" t="str">
        <f>IFERROR(__xludf.DUMMYFUNCTION("""COMPUTED_VALUE"""),"Jenny del Pilar Prieto Fuquene")</f>
        <v>Jenny del Pilar Prieto Fuquene</v>
      </c>
      <c r="H8000" s="16">
        <f>IFERROR(__xludf.DUMMYFUNCTION("""COMPUTED_VALUE"""),16727.0)</f>
        <v>16727</v>
      </c>
      <c r="I8000" s="18">
        <f>IFERROR(__xludf.DUMMYFUNCTION("""COMPUTED_VALUE"""),15.0)</f>
        <v>15</v>
      </c>
      <c r="J8000" s="18">
        <f>IFERROR(__xludf.DUMMYFUNCTION("""COMPUTED_VALUE"""),27.0)</f>
        <v>27</v>
      </c>
      <c r="K8000" s="18">
        <f>IFERROR(__xludf.DUMMYFUNCTION("""COMPUTED_VALUE"""),43.0)</f>
        <v>43</v>
      </c>
      <c r="L8000" s="17">
        <f>IFERROR(__xludf.DUMMYFUNCTION("""COMPUTED_VALUE"""),3.132218619E9)</f>
        <v>3132218619</v>
      </c>
      <c r="M8000" s="17"/>
      <c r="N8000" s="17"/>
      <c r="O8000" s="17"/>
      <c r="P8000" s="17" t="b">
        <f>IFERROR(__xludf.DUMMYFUNCTION("""COMPUTED_VALUE"""),FALSE)</f>
        <v>0</v>
      </c>
      <c r="Q8000" s="20" t="str">
        <f>IFERROR(__xludf.DUMMYFUNCTION("""COMPUTED_VALUE"""),"")</f>
        <v/>
      </c>
      <c r="R8000" s="21" t="str">
        <f>IFERROR(__xludf.DUMMYFUNCTION("""COMPUTED_VALUE"""),"https://drive.google.com/file/d/1TXbUDhQlf26kxZlGag5umSVDI4ZNnmeP/view?usp=drivesdk")</f>
        <v>https://drive.google.com/file/d/1TXbUDhQlf26kxZlGag5umSVDI4ZNnmeP/view?usp=drivesdk</v>
      </c>
    </row>
    <row r="8001">
      <c r="A8001" s="15">
        <f>IFERROR(__xludf.DUMMYFUNCTION("""COMPUTED_VALUE"""),45226.0)</f>
        <v>45226</v>
      </c>
      <c r="B8001" s="16" t="str">
        <f>IFERROR(__xludf.DUMMYFUNCTION("""COMPUTED_VALUE"""),"Envia")</f>
        <v>Envia</v>
      </c>
      <c r="C8001" s="15" t="str">
        <f>IFERROR(__xludf.DUMMYFUNCTION("""COMPUTED_VALUE"""),"BOGOTÁ")</f>
        <v>BOGOTÁ</v>
      </c>
      <c r="D8001" s="15" t="str">
        <f>IFERROR(__xludf.DUMMYFUNCTION("""COMPUTED_VALUE"""),"MEDELLÍN")</f>
        <v>MEDELLÍN</v>
      </c>
      <c r="E8001" s="15" t="str">
        <f>IFERROR(__xludf.DUMMYFUNCTION("""COMPUTED_VALUE"""),"Rambla")</f>
        <v>Rambla</v>
      </c>
      <c r="F8001" s="17" t="str">
        <f>IFERROR(__xludf.DUMMYFUNCTION("""COMPUTED_VALUE"""),"Cll 8 sur # 39 _34. Ciudad montes / - / -")</f>
        <v>Cll 8 sur # 39 _34. Ciudad montes / - / -</v>
      </c>
      <c r="G8001" s="15" t="str">
        <f>IFERROR(__xludf.DUMMYFUNCTION("""COMPUTED_VALUE"""),"Tierra Fertil")</f>
        <v>Tierra Fertil</v>
      </c>
      <c r="H8001" s="16">
        <f>IFERROR(__xludf.DUMMYFUNCTION("""COMPUTED_VALUE"""),16721.0)</f>
        <v>16721</v>
      </c>
      <c r="I8001" s="18">
        <f>IFERROR(__xludf.DUMMYFUNCTION("""COMPUTED_VALUE"""),20.0)</f>
        <v>20</v>
      </c>
      <c r="J8001" s="18">
        <f>IFERROR(__xludf.DUMMYFUNCTION("""COMPUTED_VALUE"""),22.0)</f>
        <v>22</v>
      </c>
      <c r="K8001" s="18">
        <f>IFERROR(__xludf.DUMMYFUNCTION("""COMPUTED_VALUE"""),22.0)</f>
        <v>22</v>
      </c>
      <c r="L8001" s="17">
        <f>IFERROR(__xludf.DUMMYFUNCTION("""COMPUTED_VALUE"""),3.112876801E9)</f>
        <v>3112876801</v>
      </c>
      <c r="M8001" s="17"/>
      <c r="N8001" s="17"/>
      <c r="O8001" s="17"/>
      <c r="P8001" s="17" t="b">
        <f>IFERROR(__xludf.DUMMYFUNCTION("""COMPUTED_VALUE"""),FALSE)</f>
        <v>0</v>
      </c>
      <c r="Q8001" s="20" t="str">
        <f>IFERROR(__xludf.DUMMYFUNCTION("""COMPUTED_VALUE"""),"")</f>
        <v/>
      </c>
      <c r="R8001" s="21" t="str">
        <f>IFERROR(__xludf.DUMMYFUNCTION("""COMPUTED_VALUE"""),"https://drive.google.com/file/d/1cIZalMHnac-2HVl9c3_u9ZhEghNwFUgN/view?usp=drivesdk")</f>
        <v>https://drive.google.com/file/d/1cIZalMHnac-2HVl9c3_u9ZhEghNwFUgN/view?usp=drivesdk</v>
      </c>
    </row>
    <row r="8002">
      <c r="A8002" s="15">
        <f>IFERROR(__xludf.DUMMYFUNCTION("""COMPUTED_VALUE"""),45226.0)</f>
        <v>45226</v>
      </c>
      <c r="B8002" s="16" t="str">
        <f>IFERROR(__xludf.DUMMYFUNCTION("""COMPUTED_VALUE"""),"Envia")</f>
        <v>Envia</v>
      </c>
      <c r="C8002" s="15" t="str">
        <f>IFERROR(__xludf.DUMMYFUNCTION("""COMPUTED_VALUE"""),"CALI")</f>
        <v>CALI</v>
      </c>
      <c r="D8002" s="15" t="str">
        <f>IFERROR(__xludf.DUMMYFUNCTION("""COMPUTED_VALUE"""),"BOGOTÁ")</f>
        <v>BOGOTÁ</v>
      </c>
      <c r="E8002" s="15" t="str">
        <f>IFERROR(__xludf.DUMMYFUNCTION("""COMPUTED_VALUE"""),"Athenas")</f>
        <v>Athenas</v>
      </c>
      <c r="F8002" s="17" t="str">
        <f>IFERROR(__xludf.DUMMYFUNCTION("""COMPUTED_VALUE"""),"CALLE 7 OESTE 1A-59 PISO 2 / BODYTECH CAFETERIA / SANTA TERESITA")</f>
        <v>CALLE 7 OESTE 1A-59 PISO 2 / BODYTECH CAFETERIA / SANTA TERESITA</v>
      </c>
      <c r="G8002" s="15" t="str">
        <f>IFERROR(__xludf.DUMMYFUNCTION("""COMPUTED_VALUE"""),"JORGE PARRA")</f>
        <v>JORGE PARRA</v>
      </c>
      <c r="H8002" s="16">
        <f>IFERROR(__xludf.DUMMYFUNCTION("""COMPUTED_VALUE"""),16658.0)</f>
        <v>16658</v>
      </c>
      <c r="I8002" s="18" t="str">
        <f>IFERROR(__xludf.DUMMYFUNCTION("""COMPUTED_VALUE"""),"52.5")</f>
        <v>52.5</v>
      </c>
      <c r="J8002" s="18">
        <f>IFERROR(__xludf.DUMMYFUNCTION("""COMPUTED_VALUE"""),55.0)</f>
        <v>55</v>
      </c>
      <c r="K8002" s="18">
        <f>IFERROR(__xludf.DUMMYFUNCTION("""COMPUTED_VALUE"""),45.0)</f>
        <v>45</v>
      </c>
      <c r="L8002" s="17">
        <f>IFERROR(__xludf.DUMMYFUNCTION("""COMPUTED_VALUE"""),3.246801614E9)</f>
        <v>3246801614</v>
      </c>
      <c r="M8002" s="17"/>
      <c r="N8002" s="17"/>
      <c r="O8002" s="17"/>
      <c r="P8002" s="17" t="b">
        <f>IFERROR(__xludf.DUMMYFUNCTION("""COMPUTED_VALUE"""),FALSE)</f>
        <v>0</v>
      </c>
      <c r="Q8002" s="20" t="str">
        <f>IFERROR(__xludf.DUMMYFUNCTION("""COMPUTED_VALUE"""),"")</f>
        <v/>
      </c>
      <c r="R8002" s="21" t="str">
        <f>IFERROR(__xludf.DUMMYFUNCTION("""COMPUTED_VALUE"""),"https://drive.google.com/file/d/1G8WaJcKYnpQ3SBwukl-Cqm2_zgfU0Uz1/view?usp=drivesdk")</f>
        <v>https://drive.google.com/file/d/1G8WaJcKYnpQ3SBwukl-Cqm2_zgfU0Uz1/view?usp=drivesdk</v>
      </c>
    </row>
    <row r="8003">
      <c r="A8003" s="15">
        <f>IFERROR(__xludf.DUMMYFUNCTION("""COMPUTED_VALUE"""),45226.0)</f>
        <v>45226</v>
      </c>
      <c r="B8003" s="16" t="str">
        <f>IFERROR(__xludf.DUMMYFUNCTION("""COMPUTED_VALUE"""),"Envia")</f>
        <v>Envia</v>
      </c>
      <c r="C8003" s="15" t="str">
        <f>IFERROR(__xludf.DUMMYFUNCTION("""COMPUTED_VALUE"""),"CÚCUTA")</f>
        <v>CÚCUTA</v>
      </c>
      <c r="D8003" s="15" t="str">
        <f>IFERROR(__xludf.DUMMYFUNCTION("""COMPUTED_VALUE"""),"MEDELLÍN")</f>
        <v>MEDELLÍN</v>
      </c>
      <c r="E8003" s="15" t="str">
        <f>IFERROR(__xludf.DUMMYFUNCTION("""COMPUTED_VALUE"""),"La Bodeguita")</f>
        <v>La Bodeguita</v>
      </c>
      <c r="F8003" s="17" t="str">
        <f>IFERROR(__xludf.DUMMYFUNCTION("""COMPUTED_VALUE"""),"av 3e no 6cn -12 / barrio ceiba dos / local comercial")</f>
        <v>av 3e no 6cn -12 / barrio ceiba dos / local comercial</v>
      </c>
      <c r="G8003" s="15" t="str">
        <f>IFERROR(__xludf.DUMMYFUNCTION("""COMPUTED_VALUE"""),"la bodeguita market fit")</f>
        <v>la bodeguita market fit</v>
      </c>
      <c r="H8003" s="16">
        <f>IFERROR(__xludf.DUMMYFUNCTION("""COMPUTED_VALUE"""),16667.0)</f>
        <v>16667</v>
      </c>
      <c r="I8003" s="18">
        <f>IFERROR(__xludf.DUMMYFUNCTION("""COMPUTED_VALUE"""),24.0)</f>
        <v>24</v>
      </c>
      <c r="J8003" s="18">
        <f>IFERROR(__xludf.DUMMYFUNCTION("""COMPUTED_VALUE"""),32.0)</f>
        <v>32</v>
      </c>
      <c r="K8003" s="18">
        <f>IFERROR(__xludf.DUMMYFUNCTION("""COMPUTED_VALUE"""),35.0)</f>
        <v>35</v>
      </c>
      <c r="L8003" s="17">
        <f>IFERROR(__xludf.DUMMYFUNCTION("""COMPUTED_VALUE"""),3.00384312E9)</f>
        <v>3003843120</v>
      </c>
      <c r="M8003" s="17"/>
      <c r="N8003" s="17"/>
      <c r="O8003" s="17"/>
      <c r="P8003" s="17" t="b">
        <f>IFERROR(__xludf.DUMMYFUNCTION("""COMPUTED_VALUE"""),FALSE)</f>
        <v>0</v>
      </c>
      <c r="Q8003" s="20" t="str">
        <f>IFERROR(__xludf.DUMMYFUNCTION("""COMPUTED_VALUE"""),"")</f>
        <v/>
      </c>
      <c r="R8003" s="21" t="str">
        <f>IFERROR(__xludf.DUMMYFUNCTION("""COMPUTED_VALUE"""),"https://drive.google.com/file/d/13QicLNTm3fBcMkm6M9nGthgS1VdiHc2S/view?usp=drivesdk")</f>
        <v>https://drive.google.com/file/d/13QicLNTm3fBcMkm6M9nGthgS1VdiHc2S/view?usp=drivesdk</v>
      </c>
    </row>
    <row r="8004">
      <c r="A8004" s="15">
        <f>IFERROR(__xludf.DUMMYFUNCTION("""COMPUTED_VALUE"""),45226.0)</f>
        <v>45226</v>
      </c>
      <c r="B8004" s="16" t="str">
        <f>IFERROR(__xludf.DUMMYFUNCTION("""COMPUTED_VALUE"""),"Envia")</f>
        <v>Envia</v>
      </c>
      <c r="C8004" s="15" t="str">
        <f>IFERROR(__xludf.DUMMYFUNCTION("""COMPUTED_VALUE"""),"CÚCUTA")</f>
        <v>CÚCUTA</v>
      </c>
      <c r="D8004" s="15" t="str">
        <f>IFERROR(__xludf.DUMMYFUNCTION("""COMPUTED_VALUE"""),"MEDELLÍN")</f>
        <v>MEDELLÍN</v>
      </c>
      <c r="E8004" s="15" t="str">
        <f>IFERROR(__xludf.DUMMYFUNCTION("""COMPUTED_VALUE"""),"Rambla")</f>
        <v>Rambla</v>
      </c>
      <c r="F8004" s="17" t="str">
        <f>IFERROR(__xludf.DUMMYFUNCTION("""COMPUTED_VALUE"""),"Av 9e # 7-12 la Riviera / - / -")</f>
        <v>Av 9e # 7-12 la Riviera / - / -</v>
      </c>
      <c r="G8004" s="15" t="str">
        <f>IFERROR(__xludf.DUMMYFUNCTION("""COMPUTED_VALUE"""),"Sexto sentido")</f>
        <v>Sexto sentido</v>
      </c>
      <c r="H8004" s="16">
        <f>IFERROR(__xludf.DUMMYFUNCTION("""COMPUTED_VALUE"""),16680.0)</f>
        <v>16680</v>
      </c>
      <c r="I8004" s="18">
        <f>IFERROR(__xludf.DUMMYFUNCTION("""COMPUTED_VALUE"""),25.0)</f>
        <v>25</v>
      </c>
      <c r="J8004" s="18">
        <f>IFERROR(__xludf.DUMMYFUNCTION("""COMPUTED_VALUE"""),25.0)</f>
        <v>25</v>
      </c>
      <c r="K8004" s="18">
        <f>IFERROR(__xludf.DUMMYFUNCTION("""COMPUTED_VALUE"""),24.0)</f>
        <v>24</v>
      </c>
      <c r="L8004" s="17">
        <f>IFERROR(__xludf.DUMMYFUNCTION("""COMPUTED_VALUE"""),3.154996494E9)</f>
        <v>3154996494</v>
      </c>
      <c r="M8004" s="17"/>
      <c r="N8004" s="17"/>
      <c r="O8004" s="17"/>
      <c r="P8004" s="17" t="b">
        <f>IFERROR(__xludf.DUMMYFUNCTION("""COMPUTED_VALUE"""),FALSE)</f>
        <v>0</v>
      </c>
      <c r="Q8004" s="20" t="str">
        <f>IFERROR(__xludf.DUMMYFUNCTION("""COMPUTED_VALUE"""),"")</f>
        <v/>
      </c>
      <c r="R8004" s="21" t="str">
        <f>IFERROR(__xludf.DUMMYFUNCTION("""COMPUTED_VALUE"""),"https://drive.google.com/file/d/17qNqWnXte3S7W0T2YzD2uX6R7xaJSFAj/view?usp=drivesdk")</f>
        <v>https://drive.google.com/file/d/17qNqWnXte3S7W0T2YzD2uX6R7xaJSFAj/view?usp=drivesdk</v>
      </c>
    </row>
    <row r="8005">
      <c r="A8005" s="15">
        <f>IFERROR(__xludf.DUMMYFUNCTION("""COMPUTED_VALUE"""),45226.0)</f>
        <v>45226</v>
      </c>
      <c r="B8005" s="16" t="str">
        <f>IFERROR(__xludf.DUMMYFUNCTION("""COMPUTED_VALUE"""),"Envia")</f>
        <v>Envia</v>
      </c>
      <c r="C8005" s="15" t="str">
        <f>IFERROR(__xludf.DUMMYFUNCTION("""COMPUTED_VALUE"""),"SANTA MARTA")</f>
        <v>SANTA MARTA</v>
      </c>
      <c r="D8005" s="15" t="str">
        <f>IFERROR(__xludf.DUMMYFUNCTION("""COMPUTED_VALUE"""),"BOGOTÁ")</f>
        <v>BOGOTÁ</v>
      </c>
      <c r="E8005" s="15" t="str">
        <f>IFERROR(__xludf.DUMMYFUNCTION("""COMPUTED_VALUE"""),"Asociacion Agropecuaria Juana Maria")</f>
        <v>Asociacion Agropecuaria Juana Maria</v>
      </c>
      <c r="F8005" s="17" t="str">
        <f>IFERROR(__xludf.DUMMYFUNCTION("""COMPUTED_VALUE"""),"Portal de nueva Andrea 2 casa 27 / Santa Marta")</f>
        <v>Portal de nueva Andrea 2 casa 27 / Santa Marta</v>
      </c>
      <c r="G8005" s="15" t="str">
        <f>IFERROR(__xludf.DUMMYFUNCTION("""COMPUTED_VALUE"""),"Katiana Avendaño García")</f>
        <v>Katiana Avendaño García</v>
      </c>
      <c r="H8005" s="16">
        <f>IFERROR(__xludf.DUMMYFUNCTION("""COMPUTED_VALUE"""),16499.0)</f>
        <v>16499</v>
      </c>
      <c r="I8005" s="17"/>
      <c r="J8005" s="17"/>
      <c r="K8005" s="17"/>
      <c r="L8005" s="17">
        <f>IFERROR(__xludf.DUMMYFUNCTION("""COMPUTED_VALUE"""),3.01763844E9)</f>
        <v>3017638440</v>
      </c>
      <c r="M8005" s="17"/>
      <c r="N8005" s="17"/>
      <c r="O8005" s="17"/>
      <c r="P8005" s="17" t="b">
        <f>IFERROR(__xludf.DUMMYFUNCTION("""COMPUTED_VALUE"""),FALSE)</f>
        <v>0</v>
      </c>
      <c r="Q8005" s="20" t="str">
        <f>IFERROR(__xludf.DUMMYFUNCTION("""COMPUTED_VALUE"""),"")</f>
        <v/>
      </c>
      <c r="R8005" s="21" t="str">
        <f>IFERROR(__xludf.DUMMYFUNCTION("""COMPUTED_VALUE"""),"https://drive.google.com/file/d/1UBexb9b5lv-ESdT6rMKj8O1G2Yx_SUj7/view?usp=drivesdk")</f>
        <v>https://drive.google.com/file/d/1UBexb9b5lv-ESdT6rMKj8O1G2Yx_SUj7/view?usp=drivesdk</v>
      </c>
    </row>
    <row r="8006">
      <c r="A8006" s="15">
        <f>IFERROR(__xludf.DUMMYFUNCTION("""COMPUTED_VALUE"""),45226.0)</f>
        <v>45226</v>
      </c>
      <c r="B8006" s="16" t="str">
        <f>IFERROR(__xludf.DUMMYFUNCTION("""COMPUTED_VALUE"""),"Envia")</f>
        <v>Envia</v>
      </c>
      <c r="C8006" s="15" t="str">
        <f>IFERROR(__xludf.DUMMYFUNCTION("""COMPUTED_VALUE"""),"SANTA MARTA")</f>
        <v>SANTA MARTA</v>
      </c>
      <c r="D8006" s="15" t="str">
        <f>IFERROR(__xludf.DUMMYFUNCTION("""COMPUTED_VALUE"""),"MEDELLÍN")</f>
        <v>MEDELLÍN</v>
      </c>
      <c r="E8006" s="15" t="str">
        <f>IFERROR(__xludf.DUMMYFUNCTION("""COMPUTED_VALUE"""),"HELADERIA MAGDA")</f>
        <v>HELADERIA MAGDA</v>
      </c>
      <c r="F8006" s="17" t="str">
        <f>IFERROR(__xludf.DUMMYFUNCTION("""COMPUTED_VALUE"""),"CALLE 22 #6-82 / PLAZUELA 22 LOCAL 27")</f>
        <v>CALLE 22 #6-82 / PLAZUELA 22 LOCAL 27</v>
      </c>
      <c r="G8006" s="15" t="str">
        <f>IFERROR(__xludf.DUMMYFUNCTION("""COMPUTED_VALUE"""),"HELADERIA MAGDA SANTA MARTA")</f>
        <v>HELADERIA MAGDA SANTA MARTA</v>
      </c>
      <c r="H8006" s="16">
        <f>IFERROR(__xludf.DUMMYFUNCTION("""COMPUTED_VALUE"""),16709.0)</f>
        <v>16709</v>
      </c>
      <c r="I8006" s="17"/>
      <c r="J8006" s="17"/>
      <c r="K8006" s="17"/>
      <c r="L8006" s="17">
        <f>IFERROR(__xludf.DUMMYFUNCTION("""COMPUTED_VALUE"""),3.054269156E9)</f>
        <v>3054269156</v>
      </c>
      <c r="M8006" s="17"/>
      <c r="N8006" s="17"/>
      <c r="O8006" s="17"/>
      <c r="P8006" s="17" t="b">
        <f>IFERROR(__xludf.DUMMYFUNCTION("""COMPUTED_VALUE"""),FALSE)</f>
        <v>0</v>
      </c>
      <c r="Q8006" s="20" t="str">
        <f>IFERROR(__xludf.DUMMYFUNCTION("""COMPUTED_VALUE"""),"")</f>
        <v/>
      </c>
      <c r="R8006" s="21" t="str">
        <f>IFERROR(__xludf.DUMMYFUNCTION("""COMPUTED_VALUE"""),"https://drive.google.com/file/d/119n3faxKMyvtHb6zk8Kq7S7U_bIHQwno/view?usp=drivesdk")</f>
        <v>https://drive.google.com/file/d/119n3faxKMyvtHb6zk8Kq7S7U_bIHQwno/view?usp=drivesdk</v>
      </c>
    </row>
    <row r="8007">
      <c r="A8007" s="15">
        <f>IFERROR(__xludf.DUMMYFUNCTION("""COMPUTED_VALUE"""),45226.0)</f>
        <v>45226</v>
      </c>
      <c r="B8007" s="16" t="str">
        <f>IFERROR(__xludf.DUMMYFUNCTION("""COMPUTED_VALUE"""),"Envia")</f>
        <v>Envia</v>
      </c>
      <c r="C8007" s="15" t="str">
        <f>IFERROR(__xludf.DUMMYFUNCTION("""COMPUTED_VALUE"""),"SANTA MARTA")</f>
        <v>SANTA MARTA</v>
      </c>
      <c r="D8007" s="15" t="str">
        <f>IFERROR(__xludf.DUMMYFUNCTION("""COMPUTED_VALUE"""),"MEDELLÍN")</f>
        <v>MEDELLÍN</v>
      </c>
      <c r="E8007" s="15" t="str">
        <f>IFERROR(__xludf.DUMMYFUNCTION("""COMPUTED_VALUE"""),"Rambla")</f>
        <v>Rambla</v>
      </c>
      <c r="F8007" s="17" t="str">
        <f>IFERROR(__xludf.DUMMYFUNCTION("""COMPUTED_VALUE"""),"Cra. 12 #22-90 centro comercial san pedro local 16 al lado de los cajeros Honest Market / . / .")</f>
        <v>Cra. 12 #22-90 centro comercial san pedro local 16 al lado de los cajeros Honest Market / . / .</v>
      </c>
      <c r="G8007" s="15" t="str">
        <f>IFERROR(__xludf.DUMMYFUNCTION("""COMPUTED_VALUE"""),"Honest Market")</f>
        <v>Honest Market</v>
      </c>
      <c r="H8007" s="16">
        <f>IFERROR(__xludf.DUMMYFUNCTION("""COMPUTED_VALUE"""),16678.0)</f>
        <v>16678</v>
      </c>
      <c r="I8007" s="18">
        <f>IFERROR(__xludf.DUMMYFUNCTION("""COMPUTED_VALUE"""),10.0)</f>
        <v>10</v>
      </c>
      <c r="J8007" s="18">
        <f>IFERROR(__xludf.DUMMYFUNCTION("""COMPUTED_VALUE"""),10.0)</f>
        <v>10</v>
      </c>
      <c r="K8007" s="18">
        <f>IFERROR(__xludf.DUMMYFUNCTION("""COMPUTED_VALUE"""),10.0)</f>
        <v>10</v>
      </c>
      <c r="L8007" s="17">
        <f>IFERROR(__xludf.DUMMYFUNCTION("""COMPUTED_VALUE"""),3.185484803E9)</f>
        <v>3185484803</v>
      </c>
      <c r="M8007" s="17"/>
      <c r="N8007" s="17"/>
      <c r="O8007" s="17"/>
      <c r="P8007" s="17" t="b">
        <f>IFERROR(__xludf.DUMMYFUNCTION("""COMPUTED_VALUE"""),FALSE)</f>
        <v>0</v>
      </c>
      <c r="Q8007" s="20" t="str">
        <f>IFERROR(__xludf.DUMMYFUNCTION("""COMPUTED_VALUE"""),"")</f>
        <v/>
      </c>
      <c r="R8007" s="21" t="str">
        <f>IFERROR(__xludf.DUMMYFUNCTION("""COMPUTED_VALUE"""),"https://drive.google.com/file/d/1QVrqXBX-0IKtqWcDfUlBTnvA87r7W33e/view?usp=drivesdk")</f>
        <v>https://drive.google.com/file/d/1QVrqXBX-0IKtqWcDfUlBTnvA87r7W33e/view?usp=drivesdk</v>
      </c>
    </row>
    <row r="8008">
      <c r="A8008" s="17" t="str">
        <f>IFERROR(__xludf.DUMMYFUNCTION("""COMPUTED_VALUE"""),"")</f>
        <v/>
      </c>
      <c r="B8008" s="17" t="str">
        <f>IFERROR(__xludf.DUMMYFUNCTION("""COMPUTED_VALUE"""),"")</f>
        <v/>
      </c>
      <c r="C8008" s="17" t="str">
        <f>IFERROR(__xludf.DUMMYFUNCTION("""COMPUTED_VALUE"""),"")</f>
        <v/>
      </c>
      <c r="D8008" s="17" t="str">
        <f>IFERROR(__xludf.DUMMYFUNCTION("""COMPUTED_VALUE"""),"")</f>
        <v/>
      </c>
      <c r="E8008" s="17" t="str">
        <f>IFERROR(__xludf.DUMMYFUNCTION("""COMPUTED_VALUE"""),"")</f>
        <v/>
      </c>
      <c r="F8008" s="17" t="str">
        <f>IFERROR(__xludf.DUMMYFUNCTION("""COMPUTED_VALUE"""),"")</f>
        <v/>
      </c>
      <c r="G8008" s="17" t="str">
        <f>IFERROR(__xludf.DUMMYFUNCTION("""COMPUTED_VALUE"""),"")</f>
        <v/>
      </c>
      <c r="H8008" s="17" t="str">
        <f>IFERROR(__xludf.DUMMYFUNCTION("""COMPUTED_VALUE"""),"")</f>
        <v/>
      </c>
      <c r="I8008" s="17" t="str">
        <f>IFERROR(__xludf.DUMMYFUNCTION("""COMPUTED_VALUE"""),"")</f>
        <v/>
      </c>
      <c r="J8008" s="17" t="str">
        <f>IFERROR(__xludf.DUMMYFUNCTION("""COMPUTED_VALUE"""),"")</f>
        <v/>
      </c>
      <c r="K8008" s="17" t="str">
        <f>IFERROR(__xludf.DUMMYFUNCTION("""COMPUTED_VALUE"""),"")</f>
        <v/>
      </c>
      <c r="L8008" s="17" t="str">
        <f>IFERROR(__xludf.DUMMYFUNCTION("""COMPUTED_VALUE"""),"")</f>
        <v/>
      </c>
      <c r="M8008" s="17" t="str">
        <f>IFERROR(__xludf.DUMMYFUNCTION("""COMPUTED_VALUE"""),"")</f>
        <v/>
      </c>
      <c r="N8008" s="17" t="str">
        <f>IFERROR(__xludf.DUMMYFUNCTION("""COMPUTED_VALUE"""),"")</f>
        <v/>
      </c>
      <c r="O8008" s="17" t="str">
        <f>IFERROR(__xludf.DUMMYFUNCTION("""COMPUTED_VALUE"""),"")</f>
        <v/>
      </c>
      <c r="P8008" s="17" t="str">
        <f>IFERROR(__xludf.DUMMYFUNCTION("""COMPUTED_VALUE"""),"")</f>
        <v/>
      </c>
      <c r="Q8008" s="17" t="str">
        <f>IFERROR(__xludf.DUMMYFUNCTION("""COMPUTED_VALUE"""),"")</f>
        <v/>
      </c>
      <c r="R8008" s="17" t="str">
        <f>IFERROR(__xludf.DUMMYFUNCTION("""COMPUTED_VALUE"""),"")</f>
        <v/>
      </c>
    </row>
    <row r="8009">
      <c r="A8009" s="15">
        <f>IFERROR(__xludf.DUMMYFUNCTION("""COMPUTED_VALUE"""),45226.0)</f>
        <v>45226</v>
      </c>
      <c r="B8009" s="16" t="str">
        <f>IFERROR(__xludf.DUMMYFUNCTION("""COMPUTED_VALUE"""),"JOSE ALFREDO RAMIREZ VERGARA ")</f>
        <v>JOSE ALFREDO RAMIREZ VERGARA </v>
      </c>
      <c r="C8009" s="15" t="str">
        <f>IFERROR(__xludf.DUMMYFUNCTION("""COMPUTED_VALUE"""),"BOGOTÁ")</f>
        <v>BOGOTÁ</v>
      </c>
      <c r="D8009" s="15" t="str">
        <f>IFERROR(__xludf.DUMMYFUNCTION("""COMPUTED_VALUE"""),"MEDELLÍN")</f>
        <v>MEDELLÍN</v>
      </c>
      <c r="E8009" s="15" t="str">
        <f>IFERROR(__xludf.DUMMYFUNCTION("""COMPUTED_VALUE"""),"AREPAS LA MARY")</f>
        <v>AREPAS LA MARY</v>
      </c>
      <c r="F8009" s="17" t="str">
        <f>IFERROR(__xludf.DUMMYFUNCTION("""COMPUTED_VALUE"""),"CRA 9 N.85 75 APTO 602 / BOGOTA")</f>
        <v>CRA 9 N.85 75 APTO 602 / BOGOTA</v>
      </c>
      <c r="G8009" s="15" t="str">
        <f>IFERROR(__xludf.DUMMYFUNCTION("""COMPUTED_VALUE"""),"LINA ENRIQUEZ")</f>
        <v>LINA ENRIQUEZ</v>
      </c>
      <c r="H8009" s="16">
        <f>IFERROR(__xludf.DUMMYFUNCTION("""COMPUTED_VALUE"""),16733.0)</f>
        <v>16733</v>
      </c>
      <c r="I8009" s="18">
        <f>IFERROR(__xludf.DUMMYFUNCTION("""COMPUTED_VALUE"""),89.0)</f>
        <v>89</v>
      </c>
      <c r="J8009" s="18">
        <f>IFERROR(__xludf.DUMMYFUNCTION("""COMPUTED_VALUE"""),1.0)</f>
        <v>1</v>
      </c>
      <c r="K8009" s="18">
        <f>IFERROR(__xludf.DUMMYFUNCTION("""COMPUTED_VALUE"""),10.0)</f>
        <v>10</v>
      </c>
      <c r="L8009" s="17">
        <f>IFERROR(__xludf.DUMMYFUNCTION("""COMPUTED_VALUE"""),3.214265812E9)</f>
        <v>3214265812</v>
      </c>
      <c r="M8009" s="17"/>
      <c r="N8009" s="17"/>
      <c r="O8009" s="17"/>
      <c r="P8009" s="17" t="b">
        <f>IFERROR(__xludf.DUMMYFUNCTION("""COMPUTED_VALUE"""),FALSE)</f>
        <v>0</v>
      </c>
      <c r="Q8009" s="20" t="str">
        <f>IFERROR(__xludf.DUMMYFUNCTION("""COMPUTED_VALUE"""),"")</f>
        <v/>
      </c>
      <c r="R8009" s="21" t="str">
        <f>IFERROR(__xludf.DUMMYFUNCTION("""COMPUTED_VALUE"""),"https://drive.google.com/file/d/1TP7MmMfQ9e33Vb7e6MxRcw3lTKb9WOdc/view?usp=drivesdk")</f>
        <v>https://drive.google.com/file/d/1TP7MmMfQ9e33Vb7e6MxRcw3lTKb9WOdc/view?usp=drivesdk</v>
      </c>
    </row>
    <row r="8010">
      <c r="A8010" s="15">
        <f>IFERROR(__xludf.DUMMYFUNCTION("""COMPUTED_VALUE"""),45226.0)</f>
        <v>45226</v>
      </c>
      <c r="B8010" s="16" t="str">
        <f>IFERROR(__xludf.DUMMYFUNCTION("""COMPUTED_VALUE"""),"JOSE ALFREDO RAMIREZ VERGARA ")</f>
        <v>JOSE ALFREDO RAMIREZ VERGARA </v>
      </c>
      <c r="C8010" s="15" t="str">
        <f>IFERROR(__xludf.DUMMYFUNCTION("""COMPUTED_VALUE"""),"BOGOTÁ")</f>
        <v>BOGOTÁ</v>
      </c>
      <c r="D8010" s="15" t="str">
        <f>IFERROR(__xludf.DUMMYFUNCTION("""COMPUTED_VALUE"""),"MEDELLÍN")</f>
        <v>MEDELLÍN</v>
      </c>
      <c r="E8010" s="15" t="str">
        <f>IFERROR(__xludf.DUMMYFUNCTION("""COMPUTED_VALUE"""),"Baby Chef")</f>
        <v>Baby Chef</v>
      </c>
      <c r="F8010" s="17" t="str">
        <f>IFERROR(__xludf.DUMMYFUNCTION("""COMPUTED_VALUE"""),"Calle 135a # 104-48 torre 12 apto 403 Suba el refugio Bogota / . / .")</f>
        <v>Calle 135a # 104-48 torre 12 apto 403 Suba el refugio Bogota / . / .</v>
      </c>
      <c r="G8010" s="15" t="str">
        <f>IFERROR(__xludf.DUMMYFUNCTION("""COMPUTED_VALUE"""),"German andres sanchez")</f>
        <v>German andres sanchez</v>
      </c>
      <c r="H8010" s="16">
        <f>IFERROR(__xludf.DUMMYFUNCTION("""COMPUTED_VALUE"""),16726.0)</f>
        <v>16726</v>
      </c>
      <c r="I8010" s="18">
        <f>IFERROR(__xludf.DUMMYFUNCTION("""COMPUTED_VALUE"""),8.0)</f>
        <v>8</v>
      </c>
      <c r="J8010" s="18">
        <f>IFERROR(__xludf.DUMMYFUNCTION("""COMPUTED_VALUE"""),22.0)</f>
        <v>22</v>
      </c>
      <c r="K8010" s="18">
        <f>IFERROR(__xludf.DUMMYFUNCTION("""COMPUTED_VALUE"""),38.0)</f>
        <v>38</v>
      </c>
      <c r="L8010" s="17">
        <f>IFERROR(__xludf.DUMMYFUNCTION("""COMPUTED_VALUE"""),3.01327881E9)</f>
        <v>3013278810</v>
      </c>
      <c r="M8010" s="17"/>
      <c r="N8010" s="17"/>
      <c r="O8010" s="17"/>
      <c r="P8010" s="17" t="b">
        <f>IFERROR(__xludf.DUMMYFUNCTION("""COMPUTED_VALUE"""),FALSE)</f>
        <v>0</v>
      </c>
      <c r="Q8010" s="20" t="str">
        <f>IFERROR(__xludf.DUMMYFUNCTION("""COMPUTED_VALUE"""),"")</f>
        <v/>
      </c>
      <c r="R8010" s="21" t="str">
        <f>IFERROR(__xludf.DUMMYFUNCTION("""COMPUTED_VALUE"""),"https://drive.google.com/file/d/1YIsM-iAq0Z0pg_a2VkUS08VFNHEew3P5/view?usp=drivesdk")</f>
        <v>https://drive.google.com/file/d/1YIsM-iAq0Z0pg_a2VkUS08VFNHEew3P5/view?usp=drivesdk</v>
      </c>
    </row>
    <row r="8011">
      <c r="A8011" s="15">
        <f>IFERROR(__xludf.DUMMYFUNCTION("""COMPUTED_VALUE"""),45226.0)</f>
        <v>45226</v>
      </c>
      <c r="B8011" s="16" t="str">
        <f>IFERROR(__xludf.DUMMYFUNCTION("""COMPUTED_VALUE"""),"JOSE ALFREDO RAMIREZ VERGARA ")</f>
        <v>JOSE ALFREDO RAMIREZ VERGARA </v>
      </c>
      <c r="C8011" s="15" t="str">
        <f>IFERROR(__xludf.DUMMYFUNCTION("""COMPUTED_VALUE"""),"BOGOTÁ")</f>
        <v>BOGOTÁ</v>
      </c>
      <c r="D8011" s="15" t="str">
        <f>IFERROR(__xludf.DUMMYFUNCTION("""COMPUTED_VALUE"""),"MEDELLÍN")</f>
        <v>MEDELLÍN</v>
      </c>
      <c r="E8011" s="15" t="str">
        <f>IFERROR(__xludf.DUMMYFUNCTION("""COMPUTED_VALUE"""),"Baby Chef")</f>
        <v>Baby Chef</v>
      </c>
      <c r="F8011" s="17" t="str">
        <f>IFERROR(__xludf.DUMMYFUNCTION("""COMPUTED_VALUE"""),"Carrera 13 no. 86A-16 apto 402 Barrio la cabrera / . / .")</f>
        <v>Carrera 13 no. 86A-16 apto 402 Barrio la cabrera / . / .</v>
      </c>
      <c r="G8011" s="15" t="str">
        <f>IFERROR(__xludf.DUMMYFUNCTION("""COMPUTED_VALUE"""),"Carolina Figueroa")</f>
        <v>Carolina Figueroa</v>
      </c>
      <c r="H8011" s="16">
        <f>IFERROR(__xludf.DUMMYFUNCTION("""COMPUTED_VALUE"""),16728.0)</f>
        <v>16728</v>
      </c>
      <c r="I8011" s="18">
        <f>IFERROR(__xludf.DUMMYFUNCTION("""COMPUTED_VALUE"""),10.0)</f>
        <v>10</v>
      </c>
      <c r="J8011" s="18">
        <f>IFERROR(__xludf.DUMMYFUNCTION("""COMPUTED_VALUE"""),21.0)</f>
        <v>21</v>
      </c>
      <c r="K8011" s="18">
        <f>IFERROR(__xludf.DUMMYFUNCTION("""COMPUTED_VALUE"""),42.0)</f>
        <v>42</v>
      </c>
      <c r="L8011" s="17">
        <f>IFERROR(__xludf.DUMMYFUNCTION("""COMPUTED_VALUE"""),3.168767422E9)</f>
        <v>3168767422</v>
      </c>
      <c r="M8011" s="17"/>
      <c r="N8011" s="17"/>
      <c r="O8011" s="17"/>
      <c r="P8011" s="17" t="b">
        <f>IFERROR(__xludf.DUMMYFUNCTION("""COMPUTED_VALUE"""),FALSE)</f>
        <v>0</v>
      </c>
      <c r="Q8011" s="20" t="str">
        <f>IFERROR(__xludf.DUMMYFUNCTION("""COMPUTED_VALUE"""),"")</f>
        <v/>
      </c>
      <c r="R8011" s="21" t="str">
        <f>IFERROR(__xludf.DUMMYFUNCTION("""COMPUTED_VALUE"""),"https://drive.google.com/file/d/1c_W1LErBdsEi6ntP37MgUACWuJOKhGb6/view?usp=drivesdk")</f>
        <v>https://drive.google.com/file/d/1c_W1LErBdsEi6ntP37MgUACWuJOKhGb6/view?usp=drivesdk</v>
      </c>
    </row>
    <row r="8012">
      <c r="A8012" s="15">
        <f>IFERROR(__xludf.DUMMYFUNCTION("""COMPUTED_VALUE"""),45226.0)</f>
        <v>45226</v>
      </c>
      <c r="B8012" s="16" t="str">
        <f>IFERROR(__xludf.DUMMYFUNCTION("""COMPUTED_VALUE"""),"JOSE ALFREDO RAMIREZ VERGARA ")</f>
        <v>JOSE ALFREDO RAMIREZ VERGARA </v>
      </c>
      <c r="C8012" s="15" t="str">
        <f>IFERROR(__xludf.DUMMYFUNCTION("""COMPUTED_VALUE"""),"BOGOTÁ")</f>
        <v>BOGOTÁ</v>
      </c>
      <c r="D8012" s="15" t="str">
        <f>IFERROR(__xludf.DUMMYFUNCTION("""COMPUTED_VALUE"""),"MEDELLÍN")</f>
        <v>MEDELLÍN</v>
      </c>
      <c r="E8012" s="15" t="str">
        <f>IFERROR(__xludf.DUMMYFUNCTION("""COMPUTED_VALUE"""),"Baby Chef")</f>
        <v>Baby Chef</v>
      </c>
      <c r="F8012" s="17" t="str">
        <f>IFERROR(__xludf.DUMMYFUNCTION("""COMPUTED_VALUE"""),"carrera 62 #17-46. Zona industrial puente aranda  Bogota / . / .")</f>
        <v>carrera 62 #17-46. Zona industrial puente aranda  Bogota / . / .</v>
      </c>
      <c r="G8012" s="15" t="str">
        <f>IFERROR(__xludf.DUMMYFUNCTION("""COMPUTED_VALUE"""),"Diana Rodriguez")</f>
        <v>Diana Rodriguez</v>
      </c>
      <c r="H8012" s="16">
        <f>IFERROR(__xludf.DUMMYFUNCTION("""COMPUTED_VALUE"""),16730.0)</f>
        <v>16730</v>
      </c>
      <c r="I8012" s="18">
        <f>IFERROR(__xludf.DUMMYFUNCTION("""COMPUTED_VALUE"""),4.0)</f>
        <v>4</v>
      </c>
      <c r="J8012" s="18">
        <f>IFERROR(__xludf.DUMMYFUNCTION("""COMPUTED_VALUE"""),22.0)</f>
        <v>22</v>
      </c>
      <c r="K8012" s="18">
        <f>IFERROR(__xludf.DUMMYFUNCTION("""COMPUTED_VALUE"""),21.0)</f>
        <v>21</v>
      </c>
      <c r="L8012" s="17">
        <f>IFERROR(__xludf.DUMMYFUNCTION("""COMPUTED_VALUE"""),3.214111084E9)</f>
        <v>3214111084</v>
      </c>
      <c r="M8012" s="17"/>
      <c r="N8012" s="17"/>
      <c r="O8012" s="17"/>
      <c r="P8012" s="17" t="b">
        <f>IFERROR(__xludf.DUMMYFUNCTION("""COMPUTED_VALUE"""),FALSE)</f>
        <v>0</v>
      </c>
      <c r="Q8012" s="20" t="str">
        <f>IFERROR(__xludf.DUMMYFUNCTION("""COMPUTED_VALUE"""),"")</f>
        <v/>
      </c>
      <c r="R8012" s="21" t="str">
        <f>IFERROR(__xludf.DUMMYFUNCTION("""COMPUTED_VALUE"""),"https://drive.google.com/file/d/1dhl1Y1ysGGxMkY92IkWbnETwT5csDQE3/view?usp=drivesdk")</f>
        <v>https://drive.google.com/file/d/1dhl1Y1ysGGxMkY92IkWbnETwT5csDQE3/view?usp=drivesdk</v>
      </c>
    </row>
    <row r="8013">
      <c r="A8013" s="15">
        <f>IFERROR(__xludf.DUMMYFUNCTION("""COMPUTED_VALUE"""),45226.0)</f>
        <v>45226</v>
      </c>
      <c r="B8013" s="16" t="str">
        <f>IFERROR(__xludf.DUMMYFUNCTION("""COMPUTED_VALUE"""),"JOSE ALFREDO RAMIREZ VERGARA ")</f>
        <v>JOSE ALFREDO RAMIREZ VERGARA </v>
      </c>
      <c r="C8013" s="15" t="str">
        <f>IFERROR(__xludf.DUMMYFUNCTION("""COMPUTED_VALUE"""),"BOGOTÁ")</f>
        <v>BOGOTÁ</v>
      </c>
      <c r="D8013" s="15" t="str">
        <f>IFERROR(__xludf.DUMMYFUNCTION("""COMPUTED_VALUE"""),"MEDELLÍN")</f>
        <v>MEDELLÍN</v>
      </c>
      <c r="E8013" s="15" t="str">
        <f>IFERROR(__xludf.DUMMYFUNCTION("""COMPUTED_VALUE"""),"HELADERIA MAGDA")</f>
        <v>HELADERIA MAGDA</v>
      </c>
      <c r="F8013" s="17" t="str">
        <f>IFERROR(__xludf.DUMMYFUNCTION("""COMPUTED_VALUE"""),"CALLE 71A #14A22-26 / COCINA OCULTA")</f>
        <v>CALLE 71A #14A22-26 / COCINA OCULTA</v>
      </c>
      <c r="G8013" s="15" t="str">
        <f>IFERROR(__xludf.DUMMYFUNCTION("""COMPUTED_VALUE"""),"COCINAS OCULTAS")</f>
        <v>COCINAS OCULTAS</v>
      </c>
      <c r="H8013" s="16">
        <f>IFERROR(__xludf.DUMMYFUNCTION("""COMPUTED_VALUE"""),16725.0)</f>
        <v>16725</v>
      </c>
      <c r="I8013" s="17"/>
      <c r="J8013" s="17"/>
      <c r="K8013" s="17"/>
      <c r="L8013" s="17">
        <f>IFERROR(__xludf.DUMMYFUNCTION("""COMPUTED_VALUE"""),3.156303988E9)</f>
        <v>3156303988</v>
      </c>
      <c r="M8013" s="17"/>
      <c r="N8013" s="17"/>
      <c r="O8013" s="17"/>
      <c r="P8013" s="17" t="b">
        <f>IFERROR(__xludf.DUMMYFUNCTION("""COMPUTED_VALUE"""),TRUE)</f>
        <v>1</v>
      </c>
      <c r="Q8013" s="20">
        <f>IFERROR(__xludf.DUMMYFUNCTION("""COMPUTED_VALUE"""),45229.57268886574)</f>
        <v>45229.57269</v>
      </c>
      <c r="R8013" s="21" t="str">
        <f>IFERROR(__xludf.DUMMYFUNCTION("""COMPUTED_VALUE"""),"https://drive.google.com/file/d/1Cbtjwwi0iAst0Yfd3VwBMq-5M5lZcAOj/view?usp=drivesdk")</f>
        <v>https://drive.google.com/file/d/1Cbtjwwi0iAst0Yfd3VwBMq-5M5lZcAOj/view?usp=drivesdk</v>
      </c>
    </row>
    <row r="8014">
      <c r="A8014" s="15">
        <f>IFERROR(__xludf.DUMMYFUNCTION("""COMPUTED_VALUE"""),45226.0)</f>
        <v>45226</v>
      </c>
      <c r="B8014" s="16" t="str">
        <f>IFERROR(__xludf.DUMMYFUNCTION("""COMPUTED_VALUE"""),"JOSE ALFREDO RAMIREZ VERGARA ")</f>
        <v>JOSE ALFREDO RAMIREZ VERGARA </v>
      </c>
      <c r="C8014" s="15" t="str">
        <f>IFERROR(__xludf.DUMMYFUNCTION("""COMPUTED_VALUE"""),"BOGOTÁ")</f>
        <v>BOGOTÁ</v>
      </c>
      <c r="D8014" s="15" t="str">
        <f>IFERROR(__xludf.DUMMYFUNCTION("""COMPUTED_VALUE"""),"MEDELLÍN")</f>
        <v>MEDELLÍN</v>
      </c>
      <c r="E8014" s="15" t="str">
        <f>IFERROR(__xludf.DUMMYFUNCTION("""COMPUTED_VALUE"""),"Lácteos El Pino SAS")</f>
        <v>Lácteos El Pino SAS</v>
      </c>
      <c r="F8014" s="17" t="str">
        <f>IFERROR(__xludf.DUMMYFUNCTION("""COMPUTED_VALUE"""),"CALLE 93 #18 - 81 / ENTREGAR EN EL LOCAL")</f>
        <v>CALLE 93 #18 - 81 / ENTREGAR EN EL LOCAL</v>
      </c>
      <c r="G8014" s="15" t="str">
        <f>IFERROR(__xludf.DUMMYFUNCTION("""COMPUTED_VALUE"""),"KIM")</f>
        <v>KIM</v>
      </c>
      <c r="H8014" s="16">
        <f>IFERROR(__xludf.DUMMYFUNCTION("""COMPUTED_VALUE"""),16711.0)</f>
        <v>16711</v>
      </c>
      <c r="I8014" s="17"/>
      <c r="J8014" s="17"/>
      <c r="K8014" s="17"/>
      <c r="L8014" s="17">
        <f>IFERROR(__xludf.DUMMYFUNCTION("""COMPUTED_VALUE"""),3.24566062E9)</f>
        <v>3245660620</v>
      </c>
      <c r="M8014" s="17"/>
      <c r="N8014" s="17"/>
      <c r="O8014" s="17"/>
      <c r="P8014" s="17" t="b">
        <f>IFERROR(__xludf.DUMMYFUNCTION("""COMPUTED_VALUE"""),FALSE)</f>
        <v>0</v>
      </c>
      <c r="Q8014" s="20" t="str">
        <f>IFERROR(__xludf.DUMMYFUNCTION("""COMPUTED_VALUE"""),"")</f>
        <v/>
      </c>
      <c r="R8014" s="22" t="str">
        <f>IFERROR(__xludf.DUMMYFUNCTION("""COMPUTED_VALUE"""),"")</f>
        <v/>
      </c>
    </row>
    <row r="8015">
      <c r="A8015" s="15">
        <f>IFERROR(__xludf.DUMMYFUNCTION("""COMPUTED_VALUE"""),45226.0)</f>
        <v>45226</v>
      </c>
      <c r="B8015" s="16" t="str">
        <f>IFERROR(__xludf.DUMMYFUNCTION("""COMPUTED_VALUE"""),"JOSE ALFREDO RAMIREZ VERGARA ")</f>
        <v>JOSE ALFREDO RAMIREZ VERGARA </v>
      </c>
      <c r="C8015" s="15" t="str">
        <f>IFERROR(__xludf.DUMMYFUNCTION("""COMPUTED_VALUE"""),"BOGOTÁ")</f>
        <v>BOGOTÁ</v>
      </c>
      <c r="D8015" s="15" t="str">
        <f>IFERROR(__xludf.DUMMYFUNCTION("""COMPUTED_VALUE"""),"MEDELLÍN")</f>
        <v>MEDELLÍN</v>
      </c>
      <c r="E8015" s="15" t="str">
        <f>IFERROR(__xludf.DUMMYFUNCTION("""COMPUTED_VALUE"""),"Moloso S.A.S")</f>
        <v>Moloso S.A.S</v>
      </c>
      <c r="F8015" s="17" t="str">
        <f>IFERROR(__xludf.DUMMYFUNCTION("""COMPUTED_VALUE"""),"CR 75 24 D 70 / CIGARRERIA")</f>
        <v>CR 75 24 D 70 / CIGARRERIA</v>
      </c>
      <c r="G8015" s="15" t="str">
        <f>IFERROR(__xludf.DUMMYFUNCTION("""COMPUTED_VALUE"""),"MARIA JOSE MELO BONILLA")</f>
        <v>MARIA JOSE MELO BONILLA</v>
      </c>
      <c r="H8015" s="16">
        <f>IFERROR(__xludf.DUMMYFUNCTION("""COMPUTED_VALUE"""),16722.0)</f>
        <v>16722</v>
      </c>
      <c r="I8015" s="18">
        <f>IFERROR(__xludf.DUMMYFUNCTION("""COMPUTED_VALUE"""),17.0)</f>
        <v>17</v>
      </c>
      <c r="J8015" s="18">
        <f>IFERROR(__xludf.DUMMYFUNCTION("""COMPUTED_VALUE"""),15.0)</f>
        <v>15</v>
      </c>
      <c r="K8015" s="18">
        <f>IFERROR(__xludf.DUMMYFUNCTION("""COMPUTED_VALUE"""),28.0)</f>
        <v>28</v>
      </c>
      <c r="L8015" s="17">
        <f>IFERROR(__xludf.DUMMYFUNCTION("""COMPUTED_VALUE"""),3.143504351E9)</f>
        <v>3143504351</v>
      </c>
      <c r="M8015" s="17"/>
      <c r="N8015" s="17"/>
      <c r="O8015" s="17"/>
      <c r="P8015" s="17" t="b">
        <f>IFERROR(__xludf.DUMMYFUNCTION("""COMPUTED_VALUE"""),TRUE)</f>
        <v>1</v>
      </c>
      <c r="Q8015" s="20">
        <f>IFERROR(__xludf.DUMMYFUNCTION("""COMPUTED_VALUE"""),45229.57268886574)</f>
        <v>45229.57269</v>
      </c>
      <c r="R8015" s="21" t="str">
        <f>IFERROR(__xludf.DUMMYFUNCTION("""COMPUTED_VALUE"""),"https://drive.google.com/file/d/1sqtsGbSsz80u62D5wTsCOsV6ayhsvGGn/view?usp=drivesdk")</f>
        <v>https://drive.google.com/file/d/1sqtsGbSsz80u62D5wTsCOsV6ayhsvGGn/view?usp=drivesdk</v>
      </c>
    </row>
    <row r="8016">
      <c r="A8016" s="15">
        <f>IFERROR(__xludf.DUMMYFUNCTION("""COMPUTED_VALUE"""),45226.0)</f>
        <v>45226</v>
      </c>
      <c r="B8016" s="16" t="str">
        <f>IFERROR(__xludf.DUMMYFUNCTION("""COMPUTED_VALUE"""),"JOSE ALFREDO RAMIREZ VERGARA ")</f>
        <v>JOSE ALFREDO RAMIREZ VERGARA </v>
      </c>
      <c r="C8016" s="15" t="str">
        <f>IFERROR(__xludf.DUMMYFUNCTION("""COMPUTED_VALUE"""),"BOGOTÁ")</f>
        <v>BOGOTÁ</v>
      </c>
      <c r="D8016" s="15" t="str">
        <f>IFERROR(__xludf.DUMMYFUNCTION("""COMPUTED_VALUE"""),"MEDELLÍN")</f>
        <v>MEDELLÍN</v>
      </c>
      <c r="E8016" s="15" t="str">
        <f>IFERROR(__xludf.DUMMYFUNCTION("""COMPUTED_VALUE"""),"Rambla")</f>
        <v>Rambla</v>
      </c>
      <c r="F8016" s="17" t="str">
        <f>IFERROR(__xludf.DUMMYFUNCTION("""COMPUTED_VALUE"""),"Cll 90 # 15-56 Chico  / - / -")</f>
        <v>Cll 90 # 15-56 Chico  / - / -</v>
      </c>
      <c r="G8016" s="15" t="str">
        <f>IFERROR(__xludf.DUMMYFUNCTION("""COMPUTED_VALUE"""),"Fitmarket")</f>
        <v>Fitmarket</v>
      </c>
      <c r="H8016" s="16">
        <f>IFERROR(__xludf.DUMMYFUNCTION("""COMPUTED_VALUE"""),16720.0)</f>
        <v>16720</v>
      </c>
      <c r="I8016" s="18">
        <f>IFERROR(__xludf.DUMMYFUNCTION("""COMPUTED_VALUE"""),36.0)</f>
        <v>36</v>
      </c>
      <c r="J8016" s="18">
        <f>IFERROR(__xludf.DUMMYFUNCTION("""COMPUTED_VALUE"""),45.0)</f>
        <v>45</v>
      </c>
      <c r="K8016" s="18">
        <f>IFERROR(__xludf.DUMMYFUNCTION("""COMPUTED_VALUE"""),45.0)</f>
        <v>45</v>
      </c>
      <c r="L8016" s="17">
        <f>IFERROR(__xludf.DUMMYFUNCTION("""COMPUTED_VALUE"""),3.183545455E9)</f>
        <v>3183545455</v>
      </c>
      <c r="M8016" s="17"/>
      <c r="N8016" s="17"/>
      <c r="O8016" s="17"/>
      <c r="P8016" s="17" t="b">
        <f>IFERROR(__xludf.DUMMYFUNCTION("""COMPUTED_VALUE"""),TRUE)</f>
        <v>1</v>
      </c>
      <c r="Q8016" s="20">
        <f>IFERROR(__xludf.DUMMYFUNCTION("""COMPUTED_VALUE"""),45229.57268887731)</f>
        <v>45229.57269</v>
      </c>
      <c r="R8016" s="22" t="str">
        <f>IFERROR(__xludf.DUMMYFUNCTION("""COMPUTED_VALUE"""),"")</f>
        <v/>
      </c>
    </row>
    <row r="8017">
      <c r="A8017" s="17" t="str">
        <f>IFERROR(__xludf.DUMMYFUNCTION("""COMPUTED_VALUE"""),"")</f>
        <v/>
      </c>
      <c r="B8017" s="17" t="str">
        <f>IFERROR(__xludf.DUMMYFUNCTION("""COMPUTED_VALUE"""),"")</f>
        <v/>
      </c>
      <c r="C8017" s="17" t="str">
        <f>IFERROR(__xludf.DUMMYFUNCTION("""COMPUTED_VALUE"""),"")</f>
        <v/>
      </c>
      <c r="D8017" s="17" t="str">
        <f>IFERROR(__xludf.DUMMYFUNCTION("""COMPUTED_VALUE"""),"")</f>
        <v/>
      </c>
      <c r="E8017" s="17" t="str">
        <f>IFERROR(__xludf.DUMMYFUNCTION("""COMPUTED_VALUE"""),"")</f>
        <v/>
      </c>
      <c r="F8017" s="17" t="str">
        <f>IFERROR(__xludf.DUMMYFUNCTION("""COMPUTED_VALUE"""),"")</f>
        <v/>
      </c>
      <c r="G8017" s="17" t="str">
        <f>IFERROR(__xludf.DUMMYFUNCTION("""COMPUTED_VALUE"""),"")</f>
        <v/>
      </c>
      <c r="H8017" s="17" t="str">
        <f>IFERROR(__xludf.DUMMYFUNCTION("""COMPUTED_VALUE"""),"")</f>
        <v/>
      </c>
      <c r="I8017" s="17" t="str">
        <f>IFERROR(__xludf.DUMMYFUNCTION("""COMPUTED_VALUE"""),"")</f>
        <v/>
      </c>
      <c r="J8017" s="17" t="str">
        <f>IFERROR(__xludf.DUMMYFUNCTION("""COMPUTED_VALUE"""),"")</f>
        <v/>
      </c>
      <c r="K8017" s="17" t="str">
        <f>IFERROR(__xludf.DUMMYFUNCTION("""COMPUTED_VALUE"""),"")</f>
        <v/>
      </c>
      <c r="L8017" s="17" t="str">
        <f>IFERROR(__xludf.DUMMYFUNCTION("""COMPUTED_VALUE"""),"")</f>
        <v/>
      </c>
      <c r="M8017" s="17" t="str">
        <f>IFERROR(__xludf.DUMMYFUNCTION("""COMPUTED_VALUE"""),"")</f>
        <v/>
      </c>
      <c r="N8017" s="17" t="str">
        <f>IFERROR(__xludf.DUMMYFUNCTION("""COMPUTED_VALUE"""),"")</f>
        <v/>
      </c>
      <c r="O8017" s="17" t="str">
        <f>IFERROR(__xludf.DUMMYFUNCTION("""COMPUTED_VALUE"""),"")</f>
        <v/>
      </c>
      <c r="P8017" s="17" t="str">
        <f>IFERROR(__xludf.DUMMYFUNCTION("""COMPUTED_VALUE"""),"")</f>
        <v/>
      </c>
      <c r="Q8017" s="17" t="str">
        <f>IFERROR(__xludf.DUMMYFUNCTION("""COMPUTED_VALUE"""),"")</f>
        <v/>
      </c>
      <c r="R8017" s="17" t="str">
        <f>IFERROR(__xludf.DUMMYFUNCTION("""COMPUTED_VALUE"""),"")</f>
        <v/>
      </c>
    </row>
    <row r="8018">
      <c r="A8018" s="15">
        <f>IFERROR(__xludf.DUMMYFUNCTION("""COMPUTED_VALUE"""),45226.0)</f>
        <v>45226</v>
      </c>
      <c r="B8018" s="16" t="str">
        <f>IFERROR(__xludf.DUMMYFUNCTION("""COMPUTED_VALUE"""),"Lina Gaona")</f>
        <v>Lina Gaona</v>
      </c>
      <c r="C8018" s="15" t="str">
        <f>IFERROR(__xludf.DUMMYFUNCTION("""COMPUTED_VALUE"""),"CÚCUTA")</f>
        <v>CÚCUTA</v>
      </c>
      <c r="D8018" s="15" t="str">
        <f>IFERROR(__xludf.DUMMYFUNCTION("""COMPUTED_VALUE"""),"BOGOTÁ")</f>
        <v>BOGOTÁ</v>
      </c>
      <c r="E8018" s="15" t="str">
        <f>IFERROR(__xludf.DUMMYFUNCTION("""COMPUTED_VALUE"""),"Instinto alimento vital")</f>
        <v>Instinto alimento vital</v>
      </c>
      <c r="F8018" s="17" t="str">
        <f>IFERROR(__xludf.DUMMYFUNCTION("""COMPUTED_VALUE"""),"CONJUNTO CERRADO VILLA CECILIA CASA 5 VILLA DEL ROSARIO / CONJUNTO CERRADO VILLA CECILIA CASA 5 VILLA DEL ROSARIO")</f>
        <v>CONJUNTO CERRADO VILLA CECILIA CASA 5 VILLA DEL ROSARIO / CONJUNTO CERRADO VILLA CECILIA CASA 5 VILLA DEL ROSARIO</v>
      </c>
      <c r="G8018" s="15" t="str">
        <f>IFERROR(__xludf.DUMMYFUNCTION("""COMPUTED_VALUE"""),"WILLIAM DIAZ PEÑALOZA")</f>
        <v>WILLIAM DIAZ PEÑALOZA</v>
      </c>
      <c r="H8018" s="16">
        <f>IFERROR(__xludf.DUMMYFUNCTION("""COMPUTED_VALUE"""),16684.0)</f>
        <v>16684</v>
      </c>
      <c r="I8018" s="17"/>
      <c r="J8018" s="17"/>
      <c r="K8018" s="17"/>
      <c r="L8018" s="17">
        <f>IFERROR(__xludf.DUMMYFUNCTION("""COMPUTED_VALUE"""),3.222766084E9)</f>
        <v>3222766084</v>
      </c>
      <c r="M8018" s="17"/>
      <c r="N8018" s="17"/>
      <c r="O8018" s="17"/>
      <c r="P8018" s="17" t="b">
        <f>IFERROR(__xludf.DUMMYFUNCTION("""COMPUTED_VALUE"""),FALSE)</f>
        <v>0</v>
      </c>
      <c r="Q8018" s="20" t="str">
        <f>IFERROR(__xludf.DUMMYFUNCTION("""COMPUTED_VALUE"""),"")</f>
        <v/>
      </c>
      <c r="R8018" s="21" t="str">
        <f>IFERROR(__xludf.DUMMYFUNCTION("""COMPUTED_VALUE"""),"https://drive.google.com/file/d/1PgqX0pnOmk_2Iy7Oo0kUF953P2laPpH-/view?usp=drivesdk")</f>
        <v>https://drive.google.com/file/d/1PgqX0pnOmk_2Iy7Oo0kUF953P2laPpH-/view?usp=drivesdk</v>
      </c>
    </row>
    <row r="8019">
      <c r="A8019" s="15">
        <f>IFERROR(__xludf.DUMMYFUNCTION("""COMPUTED_VALUE"""),45226.0)</f>
        <v>45226</v>
      </c>
      <c r="B8019" s="16" t="str">
        <f>IFERROR(__xludf.DUMMYFUNCTION("""COMPUTED_VALUE"""),"Lina Gaona")</f>
        <v>Lina Gaona</v>
      </c>
      <c r="C8019" s="15" t="str">
        <f>IFERROR(__xludf.DUMMYFUNCTION("""COMPUTED_VALUE"""),"CÚCUTA")</f>
        <v>CÚCUTA</v>
      </c>
      <c r="D8019" s="15" t="str">
        <f>IFERROR(__xludf.DUMMYFUNCTION("""COMPUTED_VALUE"""),"BOGOTÁ")</f>
        <v>BOGOTÁ</v>
      </c>
      <c r="E8019" s="15" t="str">
        <f>IFERROR(__xludf.DUMMYFUNCTION("""COMPUTED_VALUE"""),"LINA PAOLA RAMIREZ GOMEZ - EVA MAZZITA")</f>
        <v>LINA PAOLA RAMIREZ GOMEZ - EVA MAZZITA</v>
      </c>
      <c r="F8019" s="17" t="str">
        <f>IFERROR(__xludf.DUMMYFUNCTION("""COMPUTED_VALUE"""),"Av 2E # 15A -17 Caobos / Caobos")</f>
        <v>Av 2E # 15A -17 Caobos / Caobos</v>
      </c>
      <c r="G8019" s="15" t="str">
        <f>IFERROR(__xludf.DUMMYFUNCTION("""COMPUTED_VALUE"""),"DACCY KARINA LOPEZ MORENO")</f>
        <v>DACCY KARINA LOPEZ MORENO</v>
      </c>
      <c r="H8019" s="16">
        <f>IFERROR(__xludf.DUMMYFUNCTION("""COMPUTED_VALUE"""),16692.0)</f>
        <v>16692</v>
      </c>
      <c r="I8019" s="17"/>
      <c r="J8019" s="17"/>
      <c r="K8019" s="17"/>
      <c r="L8019" s="17">
        <f>IFERROR(__xludf.DUMMYFUNCTION("""COMPUTED_VALUE"""),3.208615379E9)</f>
        <v>3208615379</v>
      </c>
      <c r="M8019" s="17"/>
      <c r="N8019" s="17"/>
      <c r="O8019" s="17"/>
      <c r="P8019" s="17" t="b">
        <f>IFERROR(__xludf.DUMMYFUNCTION("""COMPUTED_VALUE"""),FALSE)</f>
        <v>0</v>
      </c>
      <c r="Q8019" s="20" t="str">
        <f>IFERROR(__xludf.DUMMYFUNCTION("""COMPUTED_VALUE"""),"")</f>
        <v/>
      </c>
      <c r="R8019" s="21" t="str">
        <f>IFERROR(__xludf.DUMMYFUNCTION("""COMPUTED_VALUE"""),"https://drive.google.com/file/d/1TIThTmPtVoIwk875IiqCkHrQ5TljRgqk/view?usp=drivesdk")</f>
        <v>https://drive.google.com/file/d/1TIThTmPtVoIwk875IiqCkHrQ5TljRgqk/view?usp=drivesdk</v>
      </c>
    </row>
    <row r="8020">
      <c r="A8020" s="15">
        <f>IFERROR(__xludf.DUMMYFUNCTION("""COMPUTED_VALUE"""),45226.0)</f>
        <v>45226</v>
      </c>
      <c r="B8020" s="16" t="str">
        <f>IFERROR(__xludf.DUMMYFUNCTION("""COMPUTED_VALUE"""),"Lina Gaona")</f>
        <v>Lina Gaona</v>
      </c>
      <c r="C8020" s="15" t="str">
        <f>IFERROR(__xludf.DUMMYFUNCTION("""COMPUTED_VALUE"""),"CÚCUTA")</f>
        <v>CÚCUTA</v>
      </c>
      <c r="D8020" s="15" t="str">
        <f>IFERROR(__xludf.DUMMYFUNCTION("""COMPUTED_VALUE"""),"BOGOTÁ")</f>
        <v>BOGOTÁ</v>
      </c>
      <c r="E8020" s="15" t="str">
        <f>IFERROR(__xludf.DUMMYFUNCTION("""COMPUTED_VALUE"""),"LINA PAOLA RAMIREZ GOMEZ - EVA MAZZITA")</f>
        <v>LINA PAOLA RAMIREZ GOMEZ - EVA MAZZITA</v>
      </c>
      <c r="F8020" s="17" t="str">
        <f>IFERROR(__xludf.DUMMYFUNCTION("""COMPUTED_VALUE"""),"CALLE 18A No. 9 - 55 / LA LIBERTAD")</f>
        <v>CALLE 18A No. 9 - 55 / LA LIBERTAD</v>
      </c>
      <c r="G8020" s="15" t="str">
        <f>IFERROR(__xludf.DUMMYFUNCTION("""COMPUTED_VALUE"""),"SARA PEREZ CACERES")</f>
        <v>SARA PEREZ CACERES</v>
      </c>
      <c r="H8020" s="16">
        <f>IFERROR(__xludf.DUMMYFUNCTION("""COMPUTED_VALUE"""),16690.0)</f>
        <v>16690</v>
      </c>
      <c r="I8020" s="17"/>
      <c r="J8020" s="17"/>
      <c r="K8020" s="17"/>
      <c r="L8020" s="17">
        <f>IFERROR(__xludf.DUMMYFUNCTION("""COMPUTED_VALUE"""),3.053285138E9)</f>
        <v>3053285138</v>
      </c>
      <c r="M8020" s="17"/>
      <c r="N8020" s="17"/>
      <c r="O8020" s="17"/>
      <c r="P8020" s="17" t="b">
        <f>IFERROR(__xludf.DUMMYFUNCTION("""COMPUTED_VALUE"""),FALSE)</f>
        <v>0</v>
      </c>
      <c r="Q8020" s="20" t="str">
        <f>IFERROR(__xludf.DUMMYFUNCTION("""COMPUTED_VALUE"""),"")</f>
        <v/>
      </c>
      <c r="R8020" s="21" t="str">
        <f>IFERROR(__xludf.DUMMYFUNCTION("""COMPUTED_VALUE"""),"https://drive.google.com/file/d/1ykY7ebvPg0OmzLkoiReX6FQ1zihpq_6D/view?usp=drivesdk")</f>
        <v>https://drive.google.com/file/d/1ykY7ebvPg0OmzLkoiReX6FQ1zihpq_6D/view?usp=drivesdk</v>
      </c>
    </row>
    <row r="8021">
      <c r="A8021" s="15">
        <f>IFERROR(__xludf.DUMMYFUNCTION("""COMPUTED_VALUE"""),45226.0)</f>
        <v>45226</v>
      </c>
      <c r="B8021" s="16" t="str">
        <f>IFERROR(__xludf.DUMMYFUNCTION("""COMPUTED_VALUE"""),"Lina Gaona")</f>
        <v>Lina Gaona</v>
      </c>
      <c r="C8021" s="15" t="str">
        <f>IFERROR(__xludf.DUMMYFUNCTION("""COMPUTED_VALUE"""),"CÚCUTA")</f>
        <v>CÚCUTA</v>
      </c>
      <c r="D8021" s="15" t="str">
        <f>IFERROR(__xludf.DUMMYFUNCTION("""COMPUTED_VALUE"""),"BOGOTÁ")</f>
        <v>BOGOTÁ</v>
      </c>
      <c r="E8021" s="15" t="str">
        <f>IFERROR(__xludf.DUMMYFUNCTION("""COMPUTED_VALUE"""),"LINA PAOLA RAMIREZ GOMEZ - EVA MAZZITA")</f>
        <v>LINA PAOLA RAMIREZ GOMEZ - EVA MAZZITA</v>
      </c>
      <c r="F8021" s="17" t="str">
        <f>IFERROR(__xludf.DUMMYFUNCTION("""COMPUTED_VALUE"""),"Calle 21 #6-07 / barrio once de noviembre Los Patios")</f>
        <v>Calle 21 #6-07 / barrio once de noviembre Los Patios</v>
      </c>
      <c r="G8021" s="15" t="str">
        <f>IFERROR(__xludf.DUMMYFUNCTION("""COMPUTED_VALUE"""),"LAURA TATIANA CERVELON VILLAMIZAR")</f>
        <v>LAURA TATIANA CERVELON VILLAMIZAR</v>
      </c>
      <c r="H8021" s="16">
        <f>IFERROR(__xludf.DUMMYFUNCTION("""COMPUTED_VALUE"""),16691.0)</f>
        <v>16691</v>
      </c>
      <c r="I8021" s="17"/>
      <c r="J8021" s="17"/>
      <c r="K8021" s="17"/>
      <c r="L8021" s="17">
        <f>IFERROR(__xludf.DUMMYFUNCTION("""COMPUTED_VALUE"""),3.194980381E9)</f>
        <v>3194980381</v>
      </c>
      <c r="M8021" s="17"/>
      <c r="N8021" s="17"/>
      <c r="O8021" s="17"/>
      <c r="P8021" s="17" t="b">
        <f>IFERROR(__xludf.DUMMYFUNCTION("""COMPUTED_VALUE"""),FALSE)</f>
        <v>0</v>
      </c>
      <c r="Q8021" s="20" t="str">
        <f>IFERROR(__xludf.DUMMYFUNCTION("""COMPUTED_VALUE"""),"")</f>
        <v/>
      </c>
      <c r="R8021" s="21" t="str">
        <f>IFERROR(__xludf.DUMMYFUNCTION("""COMPUTED_VALUE"""),"https://drive.google.com/file/d/11RB53QYlyXsjHJ8-cpubAHvc3P8H-P8s/view?usp=drivesdk")</f>
        <v>https://drive.google.com/file/d/11RB53QYlyXsjHJ8-cpubAHvc3P8H-P8s/view?usp=drivesdk</v>
      </c>
    </row>
    <row r="8022">
      <c r="A8022" s="15">
        <f>IFERROR(__xludf.DUMMYFUNCTION("""COMPUTED_VALUE"""),45226.0)</f>
        <v>45226</v>
      </c>
      <c r="B8022" s="16" t="str">
        <f>IFERROR(__xludf.DUMMYFUNCTION("""COMPUTED_VALUE"""),"Lina Gaona")</f>
        <v>Lina Gaona</v>
      </c>
      <c r="C8022" s="15" t="str">
        <f>IFERROR(__xludf.DUMMYFUNCTION("""COMPUTED_VALUE"""),"CÚCUTA")</f>
        <v>CÚCUTA</v>
      </c>
      <c r="D8022" s="15" t="str">
        <f>IFERROR(__xludf.DUMMYFUNCTION("""COMPUTED_VALUE"""),"BOGOTÁ")</f>
        <v>BOGOTÁ</v>
      </c>
      <c r="E8022" s="15" t="str">
        <f>IFERROR(__xludf.DUMMYFUNCTION("""COMPUTED_VALUE"""),"Viiva Fermentados")</f>
        <v>Viiva Fermentados</v>
      </c>
      <c r="F8022" s="17" t="str">
        <f>IFERROR(__xludf.DUMMYFUNCTION("""COMPUTED_VALUE"""),"Av9e 12-50 / local 2 / barrio la riviera")</f>
        <v>Av9e 12-50 / local 2 / barrio la riviera</v>
      </c>
      <c r="G8022" s="15" t="str">
        <f>IFERROR(__xludf.DUMMYFUNCTION("""COMPUTED_VALUE"""),"Angie Fernanda Portilla Balanzi Market")</f>
        <v>Angie Fernanda Portilla Balanzi Market</v>
      </c>
      <c r="H8022" s="16">
        <f>IFERROR(__xludf.DUMMYFUNCTION("""COMPUTED_VALUE"""),16508.0)</f>
        <v>16508</v>
      </c>
      <c r="I8022" s="18">
        <f>IFERROR(__xludf.DUMMYFUNCTION("""COMPUTED_VALUE"""),27.0)</f>
        <v>27</v>
      </c>
      <c r="J8022" s="18">
        <f>IFERROR(__xludf.DUMMYFUNCTION("""COMPUTED_VALUE"""),18.0)</f>
        <v>18</v>
      </c>
      <c r="K8022" s="18">
        <f>IFERROR(__xludf.DUMMYFUNCTION("""COMPUTED_VALUE"""),18.0)</f>
        <v>18</v>
      </c>
      <c r="L8022" s="17">
        <f>IFERROR(__xludf.DUMMYFUNCTION("""COMPUTED_VALUE"""),3.008540473E9)</f>
        <v>3008540473</v>
      </c>
      <c r="M8022" s="17"/>
      <c r="N8022" s="17"/>
      <c r="O8022" s="17"/>
      <c r="P8022" s="17" t="b">
        <f>IFERROR(__xludf.DUMMYFUNCTION("""COMPUTED_VALUE"""),FALSE)</f>
        <v>0</v>
      </c>
      <c r="Q8022" s="20" t="str">
        <f>IFERROR(__xludf.DUMMYFUNCTION("""COMPUTED_VALUE"""),"")</f>
        <v/>
      </c>
      <c r="R8022" s="21" t="str">
        <f>IFERROR(__xludf.DUMMYFUNCTION("""COMPUTED_VALUE"""),"https://drive.google.com/file/d/1M2EEmnk_4EogDDIEmx1q60z0_5C13Dxe/view?usp=drivesdk")</f>
        <v>https://drive.google.com/file/d/1M2EEmnk_4EogDDIEmx1q60z0_5C13Dxe/view?usp=drivesdk</v>
      </c>
    </row>
    <row r="8023">
      <c r="A8023" s="15">
        <f>IFERROR(__xludf.DUMMYFUNCTION("""COMPUTED_VALUE"""),45226.0)</f>
        <v>45226</v>
      </c>
      <c r="B8023" s="16" t="str">
        <f>IFERROR(__xludf.DUMMYFUNCTION("""COMPUTED_VALUE"""),"Lina Gaona")</f>
        <v>Lina Gaona</v>
      </c>
      <c r="C8023" s="15" t="str">
        <f>IFERROR(__xludf.DUMMYFUNCTION("""COMPUTED_VALUE"""),"PASTO")</f>
        <v>PASTO</v>
      </c>
      <c r="D8023" s="15" t="str">
        <f>IFERROR(__xludf.DUMMYFUNCTION("""COMPUTED_VALUE"""),"BOGOTÁ")</f>
        <v>BOGOTÁ</v>
      </c>
      <c r="E8023" s="15" t="str">
        <f>IFERROR(__xludf.DUMMYFUNCTION("""COMPUTED_VALUE"""),"Viiva Fermentados")</f>
        <v>Viiva Fermentados</v>
      </c>
      <c r="F8023" s="17" t="str">
        <f>IFERROR(__xludf.DUMMYFUNCTION("""COMPUTED_VALUE"""),"Calle18 # 31-88 / LOCAL 13 NOVACENTRO / Barrio Pasaje Comercial Novacentro")</f>
        <v>Calle18 # 31-88 / LOCAL 13 NOVACENTRO / Barrio Pasaje Comercial Novacentro</v>
      </c>
      <c r="G8023" s="15" t="str">
        <f>IFERROR(__xludf.DUMMYFUNCTION("""COMPUTED_VALUE"""),"Biomarket Pasto")</f>
        <v>Biomarket Pasto</v>
      </c>
      <c r="H8023" s="16">
        <f>IFERROR(__xludf.DUMMYFUNCTION("""COMPUTED_VALUE"""),16505.0)</f>
        <v>16505</v>
      </c>
      <c r="I8023" s="18">
        <f>IFERROR(__xludf.DUMMYFUNCTION("""COMPUTED_VALUE"""),21.0)</f>
        <v>21</v>
      </c>
      <c r="J8023" s="18">
        <f>IFERROR(__xludf.DUMMYFUNCTION("""COMPUTED_VALUE"""),26.0)</f>
        <v>26</v>
      </c>
      <c r="K8023" s="18">
        <f>IFERROR(__xludf.DUMMYFUNCTION("""COMPUTED_VALUE"""),24.0)</f>
        <v>24</v>
      </c>
      <c r="L8023" s="17">
        <f>IFERROR(__xludf.DUMMYFUNCTION("""COMPUTED_VALUE"""),3.165760774E9)</f>
        <v>3165760774</v>
      </c>
      <c r="M8023" s="17"/>
      <c r="N8023" s="17"/>
      <c r="O8023" s="17"/>
      <c r="P8023" s="17" t="b">
        <f>IFERROR(__xludf.DUMMYFUNCTION("""COMPUTED_VALUE"""),FALSE)</f>
        <v>0</v>
      </c>
      <c r="Q8023" s="20" t="str">
        <f>IFERROR(__xludf.DUMMYFUNCTION("""COMPUTED_VALUE"""),"")</f>
        <v/>
      </c>
      <c r="R8023" s="21" t="str">
        <f>IFERROR(__xludf.DUMMYFUNCTION("""COMPUTED_VALUE"""),"https://drive.google.com/file/d/18JLX2S-xpuEPBXjDU1Z2dfvuHSeyJoPW/view?usp=drivesdk")</f>
        <v>https://drive.google.com/file/d/18JLX2S-xpuEPBXjDU1Z2dfvuHSeyJoPW/view?usp=drivesdk</v>
      </c>
    </row>
    <row r="8024">
      <c r="A8024" s="15">
        <f>IFERROR(__xludf.DUMMYFUNCTION("""COMPUTED_VALUE"""),45226.0)</f>
        <v>45226</v>
      </c>
      <c r="B8024" s="16" t="str">
        <f>IFERROR(__xludf.DUMMYFUNCTION("""COMPUTED_VALUE"""),"Lina Gaona")</f>
        <v>Lina Gaona</v>
      </c>
      <c r="C8024" s="15" t="str">
        <f>IFERROR(__xludf.DUMMYFUNCTION("""COMPUTED_VALUE"""),"SANTA MARTA")</f>
        <v>SANTA MARTA</v>
      </c>
      <c r="D8024" s="15" t="str">
        <f>IFERROR(__xludf.DUMMYFUNCTION("""COMPUTED_VALUE"""),"MEDELLÍN")</f>
        <v>MEDELLÍN</v>
      </c>
      <c r="E8024" s="15" t="str">
        <f>IFERROR(__xludf.DUMMYFUNCTION("""COMPUTED_VALUE"""),"Terravocado")</f>
        <v>Terravocado</v>
      </c>
      <c r="F8024" s="17" t="str">
        <f>IFERROR(__xludf.DUMMYFUNCTION("""COMPUTED_VALUE"""),"CLL 18 # 04 05 / CENTRO SANTA MARATA  / SANTA MARTA CENTRO")</f>
        <v>CLL 18 # 04 05 / CENTRO SANTA MARATA  / SANTA MARTA CENTRO</v>
      </c>
      <c r="G8024" s="15" t="str">
        <f>IFERROR(__xludf.DUMMYFUNCTION("""COMPUTED_VALUE"""),"GOOD FEAST SAS")</f>
        <v>GOOD FEAST SAS</v>
      </c>
      <c r="H8024" s="16">
        <f>IFERROR(__xludf.DUMMYFUNCTION("""COMPUTED_VALUE"""),16525.0)</f>
        <v>16525</v>
      </c>
      <c r="I8024" s="18">
        <f>IFERROR(__xludf.DUMMYFUNCTION("""COMPUTED_VALUE"""),20.0)</f>
        <v>20</v>
      </c>
      <c r="J8024" s="18">
        <f>IFERROR(__xludf.DUMMYFUNCTION("""COMPUTED_VALUE"""),24.0)</f>
        <v>24</v>
      </c>
      <c r="K8024" s="18">
        <f>IFERROR(__xludf.DUMMYFUNCTION("""COMPUTED_VALUE"""),34.0)</f>
        <v>34</v>
      </c>
      <c r="L8024" s="17">
        <f>IFERROR(__xludf.DUMMYFUNCTION("""COMPUTED_VALUE"""),3.003378725E9)</f>
        <v>3003378725</v>
      </c>
      <c r="M8024" s="17"/>
      <c r="N8024" s="17"/>
      <c r="O8024" s="17"/>
      <c r="P8024" s="17" t="b">
        <f>IFERROR(__xludf.DUMMYFUNCTION("""COMPUTED_VALUE"""),FALSE)</f>
        <v>0</v>
      </c>
      <c r="Q8024" s="20" t="str">
        <f>IFERROR(__xludf.DUMMYFUNCTION("""COMPUTED_VALUE"""),"")</f>
        <v/>
      </c>
      <c r="R8024" s="21" t="str">
        <f>IFERROR(__xludf.DUMMYFUNCTION("""COMPUTED_VALUE"""),"https://drive.google.com/file/d/1gjjs8tvYOFXgmFPkDbvXROpBvEHV9joY/view?usp=drivesdk")</f>
        <v>https://drive.google.com/file/d/1gjjs8tvYOFXgmFPkDbvXROpBvEHV9joY/view?usp=drivesdk</v>
      </c>
    </row>
    <row r="8025">
      <c r="A8025" s="17" t="str">
        <f>IFERROR(__xludf.DUMMYFUNCTION("""COMPUTED_VALUE"""),"")</f>
        <v/>
      </c>
      <c r="B8025" s="17" t="str">
        <f>IFERROR(__xludf.DUMMYFUNCTION("""COMPUTED_VALUE"""),"")</f>
        <v/>
      </c>
      <c r="C8025" s="17" t="str">
        <f>IFERROR(__xludf.DUMMYFUNCTION("""COMPUTED_VALUE"""),"")</f>
        <v/>
      </c>
      <c r="D8025" s="17" t="str">
        <f>IFERROR(__xludf.DUMMYFUNCTION("""COMPUTED_VALUE"""),"")</f>
        <v/>
      </c>
      <c r="E8025" s="17" t="str">
        <f>IFERROR(__xludf.DUMMYFUNCTION("""COMPUTED_VALUE"""),"")</f>
        <v/>
      </c>
      <c r="F8025" s="17" t="str">
        <f>IFERROR(__xludf.DUMMYFUNCTION("""COMPUTED_VALUE"""),"")</f>
        <v/>
      </c>
      <c r="G8025" s="17" t="str">
        <f>IFERROR(__xludf.DUMMYFUNCTION("""COMPUTED_VALUE"""),"")</f>
        <v/>
      </c>
      <c r="H8025" s="17" t="str">
        <f>IFERROR(__xludf.DUMMYFUNCTION("""COMPUTED_VALUE"""),"")</f>
        <v/>
      </c>
      <c r="I8025" s="17" t="str">
        <f>IFERROR(__xludf.DUMMYFUNCTION("""COMPUTED_VALUE"""),"")</f>
        <v/>
      </c>
      <c r="J8025" s="17" t="str">
        <f>IFERROR(__xludf.DUMMYFUNCTION("""COMPUTED_VALUE"""),"")</f>
        <v/>
      </c>
      <c r="K8025" s="17" t="str">
        <f>IFERROR(__xludf.DUMMYFUNCTION("""COMPUTED_VALUE"""),"")</f>
        <v/>
      </c>
      <c r="L8025" s="17" t="str">
        <f>IFERROR(__xludf.DUMMYFUNCTION("""COMPUTED_VALUE"""),"")</f>
        <v/>
      </c>
      <c r="M8025" s="17" t="str">
        <f>IFERROR(__xludf.DUMMYFUNCTION("""COMPUTED_VALUE"""),"")</f>
        <v/>
      </c>
      <c r="N8025" s="17" t="str">
        <f>IFERROR(__xludf.DUMMYFUNCTION("""COMPUTED_VALUE"""),"")</f>
        <v/>
      </c>
      <c r="O8025" s="17" t="str">
        <f>IFERROR(__xludf.DUMMYFUNCTION("""COMPUTED_VALUE"""),"")</f>
        <v/>
      </c>
      <c r="P8025" s="17" t="str">
        <f>IFERROR(__xludf.DUMMYFUNCTION("""COMPUTED_VALUE"""),"")</f>
        <v/>
      </c>
      <c r="Q8025" s="17" t="str">
        <f>IFERROR(__xludf.DUMMYFUNCTION("""COMPUTED_VALUE"""),"")</f>
        <v/>
      </c>
      <c r="R8025" s="17" t="str">
        <f>IFERROR(__xludf.DUMMYFUNCTION("""COMPUTED_VALUE"""),"")</f>
        <v/>
      </c>
    </row>
    <row r="8026">
      <c r="A8026" s="15">
        <f>IFERROR(__xludf.DUMMYFUNCTION("""COMPUTED_VALUE"""),45226.0)</f>
        <v>45226</v>
      </c>
      <c r="B8026" s="16" t="str">
        <f>IFERROR(__xludf.DUMMYFUNCTION("""COMPUTED_VALUE"""),"Orlando Urdaneta Rincon ")</f>
        <v>Orlando Urdaneta Rincon </v>
      </c>
      <c r="C8026" s="15" t="str">
        <f>IFERROR(__xludf.DUMMYFUNCTION("""COMPUTED_VALUE"""),"BOGOTÁ")</f>
        <v>BOGOTÁ</v>
      </c>
      <c r="D8026" s="15" t="str">
        <f>IFERROR(__xludf.DUMMYFUNCTION("""COMPUTED_VALUE"""),"MEDELLÍN")</f>
        <v>MEDELLÍN</v>
      </c>
      <c r="E8026" s="15" t="str">
        <f>IFERROR(__xludf.DUMMYFUNCTION("""COMPUTED_VALUE"""),"Rambla")</f>
        <v>Rambla</v>
      </c>
      <c r="F8026" s="17" t="str">
        <f>IFERROR(__xludf.DUMMYFUNCTION("""COMPUTED_VALUE"""),"Calle 182 # 45-45, interior 5, apto 604, edificio balcones de santa fe, Bogotá / . / .")</f>
        <v>Calle 182 # 45-45, interior 5, apto 604, edificio balcones de santa fe, Bogotá / . / .</v>
      </c>
      <c r="G8026" s="15" t="str">
        <f>IFERROR(__xludf.DUMMYFUNCTION("""COMPUTED_VALUE"""),"Laura Alejandra Rincón Arias")</f>
        <v>Laura Alejandra Rincón Arias</v>
      </c>
      <c r="H8026" s="16">
        <f>IFERROR(__xludf.DUMMYFUNCTION("""COMPUTED_VALUE"""),16719.0)</f>
        <v>16719</v>
      </c>
      <c r="I8026" s="18">
        <f>IFERROR(__xludf.DUMMYFUNCTION("""COMPUTED_VALUE"""),10.0)</f>
        <v>10</v>
      </c>
      <c r="J8026" s="18">
        <f>IFERROR(__xludf.DUMMYFUNCTION("""COMPUTED_VALUE"""),10.0)</f>
        <v>10</v>
      </c>
      <c r="K8026" s="18">
        <f>IFERROR(__xludf.DUMMYFUNCTION("""COMPUTED_VALUE"""),20.0)</f>
        <v>20</v>
      </c>
      <c r="L8026" s="17">
        <f>IFERROR(__xludf.DUMMYFUNCTION("""COMPUTED_VALUE"""),3.057634502E9)</f>
        <v>3057634502</v>
      </c>
      <c r="M8026" s="17"/>
      <c r="N8026" s="17"/>
      <c r="O8026" s="17"/>
      <c r="P8026" s="17" t="b">
        <f>IFERROR(__xludf.DUMMYFUNCTION("""COMPUTED_VALUE"""),FALSE)</f>
        <v>0</v>
      </c>
      <c r="Q8026" s="20" t="str">
        <f>IFERROR(__xludf.DUMMYFUNCTION("""COMPUTED_VALUE"""),"")</f>
        <v/>
      </c>
      <c r="R8026" s="21" t="str">
        <f>IFERROR(__xludf.DUMMYFUNCTION("""COMPUTED_VALUE"""),"https://drive.google.com/file/d/1gADGDHsMdItpw68HDaGrGkvwUYv4cZNz/view?usp=drivesdk")</f>
        <v>https://drive.google.com/file/d/1gADGDHsMdItpw68HDaGrGkvwUYv4cZNz/view?usp=drivesdk</v>
      </c>
    </row>
    <row r="8027">
      <c r="A8027" s="15">
        <f>IFERROR(__xludf.DUMMYFUNCTION("""COMPUTED_VALUE"""),45226.0)</f>
        <v>45226</v>
      </c>
      <c r="B8027" s="16" t="str">
        <f>IFERROR(__xludf.DUMMYFUNCTION("""COMPUTED_VALUE"""),"Orlando Urdaneta Rincon ")</f>
        <v>Orlando Urdaneta Rincon </v>
      </c>
      <c r="C8027" s="15" t="str">
        <f>IFERROR(__xludf.DUMMYFUNCTION("""COMPUTED_VALUE"""),"SANTA MARTA")</f>
        <v>SANTA MARTA</v>
      </c>
      <c r="D8027" s="15" t="str">
        <f>IFERROR(__xludf.DUMMYFUNCTION("""COMPUTED_VALUE"""),"BUCARAMANGA")</f>
        <v>BUCARAMANGA</v>
      </c>
      <c r="E8027" s="15" t="str">
        <f>IFERROR(__xludf.DUMMYFUNCTION("""COMPUTED_VALUE"""),"Yo Como Solito")</f>
        <v>Yo Como Solito</v>
      </c>
      <c r="F8027" s="17" t="str">
        <f>IFERROR(__xludf.DUMMYFUNCTION("""COMPUTED_VALUE"""),"CARRERA 11 # 12-70 SECTOR MERCADO PUBLICO / CARRERA 11 # 12-70 SECTOR MERCADO PUBLICO / CARRERA 11 # 12-70 SECTOR MERCADO PUBLICO")</f>
        <v>CARRERA 11 # 12-70 SECTOR MERCADO PUBLICO / CARRERA 11 # 12-70 SECTOR MERCADO PUBLICO / CARRERA 11 # 12-70 SECTOR MERCADO PUBLICO</v>
      </c>
      <c r="G8027" s="15" t="str">
        <f>IFERROR(__xludf.DUMMYFUNCTION("""COMPUTED_VALUE"""),"JUAN CARLOS ORTIZ MANTILLA")</f>
        <v>JUAN CARLOS ORTIZ MANTILLA</v>
      </c>
      <c r="H8027" s="16">
        <f>IFERROR(__xludf.DUMMYFUNCTION("""COMPUTED_VALUE"""),16584.0)</f>
        <v>16584</v>
      </c>
      <c r="I8027" s="18">
        <f>IFERROR(__xludf.DUMMYFUNCTION("""COMPUTED_VALUE"""),14.0)</f>
        <v>14</v>
      </c>
      <c r="J8027" s="18">
        <f>IFERROR(__xludf.DUMMYFUNCTION("""COMPUTED_VALUE"""),23.0)</f>
        <v>23</v>
      </c>
      <c r="K8027" s="18">
        <f>IFERROR(__xludf.DUMMYFUNCTION("""COMPUTED_VALUE"""),37.0)</f>
        <v>37</v>
      </c>
      <c r="L8027" s="17">
        <f>IFERROR(__xludf.DUMMYFUNCTION("""COMPUTED_VALUE"""),3.145161388E9)</f>
        <v>3145161388</v>
      </c>
      <c r="M8027" s="17"/>
      <c r="N8027" s="17"/>
      <c r="O8027" s="17"/>
      <c r="P8027" s="17" t="b">
        <f>IFERROR(__xludf.DUMMYFUNCTION("""COMPUTED_VALUE"""),FALSE)</f>
        <v>0</v>
      </c>
      <c r="Q8027" s="20" t="str">
        <f>IFERROR(__xludf.DUMMYFUNCTION("""COMPUTED_VALUE"""),"")</f>
        <v/>
      </c>
      <c r="R8027" s="21" t="str">
        <f>IFERROR(__xludf.DUMMYFUNCTION("""COMPUTED_VALUE"""),"https://drive.google.com/file/d/1Q0lnkZfOpugmmxYnV5BGmOCOVd53Wlgq/view?usp=drivesdk")</f>
        <v>https://drive.google.com/file/d/1Q0lnkZfOpugmmxYnV5BGmOCOVd53Wlgq/view?usp=drivesdk</v>
      </c>
    </row>
    <row r="8028">
      <c r="A8028" s="17" t="str">
        <f>IFERROR(__xludf.DUMMYFUNCTION("""COMPUTED_VALUE"""),"")</f>
        <v/>
      </c>
      <c r="B8028" s="17" t="str">
        <f>IFERROR(__xludf.DUMMYFUNCTION("""COMPUTED_VALUE"""),"")</f>
        <v/>
      </c>
      <c r="C8028" s="17" t="str">
        <f>IFERROR(__xludf.DUMMYFUNCTION("""COMPUTED_VALUE"""),"")</f>
        <v/>
      </c>
      <c r="D8028" s="17" t="str">
        <f>IFERROR(__xludf.DUMMYFUNCTION("""COMPUTED_VALUE"""),"")</f>
        <v/>
      </c>
      <c r="E8028" s="17" t="str">
        <f>IFERROR(__xludf.DUMMYFUNCTION("""COMPUTED_VALUE"""),"")</f>
        <v/>
      </c>
      <c r="F8028" s="17" t="str">
        <f>IFERROR(__xludf.DUMMYFUNCTION("""COMPUTED_VALUE"""),"")</f>
        <v/>
      </c>
      <c r="G8028" s="17" t="str">
        <f>IFERROR(__xludf.DUMMYFUNCTION("""COMPUTED_VALUE"""),"")</f>
        <v/>
      </c>
      <c r="H8028" s="17" t="str">
        <f>IFERROR(__xludf.DUMMYFUNCTION("""COMPUTED_VALUE"""),"")</f>
        <v/>
      </c>
      <c r="I8028" s="17" t="str">
        <f>IFERROR(__xludf.DUMMYFUNCTION("""COMPUTED_VALUE"""),"")</f>
        <v/>
      </c>
      <c r="J8028" s="17" t="str">
        <f>IFERROR(__xludf.DUMMYFUNCTION("""COMPUTED_VALUE"""),"")</f>
        <v/>
      </c>
      <c r="K8028" s="17" t="str">
        <f>IFERROR(__xludf.DUMMYFUNCTION("""COMPUTED_VALUE"""),"")</f>
        <v/>
      </c>
      <c r="L8028" s="17" t="str">
        <f>IFERROR(__xludf.DUMMYFUNCTION("""COMPUTED_VALUE"""),"")</f>
        <v/>
      </c>
      <c r="M8028" s="17" t="str">
        <f>IFERROR(__xludf.DUMMYFUNCTION("""COMPUTED_VALUE"""),"")</f>
        <v/>
      </c>
      <c r="N8028" s="17" t="str">
        <f>IFERROR(__xludf.DUMMYFUNCTION("""COMPUTED_VALUE"""),"")</f>
        <v/>
      </c>
      <c r="O8028" s="17" t="str">
        <f>IFERROR(__xludf.DUMMYFUNCTION("""COMPUTED_VALUE"""),"")</f>
        <v/>
      </c>
      <c r="P8028" s="17" t="str">
        <f>IFERROR(__xludf.DUMMYFUNCTION("""COMPUTED_VALUE"""),"")</f>
        <v/>
      </c>
      <c r="Q8028" s="17" t="str">
        <f>IFERROR(__xludf.DUMMYFUNCTION("""COMPUTED_VALUE"""),"")</f>
        <v/>
      </c>
      <c r="R8028" s="17" t="str">
        <f>IFERROR(__xludf.DUMMYFUNCTION("""COMPUTED_VALUE"""),"")</f>
        <v/>
      </c>
    </row>
    <row r="8029">
      <c r="A8029" s="15">
        <f>IFERROR(__xludf.DUMMYFUNCTION("""COMPUTED_VALUE"""),45226.0)</f>
        <v>45226</v>
      </c>
      <c r="B8029" s="16" t="str">
        <f>IFERROR(__xludf.DUMMYFUNCTION("""COMPUTED_VALUE"""),"Santiago Garces Restrepo")</f>
        <v>Santiago Garces Restrepo</v>
      </c>
      <c r="C8029" s="15" t="str">
        <f>IFERROR(__xludf.DUMMYFUNCTION("""COMPUTED_VALUE"""),"CALI")</f>
        <v>CALI</v>
      </c>
      <c r="D8029" s="15" t="str">
        <f>IFERROR(__xludf.DUMMYFUNCTION("""COMPUTED_VALUE"""),"BOGOTÁ")</f>
        <v>BOGOTÁ</v>
      </c>
      <c r="E8029" s="15" t="str">
        <f>IFERROR(__xludf.DUMMYFUNCTION("""COMPUTED_VALUE"""),"Renata")</f>
        <v>Renata</v>
      </c>
      <c r="F8029" s="17" t="str">
        <f>IFERROR(__xludf.DUMMYFUNCTION("""COMPUTED_VALUE"""),"Carrera 3#3a-83 / Patio 34 food containers -restaurante  / San Fernando")</f>
        <v>Carrera 3#3a-83 / Patio 34 food containers -restaurante  / San Fernando</v>
      </c>
      <c r="G8029" s="15" t="str">
        <f>IFERROR(__xludf.DUMMYFUNCTION("""COMPUTED_VALUE"""),"Retaco sas")</f>
        <v>Retaco sas</v>
      </c>
      <c r="H8029" s="16">
        <f>IFERROR(__xludf.DUMMYFUNCTION("""COMPUTED_VALUE"""),16731.0)</f>
        <v>16731</v>
      </c>
      <c r="I8029" s="18">
        <f>IFERROR(__xludf.DUMMYFUNCTION("""COMPUTED_VALUE"""),90.0)</f>
        <v>90</v>
      </c>
      <c r="J8029" s="18">
        <f>IFERROR(__xludf.DUMMYFUNCTION("""COMPUTED_VALUE"""),70.0)</f>
        <v>70</v>
      </c>
      <c r="K8029" s="18">
        <f>IFERROR(__xludf.DUMMYFUNCTION("""COMPUTED_VALUE"""),60.0)</f>
        <v>60</v>
      </c>
      <c r="L8029" s="17">
        <f>IFERROR(__xludf.DUMMYFUNCTION("""COMPUTED_VALUE"""),3.134720276E9)</f>
        <v>3134720276</v>
      </c>
      <c r="M8029" s="17"/>
      <c r="N8029" s="17"/>
      <c r="O8029" s="17"/>
      <c r="P8029" s="17" t="b">
        <f>IFERROR(__xludf.DUMMYFUNCTION("""COMPUTED_VALUE"""),FALSE)</f>
        <v>0</v>
      </c>
      <c r="Q8029" s="20" t="str">
        <f>IFERROR(__xludf.DUMMYFUNCTION("""COMPUTED_VALUE"""),"")</f>
        <v/>
      </c>
      <c r="R8029" s="21" t="str">
        <f>IFERROR(__xludf.DUMMYFUNCTION("""COMPUTED_VALUE"""),"https://drive.google.com/file/d/1ctsO4ZrJ-Fz42ApkN8ouOANFu66N6A9V/view?usp=drivesdk")</f>
        <v>https://drive.google.com/file/d/1ctsO4ZrJ-Fz42ApkN8ouOANFu66N6A9V/view?usp=drivesdk</v>
      </c>
    </row>
    <row r="8030">
      <c r="A8030" s="15">
        <f>IFERROR(__xludf.DUMMYFUNCTION("""COMPUTED_VALUE"""),45226.0)</f>
        <v>45226</v>
      </c>
      <c r="B8030" s="16" t="str">
        <f>IFERROR(__xludf.DUMMYFUNCTION("""COMPUTED_VALUE"""),"Santiago Garces Restrepo")</f>
        <v>Santiago Garces Restrepo</v>
      </c>
      <c r="C8030" s="15" t="str">
        <f>IFERROR(__xludf.DUMMYFUNCTION("""COMPUTED_VALUE"""),"MEDELLÍN")</f>
        <v>MEDELLÍN</v>
      </c>
      <c r="D8030" s="15" t="str">
        <f>IFERROR(__xludf.DUMMYFUNCTION("""COMPUTED_VALUE"""),"BOGOTÁ")</f>
        <v>BOGOTÁ</v>
      </c>
      <c r="E8030" s="15" t="str">
        <f>IFERROR(__xludf.DUMMYFUNCTION("""COMPUTED_VALUE"""),"Instinto alimento vital")</f>
        <v>Instinto alimento vital</v>
      </c>
      <c r="F8030" s="17" t="str">
        <f>IFERROR(__xludf.DUMMYFUNCTION("""COMPUTED_VALUE"""),"CRA 44 # 26 27 / EL POBLADO")</f>
        <v>CRA 44 # 26 27 / EL POBLADO</v>
      </c>
      <c r="G8030" s="15" t="str">
        <f>IFERROR(__xludf.DUMMYFUNCTION("""COMPUTED_VALUE"""),"BODEGA VELOSITY MEDELLIN")</f>
        <v>BODEGA VELOSITY MEDELLIN</v>
      </c>
      <c r="H8030" s="16">
        <f>IFERROR(__xludf.DUMMYFUNCTION("""COMPUTED_VALUE"""),16717.0)</f>
        <v>16717</v>
      </c>
      <c r="I8030" s="17"/>
      <c r="J8030" s="17"/>
      <c r="K8030" s="17"/>
      <c r="L8030" s="17">
        <f>IFERROR(__xludf.DUMMYFUNCTION("""COMPUTED_VALUE"""),3.124683372E9)</f>
        <v>3124683372</v>
      </c>
      <c r="M8030" s="17"/>
      <c r="N8030" s="17"/>
      <c r="O8030" s="17"/>
      <c r="P8030" s="17" t="b">
        <f>IFERROR(__xludf.DUMMYFUNCTION("""COMPUTED_VALUE"""),FALSE)</f>
        <v>0</v>
      </c>
      <c r="Q8030" s="20" t="str">
        <f>IFERROR(__xludf.DUMMYFUNCTION("""COMPUTED_VALUE"""),"")</f>
        <v/>
      </c>
      <c r="R8030" s="21" t="str">
        <f>IFERROR(__xludf.DUMMYFUNCTION("""COMPUTED_VALUE"""),"https://drive.google.com/file/d/1HCwVw_ko_K7OpUL2QsV6-ZhKn7SRXMP_/view?usp=drivesdk")</f>
        <v>https://drive.google.com/file/d/1HCwVw_ko_K7OpUL2QsV6-ZhKn7SRXMP_/view?usp=drivesdk</v>
      </c>
    </row>
    <row r="8031">
      <c r="A8031" s="15">
        <f>IFERROR(__xludf.DUMMYFUNCTION("""COMPUTED_VALUE"""),45226.0)</f>
        <v>45226</v>
      </c>
      <c r="B8031" s="16" t="str">
        <f>IFERROR(__xludf.DUMMYFUNCTION("""COMPUTED_VALUE"""),"Santiago Garces Restrepo")</f>
        <v>Santiago Garces Restrepo</v>
      </c>
      <c r="C8031" s="15" t="str">
        <f>IFERROR(__xludf.DUMMYFUNCTION("""COMPUTED_VALUE"""),"MEDELLÍN")</f>
        <v>MEDELLÍN</v>
      </c>
      <c r="D8031" s="15" t="str">
        <f>IFERROR(__xludf.DUMMYFUNCTION("""COMPUTED_VALUE"""),"BOGOTÁ")</f>
        <v>BOGOTÁ</v>
      </c>
      <c r="E8031" s="15" t="str">
        <f>IFERROR(__xludf.DUMMYFUNCTION("""COMPUTED_VALUE"""),"MAI ALIMENTOS REALES")</f>
        <v>MAI ALIMENTOS REALES</v>
      </c>
      <c r="F8031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031" s="15" t="str">
        <f>IFERROR(__xludf.DUMMYFUNCTION("""COMPUTED_VALUE"""),"Novaventas")</f>
        <v>Novaventas</v>
      </c>
      <c r="H8031" s="16">
        <f>IFERROR(__xludf.DUMMYFUNCTION("""COMPUTED_VALUE"""),16565.0)</f>
        <v>16565</v>
      </c>
      <c r="I8031" s="17"/>
      <c r="J8031" s="17"/>
      <c r="K8031" s="17"/>
      <c r="L8031" s="17">
        <f>IFERROR(__xludf.DUMMYFUNCTION("""COMPUTED_VALUE"""),3.187351593E9)</f>
        <v>3187351593</v>
      </c>
      <c r="M8031" s="17"/>
      <c r="N8031" s="17"/>
      <c r="O8031" s="17"/>
      <c r="P8031" s="17" t="b">
        <f>IFERROR(__xludf.DUMMYFUNCTION("""COMPUTED_VALUE"""),FALSE)</f>
        <v>0</v>
      </c>
      <c r="Q8031" s="20" t="str">
        <f>IFERROR(__xludf.DUMMYFUNCTION("""COMPUTED_VALUE"""),"")</f>
        <v/>
      </c>
      <c r="R8031" s="21" t="str">
        <f>IFERROR(__xludf.DUMMYFUNCTION("""COMPUTED_VALUE"""),"https://drive.google.com/file/d/17YLg0TSU3I-v5uAJ0ORBnOdgxyk9tX2U/view?usp=drivesdk")</f>
        <v>https://drive.google.com/file/d/17YLg0TSU3I-v5uAJ0ORBnOdgxyk9tX2U/view?usp=drivesdk</v>
      </c>
    </row>
    <row r="8032">
      <c r="A8032" s="15">
        <f>IFERROR(__xludf.DUMMYFUNCTION("""COMPUTED_VALUE"""),45226.0)</f>
        <v>45226</v>
      </c>
      <c r="B8032" s="16" t="str">
        <f>IFERROR(__xludf.DUMMYFUNCTION("""COMPUTED_VALUE"""),"Santiago Garces Restrepo")</f>
        <v>Santiago Garces Restrepo</v>
      </c>
      <c r="C8032" s="15" t="str">
        <f>IFERROR(__xludf.DUMMYFUNCTION("""COMPUTED_VALUE"""),"MEDELLÍN")</f>
        <v>MEDELLÍN</v>
      </c>
      <c r="D8032" s="15" t="str">
        <f>IFERROR(__xludf.DUMMYFUNCTION("""COMPUTED_VALUE"""),"BOGOTÁ")</f>
        <v>BOGOTÁ</v>
      </c>
      <c r="E8032" s="15" t="str">
        <f>IFERROR(__xludf.DUMMYFUNCTION("""COMPUTED_VALUE"""),"Redi Food")</f>
        <v>Redi Food</v>
      </c>
      <c r="F8032" s="17" t="str">
        <f>IFERROR(__xludf.DUMMYFUNCTION("""COMPUTED_VALUE"""),"CALLE 34C #88B-55 / EDIFICIO APTO 304 / PLAZA CAMPESTRE")</f>
        <v>CALLE 34C #88B-55 / EDIFICIO APTO 304 / PLAZA CAMPESTRE</v>
      </c>
      <c r="G8032" s="15" t="str">
        <f>IFERROR(__xludf.DUMMYFUNCTION("""COMPUTED_VALUE"""),"Juan Jose SUAREZ ESTRADA")</f>
        <v>Juan Jose SUAREZ ESTRADA</v>
      </c>
      <c r="H8032" s="16">
        <f>IFERROR(__xludf.DUMMYFUNCTION("""COMPUTED_VALUE"""),16663.0)</f>
        <v>16663</v>
      </c>
      <c r="I8032" s="18">
        <f>IFERROR(__xludf.DUMMYFUNCTION("""COMPUTED_VALUE"""),15.0)</f>
        <v>15</v>
      </c>
      <c r="J8032" s="18">
        <f>IFERROR(__xludf.DUMMYFUNCTION("""COMPUTED_VALUE"""),1.0)</f>
        <v>1</v>
      </c>
      <c r="K8032" s="18">
        <f>IFERROR(__xludf.DUMMYFUNCTION("""COMPUTED_VALUE"""),30.0)</f>
        <v>30</v>
      </c>
      <c r="L8032" s="17">
        <f>IFERROR(__xludf.DUMMYFUNCTION("""COMPUTED_VALUE"""),3.004837787E9)</f>
        <v>3004837787</v>
      </c>
      <c r="M8032" s="17"/>
      <c r="N8032" s="17"/>
      <c r="O8032" s="17"/>
      <c r="P8032" s="17" t="b">
        <f>IFERROR(__xludf.DUMMYFUNCTION("""COMPUTED_VALUE"""),FALSE)</f>
        <v>0</v>
      </c>
      <c r="Q8032" s="20" t="str">
        <f>IFERROR(__xludf.DUMMYFUNCTION("""COMPUTED_VALUE"""),"")</f>
        <v/>
      </c>
      <c r="R8032" s="21" t="str">
        <f>IFERROR(__xludf.DUMMYFUNCTION("""COMPUTED_VALUE"""),"https://drive.google.com/file/d/11zvQZwsLn0NrUE9OtTketMiCuOn_IvlG/view?usp=drivesdk")</f>
        <v>https://drive.google.com/file/d/11zvQZwsLn0NrUE9OtTketMiCuOn_IvlG/view?usp=drivesdk</v>
      </c>
    </row>
    <row r="8033">
      <c r="A8033" s="15">
        <f>IFERROR(__xludf.DUMMYFUNCTION("""COMPUTED_VALUE"""),45226.0)</f>
        <v>45226</v>
      </c>
      <c r="B8033" s="16" t="str">
        <f>IFERROR(__xludf.DUMMYFUNCTION("""COMPUTED_VALUE"""),"Santiago Garces Restrepo")</f>
        <v>Santiago Garces Restrepo</v>
      </c>
      <c r="C8033" s="15" t="str">
        <f>IFERROR(__xludf.DUMMYFUNCTION("""COMPUTED_VALUE"""),"MEDELLÍN")</f>
        <v>MEDELLÍN</v>
      </c>
      <c r="D8033" s="15" t="str">
        <f>IFERROR(__xludf.DUMMYFUNCTION("""COMPUTED_VALUE"""),"BOGOTÁ")</f>
        <v>BOGOTÁ</v>
      </c>
      <c r="E8033" s="15" t="str">
        <f>IFERROR(__xludf.DUMMYFUNCTION("""COMPUTED_VALUE"""),"Redi Food")</f>
        <v>Redi Food</v>
      </c>
      <c r="F8033" s="17" t="str">
        <f>IFERROR(__xludf.DUMMYFUNCTION("""COMPUTED_VALUE"""),"carrera 30a # 38b-82 / casa piso 2 / BARRIO LA MILAGROSA")</f>
        <v>carrera 30a # 38b-82 / casa piso 2 / BARRIO LA MILAGROSA</v>
      </c>
      <c r="G8033" s="15" t="str">
        <f>IFERROR(__xludf.DUMMYFUNCTION("""COMPUTED_VALUE"""),"Olga Marin")</f>
        <v>Olga Marin</v>
      </c>
      <c r="H8033" s="16">
        <f>IFERROR(__xludf.DUMMYFUNCTION("""COMPUTED_VALUE"""),16664.0)</f>
        <v>16664</v>
      </c>
      <c r="I8033" s="18">
        <f>IFERROR(__xludf.DUMMYFUNCTION("""COMPUTED_VALUE"""),15.0)</f>
        <v>15</v>
      </c>
      <c r="J8033" s="18">
        <f>IFERROR(__xludf.DUMMYFUNCTION("""COMPUTED_VALUE"""),14.0)</f>
        <v>14</v>
      </c>
      <c r="K8033" s="18">
        <f>IFERROR(__xludf.DUMMYFUNCTION("""COMPUTED_VALUE"""),30.0)</f>
        <v>30</v>
      </c>
      <c r="L8033" s="17">
        <f>IFERROR(__xludf.DUMMYFUNCTION("""COMPUTED_VALUE"""),3.16613285E9)</f>
        <v>3166132850</v>
      </c>
      <c r="M8033" s="17"/>
      <c r="N8033" s="17"/>
      <c r="O8033" s="17"/>
      <c r="P8033" s="17" t="b">
        <f>IFERROR(__xludf.DUMMYFUNCTION("""COMPUTED_VALUE"""),FALSE)</f>
        <v>0</v>
      </c>
      <c r="Q8033" s="20" t="str">
        <f>IFERROR(__xludf.DUMMYFUNCTION("""COMPUTED_VALUE"""),"")</f>
        <v/>
      </c>
      <c r="R8033" s="21" t="str">
        <f>IFERROR(__xludf.DUMMYFUNCTION("""COMPUTED_VALUE"""),"https://drive.google.com/file/d/1j44ID-31iqAo6Bg_3XgcXLMiSy7EzQae/view?usp=drivesdk")</f>
        <v>https://drive.google.com/file/d/1j44ID-31iqAo6Bg_3XgcXLMiSy7EzQae/view?usp=drivesdk</v>
      </c>
    </row>
    <row r="8034">
      <c r="A8034" s="15">
        <f>IFERROR(__xludf.DUMMYFUNCTION("""COMPUTED_VALUE"""),45226.0)</f>
        <v>45226</v>
      </c>
      <c r="B8034" s="16" t="str">
        <f>IFERROR(__xludf.DUMMYFUNCTION("""COMPUTED_VALUE"""),"Santiago Garces Restrepo")</f>
        <v>Santiago Garces Restrepo</v>
      </c>
      <c r="C8034" s="15" t="str">
        <f>IFERROR(__xludf.DUMMYFUNCTION("""COMPUTED_VALUE"""),"MEDELLÍN")</f>
        <v>MEDELLÍN</v>
      </c>
      <c r="D8034" s="15" t="str">
        <f>IFERROR(__xludf.DUMMYFUNCTION("""COMPUTED_VALUE"""),"BOGOTÁ")</f>
        <v>BOGOTÁ</v>
      </c>
      <c r="E8034" s="15" t="str">
        <f>IFERROR(__xludf.DUMMYFUNCTION("""COMPUTED_VALUE"""),"Redi Food")</f>
        <v>Redi Food</v>
      </c>
      <c r="F8034" s="17" t="str">
        <f>IFERROR(__xludf.DUMMYFUNCTION("""COMPUTED_VALUE"""),"CL 15A # 35A-100 / EDIFICIO ROMA APTO 1401 / EL POBLADO")</f>
        <v>CL 15A # 35A-100 / EDIFICIO ROMA APTO 1401 / EL POBLADO</v>
      </c>
      <c r="G8034" s="15" t="str">
        <f>IFERROR(__xludf.DUMMYFUNCTION("""COMPUTED_VALUE"""),"CAROLINA ARANGO")</f>
        <v>CAROLINA ARANGO</v>
      </c>
      <c r="H8034" s="16">
        <f>IFERROR(__xludf.DUMMYFUNCTION("""COMPUTED_VALUE"""),16666.0)</f>
        <v>16666</v>
      </c>
      <c r="I8034" s="18">
        <f>IFERROR(__xludf.DUMMYFUNCTION("""COMPUTED_VALUE"""),15.0)</f>
        <v>15</v>
      </c>
      <c r="J8034" s="18">
        <f>IFERROR(__xludf.DUMMYFUNCTION("""COMPUTED_VALUE"""),14.0)</f>
        <v>14</v>
      </c>
      <c r="K8034" s="18">
        <f>IFERROR(__xludf.DUMMYFUNCTION("""COMPUTED_VALUE"""),30.0)</f>
        <v>30</v>
      </c>
      <c r="L8034" s="17">
        <f>IFERROR(__xludf.DUMMYFUNCTION("""COMPUTED_VALUE"""),3.146315982E9)</f>
        <v>3146315982</v>
      </c>
      <c r="M8034" s="17"/>
      <c r="N8034" s="17"/>
      <c r="O8034" s="17"/>
      <c r="P8034" s="17" t="b">
        <f>IFERROR(__xludf.DUMMYFUNCTION("""COMPUTED_VALUE"""),FALSE)</f>
        <v>0</v>
      </c>
      <c r="Q8034" s="20" t="str">
        <f>IFERROR(__xludf.DUMMYFUNCTION("""COMPUTED_VALUE"""),"")</f>
        <v/>
      </c>
      <c r="R8034" s="22" t="str">
        <f>IFERROR(__xludf.DUMMYFUNCTION("""COMPUTED_VALUE"""),"")</f>
        <v/>
      </c>
    </row>
    <row r="8035">
      <c r="A8035" s="15">
        <f>IFERROR(__xludf.DUMMYFUNCTION("""COMPUTED_VALUE"""),45226.0)</f>
        <v>45226</v>
      </c>
      <c r="B8035" s="16" t="str">
        <f>IFERROR(__xludf.DUMMYFUNCTION("""COMPUTED_VALUE"""),"Santiago Garces Restrepo")</f>
        <v>Santiago Garces Restrepo</v>
      </c>
      <c r="C8035" s="15" t="str">
        <f>IFERROR(__xludf.DUMMYFUNCTION("""COMPUTED_VALUE"""),"MEDELLÍN")</f>
        <v>MEDELLÍN</v>
      </c>
      <c r="D8035" s="15" t="str">
        <f>IFERROR(__xludf.DUMMYFUNCTION("""COMPUTED_VALUE"""),"BOGOTÁ")</f>
        <v>BOGOTÁ</v>
      </c>
      <c r="E8035" s="15" t="str">
        <f>IFERROR(__xludf.DUMMYFUNCTION("""COMPUTED_VALUE"""),"Redi Food")</f>
        <v>Redi Food</v>
      </c>
      <c r="F8035" s="17" t="str">
        <f>IFERROR(__xludf.DUMMYFUNCTION("""COMPUTED_VALUE"""),"CR 65F # 30A-60 / Edificio Malibu plaza, apto 412 / Malibu")</f>
        <v>CR 65F # 30A-60 / Edificio Malibu plaza, apto 412 / Malibu</v>
      </c>
      <c r="G8035" s="15" t="str">
        <f>IFERROR(__xludf.DUMMYFUNCTION("""COMPUTED_VALUE"""),"Alejandra Gulfo")</f>
        <v>Alejandra Gulfo</v>
      </c>
      <c r="H8035" s="16">
        <f>IFERROR(__xludf.DUMMYFUNCTION("""COMPUTED_VALUE"""),16662.0)</f>
        <v>16662</v>
      </c>
      <c r="I8035" s="18">
        <f>IFERROR(__xludf.DUMMYFUNCTION("""COMPUTED_VALUE"""),14.0)</f>
        <v>14</v>
      </c>
      <c r="J8035" s="18">
        <f>IFERROR(__xludf.DUMMYFUNCTION("""COMPUTED_VALUE"""),15.0)</f>
        <v>15</v>
      </c>
      <c r="K8035" s="18">
        <f>IFERROR(__xludf.DUMMYFUNCTION("""COMPUTED_VALUE"""),30.0)</f>
        <v>30</v>
      </c>
      <c r="L8035" s="17">
        <f>IFERROR(__xludf.DUMMYFUNCTION("""COMPUTED_VALUE"""),3.19703455E9)</f>
        <v>3197034550</v>
      </c>
      <c r="M8035" s="17"/>
      <c r="N8035" s="17"/>
      <c r="O8035" s="17"/>
      <c r="P8035" s="17" t="b">
        <f>IFERROR(__xludf.DUMMYFUNCTION("""COMPUTED_VALUE"""),FALSE)</f>
        <v>0</v>
      </c>
      <c r="Q8035" s="20" t="str">
        <f>IFERROR(__xludf.DUMMYFUNCTION("""COMPUTED_VALUE"""),"")</f>
        <v/>
      </c>
      <c r="R8035" s="21" t="str">
        <f>IFERROR(__xludf.DUMMYFUNCTION("""COMPUTED_VALUE"""),"https://drive.google.com/file/d/1ncrhedGRwnFy_wtP7AquQVWEYHkh4mqC/view?usp=drivesdk")</f>
        <v>https://drive.google.com/file/d/1ncrhedGRwnFy_wtP7AquQVWEYHkh4mqC/view?usp=drivesdk</v>
      </c>
    </row>
    <row r="8036">
      <c r="A8036" s="15">
        <f>IFERROR(__xludf.DUMMYFUNCTION("""COMPUTED_VALUE"""),45226.0)</f>
        <v>45226</v>
      </c>
      <c r="B8036" s="16" t="str">
        <f>IFERROR(__xludf.DUMMYFUNCTION("""COMPUTED_VALUE"""),"Santiago Garces Restrepo")</f>
        <v>Santiago Garces Restrepo</v>
      </c>
      <c r="C8036" s="15" t="str">
        <f>IFERROR(__xludf.DUMMYFUNCTION("""COMPUTED_VALUE"""),"MEDELLÍN")</f>
        <v>MEDELLÍN</v>
      </c>
      <c r="D8036" s="15" t="str">
        <f>IFERROR(__xludf.DUMMYFUNCTION("""COMPUTED_VALUE"""),"BOGOTÁ")</f>
        <v>BOGOTÁ</v>
      </c>
      <c r="E8036" s="15" t="str">
        <f>IFERROR(__xludf.DUMMYFUNCTION("""COMPUTED_VALUE"""),"Renata")</f>
        <v>Renata</v>
      </c>
      <c r="F8036" s="17" t="str">
        <f>IFERROR(__xludf.DUMMYFUNCTION("""COMPUTED_VALUE"""),"Carrera 32d#9-43 / Seline y cowork -restaurante  / Provenza")</f>
        <v>Carrera 32d#9-43 / Seline y cowork -restaurante  / Provenza</v>
      </c>
      <c r="G8036" s="15" t="str">
        <f>IFERROR(__xludf.DUMMYFUNCTION("""COMPUTED_VALUE"""),"Front y back hospitality group")</f>
        <v>Front y back hospitality group</v>
      </c>
      <c r="H8036" s="16">
        <f>IFERROR(__xludf.DUMMYFUNCTION("""COMPUTED_VALUE"""),16732.0)</f>
        <v>16732</v>
      </c>
      <c r="I8036" s="18">
        <f>IFERROR(__xludf.DUMMYFUNCTION("""COMPUTED_VALUE"""),90.0)</f>
        <v>90</v>
      </c>
      <c r="J8036" s="18">
        <f>IFERROR(__xludf.DUMMYFUNCTION("""COMPUTED_VALUE"""),70.0)</f>
        <v>70</v>
      </c>
      <c r="K8036" s="18">
        <f>IFERROR(__xludf.DUMMYFUNCTION("""COMPUTED_VALUE"""),60.0)</f>
        <v>60</v>
      </c>
      <c r="L8036" s="17">
        <f>IFERROR(__xludf.DUMMYFUNCTION("""COMPUTED_VALUE"""),3.104047368E9)</f>
        <v>3104047368</v>
      </c>
      <c r="M8036" s="17"/>
      <c r="N8036" s="17"/>
      <c r="O8036" s="17"/>
      <c r="P8036" s="17" t="b">
        <f>IFERROR(__xludf.DUMMYFUNCTION("""COMPUTED_VALUE"""),FALSE)</f>
        <v>0</v>
      </c>
      <c r="Q8036" s="20" t="str">
        <f>IFERROR(__xludf.DUMMYFUNCTION("""COMPUTED_VALUE"""),"")</f>
        <v/>
      </c>
      <c r="R8036" s="22" t="str">
        <f>IFERROR(__xludf.DUMMYFUNCTION("""COMPUTED_VALUE"""),"")</f>
        <v/>
      </c>
    </row>
    <row r="8037">
      <c r="A8037" s="15">
        <f>IFERROR(__xludf.DUMMYFUNCTION("""COMPUTED_VALUE"""),45226.0)</f>
        <v>45226</v>
      </c>
      <c r="B8037" s="16" t="str">
        <f>IFERROR(__xludf.DUMMYFUNCTION("""COMPUTED_VALUE"""),"Santiago Garces Restrepo")</f>
        <v>Santiago Garces Restrepo</v>
      </c>
      <c r="C8037" s="15" t="str">
        <f>IFERROR(__xludf.DUMMYFUNCTION("""COMPUTED_VALUE"""),"MEDELLÍN")</f>
        <v>MEDELLÍN</v>
      </c>
      <c r="D8037" s="15" t="str">
        <f>IFERROR(__xludf.DUMMYFUNCTION("""COMPUTED_VALUE"""),"BOGOTÁ")</f>
        <v>BOGOTÁ</v>
      </c>
      <c r="E8037" s="15" t="str">
        <f>IFERROR(__xludf.DUMMYFUNCTION("""COMPUTED_VALUE"""),"Top Spun")</f>
        <v>Top Spun</v>
      </c>
      <c r="F8037" s="17" t="str">
        <f>IFERROR(__xludf.DUMMYFUNCTION("""COMPUTED_VALUE"""),"Calle 17 sur #44 159 / apto 1002  / Edificio claroscuro")</f>
        <v>Calle 17 sur #44 159 / apto 1002  / Edificio claroscuro</v>
      </c>
      <c r="G8037" s="15" t="str">
        <f>IFERROR(__xludf.DUMMYFUNCTION("""COMPUTED_VALUE"""),"Andrea Yepes Rivera")</f>
        <v>Andrea Yepes Rivera</v>
      </c>
      <c r="H8037" s="16">
        <f>IFERROR(__xludf.DUMMYFUNCTION("""COMPUTED_VALUE"""),16674.0)</f>
        <v>16674</v>
      </c>
      <c r="I8037" s="18">
        <f>IFERROR(__xludf.DUMMYFUNCTION("""COMPUTED_VALUE"""),20.0)</f>
        <v>20</v>
      </c>
      <c r="J8037" s="18">
        <f>IFERROR(__xludf.DUMMYFUNCTION("""COMPUTED_VALUE"""),10.0)</f>
        <v>10</v>
      </c>
      <c r="K8037" s="18">
        <f>IFERROR(__xludf.DUMMYFUNCTION("""COMPUTED_VALUE"""),40.0)</f>
        <v>40</v>
      </c>
      <c r="L8037" s="17">
        <f>IFERROR(__xludf.DUMMYFUNCTION("""COMPUTED_VALUE"""),3.007435051E9)</f>
        <v>3007435051</v>
      </c>
      <c r="M8037" s="17"/>
      <c r="N8037" s="17"/>
      <c r="O8037" s="17"/>
      <c r="P8037" s="17" t="b">
        <f>IFERROR(__xludf.DUMMYFUNCTION("""COMPUTED_VALUE"""),FALSE)</f>
        <v>0</v>
      </c>
      <c r="Q8037" s="20" t="str">
        <f>IFERROR(__xludf.DUMMYFUNCTION("""COMPUTED_VALUE"""),"")</f>
        <v/>
      </c>
      <c r="R8037" s="21" t="str">
        <f>IFERROR(__xludf.DUMMYFUNCTION("""COMPUTED_VALUE"""),"https://drive.google.com/file/d/1vEOUNA5BVFsuCD6nIPoU8P2aTl4UthWr/view?usp=drivesdk")</f>
        <v>https://drive.google.com/file/d/1vEOUNA5BVFsuCD6nIPoU8P2aTl4UthWr/view?usp=drivesdk</v>
      </c>
    </row>
    <row r="8038">
      <c r="A8038" s="15">
        <f>IFERROR(__xludf.DUMMYFUNCTION("""COMPUTED_VALUE"""),45226.0)</f>
        <v>45226</v>
      </c>
      <c r="B8038" s="16" t="str">
        <f>IFERROR(__xludf.DUMMYFUNCTION("""COMPUTED_VALUE"""),"Santiago Garces Restrepo")</f>
        <v>Santiago Garces Restrepo</v>
      </c>
      <c r="C8038" s="15" t="str">
        <f>IFERROR(__xludf.DUMMYFUNCTION("""COMPUTED_VALUE"""),"MEDELLÍN")</f>
        <v>MEDELLÍN</v>
      </c>
      <c r="D8038" s="15" t="str">
        <f>IFERROR(__xludf.DUMMYFUNCTION("""COMPUTED_VALUE"""),"BOGOTÁ")</f>
        <v>BOGOTÁ</v>
      </c>
      <c r="E8038" s="15" t="str">
        <f>IFERROR(__xludf.DUMMYFUNCTION("""COMPUTED_VALUE"""),"Top Spun")</f>
        <v>Top Spun</v>
      </c>
      <c r="F8038" s="17" t="str">
        <f>IFERROR(__xludf.DUMMYFUNCTION("""COMPUTED_VALUE"""),"Carrera 27aa # 36 Sur - 151 / Apto 1215 Apto 1215  / Urbanización Nativo Flora")</f>
        <v>Carrera 27aa # 36 Sur - 151 / Apto 1215 Apto 1215  / Urbanización Nativo Flora</v>
      </c>
      <c r="G8038" s="15" t="str">
        <f>IFERROR(__xludf.DUMMYFUNCTION("""COMPUTED_VALUE"""),"Sofía Hincapié Mejía")</f>
        <v>Sofía Hincapié Mejía</v>
      </c>
      <c r="H8038" s="16">
        <f>IFERROR(__xludf.DUMMYFUNCTION("""COMPUTED_VALUE"""),16672.0)</f>
        <v>16672</v>
      </c>
      <c r="I8038" s="18">
        <f>IFERROR(__xludf.DUMMYFUNCTION("""COMPUTED_VALUE"""),20.0)</f>
        <v>20</v>
      </c>
      <c r="J8038" s="18">
        <f>IFERROR(__xludf.DUMMYFUNCTION("""COMPUTED_VALUE"""),10.0)</f>
        <v>10</v>
      </c>
      <c r="K8038" s="18">
        <f>IFERROR(__xludf.DUMMYFUNCTION("""COMPUTED_VALUE"""),40.0)</f>
        <v>40</v>
      </c>
      <c r="L8038" s="17">
        <f>IFERROR(__xludf.DUMMYFUNCTION("""COMPUTED_VALUE"""),3.167596956E9)</f>
        <v>3167596956</v>
      </c>
      <c r="M8038" s="17"/>
      <c r="N8038" s="17"/>
      <c r="O8038" s="17"/>
      <c r="P8038" s="17" t="b">
        <f>IFERROR(__xludf.DUMMYFUNCTION("""COMPUTED_VALUE"""),FALSE)</f>
        <v>0</v>
      </c>
      <c r="Q8038" s="20" t="str">
        <f>IFERROR(__xludf.DUMMYFUNCTION("""COMPUTED_VALUE"""),"")</f>
        <v/>
      </c>
      <c r="R8038" s="21" t="str">
        <f>IFERROR(__xludf.DUMMYFUNCTION("""COMPUTED_VALUE"""),"https://drive.google.com/file/d/1e1COtjaXsQlkiw_5POJvIN04A5OgVTs-/view?usp=drivesdk")</f>
        <v>https://drive.google.com/file/d/1e1COtjaXsQlkiw_5POJvIN04A5OgVTs-/view?usp=drivesdk</v>
      </c>
    </row>
    <row r="8039">
      <c r="A8039" s="15">
        <f>IFERROR(__xludf.DUMMYFUNCTION("""COMPUTED_VALUE"""),45226.0)</f>
        <v>45226</v>
      </c>
      <c r="B8039" s="16" t="str">
        <f>IFERROR(__xludf.DUMMYFUNCTION("""COMPUTED_VALUE"""),"Santiago Garces Restrepo")</f>
        <v>Santiago Garces Restrepo</v>
      </c>
      <c r="C8039" s="15" t="str">
        <f>IFERROR(__xludf.DUMMYFUNCTION("""COMPUTED_VALUE"""),"MEDELLÍN")</f>
        <v>MEDELLÍN</v>
      </c>
      <c r="D8039" s="15" t="str">
        <f>IFERROR(__xludf.DUMMYFUNCTION("""COMPUTED_VALUE"""),"BOGOTÁ")</f>
        <v>BOGOTÁ</v>
      </c>
      <c r="E8039" s="15" t="str">
        <f>IFERROR(__xludf.DUMMYFUNCTION("""COMPUTED_VALUE"""),"Top Spun")</f>
        <v>Top Spun</v>
      </c>
      <c r="F8039" s="17" t="str">
        <f>IFERROR(__xludf.DUMMYFUNCTION("""COMPUTED_VALUE"""),"Carrera 32 #18c79 / torre 4 apartamento 9811  / Urbanización panoramika country")</f>
        <v>Carrera 32 #18c79 / torre 4 apartamento 9811  / Urbanización panoramika country</v>
      </c>
      <c r="G8039" s="15" t="str">
        <f>IFERROR(__xludf.DUMMYFUNCTION("""COMPUTED_VALUE"""),"Evelyn Rocio Gauna")</f>
        <v>Evelyn Rocio Gauna</v>
      </c>
      <c r="H8039" s="16">
        <f>IFERROR(__xludf.DUMMYFUNCTION("""COMPUTED_VALUE"""),16669.0)</f>
        <v>16669</v>
      </c>
      <c r="I8039" s="18">
        <f>IFERROR(__xludf.DUMMYFUNCTION("""COMPUTED_VALUE"""),20.0)</f>
        <v>20</v>
      </c>
      <c r="J8039" s="18">
        <f>IFERROR(__xludf.DUMMYFUNCTION("""COMPUTED_VALUE"""),10.0)</f>
        <v>10</v>
      </c>
      <c r="K8039" s="18">
        <f>IFERROR(__xludf.DUMMYFUNCTION("""COMPUTED_VALUE"""),40.0)</f>
        <v>40</v>
      </c>
      <c r="L8039" s="17">
        <f>IFERROR(__xludf.DUMMYFUNCTION("""COMPUTED_VALUE"""),3.242096592E9)</f>
        <v>3242096592</v>
      </c>
      <c r="M8039" s="17"/>
      <c r="N8039" s="17"/>
      <c r="O8039" s="17"/>
      <c r="P8039" s="17" t="b">
        <f>IFERROR(__xludf.DUMMYFUNCTION("""COMPUTED_VALUE"""),FALSE)</f>
        <v>0</v>
      </c>
      <c r="Q8039" s="20" t="str">
        <f>IFERROR(__xludf.DUMMYFUNCTION("""COMPUTED_VALUE"""),"")</f>
        <v/>
      </c>
      <c r="R8039" s="21" t="str">
        <f>IFERROR(__xludf.DUMMYFUNCTION("""COMPUTED_VALUE"""),"https://drive.google.com/file/d/1w-W3o4N3OUR62QMwyoJUt5TXkhS-aL5c/view?usp=drivesdk")</f>
        <v>https://drive.google.com/file/d/1w-W3o4N3OUR62QMwyoJUt5TXkhS-aL5c/view?usp=drivesdk</v>
      </c>
    </row>
    <row r="8040">
      <c r="A8040" s="15">
        <f>IFERROR(__xludf.DUMMYFUNCTION("""COMPUTED_VALUE"""),45226.0)</f>
        <v>45226</v>
      </c>
      <c r="B8040" s="16" t="str">
        <f>IFERROR(__xludf.DUMMYFUNCTION("""COMPUTED_VALUE"""),"Santiago Garces Restrepo")</f>
        <v>Santiago Garces Restrepo</v>
      </c>
      <c r="C8040" s="15" t="str">
        <f>IFERROR(__xludf.DUMMYFUNCTION("""COMPUTED_VALUE"""),"MEDELLÍN")</f>
        <v>MEDELLÍN</v>
      </c>
      <c r="D8040" s="15" t="str">
        <f>IFERROR(__xludf.DUMMYFUNCTION("""COMPUTED_VALUE"""),"BOGOTÁ")</f>
        <v>BOGOTÁ</v>
      </c>
      <c r="E8040" s="15" t="str">
        <f>IFERROR(__xludf.DUMMYFUNCTION("""COMPUTED_VALUE"""),"Top Spun")</f>
        <v>Top Spun</v>
      </c>
      <c r="F8040" s="17" t="str">
        <f>IFERROR(__xludf.DUMMYFUNCTION("""COMPUTED_VALUE"""),"Cll 7 # 70-500 / Bloque 9 apto 402 / urbanización el enclave")</f>
        <v>Cll 7 # 70-500 / Bloque 9 apto 402 / urbanización el enclave</v>
      </c>
      <c r="G8040" s="15" t="str">
        <f>IFERROR(__xludf.DUMMYFUNCTION("""COMPUTED_VALUE"""),"Aida Guzman")</f>
        <v>Aida Guzman</v>
      </c>
      <c r="H8040" s="16">
        <f>IFERROR(__xludf.DUMMYFUNCTION("""COMPUTED_VALUE"""),16671.0)</f>
        <v>16671</v>
      </c>
      <c r="I8040" s="18">
        <f>IFERROR(__xludf.DUMMYFUNCTION("""COMPUTED_VALUE"""),20.0)</f>
        <v>20</v>
      </c>
      <c r="J8040" s="18">
        <f>IFERROR(__xludf.DUMMYFUNCTION("""COMPUTED_VALUE"""),10.0)</f>
        <v>10</v>
      </c>
      <c r="K8040" s="18">
        <f>IFERROR(__xludf.DUMMYFUNCTION("""COMPUTED_VALUE"""),40.0)</f>
        <v>40</v>
      </c>
      <c r="L8040" s="17">
        <f>IFERROR(__xludf.DUMMYFUNCTION("""COMPUTED_VALUE"""),3.113701662E9)</f>
        <v>3113701662</v>
      </c>
      <c r="M8040" s="17"/>
      <c r="N8040" s="17"/>
      <c r="O8040" s="17"/>
      <c r="P8040" s="17" t="b">
        <f>IFERROR(__xludf.DUMMYFUNCTION("""COMPUTED_VALUE"""),FALSE)</f>
        <v>0</v>
      </c>
      <c r="Q8040" s="20" t="str">
        <f>IFERROR(__xludf.DUMMYFUNCTION("""COMPUTED_VALUE"""),"")</f>
        <v/>
      </c>
      <c r="R8040" s="21" t="str">
        <f>IFERROR(__xludf.DUMMYFUNCTION("""COMPUTED_VALUE"""),"https://drive.google.com/file/d/1dyU0lhfKU-VFvWqul0uugoIgR_1olgvf/view?usp=drivesdk")</f>
        <v>https://drive.google.com/file/d/1dyU0lhfKU-VFvWqul0uugoIgR_1olgvf/view?usp=drivesdk</v>
      </c>
    </row>
    <row r="8041">
      <c r="A8041" s="15">
        <f>IFERROR(__xludf.DUMMYFUNCTION("""COMPUTED_VALUE"""),45226.0)</f>
        <v>45226</v>
      </c>
      <c r="B8041" s="16" t="str">
        <f>IFERROR(__xludf.DUMMYFUNCTION("""COMPUTED_VALUE"""),"Santiago Garces Restrepo")</f>
        <v>Santiago Garces Restrepo</v>
      </c>
      <c r="C8041" s="15" t="str">
        <f>IFERROR(__xludf.DUMMYFUNCTION("""COMPUTED_VALUE"""),"MEDELLÍN")</f>
        <v>MEDELLÍN</v>
      </c>
      <c r="D8041" s="15" t="str">
        <f>IFERROR(__xludf.DUMMYFUNCTION("""COMPUTED_VALUE"""),"BOGOTÁ")</f>
        <v>BOGOTÁ</v>
      </c>
      <c r="E8041" s="15" t="str">
        <f>IFERROR(__xludf.DUMMYFUNCTION("""COMPUTED_VALUE"""),"Top Spun")</f>
        <v>Top Spun</v>
      </c>
      <c r="F8041" s="17" t="str">
        <f>IFERROR(__xludf.DUMMYFUNCTION("""COMPUTED_VALUE"""),"Cr 81 # 45 G 28 / Apto 302 / edf Karmele Medellin")</f>
        <v>Cr 81 # 45 G 28 / Apto 302 / edf Karmele Medellin</v>
      </c>
      <c r="G8041" s="15" t="str">
        <f>IFERROR(__xludf.DUMMYFUNCTION("""COMPUTED_VALUE"""),"Paola Correa")</f>
        <v>Paola Correa</v>
      </c>
      <c r="H8041" s="16">
        <f>IFERROR(__xludf.DUMMYFUNCTION("""COMPUTED_VALUE"""),16670.0)</f>
        <v>16670</v>
      </c>
      <c r="I8041" s="18">
        <f>IFERROR(__xludf.DUMMYFUNCTION("""COMPUTED_VALUE"""),20.0)</f>
        <v>20</v>
      </c>
      <c r="J8041" s="18">
        <f>IFERROR(__xludf.DUMMYFUNCTION("""COMPUTED_VALUE"""),10.0)</f>
        <v>10</v>
      </c>
      <c r="K8041" s="18">
        <f>IFERROR(__xludf.DUMMYFUNCTION("""COMPUTED_VALUE"""),40.0)</f>
        <v>40</v>
      </c>
      <c r="L8041" s="17">
        <f>IFERROR(__xludf.DUMMYFUNCTION("""COMPUTED_VALUE"""),3.154630631E9)</f>
        <v>3154630631</v>
      </c>
      <c r="M8041" s="17"/>
      <c r="N8041" s="17"/>
      <c r="O8041" s="17"/>
      <c r="P8041" s="17" t="b">
        <f>IFERROR(__xludf.DUMMYFUNCTION("""COMPUTED_VALUE"""),FALSE)</f>
        <v>0</v>
      </c>
      <c r="Q8041" s="20" t="str">
        <f>IFERROR(__xludf.DUMMYFUNCTION("""COMPUTED_VALUE"""),"")</f>
        <v/>
      </c>
      <c r="R8041" s="21" t="str">
        <f>IFERROR(__xludf.DUMMYFUNCTION("""COMPUTED_VALUE"""),"https://drive.google.com/file/d/1PoPjP5TT-Xx3Vdn-vriBvmBJfZxtZJ0t/view?usp=drivesdk")</f>
        <v>https://drive.google.com/file/d/1PoPjP5TT-Xx3Vdn-vriBvmBJfZxtZJ0t/view?usp=drivesdk</v>
      </c>
    </row>
    <row r="8042">
      <c r="A8042" s="15">
        <f>IFERROR(__xludf.DUMMYFUNCTION("""COMPUTED_VALUE"""),45226.0)</f>
        <v>45226</v>
      </c>
      <c r="B8042" s="16" t="str">
        <f>IFERROR(__xludf.DUMMYFUNCTION("""COMPUTED_VALUE"""),"Santiago Garces Restrepo")</f>
        <v>Santiago Garces Restrepo</v>
      </c>
      <c r="C8042" s="15" t="str">
        <f>IFERROR(__xludf.DUMMYFUNCTION("""COMPUTED_VALUE"""),"MEDELLÍN")</f>
        <v>MEDELLÍN</v>
      </c>
      <c r="D8042" s="15" t="str">
        <f>IFERROR(__xludf.DUMMYFUNCTION("""COMPUTED_VALUE"""),"BOGOTÁ")</f>
        <v>BOGOTÁ</v>
      </c>
      <c r="E8042" s="15" t="str">
        <f>IFERROR(__xludf.DUMMYFUNCTION("""COMPUTED_VALUE"""),"Top Spun")</f>
        <v>Top Spun</v>
      </c>
      <c r="F8042" s="17" t="str">
        <f>IFERROR(__xludf.DUMMYFUNCTION("""COMPUTED_VALUE"""),"Diagonal 32 D # 33 a sur 15 / Casa primer piso  / Envigado")</f>
        <v>Diagonal 32 D # 33 a sur 15 / Casa primer piso  / Envigado</v>
      </c>
      <c r="G8042" s="15" t="str">
        <f>IFERROR(__xludf.DUMMYFUNCTION("""COMPUTED_VALUE"""),"Laura Henao Villa")</f>
        <v>Laura Henao Villa</v>
      </c>
      <c r="H8042" s="16">
        <f>IFERROR(__xludf.DUMMYFUNCTION("""COMPUTED_VALUE"""),16668.0)</f>
        <v>16668</v>
      </c>
      <c r="I8042" s="18">
        <f>IFERROR(__xludf.DUMMYFUNCTION("""COMPUTED_VALUE"""),20.0)</f>
        <v>20</v>
      </c>
      <c r="J8042" s="18">
        <f>IFERROR(__xludf.DUMMYFUNCTION("""COMPUTED_VALUE"""),10.0)</f>
        <v>10</v>
      </c>
      <c r="K8042" s="18">
        <f>IFERROR(__xludf.DUMMYFUNCTION("""COMPUTED_VALUE"""),40.0)</f>
        <v>40</v>
      </c>
      <c r="L8042" s="17">
        <f>IFERROR(__xludf.DUMMYFUNCTION("""COMPUTED_VALUE"""),3.117300903E9)</f>
        <v>3117300903</v>
      </c>
      <c r="M8042" s="17"/>
      <c r="N8042" s="17"/>
      <c r="O8042" s="17"/>
      <c r="P8042" s="17" t="b">
        <f>IFERROR(__xludf.DUMMYFUNCTION("""COMPUTED_VALUE"""),FALSE)</f>
        <v>0</v>
      </c>
      <c r="Q8042" s="20" t="str">
        <f>IFERROR(__xludf.DUMMYFUNCTION("""COMPUTED_VALUE"""),"")</f>
        <v/>
      </c>
      <c r="R8042" s="21" t="str">
        <f>IFERROR(__xludf.DUMMYFUNCTION("""COMPUTED_VALUE"""),"https://drive.google.com/file/d/1Oquif0bVc9y8DG7AjECYOKeiBdTsKQCE/view?usp=drivesdk")</f>
        <v>https://drive.google.com/file/d/1Oquif0bVc9y8DG7AjECYOKeiBdTsKQCE/view?usp=drivesdk</v>
      </c>
    </row>
    <row r="8043">
      <c r="A8043" s="15">
        <f>IFERROR(__xludf.DUMMYFUNCTION("""COMPUTED_VALUE"""),45226.0)</f>
        <v>45226</v>
      </c>
      <c r="B8043" s="16" t="str">
        <f>IFERROR(__xludf.DUMMYFUNCTION("""COMPUTED_VALUE"""),"Santiago Garces Restrepo")</f>
        <v>Santiago Garces Restrepo</v>
      </c>
      <c r="C8043" s="15" t="str">
        <f>IFERROR(__xludf.DUMMYFUNCTION("""COMPUTED_VALUE"""),"MEDELLÍN")</f>
        <v>MEDELLÍN</v>
      </c>
      <c r="D8043" s="15" t="str">
        <f>IFERROR(__xludf.DUMMYFUNCTION("""COMPUTED_VALUE"""),"BOGOTÁ")</f>
        <v>BOGOTÁ</v>
      </c>
      <c r="E8043" s="15" t="str">
        <f>IFERROR(__xludf.DUMMYFUNCTION("""COMPUTED_VALUE"""),"Top Spun")</f>
        <v>Top Spun</v>
      </c>
      <c r="F8043" s="17" t="str">
        <f>IFERROR(__xludf.DUMMYFUNCTION("""COMPUTED_VALUE"""),"Parcelacion Belomonte / casa 69 / Envigado")</f>
        <v>Parcelacion Belomonte / casa 69 / Envigado</v>
      </c>
      <c r="G8043" s="15" t="str">
        <f>IFERROR(__xludf.DUMMYFUNCTION("""COMPUTED_VALUE"""),"Susana Echeverri Correa")</f>
        <v>Susana Echeverri Correa</v>
      </c>
      <c r="H8043" s="16">
        <f>IFERROR(__xludf.DUMMYFUNCTION("""COMPUTED_VALUE"""),16673.0)</f>
        <v>16673</v>
      </c>
      <c r="I8043" s="18">
        <f>IFERROR(__xludf.DUMMYFUNCTION("""COMPUTED_VALUE"""),20.0)</f>
        <v>20</v>
      </c>
      <c r="J8043" s="18">
        <f>IFERROR(__xludf.DUMMYFUNCTION("""COMPUTED_VALUE"""),10.0)</f>
        <v>10</v>
      </c>
      <c r="K8043" s="18">
        <f>IFERROR(__xludf.DUMMYFUNCTION("""COMPUTED_VALUE"""),40.0)</f>
        <v>40</v>
      </c>
      <c r="L8043" s="17">
        <f>IFERROR(__xludf.DUMMYFUNCTION("""COMPUTED_VALUE"""),3.016573996E9)</f>
        <v>3016573996</v>
      </c>
      <c r="M8043" s="17"/>
      <c r="N8043" s="17"/>
      <c r="O8043" s="17"/>
      <c r="P8043" s="17" t="b">
        <f>IFERROR(__xludf.DUMMYFUNCTION("""COMPUTED_VALUE"""),FALSE)</f>
        <v>0</v>
      </c>
      <c r="Q8043" s="20" t="str">
        <f>IFERROR(__xludf.DUMMYFUNCTION("""COMPUTED_VALUE"""),"")</f>
        <v/>
      </c>
      <c r="R8043" s="21" t="str">
        <f>IFERROR(__xludf.DUMMYFUNCTION("""COMPUTED_VALUE"""),"https://drive.google.com/file/d/1oJMXQ7lstZSGA5IQPY_cdZF15DNVXEZI/view?usp=drivesdk")</f>
        <v>https://drive.google.com/file/d/1oJMXQ7lstZSGA5IQPY_cdZF15DNVXEZI/view?usp=drivesdk</v>
      </c>
    </row>
    <row r="8044">
      <c r="A8044" s="17" t="str">
        <f>IFERROR(__xludf.DUMMYFUNCTION("""COMPUTED_VALUE"""),"")</f>
        <v/>
      </c>
      <c r="B8044" s="17" t="str">
        <f>IFERROR(__xludf.DUMMYFUNCTION("""COMPUTED_VALUE"""),"")</f>
        <v/>
      </c>
      <c r="C8044" s="17" t="str">
        <f>IFERROR(__xludf.DUMMYFUNCTION("""COMPUTED_VALUE"""),"")</f>
        <v/>
      </c>
      <c r="D8044" s="17" t="str">
        <f>IFERROR(__xludf.DUMMYFUNCTION("""COMPUTED_VALUE"""),"")</f>
        <v/>
      </c>
      <c r="E8044" s="17" t="str">
        <f>IFERROR(__xludf.DUMMYFUNCTION("""COMPUTED_VALUE"""),"")</f>
        <v/>
      </c>
      <c r="F8044" s="17" t="str">
        <f>IFERROR(__xludf.DUMMYFUNCTION("""COMPUTED_VALUE"""),"")</f>
        <v/>
      </c>
      <c r="G8044" s="17" t="str">
        <f>IFERROR(__xludf.DUMMYFUNCTION("""COMPUTED_VALUE"""),"")</f>
        <v/>
      </c>
      <c r="H8044" s="17" t="str">
        <f>IFERROR(__xludf.DUMMYFUNCTION("""COMPUTED_VALUE"""),"")</f>
        <v/>
      </c>
      <c r="I8044" s="17" t="str">
        <f>IFERROR(__xludf.DUMMYFUNCTION("""COMPUTED_VALUE"""),"")</f>
        <v/>
      </c>
      <c r="J8044" s="17" t="str">
        <f>IFERROR(__xludf.DUMMYFUNCTION("""COMPUTED_VALUE"""),"")</f>
        <v/>
      </c>
      <c r="K8044" s="17" t="str">
        <f>IFERROR(__xludf.DUMMYFUNCTION("""COMPUTED_VALUE"""),"")</f>
        <v/>
      </c>
      <c r="L8044" s="17" t="str">
        <f>IFERROR(__xludf.DUMMYFUNCTION("""COMPUTED_VALUE"""),"")</f>
        <v/>
      </c>
      <c r="M8044" s="17" t="str">
        <f>IFERROR(__xludf.DUMMYFUNCTION("""COMPUTED_VALUE"""),"")</f>
        <v/>
      </c>
      <c r="N8044" s="17" t="str">
        <f>IFERROR(__xludf.DUMMYFUNCTION("""COMPUTED_VALUE"""),"")</f>
        <v/>
      </c>
      <c r="O8044" s="17" t="str">
        <f>IFERROR(__xludf.DUMMYFUNCTION("""COMPUTED_VALUE"""),"")</f>
        <v/>
      </c>
      <c r="P8044" s="17" t="str">
        <f>IFERROR(__xludf.DUMMYFUNCTION("""COMPUTED_VALUE"""),"")</f>
        <v/>
      </c>
      <c r="Q8044" s="17" t="str">
        <f>IFERROR(__xludf.DUMMYFUNCTION("""COMPUTED_VALUE"""),"")</f>
        <v/>
      </c>
      <c r="R8044" s="17" t="str">
        <f>IFERROR(__xludf.DUMMYFUNCTION("""COMPUTED_VALUE"""),"")</f>
        <v/>
      </c>
    </row>
    <row r="8045">
      <c r="A8045" s="15">
        <f>IFERROR(__xludf.DUMMYFUNCTION("""COMPUTED_VALUE"""),45226.0)</f>
        <v>45226</v>
      </c>
      <c r="B8045" s="16" t="str">
        <f>IFERROR(__xludf.DUMMYFUNCTION("""COMPUTED_VALUE"""),"Yenis Carolina sicuamia montaño")</f>
        <v>Yenis Carolina sicuamia montaño</v>
      </c>
      <c r="C8045" s="15" t="str">
        <f>IFERROR(__xludf.DUMMYFUNCTION("""COMPUTED_VALUE"""),"POPAYAN")</f>
        <v>POPAYAN</v>
      </c>
      <c r="D8045" s="15" t="str">
        <f>IFERROR(__xludf.DUMMYFUNCTION("""COMPUTED_VALUE"""),"BOGOTÁ")</f>
        <v>BOGOTÁ</v>
      </c>
      <c r="E8045" s="15" t="str">
        <f>IFERROR(__xludf.DUMMYFUNCTION("""COMPUTED_VALUE"""),"Instinto alimento vital")</f>
        <v>Instinto alimento vital</v>
      </c>
      <c r="F8045" s="17" t="str">
        <f>IFERROR(__xludf.DUMMYFUNCTION("""COMPUTED_VALUE"""),"CRA 17 # 15 - 40 / CAS A")</f>
        <v>CRA 17 # 15 - 40 / CAS A</v>
      </c>
      <c r="G8045" s="15" t="str">
        <f>IFERROR(__xludf.DUMMYFUNCTION("""COMPUTED_VALUE"""),"MARCELA GAVIRIA PAZ")</f>
        <v>MARCELA GAVIRIA PAZ</v>
      </c>
      <c r="H8045" s="16">
        <f>IFERROR(__xludf.DUMMYFUNCTION("""COMPUTED_VALUE"""),16686.0)</f>
        <v>16686</v>
      </c>
      <c r="I8045" s="17"/>
      <c r="J8045" s="17"/>
      <c r="K8045" s="17"/>
      <c r="L8045" s="17">
        <f>IFERROR(__xludf.DUMMYFUNCTION("""COMPUTED_VALUE"""),3.117038837E9)</f>
        <v>3117038837</v>
      </c>
      <c r="M8045" s="17"/>
      <c r="N8045" s="17"/>
      <c r="O8045" s="17"/>
      <c r="P8045" s="17" t="b">
        <f>IFERROR(__xludf.DUMMYFUNCTION("""COMPUTED_VALUE"""),FALSE)</f>
        <v>0</v>
      </c>
      <c r="Q8045" s="20" t="str">
        <f>IFERROR(__xludf.DUMMYFUNCTION("""COMPUTED_VALUE"""),"")</f>
        <v/>
      </c>
      <c r="R8045" s="22" t="str">
        <f>IFERROR(__xludf.DUMMYFUNCTION("""COMPUTED_VALUE"""),"")</f>
        <v/>
      </c>
    </row>
    <row r="8046">
      <c r="A8046" s="15">
        <f>IFERROR(__xludf.DUMMYFUNCTION("""COMPUTED_VALUE"""),45226.0)</f>
        <v>45226</v>
      </c>
      <c r="B8046" s="16" t="str">
        <f>IFERROR(__xludf.DUMMYFUNCTION("""COMPUTED_VALUE"""),"Yenis Carolina sicuamia montaño")</f>
        <v>Yenis Carolina sicuamia montaño</v>
      </c>
      <c r="C8046" s="15" t="str">
        <f>IFERROR(__xludf.DUMMYFUNCTION("""COMPUTED_VALUE"""),"POPAYAN")</f>
        <v>POPAYAN</v>
      </c>
      <c r="D8046" s="15" t="str">
        <f>IFERROR(__xludf.DUMMYFUNCTION("""COMPUTED_VALUE"""),"BOGOTÁ")</f>
        <v>BOGOTÁ</v>
      </c>
      <c r="E8046" s="15" t="str">
        <f>IFERROR(__xludf.DUMMYFUNCTION("""COMPUTED_VALUE"""),"LINA PAOLA RAMIREZ GOMEZ - EVA MAZZITA")</f>
        <v>LINA PAOLA RAMIREZ GOMEZ - EVA MAZZITA</v>
      </c>
      <c r="F8046" s="17" t="str">
        <f>IFERROR(__xludf.DUMMYFUNCTION("""COMPUTED_VALUE"""),"CRA 6 # 27N - 58 / LOCAL 1 BARRIO LOS HOYOS - VIVEA MERCADO SALUDABLE")</f>
        <v>CRA 6 # 27N - 58 / LOCAL 1 BARRIO LOS HOYOS - VIVEA MERCADO SALUDABLE</v>
      </c>
      <c r="G8046" s="15" t="str">
        <f>IFERROR(__xludf.DUMMYFUNCTION("""COMPUTED_VALUE"""),"VIVIANA ANDREA CHAMORRO YANZA")</f>
        <v>VIVIANA ANDREA CHAMORRO YANZA</v>
      </c>
      <c r="H8046" s="16">
        <f>IFERROR(__xludf.DUMMYFUNCTION("""COMPUTED_VALUE"""),16694.0)</f>
        <v>16694</v>
      </c>
      <c r="I8046" s="17"/>
      <c r="J8046" s="17"/>
      <c r="K8046" s="17"/>
      <c r="L8046" s="17">
        <f>IFERROR(__xludf.DUMMYFUNCTION("""COMPUTED_VALUE"""),3.122971002E9)</f>
        <v>3122971002</v>
      </c>
      <c r="M8046" s="17"/>
      <c r="N8046" s="17"/>
      <c r="O8046" s="17"/>
      <c r="P8046" s="17" t="b">
        <f>IFERROR(__xludf.DUMMYFUNCTION("""COMPUTED_VALUE"""),FALSE)</f>
        <v>0</v>
      </c>
      <c r="Q8046" s="20" t="str">
        <f>IFERROR(__xludf.DUMMYFUNCTION("""COMPUTED_VALUE"""),"")</f>
        <v/>
      </c>
      <c r="R8046" s="22" t="str">
        <f>IFERROR(__xludf.DUMMYFUNCTION("""COMPUTED_VALUE"""),"")</f>
        <v/>
      </c>
    </row>
    <row r="8047">
      <c r="A8047" s="17" t="str">
        <f>IFERROR(__xludf.DUMMYFUNCTION("""COMPUTED_VALUE"""),"")</f>
        <v/>
      </c>
      <c r="B8047" s="17" t="str">
        <f>IFERROR(__xludf.DUMMYFUNCTION("""COMPUTED_VALUE"""),"")</f>
        <v/>
      </c>
      <c r="C8047" s="17" t="str">
        <f>IFERROR(__xludf.DUMMYFUNCTION("""COMPUTED_VALUE"""),"")</f>
        <v/>
      </c>
      <c r="D8047" s="17" t="str">
        <f>IFERROR(__xludf.DUMMYFUNCTION("""COMPUTED_VALUE"""),"")</f>
        <v/>
      </c>
      <c r="E8047" s="17" t="str">
        <f>IFERROR(__xludf.DUMMYFUNCTION("""COMPUTED_VALUE"""),"")</f>
        <v/>
      </c>
      <c r="F8047" s="17" t="str">
        <f>IFERROR(__xludf.DUMMYFUNCTION("""COMPUTED_VALUE"""),"")</f>
        <v/>
      </c>
      <c r="G8047" s="17" t="str">
        <f>IFERROR(__xludf.DUMMYFUNCTION("""COMPUTED_VALUE"""),"")</f>
        <v/>
      </c>
      <c r="H8047" s="17" t="str">
        <f>IFERROR(__xludf.DUMMYFUNCTION("""COMPUTED_VALUE"""),"")</f>
        <v/>
      </c>
      <c r="I8047" s="17" t="str">
        <f>IFERROR(__xludf.DUMMYFUNCTION("""COMPUTED_VALUE"""),"")</f>
        <v/>
      </c>
      <c r="J8047" s="17" t="str">
        <f>IFERROR(__xludf.DUMMYFUNCTION("""COMPUTED_VALUE"""),"")</f>
        <v/>
      </c>
      <c r="K8047" s="17" t="str">
        <f>IFERROR(__xludf.DUMMYFUNCTION("""COMPUTED_VALUE"""),"")</f>
        <v/>
      </c>
      <c r="L8047" s="17" t="str">
        <f>IFERROR(__xludf.DUMMYFUNCTION("""COMPUTED_VALUE"""),"")</f>
        <v/>
      </c>
      <c r="M8047" s="17" t="str">
        <f>IFERROR(__xludf.DUMMYFUNCTION("""COMPUTED_VALUE"""),"")</f>
        <v/>
      </c>
      <c r="N8047" s="17" t="str">
        <f>IFERROR(__xludf.DUMMYFUNCTION("""COMPUTED_VALUE"""),"")</f>
        <v/>
      </c>
      <c r="O8047" s="17" t="str">
        <f>IFERROR(__xludf.DUMMYFUNCTION("""COMPUTED_VALUE"""),"")</f>
        <v/>
      </c>
      <c r="P8047" s="17" t="str">
        <f>IFERROR(__xludf.DUMMYFUNCTION("""COMPUTED_VALUE"""),"")</f>
        <v/>
      </c>
      <c r="Q8047" s="17" t="str">
        <f>IFERROR(__xludf.DUMMYFUNCTION("""COMPUTED_VALUE"""),"")</f>
        <v/>
      </c>
      <c r="R8047" s="17" t="str">
        <f>IFERROR(__xludf.DUMMYFUNCTION("""COMPUTED_VALUE"""),"")</f>
        <v/>
      </c>
    </row>
    <row r="8048">
      <c r="A8048" s="15">
        <f>IFERROR(__xludf.DUMMYFUNCTION("""COMPUTED_VALUE"""),45229.0)</f>
        <v>45229</v>
      </c>
      <c r="B8048" s="16" t="str">
        <f>IFERROR(__xludf.DUMMYFUNCTION("""COMPUTED_VALUE"""),"Santiago Garces Restrepo")</f>
        <v>Santiago Garces Restrepo</v>
      </c>
      <c r="C8048" s="15" t="str">
        <f>IFERROR(__xludf.DUMMYFUNCTION("""COMPUTED_VALUE"""),"BOGOTÁ")</f>
        <v>BOGOTÁ</v>
      </c>
      <c r="D8048" s="15" t="str">
        <f>IFERROR(__xludf.DUMMYFUNCTION("""COMPUTED_VALUE"""),"BUCARAMANGA")</f>
        <v>BUCARAMANGA</v>
      </c>
      <c r="E8048" s="15" t="str">
        <f>IFERROR(__xludf.DUMMYFUNCTION("""COMPUTED_VALUE"""),"Yo Como Solito")</f>
        <v>Yo Como Solito</v>
      </c>
      <c r="F8048" s="17" t="str">
        <f>IFERROR(__xludf.DUMMYFUNCTION("""COMPUTED_VALUE"""),"CALLE 146 # 12A -20 APARTAMENTO 903 ALMERIA II / CALLE 146 # 12A -20 APARTAMENTO 903 ALMERIA II / CALLE 146 # 12A -20 APARTAMENTO 903 ALMERIA II")</f>
        <v>CALLE 146 # 12A -20 APARTAMENTO 903 ALMERIA II / CALLE 146 # 12A -20 APARTAMENTO 903 ALMERIA II / CALLE 146 # 12A -20 APARTAMENTO 903 ALMERIA II</v>
      </c>
      <c r="G8048" s="15" t="str">
        <f>IFERROR(__xludf.DUMMYFUNCTION("""COMPUTED_VALUE"""),"ADRIANA GARCIA")</f>
        <v>ADRIANA GARCIA</v>
      </c>
      <c r="H8048" s="16">
        <f>IFERROR(__xludf.DUMMYFUNCTION("""COMPUTED_VALUE"""),16682.0)</f>
        <v>16682</v>
      </c>
      <c r="I8048" s="18">
        <f>IFERROR(__xludf.DUMMYFUNCTION("""COMPUTED_VALUE"""),24.0)</f>
        <v>24</v>
      </c>
      <c r="J8048" s="18">
        <f>IFERROR(__xludf.DUMMYFUNCTION("""COMPUTED_VALUE"""),28.0)</f>
        <v>28</v>
      </c>
      <c r="K8048" s="18">
        <f>IFERROR(__xludf.DUMMYFUNCTION("""COMPUTED_VALUE"""),30.0)</f>
        <v>30</v>
      </c>
      <c r="L8048" s="17">
        <f>IFERROR(__xludf.DUMMYFUNCTION("""COMPUTED_VALUE"""),3.125952101E9)</f>
        <v>3125952101</v>
      </c>
      <c r="M8048" s="17"/>
      <c r="N8048" s="17"/>
      <c r="O8048" s="17"/>
      <c r="P8048" s="17" t="b">
        <f>IFERROR(__xludf.DUMMYFUNCTION("""COMPUTED_VALUE"""),FALSE)</f>
        <v>0</v>
      </c>
      <c r="Q8048" s="20" t="str">
        <f>IFERROR(__xludf.DUMMYFUNCTION("""COMPUTED_VALUE"""),"")</f>
        <v/>
      </c>
      <c r="R8048" s="22" t="str">
        <f>IFERROR(__xludf.DUMMYFUNCTION("""COMPUTED_VALUE"""),"")</f>
        <v/>
      </c>
    </row>
    <row r="8049">
      <c r="A8049" s="17" t="str">
        <f>IFERROR(__xludf.DUMMYFUNCTION("""COMPUTED_VALUE"""),"")</f>
        <v/>
      </c>
      <c r="B8049" s="17" t="str">
        <f>IFERROR(__xludf.DUMMYFUNCTION("""COMPUTED_VALUE"""),"")</f>
        <v/>
      </c>
      <c r="C8049" s="17" t="str">
        <f>IFERROR(__xludf.DUMMYFUNCTION("""COMPUTED_VALUE"""),"")</f>
        <v/>
      </c>
      <c r="D8049" s="17" t="str">
        <f>IFERROR(__xludf.DUMMYFUNCTION("""COMPUTED_VALUE"""),"")</f>
        <v/>
      </c>
      <c r="E8049" s="17" t="str">
        <f>IFERROR(__xludf.DUMMYFUNCTION("""COMPUTED_VALUE"""),"")</f>
        <v/>
      </c>
      <c r="F8049" s="17" t="str">
        <f>IFERROR(__xludf.DUMMYFUNCTION("""COMPUTED_VALUE"""),"")</f>
        <v/>
      </c>
      <c r="G8049" s="17" t="str">
        <f>IFERROR(__xludf.DUMMYFUNCTION("""COMPUTED_VALUE"""),"")</f>
        <v/>
      </c>
      <c r="H8049" s="17" t="str">
        <f>IFERROR(__xludf.DUMMYFUNCTION("""COMPUTED_VALUE"""),"")</f>
        <v/>
      </c>
      <c r="I8049" s="17" t="str">
        <f>IFERROR(__xludf.DUMMYFUNCTION("""COMPUTED_VALUE"""),"")</f>
        <v/>
      </c>
      <c r="J8049" s="17" t="str">
        <f>IFERROR(__xludf.DUMMYFUNCTION("""COMPUTED_VALUE"""),"")</f>
        <v/>
      </c>
      <c r="K8049" s="17" t="str">
        <f>IFERROR(__xludf.DUMMYFUNCTION("""COMPUTED_VALUE"""),"")</f>
        <v/>
      </c>
      <c r="L8049" s="17" t="str">
        <f>IFERROR(__xludf.DUMMYFUNCTION("""COMPUTED_VALUE"""),"")</f>
        <v/>
      </c>
      <c r="M8049" s="17" t="str">
        <f>IFERROR(__xludf.DUMMYFUNCTION("""COMPUTED_VALUE"""),"")</f>
        <v/>
      </c>
      <c r="N8049" s="17" t="str">
        <f>IFERROR(__xludf.DUMMYFUNCTION("""COMPUTED_VALUE"""),"")</f>
        <v/>
      </c>
      <c r="O8049" s="17" t="str">
        <f>IFERROR(__xludf.DUMMYFUNCTION("""COMPUTED_VALUE"""),"")</f>
        <v/>
      </c>
      <c r="P8049" s="17" t="str">
        <f>IFERROR(__xludf.DUMMYFUNCTION("""COMPUTED_VALUE"""),"")</f>
        <v/>
      </c>
      <c r="Q8049" s="17" t="str">
        <f>IFERROR(__xludf.DUMMYFUNCTION("""COMPUTED_VALUE"""),"")</f>
        <v/>
      </c>
      <c r="R8049" s="17" t="str">
        <f>IFERROR(__xludf.DUMMYFUNCTION("""COMPUTED_VALUE"""),"")</f>
        <v/>
      </c>
    </row>
    <row r="8050">
      <c r="A8050" s="15">
        <f>IFERROR(__xludf.DUMMYFUNCTION("""COMPUTED_VALUE"""),45230.0)</f>
        <v>45230</v>
      </c>
      <c r="B8050" s="17"/>
      <c r="C8050" s="15" t="str">
        <f>IFERROR(__xludf.DUMMYFUNCTION("""COMPUTED_VALUE"""),"CALI")</f>
        <v>CALI</v>
      </c>
      <c r="D8050" s="15" t="str">
        <f>IFERROR(__xludf.DUMMYFUNCTION("""COMPUTED_VALUE"""),"BOGOTÁ")</f>
        <v>BOGOTÁ</v>
      </c>
      <c r="E8050" s="15" t="str">
        <f>IFERROR(__xludf.DUMMYFUNCTION("""COMPUTED_VALUE"""),"LINA PAOLA RAMIREZ GOMEZ - EVA MAZZITA")</f>
        <v>LINA PAOLA RAMIREZ GOMEZ - EVA MAZZITA</v>
      </c>
      <c r="F8050" s="17" t="str">
        <f>IFERROR(__xludf.DUMMYFUNCTION("""COMPUTED_VALUE"""),"AV 9 NORTE #56 NORTE -140 / Apto 907/Unidad Atiko 66")</f>
        <v>AV 9 NORTE #56 NORTE -140 / Apto 907/Unidad Atiko 66</v>
      </c>
      <c r="G8050" s="15" t="str">
        <f>IFERROR(__xludf.DUMMYFUNCTION("""COMPUTED_VALUE"""),"VANESSA ERAZO ROJAS")</f>
        <v>VANESSA ERAZO ROJAS</v>
      </c>
      <c r="H8050" s="16">
        <f>IFERROR(__xludf.DUMMYFUNCTION("""COMPUTED_VALUE"""),16786.0)</f>
        <v>16786</v>
      </c>
      <c r="I8050" s="17"/>
      <c r="J8050" s="17"/>
      <c r="K8050" s="17"/>
      <c r="L8050" s="17">
        <f>IFERROR(__xludf.DUMMYFUNCTION("""COMPUTED_VALUE"""),3.11671249E9)</f>
        <v>3116712490</v>
      </c>
      <c r="M8050" s="17"/>
      <c r="N8050" s="17"/>
      <c r="O8050" s="17"/>
      <c r="P8050" s="17" t="b">
        <f>IFERROR(__xludf.DUMMYFUNCTION("""COMPUTED_VALUE"""),FALSE)</f>
        <v>0</v>
      </c>
      <c r="Q8050" s="20" t="str">
        <f>IFERROR(__xludf.DUMMYFUNCTION("""COMPUTED_VALUE"""),"")</f>
        <v/>
      </c>
      <c r="R8050" s="21" t="str">
        <f>IFERROR(__xludf.DUMMYFUNCTION("""COMPUTED_VALUE"""),"https://drive.google.com/file/d/101l1Ry1RgiYwOEunc0snCPcWYc2Fn8_E/view?usp=drivesdk")</f>
        <v>https://drive.google.com/file/d/101l1Ry1RgiYwOEunc0snCPcWYc2Fn8_E/view?usp=drivesdk</v>
      </c>
    </row>
    <row r="8051">
      <c r="A8051" s="15">
        <f>IFERROR(__xludf.DUMMYFUNCTION("""COMPUTED_VALUE"""),45230.0)</f>
        <v>45230</v>
      </c>
      <c r="B8051" s="17"/>
      <c r="C8051" s="15" t="str">
        <f>IFERROR(__xludf.DUMMYFUNCTION("""COMPUTED_VALUE"""),"ITAGÜI")</f>
        <v>ITAGÜI</v>
      </c>
      <c r="D8051" s="15" t="str">
        <f>IFERROR(__xludf.DUMMYFUNCTION("""COMPUTED_VALUE"""),"BOGOTÁ")</f>
        <v>BOGOTÁ</v>
      </c>
      <c r="E8051" s="15" t="str">
        <f>IFERROR(__xludf.DUMMYFUNCTION("""COMPUTED_VALUE"""),"LINA PAOLA RAMIREZ GOMEZ - EVA MAZZITA")</f>
        <v>LINA PAOLA RAMIREZ GOMEZ - EVA MAZZITA</v>
      </c>
      <c r="F8051" s="17" t="str">
        <f>IFERROR(__xludf.DUMMYFUNCTION("""COMPUTED_VALUE"""),"Calle 61 # 55a-55 / apartamento 202")</f>
        <v>Calle 61 # 55a-55 / apartamento 202</v>
      </c>
      <c r="G8051" s="15" t="str">
        <f>IFERROR(__xludf.DUMMYFUNCTION("""COMPUTED_VALUE"""),"JOHANA OSORIO MARULANDA")</f>
        <v>JOHANA OSORIO MARULANDA</v>
      </c>
      <c r="H8051" s="16">
        <f>IFERROR(__xludf.DUMMYFUNCTION("""COMPUTED_VALUE"""),16775.0)</f>
        <v>16775</v>
      </c>
      <c r="I8051" s="17"/>
      <c r="J8051" s="17"/>
      <c r="K8051" s="17"/>
      <c r="L8051" s="17">
        <f>IFERROR(__xludf.DUMMYFUNCTION("""COMPUTED_VALUE"""),3.187881623E9)</f>
        <v>3187881623</v>
      </c>
      <c r="M8051" s="17"/>
      <c r="N8051" s="17"/>
      <c r="O8051" s="17"/>
      <c r="P8051" s="17" t="b">
        <f>IFERROR(__xludf.DUMMYFUNCTION("""COMPUTED_VALUE"""),FALSE)</f>
        <v>0</v>
      </c>
      <c r="Q8051" s="20" t="str">
        <f>IFERROR(__xludf.DUMMYFUNCTION("""COMPUTED_VALUE"""),"")</f>
        <v/>
      </c>
      <c r="R8051" s="21" t="str">
        <f>IFERROR(__xludf.DUMMYFUNCTION("""COMPUTED_VALUE"""),"https://drive.google.com/file/d/11hgWVs5w8et1vrLfZwuiIfSP2R6WKant/view?usp=drivesdk")</f>
        <v>https://drive.google.com/file/d/11hgWVs5w8et1vrLfZwuiIfSP2R6WKant/view?usp=drivesdk</v>
      </c>
    </row>
    <row r="8052">
      <c r="A8052" s="17" t="str">
        <f>IFERROR(__xludf.DUMMYFUNCTION("""COMPUTED_VALUE"""),"")</f>
        <v/>
      </c>
      <c r="B8052" s="17" t="str">
        <f>IFERROR(__xludf.DUMMYFUNCTION("""COMPUTED_VALUE"""),"")</f>
        <v/>
      </c>
      <c r="C8052" s="17" t="str">
        <f>IFERROR(__xludf.DUMMYFUNCTION("""COMPUTED_VALUE"""),"")</f>
        <v/>
      </c>
      <c r="D8052" s="17" t="str">
        <f>IFERROR(__xludf.DUMMYFUNCTION("""COMPUTED_VALUE"""),"")</f>
        <v/>
      </c>
      <c r="E8052" s="17" t="str">
        <f>IFERROR(__xludf.DUMMYFUNCTION("""COMPUTED_VALUE"""),"")</f>
        <v/>
      </c>
      <c r="F8052" s="17" t="str">
        <f>IFERROR(__xludf.DUMMYFUNCTION("""COMPUTED_VALUE"""),"")</f>
        <v/>
      </c>
      <c r="G8052" s="17" t="str">
        <f>IFERROR(__xludf.DUMMYFUNCTION("""COMPUTED_VALUE"""),"")</f>
        <v/>
      </c>
      <c r="H8052" s="17" t="str">
        <f>IFERROR(__xludf.DUMMYFUNCTION("""COMPUTED_VALUE"""),"")</f>
        <v/>
      </c>
      <c r="I8052" s="17" t="str">
        <f>IFERROR(__xludf.DUMMYFUNCTION("""COMPUTED_VALUE"""),"")</f>
        <v/>
      </c>
      <c r="J8052" s="17" t="str">
        <f>IFERROR(__xludf.DUMMYFUNCTION("""COMPUTED_VALUE"""),"")</f>
        <v/>
      </c>
      <c r="K8052" s="17" t="str">
        <f>IFERROR(__xludf.DUMMYFUNCTION("""COMPUTED_VALUE"""),"")</f>
        <v/>
      </c>
      <c r="L8052" s="17" t="str">
        <f>IFERROR(__xludf.DUMMYFUNCTION("""COMPUTED_VALUE"""),"")</f>
        <v/>
      </c>
      <c r="M8052" s="17" t="str">
        <f>IFERROR(__xludf.DUMMYFUNCTION("""COMPUTED_VALUE"""),"")</f>
        <v/>
      </c>
      <c r="N8052" s="17" t="str">
        <f>IFERROR(__xludf.DUMMYFUNCTION("""COMPUTED_VALUE"""),"")</f>
        <v/>
      </c>
      <c r="O8052" s="17" t="str">
        <f>IFERROR(__xludf.DUMMYFUNCTION("""COMPUTED_VALUE"""),"")</f>
        <v/>
      </c>
      <c r="P8052" s="17" t="str">
        <f>IFERROR(__xludf.DUMMYFUNCTION("""COMPUTED_VALUE"""),"")</f>
        <v/>
      </c>
      <c r="Q8052" s="17" t="str">
        <f>IFERROR(__xludf.DUMMYFUNCTION("""COMPUTED_VALUE"""),"")</f>
        <v/>
      </c>
      <c r="R8052" s="17" t="str">
        <f>IFERROR(__xludf.DUMMYFUNCTION("""COMPUTED_VALUE"""),"")</f>
        <v/>
      </c>
    </row>
    <row r="8053">
      <c r="A8053" s="15">
        <f>IFERROR(__xludf.DUMMYFUNCTION("""COMPUTED_VALUE"""),45230.0)</f>
        <v>45230</v>
      </c>
      <c r="B8053" s="16" t="str">
        <f>IFERROR(__xludf.DUMMYFUNCTION("""COMPUTED_VALUE"""),"Deivi Alejandro Quintero Corrales")</f>
        <v>Deivi Alejandro Quintero Corrales</v>
      </c>
      <c r="C8053" s="15" t="str">
        <f>IFERROR(__xludf.DUMMYFUNCTION("""COMPUTED_VALUE"""),"ARMENIA")</f>
        <v>ARMENIA</v>
      </c>
      <c r="D8053" s="15" t="str">
        <f>IFERROR(__xludf.DUMMYFUNCTION("""COMPUTED_VALUE"""),"MEDELLÍN")</f>
        <v>MEDELLÍN</v>
      </c>
      <c r="E8053" s="15" t="str">
        <f>IFERROR(__xludf.DUMMYFUNCTION("""COMPUTED_VALUE"""),"TOLEDALES S.A.S")</f>
        <v>TOLEDALES S.A.S</v>
      </c>
      <c r="F8053" s="17" t="str">
        <f>IFERROR(__xludf.DUMMYFUNCTION("""COMPUTED_VALUE"""),"Cra 14 # 46 norte -41 mall zona de oro")</f>
        <v>Cra 14 # 46 norte -41 mall zona de oro</v>
      </c>
      <c r="G8053" s="15" t="str">
        <f>IFERROR(__xludf.DUMMYFUNCTION("""COMPUTED_VALUE"""),"paola andrea gomez")</f>
        <v>paola andrea gomez</v>
      </c>
      <c r="H8053" s="16">
        <f>IFERROR(__xludf.DUMMYFUNCTION("""COMPUTED_VALUE"""),16760.0)</f>
        <v>16760</v>
      </c>
      <c r="I8053" s="17"/>
      <c r="J8053" s="17"/>
      <c r="K8053" s="17"/>
      <c r="L8053" s="17">
        <f>IFERROR(__xludf.DUMMYFUNCTION("""COMPUTED_VALUE"""),3.145267593E9)</f>
        <v>3145267593</v>
      </c>
      <c r="M8053" s="17"/>
      <c r="N8053" s="17"/>
      <c r="O8053" s="17"/>
      <c r="P8053" s="17" t="b">
        <f>IFERROR(__xludf.DUMMYFUNCTION("""COMPUTED_VALUE"""),FALSE)</f>
        <v>0</v>
      </c>
      <c r="Q8053" s="20" t="str">
        <f>IFERROR(__xludf.DUMMYFUNCTION("""COMPUTED_VALUE"""),"")</f>
        <v/>
      </c>
      <c r="R8053" s="21" t="str">
        <f>IFERROR(__xludf.DUMMYFUNCTION("""COMPUTED_VALUE"""),"https://drive.google.com/file/d/1mBwrSQOdwrKtpYVudeqWTdL-bcIszHQB/view?usp=drivesdk")</f>
        <v>https://drive.google.com/file/d/1mBwrSQOdwrKtpYVudeqWTdL-bcIszHQB/view?usp=drivesdk</v>
      </c>
    </row>
    <row r="8054">
      <c r="A8054" s="15">
        <f>IFERROR(__xludf.DUMMYFUNCTION("""COMPUTED_VALUE"""),45230.0)</f>
        <v>45230</v>
      </c>
      <c r="B8054" s="16" t="str">
        <f>IFERROR(__xludf.DUMMYFUNCTION("""COMPUTED_VALUE"""),"Deivi Alejandro Quintero Corrales")</f>
        <v>Deivi Alejandro Quintero Corrales</v>
      </c>
      <c r="C8054" s="15" t="str">
        <f>IFERROR(__xludf.DUMMYFUNCTION("""COMPUTED_VALUE"""),"PEREIRA")</f>
        <v>PEREIRA</v>
      </c>
      <c r="D8054" s="15" t="str">
        <f>IFERROR(__xludf.DUMMYFUNCTION("""COMPUTED_VALUE"""),"BOGOTÁ")</f>
        <v>BOGOTÁ</v>
      </c>
      <c r="E8054" s="15" t="str">
        <f>IFERROR(__xludf.DUMMYFUNCTION("""COMPUTED_VALUE"""),"Instinto alimento vital")</f>
        <v>Instinto alimento vital</v>
      </c>
      <c r="F8054" s="17" t="str">
        <f>IFERROR(__xludf.DUMMYFUNCTION("""COMPUTED_VALUE"""),"CRA 5 # 18  - 43 / MERCANCIA REQUIERE CONGELACION - CONTACTO CON MOISES")</f>
        <v>CRA 5 # 18  - 43 / MERCANCIA REQUIERE CONGELACION - CONTACTO CON MOISES</v>
      </c>
      <c r="G8054" s="15" t="str">
        <f>IFERROR(__xludf.DUMMYFUNCTION("""COMPUTED_VALUE"""),"BODEGA PEREIRA")</f>
        <v>BODEGA PEREIRA</v>
      </c>
      <c r="H8054" s="16">
        <f>IFERROR(__xludf.DUMMYFUNCTION("""COMPUTED_VALUE"""),16827.0)</f>
        <v>16827</v>
      </c>
      <c r="I8054" s="17"/>
      <c r="J8054" s="17"/>
      <c r="K8054" s="17"/>
      <c r="L8054" s="17">
        <f>IFERROR(__xludf.DUMMYFUNCTION("""COMPUTED_VALUE"""),3.008252529E9)</f>
        <v>3008252529</v>
      </c>
      <c r="M8054" s="17"/>
      <c r="N8054" s="17"/>
      <c r="O8054" s="17"/>
      <c r="P8054" s="17" t="b">
        <f>IFERROR(__xludf.DUMMYFUNCTION("""COMPUTED_VALUE"""),FALSE)</f>
        <v>0</v>
      </c>
      <c r="Q8054" s="20" t="str">
        <f>IFERROR(__xludf.DUMMYFUNCTION("""COMPUTED_VALUE"""),"")</f>
        <v/>
      </c>
      <c r="R8054" s="21" t="str">
        <f>IFERROR(__xludf.DUMMYFUNCTION("""COMPUTED_VALUE"""),"https://drive.google.com/file/d/1i7BTO21dLlRgfYBVaCh6GXIHukZGWfPV/view?usp=drivesdk")</f>
        <v>https://drive.google.com/file/d/1i7BTO21dLlRgfYBVaCh6GXIHukZGWfPV/view?usp=drivesdk</v>
      </c>
    </row>
    <row r="8055">
      <c r="A8055" s="15">
        <f>IFERROR(__xludf.DUMMYFUNCTION("""COMPUTED_VALUE"""),45230.0)</f>
        <v>45230</v>
      </c>
      <c r="B8055" s="16" t="str">
        <f>IFERROR(__xludf.DUMMYFUNCTION("""COMPUTED_VALUE"""),"Deivi Alejandro Quintero Corrales")</f>
        <v>Deivi Alejandro Quintero Corrales</v>
      </c>
      <c r="C8055" s="15" t="str">
        <f>IFERROR(__xludf.DUMMYFUNCTION("""COMPUTED_VALUE"""),"PEREIRA")</f>
        <v>PEREIRA</v>
      </c>
      <c r="D8055" s="15" t="str">
        <f>IFERROR(__xludf.DUMMYFUNCTION("""COMPUTED_VALUE"""),"ENVIGADO")</f>
        <v>ENVIGADO</v>
      </c>
      <c r="E8055" s="15" t="str">
        <f>IFERROR(__xludf.DUMMYFUNCTION("""COMPUTED_VALUE"""),"JUAN CAMILO CORDOBA")</f>
        <v>JUAN CAMILO CORDOBA</v>
      </c>
      <c r="F8055" s="17" t="str">
        <f>IFERROR(__xludf.DUMMYFUNCTION("""COMPUTED_VALUE"""),"Carrera 23 14 148 / Trilogia apto 1505 torre1")</f>
        <v>Carrera 23 14 148 / Trilogia apto 1505 torre1</v>
      </c>
      <c r="G8055" s="15" t="str">
        <f>IFERROR(__xludf.DUMMYFUNCTION("""COMPUTED_VALUE"""),"Nutriishop")</f>
        <v>Nutriishop</v>
      </c>
      <c r="H8055" s="16">
        <f>IFERROR(__xludf.DUMMYFUNCTION("""COMPUTED_VALUE"""),16766.0)</f>
        <v>16766</v>
      </c>
      <c r="I8055" s="17"/>
      <c r="J8055" s="17"/>
      <c r="K8055" s="17"/>
      <c r="L8055" s="17">
        <f>IFERROR(__xludf.DUMMYFUNCTION("""COMPUTED_VALUE"""),3.10379892E9)</f>
        <v>3103798920</v>
      </c>
      <c r="M8055" s="17"/>
      <c r="N8055" s="17"/>
      <c r="O8055" s="17"/>
      <c r="P8055" s="17" t="b">
        <f>IFERROR(__xludf.DUMMYFUNCTION("""COMPUTED_VALUE"""),TRUE)</f>
        <v>1</v>
      </c>
      <c r="Q8055" s="20">
        <f>IFERROR(__xludf.DUMMYFUNCTION("""COMPUTED_VALUE"""),45230.62606738426)</f>
        <v>45230.62607</v>
      </c>
      <c r="R8055" s="21" t="str">
        <f>IFERROR(__xludf.DUMMYFUNCTION("""COMPUTED_VALUE"""),"https://drive.google.com/file/d/1DB1QXkt37w9zWt9JTQ6TWpCiO4o3HM9n/view?usp=drivesdk")</f>
        <v>https://drive.google.com/file/d/1DB1QXkt37w9zWt9JTQ6TWpCiO4o3HM9n/view?usp=drivesdk</v>
      </c>
    </row>
    <row r="8056">
      <c r="A8056" s="15">
        <f>IFERROR(__xludf.DUMMYFUNCTION("""COMPUTED_VALUE"""),45230.0)</f>
        <v>45230</v>
      </c>
      <c r="B8056" s="16" t="str">
        <f>IFERROR(__xludf.DUMMYFUNCTION("""COMPUTED_VALUE"""),"Deivi Alejandro Quintero Corrales")</f>
        <v>Deivi Alejandro Quintero Corrales</v>
      </c>
      <c r="C8056" s="15" t="str">
        <f>IFERROR(__xludf.DUMMYFUNCTION("""COMPUTED_VALUE"""),"PEREIRA")</f>
        <v>PEREIRA</v>
      </c>
      <c r="D8056" s="15" t="str">
        <f>IFERROR(__xludf.DUMMYFUNCTION("""COMPUTED_VALUE"""),"MEDELLÍN")</f>
        <v>MEDELLÍN</v>
      </c>
      <c r="E8056" s="15" t="str">
        <f>IFERROR(__xludf.DUMMYFUNCTION("""COMPUTED_VALUE"""),"Carnicos Fricar")</f>
        <v>Carnicos Fricar</v>
      </c>
      <c r="F8056" s="17" t="str">
        <f>IFERROR(__xludf.DUMMYFUNCTION("""COMPUTED_VALUE"""),"CARREA 7 # 38 -56 -PEREIRA / SUPER INTER LA TIENDA")</f>
        <v>CARREA 7 # 38 -56 -PEREIRA / SUPER INTER LA TIENDA</v>
      </c>
      <c r="G8056" s="15" t="str">
        <f>IFERROR(__xludf.DUMMYFUNCTION("""COMPUTED_VALUE"""),"NORHA ELENA MORALES")</f>
        <v>NORHA ELENA MORALES</v>
      </c>
      <c r="H8056" s="16">
        <f>IFERROR(__xludf.DUMMYFUNCTION("""COMPUTED_VALUE"""),16762.0)</f>
        <v>16762</v>
      </c>
      <c r="I8056" s="17"/>
      <c r="J8056" s="17"/>
      <c r="K8056" s="17"/>
      <c r="L8056" s="17">
        <f>IFERROR(__xludf.DUMMYFUNCTION("""COMPUTED_VALUE"""),3.105324801E9)</f>
        <v>3105324801</v>
      </c>
      <c r="M8056" s="17"/>
      <c r="N8056" s="17"/>
      <c r="O8056" s="17"/>
      <c r="P8056" s="17" t="b">
        <f>IFERROR(__xludf.DUMMYFUNCTION("""COMPUTED_VALUE"""),FALSE)</f>
        <v>0</v>
      </c>
      <c r="Q8056" s="20" t="str">
        <f>IFERROR(__xludf.DUMMYFUNCTION("""COMPUTED_VALUE"""),"")</f>
        <v/>
      </c>
      <c r="R8056" s="22" t="str">
        <f>IFERROR(__xludf.DUMMYFUNCTION("""COMPUTED_VALUE"""),"")</f>
        <v/>
      </c>
    </row>
    <row r="8057">
      <c r="A8057" s="17" t="str">
        <f>IFERROR(__xludf.DUMMYFUNCTION("""COMPUTED_VALUE"""),"")</f>
        <v/>
      </c>
      <c r="B8057" s="17" t="str">
        <f>IFERROR(__xludf.DUMMYFUNCTION("""COMPUTED_VALUE"""),"")</f>
        <v/>
      </c>
      <c r="C8057" s="17" t="str">
        <f>IFERROR(__xludf.DUMMYFUNCTION("""COMPUTED_VALUE"""),"")</f>
        <v/>
      </c>
      <c r="D8057" s="17" t="str">
        <f>IFERROR(__xludf.DUMMYFUNCTION("""COMPUTED_VALUE"""),"")</f>
        <v/>
      </c>
      <c r="E8057" s="17" t="str">
        <f>IFERROR(__xludf.DUMMYFUNCTION("""COMPUTED_VALUE"""),"")</f>
        <v/>
      </c>
      <c r="F8057" s="17" t="str">
        <f>IFERROR(__xludf.DUMMYFUNCTION("""COMPUTED_VALUE"""),"")</f>
        <v/>
      </c>
      <c r="G8057" s="17" t="str">
        <f>IFERROR(__xludf.DUMMYFUNCTION("""COMPUTED_VALUE"""),"")</f>
        <v/>
      </c>
      <c r="H8057" s="17" t="str">
        <f>IFERROR(__xludf.DUMMYFUNCTION("""COMPUTED_VALUE"""),"")</f>
        <v/>
      </c>
      <c r="I8057" s="17" t="str">
        <f>IFERROR(__xludf.DUMMYFUNCTION("""COMPUTED_VALUE"""),"")</f>
        <v/>
      </c>
      <c r="J8057" s="17" t="str">
        <f>IFERROR(__xludf.DUMMYFUNCTION("""COMPUTED_VALUE"""),"")</f>
        <v/>
      </c>
      <c r="K8057" s="17" t="str">
        <f>IFERROR(__xludf.DUMMYFUNCTION("""COMPUTED_VALUE"""),"")</f>
        <v/>
      </c>
      <c r="L8057" s="17" t="str">
        <f>IFERROR(__xludf.DUMMYFUNCTION("""COMPUTED_VALUE"""),"")</f>
        <v/>
      </c>
      <c r="M8057" s="17" t="str">
        <f>IFERROR(__xludf.DUMMYFUNCTION("""COMPUTED_VALUE"""),"")</f>
        <v/>
      </c>
      <c r="N8057" s="17" t="str">
        <f>IFERROR(__xludf.DUMMYFUNCTION("""COMPUTED_VALUE"""),"")</f>
        <v/>
      </c>
      <c r="O8057" s="17" t="str">
        <f>IFERROR(__xludf.DUMMYFUNCTION("""COMPUTED_VALUE"""),"")</f>
        <v/>
      </c>
      <c r="P8057" s="17" t="str">
        <f>IFERROR(__xludf.DUMMYFUNCTION("""COMPUTED_VALUE"""),"")</f>
        <v/>
      </c>
      <c r="Q8057" s="17" t="str">
        <f>IFERROR(__xludf.DUMMYFUNCTION("""COMPUTED_VALUE"""),"")</f>
        <v/>
      </c>
      <c r="R8057" s="17" t="str">
        <f>IFERROR(__xludf.DUMMYFUNCTION("""COMPUTED_VALUE"""),"")</f>
        <v/>
      </c>
    </row>
    <row r="8058">
      <c r="A8058" s="15">
        <f>IFERROR(__xludf.DUMMYFUNCTION("""COMPUTED_VALUE"""),45230.0)</f>
        <v>45230</v>
      </c>
      <c r="B8058" s="16" t="str">
        <f>IFERROR(__xludf.DUMMYFUNCTION("""COMPUTED_VALUE"""),"Duvan Gabriel Alvarez Giron")</f>
        <v>Duvan Gabriel Alvarez Giron</v>
      </c>
      <c r="C8058" s="15" t="str">
        <f>IFERROR(__xludf.DUMMYFUNCTION("""COMPUTED_VALUE"""),"FLORIDABLANCA")</f>
        <v>FLORIDABLANCA</v>
      </c>
      <c r="D8058" s="15" t="str">
        <f>IFERROR(__xludf.DUMMYFUNCTION("""COMPUTED_VALUE"""),"BOGOTÁ")</f>
        <v>BOGOTÁ</v>
      </c>
      <c r="E8058" s="15" t="str">
        <f>IFERROR(__xludf.DUMMYFUNCTION("""COMPUTED_VALUE"""),"Asociacion Agropecuaria Juana Maria")</f>
        <v>Asociacion Agropecuaria Juana Maria</v>
      </c>
      <c r="F8058" s="17" t="str">
        <f>IFERROR(__xludf.DUMMYFUNCTION("""COMPUTED_VALUE"""),"Calle 19 #11-37 / Guanatá FLORIDABLANCA")</f>
        <v>Calle 19 #11-37 / Guanatá FLORIDABLANCA</v>
      </c>
      <c r="G8058" s="15" t="str">
        <f>IFERROR(__xludf.DUMMYFUNCTION("""COMPUTED_VALUE"""),"Claudia Gonzalez")</f>
        <v>Claudia Gonzalez</v>
      </c>
      <c r="H8058" s="16">
        <f>IFERROR(__xludf.DUMMYFUNCTION("""COMPUTED_VALUE"""),16748.0)</f>
        <v>16748</v>
      </c>
      <c r="I8058" s="17"/>
      <c r="J8058" s="17"/>
      <c r="K8058" s="17"/>
      <c r="L8058" s="17">
        <f>IFERROR(__xludf.DUMMYFUNCTION("""COMPUTED_VALUE"""),3.002802001E9)</f>
        <v>3002802001</v>
      </c>
      <c r="M8058" s="17"/>
      <c r="N8058" s="17"/>
      <c r="O8058" s="17"/>
      <c r="P8058" s="17" t="b">
        <f>IFERROR(__xludf.DUMMYFUNCTION("""COMPUTED_VALUE"""),FALSE)</f>
        <v>0</v>
      </c>
      <c r="Q8058" s="20" t="str">
        <f>IFERROR(__xludf.DUMMYFUNCTION("""COMPUTED_VALUE"""),"")</f>
        <v/>
      </c>
      <c r="R8058" s="21" t="str">
        <f>IFERROR(__xludf.DUMMYFUNCTION("""COMPUTED_VALUE"""),"https://drive.google.com/file/d/1n28c3WkTJo-pTq3d2iiZ_Po1qXK6wl2j/view?usp=drivesdk")</f>
        <v>https://drive.google.com/file/d/1n28c3WkTJo-pTq3d2iiZ_Po1qXK6wl2j/view?usp=drivesdk</v>
      </c>
    </row>
    <row r="8059">
      <c r="A8059" s="15">
        <f>IFERROR(__xludf.DUMMYFUNCTION("""COMPUTED_VALUE"""),45230.0)</f>
        <v>45230</v>
      </c>
      <c r="B8059" s="16" t="str">
        <f>IFERROR(__xludf.DUMMYFUNCTION("""COMPUTED_VALUE"""),"Duvan Gabriel Alvarez Giron")</f>
        <v>Duvan Gabriel Alvarez Giron</v>
      </c>
      <c r="C8059" s="15" t="str">
        <f>IFERROR(__xludf.DUMMYFUNCTION("""COMPUTED_VALUE"""),"FLORIDABLANCA")</f>
        <v>FLORIDABLANCA</v>
      </c>
      <c r="D8059" s="15" t="str">
        <f>IFERROR(__xludf.DUMMYFUNCTION("""COMPUTED_VALUE"""),"BOGOTÁ")</f>
        <v>BOGOTÁ</v>
      </c>
      <c r="E8059" s="15" t="str">
        <f>IFERROR(__xludf.DUMMYFUNCTION("""COMPUTED_VALUE"""),"Instinto alimento vital")</f>
        <v>Instinto alimento vital</v>
      </c>
      <c r="F8059" s="17" t="str">
        <f>IFERROR(__xludf.DUMMYFUNCTION("""COMPUTED_VALUE"""),"CLL 200 #13-200 / TR 2 APTO 1504")</f>
        <v>CLL 200 #13-200 / TR 2 APTO 1504</v>
      </c>
      <c r="G8059" s="15" t="str">
        <f>IFERROR(__xludf.DUMMYFUNCTION("""COMPUTED_VALUE"""),"VIVIANA CECILIA GUZMAN GHISSAYS")</f>
        <v>VIVIANA CECILIA GUZMAN GHISSAYS</v>
      </c>
      <c r="H8059" s="16">
        <f>IFERROR(__xludf.DUMMYFUNCTION("""COMPUTED_VALUE"""),16789.0)</f>
        <v>16789</v>
      </c>
      <c r="I8059" s="17"/>
      <c r="J8059" s="17"/>
      <c r="K8059" s="17"/>
      <c r="L8059" s="17">
        <f>IFERROR(__xludf.DUMMYFUNCTION("""COMPUTED_VALUE"""),3.183879871E9)</f>
        <v>3183879871</v>
      </c>
      <c r="M8059" s="17"/>
      <c r="N8059" s="17"/>
      <c r="O8059" s="17"/>
      <c r="P8059" s="17" t="b">
        <f>IFERROR(__xludf.DUMMYFUNCTION("""COMPUTED_VALUE"""),FALSE)</f>
        <v>0</v>
      </c>
      <c r="Q8059" s="20" t="str">
        <f>IFERROR(__xludf.DUMMYFUNCTION("""COMPUTED_VALUE"""),"")</f>
        <v/>
      </c>
      <c r="R8059" s="21" t="str">
        <f>IFERROR(__xludf.DUMMYFUNCTION("""COMPUTED_VALUE"""),"https://drive.google.com/file/d/1WKsrvZfbQW3dqauU56paG2mOlMnQkRqp/view?usp=drivesdk")</f>
        <v>https://drive.google.com/file/d/1WKsrvZfbQW3dqauU56paG2mOlMnQkRqp/view?usp=drivesdk</v>
      </c>
    </row>
    <row r="8060">
      <c r="A8060" s="15">
        <f>IFERROR(__xludf.DUMMYFUNCTION("""COMPUTED_VALUE"""),45230.0)</f>
        <v>45230</v>
      </c>
      <c r="B8060" s="16" t="str">
        <f>IFERROR(__xludf.DUMMYFUNCTION("""COMPUTED_VALUE"""),"Duvan Gabriel Alvarez Giron")</f>
        <v>Duvan Gabriel Alvarez Giron</v>
      </c>
      <c r="C8060" s="15" t="str">
        <f>IFERROR(__xludf.DUMMYFUNCTION("""COMPUTED_VALUE"""),"IBAGUÉ")</f>
        <v>IBAGUÉ</v>
      </c>
      <c r="D8060" s="15" t="str">
        <f>IFERROR(__xludf.DUMMYFUNCTION("""COMPUTED_VALUE"""),"BOGOTÁ")</f>
        <v>BOGOTÁ</v>
      </c>
      <c r="E8060" s="15" t="str">
        <f>IFERROR(__xludf.DUMMYFUNCTION("""COMPUTED_VALUE"""),"LINA PAOLA RAMIREZ GOMEZ - EVA MAZZITA")</f>
        <v>LINA PAOLA RAMIREZ GOMEZ - EVA MAZZITA</v>
      </c>
      <c r="F8060" s="17" t="str">
        <f>IFERROR(__xludf.DUMMYFUNCTION("""COMPUTED_VALUE"""),"Cra 6c#48-36 / Limonar 5to sector (al lado del colegio los sagrados Corazones)")</f>
        <v>Cra 6c#48-36 / Limonar 5to sector (al lado del colegio los sagrados Corazones)</v>
      </c>
      <c r="G8060" s="15" t="str">
        <f>IFERROR(__xludf.DUMMYFUNCTION("""COMPUTED_VALUE"""),"ANGELA PATRICIA YEPES TORRES")</f>
        <v>ANGELA PATRICIA YEPES TORRES</v>
      </c>
      <c r="H8060" s="16">
        <f>IFERROR(__xludf.DUMMYFUNCTION("""COMPUTED_VALUE"""),16771.0)</f>
        <v>16771</v>
      </c>
      <c r="I8060" s="17"/>
      <c r="J8060" s="17"/>
      <c r="K8060" s="17"/>
      <c r="L8060" s="17">
        <f>IFERROR(__xludf.DUMMYFUNCTION("""COMPUTED_VALUE"""),3.173768708E9)</f>
        <v>3173768708</v>
      </c>
      <c r="M8060" s="17"/>
      <c r="N8060" s="17"/>
      <c r="O8060" s="17"/>
      <c r="P8060" s="17" t="b">
        <f>IFERROR(__xludf.DUMMYFUNCTION("""COMPUTED_VALUE"""),FALSE)</f>
        <v>0</v>
      </c>
      <c r="Q8060" s="20" t="str">
        <f>IFERROR(__xludf.DUMMYFUNCTION("""COMPUTED_VALUE"""),"")</f>
        <v/>
      </c>
      <c r="R8060" s="21" t="str">
        <f>IFERROR(__xludf.DUMMYFUNCTION("""COMPUTED_VALUE"""),"https://drive.google.com/file/d/18Jma4hh1rKBUzt3OYeYcGsG7KJw4Ypk4/view?usp=drivesdk")</f>
        <v>https://drive.google.com/file/d/18Jma4hh1rKBUzt3OYeYcGsG7KJw4Ypk4/view?usp=drivesdk</v>
      </c>
    </row>
    <row r="8061">
      <c r="A8061" s="15">
        <f>IFERROR(__xludf.DUMMYFUNCTION("""COMPUTED_VALUE"""),45230.0)</f>
        <v>45230</v>
      </c>
      <c r="B8061" s="16" t="str">
        <f>IFERROR(__xludf.DUMMYFUNCTION("""COMPUTED_VALUE"""),"Duvan Gabriel Alvarez Giron")</f>
        <v>Duvan Gabriel Alvarez Giron</v>
      </c>
      <c r="C8061" s="15" t="str">
        <f>IFERROR(__xludf.DUMMYFUNCTION("""COMPUTED_VALUE"""),"IBAGUÉ")</f>
        <v>IBAGUÉ</v>
      </c>
      <c r="D8061" s="15" t="str">
        <f>IFERROR(__xludf.DUMMYFUNCTION("""COMPUTED_VALUE"""),"BOGOTÁ")</f>
        <v>BOGOTÁ</v>
      </c>
      <c r="E8061" s="15" t="str">
        <f>IFERROR(__xludf.DUMMYFUNCTION("""COMPUTED_VALUE"""),"Lunchy Kids")</f>
        <v>Lunchy Kids</v>
      </c>
      <c r="F8061" s="17" t="str">
        <f>IFERROR(__xludf.DUMMYFUNCTION("""COMPUTED_VALUE"""),"Calle 95 No. 13-175 Sur / Wakari Torre 1 Apto 1108")</f>
        <v>Calle 95 No. 13-175 Sur / Wakari Torre 1 Apto 1108</v>
      </c>
      <c r="G8061" s="15" t="str">
        <f>IFERROR(__xludf.DUMMYFUNCTION("""COMPUTED_VALUE"""),"Natalia Andrea Quinche Rojas")</f>
        <v>Natalia Andrea Quinche Rojas</v>
      </c>
      <c r="H8061" s="16">
        <f>IFERROR(__xludf.DUMMYFUNCTION("""COMPUTED_VALUE"""),16757.0)</f>
        <v>16757</v>
      </c>
      <c r="I8061" s="17"/>
      <c r="J8061" s="17"/>
      <c r="K8061" s="17"/>
      <c r="L8061" s="17">
        <f>IFERROR(__xludf.DUMMYFUNCTION("""COMPUTED_VALUE"""),3.138044199E9)</f>
        <v>3138044199</v>
      </c>
      <c r="M8061" s="17"/>
      <c r="N8061" s="17"/>
      <c r="O8061" s="17"/>
      <c r="P8061" s="17" t="b">
        <f>IFERROR(__xludf.DUMMYFUNCTION("""COMPUTED_VALUE"""),FALSE)</f>
        <v>0</v>
      </c>
      <c r="Q8061" s="20" t="str">
        <f>IFERROR(__xludf.DUMMYFUNCTION("""COMPUTED_VALUE"""),"")</f>
        <v/>
      </c>
      <c r="R8061" s="21" t="str">
        <f>IFERROR(__xludf.DUMMYFUNCTION("""COMPUTED_VALUE"""),"https://drive.google.com/file/d/1mmO3OeQ9oDHpSmR-eoytRgEVDAYeiU8h/view?usp=drivesdk")</f>
        <v>https://drive.google.com/file/d/1mmO3OeQ9oDHpSmR-eoytRgEVDAYeiU8h/view?usp=drivesdk</v>
      </c>
    </row>
    <row r="8062">
      <c r="A8062" s="15">
        <f>IFERROR(__xludf.DUMMYFUNCTION("""COMPUTED_VALUE"""),45230.0)</f>
        <v>45230</v>
      </c>
      <c r="B8062" s="16" t="str">
        <f>IFERROR(__xludf.DUMMYFUNCTION("""COMPUTED_VALUE"""),"Duvan Gabriel Alvarez Giron")</f>
        <v>Duvan Gabriel Alvarez Giron</v>
      </c>
      <c r="C8062" s="15" t="str">
        <f>IFERROR(__xludf.DUMMYFUNCTION("""COMPUTED_VALUE"""),"IBAGUÉ")</f>
        <v>IBAGUÉ</v>
      </c>
      <c r="D8062" s="15" t="str">
        <f>IFERROR(__xludf.DUMMYFUNCTION("""COMPUTED_VALUE"""),"BUCARAMANGA")</f>
        <v>BUCARAMANGA</v>
      </c>
      <c r="E8062" s="15" t="str">
        <f>IFERROR(__xludf.DUMMYFUNCTION("""COMPUTED_VALUE"""),"Yo Como Solito")</f>
        <v>Yo Como Solito</v>
      </c>
      <c r="F8062" s="17" t="str">
        <f>IFERROR(__xludf.DUMMYFUNCTION("""COMPUTED_VALUE"""),"CALLE 93 7SUR-90 PARQUE RESIDENCIAL ALTAGRACIA TORRE 7 /701 BARRIO SAMARIA / CALLE 93 7SUR-90 PARQUE RESIDENCIAL ALTAGRACIA TORRE 7 /701 BARRIO SAMARIA / CALLE 93 7SUR-90 PARQUE RESIDENCIAL ALTAGRACIA TORRE 7 /701 BARRIO SAMARIA")</f>
        <v>CALLE 93 7SUR-90 PARQUE RESIDENCIAL ALTAGRACIA TORRE 7 /701 BARRIO SAMARIA / CALLE 93 7SUR-90 PARQUE RESIDENCIAL ALTAGRACIA TORRE 7 /701 BARRIO SAMARIA / CALLE 93 7SUR-90 PARQUE RESIDENCIAL ALTAGRACIA TORRE 7 /701 BARRIO SAMARIA</v>
      </c>
      <c r="G8062" s="15" t="str">
        <f>IFERROR(__xludf.DUMMYFUNCTION("""COMPUTED_VALUE"""),"MARIAM YASMIN MURILLO RUBIO")</f>
        <v>MARIAM YASMIN MURILLO RUBIO</v>
      </c>
      <c r="H8062" s="16">
        <f>IFERROR(__xludf.DUMMYFUNCTION("""COMPUTED_VALUE"""),16734.0)</f>
        <v>16734</v>
      </c>
      <c r="I8062" s="18">
        <f>IFERROR(__xludf.DUMMYFUNCTION("""COMPUTED_VALUE"""),20.0)</f>
        <v>20</v>
      </c>
      <c r="J8062" s="18">
        <f>IFERROR(__xludf.DUMMYFUNCTION("""COMPUTED_VALUE"""),22.0)</f>
        <v>22</v>
      </c>
      <c r="K8062" s="18">
        <f>IFERROR(__xludf.DUMMYFUNCTION("""COMPUTED_VALUE"""),36.0)</f>
        <v>36</v>
      </c>
      <c r="L8062" s="17">
        <f>IFERROR(__xludf.DUMMYFUNCTION("""COMPUTED_VALUE"""),3.175051573E9)</f>
        <v>3175051573</v>
      </c>
      <c r="M8062" s="17"/>
      <c r="N8062" s="17"/>
      <c r="O8062" s="17"/>
      <c r="P8062" s="17" t="b">
        <f>IFERROR(__xludf.DUMMYFUNCTION("""COMPUTED_VALUE"""),FALSE)</f>
        <v>0</v>
      </c>
      <c r="Q8062" s="20" t="str">
        <f>IFERROR(__xludf.DUMMYFUNCTION("""COMPUTED_VALUE"""),"")</f>
        <v/>
      </c>
      <c r="R8062" s="21" t="str">
        <f>IFERROR(__xludf.DUMMYFUNCTION("""COMPUTED_VALUE"""),"https://drive.google.com/file/d/1KYCM_56yo0_uY5u-50sSw9XnVwtCvCz5/view?usp=drivesdk")</f>
        <v>https://drive.google.com/file/d/1KYCM_56yo0_uY5u-50sSw9XnVwtCvCz5/view?usp=drivesdk</v>
      </c>
    </row>
    <row r="8063">
      <c r="A8063" s="17" t="str">
        <f>IFERROR(__xludf.DUMMYFUNCTION("""COMPUTED_VALUE"""),"")</f>
        <v/>
      </c>
      <c r="B8063" s="17" t="str">
        <f>IFERROR(__xludf.DUMMYFUNCTION("""COMPUTED_VALUE"""),"")</f>
        <v/>
      </c>
      <c r="C8063" s="17" t="str">
        <f>IFERROR(__xludf.DUMMYFUNCTION("""COMPUTED_VALUE"""),"")</f>
        <v/>
      </c>
      <c r="D8063" s="17" t="str">
        <f>IFERROR(__xludf.DUMMYFUNCTION("""COMPUTED_VALUE"""),"")</f>
        <v/>
      </c>
      <c r="E8063" s="17" t="str">
        <f>IFERROR(__xludf.DUMMYFUNCTION("""COMPUTED_VALUE"""),"")</f>
        <v/>
      </c>
      <c r="F8063" s="17" t="str">
        <f>IFERROR(__xludf.DUMMYFUNCTION("""COMPUTED_VALUE"""),"")</f>
        <v/>
      </c>
      <c r="G8063" s="17" t="str">
        <f>IFERROR(__xludf.DUMMYFUNCTION("""COMPUTED_VALUE"""),"")</f>
        <v/>
      </c>
      <c r="H8063" s="17" t="str">
        <f>IFERROR(__xludf.DUMMYFUNCTION("""COMPUTED_VALUE"""),"")</f>
        <v/>
      </c>
      <c r="I8063" s="17" t="str">
        <f>IFERROR(__xludf.DUMMYFUNCTION("""COMPUTED_VALUE"""),"")</f>
        <v/>
      </c>
      <c r="J8063" s="17" t="str">
        <f>IFERROR(__xludf.DUMMYFUNCTION("""COMPUTED_VALUE"""),"")</f>
        <v/>
      </c>
      <c r="K8063" s="17" t="str">
        <f>IFERROR(__xludf.DUMMYFUNCTION("""COMPUTED_VALUE"""),"")</f>
        <v/>
      </c>
      <c r="L8063" s="17" t="str">
        <f>IFERROR(__xludf.DUMMYFUNCTION("""COMPUTED_VALUE"""),"")</f>
        <v/>
      </c>
      <c r="M8063" s="17" t="str">
        <f>IFERROR(__xludf.DUMMYFUNCTION("""COMPUTED_VALUE"""),"")</f>
        <v/>
      </c>
      <c r="N8063" s="17" t="str">
        <f>IFERROR(__xludf.DUMMYFUNCTION("""COMPUTED_VALUE"""),"")</f>
        <v/>
      </c>
      <c r="O8063" s="17" t="str">
        <f>IFERROR(__xludf.DUMMYFUNCTION("""COMPUTED_VALUE"""),"")</f>
        <v/>
      </c>
      <c r="P8063" s="17" t="str">
        <f>IFERROR(__xludf.DUMMYFUNCTION("""COMPUTED_VALUE"""),"")</f>
        <v/>
      </c>
      <c r="Q8063" s="17" t="str">
        <f>IFERROR(__xludf.DUMMYFUNCTION("""COMPUTED_VALUE"""),"")</f>
        <v/>
      </c>
      <c r="R8063" s="17" t="str">
        <f>IFERROR(__xludf.DUMMYFUNCTION("""COMPUTED_VALUE"""),"")</f>
        <v/>
      </c>
    </row>
    <row r="8064">
      <c r="A8064" s="15">
        <f>IFERROR(__xludf.DUMMYFUNCTION("""COMPUTED_VALUE"""),45230.0)</f>
        <v>45230</v>
      </c>
      <c r="B8064" s="16" t="str">
        <f>IFERROR(__xludf.DUMMYFUNCTION("""COMPUTED_VALUE"""),"Envia")</f>
        <v>Envia</v>
      </c>
      <c r="C8064" s="15" t="str">
        <f>IFERROR(__xludf.DUMMYFUNCTION("""COMPUTED_VALUE"""),"ARMENIA")</f>
        <v>ARMENIA</v>
      </c>
      <c r="D8064" s="15" t="str">
        <f>IFERROR(__xludf.DUMMYFUNCTION("""COMPUTED_VALUE"""),"BOGOTÁ")</f>
        <v>BOGOTÁ</v>
      </c>
      <c r="E8064" s="15" t="str">
        <f>IFERROR(__xludf.DUMMYFUNCTION("""COMPUTED_VALUE"""),"Chalupo")</f>
        <v>Chalupo</v>
      </c>
      <c r="F8064" s="17" t="str">
        <f>IFERROR(__xludf.DUMMYFUNCTION("""COMPUTED_VALUE"""),"Calle 12 norte # 11-40 / la cascada apto 601")</f>
        <v>Calle 12 norte # 11-40 / la cascada apto 601</v>
      </c>
      <c r="G8064" s="15" t="str">
        <f>IFERROR(__xludf.DUMMYFUNCTION("""COMPUTED_VALUE"""),"Luisa Fernanda Arcila")</f>
        <v>Luisa Fernanda Arcila</v>
      </c>
      <c r="H8064" s="16">
        <f>IFERROR(__xludf.DUMMYFUNCTION("""COMPUTED_VALUE"""),16805.0)</f>
        <v>16805</v>
      </c>
      <c r="I8064" s="18">
        <f>IFERROR(__xludf.DUMMYFUNCTION("""COMPUTED_VALUE"""),42.0)</f>
        <v>42</v>
      </c>
      <c r="J8064" s="18">
        <f>IFERROR(__xludf.DUMMYFUNCTION("""COMPUTED_VALUE"""),30.0)</f>
        <v>30</v>
      </c>
      <c r="K8064" s="18">
        <f>IFERROR(__xludf.DUMMYFUNCTION("""COMPUTED_VALUE"""),50.0)</f>
        <v>50</v>
      </c>
      <c r="L8064" s="17">
        <f>IFERROR(__xludf.DUMMYFUNCTION("""COMPUTED_VALUE"""),3.21722911E9)</f>
        <v>3217229110</v>
      </c>
      <c r="M8064" s="17"/>
      <c r="N8064" s="17"/>
      <c r="O8064" s="17"/>
      <c r="P8064" s="17" t="b">
        <f>IFERROR(__xludf.DUMMYFUNCTION("""COMPUTED_VALUE"""),FALSE)</f>
        <v>0</v>
      </c>
      <c r="Q8064" s="20" t="str">
        <f>IFERROR(__xludf.DUMMYFUNCTION("""COMPUTED_VALUE"""),"")</f>
        <v/>
      </c>
      <c r="R8064" s="21" t="str">
        <f>IFERROR(__xludf.DUMMYFUNCTION("""COMPUTED_VALUE"""),"https://drive.google.com/file/d/1qnUQ27TAHEvZ9CAB1qY5fdblGH_6UiFj/view?usp=drivesdk")</f>
        <v>https://drive.google.com/file/d/1qnUQ27TAHEvZ9CAB1qY5fdblGH_6UiFj/view?usp=drivesdk</v>
      </c>
    </row>
    <row r="8065">
      <c r="A8065" s="15">
        <f>IFERROR(__xludf.DUMMYFUNCTION("""COMPUTED_VALUE"""),45230.0)</f>
        <v>45230</v>
      </c>
      <c r="B8065" s="16" t="str">
        <f>IFERROR(__xludf.DUMMYFUNCTION("""COMPUTED_VALUE"""),"Envia")</f>
        <v>Envia</v>
      </c>
      <c r="C8065" s="15" t="str">
        <f>IFERROR(__xludf.DUMMYFUNCTION("""COMPUTED_VALUE"""),"ARMENIA")</f>
        <v>ARMENIA</v>
      </c>
      <c r="D8065" s="15" t="str">
        <f>IFERROR(__xludf.DUMMYFUNCTION("""COMPUTED_VALUE"""),"BOGOTÁ")</f>
        <v>BOGOTÁ</v>
      </c>
      <c r="E8065" s="15" t="str">
        <f>IFERROR(__xludf.DUMMYFUNCTION("""COMPUTED_VALUE"""),"LINA PAOLA RAMIREZ GOMEZ - EVA MAZZITA")</f>
        <v>LINA PAOLA RAMIREZ GOMEZ - EVA MAZZITA</v>
      </c>
      <c r="F8065" s="17" t="str">
        <f>IFERROR(__xludf.DUMMYFUNCTION("""COMPUTED_VALUE"""),"Calle 30#30-11 / Calle 30#30-11")</f>
        <v>Calle 30#30-11 / Calle 30#30-11</v>
      </c>
      <c r="G8065" s="15" t="str">
        <f>IFERROR(__xludf.DUMMYFUNCTION("""COMPUTED_VALUE"""),"YORMARY JIMENEZ")</f>
        <v>YORMARY JIMENEZ</v>
      </c>
      <c r="H8065" s="16">
        <f>IFERROR(__xludf.DUMMYFUNCTION("""COMPUTED_VALUE"""),16769.0)</f>
        <v>16769</v>
      </c>
      <c r="I8065" s="17"/>
      <c r="J8065" s="17"/>
      <c r="K8065" s="17"/>
      <c r="L8065" s="17">
        <f>IFERROR(__xludf.DUMMYFUNCTION("""COMPUTED_VALUE"""),3.113196178E9)</f>
        <v>3113196178</v>
      </c>
      <c r="M8065" s="17"/>
      <c r="N8065" s="17"/>
      <c r="O8065" s="17"/>
      <c r="P8065" s="17" t="b">
        <f>IFERROR(__xludf.DUMMYFUNCTION("""COMPUTED_VALUE"""),FALSE)</f>
        <v>0</v>
      </c>
      <c r="Q8065" s="20" t="str">
        <f>IFERROR(__xludf.DUMMYFUNCTION("""COMPUTED_VALUE"""),"")</f>
        <v/>
      </c>
      <c r="R8065" s="21" t="str">
        <f>IFERROR(__xludf.DUMMYFUNCTION("""COMPUTED_VALUE"""),"https://drive.google.com/file/d/12kmVYfYvmMHbjsCC-WBD1fu8aLW9Hxe0/view?usp=drivesdk")</f>
        <v>https://drive.google.com/file/d/12kmVYfYvmMHbjsCC-WBD1fu8aLW9Hxe0/view?usp=drivesdk</v>
      </c>
    </row>
    <row r="8066">
      <c r="A8066" s="15">
        <f>IFERROR(__xludf.DUMMYFUNCTION("""COMPUTED_VALUE"""),45230.0)</f>
        <v>45230</v>
      </c>
      <c r="B8066" s="16" t="str">
        <f>IFERROR(__xludf.DUMMYFUNCTION("""COMPUTED_VALUE"""),"Envia")</f>
        <v>Envia</v>
      </c>
      <c r="C8066" s="15" t="str">
        <f>IFERROR(__xludf.DUMMYFUNCTION("""COMPUTED_VALUE"""),"BUCARAMANGA")</f>
        <v>BUCARAMANGA</v>
      </c>
      <c r="D8066" s="15" t="str">
        <f>IFERROR(__xludf.DUMMYFUNCTION("""COMPUTED_VALUE"""),"ENVIGADO")</f>
        <v>ENVIGADO</v>
      </c>
      <c r="E8066" s="15" t="str">
        <f>IFERROR(__xludf.DUMMYFUNCTION("""COMPUTED_VALUE"""),"JUAN CAMILO CORDOBA")</f>
        <v>JUAN CAMILO CORDOBA</v>
      </c>
      <c r="F8066" s="17" t="str">
        <f>IFERROR(__xludf.DUMMYFUNCTION("""COMPUTED_VALUE"""),"CALLE 33 # 26-25 / FLORIDABLANCA")</f>
        <v>CALLE 33 # 26-25 / FLORIDABLANCA</v>
      </c>
      <c r="G8066" s="15" t="str">
        <f>IFERROR(__xludf.DUMMYFUNCTION("""COMPUTED_VALUE"""),"Multifit")</f>
        <v>Multifit</v>
      </c>
      <c r="H8066" s="16">
        <f>IFERROR(__xludf.DUMMYFUNCTION("""COMPUTED_VALUE"""),16765.0)</f>
        <v>16765</v>
      </c>
      <c r="I8066" s="17"/>
      <c r="J8066" s="17"/>
      <c r="K8066" s="17"/>
      <c r="L8066" s="17">
        <f>IFERROR(__xludf.DUMMYFUNCTION("""COMPUTED_VALUE"""),3.158785729E9)</f>
        <v>3158785729</v>
      </c>
      <c r="M8066" s="17"/>
      <c r="N8066" s="17"/>
      <c r="O8066" s="17"/>
      <c r="P8066" s="17" t="b">
        <f>IFERROR(__xludf.DUMMYFUNCTION("""COMPUTED_VALUE"""),FALSE)</f>
        <v>0</v>
      </c>
      <c r="Q8066" s="20" t="str">
        <f>IFERROR(__xludf.DUMMYFUNCTION("""COMPUTED_VALUE"""),"")</f>
        <v/>
      </c>
      <c r="R8066" s="21" t="str">
        <f>IFERROR(__xludf.DUMMYFUNCTION("""COMPUTED_VALUE"""),"https://drive.google.com/file/d/1m4bJArzpkHgBkhRHN-MpQTHj0Ym2epjD/view?usp=drivesdk")</f>
        <v>https://drive.google.com/file/d/1m4bJArzpkHgBkhRHN-MpQTHj0Ym2epjD/view?usp=drivesdk</v>
      </c>
    </row>
    <row r="8067">
      <c r="A8067" s="15">
        <f>IFERROR(__xludf.DUMMYFUNCTION("""COMPUTED_VALUE"""),45230.0)</f>
        <v>45230</v>
      </c>
      <c r="B8067" s="16" t="str">
        <f>IFERROR(__xludf.DUMMYFUNCTION("""COMPUTED_VALUE"""),"Envia")</f>
        <v>Envia</v>
      </c>
      <c r="C8067" s="15" t="str">
        <f>IFERROR(__xludf.DUMMYFUNCTION("""COMPUTED_VALUE"""),"CALI")</f>
        <v>CALI</v>
      </c>
      <c r="D8067" s="15" t="str">
        <f>IFERROR(__xludf.DUMMYFUNCTION("""COMPUTED_VALUE"""),"BOGOTÁ")</f>
        <v>BOGOTÁ</v>
      </c>
      <c r="E8067" s="15" t="str">
        <f>IFERROR(__xludf.DUMMYFUNCTION("""COMPUTED_VALUE"""),"My Choice")</f>
        <v>My Choice</v>
      </c>
      <c r="F8067" s="17" t="str">
        <f>IFERROR(__xludf.DUMMYFUNCTION("""COMPUTED_VALUE"""),"Carrera 36B # 1 Oeste - 75. Edificio Quadratto apto 803. / Quadratto apto 803")</f>
        <v>Carrera 36B # 1 Oeste - 75. Edificio Quadratto apto 803. / Quadratto apto 803</v>
      </c>
      <c r="G8067" s="15" t="str">
        <f>IFERROR(__xludf.DUMMYFUNCTION("""COMPUTED_VALUE"""),"Johanna URREGO")</f>
        <v>Johanna URREGO</v>
      </c>
      <c r="H8067" s="16">
        <f>IFERROR(__xludf.DUMMYFUNCTION("""COMPUTED_VALUE"""),16788.0)</f>
        <v>16788</v>
      </c>
      <c r="I8067" s="18">
        <f>IFERROR(__xludf.DUMMYFUNCTION("""COMPUTED_VALUE"""),1.0)</f>
        <v>1</v>
      </c>
      <c r="J8067" s="18">
        <f>IFERROR(__xludf.DUMMYFUNCTION("""COMPUTED_VALUE"""),1.0)</f>
        <v>1</v>
      </c>
      <c r="K8067" s="18">
        <f>IFERROR(__xludf.DUMMYFUNCTION("""COMPUTED_VALUE"""),1.0)</f>
        <v>1</v>
      </c>
      <c r="L8067" s="17">
        <f>IFERROR(__xludf.DUMMYFUNCTION("""COMPUTED_VALUE"""),3.103663535E9)</f>
        <v>3103663535</v>
      </c>
      <c r="M8067" s="17"/>
      <c r="N8067" s="17"/>
      <c r="O8067" s="17"/>
      <c r="P8067" s="17" t="b">
        <f>IFERROR(__xludf.DUMMYFUNCTION("""COMPUTED_VALUE"""),FALSE)</f>
        <v>0</v>
      </c>
      <c r="Q8067" s="20" t="str">
        <f>IFERROR(__xludf.DUMMYFUNCTION("""COMPUTED_VALUE"""),"")</f>
        <v/>
      </c>
      <c r="R8067" s="22" t="str">
        <f>IFERROR(__xludf.DUMMYFUNCTION("""COMPUTED_VALUE"""),"")</f>
        <v/>
      </c>
    </row>
    <row r="8068">
      <c r="A8068" s="15">
        <f>IFERROR(__xludf.DUMMYFUNCTION("""COMPUTED_VALUE"""),45230.0)</f>
        <v>45230</v>
      </c>
      <c r="B8068" s="16" t="str">
        <f>IFERROR(__xludf.DUMMYFUNCTION("""COMPUTED_VALUE"""),"Envia")</f>
        <v>Envia</v>
      </c>
      <c r="C8068" s="15" t="str">
        <f>IFERROR(__xludf.DUMMYFUNCTION("""COMPUTED_VALUE"""),"CALI")</f>
        <v>CALI</v>
      </c>
      <c r="D8068" s="15" t="str">
        <f>IFERROR(__xludf.DUMMYFUNCTION("""COMPUTED_VALUE"""),"BOGOTÁ")</f>
        <v>BOGOTÁ</v>
      </c>
      <c r="E8068" s="15" t="str">
        <f>IFERROR(__xludf.DUMMYFUNCTION("""COMPUTED_VALUE"""),"Ola Cacerola")</f>
        <v>Ola Cacerola</v>
      </c>
      <c r="F8068" s="17" t="str">
        <f>IFERROR(__xludf.DUMMYFUNCTION("""COMPUTED_VALUE"""),"Club del campo la morada  Calle madroños  Casa 19  La morada Jamundí / Club del campo la morada  Calle madroños  Casa 19  La morada Jamundí")</f>
        <v>Club del campo la morada  Calle madroños  Casa 19  La morada Jamundí / Club del campo la morada  Calle madroños  Casa 19  La morada Jamundí</v>
      </c>
      <c r="G8068" s="15" t="str">
        <f>IFERROR(__xludf.DUMMYFUNCTION("""COMPUTED_VALUE"""),"Maria Elena Eraso")</f>
        <v>Maria Elena Eraso</v>
      </c>
      <c r="H8068" s="16">
        <f>IFERROR(__xludf.DUMMYFUNCTION("""COMPUTED_VALUE"""),16794.0)</f>
        <v>16794</v>
      </c>
      <c r="I8068" s="18">
        <f>IFERROR(__xludf.DUMMYFUNCTION("""COMPUTED_VALUE"""),14.0)</f>
        <v>14</v>
      </c>
      <c r="J8068" s="18">
        <f>IFERROR(__xludf.DUMMYFUNCTION("""COMPUTED_VALUE"""),18.0)</f>
        <v>18</v>
      </c>
      <c r="K8068" s="18">
        <f>IFERROR(__xludf.DUMMYFUNCTION("""COMPUTED_VALUE"""),16.0)</f>
        <v>16</v>
      </c>
      <c r="L8068" s="17">
        <f>IFERROR(__xludf.DUMMYFUNCTION("""COMPUTED_VALUE"""),3.185707558E9)</f>
        <v>3185707558</v>
      </c>
      <c r="M8068" s="17"/>
      <c r="N8068" s="17"/>
      <c r="O8068" s="17"/>
      <c r="P8068" s="17" t="b">
        <f>IFERROR(__xludf.DUMMYFUNCTION("""COMPUTED_VALUE"""),FALSE)</f>
        <v>0</v>
      </c>
      <c r="Q8068" s="20" t="str">
        <f>IFERROR(__xludf.DUMMYFUNCTION("""COMPUTED_VALUE"""),"")</f>
        <v/>
      </c>
      <c r="R8068" s="21" t="str">
        <f>IFERROR(__xludf.DUMMYFUNCTION("""COMPUTED_VALUE"""),"https://drive.google.com/file/d/13MjFXl9hryv0PG2SxdwPziW9jQjEGR5s/view?usp=drivesdk")</f>
        <v>https://drive.google.com/file/d/13MjFXl9hryv0PG2SxdwPziW9jQjEGR5s/view?usp=drivesdk</v>
      </c>
    </row>
    <row r="8069">
      <c r="A8069" s="15">
        <f>IFERROR(__xludf.DUMMYFUNCTION("""COMPUTED_VALUE"""),45230.0)</f>
        <v>45230</v>
      </c>
      <c r="B8069" s="16" t="str">
        <f>IFERROR(__xludf.DUMMYFUNCTION("""COMPUTED_VALUE"""),"Envia")</f>
        <v>Envia</v>
      </c>
      <c r="C8069" s="15" t="str">
        <f>IFERROR(__xludf.DUMMYFUNCTION("""COMPUTED_VALUE"""),"CALI")</f>
        <v>CALI</v>
      </c>
      <c r="D8069" s="15" t="str">
        <f>IFERROR(__xludf.DUMMYFUNCTION("""COMPUTED_VALUE"""),"BOGOTÁ")</f>
        <v>BOGOTÁ</v>
      </c>
      <c r="E8069" s="15" t="str">
        <f>IFERROR(__xludf.DUMMYFUNCTION("""COMPUTED_VALUE"""),"Top Spun")</f>
        <v>Top Spun</v>
      </c>
      <c r="F8069" s="17" t="str">
        <f>IFERROR(__xludf.DUMMYFUNCTION("""COMPUTED_VALUE"""),"Carrera 99b #48-22, Cali / unidad masari")</f>
        <v>Carrera 99b #48-22, Cali / unidad masari</v>
      </c>
      <c r="G8069" s="15" t="str">
        <f>IFERROR(__xludf.DUMMYFUNCTION("""COMPUTED_VALUE"""),"Katherine Avila")</f>
        <v>Katherine Avila</v>
      </c>
      <c r="H8069" s="16">
        <f>IFERROR(__xludf.DUMMYFUNCTION("""COMPUTED_VALUE"""),16738.0)</f>
        <v>16738</v>
      </c>
      <c r="I8069" s="17"/>
      <c r="J8069" s="17"/>
      <c r="K8069" s="17"/>
      <c r="L8069" s="17">
        <f>IFERROR(__xludf.DUMMYFUNCTION("""COMPUTED_VALUE"""),3.183904278E9)</f>
        <v>3183904278</v>
      </c>
      <c r="M8069" s="17"/>
      <c r="N8069" s="17"/>
      <c r="O8069" s="17"/>
      <c r="P8069" s="17" t="b">
        <f>IFERROR(__xludf.DUMMYFUNCTION("""COMPUTED_VALUE"""),FALSE)</f>
        <v>0</v>
      </c>
      <c r="Q8069" s="20" t="str">
        <f>IFERROR(__xludf.DUMMYFUNCTION("""COMPUTED_VALUE"""),"")</f>
        <v/>
      </c>
      <c r="R8069" s="21" t="str">
        <f>IFERROR(__xludf.DUMMYFUNCTION("""COMPUTED_VALUE"""),"https://drive.google.com/file/d/13h6Y6K1WGJZt-3juZ4bpU6SAPCPJPikN/view?usp=drivesdk")</f>
        <v>https://drive.google.com/file/d/13h6Y6K1WGJZt-3juZ4bpU6SAPCPJPikN/view?usp=drivesdk</v>
      </c>
    </row>
    <row r="8070">
      <c r="A8070" s="15">
        <f>IFERROR(__xludf.DUMMYFUNCTION("""COMPUTED_VALUE"""),45230.0)</f>
        <v>45230</v>
      </c>
      <c r="B8070" s="16" t="str">
        <f>IFERROR(__xludf.DUMMYFUNCTION("""COMPUTED_VALUE"""),"Envia")</f>
        <v>Envia</v>
      </c>
      <c r="C8070" s="15" t="str">
        <f>IFERROR(__xludf.DUMMYFUNCTION("""COMPUTED_VALUE"""),"CALI")</f>
        <v>CALI</v>
      </c>
      <c r="D8070" s="15" t="str">
        <f>IFERROR(__xludf.DUMMYFUNCTION("""COMPUTED_VALUE"""),"BUCARAMANGA")</f>
        <v>BUCARAMANGA</v>
      </c>
      <c r="E8070" s="15" t="str">
        <f>IFERROR(__xludf.DUMMYFUNCTION("""COMPUTED_VALUE"""),"Yo Como Solito")</f>
        <v>Yo Como Solito</v>
      </c>
      <c r="F8070" s="17" t="str">
        <f>IFERROR(__xludf.DUMMYFUNCTION("""COMPUTED_VALUE"""),"CARRERA 26 i # 50-11 NUEVA FLORESTA PISO 2 / CARRERA 26 i # 50-11 NUEVA FLORESTA PISO 2 / CARRERA 26 i # 50-11 NUEVA FLORESTA PISO 2")</f>
        <v>CARRERA 26 i # 50-11 NUEVA FLORESTA PISO 2 / CARRERA 26 i # 50-11 NUEVA FLORESTA PISO 2 / CARRERA 26 i # 50-11 NUEVA FLORESTA PISO 2</v>
      </c>
      <c r="G8070" s="15" t="str">
        <f>IFERROR(__xludf.DUMMYFUNCTION("""COMPUTED_VALUE"""),"ELIANA ALVAREZ")</f>
        <v>ELIANA ALVAREZ</v>
      </c>
      <c r="H8070" s="16">
        <f>IFERROR(__xludf.DUMMYFUNCTION("""COMPUTED_VALUE"""),16735.0)</f>
        <v>16735</v>
      </c>
      <c r="I8070" s="18">
        <f>IFERROR(__xludf.DUMMYFUNCTION("""COMPUTED_VALUE"""),22.0)</f>
        <v>22</v>
      </c>
      <c r="J8070" s="18">
        <f>IFERROR(__xludf.DUMMYFUNCTION("""COMPUTED_VALUE"""),30.0)</f>
        <v>30</v>
      </c>
      <c r="K8070" s="18">
        <f>IFERROR(__xludf.DUMMYFUNCTION("""COMPUTED_VALUE"""),33.0)</f>
        <v>33</v>
      </c>
      <c r="L8070" s="17">
        <f>IFERROR(__xludf.DUMMYFUNCTION("""COMPUTED_VALUE"""),3.164048865E9)</f>
        <v>3164048865</v>
      </c>
      <c r="M8070" s="17"/>
      <c r="N8070" s="17"/>
      <c r="O8070" s="17"/>
      <c r="P8070" s="17" t="b">
        <f>IFERROR(__xludf.DUMMYFUNCTION("""COMPUTED_VALUE"""),FALSE)</f>
        <v>0</v>
      </c>
      <c r="Q8070" s="20" t="str">
        <f>IFERROR(__xludf.DUMMYFUNCTION("""COMPUTED_VALUE"""),"")</f>
        <v/>
      </c>
      <c r="R8070" s="21" t="str">
        <f>IFERROR(__xludf.DUMMYFUNCTION("""COMPUTED_VALUE"""),"https://drive.google.com/file/d/1ykAtyOoYoleseEixgz8Z-_aIKLpDaTws/view?usp=drivesdk")</f>
        <v>https://drive.google.com/file/d/1ykAtyOoYoleseEixgz8Z-_aIKLpDaTws/view?usp=drivesdk</v>
      </c>
    </row>
    <row r="8071">
      <c r="A8071" s="15">
        <f>IFERROR(__xludf.DUMMYFUNCTION("""COMPUTED_VALUE"""),45230.0)</f>
        <v>45230</v>
      </c>
      <c r="B8071" s="16" t="str">
        <f>IFERROR(__xludf.DUMMYFUNCTION("""COMPUTED_VALUE"""),"Envia")</f>
        <v>Envia</v>
      </c>
      <c r="C8071" s="15" t="str">
        <f>IFERROR(__xludf.DUMMYFUNCTION("""COMPUTED_VALUE"""),"CARTAGO")</f>
        <v>CARTAGO</v>
      </c>
      <c r="D8071" s="15" t="str">
        <f>IFERROR(__xludf.DUMMYFUNCTION("""COMPUTED_VALUE"""),"BOGOTÁ")</f>
        <v>BOGOTÁ</v>
      </c>
      <c r="E8071" s="15" t="str">
        <f>IFERROR(__xludf.DUMMYFUNCTION("""COMPUTED_VALUE"""),"Instinto alimento vital")</f>
        <v>Instinto alimento vital</v>
      </c>
      <c r="F8071" s="17" t="str">
        <f>IFERROR(__xludf.DUMMYFUNCTION("""COMPUTED_VALUE"""),"CL 4A E # 3-76 MZ J / CA 15")</f>
        <v>CL 4A E # 3-76 MZ J / CA 15</v>
      </c>
      <c r="G8071" s="15" t="str">
        <f>IFERROR(__xludf.DUMMYFUNCTION("""COMPUTED_VALUE"""),"NATALIA ESCOBAR RIVERA")</f>
        <v>NATALIA ESCOBAR RIVERA</v>
      </c>
      <c r="H8071" s="16">
        <f>IFERROR(__xludf.DUMMYFUNCTION("""COMPUTED_VALUE"""),16790.0)</f>
        <v>16790</v>
      </c>
      <c r="I8071" s="17"/>
      <c r="J8071" s="17"/>
      <c r="K8071" s="17"/>
      <c r="L8071" s="17">
        <f>IFERROR(__xludf.DUMMYFUNCTION("""COMPUTED_VALUE"""),3.163785148E9)</f>
        <v>3163785148</v>
      </c>
      <c r="M8071" s="17"/>
      <c r="N8071" s="17"/>
      <c r="O8071" s="17"/>
      <c r="P8071" s="17" t="b">
        <f>IFERROR(__xludf.DUMMYFUNCTION("""COMPUTED_VALUE"""),FALSE)</f>
        <v>0</v>
      </c>
      <c r="Q8071" s="20" t="str">
        <f>IFERROR(__xludf.DUMMYFUNCTION("""COMPUTED_VALUE"""),"")</f>
        <v/>
      </c>
      <c r="R8071" s="21" t="str">
        <f>IFERROR(__xludf.DUMMYFUNCTION("""COMPUTED_VALUE"""),"https://drive.google.com/file/d/1Jk7d1VTxhOfOzZLn_anJKq8VqMUmu-Do/view?usp=drivesdk")</f>
        <v>https://drive.google.com/file/d/1Jk7d1VTxhOfOzZLn_anJKq8VqMUmu-Do/view?usp=drivesdk</v>
      </c>
    </row>
    <row r="8072">
      <c r="A8072" s="15">
        <f>IFERROR(__xludf.DUMMYFUNCTION("""COMPUTED_VALUE"""),45230.0)</f>
        <v>45230</v>
      </c>
      <c r="B8072" s="16" t="str">
        <f>IFERROR(__xludf.DUMMYFUNCTION("""COMPUTED_VALUE"""),"Envia")</f>
        <v>Envia</v>
      </c>
      <c r="C8072" s="15" t="str">
        <f>IFERROR(__xludf.DUMMYFUNCTION("""COMPUTED_VALUE"""),"ENVIGADO")</f>
        <v>ENVIGADO</v>
      </c>
      <c r="D8072" s="15" t="str">
        <f>IFERROR(__xludf.DUMMYFUNCTION("""COMPUTED_VALUE"""),"BOGOTÁ")</f>
        <v>BOGOTÁ</v>
      </c>
      <c r="E8072" s="15" t="str">
        <f>IFERROR(__xludf.DUMMYFUNCTION("""COMPUTED_VALUE"""),"LINA PAOLA RAMIREZ GOMEZ - EVA MAZZITA")</f>
        <v>LINA PAOLA RAMIREZ GOMEZ - EVA MAZZITA</v>
      </c>
      <c r="F8072" s="17" t="str">
        <f>IFERROR(__xludf.DUMMYFUNCTION("""COMPUTED_VALUE"""),"Cra 27G#35sur-175 / Apto 728/ urb Saltamonte")</f>
        <v>Cra 27G#35sur-175 / Apto 728/ urb Saltamonte</v>
      </c>
      <c r="G8072" s="15" t="str">
        <f>IFERROR(__xludf.DUMMYFUNCTION("""COMPUTED_VALUE"""),"GISELL GARCIA GIRALDO")</f>
        <v>GISELL GARCIA GIRALDO</v>
      </c>
      <c r="H8072" s="16">
        <f>IFERROR(__xludf.DUMMYFUNCTION("""COMPUTED_VALUE"""),16773.0)</f>
        <v>16773</v>
      </c>
      <c r="I8072" s="17"/>
      <c r="J8072" s="17"/>
      <c r="K8072" s="17"/>
      <c r="L8072" s="17">
        <f>IFERROR(__xludf.DUMMYFUNCTION("""COMPUTED_VALUE"""),3.168576931E9)</f>
        <v>3168576931</v>
      </c>
      <c r="M8072" s="17"/>
      <c r="N8072" s="17"/>
      <c r="O8072" s="17"/>
      <c r="P8072" s="17" t="b">
        <f>IFERROR(__xludf.DUMMYFUNCTION("""COMPUTED_VALUE"""),FALSE)</f>
        <v>0</v>
      </c>
      <c r="Q8072" s="20" t="str">
        <f>IFERROR(__xludf.DUMMYFUNCTION("""COMPUTED_VALUE"""),"")</f>
        <v/>
      </c>
      <c r="R8072" s="21" t="str">
        <f>IFERROR(__xludf.DUMMYFUNCTION("""COMPUTED_VALUE"""),"https://drive.google.com/file/d/1EzPWJPUDPZrliKYZzyA4d6Y8aeDFcss_/view?usp=drivesdk")</f>
        <v>https://drive.google.com/file/d/1EzPWJPUDPZrliKYZzyA4d6Y8aeDFcss_/view?usp=drivesdk</v>
      </c>
    </row>
    <row r="8073">
      <c r="A8073" s="15">
        <f>IFERROR(__xludf.DUMMYFUNCTION("""COMPUTED_VALUE"""),45230.0)</f>
        <v>45230</v>
      </c>
      <c r="B8073" s="16" t="str">
        <f>IFERROR(__xludf.DUMMYFUNCTION("""COMPUTED_VALUE"""),"Envia")</f>
        <v>Envia</v>
      </c>
      <c r="C8073" s="15" t="str">
        <f>IFERROR(__xludf.DUMMYFUNCTION("""COMPUTED_VALUE"""),"IBAGUÉ")</f>
        <v>IBAGUÉ</v>
      </c>
      <c r="D8073" s="15" t="str">
        <f>IFERROR(__xludf.DUMMYFUNCTION("""COMPUTED_VALUE"""),"MEDELLÍN")</f>
        <v>MEDELLÍN</v>
      </c>
      <c r="E8073" s="15" t="str">
        <f>IFERROR(__xludf.DUMMYFUNCTION("""COMPUTED_VALUE"""),"Moloso S.A.S")</f>
        <v>Moloso S.A.S</v>
      </c>
      <c r="F8073" s="17" t="str">
        <f>IFERROR(__xludf.DUMMYFUNCTION("""COMPUTED_VALUE"""),"TRANSVERSAL 19 A SUR 125 134 / RESERVAS DEL CAMPESTRE CS 32 ZONA 3")</f>
        <v>TRANSVERSAL 19 A SUR 125 134 / RESERVAS DEL CAMPESTRE CS 32 ZONA 3</v>
      </c>
      <c r="G8073" s="15" t="str">
        <f>IFERROR(__xludf.DUMMYFUNCTION("""COMPUTED_VALUE"""),"LUIS FELIPE ESPINOSA CASTRO")</f>
        <v>LUIS FELIPE ESPINOSA CASTRO</v>
      </c>
      <c r="H8073" s="16">
        <f>IFERROR(__xludf.DUMMYFUNCTION("""COMPUTED_VALUE"""),16776.0)</f>
        <v>16776</v>
      </c>
      <c r="I8073" s="17"/>
      <c r="J8073" s="17"/>
      <c r="K8073" s="17"/>
      <c r="L8073" s="17"/>
      <c r="M8073" s="17"/>
      <c r="N8073" s="17"/>
      <c r="O8073" s="17"/>
      <c r="P8073" s="17" t="b">
        <f>IFERROR(__xludf.DUMMYFUNCTION("""COMPUTED_VALUE"""),FALSE)</f>
        <v>0</v>
      </c>
      <c r="Q8073" s="20" t="str">
        <f>IFERROR(__xludf.DUMMYFUNCTION("""COMPUTED_VALUE"""),"")</f>
        <v/>
      </c>
      <c r="R8073" s="21" t="str">
        <f>IFERROR(__xludf.DUMMYFUNCTION("""COMPUTED_VALUE"""),"https://drive.google.com/file/d/1XVt1SCdtHP8j54BUFvuI04xjVtnMHYrn/view?usp=drivesdk")</f>
        <v>https://drive.google.com/file/d/1XVt1SCdtHP8j54BUFvuI04xjVtnMHYrn/view?usp=drivesdk</v>
      </c>
    </row>
    <row r="8074">
      <c r="A8074" s="15">
        <f>IFERROR(__xludf.DUMMYFUNCTION("""COMPUTED_VALUE"""),45230.0)</f>
        <v>45230</v>
      </c>
      <c r="B8074" s="16" t="str">
        <f>IFERROR(__xludf.DUMMYFUNCTION("""COMPUTED_VALUE"""),"Envia")</f>
        <v>Envia</v>
      </c>
      <c r="C8074" s="15" t="str">
        <f>IFERROR(__xludf.DUMMYFUNCTION("""COMPUTED_VALUE"""),"MANIZALES")</f>
        <v>MANIZALES</v>
      </c>
      <c r="D8074" s="15" t="str">
        <f>IFERROR(__xludf.DUMMYFUNCTION("""COMPUTED_VALUE"""),"MEDELLÍN")</f>
        <v>MEDELLÍN</v>
      </c>
      <c r="E8074" s="15" t="str">
        <f>IFERROR(__xludf.DUMMYFUNCTION("""COMPUTED_VALUE"""),"Vivente")</f>
        <v>Vivente</v>
      </c>
      <c r="F8074" s="17" t="str">
        <f>IFERROR(__xludf.DUMMYFUNCTION("""COMPUTED_VALUE"""),"Carrera 21 #65 c 37 / Primer piso, local 03")</f>
        <v>Carrera 21 #65 c 37 / Primer piso, local 03</v>
      </c>
      <c r="G8074" s="15" t="str">
        <f>IFERROR(__xludf.DUMMYFUNCTION("""COMPUTED_VALUE"""),"Esentional Sas   Recibe: Tatiana Galvis Cifuentes  Si no hay nadie en el local dejarlo en portería del edificio")</f>
        <v>Esentional Sas   Recibe: Tatiana Galvis Cifuentes  Si no hay nadie en el local dejarlo en portería del edificio</v>
      </c>
      <c r="H8074" s="16">
        <f>IFERROR(__xludf.DUMMYFUNCTION("""COMPUTED_VALUE"""),16792.0)</f>
        <v>16792</v>
      </c>
      <c r="I8074" s="18">
        <f>IFERROR(__xludf.DUMMYFUNCTION("""COMPUTED_VALUE"""),5.0)</f>
        <v>5</v>
      </c>
      <c r="J8074" s="18">
        <f>IFERROR(__xludf.DUMMYFUNCTION("""COMPUTED_VALUE"""),10.0)</f>
        <v>10</v>
      </c>
      <c r="K8074" s="18">
        <f>IFERROR(__xludf.DUMMYFUNCTION("""COMPUTED_VALUE"""),18.0)</f>
        <v>18</v>
      </c>
      <c r="L8074" s="17">
        <f>IFERROR(__xludf.DUMMYFUNCTION("""COMPUTED_VALUE"""),3.143614591E9)</f>
        <v>3143614591</v>
      </c>
      <c r="M8074" s="17"/>
      <c r="N8074" s="17"/>
      <c r="O8074" s="17"/>
      <c r="P8074" s="17" t="b">
        <f>IFERROR(__xludf.DUMMYFUNCTION("""COMPUTED_VALUE"""),FALSE)</f>
        <v>0</v>
      </c>
      <c r="Q8074" s="20" t="str">
        <f>IFERROR(__xludf.DUMMYFUNCTION("""COMPUTED_VALUE"""),"")</f>
        <v/>
      </c>
      <c r="R8074" s="21" t="str">
        <f>IFERROR(__xludf.DUMMYFUNCTION("""COMPUTED_VALUE"""),"https://drive.google.com/file/d/1Ld3C4f4hEP5a3PbCt1v4vgpMQPyBcxuU/view?usp=drivesdk")</f>
        <v>https://drive.google.com/file/d/1Ld3C4f4hEP5a3PbCt1v4vgpMQPyBcxuU/view?usp=drivesdk</v>
      </c>
    </row>
    <row r="8075">
      <c r="A8075" s="15">
        <f>IFERROR(__xludf.DUMMYFUNCTION("""COMPUTED_VALUE"""),45230.0)</f>
        <v>45230</v>
      </c>
      <c r="B8075" s="16" t="str">
        <f>IFERROR(__xludf.DUMMYFUNCTION("""COMPUTED_VALUE"""),"Envia")</f>
        <v>Envia</v>
      </c>
      <c r="C8075" s="15" t="str">
        <f>IFERROR(__xludf.DUMMYFUNCTION("""COMPUTED_VALUE"""),"MANIZALES")</f>
        <v>MANIZALES</v>
      </c>
      <c r="D8075" s="15" t="str">
        <f>IFERROR(__xludf.DUMMYFUNCTION("""COMPUTED_VALUE"""),"MEDELLÍN")</f>
        <v>MEDELLÍN</v>
      </c>
      <c r="E8075" s="15" t="str">
        <f>IFERROR(__xludf.DUMMYFUNCTION("""COMPUTED_VALUE"""),"Vivente")</f>
        <v>Vivente</v>
      </c>
      <c r="F8075" s="17" t="str">
        <f>IFERROR(__xludf.DUMMYFUNCTION("""COMPUTED_VALUE"""),"Carrera 21 #65 c 37 Primer piso, local 03 / edificio Venetto sector Cable")</f>
        <v>Carrera 21 #65 c 37 Primer piso, local 03 / edificio Venetto sector Cable</v>
      </c>
      <c r="G8075" s="15" t="str">
        <f>IFERROR(__xludf.DUMMYFUNCTION("""COMPUTED_VALUE"""),"Recibe: Tatiana Galvis Cifuentes  Si no hay nadie en el local dejarlo en portería del edificio")</f>
        <v>Recibe: Tatiana Galvis Cifuentes  Si no hay nadie en el local dejarlo en portería del edificio</v>
      </c>
      <c r="H8075" s="16">
        <f>IFERROR(__xludf.DUMMYFUNCTION("""COMPUTED_VALUE"""),16793.0)</f>
        <v>16793</v>
      </c>
      <c r="I8075" s="18">
        <f>IFERROR(__xludf.DUMMYFUNCTION("""COMPUTED_VALUE"""),5.0)</f>
        <v>5</v>
      </c>
      <c r="J8075" s="18">
        <f>IFERROR(__xludf.DUMMYFUNCTION("""COMPUTED_VALUE"""),10.0)</f>
        <v>10</v>
      </c>
      <c r="K8075" s="18">
        <f>IFERROR(__xludf.DUMMYFUNCTION("""COMPUTED_VALUE"""),18.0)</f>
        <v>18</v>
      </c>
      <c r="L8075" s="17">
        <f>IFERROR(__xludf.DUMMYFUNCTION("""COMPUTED_VALUE"""),3.143614591E9)</f>
        <v>3143614591</v>
      </c>
      <c r="M8075" s="17"/>
      <c r="N8075" s="17"/>
      <c r="O8075" s="17"/>
      <c r="P8075" s="17" t="b">
        <f>IFERROR(__xludf.DUMMYFUNCTION("""COMPUTED_VALUE"""),FALSE)</f>
        <v>0</v>
      </c>
      <c r="Q8075" s="20" t="str">
        <f>IFERROR(__xludf.DUMMYFUNCTION("""COMPUTED_VALUE"""),"")</f>
        <v/>
      </c>
      <c r="R8075" s="21" t="str">
        <f>IFERROR(__xludf.DUMMYFUNCTION("""COMPUTED_VALUE"""),"https://drive.google.com/file/d/1LJIDjbuLz_tYtT8cOXI-62pZT1aWWFuh/view?usp=drivesdk")</f>
        <v>https://drive.google.com/file/d/1LJIDjbuLz_tYtT8cOXI-62pZT1aWWFuh/view?usp=drivesdk</v>
      </c>
    </row>
    <row r="8076">
      <c r="A8076" s="15">
        <f>IFERROR(__xludf.DUMMYFUNCTION("""COMPUTED_VALUE"""),45230.0)</f>
        <v>45230</v>
      </c>
      <c r="B8076" s="16" t="str">
        <f>IFERROR(__xludf.DUMMYFUNCTION("""COMPUTED_VALUE"""),"Envia")</f>
        <v>Envia</v>
      </c>
      <c r="C8076" s="15" t="str">
        <f>IFERROR(__xludf.DUMMYFUNCTION("""COMPUTED_VALUE"""),"MEDELLÍN")</f>
        <v>MEDELLÍN</v>
      </c>
      <c r="D8076" s="15" t="str">
        <f>IFERROR(__xludf.DUMMYFUNCTION("""COMPUTED_VALUE"""),"BOGOTÁ")</f>
        <v>BOGOTÁ</v>
      </c>
      <c r="E8076" s="15" t="str">
        <f>IFERROR(__xludf.DUMMYFUNCTION("""COMPUTED_VALUE"""),"Asociacion Agropecuaria Juana Maria")</f>
        <v>Asociacion Agropecuaria Juana Maria</v>
      </c>
      <c r="F8076" s="17" t="str">
        <f>IFERROR(__xludf.DUMMYFUNCTION("""COMPUTED_VALUE"""),"Carrera 15 BA # 30D-44 / int 201")</f>
        <v>Carrera 15 BA # 30D-44 / int 201</v>
      </c>
      <c r="G8076" s="15" t="str">
        <f>IFERROR(__xludf.DUMMYFUNCTION("""COMPUTED_VALUE"""),"Daniela Bedoya Blandon")</f>
        <v>Daniela Bedoya Blandon</v>
      </c>
      <c r="H8076" s="16">
        <f>IFERROR(__xludf.DUMMYFUNCTION("""COMPUTED_VALUE"""),16746.0)</f>
        <v>16746</v>
      </c>
      <c r="I8076" s="17"/>
      <c r="J8076" s="17"/>
      <c r="K8076" s="17"/>
      <c r="L8076" s="17">
        <f>IFERROR(__xludf.DUMMYFUNCTION("""COMPUTED_VALUE"""),3.14672822E9)</f>
        <v>3146728220</v>
      </c>
      <c r="M8076" s="17"/>
      <c r="N8076" s="17"/>
      <c r="O8076" s="17"/>
      <c r="P8076" s="17" t="b">
        <f>IFERROR(__xludf.DUMMYFUNCTION("""COMPUTED_VALUE"""),FALSE)</f>
        <v>0</v>
      </c>
      <c r="Q8076" s="20" t="str">
        <f>IFERROR(__xludf.DUMMYFUNCTION("""COMPUTED_VALUE"""),"")</f>
        <v/>
      </c>
      <c r="R8076" s="22" t="str">
        <f>IFERROR(__xludf.DUMMYFUNCTION("""COMPUTED_VALUE"""),"")</f>
        <v/>
      </c>
    </row>
    <row r="8077">
      <c r="A8077" s="15">
        <f>IFERROR(__xludf.DUMMYFUNCTION("""COMPUTED_VALUE"""),45230.0)</f>
        <v>45230</v>
      </c>
      <c r="B8077" s="16" t="str">
        <f>IFERROR(__xludf.DUMMYFUNCTION("""COMPUTED_VALUE"""),"Envia")</f>
        <v>Envia</v>
      </c>
      <c r="C8077" s="15" t="str">
        <f>IFERROR(__xludf.DUMMYFUNCTION("""COMPUTED_VALUE"""),"MEDELLÍN")</f>
        <v>MEDELLÍN</v>
      </c>
      <c r="D8077" s="15" t="str">
        <f>IFERROR(__xludf.DUMMYFUNCTION("""COMPUTED_VALUE"""),"BOGOTÁ")</f>
        <v>BOGOTÁ</v>
      </c>
      <c r="E8077" s="15" t="str">
        <f>IFERROR(__xludf.DUMMYFUNCTION("""COMPUTED_VALUE"""),"Asociacion Agropecuaria Juana Maria")</f>
        <v>Asociacion Agropecuaria Juana Maria</v>
      </c>
      <c r="F8077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8077" s="15" t="str">
        <f>IFERROR(__xludf.DUMMYFUNCTION("""COMPUTED_VALUE"""),"Jennifer Sanchez Blandon")</f>
        <v>Jennifer Sanchez Blandon</v>
      </c>
      <c r="H8077" s="16">
        <f>IFERROR(__xludf.DUMMYFUNCTION("""COMPUTED_VALUE"""),16747.0)</f>
        <v>16747</v>
      </c>
      <c r="I8077" s="17"/>
      <c r="J8077" s="17"/>
      <c r="K8077" s="17"/>
      <c r="L8077" s="17">
        <f>IFERROR(__xludf.DUMMYFUNCTION("""COMPUTED_VALUE"""),3.016937674E9)</f>
        <v>3016937674</v>
      </c>
      <c r="M8077" s="17"/>
      <c r="N8077" s="17"/>
      <c r="O8077" s="17"/>
      <c r="P8077" s="17" t="b">
        <f>IFERROR(__xludf.DUMMYFUNCTION("""COMPUTED_VALUE"""),FALSE)</f>
        <v>0</v>
      </c>
      <c r="Q8077" s="20" t="str">
        <f>IFERROR(__xludf.DUMMYFUNCTION("""COMPUTED_VALUE"""),"")</f>
        <v/>
      </c>
      <c r="R8077" s="21" t="str">
        <f>IFERROR(__xludf.DUMMYFUNCTION("""COMPUTED_VALUE"""),"https://drive.google.com/file/d/1mejqE8EBu1l3Cj7D-CcVFxxnGXzQfGaX/view?usp=drivesdk")</f>
        <v>https://drive.google.com/file/d/1mejqE8EBu1l3Cj7D-CcVFxxnGXzQfGaX/view?usp=drivesdk</v>
      </c>
    </row>
    <row r="8078">
      <c r="A8078" s="15">
        <f>IFERROR(__xludf.DUMMYFUNCTION("""COMPUTED_VALUE"""),45230.0)</f>
        <v>45230</v>
      </c>
      <c r="B8078" s="16" t="str">
        <f>IFERROR(__xludf.DUMMYFUNCTION("""COMPUTED_VALUE"""),"Envia")</f>
        <v>Envia</v>
      </c>
      <c r="C8078" s="15" t="str">
        <f>IFERROR(__xludf.DUMMYFUNCTION("""COMPUTED_VALUE"""),"MEDELLÍN")</f>
        <v>MEDELLÍN</v>
      </c>
      <c r="D8078" s="15" t="str">
        <f>IFERROR(__xludf.DUMMYFUNCTION("""COMPUTED_VALUE"""),"BOGOTÁ")</f>
        <v>BOGOTÁ</v>
      </c>
      <c r="E8078" s="15" t="str">
        <f>IFERROR(__xludf.DUMMYFUNCTION("""COMPUTED_VALUE"""),"INVERSIONES MOCHI")</f>
        <v>INVERSIONES MOCHI</v>
      </c>
      <c r="F8078" s="17" t="str">
        <f>IFERROR(__xludf.DUMMYFUNCTION("""COMPUTED_VALUE"""),"CRA 48 #32B SUR-139 ZONA 1 / CENTRO COMERCIAL VIVA ENVIGADO")</f>
        <v>CRA 48 #32B SUR-139 ZONA 1 / CENTRO COMERCIAL VIVA ENVIGADO</v>
      </c>
      <c r="G8078" s="15" t="str">
        <f>IFERROR(__xludf.DUMMYFUNCTION("""COMPUTED_VALUE"""),"CENTRO COMERCIAL VIVA ENVIGADO")</f>
        <v>CENTRO COMERCIAL VIVA ENVIGADO</v>
      </c>
      <c r="H8078" s="16">
        <f>IFERROR(__xludf.DUMMYFUNCTION("""COMPUTED_VALUE"""),16819.0)</f>
        <v>16819</v>
      </c>
      <c r="I8078" s="17"/>
      <c r="J8078" s="17"/>
      <c r="K8078" s="17"/>
      <c r="L8078" s="17">
        <f>IFERROR(__xludf.DUMMYFUNCTION("""COMPUTED_VALUE"""),3.142587995E9)</f>
        <v>3142587995</v>
      </c>
      <c r="M8078" s="17"/>
      <c r="N8078" s="17"/>
      <c r="O8078" s="17"/>
      <c r="P8078" s="17" t="b">
        <f>IFERROR(__xludf.DUMMYFUNCTION("""COMPUTED_VALUE"""),FALSE)</f>
        <v>0</v>
      </c>
      <c r="Q8078" s="20" t="str">
        <f>IFERROR(__xludf.DUMMYFUNCTION("""COMPUTED_VALUE"""),"")</f>
        <v/>
      </c>
      <c r="R8078" s="21" t="str">
        <f>IFERROR(__xludf.DUMMYFUNCTION("""COMPUTED_VALUE"""),"https://drive.google.com/file/d/1OLAGQxH4eQgH0kpjZ_-t-NRKJt9fCeEB/view?usp=drivesdk")</f>
        <v>https://drive.google.com/file/d/1OLAGQxH4eQgH0kpjZ_-t-NRKJt9fCeEB/view?usp=drivesdk</v>
      </c>
    </row>
    <row r="8079">
      <c r="A8079" s="15">
        <f>IFERROR(__xludf.DUMMYFUNCTION("""COMPUTED_VALUE"""),45230.0)</f>
        <v>45230</v>
      </c>
      <c r="B8079" s="16" t="str">
        <f>IFERROR(__xludf.DUMMYFUNCTION("""COMPUTED_VALUE"""),"Envia")</f>
        <v>Envia</v>
      </c>
      <c r="C8079" s="15" t="str">
        <f>IFERROR(__xludf.DUMMYFUNCTION("""COMPUTED_VALUE"""),"MEDELLÍN")</f>
        <v>MEDELLÍN</v>
      </c>
      <c r="D8079" s="15" t="str">
        <f>IFERROR(__xludf.DUMMYFUNCTION("""COMPUTED_VALUE"""),"BOGOTÁ")</f>
        <v>BOGOTÁ</v>
      </c>
      <c r="E8079" s="15" t="str">
        <f>IFERROR(__xludf.DUMMYFUNCTION("""COMPUTED_VALUE"""),"LINA PAOLA RAMIREZ GOMEZ - EVA MAZZITA")</f>
        <v>LINA PAOLA RAMIREZ GOMEZ - EVA MAZZITA</v>
      </c>
      <c r="F8079" s="17" t="str">
        <f>IFERROR(__xludf.DUMMYFUNCTION("""COMPUTED_VALUE"""),"Carrera 24b 17-25 / Casa 119 Casa milano Poblado")</f>
        <v>Carrera 24b 17-25 / Casa 119 Casa milano Poblado</v>
      </c>
      <c r="G8079" s="15" t="str">
        <f>IFERROR(__xludf.DUMMYFUNCTION("""COMPUTED_VALUE"""),"FERNANDA REYES")</f>
        <v>FERNANDA REYES</v>
      </c>
      <c r="H8079" s="16">
        <f>IFERROR(__xludf.DUMMYFUNCTION("""COMPUTED_VALUE"""),16814.0)</f>
        <v>16814</v>
      </c>
      <c r="I8079" s="17"/>
      <c r="J8079" s="17"/>
      <c r="K8079" s="17"/>
      <c r="L8079" s="17">
        <f>IFERROR(__xludf.DUMMYFUNCTION("""COMPUTED_VALUE"""),3.135976014E9)</f>
        <v>3135976014</v>
      </c>
      <c r="M8079" s="17"/>
      <c r="N8079" s="17"/>
      <c r="O8079" s="17"/>
      <c r="P8079" s="17" t="b">
        <f>IFERROR(__xludf.DUMMYFUNCTION("""COMPUTED_VALUE"""),FALSE)</f>
        <v>0</v>
      </c>
      <c r="Q8079" s="20" t="str">
        <f>IFERROR(__xludf.DUMMYFUNCTION("""COMPUTED_VALUE"""),"")</f>
        <v/>
      </c>
      <c r="R8079" s="21" t="str">
        <f>IFERROR(__xludf.DUMMYFUNCTION("""COMPUTED_VALUE"""),"https://drive.google.com/file/d/1PK1LemwtkxEyy5A81hUl6vUaN1Im3xTR/view?usp=drivesdk")</f>
        <v>https://drive.google.com/file/d/1PK1LemwtkxEyy5A81hUl6vUaN1Im3xTR/view?usp=drivesdk</v>
      </c>
    </row>
    <row r="8080">
      <c r="A8080" s="15">
        <f>IFERROR(__xludf.DUMMYFUNCTION("""COMPUTED_VALUE"""),45230.0)</f>
        <v>45230</v>
      </c>
      <c r="B8080" s="16" t="str">
        <f>IFERROR(__xludf.DUMMYFUNCTION("""COMPUTED_VALUE"""),"Envia")</f>
        <v>Envia</v>
      </c>
      <c r="C8080" s="15" t="str">
        <f>IFERROR(__xludf.DUMMYFUNCTION("""COMPUTED_VALUE"""),"MEDELLÍN")</f>
        <v>MEDELLÍN</v>
      </c>
      <c r="D8080" s="15" t="str">
        <f>IFERROR(__xludf.DUMMYFUNCTION("""COMPUTED_VALUE"""),"BOGOTÁ")</f>
        <v>BOGOTÁ</v>
      </c>
      <c r="E8080" s="15" t="str">
        <f>IFERROR(__xludf.DUMMYFUNCTION("""COMPUTED_VALUE"""),"Loomifoods")</f>
        <v>Loomifoods</v>
      </c>
      <c r="F8080" s="17" t="str">
        <f>IFERROR(__xludf.DUMMYFUNCTION("""COMPUTED_VALUE"""),"Carrera 25 # 1 A Sur 45 / Bodega N°3NP-B-02 Sótano S4 Rojo")</f>
        <v>Carrera 25 # 1 A Sur 45 / Bodega N°3NP-B-02 Sótano S4 Rojo</v>
      </c>
      <c r="G8080" s="15" t="str">
        <f>IFERROR(__xludf.DUMMYFUNCTION("""COMPUTED_VALUE"""),"Merkaorganico Medellin - auxiliar de bodega administrativa")</f>
        <v>Merkaorganico Medellin - auxiliar de bodega administrativa</v>
      </c>
      <c r="H8080" s="16">
        <f>IFERROR(__xludf.DUMMYFUNCTION("""COMPUTED_VALUE"""),16806.0)</f>
        <v>16806</v>
      </c>
      <c r="I8080" s="18">
        <f>IFERROR(__xludf.DUMMYFUNCTION("""COMPUTED_VALUE"""),29.0)</f>
        <v>29</v>
      </c>
      <c r="J8080" s="18">
        <f>IFERROR(__xludf.DUMMYFUNCTION("""COMPUTED_VALUE"""),55.0)</f>
        <v>55</v>
      </c>
      <c r="K8080" s="18">
        <f>IFERROR(__xludf.DUMMYFUNCTION("""COMPUTED_VALUE"""),40.0)</f>
        <v>40</v>
      </c>
      <c r="L8080" s="17">
        <f>IFERROR(__xludf.DUMMYFUNCTION("""COMPUTED_VALUE"""),3.053552603E9)</f>
        <v>3053552603</v>
      </c>
      <c r="M8080" s="17"/>
      <c r="N8080" s="17"/>
      <c r="O8080" s="17"/>
      <c r="P8080" s="17" t="b">
        <f>IFERROR(__xludf.DUMMYFUNCTION("""COMPUTED_VALUE"""),FALSE)</f>
        <v>0</v>
      </c>
      <c r="Q8080" s="20" t="str">
        <f>IFERROR(__xludf.DUMMYFUNCTION("""COMPUTED_VALUE"""),"")</f>
        <v/>
      </c>
      <c r="R8080" s="21" t="str">
        <f>IFERROR(__xludf.DUMMYFUNCTION("""COMPUTED_VALUE"""),"https://drive.google.com/file/d/10n9Hz3gdBeW4hr8Wfry0XTgQsUvxKnyf/view?usp=drivesdk")</f>
        <v>https://drive.google.com/file/d/10n9Hz3gdBeW4hr8Wfry0XTgQsUvxKnyf/view?usp=drivesdk</v>
      </c>
    </row>
    <row r="8081">
      <c r="A8081" s="15">
        <f>IFERROR(__xludf.DUMMYFUNCTION("""COMPUTED_VALUE"""),45230.0)</f>
        <v>45230</v>
      </c>
      <c r="B8081" s="16" t="str">
        <f>IFERROR(__xludf.DUMMYFUNCTION("""COMPUTED_VALUE"""),"Envia")</f>
        <v>Envia</v>
      </c>
      <c r="C8081" s="15" t="str">
        <f>IFERROR(__xludf.DUMMYFUNCTION("""COMPUTED_VALUE"""),"MEDELLÍN")</f>
        <v>MEDELLÍN</v>
      </c>
      <c r="D8081" s="15" t="str">
        <f>IFERROR(__xludf.DUMMYFUNCTION("""COMPUTED_VALUE"""),"BOGOTÁ")</f>
        <v>BOGOTÁ</v>
      </c>
      <c r="E8081" s="15" t="str">
        <f>IFERROR(__xludf.DUMMYFUNCTION("""COMPUTED_VALUE"""),"Lunchy Kids")</f>
        <v>Lunchy Kids</v>
      </c>
      <c r="F8081" s="17" t="str">
        <f>IFERROR(__xludf.DUMMYFUNCTION("""COMPUTED_VALUE"""),"Diagonal 43 # 34e - 20 / Torre 5 Apartamento 1639. Unidad Residencial Curazao")</f>
        <v>Diagonal 43 # 34e - 20 / Torre 5 Apartamento 1639. Unidad Residencial Curazao</v>
      </c>
      <c r="G8081" s="15" t="str">
        <f>IFERROR(__xludf.DUMMYFUNCTION("""COMPUTED_VALUE"""),"Julissa Anaya")</f>
        <v>Julissa Anaya</v>
      </c>
      <c r="H8081" s="16">
        <f>IFERROR(__xludf.DUMMYFUNCTION("""COMPUTED_VALUE"""),16758.0)</f>
        <v>16758</v>
      </c>
      <c r="I8081" s="17"/>
      <c r="J8081" s="17"/>
      <c r="K8081" s="17"/>
      <c r="L8081" s="17">
        <f>IFERROR(__xludf.DUMMYFUNCTION("""COMPUTED_VALUE"""),3.104301008E9)</f>
        <v>3104301008</v>
      </c>
      <c r="M8081" s="17"/>
      <c r="N8081" s="17"/>
      <c r="O8081" s="17"/>
      <c r="P8081" s="17" t="b">
        <f>IFERROR(__xludf.DUMMYFUNCTION("""COMPUTED_VALUE"""),FALSE)</f>
        <v>0</v>
      </c>
      <c r="Q8081" s="20" t="str">
        <f>IFERROR(__xludf.DUMMYFUNCTION("""COMPUTED_VALUE"""),"")</f>
        <v/>
      </c>
      <c r="R8081" s="21" t="str">
        <f>IFERROR(__xludf.DUMMYFUNCTION("""COMPUTED_VALUE"""),"https://drive.google.com/file/d/1NohWh_itJrO8WH3UAVWjh0XzpJDrQuWF/view?usp=drivesdk")</f>
        <v>https://drive.google.com/file/d/1NohWh_itJrO8WH3UAVWjh0XzpJDrQuWF/view?usp=drivesdk</v>
      </c>
    </row>
    <row r="8082">
      <c r="A8082" s="17" t="str">
        <f>IFERROR(__xludf.DUMMYFUNCTION("""COMPUTED_VALUE"""),"")</f>
        <v/>
      </c>
      <c r="B8082" s="17" t="str">
        <f>IFERROR(__xludf.DUMMYFUNCTION("""COMPUTED_VALUE"""),"")</f>
        <v/>
      </c>
      <c r="C8082" s="17" t="str">
        <f>IFERROR(__xludf.DUMMYFUNCTION("""COMPUTED_VALUE"""),"")</f>
        <v/>
      </c>
      <c r="D8082" s="17" t="str">
        <f>IFERROR(__xludf.DUMMYFUNCTION("""COMPUTED_VALUE"""),"")</f>
        <v/>
      </c>
      <c r="E8082" s="17" t="str">
        <f>IFERROR(__xludf.DUMMYFUNCTION("""COMPUTED_VALUE"""),"")</f>
        <v/>
      </c>
      <c r="F8082" s="17" t="str">
        <f>IFERROR(__xludf.DUMMYFUNCTION("""COMPUTED_VALUE"""),"")</f>
        <v/>
      </c>
      <c r="G8082" s="17" t="str">
        <f>IFERROR(__xludf.DUMMYFUNCTION("""COMPUTED_VALUE"""),"")</f>
        <v/>
      </c>
      <c r="H8082" s="17" t="str">
        <f>IFERROR(__xludf.DUMMYFUNCTION("""COMPUTED_VALUE"""),"")</f>
        <v/>
      </c>
      <c r="I8082" s="17" t="str">
        <f>IFERROR(__xludf.DUMMYFUNCTION("""COMPUTED_VALUE"""),"")</f>
        <v/>
      </c>
      <c r="J8082" s="17" t="str">
        <f>IFERROR(__xludf.DUMMYFUNCTION("""COMPUTED_VALUE"""),"")</f>
        <v/>
      </c>
      <c r="K8082" s="17" t="str">
        <f>IFERROR(__xludf.DUMMYFUNCTION("""COMPUTED_VALUE"""),"")</f>
        <v/>
      </c>
      <c r="L8082" s="17" t="str">
        <f>IFERROR(__xludf.DUMMYFUNCTION("""COMPUTED_VALUE"""),"")</f>
        <v/>
      </c>
      <c r="M8082" s="17" t="str">
        <f>IFERROR(__xludf.DUMMYFUNCTION("""COMPUTED_VALUE"""),"")</f>
        <v/>
      </c>
      <c r="N8082" s="17" t="str">
        <f>IFERROR(__xludf.DUMMYFUNCTION("""COMPUTED_VALUE"""),"")</f>
        <v/>
      </c>
      <c r="O8082" s="17" t="str">
        <f>IFERROR(__xludf.DUMMYFUNCTION("""COMPUTED_VALUE"""),"")</f>
        <v/>
      </c>
      <c r="P8082" s="17" t="str">
        <f>IFERROR(__xludf.DUMMYFUNCTION("""COMPUTED_VALUE"""),"")</f>
        <v/>
      </c>
      <c r="Q8082" s="17" t="str">
        <f>IFERROR(__xludf.DUMMYFUNCTION("""COMPUTED_VALUE"""),"")</f>
        <v/>
      </c>
      <c r="R8082" s="17" t="str">
        <f>IFERROR(__xludf.DUMMYFUNCTION("""COMPUTED_VALUE"""),"")</f>
        <v/>
      </c>
    </row>
    <row r="8083">
      <c r="A8083" s="15">
        <f>IFERROR(__xludf.DUMMYFUNCTION("""COMPUTED_VALUE"""),45230.0)</f>
        <v>45230</v>
      </c>
      <c r="B8083" s="16" t="str">
        <f>IFERROR(__xludf.DUMMYFUNCTION("""COMPUTED_VALUE"""),"Jhon Anderson Ceballos Hernandez")</f>
        <v>Jhon Anderson Ceballos Hernandez</v>
      </c>
      <c r="C8083" s="15" t="str">
        <f>IFERROR(__xludf.DUMMYFUNCTION("""COMPUTED_VALUE"""),"MANIZALES")</f>
        <v>MANIZALES</v>
      </c>
      <c r="D8083" s="15" t="str">
        <f>IFERROR(__xludf.DUMMYFUNCTION("""COMPUTED_VALUE"""),"BOGOTÁ")</f>
        <v>BOGOTÁ</v>
      </c>
      <c r="E8083" s="15" t="str">
        <f>IFERROR(__xludf.DUMMYFUNCTION("""COMPUTED_VALUE"""),"Asociacion Agropecuaria Juana Maria")</f>
        <v>Asociacion Agropecuaria Juana Maria</v>
      </c>
      <c r="F8083" s="17" t="str">
        <f>IFERROR(__xludf.DUMMYFUNCTION("""COMPUTED_VALUE"""),"CRA 28 D # 70-46 barrio Palermo / Casa")</f>
        <v>CRA 28 D # 70-46 barrio Palermo / Casa</v>
      </c>
      <c r="G8083" s="15" t="str">
        <f>IFERROR(__xludf.DUMMYFUNCTION("""COMPUTED_VALUE"""),"Paula Ximena Bolaños Quintero")</f>
        <v>Paula Ximena Bolaños Quintero</v>
      </c>
      <c r="H8083" s="16">
        <f>IFERROR(__xludf.DUMMYFUNCTION("""COMPUTED_VALUE"""),16754.0)</f>
        <v>16754</v>
      </c>
      <c r="I8083" s="17"/>
      <c r="J8083" s="17"/>
      <c r="K8083" s="17"/>
      <c r="L8083" s="17">
        <f>IFERROR(__xludf.DUMMYFUNCTION("""COMPUTED_VALUE"""),3.10398467E9)</f>
        <v>3103984670</v>
      </c>
      <c r="M8083" s="17"/>
      <c r="N8083" s="17"/>
      <c r="O8083" s="17"/>
      <c r="P8083" s="17" t="b">
        <f>IFERROR(__xludf.DUMMYFUNCTION("""COMPUTED_VALUE"""),FALSE)</f>
        <v>0</v>
      </c>
      <c r="Q8083" s="20" t="str">
        <f>IFERROR(__xludf.DUMMYFUNCTION("""COMPUTED_VALUE"""),"")</f>
        <v/>
      </c>
      <c r="R8083" s="21" t="str">
        <f>IFERROR(__xludf.DUMMYFUNCTION("""COMPUTED_VALUE"""),"https://drive.google.com/file/d/1zUgCqTZJo_fZ0GU5r8hMs6TkC5DLBVS7/view?usp=drivesdk")</f>
        <v>https://drive.google.com/file/d/1zUgCqTZJo_fZ0GU5r8hMs6TkC5DLBVS7/view?usp=drivesdk</v>
      </c>
    </row>
    <row r="8084">
      <c r="A8084" s="15">
        <f>IFERROR(__xludf.DUMMYFUNCTION("""COMPUTED_VALUE"""),45230.0)</f>
        <v>45230</v>
      </c>
      <c r="B8084" s="16" t="str">
        <f>IFERROR(__xludf.DUMMYFUNCTION("""COMPUTED_VALUE"""),"Jhon Anderson Ceballos Hernandez")</f>
        <v>Jhon Anderson Ceballos Hernandez</v>
      </c>
      <c r="C8084" s="15" t="str">
        <f>IFERROR(__xludf.DUMMYFUNCTION("""COMPUTED_VALUE"""),"MANIZALES")</f>
        <v>MANIZALES</v>
      </c>
      <c r="D8084" s="15" t="str">
        <f>IFERROR(__xludf.DUMMYFUNCTION("""COMPUTED_VALUE"""),"BOGOTÁ")</f>
        <v>BOGOTÁ</v>
      </c>
      <c r="E8084" s="15" t="str">
        <f>IFERROR(__xludf.DUMMYFUNCTION("""COMPUTED_VALUE"""),"LINA PAOLA RAMIREZ GOMEZ - EVA MAZZITA")</f>
        <v>LINA PAOLA RAMIREZ GOMEZ - EVA MAZZITA</v>
      </c>
      <c r="F8084" s="17" t="str">
        <f>IFERROR(__xludf.DUMMYFUNCTION("""COMPUTED_VALUE"""),"Cra 28D#70-46 / Palermo")</f>
        <v>Cra 28D#70-46 / Palermo</v>
      </c>
      <c r="G8084" s="15" t="str">
        <f>IFERROR(__xludf.DUMMYFUNCTION("""COMPUTED_VALUE"""),"PAULA XIMENA BOLAÑOS")</f>
        <v>PAULA XIMENA BOLAÑOS</v>
      </c>
      <c r="H8084" s="16">
        <f>IFERROR(__xludf.DUMMYFUNCTION("""COMPUTED_VALUE"""),16772.0)</f>
        <v>16772</v>
      </c>
      <c r="I8084" s="17"/>
      <c r="J8084" s="17"/>
      <c r="K8084" s="17"/>
      <c r="L8084" s="17">
        <f>IFERROR(__xludf.DUMMYFUNCTION("""COMPUTED_VALUE"""),3.10398467E9)</f>
        <v>3103984670</v>
      </c>
      <c r="M8084" s="17"/>
      <c r="N8084" s="17"/>
      <c r="O8084" s="17"/>
      <c r="P8084" s="17" t="b">
        <f>IFERROR(__xludf.DUMMYFUNCTION("""COMPUTED_VALUE"""),FALSE)</f>
        <v>0</v>
      </c>
      <c r="Q8084" s="20" t="str">
        <f>IFERROR(__xludf.DUMMYFUNCTION("""COMPUTED_VALUE"""),"")</f>
        <v/>
      </c>
      <c r="R8084" s="21" t="str">
        <f>IFERROR(__xludf.DUMMYFUNCTION("""COMPUTED_VALUE"""),"https://drive.google.com/file/d/1-R72kUKVA_MCDtlVY0eiGT0fiNQ9xV4r/view?usp=drivesdk")</f>
        <v>https://drive.google.com/file/d/1-R72kUKVA_MCDtlVY0eiGT0fiNQ9xV4r/view?usp=drivesdk</v>
      </c>
    </row>
    <row r="8085">
      <c r="A8085" s="15">
        <f>IFERROR(__xludf.DUMMYFUNCTION("""COMPUTED_VALUE"""),45230.0)</f>
        <v>45230</v>
      </c>
      <c r="B8085" s="16" t="str">
        <f>IFERROR(__xludf.DUMMYFUNCTION("""COMPUTED_VALUE"""),"Jhon Anderson Ceballos Hernandez")</f>
        <v>Jhon Anderson Ceballos Hernandez</v>
      </c>
      <c r="C8085" s="15" t="str">
        <f>IFERROR(__xludf.DUMMYFUNCTION("""COMPUTED_VALUE"""),"MANIZALES")</f>
        <v>MANIZALES</v>
      </c>
      <c r="D8085" s="15" t="str">
        <f>IFERROR(__xludf.DUMMYFUNCTION("""COMPUTED_VALUE"""),"BOGOTÁ")</f>
        <v>BOGOTÁ</v>
      </c>
      <c r="E8085" s="15" t="str">
        <f>IFERROR(__xludf.DUMMYFUNCTION("""COMPUTED_VALUE"""),"Viiva Fermentados")</f>
        <v>Viiva Fermentados</v>
      </c>
      <c r="F8085" s="17" t="str">
        <f>IFERROR(__xludf.DUMMYFUNCTION("""COMPUTED_VALUE"""),"Cra 23 65a 41 / local P212")</f>
        <v>Cra 23 65a 41 / local P212</v>
      </c>
      <c r="G8085" s="15" t="str">
        <f>IFERROR(__xludf.DUMMYFUNCTION("""COMPUTED_VALUE"""),"Bien Estar Droguería Funcional")</f>
        <v>Bien Estar Droguería Funcional</v>
      </c>
      <c r="H8085" s="16">
        <f>IFERROR(__xludf.DUMMYFUNCTION("""COMPUTED_VALUE"""),16811.0)</f>
        <v>16811</v>
      </c>
      <c r="I8085" s="18">
        <f>IFERROR(__xludf.DUMMYFUNCTION("""COMPUTED_VALUE"""),27.0)</f>
        <v>27</v>
      </c>
      <c r="J8085" s="18">
        <f>IFERROR(__xludf.DUMMYFUNCTION("""COMPUTED_VALUE"""),18.0)</f>
        <v>18</v>
      </c>
      <c r="K8085" s="18">
        <f>IFERROR(__xludf.DUMMYFUNCTION("""COMPUTED_VALUE"""),18.0)</f>
        <v>18</v>
      </c>
      <c r="L8085" s="17">
        <f>IFERROR(__xludf.DUMMYFUNCTION("""COMPUTED_VALUE"""),3.217183658E9)</f>
        <v>3217183658</v>
      </c>
      <c r="M8085" s="17"/>
      <c r="N8085" s="17"/>
      <c r="O8085" s="17"/>
      <c r="P8085" s="17" t="b">
        <f>IFERROR(__xludf.DUMMYFUNCTION("""COMPUTED_VALUE"""),FALSE)</f>
        <v>0</v>
      </c>
      <c r="Q8085" s="20" t="str">
        <f>IFERROR(__xludf.DUMMYFUNCTION("""COMPUTED_VALUE"""),"")</f>
        <v/>
      </c>
      <c r="R8085" s="21" t="str">
        <f>IFERROR(__xludf.DUMMYFUNCTION("""COMPUTED_VALUE"""),"https://drive.google.com/file/d/1DD5TvmkBzkQdPhLzJ8VOrB8VkePJi9KS/view?usp=drivesdk")</f>
        <v>https://drive.google.com/file/d/1DD5TvmkBzkQdPhLzJ8VOrB8VkePJi9KS/view?usp=drivesdk</v>
      </c>
    </row>
    <row r="8086">
      <c r="A8086" s="15">
        <f>IFERROR(__xludf.DUMMYFUNCTION("""COMPUTED_VALUE"""),45230.0)</f>
        <v>45230</v>
      </c>
      <c r="B8086" s="16" t="str">
        <f>IFERROR(__xludf.DUMMYFUNCTION("""COMPUTED_VALUE"""),"Jhon Anderson Ceballos Hernandez")</f>
        <v>Jhon Anderson Ceballos Hernandez</v>
      </c>
      <c r="C8086" s="15" t="str">
        <f>IFERROR(__xludf.DUMMYFUNCTION("""COMPUTED_VALUE"""),"MANIZALES")</f>
        <v>MANIZALES</v>
      </c>
      <c r="D8086" s="15" t="str">
        <f>IFERROR(__xludf.DUMMYFUNCTION("""COMPUTED_VALUE"""),"ENVIGADO")</f>
        <v>ENVIGADO</v>
      </c>
      <c r="E8086" s="15" t="str">
        <f>IFERROR(__xludf.DUMMYFUNCTION("""COMPUTED_VALUE"""),"JUAN CAMILO CORDOBA")</f>
        <v>JUAN CAMILO CORDOBA</v>
      </c>
      <c r="F8086" s="17" t="str">
        <f>IFERROR(__xludf.DUMMYFUNCTION("""COMPUTED_VALUE"""),"Calle 66 a 26 a 51 / En el parqueadero del supermercado el ahorro vienssano")</f>
        <v>Calle 66 a 26 a 51 / En el parqueadero del supermercado el ahorro vienssano</v>
      </c>
      <c r="G8086" s="15" t="str">
        <f>IFERROR(__xludf.DUMMYFUNCTION("""COMPUTED_VALUE"""),"Vienssano")</f>
        <v>Vienssano</v>
      </c>
      <c r="H8086" s="16">
        <f>IFERROR(__xludf.DUMMYFUNCTION("""COMPUTED_VALUE"""),16768.0)</f>
        <v>16768</v>
      </c>
      <c r="I8086" s="17"/>
      <c r="J8086" s="17"/>
      <c r="K8086" s="17"/>
      <c r="L8086" s="17">
        <f>IFERROR(__xludf.DUMMYFUNCTION("""COMPUTED_VALUE"""),3.136077653E9)</f>
        <v>3136077653</v>
      </c>
      <c r="M8086" s="17"/>
      <c r="N8086" s="17"/>
      <c r="O8086" s="17"/>
      <c r="P8086" s="17" t="b">
        <f>IFERROR(__xludf.DUMMYFUNCTION("""COMPUTED_VALUE"""),FALSE)</f>
        <v>0</v>
      </c>
      <c r="Q8086" s="20" t="str">
        <f>IFERROR(__xludf.DUMMYFUNCTION("""COMPUTED_VALUE"""),"")</f>
        <v/>
      </c>
      <c r="R8086" s="21" t="str">
        <f>IFERROR(__xludf.DUMMYFUNCTION("""COMPUTED_VALUE"""),"https://drive.google.com/file/d/1adt-Ljria_tV528CeDab5qEhXpcVsHCi/view?usp=drivesdk")</f>
        <v>https://drive.google.com/file/d/1adt-Ljria_tV528CeDab5qEhXpcVsHCi/view?usp=drivesdk</v>
      </c>
    </row>
    <row r="8087">
      <c r="A8087" s="15">
        <f>IFERROR(__xludf.DUMMYFUNCTION("""COMPUTED_VALUE"""),45230.0)</f>
        <v>45230</v>
      </c>
      <c r="B8087" s="16" t="str">
        <f>IFERROR(__xludf.DUMMYFUNCTION("""COMPUTED_VALUE"""),"Jhon Anderson Ceballos Hernandez")</f>
        <v>Jhon Anderson Ceballos Hernandez</v>
      </c>
      <c r="C8087" s="15" t="str">
        <f>IFERROR(__xludf.DUMMYFUNCTION("""COMPUTED_VALUE"""),"MANIZALES")</f>
        <v>MANIZALES</v>
      </c>
      <c r="D8087" s="15" t="str">
        <f>IFERROR(__xludf.DUMMYFUNCTION("""COMPUTED_VALUE"""),"MEDELLÍN")</f>
        <v>MEDELLÍN</v>
      </c>
      <c r="E8087" s="15" t="str">
        <f>IFERROR(__xludf.DUMMYFUNCTION("""COMPUTED_VALUE"""),"Todo Bufala")</f>
        <v>Todo Bufala</v>
      </c>
      <c r="F8087" s="17" t="str">
        <f>IFERROR(__xludf.DUMMYFUNCTION("""COMPUTED_VALUE"""),"Calle 66 #23B - 211 / Edifico calle larga, local 5c")</f>
        <v>Calle 66 #23B - 211 / Edifico calle larga, local 5c</v>
      </c>
      <c r="G8087" s="15" t="str">
        <f>IFERROR(__xludf.DUMMYFUNCTION("""COMPUTED_VALUE"""),"Sebastian Perez Pineda")</f>
        <v>Sebastian Perez Pineda</v>
      </c>
      <c r="H8087" s="16">
        <f>IFERROR(__xludf.DUMMYFUNCTION("""COMPUTED_VALUE"""),16744.0)</f>
        <v>16744</v>
      </c>
      <c r="I8087" s="17"/>
      <c r="J8087" s="17"/>
      <c r="K8087" s="17"/>
      <c r="L8087" s="17">
        <f>IFERROR(__xludf.DUMMYFUNCTION("""COMPUTED_VALUE"""),3.106974621E9)</f>
        <v>3106974621</v>
      </c>
      <c r="M8087" s="17"/>
      <c r="N8087" s="17"/>
      <c r="O8087" s="17"/>
      <c r="P8087" s="17" t="b">
        <f>IFERROR(__xludf.DUMMYFUNCTION("""COMPUTED_VALUE"""),FALSE)</f>
        <v>0</v>
      </c>
      <c r="Q8087" s="20" t="str">
        <f>IFERROR(__xludf.DUMMYFUNCTION("""COMPUTED_VALUE"""),"")</f>
        <v/>
      </c>
      <c r="R8087" s="21" t="str">
        <f>IFERROR(__xludf.DUMMYFUNCTION("""COMPUTED_VALUE"""),"https://drive.google.com/file/d/1oEIeHJMBVxRJcBhVT1Bosg1kWLjxacdv/view?usp=drivesdk")</f>
        <v>https://drive.google.com/file/d/1oEIeHJMBVxRJcBhVT1Bosg1kWLjxacdv/view?usp=drivesdk</v>
      </c>
    </row>
    <row r="8088">
      <c r="A8088" s="15">
        <f>IFERROR(__xludf.DUMMYFUNCTION("""COMPUTED_VALUE"""),45230.0)</f>
        <v>45230</v>
      </c>
      <c r="B8088" s="16" t="str">
        <f>IFERROR(__xludf.DUMMYFUNCTION("""COMPUTED_VALUE"""),"Jhon Anderson Ceballos Hernandez")</f>
        <v>Jhon Anderson Ceballos Hernandez</v>
      </c>
      <c r="C8088" s="15" t="str">
        <f>IFERROR(__xludf.DUMMYFUNCTION("""COMPUTED_VALUE"""),"SABANETA")</f>
        <v>SABANETA</v>
      </c>
      <c r="D8088" s="15" t="str">
        <f>IFERROR(__xludf.DUMMYFUNCTION("""COMPUTED_VALUE"""),"BOGOTÁ")</f>
        <v>BOGOTÁ</v>
      </c>
      <c r="E8088" s="15" t="str">
        <f>IFERROR(__xludf.DUMMYFUNCTION("""COMPUTED_VALUE"""),"LINA PAOLA RAMIREZ GOMEZ - EVA MAZZITA")</f>
        <v>LINA PAOLA RAMIREZ GOMEZ - EVA MAZZITA</v>
      </c>
      <c r="F8088" s="17" t="str">
        <f>IFERROR(__xludf.DUMMYFUNCTION("""COMPUTED_VALUE"""),"Calle 72 sur #33-59 / Apto 100+A226/Selvatica")</f>
        <v>Calle 72 sur #33-59 / Apto 100+A226/Selvatica</v>
      </c>
      <c r="G8088" s="15" t="str">
        <f>IFERROR(__xludf.DUMMYFUNCTION("""COMPUTED_VALUE"""),"MARIA CATALINA GIRALDO VILLEGAS")</f>
        <v>MARIA CATALINA GIRALDO VILLEGAS</v>
      </c>
      <c r="H8088" s="16">
        <f>IFERROR(__xludf.DUMMYFUNCTION("""COMPUTED_VALUE"""),16815.0)</f>
        <v>16815</v>
      </c>
      <c r="I8088" s="17"/>
      <c r="J8088" s="17"/>
      <c r="K8088" s="17"/>
      <c r="L8088" s="17">
        <f>IFERROR(__xludf.DUMMYFUNCTION("""COMPUTED_VALUE"""),3.128236044E9)</f>
        <v>3128236044</v>
      </c>
      <c r="M8088" s="17"/>
      <c r="N8088" s="17"/>
      <c r="O8088" s="17"/>
      <c r="P8088" s="17" t="b">
        <f>IFERROR(__xludf.DUMMYFUNCTION("""COMPUTED_VALUE"""),FALSE)</f>
        <v>0</v>
      </c>
      <c r="Q8088" s="20" t="str">
        <f>IFERROR(__xludf.DUMMYFUNCTION("""COMPUTED_VALUE"""),"")</f>
        <v/>
      </c>
      <c r="R8088" s="21" t="str">
        <f>IFERROR(__xludf.DUMMYFUNCTION("""COMPUTED_VALUE"""),"https://drive.google.com/file/d/17RWW_pvkUvy4p5VTLaFSXLXTDNJZaq2Q/view?usp=drivesdk")</f>
        <v>https://drive.google.com/file/d/17RWW_pvkUvy4p5VTLaFSXLXTDNJZaq2Q/view?usp=drivesdk</v>
      </c>
    </row>
    <row r="8089">
      <c r="A8089" s="15">
        <f>IFERROR(__xludf.DUMMYFUNCTION("""COMPUTED_VALUE"""),45230.0)</f>
        <v>45230</v>
      </c>
      <c r="B8089" s="16" t="str">
        <f>IFERROR(__xludf.DUMMYFUNCTION("""COMPUTED_VALUE"""),"Jhon Anderson Ceballos Hernandez")</f>
        <v>Jhon Anderson Ceballos Hernandez</v>
      </c>
      <c r="C8089" s="15" t="str">
        <f>IFERROR(__xludf.DUMMYFUNCTION("""COMPUTED_VALUE"""),"SABANETA")</f>
        <v>SABANETA</v>
      </c>
      <c r="D8089" s="15" t="str">
        <f>IFERROR(__xludf.DUMMYFUNCTION("""COMPUTED_VALUE"""),"BOGOTÁ")</f>
        <v>BOGOTÁ</v>
      </c>
      <c r="E8089" s="15" t="str">
        <f>IFERROR(__xludf.DUMMYFUNCTION("""COMPUTED_VALUE"""),"LINA PAOLA RAMIREZ GOMEZ - EVA MAZZITA")</f>
        <v>LINA PAOLA RAMIREZ GOMEZ - EVA MAZZITA</v>
      </c>
      <c r="F8089" s="17" t="str">
        <f>IFERROR(__xludf.DUMMYFUNCTION("""COMPUTED_VALUE"""),"Cr 35 # 65 Sur 135 / EDIFICIO DUBLIN apto 2804 Las lomitas")</f>
        <v>Cr 35 # 65 Sur 135 / EDIFICIO DUBLIN apto 2804 Las lomitas</v>
      </c>
      <c r="G8089" s="15" t="str">
        <f>IFERROR(__xludf.DUMMYFUNCTION("""COMPUTED_VALUE"""),"VANESSA BEDOYA")</f>
        <v>VANESSA BEDOYA</v>
      </c>
      <c r="H8089" s="16">
        <f>IFERROR(__xludf.DUMMYFUNCTION("""COMPUTED_VALUE"""),16778.0)</f>
        <v>16778</v>
      </c>
      <c r="I8089" s="17"/>
      <c r="J8089" s="17"/>
      <c r="K8089" s="17"/>
      <c r="L8089" s="17">
        <f>IFERROR(__xludf.DUMMYFUNCTION("""COMPUTED_VALUE"""),3.1847212E9)</f>
        <v>3184721200</v>
      </c>
      <c r="M8089" s="17"/>
      <c r="N8089" s="17"/>
      <c r="O8089" s="17"/>
      <c r="P8089" s="17" t="b">
        <f>IFERROR(__xludf.DUMMYFUNCTION("""COMPUTED_VALUE"""),FALSE)</f>
        <v>0</v>
      </c>
      <c r="Q8089" s="20" t="str">
        <f>IFERROR(__xludf.DUMMYFUNCTION("""COMPUTED_VALUE"""),"")</f>
        <v/>
      </c>
      <c r="R8089" s="21" t="str">
        <f>IFERROR(__xludf.DUMMYFUNCTION("""COMPUTED_VALUE"""),"https://drive.google.com/file/d/1FB42n7rBLPdZvU3jL8D489maRjj_oZKl/view?usp=drivesdk")</f>
        <v>https://drive.google.com/file/d/1FB42n7rBLPdZvU3jL8D489maRjj_oZKl/view?usp=drivesdk</v>
      </c>
    </row>
    <row r="8090">
      <c r="A8090" s="17" t="str">
        <f>IFERROR(__xludf.DUMMYFUNCTION("""COMPUTED_VALUE"""),"")</f>
        <v/>
      </c>
      <c r="B8090" s="17" t="str">
        <f>IFERROR(__xludf.DUMMYFUNCTION("""COMPUTED_VALUE"""),"")</f>
        <v/>
      </c>
      <c r="C8090" s="17" t="str">
        <f>IFERROR(__xludf.DUMMYFUNCTION("""COMPUTED_VALUE"""),"")</f>
        <v/>
      </c>
      <c r="D8090" s="17" t="str">
        <f>IFERROR(__xludf.DUMMYFUNCTION("""COMPUTED_VALUE"""),"")</f>
        <v/>
      </c>
      <c r="E8090" s="17" t="str">
        <f>IFERROR(__xludf.DUMMYFUNCTION("""COMPUTED_VALUE"""),"")</f>
        <v/>
      </c>
      <c r="F8090" s="17" t="str">
        <f>IFERROR(__xludf.DUMMYFUNCTION("""COMPUTED_VALUE"""),"")</f>
        <v/>
      </c>
      <c r="G8090" s="17" t="str">
        <f>IFERROR(__xludf.DUMMYFUNCTION("""COMPUTED_VALUE"""),"")</f>
        <v/>
      </c>
      <c r="H8090" s="17" t="str">
        <f>IFERROR(__xludf.DUMMYFUNCTION("""COMPUTED_VALUE"""),"")</f>
        <v/>
      </c>
      <c r="I8090" s="17" t="str">
        <f>IFERROR(__xludf.DUMMYFUNCTION("""COMPUTED_VALUE"""),"")</f>
        <v/>
      </c>
      <c r="J8090" s="17" t="str">
        <f>IFERROR(__xludf.DUMMYFUNCTION("""COMPUTED_VALUE"""),"")</f>
        <v/>
      </c>
      <c r="K8090" s="17" t="str">
        <f>IFERROR(__xludf.DUMMYFUNCTION("""COMPUTED_VALUE"""),"")</f>
        <v/>
      </c>
      <c r="L8090" s="17" t="str">
        <f>IFERROR(__xludf.DUMMYFUNCTION("""COMPUTED_VALUE"""),"")</f>
        <v/>
      </c>
      <c r="M8090" s="17" t="str">
        <f>IFERROR(__xludf.DUMMYFUNCTION("""COMPUTED_VALUE"""),"")</f>
        <v/>
      </c>
      <c r="N8090" s="17" t="str">
        <f>IFERROR(__xludf.DUMMYFUNCTION("""COMPUTED_VALUE"""),"")</f>
        <v/>
      </c>
      <c r="O8090" s="17" t="str">
        <f>IFERROR(__xludf.DUMMYFUNCTION("""COMPUTED_VALUE"""),"")</f>
        <v/>
      </c>
      <c r="P8090" s="17" t="str">
        <f>IFERROR(__xludf.DUMMYFUNCTION("""COMPUTED_VALUE"""),"")</f>
        <v/>
      </c>
      <c r="Q8090" s="17" t="str">
        <f>IFERROR(__xludf.DUMMYFUNCTION("""COMPUTED_VALUE"""),"")</f>
        <v/>
      </c>
      <c r="R8090" s="17" t="str">
        <f>IFERROR(__xludf.DUMMYFUNCTION("""COMPUTED_VALUE"""),"")</f>
        <v/>
      </c>
    </row>
    <row r="8091">
      <c r="A8091" s="15">
        <f>IFERROR(__xludf.DUMMYFUNCTION("""COMPUTED_VALUE"""),45230.0)</f>
        <v>45230</v>
      </c>
      <c r="B8091" s="16" t="str">
        <f>IFERROR(__xludf.DUMMYFUNCTION("""COMPUTED_VALUE"""),"Johan Alexander Escobar Arroyo ")</f>
        <v>Johan Alexander Escobar Arroyo </v>
      </c>
      <c r="C8091" s="15" t="str">
        <f>IFERROR(__xludf.DUMMYFUNCTION("""COMPUTED_VALUE"""),"CALI")</f>
        <v>CALI</v>
      </c>
      <c r="D8091" s="15" t="str">
        <f>IFERROR(__xludf.DUMMYFUNCTION("""COMPUTED_VALUE"""),"BOGOTÁ")</f>
        <v>BOGOTÁ</v>
      </c>
      <c r="E8091" s="15" t="str">
        <f>IFERROR(__xludf.DUMMYFUNCTION("""COMPUTED_VALUE"""),"Asociacion Agropecuaria Juana Maria")</f>
        <v>Asociacion Agropecuaria Juana Maria</v>
      </c>
      <c r="F8091" s="17" t="str">
        <f>IFERROR(__xludf.DUMMYFUNCTION("""COMPUTED_VALUE"""),"Carrera 17B # 33E-33 / La Floresta vieja")</f>
        <v>Carrera 17B # 33E-33 / La Floresta vieja</v>
      </c>
      <c r="G8091" s="15" t="str">
        <f>IFERROR(__xludf.DUMMYFUNCTION("""COMPUTED_VALUE"""),"Johanna acuña Molina")</f>
        <v>Johanna acuña Molina</v>
      </c>
      <c r="H8091" s="16">
        <f>IFERROR(__xludf.DUMMYFUNCTION("""COMPUTED_VALUE"""),16750.0)</f>
        <v>16750</v>
      </c>
      <c r="I8091" s="17"/>
      <c r="J8091" s="17"/>
      <c r="K8091" s="17"/>
      <c r="L8091" s="17">
        <f>IFERROR(__xludf.DUMMYFUNCTION("""COMPUTED_VALUE"""),3.218700343E9)</f>
        <v>3218700343</v>
      </c>
      <c r="M8091" s="17"/>
      <c r="N8091" s="17"/>
      <c r="O8091" s="17"/>
      <c r="P8091" s="17" t="b">
        <f>IFERROR(__xludf.DUMMYFUNCTION("""COMPUTED_VALUE"""),FALSE)</f>
        <v>0</v>
      </c>
      <c r="Q8091" s="20" t="str">
        <f>IFERROR(__xludf.DUMMYFUNCTION("""COMPUTED_VALUE"""),"")</f>
        <v/>
      </c>
      <c r="R8091" s="21" t="str">
        <f>IFERROR(__xludf.DUMMYFUNCTION("""COMPUTED_VALUE"""),"https://drive.google.com/file/d/1tsoUmvq0hxnx_AGBj9U-LZkGBM0N5ipt/view?usp=drivesdk")</f>
        <v>https://drive.google.com/file/d/1tsoUmvq0hxnx_AGBj9U-LZkGBM0N5ipt/view?usp=drivesdk</v>
      </c>
    </row>
    <row r="8092">
      <c r="A8092" s="15">
        <f>IFERROR(__xludf.DUMMYFUNCTION("""COMPUTED_VALUE"""),45230.0)</f>
        <v>45230</v>
      </c>
      <c r="B8092" s="16" t="str">
        <f>IFERROR(__xludf.DUMMYFUNCTION("""COMPUTED_VALUE"""),"Johan Alexander Escobar Arroyo ")</f>
        <v>Johan Alexander Escobar Arroyo </v>
      </c>
      <c r="C8092" s="15" t="str">
        <f>IFERROR(__xludf.DUMMYFUNCTION("""COMPUTED_VALUE"""),"CALI")</f>
        <v>CALI</v>
      </c>
      <c r="D8092" s="15" t="str">
        <f>IFERROR(__xludf.DUMMYFUNCTION("""COMPUTED_VALUE"""),"BOGOTÁ")</f>
        <v>BOGOTÁ</v>
      </c>
      <c r="E8092" s="15" t="str">
        <f>IFERROR(__xludf.DUMMYFUNCTION("""COMPUTED_VALUE"""),"Instinto alimento vital")</f>
        <v>Instinto alimento vital</v>
      </c>
      <c r="F8092" s="17" t="str">
        <f>IFERROR(__xludf.DUMMYFUNCTION("""COMPUTED_VALUE"""),"CALLE 34 N # 2B N 33 / MERCANCIA REQUIERE REFRIGERACION")</f>
        <v>CALLE 34 N # 2B N 33 / MERCANCIA REQUIERE REFRIGERACION</v>
      </c>
      <c r="G8092" s="15" t="str">
        <f>IFERROR(__xludf.DUMMYFUNCTION("""COMPUTED_VALUE"""),"BODEGA VELOCITY CALI")</f>
        <v>BODEGA VELOCITY CALI</v>
      </c>
      <c r="H8092" s="16">
        <f>IFERROR(__xludf.DUMMYFUNCTION("""COMPUTED_VALUE"""),16828.0)</f>
        <v>16828</v>
      </c>
      <c r="I8092" s="17"/>
      <c r="J8092" s="17"/>
      <c r="K8092" s="17"/>
      <c r="L8092" s="17">
        <f>IFERROR(__xludf.DUMMYFUNCTION("""COMPUTED_VALUE"""),3.15586906E9)</f>
        <v>3155869060</v>
      </c>
      <c r="M8092" s="17"/>
      <c r="N8092" s="17"/>
      <c r="O8092" s="17"/>
      <c r="P8092" s="17" t="b">
        <f>IFERROR(__xludf.DUMMYFUNCTION("""COMPUTED_VALUE"""),FALSE)</f>
        <v>0</v>
      </c>
      <c r="Q8092" s="20" t="str">
        <f>IFERROR(__xludf.DUMMYFUNCTION("""COMPUTED_VALUE"""),"")</f>
        <v/>
      </c>
      <c r="R8092" s="21" t="str">
        <f>IFERROR(__xludf.DUMMYFUNCTION("""COMPUTED_VALUE"""),"https://drive.google.com/file/d/1AZZS_CLpNt6a0wg8wO_hoSC_f5-K7Gl_/view?usp=drivesdk")</f>
        <v>https://drive.google.com/file/d/1AZZS_CLpNt6a0wg8wO_hoSC_f5-K7Gl_/view?usp=drivesdk</v>
      </c>
    </row>
    <row r="8093">
      <c r="A8093" s="15">
        <f>IFERROR(__xludf.DUMMYFUNCTION("""COMPUTED_VALUE"""),45230.0)</f>
        <v>45230</v>
      </c>
      <c r="B8093" s="16" t="str">
        <f>IFERROR(__xludf.DUMMYFUNCTION("""COMPUTED_VALUE"""),"Johan Alexander Escobar Arroyo ")</f>
        <v>Johan Alexander Escobar Arroyo </v>
      </c>
      <c r="C8093" s="15" t="str">
        <f>IFERROR(__xludf.DUMMYFUNCTION("""COMPUTED_VALUE"""),"CALI")</f>
        <v>CALI</v>
      </c>
      <c r="D8093" s="15" t="str">
        <f>IFERROR(__xludf.DUMMYFUNCTION("""COMPUTED_VALUE"""),"BOGOTÁ")</f>
        <v>BOGOTÁ</v>
      </c>
      <c r="E8093" s="15" t="str">
        <f>IFERROR(__xludf.DUMMYFUNCTION("""COMPUTED_VALUE"""),"LINA PAOLA RAMIREZ GOMEZ - EVA MAZZITA")</f>
        <v>LINA PAOLA RAMIREZ GOMEZ - EVA MAZZITA</v>
      </c>
      <c r="F8093" s="17" t="str">
        <f>IFERROR(__xludf.DUMMYFUNCTION("""COMPUTED_VALUE"""),"Calle 13C#72-53 / Apto 203E/ Unidad Bosques de las Quinta")</f>
        <v>Calle 13C#72-53 / Apto 203E/ Unidad Bosques de las Quinta</v>
      </c>
      <c r="G8093" s="15" t="str">
        <f>IFERROR(__xludf.DUMMYFUNCTION("""COMPUTED_VALUE"""),"CATALINA MEDINA")</f>
        <v>CATALINA MEDINA</v>
      </c>
      <c r="H8093" s="16">
        <f>IFERROR(__xludf.DUMMYFUNCTION("""COMPUTED_VALUE"""),16782.0)</f>
        <v>16782</v>
      </c>
      <c r="I8093" s="17"/>
      <c r="J8093" s="17"/>
      <c r="K8093" s="17"/>
      <c r="L8093" s="17">
        <f>IFERROR(__xludf.DUMMYFUNCTION("""COMPUTED_VALUE"""),3.104493781E9)</f>
        <v>3104493781</v>
      </c>
      <c r="M8093" s="17"/>
      <c r="N8093" s="17"/>
      <c r="O8093" s="17"/>
      <c r="P8093" s="17" t="b">
        <f>IFERROR(__xludf.DUMMYFUNCTION("""COMPUTED_VALUE"""),FALSE)</f>
        <v>0</v>
      </c>
      <c r="Q8093" s="20" t="str">
        <f>IFERROR(__xludf.DUMMYFUNCTION("""COMPUTED_VALUE"""),"")</f>
        <v/>
      </c>
      <c r="R8093" s="21" t="str">
        <f>IFERROR(__xludf.DUMMYFUNCTION("""COMPUTED_VALUE"""),"https://drive.google.com/file/d/17IZjsmZaMxQ7r9f02ZFaYVcv-VmR-F3q/view?usp=drivesdk")</f>
        <v>https://drive.google.com/file/d/17IZjsmZaMxQ7r9f02ZFaYVcv-VmR-F3q/view?usp=drivesdk</v>
      </c>
    </row>
    <row r="8094">
      <c r="A8094" s="15">
        <f>IFERROR(__xludf.DUMMYFUNCTION("""COMPUTED_VALUE"""),45230.0)</f>
        <v>45230</v>
      </c>
      <c r="B8094" s="16" t="str">
        <f>IFERROR(__xludf.DUMMYFUNCTION("""COMPUTED_VALUE"""),"Johan Alexander Escobar Arroyo ")</f>
        <v>Johan Alexander Escobar Arroyo </v>
      </c>
      <c r="C8094" s="15" t="str">
        <f>IFERROR(__xludf.DUMMYFUNCTION("""COMPUTED_VALUE"""),"CALI")</f>
        <v>CALI</v>
      </c>
      <c r="D8094" s="15" t="str">
        <f>IFERROR(__xludf.DUMMYFUNCTION("""COMPUTED_VALUE"""),"BOGOTÁ")</f>
        <v>BOGOTÁ</v>
      </c>
      <c r="E8094" s="15" t="str">
        <f>IFERROR(__xludf.DUMMYFUNCTION("""COMPUTED_VALUE"""),"LINA PAOLA RAMIREZ GOMEZ - EVA MAZZITA")</f>
        <v>LINA PAOLA RAMIREZ GOMEZ - EVA MAZZITA</v>
      </c>
      <c r="F8094" s="17" t="str">
        <f>IFERROR(__xludf.DUMMYFUNCTION("""COMPUTED_VALUE"""),"Calle 34 #94-143 / Jardin del lili/ casa 08m")</f>
        <v>Calle 34 #94-143 / Jardin del lili/ casa 08m</v>
      </c>
      <c r="G8094" s="15" t="str">
        <f>IFERROR(__xludf.DUMMYFUNCTION("""COMPUTED_VALUE"""),"MAYLIN CAROLINA MUÑOZ RAMOS")</f>
        <v>MAYLIN CAROLINA MUÑOZ RAMOS</v>
      </c>
      <c r="H8094" s="16">
        <f>IFERROR(__xludf.DUMMYFUNCTION("""COMPUTED_VALUE"""),16785.0)</f>
        <v>16785</v>
      </c>
      <c r="I8094" s="17"/>
      <c r="J8094" s="17"/>
      <c r="K8094" s="17"/>
      <c r="L8094" s="17">
        <f>IFERROR(__xludf.DUMMYFUNCTION("""COMPUTED_VALUE"""),3.118376725E9)</f>
        <v>3118376725</v>
      </c>
      <c r="M8094" s="17"/>
      <c r="N8094" s="17"/>
      <c r="O8094" s="17"/>
      <c r="P8094" s="17" t="b">
        <f>IFERROR(__xludf.DUMMYFUNCTION("""COMPUTED_VALUE"""),FALSE)</f>
        <v>0</v>
      </c>
      <c r="Q8094" s="20" t="str">
        <f>IFERROR(__xludf.DUMMYFUNCTION("""COMPUTED_VALUE"""),"")</f>
        <v/>
      </c>
      <c r="R8094" s="21" t="str">
        <f>IFERROR(__xludf.DUMMYFUNCTION("""COMPUTED_VALUE"""),"https://drive.google.com/file/d/1hmZoFEnHc2P65f5rqPyyLb57EFnm8a5y/view?usp=drivesdk")</f>
        <v>https://drive.google.com/file/d/1hmZoFEnHc2P65f5rqPyyLb57EFnm8a5y/view?usp=drivesdk</v>
      </c>
    </row>
    <row r="8095">
      <c r="A8095" s="15">
        <f>IFERROR(__xludf.DUMMYFUNCTION("""COMPUTED_VALUE"""),45230.0)</f>
        <v>45230</v>
      </c>
      <c r="B8095" s="16" t="str">
        <f>IFERROR(__xludf.DUMMYFUNCTION("""COMPUTED_VALUE"""),"Johan Alexander Escobar Arroyo ")</f>
        <v>Johan Alexander Escobar Arroyo </v>
      </c>
      <c r="C8095" s="15" t="str">
        <f>IFERROR(__xludf.DUMMYFUNCTION("""COMPUTED_VALUE"""),"CALI")</f>
        <v>CALI</v>
      </c>
      <c r="D8095" s="15" t="str">
        <f>IFERROR(__xludf.DUMMYFUNCTION("""COMPUTED_VALUE"""),"BOGOTÁ")</f>
        <v>BOGOTÁ</v>
      </c>
      <c r="E8095" s="15" t="str">
        <f>IFERROR(__xludf.DUMMYFUNCTION("""COMPUTED_VALUE"""),"LINA PAOLA RAMIREZ GOMEZ - EVA MAZZITA")</f>
        <v>LINA PAOLA RAMIREZ GOMEZ - EVA MAZZITA</v>
      </c>
      <c r="F8095" s="17" t="str">
        <f>IFERROR(__xludf.DUMMYFUNCTION("""COMPUTED_VALUE"""),"Calle 4#73-91 / Apto 204/Torre 1/ Unidad quintas de la bocana")</f>
        <v>Calle 4#73-91 / Apto 204/Torre 1/ Unidad quintas de la bocana</v>
      </c>
      <c r="G8095" s="15" t="str">
        <f>IFERROR(__xludf.DUMMYFUNCTION("""COMPUTED_VALUE"""),"MANUELLA TROGER")</f>
        <v>MANUELLA TROGER</v>
      </c>
      <c r="H8095" s="16">
        <f>IFERROR(__xludf.DUMMYFUNCTION("""COMPUTED_VALUE"""),16780.0)</f>
        <v>16780</v>
      </c>
      <c r="I8095" s="17"/>
      <c r="J8095" s="17"/>
      <c r="K8095" s="17"/>
      <c r="L8095" s="17">
        <f>IFERROR(__xludf.DUMMYFUNCTION("""COMPUTED_VALUE"""),3.168649168E9)</f>
        <v>3168649168</v>
      </c>
      <c r="M8095" s="17"/>
      <c r="N8095" s="17"/>
      <c r="O8095" s="17"/>
      <c r="P8095" s="17" t="b">
        <f>IFERROR(__xludf.DUMMYFUNCTION("""COMPUTED_VALUE"""),FALSE)</f>
        <v>0</v>
      </c>
      <c r="Q8095" s="20" t="str">
        <f>IFERROR(__xludf.DUMMYFUNCTION("""COMPUTED_VALUE"""),"")</f>
        <v/>
      </c>
      <c r="R8095" s="21" t="str">
        <f>IFERROR(__xludf.DUMMYFUNCTION("""COMPUTED_VALUE"""),"https://drive.google.com/file/d/1pKL3QMGcPpLTIWwo_iEShPhcbbPtHebS/view?usp=drivesdk")</f>
        <v>https://drive.google.com/file/d/1pKL3QMGcPpLTIWwo_iEShPhcbbPtHebS/view?usp=drivesdk</v>
      </c>
    </row>
    <row r="8096">
      <c r="A8096" s="15">
        <f>IFERROR(__xludf.DUMMYFUNCTION("""COMPUTED_VALUE"""),45230.0)</f>
        <v>45230</v>
      </c>
      <c r="B8096" s="16" t="str">
        <f>IFERROR(__xludf.DUMMYFUNCTION("""COMPUTED_VALUE"""),"Johan Alexander Escobar Arroyo ")</f>
        <v>Johan Alexander Escobar Arroyo </v>
      </c>
      <c r="C8096" s="15" t="str">
        <f>IFERROR(__xludf.DUMMYFUNCTION("""COMPUTED_VALUE"""),"CALI")</f>
        <v>CALI</v>
      </c>
      <c r="D8096" s="15" t="str">
        <f>IFERROR(__xludf.DUMMYFUNCTION("""COMPUTED_VALUE"""),"BOGOTÁ")</f>
        <v>BOGOTÁ</v>
      </c>
      <c r="E8096" s="15" t="str">
        <f>IFERROR(__xludf.DUMMYFUNCTION("""COMPUTED_VALUE"""),"LINA PAOLA RAMIREZ GOMEZ - EVA MAZZITA")</f>
        <v>LINA PAOLA RAMIREZ GOMEZ - EVA MAZZITA</v>
      </c>
      <c r="F8096" s="17" t="str">
        <f>IFERROR(__xludf.DUMMYFUNCTION("""COMPUTED_VALUE"""),"Carrera 1 Bis #56-84 / Torres de Comfandi/Apto105")</f>
        <v>Carrera 1 Bis #56-84 / Torres de Comfandi/Apto105</v>
      </c>
      <c r="G8096" s="15" t="str">
        <f>IFERROR(__xludf.DUMMYFUNCTION("""COMPUTED_VALUE"""),"JENNIFER VALENCIA")</f>
        <v>JENNIFER VALENCIA</v>
      </c>
      <c r="H8096" s="16">
        <f>IFERROR(__xludf.DUMMYFUNCTION("""COMPUTED_VALUE"""),16781.0)</f>
        <v>16781</v>
      </c>
      <c r="I8096" s="17"/>
      <c r="J8096" s="17"/>
      <c r="K8096" s="17"/>
      <c r="L8096" s="17">
        <f>IFERROR(__xludf.DUMMYFUNCTION("""COMPUTED_VALUE"""),3.147767507E9)</f>
        <v>3147767507</v>
      </c>
      <c r="M8096" s="17"/>
      <c r="N8096" s="17"/>
      <c r="O8096" s="17"/>
      <c r="P8096" s="17" t="b">
        <f>IFERROR(__xludf.DUMMYFUNCTION("""COMPUTED_VALUE"""),FALSE)</f>
        <v>0</v>
      </c>
      <c r="Q8096" s="20" t="str">
        <f>IFERROR(__xludf.DUMMYFUNCTION("""COMPUTED_VALUE"""),"")</f>
        <v/>
      </c>
      <c r="R8096" s="21" t="str">
        <f>IFERROR(__xludf.DUMMYFUNCTION("""COMPUTED_VALUE"""),"https://drive.google.com/file/d/1iuXy72ifvSdEHmFSt0N6jw9aYD5tYrZu/view?usp=drivesdk")</f>
        <v>https://drive.google.com/file/d/1iuXy72ifvSdEHmFSt0N6jw9aYD5tYrZu/view?usp=drivesdk</v>
      </c>
    </row>
    <row r="8097">
      <c r="A8097" s="15">
        <f>IFERROR(__xludf.DUMMYFUNCTION("""COMPUTED_VALUE"""),45230.0)</f>
        <v>45230</v>
      </c>
      <c r="B8097" s="16" t="str">
        <f>IFERROR(__xludf.DUMMYFUNCTION("""COMPUTED_VALUE"""),"Johan Alexander Escobar Arroyo ")</f>
        <v>Johan Alexander Escobar Arroyo </v>
      </c>
      <c r="C8097" s="15" t="str">
        <f>IFERROR(__xludf.DUMMYFUNCTION("""COMPUTED_VALUE"""),"CALI")</f>
        <v>CALI</v>
      </c>
      <c r="D8097" s="15" t="str">
        <f>IFERROR(__xludf.DUMMYFUNCTION("""COMPUTED_VALUE"""),"BOGOTÁ")</f>
        <v>BOGOTÁ</v>
      </c>
      <c r="E8097" s="15" t="str">
        <f>IFERROR(__xludf.DUMMYFUNCTION("""COMPUTED_VALUE"""),"LINA PAOLA RAMIREZ GOMEZ - EVA MAZZITA")</f>
        <v>LINA PAOLA RAMIREZ GOMEZ - EVA MAZZITA</v>
      </c>
      <c r="F8097" s="17" t="str">
        <f>IFERROR(__xludf.DUMMYFUNCTION("""COMPUTED_VALUE"""),"Clle 13 A # 68-61 apto 204 / bloque 4 paseo de la castellana, barrio la hacienda")</f>
        <v>Clle 13 A # 68-61 apto 204 / bloque 4 paseo de la castellana, barrio la hacienda</v>
      </c>
      <c r="G8097" s="15" t="str">
        <f>IFERROR(__xludf.DUMMYFUNCTION("""COMPUTED_VALUE"""),"SANDRA RINCON")</f>
        <v>SANDRA RINCON</v>
      </c>
      <c r="H8097" s="16">
        <f>IFERROR(__xludf.DUMMYFUNCTION("""COMPUTED_VALUE"""),16783.0)</f>
        <v>16783</v>
      </c>
      <c r="I8097" s="17"/>
      <c r="J8097" s="17"/>
      <c r="K8097" s="17"/>
      <c r="L8097" s="17">
        <f>IFERROR(__xludf.DUMMYFUNCTION("""COMPUTED_VALUE"""),3.116009349E9)</f>
        <v>3116009349</v>
      </c>
      <c r="M8097" s="17"/>
      <c r="N8097" s="17"/>
      <c r="O8097" s="17"/>
      <c r="P8097" s="17" t="b">
        <f>IFERROR(__xludf.DUMMYFUNCTION("""COMPUTED_VALUE"""),FALSE)</f>
        <v>0</v>
      </c>
      <c r="Q8097" s="20" t="str">
        <f>IFERROR(__xludf.DUMMYFUNCTION("""COMPUTED_VALUE"""),"")</f>
        <v/>
      </c>
      <c r="R8097" s="21" t="str">
        <f>IFERROR(__xludf.DUMMYFUNCTION("""COMPUTED_VALUE"""),"https://drive.google.com/file/d/1Z21M2-0Y-B_X-C8casUwXKoCRu7RpVAA/view?usp=drivesdk")</f>
        <v>https://drive.google.com/file/d/1Z21M2-0Y-B_X-C8casUwXKoCRu7RpVAA/view?usp=drivesdk</v>
      </c>
    </row>
    <row r="8098">
      <c r="A8098" s="15">
        <f>IFERROR(__xludf.DUMMYFUNCTION("""COMPUTED_VALUE"""),45230.0)</f>
        <v>45230</v>
      </c>
      <c r="B8098" s="16" t="str">
        <f>IFERROR(__xludf.DUMMYFUNCTION("""COMPUTED_VALUE"""),"Johan Alexander Escobar Arroyo ")</f>
        <v>Johan Alexander Escobar Arroyo </v>
      </c>
      <c r="C8098" s="15" t="str">
        <f>IFERROR(__xludf.DUMMYFUNCTION("""COMPUTED_VALUE"""),"CALI")</f>
        <v>CALI</v>
      </c>
      <c r="D8098" s="15" t="str">
        <f>IFERROR(__xludf.DUMMYFUNCTION("""COMPUTED_VALUE"""),"BOGOTÁ")</f>
        <v>BOGOTÁ</v>
      </c>
      <c r="E8098" s="15" t="str">
        <f>IFERROR(__xludf.DUMMYFUNCTION("""COMPUTED_VALUE"""),"LINA PAOLA RAMIREZ GOMEZ - EVA MAZZITA")</f>
        <v>LINA PAOLA RAMIREZ GOMEZ - EVA MAZZITA</v>
      </c>
      <c r="F8098" s="17" t="str">
        <f>IFERROR(__xludf.DUMMYFUNCTION("""COMPUTED_VALUE"""),"Recibe: Jhonatan Castillo Cel.: 3128308962 Calle 6 # 29-104 / avenida Roosvelt Cali. Local Ferrollaves Ortiz")</f>
        <v>Recibe: Jhonatan Castillo Cel.: 3128308962 Calle 6 # 29-104 / avenida Roosvelt Cali. Local Ferrollaves Ortiz</v>
      </c>
      <c r="G8098" s="15" t="str">
        <f>IFERROR(__xludf.DUMMYFUNCTION("""COMPUTED_VALUE"""),"YINA MARCELA GUERRERO ESPAÑA")</f>
        <v>YINA MARCELA GUERRERO ESPAÑA</v>
      </c>
      <c r="H8098" s="16">
        <f>IFERROR(__xludf.DUMMYFUNCTION("""COMPUTED_VALUE"""),16784.0)</f>
        <v>16784</v>
      </c>
      <c r="I8098" s="17"/>
      <c r="J8098" s="17"/>
      <c r="K8098" s="17"/>
      <c r="L8098" s="17">
        <f>IFERROR(__xludf.DUMMYFUNCTION("""COMPUTED_VALUE"""),3.157731149E9)</f>
        <v>3157731149</v>
      </c>
      <c r="M8098" s="17"/>
      <c r="N8098" s="17"/>
      <c r="O8098" s="17"/>
      <c r="P8098" s="17" t="b">
        <f>IFERROR(__xludf.DUMMYFUNCTION("""COMPUTED_VALUE"""),FALSE)</f>
        <v>0</v>
      </c>
      <c r="Q8098" s="20" t="str">
        <f>IFERROR(__xludf.DUMMYFUNCTION("""COMPUTED_VALUE"""),"")</f>
        <v/>
      </c>
      <c r="R8098" s="21" t="str">
        <f>IFERROR(__xludf.DUMMYFUNCTION("""COMPUTED_VALUE"""),"https://drive.google.com/file/d/1osy8YmZBTOqCO20taI7FZeqfx0dEn3ML/view?usp=drivesdk")</f>
        <v>https://drive.google.com/file/d/1osy8YmZBTOqCO20taI7FZeqfx0dEn3ML/view?usp=drivesdk</v>
      </c>
    </row>
    <row r="8099">
      <c r="A8099" s="15">
        <f>IFERROR(__xludf.DUMMYFUNCTION("""COMPUTED_VALUE"""),45230.0)</f>
        <v>45230</v>
      </c>
      <c r="B8099" s="16" t="str">
        <f>IFERROR(__xludf.DUMMYFUNCTION("""COMPUTED_VALUE"""),"Johan Alexander Escobar Arroyo ")</f>
        <v>Johan Alexander Escobar Arroyo </v>
      </c>
      <c r="C8099" s="15" t="str">
        <f>IFERROR(__xludf.DUMMYFUNCTION("""COMPUTED_VALUE"""),"CALI")</f>
        <v>CALI</v>
      </c>
      <c r="D8099" s="15" t="str">
        <f>IFERROR(__xludf.DUMMYFUNCTION("""COMPUTED_VALUE"""),"BOGOTÁ")</f>
        <v>BOGOTÁ</v>
      </c>
      <c r="E8099" s="15" t="str">
        <f>IFERROR(__xludf.DUMMYFUNCTION("""COMPUTED_VALUE"""),"PAN DE WAFFLE")</f>
        <v>PAN DE WAFFLE</v>
      </c>
      <c r="F8099" s="17" t="str">
        <f>IFERROR(__xludf.DUMMYFUNCTION("""COMPUTED_VALUE"""),"FOODOLOGY - CALI / Calle 34 Norte # 2bn - 33")</f>
        <v>FOODOLOGY - CALI / Calle 34 Norte # 2bn - 33</v>
      </c>
      <c r="G8099" s="15" t="str">
        <f>IFERROR(__xludf.DUMMYFUNCTION("""COMPUTED_VALUE"""),"FOODOLOGY - CALI")</f>
        <v>FOODOLOGY - CALI</v>
      </c>
      <c r="H8099" s="16">
        <f>IFERROR(__xludf.DUMMYFUNCTION("""COMPUTED_VALUE"""),16816.0)</f>
        <v>16816</v>
      </c>
      <c r="I8099" s="17"/>
      <c r="J8099" s="17"/>
      <c r="K8099" s="17"/>
      <c r="L8099" s="17">
        <f>IFERROR(__xludf.DUMMYFUNCTION("""COMPUTED_VALUE"""),3.158323233E9)</f>
        <v>3158323233</v>
      </c>
      <c r="M8099" s="17"/>
      <c r="N8099" s="17"/>
      <c r="O8099" s="17"/>
      <c r="P8099" s="17" t="b">
        <f>IFERROR(__xludf.DUMMYFUNCTION("""COMPUTED_VALUE"""),FALSE)</f>
        <v>0</v>
      </c>
      <c r="Q8099" s="20" t="str">
        <f>IFERROR(__xludf.DUMMYFUNCTION("""COMPUTED_VALUE"""),"")</f>
        <v/>
      </c>
      <c r="R8099" s="21" t="str">
        <f>IFERROR(__xludf.DUMMYFUNCTION("""COMPUTED_VALUE"""),"https://drive.google.com/file/d/1hj-AqULXrtEQkA2k1-dFC9u3e13ZnA4D/view?usp=drivesdk")</f>
        <v>https://drive.google.com/file/d/1hj-AqULXrtEQkA2k1-dFC9u3e13ZnA4D/view?usp=drivesdk</v>
      </c>
    </row>
    <row r="8100">
      <c r="A8100" s="15">
        <f>IFERROR(__xludf.DUMMYFUNCTION("""COMPUTED_VALUE"""),45230.0)</f>
        <v>45230</v>
      </c>
      <c r="B8100" s="16" t="str">
        <f>IFERROR(__xludf.DUMMYFUNCTION("""COMPUTED_VALUE"""),"Johan Alexander Escobar Arroyo ")</f>
        <v>Johan Alexander Escobar Arroyo </v>
      </c>
      <c r="C8100" s="15" t="str">
        <f>IFERROR(__xludf.DUMMYFUNCTION("""COMPUTED_VALUE"""),"CALI")</f>
        <v>CALI</v>
      </c>
      <c r="D8100" s="15" t="str">
        <f>IFERROR(__xludf.DUMMYFUNCTION("""COMPUTED_VALUE"""),"BOGOTÁ")</f>
        <v>BOGOTÁ</v>
      </c>
      <c r="E8100" s="15" t="str">
        <f>IFERROR(__xludf.DUMMYFUNCTION("""COMPUTED_VALUE"""),"PAN DE WAFFLE")</f>
        <v>PAN DE WAFFLE</v>
      </c>
      <c r="F8100" s="17" t="str">
        <f>IFERROR(__xludf.DUMMYFUNCTION("""COMPUTED_VALUE"""),"FOODOLOGY - CALI / Calle 34 Norte # 2bn - 33")</f>
        <v>FOODOLOGY - CALI / Calle 34 Norte # 2bn - 33</v>
      </c>
      <c r="G8100" s="15" t="str">
        <f>IFERROR(__xludf.DUMMYFUNCTION("""COMPUTED_VALUE"""),"FOODOLOGY - CALI")</f>
        <v>FOODOLOGY - CALI</v>
      </c>
      <c r="H8100" s="16">
        <f>IFERROR(__xludf.DUMMYFUNCTION("""COMPUTED_VALUE"""),16817.0)</f>
        <v>16817</v>
      </c>
      <c r="I8100" s="17"/>
      <c r="J8100" s="17"/>
      <c r="K8100" s="17"/>
      <c r="L8100" s="17">
        <f>IFERROR(__xludf.DUMMYFUNCTION("""COMPUTED_VALUE"""),3.158323233E9)</f>
        <v>3158323233</v>
      </c>
      <c r="M8100" s="17"/>
      <c r="N8100" s="17"/>
      <c r="O8100" s="17"/>
      <c r="P8100" s="17" t="b">
        <f>IFERROR(__xludf.DUMMYFUNCTION("""COMPUTED_VALUE"""),FALSE)</f>
        <v>0</v>
      </c>
      <c r="Q8100" s="20" t="str">
        <f>IFERROR(__xludf.DUMMYFUNCTION("""COMPUTED_VALUE"""),"")</f>
        <v/>
      </c>
      <c r="R8100" s="21" t="str">
        <f>IFERROR(__xludf.DUMMYFUNCTION("""COMPUTED_VALUE"""),"https://drive.google.com/file/d/1gGOsi7hBCIjcSYU0_Doy4oWsR-E7pusg/view?usp=drivesdk")</f>
        <v>https://drive.google.com/file/d/1gGOsi7hBCIjcSYU0_Doy4oWsR-E7pusg/view?usp=drivesdk</v>
      </c>
    </row>
    <row r="8101">
      <c r="A8101" s="15">
        <f>IFERROR(__xludf.DUMMYFUNCTION("""COMPUTED_VALUE"""),45230.0)</f>
        <v>45230</v>
      </c>
      <c r="B8101" s="16" t="str">
        <f>IFERROR(__xludf.DUMMYFUNCTION("""COMPUTED_VALUE"""),"Johan Alexander Escobar Arroyo ")</f>
        <v>Johan Alexander Escobar Arroyo </v>
      </c>
      <c r="C8101" s="15" t="str">
        <f>IFERROR(__xludf.DUMMYFUNCTION("""COMPUTED_VALUE"""),"IBAGUÉ")</f>
        <v>IBAGUÉ</v>
      </c>
      <c r="D8101" s="15" t="str">
        <f>IFERROR(__xludf.DUMMYFUNCTION("""COMPUTED_VALUE"""),"ENVIGADO")</f>
        <v>ENVIGADO</v>
      </c>
      <c r="E8101" s="15" t="str">
        <f>IFERROR(__xludf.DUMMYFUNCTION("""COMPUTED_VALUE"""),"JUAN CAMILO CORDOBA")</f>
        <v>JUAN CAMILO CORDOBA</v>
      </c>
      <c r="F8101" s="17" t="str">
        <f>IFERROR(__xludf.DUMMYFUNCTION("""COMPUTED_VALUE"""),"Cra 14 #75A-29 / local 5 estancia del vergel")</f>
        <v>Cra 14 #75A-29 / local 5 estancia del vergel</v>
      </c>
      <c r="G8101" s="15" t="str">
        <f>IFERROR(__xludf.DUMMYFUNCTION("""COMPUTED_VALUE"""),"Soy Natural")</f>
        <v>Soy Natural</v>
      </c>
      <c r="H8101" s="16">
        <f>IFERROR(__xludf.DUMMYFUNCTION("""COMPUTED_VALUE"""),16764.0)</f>
        <v>16764</v>
      </c>
      <c r="I8101" s="17"/>
      <c r="J8101" s="17"/>
      <c r="K8101" s="17"/>
      <c r="L8101" s="17">
        <f>IFERROR(__xludf.DUMMYFUNCTION("""COMPUTED_VALUE"""),3.177002909E9)</f>
        <v>3177002909</v>
      </c>
      <c r="M8101" s="17"/>
      <c r="N8101" s="17"/>
      <c r="O8101" s="17"/>
      <c r="P8101" s="17" t="b">
        <f>IFERROR(__xludf.DUMMYFUNCTION("""COMPUTED_VALUE"""),FALSE)</f>
        <v>0</v>
      </c>
      <c r="Q8101" s="20" t="str">
        <f>IFERROR(__xludf.DUMMYFUNCTION("""COMPUTED_VALUE"""),"")</f>
        <v/>
      </c>
      <c r="R8101" s="21" t="str">
        <f>IFERROR(__xludf.DUMMYFUNCTION("""COMPUTED_VALUE"""),"https://drive.google.com/file/d/1kAr_5LwYJk4TSU2G5J3nSymZMWZKVOLa/view?usp=drivesdk")</f>
        <v>https://drive.google.com/file/d/1kAr_5LwYJk4TSU2G5J3nSymZMWZKVOLa/view?usp=drivesdk</v>
      </c>
    </row>
    <row r="8102">
      <c r="A8102" s="17" t="str">
        <f>IFERROR(__xludf.DUMMYFUNCTION("""COMPUTED_VALUE"""),"")</f>
        <v/>
      </c>
      <c r="B8102" s="17" t="str">
        <f>IFERROR(__xludf.DUMMYFUNCTION("""COMPUTED_VALUE"""),"")</f>
        <v/>
      </c>
      <c r="C8102" s="17" t="str">
        <f>IFERROR(__xludf.DUMMYFUNCTION("""COMPUTED_VALUE"""),"")</f>
        <v/>
      </c>
      <c r="D8102" s="17" t="str">
        <f>IFERROR(__xludf.DUMMYFUNCTION("""COMPUTED_VALUE"""),"")</f>
        <v/>
      </c>
      <c r="E8102" s="17" t="str">
        <f>IFERROR(__xludf.DUMMYFUNCTION("""COMPUTED_VALUE"""),"")</f>
        <v/>
      </c>
      <c r="F8102" s="17" t="str">
        <f>IFERROR(__xludf.DUMMYFUNCTION("""COMPUTED_VALUE"""),"")</f>
        <v/>
      </c>
      <c r="G8102" s="17" t="str">
        <f>IFERROR(__xludf.DUMMYFUNCTION("""COMPUTED_VALUE"""),"")</f>
        <v/>
      </c>
      <c r="H8102" s="17" t="str">
        <f>IFERROR(__xludf.DUMMYFUNCTION("""COMPUTED_VALUE"""),"")</f>
        <v/>
      </c>
      <c r="I8102" s="17" t="str">
        <f>IFERROR(__xludf.DUMMYFUNCTION("""COMPUTED_VALUE"""),"")</f>
        <v/>
      </c>
      <c r="J8102" s="17" t="str">
        <f>IFERROR(__xludf.DUMMYFUNCTION("""COMPUTED_VALUE"""),"")</f>
        <v/>
      </c>
      <c r="K8102" s="17" t="str">
        <f>IFERROR(__xludf.DUMMYFUNCTION("""COMPUTED_VALUE"""),"")</f>
        <v/>
      </c>
      <c r="L8102" s="17" t="str">
        <f>IFERROR(__xludf.DUMMYFUNCTION("""COMPUTED_VALUE"""),"")</f>
        <v/>
      </c>
      <c r="M8102" s="17" t="str">
        <f>IFERROR(__xludf.DUMMYFUNCTION("""COMPUTED_VALUE"""),"")</f>
        <v/>
      </c>
      <c r="N8102" s="17" t="str">
        <f>IFERROR(__xludf.DUMMYFUNCTION("""COMPUTED_VALUE"""),"")</f>
        <v/>
      </c>
      <c r="O8102" s="17" t="str">
        <f>IFERROR(__xludf.DUMMYFUNCTION("""COMPUTED_VALUE"""),"")</f>
        <v/>
      </c>
      <c r="P8102" s="17" t="str">
        <f>IFERROR(__xludf.DUMMYFUNCTION("""COMPUTED_VALUE"""),"")</f>
        <v/>
      </c>
      <c r="Q8102" s="17" t="str">
        <f>IFERROR(__xludf.DUMMYFUNCTION("""COMPUTED_VALUE"""),"")</f>
        <v/>
      </c>
      <c r="R8102" s="17" t="str">
        <f>IFERROR(__xludf.DUMMYFUNCTION("""COMPUTED_VALUE"""),"")</f>
        <v/>
      </c>
    </row>
    <row r="8103">
      <c r="A8103" s="15">
        <f>IFERROR(__xludf.DUMMYFUNCTION("""COMPUTED_VALUE"""),45230.0)</f>
        <v>45230</v>
      </c>
      <c r="B8103" s="16" t="str">
        <f>IFERROR(__xludf.DUMMYFUNCTION("""COMPUTED_VALUE"""),"Johanna Arango Barrera")</f>
        <v>Johanna Arango Barrera</v>
      </c>
      <c r="C8103" s="15" t="str">
        <f>IFERROR(__xludf.DUMMYFUNCTION("""COMPUTED_VALUE"""),"BUCARAMANGA")</f>
        <v>BUCARAMANGA</v>
      </c>
      <c r="D8103" s="15" t="str">
        <f>IFERROR(__xludf.DUMMYFUNCTION("""COMPUTED_VALUE"""),"BOGOTÁ")</f>
        <v>BOGOTÁ</v>
      </c>
      <c r="E8103" s="15" t="str">
        <f>IFERROR(__xludf.DUMMYFUNCTION("""COMPUTED_VALUE"""),"Lunchy Kids")</f>
        <v>Lunchy Kids</v>
      </c>
      <c r="F8103" s="17" t="str">
        <f>IFERROR(__xludf.DUMMYFUNCTION("""COMPUTED_VALUE"""),"Calle 71#53-96 / lagos del cacique Apartamento 204")</f>
        <v>Calle 71#53-96 / lagos del cacique Apartamento 204</v>
      </c>
      <c r="G8103" s="15" t="str">
        <f>IFERROR(__xludf.DUMMYFUNCTION("""COMPUTED_VALUE"""),"Silvia Martinez")</f>
        <v>Silvia Martinez</v>
      </c>
      <c r="H8103" s="16">
        <f>IFERROR(__xludf.DUMMYFUNCTION("""COMPUTED_VALUE"""),16756.0)</f>
        <v>16756</v>
      </c>
      <c r="I8103" s="17"/>
      <c r="J8103" s="17"/>
      <c r="K8103" s="17"/>
      <c r="L8103" s="17">
        <f>IFERROR(__xludf.DUMMYFUNCTION("""COMPUTED_VALUE"""),3.175954971E9)</f>
        <v>3175954971</v>
      </c>
      <c r="M8103" s="17"/>
      <c r="N8103" s="17"/>
      <c r="O8103" s="17"/>
      <c r="P8103" s="17" t="b">
        <f>IFERROR(__xludf.DUMMYFUNCTION("""COMPUTED_VALUE"""),FALSE)</f>
        <v>0</v>
      </c>
      <c r="Q8103" s="20" t="str">
        <f>IFERROR(__xludf.DUMMYFUNCTION("""COMPUTED_VALUE"""),"")</f>
        <v/>
      </c>
      <c r="R8103" s="21" t="str">
        <f>IFERROR(__xludf.DUMMYFUNCTION("""COMPUTED_VALUE"""),"https://drive.google.com/file/d/1UPZxyV3FR3iO2D0ZvxIN45KgiQB1aMJV/view?usp=drivesdk")</f>
        <v>https://drive.google.com/file/d/1UPZxyV3FR3iO2D0ZvxIN45KgiQB1aMJV/view?usp=drivesdk</v>
      </c>
    </row>
    <row r="8104">
      <c r="A8104" s="15">
        <f>IFERROR(__xludf.DUMMYFUNCTION("""COMPUTED_VALUE"""),45230.0)</f>
        <v>45230</v>
      </c>
      <c r="B8104" s="16" t="str">
        <f>IFERROR(__xludf.DUMMYFUNCTION("""COMPUTED_VALUE"""),"Johanna Arango Barrera")</f>
        <v>Johanna Arango Barrera</v>
      </c>
      <c r="C8104" s="15" t="str">
        <f>IFERROR(__xludf.DUMMYFUNCTION("""COMPUTED_VALUE"""),"BUCARAMANGA")</f>
        <v>BUCARAMANGA</v>
      </c>
      <c r="D8104" s="15" t="str">
        <f>IFERROR(__xludf.DUMMYFUNCTION("""COMPUTED_VALUE"""),"BOGOTÁ")</f>
        <v>BOGOTÁ</v>
      </c>
      <c r="E8104" s="15" t="str">
        <f>IFERROR(__xludf.DUMMYFUNCTION("""COMPUTED_VALUE"""),"Lunchy Kids")</f>
        <v>Lunchy Kids</v>
      </c>
      <c r="F8104" s="17" t="str">
        <f>IFERROR(__xludf.DUMMYFUNCTION("""COMPUTED_VALUE"""),"Cra 41 # 40-131 / Edificio Aqua. Apto 3002")</f>
        <v>Cra 41 # 40-131 / Edificio Aqua. Apto 3002</v>
      </c>
      <c r="G8104" s="15" t="str">
        <f>IFERROR(__xludf.DUMMYFUNCTION("""COMPUTED_VALUE"""),"Natalia Martínez Ardila")</f>
        <v>Natalia Martínez Ardila</v>
      </c>
      <c r="H8104" s="16">
        <f>IFERROR(__xludf.DUMMYFUNCTION("""COMPUTED_VALUE"""),16755.0)</f>
        <v>16755</v>
      </c>
      <c r="I8104" s="17"/>
      <c r="J8104" s="17"/>
      <c r="K8104" s="17"/>
      <c r="L8104" s="17">
        <f>IFERROR(__xludf.DUMMYFUNCTION("""COMPUTED_VALUE"""),3.185159428E9)</f>
        <v>3185159428</v>
      </c>
      <c r="M8104" s="17"/>
      <c r="N8104" s="17"/>
      <c r="O8104" s="17"/>
      <c r="P8104" s="17" t="b">
        <f>IFERROR(__xludf.DUMMYFUNCTION("""COMPUTED_VALUE"""),FALSE)</f>
        <v>0</v>
      </c>
      <c r="Q8104" s="20" t="str">
        <f>IFERROR(__xludf.DUMMYFUNCTION("""COMPUTED_VALUE"""),"")</f>
        <v/>
      </c>
      <c r="R8104" s="21" t="str">
        <f>IFERROR(__xludf.DUMMYFUNCTION("""COMPUTED_VALUE"""),"https://drive.google.com/file/d/1g9_E-EO0kkfDpIErw1JSLqmnOjQCRnFX/view?usp=drivesdk")</f>
        <v>https://drive.google.com/file/d/1g9_E-EO0kkfDpIErw1JSLqmnOjQCRnFX/view?usp=drivesdk</v>
      </c>
    </row>
    <row r="8105">
      <c r="A8105" s="15">
        <f>IFERROR(__xludf.DUMMYFUNCTION("""COMPUTED_VALUE"""),45230.0)</f>
        <v>45230</v>
      </c>
      <c r="B8105" s="16" t="str">
        <f>IFERROR(__xludf.DUMMYFUNCTION("""COMPUTED_VALUE"""),"Johanna Arango Barrera")</f>
        <v>Johanna Arango Barrera</v>
      </c>
      <c r="C8105" s="15" t="str">
        <f>IFERROR(__xludf.DUMMYFUNCTION("""COMPUTED_VALUE"""),"BUCARAMANGA")</f>
        <v>BUCARAMANGA</v>
      </c>
      <c r="D8105" s="15" t="str">
        <f>IFERROR(__xludf.DUMMYFUNCTION("""COMPUTED_VALUE"""),"BOGOTÁ")</f>
        <v>BOGOTÁ</v>
      </c>
      <c r="E8105" s="15" t="str">
        <f>IFERROR(__xludf.DUMMYFUNCTION("""COMPUTED_VALUE"""),"MAI ALIMENTOS REALES")</f>
        <v>MAI ALIMENTOS REALES</v>
      </c>
      <c r="F8105" s="17" t="str">
        <f>IFERROR(__xludf.DUMMYFUNCTION("""COMPUTED_VALUE"""),"Carrera 36#41-59 Local 5 / Local 5 - Fit Store Express")</f>
        <v>Carrera 36#41-59 Local 5 / Local 5 - Fit Store Express</v>
      </c>
      <c r="G8105" s="15" t="str">
        <f>IFERROR(__xludf.DUMMYFUNCTION("""COMPUTED_VALUE"""),"Fit Store Express")</f>
        <v>Fit Store Express</v>
      </c>
      <c r="H8105" s="16">
        <f>IFERROR(__xludf.DUMMYFUNCTION("""COMPUTED_VALUE"""),16712.0)</f>
        <v>16712</v>
      </c>
      <c r="I8105" s="17"/>
      <c r="J8105" s="17"/>
      <c r="K8105" s="17"/>
      <c r="L8105" s="17">
        <f>IFERROR(__xludf.DUMMYFUNCTION("""COMPUTED_VALUE"""),3.005711168E9)</f>
        <v>3005711168</v>
      </c>
      <c r="M8105" s="17"/>
      <c r="N8105" s="17"/>
      <c r="O8105" s="17"/>
      <c r="P8105" s="17" t="b">
        <f>IFERROR(__xludf.DUMMYFUNCTION("""COMPUTED_VALUE"""),FALSE)</f>
        <v>0</v>
      </c>
      <c r="Q8105" s="20" t="str">
        <f>IFERROR(__xludf.DUMMYFUNCTION("""COMPUTED_VALUE"""),"")</f>
        <v/>
      </c>
      <c r="R8105" s="21" t="str">
        <f>IFERROR(__xludf.DUMMYFUNCTION("""COMPUTED_VALUE"""),"https://drive.google.com/file/d/17TlOW2f4vJspTO4UGYWgcXuQfNeVLAFJ/view?usp=drivesdk")</f>
        <v>https://drive.google.com/file/d/17TlOW2f4vJspTO4UGYWgcXuQfNeVLAFJ/view?usp=drivesdk</v>
      </c>
    </row>
    <row r="8106">
      <c r="A8106" s="15">
        <f>IFERROR(__xludf.DUMMYFUNCTION("""COMPUTED_VALUE"""),45230.0)</f>
        <v>45230</v>
      </c>
      <c r="B8106" s="16" t="str">
        <f>IFERROR(__xludf.DUMMYFUNCTION("""COMPUTED_VALUE"""),"Johanna Arango Barrera")</f>
        <v>Johanna Arango Barrera</v>
      </c>
      <c r="C8106" s="15" t="str">
        <f>IFERROR(__xludf.DUMMYFUNCTION("""COMPUTED_VALUE"""),"BUCARAMANGA")</f>
        <v>BUCARAMANGA</v>
      </c>
      <c r="D8106" s="15" t="str">
        <f>IFERROR(__xludf.DUMMYFUNCTION("""COMPUTED_VALUE"""),"MEDELLÍN")</f>
        <v>MEDELLÍN</v>
      </c>
      <c r="E8106" s="15" t="str">
        <f>IFERROR(__xludf.DUMMYFUNCTION("""COMPUTED_VALUE"""),"Baby Chef")</f>
        <v>Baby Chef</v>
      </c>
      <c r="F8106" s="17" t="str">
        <f>IFERROR(__xludf.DUMMYFUNCTION("""COMPUTED_VALUE"""),"calle 29 no 19-08 Castilla Real 1 casa 2 manzana J  Barrio: Castilla Real 1 - Girón / .")</f>
        <v>calle 29 no 19-08 Castilla Real 1 casa 2 manzana J  Barrio: Castilla Real 1 - Girón / .</v>
      </c>
      <c r="G8106" s="15" t="str">
        <f>IFERROR(__xludf.DUMMYFUNCTION("""COMPUTED_VALUE"""),"Claudia Casadiegos Garzon")</f>
        <v>Claudia Casadiegos Garzon</v>
      </c>
      <c r="H8106" s="16">
        <f>IFERROR(__xludf.DUMMYFUNCTION("""COMPUTED_VALUE"""),16807.0)</f>
        <v>16807</v>
      </c>
      <c r="I8106" s="18">
        <f>IFERROR(__xludf.DUMMYFUNCTION("""COMPUTED_VALUE"""),6.0)</f>
        <v>6</v>
      </c>
      <c r="J8106" s="18">
        <f>IFERROR(__xludf.DUMMYFUNCTION("""COMPUTED_VALUE"""),21.0)</f>
        <v>21</v>
      </c>
      <c r="K8106" s="18">
        <f>IFERROR(__xludf.DUMMYFUNCTION("""COMPUTED_VALUE"""),28.0)</f>
        <v>28</v>
      </c>
      <c r="L8106" s="17">
        <f>IFERROR(__xludf.DUMMYFUNCTION("""COMPUTED_VALUE"""),3.174649112E9)</f>
        <v>3174649112</v>
      </c>
      <c r="M8106" s="17"/>
      <c r="N8106" s="17"/>
      <c r="O8106" s="17"/>
      <c r="P8106" s="17" t="b">
        <f>IFERROR(__xludf.DUMMYFUNCTION("""COMPUTED_VALUE"""),FALSE)</f>
        <v>0</v>
      </c>
      <c r="Q8106" s="20" t="str">
        <f>IFERROR(__xludf.DUMMYFUNCTION("""COMPUTED_VALUE"""),"")</f>
        <v/>
      </c>
      <c r="R8106" s="21" t="str">
        <f>IFERROR(__xludf.DUMMYFUNCTION("""COMPUTED_VALUE"""),"https://drive.google.com/file/d/1gYA4KK4iVIBlkx_tZg58w__r0rm8UPhX/view?usp=drivesdk")</f>
        <v>https://drive.google.com/file/d/1gYA4KK4iVIBlkx_tZg58w__r0rm8UPhX/view?usp=drivesdk</v>
      </c>
    </row>
    <row r="8107">
      <c r="A8107" s="15">
        <f>IFERROR(__xludf.DUMMYFUNCTION("""COMPUTED_VALUE"""),45230.0)</f>
        <v>45230</v>
      </c>
      <c r="B8107" s="16" t="str">
        <f>IFERROR(__xludf.DUMMYFUNCTION("""COMPUTED_VALUE"""),"Johanna Arango Barrera")</f>
        <v>Johanna Arango Barrera</v>
      </c>
      <c r="C8107" s="15" t="str">
        <f>IFERROR(__xludf.DUMMYFUNCTION("""COMPUTED_VALUE"""),"BUCARAMANGA")</f>
        <v>BUCARAMANGA</v>
      </c>
      <c r="D8107" s="15" t="str">
        <f>IFERROR(__xludf.DUMMYFUNCTION("""COMPUTED_VALUE"""),"MEDELLÍN")</f>
        <v>MEDELLÍN</v>
      </c>
      <c r="E8107" s="15" t="str">
        <f>IFERROR(__xludf.DUMMYFUNCTION("""COMPUTED_VALUE"""),"Tok Tok")</f>
        <v>Tok Tok</v>
      </c>
      <c r="F8107" s="17" t="str">
        <f>IFERROR(__xludf.DUMMYFUNCTION("""COMPUTED_VALUE"""),"Calle 52 #37-12 / Cabecera")</f>
        <v>Calle 52 #37-12 / Cabecera</v>
      </c>
      <c r="G8107" s="15" t="str">
        <f>IFERROR(__xludf.DUMMYFUNCTION("""COMPUTED_VALUE"""),"Oscar rincón - multifit cabecera")</f>
        <v>Oscar rincón - multifit cabecera</v>
      </c>
      <c r="H8107" s="16">
        <f>IFERROR(__xludf.DUMMYFUNCTION("""COMPUTED_VALUE"""),16791.0)</f>
        <v>16791</v>
      </c>
      <c r="I8107" s="18">
        <f>IFERROR(__xludf.DUMMYFUNCTION("""COMPUTED_VALUE"""),50.0)</f>
        <v>50</v>
      </c>
      <c r="J8107" s="18">
        <f>IFERROR(__xludf.DUMMYFUNCTION("""COMPUTED_VALUE"""),50.0)</f>
        <v>50</v>
      </c>
      <c r="K8107" s="18">
        <f>IFERROR(__xludf.DUMMYFUNCTION("""COMPUTED_VALUE"""),1000.0)</f>
        <v>1000</v>
      </c>
      <c r="L8107" s="17">
        <f>IFERROR(__xludf.DUMMYFUNCTION("""COMPUTED_VALUE"""),3.158785729E9)</f>
        <v>3158785729</v>
      </c>
      <c r="M8107" s="17"/>
      <c r="N8107" s="17"/>
      <c r="O8107" s="17"/>
      <c r="P8107" s="17" t="b">
        <f>IFERROR(__xludf.DUMMYFUNCTION("""COMPUTED_VALUE"""),FALSE)</f>
        <v>0</v>
      </c>
      <c r="Q8107" s="20" t="str">
        <f>IFERROR(__xludf.DUMMYFUNCTION("""COMPUTED_VALUE"""),"")</f>
        <v/>
      </c>
      <c r="R8107" s="21" t="str">
        <f>IFERROR(__xludf.DUMMYFUNCTION("""COMPUTED_VALUE"""),"https://drive.google.com/file/d/1T0gvGaaI5tASdb6YwDVAi3HKQzkEf1FT/view?usp=drivesdk")</f>
        <v>https://drive.google.com/file/d/1T0gvGaaI5tASdb6YwDVAi3HKQzkEf1FT/view?usp=drivesdk</v>
      </c>
    </row>
    <row r="8108">
      <c r="A8108" s="15">
        <f>IFERROR(__xludf.DUMMYFUNCTION("""COMPUTED_VALUE"""),45230.0)</f>
        <v>45230</v>
      </c>
      <c r="B8108" s="16" t="str">
        <f>IFERROR(__xludf.DUMMYFUNCTION("""COMPUTED_VALUE"""),"Johanna Arango Barrera")</f>
        <v>Johanna Arango Barrera</v>
      </c>
      <c r="C8108" s="15" t="str">
        <f>IFERROR(__xludf.DUMMYFUNCTION("""COMPUTED_VALUE"""),"PEREIRA")</f>
        <v>PEREIRA</v>
      </c>
      <c r="D8108" s="15" t="str">
        <f>IFERROR(__xludf.DUMMYFUNCTION("""COMPUTED_VALUE"""),"MEDELLÍN")</f>
        <v>MEDELLÍN</v>
      </c>
      <c r="E8108" s="15" t="str">
        <f>IFERROR(__xludf.DUMMYFUNCTION("""COMPUTED_VALUE"""),"Todo Bufala")</f>
        <v>Todo Bufala</v>
      </c>
      <c r="F8108" s="17" t="str">
        <f>IFERROR(__xludf.DUMMYFUNCTION("""COMPUTED_VALUE"""),"Cra 14 N 12-55 Circunvalar / Cra 14 N 12-55 Circunvalar")</f>
        <v>Cra 14 N 12-55 Circunvalar / Cra 14 N 12-55 Circunvalar</v>
      </c>
      <c r="G8108" s="15" t="str">
        <f>IFERROR(__xludf.DUMMYFUNCTION("""COMPUTED_VALUE"""),"Jeimy Jaramillo-Inversiones saludables vita SAS")</f>
        <v>Jeimy Jaramillo-Inversiones saludables vita SAS</v>
      </c>
      <c r="H8108" s="16">
        <f>IFERROR(__xludf.DUMMYFUNCTION("""COMPUTED_VALUE"""),16759.0)</f>
        <v>16759</v>
      </c>
      <c r="I8108" s="17"/>
      <c r="J8108" s="17"/>
      <c r="K8108" s="17"/>
      <c r="L8108" s="17">
        <f>IFERROR(__xludf.DUMMYFUNCTION("""COMPUTED_VALUE"""),3.14645528E9)</f>
        <v>3146455280</v>
      </c>
      <c r="M8108" s="17"/>
      <c r="N8108" s="17"/>
      <c r="O8108" s="17"/>
      <c r="P8108" s="17" t="b">
        <f>IFERROR(__xludf.DUMMYFUNCTION("""COMPUTED_VALUE"""),FALSE)</f>
        <v>0</v>
      </c>
      <c r="Q8108" s="20" t="str">
        <f>IFERROR(__xludf.DUMMYFUNCTION("""COMPUTED_VALUE"""),"")</f>
        <v/>
      </c>
      <c r="R8108" s="21" t="str">
        <f>IFERROR(__xludf.DUMMYFUNCTION("""COMPUTED_VALUE"""),"https://drive.google.com/file/d/16FtGh4a8BMVvsGc6kuX1ZITZ-5_FZmQD/view?usp=drivesdk")</f>
        <v>https://drive.google.com/file/d/16FtGh4a8BMVvsGc6kuX1ZITZ-5_FZmQD/view?usp=drivesdk</v>
      </c>
    </row>
    <row r="8109">
      <c r="A8109" s="15">
        <f>IFERROR(__xludf.DUMMYFUNCTION("""COMPUTED_VALUE"""),45230.0)</f>
        <v>45230</v>
      </c>
      <c r="B8109" s="16" t="str">
        <f>IFERROR(__xludf.DUMMYFUNCTION("""COMPUTED_VALUE"""),"Johanna Arango Barrera")</f>
        <v>Johanna Arango Barrera</v>
      </c>
      <c r="C8109" s="15" t="str">
        <f>IFERROR(__xludf.DUMMYFUNCTION("""COMPUTED_VALUE"""),"PEREIRA")</f>
        <v>PEREIRA</v>
      </c>
      <c r="D8109" s="15" t="str">
        <f>IFERROR(__xludf.DUMMYFUNCTION("""COMPUTED_VALUE"""),"MEDELLÍN")</f>
        <v>MEDELLÍN</v>
      </c>
      <c r="E8109" s="15" t="str">
        <f>IFERROR(__xludf.DUMMYFUNCTION("""COMPUTED_VALUE"""),"Uno Cero Dos Alimentos")</f>
        <v>Uno Cero Dos Alimentos</v>
      </c>
      <c r="F8109" s="17" t="str">
        <f>IFERROR(__xludf.DUMMYFUNCTION("""COMPUTED_VALUE"""),"Manzana 42 casa 13 Samaria 1 / Piso 2")</f>
        <v>Manzana 42 casa 13 Samaria 1 / Piso 2</v>
      </c>
      <c r="G8109" s="15" t="str">
        <f>IFERROR(__xludf.DUMMYFUNCTION("""COMPUTED_VALUE"""),"Luz Omaida Jiménez")</f>
        <v>Luz Omaida Jiménez</v>
      </c>
      <c r="H8109" s="16">
        <f>IFERROR(__xludf.DUMMYFUNCTION("""COMPUTED_VALUE"""),16787.0)</f>
        <v>16787</v>
      </c>
      <c r="I8109" s="18">
        <f>IFERROR(__xludf.DUMMYFUNCTION("""COMPUTED_VALUE"""),11.0)</f>
        <v>11</v>
      </c>
      <c r="J8109" s="18">
        <f>IFERROR(__xludf.DUMMYFUNCTION("""COMPUTED_VALUE"""),16.0)</f>
        <v>16</v>
      </c>
      <c r="K8109" s="18">
        <f>IFERROR(__xludf.DUMMYFUNCTION("""COMPUTED_VALUE"""),31.0)</f>
        <v>31</v>
      </c>
      <c r="L8109" s="17">
        <f>IFERROR(__xludf.DUMMYFUNCTION("""COMPUTED_VALUE"""),3.14562573E9)</f>
        <v>3145625730</v>
      </c>
      <c r="M8109" s="17"/>
      <c r="N8109" s="17"/>
      <c r="O8109" s="17"/>
      <c r="P8109" s="17" t="b">
        <f>IFERROR(__xludf.DUMMYFUNCTION("""COMPUTED_VALUE"""),FALSE)</f>
        <v>0</v>
      </c>
      <c r="Q8109" s="20" t="str">
        <f>IFERROR(__xludf.DUMMYFUNCTION("""COMPUTED_VALUE"""),"")</f>
        <v/>
      </c>
      <c r="R8109" s="22" t="str">
        <f>IFERROR(__xludf.DUMMYFUNCTION("""COMPUTED_VALUE"""),"")</f>
        <v/>
      </c>
    </row>
    <row r="8110">
      <c r="A8110" s="17" t="str">
        <f>IFERROR(__xludf.DUMMYFUNCTION("""COMPUTED_VALUE"""),"")</f>
        <v/>
      </c>
      <c r="B8110" s="17" t="str">
        <f>IFERROR(__xludf.DUMMYFUNCTION("""COMPUTED_VALUE"""),"")</f>
        <v/>
      </c>
      <c r="C8110" s="17" t="str">
        <f>IFERROR(__xludf.DUMMYFUNCTION("""COMPUTED_VALUE"""),"")</f>
        <v/>
      </c>
      <c r="D8110" s="17" t="str">
        <f>IFERROR(__xludf.DUMMYFUNCTION("""COMPUTED_VALUE"""),"")</f>
        <v/>
      </c>
      <c r="E8110" s="17" t="str">
        <f>IFERROR(__xludf.DUMMYFUNCTION("""COMPUTED_VALUE"""),"")</f>
        <v/>
      </c>
      <c r="F8110" s="17" t="str">
        <f>IFERROR(__xludf.DUMMYFUNCTION("""COMPUTED_VALUE"""),"")</f>
        <v/>
      </c>
      <c r="G8110" s="17" t="str">
        <f>IFERROR(__xludf.DUMMYFUNCTION("""COMPUTED_VALUE"""),"")</f>
        <v/>
      </c>
      <c r="H8110" s="17" t="str">
        <f>IFERROR(__xludf.DUMMYFUNCTION("""COMPUTED_VALUE"""),"")</f>
        <v/>
      </c>
      <c r="I8110" s="17" t="str">
        <f>IFERROR(__xludf.DUMMYFUNCTION("""COMPUTED_VALUE"""),"")</f>
        <v/>
      </c>
      <c r="J8110" s="17" t="str">
        <f>IFERROR(__xludf.DUMMYFUNCTION("""COMPUTED_VALUE"""),"")</f>
        <v/>
      </c>
      <c r="K8110" s="17" t="str">
        <f>IFERROR(__xludf.DUMMYFUNCTION("""COMPUTED_VALUE"""),"")</f>
        <v/>
      </c>
      <c r="L8110" s="17" t="str">
        <f>IFERROR(__xludf.DUMMYFUNCTION("""COMPUTED_VALUE"""),"")</f>
        <v/>
      </c>
      <c r="M8110" s="17" t="str">
        <f>IFERROR(__xludf.DUMMYFUNCTION("""COMPUTED_VALUE"""),"")</f>
        <v/>
      </c>
      <c r="N8110" s="17" t="str">
        <f>IFERROR(__xludf.DUMMYFUNCTION("""COMPUTED_VALUE"""),"")</f>
        <v/>
      </c>
      <c r="O8110" s="17" t="str">
        <f>IFERROR(__xludf.DUMMYFUNCTION("""COMPUTED_VALUE"""),"")</f>
        <v/>
      </c>
      <c r="P8110" s="17" t="str">
        <f>IFERROR(__xludf.DUMMYFUNCTION("""COMPUTED_VALUE"""),"")</f>
        <v/>
      </c>
      <c r="Q8110" s="17" t="str">
        <f>IFERROR(__xludf.DUMMYFUNCTION("""COMPUTED_VALUE"""),"")</f>
        <v/>
      </c>
      <c r="R8110" s="17" t="str">
        <f>IFERROR(__xludf.DUMMYFUNCTION("""COMPUTED_VALUE"""),"")</f>
        <v/>
      </c>
    </row>
    <row r="8111">
      <c r="A8111" s="15">
        <f>IFERROR(__xludf.DUMMYFUNCTION("""COMPUTED_VALUE"""),45230.0)</f>
        <v>45230</v>
      </c>
      <c r="B8111" s="16" t="str">
        <f>IFERROR(__xludf.DUMMYFUNCTION("""COMPUTED_VALUE"""),"Santiago Garces Restrepo")</f>
        <v>Santiago Garces Restrepo</v>
      </c>
      <c r="C8111" s="15" t="str">
        <f>IFERROR(__xludf.DUMMYFUNCTION("""COMPUTED_VALUE"""),"MEDELLÍN")</f>
        <v>MEDELLÍN</v>
      </c>
      <c r="D8111" s="15" t="str">
        <f>IFERROR(__xludf.DUMMYFUNCTION("""COMPUTED_VALUE"""),"BOGOTÁ")</f>
        <v>BOGOTÁ</v>
      </c>
      <c r="E8111" s="15" t="str">
        <f>IFERROR(__xludf.DUMMYFUNCTION("""COMPUTED_VALUE"""),"Asociacion Agropecuaria Juana Maria")</f>
        <v>Asociacion Agropecuaria Juana Maria</v>
      </c>
      <c r="F8111" s="17" t="str">
        <f>IFERROR(__xludf.DUMMYFUNCTION("""COMPUTED_VALUE"""),"Carrera 15 BA # 30D-44 / int 201")</f>
        <v>Carrera 15 BA # 30D-44 / int 201</v>
      </c>
      <c r="G8111" s="15" t="str">
        <f>IFERROR(__xludf.DUMMYFUNCTION("""COMPUTED_VALUE"""),"Daniela Bedoya Blandon")</f>
        <v>Daniela Bedoya Blandon</v>
      </c>
      <c r="H8111" s="16">
        <f>IFERROR(__xludf.DUMMYFUNCTION("""COMPUTED_VALUE"""),16745.0)</f>
        <v>16745</v>
      </c>
      <c r="I8111" s="17"/>
      <c r="J8111" s="17"/>
      <c r="K8111" s="17"/>
      <c r="L8111" s="17">
        <f>IFERROR(__xludf.DUMMYFUNCTION("""COMPUTED_VALUE"""),3.14672822E9)</f>
        <v>3146728220</v>
      </c>
      <c r="M8111" s="17"/>
      <c r="N8111" s="17"/>
      <c r="O8111" s="17"/>
      <c r="P8111" s="17" t="b">
        <f>IFERROR(__xludf.DUMMYFUNCTION("""COMPUTED_VALUE"""),FALSE)</f>
        <v>0</v>
      </c>
      <c r="Q8111" s="20" t="str">
        <f>IFERROR(__xludf.DUMMYFUNCTION("""COMPUTED_VALUE"""),"")</f>
        <v/>
      </c>
      <c r="R8111" s="21" t="str">
        <f>IFERROR(__xludf.DUMMYFUNCTION("""COMPUTED_VALUE"""),"https://drive.google.com/file/d/13Ns9LCTcmqmCXW_LD0204Ii719WcXCyG/view?usp=drivesdk")</f>
        <v>https://drive.google.com/file/d/13Ns9LCTcmqmCXW_LD0204Ii719WcXCyG/view?usp=drivesdk</v>
      </c>
    </row>
    <row r="8112">
      <c r="A8112" s="15">
        <f>IFERROR(__xludf.DUMMYFUNCTION("""COMPUTED_VALUE"""),45230.0)</f>
        <v>45230</v>
      </c>
      <c r="B8112" s="16" t="str">
        <f>IFERROR(__xludf.DUMMYFUNCTION("""COMPUTED_VALUE"""),"Santiago Garces Restrepo")</f>
        <v>Santiago Garces Restrepo</v>
      </c>
      <c r="C8112" s="15" t="str">
        <f>IFERROR(__xludf.DUMMYFUNCTION("""COMPUTED_VALUE"""),"MEDELLÍN")</f>
        <v>MEDELLÍN</v>
      </c>
      <c r="D8112" s="15" t="str">
        <f>IFERROR(__xludf.DUMMYFUNCTION("""COMPUTED_VALUE"""),"BOGOTÁ")</f>
        <v>BOGOTÁ</v>
      </c>
      <c r="E8112" s="15" t="str">
        <f>IFERROR(__xludf.DUMMYFUNCTION("""COMPUTED_VALUE"""),"Instinto alimento vital")</f>
        <v>Instinto alimento vital</v>
      </c>
      <c r="F8112" s="17" t="str">
        <f>IFERROR(__xludf.DUMMYFUNCTION("""COMPUTED_VALUE"""),"CRA 44 # 26 27 / EL POBLADO")</f>
        <v>CRA 44 # 26 27 / EL POBLADO</v>
      </c>
      <c r="G8112" s="15" t="str">
        <f>IFERROR(__xludf.DUMMYFUNCTION("""COMPUTED_VALUE"""),"BODEGA VELOSITY MEDELLIN")</f>
        <v>BODEGA VELOSITY MEDELLIN</v>
      </c>
      <c r="H8112" s="16">
        <f>IFERROR(__xludf.DUMMYFUNCTION("""COMPUTED_VALUE"""),16763.0)</f>
        <v>16763</v>
      </c>
      <c r="I8112" s="17"/>
      <c r="J8112" s="17"/>
      <c r="K8112" s="17"/>
      <c r="L8112" s="17">
        <f>IFERROR(__xludf.DUMMYFUNCTION("""COMPUTED_VALUE"""),3.124683372E9)</f>
        <v>3124683372</v>
      </c>
      <c r="M8112" s="17"/>
      <c r="N8112" s="17"/>
      <c r="O8112" s="17"/>
      <c r="P8112" s="17" t="b">
        <f>IFERROR(__xludf.DUMMYFUNCTION("""COMPUTED_VALUE"""),TRUE)</f>
        <v>1</v>
      </c>
      <c r="Q8112" s="20">
        <f>IFERROR(__xludf.DUMMYFUNCTION("""COMPUTED_VALUE"""),45231.68016895834)</f>
        <v>45231.68017</v>
      </c>
      <c r="R8112" s="21" t="str">
        <f>IFERROR(__xludf.DUMMYFUNCTION("""COMPUTED_VALUE"""),"https://drive.google.com/file/d/14hHGU_Zrd8iKhyXQYFZidZdyveNYCRS4/view?usp=drivesdk")</f>
        <v>https://drive.google.com/file/d/14hHGU_Zrd8iKhyXQYFZidZdyveNYCRS4/view?usp=drivesdk</v>
      </c>
    </row>
    <row r="8113">
      <c r="A8113" s="15">
        <f>IFERROR(__xludf.DUMMYFUNCTION("""COMPUTED_VALUE"""),45230.0)</f>
        <v>45230</v>
      </c>
      <c r="B8113" s="16" t="str">
        <f>IFERROR(__xludf.DUMMYFUNCTION("""COMPUTED_VALUE"""),"Santiago Garces Restrepo")</f>
        <v>Santiago Garces Restrepo</v>
      </c>
      <c r="C8113" s="15" t="str">
        <f>IFERROR(__xludf.DUMMYFUNCTION("""COMPUTED_VALUE"""),"MEDELLÍN")</f>
        <v>MEDELLÍN</v>
      </c>
      <c r="D8113" s="15" t="str">
        <f>IFERROR(__xludf.DUMMYFUNCTION("""COMPUTED_VALUE"""),"BOGOTÁ")</f>
        <v>BOGOTÁ</v>
      </c>
      <c r="E8113" s="15" t="str">
        <f>IFERROR(__xludf.DUMMYFUNCTION("""COMPUTED_VALUE"""),"Karem foods")</f>
        <v>Karem foods</v>
      </c>
      <c r="F8113" s="17" t="str">
        <f>IFERROR(__xludf.DUMMYFUNCTION("""COMPUTED_VALUE"""),"Diagonal 47A, sobre la, Av. Las Vegas #16a Sur-04, / Av. Las Vegas, Sector, Aguacatala")</f>
        <v>Diagonal 47A, sobre la, Av. Las Vegas #16a Sur-04, / Av. Las Vegas, Sector, Aguacatala</v>
      </c>
      <c r="G8113" s="15" t="str">
        <f>IFERROR(__xludf.DUMMYFUNCTION("""COMPUTED_VALUE"""),"Libertina Panadería - Maria Cristina Angel")</f>
        <v>Libertina Panadería - Maria Cristina Angel</v>
      </c>
      <c r="H8113" s="16">
        <f>IFERROR(__xludf.DUMMYFUNCTION("""COMPUTED_VALUE"""),16812.0)</f>
        <v>16812</v>
      </c>
      <c r="I8113" s="18">
        <f>IFERROR(__xludf.DUMMYFUNCTION("""COMPUTED_VALUE"""),22.0)</f>
        <v>22</v>
      </c>
      <c r="J8113" s="18">
        <f>IFERROR(__xludf.DUMMYFUNCTION("""COMPUTED_VALUE"""),24.0)</f>
        <v>24</v>
      </c>
      <c r="K8113" s="18">
        <f>IFERROR(__xludf.DUMMYFUNCTION("""COMPUTED_VALUE"""),24.0)</f>
        <v>24</v>
      </c>
      <c r="L8113" s="17">
        <f>IFERROR(__xludf.DUMMYFUNCTION("""COMPUTED_VALUE"""),3.1174961E9)</f>
        <v>3117496100</v>
      </c>
      <c r="M8113" s="17"/>
      <c r="N8113" s="17"/>
      <c r="O8113" s="17"/>
      <c r="P8113" s="17" t="b">
        <f>IFERROR(__xludf.DUMMYFUNCTION("""COMPUTED_VALUE"""),TRUE)</f>
        <v>1</v>
      </c>
      <c r="Q8113" s="20">
        <f>IFERROR(__xludf.DUMMYFUNCTION("""COMPUTED_VALUE"""),45231.68016895834)</f>
        <v>45231.68017</v>
      </c>
      <c r="R8113" s="21" t="str">
        <f>IFERROR(__xludf.DUMMYFUNCTION("""COMPUTED_VALUE"""),"https://drive.google.com/file/d/1py0gGFClhWLoHG0YDu34KgKZSFsW2ZEG/view?usp=drivesdk")</f>
        <v>https://drive.google.com/file/d/1py0gGFClhWLoHG0YDu34KgKZSFsW2ZEG/view?usp=drivesdk</v>
      </c>
    </row>
    <row r="8114">
      <c r="A8114" s="15">
        <f>IFERROR(__xludf.DUMMYFUNCTION("""COMPUTED_VALUE"""),45230.0)</f>
        <v>45230</v>
      </c>
      <c r="B8114" s="16" t="str">
        <f>IFERROR(__xludf.DUMMYFUNCTION("""COMPUTED_VALUE"""),"Santiago Garces Restrepo")</f>
        <v>Santiago Garces Restrepo</v>
      </c>
      <c r="C8114" s="15" t="str">
        <f>IFERROR(__xludf.DUMMYFUNCTION("""COMPUTED_VALUE"""),"MEDELLÍN")</f>
        <v>MEDELLÍN</v>
      </c>
      <c r="D8114" s="15" t="str">
        <f>IFERROR(__xludf.DUMMYFUNCTION("""COMPUTED_VALUE"""),"BOGOTÁ")</f>
        <v>BOGOTÁ</v>
      </c>
      <c r="E8114" s="15" t="str">
        <f>IFERROR(__xludf.DUMMYFUNCTION("""COMPUTED_VALUE"""),"LINA PAOLA RAMIREZ GOMEZ - EVA MAZZITA")</f>
        <v>LINA PAOLA RAMIREZ GOMEZ - EVA MAZZITA</v>
      </c>
      <c r="F8114" s="17" t="str">
        <f>IFERROR(__xludf.DUMMYFUNCTION("""COMPUTED_VALUE"""),"Calle 47 sur #64D-92 / El vergel san antonio de prado 922/torre 3/ villas del bosque")</f>
        <v>Calle 47 sur #64D-92 / El vergel san antonio de prado 922/torre 3/ villas del bosque</v>
      </c>
      <c r="G8114" s="15" t="str">
        <f>IFERROR(__xludf.DUMMYFUNCTION("""COMPUTED_VALUE"""),"VERONICA ALZATE")</f>
        <v>VERONICA ALZATE</v>
      </c>
      <c r="H8114" s="16">
        <f>IFERROR(__xludf.DUMMYFUNCTION("""COMPUTED_VALUE"""),16813.0)</f>
        <v>16813</v>
      </c>
      <c r="I8114" s="17"/>
      <c r="J8114" s="17"/>
      <c r="K8114" s="17"/>
      <c r="L8114" s="17">
        <f>IFERROR(__xludf.DUMMYFUNCTION("""COMPUTED_VALUE"""),3.116118935E9)</f>
        <v>3116118935</v>
      </c>
      <c r="M8114" s="17"/>
      <c r="N8114" s="17"/>
      <c r="O8114" s="17"/>
      <c r="P8114" s="17" t="b">
        <f>IFERROR(__xludf.DUMMYFUNCTION("""COMPUTED_VALUE"""),FALSE)</f>
        <v>0</v>
      </c>
      <c r="Q8114" s="20" t="str">
        <f>IFERROR(__xludf.DUMMYFUNCTION("""COMPUTED_VALUE"""),"")</f>
        <v/>
      </c>
      <c r="R8114" s="21" t="str">
        <f>IFERROR(__xludf.DUMMYFUNCTION("""COMPUTED_VALUE"""),"https://drive.google.com/file/d/1zIPCXvLMeAQ7T7UvyB0N0KN5X336rW3o/view?usp=drivesdk")</f>
        <v>https://drive.google.com/file/d/1zIPCXvLMeAQ7T7UvyB0N0KN5X336rW3o/view?usp=drivesdk</v>
      </c>
    </row>
    <row r="8115">
      <c r="A8115" s="15">
        <f>IFERROR(__xludf.DUMMYFUNCTION("""COMPUTED_VALUE"""),45230.0)</f>
        <v>45230</v>
      </c>
      <c r="B8115" s="16" t="str">
        <f>IFERROR(__xludf.DUMMYFUNCTION("""COMPUTED_VALUE"""),"Santiago Garces Restrepo")</f>
        <v>Santiago Garces Restrepo</v>
      </c>
      <c r="C8115" s="15" t="str">
        <f>IFERROR(__xludf.DUMMYFUNCTION("""COMPUTED_VALUE"""),"MEDELLÍN")</f>
        <v>MEDELLÍN</v>
      </c>
      <c r="D8115" s="15" t="str">
        <f>IFERROR(__xludf.DUMMYFUNCTION("""COMPUTED_VALUE"""),"BOGOTÁ")</f>
        <v>BOGOTÁ</v>
      </c>
      <c r="E8115" s="15" t="str">
        <f>IFERROR(__xludf.DUMMYFUNCTION("""COMPUTED_VALUE"""),"LINA PAOLA RAMIREZ GOMEZ - EVA MAZZITA")</f>
        <v>LINA PAOLA RAMIREZ GOMEZ - EVA MAZZITA</v>
      </c>
      <c r="F8115" s="17" t="str">
        <f>IFERROR(__xludf.DUMMYFUNCTION("""COMPUTED_VALUE"""),"CRA 15 BA No. 34D - 44 / INT 201")</f>
        <v>CRA 15 BA No. 34D - 44 / INT 201</v>
      </c>
      <c r="G8115" s="15" t="str">
        <f>IFERROR(__xludf.DUMMYFUNCTION("""COMPUTED_VALUE"""),"DANIELA BEDOYA BLANDON")</f>
        <v>DANIELA BEDOYA BLANDON</v>
      </c>
      <c r="H8115" s="16">
        <f>IFERROR(__xludf.DUMMYFUNCTION("""COMPUTED_VALUE"""),16767.0)</f>
        <v>16767</v>
      </c>
      <c r="I8115" s="17"/>
      <c r="J8115" s="17"/>
      <c r="K8115" s="17"/>
      <c r="L8115" s="17">
        <f>IFERROR(__xludf.DUMMYFUNCTION("""COMPUTED_VALUE"""),3.14672822E9)</f>
        <v>3146728220</v>
      </c>
      <c r="M8115" s="17"/>
      <c r="N8115" s="17"/>
      <c r="O8115" s="17"/>
      <c r="P8115" s="17" t="b">
        <f>IFERROR(__xludf.DUMMYFUNCTION("""COMPUTED_VALUE"""),FALSE)</f>
        <v>0</v>
      </c>
      <c r="Q8115" s="20" t="str">
        <f>IFERROR(__xludf.DUMMYFUNCTION("""COMPUTED_VALUE"""),"")</f>
        <v/>
      </c>
      <c r="R8115" s="21" t="str">
        <f>IFERROR(__xludf.DUMMYFUNCTION("""COMPUTED_VALUE"""),"https://drive.google.com/file/d/1ieLTOfswDFMSQUtZvbcJb-N_46NsFfYW/view?usp=drivesdk")</f>
        <v>https://drive.google.com/file/d/1ieLTOfswDFMSQUtZvbcJb-N_46NsFfYW/view?usp=drivesdk</v>
      </c>
    </row>
    <row r="8116">
      <c r="A8116" s="15">
        <f>IFERROR(__xludf.DUMMYFUNCTION("""COMPUTED_VALUE"""),45230.0)</f>
        <v>45230</v>
      </c>
      <c r="B8116" s="16" t="str">
        <f>IFERROR(__xludf.DUMMYFUNCTION("""COMPUTED_VALUE"""),"Santiago Garces Restrepo")</f>
        <v>Santiago Garces Restrepo</v>
      </c>
      <c r="C8116" s="15" t="str">
        <f>IFERROR(__xludf.DUMMYFUNCTION("""COMPUTED_VALUE"""),"MEDELLÍN")</f>
        <v>MEDELLÍN</v>
      </c>
      <c r="D8116" s="15" t="str">
        <f>IFERROR(__xludf.DUMMYFUNCTION("""COMPUTED_VALUE"""),"BOGOTÁ")</f>
        <v>BOGOTÁ</v>
      </c>
      <c r="E8116" s="15" t="str">
        <f>IFERROR(__xludf.DUMMYFUNCTION("""COMPUTED_VALUE"""),"LINA PAOLA RAMIREZ GOMEZ - EVA MAZZITA")</f>
        <v>LINA PAOLA RAMIREZ GOMEZ - EVA MAZZITA</v>
      </c>
      <c r="F8116" s="17" t="str">
        <f>IFERROR(__xludf.DUMMYFUNCTION("""COMPUTED_VALUE"""),"Cra 48 No. 17A SUR -47 / Edificio Portugal 404")</f>
        <v>Cra 48 No. 17A SUR -47 / Edificio Portugal 404</v>
      </c>
      <c r="G8116" s="15" t="str">
        <f>IFERROR(__xludf.DUMMYFUNCTION("""COMPUTED_VALUE"""),"DANIELA VELASQUEZ")</f>
        <v>DANIELA VELASQUEZ</v>
      </c>
      <c r="H8116" s="16">
        <f>IFERROR(__xludf.DUMMYFUNCTION("""COMPUTED_VALUE"""),16777.0)</f>
        <v>16777</v>
      </c>
      <c r="I8116" s="17"/>
      <c r="J8116" s="17"/>
      <c r="K8116" s="17"/>
      <c r="L8116" s="17">
        <f>IFERROR(__xludf.DUMMYFUNCTION("""COMPUTED_VALUE"""),3.135401331E9)</f>
        <v>3135401331</v>
      </c>
      <c r="M8116" s="17"/>
      <c r="N8116" s="17"/>
      <c r="O8116" s="17"/>
      <c r="P8116" s="17" t="b">
        <f>IFERROR(__xludf.DUMMYFUNCTION("""COMPUTED_VALUE"""),FALSE)</f>
        <v>0</v>
      </c>
      <c r="Q8116" s="20" t="str">
        <f>IFERROR(__xludf.DUMMYFUNCTION("""COMPUTED_VALUE"""),"")</f>
        <v/>
      </c>
      <c r="R8116" s="21" t="str">
        <f>IFERROR(__xludf.DUMMYFUNCTION("""COMPUTED_VALUE"""),"https://drive.google.com/file/d/1QZv5BqDfMnys39dxH17R2UlVfOBFjqqw/view?usp=drivesdk")</f>
        <v>https://drive.google.com/file/d/1QZv5BqDfMnys39dxH17R2UlVfOBFjqqw/view?usp=drivesdk</v>
      </c>
    </row>
    <row r="8117">
      <c r="A8117" s="15">
        <f>IFERROR(__xludf.DUMMYFUNCTION("""COMPUTED_VALUE"""),45230.0)</f>
        <v>45230</v>
      </c>
      <c r="B8117" s="16" t="str">
        <f>IFERROR(__xludf.DUMMYFUNCTION("""COMPUTED_VALUE"""),"Santiago Garces Restrepo")</f>
        <v>Santiago Garces Restrepo</v>
      </c>
      <c r="C8117" s="15" t="str">
        <f>IFERROR(__xludf.DUMMYFUNCTION("""COMPUTED_VALUE"""),"MEDELLÍN")</f>
        <v>MEDELLÍN</v>
      </c>
      <c r="D8117" s="15" t="str">
        <f>IFERROR(__xludf.DUMMYFUNCTION("""COMPUTED_VALUE"""),"BOGOTÁ")</f>
        <v>BOGOTÁ</v>
      </c>
      <c r="E8117" s="15" t="str">
        <f>IFERROR(__xludf.DUMMYFUNCTION("""COMPUTED_VALUE"""),"MAI ALIMENTOS REALES")</f>
        <v>MAI ALIMENTOS REALES</v>
      </c>
      <c r="F8117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117" s="15" t="str">
        <f>IFERROR(__xludf.DUMMYFUNCTION("""COMPUTED_VALUE"""),"Novaventas")</f>
        <v>Novaventas</v>
      </c>
      <c r="H8117" s="16">
        <f>IFERROR(__xludf.DUMMYFUNCTION("""COMPUTED_VALUE"""),16713.0)</f>
        <v>16713</v>
      </c>
      <c r="I8117" s="17"/>
      <c r="J8117" s="17"/>
      <c r="K8117" s="17"/>
      <c r="L8117" s="17">
        <f>IFERROR(__xludf.DUMMYFUNCTION("""COMPUTED_VALUE"""),3.187351593E9)</f>
        <v>3187351593</v>
      </c>
      <c r="M8117" s="17"/>
      <c r="N8117" s="17"/>
      <c r="O8117" s="17"/>
      <c r="P8117" s="17" t="b">
        <f>IFERROR(__xludf.DUMMYFUNCTION("""COMPUTED_VALUE"""),FALSE)</f>
        <v>0</v>
      </c>
      <c r="Q8117" s="20" t="str">
        <f>IFERROR(__xludf.DUMMYFUNCTION("""COMPUTED_VALUE"""),"")</f>
        <v/>
      </c>
      <c r="R8117" s="21" t="str">
        <f>IFERROR(__xludf.DUMMYFUNCTION("""COMPUTED_VALUE"""),"https://drive.google.com/file/d/1Czd_96HvflzcPN_jyvJNGl05008gQOuE/view?usp=drivesdk")</f>
        <v>https://drive.google.com/file/d/1Czd_96HvflzcPN_jyvJNGl05008gQOuE/view?usp=drivesdk</v>
      </c>
    </row>
    <row r="8118">
      <c r="A8118" s="15">
        <f>IFERROR(__xludf.DUMMYFUNCTION("""COMPUTED_VALUE"""),45230.0)</f>
        <v>45230</v>
      </c>
      <c r="B8118" s="16" t="str">
        <f>IFERROR(__xludf.DUMMYFUNCTION("""COMPUTED_VALUE"""),"Santiago Garces Restrepo")</f>
        <v>Santiago Garces Restrepo</v>
      </c>
      <c r="C8118" s="15" t="str">
        <f>IFERROR(__xludf.DUMMYFUNCTION("""COMPUTED_VALUE"""),"MEDELLÍN")</f>
        <v>MEDELLÍN</v>
      </c>
      <c r="D8118" s="15" t="str">
        <f>IFERROR(__xludf.DUMMYFUNCTION("""COMPUTED_VALUE"""),"BOGOTÁ")</f>
        <v>BOGOTÁ</v>
      </c>
      <c r="E8118" s="15" t="str">
        <f>IFERROR(__xludf.DUMMYFUNCTION("""COMPUTED_VALUE"""),"PAN DE WAFFLE")</f>
        <v>PAN DE WAFFLE</v>
      </c>
      <c r="F8118" s="17" t="str">
        <f>IFERROR(__xludf.DUMMYFUNCTION("""COMPUTED_VALUE"""),"FOODOLOGY - MEDELLIN / Carrera 39 # 59 - 32")</f>
        <v>FOODOLOGY - MEDELLIN / Carrera 39 # 59 - 32</v>
      </c>
      <c r="G8118" s="15" t="str">
        <f>IFERROR(__xludf.DUMMYFUNCTION("""COMPUTED_VALUE"""),"FOODOLOGY - MEDELLIN")</f>
        <v>FOODOLOGY - MEDELLIN</v>
      </c>
      <c r="H8118" s="16">
        <f>IFERROR(__xludf.DUMMYFUNCTION("""COMPUTED_VALUE"""),16818.0)</f>
        <v>16818</v>
      </c>
      <c r="I8118" s="17"/>
      <c r="J8118" s="17"/>
      <c r="K8118" s="17"/>
      <c r="L8118" s="17">
        <f>IFERROR(__xludf.DUMMYFUNCTION("""COMPUTED_VALUE"""),3.123558292E9)</f>
        <v>3123558292</v>
      </c>
      <c r="M8118" s="17"/>
      <c r="N8118" s="17"/>
      <c r="O8118" s="17"/>
      <c r="P8118" s="17" t="b">
        <f>IFERROR(__xludf.DUMMYFUNCTION("""COMPUTED_VALUE"""),FALSE)</f>
        <v>0</v>
      </c>
      <c r="Q8118" s="20" t="str">
        <f>IFERROR(__xludf.DUMMYFUNCTION("""COMPUTED_VALUE"""),"")</f>
        <v/>
      </c>
      <c r="R8118" s="21" t="str">
        <f>IFERROR(__xludf.DUMMYFUNCTION("""COMPUTED_VALUE"""),"https://drive.google.com/file/d/1VBXt1Ttf__hsfRUzTj54wf8klhNVTu-P/view?usp=drivesdk")</f>
        <v>https://drive.google.com/file/d/1VBXt1Ttf__hsfRUzTj54wf8klhNVTu-P/view?usp=drivesdk</v>
      </c>
    </row>
    <row r="8119">
      <c r="A8119" s="15">
        <f>IFERROR(__xludf.DUMMYFUNCTION("""COMPUTED_VALUE"""),45230.0)</f>
        <v>45230</v>
      </c>
      <c r="B8119" s="16" t="str">
        <f>IFERROR(__xludf.DUMMYFUNCTION("""COMPUTED_VALUE"""),"Santiago Garces Restrepo")</f>
        <v>Santiago Garces Restrepo</v>
      </c>
      <c r="C8119" s="15" t="str">
        <f>IFERROR(__xludf.DUMMYFUNCTION("""COMPUTED_VALUE"""),"MEDELLÍN")</f>
        <v>MEDELLÍN</v>
      </c>
      <c r="D8119" s="15" t="str">
        <f>IFERROR(__xludf.DUMMYFUNCTION("""COMPUTED_VALUE"""),"BOGOTÁ")</f>
        <v>BOGOTÁ</v>
      </c>
      <c r="E8119" s="15" t="str">
        <f>IFERROR(__xludf.DUMMYFUNCTION("""COMPUTED_VALUE"""),"Top Spun")</f>
        <v>Top Spun</v>
      </c>
      <c r="F8119" s="17" t="str">
        <f>IFERROR(__xludf.DUMMYFUNCTION("""COMPUTED_VALUE"""),"Carrera 15 # 7a 49 / apto 1305")</f>
        <v>Carrera 15 # 7a 49 / apto 1305</v>
      </c>
      <c r="G8119" s="15" t="str">
        <f>IFERROR(__xludf.DUMMYFUNCTION("""COMPUTED_VALUE"""),"MARCELA MEJIA GAVIRIA")</f>
        <v>MARCELA MEJIA GAVIRIA</v>
      </c>
      <c r="H8119" s="16">
        <f>IFERROR(__xludf.DUMMYFUNCTION("""COMPUTED_VALUE"""),16739.0)</f>
        <v>16739</v>
      </c>
      <c r="I8119" s="17"/>
      <c r="J8119" s="17"/>
      <c r="K8119" s="17"/>
      <c r="L8119" s="17">
        <f>IFERROR(__xludf.DUMMYFUNCTION("""COMPUTED_VALUE"""),3.014209294E9)</f>
        <v>3014209294</v>
      </c>
      <c r="M8119" s="17"/>
      <c r="N8119" s="17"/>
      <c r="O8119" s="17"/>
      <c r="P8119" s="17" t="b">
        <f>IFERROR(__xludf.DUMMYFUNCTION("""COMPUTED_VALUE"""),FALSE)</f>
        <v>0</v>
      </c>
      <c r="Q8119" s="20" t="str">
        <f>IFERROR(__xludf.DUMMYFUNCTION("""COMPUTED_VALUE"""),"")</f>
        <v/>
      </c>
      <c r="R8119" s="21" t="str">
        <f>IFERROR(__xludf.DUMMYFUNCTION("""COMPUTED_VALUE"""),"https://drive.google.com/file/d/1DNgJaVubNlmL-CUtJFDjVw3VrtNr-u7_/view?usp=drivesdk")</f>
        <v>https://drive.google.com/file/d/1DNgJaVubNlmL-CUtJFDjVw3VrtNr-u7_/view?usp=drivesdk</v>
      </c>
    </row>
    <row r="8120">
      <c r="A8120" s="15">
        <f>IFERROR(__xludf.DUMMYFUNCTION("""COMPUTED_VALUE"""),45230.0)</f>
        <v>45230</v>
      </c>
      <c r="B8120" s="16" t="str">
        <f>IFERROR(__xludf.DUMMYFUNCTION("""COMPUTED_VALUE"""),"Santiago Garces Restrepo")</f>
        <v>Santiago Garces Restrepo</v>
      </c>
      <c r="C8120" s="15" t="str">
        <f>IFERROR(__xludf.DUMMYFUNCTION("""COMPUTED_VALUE"""),"MEDELLÍN")</f>
        <v>MEDELLÍN</v>
      </c>
      <c r="D8120" s="15" t="str">
        <f>IFERROR(__xludf.DUMMYFUNCTION("""COMPUTED_VALUE"""),"BOGOTÁ")</f>
        <v>BOGOTÁ</v>
      </c>
      <c r="E8120" s="15" t="str">
        <f>IFERROR(__xludf.DUMMYFUNCTION("""COMPUTED_VALUE"""),"Top Spun")</f>
        <v>Top Spun</v>
      </c>
      <c r="F8120" s="17" t="str">
        <f>IFERROR(__xludf.DUMMYFUNCTION("""COMPUTED_VALUE"""),"CRA 37 B # 13 SUR 40 / EDIF MACADAMIA")</f>
        <v>CRA 37 B # 13 SUR 40 / EDIF MACADAMIA</v>
      </c>
      <c r="G8120" s="15" t="str">
        <f>IFERROR(__xludf.DUMMYFUNCTION("""COMPUTED_VALUE"""),"Blanca Milena Acevedo Serrano")</f>
        <v>Blanca Milena Acevedo Serrano</v>
      </c>
      <c r="H8120" s="16">
        <f>IFERROR(__xludf.DUMMYFUNCTION("""COMPUTED_VALUE"""),16740.0)</f>
        <v>16740</v>
      </c>
      <c r="I8120" s="17"/>
      <c r="J8120" s="17"/>
      <c r="K8120" s="17"/>
      <c r="L8120" s="17">
        <f>IFERROR(__xludf.DUMMYFUNCTION("""COMPUTED_VALUE"""),3.187344154E9)</f>
        <v>3187344154</v>
      </c>
      <c r="M8120" s="17"/>
      <c r="N8120" s="17"/>
      <c r="O8120" s="17"/>
      <c r="P8120" s="17" t="b">
        <f>IFERROR(__xludf.DUMMYFUNCTION("""COMPUTED_VALUE"""),FALSE)</f>
        <v>0</v>
      </c>
      <c r="Q8120" s="20" t="str">
        <f>IFERROR(__xludf.DUMMYFUNCTION("""COMPUTED_VALUE"""),"")</f>
        <v/>
      </c>
      <c r="R8120" s="21" t="str">
        <f>IFERROR(__xludf.DUMMYFUNCTION("""COMPUTED_VALUE"""),"https://drive.google.com/file/d/19X_EKKKS6CrATpxtaJiTQ15N6Il_TBjl/view?usp=drivesdk")</f>
        <v>https://drive.google.com/file/d/19X_EKKKS6CrATpxtaJiTQ15N6Il_TBjl/view?usp=drivesdk</v>
      </c>
    </row>
    <row r="8121">
      <c r="A8121" s="17" t="str">
        <f>IFERROR(__xludf.DUMMYFUNCTION("""COMPUTED_VALUE"""),"")</f>
        <v/>
      </c>
      <c r="B8121" s="17" t="str">
        <f>IFERROR(__xludf.DUMMYFUNCTION("""COMPUTED_VALUE"""),"")</f>
        <v/>
      </c>
      <c r="C8121" s="17" t="str">
        <f>IFERROR(__xludf.DUMMYFUNCTION("""COMPUTED_VALUE"""),"")</f>
        <v/>
      </c>
      <c r="D8121" s="17" t="str">
        <f>IFERROR(__xludf.DUMMYFUNCTION("""COMPUTED_VALUE"""),"")</f>
        <v/>
      </c>
      <c r="E8121" s="17" t="str">
        <f>IFERROR(__xludf.DUMMYFUNCTION("""COMPUTED_VALUE"""),"")</f>
        <v/>
      </c>
      <c r="F8121" s="17" t="str">
        <f>IFERROR(__xludf.DUMMYFUNCTION("""COMPUTED_VALUE"""),"")</f>
        <v/>
      </c>
      <c r="G8121" s="17" t="str">
        <f>IFERROR(__xludf.DUMMYFUNCTION("""COMPUTED_VALUE"""),"")</f>
        <v/>
      </c>
      <c r="H8121" s="17" t="str">
        <f>IFERROR(__xludf.DUMMYFUNCTION("""COMPUTED_VALUE"""),"")</f>
        <v/>
      </c>
      <c r="I8121" s="17" t="str">
        <f>IFERROR(__xludf.DUMMYFUNCTION("""COMPUTED_VALUE"""),"")</f>
        <v/>
      </c>
      <c r="J8121" s="17" t="str">
        <f>IFERROR(__xludf.DUMMYFUNCTION("""COMPUTED_VALUE"""),"")</f>
        <v/>
      </c>
      <c r="K8121" s="17" t="str">
        <f>IFERROR(__xludf.DUMMYFUNCTION("""COMPUTED_VALUE"""),"")</f>
        <v/>
      </c>
      <c r="L8121" s="17" t="str">
        <f>IFERROR(__xludf.DUMMYFUNCTION("""COMPUTED_VALUE"""),"")</f>
        <v/>
      </c>
      <c r="M8121" s="17" t="str">
        <f>IFERROR(__xludf.DUMMYFUNCTION("""COMPUTED_VALUE"""),"")</f>
        <v/>
      </c>
      <c r="N8121" s="17" t="str">
        <f>IFERROR(__xludf.DUMMYFUNCTION("""COMPUTED_VALUE"""),"")</f>
        <v/>
      </c>
      <c r="O8121" s="17" t="str">
        <f>IFERROR(__xludf.DUMMYFUNCTION("""COMPUTED_VALUE"""),"")</f>
        <v/>
      </c>
      <c r="P8121" s="17" t="str">
        <f>IFERROR(__xludf.DUMMYFUNCTION("""COMPUTED_VALUE"""),"")</f>
        <v/>
      </c>
      <c r="Q8121" s="17" t="str">
        <f>IFERROR(__xludf.DUMMYFUNCTION("""COMPUTED_VALUE"""),"")</f>
        <v/>
      </c>
      <c r="R8121" s="17" t="str">
        <f>IFERROR(__xludf.DUMMYFUNCTION("""COMPUTED_VALUE"""),"")</f>
        <v/>
      </c>
    </row>
    <row r="8122">
      <c r="A8122" s="15">
        <f>IFERROR(__xludf.DUMMYFUNCTION("""COMPUTED_VALUE"""),45231.0)</f>
        <v>45231</v>
      </c>
      <c r="B8122" s="17"/>
      <c r="C8122" s="15" t="str">
        <f>IFERROR(__xludf.DUMMYFUNCTION("""COMPUTED_VALUE"""),"CALI")</f>
        <v>CALI</v>
      </c>
      <c r="D8122" s="15" t="str">
        <f>IFERROR(__xludf.DUMMYFUNCTION("""COMPUTED_VALUE"""),"MEDELLÍN")</f>
        <v>MEDELLÍN</v>
      </c>
      <c r="E8122" s="15" t="str">
        <f>IFERROR(__xludf.DUMMYFUNCTION("""COMPUTED_VALUE"""),"Helados swip")</f>
        <v>Helados swip</v>
      </c>
      <c r="F8122" s="17" t="str">
        <f>IFERROR(__xludf.DUMMYFUNCTION("""COMPUTED_VALUE"""),"CARRERA 100 # 15 A 90  / LOCAL 104 / C.C AVENTURA")</f>
        <v>CARRERA 100 # 15 A 90  / LOCAL 104 / C.C AVENTURA</v>
      </c>
      <c r="G8122" s="15" t="str">
        <f>IFERROR(__xludf.DUMMYFUNCTION("""COMPUTED_VALUE"""),"NUTRILIGHT AVENTURA CALI")</f>
        <v>NUTRILIGHT AVENTURA CALI</v>
      </c>
      <c r="H8122" s="16">
        <f>IFERROR(__xludf.DUMMYFUNCTION("""COMPUTED_VALUE"""),16831.0)</f>
        <v>16831</v>
      </c>
      <c r="I8122" s="18">
        <f>IFERROR(__xludf.DUMMYFUNCTION("""COMPUTED_VALUE"""),50.0)</f>
        <v>50</v>
      </c>
      <c r="J8122" s="18">
        <f>IFERROR(__xludf.DUMMYFUNCTION("""COMPUTED_VALUE"""),30.0)</f>
        <v>30</v>
      </c>
      <c r="K8122" s="18">
        <f>IFERROR(__xludf.DUMMYFUNCTION("""COMPUTED_VALUE"""),21.0)</f>
        <v>21</v>
      </c>
      <c r="L8122" s="17">
        <f>IFERROR(__xludf.DUMMYFUNCTION("""COMPUTED_VALUE"""),3.127472631E9)</f>
        <v>3127472631</v>
      </c>
      <c r="M8122" s="17"/>
      <c r="N8122" s="17"/>
      <c r="O8122" s="17"/>
      <c r="P8122" s="17" t="b">
        <f>IFERROR(__xludf.DUMMYFUNCTION("""COMPUTED_VALUE"""),FALSE)</f>
        <v>0</v>
      </c>
      <c r="Q8122" s="20" t="str">
        <f>IFERROR(__xludf.DUMMYFUNCTION("""COMPUTED_VALUE"""),"")</f>
        <v/>
      </c>
      <c r="R8122" s="21" t="str">
        <f>IFERROR(__xludf.DUMMYFUNCTION("""COMPUTED_VALUE"""),"https://drive.google.com/file/d/19bTVXyo3iV_ZM93_4T6xaiRG8E50MeRG/view?usp=drivesdk")</f>
        <v>https://drive.google.com/file/d/19bTVXyo3iV_ZM93_4T6xaiRG8E50MeRG/view?usp=drivesdk</v>
      </c>
    </row>
    <row r="8123">
      <c r="A8123" s="17" t="str">
        <f>IFERROR(__xludf.DUMMYFUNCTION("""COMPUTED_VALUE"""),"")</f>
        <v/>
      </c>
      <c r="B8123" s="17" t="str">
        <f>IFERROR(__xludf.DUMMYFUNCTION("""COMPUTED_VALUE"""),"")</f>
        <v/>
      </c>
      <c r="C8123" s="17" t="str">
        <f>IFERROR(__xludf.DUMMYFUNCTION("""COMPUTED_VALUE"""),"")</f>
        <v/>
      </c>
      <c r="D8123" s="17" t="str">
        <f>IFERROR(__xludf.DUMMYFUNCTION("""COMPUTED_VALUE"""),"")</f>
        <v/>
      </c>
      <c r="E8123" s="17" t="str">
        <f>IFERROR(__xludf.DUMMYFUNCTION("""COMPUTED_VALUE"""),"")</f>
        <v/>
      </c>
      <c r="F8123" s="17" t="str">
        <f>IFERROR(__xludf.DUMMYFUNCTION("""COMPUTED_VALUE"""),"")</f>
        <v/>
      </c>
      <c r="G8123" s="17" t="str">
        <f>IFERROR(__xludf.DUMMYFUNCTION("""COMPUTED_VALUE"""),"")</f>
        <v/>
      </c>
      <c r="H8123" s="17" t="str">
        <f>IFERROR(__xludf.DUMMYFUNCTION("""COMPUTED_VALUE"""),"")</f>
        <v/>
      </c>
      <c r="I8123" s="17" t="str">
        <f>IFERROR(__xludf.DUMMYFUNCTION("""COMPUTED_VALUE"""),"")</f>
        <v/>
      </c>
      <c r="J8123" s="17" t="str">
        <f>IFERROR(__xludf.DUMMYFUNCTION("""COMPUTED_VALUE"""),"")</f>
        <v/>
      </c>
      <c r="K8123" s="17" t="str">
        <f>IFERROR(__xludf.DUMMYFUNCTION("""COMPUTED_VALUE"""),"")</f>
        <v/>
      </c>
      <c r="L8123" s="17" t="str">
        <f>IFERROR(__xludf.DUMMYFUNCTION("""COMPUTED_VALUE"""),"")</f>
        <v/>
      </c>
      <c r="M8123" s="17" t="str">
        <f>IFERROR(__xludf.DUMMYFUNCTION("""COMPUTED_VALUE"""),"")</f>
        <v/>
      </c>
      <c r="N8123" s="17" t="str">
        <f>IFERROR(__xludf.DUMMYFUNCTION("""COMPUTED_VALUE"""),"")</f>
        <v/>
      </c>
      <c r="O8123" s="17" t="str">
        <f>IFERROR(__xludf.DUMMYFUNCTION("""COMPUTED_VALUE"""),"")</f>
        <v/>
      </c>
      <c r="P8123" s="17" t="str">
        <f>IFERROR(__xludf.DUMMYFUNCTION("""COMPUTED_VALUE"""),"")</f>
        <v/>
      </c>
      <c r="Q8123" s="17" t="str">
        <f>IFERROR(__xludf.DUMMYFUNCTION("""COMPUTED_VALUE"""),"")</f>
        <v/>
      </c>
      <c r="R8123" s="17" t="str">
        <f>IFERROR(__xludf.DUMMYFUNCTION("""COMPUTED_VALUE"""),"")</f>
        <v/>
      </c>
    </row>
    <row r="8124">
      <c r="A8124" s="15">
        <f>IFERROR(__xludf.DUMMYFUNCTION("""COMPUTED_VALUE"""),45231.0)</f>
        <v>45231</v>
      </c>
      <c r="B8124" s="16" t="str">
        <f>IFERROR(__xludf.DUMMYFUNCTION("""COMPUTED_VALUE"""),"Alvaro Chacón")</f>
        <v>Alvaro Chacón</v>
      </c>
      <c r="C8124" s="15" t="str">
        <f>IFERROR(__xludf.DUMMYFUNCTION("""COMPUTED_VALUE"""),"BOGOTÁ")</f>
        <v>BOGOTÁ</v>
      </c>
      <c r="D8124" s="15" t="str">
        <f>IFERROR(__xludf.DUMMYFUNCTION("""COMPUTED_VALUE"""),"MEDELLÍN")</f>
        <v>MEDELLÍN</v>
      </c>
      <c r="E8124" s="15" t="str">
        <f>IFERROR(__xludf.DUMMYFUNCTION("""COMPUTED_VALUE"""),"AREPAS LA MARY")</f>
        <v>AREPAS LA MARY</v>
      </c>
      <c r="F8124" s="17" t="str">
        <f>IFERROR(__xludf.DUMMYFUNCTION("""COMPUTED_VALUE"""),"Calle 128b #78-90 Casa 20 / Altos de Sotileza BOGOTA")</f>
        <v>Calle 128b #78-90 Casa 20 / Altos de Sotileza BOGOTA</v>
      </c>
      <c r="G8124" s="15" t="str">
        <f>IFERROR(__xludf.DUMMYFUNCTION("""COMPUTED_VALUE"""),"MARTHA CALDERON CARDOZO")</f>
        <v>MARTHA CALDERON CARDOZO</v>
      </c>
      <c r="H8124" s="16">
        <f>IFERROR(__xludf.DUMMYFUNCTION("""COMPUTED_VALUE"""),16839.0)</f>
        <v>16839</v>
      </c>
      <c r="I8124" s="18">
        <f>IFERROR(__xludf.DUMMYFUNCTION("""COMPUTED_VALUE"""),89.0)</f>
        <v>89</v>
      </c>
      <c r="J8124" s="18">
        <f>IFERROR(__xludf.DUMMYFUNCTION("""COMPUTED_VALUE"""),1.0)</f>
        <v>1</v>
      </c>
      <c r="K8124" s="18">
        <f>IFERROR(__xludf.DUMMYFUNCTION("""COMPUTED_VALUE"""),10.0)</f>
        <v>10</v>
      </c>
      <c r="L8124" s="17">
        <f>IFERROR(__xludf.DUMMYFUNCTION("""COMPUTED_VALUE"""),3.102349623E9)</f>
        <v>3102349623</v>
      </c>
      <c r="M8124" s="17"/>
      <c r="N8124" s="17"/>
      <c r="O8124" s="17"/>
      <c r="P8124" s="17" t="b">
        <f>IFERROR(__xludf.DUMMYFUNCTION("""COMPUTED_VALUE"""),FALSE)</f>
        <v>0</v>
      </c>
      <c r="Q8124" s="20" t="str">
        <f>IFERROR(__xludf.DUMMYFUNCTION("""COMPUTED_VALUE"""),"")</f>
        <v/>
      </c>
      <c r="R8124" s="21" t="str">
        <f>IFERROR(__xludf.DUMMYFUNCTION("""COMPUTED_VALUE"""),"https://drive.google.com/file/d/1iYnzU087h-b0OByMeVsip6xVKmtJx1Au/view?usp=drivesdk")</f>
        <v>https://drive.google.com/file/d/1iYnzU087h-b0OByMeVsip6xVKmtJx1Au/view?usp=drivesdk</v>
      </c>
    </row>
    <row r="8125">
      <c r="A8125" s="15">
        <f>IFERROR(__xludf.DUMMYFUNCTION("""COMPUTED_VALUE"""),45231.0)</f>
        <v>45231</v>
      </c>
      <c r="B8125" s="16" t="str">
        <f>IFERROR(__xludf.DUMMYFUNCTION("""COMPUTED_VALUE"""),"Alvaro Chacón")</f>
        <v>Alvaro Chacón</v>
      </c>
      <c r="C8125" s="15" t="str">
        <f>IFERROR(__xludf.DUMMYFUNCTION("""COMPUTED_VALUE"""),"BOGOTÁ")</f>
        <v>BOGOTÁ</v>
      </c>
      <c r="D8125" s="15" t="str">
        <f>IFERROR(__xludf.DUMMYFUNCTION("""COMPUTED_VALUE"""),"MEDELLÍN")</f>
        <v>MEDELLÍN</v>
      </c>
      <c r="E8125" s="15" t="str">
        <f>IFERROR(__xludf.DUMMYFUNCTION("""COMPUTED_VALUE"""),"AREPAS LA MARY")</f>
        <v>AREPAS LA MARY</v>
      </c>
      <c r="F8125" s="17" t="str">
        <f>IFERROR(__xludf.DUMMYFUNCTION("""COMPUTED_VALUE"""),"Cedro Real / CEDRITOS BOGOTA")</f>
        <v>Cedro Real / CEDRITOS BOGOTA</v>
      </c>
      <c r="G8125" s="15" t="str">
        <f>IFERROR(__xludf.DUMMYFUNCTION("""COMPUTED_VALUE"""),"DANIELA OSPINA")</f>
        <v>DANIELA OSPINA</v>
      </c>
      <c r="H8125" s="16">
        <f>IFERROR(__xludf.DUMMYFUNCTION("""COMPUTED_VALUE"""),16844.0)</f>
        <v>16844</v>
      </c>
      <c r="I8125" s="18">
        <f>IFERROR(__xludf.DUMMYFUNCTION("""COMPUTED_VALUE"""),89.0)</f>
        <v>89</v>
      </c>
      <c r="J8125" s="18">
        <f>IFERROR(__xludf.DUMMYFUNCTION("""COMPUTED_VALUE"""),1.0)</f>
        <v>1</v>
      </c>
      <c r="K8125" s="18">
        <f>IFERROR(__xludf.DUMMYFUNCTION("""COMPUTED_VALUE"""),10.0)</f>
        <v>10</v>
      </c>
      <c r="L8125" s="17">
        <f>IFERROR(__xludf.DUMMYFUNCTION("""COMPUTED_VALUE"""),3.2085079E9)</f>
        <v>3208507900</v>
      </c>
      <c r="M8125" s="17"/>
      <c r="N8125" s="17"/>
      <c r="O8125" s="17"/>
      <c r="P8125" s="17" t="b">
        <f>IFERROR(__xludf.DUMMYFUNCTION("""COMPUTED_VALUE"""),FALSE)</f>
        <v>0</v>
      </c>
      <c r="Q8125" s="20" t="str">
        <f>IFERROR(__xludf.DUMMYFUNCTION("""COMPUTED_VALUE"""),"")</f>
        <v/>
      </c>
      <c r="R8125" s="21" t="str">
        <f>IFERROR(__xludf.DUMMYFUNCTION("""COMPUTED_VALUE"""),"https://drive.google.com/file/d/1wTa7HAT1r5ZCAapWRCIZxS9PtsyPheOy/view?usp=drivesdk")</f>
        <v>https://drive.google.com/file/d/1wTa7HAT1r5ZCAapWRCIZxS9PtsyPheOy/view?usp=drivesdk</v>
      </c>
    </row>
    <row r="8126">
      <c r="A8126" s="15">
        <f>IFERROR(__xludf.DUMMYFUNCTION("""COMPUTED_VALUE"""),45231.0)</f>
        <v>45231</v>
      </c>
      <c r="B8126" s="16" t="str">
        <f>IFERROR(__xludf.DUMMYFUNCTION("""COMPUTED_VALUE"""),"Alvaro Chacón")</f>
        <v>Alvaro Chacón</v>
      </c>
      <c r="C8126" s="15" t="str">
        <f>IFERROR(__xludf.DUMMYFUNCTION("""COMPUTED_VALUE"""),"BOGOTÁ")</f>
        <v>BOGOTÁ</v>
      </c>
      <c r="D8126" s="15" t="str">
        <f>IFERROR(__xludf.DUMMYFUNCTION("""COMPUTED_VALUE"""),"MEDELLÍN")</f>
        <v>MEDELLÍN</v>
      </c>
      <c r="E8126" s="15" t="str">
        <f>IFERROR(__xludf.DUMMYFUNCTION("""COMPUTED_VALUE"""),"AREPAS LA MARY")</f>
        <v>AREPAS LA MARY</v>
      </c>
      <c r="F8126" s="17" t="str">
        <f>IFERROR(__xludf.DUMMYFUNCTION("""COMPUTED_VALUE"""),"Country empresarial")</f>
        <v>Country empresarial</v>
      </c>
      <c r="G8126" s="15" t="str">
        <f>IFERROR(__xludf.DUMMYFUNCTION("""COMPUTED_VALUE"""),"LICET BENITEZ PINTO")</f>
        <v>LICET BENITEZ PINTO</v>
      </c>
      <c r="H8126" s="16">
        <f>IFERROR(__xludf.DUMMYFUNCTION("""COMPUTED_VALUE"""),16835.0)</f>
        <v>16835</v>
      </c>
      <c r="I8126" s="18">
        <f>IFERROR(__xludf.DUMMYFUNCTION("""COMPUTED_VALUE"""),89.0)</f>
        <v>89</v>
      </c>
      <c r="J8126" s="18">
        <f>IFERROR(__xludf.DUMMYFUNCTION("""COMPUTED_VALUE"""),1.0)</f>
        <v>1</v>
      </c>
      <c r="K8126" s="18">
        <f>IFERROR(__xludf.DUMMYFUNCTION("""COMPUTED_VALUE"""),10.0)</f>
        <v>10</v>
      </c>
      <c r="L8126" s="17" t="str">
        <f>IFERROR(__xludf.DUMMYFUNCTION("""COMPUTED_VALUE"""),"300 3465031")</f>
        <v>300 3465031</v>
      </c>
      <c r="M8126" s="17"/>
      <c r="N8126" s="17"/>
      <c r="O8126" s="17"/>
      <c r="P8126" s="17" t="b">
        <f>IFERROR(__xludf.DUMMYFUNCTION("""COMPUTED_VALUE"""),FALSE)</f>
        <v>0</v>
      </c>
      <c r="Q8126" s="20" t="str">
        <f>IFERROR(__xludf.DUMMYFUNCTION("""COMPUTED_VALUE"""),"")</f>
        <v/>
      </c>
      <c r="R8126" s="21" t="str">
        <f>IFERROR(__xludf.DUMMYFUNCTION("""COMPUTED_VALUE"""),"https://drive.google.com/file/d/1a-Z2QnUAgIsCOGcMNP9xWJryFoU62FnH/view?usp=drivesdk")</f>
        <v>https://drive.google.com/file/d/1a-Z2QnUAgIsCOGcMNP9xWJryFoU62FnH/view?usp=drivesdk</v>
      </c>
    </row>
    <row r="8127">
      <c r="A8127" s="15">
        <f>IFERROR(__xludf.DUMMYFUNCTION("""COMPUTED_VALUE"""),45231.0)</f>
        <v>45231</v>
      </c>
      <c r="B8127" s="16" t="str">
        <f>IFERROR(__xludf.DUMMYFUNCTION("""COMPUTED_VALUE"""),"Alvaro Chacón")</f>
        <v>Alvaro Chacón</v>
      </c>
      <c r="C8127" s="15" t="str">
        <f>IFERROR(__xludf.DUMMYFUNCTION("""COMPUTED_VALUE"""),"BOGOTÁ")</f>
        <v>BOGOTÁ</v>
      </c>
      <c r="D8127" s="15" t="str">
        <f>IFERROR(__xludf.DUMMYFUNCTION("""COMPUTED_VALUE"""),"MEDELLÍN")</f>
        <v>MEDELLÍN</v>
      </c>
      <c r="E8127" s="15" t="str">
        <f>IFERROR(__xludf.DUMMYFUNCTION("""COMPUTED_VALUE"""),"AREPAS LA MARY")</f>
        <v>AREPAS LA MARY</v>
      </c>
      <c r="F8127" s="17" t="str">
        <f>IFERROR(__xludf.DUMMYFUNCTION("""COMPUTED_VALUE"""),"CRA 7 N75 98 APTO 102 / BOGOTA")</f>
        <v>CRA 7 N75 98 APTO 102 / BOGOTA</v>
      </c>
      <c r="G8127" s="15" t="str">
        <f>IFERROR(__xludf.DUMMYFUNCTION("""COMPUTED_VALUE"""),"SYLVIA BETANCOURT")</f>
        <v>SYLVIA BETANCOURT</v>
      </c>
      <c r="H8127" s="16">
        <f>IFERROR(__xludf.DUMMYFUNCTION("""COMPUTED_VALUE"""),16846.0)</f>
        <v>16846</v>
      </c>
      <c r="I8127" s="18">
        <f>IFERROR(__xludf.DUMMYFUNCTION("""COMPUTED_VALUE"""),89.0)</f>
        <v>89</v>
      </c>
      <c r="J8127" s="18">
        <f>IFERROR(__xludf.DUMMYFUNCTION("""COMPUTED_VALUE"""),1.0)</f>
        <v>1</v>
      </c>
      <c r="K8127" s="18">
        <f>IFERROR(__xludf.DUMMYFUNCTION("""COMPUTED_VALUE"""),10.0)</f>
        <v>10</v>
      </c>
      <c r="L8127" s="17">
        <f>IFERROR(__xludf.DUMMYFUNCTION("""COMPUTED_VALUE"""),3.102324941E9)</f>
        <v>3102324941</v>
      </c>
      <c r="M8127" s="17"/>
      <c r="N8127" s="17"/>
      <c r="O8127" s="17"/>
      <c r="P8127" s="17" t="b">
        <f>IFERROR(__xludf.DUMMYFUNCTION("""COMPUTED_VALUE"""),FALSE)</f>
        <v>0</v>
      </c>
      <c r="Q8127" s="20" t="str">
        <f>IFERROR(__xludf.DUMMYFUNCTION("""COMPUTED_VALUE"""),"")</f>
        <v/>
      </c>
      <c r="R8127" s="21" t="str">
        <f>IFERROR(__xludf.DUMMYFUNCTION("""COMPUTED_VALUE"""),"https://drive.google.com/file/d/1U01wIFbUKtgDn8n_EY1mP-eno9oWB2qc/view?usp=drivesdk")</f>
        <v>https://drive.google.com/file/d/1U01wIFbUKtgDn8n_EY1mP-eno9oWB2qc/view?usp=drivesdk</v>
      </c>
    </row>
    <row r="8128">
      <c r="A8128" s="15">
        <f>IFERROR(__xludf.DUMMYFUNCTION("""COMPUTED_VALUE"""),45231.0)</f>
        <v>45231</v>
      </c>
      <c r="B8128" s="16" t="str">
        <f>IFERROR(__xludf.DUMMYFUNCTION("""COMPUTED_VALUE"""),"Alvaro Chacón")</f>
        <v>Alvaro Chacón</v>
      </c>
      <c r="C8128" s="15" t="str">
        <f>IFERROR(__xludf.DUMMYFUNCTION("""COMPUTED_VALUE"""),"BOGOTÁ")</f>
        <v>BOGOTÁ</v>
      </c>
      <c r="D8128" s="15" t="str">
        <f>IFERROR(__xludf.DUMMYFUNCTION("""COMPUTED_VALUE"""),"MEDELLÍN")</f>
        <v>MEDELLÍN</v>
      </c>
      <c r="E8128" s="15" t="str">
        <f>IFERROR(__xludf.DUMMYFUNCTION("""COMPUTED_VALUE"""),"AREPAS LA MARY")</f>
        <v>AREPAS LA MARY</v>
      </c>
      <c r="F8128" s="17" t="str">
        <f>IFERROR(__xludf.DUMMYFUNCTION("""COMPUTED_VALUE"""),"edificio fiorepi / NIZA BOGOTA")</f>
        <v>edificio fiorepi / NIZA BOGOTA</v>
      </c>
      <c r="G8128" s="15" t="str">
        <f>IFERROR(__xludf.DUMMYFUNCTION("""COMPUTED_VALUE"""),"NANCY DIONISIO")</f>
        <v>NANCY DIONISIO</v>
      </c>
      <c r="H8128" s="16">
        <f>IFERROR(__xludf.DUMMYFUNCTION("""COMPUTED_VALUE"""),16843.0)</f>
        <v>16843</v>
      </c>
      <c r="I8128" s="18">
        <f>IFERROR(__xludf.DUMMYFUNCTION("""COMPUTED_VALUE"""),89.0)</f>
        <v>89</v>
      </c>
      <c r="J8128" s="18">
        <f>IFERROR(__xludf.DUMMYFUNCTION("""COMPUTED_VALUE"""),1.0)</f>
        <v>1</v>
      </c>
      <c r="K8128" s="18">
        <f>IFERROR(__xludf.DUMMYFUNCTION("""COMPUTED_VALUE"""),10.0)</f>
        <v>10</v>
      </c>
      <c r="L8128" s="17">
        <f>IFERROR(__xludf.DUMMYFUNCTION("""COMPUTED_VALUE"""),3.102692395E9)</f>
        <v>3102692395</v>
      </c>
      <c r="M8128" s="17"/>
      <c r="N8128" s="17"/>
      <c r="O8128" s="17"/>
      <c r="P8128" s="17" t="b">
        <f>IFERROR(__xludf.DUMMYFUNCTION("""COMPUTED_VALUE"""),FALSE)</f>
        <v>0</v>
      </c>
      <c r="Q8128" s="20" t="str">
        <f>IFERROR(__xludf.DUMMYFUNCTION("""COMPUTED_VALUE"""),"")</f>
        <v/>
      </c>
      <c r="R8128" s="21" t="str">
        <f>IFERROR(__xludf.DUMMYFUNCTION("""COMPUTED_VALUE"""),"https://drive.google.com/file/d/10gb-7sPeVVEmfUs8yznQcOZf_8nE3Pze/view?usp=drivesdk")</f>
        <v>https://drive.google.com/file/d/10gb-7sPeVVEmfUs8yznQcOZf_8nE3Pze/view?usp=drivesdk</v>
      </c>
    </row>
    <row r="8129">
      <c r="A8129" s="15">
        <f>IFERROR(__xludf.DUMMYFUNCTION("""COMPUTED_VALUE"""),45231.0)</f>
        <v>45231</v>
      </c>
      <c r="B8129" s="16" t="str">
        <f>IFERROR(__xludf.DUMMYFUNCTION("""COMPUTED_VALUE"""),"Alvaro Chacón")</f>
        <v>Alvaro Chacón</v>
      </c>
      <c r="C8129" s="15" t="str">
        <f>IFERROR(__xludf.DUMMYFUNCTION("""COMPUTED_VALUE"""),"BOGOTÁ")</f>
        <v>BOGOTÁ</v>
      </c>
      <c r="D8129" s="15" t="str">
        <f>IFERROR(__xludf.DUMMYFUNCTION("""COMPUTED_VALUE"""),"MEDELLÍN")</f>
        <v>MEDELLÍN</v>
      </c>
      <c r="E8129" s="15" t="str">
        <f>IFERROR(__xludf.DUMMYFUNCTION("""COMPUTED_VALUE"""),"AREPAS LA MARY")</f>
        <v>AREPAS LA MARY</v>
      </c>
      <c r="F8129" s="17" t="str">
        <f>IFERROR(__xludf.DUMMYFUNCTION("""COMPUTED_VALUE"""),"Parque 76 / ROSALES BOGOTA")</f>
        <v>Parque 76 / ROSALES BOGOTA</v>
      </c>
      <c r="G8129" s="15" t="str">
        <f>IFERROR(__xludf.DUMMYFUNCTION("""COMPUTED_VALUE"""),"URSULA VALENCIA")</f>
        <v>URSULA VALENCIA</v>
      </c>
      <c r="H8129" s="16">
        <f>IFERROR(__xludf.DUMMYFUNCTION("""COMPUTED_VALUE"""),16836.0)</f>
        <v>16836</v>
      </c>
      <c r="I8129" s="18">
        <f>IFERROR(__xludf.DUMMYFUNCTION("""COMPUTED_VALUE"""),89.0)</f>
        <v>89</v>
      </c>
      <c r="J8129" s="18">
        <f>IFERROR(__xludf.DUMMYFUNCTION("""COMPUTED_VALUE"""),1.0)</f>
        <v>1</v>
      </c>
      <c r="K8129" s="18">
        <f>IFERROR(__xludf.DUMMYFUNCTION("""COMPUTED_VALUE"""),10.0)</f>
        <v>10</v>
      </c>
      <c r="L8129" s="17">
        <f>IFERROR(__xludf.DUMMYFUNCTION("""COMPUTED_VALUE"""),3.106565981E9)</f>
        <v>3106565981</v>
      </c>
      <c r="M8129" s="17"/>
      <c r="N8129" s="17"/>
      <c r="O8129" s="17"/>
      <c r="P8129" s="17" t="b">
        <f>IFERROR(__xludf.DUMMYFUNCTION("""COMPUTED_VALUE"""),FALSE)</f>
        <v>0</v>
      </c>
      <c r="Q8129" s="20" t="str">
        <f>IFERROR(__xludf.DUMMYFUNCTION("""COMPUTED_VALUE"""),"")</f>
        <v/>
      </c>
      <c r="R8129" s="21" t="str">
        <f>IFERROR(__xludf.DUMMYFUNCTION("""COMPUTED_VALUE"""),"https://drive.google.com/file/d/1uATMosqwZkVfudYVW4XeGESzUchNI11P/view?usp=drivesdk")</f>
        <v>https://drive.google.com/file/d/1uATMosqwZkVfudYVW4XeGESzUchNI11P/view?usp=drivesdk</v>
      </c>
    </row>
    <row r="8130">
      <c r="A8130" s="15">
        <f>IFERROR(__xludf.DUMMYFUNCTION("""COMPUTED_VALUE"""),45231.0)</f>
        <v>45231</v>
      </c>
      <c r="B8130" s="16" t="str">
        <f>IFERROR(__xludf.DUMMYFUNCTION("""COMPUTED_VALUE"""),"Alvaro Chacón")</f>
        <v>Alvaro Chacón</v>
      </c>
      <c r="C8130" s="15" t="str">
        <f>IFERROR(__xludf.DUMMYFUNCTION("""COMPUTED_VALUE"""),"BOGOTÁ")</f>
        <v>BOGOTÁ</v>
      </c>
      <c r="D8130" s="15" t="str">
        <f>IFERROR(__xludf.DUMMYFUNCTION("""COMPUTED_VALUE"""),"MEDELLÍN")</f>
        <v>MEDELLÍN</v>
      </c>
      <c r="E8130" s="15" t="str">
        <f>IFERROR(__xludf.DUMMYFUNCTION("""COMPUTED_VALUE"""),"AREPAS LA MARY")</f>
        <v>AREPAS LA MARY</v>
      </c>
      <c r="F8130" s="17" t="str">
        <f>IFERROR(__xludf.DUMMYFUNCTION("""COMPUTED_VALUE"""),"SIERRAS DEL ESTE / BOGOTA")</f>
        <v>SIERRAS DEL ESTE / BOGOTA</v>
      </c>
      <c r="G8130" s="15" t="str">
        <f>IFERROR(__xludf.DUMMYFUNCTION("""COMPUTED_VALUE"""),"ALEJANDRA ANTE RUBIO")</f>
        <v>ALEJANDRA ANTE RUBIO</v>
      </c>
      <c r="H8130" s="16">
        <f>IFERROR(__xludf.DUMMYFUNCTION("""COMPUTED_VALUE"""),16841.0)</f>
        <v>16841</v>
      </c>
      <c r="I8130" s="18">
        <f>IFERROR(__xludf.DUMMYFUNCTION("""COMPUTED_VALUE"""),89.0)</f>
        <v>89</v>
      </c>
      <c r="J8130" s="18">
        <f>IFERROR(__xludf.DUMMYFUNCTION("""COMPUTED_VALUE"""),1.0)</f>
        <v>1</v>
      </c>
      <c r="K8130" s="18">
        <f>IFERROR(__xludf.DUMMYFUNCTION("""COMPUTED_VALUE"""),10.0)</f>
        <v>10</v>
      </c>
      <c r="L8130" s="17" t="str">
        <f>IFERROR(__xludf.DUMMYFUNCTION("""COMPUTED_VALUE"""),"311 2059075")</f>
        <v>311 2059075</v>
      </c>
      <c r="M8130" s="17"/>
      <c r="N8130" s="17"/>
      <c r="O8130" s="17"/>
      <c r="P8130" s="17" t="b">
        <f>IFERROR(__xludf.DUMMYFUNCTION("""COMPUTED_VALUE"""),FALSE)</f>
        <v>0</v>
      </c>
      <c r="Q8130" s="20" t="str">
        <f>IFERROR(__xludf.DUMMYFUNCTION("""COMPUTED_VALUE"""),"")</f>
        <v/>
      </c>
      <c r="R8130" s="21" t="str">
        <f>IFERROR(__xludf.DUMMYFUNCTION("""COMPUTED_VALUE"""),"https://drive.google.com/file/d/1ByhCcKSaUqc6bZ1FU0GFriTFC3LT2bST/view?usp=drivesdk")</f>
        <v>https://drive.google.com/file/d/1ByhCcKSaUqc6bZ1FU0GFriTFC3LT2bST/view?usp=drivesdk</v>
      </c>
    </row>
    <row r="8131">
      <c r="A8131" s="15">
        <f>IFERROR(__xludf.DUMMYFUNCTION("""COMPUTED_VALUE"""),45231.0)</f>
        <v>45231</v>
      </c>
      <c r="B8131" s="16" t="str">
        <f>IFERROR(__xludf.DUMMYFUNCTION("""COMPUTED_VALUE"""),"Alvaro Chacón")</f>
        <v>Alvaro Chacón</v>
      </c>
      <c r="C8131" s="15" t="str">
        <f>IFERROR(__xludf.DUMMYFUNCTION("""COMPUTED_VALUE"""),"BOGOTÁ")</f>
        <v>BOGOTÁ</v>
      </c>
      <c r="D8131" s="15" t="str">
        <f>IFERROR(__xludf.DUMMYFUNCTION("""COMPUTED_VALUE"""),"MEDELLÍN")</f>
        <v>MEDELLÍN</v>
      </c>
      <c r="E8131" s="15" t="str">
        <f>IFERROR(__xludf.DUMMYFUNCTION("""COMPUTED_VALUE"""),"Baby Chef")</f>
        <v>Baby Chef</v>
      </c>
      <c r="F8131" s="17" t="str">
        <f>IFERROR(__xludf.DUMMYFUNCTION("""COMPUTED_VALUE"""),"Cra 13b # 148 46 Capri / . / .")</f>
        <v>Cra 13b # 148 46 Capri / . / .</v>
      </c>
      <c r="G8131" s="15" t="str">
        <f>IFERROR(__xludf.DUMMYFUNCTION("""COMPUTED_VALUE"""),"Monica Higuera")</f>
        <v>Monica Higuera</v>
      </c>
      <c r="H8131" s="16">
        <f>IFERROR(__xludf.DUMMYFUNCTION("""COMPUTED_VALUE"""),16853.0)</f>
        <v>16853</v>
      </c>
      <c r="I8131" s="18">
        <f>IFERROR(__xludf.DUMMYFUNCTION("""COMPUTED_VALUE"""),6.0)</f>
        <v>6</v>
      </c>
      <c r="J8131" s="18">
        <f>IFERROR(__xludf.DUMMYFUNCTION("""COMPUTED_VALUE"""),20.0)</f>
        <v>20</v>
      </c>
      <c r="K8131" s="18">
        <f>IFERROR(__xludf.DUMMYFUNCTION("""COMPUTED_VALUE"""),22.0)</f>
        <v>22</v>
      </c>
      <c r="L8131" s="17">
        <f>IFERROR(__xludf.DUMMYFUNCTION("""COMPUTED_VALUE"""),3.13419E9)</f>
        <v>3134190000</v>
      </c>
      <c r="M8131" s="17"/>
      <c r="N8131" s="17"/>
      <c r="O8131" s="17"/>
      <c r="P8131" s="17" t="b">
        <f>IFERROR(__xludf.DUMMYFUNCTION("""COMPUTED_VALUE"""),FALSE)</f>
        <v>0</v>
      </c>
      <c r="Q8131" s="20" t="str">
        <f>IFERROR(__xludf.DUMMYFUNCTION("""COMPUTED_VALUE"""),"")</f>
        <v/>
      </c>
      <c r="R8131" s="21" t="str">
        <f>IFERROR(__xludf.DUMMYFUNCTION("""COMPUTED_VALUE"""),"https://drive.google.com/file/d/157BaENQGDcHA1gKkbtCtZvQYsJioQZ6w/view?usp=drivesdk")</f>
        <v>https://drive.google.com/file/d/157BaENQGDcHA1gKkbtCtZvQYsJioQZ6w/view?usp=drivesdk</v>
      </c>
    </row>
    <row r="8132">
      <c r="A8132" s="15">
        <f>IFERROR(__xludf.DUMMYFUNCTION("""COMPUTED_VALUE"""),45231.0)</f>
        <v>45231</v>
      </c>
      <c r="B8132" s="16" t="str">
        <f>IFERROR(__xludf.DUMMYFUNCTION("""COMPUTED_VALUE"""),"Alvaro Chacón")</f>
        <v>Alvaro Chacón</v>
      </c>
      <c r="C8132" s="15" t="str">
        <f>IFERROR(__xludf.DUMMYFUNCTION("""COMPUTED_VALUE"""),"MONTERIA")</f>
        <v>MONTERIA</v>
      </c>
      <c r="D8132" s="15" t="str">
        <f>IFERROR(__xludf.DUMMYFUNCTION("""COMPUTED_VALUE"""),"BOGOTÁ")</f>
        <v>BOGOTÁ</v>
      </c>
      <c r="E8132" s="15" t="str">
        <f>IFERROR(__xludf.DUMMYFUNCTION("""COMPUTED_VALUE"""),"LINA PAOLA RAMIREZ GOMEZ - EVA MAZZITA")</f>
        <v>LINA PAOLA RAMIREZ GOMEZ - EVA MAZZITA</v>
      </c>
      <c r="F8132" s="17" t="str">
        <f>IFERROR(__xludf.DUMMYFUNCTION("""COMPUTED_VALUE"""),"CRA 14A No. 54 . 23 / BARRIO MONTEVERDE")</f>
        <v>CRA 14A No. 54 . 23 / BARRIO MONTEVERDE</v>
      </c>
      <c r="G8132" s="15" t="str">
        <f>IFERROR(__xludf.DUMMYFUNCTION("""COMPUTED_VALUE"""),"EMILIA MIRANDA")</f>
        <v>EMILIA MIRANDA</v>
      </c>
      <c r="H8132" s="16">
        <f>IFERROR(__xludf.DUMMYFUNCTION("""COMPUTED_VALUE"""),16770.0)</f>
        <v>16770</v>
      </c>
      <c r="I8132" s="17"/>
      <c r="J8132" s="17"/>
      <c r="K8132" s="17"/>
      <c r="L8132" s="17">
        <f>IFERROR(__xludf.DUMMYFUNCTION("""COMPUTED_VALUE"""),3.113438505E9)</f>
        <v>3113438505</v>
      </c>
      <c r="M8132" s="17"/>
      <c r="N8132" s="17"/>
      <c r="O8132" s="17"/>
      <c r="P8132" s="17" t="b">
        <f>IFERROR(__xludf.DUMMYFUNCTION("""COMPUTED_VALUE"""),FALSE)</f>
        <v>0</v>
      </c>
      <c r="Q8132" s="20" t="str">
        <f>IFERROR(__xludf.DUMMYFUNCTION("""COMPUTED_VALUE"""),"")</f>
        <v/>
      </c>
      <c r="R8132" s="22" t="str">
        <f>IFERROR(__xludf.DUMMYFUNCTION("""COMPUTED_VALUE"""),"")</f>
        <v/>
      </c>
    </row>
    <row r="8133">
      <c r="A8133" s="17" t="str">
        <f>IFERROR(__xludf.DUMMYFUNCTION("""COMPUTED_VALUE"""),"")</f>
        <v/>
      </c>
      <c r="B8133" s="17" t="str">
        <f>IFERROR(__xludf.DUMMYFUNCTION("""COMPUTED_VALUE"""),"")</f>
        <v/>
      </c>
      <c r="C8133" s="17" t="str">
        <f>IFERROR(__xludf.DUMMYFUNCTION("""COMPUTED_VALUE"""),"")</f>
        <v/>
      </c>
      <c r="D8133" s="17" t="str">
        <f>IFERROR(__xludf.DUMMYFUNCTION("""COMPUTED_VALUE"""),"")</f>
        <v/>
      </c>
      <c r="E8133" s="17" t="str">
        <f>IFERROR(__xludf.DUMMYFUNCTION("""COMPUTED_VALUE"""),"")</f>
        <v/>
      </c>
      <c r="F8133" s="17" t="str">
        <f>IFERROR(__xludf.DUMMYFUNCTION("""COMPUTED_VALUE"""),"")</f>
        <v/>
      </c>
      <c r="G8133" s="17" t="str">
        <f>IFERROR(__xludf.DUMMYFUNCTION("""COMPUTED_VALUE"""),"")</f>
        <v/>
      </c>
      <c r="H8133" s="17" t="str">
        <f>IFERROR(__xludf.DUMMYFUNCTION("""COMPUTED_VALUE"""),"")</f>
        <v/>
      </c>
      <c r="I8133" s="17" t="str">
        <f>IFERROR(__xludf.DUMMYFUNCTION("""COMPUTED_VALUE"""),"")</f>
        <v/>
      </c>
      <c r="J8133" s="17" t="str">
        <f>IFERROR(__xludf.DUMMYFUNCTION("""COMPUTED_VALUE"""),"")</f>
        <v/>
      </c>
      <c r="K8133" s="17" t="str">
        <f>IFERROR(__xludf.DUMMYFUNCTION("""COMPUTED_VALUE"""),"")</f>
        <v/>
      </c>
      <c r="L8133" s="17" t="str">
        <f>IFERROR(__xludf.DUMMYFUNCTION("""COMPUTED_VALUE"""),"")</f>
        <v/>
      </c>
      <c r="M8133" s="17" t="str">
        <f>IFERROR(__xludf.DUMMYFUNCTION("""COMPUTED_VALUE"""),"")</f>
        <v/>
      </c>
      <c r="N8133" s="17" t="str">
        <f>IFERROR(__xludf.DUMMYFUNCTION("""COMPUTED_VALUE"""),"")</f>
        <v/>
      </c>
      <c r="O8133" s="17" t="str">
        <f>IFERROR(__xludf.DUMMYFUNCTION("""COMPUTED_VALUE"""),"")</f>
        <v/>
      </c>
      <c r="P8133" s="17" t="str">
        <f>IFERROR(__xludf.DUMMYFUNCTION("""COMPUTED_VALUE"""),"")</f>
        <v/>
      </c>
      <c r="Q8133" s="17" t="str">
        <f>IFERROR(__xludf.DUMMYFUNCTION("""COMPUTED_VALUE"""),"")</f>
        <v/>
      </c>
      <c r="R8133" s="17" t="str">
        <f>IFERROR(__xludf.DUMMYFUNCTION("""COMPUTED_VALUE"""),"")</f>
        <v/>
      </c>
    </row>
    <row r="8134">
      <c r="A8134" s="17" t="str">
        <f>IFERROR(__xludf.DUMMYFUNCTION("""COMPUTED_VALUE"""),"")</f>
        <v/>
      </c>
      <c r="B8134" s="17" t="str">
        <f>IFERROR(__xludf.DUMMYFUNCTION("""COMPUTED_VALUE"""),"")</f>
        <v/>
      </c>
      <c r="C8134" s="17" t="str">
        <f>IFERROR(__xludf.DUMMYFUNCTION("""COMPUTED_VALUE"""),"")</f>
        <v/>
      </c>
      <c r="D8134" s="17" t="str">
        <f>IFERROR(__xludf.DUMMYFUNCTION("""COMPUTED_VALUE"""),"")</f>
        <v/>
      </c>
      <c r="E8134" s="17" t="str">
        <f>IFERROR(__xludf.DUMMYFUNCTION("""COMPUTED_VALUE"""),"")</f>
        <v/>
      </c>
      <c r="F8134" s="17" t="str">
        <f>IFERROR(__xludf.DUMMYFUNCTION("""COMPUTED_VALUE"""),"")</f>
        <v/>
      </c>
      <c r="G8134" s="17" t="str">
        <f>IFERROR(__xludf.DUMMYFUNCTION("""COMPUTED_VALUE"""),"")</f>
        <v/>
      </c>
      <c r="H8134" s="17" t="str">
        <f>IFERROR(__xludf.DUMMYFUNCTION("""COMPUTED_VALUE"""),"")</f>
        <v/>
      </c>
      <c r="I8134" s="17" t="str">
        <f>IFERROR(__xludf.DUMMYFUNCTION("""COMPUTED_VALUE"""),"")</f>
        <v/>
      </c>
      <c r="J8134" s="17" t="str">
        <f>IFERROR(__xludf.DUMMYFUNCTION("""COMPUTED_VALUE"""),"")</f>
        <v/>
      </c>
      <c r="K8134" s="17" t="str">
        <f>IFERROR(__xludf.DUMMYFUNCTION("""COMPUTED_VALUE"""),"")</f>
        <v/>
      </c>
      <c r="L8134" s="17" t="str">
        <f>IFERROR(__xludf.DUMMYFUNCTION("""COMPUTED_VALUE"""),"")</f>
        <v/>
      </c>
      <c r="M8134" s="17" t="str">
        <f>IFERROR(__xludf.DUMMYFUNCTION("""COMPUTED_VALUE"""),"")</f>
        <v/>
      </c>
      <c r="N8134" s="17" t="str">
        <f>IFERROR(__xludf.DUMMYFUNCTION("""COMPUTED_VALUE"""),"")</f>
        <v/>
      </c>
      <c r="O8134" s="17" t="str">
        <f>IFERROR(__xludf.DUMMYFUNCTION("""COMPUTED_VALUE"""),"")</f>
        <v/>
      </c>
      <c r="P8134" s="17" t="str">
        <f>IFERROR(__xludf.DUMMYFUNCTION("""COMPUTED_VALUE"""),"")</f>
        <v/>
      </c>
      <c r="Q8134" s="17" t="str">
        <f>IFERROR(__xludf.DUMMYFUNCTION("""COMPUTED_VALUE"""),"")</f>
        <v/>
      </c>
      <c r="R8134" s="17" t="str">
        <f>IFERROR(__xludf.DUMMYFUNCTION("""COMPUTED_VALUE"""),"")</f>
        <v/>
      </c>
    </row>
    <row r="8135">
      <c r="A8135" s="15">
        <f>IFERROR(__xludf.DUMMYFUNCTION("""COMPUTED_VALUE"""),45231.0)</f>
        <v>45231</v>
      </c>
      <c r="B8135" s="16" t="str">
        <f>IFERROR(__xludf.DUMMYFUNCTION("""COMPUTED_VALUE"""),"Anuar suarez jimenez ")</f>
        <v>Anuar suarez jimenez </v>
      </c>
      <c r="C8135" s="15" t="str">
        <f>IFERROR(__xludf.DUMMYFUNCTION("""COMPUTED_VALUE"""),"VALLEDUPAR")</f>
        <v>VALLEDUPAR</v>
      </c>
      <c r="D8135" s="15" t="str">
        <f>IFERROR(__xludf.DUMMYFUNCTION("""COMPUTED_VALUE"""),"BUCARAMANGA")</f>
        <v>BUCARAMANGA</v>
      </c>
      <c r="E8135" s="15" t="str">
        <f>IFERROR(__xludf.DUMMYFUNCTION("""COMPUTED_VALUE"""),"Yo Como Solito")</f>
        <v>Yo Como Solito</v>
      </c>
      <c r="F8135" s="17" t="str">
        <f>IFERROR(__xludf.DUMMYFUNCTION("""COMPUTED_VALUE"""),"CARRERA 49 #5 H 06 NEVADQ /FERRETERIA ALEXANDRA / CARRERA 49 #5 H 06 NEVADQ /FERRETERIA ALEXANDRA / CARRERA 49 #5 H 06 NEVADQ /FERRETERIA ALEXANDRA")</f>
        <v>CARRERA 49 #5 H 06 NEVADQ /FERRETERIA ALEXANDRA / CARRERA 49 #5 H 06 NEVADQ /FERRETERIA ALEXANDRA / CARRERA 49 #5 H 06 NEVADQ /FERRETERIA ALEXANDRA</v>
      </c>
      <c r="G8135" s="15" t="str">
        <f>IFERROR(__xludf.DUMMYFUNCTION("""COMPUTED_VALUE"""),"LUDY MARIA RAMOS DELGADILLO")</f>
        <v>LUDY MARIA RAMOS DELGADILLO</v>
      </c>
      <c r="H8135" s="16">
        <f>IFERROR(__xludf.DUMMYFUNCTION("""COMPUTED_VALUE"""),16681.0)</f>
        <v>16681</v>
      </c>
      <c r="I8135" s="18">
        <f>IFERROR(__xludf.DUMMYFUNCTION("""COMPUTED_VALUE"""),18.0)</f>
        <v>18</v>
      </c>
      <c r="J8135" s="18">
        <f>IFERROR(__xludf.DUMMYFUNCTION("""COMPUTED_VALUE"""),25.0)</f>
        <v>25</v>
      </c>
      <c r="K8135" s="18">
        <f>IFERROR(__xludf.DUMMYFUNCTION("""COMPUTED_VALUE"""),26.0)</f>
        <v>26</v>
      </c>
      <c r="L8135" s="17">
        <f>IFERROR(__xludf.DUMMYFUNCTION("""COMPUTED_VALUE"""),3.114018294E9)</f>
        <v>3114018294</v>
      </c>
      <c r="M8135" s="17"/>
      <c r="N8135" s="17"/>
      <c r="O8135" s="17"/>
      <c r="P8135" s="17" t="b">
        <f>IFERROR(__xludf.DUMMYFUNCTION("""COMPUTED_VALUE"""),FALSE)</f>
        <v>0</v>
      </c>
      <c r="Q8135" s="20" t="str">
        <f>IFERROR(__xludf.DUMMYFUNCTION("""COMPUTED_VALUE"""),"")</f>
        <v/>
      </c>
      <c r="R8135" s="21" t="str">
        <f>IFERROR(__xludf.DUMMYFUNCTION("""COMPUTED_VALUE"""),"https://drive.google.com/file/d/1kTY6C84FKt3YvGo56zfvbvNa4aTwx0hQ/view?usp=drivesdk")</f>
        <v>https://drive.google.com/file/d/1kTY6C84FKt3YvGo56zfvbvNa4aTwx0hQ/view?usp=drivesdk</v>
      </c>
    </row>
    <row r="8136">
      <c r="A8136" s="17" t="str">
        <f>IFERROR(__xludf.DUMMYFUNCTION("""COMPUTED_VALUE"""),"")</f>
        <v/>
      </c>
      <c r="B8136" s="17" t="str">
        <f>IFERROR(__xludf.DUMMYFUNCTION("""COMPUTED_VALUE"""),"")</f>
        <v/>
      </c>
      <c r="C8136" s="17" t="str">
        <f>IFERROR(__xludf.DUMMYFUNCTION("""COMPUTED_VALUE"""),"")</f>
        <v/>
      </c>
      <c r="D8136" s="17" t="str">
        <f>IFERROR(__xludf.DUMMYFUNCTION("""COMPUTED_VALUE"""),"")</f>
        <v/>
      </c>
      <c r="E8136" s="17" t="str">
        <f>IFERROR(__xludf.DUMMYFUNCTION("""COMPUTED_VALUE"""),"")</f>
        <v/>
      </c>
      <c r="F8136" s="17" t="str">
        <f>IFERROR(__xludf.DUMMYFUNCTION("""COMPUTED_VALUE"""),"")</f>
        <v/>
      </c>
      <c r="G8136" s="17" t="str">
        <f>IFERROR(__xludf.DUMMYFUNCTION("""COMPUTED_VALUE"""),"")</f>
        <v/>
      </c>
      <c r="H8136" s="17" t="str">
        <f>IFERROR(__xludf.DUMMYFUNCTION("""COMPUTED_VALUE"""),"")</f>
        <v/>
      </c>
      <c r="I8136" s="17" t="str">
        <f>IFERROR(__xludf.DUMMYFUNCTION("""COMPUTED_VALUE"""),"")</f>
        <v/>
      </c>
      <c r="J8136" s="17" t="str">
        <f>IFERROR(__xludf.DUMMYFUNCTION("""COMPUTED_VALUE"""),"")</f>
        <v/>
      </c>
      <c r="K8136" s="17" t="str">
        <f>IFERROR(__xludf.DUMMYFUNCTION("""COMPUTED_VALUE"""),"")</f>
        <v/>
      </c>
      <c r="L8136" s="17" t="str">
        <f>IFERROR(__xludf.DUMMYFUNCTION("""COMPUTED_VALUE"""),"")</f>
        <v/>
      </c>
      <c r="M8136" s="17" t="str">
        <f>IFERROR(__xludf.DUMMYFUNCTION("""COMPUTED_VALUE"""),"")</f>
        <v/>
      </c>
      <c r="N8136" s="17" t="str">
        <f>IFERROR(__xludf.DUMMYFUNCTION("""COMPUTED_VALUE"""),"")</f>
        <v/>
      </c>
      <c r="O8136" s="17" t="str">
        <f>IFERROR(__xludf.DUMMYFUNCTION("""COMPUTED_VALUE"""),"")</f>
        <v/>
      </c>
      <c r="P8136" s="17" t="str">
        <f>IFERROR(__xludf.DUMMYFUNCTION("""COMPUTED_VALUE"""),"")</f>
        <v/>
      </c>
      <c r="Q8136" s="17" t="str">
        <f>IFERROR(__xludf.DUMMYFUNCTION("""COMPUTED_VALUE"""),"")</f>
        <v/>
      </c>
      <c r="R8136" s="17" t="str">
        <f>IFERROR(__xludf.DUMMYFUNCTION("""COMPUTED_VALUE"""),"")</f>
        <v/>
      </c>
    </row>
    <row r="8137">
      <c r="A8137" s="15">
        <f>IFERROR(__xludf.DUMMYFUNCTION("""COMPUTED_VALUE"""),45231.0)</f>
        <v>45231</v>
      </c>
      <c r="B8137" s="16" t="str">
        <f>IFERROR(__xludf.DUMMYFUNCTION("""COMPUTED_VALUE"""),"Envia")</f>
        <v>Envia</v>
      </c>
      <c r="C8137" s="15" t="str">
        <f>IFERROR(__xludf.DUMMYFUNCTION("""COMPUTED_VALUE"""),"BARRANQUILLA")</f>
        <v>BARRANQUILLA</v>
      </c>
      <c r="D8137" s="15" t="str">
        <f>IFERROR(__xludf.DUMMYFUNCTION("""COMPUTED_VALUE"""),"BOGOTÁ")</f>
        <v>BOGOTÁ</v>
      </c>
      <c r="E8137" s="15" t="str">
        <f>IFERROR(__xludf.DUMMYFUNCTION("""COMPUTED_VALUE"""),"INVERSIONES MOCHI")</f>
        <v>INVERSIONES MOCHI</v>
      </c>
      <c r="F8137" s="17" t="str">
        <f>IFERROR(__xludf.DUMMYFUNCTION("""COMPUTED_VALUE"""),"cra 51b #87-50 / centro comercial viva barranquilla")</f>
        <v>cra 51b #87-50 / centro comercial viva barranquilla</v>
      </c>
      <c r="G8137" s="15" t="str">
        <f>IFERROR(__xludf.DUMMYFUNCTION("""COMPUTED_VALUE"""),"centro comercial viva Barranquilla")</f>
        <v>centro comercial viva Barranquilla</v>
      </c>
      <c r="H8137" s="16">
        <f>IFERROR(__xludf.DUMMYFUNCTION("""COMPUTED_VALUE"""),16870.0)</f>
        <v>16870</v>
      </c>
      <c r="I8137" s="17"/>
      <c r="J8137" s="17"/>
      <c r="K8137" s="17"/>
      <c r="L8137" s="17">
        <f>IFERROR(__xludf.DUMMYFUNCTION("""COMPUTED_VALUE"""),3.116026252E9)</f>
        <v>3116026252</v>
      </c>
      <c r="M8137" s="17"/>
      <c r="N8137" s="17"/>
      <c r="O8137" s="17"/>
      <c r="P8137" s="17" t="b">
        <f>IFERROR(__xludf.DUMMYFUNCTION("""COMPUTED_VALUE"""),FALSE)</f>
        <v>0</v>
      </c>
      <c r="Q8137" s="20" t="str">
        <f>IFERROR(__xludf.DUMMYFUNCTION("""COMPUTED_VALUE"""),"")</f>
        <v/>
      </c>
      <c r="R8137" s="21" t="str">
        <f>IFERROR(__xludf.DUMMYFUNCTION("""COMPUTED_VALUE"""),"https://drive.google.com/file/d/1XdH0vtJ2lABnWNljPbv-lGeB7Ms4YjTt/view?usp=drivesdk")</f>
        <v>https://drive.google.com/file/d/1XdH0vtJ2lABnWNljPbv-lGeB7Ms4YjTt/view?usp=drivesdk</v>
      </c>
    </row>
    <row r="8138">
      <c r="A8138" s="15">
        <f>IFERROR(__xludf.DUMMYFUNCTION("""COMPUTED_VALUE"""),45231.0)</f>
        <v>45231</v>
      </c>
      <c r="B8138" s="16" t="str">
        <f>IFERROR(__xludf.DUMMYFUNCTION("""COMPUTED_VALUE"""),"Envia")</f>
        <v>Envia</v>
      </c>
      <c r="C8138" s="15" t="str">
        <f>IFERROR(__xludf.DUMMYFUNCTION("""COMPUTED_VALUE"""),"BOGOTÁ")</f>
        <v>BOGOTÁ</v>
      </c>
      <c r="D8138" s="15" t="str">
        <f>IFERROR(__xludf.DUMMYFUNCTION("""COMPUTED_VALUE"""),"MEDELLÍN")</f>
        <v>MEDELLÍN</v>
      </c>
      <c r="E8138" s="15" t="str">
        <f>IFERROR(__xludf.DUMMYFUNCTION("""COMPUTED_VALUE"""),"Moloso S.A.S")</f>
        <v>Moloso S.A.S</v>
      </c>
      <c r="F8138" s="17" t="str">
        <f>IFERROR(__xludf.DUMMYFUNCTION("""COMPUTED_VALUE"""),"CALLE 90 9A 51 / ED MT3 AP 403")</f>
        <v>CALLE 90 9A 51 / ED MT3 AP 403</v>
      </c>
      <c r="G8138" s="15" t="str">
        <f>IFERROR(__xludf.DUMMYFUNCTION("""COMPUTED_VALUE"""),"MARIA XIMENA GUZMAN DEL CASTILLO")</f>
        <v>MARIA XIMENA GUZMAN DEL CASTILLO</v>
      </c>
      <c r="H8138" s="16">
        <f>IFERROR(__xludf.DUMMYFUNCTION("""COMPUTED_VALUE"""),16869.0)</f>
        <v>16869</v>
      </c>
      <c r="I8138" s="17"/>
      <c r="J8138" s="17"/>
      <c r="K8138" s="17"/>
      <c r="L8138" s="17"/>
      <c r="M8138" s="17"/>
      <c r="N8138" s="17"/>
      <c r="O8138" s="17"/>
      <c r="P8138" s="17" t="b">
        <f>IFERROR(__xludf.DUMMYFUNCTION("""COMPUTED_VALUE"""),FALSE)</f>
        <v>0</v>
      </c>
      <c r="Q8138" s="20" t="str">
        <f>IFERROR(__xludf.DUMMYFUNCTION("""COMPUTED_VALUE"""),"")</f>
        <v/>
      </c>
      <c r="R8138" s="21" t="str">
        <f>IFERROR(__xludf.DUMMYFUNCTION("""COMPUTED_VALUE"""),"https://drive.google.com/file/d/12Hu9dYDrBYiafumW9wONmCLA91jLsdTn/view?usp=drivesdk")</f>
        <v>https://drive.google.com/file/d/12Hu9dYDrBYiafumW9wONmCLA91jLsdTn/view?usp=drivesdk</v>
      </c>
    </row>
    <row r="8139">
      <c r="A8139" s="15">
        <f>IFERROR(__xludf.DUMMYFUNCTION("""COMPUTED_VALUE"""),45231.0)</f>
        <v>45231</v>
      </c>
      <c r="B8139" s="16" t="str">
        <f>IFERROR(__xludf.DUMMYFUNCTION("""COMPUTED_VALUE"""),"Envia")</f>
        <v>Envia</v>
      </c>
      <c r="C8139" s="15" t="str">
        <f>IFERROR(__xludf.DUMMYFUNCTION("""COMPUTED_VALUE"""),"BOGOTÁ")</f>
        <v>BOGOTÁ</v>
      </c>
      <c r="D8139" s="15" t="str">
        <f>IFERROR(__xludf.DUMMYFUNCTION("""COMPUTED_VALUE"""),"MEDELLÍN")</f>
        <v>MEDELLÍN</v>
      </c>
      <c r="E8139" s="15" t="str">
        <f>IFERROR(__xludf.DUMMYFUNCTION("""COMPUTED_VALUE"""),"Terravocado")</f>
        <v>Terravocado</v>
      </c>
      <c r="F8139" s="17" t="str">
        <f>IFERROR(__xludf.DUMMYFUNCTION("""COMPUTED_VALUE"""),"KR 13 # 98 - 48 / CHICO NORTE")</f>
        <v>KR 13 # 98 - 48 / CHICO NORTE</v>
      </c>
      <c r="G8139" s="15" t="str">
        <f>IFERROR(__xludf.DUMMYFUNCTION("""COMPUTED_VALUE"""),"ALPARKE SAS")</f>
        <v>ALPARKE SAS</v>
      </c>
      <c r="H8139" s="16">
        <f>IFERROR(__xludf.DUMMYFUNCTION("""COMPUTED_VALUE"""),16737.0)</f>
        <v>16737</v>
      </c>
      <c r="I8139" s="17"/>
      <c r="J8139" s="17"/>
      <c r="K8139" s="17"/>
      <c r="L8139" s="17">
        <f>IFERROR(__xludf.DUMMYFUNCTION("""COMPUTED_VALUE"""),3.112130876E9)</f>
        <v>3112130876</v>
      </c>
      <c r="M8139" s="17"/>
      <c r="N8139" s="17"/>
      <c r="O8139" s="17"/>
      <c r="P8139" s="17" t="b">
        <f>IFERROR(__xludf.DUMMYFUNCTION("""COMPUTED_VALUE"""),FALSE)</f>
        <v>0</v>
      </c>
      <c r="Q8139" s="20" t="str">
        <f>IFERROR(__xludf.DUMMYFUNCTION("""COMPUTED_VALUE"""),"")</f>
        <v/>
      </c>
      <c r="R8139" s="21" t="str">
        <f>IFERROR(__xludf.DUMMYFUNCTION("""COMPUTED_VALUE"""),"https://drive.google.com/file/d/1CVHvwCvf7ZEh3zMgmMPxuSg5CJa6h7R7/view?usp=drivesdk")</f>
        <v>https://drive.google.com/file/d/1CVHvwCvf7ZEh3zMgmMPxuSg5CJa6h7R7/view?usp=drivesdk</v>
      </c>
    </row>
    <row r="8140">
      <c r="A8140" s="15">
        <f>IFERROR(__xludf.DUMMYFUNCTION("""COMPUTED_VALUE"""),45231.0)</f>
        <v>45231</v>
      </c>
      <c r="B8140" s="16" t="str">
        <f>IFERROR(__xludf.DUMMYFUNCTION("""COMPUTED_VALUE"""),"Envia")</f>
        <v>Envia</v>
      </c>
      <c r="C8140" s="15" t="str">
        <f>IFERROR(__xludf.DUMMYFUNCTION("""COMPUTED_VALUE"""),"CALI")</f>
        <v>CALI</v>
      </c>
      <c r="D8140" s="15" t="str">
        <f>IFERROR(__xludf.DUMMYFUNCTION("""COMPUTED_VALUE"""),"MEDELLÍN")</f>
        <v>MEDELLÍN</v>
      </c>
      <c r="E8140" s="15" t="str">
        <f>IFERROR(__xludf.DUMMYFUNCTION("""COMPUTED_VALUE"""),"Carnicos Fricar")</f>
        <v>Carnicos Fricar</v>
      </c>
      <c r="F8140" s="17" t="str">
        <f>IFERROR(__xludf.DUMMYFUNCTION("""COMPUTED_VALUE"""),"calle 13 # 31 - 45 cali - SUPER INTER LA LUNA / ALMACEN SUPER INTER LA LUNA CALI")</f>
        <v>calle 13 # 31 - 45 cali - SUPER INTER LA LUNA / ALMACEN SUPER INTER LA LUNA CALI</v>
      </c>
      <c r="G8140" s="15" t="str">
        <f>IFERROR(__xludf.DUMMYFUNCTION("""COMPUTED_VALUE"""),"PAOLA GARCIA SERNA - MUESTRA SHOW ROOM NAVIDAD")</f>
        <v>PAOLA GARCIA SERNA - MUESTRA SHOW ROOM NAVIDAD</v>
      </c>
      <c r="H8140" s="16">
        <f>IFERROR(__xludf.DUMMYFUNCTION("""COMPUTED_VALUE"""),16761.0)</f>
        <v>16761</v>
      </c>
      <c r="I8140" s="17"/>
      <c r="J8140" s="17"/>
      <c r="K8140" s="17"/>
      <c r="L8140" s="17">
        <f>IFERROR(__xludf.DUMMYFUNCTION("""COMPUTED_VALUE"""),3.105324801E9)</f>
        <v>3105324801</v>
      </c>
      <c r="M8140" s="17"/>
      <c r="N8140" s="17"/>
      <c r="O8140" s="17"/>
      <c r="P8140" s="17" t="b">
        <f>IFERROR(__xludf.DUMMYFUNCTION("""COMPUTED_VALUE"""),FALSE)</f>
        <v>0</v>
      </c>
      <c r="Q8140" s="20" t="str">
        <f>IFERROR(__xludf.DUMMYFUNCTION("""COMPUTED_VALUE"""),"")</f>
        <v/>
      </c>
      <c r="R8140" s="21" t="str">
        <f>IFERROR(__xludf.DUMMYFUNCTION("""COMPUTED_VALUE"""),"https://drive.google.com/file/d/1q4pTq7J1MHGGbNJIA7okstsEuzWWcWZc/view?usp=drivesdk")</f>
        <v>https://drive.google.com/file/d/1q4pTq7J1MHGGbNJIA7okstsEuzWWcWZc/view?usp=drivesdk</v>
      </c>
    </row>
    <row r="8141">
      <c r="A8141" s="15">
        <f>IFERROR(__xludf.DUMMYFUNCTION("""COMPUTED_VALUE"""),45231.0)</f>
        <v>45231</v>
      </c>
      <c r="B8141" s="16" t="str">
        <f>IFERROR(__xludf.DUMMYFUNCTION("""COMPUTED_VALUE"""),"Envia")</f>
        <v>Envia</v>
      </c>
      <c r="C8141" s="15" t="str">
        <f>IFERROR(__xludf.DUMMYFUNCTION("""COMPUTED_VALUE"""),"CALI")</f>
        <v>CALI</v>
      </c>
      <c r="D8141" s="15" t="str">
        <f>IFERROR(__xludf.DUMMYFUNCTION("""COMPUTED_VALUE"""),"MEDELLÍN")</f>
        <v>MEDELLÍN</v>
      </c>
      <c r="E8141" s="15" t="str">
        <f>IFERROR(__xludf.DUMMYFUNCTION("""COMPUTED_VALUE"""),"Es un Balance")</f>
        <v>Es un Balance</v>
      </c>
      <c r="F8141" s="17" t="str">
        <f>IFERROR(__xludf.DUMMYFUNCTION("""COMPUTED_VALUE"""),"Av 4 Norte 7n 46   / Centro Comercial Centenario Cali valle local 129  / Barrio centenario")</f>
        <v>Av 4 Norte 7n 46   / Centro Comercial Centenario Cali valle local 129  / Barrio centenario</v>
      </c>
      <c r="G8141" s="15" t="str">
        <f>IFERROR(__xludf.DUMMYFUNCTION("""COMPUTED_VALUE"""),":  Mauren Forero")</f>
        <v>:  Mauren Forero</v>
      </c>
      <c r="H8141" s="16">
        <f>IFERROR(__xludf.DUMMYFUNCTION("""COMPUTED_VALUE"""),16849.0)</f>
        <v>16849</v>
      </c>
      <c r="I8141" s="18">
        <f>IFERROR(__xludf.DUMMYFUNCTION("""COMPUTED_VALUE"""),24.0)</f>
        <v>24</v>
      </c>
      <c r="J8141" s="18">
        <f>IFERROR(__xludf.DUMMYFUNCTION("""COMPUTED_VALUE"""),29.0)</f>
        <v>29</v>
      </c>
      <c r="K8141" s="18">
        <f>IFERROR(__xludf.DUMMYFUNCTION("""COMPUTED_VALUE"""),40.0)</f>
        <v>40</v>
      </c>
      <c r="L8141" s="17">
        <f>IFERROR(__xludf.DUMMYFUNCTION("""COMPUTED_VALUE"""),3.10443232E9)</f>
        <v>3104432320</v>
      </c>
      <c r="M8141" s="17"/>
      <c r="N8141" s="17"/>
      <c r="O8141" s="17"/>
      <c r="P8141" s="17" t="b">
        <f>IFERROR(__xludf.DUMMYFUNCTION("""COMPUTED_VALUE"""),FALSE)</f>
        <v>0</v>
      </c>
      <c r="Q8141" s="20" t="str">
        <f>IFERROR(__xludf.DUMMYFUNCTION("""COMPUTED_VALUE"""),"")</f>
        <v/>
      </c>
      <c r="R8141" s="21" t="str">
        <f>IFERROR(__xludf.DUMMYFUNCTION("""COMPUTED_VALUE"""),"https://drive.google.com/file/d/1s6woSyr5q6r1vEOD8i5x79TAyXCi67TN/view?usp=drivesdk")</f>
        <v>https://drive.google.com/file/d/1s6woSyr5q6r1vEOD8i5x79TAyXCi67TN/view?usp=drivesdk</v>
      </c>
    </row>
    <row r="8142">
      <c r="A8142" s="15">
        <f>IFERROR(__xludf.DUMMYFUNCTION("""COMPUTED_VALUE"""),45231.0)</f>
        <v>45231</v>
      </c>
      <c r="B8142" s="16" t="str">
        <f>IFERROR(__xludf.DUMMYFUNCTION("""COMPUTED_VALUE"""),"Envia")</f>
        <v>Envia</v>
      </c>
      <c r="C8142" s="15" t="str">
        <f>IFERROR(__xludf.DUMMYFUNCTION("""COMPUTED_VALUE"""),"CALI")</f>
        <v>CALI</v>
      </c>
      <c r="D8142" s="15" t="str">
        <f>IFERROR(__xludf.DUMMYFUNCTION("""COMPUTED_VALUE"""),"MEDELLÍN")</f>
        <v>MEDELLÍN</v>
      </c>
      <c r="E8142" s="15" t="str">
        <f>IFERROR(__xludf.DUMMYFUNCTION("""COMPUTED_VALUE"""),"jdbufala")</f>
        <v>jdbufala</v>
      </c>
      <c r="F8142" s="17" t="str">
        <f>IFERROR(__xludf.DUMMYFUNCTION("""COMPUTED_VALUE"""),"Calle 51 norte # 4bn 72 / Delhuertopizzeria")</f>
        <v>Calle 51 norte # 4bn 72 / Delhuertopizzeria</v>
      </c>
      <c r="G8142" s="15" t="str">
        <f>IFERROR(__xludf.DUMMYFUNCTION("""COMPUTED_VALUE"""),"Javier")</f>
        <v>Javier</v>
      </c>
      <c r="H8142" s="16">
        <f>IFERROR(__xludf.DUMMYFUNCTION("""COMPUTED_VALUE"""),16865.0)</f>
        <v>16865</v>
      </c>
      <c r="I8142" s="17"/>
      <c r="J8142" s="17"/>
      <c r="K8142" s="17"/>
      <c r="L8142" s="17">
        <f>IFERROR(__xludf.DUMMYFUNCTION("""COMPUTED_VALUE"""),3.206763524E9)</f>
        <v>3206763524</v>
      </c>
      <c r="M8142" s="17"/>
      <c r="N8142" s="17"/>
      <c r="O8142" s="17"/>
      <c r="P8142" s="17" t="b">
        <f>IFERROR(__xludf.DUMMYFUNCTION("""COMPUTED_VALUE"""),FALSE)</f>
        <v>0</v>
      </c>
      <c r="Q8142" s="20" t="str">
        <f>IFERROR(__xludf.DUMMYFUNCTION("""COMPUTED_VALUE"""),"")</f>
        <v/>
      </c>
      <c r="R8142" s="21" t="str">
        <f>IFERROR(__xludf.DUMMYFUNCTION("""COMPUTED_VALUE"""),"https://drive.google.com/file/d/1xSyB6QRAKkNhd7NHJkNTIhBppLqcsjn7/view?usp=drivesdk")</f>
        <v>https://drive.google.com/file/d/1xSyB6QRAKkNhd7NHJkNTIhBppLqcsjn7/view?usp=drivesdk</v>
      </c>
    </row>
    <row r="8143">
      <c r="A8143" s="15">
        <f>IFERROR(__xludf.DUMMYFUNCTION("""COMPUTED_VALUE"""),45231.0)</f>
        <v>45231</v>
      </c>
      <c r="B8143" s="16" t="str">
        <f>IFERROR(__xludf.DUMMYFUNCTION("""COMPUTED_VALUE"""),"Envia")</f>
        <v>Envia</v>
      </c>
      <c r="C8143" s="15" t="str">
        <f>IFERROR(__xludf.DUMMYFUNCTION("""COMPUTED_VALUE"""),"CALI")</f>
        <v>CALI</v>
      </c>
      <c r="D8143" s="15" t="str">
        <f>IFERROR(__xludf.DUMMYFUNCTION("""COMPUTED_VALUE"""),"MEDELLÍN")</f>
        <v>MEDELLÍN</v>
      </c>
      <c r="E8143" s="15" t="str">
        <f>IFERROR(__xludf.DUMMYFUNCTION("""COMPUTED_VALUE"""),"jdbufala")</f>
        <v>jdbufala</v>
      </c>
      <c r="F8143" s="17" t="str">
        <f>IFERROR(__xludf.DUMMYFUNCTION("""COMPUTED_VALUE"""),"Calle 51 norte # 4bn 72 / Delhuertopizzeria")</f>
        <v>Calle 51 norte # 4bn 72 / Delhuertopizzeria</v>
      </c>
      <c r="G8143" s="15" t="str">
        <f>IFERROR(__xludf.DUMMYFUNCTION("""COMPUTED_VALUE"""),"Javier")</f>
        <v>Javier</v>
      </c>
      <c r="H8143" s="16">
        <f>IFERROR(__xludf.DUMMYFUNCTION("""COMPUTED_VALUE"""),16866.0)</f>
        <v>16866</v>
      </c>
      <c r="I8143" s="17"/>
      <c r="J8143" s="17"/>
      <c r="K8143" s="17"/>
      <c r="L8143" s="17">
        <f>IFERROR(__xludf.DUMMYFUNCTION("""COMPUTED_VALUE"""),3.206763524E9)</f>
        <v>3206763524</v>
      </c>
      <c r="M8143" s="17"/>
      <c r="N8143" s="17"/>
      <c r="O8143" s="17"/>
      <c r="P8143" s="17" t="b">
        <f>IFERROR(__xludf.DUMMYFUNCTION("""COMPUTED_VALUE"""),FALSE)</f>
        <v>0</v>
      </c>
      <c r="Q8143" s="20" t="str">
        <f>IFERROR(__xludf.DUMMYFUNCTION("""COMPUTED_VALUE"""),"")</f>
        <v/>
      </c>
      <c r="R8143" s="22" t="str">
        <f>IFERROR(__xludf.DUMMYFUNCTION("""COMPUTED_VALUE"""),"")</f>
        <v/>
      </c>
    </row>
    <row r="8144">
      <c r="A8144" s="15">
        <f>IFERROR(__xludf.DUMMYFUNCTION("""COMPUTED_VALUE"""),45231.0)</f>
        <v>45231</v>
      </c>
      <c r="B8144" s="16" t="str">
        <f>IFERROR(__xludf.DUMMYFUNCTION("""COMPUTED_VALUE"""),"Envia")</f>
        <v>Envia</v>
      </c>
      <c r="C8144" s="15" t="str">
        <f>IFERROR(__xludf.DUMMYFUNCTION("""COMPUTED_VALUE"""),"CARTAGENA")</f>
        <v>CARTAGENA</v>
      </c>
      <c r="D8144" s="15" t="str">
        <f>IFERROR(__xludf.DUMMYFUNCTION("""COMPUTED_VALUE"""),"BOGOTÁ")</f>
        <v>BOGOTÁ</v>
      </c>
      <c r="E8144" s="15" t="str">
        <f>IFERROR(__xludf.DUMMYFUNCTION("""COMPUTED_VALUE"""),"INVERSIONES MOCHI")</f>
        <v>INVERSIONES MOCHI</v>
      </c>
      <c r="F8144" s="17" t="str">
        <f>IFERROR(__xludf.DUMMYFUNCTION("""COMPUTED_VALUE"""),"Cra 11 #39-21 / centro comercial la serrezuela")</f>
        <v>Cra 11 #39-21 / centro comercial la serrezuela</v>
      </c>
      <c r="G8144" s="15" t="str">
        <f>IFERROR(__xludf.DUMMYFUNCTION("""COMPUTED_VALUE"""),"Centro comercial la Serrezuela")</f>
        <v>Centro comercial la Serrezuela</v>
      </c>
      <c r="H8144" s="16">
        <f>IFERROR(__xludf.DUMMYFUNCTION("""COMPUTED_VALUE"""),16871.0)</f>
        <v>16871</v>
      </c>
      <c r="I8144" s="17"/>
      <c r="J8144" s="17"/>
      <c r="K8144" s="17"/>
      <c r="L8144" s="17">
        <f>IFERROR(__xludf.DUMMYFUNCTION("""COMPUTED_VALUE"""),3.116026252E9)</f>
        <v>3116026252</v>
      </c>
      <c r="M8144" s="17"/>
      <c r="N8144" s="17"/>
      <c r="O8144" s="17"/>
      <c r="P8144" s="17" t="b">
        <f>IFERROR(__xludf.DUMMYFUNCTION("""COMPUTED_VALUE"""),FALSE)</f>
        <v>0</v>
      </c>
      <c r="Q8144" s="20" t="str">
        <f>IFERROR(__xludf.DUMMYFUNCTION("""COMPUTED_VALUE"""),"")</f>
        <v/>
      </c>
      <c r="R8144" s="21" t="str">
        <f>IFERROR(__xludf.DUMMYFUNCTION("""COMPUTED_VALUE"""),"https://drive.google.com/file/d/1KFdwLhS4kR4j8wVzIGaGHp4boFF-8xAT/view?usp=drivesdk")</f>
        <v>https://drive.google.com/file/d/1KFdwLhS4kR4j8wVzIGaGHp4boFF-8xAT/view?usp=drivesdk</v>
      </c>
    </row>
    <row r="8145">
      <c r="A8145" s="15">
        <f>IFERROR(__xludf.DUMMYFUNCTION("""COMPUTED_VALUE"""),45231.0)</f>
        <v>45231</v>
      </c>
      <c r="B8145" s="16" t="str">
        <f>IFERROR(__xludf.DUMMYFUNCTION("""COMPUTED_VALUE"""),"Envia")</f>
        <v>Envia</v>
      </c>
      <c r="C8145" s="15" t="str">
        <f>IFERROR(__xludf.DUMMYFUNCTION("""COMPUTED_VALUE"""),"VILLAVICENCIO")</f>
        <v>VILLAVICENCIO</v>
      </c>
      <c r="D8145" s="15" t="str">
        <f>IFERROR(__xludf.DUMMYFUNCTION("""COMPUTED_VALUE"""),"BUCARAMANGA")</f>
        <v>BUCARAMANGA</v>
      </c>
      <c r="E8145" s="15" t="str">
        <f>IFERROR(__xludf.DUMMYFUNCTION("""COMPUTED_VALUE"""),"Yo Como Solito")</f>
        <v>Yo Como Solito</v>
      </c>
      <c r="F8145" s="17" t="str">
        <f>IFERROR(__xludf.DUMMYFUNCTION("""COMPUTED_VALUE"""),"HACIENDA ROSA BLANCA CONJUNTO ALCARABAN TORRE 8 APARTAMENTO 305 / HACIENDA ROSA BLANCA CONJUNTO ALCARABAN TORRE 8 APARTAMENTO 305 / HACIENDA ROSA BLANCA CONJUNTO ALCARABAN TORRE 8 APARTAMENTO 305")</f>
        <v>HACIENDA ROSA BLANCA CONJUNTO ALCARABAN TORRE 8 APARTAMENTO 305 / HACIENDA ROSA BLANCA CONJUNTO ALCARABAN TORRE 8 APARTAMENTO 305 / HACIENDA ROSA BLANCA CONJUNTO ALCARABAN TORRE 8 APARTAMENTO 305</v>
      </c>
      <c r="G8145" s="15" t="str">
        <f>IFERROR(__xludf.DUMMYFUNCTION("""COMPUTED_VALUE"""),"TATIANA CORTES GONZALES")</f>
        <v>TATIANA CORTES GONZALES</v>
      </c>
      <c r="H8145" s="16">
        <f>IFERROR(__xludf.DUMMYFUNCTION("""COMPUTED_VALUE"""),16736.0)</f>
        <v>16736</v>
      </c>
      <c r="I8145" s="18">
        <f>IFERROR(__xludf.DUMMYFUNCTION("""COMPUTED_VALUE"""),12.0)</f>
        <v>12</v>
      </c>
      <c r="J8145" s="18">
        <f>IFERROR(__xludf.DUMMYFUNCTION("""COMPUTED_VALUE"""),33.0)</f>
        <v>33</v>
      </c>
      <c r="K8145" s="18">
        <f>IFERROR(__xludf.DUMMYFUNCTION("""COMPUTED_VALUE"""),25.0)</f>
        <v>25</v>
      </c>
      <c r="L8145" s="17">
        <f>IFERROR(__xludf.DUMMYFUNCTION("""COMPUTED_VALUE"""),3.006485514E9)</f>
        <v>3006485514</v>
      </c>
      <c r="M8145" s="17"/>
      <c r="N8145" s="17"/>
      <c r="O8145" s="17"/>
      <c r="P8145" s="17" t="b">
        <f>IFERROR(__xludf.DUMMYFUNCTION("""COMPUTED_VALUE"""),FALSE)</f>
        <v>0</v>
      </c>
      <c r="Q8145" s="20" t="str">
        <f>IFERROR(__xludf.DUMMYFUNCTION("""COMPUTED_VALUE"""),"")</f>
        <v/>
      </c>
      <c r="R8145" s="21" t="str">
        <f>IFERROR(__xludf.DUMMYFUNCTION("""COMPUTED_VALUE"""),"https://drive.google.com/file/d/1BywzzJ11bv4aLut6Q6Yq678WHn1ONOtg/view?usp=drivesdk")</f>
        <v>https://drive.google.com/file/d/1BywzzJ11bv4aLut6Q6Yq678WHn1ONOtg/view?usp=drivesdk</v>
      </c>
    </row>
    <row r="8146">
      <c r="A8146" s="17" t="str">
        <f>IFERROR(__xludf.DUMMYFUNCTION("""COMPUTED_VALUE"""),"")</f>
        <v/>
      </c>
      <c r="B8146" s="17" t="str">
        <f>IFERROR(__xludf.DUMMYFUNCTION("""COMPUTED_VALUE"""),"")</f>
        <v/>
      </c>
      <c r="C8146" s="17" t="str">
        <f>IFERROR(__xludf.DUMMYFUNCTION("""COMPUTED_VALUE"""),"")</f>
        <v/>
      </c>
      <c r="D8146" s="17" t="str">
        <f>IFERROR(__xludf.DUMMYFUNCTION("""COMPUTED_VALUE"""),"")</f>
        <v/>
      </c>
      <c r="E8146" s="17" t="str">
        <f>IFERROR(__xludf.DUMMYFUNCTION("""COMPUTED_VALUE"""),"")</f>
        <v/>
      </c>
      <c r="F8146" s="17" t="str">
        <f>IFERROR(__xludf.DUMMYFUNCTION("""COMPUTED_VALUE"""),"")</f>
        <v/>
      </c>
      <c r="G8146" s="17" t="str">
        <f>IFERROR(__xludf.DUMMYFUNCTION("""COMPUTED_VALUE"""),"")</f>
        <v/>
      </c>
      <c r="H8146" s="17" t="str">
        <f>IFERROR(__xludf.DUMMYFUNCTION("""COMPUTED_VALUE"""),"")</f>
        <v/>
      </c>
      <c r="I8146" s="17" t="str">
        <f>IFERROR(__xludf.DUMMYFUNCTION("""COMPUTED_VALUE"""),"")</f>
        <v/>
      </c>
      <c r="J8146" s="17" t="str">
        <f>IFERROR(__xludf.DUMMYFUNCTION("""COMPUTED_VALUE"""),"")</f>
        <v/>
      </c>
      <c r="K8146" s="17" t="str">
        <f>IFERROR(__xludf.DUMMYFUNCTION("""COMPUTED_VALUE"""),"")</f>
        <v/>
      </c>
      <c r="L8146" s="17" t="str">
        <f>IFERROR(__xludf.DUMMYFUNCTION("""COMPUTED_VALUE"""),"")</f>
        <v/>
      </c>
      <c r="M8146" s="17" t="str">
        <f>IFERROR(__xludf.DUMMYFUNCTION("""COMPUTED_VALUE"""),"")</f>
        <v/>
      </c>
      <c r="N8146" s="17" t="str">
        <f>IFERROR(__xludf.DUMMYFUNCTION("""COMPUTED_VALUE"""),"")</f>
        <v/>
      </c>
      <c r="O8146" s="17" t="str">
        <f>IFERROR(__xludf.DUMMYFUNCTION("""COMPUTED_VALUE"""),"")</f>
        <v/>
      </c>
      <c r="P8146" s="17" t="str">
        <f>IFERROR(__xludf.DUMMYFUNCTION("""COMPUTED_VALUE"""),"")</f>
        <v/>
      </c>
      <c r="Q8146" s="17" t="str">
        <f>IFERROR(__xludf.DUMMYFUNCTION("""COMPUTED_VALUE"""),"")</f>
        <v/>
      </c>
      <c r="R8146" s="17" t="str">
        <f>IFERROR(__xludf.DUMMYFUNCTION("""COMPUTED_VALUE"""),"")</f>
        <v/>
      </c>
    </row>
    <row r="8147">
      <c r="A8147" s="15">
        <f>IFERROR(__xludf.DUMMYFUNCTION("""COMPUTED_VALUE"""),45231.0)</f>
        <v>45231</v>
      </c>
      <c r="B8147" s="16" t="str">
        <f>IFERROR(__xludf.DUMMYFUNCTION("""COMPUTED_VALUE"""),"Johan Alexander Escobar Arroyo ")</f>
        <v>Johan Alexander Escobar Arroyo </v>
      </c>
      <c r="C8147" s="15" t="str">
        <f>IFERROR(__xludf.DUMMYFUNCTION("""COMPUTED_VALUE"""),"CALI")</f>
        <v>CALI</v>
      </c>
      <c r="D8147" s="15" t="str">
        <f>IFERROR(__xludf.DUMMYFUNCTION("""COMPUTED_VALUE"""),"BOGOTÁ")</f>
        <v>BOGOTÁ</v>
      </c>
      <c r="E8147" s="15" t="str">
        <f>IFERROR(__xludf.DUMMYFUNCTION("""COMPUTED_VALUE"""),"Felicidad Bakery Bogotá")</f>
        <v>Felicidad Bakery Bogotá</v>
      </c>
      <c r="F8147" s="17" t="str">
        <f>IFERROR(__xludf.DUMMYFUNCTION("""COMPUTED_VALUE"""),"Calle 29 norte #6BN-22 / Constructora Bolivar / Cali")</f>
        <v>Calle 29 norte #6BN-22 / Constructora Bolivar / Cali</v>
      </c>
      <c r="G8147" s="15" t="str">
        <f>IFERROR(__xludf.DUMMYFUNCTION("""COMPUTED_VALUE"""),"Juan Pablo Peñaloza")</f>
        <v>Juan Pablo Peñaloza</v>
      </c>
      <c r="H8147" s="16">
        <f>IFERROR(__xludf.DUMMYFUNCTION("""COMPUTED_VALUE"""),16830.0)</f>
        <v>16830</v>
      </c>
      <c r="I8147" s="18">
        <f>IFERROR(__xludf.DUMMYFUNCTION("""COMPUTED_VALUE"""),1.0)</f>
        <v>1</v>
      </c>
      <c r="J8147" s="18">
        <f>IFERROR(__xludf.DUMMYFUNCTION("""COMPUTED_VALUE"""),1.0)</f>
        <v>1</v>
      </c>
      <c r="K8147" s="18">
        <f>IFERROR(__xludf.DUMMYFUNCTION("""COMPUTED_VALUE"""),1.0)</f>
        <v>1</v>
      </c>
      <c r="L8147" s="17">
        <f>IFERROR(__xludf.DUMMYFUNCTION("""COMPUTED_VALUE"""),3.103499802E9)</f>
        <v>3103499802</v>
      </c>
      <c r="M8147" s="17"/>
      <c r="N8147" s="17"/>
      <c r="O8147" s="17"/>
      <c r="P8147" s="17" t="b">
        <f>IFERROR(__xludf.DUMMYFUNCTION("""COMPUTED_VALUE"""),FALSE)</f>
        <v>0</v>
      </c>
      <c r="Q8147" s="20" t="str">
        <f>IFERROR(__xludf.DUMMYFUNCTION("""COMPUTED_VALUE"""),"")</f>
        <v/>
      </c>
      <c r="R8147" s="21" t="str">
        <f>IFERROR(__xludf.DUMMYFUNCTION("""COMPUTED_VALUE"""),"https://drive.google.com/file/d/1rrVy2a01t31KFDEwZoHalubkW9mFivfl/view?usp=drivesdk")</f>
        <v>https://drive.google.com/file/d/1rrVy2a01t31KFDEwZoHalubkW9mFivfl/view?usp=drivesdk</v>
      </c>
    </row>
    <row r="8148">
      <c r="A8148" s="15">
        <f>IFERROR(__xludf.DUMMYFUNCTION("""COMPUTED_VALUE"""),45231.0)</f>
        <v>45231</v>
      </c>
      <c r="B8148" s="16" t="str">
        <f>IFERROR(__xludf.DUMMYFUNCTION("""COMPUTED_VALUE"""),"Johan Alexander Escobar Arroyo ")</f>
        <v>Johan Alexander Escobar Arroyo </v>
      </c>
      <c r="C8148" s="15" t="str">
        <f>IFERROR(__xludf.DUMMYFUNCTION("""COMPUTED_VALUE"""),"CALI")</f>
        <v>CALI</v>
      </c>
      <c r="D8148" s="15" t="str">
        <f>IFERROR(__xludf.DUMMYFUNCTION("""COMPUTED_VALUE"""),"ENVIGADO")</f>
        <v>ENVIGADO</v>
      </c>
      <c r="E8148" s="15" t="str">
        <f>IFERROR(__xludf.DUMMYFUNCTION("""COMPUTED_VALUE"""),"JUAN CAMILO CORDOBA")</f>
        <v>JUAN CAMILO CORDOBA</v>
      </c>
      <c r="F8148" s="17" t="str">
        <f>IFERROR(__xludf.DUMMYFUNCTION("""COMPUTED_VALUE"""),"calle 16 #85-10 / local 102")</f>
        <v>calle 16 #85-10 / local 102</v>
      </c>
      <c r="G8148" s="15" t="str">
        <f>IFERROR(__xludf.DUMMYFUNCTION("""COMPUTED_VALUE"""),"Saludable tentación")</f>
        <v>Saludable tentación</v>
      </c>
      <c r="H8148" s="16">
        <f>IFERROR(__xludf.DUMMYFUNCTION("""COMPUTED_VALUE"""),16862.0)</f>
        <v>16862</v>
      </c>
      <c r="I8148" s="17"/>
      <c r="J8148" s="17"/>
      <c r="K8148" s="17"/>
      <c r="L8148" s="17">
        <f>IFERROR(__xludf.DUMMYFUNCTION("""COMPUTED_VALUE"""),3.112664694E9)</f>
        <v>3112664694</v>
      </c>
      <c r="M8148" s="17"/>
      <c r="N8148" s="17"/>
      <c r="O8148" s="17"/>
      <c r="P8148" s="17" t="b">
        <f>IFERROR(__xludf.DUMMYFUNCTION("""COMPUTED_VALUE"""),FALSE)</f>
        <v>0</v>
      </c>
      <c r="Q8148" s="20" t="str">
        <f>IFERROR(__xludf.DUMMYFUNCTION("""COMPUTED_VALUE"""),"")</f>
        <v/>
      </c>
      <c r="R8148" s="21" t="str">
        <f>IFERROR(__xludf.DUMMYFUNCTION("""COMPUTED_VALUE"""),"https://drive.google.com/file/d/1_c9R5l8I2WnbPZO3tQbwJmzDyTRPoawp/view?usp=drivesdk")</f>
        <v>https://drive.google.com/file/d/1_c9R5l8I2WnbPZO3tQbwJmzDyTRPoawp/view?usp=drivesdk</v>
      </c>
    </row>
    <row r="8149">
      <c r="A8149" s="15">
        <f>IFERROR(__xludf.DUMMYFUNCTION("""COMPUTED_VALUE"""),45231.0)</f>
        <v>45231</v>
      </c>
      <c r="B8149" s="16" t="str">
        <f>IFERROR(__xludf.DUMMYFUNCTION("""COMPUTED_VALUE"""),"Johan Alexander Escobar Arroyo ")</f>
        <v>Johan Alexander Escobar Arroyo </v>
      </c>
      <c r="C8149" s="15" t="str">
        <f>IFERROR(__xludf.DUMMYFUNCTION("""COMPUTED_VALUE"""),"CALI")</f>
        <v>CALI</v>
      </c>
      <c r="D8149" s="15" t="str">
        <f>IFERROR(__xludf.DUMMYFUNCTION("""COMPUTED_VALUE"""),"ENVIGADO")</f>
        <v>ENVIGADO</v>
      </c>
      <c r="E8149" s="15" t="str">
        <f>IFERROR(__xludf.DUMMYFUNCTION("""COMPUTED_VALUE"""),"JUAN CAMILO CORDOBA")</f>
        <v>JUAN CAMILO CORDOBA</v>
      </c>
      <c r="F8149" s="17" t="str">
        <f>IFERROR(__xludf.DUMMYFUNCTION("""COMPUTED_VALUE"""),"Carrera 105 #15B45 / LOCAL 15 CENTRO COMERCIAL LAS VELAS")</f>
        <v>Carrera 105 #15B45 / LOCAL 15 CENTRO COMERCIAL LAS VELAS</v>
      </c>
      <c r="G8149" s="15" t="str">
        <f>IFERROR(__xludf.DUMMYFUNCTION("""COMPUTED_VALUE"""),"Wellthy market")</f>
        <v>Wellthy market</v>
      </c>
      <c r="H8149" s="16">
        <f>IFERROR(__xludf.DUMMYFUNCTION("""COMPUTED_VALUE"""),16826.0)</f>
        <v>16826</v>
      </c>
      <c r="I8149" s="17"/>
      <c r="J8149" s="17"/>
      <c r="K8149" s="17"/>
      <c r="L8149" s="17">
        <f>IFERROR(__xludf.DUMMYFUNCTION("""COMPUTED_VALUE"""),3.152542618E9)</f>
        <v>3152542618</v>
      </c>
      <c r="M8149" s="17"/>
      <c r="N8149" s="17"/>
      <c r="O8149" s="17"/>
      <c r="P8149" s="17" t="b">
        <f>IFERROR(__xludf.DUMMYFUNCTION("""COMPUTED_VALUE"""),FALSE)</f>
        <v>0</v>
      </c>
      <c r="Q8149" s="20" t="str">
        <f>IFERROR(__xludf.DUMMYFUNCTION("""COMPUTED_VALUE"""),"")</f>
        <v/>
      </c>
      <c r="R8149" s="21" t="str">
        <f>IFERROR(__xludf.DUMMYFUNCTION("""COMPUTED_VALUE"""),"https://drive.google.com/file/d/14gft0skL8Y-TfvDV4w9Bt3HAU0szlmwG/view?usp=drivesdk")</f>
        <v>https://drive.google.com/file/d/14gft0skL8Y-TfvDV4w9Bt3HAU0szlmwG/view?usp=drivesdk</v>
      </c>
    </row>
    <row r="8150">
      <c r="A8150" s="15">
        <f>IFERROR(__xludf.DUMMYFUNCTION("""COMPUTED_VALUE"""),45231.0)</f>
        <v>45231</v>
      </c>
      <c r="B8150" s="16" t="str">
        <f>IFERROR(__xludf.DUMMYFUNCTION("""COMPUTED_VALUE"""),"Johan Alexander Escobar Arroyo ")</f>
        <v>Johan Alexander Escobar Arroyo </v>
      </c>
      <c r="C8150" s="15" t="str">
        <f>IFERROR(__xludf.DUMMYFUNCTION("""COMPUTED_VALUE"""),"CALI")</f>
        <v>CALI</v>
      </c>
      <c r="D8150" s="15" t="str">
        <f>IFERROR(__xludf.DUMMYFUNCTION("""COMPUTED_VALUE"""),"ENVIGADO")</f>
        <v>ENVIGADO</v>
      </c>
      <c r="E8150" s="15" t="str">
        <f>IFERROR(__xludf.DUMMYFUNCTION("""COMPUTED_VALUE"""),"JUAN CAMILO CORDOBA")</f>
        <v>JUAN CAMILO CORDOBA</v>
      </c>
      <c r="F8150" s="17" t="str">
        <f>IFERROR(__xludf.DUMMYFUNCTION("""COMPUTED_VALUE"""),"Cra 1 oeste #1b 30 / -")</f>
        <v>Cra 1 oeste #1b 30 / -</v>
      </c>
      <c r="G8150" s="15" t="str">
        <f>IFERROR(__xludf.DUMMYFUNCTION("""COMPUTED_VALUE"""),"HOM")</f>
        <v>HOM</v>
      </c>
      <c r="H8150" s="16">
        <f>IFERROR(__xludf.DUMMYFUNCTION("""COMPUTED_VALUE"""),16861.0)</f>
        <v>16861</v>
      </c>
      <c r="I8150" s="17"/>
      <c r="J8150" s="17"/>
      <c r="K8150" s="17"/>
      <c r="L8150" s="17">
        <f>IFERROR(__xludf.DUMMYFUNCTION("""COMPUTED_VALUE"""),3.246204272E9)</f>
        <v>3246204272</v>
      </c>
      <c r="M8150" s="17"/>
      <c r="N8150" s="17"/>
      <c r="O8150" s="17"/>
      <c r="P8150" s="17" t="b">
        <f>IFERROR(__xludf.DUMMYFUNCTION("""COMPUTED_VALUE"""),FALSE)</f>
        <v>0</v>
      </c>
      <c r="Q8150" s="20" t="str">
        <f>IFERROR(__xludf.DUMMYFUNCTION("""COMPUTED_VALUE"""),"")</f>
        <v/>
      </c>
      <c r="R8150" s="21" t="str">
        <f>IFERROR(__xludf.DUMMYFUNCTION("""COMPUTED_VALUE"""),"https://drive.google.com/file/d/13DGz9UNlg1SWO1JT1NWeo80idOPhDGnw/view?usp=drivesdk")</f>
        <v>https://drive.google.com/file/d/13DGz9UNlg1SWO1JT1NWeo80idOPhDGnw/view?usp=drivesdk</v>
      </c>
    </row>
    <row r="8151">
      <c r="A8151" s="15">
        <f>IFERROR(__xludf.DUMMYFUNCTION("""COMPUTED_VALUE"""),45231.0)</f>
        <v>45231</v>
      </c>
      <c r="B8151" s="16" t="str">
        <f>IFERROR(__xludf.DUMMYFUNCTION("""COMPUTED_VALUE"""),"Johan Alexander Escobar Arroyo ")</f>
        <v>Johan Alexander Escobar Arroyo </v>
      </c>
      <c r="C8151" s="15" t="str">
        <f>IFERROR(__xludf.DUMMYFUNCTION("""COMPUTED_VALUE"""),"CALI")</f>
        <v>CALI</v>
      </c>
      <c r="D8151" s="15" t="str">
        <f>IFERROR(__xludf.DUMMYFUNCTION("""COMPUTED_VALUE"""),"MEDELLÍN")</f>
        <v>MEDELLÍN</v>
      </c>
      <c r="E8151" s="15" t="str">
        <f>IFERROR(__xludf.DUMMYFUNCTION("""COMPUTED_VALUE"""),"AREPAS LA MARY")</f>
        <v>AREPAS LA MARY</v>
      </c>
      <c r="F8151" s="17" t="str">
        <f>IFERROR(__xludf.DUMMYFUNCTION("""COMPUTED_VALUE"""),"CALLE 6 N.118 20 CASA 5 / CONJUNTO COLINAS DEL VIENTO")</f>
        <v>CALLE 6 N.118 20 CASA 5 / CONJUNTO COLINAS DEL VIENTO</v>
      </c>
      <c r="G8151" s="15" t="str">
        <f>IFERROR(__xludf.DUMMYFUNCTION("""COMPUTED_VALUE"""),"CATALINA DAZA")</f>
        <v>CATALINA DAZA</v>
      </c>
      <c r="H8151" s="16">
        <f>IFERROR(__xludf.DUMMYFUNCTION("""COMPUTED_VALUE"""),16838.0)</f>
        <v>16838</v>
      </c>
      <c r="I8151" s="18">
        <f>IFERROR(__xludf.DUMMYFUNCTION("""COMPUTED_VALUE"""),89.0)</f>
        <v>89</v>
      </c>
      <c r="J8151" s="18">
        <f>IFERROR(__xludf.DUMMYFUNCTION("""COMPUTED_VALUE"""),1.0)</f>
        <v>1</v>
      </c>
      <c r="K8151" s="18">
        <f>IFERROR(__xludf.DUMMYFUNCTION("""COMPUTED_VALUE"""),10.0)</f>
        <v>10</v>
      </c>
      <c r="L8151" s="17">
        <f>IFERROR(__xludf.DUMMYFUNCTION("""COMPUTED_VALUE"""),3.165281956E9)</f>
        <v>3165281956</v>
      </c>
      <c r="M8151" s="17"/>
      <c r="N8151" s="17"/>
      <c r="O8151" s="17"/>
      <c r="P8151" s="17" t="b">
        <f>IFERROR(__xludf.DUMMYFUNCTION("""COMPUTED_VALUE"""),FALSE)</f>
        <v>0</v>
      </c>
      <c r="Q8151" s="20" t="str">
        <f>IFERROR(__xludf.DUMMYFUNCTION("""COMPUTED_VALUE"""),"")</f>
        <v/>
      </c>
      <c r="R8151" s="21" t="str">
        <f>IFERROR(__xludf.DUMMYFUNCTION("""COMPUTED_VALUE"""),"https://drive.google.com/file/d/1_2QQ0xb1rrqQtMEqT3Eive2qb_nrwVDk/view?usp=drivesdk")</f>
        <v>https://drive.google.com/file/d/1_2QQ0xb1rrqQtMEqT3Eive2qb_nrwVDk/view?usp=drivesdk</v>
      </c>
    </row>
    <row r="8152">
      <c r="A8152" s="15">
        <f>IFERROR(__xludf.DUMMYFUNCTION("""COMPUTED_VALUE"""),45231.0)</f>
        <v>45231</v>
      </c>
      <c r="B8152" s="16" t="str">
        <f>IFERROR(__xludf.DUMMYFUNCTION("""COMPUTED_VALUE"""),"Johan Alexander Escobar Arroyo ")</f>
        <v>Johan Alexander Escobar Arroyo </v>
      </c>
      <c r="C8152" s="15" t="str">
        <f>IFERROR(__xludf.DUMMYFUNCTION("""COMPUTED_VALUE"""),"CALI")</f>
        <v>CALI</v>
      </c>
      <c r="D8152" s="15" t="str">
        <f>IFERROR(__xludf.DUMMYFUNCTION("""COMPUTED_VALUE"""),"MEDELLÍN")</f>
        <v>MEDELLÍN</v>
      </c>
      <c r="E8152" s="15" t="str">
        <f>IFERROR(__xludf.DUMMYFUNCTION("""COMPUTED_VALUE"""),"Baby Chef")</f>
        <v>Baby Chef</v>
      </c>
      <c r="F8152" s="17" t="str">
        <f>IFERROR(__xludf.DUMMYFUNCTION("""COMPUTED_VALUE"""),"Calle 15 # 121-66 Apt 304 Torre B  Arboleda de la Colina Barrio Pance.  / . / .")</f>
        <v>Calle 15 # 121-66 Apt 304 Torre B  Arboleda de la Colina Barrio Pance.  / . / .</v>
      </c>
      <c r="G8152" s="15" t="str">
        <f>IFERROR(__xludf.DUMMYFUNCTION("""COMPUTED_VALUE"""),"Lorena Jaramillo Cardona")</f>
        <v>Lorena Jaramillo Cardona</v>
      </c>
      <c r="H8152" s="16">
        <f>IFERROR(__xludf.DUMMYFUNCTION("""COMPUTED_VALUE"""),16855.0)</f>
        <v>16855</v>
      </c>
      <c r="I8152" s="18">
        <f>IFERROR(__xludf.DUMMYFUNCTION("""COMPUTED_VALUE"""),6.0)</f>
        <v>6</v>
      </c>
      <c r="J8152" s="18">
        <f>IFERROR(__xludf.DUMMYFUNCTION("""COMPUTED_VALUE"""),23.0)</f>
        <v>23</v>
      </c>
      <c r="K8152" s="18">
        <f>IFERROR(__xludf.DUMMYFUNCTION("""COMPUTED_VALUE"""),29.0)</f>
        <v>29</v>
      </c>
      <c r="L8152" s="17">
        <f>IFERROR(__xludf.DUMMYFUNCTION("""COMPUTED_VALUE"""),3.104387941E9)</f>
        <v>3104387941</v>
      </c>
      <c r="M8152" s="17"/>
      <c r="N8152" s="17"/>
      <c r="O8152" s="17"/>
      <c r="P8152" s="17" t="b">
        <f>IFERROR(__xludf.DUMMYFUNCTION("""COMPUTED_VALUE"""),FALSE)</f>
        <v>0</v>
      </c>
      <c r="Q8152" s="20" t="str">
        <f>IFERROR(__xludf.DUMMYFUNCTION("""COMPUTED_VALUE"""),"")</f>
        <v/>
      </c>
      <c r="R8152" s="21" t="str">
        <f>IFERROR(__xludf.DUMMYFUNCTION("""COMPUTED_VALUE"""),"https://drive.google.com/file/d/14KYRF71WuG4r3JyFwXzOtP3IZr8eejSQ/view?usp=drivesdk")</f>
        <v>https://drive.google.com/file/d/14KYRF71WuG4r3JyFwXzOtP3IZr8eejSQ/view?usp=drivesdk</v>
      </c>
    </row>
    <row r="8153">
      <c r="A8153" s="15">
        <f>IFERROR(__xludf.DUMMYFUNCTION("""COMPUTED_VALUE"""),45231.0)</f>
        <v>45231</v>
      </c>
      <c r="B8153" s="16" t="str">
        <f>IFERROR(__xludf.DUMMYFUNCTION("""COMPUTED_VALUE"""),"Johan Alexander Escobar Arroyo ")</f>
        <v>Johan Alexander Escobar Arroyo </v>
      </c>
      <c r="C8153" s="15" t="str">
        <f>IFERROR(__xludf.DUMMYFUNCTION("""COMPUTED_VALUE"""),"CALI")</f>
        <v>CALI</v>
      </c>
      <c r="D8153" s="15" t="str">
        <f>IFERROR(__xludf.DUMMYFUNCTION("""COMPUTED_VALUE"""),"MEDELLÍN")</f>
        <v>MEDELLÍN</v>
      </c>
      <c r="E8153" s="15" t="str">
        <f>IFERROR(__xludf.DUMMYFUNCTION("""COMPUTED_VALUE"""),"Baby Chef")</f>
        <v>Baby Chef</v>
      </c>
      <c r="F8153" s="17" t="str">
        <f>IFERROR(__xludf.DUMMYFUNCTION("""COMPUTED_VALUE"""),"Carrera 103 # 11-40 Sendero del Polo club casa P1 / . / .")</f>
        <v>Carrera 103 # 11-40 Sendero del Polo club casa P1 / . / .</v>
      </c>
      <c r="G8153" s="15" t="str">
        <f>IFERROR(__xludf.DUMMYFUNCTION("""COMPUTED_VALUE"""),"Johanna Rojas")</f>
        <v>Johanna Rojas</v>
      </c>
      <c r="H8153" s="16">
        <f>IFERROR(__xludf.DUMMYFUNCTION("""COMPUTED_VALUE"""),16856.0)</f>
        <v>16856</v>
      </c>
      <c r="I8153" s="18">
        <f>IFERROR(__xludf.DUMMYFUNCTION("""COMPUTED_VALUE"""),7.0)</f>
        <v>7</v>
      </c>
      <c r="J8153" s="18">
        <f>IFERROR(__xludf.DUMMYFUNCTION("""COMPUTED_VALUE"""),24.0)</f>
        <v>24</v>
      </c>
      <c r="K8153" s="18">
        <f>IFERROR(__xludf.DUMMYFUNCTION("""COMPUTED_VALUE"""),29.0)</f>
        <v>29</v>
      </c>
      <c r="L8153" s="17">
        <f>IFERROR(__xludf.DUMMYFUNCTION("""COMPUTED_VALUE"""),3.183307191E9)</f>
        <v>3183307191</v>
      </c>
      <c r="M8153" s="17"/>
      <c r="N8153" s="17"/>
      <c r="O8153" s="17"/>
      <c r="P8153" s="17" t="b">
        <f>IFERROR(__xludf.DUMMYFUNCTION("""COMPUTED_VALUE"""),FALSE)</f>
        <v>0</v>
      </c>
      <c r="Q8153" s="20" t="str">
        <f>IFERROR(__xludf.DUMMYFUNCTION("""COMPUTED_VALUE"""),"")</f>
        <v/>
      </c>
      <c r="R8153" s="21" t="str">
        <f>IFERROR(__xludf.DUMMYFUNCTION("""COMPUTED_VALUE"""),"https://drive.google.com/file/d/1iPGKFUh2r4MRtwJgb2chJ_8qw1WLFYn5/view?usp=drivesdk")</f>
        <v>https://drive.google.com/file/d/1iPGKFUh2r4MRtwJgb2chJ_8qw1WLFYn5/view?usp=drivesdk</v>
      </c>
    </row>
    <row r="8154">
      <c r="A8154" s="15">
        <f>IFERROR(__xludf.DUMMYFUNCTION("""COMPUTED_VALUE"""),45231.0)</f>
        <v>45231</v>
      </c>
      <c r="B8154" s="16" t="str">
        <f>IFERROR(__xludf.DUMMYFUNCTION("""COMPUTED_VALUE"""),"Johan Alexander Escobar Arroyo ")</f>
        <v>Johan Alexander Escobar Arroyo </v>
      </c>
      <c r="C8154" s="15" t="str">
        <f>IFERROR(__xludf.DUMMYFUNCTION("""COMPUTED_VALUE"""),"CALI")</f>
        <v>CALI</v>
      </c>
      <c r="D8154" s="15" t="str">
        <f>IFERROR(__xludf.DUMMYFUNCTION("""COMPUTED_VALUE"""),"MEDELLÍN")</f>
        <v>MEDELLÍN</v>
      </c>
      <c r="E8154" s="15" t="str">
        <f>IFERROR(__xludf.DUMMYFUNCTION("""COMPUTED_VALUE"""),"Baby Chef")</f>
        <v>Baby Chef</v>
      </c>
      <c r="F8154" s="17" t="str">
        <f>IFERROR(__xludf.DUMMYFUNCTION("""COMPUTED_VALUE"""),"carrera 27 A # T 29-53 Barrio el paraíso , cerca a la cárcel de Villanueva / . / .")</f>
        <v>carrera 27 A # T 29-53 Barrio el paraíso , cerca a la cárcel de Villanueva / . / .</v>
      </c>
      <c r="G8154" s="15" t="str">
        <f>IFERROR(__xludf.DUMMYFUNCTION("""COMPUTED_VALUE"""),"Daniela Murcia")</f>
        <v>Daniela Murcia</v>
      </c>
      <c r="H8154" s="16">
        <f>IFERROR(__xludf.DUMMYFUNCTION("""COMPUTED_VALUE"""),16858.0)</f>
        <v>16858</v>
      </c>
      <c r="I8154" s="18">
        <f>IFERROR(__xludf.DUMMYFUNCTION("""COMPUTED_VALUE"""),10.0)</f>
        <v>10</v>
      </c>
      <c r="J8154" s="18">
        <f>IFERROR(__xludf.DUMMYFUNCTION("""COMPUTED_VALUE"""),22.0)</f>
        <v>22</v>
      </c>
      <c r="K8154" s="18">
        <f>IFERROR(__xludf.DUMMYFUNCTION("""COMPUTED_VALUE"""),36.0)</f>
        <v>36</v>
      </c>
      <c r="L8154" s="17">
        <f>IFERROR(__xludf.DUMMYFUNCTION("""COMPUTED_VALUE"""),3.183833803E9)</f>
        <v>3183833803</v>
      </c>
      <c r="M8154" s="17"/>
      <c r="N8154" s="17"/>
      <c r="O8154" s="17"/>
      <c r="P8154" s="17" t="b">
        <f>IFERROR(__xludf.DUMMYFUNCTION("""COMPUTED_VALUE"""),FALSE)</f>
        <v>0</v>
      </c>
      <c r="Q8154" s="20" t="str">
        <f>IFERROR(__xludf.DUMMYFUNCTION("""COMPUTED_VALUE"""),"")</f>
        <v/>
      </c>
      <c r="R8154" s="21" t="str">
        <f>IFERROR(__xludf.DUMMYFUNCTION("""COMPUTED_VALUE"""),"https://drive.google.com/file/d/1LJnwhQ5lKpRDUqGm2zV4YAIrLeoNaBG6/view?usp=drivesdk")</f>
        <v>https://drive.google.com/file/d/1LJnwhQ5lKpRDUqGm2zV4YAIrLeoNaBG6/view?usp=drivesdk</v>
      </c>
    </row>
    <row r="8155">
      <c r="A8155" s="15">
        <f>IFERROR(__xludf.DUMMYFUNCTION("""COMPUTED_VALUE"""),45231.0)</f>
        <v>45231</v>
      </c>
      <c r="B8155" s="16" t="str">
        <f>IFERROR(__xludf.DUMMYFUNCTION("""COMPUTED_VALUE"""),"Johan Alexander Escobar Arroyo ")</f>
        <v>Johan Alexander Escobar Arroyo </v>
      </c>
      <c r="C8155" s="15" t="str">
        <f>IFERROR(__xludf.DUMMYFUNCTION("""COMPUTED_VALUE"""),"CALI")</f>
        <v>CALI</v>
      </c>
      <c r="D8155" s="15" t="str">
        <f>IFERROR(__xludf.DUMMYFUNCTION("""COMPUTED_VALUE"""),"MEDELLÍN")</f>
        <v>MEDELLÍN</v>
      </c>
      <c r="E8155" s="15" t="str">
        <f>IFERROR(__xludf.DUMMYFUNCTION("""COMPUTED_VALUE"""),"Baby Chef")</f>
        <v>Baby Chef</v>
      </c>
      <c r="F8155" s="17" t="str">
        <f>IFERROR(__xludf.DUMMYFUNCTION("""COMPUTED_VALUE"""),"Carrera 80A # 13A-29 conjunto residencial siete maravillas apto 401 torre 5 Barrio Ciudadela Pasoancho Ciudad:Cali / . / .")</f>
        <v>Carrera 80A # 13A-29 conjunto residencial siete maravillas apto 401 torre 5 Barrio Ciudadela Pasoancho Ciudad:Cali / . / .</v>
      </c>
      <c r="G8155" s="15" t="str">
        <f>IFERROR(__xludf.DUMMYFUNCTION("""COMPUTED_VALUE"""),"Sandra Mora")</f>
        <v>Sandra Mora</v>
      </c>
      <c r="H8155" s="16">
        <f>IFERROR(__xludf.DUMMYFUNCTION("""COMPUTED_VALUE"""),16859.0)</f>
        <v>16859</v>
      </c>
      <c r="I8155" s="18">
        <f>IFERROR(__xludf.DUMMYFUNCTION("""COMPUTED_VALUE"""),9.0)</f>
        <v>9</v>
      </c>
      <c r="J8155" s="18">
        <f>IFERROR(__xludf.DUMMYFUNCTION("""COMPUTED_VALUE"""),21.0)</f>
        <v>21</v>
      </c>
      <c r="K8155" s="18">
        <f>IFERROR(__xludf.DUMMYFUNCTION("""COMPUTED_VALUE"""),29.0)</f>
        <v>29</v>
      </c>
      <c r="L8155" s="17">
        <f>IFERROR(__xludf.DUMMYFUNCTION("""COMPUTED_VALUE"""),3.016519783E9)</f>
        <v>3016519783</v>
      </c>
      <c r="M8155" s="17"/>
      <c r="N8155" s="17"/>
      <c r="O8155" s="17"/>
      <c r="P8155" s="17" t="b">
        <f>IFERROR(__xludf.DUMMYFUNCTION("""COMPUTED_VALUE"""),FALSE)</f>
        <v>0</v>
      </c>
      <c r="Q8155" s="20" t="str">
        <f>IFERROR(__xludf.DUMMYFUNCTION("""COMPUTED_VALUE"""),"")</f>
        <v/>
      </c>
      <c r="R8155" s="21" t="str">
        <f>IFERROR(__xludf.DUMMYFUNCTION("""COMPUTED_VALUE"""),"https://drive.google.com/file/d/1QVDMdoZBqvQI1N_uSTLxGDcXUY5GRTeK/view?usp=drivesdk")</f>
        <v>https://drive.google.com/file/d/1QVDMdoZBqvQI1N_uSTLxGDcXUY5GRTeK/view?usp=drivesdk</v>
      </c>
    </row>
    <row r="8156">
      <c r="A8156" s="15">
        <f>IFERROR(__xludf.DUMMYFUNCTION("""COMPUTED_VALUE"""),45231.0)</f>
        <v>45231</v>
      </c>
      <c r="B8156" s="16" t="str">
        <f>IFERROR(__xludf.DUMMYFUNCTION("""COMPUTED_VALUE"""),"Johan Alexander Escobar Arroyo ")</f>
        <v>Johan Alexander Escobar Arroyo </v>
      </c>
      <c r="C8156" s="15" t="str">
        <f>IFERROR(__xludf.DUMMYFUNCTION("""COMPUTED_VALUE"""),"CALI")</f>
        <v>CALI</v>
      </c>
      <c r="D8156" s="15" t="str">
        <f>IFERROR(__xludf.DUMMYFUNCTION("""COMPUTED_VALUE"""),"MEDELLÍN")</f>
        <v>MEDELLÍN</v>
      </c>
      <c r="E8156" s="15" t="str">
        <f>IFERROR(__xludf.DUMMYFUNCTION("""COMPUTED_VALUE"""),"Baby Chef")</f>
        <v>Baby Chef</v>
      </c>
      <c r="F8156" s="17" t="str">
        <f>IFERROR(__xludf.DUMMYFUNCTION("""COMPUTED_VALUE"""),"Cra 63#9-57  Barrio Limonar / . / .")</f>
        <v>Cra 63#9-57  Barrio Limonar / . / .</v>
      </c>
      <c r="G8156" s="15" t="str">
        <f>IFERROR(__xludf.DUMMYFUNCTION("""COMPUTED_VALUE"""),"Martha Sánchez")</f>
        <v>Martha Sánchez</v>
      </c>
      <c r="H8156" s="16">
        <f>IFERROR(__xludf.DUMMYFUNCTION("""COMPUTED_VALUE"""),16857.0)</f>
        <v>16857</v>
      </c>
      <c r="I8156" s="18">
        <f>IFERROR(__xludf.DUMMYFUNCTION("""COMPUTED_VALUE"""),9.0)</f>
        <v>9</v>
      </c>
      <c r="J8156" s="18">
        <f>IFERROR(__xludf.DUMMYFUNCTION("""COMPUTED_VALUE"""),21.0)</f>
        <v>21</v>
      </c>
      <c r="K8156" s="18">
        <f>IFERROR(__xludf.DUMMYFUNCTION("""COMPUTED_VALUE"""),28.0)</f>
        <v>28</v>
      </c>
      <c r="L8156" s="17">
        <f>IFERROR(__xludf.DUMMYFUNCTION("""COMPUTED_VALUE"""),3.113974638E9)</f>
        <v>3113974638</v>
      </c>
      <c r="M8156" s="17"/>
      <c r="N8156" s="17"/>
      <c r="O8156" s="17"/>
      <c r="P8156" s="17" t="b">
        <f>IFERROR(__xludf.DUMMYFUNCTION("""COMPUTED_VALUE"""),FALSE)</f>
        <v>0</v>
      </c>
      <c r="Q8156" s="20" t="str">
        <f>IFERROR(__xludf.DUMMYFUNCTION("""COMPUTED_VALUE"""),"")</f>
        <v/>
      </c>
      <c r="R8156" s="21" t="str">
        <f>IFERROR(__xludf.DUMMYFUNCTION("""COMPUTED_VALUE"""),"https://drive.google.com/file/d/1bfjHZEApigPhfGHAqjjS2v71AgAHjutI/view?usp=drivesdk")</f>
        <v>https://drive.google.com/file/d/1bfjHZEApigPhfGHAqjjS2v71AgAHjutI/view?usp=drivesdk</v>
      </c>
    </row>
    <row r="8157">
      <c r="A8157" s="15">
        <f>IFERROR(__xludf.DUMMYFUNCTION("""COMPUTED_VALUE"""),45231.0)</f>
        <v>45231</v>
      </c>
      <c r="B8157" s="16" t="str">
        <f>IFERROR(__xludf.DUMMYFUNCTION("""COMPUTED_VALUE"""),"Johan Alexander Escobar Arroyo ")</f>
        <v>Johan Alexander Escobar Arroyo </v>
      </c>
      <c r="C8157" s="15" t="str">
        <f>IFERROR(__xludf.DUMMYFUNCTION("""COMPUTED_VALUE"""),"CÚCUTA")</f>
        <v>CÚCUTA</v>
      </c>
      <c r="D8157" s="15" t="str">
        <f>IFERROR(__xludf.DUMMYFUNCTION("""COMPUTED_VALUE"""),"MEDELLÍN")</f>
        <v>MEDELLÍN</v>
      </c>
      <c r="E8157" s="15" t="str">
        <f>IFERROR(__xludf.DUMMYFUNCTION("""COMPUTED_VALUE"""),"Momo Tea S.A.S Gabriel Echavarría")</f>
        <v>Momo Tea S.A.S Gabriel Echavarría</v>
      </c>
      <c r="F8157" s="17" t="str">
        <f>IFERROR(__xludf.DUMMYFUNCTION("""COMPUTED_VALUE"""),"CL 11 N 16 E 35 / CA B 1")</f>
        <v>CL 11 N 16 E 35 / CA B 1</v>
      </c>
      <c r="G8157" s="15" t="str">
        <f>IFERROR(__xludf.DUMMYFUNCTION("""COMPUTED_VALUE"""),"Gabriel Echavarría")</f>
        <v>Gabriel Echavarría</v>
      </c>
      <c r="H8157" s="16">
        <f>IFERROR(__xludf.DUMMYFUNCTION("""COMPUTED_VALUE"""),16797.0)</f>
        <v>16797</v>
      </c>
      <c r="I8157" s="18">
        <f>IFERROR(__xludf.DUMMYFUNCTION("""COMPUTED_VALUE"""),21.0)</f>
        <v>21</v>
      </c>
      <c r="J8157" s="18">
        <f>IFERROR(__xludf.DUMMYFUNCTION("""COMPUTED_VALUE"""),29.0)</f>
        <v>29</v>
      </c>
      <c r="K8157" s="18">
        <f>IFERROR(__xludf.DUMMYFUNCTION("""COMPUTED_VALUE"""),29.0)</f>
        <v>29</v>
      </c>
      <c r="L8157" s="17">
        <f>IFERROR(__xludf.DUMMYFUNCTION("""COMPUTED_VALUE"""),3.017909548E9)</f>
        <v>3017909548</v>
      </c>
      <c r="M8157" s="17"/>
      <c r="N8157" s="17"/>
      <c r="O8157" s="17"/>
      <c r="P8157" s="17" t="b">
        <f>IFERROR(__xludf.DUMMYFUNCTION("""COMPUTED_VALUE"""),FALSE)</f>
        <v>0</v>
      </c>
      <c r="Q8157" s="20" t="str">
        <f>IFERROR(__xludf.DUMMYFUNCTION("""COMPUTED_VALUE"""),"")</f>
        <v/>
      </c>
      <c r="R8157" s="21" t="str">
        <f>IFERROR(__xludf.DUMMYFUNCTION("""COMPUTED_VALUE"""),"https://drive.google.com/file/d/1LOhpkGvd1CaCu8ubsdcOyVqWd_VKyVmJ/view?usp=drivesdk")</f>
        <v>https://drive.google.com/file/d/1LOhpkGvd1CaCu8ubsdcOyVqWd_VKyVmJ/view?usp=drivesdk</v>
      </c>
    </row>
    <row r="8158">
      <c r="A8158" s="17" t="str">
        <f>IFERROR(__xludf.DUMMYFUNCTION("""COMPUTED_VALUE"""),"")</f>
        <v/>
      </c>
      <c r="B8158" s="17" t="str">
        <f>IFERROR(__xludf.DUMMYFUNCTION("""COMPUTED_VALUE"""),"")</f>
        <v/>
      </c>
      <c r="C8158" s="17" t="str">
        <f>IFERROR(__xludf.DUMMYFUNCTION("""COMPUTED_VALUE"""),"")</f>
        <v/>
      </c>
      <c r="D8158" s="17" t="str">
        <f>IFERROR(__xludf.DUMMYFUNCTION("""COMPUTED_VALUE"""),"")</f>
        <v/>
      </c>
      <c r="E8158" s="17" t="str">
        <f>IFERROR(__xludf.DUMMYFUNCTION("""COMPUTED_VALUE"""),"")</f>
        <v/>
      </c>
      <c r="F8158" s="17" t="str">
        <f>IFERROR(__xludf.DUMMYFUNCTION("""COMPUTED_VALUE"""),"")</f>
        <v/>
      </c>
      <c r="G8158" s="17" t="str">
        <f>IFERROR(__xludf.DUMMYFUNCTION("""COMPUTED_VALUE"""),"")</f>
        <v/>
      </c>
      <c r="H8158" s="17" t="str">
        <f>IFERROR(__xludf.DUMMYFUNCTION("""COMPUTED_VALUE"""),"")</f>
        <v/>
      </c>
      <c r="I8158" s="17" t="str">
        <f>IFERROR(__xludf.DUMMYFUNCTION("""COMPUTED_VALUE"""),"")</f>
        <v/>
      </c>
      <c r="J8158" s="17" t="str">
        <f>IFERROR(__xludf.DUMMYFUNCTION("""COMPUTED_VALUE"""),"")</f>
        <v/>
      </c>
      <c r="K8158" s="17" t="str">
        <f>IFERROR(__xludf.DUMMYFUNCTION("""COMPUTED_VALUE"""),"")</f>
        <v/>
      </c>
      <c r="L8158" s="17" t="str">
        <f>IFERROR(__xludf.DUMMYFUNCTION("""COMPUTED_VALUE"""),"")</f>
        <v/>
      </c>
      <c r="M8158" s="17" t="str">
        <f>IFERROR(__xludf.DUMMYFUNCTION("""COMPUTED_VALUE"""),"")</f>
        <v/>
      </c>
      <c r="N8158" s="17" t="str">
        <f>IFERROR(__xludf.DUMMYFUNCTION("""COMPUTED_VALUE"""),"")</f>
        <v/>
      </c>
      <c r="O8158" s="17" t="str">
        <f>IFERROR(__xludf.DUMMYFUNCTION("""COMPUTED_VALUE"""),"")</f>
        <v/>
      </c>
      <c r="P8158" s="17" t="str">
        <f>IFERROR(__xludf.DUMMYFUNCTION("""COMPUTED_VALUE"""),"")</f>
        <v/>
      </c>
      <c r="Q8158" s="17" t="str">
        <f>IFERROR(__xludf.DUMMYFUNCTION("""COMPUTED_VALUE"""),"")</f>
        <v/>
      </c>
      <c r="R8158" s="17" t="str">
        <f>IFERROR(__xludf.DUMMYFUNCTION("""COMPUTED_VALUE"""),"")</f>
        <v/>
      </c>
    </row>
    <row r="8159">
      <c r="A8159" s="15">
        <f>IFERROR(__xludf.DUMMYFUNCTION("""COMPUTED_VALUE"""),45231.0)</f>
        <v>45231</v>
      </c>
      <c r="B8159" s="16" t="str">
        <f>IFERROR(__xludf.DUMMYFUNCTION("""COMPUTED_VALUE"""),"JOSE ALFREDO RAMIREZ VERGARA ")</f>
        <v>JOSE ALFREDO RAMIREZ VERGARA </v>
      </c>
      <c r="C8159" s="15" t="str">
        <f>IFERROR(__xludf.DUMMYFUNCTION("""COMPUTED_VALUE"""),"BOGOTÁ")</f>
        <v>BOGOTÁ</v>
      </c>
      <c r="D8159" s="15" t="str">
        <f>IFERROR(__xludf.DUMMYFUNCTION("""COMPUTED_VALUE"""),"ENVIGADO")</f>
        <v>ENVIGADO</v>
      </c>
      <c r="E8159" s="15" t="str">
        <f>IFERROR(__xludf.DUMMYFUNCTION("""COMPUTED_VALUE"""),"JUAN CAMILO CORDOBA")</f>
        <v>JUAN CAMILO CORDOBA</v>
      </c>
      <c r="F8159" s="17" t="str">
        <f>IFERROR(__xludf.DUMMYFUNCTION("""COMPUTED_VALUE"""),"Avenida Carrera 9 # 113-52 / local 306")</f>
        <v>Avenida Carrera 9 # 113-52 / local 306</v>
      </c>
      <c r="G8159" s="15" t="str">
        <f>IFERROR(__xludf.DUMMYFUNCTION("""COMPUTED_VALUE"""),"Fresh Co")</f>
        <v>Fresh Co</v>
      </c>
      <c r="H8159" s="16">
        <f>IFERROR(__xludf.DUMMYFUNCTION("""COMPUTED_VALUE"""),16863.0)</f>
        <v>16863</v>
      </c>
      <c r="I8159" s="17"/>
      <c r="J8159" s="17"/>
      <c r="K8159" s="17"/>
      <c r="L8159" s="17">
        <f>IFERROR(__xludf.DUMMYFUNCTION("""COMPUTED_VALUE"""),3.229417869E9)</f>
        <v>3229417869</v>
      </c>
      <c r="M8159" s="17"/>
      <c r="N8159" s="17"/>
      <c r="O8159" s="17"/>
      <c r="P8159" s="17" t="b">
        <f>IFERROR(__xludf.DUMMYFUNCTION("""COMPUTED_VALUE"""),TRUE)</f>
        <v>1</v>
      </c>
      <c r="Q8159" s="20">
        <f>IFERROR(__xludf.DUMMYFUNCTION("""COMPUTED_VALUE"""),45232.65407369213)</f>
        <v>45232.65407</v>
      </c>
      <c r="R8159" s="21" t="str">
        <f>IFERROR(__xludf.DUMMYFUNCTION("""COMPUTED_VALUE"""),"https://drive.google.com/file/d/1MEF0emjo4lmlDKzLubCSL22fOFo33xJ5/view?usp=drivesdk")</f>
        <v>https://drive.google.com/file/d/1MEF0emjo4lmlDKzLubCSL22fOFo33xJ5/view?usp=drivesdk</v>
      </c>
    </row>
    <row r="8160">
      <c r="A8160" s="15">
        <f>IFERROR(__xludf.DUMMYFUNCTION("""COMPUTED_VALUE"""),45231.0)</f>
        <v>45231</v>
      </c>
      <c r="B8160" s="16" t="str">
        <f>IFERROR(__xludf.DUMMYFUNCTION("""COMPUTED_VALUE"""),"JOSE ALFREDO RAMIREZ VERGARA ")</f>
        <v>JOSE ALFREDO RAMIREZ VERGARA </v>
      </c>
      <c r="C8160" s="15" t="str">
        <f>IFERROR(__xludf.DUMMYFUNCTION("""COMPUTED_VALUE"""),"BOGOTÁ")</f>
        <v>BOGOTÁ</v>
      </c>
      <c r="D8160" s="15" t="str">
        <f>IFERROR(__xludf.DUMMYFUNCTION("""COMPUTED_VALUE"""),"ENVIGADO")</f>
        <v>ENVIGADO</v>
      </c>
      <c r="E8160" s="15" t="str">
        <f>IFERROR(__xludf.DUMMYFUNCTION("""COMPUTED_VALUE"""),"JUAN CAMILO CORDOBA")</f>
        <v>JUAN CAMILO CORDOBA</v>
      </c>
      <c r="F8160" s="17" t="str">
        <f>IFERROR(__xludf.DUMMYFUNCTION("""COMPUTED_VALUE"""),"Calle 41 a # 8-25 / bulevar 42 apto 707 b")</f>
        <v>Calle 41 a # 8-25 / bulevar 42 apto 707 b</v>
      </c>
      <c r="G8160" s="15" t="str">
        <f>IFERROR(__xludf.DUMMYFUNCTION("""COMPUTED_VALUE"""),"Nutriclicstore")</f>
        <v>Nutriclicstore</v>
      </c>
      <c r="H8160" s="16">
        <f>IFERROR(__xludf.DUMMYFUNCTION("""COMPUTED_VALUE"""),16823.0)</f>
        <v>16823</v>
      </c>
      <c r="I8160" s="17"/>
      <c r="J8160" s="17"/>
      <c r="K8160" s="17"/>
      <c r="L8160" s="17">
        <f>IFERROR(__xludf.DUMMYFUNCTION("""COMPUTED_VALUE"""),3.102661625E9)</f>
        <v>3102661625</v>
      </c>
      <c r="M8160" s="17"/>
      <c r="N8160" s="17"/>
      <c r="O8160" s="17"/>
      <c r="P8160" s="17" t="b">
        <f>IFERROR(__xludf.DUMMYFUNCTION("""COMPUTED_VALUE"""),FALSE)</f>
        <v>0</v>
      </c>
      <c r="Q8160" s="20" t="str">
        <f>IFERROR(__xludf.DUMMYFUNCTION("""COMPUTED_VALUE"""),"")</f>
        <v/>
      </c>
      <c r="R8160" s="21" t="str">
        <f>IFERROR(__xludf.DUMMYFUNCTION("""COMPUTED_VALUE"""),"https://drive.google.com/file/d/1sXYclJBVVYId6mh8xoMXKjTpHj7R6Ycj/view?usp=drivesdk")</f>
        <v>https://drive.google.com/file/d/1sXYclJBVVYId6mh8xoMXKjTpHj7R6Ycj/view?usp=drivesdk</v>
      </c>
    </row>
    <row r="8161">
      <c r="A8161" s="15">
        <f>IFERROR(__xludf.DUMMYFUNCTION("""COMPUTED_VALUE"""),45231.0)</f>
        <v>45231</v>
      </c>
      <c r="B8161" s="16" t="str">
        <f>IFERROR(__xludf.DUMMYFUNCTION("""COMPUTED_VALUE"""),"JOSE ALFREDO RAMIREZ VERGARA ")</f>
        <v>JOSE ALFREDO RAMIREZ VERGARA </v>
      </c>
      <c r="C8161" s="15" t="str">
        <f>IFERROR(__xludf.DUMMYFUNCTION("""COMPUTED_VALUE"""),"BOGOTÁ")</f>
        <v>BOGOTÁ</v>
      </c>
      <c r="D8161" s="15" t="str">
        <f>IFERROR(__xludf.DUMMYFUNCTION("""COMPUTED_VALUE"""),"ENVIGADO")</f>
        <v>ENVIGADO</v>
      </c>
      <c r="E8161" s="15" t="str">
        <f>IFERROR(__xludf.DUMMYFUNCTION("""COMPUTED_VALUE"""),"JUAN CAMILO CORDOBA")</f>
        <v>JUAN CAMILO CORDOBA</v>
      </c>
      <c r="F8161" s="17" t="str">
        <f>IFERROR(__xludf.DUMMYFUNCTION("""COMPUTED_VALUE"""),"Cll 43 sur # 80 i 29 / -")</f>
        <v>Cll 43 sur # 80 i 29 / -</v>
      </c>
      <c r="G8161" s="15" t="str">
        <f>IFERROR(__xludf.DUMMYFUNCTION("""COMPUTED_VALUE"""),"Diana Martínez")</f>
        <v>Diana Martínez</v>
      </c>
      <c r="H8161" s="16">
        <f>IFERROR(__xludf.DUMMYFUNCTION("""COMPUTED_VALUE"""),16824.0)</f>
        <v>16824</v>
      </c>
      <c r="I8161" s="17"/>
      <c r="J8161" s="17"/>
      <c r="K8161" s="17"/>
      <c r="L8161" s="17">
        <f>IFERROR(__xludf.DUMMYFUNCTION("""COMPUTED_VALUE"""),3.215092937E9)</f>
        <v>3215092937</v>
      </c>
      <c r="M8161" s="17"/>
      <c r="N8161" s="17"/>
      <c r="O8161" s="17"/>
      <c r="P8161" s="17" t="b">
        <f>IFERROR(__xludf.DUMMYFUNCTION("""COMPUTED_VALUE"""),FALSE)</f>
        <v>0</v>
      </c>
      <c r="Q8161" s="20" t="str">
        <f>IFERROR(__xludf.DUMMYFUNCTION("""COMPUTED_VALUE"""),"")</f>
        <v/>
      </c>
      <c r="R8161" s="21" t="str">
        <f>IFERROR(__xludf.DUMMYFUNCTION("""COMPUTED_VALUE"""),"https://drive.google.com/file/d/1aspkgzxbGE2GAD-hY0i3IC-DbEkrFR3N/view?usp=drivesdk")</f>
        <v>https://drive.google.com/file/d/1aspkgzxbGE2GAD-hY0i3IC-DbEkrFR3N/view?usp=drivesdk</v>
      </c>
    </row>
    <row r="8162">
      <c r="A8162" s="15">
        <f>IFERROR(__xludf.DUMMYFUNCTION("""COMPUTED_VALUE"""),45231.0)</f>
        <v>45231</v>
      </c>
      <c r="B8162" s="16" t="str">
        <f>IFERROR(__xludf.DUMMYFUNCTION("""COMPUTED_VALUE"""),"JOSE ALFREDO RAMIREZ VERGARA ")</f>
        <v>JOSE ALFREDO RAMIREZ VERGARA </v>
      </c>
      <c r="C8162" s="15" t="str">
        <f>IFERROR(__xludf.DUMMYFUNCTION("""COMPUTED_VALUE"""),"BOGOTÁ")</f>
        <v>BOGOTÁ</v>
      </c>
      <c r="D8162" s="15" t="str">
        <f>IFERROR(__xludf.DUMMYFUNCTION("""COMPUTED_VALUE"""),"MEDELLÍN")</f>
        <v>MEDELLÍN</v>
      </c>
      <c r="E8162" s="15" t="str">
        <f>IFERROR(__xludf.DUMMYFUNCTION("""COMPUTED_VALUE"""),"AREPAS LA MARY")</f>
        <v>AREPAS LA MARY</v>
      </c>
      <c r="F8162" s="17" t="str">
        <f>IFERROR(__xludf.DUMMYFUNCTION("""COMPUTED_VALUE"""),"cra 100 a 73-34 / CASA")</f>
        <v>cra 100 a 73-34 / CASA</v>
      </c>
      <c r="G8162" s="15" t="str">
        <f>IFERROR(__xludf.DUMMYFUNCTION("""COMPUTED_VALUE"""),"DIANA PATAQUIVA")</f>
        <v>DIANA PATAQUIVA</v>
      </c>
      <c r="H8162" s="16">
        <f>IFERROR(__xludf.DUMMYFUNCTION("""COMPUTED_VALUE"""),16860.0)</f>
        <v>16860</v>
      </c>
      <c r="I8162" s="18">
        <f>IFERROR(__xludf.DUMMYFUNCTION("""COMPUTED_VALUE"""),89.0)</f>
        <v>89</v>
      </c>
      <c r="J8162" s="18">
        <f>IFERROR(__xludf.DUMMYFUNCTION("""COMPUTED_VALUE"""),1.0)</f>
        <v>1</v>
      </c>
      <c r="K8162" s="18">
        <f>IFERROR(__xludf.DUMMYFUNCTION("""COMPUTED_VALUE"""),10.0)</f>
        <v>10</v>
      </c>
      <c r="L8162" s="17">
        <f>IFERROR(__xludf.DUMMYFUNCTION("""COMPUTED_VALUE"""),3.017902841E9)</f>
        <v>3017902841</v>
      </c>
      <c r="M8162" s="17"/>
      <c r="N8162" s="17"/>
      <c r="O8162" s="17"/>
      <c r="P8162" s="17" t="b">
        <f>IFERROR(__xludf.DUMMYFUNCTION("""COMPUTED_VALUE"""),TRUE)</f>
        <v>1</v>
      </c>
      <c r="Q8162" s="20">
        <f>IFERROR(__xludf.DUMMYFUNCTION("""COMPUTED_VALUE"""),45232.72520347222)</f>
        <v>45232.7252</v>
      </c>
      <c r="R8162" s="21" t="str">
        <f>IFERROR(__xludf.DUMMYFUNCTION("""COMPUTED_VALUE"""),"https://drive.google.com/file/d/1UyvU39w6oHk2kh8O8R5SmBF4hJlKVxd0/view?usp=drivesdk")</f>
        <v>https://drive.google.com/file/d/1UyvU39w6oHk2kh8O8R5SmBF4hJlKVxd0/view?usp=drivesdk</v>
      </c>
    </row>
    <row r="8163">
      <c r="A8163" s="15">
        <f>IFERROR(__xludf.DUMMYFUNCTION("""COMPUTED_VALUE"""),45231.0)</f>
        <v>45231</v>
      </c>
      <c r="B8163" s="16" t="str">
        <f>IFERROR(__xludf.DUMMYFUNCTION("""COMPUTED_VALUE"""),"JOSE ALFREDO RAMIREZ VERGARA ")</f>
        <v>JOSE ALFREDO RAMIREZ VERGARA </v>
      </c>
      <c r="C8163" s="15" t="str">
        <f>IFERROR(__xludf.DUMMYFUNCTION("""COMPUTED_VALUE"""),"BOGOTÁ")</f>
        <v>BOGOTÁ</v>
      </c>
      <c r="D8163" s="15" t="str">
        <f>IFERROR(__xludf.DUMMYFUNCTION("""COMPUTED_VALUE"""),"MEDELLÍN")</f>
        <v>MEDELLÍN</v>
      </c>
      <c r="E8163" s="15" t="str">
        <f>IFERROR(__xludf.DUMMYFUNCTION("""COMPUTED_VALUE"""),"AREPAS LA MARY")</f>
        <v>AREPAS LA MARY</v>
      </c>
      <c r="F8163" s="17" t="str">
        <f>IFERROR(__xludf.DUMMYFUNCTION("""COMPUTED_VALUE"""),"CRA 3 D 54 A 50 / CHAPINERO HUB")</f>
        <v>CRA 3 D 54 A 50 / CHAPINERO HUB</v>
      </c>
      <c r="G8163" s="15" t="str">
        <f>IFERROR(__xludf.DUMMYFUNCTION("""COMPUTED_VALUE"""),"ANGELA JOHANA MARTINEZ")</f>
        <v>ANGELA JOHANA MARTINEZ</v>
      </c>
      <c r="H8163" s="16">
        <f>IFERROR(__xludf.DUMMYFUNCTION("""COMPUTED_VALUE"""),16848.0)</f>
        <v>16848</v>
      </c>
      <c r="I8163" s="18">
        <f>IFERROR(__xludf.DUMMYFUNCTION("""COMPUTED_VALUE"""),89.0)</f>
        <v>89</v>
      </c>
      <c r="J8163" s="18">
        <f>IFERROR(__xludf.DUMMYFUNCTION("""COMPUTED_VALUE"""),1.0)</f>
        <v>1</v>
      </c>
      <c r="K8163" s="18">
        <f>IFERROR(__xludf.DUMMYFUNCTION("""COMPUTED_VALUE"""),10.0)</f>
        <v>10</v>
      </c>
      <c r="L8163" s="17">
        <f>IFERROR(__xludf.DUMMYFUNCTION("""COMPUTED_VALUE"""),3.175351101E9)</f>
        <v>3175351101</v>
      </c>
      <c r="M8163" s="17"/>
      <c r="N8163" s="17"/>
      <c r="O8163" s="17"/>
      <c r="P8163" s="17" t="b">
        <f>IFERROR(__xludf.DUMMYFUNCTION("""COMPUTED_VALUE"""),TRUE)</f>
        <v>1</v>
      </c>
      <c r="Q8163" s="20">
        <f>IFERROR(__xludf.DUMMYFUNCTION("""COMPUTED_VALUE"""),45232.72520347222)</f>
        <v>45232.7252</v>
      </c>
      <c r="R8163" s="21" t="str">
        <f>IFERROR(__xludf.DUMMYFUNCTION("""COMPUTED_VALUE"""),"https://drive.google.com/file/d/1HMpg5L18_5sPWAIW3Nu5oXGl1cR6Nm95/view?usp=drivesdk")</f>
        <v>https://drive.google.com/file/d/1HMpg5L18_5sPWAIW3Nu5oXGl1cR6Nm95/view?usp=drivesdk</v>
      </c>
    </row>
    <row r="8164">
      <c r="A8164" s="15">
        <f>IFERROR(__xludf.DUMMYFUNCTION("""COMPUTED_VALUE"""),45231.0)</f>
        <v>45231</v>
      </c>
      <c r="B8164" s="16" t="str">
        <f>IFERROR(__xludf.DUMMYFUNCTION("""COMPUTED_VALUE"""),"JOSE ALFREDO RAMIREZ VERGARA ")</f>
        <v>JOSE ALFREDO RAMIREZ VERGARA </v>
      </c>
      <c r="C8164" s="15" t="str">
        <f>IFERROR(__xludf.DUMMYFUNCTION("""COMPUTED_VALUE"""),"BOGOTÁ")</f>
        <v>BOGOTÁ</v>
      </c>
      <c r="D8164" s="15" t="str">
        <f>IFERROR(__xludf.DUMMYFUNCTION("""COMPUTED_VALUE"""),"MEDELLÍN")</f>
        <v>MEDELLÍN</v>
      </c>
      <c r="E8164" s="15" t="str">
        <f>IFERROR(__xludf.DUMMYFUNCTION("""COMPUTED_VALUE"""),"AREPAS LA MARY")</f>
        <v>AREPAS LA MARY</v>
      </c>
      <c r="F8164" s="17" t="str">
        <f>IFERROR(__xludf.DUMMYFUNCTION("""COMPUTED_VALUE"""),"Edificio Cerro Alto / ROSALES BOGOTA")</f>
        <v>Edificio Cerro Alto / ROSALES BOGOTA</v>
      </c>
      <c r="G8164" s="15" t="str">
        <f>IFERROR(__xludf.DUMMYFUNCTION("""COMPUTED_VALUE"""),"MARCELA VELASQUEZ")</f>
        <v>MARCELA VELASQUEZ</v>
      </c>
      <c r="H8164" s="16">
        <f>IFERROR(__xludf.DUMMYFUNCTION("""COMPUTED_VALUE"""),16840.0)</f>
        <v>16840</v>
      </c>
      <c r="I8164" s="18">
        <f>IFERROR(__xludf.DUMMYFUNCTION("""COMPUTED_VALUE"""),89.0)</f>
        <v>89</v>
      </c>
      <c r="J8164" s="18">
        <f>IFERROR(__xludf.DUMMYFUNCTION("""COMPUTED_VALUE"""),1.0)</f>
        <v>1</v>
      </c>
      <c r="K8164" s="18">
        <f>IFERROR(__xludf.DUMMYFUNCTION("""COMPUTED_VALUE"""),10.0)</f>
        <v>10</v>
      </c>
      <c r="L8164" s="17">
        <f>IFERROR(__xludf.DUMMYFUNCTION("""COMPUTED_VALUE"""),3.187128061E9)</f>
        <v>3187128061</v>
      </c>
      <c r="M8164" s="17"/>
      <c r="N8164" s="17"/>
      <c r="O8164" s="17"/>
      <c r="P8164" s="17" t="b">
        <f>IFERROR(__xludf.DUMMYFUNCTION("""COMPUTED_VALUE"""),TRUE)</f>
        <v>1</v>
      </c>
      <c r="Q8164" s="20">
        <f>IFERROR(__xludf.DUMMYFUNCTION("""COMPUTED_VALUE"""),45232.72528108796)</f>
        <v>45232.72528</v>
      </c>
      <c r="R8164" s="21" t="str">
        <f>IFERROR(__xludf.DUMMYFUNCTION("""COMPUTED_VALUE"""),"https://drive.google.com/file/d/1LGjirO3bz_-VHKMAFqH7jBZIQNsPs_YG/view?usp=drivesdk")</f>
        <v>https://drive.google.com/file/d/1LGjirO3bz_-VHKMAFqH7jBZIQNsPs_YG/view?usp=drivesdk</v>
      </c>
    </row>
    <row r="8165">
      <c r="A8165" s="15">
        <f>IFERROR(__xludf.DUMMYFUNCTION("""COMPUTED_VALUE"""),45231.0)</f>
        <v>45231</v>
      </c>
      <c r="B8165" s="16" t="str">
        <f>IFERROR(__xludf.DUMMYFUNCTION("""COMPUTED_VALUE"""),"JOSE ALFREDO RAMIREZ VERGARA ")</f>
        <v>JOSE ALFREDO RAMIREZ VERGARA </v>
      </c>
      <c r="C8165" s="15" t="str">
        <f>IFERROR(__xludf.DUMMYFUNCTION("""COMPUTED_VALUE"""),"BOGOTÁ")</f>
        <v>BOGOTÁ</v>
      </c>
      <c r="D8165" s="15" t="str">
        <f>IFERROR(__xludf.DUMMYFUNCTION("""COMPUTED_VALUE"""),"MEDELLÍN")</f>
        <v>MEDELLÍN</v>
      </c>
      <c r="E8165" s="15" t="str">
        <f>IFERROR(__xludf.DUMMYFUNCTION("""COMPUTED_VALUE"""),"AREPAS LA MARY")</f>
        <v>AREPAS LA MARY</v>
      </c>
      <c r="F8165" s="17" t="str">
        <f>IFERROR(__xludf.DUMMYFUNCTION("""COMPUTED_VALUE"""),"Edificio La Arboleda / LA CABRERA BOGOTA")</f>
        <v>Edificio La Arboleda / LA CABRERA BOGOTA</v>
      </c>
      <c r="G8165" s="15" t="str">
        <f>IFERROR(__xludf.DUMMYFUNCTION("""COMPUTED_VALUE"""),"MARTHA LUCIA SANCHEZ")</f>
        <v>MARTHA LUCIA SANCHEZ</v>
      </c>
      <c r="H8165" s="16">
        <f>IFERROR(__xludf.DUMMYFUNCTION("""COMPUTED_VALUE"""),16842.0)</f>
        <v>16842</v>
      </c>
      <c r="I8165" s="18">
        <f>IFERROR(__xludf.DUMMYFUNCTION("""COMPUTED_VALUE"""),89.0)</f>
        <v>89</v>
      </c>
      <c r="J8165" s="18">
        <f>IFERROR(__xludf.DUMMYFUNCTION("""COMPUTED_VALUE"""),1.0)</f>
        <v>1</v>
      </c>
      <c r="K8165" s="18">
        <f>IFERROR(__xludf.DUMMYFUNCTION("""COMPUTED_VALUE"""),10.0)</f>
        <v>10</v>
      </c>
      <c r="L8165" s="17" t="str">
        <f>IFERROR(__xludf.DUMMYFUNCTION("""COMPUTED_VALUE"""),"Cel 3123605498")</f>
        <v>Cel 3123605498</v>
      </c>
      <c r="M8165" s="17"/>
      <c r="N8165" s="17"/>
      <c r="O8165" s="17"/>
      <c r="P8165" s="17" t="b">
        <f>IFERROR(__xludf.DUMMYFUNCTION("""COMPUTED_VALUE"""),FALSE)</f>
        <v>0</v>
      </c>
      <c r="Q8165" s="20" t="str">
        <f>IFERROR(__xludf.DUMMYFUNCTION("""COMPUTED_VALUE"""),"")</f>
        <v/>
      </c>
      <c r="R8165" s="21" t="str">
        <f>IFERROR(__xludf.DUMMYFUNCTION("""COMPUTED_VALUE"""),"https://drive.google.com/file/d/1WcjDE1Wf8RmSEKyN7Ht7fgjOYoiKiE43/view?usp=drivesdk")</f>
        <v>https://drive.google.com/file/d/1WcjDE1Wf8RmSEKyN7Ht7fgjOYoiKiE43/view?usp=drivesdk</v>
      </c>
    </row>
    <row r="8166">
      <c r="A8166" s="15">
        <f>IFERROR(__xludf.DUMMYFUNCTION("""COMPUTED_VALUE"""),45231.0)</f>
        <v>45231</v>
      </c>
      <c r="B8166" s="16" t="str">
        <f>IFERROR(__xludf.DUMMYFUNCTION("""COMPUTED_VALUE"""),"JOSE ALFREDO RAMIREZ VERGARA ")</f>
        <v>JOSE ALFREDO RAMIREZ VERGARA </v>
      </c>
      <c r="C8166" s="15" t="str">
        <f>IFERROR(__xludf.DUMMYFUNCTION("""COMPUTED_VALUE"""),"BOGOTÁ")</f>
        <v>BOGOTÁ</v>
      </c>
      <c r="D8166" s="15" t="str">
        <f>IFERROR(__xludf.DUMMYFUNCTION("""COMPUTED_VALUE"""),"MEDELLÍN")</f>
        <v>MEDELLÍN</v>
      </c>
      <c r="E8166" s="15" t="str">
        <f>IFERROR(__xludf.DUMMYFUNCTION("""COMPUTED_VALUE"""),"AREPAS LA MARY")</f>
        <v>AREPAS LA MARY</v>
      </c>
      <c r="F8166" s="17" t="str">
        <f>IFERROR(__xludf.DUMMYFUNCTION("""COMPUTED_VALUE"""),"Edificio Pescara / BOGOTA")</f>
        <v>Edificio Pescara / BOGOTA</v>
      </c>
      <c r="G8166" s="15" t="str">
        <f>IFERROR(__xludf.DUMMYFUNCTION("""COMPUTED_VALUE"""),"PAULINA TAPIAS")</f>
        <v>PAULINA TAPIAS</v>
      </c>
      <c r="H8166" s="16">
        <f>IFERROR(__xludf.DUMMYFUNCTION("""COMPUTED_VALUE"""),16847.0)</f>
        <v>16847</v>
      </c>
      <c r="I8166" s="18">
        <f>IFERROR(__xludf.DUMMYFUNCTION("""COMPUTED_VALUE"""),89.0)</f>
        <v>89</v>
      </c>
      <c r="J8166" s="18">
        <f>IFERROR(__xludf.DUMMYFUNCTION("""COMPUTED_VALUE"""),1.0)</f>
        <v>1</v>
      </c>
      <c r="K8166" s="18">
        <f>IFERROR(__xludf.DUMMYFUNCTION("""COMPUTED_VALUE"""),10.0)</f>
        <v>10</v>
      </c>
      <c r="L8166" s="17" t="str">
        <f>IFERROR(__xludf.DUMMYFUNCTION("""COMPUTED_VALUE"""),"322 6464133")</f>
        <v>322 6464133</v>
      </c>
      <c r="M8166" s="17"/>
      <c r="N8166" s="17"/>
      <c r="O8166" s="17"/>
      <c r="P8166" s="17" t="b">
        <f>IFERROR(__xludf.DUMMYFUNCTION("""COMPUTED_VALUE"""),FALSE)</f>
        <v>0</v>
      </c>
      <c r="Q8166" s="20" t="str">
        <f>IFERROR(__xludf.DUMMYFUNCTION("""COMPUTED_VALUE"""),"")</f>
        <v/>
      </c>
      <c r="R8166" s="21" t="str">
        <f>IFERROR(__xludf.DUMMYFUNCTION("""COMPUTED_VALUE"""),"https://drive.google.com/file/d/1k1uDYQZ5dtgvrlVncuEsuhm416aeLbDW/view?usp=drivesdk")</f>
        <v>https://drive.google.com/file/d/1k1uDYQZ5dtgvrlVncuEsuhm416aeLbDW/view?usp=drivesdk</v>
      </c>
    </row>
    <row r="8167">
      <c r="A8167" s="15">
        <f>IFERROR(__xludf.DUMMYFUNCTION("""COMPUTED_VALUE"""),45231.0)</f>
        <v>45231</v>
      </c>
      <c r="B8167" s="16" t="str">
        <f>IFERROR(__xludf.DUMMYFUNCTION("""COMPUTED_VALUE"""),"JOSE ALFREDO RAMIREZ VERGARA ")</f>
        <v>JOSE ALFREDO RAMIREZ VERGARA </v>
      </c>
      <c r="C8167" s="15" t="str">
        <f>IFERROR(__xludf.DUMMYFUNCTION("""COMPUTED_VALUE"""),"BOGOTÁ")</f>
        <v>BOGOTÁ</v>
      </c>
      <c r="D8167" s="15" t="str">
        <f>IFERROR(__xludf.DUMMYFUNCTION("""COMPUTED_VALUE"""),"MEDELLÍN")</f>
        <v>MEDELLÍN</v>
      </c>
      <c r="E8167" s="15" t="str">
        <f>IFERROR(__xludf.DUMMYFUNCTION("""COMPUTED_VALUE"""),"Baby Chef")</f>
        <v>Baby Chef</v>
      </c>
      <c r="F8167" s="17" t="str">
        <f>IFERROR(__xludf.DUMMYFUNCTION("""COMPUTED_VALUE"""),"Calle 64B # 71D 25 Torre 3 apto 301 / . / .")</f>
        <v>Calle 64B # 71D 25 Torre 3 apto 301 / . / .</v>
      </c>
      <c r="G8167" s="15" t="str">
        <f>IFERROR(__xludf.DUMMYFUNCTION("""COMPUTED_VALUE"""),"Jessica Johana Acosta Ortiz")</f>
        <v>Jessica Johana Acosta Ortiz</v>
      </c>
      <c r="H8167" s="16">
        <f>IFERROR(__xludf.DUMMYFUNCTION("""COMPUTED_VALUE"""),16854.0)</f>
        <v>16854</v>
      </c>
      <c r="I8167" s="18">
        <f>IFERROR(__xludf.DUMMYFUNCTION("""COMPUTED_VALUE"""),8.0)</f>
        <v>8</v>
      </c>
      <c r="J8167" s="18">
        <f>IFERROR(__xludf.DUMMYFUNCTION("""COMPUTED_VALUE"""),19.0)</f>
        <v>19</v>
      </c>
      <c r="K8167" s="18">
        <f>IFERROR(__xludf.DUMMYFUNCTION("""COMPUTED_VALUE"""),34.0)</f>
        <v>34</v>
      </c>
      <c r="L8167" s="17">
        <f>IFERROR(__xludf.DUMMYFUNCTION("""COMPUTED_VALUE"""),3.112161143E9)</f>
        <v>3112161143</v>
      </c>
      <c r="M8167" s="17"/>
      <c r="N8167" s="17"/>
      <c r="O8167" s="17"/>
      <c r="P8167" s="17" t="b">
        <f>IFERROR(__xludf.DUMMYFUNCTION("""COMPUTED_VALUE"""),FALSE)</f>
        <v>0</v>
      </c>
      <c r="Q8167" s="20" t="str">
        <f>IFERROR(__xludf.DUMMYFUNCTION("""COMPUTED_VALUE"""),"")</f>
        <v/>
      </c>
      <c r="R8167" s="21" t="str">
        <f>IFERROR(__xludf.DUMMYFUNCTION("""COMPUTED_VALUE"""),"https://drive.google.com/file/d/1Y71y2IROlTxeDXrbXH5etH_u4C8xXhmB/view?usp=drivesdk")</f>
        <v>https://drive.google.com/file/d/1Y71y2IROlTxeDXrbXH5etH_u4C8xXhmB/view?usp=drivesdk</v>
      </c>
    </row>
    <row r="8168">
      <c r="A8168" s="15">
        <f>IFERROR(__xludf.DUMMYFUNCTION("""COMPUTED_VALUE"""),45231.0)</f>
        <v>45231</v>
      </c>
      <c r="B8168" s="16" t="str">
        <f>IFERROR(__xludf.DUMMYFUNCTION("""COMPUTED_VALUE"""),"JOSE ALFREDO RAMIREZ VERGARA ")</f>
        <v>JOSE ALFREDO RAMIREZ VERGARA </v>
      </c>
      <c r="C8168" s="15" t="str">
        <f>IFERROR(__xludf.DUMMYFUNCTION("""COMPUTED_VALUE"""),"BOGOTÁ")</f>
        <v>BOGOTÁ</v>
      </c>
      <c r="D8168" s="15" t="str">
        <f>IFERROR(__xludf.DUMMYFUNCTION("""COMPUTED_VALUE"""),"MEDELLÍN")</f>
        <v>MEDELLÍN</v>
      </c>
      <c r="E8168" s="15" t="str">
        <f>IFERROR(__xludf.DUMMYFUNCTION("""COMPUTED_VALUE"""),"Baby Chef")</f>
        <v>Baby Chef</v>
      </c>
      <c r="F8168" s="17" t="str">
        <f>IFERROR(__xludf.DUMMYFUNCTION("""COMPUTED_VALUE"""),"Calle 80 # 103a-24 Bloque 34 Apto 404 / . / .")</f>
        <v>Calle 80 # 103a-24 Bloque 34 Apto 404 / . / .</v>
      </c>
      <c r="G8168" s="15" t="str">
        <f>IFERROR(__xludf.DUMMYFUNCTION("""COMPUTED_VALUE"""),"Paula Mariana Forero")</f>
        <v>Paula Mariana Forero</v>
      </c>
      <c r="H8168" s="16">
        <f>IFERROR(__xludf.DUMMYFUNCTION("""COMPUTED_VALUE"""),16852.0)</f>
        <v>16852</v>
      </c>
      <c r="I8168" s="18">
        <f>IFERROR(__xludf.DUMMYFUNCTION("""COMPUTED_VALUE"""),11.0)</f>
        <v>11</v>
      </c>
      <c r="J8168" s="18">
        <f>IFERROR(__xludf.DUMMYFUNCTION("""COMPUTED_VALUE"""),22.0)</f>
        <v>22</v>
      </c>
      <c r="K8168" s="18">
        <f>IFERROR(__xludf.DUMMYFUNCTION("""COMPUTED_VALUE"""),40.0)</f>
        <v>40</v>
      </c>
      <c r="L8168" s="17">
        <f>IFERROR(__xludf.DUMMYFUNCTION("""COMPUTED_VALUE"""),3.213820315E9)</f>
        <v>3213820315</v>
      </c>
      <c r="M8168" s="17"/>
      <c r="N8168" s="17"/>
      <c r="O8168" s="17"/>
      <c r="P8168" s="17" t="b">
        <f>IFERROR(__xludf.DUMMYFUNCTION("""COMPUTED_VALUE"""),FALSE)</f>
        <v>0</v>
      </c>
      <c r="Q8168" s="20" t="str">
        <f>IFERROR(__xludf.DUMMYFUNCTION("""COMPUTED_VALUE"""),"")</f>
        <v/>
      </c>
      <c r="R8168" s="21" t="str">
        <f>IFERROR(__xludf.DUMMYFUNCTION("""COMPUTED_VALUE"""),"https://drive.google.com/file/d/1fV2Tm2sOW16cjOoXPG0tOx-0Ljh4AiTV/view?usp=drivesdk")</f>
        <v>https://drive.google.com/file/d/1fV2Tm2sOW16cjOoXPG0tOx-0Ljh4AiTV/view?usp=drivesdk</v>
      </c>
    </row>
    <row r="8169">
      <c r="A8169" s="15">
        <f>IFERROR(__xludf.DUMMYFUNCTION("""COMPUTED_VALUE"""),45231.0)</f>
        <v>45231</v>
      </c>
      <c r="B8169" s="16" t="str">
        <f>IFERROR(__xludf.DUMMYFUNCTION("""COMPUTED_VALUE"""),"JOSE ALFREDO RAMIREZ VERGARA ")</f>
        <v>JOSE ALFREDO RAMIREZ VERGARA </v>
      </c>
      <c r="C8169" s="15" t="str">
        <f>IFERROR(__xludf.DUMMYFUNCTION("""COMPUTED_VALUE"""),"MONTERIA")</f>
        <v>MONTERIA</v>
      </c>
      <c r="D8169" s="15" t="str">
        <f>IFERROR(__xludf.DUMMYFUNCTION("""COMPUTED_VALUE"""),"BOGOTÁ")</f>
        <v>BOGOTÁ</v>
      </c>
      <c r="E8169" s="15" t="str">
        <f>IFERROR(__xludf.DUMMYFUNCTION("""COMPUTED_VALUE"""),"Asociacion Agropecuaria Juana Maria")</f>
        <v>Asociacion Agropecuaria Juana Maria</v>
      </c>
      <c r="F8169" s="17" t="str">
        <f>IFERROR(__xludf.DUMMYFUNCTION("""COMPUTED_VALUE"""),"Carrera 12 # 53A-39 edificio alta vista torre 1 apto 603 / Carrera 12 # 53A-39 edificio alta vista torre 1 apto 603")</f>
        <v>Carrera 12 # 53A-39 edificio alta vista torre 1 apto 603 / Carrera 12 # 53A-39 edificio alta vista torre 1 apto 603</v>
      </c>
      <c r="G8169" s="15" t="str">
        <f>IFERROR(__xludf.DUMMYFUNCTION("""COMPUTED_VALUE"""),"Emilia Miranda")</f>
        <v>Emilia Miranda</v>
      </c>
      <c r="H8169" s="16">
        <f>IFERROR(__xludf.DUMMYFUNCTION("""COMPUTED_VALUE"""),16753.0)</f>
        <v>16753</v>
      </c>
      <c r="I8169" s="17"/>
      <c r="J8169" s="17"/>
      <c r="K8169" s="17"/>
      <c r="L8169" s="17">
        <f>IFERROR(__xludf.DUMMYFUNCTION("""COMPUTED_VALUE"""),3.113438505E9)</f>
        <v>3113438505</v>
      </c>
      <c r="M8169" s="17"/>
      <c r="N8169" s="17"/>
      <c r="O8169" s="17"/>
      <c r="P8169" s="17" t="b">
        <f>IFERROR(__xludf.DUMMYFUNCTION("""COMPUTED_VALUE"""),FALSE)</f>
        <v>0</v>
      </c>
      <c r="Q8169" s="20" t="str">
        <f>IFERROR(__xludf.DUMMYFUNCTION("""COMPUTED_VALUE"""),"")</f>
        <v/>
      </c>
      <c r="R8169" s="22" t="str">
        <f>IFERROR(__xludf.DUMMYFUNCTION("""COMPUTED_VALUE"""),"")</f>
        <v/>
      </c>
    </row>
    <row r="8170">
      <c r="A8170" s="17" t="str">
        <f>IFERROR(__xludf.DUMMYFUNCTION("""COMPUTED_VALUE"""),"")</f>
        <v/>
      </c>
      <c r="B8170" s="17" t="str">
        <f>IFERROR(__xludf.DUMMYFUNCTION("""COMPUTED_VALUE"""),"")</f>
        <v/>
      </c>
      <c r="C8170" s="17" t="str">
        <f>IFERROR(__xludf.DUMMYFUNCTION("""COMPUTED_VALUE"""),"")</f>
        <v/>
      </c>
      <c r="D8170" s="17" t="str">
        <f>IFERROR(__xludf.DUMMYFUNCTION("""COMPUTED_VALUE"""),"")</f>
        <v/>
      </c>
      <c r="E8170" s="17" t="str">
        <f>IFERROR(__xludf.DUMMYFUNCTION("""COMPUTED_VALUE"""),"")</f>
        <v/>
      </c>
      <c r="F8170" s="17" t="str">
        <f>IFERROR(__xludf.DUMMYFUNCTION("""COMPUTED_VALUE"""),"")</f>
        <v/>
      </c>
      <c r="G8170" s="17" t="str">
        <f>IFERROR(__xludf.DUMMYFUNCTION("""COMPUTED_VALUE"""),"")</f>
        <v/>
      </c>
      <c r="H8170" s="17" t="str">
        <f>IFERROR(__xludf.DUMMYFUNCTION("""COMPUTED_VALUE"""),"")</f>
        <v/>
      </c>
      <c r="I8170" s="17" t="str">
        <f>IFERROR(__xludf.DUMMYFUNCTION("""COMPUTED_VALUE"""),"")</f>
        <v/>
      </c>
      <c r="J8170" s="17" t="str">
        <f>IFERROR(__xludf.DUMMYFUNCTION("""COMPUTED_VALUE"""),"")</f>
        <v/>
      </c>
      <c r="K8170" s="17" t="str">
        <f>IFERROR(__xludf.DUMMYFUNCTION("""COMPUTED_VALUE"""),"")</f>
        <v/>
      </c>
      <c r="L8170" s="17" t="str">
        <f>IFERROR(__xludf.DUMMYFUNCTION("""COMPUTED_VALUE"""),"")</f>
        <v/>
      </c>
      <c r="M8170" s="17" t="str">
        <f>IFERROR(__xludf.DUMMYFUNCTION("""COMPUTED_VALUE"""),"")</f>
        <v/>
      </c>
      <c r="N8170" s="17" t="str">
        <f>IFERROR(__xludf.DUMMYFUNCTION("""COMPUTED_VALUE"""),"")</f>
        <v/>
      </c>
      <c r="O8170" s="17" t="str">
        <f>IFERROR(__xludf.DUMMYFUNCTION("""COMPUTED_VALUE"""),"")</f>
        <v/>
      </c>
      <c r="P8170" s="17" t="str">
        <f>IFERROR(__xludf.DUMMYFUNCTION("""COMPUTED_VALUE"""),"")</f>
        <v/>
      </c>
      <c r="Q8170" s="17" t="str">
        <f>IFERROR(__xludf.DUMMYFUNCTION("""COMPUTED_VALUE"""),"")</f>
        <v/>
      </c>
      <c r="R8170" s="17" t="str">
        <f>IFERROR(__xludf.DUMMYFUNCTION("""COMPUTED_VALUE"""),"")</f>
        <v/>
      </c>
    </row>
    <row r="8171">
      <c r="A8171" s="15">
        <f>IFERROR(__xludf.DUMMYFUNCTION("""COMPUTED_VALUE"""),45232.0)</f>
        <v>45232</v>
      </c>
      <c r="B8171" s="17"/>
      <c r="C8171" s="15" t="str">
        <f>IFERROR(__xludf.DUMMYFUNCTION("""COMPUTED_VALUE"""),"BOGOTÁ")</f>
        <v>BOGOTÁ</v>
      </c>
      <c r="D8171" s="15" t="str">
        <f>IFERROR(__xludf.DUMMYFUNCTION("""COMPUTED_VALUE"""),"CALI")</f>
        <v>CALI</v>
      </c>
      <c r="E8171" s="15" t="str">
        <f>IFERROR(__xludf.DUMMYFUNCTION("""COMPUTED_VALUE"""),"Natalia Carreño")</f>
        <v>Natalia Carreño</v>
      </c>
      <c r="F8171" s="17" t="str">
        <f>IFERROR(__xludf.DUMMYFUNCTION("""COMPUTED_VALUE"""),"Carrera 27 #70-83 / Casa curuba / Barrio los alcazares")</f>
        <v>Carrera 27 #70-83 / Casa curuba / Barrio los alcazares</v>
      </c>
      <c r="G8171" s="15" t="str">
        <f>IFERROR(__xludf.DUMMYFUNCTION("""COMPUTED_VALUE"""),"Natalia Carreño")</f>
        <v>Natalia Carreño</v>
      </c>
      <c r="H8171" s="16">
        <f>IFERROR(__xludf.DUMMYFUNCTION("""COMPUTED_VALUE"""),16876.0)</f>
        <v>16876</v>
      </c>
      <c r="I8171" s="18">
        <f>IFERROR(__xludf.DUMMYFUNCTION("""COMPUTED_VALUE"""),60.0)</f>
        <v>60</v>
      </c>
      <c r="J8171" s="18">
        <f>IFERROR(__xludf.DUMMYFUNCTION("""COMPUTED_VALUE"""),60.0)</f>
        <v>60</v>
      </c>
      <c r="K8171" s="18">
        <f>IFERROR(__xludf.DUMMYFUNCTION("""COMPUTED_VALUE"""),60.0)</f>
        <v>60</v>
      </c>
      <c r="L8171" s="17">
        <f>IFERROR(__xludf.DUMMYFUNCTION("""COMPUTED_VALUE"""),3.11561131E9)</f>
        <v>3115611310</v>
      </c>
      <c r="M8171" s="17"/>
      <c r="N8171" s="17"/>
      <c r="O8171" s="17"/>
      <c r="P8171" s="17" t="b">
        <f>IFERROR(__xludf.DUMMYFUNCTION("""COMPUTED_VALUE"""),FALSE)</f>
        <v>0</v>
      </c>
      <c r="Q8171" s="20" t="str">
        <f>IFERROR(__xludf.DUMMYFUNCTION("""COMPUTED_VALUE"""),"")</f>
        <v/>
      </c>
      <c r="R8171" s="21" t="str">
        <f>IFERROR(__xludf.DUMMYFUNCTION("""COMPUTED_VALUE"""),"https://drive.google.com/file/d/1Hj9KOF6nmxAMKDPjnk3s0Qmb8ly1DaOv/view?usp=drivesdk")</f>
        <v>https://drive.google.com/file/d/1Hj9KOF6nmxAMKDPjnk3s0Qmb8ly1DaOv/view?usp=drivesdk</v>
      </c>
    </row>
    <row r="8172">
      <c r="A8172" s="15">
        <f>IFERROR(__xludf.DUMMYFUNCTION("""COMPUTED_VALUE"""),45232.0)</f>
        <v>45232</v>
      </c>
      <c r="B8172" s="17"/>
      <c r="C8172" s="15" t="str">
        <f>IFERROR(__xludf.DUMMYFUNCTION("""COMPUTED_VALUE"""),"VILLAVICENCIO")</f>
        <v>VILLAVICENCIO</v>
      </c>
      <c r="D8172" s="15" t="str">
        <f>IFERROR(__xludf.DUMMYFUNCTION("""COMPUTED_VALUE"""),"BOGOTÁ")</f>
        <v>BOGOTÁ</v>
      </c>
      <c r="E8172" s="15" t="str">
        <f>IFERROR(__xludf.DUMMYFUNCTION("""COMPUTED_VALUE"""),"LINA PAOLA RAMIREZ GOMEZ - EVA MAZZITA")</f>
        <v>LINA PAOLA RAMIREZ GOMEZ - EVA MAZZITA</v>
      </c>
      <c r="F8172" s="17" t="str">
        <f>IFERROR(__xludf.DUMMYFUNCTION("""COMPUTED_VALUE"""),"Carrera 40 No 5 a 41 / sur torre 8 apto 305 conjunto alcaravan Villavicencio, Meta")</f>
        <v>Carrera 40 No 5 a 41 / sur torre 8 apto 305 conjunto alcaravan Villavicencio, Meta</v>
      </c>
      <c r="G8172" s="15" t="str">
        <f>IFERROR(__xludf.DUMMYFUNCTION("""COMPUTED_VALUE"""),"TATIANA CORTES")</f>
        <v>TATIANA CORTES</v>
      </c>
      <c r="H8172" s="16">
        <f>IFERROR(__xludf.DUMMYFUNCTION("""COMPUTED_VALUE"""),16899.0)</f>
        <v>16899</v>
      </c>
      <c r="I8172" s="17"/>
      <c r="J8172" s="17"/>
      <c r="K8172" s="17"/>
      <c r="L8172" s="17">
        <f>IFERROR(__xludf.DUMMYFUNCTION("""COMPUTED_VALUE"""),3.006485514E9)</f>
        <v>3006485514</v>
      </c>
      <c r="M8172" s="17"/>
      <c r="N8172" s="17"/>
      <c r="O8172" s="17"/>
      <c r="P8172" s="17" t="b">
        <f>IFERROR(__xludf.DUMMYFUNCTION("""COMPUTED_VALUE"""),FALSE)</f>
        <v>0</v>
      </c>
      <c r="Q8172" s="20" t="str">
        <f>IFERROR(__xludf.DUMMYFUNCTION("""COMPUTED_VALUE"""),"")</f>
        <v/>
      </c>
      <c r="R8172" s="21" t="str">
        <f>IFERROR(__xludf.DUMMYFUNCTION("""COMPUTED_VALUE"""),"https://drive.google.com/file/d/1Z33EqKUhgHI0qBv8dBAF62v7rWni6RWX/view?usp=drivesdk")</f>
        <v>https://drive.google.com/file/d/1Z33EqKUhgHI0qBv8dBAF62v7rWni6RWX/view?usp=drivesdk</v>
      </c>
    </row>
    <row r="8173">
      <c r="A8173" s="17" t="str">
        <f>IFERROR(__xludf.DUMMYFUNCTION("""COMPUTED_VALUE"""),"")</f>
        <v/>
      </c>
      <c r="B8173" s="17" t="str">
        <f>IFERROR(__xludf.DUMMYFUNCTION("""COMPUTED_VALUE"""),"")</f>
        <v/>
      </c>
      <c r="C8173" s="17" t="str">
        <f>IFERROR(__xludf.DUMMYFUNCTION("""COMPUTED_VALUE"""),"")</f>
        <v/>
      </c>
      <c r="D8173" s="17" t="str">
        <f>IFERROR(__xludf.DUMMYFUNCTION("""COMPUTED_VALUE"""),"")</f>
        <v/>
      </c>
      <c r="E8173" s="17" t="str">
        <f>IFERROR(__xludf.DUMMYFUNCTION("""COMPUTED_VALUE"""),"")</f>
        <v/>
      </c>
      <c r="F8173" s="17" t="str">
        <f>IFERROR(__xludf.DUMMYFUNCTION("""COMPUTED_VALUE"""),"")</f>
        <v/>
      </c>
      <c r="G8173" s="17" t="str">
        <f>IFERROR(__xludf.DUMMYFUNCTION("""COMPUTED_VALUE"""),"")</f>
        <v/>
      </c>
      <c r="H8173" s="17" t="str">
        <f>IFERROR(__xludf.DUMMYFUNCTION("""COMPUTED_VALUE"""),"")</f>
        <v/>
      </c>
      <c r="I8173" s="17" t="str">
        <f>IFERROR(__xludf.DUMMYFUNCTION("""COMPUTED_VALUE"""),"")</f>
        <v/>
      </c>
      <c r="J8173" s="17" t="str">
        <f>IFERROR(__xludf.DUMMYFUNCTION("""COMPUTED_VALUE"""),"")</f>
        <v/>
      </c>
      <c r="K8173" s="17" t="str">
        <f>IFERROR(__xludf.DUMMYFUNCTION("""COMPUTED_VALUE"""),"")</f>
        <v/>
      </c>
      <c r="L8173" s="17" t="str">
        <f>IFERROR(__xludf.DUMMYFUNCTION("""COMPUTED_VALUE"""),"")</f>
        <v/>
      </c>
      <c r="M8173" s="17" t="str">
        <f>IFERROR(__xludf.DUMMYFUNCTION("""COMPUTED_VALUE"""),"")</f>
        <v/>
      </c>
      <c r="N8173" s="17" t="str">
        <f>IFERROR(__xludf.DUMMYFUNCTION("""COMPUTED_VALUE"""),"")</f>
        <v/>
      </c>
      <c r="O8173" s="17" t="str">
        <f>IFERROR(__xludf.DUMMYFUNCTION("""COMPUTED_VALUE"""),"")</f>
        <v/>
      </c>
      <c r="P8173" s="17" t="str">
        <f>IFERROR(__xludf.DUMMYFUNCTION("""COMPUTED_VALUE"""),"")</f>
        <v/>
      </c>
      <c r="Q8173" s="17" t="str">
        <f>IFERROR(__xludf.DUMMYFUNCTION("""COMPUTED_VALUE"""),"")</f>
        <v/>
      </c>
      <c r="R8173" s="17" t="str">
        <f>IFERROR(__xludf.DUMMYFUNCTION("""COMPUTED_VALUE"""),"")</f>
        <v/>
      </c>
    </row>
    <row r="8174">
      <c r="A8174" s="15">
        <f>IFERROR(__xludf.DUMMYFUNCTION("""COMPUTED_VALUE"""),45232.0)</f>
        <v>45232</v>
      </c>
      <c r="B8174" s="16" t="str">
        <f>IFERROR(__xludf.DUMMYFUNCTION("""COMPUTED_VALUE"""),"Daniel José sandoval gonzalez")</f>
        <v>Daniel José sandoval gonzalez</v>
      </c>
      <c r="C8174" s="15" t="str">
        <f>IFERROR(__xludf.DUMMYFUNCTION("""COMPUTED_VALUE"""),"BARRANQUILLA")</f>
        <v>BARRANQUILLA</v>
      </c>
      <c r="D8174" s="15" t="str">
        <f>IFERROR(__xludf.DUMMYFUNCTION("""COMPUTED_VALUE"""),"BOGOTÁ")</f>
        <v>BOGOTÁ</v>
      </c>
      <c r="E8174" s="15" t="str">
        <f>IFERROR(__xludf.DUMMYFUNCTION("""COMPUTED_VALUE"""),"Athenas")</f>
        <v>Athenas</v>
      </c>
      <c r="F8174" s="17" t="str">
        <f>IFERROR(__xludf.DUMMYFUNCTION("""COMPUTED_VALUE"""),"CARRERA 43 #99-50 CENTRO COMERCIAL MIRAMAR PISO 3 / BODYTECH CAFETERIA")</f>
        <v>CARRERA 43 #99-50 CENTRO COMERCIAL MIRAMAR PISO 3 / BODYTECH CAFETERIA</v>
      </c>
      <c r="G8174" s="15" t="str">
        <f>IFERROR(__xludf.DUMMYFUNCTION("""COMPUTED_VALUE"""),"ZOBEIDA JIMENEZ")</f>
        <v>ZOBEIDA JIMENEZ</v>
      </c>
      <c r="H8174" s="16">
        <f>IFERROR(__xludf.DUMMYFUNCTION("""COMPUTED_VALUE"""),16809.0)</f>
        <v>16809</v>
      </c>
      <c r="I8174" s="18" t="str">
        <f>IFERROR(__xludf.DUMMYFUNCTION("""COMPUTED_VALUE"""),"52.5")</f>
        <v>52.5</v>
      </c>
      <c r="J8174" s="18">
        <f>IFERROR(__xludf.DUMMYFUNCTION("""COMPUTED_VALUE"""),55.0)</f>
        <v>55</v>
      </c>
      <c r="K8174" s="18">
        <f>IFERROR(__xludf.DUMMYFUNCTION("""COMPUTED_VALUE"""),45.0)</f>
        <v>45</v>
      </c>
      <c r="L8174" s="17">
        <f>IFERROR(__xludf.DUMMYFUNCTION("""COMPUTED_VALUE"""),3.016374746E9)</f>
        <v>3016374746</v>
      </c>
      <c r="M8174" s="17"/>
      <c r="N8174" s="17"/>
      <c r="O8174" s="17"/>
      <c r="P8174" s="17" t="b">
        <f>IFERROR(__xludf.DUMMYFUNCTION("""COMPUTED_VALUE"""),FALSE)</f>
        <v>0</v>
      </c>
      <c r="Q8174" s="20" t="str">
        <f>IFERROR(__xludf.DUMMYFUNCTION("""COMPUTED_VALUE"""),"")</f>
        <v/>
      </c>
      <c r="R8174" s="21" t="str">
        <f>IFERROR(__xludf.DUMMYFUNCTION("""COMPUTED_VALUE"""),"https://drive.google.com/file/d/1GoS52mIF0GdHtZBewMkCSneCYVHRyRbs/view?usp=drivesdk")</f>
        <v>https://drive.google.com/file/d/1GoS52mIF0GdHtZBewMkCSneCYVHRyRbs/view?usp=drivesdk</v>
      </c>
    </row>
    <row r="8175">
      <c r="A8175" s="15">
        <f>IFERROR(__xludf.DUMMYFUNCTION("""COMPUTED_VALUE"""),45232.0)</f>
        <v>45232</v>
      </c>
      <c r="B8175" s="16" t="str">
        <f>IFERROR(__xludf.DUMMYFUNCTION("""COMPUTED_VALUE"""),"Daniel José sandoval gonzalez")</f>
        <v>Daniel José sandoval gonzalez</v>
      </c>
      <c r="C8175" s="15" t="str">
        <f>IFERROR(__xludf.DUMMYFUNCTION("""COMPUTED_VALUE"""),"BARRANQUILLA")</f>
        <v>BARRANQUILLA</v>
      </c>
      <c r="D8175" s="15" t="str">
        <f>IFERROR(__xludf.DUMMYFUNCTION("""COMPUTED_VALUE"""),"BOGOTÁ")</f>
        <v>BOGOTÁ</v>
      </c>
      <c r="E8175" s="15" t="str">
        <f>IFERROR(__xludf.DUMMYFUNCTION("""COMPUTED_VALUE"""),"Athenas")</f>
        <v>Athenas</v>
      </c>
      <c r="F8175" s="17" t="str">
        <f>IFERROR(__xludf.DUMMYFUNCTION("""COMPUTED_VALUE"""),"CARRERA 52 #87-50 CENTRO COMERCIAL VIVA PISO 4 / BODYTECH CAFETERIA")</f>
        <v>CARRERA 52 #87-50 CENTRO COMERCIAL VIVA PISO 4 / BODYTECH CAFETERIA</v>
      </c>
      <c r="G8175" s="15" t="str">
        <f>IFERROR(__xludf.DUMMYFUNCTION("""COMPUTED_VALUE"""),"KATHERINE COLLAZOS")</f>
        <v>KATHERINE COLLAZOS</v>
      </c>
      <c r="H8175" s="16">
        <f>IFERROR(__xludf.DUMMYFUNCTION("""COMPUTED_VALUE"""),16810.0)</f>
        <v>16810</v>
      </c>
      <c r="I8175" s="18" t="str">
        <f>IFERROR(__xludf.DUMMYFUNCTION("""COMPUTED_VALUE"""),"52.5")</f>
        <v>52.5</v>
      </c>
      <c r="J8175" s="18">
        <f>IFERROR(__xludf.DUMMYFUNCTION("""COMPUTED_VALUE"""),55.0)</f>
        <v>55</v>
      </c>
      <c r="K8175" s="18">
        <f>IFERROR(__xludf.DUMMYFUNCTION("""COMPUTED_VALUE"""),45.0)</f>
        <v>45</v>
      </c>
      <c r="L8175" s="17">
        <f>IFERROR(__xludf.DUMMYFUNCTION("""COMPUTED_VALUE"""),3.244436647E9)</f>
        <v>3244436647</v>
      </c>
      <c r="M8175" s="17"/>
      <c r="N8175" s="17"/>
      <c r="O8175" s="17"/>
      <c r="P8175" s="17" t="b">
        <f>IFERROR(__xludf.DUMMYFUNCTION("""COMPUTED_VALUE"""),FALSE)</f>
        <v>0</v>
      </c>
      <c r="Q8175" s="20" t="str">
        <f>IFERROR(__xludf.DUMMYFUNCTION("""COMPUTED_VALUE"""),"")</f>
        <v/>
      </c>
      <c r="R8175" s="21" t="str">
        <f>IFERROR(__xludf.DUMMYFUNCTION("""COMPUTED_VALUE"""),"https://drive.google.com/file/d/1M3l-Ui2O_jKvR2AIKksZtYD8QTamxx-9/view?usp=drivesdk")</f>
        <v>https://drive.google.com/file/d/1M3l-Ui2O_jKvR2AIKksZtYD8QTamxx-9/view?usp=drivesdk</v>
      </c>
    </row>
    <row r="8176">
      <c r="A8176" s="15">
        <f>IFERROR(__xludf.DUMMYFUNCTION("""COMPUTED_VALUE"""),45232.0)</f>
        <v>45232</v>
      </c>
      <c r="B8176" s="16" t="str">
        <f>IFERROR(__xludf.DUMMYFUNCTION("""COMPUTED_VALUE"""),"Daniel José sandoval gonzalez")</f>
        <v>Daniel José sandoval gonzalez</v>
      </c>
      <c r="C8176" s="15" t="str">
        <f>IFERROR(__xludf.DUMMYFUNCTION("""COMPUTED_VALUE"""),"BARRANQUILLA")</f>
        <v>BARRANQUILLA</v>
      </c>
      <c r="D8176" s="15" t="str">
        <f>IFERROR(__xludf.DUMMYFUNCTION("""COMPUTED_VALUE"""),"BOGOTÁ")</f>
        <v>BOGOTÁ</v>
      </c>
      <c r="E8176" s="15" t="str">
        <f>IFERROR(__xludf.DUMMYFUNCTION("""COMPUTED_VALUE"""),"LINA PAOLA RAMIREZ GOMEZ - EVA MAZZITA")</f>
        <v>LINA PAOLA RAMIREZ GOMEZ - EVA MAZZITA</v>
      </c>
      <c r="F8176" s="17" t="str">
        <f>IFERROR(__xludf.DUMMYFUNCTION("""COMPUTED_VALUE"""),"Cra 26c2 79-45 / Barranquilla  Barrio el silencio")</f>
        <v>Cra 26c2 79-45 / Barranquilla  Barrio el silencio</v>
      </c>
      <c r="G8176" s="15" t="str">
        <f>IFERROR(__xludf.DUMMYFUNCTION("""COMPUTED_VALUE"""),"ANA BACA")</f>
        <v>ANA BACA</v>
      </c>
      <c r="H8176" s="16">
        <f>IFERROR(__xludf.DUMMYFUNCTION("""COMPUTED_VALUE"""),16901.0)</f>
        <v>16901</v>
      </c>
      <c r="I8176" s="17"/>
      <c r="J8176" s="17"/>
      <c r="K8176" s="17"/>
      <c r="L8176" s="17">
        <f>IFERROR(__xludf.DUMMYFUNCTION("""COMPUTED_VALUE"""),3.104214122E9)</f>
        <v>3104214122</v>
      </c>
      <c r="M8176" s="17"/>
      <c r="N8176" s="17"/>
      <c r="O8176" s="17"/>
      <c r="P8176" s="17" t="b">
        <f>IFERROR(__xludf.DUMMYFUNCTION("""COMPUTED_VALUE"""),FALSE)</f>
        <v>0</v>
      </c>
      <c r="Q8176" s="20" t="str">
        <f>IFERROR(__xludf.DUMMYFUNCTION("""COMPUTED_VALUE"""),"")</f>
        <v/>
      </c>
      <c r="R8176" s="21" t="str">
        <f>IFERROR(__xludf.DUMMYFUNCTION("""COMPUTED_VALUE"""),"https://drive.google.com/file/d/1UV0pXGu6103xpub_88WDz-KluAGjIbqW/view?usp=drivesdk")</f>
        <v>https://drive.google.com/file/d/1UV0pXGu6103xpub_88WDz-KluAGjIbqW/view?usp=drivesdk</v>
      </c>
    </row>
    <row r="8177">
      <c r="A8177" s="15">
        <f>IFERROR(__xludf.DUMMYFUNCTION("""COMPUTED_VALUE"""),45232.0)</f>
        <v>45232</v>
      </c>
      <c r="B8177" s="16" t="str">
        <f>IFERROR(__xludf.DUMMYFUNCTION("""COMPUTED_VALUE"""),"Daniel José sandoval gonzalez")</f>
        <v>Daniel José sandoval gonzalez</v>
      </c>
      <c r="C8177" s="15" t="str">
        <f>IFERROR(__xludf.DUMMYFUNCTION("""COMPUTED_VALUE"""),"BARRANQUILLA")</f>
        <v>BARRANQUILLA</v>
      </c>
      <c r="D8177" s="15" t="str">
        <f>IFERROR(__xludf.DUMMYFUNCTION("""COMPUTED_VALUE"""),"BOGOTÁ")</f>
        <v>BOGOTÁ</v>
      </c>
      <c r="E8177" s="15" t="str">
        <f>IFERROR(__xludf.DUMMYFUNCTION("""COMPUTED_VALUE"""),"LINA PAOLA RAMIREZ GOMEZ - EVA MAZZITA")</f>
        <v>LINA PAOLA RAMIREZ GOMEZ - EVA MAZZITA</v>
      </c>
      <c r="F8177" s="17" t="str">
        <f>IFERROR(__xludf.DUMMYFUNCTION("""COMPUTED_VALUE"""),"CRA 42C No. 83 - 99 / APTO 508  EDIFICIO SANTORINI BARRIO NUEVO HORIZONTE")</f>
        <v>CRA 42C No. 83 - 99 / APTO 508  EDIFICIO SANTORINI BARRIO NUEVO HORIZONTE</v>
      </c>
      <c r="G8177" s="15" t="str">
        <f>IFERROR(__xludf.DUMMYFUNCTION("""COMPUTED_VALUE"""),"SILVANA ROBLES")</f>
        <v>SILVANA ROBLES</v>
      </c>
      <c r="H8177" s="16">
        <f>IFERROR(__xludf.DUMMYFUNCTION("""COMPUTED_VALUE"""),16902.0)</f>
        <v>16902</v>
      </c>
      <c r="I8177" s="17"/>
      <c r="J8177" s="17"/>
      <c r="K8177" s="17"/>
      <c r="L8177" s="17">
        <f>IFERROR(__xludf.DUMMYFUNCTION("""COMPUTED_VALUE"""),3.13564513E9)</f>
        <v>3135645130</v>
      </c>
      <c r="M8177" s="17"/>
      <c r="N8177" s="17"/>
      <c r="O8177" s="17"/>
      <c r="P8177" s="17" t="b">
        <f>IFERROR(__xludf.DUMMYFUNCTION("""COMPUTED_VALUE"""),FALSE)</f>
        <v>0</v>
      </c>
      <c r="Q8177" s="20" t="str">
        <f>IFERROR(__xludf.DUMMYFUNCTION("""COMPUTED_VALUE"""),"")</f>
        <v/>
      </c>
      <c r="R8177" s="21" t="str">
        <f>IFERROR(__xludf.DUMMYFUNCTION("""COMPUTED_VALUE"""),"https://drive.google.com/file/d/1rKSZlxw3ZXwGxFPZO3EUgjoKPXl-c6XV/view?usp=drivesdk")</f>
        <v>https://drive.google.com/file/d/1rKSZlxw3ZXwGxFPZO3EUgjoKPXl-c6XV/view?usp=drivesdk</v>
      </c>
    </row>
    <row r="8178">
      <c r="A8178" s="15">
        <f>IFERROR(__xludf.DUMMYFUNCTION("""COMPUTED_VALUE"""),45232.0)</f>
        <v>45232</v>
      </c>
      <c r="B8178" s="16" t="str">
        <f>IFERROR(__xludf.DUMMYFUNCTION("""COMPUTED_VALUE"""),"Daniel José sandoval gonzalez")</f>
        <v>Daniel José sandoval gonzalez</v>
      </c>
      <c r="C8178" s="15" t="str">
        <f>IFERROR(__xludf.DUMMYFUNCTION("""COMPUTED_VALUE"""),"BARRANQUILLA")</f>
        <v>BARRANQUILLA</v>
      </c>
      <c r="D8178" s="15" t="str">
        <f>IFERROR(__xludf.DUMMYFUNCTION("""COMPUTED_VALUE"""),"BOGOTÁ")</f>
        <v>BOGOTÁ</v>
      </c>
      <c r="E8178" s="15" t="str">
        <f>IFERROR(__xludf.DUMMYFUNCTION("""COMPUTED_VALUE"""),"PAN DE WAFFLE")</f>
        <v>PAN DE WAFFLE</v>
      </c>
      <c r="F8178" s="17" t="str">
        <f>IFERROR(__xludf.DUMMYFUNCTION("""COMPUTED_VALUE"""),"Carrera 45 # 85 - 168 / Carrera 45 # 85 - 168")</f>
        <v>Carrera 45 # 85 - 168 / Carrera 45 # 85 - 168</v>
      </c>
      <c r="G8178" s="15" t="str">
        <f>IFERROR(__xludf.DUMMYFUNCTION("""COMPUTED_VALUE"""),"FOODOLOGY B/QUILLA")</f>
        <v>FOODOLOGY B/QUILLA</v>
      </c>
      <c r="H8178" s="16">
        <f>IFERROR(__xludf.DUMMYFUNCTION("""COMPUTED_VALUE"""),16918.0)</f>
        <v>16918</v>
      </c>
      <c r="I8178" s="17"/>
      <c r="J8178" s="17"/>
      <c r="K8178" s="17"/>
      <c r="L8178" s="17">
        <f>IFERROR(__xludf.DUMMYFUNCTION("""COMPUTED_VALUE"""),3.017001909E9)</f>
        <v>3017001909</v>
      </c>
      <c r="M8178" s="17"/>
      <c r="N8178" s="17"/>
      <c r="O8178" s="17"/>
      <c r="P8178" s="17" t="b">
        <f>IFERROR(__xludf.DUMMYFUNCTION("""COMPUTED_VALUE"""),FALSE)</f>
        <v>0</v>
      </c>
      <c r="Q8178" s="20" t="str">
        <f>IFERROR(__xludf.DUMMYFUNCTION("""COMPUTED_VALUE"""),"")</f>
        <v/>
      </c>
      <c r="R8178" s="21" t="str">
        <f>IFERROR(__xludf.DUMMYFUNCTION("""COMPUTED_VALUE"""),"https://drive.google.com/file/d/1kFei9ogtDpQug8QJGDpQ8B0rY3qj7s4w/view?usp=drivesdk")</f>
        <v>https://drive.google.com/file/d/1kFei9ogtDpQug8QJGDpQ8B0rY3qj7s4w/view?usp=drivesdk</v>
      </c>
    </row>
    <row r="8179">
      <c r="A8179" s="15">
        <f>IFERROR(__xludf.DUMMYFUNCTION("""COMPUTED_VALUE"""),45232.0)</f>
        <v>45232</v>
      </c>
      <c r="B8179" s="16" t="str">
        <f>IFERROR(__xludf.DUMMYFUNCTION("""COMPUTED_VALUE"""),"Daniel José sandoval gonzalez")</f>
        <v>Daniel José sandoval gonzalez</v>
      </c>
      <c r="C8179" s="15" t="str">
        <f>IFERROR(__xludf.DUMMYFUNCTION("""COMPUTED_VALUE"""),"BARRANQUILLA")</f>
        <v>BARRANQUILLA</v>
      </c>
      <c r="D8179" s="15" t="str">
        <f>IFERROR(__xludf.DUMMYFUNCTION("""COMPUTED_VALUE"""),"BOGOTÁ")</f>
        <v>BOGOTÁ</v>
      </c>
      <c r="E8179" s="15" t="str">
        <f>IFERROR(__xludf.DUMMYFUNCTION("""COMPUTED_VALUE"""),"PAN DE WAFFLE")</f>
        <v>PAN DE WAFFLE</v>
      </c>
      <c r="F8179" s="17" t="str">
        <f>IFERROR(__xludf.DUMMYFUNCTION("""COMPUTED_VALUE"""),"CR 53 80 284 LC 8 / CR 53 80 284 LC 8")</f>
        <v>CR 53 80 284 LC 8 / CR 53 80 284 LC 8</v>
      </c>
      <c r="G8179" s="15" t="str">
        <f>IFERROR(__xludf.DUMMYFUNCTION("""COMPUTED_VALUE"""),"CORPOFIT")</f>
        <v>CORPOFIT</v>
      </c>
      <c r="H8179" s="16">
        <f>IFERROR(__xludf.DUMMYFUNCTION("""COMPUTED_VALUE"""),16917.0)</f>
        <v>16917</v>
      </c>
      <c r="I8179" s="17"/>
      <c r="J8179" s="17"/>
      <c r="K8179" s="17"/>
      <c r="L8179" s="17">
        <f>IFERROR(__xludf.DUMMYFUNCTION("""COMPUTED_VALUE"""),3.006125263E9)</f>
        <v>3006125263</v>
      </c>
      <c r="M8179" s="17"/>
      <c r="N8179" s="17"/>
      <c r="O8179" s="17"/>
      <c r="P8179" s="17" t="b">
        <f>IFERROR(__xludf.DUMMYFUNCTION("""COMPUTED_VALUE"""),FALSE)</f>
        <v>0</v>
      </c>
      <c r="Q8179" s="20" t="str">
        <f>IFERROR(__xludf.DUMMYFUNCTION("""COMPUTED_VALUE"""),"")</f>
        <v/>
      </c>
      <c r="R8179" s="21" t="str">
        <f>IFERROR(__xludf.DUMMYFUNCTION("""COMPUTED_VALUE"""),"https://drive.google.com/file/d/1IHcRgIR-GOgUYczNWFUwODI1sYmv_GAM/view?usp=drivesdk")</f>
        <v>https://drive.google.com/file/d/1IHcRgIR-GOgUYczNWFUwODI1sYmv_GAM/view?usp=drivesdk</v>
      </c>
    </row>
    <row r="8180">
      <c r="A8180" s="15">
        <f>IFERROR(__xludf.DUMMYFUNCTION("""COMPUTED_VALUE"""),45232.0)</f>
        <v>45232</v>
      </c>
      <c r="B8180" s="16" t="str">
        <f>IFERROR(__xludf.DUMMYFUNCTION("""COMPUTED_VALUE"""),"Daniel José sandoval gonzalez")</f>
        <v>Daniel José sandoval gonzalez</v>
      </c>
      <c r="C8180" s="15" t="str">
        <f>IFERROR(__xludf.DUMMYFUNCTION("""COMPUTED_VALUE"""),"BARRANQUILLA")</f>
        <v>BARRANQUILLA</v>
      </c>
      <c r="D8180" s="15" t="str">
        <f>IFERROR(__xludf.DUMMYFUNCTION("""COMPUTED_VALUE"""),"BOGOTÁ")</f>
        <v>BOGOTÁ</v>
      </c>
      <c r="E8180" s="15" t="str">
        <f>IFERROR(__xludf.DUMMYFUNCTION("""COMPUTED_VALUE"""),"Spirulina Fresca")</f>
        <v>Spirulina Fresca</v>
      </c>
      <c r="F8180" s="17" t="str">
        <f>IFERROR(__xludf.DUMMYFUNCTION("""COMPUTED_VALUE"""),"Carrera 58#96-08 /  apt 301 edificio brisas del mar / Bsrranquilla")</f>
        <v>Carrera 58#96-08 /  apt 301 edificio brisas del mar / Bsrranquilla</v>
      </c>
      <c r="G8180" s="15" t="str">
        <f>IFERROR(__xludf.DUMMYFUNCTION("""COMPUTED_VALUE"""),"Mario Arteta")</f>
        <v>Mario Arteta</v>
      </c>
      <c r="H8180" s="16">
        <f>IFERROR(__xludf.DUMMYFUNCTION("""COMPUTED_VALUE"""),16872.0)</f>
        <v>16872</v>
      </c>
      <c r="I8180" s="18">
        <f>IFERROR(__xludf.DUMMYFUNCTION("""COMPUTED_VALUE"""),5.0)</f>
        <v>5</v>
      </c>
      <c r="J8180" s="18">
        <f>IFERROR(__xludf.DUMMYFUNCTION("""COMPUTED_VALUE"""),5.0)</f>
        <v>5</v>
      </c>
      <c r="K8180" s="18">
        <f>IFERROR(__xludf.DUMMYFUNCTION("""COMPUTED_VALUE"""),22.0)</f>
        <v>22</v>
      </c>
      <c r="L8180" s="17">
        <f>IFERROR(__xludf.DUMMYFUNCTION("""COMPUTED_VALUE"""),3.01364239E9)</f>
        <v>3013642390</v>
      </c>
      <c r="M8180" s="17"/>
      <c r="N8180" s="17"/>
      <c r="O8180" s="17"/>
      <c r="P8180" s="17" t="b">
        <f>IFERROR(__xludf.DUMMYFUNCTION("""COMPUTED_VALUE"""),FALSE)</f>
        <v>0</v>
      </c>
      <c r="Q8180" s="20" t="str">
        <f>IFERROR(__xludf.DUMMYFUNCTION("""COMPUTED_VALUE"""),"")</f>
        <v/>
      </c>
      <c r="R8180" s="21" t="str">
        <f>IFERROR(__xludf.DUMMYFUNCTION("""COMPUTED_VALUE"""),"https://drive.google.com/file/d/1UySNW3AFeWNlptzJ94agfRCUCOIZBG-N/view?usp=drivesdk")</f>
        <v>https://drive.google.com/file/d/1UySNW3AFeWNlptzJ94agfRCUCOIZBG-N/view?usp=drivesdk</v>
      </c>
    </row>
    <row r="8181">
      <c r="A8181" s="15">
        <f>IFERROR(__xludf.DUMMYFUNCTION("""COMPUTED_VALUE"""),45232.0)</f>
        <v>45232</v>
      </c>
      <c r="B8181" s="16" t="str">
        <f>IFERROR(__xludf.DUMMYFUNCTION("""COMPUTED_VALUE"""),"Daniel José sandoval gonzalez")</f>
        <v>Daniel José sandoval gonzalez</v>
      </c>
      <c r="C8181" s="15" t="str">
        <f>IFERROR(__xludf.DUMMYFUNCTION("""COMPUTED_VALUE"""),"BARRANQUILLA")</f>
        <v>BARRANQUILLA</v>
      </c>
      <c r="D8181" s="15" t="str">
        <f>IFERROR(__xludf.DUMMYFUNCTION("""COMPUTED_VALUE"""),"BOGOTÁ")</f>
        <v>BOGOTÁ</v>
      </c>
      <c r="E8181" s="15" t="str">
        <f>IFERROR(__xludf.DUMMYFUNCTION("""COMPUTED_VALUE"""),"Top Spun")</f>
        <v>Top Spun</v>
      </c>
      <c r="F8181" s="17" t="str">
        <f>IFERROR(__xludf.DUMMYFUNCTION("""COMPUTED_VALUE"""),"Calle 40b 17 62  / Barrio San Jose / Barranquilla")</f>
        <v>Calle 40b 17 62  / Barrio San Jose / Barranquilla</v>
      </c>
      <c r="G8181" s="15" t="str">
        <f>IFERROR(__xludf.DUMMYFUNCTION("""COMPUTED_VALUE"""),"Heidy Mesa Estrada")</f>
        <v>Heidy Mesa Estrada</v>
      </c>
      <c r="H8181" s="16">
        <f>IFERROR(__xludf.DUMMYFUNCTION("""COMPUTED_VALUE"""),16889.0)</f>
        <v>16889</v>
      </c>
      <c r="I8181" s="18">
        <f>IFERROR(__xludf.DUMMYFUNCTION("""COMPUTED_VALUE"""),20.0)</f>
        <v>20</v>
      </c>
      <c r="J8181" s="18">
        <f>IFERROR(__xludf.DUMMYFUNCTION("""COMPUTED_VALUE"""),10.0)</f>
        <v>10</v>
      </c>
      <c r="K8181" s="18">
        <f>IFERROR(__xludf.DUMMYFUNCTION("""COMPUTED_VALUE"""),40.0)</f>
        <v>40</v>
      </c>
      <c r="L8181" s="17">
        <f>IFERROR(__xludf.DUMMYFUNCTION("""COMPUTED_VALUE"""),3.188069888E9)</f>
        <v>3188069888</v>
      </c>
      <c r="M8181" s="17"/>
      <c r="N8181" s="17"/>
      <c r="O8181" s="17"/>
      <c r="P8181" s="17" t="b">
        <f>IFERROR(__xludf.DUMMYFUNCTION("""COMPUTED_VALUE"""),FALSE)</f>
        <v>0</v>
      </c>
      <c r="Q8181" s="20" t="str">
        <f>IFERROR(__xludf.DUMMYFUNCTION("""COMPUTED_VALUE"""),"")</f>
        <v/>
      </c>
      <c r="R8181" s="21" t="str">
        <f>IFERROR(__xludf.DUMMYFUNCTION("""COMPUTED_VALUE"""),"https://drive.google.com/file/d/1MRUidSFvTNK0VYuIcnfANVkQM7sCIRBN/view?usp=drivesdk")</f>
        <v>https://drive.google.com/file/d/1MRUidSFvTNK0VYuIcnfANVkQM7sCIRBN/view?usp=drivesdk</v>
      </c>
    </row>
    <row r="8182">
      <c r="A8182" s="15">
        <f>IFERROR(__xludf.DUMMYFUNCTION("""COMPUTED_VALUE"""),45232.0)</f>
        <v>45232</v>
      </c>
      <c r="B8182" s="16" t="str">
        <f>IFERROR(__xludf.DUMMYFUNCTION("""COMPUTED_VALUE"""),"Daniel José sandoval gonzalez")</f>
        <v>Daniel José sandoval gonzalez</v>
      </c>
      <c r="C8182" s="15" t="str">
        <f>IFERROR(__xludf.DUMMYFUNCTION("""COMPUTED_VALUE"""),"BARRANQUILLA")</f>
        <v>BARRANQUILLA</v>
      </c>
      <c r="D8182" s="15" t="str">
        <f>IFERROR(__xludf.DUMMYFUNCTION("""COMPUTED_VALUE"""),"BOGOTÁ")</f>
        <v>BOGOTÁ</v>
      </c>
      <c r="E8182" s="15" t="str">
        <f>IFERROR(__xludf.DUMMYFUNCTION("""COMPUTED_VALUE"""),"Top Spun")</f>
        <v>Top Spun</v>
      </c>
      <c r="F8182" s="17" t="str">
        <f>IFERROR(__xludf.DUMMYFUNCTION("""COMPUTED_VALUE"""),"CRA 58 # 98-71 / EDIFICIO TOLEDO")</f>
        <v>CRA 58 # 98-71 / EDIFICIO TOLEDO</v>
      </c>
      <c r="G8182" s="15" t="str">
        <f>IFERROR(__xludf.DUMMYFUNCTION("""COMPUTED_VALUE"""),"DIANA GUERRERO")</f>
        <v>DIANA GUERRERO</v>
      </c>
      <c r="H8182" s="16">
        <f>IFERROR(__xludf.DUMMYFUNCTION("""COMPUTED_VALUE"""),16741.0)</f>
        <v>16741</v>
      </c>
      <c r="I8182" s="17"/>
      <c r="J8182" s="17"/>
      <c r="K8182" s="17"/>
      <c r="L8182" s="17">
        <f>IFERROR(__xludf.DUMMYFUNCTION("""COMPUTED_VALUE"""),3.008661634E9)</f>
        <v>3008661634</v>
      </c>
      <c r="M8182" s="17"/>
      <c r="N8182" s="17"/>
      <c r="O8182" s="17"/>
      <c r="P8182" s="17" t="b">
        <f>IFERROR(__xludf.DUMMYFUNCTION("""COMPUTED_VALUE"""),FALSE)</f>
        <v>0</v>
      </c>
      <c r="Q8182" s="20" t="str">
        <f>IFERROR(__xludf.DUMMYFUNCTION("""COMPUTED_VALUE"""),"")</f>
        <v/>
      </c>
      <c r="R8182" s="21" t="str">
        <f>IFERROR(__xludf.DUMMYFUNCTION("""COMPUTED_VALUE"""),"https://drive.google.com/file/d/1AQhR4NkzYwZc8oJPCtn6SWir4hAzsDVr/view?usp=drivesdk")</f>
        <v>https://drive.google.com/file/d/1AQhR4NkzYwZc8oJPCtn6SWir4hAzsDVr/view?usp=drivesdk</v>
      </c>
    </row>
    <row r="8183">
      <c r="A8183" s="17" t="str">
        <f>IFERROR(__xludf.DUMMYFUNCTION("""COMPUTED_VALUE"""),"")</f>
        <v/>
      </c>
      <c r="B8183" s="17" t="str">
        <f>IFERROR(__xludf.DUMMYFUNCTION("""COMPUTED_VALUE"""),"")</f>
        <v/>
      </c>
      <c r="C8183" s="17" t="str">
        <f>IFERROR(__xludf.DUMMYFUNCTION("""COMPUTED_VALUE"""),"")</f>
        <v/>
      </c>
      <c r="D8183" s="17" t="str">
        <f>IFERROR(__xludf.DUMMYFUNCTION("""COMPUTED_VALUE"""),"")</f>
        <v/>
      </c>
      <c r="E8183" s="17" t="str">
        <f>IFERROR(__xludf.DUMMYFUNCTION("""COMPUTED_VALUE"""),"")</f>
        <v/>
      </c>
      <c r="F8183" s="17" t="str">
        <f>IFERROR(__xludf.DUMMYFUNCTION("""COMPUTED_VALUE"""),"")</f>
        <v/>
      </c>
      <c r="G8183" s="17" t="str">
        <f>IFERROR(__xludf.DUMMYFUNCTION("""COMPUTED_VALUE"""),"")</f>
        <v/>
      </c>
      <c r="H8183" s="17" t="str">
        <f>IFERROR(__xludf.DUMMYFUNCTION("""COMPUTED_VALUE"""),"")</f>
        <v/>
      </c>
      <c r="I8183" s="17" t="str">
        <f>IFERROR(__xludf.DUMMYFUNCTION("""COMPUTED_VALUE"""),"")</f>
        <v/>
      </c>
      <c r="J8183" s="17" t="str">
        <f>IFERROR(__xludf.DUMMYFUNCTION("""COMPUTED_VALUE"""),"")</f>
        <v/>
      </c>
      <c r="K8183" s="17" t="str">
        <f>IFERROR(__xludf.DUMMYFUNCTION("""COMPUTED_VALUE"""),"")</f>
        <v/>
      </c>
      <c r="L8183" s="17" t="str">
        <f>IFERROR(__xludf.DUMMYFUNCTION("""COMPUTED_VALUE"""),"")</f>
        <v/>
      </c>
      <c r="M8183" s="17" t="str">
        <f>IFERROR(__xludf.DUMMYFUNCTION("""COMPUTED_VALUE"""),"")</f>
        <v/>
      </c>
      <c r="N8183" s="17" t="str">
        <f>IFERROR(__xludf.DUMMYFUNCTION("""COMPUTED_VALUE"""),"")</f>
        <v/>
      </c>
      <c r="O8183" s="17" t="str">
        <f>IFERROR(__xludf.DUMMYFUNCTION("""COMPUTED_VALUE"""),"")</f>
        <v/>
      </c>
      <c r="P8183" s="17" t="str">
        <f>IFERROR(__xludf.DUMMYFUNCTION("""COMPUTED_VALUE"""),"")</f>
        <v/>
      </c>
      <c r="Q8183" s="17" t="str">
        <f>IFERROR(__xludf.DUMMYFUNCTION("""COMPUTED_VALUE"""),"")</f>
        <v/>
      </c>
      <c r="R8183" s="17" t="str">
        <f>IFERROR(__xludf.DUMMYFUNCTION("""COMPUTED_VALUE"""),"")</f>
        <v/>
      </c>
    </row>
    <row r="8184">
      <c r="A8184" s="15">
        <f>IFERROR(__xludf.DUMMYFUNCTION("""COMPUTED_VALUE"""),45232.0)</f>
        <v>45232</v>
      </c>
      <c r="B8184" s="16" t="str">
        <f>IFERROR(__xludf.DUMMYFUNCTION("""COMPUTED_VALUE"""),"David Sanmartin Bello")</f>
        <v>David Sanmartin Bello</v>
      </c>
      <c r="C8184" s="15" t="str">
        <f>IFERROR(__xludf.DUMMYFUNCTION("""COMPUTED_VALUE"""),"BARRANQUILLA")</f>
        <v>BARRANQUILLA</v>
      </c>
      <c r="D8184" s="15" t="str">
        <f>IFERROR(__xludf.DUMMYFUNCTION("""COMPUTED_VALUE"""),"BOGOTÁ")</f>
        <v>BOGOTÁ</v>
      </c>
      <c r="E8184" s="15" t="str">
        <f>IFERROR(__xludf.DUMMYFUNCTION("""COMPUTED_VALUE"""),"Top Spun")</f>
        <v>Top Spun</v>
      </c>
      <c r="F8184" s="17" t="str">
        <f>IFERROR(__xludf.DUMMYFUNCTION("""COMPUTED_VALUE"""),"Cra 58 # 64-264 / Apt 4C")</f>
        <v>Cra 58 # 64-264 / Apt 4C</v>
      </c>
      <c r="G8184" s="15" t="str">
        <f>IFERROR(__xludf.DUMMYFUNCTION("""COMPUTED_VALUE"""),"Veronica Wunderlin")</f>
        <v>Veronica Wunderlin</v>
      </c>
      <c r="H8184" s="16">
        <f>IFERROR(__xludf.DUMMYFUNCTION("""COMPUTED_VALUE"""),16742.0)</f>
        <v>16742</v>
      </c>
      <c r="I8184" s="17"/>
      <c r="J8184" s="17"/>
      <c r="K8184" s="17"/>
      <c r="L8184" s="17">
        <f>IFERROR(__xludf.DUMMYFUNCTION("""COMPUTED_VALUE"""),3.147353292E9)</f>
        <v>3147353292</v>
      </c>
      <c r="M8184" s="17"/>
      <c r="N8184" s="17"/>
      <c r="O8184" s="17"/>
      <c r="P8184" s="17" t="b">
        <f>IFERROR(__xludf.DUMMYFUNCTION("""COMPUTED_VALUE"""),FALSE)</f>
        <v>0</v>
      </c>
      <c r="Q8184" s="20" t="str">
        <f>IFERROR(__xludf.DUMMYFUNCTION("""COMPUTED_VALUE"""),"")</f>
        <v/>
      </c>
      <c r="R8184" s="21" t="str">
        <f>IFERROR(__xludf.DUMMYFUNCTION("""COMPUTED_VALUE"""),"https://drive.google.com/file/d/129IDOR4SmOPR-W2Fo9wu7a5uqXKKB7O3/view?usp=drivesdk")</f>
        <v>https://drive.google.com/file/d/129IDOR4SmOPR-W2Fo9wu7a5uqXKKB7O3/view?usp=drivesdk</v>
      </c>
    </row>
    <row r="8185">
      <c r="A8185" s="15">
        <f>IFERROR(__xludf.DUMMYFUNCTION("""COMPUTED_VALUE"""),45232.0)</f>
        <v>45232</v>
      </c>
      <c r="B8185" s="16" t="str">
        <f>IFERROR(__xludf.DUMMYFUNCTION("""COMPUTED_VALUE"""),"David Sanmartin Bello")</f>
        <v>David Sanmartin Bello</v>
      </c>
      <c r="C8185" s="15" t="str">
        <f>IFERROR(__xludf.DUMMYFUNCTION("""COMPUTED_VALUE"""),"BARRANQUILLA")</f>
        <v>BARRANQUILLA</v>
      </c>
      <c r="D8185" s="15" t="str">
        <f>IFERROR(__xludf.DUMMYFUNCTION("""COMPUTED_VALUE"""),"BOGOTÁ")</f>
        <v>BOGOTÁ</v>
      </c>
      <c r="E8185" s="15" t="str">
        <f>IFERROR(__xludf.DUMMYFUNCTION("""COMPUTED_VALUE"""),"Viral Brands")</f>
        <v>Viral Brands</v>
      </c>
      <c r="F8185" s="17" t="str">
        <f>IFERROR(__xludf.DUMMYFUNCTION("""COMPUTED_VALUE"""),"kra 49c n 75 -47 lyd house prado restaurante chuzales / lyd house restaruante chuzales  / prado")</f>
        <v>kra 49c n 75 -47 lyd house prado restaurante chuzales / lyd house restaruante chuzales  / prado</v>
      </c>
      <c r="G8185" s="15" t="str">
        <f>IFERROR(__xludf.DUMMYFUNCTION("""COMPUTED_VALUE"""),"restaurante chuzales")</f>
        <v>restaurante chuzales</v>
      </c>
      <c r="H8185" s="16">
        <f>IFERROR(__xludf.DUMMYFUNCTION("""COMPUTED_VALUE"""),16873.0)</f>
        <v>16873</v>
      </c>
      <c r="I8185" s="18">
        <f>IFERROR(__xludf.DUMMYFUNCTION("""COMPUTED_VALUE"""),29.0)</f>
        <v>29</v>
      </c>
      <c r="J8185" s="18">
        <f>IFERROR(__xludf.DUMMYFUNCTION("""COMPUTED_VALUE"""),55.0)</f>
        <v>55</v>
      </c>
      <c r="K8185" s="18">
        <f>IFERROR(__xludf.DUMMYFUNCTION("""COMPUTED_VALUE"""),45.0)</f>
        <v>45</v>
      </c>
      <c r="L8185" s="17">
        <f>IFERROR(__xludf.DUMMYFUNCTION("""COMPUTED_VALUE"""),3.017624858E9)</f>
        <v>3017624858</v>
      </c>
      <c r="M8185" s="17"/>
      <c r="N8185" s="17"/>
      <c r="O8185" s="17"/>
      <c r="P8185" s="17" t="b">
        <f>IFERROR(__xludf.DUMMYFUNCTION("""COMPUTED_VALUE"""),FALSE)</f>
        <v>0</v>
      </c>
      <c r="Q8185" s="20" t="str">
        <f>IFERROR(__xludf.DUMMYFUNCTION("""COMPUTED_VALUE"""),"")</f>
        <v/>
      </c>
      <c r="R8185" s="21" t="str">
        <f>IFERROR(__xludf.DUMMYFUNCTION("""COMPUTED_VALUE"""),"https://drive.google.com/file/d/1eKuWcky31av88W42l5rIP8MiouuyVKTp/view?usp=drivesdk")</f>
        <v>https://drive.google.com/file/d/1eKuWcky31av88W42l5rIP8MiouuyVKTp/view?usp=drivesdk</v>
      </c>
    </row>
    <row r="8186">
      <c r="A8186" s="15">
        <f>IFERROR(__xludf.DUMMYFUNCTION("""COMPUTED_VALUE"""),45232.0)</f>
        <v>45232</v>
      </c>
      <c r="B8186" s="16" t="str">
        <f>IFERROR(__xludf.DUMMYFUNCTION("""COMPUTED_VALUE"""),"David Sanmartin Bello")</f>
        <v>David Sanmartin Bello</v>
      </c>
      <c r="C8186" s="15" t="str">
        <f>IFERROR(__xludf.DUMMYFUNCTION("""COMPUTED_VALUE"""),"CARTAGENA")</f>
        <v>CARTAGENA</v>
      </c>
      <c r="D8186" s="15" t="str">
        <f>IFERROR(__xludf.DUMMYFUNCTION("""COMPUTED_VALUE"""),"BOGOTÁ")</f>
        <v>BOGOTÁ</v>
      </c>
      <c r="E8186" s="15" t="str">
        <f>IFERROR(__xludf.DUMMYFUNCTION("""COMPUTED_VALUE"""),"Amavilo")</f>
        <v>Amavilo</v>
      </c>
      <c r="F8186" s="17" t="str">
        <f>IFERROR(__xludf.DUMMYFUNCTION("""COMPUTED_VALUE"""),"ANILLO VIAL SECTOR CIELO MAR CARTAGENA / HOTEL LAS AMERICAS DE CARTAGENA / OFICINA DE COMPRAS HOTEL LAS AMERICAS DE CARTAGENA")</f>
        <v>ANILLO VIAL SECTOR CIELO MAR CARTAGENA / HOTEL LAS AMERICAS DE CARTAGENA / OFICINA DE COMPRAS HOTEL LAS AMERICAS DE CARTAGENA</v>
      </c>
      <c r="G8186" s="15" t="str">
        <f>IFERROR(__xludf.DUMMYFUNCTION("""COMPUTED_VALUE"""),"JUAN DAVID MONTES FEJE DE COMPRAS HOTEL LAS AMERICAS DE CARTAGENA")</f>
        <v>JUAN DAVID MONTES FEJE DE COMPRAS HOTEL LAS AMERICAS DE CARTAGENA</v>
      </c>
      <c r="H8186" s="16">
        <f>IFERROR(__xludf.DUMMYFUNCTION("""COMPUTED_VALUE"""),16834.0)</f>
        <v>16834</v>
      </c>
      <c r="I8186" s="18">
        <f>IFERROR(__xludf.DUMMYFUNCTION("""COMPUTED_VALUE"""),5.0)</f>
        <v>5</v>
      </c>
      <c r="J8186" s="18">
        <f>IFERROR(__xludf.DUMMYFUNCTION("""COMPUTED_VALUE"""),20.0)</f>
        <v>20</v>
      </c>
      <c r="K8186" s="18">
        <f>IFERROR(__xludf.DUMMYFUNCTION("""COMPUTED_VALUE"""),10.0)</f>
        <v>10</v>
      </c>
      <c r="L8186" s="17">
        <f>IFERROR(__xludf.DUMMYFUNCTION("""COMPUTED_VALUE"""),3.233090937E9)</f>
        <v>3233090937</v>
      </c>
      <c r="M8186" s="17"/>
      <c r="N8186" s="17"/>
      <c r="O8186" s="17"/>
      <c r="P8186" s="17" t="b">
        <f>IFERROR(__xludf.DUMMYFUNCTION("""COMPUTED_VALUE"""),FALSE)</f>
        <v>0</v>
      </c>
      <c r="Q8186" s="20" t="str">
        <f>IFERROR(__xludf.DUMMYFUNCTION("""COMPUTED_VALUE"""),"")</f>
        <v/>
      </c>
      <c r="R8186" s="21" t="str">
        <f>IFERROR(__xludf.DUMMYFUNCTION("""COMPUTED_VALUE"""),"https://drive.google.com/file/d/1hraWM8u2KKeXlgR3prsjswKKMieD42NW/view?usp=drivesdk")</f>
        <v>https://drive.google.com/file/d/1hraWM8u2KKeXlgR3prsjswKKMieD42NW/view?usp=drivesdk</v>
      </c>
    </row>
    <row r="8187">
      <c r="A8187" s="15">
        <f>IFERROR(__xludf.DUMMYFUNCTION("""COMPUTED_VALUE"""),45232.0)</f>
        <v>45232</v>
      </c>
      <c r="B8187" s="16" t="str">
        <f>IFERROR(__xludf.DUMMYFUNCTION("""COMPUTED_VALUE"""),"David Sanmartin Bello")</f>
        <v>David Sanmartin Bello</v>
      </c>
      <c r="C8187" s="15" t="str">
        <f>IFERROR(__xludf.DUMMYFUNCTION("""COMPUTED_VALUE"""),"CARTAGENA")</f>
        <v>CARTAGENA</v>
      </c>
      <c r="D8187" s="15" t="str">
        <f>IFERROR(__xludf.DUMMYFUNCTION("""COMPUTED_VALUE"""),"BOGOTÁ")</f>
        <v>BOGOTÁ</v>
      </c>
      <c r="E8187" s="15" t="str">
        <f>IFERROR(__xludf.DUMMYFUNCTION("""COMPUTED_VALUE"""),"LINA PAOLA RAMIREZ GOMEZ - EVA MAZZITA")</f>
        <v>LINA PAOLA RAMIREZ GOMEZ - EVA MAZZITA</v>
      </c>
      <c r="F8187" s="17" t="str">
        <f>IFERROR(__xludf.DUMMYFUNCTION("""COMPUTED_VALUE"""),"CRA 71 No. 26 - 96 / CONJUNTO TORRES DE LA PLAZUELA TORRE 1 APTO 1802 BARRIO SANTA MONICA")</f>
        <v>CRA 71 No. 26 - 96 / CONJUNTO TORRES DE LA PLAZUELA TORRE 1 APTO 1802 BARRIO SANTA MONICA</v>
      </c>
      <c r="G8187" s="15" t="str">
        <f>IFERROR(__xludf.DUMMYFUNCTION("""COMPUTED_VALUE"""),"KIRLY MORA")</f>
        <v>KIRLY MORA</v>
      </c>
      <c r="H8187" s="16">
        <f>IFERROR(__xludf.DUMMYFUNCTION("""COMPUTED_VALUE"""),16868.0)</f>
        <v>16868</v>
      </c>
      <c r="I8187" s="17"/>
      <c r="J8187" s="17"/>
      <c r="K8187" s="17"/>
      <c r="L8187" s="17">
        <f>IFERROR(__xludf.DUMMYFUNCTION("""COMPUTED_VALUE"""),3.175759947E9)</f>
        <v>3175759947</v>
      </c>
      <c r="M8187" s="17"/>
      <c r="N8187" s="17"/>
      <c r="O8187" s="17"/>
      <c r="P8187" s="17" t="b">
        <f>IFERROR(__xludf.DUMMYFUNCTION("""COMPUTED_VALUE"""),FALSE)</f>
        <v>0</v>
      </c>
      <c r="Q8187" s="20" t="str">
        <f>IFERROR(__xludf.DUMMYFUNCTION("""COMPUTED_VALUE"""),"")</f>
        <v/>
      </c>
      <c r="R8187" s="21" t="str">
        <f>IFERROR(__xludf.DUMMYFUNCTION("""COMPUTED_VALUE"""),"https://drive.google.com/file/d/1fvTS5CZ2ylvJJjGRa9YgsjE98dTEp2MI/view?usp=drivesdk")</f>
        <v>https://drive.google.com/file/d/1fvTS5CZ2ylvJJjGRa9YgsjE98dTEp2MI/view?usp=drivesdk</v>
      </c>
    </row>
    <row r="8188">
      <c r="A8188" s="15">
        <f>IFERROR(__xludf.DUMMYFUNCTION("""COMPUTED_VALUE"""),45232.0)</f>
        <v>45232</v>
      </c>
      <c r="B8188" s="16" t="str">
        <f>IFERROR(__xludf.DUMMYFUNCTION("""COMPUTED_VALUE"""),"David Sanmartin Bello")</f>
        <v>David Sanmartin Bello</v>
      </c>
      <c r="C8188" s="15" t="str">
        <f>IFERROR(__xludf.DUMMYFUNCTION("""COMPUTED_VALUE"""),"CARTAGENA")</f>
        <v>CARTAGENA</v>
      </c>
      <c r="D8188" s="15" t="str">
        <f>IFERROR(__xludf.DUMMYFUNCTION("""COMPUTED_VALUE"""),"BOGOTÁ")</f>
        <v>BOGOTÁ</v>
      </c>
      <c r="E8188" s="15" t="str">
        <f>IFERROR(__xludf.DUMMYFUNCTION("""COMPUTED_VALUE"""),"Viiva Fermentados")</f>
        <v>Viiva Fermentados</v>
      </c>
      <c r="F8188" s="17" t="str">
        <f>IFERROR(__xludf.DUMMYFUNCTION("""COMPUTED_VALUE"""),"Carrera 2 #9-161 / Tienda Salute / Bocagrande")</f>
        <v>Carrera 2 #9-161 / Tienda Salute / Bocagrande</v>
      </c>
      <c r="G8188" s="15" t="str">
        <f>IFERROR(__xludf.DUMMYFUNCTION("""COMPUTED_VALUE"""),"Salute Mercado Angélica Amaris")</f>
        <v>Salute Mercado Angélica Amaris</v>
      </c>
      <c r="H8188" s="16">
        <f>IFERROR(__xludf.DUMMYFUNCTION("""COMPUTED_VALUE"""),16850.0)</f>
        <v>16850</v>
      </c>
      <c r="I8188" s="18">
        <f>IFERROR(__xludf.DUMMYFUNCTION("""COMPUTED_VALUE"""),21.0)</f>
        <v>21</v>
      </c>
      <c r="J8188" s="18">
        <f>IFERROR(__xludf.DUMMYFUNCTION("""COMPUTED_VALUE"""),36.0)</f>
        <v>36</v>
      </c>
      <c r="K8188" s="18">
        <f>IFERROR(__xludf.DUMMYFUNCTION("""COMPUTED_VALUE"""),24.0)</f>
        <v>24</v>
      </c>
      <c r="L8188" s="17">
        <f>IFERROR(__xludf.DUMMYFUNCTION("""COMPUTED_VALUE"""),3.046083651E9)</f>
        <v>3046083651</v>
      </c>
      <c r="M8188" s="17"/>
      <c r="N8188" s="17"/>
      <c r="O8188" s="17"/>
      <c r="P8188" s="17" t="b">
        <f>IFERROR(__xludf.DUMMYFUNCTION("""COMPUTED_VALUE"""),FALSE)</f>
        <v>0</v>
      </c>
      <c r="Q8188" s="20" t="str">
        <f>IFERROR(__xludf.DUMMYFUNCTION("""COMPUTED_VALUE"""),"")</f>
        <v/>
      </c>
      <c r="R8188" s="21" t="str">
        <f>IFERROR(__xludf.DUMMYFUNCTION("""COMPUTED_VALUE"""),"https://drive.google.com/file/d/16zKSZZvaD8ntxYoEOkoGEzLPM1iZAwja/view?usp=drivesdk")</f>
        <v>https://drive.google.com/file/d/16zKSZZvaD8ntxYoEOkoGEzLPM1iZAwja/view?usp=drivesdk</v>
      </c>
    </row>
    <row r="8189">
      <c r="A8189" s="17" t="str">
        <f>IFERROR(__xludf.DUMMYFUNCTION("""COMPUTED_VALUE"""),"")</f>
        <v/>
      </c>
      <c r="B8189" s="17" t="str">
        <f>IFERROR(__xludf.DUMMYFUNCTION("""COMPUTED_VALUE"""),"")</f>
        <v/>
      </c>
      <c r="C8189" s="17" t="str">
        <f>IFERROR(__xludf.DUMMYFUNCTION("""COMPUTED_VALUE"""),"")</f>
        <v/>
      </c>
      <c r="D8189" s="17" t="str">
        <f>IFERROR(__xludf.DUMMYFUNCTION("""COMPUTED_VALUE"""),"")</f>
        <v/>
      </c>
      <c r="E8189" s="17" t="str">
        <f>IFERROR(__xludf.DUMMYFUNCTION("""COMPUTED_VALUE"""),"")</f>
        <v/>
      </c>
      <c r="F8189" s="17" t="str">
        <f>IFERROR(__xludf.DUMMYFUNCTION("""COMPUTED_VALUE"""),"")</f>
        <v/>
      </c>
      <c r="G8189" s="17" t="str">
        <f>IFERROR(__xludf.DUMMYFUNCTION("""COMPUTED_VALUE"""),"")</f>
        <v/>
      </c>
      <c r="H8189" s="17" t="str">
        <f>IFERROR(__xludf.DUMMYFUNCTION("""COMPUTED_VALUE"""),"")</f>
        <v/>
      </c>
      <c r="I8189" s="17" t="str">
        <f>IFERROR(__xludf.DUMMYFUNCTION("""COMPUTED_VALUE"""),"")</f>
        <v/>
      </c>
      <c r="J8189" s="17" t="str">
        <f>IFERROR(__xludf.DUMMYFUNCTION("""COMPUTED_VALUE"""),"")</f>
        <v/>
      </c>
      <c r="K8189" s="17" t="str">
        <f>IFERROR(__xludf.DUMMYFUNCTION("""COMPUTED_VALUE"""),"")</f>
        <v/>
      </c>
      <c r="L8189" s="17" t="str">
        <f>IFERROR(__xludf.DUMMYFUNCTION("""COMPUTED_VALUE"""),"")</f>
        <v/>
      </c>
      <c r="M8189" s="17" t="str">
        <f>IFERROR(__xludf.DUMMYFUNCTION("""COMPUTED_VALUE"""),"")</f>
        <v/>
      </c>
      <c r="N8189" s="17" t="str">
        <f>IFERROR(__xludf.DUMMYFUNCTION("""COMPUTED_VALUE"""),"")</f>
        <v/>
      </c>
      <c r="O8189" s="17" t="str">
        <f>IFERROR(__xludf.DUMMYFUNCTION("""COMPUTED_VALUE"""),"")</f>
        <v/>
      </c>
      <c r="P8189" s="17" t="str">
        <f>IFERROR(__xludf.DUMMYFUNCTION("""COMPUTED_VALUE"""),"")</f>
        <v/>
      </c>
      <c r="Q8189" s="17" t="str">
        <f>IFERROR(__xludf.DUMMYFUNCTION("""COMPUTED_VALUE"""),"")</f>
        <v/>
      </c>
      <c r="R8189" s="17" t="str">
        <f>IFERROR(__xludf.DUMMYFUNCTION("""COMPUTED_VALUE"""),"")</f>
        <v/>
      </c>
    </row>
    <row r="8190">
      <c r="A8190" s="15">
        <f>IFERROR(__xludf.DUMMYFUNCTION("""COMPUTED_VALUE"""),45232.0)</f>
        <v>45232</v>
      </c>
      <c r="B8190" s="16" t="str">
        <f>IFERROR(__xludf.DUMMYFUNCTION("""COMPUTED_VALUE"""),"Deivi Alejandro Quintero Corrales")</f>
        <v>Deivi Alejandro Quintero Corrales</v>
      </c>
      <c r="C8190" s="15" t="str">
        <f>IFERROR(__xludf.DUMMYFUNCTION("""COMPUTED_VALUE"""),"VILLAVICENCIO")</f>
        <v>VILLAVICENCIO</v>
      </c>
      <c r="D8190" s="15" t="str">
        <f>IFERROR(__xludf.DUMMYFUNCTION("""COMPUTED_VALUE"""),"MEDELLÍN")</f>
        <v>MEDELLÍN</v>
      </c>
      <c r="E8190" s="15" t="str">
        <f>IFERROR(__xludf.DUMMYFUNCTION("""COMPUTED_VALUE"""),"AREPAS LA MARY")</f>
        <v>AREPAS LA MARY</v>
      </c>
      <c r="F8190" s="17" t="str">
        <f>IFERROR(__xludf.DUMMYFUNCTION("""COMPUTED_VALUE"""),"AV 40 N.16B159 LOCAL 75 / CENTRO COMERCIAL VILLACENTRO")</f>
        <v>AV 40 N.16B159 LOCAL 75 / CENTRO COMERCIAL VILLACENTRO</v>
      </c>
      <c r="G8190" s="15" t="str">
        <f>IFERROR(__xludf.DUMMYFUNCTION("""COMPUTED_VALUE"""),"natural fit market")</f>
        <v>natural fit market</v>
      </c>
      <c r="H8190" s="16">
        <f>IFERROR(__xludf.DUMMYFUNCTION("""COMPUTED_VALUE"""),16829.0)</f>
        <v>16829</v>
      </c>
      <c r="I8190" s="18">
        <f>IFERROR(__xludf.DUMMYFUNCTION("""COMPUTED_VALUE"""),89.0)</f>
        <v>89</v>
      </c>
      <c r="J8190" s="18">
        <f>IFERROR(__xludf.DUMMYFUNCTION("""COMPUTED_VALUE"""),1.0)</f>
        <v>1</v>
      </c>
      <c r="K8190" s="18">
        <f>IFERROR(__xludf.DUMMYFUNCTION("""COMPUTED_VALUE"""),10.0)</f>
        <v>10</v>
      </c>
      <c r="L8190" s="17">
        <f>IFERROR(__xludf.DUMMYFUNCTION("""COMPUTED_VALUE"""),3.138896388E9)</f>
        <v>3138896388</v>
      </c>
      <c r="M8190" s="17"/>
      <c r="N8190" s="17"/>
      <c r="O8190" s="17"/>
      <c r="P8190" s="17" t="b">
        <f>IFERROR(__xludf.DUMMYFUNCTION("""COMPUTED_VALUE"""),FALSE)</f>
        <v>0</v>
      </c>
      <c r="Q8190" s="20" t="str">
        <f>IFERROR(__xludf.DUMMYFUNCTION("""COMPUTED_VALUE"""),"")</f>
        <v/>
      </c>
      <c r="R8190" s="21" t="str">
        <f>IFERROR(__xludf.DUMMYFUNCTION("""COMPUTED_VALUE"""),"https://drive.google.com/file/d/11hFDsZo9fknPP4VjkHIp8IKBGA-c16-u/view?usp=drivesdk")</f>
        <v>https://drive.google.com/file/d/11hFDsZo9fknPP4VjkHIp8IKBGA-c16-u/view?usp=drivesdk</v>
      </c>
    </row>
    <row r="8191">
      <c r="A8191" s="17" t="str">
        <f>IFERROR(__xludf.DUMMYFUNCTION("""COMPUTED_VALUE"""),"")</f>
        <v/>
      </c>
      <c r="B8191" s="17" t="str">
        <f>IFERROR(__xludf.DUMMYFUNCTION("""COMPUTED_VALUE"""),"")</f>
        <v/>
      </c>
      <c r="C8191" s="17" t="str">
        <f>IFERROR(__xludf.DUMMYFUNCTION("""COMPUTED_VALUE"""),"")</f>
        <v/>
      </c>
      <c r="D8191" s="17" t="str">
        <f>IFERROR(__xludf.DUMMYFUNCTION("""COMPUTED_VALUE"""),"")</f>
        <v/>
      </c>
      <c r="E8191" s="17" t="str">
        <f>IFERROR(__xludf.DUMMYFUNCTION("""COMPUTED_VALUE"""),"")</f>
        <v/>
      </c>
      <c r="F8191" s="17" t="str">
        <f>IFERROR(__xludf.DUMMYFUNCTION("""COMPUTED_VALUE"""),"")</f>
        <v/>
      </c>
      <c r="G8191" s="17" t="str">
        <f>IFERROR(__xludf.DUMMYFUNCTION("""COMPUTED_VALUE"""),"")</f>
        <v/>
      </c>
      <c r="H8191" s="17" t="str">
        <f>IFERROR(__xludf.DUMMYFUNCTION("""COMPUTED_VALUE"""),"")</f>
        <v/>
      </c>
      <c r="I8191" s="17" t="str">
        <f>IFERROR(__xludf.DUMMYFUNCTION("""COMPUTED_VALUE"""),"")</f>
        <v/>
      </c>
      <c r="J8191" s="17" t="str">
        <f>IFERROR(__xludf.DUMMYFUNCTION("""COMPUTED_VALUE"""),"")</f>
        <v/>
      </c>
      <c r="K8191" s="17" t="str">
        <f>IFERROR(__xludf.DUMMYFUNCTION("""COMPUTED_VALUE"""),"")</f>
        <v/>
      </c>
      <c r="L8191" s="17" t="str">
        <f>IFERROR(__xludf.DUMMYFUNCTION("""COMPUTED_VALUE"""),"")</f>
        <v/>
      </c>
      <c r="M8191" s="17" t="str">
        <f>IFERROR(__xludf.DUMMYFUNCTION("""COMPUTED_VALUE"""),"")</f>
        <v/>
      </c>
      <c r="N8191" s="17" t="str">
        <f>IFERROR(__xludf.DUMMYFUNCTION("""COMPUTED_VALUE"""),"")</f>
        <v/>
      </c>
      <c r="O8191" s="17" t="str">
        <f>IFERROR(__xludf.DUMMYFUNCTION("""COMPUTED_VALUE"""),"")</f>
        <v/>
      </c>
      <c r="P8191" s="17" t="str">
        <f>IFERROR(__xludf.DUMMYFUNCTION("""COMPUTED_VALUE"""),"")</f>
        <v/>
      </c>
      <c r="Q8191" s="17" t="str">
        <f>IFERROR(__xludf.DUMMYFUNCTION("""COMPUTED_VALUE"""),"")</f>
        <v/>
      </c>
      <c r="R8191" s="17" t="str">
        <f>IFERROR(__xludf.DUMMYFUNCTION("""COMPUTED_VALUE"""),"")</f>
        <v/>
      </c>
    </row>
    <row r="8192">
      <c r="A8192" s="15">
        <f>IFERROR(__xludf.DUMMYFUNCTION("""COMPUTED_VALUE"""),45232.0)</f>
        <v>45232</v>
      </c>
      <c r="B8192" s="16" t="str">
        <f>IFERROR(__xludf.DUMMYFUNCTION("""COMPUTED_VALUE"""),"Envia")</f>
        <v>Envia</v>
      </c>
      <c r="C8192" s="15" t="str">
        <f>IFERROR(__xludf.DUMMYFUNCTION("""COMPUTED_VALUE"""),"ARMENIA")</f>
        <v>ARMENIA</v>
      </c>
      <c r="D8192" s="15" t="str">
        <f>IFERROR(__xludf.DUMMYFUNCTION("""COMPUTED_VALUE"""),"BOGOTÁ")</f>
        <v>BOGOTÁ</v>
      </c>
      <c r="E8192" s="15" t="str">
        <f>IFERROR(__xludf.DUMMYFUNCTION("""COMPUTED_VALUE"""),"Chalupo")</f>
        <v>Chalupo</v>
      </c>
      <c r="F8192" s="17" t="str">
        <f>IFERROR(__xludf.DUMMYFUNCTION("""COMPUTED_VALUE"""),"Calle12 norte # 11-40  / La cascada apto 601 / Barrio la castellana")</f>
        <v>Calle12 norte # 11-40  / La cascada apto 601 / Barrio la castellana</v>
      </c>
      <c r="G8192" s="15" t="str">
        <f>IFERROR(__xludf.DUMMYFUNCTION("""COMPUTED_VALUE"""),"Luisa Fernanda Arcila")</f>
        <v>Luisa Fernanda Arcila</v>
      </c>
      <c r="H8192" s="16">
        <f>IFERROR(__xludf.DUMMYFUNCTION("""COMPUTED_VALUE"""),16916.0)</f>
        <v>16916</v>
      </c>
      <c r="I8192" s="18">
        <f>IFERROR(__xludf.DUMMYFUNCTION("""COMPUTED_VALUE"""),21.0)</f>
        <v>21</v>
      </c>
      <c r="J8192" s="18">
        <f>IFERROR(__xludf.DUMMYFUNCTION("""COMPUTED_VALUE"""),30.0)</f>
        <v>30</v>
      </c>
      <c r="K8192" s="18">
        <f>IFERROR(__xludf.DUMMYFUNCTION("""COMPUTED_VALUE"""),50.0)</f>
        <v>50</v>
      </c>
      <c r="L8192" s="17">
        <f>IFERROR(__xludf.DUMMYFUNCTION("""COMPUTED_VALUE"""),3.21722911E9)</f>
        <v>3217229110</v>
      </c>
      <c r="M8192" s="17"/>
      <c r="N8192" s="17"/>
      <c r="O8192" s="17"/>
      <c r="P8192" s="17" t="b">
        <f>IFERROR(__xludf.DUMMYFUNCTION("""COMPUTED_VALUE"""),FALSE)</f>
        <v>0</v>
      </c>
      <c r="Q8192" s="20" t="str">
        <f>IFERROR(__xludf.DUMMYFUNCTION("""COMPUTED_VALUE"""),"")</f>
        <v/>
      </c>
      <c r="R8192" s="21" t="str">
        <f>IFERROR(__xludf.DUMMYFUNCTION("""COMPUTED_VALUE"""),"https://drive.google.com/file/d/1PptNKRWKer_6EJLANZZbpkM0f1b3oeeE/view?usp=drivesdk")</f>
        <v>https://drive.google.com/file/d/1PptNKRWKer_6EJLANZZbpkM0f1b3oeeE/view?usp=drivesdk</v>
      </c>
    </row>
    <row r="8193">
      <c r="A8193" s="15">
        <f>IFERROR(__xludf.DUMMYFUNCTION("""COMPUTED_VALUE"""),45232.0)</f>
        <v>45232</v>
      </c>
      <c r="B8193" s="16" t="str">
        <f>IFERROR(__xludf.DUMMYFUNCTION("""COMPUTED_VALUE"""),"Envia")</f>
        <v>Envia</v>
      </c>
      <c r="C8193" s="15" t="str">
        <f>IFERROR(__xludf.DUMMYFUNCTION("""COMPUTED_VALUE"""),"BARRANQUILLA")</f>
        <v>BARRANQUILLA</v>
      </c>
      <c r="D8193" s="15" t="str">
        <f>IFERROR(__xludf.DUMMYFUNCTION("""COMPUTED_VALUE"""),"BOGOTÁ")</f>
        <v>BOGOTÁ</v>
      </c>
      <c r="E8193" s="15" t="str">
        <f>IFERROR(__xludf.DUMMYFUNCTION("""COMPUTED_VALUE"""),"Athenas")</f>
        <v>Athenas</v>
      </c>
      <c r="F8193" s="17" t="str">
        <f>IFERROR(__xludf.DUMMYFUNCTION("""COMPUTED_VALUE"""),"CARRERA 43 # 60-25 / BODYTECH CAFETERIA")</f>
        <v>CARRERA 43 # 60-25 / BODYTECH CAFETERIA</v>
      </c>
      <c r="G8193" s="15" t="str">
        <f>IFERROR(__xludf.DUMMYFUNCTION("""COMPUTED_VALUE"""),"ADRIANA CASTRO")</f>
        <v>ADRIANA CASTRO</v>
      </c>
      <c r="H8193" s="16">
        <f>IFERROR(__xludf.DUMMYFUNCTION("""COMPUTED_VALUE"""),16808.0)</f>
        <v>16808</v>
      </c>
      <c r="I8193" s="18">
        <f>IFERROR(__xludf.DUMMYFUNCTION("""COMPUTED_VALUE"""),29.0)</f>
        <v>29</v>
      </c>
      <c r="J8193" s="18">
        <f>IFERROR(__xludf.DUMMYFUNCTION("""COMPUTED_VALUE"""),55.0)</f>
        <v>55</v>
      </c>
      <c r="K8193" s="18">
        <f>IFERROR(__xludf.DUMMYFUNCTION("""COMPUTED_VALUE"""),45.0)</f>
        <v>45</v>
      </c>
      <c r="L8193" s="17">
        <f>IFERROR(__xludf.DUMMYFUNCTION("""COMPUTED_VALUE"""),3.104011367E9)</f>
        <v>3104011367</v>
      </c>
      <c r="M8193" s="17"/>
      <c r="N8193" s="17"/>
      <c r="O8193" s="17"/>
      <c r="P8193" s="17" t="b">
        <f>IFERROR(__xludf.DUMMYFUNCTION("""COMPUTED_VALUE"""),FALSE)</f>
        <v>0</v>
      </c>
      <c r="Q8193" s="20" t="str">
        <f>IFERROR(__xludf.DUMMYFUNCTION("""COMPUTED_VALUE"""),"")</f>
        <v/>
      </c>
      <c r="R8193" s="21" t="str">
        <f>IFERROR(__xludf.DUMMYFUNCTION("""COMPUTED_VALUE"""),"https://drive.google.com/file/d/1Wj3soPGgpH-e1B2-6afn3WqTBByuKbiS/view?usp=drivesdk")</f>
        <v>https://drive.google.com/file/d/1Wj3soPGgpH-e1B2-6afn3WqTBByuKbiS/view?usp=drivesdk</v>
      </c>
    </row>
    <row r="8194">
      <c r="A8194" s="15">
        <f>IFERROR(__xludf.DUMMYFUNCTION("""COMPUTED_VALUE"""),45232.0)</f>
        <v>45232</v>
      </c>
      <c r="B8194" s="16" t="str">
        <f>IFERROR(__xludf.DUMMYFUNCTION("""COMPUTED_VALUE"""),"Envia")</f>
        <v>Envia</v>
      </c>
      <c r="C8194" s="15" t="str">
        <f>IFERROR(__xludf.DUMMYFUNCTION("""COMPUTED_VALUE"""),"BARRANQUILLA")</f>
        <v>BARRANQUILLA</v>
      </c>
      <c r="D8194" s="15" t="str">
        <f>IFERROR(__xludf.DUMMYFUNCTION("""COMPUTED_VALUE"""),"BOGOTÁ")</f>
        <v>BOGOTÁ</v>
      </c>
      <c r="E8194" s="15" t="str">
        <f>IFERROR(__xludf.DUMMYFUNCTION("""COMPUTED_VALUE"""),"LINA PAOLA RAMIREZ GOMEZ - EVA MAZZITA")</f>
        <v>LINA PAOLA RAMIREZ GOMEZ - EVA MAZZITA</v>
      </c>
      <c r="F8194" s="17" t="str">
        <f>IFERROR(__xludf.DUMMYFUNCTION("""COMPUTED_VALUE"""),"cra 44 # 85 - 130, apto 701 / edificio Évora 85  Barrio La campiña")</f>
        <v>cra 44 # 85 - 130, apto 701 / edificio Évora 85  Barrio La campiña</v>
      </c>
      <c r="G8194" s="15" t="str">
        <f>IFERROR(__xludf.DUMMYFUNCTION("""COMPUTED_VALUE"""),"SANDRA HAMBURGER ACOSTA")</f>
        <v>SANDRA HAMBURGER ACOSTA</v>
      </c>
      <c r="H8194" s="16">
        <f>IFERROR(__xludf.DUMMYFUNCTION("""COMPUTED_VALUE"""),16900.0)</f>
        <v>16900</v>
      </c>
      <c r="I8194" s="17"/>
      <c r="J8194" s="17"/>
      <c r="K8194" s="17"/>
      <c r="L8194" s="17">
        <f>IFERROR(__xludf.DUMMYFUNCTION("""COMPUTED_VALUE"""),3.00893007E9)</f>
        <v>3008930070</v>
      </c>
      <c r="M8194" s="17"/>
      <c r="N8194" s="17"/>
      <c r="O8194" s="17"/>
      <c r="P8194" s="17" t="b">
        <f>IFERROR(__xludf.DUMMYFUNCTION("""COMPUTED_VALUE"""),FALSE)</f>
        <v>0</v>
      </c>
      <c r="Q8194" s="20" t="str">
        <f>IFERROR(__xludf.DUMMYFUNCTION("""COMPUTED_VALUE"""),"")</f>
        <v/>
      </c>
      <c r="R8194" s="21" t="str">
        <f>IFERROR(__xludf.DUMMYFUNCTION("""COMPUTED_VALUE"""),"https://drive.google.com/file/d/19C_mUBQeIpp-8J43MaD7gHLx7HARecGC/view?usp=drivesdk")</f>
        <v>https://drive.google.com/file/d/19C_mUBQeIpp-8J43MaD7gHLx7HARecGC/view?usp=drivesdk</v>
      </c>
    </row>
    <row r="8195">
      <c r="A8195" s="15">
        <f>IFERROR(__xludf.DUMMYFUNCTION("""COMPUTED_VALUE"""),45232.0)</f>
        <v>45232</v>
      </c>
      <c r="B8195" s="16" t="str">
        <f>IFERROR(__xludf.DUMMYFUNCTION("""COMPUTED_VALUE"""),"Envia")</f>
        <v>Envia</v>
      </c>
      <c r="C8195" s="15" t="str">
        <f>IFERROR(__xludf.DUMMYFUNCTION("""COMPUTED_VALUE"""),"BARRANQUILLA")</f>
        <v>BARRANQUILLA</v>
      </c>
      <c r="D8195" s="15" t="str">
        <f>IFERROR(__xludf.DUMMYFUNCTION("""COMPUTED_VALUE"""),"BOGOTÁ")</f>
        <v>BOGOTÁ</v>
      </c>
      <c r="E8195" s="15" t="str">
        <f>IFERROR(__xludf.DUMMYFUNCTION("""COMPUTED_VALUE"""),"Top Spun")</f>
        <v>Top Spun</v>
      </c>
      <c r="F8195" s="17" t="str">
        <f>IFERROR(__xludf.DUMMYFUNCTION("""COMPUTED_VALUE"""),"Carrera 42e # 80 - 31 / Brisas de Takoa")</f>
        <v>Carrera 42e # 80 - 31 / Brisas de Takoa</v>
      </c>
      <c r="G8195" s="15" t="str">
        <f>IFERROR(__xludf.DUMMYFUNCTION("""COMPUTED_VALUE"""),"Laura Martinez")</f>
        <v>Laura Martinez</v>
      </c>
      <c r="H8195" s="16">
        <f>IFERROR(__xludf.DUMMYFUNCTION("""COMPUTED_VALUE"""),16743.0)</f>
        <v>16743</v>
      </c>
      <c r="I8195" s="17"/>
      <c r="J8195" s="17"/>
      <c r="K8195" s="17"/>
      <c r="L8195" s="17">
        <f>IFERROR(__xludf.DUMMYFUNCTION("""COMPUTED_VALUE"""),3.004241412E9)</f>
        <v>3004241412</v>
      </c>
      <c r="M8195" s="17"/>
      <c r="N8195" s="17"/>
      <c r="O8195" s="17"/>
      <c r="P8195" s="17" t="b">
        <f>IFERROR(__xludf.DUMMYFUNCTION("""COMPUTED_VALUE"""),FALSE)</f>
        <v>0</v>
      </c>
      <c r="Q8195" s="20" t="str">
        <f>IFERROR(__xludf.DUMMYFUNCTION("""COMPUTED_VALUE"""),"")</f>
        <v/>
      </c>
      <c r="R8195" s="21" t="str">
        <f>IFERROR(__xludf.DUMMYFUNCTION("""COMPUTED_VALUE"""),"https://drive.google.com/file/d/19mbWI002rWrgC1kDFRMkUVUGqalOWffD/view?usp=drivesdk")</f>
        <v>https://drive.google.com/file/d/19mbWI002rWrgC1kDFRMkUVUGqalOWffD/view?usp=drivesdk</v>
      </c>
    </row>
    <row r="8196">
      <c r="A8196" s="15">
        <f>IFERROR(__xludf.DUMMYFUNCTION("""COMPUTED_VALUE"""),45232.0)</f>
        <v>45232</v>
      </c>
      <c r="B8196" s="16" t="str">
        <f>IFERROR(__xludf.DUMMYFUNCTION("""COMPUTED_VALUE"""),"Envia")</f>
        <v>Envia</v>
      </c>
      <c r="C8196" s="15" t="str">
        <f>IFERROR(__xludf.DUMMYFUNCTION("""COMPUTED_VALUE"""),"BOGOTÁ")</f>
        <v>BOGOTÁ</v>
      </c>
      <c r="D8196" s="15" t="str">
        <f>IFERROR(__xludf.DUMMYFUNCTION("""COMPUTED_VALUE"""),"MEDELLÍN")</f>
        <v>MEDELLÍN</v>
      </c>
      <c r="E8196" s="15" t="str">
        <f>IFERROR(__xludf.DUMMYFUNCTION("""COMPUTED_VALUE"""),"Cocina Artesanal")</f>
        <v>Cocina Artesanal</v>
      </c>
      <c r="F8196" s="17" t="str">
        <f>IFERROR(__xludf.DUMMYFUNCTION("""COMPUTED_VALUE"""),"CALLE 81 # 13-5 LOCAL 011A / CENTRO COMERCIAL ATLANTIS / ZONA ROSA")</f>
        <v>CALLE 81 # 13-5 LOCAL 011A / CENTRO COMERCIAL ATLANTIS / ZONA ROSA</v>
      </c>
      <c r="G8196" s="15" t="str">
        <f>IFERROR(__xludf.DUMMYFUNCTION("""COMPUTED_VALUE"""),"Zulay Betancour")</f>
        <v>Zulay Betancour</v>
      </c>
      <c r="H8196" s="16">
        <f>IFERROR(__xludf.DUMMYFUNCTION("""COMPUTED_VALUE"""),16874.0)</f>
        <v>16874</v>
      </c>
      <c r="I8196" s="18">
        <f>IFERROR(__xludf.DUMMYFUNCTION("""COMPUTED_VALUE"""),1.0)</f>
        <v>1</v>
      </c>
      <c r="J8196" s="18">
        <f>IFERROR(__xludf.DUMMYFUNCTION("""COMPUTED_VALUE"""),1.0)</f>
        <v>1</v>
      </c>
      <c r="K8196" s="18">
        <f>IFERROR(__xludf.DUMMYFUNCTION("""COMPUTED_VALUE"""),1.0)</f>
        <v>1</v>
      </c>
      <c r="L8196" s="17">
        <f>IFERROR(__xludf.DUMMYFUNCTION("""COMPUTED_VALUE"""),3.046406412E9)</f>
        <v>3046406412</v>
      </c>
      <c r="M8196" s="17"/>
      <c r="N8196" s="17"/>
      <c r="O8196" s="17"/>
      <c r="P8196" s="17" t="b">
        <f>IFERROR(__xludf.DUMMYFUNCTION("""COMPUTED_VALUE"""),FALSE)</f>
        <v>0</v>
      </c>
      <c r="Q8196" s="20" t="str">
        <f>IFERROR(__xludf.DUMMYFUNCTION("""COMPUTED_VALUE"""),"")</f>
        <v/>
      </c>
      <c r="R8196" s="21" t="str">
        <f>IFERROR(__xludf.DUMMYFUNCTION("""COMPUTED_VALUE"""),"https://drive.google.com/file/d/16aVNOEtvvdmyTTGy0CXaF1wxG4WOsXj0/view?usp=drivesdk")</f>
        <v>https://drive.google.com/file/d/16aVNOEtvvdmyTTGy0CXaF1wxG4WOsXj0/view?usp=drivesdk</v>
      </c>
    </row>
    <row r="8197">
      <c r="A8197" s="15">
        <f>IFERROR(__xludf.DUMMYFUNCTION("""COMPUTED_VALUE"""),45232.0)</f>
        <v>45232</v>
      </c>
      <c r="B8197" s="16" t="str">
        <f>IFERROR(__xludf.DUMMYFUNCTION("""COMPUTED_VALUE"""),"Envia")</f>
        <v>Envia</v>
      </c>
      <c r="C8197" s="15" t="str">
        <f>IFERROR(__xludf.DUMMYFUNCTION("""COMPUTED_VALUE"""),"BOGOTÁ")</f>
        <v>BOGOTÁ</v>
      </c>
      <c r="D8197" s="15" t="str">
        <f>IFERROR(__xludf.DUMMYFUNCTION("""COMPUTED_VALUE"""),"MEDELLÍN")</f>
        <v>MEDELLÍN</v>
      </c>
      <c r="E8197" s="15" t="str">
        <f>IFERROR(__xludf.DUMMYFUNCTION("""COMPUTED_VALUE"""),"Cocina Artesanal")</f>
        <v>Cocina Artesanal</v>
      </c>
      <c r="F8197" s="17" t="str">
        <f>IFERROR(__xludf.DUMMYFUNCTION("""COMPUTED_VALUE"""),"CALLE 81 #13-5 LOCAL 011A / CENTRO COMERCIAL ATLANTIS / ZONA ROSA")</f>
        <v>CALLE 81 #13-5 LOCAL 011A / CENTRO COMERCIAL ATLANTIS / ZONA ROSA</v>
      </c>
      <c r="G8197" s="15" t="str">
        <f>IFERROR(__xludf.DUMMYFUNCTION("""COMPUTED_VALUE"""),"ZULAY BRETANCOUR")</f>
        <v>ZULAY BRETANCOUR</v>
      </c>
      <c r="H8197" s="16">
        <f>IFERROR(__xludf.DUMMYFUNCTION("""COMPUTED_VALUE"""),16875.0)</f>
        <v>16875</v>
      </c>
      <c r="I8197" s="18">
        <f>IFERROR(__xludf.DUMMYFUNCTION("""COMPUTED_VALUE"""),1.0)</f>
        <v>1</v>
      </c>
      <c r="J8197" s="18">
        <f>IFERROR(__xludf.DUMMYFUNCTION("""COMPUTED_VALUE"""),1.0)</f>
        <v>1</v>
      </c>
      <c r="K8197" s="18">
        <f>IFERROR(__xludf.DUMMYFUNCTION("""COMPUTED_VALUE"""),1.0)</f>
        <v>1</v>
      </c>
      <c r="L8197" s="17">
        <f>IFERROR(__xludf.DUMMYFUNCTION("""COMPUTED_VALUE"""),3.046406412E9)</f>
        <v>3046406412</v>
      </c>
      <c r="M8197" s="17"/>
      <c r="N8197" s="17"/>
      <c r="O8197" s="17"/>
      <c r="P8197" s="17" t="b">
        <f>IFERROR(__xludf.DUMMYFUNCTION("""COMPUTED_VALUE"""),FALSE)</f>
        <v>0</v>
      </c>
      <c r="Q8197" s="20" t="str">
        <f>IFERROR(__xludf.DUMMYFUNCTION("""COMPUTED_VALUE"""),"")</f>
        <v/>
      </c>
      <c r="R8197" s="22" t="str">
        <f>IFERROR(__xludf.DUMMYFUNCTION("""COMPUTED_VALUE"""),"")</f>
        <v/>
      </c>
    </row>
    <row r="8198">
      <c r="A8198" s="15">
        <f>IFERROR(__xludf.DUMMYFUNCTION("""COMPUTED_VALUE"""),45232.0)</f>
        <v>45232</v>
      </c>
      <c r="B8198" s="16" t="str">
        <f>IFERROR(__xludf.DUMMYFUNCTION("""COMPUTED_VALUE"""),"Envia")</f>
        <v>Envia</v>
      </c>
      <c r="C8198" s="15" t="str">
        <f>IFERROR(__xludf.DUMMYFUNCTION("""COMPUTED_VALUE"""),"BOGOTÁ")</f>
        <v>BOGOTÁ</v>
      </c>
      <c r="D8198" s="15" t="str">
        <f>IFERROR(__xludf.DUMMYFUNCTION("""COMPUTED_VALUE"""),"MEDELLÍN")</f>
        <v>MEDELLÍN</v>
      </c>
      <c r="E8198" s="15" t="str">
        <f>IFERROR(__xludf.DUMMYFUNCTION("""COMPUTED_VALUE"""),"Puro Verde")</f>
        <v>Puro Verde</v>
      </c>
      <c r="F8198" s="17" t="str">
        <f>IFERROR(__xludf.DUMMYFUNCTION("""COMPUTED_VALUE"""),"CRA 16A # 77-23 / LOCAL 4 / BARRIO EL LAGO")</f>
        <v>CRA 16A # 77-23 / LOCAL 4 / BARRIO EL LAGO</v>
      </c>
      <c r="G8198" s="15" t="str">
        <f>IFERROR(__xludf.DUMMYFUNCTION("""COMPUTED_VALUE"""),"DANDO CUERDA")</f>
        <v>DANDO CUERDA</v>
      </c>
      <c r="H8198" s="16">
        <f>IFERROR(__xludf.DUMMYFUNCTION("""COMPUTED_VALUE"""),16851.0)</f>
        <v>16851</v>
      </c>
      <c r="I8198" s="18">
        <f>IFERROR(__xludf.DUMMYFUNCTION("""COMPUTED_VALUE"""),55.0)</f>
        <v>55</v>
      </c>
      <c r="J8198" s="18">
        <f>IFERROR(__xludf.DUMMYFUNCTION("""COMPUTED_VALUE"""),45.0)</f>
        <v>45</v>
      </c>
      <c r="K8198" s="18" t="str">
        <f>IFERROR(__xludf.DUMMYFUNCTION("""COMPUTED_VALUE"""),"52.5")</f>
        <v>52.5</v>
      </c>
      <c r="L8198" s="17">
        <f>IFERROR(__xludf.DUMMYFUNCTION("""COMPUTED_VALUE"""),3.163816691E9)</f>
        <v>3163816691</v>
      </c>
      <c r="M8198" s="17"/>
      <c r="N8198" s="17"/>
      <c r="O8198" s="17"/>
      <c r="P8198" s="17" t="b">
        <f>IFERROR(__xludf.DUMMYFUNCTION("""COMPUTED_VALUE"""),FALSE)</f>
        <v>0</v>
      </c>
      <c r="Q8198" s="20" t="str">
        <f>IFERROR(__xludf.DUMMYFUNCTION("""COMPUTED_VALUE"""),"")</f>
        <v/>
      </c>
      <c r="R8198" s="21" t="str">
        <f>IFERROR(__xludf.DUMMYFUNCTION("""COMPUTED_VALUE"""),"https://drive.google.com/file/d/1HRALv3jcAF2TVj4j-wqhsfE6UvCySfAU/view?usp=drivesdk")</f>
        <v>https://drive.google.com/file/d/1HRALv3jcAF2TVj4j-wqhsfE6UvCySfAU/view?usp=drivesdk</v>
      </c>
    </row>
    <row r="8199">
      <c r="A8199" s="15">
        <f>IFERROR(__xludf.DUMMYFUNCTION("""COMPUTED_VALUE"""),45232.0)</f>
        <v>45232</v>
      </c>
      <c r="B8199" s="16" t="str">
        <f>IFERROR(__xludf.DUMMYFUNCTION("""COMPUTED_VALUE"""),"Envia")</f>
        <v>Envia</v>
      </c>
      <c r="C8199" s="15" t="str">
        <f>IFERROR(__xludf.DUMMYFUNCTION("""COMPUTED_VALUE"""),"CARTAGENA")</f>
        <v>CARTAGENA</v>
      </c>
      <c r="D8199" s="15" t="str">
        <f>IFERROR(__xludf.DUMMYFUNCTION("""COMPUTED_VALUE"""),"BOGOTÁ")</f>
        <v>BOGOTÁ</v>
      </c>
      <c r="E8199" s="15" t="str">
        <f>IFERROR(__xludf.DUMMYFUNCTION("""COMPUTED_VALUE"""),"MAI ALIMENTOS REALES")</f>
        <v>MAI ALIMENTOS REALES</v>
      </c>
      <c r="F8199" s="17" t="str">
        <f>IFERROR(__xludf.DUMMYFUNCTION("""COMPUTED_VALUE"""),"Carrera 3 A # 31 - 23 / Plaza Santa teresa / Restaurante Harry Sasson")</f>
        <v>Carrera 3 A # 31 - 23 / Plaza Santa teresa / Restaurante Harry Sasson</v>
      </c>
      <c r="G8199" s="15" t="str">
        <f>IFERROR(__xludf.DUMMYFUNCTION("""COMPUTED_VALUE"""),"Hoteles Charleston SAS")</f>
        <v>Hoteles Charleston SAS</v>
      </c>
      <c r="H8199" s="16">
        <f>IFERROR(__xludf.DUMMYFUNCTION("""COMPUTED_VALUE"""),16714.0)</f>
        <v>16714</v>
      </c>
      <c r="I8199" s="17"/>
      <c r="J8199" s="17"/>
      <c r="K8199" s="17"/>
      <c r="L8199" s="17">
        <f>IFERROR(__xludf.DUMMYFUNCTION("""COMPUTED_VALUE"""),3.174374246E9)</f>
        <v>3174374246</v>
      </c>
      <c r="M8199" s="17"/>
      <c r="N8199" s="17"/>
      <c r="O8199" s="17"/>
      <c r="P8199" s="17" t="b">
        <f>IFERROR(__xludf.DUMMYFUNCTION("""COMPUTED_VALUE"""),FALSE)</f>
        <v>0</v>
      </c>
      <c r="Q8199" s="20" t="str">
        <f>IFERROR(__xludf.DUMMYFUNCTION("""COMPUTED_VALUE"""),"")</f>
        <v/>
      </c>
      <c r="R8199" s="21" t="str">
        <f>IFERROR(__xludf.DUMMYFUNCTION("""COMPUTED_VALUE"""),"https://drive.google.com/file/d/1l5eWokYygq0CZKsxUUqwa1RkhSDVYhPf/view?usp=drivesdk")</f>
        <v>https://drive.google.com/file/d/1l5eWokYygq0CZKsxUUqwa1RkhSDVYhPf/view?usp=drivesdk</v>
      </c>
    </row>
    <row r="8200">
      <c r="A8200" s="15">
        <f>IFERROR(__xludf.DUMMYFUNCTION("""COMPUTED_VALUE"""),45232.0)</f>
        <v>45232</v>
      </c>
      <c r="B8200" s="16" t="str">
        <f>IFERROR(__xludf.DUMMYFUNCTION("""COMPUTED_VALUE"""),"Envia")</f>
        <v>Envia</v>
      </c>
      <c r="C8200" s="15" t="str">
        <f>IFERROR(__xludf.DUMMYFUNCTION("""COMPUTED_VALUE"""),"CARTAGENA")</f>
        <v>CARTAGENA</v>
      </c>
      <c r="D8200" s="15" t="str">
        <f>IFERROR(__xludf.DUMMYFUNCTION("""COMPUTED_VALUE"""),"ENVIGADO")</f>
        <v>ENVIGADO</v>
      </c>
      <c r="E8200" s="15" t="str">
        <f>IFERROR(__xludf.DUMMYFUNCTION("""COMPUTED_VALUE"""),"JUAN CAMILO CORDOBA")</f>
        <v>JUAN CAMILO CORDOBA</v>
      </c>
      <c r="F8200" s="17" t="str">
        <f>IFERROR(__xludf.DUMMYFUNCTION("""COMPUTED_VALUE"""),"Calle 6 #20 / CC LA ESTANCIA LC 1 10")</f>
        <v>Calle 6 #20 / CC LA ESTANCIA LC 1 10</v>
      </c>
      <c r="G8200" s="15" t="str">
        <f>IFERROR(__xludf.DUMMYFUNCTION("""COMPUTED_VALUE"""),"Cocofit Mercado Saludable S.A.S")</f>
        <v>Cocofit Mercado Saludable S.A.S</v>
      </c>
      <c r="H8200" s="16">
        <f>IFERROR(__xludf.DUMMYFUNCTION("""COMPUTED_VALUE"""),16825.0)</f>
        <v>16825</v>
      </c>
      <c r="I8200" s="17"/>
      <c r="J8200" s="17"/>
      <c r="K8200" s="17"/>
      <c r="L8200" s="17">
        <f>IFERROR(__xludf.DUMMYFUNCTION("""COMPUTED_VALUE"""),3.135781119E9)</f>
        <v>3135781119</v>
      </c>
      <c r="M8200" s="17"/>
      <c r="N8200" s="17"/>
      <c r="O8200" s="17"/>
      <c r="P8200" s="17" t="b">
        <f>IFERROR(__xludf.DUMMYFUNCTION("""COMPUTED_VALUE"""),FALSE)</f>
        <v>0</v>
      </c>
      <c r="Q8200" s="20" t="str">
        <f>IFERROR(__xludf.DUMMYFUNCTION("""COMPUTED_VALUE"""),"")</f>
        <v/>
      </c>
      <c r="R8200" s="21" t="str">
        <f>IFERROR(__xludf.DUMMYFUNCTION("""COMPUTED_VALUE"""),"https://drive.google.com/file/d/17ps20HEDG2JgxMxlQmL2FIaK9oU1siCB/view?usp=drivesdk")</f>
        <v>https://drive.google.com/file/d/17ps20HEDG2JgxMxlQmL2FIaK9oU1siCB/view?usp=drivesdk</v>
      </c>
    </row>
    <row r="8201">
      <c r="A8201" s="15">
        <f>IFERROR(__xludf.DUMMYFUNCTION("""COMPUTED_VALUE"""),45232.0)</f>
        <v>45232</v>
      </c>
      <c r="B8201" s="16" t="str">
        <f>IFERROR(__xludf.DUMMYFUNCTION("""COMPUTED_VALUE"""),"Envia")</f>
        <v>Envia</v>
      </c>
      <c r="C8201" s="15" t="str">
        <f>IFERROR(__xludf.DUMMYFUNCTION("""COMPUTED_VALUE"""),"CARTAGENA")</f>
        <v>CARTAGENA</v>
      </c>
      <c r="D8201" s="15" t="str">
        <f>IFERROR(__xludf.DUMMYFUNCTION("""COMPUTED_VALUE"""),"ENVIGADO")</f>
        <v>ENVIGADO</v>
      </c>
      <c r="E8201" s="15" t="str">
        <f>IFERROR(__xludf.DUMMYFUNCTION("""COMPUTED_VALUE"""),"JUAN CAMILO CORDOBA")</f>
        <v>JUAN CAMILO CORDOBA</v>
      </c>
      <c r="F8201" s="17" t="str">
        <f>IFERROR(__xludf.DUMMYFUNCTION("""COMPUTED_VALUE"""),"CRA 12 5A-09 / Apto 2101 Edificio Ponce de León")</f>
        <v>CRA 12 5A-09 / Apto 2101 Edificio Ponce de León</v>
      </c>
      <c r="G8201" s="15" t="str">
        <f>IFERROR(__xludf.DUMMYFUNCTION("""COMPUTED_VALUE"""),"Guadalupe Yidios G")</f>
        <v>Guadalupe Yidios G</v>
      </c>
      <c r="H8201" s="16">
        <f>IFERROR(__xludf.DUMMYFUNCTION("""COMPUTED_VALUE"""),16822.0)</f>
        <v>16822</v>
      </c>
      <c r="I8201" s="17"/>
      <c r="J8201" s="17"/>
      <c r="K8201" s="17"/>
      <c r="L8201" s="17">
        <f>IFERROR(__xludf.DUMMYFUNCTION("""COMPUTED_VALUE"""),3.157312839E9)</f>
        <v>3157312839</v>
      </c>
      <c r="M8201" s="17"/>
      <c r="N8201" s="17"/>
      <c r="O8201" s="17"/>
      <c r="P8201" s="17" t="b">
        <f>IFERROR(__xludf.DUMMYFUNCTION("""COMPUTED_VALUE"""),FALSE)</f>
        <v>0</v>
      </c>
      <c r="Q8201" s="20" t="str">
        <f>IFERROR(__xludf.DUMMYFUNCTION("""COMPUTED_VALUE"""),"")</f>
        <v/>
      </c>
      <c r="R8201" s="21" t="str">
        <f>IFERROR(__xludf.DUMMYFUNCTION("""COMPUTED_VALUE"""),"https://drive.google.com/file/d/1111gUecBGNgUyCSDKchmUKB6ACwGXkuK/view?usp=drivesdk")</f>
        <v>https://drive.google.com/file/d/1111gUecBGNgUyCSDKchmUKB6ACwGXkuK/view?usp=drivesdk</v>
      </c>
    </row>
    <row r="8202">
      <c r="A8202" s="15">
        <f>IFERROR(__xludf.DUMMYFUNCTION("""COMPUTED_VALUE"""),45232.0)</f>
        <v>45232</v>
      </c>
      <c r="B8202" s="16" t="str">
        <f>IFERROR(__xludf.DUMMYFUNCTION("""COMPUTED_VALUE"""),"Envia")</f>
        <v>Envia</v>
      </c>
      <c r="C8202" s="15" t="str">
        <f>IFERROR(__xludf.DUMMYFUNCTION("""COMPUTED_VALUE"""),"FLORIDABLANCA")</f>
        <v>FLORIDABLANCA</v>
      </c>
      <c r="D8202" s="15" t="str">
        <f>IFERROR(__xludf.DUMMYFUNCTION("""COMPUTED_VALUE"""),"BOGOTÁ")</f>
        <v>BOGOTÁ</v>
      </c>
      <c r="E8202" s="15" t="str">
        <f>IFERROR(__xludf.DUMMYFUNCTION("""COMPUTED_VALUE"""),"Instinto alimento vital")</f>
        <v>Instinto alimento vital</v>
      </c>
      <c r="F8202" s="17" t="str">
        <f>IFERROR(__xludf.DUMMYFUNCTION("""COMPUTED_VALUE"""),"CL 200 12 440 / EDF TORINO 200 AP 1007")</f>
        <v>CL 200 12 440 / EDF TORINO 200 AP 1007</v>
      </c>
      <c r="G8202" s="15" t="str">
        <f>IFERROR(__xludf.DUMMYFUNCTION("""COMPUTED_VALUE"""),"LISETH TATIANA GALLEGO ROJAS")</f>
        <v>LISETH TATIANA GALLEGO ROJAS</v>
      </c>
      <c r="H8202" s="16">
        <f>IFERROR(__xludf.DUMMYFUNCTION("""COMPUTED_VALUE"""),16892.0)</f>
        <v>16892</v>
      </c>
      <c r="I8202" s="17"/>
      <c r="J8202" s="17"/>
      <c r="K8202" s="17"/>
      <c r="L8202" s="17">
        <f>IFERROR(__xludf.DUMMYFUNCTION("""COMPUTED_VALUE"""),3.11566784E9)</f>
        <v>3115667840</v>
      </c>
      <c r="M8202" s="17"/>
      <c r="N8202" s="17"/>
      <c r="O8202" s="17"/>
      <c r="P8202" s="17" t="b">
        <f>IFERROR(__xludf.DUMMYFUNCTION("""COMPUTED_VALUE"""),FALSE)</f>
        <v>0</v>
      </c>
      <c r="Q8202" s="20" t="str">
        <f>IFERROR(__xludf.DUMMYFUNCTION("""COMPUTED_VALUE"""),"")</f>
        <v/>
      </c>
      <c r="R8202" s="21" t="str">
        <f>IFERROR(__xludf.DUMMYFUNCTION("""COMPUTED_VALUE"""),"https://drive.google.com/file/d/1-Di5ZNNkogqc4yoAruFnlPNYwUTRZRBe/view?usp=drivesdk")</f>
        <v>https://drive.google.com/file/d/1-Di5ZNNkogqc4yoAruFnlPNYwUTRZRBe/view?usp=drivesdk</v>
      </c>
    </row>
    <row r="8203">
      <c r="A8203" s="15">
        <f>IFERROR(__xludf.DUMMYFUNCTION("""COMPUTED_VALUE"""),45232.0)</f>
        <v>45232</v>
      </c>
      <c r="B8203" s="16" t="str">
        <f>IFERROR(__xludf.DUMMYFUNCTION("""COMPUTED_VALUE"""),"Envia")</f>
        <v>Envia</v>
      </c>
      <c r="C8203" s="15" t="str">
        <f>IFERROR(__xludf.DUMMYFUNCTION("""COMPUTED_VALUE"""),"FLORIDABLANCA")</f>
        <v>FLORIDABLANCA</v>
      </c>
      <c r="D8203" s="15" t="str">
        <f>IFERROR(__xludf.DUMMYFUNCTION("""COMPUTED_VALUE"""),"BOGOTÁ")</f>
        <v>BOGOTÁ</v>
      </c>
      <c r="E8203" s="15" t="str">
        <f>IFERROR(__xludf.DUMMYFUNCTION("""COMPUTED_VALUE"""),"LINA PAOLA RAMIREZ GOMEZ - EVA MAZZITA")</f>
        <v>LINA PAOLA RAMIREZ GOMEZ - EVA MAZZITA</v>
      </c>
      <c r="F8203" s="17" t="str">
        <f>IFERROR(__xludf.DUMMYFUNCTION("""COMPUTED_VALUE"""),"Transversal 198 # 16-200 / casa 54 Pinar de Versalles Versalles")</f>
        <v>Transversal 198 # 16-200 / casa 54 Pinar de Versalles Versalles</v>
      </c>
      <c r="G8203" s="15" t="str">
        <f>IFERROR(__xludf.DUMMYFUNCTION("""COMPUTED_VALUE"""),"IVETTE LORAINE CHAPARRO JAIMES")</f>
        <v>IVETTE LORAINE CHAPARRO JAIMES</v>
      </c>
      <c r="H8203" s="16">
        <f>IFERROR(__xludf.DUMMYFUNCTION("""COMPUTED_VALUE"""),16906.0)</f>
        <v>16906</v>
      </c>
      <c r="I8203" s="17"/>
      <c r="J8203" s="17"/>
      <c r="K8203" s="17"/>
      <c r="L8203" s="17">
        <f>IFERROR(__xludf.DUMMYFUNCTION("""COMPUTED_VALUE"""),3.214657149E9)</f>
        <v>3214657149</v>
      </c>
      <c r="M8203" s="17"/>
      <c r="N8203" s="17"/>
      <c r="O8203" s="17"/>
      <c r="P8203" s="17" t="b">
        <f>IFERROR(__xludf.DUMMYFUNCTION("""COMPUTED_VALUE"""),FALSE)</f>
        <v>0</v>
      </c>
      <c r="Q8203" s="20" t="str">
        <f>IFERROR(__xludf.DUMMYFUNCTION("""COMPUTED_VALUE"""),"")</f>
        <v/>
      </c>
      <c r="R8203" s="21" t="str">
        <f>IFERROR(__xludf.DUMMYFUNCTION("""COMPUTED_VALUE"""),"https://drive.google.com/file/d/12FwVCFzs1cn1CcZVxYxY5uCcLAiBQkFF/view?usp=drivesdk")</f>
        <v>https://drive.google.com/file/d/12FwVCFzs1cn1CcZVxYxY5uCcLAiBQkFF/view?usp=drivesdk</v>
      </c>
    </row>
    <row r="8204">
      <c r="A8204" s="15">
        <f>IFERROR(__xludf.DUMMYFUNCTION("""COMPUTED_VALUE"""),45232.0)</f>
        <v>45232</v>
      </c>
      <c r="B8204" s="16" t="str">
        <f>IFERROR(__xludf.DUMMYFUNCTION("""COMPUTED_VALUE"""),"Envia")</f>
        <v>Envia</v>
      </c>
      <c r="C8204" s="15" t="str">
        <f>IFERROR(__xludf.DUMMYFUNCTION("""COMPUTED_VALUE"""),"FLORIDABLANCA")</f>
        <v>FLORIDABLANCA</v>
      </c>
      <c r="D8204" s="15" t="str">
        <f>IFERROR(__xludf.DUMMYFUNCTION("""COMPUTED_VALUE"""),"MEDELLÍN")</f>
        <v>MEDELLÍN</v>
      </c>
      <c r="E8204" s="15" t="str">
        <f>IFERROR(__xludf.DUMMYFUNCTION("""COMPUTED_VALUE"""),"Helados swip")</f>
        <v>Helados swip</v>
      </c>
      <c r="F8204" s="17" t="str">
        <f>IFERROR(__xludf.DUMMYFUNCTION("""COMPUTED_VALUE"""),"CALLE 31 #22 - 97 / FIT STORE EXPRESS  / CAÑAVERAL FLORIDABLANCA")</f>
        <v>CALLE 31 #22 - 97 / FIT STORE EXPRESS  / CAÑAVERAL FLORIDABLANCA</v>
      </c>
      <c r="G8204" s="15" t="str">
        <f>IFERROR(__xludf.DUMMYFUNCTION("""COMPUTED_VALUE"""),"FIT STORE EXPRESS")</f>
        <v>FIT STORE EXPRESS</v>
      </c>
      <c r="H8204" s="16">
        <f>IFERROR(__xludf.DUMMYFUNCTION("""COMPUTED_VALUE"""),16877.0)</f>
        <v>16877</v>
      </c>
      <c r="I8204" s="18">
        <f>IFERROR(__xludf.DUMMYFUNCTION("""COMPUTED_VALUE"""),29.0)</f>
        <v>29</v>
      </c>
      <c r="J8204" s="18">
        <f>IFERROR(__xludf.DUMMYFUNCTION("""COMPUTED_VALUE"""),55.0)</f>
        <v>55</v>
      </c>
      <c r="K8204" s="18">
        <f>IFERROR(__xludf.DUMMYFUNCTION("""COMPUTED_VALUE"""),45.0)</f>
        <v>45</v>
      </c>
      <c r="L8204" s="17">
        <f>IFERROR(__xludf.DUMMYFUNCTION("""COMPUTED_VALUE"""),3.005711168E9)</f>
        <v>3005711168</v>
      </c>
      <c r="M8204" s="17"/>
      <c r="N8204" s="17"/>
      <c r="O8204" s="17"/>
      <c r="P8204" s="17" t="b">
        <f>IFERROR(__xludf.DUMMYFUNCTION("""COMPUTED_VALUE"""),FALSE)</f>
        <v>0</v>
      </c>
      <c r="Q8204" s="20" t="str">
        <f>IFERROR(__xludf.DUMMYFUNCTION("""COMPUTED_VALUE"""),"")</f>
        <v/>
      </c>
      <c r="R8204" s="21" t="str">
        <f>IFERROR(__xludf.DUMMYFUNCTION("""COMPUTED_VALUE"""),"https://drive.google.com/file/d/1YEl7NxmuFXB-6-M3Mrv6KqhtlfUgT4es/view?usp=drivesdk")</f>
        <v>https://drive.google.com/file/d/1YEl7NxmuFXB-6-M3Mrv6KqhtlfUgT4es/view?usp=drivesdk</v>
      </c>
    </row>
    <row r="8205">
      <c r="A8205" s="15">
        <f>IFERROR(__xludf.DUMMYFUNCTION("""COMPUTED_VALUE"""),45232.0)</f>
        <v>45232</v>
      </c>
      <c r="B8205" s="16" t="str">
        <f>IFERROR(__xludf.DUMMYFUNCTION("""COMPUTED_VALUE"""),"Envia")</f>
        <v>Envia</v>
      </c>
      <c r="C8205" s="15" t="str">
        <f>IFERROR(__xludf.DUMMYFUNCTION("""COMPUTED_VALUE"""),"NEIVA")</f>
        <v>NEIVA</v>
      </c>
      <c r="D8205" s="15" t="str">
        <f>IFERROR(__xludf.DUMMYFUNCTION("""COMPUTED_VALUE"""),"BOGOTÁ")</f>
        <v>BOGOTÁ</v>
      </c>
      <c r="E8205" s="15" t="str">
        <f>IFERROR(__xludf.DUMMYFUNCTION("""COMPUTED_VALUE"""),"Asociacion Agropecuaria Juana Maria")</f>
        <v>Asociacion Agropecuaria Juana Maria</v>
      </c>
      <c r="F8205" s="17" t="str">
        <f>IFERROR(__xludf.DUMMYFUNCTION("""COMPUTED_VALUE"""),"CARRERA 46 #17-13 CONDOMINIO ALTAVISTA CASA 31 / CONDOMINIO ALTAVISTA CASA 31")</f>
        <v>CARRERA 46 #17-13 CONDOMINIO ALTAVISTA CASA 31 / CONDOMINIO ALTAVISTA CASA 31</v>
      </c>
      <c r="G8205" s="15" t="str">
        <f>IFERROR(__xludf.DUMMYFUNCTION("""COMPUTED_VALUE"""),"JENNIFFER FERNANDEZ")</f>
        <v>JENNIFFER FERNANDEZ</v>
      </c>
      <c r="H8205" s="16">
        <f>IFERROR(__xludf.DUMMYFUNCTION("""COMPUTED_VALUE"""),16752.0)</f>
        <v>16752</v>
      </c>
      <c r="I8205" s="17"/>
      <c r="J8205" s="17"/>
      <c r="K8205" s="17"/>
      <c r="L8205" s="17">
        <f>IFERROR(__xludf.DUMMYFUNCTION("""COMPUTED_VALUE"""),3.167942612E9)</f>
        <v>3167942612</v>
      </c>
      <c r="M8205" s="17"/>
      <c r="N8205" s="17"/>
      <c r="O8205" s="17"/>
      <c r="P8205" s="17" t="b">
        <f>IFERROR(__xludf.DUMMYFUNCTION("""COMPUTED_VALUE"""),FALSE)</f>
        <v>0</v>
      </c>
      <c r="Q8205" s="20" t="str">
        <f>IFERROR(__xludf.DUMMYFUNCTION("""COMPUTED_VALUE"""),"")</f>
        <v/>
      </c>
      <c r="R8205" s="21" t="str">
        <f>IFERROR(__xludf.DUMMYFUNCTION("""COMPUTED_VALUE"""),"https://drive.google.com/file/d/1lhFVgr9MdOYdiWDGByqo9NphYhE3a7zi/view?usp=drivesdk")</f>
        <v>https://drive.google.com/file/d/1lhFVgr9MdOYdiWDGByqo9NphYhE3a7zi/view?usp=drivesdk</v>
      </c>
    </row>
    <row r="8206">
      <c r="A8206" s="15">
        <f>IFERROR(__xludf.DUMMYFUNCTION("""COMPUTED_VALUE"""),45232.0)</f>
        <v>45232</v>
      </c>
      <c r="B8206" s="16" t="str">
        <f>IFERROR(__xludf.DUMMYFUNCTION("""COMPUTED_VALUE"""),"Envia")</f>
        <v>Envia</v>
      </c>
      <c r="C8206" s="15" t="str">
        <f>IFERROR(__xludf.DUMMYFUNCTION("""COMPUTED_VALUE"""),"VILLAVICENCIO")</f>
        <v>VILLAVICENCIO</v>
      </c>
      <c r="D8206" s="15" t="str">
        <f>IFERROR(__xludf.DUMMYFUNCTION("""COMPUTED_VALUE"""),"ENVIGADO")</f>
        <v>ENVIGADO</v>
      </c>
      <c r="E8206" s="15" t="str">
        <f>IFERROR(__xludf.DUMMYFUNCTION("""COMPUTED_VALUE"""),"JUAN CAMILO CORDOBA")</f>
        <v>JUAN CAMILO CORDOBA</v>
      </c>
      <c r="F8206" s="17" t="str">
        <f>IFERROR(__xludf.DUMMYFUNCTION("""COMPUTED_VALUE"""),"Calle 15 # 44 116 / Hotel casa corona Local 5")</f>
        <v>Calle 15 # 44 116 / Hotel casa corona Local 5</v>
      </c>
      <c r="G8206" s="15" t="str">
        <f>IFERROR(__xludf.DUMMYFUNCTION("""COMPUTED_VALUE"""),"Sana Tentacion")</f>
        <v>Sana Tentacion</v>
      </c>
      <c r="H8206" s="16">
        <f>IFERROR(__xludf.DUMMYFUNCTION("""COMPUTED_VALUE"""),16821.0)</f>
        <v>16821</v>
      </c>
      <c r="I8206" s="17"/>
      <c r="J8206" s="17"/>
      <c r="K8206" s="17"/>
      <c r="L8206" s="17">
        <f>IFERROR(__xludf.DUMMYFUNCTION("""COMPUTED_VALUE"""),3.008383044E9)</f>
        <v>3008383044</v>
      </c>
      <c r="M8206" s="17"/>
      <c r="N8206" s="17"/>
      <c r="O8206" s="17"/>
      <c r="P8206" s="17" t="b">
        <f>IFERROR(__xludf.DUMMYFUNCTION("""COMPUTED_VALUE"""),FALSE)</f>
        <v>0</v>
      </c>
      <c r="Q8206" s="20" t="str">
        <f>IFERROR(__xludf.DUMMYFUNCTION("""COMPUTED_VALUE"""),"")</f>
        <v/>
      </c>
      <c r="R8206" s="22" t="str">
        <f>IFERROR(__xludf.DUMMYFUNCTION("""COMPUTED_VALUE"""),"")</f>
        <v/>
      </c>
    </row>
    <row r="8207">
      <c r="A8207" s="17" t="str">
        <f>IFERROR(__xludf.DUMMYFUNCTION("""COMPUTED_VALUE"""),"")</f>
        <v/>
      </c>
      <c r="B8207" s="17" t="str">
        <f>IFERROR(__xludf.DUMMYFUNCTION("""COMPUTED_VALUE"""),"")</f>
        <v/>
      </c>
      <c r="C8207" s="17" t="str">
        <f>IFERROR(__xludf.DUMMYFUNCTION("""COMPUTED_VALUE"""),"")</f>
        <v/>
      </c>
      <c r="D8207" s="17" t="str">
        <f>IFERROR(__xludf.DUMMYFUNCTION("""COMPUTED_VALUE"""),"")</f>
        <v/>
      </c>
      <c r="E8207" s="17" t="str">
        <f>IFERROR(__xludf.DUMMYFUNCTION("""COMPUTED_VALUE"""),"")</f>
        <v/>
      </c>
      <c r="F8207" s="17" t="str">
        <f>IFERROR(__xludf.DUMMYFUNCTION("""COMPUTED_VALUE"""),"")</f>
        <v/>
      </c>
      <c r="G8207" s="17" t="str">
        <f>IFERROR(__xludf.DUMMYFUNCTION("""COMPUTED_VALUE"""),"")</f>
        <v/>
      </c>
      <c r="H8207" s="17" t="str">
        <f>IFERROR(__xludf.DUMMYFUNCTION("""COMPUTED_VALUE"""),"")</f>
        <v/>
      </c>
      <c r="I8207" s="17" t="str">
        <f>IFERROR(__xludf.DUMMYFUNCTION("""COMPUTED_VALUE"""),"")</f>
        <v/>
      </c>
      <c r="J8207" s="17" t="str">
        <f>IFERROR(__xludf.DUMMYFUNCTION("""COMPUTED_VALUE"""),"")</f>
        <v/>
      </c>
      <c r="K8207" s="17" t="str">
        <f>IFERROR(__xludf.DUMMYFUNCTION("""COMPUTED_VALUE"""),"")</f>
        <v/>
      </c>
      <c r="L8207" s="17" t="str">
        <f>IFERROR(__xludf.DUMMYFUNCTION("""COMPUTED_VALUE"""),"")</f>
        <v/>
      </c>
      <c r="M8207" s="17" t="str">
        <f>IFERROR(__xludf.DUMMYFUNCTION("""COMPUTED_VALUE"""),"")</f>
        <v/>
      </c>
      <c r="N8207" s="17" t="str">
        <f>IFERROR(__xludf.DUMMYFUNCTION("""COMPUTED_VALUE"""),"")</f>
        <v/>
      </c>
      <c r="O8207" s="17" t="str">
        <f>IFERROR(__xludf.DUMMYFUNCTION("""COMPUTED_VALUE"""),"")</f>
        <v/>
      </c>
      <c r="P8207" s="17" t="str">
        <f>IFERROR(__xludf.DUMMYFUNCTION("""COMPUTED_VALUE"""),"")</f>
        <v/>
      </c>
      <c r="Q8207" s="17" t="str">
        <f>IFERROR(__xludf.DUMMYFUNCTION("""COMPUTED_VALUE"""),"")</f>
        <v/>
      </c>
      <c r="R8207" s="17" t="str">
        <f>IFERROR(__xludf.DUMMYFUNCTION("""COMPUTED_VALUE"""),"")</f>
        <v/>
      </c>
    </row>
    <row r="8208">
      <c r="A8208" s="15">
        <f>IFERROR(__xludf.DUMMYFUNCTION("""COMPUTED_VALUE"""),45232.0)</f>
        <v>45232</v>
      </c>
      <c r="B8208" s="16" t="str">
        <f>IFERROR(__xludf.DUMMYFUNCTION("""COMPUTED_VALUE"""),"Johanna Arango Barrera")</f>
        <v>Johanna Arango Barrera</v>
      </c>
      <c r="C8208" s="15" t="str">
        <f>IFERROR(__xludf.DUMMYFUNCTION("""COMPUTED_VALUE"""),"BUCARAMANGA")</f>
        <v>BUCARAMANGA</v>
      </c>
      <c r="D8208" s="15" t="str">
        <f>IFERROR(__xludf.DUMMYFUNCTION("""COMPUTED_VALUE"""),"BOGOTÁ")</f>
        <v>BOGOTÁ</v>
      </c>
      <c r="E8208" s="15" t="str">
        <f>IFERROR(__xludf.DUMMYFUNCTION("""COMPUTED_VALUE"""),"Instinto alimento vital")</f>
        <v>Instinto alimento vital</v>
      </c>
      <c r="F8208" s="17" t="str">
        <f>IFERROR(__xludf.DUMMYFUNCTION("""COMPUTED_VALUE"""),"CL 71 # 53 97 / CA 12 CON ALTOS DE CANTARELA")</f>
        <v>CL 71 # 53 97 / CA 12 CON ALTOS DE CANTARELA</v>
      </c>
      <c r="G8208" s="15" t="str">
        <f>IFERROR(__xludf.DUMMYFUNCTION("""COMPUTED_VALUE"""),"YAMILE EDILMA FRANCO RUEDA")</f>
        <v>YAMILE EDILMA FRANCO RUEDA</v>
      </c>
      <c r="H8208" s="16">
        <f>IFERROR(__xludf.DUMMYFUNCTION("""COMPUTED_VALUE"""),16914.0)</f>
        <v>16914</v>
      </c>
      <c r="I8208" s="17"/>
      <c r="J8208" s="17"/>
      <c r="K8208" s="17"/>
      <c r="L8208" s="17">
        <f>IFERROR(__xludf.DUMMYFUNCTION("""COMPUTED_VALUE"""),3.144711356E9)</f>
        <v>3144711356</v>
      </c>
      <c r="M8208" s="17"/>
      <c r="N8208" s="17"/>
      <c r="O8208" s="17"/>
      <c r="P8208" s="17" t="b">
        <f>IFERROR(__xludf.DUMMYFUNCTION("""COMPUTED_VALUE"""),FALSE)</f>
        <v>0</v>
      </c>
      <c r="Q8208" s="20" t="str">
        <f>IFERROR(__xludf.DUMMYFUNCTION("""COMPUTED_VALUE"""),"")</f>
        <v/>
      </c>
      <c r="R8208" s="21" t="str">
        <f>IFERROR(__xludf.DUMMYFUNCTION("""COMPUTED_VALUE"""),"https://drive.google.com/file/d/1rUanjKIHLT97LAGhqJxTGnCL44zfJY_j/view?usp=drivesdk")</f>
        <v>https://drive.google.com/file/d/1rUanjKIHLT97LAGhqJxTGnCL44zfJY_j/view?usp=drivesdk</v>
      </c>
    </row>
    <row r="8209">
      <c r="A8209" s="15">
        <f>IFERROR(__xludf.DUMMYFUNCTION("""COMPUTED_VALUE"""),45232.0)</f>
        <v>45232</v>
      </c>
      <c r="B8209" s="16" t="str">
        <f>IFERROR(__xludf.DUMMYFUNCTION("""COMPUTED_VALUE"""),"Johanna Arango Barrera")</f>
        <v>Johanna Arango Barrera</v>
      </c>
      <c r="C8209" s="15" t="str">
        <f>IFERROR(__xludf.DUMMYFUNCTION("""COMPUTED_VALUE"""),"BUCARAMANGA")</f>
        <v>BUCARAMANGA</v>
      </c>
      <c r="D8209" s="15" t="str">
        <f>IFERROR(__xludf.DUMMYFUNCTION("""COMPUTED_VALUE"""),"BOGOTÁ")</f>
        <v>BOGOTÁ</v>
      </c>
      <c r="E8209" s="15" t="str">
        <f>IFERROR(__xludf.DUMMYFUNCTION("""COMPUTED_VALUE"""),"LINA PAOLA RAMIREZ GOMEZ - EVA MAZZITA")</f>
        <v>LINA PAOLA RAMIREZ GOMEZ - EVA MAZZITA</v>
      </c>
      <c r="F8209" s="17" t="str">
        <f>IFERROR(__xludf.DUMMYFUNCTION("""COMPUTED_VALUE"""),"CALLE 20 # 31 - 79 / EDIFICIO SAN JUAN APTO. 1401 BARRIO SAN ALONSO")</f>
        <v>CALLE 20 # 31 - 79 / EDIFICIO SAN JUAN APTO. 1401 BARRIO SAN ALONSO</v>
      </c>
      <c r="G8209" s="15" t="str">
        <f>IFERROR(__xludf.DUMMYFUNCTION("""COMPUTED_VALUE"""),"OLGA RUEDA")</f>
        <v>OLGA RUEDA</v>
      </c>
      <c r="H8209" s="16">
        <f>IFERROR(__xludf.DUMMYFUNCTION("""COMPUTED_VALUE"""),16904.0)</f>
        <v>16904</v>
      </c>
      <c r="I8209" s="17"/>
      <c r="J8209" s="17"/>
      <c r="K8209" s="17"/>
      <c r="L8209" s="17">
        <f>IFERROR(__xludf.DUMMYFUNCTION("""COMPUTED_VALUE"""),3.125040287E9)</f>
        <v>3125040287</v>
      </c>
      <c r="M8209" s="17"/>
      <c r="N8209" s="17"/>
      <c r="O8209" s="17"/>
      <c r="P8209" s="17" t="b">
        <f>IFERROR(__xludf.DUMMYFUNCTION("""COMPUTED_VALUE"""),FALSE)</f>
        <v>0</v>
      </c>
      <c r="Q8209" s="20" t="str">
        <f>IFERROR(__xludf.DUMMYFUNCTION("""COMPUTED_VALUE"""),"")</f>
        <v/>
      </c>
      <c r="R8209" s="21" t="str">
        <f>IFERROR(__xludf.DUMMYFUNCTION("""COMPUTED_VALUE"""),"https://drive.google.com/file/d/1_73SmCWfJHeCWtWZegbxiCWslsDCwZcw/view?usp=drivesdk")</f>
        <v>https://drive.google.com/file/d/1_73SmCWfJHeCWtWZegbxiCWslsDCwZcw/view?usp=drivesdk</v>
      </c>
    </row>
    <row r="8210">
      <c r="A8210" s="15">
        <f>IFERROR(__xludf.DUMMYFUNCTION("""COMPUTED_VALUE"""),45232.0)</f>
        <v>45232</v>
      </c>
      <c r="B8210" s="16" t="str">
        <f>IFERROR(__xludf.DUMMYFUNCTION("""COMPUTED_VALUE"""),"Johanna Arango Barrera")</f>
        <v>Johanna Arango Barrera</v>
      </c>
      <c r="C8210" s="15" t="str">
        <f>IFERROR(__xludf.DUMMYFUNCTION("""COMPUTED_VALUE"""),"BUCARAMANGA")</f>
        <v>BUCARAMANGA</v>
      </c>
      <c r="D8210" s="15" t="str">
        <f>IFERROR(__xludf.DUMMYFUNCTION("""COMPUTED_VALUE"""),"BOGOTÁ")</f>
        <v>BOGOTÁ</v>
      </c>
      <c r="E8210" s="15" t="str">
        <f>IFERROR(__xludf.DUMMYFUNCTION("""COMPUTED_VALUE"""),"LINA PAOLA RAMIREZ GOMEZ - EVA MAZZITA")</f>
        <v>LINA PAOLA RAMIREZ GOMEZ - EVA MAZZITA</v>
      </c>
      <c r="F8210" s="17" t="str">
        <f>IFERROR(__xludf.DUMMYFUNCTION("""COMPUTED_VALUE"""),"carrera 33 # 91-52 / torre 2 apartamento 1901 conjunto Monviso")</f>
        <v>carrera 33 # 91-52 / torre 2 apartamento 1901 conjunto Monviso</v>
      </c>
      <c r="G8210" s="15" t="str">
        <f>IFERROR(__xludf.DUMMYFUNCTION("""COMPUTED_VALUE"""),"JENNY KATTERINE ALVAREZ")</f>
        <v>JENNY KATTERINE ALVAREZ</v>
      </c>
      <c r="H8210" s="16">
        <f>IFERROR(__xludf.DUMMYFUNCTION("""COMPUTED_VALUE"""),16905.0)</f>
        <v>16905</v>
      </c>
      <c r="I8210" s="17"/>
      <c r="J8210" s="17"/>
      <c r="K8210" s="17"/>
      <c r="L8210" s="17">
        <f>IFERROR(__xludf.DUMMYFUNCTION("""COMPUTED_VALUE"""),3.182352632E9)</f>
        <v>3182352632</v>
      </c>
      <c r="M8210" s="17"/>
      <c r="N8210" s="17"/>
      <c r="O8210" s="17"/>
      <c r="P8210" s="17" t="b">
        <f>IFERROR(__xludf.DUMMYFUNCTION("""COMPUTED_VALUE"""),FALSE)</f>
        <v>0</v>
      </c>
      <c r="Q8210" s="20" t="str">
        <f>IFERROR(__xludf.DUMMYFUNCTION("""COMPUTED_VALUE"""),"")</f>
        <v/>
      </c>
      <c r="R8210" s="21" t="str">
        <f>IFERROR(__xludf.DUMMYFUNCTION("""COMPUTED_VALUE"""),"https://drive.google.com/file/d/1hMLlfEPTCPob1CLzVLsgssjtSKYMV2EZ/view?usp=drivesdk")</f>
        <v>https://drive.google.com/file/d/1hMLlfEPTCPob1CLzVLsgssjtSKYMV2EZ/view?usp=drivesdk</v>
      </c>
    </row>
    <row r="8211">
      <c r="A8211" s="15">
        <f>IFERROR(__xludf.DUMMYFUNCTION("""COMPUTED_VALUE"""),45232.0)</f>
        <v>45232</v>
      </c>
      <c r="B8211" s="16" t="str">
        <f>IFERROR(__xludf.DUMMYFUNCTION("""COMPUTED_VALUE"""),"Johanna Arango Barrera")</f>
        <v>Johanna Arango Barrera</v>
      </c>
      <c r="C8211" s="15" t="str">
        <f>IFERROR(__xludf.DUMMYFUNCTION("""COMPUTED_VALUE"""),"BUCARAMANGA")</f>
        <v>BUCARAMANGA</v>
      </c>
      <c r="D8211" s="15" t="str">
        <f>IFERROR(__xludf.DUMMYFUNCTION("""COMPUTED_VALUE"""),"BOGOTÁ")</f>
        <v>BOGOTÁ</v>
      </c>
      <c r="E8211" s="15" t="str">
        <f>IFERROR(__xludf.DUMMYFUNCTION("""COMPUTED_VALUE"""),"LINA PAOLA RAMIREZ GOMEZ - EVA MAZZITA")</f>
        <v>LINA PAOLA RAMIREZ GOMEZ - EVA MAZZITA</v>
      </c>
      <c r="F8211" s="17" t="str">
        <f>IFERROR(__xludf.DUMMYFUNCTION("""COMPUTED_VALUE"""),"Crr 27A N48-62. / Torre a - 402. Palmas de Mardel BARRIO SOTOMAYOR")</f>
        <v>Crr 27A N48-62. / Torre a - 402. Palmas de Mardel BARRIO SOTOMAYOR</v>
      </c>
      <c r="G8211" s="15" t="str">
        <f>IFERROR(__xludf.DUMMYFUNCTION("""COMPUTED_VALUE"""),"LUCYNI MARCELA MENDOZA RIVERA")</f>
        <v>LUCYNI MARCELA MENDOZA RIVERA</v>
      </c>
      <c r="H8211" s="16">
        <f>IFERROR(__xludf.DUMMYFUNCTION("""COMPUTED_VALUE"""),16903.0)</f>
        <v>16903</v>
      </c>
      <c r="I8211" s="17"/>
      <c r="J8211" s="17"/>
      <c r="K8211" s="17"/>
      <c r="L8211" s="17">
        <f>IFERROR(__xludf.DUMMYFUNCTION("""COMPUTED_VALUE"""),3.158277288E9)</f>
        <v>3158277288</v>
      </c>
      <c r="M8211" s="17"/>
      <c r="N8211" s="17"/>
      <c r="O8211" s="17"/>
      <c r="P8211" s="17" t="b">
        <f>IFERROR(__xludf.DUMMYFUNCTION("""COMPUTED_VALUE"""),FALSE)</f>
        <v>0</v>
      </c>
      <c r="Q8211" s="20" t="str">
        <f>IFERROR(__xludf.DUMMYFUNCTION("""COMPUTED_VALUE"""),"")</f>
        <v/>
      </c>
      <c r="R8211" s="21" t="str">
        <f>IFERROR(__xludf.DUMMYFUNCTION("""COMPUTED_VALUE"""),"https://drive.google.com/file/d/1W-i1lPQkEse7JfeqIJP6AbNi2lrM4dPF/view?usp=drivesdk")</f>
        <v>https://drive.google.com/file/d/1W-i1lPQkEse7JfeqIJP6AbNi2lrM4dPF/view?usp=drivesdk</v>
      </c>
    </row>
    <row r="8212">
      <c r="A8212" s="15">
        <f>IFERROR(__xludf.DUMMYFUNCTION("""COMPUTED_VALUE"""),45232.0)</f>
        <v>45232</v>
      </c>
      <c r="B8212" s="16" t="str">
        <f>IFERROR(__xludf.DUMMYFUNCTION("""COMPUTED_VALUE"""),"Johanna Arango Barrera")</f>
        <v>Johanna Arango Barrera</v>
      </c>
      <c r="C8212" s="15" t="str">
        <f>IFERROR(__xludf.DUMMYFUNCTION("""COMPUTED_VALUE"""),"FLORIDABLANCA")</f>
        <v>FLORIDABLANCA</v>
      </c>
      <c r="D8212" s="15" t="str">
        <f>IFERROR(__xludf.DUMMYFUNCTION("""COMPUTED_VALUE"""),"BOGOTÁ")</f>
        <v>BOGOTÁ</v>
      </c>
      <c r="E8212" s="15" t="str">
        <f>IFERROR(__xludf.DUMMYFUNCTION("""COMPUTED_VALUE"""),"Instinto alimento vital")</f>
        <v>Instinto alimento vital</v>
      </c>
      <c r="F8212" s="17" t="str">
        <f>IFERROR(__xludf.DUMMYFUNCTION("""COMPUTED_VALUE"""),"CONDOMINIO ROUITIQUE CONJUNTO LA PRADERA CASA 39 FLORIDABLANCA / CONDOMINIO ROUITIQUE CONJUNTO LA PRADERA CASA 39 FLORIDABLANCA")</f>
        <v>CONDOMINIO ROUITIQUE CONJUNTO LA PRADERA CASA 39 FLORIDABLANCA / CONDOMINIO ROUITIQUE CONJUNTO LA PRADERA CASA 39 FLORIDABLANCA</v>
      </c>
      <c r="G8212" s="15" t="str">
        <f>IFERROR(__xludf.DUMMYFUNCTION("""COMPUTED_VALUE"""),"ADRIANA MARIA BARRERA SARMIENTO")</f>
        <v>ADRIANA MARIA BARRERA SARMIENTO</v>
      </c>
      <c r="H8212" s="16">
        <f>IFERROR(__xludf.DUMMYFUNCTION("""COMPUTED_VALUE"""),16891.0)</f>
        <v>16891</v>
      </c>
      <c r="I8212" s="17"/>
      <c r="J8212" s="17"/>
      <c r="K8212" s="17"/>
      <c r="L8212" s="17">
        <f>IFERROR(__xludf.DUMMYFUNCTION("""COMPUTED_VALUE"""),3.21372563E9)</f>
        <v>3213725630</v>
      </c>
      <c r="M8212" s="17"/>
      <c r="N8212" s="17"/>
      <c r="O8212" s="17"/>
      <c r="P8212" s="17" t="b">
        <f>IFERROR(__xludf.DUMMYFUNCTION("""COMPUTED_VALUE"""),FALSE)</f>
        <v>0</v>
      </c>
      <c r="Q8212" s="20" t="str">
        <f>IFERROR(__xludf.DUMMYFUNCTION("""COMPUTED_VALUE"""),"")</f>
        <v/>
      </c>
      <c r="R8212" s="21" t="str">
        <f>IFERROR(__xludf.DUMMYFUNCTION("""COMPUTED_VALUE"""),"https://drive.google.com/file/d/11Ve953w_DWEEXQUS3nb47FRmElm9cgB2/view?usp=drivesdk")</f>
        <v>https://drive.google.com/file/d/11Ve953w_DWEEXQUS3nb47FRmElm9cgB2/view?usp=drivesdk</v>
      </c>
    </row>
    <row r="8213">
      <c r="A8213" s="15">
        <f>IFERROR(__xludf.DUMMYFUNCTION("""COMPUTED_VALUE"""),45232.0)</f>
        <v>45232</v>
      </c>
      <c r="B8213" s="16" t="str">
        <f>IFERROR(__xludf.DUMMYFUNCTION("""COMPUTED_VALUE"""),"Johanna Arango Barrera")</f>
        <v>Johanna Arango Barrera</v>
      </c>
      <c r="C8213" s="15" t="str">
        <f>IFERROR(__xludf.DUMMYFUNCTION("""COMPUTED_VALUE"""),"PEREIRA")</f>
        <v>PEREIRA</v>
      </c>
      <c r="D8213" s="15" t="str">
        <f>IFERROR(__xludf.DUMMYFUNCTION("""COMPUTED_VALUE"""),"BOGOTÁ")</f>
        <v>BOGOTÁ</v>
      </c>
      <c r="E8213" s="15" t="str">
        <f>IFERROR(__xludf.DUMMYFUNCTION("""COMPUTED_VALUE"""),"Frubits")</f>
        <v>Frubits</v>
      </c>
      <c r="F8213" s="17" t="str">
        <f>IFERROR(__xludf.DUMMYFUNCTION("""COMPUTED_VALUE"""),"Risaralda- Pereira- via condina conjunto mirador del viente torre 2 apto 406 / Risaralda- Pereira- via condina conjunto mirador del viente torre 2 apto 406 / Risaralda- Pereira- via condina conjunto mirador del viente torre 2 apto 406")</f>
        <v>Risaralda- Pereira- via condina conjunto mirador del viente torre 2 apto 406 / Risaralda- Pereira- via condina conjunto mirador del viente torre 2 apto 406 / Risaralda- Pereira- via condina conjunto mirador del viente torre 2 apto 406</v>
      </c>
      <c r="G8213" s="15" t="str">
        <f>IFERROR(__xludf.DUMMYFUNCTION("""COMPUTED_VALUE"""),"Maria Fernanda Rojas")</f>
        <v>Maria Fernanda Rojas</v>
      </c>
      <c r="H8213" s="16">
        <f>IFERROR(__xludf.DUMMYFUNCTION("""COMPUTED_VALUE"""),16832.0)</f>
        <v>16832</v>
      </c>
      <c r="I8213" s="18">
        <f>IFERROR(__xludf.DUMMYFUNCTION("""COMPUTED_VALUE"""),10.0)</f>
        <v>10</v>
      </c>
      <c r="J8213" s="18">
        <f>IFERROR(__xludf.DUMMYFUNCTION("""COMPUTED_VALUE"""),45063.0)</f>
        <v>45063</v>
      </c>
      <c r="K8213" s="18">
        <f>IFERROR(__xludf.DUMMYFUNCTION("""COMPUTED_VALUE"""),16.0)</f>
        <v>16</v>
      </c>
      <c r="L8213" s="17">
        <f>IFERROR(__xludf.DUMMYFUNCTION("""COMPUTED_VALUE"""),3.017387437E9)</f>
        <v>3017387437</v>
      </c>
      <c r="M8213" s="17"/>
      <c r="N8213" s="17"/>
      <c r="O8213" s="17"/>
      <c r="P8213" s="17" t="b">
        <f>IFERROR(__xludf.DUMMYFUNCTION("""COMPUTED_VALUE"""),FALSE)</f>
        <v>0</v>
      </c>
      <c r="Q8213" s="20" t="str">
        <f>IFERROR(__xludf.DUMMYFUNCTION("""COMPUTED_VALUE"""),"")</f>
        <v/>
      </c>
      <c r="R8213" s="22" t="str">
        <f>IFERROR(__xludf.DUMMYFUNCTION("""COMPUTED_VALUE"""),"")</f>
        <v/>
      </c>
    </row>
    <row r="8214">
      <c r="A8214" s="15">
        <f>IFERROR(__xludf.DUMMYFUNCTION("""COMPUTED_VALUE"""),45232.0)</f>
        <v>45232</v>
      </c>
      <c r="B8214" s="16" t="str">
        <f>IFERROR(__xludf.DUMMYFUNCTION("""COMPUTED_VALUE"""),"Johanna Arango Barrera")</f>
        <v>Johanna Arango Barrera</v>
      </c>
      <c r="C8214" s="15" t="str">
        <f>IFERROR(__xludf.DUMMYFUNCTION("""COMPUTED_VALUE"""),"PEREIRA")</f>
        <v>PEREIRA</v>
      </c>
      <c r="D8214" s="15" t="str">
        <f>IFERROR(__xludf.DUMMYFUNCTION("""COMPUTED_VALUE"""),"BOGOTÁ")</f>
        <v>BOGOTÁ</v>
      </c>
      <c r="E8214" s="15" t="str">
        <f>IFERROR(__xludf.DUMMYFUNCTION("""COMPUTED_VALUE"""),"PAN DE WAFFLE")</f>
        <v>PAN DE WAFFLE</v>
      </c>
      <c r="F8214" s="17" t="str">
        <f>IFERROR(__xludf.DUMMYFUNCTION("""COMPUTED_VALUE"""),"VITA ECO MARKET / Carrera 14 # 12 - 55")</f>
        <v>VITA ECO MARKET / Carrera 14 # 12 - 55</v>
      </c>
      <c r="G8214" s="15" t="str">
        <f>IFERROR(__xludf.DUMMYFUNCTION("""COMPUTED_VALUE"""),"VITA ECO MARKET")</f>
        <v>VITA ECO MARKET</v>
      </c>
      <c r="H8214" s="16">
        <f>IFERROR(__xludf.DUMMYFUNCTION("""COMPUTED_VALUE"""),16919.0)</f>
        <v>16919</v>
      </c>
      <c r="I8214" s="17"/>
      <c r="J8214" s="17"/>
      <c r="K8214" s="17"/>
      <c r="L8214" s="17">
        <f>IFERROR(__xludf.DUMMYFUNCTION("""COMPUTED_VALUE"""),3.215501948E9)</f>
        <v>3215501948</v>
      </c>
      <c r="M8214" s="17"/>
      <c r="N8214" s="17"/>
      <c r="O8214" s="17"/>
      <c r="P8214" s="17" t="b">
        <f>IFERROR(__xludf.DUMMYFUNCTION("""COMPUTED_VALUE"""),FALSE)</f>
        <v>0</v>
      </c>
      <c r="Q8214" s="20" t="str">
        <f>IFERROR(__xludf.DUMMYFUNCTION("""COMPUTED_VALUE"""),"")</f>
        <v/>
      </c>
      <c r="R8214" s="21" t="str">
        <f>IFERROR(__xludf.DUMMYFUNCTION("""COMPUTED_VALUE"""),"https://drive.google.com/file/d/1qj6fewnMf8UUR2q5nZ2oDx5jATxBH-lj/view?usp=drivesdk")</f>
        <v>https://drive.google.com/file/d/1qj6fewnMf8UUR2q5nZ2oDx5jATxBH-lj/view?usp=drivesdk</v>
      </c>
    </row>
    <row r="8215">
      <c r="A8215" s="17" t="str">
        <f>IFERROR(__xludf.DUMMYFUNCTION("""COMPUTED_VALUE"""),"")</f>
        <v/>
      </c>
      <c r="B8215" s="17" t="str">
        <f>IFERROR(__xludf.DUMMYFUNCTION("""COMPUTED_VALUE"""),"")</f>
        <v/>
      </c>
      <c r="C8215" s="17" t="str">
        <f>IFERROR(__xludf.DUMMYFUNCTION("""COMPUTED_VALUE"""),"")</f>
        <v/>
      </c>
      <c r="D8215" s="17" t="str">
        <f>IFERROR(__xludf.DUMMYFUNCTION("""COMPUTED_VALUE"""),"")</f>
        <v/>
      </c>
      <c r="E8215" s="17" t="str">
        <f>IFERROR(__xludf.DUMMYFUNCTION("""COMPUTED_VALUE"""),"")</f>
        <v/>
      </c>
      <c r="F8215" s="17" t="str">
        <f>IFERROR(__xludf.DUMMYFUNCTION("""COMPUTED_VALUE"""),"")</f>
        <v/>
      </c>
      <c r="G8215" s="17" t="str">
        <f>IFERROR(__xludf.DUMMYFUNCTION("""COMPUTED_VALUE"""),"")</f>
        <v/>
      </c>
      <c r="H8215" s="17" t="str">
        <f>IFERROR(__xludf.DUMMYFUNCTION("""COMPUTED_VALUE"""),"")</f>
        <v/>
      </c>
      <c r="I8215" s="17" t="str">
        <f>IFERROR(__xludf.DUMMYFUNCTION("""COMPUTED_VALUE"""),"")</f>
        <v/>
      </c>
      <c r="J8215" s="17" t="str">
        <f>IFERROR(__xludf.DUMMYFUNCTION("""COMPUTED_VALUE"""),"")</f>
        <v/>
      </c>
      <c r="K8215" s="17" t="str">
        <f>IFERROR(__xludf.DUMMYFUNCTION("""COMPUTED_VALUE"""),"")</f>
        <v/>
      </c>
      <c r="L8215" s="17" t="str">
        <f>IFERROR(__xludf.DUMMYFUNCTION("""COMPUTED_VALUE"""),"")</f>
        <v/>
      </c>
      <c r="M8215" s="17" t="str">
        <f>IFERROR(__xludf.DUMMYFUNCTION("""COMPUTED_VALUE"""),"")</f>
        <v/>
      </c>
      <c r="N8215" s="17" t="str">
        <f>IFERROR(__xludf.DUMMYFUNCTION("""COMPUTED_VALUE"""),"")</f>
        <v/>
      </c>
      <c r="O8215" s="17" t="str">
        <f>IFERROR(__xludf.DUMMYFUNCTION("""COMPUTED_VALUE"""),"")</f>
        <v/>
      </c>
      <c r="P8215" s="17" t="str">
        <f>IFERROR(__xludf.DUMMYFUNCTION("""COMPUTED_VALUE"""),"")</f>
        <v/>
      </c>
      <c r="Q8215" s="17" t="str">
        <f>IFERROR(__xludf.DUMMYFUNCTION("""COMPUTED_VALUE"""),"")</f>
        <v/>
      </c>
      <c r="R8215" s="17" t="str">
        <f>IFERROR(__xludf.DUMMYFUNCTION("""COMPUTED_VALUE"""),"")</f>
        <v/>
      </c>
    </row>
    <row r="8216">
      <c r="A8216" s="15">
        <f>IFERROR(__xludf.DUMMYFUNCTION("""COMPUTED_VALUE"""),45232.0)</f>
        <v>45232</v>
      </c>
      <c r="B8216" s="16" t="str">
        <f>IFERROR(__xludf.DUMMYFUNCTION("""COMPUTED_VALUE"""),"Julian Calderon Rodriguez ")</f>
        <v>Julian Calderon Rodriguez </v>
      </c>
      <c r="C8216" s="15" t="str">
        <f>IFERROR(__xludf.DUMMYFUNCTION("""COMPUTED_VALUE"""),"NEIVA")</f>
        <v>NEIVA</v>
      </c>
      <c r="D8216" s="15" t="str">
        <f>IFERROR(__xludf.DUMMYFUNCTION("""COMPUTED_VALUE"""),"BOGOTÁ")</f>
        <v>BOGOTÁ</v>
      </c>
      <c r="E8216" s="15" t="str">
        <f>IFERROR(__xludf.DUMMYFUNCTION("""COMPUTED_VALUE"""),"LINA PAOLA RAMIREZ GOMEZ - EVA MAZZITA")</f>
        <v>LINA PAOLA RAMIREZ GOMEZ - EVA MAZZITA</v>
      </c>
      <c r="F8216" s="17" t="str">
        <f>IFERROR(__xludf.DUMMYFUNCTION("""COMPUTED_VALUE"""),"Calle 16 a sur # 21 36 / barrio timanco")</f>
        <v>Calle 16 a sur # 21 36 / barrio timanco</v>
      </c>
      <c r="G8216" s="15" t="str">
        <f>IFERROR(__xludf.DUMMYFUNCTION("""COMPUTED_VALUE"""),"DIANA MARCELA RINCON")</f>
        <v>DIANA MARCELA RINCON</v>
      </c>
      <c r="H8216" s="16">
        <f>IFERROR(__xludf.DUMMYFUNCTION("""COMPUTED_VALUE"""),16909.0)</f>
        <v>16909</v>
      </c>
      <c r="I8216" s="17"/>
      <c r="J8216" s="17"/>
      <c r="K8216" s="17"/>
      <c r="L8216" s="17">
        <f>IFERROR(__xludf.DUMMYFUNCTION("""COMPUTED_VALUE"""),3.118885423E9)</f>
        <v>3118885423</v>
      </c>
      <c r="M8216" s="17"/>
      <c r="N8216" s="17"/>
      <c r="O8216" s="17"/>
      <c r="P8216" s="17" t="b">
        <f>IFERROR(__xludf.DUMMYFUNCTION("""COMPUTED_VALUE"""),FALSE)</f>
        <v>0</v>
      </c>
      <c r="Q8216" s="20" t="str">
        <f>IFERROR(__xludf.DUMMYFUNCTION("""COMPUTED_VALUE"""),"")</f>
        <v/>
      </c>
      <c r="R8216" s="21" t="str">
        <f>IFERROR(__xludf.DUMMYFUNCTION("""COMPUTED_VALUE"""),"https://drive.google.com/file/d/1g1H7qMRCO4_aERysKHON84YwT3l9dJY2/view?usp=drivesdk")</f>
        <v>https://drive.google.com/file/d/1g1H7qMRCO4_aERysKHON84YwT3l9dJY2/view?usp=drivesdk</v>
      </c>
    </row>
    <row r="8217">
      <c r="A8217" s="15">
        <f>IFERROR(__xludf.DUMMYFUNCTION("""COMPUTED_VALUE"""),45232.0)</f>
        <v>45232</v>
      </c>
      <c r="B8217" s="16" t="str">
        <f>IFERROR(__xludf.DUMMYFUNCTION("""COMPUTED_VALUE"""),"Julian Calderon Rodriguez ")</f>
        <v>Julian Calderon Rodriguez </v>
      </c>
      <c r="C8217" s="15" t="str">
        <f>IFERROR(__xludf.DUMMYFUNCTION("""COMPUTED_VALUE"""),"NEIVA")</f>
        <v>NEIVA</v>
      </c>
      <c r="D8217" s="15" t="str">
        <f>IFERROR(__xludf.DUMMYFUNCTION("""COMPUTED_VALUE"""),"ENVIGADO")</f>
        <v>ENVIGADO</v>
      </c>
      <c r="E8217" s="15" t="str">
        <f>IFERROR(__xludf.DUMMYFUNCTION("""COMPUTED_VALUE"""),"JUAN CAMILO CORDOBA")</f>
        <v>JUAN CAMILO CORDOBA</v>
      </c>
      <c r="F8217" s="17" t="str">
        <f>IFERROR(__xludf.DUMMYFUNCTION("""COMPUTED_VALUE"""),"Carrera 15 No. 23 A - 41 sur / Conjunto multicentro Apto 103 torre 3")</f>
        <v>Carrera 15 No. 23 A - 41 sur / Conjunto multicentro Apto 103 torre 3</v>
      </c>
      <c r="G8217" s="15" t="str">
        <f>IFERROR(__xludf.DUMMYFUNCTION("""COMPUTED_VALUE"""),"Natalia Charry Pastrana")</f>
        <v>Natalia Charry Pastrana</v>
      </c>
      <c r="H8217" s="16">
        <f>IFERROR(__xludf.DUMMYFUNCTION("""COMPUTED_VALUE"""),16867.0)</f>
        <v>16867</v>
      </c>
      <c r="I8217" s="17"/>
      <c r="J8217" s="17"/>
      <c r="K8217" s="17"/>
      <c r="L8217" s="17">
        <f>IFERROR(__xludf.DUMMYFUNCTION("""COMPUTED_VALUE"""),3.023771068E9)</f>
        <v>3023771068</v>
      </c>
      <c r="M8217" s="17"/>
      <c r="N8217" s="17"/>
      <c r="O8217" s="17"/>
      <c r="P8217" s="17" t="b">
        <f>IFERROR(__xludf.DUMMYFUNCTION("""COMPUTED_VALUE"""),FALSE)</f>
        <v>0</v>
      </c>
      <c r="Q8217" s="20" t="str">
        <f>IFERROR(__xludf.DUMMYFUNCTION("""COMPUTED_VALUE"""),"")</f>
        <v/>
      </c>
      <c r="R8217" s="21" t="str">
        <f>IFERROR(__xludf.DUMMYFUNCTION("""COMPUTED_VALUE"""),"https://drive.google.com/file/d/1u3OimnQQk1NfHy7F3F1_sP8M_8xF7Csy/view?usp=drivesdk")</f>
        <v>https://drive.google.com/file/d/1u3OimnQQk1NfHy7F3F1_sP8M_8xF7Csy/view?usp=drivesdk</v>
      </c>
    </row>
    <row r="8218">
      <c r="A8218" s="15">
        <f>IFERROR(__xludf.DUMMYFUNCTION("""COMPUTED_VALUE"""),45232.0)</f>
        <v>45232</v>
      </c>
      <c r="B8218" s="16" t="str">
        <f>IFERROR(__xludf.DUMMYFUNCTION("""COMPUTED_VALUE"""),"Julian Calderon Rodriguez ")</f>
        <v>Julian Calderon Rodriguez </v>
      </c>
      <c r="C8218" s="15" t="str">
        <f>IFERROR(__xludf.DUMMYFUNCTION("""COMPUTED_VALUE"""),"VILLAVICENCIO")</f>
        <v>VILLAVICENCIO</v>
      </c>
      <c r="D8218" s="15" t="str">
        <f>IFERROR(__xludf.DUMMYFUNCTION("""COMPUTED_VALUE"""),"BOGOTÁ")</f>
        <v>BOGOTÁ</v>
      </c>
      <c r="E8218" s="15" t="str">
        <f>IFERROR(__xludf.DUMMYFUNCTION("""COMPUTED_VALUE"""),"Asociacion Agropecuaria Juana Maria")</f>
        <v>Asociacion Agropecuaria Juana Maria</v>
      </c>
      <c r="F8218" s="17" t="str">
        <f>IFERROR(__xludf.DUMMYFUNCTION("""COMPUTED_VALUE"""),"Cra 40 # 5 A - 41 SUR Torre 8 apto 305 / Conjunto alcaravan")</f>
        <v>Cra 40 # 5 A - 41 SUR Torre 8 apto 305 / Conjunto alcaravan</v>
      </c>
      <c r="G8218" s="15" t="str">
        <f>IFERROR(__xludf.DUMMYFUNCTION("""COMPUTED_VALUE"""),"Tatiana Cortes")</f>
        <v>Tatiana Cortes</v>
      </c>
      <c r="H8218" s="16">
        <f>IFERROR(__xludf.DUMMYFUNCTION("""COMPUTED_VALUE"""),16749.0)</f>
        <v>16749</v>
      </c>
      <c r="I8218" s="17"/>
      <c r="J8218" s="17"/>
      <c r="K8218" s="17"/>
      <c r="L8218" s="17">
        <f>IFERROR(__xludf.DUMMYFUNCTION("""COMPUTED_VALUE"""),3.006485514E9)</f>
        <v>3006485514</v>
      </c>
      <c r="M8218" s="17"/>
      <c r="N8218" s="17"/>
      <c r="O8218" s="17"/>
      <c r="P8218" s="17" t="b">
        <f>IFERROR(__xludf.DUMMYFUNCTION("""COMPUTED_VALUE"""),FALSE)</f>
        <v>0</v>
      </c>
      <c r="Q8218" s="20" t="str">
        <f>IFERROR(__xludf.DUMMYFUNCTION("""COMPUTED_VALUE"""),"")</f>
        <v/>
      </c>
      <c r="R8218" s="21" t="str">
        <f>IFERROR(__xludf.DUMMYFUNCTION("""COMPUTED_VALUE"""),"https://drive.google.com/file/d/1lds4Fl8z4At_tQj71XYlWISrgv2LCFWo/view?usp=drivesdk")</f>
        <v>https://drive.google.com/file/d/1lds4Fl8z4At_tQj71XYlWISrgv2LCFWo/view?usp=drivesdk</v>
      </c>
    </row>
    <row r="8219">
      <c r="A8219" s="15">
        <f>IFERROR(__xludf.DUMMYFUNCTION("""COMPUTED_VALUE"""),45232.0)</f>
        <v>45232</v>
      </c>
      <c r="B8219" s="16" t="str">
        <f>IFERROR(__xludf.DUMMYFUNCTION("""COMPUTED_VALUE"""),"Julian Calderon Rodriguez ")</f>
        <v>Julian Calderon Rodriguez </v>
      </c>
      <c r="C8219" s="15" t="str">
        <f>IFERROR(__xludf.DUMMYFUNCTION("""COMPUTED_VALUE"""),"VILLAVICENCIO")</f>
        <v>VILLAVICENCIO</v>
      </c>
      <c r="D8219" s="15" t="str">
        <f>IFERROR(__xludf.DUMMYFUNCTION("""COMPUTED_VALUE"""),"ENVIGADO")</f>
        <v>ENVIGADO</v>
      </c>
      <c r="E8219" s="15" t="str">
        <f>IFERROR(__xludf.DUMMYFUNCTION("""COMPUTED_VALUE"""),"JUAN CAMILO CORDOBA")</f>
        <v>JUAN CAMILO CORDOBA</v>
      </c>
      <c r="F8219" s="17" t="str">
        <f>IFERROR(__xludf.DUMMYFUNCTION("""COMPUTED_VALUE"""),"Calle 15 # 44 116 / Hotel casa corona Local 5")</f>
        <v>Calle 15 # 44 116 / Hotel casa corona Local 5</v>
      </c>
      <c r="G8219" s="15" t="str">
        <f>IFERROR(__xludf.DUMMYFUNCTION("""COMPUTED_VALUE"""),"Sana Tentacion")</f>
        <v>Sana Tentacion</v>
      </c>
      <c r="H8219" s="16">
        <f>IFERROR(__xludf.DUMMYFUNCTION("""COMPUTED_VALUE"""),16820.0)</f>
        <v>16820</v>
      </c>
      <c r="I8219" s="17"/>
      <c r="J8219" s="17"/>
      <c r="K8219" s="17"/>
      <c r="L8219" s="17">
        <f>IFERROR(__xludf.DUMMYFUNCTION("""COMPUTED_VALUE"""),3.008383044E9)</f>
        <v>3008383044</v>
      </c>
      <c r="M8219" s="17"/>
      <c r="N8219" s="17"/>
      <c r="O8219" s="17"/>
      <c r="P8219" s="17" t="b">
        <f>IFERROR(__xludf.DUMMYFUNCTION("""COMPUTED_VALUE"""),FALSE)</f>
        <v>0</v>
      </c>
      <c r="Q8219" s="20" t="str">
        <f>IFERROR(__xludf.DUMMYFUNCTION("""COMPUTED_VALUE"""),"")</f>
        <v/>
      </c>
      <c r="R8219" s="21" t="str">
        <f>IFERROR(__xludf.DUMMYFUNCTION("""COMPUTED_VALUE"""),"https://drive.google.com/file/d/1fSm_dOS8fBw5SfuJjUW6IMY9CBfsScRf/view?usp=drivesdk")</f>
        <v>https://drive.google.com/file/d/1fSm_dOS8fBw5SfuJjUW6IMY9CBfsScRf/view?usp=drivesdk</v>
      </c>
    </row>
    <row r="8220">
      <c r="A8220" s="17" t="str">
        <f>IFERROR(__xludf.DUMMYFUNCTION("""COMPUTED_VALUE"""),"")</f>
        <v/>
      </c>
      <c r="B8220" s="17" t="str">
        <f>IFERROR(__xludf.DUMMYFUNCTION("""COMPUTED_VALUE"""),"")</f>
        <v/>
      </c>
      <c r="C8220" s="17" t="str">
        <f>IFERROR(__xludf.DUMMYFUNCTION("""COMPUTED_VALUE"""),"")</f>
        <v/>
      </c>
      <c r="D8220" s="17" t="str">
        <f>IFERROR(__xludf.DUMMYFUNCTION("""COMPUTED_VALUE"""),"")</f>
        <v/>
      </c>
      <c r="E8220" s="17" t="str">
        <f>IFERROR(__xludf.DUMMYFUNCTION("""COMPUTED_VALUE"""),"")</f>
        <v/>
      </c>
      <c r="F8220" s="17" t="str">
        <f>IFERROR(__xludf.DUMMYFUNCTION("""COMPUTED_VALUE"""),"")</f>
        <v/>
      </c>
      <c r="G8220" s="17" t="str">
        <f>IFERROR(__xludf.DUMMYFUNCTION("""COMPUTED_VALUE"""),"")</f>
        <v/>
      </c>
      <c r="H8220" s="17" t="str">
        <f>IFERROR(__xludf.DUMMYFUNCTION("""COMPUTED_VALUE"""),"")</f>
        <v/>
      </c>
      <c r="I8220" s="17" t="str">
        <f>IFERROR(__xludf.DUMMYFUNCTION("""COMPUTED_VALUE"""),"")</f>
        <v/>
      </c>
      <c r="J8220" s="17" t="str">
        <f>IFERROR(__xludf.DUMMYFUNCTION("""COMPUTED_VALUE"""),"")</f>
        <v/>
      </c>
      <c r="K8220" s="17" t="str">
        <f>IFERROR(__xludf.DUMMYFUNCTION("""COMPUTED_VALUE"""),"")</f>
        <v/>
      </c>
      <c r="L8220" s="17" t="str">
        <f>IFERROR(__xludf.DUMMYFUNCTION("""COMPUTED_VALUE"""),"")</f>
        <v/>
      </c>
      <c r="M8220" s="17" t="str">
        <f>IFERROR(__xludf.DUMMYFUNCTION("""COMPUTED_VALUE"""),"")</f>
        <v/>
      </c>
      <c r="N8220" s="17" t="str">
        <f>IFERROR(__xludf.DUMMYFUNCTION("""COMPUTED_VALUE"""),"")</f>
        <v/>
      </c>
      <c r="O8220" s="17" t="str">
        <f>IFERROR(__xludf.DUMMYFUNCTION("""COMPUTED_VALUE"""),"")</f>
        <v/>
      </c>
      <c r="P8220" s="17" t="str">
        <f>IFERROR(__xludf.DUMMYFUNCTION("""COMPUTED_VALUE"""),"")</f>
        <v/>
      </c>
      <c r="Q8220" s="17" t="str">
        <f>IFERROR(__xludf.DUMMYFUNCTION("""COMPUTED_VALUE"""),"")</f>
        <v/>
      </c>
      <c r="R8220" s="17" t="str">
        <f>IFERROR(__xludf.DUMMYFUNCTION("""COMPUTED_VALUE"""),"")</f>
        <v/>
      </c>
    </row>
    <row r="8221">
      <c r="A8221" s="15">
        <f>IFERROR(__xludf.DUMMYFUNCTION("""COMPUTED_VALUE"""),45232.0)</f>
        <v>45232</v>
      </c>
      <c r="B8221" s="16" t="str">
        <f>IFERROR(__xludf.DUMMYFUNCTION("""COMPUTED_VALUE"""),"Santiago Garces Restrepo")</f>
        <v>Santiago Garces Restrepo</v>
      </c>
      <c r="C8221" s="15" t="str">
        <f>IFERROR(__xludf.DUMMYFUNCTION("""COMPUTED_VALUE"""),"CALI")</f>
        <v>CALI</v>
      </c>
      <c r="D8221" s="15" t="str">
        <f>IFERROR(__xludf.DUMMYFUNCTION("""COMPUTED_VALUE"""),"BOGOTÁ")</f>
        <v>BOGOTÁ</v>
      </c>
      <c r="E8221" s="15" t="str">
        <f>IFERROR(__xludf.DUMMYFUNCTION("""COMPUTED_VALUE"""),"INVERSIONES MOCHI")</f>
        <v>INVERSIONES MOCHI</v>
      </c>
      <c r="F8221" s="17" t="str">
        <f>IFERROR(__xludf.DUMMYFUNCTION("""COMPUTED_VALUE"""),"Calle 15 norte #9n 16 / Restaurante Fish N GO al lado de cantina la 15")</f>
        <v>Calle 15 norte #9n 16 / Restaurante Fish N GO al lado de cantina la 15</v>
      </c>
      <c r="G8221" s="15" t="str">
        <f>IFERROR(__xludf.DUMMYFUNCTION("""COMPUTED_VALUE"""),"Restaurante Fish N Go")</f>
        <v>Restaurante Fish N Go</v>
      </c>
      <c r="H8221" s="16">
        <f>IFERROR(__xludf.DUMMYFUNCTION("""COMPUTED_VALUE"""),16890.0)</f>
        <v>16890</v>
      </c>
      <c r="I8221" s="17"/>
      <c r="J8221" s="17"/>
      <c r="K8221" s="17"/>
      <c r="L8221" s="17">
        <f>IFERROR(__xludf.DUMMYFUNCTION("""COMPUTED_VALUE"""),3.183028592E9)</f>
        <v>3183028592</v>
      </c>
      <c r="M8221" s="17"/>
      <c r="N8221" s="17"/>
      <c r="O8221" s="17"/>
      <c r="P8221" s="17" t="b">
        <f>IFERROR(__xludf.DUMMYFUNCTION("""COMPUTED_VALUE"""),FALSE)</f>
        <v>0</v>
      </c>
      <c r="Q8221" s="20" t="str">
        <f>IFERROR(__xludf.DUMMYFUNCTION("""COMPUTED_VALUE"""),"")</f>
        <v/>
      </c>
      <c r="R8221" s="21" t="str">
        <f>IFERROR(__xludf.DUMMYFUNCTION("""COMPUTED_VALUE"""),"https://drive.google.com/file/d/1RiZh5uYd9EAd8IBu6bZGpKs8DZQ0ZYUo/view?usp=drivesdk")</f>
        <v>https://drive.google.com/file/d/1RiZh5uYd9EAd8IBu6bZGpKs8DZQ0ZYUo/view?usp=drivesdk</v>
      </c>
    </row>
    <row r="8222">
      <c r="A8222" s="15">
        <f>IFERROR(__xludf.DUMMYFUNCTION("""COMPUTED_VALUE"""),45232.0)</f>
        <v>45232</v>
      </c>
      <c r="B8222" s="16" t="str">
        <f>IFERROR(__xludf.DUMMYFUNCTION("""COMPUTED_VALUE"""),"Santiago Garces Restrepo")</f>
        <v>Santiago Garces Restrepo</v>
      </c>
      <c r="C8222" s="15" t="str">
        <f>IFERROR(__xludf.DUMMYFUNCTION("""COMPUTED_VALUE"""),"SINCELEJO")</f>
        <v>SINCELEJO</v>
      </c>
      <c r="D8222" s="15" t="str">
        <f>IFERROR(__xludf.DUMMYFUNCTION("""COMPUTED_VALUE"""),"ENVIGADO")</f>
        <v>ENVIGADO</v>
      </c>
      <c r="E8222" s="15" t="str">
        <f>IFERROR(__xludf.DUMMYFUNCTION("""COMPUTED_VALUE"""),"JUAN CAMILO CORDOBA")</f>
        <v>JUAN CAMILO CORDOBA</v>
      </c>
      <c r="F8222" s="17" t="str">
        <f>IFERROR(__xludf.DUMMYFUNCTION("""COMPUTED_VALUE"""),"Calle 32 #33 -119 / local 101 cc living mall")</f>
        <v>Calle 32 #33 -119 / local 101 cc living mall</v>
      </c>
      <c r="G8222" s="15" t="str">
        <f>IFERROR(__xludf.DUMMYFUNCTION("""COMPUTED_VALUE"""),"Oliva")</f>
        <v>Oliva</v>
      </c>
      <c r="H8222" s="16">
        <f>IFERROR(__xludf.DUMMYFUNCTION("""COMPUTED_VALUE"""),16895.0)</f>
        <v>16895</v>
      </c>
      <c r="I8222" s="17"/>
      <c r="J8222" s="17"/>
      <c r="K8222" s="17"/>
      <c r="L8222" s="17">
        <f>IFERROR(__xludf.DUMMYFUNCTION("""COMPUTED_VALUE"""),3.022293728E9)</f>
        <v>3022293728</v>
      </c>
      <c r="M8222" s="17"/>
      <c r="N8222" s="17"/>
      <c r="O8222" s="17"/>
      <c r="P8222" s="17" t="b">
        <f>IFERROR(__xludf.DUMMYFUNCTION("""COMPUTED_VALUE"""),FALSE)</f>
        <v>0</v>
      </c>
      <c r="Q8222" s="20" t="str">
        <f>IFERROR(__xludf.DUMMYFUNCTION("""COMPUTED_VALUE"""),"")</f>
        <v/>
      </c>
      <c r="R8222" s="21" t="str">
        <f>IFERROR(__xludf.DUMMYFUNCTION("""COMPUTED_VALUE"""),"https://drive.google.com/file/d/15pM_iVdq0YTa5iBSnL9iRVTmrVEJlAEg/view?usp=drivesdk")</f>
        <v>https://drive.google.com/file/d/15pM_iVdq0YTa5iBSnL9iRVTmrVEJlAEg/view?usp=drivesdk</v>
      </c>
    </row>
    <row r="8223">
      <c r="A8223" s="17" t="str">
        <f>IFERROR(__xludf.DUMMYFUNCTION("""COMPUTED_VALUE"""),"")</f>
        <v/>
      </c>
      <c r="B8223" s="17" t="str">
        <f>IFERROR(__xludf.DUMMYFUNCTION("""COMPUTED_VALUE"""),"")</f>
        <v/>
      </c>
      <c r="C8223" s="17" t="str">
        <f>IFERROR(__xludf.DUMMYFUNCTION("""COMPUTED_VALUE"""),"")</f>
        <v/>
      </c>
      <c r="D8223" s="17" t="str">
        <f>IFERROR(__xludf.DUMMYFUNCTION("""COMPUTED_VALUE"""),"")</f>
        <v/>
      </c>
      <c r="E8223" s="17" t="str">
        <f>IFERROR(__xludf.DUMMYFUNCTION("""COMPUTED_VALUE"""),"")</f>
        <v/>
      </c>
      <c r="F8223" s="17" t="str">
        <f>IFERROR(__xludf.DUMMYFUNCTION("""COMPUTED_VALUE"""),"")</f>
        <v/>
      </c>
      <c r="G8223" s="17" t="str">
        <f>IFERROR(__xludf.DUMMYFUNCTION("""COMPUTED_VALUE"""),"")</f>
        <v/>
      </c>
      <c r="H8223" s="17" t="str">
        <f>IFERROR(__xludf.DUMMYFUNCTION("""COMPUTED_VALUE"""),"")</f>
        <v/>
      </c>
      <c r="I8223" s="17" t="str">
        <f>IFERROR(__xludf.DUMMYFUNCTION("""COMPUTED_VALUE"""),"")</f>
        <v/>
      </c>
      <c r="J8223" s="17" t="str">
        <f>IFERROR(__xludf.DUMMYFUNCTION("""COMPUTED_VALUE"""),"")</f>
        <v/>
      </c>
      <c r="K8223" s="17" t="str">
        <f>IFERROR(__xludf.DUMMYFUNCTION("""COMPUTED_VALUE"""),"")</f>
        <v/>
      </c>
      <c r="L8223" s="17" t="str">
        <f>IFERROR(__xludf.DUMMYFUNCTION("""COMPUTED_VALUE"""),"")</f>
        <v/>
      </c>
      <c r="M8223" s="17" t="str">
        <f>IFERROR(__xludf.DUMMYFUNCTION("""COMPUTED_VALUE"""),"")</f>
        <v/>
      </c>
      <c r="N8223" s="17" t="str">
        <f>IFERROR(__xludf.DUMMYFUNCTION("""COMPUTED_VALUE"""),"")</f>
        <v/>
      </c>
      <c r="O8223" s="17" t="str">
        <f>IFERROR(__xludf.DUMMYFUNCTION("""COMPUTED_VALUE"""),"")</f>
        <v/>
      </c>
      <c r="P8223" s="17" t="str">
        <f>IFERROR(__xludf.DUMMYFUNCTION("""COMPUTED_VALUE"""),"")</f>
        <v/>
      </c>
      <c r="Q8223" s="17" t="str">
        <f>IFERROR(__xludf.DUMMYFUNCTION("""COMPUTED_VALUE"""),"")</f>
        <v/>
      </c>
      <c r="R8223" s="17" t="str">
        <f>IFERROR(__xludf.DUMMYFUNCTION("""COMPUTED_VALUE"""),"")</f>
        <v/>
      </c>
    </row>
    <row r="8224">
      <c r="A8224" s="15">
        <f>IFERROR(__xludf.DUMMYFUNCTION("""COMPUTED_VALUE"""),45233.0)</f>
        <v>45233</v>
      </c>
      <c r="B8224" s="17"/>
      <c r="C8224" s="15" t="str">
        <f>IFERROR(__xludf.DUMMYFUNCTION("""COMPUTED_VALUE"""),"BARRANQUILLA")</f>
        <v>BARRANQUILLA</v>
      </c>
      <c r="D8224" s="15" t="str">
        <f>IFERROR(__xludf.DUMMYFUNCTION("""COMPUTED_VALUE"""),"MEDELLÍN")</f>
        <v>MEDELLÍN</v>
      </c>
      <c r="E8224" s="15" t="str">
        <f>IFERROR(__xludf.DUMMYFUNCTION("""COMPUTED_VALUE"""),"Moloso S.A.S")</f>
        <v>Moloso S.A.S</v>
      </c>
      <c r="F8224" s="17" t="str">
        <f>IFERROR(__xludf.DUMMYFUNCTION("""COMPUTED_VALUE"""),"CR 47 100 14 / ED ALAMEDA 100 - 46 TORRE B AP1304")</f>
        <v>CR 47 100 14 / ED ALAMEDA 100 - 46 TORRE B AP1304</v>
      </c>
      <c r="G8224" s="15" t="str">
        <f>IFERROR(__xludf.DUMMYFUNCTION("""COMPUTED_VALUE"""),"GRACIELA COHEN")</f>
        <v>GRACIELA COHEN</v>
      </c>
      <c r="H8224" s="16">
        <f>IFERROR(__xludf.DUMMYFUNCTION("""COMPUTED_VALUE"""),16912.0)</f>
        <v>16912</v>
      </c>
      <c r="I8224" s="17"/>
      <c r="J8224" s="17"/>
      <c r="K8224" s="17"/>
      <c r="L8224" s="17">
        <f>IFERROR(__xludf.DUMMYFUNCTION("""COMPUTED_VALUE"""),3.167401158E9)</f>
        <v>3167401158</v>
      </c>
      <c r="M8224" s="17"/>
      <c r="N8224" s="17"/>
      <c r="O8224" s="17"/>
      <c r="P8224" s="17" t="b">
        <f>IFERROR(__xludf.DUMMYFUNCTION("""COMPUTED_VALUE"""),FALSE)</f>
        <v>0</v>
      </c>
      <c r="Q8224" s="20" t="str">
        <f>IFERROR(__xludf.DUMMYFUNCTION("""COMPUTED_VALUE"""),"")</f>
        <v/>
      </c>
      <c r="R8224" s="21" t="str">
        <f>IFERROR(__xludf.DUMMYFUNCTION("""COMPUTED_VALUE"""),"https://drive.google.com/file/d/1Mytov7MOxY0c42KxLa-P6eoFiRReNIOV/view?usp=drivesdk")</f>
        <v>https://drive.google.com/file/d/1Mytov7MOxY0c42KxLa-P6eoFiRReNIOV/view?usp=drivesdk</v>
      </c>
    </row>
    <row r="8225">
      <c r="A8225" s="15">
        <f>IFERROR(__xludf.DUMMYFUNCTION("""COMPUTED_VALUE"""),45233.0)</f>
        <v>45233</v>
      </c>
      <c r="B8225" s="17"/>
      <c r="C8225" s="15" t="str">
        <f>IFERROR(__xludf.DUMMYFUNCTION("""COMPUTED_VALUE"""),"BOGOTÁ")</f>
        <v>BOGOTÁ</v>
      </c>
      <c r="D8225" s="15" t="str">
        <f>IFERROR(__xludf.DUMMYFUNCTION("""COMPUTED_VALUE"""),"ENVIGADO")</f>
        <v>ENVIGADO</v>
      </c>
      <c r="E8225" s="15" t="str">
        <f>IFERROR(__xludf.DUMMYFUNCTION("""COMPUTED_VALUE"""),"JUAN CAMILO CORDOBA")</f>
        <v>JUAN CAMILO CORDOBA</v>
      </c>
      <c r="F8225" s="17" t="str">
        <f>IFERROR(__xludf.DUMMYFUNCTION("""COMPUTED_VALUE"""),"Carrera 97 24 32 / casa 17 la cofradía manzana 42 ")</f>
        <v>Carrera 97 24 32 / casa 17 la cofradía manzana 42 </v>
      </c>
      <c r="G8225" s="15" t="str">
        <f>IFERROR(__xludf.DUMMYFUNCTION("""COMPUTED_VALUE"""),"Yésica Fajardo")</f>
        <v>Yésica Fajardo</v>
      </c>
      <c r="H8225" s="16">
        <f>IFERROR(__xludf.DUMMYFUNCTION("""COMPUTED_VALUE"""),16951.0)</f>
        <v>16951</v>
      </c>
      <c r="I8225" s="17"/>
      <c r="J8225" s="17"/>
      <c r="K8225" s="17"/>
      <c r="L8225" s="17">
        <f>IFERROR(__xludf.DUMMYFUNCTION("""COMPUTED_VALUE"""),3.108758105E9)</f>
        <v>3108758105</v>
      </c>
      <c r="M8225" s="17"/>
      <c r="N8225" s="17"/>
      <c r="O8225" s="17"/>
      <c r="P8225" s="17" t="b">
        <f>IFERROR(__xludf.DUMMYFUNCTION("""COMPUTED_VALUE"""),FALSE)</f>
        <v>0</v>
      </c>
      <c r="Q8225" s="20" t="str">
        <f>IFERROR(__xludf.DUMMYFUNCTION("""COMPUTED_VALUE"""),"")</f>
        <v/>
      </c>
      <c r="R8225" s="21" t="str">
        <f>IFERROR(__xludf.DUMMYFUNCTION("""COMPUTED_VALUE"""),"https://drive.google.com/file/d/1820mspkwDTGZTtzNjyH8Iv6VrM-BqnaD/view?usp=drivesdk")</f>
        <v>https://drive.google.com/file/d/1820mspkwDTGZTtzNjyH8Iv6VrM-BqnaD/view?usp=drivesdk</v>
      </c>
    </row>
    <row r="8226">
      <c r="A8226" s="15">
        <f>IFERROR(__xludf.DUMMYFUNCTION("""COMPUTED_VALUE"""),45233.0)</f>
        <v>45233</v>
      </c>
      <c r="B8226" s="17"/>
      <c r="C8226" s="15" t="str">
        <f>IFERROR(__xludf.DUMMYFUNCTION("""COMPUTED_VALUE"""),"BOGOTÁ")</f>
        <v>BOGOTÁ</v>
      </c>
      <c r="D8226" s="15" t="str">
        <f>IFERROR(__xludf.DUMMYFUNCTION("""COMPUTED_VALUE"""),"MEDELLÍN")</f>
        <v>MEDELLÍN</v>
      </c>
      <c r="E8226" s="15" t="str">
        <f>IFERROR(__xludf.DUMMYFUNCTION("""COMPUTED_VALUE"""),"Moloso S.A.S")</f>
        <v>Moloso S.A.S</v>
      </c>
      <c r="F8226" s="17" t="str">
        <f>IFERROR(__xludf.DUMMYFUNCTION("""COMPUTED_VALUE"""),"CR11BIS 124 66 / ED BUGANVILLA TO 5 AP 702")</f>
        <v>CR11BIS 124 66 / ED BUGANVILLA TO 5 AP 702</v>
      </c>
      <c r="G8226" s="15" t="str">
        <f>IFERROR(__xludf.DUMMYFUNCTION("""COMPUTED_VALUE"""),"LINA MARIA BARRERA PRIETO")</f>
        <v>LINA MARIA BARRERA PRIETO</v>
      </c>
      <c r="H8226" s="16">
        <f>IFERROR(__xludf.DUMMYFUNCTION("""COMPUTED_VALUE"""),16932.0)</f>
        <v>16932</v>
      </c>
      <c r="I8226" s="17"/>
      <c r="J8226" s="17"/>
      <c r="K8226" s="17"/>
      <c r="L8226" s="17">
        <f>IFERROR(__xludf.DUMMYFUNCTION("""COMPUTED_VALUE"""),3.123733706E9)</f>
        <v>3123733706</v>
      </c>
      <c r="M8226" s="17"/>
      <c r="N8226" s="17"/>
      <c r="O8226" s="17"/>
      <c r="P8226" s="17" t="b">
        <f>IFERROR(__xludf.DUMMYFUNCTION("""COMPUTED_VALUE"""),FALSE)</f>
        <v>0</v>
      </c>
      <c r="Q8226" s="20" t="str">
        <f>IFERROR(__xludf.DUMMYFUNCTION("""COMPUTED_VALUE"""),"")</f>
        <v/>
      </c>
      <c r="R8226" s="21" t="str">
        <f>IFERROR(__xludf.DUMMYFUNCTION("""COMPUTED_VALUE"""),"https://drive.google.com/file/d/1untOxL0cbGWm6kW2BJSK2Es_MK26qpTt/view?usp=drivesdk")</f>
        <v>https://drive.google.com/file/d/1untOxL0cbGWm6kW2BJSK2Es_MK26qpTt/view?usp=drivesdk</v>
      </c>
    </row>
    <row r="8227">
      <c r="A8227" s="17" t="str">
        <f>IFERROR(__xludf.DUMMYFUNCTION("""COMPUTED_VALUE"""),"")</f>
        <v/>
      </c>
      <c r="B8227" s="17" t="str">
        <f>IFERROR(__xludf.DUMMYFUNCTION("""COMPUTED_VALUE"""),"")</f>
        <v/>
      </c>
      <c r="C8227" s="17" t="str">
        <f>IFERROR(__xludf.DUMMYFUNCTION("""COMPUTED_VALUE"""),"")</f>
        <v/>
      </c>
      <c r="D8227" s="17" t="str">
        <f>IFERROR(__xludf.DUMMYFUNCTION("""COMPUTED_VALUE"""),"")</f>
        <v/>
      </c>
      <c r="E8227" s="17" t="str">
        <f>IFERROR(__xludf.DUMMYFUNCTION("""COMPUTED_VALUE"""),"")</f>
        <v/>
      </c>
      <c r="F8227" s="17" t="str">
        <f>IFERROR(__xludf.DUMMYFUNCTION("""COMPUTED_VALUE"""),"")</f>
        <v/>
      </c>
      <c r="G8227" s="17" t="str">
        <f>IFERROR(__xludf.DUMMYFUNCTION("""COMPUTED_VALUE"""),"")</f>
        <v/>
      </c>
      <c r="H8227" s="17" t="str">
        <f>IFERROR(__xludf.DUMMYFUNCTION("""COMPUTED_VALUE"""),"")</f>
        <v/>
      </c>
      <c r="I8227" s="17" t="str">
        <f>IFERROR(__xludf.DUMMYFUNCTION("""COMPUTED_VALUE"""),"")</f>
        <v/>
      </c>
      <c r="J8227" s="17" t="str">
        <f>IFERROR(__xludf.DUMMYFUNCTION("""COMPUTED_VALUE"""),"")</f>
        <v/>
      </c>
      <c r="K8227" s="17" t="str">
        <f>IFERROR(__xludf.DUMMYFUNCTION("""COMPUTED_VALUE"""),"")</f>
        <v/>
      </c>
      <c r="L8227" s="17" t="str">
        <f>IFERROR(__xludf.DUMMYFUNCTION("""COMPUTED_VALUE"""),"")</f>
        <v/>
      </c>
      <c r="M8227" s="17" t="str">
        <f>IFERROR(__xludf.DUMMYFUNCTION("""COMPUTED_VALUE"""),"")</f>
        <v/>
      </c>
      <c r="N8227" s="17" t="str">
        <f>IFERROR(__xludf.DUMMYFUNCTION("""COMPUTED_VALUE"""),"")</f>
        <v/>
      </c>
      <c r="O8227" s="17" t="str">
        <f>IFERROR(__xludf.DUMMYFUNCTION("""COMPUTED_VALUE"""),"")</f>
        <v/>
      </c>
      <c r="P8227" s="17" t="str">
        <f>IFERROR(__xludf.DUMMYFUNCTION("""COMPUTED_VALUE"""),"")</f>
        <v/>
      </c>
      <c r="Q8227" s="17" t="str">
        <f>IFERROR(__xludf.DUMMYFUNCTION("""COMPUTED_VALUE"""),"")</f>
        <v/>
      </c>
      <c r="R8227" s="17" t="str">
        <f>IFERROR(__xludf.DUMMYFUNCTION("""COMPUTED_VALUE"""),"")</f>
        <v/>
      </c>
    </row>
    <row r="8228">
      <c r="A8228" s="15">
        <f>IFERROR(__xludf.DUMMYFUNCTION("""COMPUTED_VALUE"""),45233.0)</f>
        <v>45233</v>
      </c>
      <c r="B8228" s="16" t="str">
        <f>IFERROR(__xludf.DUMMYFUNCTION("""COMPUTED_VALUE"""),"Alvaro Chacón")</f>
        <v>Alvaro Chacón</v>
      </c>
      <c r="C8228" s="15" t="str">
        <f>IFERROR(__xludf.DUMMYFUNCTION("""COMPUTED_VALUE"""),"BOGOTÁ")</f>
        <v>BOGOTÁ</v>
      </c>
      <c r="D8228" s="15" t="str">
        <f>IFERROR(__xludf.DUMMYFUNCTION("""COMPUTED_VALUE"""),"BARRANQUILLA")</f>
        <v>BARRANQUILLA</v>
      </c>
      <c r="E8228" s="15" t="str">
        <f>IFERROR(__xludf.DUMMYFUNCTION("""COMPUTED_VALUE"""),"Paketto")</f>
        <v>Paketto</v>
      </c>
      <c r="F8228" s="17" t="str">
        <f>IFERROR(__xludf.DUMMYFUNCTION("""COMPUTED_VALUE"""),"Calle 93a # 11-46 / Adwellch / Chico")</f>
        <v>Calle 93a # 11-46 / Adwellch / Chico</v>
      </c>
      <c r="G8228" s="15" t="str">
        <f>IFERROR(__xludf.DUMMYFUNCTION("""COMPUTED_VALUE"""),"A dwell here SAS")</f>
        <v>A dwell here SAS</v>
      </c>
      <c r="H8228" s="16">
        <f>IFERROR(__xludf.DUMMYFUNCTION("""COMPUTED_VALUE"""),16884.0)</f>
        <v>16884</v>
      </c>
      <c r="I8228" s="18">
        <f>IFERROR(__xludf.DUMMYFUNCTION("""COMPUTED_VALUE"""),45109.0)</f>
        <v>45109</v>
      </c>
      <c r="J8228" s="18">
        <f>IFERROR(__xludf.DUMMYFUNCTION("""COMPUTED_VALUE"""),11.0)</f>
        <v>11</v>
      </c>
      <c r="K8228" s="18">
        <f>IFERROR(__xludf.DUMMYFUNCTION("""COMPUTED_VALUE"""),18.0)</f>
        <v>18</v>
      </c>
      <c r="L8228" s="17">
        <f>IFERROR(__xludf.DUMMYFUNCTION("""COMPUTED_VALUE"""),3.114258595E9)</f>
        <v>3114258595</v>
      </c>
      <c r="M8228" s="17"/>
      <c r="N8228" s="17"/>
      <c r="O8228" s="17"/>
      <c r="P8228" s="17" t="b">
        <f>IFERROR(__xludf.DUMMYFUNCTION("""COMPUTED_VALUE"""),FALSE)</f>
        <v>0</v>
      </c>
      <c r="Q8228" s="20" t="str">
        <f>IFERROR(__xludf.DUMMYFUNCTION("""COMPUTED_VALUE"""),"")</f>
        <v/>
      </c>
      <c r="R8228" s="22" t="str">
        <f>IFERROR(__xludf.DUMMYFUNCTION("""COMPUTED_VALUE"""),"")</f>
        <v/>
      </c>
    </row>
    <row r="8229">
      <c r="A8229" s="15">
        <f>IFERROR(__xludf.DUMMYFUNCTION("""COMPUTED_VALUE"""),45233.0)</f>
        <v>45233</v>
      </c>
      <c r="B8229" s="16" t="str">
        <f>IFERROR(__xludf.DUMMYFUNCTION("""COMPUTED_VALUE"""),"Alvaro Chacón")</f>
        <v>Alvaro Chacón</v>
      </c>
      <c r="C8229" s="15" t="str">
        <f>IFERROR(__xludf.DUMMYFUNCTION("""COMPUTED_VALUE"""),"BOGOTÁ")</f>
        <v>BOGOTÁ</v>
      </c>
      <c r="D8229" s="15" t="str">
        <f>IFERROR(__xludf.DUMMYFUNCTION("""COMPUTED_VALUE"""),"ENVIGADO")</f>
        <v>ENVIGADO</v>
      </c>
      <c r="E8229" s="15" t="str">
        <f>IFERROR(__xludf.DUMMYFUNCTION("""COMPUTED_VALUE"""),"JUAN CAMILO CORDOBA")</f>
        <v>JUAN CAMILO CORDOBA</v>
      </c>
      <c r="F8229" s="17" t="str">
        <f>IFERROR(__xludf.DUMMYFUNCTION("""COMPUTED_VALUE"""),"calle 134c # 53b 52 / apto 301 casa gris tercer piso.")</f>
        <v>calle 134c # 53b 52 / apto 301 casa gris tercer piso.</v>
      </c>
      <c r="G8229" s="15" t="str">
        <f>IFERROR(__xludf.DUMMYFUNCTION("""COMPUTED_VALUE"""),"Ana María Ríos Moreno")</f>
        <v>Ana María Ríos Moreno</v>
      </c>
      <c r="H8229" s="16">
        <f>IFERROR(__xludf.DUMMYFUNCTION("""COMPUTED_VALUE"""),16945.0)</f>
        <v>16945</v>
      </c>
      <c r="I8229" s="17"/>
      <c r="J8229" s="17"/>
      <c r="K8229" s="17"/>
      <c r="L8229" s="17">
        <f>IFERROR(__xludf.DUMMYFUNCTION("""COMPUTED_VALUE"""),3.00661678E9)</f>
        <v>3006616780</v>
      </c>
      <c r="M8229" s="17"/>
      <c r="N8229" s="17"/>
      <c r="O8229" s="17"/>
      <c r="P8229" s="17" t="b">
        <f>IFERROR(__xludf.DUMMYFUNCTION("""COMPUTED_VALUE"""),FALSE)</f>
        <v>0</v>
      </c>
      <c r="Q8229" s="20" t="str">
        <f>IFERROR(__xludf.DUMMYFUNCTION("""COMPUTED_VALUE"""),"")</f>
        <v/>
      </c>
      <c r="R8229" s="21" t="str">
        <f>IFERROR(__xludf.DUMMYFUNCTION("""COMPUTED_VALUE"""),"https://drive.google.com/file/d/1obexY1QgswhoKPHV3as6DD_BQUca4r_V/view?usp=drivesdk")</f>
        <v>https://drive.google.com/file/d/1obexY1QgswhoKPHV3as6DD_BQUca4r_V/view?usp=drivesdk</v>
      </c>
    </row>
    <row r="8230">
      <c r="A8230" s="15">
        <f>IFERROR(__xludf.DUMMYFUNCTION("""COMPUTED_VALUE"""),45233.0)</f>
        <v>45233</v>
      </c>
      <c r="B8230" s="16" t="str">
        <f>IFERROR(__xludf.DUMMYFUNCTION("""COMPUTED_VALUE"""),"Alvaro Chacón")</f>
        <v>Alvaro Chacón</v>
      </c>
      <c r="C8230" s="15" t="str">
        <f>IFERROR(__xludf.DUMMYFUNCTION("""COMPUTED_VALUE"""),"BOGOTÁ")</f>
        <v>BOGOTÁ</v>
      </c>
      <c r="D8230" s="15" t="str">
        <f>IFERROR(__xludf.DUMMYFUNCTION("""COMPUTED_VALUE"""),"ENVIGADO")</f>
        <v>ENVIGADO</v>
      </c>
      <c r="E8230" s="15" t="str">
        <f>IFERROR(__xludf.DUMMYFUNCTION("""COMPUTED_VALUE"""),"JUAN CAMILO CORDOBA")</f>
        <v>JUAN CAMILO CORDOBA</v>
      </c>
      <c r="F8230" s="17" t="str">
        <f>IFERROR(__xludf.DUMMYFUNCTION("""COMPUTED_VALUE"""),"Carrera 5 # 86-58 / Bogota Casa")</f>
        <v>Carrera 5 # 86-58 / Bogota Casa</v>
      </c>
      <c r="G8230" s="15" t="str">
        <f>IFERROR(__xludf.DUMMYFUNCTION("""COMPUTED_VALUE"""),"Alicia Maldonado")</f>
        <v>Alicia Maldonado</v>
      </c>
      <c r="H8230" s="16">
        <f>IFERROR(__xludf.DUMMYFUNCTION("""COMPUTED_VALUE"""),16950.0)</f>
        <v>16950</v>
      </c>
      <c r="I8230" s="17"/>
      <c r="J8230" s="17"/>
      <c r="K8230" s="17"/>
      <c r="L8230" s="17">
        <f>IFERROR(__xludf.DUMMYFUNCTION("""COMPUTED_VALUE"""),3.208309047E9)</f>
        <v>3208309047</v>
      </c>
      <c r="M8230" s="17"/>
      <c r="N8230" s="17"/>
      <c r="O8230" s="17"/>
      <c r="P8230" s="17" t="b">
        <f>IFERROR(__xludf.DUMMYFUNCTION("""COMPUTED_VALUE"""),FALSE)</f>
        <v>0</v>
      </c>
      <c r="Q8230" s="20" t="str">
        <f>IFERROR(__xludf.DUMMYFUNCTION("""COMPUTED_VALUE"""),"")</f>
        <v/>
      </c>
      <c r="R8230" s="21" t="str">
        <f>IFERROR(__xludf.DUMMYFUNCTION("""COMPUTED_VALUE"""),"https://drive.google.com/file/d/10aGUnPz4rlUGHy8diSsf0cPjm0J_WHQG/view?usp=drivesdk")</f>
        <v>https://drive.google.com/file/d/10aGUnPz4rlUGHy8diSsf0cPjm0J_WHQG/view?usp=drivesdk</v>
      </c>
    </row>
    <row r="8231">
      <c r="A8231" s="15">
        <f>IFERROR(__xludf.DUMMYFUNCTION("""COMPUTED_VALUE"""),45233.0)</f>
        <v>45233</v>
      </c>
      <c r="B8231" s="16" t="str">
        <f>IFERROR(__xludf.DUMMYFUNCTION("""COMPUTED_VALUE"""),"Alvaro Chacón")</f>
        <v>Alvaro Chacón</v>
      </c>
      <c r="C8231" s="15" t="str">
        <f>IFERROR(__xludf.DUMMYFUNCTION("""COMPUTED_VALUE"""),"BOGOTÁ")</f>
        <v>BOGOTÁ</v>
      </c>
      <c r="D8231" s="15" t="str">
        <f>IFERROR(__xludf.DUMMYFUNCTION("""COMPUTED_VALUE"""),"ENVIGADO")</f>
        <v>ENVIGADO</v>
      </c>
      <c r="E8231" s="15" t="str">
        <f>IFERROR(__xludf.DUMMYFUNCTION("""COMPUTED_VALUE"""),"JUAN CAMILO CORDOBA")</f>
        <v>JUAN CAMILO CORDOBA</v>
      </c>
      <c r="F8231" s="17" t="str">
        <f>IFERROR(__xludf.DUMMYFUNCTION("""COMPUTED_VALUE"""),"Carrera 56 A # 148-35 / torre 2 apto 602")</f>
        <v>Carrera 56 A # 148-35 / torre 2 apto 602</v>
      </c>
      <c r="G8231" s="15" t="str">
        <f>IFERROR(__xludf.DUMMYFUNCTION("""COMPUTED_VALUE"""),"Mariagabriela Alterio")</f>
        <v>Mariagabriela Alterio</v>
      </c>
      <c r="H8231" s="16">
        <f>IFERROR(__xludf.DUMMYFUNCTION("""COMPUTED_VALUE"""),16948.0)</f>
        <v>16948</v>
      </c>
      <c r="I8231" s="17"/>
      <c r="J8231" s="17"/>
      <c r="K8231" s="17"/>
      <c r="L8231" s="17">
        <f>IFERROR(__xludf.DUMMYFUNCTION("""COMPUTED_VALUE"""),3.165280629E9)</f>
        <v>3165280629</v>
      </c>
      <c r="M8231" s="17"/>
      <c r="N8231" s="17"/>
      <c r="O8231" s="17"/>
      <c r="P8231" s="17" t="b">
        <f>IFERROR(__xludf.DUMMYFUNCTION("""COMPUTED_VALUE"""),FALSE)</f>
        <v>0</v>
      </c>
      <c r="Q8231" s="20" t="str">
        <f>IFERROR(__xludf.DUMMYFUNCTION("""COMPUTED_VALUE"""),"")</f>
        <v/>
      </c>
      <c r="R8231" s="21" t="str">
        <f>IFERROR(__xludf.DUMMYFUNCTION("""COMPUTED_VALUE"""),"https://drive.google.com/file/d/1rd4W2soXXm6UyMrMl_F1pU2Bb0OARxaQ/view?usp=drivesdk")</f>
        <v>https://drive.google.com/file/d/1rd4W2soXXm6UyMrMl_F1pU2Bb0OARxaQ/view?usp=drivesdk</v>
      </c>
    </row>
    <row r="8232">
      <c r="A8232" s="15">
        <f>IFERROR(__xludf.DUMMYFUNCTION("""COMPUTED_VALUE"""),45233.0)</f>
        <v>45233</v>
      </c>
      <c r="B8232" s="16" t="str">
        <f>IFERROR(__xludf.DUMMYFUNCTION("""COMPUTED_VALUE"""),"Alvaro Chacón")</f>
        <v>Alvaro Chacón</v>
      </c>
      <c r="C8232" s="15" t="str">
        <f>IFERROR(__xludf.DUMMYFUNCTION("""COMPUTED_VALUE"""),"BOGOTÁ")</f>
        <v>BOGOTÁ</v>
      </c>
      <c r="D8232" s="15" t="str">
        <f>IFERROR(__xludf.DUMMYFUNCTION("""COMPUTED_VALUE"""),"ENVIGADO")</f>
        <v>ENVIGADO</v>
      </c>
      <c r="E8232" s="15" t="str">
        <f>IFERROR(__xludf.DUMMYFUNCTION("""COMPUTED_VALUE"""),"JUAN CAMILO CORDOBA")</f>
        <v>JUAN CAMILO CORDOBA</v>
      </c>
      <c r="F8232" s="17" t="str">
        <f>IFERROR(__xludf.DUMMYFUNCTION("""COMPUTED_VALUE"""),"Carrera 7B # 146-90 / Local Bonsante")</f>
        <v>Carrera 7B # 146-90 / Local Bonsante</v>
      </c>
      <c r="G8232" s="15" t="str">
        <f>IFERROR(__xludf.DUMMYFUNCTION("""COMPUTED_VALUE"""),"Bonsante")</f>
        <v>Bonsante</v>
      </c>
      <c r="H8232" s="16">
        <f>IFERROR(__xludf.DUMMYFUNCTION("""COMPUTED_VALUE"""),16949.0)</f>
        <v>16949</v>
      </c>
      <c r="I8232" s="17"/>
      <c r="J8232" s="17"/>
      <c r="K8232" s="17"/>
      <c r="L8232" s="17">
        <f>IFERROR(__xludf.DUMMYFUNCTION("""COMPUTED_VALUE"""),3.174291837E9)</f>
        <v>3174291837</v>
      </c>
      <c r="M8232" s="17"/>
      <c r="N8232" s="17"/>
      <c r="O8232" s="17"/>
      <c r="P8232" s="17" t="b">
        <f>IFERROR(__xludf.DUMMYFUNCTION("""COMPUTED_VALUE"""),FALSE)</f>
        <v>0</v>
      </c>
      <c r="Q8232" s="20" t="str">
        <f>IFERROR(__xludf.DUMMYFUNCTION("""COMPUTED_VALUE"""),"")</f>
        <v/>
      </c>
      <c r="R8232" s="21" t="str">
        <f>IFERROR(__xludf.DUMMYFUNCTION("""COMPUTED_VALUE"""),"https://drive.google.com/file/d/1QkLMdeVGxU0ug_4EaHTjkUeEfPQZ39Sm/view?usp=drivesdk")</f>
        <v>https://drive.google.com/file/d/1QkLMdeVGxU0ug_4EaHTjkUeEfPQZ39Sm/view?usp=drivesdk</v>
      </c>
    </row>
    <row r="8233">
      <c r="A8233" s="15">
        <f>IFERROR(__xludf.DUMMYFUNCTION("""COMPUTED_VALUE"""),45233.0)</f>
        <v>45233</v>
      </c>
      <c r="B8233" s="16" t="str">
        <f>IFERROR(__xludf.DUMMYFUNCTION("""COMPUTED_VALUE"""),"Alvaro Chacón")</f>
        <v>Alvaro Chacón</v>
      </c>
      <c r="C8233" s="15" t="str">
        <f>IFERROR(__xludf.DUMMYFUNCTION("""COMPUTED_VALUE"""),"BOGOTÁ")</f>
        <v>BOGOTÁ</v>
      </c>
      <c r="D8233" s="15" t="str">
        <f>IFERROR(__xludf.DUMMYFUNCTION("""COMPUTED_VALUE"""),"MEDELLÍN")</f>
        <v>MEDELLÍN</v>
      </c>
      <c r="E8233" s="15" t="str">
        <f>IFERROR(__xludf.DUMMYFUNCTION("""COMPUTED_VALUE"""),"AREPAS LA MARY")</f>
        <v>AREPAS LA MARY</v>
      </c>
      <c r="F8233" s="17" t="str">
        <f>IFERROR(__xludf.DUMMYFUNCTION("""COMPUTED_VALUE"""),"calle 102 no 17-66 apto 403 / BOGOTA")</f>
        <v>calle 102 no 17-66 apto 403 / BOGOTA</v>
      </c>
      <c r="G8233" s="15" t="str">
        <f>IFERROR(__xludf.DUMMYFUNCTION("""COMPUTED_VALUE"""),"MARIA PAULA NIÑO")</f>
        <v>MARIA PAULA NIÑO</v>
      </c>
      <c r="H8233" s="16">
        <f>IFERROR(__xludf.DUMMYFUNCTION("""COMPUTED_VALUE"""),16938.0)</f>
        <v>16938</v>
      </c>
      <c r="I8233" s="18">
        <f>IFERROR(__xludf.DUMMYFUNCTION("""COMPUTED_VALUE"""),89.0)</f>
        <v>89</v>
      </c>
      <c r="J8233" s="18">
        <f>IFERROR(__xludf.DUMMYFUNCTION("""COMPUTED_VALUE"""),1.0)</f>
        <v>1</v>
      </c>
      <c r="K8233" s="18">
        <f>IFERROR(__xludf.DUMMYFUNCTION("""COMPUTED_VALUE"""),10.0)</f>
        <v>10</v>
      </c>
      <c r="L8233" s="17">
        <f>IFERROR(__xludf.DUMMYFUNCTION("""COMPUTED_VALUE"""),3.213711326E9)</f>
        <v>3213711326</v>
      </c>
      <c r="M8233" s="17"/>
      <c r="N8233" s="17"/>
      <c r="O8233" s="17"/>
      <c r="P8233" s="17" t="b">
        <f>IFERROR(__xludf.DUMMYFUNCTION("""COMPUTED_VALUE"""),FALSE)</f>
        <v>0</v>
      </c>
      <c r="Q8233" s="20" t="str">
        <f>IFERROR(__xludf.DUMMYFUNCTION("""COMPUTED_VALUE"""),"")</f>
        <v/>
      </c>
      <c r="R8233" s="21" t="str">
        <f>IFERROR(__xludf.DUMMYFUNCTION("""COMPUTED_VALUE"""),"https://drive.google.com/file/d/1TcT5ETU1Q1u-aknfO6DweI99dU1LlNIz/view?usp=drivesdk")</f>
        <v>https://drive.google.com/file/d/1TcT5ETU1Q1u-aknfO6DweI99dU1LlNIz/view?usp=drivesdk</v>
      </c>
    </row>
    <row r="8234">
      <c r="A8234" s="15">
        <f>IFERROR(__xludf.DUMMYFUNCTION("""COMPUTED_VALUE"""),45233.0)</f>
        <v>45233</v>
      </c>
      <c r="B8234" s="16" t="str">
        <f>IFERROR(__xludf.DUMMYFUNCTION("""COMPUTED_VALUE"""),"Alvaro Chacón")</f>
        <v>Alvaro Chacón</v>
      </c>
      <c r="C8234" s="15" t="str">
        <f>IFERROR(__xludf.DUMMYFUNCTION("""COMPUTED_VALUE"""),"BOGOTÁ")</f>
        <v>BOGOTÁ</v>
      </c>
      <c r="D8234" s="15" t="str">
        <f>IFERROR(__xludf.DUMMYFUNCTION("""COMPUTED_VALUE"""),"MEDELLÍN")</f>
        <v>MEDELLÍN</v>
      </c>
      <c r="E8234" s="15" t="str">
        <f>IFERROR(__xludf.DUMMYFUNCTION("""COMPUTED_VALUE"""),"AREPAS LA MARY")</f>
        <v>AREPAS LA MARY</v>
      </c>
      <c r="F8234" s="17" t="str">
        <f>IFERROR(__xludf.DUMMYFUNCTION("""COMPUTED_VALUE"""),"calle 110 14 a 15 APTO 403")</f>
        <v>calle 110 14 a 15 APTO 403</v>
      </c>
      <c r="G8234" s="15" t="str">
        <f>IFERROR(__xludf.DUMMYFUNCTION("""COMPUTED_VALUE"""),"KARLA NAVARRO")</f>
        <v>KARLA NAVARRO</v>
      </c>
      <c r="H8234" s="16">
        <f>IFERROR(__xludf.DUMMYFUNCTION("""COMPUTED_VALUE"""),16934.0)</f>
        <v>16934</v>
      </c>
      <c r="I8234" s="18">
        <f>IFERROR(__xludf.DUMMYFUNCTION("""COMPUTED_VALUE"""),10.0)</f>
        <v>10</v>
      </c>
      <c r="J8234" s="18">
        <f>IFERROR(__xludf.DUMMYFUNCTION("""COMPUTED_VALUE"""),30.0)</f>
        <v>30</v>
      </c>
      <c r="K8234" s="18">
        <f>IFERROR(__xludf.DUMMYFUNCTION("""COMPUTED_VALUE"""),100.0)</f>
        <v>100</v>
      </c>
      <c r="L8234" s="17">
        <f>IFERROR(__xludf.DUMMYFUNCTION("""COMPUTED_VALUE"""),3.212353041E9)</f>
        <v>3212353041</v>
      </c>
      <c r="M8234" s="17"/>
      <c r="N8234" s="17"/>
      <c r="O8234" s="17"/>
      <c r="P8234" s="17" t="b">
        <f>IFERROR(__xludf.DUMMYFUNCTION("""COMPUTED_VALUE"""),FALSE)</f>
        <v>0</v>
      </c>
      <c r="Q8234" s="20" t="str">
        <f>IFERROR(__xludf.DUMMYFUNCTION("""COMPUTED_VALUE"""),"")</f>
        <v/>
      </c>
      <c r="R8234" s="21" t="str">
        <f>IFERROR(__xludf.DUMMYFUNCTION("""COMPUTED_VALUE"""),"https://drive.google.com/file/d/1NxVXqFGg7wLn9rPd4NAOfzBZ8m2Rnk_4/view?usp=drivesdk")</f>
        <v>https://drive.google.com/file/d/1NxVXqFGg7wLn9rPd4NAOfzBZ8m2Rnk_4/view?usp=drivesdk</v>
      </c>
    </row>
    <row r="8235">
      <c r="A8235" s="15">
        <f>IFERROR(__xludf.DUMMYFUNCTION("""COMPUTED_VALUE"""),45233.0)</f>
        <v>45233</v>
      </c>
      <c r="B8235" s="16" t="str">
        <f>IFERROR(__xludf.DUMMYFUNCTION("""COMPUTED_VALUE"""),"Alvaro Chacón")</f>
        <v>Alvaro Chacón</v>
      </c>
      <c r="C8235" s="15" t="str">
        <f>IFERROR(__xludf.DUMMYFUNCTION("""COMPUTED_VALUE"""),"BOGOTÁ")</f>
        <v>BOGOTÁ</v>
      </c>
      <c r="D8235" s="15" t="str">
        <f>IFERROR(__xludf.DUMMYFUNCTION("""COMPUTED_VALUE"""),"MEDELLÍN")</f>
        <v>MEDELLÍN</v>
      </c>
      <c r="E8235" s="15" t="str">
        <f>IFERROR(__xludf.DUMMYFUNCTION("""COMPUTED_VALUE"""),"AREPAS LA MARY")</f>
        <v>AREPAS LA MARY</v>
      </c>
      <c r="F8235" s="17" t="str">
        <f>IFERROR(__xludf.DUMMYFUNCTION("""COMPUTED_VALUE"""),"calle 110 14 a 15 APTO 403")</f>
        <v>calle 110 14 a 15 APTO 403</v>
      </c>
      <c r="G8235" s="15" t="str">
        <f>IFERROR(__xludf.DUMMYFUNCTION("""COMPUTED_VALUE"""),"KARLA NAVARRO")</f>
        <v>KARLA NAVARRO</v>
      </c>
      <c r="H8235" s="16">
        <f>IFERROR(__xludf.DUMMYFUNCTION("""COMPUTED_VALUE"""),16935.0)</f>
        <v>16935</v>
      </c>
      <c r="I8235" s="18">
        <f>IFERROR(__xludf.DUMMYFUNCTION("""COMPUTED_VALUE"""),89.0)</f>
        <v>89</v>
      </c>
      <c r="J8235" s="18">
        <f>IFERROR(__xludf.DUMMYFUNCTION("""COMPUTED_VALUE"""),1.0)</f>
        <v>1</v>
      </c>
      <c r="K8235" s="18">
        <f>IFERROR(__xludf.DUMMYFUNCTION("""COMPUTED_VALUE"""),10.0)</f>
        <v>10</v>
      </c>
      <c r="L8235" s="17">
        <f>IFERROR(__xludf.DUMMYFUNCTION("""COMPUTED_VALUE"""),3.212353041E9)</f>
        <v>3212353041</v>
      </c>
      <c r="M8235" s="17"/>
      <c r="N8235" s="17"/>
      <c r="O8235" s="17"/>
      <c r="P8235" s="17" t="b">
        <f>IFERROR(__xludf.DUMMYFUNCTION("""COMPUTED_VALUE"""),FALSE)</f>
        <v>0</v>
      </c>
      <c r="Q8235" s="20" t="str">
        <f>IFERROR(__xludf.DUMMYFUNCTION("""COMPUTED_VALUE"""),"")</f>
        <v/>
      </c>
      <c r="R8235" s="22" t="str">
        <f>IFERROR(__xludf.DUMMYFUNCTION("""COMPUTED_VALUE"""),"")</f>
        <v/>
      </c>
    </row>
    <row r="8236">
      <c r="A8236" s="15">
        <f>IFERROR(__xludf.DUMMYFUNCTION("""COMPUTED_VALUE"""),45233.0)</f>
        <v>45233</v>
      </c>
      <c r="B8236" s="16" t="str">
        <f>IFERROR(__xludf.DUMMYFUNCTION("""COMPUTED_VALUE"""),"Alvaro Chacón")</f>
        <v>Alvaro Chacón</v>
      </c>
      <c r="C8236" s="15" t="str">
        <f>IFERROR(__xludf.DUMMYFUNCTION("""COMPUTED_VALUE"""),"BOGOTÁ")</f>
        <v>BOGOTÁ</v>
      </c>
      <c r="D8236" s="15" t="str">
        <f>IFERROR(__xludf.DUMMYFUNCTION("""COMPUTED_VALUE"""),"MEDELLÍN")</f>
        <v>MEDELLÍN</v>
      </c>
      <c r="E8236" s="15" t="str">
        <f>IFERROR(__xludf.DUMMYFUNCTION("""COMPUTED_VALUE"""),"AREPAS LA MARY")</f>
        <v>AREPAS LA MARY</v>
      </c>
      <c r="F8236" s="17" t="str">
        <f>IFERROR(__xludf.DUMMYFUNCTION("""COMPUTED_VALUE"""),"Cra 17a # 105-43 / BOGOTA")</f>
        <v>Cra 17a # 105-43 / BOGOTA</v>
      </c>
      <c r="G8236" s="15" t="str">
        <f>IFERROR(__xludf.DUMMYFUNCTION("""COMPUTED_VALUE"""),"LINA TORRES")</f>
        <v>LINA TORRES</v>
      </c>
      <c r="H8236" s="16">
        <f>IFERROR(__xludf.DUMMYFUNCTION("""COMPUTED_VALUE"""),16936.0)</f>
        <v>16936</v>
      </c>
      <c r="I8236" s="18">
        <f>IFERROR(__xludf.DUMMYFUNCTION("""COMPUTED_VALUE"""),89.0)</f>
        <v>89</v>
      </c>
      <c r="J8236" s="18">
        <f>IFERROR(__xludf.DUMMYFUNCTION("""COMPUTED_VALUE"""),1.0)</f>
        <v>1</v>
      </c>
      <c r="K8236" s="18">
        <f>IFERROR(__xludf.DUMMYFUNCTION("""COMPUTED_VALUE"""),10.0)</f>
        <v>10</v>
      </c>
      <c r="L8236" s="17">
        <f>IFERROR(__xludf.DUMMYFUNCTION("""COMPUTED_VALUE"""),3.004437378E9)</f>
        <v>3004437378</v>
      </c>
      <c r="M8236" s="17"/>
      <c r="N8236" s="17"/>
      <c r="O8236" s="17"/>
      <c r="P8236" s="17" t="b">
        <f>IFERROR(__xludf.DUMMYFUNCTION("""COMPUTED_VALUE"""),FALSE)</f>
        <v>0</v>
      </c>
      <c r="Q8236" s="20" t="str">
        <f>IFERROR(__xludf.DUMMYFUNCTION("""COMPUTED_VALUE"""),"")</f>
        <v/>
      </c>
      <c r="R8236" s="22" t="str">
        <f>IFERROR(__xludf.DUMMYFUNCTION("""COMPUTED_VALUE"""),"")</f>
        <v/>
      </c>
    </row>
    <row r="8237">
      <c r="A8237" s="15">
        <f>IFERROR(__xludf.DUMMYFUNCTION("""COMPUTED_VALUE"""),45233.0)</f>
        <v>45233</v>
      </c>
      <c r="B8237" s="16" t="str">
        <f>IFERROR(__xludf.DUMMYFUNCTION("""COMPUTED_VALUE"""),"Alvaro Chacón")</f>
        <v>Alvaro Chacón</v>
      </c>
      <c r="C8237" s="15" t="str">
        <f>IFERROR(__xludf.DUMMYFUNCTION("""COMPUTED_VALUE"""),"BOGOTÁ")</f>
        <v>BOGOTÁ</v>
      </c>
      <c r="D8237" s="15" t="str">
        <f>IFERROR(__xludf.DUMMYFUNCTION("""COMPUTED_VALUE"""),"MEDELLÍN")</f>
        <v>MEDELLÍN</v>
      </c>
      <c r="E8237" s="15" t="str">
        <f>IFERROR(__xludf.DUMMYFUNCTION("""COMPUTED_VALUE"""),"Baby Chef")</f>
        <v>Baby Chef</v>
      </c>
      <c r="F8237" s="17" t="str">
        <f>IFERROR(__xludf.DUMMYFUNCTION("""COMPUTED_VALUE"""),"Calle 127 D # 19-18 Apto 402 / . / .")</f>
        <v>Calle 127 D # 19-18 Apto 402 / . / .</v>
      </c>
      <c r="G8237" s="15" t="str">
        <f>IFERROR(__xludf.DUMMYFUNCTION("""COMPUTED_VALUE"""),"Sandra Escobar Castilla")</f>
        <v>Sandra Escobar Castilla</v>
      </c>
      <c r="H8237" s="16">
        <f>IFERROR(__xludf.DUMMYFUNCTION("""COMPUTED_VALUE"""),16941.0)</f>
        <v>16941</v>
      </c>
      <c r="I8237" s="18">
        <f>IFERROR(__xludf.DUMMYFUNCTION("""COMPUTED_VALUE"""),8.0)</f>
        <v>8</v>
      </c>
      <c r="J8237" s="18">
        <f>IFERROR(__xludf.DUMMYFUNCTION("""COMPUTED_VALUE"""),23.0)</f>
        <v>23</v>
      </c>
      <c r="K8237" s="18">
        <f>IFERROR(__xludf.DUMMYFUNCTION("""COMPUTED_VALUE"""),29.0)</f>
        <v>29</v>
      </c>
      <c r="L8237" s="17">
        <f>IFERROR(__xludf.DUMMYFUNCTION("""COMPUTED_VALUE"""),3.166989618E9)</f>
        <v>3166989618</v>
      </c>
      <c r="M8237" s="17"/>
      <c r="N8237" s="17"/>
      <c r="O8237" s="17"/>
      <c r="P8237" s="17" t="b">
        <f>IFERROR(__xludf.DUMMYFUNCTION("""COMPUTED_VALUE"""),FALSE)</f>
        <v>0</v>
      </c>
      <c r="Q8237" s="20" t="str">
        <f>IFERROR(__xludf.DUMMYFUNCTION("""COMPUTED_VALUE"""),"")</f>
        <v/>
      </c>
      <c r="R8237" s="21" t="str">
        <f>IFERROR(__xludf.DUMMYFUNCTION("""COMPUTED_VALUE"""),"https://drive.google.com/file/d/1dllDmfA2iA1YckQEyCpgXHuX7shDUrdS/view?usp=drivesdk")</f>
        <v>https://drive.google.com/file/d/1dllDmfA2iA1YckQEyCpgXHuX7shDUrdS/view?usp=drivesdk</v>
      </c>
    </row>
    <row r="8238">
      <c r="A8238" s="15">
        <f>IFERROR(__xludf.DUMMYFUNCTION("""COMPUTED_VALUE"""),45233.0)</f>
        <v>45233</v>
      </c>
      <c r="B8238" s="16" t="str">
        <f>IFERROR(__xludf.DUMMYFUNCTION("""COMPUTED_VALUE"""),"Alvaro Chacón")</f>
        <v>Alvaro Chacón</v>
      </c>
      <c r="C8238" s="15" t="str">
        <f>IFERROR(__xludf.DUMMYFUNCTION("""COMPUTED_VALUE"""),"BOGOTÁ")</f>
        <v>BOGOTÁ</v>
      </c>
      <c r="D8238" s="15" t="str">
        <f>IFERROR(__xludf.DUMMYFUNCTION("""COMPUTED_VALUE"""),"MEDELLÍN")</f>
        <v>MEDELLÍN</v>
      </c>
      <c r="E8238" s="15" t="str">
        <f>IFERROR(__xludf.DUMMYFUNCTION("""COMPUTED_VALUE"""),"Baby Chef")</f>
        <v>Baby Chef</v>
      </c>
      <c r="F8238" s="17" t="str">
        <f>IFERROR(__xludf.DUMMYFUNCTION("""COMPUTED_VALUE"""),"Carrera 123a # 77b -85 apartamentos Tinguazul Bloque 2 apto 208  Barrio Gran Granada  / . / .")</f>
        <v>Carrera 123a # 77b -85 apartamentos Tinguazul Bloque 2 apto 208  Barrio Gran Granada  / . / .</v>
      </c>
      <c r="G8238" s="15" t="str">
        <f>IFERROR(__xludf.DUMMYFUNCTION("""COMPUTED_VALUE"""),"Lizzete Sanchez")</f>
        <v>Lizzete Sanchez</v>
      </c>
      <c r="H8238" s="16">
        <f>IFERROR(__xludf.DUMMYFUNCTION("""COMPUTED_VALUE"""),16940.0)</f>
        <v>16940</v>
      </c>
      <c r="I8238" s="18">
        <f>IFERROR(__xludf.DUMMYFUNCTION("""COMPUTED_VALUE"""),8.0)</f>
        <v>8</v>
      </c>
      <c r="J8238" s="18">
        <f>IFERROR(__xludf.DUMMYFUNCTION("""COMPUTED_VALUE"""),19.0)</f>
        <v>19</v>
      </c>
      <c r="K8238" s="18">
        <f>IFERROR(__xludf.DUMMYFUNCTION("""COMPUTED_VALUE"""),28.0)</f>
        <v>28</v>
      </c>
      <c r="L8238" s="17">
        <f>IFERROR(__xludf.DUMMYFUNCTION("""COMPUTED_VALUE"""),3.213610633E9)</f>
        <v>3213610633</v>
      </c>
      <c r="M8238" s="17"/>
      <c r="N8238" s="17"/>
      <c r="O8238" s="17"/>
      <c r="P8238" s="17" t="b">
        <f>IFERROR(__xludf.DUMMYFUNCTION("""COMPUTED_VALUE"""),FALSE)</f>
        <v>0</v>
      </c>
      <c r="Q8238" s="20" t="str">
        <f>IFERROR(__xludf.DUMMYFUNCTION("""COMPUTED_VALUE"""),"")</f>
        <v/>
      </c>
      <c r="R8238" s="21" t="str">
        <f>IFERROR(__xludf.DUMMYFUNCTION("""COMPUTED_VALUE"""),"https://drive.google.com/file/d/1_GARksB0OwfuZRUk1EenXWIdSvL3480e/view?usp=drivesdk")</f>
        <v>https://drive.google.com/file/d/1_GARksB0OwfuZRUk1EenXWIdSvL3480e/view?usp=drivesdk</v>
      </c>
    </row>
    <row r="8239">
      <c r="A8239" s="15">
        <f>IFERROR(__xludf.DUMMYFUNCTION("""COMPUTED_VALUE"""),45233.0)</f>
        <v>45233</v>
      </c>
      <c r="B8239" s="16" t="str">
        <f>IFERROR(__xludf.DUMMYFUNCTION("""COMPUTED_VALUE"""),"Alvaro Chacón")</f>
        <v>Alvaro Chacón</v>
      </c>
      <c r="C8239" s="15" t="str">
        <f>IFERROR(__xludf.DUMMYFUNCTION("""COMPUTED_VALUE"""),"BOGOTÁ")</f>
        <v>BOGOTÁ</v>
      </c>
      <c r="D8239" s="15" t="str">
        <f>IFERROR(__xludf.DUMMYFUNCTION("""COMPUTED_VALUE"""),"MEDELLÍN")</f>
        <v>MEDELLÍN</v>
      </c>
      <c r="E8239" s="15" t="str">
        <f>IFERROR(__xludf.DUMMYFUNCTION("""COMPUTED_VALUE"""),"De la Granja")</f>
        <v>De la Granja</v>
      </c>
      <c r="F8239" s="17" t="str">
        <f>IFERROR(__xludf.DUMMYFUNCTION("""COMPUTED_VALUE"""),"Carrera 7 # 155C - 30  / piso 38 North point torre E / Adriana Farfan - gerente de categoría")</f>
        <v>Carrera 7 # 155C - 30  / piso 38 North point torre E / Adriana Farfan - gerente de categoría</v>
      </c>
      <c r="G8239" s="15" t="str">
        <f>IFERROR(__xludf.DUMMYFUNCTION("""COMPUTED_VALUE"""),"Adriana Farfan")</f>
        <v>Adriana Farfan</v>
      </c>
      <c r="H8239" s="16">
        <f>IFERROR(__xludf.DUMMYFUNCTION("""COMPUTED_VALUE"""),16930.0)</f>
        <v>16930</v>
      </c>
      <c r="I8239" s="18">
        <f>IFERROR(__xludf.DUMMYFUNCTION("""COMPUTED_VALUE"""),16.0)</f>
        <v>16</v>
      </c>
      <c r="J8239" s="18">
        <f>IFERROR(__xludf.DUMMYFUNCTION("""COMPUTED_VALUE"""),25.0)</f>
        <v>25</v>
      </c>
      <c r="K8239" s="18">
        <f>IFERROR(__xludf.DUMMYFUNCTION("""COMPUTED_VALUE"""),27.0)</f>
        <v>27</v>
      </c>
      <c r="L8239" s="17">
        <f>IFERROR(__xludf.DUMMYFUNCTION("""COMPUTED_VALUE"""),3.185893324E9)</f>
        <v>3185893324</v>
      </c>
      <c r="M8239" s="17"/>
      <c r="N8239" s="17"/>
      <c r="O8239" s="17"/>
      <c r="P8239" s="17" t="b">
        <f>IFERROR(__xludf.DUMMYFUNCTION("""COMPUTED_VALUE"""),FALSE)</f>
        <v>0</v>
      </c>
      <c r="Q8239" s="20" t="str">
        <f>IFERROR(__xludf.DUMMYFUNCTION("""COMPUTED_VALUE"""),"")</f>
        <v/>
      </c>
      <c r="R8239" s="21" t="str">
        <f>IFERROR(__xludf.DUMMYFUNCTION("""COMPUTED_VALUE"""),"https://drive.google.com/file/d/11qPw6jWk3PSCuWRhFFBRtcrTy2iec3Kn/view?usp=drivesdk")</f>
        <v>https://drive.google.com/file/d/11qPw6jWk3PSCuWRhFFBRtcrTy2iec3Kn/view?usp=drivesdk</v>
      </c>
    </row>
    <row r="8240">
      <c r="A8240" s="15">
        <f>IFERROR(__xludf.DUMMYFUNCTION("""COMPUTED_VALUE"""),45233.0)</f>
        <v>45233</v>
      </c>
      <c r="B8240" s="16" t="str">
        <f>IFERROR(__xludf.DUMMYFUNCTION("""COMPUTED_VALUE"""),"Alvaro Chacón")</f>
        <v>Alvaro Chacón</v>
      </c>
      <c r="C8240" s="15" t="str">
        <f>IFERROR(__xludf.DUMMYFUNCTION("""COMPUTED_VALUE"""),"BOGOTÁ")</f>
        <v>BOGOTÁ</v>
      </c>
      <c r="D8240" s="15" t="str">
        <f>IFERROR(__xludf.DUMMYFUNCTION("""COMPUTED_VALUE"""),"MEDELLÍN")</f>
        <v>MEDELLÍN</v>
      </c>
      <c r="E8240" s="15" t="str">
        <f>IFERROR(__xludf.DUMMYFUNCTION("""COMPUTED_VALUE"""),"Felicidad Bakery")</f>
        <v>Felicidad Bakery</v>
      </c>
      <c r="F8240" s="17" t="str">
        <f>IFERROR(__xludf.DUMMYFUNCTION("""COMPUTED_VALUE"""),"Calle 92 #15-62 / Edificio centro Chicó Local 103")</f>
        <v>Calle 92 #15-62 / Edificio centro Chicó Local 103</v>
      </c>
      <c r="G8240" s="15" t="str">
        <f>IFERROR(__xludf.DUMMYFUNCTION("""COMPUTED_VALUE"""),"Felicidad Bogota")</f>
        <v>Felicidad Bogota</v>
      </c>
      <c r="H8240" s="16">
        <f>IFERROR(__xludf.DUMMYFUNCTION("""COMPUTED_VALUE"""),16943.0)</f>
        <v>16943</v>
      </c>
      <c r="I8240" s="17"/>
      <c r="J8240" s="17"/>
      <c r="K8240" s="17"/>
      <c r="L8240" s="17">
        <f>IFERROR(__xludf.DUMMYFUNCTION("""COMPUTED_VALUE"""),3.013527163E9)</f>
        <v>3013527163</v>
      </c>
      <c r="M8240" s="17"/>
      <c r="N8240" s="17"/>
      <c r="O8240" s="17"/>
      <c r="P8240" s="17" t="b">
        <f>IFERROR(__xludf.DUMMYFUNCTION("""COMPUTED_VALUE"""),FALSE)</f>
        <v>0</v>
      </c>
      <c r="Q8240" s="20" t="str">
        <f>IFERROR(__xludf.DUMMYFUNCTION("""COMPUTED_VALUE"""),"")</f>
        <v/>
      </c>
      <c r="R8240" s="21" t="str">
        <f>IFERROR(__xludf.DUMMYFUNCTION("""COMPUTED_VALUE"""),"https://drive.google.com/file/d/1QBMsNyOZi4G4q0xd7jNMxFBaHJwPz-2V/view?usp=drivesdk")</f>
        <v>https://drive.google.com/file/d/1QBMsNyOZi4G4q0xd7jNMxFBaHJwPz-2V/view?usp=drivesdk</v>
      </c>
    </row>
    <row r="8241">
      <c r="A8241" s="15">
        <f>IFERROR(__xludf.DUMMYFUNCTION("""COMPUTED_VALUE"""),45233.0)</f>
        <v>45233</v>
      </c>
      <c r="B8241" s="16" t="str">
        <f>IFERROR(__xludf.DUMMYFUNCTION("""COMPUTED_VALUE"""),"Alvaro Chacón")</f>
        <v>Alvaro Chacón</v>
      </c>
      <c r="C8241" s="15" t="str">
        <f>IFERROR(__xludf.DUMMYFUNCTION("""COMPUTED_VALUE"""),"BOGOTÁ")</f>
        <v>BOGOTÁ</v>
      </c>
      <c r="D8241" s="15" t="str">
        <f>IFERROR(__xludf.DUMMYFUNCTION("""COMPUTED_VALUE"""),"MEDELLÍN")</f>
        <v>MEDELLÍN</v>
      </c>
      <c r="E8241" s="15" t="str">
        <f>IFERROR(__xludf.DUMMYFUNCTION("""COMPUTED_VALUE"""),"Lácteos El Pino SAS")</f>
        <v>Lácteos El Pino SAS</v>
      </c>
      <c r="F8241" s="17" t="str">
        <f>IFERROR(__xludf.DUMMYFUNCTION("""COMPUTED_VALUE"""),"CRA 13 # 118-15 / LOCAL CASA GRIS- PRIMER PISO")</f>
        <v>CRA 13 # 118-15 / LOCAL CASA GRIS- PRIMER PISO</v>
      </c>
      <c r="G8241" s="15" t="str">
        <f>IFERROR(__xludf.DUMMYFUNCTION("""COMPUTED_VALUE"""),"MARCELA POSADA")</f>
        <v>MARCELA POSADA</v>
      </c>
      <c r="H8241" s="16">
        <f>IFERROR(__xludf.DUMMYFUNCTION("""COMPUTED_VALUE"""),16931.0)</f>
        <v>16931</v>
      </c>
      <c r="I8241" s="17"/>
      <c r="J8241" s="17"/>
      <c r="K8241" s="17"/>
      <c r="L8241" s="17">
        <f>IFERROR(__xludf.DUMMYFUNCTION("""COMPUTED_VALUE"""),3.207349904E9)</f>
        <v>3207349904</v>
      </c>
      <c r="M8241" s="17"/>
      <c r="N8241" s="17"/>
      <c r="O8241" s="17"/>
      <c r="P8241" s="17" t="b">
        <f>IFERROR(__xludf.DUMMYFUNCTION("""COMPUTED_VALUE"""),FALSE)</f>
        <v>0</v>
      </c>
      <c r="Q8241" s="20" t="str">
        <f>IFERROR(__xludf.DUMMYFUNCTION("""COMPUTED_VALUE"""),"")</f>
        <v/>
      </c>
      <c r="R8241" s="21" t="str">
        <f>IFERROR(__xludf.DUMMYFUNCTION("""COMPUTED_VALUE"""),"https://drive.google.com/file/d/11zanViVhWwqgdhc3TiDlHx01GyTTOwPy/view?usp=drivesdk")</f>
        <v>https://drive.google.com/file/d/11zanViVhWwqgdhc3TiDlHx01GyTTOwPy/view?usp=drivesdk</v>
      </c>
    </row>
    <row r="8242">
      <c r="A8242" s="17" t="str">
        <f>IFERROR(__xludf.DUMMYFUNCTION("""COMPUTED_VALUE"""),"")</f>
        <v/>
      </c>
      <c r="B8242" s="17" t="str">
        <f>IFERROR(__xludf.DUMMYFUNCTION("""COMPUTED_VALUE"""),"")</f>
        <v/>
      </c>
      <c r="C8242" s="17" t="str">
        <f>IFERROR(__xludf.DUMMYFUNCTION("""COMPUTED_VALUE"""),"")</f>
        <v/>
      </c>
      <c r="D8242" s="17" t="str">
        <f>IFERROR(__xludf.DUMMYFUNCTION("""COMPUTED_VALUE"""),"")</f>
        <v/>
      </c>
      <c r="E8242" s="17" t="str">
        <f>IFERROR(__xludf.DUMMYFUNCTION("""COMPUTED_VALUE"""),"")</f>
        <v/>
      </c>
      <c r="F8242" s="17" t="str">
        <f>IFERROR(__xludf.DUMMYFUNCTION("""COMPUTED_VALUE"""),"")</f>
        <v/>
      </c>
      <c r="G8242" s="17" t="str">
        <f>IFERROR(__xludf.DUMMYFUNCTION("""COMPUTED_VALUE"""),"")</f>
        <v/>
      </c>
      <c r="H8242" s="17" t="str">
        <f>IFERROR(__xludf.DUMMYFUNCTION("""COMPUTED_VALUE"""),"")</f>
        <v/>
      </c>
      <c r="I8242" s="17" t="str">
        <f>IFERROR(__xludf.DUMMYFUNCTION("""COMPUTED_VALUE"""),"")</f>
        <v/>
      </c>
      <c r="J8242" s="17" t="str">
        <f>IFERROR(__xludf.DUMMYFUNCTION("""COMPUTED_VALUE"""),"")</f>
        <v/>
      </c>
      <c r="K8242" s="17" t="str">
        <f>IFERROR(__xludf.DUMMYFUNCTION("""COMPUTED_VALUE"""),"")</f>
        <v/>
      </c>
      <c r="L8242" s="17" t="str">
        <f>IFERROR(__xludf.DUMMYFUNCTION("""COMPUTED_VALUE"""),"")</f>
        <v/>
      </c>
      <c r="M8242" s="17" t="str">
        <f>IFERROR(__xludf.DUMMYFUNCTION("""COMPUTED_VALUE"""),"")</f>
        <v/>
      </c>
      <c r="N8242" s="17" t="str">
        <f>IFERROR(__xludf.DUMMYFUNCTION("""COMPUTED_VALUE"""),"")</f>
        <v/>
      </c>
      <c r="O8242" s="17" t="str">
        <f>IFERROR(__xludf.DUMMYFUNCTION("""COMPUTED_VALUE"""),"")</f>
        <v/>
      </c>
      <c r="P8242" s="17" t="str">
        <f>IFERROR(__xludf.DUMMYFUNCTION("""COMPUTED_VALUE"""),"")</f>
        <v/>
      </c>
      <c r="Q8242" s="17" t="str">
        <f>IFERROR(__xludf.DUMMYFUNCTION("""COMPUTED_VALUE"""),"")</f>
        <v/>
      </c>
      <c r="R8242" s="17" t="str">
        <f>IFERROR(__xludf.DUMMYFUNCTION("""COMPUTED_VALUE"""),"")</f>
        <v/>
      </c>
    </row>
    <row r="8243">
      <c r="A8243" s="15">
        <f>IFERROR(__xludf.DUMMYFUNCTION("""COMPUTED_VALUE"""),45233.0)</f>
        <v>45233</v>
      </c>
      <c r="B8243" s="16" t="str">
        <f>IFERROR(__xludf.DUMMYFUNCTION("""COMPUTED_VALUE"""),"Daniel José sandoval gonzalez")</f>
        <v>Daniel José sandoval gonzalez</v>
      </c>
      <c r="C8243" s="15" t="str">
        <f>IFERROR(__xludf.DUMMYFUNCTION("""COMPUTED_VALUE"""),"BARRANQUILLA")</f>
        <v>BARRANQUILLA</v>
      </c>
      <c r="D8243" s="15" t="str">
        <f>IFERROR(__xludf.DUMMYFUNCTION("""COMPUTED_VALUE"""),"ENVIGADO")</f>
        <v>ENVIGADO</v>
      </c>
      <c r="E8243" s="15" t="str">
        <f>IFERROR(__xludf.DUMMYFUNCTION("""COMPUTED_VALUE"""),"JUAN CAMILO CORDOBA")</f>
        <v>JUAN CAMILO CORDOBA</v>
      </c>
      <c r="F8243" s="17" t="str">
        <f>IFERROR(__xludf.DUMMYFUNCTION("""COMPUTED_VALUE"""),"Carrera 53 80 284 / LC 8")</f>
        <v>Carrera 53 80 284 / LC 8</v>
      </c>
      <c r="G8243" s="15" t="str">
        <f>IFERROR(__xludf.DUMMYFUNCTION("""COMPUTED_VALUE"""),"Corpofit")</f>
        <v>Corpofit</v>
      </c>
      <c r="H8243" s="16">
        <f>IFERROR(__xludf.DUMMYFUNCTION("""COMPUTED_VALUE"""),16893.0)</f>
        <v>16893</v>
      </c>
      <c r="I8243" s="17"/>
      <c r="J8243" s="17"/>
      <c r="K8243" s="17"/>
      <c r="L8243" s="17">
        <f>IFERROR(__xludf.DUMMYFUNCTION("""COMPUTED_VALUE"""),3.162889776E9)</f>
        <v>3162889776</v>
      </c>
      <c r="M8243" s="17"/>
      <c r="N8243" s="17"/>
      <c r="O8243" s="17"/>
      <c r="P8243" s="17" t="b">
        <f>IFERROR(__xludf.DUMMYFUNCTION("""COMPUTED_VALUE"""),FALSE)</f>
        <v>0</v>
      </c>
      <c r="Q8243" s="20" t="str">
        <f>IFERROR(__xludf.DUMMYFUNCTION("""COMPUTED_VALUE"""),"")</f>
        <v/>
      </c>
      <c r="R8243" s="21" t="str">
        <f>IFERROR(__xludf.DUMMYFUNCTION("""COMPUTED_VALUE"""),"https://drive.google.com/file/d/14ABLWxlnDt2jaWyL0czQT6WXv8zReUXu/view?usp=drivesdk")</f>
        <v>https://drive.google.com/file/d/14ABLWxlnDt2jaWyL0czQT6WXv8zReUXu/view?usp=drivesdk</v>
      </c>
    </row>
    <row r="8244">
      <c r="A8244" s="15">
        <f>IFERROR(__xludf.DUMMYFUNCTION("""COMPUTED_VALUE"""),45233.0)</f>
        <v>45233</v>
      </c>
      <c r="B8244" s="16" t="str">
        <f>IFERROR(__xludf.DUMMYFUNCTION("""COMPUTED_VALUE"""),"Daniel José sandoval gonzalez")</f>
        <v>Daniel José sandoval gonzalez</v>
      </c>
      <c r="C8244" s="15" t="str">
        <f>IFERROR(__xludf.DUMMYFUNCTION("""COMPUTED_VALUE"""),"BARRANQUILLA")</f>
        <v>BARRANQUILLA</v>
      </c>
      <c r="D8244" s="15" t="str">
        <f>IFERROR(__xludf.DUMMYFUNCTION("""COMPUTED_VALUE"""),"ENVIGADO")</f>
        <v>ENVIGADO</v>
      </c>
      <c r="E8244" s="15" t="str">
        <f>IFERROR(__xludf.DUMMYFUNCTION("""COMPUTED_VALUE"""),"JUAN CAMILO CORDOBA")</f>
        <v>JUAN CAMILO CORDOBA</v>
      </c>
      <c r="F8244" s="17" t="str">
        <f>IFERROR(__xludf.DUMMYFUNCTION("""COMPUTED_VALUE"""),"Carrera 74 #76-74")</f>
        <v>Carrera 74 #76-74</v>
      </c>
      <c r="G8244" s="15" t="str">
        <f>IFERROR(__xludf.DUMMYFUNCTION("""COMPUTED_VALUE"""),"Fit Hub")</f>
        <v>Fit Hub</v>
      </c>
      <c r="H8244" s="16">
        <f>IFERROR(__xludf.DUMMYFUNCTION("""COMPUTED_VALUE"""),16896.0)</f>
        <v>16896</v>
      </c>
      <c r="I8244" s="17"/>
      <c r="J8244" s="17"/>
      <c r="K8244" s="17"/>
      <c r="L8244" s="17">
        <f>IFERROR(__xludf.DUMMYFUNCTION("""COMPUTED_VALUE"""),3.157039547E9)</f>
        <v>3157039547</v>
      </c>
      <c r="M8244" s="17"/>
      <c r="N8244" s="17"/>
      <c r="O8244" s="17"/>
      <c r="P8244" s="17" t="b">
        <f>IFERROR(__xludf.DUMMYFUNCTION("""COMPUTED_VALUE"""),FALSE)</f>
        <v>0</v>
      </c>
      <c r="Q8244" s="20" t="str">
        <f>IFERROR(__xludf.DUMMYFUNCTION("""COMPUTED_VALUE"""),"")</f>
        <v/>
      </c>
      <c r="R8244" s="21" t="str">
        <f>IFERROR(__xludf.DUMMYFUNCTION("""COMPUTED_VALUE"""),"https://drive.google.com/file/d/1shA6ZRD8bHEen8FzLrpHl37y9tj4C-lE/view?usp=drivesdk")</f>
        <v>https://drive.google.com/file/d/1shA6ZRD8bHEen8FzLrpHl37y9tj4C-lE/view?usp=drivesdk</v>
      </c>
    </row>
    <row r="8245">
      <c r="A8245" s="15">
        <f>IFERROR(__xludf.DUMMYFUNCTION("""COMPUTED_VALUE"""),45233.0)</f>
        <v>45233</v>
      </c>
      <c r="B8245" s="16" t="str">
        <f>IFERROR(__xludf.DUMMYFUNCTION("""COMPUTED_VALUE"""),"Daniel José sandoval gonzalez")</f>
        <v>Daniel José sandoval gonzalez</v>
      </c>
      <c r="C8245" s="15" t="str">
        <f>IFERROR(__xludf.DUMMYFUNCTION("""COMPUTED_VALUE"""),"BARRANQUILLA")</f>
        <v>BARRANQUILLA</v>
      </c>
      <c r="D8245" s="15" t="str">
        <f>IFERROR(__xludf.DUMMYFUNCTION("""COMPUTED_VALUE"""),"MEDELLÍN")</f>
        <v>MEDELLÍN</v>
      </c>
      <c r="E8245" s="15" t="str">
        <f>IFERROR(__xludf.DUMMYFUNCTION("""COMPUTED_VALUE"""),"Baby Chef")</f>
        <v>Baby Chef</v>
      </c>
      <c r="F8245" s="17" t="str">
        <f>IFERROR(__xludf.DUMMYFUNCTION("""COMPUTED_VALUE"""),"Calle 1a #24-86 apto 708 torre 2 Edif. Lanikai. Detrás de TUGO Portal de Genovés  Puerto Colombia  / . / .")</f>
        <v>Calle 1a #24-86 apto 708 torre 2 Edif. Lanikai. Detrás de TUGO Portal de Genovés  Puerto Colombia  / . / .</v>
      </c>
      <c r="G8245" s="15" t="str">
        <f>IFERROR(__xludf.DUMMYFUNCTION("""COMPUTED_VALUE"""),"Karen Vanessa Vecino M")</f>
        <v>Karen Vanessa Vecino M</v>
      </c>
      <c r="H8245" s="16">
        <f>IFERROR(__xludf.DUMMYFUNCTION("""COMPUTED_VALUE"""),16878.0)</f>
        <v>16878</v>
      </c>
      <c r="I8245" s="18">
        <f>IFERROR(__xludf.DUMMYFUNCTION("""COMPUTED_VALUE"""),13.0)</f>
        <v>13</v>
      </c>
      <c r="J8245" s="18">
        <f>IFERROR(__xludf.DUMMYFUNCTION("""COMPUTED_VALUE"""),21.0)</f>
        <v>21</v>
      </c>
      <c r="K8245" s="18">
        <f>IFERROR(__xludf.DUMMYFUNCTION("""COMPUTED_VALUE"""),31.0)</f>
        <v>31</v>
      </c>
      <c r="L8245" s="17">
        <f>IFERROR(__xludf.DUMMYFUNCTION("""COMPUTED_VALUE"""),3.104128656E9)</f>
        <v>3104128656</v>
      </c>
      <c r="M8245" s="17"/>
      <c r="N8245" s="17"/>
      <c r="O8245" s="17"/>
      <c r="P8245" s="17" t="b">
        <f>IFERROR(__xludf.DUMMYFUNCTION("""COMPUTED_VALUE"""),FALSE)</f>
        <v>0</v>
      </c>
      <c r="Q8245" s="20" t="str">
        <f>IFERROR(__xludf.DUMMYFUNCTION("""COMPUTED_VALUE"""),"")</f>
        <v/>
      </c>
      <c r="R8245" s="21" t="str">
        <f>IFERROR(__xludf.DUMMYFUNCTION("""COMPUTED_VALUE"""),"https://drive.google.com/file/d/1fdmaVLwyRuBdz_cD-xH3XQ4MhQIORTPy/view?usp=drivesdk")</f>
        <v>https://drive.google.com/file/d/1fdmaVLwyRuBdz_cD-xH3XQ4MhQIORTPy/view?usp=drivesdk</v>
      </c>
    </row>
    <row r="8246">
      <c r="A8246" s="15">
        <f>IFERROR(__xludf.DUMMYFUNCTION("""COMPUTED_VALUE"""),45233.0)</f>
        <v>45233</v>
      </c>
      <c r="B8246" s="16" t="str">
        <f>IFERROR(__xludf.DUMMYFUNCTION("""COMPUTED_VALUE"""),"Daniel José sandoval gonzalez")</f>
        <v>Daniel José sandoval gonzalez</v>
      </c>
      <c r="C8246" s="15" t="str">
        <f>IFERROR(__xludf.DUMMYFUNCTION("""COMPUTED_VALUE"""),"BARRANQUILLA")</f>
        <v>BARRANQUILLA</v>
      </c>
      <c r="D8246" s="15" t="str">
        <f>IFERROR(__xludf.DUMMYFUNCTION("""COMPUTED_VALUE"""),"MEDELLÍN")</f>
        <v>MEDELLÍN</v>
      </c>
      <c r="E8246" s="15" t="str">
        <f>IFERROR(__xludf.DUMMYFUNCTION("""COMPUTED_VALUE"""),"Baby Chef")</f>
        <v>Baby Chef</v>
      </c>
      <c r="F8246" s="17" t="str">
        <f>IFERROR(__xludf.DUMMYFUNCTION("""COMPUTED_VALUE"""),"Calle 76#54-54 Edificio Embajador / . / .")</f>
        <v>Calle 76#54-54 Edificio Embajador / . / .</v>
      </c>
      <c r="G8246" s="15" t="str">
        <f>IFERROR(__xludf.DUMMYFUNCTION("""COMPUTED_VALUE"""),"Monica Perez")</f>
        <v>Monica Perez</v>
      </c>
      <c r="H8246" s="16">
        <f>IFERROR(__xludf.DUMMYFUNCTION("""COMPUTED_VALUE"""),16881.0)</f>
        <v>16881</v>
      </c>
      <c r="I8246" s="18">
        <f>IFERROR(__xludf.DUMMYFUNCTION("""COMPUTED_VALUE"""),9.0)</f>
        <v>9</v>
      </c>
      <c r="J8246" s="18">
        <f>IFERROR(__xludf.DUMMYFUNCTION("""COMPUTED_VALUE"""),22.0)</f>
        <v>22</v>
      </c>
      <c r="K8246" s="18">
        <f>IFERROR(__xludf.DUMMYFUNCTION("""COMPUTED_VALUE"""),33.0)</f>
        <v>33</v>
      </c>
      <c r="L8246" s="17">
        <f>IFERROR(__xludf.DUMMYFUNCTION("""COMPUTED_VALUE"""),3.226861517E9)</f>
        <v>3226861517</v>
      </c>
      <c r="M8246" s="17"/>
      <c r="N8246" s="17"/>
      <c r="O8246" s="17"/>
      <c r="P8246" s="17" t="b">
        <f>IFERROR(__xludf.DUMMYFUNCTION("""COMPUTED_VALUE"""),FALSE)</f>
        <v>0</v>
      </c>
      <c r="Q8246" s="20" t="str">
        <f>IFERROR(__xludf.DUMMYFUNCTION("""COMPUTED_VALUE"""),"")</f>
        <v/>
      </c>
      <c r="R8246" s="21" t="str">
        <f>IFERROR(__xludf.DUMMYFUNCTION("""COMPUTED_VALUE"""),"https://drive.google.com/file/d/1uP-Sq5OK_5XgzYlf9ordWFmvaauSMvpg/view?usp=drivesdk")</f>
        <v>https://drive.google.com/file/d/1uP-Sq5OK_5XgzYlf9ordWFmvaauSMvpg/view?usp=drivesdk</v>
      </c>
    </row>
    <row r="8247">
      <c r="A8247" s="15">
        <f>IFERROR(__xludf.DUMMYFUNCTION("""COMPUTED_VALUE"""),45233.0)</f>
        <v>45233</v>
      </c>
      <c r="B8247" s="16" t="str">
        <f>IFERROR(__xludf.DUMMYFUNCTION("""COMPUTED_VALUE"""),"Daniel José sandoval gonzalez")</f>
        <v>Daniel José sandoval gonzalez</v>
      </c>
      <c r="C8247" s="15" t="str">
        <f>IFERROR(__xludf.DUMMYFUNCTION("""COMPUTED_VALUE"""),"BARRANQUILLA")</f>
        <v>BARRANQUILLA</v>
      </c>
      <c r="D8247" s="15" t="str">
        <f>IFERROR(__xludf.DUMMYFUNCTION("""COMPUTED_VALUE"""),"MEDELLÍN")</f>
        <v>MEDELLÍN</v>
      </c>
      <c r="E8247" s="15" t="str">
        <f>IFERROR(__xludf.DUMMYFUNCTION("""COMPUTED_VALUE"""),"Baby Chef")</f>
        <v>Baby Chef</v>
      </c>
      <c r="F8247" s="17" t="str">
        <f>IFERROR(__xludf.DUMMYFUNCTION("""COMPUTED_VALUE"""),"Kra 26 no 3a - 161 portal de villa campestre casa 63 / . / .")</f>
        <v>Kra 26 no 3a - 161 portal de villa campestre casa 63 / . / .</v>
      </c>
      <c r="G8247" s="15" t="str">
        <f>IFERROR(__xludf.DUMMYFUNCTION("""COMPUTED_VALUE"""),"Erika Carvajal Escobar")</f>
        <v>Erika Carvajal Escobar</v>
      </c>
      <c r="H8247" s="16">
        <f>IFERROR(__xludf.DUMMYFUNCTION("""COMPUTED_VALUE"""),16880.0)</f>
        <v>16880</v>
      </c>
      <c r="I8247" s="18">
        <f>IFERROR(__xludf.DUMMYFUNCTION("""COMPUTED_VALUE"""),8.0)</f>
        <v>8</v>
      </c>
      <c r="J8247" s="18">
        <f>IFERROR(__xludf.DUMMYFUNCTION("""COMPUTED_VALUE"""),21.0)</f>
        <v>21</v>
      </c>
      <c r="K8247" s="18">
        <f>IFERROR(__xludf.DUMMYFUNCTION("""COMPUTED_VALUE"""),24.0)</f>
        <v>24</v>
      </c>
      <c r="L8247" s="17">
        <f>IFERROR(__xludf.DUMMYFUNCTION("""COMPUTED_VALUE"""),3.004608052E9)</f>
        <v>3004608052</v>
      </c>
      <c r="M8247" s="17"/>
      <c r="N8247" s="17"/>
      <c r="O8247" s="17"/>
      <c r="P8247" s="17" t="b">
        <f>IFERROR(__xludf.DUMMYFUNCTION("""COMPUTED_VALUE"""),FALSE)</f>
        <v>0</v>
      </c>
      <c r="Q8247" s="20" t="str">
        <f>IFERROR(__xludf.DUMMYFUNCTION("""COMPUTED_VALUE"""),"")</f>
        <v/>
      </c>
      <c r="R8247" s="21" t="str">
        <f>IFERROR(__xludf.DUMMYFUNCTION("""COMPUTED_VALUE"""),"https://drive.google.com/file/d/1YPHdwU_Zy7D2ddCV80tBcvxiW8826ufT/view?usp=drivesdk")</f>
        <v>https://drive.google.com/file/d/1YPHdwU_Zy7D2ddCV80tBcvxiW8826ufT/view?usp=drivesdk</v>
      </c>
    </row>
    <row r="8248">
      <c r="A8248" s="15">
        <f>IFERROR(__xludf.DUMMYFUNCTION("""COMPUTED_VALUE"""),45233.0)</f>
        <v>45233</v>
      </c>
      <c r="B8248" s="16" t="str">
        <f>IFERROR(__xludf.DUMMYFUNCTION("""COMPUTED_VALUE"""),"Daniel José sandoval gonzalez")</f>
        <v>Daniel José sandoval gonzalez</v>
      </c>
      <c r="C8248" s="15" t="str">
        <f>IFERROR(__xludf.DUMMYFUNCTION("""COMPUTED_VALUE"""),"MEDELLÍN")</f>
        <v>MEDELLÍN</v>
      </c>
      <c r="D8248" s="15" t="str">
        <f>IFERROR(__xludf.DUMMYFUNCTION("""COMPUTED_VALUE"""),"BOGOTÁ")</f>
        <v>BOGOTÁ</v>
      </c>
      <c r="E8248" s="15" t="str">
        <f>IFERROR(__xludf.DUMMYFUNCTION("""COMPUTED_VALUE"""),"Top Spun")</f>
        <v>Top Spun</v>
      </c>
      <c r="F8248" s="17" t="str">
        <f>IFERROR(__xludf.DUMMYFUNCTION("""COMPUTED_VALUE"""),"calle 5 sur n 22 290 / aguas del bosque  / apto 601")</f>
        <v>calle 5 sur n 22 290 / aguas del bosque  / apto 601</v>
      </c>
      <c r="G8248" s="15" t="str">
        <f>IFERROR(__xludf.DUMMYFUNCTION("""COMPUTED_VALUE"""),"Susana Perez")</f>
        <v>Susana Perez</v>
      </c>
      <c r="H8248" s="16">
        <f>IFERROR(__xludf.DUMMYFUNCTION("""COMPUTED_VALUE"""),16925.0)</f>
        <v>16925</v>
      </c>
      <c r="I8248" s="18">
        <f>IFERROR(__xludf.DUMMYFUNCTION("""COMPUTED_VALUE"""),20.0)</f>
        <v>20</v>
      </c>
      <c r="J8248" s="18">
        <f>IFERROR(__xludf.DUMMYFUNCTION("""COMPUTED_VALUE"""),10.0)</f>
        <v>10</v>
      </c>
      <c r="K8248" s="18">
        <f>IFERROR(__xludf.DUMMYFUNCTION("""COMPUTED_VALUE"""),40.0)</f>
        <v>40</v>
      </c>
      <c r="L8248" s="17">
        <f>IFERROR(__xludf.DUMMYFUNCTION("""COMPUTED_VALUE"""),3.15557878E9)</f>
        <v>3155578780</v>
      </c>
      <c r="M8248" s="17"/>
      <c r="N8248" s="17"/>
      <c r="O8248" s="17"/>
      <c r="P8248" s="17" t="b">
        <f>IFERROR(__xludf.DUMMYFUNCTION("""COMPUTED_VALUE"""),FALSE)</f>
        <v>0</v>
      </c>
      <c r="Q8248" s="20" t="str">
        <f>IFERROR(__xludf.DUMMYFUNCTION("""COMPUTED_VALUE"""),"")</f>
        <v/>
      </c>
      <c r="R8248" s="21" t="str">
        <f>IFERROR(__xludf.DUMMYFUNCTION("""COMPUTED_VALUE"""),"https://drive.google.com/file/d/13YpMz--PimRfc1J-T6h1Or9ACcACPo7n/view?usp=drivesdk")</f>
        <v>https://drive.google.com/file/d/13YpMz--PimRfc1J-T6h1Or9ACcACPo7n/view?usp=drivesdk</v>
      </c>
    </row>
    <row r="8249">
      <c r="A8249" s="15">
        <f>IFERROR(__xludf.DUMMYFUNCTION("""COMPUTED_VALUE"""),45233.0)</f>
        <v>45233</v>
      </c>
      <c r="B8249" s="16" t="str">
        <f>IFERROR(__xludf.DUMMYFUNCTION("""COMPUTED_VALUE"""),"Daniel José sandoval gonzalez")</f>
        <v>Daniel José sandoval gonzalez</v>
      </c>
      <c r="C8249" s="15" t="str">
        <f>IFERROR(__xludf.DUMMYFUNCTION("""COMPUTED_VALUE"""),"MEDELLÍN")</f>
        <v>MEDELLÍN</v>
      </c>
      <c r="D8249" s="15" t="str">
        <f>IFERROR(__xludf.DUMMYFUNCTION("""COMPUTED_VALUE"""),"BOGOTÁ")</f>
        <v>BOGOTÁ</v>
      </c>
      <c r="E8249" s="15" t="str">
        <f>IFERROR(__xludf.DUMMYFUNCTION("""COMPUTED_VALUE"""),"Top Spun")</f>
        <v>Top Spun</v>
      </c>
      <c r="F8249" s="17" t="str">
        <f>IFERROR(__xludf.DUMMYFUNCTION("""COMPUTED_VALUE"""),"cra 29e # 11sur - 110 / apartment 1605  / Medell´n")</f>
        <v>cra 29e # 11sur - 110 / apartment 1605  / Medell´n</v>
      </c>
      <c r="G8249" s="15" t="str">
        <f>IFERROR(__xludf.DUMMYFUNCTION("""COMPUTED_VALUE"""),"Marcela Fontalvo")</f>
        <v>Marcela Fontalvo</v>
      </c>
      <c r="H8249" s="16">
        <f>IFERROR(__xludf.DUMMYFUNCTION("""COMPUTED_VALUE"""),16926.0)</f>
        <v>16926</v>
      </c>
      <c r="I8249" s="18">
        <f>IFERROR(__xludf.DUMMYFUNCTION("""COMPUTED_VALUE"""),20.0)</f>
        <v>20</v>
      </c>
      <c r="J8249" s="18">
        <f>IFERROR(__xludf.DUMMYFUNCTION("""COMPUTED_VALUE"""),10.0)</f>
        <v>10</v>
      </c>
      <c r="K8249" s="18">
        <f>IFERROR(__xludf.DUMMYFUNCTION("""COMPUTED_VALUE"""),40.0)</f>
        <v>40</v>
      </c>
      <c r="L8249" s="17">
        <f>IFERROR(__xludf.DUMMYFUNCTION("""COMPUTED_VALUE"""),3.126230219E9)</f>
        <v>3126230219</v>
      </c>
      <c r="M8249" s="17"/>
      <c r="N8249" s="17"/>
      <c r="O8249" s="17"/>
      <c r="P8249" s="17" t="b">
        <f>IFERROR(__xludf.DUMMYFUNCTION("""COMPUTED_VALUE"""),FALSE)</f>
        <v>0</v>
      </c>
      <c r="Q8249" s="20" t="str">
        <f>IFERROR(__xludf.DUMMYFUNCTION("""COMPUTED_VALUE"""),"")</f>
        <v/>
      </c>
      <c r="R8249" s="21" t="str">
        <f>IFERROR(__xludf.DUMMYFUNCTION("""COMPUTED_VALUE"""),"https://drive.google.com/file/d/16KVzz421xMPO2abqYHe3vp2l_fwNpMug/view?usp=drivesdk")</f>
        <v>https://drive.google.com/file/d/16KVzz421xMPO2abqYHe3vp2l_fwNpMug/view?usp=drivesdk</v>
      </c>
    </row>
    <row r="8250">
      <c r="A8250" s="17" t="str">
        <f>IFERROR(__xludf.DUMMYFUNCTION("""COMPUTED_VALUE"""),"")</f>
        <v/>
      </c>
      <c r="B8250" s="17" t="str">
        <f>IFERROR(__xludf.DUMMYFUNCTION("""COMPUTED_VALUE"""),"")</f>
        <v/>
      </c>
      <c r="C8250" s="17" t="str">
        <f>IFERROR(__xludf.DUMMYFUNCTION("""COMPUTED_VALUE"""),"")</f>
        <v/>
      </c>
      <c r="D8250" s="17" t="str">
        <f>IFERROR(__xludf.DUMMYFUNCTION("""COMPUTED_VALUE"""),"")</f>
        <v/>
      </c>
      <c r="E8250" s="17" t="str">
        <f>IFERROR(__xludf.DUMMYFUNCTION("""COMPUTED_VALUE"""),"")</f>
        <v/>
      </c>
      <c r="F8250" s="17" t="str">
        <f>IFERROR(__xludf.DUMMYFUNCTION("""COMPUTED_VALUE"""),"")</f>
        <v/>
      </c>
      <c r="G8250" s="17" t="str">
        <f>IFERROR(__xludf.DUMMYFUNCTION("""COMPUTED_VALUE"""),"")</f>
        <v/>
      </c>
      <c r="H8250" s="17" t="str">
        <f>IFERROR(__xludf.DUMMYFUNCTION("""COMPUTED_VALUE"""),"")</f>
        <v/>
      </c>
      <c r="I8250" s="17" t="str">
        <f>IFERROR(__xludf.DUMMYFUNCTION("""COMPUTED_VALUE"""),"")</f>
        <v/>
      </c>
      <c r="J8250" s="17" t="str">
        <f>IFERROR(__xludf.DUMMYFUNCTION("""COMPUTED_VALUE"""),"")</f>
        <v/>
      </c>
      <c r="K8250" s="17" t="str">
        <f>IFERROR(__xludf.DUMMYFUNCTION("""COMPUTED_VALUE"""),"")</f>
        <v/>
      </c>
      <c r="L8250" s="17" t="str">
        <f>IFERROR(__xludf.DUMMYFUNCTION("""COMPUTED_VALUE"""),"")</f>
        <v/>
      </c>
      <c r="M8250" s="17" t="str">
        <f>IFERROR(__xludf.DUMMYFUNCTION("""COMPUTED_VALUE"""),"")</f>
        <v/>
      </c>
      <c r="N8250" s="17" t="str">
        <f>IFERROR(__xludf.DUMMYFUNCTION("""COMPUTED_VALUE"""),"")</f>
        <v/>
      </c>
      <c r="O8250" s="17" t="str">
        <f>IFERROR(__xludf.DUMMYFUNCTION("""COMPUTED_VALUE"""),"")</f>
        <v/>
      </c>
      <c r="P8250" s="17" t="str">
        <f>IFERROR(__xludf.DUMMYFUNCTION("""COMPUTED_VALUE"""),"")</f>
        <v/>
      </c>
      <c r="Q8250" s="17" t="str">
        <f>IFERROR(__xludf.DUMMYFUNCTION("""COMPUTED_VALUE"""),"")</f>
        <v/>
      </c>
      <c r="R8250" s="17" t="str">
        <f>IFERROR(__xludf.DUMMYFUNCTION("""COMPUTED_VALUE"""),"")</f>
        <v/>
      </c>
    </row>
    <row r="8251">
      <c r="A8251" s="15">
        <f>IFERROR(__xludf.DUMMYFUNCTION("""COMPUTED_VALUE"""),45233.0)</f>
        <v>45233</v>
      </c>
      <c r="B8251" s="16" t="str">
        <f>IFERROR(__xludf.DUMMYFUNCTION("""COMPUTED_VALUE"""),"Envia")</f>
        <v>Envia</v>
      </c>
      <c r="C8251" s="15" t="str">
        <f>IFERROR(__xludf.DUMMYFUNCTION("""COMPUTED_VALUE"""),"ARMENIA")</f>
        <v>ARMENIA</v>
      </c>
      <c r="D8251" s="15" t="str">
        <f>IFERROR(__xludf.DUMMYFUNCTION("""COMPUTED_VALUE"""),"BOGOTÁ")</f>
        <v>BOGOTÁ</v>
      </c>
      <c r="E8251" s="15" t="str">
        <f>IFERROR(__xludf.DUMMYFUNCTION("""COMPUTED_VALUE"""),"Premium Choice")</f>
        <v>Premium Choice</v>
      </c>
      <c r="F8251" s="17" t="str">
        <f>IFERROR(__xludf.DUMMYFUNCTION("""COMPUTED_VALUE"""),"Calle 22 norte # 14 - 31  / Almacén  / Laureles Norte")</f>
        <v>Calle 22 norte # 14 - 31  / Almacén  / Laureles Norte</v>
      </c>
      <c r="G8251" s="15" t="str">
        <f>IFERROR(__xludf.DUMMYFUNCTION("""COMPUTED_VALUE"""),"LAURELES SAS NORTE")</f>
        <v>LAURELES SAS NORTE</v>
      </c>
      <c r="H8251" s="16">
        <f>IFERROR(__xludf.DUMMYFUNCTION("""COMPUTED_VALUE"""),16915.0)</f>
        <v>16915</v>
      </c>
      <c r="I8251" s="18">
        <f>IFERROR(__xludf.DUMMYFUNCTION("""COMPUTED_VALUE"""),55.0)</f>
        <v>55</v>
      </c>
      <c r="J8251" s="18">
        <f>IFERROR(__xludf.DUMMYFUNCTION("""COMPUTED_VALUE"""),45.0)</f>
        <v>45</v>
      </c>
      <c r="K8251" s="18" t="str">
        <f>IFERROR(__xludf.DUMMYFUNCTION("""COMPUTED_VALUE"""),"52.5")</f>
        <v>52.5</v>
      </c>
      <c r="L8251" s="17">
        <f>IFERROR(__xludf.DUMMYFUNCTION("""COMPUTED_VALUE"""),3.746017496471E12)</f>
        <v>3746017496471</v>
      </c>
      <c r="M8251" s="17"/>
      <c r="N8251" s="17"/>
      <c r="O8251" s="17"/>
      <c r="P8251" s="17" t="b">
        <f>IFERROR(__xludf.DUMMYFUNCTION("""COMPUTED_VALUE"""),FALSE)</f>
        <v>0</v>
      </c>
      <c r="Q8251" s="20" t="str">
        <f>IFERROR(__xludf.DUMMYFUNCTION("""COMPUTED_VALUE"""),"")</f>
        <v/>
      </c>
      <c r="R8251" s="21" t="str">
        <f>IFERROR(__xludf.DUMMYFUNCTION("""COMPUTED_VALUE"""),"https://drive.google.com/file/d/1KeGUxtdR4UmfTH3wYhGYvT8mUK0EkJiu/view?usp=drivesdk")</f>
        <v>https://drive.google.com/file/d/1KeGUxtdR4UmfTH3wYhGYvT8mUK0EkJiu/view?usp=drivesdk</v>
      </c>
    </row>
    <row r="8252">
      <c r="A8252" s="15">
        <f>IFERROR(__xludf.DUMMYFUNCTION("""COMPUTED_VALUE"""),45233.0)</f>
        <v>45233</v>
      </c>
      <c r="B8252" s="16" t="str">
        <f>IFERROR(__xludf.DUMMYFUNCTION("""COMPUTED_VALUE"""),"Envia")</f>
        <v>Envia</v>
      </c>
      <c r="C8252" s="15" t="str">
        <f>IFERROR(__xludf.DUMMYFUNCTION("""COMPUTED_VALUE"""),"BOGOTÁ")</f>
        <v>BOGOTÁ</v>
      </c>
      <c r="D8252" s="15" t="str">
        <f>IFERROR(__xludf.DUMMYFUNCTION("""COMPUTED_VALUE"""),"MEDELLÍN")</f>
        <v>MEDELLÍN</v>
      </c>
      <c r="E8252" s="15" t="str">
        <f>IFERROR(__xludf.DUMMYFUNCTION("""COMPUTED_VALUE"""),"Todo Bufala")</f>
        <v>Todo Bufala</v>
      </c>
      <c r="F8252" s="17" t="str">
        <f>IFERROR(__xludf.DUMMYFUNCTION("""COMPUTED_VALUE"""),"Carrera 21 #63C-29 / Empresa")</f>
        <v>Carrera 21 #63C-29 / Empresa</v>
      </c>
      <c r="G8252" s="15" t="str">
        <f>IFERROR(__xludf.DUMMYFUNCTION("""COMPUTED_VALUE"""),"Vermarket global")</f>
        <v>Vermarket global</v>
      </c>
      <c r="H8252" s="16">
        <f>IFERROR(__xludf.DUMMYFUNCTION("""COMPUTED_VALUE"""),16924.0)</f>
        <v>16924</v>
      </c>
      <c r="I8252" s="17"/>
      <c r="J8252" s="17"/>
      <c r="K8252" s="17"/>
      <c r="L8252" s="17">
        <f>IFERROR(__xludf.DUMMYFUNCTION("""COMPUTED_VALUE"""),3.15525235E9)</f>
        <v>3155252350</v>
      </c>
      <c r="M8252" s="17"/>
      <c r="N8252" s="17"/>
      <c r="O8252" s="17"/>
      <c r="P8252" s="17" t="b">
        <f>IFERROR(__xludf.DUMMYFUNCTION("""COMPUTED_VALUE"""),FALSE)</f>
        <v>0</v>
      </c>
      <c r="Q8252" s="20" t="str">
        <f>IFERROR(__xludf.DUMMYFUNCTION("""COMPUTED_VALUE"""),"")</f>
        <v/>
      </c>
      <c r="R8252" s="21" t="str">
        <f>IFERROR(__xludf.DUMMYFUNCTION("""COMPUTED_VALUE"""),"https://drive.google.com/file/d/1Wqi1dm3ztuBRSrlLIBtN-D2ElMBzxwCx/view?usp=drivesdk")</f>
        <v>https://drive.google.com/file/d/1Wqi1dm3ztuBRSrlLIBtN-D2ElMBzxwCx/view?usp=drivesdk</v>
      </c>
    </row>
    <row r="8253">
      <c r="A8253" s="15">
        <f>IFERROR(__xludf.DUMMYFUNCTION("""COMPUTED_VALUE"""),45233.0)</f>
        <v>45233</v>
      </c>
      <c r="B8253" s="16" t="str">
        <f>IFERROR(__xludf.DUMMYFUNCTION("""COMPUTED_VALUE"""),"Envia")</f>
        <v>Envia</v>
      </c>
      <c r="C8253" s="15" t="str">
        <f>IFERROR(__xludf.DUMMYFUNCTION("""COMPUTED_VALUE"""),"BUCARAMANGA")</f>
        <v>BUCARAMANGA</v>
      </c>
      <c r="D8253" s="15" t="str">
        <f>IFERROR(__xludf.DUMMYFUNCTION("""COMPUTED_VALUE"""),"BOGOTÁ")</f>
        <v>BOGOTÁ</v>
      </c>
      <c r="E8253" s="15" t="str">
        <f>IFERROR(__xludf.DUMMYFUNCTION("""COMPUTED_VALUE"""),"Athenas")</f>
        <v>Athenas</v>
      </c>
      <c r="F8253" s="17" t="str">
        <f>IFERROR(__xludf.DUMMYFUNCTION("""COMPUTED_VALUE"""),"Carrera 33 A # 30A - 19 Local 301 / CENTRO COMERCIAL MEGAMALL / BODYTECH CAFETERIA")</f>
        <v>Carrera 33 A # 30A - 19 Local 301 / CENTRO COMERCIAL MEGAMALL / BODYTECH CAFETERIA</v>
      </c>
      <c r="G8253" s="15" t="str">
        <f>IFERROR(__xludf.DUMMYFUNCTION("""COMPUTED_VALUE"""),"NATALY PEÑUELA")</f>
        <v>NATALY PEÑUELA</v>
      </c>
      <c r="H8253" s="16">
        <f>IFERROR(__xludf.DUMMYFUNCTION("""COMPUTED_VALUE"""),16887.0)</f>
        <v>16887</v>
      </c>
      <c r="I8253" s="18">
        <f>IFERROR(__xludf.DUMMYFUNCTION("""COMPUTED_VALUE"""),29.0)</f>
        <v>29</v>
      </c>
      <c r="J8253" s="18">
        <f>IFERROR(__xludf.DUMMYFUNCTION("""COMPUTED_VALUE"""),55.0)</f>
        <v>55</v>
      </c>
      <c r="K8253" s="18">
        <f>IFERROR(__xludf.DUMMYFUNCTION("""COMPUTED_VALUE"""),45.0)</f>
        <v>45</v>
      </c>
      <c r="L8253" s="17">
        <f>IFERROR(__xludf.DUMMYFUNCTION("""COMPUTED_VALUE"""),3.124308335E9)</f>
        <v>3124308335</v>
      </c>
      <c r="M8253" s="17"/>
      <c r="N8253" s="17"/>
      <c r="O8253" s="17"/>
      <c r="P8253" s="17" t="b">
        <f>IFERROR(__xludf.DUMMYFUNCTION("""COMPUTED_VALUE"""),FALSE)</f>
        <v>0</v>
      </c>
      <c r="Q8253" s="20" t="str">
        <f>IFERROR(__xludf.DUMMYFUNCTION("""COMPUTED_VALUE"""),"")</f>
        <v/>
      </c>
      <c r="R8253" s="21" t="str">
        <f>IFERROR(__xludf.DUMMYFUNCTION("""COMPUTED_VALUE"""),"https://drive.google.com/file/d/16HYCjwbZY23a4ROtkRsNCQagspwvpHt8/view?usp=drivesdk")</f>
        <v>https://drive.google.com/file/d/16HYCjwbZY23a4ROtkRsNCQagspwvpHt8/view?usp=drivesdk</v>
      </c>
    </row>
    <row r="8254">
      <c r="A8254" s="15">
        <f>IFERROR(__xludf.DUMMYFUNCTION("""COMPUTED_VALUE"""),45233.0)</f>
        <v>45233</v>
      </c>
      <c r="B8254" s="16" t="str">
        <f>IFERROR(__xludf.DUMMYFUNCTION("""COMPUTED_VALUE"""),"Envia")</f>
        <v>Envia</v>
      </c>
      <c r="C8254" s="15" t="str">
        <f>IFERROR(__xludf.DUMMYFUNCTION("""COMPUTED_VALUE"""),"BUCARAMANGA")</f>
        <v>BUCARAMANGA</v>
      </c>
      <c r="D8254" s="15" t="str">
        <f>IFERROR(__xludf.DUMMYFUNCTION("""COMPUTED_VALUE"""),"BOGOTÁ")</f>
        <v>BOGOTÁ</v>
      </c>
      <c r="E8254" s="15" t="str">
        <f>IFERROR(__xludf.DUMMYFUNCTION("""COMPUTED_VALUE"""),"Athenas")</f>
        <v>Athenas</v>
      </c>
      <c r="F8254" s="17" t="str">
        <f>IFERROR(__xludf.DUMMYFUNCTION("""COMPUTED_VALUE"""),"Transversal 93 #34 99 Centro Comercial Cacique Local 420 / Centro Comercial Cacique Local 420 / BODYTECH CAFETERIA")</f>
        <v>Transversal 93 #34 99 Centro Comercial Cacique Local 420 / Centro Comercial Cacique Local 420 / BODYTECH CAFETERIA</v>
      </c>
      <c r="G8254" s="15" t="str">
        <f>IFERROR(__xludf.DUMMYFUNCTION("""COMPUTED_VALUE"""),"MARLEN CRISTANCHO")</f>
        <v>MARLEN CRISTANCHO</v>
      </c>
      <c r="H8254" s="16">
        <f>IFERROR(__xludf.DUMMYFUNCTION("""COMPUTED_VALUE"""),16886.0)</f>
        <v>16886</v>
      </c>
      <c r="I8254" s="18">
        <f>IFERROR(__xludf.DUMMYFUNCTION("""COMPUTED_VALUE"""),29.0)</f>
        <v>29</v>
      </c>
      <c r="J8254" s="18">
        <f>IFERROR(__xludf.DUMMYFUNCTION("""COMPUTED_VALUE"""),55.0)</f>
        <v>55</v>
      </c>
      <c r="K8254" s="18">
        <f>IFERROR(__xludf.DUMMYFUNCTION("""COMPUTED_VALUE"""),45.0)</f>
        <v>45</v>
      </c>
      <c r="L8254" s="17">
        <f>IFERROR(__xludf.DUMMYFUNCTION("""COMPUTED_VALUE"""),3.053721537E9)</f>
        <v>3053721537</v>
      </c>
      <c r="M8254" s="17"/>
      <c r="N8254" s="17"/>
      <c r="O8254" s="17"/>
      <c r="P8254" s="17" t="b">
        <f>IFERROR(__xludf.DUMMYFUNCTION("""COMPUTED_VALUE"""),FALSE)</f>
        <v>0</v>
      </c>
      <c r="Q8254" s="20" t="str">
        <f>IFERROR(__xludf.DUMMYFUNCTION("""COMPUTED_VALUE"""),"")</f>
        <v/>
      </c>
      <c r="R8254" s="21" t="str">
        <f>IFERROR(__xludf.DUMMYFUNCTION("""COMPUTED_VALUE"""),"https://drive.google.com/file/d/1AsyDKSQyTk1HL0z73V1DhTG75ugelPlU/view?usp=drivesdk")</f>
        <v>https://drive.google.com/file/d/1AsyDKSQyTk1HL0z73V1DhTG75ugelPlU/view?usp=drivesdk</v>
      </c>
    </row>
    <row r="8255">
      <c r="A8255" s="15">
        <f>IFERROR(__xludf.DUMMYFUNCTION("""COMPUTED_VALUE"""),45233.0)</f>
        <v>45233</v>
      </c>
      <c r="B8255" s="16" t="str">
        <f>IFERROR(__xludf.DUMMYFUNCTION("""COMPUTED_VALUE"""),"Envia")</f>
        <v>Envia</v>
      </c>
      <c r="C8255" s="15" t="str">
        <f>IFERROR(__xludf.DUMMYFUNCTION("""COMPUTED_VALUE"""),"CALI")</f>
        <v>CALI</v>
      </c>
      <c r="D8255" s="15" t="str">
        <f>IFERROR(__xludf.DUMMYFUNCTION("""COMPUTED_VALUE"""),"BOGOTÁ")</f>
        <v>BOGOTÁ</v>
      </c>
      <c r="E8255" s="15" t="str">
        <f>IFERROR(__xludf.DUMMYFUNCTION("""COMPUTED_VALUE"""),"Olü")</f>
        <v>Olü</v>
      </c>
      <c r="F8255" s="17" t="str">
        <f>IFERROR(__xludf.DUMMYFUNCTION("""COMPUTED_VALUE"""),"Cra 48 # 11-49 / Tercer Piso / Barrio Departamental")</f>
        <v>Cra 48 # 11-49 / Tercer Piso / Barrio Departamental</v>
      </c>
      <c r="G8255" s="15" t="str">
        <f>IFERROR(__xludf.DUMMYFUNCTION("""COMPUTED_VALUE"""),"Liliana García Obregón")</f>
        <v>Liliana García Obregón</v>
      </c>
      <c r="H8255" s="16">
        <f>IFERROR(__xludf.DUMMYFUNCTION("""COMPUTED_VALUE"""),16922.0)</f>
        <v>16922</v>
      </c>
      <c r="I8255" s="18">
        <f>IFERROR(__xludf.DUMMYFUNCTION("""COMPUTED_VALUE"""),20.0)</f>
        <v>20</v>
      </c>
      <c r="J8255" s="18">
        <f>IFERROR(__xludf.DUMMYFUNCTION("""COMPUTED_VALUE"""),20.0)</f>
        <v>20</v>
      </c>
      <c r="K8255" s="18">
        <f>IFERROR(__xludf.DUMMYFUNCTION("""COMPUTED_VALUE"""),20.0)</f>
        <v>20</v>
      </c>
      <c r="L8255" s="17">
        <f>IFERROR(__xludf.DUMMYFUNCTION("""COMPUTED_VALUE"""),3.166861478E9)</f>
        <v>3166861478</v>
      </c>
      <c r="M8255" s="17"/>
      <c r="N8255" s="17"/>
      <c r="O8255" s="17"/>
      <c r="P8255" s="17" t="b">
        <f>IFERROR(__xludf.DUMMYFUNCTION("""COMPUTED_VALUE"""),TRUE)</f>
        <v>1</v>
      </c>
      <c r="Q8255" s="20">
        <f>IFERROR(__xludf.DUMMYFUNCTION("""COMPUTED_VALUE"""),45237.62925701389)</f>
        <v>45237.62926</v>
      </c>
      <c r="R8255" s="21" t="str">
        <f>IFERROR(__xludf.DUMMYFUNCTION("""COMPUTED_VALUE"""),"https://drive.google.com/file/d/15y_aoCSa9UnT6Dwm-8I1b5dIkGqfzaI8/view?usp=drivesdk")</f>
        <v>https://drive.google.com/file/d/15y_aoCSa9UnT6Dwm-8I1b5dIkGqfzaI8/view?usp=drivesdk</v>
      </c>
    </row>
    <row r="8256">
      <c r="A8256" s="15">
        <f>IFERROR(__xludf.DUMMYFUNCTION("""COMPUTED_VALUE"""),45233.0)</f>
        <v>45233</v>
      </c>
      <c r="B8256" s="16" t="str">
        <f>IFERROR(__xludf.DUMMYFUNCTION("""COMPUTED_VALUE"""),"Envia")</f>
        <v>Envia</v>
      </c>
      <c r="C8256" s="15" t="str">
        <f>IFERROR(__xludf.DUMMYFUNCTION("""COMPUTED_VALUE"""),"CHÍA")</f>
        <v>CHÍA</v>
      </c>
      <c r="D8256" s="15" t="str">
        <f>IFERROR(__xludf.DUMMYFUNCTION("""COMPUTED_VALUE"""),"MEDELLÍN")</f>
        <v>MEDELLÍN</v>
      </c>
      <c r="E8256" s="15" t="str">
        <f>IFERROR(__xludf.DUMMYFUNCTION("""COMPUTED_VALUE"""),"AREPAS LA MARY")</f>
        <v>AREPAS LA MARY</v>
      </c>
      <c r="F8256" s="17" t="str">
        <f>IFERROR(__xludf.DUMMYFUNCTION("""COMPUTED_VALUE"""),"CRA 10 N.1A 50 LOCAL 22 / CC ASTURIAS")</f>
        <v>CRA 10 N.1A 50 LOCAL 22 / CC ASTURIAS</v>
      </c>
      <c r="G8256" s="15" t="str">
        <f>IFERROR(__xludf.DUMMYFUNCTION("""COMPUTED_VALUE"""),"VIVO MARKET CHIA")</f>
        <v>VIVO MARKET CHIA</v>
      </c>
      <c r="H8256" s="16">
        <f>IFERROR(__xludf.DUMMYFUNCTION("""COMPUTED_VALUE"""),16837.0)</f>
        <v>16837</v>
      </c>
      <c r="I8256" s="18">
        <f>IFERROR(__xludf.DUMMYFUNCTION("""COMPUTED_VALUE"""),89.0)</f>
        <v>89</v>
      </c>
      <c r="J8256" s="18">
        <f>IFERROR(__xludf.DUMMYFUNCTION("""COMPUTED_VALUE"""),1.0)</f>
        <v>1</v>
      </c>
      <c r="K8256" s="18">
        <f>IFERROR(__xludf.DUMMYFUNCTION("""COMPUTED_VALUE"""),10.0)</f>
        <v>10</v>
      </c>
      <c r="L8256" s="17">
        <f>IFERROR(__xludf.DUMMYFUNCTION("""COMPUTED_VALUE"""),3.145035171E9)</f>
        <v>3145035171</v>
      </c>
      <c r="M8256" s="17"/>
      <c r="N8256" s="17"/>
      <c r="O8256" s="17"/>
      <c r="P8256" s="17" t="b">
        <f>IFERROR(__xludf.DUMMYFUNCTION("""COMPUTED_VALUE"""),FALSE)</f>
        <v>0</v>
      </c>
      <c r="Q8256" s="20" t="str">
        <f>IFERROR(__xludf.DUMMYFUNCTION("""COMPUTED_VALUE"""),"")</f>
        <v/>
      </c>
      <c r="R8256" s="22" t="str">
        <f>IFERROR(__xludf.DUMMYFUNCTION("""COMPUTED_VALUE"""),"")</f>
        <v/>
      </c>
    </row>
    <row r="8257">
      <c r="A8257" s="15">
        <f>IFERROR(__xludf.DUMMYFUNCTION("""COMPUTED_VALUE"""),45233.0)</f>
        <v>45233</v>
      </c>
      <c r="B8257" s="16" t="str">
        <f>IFERROR(__xludf.DUMMYFUNCTION("""COMPUTED_VALUE"""),"Envia")</f>
        <v>Envia</v>
      </c>
      <c r="C8257" s="15" t="str">
        <f>IFERROR(__xludf.DUMMYFUNCTION("""COMPUTED_VALUE"""),"CÚCUTA")</f>
        <v>CÚCUTA</v>
      </c>
      <c r="D8257" s="15" t="str">
        <f>IFERROR(__xludf.DUMMYFUNCTION("""COMPUTED_VALUE"""),"BOGOTÁ")</f>
        <v>BOGOTÁ</v>
      </c>
      <c r="E8257" s="15" t="str">
        <f>IFERROR(__xludf.DUMMYFUNCTION("""COMPUTED_VALUE"""),"Asociacion Agropecuaria Juana Maria")</f>
        <v>Asociacion Agropecuaria Juana Maria</v>
      </c>
      <c r="F8257" s="17" t="str">
        <f>IFERROR(__xludf.DUMMYFUNCTION("""COMPUTED_VALUE"""),"AV. 2E # 15 A -17 / PISTACHO FIT MARKET BARRIO CAOBOS")</f>
        <v>AV. 2E # 15 A -17 / PISTACHO FIT MARKET BARRIO CAOBOS</v>
      </c>
      <c r="G8257" s="15" t="str">
        <f>IFERROR(__xludf.DUMMYFUNCTION("""COMPUTED_VALUE"""),"DACCY KARINA LOPEZ")</f>
        <v>DACCY KARINA LOPEZ</v>
      </c>
      <c r="H8257" s="16">
        <f>IFERROR(__xludf.DUMMYFUNCTION("""COMPUTED_VALUE"""),16751.0)</f>
        <v>16751</v>
      </c>
      <c r="I8257" s="17"/>
      <c r="J8257" s="17"/>
      <c r="K8257" s="17"/>
      <c r="L8257" s="17">
        <f>IFERROR(__xludf.DUMMYFUNCTION("""COMPUTED_VALUE"""),3.208615379E9)</f>
        <v>3208615379</v>
      </c>
      <c r="M8257" s="17"/>
      <c r="N8257" s="17"/>
      <c r="O8257" s="17"/>
      <c r="P8257" s="17" t="b">
        <f>IFERROR(__xludf.DUMMYFUNCTION("""COMPUTED_VALUE"""),FALSE)</f>
        <v>0</v>
      </c>
      <c r="Q8257" s="20" t="str">
        <f>IFERROR(__xludf.DUMMYFUNCTION("""COMPUTED_VALUE"""),"")</f>
        <v/>
      </c>
      <c r="R8257" s="21" t="str">
        <f>IFERROR(__xludf.DUMMYFUNCTION("""COMPUTED_VALUE"""),"https://drive.google.com/file/d/1VzhuVXdi5rHdOrktqXWebC49r6MxtXDx/view?usp=drivesdk")</f>
        <v>https://drive.google.com/file/d/1VzhuVXdi5rHdOrktqXWebC49r6MxtXDx/view?usp=drivesdk</v>
      </c>
    </row>
    <row r="8258">
      <c r="A8258" s="15">
        <f>IFERROR(__xludf.DUMMYFUNCTION("""COMPUTED_VALUE"""),45233.0)</f>
        <v>45233</v>
      </c>
      <c r="B8258" s="16" t="str">
        <f>IFERROR(__xludf.DUMMYFUNCTION("""COMPUTED_VALUE"""),"Envia")</f>
        <v>Envia</v>
      </c>
      <c r="C8258" s="15" t="str">
        <f>IFERROR(__xludf.DUMMYFUNCTION("""COMPUTED_VALUE"""),"CÚCUTA")</f>
        <v>CÚCUTA</v>
      </c>
      <c r="D8258" s="15" t="str">
        <f>IFERROR(__xludf.DUMMYFUNCTION("""COMPUTED_VALUE"""),"MEDELLÍN")</f>
        <v>MEDELLÍN</v>
      </c>
      <c r="E8258" s="15" t="str">
        <f>IFERROR(__xludf.DUMMYFUNCTION("""COMPUTED_VALUE"""),"Baby Chef")</f>
        <v>Baby Chef</v>
      </c>
      <c r="F8258" s="17" t="str">
        <f>IFERROR(__xludf.DUMMYFUNCTION("""COMPUTED_VALUE"""),"Ave. 16 E # 2 N- 108 Conjunto Parques Residenciales ""A"", Casa B- 11 / . / .")</f>
        <v>Ave. 16 E # 2 N- 108 Conjunto Parques Residenciales "A", Casa B- 11 / . / .</v>
      </c>
      <c r="G8258" s="15" t="str">
        <f>IFERROR(__xludf.DUMMYFUNCTION("""COMPUTED_VALUE"""),"Laura Barrera Echeverry")</f>
        <v>Laura Barrera Echeverry</v>
      </c>
      <c r="H8258" s="16">
        <f>IFERROR(__xludf.DUMMYFUNCTION("""COMPUTED_VALUE"""),16879.0)</f>
        <v>16879</v>
      </c>
      <c r="I8258" s="18">
        <f>IFERROR(__xludf.DUMMYFUNCTION("""COMPUTED_VALUE"""),10.0)</f>
        <v>10</v>
      </c>
      <c r="J8258" s="18">
        <f>IFERROR(__xludf.DUMMYFUNCTION("""COMPUTED_VALUE"""),22.0)</f>
        <v>22</v>
      </c>
      <c r="K8258" s="18">
        <f>IFERROR(__xludf.DUMMYFUNCTION("""COMPUTED_VALUE"""),36.0)</f>
        <v>36</v>
      </c>
      <c r="L8258" s="17">
        <f>IFERROR(__xludf.DUMMYFUNCTION("""COMPUTED_VALUE"""),3.145066129E9)</f>
        <v>3145066129</v>
      </c>
      <c r="M8258" s="17"/>
      <c r="N8258" s="17"/>
      <c r="O8258" s="17"/>
      <c r="P8258" s="17" t="b">
        <f>IFERROR(__xludf.DUMMYFUNCTION("""COMPUTED_VALUE"""),FALSE)</f>
        <v>0</v>
      </c>
      <c r="Q8258" s="20" t="str">
        <f>IFERROR(__xludf.DUMMYFUNCTION("""COMPUTED_VALUE"""),"")</f>
        <v/>
      </c>
      <c r="R8258" s="21" t="str">
        <f>IFERROR(__xludf.DUMMYFUNCTION("""COMPUTED_VALUE"""),"https://drive.google.com/file/d/1FdGLmZ_kw_hGoU5-wIZgdfs4Gkacig_2/view?usp=drivesdk")</f>
        <v>https://drive.google.com/file/d/1FdGLmZ_kw_hGoU5-wIZgdfs4Gkacig_2/view?usp=drivesdk</v>
      </c>
    </row>
    <row r="8259">
      <c r="A8259" s="15">
        <f>IFERROR(__xludf.DUMMYFUNCTION("""COMPUTED_VALUE"""),45233.0)</f>
        <v>45233</v>
      </c>
      <c r="B8259" s="16" t="str">
        <f>IFERROR(__xludf.DUMMYFUNCTION("""COMPUTED_VALUE"""),"Envia")</f>
        <v>Envia</v>
      </c>
      <c r="C8259" s="15" t="str">
        <f>IFERROR(__xludf.DUMMYFUNCTION("""COMPUTED_VALUE"""),"CÚCUTA")</f>
        <v>CÚCUTA</v>
      </c>
      <c r="D8259" s="15" t="str">
        <f>IFERROR(__xludf.DUMMYFUNCTION("""COMPUTED_VALUE"""),"MEDELLÍN")</f>
        <v>MEDELLÍN</v>
      </c>
      <c r="E8259" s="15" t="str">
        <f>IFERROR(__xludf.DUMMYFUNCTION("""COMPUTED_VALUE"""),"Moloso S.A.S")</f>
        <v>Moloso S.A.S</v>
      </c>
      <c r="F8259" s="17" t="str">
        <f>IFERROR(__xludf.DUMMYFUNCTION("""COMPUTED_VALUE"""),"CALLE 7N 18 09 / ASTURIAS TORRES TO A AP 402")</f>
        <v>CALLE 7N 18 09 / ASTURIAS TORRES TO A AP 402</v>
      </c>
      <c r="G8259" s="15" t="str">
        <f>IFERROR(__xludf.DUMMYFUNCTION("""COMPUTED_VALUE"""),"GENESIS VICTORIA MELENDEZ")</f>
        <v>GENESIS VICTORIA MELENDEZ</v>
      </c>
      <c r="H8259" s="16">
        <f>IFERROR(__xludf.DUMMYFUNCTION("""COMPUTED_VALUE"""),16913.0)</f>
        <v>16913</v>
      </c>
      <c r="I8259" s="17"/>
      <c r="J8259" s="17"/>
      <c r="K8259" s="17"/>
      <c r="L8259" s="17"/>
      <c r="M8259" s="17"/>
      <c r="N8259" s="17"/>
      <c r="O8259" s="17"/>
      <c r="P8259" s="17" t="b">
        <f>IFERROR(__xludf.DUMMYFUNCTION("""COMPUTED_VALUE"""),FALSE)</f>
        <v>0</v>
      </c>
      <c r="Q8259" s="20" t="str">
        <f>IFERROR(__xludf.DUMMYFUNCTION("""COMPUTED_VALUE"""),"")</f>
        <v/>
      </c>
      <c r="R8259" s="21" t="str">
        <f>IFERROR(__xludf.DUMMYFUNCTION("""COMPUTED_VALUE"""),"https://drive.google.com/file/d/1lKx-Es03MaFJ4ZmfSKwvv0zzHQKbPgTT/view?usp=drivesdk")</f>
        <v>https://drive.google.com/file/d/1lKx-Es03MaFJ4ZmfSKwvv0zzHQKbPgTT/view?usp=drivesdk</v>
      </c>
    </row>
    <row r="8260">
      <c r="A8260" s="15">
        <f>IFERROR(__xludf.DUMMYFUNCTION("""COMPUTED_VALUE"""),45233.0)</f>
        <v>45233</v>
      </c>
      <c r="B8260" s="16" t="str">
        <f>IFERROR(__xludf.DUMMYFUNCTION("""COMPUTED_VALUE"""),"Envia")</f>
        <v>Envia</v>
      </c>
      <c r="C8260" s="15" t="str">
        <f>IFERROR(__xludf.DUMMYFUNCTION("""COMPUTED_VALUE"""),"FLORIDABLANCA")</f>
        <v>FLORIDABLANCA</v>
      </c>
      <c r="D8260" s="15" t="str">
        <f>IFERROR(__xludf.DUMMYFUNCTION("""COMPUTED_VALUE"""),"BOGOTÁ")</f>
        <v>BOGOTÁ</v>
      </c>
      <c r="E8260" s="15" t="str">
        <f>IFERROR(__xludf.DUMMYFUNCTION("""COMPUTED_VALUE"""),"Athenas")</f>
        <v>Athenas</v>
      </c>
      <c r="F8260" s="17" t="str">
        <f>IFERROR(__xludf.DUMMYFUNCTION("""COMPUTED_VALUE"""),"TRANSVERSAL EL BOSQUE #29-145 PARQUE CARACOLI / BODYTECH CAFETERIA / FLORIDABLANCA")</f>
        <v>TRANSVERSAL EL BOSQUE #29-145 PARQUE CARACOLI / BODYTECH CAFETERIA / FLORIDABLANCA</v>
      </c>
      <c r="G8260" s="15" t="str">
        <f>IFERROR(__xludf.DUMMYFUNCTION("""COMPUTED_VALUE"""),"MONICA NUÑEZ")</f>
        <v>MONICA NUÑEZ</v>
      </c>
      <c r="H8260" s="16">
        <f>IFERROR(__xludf.DUMMYFUNCTION("""COMPUTED_VALUE"""),16885.0)</f>
        <v>16885</v>
      </c>
      <c r="I8260" s="18">
        <f>IFERROR(__xludf.DUMMYFUNCTION("""COMPUTED_VALUE"""),29.0)</f>
        <v>29</v>
      </c>
      <c r="J8260" s="18">
        <f>IFERROR(__xludf.DUMMYFUNCTION("""COMPUTED_VALUE"""),55.0)</f>
        <v>55</v>
      </c>
      <c r="K8260" s="18">
        <f>IFERROR(__xludf.DUMMYFUNCTION("""COMPUTED_VALUE"""),45.0)</f>
        <v>45</v>
      </c>
      <c r="L8260" s="17">
        <f>IFERROR(__xludf.DUMMYFUNCTION("""COMPUTED_VALUE"""),3.505619832E9)</f>
        <v>3505619832</v>
      </c>
      <c r="M8260" s="17"/>
      <c r="N8260" s="17"/>
      <c r="O8260" s="17"/>
      <c r="P8260" s="17" t="b">
        <f>IFERROR(__xludf.DUMMYFUNCTION("""COMPUTED_VALUE"""),FALSE)</f>
        <v>0</v>
      </c>
      <c r="Q8260" s="20" t="str">
        <f>IFERROR(__xludf.DUMMYFUNCTION("""COMPUTED_VALUE"""),"")</f>
        <v/>
      </c>
      <c r="R8260" s="21" t="str">
        <f>IFERROR(__xludf.DUMMYFUNCTION("""COMPUTED_VALUE"""),"https://drive.google.com/file/d/1CoIVIgW4kyuHVQiSAbWGw1uSrzCSIc8i/view?usp=drivesdk")</f>
        <v>https://drive.google.com/file/d/1CoIVIgW4kyuHVQiSAbWGw1uSrzCSIc8i/view?usp=drivesdk</v>
      </c>
    </row>
    <row r="8261">
      <c r="A8261" s="15">
        <f>IFERROR(__xludf.DUMMYFUNCTION("""COMPUTED_VALUE"""),45233.0)</f>
        <v>45233</v>
      </c>
      <c r="B8261" s="16" t="str">
        <f>IFERROR(__xludf.DUMMYFUNCTION("""COMPUTED_VALUE"""),"Envia")</f>
        <v>Envia</v>
      </c>
      <c r="C8261" s="15" t="str">
        <f>IFERROR(__xludf.DUMMYFUNCTION("""COMPUTED_VALUE"""),"MEDELLÍN")</f>
        <v>MEDELLÍN</v>
      </c>
      <c r="D8261" s="15" t="str">
        <f>IFERROR(__xludf.DUMMYFUNCTION("""COMPUTED_VALUE"""),"BOGOTÁ")</f>
        <v>BOGOTÁ</v>
      </c>
      <c r="E8261" s="15" t="str">
        <f>IFERROR(__xludf.DUMMYFUNCTION("""COMPUTED_VALUE"""),"FamiliaReal S.A.S")</f>
        <v>FamiliaReal S.A.S</v>
      </c>
      <c r="F8261" s="17" t="str">
        <f>IFERROR(__xludf.DUMMYFUNCTION("""COMPUTED_VALUE"""),"Cra 93 35 B 56 Santa Mónica")</f>
        <v>Cra 93 35 B 56 Santa Mónica</v>
      </c>
      <c r="G8261" s="15" t="str">
        <f>IFERROR(__xludf.DUMMYFUNCTION("""COMPUTED_VALUE"""),"Martha Bocanegra")</f>
        <v>Martha Bocanegra</v>
      </c>
      <c r="H8261" s="16">
        <f>IFERROR(__xludf.DUMMYFUNCTION("""COMPUTED_VALUE"""),16883.0)</f>
        <v>16883</v>
      </c>
      <c r="I8261" s="18">
        <f>IFERROR(__xludf.DUMMYFUNCTION("""COMPUTED_VALUE"""),26.0)</f>
        <v>26</v>
      </c>
      <c r="J8261" s="18">
        <f>IFERROR(__xludf.DUMMYFUNCTION("""COMPUTED_VALUE"""),45115.0)</f>
        <v>45115</v>
      </c>
      <c r="K8261" s="18">
        <f>IFERROR(__xludf.DUMMYFUNCTION("""COMPUTED_VALUE"""),45115.0)</f>
        <v>45115</v>
      </c>
      <c r="L8261" s="17">
        <f>IFERROR(__xludf.DUMMYFUNCTION("""COMPUTED_VALUE"""),3.158080098E9)</f>
        <v>3158080098</v>
      </c>
      <c r="M8261" s="17"/>
      <c r="N8261" s="17"/>
      <c r="O8261" s="17"/>
      <c r="P8261" s="17" t="b">
        <f>IFERROR(__xludf.DUMMYFUNCTION("""COMPUTED_VALUE"""),FALSE)</f>
        <v>0</v>
      </c>
      <c r="Q8261" s="20" t="str">
        <f>IFERROR(__xludf.DUMMYFUNCTION("""COMPUTED_VALUE"""),"")</f>
        <v/>
      </c>
      <c r="R8261" s="22" t="str">
        <f>IFERROR(__xludf.DUMMYFUNCTION("""COMPUTED_VALUE"""),"")</f>
        <v/>
      </c>
    </row>
    <row r="8262">
      <c r="A8262" s="15">
        <f>IFERROR(__xludf.DUMMYFUNCTION("""COMPUTED_VALUE"""),45233.0)</f>
        <v>45233</v>
      </c>
      <c r="B8262" s="16" t="str">
        <f>IFERROR(__xludf.DUMMYFUNCTION("""COMPUTED_VALUE"""),"Envia")</f>
        <v>Envia</v>
      </c>
      <c r="C8262" s="15" t="str">
        <f>IFERROR(__xludf.DUMMYFUNCTION("""COMPUTED_VALUE"""),"MEDELLÍN")</f>
        <v>MEDELLÍN</v>
      </c>
      <c r="D8262" s="15" t="str">
        <f>IFERROR(__xludf.DUMMYFUNCTION("""COMPUTED_VALUE"""),"BOGOTÁ")</f>
        <v>BOGOTÁ</v>
      </c>
      <c r="E8262" s="15" t="str">
        <f>IFERROR(__xludf.DUMMYFUNCTION("""COMPUTED_VALUE"""),"FamiliaReal S.A.S")</f>
        <v>FamiliaReal S.A.S</v>
      </c>
      <c r="F8262" s="17" t="str">
        <f>IFERROR(__xludf.DUMMYFUNCTION("""COMPUTED_VALUE"""),"Cra. 27 # 23 Sur-68 Mall Comercial Distrito Avignon Mercado Saludable Local 106 Horario: 10 am - 7 pm")</f>
        <v>Cra. 27 # 23 Sur-68 Mall Comercial Distrito Avignon Mercado Saludable Local 106 Horario: 10 am - 7 pm</v>
      </c>
      <c r="G8262" s="15" t="str">
        <f>IFERROR(__xludf.DUMMYFUNCTION("""COMPUTED_VALUE"""),"Frutal Exotic SAS")</f>
        <v>Frutal Exotic SAS</v>
      </c>
      <c r="H8262" s="16">
        <f>IFERROR(__xludf.DUMMYFUNCTION("""COMPUTED_VALUE"""),16882.0)</f>
        <v>16882</v>
      </c>
      <c r="I8262" s="18">
        <f>IFERROR(__xludf.DUMMYFUNCTION("""COMPUTED_VALUE"""),26.0)</f>
        <v>26</v>
      </c>
      <c r="J8262" s="18">
        <f>IFERROR(__xludf.DUMMYFUNCTION("""COMPUTED_VALUE"""),45115.0)</f>
        <v>45115</v>
      </c>
      <c r="K8262" s="18">
        <f>IFERROR(__xludf.DUMMYFUNCTION("""COMPUTED_VALUE"""),45115.0)</f>
        <v>45115</v>
      </c>
      <c r="L8262" s="17">
        <f>IFERROR(__xludf.DUMMYFUNCTION("""COMPUTED_VALUE"""),3.218310603E9)</f>
        <v>3218310603</v>
      </c>
      <c r="M8262" s="17"/>
      <c r="N8262" s="17"/>
      <c r="O8262" s="17"/>
      <c r="P8262" s="17" t="b">
        <f>IFERROR(__xludf.DUMMYFUNCTION("""COMPUTED_VALUE"""),FALSE)</f>
        <v>0</v>
      </c>
      <c r="Q8262" s="20" t="str">
        <f>IFERROR(__xludf.DUMMYFUNCTION("""COMPUTED_VALUE"""),"")</f>
        <v/>
      </c>
      <c r="R8262" s="22" t="str">
        <f>IFERROR(__xludf.DUMMYFUNCTION("""COMPUTED_VALUE"""),"")</f>
        <v/>
      </c>
    </row>
    <row r="8263">
      <c r="A8263" s="15">
        <f>IFERROR(__xludf.DUMMYFUNCTION("""COMPUTED_VALUE"""),45233.0)</f>
        <v>45233</v>
      </c>
      <c r="B8263" s="16" t="str">
        <f>IFERROR(__xludf.DUMMYFUNCTION("""COMPUTED_VALUE"""),"Envia")</f>
        <v>Envia</v>
      </c>
      <c r="C8263" s="15" t="str">
        <f>IFERROR(__xludf.DUMMYFUNCTION("""COMPUTED_VALUE"""),"SANTA MARTA")</f>
        <v>SANTA MARTA</v>
      </c>
      <c r="D8263" s="15" t="str">
        <f>IFERROR(__xludf.DUMMYFUNCTION("""COMPUTED_VALUE"""),"ENVIGADO")</f>
        <v>ENVIGADO</v>
      </c>
      <c r="E8263" s="15" t="str">
        <f>IFERROR(__xludf.DUMMYFUNCTION("""COMPUTED_VALUE"""),"JUAN CAMILO CORDOBA")</f>
        <v>JUAN CAMILO CORDOBA</v>
      </c>
      <c r="F8263" s="17" t="str">
        <f>IFERROR(__xludf.DUMMYFUNCTION("""COMPUTED_VALUE"""),"Carrera 21 #21-153 / local 105 centro comercial plaza jardin")</f>
        <v>Carrera 21 #21-153 / local 105 centro comercial plaza jardin</v>
      </c>
      <c r="G8263" s="15" t="str">
        <f>IFERROR(__xludf.DUMMYFUNCTION("""COMPUTED_VALUE"""),"Punto Saludable")</f>
        <v>Punto Saludable</v>
      </c>
      <c r="H8263" s="16">
        <f>IFERROR(__xludf.DUMMYFUNCTION("""COMPUTED_VALUE"""),16894.0)</f>
        <v>16894</v>
      </c>
      <c r="I8263" s="17"/>
      <c r="J8263" s="17"/>
      <c r="K8263" s="17"/>
      <c r="L8263" s="17">
        <f>IFERROR(__xludf.DUMMYFUNCTION("""COMPUTED_VALUE"""),3.013146331E9)</f>
        <v>3013146331</v>
      </c>
      <c r="M8263" s="17"/>
      <c r="N8263" s="17"/>
      <c r="O8263" s="17"/>
      <c r="P8263" s="17" t="b">
        <f>IFERROR(__xludf.DUMMYFUNCTION("""COMPUTED_VALUE"""),FALSE)</f>
        <v>0</v>
      </c>
      <c r="Q8263" s="20" t="str">
        <f>IFERROR(__xludf.DUMMYFUNCTION("""COMPUTED_VALUE"""),"")</f>
        <v/>
      </c>
      <c r="R8263" s="21" t="str">
        <f>IFERROR(__xludf.DUMMYFUNCTION("""COMPUTED_VALUE"""),"https://drive.google.com/file/d/1RxeIuZlJpqE4Sy9PAfzee_SpOSpv7H3v/view?usp=drivesdk")</f>
        <v>https://drive.google.com/file/d/1RxeIuZlJpqE4Sy9PAfzee_SpOSpv7H3v/view?usp=drivesdk</v>
      </c>
    </row>
    <row r="8264">
      <c r="A8264" s="15">
        <f>IFERROR(__xludf.DUMMYFUNCTION("""COMPUTED_VALUE"""),45233.0)</f>
        <v>45233</v>
      </c>
      <c r="B8264" s="16" t="str">
        <f>IFERROR(__xludf.DUMMYFUNCTION("""COMPUTED_VALUE"""),"Envia")</f>
        <v>Envia</v>
      </c>
      <c r="C8264" s="15" t="str">
        <f>IFERROR(__xludf.DUMMYFUNCTION("""COMPUTED_VALUE"""),"SANTA MARTA")</f>
        <v>SANTA MARTA</v>
      </c>
      <c r="D8264" s="15" t="str">
        <f>IFERROR(__xludf.DUMMYFUNCTION("""COMPUTED_VALUE"""),"MEDELLÍN")</f>
        <v>MEDELLÍN</v>
      </c>
      <c r="E8264" s="15" t="str">
        <f>IFERROR(__xludf.DUMMYFUNCTION("""COMPUTED_VALUE"""),"HELADERIA MAGDA")</f>
        <v>HELADERIA MAGDA</v>
      </c>
      <c r="F8264" s="17" t="str">
        <f>IFERROR(__xludf.DUMMYFUNCTION("""COMPUTED_VALUE"""),"CALLE 22 #6-82 / PLAZUELA 22 LOCAL 27")</f>
        <v>CALLE 22 #6-82 / PLAZUELA 22 LOCAL 27</v>
      </c>
      <c r="G8264" s="15" t="str">
        <f>IFERROR(__xludf.DUMMYFUNCTION("""COMPUTED_VALUE"""),"HELADERIA MAGDA SANTA MARTA")</f>
        <v>HELADERIA MAGDA SANTA MARTA</v>
      </c>
      <c r="H8264" s="16">
        <f>IFERROR(__xludf.DUMMYFUNCTION("""COMPUTED_VALUE"""),16898.0)</f>
        <v>16898</v>
      </c>
      <c r="I8264" s="17"/>
      <c r="J8264" s="17"/>
      <c r="K8264" s="17"/>
      <c r="L8264" s="17">
        <f>IFERROR(__xludf.DUMMYFUNCTION("""COMPUTED_VALUE"""),3.054269156E9)</f>
        <v>3054269156</v>
      </c>
      <c r="M8264" s="17"/>
      <c r="N8264" s="17"/>
      <c r="O8264" s="17"/>
      <c r="P8264" s="17" t="b">
        <f>IFERROR(__xludf.DUMMYFUNCTION("""COMPUTED_VALUE"""),FALSE)</f>
        <v>0</v>
      </c>
      <c r="Q8264" s="20" t="str">
        <f>IFERROR(__xludf.DUMMYFUNCTION("""COMPUTED_VALUE"""),"")</f>
        <v/>
      </c>
      <c r="R8264" s="21" t="str">
        <f>IFERROR(__xludf.DUMMYFUNCTION("""COMPUTED_VALUE"""),"https://drive.google.com/file/d/1qQdaGy-izDCoW0vZMkwG2xPObUF8-lfC/view?usp=drivesdk")</f>
        <v>https://drive.google.com/file/d/1qQdaGy-izDCoW0vZMkwG2xPObUF8-lfC/view?usp=drivesdk</v>
      </c>
    </row>
    <row r="8265">
      <c r="A8265" s="17" t="str">
        <f>IFERROR(__xludf.DUMMYFUNCTION("""COMPUTED_VALUE"""),"")</f>
        <v/>
      </c>
      <c r="B8265" s="17" t="str">
        <f>IFERROR(__xludf.DUMMYFUNCTION("""COMPUTED_VALUE"""),"")</f>
        <v/>
      </c>
      <c r="C8265" s="17" t="str">
        <f>IFERROR(__xludf.DUMMYFUNCTION("""COMPUTED_VALUE"""),"")</f>
        <v/>
      </c>
      <c r="D8265" s="17" t="str">
        <f>IFERROR(__xludf.DUMMYFUNCTION("""COMPUTED_VALUE"""),"")</f>
        <v/>
      </c>
      <c r="E8265" s="17" t="str">
        <f>IFERROR(__xludf.DUMMYFUNCTION("""COMPUTED_VALUE"""),"")</f>
        <v/>
      </c>
      <c r="F8265" s="17" t="str">
        <f>IFERROR(__xludf.DUMMYFUNCTION("""COMPUTED_VALUE"""),"")</f>
        <v/>
      </c>
      <c r="G8265" s="17" t="str">
        <f>IFERROR(__xludf.DUMMYFUNCTION("""COMPUTED_VALUE"""),"")</f>
        <v/>
      </c>
      <c r="H8265" s="17" t="str">
        <f>IFERROR(__xludf.DUMMYFUNCTION("""COMPUTED_VALUE"""),"")</f>
        <v/>
      </c>
      <c r="I8265" s="17" t="str">
        <f>IFERROR(__xludf.DUMMYFUNCTION("""COMPUTED_VALUE"""),"")</f>
        <v/>
      </c>
      <c r="J8265" s="17" t="str">
        <f>IFERROR(__xludf.DUMMYFUNCTION("""COMPUTED_VALUE"""),"")</f>
        <v/>
      </c>
      <c r="K8265" s="17" t="str">
        <f>IFERROR(__xludf.DUMMYFUNCTION("""COMPUTED_VALUE"""),"")</f>
        <v/>
      </c>
      <c r="L8265" s="17" t="str">
        <f>IFERROR(__xludf.DUMMYFUNCTION("""COMPUTED_VALUE"""),"")</f>
        <v/>
      </c>
      <c r="M8265" s="17" t="str">
        <f>IFERROR(__xludf.DUMMYFUNCTION("""COMPUTED_VALUE"""),"")</f>
        <v/>
      </c>
      <c r="N8265" s="17" t="str">
        <f>IFERROR(__xludf.DUMMYFUNCTION("""COMPUTED_VALUE"""),"")</f>
        <v/>
      </c>
      <c r="O8265" s="17" t="str">
        <f>IFERROR(__xludf.DUMMYFUNCTION("""COMPUTED_VALUE"""),"")</f>
        <v/>
      </c>
      <c r="P8265" s="17" t="str">
        <f>IFERROR(__xludf.DUMMYFUNCTION("""COMPUTED_VALUE"""),"")</f>
        <v/>
      </c>
      <c r="Q8265" s="17" t="str">
        <f>IFERROR(__xludf.DUMMYFUNCTION("""COMPUTED_VALUE"""),"")</f>
        <v/>
      </c>
      <c r="R8265" s="17" t="str">
        <f>IFERROR(__xludf.DUMMYFUNCTION("""COMPUTED_VALUE"""),"")</f>
        <v/>
      </c>
    </row>
    <row r="8266">
      <c r="A8266" s="15">
        <f>IFERROR(__xludf.DUMMYFUNCTION("""COMPUTED_VALUE"""),45233.0)</f>
        <v>45233</v>
      </c>
      <c r="B8266" s="16" t="str">
        <f>IFERROR(__xludf.DUMMYFUNCTION("""COMPUTED_VALUE"""),"JOSE ALFREDO RAMIREZ VERGARA ")</f>
        <v>JOSE ALFREDO RAMIREZ VERGARA </v>
      </c>
      <c r="C8266" s="15" t="str">
        <f>IFERROR(__xludf.DUMMYFUNCTION("""COMPUTED_VALUE"""),"BARRANQUILLA")</f>
        <v>BARRANQUILLA</v>
      </c>
      <c r="D8266" s="15" t="str">
        <f>IFERROR(__xludf.DUMMYFUNCTION("""COMPUTED_VALUE"""),"MEDELLÍN")</f>
        <v>MEDELLÍN</v>
      </c>
      <c r="E8266" s="15" t="str">
        <f>IFERROR(__xludf.DUMMYFUNCTION("""COMPUTED_VALUE"""),"Moloso S.A.S")</f>
        <v>Moloso S.A.S</v>
      </c>
      <c r="F8266" s="17" t="str">
        <f>IFERROR(__xludf.DUMMYFUNCTION("""COMPUTED_VALUE"""),"CR 49B 74 142 / ED MARTHA ELENA AP 303")</f>
        <v>CR 49B 74 142 / ED MARTHA ELENA AP 303</v>
      </c>
      <c r="G8266" s="15" t="str">
        <f>IFERROR(__xludf.DUMMYFUNCTION("""COMPUTED_VALUE"""),"SILVANA RUBIO AFRICANO")</f>
        <v>SILVANA RUBIO AFRICANO</v>
      </c>
      <c r="H8266" s="16">
        <f>IFERROR(__xludf.DUMMYFUNCTION("""COMPUTED_VALUE"""),16911.0)</f>
        <v>16911</v>
      </c>
      <c r="I8266" s="17"/>
      <c r="J8266" s="17"/>
      <c r="K8266" s="17"/>
      <c r="L8266" s="17"/>
      <c r="M8266" s="17"/>
      <c r="N8266" s="17"/>
      <c r="O8266" s="17"/>
      <c r="P8266" s="17" t="b">
        <f>IFERROR(__xludf.DUMMYFUNCTION("""COMPUTED_VALUE"""),FALSE)</f>
        <v>0</v>
      </c>
      <c r="Q8266" s="20" t="str">
        <f>IFERROR(__xludf.DUMMYFUNCTION("""COMPUTED_VALUE"""),"")</f>
        <v/>
      </c>
      <c r="R8266" s="21" t="str">
        <f>IFERROR(__xludf.DUMMYFUNCTION("""COMPUTED_VALUE"""),"https://drive.google.com/file/d/13EoC8hIgyNjYFLlnzEvVGTGXxTxUeEtC/view?usp=drivesdk")</f>
        <v>https://drive.google.com/file/d/13EoC8hIgyNjYFLlnzEvVGTGXxTxUeEtC/view?usp=drivesdk</v>
      </c>
    </row>
    <row r="8267">
      <c r="A8267" s="15">
        <f>IFERROR(__xludf.DUMMYFUNCTION("""COMPUTED_VALUE"""),45233.0)</f>
        <v>45233</v>
      </c>
      <c r="B8267" s="16" t="str">
        <f>IFERROR(__xludf.DUMMYFUNCTION("""COMPUTED_VALUE"""),"JOSE ALFREDO RAMIREZ VERGARA ")</f>
        <v>JOSE ALFREDO RAMIREZ VERGARA </v>
      </c>
      <c r="C8267" s="15" t="str">
        <f>IFERROR(__xludf.DUMMYFUNCTION("""COMPUTED_VALUE"""),"BOGOTÁ")</f>
        <v>BOGOTÁ</v>
      </c>
      <c r="D8267" s="15" t="str">
        <f>IFERROR(__xludf.DUMMYFUNCTION("""COMPUTED_VALUE"""),"BUCARAMANGA")</f>
        <v>BUCARAMANGA</v>
      </c>
      <c r="E8267" s="15" t="str">
        <f>IFERROR(__xludf.DUMMYFUNCTION("""COMPUTED_VALUE"""),"Yo Como Solito")</f>
        <v>Yo Como Solito</v>
      </c>
      <c r="F8267" s="17" t="str">
        <f>IFERROR(__xludf.DUMMYFUNCTION("""COMPUTED_VALUE"""),"CARRERA 45A #128-62 / CARRERA 45A #128-62 / CARRERA 45A #128-62")</f>
        <v>CARRERA 45A #128-62 / CARRERA 45A #128-62 / CARRERA 45A #128-62</v>
      </c>
      <c r="G8267" s="15" t="str">
        <f>IFERROR(__xludf.DUMMYFUNCTION("""COMPUTED_VALUE"""),"LINA PAOLA RAMIREZ")</f>
        <v>LINA PAOLA RAMIREZ</v>
      </c>
      <c r="H8267" s="16">
        <f>IFERROR(__xludf.DUMMYFUNCTION("""COMPUTED_VALUE"""),16929.0)</f>
        <v>16929</v>
      </c>
      <c r="I8267" s="18">
        <f>IFERROR(__xludf.DUMMYFUNCTION("""COMPUTED_VALUE"""),23.0)</f>
        <v>23</v>
      </c>
      <c r="J8267" s="18">
        <f>IFERROR(__xludf.DUMMYFUNCTION("""COMPUTED_VALUE"""),30.0)</f>
        <v>30</v>
      </c>
      <c r="K8267" s="18">
        <f>IFERROR(__xludf.DUMMYFUNCTION("""COMPUTED_VALUE"""),39.0)</f>
        <v>39</v>
      </c>
      <c r="L8267" s="17">
        <f>IFERROR(__xludf.DUMMYFUNCTION("""COMPUTED_VALUE"""),3.12327346E9)</f>
        <v>3123273460</v>
      </c>
      <c r="M8267" s="17"/>
      <c r="N8267" s="17"/>
      <c r="O8267" s="17"/>
      <c r="P8267" s="17" t="b">
        <f>IFERROR(__xludf.DUMMYFUNCTION("""COMPUTED_VALUE"""),FALSE)</f>
        <v>0</v>
      </c>
      <c r="Q8267" s="20" t="str">
        <f>IFERROR(__xludf.DUMMYFUNCTION("""COMPUTED_VALUE"""),"")</f>
        <v/>
      </c>
      <c r="R8267" s="21" t="str">
        <f>IFERROR(__xludf.DUMMYFUNCTION("""COMPUTED_VALUE"""),"https://drive.google.com/file/d/10iJ2yA9mDw23iUm7JDu35BC2hFreAPo4/view?usp=drivesdk")</f>
        <v>https://drive.google.com/file/d/10iJ2yA9mDw23iUm7JDu35BC2hFreAPo4/view?usp=drivesdk</v>
      </c>
    </row>
    <row r="8268">
      <c r="A8268" s="15">
        <f>IFERROR(__xludf.DUMMYFUNCTION("""COMPUTED_VALUE"""),45233.0)</f>
        <v>45233</v>
      </c>
      <c r="B8268" s="16" t="str">
        <f>IFERROR(__xludf.DUMMYFUNCTION("""COMPUTED_VALUE"""),"JOSE ALFREDO RAMIREZ VERGARA ")</f>
        <v>JOSE ALFREDO RAMIREZ VERGARA </v>
      </c>
      <c r="C8268" s="15" t="str">
        <f>IFERROR(__xludf.DUMMYFUNCTION("""COMPUTED_VALUE"""),"BOGOTÁ")</f>
        <v>BOGOTÁ</v>
      </c>
      <c r="D8268" s="15" t="str">
        <f>IFERROR(__xludf.DUMMYFUNCTION("""COMPUTED_VALUE"""),"ENVIGADO")</f>
        <v>ENVIGADO</v>
      </c>
      <c r="E8268" s="15" t="str">
        <f>IFERROR(__xludf.DUMMYFUNCTION("""COMPUTED_VALUE"""),"JUAN CAMILO CORDOBA")</f>
        <v>JUAN CAMILO CORDOBA</v>
      </c>
      <c r="F8268" s="17" t="str">
        <f>IFERROR(__xludf.DUMMYFUNCTION("""COMPUTED_VALUE"""),"Calle 72 A Bis # 1B - 52 Este. / Edificio Lumini Apto 403.")</f>
        <v>Calle 72 A Bis # 1B - 52 Este. / Edificio Lumini Apto 403.</v>
      </c>
      <c r="G8268" s="15" t="str">
        <f>IFERROR(__xludf.DUMMYFUNCTION("""COMPUTED_VALUE"""),"Johanna Contreras Romero")</f>
        <v>Johanna Contreras Romero</v>
      </c>
      <c r="H8268" s="16">
        <f>IFERROR(__xludf.DUMMYFUNCTION("""COMPUTED_VALUE"""),16947.0)</f>
        <v>16947</v>
      </c>
      <c r="I8268" s="17"/>
      <c r="J8268" s="17"/>
      <c r="K8268" s="17"/>
      <c r="L8268" s="17">
        <f>IFERROR(__xludf.DUMMYFUNCTION("""COMPUTED_VALUE"""),3.176419243E9)</f>
        <v>3176419243</v>
      </c>
      <c r="M8268" s="17"/>
      <c r="N8268" s="17"/>
      <c r="O8268" s="17"/>
      <c r="P8268" s="17" t="b">
        <f>IFERROR(__xludf.DUMMYFUNCTION("""COMPUTED_VALUE"""),FALSE)</f>
        <v>0</v>
      </c>
      <c r="Q8268" s="20" t="str">
        <f>IFERROR(__xludf.DUMMYFUNCTION("""COMPUTED_VALUE"""),"")</f>
        <v/>
      </c>
      <c r="R8268" s="21" t="str">
        <f>IFERROR(__xludf.DUMMYFUNCTION("""COMPUTED_VALUE"""),"https://drive.google.com/file/d/1xQjeJHs-S4wmyUgmRgwSaVg0w7IrSSZM/view?usp=drivesdk")</f>
        <v>https://drive.google.com/file/d/1xQjeJHs-S4wmyUgmRgwSaVg0w7IrSSZM/view?usp=drivesdk</v>
      </c>
    </row>
    <row r="8269">
      <c r="A8269" s="15">
        <f>IFERROR(__xludf.DUMMYFUNCTION("""COMPUTED_VALUE"""),45233.0)</f>
        <v>45233</v>
      </c>
      <c r="B8269" s="16" t="str">
        <f>IFERROR(__xludf.DUMMYFUNCTION("""COMPUTED_VALUE"""),"JOSE ALFREDO RAMIREZ VERGARA ")</f>
        <v>JOSE ALFREDO RAMIREZ VERGARA </v>
      </c>
      <c r="C8269" s="15" t="str">
        <f>IFERROR(__xludf.DUMMYFUNCTION("""COMPUTED_VALUE"""),"BOGOTÁ")</f>
        <v>BOGOTÁ</v>
      </c>
      <c r="D8269" s="15" t="str">
        <f>IFERROR(__xludf.DUMMYFUNCTION("""COMPUTED_VALUE"""),"ENVIGADO")</f>
        <v>ENVIGADO</v>
      </c>
      <c r="E8269" s="15" t="str">
        <f>IFERROR(__xludf.DUMMYFUNCTION("""COMPUTED_VALUE"""),"JUAN CAMILO CORDOBA")</f>
        <v>JUAN CAMILO CORDOBA</v>
      </c>
      <c r="F8269" s="17" t="str">
        <f>IFERROR(__xludf.DUMMYFUNCTION("""COMPUTED_VALUE"""),"Calle 93a #11-46")</f>
        <v>Calle 93a #11-46</v>
      </c>
      <c r="G8269" s="15" t="str">
        <f>IFERROR(__xludf.DUMMYFUNCTION("""COMPUTED_VALUE"""),"Fit Hub")</f>
        <v>Fit Hub</v>
      </c>
      <c r="H8269" s="16">
        <f>IFERROR(__xludf.DUMMYFUNCTION("""COMPUTED_VALUE"""),16946.0)</f>
        <v>16946</v>
      </c>
      <c r="I8269" s="17"/>
      <c r="J8269" s="17"/>
      <c r="K8269" s="17"/>
      <c r="L8269" s="17">
        <f>IFERROR(__xludf.DUMMYFUNCTION("""COMPUTED_VALUE"""),3.015447307E9)</f>
        <v>3015447307</v>
      </c>
      <c r="M8269" s="17"/>
      <c r="N8269" s="17"/>
      <c r="O8269" s="17"/>
      <c r="P8269" s="17" t="b">
        <f>IFERROR(__xludf.DUMMYFUNCTION("""COMPUTED_VALUE"""),FALSE)</f>
        <v>0</v>
      </c>
      <c r="Q8269" s="20" t="str">
        <f>IFERROR(__xludf.DUMMYFUNCTION("""COMPUTED_VALUE"""),"")</f>
        <v/>
      </c>
      <c r="R8269" s="21" t="str">
        <f>IFERROR(__xludf.DUMMYFUNCTION("""COMPUTED_VALUE"""),"https://drive.google.com/file/d/1c1mukaXTA9gurkjheZ5beZRHxoc6znvq/view?usp=drivesdk")</f>
        <v>https://drive.google.com/file/d/1c1mukaXTA9gurkjheZ5beZRHxoc6znvq/view?usp=drivesdk</v>
      </c>
    </row>
    <row r="8270">
      <c r="A8270" s="15">
        <f>IFERROR(__xludf.DUMMYFUNCTION("""COMPUTED_VALUE"""),45233.0)</f>
        <v>45233</v>
      </c>
      <c r="B8270" s="16" t="str">
        <f>IFERROR(__xludf.DUMMYFUNCTION("""COMPUTED_VALUE"""),"JOSE ALFREDO RAMIREZ VERGARA ")</f>
        <v>JOSE ALFREDO RAMIREZ VERGARA </v>
      </c>
      <c r="C8270" s="15" t="str">
        <f>IFERROR(__xludf.DUMMYFUNCTION("""COMPUTED_VALUE"""),"BOGOTÁ")</f>
        <v>BOGOTÁ</v>
      </c>
      <c r="D8270" s="15" t="str">
        <f>IFERROR(__xludf.DUMMYFUNCTION("""COMPUTED_VALUE"""),"MEDELLÍN")</f>
        <v>MEDELLÍN</v>
      </c>
      <c r="E8270" s="15" t="str">
        <f>IFERROR(__xludf.DUMMYFUNCTION("""COMPUTED_VALUE"""),"AREPAS LA MARY")</f>
        <v>AREPAS LA MARY</v>
      </c>
      <c r="F8270" s="17" t="str">
        <f>IFERROR(__xludf.DUMMYFUNCTION("""COMPUTED_VALUE"""),"calle 91 # 8-80. Apartamento 204. / bogota")</f>
        <v>calle 91 # 8-80. Apartamento 204. / bogota</v>
      </c>
      <c r="G8270" s="15" t="str">
        <f>IFERROR(__xludf.DUMMYFUNCTION("""COMPUTED_VALUE"""),"MARIA CLAUDIA MORENO")</f>
        <v>MARIA CLAUDIA MORENO</v>
      </c>
      <c r="H8270" s="16">
        <f>IFERROR(__xludf.DUMMYFUNCTION("""COMPUTED_VALUE"""),16937.0)</f>
        <v>16937</v>
      </c>
      <c r="I8270" s="18">
        <f>IFERROR(__xludf.DUMMYFUNCTION("""COMPUTED_VALUE"""),89.0)</f>
        <v>89</v>
      </c>
      <c r="J8270" s="18">
        <f>IFERROR(__xludf.DUMMYFUNCTION("""COMPUTED_VALUE"""),1.0)</f>
        <v>1</v>
      </c>
      <c r="K8270" s="18">
        <f>IFERROR(__xludf.DUMMYFUNCTION("""COMPUTED_VALUE"""),10.0)</f>
        <v>10</v>
      </c>
      <c r="L8270" s="17">
        <f>IFERROR(__xludf.DUMMYFUNCTION("""COMPUTED_VALUE"""),3.158511126E9)</f>
        <v>3158511126</v>
      </c>
      <c r="M8270" s="17"/>
      <c r="N8270" s="17"/>
      <c r="O8270" s="17"/>
      <c r="P8270" s="17" t="b">
        <f>IFERROR(__xludf.DUMMYFUNCTION("""COMPUTED_VALUE"""),FALSE)</f>
        <v>0</v>
      </c>
      <c r="Q8270" s="20" t="str">
        <f>IFERROR(__xludf.DUMMYFUNCTION("""COMPUTED_VALUE"""),"")</f>
        <v/>
      </c>
      <c r="R8270" s="21" t="str">
        <f>IFERROR(__xludf.DUMMYFUNCTION("""COMPUTED_VALUE"""),"https://drive.google.com/file/d/1hsjVtv6tqLZphdiHoECYsk1nDHkonT_k/view?usp=drivesdk")</f>
        <v>https://drive.google.com/file/d/1hsjVtv6tqLZphdiHoECYsk1nDHkonT_k/view?usp=drivesdk</v>
      </c>
    </row>
    <row r="8271">
      <c r="A8271" s="15">
        <f>IFERROR(__xludf.DUMMYFUNCTION("""COMPUTED_VALUE"""),45233.0)</f>
        <v>45233</v>
      </c>
      <c r="B8271" s="16" t="str">
        <f>IFERROR(__xludf.DUMMYFUNCTION("""COMPUTED_VALUE"""),"JOSE ALFREDO RAMIREZ VERGARA ")</f>
        <v>JOSE ALFREDO RAMIREZ VERGARA </v>
      </c>
      <c r="C8271" s="15" t="str">
        <f>IFERROR(__xludf.DUMMYFUNCTION("""COMPUTED_VALUE"""),"BOGOTÁ")</f>
        <v>BOGOTÁ</v>
      </c>
      <c r="D8271" s="15" t="str">
        <f>IFERROR(__xludf.DUMMYFUNCTION("""COMPUTED_VALUE"""),"MEDELLÍN")</f>
        <v>MEDELLÍN</v>
      </c>
      <c r="E8271" s="15" t="str">
        <f>IFERROR(__xludf.DUMMYFUNCTION("""COMPUTED_VALUE"""),"Baby Chef")</f>
        <v>Baby Chef</v>
      </c>
      <c r="F8271" s="17" t="str">
        <f>IFERROR(__xludf.DUMMYFUNCTION("""COMPUTED_VALUE"""),"Calle 124 # 20-56 apto 202 Santa Bárbara  Bogotá / . / .")</f>
        <v>Calle 124 # 20-56 apto 202 Santa Bárbara  Bogotá / . / .</v>
      </c>
      <c r="G8271" s="15" t="str">
        <f>IFERROR(__xludf.DUMMYFUNCTION("""COMPUTED_VALUE"""),"Maria Paola Ortega")</f>
        <v>Maria Paola Ortega</v>
      </c>
      <c r="H8271" s="16">
        <f>IFERROR(__xludf.DUMMYFUNCTION("""COMPUTED_VALUE"""),16939.0)</f>
        <v>16939</v>
      </c>
      <c r="I8271" s="18">
        <f>IFERROR(__xludf.DUMMYFUNCTION("""COMPUTED_VALUE"""),9.0)</f>
        <v>9</v>
      </c>
      <c r="J8271" s="18">
        <f>IFERROR(__xludf.DUMMYFUNCTION("""COMPUTED_VALUE"""),23.0)</f>
        <v>23</v>
      </c>
      <c r="K8271" s="18">
        <f>IFERROR(__xludf.DUMMYFUNCTION("""COMPUTED_VALUE"""),22.0)</f>
        <v>22</v>
      </c>
      <c r="L8271" s="17">
        <f>IFERROR(__xludf.DUMMYFUNCTION("""COMPUTED_VALUE"""),3.16529036E9)</f>
        <v>3165290360</v>
      </c>
      <c r="M8271" s="17"/>
      <c r="N8271" s="17"/>
      <c r="O8271" s="17"/>
      <c r="P8271" s="17" t="b">
        <f>IFERROR(__xludf.DUMMYFUNCTION("""COMPUTED_VALUE"""),FALSE)</f>
        <v>0</v>
      </c>
      <c r="Q8271" s="20" t="str">
        <f>IFERROR(__xludf.DUMMYFUNCTION("""COMPUTED_VALUE"""),"")</f>
        <v/>
      </c>
      <c r="R8271" s="21" t="str">
        <f>IFERROR(__xludf.DUMMYFUNCTION("""COMPUTED_VALUE"""),"https://drive.google.com/file/d/1wyo-h3MtYwJHSJuP7Z73tddyi_I7l8uR/view?usp=drivesdk")</f>
        <v>https://drive.google.com/file/d/1wyo-h3MtYwJHSJuP7Z73tddyi_I7l8uR/view?usp=drivesdk</v>
      </c>
    </row>
    <row r="8272">
      <c r="A8272" s="15">
        <f>IFERROR(__xludf.DUMMYFUNCTION("""COMPUTED_VALUE"""),45233.0)</f>
        <v>45233</v>
      </c>
      <c r="B8272" s="16" t="str">
        <f>IFERROR(__xludf.DUMMYFUNCTION("""COMPUTED_VALUE"""),"JOSE ALFREDO RAMIREZ VERGARA ")</f>
        <v>JOSE ALFREDO RAMIREZ VERGARA </v>
      </c>
      <c r="C8272" s="15" t="str">
        <f>IFERROR(__xludf.DUMMYFUNCTION("""COMPUTED_VALUE"""),"BOGOTÁ")</f>
        <v>BOGOTÁ</v>
      </c>
      <c r="D8272" s="15" t="str">
        <f>IFERROR(__xludf.DUMMYFUNCTION("""COMPUTED_VALUE"""),"MEDELLÍN")</f>
        <v>MEDELLÍN</v>
      </c>
      <c r="E8272" s="15" t="str">
        <f>IFERROR(__xludf.DUMMYFUNCTION("""COMPUTED_VALUE"""),"Lácteos El Pino SAS")</f>
        <v>Lácteos El Pino SAS</v>
      </c>
      <c r="F8272" s="17" t="str">
        <f>IFERROR(__xludf.DUMMYFUNCTION("""COMPUTED_VALUE"""),"Cra 13 # 118-15 / MATCHACHA-ENTREGAR EN LOCAL")</f>
        <v>Cra 13 # 118-15 / MATCHACHA-ENTREGAR EN LOCAL</v>
      </c>
      <c r="G8272" s="15" t="str">
        <f>IFERROR(__xludf.DUMMYFUNCTION("""COMPUTED_VALUE"""),"MARISOL MATVERSO")</f>
        <v>MARISOL MATVERSO</v>
      </c>
      <c r="H8272" s="16">
        <f>IFERROR(__xludf.DUMMYFUNCTION("""COMPUTED_VALUE"""),16942.0)</f>
        <v>16942</v>
      </c>
      <c r="I8272" s="17"/>
      <c r="J8272" s="17"/>
      <c r="K8272" s="17"/>
      <c r="L8272" s="17"/>
      <c r="M8272" s="17"/>
      <c r="N8272" s="17"/>
      <c r="O8272" s="17"/>
      <c r="P8272" s="17" t="b">
        <f>IFERROR(__xludf.DUMMYFUNCTION("""COMPUTED_VALUE"""),FALSE)</f>
        <v>0</v>
      </c>
      <c r="Q8272" s="20" t="str">
        <f>IFERROR(__xludf.DUMMYFUNCTION("""COMPUTED_VALUE"""),"")</f>
        <v/>
      </c>
      <c r="R8272" s="22" t="str">
        <f>IFERROR(__xludf.DUMMYFUNCTION("""COMPUTED_VALUE"""),"")</f>
        <v/>
      </c>
    </row>
    <row r="8273">
      <c r="A8273" s="15">
        <f>IFERROR(__xludf.DUMMYFUNCTION("""COMPUTED_VALUE"""),45233.0)</f>
        <v>45233</v>
      </c>
      <c r="B8273" s="16" t="str">
        <f>IFERROR(__xludf.DUMMYFUNCTION("""COMPUTED_VALUE"""),"JOSE ALFREDO RAMIREZ VERGARA ")</f>
        <v>JOSE ALFREDO RAMIREZ VERGARA </v>
      </c>
      <c r="C8273" s="15" t="str">
        <f>IFERROR(__xludf.DUMMYFUNCTION("""COMPUTED_VALUE"""),"BOGOTÁ")</f>
        <v>BOGOTÁ</v>
      </c>
      <c r="D8273" s="15" t="str">
        <f>IFERROR(__xludf.DUMMYFUNCTION("""COMPUTED_VALUE"""),"MEDELLÍN")</f>
        <v>MEDELLÍN</v>
      </c>
      <c r="E8273" s="15" t="str">
        <f>IFERROR(__xludf.DUMMYFUNCTION("""COMPUTED_VALUE"""),"Moloso S.A.S")</f>
        <v>Moloso S.A.S</v>
      </c>
      <c r="F8273" s="17" t="str">
        <f>IFERROR(__xludf.DUMMYFUNCTION("""COMPUTED_VALUE"""),"CR 78AN 58M 88 SUR / BOGOTA ANDALUCIA")</f>
        <v>CR 78AN 58M 88 SUR / BOGOTA ANDALUCIA</v>
      </c>
      <c r="G8273" s="15" t="str">
        <f>IFERROR(__xludf.DUMMYFUNCTION("""COMPUTED_VALUE"""),"VANESSA BELTRAN BUITRAGO")</f>
        <v>VANESSA BELTRAN BUITRAGO</v>
      </c>
      <c r="H8273" s="16">
        <f>IFERROR(__xludf.DUMMYFUNCTION("""COMPUTED_VALUE"""),16910.0)</f>
        <v>16910</v>
      </c>
      <c r="I8273" s="17"/>
      <c r="J8273" s="17"/>
      <c r="K8273" s="17"/>
      <c r="L8273" s="17"/>
      <c r="M8273" s="17"/>
      <c r="N8273" s="17"/>
      <c r="O8273" s="17"/>
      <c r="P8273" s="17" t="b">
        <f>IFERROR(__xludf.DUMMYFUNCTION("""COMPUTED_VALUE"""),FALSE)</f>
        <v>0</v>
      </c>
      <c r="Q8273" s="20" t="str">
        <f>IFERROR(__xludf.DUMMYFUNCTION("""COMPUTED_VALUE"""),"")</f>
        <v/>
      </c>
      <c r="R8273" s="21" t="str">
        <f>IFERROR(__xludf.DUMMYFUNCTION("""COMPUTED_VALUE"""),"https://drive.google.com/file/d/1__UmYcDarfM1aH0jgrLgQ6ONAmryQWdv/view?usp=drivesdk")</f>
        <v>https://drive.google.com/file/d/1__UmYcDarfM1aH0jgrLgQ6ONAmryQWdv/view?usp=drivesdk</v>
      </c>
    </row>
    <row r="8274">
      <c r="A8274" s="15">
        <f>IFERROR(__xludf.DUMMYFUNCTION("""COMPUTED_VALUE"""),45233.0)</f>
        <v>45233</v>
      </c>
      <c r="B8274" s="16" t="str">
        <f>IFERROR(__xludf.DUMMYFUNCTION("""COMPUTED_VALUE"""),"JOSE ALFREDO RAMIREZ VERGARA ")</f>
        <v>JOSE ALFREDO RAMIREZ VERGARA </v>
      </c>
      <c r="C8274" s="15" t="str">
        <f>IFERROR(__xludf.DUMMYFUNCTION("""COMPUTED_VALUE"""),"BOGOTÁ")</f>
        <v>BOGOTÁ</v>
      </c>
      <c r="D8274" s="15" t="str">
        <f>IFERROR(__xludf.DUMMYFUNCTION("""COMPUTED_VALUE"""),"MEDELLÍN")</f>
        <v>MEDELLÍN</v>
      </c>
      <c r="E8274" s="15" t="str">
        <f>IFERROR(__xludf.DUMMYFUNCTION("""COMPUTED_VALUE"""),"Terravocado")</f>
        <v>Terravocado</v>
      </c>
      <c r="F8274" s="17" t="str">
        <f>IFERROR(__xludf.DUMMYFUNCTION("""COMPUTED_VALUE"""),"CLL 12 A SUR # 29 D 28 / CASA  / BOGOTA")</f>
        <v>CLL 12 A SUR # 29 D 28 / CASA  / BOGOTA</v>
      </c>
      <c r="G8274" s="15" t="str">
        <f>IFERROR(__xludf.DUMMYFUNCTION("""COMPUTED_VALUE"""),"INGRID MIKADY TORRES MARTINEZ")</f>
        <v>INGRID MIKADY TORRES MARTINEZ</v>
      </c>
      <c r="H8274" s="16">
        <f>IFERROR(__xludf.DUMMYFUNCTION("""COMPUTED_VALUE"""),16833.0)</f>
        <v>16833</v>
      </c>
      <c r="I8274" s="18">
        <f>IFERROR(__xludf.DUMMYFUNCTION("""COMPUTED_VALUE"""),20.0)</f>
        <v>20</v>
      </c>
      <c r="J8274" s="18">
        <f>IFERROR(__xludf.DUMMYFUNCTION("""COMPUTED_VALUE"""),24.0)</f>
        <v>24</v>
      </c>
      <c r="K8274" s="18">
        <f>IFERROR(__xludf.DUMMYFUNCTION("""COMPUTED_VALUE"""),34.0)</f>
        <v>34</v>
      </c>
      <c r="L8274" s="17">
        <f>IFERROR(__xludf.DUMMYFUNCTION("""COMPUTED_VALUE"""),3.023582855E9)</f>
        <v>3023582855</v>
      </c>
      <c r="M8274" s="17"/>
      <c r="N8274" s="17"/>
      <c r="O8274" s="17"/>
      <c r="P8274" s="17" t="b">
        <f>IFERROR(__xludf.DUMMYFUNCTION("""COMPUTED_VALUE"""),FALSE)</f>
        <v>0</v>
      </c>
      <c r="Q8274" s="20" t="str">
        <f>IFERROR(__xludf.DUMMYFUNCTION("""COMPUTED_VALUE"""),"")</f>
        <v/>
      </c>
      <c r="R8274" s="22" t="str">
        <f>IFERROR(__xludf.DUMMYFUNCTION("""COMPUTED_VALUE"""),"")</f>
        <v/>
      </c>
    </row>
    <row r="8275">
      <c r="A8275" s="17" t="str">
        <f>IFERROR(__xludf.DUMMYFUNCTION("""COMPUTED_VALUE"""),"")</f>
        <v/>
      </c>
      <c r="B8275" s="17" t="str">
        <f>IFERROR(__xludf.DUMMYFUNCTION("""COMPUTED_VALUE"""),"")</f>
        <v/>
      </c>
      <c r="C8275" s="17" t="str">
        <f>IFERROR(__xludf.DUMMYFUNCTION("""COMPUTED_VALUE"""),"")</f>
        <v/>
      </c>
      <c r="D8275" s="17" t="str">
        <f>IFERROR(__xludf.DUMMYFUNCTION("""COMPUTED_VALUE"""),"")</f>
        <v/>
      </c>
      <c r="E8275" s="17" t="str">
        <f>IFERROR(__xludf.DUMMYFUNCTION("""COMPUTED_VALUE"""),"")</f>
        <v/>
      </c>
      <c r="F8275" s="17" t="str">
        <f>IFERROR(__xludf.DUMMYFUNCTION("""COMPUTED_VALUE"""),"")</f>
        <v/>
      </c>
      <c r="G8275" s="17" t="str">
        <f>IFERROR(__xludf.DUMMYFUNCTION("""COMPUTED_VALUE"""),"")</f>
        <v/>
      </c>
      <c r="H8275" s="17" t="str">
        <f>IFERROR(__xludf.DUMMYFUNCTION("""COMPUTED_VALUE"""),"")</f>
        <v/>
      </c>
      <c r="I8275" s="17" t="str">
        <f>IFERROR(__xludf.DUMMYFUNCTION("""COMPUTED_VALUE"""),"")</f>
        <v/>
      </c>
      <c r="J8275" s="17" t="str">
        <f>IFERROR(__xludf.DUMMYFUNCTION("""COMPUTED_VALUE"""),"")</f>
        <v/>
      </c>
      <c r="K8275" s="17" t="str">
        <f>IFERROR(__xludf.DUMMYFUNCTION("""COMPUTED_VALUE"""),"")</f>
        <v/>
      </c>
      <c r="L8275" s="17" t="str">
        <f>IFERROR(__xludf.DUMMYFUNCTION("""COMPUTED_VALUE"""),"")</f>
        <v/>
      </c>
      <c r="M8275" s="17" t="str">
        <f>IFERROR(__xludf.DUMMYFUNCTION("""COMPUTED_VALUE"""),"")</f>
        <v/>
      </c>
      <c r="N8275" s="17" t="str">
        <f>IFERROR(__xludf.DUMMYFUNCTION("""COMPUTED_VALUE"""),"")</f>
        <v/>
      </c>
      <c r="O8275" s="17" t="str">
        <f>IFERROR(__xludf.DUMMYFUNCTION("""COMPUTED_VALUE"""),"")</f>
        <v/>
      </c>
      <c r="P8275" s="17" t="str">
        <f>IFERROR(__xludf.DUMMYFUNCTION("""COMPUTED_VALUE"""),"")</f>
        <v/>
      </c>
      <c r="Q8275" s="17" t="str">
        <f>IFERROR(__xludf.DUMMYFUNCTION("""COMPUTED_VALUE"""),"")</f>
        <v/>
      </c>
      <c r="R8275" s="17" t="str">
        <f>IFERROR(__xludf.DUMMYFUNCTION("""COMPUTED_VALUE"""),"")</f>
        <v/>
      </c>
    </row>
    <row r="8276">
      <c r="A8276" s="15">
        <f>IFERROR(__xludf.DUMMYFUNCTION("""COMPUTED_VALUE"""),45233.0)</f>
        <v>45233</v>
      </c>
      <c r="B8276" s="16" t="str">
        <f>IFERROR(__xludf.DUMMYFUNCTION("""COMPUTED_VALUE"""),"Lina Gaona")</f>
        <v>Lina Gaona</v>
      </c>
      <c r="C8276" s="15" t="str">
        <f>IFERROR(__xludf.DUMMYFUNCTION("""COMPUTED_VALUE"""),"CÚCUTA")</f>
        <v>CÚCUTA</v>
      </c>
      <c r="D8276" s="15" t="str">
        <f>IFERROR(__xludf.DUMMYFUNCTION("""COMPUTED_VALUE"""),"BOGOTÁ")</f>
        <v>BOGOTÁ</v>
      </c>
      <c r="E8276" s="15" t="str">
        <f>IFERROR(__xludf.DUMMYFUNCTION("""COMPUTED_VALUE"""),"LINA PAOLA RAMIREZ GOMEZ - EVA MAZZITA")</f>
        <v>LINA PAOLA RAMIREZ GOMEZ - EVA MAZZITA</v>
      </c>
      <c r="F8276" s="17" t="str">
        <f>IFERROR(__xludf.DUMMYFUNCTION("""COMPUTED_VALUE"""),"Av 2E # 15A -17 Caobos / Caobos")</f>
        <v>Av 2E # 15A -17 Caobos / Caobos</v>
      </c>
      <c r="G8276" s="15" t="str">
        <f>IFERROR(__xludf.DUMMYFUNCTION("""COMPUTED_VALUE"""),"DACCY KARINA LOPEZ MORENO")</f>
        <v>DACCY KARINA LOPEZ MORENO</v>
      </c>
      <c r="H8276" s="16">
        <f>IFERROR(__xludf.DUMMYFUNCTION("""COMPUTED_VALUE"""),16908.0)</f>
        <v>16908</v>
      </c>
      <c r="I8276" s="17"/>
      <c r="J8276" s="17"/>
      <c r="K8276" s="17"/>
      <c r="L8276" s="17">
        <f>IFERROR(__xludf.DUMMYFUNCTION("""COMPUTED_VALUE"""),3.208615379E9)</f>
        <v>3208615379</v>
      </c>
      <c r="M8276" s="17"/>
      <c r="N8276" s="17"/>
      <c r="O8276" s="17"/>
      <c r="P8276" s="17" t="b">
        <f>IFERROR(__xludf.DUMMYFUNCTION("""COMPUTED_VALUE"""),FALSE)</f>
        <v>0</v>
      </c>
      <c r="Q8276" s="20" t="str">
        <f>IFERROR(__xludf.DUMMYFUNCTION("""COMPUTED_VALUE"""),"")</f>
        <v/>
      </c>
      <c r="R8276" s="21" t="str">
        <f>IFERROR(__xludf.DUMMYFUNCTION("""COMPUTED_VALUE"""),"https://drive.google.com/file/d/1H3f3uIvwuOf77Ikb9JY3ZQxT2NjvHX6p/view?usp=drivesdk")</f>
        <v>https://drive.google.com/file/d/1H3f3uIvwuOf77Ikb9JY3ZQxT2NjvHX6p/view?usp=drivesdk</v>
      </c>
    </row>
    <row r="8277">
      <c r="A8277" s="15">
        <f>IFERROR(__xludf.DUMMYFUNCTION("""COMPUTED_VALUE"""),45233.0)</f>
        <v>45233</v>
      </c>
      <c r="B8277" s="16" t="str">
        <f>IFERROR(__xludf.DUMMYFUNCTION("""COMPUTED_VALUE"""),"Lina Gaona")</f>
        <v>Lina Gaona</v>
      </c>
      <c r="C8277" s="15" t="str">
        <f>IFERROR(__xludf.DUMMYFUNCTION("""COMPUTED_VALUE"""),"CÚCUTA")</f>
        <v>CÚCUTA</v>
      </c>
      <c r="D8277" s="15" t="str">
        <f>IFERROR(__xludf.DUMMYFUNCTION("""COMPUTED_VALUE"""),"BOGOTÁ")</f>
        <v>BOGOTÁ</v>
      </c>
      <c r="E8277" s="15" t="str">
        <f>IFERROR(__xludf.DUMMYFUNCTION("""COMPUTED_VALUE"""),"LINA PAOLA RAMIREZ GOMEZ - EVA MAZZITA")</f>
        <v>LINA PAOLA RAMIREZ GOMEZ - EVA MAZZITA</v>
      </c>
      <c r="F8277" s="17" t="str">
        <f>IFERROR(__xludf.DUMMYFUNCTION("""COMPUTED_VALUE"""),"Calle 21 #6-07 / barrio once de noviembre Los Patios")</f>
        <v>Calle 21 #6-07 / barrio once de noviembre Los Patios</v>
      </c>
      <c r="G8277" s="15" t="str">
        <f>IFERROR(__xludf.DUMMYFUNCTION("""COMPUTED_VALUE"""),"LAURA TATIANA CERVELON VILLAMIZAR")</f>
        <v>LAURA TATIANA CERVELON VILLAMIZAR</v>
      </c>
      <c r="H8277" s="16">
        <f>IFERROR(__xludf.DUMMYFUNCTION("""COMPUTED_VALUE"""),16907.0)</f>
        <v>16907</v>
      </c>
      <c r="I8277" s="17"/>
      <c r="J8277" s="17"/>
      <c r="K8277" s="17"/>
      <c r="L8277" s="17">
        <f>IFERROR(__xludf.DUMMYFUNCTION("""COMPUTED_VALUE"""),3.194980381E9)</f>
        <v>3194980381</v>
      </c>
      <c r="M8277" s="17"/>
      <c r="N8277" s="17"/>
      <c r="O8277" s="17"/>
      <c r="P8277" s="17" t="b">
        <f>IFERROR(__xludf.DUMMYFUNCTION("""COMPUTED_VALUE"""),FALSE)</f>
        <v>0</v>
      </c>
      <c r="Q8277" s="20" t="str">
        <f>IFERROR(__xludf.DUMMYFUNCTION("""COMPUTED_VALUE"""),"")</f>
        <v/>
      </c>
      <c r="R8277" s="21" t="str">
        <f>IFERROR(__xludf.DUMMYFUNCTION("""COMPUTED_VALUE"""),"https://drive.google.com/file/d/1LYCZ5VADCMZ7aOOctDJwjg3VyoYZhoEa/view?usp=drivesdk")</f>
        <v>https://drive.google.com/file/d/1LYCZ5VADCMZ7aOOctDJwjg3VyoYZhoEa/view?usp=drivesdk</v>
      </c>
    </row>
    <row r="8278">
      <c r="A8278" s="15">
        <f>IFERROR(__xludf.DUMMYFUNCTION("""COMPUTED_VALUE"""),45233.0)</f>
        <v>45233</v>
      </c>
      <c r="B8278" s="16" t="str">
        <f>IFERROR(__xludf.DUMMYFUNCTION("""COMPUTED_VALUE"""),"Lina Gaona")</f>
        <v>Lina Gaona</v>
      </c>
      <c r="C8278" s="15" t="str">
        <f>IFERROR(__xludf.DUMMYFUNCTION("""COMPUTED_VALUE"""),"CÚCUTA")</f>
        <v>CÚCUTA</v>
      </c>
      <c r="D8278" s="15" t="str">
        <f>IFERROR(__xludf.DUMMYFUNCTION("""COMPUTED_VALUE"""),"ENVIGADO")</f>
        <v>ENVIGADO</v>
      </c>
      <c r="E8278" s="15" t="str">
        <f>IFERROR(__xludf.DUMMYFUNCTION("""COMPUTED_VALUE"""),"JUAN CAMILO CORDOBA")</f>
        <v>JUAN CAMILO CORDOBA</v>
      </c>
      <c r="F8278" s="17" t="str">
        <f>IFERROR(__xludf.DUMMYFUNCTION("""COMPUTED_VALUE"""),"Av 9e 12-50 / local 2 edificio la castellana")</f>
        <v>Av 9e 12-50 / local 2 edificio la castellana</v>
      </c>
      <c r="G8278" s="15" t="str">
        <f>IFERROR(__xludf.DUMMYFUNCTION("""COMPUTED_VALUE"""),"Balanzi")</f>
        <v>Balanzi</v>
      </c>
      <c r="H8278" s="16">
        <f>IFERROR(__xludf.DUMMYFUNCTION("""COMPUTED_VALUE"""),16897.0)</f>
        <v>16897</v>
      </c>
      <c r="I8278" s="17"/>
      <c r="J8278" s="17"/>
      <c r="K8278" s="17"/>
      <c r="L8278" s="17">
        <f>IFERROR(__xludf.DUMMYFUNCTION("""COMPUTED_VALUE"""),3.234882569E9)</f>
        <v>3234882569</v>
      </c>
      <c r="M8278" s="17"/>
      <c r="N8278" s="17"/>
      <c r="O8278" s="17"/>
      <c r="P8278" s="17" t="b">
        <f>IFERROR(__xludf.DUMMYFUNCTION("""COMPUTED_VALUE"""),FALSE)</f>
        <v>0</v>
      </c>
      <c r="Q8278" s="20" t="str">
        <f>IFERROR(__xludf.DUMMYFUNCTION("""COMPUTED_VALUE"""),"")</f>
        <v/>
      </c>
      <c r="R8278" s="21" t="str">
        <f>IFERROR(__xludf.DUMMYFUNCTION("""COMPUTED_VALUE"""),"https://drive.google.com/file/d/11z812bOBmNd7GLZomFa414f0DXZhWufX/view?usp=drivesdk")</f>
        <v>https://drive.google.com/file/d/11z812bOBmNd7GLZomFa414f0DXZhWufX/view?usp=drivesdk</v>
      </c>
    </row>
    <row r="8279">
      <c r="A8279" s="15">
        <f>IFERROR(__xludf.DUMMYFUNCTION("""COMPUTED_VALUE"""),45233.0)</f>
        <v>45233</v>
      </c>
      <c r="B8279" s="16" t="str">
        <f>IFERROR(__xludf.DUMMYFUNCTION("""COMPUTED_VALUE"""),"Lina Gaona")</f>
        <v>Lina Gaona</v>
      </c>
      <c r="C8279" s="15" t="str">
        <f>IFERROR(__xludf.DUMMYFUNCTION("""COMPUTED_VALUE"""),"CÚCUTA")</f>
        <v>CÚCUTA</v>
      </c>
      <c r="D8279" s="15" t="str">
        <f>IFERROR(__xludf.DUMMYFUNCTION("""COMPUTED_VALUE"""),"MEDELLÍN")</f>
        <v>MEDELLÍN</v>
      </c>
      <c r="E8279" s="15" t="str">
        <f>IFERROR(__xludf.DUMMYFUNCTION("""COMPUTED_VALUE"""),"AREPAS LA MARY")</f>
        <v>AREPAS LA MARY</v>
      </c>
      <c r="F8279" s="17" t="str">
        <f>IFERROR(__xludf.DUMMYFUNCTION("""COMPUTED_VALUE"""),"AV. 11E N.1 35 AV. GUAIMARAL LC 3")</f>
        <v>AV. 11E N.1 35 AV. GUAIMARAL LC 3</v>
      </c>
      <c r="G8279" s="15" t="str">
        <f>IFERROR(__xludf.DUMMYFUNCTION("""COMPUTED_VALUE"""),"VITALFIT CUCUTA")</f>
        <v>VITALFIT CUCUTA</v>
      </c>
      <c r="H8279" s="16">
        <f>IFERROR(__xludf.DUMMYFUNCTION("""COMPUTED_VALUE"""),16845.0)</f>
        <v>16845</v>
      </c>
      <c r="I8279" s="18">
        <f>IFERROR(__xludf.DUMMYFUNCTION("""COMPUTED_VALUE"""),89.0)</f>
        <v>89</v>
      </c>
      <c r="J8279" s="18">
        <f>IFERROR(__xludf.DUMMYFUNCTION("""COMPUTED_VALUE"""),1.0)</f>
        <v>1</v>
      </c>
      <c r="K8279" s="18">
        <f>IFERROR(__xludf.DUMMYFUNCTION("""COMPUTED_VALUE"""),10.0)</f>
        <v>10</v>
      </c>
      <c r="L8279" s="17">
        <f>IFERROR(__xludf.DUMMYFUNCTION("""COMPUTED_VALUE"""),3.01782078E9)</f>
        <v>3017820780</v>
      </c>
      <c r="M8279" s="17"/>
      <c r="N8279" s="17"/>
      <c r="O8279" s="17"/>
      <c r="P8279" s="17" t="b">
        <f>IFERROR(__xludf.DUMMYFUNCTION("""COMPUTED_VALUE"""),FALSE)</f>
        <v>0</v>
      </c>
      <c r="Q8279" s="20" t="str">
        <f>IFERROR(__xludf.DUMMYFUNCTION("""COMPUTED_VALUE"""),"")</f>
        <v/>
      </c>
      <c r="R8279" s="21" t="str">
        <f>IFERROR(__xludf.DUMMYFUNCTION("""COMPUTED_VALUE"""),"https://drive.google.com/file/d/1VJ_MJtEUSVBMMzZuT-EUvL_2-340-SUe/view?usp=drivesdk")</f>
        <v>https://drive.google.com/file/d/1VJ_MJtEUSVBMMzZuT-EUvL_2-340-SUe/view?usp=drivesdk</v>
      </c>
    </row>
    <row r="8280">
      <c r="A8280" s="17" t="str">
        <f>IFERROR(__xludf.DUMMYFUNCTION("""COMPUTED_VALUE"""),"")</f>
        <v/>
      </c>
      <c r="B8280" s="17" t="str">
        <f>IFERROR(__xludf.DUMMYFUNCTION("""COMPUTED_VALUE"""),"")</f>
        <v/>
      </c>
      <c r="C8280" s="17" t="str">
        <f>IFERROR(__xludf.DUMMYFUNCTION("""COMPUTED_VALUE"""),"")</f>
        <v/>
      </c>
      <c r="D8280" s="17" t="str">
        <f>IFERROR(__xludf.DUMMYFUNCTION("""COMPUTED_VALUE"""),"")</f>
        <v/>
      </c>
      <c r="E8280" s="17" t="str">
        <f>IFERROR(__xludf.DUMMYFUNCTION("""COMPUTED_VALUE"""),"")</f>
        <v/>
      </c>
      <c r="F8280" s="17" t="str">
        <f>IFERROR(__xludf.DUMMYFUNCTION("""COMPUTED_VALUE"""),"")</f>
        <v/>
      </c>
      <c r="G8280" s="17" t="str">
        <f>IFERROR(__xludf.DUMMYFUNCTION("""COMPUTED_VALUE"""),"")</f>
        <v/>
      </c>
      <c r="H8280" s="17" t="str">
        <f>IFERROR(__xludf.DUMMYFUNCTION("""COMPUTED_VALUE"""),"")</f>
        <v/>
      </c>
      <c r="I8280" s="17" t="str">
        <f>IFERROR(__xludf.DUMMYFUNCTION("""COMPUTED_VALUE"""),"")</f>
        <v/>
      </c>
      <c r="J8280" s="17" t="str">
        <f>IFERROR(__xludf.DUMMYFUNCTION("""COMPUTED_VALUE"""),"")</f>
        <v/>
      </c>
      <c r="K8280" s="17" t="str">
        <f>IFERROR(__xludf.DUMMYFUNCTION("""COMPUTED_VALUE"""),"")</f>
        <v/>
      </c>
      <c r="L8280" s="17" t="str">
        <f>IFERROR(__xludf.DUMMYFUNCTION("""COMPUTED_VALUE"""),"")</f>
        <v/>
      </c>
      <c r="M8280" s="17" t="str">
        <f>IFERROR(__xludf.DUMMYFUNCTION("""COMPUTED_VALUE"""),"")</f>
        <v/>
      </c>
      <c r="N8280" s="17" t="str">
        <f>IFERROR(__xludf.DUMMYFUNCTION("""COMPUTED_VALUE"""),"")</f>
        <v/>
      </c>
      <c r="O8280" s="17" t="str">
        <f>IFERROR(__xludf.DUMMYFUNCTION("""COMPUTED_VALUE"""),"")</f>
        <v/>
      </c>
      <c r="P8280" s="17" t="str">
        <f>IFERROR(__xludf.DUMMYFUNCTION("""COMPUTED_VALUE"""),"")</f>
        <v/>
      </c>
      <c r="Q8280" s="17" t="str">
        <f>IFERROR(__xludf.DUMMYFUNCTION("""COMPUTED_VALUE"""),"")</f>
        <v/>
      </c>
      <c r="R8280" s="17" t="str">
        <f>IFERROR(__xludf.DUMMYFUNCTION("""COMPUTED_VALUE"""),"")</f>
        <v/>
      </c>
    </row>
    <row r="8281">
      <c r="A8281" s="15">
        <f>IFERROR(__xludf.DUMMYFUNCTION("""COMPUTED_VALUE"""),45233.0)</f>
        <v>45233</v>
      </c>
      <c r="B8281" s="16" t="str">
        <f>IFERROR(__xludf.DUMMYFUNCTION("""COMPUTED_VALUE"""),"Santiago Garces Restrepo")</f>
        <v>Santiago Garces Restrepo</v>
      </c>
      <c r="C8281" s="15" t="str">
        <f>IFERROR(__xludf.DUMMYFUNCTION("""COMPUTED_VALUE"""),"CALI")</f>
        <v>CALI</v>
      </c>
      <c r="D8281" s="15" t="str">
        <f>IFERROR(__xludf.DUMMYFUNCTION("""COMPUTED_VALUE"""),"BOGOTÁ")</f>
        <v>BOGOTÁ</v>
      </c>
      <c r="E8281" s="15" t="str">
        <f>IFERROR(__xludf.DUMMYFUNCTION("""COMPUTED_VALUE"""),"Renata")</f>
        <v>Renata</v>
      </c>
      <c r="F8281" s="17" t="str">
        <f>IFERROR(__xludf.DUMMYFUNCTION("""COMPUTED_VALUE"""),"Carrera 3#3a-83 / Patio 34 food containers -restaurante  / San Fernando")</f>
        <v>Carrera 3#3a-83 / Patio 34 food containers -restaurante  / San Fernando</v>
      </c>
      <c r="G8281" s="15" t="str">
        <f>IFERROR(__xludf.DUMMYFUNCTION("""COMPUTED_VALUE"""),"Retaco sas")</f>
        <v>Retaco sas</v>
      </c>
      <c r="H8281" s="16">
        <f>IFERROR(__xludf.DUMMYFUNCTION("""COMPUTED_VALUE"""),16933.0)</f>
        <v>16933</v>
      </c>
      <c r="I8281" s="18">
        <f>IFERROR(__xludf.DUMMYFUNCTION("""COMPUTED_VALUE"""),90.0)</f>
        <v>90</v>
      </c>
      <c r="J8281" s="18">
        <f>IFERROR(__xludf.DUMMYFUNCTION("""COMPUTED_VALUE"""),70.0)</f>
        <v>70</v>
      </c>
      <c r="K8281" s="18">
        <f>IFERROR(__xludf.DUMMYFUNCTION("""COMPUTED_VALUE"""),60.0)</f>
        <v>60</v>
      </c>
      <c r="L8281" s="17">
        <f>IFERROR(__xludf.DUMMYFUNCTION("""COMPUTED_VALUE"""),3.124720976E9)</f>
        <v>3124720976</v>
      </c>
      <c r="M8281" s="17"/>
      <c r="N8281" s="17"/>
      <c r="O8281" s="17"/>
      <c r="P8281" s="17" t="b">
        <f>IFERROR(__xludf.DUMMYFUNCTION("""COMPUTED_VALUE"""),FALSE)</f>
        <v>0</v>
      </c>
      <c r="Q8281" s="20" t="str">
        <f>IFERROR(__xludf.DUMMYFUNCTION("""COMPUTED_VALUE"""),"")</f>
        <v/>
      </c>
      <c r="R8281" s="21" t="str">
        <f>IFERROR(__xludf.DUMMYFUNCTION("""COMPUTED_VALUE"""),"https://drive.google.com/file/d/1lrLxN2AIkar-KJCm6_zlGUyT9n-4CVPj/view?usp=drivesdk")</f>
        <v>https://drive.google.com/file/d/1lrLxN2AIkar-KJCm6_zlGUyT9n-4CVPj/view?usp=drivesdk</v>
      </c>
    </row>
    <row r="8282">
      <c r="A8282" s="15">
        <f>IFERROR(__xludf.DUMMYFUNCTION("""COMPUTED_VALUE"""),45233.0)</f>
        <v>45233</v>
      </c>
      <c r="B8282" s="16" t="str">
        <f>IFERROR(__xludf.DUMMYFUNCTION("""COMPUTED_VALUE"""),"Santiago Garces Restrepo")</f>
        <v>Santiago Garces Restrepo</v>
      </c>
      <c r="C8282" s="15" t="str">
        <f>IFERROR(__xludf.DUMMYFUNCTION("""COMPUTED_VALUE"""),"ITAGÜI")</f>
        <v>ITAGÜI</v>
      </c>
      <c r="D8282" s="15" t="str">
        <f>IFERROR(__xludf.DUMMYFUNCTION("""COMPUTED_VALUE"""),"BOGOTÁ")</f>
        <v>BOGOTÁ</v>
      </c>
      <c r="E8282" s="15" t="str">
        <f>IFERROR(__xludf.DUMMYFUNCTION("""COMPUTED_VALUE"""),"Top Spun")</f>
        <v>Top Spun</v>
      </c>
      <c r="F8282" s="17" t="str">
        <f>IFERROR(__xludf.DUMMYFUNCTION("""COMPUTED_VALUE"""),"Calle 52#47A 05 / Esquina tienda Itagui / Itagüi")</f>
        <v>Calle 52#47A 05 / Esquina tienda Itagui / Itagüi</v>
      </c>
      <c r="G8282" s="15" t="str">
        <f>IFERROR(__xludf.DUMMYFUNCTION("""COMPUTED_VALUE"""),"Sara Montoya")</f>
        <v>Sara Montoya</v>
      </c>
      <c r="H8282" s="16">
        <f>IFERROR(__xludf.DUMMYFUNCTION("""COMPUTED_VALUE"""),16928.0)</f>
        <v>16928</v>
      </c>
      <c r="I8282" s="18">
        <f>IFERROR(__xludf.DUMMYFUNCTION("""COMPUTED_VALUE"""),20.0)</f>
        <v>20</v>
      </c>
      <c r="J8282" s="18">
        <f>IFERROR(__xludf.DUMMYFUNCTION("""COMPUTED_VALUE"""),10.0)</f>
        <v>10</v>
      </c>
      <c r="K8282" s="18">
        <f>IFERROR(__xludf.DUMMYFUNCTION("""COMPUTED_VALUE"""),40.0)</f>
        <v>40</v>
      </c>
      <c r="L8282" s="17">
        <f>IFERROR(__xludf.DUMMYFUNCTION("""COMPUTED_VALUE"""),3.113984442E9)</f>
        <v>3113984442</v>
      </c>
      <c r="M8282" s="17"/>
      <c r="N8282" s="17"/>
      <c r="O8282" s="17"/>
      <c r="P8282" s="17" t="b">
        <f>IFERROR(__xludf.DUMMYFUNCTION("""COMPUTED_VALUE"""),FALSE)</f>
        <v>0</v>
      </c>
      <c r="Q8282" s="20" t="str">
        <f>IFERROR(__xludf.DUMMYFUNCTION("""COMPUTED_VALUE"""),"")</f>
        <v/>
      </c>
      <c r="R8282" s="21" t="str">
        <f>IFERROR(__xludf.DUMMYFUNCTION("""COMPUTED_VALUE"""),"https://drive.google.com/file/d/143nTglbIlV-Im99KepCuVE0NHi2YYkpH/view?usp=drivesdk")</f>
        <v>https://drive.google.com/file/d/143nTglbIlV-Im99KepCuVE0NHi2YYkpH/view?usp=drivesdk</v>
      </c>
    </row>
    <row r="8283">
      <c r="A8283" s="15">
        <f>IFERROR(__xludf.DUMMYFUNCTION("""COMPUTED_VALUE"""),45233.0)</f>
        <v>45233</v>
      </c>
      <c r="B8283" s="16" t="str">
        <f>IFERROR(__xludf.DUMMYFUNCTION("""COMPUTED_VALUE"""),"Santiago Garces Restrepo")</f>
        <v>Santiago Garces Restrepo</v>
      </c>
      <c r="C8283" s="15" t="str">
        <f>IFERROR(__xludf.DUMMYFUNCTION("""COMPUTED_VALUE"""),"MEDELLÍN")</f>
        <v>MEDELLÍN</v>
      </c>
      <c r="D8283" s="15" t="str">
        <f>IFERROR(__xludf.DUMMYFUNCTION("""COMPUTED_VALUE"""),"BOGOTÁ")</f>
        <v>BOGOTÁ</v>
      </c>
      <c r="E8283" s="15" t="str">
        <f>IFERROR(__xludf.DUMMYFUNCTION("""COMPUTED_VALUE"""),"MAI ALIMENTOS REALES")</f>
        <v>MAI ALIMENTOS REALES</v>
      </c>
      <c r="F8283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283" s="15" t="str">
        <f>IFERROR(__xludf.DUMMYFUNCTION("""COMPUTED_VALUE"""),"Novaventas")</f>
        <v>Novaventas</v>
      </c>
      <c r="H8283" s="16">
        <f>IFERROR(__xludf.DUMMYFUNCTION("""COMPUTED_VALUE"""),16864.0)</f>
        <v>16864</v>
      </c>
      <c r="I8283" s="17"/>
      <c r="J8283" s="17"/>
      <c r="K8283" s="17"/>
      <c r="L8283" s="17">
        <f>IFERROR(__xludf.DUMMYFUNCTION("""COMPUTED_VALUE"""),3.187351593E9)</f>
        <v>3187351593</v>
      </c>
      <c r="M8283" s="17"/>
      <c r="N8283" s="17"/>
      <c r="O8283" s="17"/>
      <c r="P8283" s="17" t="b">
        <f>IFERROR(__xludf.DUMMYFUNCTION("""COMPUTED_VALUE"""),FALSE)</f>
        <v>0</v>
      </c>
      <c r="Q8283" s="20" t="str">
        <f>IFERROR(__xludf.DUMMYFUNCTION("""COMPUTED_VALUE"""),"")</f>
        <v/>
      </c>
      <c r="R8283" s="21" t="str">
        <f>IFERROR(__xludf.DUMMYFUNCTION("""COMPUTED_VALUE"""),"https://drive.google.com/file/d/1TPvALGb0Ela2J03_qCr4PPyBsqiR6dpQ/view?usp=drivesdk")</f>
        <v>https://drive.google.com/file/d/1TPvALGb0Ela2J03_qCr4PPyBsqiR6dpQ/view?usp=drivesdk</v>
      </c>
    </row>
    <row r="8284">
      <c r="A8284" s="15">
        <f>IFERROR(__xludf.DUMMYFUNCTION("""COMPUTED_VALUE"""),45233.0)</f>
        <v>45233</v>
      </c>
      <c r="B8284" s="16" t="str">
        <f>IFERROR(__xludf.DUMMYFUNCTION("""COMPUTED_VALUE"""),"Santiago Garces Restrepo")</f>
        <v>Santiago Garces Restrepo</v>
      </c>
      <c r="C8284" s="15" t="str">
        <f>IFERROR(__xludf.DUMMYFUNCTION("""COMPUTED_VALUE"""),"MEDELLÍN")</f>
        <v>MEDELLÍN</v>
      </c>
      <c r="D8284" s="15" t="str">
        <f>IFERROR(__xludf.DUMMYFUNCTION("""COMPUTED_VALUE"""),"BOGOTÁ")</f>
        <v>BOGOTÁ</v>
      </c>
      <c r="E8284" s="15" t="str">
        <f>IFERROR(__xludf.DUMMYFUNCTION("""COMPUTED_VALUE"""),"Orso")</f>
        <v>Orso</v>
      </c>
      <c r="F8284" s="17" t="str">
        <f>IFERROR(__xludf.DUMMYFUNCTION("""COMPUTED_VALUE"""),"Cra. 27 #23 Sur-120  / San Jorge, Envigado, Antioquia / San Jorge, Envigado, Antioquia")</f>
        <v>Cra. 27 #23 Sur-120  / San Jorge, Envigado, Antioquia / San Jorge, Envigado, Antioquia</v>
      </c>
      <c r="G8284" s="15" t="str">
        <f>IFERROR(__xludf.DUMMYFUNCTION("""COMPUTED_VALUE"""),"Rappi turbo medeliin")</f>
        <v>Rappi turbo medeliin</v>
      </c>
      <c r="H8284" s="16">
        <f>IFERROR(__xludf.DUMMYFUNCTION("""COMPUTED_VALUE"""),16888.0)</f>
        <v>16888</v>
      </c>
      <c r="I8284" s="18">
        <f>IFERROR(__xludf.DUMMYFUNCTION("""COMPUTED_VALUE"""),1.0)</f>
        <v>1</v>
      </c>
      <c r="J8284" s="18">
        <f>IFERROR(__xludf.DUMMYFUNCTION("""COMPUTED_VALUE"""),1.0)</f>
        <v>1</v>
      </c>
      <c r="K8284" s="18">
        <f>IFERROR(__xludf.DUMMYFUNCTION("""COMPUTED_VALUE"""),1.0)</f>
        <v>1</v>
      </c>
      <c r="L8284" s="17">
        <f>IFERROR(__xludf.DUMMYFUNCTION("""COMPUTED_VALUE"""),3.012888007E9)</f>
        <v>3012888007</v>
      </c>
      <c r="M8284" s="17"/>
      <c r="N8284" s="17"/>
      <c r="O8284" s="17"/>
      <c r="P8284" s="17" t="b">
        <f>IFERROR(__xludf.DUMMYFUNCTION("""COMPUTED_VALUE"""),FALSE)</f>
        <v>0</v>
      </c>
      <c r="Q8284" s="20" t="str">
        <f>IFERROR(__xludf.DUMMYFUNCTION("""COMPUTED_VALUE"""),"")</f>
        <v/>
      </c>
      <c r="R8284" s="21" t="str">
        <f>IFERROR(__xludf.DUMMYFUNCTION("""COMPUTED_VALUE"""),"https://drive.google.com/file/d/1MmCHAfNw8JzZQ6Yl-jeUXgdJy_15oAd5/view?usp=drivesdk")</f>
        <v>https://drive.google.com/file/d/1MmCHAfNw8JzZQ6Yl-jeUXgdJy_15oAd5/view?usp=drivesdk</v>
      </c>
    </row>
    <row r="8285">
      <c r="A8285" s="15">
        <f>IFERROR(__xludf.DUMMYFUNCTION("""COMPUTED_VALUE"""),45233.0)</f>
        <v>45233</v>
      </c>
      <c r="B8285" s="16" t="str">
        <f>IFERROR(__xludf.DUMMYFUNCTION("""COMPUTED_VALUE"""),"Santiago Garces Restrepo")</f>
        <v>Santiago Garces Restrepo</v>
      </c>
      <c r="C8285" s="15" t="str">
        <f>IFERROR(__xludf.DUMMYFUNCTION("""COMPUTED_VALUE"""),"MEDELLÍN")</f>
        <v>MEDELLÍN</v>
      </c>
      <c r="D8285" s="15" t="str">
        <f>IFERROR(__xludf.DUMMYFUNCTION("""COMPUTED_VALUE"""),"BOGOTÁ")</f>
        <v>BOGOTÁ</v>
      </c>
      <c r="E8285" s="15" t="str">
        <f>IFERROR(__xludf.DUMMYFUNCTION("""COMPUTED_VALUE"""),"Top Spun")</f>
        <v>Top Spun</v>
      </c>
      <c r="F8285" s="17" t="str">
        <f>IFERROR(__xludf.DUMMYFUNCTION("""COMPUTED_VALUE"""),"CALLE 6 #16-14 / SAUCES DE LA CALERA / APTO 1304")</f>
        <v>CALLE 6 #16-14 / SAUCES DE LA CALERA / APTO 1304</v>
      </c>
      <c r="G8285" s="15" t="str">
        <f>IFERROR(__xludf.DUMMYFUNCTION("""COMPUTED_VALUE"""),"LUISA SALINAS")</f>
        <v>LUISA SALINAS</v>
      </c>
      <c r="H8285" s="16">
        <f>IFERROR(__xludf.DUMMYFUNCTION("""COMPUTED_VALUE"""),16927.0)</f>
        <v>16927</v>
      </c>
      <c r="I8285" s="18">
        <f>IFERROR(__xludf.DUMMYFUNCTION("""COMPUTED_VALUE"""),20.0)</f>
        <v>20</v>
      </c>
      <c r="J8285" s="18">
        <f>IFERROR(__xludf.DUMMYFUNCTION("""COMPUTED_VALUE"""),10.0)</f>
        <v>10</v>
      </c>
      <c r="K8285" s="18">
        <f>IFERROR(__xludf.DUMMYFUNCTION("""COMPUTED_VALUE"""),40.0)</f>
        <v>40</v>
      </c>
      <c r="L8285" s="17">
        <f>IFERROR(__xludf.DUMMYFUNCTION("""COMPUTED_VALUE"""),3.122579689E9)</f>
        <v>3122579689</v>
      </c>
      <c r="M8285" s="17"/>
      <c r="N8285" s="17"/>
      <c r="O8285" s="17"/>
      <c r="P8285" s="17" t="b">
        <f>IFERROR(__xludf.DUMMYFUNCTION("""COMPUTED_VALUE"""),FALSE)</f>
        <v>0</v>
      </c>
      <c r="Q8285" s="20" t="str">
        <f>IFERROR(__xludf.DUMMYFUNCTION("""COMPUTED_VALUE"""),"")</f>
        <v/>
      </c>
      <c r="R8285" s="21" t="str">
        <f>IFERROR(__xludf.DUMMYFUNCTION("""COMPUTED_VALUE"""),"https://drive.google.com/file/d/17sGTjKRABn-SuVZpTGraCJFY5suqKk9K/view?usp=drivesdk")</f>
        <v>https://drive.google.com/file/d/17sGTjKRABn-SuVZpTGraCJFY5suqKk9K/view?usp=drivesdk</v>
      </c>
    </row>
    <row r="8286">
      <c r="A8286" s="17" t="str">
        <f>IFERROR(__xludf.DUMMYFUNCTION("""COMPUTED_VALUE"""),"")</f>
        <v/>
      </c>
      <c r="B8286" s="17" t="str">
        <f>IFERROR(__xludf.DUMMYFUNCTION("""COMPUTED_VALUE"""),"")</f>
        <v/>
      </c>
      <c r="C8286" s="17" t="str">
        <f>IFERROR(__xludf.DUMMYFUNCTION("""COMPUTED_VALUE"""),"")</f>
        <v/>
      </c>
      <c r="D8286" s="17" t="str">
        <f>IFERROR(__xludf.DUMMYFUNCTION("""COMPUTED_VALUE"""),"")</f>
        <v/>
      </c>
      <c r="E8286" s="17" t="str">
        <f>IFERROR(__xludf.DUMMYFUNCTION("""COMPUTED_VALUE"""),"")</f>
        <v/>
      </c>
      <c r="F8286" s="17" t="str">
        <f>IFERROR(__xludf.DUMMYFUNCTION("""COMPUTED_VALUE"""),"")</f>
        <v/>
      </c>
      <c r="G8286" s="17" t="str">
        <f>IFERROR(__xludf.DUMMYFUNCTION("""COMPUTED_VALUE"""),"")</f>
        <v/>
      </c>
      <c r="H8286" s="17" t="str">
        <f>IFERROR(__xludf.DUMMYFUNCTION("""COMPUTED_VALUE"""),"")</f>
        <v/>
      </c>
      <c r="I8286" s="17" t="str">
        <f>IFERROR(__xludf.DUMMYFUNCTION("""COMPUTED_VALUE"""),"")</f>
        <v/>
      </c>
      <c r="J8286" s="17" t="str">
        <f>IFERROR(__xludf.DUMMYFUNCTION("""COMPUTED_VALUE"""),"")</f>
        <v/>
      </c>
      <c r="K8286" s="17" t="str">
        <f>IFERROR(__xludf.DUMMYFUNCTION("""COMPUTED_VALUE"""),"")</f>
        <v/>
      </c>
      <c r="L8286" s="17" t="str">
        <f>IFERROR(__xludf.DUMMYFUNCTION("""COMPUTED_VALUE"""),"")</f>
        <v/>
      </c>
      <c r="M8286" s="17" t="str">
        <f>IFERROR(__xludf.DUMMYFUNCTION("""COMPUTED_VALUE"""),"")</f>
        <v/>
      </c>
      <c r="N8286" s="17" t="str">
        <f>IFERROR(__xludf.DUMMYFUNCTION("""COMPUTED_VALUE"""),"")</f>
        <v/>
      </c>
      <c r="O8286" s="17" t="str">
        <f>IFERROR(__xludf.DUMMYFUNCTION("""COMPUTED_VALUE"""),"")</f>
        <v/>
      </c>
      <c r="P8286" s="17" t="str">
        <f>IFERROR(__xludf.DUMMYFUNCTION("""COMPUTED_VALUE"""),"")</f>
        <v/>
      </c>
      <c r="Q8286" s="17" t="str">
        <f>IFERROR(__xludf.DUMMYFUNCTION("""COMPUTED_VALUE"""),"")</f>
        <v/>
      </c>
      <c r="R8286" s="17" t="str">
        <f>IFERROR(__xludf.DUMMYFUNCTION("""COMPUTED_VALUE"""),"")</f>
        <v/>
      </c>
    </row>
    <row r="8287">
      <c r="A8287" s="15">
        <f>IFERROR(__xludf.DUMMYFUNCTION("""COMPUTED_VALUE"""),45234.0)</f>
        <v>45234</v>
      </c>
      <c r="B8287" s="16" t="str">
        <f>IFERROR(__xludf.DUMMYFUNCTION("""COMPUTED_VALUE"""),"Santiago Garces Restrepo")</f>
        <v>Santiago Garces Restrepo</v>
      </c>
      <c r="C8287" s="15" t="str">
        <f>IFERROR(__xludf.DUMMYFUNCTION("""COMPUTED_VALUE"""),"ITAGÜI")</f>
        <v>ITAGÜI</v>
      </c>
      <c r="D8287" s="15" t="str">
        <f>IFERROR(__xludf.DUMMYFUNCTION("""COMPUTED_VALUE"""),"BOGOTÁ")</f>
        <v>BOGOTÁ</v>
      </c>
      <c r="E8287" s="15" t="str">
        <f>IFERROR(__xludf.DUMMYFUNCTION("""COMPUTED_VALUE"""),"Outdoor")</f>
        <v>Outdoor</v>
      </c>
      <c r="F8287" s="17" t="str">
        <f>IFERROR(__xludf.DUMMYFUNCTION("""COMPUTED_VALUE"""),"CR 45A # 60 -39 / bodega 120 interior 3  / itagui, detras de las bodegas de postobon")</f>
        <v>CR 45A # 60 -39 / bodega 120 interior 3  / itagui, detras de las bodegas de postobon</v>
      </c>
      <c r="G8287" s="15" t="str">
        <f>IFERROR(__xludf.DUMMYFUNCTION("""COMPUTED_VALUE"""),"inversiones outdoor sas bodega medellin")</f>
        <v>inversiones outdoor sas bodega medellin</v>
      </c>
      <c r="H8287" s="16">
        <f>IFERROR(__xludf.DUMMYFUNCTION("""COMPUTED_VALUE"""),16944.0)</f>
        <v>16944</v>
      </c>
      <c r="I8287" s="18">
        <f>IFERROR(__xludf.DUMMYFUNCTION("""COMPUTED_VALUE"""),30.0)</f>
        <v>30</v>
      </c>
      <c r="J8287" s="18">
        <f>IFERROR(__xludf.DUMMYFUNCTION("""COMPUTED_VALUE"""),10.0)</f>
        <v>10</v>
      </c>
      <c r="K8287" s="18">
        <f>IFERROR(__xludf.DUMMYFUNCTION("""COMPUTED_VALUE"""),25.0)</f>
        <v>25</v>
      </c>
      <c r="L8287" s="17">
        <f>IFERROR(__xludf.DUMMYFUNCTION("""COMPUTED_VALUE"""),3.165354309E9)</f>
        <v>3165354309</v>
      </c>
      <c r="M8287" s="17"/>
      <c r="N8287" s="17"/>
      <c r="O8287" s="17"/>
      <c r="P8287" s="17" t="b">
        <f>IFERROR(__xludf.DUMMYFUNCTION("""COMPUTED_VALUE"""),FALSE)</f>
        <v>0</v>
      </c>
      <c r="Q8287" s="20" t="str">
        <f>IFERROR(__xludf.DUMMYFUNCTION("""COMPUTED_VALUE"""),"")</f>
        <v/>
      </c>
      <c r="R8287" s="21" t="str">
        <f>IFERROR(__xludf.DUMMYFUNCTION("""COMPUTED_VALUE"""),"https://drive.google.com/file/d/1Wv51yKz1FFfbiwbNSCj247KGU6INukJn/view?usp=drivesdk")</f>
        <v>https://drive.google.com/file/d/1Wv51yKz1FFfbiwbNSCj247KGU6INukJn/view?usp=drivesdk</v>
      </c>
    </row>
    <row r="8288">
      <c r="A8288" s="17" t="str">
        <f>IFERROR(__xludf.DUMMYFUNCTION("""COMPUTED_VALUE"""),"")</f>
        <v/>
      </c>
      <c r="B8288" s="17" t="str">
        <f>IFERROR(__xludf.DUMMYFUNCTION("""COMPUTED_VALUE"""),"")</f>
        <v/>
      </c>
      <c r="C8288" s="17" t="str">
        <f>IFERROR(__xludf.DUMMYFUNCTION("""COMPUTED_VALUE"""),"")</f>
        <v/>
      </c>
      <c r="D8288" s="17" t="str">
        <f>IFERROR(__xludf.DUMMYFUNCTION("""COMPUTED_VALUE"""),"")</f>
        <v/>
      </c>
      <c r="E8288" s="17" t="str">
        <f>IFERROR(__xludf.DUMMYFUNCTION("""COMPUTED_VALUE"""),"")</f>
        <v/>
      </c>
      <c r="F8288" s="17" t="str">
        <f>IFERROR(__xludf.DUMMYFUNCTION("""COMPUTED_VALUE"""),"")</f>
        <v/>
      </c>
      <c r="G8288" s="17" t="str">
        <f>IFERROR(__xludf.DUMMYFUNCTION("""COMPUTED_VALUE"""),"")</f>
        <v/>
      </c>
      <c r="H8288" s="17" t="str">
        <f>IFERROR(__xludf.DUMMYFUNCTION("""COMPUTED_VALUE"""),"")</f>
        <v/>
      </c>
      <c r="I8288" s="17" t="str">
        <f>IFERROR(__xludf.DUMMYFUNCTION("""COMPUTED_VALUE"""),"")</f>
        <v/>
      </c>
      <c r="J8288" s="17" t="str">
        <f>IFERROR(__xludf.DUMMYFUNCTION("""COMPUTED_VALUE"""),"")</f>
        <v/>
      </c>
      <c r="K8288" s="17" t="str">
        <f>IFERROR(__xludf.DUMMYFUNCTION("""COMPUTED_VALUE"""),"")</f>
        <v/>
      </c>
      <c r="L8288" s="17" t="str">
        <f>IFERROR(__xludf.DUMMYFUNCTION("""COMPUTED_VALUE"""),"")</f>
        <v/>
      </c>
      <c r="M8288" s="17" t="str">
        <f>IFERROR(__xludf.DUMMYFUNCTION("""COMPUTED_VALUE"""),"")</f>
        <v/>
      </c>
      <c r="N8288" s="17" t="str">
        <f>IFERROR(__xludf.DUMMYFUNCTION("""COMPUTED_VALUE"""),"")</f>
        <v/>
      </c>
      <c r="O8288" s="17" t="str">
        <f>IFERROR(__xludf.DUMMYFUNCTION("""COMPUTED_VALUE"""),"")</f>
        <v/>
      </c>
      <c r="P8288" s="17" t="str">
        <f>IFERROR(__xludf.DUMMYFUNCTION("""COMPUTED_VALUE"""),"")</f>
        <v/>
      </c>
      <c r="Q8288" s="17" t="str">
        <f>IFERROR(__xludf.DUMMYFUNCTION("""COMPUTED_VALUE"""),"")</f>
        <v/>
      </c>
      <c r="R8288" s="17" t="str">
        <f>IFERROR(__xludf.DUMMYFUNCTION("""COMPUTED_VALUE"""),"")</f>
        <v/>
      </c>
    </row>
    <row r="8289">
      <c r="A8289" s="15">
        <f>IFERROR(__xludf.DUMMYFUNCTION("""COMPUTED_VALUE"""),45238.0)</f>
        <v>45238</v>
      </c>
      <c r="B8289" s="17"/>
      <c r="C8289" s="15" t="str">
        <f>IFERROR(__xludf.DUMMYFUNCTION("""COMPUTED_VALUE"""),"BOGOTÁ")</f>
        <v>BOGOTÁ</v>
      </c>
      <c r="D8289" s="15" t="str">
        <f>IFERROR(__xludf.DUMMYFUNCTION("""COMPUTED_VALUE"""),"MEDELLÍN")</f>
        <v>MEDELLÍN</v>
      </c>
      <c r="E8289" s="15" t="str">
        <f>IFERROR(__xludf.DUMMYFUNCTION("""COMPUTED_VALUE"""),"Carnicos Fricar")</f>
        <v>Carnicos Fricar</v>
      </c>
      <c r="F8289" s="17" t="str">
        <f>IFERROR(__xludf.DUMMYFUNCTION("""COMPUTED_VALUE"""),"CALLE 140 # 11- 45 edificio HHC oficina 701 / edificio - oficina 701 ISIMO / BOGOTA")</f>
        <v>CALLE 140 # 11- 45 edificio HHC oficina 701 / edificio - oficina 701 ISIMO / BOGOTA</v>
      </c>
      <c r="G8289" s="15" t="str">
        <f>IFERROR(__xludf.DUMMYFUNCTION("""COMPUTED_VALUE"""),"ANDRES PUERTA")</f>
        <v>ANDRES PUERTA</v>
      </c>
      <c r="H8289" s="16">
        <f>IFERROR(__xludf.DUMMYFUNCTION("""COMPUTED_VALUE"""),16998.0)</f>
        <v>16998</v>
      </c>
      <c r="I8289" s="18">
        <f>IFERROR(__xludf.DUMMYFUNCTION("""COMPUTED_VALUE"""),15.0)</f>
        <v>15</v>
      </c>
      <c r="J8289" s="18">
        <f>IFERROR(__xludf.DUMMYFUNCTION("""COMPUTED_VALUE"""),30.0)</f>
        <v>30</v>
      </c>
      <c r="K8289" s="18">
        <f>IFERROR(__xludf.DUMMYFUNCTION("""COMPUTED_VALUE"""),8.0)</f>
        <v>8</v>
      </c>
      <c r="L8289" s="17">
        <f>IFERROR(__xludf.DUMMYFUNCTION("""COMPUTED_VALUE"""),3.160489557E9)</f>
        <v>3160489557</v>
      </c>
      <c r="M8289" s="17"/>
      <c r="N8289" s="17"/>
      <c r="O8289" s="17"/>
      <c r="P8289" s="17" t="b">
        <f>IFERROR(__xludf.DUMMYFUNCTION("""COMPUTED_VALUE"""),FALSE)</f>
        <v>0</v>
      </c>
      <c r="Q8289" s="20" t="str">
        <f>IFERROR(__xludf.DUMMYFUNCTION("""COMPUTED_VALUE"""),"")</f>
        <v/>
      </c>
      <c r="R8289" s="21" t="str">
        <f>IFERROR(__xludf.DUMMYFUNCTION("""COMPUTED_VALUE"""),"https://drive.google.com/file/d/1gQsBm95Zk-5zgFsLzmROeZsFnDek2ypk/view?usp=drivesdk")</f>
        <v>https://drive.google.com/file/d/1gQsBm95Zk-5zgFsLzmROeZsFnDek2ypk/view?usp=drivesdk</v>
      </c>
    </row>
    <row r="8290">
      <c r="A8290" s="15">
        <f>IFERROR(__xludf.DUMMYFUNCTION("""COMPUTED_VALUE"""),45238.0)</f>
        <v>45238</v>
      </c>
      <c r="B8290" s="17"/>
      <c r="C8290" s="15" t="str">
        <f>IFERROR(__xludf.DUMMYFUNCTION("""COMPUTED_VALUE"""),"MEDELLÍN")</f>
        <v>MEDELLÍN</v>
      </c>
      <c r="D8290" s="15" t="str">
        <f>IFERROR(__xludf.DUMMYFUNCTION("""COMPUTED_VALUE"""),"BOGOTÁ")</f>
        <v>BOGOTÁ</v>
      </c>
      <c r="E8290" s="15" t="str">
        <f>IFERROR(__xludf.DUMMYFUNCTION("""COMPUTED_VALUE"""),"Spirulina Fresca")</f>
        <v>Spirulina Fresca</v>
      </c>
      <c r="F8290" s="17" t="str">
        <f>IFERROR(__xludf.DUMMYFUNCTION("""COMPUTED_VALUE"""),"Calle 45 a sur #39b 02 / Casa 117 / Envigado")</f>
        <v>Calle 45 a sur #39b 02 / Casa 117 / Envigado</v>
      </c>
      <c r="G8290" s="15" t="str">
        <f>IFERROR(__xludf.DUMMYFUNCTION("""COMPUTED_VALUE"""),"Marisol Gonzalez")</f>
        <v>Marisol Gonzalez</v>
      </c>
      <c r="H8290" s="16">
        <f>IFERROR(__xludf.DUMMYFUNCTION("""COMPUTED_VALUE"""),16991.0)</f>
        <v>16991</v>
      </c>
      <c r="I8290" s="18">
        <f>IFERROR(__xludf.DUMMYFUNCTION("""COMPUTED_VALUE"""),5.0)</f>
        <v>5</v>
      </c>
      <c r="J8290" s="18">
        <f>IFERROR(__xludf.DUMMYFUNCTION("""COMPUTED_VALUE"""),5.0)</f>
        <v>5</v>
      </c>
      <c r="K8290" s="18">
        <f>IFERROR(__xludf.DUMMYFUNCTION("""COMPUTED_VALUE"""),22.0)</f>
        <v>22</v>
      </c>
      <c r="L8290" s="17">
        <f>IFERROR(__xludf.DUMMYFUNCTION("""COMPUTED_VALUE"""),3.158292957E9)</f>
        <v>3158292957</v>
      </c>
      <c r="M8290" s="17"/>
      <c r="N8290" s="17"/>
      <c r="O8290" s="17"/>
      <c r="P8290" s="17" t="b">
        <f>IFERROR(__xludf.DUMMYFUNCTION("""COMPUTED_VALUE"""),FALSE)</f>
        <v>0</v>
      </c>
      <c r="Q8290" s="20" t="str">
        <f>IFERROR(__xludf.DUMMYFUNCTION("""COMPUTED_VALUE"""),"")</f>
        <v/>
      </c>
      <c r="R8290" s="21" t="str">
        <f>IFERROR(__xludf.DUMMYFUNCTION("""COMPUTED_VALUE"""),"https://drive.google.com/file/d/1ExBwr1YTaUtTwWDRsmkfoOO6IuHS9tVd/view?usp=drivesdk")</f>
        <v>https://drive.google.com/file/d/1ExBwr1YTaUtTwWDRsmkfoOO6IuHS9tVd/view?usp=drivesdk</v>
      </c>
    </row>
    <row r="8291">
      <c r="A8291" s="15">
        <f>IFERROR(__xludf.DUMMYFUNCTION("""COMPUTED_VALUE"""),45238.0)</f>
        <v>45238</v>
      </c>
      <c r="B8291" s="17"/>
      <c r="C8291" s="15" t="str">
        <f>IFERROR(__xludf.DUMMYFUNCTION("""COMPUTED_VALUE"""),"MEDELLÍN")</f>
        <v>MEDELLÍN</v>
      </c>
      <c r="D8291" s="15" t="str">
        <f>IFERROR(__xludf.DUMMYFUNCTION("""COMPUTED_VALUE"""),"BOGOTÁ")</f>
        <v>BOGOTÁ</v>
      </c>
      <c r="E8291" s="15" t="str">
        <f>IFERROR(__xludf.DUMMYFUNCTION("""COMPUTED_VALUE"""),"Top Spun")</f>
        <v>Top Spun</v>
      </c>
      <c r="F8291" s="17" t="str">
        <f>IFERROR(__xludf.DUMMYFUNCTION("""COMPUTED_VALUE"""),"Calle 5A # 13-12  / Barrio La Ceiba  / Girardota")</f>
        <v>Calle 5A # 13-12  / Barrio La Ceiba  / Girardota</v>
      </c>
      <c r="G8291" s="15" t="str">
        <f>IFERROR(__xludf.DUMMYFUNCTION("""COMPUTED_VALUE"""),"Ana María Cano")</f>
        <v>Ana María Cano</v>
      </c>
      <c r="H8291" s="16">
        <f>IFERROR(__xludf.DUMMYFUNCTION("""COMPUTED_VALUE"""),16977.0)</f>
        <v>16977</v>
      </c>
      <c r="I8291" s="18">
        <f>IFERROR(__xludf.DUMMYFUNCTION("""COMPUTED_VALUE"""),20.0)</f>
        <v>20</v>
      </c>
      <c r="J8291" s="18">
        <f>IFERROR(__xludf.DUMMYFUNCTION("""COMPUTED_VALUE"""),10.0)</f>
        <v>10</v>
      </c>
      <c r="K8291" s="18">
        <f>IFERROR(__xludf.DUMMYFUNCTION("""COMPUTED_VALUE"""),40.0)</f>
        <v>40</v>
      </c>
      <c r="L8291" s="17">
        <f>IFERROR(__xludf.DUMMYFUNCTION("""COMPUTED_VALUE"""),3.218722419E9)</f>
        <v>3218722419</v>
      </c>
      <c r="M8291" s="17"/>
      <c r="N8291" s="17"/>
      <c r="O8291" s="17"/>
      <c r="P8291" s="17" t="b">
        <f>IFERROR(__xludf.DUMMYFUNCTION("""COMPUTED_VALUE"""),FALSE)</f>
        <v>0</v>
      </c>
      <c r="Q8291" s="20" t="str">
        <f>IFERROR(__xludf.DUMMYFUNCTION("""COMPUTED_VALUE"""),"")</f>
        <v/>
      </c>
      <c r="R8291" s="22" t="str">
        <f>IFERROR(__xludf.DUMMYFUNCTION("""COMPUTED_VALUE"""),"")</f>
        <v/>
      </c>
    </row>
    <row r="8292">
      <c r="A8292" s="17" t="str">
        <f>IFERROR(__xludf.DUMMYFUNCTION("""COMPUTED_VALUE"""),"")</f>
        <v/>
      </c>
      <c r="B8292" s="17" t="str">
        <f>IFERROR(__xludf.DUMMYFUNCTION("""COMPUTED_VALUE"""),"")</f>
        <v/>
      </c>
      <c r="C8292" s="17" t="str">
        <f>IFERROR(__xludf.DUMMYFUNCTION("""COMPUTED_VALUE"""),"")</f>
        <v/>
      </c>
      <c r="D8292" s="17" t="str">
        <f>IFERROR(__xludf.DUMMYFUNCTION("""COMPUTED_VALUE"""),"")</f>
        <v/>
      </c>
      <c r="E8292" s="17" t="str">
        <f>IFERROR(__xludf.DUMMYFUNCTION("""COMPUTED_VALUE"""),"")</f>
        <v/>
      </c>
      <c r="F8292" s="17" t="str">
        <f>IFERROR(__xludf.DUMMYFUNCTION("""COMPUTED_VALUE"""),"")</f>
        <v/>
      </c>
      <c r="G8292" s="17" t="str">
        <f>IFERROR(__xludf.DUMMYFUNCTION("""COMPUTED_VALUE"""),"")</f>
        <v/>
      </c>
      <c r="H8292" s="17" t="str">
        <f>IFERROR(__xludf.DUMMYFUNCTION("""COMPUTED_VALUE"""),"")</f>
        <v/>
      </c>
      <c r="I8292" s="17" t="str">
        <f>IFERROR(__xludf.DUMMYFUNCTION("""COMPUTED_VALUE"""),"")</f>
        <v/>
      </c>
      <c r="J8292" s="17" t="str">
        <f>IFERROR(__xludf.DUMMYFUNCTION("""COMPUTED_VALUE"""),"")</f>
        <v/>
      </c>
      <c r="K8292" s="17" t="str">
        <f>IFERROR(__xludf.DUMMYFUNCTION("""COMPUTED_VALUE"""),"")</f>
        <v/>
      </c>
      <c r="L8292" s="17" t="str">
        <f>IFERROR(__xludf.DUMMYFUNCTION("""COMPUTED_VALUE"""),"")</f>
        <v/>
      </c>
      <c r="M8292" s="17" t="str">
        <f>IFERROR(__xludf.DUMMYFUNCTION("""COMPUTED_VALUE"""),"")</f>
        <v/>
      </c>
      <c r="N8292" s="17" t="str">
        <f>IFERROR(__xludf.DUMMYFUNCTION("""COMPUTED_VALUE"""),"")</f>
        <v/>
      </c>
      <c r="O8292" s="17" t="str">
        <f>IFERROR(__xludf.DUMMYFUNCTION("""COMPUTED_VALUE"""),"")</f>
        <v/>
      </c>
      <c r="P8292" s="17" t="str">
        <f>IFERROR(__xludf.DUMMYFUNCTION("""COMPUTED_VALUE"""),"")</f>
        <v/>
      </c>
      <c r="Q8292" s="17" t="str">
        <f>IFERROR(__xludf.DUMMYFUNCTION("""COMPUTED_VALUE"""),"")</f>
        <v/>
      </c>
      <c r="R8292" s="17" t="str">
        <f>IFERROR(__xludf.DUMMYFUNCTION("""COMPUTED_VALUE"""),"")</f>
        <v/>
      </c>
    </row>
    <row r="8293">
      <c r="A8293" s="15">
        <f>IFERROR(__xludf.DUMMYFUNCTION("""COMPUTED_VALUE"""),45238.0)</f>
        <v>45238</v>
      </c>
      <c r="B8293" s="16" t="str">
        <f>IFERROR(__xludf.DUMMYFUNCTION("""COMPUTED_VALUE"""),"Alvaro Chacón")</f>
        <v>Alvaro Chacón</v>
      </c>
      <c r="C8293" s="15" t="str">
        <f>IFERROR(__xludf.DUMMYFUNCTION("""COMPUTED_VALUE"""),"BOGOTÁ")</f>
        <v>BOGOTÁ</v>
      </c>
      <c r="D8293" s="15" t="str">
        <f>IFERROR(__xludf.DUMMYFUNCTION("""COMPUTED_VALUE"""),"ENVIGADO")</f>
        <v>ENVIGADO</v>
      </c>
      <c r="E8293" s="15" t="str">
        <f>IFERROR(__xludf.DUMMYFUNCTION("""COMPUTED_VALUE"""),"JUAN CAMILO CORDOBA")</f>
        <v>JUAN CAMILO CORDOBA</v>
      </c>
      <c r="F8293" s="17" t="str">
        <f>IFERROR(__xludf.DUMMYFUNCTION("""COMPUTED_VALUE"""),"Calle 25B # 70B - 50 / Conjunto Gran reserva de Mallorca, Torre 3, Apto 1207")</f>
        <v>Calle 25B # 70B - 50 / Conjunto Gran reserva de Mallorca, Torre 3, Apto 1207</v>
      </c>
      <c r="G8293" s="15" t="str">
        <f>IFERROR(__xludf.DUMMYFUNCTION("""COMPUTED_VALUE"""),"Andrés Hamón Silva")</f>
        <v>Andrés Hamón Silva</v>
      </c>
      <c r="H8293" s="16">
        <f>IFERROR(__xludf.DUMMYFUNCTION("""COMPUTED_VALUE"""),17089.0)</f>
        <v>17089</v>
      </c>
      <c r="I8293" s="17"/>
      <c r="J8293" s="17"/>
      <c r="K8293" s="17"/>
      <c r="L8293" s="17">
        <f>IFERROR(__xludf.DUMMYFUNCTION("""COMPUTED_VALUE"""),3.014772992E9)</f>
        <v>3014772992</v>
      </c>
      <c r="M8293" s="17"/>
      <c r="N8293" s="17"/>
      <c r="O8293" s="17"/>
      <c r="P8293" s="17" t="b">
        <f>IFERROR(__xludf.DUMMYFUNCTION("""COMPUTED_VALUE"""),FALSE)</f>
        <v>0</v>
      </c>
      <c r="Q8293" s="20" t="str">
        <f>IFERROR(__xludf.DUMMYFUNCTION("""COMPUTED_VALUE"""),"")</f>
        <v/>
      </c>
      <c r="R8293" s="21" t="str">
        <f>IFERROR(__xludf.DUMMYFUNCTION("""COMPUTED_VALUE"""),"https://drive.google.com/file/d/1omHviEV8Iz2PtZ7EnWuedG8gcP3jkPNn/view?usp=drivesdk")</f>
        <v>https://drive.google.com/file/d/1omHviEV8Iz2PtZ7EnWuedG8gcP3jkPNn/view?usp=drivesdk</v>
      </c>
    </row>
    <row r="8294">
      <c r="A8294" s="15">
        <f>IFERROR(__xludf.DUMMYFUNCTION("""COMPUTED_VALUE"""),45238.0)</f>
        <v>45238</v>
      </c>
      <c r="B8294" s="16" t="str">
        <f>IFERROR(__xludf.DUMMYFUNCTION("""COMPUTED_VALUE"""),"Alvaro Chacón")</f>
        <v>Alvaro Chacón</v>
      </c>
      <c r="C8294" s="15" t="str">
        <f>IFERROR(__xludf.DUMMYFUNCTION("""COMPUTED_VALUE"""),"BOGOTÁ")</f>
        <v>BOGOTÁ</v>
      </c>
      <c r="D8294" s="15" t="str">
        <f>IFERROR(__xludf.DUMMYFUNCTION("""COMPUTED_VALUE"""),"ENVIGADO")</f>
        <v>ENVIGADO</v>
      </c>
      <c r="E8294" s="15" t="str">
        <f>IFERROR(__xludf.DUMMYFUNCTION("""COMPUTED_VALUE"""),"JUAN CAMILO CORDOBA")</f>
        <v>JUAN CAMILO CORDOBA</v>
      </c>
      <c r="F8294" s="17" t="str">
        <f>IFERROR(__xludf.DUMMYFUNCTION("""COMPUTED_VALUE"""),"Calle 93a #11-46 / 0")</f>
        <v>Calle 93a #11-46 / 0</v>
      </c>
      <c r="G8294" s="15" t="str">
        <f>IFERROR(__xludf.DUMMYFUNCTION("""COMPUTED_VALUE"""),"Fit Hub")</f>
        <v>Fit Hub</v>
      </c>
      <c r="H8294" s="16">
        <f>IFERROR(__xludf.DUMMYFUNCTION("""COMPUTED_VALUE"""),17090.0)</f>
        <v>17090</v>
      </c>
      <c r="I8294" s="17"/>
      <c r="J8294" s="17"/>
      <c r="K8294" s="17"/>
      <c r="L8294" s="17">
        <f>IFERROR(__xludf.DUMMYFUNCTION("""COMPUTED_VALUE"""),3.015447307E9)</f>
        <v>3015447307</v>
      </c>
      <c r="M8294" s="17"/>
      <c r="N8294" s="17"/>
      <c r="O8294" s="17"/>
      <c r="P8294" s="17" t="b">
        <f>IFERROR(__xludf.DUMMYFUNCTION("""COMPUTED_VALUE"""),FALSE)</f>
        <v>0</v>
      </c>
      <c r="Q8294" s="20" t="str">
        <f>IFERROR(__xludf.DUMMYFUNCTION("""COMPUTED_VALUE"""),"")</f>
        <v/>
      </c>
      <c r="R8294" s="22" t="str">
        <f>IFERROR(__xludf.DUMMYFUNCTION("""COMPUTED_VALUE"""),"")</f>
        <v/>
      </c>
    </row>
    <row r="8295">
      <c r="A8295" s="15">
        <f>IFERROR(__xludf.DUMMYFUNCTION("""COMPUTED_VALUE"""),45238.0)</f>
        <v>45238</v>
      </c>
      <c r="B8295" s="16" t="str">
        <f>IFERROR(__xludf.DUMMYFUNCTION("""COMPUTED_VALUE"""),"Alvaro Chacón")</f>
        <v>Alvaro Chacón</v>
      </c>
      <c r="C8295" s="15" t="str">
        <f>IFERROR(__xludf.DUMMYFUNCTION("""COMPUTED_VALUE"""),"BOGOTÁ")</f>
        <v>BOGOTÁ</v>
      </c>
      <c r="D8295" s="15" t="str">
        <f>IFERROR(__xludf.DUMMYFUNCTION("""COMPUTED_VALUE"""),"ENVIGADO")</f>
        <v>ENVIGADO</v>
      </c>
      <c r="E8295" s="15" t="str">
        <f>IFERROR(__xludf.DUMMYFUNCTION("""COMPUTED_VALUE"""),"JUAN CAMILO CORDOBA")</f>
        <v>JUAN CAMILO CORDOBA</v>
      </c>
      <c r="F8295" s="17" t="str">
        <f>IFERROR(__xludf.DUMMYFUNCTION("""COMPUTED_VALUE"""),"CR 8 127 73 / LC 4")</f>
        <v>CR 8 127 73 / LC 4</v>
      </c>
      <c r="G8295" s="15" t="str">
        <f>IFERROR(__xludf.DUMMYFUNCTION("""COMPUTED_VALUE"""),"Vitalmente")</f>
        <v>Vitalmente</v>
      </c>
      <c r="H8295" s="16">
        <f>IFERROR(__xludf.DUMMYFUNCTION("""COMPUTED_VALUE"""),17088.0)</f>
        <v>17088</v>
      </c>
      <c r="I8295" s="17"/>
      <c r="J8295" s="17"/>
      <c r="K8295" s="17"/>
      <c r="L8295" s="17">
        <f>IFERROR(__xludf.DUMMYFUNCTION("""COMPUTED_VALUE"""),3.202040407E9)</f>
        <v>3202040407</v>
      </c>
      <c r="M8295" s="17"/>
      <c r="N8295" s="17"/>
      <c r="O8295" s="17"/>
      <c r="P8295" s="17" t="b">
        <f>IFERROR(__xludf.DUMMYFUNCTION("""COMPUTED_VALUE"""),FALSE)</f>
        <v>0</v>
      </c>
      <c r="Q8295" s="20" t="str">
        <f>IFERROR(__xludf.DUMMYFUNCTION("""COMPUTED_VALUE"""),"")</f>
        <v/>
      </c>
      <c r="R8295" s="22" t="str">
        <f>IFERROR(__xludf.DUMMYFUNCTION("""COMPUTED_VALUE"""),"")</f>
        <v/>
      </c>
    </row>
    <row r="8296">
      <c r="A8296" s="15">
        <f>IFERROR(__xludf.DUMMYFUNCTION("""COMPUTED_VALUE"""),45238.0)</f>
        <v>45238</v>
      </c>
      <c r="B8296" s="16" t="str">
        <f>IFERROR(__xludf.DUMMYFUNCTION("""COMPUTED_VALUE"""),"Alvaro Chacón")</f>
        <v>Alvaro Chacón</v>
      </c>
      <c r="C8296" s="15" t="str">
        <f>IFERROR(__xludf.DUMMYFUNCTION("""COMPUTED_VALUE"""),"BOGOTÁ")</f>
        <v>BOGOTÁ</v>
      </c>
      <c r="D8296" s="15" t="str">
        <f>IFERROR(__xludf.DUMMYFUNCTION("""COMPUTED_VALUE"""),"MEDELLÍN")</f>
        <v>MEDELLÍN</v>
      </c>
      <c r="E8296" s="15" t="str">
        <f>IFERROR(__xludf.DUMMYFUNCTION("""COMPUTED_VALUE"""),"Baby Chef")</f>
        <v>Baby Chef</v>
      </c>
      <c r="F8296" s="17" t="str">
        <f>IFERROR(__xludf.DUMMYFUNCTION("""COMPUTED_VALUE"""),"Carrera 118 86-20 Interior 30 Apto 103  / Carrera 118 86-20 Interior 30 Apto 103  / .")</f>
        <v>Carrera 118 86-20 Interior 30 Apto 103  / Carrera 118 86-20 Interior 30 Apto 103  / .</v>
      </c>
      <c r="G8296" s="15" t="str">
        <f>IFERROR(__xludf.DUMMYFUNCTION("""COMPUTED_VALUE"""),"shirley rolsan")</f>
        <v>shirley rolsan</v>
      </c>
      <c r="H8296" s="16">
        <f>IFERROR(__xludf.DUMMYFUNCTION("""COMPUTED_VALUE"""),17098.0)</f>
        <v>17098</v>
      </c>
      <c r="I8296" s="18">
        <f>IFERROR(__xludf.DUMMYFUNCTION("""COMPUTED_VALUE"""),8.0)</f>
        <v>8</v>
      </c>
      <c r="J8296" s="18">
        <f>IFERROR(__xludf.DUMMYFUNCTION("""COMPUTED_VALUE"""),16.0)</f>
        <v>16</v>
      </c>
      <c r="K8296" s="18">
        <f>IFERROR(__xludf.DUMMYFUNCTION("""COMPUTED_VALUE"""),20.0)</f>
        <v>20</v>
      </c>
      <c r="L8296" s="17">
        <f>IFERROR(__xludf.DUMMYFUNCTION("""COMPUTED_VALUE"""),3.016725674E9)</f>
        <v>3016725674</v>
      </c>
      <c r="M8296" s="17"/>
      <c r="N8296" s="17"/>
      <c r="O8296" s="17"/>
      <c r="P8296" s="17" t="b">
        <f>IFERROR(__xludf.DUMMYFUNCTION("""COMPUTED_VALUE"""),FALSE)</f>
        <v>0</v>
      </c>
      <c r="Q8296" s="20" t="str">
        <f>IFERROR(__xludf.DUMMYFUNCTION("""COMPUTED_VALUE"""),"")</f>
        <v/>
      </c>
      <c r="R8296" s="21" t="str">
        <f>IFERROR(__xludf.DUMMYFUNCTION("""COMPUTED_VALUE"""),"https://drive.google.com/file/d/1qSLA4IJ1eOOFsTinMIvHGPetFtesUJL6/view?usp=drivesdk")</f>
        <v>https://drive.google.com/file/d/1qSLA4IJ1eOOFsTinMIvHGPetFtesUJL6/view?usp=drivesdk</v>
      </c>
    </row>
    <row r="8297">
      <c r="A8297" s="15">
        <f>IFERROR(__xludf.DUMMYFUNCTION("""COMPUTED_VALUE"""),45238.0)</f>
        <v>45238</v>
      </c>
      <c r="B8297" s="16" t="str">
        <f>IFERROR(__xludf.DUMMYFUNCTION("""COMPUTED_VALUE"""),"Alvaro Chacón")</f>
        <v>Alvaro Chacón</v>
      </c>
      <c r="C8297" s="15" t="str">
        <f>IFERROR(__xludf.DUMMYFUNCTION("""COMPUTED_VALUE"""),"BOGOTÁ")</f>
        <v>BOGOTÁ</v>
      </c>
      <c r="D8297" s="15" t="str">
        <f>IFERROR(__xludf.DUMMYFUNCTION("""COMPUTED_VALUE"""),"MEDELLÍN")</f>
        <v>MEDELLÍN</v>
      </c>
      <c r="E8297" s="15" t="str">
        <f>IFERROR(__xludf.DUMMYFUNCTION("""COMPUTED_VALUE"""),"Baby Chef")</f>
        <v>Baby Chef</v>
      </c>
      <c r="F8297" s="17" t="str">
        <f>IFERROR(__xludf.DUMMYFUNCTION("""COMPUTED_VALUE"""),"Carrera 54 d 135-34 Torre 2 apartamento 1001 / . / .")</f>
        <v>Carrera 54 d 135-34 Torre 2 apartamento 1001 / . / .</v>
      </c>
      <c r="G8297" s="15" t="str">
        <f>IFERROR(__xludf.DUMMYFUNCTION("""COMPUTED_VALUE"""),"Luisa Barragan")</f>
        <v>Luisa Barragan</v>
      </c>
      <c r="H8297" s="16">
        <f>IFERROR(__xludf.DUMMYFUNCTION("""COMPUTED_VALUE"""),17035.0)</f>
        <v>17035</v>
      </c>
      <c r="I8297" s="18">
        <f>IFERROR(__xludf.DUMMYFUNCTION("""COMPUTED_VALUE"""),6.0)</f>
        <v>6</v>
      </c>
      <c r="J8297" s="18">
        <f>IFERROR(__xludf.DUMMYFUNCTION("""COMPUTED_VALUE"""),24.0)</f>
        <v>24</v>
      </c>
      <c r="K8297" s="18">
        <f>IFERROR(__xludf.DUMMYFUNCTION("""COMPUTED_VALUE"""),22.0)</f>
        <v>22</v>
      </c>
      <c r="L8297" s="17">
        <f>IFERROR(__xludf.DUMMYFUNCTION("""COMPUTED_VALUE"""),3.102606893E9)</f>
        <v>3102606893</v>
      </c>
      <c r="M8297" s="17"/>
      <c r="N8297" s="17"/>
      <c r="O8297" s="17"/>
      <c r="P8297" s="17" t="b">
        <f>IFERROR(__xludf.DUMMYFUNCTION("""COMPUTED_VALUE"""),FALSE)</f>
        <v>0</v>
      </c>
      <c r="Q8297" s="20" t="str">
        <f>IFERROR(__xludf.DUMMYFUNCTION("""COMPUTED_VALUE"""),"")</f>
        <v/>
      </c>
      <c r="R8297" s="21" t="str">
        <f>IFERROR(__xludf.DUMMYFUNCTION("""COMPUTED_VALUE"""),"https://drive.google.com/file/d/1Nzwy7XXznLq6Jo4l3kkj6hbbW-_CQosb/view?usp=drivesdk")</f>
        <v>https://drive.google.com/file/d/1Nzwy7XXznLq6Jo4l3kkj6hbbW-_CQosb/view?usp=drivesdk</v>
      </c>
    </row>
    <row r="8298">
      <c r="A8298" s="15">
        <f>IFERROR(__xludf.DUMMYFUNCTION("""COMPUTED_VALUE"""),45238.0)</f>
        <v>45238</v>
      </c>
      <c r="B8298" s="16" t="str">
        <f>IFERROR(__xludf.DUMMYFUNCTION("""COMPUTED_VALUE"""),"Alvaro Chacón")</f>
        <v>Alvaro Chacón</v>
      </c>
      <c r="C8298" s="15" t="str">
        <f>IFERROR(__xludf.DUMMYFUNCTION("""COMPUTED_VALUE"""),"BOGOTÁ")</f>
        <v>BOGOTÁ</v>
      </c>
      <c r="D8298" s="15" t="str">
        <f>IFERROR(__xludf.DUMMYFUNCTION("""COMPUTED_VALUE"""),"MEDELLÍN")</f>
        <v>MEDELLÍN</v>
      </c>
      <c r="E8298" s="15" t="str">
        <f>IFERROR(__xludf.DUMMYFUNCTION("""COMPUTED_VALUE"""),"Baby Chef")</f>
        <v>Baby Chef</v>
      </c>
      <c r="F8298" s="17" t="str">
        <f>IFERROR(__xludf.DUMMYFUNCTION("""COMPUTED_VALUE"""),"Cra 13bis 109 08 Apto 501 / . / .")</f>
        <v>Cra 13bis 109 08 Apto 501 / . / .</v>
      </c>
      <c r="G8298" s="15" t="str">
        <f>IFERROR(__xludf.DUMMYFUNCTION("""COMPUTED_VALUE"""),"Paola Bernal")</f>
        <v>Paola Bernal</v>
      </c>
      <c r="H8298" s="16">
        <f>IFERROR(__xludf.DUMMYFUNCTION("""COMPUTED_VALUE"""),17036.0)</f>
        <v>17036</v>
      </c>
      <c r="I8298" s="18">
        <f>IFERROR(__xludf.DUMMYFUNCTION("""COMPUTED_VALUE"""),6.0)</f>
        <v>6</v>
      </c>
      <c r="J8298" s="18">
        <f>IFERROR(__xludf.DUMMYFUNCTION("""COMPUTED_VALUE"""),22.0)</f>
        <v>22</v>
      </c>
      <c r="K8298" s="18">
        <f>IFERROR(__xludf.DUMMYFUNCTION("""COMPUTED_VALUE"""),24.0)</f>
        <v>24</v>
      </c>
      <c r="L8298" s="17">
        <f>IFERROR(__xludf.DUMMYFUNCTION("""COMPUTED_VALUE"""),3.022269747E9)</f>
        <v>3022269747</v>
      </c>
      <c r="M8298" s="17"/>
      <c r="N8298" s="17"/>
      <c r="O8298" s="17"/>
      <c r="P8298" s="17" t="b">
        <f>IFERROR(__xludf.DUMMYFUNCTION("""COMPUTED_VALUE"""),FALSE)</f>
        <v>0</v>
      </c>
      <c r="Q8298" s="20" t="str">
        <f>IFERROR(__xludf.DUMMYFUNCTION("""COMPUTED_VALUE"""),"")</f>
        <v/>
      </c>
      <c r="R8298" s="21" t="str">
        <f>IFERROR(__xludf.DUMMYFUNCTION("""COMPUTED_VALUE"""),"https://drive.google.com/file/d/1p4Zm1xgiUOZo_7kHfl-pmYiuZzcKLpcL/view?usp=drivesdk")</f>
        <v>https://drive.google.com/file/d/1p4Zm1xgiUOZo_7kHfl-pmYiuZzcKLpcL/view?usp=drivesdk</v>
      </c>
    </row>
    <row r="8299">
      <c r="A8299" s="15">
        <f>IFERROR(__xludf.DUMMYFUNCTION("""COMPUTED_VALUE"""),45238.0)</f>
        <v>45238</v>
      </c>
      <c r="B8299" s="16" t="str">
        <f>IFERROR(__xludf.DUMMYFUNCTION("""COMPUTED_VALUE"""),"Alvaro Chacón")</f>
        <v>Alvaro Chacón</v>
      </c>
      <c r="C8299" s="15" t="str">
        <f>IFERROR(__xludf.DUMMYFUNCTION("""COMPUTED_VALUE"""),"BOGOTÁ")</f>
        <v>BOGOTÁ</v>
      </c>
      <c r="D8299" s="15" t="str">
        <f>IFERROR(__xludf.DUMMYFUNCTION("""COMPUTED_VALUE"""),"MEDELLÍN")</f>
        <v>MEDELLÍN</v>
      </c>
      <c r="E8299" s="15" t="str">
        <f>IFERROR(__xludf.DUMMYFUNCTION("""COMPUTED_VALUE"""),"Baby Chef")</f>
        <v>Baby Chef</v>
      </c>
      <c r="F8299" s="17" t="str">
        <f>IFERROR(__xludf.DUMMYFUNCTION("""COMPUTED_VALUE"""),"Dirección:  calle 17 #53-45  piso 3 Barrio: Puente Aranda / . / .")</f>
        <v>Dirección:  calle 17 #53-45  piso 3 Barrio: Puente Aranda / . / .</v>
      </c>
      <c r="G8299" s="15" t="str">
        <f>IFERROR(__xludf.DUMMYFUNCTION("""COMPUTED_VALUE"""),"Jenny Sánchez")</f>
        <v>Jenny Sánchez</v>
      </c>
      <c r="H8299" s="16">
        <f>IFERROR(__xludf.DUMMYFUNCTION("""COMPUTED_VALUE"""),17032.0)</f>
        <v>17032</v>
      </c>
      <c r="I8299" s="18">
        <f>IFERROR(__xludf.DUMMYFUNCTION("""COMPUTED_VALUE"""),8.0)</f>
        <v>8</v>
      </c>
      <c r="J8299" s="18">
        <f>IFERROR(__xludf.DUMMYFUNCTION("""COMPUTED_VALUE"""),20.0)</f>
        <v>20</v>
      </c>
      <c r="K8299" s="18">
        <f>IFERROR(__xludf.DUMMYFUNCTION("""COMPUTED_VALUE"""),32.0)</f>
        <v>32</v>
      </c>
      <c r="L8299" s="17">
        <f>IFERROR(__xludf.DUMMYFUNCTION("""COMPUTED_VALUE"""),3.112753707E9)</f>
        <v>3112753707</v>
      </c>
      <c r="M8299" s="17"/>
      <c r="N8299" s="17"/>
      <c r="O8299" s="17"/>
      <c r="P8299" s="17" t="b">
        <f>IFERROR(__xludf.DUMMYFUNCTION("""COMPUTED_VALUE"""),FALSE)</f>
        <v>0</v>
      </c>
      <c r="Q8299" s="20" t="str">
        <f>IFERROR(__xludf.DUMMYFUNCTION("""COMPUTED_VALUE"""),"")</f>
        <v/>
      </c>
      <c r="R8299" s="21" t="str">
        <f>IFERROR(__xludf.DUMMYFUNCTION("""COMPUTED_VALUE"""),"https://drive.google.com/file/d/1SG_RmVaD7sjGzOvrMyl5mJIDMV0TBvQV/view?usp=drivesdk")</f>
        <v>https://drive.google.com/file/d/1SG_RmVaD7sjGzOvrMyl5mJIDMV0TBvQV/view?usp=drivesdk</v>
      </c>
    </row>
    <row r="8300">
      <c r="A8300" s="15">
        <f>IFERROR(__xludf.DUMMYFUNCTION("""COMPUTED_VALUE"""),45238.0)</f>
        <v>45238</v>
      </c>
      <c r="B8300" s="16" t="str">
        <f>IFERROR(__xludf.DUMMYFUNCTION("""COMPUTED_VALUE"""),"Alvaro Chacón")</f>
        <v>Alvaro Chacón</v>
      </c>
      <c r="C8300" s="15" t="str">
        <f>IFERROR(__xludf.DUMMYFUNCTION("""COMPUTED_VALUE"""),"VILLAMARÍA")</f>
        <v>VILLAMARÍA</v>
      </c>
      <c r="D8300" s="15" t="str">
        <f>IFERROR(__xludf.DUMMYFUNCTION("""COMPUTED_VALUE"""),"BOGOTÁ")</f>
        <v>BOGOTÁ</v>
      </c>
      <c r="E8300" s="15" t="str">
        <f>IFERROR(__xludf.DUMMYFUNCTION("""COMPUTED_VALUE"""),"Instinto alimento vital")</f>
        <v>Instinto alimento vital</v>
      </c>
      <c r="F8300" s="17" t="str">
        <f>IFERROR(__xludf.DUMMYFUNCTION("""COMPUTED_VALUE"""),"CRA 3 # 14-55 / VILLAMARIA - CALDAS - COLOMBIA")</f>
        <v>CRA 3 # 14-55 / VILLAMARIA - CALDAS - COLOMBIA</v>
      </c>
      <c r="G8300" s="15" t="str">
        <f>IFERROR(__xludf.DUMMYFUNCTION("""COMPUTED_VALUE"""),"PAULA ANDREA RIOS ACEVEDO")</f>
        <v>PAULA ANDREA RIOS ACEVEDO</v>
      </c>
      <c r="H8300" s="16">
        <f>IFERROR(__xludf.DUMMYFUNCTION("""COMPUTED_VALUE"""),17009.0)</f>
        <v>17009</v>
      </c>
      <c r="I8300" s="17"/>
      <c r="J8300" s="17"/>
      <c r="K8300" s="17"/>
      <c r="L8300" s="17">
        <f>IFERROR(__xludf.DUMMYFUNCTION("""COMPUTED_VALUE"""),3.137938554E9)</f>
        <v>3137938554</v>
      </c>
      <c r="M8300" s="17"/>
      <c r="N8300" s="17"/>
      <c r="O8300" s="17"/>
      <c r="P8300" s="17" t="b">
        <f>IFERROR(__xludf.DUMMYFUNCTION("""COMPUTED_VALUE"""),FALSE)</f>
        <v>0</v>
      </c>
      <c r="Q8300" s="20" t="str">
        <f>IFERROR(__xludf.DUMMYFUNCTION("""COMPUTED_VALUE"""),"")</f>
        <v/>
      </c>
      <c r="R8300" s="21" t="str">
        <f>IFERROR(__xludf.DUMMYFUNCTION("""COMPUTED_VALUE"""),"https://drive.google.com/file/d/12UYGIoqQ2P1c6ZQfgY8v0Zmfcg1rkvKv/view?usp=drivesdk")</f>
        <v>https://drive.google.com/file/d/12UYGIoqQ2P1c6ZQfgY8v0Zmfcg1rkvKv/view?usp=drivesdk</v>
      </c>
    </row>
    <row r="8301">
      <c r="A8301" s="17" t="str">
        <f>IFERROR(__xludf.DUMMYFUNCTION("""COMPUTED_VALUE"""),"")</f>
        <v/>
      </c>
      <c r="B8301" s="17" t="str">
        <f>IFERROR(__xludf.DUMMYFUNCTION("""COMPUTED_VALUE"""),"")</f>
        <v/>
      </c>
      <c r="C8301" s="17" t="str">
        <f>IFERROR(__xludf.DUMMYFUNCTION("""COMPUTED_VALUE"""),"")</f>
        <v/>
      </c>
      <c r="D8301" s="17" t="str">
        <f>IFERROR(__xludf.DUMMYFUNCTION("""COMPUTED_VALUE"""),"")</f>
        <v/>
      </c>
      <c r="E8301" s="17" t="str">
        <f>IFERROR(__xludf.DUMMYFUNCTION("""COMPUTED_VALUE"""),"")</f>
        <v/>
      </c>
      <c r="F8301" s="17" t="str">
        <f>IFERROR(__xludf.DUMMYFUNCTION("""COMPUTED_VALUE"""),"")</f>
        <v/>
      </c>
      <c r="G8301" s="17" t="str">
        <f>IFERROR(__xludf.DUMMYFUNCTION("""COMPUTED_VALUE"""),"")</f>
        <v/>
      </c>
      <c r="H8301" s="17" t="str">
        <f>IFERROR(__xludf.DUMMYFUNCTION("""COMPUTED_VALUE"""),"")</f>
        <v/>
      </c>
      <c r="I8301" s="17" t="str">
        <f>IFERROR(__xludf.DUMMYFUNCTION("""COMPUTED_VALUE"""),"")</f>
        <v/>
      </c>
      <c r="J8301" s="17" t="str">
        <f>IFERROR(__xludf.DUMMYFUNCTION("""COMPUTED_VALUE"""),"")</f>
        <v/>
      </c>
      <c r="K8301" s="17" t="str">
        <f>IFERROR(__xludf.DUMMYFUNCTION("""COMPUTED_VALUE"""),"")</f>
        <v/>
      </c>
      <c r="L8301" s="17" t="str">
        <f>IFERROR(__xludf.DUMMYFUNCTION("""COMPUTED_VALUE"""),"")</f>
        <v/>
      </c>
      <c r="M8301" s="17" t="str">
        <f>IFERROR(__xludf.DUMMYFUNCTION("""COMPUTED_VALUE"""),"")</f>
        <v/>
      </c>
      <c r="N8301" s="17" t="str">
        <f>IFERROR(__xludf.DUMMYFUNCTION("""COMPUTED_VALUE"""),"")</f>
        <v/>
      </c>
      <c r="O8301" s="17" t="str">
        <f>IFERROR(__xludf.DUMMYFUNCTION("""COMPUTED_VALUE"""),"")</f>
        <v/>
      </c>
      <c r="P8301" s="17" t="str">
        <f>IFERROR(__xludf.DUMMYFUNCTION("""COMPUTED_VALUE"""),"")</f>
        <v/>
      </c>
      <c r="Q8301" s="17" t="str">
        <f>IFERROR(__xludf.DUMMYFUNCTION("""COMPUTED_VALUE"""),"")</f>
        <v/>
      </c>
      <c r="R8301" s="17" t="str">
        <f>IFERROR(__xludf.DUMMYFUNCTION("""COMPUTED_VALUE"""),"")</f>
        <v/>
      </c>
    </row>
    <row r="8302">
      <c r="A8302" s="15">
        <f>IFERROR(__xludf.DUMMYFUNCTION("""COMPUTED_VALUE"""),45238.0)</f>
        <v>45238</v>
      </c>
      <c r="B8302" s="16" t="str">
        <f>IFERROR(__xludf.DUMMYFUNCTION("""COMPUTED_VALUE"""),"Carlos Manuel Sosa")</f>
        <v>Carlos Manuel Sosa</v>
      </c>
      <c r="C8302" s="15" t="str">
        <f>IFERROR(__xludf.DUMMYFUNCTION("""COMPUTED_VALUE"""),"BARRANQUILLA")</f>
        <v>BARRANQUILLA</v>
      </c>
      <c r="D8302" s="15" t="str">
        <f>IFERROR(__xludf.DUMMYFUNCTION("""COMPUTED_VALUE"""),"BOGOTÁ")</f>
        <v>BOGOTÁ</v>
      </c>
      <c r="E8302" s="15" t="str">
        <f>IFERROR(__xludf.DUMMYFUNCTION("""COMPUTED_VALUE"""),"INVERSIONES MOCHI")</f>
        <v>INVERSIONES MOCHI</v>
      </c>
      <c r="F8302" s="17" t="str">
        <f>IFERROR(__xludf.DUMMYFUNCTION("""COMPUTED_VALUE"""),"cra 51b #87-50 / centro comercial viva barranquilla")</f>
        <v>cra 51b #87-50 / centro comercial viva barranquilla</v>
      </c>
      <c r="G8302" s="15" t="str">
        <f>IFERROR(__xludf.DUMMYFUNCTION("""COMPUTED_VALUE"""),"centro comercial viva Barranquilla")</f>
        <v>centro comercial viva Barranquilla</v>
      </c>
      <c r="H8302" s="16">
        <f>IFERROR(__xludf.DUMMYFUNCTION("""COMPUTED_VALUE"""),17082.0)</f>
        <v>17082</v>
      </c>
      <c r="I8302" s="17"/>
      <c r="J8302" s="17"/>
      <c r="K8302" s="17"/>
      <c r="L8302" s="17">
        <f>IFERROR(__xludf.DUMMYFUNCTION("""COMPUTED_VALUE"""),3.116026252E9)</f>
        <v>3116026252</v>
      </c>
      <c r="M8302" s="17"/>
      <c r="N8302" s="17"/>
      <c r="O8302" s="17"/>
      <c r="P8302" s="17" t="b">
        <f>IFERROR(__xludf.DUMMYFUNCTION("""COMPUTED_VALUE"""),FALSE)</f>
        <v>0</v>
      </c>
      <c r="Q8302" s="20" t="str">
        <f>IFERROR(__xludf.DUMMYFUNCTION("""COMPUTED_VALUE"""),"")</f>
        <v/>
      </c>
      <c r="R8302" s="21" t="str">
        <f>IFERROR(__xludf.DUMMYFUNCTION("""COMPUTED_VALUE"""),"https://drive.google.com/file/d/1DmgQhHhes8JgRbD-u20lAm6xUJ3I9Fsi/view?usp=drivesdk")</f>
        <v>https://drive.google.com/file/d/1DmgQhHhes8JgRbD-u20lAm6xUJ3I9Fsi/view?usp=drivesdk</v>
      </c>
    </row>
    <row r="8303">
      <c r="A8303" s="15">
        <f>IFERROR(__xludf.DUMMYFUNCTION("""COMPUTED_VALUE"""),45238.0)</f>
        <v>45238</v>
      </c>
      <c r="B8303" s="16" t="str">
        <f>IFERROR(__xludf.DUMMYFUNCTION("""COMPUTED_VALUE"""),"Carlos Manuel Sosa")</f>
        <v>Carlos Manuel Sosa</v>
      </c>
      <c r="C8303" s="15" t="str">
        <f>IFERROR(__xludf.DUMMYFUNCTION("""COMPUTED_VALUE"""),"CARTAGENA")</f>
        <v>CARTAGENA</v>
      </c>
      <c r="D8303" s="15" t="str">
        <f>IFERROR(__xludf.DUMMYFUNCTION("""COMPUTED_VALUE"""),"BOGOTÁ")</f>
        <v>BOGOTÁ</v>
      </c>
      <c r="E8303" s="15" t="str">
        <f>IFERROR(__xludf.DUMMYFUNCTION("""COMPUTED_VALUE"""),"INVERSIONES MOCHI")</f>
        <v>INVERSIONES MOCHI</v>
      </c>
      <c r="F8303" s="17" t="str">
        <f>IFERROR(__xludf.DUMMYFUNCTION("""COMPUTED_VALUE"""),"Cra 11 #39-21 / centro comercial la serrezuela")</f>
        <v>Cra 11 #39-21 / centro comercial la serrezuela</v>
      </c>
      <c r="G8303" s="15" t="str">
        <f>IFERROR(__xludf.DUMMYFUNCTION("""COMPUTED_VALUE"""),"Centro comercial la Serrezuela")</f>
        <v>Centro comercial la Serrezuela</v>
      </c>
      <c r="H8303" s="16">
        <f>IFERROR(__xludf.DUMMYFUNCTION("""COMPUTED_VALUE"""),17083.0)</f>
        <v>17083</v>
      </c>
      <c r="I8303" s="17"/>
      <c r="J8303" s="17"/>
      <c r="K8303" s="17"/>
      <c r="L8303" s="17">
        <f>IFERROR(__xludf.DUMMYFUNCTION("""COMPUTED_VALUE"""),3.116026252E9)</f>
        <v>3116026252</v>
      </c>
      <c r="M8303" s="17"/>
      <c r="N8303" s="17"/>
      <c r="O8303" s="17"/>
      <c r="P8303" s="17" t="b">
        <f>IFERROR(__xludf.DUMMYFUNCTION("""COMPUTED_VALUE"""),FALSE)</f>
        <v>0</v>
      </c>
      <c r="Q8303" s="20" t="str">
        <f>IFERROR(__xludf.DUMMYFUNCTION("""COMPUTED_VALUE"""),"")</f>
        <v/>
      </c>
      <c r="R8303" s="21" t="str">
        <f>IFERROR(__xludf.DUMMYFUNCTION("""COMPUTED_VALUE"""),"https://drive.google.com/file/d/1fDlr6Z4R9CtzQAXqxrxoWXz67Daxp7zl/view?usp=drivesdk")</f>
        <v>https://drive.google.com/file/d/1fDlr6Z4R9CtzQAXqxrxoWXz67Daxp7zl/view?usp=drivesdk</v>
      </c>
    </row>
    <row r="8304">
      <c r="A8304" s="15">
        <f>IFERROR(__xludf.DUMMYFUNCTION("""COMPUTED_VALUE"""),45238.0)</f>
        <v>45238</v>
      </c>
      <c r="B8304" s="16" t="str">
        <f>IFERROR(__xludf.DUMMYFUNCTION("""COMPUTED_VALUE"""),"Carlos Manuel Sosa")</f>
        <v>Carlos Manuel Sosa</v>
      </c>
      <c r="C8304" s="15" t="str">
        <f>IFERROR(__xludf.DUMMYFUNCTION("""COMPUTED_VALUE"""),"DUITAMA")</f>
        <v>DUITAMA</v>
      </c>
      <c r="D8304" s="15" t="str">
        <f>IFERROR(__xludf.DUMMYFUNCTION("""COMPUTED_VALUE"""),"BOGOTÁ")</f>
        <v>BOGOTÁ</v>
      </c>
      <c r="E8304" s="15" t="str">
        <f>IFERROR(__xludf.DUMMYFUNCTION("""COMPUTED_VALUE"""),"LINA PAOLA RAMIREZ GOMEZ - EVA MAZZITA")</f>
        <v>LINA PAOLA RAMIREZ GOMEZ - EVA MAZZITA</v>
      </c>
      <c r="F8304" s="17" t="str">
        <f>IFERROR(__xludf.DUMMYFUNCTION("""COMPUTED_VALUE"""),"CALLE 16 No. 19A - 43 / CALLE 16 No. 19A - 43")</f>
        <v>CALLE 16 No. 19A - 43 / CALLE 16 No. 19A - 43</v>
      </c>
      <c r="G8304" s="15" t="str">
        <f>IFERROR(__xludf.DUMMYFUNCTION("""COMPUTED_VALUE"""),"KELLY CASTILLO ROMERO")</f>
        <v>KELLY CASTILLO ROMERO</v>
      </c>
      <c r="H8304" s="16">
        <f>IFERROR(__xludf.DUMMYFUNCTION("""COMPUTED_VALUE"""),17053.0)</f>
        <v>17053</v>
      </c>
      <c r="I8304" s="17"/>
      <c r="J8304" s="17"/>
      <c r="K8304" s="17"/>
      <c r="L8304" s="17">
        <f>IFERROR(__xludf.DUMMYFUNCTION("""COMPUTED_VALUE"""),3.506120411E9)</f>
        <v>3506120411</v>
      </c>
      <c r="M8304" s="17"/>
      <c r="N8304" s="17"/>
      <c r="O8304" s="17"/>
      <c r="P8304" s="17" t="b">
        <f>IFERROR(__xludf.DUMMYFUNCTION("""COMPUTED_VALUE"""),FALSE)</f>
        <v>0</v>
      </c>
      <c r="Q8304" s="20" t="str">
        <f>IFERROR(__xludf.DUMMYFUNCTION("""COMPUTED_VALUE"""),"")</f>
        <v/>
      </c>
      <c r="R8304" s="22" t="str">
        <f>IFERROR(__xludf.DUMMYFUNCTION("""COMPUTED_VALUE"""),"")</f>
        <v/>
      </c>
    </row>
    <row r="8305">
      <c r="A8305" s="17" t="str">
        <f>IFERROR(__xludf.DUMMYFUNCTION("""COMPUTED_VALUE"""),"")</f>
        <v/>
      </c>
      <c r="B8305" s="17" t="str">
        <f>IFERROR(__xludf.DUMMYFUNCTION("""COMPUTED_VALUE"""),"")</f>
        <v/>
      </c>
      <c r="C8305" s="17" t="str">
        <f>IFERROR(__xludf.DUMMYFUNCTION("""COMPUTED_VALUE"""),"")</f>
        <v/>
      </c>
      <c r="D8305" s="17" t="str">
        <f>IFERROR(__xludf.DUMMYFUNCTION("""COMPUTED_VALUE"""),"")</f>
        <v/>
      </c>
      <c r="E8305" s="17" t="str">
        <f>IFERROR(__xludf.DUMMYFUNCTION("""COMPUTED_VALUE"""),"")</f>
        <v/>
      </c>
      <c r="F8305" s="17" t="str">
        <f>IFERROR(__xludf.DUMMYFUNCTION("""COMPUTED_VALUE"""),"")</f>
        <v/>
      </c>
      <c r="G8305" s="17" t="str">
        <f>IFERROR(__xludf.DUMMYFUNCTION("""COMPUTED_VALUE"""),"")</f>
        <v/>
      </c>
      <c r="H8305" s="17" t="str">
        <f>IFERROR(__xludf.DUMMYFUNCTION("""COMPUTED_VALUE"""),"")</f>
        <v/>
      </c>
      <c r="I8305" s="17" t="str">
        <f>IFERROR(__xludf.DUMMYFUNCTION("""COMPUTED_VALUE"""),"")</f>
        <v/>
      </c>
      <c r="J8305" s="17" t="str">
        <f>IFERROR(__xludf.DUMMYFUNCTION("""COMPUTED_VALUE"""),"")</f>
        <v/>
      </c>
      <c r="K8305" s="17" t="str">
        <f>IFERROR(__xludf.DUMMYFUNCTION("""COMPUTED_VALUE"""),"")</f>
        <v/>
      </c>
      <c r="L8305" s="17" t="str">
        <f>IFERROR(__xludf.DUMMYFUNCTION("""COMPUTED_VALUE"""),"")</f>
        <v/>
      </c>
      <c r="M8305" s="17" t="str">
        <f>IFERROR(__xludf.DUMMYFUNCTION("""COMPUTED_VALUE"""),"")</f>
        <v/>
      </c>
      <c r="N8305" s="17" t="str">
        <f>IFERROR(__xludf.DUMMYFUNCTION("""COMPUTED_VALUE"""),"")</f>
        <v/>
      </c>
      <c r="O8305" s="17" t="str">
        <f>IFERROR(__xludf.DUMMYFUNCTION("""COMPUTED_VALUE"""),"")</f>
        <v/>
      </c>
      <c r="P8305" s="17" t="str">
        <f>IFERROR(__xludf.DUMMYFUNCTION("""COMPUTED_VALUE"""),"")</f>
        <v/>
      </c>
      <c r="Q8305" s="17" t="str">
        <f>IFERROR(__xludf.DUMMYFUNCTION("""COMPUTED_VALUE"""),"")</f>
        <v/>
      </c>
      <c r="R8305" s="17" t="str">
        <f>IFERROR(__xludf.DUMMYFUNCTION("""COMPUTED_VALUE"""),"")</f>
        <v/>
      </c>
    </row>
    <row r="8306">
      <c r="A8306" s="15">
        <f>IFERROR(__xludf.DUMMYFUNCTION("""COMPUTED_VALUE"""),45238.0)</f>
        <v>45238</v>
      </c>
      <c r="B8306" s="16" t="str">
        <f>IFERROR(__xludf.DUMMYFUNCTION("""COMPUTED_VALUE"""),"Deivi Alejandro Quintero Corrales")</f>
        <v>Deivi Alejandro Quintero Corrales</v>
      </c>
      <c r="C8306" s="15" t="str">
        <f>IFERROR(__xludf.DUMMYFUNCTION("""COMPUTED_VALUE"""),"ARMENIA")</f>
        <v>ARMENIA</v>
      </c>
      <c r="D8306" s="15" t="str">
        <f>IFERROR(__xludf.DUMMYFUNCTION("""COMPUTED_VALUE"""),"BOGOTÁ")</f>
        <v>BOGOTÁ</v>
      </c>
      <c r="E8306" s="15" t="str">
        <f>IFERROR(__xludf.DUMMYFUNCTION("""COMPUTED_VALUE"""),"Top Spun")</f>
        <v>Top Spun</v>
      </c>
      <c r="F8306" s="17" t="str">
        <f>IFERROR(__xludf.DUMMYFUNCTION("""COMPUTED_VALUE"""),"Calle 19 Norte#10-41  / CASTELLON MANZANA J  / CASA 16")</f>
        <v>Calle 19 Norte#10-41  / CASTELLON MANZANA J  / CASA 16</v>
      </c>
      <c r="G8306" s="15" t="str">
        <f>IFERROR(__xludf.DUMMYFUNCTION("""COMPUTED_VALUE"""),"Laura Mireya Cardona Tamayo")</f>
        <v>Laura Mireya Cardona Tamayo</v>
      </c>
      <c r="H8306" s="16">
        <f>IFERROR(__xludf.DUMMYFUNCTION("""COMPUTED_VALUE"""),16975.0)</f>
        <v>16975</v>
      </c>
      <c r="I8306" s="18">
        <f>IFERROR(__xludf.DUMMYFUNCTION("""COMPUTED_VALUE"""),20.0)</f>
        <v>20</v>
      </c>
      <c r="J8306" s="18">
        <f>IFERROR(__xludf.DUMMYFUNCTION("""COMPUTED_VALUE"""),10.0)</f>
        <v>10</v>
      </c>
      <c r="K8306" s="18">
        <f>IFERROR(__xludf.DUMMYFUNCTION("""COMPUTED_VALUE"""),40.0)</f>
        <v>40</v>
      </c>
      <c r="L8306" s="17">
        <f>IFERROR(__xludf.DUMMYFUNCTION("""COMPUTED_VALUE"""),3.01435952E9)</f>
        <v>3014359520</v>
      </c>
      <c r="M8306" s="17"/>
      <c r="N8306" s="17"/>
      <c r="O8306" s="17"/>
      <c r="P8306" s="17" t="b">
        <f>IFERROR(__xludf.DUMMYFUNCTION("""COMPUTED_VALUE"""),FALSE)</f>
        <v>0</v>
      </c>
      <c r="Q8306" s="20" t="str">
        <f>IFERROR(__xludf.DUMMYFUNCTION("""COMPUTED_VALUE"""),"")</f>
        <v/>
      </c>
      <c r="R8306" s="22" t="str">
        <f>IFERROR(__xludf.DUMMYFUNCTION("""COMPUTED_VALUE"""),"")</f>
        <v/>
      </c>
    </row>
    <row r="8307">
      <c r="A8307" s="15">
        <f>IFERROR(__xludf.DUMMYFUNCTION("""COMPUTED_VALUE"""),45238.0)</f>
        <v>45238</v>
      </c>
      <c r="B8307" s="16" t="str">
        <f>IFERROR(__xludf.DUMMYFUNCTION("""COMPUTED_VALUE"""),"Deivi Alejandro Quintero Corrales")</f>
        <v>Deivi Alejandro Quintero Corrales</v>
      </c>
      <c r="C8307" s="15" t="str">
        <f>IFERROR(__xludf.DUMMYFUNCTION("""COMPUTED_VALUE"""),"ARMENIA")</f>
        <v>ARMENIA</v>
      </c>
      <c r="D8307" s="15" t="str">
        <f>IFERROR(__xludf.DUMMYFUNCTION("""COMPUTED_VALUE"""),"ENVIGADO")</f>
        <v>ENVIGADO</v>
      </c>
      <c r="E8307" s="15" t="str">
        <f>IFERROR(__xludf.DUMMYFUNCTION("""COMPUTED_VALUE"""),"JUAN CAMILO CORDOBA")</f>
        <v>JUAN CAMILO CORDOBA</v>
      </c>
      <c r="F8307" s="17" t="str">
        <f>IFERROR(__xludf.DUMMYFUNCTION("""COMPUTED_VALUE"""),"Carrera 15 #22 norte 77 / ed. Oasis de laureles local 1316 deagonal al teatro de la Carrerauz roja Armenia")</f>
        <v>Carrera 15 #22 norte 77 / ed. Oasis de laureles local 1316 deagonal al teatro de la Carrerauz roja Armenia</v>
      </c>
      <c r="G8307" s="15" t="str">
        <f>IFERROR(__xludf.DUMMYFUNCTION("""COMPUTED_VALUE"""),"Fitness Eco")</f>
        <v>Fitness Eco</v>
      </c>
      <c r="H8307" s="16">
        <f>IFERROR(__xludf.DUMMYFUNCTION("""COMPUTED_VALUE"""),17087.0)</f>
        <v>17087</v>
      </c>
      <c r="I8307" s="17"/>
      <c r="J8307" s="17"/>
      <c r="K8307" s="17"/>
      <c r="L8307" s="17">
        <f>IFERROR(__xludf.DUMMYFUNCTION("""COMPUTED_VALUE"""),3.217007417E9)</f>
        <v>3217007417</v>
      </c>
      <c r="M8307" s="17"/>
      <c r="N8307" s="17"/>
      <c r="O8307" s="17"/>
      <c r="P8307" s="17" t="b">
        <f>IFERROR(__xludf.DUMMYFUNCTION("""COMPUTED_VALUE"""),FALSE)</f>
        <v>0</v>
      </c>
      <c r="Q8307" s="20" t="str">
        <f>IFERROR(__xludf.DUMMYFUNCTION("""COMPUTED_VALUE"""),"")</f>
        <v/>
      </c>
      <c r="R8307" s="21" t="str">
        <f>IFERROR(__xludf.DUMMYFUNCTION("""COMPUTED_VALUE"""),"https://drive.google.com/file/d/1Hpm6Lr-noJTIoQ3ZvoeBYifpQPm1yH8X/view?usp=drivesdk")</f>
        <v>https://drive.google.com/file/d/1Hpm6Lr-noJTIoQ3ZvoeBYifpQPm1yH8X/view?usp=drivesdk</v>
      </c>
    </row>
    <row r="8308">
      <c r="A8308" s="15">
        <f>IFERROR(__xludf.DUMMYFUNCTION("""COMPUTED_VALUE"""),45238.0)</f>
        <v>45238</v>
      </c>
      <c r="B8308" s="16" t="str">
        <f>IFERROR(__xludf.DUMMYFUNCTION("""COMPUTED_VALUE"""),"Deivi Alejandro Quintero Corrales")</f>
        <v>Deivi Alejandro Quintero Corrales</v>
      </c>
      <c r="C8308" s="15" t="str">
        <f>IFERROR(__xludf.DUMMYFUNCTION("""COMPUTED_VALUE"""),"PEREIRA")</f>
        <v>PEREIRA</v>
      </c>
      <c r="D8308" s="15" t="str">
        <f>IFERROR(__xludf.DUMMYFUNCTION("""COMPUTED_VALUE"""),"BOGOTÁ")</f>
        <v>BOGOTÁ</v>
      </c>
      <c r="E8308" s="15" t="str">
        <f>IFERROR(__xludf.DUMMYFUNCTION("""COMPUTED_VALUE"""),"La Caja de Pan")</f>
        <v>La Caja de Pan</v>
      </c>
      <c r="F8308" s="17" t="str">
        <f>IFERROR(__xludf.DUMMYFUNCTION("""COMPUTED_VALUE"""),"Calle 12 bis # 16-18  / Casa Hoja / Pinares")</f>
        <v>Calle 12 bis # 16-18  / Casa Hoja / Pinares</v>
      </c>
      <c r="G8308" s="15" t="str">
        <f>IFERROR(__xludf.DUMMYFUNCTION("""COMPUTED_VALUE"""),"Hector Hernandez")</f>
        <v>Hector Hernandez</v>
      </c>
      <c r="H8308" s="16">
        <f>IFERROR(__xludf.DUMMYFUNCTION("""COMPUTED_VALUE"""),17021.0)</f>
        <v>17021</v>
      </c>
      <c r="I8308" s="18">
        <f>IFERROR(__xludf.DUMMYFUNCTION("""COMPUTED_VALUE"""),15.0)</f>
        <v>15</v>
      </c>
      <c r="J8308" s="18">
        <f>IFERROR(__xludf.DUMMYFUNCTION("""COMPUTED_VALUE"""),15.0)</f>
        <v>15</v>
      </c>
      <c r="K8308" s="18">
        <f>IFERROR(__xludf.DUMMYFUNCTION("""COMPUTED_VALUE"""),22.0)</f>
        <v>22</v>
      </c>
      <c r="L8308" s="17">
        <f>IFERROR(__xludf.DUMMYFUNCTION("""COMPUTED_VALUE"""),3.18591145E9)</f>
        <v>3185911450</v>
      </c>
      <c r="M8308" s="17"/>
      <c r="N8308" s="17"/>
      <c r="O8308" s="17"/>
      <c r="P8308" s="17" t="b">
        <f>IFERROR(__xludf.DUMMYFUNCTION("""COMPUTED_VALUE"""),FALSE)</f>
        <v>0</v>
      </c>
      <c r="Q8308" s="20" t="str">
        <f>IFERROR(__xludf.DUMMYFUNCTION("""COMPUTED_VALUE"""),"")</f>
        <v/>
      </c>
      <c r="R8308" s="21" t="str">
        <f>IFERROR(__xludf.DUMMYFUNCTION("""COMPUTED_VALUE"""),"https://drive.google.com/file/d/12uZwW5dqafB--L3GbUKXjLdtIg7zZgfP/view?usp=drivesdk")</f>
        <v>https://drive.google.com/file/d/12uZwW5dqafB--L3GbUKXjLdtIg7zZgfP/view?usp=drivesdk</v>
      </c>
    </row>
    <row r="8309">
      <c r="A8309" s="15">
        <f>IFERROR(__xludf.DUMMYFUNCTION("""COMPUTED_VALUE"""),45238.0)</f>
        <v>45238</v>
      </c>
      <c r="B8309" s="16" t="str">
        <f>IFERROR(__xludf.DUMMYFUNCTION("""COMPUTED_VALUE"""),"Deivi Alejandro Quintero Corrales")</f>
        <v>Deivi Alejandro Quintero Corrales</v>
      </c>
      <c r="C8309" s="15" t="str">
        <f>IFERROR(__xludf.DUMMYFUNCTION("""COMPUTED_VALUE"""),"PEREIRA")</f>
        <v>PEREIRA</v>
      </c>
      <c r="D8309" s="15" t="str">
        <f>IFERROR(__xludf.DUMMYFUNCTION("""COMPUTED_VALUE"""),"BOGOTÁ")</f>
        <v>BOGOTÁ</v>
      </c>
      <c r="E8309" s="15" t="str">
        <f>IFERROR(__xludf.DUMMYFUNCTION("""COMPUTED_VALUE"""),"LINA PAOLA RAMIREZ GOMEZ - EVA MAZZITA")</f>
        <v>LINA PAOLA RAMIREZ GOMEZ - EVA MAZZITA</v>
      </c>
      <c r="F8309" s="17" t="str">
        <f>IFERROR(__xludf.DUMMYFUNCTION("""COMPUTED_VALUE"""),"CALLE 46 No. 19 - 80 / URB. LA QUINTA CLUB HOUSE TORRE 1 APTO 701")</f>
        <v>CALLE 46 No. 19 - 80 / URB. LA QUINTA CLUB HOUSE TORRE 1 APTO 701</v>
      </c>
      <c r="G8309" s="15" t="str">
        <f>IFERROR(__xludf.DUMMYFUNCTION("""COMPUTED_VALUE"""),"TATIANA VALENCIA")</f>
        <v>TATIANA VALENCIA</v>
      </c>
      <c r="H8309" s="16">
        <f>IFERROR(__xludf.DUMMYFUNCTION("""COMPUTED_VALUE"""),17069.0)</f>
        <v>17069</v>
      </c>
      <c r="I8309" s="17"/>
      <c r="J8309" s="17"/>
      <c r="K8309" s="17"/>
      <c r="L8309" s="17">
        <f>IFERROR(__xludf.DUMMYFUNCTION("""COMPUTED_VALUE"""),3.146078575E9)</f>
        <v>3146078575</v>
      </c>
      <c r="M8309" s="17"/>
      <c r="N8309" s="17"/>
      <c r="O8309" s="17"/>
      <c r="P8309" s="17" t="b">
        <f>IFERROR(__xludf.DUMMYFUNCTION("""COMPUTED_VALUE"""),FALSE)</f>
        <v>0</v>
      </c>
      <c r="Q8309" s="20" t="str">
        <f>IFERROR(__xludf.DUMMYFUNCTION("""COMPUTED_VALUE"""),"")</f>
        <v/>
      </c>
      <c r="R8309" s="22" t="str">
        <f>IFERROR(__xludf.DUMMYFUNCTION("""COMPUTED_VALUE"""),"")</f>
        <v/>
      </c>
    </row>
    <row r="8310">
      <c r="A8310" s="15">
        <f>IFERROR(__xludf.DUMMYFUNCTION("""COMPUTED_VALUE"""),45238.0)</f>
        <v>45238</v>
      </c>
      <c r="B8310" s="16" t="str">
        <f>IFERROR(__xludf.DUMMYFUNCTION("""COMPUTED_VALUE"""),"Deivi Alejandro Quintero Corrales")</f>
        <v>Deivi Alejandro Quintero Corrales</v>
      </c>
      <c r="C8310" s="15" t="str">
        <f>IFERROR(__xludf.DUMMYFUNCTION("""COMPUTED_VALUE"""),"PEREIRA")</f>
        <v>PEREIRA</v>
      </c>
      <c r="D8310" s="15" t="str">
        <f>IFERROR(__xludf.DUMMYFUNCTION("""COMPUTED_VALUE"""),"BOGOTÁ")</f>
        <v>BOGOTÁ</v>
      </c>
      <c r="E8310" s="15" t="str">
        <f>IFERROR(__xludf.DUMMYFUNCTION("""COMPUTED_VALUE"""),"PAN DE WAFFLE")</f>
        <v>PAN DE WAFFLE</v>
      </c>
      <c r="F8310" s="17" t="str">
        <f>IFERROR(__xludf.DUMMYFUNCTION("""COMPUTED_VALUE"""),"Calle 35 # 11 - 41 Local 43 Conjunto Las Garzas / Calle 35 # 11 - 41 Local 43 Conjunto Las Garzas")</f>
        <v>Calle 35 # 11 - 41 Local 43 Conjunto Las Garzas / Calle 35 # 11 - 41 Local 43 Conjunto Las Garzas</v>
      </c>
      <c r="G8310" s="15" t="str">
        <f>IFERROR(__xludf.DUMMYFUNCTION("""COMPUTED_VALUE"""),"NATURALE CARNICOS Y SALSAMENTARIA")</f>
        <v>NATURALE CARNICOS Y SALSAMENTARIA</v>
      </c>
      <c r="H8310" s="16">
        <f>IFERROR(__xludf.DUMMYFUNCTION("""COMPUTED_VALUE"""),17001.0)</f>
        <v>17001</v>
      </c>
      <c r="I8310" s="17"/>
      <c r="J8310" s="17"/>
      <c r="K8310" s="17"/>
      <c r="L8310" s="17">
        <f>IFERROR(__xludf.DUMMYFUNCTION("""COMPUTED_VALUE"""),3.136850381E9)</f>
        <v>3136850381</v>
      </c>
      <c r="M8310" s="17"/>
      <c r="N8310" s="17"/>
      <c r="O8310" s="17"/>
      <c r="P8310" s="17" t="b">
        <f>IFERROR(__xludf.DUMMYFUNCTION("""COMPUTED_VALUE"""),FALSE)</f>
        <v>0</v>
      </c>
      <c r="Q8310" s="20" t="str">
        <f>IFERROR(__xludf.DUMMYFUNCTION("""COMPUTED_VALUE"""),"")</f>
        <v/>
      </c>
      <c r="R8310" s="21" t="str">
        <f>IFERROR(__xludf.DUMMYFUNCTION("""COMPUTED_VALUE"""),"https://drive.google.com/file/d/1jC5oXKV-zAWZ8086UnDJi_wWbRZ2wOOZ/view?usp=drivesdk")</f>
        <v>https://drive.google.com/file/d/1jC5oXKV-zAWZ8086UnDJi_wWbRZ2wOOZ/view?usp=drivesdk</v>
      </c>
    </row>
    <row r="8311">
      <c r="A8311" s="15">
        <f>IFERROR(__xludf.DUMMYFUNCTION("""COMPUTED_VALUE"""),45238.0)</f>
        <v>45238</v>
      </c>
      <c r="B8311" s="16" t="str">
        <f>IFERROR(__xludf.DUMMYFUNCTION("""COMPUTED_VALUE"""),"Deivi Alejandro Quintero Corrales")</f>
        <v>Deivi Alejandro Quintero Corrales</v>
      </c>
      <c r="C8311" s="15" t="str">
        <f>IFERROR(__xludf.DUMMYFUNCTION("""COMPUTED_VALUE"""),"PEREIRA")</f>
        <v>PEREIRA</v>
      </c>
      <c r="D8311" s="15" t="str">
        <f>IFERROR(__xludf.DUMMYFUNCTION("""COMPUTED_VALUE"""),"MEDELLÍN")</f>
        <v>MEDELLÍN</v>
      </c>
      <c r="E8311" s="15" t="str">
        <f>IFERROR(__xludf.DUMMYFUNCTION("""COMPUTED_VALUE"""),"102 Alimentos")</f>
        <v>102 Alimentos</v>
      </c>
      <c r="F8311" s="17" t="str">
        <f>IFERROR(__xludf.DUMMYFUNCTION("""COMPUTED_VALUE"""),"Manzana 12 casa 13 samaria 1 piso 2 / Manzana 12 casa 13 samaria 1 piso 2")</f>
        <v>Manzana 12 casa 13 samaria 1 piso 2 / Manzana 12 casa 13 samaria 1 piso 2</v>
      </c>
      <c r="G8311" s="15" t="str">
        <f>IFERROR(__xludf.DUMMYFUNCTION("""COMPUTED_VALUE"""),"Luz Omaida Jiménez Gallego")</f>
        <v>Luz Omaida Jiménez Gallego</v>
      </c>
      <c r="H8311" s="16">
        <f>IFERROR(__xludf.DUMMYFUNCTION("""COMPUTED_VALUE"""),17011.0)</f>
        <v>17011</v>
      </c>
      <c r="I8311" s="17"/>
      <c r="J8311" s="17"/>
      <c r="K8311" s="17"/>
      <c r="L8311" s="17">
        <f>IFERROR(__xludf.DUMMYFUNCTION("""COMPUTED_VALUE"""),3.14562573E9)</f>
        <v>3145625730</v>
      </c>
      <c r="M8311" s="17"/>
      <c r="N8311" s="17"/>
      <c r="O8311" s="17"/>
      <c r="P8311" s="17" t="b">
        <f>IFERROR(__xludf.DUMMYFUNCTION("""COMPUTED_VALUE"""),FALSE)</f>
        <v>0</v>
      </c>
      <c r="Q8311" s="20" t="str">
        <f>IFERROR(__xludf.DUMMYFUNCTION("""COMPUTED_VALUE"""),"")</f>
        <v/>
      </c>
      <c r="R8311" s="21" t="str">
        <f>IFERROR(__xludf.DUMMYFUNCTION("""COMPUTED_VALUE"""),"https://drive.google.com/file/d/1bGZcRNpqZsxfD7200bjUKpM1IsP4lca_/view?usp=drivesdk")</f>
        <v>https://drive.google.com/file/d/1bGZcRNpqZsxfD7200bjUKpM1IsP4lca_/view?usp=drivesdk</v>
      </c>
    </row>
    <row r="8312">
      <c r="A8312" s="15">
        <f>IFERROR(__xludf.DUMMYFUNCTION("""COMPUTED_VALUE"""),45238.0)</f>
        <v>45238</v>
      </c>
      <c r="B8312" s="16" t="str">
        <f>IFERROR(__xludf.DUMMYFUNCTION("""COMPUTED_VALUE"""),"Deivi Alejandro Quintero Corrales")</f>
        <v>Deivi Alejandro Quintero Corrales</v>
      </c>
      <c r="C8312" s="15" t="str">
        <f>IFERROR(__xludf.DUMMYFUNCTION("""COMPUTED_VALUE"""),"PEREIRA")</f>
        <v>PEREIRA</v>
      </c>
      <c r="D8312" s="15" t="str">
        <f>IFERROR(__xludf.DUMMYFUNCTION("""COMPUTED_VALUE"""),"MEDELLÍN")</f>
        <v>MEDELLÍN</v>
      </c>
      <c r="E8312" s="15" t="str">
        <f>IFERROR(__xludf.DUMMYFUNCTION("""COMPUTED_VALUE"""),"AREPAS LA MARY")</f>
        <v>AREPAS LA MARY</v>
      </c>
      <c r="F8312" s="17" t="str">
        <f>IFERROR(__xludf.DUMMYFUNCTION("""COMPUTED_VALUE"""),"CRA 14 N.12 55 CIRCUNVALAR / LOCAL")</f>
        <v>CRA 14 N.12 55 CIRCUNVALAR / LOCAL</v>
      </c>
      <c r="G8312" s="15" t="str">
        <f>IFERROR(__xludf.DUMMYFUNCTION("""COMPUTED_VALUE"""),"VITAECO MARKET")</f>
        <v>VITAECO MARKET</v>
      </c>
      <c r="H8312" s="16">
        <f>IFERROR(__xludf.DUMMYFUNCTION("""COMPUTED_VALUE"""),17013.0)</f>
        <v>17013</v>
      </c>
      <c r="I8312" s="18">
        <f>IFERROR(__xludf.DUMMYFUNCTION("""COMPUTED_VALUE"""),89.0)</f>
        <v>89</v>
      </c>
      <c r="J8312" s="18">
        <f>IFERROR(__xludf.DUMMYFUNCTION("""COMPUTED_VALUE"""),1.0)</f>
        <v>1</v>
      </c>
      <c r="K8312" s="18">
        <f>IFERROR(__xludf.DUMMYFUNCTION("""COMPUTED_VALUE"""),10.0)</f>
        <v>10</v>
      </c>
      <c r="L8312" s="17" t="str">
        <f>IFERROR(__xludf.DUMMYFUNCTION("""COMPUTED_VALUE"""),"314 6455280")</f>
        <v>314 6455280</v>
      </c>
      <c r="M8312" s="17"/>
      <c r="N8312" s="17"/>
      <c r="O8312" s="17"/>
      <c r="P8312" s="17" t="b">
        <f>IFERROR(__xludf.DUMMYFUNCTION("""COMPUTED_VALUE"""),FALSE)</f>
        <v>0</v>
      </c>
      <c r="Q8312" s="20" t="str">
        <f>IFERROR(__xludf.DUMMYFUNCTION("""COMPUTED_VALUE"""),"")</f>
        <v/>
      </c>
      <c r="R8312" s="22" t="str">
        <f>IFERROR(__xludf.DUMMYFUNCTION("""COMPUTED_VALUE"""),"")</f>
        <v/>
      </c>
    </row>
    <row r="8313">
      <c r="A8313" s="15">
        <f>IFERROR(__xludf.DUMMYFUNCTION("""COMPUTED_VALUE"""),45238.0)</f>
        <v>45238</v>
      </c>
      <c r="B8313" s="16" t="str">
        <f>IFERROR(__xludf.DUMMYFUNCTION("""COMPUTED_VALUE"""),"Deivi Alejandro Quintero Corrales")</f>
        <v>Deivi Alejandro Quintero Corrales</v>
      </c>
      <c r="C8313" s="15" t="str">
        <f>IFERROR(__xludf.DUMMYFUNCTION("""COMPUTED_VALUE"""),"PEREIRA")</f>
        <v>PEREIRA</v>
      </c>
      <c r="D8313" s="15" t="str">
        <f>IFERROR(__xludf.DUMMYFUNCTION("""COMPUTED_VALUE"""),"MEDELLÍN")</f>
        <v>MEDELLÍN</v>
      </c>
      <c r="E8313" s="15" t="str">
        <f>IFERROR(__xludf.DUMMYFUNCTION("""COMPUTED_VALUE"""),"AREPAS LA MARY")</f>
        <v>AREPAS LA MARY</v>
      </c>
      <c r="F8313" s="17" t="str">
        <f>IFERROR(__xludf.DUMMYFUNCTION("""COMPUTED_VALUE"""),"cra 16 # 4 -93 / rincon de pinares casa numero 5")</f>
        <v>cra 16 # 4 -93 / rincon de pinares casa numero 5</v>
      </c>
      <c r="G8313" s="15" t="str">
        <f>IFERROR(__xludf.DUMMYFUNCTION("""COMPUTED_VALUE"""),"marylu sanchez")</f>
        <v>marylu sanchez</v>
      </c>
      <c r="H8313" s="16">
        <f>IFERROR(__xludf.DUMMYFUNCTION("""COMPUTED_VALUE"""),17015.0)</f>
        <v>17015</v>
      </c>
      <c r="I8313" s="18">
        <f>IFERROR(__xludf.DUMMYFUNCTION("""COMPUTED_VALUE"""),89.0)</f>
        <v>89</v>
      </c>
      <c r="J8313" s="18">
        <f>IFERROR(__xludf.DUMMYFUNCTION("""COMPUTED_VALUE"""),1.0)</f>
        <v>1</v>
      </c>
      <c r="K8313" s="18">
        <f>IFERROR(__xludf.DUMMYFUNCTION("""COMPUTED_VALUE"""),10.0)</f>
        <v>10</v>
      </c>
      <c r="L8313" s="17">
        <f>IFERROR(__xludf.DUMMYFUNCTION("""COMPUTED_VALUE"""),3.104300986E9)</f>
        <v>3104300986</v>
      </c>
      <c r="M8313" s="17"/>
      <c r="N8313" s="17"/>
      <c r="O8313" s="17"/>
      <c r="P8313" s="17" t="b">
        <f>IFERROR(__xludf.DUMMYFUNCTION("""COMPUTED_VALUE"""),FALSE)</f>
        <v>0</v>
      </c>
      <c r="Q8313" s="20" t="str">
        <f>IFERROR(__xludf.DUMMYFUNCTION("""COMPUTED_VALUE"""),"")</f>
        <v/>
      </c>
      <c r="R8313" s="21" t="str">
        <f>IFERROR(__xludf.DUMMYFUNCTION("""COMPUTED_VALUE"""),"https://drive.google.com/file/d/1OQeBiz7cjjmS-_aFhW30DEQlHWBXfke6/view?usp=drivesdk")</f>
        <v>https://drive.google.com/file/d/1OQeBiz7cjjmS-_aFhW30DEQlHWBXfke6/view?usp=drivesdk</v>
      </c>
    </row>
    <row r="8314">
      <c r="A8314" s="15">
        <f>IFERROR(__xludf.DUMMYFUNCTION("""COMPUTED_VALUE"""),45238.0)</f>
        <v>45238</v>
      </c>
      <c r="B8314" s="16" t="str">
        <f>IFERROR(__xludf.DUMMYFUNCTION("""COMPUTED_VALUE"""),"Deivi Alejandro Quintero Corrales")</f>
        <v>Deivi Alejandro Quintero Corrales</v>
      </c>
      <c r="C8314" s="15" t="str">
        <f>IFERROR(__xludf.DUMMYFUNCTION("""COMPUTED_VALUE"""),"PEREIRA")</f>
        <v>PEREIRA</v>
      </c>
      <c r="D8314" s="15" t="str">
        <f>IFERROR(__xludf.DUMMYFUNCTION("""COMPUTED_VALUE"""),"MEDELLÍN")</f>
        <v>MEDELLÍN</v>
      </c>
      <c r="E8314" s="15" t="str">
        <f>IFERROR(__xludf.DUMMYFUNCTION("""COMPUTED_VALUE"""),"AREPAS LA MARY")</f>
        <v>AREPAS LA MARY</v>
      </c>
      <c r="F8314" s="17" t="str">
        <f>IFERROR(__xludf.DUMMYFUNCTION("""COMPUTED_VALUE"""),"CRA 18E # 42 B-352")</f>
        <v>CRA 18E # 42 B-352</v>
      </c>
      <c r="G8314" s="15" t="str">
        <f>IFERROR(__xludf.DUMMYFUNCTION("""COMPUTED_VALUE"""),"JORGE ANDRES GOMEZ")</f>
        <v>JORGE ANDRES GOMEZ</v>
      </c>
      <c r="H8314" s="16">
        <f>IFERROR(__xludf.DUMMYFUNCTION("""COMPUTED_VALUE"""),17018.0)</f>
        <v>17018</v>
      </c>
      <c r="I8314" s="18">
        <f>IFERROR(__xludf.DUMMYFUNCTION("""COMPUTED_VALUE"""),89.0)</f>
        <v>89</v>
      </c>
      <c r="J8314" s="18">
        <f>IFERROR(__xludf.DUMMYFUNCTION("""COMPUTED_VALUE"""),1.0)</f>
        <v>1</v>
      </c>
      <c r="K8314" s="18">
        <f>IFERROR(__xludf.DUMMYFUNCTION("""COMPUTED_VALUE"""),10.0)</f>
        <v>10</v>
      </c>
      <c r="L8314" s="17">
        <f>IFERROR(__xludf.DUMMYFUNCTION("""COMPUTED_VALUE"""),3.127080333E9)</f>
        <v>3127080333</v>
      </c>
      <c r="M8314" s="17"/>
      <c r="N8314" s="17"/>
      <c r="O8314" s="17"/>
      <c r="P8314" s="17" t="b">
        <f>IFERROR(__xludf.DUMMYFUNCTION("""COMPUTED_VALUE"""),FALSE)</f>
        <v>0</v>
      </c>
      <c r="Q8314" s="20" t="str">
        <f>IFERROR(__xludf.DUMMYFUNCTION("""COMPUTED_VALUE"""),"")</f>
        <v/>
      </c>
      <c r="R8314" s="21" t="str">
        <f>IFERROR(__xludf.DUMMYFUNCTION("""COMPUTED_VALUE"""),"https://drive.google.com/file/d/15PYPVYWMOQ1osRcEnXHbHJt-KIt-BO09/view?usp=drivesdk")</f>
        <v>https://drive.google.com/file/d/15PYPVYWMOQ1osRcEnXHbHJt-KIt-BO09/view?usp=drivesdk</v>
      </c>
    </row>
    <row r="8315">
      <c r="A8315" s="17" t="str">
        <f>IFERROR(__xludf.DUMMYFUNCTION("""COMPUTED_VALUE"""),"")</f>
        <v/>
      </c>
      <c r="B8315" s="17" t="str">
        <f>IFERROR(__xludf.DUMMYFUNCTION("""COMPUTED_VALUE"""),"")</f>
        <v/>
      </c>
      <c r="C8315" s="17" t="str">
        <f>IFERROR(__xludf.DUMMYFUNCTION("""COMPUTED_VALUE"""),"")</f>
        <v/>
      </c>
      <c r="D8315" s="17" t="str">
        <f>IFERROR(__xludf.DUMMYFUNCTION("""COMPUTED_VALUE"""),"")</f>
        <v/>
      </c>
      <c r="E8315" s="17" t="str">
        <f>IFERROR(__xludf.DUMMYFUNCTION("""COMPUTED_VALUE"""),"")</f>
        <v/>
      </c>
      <c r="F8315" s="17" t="str">
        <f>IFERROR(__xludf.DUMMYFUNCTION("""COMPUTED_VALUE"""),"")</f>
        <v/>
      </c>
      <c r="G8315" s="17" t="str">
        <f>IFERROR(__xludf.DUMMYFUNCTION("""COMPUTED_VALUE"""),"")</f>
        <v/>
      </c>
      <c r="H8315" s="17" t="str">
        <f>IFERROR(__xludf.DUMMYFUNCTION("""COMPUTED_VALUE"""),"")</f>
        <v/>
      </c>
      <c r="I8315" s="17" t="str">
        <f>IFERROR(__xludf.DUMMYFUNCTION("""COMPUTED_VALUE"""),"")</f>
        <v/>
      </c>
      <c r="J8315" s="17" t="str">
        <f>IFERROR(__xludf.DUMMYFUNCTION("""COMPUTED_VALUE"""),"")</f>
        <v/>
      </c>
      <c r="K8315" s="17" t="str">
        <f>IFERROR(__xludf.DUMMYFUNCTION("""COMPUTED_VALUE"""),"")</f>
        <v/>
      </c>
      <c r="L8315" s="17" t="str">
        <f>IFERROR(__xludf.DUMMYFUNCTION("""COMPUTED_VALUE"""),"")</f>
        <v/>
      </c>
      <c r="M8315" s="17" t="str">
        <f>IFERROR(__xludf.DUMMYFUNCTION("""COMPUTED_VALUE"""),"")</f>
        <v/>
      </c>
      <c r="N8315" s="17" t="str">
        <f>IFERROR(__xludf.DUMMYFUNCTION("""COMPUTED_VALUE"""),"")</f>
        <v/>
      </c>
      <c r="O8315" s="17" t="str">
        <f>IFERROR(__xludf.DUMMYFUNCTION("""COMPUTED_VALUE"""),"")</f>
        <v/>
      </c>
      <c r="P8315" s="17" t="str">
        <f>IFERROR(__xludf.DUMMYFUNCTION("""COMPUTED_VALUE"""),"")</f>
        <v/>
      </c>
      <c r="Q8315" s="17" t="str">
        <f>IFERROR(__xludf.DUMMYFUNCTION("""COMPUTED_VALUE"""),"")</f>
        <v/>
      </c>
      <c r="R8315" s="17" t="str">
        <f>IFERROR(__xludf.DUMMYFUNCTION("""COMPUTED_VALUE"""),"")</f>
        <v/>
      </c>
    </row>
    <row r="8316">
      <c r="A8316" s="15">
        <f>IFERROR(__xludf.DUMMYFUNCTION("""COMPUTED_VALUE"""),45238.0)</f>
        <v>45238</v>
      </c>
      <c r="B8316" s="16" t="str">
        <f>IFERROR(__xludf.DUMMYFUNCTION("""COMPUTED_VALUE"""),"Duvan Gabriel Alvarez Giron")</f>
        <v>Duvan Gabriel Alvarez Giron</v>
      </c>
      <c r="C8316" s="15" t="str">
        <f>IFERROR(__xludf.DUMMYFUNCTION("""COMPUTED_VALUE"""),"FLORIDABLANCA")</f>
        <v>FLORIDABLANCA</v>
      </c>
      <c r="D8316" s="15" t="str">
        <f>IFERROR(__xludf.DUMMYFUNCTION("""COMPUTED_VALUE"""),"BOGOTÁ")</f>
        <v>BOGOTÁ</v>
      </c>
      <c r="E8316" s="15" t="str">
        <f>IFERROR(__xludf.DUMMYFUNCTION("""COMPUTED_VALUE"""),"Instinto alimento vital")</f>
        <v>Instinto alimento vital</v>
      </c>
      <c r="F8316" s="17" t="str">
        <f>IFERROR(__xludf.DUMMYFUNCTION("""COMPUTED_VALUE"""),"CALLE 119 # 36-20 / ZAPAMANGA 3 ETAPA FLORIDABLANCA - SANTANDER")</f>
        <v>CALLE 119 # 36-20 / ZAPAMANGA 3 ETAPA FLORIDABLANCA - SANTANDER</v>
      </c>
      <c r="G8316" s="15" t="str">
        <f>IFERROR(__xludf.DUMMYFUNCTION("""COMPUTED_VALUE"""),"JONNY ALBERTO LOPEZ MACANA")</f>
        <v>JONNY ALBERTO LOPEZ MACANA</v>
      </c>
      <c r="H8316" s="16">
        <f>IFERROR(__xludf.DUMMYFUNCTION("""COMPUTED_VALUE"""),17005.0)</f>
        <v>17005</v>
      </c>
      <c r="I8316" s="17"/>
      <c r="J8316" s="17"/>
      <c r="K8316" s="17"/>
      <c r="L8316" s="17">
        <f>IFERROR(__xludf.DUMMYFUNCTION("""COMPUTED_VALUE"""),3.165331773E9)</f>
        <v>3165331773</v>
      </c>
      <c r="M8316" s="17"/>
      <c r="N8316" s="17"/>
      <c r="O8316" s="17"/>
      <c r="P8316" s="17" t="b">
        <f>IFERROR(__xludf.DUMMYFUNCTION("""COMPUTED_VALUE"""),FALSE)</f>
        <v>0</v>
      </c>
      <c r="Q8316" s="20" t="str">
        <f>IFERROR(__xludf.DUMMYFUNCTION("""COMPUTED_VALUE"""),"")</f>
        <v/>
      </c>
      <c r="R8316" s="21" t="str">
        <f>IFERROR(__xludf.DUMMYFUNCTION("""COMPUTED_VALUE"""),"https://drive.google.com/file/d/1WSvaxLzQxjnbnQKmazwyrp2_E1OcDqzS/view?usp=drivesdk")</f>
        <v>https://drive.google.com/file/d/1WSvaxLzQxjnbnQKmazwyrp2_E1OcDqzS/view?usp=drivesdk</v>
      </c>
    </row>
    <row r="8317">
      <c r="A8317" s="15">
        <f>IFERROR(__xludf.DUMMYFUNCTION("""COMPUTED_VALUE"""),45238.0)</f>
        <v>45238</v>
      </c>
      <c r="B8317" s="16" t="str">
        <f>IFERROR(__xludf.DUMMYFUNCTION("""COMPUTED_VALUE"""),"Duvan Gabriel Alvarez Giron")</f>
        <v>Duvan Gabriel Alvarez Giron</v>
      </c>
      <c r="C8317" s="15" t="str">
        <f>IFERROR(__xludf.DUMMYFUNCTION("""COMPUTED_VALUE"""),"PIEDECUESTA")</f>
        <v>PIEDECUESTA</v>
      </c>
      <c r="D8317" s="15" t="str">
        <f>IFERROR(__xludf.DUMMYFUNCTION("""COMPUTED_VALUE"""),"BOGOTÁ")</f>
        <v>BOGOTÁ</v>
      </c>
      <c r="E8317" s="15" t="str">
        <f>IFERROR(__xludf.DUMMYFUNCTION("""COMPUTED_VALUE"""),"LINA PAOLA RAMIREZ GOMEZ - EVA MAZZITA")</f>
        <v>LINA PAOLA RAMIREZ GOMEZ - EVA MAZZITA</v>
      </c>
      <c r="F8317" s="17" t="str">
        <f>IFERROR(__xludf.DUMMYFUNCTION("""COMPUTED_VALUE"""),"Calle 13N #2-81 / Rio del hato, conjunto Serrania del hato Torre 1 Apt 702")</f>
        <v>Calle 13N #2-81 / Rio del hato, conjunto Serrania del hato Torre 1 Apt 702</v>
      </c>
      <c r="G8317" s="15" t="str">
        <f>IFERROR(__xludf.DUMMYFUNCTION("""COMPUTED_VALUE"""),"ANGIE CAROLINA CRUZ")</f>
        <v>ANGIE CAROLINA CRUZ</v>
      </c>
      <c r="H8317" s="16">
        <f>IFERROR(__xludf.DUMMYFUNCTION("""COMPUTED_VALUE"""),17070.0)</f>
        <v>17070</v>
      </c>
      <c r="I8317" s="17"/>
      <c r="J8317" s="17"/>
      <c r="K8317" s="17"/>
      <c r="L8317" s="17">
        <f>IFERROR(__xludf.DUMMYFUNCTION("""COMPUTED_VALUE"""),3.502725893E9)</f>
        <v>3502725893</v>
      </c>
      <c r="M8317" s="17"/>
      <c r="N8317" s="17"/>
      <c r="O8317" s="17"/>
      <c r="P8317" s="17" t="b">
        <f>IFERROR(__xludf.DUMMYFUNCTION("""COMPUTED_VALUE"""),FALSE)</f>
        <v>0</v>
      </c>
      <c r="Q8317" s="20" t="str">
        <f>IFERROR(__xludf.DUMMYFUNCTION("""COMPUTED_VALUE"""),"")</f>
        <v/>
      </c>
      <c r="R8317" s="21" t="str">
        <f>IFERROR(__xludf.DUMMYFUNCTION("""COMPUTED_VALUE"""),"https://drive.google.com/file/d/1C_2DtA6qyNmIpyXNiiujb5f3wk6yRKdj/view?usp=drivesdk")</f>
        <v>https://drive.google.com/file/d/1C_2DtA6qyNmIpyXNiiujb5f3wk6yRKdj/view?usp=drivesdk</v>
      </c>
    </row>
    <row r="8318">
      <c r="A8318" s="17" t="str">
        <f>IFERROR(__xludf.DUMMYFUNCTION("""COMPUTED_VALUE"""),"")</f>
        <v/>
      </c>
      <c r="B8318" s="17" t="str">
        <f>IFERROR(__xludf.DUMMYFUNCTION("""COMPUTED_VALUE"""),"")</f>
        <v/>
      </c>
      <c r="C8318" s="17" t="str">
        <f>IFERROR(__xludf.DUMMYFUNCTION("""COMPUTED_VALUE"""),"")</f>
        <v/>
      </c>
      <c r="D8318" s="17" t="str">
        <f>IFERROR(__xludf.DUMMYFUNCTION("""COMPUTED_VALUE"""),"")</f>
        <v/>
      </c>
      <c r="E8318" s="17" t="str">
        <f>IFERROR(__xludf.DUMMYFUNCTION("""COMPUTED_VALUE"""),"")</f>
        <v/>
      </c>
      <c r="F8318" s="17" t="str">
        <f>IFERROR(__xludf.DUMMYFUNCTION("""COMPUTED_VALUE"""),"")</f>
        <v/>
      </c>
      <c r="G8318" s="17" t="str">
        <f>IFERROR(__xludf.DUMMYFUNCTION("""COMPUTED_VALUE"""),"")</f>
        <v/>
      </c>
      <c r="H8318" s="17" t="str">
        <f>IFERROR(__xludf.DUMMYFUNCTION("""COMPUTED_VALUE"""),"")</f>
        <v/>
      </c>
      <c r="I8318" s="17" t="str">
        <f>IFERROR(__xludf.DUMMYFUNCTION("""COMPUTED_VALUE"""),"")</f>
        <v/>
      </c>
      <c r="J8318" s="17" t="str">
        <f>IFERROR(__xludf.DUMMYFUNCTION("""COMPUTED_VALUE"""),"")</f>
        <v/>
      </c>
      <c r="K8318" s="17" t="str">
        <f>IFERROR(__xludf.DUMMYFUNCTION("""COMPUTED_VALUE"""),"")</f>
        <v/>
      </c>
      <c r="L8318" s="17" t="str">
        <f>IFERROR(__xludf.DUMMYFUNCTION("""COMPUTED_VALUE"""),"")</f>
        <v/>
      </c>
      <c r="M8318" s="17" t="str">
        <f>IFERROR(__xludf.DUMMYFUNCTION("""COMPUTED_VALUE"""),"")</f>
        <v/>
      </c>
      <c r="N8318" s="17" t="str">
        <f>IFERROR(__xludf.DUMMYFUNCTION("""COMPUTED_VALUE"""),"")</f>
        <v/>
      </c>
      <c r="O8318" s="17" t="str">
        <f>IFERROR(__xludf.DUMMYFUNCTION("""COMPUTED_VALUE"""),"")</f>
        <v/>
      </c>
      <c r="P8318" s="17" t="str">
        <f>IFERROR(__xludf.DUMMYFUNCTION("""COMPUTED_VALUE"""),"")</f>
        <v/>
      </c>
      <c r="Q8318" s="17" t="str">
        <f>IFERROR(__xludf.DUMMYFUNCTION("""COMPUTED_VALUE"""),"")</f>
        <v/>
      </c>
      <c r="R8318" s="17" t="str">
        <f>IFERROR(__xludf.DUMMYFUNCTION("""COMPUTED_VALUE"""),"")</f>
        <v/>
      </c>
    </row>
    <row r="8319">
      <c r="A8319" s="15">
        <f>IFERROR(__xludf.DUMMYFUNCTION("""COMPUTED_VALUE"""),45238.0)</f>
        <v>45238</v>
      </c>
      <c r="B8319" s="16" t="str">
        <f>IFERROR(__xludf.DUMMYFUNCTION("""COMPUTED_VALUE"""),"Envia")</f>
        <v>Envia</v>
      </c>
      <c r="C8319" s="15" t="str">
        <f>IFERROR(__xludf.DUMMYFUNCTION("""COMPUTED_VALUE"""),"ARMENIA")</f>
        <v>ARMENIA</v>
      </c>
      <c r="D8319" s="15" t="str">
        <f>IFERROR(__xludf.DUMMYFUNCTION("""COMPUTED_VALUE"""),"BOGOTÁ")</f>
        <v>BOGOTÁ</v>
      </c>
      <c r="E8319" s="15" t="str">
        <f>IFERROR(__xludf.DUMMYFUNCTION("""COMPUTED_VALUE"""),"Instinto alimento vital")</f>
        <v>Instinto alimento vital</v>
      </c>
      <c r="F8319" s="17" t="str">
        <f>IFERROR(__xludf.DUMMYFUNCTION("""COMPUTED_VALUE"""),"CALLE 14 NORTE 10-49 / EDF LA CASTELLANA APTO 502")</f>
        <v>CALLE 14 NORTE 10-49 / EDF LA CASTELLANA APTO 502</v>
      </c>
      <c r="G8319" s="15" t="str">
        <f>IFERROR(__xludf.DUMMYFUNCTION("""COMPUTED_VALUE"""),"NICOLE REGNIER PALACIO")</f>
        <v>NICOLE REGNIER PALACIO</v>
      </c>
      <c r="H8319" s="16">
        <f>IFERROR(__xludf.DUMMYFUNCTION("""COMPUTED_VALUE"""),17007.0)</f>
        <v>17007</v>
      </c>
      <c r="I8319" s="17"/>
      <c r="J8319" s="17"/>
      <c r="K8319" s="17"/>
      <c r="L8319" s="17">
        <f>IFERROR(__xludf.DUMMYFUNCTION("""COMPUTED_VALUE"""),3.105042231E9)</f>
        <v>3105042231</v>
      </c>
      <c r="M8319" s="17"/>
      <c r="N8319" s="17"/>
      <c r="O8319" s="17"/>
      <c r="P8319" s="17" t="b">
        <f>IFERROR(__xludf.DUMMYFUNCTION("""COMPUTED_VALUE"""),FALSE)</f>
        <v>0</v>
      </c>
      <c r="Q8319" s="20" t="str">
        <f>IFERROR(__xludf.DUMMYFUNCTION("""COMPUTED_VALUE"""),"")</f>
        <v/>
      </c>
      <c r="R8319" s="21" t="str">
        <f>IFERROR(__xludf.DUMMYFUNCTION("""COMPUTED_VALUE"""),"https://drive.google.com/file/d/11EZqxRBFJXOOPx6cJnhc5y6KooXrsmjw/view?usp=drivesdk")</f>
        <v>https://drive.google.com/file/d/11EZqxRBFJXOOPx6cJnhc5y6KooXrsmjw/view?usp=drivesdk</v>
      </c>
    </row>
    <row r="8320">
      <c r="A8320" s="15">
        <f>IFERROR(__xludf.DUMMYFUNCTION("""COMPUTED_VALUE"""),45238.0)</f>
        <v>45238</v>
      </c>
      <c r="B8320" s="16" t="str">
        <f>IFERROR(__xludf.DUMMYFUNCTION("""COMPUTED_VALUE"""),"Envia")</f>
        <v>Envia</v>
      </c>
      <c r="C8320" s="15" t="str">
        <f>IFERROR(__xludf.DUMMYFUNCTION("""COMPUTED_VALUE"""),"BOGOTÁ")</f>
        <v>BOGOTÁ</v>
      </c>
      <c r="D8320" s="15" t="str">
        <f>IFERROR(__xludf.DUMMYFUNCTION("""COMPUTED_VALUE"""),"MEDELLÍN")</f>
        <v>MEDELLÍN</v>
      </c>
      <c r="E8320" s="15" t="str">
        <f>IFERROR(__xludf.DUMMYFUNCTION("""COMPUTED_VALUE"""),"Moloso S.A.S")</f>
        <v>Moloso S.A.S</v>
      </c>
      <c r="F8320" s="17" t="str">
        <f>IFERROR(__xludf.DUMMYFUNCTION("""COMPUTED_VALUE"""),"CR 10B 135A 20 / ED AGAVE AP 301")</f>
        <v>CR 10B 135A 20 / ED AGAVE AP 301</v>
      </c>
      <c r="G8320" s="15" t="str">
        <f>IFERROR(__xludf.DUMMYFUNCTION("""COMPUTED_VALUE"""),"ALEJANDRA MARIA QUIÑONES CEDEÑO")</f>
        <v>ALEJANDRA MARIA QUIÑONES CEDEÑO</v>
      </c>
      <c r="H8320" s="16">
        <f>IFERROR(__xludf.DUMMYFUNCTION("""COMPUTED_VALUE"""),17084.0)</f>
        <v>17084</v>
      </c>
      <c r="I8320" s="17"/>
      <c r="J8320" s="17"/>
      <c r="K8320" s="17"/>
      <c r="L8320" s="17"/>
      <c r="M8320" s="17"/>
      <c r="N8320" s="17"/>
      <c r="O8320" s="17"/>
      <c r="P8320" s="17" t="b">
        <f>IFERROR(__xludf.DUMMYFUNCTION("""COMPUTED_VALUE"""),FALSE)</f>
        <v>0</v>
      </c>
      <c r="Q8320" s="20" t="str">
        <f>IFERROR(__xludf.DUMMYFUNCTION("""COMPUTED_VALUE"""),"")</f>
        <v/>
      </c>
      <c r="R8320" s="22" t="str">
        <f>IFERROR(__xludf.DUMMYFUNCTION("""COMPUTED_VALUE"""),"")</f>
        <v/>
      </c>
    </row>
    <row r="8321">
      <c r="A8321" s="15">
        <f>IFERROR(__xludf.DUMMYFUNCTION("""COMPUTED_VALUE"""),45238.0)</f>
        <v>45238</v>
      </c>
      <c r="B8321" s="16" t="str">
        <f>IFERROR(__xludf.DUMMYFUNCTION("""COMPUTED_VALUE"""),"Envia")</f>
        <v>Envia</v>
      </c>
      <c r="C8321" s="15" t="str">
        <f>IFERROR(__xludf.DUMMYFUNCTION("""COMPUTED_VALUE"""),"CALI")</f>
        <v>CALI</v>
      </c>
      <c r="D8321" s="15" t="str">
        <f>IFERROR(__xludf.DUMMYFUNCTION("""COMPUTED_VALUE"""),"BOGOTÁ")</f>
        <v>BOGOTÁ</v>
      </c>
      <c r="E8321" s="15" t="str">
        <f>IFERROR(__xludf.DUMMYFUNCTION("""COMPUTED_VALUE"""),"LINA PAOLA RAMIREZ GOMEZ - EVA MAZZITA")</f>
        <v>LINA PAOLA RAMIREZ GOMEZ - EVA MAZZITA</v>
      </c>
      <c r="F8321" s="17" t="str">
        <f>IFERROR(__xludf.DUMMYFUNCTION("""COMPUTED_VALUE"""),"CRA 1J # 59 - 82 / CASA PISO 3")</f>
        <v>CRA 1J # 59 - 82 / CASA PISO 3</v>
      </c>
      <c r="G8321" s="15" t="str">
        <f>IFERROR(__xludf.DUMMYFUNCTION("""COMPUTED_VALUE"""),"MELANIE GONZALEZ")</f>
        <v>MELANIE GONZALEZ</v>
      </c>
      <c r="H8321" s="16">
        <f>IFERROR(__xludf.DUMMYFUNCTION("""COMPUTED_VALUE"""),17072.0)</f>
        <v>17072</v>
      </c>
      <c r="I8321" s="17"/>
      <c r="J8321" s="17"/>
      <c r="K8321" s="17"/>
      <c r="L8321" s="17">
        <f>IFERROR(__xludf.DUMMYFUNCTION("""COMPUTED_VALUE"""),3.132090417E9)</f>
        <v>3132090417</v>
      </c>
      <c r="M8321" s="17"/>
      <c r="N8321" s="17"/>
      <c r="O8321" s="17"/>
      <c r="P8321" s="17" t="b">
        <f>IFERROR(__xludf.DUMMYFUNCTION("""COMPUTED_VALUE"""),FALSE)</f>
        <v>0</v>
      </c>
      <c r="Q8321" s="20" t="str">
        <f>IFERROR(__xludf.DUMMYFUNCTION("""COMPUTED_VALUE"""),"")</f>
        <v/>
      </c>
      <c r="R8321" s="21" t="str">
        <f>IFERROR(__xludf.DUMMYFUNCTION("""COMPUTED_VALUE"""),"https://drive.google.com/file/d/1FbkclMXUp7iclVOFrSrjHKbwTujFsp8M/view?usp=drivesdk")</f>
        <v>https://drive.google.com/file/d/1FbkclMXUp7iclVOFrSrjHKbwTujFsp8M/view?usp=drivesdk</v>
      </c>
    </row>
    <row r="8322">
      <c r="A8322" s="15">
        <f>IFERROR(__xludf.DUMMYFUNCTION("""COMPUTED_VALUE"""),45238.0)</f>
        <v>45238</v>
      </c>
      <c r="B8322" s="16" t="str">
        <f>IFERROR(__xludf.DUMMYFUNCTION("""COMPUTED_VALUE"""),"Envia")</f>
        <v>Envia</v>
      </c>
      <c r="C8322" s="15" t="str">
        <f>IFERROR(__xludf.DUMMYFUNCTION("""COMPUTED_VALUE"""),"CALI")</f>
        <v>CALI</v>
      </c>
      <c r="D8322" s="15" t="str">
        <f>IFERROR(__xludf.DUMMYFUNCTION("""COMPUTED_VALUE"""),"BOGOTÁ")</f>
        <v>BOGOTÁ</v>
      </c>
      <c r="E8322" s="15" t="str">
        <f>IFERROR(__xludf.DUMMYFUNCTION("""COMPUTED_VALUE"""),"Top Spun")</f>
        <v>Top Spun</v>
      </c>
      <c r="F8322" s="17" t="str">
        <f>IFERROR(__xludf.DUMMYFUNCTION("""COMPUTED_VALUE"""),"Carrera 138# 4-133 / Casa 75 / unidad residencial ""Batik""")</f>
        <v>Carrera 138# 4-133 / Casa 75 / unidad residencial "Batik"</v>
      </c>
      <c r="G8322" s="15" t="str">
        <f>IFERROR(__xludf.DUMMYFUNCTION("""COMPUTED_VALUE"""),"Carolina Ceron")</f>
        <v>Carolina Ceron</v>
      </c>
      <c r="H8322" s="16">
        <f>IFERROR(__xludf.DUMMYFUNCTION("""COMPUTED_VALUE"""),16983.0)</f>
        <v>16983</v>
      </c>
      <c r="I8322" s="18">
        <f>IFERROR(__xludf.DUMMYFUNCTION("""COMPUTED_VALUE"""),20.0)</f>
        <v>20</v>
      </c>
      <c r="J8322" s="18">
        <f>IFERROR(__xludf.DUMMYFUNCTION("""COMPUTED_VALUE"""),10.0)</f>
        <v>10</v>
      </c>
      <c r="K8322" s="18">
        <f>IFERROR(__xludf.DUMMYFUNCTION("""COMPUTED_VALUE"""),40.0)</f>
        <v>40</v>
      </c>
      <c r="L8322" s="17">
        <f>IFERROR(__xludf.DUMMYFUNCTION("""COMPUTED_VALUE"""),3.00419566E9)</f>
        <v>3004195660</v>
      </c>
      <c r="M8322" s="17"/>
      <c r="N8322" s="17"/>
      <c r="O8322" s="17"/>
      <c r="P8322" s="17" t="b">
        <f>IFERROR(__xludf.DUMMYFUNCTION("""COMPUTED_VALUE"""),FALSE)</f>
        <v>0</v>
      </c>
      <c r="Q8322" s="20" t="str">
        <f>IFERROR(__xludf.DUMMYFUNCTION("""COMPUTED_VALUE"""),"")</f>
        <v/>
      </c>
      <c r="R8322" s="21" t="str">
        <f>IFERROR(__xludf.DUMMYFUNCTION("""COMPUTED_VALUE"""),"https://drive.google.com/file/d/1fWkDWkx-_ZtQ-8wCjaq0IjnbG97OXPLC/view?usp=drivesdk")</f>
        <v>https://drive.google.com/file/d/1fWkDWkx-_ZtQ-8wCjaq0IjnbG97OXPLC/view?usp=drivesdk</v>
      </c>
    </row>
    <row r="8323">
      <c r="A8323" s="15">
        <f>IFERROR(__xludf.DUMMYFUNCTION("""COMPUTED_VALUE"""),45238.0)</f>
        <v>45238</v>
      </c>
      <c r="B8323" s="16" t="str">
        <f>IFERROR(__xludf.DUMMYFUNCTION("""COMPUTED_VALUE"""),"Envia")</f>
        <v>Envia</v>
      </c>
      <c r="C8323" s="15" t="str">
        <f>IFERROR(__xludf.DUMMYFUNCTION("""COMPUTED_VALUE"""),"ENVIGADO")</f>
        <v>ENVIGADO</v>
      </c>
      <c r="D8323" s="15" t="str">
        <f>IFERROR(__xludf.DUMMYFUNCTION("""COMPUTED_VALUE"""),"BOGOTÁ")</f>
        <v>BOGOTÁ</v>
      </c>
      <c r="E8323" s="15" t="str">
        <f>IFERROR(__xludf.DUMMYFUNCTION("""COMPUTED_VALUE"""),"Top Spun")</f>
        <v>Top Spun</v>
      </c>
      <c r="F8323" s="17" t="str">
        <f>IFERROR(__xludf.DUMMYFUNCTION("""COMPUTED_VALUE"""),"Cl 36d Sur Km 11 / Alto Del Escobero, Porton De Las Flores, casa 30 / Envigado")</f>
        <v>Cl 36d Sur Km 11 / Alto Del Escobero, Porton De Las Flores, casa 30 / Envigado</v>
      </c>
      <c r="G8323" s="15" t="str">
        <f>IFERROR(__xludf.DUMMYFUNCTION("""COMPUTED_VALUE"""),"Paula Mesa")</f>
        <v>Paula Mesa</v>
      </c>
      <c r="H8323" s="16">
        <f>IFERROR(__xludf.DUMMYFUNCTION("""COMPUTED_VALUE"""),16981.0)</f>
        <v>16981</v>
      </c>
      <c r="I8323" s="18">
        <f>IFERROR(__xludf.DUMMYFUNCTION("""COMPUTED_VALUE"""),20.0)</f>
        <v>20</v>
      </c>
      <c r="J8323" s="18">
        <f>IFERROR(__xludf.DUMMYFUNCTION("""COMPUTED_VALUE"""),10.0)</f>
        <v>10</v>
      </c>
      <c r="K8323" s="18">
        <f>IFERROR(__xludf.DUMMYFUNCTION("""COMPUTED_VALUE"""),40.0)</f>
        <v>40</v>
      </c>
      <c r="L8323" s="17">
        <f>IFERROR(__xludf.DUMMYFUNCTION("""COMPUTED_VALUE"""),3.218988629E9)</f>
        <v>3218988629</v>
      </c>
      <c r="M8323" s="17"/>
      <c r="N8323" s="17"/>
      <c r="O8323" s="17"/>
      <c r="P8323" s="17" t="b">
        <f>IFERROR(__xludf.DUMMYFUNCTION("""COMPUTED_VALUE"""),FALSE)</f>
        <v>0</v>
      </c>
      <c r="Q8323" s="20" t="str">
        <f>IFERROR(__xludf.DUMMYFUNCTION("""COMPUTED_VALUE"""),"")</f>
        <v/>
      </c>
      <c r="R8323" s="21" t="str">
        <f>IFERROR(__xludf.DUMMYFUNCTION("""COMPUTED_VALUE"""),"https://drive.google.com/file/d/1NU6YFbPiRxYsN3jVN7hQClQH5Js8s8PF/view?usp=drivesdk")</f>
        <v>https://drive.google.com/file/d/1NU6YFbPiRxYsN3jVN7hQClQH5Js8s8PF/view?usp=drivesdk</v>
      </c>
    </row>
    <row r="8324">
      <c r="A8324" s="15">
        <f>IFERROR(__xludf.DUMMYFUNCTION("""COMPUTED_VALUE"""),45238.0)</f>
        <v>45238</v>
      </c>
      <c r="B8324" s="16" t="str">
        <f>IFERROR(__xludf.DUMMYFUNCTION("""COMPUTED_VALUE"""),"Envia")</f>
        <v>Envia</v>
      </c>
      <c r="C8324" s="15" t="str">
        <f>IFERROR(__xludf.DUMMYFUNCTION("""COMPUTED_VALUE"""),"IBAGUÉ")</f>
        <v>IBAGUÉ</v>
      </c>
      <c r="D8324" s="15" t="str">
        <f>IFERROR(__xludf.DUMMYFUNCTION("""COMPUTED_VALUE"""),"BOGOTÁ")</f>
        <v>BOGOTÁ</v>
      </c>
      <c r="E8324" s="15" t="str">
        <f>IFERROR(__xludf.DUMMYFUNCTION("""COMPUTED_VALUE"""),"LINA PAOLA RAMIREZ GOMEZ - EVA MAZZITA")</f>
        <v>LINA PAOLA RAMIREZ GOMEZ - EVA MAZZITA</v>
      </c>
      <c r="F8324" s="17" t="str">
        <f>IFERROR(__xludf.DUMMYFUNCTION("""COMPUTED_VALUE"""),"Calle 121# 7-44 / torreón de Santa Ana segunda etapa casa 90")</f>
        <v>Calle 121# 7-44 / torreón de Santa Ana segunda etapa casa 90</v>
      </c>
      <c r="G8324" s="15" t="str">
        <f>IFERROR(__xludf.DUMMYFUNCTION("""COMPUTED_VALUE"""),"STELLA JIMENEZ")</f>
        <v>STELLA JIMENEZ</v>
      </c>
      <c r="H8324" s="16">
        <f>IFERROR(__xludf.DUMMYFUNCTION("""COMPUTED_VALUE"""),17060.0)</f>
        <v>17060</v>
      </c>
      <c r="I8324" s="17"/>
      <c r="J8324" s="17"/>
      <c r="K8324" s="17"/>
      <c r="L8324" s="17">
        <f>IFERROR(__xludf.DUMMYFUNCTION("""COMPUTED_VALUE"""),3.016969034E9)</f>
        <v>3016969034</v>
      </c>
      <c r="M8324" s="17"/>
      <c r="N8324" s="17"/>
      <c r="O8324" s="17"/>
      <c r="P8324" s="17" t="b">
        <f>IFERROR(__xludf.DUMMYFUNCTION("""COMPUTED_VALUE"""),FALSE)</f>
        <v>0</v>
      </c>
      <c r="Q8324" s="20" t="str">
        <f>IFERROR(__xludf.DUMMYFUNCTION("""COMPUTED_VALUE"""),"")</f>
        <v/>
      </c>
      <c r="R8324" s="21" t="str">
        <f>IFERROR(__xludf.DUMMYFUNCTION("""COMPUTED_VALUE"""),"https://drive.google.com/file/d/1x1ItDwSkyHcANrjqDtoHZvDawh1cdQhU/view?usp=drivesdk")</f>
        <v>https://drive.google.com/file/d/1x1ItDwSkyHcANrjqDtoHZvDawh1cdQhU/view?usp=drivesdk</v>
      </c>
    </row>
    <row r="8325">
      <c r="A8325" s="15">
        <f>IFERROR(__xludf.DUMMYFUNCTION("""COMPUTED_VALUE"""),45238.0)</f>
        <v>45238</v>
      </c>
      <c r="B8325" s="16" t="str">
        <f>IFERROR(__xludf.DUMMYFUNCTION("""COMPUTED_VALUE"""),"Envia")</f>
        <v>Envia</v>
      </c>
      <c r="C8325" s="15" t="str">
        <f>IFERROR(__xludf.DUMMYFUNCTION("""COMPUTED_VALUE"""),"ITAGÜI")</f>
        <v>ITAGÜI</v>
      </c>
      <c r="D8325" s="15" t="str">
        <f>IFERROR(__xludf.DUMMYFUNCTION("""COMPUTED_VALUE"""),"BOGOTÁ")</f>
        <v>BOGOTÁ</v>
      </c>
      <c r="E8325" s="15" t="str">
        <f>IFERROR(__xludf.DUMMYFUNCTION("""COMPUTED_VALUE"""),"LINA PAOLA RAMIREZ GOMEZ - EVA MAZZITA")</f>
        <v>LINA PAOLA RAMIREZ GOMEZ - EVA MAZZITA</v>
      </c>
      <c r="F8325" s="17" t="str">
        <f>IFERROR(__xludf.DUMMYFUNCTION("""COMPUTED_VALUE"""),"CRA 53 No. 75AA SUR 90 AP 303 ED. SANTA CATALINA (CERCA A LA CASA FRANCISCANA POR EL MALL SURAMERICA / AP 303 ED. SANTA CATALINA")</f>
        <v>CRA 53 No. 75AA SUR 90 AP 303 ED. SANTA CATALINA (CERCA A LA CASA FRANCISCANA POR EL MALL SURAMERICA / AP 303 ED. SANTA CATALINA</v>
      </c>
      <c r="G8325" s="15" t="str">
        <f>IFERROR(__xludf.DUMMYFUNCTION("""COMPUTED_VALUE"""),"MARIA ELENA CONTRERAS MATTOS")</f>
        <v>MARIA ELENA CONTRERAS MATTOS</v>
      </c>
      <c r="H8325" s="16">
        <f>IFERROR(__xludf.DUMMYFUNCTION("""COMPUTED_VALUE"""),17062.0)</f>
        <v>17062</v>
      </c>
      <c r="I8325" s="17"/>
      <c r="J8325" s="17"/>
      <c r="K8325" s="17"/>
      <c r="L8325" s="17">
        <f>IFERROR(__xludf.DUMMYFUNCTION("""COMPUTED_VALUE"""),3.165204659E9)</f>
        <v>3165204659</v>
      </c>
      <c r="M8325" s="17"/>
      <c r="N8325" s="17"/>
      <c r="O8325" s="17"/>
      <c r="P8325" s="17" t="b">
        <f>IFERROR(__xludf.DUMMYFUNCTION("""COMPUTED_VALUE"""),FALSE)</f>
        <v>0</v>
      </c>
      <c r="Q8325" s="20" t="str">
        <f>IFERROR(__xludf.DUMMYFUNCTION("""COMPUTED_VALUE"""),"")</f>
        <v/>
      </c>
      <c r="R8325" s="21" t="str">
        <f>IFERROR(__xludf.DUMMYFUNCTION("""COMPUTED_VALUE"""),"https://drive.google.com/file/d/1QOuDs8aZJNs76wXN8V7e2W669BMUoA81/view?usp=drivesdk")</f>
        <v>https://drive.google.com/file/d/1QOuDs8aZJNs76wXN8V7e2W669BMUoA81/view?usp=drivesdk</v>
      </c>
    </row>
    <row r="8326">
      <c r="A8326" s="15">
        <f>IFERROR(__xludf.DUMMYFUNCTION("""COMPUTED_VALUE"""),45238.0)</f>
        <v>45238</v>
      </c>
      <c r="B8326" s="16" t="str">
        <f>IFERROR(__xludf.DUMMYFUNCTION("""COMPUTED_VALUE"""),"Envia")</f>
        <v>Envia</v>
      </c>
      <c r="C8326" s="15" t="str">
        <f>IFERROR(__xludf.DUMMYFUNCTION("""COMPUTED_VALUE"""),"MANIZALES")</f>
        <v>MANIZALES</v>
      </c>
      <c r="D8326" s="15" t="str">
        <f>IFERROR(__xludf.DUMMYFUNCTION("""COMPUTED_VALUE"""),"ENVIGADO")</f>
        <v>ENVIGADO</v>
      </c>
      <c r="E8326" s="15" t="str">
        <f>IFERROR(__xludf.DUMMYFUNCTION("""COMPUTED_VALUE"""),"JUAN CAMILO CORDOBA")</f>
        <v>JUAN CAMILO CORDOBA</v>
      </c>
      <c r="F8326" s="17" t="str">
        <f>IFERROR(__xludf.DUMMYFUNCTION("""COMPUTED_VALUE"""),"Calle 66 26 45 / ED GUAYACAN DE LA 66")</f>
        <v>Calle 66 26 45 / ED GUAYACAN DE LA 66</v>
      </c>
      <c r="G8326" s="15" t="str">
        <f>IFERROR(__xludf.DUMMYFUNCTION("""COMPUTED_VALUE"""),"Mercafit")</f>
        <v>Mercafit</v>
      </c>
      <c r="H8326" s="16">
        <f>IFERROR(__xludf.DUMMYFUNCTION("""COMPUTED_VALUE"""),17091.0)</f>
        <v>17091</v>
      </c>
      <c r="I8326" s="17"/>
      <c r="J8326" s="17"/>
      <c r="K8326" s="17"/>
      <c r="L8326" s="17">
        <f>IFERROR(__xludf.DUMMYFUNCTION("""COMPUTED_VALUE"""),3.004648126E9)</f>
        <v>3004648126</v>
      </c>
      <c r="M8326" s="17"/>
      <c r="N8326" s="17"/>
      <c r="O8326" s="17"/>
      <c r="P8326" s="17" t="b">
        <f>IFERROR(__xludf.DUMMYFUNCTION("""COMPUTED_VALUE"""),FALSE)</f>
        <v>0</v>
      </c>
      <c r="Q8326" s="20" t="str">
        <f>IFERROR(__xludf.DUMMYFUNCTION("""COMPUTED_VALUE"""),"")</f>
        <v/>
      </c>
      <c r="R8326" s="22" t="str">
        <f>IFERROR(__xludf.DUMMYFUNCTION("""COMPUTED_VALUE"""),"")</f>
        <v/>
      </c>
    </row>
    <row r="8327">
      <c r="A8327" s="15">
        <f>IFERROR(__xludf.DUMMYFUNCTION("""COMPUTED_VALUE"""),45238.0)</f>
        <v>45238</v>
      </c>
      <c r="B8327" s="16" t="str">
        <f>IFERROR(__xludf.DUMMYFUNCTION("""COMPUTED_VALUE"""),"Envia")</f>
        <v>Envia</v>
      </c>
      <c r="C8327" s="15" t="str">
        <f>IFERROR(__xludf.DUMMYFUNCTION("""COMPUTED_VALUE"""),"MEDELLÍN")</f>
        <v>MEDELLÍN</v>
      </c>
      <c r="D8327" s="15" t="str">
        <f>IFERROR(__xludf.DUMMYFUNCTION("""COMPUTED_VALUE"""),"BOGOTÁ")</f>
        <v>BOGOTÁ</v>
      </c>
      <c r="E8327" s="15" t="str">
        <f>IFERROR(__xludf.DUMMYFUNCTION("""COMPUTED_VALUE"""),"LINA PAOLA RAMIREZ GOMEZ - EVA MAZZITA")</f>
        <v>LINA PAOLA RAMIREZ GOMEZ - EVA MAZZITA</v>
      </c>
      <c r="F8327" s="17" t="str">
        <f>IFERROR(__xludf.DUMMYFUNCTION("""COMPUTED_VALUE"""),"Calle 12C Sur 39 153 / Edificio La Gruta del Poblado/Apto 202 Torre A Medellín")</f>
        <v>Calle 12C Sur 39 153 / Edificio La Gruta del Poblado/Apto 202 Torre A Medellín</v>
      </c>
      <c r="G8327" s="15" t="str">
        <f>IFERROR(__xludf.DUMMYFUNCTION("""COMPUTED_VALUE"""),"SARAH BASTIDAS PUERTA")</f>
        <v>SARAH BASTIDAS PUERTA</v>
      </c>
      <c r="H8327" s="16">
        <f>IFERROR(__xludf.DUMMYFUNCTION("""COMPUTED_VALUE"""),17066.0)</f>
        <v>17066</v>
      </c>
      <c r="I8327" s="17"/>
      <c r="J8327" s="17"/>
      <c r="K8327" s="17"/>
      <c r="L8327" s="17">
        <f>IFERROR(__xludf.DUMMYFUNCTION("""COMPUTED_VALUE"""),3.233634153E9)</f>
        <v>3233634153</v>
      </c>
      <c r="M8327" s="17"/>
      <c r="N8327" s="17"/>
      <c r="O8327" s="17"/>
      <c r="P8327" s="17" t="b">
        <f>IFERROR(__xludf.DUMMYFUNCTION("""COMPUTED_VALUE"""),FALSE)</f>
        <v>0</v>
      </c>
      <c r="Q8327" s="20" t="str">
        <f>IFERROR(__xludf.DUMMYFUNCTION("""COMPUTED_VALUE"""),"")</f>
        <v/>
      </c>
      <c r="R8327" s="21" t="str">
        <f>IFERROR(__xludf.DUMMYFUNCTION("""COMPUTED_VALUE"""),"https://drive.google.com/file/d/1bdbL8n5nIXLJqaUfWRdf7qCoH5TiGCBH/view?usp=drivesdk")</f>
        <v>https://drive.google.com/file/d/1bdbL8n5nIXLJqaUfWRdf7qCoH5TiGCBH/view?usp=drivesdk</v>
      </c>
    </row>
    <row r="8328">
      <c r="A8328" s="15">
        <f>IFERROR(__xludf.DUMMYFUNCTION("""COMPUTED_VALUE"""),45238.0)</f>
        <v>45238</v>
      </c>
      <c r="B8328" s="16" t="str">
        <f>IFERROR(__xludf.DUMMYFUNCTION("""COMPUTED_VALUE"""),"Envia")</f>
        <v>Envia</v>
      </c>
      <c r="C8328" s="15" t="str">
        <f>IFERROR(__xludf.DUMMYFUNCTION("""COMPUTED_VALUE"""),"MEDELLÍN")</f>
        <v>MEDELLÍN</v>
      </c>
      <c r="D8328" s="15" t="str">
        <f>IFERROR(__xludf.DUMMYFUNCTION("""COMPUTED_VALUE"""),"BOGOTÁ")</f>
        <v>BOGOTÁ</v>
      </c>
      <c r="E8328" s="15" t="str">
        <f>IFERROR(__xludf.DUMMYFUNCTION("""COMPUTED_VALUE"""),"Top Spun")</f>
        <v>Top Spun</v>
      </c>
      <c r="F8328" s="17" t="str">
        <f>IFERROR(__xludf.DUMMYFUNCTION("""COMPUTED_VALUE"""),"Calle 40 #21-145 / Urbanización Montry / Torre 4, apto.334")</f>
        <v>Calle 40 #21-145 / Urbanización Montry / Torre 4, apto.334</v>
      </c>
      <c r="G8328" s="15" t="str">
        <f>IFERROR(__xludf.DUMMYFUNCTION("""COMPUTED_VALUE"""),"Shanel Richard")</f>
        <v>Shanel Richard</v>
      </c>
      <c r="H8328" s="16">
        <f>IFERROR(__xludf.DUMMYFUNCTION("""COMPUTED_VALUE"""),16979.0)</f>
        <v>16979</v>
      </c>
      <c r="I8328" s="18">
        <f>IFERROR(__xludf.DUMMYFUNCTION("""COMPUTED_VALUE"""),20.0)</f>
        <v>20</v>
      </c>
      <c r="J8328" s="18">
        <f>IFERROR(__xludf.DUMMYFUNCTION("""COMPUTED_VALUE"""),10.0)</f>
        <v>10</v>
      </c>
      <c r="K8328" s="18">
        <f>IFERROR(__xludf.DUMMYFUNCTION("""COMPUTED_VALUE"""),40.0)</f>
        <v>40</v>
      </c>
      <c r="L8328" s="17">
        <f>IFERROR(__xludf.DUMMYFUNCTION("""COMPUTED_VALUE"""),3.044348892E9)</f>
        <v>3044348892</v>
      </c>
      <c r="M8328" s="17"/>
      <c r="N8328" s="17"/>
      <c r="O8328" s="17"/>
      <c r="P8328" s="17" t="b">
        <f>IFERROR(__xludf.DUMMYFUNCTION("""COMPUTED_VALUE"""),FALSE)</f>
        <v>0</v>
      </c>
      <c r="Q8328" s="20" t="str">
        <f>IFERROR(__xludf.DUMMYFUNCTION("""COMPUTED_VALUE"""),"")</f>
        <v/>
      </c>
      <c r="R8328" s="22" t="str">
        <f>IFERROR(__xludf.DUMMYFUNCTION("""COMPUTED_VALUE"""),"")</f>
        <v/>
      </c>
    </row>
    <row r="8329">
      <c r="A8329" s="15">
        <f>IFERROR(__xludf.DUMMYFUNCTION("""COMPUTED_VALUE"""),45238.0)</f>
        <v>45238</v>
      </c>
      <c r="B8329" s="16" t="str">
        <f>IFERROR(__xludf.DUMMYFUNCTION("""COMPUTED_VALUE"""),"Envia")</f>
        <v>Envia</v>
      </c>
      <c r="C8329" s="15" t="str">
        <f>IFERROR(__xludf.DUMMYFUNCTION("""COMPUTED_VALUE"""),"MEDELLÍN")</f>
        <v>MEDELLÍN</v>
      </c>
      <c r="D8329" s="15" t="str">
        <f>IFERROR(__xludf.DUMMYFUNCTION("""COMPUTED_VALUE"""),"BOGOTÁ")</f>
        <v>BOGOTÁ</v>
      </c>
      <c r="E8329" s="15" t="str">
        <f>IFERROR(__xludf.DUMMYFUNCTION("""COMPUTED_VALUE"""),"Top Spun")</f>
        <v>Top Spun</v>
      </c>
      <c r="F8329" s="17" t="str">
        <f>IFERROR(__xludf.DUMMYFUNCTION("""COMPUTED_VALUE"""),"Cra 32no 18c 72 apt 411 / Panorámika country / Medellín")</f>
        <v>Cra 32no 18c 72 apt 411 / Panorámika country / Medellín</v>
      </c>
      <c r="G8329" s="15" t="str">
        <f>IFERROR(__xludf.DUMMYFUNCTION("""COMPUTED_VALUE"""),"Ninoska Tietje")</f>
        <v>Ninoska Tietje</v>
      </c>
      <c r="H8329" s="16">
        <f>IFERROR(__xludf.DUMMYFUNCTION("""COMPUTED_VALUE"""),16982.0)</f>
        <v>16982</v>
      </c>
      <c r="I8329" s="18">
        <f>IFERROR(__xludf.DUMMYFUNCTION("""COMPUTED_VALUE"""),20.0)</f>
        <v>20</v>
      </c>
      <c r="J8329" s="18">
        <f>IFERROR(__xludf.DUMMYFUNCTION("""COMPUTED_VALUE"""),10.0)</f>
        <v>10</v>
      </c>
      <c r="K8329" s="18">
        <f>IFERROR(__xludf.DUMMYFUNCTION("""COMPUTED_VALUE"""),40.0)</f>
        <v>40</v>
      </c>
      <c r="L8329" s="17">
        <f>IFERROR(__xludf.DUMMYFUNCTION("""COMPUTED_VALUE"""),3.185226413E9)</f>
        <v>3185226413</v>
      </c>
      <c r="M8329" s="17"/>
      <c r="N8329" s="17"/>
      <c r="O8329" s="17"/>
      <c r="P8329" s="17" t="b">
        <f>IFERROR(__xludf.DUMMYFUNCTION("""COMPUTED_VALUE"""),FALSE)</f>
        <v>0</v>
      </c>
      <c r="Q8329" s="20" t="str">
        <f>IFERROR(__xludf.DUMMYFUNCTION("""COMPUTED_VALUE"""),"")</f>
        <v/>
      </c>
      <c r="R8329" s="21" t="str">
        <f>IFERROR(__xludf.DUMMYFUNCTION("""COMPUTED_VALUE"""),"https://drive.google.com/file/d/1Wbh9BEN_6_ckSwuopxwby7syAhx8Gjdm/view?usp=drivesdk")</f>
        <v>https://drive.google.com/file/d/1Wbh9BEN_6_ckSwuopxwby7syAhx8Gjdm/view?usp=drivesdk</v>
      </c>
    </row>
    <row r="8330">
      <c r="A8330" s="15">
        <f>IFERROR(__xludf.DUMMYFUNCTION("""COMPUTED_VALUE"""),45238.0)</f>
        <v>45238</v>
      </c>
      <c r="B8330" s="16" t="str">
        <f>IFERROR(__xludf.DUMMYFUNCTION("""COMPUTED_VALUE"""),"Envia")</f>
        <v>Envia</v>
      </c>
      <c r="C8330" s="15" t="str">
        <f>IFERROR(__xludf.DUMMYFUNCTION("""COMPUTED_VALUE"""),"MEDELLÍN")</f>
        <v>MEDELLÍN</v>
      </c>
      <c r="D8330" s="15" t="str">
        <f>IFERROR(__xludf.DUMMYFUNCTION("""COMPUTED_VALUE"""),"BOGOTÁ")</f>
        <v>BOGOTÁ</v>
      </c>
      <c r="E8330" s="15" t="str">
        <f>IFERROR(__xludf.DUMMYFUNCTION("""COMPUTED_VALUE"""),"Viiva Fermentados")</f>
        <v>Viiva Fermentados</v>
      </c>
      <c r="F8330" s="17" t="str">
        <f>IFERROR(__xludf.DUMMYFUNCTION("""COMPUTED_VALUE"""),"CR 42 # 08 -39 / LC PISO 1, siempre se envia copia de factura para que el cliente la firme")</f>
        <v>CR 42 # 08 -39 / LC PISO 1, siempre se envia copia de factura para que el cliente la firme</v>
      </c>
      <c r="G8330" s="15" t="str">
        <f>IFERROR(__xludf.DUMMYFUNCTION("""COMPUTED_VALUE"""),"Real Vegetal")</f>
        <v>Real Vegetal</v>
      </c>
      <c r="H8330" s="16">
        <f>IFERROR(__xludf.DUMMYFUNCTION("""COMPUTED_VALUE"""),16920.0)</f>
        <v>16920</v>
      </c>
      <c r="I8330" s="17"/>
      <c r="J8330" s="17"/>
      <c r="K8330" s="17"/>
      <c r="L8330" s="17">
        <f>IFERROR(__xludf.DUMMYFUNCTION("""COMPUTED_VALUE"""),3.116345472E9)</f>
        <v>3116345472</v>
      </c>
      <c r="M8330" s="17"/>
      <c r="N8330" s="17"/>
      <c r="O8330" s="17"/>
      <c r="P8330" s="17" t="b">
        <f>IFERROR(__xludf.DUMMYFUNCTION("""COMPUTED_VALUE"""),FALSE)</f>
        <v>0</v>
      </c>
      <c r="Q8330" s="20" t="str">
        <f>IFERROR(__xludf.DUMMYFUNCTION("""COMPUTED_VALUE"""),"")</f>
        <v/>
      </c>
      <c r="R8330" s="21" t="str">
        <f>IFERROR(__xludf.DUMMYFUNCTION("""COMPUTED_VALUE"""),"https://drive.google.com/file/d/1asfAnbnZOU9Vc9YJMRdWLGwrimByZXlJ/view?usp=drivesdk")</f>
        <v>https://drive.google.com/file/d/1asfAnbnZOU9Vc9YJMRdWLGwrimByZXlJ/view?usp=drivesdk</v>
      </c>
    </row>
    <row r="8331">
      <c r="A8331" s="15">
        <f>IFERROR(__xludf.DUMMYFUNCTION("""COMPUTED_VALUE"""),45238.0)</f>
        <v>45238</v>
      </c>
      <c r="B8331" s="16" t="str">
        <f>IFERROR(__xludf.DUMMYFUNCTION("""COMPUTED_VALUE"""),"Envia")</f>
        <v>Envia</v>
      </c>
      <c r="C8331" s="15" t="str">
        <f>IFERROR(__xludf.DUMMYFUNCTION("""COMPUTED_VALUE"""),"PALMIRA")</f>
        <v>PALMIRA</v>
      </c>
      <c r="D8331" s="15" t="str">
        <f>IFERROR(__xludf.DUMMYFUNCTION("""COMPUTED_VALUE"""),"BOGOTÁ")</f>
        <v>BOGOTÁ</v>
      </c>
      <c r="E8331" s="15" t="str">
        <f>IFERROR(__xludf.DUMMYFUNCTION("""COMPUTED_VALUE"""),"LINA PAOLA RAMIREZ GOMEZ - EVA MAZZITA")</f>
        <v>LINA PAOLA RAMIREZ GOMEZ - EVA MAZZITA</v>
      </c>
      <c r="F8331" s="17" t="str">
        <f>IFERROR(__xludf.DUMMYFUNCTION("""COMPUTED_VALUE"""),"Calle 15a 25 101 / BARRIO LAS AMERICAS ENTREGAR DESPUES DE LA 1:30 PM")</f>
        <v>Calle 15a 25 101 / BARRIO LAS AMERICAS ENTREGAR DESPUES DE LA 1:30 PM</v>
      </c>
      <c r="G8331" s="15" t="str">
        <f>IFERROR(__xludf.DUMMYFUNCTION("""COMPUTED_VALUE"""),"SINDY VARGAS")</f>
        <v>SINDY VARGAS</v>
      </c>
      <c r="H8331" s="16">
        <f>IFERROR(__xludf.DUMMYFUNCTION("""COMPUTED_VALUE"""),17080.0)</f>
        <v>17080</v>
      </c>
      <c r="I8331" s="17"/>
      <c r="J8331" s="17"/>
      <c r="K8331" s="17"/>
      <c r="L8331" s="17">
        <f>IFERROR(__xludf.DUMMYFUNCTION("""COMPUTED_VALUE"""),3.2088865E9)</f>
        <v>3208886500</v>
      </c>
      <c r="M8331" s="17"/>
      <c r="N8331" s="17"/>
      <c r="O8331" s="17"/>
      <c r="P8331" s="17" t="b">
        <f>IFERROR(__xludf.DUMMYFUNCTION("""COMPUTED_VALUE"""),FALSE)</f>
        <v>0</v>
      </c>
      <c r="Q8331" s="20" t="str">
        <f>IFERROR(__xludf.DUMMYFUNCTION("""COMPUTED_VALUE"""),"")</f>
        <v/>
      </c>
      <c r="R8331" s="21" t="str">
        <f>IFERROR(__xludf.DUMMYFUNCTION("""COMPUTED_VALUE"""),"https://drive.google.com/file/d/1aJVakMAWTsuL9Lw-Ods_6JKbByamUC6Y/view?usp=drivesdk")</f>
        <v>https://drive.google.com/file/d/1aJVakMAWTsuL9Lw-Ods_6JKbByamUC6Y/view?usp=drivesdk</v>
      </c>
    </row>
    <row r="8332">
      <c r="A8332" s="15">
        <f>IFERROR(__xludf.DUMMYFUNCTION("""COMPUTED_VALUE"""),45238.0)</f>
        <v>45238</v>
      </c>
      <c r="B8332" s="16" t="str">
        <f>IFERROR(__xludf.DUMMYFUNCTION("""COMPUTED_VALUE"""),"Envia")</f>
        <v>Envia</v>
      </c>
      <c r="C8332" s="15" t="str">
        <f>IFERROR(__xludf.DUMMYFUNCTION("""COMPUTED_VALUE"""),"PALMIRA")</f>
        <v>PALMIRA</v>
      </c>
      <c r="D8332" s="15" t="str">
        <f>IFERROR(__xludf.DUMMYFUNCTION("""COMPUTED_VALUE"""),"BOGOTÁ")</f>
        <v>BOGOTÁ</v>
      </c>
      <c r="E8332" s="15" t="str">
        <f>IFERROR(__xludf.DUMMYFUNCTION("""COMPUTED_VALUE"""),"LINA PAOLA RAMIREZ GOMEZ - EVA MAZZITA")</f>
        <v>LINA PAOLA RAMIREZ GOMEZ - EVA MAZZITA</v>
      </c>
      <c r="F8332" s="17" t="str">
        <f>IFERROR(__xludf.DUMMYFUNCTION("""COMPUTED_VALUE"""),"CALLE 35 # 2 14 / CALLE 35 # 2 14")</f>
        <v>CALLE 35 # 2 14 / CALLE 35 # 2 14</v>
      </c>
      <c r="G8332" s="15" t="str">
        <f>IFERROR(__xludf.DUMMYFUNCTION("""COMPUTED_VALUE"""),"STEFANNY ANDRADE VELEZ")</f>
        <v>STEFANNY ANDRADE VELEZ</v>
      </c>
      <c r="H8332" s="16">
        <f>IFERROR(__xludf.DUMMYFUNCTION("""COMPUTED_VALUE"""),17078.0)</f>
        <v>17078</v>
      </c>
      <c r="I8332" s="17"/>
      <c r="J8332" s="17"/>
      <c r="K8332" s="17"/>
      <c r="L8332" s="17">
        <f>IFERROR(__xludf.DUMMYFUNCTION("""COMPUTED_VALUE"""),3.155091866E9)</f>
        <v>3155091866</v>
      </c>
      <c r="M8332" s="17"/>
      <c r="N8332" s="17"/>
      <c r="O8332" s="17"/>
      <c r="P8332" s="17" t="b">
        <f>IFERROR(__xludf.DUMMYFUNCTION("""COMPUTED_VALUE"""),FALSE)</f>
        <v>0</v>
      </c>
      <c r="Q8332" s="20" t="str">
        <f>IFERROR(__xludf.DUMMYFUNCTION("""COMPUTED_VALUE"""),"")</f>
        <v/>
      </c>
      <c r="R8332" s="21" t="str">
        <f>IFERROR(__xludf.DUMMYFUNCTION("""COMPUTED_VALUE"""),"https://drive.google.com/file/d/1zUDgDazji0dFEqGRUcq8i8E-KPTl45Oa/view?usp=drivesdk")</f>
        <v>https://drive.google.com/file/d/1zUDgDazji0dFEqGRUcq8i8E-KPTl45Oa/view?usp=drivesdk</v>
      </c>
    </row>
    <row r="8333">
      <c r="A8333" s="15">
        <f>IFERROR(__xludf.DUMMYFUNCTION("""COMPUTED_VALUE"""),45238.0)</f>
        <v>45238</v>
      </c>
      <c r="B8333" s="16" t="str">
        <f>IFERROR(__xludf.DUMMYFUNCTION("""COMPUTED_VALUE"""),"Envia")</f>
        <v>Envia</v>
      </c>
      <c r="C8333" s="15" t="str">
        <f>IFERROR(__xludf.DUMMYFUNCTION("""COMPUTED_VALUE"""),"PEREIRA")</f>
        <v>PEREIRA</v>
      </c>
      <c r="D8333" s="15" t="str">
        <f>IFERROR(__xludf.DUMMYFUNCTION("""COMPUTED_VALUE"""),"BOGOTÁ")</f>
        <v>BOGOTÁ</v>
      </c>
      <c r="E8333" s="15" t="str">
        <f>IFERROR(__xludf.DUMMYFUNCTION("""COMPUTED_VALUE"""),"LINA PAOLA RAMIREZ GOMEZ - EVA MAZZITA")</f>
        <v>LINA PAOLA RAMIREZ GOMEZ - EVA MAZZITA</v>
      </c>
      <c r="F8333" s="17" t="str">
        <f>IFERROR(__xludf.DUMMYFUNCTION("""COMPUTED_VALUE"""),"Calle 82 # 34-65 / torre 6 apto 107 Parque Central Batará")</f>
        <v>Calle 82 # 34-65 / torre 6 apto 107 Parque Central Batará</v>
      </c>
      <c r="G8333" s="15" t="str">
        <f>IFERROR(__xludf.DUMMYFUNCTION("""COMPUTED_VALUE"""),"ANDREA ALDANA MUÑOZ")</f>
        <v>ANDREA ALDANA MUÑOZ</v>
      </c>
      <c r="H8333" s="16">
        <f>IFERROR(__xludf.DUMMYFUNCTION("""COMPUTED_VALUE"""),17068.0)</f>
        <v>17068</v>
      </c>
      <c r="I8333" s="17"/>
      <c r="J8333" s="17"/>
      <c r="K8333" s="17"/>
      <c r="L8333" s="17">
        <f>IFERROR(__xludf.DUMMYFUNCTION("""COMPUTED_VALUE"""),3.212203366E9)</f>
        <v>3212203366</v>
      </c>
      <c r="M8333" s="17"/>
      <c r="N8333" s="17"/>
      <c r="O8333" s="17"/>
      <c r="P8333" s="17" t="b">
        <f>IFERROR(__xludf.DUMMYFUNCTION("""COMPUTED_VALUE"""),FALSE)</f>
        <v>0</v>
      </c>
      <c r="Q8333" s="20" t="str">
        <f>IFERROR(__xludf.DUMMYFUNCTION("""COMPUTED_VALUE"""),"")</f>
        <v/>
      </c>
      <c r="R8333" s="22" t="str">
        <f>IFERROR(__xludf.DUMMYFUNCTION("""COMPUTED_VALUE"""),"")</f>
        <v/>
      </c>
    </row>
    <row r="8334">
      <c r="A8334" s="15">
        <f>IFERROR(__xludf.DUMMYFUNCTION("""COMPUTED_VALUE"""),45238.0)</f>
        <v>45238</v>
      </c>
      <c r="B8334" s="16" t="str">
        <f>IFERROR(__xludf.DUMMYFUNCTION("""COMPUTED_VALUE"""),"Envia")</f>
        <v>Envia</v>
      </c>
      <c r="C8334" s="15" t="str">
        <f>IFERROR(__xludf.DUMMYFUNCTION("""COMPUTED_VALUE"""),"RIONEGRO")</f>
        <v>RIONEGRO</v>
      </c>
      <c r="D8334" s="15" t="str">
        <f>IFERROR(__xludf.DUMMYFUNCTION("""COMPUTED_VALUE"""),"BOGOTÁ")</f>
        <v>BOGOTÁ</v>
      </c>
      <c r="E8334" s="15" t="str">
        <f>IFERROR(__xludf.DUMMYFUNCTION("""COMPUTED_VALUE"""),"LINA PAOLA RAMIREZ GOMEZ - EVA MAZZITA")</f>
        <v>LINA PAOLA RAMIREZ GOMEZ - EVA MAZZITA</v>
      </c>
      <c r="F8334" s="17" t="str">
        <f>IFERROR(__xludf.DUMMYFUNCTION("""COMPUTED_VALUE"""),"CRA 52A No. 60A -51 / SENDEROS DE SAN SEBASTIAN TORRE 1 APTO 702 BARRIO HORIZONTES")</f>
        <v>CRA 52A No. 60A -51 / SENDEROS DE SAN SEBASTIAN TORRE 1 APTO 702 BARRIO HORIZONTES</v>
      </c>
      <c r="G8334" s="15" t="str">
        <f>IFERROR(__xludf.DUMMYFUNCTION("""COMPUTED_VALUE"""),"ANGELA MARIA GIRALDO")</f>
        <v>ANGELA MARIA GIRALDO</v>
      </c>
      <c r="H8334" s="16">
        <f>IFERROR(__xludf.DUMMYFUNCTION("""COMPUTED_VALUE"""),17058.0)</f>
        <v>17058</v>
      </c>
      <c r="I8334" s="17"/>
      <c r="J8334" s="17"/>
      <c r="K8334" s="17"/>
      <c r="L8334" s="17">
        <f>IFERROR(__xludf.DUMMYFUNCTION("""COMPUTED_VALUE"""),3.006140932E9)</f>
        <v>3006140932</v>
      </c>
      <c r="M8334" s="17"/>
      <c r="N8334" s="17"/>
      <c r="O8334" s="17"/>
      <c r="P8334" s="17" t="b">
        <f>IFERROR(__xludf.DUMMYFUNCTION("""COMPUTED_VALUE"""),FALSE)</f>
        <v>0</v>
      </c>
      <c r="Q8334" s="20" t="str">
        <f>IFERROR(__xludf.DUMMYFUNCTION("""COMPUTED_VALUE"""),"")</f>
        <v/>
      </c>
      <c r="R8334" s="22" t="str">
        <f>IFERROR(__xludf.DUMMYFUNCTION("""COMPUTED_VALUE"""),"")</f>
        <v/>
      </c>
    </row>
    <row r="8335">
      <c r="A8335" s="17" t="str">
        <f>IFERROR(__xludf.DUMMYFUNCTION("""COMPUTED_VALUE"""),"")</f>
        <v/>
      </c>
      <c r="B8335" s="17" t="str">
        <f>IFERROR(__xludf.DUMMYFUNCTION("""COMPUTED_VALUE"""),"")</f>
        <v/>
      </c>
      <c r="C8335" s="17" t="str">
        <f>IFERROR(__xludf.DUMMYFUNCTION("""COMPUTED_VALUE"""),"")</f>
        <v/>
      </c>
      <c r="D8335" s="17" t="str">
        <f>IFERROR(__xludf.DUMMYFUNCTION("""COMPUTED_VALUE"""),"")</f>
        <v/>
      </c>
      <c r="E8335" s="17" t="str">
        <f>IFERROR(__xludf.DUMMYFUNCTION("""COMPUTED_VALUE"""),"")</f>
        <v/>
      </c>
      <c r="F8335" s="17" t="str">
        <f>IFERROR(__xludf.DUMMYFUNCTION("""COMPUTED_VALUE"""),"")</f>
        <v/>
      </c>
      <c r="G8335" s="17" t="str">
        <f>IFERROR(__xludf.DUMMYFUNCTION("""COMPUTED_VALUE"""),"")</f>
        <v/>
      </c>
      <c r="H8335" s="17" t="str">
        <f>IFERROR(__xludf.DUMMYFUNCTION("""COMPUTED_VALUE"""),"")</f>
        <v/>
      </c>
      <c r="I8335" s="17" t="str">
        <f>IFERROR(__xludf.DUMMYFUNCTION("""COMPUTED_VALUE"""),"")</f>
        <v/>
      </c>
      <c r="J8335" s="17" t="str">
        <f>IFERROR(__xludf.DUMMYFUNCTION("""COMPUTED_VALUE"""),"")</f>
        <v/>
      </c>
      <c r="K8335" s="17" t="str">
        <f>IFERROR(__xludf.DUMMYFUNCTION("""COMPUTED_VALUE"""),"")</f>
        <v/>
      </c>
      <c r="L8335" s="17" t="str">
        <f>IFERROR(__xludf.DUMMYFUNCTION("""COMPUTED_VALUE"""),"")</f>
        <v/>
      </c>
      <c r="M8335" s="17" t="str">
        <f>IFERROR(__xludf.DUMMYFUNCTION("""COMPUTED_VALUE"""),"")</f>
        <v/>
      </c>
      <c r="N8335" s="17" t="str">
        <f>IFERROR(__xludf.DUMMYFUNCTION("""COMPUTED_VALUE"""),"")</f>
        <v/>
      </c>
      <c r="O8335" s="17" t="str">
        <f>IFERROR(__xludf.DUMMYFUNCTION("""COMPUTED_VALUE"""),"")</f>
        <v/>
      </c>
      <c r="P8335" s="17" t="str">
        <f>IFERROR(__xludf.DUMMYFUNCTION("""COMPUTED_VALUE"""),"")</f>
        <v/>
      </c>
      <c r="Q8335" s="17" t="str">
        <f>IFERROR(__xludf.DUMMYFUNCTION("""COMPUTED_VALUE"""),"")</f>
        <v/>
      </c>
      <c r="R8335" s="17" t="str">
        <f>IFERROR(__xludf.DUMMYFUNCTION("""COMPUTED_VALUE"""),"")</f>
        <v/>
      </c>
    </row>
    <row r="8336">
      <c r="A8336" s="15">
        <f>IFERROR(__xludf.DUMMYFUNCTION("""COMPUTED_VALUE"""),45238.0)</f>
        <v>45238</v>
      </c>
      <c r="B8336" s="16" t="str">
        <f>IFERROR(__xludf.DUMMYFUNCTION("""COMPUTED_VALUE"""),"Jhon Anderson Ceballos Hernandez")</f>
        <v>Jhon Anderson Ceballos Hernandez</v>
      </c>
      <c r="C8336" s="15" t="str">
        <f>IFERROR(__xludf.DUMMYFUNCTION("""COMPUTED_VALUE"""),"MANIZALES")</f>
        <v>MANIZALES</v>
      </c>
      <c r="D8336" s="15" t="str">
        <f>IFERROR(__xludf.DUMMYFUNCTION("""COMPUTED_VALUE"""),"BOGOTÁ")</f>
        <v>BOGOTÁ</v>
      </c>
      <c r="E8336" s="15" t="str">
        <f>IFERROR(__xludf.DUMMYFUNCTION("""COMPUTED_VALUE"""),"LINA PAOLA RAMIREZ GOMEZ - EVA MAZZITA")</f>
        <v>LINA PAOLA RAMIREZ GOMEZ - EVA MAZZITA</v>
      </c>
      <c r="F8336" s="17" t="str">
        <f>IFERROR(__xludf.DUMMYFUNCTION("""COMPUTED_VALUE"""),"RECOJE CENTRO DE ACOPIO / CENTRO DE ACOPIO")</f>
        <v>RECOJE CENTRO DE ACOPIO / CENTRO DE ACOPIO</v>
      </c>
      <c r="G8336" s="15" t="str">
        <f>IFERROR(__xludf.DUMMYFUNCTION("""COMPUTED_VALUE"""),"DIANA CAROLINA DUQUE EUSSE")</f>
        <v>DIANA CAROLINA DUQUE EUSSE</v>
      </c>
      <c r="H8336" s="16">
        <f>IFERROR(__xludf.DUMMYFUNCTION("""COMPUTED_VALUE"""),17061.0)</f>
        <v>17061</v>
      </c>
      <c r="I8336" s="17"/>
      <c r="J8336" s="17"/>
      <c r="K8336" s="17"/>
      <c r="L8336" s="17">
        <f>IFERROR(__xludf.DUMMYFUNCTION("""COMPUTED_VALUE"""),3.113507939E9)</f>
        <v>3113507939</v>
      </c>
      <c r="M8336" s="17"/>
      <c r="N8336" s="17"/>
      <c r="O8336" s="17"/>
      <c r="P8336" s="17" t="b">
        <f>IFERROR(__xludf.DUMMYFUNCTION("""COMPUTED_VALUE"""),FALSE)</f>
        <v>0</v>
      </c>
      <c r="Q8336" s="20" t="str">
        <f>IFERROR(__xludf.DUMMYFUNCTION("""COMPUTED_VALUE"""),"")</f>
        <v/>
      </c>
      <c r="R8336" s="21" t="str">
        <f>IFERROR(__xludf.DUMMYFUNCTION("""COMPUTED_VALUE"""),"https://drive.google.com/file/d/13pR-HHMSU4YOGB_Sfp4a_VnW9f0n2nge/view?usp=drivesdk")</f>
        <v>https://drive.google.com/file/d/13pR-HHMSU4YOGB_Sfp4a_VnW9f0n2nge/view?usp=drivesdk</v>
      </c>
    </row>
    <row r="8337">
      <c r="A8337" s="15">
        <f>IFERROR(__xludf.DUMMYFUNCTION("""COMPUTED_VALUE"""),45238.0)</f>
        <v>45238</v>
      </c>
      <c r="B8337" s="16" t="str">
        <f>IFERROR(__xludf.DUMMYFUNCTION("""COMPUTED_VALUE"""),"Jhon Anderson Ceballos Hernandez")</f>
        <v>Jhon Anderson Ceballos Hernandez</v>
      </c>
      <c r="C8337" s="15" t="str">
        <f>IFERROR(__xludf.DUMMYFUNCTION("""COMPUTED_VALUE"""),"MANIZALES")</f>
        <v>MANIZALES</v>
      </c>
      <c r="D8337" s="15" t="str">
        <f>IFERROR(__xludf.DUMMYFUNCTION("""COMPUTED_VALUE"""),"MEDELLÍN")</f>
        <v>MEDELLÍN</v>
      </c>
      <c r="E8337" s="15" t="str">
        <f>IFERROR(__xludf.DUMMYFUNCTION("""COMPUTED_VALUE"""),"Baby Chef")</f>
        <v>Baby Chef</v>
      </c>
      <c r="F8337" s="17" t="str">
        <f>IFERROR(__xludf.DUMMYFUNCTION("""COMPUTED_VALUE"""),"Cra 22 No 18-15 apt 1002  Edificio Alcaldía de Manizales en los apartamentos  Barrio el centro  / . / .")</f>
        <v>Cra 22 No 18-15 apt 1002  Edificio Alcaldía de Manizales en los apartamentos  Barrio el centro  / . / .</v>
      </c>
      <c r="G8337" s="15" t="str">
        <f>IFERROR(__xludf.DUMMYFUNCTION("""COMPUTED_VALUE"""),"Lorena Gaviria Pulido")</f>
        <v>Lorena Gaviria Pulido</v>
      </c>
      <c r="H8337" s="16">
        <f>IFERROR(__xludf.DUMMYFUNCTION("""COMPUTED_VALUE"""),17042.0)</f>
        <v>17042</v>
      </c>
      <c r="I8337" s="18">
        <f>IFERROR(__xludf.DUMMYFUNCTION("""COMPUTED_VALUE"""),12.0)</f>
        <v>12</v>
      </c>
      <c r="J8337" s="18">
        <f>IFERROR(__xludf.DUMMYFUNCTION("""COMPUTED_VALUE"""),23.0)</f>
        <v>23</v>
      </c>
      <c r="K8337" s="18">
        <f>IFERROR(__xludf.DUMMYFUNCTION("""COMPUTED_VALUE"""),36.0)</f>
        <v>36</v>
      </c>
      <c r="L8337" s="17">
        <f>IFERROR(__xludf.DUMMYFUNCTION("""COMPUTED_VALUE"""),3.176804605E9)</f>
        <v>3176804605</v>
      </c>
      <c r="M8337" s="17"/>
      <c r="N8337" s="17"/>
      <c r="O8337" s="17"/>
      <c r="P8337" s="17" t="b">
        <f>IFERROR(__xludf.DUMMYFUNCTION("""COMPUTED_VALUE"""),FALSE)</f>
        <v>0</v>
      </c>
      <c r="Q8337" s="20" t="str">
        <f>IFERROR(__xludf.DUMMYFUNCTION("""COMPUTED_VALUE"""),"")</f>
        <v/>
      </c>
      <c r="R8337" s="21" t="str">
        <f>IFERROR(__xludf.DUMMYFUNCTION("""COMPUTED_VALUE"""),"https://drive.google.com/file/d/1elxW1yFhGAl42Ux-UFTuqHMPCINEp9jB/view?usp=drivesdk")</f>
        <v>https://drive.google.com/file/d/1elxW1yFhGAl42Ux-UFTuqHMPCINEp9jB/view?usp=drivesdk</v>
      </c>
    </row>
    <row r="8338">
      <c r="A8338" s="15">
        <f>IFERROR(__xludf.DUMMYFUNCTION("""COMPUTED_VALUE"""),45238.0)</f>
        <v>45238</v>
      </c>
      <c r="B8338" s="16" t="str">
        <f>IFERROR(__xludf.DUMMYFUNCTION("""COMPUTED_VALUE"""),"Jhon Anderson Ceballos Hernandez")</f>
        <v>Jhon Anderson Ceballos Hernandez</v>
      </c>
      <c r="C8338" s="15" t="str">
        <f>IFERROR(__xludf.DUMMYFUNCTION("""COMPUTED_VALUE"""),"SOGAMOSO")</f>
        <v>SOGAMOSO</v>
      </c>
      <c r="D8338" s="15" t="str">
        <f>IFERROR(__xludf.DUMMYFUNCTION("""COMPUTED_VALUE"""),"BOGOTÁ")</f>
        <v>BOGOTÁ</v>
      </c>
      <c r="E8338" s="15" t="str">
        <f>IFERROR(__xludf.DUMMYFUNCTION("""COMPUTED_VALUE"""),"LINA PAOLA RAMIREZ GOMEZ - EVA MAZZITA")</f>
        <v>LINA PAOLA RAMIREZ GOMEZ - EVA MAZZITA</v>
      </c>
      <c r="F8338" s="17" t="str">
        <f>IFERROR(__xludf.DUMMYFUNCTION("""COMPUTED_VALUE"""),"CR 16 #13 A 28 / CR 16 #13 A 28")</f>
        <v>CR 16 #13 A 28 / CR 16 #13 A 28</v>
      </c>
      <c r="G8338" s="15" t="str">
        <f>IFERROR(__xludf.DUMMYFUNCTION("""COMPUTED_VALUE"""),"NELLY PINTO")</f>
        <v>NELLY PINTO</v>
      </c>
      <c r="H8338" s="16">
        <f>IFERROR(__xludf.DUMMYFUNCTION("""COMPUTED_VALUE"""),17054.0)</f>
        <v>17054</v>
      </c>
      <c r="I8338" s="17"/>
      <c r="J8338" s="17"/>
      <c r="K8338" s="17"/>
      <c r="L8338" s="17">
        <f>IFERROR(__xludf.DUMMYFUNCTION("""COMPUTED_VALUE"""),3.108079693E9)</f>
        <v>3108079693</v>
      </c>
      <c r="M8338" s="17"/>
      <c r="N8338" s="17"/>
      <c r="O8338" s="17"/>
      <c r="P8338" s="17" t="b">
        <f>IFERROR(__xludf.DUMMYFUNCTION("""COMPUTED_VALUE"""),TRUE)</f>
        <v>1</v>
      </c>
      <c r="Q8338" s="20">
        <f>IFERROR(__xludf.DUMMYFUNCTION("""COMPUTED_VALUE"""),45238.749587025464)</f>
        <v>45238.74959</v>
      </c>
      <c r="R8338" s="22" t="str">
        <f>IFERROR(__xludf.DUMMYFUNCTION("""COMPUTED_VALUE"""),"")</f>
        <v/>
      </c>
    </row>
    <row r="8339">
      <c r="A8339" s="15">
        <f>IFERROR(__xludf.DUMMYFUNCTION("""COMPUTED_VALUE"""),45238.0)</f>
        <v>45238</v>
      </c>
      <c r="B8339" s="16" t="str">
        <f>IFERROR(__xludf.DUMMYFUNCTION("""COMPUTED_VALUE"""),"Jhon Anderson Ceballos Hernandez")</f>
        <v>Jhon Anderson Ceballos Hernandez</v>
      </c>
      <c r="C8339" s="15" t="str">
        <f>IFERROR(__xludf.DUMMYFUNCTION("""COMPUTED_VALUE"""),"SOGAMOSO")</f>
        <v>SOGAMOSO</v>
      </c>
      <c r="D8339" s="15" t="str">
        <f>IFERROR(__xludf.DUMMYFUNCTION("""COMPUTED_VALUE"""),"BOGOTÁ")</f>
        <v>BOGOTÁ</v>
      </c>
      <c r="E8339" s="15" t="str">
        <f>IFERROR(__xludf.DUMMYFUNCTION("""COMPUTED_VALUE"""),"Viiva Fermentados")</f>
        <v>Viiva Fermentados</v>
      </c>
      <c r="F8339" s="17" t="str">
        <f>IFERROR(__xludf.DUMMYFUNCTION("""COMPUTED_VALUE"""),"CARRERA 11F N 54A - 34 / APT 201 FRENTE AL PATINODROMO")</f>
        <v>CARRERA 11F N 54A - 34 / APT 201 FRENTE AL PATINODROMO</v>
      </c>
      <c r="G8339" s="15" t="str">
        <f>IFERROR(__xludf.DUMMYFUNCTION("""COMPUTED_VALUE"""),"Minexcom - Sogamoso")</f>
        <v>Minexcom - Sogamoso</v>
      </c>
      <c r="H8339" s="16">
        <f>IFERROR(__xludf.DUMMYFUNCTION("""COMPUTED_VALUE"""),16921.0)</f>
        <v>16921</v>
      </c>
      <c r="I8339" s="17"/>
      <c r="J8339" s="17"/>
      <c r="K8339" s="17"/>
      <c r="L8339" s="17">
        <f>IFERROR(__xludf.DUMMYFUNCTION("""COMPUTED_VALUE"""),3.103340107E9)</f>
        <v>3103340107</v>
      </c>
      <c r="M8339" s="17"/>
      <c r="N8339" s="17"/>
      <c r="O8339" s="17"/>
      <c r="P8339" s="17" t="b">
        <f>IFERROR(__xludf.DUMMYFUNCTION("""COMPUTED_VALUE"""),FALSE)</f>
        <v>0</v>
      </c>
      <c r="Q8339" s="20" t="str">
        <f>IFERROR(__xludf.DUMMYFUNCTION("""COMPUTED_VALUE"""),"")</f>
        <v/>
      </c>
      <c r="R8339" s="22" t="str">
        <f>IFERROR(__xludf.DUMMYFUNCTION("""COMPUTED_VALUE"""),"")</f>
        <v/>
      </c>
    </row>
    <row r="8340">
      <c r="A8340" s="17" t="str">
        <f>IFERROR(__xludf.DUMMYFUNCTION("""COMPUTED_VALUE"""),"")</f>
        <v/>
      </c>
      <c r="B8340" s="17" t="str">
        <f>IFERROR(__xludf.DUMMYFUNCTION("""COMPUTED_VALUE"""),"")</f>
        <v/>
      </c>
      <c r="C8340" s="17" t="str">
        <f>IFERROR(__xludf.DUMMYFUNCTION("""COMPUTED_VALUE"""),"")</f>
        <v/>
      </c>
      <c r="D8340" s="17" t="str">
        <f>IFERROR(__xludf.DUMMYFUNCTION("""COMPUTED_VALUE"""),"")</f>
        <v/>
      </c>
      <c r="E8340" s="17" t="str">
        <f>IFERROR(__xludf.DUMMYFUNCTION("""COMPUTED_VALUE"""),"")</f>
        <v/>
      </c>
      <c r="F8340" s="17" t="str">
        <f>IFERROR(__xludf.DUMMYFUNCTION("""COMPUTED_VALUE"""),"")</f>
        <v/>
      </c>
      <c r="G8340" s="17" t="str">
        <f>IFERROR(__xludf.DUMMYFUNCTION("""COMPUTED_VALUE"""),"")</f>
        <v/>
      </c>
      <c r="H8340" s="17" t="str">
        <f>IFERROR(__xludf.DUMMYFUNCTION("""COMPUTED_VALUE"""),"")</f>
        <v/>
      </c>
      <c r="I8340" s="17" t="str">
        <f>IFERROR(__xludf.DUMMYFUNCTION("""COMPUTED_VALUE"""),"")</f>
        <v/>
      </c>
      <c r="J8340" s="17" t="str">
        <f>IFERROR(__xludf.DUMMYFUNCTION("""COMPUTED_VALUE"""),"")</f>
        <v/>
      </c>
      <c r="K8340" s="17" t="str">
        <f>IFERROR(__xludf.DUMMYFUNCTION("""COMPUTED_VALUE"""),"")</f>
        <v/>
      </c>
      <c r="L8340" s="17" t="str">
        <f>IFERROR(__xludf.DUMMYFUNCTION("""COMPUTED_VALUE"""),"")</f>
        <v/>
      </c>
      <c r="M8340" s="17" t="str">
        <f>IFERROR(__xludf.DUMMYFUNCTION("""COMPUTED_VALUE"""),"")</f>
        <v/>
      </c>
      <c r="N8340" s="17" t="str">
        <f>IFERROR(__xludf.DUMMYFUNCTION("""COMPUTED_VALUE"""),"")</f>
        <v/>
      </c>
      <c r="O8340" s="17" t="str">
        <f>IFERROR(__xludf.DUMMYFUNCTION("""COMPUTED_VALUE"""),"")</f>
        <v/>
      </c>
      <c r="P8340" s="17" t="str">
        <f>IFERROR(__xludf.DUMMYFUNCTION("""COMPUTED_VALUE"""),"")</f>
        <v/>
      </c>
      <c r="Q8340" s="17" t="str">
        <f>IFERROR(__xludf.DUMMYFUNCTION("""COMPUTED_VALUE"""),"")</f>
        <v/>
      </c>
      <c r="R8340" s="17" t="str">
        <f>IFERROR(__xludf.DUMMYFUNCTION("""COMPUTED_VALUE"""),"")</f>
        <v/>
      </c>
    </row>
    <row r="8341">
      <c r="A8341" s="15">
        <f>IFERROR(__xludf.DUMMYFUNCTION("""COMPUTED_VALUE"""),45238.0)</f>
        <v>45238</v>
      </c>
      <c r="B8341" s="16" t="str">
        <f>IFERROR(__xludf.DUMMYFUNCTION("""COMPUTED_VALUE"""),"Johan Alexander Escobar Arroyo ")</f>
        <v>Johan Alexander Escobar Arroyo </v>
      </c>
      <c r="C8341" s="15" t="str">
        <f>IFERROR(__xludf.DUMMYFUNCTION("""COMPUTED_VALUE"""),"CALI")</f>
        <v>CALI</v>
      </c>
      <c r="D8341" s="15" t="str">
        <f>IFERROR(__xludf.DUMMYFUNCTION("""COMPUTED_VALUE"""),"BOGOTÁ")</f>
        <v>BOGOTÁ</v>
      </c>
      <c r="E8341" s="15" t="str">
        <f>IFERROR(__xludf.DUMMYFUNCTION("""COMPUTED_VALUE"""),"CROWD")</f>
        <v>CROWD</v>
      </c>
      <c r="F8341" s="17" t="str">
        <f>IFERROR(__xludf.DUMMYFUNCTION("""COMPUTED_VALUE"""),"Cl. 4b #35a-11, El Sindicato, Cali, Valle del Cauca / Casa Negra ubicada en la esquina")</f>
        <v>Cl. 4b #35a-11, El Sindicato, Cali, Valle del Cauca / Casa Negra ubicada en la esquina</v>
      </c>
      <c r="G8341" s="15" t="str">
        <f>IFERROR(__xludf.DUMMYFUNCTION("""COMPUTED_VALUE"""),"El lab innovaccion Cali")</f>
        <v>El lab innovaccion Cali</v>
      </c>
      <c r="H8341" s="16">
        <f>IFERROR(__xludf.DUMMYFUNCTION("""COMPUTED_VALUE"""),17006.0)</f>
        <v>17006</v>
      </c>
      <c r="I8341" s="17"/>
      <c r="J8341" s="17"/>
      <c r="K8341" s="17"/>
      <c r="L8341" s="17">
        <f>IFERROR(__xludf.DUMMYFUNCTION("""COMPUTED_VALUE"""),3.106451417E9)</f>
        <v>3106451417</v>
      </c>
      <c r="M8341" s="17"/>
      <c r="N8341" s="17"/>
      <c r="O8341" s="17"/>
      <c r="P8341" s="17" t="b">
        <f>IFERROR(__xludf.DUMMYFUNCTION("""COMPUTED_VALUE"""),FALSE)</f>
        <v>0</v>
      </c>
      <c r="Q8341" s="20" t="str">
        <f>IFERROR(__xludf.DUMMYFUNCTION("""COMPUTED_VALUE"""),"")</f>
        <v/>
      </c>
      <c r="R8341" s="21" t="str">
        <f>IFERROR(__xludf.DUMMYFUNCTION("""COMPUTED_VALUE"""),"https://drive.google.com/file/d/1M29qZa3oFDD_1sDfta3vs68eG3ySB8o_/view?usp=drivesdk")</f>
        <v>https://drive.google.com/file/d/1M29qZa3oFDD_1sDfta3vs68eG3ySB8o_/view?usp=drivesdk</v>
      </c>
    </row>
    <row r="8342">
      <c r="A8342" s="15">
        <f>IFERROR(__xludf.DUMMYFUNCTION("""COMPUTED_VALUE"""),45238.0)</f>
        <v>45238</v>
      </c>
      <c r="B8342" s="16" t="str">
        <f>IFERROR(__xludf.DUMMYFUNCTION("""COMPUTED_VALUE"""),"Johan Alexander Escobar Arroyo ")</f>
        <v>Johan Alexander Escobar Arroyo </v>
      </c>
      <c r="C8342" s="15" t="str">
        <f>IFERROR(__xludf.DUMMYFUNCTION("""COMPUTED_VALUE"""),"CALI")</f>
        <v>CALI</v>
      </c>
      <c r="D8342" s="15" t="str">
        <f>IFERROR(__xludf.DUMMYFUNCTION("""COMPUTED_VALUE"""),"BOGOTÁ")</f>
        <v>BOGOTÁ</v>
      </c>
      <c r="E8342" s="15" t="str">
        <f>IFERROR(__xludf.DUMMYFUNCTION("""COMPUTED_VALUE"""),"Instinto alimento vital")</f>
        <v>Instinto alimento vital</v>
      </c>
      <c r="F8342" s="17" t="str">
        <f>IFERROR(__xludf.DUMMYFUNCTION("""COMPUTED_VALUE"""),"CALLE 34 N # 2B N 33 / MERCANCIA REQUIERE REFRIGERACION")</f>
        <v>CALLE 34 N # 2B N 33 / MERCANCIA REQUIERE REFRIGERACION</v>
      </c>
      <c r="G8342" s="15" t="str">
        <f>IFERROR(__xludf.DUMMYFUNCTION("""COMPUTED_VALUE"""),"BODEGA VELOCITY CALI")</f>
        <v>BODEGA VELOCITY CALI</v>
      </c>
      <c r="H8342" s="16">
        <f>IFERROR(__xludf.DUMMYFUNCTION("""COMPUTED_VALUE"""),17010.0)</f>
        <v>17010</v>
      </c>
      <c r="I8342" s="17"/>
      <c r="J8342" s="17"/>
      <c r="K8342" s="17"/>
      <c r="L8342" s="17">
        <f>IFERROR(__xludf.DUMMYFUNCTION("""COMPUTED_VALUE"""),3.15586906E9)</f>
        <v>3155869060</v>
      </c>
      <c r="M8342" s="17"/>
      <c r="N8342" s="17"/>
      <c r="O8342" s="17"/>
      <c r="P8342" s="17" t="b">
        <f>IFERROR(__xludf.DUMMYFUNCTION("""COMPUTED_VALUE"""),FALSE)</f>
        <v>0</v>
      </c>
      <c r="Q8342" s="20" t="str">
        <f>IFERROR(__xludf.DUMMYFUNCTION("""COMPUTED_VALUE"""),"")</f>
        <v/>
      </c>
      <c r="R8342" s="21" t="str">
        <f>IFERROR(__xludf.DUMMYFUNCTION("""COMPUTED_VALUE"""),"https://drive.google.com/file/d/1mPxQhEJqQZGARFv3hT70ZdYV9nY5SJPs/view?usp=drivesdk")</f>
        <v>https://drive.google.com/file/d/1mPxQhEJqQZGARFv3hT70ZdYV9nY5SJPs/view?usp=drivesdk</v>
      </c>
    </row>
    <row r="8343">
      <c r="A8343" s="15">
        <f>IFERROR(__xludf.DUMMYFUNCTION("""COMPUTED_VALUE"""),45238.0)</f>
        <v>45238</v>
      </c>
      <c r="B8343" s="16" t="str">
        <f>IFERROR(__xludf.DUMMYFUNCTION("""COMPUTED_VALUE"""),"Johan Alexander Escobar Arroyo ")</f>
        <v>Johan Alexander Escobar Arroyo </v>
      </c>
      <c r="C8343" s="15" t="str">
        <f>IFERROR(__xludf.DUMMYFUNCTION("""COMPUTED_VALUE"""),"CALI")</f>
        <v>CALI</v>
      </c>
      <c r="D8343" s="15" t="str">
        <f>IFERROR(__xludf.DUMMYFUNCTION("""COMPUTED_VALUE"""),"BOGOTÁ")</f>
        <v>BOGOTÁ</v>
      </c>
      <c r="E8343" s="15" t="str">
        <f>IFERROR(__xludf.DUMMYFUNCTION("""COMPUTED_VALUE"""),"LINA PAOLA RAMIREZ GOMEZ - EVA MAZZITA")</f>
        <v>LINA PAOLA RAMIREZ GOMEZ - EVA MAZZITA</v>
      </c>
      <c r="F8343" s="17" t="str">
        <f>IFERROR(__xludf.DUMMYFUNCTION("""COMPUTED_VALUE"""),"CALLE 26A BIS No. 24A1 - 56 / CALLE 26A BIS No. 24A1 - 56")</f>
        <v>CALLE 26A BIS No. 24A1 - 56 / CALLE 26A BIS No. 24A1 - 56</v>
      </c>
      <c r="G8343" s="15" t="str">
        <f>IFERROR(__xludf.DUMMYFUNCTION("""COMPUTED_VALUE"""),"JENNY NATALIA OROZCO RAIGOSA")</f>
        <v>JENNY NATALIA OROZCO RAIGOSA</v>
      </c>
      <c r="H8343" s="16">
        <f>IFERROR(__xludf.DUMMYFUNCTION("""COMPUTED_VALUE"""),17075.0)</f>
        <v>17075</v>
      </c>
      <c r="I8343" s="17"/>
      <c r="J8343" s="17"/>
      <c r="K8343" s="17"/>
      <c r="L8343" s="17">
        <f>IFERROR(__xludf.DUMMYFUNCTION("""COMPUTED_VALUE"""),3.165698634E9)</f>
        <v>3165698634</v>
      </c>
      <c r="M8343" s="17"/>
      <c r="N8343" s="17"/>
      <c r="O8343" s="17"/>
      <c r="P8343" s="17" t="b">
        <f>IFERROR(__xludf.DUMMYFUNCTION("""COMPUTED_VALUE"""),FALSE)</f>
        <v>0</v>
      </c>
      <c r="Q8343" s="20" t="str">
        <f>IFERROR(__xludf.DUMMYFUNCTION("""COMPUTED_VALUE"""),"")</f>
        <v/>
      </c>
      <c r="R8343" s="21" t="str">
        <f>IFERROR(__xludf.DUMMYFUNCTION("""COMPUTED_VALUE"""),"https://drive.google.com/file/d/1TCcpmVhVkrNG32iZdD9UA81seI-KlLP6/view?usp=drivesdk")</f>
        <v>https://drive.google.com/file/d/1TCcpmVhVkrNG32iZdD9UA81seI-KlLP6/view?usp=drivesdk</v>
      </c>
    </row>
    <row r="8344">
      <c r="A8344" s="15">
        <f>IFERROR(__xludf.DUMMYFUNCTION("""COMPUTED_VALUE"""),45238.0)</f>
        <v>45238</v>
      </c>
      <c r="B8344" s="16" t="str">
        <f>IFERROR(__xludf.DUMMYFUNCTION("""COMPUTED_VALUE"""),"Johan Alexander Escobar Arroyo ")</f>
        <v>Johan Alexander Escobar Arroyo </v>
      </c>
      <c r="C8344" s="15" t="str">
        <f>IFERROR(__xludf.DUMMYFUNCTION("""COMPUTED_VALUE"""),"CALI")</f>
        <v>CALI</v>
      </c>
      <c r="D8344" s="15" t="str">
        <f>IFERROR(__xludf.DUMMYFUNCTION("""COMPUTED_VALUE"""),"BOGOTÁ")</f>
        <v>BOGOTÁ</v>
      </c>
      <c r="E8344" s="15" t="str">
        <f>IFERROR(__xludf.DUMMYFUNCTION("""COMPUTED_VALUE"""),"LINA PAOLA RAMIREZ GOMEZ - EVA MAZZITA")</f>
        <v>LINA PAOLA RAMIREZ GOMEZ - EVA MAZZITA</v>
      </c>
      <c r="F8344" s="17" t="str">
        <f>IFERROR(__xludf.DUMMYFUNCTION("""COMPUTED_VALUE"""),"Calle 28 # 113-57 / apartamento 201 Torre B conjunto Allegro Bochalema")</f>
        <v>Calle 28 # 113-57 / apartamento 201 Torre B conjunto Allegro Bochalema</v>
      </c>
      <c r="G8344" s="15" t="str">
        <f>IFERROR(__xludf.DUMMYFUNCTION("""COMPUTED_VALUE"""),"JOHANA CRUZ")</f>
        <v>JOHANA CRUZ</v>
      </c>
      <c r="H8344" s="16">
        <f>IFERROR(__xludf.DUMMYFUNCTION("""COMPUTED_VALUE"""),17076.0)</f>
        <v>17076</v>
      </c>
      <c r="I8344" s="17"/>
      <c r="J8344" s="17"/>
      <c r="K8344" s="17"/>
      <c r="L8344" s="17">
        <f>IFERROR(__xludf.DUMMYFUNCTION("""COMPUTED_VALUE"""),3.164435802E9)</f>
        <v>3164435802</v>
      </c>
      <c r="M8344" s="17"/>
      <c r="N8344" s="17"/>
      <c r="O8344" s="17"/>
      <c r="P8344" s="17" t="b">
        <f>IFERROR(__xludf.DUMMYFUNCTION("""COMPUTED_VALUE"""),FALSE)</f>
        <v>0</v>
      </c>
      <c r="Q8344" s="20" t="str">
        <f>IFERROR(__xludf.DUMMYFUNCTION("""COMPUTED_VALUE"""),"")</f>
        <v/>
      </c>
      <c r="R8344" s="21" t="str">
        <f>IFERROR(__xludf.DUMMYFUNCTION("""COMPUTED_VALUE"""),"https://drive.google.com/file/d/1FT4aXx8L2LLNBjqh9aGuUk-BYvlux23c/view?usp=drivesdk")</f>
        <v>https://drive.google.com/file/d/1FT4aXx8L2LLNBjqh9aGuUk-BYvlux23c/view?usp=drivesdk</v>
      </c>
    </row>
    <row r="8345">
      <c r="A8345" s="15">
        <f>IFERROR(__xludf.DUMMYFUNCTION("""COMPUTED_VALUE"""),45238.0)</f>
        <v>45238</v>
      </c>
      <c r="B8345" s="16" t="str">
        <f>IFERROR(__xludf.DUMMYFUNCTION("""COMPUTED_VALUE"""),"Johan Alexander Escobar Arroyo ")</f>
        <v>Johan Alexander Escobar Arroyo </v>
      </c>
      <c r="C8345" s="15" t="str">
        <f>IFERROR(__xludf.DUMMYFUNCTION("""COMPUTED_VALUE"""),"CALI")</f>
        <v>CALI</v>
      </c>
      <c r="D8345" s="15" t="str">
        <f>IFERROR(__xludf.DUMMYFUNCTION("""COMPUTED_VALUE"""),"BOGOTÁ")</f>
        <v>BOGOTÁ</v>
      </c>
      <c r="E8345" s="15" t="str">
        <f>IFERROR(__xludf.DUMMYFUNCTION("""COMPUTED_VALUE"""),"LINA PAOLA RAMIREZ GOMEZ - EVA MAZZITA")</f>
        <v>LINA PAOLA RAMIREZ GOMEZ - EVA MAZZITA</v>
      </c>
      <c r="F8345" s="17" t="str">
        <f>IFERROR(__xludf.DUMMYFUNCTION("""COMPUTED_VALUE"""),"Calle 43 #5-35 / Calle 43 #5-35")</f>
        <v>Calle 43 #5-35 / Calle 43 #5-35</v>
      </c>
      <c r="G8345" s="15" t="str">
        <f>IFERROR(__xludf.DUMMYFUNCTION("""COMPUTED_VALUE"""),"ALEJANDRA MUÑOZ")</f>
        <v>ALEJANDRA MUÑOZ</v>
      </c>
      <c r="H8345" s="16">
        <f>IFERROR(__xludf.DUMMYFUNCTION("""COMPUTED_VALUE"""),17073.0)</f>
        <v>17073</v>
      </c>
      <c r="I8345" s="17"/>
      <c r="J8345" s="17"/>
      <c r="K8345" s="17"/>
      <c r="L8345" s="17">
        <f>IFERROR(__xludf.DUMMYFUNCTION("""COMPUTED_VALUE"""),3.128408361E9)</f>
        <v>3128408361</v>
      </c>
      <c r="M8345" s="17"/>
      <c r="N8345" s="17"/>
      <c r="O8345" s="17"/>
      <c r="P8345" s="17" t="b">
        <f>IFERROR(__xludf.DUMMYFUNCTION("""COMPUTED_VALUE"""),FALSE)</f>
        <v>0</v>
      </c>
      <c r="Q8345" s="20" t="str">
        <f>IFERROR(__xludf.DUMMYFUNCTION("""COMPUTED_VALUE"""),"")</f>
        <v/>
      </c>
      <c r="R8345" s="21" t="str">
        <f>IFERROR(__xludf.DUMMYFUNCTION("""COMPUTED_VALUE"""),"https://drive.google.com/file/d/1ddQwqp2tFOAWu_FwpMo6ZijnES8LawiA/view?usp=drivesdk")</f>
        <v>https://drive.google.com/file/d/1ddQwqp2tFOAWu_FwpMo6ZijnES8LawiA/view?usp=drivesdk</v>
      </c>
    </row>
    <row r="8346">
      <c r="A8346" s="15">
        <f>IFERROR(__xludf.DUMMYFUNCTION("""COMPUTED_VALUE"""),45238.0)</f>
        <v>45238</v>
      </c>
      <c r="B8346" s="16" t="str">
        <f>IFERROR(__xludf.DUMMYFUNCTION("""COMPUTED_VALUE"""),"Johan Alexander Escobar Arroyo ")</f>
        <v>Johan Alexander Escobar Arroyo </v>
      </c>
      <c r="C8346" s="15" t="str">
        <f>IFERROR(__xludf.DUMMYFUNCTION("""COMPUTED_VALUE"""),"CALI")</f>
        <v>CALI</v>
      </c>
      <c r="D8346" s="15" t="str">
        <f>IFERROR(__xludf.DUMMYFUNCTION("""COMPUTED_VALUE"""),"BOGOTÁ")</f>
        <v>BOGOTÁ</v>
      </c>
      <c r="E8346" s="15" t="str">
        <f>IFERROR(__xludf.DUMMYFUNCTION("""COMPUTED_VALUE"""),"LINA PAOLA RAMIREZ GOMEZ - EVA MAZZITA")</f>
        <v>LINA PAOLA RAMIREZ GOMEZ - EVA MAZZITA</v>
      </c>
      <c r="F8346" s="17" t="str">
        <f>IFERROR(__xludf.DUMMYFUNCTION("""COMPUTED_VALUE"""),"Cra 77A#6-35 / apto106 Capri")</f>
        <v>Cra 77A#6-35 / apto106 Capri</v>
      </c>
      <c r="G8346" s="15" t="str">
        <f>IFERROR(__xludf.DUMMYFUNCTION("""COMPUTED_VALUE"""),"ANA MARIA QUINTERO MARTINEZ")</f>
        <v>ANA MARIA QUINTERO MARTINEZ</v>
      </c>
      <c r="H8346" s="16">
        <f>IFERROR(__xludf.DUMMYFUNCTION("""COMPUTED_VALUE"""),17071.0)</f>
        <v>17071</v>
      </c>
      <c r="I8346" s="17"/>
      <c r="J8346" s="17"/>
      <c r="K8346" s="17"/>
      <c r="L8346" s="17">
        <f>IFERROR(__xludf.DUMMYFUNCTION("""COMPUTED_VALUE"""),3.013464215E9)</f>
        <v>3013464215</v>
      </c>
      <c r="M8346" s="17"/>
      <c r="N8346" s="17"/>
      <c r="O8346" s="17"/>
      <c r="P8346" s="17" t="b">
        <f>IFERROR(__xludf.DUMMYFUNCTION("""COMPUTED_VALUE"""),FALSE)</f>
        <v>0</v>
      </c>
      <c r="Q8346" s="20" t="str">
        <f>IFERROR(__xludf.DUMMYFUNCTION("""COMPUTED_VALUE"""),"")</f>
        <v/>
      </c>
      <c r="R8346" s="21" t="str">
        <f>IFERROR(__xludf.DUMMYFUNCTION("""COMPUTED_VALUE"""),"https://drive.google.com/file/d/1DmuwUkT04ySCKLZY5-sJj-emsqM2Q5Gy/view?usp=drivesdk")</f>
        <v>https://drive.google.com/file/d/1DmuwUkT04ySCKLZY5-sJj-emsqM2Q5Gy/view?usp=drivesdk</v>
      </c>
    </row>
    <row r="8347">
      <c r="A8347" s="15">
        <f>IFERROR(__xludf.DUMMYFUNCTION("""COMPUTED_VALUE"""),45238.0)</f>
        <v>45238</v>
      </c>
      <c r="B8347" s="16" t="str">
        <f>IFERROR(__xludf.DUMMYFUNCTION("""COMPUTED_VALUE"""),"Johan Alexander Escobar Arroyo ")</f>
        <v>Johan Alexander Escobar Arroyo </v>
      </c>
      <c r="C8347" s="15" t="str">
        <f>IFERROR(__xludf.DUMMYFUNCTION("""COMPUTED_VALUE"""),"CALI")</f>
        <v>CALI</v>
      </c>
      <c r="D8347" s="15" t="str">
        <f>IFERROR(__xludf.DUMMYFUNCTION("""COMPUTED_VALUE"""),"BOGOTÁ")</f>
        <v>BOGOTÁ</v>
      </c>
      <c r="E8347" s="15" t="str">
        <f>IFERROR(__xludf.DUMMYFUNCTION("""COMPUTED_VALUE"""),"LINA PAOLA RAMIREZ GOMEZ - EVA MAZZITA")</f>
        <v>LINA PAOLA RAMIREZ GOMEZ - EVA MAZZITA</v>
      </c>
      <c r="F8347" s="17" t="str">
        <f>IFERROR(__xludf.DUMMYFUNCTION("""COMPUTED_VALUE"""),"Cra 79 #13b-110 / apto 203C Torres de santorino Barrio quintas de don Simón")</f>
        <v>Cra 79 #13b-110 / apto 203C Torres de santorino Barrio quintas de don Simón</v>
      </c>
      <c r="G8347" s="15" t="str">
        <f>IFERROR(__xludf.DUMMYFUNCTION("""COMPUTED_VALUE"""),"CAROLINA RUBIANO ARANGO")</f>
        <v>CAROLINA RUBIANO ARANGO</v>
      </c>
      <c r="H8347" s="16">
        <f>IFERROR(__xludf.DUMMYFUNCTION("""COMPUTED_VALUE"""),17074.0)</f>
        <v>17074</v>
      </c>
      <c r="I8347" s="17"/>
      <c r="J8347" s="17"/>
      <c r="K8347" s="17"/>
      <c r="L8347" s="17">
        <f>IFERROR(__xludf.DUMMYFUNCTION("""COMPUTED_VALUE"""),3.113311218E9)</f>
        <v>3113311218</v>
      </c>
      <c r="M8347" s="17"/>
      <c r="N8347" s="17"/>
      <c r="O8347" s="17"/>
      <c r="P8347" s="17" t="b">
        <f>IFERROR(__xludf.DUMMYFUNCTION("""COMPUTED_VALUE"""),FALSE)</f>
        <v>0</v>
      </c>
      <c r="Q8347" s="20" t="str">
        <f>IFERROR(__xludf.DUMMYFUNCTION("""COMPUTED_VALUE"""),"")</f>
        <v/>
      </c>
      <c r="R8347" s="21" t="str">
        <f>IFERROR(__xludf.DUMMYFUNCTION("""COMPUTED_VALUE"""),"https://drive.google.com/file/d/19g9Zip-d5RNM2A7WllV03Af-AIB_GVgD/view?usp=drivesdk")</f>
        <v>https://drive.google.com/file/d/19g9Zip-d5RNM2A7WllV03Af-AIB_GVgD/view?usp=drivesdk</v>
      </c>
    </row>
    <row r="8348">
      <c r="A8348" s="15">
        <f>IFERROR(__xludf.DUMMYFUNCTION("""COMPUTED_VALUE"""),45238.0)</f>
        <v>45238</v>
      </c>
      <c r="B8348" s="16" t="str">
        <f>IFERROR(__xludf.DUMMYFUNCTION("""COMPUTED_VALUE"""),"Johan Alexander Escobar Arroyo ")</f>
        <v>Johan Alexander Escobar Arroyo </v>
      </c>
      <c r="C8348" s="15" t="str">
        <f>IFERROR(__xludf.DUMMYFUNCTION("""COMPUTED_VALUE"""),"CALI")</f>
        <v>CALI</v>
      </c>
      <c r="D8348" s="15" t="str">
        <f>IFERROR(__xludf.DUMMYFUNCTION("""COMPUTED_VALUE"""),"BOGOTÁ")</f>
        <v>BOGOTÁ</v>
      </c>
      <c r="E8348" s="15" t="str">
        <f>IFERROR(__xludf.DUMMYFUNCTION("""COMPUTED_VALUE"""),"My Choice")</f>
        <v>My Choice</v>
      </c>
      <c r="F8348" s="17" t="str">
        <f>IFERROR(__xludf.DUMMYFUNCTION("""COMPUTED_VALUE"""),"Carrera 36B # 1 Oeste - 75. / Edificio Quadratto apto 803. / Cristales")</f>
        <v>Carrera 36B # 1 Oeste - 75. / Edificio Quadratto apto 803. / Cristales</v>
      </c>
      <c r="G8348" s="15" t="str">
        <f>IFERROR(__xludf.DUMMYFUNCTION("""COMPUTED_VALUE"""),"Johanna URREGO")</f>
        <v>Johanna URREGO</v>
      </c>
      <c r="H8348" s="16">
        <f>IFERROR(__xludf.DUMMYFUNCTION("""COMPUTED_VALUE"""),17020.0)</f>
        <v>17020</v>
      </c>
      <c r="I8348" s="18">
        <f>IFERROR(__xludf.DUMMYFUNCTION("""COMPUTED_VALUE"""),20.0)</f>
        <v>20</v>
      </c>
      <c r="J8348" s="18">
        <f>IFERROR(__xludf.DUMMYFUNCTION("""COMPUTED_VALUE"""),29.0)</f>
        <v>29</v>
      </c>
      <c r="K8348" s="18">
        <f>IFERROR(__xludf.DUMMYFUNCTION("""COMPUTED_VALUE"""),30.0)</f>
        <v>30</v>
      </c>
      <c r="L8348" s="17">
        <f>IFERROR(__xludf.DUMMYFUNCTION("""COMPUTED_VALUE"""),3.103663535E9)</f>
        <v>3103663535</v>
      </c>
      <c r="M8348" s="17"/>
      <c r="N8348" s="17"/>
      <c r="O8348" s="17"/>
      <c r="P8348" s="17" t="b">
        <f>IFERROR(__xludf.DUMMYFUNCTION("""COMPUTED_VALUE"""),FALSE)</f>
        <v>0</v>
      </c>
      <c r="Q8348" s="20" t="str">
        <f>IFERROR(__xludf.DUMMYFUNCTION("""COMPUTED_VALUE"""),"")</f>
        <v/>
      </c>
      <c r="R8348" s="21" t="str">
        <f>IFERROR(__xludf.DUMMYFUNCTION("""COMPUTED_VALUE"""),"https://drive.google.com/file/d/1ktmsBMuSy64w7TMq35XitdEWFCk5tGYT/view?usp=drivesdk")</f>
        <v>https://drive.google.com/file/d/1ktmsBMuSy64w7TMq35XitdEWFCk5tGYT/view?usp=drivesdk</v>
      </c>
    </row>
    <row r="8349">
      <c r="A8349" s="15">
        <f>IFERROR(__xludf.DUMMYFUNCTION("""COMPUTED_VALUE"""),45238.0)</f>
        <v>45238</v>
      </c>
      <c r="B8349" s="16" t="str">
        <f>IFERROR(__xludf.DUMMYFUNCTION("""COMPUTED_VALUE"""),"Johan Alexander Escobar Arroyo ")</f>
        <v>Johan Alexander Escobar Arroyo </v>
      </c>
      <c r="C8349" s="15" t="str">
        <f>IFERROR(__xludf.DUMMYFUNCTION("""COMPUTED_VALUE"""),"CALI")</f>
        <v>CALI</v>
      </c>
      <c r="D8349" s="15" t="str">
        <f>IFERROR(__xludf.DUMMYFUNCTION("""COMPUTED_VALUE"""),"BOGOTÁ")</f>
        <v>BOGOTÁ</v>
      </c>
      <c r="E8349" s="15" t="str">
        <f>IFERROR(__xludf.DUMMYFUNCTION("""COMPUTED_VALUE"""),"PAN DE WAFFLE")</f>
        <v>PAN DE WAFFLE</v>
      </c>
      <c r="F8349" s="17" t="str">
        <f>IFERROR(__xludf.DUMMYFUNCTION("""COMPUTED_VALUE"""),"FOODOLOGY - CALI / Calle 34 Norte # 2bn - 33")</f>
        <v>FOODOLOGY - CALI / Calle 34 Norte # 2bn - 33</v>
      </c>
      <c r="G8349" s="15" t="str">
        <f>IFERROR(__xludf.DUMMYFUNCTION("""COMPUTED_VALUE"""),"FOODOLOGY - CALI")</f>
        <v>FOODOLOGY - CALI</v>
      </c>
      <c r="H8349" s="16">
        <f>IFERROR(__xludf.DUMMYFUNCTION("""COMPUTED_VALUE"""),17000.0)</f>
        <v>17000</v>
      </c>
      <c r="I8349" s="17"/>
      <c r="J8349" s="17"/>
      <c r="K8349" s="17"/>
      <c r="L8349" s="17">
        <f>IFERROR(__xludf.DUMMYFUNCTION("""COMPUTED_VALUE"""),3.158323233E9)</f>
        <v>3158323233</v>
      </c>
      <c r="M8349" s="17"/>
      <c r="N8349" s="17"/>
      <c r="O8349" s="17"/>
      <c r="P8349" s="17" t="b">
        <f>IFERROR(__xludf.DUMMYFUNCTION("""COMPUTED_VALUE"""),FALSE)</f>
        <v>0</v>
      </c>
      <c r="Q8349" s="20" t="str">
        <f>IFERROR(__xludf.DUMMYFUNCTION("""COMPUTED_VALUE"""),"")</f>
        <v/>
      </c>
      <c r="R8349" s="21" t="str">
        <f>IFERROR(__xludf.DUMMYFUNCTION("""COMPUTED_VALUE"""),"https://drive.google.com/file/d/1XhWgz9WsCL3c4T04mVc_1ik8MmgAyppe/view?usp=drivesdk")</f>
        <v>https://drive.google.com/file/d/1XhWgz9WsCL3c4T04mVc_1ik8MmgAyppe/view?usp=drivesdk</v>
      </c>
    </row>
    <row r="8350">
      <c r="A8350" s="15">
        <f>IFERROR(__xludf.DUMMYFUNCTION("""COMPUTED_VALUE"""),45238.0)</f>
        <v>45238</v>
      </c>
      <c r="B8350" s="16" t="str">
        <f>IFERROR(__xludf.DUMMYFUNCTION("""COMPUTED_VALUE"""),"Johan Alexander Escobar Arroyo ")</f>
        <v>Johan Alexander Escobar Arroyo </v>
      </c>
      <c r="C8350" s="15" t="str">
        <f>IFERROR(__xludf.DUMMYFUNCTION("""COMPUTED_VALUE"""),"CALI")</f>
        <v>CALI</v>
      </c>
      <c r="D8350" s="15" t="str">
        <f>IFERROR(__xludf.DUMMYFUNCTION("""COMPUTED_VALUE"""),"BOGOTÁ")</f>
        <v>BOGOTÁ</v>
      </c>
      <c r="E8350" s="15" t="str">
        <f>IFERROR(__xludf.DUMMYFUNCTION("""COMPUTED_VALUE"""),"Top Spun")</f>
        <v>Top Spun</v>
      </c>
      <c r="F8350" s="17" t="str">
        <f>IFERROR(__xludf.DUMMYFUNCTION("""COMPUTED_VALUE"""),"Carrera 24c 4 68 / Apto 210  / edificio Mirafiori")</f>
        <v>Carrera 24c 4 68 / Apto 210  / edificio Mirafiori</v>
      </c>
      <c r="G8350" s="15" t="str">
        <f>IFERROR(__xludf.DUMMYFUNCTION("""COMPUTED_VALUE"""),"Stefhany Rosero")</f>
        <v>Stefhany Rosero</v>
      </c>
      <c r="H8350" s="16">
        <f>IFERROR(__xludf.DUMMYFUNCTION("""COMPUTED_VALUE"""),16984.0)</f>
        <v>16984</v>
      </c>
      <c r="I8350" s="18">
        <f>IFERROR(__xludf.DUMMYFUNCTION("""COMPUTED_VALUE"""),20.0)</f>
        <v>20</v>
      </c>
      <c r="J8350" s="18">
        <f>IFERROR(__xludf.DUMMYFUNCTION("""COMPUTED_VALUE"""),10.0)</f>
        <v>10</v>
      </c>
      <c r="K8350" s="18">
        <f>IFERROR(__xludf.DUMMYFUNCTION("""COMPUTED_VALUE"""),40.0)</f>
        <v>40</v>
      </c>
      <c r="L8350" s="17">
        <f>IFERROR(__xludf.DUMMYFUNCTION("""COMPUTED_VALUE"""),3.187357224E9)</f>
        <v>3187357224</v>
      </c>
      <c r="M8350" s="17"/>
      <c r="N8350" s="17"/>
      <c r="O8350" s="17"/>
      <c r="P8350" s="17" t="b">
        <f>IFERROR(__xludf.DUMMYFUNCTION("""COMPUTED_VALUE"""),FALSE)</f>
        <v>0</v>
      </c>
      <c r="Q8350" s="20" t="str">
        <f>IFERROR(__xludf.DUMMYFUNCTION("""COMPUTED_VALUE"""),"")</f>
        <v/>
      </c>
      <c r="R8350" s="21" t="str">
        <f>IFERROR(__xludf.DUMMYFUNCTION("""COMPUTED_VALUE"""),"https://drive.google.com/file/d/1JLjUbZ_i1P42iHybbrfB7lM6kqIZqTp5/view?usp=drivesdk")</f>
        <v>https://drive.google.com/file/d/1JLjUbZ_i1P42iHybbrfB7lM6kqIZqTp5/view?usp=drivesdk</v>
      </c>
    </row>
    <row r="8351">
      <c r="A8351" s="15">
        <f>IFERROR(__xludf.DUMMYFUNCTION("""COMPUTED_VALUE"""),45238.0)</f>
        <v>45238</v>
      </c>
      <c r="B8351" s="16" t="str">
        <f>IFERROR(__xludf.DUMMYFUNCTION("""COMPUTED_VALUE"""),"Johan Alexander Escobar Arroyo ")</f>
        <v>Johan Alexander Escobar Arroyo </v>
      </c>
      <c r="C8351" s="15" t="str">
        <f>IFERROR(__xludf.DUMMYFUNCTION("""COMPUTED_VALUE"""),"CARTAGO")</f>
        <v>CARTAGO</v>
      </c>
      <c r="D8351" s="15" t="str">
        <f>IFERROR(__xludf.DUMMYFUNCTION("""COMPUTED_VALUE"""),"BOGOTÁ")</f>
        <v>BOGOTÁ</v>
      </c>
      <c r="E8351" s="15" t="str">
        <f>IFERROR(__xludf.DUMMYFUNCTION("""COMPUTED_VALUE"""),"PAN DE WAFFLE")</f>
        <v>PAN DE WAFFLE</v>
      </c>
      <c r="F8351" s="17" t="str">
        <f>IFERROR(__xludf.DUMMYFUNCTION("""COMPUTED_VALUE"""),"Calle 19 # 1-05 norte 2 piso / Calle 19 # 1-05 norte 2 piso")</f>
        <v>Calle 19 # 1-05 norte 2 piso / Calle 19 # 1-05 norte 2 piso</v>
      </c>
      <c r="G8351" s="15" t="str">
        <f>IFERROR(__xludf.DUMMYFUNCTION("""COMPUTED_VALUE"""),"PERSANO")</f>
        <v>PERSANO</v>
      </c>
      <c r="H8351" s="16">
        <f>IFERROR(__xludf.DUMMYFUNCTION("""COMPUTED_VALUE"""),17002.0)</f>
        <v>17002</v>
      </c>
      <c r="I8351" s="17"/>
      <c r="J8351" s="17"/>
      <c r="K8351" s="17"/>
      <c r="L8351" s="17">
        <f>IFERROR(__xludf.DUMMYFUNCTION("""COMPUTED_VALUE"""),3.11314146E9)</f>
        <v>3113141460</v>
      </c>
      <c r="M8351" s="17"/>
      <c r="N8351" s="17"/>
      <c r="O8351" s="17"/>
      <c r="P8351" s="17" t="b">
        <f>IFERROR(__xludf.DUMMYFUNCTION("""COMPUTED_VALUE"""),FALSE)</f>
        <v>0</v>
      </c>
      <c r="Q8351" s="20" t="str">
        <f>IFERROR(__xludf.DUMMYFUNCTION("""COMPUTED_VALUE"""),"")</f>
        <v/>
      </c>
      <c r="R8351" s="21" t="str">
        <f>IFERROR(__xludf.DUMMYFUNCTION("""COMPUTED_VALUE"""),"https://drive.google.com/file/d/1mQye-DsMqEQQ0w2cnnz9JhGcNBeeaD7k/view?usp=drivesdk")</f>
        <v>https://drive.google.com/file/d/1mQye-DsMqEQQ0w2cnnz9JhGcNBeeaD7k/view?usp=drivesdk</v>
      </c>
    </row>
    <row r="8352">
      <c r="A8352" s="15">
        <f>IFERROR(__xludf.DUMMYFUNCTION("""COMPUTED_VALUE"""),45238.0)</f>
        <v>45238</v>
      </c>
      <c r="B8352" s="16" t="str">
        <f>IFERROR(__xludf.DUMMYFUNCTION("""COMPUTED_VALUE"""),"Johan Alexander Escobar Arroyo ")</f>
        <v>Johan Alexander Escobar Arroyo </v>
      </c>
      <c r="C8352" s="15" t="str">
        <f>IFERROR(__xludf.DUMMYFUNCTION("""COMPUTED_VALUE"""),"IBAGUÉ")</f>
        <v>IBAGUÉ</v>
      </c>
      <c r="D8352" s="15" t="str">
        <f>IFERROR(__xludf.DUMMYFUNCTION("""COMPUTED_VALUE"""),"BOGOTÁ")</f>
        <v>BOGOTÁ</v>
      </c>
      <c r="E8352" s="15" t="str">
        <f>IFERROR(__xludf.DUMMYFUNCTION("""COMPUTED_VALUE"""),"LINA PAOLA RAMIREZ GOMEZ - EVA MAZZITA")</f>
        <v>LINA PAOLA RAMIREZ GOMEZ - EVA MAZZITA</v>
      </c>
      <c r="F8352" s="17" t="str">
        <f>IFERROR(__xludf.DUMMYFUNCTION("""COMPUTED_VALUE"""),"CALLE 93 No. 7 SUR - 90 / CONJUNTO ALTAGRACIA TORRE 6 APTO 307")</f>
        <v>CALLE 93 No. 7 SUR - 90 / CONJUNTO ALTAGRACIA TORRE 6 APTO 307</v>
      </c>
      <c r="G8352" s="15" t="str">
        <f>IFERROR(__xludf.DUMMYFUNCTION("""COMPUTED_VALUE"""),"DIANA MILENA RUIZ")</f>
        <v>DIANA MILENA RUIZ</v>
      </c>
      <c r="H8352" s="16">
        <f>IFERROR(__xludf.DUMMYFUNCTION("""COMPUTED_VALUE"""),17059.0)</f>
        <v>17059</v>
      </c>
      <c r="I8352" s="17"/>
      <c r="J8352" s="17"/>
      <c r="K8352" s="17"/>
      <c r="L8352" s="17">
        <f>IFERROR(__xludf.DUMMYFUNCTION("""COMPUTED_VALUE"""),3.178860628E9)</f>
        <v>3178860628</v>
      </c>
      <c r="M8352" s="17"/>
      <c r="N8352" s="17"/>
      <c r="O8352" s="17"/>
      <c r="P8352" s="17" t="b">
        <f>IFERROR(__xludf.DUMMYFUNCTION("""COMPUTED_VALUE"""),FALSE)</f>
        <v>0</v>
      </c>
      <c r="Q8352" s="20" t="str">
        <f>IFERROR(__xludf.DUMMYFUNCTION("""COMPUTED_VALUE"""),"")</f>
        <v/>
      </c>
      <c r="R8352" s="21" t="str">
        <f>IFERROR(__xludf.DUMMYFUNCTION("""COMPUTED_VALUE"""),"https://drive.google.com/file/d/1pXr_x6yAV2XorirroC41ZgepFdzCnaV4/view?usp=drivesdk")</f>
        <v>https://drive.google.com/file/d/1pXr_x6yAV2XorirroC41ZgepFdzCnaV4/view?usp=drivesdk</v>
      </c>
    </row>
    <row r="8353">
      <c r="A8353" s="15">
        <f>IFERROR(__xludf.DUMMYFUNCTION("""COMPUTED_VALUE"""),45238.0)</f>
        <v>45238</v>
      </c>
      <c r="B8353" s="16" t="str">
        <f>IFERROR(__xludf.DUMMYFUNCTION("""COMPUTED_VALUE"""),"Johan Alexander Escobar Arroyo ")</f>
        <v>Johan Alexander Escobar Arroyo </v>
      </c>
      <c r="C8353" s="15" t="str">
        <f>IFERROR(__xludf.DUMMYFUNCTION("""COMPUTED_VALUE"""),"PALMIRA")</f>
        <v>PALMIRA</v>
      </c>
      <c r="D8353" s="15" t="str">
        <f>IFERROR(__xludf.DUMMYFUNCTION("""COMPUTED_VALUE"""),"BOGOTÁ")</f>
        <v>BOGOTÁ</v>
      </c>
      <c r="E8353" s="15" t="str">
        <f>IFERROR(__xludf.DUMMYFUNCTION("""COMPUTED_VALUE"""),"LINA PAOLA RAMIREZ GOMEZ - EVA MAZZITA")</f>
        <v>LINA PAOLA RAMIREZ GOMEZ - EVA MAZZITA</v>
      </c>
      <c r="F8353" s="17" t="str">
        <f>IFERROR(__xludf.DUMMYFUNCTION("""COMPUTED_VALUE"""),"CALLE 21 No. 26-49 / CALLE 21 No. 26-49")</f>
        <v>CALLE 21 No. 26-49 / CALLE 21 No. 26-49</v>
      </c>
      <c r="G8353" s="15" t="str">
        <f>IFERROR(__xludf.DUMMYFUNCTION("""COMPUTED_VALUE"""),"DANIELA BELALCAZAR")</f>
        <v>DANIELA BELALCAZAR</v>
      </c>
      <c r="H8353" s="16">
        <f>IFERROR(__xludf.DUMMYFUNCTION("""COMPUTED_VALUE"""),17081.0)</f>
        <v>17081</v>
      </c>
      <c r="I8353" s="17"/>
      <c r="J8353" s="17"/>
      <c r="K8353" s="17"/>
      <c r="L8353" s="17">
        <f>IFERROR(__xludf.DUMMYFUNCTION("""COMPUTED_VALUE"""),3.152916394E9)</f>
        <v>3152916394</v>
      </c>
      <c r="M8353" s="17"/>
      <c r="N8353" s="17"/>
      <c r="O8353" s="17"/>
      <c r="P8353" s="17" t="b">
        <f>IFERROR(__xludf.DUMMYFUNCTION("""COMPUTED_VALUE"""),FALSE)</f>
        <v>0</v>
      </c>
      <c r="Q8353" s="20" t="str">
        <f>IFERROR(__xludf.DUMMYFUNCTION("""COMPUTED_VALUE"""),"")</f>
        <v/>
      </c>
      <c r="R8353" s="21" t="str">
        <f>IFERROR(__xludf.DUMMYFUNCTION("""COMPUTED_VALUE"""),"https://drive.google.com/file/d/10h_Ek34rWdyYBwvWuly1TGL93N29vbZp/view?usp=drivesdk")</f>
        <v>https://drive.google.com/file/d/10h_Ek34rWdyYBwvWuly1TGL93N29vbZp/view?usp=drivesdk</v>
      </c>
    </row>
    <row r="8354">
      <c r="A8354" s="15">
        <f>IFERROR(__xludf.DUMMYFUNCTION("""COMPUTED_VALUE"""),45238.0)</f>
        <v>45238</v>
      </c>
      <c r="B8354" s="16" t="str">
        <f>IFERROR(__xludf.DUMMYFUNCTION("""COMPUTED_VALUE"""),"Johan Alexander Escobar Arroyo ")</f>
        <v>Johan Alexander Escobar Arroyo </v>
      </c>
      <c r="C8354" s="15" t="str">
        <f>IFERROR(__xludf.DUMMYFUNCTION("""COMPUTED_VALUE"""),"PALMIRA")</f>
        <v>PALMIRA</v>
      </c>
      <c r="D8354" s="15" t="str">
        <f>IFERROR(__xludf.DUMMYFUNCTION("""COMPUTED_VALUE"""),"BOGOTÁ")</f>
        <v>BOGOTÁ</v>
      </c>
      <c r="E8354" s="15" t="str">
        <f>IFERROR(__xludf.DUMMYFUNCTION("""COMPUTED_VALUE"""),"LINA PAOLA RAMIREZ GOMEZ - EVA MAZZITA")</f>
        <v>LINA PAOLA RAMIREZ GOMEZ - EVA MAZZITA</v>
      </c>
      <c r="F8354" s="17" t="str">
        <f>IFERROR(__xludf.DUMMYFUNCTION("""COMPUTED_VALUE"""),"Calle 58 24 76 / apto 103 torre 1 conjunto el palmar de las mercedes")</f>
        <v>Calle 58 24 76 / apto 103 torre 1 conjunto el palmar de las mercedes</v>
      </c>
      <c r="G8354" s="15" t="str">
        <f>IFERROR(__xludf.DUMMYFUNCTION("""COMPUTED_VALUE"""),"NATALIA DAZA")</f>
        <v>NATALIA DAZA</v>
      </c>
      <c r="H8354" s="16">
        <f>IFERROR(__xludf.DUMMYFUNCTION("""COMPUTED_VALUE"""),17077.0)</f>
        <v>17077</v>
      </c>
      <c r="I8354" s="17"/>
      <c r="J8354" s="17"/>
      <c r="K8354" s="17"/>
      <c r="L8354" s="17">
        <f>IFERROR(__xludf.DUMMYFUNCTION("""COMPUTED_VALUE"""),3.004513236E9)</f>
        <v>3004513236</v>
      </c>
      <c r="M8354" s="17"/>
      <c r="N8354" s="17"/>
      <c r="O8354" s="17"/>
      <c r="P8354" s="17" t="b">
        <f>IFERROR(__xludf.DUMMYFUNCTION("""COMPUTED_VALUE"""),FALSE)</f>
        <v>0</v>
      </c>
      <c r="Q8354" s="20" t="str">
        <f>IFERROR(__xludf.DUMMYFUNCTION("""COMPUTED_VALUE"""),"")</f>
        <v/>
      </c>
      <c r="R8354" s="21" t="str">
        <f>IFERROR(__xludf.DUMMYFUNCTION("""COMPUTED_VALUE"""),"https://drive.google.com/file/d/1j-xVcg4f0MOY9SYOU-2uyqzMAYCyAFSM/view?usp=drivesdk")</f>
        <v>https://drive.google.com/file/d/1j-xVcg4f0MOY9SYOU-2uyqzMAYCyAFSM/view?usp=drivesdk</v>
      </c>
    </row>
    <row r="8355">
      <c r="A8355" s="15">
        <f>IFERROR(__xludf.DUMMYFUNCTION("""COMPUTED_VALUE"""),45238.0)</f>
        <v>45238</v>
      </c>
      <c r="B8355" s="16" t="str">
        <f>IFERROR(__xludf.DUMMYFUNCTION("""COMPUTED_VALUE"""),"Johan Alexander Escobar Arroyo ")</f>
        <v>Johan Alexander Escobar Arroyo </v>
      </c>
      <c r="C8355" s="15" t="str">
        <f>IFERROR(__xludf.DUMMYFUNCTION("""COMPUTED_VALUE"""),"PALMIRA")</f>
        <v>PALMIRA</v>
      </c>
      <c r="D8355" s="15" t="str">
        <f>IFERROR(__xludf.DUMMYFUNCTION("""COMPUTED_VALUE"""),"BOGOTÁ")</f>
        <v>BOGOTÁ</v>
      </c>
      <c r="E8355" s="15" t="str">
        <f>IFERROR(__xludf.DUMMYFUNCTION("""COMPUTED_VALUE"""),"LINA PAOLA RAMIREZ GOMEZ - EVA MAZZITA")</f>
        <v>LINA PAOLA RAMIREZ GOMEZ - EVA MAZZITA</v>
      </c>
      <c r="F8355" s="17" t="str">
        <f>IFERROR(__xludf.DUMMYFUNCTION("""COMPUTED_VALUE"""),"CALLE 65C No. 25A - 24 / BULEVAR DE LAS MERCEDES")</f>
        <v>CALLE 65C No. 25A - 24 / BULEVAR DE LAS MERCEDES</v>
      </c>
      <c r="G8355" s="15" t="str">
        <f>IFERROR(__xludf.DUMMYFUNCTION("""COMPUTED_VALUE"""),"PAULINA BETANCOURT")</f>
        <v>PAULINA BETANCOURT</v>
      </c>
      <c r="H8355" s="16">
        <f>IFERROR(__xludf.DUMMYFUNCTION("""COMPUTED_VALUE"""),17079.0)</f>
        <v>17079</v>
      </c>
      <c r="I8355" s="17"/>
      <c r="J8355" s="17"/>
      <c r="K8355" s="17"/>
      <c r="L8355" s="17">
        <f>IFERROR(__xludf.DUMMYFUNCTION("""COMPUTED_VALUE"""),3.155339627E9)</f>
        <v>3155339627</v>
      </c>
      <c r="M8355" s="17"/>
      <c r="N8355" s="17"/>
      <c r="O8355" s="17"/>
      <c r="P8355" s="17" t="b">
        <f>IFERROR(__xludf.DUMMYFUNCTION("""COMPUTED_VALUE"""),FALSE)</f>
        <v>0</v>
      </c>
      <c r="Q8355" s="20" t="str">
        <f>IFERROR(__xludf.DUMMYFUNCTION("""COMPUTED_VALUE"""),"")</f>
        <v/>
      </c>
      <c r="R8355" s="21" t="str">
        <f>IFERROR(__xludf.DUMMYFUNCTION("""COMPUTED_VALUE"""),"https://drive.google.com/file/d/1LjRBDTuk_1GRiT7zDQ3Hum4cNiq3z06K/view?usp=drivesdk")</f>
        <v>https://drive.google.com/file/d/1LjRBDTuk_1GRiT7zDQ3Hum4cNiq3z06K/view?usp=drivesdk</v>
      </c>
    </row>
    <row r="8356">
      <c r="A8356" s="17" t="str">
        <f>IFERROR(__xludf.DUMMYFUNCTION("""COMPUTED_VALUE"""),"")</f>
        <v/>
      </c>
      <c r="B8356" s="17" t="str">
        <f>IFERROR(__xludf.DUMMYFUNCTION("""COMPUTED_VALUE"""),"")</f>
        <v/>
      </c>
      <c r="C8356" s="17" t="str">
        <f>IFERROR(__xludf.DUMMYFUNCTION("""COMPUTED_VALUE"""),"")</f>
        <v/>
      </c>
      <c r="D8356" s="17" t="str">
        <f>IFERROR(__xludf.DUMMYFUNCTION("""COMPUTED_VALUE"""),"")</f>
        <v/>
      </c>
      <c r="E8356" s="17" t="str">
        <f>IFERROR(__xludf.DUMMYFUNCTION("""COMPUTED_VALUE"""),"")</f>
        <v/>
      </c>
      <c r="F8356" s="17" t="str">
        <f>IFERROR(__xludf.DUMMYFUNCTION("""COMPUTED_VALUE"""),"")</f>
        <v/>
      </c>
      <c r="G8356" s="17" t="str">
        <f>IFERROR(__xludf.DUMMYFUNCTION("""COMPUTED_VALUE"""),"")</f>
        <v/>
      </c>
      <c r="H8356" s="17" t="str">
        <f>IFERROR(__xludf.DUMMYFUNCTION("""COMPUTED_VALUE"""),"")</f>
        <v/>
      </c>
      <c r="I8356" s="17" t="str">
        <f>IFERROR(__xludf.DUMMYFUNCTION("""COMPUTED_VALUE"""),"")</f>
        <v/>
      </c>
      <c r="J8356" s="17" t="str">
        <f>IFERROR(__xludf.DUMMYFUNCTION("""COMPUTED_VALUE"""),"")</f>
        <v/>
      </c>
      <c r="K8356" s="17" t="str">
        <f>IFERROR(__xludf.DUMMYFUNCTION("""COMPUTED_VALUE"""),"")</f>
        <v/>
      </c>
      <c r="L8356" s="17" t="str">
        <f>IFERROR(__xludf.DUMMYFUNCTION("""COMPUTED_VALUE"""),"")</f>
        <v/>
      </c>
      <c r="M8356" s="17" t="str">
        <f>IFERROR(__xludf.DUMMYFUNCTION("""COMPUTED_VALUE"""),"")</f>
        <v/>
      </c>
      <c r="N8356" s="17" t="str">
        <f>IFERROR(__xludf.DUMMYFUNCTION("""COMPUTED_VALUE"""),"")</f>
        <v/>
      </c>
      <c r="O8356" s="17" t="str">
        <f>IFERROR(__xludf.DUMMYFUNCTION("""COMPUTED_VALUE"""),"")</f>
        <v/>
      </c>
      <c r="P8356" s="17" t="str">
        <f>IFERROR(__xludf.DUMMYFUNCTION("""COMPUTED_VALUE"""),"")</f>
        <v/>
      </c>
      <c r="Q8356" s="17" t="str">
        <f>IFERROR(__xludf.DUMMYFUNCTION("""COMPUTED_VALUE"""),"")</f>
        <v/>
      </c>
      <c r="R8356" s="17" t="str">
        <f>IFERROR(__xludf.DUMMYFUNCTION("""COMPUTED_VALUE"""),"")</f>
        <v/>
      </c>
    </row>
    <row r="8357">
      <c r="A8357" s="15">
        <f>IFERROR(__xludf.DUMMYFUNCTION("""COMPUTED_VALUE"""),45238.0)</f>
        <v>45238</v>
      </c>
      <c r="B8357" s="16" t="str">
        <f>IFERROR(__xludf.DUMMYFUNCTION("""COMPUTED_VALUE"""),"Johanna Arango Barrera")</f>
        <v>Johanna Arango Barrera</v>
      </c>
      <c r="C8357" s="15" t="str">
        <f>IFERROR(__xludf.DUMMYFUNCTION("""COMPUTED_VALUE"""),"BUCARAMANGA")</f>
        <v>BUCARAMANGA</v>
      </c>
      <c r="D8357" s="15" t="str">
        <f>IFERROR(__xludf.DUMMYFUNCTION("""COMPUTED_VALUE"""),"BOGOTÁ")</f>
        <v>BOGOTÁ</v>
      </c>
      <c r="E8357" s="15" t="str">
        <f>IFERROR(__xludf.DUMMYFUNCTION("""COMPUTED_VALUE"""),"Lunchy Kids")</f>
        <v>Lunchy Kids</v>
      </c>
      <c r="F8357" s="17" t="str">
        <f>IFERROR(__xludf.DUMMYFUNCTION("""COMPUTED_VALUE"""),"Calle 71#53-96  / Lagos del cacique Apartamento 204  / Bucaramanga")</f>
        <v>Calle 71#53-96  / Lagos del cacique Apartamento 204  / Bucaramanga</v>
      </c>
      <c r="G8357" s="15" t="str">
        <f>IFERROR(__xludf.DUMMYFUNCTION("""COMPUTED_VALUE"""),"Silvia Martinez")</f>
        <v>Silvia Martinez</v>
      </c>
      <c r="H8357" s="16">
        <f>IFERROR(__xludf.DUMMYFUNCTION("""COMPUTED_VALUE"""),16996.0)</f>
        <v>16996</v>
      </c>
      <c r="I8357" s="18">
        <f>IFERROR(__xludf.DUMMYFUNCTION("""COMPUTED_VALUE"""),19.0)</f>
        <v>19</v>
      </c>
      <c r="J8357" s="18">
        <f>IFERROR(__xludf.DUMMYFUNCTION("""COMPUTED_VALUE"""),23.0)</f>
        <v>23</v>
      </c>
      <c r="K8357" s="18">
        <f>IFERROR(__xludf.DUMMYFUNCTION("""COMPUTED_VALUE"""),8.0)</f>
        <v>8</v>
      </c>
      <c r="L8357" s="17">
        <f>IFERROR(__xludf.DUMMYFUNCTION("""COMPUTED_VALUE"""),3.175954971E9)</f>
        <v>3175954971</v>
      </c>
      <c r="M8357" s="17"/>
      <c r="N8357" s="17"/>
      <c r="O8357" s="17"/>
      <c r="P8357" s="17" t="b">
        <f>IFERROR(__xludf.DUMMYFUNCTION("""COMPUTED_VALUE"""),FALSE)</f>
        <v>0</v>
      </c>
      <c r="Q8357" s="20" t="str">
        <f>IFERROR(__xludf.DUMMYFUNCTION("""COMPUTED_VALUE"""),"")</f>
        <v/>
      </c>
      <c r="R8357" s="21" t="str">
        <f>IFERROR(__xludf.DUMMYFUNCTION("""COMPUTED_VALUE"""),"https://drive.google.com/file/d/1i-QjZsxykflcUNBR_LwdtDsnowQ6MrCH/view?usp=drivesdk")</f>
        <v>https://drive.google.com/file/d/1i-QjZsxykflcUNBR_LwdtDsnowQ6MrCH/view?usp=drivesdk</v>
      </c>
    </row>
    <row r="8358">
      <c r="A8358" s="15">
        <f>IFERROR(__xludf.DUMMYFUNCTION("""COMPUTED_VALUE"""),45238.0)</f>
        <v>45238</v>
      </c>
      <c r="B8358" s="16" t="str">
        <f>IFERROR(__xludf.DUMMYFUNCTION("""COMPUTED_VALUE"""),"Johanna Arango Barrera")</f>
        <v>Johanna Arango Barrera</v>
      </c>
      <c r="C8358" s="15" t="str">
        <f>IFERROR(__xludf.DUMMYFUNCTION("""COMPUTED_VALUE"""),"BUCARAMANGA")</f>
        <v>BUCARAMANGA</v>
      </c>
      <c r="D8358" s="15" t="str">
        <f>IFERROR(__xludf.DUMMYFUNCTION("""COMPUTED_VALUE"""),"MEDELLÍN")</f>
        <v>MEDELLÍN</v>
      </c>
      <c r="E8358" s="15" t="str">
        <f>IFERROR(__xludf.DUMMYFUNCTION("""COMPUTED_VALUE"""),"Baby Chef")</f>
        <v>Baby Chef</v>
      </c>
      <c r="F8358" s="17" t="str">
        <f>IFERROR(__xludf.DUMMYFUNCTION("""COMPUTED_VALUE"""),"calle 18 # 25-49 apto 1401 edificio santa isabella barrio san francisco / . / .")</f>
        <v>calle 18 # 25-49 apto 1401 edificio santa isabella barrio san francisco / . / .</v>
      </c>
      <c r="G8358" s="15" t="str">
        <f>IFERROR(__xludf.DUMMYFUNCTION("""COMPUTED_VALUE"""),"Shirley Alvarado")</f>
        <v>Shirley Alvarado</v>
      </c>
      <c r="H8358" s="16">
        <f>IFERROR(__xludf.DUMMYFUNCTION("""COMPUTED_VALUE"""),17041.0)</f>
        <v>17041</v>
      </c>
      <c r="I8358" s="18">
        <f>IFERROR(__xludf.DUMMYFUNCTION("""COMPUTED_VALUE"""),12.0)</f>
        <v>12</v>
      </c>
      <c r="J8358" s="18">
        <f>IFERROR(__xludf.DUMMYFUNCTION("""COMPUTED_VALUE"""),21.0)</f>
        <v>21</v>
      </c>
      <c r="K8358" s="18">
        <f>IFERROR(__xludf.DUMMYFUNCTION("""COMPUTED_VALUE"""),44.0)</f>
        <v>44</v>
      </c>
      <c r="L8358" s="17">
        <f>IFERROR(__xludf.DUMMYFUNCTION("""COMPUTED_VALUE"""),3.203548295E9)</f>
        <v>3203548295</v>
      </c>
      <c r="M8358" s="17"/>
      <c r="N8358" s="17"/>
      <c r="O8358" s="17"/>
      <c r="P8358" s="17" t="b">
        <f>IFERROR(__xludf.DUMMYFUNCTION("""COMPUTED_VALUE"""),FALSE)</f>
        <v>0</v>
      </c>
      <c r="Q8358" s="20" t="str">
        <f>IFERROR(__xludf.DUMMYFUNCTION("""COMPUTED_VALUE"""),"")</f>
        <v/>
      </c>
      <c r="R8358" s="22" t="str">
        <f>IFERROR(__xludf.DUMMYFUNCTION("""COMPUTED_VALUE"""),"")</f>
        <v/>
      </c>
    </row>
    <row r="8359">
      <c r="A8359" s="15">
        <f>IFERROR(__xludf.DUMMYFUNCTION("""COMPUTED_VALUE"""),45238.0)</f>
        <v>45238</v>
      </c>
      <c r="B8359" s="16" t="str">
        <f>IFERROR(__xludf.DUMMYFUNCTION("""COMPUTED_VALUE"""),"Johanna Arango Barrera")</f>
        <v>Johanna Arango Barrera</v>
      </c>
      <c r="C8359" s="15" t="str">
        <f>IFERROR(__xludf.DUMMYFUNCTION("""COMPUTED_VALUE"""),"BUCARAMANGA")</f>
        <v>BUCARAMANGA</v>
      </c>
      <c r="D8359" s="15" t="str">
        <f>IFERROR(__xludf.DUMMYFUNCTION("""COMPUTED_VALUE"""),"MEDELLÍN")</f>
        <v>MEDELLÍN</v>
      </c>
      <c r="E8359" s="15" t="str">
        <f>IFERROR(__xludf.DUMMYFUNCTION("""COMPUTED_VALUE"""),"Baby Chef")</f>
        <v>Baby Chef</v>
      </c>
      <c r="F8359" s="17" t="str">
        <f>IFERROR(__xludf.DUMMYFUNCTION("""COMPUTED_VALUE"""),"Calle 20#32a -59 Apto 11- 05  Edificio La Torre MontecCarlo  Barrio San Alonso  Ciudad: Bucaramanga"" / . / .")</f>
        <v>Calle 20#32a -59 Apto 11- 05  Edificio La Torre MontecCarlo  Barrio San Alonso  Ciudad: Bucaramanga" / . / .</v>
      </c>
      <c r="G8359" s="15" t="str">
        <f>IFERROR(__xludf.DUMMYFUNCTION("""COMPUTED_VALUE"""),"Leidy Katherine Gélvez")</f>
        <v>Leidy Katherine Gélvez</v>
      </c>
      <c r="H8359" s="16">
        <f>IFERROR(__xludf.DUMMYFUNCTION("""COMPUTED_VALUE"""),17039.0)</f>
        <v>17039</v>
      </c>
      <c r="I8359" s="18">
        <f>IFERROR(__xludf.DUMMYFUNCTION("""COMPUTED_VALUE"""),6.0)</f>
        <v>6</v>
      </c>
      <c r="J8359" s="18">
        <f>IFERROR(__xludf.DUMMYFUNCTION("""COMPUTED_VALUE"""),21.0)</f>
        <v>21</v>
      </c>
      <c r="K8359" s="18">
        <f>IFERROR(__xludf.DUMMYFUNCTION("""COMPUTED_VALUE"""),19.0)</f>
        <v>19</v>
      </c>
      <c r="L8359" s="17">
        <f>IFERROR(__xludf.DUMMYFUNCTION("""COMPUTED_VALUE"""),3.014235853E9)</f>
        <v>3014235853</v>
      </c>
      <c r="M8359" s="17"/>
      <c r="N8359" s="17"/>
      <c r="O8359" s="17"/>
      <c r="P8359" s="17" t="b">
        <f>IFERROR(__xludf.DUMMYFUNCTION("""COMPUTED_VALUE"""),FALSE)</f>
        <v>0</v>
      </c>
      <c r="Q8359" s="20" t="str">
        <f>IFERROR(__xludf.DUMMYFUNCTION("""COMPUTED_VALUE"""),"")</f>
        <v/>
      </c>
      <c r="R8359" s="21" t="str">
        <f>IFERROR(__xludf.DUMMYFUNCTION("""COMPUTED_VALUE"""),"https://drive.google.com/file/d/1Tt4l50XQZ_YFUMzTs6Np2D7hwZzbGQ2Q/view?usp=drivesdk")</f>
        <v>https://drive.google.com/file/d/1Tt4l50XQZ_YFUMzTs6Np2D7hwZzbGQ2Q/view?usp=drivesdk</v>
      </c>
    </row>
    <row r="8360">
      <c r="A8360" s="15">
        <f>IFERROR(__xludf.DUMMYFUNCTION("""COMPUTED_VALUE"""),45238.0)</f>
        <v>45238</v>
      </c>
      <c r="B8360" s="16" t="str">
        <f>IFERROR(__xludf.DUMMYFUNCTION("""COMPUTED_VALUE"""),"Johanna Arango Barrera")</f>
        <v>Johanna Arango Barrera</v>
      </c>
      <c r="C8360" s="15" t="str">
        <f>IFERROR(__xludf.DUMMYFUNCTION("""COMPUTED_VALUE"""),"BUCARAMANGA")</f>
        <v>BUCARAMANGA</v>
      </c>
      <c r="D8360" s="15" t="str">
        <f>IFERROR(__xludf.DUMMYFUNCTION("""COMPUTED_VALUE"""),"MEDELLÍN")</f>
        <v>MEDELLÍN</v>
      </c>
      <c r="E8360" s="15" t="str">
        <f>IFERROR(__xludf.DUMMYFUNCTION("""COMPUTED_VALUE"""),"Baby Chef")</f>
        <v>Baby Chef</v>
      </c>
      <c r="F8360" s="17" t="str">
        <f>IFERROR(__xludf.DUMMYFUNCTION("""COMPUTED_VALUE"""),"Edifício Onix San Pedro Apto 1404 Barrio Sotomayor / . / .")</f>
        <v>Edifício Onix San Pedro Apto 1404 Barrio Sotomayor / . / .</v>
      </c>
      <c r="G8360" s="15" t="str">
        <f>IFERROR(__xludf.DUMMYFUNCTION("""COMPUTED_VALUE"""),"Malka Irina Wadnipar")</f>
        <v>Malka Irina Wadnipar</v>
      </c>
      <c r="H8360" s="16">
        <f>IFERROR(__xludf.DUMMYFUNCTION("""COMPUTED_VALUE"""),17040.0)</f>
        <v>17040</v>
      </c>
      <c r="I8360" s="18">
        <f>IFERROR(__xludf.DUMMYFUNCTION("""COMPUTED_VALUE"""),7.0)</f>
        <v>7</v>
      </c>
      <c r="J8360" s="18">
        <f>IFERROR(__xludf.DUMMYFUNCTION("""COMPUTED_VALUE"""),23.0)</f>
        <v>23</v>
      </c>
      <c r="K8360" s="18">
        <f>IFERROR(__xludf.DUMMYFUNCTION("""COMPUTED_VALUE"""),25.0)</f>
        <v>25</v>
      </c>
      <c r="L8360" s="17">
        <f>IFERROR(__xludf.DUMMYFUNCTION("""COMPUTED_VALUE"""),3.007651588E9)</f>
        <v>3007651588</v>
      </c>
      <c r="M8360" s="17"/>
      <c r="N8360" s="17"/>
      <c r="O8360" s="17"/>
      <c r="P8360" s="17" t="b">
        <f>IFERROR(__xludf.DUMMYFUNCTION("""COMPUTED_VALUE"""),FALSE)</f>
        <v>0</v>
      </c>
      <c r="Q8360" s="20" t="str">
        <f>IFERROR(__xludf.DUMMYFUNCTION("""COMPUTED_VALUE"""),"")</f>
        <v/>
      </c>
      <c r="R8360" s="21" t="str">
        <f>IFERROR(__xludf.DUMMYFUNCTION("""COMPUTED_VALUE"""),"https://drive.google.com/file/d/1QcR00BN0UVh_sxT61prWMsBIlymQ2cNZ/view?usp=drivesdk")</f>
        <v>https://drive.google.com/file/d/1QcR00BN0UVh_sxT61prWMsBIlymQ2cNZ/view?usp=drivesdk</v>
      </c>
    </row>
    <row r="8361">
      <c r="A8361" s="15">
        <f>IFERROR(__xludf.DUMMYFUNCTION("""COMPUTED_VALUE"""),45238.0)</f>
        <v>45238</v>
      </c>
      <c r="B8361" s="16" t="str">
        <f>IFERROR(__xludf.DUMMYFUNCTION("""COMPUTED_VALUE"""),"Johanna Arango Barrera")</f>
        <v>Johanna Arango Barrera</v>
      </c>
      <c r="C8361" s="15" t="str">
        <f>IFERROR(__xludf.DUMMYFUNCTION("""COMPUTED_VALUE"""),"FLORIDABLANCA")</f>
        <v>FLORIDABLANCA</v>
      </c>
      <c r="D8361" s="15" t="str">
        <f>IFERROR(__xludf.DUMMYFUNCTION("""COMPUTED_VALUE"""),"BOGOTÁ")</f>
        <v>BOGOTÁ</v>
      </c>
      <c r="E8361" s="15" t="str">
        <f>IFERROR(__xludf.DUMMYFUNCTION("""COMPUTED_VALUE"""),"Asociacion Agropecuaria Juana Maria")</f>
        <v>Asociacion Agropecuaria Juana Maria</v>
      </c>
      <c r="F8361" s="17" t="str">
        <f>IFERROR(__xludf.DUMMYFUNCTION("""COMPUTED_VALUE"""),"Calle 19 #11-37 / Guanatá FLORIDABLANCA")</f>
        <v>Calle 19 #11-37 / Guanatá FLORIDABLANCA</v>
      </c>
      <c r="G8361" s="15" t="str">
        <f>IFERROR(__xludf.DUMMYFUNCTION("""COMPUTED_VALUE"""),"Claudia Gonzalez")</f>
        <v>Claudia Gonzalez</v>
      </c>
      <c r="H8361" s="16">
        <f>IFERROR(__xludf.DUMMYFUNCTION("""COMPUTED_VALUE"""),16988.0)</f>
        <v>16988</v>
      </c>
      <c r="I8361" s="17"/>
      <c r="J8361" s="17"/>
      <c r="K8361" s="17"/>
      <c r="L8361" s="17">
        <f>IFERROR(__xludf.DUMMYFUNCTION("""COMPUTED_VALUE"""),3.002802001E9)</f>
        <v>3002802001</v>
      </c>
      <c r="M8361" s="17"/>
      <c r="N8361" s="17"/>
      <c r="O8361" s="17"/>
      <c r="P8361" s="17" t="b">
        <f>IFERROR(__xludf.DUMMYFUNCTION("""COMPUTED_VALUE"""),FALSE)</f>
        <v>0</v>
      </c>
      <c r="Q8361" s="20" t="str">
        <f>IFERROR(__xludf.DUMMYFUNCTION("""COMPUTED_VALUE"""),"")</f>
        <v/>
      </c>
      <c r="R8361" s="21" t="str">
        <f>IFERROR(__xludf.DUMMYFUNCTION("""COMPUTED_VALUE"""),"https://drive.google.com/file/d/1QJDW8YN2PJEM5bW0PZ5umyOg0IRsyDd0/view?usp=drivesdk")</f>
        <v>https://drive.google.com/file/d/1QJDW8YN2PJEM5bW0PZ5umyOg0IRsyDd0/view?usp=drivesdk</v>
      </c>
    </row>
    <row r="8362">
      <c r="A8362" s="15">
        <f>IFERROR(__xludf.DUMMYFUNCTION("""COMPUTED_VALUE"""),45238.0)</f>
        <v>45238</v>
      </c>
      <c r="B8362" s="16" t="str">
        <f>IFERROR(__xludf.DUMMYFUNCTION("""COMPUTED_VALUE"""),"Johanna Arango Barrera")</f>
        <v>Johanna Arango Barrera</v>
      </c>
      <c r="C8362" s="15" t="str">
        <f>IFERROR(__xludf.DUMMYFUNCTION("""COMPUTED_VALUE"""),"PEREIRA")</f>
        <v>PEREIRA</v>
      </c>
      <c r="D8362" s="15" t="str">
        <f>IFERROR(__xludf.DUMMYFUNCTION("""COMPUTED_VALUE"""),"MEDELLÍN")</f>
        <v>MEDELLÍN</v>
      </c>
      <c r="E8362" s="15" t="str">
        <f>IFERROR(__xludf.DUMMYFUNCTION("""COMPUTED_VALUE"""),"Baby Chef")</f>
        <v>Baby Chef</v>
      </c>
      <c r="F8362" s="17" t="str">
        <f>IFERROR(__xludf.DUMMYFUNCTION("""COMPUTED_VALUE"""),"Cra 46 #78-70 Conjunto entre verde mz2 casa 29 / . / .")</f>
        <v>Cra 46 #78-70 Conjunto entre verde mz2 casa 29 / . / .</v>
      </c>
      <c r="G8362" s="15" t="str">
        <f>IFERROR(__xludf.DUMMYFUNCTION("""COMPUTED_VALUE"""),"Liliana Giraldo")</f>
        <v>Liliana Giraldo</v>
      </c>
      <c r="H8362" s="16">
        <f>IFERROR(__xludf.DUMMYFUNCTION("""COMPUTED_VALUE"""),17043.0)</f>
        <v>17043</v>
      </c>
      <c r="I8362" s="18">
        <f>IFERROR(__xludf.DUMMYFUNCTION("""COMPUTED_VALUE"""),9.0)</f>
        <v>9</v>
      </c>
      <c r="J8362" s="18">
        <f>IFERROR(__xludf.DUMMYFUNCTION("""COMPUTED_VALUE"""),22.0)</f>
        <v>22</v>
      </c>
      <c r="K8362" s="18">
        <f>IFERROR(__xludf.DUMMYFUNCTION("""COMPUTED_VALUE"""),34.0)</f>
        <v>34</v>
      </c>
      <c r="L8362" s="17">
        <f>IFERROR(__xludf.DUMMYFUNCTION("""COMPUTED_VALUE"""),3.206806866E9)</f>
        <v>3206806866</v>
      </c>
      <c r="M8362" s="17"/>
      <c r="N8362" s="17"/>
      <c r="O8362" s="17"/>
      <c r="P8362" s="17" t="b">
        <f>IFERROR(__xludf.DUMMYFUNCTION("""COMPUTED_VALUE"""),FALSE)</f>
        <v>0</v>
      </c>
      <c r="Q8362" s="20" t="str">
        <f>IFERROR(__xludf.DUMMYFUNCTION("""COMPUTED_VALUE"""),"")</f>
        <v/>
      </c>
      <c r="R8362" s="21" t="str">
        <f>IFERROR(__xludf.DUMMYFUNCTION("""COMPUTED_VALUE"""),"https://drive.google.com/file/d/171DxGxym_RW0I5XqWvMX27EDcPbXNOhg/view?usp=drivesdk")</f>
        <v>https://drive.google.com/file/d/171DxGxym_RW0I5XqWvMX27EDcPbXNOhg/view?usp=drivesdk</v>
      </c>
    </row>
    <row r="8363">
      <c r="A8363" s="15">
        <f>IFERROR(__xludf.DUMMYFUNCTION("""COMPUTED_VALUE"""),45238.0)</f>
        <v>45238</v>
      </c>
      <c r="B8363" s="16" t="str">
        <f>IFERROR(__xludf.DUMMYFUNCTION("""COMPUTED_VALUE"""),"Johanna Arango Barrera")</f>
        <v>Johanna Arango Barrera</v>
      </c>
      <c r="C8363" s="15" t="str">
        <f>IFERROR(__xludf.DUMMYFUNCTION("""COMPUTED_VALUE"""),"PEREIRA")</f>
        <v>PEREIRA</v>
      </c>
      <c r="D8363" s="15" t="str">
        <f>IFERROR(__xludf.DUMMYFUNCTION("""COMPUTED_VALUE"""),"MEDELLÍN")</f>
        <v>MEDELLÍN</v>
      </c>
      <c r="E8363" s="15" t="str">
        <f>IFERROR(__xludf.DUMMYFUNCTION("""COMPUTED_VALUE"""),"Goyo Todo por ellos")</f>
        <v>Goyo Todo por ellos</v>
      </c>
      <c r="F8363" s="17" t="str">
        <f>IFERROR(__xludf.DUMMYFUNCTION("""COMPUTED_VALUE"""),"Calle 12 Bis #16 18 / Casa hoja Comunidad Consciente  / Barrio Pinares")</f>
        <v>Calle 12 Bis #16 18 / Casa hoja Comunidad Consciente  / Barrio Pinares</v>
      </c>
      <c r="G8363" s="15" t="str">
        <f>IFERROR(__xludf.DUMMYFUNCTION("""COMPUTED_VALUE"""),"Hector Hernandez")</f>
        <v>Hector Hernandez</v>
      </c>
      <c r="H8363" s="16">
        <f>IFERROR(__xludf.DUMMYFUNCTION("""COMPUTED_VALUE"""),16995.0)</f>
        <v>16995</v>
      </c>
      <c r="I8363" s="18">
        <f>IFERROR(__xludf.DUMMYFUNCTION("""COMPUTED_VALUE"""),17.0)</f>
        <v>17</v>
      </c>
      <c r="J8363" s="18">
        <f>IFERROR(__xludf.DUMMYFUNCTION("""COMPUTED_VALUE"""),40.0)</f>
        <v>40</v>
      </c>
      <c r="K8363" s="18">
        <f>IFERROR(__xludf.DUMMYFUNCTION("""COMPUTED_VALUE"""),28.0)</f>
        <v>28</v>
      </c>
      <c r="L8363" s="17">
        <f>IFERROR(__xludf.DUMMYFUNCTION("""COMPUTED_VALUE"""),3.18591145E9)</f>
        <v>3185911450</v>
      </c>
      <c r="M8363" s="17"/>
      <c r="N8363" s="17"/>
      <c r="O8363" s="17"/>
      <c r="P8363" s="17" t="b">
        <f>IFERROR(__xludf.DUMMYFUNCTION("""COMPUTED_VALUE"""),TRUE)</f>
        <v>1</v>
      </c>
      <c r="Q8363" s="20">
        <f>IFERROR(__xludf.DUMMYFUNCTION("""COMPUTED_VALUE"""),45239.59003466435)</f>
        <v>45239.59003</v>
      </c>
      <c r="R8363" s="21" t="str">
        <f>IFERROR(__xludf.DUMMYFUNCTION("""COMPUTED_VALUE"""),"https://drive.google.com/file/d/1TBkmkE2hqV_54nKhD6cNz9QOhAf0aovU/view?usp=drivesdk")</f>
        <v>https://drive.google.com/file/d/1TBkmkE2hqV_54nKhD6cNz9QOhAf0aovU/view?usp=drivesdk</v>
      </c>
    </row>
    <row r="8364">
      <c r="A8364" s="17" t="str">
        <f>IFERROR(__xludf.DUMMYFUNCTION("""COMPUTED_VALUE"""),"")</f>
        <v/>
      </c>
      <c r="B8364" s="17" t="str">
        <f>IFERROR(__xludf.DUMMYFUNCTION("""COMPUTED_VALUE"""),"")</f>
        <v/>
      </c>
      <c r="C8364" s="17" t="str">
        <f>IFERROR(__xludf.DUMMYFUNCTION("""COMPUTED_VALUE"""),"")</f>
        <v/>
      </c>
      <c r="D8364" s="17" t="str">
        <f>IFERROR(__xludf.DUMMYFUNCTION("""COMPUTED_VALUE"""),"")</f>
        <v/>
      </c>
      <c r="E8364" s="17" t="str">
        <f>IFERROR(__xludf.DUMMYFUNCTION("""COMPUTED_VALUE"""),"")</f>
        <v/>
      </c>
      <c r="F8364" s="17" t="str">
        <f>IFERROR(__xludf.DUMMYFUNCTION("""COMPUTED_VALUE"""),"")</f>
        <v/>
      </c>
      <c r="G8364" s="17" t="str">
        <f>IFERROR(__xludf.DUMMYFUNCTION("""COMPUTED_VALUE"""),"")</f>
        <v/>
      </c>
      <c r="H8364" s="17" t="str">
        <f>IFERROR(__xludf.DUMMYFUNCTION("""COMPUTED_VALUE"""),"")</f>
        <v/>
      </c>
      <c r="I8364" s="17" t="str">
        <f>IFERROR(__xludf.DUMMYFUNCTION("""COMPUTED_VALUE"""),"")</f>
        <v/>
      </c>
      <c r="J8364" s="17" t="str">
        <f>IFERROR(__xludf.DUMMYFUNCTION("""COMPUTED_VALUE"""),"")</f>
        <v/>
      </c>
      <c r="K8364" s="17" t="str">
        <f>IFERROR(__xludf.DUMMYFUNCTION("""COMPUTED_VALUE"""),"")</f>
        <v/>
      </c>
      <c r="L8364" s="17" t="str">
        <f>IFERROR(__xludf.DUMMYFUNCTION("""COMPUTED_VALUE"""),"")</f>
        <v/>
      </c>
      <c r="M8364" s="17" t="str">
        <f>IFERROR(__xludf.DUMMYFUNCTION("""COMPUTED_VALUE"""),"")</f>
        <v/>
      </c>
      <c r="N8364" s="17" t="str">
        <f>IFERROR(__xludf.DUMMYFUNCTION("""COMPUTED_VALUE"""),"")</f>
        <v/>
      </c>
      <c r="O8364" s="17" t="str">
        <f>IFERROR(__xludf.DUMMYFUNCTION("""COMPUTED_VALUE"""),"")</f>
        <v/>
      </c>
      <c r="P8364" s="17" t="str">
        <f>IFERROR(__xludf.DUMMYFUNCTION("""COMPUTED_VALUE"""),"")</f>
        <v/>
      </c>
      <c r="Q8364" s="17" t="str">
        <f>IFERROR(__xludf.DUMMYFUNCTION("""COMPUTED_VALUE"""),"")</f>
        <v/>
      </c>
      <c r="R8364" s="17" t="str">
        <f>IFERROR(__xludf.DUMMYFUNCTION("""COMPUTED_VALUE"""),"")</f>
        <v/>
      </c>
    </row>
    <row r="8365">
      <c r="A8365" s="15">
        <f>IFERROR(__xludf.DUMMYFUNCTION("""COMPUTED_VALUE"""),45238.0)</f>
        <v>45238</v>
      </c>
      <c r="B8365" s="16" t="str">
        <f>IFERROR(__xludf.DUMMYFUNCTION("""COMPUTED_VALUE"""),"JOSE ALFREDO RAMIREZ VERGARA ")</f>
        <v>JOSE ALFREDO RAMIREZ VERGARA </v>
      </c>
      <c r="C8365" s="15" t="str">
        <f>IFERROR(__xludf.DUMMYFUNCTION("""COMPUTED_VALUE"""),"BOGOTÁ")</f>
        <v>BOGOTÁ</v>
      </c>
      <c r="D8365" s="15" t="str">
        <f>IFERROR(__xludf.DUMMYFUNCTION("""COMPUTED_VALUE"""),"MEDELLÍN")</f>
        <v>MEDELLÍN</v>
      </c>
      <c r="E8365" s="15" t="str">
        <f>IFERROR(__xludf.DUMMYFUNCTION("""COMPUTED_VALUE"""),"AREPAS LA MARY")</f>
        <v>AREPAS LA MARY</v>
      </c>
      <c r="F8365" s="17" t="str">
        <f>IFERROR(__xludf.DUMMYFUNCTION("""COMPUTED_VALUE"""),"Carrera 22 #137-79 APTO 303 / BOGOTA")</f>
        <v>Carrera 22 #137-79 APTO 303 / BOGOTA</v>
      </c>
      <c r="G8365" s="15" t="str">
        <f>IFERROR(__xludf.DUMMYFUNCTION("""COMPUTED_VALUE"""),"SOFIA PEREZ")</f>
        <v>SOFIA PEREZ</v>
      </c>
      <c r="H8365" s="16">
        <f>IFERROR(__xludf.DUMMYFUNCTION("""COMPUTED_VALUE"""),17016.0)</f>
        <v>17016</v>
      </c>
      <c r="I8365" s="18">
        <f>IFERROR(__xludf.DUMMYFUNCTION("""COMPUTED_VALUE"""),89.0)</f>
        <v>89</v>
      </c>
      <c r="J8365" s="18">
        <f>IFERROR(__xludf.DUMMYFUNCTION("""COMPUTED_VALUE"""),1.0)</f>
        <v>1</v>
      </c>
      <c r="K8365" s="18">
        <f>IFERROR(__xludf.DUMMYFUNCTION("""COMPUTED_VALUE"""),10.0)</f>
        <v>10</v>
      </c>
      <c r="L8365" s="17">
        <f>IFERROR(__xludf.DUMMYFUNCTION("""COMPUTED_VALUE"""),3.214916786E9)</f>
        <v>3214916786</v>
      </c>
      <c r="M8365" s="17"/>
      <c r="N8365" s="17"/>
      <c r="O8365" s="17"/>
      <c r="P8365" s="17" t="b">
        <f>IFERROR(__xludf.DUMMYFUNCTION("""COMPUTED_VALUE"""),FALSE)</f>
        <v>0</v>
      </c>
      <c r="Q8365" s="20" t="str">
        <f>IFERROR(__xludf.DUMMYFUNCTION("""COMPUTED_VALUE"""),"")</f>
        <v/>
      </c>
      <c r="R8365" s="21" t="str">
        <f>IFERROR(__xludf.DUMMYFUNCTION("""COMPUTED_VALUE"""),"https://drive.google.com/file/d/1DimderjnXfYLHoRTy3CdT5es6vC4Hi2T/view?usp=drivesdk")</f>
        <v>https://drive.google.com/file/d/1DimderjnXfYLHoRTy3CdT5es6vC4Hi2T/view?usp=drivesdk</v>
      </c>
    </row>
    <row r="8366">
      <c r="A8366" s="15">
        <f>IFERROR(__xludf.DUMMYFUNCTION("""COMPUTED_VALUE"""),45238.0)</f>
        <v>45238</v>
      </c>
      <c r="B8366" s="16" t="str">
        <f>IFERROR(__xludf.DUMMYFUNCTION("""COMPUTED_VALUE"""),"JOSE ALFREDO RAMIREZ VERGARA ")</f>
        <v>JOSE ALFREDO RAMIREZ VERGARA </v>
      </c>
      <c r="C8366" s="15" t="str">
        <f>IFERROR(__xludf.DUMMYFUNCTION("""COMPUTED_VALUE"""),"BOGOTÁ")</f>
        <v>BOGOTÁ</v>
      </c>
      <c r="D8366" s="15" t="str">
        <f>IFERROR(__xludf.DUMMYFUNCTION("""COMPUTED_VALUE"""),"MEDELLÍN")</f>
        <v>MEDELLÍN</v>
      </c>
      <c r="E8366" s="15" t="str">
        <f>IFERROR(__xludf.DUMMYFUNCTION("""COMPUTED_VALUE"""),"AREPAS LA MARY")</f>
        <v>AREPAS LA MARY</v>
      </c>
      <c r="F8366" s="17" t="str">
        <f>IFERROR(__xludf.DUMMYFUNCTION("""COMPUTED_VALUE"""),"Cra 17a # 105-43 / BOGOTA")</f>
        <v>Cra 17a # 105-43 / BOGOTA</v>
      </c>
      <c r="G8366" s="15" t="str">
        <f>IFERROR(__xludf.DUMMYFUNCTION("""COMPUTED_VALUE"""),"LINA TORRES")</f>
        <v>LINA TORRES</v>
      </c>
      <c r="H8366" s="16">
        <f>IFERROR(__xludf.DUMMYFUNCTION("""COMPUTED_VALUE"""),17017.0)</f>
        <v>17017</v>
      </c>
      <c r="I8366" s="18">
        <f>IFERROR(__xludf.DUMMYFUNCTION("""COMPUTED_VALUE"""),89.0)</f>
        <v>89</v>
      </c>
      <c r="J8366" s="18">
        <f>IFERROR(__xludf.DUMMYFUNCTION("""COMPUTED_VALUE"""),1.0)</f>
        <v>1</v>
      </c>
      <c r="K8366" s="18">
        <f>IFERROR(__xludf.DUMMYFUNCTION("""COMPUTED_VALUE"""),10.0)</f>
        <v>10</v>
      </c>
      <c r="L8366" s="17">
        <f>IFERROR(__xludf.DUMMYFUNCTION("""COMPUTED_VALUE"""),3.004437378E9)</f>
        <v>3004437378</v>
      </c>
      <c r="M8366" s="17"/>
      <c r="N8366" s="17"/>
      <c r="O8366" s="17"/>
      <c r="P8366" s="17" t="b">
        <f>IFERROR(__xludf.DUMMYFUNCTION("""COMPUTED_VALUE"""),FALSE)</f>
        <v>0</v>
      </c>
      <c r="Q8366" s="20" t="str">
        <f>IFERROR(__xludf.DUMMYFUNCTION("""COMPUTED_VALUE"""),"")</f>
        <v/>
      </c>
      <c r="R8366" s="22" t="str">
        <f>IFERROR(__xludf.DUMMYFUNCTION("""COMPUTED_VALUE"""),"")</f>
        <v/>
      </c>
    </row>
    <row r="8367">
      <c r="A8367" s="15">
        <f>IFERROR(__xludf.DUMMYFUNCTION("""COMPUTED_VALUE"""),45238.0)</f>
        <v>45238</v>
      </c>
      <c r="B8367" s="16" t="str">
        <f>IFERROR(__xludf.DUMMYFUNCTION("""COMPUTED_VALUE"""),"JOSE ALFREDO RAMIREZ VERGARA ")</f>
        <v>JOSE ALFREDO RAMIREZ VERGARA </v>
      </c>
      <c r="C8367" s="15" t="str">
        <f>IFERROR(__xludf.DUMMYFUNCTION("""COMPUTED_VALUE"""),"BOGOTÁ")</f>
        <v>BOGOTÁ</v>
      </c>
      <c r="D8367" s="15" t="str">
        <f>IFERROR(__xludf.DUMMYFUNCTION("""COMPUTED_VALUE"""),"MEDELLÍN")</f>
        <v>MEDELLÍN</v>
      </c>
      <c r="E8367" s="15" t="str">
        <f>IFERROR(__xludf.DUMMYFUNCTION("""COMPUTED_VALUE"""),"Baby Chef")</f>
        <v>Baby Chef</v>
      </c>
      <c r="F8367" s="17" t="str">
        <f>IFERROR(__xludf.DUMMYFUNCTION("""COMPUTED_VALUE"""),"Carrera 45 # 56-07 apto 404 barrio Nicolás de federman  Bogota  Localidad teusaquillo / . / .")</f>
        <v>Carrera 45 # 56-07 apto 404 barrio Nicolás de federman  Bogota  Localidad teusaquillo / . / .</v>
      </c>
      <c r="G8367" s="15" t="str">
        <f>IFERROR(__xludf.DUMMYFUNCTION("""COMPUTED_VALUE"""),"Jennifer yepes cortes")</f>
        <v>Jennifer yepes cortes</v>
      </c>
      <c r="H8367" s="16">
        <f>IFERROR(__xludf.DUMMYFUNCTION("""COMPUTED_VALUE"""),17031.0)</f>
        <v>17031</v>
      </c>
      <c r="I8367" s="18">
        <f>IFERROR(__xludf.DUMMYFUNCTION("""COMPUTED_VALUE"""),9.0)</f>
        <v>9</v>
      </c>
      <c r="J8367" s="18">
        <f>IFERROR(__xludf.DUMMYFUNCTION("""COMPUTED_VALUE"""),24.0)</f>
        <v>24</v>
      </c>
      <c r="K8367" s="18">
        <f>IFERROR(__xludf.DUMMYFUNCTION("""COMPUTED_VALUE"""),28.0)</f>
        <v>28</v>
      </c>
      <c r="L8367" s="17">
        <f>IFERROR(__xludf.DUMMYFUNCTION("""COMPUTED_VALUE"""),3.043771585E9)</f>
        <v>3043771585</v>
      </c>
      <c r="M8367" s="17"/>
      <c r="N8367" s="17"/>
      <c r="O8367" s="17"/>
      <c r="P8367" s="17" t="b">
        <f>IFERROR(__xludf.DUMMYFUNCTION("""COMPUTED_VALUE"""),FALSE)</f>
        <v>0</v>
      </c>
      <c r="Q8367" s="20" t="str">
        <f>IFERROR(__xludf.DUMMYFUNCTION("""COMPUTED_VALUE"""),"")</f>
        <v/>
      </c>
      <c r="R8367" s="22" t="str">
        <f>IFERROR(__xludf.DUMMYFUNCTION("""COMPUTED_VALUE"""),"")</f>
        <v/>
      </c>
    </row>
    <row r="8368">
      <c r="A8368" s="15">
        <f>IFERROR(__xludf.DUMMYFUNCTION("""COMPUTED_VALUE"""),45238.0)</f>
        <v>45238</v>
      </c>
      <c r="B8368" s="16" t="str">
        <f>IFERROR(__xludf.DUMMYFUNCTION("""COMPUTED_VALUE"""),"JOSE ALFREDO RAMIREZ VERGARA ")</f>
        <v>JOSE ALFREDO RAMIREZ VERGARA </v>
      </c>
      <c r="C8368" s="15" t="str">
        <f>IFERROR(__xludf.DUMMYFUNCTION("""COMPUTED_VALUE"""),"BOGOTÁ")</f>
        <v>BOGOTÁ</v>
      </c>
      <c r="D8368" s="15" t="str">
        <f>IFERROR(__xludf.DUMMYFUNCTION("""COMPUTED_VALUE"""),"MEDELLÍN")</f>
        <v>MEDELLÍN</v>
      </c>
      <c r="E8368" s="15" t="str">
        <f>IFERROR(__xludf.DUMMYFUNCTION("""COMPUTED_VALUE"""),"Baby Chef")</f>
        <v>Baby Chef</v>
      </c>
      <c r="F8368" s="17" t="str">
        <f>IFERROR(__xludf.DUMMYFUNCTION("""COMPUTED_VALUE"""),"CL 77 B # 119 - 61 TO 1 APTO 901 BARRIO GRAN GRANADA / . / .")</f>
        <v>CL 77 B # 119 - 61 TO 1 APTO 901 BARRIO GRAN GRANADA / . / .</v>
      </c>
      <c r="G8368" s="15" t="str">
        <f>IFERROR(__xludf.DUMMYFUNCTION("""COMPUTED_VALUE"""),"Maricel turriago Turriago")</f>
        <v>Maricel turriago Turriago</v>
      </c>
      <c r="H8368" s="16">
        <f>IFERROR(__xludf.DUMMYFUNCTION("""COMPUTED_VALUE"""),17034.0)</f>
        <v>17034</v>
      </c>
      <c r="I8368" s="18">
        <f>IFERROR(__xludf.DUMMYFUNCTION("""COMPUTED_VALUE"""),15.0)</f>
        <v>15</v>
      </c>
      <c r="J8368" s="18">
        <f>IFERROR(__xludf.DUMMYFUNCTION("""COMPUTED_VALUE"""),21.0)</f>
        <v>21</v>
      </c>
      <c r="K8368" s="18">
        <f>IFERROR(__xludf.DUMMYFUNCTION("""COMPUTED_VALUE"""),44.0)</f>
        <v>44</v>
      </c>
      <c r="L8368" s="17">
        <f>IFERROR(__xludf.DUMMYFUNCTION("""COMPUTED_VALUE"""),3.143360996E9)</f>
        <v>3143360996</v>
      </c>
      <c r="M8368" s="17"/>
      <c r="N8368" s="17"/>
      <c r="O8368" s="17"/>
      <c r="P8368" s="17" t="b">
        <f>IFERROR(__xludf.DUMMYFUNCTION("""COMPUTED_VALUE"""),FALSE)</f>
        <v>0</v>
      </c>
      <c r="Q8368" s="20" t="str">
        <f>IFERROR(__xludf.DUMMYFUNCTION("""COMPUTED_VALUE"""),"")</f>
        <v/>
      </c>
      <c r="R8368" s="21" t="str">
        <f>IFERROR(__xludf.DUMMYFUNCTION("""COMPUTED_VALUE"""),"https://drive.google.com/file/d/1M6Z0p3OjwJRtwMrGeJXXBkGQGWaf3H0d/view?usp=drivesdk")</f>
        <v>https://drive.google.com/file/d/1M6Z0p3OjwJRtwMrGeJXXBkGQGWaf3H0d/view?usp=drivesdk</v>
      </c>
    </row>
    <row r="8369">
      <c r="A8369" s="15">
        <f>IFERROR(__xludf.DUMMYFUNCTION("""COMPUTED_VALUE"""),45238.0)</f>
        <v>45238</v>
      </c>
      <c r="B8369" s="16" t="str">
        <f>IFERROR(__xludf.DUMMYFUNCTION("""COMPUTED_VALUE"""),"JOSE ALFREDO RAMIREZ VERGARA ")</f>
        <v>JOSE ALFREDO RAMIREZ VERGARA </v>
      </c>
      <c r="C8369" s="15" t="str">
        <f>IFERROR(__xludf.DUMMYFUNCTION("""COMPUTED_VALUE"""),"BOGOTÁ")</f>
        <v>BOGOTÁ</v>
      </c>
      <c r="D8369" s="15" t="str">
        <f>IFERROR(__xludf.DUMMYFUNCTION("""COMPUTED_VALUE"""),"MEDELLÍN")</f>
        <v>MEDELLÍN</v>
      </c>
      <c r="E8369" s="15" t="str">
        <f>IFERROR(__xludf.DUMMYFUNCTION("""COMPUTED_VALUE"""),"Baby Chef")</f>
        <v>Baby Chef</v>
      </c>
      <c r="F8369" s="17" t="str">
        <f>IFERROR(__xludf.DUMMYFUNCTION("""COMPUTED_VALUE"""),"Dirección:  Av cra 50 33 55 sur Barrio Santa Rita Ciudad: Bogota / . / .")</f>
        <v>Dirección:  Av cra 50 33 55 sur Barrio Santa Rita Ciudad: Bogota / . / .</v>
      </c>
      <c r="G8369" s="15" t="str">
        <f>IFERROR(__xludf.DUMMYFUNCTION("""COMPUTED_VALUE"""),"Karol Barrera")</f>
        <v>Karol Barrera</v>
      </c>
      <c r="H8369" s="16">
        <f>IFERROR(__xludf.DUMMYFUNCTION("""COMPUTED_VALUE"""),17038.0)</f>
        <v>17038</v>
      </c>
      <c r="I8369" s="18">
        <f>IFERROR(__xludf.DUMMYFUNCTION("""COMPUTED_VALUE"""),8.0)</f>
        <v>8</v>
      </c>
      <c r="J8369" s="18">
        <f>IFERROR(__xludf.DUMMYFUNCTION("""COMPUTED_VALUE"""),21.0)</f>
        <v>21</v>
      </c>
      <c r="K8369" s="18">
        <f>IFERROR(__xludf.DUMMYFUNCTION("""COMPUTED_VALUE"""),36.0)</f>
        <v>36</v>
      </c>
      <c r="L8369" s="17">
        <f>IFERROR(__xludf.DUMMYFUNCTION("""COMPUTED_VALUE"""),3.212913422E9)</f>
        <v>3212913422</v>
      </c>
      <c r="M8369" s="17"/>
      <c r="N8369" s="17"/>
      <c r="O8369" s="17"/>
      <c r="P8369" s="17" t="b">
        <f>IFERROR(__xludf.DUMMYFUNCTION("""COMPUTED_VALUE"""),FALSE)</f>
        <v>0</v>
      </c>
      <c r="Q8369" s="20" t="str">
        <f>IFERROR(__xludf.DUMMYFUNCTION("""COMPUTED_VALUE"""),"")</f>
        <v/>
      </c>
      <c r="R8369" s="21" t="str">
        <f>IFERROR(__xludf.DUMMYFUNCTION("""COMPUTED_VALUE"""),"https://drive.google.com/file/d/1z4oMb0HmzdHM1m0Q5Ogiy9K-f_GNh-dB/view?usp=drivesdk")</f>
        <v>https://drive.google.com/file/d/1z4oMb0HmzdHM1m0Q5Ogiy9K-f_GNh-dB/view?usp=drivesdk</v>
      </c>
    </row>
    <row r="8370">
      <c r="A8370" s="15">
        <f>IFERROR(__xludf.DUMMYFUNCTION("""COMPUTED_VALUE"""),45238.0)</f>
        <v>45238</v>
      </c>
      <c r="B8370" s="16" t="str">
        <f>IFERROR(__xludf.DUMMYFUNCTION("""COMPUTED_VALUE"""),"JOSE ALFREDO RAMIREZ VERGARA ")</f>
        <v>JOSE ALFREDO RAMIREZ VERGARA </v>
      </c>
      <c r="C8370" s="15" t="str">
        <f>IFERROR(__xludf.DUMMYFUNCTION("""COMPUTED_VALUE"""),"BOGOTÁ")</f>
        <v>BOGOTÁ</v>
      </c>
      <c r="D8370" s="15" t="str">
        <f>IFERROR(__xludf.DUMMYFUNCTION("""COMPUTED_VALUE"""),"MEDELLÍN")</f>
        <v>MEDELLÍN</v>
      </c>
      <c r="E8370" s="15" t="str">
        <f>IFERROR(__xludf.DUMMYFUNCTION("""COMPUTED_VALUE"""),"Carnicos Fricar")</f>
        <v>Carnicos Fricar</v>
      </c>
      <c r="F8370" s="17" t="str">
        <f>IFERROR(__xludf.DUMMYFUNCTION("""COMPUTED_VALUE"""),"CALLE 126 # 46 - 25 EDIFICIO TORREARTE APTO 406 / EDIFICIO TORREARTE APTO 406 / BOGOTA")</f>
        <v>CALLE 126 # 46 - 25 EDIFICIO TORREARTE APTO 406 / EDIFICIO TORREARTE APTO 406 / BOGOTA</v>
      </c>
      <c r="G8370" s="15" t="str">
        <f>IFERROR(__xludf.DUMMYFUNCTION("""COMPUTED_VALUE"""),"MAIRA ALEJANDRA SUAREZ")</f>
        <v>MAIRA ALEJANDRA SUAREZ</v>
      </c>
      <c r="H8370" s="16">
        <f>IFERROR(__xludf.DUMMYFUNCTION("""COMPUTED_VALUE"""),16999.0)</f>
        <v>16999</v>
      </c>
      <c r="I8370" s="18">
        <f>IFERROR(__xludf.DUMMYFUNCTION("""COMPUTED_VALUE"""),6.0)</f>
        <v>6</v>
      </c>
      <c r="J8370" s="18">
        <f>IFERROR(__xludf.DUMMYFUNCTION("""COMPUTED_VALUE"""),20.0)</f>
        <v>20</v>
      </c>
      <c r="K8370" s="18">
        <f>IFERROR(__xludf.DUMMYFUNCTION("""COMPUTED_VALUE"""),40.0)</f>
        <v>40</v>
      </c>
      <c r="L8370" s="17">
        <f>IFERROR(__xludf.DUMMYFUNCTION("""COMPUTED_VALUE"""),3.188018474E9)</f>
        <v>3188018474</v>
      </c>
      <c r="M8370" s="17"/>
      <c r="N8370" s="17"/>
      <c r="O8370" s="17"/>
      <c r="P8370" s="17" t="b">
        <f>IFERROR(__xludf.DUMMYFUNCTION("""COMPUTED_VALUE"""),FALSE)</f>
        <v>0</v>
      </c>
      <c r="Q8370" s="20" t="str">
        <f>IFERROR(__xludf.DUMMYFUNCTION("""COMPUTED_VALUE"""),"")</f>
        <v/>
      </c>
      <c r="R8370" s="22" t="str">
        <f>IFERROR(__xludf.DUMMYFUNCTION("""COMPUTED_VALUE"""),"")</f>
        <v/>
      </c>
    </row>
    <row r="8371">
      <c r="A8371" s="15">
        <f>IFERROR(__xludf.DUMMYFUNCTION("""COMPUTED_VALUE"""),45238.0)</f>
        <v>45238</v>
      </c>
      <c r="B8371" s="16" t="str">
        <f>IFERROR(__xludf.DUMMYFUNCTION("""COMPUTED_VALUE"""),"JOSE ALFREDO RAMIREZ VERGARA ")</f>
        <v>JOSE ALFREDO RAMIREZ VERGARA </v>
      </c>
      <c r="C8371" s="15" t="str">
        <f>IFERROR(__xludf.DUMMYFUNCTION("""COMPUTED_VALUE"""),"MANIZALES")</f>
        <v>MANIZALES</v>
      </c>
      <c r="D8371" s="15" t="str">
        <f>IFERROR(__xludf.DUMMYFUNCTION("""COMPUTED_VALUE"""),"MEDELLÍN")</f>
        <v>MEDELLÍN</v>
      </c>
      <c r="E8371" s="15" t="str">
        <f>IFERROR(__xludf.DUMMYFUNCTION("""COMPUTED_VALUE"""),"Todo Bufala")</f>
        <v>Todo Bufala</v>
      </c>
      <c r="F8371" s="17" t="str">
        <f>IFERROR(__xludf.DUMMYFUNCTION("""COMPUTED_VALUE"""),"Calle 66 #23B - 211 / Edifico calle larga, local 5c")</f>
        <v>Calle 66 #23B - 211 / Edifico calle larga, local 5c</v>
      </c>
      <c r="G8371" s="15" t="str">
        <f>IFERROR(__xludf.DUMMYFUNCTION("""COMPUTED_VALUE"""),"Sebastian Perez Pineda")</f>
        <v>Sebastian Perez Pineda</v>
      </c>
      <c r="H8371" s="16">
        <f>IFERROR(__xludf.DUMMYFUNCTION("""COMPUTED_VALUE"""),17046.0)</f>
        <v>17046</v>
      </c>
      <c r="I8371" s="17"/>
      <c r="J8371" s="17"/>
      <c r="K8371" s="17"/>
      <c r="L8371" s="17">
        <f>IFERROR(__xludf.DUMMYFUNCTION("""COMPUTED_VALUE"""),3.106974621E9)</f>
        <v>3106974621</v>
      </c>
      <c r="M8371" s="17"/>
      <c r="N8371" s="17"/>
      <c r="O8371" s="17"/>
      <c r="P8371" s="17" t="b">
        <f>IFERROR(__xludf.DUMMYFUNCTION("""COMPUTED_VALUE"""),FALSE)</f>
        <v>0</v>
      </c>
      <c r="Q8371" s="20" t="str">
        <f>IFERROR(__xludf.DUMMYFUNCTION("""COMPUTED_VALUE"""),"")</f>
        <v/>
      </c>
      <c r="R8371" s="21" t="str">
        <f>IFERROR(__xludf.DUMMYFUNCTION("""COMPUTED_VALUE"""),"https://drive.google.com/file/d/1mPE2ZBQkTPbfEjO8vhXteZV_cyX-8DB_/view?usp=drivesdk")</f>
        <v>https://drive.google.com/file/d/1mPE2ZBQkTPbfEjO8vhXteZV_cyX-8DB_/view?usp=drivesdk</v>
      </c>
    </row>
    <row r="8372">
      <c r="A8372" s="17" t="str">
        <f>IFERROR(__xludf.DUMMYFUNCTION("""COMPUTED_VALUE"""),"")</f>
        <v/>
      </c>
      <c r="B8372" s="17" t="str">
        <f>IFERROR(__xludf.DUMMYFUNCTION("""COMPUTED_VALUE"""),"")</f>
        <v/>
      </c>
      <c r="C8372" s="17" t="str">
        <f>IFERROR(__xludf.DUMMYFUNCTION("""COMPUTED_VALUE"""),"")</f>
        <v/>
      </c>
      <c r="D8372" s="17" t="str">
        <f>IFERROR(__xludf.DUMMYFUNCTION("""COMPUTED_VALUE"""),"")</f>
        <v/>
      </c>
      <c r="E8372" s="17" t="str">
        <f>IFERROR(__xludf.DUMMYFUNCTION("""COMPUTED_VALUE"""),"")</f>
        <v/>
      </c>
      <c r="F8372" s="17" t="str">
        <f>IFERROR(__xludf.DUMMYFUNCTION("""COMPUTED_VALUE"""),"")</f>
        <v/>
      </c>
      <c r="G8372" s="17" t="str">
        <f>IFERROR(__xludf.DUMMYFUNCTION("""COMPUTED_VALUE"""),"")</f>
        <v/>
      </c>
      <c r="H8372" s="17" t="str">
        <f>IFERROR(__xludf.DUMMYFUNCTION("""COMPUTED_VALUE"""),"")</f>
        <v/>
      </c>
      <c r="I8372" s="17" t="str">
        <f>IFERROR(__xludf.DUMMYFUNCTION("""COMPUTED_VALUE"""),"")</f>
        <v/>
      </c>
      <c r="J8372" s="17" t="str">
        <f>IFERROR(__xludf.DUMMYFUNCTION("""COMPUTED_VALUE"""),"")</f>
        <v/>
      </c>
      <c r="K8372" s="17" t="str">
        <f>IFERROR(__xludf.DUMMYFUNCTION("""COMPUTED_VALUE"""),"")</f>
        <v/>
      </c>
      <c r="L8372" s="17" t="str">
        <f>IFERROR(__xludf.DUMMYFUNCTION("""COMPUTED_VALUE"""),"")</f>
        <v/>
      </c>
      <c r="M8372" s="17" t="str">
        <f>IFERROR(__xludf.DUMMYFUNCTION("""COMPUTED_VALUE"""),"")</f>
        <v/>
      </c>
      <c r="N8372" s="17" t="str">
        <f>IFERROR(__xludf.DUMMYFUNCTION("""COMPUTED_VALUE"""),"")</f>
        <v/>
      </c>
      <c r="O8372" s="17" t="str">
        <f>IFERROR(__xludf.DUMMYFUNCTION("""COMPUTED_VALUE"""),"")</f>
        <v/>
      </c>
      <c r="P8372" s="17" t="str">
        <f>IFERROR(__xludf.DUMMYFUNCTION("""COMPUTED_VALUE"""),"")</f>
        <v/>
      </c>
      <c r="Q8372" s="17" t="str">
        <f>IFERROR(__xludf.DUMMYFUNCTION("""COMPUTED_VALUE"""),"")</f>
        <v/>
      </c>
      <c r="R8372" s="17" t="str">
        <f>IFERROR(__xludf.DUMMYFUNCTION("""COMPUTED_VALUE"""),"")</f>
        <v/>
      </c>
    </row>
    <row r="8373">
      <c r="A8373" s="15">
        <f>IFERROR(__xludf.DUMMYFUNCTION("""COMPUTED_VALUE"""),45238.0)</f>
        <v>45238</v>
      </c>
      <c r="B8373" s="16" t="str">
        <f>IFERROR(__xludf.DUMMYFUNCTION("""COMPUTED_VALUE"""),"Julián Alexis salazar Anaya ")</f>
        <v>Julián Alexis salazar Anaya </v>
      </c>
      <c r="C8373" s="15" t="str">
        <f>IFERROR(__xludf.DUMMYFUNCTION("""COMPUTED_VALUE"""),"CHÍA")</f>
        <v>CHÍA</v>
      </c>
      <c r="D8373" s="15" t="str">
        <f>IFERROR(__xludf.DUMMYFUNCTION("""COMPUTED_VALUE"""),"MEDELLÍN")</f>
        <v>MEDELLÍN</v>
      </c>
      <c r="E8373" s="15" t="str">
        <f>IFERROR(__xludf.DUMMYFUNCTION("""COMPUTED_VALUE"""),"Baby Chef")</f>
        <v>Baby Chef</v>
      </c>
      <c r="F8373" s="17" t="str">
        <f>IFERROR(__xludf.DUMMYFUNCTION("""COMPUTED_VALUE"""),"Dirección:  Vereda Tiquiza Sector Chato Parrilla Conjunto Sierraluna Casa 5   Barrio Vereda Tiquiza Ciudad: Chía, Cundinamarca"" / . / .")</f>
        <v>Dirección:  Vereda Tiquiza Sector Chato Parrilla Conjunto Sierraluna Casa 5   Barrio Vereda Tiquiza Ciudad: Chía, Cundinamarca" / . / .</v>
      </c>
      <c r="G8373" s="15" t="str">
        <f>IFERROR(__xludf.DUMMYFUNCTION("""COMPUTED_VALUE"""),"Dary Helena Gómez")</f>
        <v>Dary Helena Gómez</v>
      </c>
      <c r="H8373" s="16">
        <f>IFERROR(__xludf.DUMMYFUNCTION("""COMPUTED_VALUE"""),17037.0)</f>
        <v>17037</v>
      </c>
      <c r="I8373" s="18">
        <f>IFERROR(__xludf.DUMMYFUNCTION("""COMPUTED_VALUE"""),8.0)</f>
        <v>8</v>
      </c>
      <c r="J8373" s="18">
        <f>IFERROR(__xludf.DUMMYFUNCTION("""COMPUTED_VALUE"""),21.0)</f>
        <v>21</v>
      </c>
      <c r="K8373" s="18">
        <f>IFERROR(__xludf.DUMMYFUNCTION("""COMPUTED_VALUE"""),24.0)</f>
        <v>24</v>
      </c>
      <c r="L8373" s="17">
        <f>IFERROR(__xludf.DUMMYFUNCTION("""COMPUTED_VALUE"""),3.044525777E9)</f>
        <v>3044525777</v>
      </c>
      <c r="M8373" s="17"/>
      <c r="N8373" s="17"/>
      <c r="O8373" s="17"/>
      <c r="P8373" s="17" t="b">
        <f>IFERROR(__xludf.DUMMYFUNCTION("""COMPUTED_VALUE"""),FALSE)</f>
        <v>0</v>
      </c>
      <c r="Q8373" s="20" t="str">
        <f>IFERROR(__xludf.DUMMYFUNCTION("""COMPUTED_VALUE"""),"")</f>
        <v/>
      </c>
      <c r="R8373" s="21" t="str">
        <f>IFERROR(__xludf.DUMMYFUNCTION("""COMPUTED_VALUE"""),"https://drive.google.com/file/d/1S5D4Ui8Q962mOuy3a9uVfgaHI0Xhzt-G/view?usp=drivesdk")</f>
        <v>https://drive.google.com/file/d/1S5D4Ui8Q962mOuy3a9uVfgaHI0Xhzt-G/view?usp=drivesdk</v>
      </c>
    </row>
    <row r="8374">
      <c r="A8374" s="17" t="str">
        <f>IFERROR(__xludf.DUMMYFUNCTION("""COMPUTED_VALUE"""),"")</f>
        <v/>
      </c>
      <c r="B8374" s="17" t="str">
        <f>IFERROR(__xludf.DUMMYFUNCTION("""COMPUTED_VALUE"""),"")</f>
        <v/>
      </c>
      <c r="C8374" s="17" t="str">
        <f>IFERROR(__xludf.DUMMYFUNCTION("""COMPUTED_VALUE"""),"")</f>
        <v/>
      </c>
      <c r="D8374" s="17" t="str">
        <f>IFERROR(__xludf.DUMMYFUNCTION("""COMPUTED_VALUE"""),"")</f>
        <v/>
      </c>
      <c r="E8374" s="17" t="str">
        <f>IFERROR(__xludf.DUMMYFUNCTION("""COMPUTED_VALUE"""),"")</f>
        <v/>
      </c>
      <c r="F8374" s="17" t="str">
        <f>IFERROR(__xludf.DUMMYFUNCTION("""COMPUTED_VALUE"""),"")</f>
        <v/>
      </c>
      <c r="G8374" s="17" t="str">
        <f>IFERROR(__xludf.DUMMYFUNCTION("""COMPUTED_VALUE"""),"")</f>
        <v/>
      </c>
      <c r="H8374" s="17" t="str">
        <f>IFERROR(__xludf.DUMMYFUNCTION("""COMPUTED_VALUE"""),"")</f>
        <v/>
      </c>
      <c r="I8374" s="17" t="str">
        <f>IFERROR(__xludf.DUMMYFUNCTION("""COMPUTED_VALUE"""),"")</f>
        <v/>
      </c>
      <c r="J8374" s="17" t="str">
        <f>IFERROR(__xludf.DUMMYFUNCTION("""COMPUTED_VALUE"""),"")</f>
        <v/>
      </c>
      <c r="K8374" s="17" t="str">
        <f>IFERROR(__xludf.DUMMYFUNCTION("""COMPUTED_VALUE"""),"")</f>
        <v/>
      </c>
      <c r="L8374" s="17" t="str">
        <f>IFERROR(__xludf.DUMMYFUNCTION("""COMPUTED_VALUE"""),"")</f>
        <v/>
      </c>
      <c r="M8374" s="17" t="str">
        <f>IFERROR(__xludf.DUMMYFUNCTION("""COMPUTED_VALUE"""),"")</f>
        <v/>
      </c>
      <c r="N8374" s="17" t="str">
        <f>IFERROR(__xludf.DUMMYFUNCTION("""COMPUTED_VALUE"""),"")</f>
        <v/>
      </c>
      <c r="O8374" s="17" t="str">
        <f>IFERROR(__xludf.DUMMYFUNCTION("""COMPUTED_VALUE"""),"")</f>
        <v/>
      </c>
      <c r="P8374" s="17" t="str">
        <f>IFERROR(__xludf.DUMMYFUNCTION("""COMPUTED_VALUE"""),"")</f>
        <v/>
      </c>
      <c r="Q8374" s="17" t="str">
        <f>IFERROR(__xludf.DUMMYFUNCTION("""COMPUTED_VALUE"""),"")</f>
        <v/>
      </c>
      <c r="R8374" s="17" t="str">
        <f>IFERROR(__xludf.DUMMYFUNCTION("""COMPUTED_VALUE"""),"")</f>
        <v/>
      </c>
    </row>
    <row r="8375">
      <c r="A8375" s="15">
        <f>IFERROR(__xludf.DUMMYFUNCTION("""COMPUTED_VALUE"""),45238.0)</f>
        <v>45238</v>
      </c>
      <c r="B8375" s="16" t="str">
        <f>IFERROR(__xludf.DUMMYFUNCTION("""COMPUTED_VALUE"""),"Santiago Garces Restrepo")</f>
        <v>Santiago Garces Restrepo</v>
      </c>
      <c r="C8375" s="15" t="str">
        <f>IFERROR(__xludf.DUMMYFUNCTION("""COMPUTED_VALUE"""),"MEDELLÍN")</f>
        <v>MEDELLÍN</v>
      </c>
      <c r="D8375" s="15" t="str">
        <f>IFERROR(__xludf.DUMMYFUNCTION("""COMPUTED_VALUE"""),"BOGOTÁ")</f>
        <v>BOGOTÁ</v>
      </c>
      <c r="E8375" s="15" t="str">
        <f>IFERROR(__xludf.DUMMYFUNCTION("""COMPUTED_VALUE"""),"Asociacion Agropecuaria Juana Maria")</f>
        <v>Asociacion Agropecuaria Juana Maria</v>
      </c>
      <c r="F8375" s="17" t="str">
        <f>IFERROR(__xludf.DUMMYFUNCTION("""COMPUTED_VALUE"""),"Carrera 15 BA # 30D-44 / int 201")</f>
        <v>Carrera 15 BA # 30D-44 / int 201</v>
      </c>
      <c r="G8375" s="15" t="str">
        <f>IFERROR(__xludf.DUMMYFUNCTION("""COMPUTED_VALUE"""),"Daniela Bedoya Blandon")</f>
        <v>Daniela Bedoya Blandon</v>
      </c>
      <c r="H8375" s="16">
        <f>IFERROR(__xludf.DUMMYFUNCTION("""COMPUTED_VALUE"""),16986.0)</f>
        <v>16986</v>
      </c>
      <c r="I8375" s="17"/>
      <c r="J8375" s="17"/>
      <c r="K8375" s="17"/>
      <c r="L8375" s="17">
        <f>IFERROR(__xludf.DUMMYFUNCTION("""COMPUTED_VALUE"""),3.14672822E9)</f>
        <v>3146728220</v>
      </c>
      <c r="M8375" s="17"/>
      <c r="N8375" s="17"/>
      <c r="O8375" s="17"/>
      <c r="P8375" s="17" t="b">
        <f>IFERROR(__xludf.DUMMYFUNCTION("""COMPUTED_VALUE"""),FALSE)</f>
        <v>0</v>
      </c>
      <c r="Q8375" s="20" t="str">
        <f>IFERROR(__xludf.DUMMYFUNCTION("""COMPUTED_VALUE"""),"")</f>
        <v/>
      </c>
      <c r="R8375" s="21" t="str">
        <f>IFERROR(__xludf.DUMMYFUNCTION("""COMPUTED_VALUE"""),"https://drive.google.com/file/d/1iQ_xUtJWjlsK54f-qImB0RRidoRrAdWX/view?usp=drivesdk")</f>
        <v>https://drive.google.com/file/d/1iQ_xUtJWjlsK54f-qImB0RRidoRrAdWX/view?usp=drivesdk</v>
      </c>
    </row>
    <row r="8376">
      <c r="A8376" s="15">
        <f>IFERROR(__xludf.DUMMYFUNCTION("""COMPUTED_VALUE"""),45238.0)</f>
        <v>45238</v>
      </c>
      <c r="B8376" s="16" t="str">
        <f>IFERROR(__xludf.DUMMYFUNCTION("""COMPUTED_VALUE"""),"Santiago Garces Restrepo")</f>
        <v>Santiago Garces Restrepo</v>
      </c>
      <c r="C8376" s="15" t="str">
        <f>IFERROR(__xludf.DUMMYFUNCTION("""COMPUTED_VALUE"""),"MEDELLÍN")</f>
        <v>MEDELLÍN</v>
      </c>
      <c r="D8376" s="15" t="str">
        <f>IFERROR(__xludf.DUMMYFUNCTION("""COMPUTED_VALUE"""),"BOGOTÁ")</f>
        <v>BOGOTÁ</v>
      </c>
      <c r="E8376" s="15" t="str">
        <f>IFERROR(__xludf.DUMMYFUNCTION("""COMPUTED_VALUE"""),"Asociacion Agropecuaria Juana Maria")</f>
        <v>Asociacion Agropecuaria Juana Maria</v>
      </c>
      <c r="F8376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8376" s="15" t="str">
        <f>IFERROR(__xludf.DUMMYFUNCTION("""COMPUTED_VALUE"""),"Jennifer Sanchez Blandon")</f>
        <v>Jennifer Sanchez Blandon</v>
      </c>
      <c r="H8376" s="16">
        <f>IFERROR(__xludf.DUMMYFUNCTION("""COMPUTED_VALUE"""),16987.0)</f>
        <v>16987</v>
      </c>
      <c r="I8376" s="17"/>
      <c r="J8376" s="17"/>
      <c r="K8376" s="17"/>
      <c r="L8376" s="17">
        <f>IFERROR(__xludf.DUMMYFUNCTION("""COMPUTED_VALUE"""),3.016937674E9)</f>
        <v>3016937674</v>
      </c>
      <c r="M8376" s="17"/>
      <c r="N8376" s="17"/>
      <c r="O8376" s="17"/>
      <c r="P8376" s="17" t="b">
        <f>IFERROR(__xludf.DUMMYFUNCTION("""COMPUTED_VALUE"""),FALSE)</f>
        <v>0</v>
      </c>
      <c r="Q8376" s="20" t="str">
        <f>IFERROR(__xludf.DUMMYFUNCTION("""COMPUTED_VALUE"""),"")</f>
        <v/>
      </c>
      <c r="R8376" s="21" t="str">
        <f>IFERROR(__xludf.DUMMYFUNCTION("""COMPUTED_VALUE"""),"https://drive.google.com/file/d/1SiNA87LdHF0P_X3NoiO6MsdJhxGstMUP/view?usp=drivesdk")</f>
        <v>https://drive.google.com/file/d/1SiNA87LdHF0P_X3NoiO6MsdJhxGstMUP/view?usp=drivesdk</v>
      </c>
    </row>
    <row r="8377">
      <c r="A8377" s="15">
        <f>IFERROR(__xludf.DUMMYFUNCTION("""COMPUTED_VALUE"""),45238.0)</f>
        <v>45238</v>
      </c>
      <c r="B8377" s="16" t="str">
        <f>IFERROR(__xludf.DUMMYFUNCTION("""COMPUTED_VALUE"""),"Santiago Garces Restrepo")</f>
        <v>Santiago Garces Restrepo</v>
      </c>
      <c r="C8377" s="15" t="str">
        <f>IFERROR(__xludf.DUMMYFUNCTION("""COMPUTED_VALUE"""),"MEDELLÍN")</f>
        <v>MEDELLÍN</v>
      </c>
      <c r="D8377" s="15" t="str">
        <f>IFERROR(__xludf.DUMMYFUNCTION("""COMPUTED_VALUE"""),"BOGOTÁ")</f>
        <v>BOGOTÁ</v>
      </c>
      <c r="E8377" s="15" t="str">
        <f>IFERROR(__xludf.DUMMYFUNCTION("""COMPUTED_VALUE"""),"Instinto alimento vital")</f>
        <v>Instinto alimento vital</v>
      </c>
      <c r="F8377" s="17" t="str">
        <f>IFERROR(__xludf.DUMMYFUNCTION("""COMPUTED_VALUE"""),"CRA 44 # 26 27 / EL POBLADO")</f>
        <v>CRA 44 # 26 27 / EL POBLADO</v>
      </c>
      <c r="G8377" s="15" t="str">
        <f>IFERROR(__xludf.DUMMYFUNCTION("""COMPUTED_VALUE"""),"BODEGA VELOSITY MEDELLIN")</f>
        <v>BODEGA VELOSITY MEDELLIN</v>
      </c>
      <c r="H8377" s="16">
        <f>IFERROR(__xludf.DUMMYFUNCTION("""COMPUTED_VALUE"""),17008.0)</f>
        <v>17008</v>
      </c>
      <c r="I8377" s="17"/>
      <c r="J8377" s="17"/>
      <c r="K8377" s="17"/>
      <c r="L8377" s="17">
        <f>IFERROR(__xludf.DUMMYFUNCTION("""COMPUTED_VALUE"""),3.124683372E9)</f>
        <v>3124683372</v>
      </c>
      <c r="M8377" s="17"/>
      <c r="N8377" s="17"/>
      <c r="O8377" s="17"/>
      <c r="P8377" s="17" t="b">
        <f>IFERROR(__xludf.DUMMYFUNCTION("""COMPUTED_VALUE"""),FALSE)</f>
        <v>0</v>
      </c>
      <c r="Q8377" s="20" t="str">
        <f>IFERROR(__xludf.DUMMYFUNCTION("""COMPUTED_VALUE"""),"")</f>
        <v/>
      </c>
      <c r="R8377" s="21" t="str">
        <f>IFERROR(__xludf.DUMMYFUNCTION("""COMPUTED_VALUE"""),"https://drive.google.com/file/d/1pq1Os2EdW-1ytuMH03o4-JWqPqKnwAlD/view?usp=drivesdk")</f>
        <v>https://drive.google.com/file/d/1pq1Os2EdW-1ytuMH03o4-JWqPqKnwAlD/view?usp=drivesdk</v>
      </c>
    </row>
    <row r="8378">
      <c r="A8378" s="15">
        <f>IFERROR(__xludf.DUMMYFUNCTION("""COMPUTED_VALUE"""),45238.0)</f>
        <v>45238</v>
      </c>
      <c r="B8378" s="16" t="str">
        <f>IFERROR(__xludf.DUMMYFUNCTION("""COMPUTED_VALUE"""),"Santiago Garces Restrepo")</f>
        <v>Santiago Garces Restrepo</v>
      </c>
      <c r="C8378" s="15" t="str">
        <f>IFERROR(__xludf.DUMMYFUNCTION("""COMPUTED_VALUE"""),"MEDELLÍN")</f>
        <v>MEDELLÍN</v>
      </c>
      <c r="D8378" s="15" t="str">
        <f>IFERROR(__xludf.DUMMYFUNCTION("""COMPUTED_VALUE"""),"BOGOTÁ")</f>
        <v>BOGOTÁ</v>
      </c>
      <c r="E8378" s="15" t="str">
        <f>IFERROR(__xludf.DUMMYFUNCTION("""COMPUTED_VALUE"""),"LINA PAOLA RAMIREZ GOMEZ - EVA MAZZITA")</f>
        <v>LINA PAOLA RAMIREZ GOMEZ - EVA MAZZITA</v>
      </c>
      <c r="F8378" s="17" t="str">
        <f>IFERROR(__xludf.DUMMYFUNCTION("""COMPUTED_VALUE"""),"Calle 12C Sur 39 153 / Edificio La Gruta del Poblado/Apto 202 Torre A Medellín")</f>
        <v>Calle 12C Sur 39 153 / Edificio La Gruta del Poblado/Apto 202 Torre A Medellín</v>
      </c>
      <c r="G8378" s="15" t="str">
        <f>IFERROR(__xludf.DUMMYFUNCTION("""COMPUTED_VALUE"""),"SARAH BASTIDAS PUERTA")</f>
        <v>SARAH BASTIDAS PUERTA</v>
      </c>
      <c r="H8378" s="16">
        <f>IFERROR(__xludf.DUMMYFUNCTION("""COMPUTED_VALUE"""),17067.0)</f>
        <v>17067</v>
      </c>
      <c r="I8378" s="17"/>
      <c r="J8378" s="17"/>
      <c r="K8378" s="17"/>
      <c r="L8378" s="17">
        <f>IFERROR(__xludf.DUMMYFUNCTION("""COMPUTED_VALUE"""),3.233634153E9)</f>
        <v>3233634153</v>
      </c>
      <c r="M8378" s="17"/>
      <c r="N8378" s="17"/>
      <c r="O8378" s="17"/>
      <c r="P8378" s="17" t="b">
        <f>IFERROR(__xludf.DUMMYFUNCTION("""COMPUTED_VALUE"""),FALSE)</f>
        <v>0</v>
      </c>
      <c r="Q8378" s="20" t="str">
        <f>IFERROR(__xludf.DUMMYFUNCTION("""COMPUTED_VALUE"""),"")</f>
        <v/>
      </c>
      <c r="R8378" s="21" t="str">
        <f>IFERROR(__xludf.DUMMYFUNCTION("""COMPUTED_VALUE"""),"https://drive.google.com/file/d/1XOZXJ-ZWdeYy_gW0CB55_rP8iq4IcGMO/view?usp=drivesdk")</f>
        <v>https://drive.google.com/file/d/1XOZXJ-ZWdeYy_gW0CB55_rP8iq4IcGMO/view?usp=drivesdk</v>
      </c>
    </row>
    <row r="8379">
      <c r="A8379" s="15">
        <f>IFERROR(__xludf.DUMMYFUNCTION("""COMPUTED_VALUE"""),45238.0)</f>
        <v>45238</v>
      </c>
      <c r="B8379" s="16" t="str">
        <f>IFERROR(__xludf.DUMMYFUNCTION("""COMPUTED_VALUE"""),"Santiago Garces Restrepo")</f>
        <v>Santiago Garces Restrepo</v>
      </c>
      <c r="C8379" s="15" t="str">
        <f>IFERROR(__xludf.DUMMYFUNCTION("""COMPUTED_VALUE"""),"MEDELLÍN")</f>
        <v>MEDELLÍN</v>
      </c>
      <c r="D8379" s="15" t="str">
        <f>IFERROR(__xludf.DUMMYFUNCTION("""COMPUTED_VALUE"""),"BOGOTÁ")</f>
        <v>BOGOTÁ</v>
      </c>
      <c r="E8379" s="15" t="str">
        <f>IFERROR(__xludf.DUMMYFUNCTION("""COMPUTED_VALUE"""),"LINA PAOLA RAMIREZ GOMEZ - EVA MAZZITA")</f>
        <v>LINA PAOLA RAMIREZ GOMEZ - EVA MAZZITA</v>
      </c>
      <c r="F8379" s="17" t="str">
        <f>IFERROR(__xludf.DUMMYFUNCTION("""COMPUTED_VALUE"""),"Calle 77a # 88-35 / casa 36 urbanización villa fernanda Barrio robledo")</f>
        <v>Calle 77a # 88-35 / casa 36 urbanización villa fernanda Barrio robledo</v>
      </c>
      <c r="G8379" s="15" t="str">
        <f>IFERROR(__xludf.DUMMYFUNCTION("""COMPUTED_VALUE"""),"BLANCA INES GOMEZ ALVAREZ")</f>
        <v>BLANCA INES GOMEZ ALVAREZ</v>
      </c>
      <c r="H8379" s="16">
        <f>IFERROR(__xludf.DUMMYFUNCTION("""COMPUTED_VALUE"""),17063.0)</f>
        <v>17063</v>
      </c>
      <c r="I8379" s="17"/>
      <c r="J8379" s="17"/>
      <c r="K8379" s="17"/>
      <c r="L8379" s="17">
        <f>IFERROR(__xludf.DUMMYFUNCTION("""COMPUTED_VALUE"""),3.137121846E9)</f>
        <v>3137121846</v>
      </c>
      <c r="M8379" s="17"/>
      <c r="N8379" s="17"/>
      <c r="O8379" s="17"/>
      <c r="P8379" s="17" t="b">
        <f>IFERROR(__xludf.DUMMYFUNCTION("""COMPUTED_VALUE"""),FALSE)</f>
        <v>0</v>
      </c>
      <c r="Q8379" s="20" t="str">
        <f>IFERROR(__xludf.DUMMYFUNCTION("""COMPUTED_VALUE"""),"")</f>
        <v/>
      </c>
      <c r="R8379" s="22" t="str">
        <f>IFERROR(__xludf.DUMMYFUNCTION("""COMPUTED_VALUE"""),"")</f>
        <v/>
      </c>
    </row>
    <row r="8380">
      <c r="A8380" s="15">
        <f>IFERROR(__xludf.DUMMYFUNCTION("""COMPUTED_VALUE"""),45238.0)</f>
        <v>45238</v>
      </c>
      <c r="B8380" s="16" t="str">
        <f>IFERROR(__xludf.DUMMYFUNCTION("""COMPUTED_VALUE"""),"Santiago Garces Restrepo")</f>
        <v>Santiago Garces Restrepo</v>
      </c>
      <c r="C8380" s="15" t="str">
        <f>IFERROR(__xludf.DUMMYFUNCTION("""COMPUTED_VALUE"""),"MEDELLÍN")</f>
        <v>MEDELLÍN</v>
      </c>
      <c r="D8380" s="15" t="str">
        <f>IFERROR(__xludf.DUMMYFUNCTION("""COMPUTED_VALUE"""),"BOGOTÁ")</f>
        <v>BOGOTÁ</v>
      </c>
      <c r="E8380" s="15" t="str">
        <f>IFERROR(__xludf.DUMMYFUNCTION("""COMPUTED_VALUE"""),"LINA PAOLA RAMIREZ GOMEZ - EVA MAZZITA")</f>
        <v>LINA PAOLA RAMIREZ GOMEZ - EVA MAZZITA</v>
      </c>
      <c r="F8380" s="17" t="str">
        <f>IFERROR(__xludf.DUMMYFUNCTION("""COMPUTED_VALUE"""),"Carrera 105 # 41 - 23 / Carrera 105 # 41 - 23")</f>
        <v>Carrera 105 # 41 - 23 / Carrera 105 # 41 - 23</v>
      </c>
      <c r="G8380" s="15" t="str">
        <f>IFERROR(__xludf.DUMMYFUNCTION("""COMPUTED_VALUE"""),"LAURA ALEXANDRA PALACIO MEJIA")</f>
        <v>LAURA ALEXANDRA PALACIO MEJIA</v>
      </c>
      <c r="H8380" s="16">
        <f>IFERROR(__xludf.DUMMYFUNCTION("""COMPUTED_VALUE"""),17064.0)</f>
        <v>17064</v>
      </c>
      <c r="I8380" s="17"/>
      <c r="J8380" s="17"/>
      <c r="K8380" s="17"/>
      <c r="L8380" s="17">
        <f>IFERROR(__xludf.DUMMYFUNCTION("""COMPUTED_VALUE"""),3.012716641E9)</f>
        <v>3012716641</v>
      </c>
      <c r="M8380" s="17"/>
      <c r="N8380" s="17"/>
      <c r="O8380" s="17"/>
      <c r="P8380" s="17" t="b">
        <f>IFERROR(__xludf.DUMMYFUNCTION("""COMPUTED_VALUE"""),FALSE)</f>
        <v>0</v>
      </c>
      <c r="Q8380" s="20" t="str">
        <f>IFERROR(__xludf.DUMMYFUNCTION("""COMPUTED_VALUE"""),"")</f>
        <v/>
      </c>
      <c r="R8380" s="22" t="str">
        <f>IFERROR(__xludf.DUMMYFUNCTION("""COMPUTED_VALUE"""),"")</f>
        <v/>
      </c>
    </row>
    <row r="8381">
      <c r="A8381" s="15">
        <f>IFERROR(__xludf.DUMMYFUNCTION("""COMPUTED_VALUE"""),45238.0)</f>
        <v>45238</v>
      </c>
      <c r="B8381" s="16" t="str">
        <f>IFERROR(__xludf.DUMMYFUNCTION("""COMPUTED_VALUE"""),"Santiago Garces Restrepo")</f>
        <v>Santiago Garces Restrepo</v>
      </c>
      <c r="C8381" s="15" t="str">
        <f>IFERROR(__xludf.DUMMYFUNCTION("""COMPUTED_VALUE"""),"MEDELLÍN")</f>
        <v>MEDELLÍN</v>
      </c>
      <c r="D8381" s="15" t="str">
        <f>IFERROR(__xludf.DUMMYFUNCTION("""COMPUTED_VALUE"""),"BOGOTÁ")</f>
        <v>BOGOTÁ</v>
      </c>
      <c r="E8381" s="15" t="str">
        <f>IFERROR(__xludf.DUMMYFUNCTION("""COMPUTED_VALUE"""),"LINA PAOLA RAMIREZ GOMEZ - EVA MAZZITA")</f>
        <v>LINA PAOLA RAMIREZ GOMEZ - EVA MAZZITA</v>
      </c>
      <c r="F8381" s="17" t="str">
        <f>IFERROR(__xludf.DUMMYFUNCTION("""COMPUTED_VALUE"""),"Carrera 45#1-191 / conjunto torres de patio bonito poblado torre 4 apto 1010")</f>
        <v>Carrera 45#1-191 / conjunto torres de patio bonito poblado torre 4 apto 1010</v>
      </c>
      <c r="G8381" s="15" t="str">
        <f>IFERROR(__xludf.DUMMYFUNCTION("""COMPUTED_VALUE"""),"ALEXANDRA CASTILLO")</f>
        <v>ALEXANDRA CASTILLO</v>
      </c>
      <c r="H8381" s="16">
        <f>IFERROR(__xludf.DUMMYFUNCTION("""COMPUTED_VALUE"""),17065.0)</f>
        <v>17065</v>
      </c>
      <c r="I8381" s="17"/>
      <c r="J8381" s="17"/>
      <c r="K8381" s="17"/>
      <c r="L8381" s="17">
        <f>IFERROR(__xludf.DUMMYFUNCTION("""COMPUTED_VALUE"""),3.00503417E9)</f>
        <v>3005034170</v>
      </c>
      <c r="M8381" s="17"/>
      <c r="N8381" s="17"/>
      <c r="O8381" s="17"/>
      <c r="P8381" s="17" t="b">
        <f>IFERROR(__xludf.DUMMYFUNCTION("""COMPUTED_VALUE"""),FALSE)</f>
        <v>0</v>
      </c>
      <c r="Q8381" s="20" t="str">
        <f>IFERROR(__xludf.DUMMYFUNCTION("""COMPUTED_VALUE"""),"")</f>
        <v/>
      </c>
      <c r="R8381" s="21" t="str">
        <f>IFERROR(__xludf.DUMMYFUNCTION("""COMPUTED_VALUE"""),"https://drive.google.com/file/d/1oKMcxpcnXPUZdJ48zvw-Q6VeZ0xVM84U/view?usp=drivesdk")</f>
        <v>https://drive.google.com/file/d/1oKMcxpcnXPUZdJ48zvw-Q6VeZ0xVM84U/view?usp=drivesdk</v>
      </c>
    </row>
    <row r="8382">
      <c r="A8382" s="15">
        <f>IFERROR(__xludf.DUMMYFUNCTION("""COMPUTED_VALUE"""),45238.0)</f>
        <v>45238</v>
      </c>
      <c r="B8382" s="16" t="str">
        <f>IFERROR(__xludf.DUMMYFUNCTION("""COMPUTED_VALUE"""),"Santiago Garces Restrepo")</f>
        <v>Santiago Garces Restrepo</v>
      </c>
      <c r="C8382" s="15" t="str">
        <f>IFERROR(__xludf.DUMMYFUNCTION("""COMPUTED_VALUE"""),"MEDELLÍN")</f>
        <v>MEDELLÍN</v>
      </c>
      <c r="D8382" s="15" t="str">
        <f>IFERROR(__xludf.DUMMYFUNCTION("""COMPUTED_VALUE"""),"BOGOTÁ")</f>
        <v>BOGOTÁ</v>
      </c>
      <c r="E8382" s="15" t="str">
        <f>IFERROR(__xludf.DUMMYFUNCTION("""COMPUTED_VALUE"""),"LINA PAOLA RAMIREZ GOMEZ - EVA MAZZITA")</f>
        <v>LINA PAOLA RAMIREZ GOMEZ - EVA MAZZITA</v>
      </c>
      <c r="F8382" s="17" t="str">
        <f>IFERROR(__xludf.DUMMYFUNCTION("""COMPUTED_VALUE"""),"CRA 15 BA No. 34D - 44 / INT 201")</f>
        <v>CRA 15 BA No. 34D - 44 / INT 201</v>
      </c>
      <c r="G8382" s="15" t="str">
        <f>IFERROR(__xludf.DUMMYFUNCTION("""COMPUTED_VALUE"""),"DANIELA BEDOYA BLANDON")</f>
        <v>DANIELA BEDOYA BLANDON</v>
      </c>
      <c r="H8382" s="16">
        <f>IFERROR(__xludf.DUMMYFUNCTION("""COMPUTED_VALUE"""),17057.0)</f>
        <v>17057</v>
      </c>
      <c r="I8382" s="17"/>
      <c r="J8382" s="17"/>
      <c r="K8382" s="17"/>
      <c r="L8382" s="17">
        <f>IFERROR(__xludf.DUMMYFUNCTION("""COMPUTED_VALUE"""),3.14672822E9)</f>
        <v>3146728220</v>
      </c>
      <c r="M8382" s="17"/>
      <c r="N8382" s="17"/>
      <c r="O8382" s="17"/>
      <c r="P8382" s="17" t="b">
        <f>IFERROR(__xludf.DUMMYFUNCTION("""COMPUTED_VALUE"""),FALSE)</f>
        <v>0</v>
      </c>
      <c r="Q8382" s="20" t="str">
        <f>IFERROR(__xludf.DUMMYFUNCTION("""COMPUTED_VALUE"""),"")</f>
        <v/>
      </c>
      <c r="R8382" s="22" t="str">
        <f>IFERROR(__xludf.DUMMYFUNCTION("""COMPUTED_VALUE"""),"")</f>
        <v/>
      </c>
    </row>
    <row r="8383">
      <c r="A8383" s="15">
        <f>IFERROR(__xludf.DUMMYFUNCTION("""COMPUTED_VALUE"""),45238.0)</f>
        <v>45238</v>
      </c>
      <c r="B8383" s="16" t="str">
        <f>IFERROR(__xludf.DUMMYFUNCTION("""COMPUTED_VALUE"""),"Santiago Garces Restrepo")</f>
        <v>Santiago Garces Restrepo</v>
      </c>
      <c r="C8383" s="15" t="str">
        <f>IFERROR(__xludf.DUMMYFUNCTION("""COMPUTED_VALUE"""),"MEDELLÍN")</f>
        <v>MEDELLÍN</v>
      </c>
      <c r="D8383" s="15" t="str">
        <f>IFERROR(__xludf.DUMMYFUNCTION("""COMPUTED_VALUE"""),"BOGOTÁ")</f>
        <v>BOGOTÁ</v>
      </c>
      <c r="E8383" s="15" t="str">
        <f>IFERROR(__xludf.DUMMYFUNCTION("""COMPUTED_VALUE"""),"MAI ALIMENTOS REALES")</f>
        <v>MAI ALIMENTOS REALES</v>
      </c>
      <c r="F8383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383" s="15" t="str">
        <f>IFERROR(__xludf.DUMMYFUNCTION("""COMPUTED_VALUE"""),"Novaventas")</f>
        <v>Novaventas</v>
      </c>
      <c r="H8383" s="16">
        <f>IFERROR(__xludf.DUMMYFUNCTION("""COMPUTED_VALUE"""),16923.0)</f>
        <v>16923</v>
      </c>
      <c r="I8383" s="17"/>
      <c r="J8383" s="17"/>
      <c r="K8383" s="17"/>
      <c r="L8383" s="17">
        <f>IFERROR(__xludf.DUMMYFUNCTION("""COMPUTED_VALUE"""),3.187351593E9)</f>
        <v>3187351593</v>
      </c>
      <c r="M8383" s="17"/>
      <c r="N8383" s="17"/>
      <c r="O8383" s="17"/>
      <c r="P8383" s="17" t="b">
        <f>IFERROR(__xludf.DUMMYFUNCTION("""COMPUTED_VALUE"""),FALSE)</f>
        <v>0</v>
      </c>
      <c r="Q8383" s="20" t="str">
        <f>IFERROR(__xludf.DUMMYFUNCTION("""COMPUTED_VALUE"""),"")</f>
        <v/>
      </c>
      <c r="R8383" s="21" t="str">
        <f>IFERROR(__xludf.DUMMYFUNCTION("""COMPUTED_VALUE"""),"https://drive.google.com/file/d/1p0pIMRXwUBSSHqkI-8x27NYmtldcQZBw/view?usp=drivesdk")</f>
        <v>https://drive.google.com/file/d/1p0pIMRXwUBSSHqkI-8x27NYmtldcQZBw/view?usp=drivesdk</v>
      </c>
    </row>
    <row r="8384">
      <c r="A8384" s="15">
        <f>IFERROR(__xludf.DUMMYFUNCTION("""COMPUTED_VALUE"""),45238.0)</f>
        <v>45238</v>
      </c>
      <c r="B8384" s="16" t="str">
        <f>IFERROR(__xludf.DUMMYFUNCTION("""COMPUTED_VALUE"""),"Santiago Garces Restrepo")</f>
        <v>Santiago Garces Restrepo</v>
      </c>
      <c r="C8384" s="15" t="str">
        <f>IFERROR(__xludf.DUMMYFUNCTION("""COMPUTED_VALUE"""),"MEDELLÍN")</f>
        <v>MEDELLÍN</v>
      </c>
      <c r="D8384" s="15" t="str">
        <f>IFERROR(__xludf.DUMMYFUNCTION("""COMPUTED_VALUE"""),"BOGOTÁ")</f>
        <v>BOGOTÁ</v>
      </c>
      <c r="E8384" s="15" t="str">
        <f>IFERROR(__xludf.DUMMYFUNCTION("""COMPUTED_VALUE"""),"Spirulina Fresca")</f>
        <v>Spirulina Fresca</v>
      </c>
      <c r="F8384" s="17" t="str">
        <f>IFERROR(__xludf.DUMMYFUNCTION("""COMPUTED_VALUE"""),"Calle 5 Sur # 29 A 151  / Apto 1707 / Poblado")</f>
        <v>Calle 5 Sur # 29 A 151  / Apto 1707 / Poblado</v>
      </c>
      <c r="G8384" s="15" t="str">
        <f>IFERROR(__xludf.DUMMYFUNCTION("""COMPUTED_VALUE"""),"Magaly Arias")</f>
        <v>Magaly Arias</v>
      </c>
      <c r="H8384" s="16">
        <f>IFERROR(__xludf.DUMMYFUNCTION("""COMPUTED_VALUE"""),16989.0)</f>
        <v>16989</v>
      </c>
      <c r="I8384" s="18">
        <f>IFERROR(__xludf.DUMMYFUNCTION("""COMPUTED_VALUE"""),5.0)</f>
        <v>5</v>
      </c>
      <c r="J8384" s="18">
        <f>IFERROR(__xludf.DUMMYFUNCTION("""COMPUTED_VALUE"""),5.0)</f>
        <v>5</v>
      </c>
      <c r="K8384" s="18">
        <f>IFERROR(__xludf.DUMMYFUNCTION("""COMPUTED_VALUE"""),22.0)</f>
        <v>22</v>
      </c>
      <c r="L8384" s="17">
        <f>IFERROR(__xludf.DUMMYFUNCTION("""COMPUTED_VALUE"""),3.10895785E9)</f>
        <v>3108957850</v>
      </c>
      <c r="M8384" s="17"/>
      <c r="N8384" s="17"/>
      <c r="O8384" s="17"/>
      <c r="P8384" s="17" t="b">
        <f>IFERROR(__xludf.DUMMYFUNCTION("""COMPUTED_VALUE"""),FALSE)</f>
        <v>0</v>
      </c>
      <c r="Q8384" s="20" t="str">
        <f>IFERROR(__xludf.DUMMYFUNCTION("""COMPUTED_VALUE"""),"")</f>
        <v/>
      </c>
      <c r="R8384" s="21" t="str">
        <f>IFERROR(__xludf.DUMMYFUNCTION("""COMPUTED_VALUE"""),"https://drive.google.com/file/d/1LfUr4BXDWwmxZtoplxlYXZMH_YN5eC0N/view?usp=drivesdk")</f>
        <v>https://drive.google.com/file/d/1LfUr4BXDWwmxZtoplxlYXZMH_YN5eC0N/view?usp=drivesdk</v>
      </c>
    </row>
    <row r="8385">
      <c r="A8385" s="15">
        <f>IFERROR(__xludf.DUMMYFUNCTION("""COMPUTED_VALUE"""),45238.0)</f>
        <v>45238</v>
      </c>
      <c r="B8385" s="16" t="str">
        <f>IFERROR(__xludf.DUMMYFUNCTION("""COMPUTED_VALUE"""),"Santiago Garces Restrepo")</f>
        <v>Santiago Garces Restrepo</v>
      </c>
      <c r="C8385" s="15" t="str">
        <f>IFERROR(__xludf.DUMMYFUNCTION("""COMPUTED_VALUE"""),"MEDELLÍN")</f>
        <v>MEDELLÍN</v>
      </c>
      <c r="D8385" s="15" t="str">
        <f>IFERROR(__xludf.DUMMYFUNCTION("""COMPUTED_VALUE"""),"BOGOTÁ")</f>
        <v>BOGOTÁ</v>
      </c>
      <c r="E8385" s="15" t="str">
        <f>IFERROR(__xludf.DUMMYFUNCTION("""COMPUTED_VALUE"""),"Spirulina Fresca")</f>
        <v>Spirulina Fresca</v>
      </c>
      <c r="F8385" s="17" t="str">
        <f>IFERROR(__xludf.DUMMYFUNCTION("""COMPUTED_VALUE"""),"Calle 6 sur #43a 200 /  ed Lugo cons 1603 / Poblado")</f>
        <v>Calle 6 sur #43a 200 /  ed Lugo cons 1603 / Poblado</v>
      </c>
      <c r="G8385" s="15" t="str">
        <f>IFERROR(__xludf.DUMMYFUNCTION("""COMPUTED_VALUE"""),"María adelaida")</f>
        <v>María adelaida</v>
      </c>
      <c r="H8385" s="16">
        <f>IFERROR(__xludf.DUMMYFUNCTION("""COMPUTED_VALUE"""),16992.0)</f>
        <v>16992</v>
      </c>
      <c r="I8385" s="18">
        <f>IFERROR(__xludf.DUMMYFUNCTION("""COMPUTED_VALUE"""),5.0)</f>
        <v>5</v>
      </c>
      <c r="J8385" s="18">
        <f>IFERROR(__xludf.DUMMYFUNCTION("""COMPUTED_VALUE"""),5.0)</f>
        <v>5</v>
      </c>
      <c r="K8385" s="18">
        <f>IFERROR(__xludf.DUMMYFUNCTION("""COMPUTED_VALUE"""),22.0)</f>
        <v>22</v>
      </c>
      <c r="L8385" s="17">
        <f>IFERROR(__xludf.DUMMYFUNCTION("""COMPUTED_VALUE"""),3.104500548E9)</f>
        <v>3104500548</v>
      </c>
      <c r="M8385" s="17"/>
      <c r="N8385" s="17"/>
      <c r="O8385" s="17"/>
      <c r="P8385" s="17" t="b">
        <f>IFERROR(__xludf.DUMMYFUNCTION("""COMPUTED_VALUE"""),FALSE)</f>
        <v>0</v>
      </c>
      <c r="Q8385" s="20" t="str">
        <f>IFERROR(__xludf.DUMMYFUNCTION("""COMPUTED_VALUE"""),"")</f>
        <v/>
      </c>
      <c r="R8385" s="21" t="str">
        <f>IFERROR(__xludf.DUMMYFUNCTION("""COMPUTED_VALUE"""),"https://drive.google.com/file/d/1aqhFJMNO69_a1fEX61X1ksQPKGcmc7K2/view?usp=drivesdk")</f>
        <v>https://drive.google.com/file/d/1aqhFJMNO69_a1fEX61X1ksQPKGcmc7K2/view?usp=drivesdk</v>
      </c>
    </row>
    <row r="8386">
      <c r="A8386" s="15">
        <f>IFERROR(__xludf.DUMMYFUNCTION("""COMPUTED_VALUE"""),45238.0)</f>
        <v>45238</v>
      </c>
      <c r="B8386" s="16" t="str">
        <f>IFERROR(__xludf.DUMMYFUNCTION("""COMPUTED_VALUE"""),"Santiago Garces Restrepo")</f>
        <v>Santiago Garces Restrepo</v>
      </c>
      <c r="C8386" s="15" t="str">
        <f>IFERROR(__xludf.DUMMYFUNCTION("""COMPUTED_VALUE"""),"MEDELLÍN")</f>
        <v>MEDELLÍN</v>
      </c>
      <c r="D8386" s="15" t="str">
        <f>IFERROR(__xludf.DUMMYFUNCTION("""COMPUTED_VALUE"""),"BOGOTÁ")</f>
        <v>BOGOTÁ</v>
      </c>
      <c r="E8386" s="15" t="str">
        <f>IFERROR(__xludf.DUMMYFUNCTION("""COMPUTED_VALUE"""),"Spirulina Fresca")</f>
        <v>Spirulina Fresca</v>
      </c>
      <c r="F8386" s="17" t="str">
        <f>IFERROR(__xludf.DUMMYFUNCTION("""COMPUTED_VALUE"""),"Cra 11 No 9A Sur -140  / Reserva del Tesoro  Casa 135 el Poblado / Poblado")</f>
        <v>Cra 11 No 9A Sur -140  / Reserva del Tesoro  Casa 135 el Poblado / Poblado</v>
      </c>
      <c r="G8386" s="15" t="str">
        <f>IFERROR(__xludf.DUMMYFUNCTION("""COMPUTED_VALUE"""),"Ana PatriciaSuarez -Arturo Castillo")</f>
        <v>Ana PatriciaSuarez -Arturo Castillo</v>
      </c>
      <c r="H8386" s="16">
        <f>IFERROR(__xludf.DUMMYFUNCTION("""COMPUTED_VALUE"""),16990.0)</f>
        <v>16990</v>
      </c>
      <c r="I8386" s="18">
        <f>IFERROR(__xludf.DUMMYFUNCTION("""COMPUTED_VALUE"""),5.0)</f>
        <v>5</v>
      </c>
      <c r="J8386" s="18">
        <f>IFERROR(__xludf.DUMMYFUNCTION("""COMPUTED_VALUE"""),5.0)</f>
        <v>5</v>
      </c>
      <c r="K8386" s="18">
        <f>IFERROR(__xludf.DUMMYFUNCTION("""COMPUTED_VALUE"""),22.0)</f>
        <v>22</v>
      </c>
      <c r="L8386" s="17">
        <f>IFERROR(__xludf.DUMMYFUNCTION("""COMPUTED_VALUE"""),3.208856948E9)</f>
        <v>3208856948</v>
      </c>
      <c r="M8386" s="17"/>
      <c r="N8386" s="17"/>
      <c r="O8386" s="17"/>
      <c r="P8386" s="17" t="b">
        <f>IFERROR(__xludf.DUMMYFUNCTION("""COMPUTED_VALUE"""),FALSE)</f>
        <v>0</v>
      </c>
      <c r="Q8386" s="20" t="str">
        <f>IFERROR(__xludf.DUMMYFUNCTION("""COMPUTED_VALUE"""),"")</f>
        <v/>
      </c>
      <c r="R8386" s="21" t="str">
        <f>IFERROR(__xludf.DUMMYFUNCTION("""COMPUTED_VALUE"""),"https://drive.google.com/file/d/1LbZvPNEww3883ypN8sqjARx-GY7kDAz7/view?usp=drivesdk")</f>
        <v>https://drive.google.com/file/d/1LbZvPNEww3883ypN8sqjARx-GY7kDAz7/view?usp=drivesdk</v>
      </c>
    </row>
    <row r="8387">
      <c r="A8387" s="15">
        <f>IFERROR(__xludf.DUMMYFUNCTION("""COMPUTED_VALUE"""),45238.0)</f>
        <v>45238</v>
      </c>
      <c r="B8387" s="16" t="str">
        <f>IFERROR(__xludf.DUMMYFUNCTION("""COMPUTED_VALUE"""),"Santiago Garces Restrepo")</f>
        <v>Santiago Garces Restrepo</v>
      </c>
      <c r="C8387" s="15" t="str">
        <f>IFERROR(__xludf.DUMMYFUNCTION("""COMPUTED_VALUE"""),"MEDELLÍN")</f>
        <v>MEDELLÍN</v>
      </c>
      <c r="D8387" s="15" t="str">
        <f>IFERROR(__xludf.DUMMYFUNCTION("""COMPUTED_VALUE"""),"BOGOTÁ")</f>
        <v>BOGOTÁ</v>
      </c>
      <c r="E8387" s="15" t="str">
        <f>IFERROR(__xludf.DUMMYFUNCTION("""COMPUTED_VALUE"""),"Spirulina Fresca")</f>
        <v>Spirulina Fresca</v>
      </c>
      <c r="F8387" s="17" t="str">
        <f>IFERROR(__xludf.DUMMYFUNCTION("""COMPUTED_VALUE"""),"Cra 11 No 9A Sur -140 Reserva del Tesoro  Casa 135 el Poblado / Poblado / Poblado")</f>
        <v>Cra 11 No 9A Sur -140 Reserva del Tesoro  Casa 135 el Poblado / Poblado / Poblado</v>
      </c>
      <c r="G8387" s="15" t="str">
        <f>IFERROR(__xludf.DUMMYFUNCTION("""COMPUTED_VALUE"""),"Arturo Castillo / Ana Patricia Suarez")</f>
        <v>Arturo Castillo / Ana Patricia Suarez</v>
      </c>
      <c r="H8387" s="16">
        <f>IFERROR(__xludf.DUMMYFUNCTION("""COMPUTED_VALUE"""),16993.0)</f>
        <v>16993</v>
      </c>
      <c r="I8387" s="18">
        <f>IFERROR(__xludf.DUMMYFUNCTION("""COMPUTED_VALUE"""),5.0)</f>
        <v>5</v>
      </c>
      <c r="J8387" s="18">
        <f>IFERROR(__xludf.DUMMYFUNCTION("""COMPUTED_VALUE"""),5.0)</f>
        <v>5</v>
      </c>
      <c r="K8387" s="18">
        <f>IFERROR(__xludf.DUMMYFUNCTION("""COMPUTED_VALUE"""),22.0)</f>
        <v>22</v>
      </c>
      <c r="L8387" s="17">
        <f>IFERROR(__xludf.DUMMYFUNCTION("""COMPUTED_VALUE"""),3.208856948E9)</f>
        <v>3208856948</v>
      </c>
      <c r="M8387" s="17"/>
      <c r="N8387" s="17"/>
      <c r="O8387" s="17"/>
      <c r="P8387" s="17" t="b">
        <f>IFERROR(__xludf.DUMMYFUNCTION("""COMPUTED_VALUE"""),FALSE)</f>
        <v>0</v>
      </c>
      <c r="Q8387" s="20" t="str">
        <f>IFERROR(__xludf.DUMMYFUNCTION("""COMPUTED_VALUE"""),"")</f>
        <v/>
      </c>
      <c r="R8387" s="21" t="str">
        <f>IFERROR(__xludf.DUMMYFUNCTION("""COMPUTED_VALUE"""),"https://drive.google.com/file/d/1s5bUGTt_I4wqQumulc5E7apaueDUDwdO/view?usp=drivesdk")</f>
        <v>https://drive.google.com/file/d/1s5bUGTt_I4wqQumulc5E7apaueDUDwdO/view?usp=drivesdk</v>
      </c>
    </row>
    <row r="8388">
      <c r="A8388" s="15">
        <f>IFERROR(__xludf.DUMMYFUNCTION("""COMPUTED_VALUE"""),45238.0)</f>
        <v>45238</v>
      </c>
      <c r="B8388" s="16" t="str">
        <f>IFERROR(__xludf.DUMMYFUNCTION("""COMPUTED_VALUE"""),"Santiago Garces Restrepo")</f>
        <v>Santiago Garces Restrepo</v>
      </c>
      <c r="C8388" s="15" t="str">
        <f>IFERROR(__xludf.DUMMYFUNCTION("""COMPUTED_VALUE"""),"MEDELLÍN")</f>
        <v>MEDELLÍN</v>
      </c>
      <c r="D8388" s="15" t="str">
        <f>IFERROR(__xludf.DUMMYFUNCTION("""COMPUTED_VALUE"""),"BOGOTÁ")</f>
        <v>BOGOTÁ</v>
      </c>
      <c r="E8388" s="15" t="str">
        <f>IFERROR(__xludf.DUMMYFUNCTION("""COMPUTED_VALUE"""),"Top Spun")</f>
        <v>Top Spun</v>
      </c>
      <c r="F8388" s="17" t="str">
        <f>IFERROR(__xludf.DUMMYFUNCTION("""COMPUTED_VALUE"""),"calle 98 número 73b 22 / segundo piso / Medellín")</f>
        <v>calle 98 número 73b 22 / segundo piso / Medellín</v>
      </c>
      <c r="G8388" s="15" t="str">
        <f>IFERROR(__xludf.DUMMYFUNCTION("""COMPUTED_VALUE"""),"Dora Oliva Giraldo Giraldo")</f>
        <v>Dora Oliva Giraldo Giraldo</v>
      </c>
      <c r="H8388" s="16">
        <f>IFERROR(__xludf.DUMMYFUNCTION("""COMPUTED_VALUE"""),16985.0)</f>
        <v>16985</v>
      </c>
      <c r="I8388" s="18">
        <f>IFERROR(__xludf.DUMMYFUNCTION("""COMPUTED_VALUE"""),30.0)</f>
        <v>30</v>
      </c>
      <c r="J8388" s="18">
        <f>IFERROR(__xludf.DUMMYFUNCTION("""COMPUTED_VALUE"""),20.0)</f>
        <v>20</v>
      </c>
      <c r="K8388" s="18">
        <f>IFERROR(__xludf.DUMMYFUNCTION("""COMPUTED_VALUE"""),50.0)</f>
        <v>50</v>
      </c>
      <c r="L8388" s="17">
        <f>IFERROR(__xludf.DUMMYFUNCTION("""COMPUTED_VALUE"""),3.158105746E9)</f>
        <v>3158105746</v>
      </c>
      <c r="M8388" s="17"/>
      <c r="N8388" s="17"/>
      <c r="O8388" s="17"/>
      <c r="P8388" s="17" t="b">
        <f>IFERROR(__xludf.DUMMYFUNCTION("""COMPUTED_VALUE"""),TRUE)</f>
        <v>1</v>
      </c>
      <c r="Q8388" s="20">
        <f>IFERROR(__xludf.DUMMYFUNCTION("""COMPUTED_VALUE"""),45239.51652872685)</f>
        <v>45239.51653</v>
      </c>
      <c r="R8388" s="22" t="str">
        <f>IFERROR(__xludf.DUMMYFUNCTION("""COMPUTED_VALUE"""),"")</f>
        <v/>
      </c>
    </row>
    <row r="8389">
      <c r="A8389" s="15">
        <f>IFERROR(__xludf.DUMMYFUNCTION("""COMPUTED_VALUE"""),45238.0)</f>
        <v>45238</v>
      </c>
      <c r="B8389" s="16" t="str">
        <f>IFERROR(__xludf.DUMMYFUNCTION("""COMPUTED_VALUE"""),"Santiago Garces Restrepo")</f>
        <v>Santiago Garces Restrepo</v>
      </c>
      <c r="C8389" s="15" t="str">
        <f>IFERROR(__xludf.DUMMYFUNCTION("""COMPUTED_VALUE"""),"MEDELLÍN")</f>
        <v>MEDELLÍN</v>
      </c>
      <c r="D8389" s="15" t="str">
        <f>IFERROR(__xludf.DUMMYFUNCTION("""COMPUTED_VALUE"""),"BOGOTÁ")</f>
        <v>BOGOTÁ</v>
      </c>
      <c r="E8389" s="15" t="str">
        <f>IFERROR(__xludf.DUMMYFUNCTION("""COMPUTED_VALUE"""),"Top Spun")</f>
        <v>Top Spun</v>
      </c>
      <c r="F8389" s="17" t="str">
        <f>IFERROR(__xludf.DUMMYFUNCTION("""COMPUTED_VALUE"""),"Cra 20 # 12 sur 425  / edf La Foret  / apto 1204")</f>
        <v>Cra 20 # 12 sur 425  / edf La Foret  / apto 1204</v>
      </c>
      <c r="G8389" s="15" t="str">
        <f>IFERROR(__xludf.DUMMYFUNCTION("""COMPUTED_VALUE"""),"Juliana Lopez")</f>
        <v>Juliana Lopez</v>
      </c>
      <c r="H8389" s="16">
        <f>IFERROR(__xludf.DUMMYFUNCTION("""COMPUTED_VALUE"""),16980.0)</f>
        <v>16980</v>
      </c>
      <c r="I8389" s="18">
        <f>IFERROR(__xludf.DUMMYFUNCTION("""COMPUTED_VALUE"""),20.0)</f>
        <v>20</v>
      </c>
      <c r="J8389" s="18">
        <f>IFERROR(__xludf.DUMMYFUNCTION("""COMPUTED_VALUE"""),10.0)</f>
        <v>10</v>
      </c>
      <c r="K8389" s="18">
        <f>IFERROR(__xludf.DUMMYFUNCTION("""COMPUTED_VALUE"""),40.0)</f>
        <v>40</v>
      </c>
      <c r="L8389" s="17">
        <f>IFERROR(__xludf.DUMMYFUNCTION("""COMPUTED_VALUE"""),3.108404724E9)</f>
        <v>3108404724</v>
      </c>
      <c r="M8389" s="17"/>
      <c r="N8389" s="17"/>
      <c r="O8389" s="17"/>
      <c r="P8389" s="17" t="b">
        <f>IFERROR(__xludf.DUMMYFUNCTION("""COMPUTED_VALUE"""),TRUE)</f>
        <v>1</v>
      </c>
      <c r="Q8389" s="20">
        <f>IFERROR(__xludf.DUMMYFUNCTION("""COMPUTED_VALUE"""),45239.51652872685)</f>
        <v>45239.51653</v>
      </c>
      <c r="R8389" s="22" t="str">
        <f>IFERROR(__xludf.DUMMYFUNCTION("""COMPUTED_VALUE"""),"")</f>
        <v/>
      </c>
    </row>
    <row r="8390">
      <c r="A8390" s="15">
        <f>IFERROR(__xludf.DUMMYFUNCTION("""COMPUTED_VALUE"""),45238.0)</f>
        <v>45238</v>
      </c>
      <c r="B8390" s="16" t="str">
        <f>IFERROR(__xludf.DUMMYFUNCTION("""COMPUTED_VALUE"""),"Santiago Garces Restrepo")</f>
        <v>Santiago Garces Restrepo</v>
      </c>
      <c r="C8390" s="15" t="str">
        <f>IFERROR(__xludf.DUMMYFUNCTION("""COMPUTED_VALUE"""),"MEDELLÍN")</f>
        <v>MEDELLÍN</v>
      </c>
      <c r="D8390" s="15" t="str">
        <f>IFERROR(__xludf.DUMMYFUNCTION("""COMPUTED_VALUE"""),"BOGOTÁ")</f>
        <v>BOGOTÁ</v>
      </c>
      <c r="E8390" s="15" t="str">
        <f>IFERROR(__xludf.DUMMYFUNCTION("""COMPUTED_VALUE"""),"Top Spun")</f>
        <v>Top Spun</v>
      </c>
      <c r="F8390" s="17" t="str">
        <f>IFERROR(__xludf.DUMMYFUNCTION("""COMPUTED_VALUE"""),"Km 7 vía San Antonio la ceja / Parcelación valle del este  / El carmen de viboral")</f>
        <v>Km 7 vía San Antonio la ceja / Parcelación valle del este  / El carmen de viboral</v>
      </c>
      <c r="G8390" s="15" t="str">
        <f>IFERROR(__xludf.DUMMYFUNCTION("""COMPUTED_VALUE"""),"Camila Del Corral")</f>
        <v>Camila Del Corral</v>
      </c>
      <c r="H8390" s="16">
        <f>IFERROR(__xludf.DUMMYFUNCTION("""COMPUTED_VALUE"""),16978.0)</f>
        <v>16978</v>
      </c>
      <c r="I8390" s="18">
        <f>IFERROR(__xludf.DUMMYFUNCTION("""COMPUTED_VALUE"""),20.0)</f>
        <v>20</v>
      </c>
      <c r="J8390" s="18">
        <f>IFERROR(__xludf.DUMMYFUNCTION("""COMPUTED_VALUE"""),10.0)</f>
        <v>10</v>
      </c>
      <c r="K8390" s="18">
        <f>IFERROR(__xludf.DUMMYFUNCTION("""COMPUTED_VALUE"""),40.0)</f>
        <v>40</v>
      </c>
      <c r="L8390" s="17">
        <f>IFERROR(__xludf.DUMMYFUNCTION("""COMPUTED_VALUE"""),3.173658512E9)</f>
        <v>3173658512</v>
      </c>
      <c r="M8390" s="17"/>
      <c r="N8390" s="17"/>
      <c r="O8390" s="17"/>
      <c r="P8390" s="17" t="b">
        <f>IFERROR(__xludf.DUMMYFUNCTION("""COMPUTED_VALUE"""),FALSE)</f>
        <v>0</v>
      </c>
      <c r="Q8390" s="20" t="str">
        <f>IFERROR(__xludf.DUMMYFUNCTION("""COMPUTED_VALUE"""),"")</f>
        <v/>
      </c>
      <c r="R8390" s="22" t="str">
        <f>IFERROR(__xludf.DUMMYFUNCTION("""COMPUTED_VALUE"""),"")</f>
        <v/>
      </c>
    </row>
    <row r="8391">
      <c r="A8391" s="17" t="str">
        <f>IFERROR(__xludf.DUMMYFUNCTION("""COMPUTED_VALUE"""),"")</f>
        <v/>
      </c>
      <c r="B8391" s="17" t="str">
        <f>IFERROR(__xludf.DUMMYFUNCTION("""COMPUTED_VALUE"""),"")</f>
        <v/>
      </c>
      <c r="C8391" s="17" t="str">
        <f>IFERROR(__xludf.DUMMYFUNCTION("""COMPUTED_VALUE"""),"")</f>
        <v/>
      </c>
      <c r="D8391" s="17" t="str">
        <f>IFERROR(__xludf.DUMMYFUNCTION("""COMPUTED_VALUE"""),"")</f>
        <v/>
      </c>
      <c r="E8391" s="17" t="str">
        <f>IFERROR(__xludf.DUMMYFUNCTION("""COMPUTED_VALUE"""),"")</f>
        <v/>
      </c>
      <c r="F8391" s="17" t="str">
        <f>IFERROR(__xludf.DUMMYFUNCTION("""COMPUTED_VALUE"""),"")</f>
        <v/>
      </c>
      <c r="G8391" s="17" t="str">
        <f>IFERROR(__xludf.DUMMYFUNCTION("""COMPUTED_VALUE"""),"")</f>
        <v/>
      </c>
      <c r="H8391" s="17" t="str">
        <f>IFERROR(__xludf.DUMMYFUNCTION("""COMPUTED_VALUE"""),"")</f>
        <v/>
      </c>
      <c r="I8391" s="17" t="str">
        <f>IFERROR(__xludf.DUMMYFUNCTION("""COMPUTED_VALUE"""),"")</f>
        <v/>
      </c>
      <c r="J8391" s="17" t="str">
        <f>IFERROR(__xludf.DUMMYFUNCTION("""COMPUTED_VALUE"""),"")</f>
        <v/>
      </c>
      <c r="K8391" s="17" t="str">
        <f>IFERROR(__xludf.DUMMYFUNCTION("""COMPUTED_VALUE"""),"")</f>
        <v/>
      </c>
      <c r="L8391" s="17" t="str">
        <f>IFERROR(__xludf.DUMMYFUNCTION("""COMPUTED_VALUE"""),"")</f>
        <v/>
      </c>
      <c r="M8391" s="17" t="str">
        <f>IFERROR(__xludf.DUMMYFUNCTION("""COMPUTED_VALUE"""),"")</f>
        <v/>
      </c>
      <c r="N8391" s="17" t="str">
        <f>IFERROR(__xludf.DUMMYFUNCTION("""COMPUTED_VALUE"""),"")</f>
        <v/>
      </c>
      <c r="O8391" s="17" t="str">
        <f>IFERROR(__xludf.DUMMYFUNCTION("""COMPUTED_VALUE"""),"")</f>
        <v/>
      </c>
      <c r="P8391" s="17" t="str">
        <f>IFERROR(__xludf.DUMMYFUNCTION("""COMPUTED_VALUE"""),"")</f>
        <v/>
      </c>
      <c r="Q8391" s="17" t="str">
        <f>IFERROR(__xludf.DUMMYFUNCTION("""COMPUTED_VALUE"""),"")</f>
        <v/>
      </c>
      <c r="R8391" s="17" t="str">
        <f>IFERROR(__xludf.DUMMYFUNCTION("""COMPUTED_VALUE"""),"")</f>
        <v/>
      </c>
    </row>
    <row r="8392">
      <c r="A8392" s="15">
        <f>IFERROR(__xludf.DUMMYFUNCTION("""COMPUTED_VALUE"""),45239.0)</f>
        <v>45239</v>
      </c>
      <c r="B8392" s="16" t="str">
        <f>IFERROR(__xludf.DUMMYFUNCTION("""COMPUTED_VALUE"""),"Anuar suarez jimenez ")</f>
        <v>Anuar suarez jimenez </v>
      </c>
      <c r="C8392" s="15" t="str">
        <f>IFERROR(__xludf.DUMMYFUNCTION("""COMPUTED_VALUE"""),"TUNJA")</f>
        <v>TUNJA</v>
      </c>
      <c r="D8392" s="15" t="str">
        <f>IFERROR(__xludf.DUMMYFUNCTION("""COMPUTED_VALUE"""),"BOGOTÁ")</f>
        <v>BOGOTÁ</v>
      </c>
      <c r="E8392" s="15" t="str">
        <f>IFERROR(__xludf.DUMMYFUNCTION("""COMPUTED_VALUE"""),"LINA PAOLA RAMIREZ GOMEZ - EVA MAZZITA")</f>
        <v>LINA PAOLA RAMIREZ GOMEZ - EVA MAZZITA</v>
      </c>
      <c r="F8392" s="17" t="str">
        <f>IFERROR(__xludf.DUMMYFUNCTION("""COMPUTED_VALUE"""),"carrera 2A# 45b -03 / carrera 2A# 45b -03")</f>
        <v>carrera 2A# 45b -03 / carrera 2A# 45b -03</v>
      </c>
      <c r="G8392" s="15" t="str">
        <f>IFERROR(__xludf.DUMMYFUNCTION("""COMPUTED_VALUE"""),"ADRIANA PAOLA HERNANDEZ SARMIENTO")</f>
        <v>ADRIANA PAOLA HERNANDEZ SARMIENTO</v>
      </c>
      <c r="H8392" s="16">
        <f>IFERROR(__xludf.DUMMYFUNCTION("""COMPUTED_VALUE"""),17055.0)</f>
        <v>17055</v>
      </c>
      <c r="I8392" s="17"/>
      <c r="J8392" s="17"/>
      <c r="K8392" s="17"/>
      <c r="L8392" s="17">
        <f>IFERROR(__xludf.DUMMYFUNCTION("""COMPUTED_VALUE"""),3.223853604E9)</f>
        <v>3223853604</v>
      </c>
      <c r="M8392" s="17"/>
      <c r="N8392" s="17"/>
      <c r="O8392" s="17"/>
      <c r="P8392" s="17" t="b">
        <f>IFERROR(__xludf.DUMMYFUNCTION("""COMPUTED_VALUE"""),FALSE)</f>
        <v>0</v>
      </c>
      <c r="Q8392" s="20" t="str">
        <f>IFERROR(__xludf.DUMMYFUNCTION("""COMPUTED_VALUE"""),"")</f>
        <v/>
      </c>
      <c r="R8392" s="22" t="str">
        <f>IFERROR(__xludf.DUMMYFUNCTION("""COMPUTED_VALUE"""),"")</f>
        <v/>
      </c>
    </row>
    <row r="8393">
      <c r="A8393" s="15">
        <f>IFERROR(__xludf.DUMMYFUNCTION("""COMPUTED_VALUE"""),45239.0)</f>
        <v>45239</v>
      </c>
      <c r="B8393" s="16" t="str">
        <f>IFERROR(__xludf.DUMMYFUNCTION("""COMPUTED_VALUE"""),"Anuar suarez jimenez ")</f>
        <v>Anuar suarez jimenez </v>
      </c>
      <c r="C8393" s="15" t="str">
        <f>IFERROR(__xludf.DUMMYFUNCTION("""COMPUTED_VALUE"""),"TUNJA")</f>
        <v>TUNJA</v>
      </c>
      <c r="D8393" s="15" t="str">
        <f>IFERROR(__xludf.DUMMYFUNCTION("""COMPUTED_VALUE"""),"MEDELLÍN")</f>
        <v>MEDELLÍN</v>
      </c>
      <c r="E8393" s="15" t="str">
        <f>IFERROR(__xludf.DUMMYFUNCTION("""COMPUTED_VALUE"""),"Baby Chef")</f>
        <v>Baby Chef</v>
      </c>
      <c r="F8393" s="17" t="str">
        <f>IFERROR(__xludf.DUMMYFUNCTION("""COMPUTED_VALUE"""),"Calle 54#7A-15 Barrio La granja / . / .")</f>
        <v>Calle 54#7A-15 Barrio La granja / . / .</v>
      </c>
      <c r="G8393" s="15" t="str">
        <f>IFERROR(__xludf.DUMMYFUNCTION("""COMPUTED_VALUE"""),"Luz Mary Cuervo")</f>
        <v>Luz Mary Cuervo</v>
      </c>
      <c r="H8393" s="16">
        <f>IFERROR(__xludf.DUMMYFUNCTION("""COMPUTED_VALUE"""),17033.0)</f>
        <v>17033</v>
      </c>
      <c r="I8393" s="18">
        <f>IFERROR(__xludf.DUMMYFUNCTION("""COMPUTED_VALUE"""),14.0)</f>
        <v>14</v>
      </c>
      <c r="J8393" s="18">
        <f>IFERROR(__xludf.DUMMYFUNCTION("""COMPUTED_VALUE"""),21.0)</f>
        <v>21</v>
      </c>
      <c r="K8393" s="18">
        <f>IFERROR(__xludf.DUMMYFUNCTION("""COMPUTED_VALUE"""),45.0)</f>
        <v>45</v>
      </c>
      <c r="L8393" s="17">
        <f>IFERROR(__xludf.DUMMYFUNCTION("""COMPUTED_VALUE"""),3.114795286E9)</f>
        <v>3114795286</v>
      </c>
      <c r="M8393" s="17"/>
      <c r="N8393" s="17"/>
      <c r="O8393" s="17"/>
      <c r="P8393" s="17" t="b">
        <f>IFERROR(__xludf.DUMMYFUNCTION("""COMPUTED_VALUE"""),FALSE)</f>
        <v>0</v>
      </c>
      <c r="Q8393" s="20" t="str">
        <f>IFERROR(__xludf.DUMMYFUNCTION("""COMPUTED_VALUE"""),"")</f>
        <v/>
      </c>
      <c r="R8393" s="22" t="str">
        <f>IFERROR(__xludf.DUMMYFUNCTION("""COMPUTED_VALUE"""),"")</f>
        <v/>
      </c>
    </row>
    <row r="8394">
      <c r="A8394" s="17" t="str">
        <f>IFERROR(__xludf.DUMMYFUNCTION("""COMPUTED_VALUE"""),"")</f>
        <v/>
      </c>
      <c r="B8394" s="17" t="str">
        <f>IFERROR(__xludf.DUMMYFUNCTION("""COMPUTED_VALUE"""),"")</f>
        <v/>
      </c>
      <c r="C8394" s="17" t="str">
        <f>IFERROR(__xludf.DUMMYFUNCTION("""COMPUTED_VALUE"""),"")</f>
        <v/>
      </c>
      <c r="D8394" s="17" t="str">
        <f>IFERROR(__xludf.DUMMYFUNCTION("""COMPUTED_VALUE"""),"")</f>
        <v/>
      </c>
      <c r="E8394" s="17" t="str">
        <f>IFERROR(__xludf.DUMMYFUNCTION("""COMPUTED_VALUE"""),"")</f>
        <v/>
      </c>
      <c r="F8394" s="17" t="str">
        <f>IFERROR(__xludf.DUMMYFUNCTION("""COMPUTED_VALUE"""),"")</f>
        <v/>
      </c>
      <c r="G8394" s="17" t="str">
        <f>IFERROR(__xludf.DUMMYFUNCTION("""COMPUTED_VALUE"""),"")</f>
        <v/>
      </c>
      <c r="H8394" s="17" t="str">
        <f>IFERROR(__xludf.DUMMYFUNCTION("""COMPUTED_VALUE"""),"")</f>
        <v/>
      </c>
      <c r="I8394" s="17" t="str">
        <f>IFERROR(__xludf.DUMMYFUNCTION("""COMPUTED_VALUE"""),"")</f>
        <v/>
      </c>
      <c r="J8394" s="17" t="str">
        <f>IFERROR(__xludf.DUMMYFUNCTION("""COMPUTED_VALUE"""),"")</f>
        <v/>
      </c>
      <c r="K8394" s="17" t="str">
        <f>IFERROR(__xludf.DUMMYFUNCTION("""COMPUTED_VALUE"""),"")</f>
        <v/>
      </c>
      <c r="L8394" s="17" t="str">
        <f>IFERROR(__xludf.DUMMYFUNCTION("""COMPUTED_VALUE"""),"")</f>
        <v/>
      </c>
      <c r="M8394" s="17" t="str">
        <f>IFERROR(__xludf.DUMMYFUNCTION("""COMPUTED_VALUE"""),"")</f>
        <v/>
      </c>
      <c r="N8394" s="17" t="str">
        <f>IFERROR(__xludf.DUMMYFUNCTION("""COMPUTED_VALUE"""),"")</f>
        <v/>
      </c>
      <c r="O8394" s="17" t="str">
        <f>IFERROR(__xludf.DUMMYFUNCTION("""COMPUTED_VALUE"""),"")</f>
        <v/>
      </c>
      <c r="P8394" s="17" t="str">
        <f>IFERROR(__xludf.DUMMYFUNCTION("""COMPUTED_VALUE"""),"")</f>
        <v/>
      </c>
      <c r="Q8394" s="17" t="str">
        <f>IFERROR(__xludf.DUMMYFUNCTION("""COMPUTED_VALUE"""),"")</f>
        <v/>
      </c>
      <c r="R8394" s="17" t="str">
        <f>IFERROR(__xludf.DUMMYFUNCTION("""COMPUTED_VALUE"""),"")</f>
        <v/>
      </c>
    </row>
    <row r="8395">
      <c r="A8395" s="15">
        <f>IFERROR(__xludf.DUMMYFUNCTION("""COMPUTED_VALUE"""),45239.0)</f>
        <v>45239</v>
      </c>
      <c r="B8395" s="16" t="str">
        <f>IFERROR(__xludf.DUMMYFUNCTION("""COMPUTED_VALUE"""),"Carlos Andres Pirachican Numpaque (Mayerli)")</f>
        <v>Carlos Andres Pirachican Numpaque (Mayerli)</v>
      </c>
      <c r="C8395" s="15" t="str">
        <f>IFERROR(__xludf.DUMMYFUNCTION("""COMPUTED_VALUE"""),"CARTAGENA")</f>
        <v>CARTAGENA</v>
      </c>
      <c r="D8395" s="15" t="str">
        <f>IFERROR(__xludf.DUMMYFUNCTION("""COMPUTED_VALUE"""),"BOGOTÁ")</f>
        <v>BOGOTÁ</v>
      </c>
      <c r="E8395" s="15" t="str">
        <f>IFERROR(__xludf.DUMMYFUNCTION("""COMPUTED_VALUE"""),"PAN DE WAFFLE")</f>
        <v>PAN DE WAFFLE</v>
      </c>
      <c r="F8395" s="17" t="str">
        <f>IFERROR(__xludf.DUMMYFUNCTION("""COMPUTED_VALUE"""),"Diagonal 32 # 69a - 17 / Diagonal 32 # 69a - 17")</f>
        <v>Diagonal 32 # 69a - 17 / Diagonal 32 # 69a - 17</v>
      </c>
      <c r="G8395" s="15" t="str">
        <f>IFERROR(__xludf.DUMMYFUNCTION("""COMPUTED_VALUE"""),"RAPPI TURBO")</f>
        <v>RAPPI TURBO</v>
      </c>
      <c r="H8395" s="16">
        <f>IFERROR(__xludf.DUMMYFUNCTION("""COMPUTED_VALUE"""),17003.0)</f>
        <v>17003</v>
      </c>
      <c r="I8395" s="17"/>
      <c r="J8395" s="17"/>
      <c r="K8395" s="17"/>
      <c r="L8395" s="17">
        <f>IFERROR(__xludf.DUMMYFUNCTION("""COMPUTED_VALUE"""),3.226614782E9)</f>
        <v>3226614782</v>
      </c>
      <c r="M8395" s="17"/>
      <c r="N8395" s="17"/>
      <c r="O8395" s="17"/>
      <c r="P8395" s="17" t="b">
        <f>IFERROR(__xludf.DUMMYFUNCTION("""COMPUTED_VALUE"""),FALSE)</f>
        <v>0</v>
      </c>
      <c r="Q8395" s="20" t="str">
        <f>IFERROR(__xludf.DUMMYFUNCTION("""COMPUTED_VALUE"""),"")</f>
        <v/>
      </c>
      <c r="R8395" s="21" t="str">
        <f>IFERROR(__xludf.DUMMYFUNCTION("""COMPUTED_VALUE"""),"https://drive.google.com/file/d/1FjPl2piIzAV2gHcjp9oaR9P9_bAIbK5z/view?usp=drivesdk")</f>
        <v>https://drive.google.com/file/d/1FjPl2piIzAV2gHcjp9oaR9P9_bAIbK5z/view?usp=drivesdk</v>
      </c>
    </row>
    <row r="8396">
      <c r="A8396" s="15">
        <f>IFERROR(__xludf.DUMMYFUNCTION("""COMPUTED_VALUE"""),45239.0)</f>
        <v>45239</v>
      </c>
      <c r="B8396" s="16" t="str">
        <f>IFERROR(__xludf.DUMMYFUNCTION("""COMPUTED_VALUE"""),"Carlos Andres Pirachican Numpaque (Mayerli)")</f>
        <v>Carlos Andres Pirachican Numpaque (Mayerli)</v>
      </c>
      <c r="C8396" s="15" t="str">
        <f>IFERROR(__xludf.DUMMYFUNCTION("""COMPUTED_VALUE"""),"CARTAGENA")</f>
        <v>CARTAGENA</v>
      </c>
      <c r="D8396" s="15" t="str">
        <f>IFERROR(__xludf.DUMMYFUNCTION("""COMPUTED_VALUE"""),"MEDELLÍN")</f>
        <v>MEDELLÍN</v>
      </c>
      <c r="E8396" s="15" t="str">
        <f>IFERROR(__xludf.DUMMYFUNCTION("""COMPUTED_VALUE"""),"AREPAS LA MARY")</f>
        <v>AREPAS LA MARY</v>
      </c>
      <c r="F8396" s="17" t="str">
        <f>IFERROR(__xludf.DUMMYFUNCTION("""COMPUTED_VALUE"""),"CALLE 6 N 4 20 / CENTRO COMERCIAL LA ESTACION LOCAL 110")</f>
        <v>CALLE 6 N 4 20 / CENTRO COMERCIAL LA ESTACION LOCAL 110</v>
      </c>
      <c r="G8396" s="15" t="str">
        <f>IFERROR(__xludf.DUMMYFUNCTION("""COMPUTED_VALUE"""),"COCOFIT MERCADO SALUDABLE")</f>
        <v>COCOFIT MERCADO SALUDABLE</v>
      </c>
      <c r="H8396" s="16">
        <f>IFERROR(__xludf.DUMMYFUNCTION("""COMPUTED_VALUE"""),17012.0)</f>
        <v>17012</v>
      </c>
      <c r="I8396" s="18">
        <f>IFERROR(__xludf.DUMMYFUNCTION("""COMPUTED_VALUE"""),89.0)</f>
        <v>89</v>
      </c>
      <c r="J8396" s="18">
        <f>IFERROR(__xludf.DUMMYFUNCTION("""COMPUTED_VALUE"""),1.0)</f>
        <v>1</v>
      </c>
      <c r="K8396" s="18">
        <f>IFERROR(__xludf.DUMMYFUNCTION("""COMPUTED_VALUE"""),10.0)</f>
        <v>10</v>
      </c>
      <c r="L8396" s="17">
        <f>IFERROR(__xludf.DUMMYFUNCTION("""COMPUTED_VALUE"""),3.135781119E9)</f>
        <v>3135781119</v>
      </c>
      <c r="M8396" s="17"/>
      <c r="N8396" s="17"/>
      <c r="O8396" s="17"/>
      <c r="P8396" s="17" t="b">
        <f>IFERROR(__xludf.DUMMYFUNCTION("""COMPUTED_VALUE"""),FALSE)</f>
        <v>0</v>
      </c>
      <c r="Q8396" s="20" t="str">
        <f>IFERROR(__xludf.DUMMYFUNCTION("""COMPUTED_VALUE"""),"")</f>
        <v/>
      </c>
      <c r="R8396" s="21" t="str">
        <f>IFERROR(__xludf.DUMMYFUNCTION("""COMPUTED_VALUE"""),"https://drive.google.com/file/d/1jPr3VWHf-bPFCl76yO4ftmus6LJI9oIA/view?usp=drivesdk")</f>
        <v>https://drive.google.com/file/d/1jPr3VWHf-bPFCl76yO4ftmus6LJI9oIA/view?usp=drivesdk</v>
      </c>
    </row>
    <row r="8397">
      <c r="A8397" s="17" t="str">
        <f>IFERROR(__xludf.DUMMYFUNCTION("""COMPUTED_VALUE"""),"")</f>
        <v/>
      </c>
      <c r="B8397" s="17" t="str">
        <f>IFERROR(__xludf.DUMMYFUNCTION("""COMPUTED_VALUE"""),"")</f>
        <v/>
      </c>
      <c r="C8397" s="17" t="str">
        <f>IFERROR(__xludf.DUMMYFUNCTION("""COMPUTED_VALUE"""),"")</f>
        <v/>
      </c>
      <c r="D8397" s="17" t="str">
        <f>IFERROR(__xludf.DUMMYFUNCTION("""COMPUTED_VALUE"""),"")</f>
        <v/>
      </c>
      <c r="E8397" s="17" t="str">
        <f>IFERROR(__xludf.DUMMYFUNCTION("""COMPUTED_VALUE"""),"")</f>
        <v/>
      </c>
      <c r="F8397" s="17" t="str">
        <f>IFERROR(__xludf.DUMMYFUNCTION("""COMPUTED_VALUE"""),"")</f>
        <v/>
      </c>
      <c r="G8397" s="17" t="str">
        <f>IFERROR(__xludf.DUMMYFUNCTION("""COMPUTED_VALUE"""),"")</f>
        <v/>
      </c>
      <c r="H8397" s="17" t="str">
        <f>IFERROR(__xludf.DUMMYFUNCTION("""COMPUTED_VALUE"""),"")</f>
        <v/>
      </c>
      <c r="I8397" s="17" t="str">
        <f>IFERROR(__xludf.DUMMYFUNCTION("""COMPUTED_VALUE"""),"")</f>
        <v/>
      </c>
      <c r="J8397" s="17" t="str">
        <f>IFERROR(__xludf.DUMMYFUNCTION("""COMPUTED_VALUE"""),"")</f>
        <v/>
      </c>
      <c r="K8397" s="17" t="str">
        <f>IFERROR(__xludf.DUMMYFUNCTION("""COMPUTED_VALUE"""),"")</f>
        <v/>
      </c>
      <c r="L8397" s="17" t="str">
        <f>IFERROR(__xludf.DUMMYFUNCTION("""COMPUTED_VALUE"""),"")</f>
        <v/>
      </c>
      <c r="M8397" s="17" t="str">
        <f>IFERROR(__xludf.DUMMYFUNCTION("""COMPUTED_VALUE"""),"")</f>
        <v/>
      </c>
      <c r="N8397" s="17" t="str">
        <f>IFERROR(__xludf.DUMMYFUNCTION("""COMPUTED_VALUE"""),"")</f>
        <v/>
      </c>
      <c r="O8397" s="17" t="str">
        <f>IFERROR(__xludf.DUMMYFUNCTION("""COMPUTED_VALUE"""),"")</f>
        <v/>
      </c>
      <c r="P8397" s="17" t="str">
        <f>IFERROR(__xludf.DUMMYFUNCTION("""COMPUTED_VALUE"""),"")</f>
        <v/>
      </c>
      <c r="Q8397" s="17" t="str">
        <f>IFERROR(__xludf.DUMMYFUNCTION("""COMPUTED_VALUE"""),"")</f>
        <v/>
      </c>
      <c r="R8397" s="17" t="str">
        <f>IFERROR(__xludf.DUMMYFUNCTION("""COMPUTED_VALUE"""),"")</f>
        <v/>
      </c>
    </row>
    <row r="8398">
      <c r="A8398" s="15">
        <f>IFERROR(__xludf.DUMMYFUNCTION("""COMPUTED_VALUE"""),45239.0)</f>
        <v>45239</v>
      </c>
      <c r="B8398" s="16" t="str">
        <f>IFERROR(__xludf.DUMMYFUNCTION("""COMPUTED_VALUE"""),"Daniel José sandoval gonzalez")</f>
        <v>Daniel José sandoval gonzalez</v>
      </c>
      <c r="C8398" s="15" t="str">
        <f>IFERROR(__xludf.DUMMYFUNCTION("""COMPUTED_VALUE"""),"BARRANQUILLA")</f>
        <v>BARRANQUILLA</v>
      </c>
      <c r="D8398" s="15" t="str">
        <f>IFERROR(__xludf.DUMMYFUNCTION("""COMPUTED_VALUE"""),"BOGOTÁ")</f>
        <v>BOGOTÁ</v>
      </c>
      <c r="E8398" s="15" t="str">
        <f>IFERROR(__xludf.DUMMYFUNCTION("""COMPUTED_VALUE"""),"Felicidad Bakery Bogotá")</f>
        <v>Felicidad Bakery Bogotá</v>
      </c>
      <c r="F8398" s="17" t="str">
        <f>IFERROR(__xludf.DUMMYFUNCTION("""COMPUTED_VALUE"""),"Carrera 53 #82-86 / Edificio Ocean Tower / Oficina 214")</f>
        <v>Carrera 53 #82-86 / Edificio Ocean Tower / Oficina 214</v>
      </c>
      <c r="G8398" s="15" t="str">
        <f>IFERROR(__xludf.DUMMYFUNCTION("""COMPUTED_VALUE"""),"Jaqueline Jimenez Alfaro")</f>
        <v>Jaqueline Jimenez Alfaro</v>
      </c>
      <c r="H8398" s="16">
        <f>IFERROR(__xludf.DUMMYFUNCTION("""COMPUTED_VALUE"""),17097.0)</f>
        <v>17097</v>
      </c>
      <c r="I8398" s="18">
        <f>IFERROR(__xludf.DUMMYFUNCTION("""COMPUTED_VALUE"""),1.0)</f>
        <v>1</v>
      </c>
      <c r="J8398" s="18">
        <f>IFERROR(__xludf.DUMMYFUNCTION("""COMPUTED_VALUE"""),1.0)</f>
        <v>1</v>
      </c>
      <c r="K8398" s="18">
        <f>IFERROR(__xludf.DUMMYFUNCTION("""COMPUTED_VALUE"""),1.0)</f>
        <v>1</v>
      </c>
      <c r="L8398" s="17">
        <f>IFERROR(__xludf.DUMMYFUNCTION("""COMPUTED_VALUE"""),3.106992444E9)</f>
        <v>3106992444</v>
      </c>
      <c r="M8398" s="17"/>
      <c r="N8398" s="17"/>
      <c r="O8398" s="17"/>
      <c r="P8398" s="17" t="b">
        <f>IFERROR(__xludf.DUMMYFUNCTION("""COMPUTED_VALUE"""),FALSE)</f>
        <v>0</v>
      </c>
      <c r="Q8398" s="20" t="str">
        <f>IFERROR(__xludf.DUMMYFUNCTION("""COMPUTED_VALUE"""),"")</f>
        <v/>
      </c>
      <c r="R8398" s="21" t="str">
        <f>IFERROR(__xludf.DUMMYFUNCTION("""COMPUTED_VALUE"""),"https://drive.google.com/file/d/19YeyBzIameMYnBGI4tMiwUAcomCtmF-7/view?usp=drivesdk")</f>
        <v>https://drive.google.com/file/d/19YeyBzIameMYnBGI4tMiwUAcomCtmF-7/view?usp=drivesdk</v>
      </c>
    </row>
    <row r="8399">
      <c r="A8399" s="15">
        <f>IFERROR(__xludf.DUMMYFUNCTION("""COMPUTED_VALUE"""),45239.0)</f>
        <v>45239</v>
      </c>
      <c r="B8399" s="16" t="str">
        <f>IFERROR(__xludf.DUMMYFUNCTION("""COMPUTED_VALUE"""),"Daniel José sandoval gonzalez")</f>
        <v>Daniel José sandoval gonzalez</v>
      </c>
      <c r="C8399" s="15" t="str">
        <f>IFERROR(__xludf.DUMMYFUNCTION("""COMPUTED_VALUE"""),"BARRANQUILLA")</f>
        <v>BARRANQUILLA</v>
      </c>
      <c r="D8399" s="15" t="str">
        <f>IFERROR(__xludf.DUMMYFUNCTION("""COMPUTED_VALUE"""),"BOGOTÁ")</f>
        <v>BOGOTÁ</v>
      </c>
      <c r="E8399" s="15" t="str">
        <f>IFERROR(__xludf.DUMMYFUNCTION("""COMPUTED_VALUE"""),"LINA PAOLA RAMIREZ GOMEZ - EVA MAZZITA")</f>
        <v>LINA PAOLA RAMIREZ GOMEZ - EVA MAZZITA</v>
      </c>
      <c r="F8399" s="17" t="str">
        <f>IFERROR(__xludf.DUMMYFUNCTION("""COMPUTED_VALUE"""),"CALLE 1A No. 24- 86 / APTO 1205 BARRIO PORTAL DE GENOVES")</f>
        <v>CALLE 1A No. 24- 86 / APTO 1205 BARRIO PORTAL DE GENOVES</v>
      </c>
      <c r="G8399" s="15" t="str">
        <f>IFERROR(__xludf.DUMMYFUNCTION("""COMPUTED_VALUE"""),"JUAN CAMILO RODRIGUEZ")</f>
        <v>JUAN CAMILO RODRIGUEZ</v>
      </c>
      <c r="H8399" s="16">
        <f>IFERROR(__xludf.DUMMYFUNCTION("""COMPUTED_VALUE"""),17152.0)</f>
        <v>17152</v>
      </c>
      <c r="I8399" s="17"/>
      <c r="J8399" s="17"/>
      <c r="K8399" s="17"/>
      <c r="L8399" s="17">
        <f>IFERROR(__xludf.DUMMYFUNCTION("""COMPUTED_VALUE"""),3.209074493E9)</f>
        <v>3209074493</v>
      </c>
      <c r="M8399" s="17"/>
      <c r="N8399" s="17"/>
      <c r="O8399" s="17"/>
      <c r="P8399" s="17" t="b">
        <f>IFERROR(__xludf.DUMMYFUNCTION("""COMPUTED_VALUE"""),FALSE)</f>
        <v>0</v>
      </c>
      <c r="Q8399" s="20" t="str">
        <f>IFERROR(__xludf.DUMMYFUNCTION("""COMPUTED_VALUE"""),"")</f>
        <v/>
      </c>
      <c r="R8399" s="21" t="str">
        <f>IFERROR(__xludf.DUMMYFUNCTION("""COMPUTED_VALUE"""),"https://drive.google.com/file/d/1N86sm-dDgBgp3pT1U-m5mNdY_jMOl6Qp/view?usp=drivesdk")</f>
        <v>https://drive.google.com/file/d/1N86sm-dDgBgp3pT1U-m5mNdY_jMOl6Qp/view?usp=drivesdk</v>
      </c>
    </row>
    <row r="8400">
      <c r="A8400" s="15">
        <f>IFERROR(__xludf.DUMMYFUNCTION("""COMPUTED_VALUE"""),45239.0)</f>
        <v>45239</v>
      </c>
      <c r="B8400" s="16" t="str">
        <f>IFERROR(__xludf.DUMMYFUNCTION("""COMPUTED_VALUE"""),"Daniel José sandoval gonzalez")</f>
        <v>Daniel José sandoval gonzalez</v>
      </c>
      <c r="C8400" s="15" t="str">
        <f>IFERROR(__xludf.DUMMYFUNCTION("""COMPUTED_VALUE"""),"BARRANQUILLA")</f>
        <v>BARRANQUILLA</v>
      </c>
      <c r="D8400" s="15" t="str">
        <f>IFERROR(__xludf.DUMMYFUNCTION("""COMPUTED_VALUE"""),"BOGOTÁ")</f>
        <v>BOGOTÁ</v>
      </c>
      <c r="E8400" s="15" t="str">
        <f>IFERROR(__xludf.DUMMYFUNCTION("""COMPUTED_VALUE"""),"LINA PAOLA RAMIREZ GOMEZ - EVA MAZZITA")</f>
        <v>LINA PAOLA RAMIREZ GOMEZ - EVA MAZZITA</v>
      </c>
      <c r="F8400" s="17" t="str">
        <f>IFERROR(__xludf.DUMMYFUNCTION("""COMPUTED_VALUE"""),"carrera 50 # 46-93 / piso 2 apto 1 entrada principal por la calle 47")</f>
        <v>carrera 50 # 46-93 / piso 2 apto 1 entrada principal por la calle 47</v>
      </c>
      <c r="G8400" s="15" t="str">
        <f>IFERROR(__xludf.DUMMYFUNCTION("""COMPUTED_VALUE"""),"IVETH BARRERA REINA")</f>
        <v>IVETH BARRERA REINA</v>
      </c>
      <c r="H8400" s="16">
        <f>IFERROR(__xludf.DUMMYFUNCTION("""COMPUTED_VALUE"""),17150.0)</f>
        <v>17150</v>
      </c>
      <c r="I8400" s="17"/>
      <c r="J8400" s="17"/>
      <c r="K8400" s="17"/>
      <c r="L8400" s="17">
        <f>IFERROR(__xludf.DUMMYFUNCTION("""COMPUTED_VALUE"""),3.013669213E9)</f>
        <v>3013669213</v>
      </c>
      <c r="M8400" s="17"/>
      <c r="N8400" s="17"/>
      <c r="O8400" s="17"/>
      <c r="P8400" s="17" t="b">
        <f>IFERROR(__xludf.DUMMYFUNCTION("""COMPUTED_VALUE"""),FALSE)</f>
        <v>0</v>
      </c>
      <c r="Q8400" s="20" t="str">
        <f>IFERROR(__xludf.DUMMYFUNCTION("""COMPUTED_VALUE"""),"")</f>
        <v/>
      </c>
      <c r="R8400" s="21" t="str">
        <f>IFERROR(__xludf.DUMMYFUNCTION("""COMPUTED_VALUE"""),"https://drive.google.com/file/d/1Wx5kXVtZ_vkVWiAkCyyOJYOW9SlVqEF-/view?usp=drivesdk")</f>
        <v>https://drive.google.com/file/d/1Wx5kXVtZ_vkVWiAkCyyOJYOW9SlVqEF-/view?usp=drivesdk</v>
      </c>
    </row>
    <row r="8401">
      <c r="A8401" s="15">
        <f>IFERROR(__xludf.DUMMYFUNCTION("""COMPUTED_VALUE"""),45239.0)</f>
        <v>45239</v>
      </c>
      <c r="B8401" s="16" t="str">
        <f>IFERROR(__xludf.DUMMYFUNCTION("""COMPUTED_VALUE"""),"Daniel José sandoval gonzalez")</f>
        <v>Daniel José sandoval gonzalez</v>
      </c>
      <c r="C8401" s="15" t="str">
        <f>IFERROR(__xludf.DUMMYFUNCTION("""COMPUTED_VALUE"""),"BARRANQUILLA")</f>
        <v>BARRANQUILLA</v>
      </c>
      <c r="D8401" s="15" t="str">
        <f>IFERROR(__xludf.DUMMYFUNCTION("""COMPUTED_VALUE"""),"BOGOTÁ")</f>
        <v>BOGOTÁ</v>
      </c>
      <c r="E8401" s="15" t="str">
        <f>IFERROR(__xludf.DUMMYFUNCTION("""COMPUTED_VALUE"""),"Lunchy Kids")</f>
        <v>Lunchy Kids</v>
      </c>
      <c r="F8401" s="17" t="str">
        <f>IFERROR(__xludf.DUMMYFUNCTION("""COMPUTED_VALUE"""),"Carrera 59b # 84-100   / Edificio Duville. Apto 804 / Barrio Riomar")</f>
        <v>Carrera 59b # 84-100   / Edificio Duville. Apto 804 / Barrio Riomar</v>
      </c>
      <c r="G8401" s="15" t="str">
        <f>IFERROR(__xludf.DUMMYFUNCTION("""COMPUTED_VALUE"""),"Natalia Donado")</f>
        <v>Natalia Donado</v>
      </c>
      <c r="H8401" s="16">
        <f>IFERROR(__xludf.DUMMYFUNCTION("""COMPUTED_VALUE"""),16997.0)</f>
        <v>16997</v>
      </c>
      <c r="I8401" s="18">
        <f>IFERROR(__xludf.DUMMYFUNCTION("""COMPUTED_VALUE"""),21.0)</f>
        <v>21</v>
      </c>
      <c r="J8401" s="18">
        <f>IFERROR(__xludf.DUMMYFUNCTION("""COMPUTED_VALUE"""),28.0)</f>
        <v>28</v>
      </c>
      <c r="K8401" s="18">
        <f>IFERROR(__xludf.DUMMYFUNCTION("""COMPUTED_VALUE"""),16.0)</f>
        <v>16</v>
      </c>
      <c r="L8401" s="17">
        <f>IFERROR(__xludf.DUMMYFUNCTION("""COMPUTED_VALUE"""),3.182819865E9)</f>
        <v>3182819865</v>
      </c>
      <c r="M8401" s="17"/>
      <c r="N8401" s="17"/>
      <c r="O8401" s="17"/>
      <c r="P8401" s="17" t="b">
        <f>IFERROR(__xludf.DUMMYFUNCTION("""COMPUTED_VALUE"""),FALSE)</f>
        <v>0</v>
      </c>
      <c r="Q8401" s="20" t="str">
        <f>IFERROR(__xludf.DUMMYFUNCTION("""COMPUTED_VALUE"""),"")</f>
        <v/>
      </c>
      <c r="R8401" s="21" t="str">
        <f>IFERROR(__xludf.DUMMYFUNCTION("""COMPUTED_VALUE"""),"https://drive.google.com/file/d/1tsNnNSZLINN5xZ2-6VOgTd0w2AawUSAo/view?usp=drivesdk")</f>
        <v>https://drive.google.com/file/d/1tsNnNSZLINN5xZ2-6VOgTd0w2AawUSAo/view?usp=drivesdk</v>
      </c>
    </row>
    <row r="8402">
      <c r="A8402" s="15">
        <f>IFERROR(__xludf.DUMMYFUNCTION("""COMPUTED_VALUE"""),45239.0)</f>
        <v>45239</v>
      </c>
      <c r="B8402" s="16" t="str">
        <f>IFERROR(__xludf.DUMMYFUNCTION("""COMPUTED_VALUE"""),"Daniel José sandoval gonzalez")</f>
        <v>Daniel José sandoval gonzalez</v>
      </c>
      <c r="C8402" s="15" t="str">
        <f>IFERROR(__xludf.DUMMYFUNCTION("""COMPUTED_VALUE"""),"BARRANQUILLA")</f>
        <v>BARRANQUILLA</v>
      </c>
      <c r="D8402" s="15" t="str">
        <f>IFERROR(__xludf.DUMMYFUNCTION("""COMPUTED_VALUE"""),"BOGOTÁ")</f>
        <v>BOGOTÁ</v>
      </c>
      <c r="E8402" s="15" t="str">
        <f>IFERROR(__xludf.DUMMYFUNCTION("""COMPUTED_VALUE"""),"PAN DE WAFFLE")</f>
        <v>PAN DE WAFFLE</v>
      </c>
      <c r="F8402" s="17" t="str">
        <f>IFERROR(__xludf.DUMMYFUNCTION("""COMPUTED_VALUE"""),"Carrera 45 # 85 - 168 / Carrera 45 # 85 - 168")</f>
        <v>Carrera 45 # 85 - 168 / Carrera 45 # 85 - 168</v>
      </c>
      <c r="G8402" s="15" t="str">
        <f>IFERROR(__xludf.DUMMYFUNCTION("""COMPUTED_VALUE"""),"FOODOLOGY B/QUILLA")</f>
        <v>FOODOLOGY B/QUILLA</v>
      </c>
      <c r="H8402" s="16">
        <f>IFERROR(__xludf.DUMMYFUNCTION("""COMPUTED_VALUE"""),17144.0)</f>
        <v>17144</v>
      </c>
      <c r="I8402" s="17"/>
      <c r="J8402" s="17"/>
      <c r="K8402" s="17"/>
      <c r="L8402" s="17">
        <f>IFERROR(__xludf.DUMMYFUNCTION("""COMPUTED_VALUE"""),3.017001909E9)</f>
        <v>3017001909</v>
      </c>
      <c r="M8402" s="17"/>
      <c r="N8402" s="17"/>
      <c r="O8402" s="17"/>
      <c r="P8402" s="17" t="b">
        <f>IFERROR(__xludf.DUMMYFUNCTION("""COMPUTED_VALUE"""),FALSE)</f>
        <v>0</v>
      </c>
      <c r="Q8402" s="20" t="str">
        <f>IFERROR(__xludf.DUMMYFUNCTION("""COMPUTED_VALUE"""),"")</f>
        <v/>
      </c>
      <c r="R8402" s="22" t="str">
        <f>IFERROR(__xludf.DUMMYFUNCTION("""COMPUTED_VALUE"""),"")</f>
        <v/>
      </c>
    </row>
    <row r="8403">
      <c r="A8403" s="15">
        <f>IFERROR(__xludf.DUMMYFUNCTION("""COMPUTED_VALUE"""),45239.0)</f>
        <v>45239</v>
      </c>
      <c r="B8403" s="16" t="str">
        <f>IFERROR(__xludf.DUMMYFUNCTION("""COMPUTED_VALUE"""),"Daniel José sandoval gonzalez")</f>
        <v>Daniel José sandoval gonzalez</v>
      </c>
      <c r="C8403" s="15" t="str">
        <f>IFERROR(__xludf.DUMMYFUNCTION("""COMPUTED_VALUE"""),"MEDELLÍN")</f>
        <v>MEDELLÍN</v>
      </c>
      <c r="D8403" s="15" t="str">
        <f>IFERROR(__xludf.DUMMYFUNCTION("""COMPUTED_VALUE"""),"BUCARAMANGA")</f>
        <v>BUCARAMANGA</v>
      </c>
      <c r="E8403" s="15" t="str">
        <f>IFERROR(__xludf.DUMMYFUNCTION("""COMPUTED_VALUE"""),"Yo Como Solito")</f>
        <v>Yo Como Solito</v>
      </c>
      <c r="F8403" s="17" t="str">
        <f>IFERROR(__xludf.DUMMYFUNCTION("""COMPUTED_VALUE"""),"CARRERA 15 BA #34D-44 INT 201 QUINTA LINDA / CARRERA 15 BA #34D-44 INT 201 QUINTA LINDA / CARRERA 15 BA #34D-44 INT 201 QUINTA LINDA")</f>
        <v>CARRERA 15 BA #34D-44 INT 201 QUINTA LINDA / CARRERA 15 BA #34D-44 INT 201 QUINTA LINDA / CARRERA 15 BA #34D-44 INT 201 QUINTA LINDA</v>
      </c>
      <c r="G8403" s="15" t="str">
        <f>IFERROR(__xludf.DUMMYFUNCTION("""COMPUTED_VALUE"""),"DANIELA BEDOYA BLANDON")</f>
        <v>DANIELA BEDOYA BLANDON</v>
      </c>
      <c r="H8403" s="16">
        <f>IFERROR(__xludf.DUMMYFUNCTION("""COMPUTED_VALUE"""),17048.0)</f>
        <v>17048</v>
      </c>
      <c r="I8403" s="18">
        <f>IFERROR(__xludf.DUMMYFUNCTION("""COMPUTED_VALUE"""),16.0)</f>
        <v>16</v>
      </c>
      <c r="J8403" s="18">
        <f>IFERROR(__xludf.DUMMYFUNCTION("""COMPUTED_VALUE"""),29.0)</f>
        <v>29</v>
      </c>
      <c r="K8403" s="18">
        <f>IFERROR(__xludf.DUMMYFUNCTION("""COMPUTED_VALUE"""),34.0)</f>
        <v>34</v>
      </c>
      <c r="L8403" s="17">
        <f>IFERROR(__xludf.DUMMYFUNCTION("""COMPUTED_VALUE"""),3.14672822E9)</f>
        <v>3146728220</v>
      </c>
      <c r="M8403" s="17"/>
      <c r="N8403" s="17"/>
      <c r="O8403" s="17"/>
      <c r="P8403" s="17" t="b">
        <f>IFERROR(__xludf.DUMMYFUNCTION("""COMPUTED_VALUE"""),TRUE)</f>
        <v>1</v>
      </c>
      <c r="Q8403" s="20">
        <f>IFERROR(__xludf.DUMMYFUNCTION("""COMPUTED_VALUE"""),45240.607945428244)</f>
        <v>45240.60795</v>
      </c>
      <c r="R8403" s="21" t="str">
        <f>IFERROR(__xludf.DUMMYFUNCTION("""COMPUTED_VALUE"""),"https://drive.google.com/file/d/1iFcPRynHnjJJ_NguCajg17Pes0DxYvdF/view?usp=drivesdk")</f>
        <v>https://drive.google.com/file/d/1iFcPRynHnjJJ_NguCajg17Pes0DxYvdF/view?usp=drivesdk</v>
      </c>
    </row>
    <row r="8404">
      <c r="A8404" s="17" t="str">
        <f>IFERROR(__xludf.DUMMYFUNCTION("""COMPUTED_VALUE"""),"")</f>
        <v/>
      </c>
      <c r="B8404" s="17" t="str">
        <f>IFERROR(__xludf.DUMMYFUNCTION("""COMPUTED_VALUE"""),"")</f>
        <v/>
      </c>
      <c r="C8404" s="17" t="str">
        <f>IFERROR(__xludf.DUMMYFUNCTION("""COMPUTED_VALUE"""),"")</f>
        <v/>
      </c>
      <c r="D8404" s="17" t="str">
        <f>IFERROR(__xludf.DUMMYFUNCTION("""COMPUTED_VALUE"""),"")</f>
        <v/>
      </c>
      <c r="E8404" s="17" t="str">
        <f>IFERROR(__xludf.DUMMYFUNCTION("""COMPUTED_VALUE"""),"")</f>
        <v/>
      </c>
      <c r="F8404" s="17" t="str">
        <f>IFERROR(__xludf.DUMMYFUNCTION("""COMPUTED_VALUE"""),"")</f>
        <v/>
      </c>
      <c r="G8404" s="17" t="str">
        <f>IFERROR(__xludf.DUMMYFUNCTION("""COMPUTED_VALUE"""),"")</f>
        <v/>
      </c>
      <c r="H8404" s="17" t="str">
        <f>IFERROR(__xludf.DUMMYFUNCTION("""COMPUTED_VALUE"""),"")</f>
        <v/>
      </c>
      <c r="I8404" s="17" t="str">
        <f>IFERROR(__xludf.DUMMYFUNCTION("""COMPUTED_VALUE"""),"")</f>
        <v/>
      </c>
      <c r="J8404" s="17" t="str">
        <f>IFERROR(__xludf.DUMMYFUNCTION("""COMPUTED_VALUE"""),"")</f>
        <v/>
      </c>
      <c r="K8404" s="17" t="str">
        <f>IFERROR(__xludf.DUMMYFUNCTION("""COMPUTED_VALUE"""),"")</f>
        <v/>
      </c>
      <c r="L8404" s="17" t="str">
        <f>IFERROR(__xludf.DUMMYFUNCTION("""COMPUTED_VALUE"""),"")</f>
        <v/>
      </c>
      <c r="M8404" s="17" t="str">
        <f>IFERROR(__xludf.DUMMYFUNCTION("""COMPUTED_VALUE"""),"")</f>
        <v/>
      </c>
      <c r="N8404" s="17" t="str">
        <f>IFERROR(__xludf.DUMMYFUNCTION("""COMPUTED_VALUE"""),"")</f>
        <v/>
      </c>
      <c r="O8404" s="17" t="str">
        <f>IFERROR(__xludf.DUMMYFUNCTION("""COMPUTED_VALUE"""),"")</f>
        <v/>
      </c>
      <c r="P8404" s="17" t="str">
        <f>IFERROR(__xludf.DUMMYFUNCTION("""COMPUTED_VALUE"""),"")</f>
        <v/>
      </c>
      <c r="Q8404" s="17" t="str">
        <f>IFERROR(__xludf.DUMMYFUNCTION("""COMPUTED_VALUE"""),"")</f>
        <v/>
      </c>
      <c r="R8404" s="17" t="str">
        <f>IFERROR(__xludf.DUMMYFUNCTION("""COMPUTED_VALUE"""),"")</f>
        <v/>
      </c>
    </row>
    <row r="8405">
      <c r="A8405" s="15">
        <f>IFERROR(__xludf.DUMMYFUNCTION("""COMPUTED_VALUE"""),45239.0)</f>
        <v>45239</v>
      </c>
      <c r="B8405" s="16" t="str">
        <f>IFERROR(__xludf.DUMMYFUNCTION("""COMPUTED_VALUE"""),"David Sanmartin Bello")</f>
        <v>David Sanmartin Bello</v>
      </c>
      <c r="C8405" s="15" t="str">
        <f>IFERROR(__xludf.DUMMYFUNCTION("""COMPUTED_VALUE"""),"BARRANQUILLA")</f>
        <v>BARRANQUILLA</v>
      </c>
      <c r="D8405" s="15" t="str">
        <f>IFERROR(__xludf.DUMMYFUNCTION("""COMPUTED_VALUE"""),"BOGOTÁ")</f>
        <v>BOGOTÁ</v>
      </c>
      <c r="E8405" s="15" t="str">
        <f>IFERROR(__xludf.DUMMYFUNCTION("""COMPUTED_VALUE"""),"Pan de Yuca")</f>
        <v>Pan de Yuca</v>
      </c>
      <c r="F8405" s="17" t="str">
        <f>IFERROR(__xludf.DUMMYFUNCTION("""COMPUTED_VALUE"""),"Calle 84 No 58-47 local 9 /  Centro comercial plaza 59 - local 9  / Centro comercial plaza 59")</f>
        <v>Calle 84 No 58-47 local 9 /  Centro comercial plaza 59 - local 9  / Centro comercial plaza 59</v>
      </c>
      <c r="G8405" s="15" t="str">
        <f>IFERROR(__xludf.DUMMYFUNCTION("""COMPUTED_VALUE"""),"Alejandro Córdoba")</f>
        <v>Alejandro Córdoba</v>
      </c>
      <c r="H8405" s="16">
        <f>IFERROR(__xludf.DUMMYFUNCTION("""COMPUTED_VALUE"""),17050.0)</f>
        <v>17050</v>
      </c>
      <c r="I8405" s="18">
        <f>IFERROR(__xludf.DUMMYFUNCTION("""COMPUTED_VALUE"""),27.0)</f>
        <v>27</v>
      </c>
      <c r="J8405" s="18">
        <f>IFERROR(__xludf.DUMMYFUNCTION("""COMPUTED_VALUE"""),30.0)</f>
        <v>30</v>
      </c>
      <c r="K8405" s="18">
        <f>IFERROR(__xludf.DUMMYFUNCTION("""COMPUTED_VALUE"""),23.0)</f>
        <v>23</v>
      </c>
      <c r="L8405" s="17">
        <f>IFERROR(__xludf.DUMMYFUNCTION("""COMPUTED_VALUE"""),3.003219814E9)</f>
        <v>3003219814</v>
      </c>
      <c r="M8405" s="17"/>
      <c r="N8405" s="17"/>
      <c r="O8405" s="17"/>
      <c r="P8405" s="17" t="b">
        <f>IFERROR(__xludf.DUMMYFUNCTION("""COMPUTED_VALUE"""),FALSE)</f>
        <v>0</v>
      </c>
      <c r="Q8405" s="20" t="str">
        <f>IFERROR(__xludf.DUMMYFUNCTION("""COMPUTED_VALUE"""),"")</f>
        <v/>
      </c>
      <c r="R8405" s="21" t="str">
        <f>IFERROR(__xludf.DUMMYFUNCTION("""COMPUTED_VALUE"""),"https://drive.google.com/file/d/1KCH2AvrWTpxApvKFwV3XBvYbEXRX5teC/view?usp=drivesdk")</f>
        <v>https://drive.google.com/file/d/1KCH2AvrWTpxApvKFwV3XBvYbEXRX5teC/view?usp=drivesdk</v>
      </c>
    </row>
    <row r="8406">
      <c r="A8406" s="15">
        <f>IFERROR(__xludf.DUMMYFUNCTION("""COMPUTED_VALUE"""),45239.0)</f>
        <v>45239</v>
      </c>
      <c r="B8406" s="16" t="str">
        <f>IFERROR(__xludf.DUMMYFUNCTION("""COMPUTED_VALUE"""),"David Sanmartin Bello")</f>
        <v>David Sanmartin Bello</v>
      </c>
      <c r="C8406" s="15" t="str">
        <f>IFERROR(__xludf.DUMMYFUNCTION("""COMPUTED_VALUE"""),"BARRANQUILLA")</f>
        <v>BARRANQUILLA</v>
      </c>
      <c r="D8406" s="15" t="str">
        <f>IFERROR(__xludf.DUMMYFUNCTION("""COMPUTED_VALUE"""),"BOGOTÁ")</f>
        <v>BOGOTÁ</v>
      </c>
      <c r="E8406" s="15" t="str">
        <f>IFERROR(__xludf.DUMMYFUNCTION("""COMPUTED_VALUE"""),"Top Spun")</f>
        <v>Top Spun</v>
      </c>
      <c r="F8406" s="17" t="str">
        <f>IFERROR(__xludf.DUMMYFUNCTION("""COMPUTED_VALUE"""),"Cra 59B# 84-48    / Edificio Vivace   / apto 1401")</f>
        <v>Cra 59B# 84-48    / Edificio Vivace   / apto 1401</v>
      </c>
      <c r="G8406" s="15" t="str">
        <f>IFERROR(__xludf.DUMMYFUNCTION("""COMPUTED_VALUE"""),"Roxana Iglesias")</f>
        <v>Roxana Iglesias</v>
      </c>
      <c r="H8406" s="16">
        <f>IFERROR(__xludf.DUMMYFUNCTION("""COMPUTED_VALUE"""),16976.0)</f>
        <v>16976</v>
      </c>
      <c r="I8406" s="18">
        <f>IFERROR(__xludf.DUMMYFUNCTION("""COMPUTED_VALUE"""),30.0)</f>
        <v>30</v>
      </c>
      <c r="J8406" s="18">
        <f>IFERROR(__xludf.DUMMYFUNCTION("""COMPUTED_VALUE"""),20.0)</f>
        <v>20</v>
      </c>
      <c r="K8406" s="18">
        <f>IFERROR(__xludf.DUMMYFUNCTION("""COMPUTED_VALUE"""),50.0)</f>
        <v>50</v>
      </c>
      <c r="L8406" s="17">
        <f>IFERROR(__xludf.DUMMYFUNCTION("""COMPUTED_VALUE"""),3.135005418E9)</f>
        <v>3135005418</v>
      </c>
      <c r="M8406" s="17"/>
      <c r="N8406" s="17"/>
      <c r="O8406" s="17"/>
      <c r="P8406" s="17" t="b">
        <f>IFERROR(__xludf.DUMMYFUNCTION("""COMPUTED_VALUE"""),FALSE)</f>
        <v>0</v>
      </c>
      <c r="Q8406" s="20" t="str">
        <f>IFERROR(__xludf.DUMMYFUNCTION("""COMPUTED_VALUE"""),"")</f>
        <v/>
      </c>
      <c r="R8406" s="21" t="str">
        <f>IFERROR(__xludf.DUMMYFUNCTION("""COMPUTED_VALUE"""),"https://drive.google.com/file/d/1nQU-Uk6sp6K5MhzDkDOyGLfvkMOKJ5j-/view?usp=drivesdk")</f>
        <v>https://drive.google.com/file/d/1nQU-Uk6sp6K5MhzDkDOyGLfvkMOKJ5j-/view?usp=drivesdk</v>
      </c>
    </row>
    <row r="8407">
      <c r="A8407" s="15">
        <f>IFERROR(__xludf.DUMMYFUNCTION("""COMPUTED_VALUE"""),45239.0)</f>
        <v>45239</v>
      </c>
      <c r="B8407" s="16" t="str">
        <f>IFERROR(__xludf.DUMMYFUNCTION("""COMPUTED_VALUE"""),"David Sanmartin Bello")</f>
        <v>David Sanmartin Bello</v>
      </c>
      <c r="C8407" s="15" t="str">
        <f>IFERROR(__xludf.DUMMYFUNCTION("""COMPUTED_VALUE"""),"CARTAGENA")</f>
        <v>CARTAGENA</v>
      </c>
      <c r="D8407" s="15" t="str">
        <f>IFERROR(__xludf.DUMMYFUNCTION("""COMPUTED_VALUE"""),"BOGOTÁ")</f>
        <v>BOGOTÁ</v>
      </c>
      <c r="E8407" s="15" t="str">
        <f>IFERROR(__xludf.DUMMYFUNCTION("""COMPUTED_VALUE"""),"Karem foods")</f>
        <v>Karem foods</v>
      </c>
      <c r="F8407" s="17" t="str">
        <f>IFERROR(__xludf.DUMMYFUNCTION("""COMPUTED_VALUE"""),"BRR BGRANDE CLL6 NO4-20 / LOCAL 109 / -")</f>
        <v>BRR BGRANDE CLL6 NO4-20 / LOCAL 109 / -</v>
      </c>
      <c r="G8407" s="15" t="str">
        <f>IFERROR(__xludf.DUMMYFUNCTION("""COMPUTED_VALUE"""),"Cocofit")</f>
        <v>Cocofit</v>
      </c>
      <c r="H8407" s="16">
        <f>IFERROR(__xludf.DUMMYFUNCTION("""COMPUTED_VALUE"""),17019.0)</f>
        <v>17019</v>
      </c>
      <c r="I8407" s="18">
        <f>IFERROR(__xludf.DUMMYFUNCTION("""COMPUTED_VALUE"""),28.0)</f>
        <v>28</v>
      </c>
      <c r="J8407" s="18">
        <f>IFERROR(__xludf.DUMMYFUNCTION("""COMPUTED_VALUE"""),30.0)</f>
        <v>30</v>
      </c>
      <c r="K8407" s="18">
        <f>IFERROR(__xludf.DUMMYFUNCTION("""COMPUTED_VALUE"""),25.0)</f>
        <v>25</v>
      </c>
      <c r="L8407" s="17">
        <f>IFERROR(__xludf.DUMMYFUNCTION("""COMPUTED_VALUE"""),3.105318059E9)</f>
        <v>3105318059</v>
      </c>
      <c r="M8407" s="17"/>
      <c r="N8407" s="17"/>
      <c r="O8407" s="17"/>
      <c r="P8407" s="17" t="b">
        <f>IFERROR(__xludf.DUMMYFUNCTION("""COMPUTED_VALUE"""),FALSE)</f>
        <v>0</v>
      </c>
      <c r="Q8407" s="20" t="str">
        <f>IFERROR(__xludf.DUMMYFUNCTION("""COMPUTED_VALUE"""),"")</f>
        <v/>
      </c>
      <c r="R8407" s="21" t="str">
        <f>IFERROR(__xludf.DUMMYFUNCTION("""COMPUTED_VALUE"""),"https://drive.google.com/file/d/1QQDhb7m8dYz2PZM-OwSde2Bv6qXmUMiE/view?usp=drivesdk")</f>
        <v>https://drive.google.com/file/d/1QQDhb7m8dYz2PZM-OwSde2Bv6qXmUMiE/view?usp=drivesdk</v>
      </c>
    </row>
    <row r="8408">
      <c r="A8408" s="15">
        <f>IFERROR(__xludf.DUMMYFUNCTION("""COMPUTED_VALUE"""),45239.0)</f>
        <v>45239</v>
      </c>
      <c r="B8408" s="16" t="str">
        <f>IFERROR(__xludf.DUMMYFUNCTION("""COMPUTED_VALUE"""),"David Sanmartin Bello")</f>
        <v>David Sanmartin Bello</v>
      </c>
      <c r="C8408" s="15" t="str">
        <f>IFERROR(__xludf.DUMMYFUNCTION("""COMPUTED_VALUE"""),"CARTAGENA")</f>
        <v>CARTAGENA</v>
      </c>
      <c r="D8408" s="15" t="str">
        <f>IFERROR(__xludf.DUMMYFUNCTION("""COMPUTED_VALUE"""),"BOGOTÁ")</f>
        <v>BOGOTÁ</v>
      </c>
      <c r="E8408" s="15" t="str">
        <f>IFERROR(__xludf.DUMMYFUNCTION("""COMPUTED_VALUE"""),"La Caja de Pan")</f>
        <v>La Caja de Pan</v>
      </c>
      <c r="F8408" s="17" t="str">
        <f>IFERROR(__xludf.DUMMYFUNCTION("""COMPUTED_VALUE"""),"cra 9 #34-30  / Apt 1204, edificio Atabeira / BR la Boquilla")</f>
        <v>cra 9 #34-30  / Apt 1204, edificio Atabeira / BR la Boquilla</v>
      </c>
      <c r="G8408" s="15" t="str">
        <f>IFERROR(__xludf.DUMMYFUNCTION("""COMPUTED_VALUE"""),"Patricia Soriano Ortega")</f>
        <v>Patricia Soriano Ortega</v>
      </c>
      <c r="H8408" s="16">
        <f>IFERROR(__xludf.DUMMYFUNCTION("""COMPUTED_VALUE"""),17022.0)</f>
        <v>17022</v>
      </c>
      <c r="I8408" s="18">
        <f>IFERROR(__xludf.DUMMYFUNCTION("""COMPUTED_VALUE"""),13.0)</f>
        <v>13</v>
      </c>
      <c r="J8408" s="18">
        <f>IFERROR(__xludf.DUMMYFUNCTION("""COMPUTED_VALUE"""),20.0)</f>
        <v>20</v>
      </c>
      <c r="K8408" s="18">
        <f>IFERROR(__xludf.DUMMYFUNCTION("""COMPUTED_VALUE"""),22.0)</f>
        <v>22</v>
      </c>
      <c r="L8408" s="17">
        <f>IFERROR(__xludf.DUMMYFUNCTION("""COMPUTED_VALUE"""),3.142768652E9)</f>
        <v>3142768652</v>
      </c>
      <c r="M8408" s="17"/>
      <c r="N8408" s="17"/>
      <c r="O8408" s="17"/>
      <c r="P8408" s="17" t="b">
        <f>IFERROR(__xludf.DUMMYFUNCTION("""COMPUTED_VALUE"""),FALSE)</f>
        <v>0</v>
      </c>
      <c r="Q8408" s="20" t="str">
        <f>IFERROR(__xludf.DUMMYFUNCTION("""COMPUTED_VALUE"""),"")</f>
        <v/>
      </c>
      <c r="R8408" s="21" t="str">
        <f>IFERROR(__xludf.DUMMYFUNCTION("""COMPUTED_VALUE"""),"https://drive.google.com/file/d/1ENoOEv_S6-_ejLi0VyhRST_tFefoEdot/view?usp=drivesdk")</f>
        <v>https://drive.google.com/file/d/1ENoOEv_S6-_ejLi0VyhRST_tFefoEdot/view?usp=drivesdk</v>
      </c>
    </row>
    <row r="8409">
      <c r="A8409" s="17" t="str">
        <f>IFERROR(__xludf.DUMMYFUNCTION("""COMPUTED_VALUE"""),"")</f>
        <v/>
      </c>
      <c r="B8409" s="17" t="str">
        <f>IFERROR(__xludf.DUMMYFUNCTION("""COMPUTED_VALUE"""),"")</f>
        <v/>
      </c>
      <c r="C8409" s="17" t="str">
        <f>IFERROR(__xludf.DUMMYFUNCTION("""COMPUTED_VALUE"""),"")</f>
        <v/>
      </c>
      <c r="D8409" s="17" t="str">
        <f>IFERROR(__xludf.DUMMYFUNCTION("""COMPUTED_VALUE"""),"")</f>
        <v/>
      </c>
      <c r="E8409" s="17" t="str">
        <f>IFERROR(__xludf.DUMMYFUNCTION("""COMPUTED_VALUE"""),"")</f>
        <v/>
      </c>
      <c r="F8409" s="17" t="str">
        <f>IFERROR(__xludf.DUMMYFUNCTION("""COMPUTED_VALUE"""),"")</f>
        <v/>
      </c>
      <c r="G8409" s="17" t="str">
        <f>IFERROR(__xludf.DUMMYFUNCTION("""COMPUTED_VALUE"""),"")</f>
        <v/>
      </c>
      <c r="H8409" s="17" t="str">
        <f>IFERROR(__xludf.DUMMYFUNCTION("""COMPUTED_VALUE"""),"")</f>
        <v/>
      </c>
      <c r="I8409" s="17" t="str">
        <f>IFERROR(__xludf.DUMMYFUNCTION("""COMPUTED_VALUE"""),"")</f>
        <v/>
      </c>
      <c r="J8409" s="17" t="str">
        <f>IFERROR(__xludf.DUMMYFUNCTION("""COMPUTED_VALUE"""),"")</f>
        <v/>
      </c>
      <c r="K8409" s="17" t="str">
        <f>IFERROR(__xludf.DUMMYFUNCTION("""COMPUTED_VALUE"""),"")</f>
        <v/>
      </c>
      <c r="L8409" s="17" t="str">
        <f>IFERROR(__xludf.DUMMYFUNCTION("""COMPUTED_VALUE"""),"")</f>
        <v/>
      </c>
      <c r="M8409" s="17" t="str">
        <f>IFERROR(__xludf.DUMMYFUNCTION("""COMPUTED_VALUE"""),"")</f>
        <v/>
      </c>
      <c r="N8409" s="17" t="str">
        <f>IFERROR(__xludf.DUMMYFUNCTION("""COMPUTED_VALUE"""),"")</f>
        <v/>
      </c>
      <c r="O8409" s="17" t="str">
        <f>IFERROR(__xludf.DUMMYFUNCTION("""COMPUTED_VALUE"""),"")</f>
        <v/>
      </c>
      <c r="P8409" s="17" t="str">
        <f>IFERROR(__xludf.DUMMYFUNCTION("""COMPUTED_VALUE"""),"")</f>
        <v/>
      </c>
      <c r="Q8409" s="17" t="str">
        <f>IFERROR(__xludf.DUMMYFUNCTION("""COMPUTED_VALUE"""),"")</f>
        <v/>
      </c>
      <c r="R8409" s="17" t="str">
        <f>IFERROR(__xludf.DUMMYFUNCTION("""COMPUTED_VALUE"""),"")</f>
        <v/>
      </c>
    </row>
    <row r="8410">
      <c r="A8410" s="15">
        <f>IFERROR(__xludf.DUMMYFUNCTION("""COMPUTED_VALUE"""),45239.0)</f>
        <v>45239</v>
      </c>
      <c r="B8410" s="16" t="str">
        <f>IFERROR(__xludf.DUMMYFUNCTION("""COMPUTED_VALUE"""),"Envia")</f>
        <v>Envia</v>
      </c>
      <c r="C8410" s="15" t="str">
        <f>IFERROR(__xludf.DUMMYFUNCTION("""COMPUTED_VALUE"""),"BARRANQUILLA")</f>
        <v>BARRANQUILLA</v>
      </c>
      <c r="D8410" s="15" t="str">
        <f>IFERROR(__xludf.DUMMYFUNCTION("""COMPUTED_VALUE"""),"BOGOTÁ")</f>
        <v>BOGOTÁ</v>
      </c>
      <c r="E8410" s="15" t="str">
        <f>IFERROR(__xludf.DUMMYFUNCTION("""COMPUTED_VALUE"""),"LINA PAOLA RAMIREZ GOMEZ - EVA MAZZITA")</f>
        <v>LINA PAOLA RAMIREZ GOMEZ - EVA MAZZITA</v>
      </c>
      <c r="F8410" s="17" t="str">
        <f>IFERROR(__xludf.DUMMYFUNCTION("""COMPUTED_VALUE"""),"Carrera 41D # 79 - 58 / (casa) Barrio Los Jobos")</f>
        <v>Carrera 41D # 79 - 58 / (casa) Barrio Los Jobos</v>
      </c>
      <c r="G8410" s="15" t="str">
        <f>IFERROR(__xludf.DUMMYFUNCTION("""COMPUTED_VALUE"""),"KARLA BALLESTEROS GARCIA")</f>
        <v>KARLA BALLESTEROS GARCIA</v>
      </c>
      <c r="H8410" s="16">
        <f>IFERROR(__xludf.DUMMYFUNCTION("""COMPUTED_VALUE"""),17151.0)</f>
        <v>17151</v>
      </c>
      <c r="I8410" s="17"/>
      <c r="J8410" s="17"/>
      <c r="K8410" s="17"/>
      <c r="L8410" s="17">
        <f>IFERROR(__xludf.DUMMYFUNCTION("""COMPUTED_VALUE"""),3.128920153E9)</f>
        <v>3128920153</v>
      </c>
      <c r="M8410" s="17"/>
      <c r="N8410" s="17"/>
      <c r="O8410" s="17"/>
      <c r="P8410" s="17" t="b">
        <f>IFERROR(__xludf.DUMMYFUNCTION("""COMPUTED_VALUE"""),FALSE)</f>
        <v>0</v>
      </c>
      <c r="Q8410" s="20" t="str">
        <f>IFERROR(__xludf.DUMMYFUNCTION("""COMPUTED_VALUE"""),"")</f>
        <v/>
      </c>
      <c r="R8410" s="21" t="str">
        <f>IFERROR(__xludf.DUMMYFUNCTION("""COMPUTED_VALUE"""),"https://drive.google.com/file/d/1R8n84Ybl7AYNSupoU4OL8X8TYwTbC5iA/view?usp=drivesdk")</f>
        <v>https://drive.google.com/file/d/1R8n84Ybl7AYNSupoU4OL8X8TYwTbC5iA/view?usp=drivesdk</v>
      </c>
    </row>
    <row r="8411">
      <c r="A8411" s="15">
        <f>IFERROR(__xludf.DUMMYFUNCTION("""COMPUTED_VALUE"""),45239.0)</f>
        <v>45239</v>
      </c>
      <c r="B8411" s="16" t="str">
        <f>IFERROR(__xludf.DUMMYFUNCTION("""COMPUTED_VALUE"""),"Envia")</f>
        <v>Envia</v>
      </c>
      <c r="C8411" s="15" t="str">
        <f>IFERROR(__xludf.DUMMYFUNCTION("""COMPUTED_VALUE"""),"CALI")</f>
        <v>CALI</v>
      </c>
      <c r="D8411" s="15" t="str">
        <f>IFERROR(__xludf.DUMMYFUNCTION("""COMPUTED_VALUE"""),"MEDELLÍN")</f>
        <v>MEDELLÍN</v>
      </c>
      <c r="E8411" s="15" t="str">
        <f>IFERROR(__xludf.DUMMYFUNCTION("""COMPUTED_VALUE"""),"Salón Ahumado")</f>
        <v>Salón Ahumado</v>
      </c>
      <c r="F8411" s="17" t="str">
        <f>IFERROR(__xludf.DUMMYFUNCTION("""COMPUTED_VALUE"""),"Avenida 2 oeste #11-60 / Edificio Hábitat/apto 801 / Barrio Santa Rita/ Cali")</f>
        <v>Avenida 2 oeste #11-60 / Edificio Hábitat/apto 801 / Barrio Santa Rita/ Cali</v>
      </c>
      <c r="G8411" s="15" t="str">
        <f>IFERROR(__xludf.DUMMYFUNCTION("""COMPUTED_VALUE"""),"Marino Ospina")</f>
        <v>Marino Ospina</v>
      </c>
      <c r="H8411" s="16">
        <f>IFERROR(__xludf.DUMMYFUNCTION("""COMPUTED_VALUE"""),17044.0)</f>
        <v>17044</v>
      </c>
      <c r="I8411" s="18">
        <f>IFERROR(__xludf.DUMMYFUNCTION("""COMPUTED_VALUE"""),25.0)</f>
        <v>25</v>
      </c>
      <c r="J8411" s="18">
        <f>IFERROR(__xludf.DUMMYFUNCTION("""COMPUTED_VALUE"""),15.0)</f>
        <v>15</v>
      </c>
      <c r="K8411" s="18">
        <f>IFERROR(__xludf.DUMMYFUNCTION("""COMPUTED_VALUE"""),25.0)</f>
        <v>25</v>
      </c>
      <c r="L8411" s="17">
        <f>IFERROR(__xludf.DUMMYFUNCTION("""COMPUTED_VALUE"""),3.162784254E9)</f>
        <v>3162784254</v>
      </c>
      <c r="M8411" s="17"/>
      <c r="N8411" s="17"/>
      <c r="O8411" s="17"/>
      <c r="P8411" s="17" t="b">
        <f>IFERROR(__xludf.DUMMYFUNCTION("""COMPUTED_VALUE"""),FALSE)</f>
        <v>0</v>
      </c>
      <c r="Q8411" s="20" t="str">
        <f>IFERROR(__xludf.DUMMYFUNCTION("""COMPUTED_VALUE"""),"")</f>
        <v/>
      </c>
      <c r="R8411" s="21" t="str">
        <f>IFERROR(__xludf.DUMMYFUNCTION("""COMPUTED_VALUE"""),"https://drive.google.com/file/d/1OYEip4uy7advjVAcOTD5JD9xgQC99KxJ/view?usp=drivesdk")</f>
        <v>https://drive.google.com/file/d/1OYEip4uy7advjVAcOTD5JD9xgQC99KxJ/view?usp=drivesdk</v>
      </c>
    </row>
    <row r="8412">
      <c r="A8412" s="15">
        <f>IFERROR(__xludf.DUMMYFUNCTION("""COMPUTED_VALUE"""),45239.0)</f>
        <v>45239</v>
      </c>
      <c r="B8412" s="16" t="str">
        <f>IFERROR(__xludf.DUMMYFUNCTION("""COMPUTED_VALUE"""),"Envia")</f>
        <v>Envia</v>
      </c>
      <c r="C8412" s="15" t="str">
        <f>IFERROR(__xludf.DUMMYFUNCTION("""COMPUTED_VALUE"""),"CARTAGENA")</f>
        <v>CARTAGENA</v>
      </c>
      <c r="D8412" s="15" t="str">
        <f>IFERROR(__xludf.DUMMYFUNCTION("""COMPUTED_VALUE"""),"BOGOTÁ")</f>
        <v>BOGOTÁ</v>
      </c>
      <c r="E8412" s="15" t="str">
        <f>IFERROR(__xludf.DUMMYFUNCTION("""COMPUTED_VALUE"""),"LINA PAOLA RAMIREZ GOMEZ - EVA MAZZITA")</f>
        <v>LINA PAOLA RAMIREZ GOMEZ - EVA MAZZITA</v>
      </c>
      <c r="F8412" s="17" t="str">
        <f>IFERROR(__xludf.DUMMYFUNCTION("""COMPUTED_VALUE"""),"edificio montebianco torre 3 b apto 916. / edificio montebianco torre 3 b apto 916.")</f>
        <v>edificio montebianco torre 3 b apto 916. / edificio montebianco torre 3 b apto 916.</v>
      </c>
      <c r="G8412" s="15" t="str">
        <f>IFERROR(__xludf.DUMMYFUNCTION("""COMPUTED_VALUE"""),"LELYS THORRENS")</f>
        <v>LELYS THORRENS</v>
      </c>
      <c r="H8412" s="16">
        <f>IFERROR(__xludf.DUMMYFUNCTION("""COMPUTED_VALUE"""),17056.0)</f>
        <v>17056</v>
      </c>
      <c r="I8412" s="17"/>
      <c r="J8412" s="17"/>
      <c r="K8412" s="17"/>
      <c r="L8412" s="17">
        <f>IFERROR(__xludf.DUMMYFUNCTION("""COMPUTED_VALUE"""),3.005251631E9)</f>
        <v>3005251631</v>
      </c>
      <c r="M8412" s="17"/>
      <c r="N8412" s="17"/>
      <c r="O8412" s="17"/>
      <c r="P8412" s="17" t="b">
        <f>IFERROR(__xludf.DUMMYFUNCTION("""COMPUTED_VALUE"""),FALSE)</f>
        <v>0</v>
      </c>
      <c r="Q8412" s="20" t="str">
        <f>IFERROR(__xludf.DUMMYFUNCTION("""COMPUTED_VALUE"""),"")</f>
        <v/>
      </c>
      <c r="R8412" s="21" t="str">
        <f>IFERROR(__xludf.DUMMYFUNCTION("""COMPUTED_VALUE"""),"https://drive.google.com/file/d/1Y1XLuZN4qORWIuqDY4DhIFV_LM5qJOsW/view?usp=drivesdk")</f>
        <v>https://drive.google.com/file/d/1Y1XLuZN4qORWIuqDY4DhIFV_LM5qJOsW/view?usp=drivesdk</v>
      </c>
    </row>
    <row r="8413">
      <c r="A8413" s="15">
        <f>IFERROR(__xludf.DUMMYFUNCTION("""COMPUTED_VALUE"""),45239.0)</f>
        <v>45239</v>
      </c>
      <c r="B8413" s="16" t="str">
        <f>IFERROR(__xludf.DUMMYFUNCTION("""COMPUTED_VALUE"""),"Envia")</f>
        <v>Envia</v>
      </c>
      <c r="C8413" s="15" t="str">
        <f>IFERROR(__xludf.DUMMYFUNCTION("""COMPUTED_VALUE"""),"FUSAGASUGÁ")</f>
        <v>FUSAGASUGÁ</v>
      </c>
      <c r="D8413" s="15" t="str">
        <f>IFERROR(__xludf.DUMMYFUNCTION("""COMPUTED_VALUE"""),"BOGOTÁ")</f>
        <v>BOGOTÁ</v>
      </c>
      <c r="E8413" s="15" t="str">
        <f>IFERROR(__xludf.DUMMYFUNCTION("""COMPUTED_VALUE"""),"LINA PAOLA RAMIREZ GOMEZ - EVA MAZZITA")</f>
        <v>LINA PAOLA RAMIREZ GOMEZ - EVA MAZZITA</v>
      </c>
      <c r="F8413" s="17" t="str">
        <f>IFERROR(__xludf.DUMMYFUNCTION("""COMPUTED_VALUE"""),"CARRERA 39 C # 22 C - 05 / TORRES DE PALMETO ETAPA 2 APTO. 601")</f>
        <v>CARRERA 39 C # 22 C - 05 / TORRES DE PALMETO ETAPA 2 APTO. 601</v>
      </c>
      <c r="G8413" s="15" t="str">
        <f>IFERROR(__xludf.DUMMYFUNCTION("""COMPUTED_VALUE"""),"YESICA TATIANA GALLEGO OCAMPO")</f>
        <v>YESICA TATIANA GALLEGO OCAMPO</v>
      </c>
      <c r="H8413" s="16">
        <f>IFERROR(__xludf.DUMMYFUNCTION("""COMPUTED_VALUE"""),17154.0)</f>
        <v>17154</v>
      </c>
      <c r="I8413" s="17"/>
      <c r="J8413" s="17"/>
      <c r="K8413" s="17"/>
      <c r="L8413" s="17">
        <f>IFERROR(__xludf.DUMMYFUNCTION("""COMPUTED_VALUE"""),3.244761309E9)</f>
        <v>3244761309</v>
      </c>
      <c r="M8413" s="17"/>
      <c r="N8413" s="17"/>
      <c r="O8413" s="17"/>
      <c r="P8413" s="17" t="b">
        <f>IFERROR(__xludf.DUMMYFUNCTION("""COMPUTED_VALUE"""),FALSE)</f>
        <v>0</v>
      </c>
      <c r="Q8413" s="20" t="str">
        <f>IFERROR(__xludf.DUMMYFUNCTION("""COMPUTED_VALUE"""),"")</f>
        <v/>
      </c>
      <c r="R8413" s="22" t="str">
        <f>IFERROR(__xludf.DUMMYFUNCTION("""COMPUTED_VALUE"""),"")</f>
        <v/>
      </c>
    </row>
    <row r="8414">
      <c r="A8414" s="15">
        <f>IFERROR(__xludf.DUMMYFUNCTION("""COMPUTED_VALUE"""),45239.0)</f>
        <v>45239</v>
      </c>
      <c r="B8414" s="16" t="str">
        <f>IFERROR(__xludf.DUMMYFUNCTION("""COMPUTED_VALUE"""),"Envia")</f>
        <v>Envia</v>
      </c>
      <c r="C8414" s="15" t="str">
        <f>IFERROR(__xludf.DUMMYFUNCTION("""COMPUTED_VALUE"""),"FUSAGASUGÁ")</f>
        <v>FUSAGASUGÁ</v>
      </c>
      <c r="D8414" s="15" t="str">
        <f>IFERROR(__xludf.DUMMYFUNCTION("""COMPUTED_VALUE"""),"BOGOTÁ")</f>
        <v>BOGOTÁ</v>
      </c>
      <c r="E8414" s="15" t="str">
        <f>IFERROR(__xludf.DUMMYFUNCTION("""COMPUTED_VALUE"""),"LINA PAOLA RAMIREZ GOMEZ - EVA MAZZITA")</f>
        <v>LINA PAOLA RAMIREZ GOMEZ - EVA MAZZITA</v>
      </c>
      <c r="F8414" s="17" t="str">
        <f>IFERROR(__xludf.DUMMYFUNCTION("""COMPUTED_VALUE"""),"CARRERA 5 # 19 - 33 / CONJUNTO LA ARBOLEDA CASA 1 FUSACATAN")</f>
        <v>CARRERA 5 # 19 - 33 / CONJUNTO LA ARBOLEDA CASA 1 FUSACATAN</v>
      </c>
      <c r="G8414" s="15" t="str">
        <f>IFERROR(__xludf.DUMMYFUNCTION("""COMPUTED_VALUE"""),"SUSANA ESPINOSA")</f>
        <v>SUSANA ESPINOSA</v>
      </c>
      <c r="H8414" s="16">
        <f>IFERROR(__xludf.DUMMYFUNCTION("""COMPUTED_VALUE"""),17155.0)</f>
        <v>17155</v>
      </c>
      <c r="I8414" s="17"/>
      <c r="J8414" s="17"/>
      <c r="K8414" s="17"/>
      <c r="L8414" s="17">
        <f>IFERROR(__xludf.DUMMYFUNCTION("""COMPUTED_VALUE"""),3.214236601E9)</f>
        <v>3214236601</v>
      </c>
      <c r="M8414" s="17"/>
      <c r="N8414" s="17"/>
      <c r="O8414" s="17"/>
      <c r="P8414" s="17" t="b">
        <f>IFERROR(__xludf.DUMMYFUNCTION("""COMPUTED_VALUE"""),FALSE)</f>
        <v>0</v>
      </c>
      <c r="Q8414" s="20" t="str">
        <f>IFERROR(__xludf.DUMMYFUNCTION("""COMPUTED_VALUE"""),"")</f>
        <v/>
      </c>
      <c r="R8414" s="22" t="str">
        <f>IFERROR(__xludf.DUMMYFUNCTION("""COMPUTED_VALUE"""),"")</f>
        <v/>
      </c>
    </row>
    <row r="8415">
      <c r="A8415" s="15">
        <f>IFERROR(__xludf.DUMMYFUNCTION("""COMPUTED_VALUE"""),45239.0)</f>
        <v>45239</v>
      </c>
      <c r="B8415" s="16" t="str">
        <f>IFERROR(__xludf.DUMMYFUNCTION("""COMPUTED_VALUE"""),"Envia")</f>
        <v>Envia</v>
      </c>
      <c r="C8415" s="15" t="str">
        <f>IFERROR(__xludf.DUMMYFUNCTION("""COMPUTED_VALUE"""),"MONTERIA")</f>
        <v>MONTERIA</v>
      </c>
      <c r="D8415" s="15" t="str">
        <f>IFERROR(__xludf.DUMMYFUNCTION("""COMPUTED_VALUE"""),"BOGOTÁ")</f>
        <v>BOGOTÁ</v>
      </c>
      <c r="E8415" s="15" t="str">
        <f>IFERROR(__xludf.DUMMYFUNCTION("""COMPUTED_VALUE"""),"Lunchy Kids")</f>
        <v>Lunchy Kids</v>
      </c>
      <c r="F8415" s="17" t="str">
        <f>IFERROR(__xludf.DUMMYFUNCTION("""COMPUTED_VALUE"""),"Calle 69 #1c-81  / apto 402 edificio Ebano / Monteria")</f>
        <v>Calle 69 #1c-81  / apto 402 edificio Ebano / Monteria</v>
      </c>
      <c r="G8415" s="15" t="str">
        <f>IFERROR(__xludf.DUMMYFUNCTION("""COMPUTED_VALUE"""),"Lucia Cabrales")</f>
        <v>Lucia Cabrales</v>
      </c>
      <c r="H8415" s="16">
        <f>IFERROR(__xludf.DUMMYFUNCTION("""COMPUTED_VALUE"""),17030.0)</f>
        <v>17030</v>
      </c>
      <c r="I8415" s="18">
        <f>IFERROR(__xludf.DUMMYFUNCTION("""COMPUTED_VALUE"""),13.0)</f>
        <v>13</v>
      </c>
      <c r="J8415" s="18">
        <f>IFERROR(__xludf.DUMMYFUNCTION("""COMPUTED_VALUE"""),22.0)</f>
        <v>22</v>
      </c>
      <c r="K8415" s="18">
        <f>IFERROR(__xludf.DUMMYFUNCTION("""COMPUTED_VALUE"""),8.0)</f>
        <v>8</v>
      </c>
      <c r="L8415" s="17">
        <f>IFERROR(__xludf.DUMMYFUNCTION("""COMPUTED_VALUE"""),3.016420403E9)</f>
        <v>3016420403</v>
      </c>
      <c r="M8415" s="17"/>
      <c r="N8415" s="17"/>
      <c r="O8415" s="17"/>
      <c r="P8415" s="17" t="b">
        <f>IFERROR(__xludf.DUMMYFUNCTION("""COMPUTED_VALUE"""),TRUE)</f>
        <v>1</v>
      </c>
      <c r="Q8415" s="20">
        <f>IFERROR(__xludf.DUMMYFUNCTION("""COMPUTED_VALUE"""),45240.55340609954)</f>
        <v>45240.55341</v>
      </c>
      <c r="R8415" s="21" t="str">
        <f>IFERROR(__xludf.DUMMYFUNCTION("""COMPUTED_VALUE"""),"https://drive.google.com/file/d/1yFr1ss0yuv2nsdt96Q5iyIsItmBwCBDe/view?usp=drivesdk")</f>
        <v>https://drive.google.com/file/d/1yFr1ss0yuv2nsdt96Q5iyIsItmBwCBDe/view?usp=drivesdk</v>
      </c>
    </row>
    <row r="8416">
      <c r="A8416" s="15">
        <f>IFERROR(__xludf.DUMMYFUNCTION("""COMPUTED_VALUE"""),45239.0)</f>
        <v>45239</v>
      </c>
      <c r="B8416" s="16" t="str">
        <f>IFERROR(__xludf.DUMMYFUNCTION("""COMPUTED_VALUE"""),"Envia")</f>
        <v>Envia</v>
      </c>
      <c r="C8416" s="15" t="str">
        <f>IFERROR(__xludf.DUMMYFUNCTION("""COMPUTED_VALUE"""),"SANTA MARTA")</f>
        <v>SANTA MARTA</v>
      </c>
      <c r="D8416" s="15" t="str">
        <f>IFERROR(__xludf.DUMMYFUNCTION("""COMPUTED_VALUE"""),"BOGOTÁ")</f>
        <v>BOGOTÁ</v>
      </c>
      <c r="E8416" s="15" t="str">
        <f>IFERROR(__xludf.DUMMYFUNCTION("""COMPUTED_VALUE"""),"LINA PAOLA RAMIREZ GOMEZ - EVA MAZZITA")</f>
        <v>LINA PAOLA RAMIREZ GOMEZ - EVA MAZZITA</v>
      </c>
      <c r="F8416" s="17" t="str">
        <f>IFERROR(__xludf.DUMMYFUNCTION("""COMPUTED_VALUE"""),"AV. DEL LIBERTADOR # 29 - 125 / CASA 8 (CALLE FRETE A RESTAURANTE 18-08)")</f>
        <v>AV. DEL LIBERTADOR # 29 - 125 / CASA 8 (CALLE FRETE A RESTAURANTE 18-08)</v>
      </c>
      <c r="G8416" s="15" t="str">
        <f>IFERROR(__xludf.DUMMYFUNCTION("""COMPUTED_VALUE"""),"MAYA CADENA")</f>
        <v>MAYA CADENA</v>
      </c>
      <c r="H8416" s="16">
        <f>IFERROR(__xludf.DUMMYFUNCTION("""COMPUTED_VALUE"""),17158.0)</f>
        <v>17158</v>
      </c>
      <c r="I8416" s="17"/>
      <c r="J8416" s="17"/>
      <c r="K8416" s="17"/>
      <c r="L8416" s="17">
        <f>IFERROR(__xludf.DUMMYFUNCTION("""COMPUTED_VALUE"""),3.012318065E9)</f>
        <v>3012318065</v>
      </c>
      <c r="M8416" s="17"/>
      <c r="N8416" s="17"/>
      <c r="O8416" s="17"/>
      <c r="P8416" s="17" t="b">
        <f>IFERROR(__xludf.DUMMYFUNCTION("""COMPUTED_VALUE"""),TRUE)</f>
        <v>1</v>
      </c>
      <c r="Q8416" s="20">
        <f>IFERROR(__xludf.DUMMYFUNCTION("""COMPUTED_VALUE"""),45240.553486689816)</f>
        <v>45240.55349</v>
      </c>
      <c r="R8416" s="21" t="str">
        <f>IFERROR(__xludf.DUMMYFUNCTION("""COMPUTED_VALUE"""),"https://drive.google.com/file/d/1ATgoHQyJfa5z1BMRZwEfRnqdRNo64Qlw/view?usp=drivesdk")</f>
        <v>https://drive.google.com/file/d/1ATgoHQyJfa5z1BMRZwEfRnqdRNo64Qlw/view?usp=drivesdk</v>
      </c>
    </row>
    <row r="8417">
      <c r="A8417" s="15">
        <f>IFERROR(__xludf.DUMMYFUNCTION("""COMPUTED_VALUE"""),45239.0)</f>
        <v>45239</v>
      </c>
      <c r="B8417" s="16" t="str">
        <f>IFERROR(__xludf.DUMMYFUNCTION("""COMPUTED_VALUE"""),"Envia")</f>
        <v>Envia</v>
      </c>
      <c r="C8417" s="15" t="str">
        <f>IFERROR(__xludf.DUMMYFUNCTION("""COMPUTED_VALUE"""),"SANTA MARTA")</f>
        <v>SANTA MARTA</v>
      </c>
      <c r="D8417" s="15" t="str">
        <f>IFERROR(__xludf.DUMMYFUNCTION("""COMPUTED_VALUE"""),"BOGOTÁ")</f>
        <v>BOGOTÁ</v>
      </c>
      <c r="E8417" s="15" t="str">
        <f>IFERROR(__xludf.DUMMYFUNCTION("""COMPUTED_VALUE"""),"Spirulina Fresca")</f>
        <v>Spirulina Fresca</v>
      </c>
      <c r="F8417" s="17" t="str">
        <f>IFERROR(__xludf.DUMMYFUNCTION("""COMPUTED_VALUE"""),"Cll 74 A # 1 -107 apto 402  / Condominio Sierra Laguna  Barrio Pozos Colorados   / Pozos colorados")</f>
        <v>Cll 74 A # 1 -107 apto 402  / Condominio Sierra Laguna  Barrio Pozos Colorados   / Pozos colorados</v>
      </c>
      <c r="G8417" s="15" t="str">
        <f>IFERROR(__xludf.DUMMYFUNCTION("""COMPUTED_VALUE"""),"Jimena Cruz")</f>
        <v>Jimena Cruz</v>
      </c>
      <c r="H8417" s="16">
        <f>IFERROR(__xludf.DUMMYFUNCTION("""COMPUTED_VALUE"""),16994.0)</f>
        <v>16994</v>
      </c>
      <c r="I8417" s="18">
        <f>IFERROR(__xludf.DUMMYFUNCTION("""COMPUTED_VALUE"""),5.0)</f>
        <v>5</v>
      </c>
      <c r="J8417" s="18">
        <f>IFERROR(__xludf.DUMMYFUNCTION("""COMPUTED_VALUE"""),5.0)</f>
        <v>5</v>
      </c>
      <c r="K8417" s="18">
        <f>IFERROR(__xludf.DUMMYFUNCTION("""COMPUTED_VALUE"""),22.0)</f>
        <v>22</v>
      </c>
      <c r="L8417" s="17">
        <f>IFERROR(__xludf.DUMMYFUNCTION("""COMPUTED_VALUE"""),3.183591769E9)</f>
        <v>3183591769</v>
      </c>
      <c r="M8417" s="17"/>
      <c r="N8417" s="17"/>
      <c r="O8417" s="17"/>
      <c r="P8417" s="17" t="b">
        <f>IFERROR(__xludf.DUMMYFUNCTION("""COMPUTED_VALUE"""),FALSE)</f>
        <v>0</v>
      </c>
      <c r="Q8417" s="20" t="str">
        <f>IFERROR(__xludf.DUMMYFUNCTION("""COMPUTED_VALUE"""),"")</f>
        <v/>
      </c>
      <c r="R8417" s="21" t="str">
        <f>IFERROR(__xludf.DUMMYFUNCTION("""COMPUTED_VALUE"""),"https://drive.google.com/file/d/1hbExNFZxzSGkGlRUzbALSntHPqYjsnZP/view?usp=drivesdk")</f>
        <v>https://drive.google.com/file/d/1hbExNFZxzSGkGlRUzbALSntHPqYjsnZP/view?usp=drivesdk</v>
      </c>
    </row>
    <row r="8418">
      <c r="A8418" s="17" t="str">
        <f>IFERROR(__xludf.DUMMYFUNCTION("""COMPUTED_VALUE"""),"")</f>
        <v/>
      </c>
      <c r="B8418" s="17" t="str">
        <f>IFERROR(__xludf.DUMMYFUNCTION("""COMPUTED_VALUE"""),"")</f>
        <v/>
      </c>
      <c r="C8418" s="17" t="str">
        <f>IFERROR(__xludf.DUMMYFUNCTION("""COMPUTED_VALUE"""),"")</f>
        <v/>
      </c>
      <c r="D8418" s="17" t="str">
        <f>IFERROR(__xludf.DUMMYFUNCTION("""COMPUTED_VALUE"""),"")</f>
        <v/>
      </c>
      <c r="E8418" s="17" t="str">
        <f>IFERROR(__xludf.DUMMYFUNCTION("""COMPUTED_VALUE"""),"")</f>
        <v/>
      </c>
      <c r="F8418" s="17" t="str">
        <f>IFERROR(__xludf.DUMMYFUNCTION("""COMPUTED_VALUE"""),"")</f>
        <v/>
      </c>
      <c r="G8418" s="17" t="str">
        <f>IFERROR(__xludf.DUMMYFUNCTION("""COMPUTED_VALUE"""),"")</f>
        <v/>
      </c>
      <c r="H8418" s="17" t="str">
        <f>IFERROR(__xludf.DUMMYFUNCTION("""COMPUTED_VALUE"""),"")</f>
        <v/>
      </c>
      <c r="I8418" s="17" t="str">
        <f>IFERROR(__xludf.DUMMYFUNCTION("""COMPUTED_VALUE"""),"")</f>
        <v/>
      </c>
      <c r="J8418" s="17" t="str">
        <f>IFERROR(__xludf.DUMMYFUNCTION("""COMPUTED_VALUE"""),"")</f>
        <v/>
      </c>
      <c r="K8418" s="17" t="str">
        <f>IFERROR(__xludf.DUMMYFUNCTION("""COMPUTED_VALUE"""),"")</f>
        <v/>
      </c>
      <c r="L8418" s="17" t="str">
        <f>IFERROR(__xludf.DUMMYFUNCTION("""COMPUTED_VALUE"""),"")</f>
        <v/>
      </c>
      <c r="M8418" s="17" t="str">
        <f>IFERROR(__xludf.DUMMYFUNCTION("""COMPUTED_VALUE"""),"")</f>
        <v/>
      </c>
      <c r="N8418" s="17" t="str">
        <f>IFERROR(__xludf.DUMMYFUNCTION("""COMPUTED_VALUE"""),"")</f>
        <v/>
      </c>
      <c r="O8418" s="17" t="str">
        <f>IFERROR(__xludf.DUMMYFUNCTION("""COMPUTED_VALUE"""),"")</f>
        <v/>
      </c>
      <c r="P8418" s="17" t="str">
        <f>IFERROR(__xludf.DUMMYFUNCTION("""COMPUTED_VALUE"""),"")</f>
        <v/>
      </c>
      <c r="Q8418" s="17" t="str">
        <f>IFERROR(__xludf.DUMMYFUNCTION("""COMPUTED_VALUE"""),"")</f>
        <v/>
      </c>
      <c r="R8418" s="17" t="str">
        <f>IFERROR(__xludf.DUMMYFUNCTION("""COMPUTED_VALUE"""),"")</f>
        <v/>
      </c>
    </row>
    <row r="8419">
      <c r="A8419" s="15">
        <f>IFERROR(__xludf.DUMMYFUNCTION("""COMPUTED_VALUE"""),45239.0)</f>
        <v>45239</v>
      </c>
      <c r="B8419" s="16" t="str">
        <f>IFERROR(__xludf.DUMMYFUNCTION("""COMPUTED_VALUE"""),"Javier Romero")</f>
        <v>Javier Romero</v>
      </c>
      <c r="C8419" s="15" t="str">
        <f>IFERROR(__xludf.DUMMYFUNCTION("""COMPUTED_VALUE"""),"BOGOTÁ")</f>
        <v>BOGOTÁ</v>
      </c>
      <c r="D8419" s="15" t="str">
        <f>IFERROR(__xludf.DUMMYFUNCTION("""COMPUTED_VALUE"""),"MEDELLÍN")</f>
        <v>MEDELLÍN</v>
      </c>
      <c r="E8419" s="15" t="str">
        <f>IFERROR(__xludf.DUMMYFUNCTION("""COMPUTED_VALUE"""),"Puro Verde")</f>
        <v>Puro Verde</v>
      </c>
      <c r="F8419" s="17" t="str">
        <f>IFERROR(__xludf.DUMMYFUNCTION("""COMPUTED_VALUE"""),"CRA 16A # 77-23.  / LOCAL 4 / BARRIO EL LAGO")</f>
        <v>CRA 16A # 77-23.  / LOCAL 4 / BARRIO EL LAGO</v>
      </c>
      <c r="G8419" s="15" t="str">
        <f>IFERROR(__xludf.DUMMYFUNCTION("""COMPUTED_VALUE"""),"DANDO CUERDA")</f>
        <v>DANDO CUERDA</v>
      </c>
      <c r="H8419" s="16">
        <f>IFERROR(__xludf.DUMMYFUNCTION("""COMPUTED_VALUE"""),17045.0)</f>
        <v>17045</v>
      </c>
      <c r="I8419" s="18">
        <f>IFERROR(__xludf.DUMMYFUNCTION("""COMPUTED_VALUE"""),55.0)</f>
        <v>55</v>
      </c>
      <c r="J8419" s="18">
        <f>IFERROR(__xludf.DUMMYFUNCTION("""COMPUTED_VALUE"""),45.0)</f>
        <v>45</v>
      </c>
      <c r="K8419" s="18" t="str">
        <f>IFERROR(__xludf.DUMMYFUNCTION("""COMPUTED_VALUE"""),"52.5")</f>
        <v>52.5</v>
      </c>
      <c r="L8419" s="17">
        <f>IFERROR(__xludf.DUMMYFUNCTION("""COMPUTED_VALUE"""),3.163816691E9)</f>
        <v>3163816691</v>
      </c>
      <c r="M8419" s="17"/>
      <c r="N8419" s="17"/>
      <c r="O8419" s="17"/>
      <c r="P8419" s="17" t="b">
        <f>IFERROR(__xludf.DUMMYFUNCTION("""COMPUTED_VALUE"""),FALSE)</f>
        <v>0</v>
      </c>
      <c r="Q8419" s="20" t="str">
        <f>IFERROR(__xludf.DUMMYFUNCTION("""COMPUTED_VALUE"""),"")</f>
        <v/>
      </c>
      <c r="R8419" s="21" t="str">
        <f>IFERROR(__xludf.DUMMYFUNCTION("""COMPUTED_VALUE"""),"https://drive.google.com/file/d/19xS2VxlzUQRe4L2mrfdVwgjXgcpRqatE/view?usp=drivesdk")</f>
        <v>https://drive.google.com/file/d/19xS2VxlzUQRe4L2mrfdVwgjXgcpRqatE/view?usp=drivesdk</v>
      </c>
    </row>
    <row r="8420">
      <c r="A8420" s="15">
        <f>IFERROR(__xludf.DUMMYFUNCTION("""COMPUTED_VALUE"""),45239.0)</f>
        <v>45239</v>
      </c>
      <c r="B8420" s="16" t="str">
        <f>IFERROR(__xludf.DUMMYFUNCTION("""COMPUTED_VALUE"""),"Javier Romero")</f>
        <v>Javier Romero</v>
      </c>
      <c r="C8420" s="15" t="str">
        <f>IFERROR(__xludf.DUMMYFUNCTION("""COMPUTED_VALUE"""),"CHÍA")</f>
        <v>CHÍA</v>
      </c>
      <c r="D8420" s="15" t="str">
        <f>IFERROR(__xludf.DUMMYFUNCTION("""COMPUTED_VALUE"""),"BOGOTÁ")</f>
        <v>BOGOTÁ</v>
      </c>
      <c r="E8420" s="15" t="str">
        <f>IFERROR(__xludf.DUMMYFUNCTION("""COMPUTED_VALUE"""),"Hiiva Fermentados SAS")</f>
        <v>Hiiva Fermentados SAS</v>
      </c>
      <c r="F8420" s="17" t="str">
        <f>IFERROR(__xludf.DUMMYFUNCTION("""COMPUTED_VALUE"""),"Km2 vía Chía cajica / Hacienda fontanar casa ciprés 105")</f>
        <v>Km2 vía Chía cajica / Hacienda fontanar casa ciprés 105</v>
      </c>
      <c r="G8420" s="15" t="str">
        <f>IFERROR(__xludf.DUMMYFUNCTION("""COMPUTED_VALUE"""),"Juliana - Santana")</f>
        <v>Juliana - Santana</v>
      </c>
      <c r="H8420" s="16">
        <f>IFERROR(__xludf.DUMMYFUNCTION("""COMPUTED_VALUE"""),17145.0)</f>
        <v>17145</v>
      </c>
      <c r="I8420" s="17"/>
      <c r="J8420" s="17"/>
      <c r="K8420" s="17"/>
      <c r="L8420" s="17">
        <f>IFERROR(__xludf.DUMMYFUNCTION("""COMPUTED_VALUE"""),3.12499514E9)</f>
        <v>3124995140</v>
      </c>
      <c r="M8420" s="17"/>
      <c r="N8420" s="17"/>
      <c r="O8420" s="17"/>
      <c r="P8420" s="17" t="b">
        <f>IFERROR(__xludf.DUMMYFUNCTION("""COMPUTED_VALUE"""),FALSE)</f>
        <v>0</v>
      </c>
      <c r="Q8420" s="20" t="str">
        <f>IFERROR(__xludf.DUMMYFUNCTION("""COMPUTED_VALUE"""),"")</f>
        <v/>
      </c>
      <c r="R8420" s="21" t="str">
        <f>IFERROR(__xludf.DUMMYFUNCTION("""COMPUTED_VALUE"""),"https://drive.google.com/file/d/1gezRuv600rs0AJJeXdyfUtVpcCTF_Msx/view?usp=drivesdk")</f>
        <v>https://drive.google.com/file/d/1gezRuv600rs0AJJeXdyfUtVpcCTF_Msx/view?usp=drivesdk</v>
      </c>
    </row>
    <row r="8421">
      <c r="A8421" s="17" t="str">
        <f>IFERROR(__xludf.DUMMYFUNCTION("""COMPUTED_VALUE"""),"")</f>
        <v/>
      </c>
      <c r="B8421" s="17" t="str">
        <f>IFERROR(__xludf.DUMMYFUNCTION("""COMPUTED_VALUE"""),"")</f>
        <v/>
      </c>
      <c r="C8421" s="17" t="str">
        <f>IFERROR(__xludf.DUMMYFUNCTION("""COMPUTED_VALUE"""),"")</f>
        <v/>
      </c>
      <c r="D8421" s="17" t="str">
        <f>IFERROR(__xludf.DUMMYFUNCTION("""COMPUTED_VALUE"""),"")</f>
        <v/>
      </c>
      <c r="E8421" s="17" t="str">
        <f>IFERROR(__xludf.DUMMYFUNCTION("""COMPUTED_VALUE"""),"")</f>
        <v/>
      </c>
      <c r="F8421" s="17" t="str">
        <f>IFERROR(__xludf.DUMMYFUNCTION("""COMPUTED_VALUE"""),"")</f>
        <v/>
      </c>
      <c r="G8421" s="17" t="str">
        <f>IFERROR(__xludf.DUMMYFUNCTION("""COMPUTED_VALUE"""),"")</f>
        <v/>
      </c>
      <c r="H8421" s="17" t="str">
        <f>IFERROR(__xludf.DUMMYFUNCTION("""COMPUTED_VALUE"""),"")</f>
        <v/>
      </c>
      <c r="I8421" s="17" t="str">
        <f>IFERROR(__xludf.DUMMYFUNCTION("""COMPUTED_VALUE"""),"")</f>
        <v/>
      </c>
      <c r="J8421" s="17" t="str">
        <f>IFERROR(__xludf.DUMMYFUNCTION("""COMPUTED_VALUE"""),"")</f>
        <v/>
      </c>
      <c r="K8421" s="17" t="str">
        <f>IFERROR(__xludf.DUMMYFUNCTION("""COMPUTED_VALUE"""),"")</f>
        <v/>
      </c>
      <c r="L8421" s="17" t="str">
        <f>IFERROR(__xludf.DUMMYFUNCTION("""COMPUTED_VALUE"""),"")</f>
        <v/>
      </c>
      <c r="M8421" s="17" t="str">
        <f>IFERROR(__xludf.DUMMYFUNCTION("""COMPUTED_VALUE"""),"")</f>
        <v/>
      </c>
      <c r="N8421" s="17" t="str">
        <f>IFERROR(__xludf.DUMMYFUNCTION("""COMPUTED_VALUE"""),"")</f>
        <v/>
      </c>
      <c r="O8421" s="17" t="str">
        <f>IFERROR(__xludf.DUMMYFUNCTION("""COMPUTED_VALUE"""),"")</f>
        <v/>
      </c>
      <c r="P8421" s="17" t="str">
        <f>IFERROR(__xludf.DUMMYFUNCTION("""COMPUTED_VALUE"""),"")</f>
        <v/>
      </c>
      <c r="Q8421" s="17" t="str">
        <f>IFERROR(__xludf.DUMMYFUNCTION("""COMPUTED_VALUE"""),"")</f>
        <v/>
      </c>
      <c r="R8421" s="17" t="str">
        <f>IFERROR(__xludf.DUMMYFUNCTION("""COMPUTED_VALUE"""),"")</f>
        <v/>
      </c>
    </row>
    <row r="8422">
      <c r="A8422" s="15">
        <f>IFERROR(__xludf.DUMMYFUNCTION("""COMPUTED_VALUE"""),45239.0)</f>
        <v>45239</v>
      </c>
      <c r="B8422" s="16" t="str">
        <f>IFERROR(__xludf.DUMMYFUNCTION("""COMPUTED_VALUE"""),"Johan Alexander Escobar Arroyo ")</f>
        <v>Johan Alexander Escobar Arroyo </v>
      </c>
      <c r="C8422" s="15" t="str">
        <f>IFERROR(__xludf.DUMMYFUNCTION("""COMPUTED_VALUE"""),"CALI")</f>
        <v>CALI</v>
      </c>
      <c r="D8422" s="15" t="str">
        <f>IFERROR(__xludf.DUMMYFUNCTION("""COMPUTED_VALUE"""),"MEDELLÍN")</f>
        <v>MEDELLÍN</v>
      </c>
      <c r="E8422" s="15" t="str">
        <f>IFERROR(__xludf.DUMMYFUNCTION("""COMPUTED_VALUE"""),"AREPAS LA MARY")</f>
        <v>AREPAS LA MARY</v>
      </c>
      <c r="F8422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8422" s="15" t="str">
        <f>IFERROR(__xludf.DUMMYFUNCTION("""COMPUTED_VALUE"""),"VITALFINESS CALI")</f>
        <v>VITALFINESS CALI</v>
      </c>
      <c r="H8422" s="16">
        <f>IFERROR(__xludf.DUMMYFUNCTION("""COMPUTED_VALUE"""),17093.0)</f>
        <v>17093</v>
      </c>
      <c r="I8422" s="18">
        <f>IFERROR(__xludf.DUMMYFUNCTION("""COMPUTED_VALUE"""),89.0)</f>
        <v>89</v>
      </c>
      <c r="J8422" s="18">
        <f>IFERROR(__xludf.DUMMYFUNCTION("""COMPUTED_VALUE"""),1.0)</f>
        <v>1</v>
      </c>
      <c r="K8422" s="18">
        <f>IFERROR(__xludf.DUMMYFUNCTION("""COMPUTED_VALUE"""),10.0)</f>
        <v>10</v>
      </c>
      <c r="L8422" s="17">
        <f>IFERROR(__xludf.DUMMYFUNCTION("""COMPUTED_VALUE"""),3.226925759E9)</f>
        <v>3226925759</v>
      </c>
      <c r="M8422" s="17"/>
      <c r="N8422" s="17"/>
      <c r="O8422" s="17"/>
      <c r="P8422" s="17" t="b">
        <f>IFERROR(__xludf.DUMMYFUNCTION("""COMPUTED_VALUE"""),FALSE)</f>
        <v>0</v>
      </c>
      <c r="Q8422" s="20" t="str">
        <f>IFERROR(__xludf.DUMMYFUNCTION("""COMPUTED_VALUE"""),"")</f>
        <v/>
      </c>
      <c r="R8422" s="21" t="str">
        <f>IFERROR(__xludf.DUMMYFUNCTION("""COMPUTED_VALUE"""),"https://drive.google.com/file/d/1UUXGkKy-wdsFSyD2GO24H3AvQLBqZA-w/view?usp=drivesdk")</f>
        <v>https://drive.google.com/file/d/1UUXGkKy-wdsFSyD2GO24H3AvQLBqZA-w/view?usp=drivesdk</v>
      </c>
    </row>
    <row r="8423">
      <c r="A8423" s="15">
        <f>IFERROR(__xludf.DUMMYFUNCTION("""COMPUTED_VALUE"""),45239.0)</f>
        <v>45239</v>
      </c>
      <c r="B8423" s="16" t="str">
        <f>IFERROR(__xludf.DUMMYFUNCTION("""COMPUTED_VALUE"""),"Johan Alexander Escobar Arroyo ")</f>
        <v>Johan Alexander Escobar Arroyo </v>
      </c>
      <c r="C8423" s="15" t="str">
        <f>IFERROR(__xludf.DUMMYFUNCTION("""COMPUTED_VALUE"""),"CALI")</f>
        <v>CALI</v>
      </c>
      <c r="D8423" s="15" t="str">
        <f>IFERROR(__xludf.DUMMYFUNCTION("""COMPUTED_VALUE"""),"MEDELLÍN")</f>
        <v>MEDELLÍN</v>
      </c>
      <c r="E8423" s="15" t="str">
        <f>IFERROR(__xludf.DUMMYFUNCTION("""COMPUTED_VALUE"""),"Baby Chef")</f>
        <v>Baby Chef</v>
      </c>
      <c r="F8423" s="17" t="str">
        <f>IFERROR(__xludf.DUMMYFUNCTION("""COMPUTED_VALUE"""),"Avenida 3 g nte # 62 n 63 apartamento 505 torre 1 keretaro del viento la flora / . / .")</f>
        <v>Avenida 3 g nte # 62 n 63 apartamento 505 torre 1 keretaro del viento la flora / . / .</v>
      </c>
      <c r="G8423" s="15" t="str">
        <f>IFERROR(__xludf.DUMMYFUNCTION("""COMPUTED_VALUE"""),"Nathaly Ocampo")</f>
        <v>Nathaly Ocampo</v>
      </c>
      <c r="H8423" s="16">
        <f>IFERROR(__xludf.DUMMYFUNCTION("""COMPUTED_VALUE"""),17111.0)</f>
        <v>17111</v>
      </c>
      <c r="I8423" s="18">
        <f>IFERROR(__xludf.DUMMYFUNCTION("""COMPUTED_VALUE"""),9.0)</f>
        <v>9</v>
      </c>
      <c r="J8423" s="18">
        <f>IFERROR(__xludf.DUMMYFUNCTION("""COMPUTED_VALUE"""),21.0)</f>
        <v>21</v>
      </c>
      <c r="K8423" s="18">
        <f>IFERROR(__xludf.DUMMYFUNCTION("""COMPUTED_VALUE"""),29.0)</f>
        <v>29</v>
      </c>
      <c r="L8423" s="17">
        <f>IFERROR(__xludf.DUMMYFUNCTION("""COMPUTED_VALUE"""),3.11362272E9)</f>
        <v>3113622720</v>
      </c>
      <c r="M8423" s="17"/>
      <c r="N8423" s="17"/>
      <c r="O8423" s="17"/>
      <c r="P8423" s="17" t="b">
        <f>IFERROR(__xludf.DUMMYFUNCTION("""COMPUTED_VALUE"""),FALSE)</f>
        <v>0</v>
      </c>
      <c r="Q8423" s="20" t="str">
        <f>IFERROR(__xludf.DUMMYFUNCTION("""COMPUTED_VALUE"""),"")</f>
        <v/>
      </c>
      <c r="R8423" s="21" t="str">
        <f>IFERROR(__xludf.DUMMYFUNCTION("""COMPUTED_VALUE"""),"https://drive.google.com/file/d/1LwSag0bA0wkLGOmUmqBfEtY14spuooCa/view?usp=drivesdk")</f>
        <v>https://drive.google.com/file/d/1LwSag0bA0wkLGOmUmqBfEtY14spuooCa/view?usp=drivesdk</v>
      </c>
    </row>
    <row r="8424">
      <c r="A8424" s="15">
        <f>IFERROR(__xludf.DUMMYFUNCTION("""COMPUTED_VALUE"""),45239.0)</f>
        <v>45239</v>
      </c>
      <c r="B8424" s="16" t="str">
        <f>IFERROR(__xludf.DUMMYFUNCTION("""COMPUTED_VALUE"""),"Johan Alexander Escobar Arroyo ")</f>
        <v>Johan Alexander Escobar Arroyo </v>
      </c>
      <c r="C8424" s="15" t="str">
        <f>IFERROR(__xludf.DUMMYFUNCTION("""COMPUTED_VALUE"""),"CALI")</f>
        <v>CALI</v>
      </c>
      <c r="D8424" s="15" t="str">
        <f>IFERROR(__xludf.DUMMYFUNCTION("""COMPUTED_VALUE"""),"MEDELLÍN")</f>
        <v>MEDELLÍN</v>
      </c>
      <c r="E8424" s="15" t="str">
        <f>IFERROR(__xludf.DUMMYFUNCTION("""COMPUTED_VALUE"""),"Baby Chef")</f>
        <v>Baby Chef</v>
      </c>
      <c r="F8424" s="17" t="str">
        <f>IFERROR(__xludf.DUMMYFUNCTION("""COMPUTED_VALUE"""),"Carrera 40A # 30c 36 / . / .")</f>
        <v>Carrera 40A # 30c 36 / . / .</v>
      </c>
      <c r="G8424" s="15" t="str">
        <f>IFERROR(__xludf.DUMMYFUNCTION("""COMPUTED_VALUE"""),"Adriana Puerta Moreno")</f>
        <v>Adriana Puerta Moreno</v>
      </c>
      <c r="H8424" s="16">
        <f>IFERROR(__xludf.DUMMYFUNCTION("""COMPUTED_VALUE"""),17110.0)</f>
        <v>17110</v>
      </c>
      <c r="I8424" s="18">
        <f>IFERROR(__xludf.DUMMYFUNCTION("""COMPUTED_VALUE"""),10.0)</f>
        <v>10</v>
      </c>
      <c r="J8424" s="18">
        <f>IFERROR(__xludf.DUMMYFUNCTION("""COMPUTED_VALUE"""),23.0)</f>
        <v>23</v>
      </c>
      <c r="K8424" s="18">
        <f>IFERROR(__xludf.DUMMYFUNCTION("""COMPUTED_VALUE"""),33.0)</f>
        <v>33</v>
      </c>
      <c r="L8424" s="17">
        <f>IFERROR(__xludf.DUMMYFUNCTION("""COMPUTED_VALUE"""),3.155717076E9)</f>
        <v>3155717076</v>
      </c>
      <c r="M8424" s="17"/>
      <c r="N8424" s="17"/>
      <c r="O8424" s="17"/>
      <c r="P8424" s="17" t="b">
        <f>IFERROR(__xludf.DUMMYFUNCTION("""COMPUTED_VALUE"""),FALSE)</f>
        <v>0</v>
      </c>
      <c r="Q8424" s="20" t="str">
        <f>IFERROR(__xludf.DUMMYFUNCTION("""COMPUTED_VALUE"""),"")</f>
        <v/>
      </c>
      <c r="R8424" s="21" t="str">
        <f>IFERROR(__xludf.DUMMYFUNCTION("""COMPUTED_VALUE"""),"https://drive.google.com/file/d/18ZBBQTTi-7xoFDrqwq_xsPlZDpuU3BEG/view?usp=drivesdk")</f>
        <v>https://drive.google.com/file/d/18ZBBQTTi-7xoFDrqwq_xsPlZDpuU3BEG/view?usp=drivesdk</v>
      </c>
    </row>
    <row r="8425">
      <c r="A8425" s="15">
        <f>IFERROR(__xludf.DUMMYFUNCTION("""COMPUTED_VALUE"""),45239.0)</f>
        <v>45239</v>
      </c>
      <c r="B8425" s="16" t="str">
        <f>IFERROR(__xludf.DUMMYFUNCTION("""COMPUTED_VALUE"""),"Johan Alexander Escobar Arroyo ")</f>
        <v>Johan Alexander Escobar Arroyo </v>
      </c>
      <c r="C8425" s="15" t="str">
        <f>IFERROR(__xludf.DUMMYFUNCTION("""COMPUTED_VALUE"""),"CALI")</f>
        <v>CALI</v>
      </c>
      <c r="D8425" s="15" t="str">
        <f>IFERROR(__xludf.DUMMYFUNCTION("""COMPUTED_VALUE"""),"MEDELLÍN")</f>
        <v>MEDELLÍN</v>
      </c>
      <c r="E8425" s="15" t="str">
        <f>IFERROR(__xludf.DUMMYFUNCTION("""COMPUTED_VALUE"""),"Baby Chef")</f>
        <v>Baby Chef</v>
      </c>
      <c r="F8425" s="17" t="str">
        <f>IFERROR(__xludf.DUMMYFUNCTION("""COMPUTED_VALUE"""),"Cra 138 # 4-133, Casa 75. Condominio “Batik”, Barrio Pance / . / .")</f>
        <v>Cra 138 # 4-133, Casa 75. Condominio “Batik”, Barrio Pance / . / .</v>
      </c>
      <c r="G8425" s="15" t="str">
        <f>IFERROR(__xludf.DUMMYFUNCTION("""COMPUTED_VALUE"""),"Carolina Cerón Plazas")</f>
        <v>Carolina Cerón Plazas</v>
      </c>
      <c r="H8425" s="16">
        <f>IFERROR(__xludf.DUMMYFUNCTION("""COMPUTED_VALUE"""),17109.0)</f>
        <v>17109</v>
      </c>
      <c r="I8425" s="18">
        <f>IFERROR(__xludf.DUMMYFUNCTION("""COMPUTED_VALUE"""),8.0)</f>
        <v>8</v>
      </c>
      <c r="J8425" s="18">
        <f>IFERROR(__xludf.DUMMYFUNCTION("""COMPUTED_VALUE"""),21.0)</f>
        <v>21</v>
      </c>
      <c r="K8425" s="18">
        <f>IFERROR(__xludf.DUMMYFUNCTION("""COMPUTED_VALUE"""),29.0)</f>
        <v>29</v>
      </c>
      <c r="L8425" s="17">
        <f>IFERROR(__xludf.DUMMYFUNCTION("""COMPUTED_VALUE"""),3.00419566E9)</f>
        <v>3004195660</v>
      </c>
      <c r="M8425" s="17"/>
      <c r="N8425" s="17"/>
      <c r="O8425" s="17"/>
      <c r="P8425" s="17" t="b">
        <f>IFERROR(__xludf.DUMMYFUNCTION("""COMPUTED_VALUE"""),FALSE)</f>
        <v>0</v>
      </c>
      <c r="Q8425" s="20" t="str">
        <f>IFERROR(__xludf.DUMMYFUNCTION("""COMPUTED_VALUE"""),"")</f>
        <v/>
      </c>
      <c r="R8425" s="21" t="str">
        <f>IFERROR(__xludf.DUMMYFUNCTION("""COMPUTED_VALUE"""),"https://drive.google.com/file/d/1WXFtBVZKO2rrYirVcdqTjucnYonnoU8J/view?usp=drivesdk")</f>
        <v>https://drive.google.com/file/d/1WXFtBVZKO2rrYirVcdqTjucnYonnoU8J/view?usp=drivesdk</v>
      </c>
    </row>
    <row r="8426">
      <c r="A8426" s="15">
        <f>IFERROR(__xludf.DUMMYFUNCTION("""COMPUTED_VALUE"""),45239.0)</f>
        <v>45239</v>
      </c>
      <c r="B8426" s="16" t="str">
        <f>IFERROR(__xludf.DUMMYFUNCTION("""COMPUTED_VALUE"""),"Johan Alexander Escobar Arroyo ")</f>
        <v>Johan Alexander Escobar Arroyo </v>
      </c>
      <c r="C8426" s="15" t="str">
        <f>IFERROR(__xludf.DUMMYFUNCTION("""COMPUTED_VALUE"""),"CÚCUTA")</f>
        <v>CÚCUTA</v>
      </c>
      <c r="D8426" s="15" t="str">
        <f>IFERROR(__xludf.DUMMYFUNCTION("""COMPUTED_VALUE"""),"MEDELLÍN")</f>
        <v>MEDELLÍN</v>
      </c>
      <c r="E8426" s="15" t="str">
        <f>IFERROR(__xludf.DUMMYFUNCTION("""COMPUTED_VALUE"""),"Momo Tea S.A.S Gabriel Echavarría")</f>
        <v>Momo Tea S.A.S Gabriel Echavarría</v>
      </c>
      <c r="F8426" s="17" t="str">
        <f>IFERROR(__xludf.DUMMYFUNCTION("""COMPUTED_VALUE"""),"CL 11 N 16 E 35 / CA B 1")</f>
        <v>CL 11 N 16 E 35 / CA B 1</v>
      </c>
      <c r="G8426" s="15" t="str">
        <f>IFERROR(__xludf.DUMMYFUNCTION("""COMPUTED_VALUE"""),"Gabriel Echavarría")</f>
        <v>Gabriel Echavarría</v>
      </c>
      <c r="H8426" s="16">
        <f>IFERROR(__xludf.DUMMYFUNCTION("""COMPUTED_VALUE"""),17023.0)</f>
        <v>17023</v>
      </c>
      <c r="I8426" s="18">
        <f>IFERROR(__xludf.DUMMYFUNCTION("""COMPUTED_VALUE"""),21.0)</f>
        <v>21</v>
      </c>
      <c r="J8426" s="18">
        <f>IFERROR(__xludf.DUMMYFUNCTION("""COMPUTED_VALUE"""),29.0)</f>
        <v>29</v>
      </c>
      <c r="K8426" s="18">
        <f>IFERROR(__xludf.DUMMYFUNCTION("""COMPUTED_VALUE"""),29.0)</f>
        <v>29</v>
      </c>
      <c r="L8426" s="17">
        <f>IFERROR(__xludf.DUMMYFUNCTION("""COMPUTED_VALUE"""),3.017909548E9)</f>
        <v>3017909548</v>
      </c>
      <c r="M8426" s="17"/>
      <c r="N8426" s="17"/>
      <c r="O8426" s="17"/>
      <c r="P8426" s="17" t="b">
        <f>IFERROR(__xludf.DUMMYFUNCTION("""COMPUTED_VALUE"""),FALSE)</f>
        <v>0</v>
      </c>
      <c r="Q8426" s="20" t="str">
        <f>IFERROR(__xludf.DUMMYFUNCTION("""COMPUTED_VALUE"""),"")</f>
        <v/>
      </c>
      <c r="R8426" s="21" t="str">
        <f>IFERROR(__xludf.DUMMYFUNCTION("""COMPUTED_VALUE"""),"https://drive.google.com/file/d/1g6mfi5mby_Ru-2T2_EMjFlI-UXUfoULG/view?usp=drivesdk")</f>
        <v>https://drive.google.com/file/d/1g6mfi5mby_Ru-2T2_EMjFlI-UXUfoULG/view?usp=drivesdk</v>
      </c>
    </row>
    <row r="8427">
      <c r="A8427" s="17" t="str">
        <f>IFERROR(__xludf.DUMMYFUNCTION("""COMPUTED_VALUE"""),"")</f>
        <v/>
      </c>
      <c r="B8427" s="17" t="str">
        <f>IFERROR(__xludf.DUMMYFUNCTION("""COMPUTED_VALUE"""),"")</f>
        <v/>
      </c>
      <c r="C8427" s="17" t="str">
        <f>IFERROR(__xludf.DUMMYFUNCTION("""COMPUTED_VALUE"""),"")</f>
        <v/>
      </c>
      <c r="D8427" s="17" t="str">
        <f>IFERROR(__xludf.DUMMYFUNCTION("""COMPUTED_VALUE"""),"")</f>
        <v/>
      </c>
      <c r="E8427" s="17" t="str">
        <f>IFERROR(__xludf.DUMMYFUNCTION("""COMPUTED_VALUE"""),"")</f>
        <v/>
      </c>
      <c r="F8427" s="17" t="str">
        <f>IFERROR(__xludf.DUMMYFUNCTION("""COMPUTED_VALUE"""),"")</f>
        <v/>
      </c>
      <c r="G8427" s="17" t="str">
        <f>IFERROR(__xludf.DUMMYFUNCTION("""COMPUTED_VALUE"""),"")</f>
        <v/>
      </c>
      <c r="H8427" s="17" t="str">
        <f>IFERROR(__xludf.DUMMYFUNCTION("""COMPUTED_VALUE"""),"")</f>
        <v/>
      </c>
      <c r="I8427" s="17" t="str">
        <f>IFERROR(__xludf.DUMMYFUNCTION("""COMPUTED_VALUE"""),"")</f>
        <v/>
      </c>
      <c r="J8427" s="17" t="str">
        <f>IFERROR(__xludf.DUMMYFUNCTION("""COMPUTED_VALUE"""),"")</f>
        <v/>
      </c>
      <c r="K8427" s="17" t="str">
        <f>IFERROR(__xludf.DUMMYFUNCTION("""COMPUTED_VALUE"""),"")</f>
        <v/>
      </c>
      <c r="L8427" s="17" t="str">
        <f>IFERROR(__xludf.DUMMYFUNCTION("""COMPUTED_VALUE"""),"")</f>
        <v/>
      </c>
      <c r="M8427" s="17" t="str">
        <f>IFERROR(__xludf.DUMMYFUNCTION("""COMPUTED_VALUE"""),"")</f>
        <v/>
      </c>
      <c r="N8427" s="17" t="str">
        <f>IFERROR(__xludf.DUMMYFUNCTION("""COMPUTED_VALUE"""),"")</f>
        <v/>
      </c>
      <c r="O8427" s="17" t="str">
        <f>IFERROR(__xludf.DUMMYFUNCTION("""COMPUTED_VALUE"""),"")</f>
        <v/>
      </c>
      <c r="P8427" s="17" t="str">
        <f>IFERROR(__xludf.DUMMYFUNCTION("""COMPUTED_VALUE"""),"")</f>
        <v/>
      </c>
      <c r="Q8427" s="17" t="str">
        <f>IFERROR(__xludf.DUMMYFUNCTION("""COMPUTED_VALUE"""),"")</f>
        <v/>
      </c>
      <c r="R8427" s="17" t="str">
        <f>IFERROR(__xludf.DUMMYFUNCTION("""COMPUTED_VALUE"""),"")</f>
        <v/>
      </c>
    </row>
    <row r="8428">
      <c r="A8428" s="15">
        <f>IFERROR(__xludf.DUMMYFUNCTION("""COMPUTED_VALUE"""),45239.0)</f>
        <v>45239</v>
      </c>
      <c r="B8428" s="16" t="str">
        <f>IFERROR(__xludf.DUMMYFUNCTION("""COMPUTED_VALUE"""),"JOSE ALFREDO RAMIREZ VERGARA ")</f>
        <v>JOSE ALFREDO RAMIREZ VERGARA </v>
      </c>
      <c r="C8428" s="15" t="str">
        <f>IFERROR(__xludf.DUMMYFUNCTION("""COMPUTED_VALUE"""),"MONTERIA")</f>
        <v>MONTERIA</v>
      </c>
      <c r="D8428" s="15" t="str">
        <f>IFERROR(__xludf.DUMMYFUNCTION("""COMPUTED_VALUE"""),"ENVIGADO")</f>
        <v>ENVIGADO</v>
      </c>
      <c r="E8428" s="15" t="str">
        <f>IFERROR(__xludf.DUMMYFUNCTION("""COMPUTED_VALUE"""),"JUAN CAMILO CORDOBA")</f>
        <v>JUAN CAMILO CORDOBA</v>
      </c>
      <c r="F8428" s="17" t="str">
        <f>IFERROR(__xludf.DUMMYFUNCTION("""COMPUTED_VALUE"""),"Calle 48 con la Carrera 9 / local 128 dentro del exito Alamedas")</f>
        <v>Calle 48 con la Carrera 9 / local 128 dentro del exito Alamedas</v>
      </c>
      <c r="G8428" s="15" t="str">
        <f>IFERROR(__xludf.DUMMYFUNCTION("""COMPUTED_VALUE"""),"Zona azul")</f>
        <v>Zona azul</v>
      </c>
      <c r="H8428" s="16">
        <f>IFERROR(__xludf.DUMMYFUNCTION("""COMPUTED_VALUE"""),17160.0)</f>
        <v>17160</v>
      </c>
      <c r="I8428" s="17"/>
      <c r="J8428" s="17"/>
      <c r="K8428" s="17"/>
      <c r="L8428" s="17">
        <f>IFERROR(__xludf.DUMMYFUNCTION("""COMPUTED_VALUE"""),3.205242279E9)</f>
        <v>3205242279</v>
      </c>
      <c r="M8428" s="17"/>
      <c r="N8428" s="17"/>
      <c r="O8428" s="17"/>
      <c r="P8428" s="17" t="b">
        <f>IFERROR(__xludf.DUMMYFUNCTION("""COMPUTED_VALUE"""),FALSE)</f>
        <v>0</v>
      </c>
      <c r="Q8428" s="20" t="str">
        <f>IFERROR(__xludf.DUMMYFUNCTION("""COMPUTED_VALUE"""),"")</f>
        <v/>
      </c>
      <c r="R8428" s="21" t="str">
        <f>IFERROR(__xludf.DUMMYFUNCTION("""COMPUTED_VALUE"""),"https://drive.google.com/file/d/1hHG22UEpnln3Ch2smdaXphQdaX7CL-7g/view?usp=drivesdk")</f>
        <v>https://drive.google.com/file/d/1hHG22UEpnln3Ch2smdaXphQdaX7CL-7g/view?usp=drivesdk</v>
      </c>
    </row>
    <row r="8429">
      <c r="A8429" s="17" t="str">
        <f>IFERROR(__xludf.DUMMYFUNCTION("""COMPUTED_VALUE"""),"")</f>
        <v/>
      </c>
      <c r="B8429" s="17" t="str">
        <f>IFERROR(__xludf.DUMMYFUNCTION("""COMPUTED_VALUE"""),"")</f>
        <v/>
      </c>
      <c r="C8429" s="17" t="str">
        <f>IFERROR(__xludf.DUMMYFUNCTION("""COMPUTED_VALUE"""),"")</f>
        <v/>
      </c>
      <c r="D8429" s="17" t="str">
        <f>IFERROR(__xludf.DUMMYFUNCTION("""COMPUTED_VALUE"""),"")</f>
        <v/>
      </c>
      <c r="E8429" s="17" t="str">
        <f>IFERROR(__xludf.DUMMYFUNCTION("""COMPUTED_VALUE"""),"")</f>
        <v/>
      </c>
      <c r="F8429" s="17" t="str">
        <f>IFERROR(__xludf.DUMMYFUNCTION("""COMPUTED_VALUE"""),"")</f>
        <v/>
      </c>
      <c r="G8429" s="17" t="str">
        <f>IFERROR(__xludf.DUMMYFUNCTION("""COMPUTED_VALUE"""),"")</f>
        <v/>
      </c>
      <c r="H8429" s="17" t="str">
        <f>IFERROR(__xludf.DUMMYFUNCTION("""COMPUTED_VALUE"""),"")</f>
        <v/>
      </c>
      <c r="I8429" s="17" t="str">
        <f>IFERROR(__xludf.DUMMYFUNCTION("""COMPUTED_VALUE"""),"")</f>
        <v/>
      </c>
      <c r="J8429" s="17" t="str">
        <f>IFERROR(__xludf.DUMMYFUNCTION("""COMPUTED_VALUE"""),"")</f>
        <v/>
      </c>
      <c r="K8429" s="17" t="str">
        <f>IFERROR(__xludf.DUMMYFUNCTION("""COMPUTED_VALUE"""),"")</f>
        <v/>
      </c>
      <c r="L8429" s="17" t="str">
        <f>IFERROR(__xludf.DUMMYFUNCTION("""COMPUTED_VALUE"""),"")</f>
        <v/>
      </c>
      <c r="M8429" s="17" t="str">
        <f>IFERROR(__xludf.DUMMYFUNCTION("""COMPUTED_VALUE"""),"")</f>
        <v/>
      </c>
      <c r="N8429" s="17" t="str">
        <f>IFERROR(__xludf.DUMMYFUNCTION("""COMPUTED_VALUE"""),"")</f>
        <v/>
      </c>
      <c r="O8429" s="17" t="str">
        <f>IFERROR(__xludf.DUMMYFUNCTION("""COMPUTED_VALUE"""),"")</f>
        <v/>
      </c>
      <c r="P8429" s="17" t="str">
        <f>IFERROR(__xludf.DUMMYFUNCTION("""COMPUTED_VALUE"""),"")</f>
        <v/>
      </c>
      <c r="Q8429" s="17" t="str">
        <f>IFERROR(__xludf.DUMMYFUNCTION("""COMPUTED_VALUE"""),"")</f>
        <v/>
      </c>
      <c r="R8429" s="17" t="str">
        <f>IFERROR(__xludf.DUMMYFUNCTION("""COMPUTED_VALUE"""),"")</f>
        <v/>
      </c>
    </row>
    <row r="8430">
      <c r="A8430" s="15">
        <f>IFERROR(__xludf.DUMMYFUNCTION("""COMPUTED_VALUE"""),45239.0)</f>
        <v>45239</v>
      </c>
      <c r="B8430" s="16" t="str">
        <f>IFERROR(__xludf.DUMMYFUNCTION("""COMPUTED_VALUE"""),"Orlando Urdaneta Rincon ")</f>
        <v>Orlando Urdaneta Rincon </v>
      </c>
      <c r="C8430" s="15" t="str">
        <f>IFERROR(__xludf.DUMMYFUNCTION("""COMPUTED_VALUE"""),"GIRARDOT")</f>
        <v>GIRARDOT</v>
      </c>
      <c r="D8430" s="15" t="str">
        <f>IFERROR(__xludf.DUMMYFUNCTION("""COMPUTED_VALUE"""),"BOGOTÁ")</f>
        <v>BOGOTÁ</v>
      </c>
      <c r="E8430" s="15" t="str">
        <f>IFERROR(__xludf.DUMMYFUNCTION("""COMPUTED_VALUE"""),"LINA PAOLA RAMIREZ GOMEZ - EVA MAZZITA")</f>
        <v>LINA PAOLA RAMIREZ GOMEZ - EVA MAZZITA</v>
      </c>
      <c r="F8430" s="17" t="str">
        <f>IFERROR(__xludf.DUMMYFUNCTION("""COMPUTED_VALUE"""),"Calle 32a #4-24 / santafe Santafe")</f>
        <v>Calle 32a #4-24 / santafe Santafe</v>
      </c>
      <c r="G8430" s="15" t="str">
        <f>IFERROR(__xludf.DUMMYFUNCTION("""COMPUTED_VALUE"""),"LIZETH CAROLINA BARRETO TRUJILLO")</f>
        <v>LIZETH CAROLINA BARRETO TRUJILLO</v>
      </c>
      <c r="H8430" s="16">
        <f>IFERROR(__xludf.DUMMYFUNCTION("""COMPUTED_VALUE"""),17156.0)</f>
        <v>17156</v>
      </c>
      <c r="I8430" s="17"/>
      <c r="J8430" s="17"/>
      <c r="K8430" s="17"/>
      <c r="L8430" s="17">
        <f>IFERROR(__xludf.DUMMYFUNCTION("""COMPUTED_VALUE"""),3.134566703E9)</f>
        <v>3134566703</v>
      </c>
      <c r="M8430" s="17"/>
      <c r="N8430" s="17"/>
      <c r="O8430" s="17"/>
      <c r="P8430" s="17" t="b">
        <f>IFERROR(__xludf.DUMMYFUNCTION("""COMPUTED_VALUE"""),FALSE)</f>
        <v>0</v>
      </c>
      <c r="Q8430" s="20" t="str">
        <f>IFERROR(__xludf.DUMMYFUNCTION("""COMPUTED_VALUE"""),"")</f>
        <v/>
      </c>
      <c r="R8430" s="21" t="str">
        <f>IFERROR(__xludf.DUMMYFUNCTION("""COMPUTED_VALUE"""),"https://drive.google.com/file/d/1T_V690OmUrWtu2zSWgsTvz6GbBLl9wb0/view?usp=drivesdk")</f>
        <v>https://drive.google.com/file/d/1T_V690OmUrWtu2zSWgsTvz6GbBLl9wb0/view?usp=drivesdk</v>
      </c>
    </row>
    <row r="8431">
      <c r="A8431" s="15">
        <f>IFERROR(__xludf.DUMMYFUNCTION("""COMPUTED_VALUE"""),45239.0)</f>
        <v>45239</v>
      </c>
      <c r="B8431" s="16" t="str">
        <f>IFERROR(__xludf.DUMMYFUNCTION("""COMPUTED_VALUE"""),"Orlando Urdaneta Rincon ")</f>
        <v>Orlando Urdaneta Rincon </v>
      </c>
      <c r="C8431" s="15" t="str">
        <f>IFERROR(__xludf.DUMMYFUNCTION("""COMPUTED_VALUE"""),"SANTA MARTA")</f>
        <v>SANTA MARTA</v>
      </c>
      <c r="D8431" s="15" t="str">
        <f>IFERROR(__xludf.DUMMYFUNCTION("""COMPUTED_VALUE"""),"BOGOTÁ")</f>
        <v>BOGOTÁ</v>
      </c>
      <c r="E8431" s="15" t="str">
        <f>IFERROR(__xludf.DUMMYFUNCTION("""COMPUTED_VALUE"""),"Felicidad Bakery Bogotá")</f>
        <v>Felicidad Bakery Bogotá</v>
      </c>
      <c r="F8431" s="17" t="str">
        <f>IFERROR(__xludf.DUMMYFUNCTION("""COMPUTED_VALUE"""),"Carrera 2 #6-90 / Hotel zuana / Constructora Bolivar")</f>
        <v>Carrera 2 #6-90 / Hotel zuana / Constructora Bolivar</v>
      </c>
      <c r="G8431" s="15" t="str">
        <f>IFERROR(__xludf.DUMMYFUNCTION("""COMPUTED_VALUE"""),"Maria Camila Barranco")</f>
        <v>Maria Camila Barranco</v>
      </c>
      <c r="H8431" s="16">
        <f>IFERROR(__xludf.DUMMYFUNCTION("""COMPUTED_VALUE"""),17096.0)</f>
        <v>17096</v>
      </c>
      <c r="I8431" s="18">
        <f>IFERROR(__xludf.DUMMYFUNCTION("""COMPUTED_VALUE"""),1.0)</f>
        <v>1</v>
      </c>
      <c r="J8431" s="18">
        <f>IFERROR(__xludf.DUMMYFUNCTION("""COMPUTED_VALUE"""),1.0)</f>
        <v>1</v>
      </c>
      <c r="K8431" s="18">
        <f>IFERROR(__xludf.DUMMYFUNCTION("""COMPUTED_VALUE"""),1.0)</f>
        <v>1</v>
      </c>
      <c r="L8431" s="17">
        <f>IFERROR(__xludf.DUMMYFUNCTION("""COMPUTED_VALUE"""),3.164967932E9)</f>
        <v>3164967932</v>
      </c>
      <c r="M8431" s="17"/>
      <c r="N8431" s="17"/>
      <c r="O8431" s="17"/>
      <c r="P8431" s="17" t="b">
        <f>IFERROR(__xludf.DUMMYFUNCTION("""COMPUTED_VALUE"""),FALSE)</f>
        <v>0</v>
      </c>
      <c r="Q8431" s="20" t="str">
        <f>IFERROR(__xludf.DUMMYFUNCTION("""COMPUTED_VALUE"""),"")</f>
        <v/>
      </c>
      <c r="R8431" s="21" t="str">
        <f>IFERROR(__xludf.DUMMYFUNCTION("""COMPUTED_VALUE"""),"https://drive.google.com/file/d/1DioxY_8CVZstLurMuQxKRc150SFjywuU/view?usp=drivesdk")</f>
        <v>https://drive.google.com/file/d/1DioxY_8CVZstLurMuQxKRc150SFjywuU/view?usp=drivesdk</v>
      </c>
    </row>
    <row r="8432">
      <c r="A8432" s="15">
        <f>IFERROR(__xludf.DUMMYFUNCTION("""COMPUTED_VALUE"""),45239.0)</f>
        <v>45239</v>
      </c>
      <c r="B8432" s="16" t="str">
        <f>IFERROR(__xludf.DUMMYFUNCTION("""COMPUTED_VALUE"""),"Orlando Urdaneta Rincon ")</f>
        <v>Orlando Urdaneta Rincon </v>
      </c>
      <c r="C8432" s="15" t="str">
        <f>IFERROR(__xludf.DUMMYFUNCTION("""COMPUTED_VALUE"""),"SANTA MARTA")</f>
        <v>SANTA MARTA</v>
      </c>
      <c r="D8432" s="15" t="str">
        <f>IFERROR(__xludf.DUMMYFUNCTION("""COMPUTED_VALUE"""),"BOGOTÁ")</f>
        <v>BOGOTÁ</v>
      </c>
      <c r="E8432" s="15" t="str">
        <f>IFERROR(__xludf.DUMMYFUNCTION("""COMPUTED_VALUE"""),"LINA PAOLA RAMIREZ GOMEZ - EVA MAZZITA")</f>
        <v>LINA PAOLA RAMIREZ GOMEZ - EVA MAZZITA</v>
      </c>
      <c r="F8432" s="17" t="str">
        <f>IFERROR(__xludf.DUMMYFUNCTION("""COMPUTED_VALUE"""),"VILLAS DE ALEJANDRÍA / manzana M casa 17 villas de Alejandría")</f>
        <v>VILLAS DE ALEJANDRÍA / manzana M casa 17 villas de Alejandría</v>
      </c>
      <c r="G8432" s="15" t="str">
        <f>IFERROR(__xludf.DUMMYFUNCTION("""COMPUTED_VALUE"""),"MARIA NELLA SIERRA BARRIOS")</f>
        <v>MARIA NELLA SIERRA BARRIOS</v>
      </c>
      <c r="H8432" s="16">
        <f>IFERROR(__xludf.DUMMYFUNCTION("""COMPUTED_VALUE"""),17157.0)</f>
        <v>17157</v>
      </c>
      <c r="I8432" s="17"/>
      <c r="J8432" s="17"/>
      <c r="K8432" s="17"/>
      <c r="L8432" s="17">
        <f>IFERROR(__xludf.DUMMYFUNCTION("""COMPUTED_VALUE"""),3.006531818E9)</f>
        <v>3006531818</v>
      </c>
      <c r="M8432" s="17"/>
      <c r="N8432" s="17"/>
      <c r="O8432" s="17"/>
      <c r="P8432" s="17" t="b">
        <f>IFERROR(__xludf.DUMMYFUNCTION("""COMPUTED_VALUE"""),FALSE)</f>
        <v>0</v>
      </c>
      <c r="Q8432" s="20" t="str">
        <f>IFERROR(__xludf.DUMMYFUNCTION("""COMPUTED_VALUE"""),"")</f>
        <v/>
      </c>
      <c r="R8432" s="21" t="str">
        <f>IFERROR(__xludf.DUMMYFUNCTION("""COMPUTED_VALUE"""),"https://drive.google.com/file/d/1U6TdtaFDUzUlHTRQN7jvz-TLuSGcGG4r/view?usp=drivesdk")</f>
        <v>https://drive.google.com/file/d/1U6TdtaFDUzUlHTRQN7jvz-TLuSGcGG4r/view?usp=drivesdk</v>
      </c>
    </row>
    <row r="8433">
      <c r="A8433" s="17" t="str">
        <f>IFERROR(__xludf.DUMMYFUNCTION("""COMPUTED_VALUE"""),"")</f>
        <v/>
      </c>
      <c r="B8433" s="17" t="str">
        <f>IFERROR(__xludf.DUMMYFUNCTION("""COMPUTED_VALUE"""),"")</f>
        <v/>
      </c>
      <c r="C8433" s="17" t="str">
        <f>IFERROR(__xludf.DUMMYFUNCTION("""COMPUTED_VALUE"""),"")</f>
        <v/>
      </c>
      <c r="D8433" s="17" t="str">
        <f>IFERROR(__xludf.DUMMYFUNCTION("""COMPUTED_VALUE"""),"")</f>
        <v/>
      </c>
      <c r="E8433" s="17" t="str">
        <f>IFERROR(__xludf.DUMMYFUNCTION("""COMPUTED_VALUE"""),"")</f>
        <v/>
      </c>
      <c r="F8433" s="17" t="str">
        <f>IFERROR(__xludf.DUMMYFUNCTION("""COMPUTED_VALUE"""),"")</f>
        <v/>
      </c>
      <c r="G8433" s="17" t="str">
        <f>IFERROR(__xludf.DUMMYFUNCTION("""COMPUTED_VALUE"""),"")</f>
        <v/>
      </c>
      <c r="H8433" s="17" t="str">
        <f>IFERROR(__xludf.DUMMYFUNCTION("""COMPUTED_VALUE"""),"")</f>
        <v/>
      </c>
      <c r="I8433" s="17" t="str">
        <f>IFERROR(__xludf.DUMMYFUNCTION("""COMPUTED_VALUE"""),"")</f>
        <v/>
      </c>
      <c r="J8433" s="17" t="str">
        <f>IFERROR(__xludf.DUMMYFUNCTION("""COMPUTED_VALUE"""),"")</f>
        <v/>
      </c>
      <c r="K8433" s="17" t="str">
        <f>IFERROR(__xludf.DUMMYFUNCTION("""COMPUTED_VALUE"""),"")</f>
        <v/>
      </c>
      <c r="L8433" s="17" t="str">
        <f>IFERROR(__xludf.DUMMYFUNCTION("""COMPUTED_VALUE"""),"")</f>
        <v/>
      </c>
      <c r="M8433" s="17" t="str">
        <f>IFERROR(__xludf.DUMMYFUNCTION("""COMPUTED_VALUE"""),"")</f>
        <v/>
      </c>
      <c r="N8433" s="17" t="str">
        <f>IFERROR(__xludf.DUMMYFUNCTION("""COMPUTED_VALUE"""),"")</f>
        <v/>
      </c>
      <c r="O8433" s="17" t="str">
        <f>IFERROR(__xludf.DUMMYFUNCTION("""COMPUTED_VALUE"""),"")</f>
        <v/>
      </c>
      <c r="P8433" s="17" t="str">
        <f>IFERROR(__xludf.DUMMYFUNCTION("""COMPUTED_VALUE"""),"")</f>
        <v/>
      </c>
      <c r="Q8433" s="17" t="str">
        <f>IFERROR(__xludf.DUMMYFUNCTION("""COMPUTED_VALUE"""),"")</f>
        <v/>
      </c>
      <c r="R8433" s="17" t="str">
        <f>IFERROR(__xludf.DUMMYFUNCTION("""COMPUTED_VALUE"""),"")</f>
        <v/>
      </c>
    </row>
    <row r="8434">
      <c r="A8434" s="15">
        <f>IFERROR(__xludf.DUMMYFUNCTION("""COMPUTED_VALUE"""),45239.0)</f>
        <v>45239</v>
      </c>
      <c r="B8434" s="16" t="str">
        <f>IFERROR(__xludf.DUMMYFUNCTION("""COMPUTED_VALUE"""),"Santiago Garces Restrepo")</f>
        <v>Santiago Garces Restrepo</v>
      </c>
      <c r="C8434" s="15" t="str">
        <f>IFERROR(__xludf.DUMMYFUNCTION("""COMPUTED_VALUE"""),"CALI")</f>
        <v>CALI</v>
      </c>
      <c r="D8434" s="15" t="str">
        <f>IFERROR(__xludf.DUMMYFUNCTION("""COMPUTED_VALUE"""),"MEDELLÍN")</f>
        <v>MEDELLÍN</v>
      </c>
      <c r="E8434" s="15" t="str">
        <f>IFERROR(__xludf.DUMMYFUNCTION("""COMPUTED_VALUE"""),"Moloso S.A.S")</f>
        <v>Moloso S.A.S</v>
      </c>
      <c r="F8434" s="17" t="str">
        <f>IFERROR(__xludf.DUMMYFUNCTION("""COMPUTED_VALUE"""),"AV 3 OESTE 13 94 / ED SOL DEL OESTE AP 702")</f>
        <v>AV 3 OESTE 13 94 / ED SOL DEL OESTE AP 702</v>
      </c>
      <c r="G8434" s="15" t="str">
        <f>IFERROR(__xludf.DUMMYFUNCTION("""COMPUTED_VALUE"""),"LAURA HERNÁNDEZ ALVIAR")</f>
        <v>LAURA HERNÁNDEZ ALVIAR</v>
      </c>
      <c r="H8434" s="16">
        <f>IFERROR(__xludf.DUMMYFUNCTION("""COMPUTED_VALUE"""),17086.0)</f>
        <v>17086</v>
      </c>
      <c r="I8434" s="17"/>
      <c r="J8434" s="17"/>
      <c r="K8434" s="17"/>
      <c r="L8434" s="17"/>
      <c r="M8434" s="17"/>
      <c r="N8434" s="17"/>
      <c r="O8434" s="17"/>
      <c r="P8434" s="17" t="b">
        <f>IFERROR(__xludf.DUMMYFUNCTION("""COMPUTED_VALUE"""),FALSE)</f>
        <v>0</v>
      </c>
      <c r="Q8434" s="20" t="str">
        <f>IFERROR(__xludf.DUMMYFUNCTION("""COMPUTED_VALUE"""),"")</f>
        <v/>
      </c>
      <c r="R8434" s="21" t="str">
        <f>IFERROR(__xludf.DUMMYFUNCTION("""COMPUTED_VALUE"""),"https://drive.google.com/file/d/1_74gsAqO22zEe92ROkiOobjcAwBtmMpn/view?usp=drivesdk")</f>
        <v>https://drive.google.com/file/d/1_74gsAqO22zEe92ROkiOobjcAwBtmMpn/view?usp=drivesdk</v>
      </c>
    </row>
    <row r="8435">
      <c r="A8435" s="17" t="str">
        <f>IFERROR(__xludf.DUMMYFUNCTION("""COMPUTED_VALUE"""),"")</f>
        <v/>
      </c>
      <c r="B8435" s="17" t="str">
        <f>IFERROR(__xludf.DUMMYFUNCTION("""COMPUTED_VALUE"""),"")</f>
        <v/>
      </c>
      <c r="C8435" s="17" t="str">
        <f>IFERROR(__xludf.DUMMYFUNCTION("""COMPUTED_VALUE"""),"")</f>
        <v/>
      </c>
      <c r="D8435" s="17" t="str">
        <f>IFERROR(__xludf.DUMMYFUNCTION("""COMPUTED_VALUE"""),"")</f>
        <v/>
      </c>
      <c r="E8435" s="17" t="str">
        <f>IFERROR(__xludf.DUMMYFUNCTION("""COMPUTED_VALUE"""),"")</f>
        <v/>
      </c>
      <c r="F8435" s="17" t="str">
        <f>IFERROR(__xludf.DUMMYFUNCTION("""COMPUTED_VALUE"""),"")</f>
        <v/>
      </c>
      <c r="G8435" s="17" t="str">
        <f>IFERROR(__xludf.DUMMYFUNCTION("""COMPUTED_VALUE"""),"")</f>
        <v/>
      </c>
      <c r="H8435" s="17" t="str">
        <f>IFERROR(__xludf.DUMMYFUNCTION("""COMPUTED_VALUE"""),"")</f>
        <v/>
      </c>
      <c r="I8435" s="17" t="str">
        <f>IFERROR(__xludf.DUMMYFUNCTION("""COMPUTED_VALUE"""),"")</f>
        <v/>
      </c>
      <c r="J8435" s="17" t="str">
        <f>IFERROR(__xludf.DUMMYFUNCTION("""COMPUTED_VALUE"""),"")</f>
        <v/>
      </c>
      <c r="K8435" s="17" t="str">
        <f>IFERROR(__xludf.DUMMYFUNCTION("""COMPUTED_VALUE"""),"")</f>
        <v/>
      </c>
      <c r="L8435" s="17" t="str">
        <f>IFERROR(__xludf.DUMMYFUNCTION("""COMPUTED_VALUE"""),"")</f>
        <v/>
      </c>
      <c r="M8435" s="17" t="str">
        <f>IFERROR(__xludf.DUMMYFUNCTION("""COMPUTED_VALUE"""),"")</f>
        <v/>
      </c>
      <c r="N8435" s="17" t="str">
        <f>IFERROR(__xludf.DUMMYFUNCTION("""COMPUTED_VALUE"""),"")</f>
        <v/>
      </c>
      <c r="O8435" s="17" t="str">
        <f>IFERROR(__xludf.DUMMYFUNCTION("""COMPUTED_VALUE"""),"")</f>
        <v/>
      </c>
      <c r="P8435" s="17" t="str">
        <f>IFERROR(__xludf.DUMMYFUNCTION("""COMPUTED_VALUE"""),"")</f>
        <v/>
      </c>
      <c r="Q8435" s="17" t="str">
        <f>IFERROR(__xludf.DUMMYFUNCTION("""COMPUTED_VALUE"""),"")</f>
        <v/>
      </c>
      <c r="R8435" s="17" t="str">
        <f>IFERROR(__xludf.DUMMYFUNCTION("""COMPUTED_VALUE"""),"")</f>
        <v/>
      </c>
    </row>
    <row r="8436">
      <c r="A8436" s="15">
        <f>IFERROR(__xludf.DUMMYFUNCTION("""COMPUTED_VALUE"""),45240.0)</f>
        <v>45240</v>
      </c>
      <c r="B8436" s="17"/>
      <c r="C8436" s="15" t="str">
        <f>IFERROR(__xludf.DUMMYFUNCTION("""COMPUTED_VALUE"""),"MEDELLÍN")</f>
        <v>MEDELLÍN</v>
      </c>
      <c r="D8436" s="15" t="str">
        <f>IFERROR(__xludf.DUMMYFUNCTION("""COMPUTED_VALUE"""),"BOGOTÁ")</f>
        <v>BOGOTÁ</v>
      </c>
      <c r="E8436" s="15" t="str">
        <f>IFERROR(__xludf.DUMMYFUNCTION("""COMPUTED_VALUE"""),"Renata")</f>
        <v>Renata</v>
      </c>
      <c r="F8436" s="17" t="str">
        <f>IFERROR(__xludf.DUMMYFUNCTION("""COMPUTED_VALUE"""),"Carrera 32d#9-43 / Seline y cowork -restaurante  / Provenza")</f>
        <v>Carrera 32d#9-43 / Seline y cowork -restaurante  / Provenza</v>
      </c>
      <c r="G8436" s="15" t="str">
        <f>IFERROR(__xludf.DUMMYFUNCTION("""COMPUTED_VALUE"""),"Front y back hospitality group")</f>
        <v>Front y back hospitality group</v>
      </c>
      <c r="H8436" s="16">
        <f>IFERROR(__xludf.DUMMYFUNCTION("""COMPUTED_VALUE"""),17184.0)</f>
        <v>17184</v>
      </c>
      <c r="I8436" s="18">
        <f>IFERROR(__xludf.DUMMYFUNCTION("""COMPUTED_VALUE"""),90.0)</f>
        <v>90</v>
      </c>
      <c r="J8436" s="18">
        <f>IFERROR(__xludf.DUMMYFUNCTION("""COMPUTED_VALUE"""),70.0)</f>
        <v>70</v>
      </c>
      <c r="K8436" s="18">
        <f>IFERROR(__xludf.DUMMYFUNCTION("""COMPUTED_VALUE"""),60.0)</f>
        <v>60</v>
      </c>
      <c r="L8436" s="17">
        <f>IFERROR(__xludf.DUMMYFUNCTION("""COMPUTED_VALUE"""),3.104047368E9)</f>
        <v>3104047368</v>
      </c>
      <c r="M8436" s="17"/>
      <c r="N8436" s="17"/>
      <c r="O8436" s="17"/>
      <c r="P8436" s="17" t="b">
        <f>IFERROR(__xludf.DUMMYFUNCTION("""COMPUTED_VALUE"""),FALSE)</f>
        <v>0</v>
      </c>
      <c r="Q8436" s="20" t="str">
        <f>IFERROR(__xludf.DUMMYFUNCTION("""COMPUTED_VALUE"""),"")</f>
        <v/>
      </c>
      <c r="R8436" s="22" t="str">
        <f>IFERROR(__xludf.DUMMYFUNCTION("""COMPUTED_VALUE"""),"")</f>
        <v/>
      </c>
    </row>
    <row r="8437">
      <c r="A8437" s="17" t="str">
        <f>IFERROR(__xludf.DUMMYFUNCTION("""COMPUTED_VALUE"""),"")</f>
        <v/>
      </c>
      <c r="B8437" s="17" t="str">
        <f>IFERROR(__xludf.DUMMYFUNCTION("""COMPUTED_VALUE"""),"")</f>
        <v/>
      </c>
      <c r="C8437" s="17" t="str">
        <f>IFERROR(__xludf.DUMMYFUNCTION("""COMPUTED_VALUE"""),"")</f>
        <v/>
      </c>
      <c r="D8437" s="17" t="str">
        <f>IFERROR(__xludf.DUMMYFUNCTION("""COMPUTED_VALUE"""),"")</f>
        <v/>
      </c>
      <c r="E8437" s="17" t="str">
        <f>IFERROR(__xludf.DUMMYFUNCTION("""COMPUTED_VALUE"""),"")</f>
        <v/>
      </c>
      <c r="F8437" s="17" t="str">
        <f>IFERROR(__xludf.DUMMYFUNCTION("""COMPUTED_VALUE"""),"")</f>
        <v/>
      </c>
      <c r="G8437" s="17" t="str">
        <f>IFERROR(__xludf.DUMMYFUNCTION("""COMPUTED_VALUE"""),"")</f>
        <v/>
      </c>
      <c r="H8437" s="17" t="str">
        <f>IFERROR(__xludf.DUMMYFUNCTION("""COMPUTED_VALUE"""),"")</f>
        <v/>
      </c>
      <c r="I8437" s="17" t="str">
        <f>IFERROR(__xludf.DUMMYFUNCTION("""COMPUTED_VALUE"""),"")</f>
        <v/>
      </c>
      <c r="J8437" s="17" t="str">
        <f>IFERROR(__xludf.DUMMYFUNCTION("""COMPUTED_VALUE"""),"")</f>
        <v/>
      </c>
      <c r="K8437" s="17" t="str">
        <f>IFERROR(__xludf.DUMMYFUNCTION("""COMPUTED_VALUE"""),"")</f>
        <v/>
      </c>
      <c r="L8437" s="17" t="str">
        <f>IFERROR(__xludf.DUMMYFUNCTION("""COMPUTED_VALUE"""),"")</f>
        <v/>
      </c>
      <c r="M8437" s="17" t="str">
        <f>IFERROR(__xludf.DUMMYFUNCTION("""COMPUTED_VALUE"""),"")</f>
        <v/>
      </c>
      <c r="N8437" s="17" t="str">
        <f>IFERROR(__xludf.DUMMYFUNCTION("""COMPUTED_VALUE"""),"")</f>
        <v/>
      </c>
      <c r="O8437" s="17" t="str">
        <f>IFERROR(__xludf.DUMMYFUNCTION("""COMPUTED_VALUE"""),"")</f>
        <v/>
      </c>
      <c r="P8437" s="17" t="str">
        <f>IFERROR(__xludf.DUMMYFUNCTION("""COMPUTED_VALUE"""),"")</f>
        <v/>
      </c>
      <c r="Q8437" s="17" t="str">
        <f>IFERROR(__xludf.DUMMYFUNCTION("""COMPUTED_VALUE"""),"")</f>
        <v/>
      </c>
      <c r="R8437" s="17" t="str">
        <f>IFERROR(__xludf.DUMMYFUNCTION("""COMPUTED_VALUE"""),"")</f>
        <v/>
      </c>
    </row>
    <row r="8438">
      <c r="A8438" s="15">
        <f>IFERROR(__xludf.DUMMYFUNCTION("""COMPUTED_VALUE"""),45240.0)</f>
        <v>45240</v>
      </c>
      <c r="B8438" s="16" t="str">
        <f>IFERROR(__xludf.DUMMYFUNCTION("""COMPUTED_VALUE"""),"Alvaro Chacón")</f>
        <v>Alvaro Chacón</v>
      </c>
      <c r="C8438" s="15" t="str">
        <f>IFERROR(__xludf.DUMMYFUNCTION("""COMPUTED_VALUE"""),"BOGOTÁ")</f>
        <v>BOGOTÁ</v>
      </c>
      <c r="D8438" s="15" t="str">
        <f>IFERROR(__xludf.DUMMYFUNCTION("""COMPUTED_VALUE"""),"BOGOTÁ")</f>
        <v>BOGOTÁ</v>
      </c>
      <c r="E8438" s="15" t="str">
        <f>IFERROR(__xludf.DUMMYFUNCTION("""COMPUTED_VALUE"""),"Felicidad Bakery")</f>
        <v>Felicidad Bakery</v>
      </c>
      <c r="F8438" s="17" t="str">
        <f>IFERROR(__xludf.DUMMYFUNCTION("""COMPUTED_VALUE"""),"AK 68 #75a 50 piso 3 / Centro comercial Mtropolis / Piso 3")</f>
        <v>AK 68 #75a 50 piso 3 / Centro comercial Mtropolis / Piso 3</v>
      </c>
      <c r="G8438" s="15" t="str">
        <f>IFERROR(__xludf.DUMMYFUNCTION("""COMPUTED_VALUE"""),"Mauricio Valencia")</f>
        <v>Mauricio Valencia</v>
      </c>
      <c r="H8438" s="16">
        <f>IFERROR(__xludf.DUMMYFUNCTION("""COMPUTED_VALUE"""),17178.0)</f>
        <v>17178</v>
      </c>
      <c r="I8438" s="18">
        <f>IFERROR(__xludf.DUMMYFUNCTION("""COMPUTED_VALUE"""),55.0)</f>
        <v>55</v>
      </c>
      <c r="J8438" s="18">
        <f>IFERROR(__xludf.DUMMYFUNCTION("""COMPUTED_VALUE"""),45.0)</f>
        <v>45</v>
      </c>
      <c r="K8438" s="18" t="str">
        <f>IFERROR(__xludf.DUMMYFUNCTION("""COMPUTED_VALUE"""),"52.5")</f>
        <v>52.5</v>
      </c>
      <c r="L8438" s="17">
        <f>IFERROR(__xludf.DUMMYFUNCTION("""COMPUTED_VALUE"""),3.104321591E9)</f>
        <v>3104321591</v>
      </c>
      <c r="M8438" s="17"/>
      <c r="N8438" s="17"/>
      <c r="O8438" s="17"/>
      <c r="P8438" s="17" t="b">
        <f>IFERROR(__xludf.DUMMYFUNCTION("""COMPUTED_VALUE"""),TRUE)</f>
        <v>1</v>
      </c>
      <c r="Q8438" s="20">
        <f>IFERROR(__xludf.DUMMYFUNCTION("""COMPUTED_VALUE"""),45243.67115180555)</f>
        <v>45243.67115</v>
      </c>
      <c r="R8438" s="22" t="str">
        <f>IFERROR(__xludf.DUMMYFUNCTION("""COMPUTED_VALUE"""),"")</f>
        <v/>
      </c>
    </row>
    <row r="8439">
      <c r="A8439" s="15">
        <f>IFERROR(__xludf.DUMMYFUNCTION("""COMPUTED_VALUE"""),45240.0)</f>
        <v>45240</v>
      </c>
      <c r="B8439" s="16" t="str">
        <f>IFERROR(__xludf.DUMMYFUNCTION("""COMPUTED_VALUE"""),"Alvaro Chacón")</f>
        <v>Alvaro Chacón</v>
      </c>
      <c r="C8439" s="15" t="str">
        <f>IFERROR(__xludf.DUMMYFUNCTION("""COMPUTED_VALUE"""),"BOGOTÁ")</f>
        <v>BOGOTÁ</v>
      </c>
      <c r="D8439" s="15" t="str">
        <f>IFERROR(__xludf.DUMMYFUNCTION("""COMPUTED_VALUE"""),"ENVIGADO")</f>
        <v>ENVIGADO</v>
      </c>
      <c r="E8439" s="15" t="str">
        <f>IFERROR(__xludf.DUMMYFUNCTION("""COMPUTED_VALUE"""),"JUAN CAMILO CORDOBA")</f>
        <v>JUAN CAMILO CORDOBA</v>
      </c>
      <c r="F8439" s="17" t="str">
        <f>IFERROR(__xludf.DUMMYFUNCTION("""COMPUTED_VALUE"""),"Calle 108#57-09 / Apto 509  Torres de Amel")</f>
        <v>Calle 108#57-09 / Apto 509  Torres de Amel</v>
      </c>
      <c r="G8439" s="15" t="str">
        <f>IFERROR(__xludf.DUMMYFUNCTION("""COMPUTED_VALUE"""),"Laura Pedreros")</f>
        <v>Laura Pedreros</v>
      </c>
      <c r="H8439" s="16">
        <f>IFERROR(__xludf.DUMMYFUNCTION("""COMPUTED_VALUE"""),17207.0)</f>
        <v>17207</v>
      </c>
      <c r="I8439" s="17"/>
      <c r="J8439" s="17"/>
      <c r="K8439" s="17"/>
      <c r="L8439" s="17">
        <f>IFERROR(__xludf.DUMMYFUNCTION("""COMPUTED_VALUE"""),3.138592815E9)</f>
        <v>3138592815</v>
      </c>
      <c r="M8439" s="17"/>
      <c r="N8439" s="17"/>
      <c r="O8439" s="17"/>
      <c r="P8439" s="17" t="b">
        <f>IFERROR(__xludf.DUMMYFUNCTION("""COMPUTED_VALUE"""),FALSE)</f>
        <v>0</v>
      </c>
      <c r="Q8439" s="20" t="str">
        <f>IFERROR(__xludf.DUMMYFUNCTION("""COMPUTED_VALUE"""),"")</f>
        <v/>
      </c>
      <c r="R8439" s="21" t="str">
        <f>IFERROR(__xludf.DUMMYFUNCTION("""COMPUTED_VALUE"""),"https://drive.google.com/file/d/1jwA04RK6PR38ptOB4ieItuVefKkmOJz6/view?usp=drivesdk")</f>
        <v>https://drive.google.com/file/d/1jwA04RK6PR38ptOB4ieItuVefKkmOJz6/view?usp=drivesdk</v>
      </c>
    </row>
    <row r="8440">
      <c r="A8440" s="15">
        <f>IFERROR(__xludf.DUMMYFUNCTION("""COMPUTED_VALUE"""),45240.0)</f>
        <v>45240</v>
      </c>
      <c r="B8440" s="16" t="str">
        <f>IFERROR(__xludf.DUMMYFUNCTION("""COMPUTED_VALUE"""),"Alvaro Chacón")</f>
        <v>Alvaro Chacón</v>
      </c>
      <c r="C8440" s="15" t="str">
        <f>IFERROR(__xludf.DUMMYFUNCTION("""COMPUTED_VALUE"""),"BOGOTÁ")</f>
        <v>BOGOTÁ</v>
      </c>
      <c r="D8440" s="15" t="str">
        <f>IFERROR(__xludf.DUMMYFUNCTION("""COMPUTED_VALUE"""),"ENVIGADO")</f>
        <v>ENVIGADO</v>
      </c>
      <c r="E8440" s="15" t="str">
        <f>IFERROR(__xludf.DUMMYFUNCTION("""COMPUTED_VALUE"""),"JUAN CAMILO CORDOBA")</f>
        <v>JUAN CAMILO CORDOBA</v>
      </c>
      <c r="F8440" s="17" t="str">
        <f>IFERROR(__xludf.DUMMYFUNCTION("""COMPUTED_VALUE"""),"Calle 20 sur # 12B 26 / apto 402")</f>
        <v>Calle 20 sur # 12B 26 / apto 402</v>
      </c>
      <c r="G8440" s="15" t="str">
        <f>IFERROR(__xludf.DUMMYFUNCTION("""COMPUTED_VALUE"""),"Elisa Joya")</f>
        <v>Elisa Joya</v>
      </c>
      <c r="H8440" s="16">
        <f>IFERROR(__xludf.DUMMYFUNCTION("""COMPUTED_VALUE"""),17199.0)</f>
        <v>17199</v>
      </c>
      <c r="I8440" s="17"/>
      <c r="J8440" s="17"/>
      <c r="K8440" s="17"/>
      <c r="L8440" s="17">
        <f>IFERROR(__xludf.DUMMYFUNCTION("""COMPUTED_VALUE"""),3.115842241E9)</f>
        <v>3115842241</v>
      </c>
      <c r="M8440" s="17"/>
      <c r="N8440" s="17"/>
      <c r="O8440" s="17"/>
      <c r="P8440" s="17" t="b">
        <f>IFERROR(__xludf.DUMMYFUNCTION("""COMPUTED_VALUE"""),FALSE)</f>
        <v>0</v>
      </c>
      <c r="Q8440" s="20" t="str">
        <f>IFERROR(__xludf.DUMMYFUNCTION("""COMPUTED_VALUE"""),"")</f>
        <v/>
      </c>
      <c r="R8440" s="21" t="str">
        <f>IFERROR(__xludf.DUMMYFUNCTION("""COMPUTED_VALUE"""),"https://drive.google.com/file/d/1wr6askhwUHK8pA1m5yGVSa9JRFcfPz0Z/view?usp=drivesdk")</f>
        <v>https://drive.google.com/file/d/1wr6askhwUHK8pA1m5yGVSa9JRFcfPz0Z/view?usp=drivesdk</v>
      </c>
    </row>
    <row r="8441">
      <c r="A8441" s="15">
        <f>IFERROR(__xludf.DUMMYFUNCTION("""COMPUTED_VALUE"""),45240.0)</f>
        <v>45240</v>
      </c>
      <c r="B8441" s="16" t="str">
        <f>IFERROR(__xludf.DUMMYFUNCTION("""COMPUTED_VALUE"""),"Alvaro Chacón")</f>
        <v>Alvaro Chacón</v>
      </c>
      <c r="C8441" s="15" t="str">
        <f>IFERROR(__xludf.DUMMYFUNCTION("""COMPUTED_VALUE"""),"BOGOTÁ")</f>
        <v>BOGOTÁ</v>
      </c>
      <c r="D8441" s="15" t="str">
        <f>IFERROR(__xludf.DUMMYFUNCTION("""COMPUTED_VALUE"""),"ENVIGADO")</f>
        <v>ENVIGADO</v>
      </c>
      <c r="E8441" s="15" t="str">
        <f>IFERROR(__xludf.DUMMYFUNCTION("""COMPUTED_VALUE"""),"JUAN CAMILO CORDOBA")</f>
        <v>JUAN CAMILO CORDOBA</v>
      </c>
      <c r="F8441" s="17" t="str">
        <f>IFERROR(__xludf.DUMMYFUNCTION("""COMPUTED_VALUE"""),"Carrera 58 128 27 / LC 102")</f>
        <v>Carrera 58 128 27 / LC 102</v>
      </c>
      <c r="G8441" s="15" t="str">
        <f>IFERROR(__xludf.DUMMYFUNCTION("""COMPUTED_VALUE"""),"Amarte Market")</f>
        <v>Amarte Market</v>
      </c>
      <c r="H8441" s="16">
        <f>IFERROR(__xludf.DUMMYFUNCTION("""COMPUTED_VALUE"""),17198.0)</f>
        <v>17198</v>
      </c>
      <c r="I8441" s="17"/>
      <c r="J8441" s="17"/>
      <c r="K8441" s="17"/>
      <c r="L8441" s="17">
        <f>IFERROR(__xludf.DUMMYFUNCTION("""COMPUTED_VALUE"""),3.013659771E9)</f>
        <v>3013659771</v>
      </c>
      <c r="M8441" s="17"/>
      <c r="N8441" s="17"/>
      <c r="O8441" s="17"/>
      <c r="P8441" s="17" t="b">
        <f>IFERROR(__xludf.DUMMYFUNCTION("""COMPUTED_VALUE"""),FALSE)</f>
        <v>0</v>
      </c>
      <c r="Q8441" s="20" t="str">
        <f>IFERROR(__xludf.DUMMYFUNCTION("""COMPUTED_VALUE"""),"")</f>
        <v/>
      </c>
      <c r="R8441" s="21" t="str">
        <f>IFERROR(__xludf.DUMMYFUNCTION("""COMPUTED_VALUE"""),"https://drive.google.com/file/d/1oK2mbOHy1KpEIJD9p_MjPQj67UfI7wm_/view?usp=drivesdk")</f>
        <v>https://drive.google.com/file/d/1oK2mbOHy1KpEIJD9p_MjPQj67UfI7wm_/view?usp=drivesdk</v>
      </c>
    </row>
    <row r="8442">
      <c r="A8442" s="15">
        <f>IFERROR(__xludf.DUMMYFUNCTION("""COMPUTED_VALUE"""),45240.0)</f>
        <v>45240</v>
      </c>
      <c r="B8442" s="16" t="str">
        <f>IFERROR(__xludf.DUMMYFUNCTION("""COMPUTED_VALUE"""),"Alvaro Chacón")</f>
        <v>Alvaro Chacón</v>
      </c>
      <c r="C8442" s="15" t="str">
        <f>IFERROR(__xludf.DUMMYFUNCTION("""COMPUTED_VALUE"""),"BOGOTÁ")</f>
        <v>BOGOTÁ</v>
      </c>
      <c r="D8442" s="15" t="str">
        <f>IFERROR(__xludf.DUMMYFUNCTION("""COMPUTED_VALUE"""),"MEDELLÍN")</f>
        <v>MEDELLÍN</v>
      </c>
      <c r="E8442" s="15" t="str">
        <f>IFERROR(__xludf.DUMMYFUNCTION("""COMPUTED_VALUE"""),"AREPAS LA MARY")</f>
        <v>AREPAS LA MARY</v>
      </c>
      <c r="F8442" s="17" t="str">
        <f>IFERROR(__xludf.DUMMYFUNCTION("""COMPUTED_VALUE"""),"CRA 10 N.1A 50 LOCAL 22 / CC ASTURIAS")</f>
        <v>CRA 10 N.1A 50 LOCAL 22 / CC ASTURIAS</v>
      </c>
      <c r="G8442" s="15" t="str">
        <f>IFERROR(__xludf.DUMMYFUNCTION("""COMPUTED_VALUE"""),"VIVO MARKET CHIA")</f>
        <v>VIVO MARKET CHIA</v>
      </c>
      <c r="H8442" s="16">
        <f>IFERROR(__xludf.DUMMYFUNCTION("""COMPUTED_VALUE"""),17167.0)</f>
        <v>17167</v>
      </c>
      <c r="I8442" s="18">
        <f>IFERROR(__xludf.DUMMYFUNCTION("""COMPUTED_VALUE"""),89.0)</f>
        <v>89</v>
      </c>
      <c r="J8442" s="18">
        <f>IFERROR(__xludf.DUMMYFUNCTION("""COMPUTED_VALUE"""),1.0)</f>
        <v>1</v>
      </c>
      <c r="K8442" s="18">
        <f>IFERROR(__xludf.DUMMYFUNCTION("""COMPUTED_VALUE"""),10.0)</f>
        <v>10</v>
      </c>
      <c r="L8442" s="17">
        <f>IFERROR(__xludf.DUMMYFUNCTION("""COMPUTED_VALUE"""),3.145035171E9)</f>
        <v>3145035171</v>
      </c>
      <c r="M8442" s="17"/>
      <c r="N8442" s="17"/>
      <c r="O8442" s="17"/>
      <c r="P8442" s="17" t="b">
        <f>IFERROR(__xludf.DUMMYFUNCTION("""COMPUTED_VALUE"""),FALSE)</f>
        <v>0</v>
      </c>
      <c r="Q8442" s="20" t="str">
        <f>IFERROR(__xludf.DUMMYFUNCTION("""COMPUTED_VALUE"""),"")</f>
        <v/>
      </c>
      <c r="R8442" s="22" t="str">
        <f>IFERROR(__xludf.DUMMYFUNCTION("""COMPUTED_VALUE"""),"")</f>
        <v/>
      </c>
    </row>
    <row r="8443">
      <c r="A8443" s="15">
        <f>IFERROR(__xludf.DUMMYFUNCTION("""COMPUTED_VALUE"""),45240.0)</f>
        <v>45240</v>
      </c>
      <c r="B8443" s="16" t="str">
        <f>IFERROR(__xludf.DUMMYFUNCTION("""COMPUTED_VALUE"""),"Alvaro Chacón")</f>
        <v>Alvaro Chacón</v>
      </c>
      <c r="C8443" s="15" t="str">
        <f>IFERROR(__xludf.DUMMYFUNCTION("""COMPUTED_VALUE"""),"BOGOTÁ")</f>
        <v>BOGOTÁ</v>
      </c>
      <c r="D8443" s="15" t="str">
        <f>IFERROR(__xludf.DUMMYFUNCTION("""COMPUTED_VALUE"""),"MEDELLÍN")</f>
        <v>MEDELLÍN</v>
      </c>
      <c r="E8443" s="15" t="str">
        <f>IFERROR(__xludf.DUMMYFUNCTION("""COMPUTED_VALUE"""),"AREPAS LA MARY")</f>
        <v>AREPAS LA MARY</v>
      </c>
      <c r="F8443" s="17" t="str">
        <f>IFERROR(__xludf.DUMMYFUNCTION("""COMPUTED_VALUE"""),"Edificio Caribe / CHICO")</f>
        <v>Edificio Caribe / CHICO</v>
      </c>
      <c r="G8443" s="15" t="str">
        <f>IFERROR(__xludf.DUMMYFUNCTION("""COMPUTED_VALUE"""),"ANDRES ESPINOZA")</f>
        <v>ANDRES ESPINOZA</v>
      </c>
      <c r="H8443" s="16">
        <f>IFERROR(__xludf.DUMMYFUNCTION("""COMPUTED_VALUE"""),17170.0)</f>
        <v>17170</v>
      </c>
      <c r="I8443" s="18">
        <f>IFERROR(__xludf.DUMMYFUNCTION("""COMPUTED_VALUE"""),89.0)</f>
        <v>89</v>
      </c>
      <c r="J8443" s="18">
        <f>IFERROR(__xludf.DUMMYFUNCTION("""COMPUTED_VALUE"""),1.0)</f>
        <v>1</v>
      </c>
      <c r="K8443" s="18">
        <f>IFERROR(__xludf.DUMMYFUNCTION("""COMPUTED_VALUE"""),10.0)</f>
        <v>10</v>
      </c>
      <c r="L8443" s="17">
        <f>IFERROR(__xludf.DUMMYFUNCTION("""COMPUTED_VALUE"""),3.155588268E9)</f>
        <v>3155588268</v>
      </c>
      <c r="M8443" s="17"/>
      <c r="N8443" s="17"/>
      <c r="O8443" s="17"/>
      <c r="P8443" s="17" t="b">
        <f>IFERROR(__xludf.DUMMYFUNCTION("""COMPUTED_VALUE"""),FALSE)</f>
        <v>0</v>
      </c>
      <c r="Q8443" s="20" t="str">
        <f>IFERROR(__xludf.DUMMYFUNCTION("""COMPUTED_VALUE"""),"")</f>
        <v/>
      </c>
      <c r="R8443" s="21" t="str">
        <f>IFERROR(__xludf.DUMMYFUNCTION("""COMPUTED_VALUE"""),"https://drive.google.com/file/d/1Q4dfxwDghfiORr8hDWb4jKzGOVnPiDPy/view?usp=drivesdk")</f>
        <v>https://drive.google.com/file/d/1Q4dfxwDghfiORr8hDWb4jKzGOVnPiDPy/view?usp=drivesdk</v>
      </c>
    </row>
    <row r="8444">
      <c r="A8444" s="15">
        <f>IFERROR(__xludf.DUMMYFUNCTION("""COMPUTED_VALUE"""),45240.0)</f>
        <v>45240</v>
      </c>
      <c r="B8444" s="16" t="str">
        <f>IFERROR(__xludf.DUMMYFUNCTION("""COMPUTED_VALUE"""),"Alvaro Chacón")</f>
        <v>Alvaro Chacón</v>
      </c>
      <c r="C8444" s="15" t="str">
        <f>IFERROR(__xludf.DUMMYFUNCTION("""COMPUTED_VALUE"""),"BOGOTÁ")</f>
        <v>BOGOTÁ</v>
      </c>
      <c r="D8444" s="15" t="str">
        <f>IFERROR(__xludf.DUMMYFUNCTION("""COMPUTED_VALUE"""),"MEDELLÍN")</f>
        <v>MEDELLÍN</v>
      </c>
      <c r="E8444" s="15" t="str">
        <f>IFERROR(__xludf.DUMMYFUNCTION("""COMPUTED_VALUE"""),"Baby Chef")</f>
        <v>Baby Chef</v>
      </c>
      <c r="F8444" s="17" t="str">
        <f>IFERROR(__xludf.DUMMYFUNCTION("""COMPUTED_VALUE"""),"Cra 53 #141-69 apto 409 Prado pinzon Bogota DC (ENTREGAR ANTES DE LA 1PM) / . / .")</f>
        <v>Cra 53 #141-69 apto 409 Prado pinzon Bogota DC (ENTREGAR ANTES DE LA 1PM) / . / .</v>
      </c>
      <c r="G8444" s="15" t="str">
        <f>IFERROR(__xludf.DUMMYFUNCTION("""COMPUTED_VALUE"""),"Juan Carlos Coll")</f>
        <v>Juan Carlos Coll</v>
      </c>
      <c r="H8444" s="16">
        <f>IFERROR(__xludf.DUMMYFUNCTION("""COMPUTED_VALUE"""),17181.0)</f>
        <v>17181</v>
      </c>
      <c r="I8444" s="18">
        <f>IFERROR(__xludf.DUMMYFUNCTION("""COMPUTED_VALUE"""),7.0)</f>
        <v>7</v>
      </c>
      <c r="J8444" s="18">
        <f>IFERROR(__xludf.DUMMYFUNCTION("""COMPUTED_VALUE"""),21.0)</f>
        <v>21</v>
      </c>
      <c r="K8444" s="18">
        <f>IFERROR(__xludf.DUMMYFUNCTION("""COMPUTED_VALUE"""),25.0)</f>
        <v>25</v>
      </c>
      <c r="L8444" s="17">
        <f>IFERROR(__xludf.DUMMYFUNCTION("""COMPUTED_VALUE"""),3.158988792E9)</f>
        <v>3158988792</v>
      </c>
      <c r="M8444" s="17"/>
      <c r="N8444" s="17"/>
      <c r="O8444" s="17"/>
      <c r="P8444" s="17" t="b">
        <f>IFERROR(__xludf.DUMMYFUNCTION("""COMPUTED_VALUE"""),FALSE)</f>
        <v>0</v>
      </c>
      <c r="Q8444" s="20" t="str">
        <f>IFERROR(__xludf.DUMMYFUNCTION("""COMPUTED_VALUE"""),"")</f>
        <v/>
      </c>
      <c r="R8444" s="21" t="str">
        <f>IFERROR(__xludf.DUMMYFUNCTION("""COMPUTED_VALUE"""),"https://drive.google.com/file/d/1xZtrbdzoNlm_QooFQvostb6j_DEUzyP4/view?usp=drivesdk")</f>
        <v>https://drive.google.com/file/d/1xZtrbdzoNlm_QooFQvostb6j_DEUzyP4/view?usp=drivesdk</v>
      </c>
    </row>
    <row r="8445">
      <c r="A8445" s="15">
        <f>IFERROR(__xludf.DUMMYFUNCTION("""COMPUTED_VALUE"""),45240.0)</f>
        <v>45240</v>
      </c>
      <c r="B8445" s="16" t="str">
        <f>IFERROR(__xludf.DUMMYFUNCTION("""COMPUTED_VALUE"""),"Alvaro Chacón")</f>
        <v>Alvaro Chacón</v>
      </c>
      <c r="C8445" s="15" t="str">
        <f>IFERROR(__xludf.DUMMYFUNCTION("""COMPUTED_VALUE"""),"BOGOTÁ")</f>
        <v>BOGOTÁ</v>
      </c>
      <c r="D8445" s="15" t="str">
        <f>IFERROR(__xludf.DUMMYFUNCTION("""COMPUTED_VALUE"""),"MEDELLÍN")</f>
        <v>MEDELLÍN</v>
      </c>
      <c r="E8445" s="15" t="str">
        <f>IFERROR(__xludf.DUMMYFUNCTION("""COMPUTED_VALUE"""),"HELADERIA MAGDA")</f>
        <v>HELADERIA MAGDA</v>
      </c>
      <c r="F8445" s="17" t="str">
        <f>IFERROR(__xludf.DUMMYFUNCTION("""COMPUTED_VALUE"""),"CALLE 71A #14A22-26 / COCINA OCULTA")</f>
        <v>CALLE 71A #14A22-26 / COCINA OCULTA</v>
      </c>
      <c r="G8445" s="15" t="str">
        <f>IFERROR(__xludf.DUMMYFUNCTION("""COMPUTED_VALUE"""),"COCINAS OCULTAS")</f>
        <v>COCINAS OCULTAS</v>
      </c>
      <c r="H8445" s="16">
        <f>IFERROR(__xludf.DUMMYFUNCTION("""COMPUTED_VALUE"""),17211.0)</f>
        <v>17211</v>
      </c>
      <c r="I8445" s="17"/>
      <c r="J8445" s="17"/>
      <c r="K8445" s="17"/>
      <c r="L8445" s="17">
        <f>IFERROR(__xludf.DUMMYFUNCTION("""COMPUTED_VALUE"""),3.156303988E9)</f>
        <v>3156303988</v>
      </c>
      <c r="M8445" s="17"/>
      <c r="N8445" s="17"/>
      <c r="O8445" s="17"/>
      <c r="P8445" s="17" t="b">
        <f>IFERROR(__xludf.DUMMYFUNCTION("""COMPUTED_VALUE"""),FALSE)</f>
        <v>0</v>
      </c>
      <c r="Q8445" s="20" t="str">
        <f>IFERROR(__xludf.DUMMYFUNCTION("""COMPUTED_VALUE"""),"")</f>
        <v/>
      </c>
      <c r="R8445" s="21" t="str">
        <f>IFERROR(__xludf.DUMMYFUNCTION("""COMPUTED_VALUE"""),"https://drive.google.com/file/d/1KjGBetmcAs1Z_uzu4C0MhBKP1DkS9-HW/view?usp=drivesdk")</f>
        <v>https://drive.google.com/file/d/1KjGBetmcAs1Z_uzu4C0MhBKP1DkS9-HW/view?usp=drivesdk</v>
      </c>
    </row>
    <row r="8446">
      <c r="A8446" s="15">
        <f>IFERROR(__xludf.DUMMYFUNCTION("""COMPUTED_VALUE"""),45240.0)</f>
        <v>45240</v>
      </c>
      <c r="B8446" s="16" t="str">
        <f>IFERROR(__xludf.DUMMYFUNCTION("""COMPUTED_VALUE"""),"Alvaro Chacón")</f>
        <v>Alvaro Chacón</v>
      </c>
      <c r="C8446" s="15" t="str">
        <f>IFERROR(__xludf.DUMMYFUNCTION("""COMPUTED_VALUE"""),"VALLEDUPAR")</f>
        <v>VALLEDUPAR</v>
      </c>
      <c r="D8446" s="15" t="str">
        <f>IFERROR(__xludf.DUMMYFUNCTION("""COMPUTED_VALUE"""),"BOGOTÁ")</f>
        <v>BOGOTÁ</v>
      </c>
      <c r="E8446" s="15" t="str">
        <f>IFERROR(__xludf.DUMMYFUNCTION("""COMPUTED_VALUE"""),"LINA PAOLA RAMIREZ GOMEZ - EVA MAZZITA")</f>
        <v>LINA PAOLA RAMIREZ GOMEZ - EVA MAZZITA</v>
      </c>
      <c r="F8446" s="17" t="str">
        <f>IFERROR(__xludf.DUMMYFUNCTION("""COMPUTED_VALUE"""),"CALLE 6 # 13 - 24 / EDIFICIO MULTICENTRO APTO. 103 BARRIO LOS ÁNGELES")</f>
        <v>CALLE 6 # 13 - 24 / EDIFICIO MULTICENTRO APTO. 103 BARRIO LOS ÁNGELES</v>
      </c>
      <c r="G8446" s="15" t="str">
        <f>IFERROR(__xludf.DUMMYFUNCTION("""COMPUTED_VALUE"""),"GINA PAOLA MENDIOLA PEÑA")</f>
        <v>GINA PAOLA MENDIOLA PEÑA</v>
      </c>
      <c r="H8446" s="16">
        <f>IFERROR(__xludf.DUMMYFUNCTION("""COMPUTED_VALUE"""),17159.0)</f>
        <v>17159</v>
      </c>
      <c r="I8446" s="17"/>
      <c r="J8446" s="17"/>
      <c r="K8446" s="17"/>
      <c r="L8446" s="17">
        <f>IFERROR(__xludf.DUMMYFUNCTION("""COMPUTED_VALUE"""),3.114085752E9)</f>
        <v>3114085752</v>
      </c>
      <c r="M8446" s="17"/>
      <c r="N8446" s="17"/>
      <c r="O8446" s="17"/>
      <c r="P8446" s="17" t="b">
        <f>IFERROR(__xludf.DUMMYFUNCTION("""COMPUTED_VALUE"""),FALSE)</f>
        <v>0</v>
      </c>
      <c r="Q8446" s="20" t="str">
        <f>IFERROR(__xludf.DUMMYFUNCTION("""COMPUTED_VALUE"""),"")</f>
        <v/>
      </c>
      <c r="R8446" s="21" t="str">
        <f>IFERROR(__xludf.DUMMYFUNCTION("""COMPUTED_VALUE"""),"https://drive.google.com/file/d/15POxZjBbOPMFhx1bxAnf1Jo5ucGAp9XK/view?usp=drivesdk")</f>
        <v>https://drive.google.com/file/d/15POxZjBbOPMFhx1bxAnf1Jo5ucGAp9XK/view?usp=drivesdk</v>
      </c>
    </row>
    <row r="8447">
      <c r="A8447" s="17" t="str">
        <f>IFERROR(__xludf.DUMMYFUNCTION("""COMPUTED_VALUE"""),"")</f>
        <v/>
      </c>
      <c r="B8447" s="17" t="str">
        <f>IFERROR(__xludf.DUMMYFUNCTION("""COMPUTED_VALUE"""),"")</f>
        <v/>
      </c>
      <c r="C8447" s="17" t="str">
        <f>IFERROR(__xludf.DUMMYFUNCTION("""COMPUTED_VALUE"""),"")</f>
        <v/>
      </c>
      <c r="D8447" s="17" t="str">
        <f>IFERROR(__xludf.DUMMYFUNCTION("""COMPUTED_VALUE"""),"")</f>
        <v/>
      </c>
      <c r="E8447" s="17" t="str">
        <f>IFERROR(__xludf.DUMMYFUNCTION("""COMPUTED_VALUE"""),"")</f>
        <v/>
      </c>
      <c r="F8447" s="17" t="str">
        <f>IFERROR(__xludf.DUMMYFUNCTION("""COMPUTED_VALUE"""),"")</f>
        <v/>
      </c>
      <c r="G8447" s="17" t="str">
        <f>IFERROR(__xludf.DUMMYFUNCTION("""COMPUTED_VALUE"""),"")</f>
        <v/>
      </c>
      <c r="H8447" s="17" t="str">
        <f>IFERROR(__xludf.DUMMYFUNCTION("""COMPUTED_VALUE"""),"")</f>
        <v/>
      </c>
      <c r="I8447" s="17" t="str">
        <f>IFERROR(__xludf.DUMMYFUNCTION("""COMPUTED_VALUE"""),"")</f>
        <v/>
      </c>
      <c r="J8447" s="17" t="str">
        <f>IFERROR(__xludf.DUMMYFUNCTION("""COMPUTED_VALUE"""),"")</f>
        <v/>
      </c>
      <c r="K8447" s="17" t="str">
        <f>IFERROR(__xludf.DUMMYFUNCTION("""COMPUTED_VALUE"""),"")</f>
        <v/>
      </c>
      <c r="L8447" s="17" t="str">
        <f>IFERROR(__xludf.DUMMYFUNCTION("""COMPUTED_VALUE"""),"")</f>
        <v/>
      </c>
      <c r="M8447" s="17" t="str">
        <f>IFERROR(__xludf.DUMMYFUNCTION("""COMPUTED_VALUE"""),"")</f>
        <v/>
      </c>
      <c r="N8447" s="17" t="str">
        <f>IFERROR(__xludf.DUMMYFUNCTION("""COMPUTED_VALUE"""),"")</f>
        <v/>
      </c>
      <c r="O8447" s="17" t="str">
        <f>IFERROR(__xludf.DUMMYFUNCTION("""COMPUTED_VALUE"""),"")</f>
        <v/>
      </c>
      <c r="P8447" s="17" t="str">
        <f>IFERROR(__xludf.DUMMYFUNCTION("""COMPUTED_VALUE"""),"")</f>
        <v/>
      </c>
      <c r="Q8447" s="17" t="str">
        <f>IFERROR(__xludf.DUMMYFUNCTION("""COMPUTED_VALUE"""),"")</f>
        <v/>
      </c>
      <c r="R8447" s="17" t="str">
        <f>IFERROR(__xludf.DUMMYFUNCTION("""COMPUTED_VALUE"""),"")</f>
        <v/>
      </c>
    </row>
    <row r="8448">
      <c r="A8448" s="15">
        <f>IFERROR(__xludf.DUMMYFUNCTION("""COMPUTED_VALUE"""),45240.0)</f>
        <v>45240</v>
      </c>
      <c r="B8448" s="16" t="str">
        <f>IFERROR(__xludf.DUMMYFUNCTION("""COMPUTED_VALUE"""),"Angie Daniela Meneses ")</f>
        <v>Angie Daniela Meneses </v>
      </c>
      <c r="C8448" s="15" t="str">
        <f>IFERROR(__xludf.DUMMYFUNCTION("""COMPUTED_VALUE"""),"BARRANQUILLA")</f>
        <v>BARRANQUILLA</v>
      </c>
      <c r="D8448" s="15" t="str">
        <f>IFERROR(__xludf.DUMMYFUNCTION("""COMPUTED_VALUE"""),"MEDELLÍN")</f>
        <v>MEDELLÍN</v>
      </c>
      <c r="E8448" s="15" t="str">
        <f>IFERROR(__xludf.DUMMYFUNCTION("""COMPUTED_VALUE"""),"Terravocado")</f>
        <v>Terravocado</v>
      </c>
      <c r="F8448" s="17" t="str">
        <f>IFERROR(__xludf.DUMMYFUNCTION("""COMPUTED_VALUE"""),"CRA 52 B # 94 - 103  / APT 401 B ED. SPARTIVENTO  / BARRANQUILLA")</f>
        <v>CRA 52 B # 94 - 103  / APT 401 B ED. SPARTIVENTO  / BARRANQUILLA</v>
      </c>
      <c r="G8448" s="15" t="str">
        <f>IFERROR(__xludf.DUMMYFUNCTION("""COMPUTED_VALUE"""),"SUAD ELENA JANNE ARANGO")</f>
        <v>SUAD ELENA JANNE ARANGO</v>
      </c>
      <c r="H8448" s="16">
        <f>IFERROR(__xludf.DUMMYFUNCTION("""COMPUTED_VALUE"""),17100.0)</f>
        <v>17100</v>
      </c>
      <c r="I8448" s="18">
        <f>IFERROR(__xludf.DUMMYFUNCTION("""COMPUTED_VALUE"""),20.0)</f>
        <v>20</v>
      </c>
      <c r="J8448" s="18">
        <f>IFERROR(__xludf.DUMMYFUNCTION("""COMPUTED_VALUE"""),24.0)</f>
        <v>24</v>
      </c>
      <c r="K8448" s="18">
        <f>IFERROR(__xludf.DUMMYFUNCTION("""COMPUTED_VALUE"""),34.0)</f>
        <v>34</v>
      </c>
      <c r="L8448" s="17">
        <f>IFERROR(__xludf.DUMMYFUNCTION("""COMPUTED_VALUE"""),3.205438167E9)</f>
        <v>3205438167</v>
      </c>
      <c r="M8448" s="17"/>
      <c r="N8448" s="17"/>
      <c r="O8448" s="17"/>
      <c r="P8448" s="17" t="b">
        <f>IFERROR(__xludf.DUMMYFUNCTION("""COMPUTED_VALUE"""),FALSE)</f>
        <v>0</v>
      </c>
      <c r="Q8448" s="20" t="str">
        <f>IFERROR(__xludf.DUMMYFUNCTION("""COMPUTED_VALUE"""),"")</f>
        <v/>
      </c>
      <c r="R8448" s="21" t="str">
        <f>IFERROR(__xludf.DUMMYFUNCTION("""COMPUTED_VALUE"""),"https://drive.google.com/file/d/1JVHlP6XHiB62w1jSe5d_Dd6BQKUlJoHR/view?usp=drivesdk")</f>
        <v>https://drive.google.com/file/d/1JVHlP6XHiB62w1jSe5d_Dd6BQKUlJoHR/view?usp=drivesdk</v>
      </c>
    </row>
    <row r="8449">
      <c r="A8449" s="15">
        <f>IFERROR(__xludf.DUMMYFUNCTION("""COMPUTED_VALUE"""),45240.0)</f>
        <v>45240</v>
      </c>
      <c r="B8449" s="16" t="str">
        <f>IFERROR(__xludf.DUMMYFUNCTION("""COMPUTED_VALUE"""),"Angie Daniela Meneses ")</f>
        <v>Angie Daniela Meneses </v>
      </c>
      <c r="C8449" s="15" t="str">
        <f>IFERROR(__xludf.DUMMYFUNCTION("""COMPUTED_VALUE"""),"BARRANQUILLA")</f>
        <v>BARRANQUILLA</v>
      </c>
      <c r="D8449" s="15" t="str">
        <f>IFERROR(__xludf.DUMMYFUNCTION("""COMPUTED_VALUE"""),"MEDELLÍN")</f>
        <v>MEDELLÍN</v>
      </c>
      <c r="E8449" s="15" t="str">
        <f>IFERROR(__xludf.DUMMYFUNCTION("""COMPUTED_VALUE"""),"Todo Bufala")</f>
        <v>Todo Bufala</v>
      </c>
      <c r="F8449" s="17" t="str">
        <f>IFERROR(__xludf.DUMMYFUNCTION("""COMPUTED_VALUE"""),"cra 43 N 84 - 74 / Centro nutricional local 3")</f>
        <v>cra 43 N 84 - 74 / Centro nutricional local 3</v>
      </c>
      <c r="G8449" s="15" t="str">
        <f>IFERROR(__xludf.DUMMYFUNCTION("""COMPUTED_VALUE"""),"Eliana Sarmiento")</f>
        <v>Eliana Sarmiento</v>
      </c>
      <c r="H8449" s="16">
        <f>IFERROR(__xludf.DUMMYFUNCTION("""COMPUTED_VALUE"""),17047.0)</f>
        <v>17047</v>
      </c>
      <c r="I8449" s="17"/>
      <c r="J8449" s="17"/>
      <c r="K8449" s="17"/>
      <c r="L8449" s="17"/>
      <c r="M8449" s="17"/>
      <c r="N8449" s="17"/>
      <c r="O8449" s="17"/>
      <c r="P8449" s="17" t="b">
        <f>IFERROR(__xludf.DUMMYFUNCTION("""COMPUTED_VALUE"""),FALSE)</f>
        <v>0</v>
      </c>
      <c r="Q8449" s="20" t="str">
        <f>IFERROR(__xludf.DUMMYFUNCTION("""COMPUTED_VALUE"""),"")</f>
        <v/>
      </c>
      <c r="R8449" s="21" t="str">
        <f>IFERROR(__xludf.DUMMYFUNCTION("""COMPUTED_VALUE"""),"https://drive.google.com/file/d/1hE-1k_C3SC1SfZZB7oColWRB5ZwGvF_K/view?usp=drivesdk")</f>
        <v>https://drive.google.com/file/d/1hE-1k_C3SC1SfZZB7oColWRB5ZwGvF_K/view?usp=drivesdk</v>
      </c>
    </row>
    <row r="8450">
      <c r="A8450" s="17" t="str">
        <f>IFERROR(__xludf.DUMMYFUNCTION("""COMPUTED_VALUE"""),"")</f>
        <v/>
      </c>
      <c r="B8450" s="17" t="str">
        <f>IFERROR(__xludf.DUMMYFUNCTION("""COMPUTED_VALUE"""),"")</f>
        <v/>
      </c>
      <c r="C8450" s="17" t="str">
        <f>IFERROR(__xludf.DUMMYFUNCTION("""COMPUTED_VALUE"""),"")</f>
        <v/>
      </c>
      <c r="D8450" s="17" t="str">
        <f>IFERROR(__xludf.DUMMYFUNCTION("""COMPUTED_VALUE"""),"")</f>
        <v/>
      </c>
      <c r="E8450" s="17" t="str">
        <f>IFERROR(__xludf.DUMMYFUNCTION("""COMPUTED_VALUE"""),"")</f>
        <v/>
      </c>
      <c r="F8450" s="17" t="str">
        <f>IFERROR(__xludf.DUMMYFUNCTION("""COMPUTED_VALUE"""),"")</f>
        <v/>
      </c>
      <c r="G8450" s="17" t="str">
        <f>IFERROR(__xludf.DUMMYFUNCTION("""COMPUTED_VALUE"""),"")</f>
        <v/>
      </c>
      <c r="H8450" s="17" t="str">
        <f>IFERROR(__xludf.DUMMYFUNCTION("""COMPUTED_VALUE"""),"")</f>
        <v/>
      </c>
      <c r="I8450" s="17" t="str">
        <f>IFERROR(__xludf.DUMMYFUNCTION("""COMPUTED_VALUE"""),"")</f>
        <v/>
      </c>
      <c r="J8450" s="17" t="str">
        <f>IFERROR(__xludf.DUMMYFUNCTION("""COMPUTED_VALUE"""),"")</f>
        <v/>
      </c>
      <c r="K8450" s="17" t="str">
        <f>IFERROR(__xludf.DUMMYFUNCTION("""COMPUTED_VALUE"""),"")</f>
        <v/>
      </c>
      <c r="L8450" s="17" t="str">
        <f>IFERROR(__xludf.DUMMYFUNCTION("""COMPUTED_VALUE"""),"")</f>
        <v/>
      </c>
      <c r="M8450" s="17" t="str">
        <f>IFERROR(__xludf.DUMMYFUNCTION("""COMPUTED_VALUE"""),"")</f>
        <v/>
      </c>
      <c r="N8450" s="17" t="str">
        <f>IFERROR(__xludf.DUMMYFUNCTION("""COMPUTED_VALUE"""),"")</f>
        <v/>
      </c>
      <c r="O8450" s="17" t="str">
        <f>IFERROR(__xludf.DUMMYFUNCTION("""COMPUTED_VALUE"""),"")</f>
        <v/>
      </c>
      <c r="P8450" s="17" t="str">
        <f>IFERROR(__xludf.DUMMYFUNCTION("""COMPUTED_VALUE"""),"")</f>
        <v/>
      </c>
      <c r="Q8450" s="17" t="str">
        <f>IFERROR(__xludf.DUMMYFUNCTION("""COMPUTED_VALUE"""),"")</f>
        <v/>
      </c>
      <c r="R8450" s="17" t="str">
        <f>IFERROR(__xludf.DUMMYFUNCTION("""COMPUTED_VALUE"""),"")</f>
        <v/>
      </c>
    </row>
    <row r="8451">
      <c r="A8451" s="15">
        <f>IFERROR(__xludf.DUMMYFUNCTION("""COMPUTED_VALUE"""),45240.0)</f>
        <v>45240</v>
      </c>
      <c r="B8451" s="16" t="str">
        <f>IFERROR(__xludf.DUMMYFUNCTION("""COMPUTED_VALUE"""),"Daniel José sandoval gonzalez")</f>
        <v>Daniel José sandoval gonzalez</v>
      </c>
      <c r="C8451" s="15" t="str">
        <f>IFERROR(__xludf.DUMMYFUNCTION("""COMPUTED_VALUE"""),"BARRANQUILLA")</f>
        <v>BARRANQUILLA</v>
      </c>
      <c r="D8451" s="15" t="str">
        <f>IFERROR(__xludf.DUMMYFUNCTION("""COMPUTED_VALUE"""),"BOGOTÁ")</f>
        <v>BOGOTÁ</v>
      </c>
      <c r="E8451" s="15" t="str">
        <f>IFERROR(__xludf.DUMMYFUNCTION("""COMPUTED_VALUE"""),"Ser Fit")</f>
        <v>Ser Fit</v>
      </c>
      <c r="F8451" s="17" t="str">
        <f>IFERROR(__xludf.DUMMYFUNCTION("""COMPUTED_VALUE"""),"CARRERA 51 #82-223  / TIENDA FIT HUB / CENTRO HISTORICO")</f>
        <v>CARRERA 51 #82-223  / TIENDA FIT HUB / CENTRO HISTORICO</v>
      </c>
      <c r="G8451" s="15" t="str">
        <f>IFERROR(__xludf.DUMMYFUNCTION("""COMPUTED_VALUE"""),"FIT HUB BARRANQUILLA")</f>
        <v>FIT HUB BARRANQUILLA</v>
      </c>
      <c r="H8451" s="16">
        <f>IFERROR(__xludf.DUMMYFUNCTION("""COMPUTED_VALUE"""),17094.0)</f>
        <v>17094</v>
      </c>
      <c r="I8451" s="18">
        <f>IFERROR(__xludf.DUMMYFUNCTION("""COMPUTED_VALUE"""),21.0)</f>
        <v>21</v>
      </c>
      <c r="J8451" s="18">
        <f>IFERROR(__xludf.DUMMYFUNCTION("""COMPUTED_VALUE"""),12.0)</f>
        <v>12</v>
      </c>
      <c r="K8451" s="18">
        <f>IFERROR(__xludf.DUMMYFUNCTION("""COMPUTED_VALUE"""),21.0)</f>
        <v>21</v>
      </c>
      <c r="L8451" s="17">
        <f>IFERROR(__xludf.DUMMYFUNCTION("""COMPUTED_VALUE"""),3.173663357E9)</f>
        <v>3173663357</v>
      </c>
      <c r="M8451" s="17"/>
      <c r="N8451" s="17"/>
      <c r="O8451" s="17"/>
      <c r="P8451" s="17" t="b">
        <f>IFERROR(__xludf.DUMMYFUNCTION("""COMPUTED_VALUE"""),FALSE)</f>
        <v>0</v>
      </c>
      <c r="Q8451" s="20" t="str">
        <f>IFERROR(__xludf.DUMMYFUNCTION("""COMPUTED_VALUE"""),"")</f>
        <v/>
      </c>
      <c r="R8451" s="21" t="str">
        <f>IFERROR(__xludf.DUMMYFUNCTION("""COMPUTED_VALUE"""),"https://drive.google.com/file/d/1OoT2AfLD0jII3Qgz2bhHDD6lbGG8aYRW/view?usp=drivesdk")</f>
        <v>https://drive.google.com/file/d/1OoT2AfLD0jII3Qgz2bhHDD6lbGG8aYRW/view?usp=drivesdk</v>
      </c>
    </row>
    <row r="8452">
      <c r="A8452" s="15">
        <f>IFERROR(__xludf.DUMMYFUNCTION("""COMPUTED_VALUE"""),45240.0)</f>
        <v>45240</v>
      </c>
      <c r="B8452" s="16" t="str">
        <f>IFERROR(__xludf.DUMMYFUNCTION("""COMPUTED_VALUE"""),"Daniel José sandoval gonzalez")</f>
        <v>Daniel José sandoval gonzalez</v>
      </c>
      <c r="C8452" s="15" t="str">
        <f>IFERROR(__xludf.DUMMYFUNCTION("""COMPUTED_VALUE"""),"BARRANQUILLA")</f>
        <v>BARRANQUILLA</v>
      </c>
      <c r="D8452" s="15" t="str">
        <f>IFERROR(__xludf.DUMMYFUNCTION("""COMPUTED_VALUE"""),"BOGOTÁ")</f>
        <v>BOGOTÁ</v>
      </c>
      <c r="E8452" s="15" t="str">
        <f>IFERROR(__xludf.DUMMYFUNCTION("""COMPUTED_VALUE"""),"Viral Brands")</f>
        <v>Viral Brands</v>
      </c>
      <c r="F8452" s="17" t="str">
        <f>IFERROR(__xludf.DUMMYFUNCTION("""COMPUTED_VALUE"""),"chuzales prado kra 49c n 75-47 lyd house prado restaurante chuzales , reciben apartir de las 10 y 30am / restaurente chuzales / prado")</f>
        <v>chuzales prado kra 49c n 75-47 lyd house prado restaurante chuzales , reciben apartir de las 10 y 30am / restaurente chuzales / prado</v>
      </c>
      <c r="G8452" s="15" t="str">
        <f>IFERROR(__xludf.DUMMYFUNCTION("""COMPUTED_VALUE"""),"viral brands")</f>
        <v>viral brands</v>
      </c>
      <c r="H8452" s="16">
        <f>IFERROR(__xludf.DUMMYFUNCTION("""COMPUTED_VALUE"""),17095.0)</f>
        <v>17095</v>
      </c>
      <c r="I8452" s="18">
        <f>IFERROR(__xludf.DUMMYFUNCTION("""COMPUTED_VALUE"""),29.0)</f>
        <v>29</v>
      </c>
      <c r="J8452" s="18">
        <f>IFERROR(__xludf.DUMMYFUNCTION("""COMPUTED_VALUE"""),55.0)</f>
        <v>55</v>
      </c>
      <c r="K8452" s="18">
        <f>IFERROR(__xludf.DUMMYFUNCTION("""COMPUTED_VALUE"""),45.0)</f>
        <v>45</v>
      </c>
      <c r="L8452" s="17">
        <f>IFERROR(__xludf.DUMMYFUNCTION("""COMPUTED_VALUE"""),3.017624858E9)</f>
        <v>3017624858</v>
      </c>
      <c r="M8452" s="17"/>
      <c r="N8452" s="17"/>
      <c r="O8452" s="17"/>
      <c r="P8452" s="17" t="b">
        <f>IFERROR(__xludf.DUMMYFUNCTION("""COMPUTED_VALUE"""),FALSE)</f>
        <v>0</v>
      </c>
      <c r="Q8452" s="20" t="str">
        <f>IFERROR(__xludf.DUMMYFUNCTION("""COMPUTED_VALUE"""),"")</f>
        <v/>
      </c>
      <c r="R8452" s="22" t="str">
        <f>IFERROR(__xludf.DUMMYFUNCTION("""COMPUTED_VALUE"""),"")</f>
        <v/>
      </c>
    </row>
    <row r="8453">
      <c r="A8453" s="15">
        <f>IFERROR(__xludf.DUMMYFUNCTION("""COMPUTED_VALUE"""),45240.0)</f>
        <v>45240</v>
      </c>
      <c r="B8453" s="16" t="str">
        <f>IFERROR(__xludf.DUMMYFUNCTION("""COMPUTED_VALUE"""),"Daniel José sandoval gonzalez")</f>
        <v>Daniel José sandoval gonzalez</v>
      </c>
      <c r="C8453" s="15" t="str">
        <f>IFERROR(__xludf.DUMMYFUNCTION("""COMPUTED_VALUE"""),"BARRANQUILLA")</f>
        <v>BARRANQUILLA</v>
      </c>
      <c r="D8453" s="15" t="str">
        <f>IFERROR(__xludf.DUMMYFUNCTION("""COMPUTED_VALUE"""),"ENVIGADO")</f>
        <v>ENVIGADO</v>
      </c>
      <c r="E8453" s="15" t="str">
        <f>IFERROR(__xludf.DUMMYFUNCTION("""COMPUTED_VALUE"""),"JUAN CAMILO CORDOBA")</f>
        <v>JUAN CAMILO CORDOBA</v>
      </c>
      <c r="F8453" s="17" t="str">
        <f>IFERROR(__xludf.DUMMYFUNCTION("""COMPUTED_VALUE"""),"Carrera 74 #76-74")</f>
        <v>Carrera 74 #76-74</v>
      </c>
      <c r="G8453" s="15" t="str">
        <f>IFERROR(__xludf.DUMMYFUNCTION("""COMPUTED_VALUE"""),"Fit Hub")</f>
        <v>Fit Hub</v>
      </c>
      <c r="H8453" s="16">
        <f>IFERROR(__xludf.DUMMYFUNCTION("""COMPUTED_VALUE"""),17162.0)</f>
        <v>17162</v>
      </c>
      <c r="I8453" s="17"/>
      <c r="J8453" s="17"/>
      <c r="K8453" s="17"/>
      <c r="L8453" s="17">
        <f>IFERROR(__xludf.DUMMYFUNCTION("""COMPUTED_VALUE"""),3.157039547E9)</f>
        <v>3157039547</v>
      </c>
      <c r="M8453" s="17"/>
      <c r="N8453" s="17"/>
      <c r="O8453" s="17"/>
      <c r="P8453" s="17" t="b">
        <f>IFERROR(__xludf.DUMMYFUNCTION("""COMPUTED_VALUE"""),FALSE)</f>
        <v>0</v>
      </c>
      <c r="Q8453" s="20" t="str">
        <f>IFERROR(__xludf.DUMMYFUNCTION("""COMPUTED_VALUE"""),"")</f>
        <v/>
      </c>
      <c r="R8453" s="21" t="str">
        <f>IFERROR(__xludf.DUMMYFUNCTION("""COMPUTED_VALUE"""),"https://drive.google.com/file/d/1X40UTOD0dL0YvGQUyg6ON-KNCLI5FeTA/view?usp=drivesdk")</f>
        <v>https://drive.google.com/file/d/1X40UTOD0dL0YvGQUyg6ON-KNCLI5FeTA/view?usp=drivesdk</v>
      </c>
    </row>
    <row r="8454">
      <c r="A8454" s="15">
        <f>IFERROR(__xludf.DUMMYFUNCTION("""COMPUTED_VALUE"""),45240.0)</f>
        <v>45240</v>
      </c>
      <c r="B8454" s="16" t="str">
        <f>IFERROR(__xludf.DUMMYFUNCTION("""COMPUTED_VALUE"""),"Daniel José sandoval gonzalez")</f>
        <v>Daniel José sandoval gonzalez</v>
      </c>
      <c r="C8454" s="15" t="str">
        <f>IFERROR(__xludf.DUMMYFUNCTION("""COMPUTED_VALUE"""),"BARRANQUILLA")</f>
        <v>BARRANQUILLA</v>
      </c>
      <c r="D8454" s="15" t="str">
        <f>IFERROR(__xludf.DUMMYFUNCTION("""COMPUTED_VALUE"""),"MEDELLÍN")</f>
        <v>MEDELLÍN</v>
      </c>
      <c r="E8454" s="15" t="str">
        <f>IFERROR(__xludf.DUMMYFUNCTION("""COMPUTED_VALUE"""),"Baby Chef")</f>
        <v>Baby Chef</v>
      </c>
      <c r="F8454" s="17" t="str">
        <f>IFERROR(__xludf.DUMMYFUNCTION("""COMPUTED_VALUE"""),"Calle 96 #71-37 edificio BORA apto 901 torre 5 / . / .")</f>
        <v>Calle 96 #71-37 edificio BORA apto 901 torre 5 / . / .</v>
      </c>
      <c r="G8454" s="15" t="str">
        <f>IFERROR(__xludf.DUMMYFUNCTION("""COMPUTED_VALUE"""),"Mayra Alrjandra Camargo Maldonado")</f>
        <v>Mayra Alrjandra Camargo Maldonado</v>
      </c>
      <c r="H8454" s="16">
        <f>IFERROR(__xludf.DUMMYFUNCTION("""COMPUTED_VALUE"""),17115.0)</f>
        <v>17115</v>
      </c>
      <c r="I8454" s="18">
        <f>IFERROR(__xludf.DUMMYFUNCTION("""COMPUTED_VALUE"""),12.0)</f>
        <v>12</v>
      </c>
      <c r="J8454" s="18">
        <f>IFERROR(__xludf.DUMMYFUNCTION("""COMPUTED_VALUE"""),21.0)</f>
        <v>21</v>
      </c>
      <c r="K8454" s="18">
        <f>IFERROR(__xludf.DUMMYFUNCTION("""COMPUTED_VALUE"""),40.0)</f>
        <v>40</v>
      </c>
      <c r="L8454" s="17">
        <f>IFERROR(__xludf.DUMMYFUNCTION("""COMPUTED_VALUE"""),3.016630039E9)</f>
        <v>3016630039</v>
      </c>
      <c r="M8454" s="17"/>
      <c r="N8454" s="17"/>
      <c r="O8454" s="17"/>
      <c r="P8454" s="17" t="b">
        <f>IFERROR(__xludf.DUMMYFUNCTION("""COMPUTED_VALUE"""),FALSE)</f>
        <v>0</v>
      </c>
      <c r="Q8454" s="20" t="str">
        <f>IFERROR(__xludf.DUMMYFUNCTION("""COMPUTED_VALUE"""),"")</f>
        <v/>
      </c>
      <c r="R8454" s="21" t="str">
        <f>IFERROR(__xludf.DUMMYFUNCTION("""COMPUTED_VALUE"""),"https://drive.google.com/file/d/1vbkERPw7ikSwHO-NqiaLGMEcWJ3cmmJ5/view?usp=drivesdk")</f>
        <v>https://drive.google.com/file/d/1vbkERPw7ikSwHO-NqiaLGMEcWJ3cmmJ5/view?usp=drivesdk</v>
      </c>
    </row>
    <row r="8455">
      <c r="A8455" s="15">
        <f>IFERROR(__xludf.DUMMYFUNCTION("""COMPUTED_VALUE"""),45240.0)</f>
        <v>45240</v>
      </c>
      <c r="B8455" s="16" t="str">
        <f>IFERROR(__xludf.DUMMYFUNCTION("""COMPUTED_VALUE"""),"Daniel José sandoval gonzalez")</f>
        <v>Daniel José sandoval gonzalez</v>
      </c>
      <c r="C8455" s="15" t="str">
        <f>IFERROR(__xludf.DUMMYFUNCTION("""COMPUTED_VALUE"""),"BARRANQUILLA")</f>
        <v>BARRANQUILLA</v>
      </c>
      <c r="D8455" s="15" t="str">
        <f>IFERROR(__xludf.DUMMYFUNCTION("""COMPUTED_VALUE"""),"MEDELLÍN")</f>
        <v>MEDELLÍN</v>
      </c>
      <c r="E8455" s="15" t="str">
        <f>IFERROR(__xludf.DUMMYFUNCTION("""COMPUTED_VALUE"""),"Baby Chef")</f>
        <v>Baby Chef</v>
      </c>
      <c r="F8455" s="17" t="str">
        <f>IFERROR(__xludf.DUMMYFUNCTION("""COMPUTED_VALUE"""),"calle79b#42-494 apto 704 jardín plaza 2 Barrio ciudad jardín  / . / .")</f>
        <v>calle79b#42-494 apto 704 jardín plaza 2 Barrio ciudad jardín  / . / .</v>
      </c>
      <c r="G8455" s="15" t="str">
        <f>IFERROR(__xludf.DUMMYFUNCTION("""COMPUTED_VALUE"""),"Elmis Figueroa")</f>
        <v>Elmis Figueroa</v>
      </c>
      <c r="H8455" s="16">
        <f>IFERROR(__xludf.DUMMYFUNCTION("""COMPUTED_VALUE"""),17116.0)</f>
        <v>17116</v>
      </c>
      <c r="I8455" s="18">
        <f>IFERROR(__xludf.DUMMYFUNCTION("""COMPUTED_VALUE"""),10.0)</f>
        <v>10</v>
      </c>
      <c r="J8455" s="18">
        <f>IFERROR(__xludf.DUMMYFUNCTION("""COMPUTED_VALUE"""),20.0)</f>
        <v>20</v>
      </c>
      <c r="K8455" s="18">
        <f>IFERROR(__xludf.DUMMYFUNCTION("""COMPUTED_VALUE"""),30.0)</f>
        <v>30</v>
      </c>
      <c r="L8455" s="17">
        <f>IFERROR(__xludf.DUMMYFUNCTION("""COMPUTED_VALUE"""),3.135429179E9)</f>
        <v>3135429179</v>
      </c>
      <c r="M8455" s="17"/>
      <c r="N8455" s="17"/>
      <c r="O8455" s="17"/>
      <c r="P8455" s="17" t="b">
        <f>IFERROR(__xludf.DUMMYFUNCTION("""COMPUTED_VALUE"""),FALSE)</f>
        <v>0</v>
      </c>
      <c r="Q8455" s="20" t="str">
        <f>IFERROR(__xludf.DUMMYFUNCTION("""COMPUTED_VALUE"""),"")</f>
        <v/>
      </c>
      <c r="R8455" s="21" t="str">
        <f>IFERROR(__xludf.DUMMYFUNCTION("""COMPUTED_VALUE"""),"https://drive.google.com/file/d/1Nz10x5oc66RF6AGW95r74RQyaT6ioFqS/view?usp=drivesdk")</f>
        <v>https://drive.google.com/file/d/1Nz10x5oc66RF6AGW95r74RQyaT6ioFqS/view?usp=drivesdk</v>
      </c>
    </row>
    <row r="8456">
      <c r="A8456" s="15">
        <f>IFERROR(__xludf.DUMMYFUNCTION("""COMPUTED_VALUE"""),45240.0)</f>
        <v>45240</v>
      </c>
      <c r="B8456" s="16" t="str">
        <f>IFERROR(__xludf.DUMMYFUNCTION("""COMPUTED_VALUE"""),"Daniel José sandoval gonzalez")</f>
        <v>Daniel José sandoval gonzalez</v>
      </c>
      <c r="C8456" s="15" t="str">
        <f>IFERROR(__xludf.DUMMYFUNCTION("""COMPUTED_VALUE"""),"BARRANQUILLA")</f>
        <v>BARRANQUILLA</v>
      </c>
      <c r="D8456" s="15" t="str">
        <f>IFERROR(__xludf.DUMMYFUNCTION("""COMPUTED_VALUE"""),"MEDELLÍN")</f>
        <v>MEDELLÍN</v>
      </c>
      <c r="E8456" s="15" t="str">
        <f>IFERROR(__xludf.DUMMYFUNCTION("""COMPUTED_VALUE"""),"HELADERIA MAGDA")</f>
        <v>HELADERIA MAGDA</v>
      </c>
      <c r="F8456" s="17" t="str">
        <f>IFERROR(__xludf.DUMMYFUNCTION("""COMPUTED_VALUE"""),"CALLE 93 #43-41 / COCINA OCULTA")</f>
        <v>CALLE 93 #43-41 / COCINA OCULTA</v>
      </c>
      <c r="G8456" s="15" t="str">
        <f>IFERROR(__xludf.DUMMYFUNCTION("""COMPUTED_VALUE"""),"CITY HUB")</f>
        <v>CITY HUB</v>
      </c>
      <c r="H8456" s="16">
        <f>IFERROR(__xludf.DUMMYFUNCTION("""COMPUTED_VALUE"""),17140.0)</f>
        <v>17140</v>
      </c>
      <c r="I8456" s="17"/>
      <c r="J8456" s="17"/>
      <c r="K8456" s="17"/>
      <c r="L8456" s="17">
        <f>IFERROR(__xludf.DUMMYFUNCTION("""COMPUTED_VALUE"""),3.235800359E9)</f>
        <v>3235800359</v>
      </c>
      <c r="M8456" s="17"/>
      <c r="N8456" s="17"/>
      <c r="O8456" s="17"/>
      <c r="P8456" s="17" t="b">
        <f>IFERROR(__xludf.DUMMYFUNCTION("""COMPUTED_VALUE"""),FALSE)</f>
        <v>0</v>
      </c>
      <c r="Q8456" s="20" t="str">
        <f>IFERROR(__xludf.DUMMYFUNCTION("""COMPUTED_VALUE"""),"")</f>
        <v/>
      </c>
      <c r="R8456" s="21" t="str">
        <f>IFERROR(__xludf.DUMMYFUNCTION("""COMPUTED_VALUE"""),"https://drive.google.com/file/d/1m03W9IF2Zxpdh3KivYU-4yMCKGUiGwfS/view?usp=drivesdk")</f>
        <v>https://drive.google.com/file/d/1m03W9IF2Zxpdh3KivYU-4yMCKGUiGwfS/view?usp=drivesdk</v>
      </c>
    </row>
    <row r="8457">
      <c r="A8457" s="15">
        <f>IFERROR(__xludf.DUMMYFUNCTION("""COMPUTED_VALUE"""),45240.0)</f>
        <v>45240</v>
      </c>
      <c r="B8457" s="16" t="str">
        <f>IFERROR(__xludf.DUMMYFUNCTION("""COMPUTED_VALUE"""),"Daniel José sandoval gonzalez")</f>
        <v>Daniel José sandoval gonzalez</v>
      </c>
      <c r="C8457" s="15" t="str">
        <f>IFERROR(__xludf.DUMMYFUNCTION("""COMPUTED_VALUE"""),"SABANETA")</f>
        <v>SABANETA</v>
      </c>
      <c r="D8457" s="15" t="str">
        <f>IFERROR(__xludf.DUMMYFUNCTION("""COMPUTED_VALUE"""),"BOGOTÁ")</f>
        <v>BOGOTÁ</v>
      </c>
      <c r="E8457" s="15" t="str">
        <f>IFERROR(__xludf.DUMMYFUNCTION("""COMPUTED_VALUE"""),"Trigoletta")</f>
        <v>Trigoletta</v>
      </c>
      <c r="F8457" s="17" t="str">
        <f>IFERROR(__xludf.DUMMYFUNCTION("""COMPUTED_VALUE"""),"Calle 77 Sur #46-180 / Altos de Valparaíso Apto 2208, al frente del Hospital Venencio Díaz")</f>
        <v>Calle 77 Sur #46-180 / Altos de Valparaíso Apto 2208, al frente del Hospital Venencio Díaz</v>
      </c>
      <c r="G8457" s="15" t="str">
        <f>IFERROR(__xludf.DUMMYFUNCTION("""COMPUTED_VALUE"""),"Paulina")</f>
        <v>Paulina</v>
      </c>
      <c r="H8457" s="16">
        <f>IFERROR(__xludf.DUMMYFUNCTION("""COMPUTED_VALUE"""),17165.0)</f>
        <v>17165</v>
      </c>
      <c r="I8457" s="17"/>
      <c r="J8457" s="17"/>
      <c r="K8457" s="17"/>
      <c r="L8457" s="17">
        <f>IFERROR(__xludf.DUMMYFUNCTION("""COMPUTED_VALUE"""),3.016970991E9)</f>
        <v>3016970991</v>
      </c>
      <c r="M8457" s="17"/>
      <c r="N8457" s="17"/>
      <c r="O8457" s="17"/>
      <c r="P8457" s="17" t="b">
        <f>IFERROR(__xludf.DUMMYFUNCTION("""COMPUTED_VALUE"""),FALSE)</f>
        <v>0</v>
      </c>
      <c r="Q8457" s="20" t="str">
        <f>IFERROR(__xludf.DUMMYFUNCTION("""COMPUTED_VALUE"""),"")</f>
        <v/>
      </c>
      <c r="R8457" s="22" t="str">
        <f>IFERROR(__xludf.DUMMYFUNCTION("""COMPUTED_VALUE"""),"")</f>
        <v/>
      </c>
    </row>
    <row r="8458">
      <c r="A8458" s="17" t="str">
        <f>IFERROR(__xludf.DUMMYFUNCTION("""COMPUTED_VALUE"""),"")</f>
        <v/>
      </c>
      <c r="B8458" s="17" t="str">
        <f>IFERROR(__xludf.DUMMYFUNCTION("""COMPUTED_VALUE"""),"")</f>
        <v/>
      </c>
      <c r="C8458" s="17" t="str">
        <f>IFERROR(__xludf.DUMMYFUNCTION("""COMPUTED_VALUE"""),"")</f>
        <v/>
      </c>
      <c r="D8458" s="17" t="str">
        <f>IFERROR(__xludf.DUMMYFUNCTION("""COMPUTED_VALUE"""),"")</f>
        <v/>
      </c>
      <c r="E8458" s="17" t="str">
        <f>IFERROR(__xludf.DUMMYFUNCTION("""COMPUTED_VALUE"""),"")</f>
        <v/>
      </c>
      <c r="F8458" s="17" t="str">
        <f>IFERROR(__xludf.DUMMYFUNCTION("""COMPUTED_VALUE"""),"")</f>
        <v/>
      </c>
      <c r="G8458" s="17" t="str">
        <f>IFERROR(__xludf.DUMMYFUNCTION("""COMPUTED_VALUE"""),"")</f>
        <v/>
      </c>
      <c r="H8458" s="17" t="str">
        <f>IFERROR(__xludf.DUMMYFUNCTION("""COMPUTED_VALUE"""),"")</f>
        <v/>
      </c>
      <c r="I8458" s="17" t="str">
        <f>IFERROR(__xludf.DUMMYFUNCTION("""COMPUTED_VALUE"""),"")</f>
        <v/>
      </c>
      <c r="J8458" s="17" t="str">
        <f>IFERROR(__xludf.DUMMYFUNCTION("""COMPUTED_VALUE"""),"")</f>
        <v/>
      </c>
      <c r="K8458" s="17" t="str">
        <f>IFERROR(__xludf.DUMMYFUNCTION("""COMPUTED_VALUE"""),"")</f>
        <v/>
      </c>
      <c r="L8458" s="17" t="str">
        <f>IFERROR(__xludf.DUMMYFUNCTION("""COMPUTED_VALUE"""),"")</f>
        <v/>
      </c>
      <c r="M8458" s="17" t="str">
        <f>IFERROR(__xludf.DUMMYFUNCTION("""COMPUTED_VALUE"""),"")</f>
        <v/>
      </c>
      <c r="N8458" s="17" t="str">
        <f>IFERROR(__xludf.DUMMYFUNCTION("""COMPUTED_VALUE"""),"")</f>
        <v/>
      </c>
      <c r="O8458" s="17" t="str">
        <f>IFERROR(__xludf.DUMMYFUNCTION("""COMPUTED_VALUE"""),"")</f>
        <v/>
      </c>
      <c r="P8458" s="17" t="str">
        <f>IFERROR(__xludf.DUMMYFUNCTION("""COMPUTED_VALUE"""),"")</f>
        <v/>
      </c>
      <c r="Q8458" s="17" t="str">
        <f>IFERROR(__xludf.DUMMYFUNCTION("""COMPUTED_VALUE"""),"")</f>
        <v/>
      </c>
      <c r="R8458" s="17" t="str">
        <f>IFERROR(__xludf.DUMMYFUNCTION("""COMPUTED_VALUE"""),"")</f>
        <v/>
      </c>
    </row>
    <row r="8459">
      <c r="A8459" s="15">
        <f>IFERROR(__xludf.DUMMYFUNCTION("""COMPUTED_VALUE"""),45240.0)</f>
        <v>45240</v>
      </c>
      <c r="B8459" s="16" t="str">
        <f>IFERROR(__xludf.DUMMYFUNCTION("""COMPUTED_VALUE"""),"Envia")</f>
        <v>Envia</v>
      </c>
      <c r="C8459" s="15" t="str">
        <f>IFERROR(__xludf.DUMMYFUNCTION("""COMPUTED_VALUE"""),"BARRANQUILLA")</f>
        <v>BARRANQUILLA</v>
      </c>
      <c r="D8459" s="15" t="str">
        <f>IFERROR(__xludf.DUMMYFUNCTION("""COMPUTED_VALUE"""),"MEDELLÍN")</f>
        <v>MEDELLÍN</v>
      </c>
      <c r="E8459" s="15" t="str">
        <f>IFERROR(__xludf.DUMMYFUNCTION("""COMPUTED_VALUE"""),"Baby Chef")</f>
        <v>Baby Chef</v>
      </c>
      <c r="F8459" s="17" t="str">
        <f>IFERROR(__xludf.DUMMYFUNCTION("""COMPUTED_VALUE"""),"carrera 18 #26-118, Casa esquina Barrio Las Nieves / . / .")</f>
        <v>carrera 18 #26-118, Casa esquina Barrio Las Nieves / . / .</v>
      </c>
      <c r="G8459" s="15" t="str">
        <f>IFERROR(__xludf.DUMMYFUNCTION("""COMPUTED_VALUE"""),"Karen Madrid Vélez")</f>
        <v>Karen Madrid Vélez</v>
      </c>
      <c r="H8459" s="16">
        <f>IFERROR(__xludf.DUMMYFUNCTION("""COMPUTED_VALUE"""),17114.0)</f>
        <v>17114</v>
      </c>
      <c r="I8459" s="18">
        <f>IFERROR(__xludf.DUMMYFUNCTION("""COMPUTED_VALUE"""),12.0)</f>
        <v>12</v>
      </c>
      <c r="J8459" s="18">
        <f>IFERROR(__xludf.DUMMYFUNCTION("""COMPUTED_VALUE"""),24.0)</f>
        <v>24</v>
      </c>
      <c r="K8459" s="18">
        <f>IFERROR(__xludf.DUMMYFUNCTION("""COMPUTED_VALUE"""),44.0)</f>
        <v>44</v>
      </c>
      <c r="L8459" s="17">
        <f>IFERROR(__xludf.DUMMYFUNCTION("""COMPUTED_VALUE"""),3.00735457E9)</f>
        <v>3007354570</v>
      </c>
      <c r="M8459" s="17"/>
      <c r="N8459" s="17"/>
      <c r="O8459" s="17"/>
      <c r="P8459" s="17" t="b">
        <f>IFERROR(__xludf.DUMMYFUNCTION("""COMPUTED_VALUE"""),FALSE)</f>
        <v>0</v>
      </c>
      <c r="Q8459" s="20" t="str">
        <f>IFERROR(__xludf.DUMMYFUNCTION("""COMPUTED_VALUE"""),"")</f>
        <v/>
      </c>
      <c r="R8459" s="21" t="str">
        <f>IFERROR(__xludf.DUMMYFUNCTION("""COMPUTED_VALUE"""),"https://drive.google.com/file/d/1qS5JBmwGcIgh7ouTqvTQFpZcuQgX0Fc0/view?usp=drivesdk")</f>
        <v>https://drive.google.com/file/d/1qS5JBmwGcIgh7ouTqvTQFpZcuQgX0Fc0/view?usp=drivesdk</v>
      </c>
    </row>
    <row r="8460">
      <c r="A8460" s="15">
        <f>IFERROR(__xludf.DUMMYFUNCTION("""COMPUTED_VALUE"""),45240.0)</f>
        <v>45240</v>
      </c>
      <c r="B8460" s="16" t="str">
        <f>IFERROR(__xludf.DUMMYFUNCTION("""COMPUTED_VALUE"""),"Envia")</f>
        <v>Envia</v>
      </c>
      <c r="C8460" s="15" t="str">
        <f>IFERROR(__xludf.DUMMYFUNCTION("""COMPUTED_VALUE"""),"BOGOTÁ")</f>
        <v>BOGOTÁ</v>
      </c>
      <c r="D8460" s="15" t="str">
        <f>IFERROR(__xludf.DUMMYFUNCTION("""COMPUTED_VALUE"""),"BOGOTÁ")</f>
        <v>BOGOTÁ</v>
      </c>
      <c r="E8460" s="15" t="str">
        <f>IFERROR(__xludf.DUMMYFUNCTION("""COMPUTED_VALUE"""),"Felicidad Bakery")</f>
        <v>Felicidad Bakery</v>
      </c>
      <c r="F8460" s="17" t="str">
        <f>IFERROR(__xludf.DUMMYFUNCTION("""COMPUTED_VALUE"""),"calle 134 #72-31 / gratamira / no")</f>
        <v>calle 134 #72-31 / gratamira / no</v>
      </c>
      <c r="G8460" s="15" t="str">
        <f>IFERROR(__xludf.DUMMYFUNCTION("""COMPUTED_VALUE"""),"Maria Victoria de Castro")</f>
        <v>Maria Victoria de Castro</v>
      </c>
      <c r="H8460" s="16">
        <f>IFERROR(__xludf.DUMMYFUNCTION("""COMPUTED_VALUE"""),17177.0)</f>
        <v>17177</v>
      </c>
      <c r="I8460" s="18">
        <f>IFERROR(__xludf.DUMMYFUNCTION("""COMPUTED_VALUE"""),165.0)</f>
        <v>165</v>
      </c>
      <c r="J8460" s="18">
        <f>IFERROR(__xludf.DUMMYFUNCTION("""COMPUTED_VALUE"""),45.0)</f>
        <v>45</v>
      </c>
      <c r="K8460" s="18" t="str">
        <f>IFERROR(__xludf.DUMMYFUNCTION("""COMPUTED_VALUE"""),"52.5")</f>
        <v>52.5</v>
      </c>
      <c r="L8460" s="17">
        <f>IFERROR(__xludf.DUMMYFUNCTION("""COMPUTED_VALUE"""),3.118986999E9)</f>
        <v>3118986999</v>
      </c>
      <c r="M8460" s="17"/>
      <c r="N8460" s="17"/>
      <c r="O8460" s="17"/>
      <c r="P8460" s="17" t="b">
        <f>IFERROR(__xludf.DUMMYFUNCTION("""COMPUTED_VALUE"""),FALSE)</f>
        <v>0</v>
      </c>
      <c r="Q8460" s="20" t="str">
        <f>IFERROR(__xludf.DUMMYFUNCTION("""COMPUTED_VALUE"""),"")</f>
        <v/>
      </c>
      <c r="R8460" s="22" t="str">
        <f>IFERROR(__xludf.DUMMYFUNCTION("""COMPUTED_VALUE"""),"")</f>
        <v/>
      </c>
    </row>
    <row r="8461">
      <c r="A8461" s="15">
        <f>IFERROR(__xludf.DUMMYFUNCTION("""COMPUTED_VALUE"""),45240.0)</f>
        <v>45240</v>
      </c>
      <c r="B8461" s="16" t="str">
        <f>IFERROR(__xludf.DUMMYFUNCTION("""COMPUTED_VALUE"""),"Envia")</f>
        <v>Envia</v>
      </c>
      <c r="C8461" s="15" t="str">
        <f>IFERROR(__xludf.DUMMYFUNCTION("""COMPUTED_VALUE"""),"BOGOTÁ")</f>
        <v>BOGOTÁ</v>
      </c>
      <c r="D8461" s="15" t="str">
        <f>IFERROR(__xludf.DUMMYFUNCTION("""COMPUTED_VALUE"""),"MEDELLÍN")</f>
        <v>MEDELLÍN</v>
      </c>
      <c r="E8461" s="15" t="str">
        <f>IFERROR(__xludf.DUMMYFUNCTION("""COMPUTED_VALUE"""),"Baby Chef")</f>
        <v>Baby Chef</v>
      </c>
      <c r="F8461" s="17" t="str">
        <f>IFERROR(__xludf.DUMMYFUNCTION("""COMPUTED_VALUE"""),"Diagonal 16B #104-23 int 9 apto 303 lote 2 primera etapa Centenario Fontibon / . / .")</f>
        <v>Diagonal 16B #104-23 int 9 apto 303 lote 2 primera etapa Centenario Fontibon / . / .</v>
      </c>
      <c r="G8461" s="15" t="str">
        <f>IFERROR(__xludf.DUMMYFUNCTION("""COMPUTED_VALUE"""),"Lina Jacquelyn Caicedo Velasco")</f>
        <v>Lina Jacquelyn Caicedo Velasco</v>
      </c>
      <c r="H8461" s="16">
        <f>IFERROR(__xludf.DUMMYFUNCTION("""COMPUTED_VALUE"""),17182.0)</f>
        <v>17182</v>
      </c>
      <c r="I8461" s="18">
        <f>IFERROR(__xludf.DUMMYFUNCTION("""COMPUTED_VALUE"""),19.0)</f>
        <v>19</v>
      </c>
      <c r="J8461" s="18">
        <f>IFERROR(__xludf.DUMMYFUNCTION("""COMPUTED_VALUE"""),24.0)</f>
        <v>24</v>
      </c>
      <c r="K8461" s="18">
        <f>IFERROR(__xludf.DUMMYFUNCTION("""COMPUTED_VALUE"""),47.0)</f>
        <v>47</v>
      </c>
      <c r="L8461" s="17">
        <f>IFERROR(__xludf.DUMMYFUNCTION("""COMPUTED_VALUE"""),3.108888253E9)</f>
        <v>3108888253</v>
      </c>
      <c r="M8461" s="17"/>
      <c r="N8461" s="17"/>
      <c r="O8461" s="17"/>
      <c r="P8461" s="17" t="b">
        <f>IFERROR(__xludf.DUMMYFUNCTION("""COMPUTED_VALUE"""),FALSE)</f>
        <v>0</v>
      </c>
      <c r="Q8461" s="20" t="str">
        <f>IFERROR(__xludf.DUMMYFUNCTION("""COMPUTED_VALUE"""),"")</f>
        <v/>
      </c>
      <c r="R8461" s="21" t="str">
        <f>IFERROR(__xludf.DUMMYFUNCTION("""COMPUTED_VALUE"""),"https://drive.google.com/file/d/1dVNSnLF7aYPwSrGg9JaxckOycHVif4Qy/view?usp=drivesdk")</f>
        <v>https://drive.google.com/file/d/1dVNSnLF7aYPwSrGg9JaxckOycHVif4Qy/view?usp=drivesdk</v>
      </c>
    </row>
    <row r="8462">
      <c r="A8462" s="15">
        <f>IFERROR(__xludf.DUMMYFUNCTION("""COMPUTED_VALUE"""),45240.0)</f>
        <v>45240</v>
      </c>
      <c r="B8462" s="16" t="str">
        <f>IFERROR(__xludf.DUMMYFUNCTION("""COMPUTED_VALUE"""),"Envia")</f>
        <v>Envia</v>
      </c>
      <c r="C8462" s="15" t="str">
        <f>IFERROR(__xludf.DUMMYFUNCTION("""COMPUTED_VALUE"""),"BOGOTÁ")</f>
        <v>BOGOTÁ</v>
      </c>
      <c r="D8462" s="15" t="str">
        <f>IFERROR(__xludf.DUMMYFUNCTION("""COMPUTED_VALUE"""),"MEDELLÍN")</f>
        <v>MEDELLÍN</v>
      </c>
      <c r="E8462" s="15" t="str">
        <f>IFERROR(__xludf.DUMMYFUNCTION("""COMPUTED_VALUE"""),"Felicidad Bakery")</f>
        <v>Felicidad Bakery</v>
      </c>
      <c r="F8462" s="17" t="str">
        <f>IFERROR(__xludf.DUMMYFUNCTION("""COMPUTED_VALUE"""),"Calle 92 #15-62 / Edificio centro Chicó Local 103")</f>
        <v>Calle 92 #15-62 / Edificio centro Chicó Local 103</v>
      </c>
      <c r="G8462" s="15" t="str">
        <f>IFERROR(__xludf.DUMMYFUNCTION("""COMPUTED_VALUE"""),"Felicidad Bogota")</f>
        <v>Felicidad Bogota</v>
      </c>
      <c r="H8462" s="16">
        <f>IFERROR(__xludf.DUMMYFUNCTION("""COMPUTED_VALUE"""),17186.0)</f>
        <v>17186</v>
      </c>
      <c r="I8462" s="17"/>
      <c r="J8462" s="17"/>
      <c r="K8462" s="17"/>
      <c r="L8462" s="17">
        <f>IFERROR(__xludf.DUMMYFUNCTION("""COMPUTED_VALUE"""),3.013527163E9)</f>
        <v>3013527163</v>
      </c>
      <c r="M8462" s="17"/>
      <c r="N8462" s="17"/>
      <c r="O8462" s="17"/>
      <c r="P8462" s="17" t="b">
        <f>IFERROR(__xludf.DUMMYFUNCTION("""COMPUTED_VALUE"""),FALSE)</f>
        <v>0</v>
      </c>
      <c r="Q8462" s="20" t="str">
        <f>IFERROR(__xludf.DUMMYFUNCTION("""COMPUTED_VALUE"""),"")</f>
        <v/>
      </c>
      <c r="R8462" s="21" t="str">
        <f>IFERROR(__xludf.DUMMYFUNCTION("""COMPUTED_VALUE"""),"https://drive.google.com/file/d/1RG55v0s2jRMegQXuac794IQPAtYhObof/view?usp=drivesdk")</f>
        <v>https://drive.google.com/file/d/1RG55v0s2jRMegQXuac794IQPAtYhObof/view?usp=drivesdk</v>
      </c>
    </row>
    <row r="8463">
      <c r="A8463" s="15">
        <f>IFERROR(__xludf.DUMMYFUNCTION("""COMPUTED_VALUE"""),45240.0)</f>
        <v>45240</v>
      </c>
      <c r="B8463" s="16" t="str">
        <f>IFERROR(__xludf.DUMMYFUNCTION("""COMPUTED_VALUE"""),"Envia")</f>
        <v>Envia</v>
      </c>
      <c r="C8463" s="15" t="str">
        <f>IFERROR(__xludf.DUMMYFUNCTION("""COMPUTED_VALUE"""),"BUCARAMANGA")</f>
        <v>BUCARAMANGA</v>
      </c>
      <c r="D8463" s="15" t="str">
        <f>IFERROR(__xludf.DUMMYFUNCTION("""COMPUTED_VALUE"""),"BOGOTÁ")</f>
        <v>BOGOTÁ</v>
      </c>
      <c r="E8463" s="15" t="str">
        <f>IFERROR(__xludf.DUMMYFUNCTION("""COMPUTED_VALUE"""),"LINA PAOLA RAMIREZ GOMEZ - EVA MAZZITA")</f>
        <v>LINA PAOLA RAMIREZ GOMEZ - EVA MAZZITA</v>
      </c>
      <c r="F8463" s="17" t="str">
        <f>IFERROR(__xludf.DUMMYFUNCTION("""COMPUTED_VALUE"""),"Calle 105 cra 15d esquina / Conjunto los robles barrio delicias altas. Casa 70")</f>
        <v>Calle 105 cra 15d esquina / Conjunto los robles barrio delicias altas. Casa 70</v>
      </c>
      <c r="G8463" s="15" t="str">
        <f>IFERROR(__xludf.DUMMYFUNCTION("""COMPUTED_VALUE"""),"NELLY KATHERINE ACEVEDO TELLO")</f>
        <v>NELLY KATHERINE ACEVEDO TELLO</v>
      </c>
      <c r="H8463" s="16">
        <f>IFERROR(__xludf.DUMMYFUNCTION("""COMPUTED_VALUE"""),17195.0)</f>
        <v>17195</v>
      </c>
      <c r="I8463" s="17"/>
      <c r="J8463" s="17"/>
      <c r="K8463" s="17"/>
      <c r="L8463" s="17">
        <f>IFERROR(__xludf.DUMMYFUNCTION("""COMPUTED_VALUE"""),3.183799785E9)</f>
        <v>3183799785</v>
      </c>
      <c r="M8463" s="17"/>
      <c r="N8463" s="17"/>
      <c r="O8463" s="17"/>
      <c r="P8463" s="17" t="b">
        <f>IFERROR(__xludf.DUMMYFUNCTION("""COMPUTED_VALUE"""),FALSE)</f>
        <v>0</v>
      </c>
      <c r="Q8463" s="20" t="str">
        <f>IFERROR(__xludf.DUMMYFUNCTION("""COMPUTED_VALUE"""),"")</f>
        <v/>
      </c>
      <c r="R8463" s="21" t="str">
        <f>IFERROR(__xludf.DUMMYFUNCTION("""COMPUTED_VALUE"""),"https://drive.google.com/file/d/1Ayh9Vi_rZy-U56abd3lyLZf2r9p2iMPY/view?usp=drivesdk")</f>
        <v>https://drive.google.com/file/d/1Ayh9Vi_rZy-U56abd3lyLZf2r9p2iMPY/view?usp=drivesdk</v>
      </c>
    </row>
    <row r="8464">
      <c r="A8464" s="15">
        <f>IFERROR(__xludf.DUMMYFUNCTION("""COMPUTED_VALUE"""),45240.0)</f>
        <v>45240</v>
      </c>
      <c r="B8464" s="16" t="str">
        <f>IFERROR(__xludf.DUMMYFUNCTION("""COMPUTED_VALUE"""),"Envia")</f>
        <v>Envia</v>
      </c>
      <c r="C8464" s="15" t="str">
        <f>IFERROR(__xludf.DUMMYFUNCTION("""COMPUTED_VALUE"""),"BUCARAMANGA")</f>
        <v>BUCARAMANGA</v>
      </c>
      <c r="D8464" s="15" t="str">
        <f>IFERROR(__xludf.DUMMYFUNCTION("""COMPUTED_VALUE"""),"BOGOTÁ")</f>
        <v>BOGOTÁ</v>
      </c>
      <c r="E8464" s="15" t="str">
        <f>IFERROR(__xludf.DUMMYFUNCTION("""COMPUTED_VALUE"""),"LINA PAOLA RAMIREZ GOMEZ - EVA MAZZITA")</f>
        <v>LINA PAOLA RAMIREZ GOMEZ - EVA MAZZITA</v>
      </c>
      <c r="F8464" s="17" t="str">
        <f>IFERROR(__xludf.DUMMYFUNCTION("""COMPUTED_VALUE"""),"CALLE 98 No. 16 - 77 / APTO 414 TORRES DE VILLA ALICIA")</f>
        <v>CALLE 98 No. 16 - 77 / APTO 414 TORRES DE VILLA ALICIA</v>
      </c>
      <c r="G8464" s="15" t="str">
        <f>IFERROR(__xludf.DUMMYFUNCTION("""COMPUTED_VALUE"""),"YAMILE GARCIA")</f>
        <v>YAMILE GARCIA</v>
      </c>
      <c r="H8464" s="16">
        <f>IFERROR(__xludf.DUMMYFUNCTION("""COMPUTED_VALUE"""),17197.0)</f>
        <v>17197</v>
      </c>
      <c r="I8464" s="17"/>
      <c r="J8464" s="17"/>
      <c r="K8464" s="17"/>
      <c r="L8464" s="17">
        <f>IFERROR(__xludf.DUMMYFUNCTION("""COMPUTED_VALUE"""),3.156113139E9)</f>
        <v>3156113139</v>
      </c>
      <c r="M8464" s="17"/>
      <c r="N8464" s="17"/>
      <c r="O8464" s="17"/>
      <c r="P8464" s="17" t="b">
        <f>IFERROR(__xludf.DUMMYFUNCTION("""COMPUTED_VALUE"""),FALSE)</f>
        <v>0</v>
      </c>
      <c r="Q8464" s="20" t="str">
        <f>IFERROR(__xludf.DUMMYFUNCTION("""COMPUTED_VALUE"""),"")</f>
        <v/>
      </c>
      <c r="R8464" s="21" t="str">
        <f>IFERROR(__xludf.DUMMYFUNCTION("""COMPUTED_VALUE"""),"https://drive.google.com/file/d/1hWTuBzqpD2f1uoGu1KMOV7TzaHbqnNIZ/view?usp=drivesdk")</f>
        <v>https://drive.google.com/file/d/1hWTuBzqpD2f1uoGu1KMOV7TzaHbqnNIZ/view?usp=drivesdk</v>
      </c>
    </row>
    <row r="8465">
      <c r="A8465" s="15">
        <f>IFERROR(__xludf.DUMMYFUNCTION("""COMPUTED_VALUE"""),45240.0)</f>
        <v>45240</v>
      </c>
      <c r="B8465" s="16" t="str">
        <f>IFERROR(__xludf.DUMMYFUNCTION("""COMPUTED_VALUE"""),"Envia")</f>
        <v>Envia</v>
      </c>
      <c r="C8465" s="15" t="str">
        <f>IFERROR(__xludf.DUMMYFUNCTION("""COMPUTED_VALUE"""),"CALI")</f>
        <v>CALI</v>
      </c>
      <c r="D8465" s="15" t="str">
        <f>IFERROR(__xludf.DUMMYFUNCTION("""COMPUTED_VALUE"""),"BOGOTÁ")</f>
        <v>BOGOTÁ</v>
      </c>
      <c r="E8465" s="15" t="str">
        <f>IFERROR(__xludf.DUMMYFUNCTION("""COMPUTED_VALUE"""),"Athenas")</f>
        <v>Athenas</v>
      </c>
      <c r="F8465" s="17" t="str">
        <f>IFERROR(__xludf.DUMMYFUNCTION("""COMPUTED_VALUE"""),"CALLE 7 OESTE #1-59 PISO 2 / BODYTECH CAFETERIA / SANTA TERESITA")</f>
        <v>CALLE 7 OESTE #1-59 PISO 2 / BODYTECH CAFETERIA / SANTA TERESITA</v>
      </c>
      <c r="G8465" s="15" t="str">
        <f>IFERROR(__xludf.DUMMYFUNCTION("""COMPUTED_VALUE"""),"GINA PANESSO")</f>
        <v>GINA PANESSO</v>
      </c>
      <c r="H8465" s="16">
        <f>IFERROR(__xludf.DUMMYFUNCTION("""COMPUTED_VALUE"""),17172.0)</f>
        <v>17172</v>
      </c>
      <c r="I8465" s="18" t="str">
        <f>IFERROR(__xludf.DUMMYFUNCTION("""COMPUTED_VALUE"""),"52.5")</f>
        <v>52.5</v>
      </c>
      <c r="J8465" s="18">
        <f>IFERROR(__xludf.DUMMYFUNCTION("""COMPUTED_VALUE"""),55.0)</f>
        <v>55</v>
      </c>
      <c r="K8465" s="18">
        <f>IFERROR(__xludf.DUMMYFUNCTION("""COMPUTED_VALUE"""),45.0)</f>
        <v>45</v>
      </c>
      <c r="L8465" s="17">
        <f>IFERROR(__xludf.DUMMYFUNCTION("""COMPUTED_VALUE"""),3.103897576E9)</f>
        <v>3103897576</v>
      </c>
      <c r="M8465" s="17"/>
      <c r="N8465" s="17"/>
      <c r="O8465" s="17"/>
      <c r="P8465" s="17" t="b">
        <f>IFERROR(__xludf.DUMMYFUNCTION("""COMPUTED_VALUE"""),FALSE)</f>
        <v>0</v>
      </c>
      <c r="Q8465" s="20" t="str">
        <f>IFERROR(__xludf.DUMMYFUNCTION("""COMPUTED_VALUE"""),"")</f>
        <v/>
      </c>
      <c r="R8465" s="21" t="str">
        <f>IFERROR(__xludf.DUMMYFUNCTION("""COMPUTED_VALUE"""),"https://drive.google.com/file/d/1dvWuG18lCpebtvrX0GyVdnDbiJ6NHcju/view?usp=drivesdk")</f>
        <v>https://drive.google.com/file/d/1dvWuG18lCpebtvrX0GyVdnDbiJ6NHcju/view?usp=drivesdk</v>
      </c>
    </row>
    <row r="8466">
      <c r="A8466" s="15">
        <f>IFERROR(__xludf.DUMMYFUNCTION("""COMPUTED_VALUE"""),45240.0)</f>
        <v>45240</v>
      </c>
      <c r="B8466" s="16" t="str">
        <f>IFERROR(__xludf.DUMMYFUNCTION("""COMPUTED_VALUE"""),"Envia")</f>
        <v>Envia</v>
      </c>
      <c r="C8466" s="15" t="str">
        <f>IFERROR(__xludf.DUMMYFUNCTION("""COMPUTED_VALUE"""),"CALI")</f>
        <v>CALI</v>
      </c>
      <c r="D8466" s="15" t="str">
        <f>IFERROR(__xludf.DUMMYFUNCTION("""COMPUTED_VALUE"""),"BOGOTÁ")</f>
        <v>BOGOTÁ</v>
      </c>
      <c r="E8466" s="15" t="str">
        <f>IFERROR(__xludf.DUMMYFUNCTION("""COMPUTED_VALUE"""),"Athenas")</f>
        <v>Athenas</v>
      </c>
      <c r="F8466" s="17" t="str">
        <f>IFERROR(__xludf.DUMMYFUNCTION("""COMPUTED_VALUE"""),"CARRERA 98 # 16-200 CENTRO COMERCIAL JARDIN PLAZA / BODYTECH - CAFETERIA / CIUDAD JARDIN")</f>
        <v>CARRERA 98 # 16-200 CENTRO COMERCIAL JARDIN PLAZA / BODYTECH - CAFETERIA / CIUDAD JARDIN</v>
      </c>
      <c r="G8466" s="15" t="str">
        <f>IFERROR(__xludf.DUMMYFUNCTION("""COMPUTED_VALUE"""),"JORGE PARRA")</f>
        <v>JORGE PARRA</v>
      </c>
      <c r="H8466" s="16">
        <f>IFERROR(__xludf.DUMMYFUNCTION("""COMPUTED_VALUE"""),17171.0)</f>
        <v>17171</v>
      </c>
      <c r="I8466" s="18" t="str">
        <f>IFERROR(__xludf.DUMMYFUNCTION("""COMPUTED_VALUE"""),"52.5")</f>
        <v>52.5</v>
      </c>
      <c r="J8466" s="18">
        <f>IFERROR(__xludf.DUMMYFUNCTION("""COMPUTED_VALUE"""),55.0)</f>
        <v>55</v>
      </c>
      <c r="K8466" s="18">
        <f>IFERROR(__xludf.DUMMYFUNCTION("""COMPUTED_VALUE"""),45.0)</f>
        <v>45</v>
      </c>
      <c r="L8466" s="17">
        <f>IFERROR(__xludf.DUMMYFUNCTION("""COMPUTED_VALUE"""),3.246801614E9)</f>
        <v>3246801614</v>
      </c>
      <c r="M8466" s="17"/>
      <c r="N8466" s="17"/>
      <c r="O8466" s="17"/>
      <c r="P8466" s="17" t="b">
        <f>IFERROR(__xludf.DUMMYFUNCTION("""COMPUTED_VALUE"""),FALSE)</f>
        <v>0</v>
      </c>
      <c r="Q8466" s="20" t="str">
        <f>IFERROR(__xludf.DUMMYFUNCTION("""COMPUTED_VALUE"""),"")</f>
        <v/>
      </c>
      <c r="R8466" s="21" t="str">
        <f>IFERROR(__xludf.DUMMYFUNCTION("""COMPUTED_VALUE"""),"https://drive.google.com/file/d/1n2RZgzOdl0W7BUwNIQacOg4wFE5AvB0s/view?usp=drivesdk")</f>
        <v>https://drive.google.com/file/d/1n2RZgzOdl0W7BUwNIQacOg4wFE5AvB0s/view?usp=drivesdk</v>
      </c>
    </row>
    <row r="8467">
      <c r="A8467" s="15">
        <f>IFERROR(__xludf.DUMMYFUNCTION("""COMPUTED_VALUE"""),45240.0)</f>
        <v>45240</v>
      </c>
      <c r="B8467" s="16" t="str">
        <f>IFERROR(__xludf.DUMMYFUNCTION("""COMPUTED_VALUE"""),"Envia")</f>
        <v>Envia</v>
      </c>
      <c r="C8467" s="15" t="str">
        <f>IFERROR(__xludf.DUMMYFUNCTION("""COMPUTED_VALUE"""),"CALI")</f>
        <v>CALI</v>
      </c>
      <c r="D8467" s="15" t="str">
        <f>IFERROR(__xludf.DUMMYFUNCTION("""COMPUTED_VALUE"""),"BOGOTÁ")</f>
        <v>BOGOTÁ</v>
      </c>
      <c r="E8467" s="15" t="str">
        <f>IFERROR(__xludf.DUMMYFUNCTION("""COMPUTED_VALUE"""),"Athenas")</f>
        <v>Athenas</v>
      </c>
      <c r="F8467" s="17" t="str">
        <f>IFERROR(__xludf.DUMMYFUNCTION("""COMPUTED_VALUE"""),"CARRERA 98 #16-200 CENTRO COMERCIAL JARDIN PLAZA / BODYTECH - CAFETERIA / CIUDAD JARDIN")</f>
        <v>CARRERA 98 #16-200 CENTRO COMERCIAL JARDIN PLAZA / BODYTECH - CAFETERIA / CIUDAD JARDIN</v>
      </c>
      <c r="G8467" s="15" t="str">
        <f>IFERROR(__xludf.DUMMYFUNCTION("""COMPUTED_VALUE"""),"JORGE PARRA")</f>
        <v>JORGE PARRA</v>
      </c>
      <c r="H8467" s="16">
        <f>IFERROR(__xludf.DUMMYFUNCTION("""COMPUTED_VALUE"""),17173.0)</f>
        <v>17173</v>
      </c>
      <c r="I8467" s="18" t="str">
        <f>IFERROR(__xludf.DUMMYFUNCTION("""COMPUTED_VALUE"""),"52.5")</f>
        <v>52.5</v>
      </c>
      <c r="J8467" s="18">
        <f>IFERROR(__xludf.DUMMYFUNCTION("""COMPUTED_VALUE"""),55.0)</f>
        <v>55</v>
      </c>
      <c r="K8467" s="18">
        <f>IFERROR(__xludf.DUMMYFUNCTION("""COMPUTED_VALUE"""),45.0)</f>
        <v>45</v>
      </c>
      <c r="L8467" s="17">
        <f>IFERROR(__xludf.DUMMYFUNCTION("""COMPUTED_VALUE"""),3.246801614E9)</f>
        <v>3246801614</v>
      </c>
      <c r="M8467" s="17"/>
      <c r="N8467" s="17"/>
      <c r="O8467" s="17"/>
      <c r="P8467" s="17" t="b">
        <f>IFERROR(__xludf.DUMMYFUNCTION("""COMPUTED_VALUE"""),FALSE)</f>
        <v>0</v>
      </c>
      <c r="Q8467" s="20" t="str">
        <f>IFERROR(__xludf.DUMMYFUNCTION("""COMPUTED_VALUE"""),"")</f>
        <v/>
      </c>
      <c r="R8467" s="21" t="str">
        <f>IFERROR(__xludf.DUMMYFUNCTION("""COMPUTED_VALUE"""),"https://drive.google.com/file/d/1_G0zcWRpRSKP4cSRU_meyActFElpt4g0/view?usp=drivesdk")</f>
        <v>https://drive.google.com/file/d/1_G0zcWRpRSKP4cSRU_meyActFElpt4g0/view?usp=drivesdk</v>
      </c>
    </row>
    <row r="8468">
      <c r="A8468" s="15">
        <f>IFERROR(__xludf.DUMMYFUNCTION("""COMPUTED_VALUE"""),45240.0)</f>
        <v>45240</v>
      </c>
      <c r="B8468" s="16" t="str">
        <f>IFERROR(__xludf.DUMMYFUNCTION("""COMPUTED_VALUE"""),"Envia")</f>
        <v>Envia</v>
      </c>
      <c r="C8468" s="15" t="str">
        <f>IFERROR(__xludf.DUMMYFUNCTION("""COMPUTED_VALUE"""),"CHÍA")</f>
        <v>CHÍA</v>
      </c>
      <c r="D8468" s="15" t="str">
        <f>IFERROR(__xludf.DUMMYFUNCTION("""COMPUTED_VALUE"""),"ENVIGADO")</f>
        <v>ENVIGADO</v>
      </c>
      <c r="E8468" s="15" t="str">
        <f>IFERROR(__xludf.DUMMYFUNCTION("""COMPUTED_VALUE"""),"JUAN CAMILO CORDOBA")</f>
        <v>JUAN CAMILO CORDOBA</v>
      </c>
      <c r="F8468" s="17" t="str">
        <f>IFERROR(__xludf.DUMMYFUNCTION("""COMPUTED_VALUE"""),"Km 1.5 via Chia Cajica 100 mts antes de Fontanar")</f>
        <v>Km 1.5 via Chia Cajica 100 mts antes de Fontanar</v>
      </c>
      <c r="G8468" s="15" t="str">
        <f>IFERROR(__xludf.DUMMYFUNCTION("""COMPUTED_VALUE"""),"The Choice Natural Market")</f>
        <v>The Choice Natural Market</v>
      </c>
      <c r="H8468" s="16">
        <f>IFERROR(__xludf.DUMMYFUNCTION("""COMPUTED_VALUE"""),17208.0)</f>
        <v>17208</v>
      </c>
      <c r="I8468" s="17"/>
      <c r="J8468" s="17"/>
      <c r="K8468" s="17"/>
      <c r="L8468" s="17">
        <f>IFERROR(__xludf.DUMMYFUNCTION("""COMPUTED_VALUE"""),3.212415592E9)</f>
        <v>3212415592</v>
      </c>
      <c r="M8468" s="17"/>
      <c r="N8468" s="17"/>
      <c r="O8468" s="17"/>
      <c r="P8468" s="17" t="b">
        <f>IFERROR(__xludf.DUMMYFUNCTION("""COMPUTED_VALUE"""),FALSE)</f>
        <v>0</v>
      </c>
      <c r="Q8468" s="20" t="str">
        <f>IFERROR(__xludf.DUMMYFUNCTION("""COMPUTED_VALUE"""),"")</f>
        <v/>
      </c>
      <c r="R8468" s="21" t="str">
        <f>IFERROR(__xludf.DUMMYFUNCTION("""COMPUTED_VALUE"""),"https://drive.google.com/file/d/1jKdx6X64DmMzal7RKdVWZTcUYtgP-zzh/view?usp=drivesdk")</f>
        <v>https://drive.google.com/file/d/1jKdx6X64DmMzal7RKdVWZTcUYtgP-zzh/view?usp=drivesdk</v>
      </c>
    </row>
    <row r="8469">
      <c r="A8469" s="15">
        <f>IFERROR(__xludf.DUMMYFUNCTION("""COMPUTED_VALUE"""),45240.0)</f>
        <v>45240</v>
      </c>
      <c r="B8469" s="16" t="str">
        <f>IFERROR(__xludf.DUMMYFUNCTION("""COMPUTED_VALUE"""),"Envia")</f>
        <v>Envia</v>
      </c>
      <c r="C8469" s="15" t="str">
        <f>IFERROR(__xludf.DUMMYFUNCTION("""COMPUTED_VALUE"""),"CHÍA")</f>
        <v>CHÍA</v>
      </c>
      <c r="D8469" s="15" t="str">
        <f>IFERROR(__xludf.DUMMYFUNCTION("""COMPUTED_VALUE"""),"ENVIGADO")</f>
        <v>ENVIGADO</v>
      </c>
      <c r="E8469" s="15" t="str">
        <f>IFERROR(__xludf.DUMMYFUNCTION("""COMPUTED_VALUE"""),"JUAN CAMILO CORDOBA")</f>
        <v>JUAN CAMILO CORDOBA</v>
      </c>
      <c r="F8469" s="17" t="str">
        <f>IFERROR(__xludf.DUMMYFUNCTION("""COMPUTED_VALUE"""),"Km 3,4 vereda yerbabuena chía / Se sube por la entrada despues del castillo marroquin. La casa queda en la segunda puerta de hierro")</f>
        <v>Km 3,4 vereda yerbabuena chía / Se sube por la entrada despues del castillo marroquin. La casa queda en la segunda puerta de hierro</v>
      </c>
      <c r="G8469" s="15" t="str">
        <f>IFERROR(__xludf.DUMMYFUNCTION("""COMPUTED_VALUE"""),"Adriana Cajiao Gutiérrez")</f>
        <v>Adriana Cajiao Gutiérrez</v>
      </c>
      <c r="H8469" s="16">
        <f>IFERROR(__xludf.DUMMYFUNCTION("""COMPUTED_VALUE"""),17206.0)</f>
        <v>17206</v>
      </c>
      <c r="I8469" s="17"/>
      <c r="J8469" s="17"/>
      <c r="K8469" s="17"/>
      <c r="L8469" s="17">
        <f>IFERROR(__xludf.DUMMYFUNCTION("""COMPUTED_VALUE"""),3.103296891E9)</f>
        <v>3103296891</v>
      </c>
      <c r="M8469" s="17"/>
      <c r="N8469" s="17"/>
      <c r="O8469" s="17"/>
      <c r="P8469" s="17" t="b">
        <f>IFERROR(__xludf.DUMMYFUNCTION("""COMPUTED_VALUE"""),TRUE)</f>
        <v>1</v>
      </c>
      <c r="Q8469" s="20">
        <f>IFERROR(__xludf.DUMMYFUNCTION("""COMPUTED_VALUE"""),45240.48426369213)</f>
        <v>45240.48426</v>
      </c>
      <c r="R8469" s="21" t="str">
        <f>IFERROR(__xludf.DUMMYFUNCTION("""COMPUTED_VALUE"""),"https://drive.google.com/file/d/1-1gM02OEpju1i-neSAKCuGQRF8z_8YCn/view?usp=drivesdk")</f>
        <v>https://drive.google.com/file/d/1-1gM02OEpju1i-neSAKCuGQRF8z_8YCn/view?usp=drivesdk</v>
      </c>
    </row>
    <row r="8470">
      <c r="A8470" s="15">
        <f>IFERROR(__xludf.DUMMYFUNCTION("""COMPUTED_VALUE"""),45240.0)</f>
        <v>45240</v>
      </c>
      <c r="B8470" s="16" t="str">
        <f>IFERROR(__xludf.DUMMYFUNCTION("""COMPUTED_VALUE"""),"Envia")</f>
        <v>Envia</v>
      </c>
      <c r="C8470" s="15" t="str">
        <f>IFERROR(__xludf.DUMMYFUNCTION("""COMPUTED_VALUE"""),"CÚCUTA")</f>
        <v>CÚCUTA</v>
      </c>
      <c r="D8470" s="15" t="str">
        <f>IFERROR(__xludf.DUMMYFUNCTION("""COMPUTED_VALUE"""),"ENVIGADO")</f>
        <v>ENVIGADO</v>
      </c>
      <c r="E8470" s="15" t="str">
        <f>IFERROR(__xludf.DUMMYFUNCTION("""COMPUTED_VALUE"""),"JUAN CAMILO CORDOBA")</f>
        <v>JUAN CAMILO CORDOBA</v>
      </c>
      <c r="F8470" s="17" t="str">
        <f>IFERROR(__xludf.DUMMYFUNCTION("""COMPUTED_VALUE"""),"Avenida 9e # 7-12")</f>
        <v>Avenida 9e # 7-12</v>
      </c>
      <c r="G8470" s="15" t="str">
        <f>IFERROR(__xludf.DUMMYFUNCTION("""COMPUTED_VALUE"""),"Sexto sentido")</f>
        <v>Sexto sentido</v>
      </c>
      <c r="H8470" s="16">
        <f>IFERROR(__xludf.DUMMYFUNCTION("""COMPUTED_VALUE"""),17163.0)</f>
        <v>17163</v>
      </c>
      <c r="I8470" s="17"/>
      <c r="J8470" s="17"/>
      <c r="K8470" s="17"/>
      <c r="L8470" s="17">
        <f>IFERROR(__xludf.DUMMYFUNCTION("""COMPUTED_VALUE"""),3.154996494E9)</f>
        <v>3154996494</v>
      </c>
      <c r="M8470" s="17"/>
      <c r="N8470" s="17"/>
      <c r="O8470" s="17"/>
      <c r="P8470" s="17" t="b">
        <f>IFERROR(__xludf.DUMMYFUNCTION("""COMPUTED_VALUE"""),FALSE)</f>
        <v>0</v>
      </c>
      <c r="Q8470" s="20" t="str">
        <f>IFERROR(__xludf.DUMMYFUNCTION("""COMPUTED_VALUE"""),"")</f>
        <v/>
      </c>
      <c r="R8470" s="21" t="str">
        <f>IFERROR(__xludf.DUMMYFUNCTION("""COMPUTED_VALUE"""),"https://drive.google.com/file/d/10dcKbJ-7h0Y-nsPc4stk3I7laffCwHGC/view?usp=drivesdk")</f>
        <v>https://drive.google.com/file/d/10dcKbJ-7h0Y-nsPc4stk3I7laffCwHGC/view?usp=drivesdk</v>
      </c>
    </row>
    <row r="8471">
      <c r="A8471" s="15">
        <f>IFERROR(__xludf.DUMMYFUNCTION("""COMPUTED_VALUE"""),45240.0)</f>
        <v>45240</v>
      </c>
      <c r="B8471" s="16" t="str">
        <f>IFERROR(__xludf.DUMMYFUNCTION("""COMPUTED_VALUE"""),"Envia")</f>
        <v>Envia</v>
      </c>
      <c r="C8471" s="15" t="str">
        <f>IFERROR(__xludf.DUMMYFUNCTION("""COMPUTED_VALUE"""),"CÚCUTA")</f>
        <v>CÚCUTA</v>
      </c>
      <c r="D8471" s="15" t="str">
        <f>IFERROR(__xludf.DUMMYFUNCTION("""COMPUTED_VALUE"""),"MEDELLÍN")</f>
        <v>MEDELLÍN</v>
      </c>
      <c r="E8471" s="15" t="str">
        <f>IFERROR(__xludf.DUMMYFUNCTION("""COMPUTED_VALUE"""),"Baby Chef")</f>
        <v>Baby Chef</v>
      </c>
      <c r="F8471" s="17" t="str">
        <f>IFERROR(__xludf.DUMMYFUNCTION("""COMPUTED_VALUE"""),"Dirección:  av 10 # 56-58 apartamentos munn torre 2 apto 702  Barrio: la floresta ( patios)  Ciudad: los patios / . / .")</f>
        <v>Dirección:  av 10 # 56-58 apartamentos munn torre 2 apto 702  Barrio: la floresta ( patios)  Ciudad: los patios / . / .</v>
      </c>
      <c r="G8471" s="15" t="str">
        <f>IFERROR(__xludf.DUMMYFUNCTION("""COMPUTED_VALUE"""),"paola buendia")</f>
        <v>paola buendia</v>
      </c>
      <c r="H8471" s="16">
        <f>IFERROR(__xludf.DUMMYFUNCTION("""COMPUTED_VALUE"""),17113.0)</f>
        <v>17113</v>
      </c>
      <c r="I8471" s="18">
        <f>IFERROR(__xludf.DUMMYFUNCTION("""COMPUTED_VALUE"""),14.0)</f>
        <v>14</v>
      </c>
      <c r="J8471" s="18">
        <f>IFERROR(__xludf.DUMMYFUNCTION("""COMPUTED_VALUE"""),21.0)</f>
        <v>21</v>
      </c>
      <c r="K8471" s="18">
        <f>IFERROR(__xludf.DUMMYFUNCTION("""COMPUTED_VALUE"""),44.0)</f>
        <v>44</v>
      </c>
      <c r="L8471" s="17">
        <f>IFERROR(__xludf.DUMMYFUNCTION("""COMPUTED_VALUE"""),3.16832202E9)</f>
        <v>3168322020</v>
      </c>
      <c r="M8471" s="17"/>
      <c r="N8471" s="17"/>
      <c r="O8471" s="17"/>
      <c r="P8471" s="17" t="b">
        <f>IFERROR(__xludf.DUMMYFUNCTION("""COMPUTED_VALUE"""),FALSE)</f>
        <v>0</v>
      </c>
      <c r="Q8471" s="20" t="str">
        <f>IFERROR(__xludf.DUMMYFUNCTION("""COMPUTED_VALUE"""),"")</f>
        <v/>
      </c>
      <c r="R8471" s="21" t="str">
        <f>IFERROR(__xludf.DUMMYFUNCTION("""COMPUTED_VALUE"""),"https://drive.google.com/file/d/1sZ6pnliTlh8XzmcoZsSBPUIMEMJ9GyLe/view?usp=drivesdk")</f>
        <v>https://drive.google.com/file/d/1sZ6pnliTlh8XzmcoZsSBPUIMEMJ9GyLe/view?usp=drivesdk</v>
      </c>
    </row>
    <row r="8472">
      <c r="A8472" s="15">
        <f>IFERROR(__xludf.DUMMYFUNCTION("""COMPUTED_VALUE"""),45240.0)</f>
        <v>45240</v>
      </c>
      <c r="B8472" s="16" t="str">
        <f>IFERROR(__xludf.DUMMYFUNCTION("""COMPUTED_VALUE"""),"Envia")</f>
        <v>Envia</v>
      </c>
      <c r="C8472" s="15" t="str">
        <f>IFERROR(__xludf.DUMMYFUNCTION("""COMPUTED_VALUE"""),"MEDELLÍN")</f>
        <v>MEDELLÍN</v>
      </c>
      <c r="D8472" s="15" t="str">
        <f>IFERROR(__xludf.DUMMYFUNCTION("""COMPUTED_VALUE"""),"BOGOTÁ")</f>
        <v>BOGOTÁ</v>
      </c>
      <c r="E8472" s="15" t="str">
        <f>IFERROR(__xludf.DUMMYFUNCTION("""COMPUTED_VALUE"""),"INVERSIONES MOCHI")</f>
        <v>INVERSIONES MOCHI</v>
      </c>
      <c r="F8472" s="17" t="str">
        <f>IFERROR(__xludf.DUMMYFUNCTION("""COMPUTED_VALUE"""),"CRA 48 #32B SUR-139 ZONA 1 / CENTRO COMERCIAL VIVA ENVIGADO")</f>
        <v>CRA 48 #32B SUR-139 ZONA 1 / CENTRO COMERCIAL VIVA ENVIGADO</v>
      </c>
      <c r="G8472" s="15" t="str">
        <f>IFERROR(__xludf.DUMMYFUNCTION("""COMPUTED_VALUE"""),"CENTRO COMERCIAL VIVA ENVIGADO")</f>
        <v>CENTRO COMERCIAL VIVA ENVIGADO</v>
      </c>
      <c r="H8472" s="16">
        <f>IFERROR(__xludf.DUMMYFUNCTION("""COMPUTED_VALUE"""),17190.0)</f>
        <v>17190</v>
      </c>
      <c r="I8472" s="17"/>
      <c r="J8472" s="17"/>
      <c r="K8472" s="17"/>
      <c r="L8472" s="17">
        <f>IFERROR(__xludf.DUMMYFUNCTION("""COMPUTED_VALUE"""),3.142587995E9)</f>
        <v>3142587995</v>
      </c>
      <c r="M8472" s="17"/>
      <c r="N8472" s="17"/>
      <c r="O8472" s="17"/>
      <c r="P8472" s="17" t="b">
        <f>IFERROR(__xludf.DUMMYFUNCTION("""COMPUTED_VALUE"""),FALSE)</f>
        <v>0</v>
      </c>
      <c r="Q8472" s="20" t="str">
        <f>IFERROR(__xludf.DUMMYFUNCTION("""COMPUTED_VALUE"""),"")</f>
        <v/>
      </c>
      <c r="R8472" s="21" t="str">
        <f>IFERROR(__xludf.DUMMYFUNCTION("""COMPUTED_VALUE"""),"https://drive.google.com/file/d/1tKZSY2Nb7ZSyAC5NoRrtcvf-l5Ohg0mK/view?usp=drivesdk")</f>
        <v>https://drive.google.com/file/d/1tKZSY2Nb7ZSyAC5NoRrtcvf-l5Ohg0mK/view?usp=drivesdk</v>
      </c>
    </row>
    <row r="8473">
      <c r="A8473" s="15">
        <f>IFERROR(__xludf.DUMMYFUNCTION("""COMPUTED_VALUE"""),45240.0)</f>
        <v>45240</v>
      </c>
      <c r="B8473" s="16" t="str">
        <f>IFERROR(__xludf.DUMMYFUNCTION("""COMPUTED_VALUE"""),"Envia")</f>
        <v>Envia</v>
      </c>
      <c r="C8473" s="15" t="str">
        <f>IFERROR(__xludf.DUMMYFUNCTION("""COMPUTED_VALUE"""),"MEDELLÍN")</f>
        <v>MEDELLÍN</v>
      </c>
      <c r="D8473" s="15" t="str">
        <f>IFERROR(__xludf.DUMMYFUNCTION("""COMPUTED_VALUE"""),"BOGOTÁ")</f>
        <v>BOGOTÁ</v>
      </c>
      <c r="E8473" s="15" t="str">
        <f>IFERROR(__xludf.DUMMYFUNCTION("""COMPUTED_VALUE"""),"Ventura Productos Arg")</f>
        <v>Ventura Productos Arg</v>
      </c>
      <c r="F8473" s="17" t="str">
        <f>IFERROR(__xludf.DUMMYFUNCTION("""COMPUTED_VALUE"""),"calle 8 sur #32-306 / Apto 1803")</f>
        <v>calle 8 sur #32-306 / Apto 1803</v>
      </c>
      <c r="G8473" s="15" t="str">
        <f>IFERROR(__xludf.DUMMYFUNCTION("""COMPUTED_VALUE"""),"Isabela Estrada")</f>
        <v>Isabela Estrada</v>
      </c>
      <c r="H8473" s="16">
        <f>IFERROR(__xludf.DUMMYFUNCTION("""COMPUTED_VALUE"""),17143.0)</f>
        <v>17143</v>
      </c>
      <c r="I8473" s="17"/>
      <c r="J8473" s="17"/>
      <c r="K8473" s="17"/>
      <c r="L8473" s="17"/>
      <c r="M8473" s="17"/>
      <c r="N8473" s="17"/>
      <c r="O8473" s="17"/>
      <c r="P8473" s="17" t="b">
        <f>IFERROR(__xludf.DUMMYFUNCTION("""COMPUTED_VALUE"""),FALSE)</f>
        <v>0</v>
      </c>
      <c r="Q8473" s="20" t="str">
        <f>IFERROR(__xludf.DUMMYFUNCTION("""COMPUTED_VALUE"""),"")</f>
        <v/>
      </c>
      <c r="R8473" s="22" t="str">
        <f>IFERROR(__xludf.DUMMYFUNCTION("""COMPUTED_VALUE"""),"")</f>
        <v/>
      </c>
    </row>
    <row r="8474">
      <c r="A8474" s="15">
        <f>IFERROR(__xludf.DUMMYFUNCTION("""COMPUTED_VALUE"""),45240.0)</f>
        <v>45240</v>
      </c>
      <c r="B8474" s="16" t="str">
        <f>IFERROR(__xludf.DUMMYFUNCTION("""COMPUTED_VALUE"""),"Envia")</f>
        <v>Envia</v>
      </c>
      <c r="C8474" s="15" t="str">
        <f>IFERROR(__xludf.DUMMYFUNCTION("""COMPUTED_VALUE"""),"MEDELLÍN")</f>
        <v>MEDELLÍN</v>
      </c>
      <c r="D8474" s="15" t="str">
        <f>IFERROR(__xludf.DUMMYFUNCTION("""COMPUTED_VALUE"""),"BOGOTÁ")</f>
        <v>BOGOTÁ</v>
      </c>
      <c r="E8474" s="15" t="str">
        <f>IFERROR(__xludf.DUMMYFUNCTION("""COMPUTED_VALUE"""),"Ventura Productos Arg")</f>
        <v>Ventura Productos Arg</v>
      </c>
      <c r="F8474" s="17" t="str">
        <f>IFERROR(__xludf.DUMMYFUNCTION("""COMPUTED_VALUE"""),"Carrera 53 numero 73 sur 40 / Urbanizacion Entre Bosques Apartamento 508 Itagui - Antioquia")</f>
        <v>Carrera 53 numero 73 sur 40 / Urbanizacion Entre Bosques Apartamento 508 Itagui - Antioquia</v>
      </c>
      <c r="G8474" s="15" t="str">
        <f>IFERROR(__xludf.DUMMYFUNCTION("""COMPUTED_VALUE"""),"Monica Villa Henao")</f>
        <v>Monica Villa Henao</v>
      </c>
      <c r="H8474" s="16">
        <f>IFERROR(__xludf.DUMMYFUNCTION("""COMPUTED_VALUE"""),17188.0)</f>
        <v>17188</v>
      </c>
      <c r="I8474" s="17"/>
      <c r="J8474" s="17"/>
      <c r="K8474" s="17"/>
      <c r="L8474" s="17"/>
      <c r="M8474" s="17"/>
      <c r="N8474" s="17"/>
      <c r="O8474" s="17"/>
      <c r="P8474" s="17" t="b">
        <f>IFERROR(__xludf.DUMMYFUNCTION("""COMPUTED_VALUE"""),FALSE)</f>
        <v>0</v>
      </c>
      <c r="Q8474" s="20" t="str">
        <f>IFERROR(__xludf.DUMMYFUNCTION("""COMPUTED_VALUE"""),"")</f>
        <v/>
      </c>
      <c r="R8474" s="22" t="str">
        <f>IFERROR(__xludf.DUMMYFUNCTION("""COMPUTED_VALUE"""),"")</f>
        <v/>
      </c>
    </row>
    <row r="8475">
      <c r="A8475" s="15">
        <f>IFERROR(__xludf.DUMMYFUNCTION("""COMPUTED_VALUE"""),45240.0)</f>
        <v>45240</v>
      </c>
      <c r="B8475" s="16" t="str">
        <f>IFERROR(__xludf.DUMMYFUNCTION("""COMPUTED_VALUE"""),"Envia")</f>
        <v>Envia</v>
      </c>
      <c r="C8475" s="15" t="str">
        <f>IFERROR(__xludf.DUMMYFUNCTION("""COMPUTED_VALUE"""),"PEREIRA")</f>
        <v>PEREIRA</v>
      </c>
      <c r="D8475" s="15" t="str">
        <f>IFERROR(__xludf.DUMMYFUNCTION("""COMPUTED_VALUE"""),"BOGOTÁ")</f>
        <v>BOGOTÁ</v>
      </c>
      <c r="E8475" s="15" t="str">
        <f>IFERROR(__xludf.DUMMYFUNCTION("""COMPUTED_VALUE"""),"Athenas")</f>
        <v>Athenas</v>
      </c>
      <c r="F8475" s="17" t="str">
        <f>IFERROR(__xludf.DUMMYFUNCTION("""COMPUTED_VALUE"""),"AV CIRCUNVALAR CARRERA 13 #13-40 CENTRO COMERCIAL UNIPLEX PISO 6 / BODYTECH CAFETERIA / AV. CIRCUNVALAR")</f>
        <v>AV CIRCUNVALAR CARRERA 13 #13-40 CENTRO COMERCIAL UNIPLEX PISO 6 / BODYTECH CAFETERIA / AV. CIRCUNVALAR</v>
      </c>
      <c r="G8475" s="15" t="str">
        <f>IFERROR(__xludf.DUMMYFUNCTION("""COMPUTED_VALUE"""),"DIANA AREVALO")</f>
        <v>DIANA AREVALO</v>
      </c>
      <c r="H8475" s="16">
        <f>IFERROR(__xludf.DUMMYFUNCTION("""COMPUTED_VALUE"""),17175.0)</f>
        <v>17175</v>
      </c>
      <c r="I8475" s="18" t="str">
        <f>IFERROR(__xludf.DUMMYFUNCTION("""COMPUTED_VALUE"""),"52.5")</f>
        <v>52.5</v>
      </c>
      <c r="J8475" s="18">
        <f>IFERROR(__xludf.DUMMYFUNCTION("""COMPUTED_VALUE"""),55.0)</f>
        <v>55</v>
      </c>
      <c r="K8475" s="18">
        <f>IFERROR(__xludf.DUMMYFUNCTION("""COMPUTED_VALUE"""),45.0)</f>
        <v>45</v>
      </c>
      <c r="L8475" s="17">
        <f>IFERROR(__xludf.DUMMYFUNCTION("""COMPUTED_VALUE"""),3.024641655E9)</f>
        <v>3024641655</v>
      </c>
      <c r="M8475" s="17"/>
      <c r="N8475" s="17"/>
      <c r="O8475" s="17"/>
      <c r="P8475" s="17" t="b">
        <f>IFERROR(__xludf.DUMMYFUNCTION("""COMPUTED_VALUE"""),FALSE)</f>
        <v>0</v>
      </c>
      <c r="Q8475" s="20" t="str">
        <f>IFERROR(__xludf.DUMMYFUNCTION("""COMPUTED_VALUE"""),"")</f>
        <v/>
      </c>
      <c r="R8475" s="21" t="str">
        <f>IFERROR(__xludf.DUMMYFUNCTION("""COMPUTED_VALUE"""),"https://drive.google.com/file/d/1lt6JVRbFngtGZ3wGCCyK5pp7VP8Hqf-x/view?usp=drivesdk")</f>
        <v>https://drive.google.com/file/d/1lt6JVRbFngtGZ3wGCCyK5pp7VP8Hqf-x/view?usp=drivesdk</v>
      </c>
    </row>
    <row r="8476">
      <c r="A8476" s="15">
        <f>IFERROR(__xludf.DUMMYFUNCTION("""COMPUTED_VALUE"""),45240.0)</f>
        <v>45240</v>
      </c>
      <c r="B8476" s="16" t="str">
        <f>IFERROR(__xludf.DUMMYFUNCTION("""COMPUTED_VALUE"""),"Envia")</f>
        <v>Envia</v>
      </c>
      <c r="C8476" s="15" t="str">
        <f>IFERROR(__xludf.DUMMYFUNCTION("""COMPUTED_VALUE"""),"PEREIRA")</f>
        <v>PEREIRA</v>
      </c>
      <c r="D8476" s="15" t="str">
        <f>IFERROR(__xludf.DUMMYFUNCTION("""COMPUTED_VALUE"""),"BOGOTÁ")</f>
        <v>BOGOTÁ</v>
      </c>
      <c r="E8476" s="15" t="str">
        <f>IFERROR(__xludf.DUMMYFUNCTION("""COMPUTED_VALUE"""),"Athenas")</f>
        <v>Athenas</v>
      </c>
      <c r="F8476" s="17" t="str">
        <f>IFERROR(__xludf.DUMMYFUNCTION("""COMPUTED_VALUE"""),"Carrera 16 # 43 CENTRO COMERCIAL EL PROGRESO Local 208 / BODYTECH - CAFETERIA / DOSQUEBRADAS")</f>
        <v>Carrera 16 # 43 CENTRO COMERCIAL EL PROGRESO Local 208 / BODYTECH - CAFETERIA / DOSQUEBRADAS</v>
      </c>
      <c r="G8476" s="15" t="str">
        <f>IFERROR(__xludf.DUMMYFUNCTION("""COMPUTED_VALUE"""),"LETICIA BAÑOL")</f>
        <v>LETICIA BAÑOL</v>
      </c>
      <c r="H8476" s="16">
        <f>IFERROR(__xludf.DUMMYFUNCTION("""COMPUTED_VALUE"""),17174.0)</f>
        <v>17174</v>
      </c>
      <c r="I8476" s="18" t="str">
        <f>IFERROR(__xludf.DUMMYFUNCTION("""COMPUTED_VALUE"""),"52.5")</f>
        <v>52.5</v>
      </c>
      <c r="J8476" s="18">
        <f>IFERROR(__xludf.DUMMYFUNCTION("""COMPUTED_VALUE"""),55.0)</f>
        <v>55</v>
      </c>
      <c r="K8476" s="18">
        <f>IFERROR(__xludf.DUMMYFUNCTION("""COMPUTED_VALUE"""),45.0)</f>
        <v>45</v>
      </c>
      <c r="L8476" s="17">
        <f>IFERROR(__xludf.DUMMYFUNCTION("""COMPUTED_VALUE"""),3.237985249E9)</f>
        <v>3237985249</v>
      </c>
      <c r="M8476" s="17"/>
      <c r="N8476" s="17"/>
      <c r="O8476" s="17"/>
      <c r="P8476" s="17" t="b">
        <f>IFERROR(__xludf.DUMMYFUNCTION("""COMPUTED_VALUE"""),FALSE)</f>
        <v>0</v>
      </c>
      <c r="Q8476" s="20" t="str">
        <f>IFERROR(__xludf.DUMMYFUNCTION("""COMPUTED_VALUE"""),"")</f>
        <v/>
      </c>
      <c r="R8476" s="21" t="str">
        <f>IFERROR(__xludf.DUMMYFUNCTION("""COMPUTED_VALUE"""),"https://drive.google.com/file/d/1KmZHXfj_7RQ9cFCBYF5AhrzNOJykLmps/view?usp=drivesdk")</f>
        <v>https://drive.google.com/file/d/1KmZHXfj_7RQ9cFCBYF5AhrzNOJykLmps/view?usp=drivesdk</v>
      </c>
    </row>
    <row r="8477">
      <c r="A8477" s="15">
        <f>IFERROR(__xludf.DUMMYFUNCTION("""COMPUTED_VALUE"""),45240.0)</f>
        <v>45240</v>
      </c>
      <c r="B8477" s="16" t="str">
        <f>IFERROR(__xludf.DUMMYFUNCTION("""COMPUTED_VALUE"""),"Envia")</f>
        <v>Envia</v>
      </c>
      <c r="C8477" s="15" t="str">
        <f>IFERROR(__xludf.DUMMYFUNCTION("""COMPUTED_VALUE"""),"POPAYAN")</f>
        <v>POPAYAN</v>
      </c>
      <c r="D8477" s="15" t="str">
        <f>IFERROR(__xludf.DUMMYFUNCTION("""COMPUTED_VALUE"""),"ENVIGADO")</f>
        <v>ENVIGADO</v>
      </c>
      <c r="E8477" s="15" t="str">
        <f>IFERROR(__xludf.DUMMYFUNCTION("""COMPUTED_VALUE"""),"JUAN CAMILO CORDOBA")</f>
        <v>JUAN CAMILO CORDOBA</v>
      </c>
      <c r="F8477" s="17" t="str">
        <f>IFERROR(__xludf.DUMMYFUNCTION("""COMPUTED_VALUE"""),"Carrera 9 # 18N - 239 / Local 4 Terrazas del norte")</f>
        <v>Carrera 9 # 18N - 239 / Local 4 Terrazas del norte</v>
      </c>
      <c r="G8477" s="15" t="str">
        <f>IFERROR(__xludf.DUMMYFUNCTION("""COMPUTED_VALUE"""),"Vitafit")</f>
        <v>Vitafit</v>
      </c>
      <c r="H8477" s="16">
        <f>IFERROR(__xludf.DUMMYFUNCTION("""COMPUTED_VALUE"""),17161.0)</f>
        <v>17161</v>
      </c>
      <c r="I8477" s="17"/>
      <c r="J8477" s="17"/>
      <c r="K8477" s="17"/>
      <c r="L8477" s="17">
        <f>IFERROR(__xludf.DUMMYFUNCTION("""COMPUTED_VALUE"""),3.017324093E9)</f>
        <v>3017324093</v>
      </c>
      <c r="M8477" s="17"/>
      <c r="N8477" s="17"/>
      <c r="O8477" s="17"/>
      <c r="P8477" s="17" t="b">
        <f>IFERROR(__xludf.DUMMYFUNCTION("""COMPUTED_VALUE"""),FALSE)</f>
        <v>0</v>
      </c>
      <c r="Q8477" s="20" t="str">
        <f>IFERROR(__xludf.DUMMYFUNCTION("""COMPUTED_VALUE"""),"")</f>
        <v/>
      </c>
      <c r="R8477" s="22" t="str">
        <f>IFERROR(__xludf.DUMMYFUNCTION("""COMPUTED_VALUE"""),"")</f>
        <v/>
      </c>
    </row>
    <row r="8478">
      <c r="A8478" s="15">
        <f>IFERROR(__xludf.DUMMYFUNCTION("""COMPUTED_VALUE"""),45240.0)</f>
        <v>45240</v>
      </c>
      <c r="B8478" s="16" t="str">
        <f>IFERROR(__xludf.DUMMYFUNCTION("""COMPUTED_VALUE"""),"Envia")</f>
        <v>Envia</v>
      </c>
      <c r="C8478" s="15" t="str">
        <f>IFERROR(__xludf.DUMMYFUNCTION("""COMPUTED_VALUE"""),"SANTA MARTA")</f>
        <v>SANTA MARTA</v>
      </c>
      <c r="D8478" s="15" t="str">
        <f>IFERROR(__xludf.DUMMYFUNCTION("""COMPUTED_VALUE"""),"MEDELLÍN")</f>
        <v>MEDELLÍN</v>
      </c>
      <c r="E8478" s="15" t="str">
        <f>IFERROR(__xludf.DUMMYFUNCTION("""COMPUTED_VALUE"""),"HELADERIA MAGDA")</f>
        <v>HELADERIA MAGDA</v>
      </c>
      <c r="F8478" s="17" t="str">
        <f>IFERROR(__xludf.DUMMYFUNCTION("""COMPUTED_VALUE"""),"CALLE 22 #6-82 / PLAZUELA 22 LOCAL 27")</f>
        <v>CALLE 22 #6-82 / PLAZUELA 22 LOCAL 27</v>
      </c>
      <c r="G8478" s="15" t="str">
        <f>IFERROR(__xludf.DUMMYFUNCTION("""COMPUTED_VALUE"""),"HELADERIA MAGDA SANTA MARTA")</f>
        <v>HELADERIA MAGDA SANTA MARTA</v>
      </c>
      <c r="H8478" s="16">
        <f>IFERROR(__xludf.DUMMYFUNCTION("""COMPUTED_VALUE"""),17139.0)</f>
        <v>17139</v>
      </c>
      <c r="I8478" s="17"/>
      <c r="J8478" s="17"/>
      <c r="K8478" s="17"/>
      <c r="L8478" s="17">
        <f>IFERROR(__xludf.DUMMYFUNCTION("""COMPUTED_VALUE"""),3.054269156E9)</f>
        <v>3054269156</v>
      </c>
      <c r="M8478" s="17"/>
      <c r="N8478" s="17"/>
      <c r="O8478" s="17"/>
      <c r="P8478" s="17" t="b">
        <f>IFERROR(__xludf.DUMMYFUNCTION("""COMPUTED_VALUE"""),FALSE)</f>
        <v>0</v>
      </c>
      <c r="Q8478" s="20" t="str">
        <f>IFERROR(__xludf.DUMMYFUNCTION("""COMPUTED_VALUE"""),"")</f>
        <v/>
      </c>
      <c r="R8478" s="21" t="str">
        <f>IFERROR(__xludf.DUMMYFUNCTION("""COMPUTED_VALUE"""),"https://drive.google.com/file/d/1CKHt3zPqyswr3zBN8W8se_XaXRwjox1q/view?usp=drivesdk")</f>
        <v>https://drive.google.com/file/d/1CKHt3zPqyswr3zBN8W8se_XaXRwjox1q/view?usp=drivesdk</v>
      </c>
    </row>
    <row r="8479">
      <c r="A8479" s="15">
        <f>IFERROR(__xludf.DUMMYFUNCTION("""COMPUTED_VALUE"""),45240.0)</f>
        <v>45240</v>
      </c>
      <c r="B8479" s="16" t="str">
        <f>IFERROR(__xludf.DUMMYFUNCTION("""COMPUTED_VALUE"""),"Envia")</f>
        <v>Envia</v>
      </c>
      <c r="C8479" s="15" t="str">
        <f>IFERROR(__xludf.DUMMYFUNCTION("""COMPUTED_VALUE"""),"VILLAVICENCIO")</f>
        <v>VILLAVICENCIO</v>
      </c>
      <c r="D8479" s="15" t="str">
        <f>IFERROR(__xludf.DUMMYFUNCTION("""COMPUTED_VALUE"""),"MEDELLÍN")</f>
        <v>MEDELLÍN</v>
      </c>
      <c r="E8479" s="15" t="str">
        <f>IFERROR(__xludf.DUMMYFUNCTION("""COMPUTED_VALUE"""),"AREPAS LA MARY")</f>
        <v>AREPAS LA MARY</v>
      </c>
      <c r="F8479" s="17" t="str">
        <f>IFERROR(__xludf.DUMMYFUNCTION("""COMPUTED_VALUE"""),"CALLE 27 N 44-04 / LOCAL 5")</f>
        <v>CALLE 27 N 44-04 / LOCAL 5</v>
      </c>
      <c r="G8479" s="15" t="str">
        <f>IFERROR(__xludf.DUMMYFUNCTION("""COMPUTED_VALUE"""),"MORINGA")</f>
        <v>MORINGA</v>
      </c>
      <c r="H8479" s="16">
        <f>IFERROR(__xludf.DUMMYFUNCTION("""COMPUTED_VALUE"""),17014.0)</f>
        <v>17014</v>
      </c>
      <c r="I8479" s="18">
        <f>IFERROR(__xludf.DUMMYFUNCTION("""COMPUTED_VALUE"""),89.0)</f>
        <v>89</v>
      </c>
      <c r="J8479" s="18">
        <f>IFERROR(__xludf.DUMMYFUNCTION("""COMPUTED_VALUE"""),1.0)</f>
        <v>1</v>
      </c>
      <c r="K8479" s="18">
        <f>IFERROR(__xludf.DUMMYFUNCTION("""COMPUTED_VALUE"""),10.0)</f>
        <v>10</v>
      </c>
      <c r="L8479" s="17">
        <f>IFERROR(__xludf.DUMMYFUNCTION("""COMPUTED_VALUE"""),3.124540005E9)</f>
        <v>3124540005</v>
      </c>
      <c r="M8479" s="17"/>
      <c r="N8479" s="17"/>
      <c r="O8479" s="17"/>
      <c r="P8479" s="17" t="b">
        <f>IFERROR(__xludf.DUMMYFUNCTION("""COMPUTED_VALUE"""),FALSE)</f>
        <v>0</v>
      </c>
      <c r="Q8479" s="20" t="str">
        <f>IFERROR(__xludf.DUMMYFUNCTION("""COMPUTED_VALUE"""),"")</f>
        <v/>
      </c>
      <c r="R8479" s="21" t="str">
        <f>IFERROR(__xludf.DUMMYFUNCTION("""COMPUTED_VALUE"""),"https://drive.google.com/file/d/1niUVt521bqakYkU-bQSUhn8Eo50KcKnT/view?usp=drivesdk")</f>
        <v>https://drive.google.com/file/d/1niUVt521bqakYkU-bQSUhn8Eo50KcKnT/view?usp=drivesdk</v>
      </c>
    </row>
    <row r="8480">
      <c r="A8480" s="17" t="str">
        <f>IFERROR(__xludf.DUMMYFUNCTION("""COMPUTED_VALUE"""),"")</f>
        <v/>
      </c>
      <c r="B8480" s="17" t="str">
        <f>IFERROR(__xludf.DUMMYFUNCTION("""COMPUTED_VALUE"""),"")</f>
        <v/>
      </c>
      <c r="C8480" s="17" t="str">
        <f>IFERROR(__xludf.DUMMYFUNCTION("""COMPUTED_VALUE"""),"")</f>
        <v/>
      </c>
      <c r="D8480" s="17" t="str">
        <f>IFERROR(__xludf.DUMMYFUNCTION("""COMPUTED_VALUE"""),"")</f>
        <v/>
      </c>
      <c r="E8480" s="17" t="str">
        <f>IFERROR(__xludf.DUMMYFUNCTION("""COMPUTED_VALUE"""),"")</f>
        <v/>
      </c>
      <c r="F8480" s="17" t="str">
        <f>IFERROR(__xludf.DUMMYFUNCTION("""COMPUTED_VALUE"""),"")</f>
        <v/>
      </c>
      <c r="G8480" s="17" t="str">
        <f>IFERROR(__xludf.DUMMYFUNCTION("""COMPUTED_VALUE"""),"")</f>
        <v/>
      </c>
      <c r="H8480" s="17" t="str">
        <f>IFERROR(__xludf.DUMMYFUNCTION("""COMPUTED_VALUE"""),"")</f>
        <v/>
      </c>
      <c r="I8480" s="17" t="str">
        <f>IFERROR(__xludf.DUMMYFUNCTION("""COMPUTED_VALUE"""),"")</f>
        <v/>
      </c>
      <c r="J8480" s="17" t="str">
        <f>IFERROR(__xludf.DUMMYFUNCTION("""COMPUTED_VALUE"""),"")</f>
        <v/>
      </c>
      <c r="K8480" s="17" t="str">
        <f>IFERROR(__xludf.DUMMYFUNCTION("""COMPUTED_VALUE"""),"")</f>
        <v/>
      </c>
      <c r="L8480" s="17" t="str">
        <f>IFERROR(__xludf.DUMMYFUNCTION("""COMPUTED_VALUE"""),"")</f>
        <v/>
      </c>
      <c r="M8480" s="17" t="str">
        <f>IFERROR(__xludf.DUMMYFUNCTION("""COMPUTED_VALUE"""),"")</f>
        <v/>
      </c>
      <c r="N8480" s="17" t="str">
        <f>IFERROR(__xludf.DUMMYFUNCTION("""COMPUTED_VALUE"""),"")</f>
        <v/>
      </c>
      <c r="O8480" s="17" t="str">
        <f>IFERROR(__xludf.DUMMYFUNCTION("""COMPUTED_VALUE"""),"")</f>
        <v/>
      </c>
      <c r="P8480" s="17" t="str">
        <f>IFERROR(__xludf.DUMMYFUNCTION("""COMPUTED_VALUE"""),"")</f>
        <v/>
      </c>
      <c r="Q8480" s="17" t="str">
        <f>IFERROR(__xludf.DUMMYFUNCTION("""COMPUTED_VALUE"""),"")</f>
        <v/>
      </c>
      <c r="R8480" s="17" t="str">
        <f>IFERROR(__xludf.DUMMYFUNCTION("""COMPUTED_VALUE"""),"")</f>
        <v/>
      </c>
    </row>
    <row r="8481">
      <c r="A8481" s="15">
        <f>IFERROR(__xludf.DUMMYFUNCTION("""COMPUTED_VALUE"""),45240.0)</f>
        <v>45240</v>
      </c>
      <c r="B8481" s="16" t="str">
        <f>IFERROR(__xludf.DUMMYFUNCTION("""COMPUTED_VALUE"""),"Johanna Arango Barrera")</f>
        <v>Johanna Arango Barrera</v>
      </c>
      <c r="C8481" s="15" t="str">
        <f>IFERROR(__xludf.DUMMYFUNCTION("""COMPUTED_VALUE"""),"BUCARAMANGA")</f>
        <v>BUCARAMANGA</v>
      </c>
      <c r="D8481" s="15" t="str">
        <f>IFERROR(__xludf.DUMMYFUNCTION("""COMPUTED_VALUE"""),"BOGOTÁ")</f>
        <v>BOGOTÁ</v>
      </c>
      <c r="E8481" s="15" t="str">
        <f>IFERROR(__xludf.DUMMYFUNCTION("""COMPUTED_VALUE"""),"Instinto alimento vital")</f>
        <v>Instinto alimento vital</v>
      </c>
      <c r="F8481" s="17" t="str">
        <f>IFERROR(__xludf.DUMMYFUNCTION("""COMPUTED_VALUE"""),"CL 31 30 08 / AP 501")</f>
        <v>CL 31 30 08 / AP 501</v>
      </c>
      <c r="G8481" s="15" t="str">
        <f>IFERROR(__xludf.DUMMYFUNCTION("""COMPUTED_VALUE"""),"LARRY ALBERTO LOPEZ MACANA")</f>
        <v>LARRY ALBERTO LOPEZ MACANA</v>
      </c>
      <c r="H8481" s="16">
        <f>IFERROR(__xludf.DUMMYFUNCTION("""COMPUTED_VALUE"""),17164.0)</f>
        <v>17164</v>
      </c>
      <c r="I8481" s="17"/>
      <c r="J8481" s="17"/>
      <c r="K8481" s="17"/>
      <c r="L8481" s="17">
        <f>IFERROR(__xludf.DUMMYFUNCTION("""COMPUTED_VALUE"""),3.185709801E9)</f>
        <v>3185709801</v>
      </c>
      <c r="M8481" s="17"/>
      <c r="N8481" s="17"/>
      <c r="O8481" s="17"/>
      <c r="P8481" s="17" t="b">
        <f>IFERROR(__xludf.DUMMYFUNCTION("""COMPUTED_VALUE"""),FALSE)</f>
        <v>0</v>
      </c>
      <c r="Q8481" s="20" t="str">
        <f>IFERROR(__xludf.DUMMYFUNCTION("""COMPUTED_VALUE"""),"")</f>
        <v/>
      </c>
      <c r="R8481" s="21" t="str">
        <f>IFERROR(__xludf.DUMMYFUNCTION("""COMPUTED_VALUE"""),"https://drive.google.com/file/d/1H4_tg8mHu7TOwPmT9B_93iK1RHKbbgvq/view?usp=drivesdk")</f>
        <v>https://drive.google.com/file/d/1H4_tg8mHu7TOwPmT9B_93iK1RHKbbgvq/view?usp=drivesdk</v>
      </c>
    </row>
    <row r="8482">
      <c r="A8482" s="15">
        <f>IFERROR(__xludf.DUMMYFUNCTION("""COMPUTED_VALUE"""),45240.0)</f>
        <v>45240</v>
      </c>
      <c r="B8482" s="16" t="str">
        <f>IFERROR(__xludf.DUMMYFUNCTION("""COMPUTED_VALUE"""),"Johanna Arango Barrera")</f>
        <v>Johanna Arango Barrera</v>
      </c>
      <c r="C8482" s="15" t="str">
        <f>IFERROR(__xludf.DUMMYFUNCTION("""COMPUTED_VALUE"""),"BUCARAMANGA")</f>
        <v>BUCARAMANGA</v>
      </c>
      <c r="D8482" s="15" t="str">
        <f>IFERROR(__xludf.DUMMYFUNCTION("""COMPUTED_VALUE"""),"BOGOTÁ")</f>
        <v>BOGOTÁ</v>
      </c>
      <c r="E8482" s="15" t="str">
        <f>IFERROR(__xludf.DUMMYFUNCTION("""COMPUTED_VALUE"""),"Instinto alimento vital")</f>
        <v>Instinto alimento vital</v>
      </c>
      <c r="F8482" s="17" t="str">
        <f>IFERROR(__xludf.DUMMYFUNCTION("""COMPUTED_VALUE"""),"CRA 48 N 30 21 / TORRE 1 APT 204")</f>
        <v>CRA 48 N 30 21 / TORRE 1 APT 204</v>
      </c>
      <c r="G8482" s="15" t="str">
        <f>IFERROR(__xludf.DUMMYFUNCTION("""COMPUTED_VALUE"""),"LEIDY CATERINE PATIÑO RODRIGUEZ")</f>
        <v>LEIDY CATERINE PATIÑO RODRIGUEZ</v>
      </c>
      <c r="H8482" s="16">
        <f>IFERROR(__xludf.DUMMYFUNCTION("""COMPUTED_VALUE"""),17185.0)</f>
        <v>17185</v>
      </c>
      <c r="I8482" s="17"/>
      <c r="J8482" s="17"/>
      <c r="K8482" s="17"/>
      <c r="L8482" s="17">
        <f>IFERROR(__xludf.DUMMYFUNCTION("""COMPUTED_VALUE"""),3.132936789E9)</f>
        <v>3132936789</v>
      </c>
      <c r="M8482" s="17"/>
      <c r="N8482" s="17"/>
      <c r="O8482" s="17"/>
      <c r="P8482" s="17" t="b">
        <f>IFERROR(__xludf.DUMMYFUNCTION("""COMPUTED_VALUE"""),TRUE)</f>
        <v>1</v>
      </c>
      <c r="Q8482" s="20">
        <f>IFERROR(__xludf.DUMMYFUNCTION("""COMPUTED_VALUE"""),45240.610104374995)</f>
        <v>45240.6101</v>
      </c>
      <c r="R8482" s="21" t="str">
        <f>IFERROR(__xludf.DUMMYFUNCTION("""COMPUTED_VALUE"""),"https://drive.google.com/file/d/1tQRierGIEobOtEcTV3AHgduU4Xxz340o/view?usp=drivesdk")</f>
        <v>https://drive.google.com/file/d/1tQRierGIEobOtEcTV3AHgduU4Xxz340o/view?usp=drivesdk</v>
      </c>
    </row>
    <row r="8483">
      <c r="A8483" s="15">
        <f>IFERROR(__xludf.DUMMYFUNCTION("""COMPUTED_VALUE"""),45240.0)</f>
        <v>45240</v>
      </c>
      <c r="B8483" s="16" t="str">
        <f>IFERROR(__xludf.DUMMYFUNCTION("""COMPUTED_VALUE"""),"Johanna Arango Barrera")</f>
        <v>Johanna Arango Barrera</v>
      </c>
      <c r="C8483" s="15" t="str">
        <f>IFERROR(__xludf.DUMMYFUNCTION("""COMPUTED_VALUE"""),"BUCARAMANGA")</f>
        <v>BUCARAMANGA</v>
      </c>
      <c r="D8483" s="15" t="str">
        <f>IFERROR(__xludf.DUMMYFUNCTION("""COMPUTED_VALUE"""),"BOGOTÁ")</f>
        <v>BOGOTÁ</v>
      </c>
      <c r="E8483" s="15" t="str">
        <f>IFERROR(__xludf.DUMMYFUNCTION("""COMPUTED_VALUE"""),"LINA PAOLA RAMIREZ GOMEZ - EVA MAZZITA")</f>
        <v>LINA PAOLA RAMIREZ GOMEZ - EVA MAZZITA</v>
      </c>
      <c r="F8483" s="17" t="str">
        <f>IFERROR(__xludf.DUMMYFUNCTION("""COMPUTED_VALUE"""),"AVDA. 87 No. 24 - 09 / TORRE 1 APTO 2007 CONJUNTO DIMANTI BARRIO DIAMANTE 2")</f>
        <v>AVDA. 87 No. 24 - 09 / TORRE 1 APTO 2007 CONJUNTO DIMANTI BARRIO DIAMANTE 2</v>
      </c>
      <c r="G8483" s="15" t="str">
        <f>IFERROR(__xludf.DUMMYFUNCTION("""COMPUTED_VALUE"""),"ADRIANA TRUJILLO")</f>
        <v>ADRIANA TRUJILLO</v>
      </c>
      <c r="H8483" s="16">
        <f>IFERROR(__xludf.DUMMYFUNCTION("""COMPUTED_VALUE"""),17193.0)</f>
        <v>17193</v>
      </c>
      <c r="I8483" s="17"/>
      <c r="J8483" s="17"/>
      <c r="K8483" s="17"/>
      <c r="L8483" s="17">
        <f>IFERROR(__xludf.DUMMYFUNCTION("""COMPUTED_VALUE"""),3.125405063E9)</f>
        <v>3125405063</v>
      </c>
      <c r="M8483" s="17"/>
      <c r="N8483" s="17"/>
      <c r="O8483" s="17"/>
      <c r="P8483" s="17" t="b">
        <f>IFERROR(__xludf.DUMMYFUNCTION("""COMPUTED_VALUE"""),FALSE)</f>
        <v>0</v>
      </c>
      <c r="Q8483" s="20" t="str">
        <f>IFERROR(__xludf.DUMMYFUNCTION("""COMPUTED_VALUE"""),"")</f>
        <v/>
      </c>
      <c r="R8483" s="21" t="str">
        <f>IFERROR(__xludf.DUMMYFUNCTION("""COMPUTED_VALUE"""),"https://drive.google.com/file/d/1YqCLGf77uigy_U92tWs65xWIiIk1Mva1/view?usp=drivesdk")</f>
        <v>https://drive.google.com/file/d/1YqCLGf77uigy_U92tWs65xWIiIk1Mva1/view?usp=drivesdk</v>
      </c>
    </row>
    <row r="8484">
      <c r="A8484" s="15">
        <f>IFERROR(__xludf.DUMMYFUNCTION("""COMPUTED_VALUE"""),45240.0)</f>
        <v>45240</v>
      </c>
      <c r="B8484" s="16" t="str">
        <f>IFERROR(__xludf.DUMMYFUNCTION("""COMPUTED_VALUE"""),"Johanna Arango Barrera")</f>
        <v>Johanna Arango Barrera</v>
      </c>
      <c r="C8484" s="15" t="str">
        <f>IFERROR(__xludf.DUMMYFUNCTION("""COMPUTED_VALUE"""),"BUCARAMANGA")</f>
        <v>BUCARAMANGA</v>
      </c>
      <c r="D8484" s="15" t="str">
        <f>IFERROR(__xludf.DUMMYFUNCTION("""COMPUTED_VALUE"""),"BOGOTÁ")</f>
        <v>BOGOTÁ</v>
      </c>
      <c r="E8484" s="15" t="str">
        <f>IFERROR(__xludf.DUMMYFUNCTION("""COMPUTED_VALUE"""),"LINA PAOLA RAMIREZ GOMEZ - EVA MAZZITA")</f>
        <v>LINA PAOLA RAMIREZ GOMEZ - EVA MAZZITA</v>
      </c>
      <c r="F8484" s="17" t="str">
        <f>IFERROR(__xludf.DUMMYFUNCTION("""COMPUTED_VALUE"""),"CALLE 10 No. 34-49 / CONDOMINIO BOSQUE DE PINOS TORRE 2 APTO 403")</f>
        <v>CALLE 10 No. 34-49 / CONDOMINIO BOSQUE DE PINOS TORRE 2 APTO 403</v>
      </c>
      <c r="G8484" s="15" t="str">
        <f>IFERROR(__xludf.DUMMYFUNCTION("""COMPUTED_VALUE"""),"LAURA VARGAS")</f>
        <v>LAURA VARGAS</v>
      </c>
      <c r="H8484" s="16">
        <f>IFERROR(__xludf.DUMMYFUNCTION("""COMPUTED_VALUE"""),17196.0)</f>
        <v>17196</v>
      </c>
      <c r="I8484" s="17"/>
      <c r="J8484" s="17"/>
      <c r="K8484" s="17"/>
      <c r="L8484" s="17">
        <f>IFERROR(__xludf.DUMMYFUNCTION("""COMPUTED_VALUE"""),3.043568124E9)</f>
        <v>3043568124</v>
      </c>
      <c r="M8484" s="17"/>
      <c r="N8484" s="17"/>
      <c r="O8484" s="17"/>
      <c r="P8484" s="17" t="b">
        <f>IFERROR(__xludf.DUMMYFUNCTION("""COMPUTED_VALUE"""),TRUE)</f>
        <v>1</v>
      </c>
      <c r="Q8484" s="20">
        <f>IFERROR(__xludf.DUMMYFUNCTION("""COMPUTED_VALUE"""),45240.641596284724)</f>
        <v>45240.6416</v>
      </c>
      <c r="R8484" s="21" t="str">
        <f>IFERROR(__xludf.DUMMYFUNCTION("""COMPUTED_VALUE"""),"https://drive.google.com/file/d/1RQ2-g0fdLh7ihaVP0pa98LH5KA1CPciU/view?usp=drivesdk")</f>
        <v>https://drive.google.com/file/d/1RQ2-g0fdLh7ihaVP0pa98LH5KA1CPciU/view?usp=drivesdk</v>
      </c>
    </row>
    <row r="8485">
      <c r="A8485" s="15">
        <f>IFERROR(__xludf.DUMMYFUNCTION("""COMPUTED_VALUE"""),45240.0)</f>
        <v>45240</v>
      </c>
      <c r="B8485" s="16" t="str">
        <f>IFERROR(__xludf.DUMMYFUNCTION("""COMPUTED_VALUE"""),"Johanna Arango Barrera")</f>
        <v>Johanna Arango Barrera</v>
      </c>
      <c r="C8485" s="15" t="str">
        <f>IFERROR(__xludf.DUMMYFUNCTION("""COMPUTED_VALUE"""),"BUCARAMANGA")</f>
        <v>BUCARAMANGA</v>
      </c>
      <c r="D8485" s="15" t="str">
        <f>IFERROR(__xludf.DUMMYFUNCTION("""COMPUTED_VALUE"""),"BOGOTÁ")</f>
        <v>BOGOTÁ</v>
      </c>
      <c r="E8485" s="15" t="str">
        <f>IFERROR(__xludf.DUMMYFUNCTION("""COMPUTED_VALUE"""),"LINA PAOLA RAMIREZ GOMEZ - EVA MAZZITA")</f>
        <v>LINA PAOLA RAMIREZ GOMEZ - EVA MAZZITA</v>
      </c>
      <c r="F8485" s="17" t="str">
        <f>IFERROR(__xludf.DUMMYFUNCTION("""COMPUTED_VALUE"""),"CR 31 # 40 66 / MEJORAS PUBLICAS BUCARAMANGA")</f>
        <v>CR 31 # 40 66 / MEJORAS PUBLICAS BUCARAMANGA</v>
      </c>
      <c r="G8485" s="15" t="str">
        <f>IFERROR(__xludf.DUMMYFUNCTION("""COMPUTED_VALUE"""),"JEIMY KATERINE ARENAS DAZA")</f>
        <v>JEIMY KATERINE ARENAS DAZA</v>
      </c>
      <c r="H8485" s="16">
        <f>IFERROR(__xludf.DUMMYFUNCTION("""COMPUTED_VALUE"""),17194.0)</f>
        <v>17194</v>
      </c>
      <c r="I8485" s="17"/>
      <c r="J8485" s="17"/>
      <c r="K8485" s="17"/>
      <c r="L8485" s="17">
        <f>IFERROR(__xludf.DUMMYFUNCTION("""COMPUTED_VALUE"""),3.182898252E9)</f>
        <v>3182898252</v>
      </c>
      <c r="M8485" s="17"/>
      <c r="N8485" s="17"/>
      <c r="O8485" s="17"/>
      <c r="P8485" s="17" t="b">
        <f>IFERROR(__xludf.DUMMYFUNCTION("""COMPUTED_VALUE"""),TRUE)</f>
        <v>1</v>
      </c>
      <c r="Q8485" s="20">
        <f>IFERROR(__xludf.DUMMYFUNCTION("""COMPUTED_VALUE"""),45240.64165347222)</f>
        <v>45240.64165</v>
      </c>
      <c r="R8485" s="21" t="str">
        <f>IFERROR(__xludf.DUMMYFUNCTION("""COMPUTED_VALUE"""),"https://drive.google.com/file/d/1bxJrAatSutBpFxOBC_0tiji2rQY6Sahh/view?usp=drivesdk")</f>
        <v>https://drive.google.com/file/d/1bxJrAatSutBpFxOBC_0tiji2rQY6Sahh/view?usp=drivesdk</v>
      </c>
    </row>
    <row r="8486">
      <c r="A8486" s="15">
        <f>IFERROR(__xludf.DUMMYFUNCTION("""COMPUTED_VALUE"""),45240.0)</f>
        <v>45240</v>
      </c>
      <c r="B8486" s="16" t="str">
        <f>IFERROR(__xludf.DUMMYFUNCTION("""COMPUTED_VALUE"""),"Johanna Arango Barrera")</f>
        <v>Johanna Arango Barrera</v>
      </c>
      <c r="C8486" s="15" t="str">
        <f>IFERROR(__xludf.DUMMYFUNCTION("""COMPUTED_VALUE"""),"PEREIRA")</f>
        <v>PEREIRA</v>
      </c>
      <c r="D8486" s="15" t="str">
        <f>IFERROR(__xludf.DUMMYFUNCTION("""COMPUTED_VALUE"""),"MEDELLÍN")</f>
        <v>MEDELLÍN</v>
      </c>
      <c r="E8486" s="15" t="str">
        <f>IFERROR(__xludf.DUMMYFUNCTION("""COMPUTED_VALUE"""),"AREPAS LA MARY")</f>
        <v>AREPAS LA MARY</v>
      </c>
      <c r="F8486" s="17" t="str">
        <f>IFERROR(__xludf.DUMMYFUNCTION("""COMPUTED_VALUE"""),"CALLE 14 # 14-15")</f>
        <v>CALLE 14 # 14-15</v>
      </c>
      <c r="G8486" s="15" t="str">
        <f>IFERROR(__xludf.DUMMYFUNCTION("""COMPUTED_VALUE"""),"MAJANA FIT TIENDA 1")</f>
        <v>MAJANA FIT TIENDA 1</v>
      </c>
      <c r="H8486" s="16">
        <f>IFERROR(__xludf.DUMMYFUNCTION("""COMPUTED_VALUE"""),17168.0)</f>
        <v>17168</v>
      </c>
      <c r="I8486" s="18" t="str">
        <f>IFERROR(__xludf.DUMMYFUNCTION("""COMPUTED_VALUE"""),"52.5")</f>
        <v>52.5</v>
      </c>
      <c r="J8486" s="18">
        <f>IFERROR(__xludf.DUMMYFUNCTION("""COMPUTED_VALUE"""),45.0)</f>
        <v>45</v>
      </c>
      <c r="K8486" s="18">
        <f>IFERROR(__xludf.DUMMYFUNCTION("""COMPUTED_VALUE"""),55.0)</f>
        <v>55</v>
      </c>
      <c r="L8486" s="17" t="str">
        <f>IFERROR(__xludf.DUMMYFUNCTION("""COMPUTED_VALUE"""),"311 6123447")</f>
        <v>311 6123447</v>
      </c>
      <c r="M8486" s="17"/>
      <c r="N8486" s="17"/>
      <c r="O8486" s="17"/>
      <c r="P8486" s="17" t="b">
        <f>IFERROR(__xludf.DUMMYFUNCTION("""COMPUTED_VALUE"""),TRUE)</f>
        <v>1</v>
      </c>
      <c r="Q8486" s="20">
        <f>IFERROR(__xludf.DUMMYFUNCTION("""COMPUTED_VALUE"""),45245.91441703704)</f>
        <v>45245.91442</v>
      </c>
      <c r="R8486" s="21" t="str">
        <f>IFERROR(__xludf.DUMMYFUNCTION("""COMPUTED_VALUE"""),"https://drive.google.com/file/d/1Wa1ZJ6MWy8W5dqRYJhtW6EnB_YgBb--P/view?usp=drivesdk")</f>
        <v>https://drive.google.com/file/d/1Wa1ZJ6MWy8W5dqRYJhtW6EnB_YgBb--P/view?usp=drivesdk</v>
      </c>
    </row>
    <row r="8487">
      <c r="A8487" s="15">
        <f>IFERROR(__xludf.DUMMYFUNCTION("""COMPUTED_VALUE"""),45240.0)</f>
        <v>45240</v>
      </c>
      <c r="B8487" s="16" t="str">
        <f>IFERROR(__xludf.DUMMYFUNCTION("""COMPUTED_VALUE"""),"Johanna Arango Barrera")</f>
        <v>Johanna Arango Barrera</v>
      </c>
      <c r="C8487" s="15" t="str">
        <f>IFERROR(__xludf.DUMMYFUNCTION("""COMPUTED_VALUE"""),"PEREIRA")</f>
        <v>PEREIRA</v>
      </c>
      <c r="D8487" s="15" t="str">
        <f>IFERROR(__xludf.DUMMYFUNCTION("""COMPUTED_VALUE"""),"MEDELLÍN")</f>
        <v>MEDELLÍN</v>
      </c>
      <c r="E8487" s="15" t="str">
        <f>IFERROR(__xludf.DUMMYFUNCTION("""COMPUTED_VALUE"""),"AREPAS LA MARY")</f>
        <v>AREPAS LA MARY</v>
      </c>
      <c r="F8487" s="17" t="str">
        <f>IFERROR(__xludf.DUMMYFUNCTION("""COMPUTED_VALUE"""),"CRA 14 N.12 55 CIRCUNVALAR / LOCAL")</f>
        <v>CRA 14 N.12 55 CIRCUNVALAR / LOCAL</v>
      </c>
      <c r="G8487" s="15" t="str">
        <f>IFERROR(__xludf.DUMMYFUNCTION("""COMPUTED_VALUE"""),"VITAECO MARKET")</f>
        <v>VITAECO MARKET</v>
      </c>
      <c r="H8487" s="16">
        <f>IFERROR(__xludf.DUMMYFUNCTION("""COMPUTED_VALUE"""),17210.0)</f>
        <v>17210</v>
      </c>
      <c r="I8487" s="18">
        <f>IFERROR(__xludf.DUMMYFUNCTION("""COMPUTED_VALUE"""),89.0)</f>
        <v>89</v>
      </c>
      <c r="J8487" s="18">
        <f>IFERROR(__xludf.DUMMYFUNCTION("""COMPUTED_VALUE"""),1.0)</f>
        <v>1</v>
      </c>
      <c r="K8487" s="18">
        <f>IFERROR(__xludf.DUMMYFUNCTION("""COMPUTED_VALUE"""),10.0)</f>
        <v>10</v>
      </c>
      <c r="L8487" s="17" t="str">
        <f>IFERROR(__xludf.DUMMYFUNCTION("""COMPUTED_VALUE"""),"314 6455280")</f>
        <v>314 6455280</v>
      </c>
      <c r="M8487" s="17"/>
      <c r="N8487" s="17"/>
      <c r="O8487" s="17"/>
      <c r="P8487" s="17" t="b">
        <f>IFERROR(__xludf.DUMMYFUNCTION("""COMPUTED_VALUE"""),TRUE)</f>
        <v>1</v>
      </c>
      <c r="Q8487" s="20">
        <f>IFERROR(__xludf.DUMMYFUNCTION("""COMPUTED_VALUE"""),45245.67608567129)</f>
        <v>45245.67609</v>
      </c>
      <c r="R8487" s="21" t="str">
        <f>IFERROR(__xludf.DUMMYFUNCTION("""COMPUTED_VALUE"""),"https://drive.google.com/file/d/1m7OW9ZzTH3jevXKmtT2BDv7O0RAfibj4/view?usp=drivesdk")</f>
        <v>https://drive.google.com/file/d/1m7OW9ZzTH3jevXKmtT2BDv7O0RAfibj4/view?usp=drivesdk</v>
      </c>
    </row>
    <row r="8488">
      <c r="A8488" s="17" t="str">
        <f>IFERROR(__xludf.DUMMYFUNCTION("""COMPUTED_VALUE"""),"")</f>
        <v/>
      </c>
      <c r="B8488" s="17" t="str">
        <f>IFERROR(__xludf.DUMMYFUNCTION("""COMPUTED_VALUE"""),"")</f>
        <v/>
      </c>
      <c r="C8488" s="17" t="str">
        <f>IFERROR(__xludf.DUMMYFUNCTION("""COMPUTED_VALUE"""),"")</f>
        <v/>
      </c>
      <c r="D8488" s="17" t="str">
        <f>IFERROR(__xludf.DUMMYFUNCTION("""COMPUTED_VALUE"""),"")</f>
        <v/>
      </c>
      <c r="E8488" s="17" t="str">
        <f>IFERROR(__xludf.DUMMYFUNCTION("""COMPUTED_VALUE"""),"")</f>
        <v/>
      </c>
      <c r="F8488" s="17" t="str">
        <f>IFERROR(__xludf.DUMMYFUNCTION("""COMPUTED_VALUE"""),"")</f>
        <v/>
      </c>
      <c r="G8488" s="17" t="str">
        <f>IFERROR(__xludf.DUMMYFUNCTION("""COMPUTED_VALUE"""),"")</f>
        <v/>
      </c>
      <c r="H8488" s="17" t="str">
        <f>IFERROR(__xludf.DUMMYFUNCTION("""COMPUTED_VALUE"""),"")</f>
        <v/>
      </c>
      <c r="I8488" s="17" t="str">
        <f>IFERROR(__xludf.DUMMYFUNCTION("""COMPUTED_VALUE"""),"")</f>
        <v/>
      </c>
      <c r="J8488" s="17" t="str">
        <f>IFERROR(__xludf.DUMMYFUNCTION("""COMPUTED_VALUE"""),"")</f>
        <v/>
      </c>
      <c r="K8488" s="17" t="str">
        <f>IFERROR(__xludf.DUMMYFUNCTION("""COMPUTED_VALUE"""),"")</f>
        <v/>
      </c>
      <c r="L8488" s="17" t="str">
        <f>IFERROR(__xludf.DUMMYFUNCTION("""COMPUTED_VALUE"""),"")</f>
        <v/>
      </c>
      <c r="M8488" s="17" t="str">
        <f>IFERROR(__xludf.DUMMYFUNCTION("""COMPUTED_VALUE"""),"")</f>
        <v/>
      </c>
      <c r="N8488" s="17" t="str">
        <f>IFERROR(__xludf.DUMMYFUNCTION("""COMPUTED_VALUE"""),"")</f>
        <v/>
      </c>
      <c r="O8488" s="17" t="str">
        <f>IFERROR(__xludf.DUMMYFUNCTION("""COMPUTED_VALUE"""),"")</f>
        <v/>
      </c>
      <c r="P8488" s="17" t="str">
        <f>IFERROR(__xludf.DUMMYFUNCTION("""COMPUTED_VALUE"""),"")</f>
        <v/>
      </c>
      <c r="Q8488" s="17" t="str">
        <f>IFERROR(__xludf.DUMMYFUNCTION("""COMPUTED_VALUE"""),"")</f>
        <v/>
      </c>
      <c r="R8488" s="17" t="str">
        <f>IFERROR(__xludf.DUMMYFUNCTION("""COMPUTED_VALUE"""),"")</f>
        <v/>
      </c>
    </row>
    <row r="8489">
      <c r="A8489" s="15">
        <f>IFERROR(__xludf.DUMMYFUNCTION("""COMPUTED_VALUE"""),45240.0)</f>
        <v>45240</v>
      </c>
      <c r="B8489" s="16" t="str">
        <f>IFERROR(__xludf.DUMMYFUNCTION("""COMPUTED_VALUE"""),"JOSE ALFREDO RAMIREZ VERGARA ")</f>
        <v>JOSE ALFREDO RAMIREZ VERGARA </v>
      </c>
      <c r="C8489" s="15" t="str">
        <f>IFERROR(__xludf.DUMMYFUNCTION("""COMPUTED_VALUE"""),"BOGOTÁ")</f>
        <v>BOGOTÁ</v>
      </c>
      <c r="D8489" s="15" t="str">
        <f>IFERROR(__xludf.DUMMYFUNCTION("""COMPUTED_VALUE"""),"BOGOTÁ")</f>
        <v>BOGOTÁ</v>
      </c>
      <c r="E8489" s="15" t="str">
        <f>IFERROR(__xludf.DUMMYFUNCTION("""COMPUTED_VALUE"""),"Felicidad Bakery")</f>
        <v>Felicidad Bakery</v>
      </c>
      <c r="F8489" s="17" t="str">
        <f>IFERROR(__xludf.DUMMYFUNCTION("""COMPUTED_VALUE"""),"cra 94 #6c 30 local 58 / cc ciudad tintal / Local 58")</f>
        <v>cra 94 #6c 30 local 58 / cc ciudad tintal / Local 58</v>
      </c>
      <c r="G8489" s="15" t="str">
        <f>IFERROR(__xludf.DUMMYFUNCTION("""COMPUTED_VALUE"""),"Diana Paola Valencia")</f>
        <v>Diana Paola Valencia</v>
      </c>
      <c r="H8489" s="16">
        <f>IFERROR(__xludf.DUMMYFUNCTION("""COMPUTED_VALUE"""),17179.0)</f>
        <v>17179</v>
      </c>
      <c r="I8489" s="18">
        <f>IFERROR(__xludf.DUMMYFUNCTION("""COMPUTED_VALUE"""),55.0)</f>
        <v>55</v>
      </c>
      <c r="J8489" s="18">
        <f>IFERROR(__xludf.DUMMYFUNCTION("""COMPUTED_VALUE"""),45.0)</f>
        <v>45</v>
      </c>
      <c r="K8489" s="18">
        <f>IFERROR(__xludf.DUMMYFUNCTION("""COMPUTED_VALUE"""),29.0)</f>
        <v>29</v>
      </c>
      <c r="L8489" s="17">
        <f>IFERROR(__xludf.DUMMYFUNCTION("""COMPUTED_VALUE"""),3.103003054E9)</f>
        <v>3103003054</v>
      </c>
      <c r="M8489" s="17"/>
      <c r="N8489" s="17"/>
      <c r="O8489" s="17"/>
      <c r="P8489" s="17" t="b">
        <f>IFERROR(__xludf.DUMMYFUNCTION("""COMPUTED_VALUE"""),TRUE)</f>
        <v>1</v>
      </c>
      <c r="Q8489" s="20">
        <f>IFERROR(__xludf.DUMMYFUNCTION("""COMPUTED_VALUE"""),45240.59149009259)</f>
        <v>45240.59149</v>
      </c>
      <c r="R8489" s="22" t="str">
        <f>IFERROR(__xludf.DUMMYFUNCTION("""COMPUTED_VALUE"""),"")</f>
        <v/>
      </c>
    </row>
    <row r="8490">
      <c r="A8490" s="15">
        <f>IFERROR(__xludf.DUMMYFUNCTION("""COMPUTED_VALUE"""),45240.0)</f>
        <v>45240</v>
      </c>
      <c r="B8490" s="16" t="str">
        <f>IFERROR(__xludf.DUMMYFUNCTION("""COMPUTED_VALUE"""),"JOSE ALFREDO RAMIREZ VERGARA ")</f>
        <v>JOSE ALFREDO RAMIREZ VERGARA </v>
      </c>
      <c r="C8490" s="15" t="str">
        <f>IFERROR(__xludf.DUMMYFUNCTION("""COMPUTED_VALUE"""),"BOGOTÁ")</f>
        <v>BOGOTÁ</v>
      </c>
      <c r="D8490" s="15" t="str">
        <f>IFERROR(__xludf.DUMMYFUNCTION("""COMPUTED_VALUE"""),"CALI")</f>
        <v>CALI</v>
      </c>
      <c r="E8490" s="15" t="str">
        <f>IFERROR(__xludf.DUMMYFUNCTION("""COMPUTED_VALUE"""),"Natalia Carreño")</f>
        <v>Natalia Carreño</v>
      </c>
      <c r="F8490" s="17" t="str">
        <f>IFERROR(__xludf.DUMMYFUNCTION("""COMPUTED_VALUE"""),"Carrera 27 #70-83 / Casa curuba / Los Alcázares")</f>
        <v>Carrera 27 #70-83 / Casa curuba / Los Alcázares</v>
      </c>
      <c r="G8490" s="15" t="str">
        <f>IFERROR(__xludf.DUMMYFUNCTION("""COMPUTED_VALUE"""),"Natalia Carreño")</f>
        <v>Natalia Carreño</v>
      </c>
      <c r="H8490" s="16">
        <f>IFERROR(__xludf.DUMMYFUNCTION("""COMPUTED_VALUE"""),17108.0)</f>
        <v>17108</v>
      </c>
      <c r="I8490" s="18">
        <f>IFERROR(__xludf.DUMMYFUNCTION("""COMPUTED_VALUE"""),60.0)</f>
        <v>60</v>
      </c>
      <c r="J8490" s="18">
        <f>IFERROR(__xludf.DUMMYFUNCTION("""COMPUTED_VALUE"""),60.0)</f>
        <v>60</v>
      </c>
      <c r="K8490" s="18">
        <f>IFERROR(__xludf.DUMMYFUNCTION("""COMPUTED_VALUE"""),60.0)</f>
        <v>60</v>
      </c>
      <c r="L8490" s="17">
        <f>IFERROR(__xludf.DUMMYFUNCTION("""COMPUTED_VALUE"""),3.11561131E9)</f>
        <v>3115611310</v>
      </c>
      <c r="M8490" s="17"/>
      <c r="N8490" s="17"/>
      <c r="O8490" s="17"/>
      <c r="P8490" s="17" t="b">
        <f>IFERROR(__xludf.DUMMYFUNCTION("""COMPUTED_VALUE"""),TRUE)</f>
        <v>1</v>
      </c>
      <c r="Q8490" s="20">
        <f>IFERROR(__xludf.DUMMYFUNCTION("""COMPUTED_VALUE"""),45240.66465424768)</f>
        <v>45240.66465</v>
      </c>
      <c r="R8490" s="21" t="str">
        <f>IFERROR(__xludf.DUMMYFUNCTION("""COMPUTED_VALUE"""),"https://drive.google.com/file/d/1Vbt5SLsftZBMjMNDcLnanZHKs0iws3oo/view?usp=drivesdk")</f>
        <v>https://drive.google.com/file/d/1Vbt5SLsftZBMjMNDcLnanZHKs0iws3oo/view?usp=drivesdk</v>
      </c>
    </row>
    <row r="8491">
      <c r="A8491" s="15">
        <f>IFERROR(__xludf.DUMMYFUNCTION("""COMPUTED_VALUE"""),45240.0)</f>
        <v>45240</v>
      </c>
      <c r="B8491" s="16" t="str">
        <f>IFERROR(__xludf.DUMMYFUNCTION("""COMPUTED_VALUE"""),"JOSE ALFREDO RAMIREZ VERGARA ")</f>
        <v>JOSE ALFREDO RAMIREZ VERGARA </v>
      </c>
      <c r="C8491" s="15" t="str">
        <f>IFERROR(__xludf.DUMMYFUNCTION("""COMPUTED_VALUE"""),"BOGOTÁ")</f>
        <v>BOGOTÁ</v>
      </c>
      <c r="D8491" s="15" t="str">
        <f>IFERROR(__xludf.DUMMYFUNCTION("""COMPUTED_VALUE"""),"MEDELLÍN")</f>
        <v>MEDELLÍN</v>
      </c>
      <c r="E8491" s="15" t="str">
        <f>IFERROR(__xludf.DUMMYFUNCTION("""COMPUTED_VALUE"""),"AREPAS LA MARY")</f>
        <v>AREPAS LA MARY</v>
      </c>
      <c r="F8491" s="17" t="str">
        <f>IFERROR(__xludf.DUMMYFUNCTION("""COMPUTED_VALUE"""),"calle 116#70d-06 local 105 / NIZA BOGOTA")</f>
        <v>calle 116#70d-06 local 105 / NIZA BOGOTA</v>
      </c>
      <c r="G8491" s="15" t="str">
        <f>IFERROR(__xludf.DUMMYFUNCTION("""COMPUTED_VALUE"""),"NANCY DIONISIO")</f>
        <v>NANCY DIONISIO</v>
      </c>
      <c r="H8491" s="16">
        <f>IFERROR(__xludf.DUMMYFUNCTION("""COMPUTED_VALUE"""),17200.0)</f>
        <v>17200</v>
      </c>
      <c r="I8491" s="18">
        <f>IFERROR(__xludf.DUMMYFUNCTION("""COMPUTED_VALUE"""),89.0)</f>
        <v>89</v>
      </c>
      <c r="J8491" s="18">
        <f>IFERROR(__xludf.DUMMYFUNCTION("""COMPUTED_VALUE"""),1.0)</f>
        <v>1</v>
      </c>
      <c r="K8491" s="18">
        <f>IFERROR(__xludf.DUMMYFUNCTION("""COMPUTED_VALUE"""),10.0)</f>
        <v>10</v>
      </c>
      <c r="L8491" s="17">
        <f>IFERROR(__xludf.DUMMYFUNCTION("""COMPUTED_VALUE"""),3.102692395E9)</f>
        <v>3102692395</v>
      </c>
      <c r="M8491" s="17"/>
      <c r="N8491" s="17"/>
      <c r="O8491" s="17"/>
      <c r="P8491" s="17" t="b">
        <f>IFERROR(__xludf.DUMMYFUNCTION("""COMPUTED_VALUE"""),FALSE)</f>
        <v>0</v>
      </c>
      <c r="Q8491" s="20" t="str">
        <f>IFERROR(__xludf.DUMMYFUNCTION("""COMPUTED_VALUE"""),"")</f>
        <v/>
      </c>
      <c r="R8491" s="21" t="str">
        <f>IFERROR(__xludf.DUMMYFUNCTION("""COMPUTED_VALUE"""),"https://drive.google.com/file/d/1hOJYrMGf5Uw3wmgkHhjf1PVEVA8gDp0_/view?usp=drivesdk")</f>
        <v>https://drive.google.com/file/d/1hOJYrMGf5Uw3wmgkHhjf1PVEVA8gDp0_/view?usp=drivesdk</v>
      </c>
    </row>
    <row r="8492">
      <c r="A8492" s="15">
        <f>IFERROR(__xludf.DUMMYFUNCTION("""COMPUTED_VALUE"""),45240.0)</f>
        <v>45240</v>
      </c>
      <c r="B8492" s="16" t="str">
        <f>IFERROR(__xludf.DUMMYFUNCTION("""COMPUTED_VALUE"""),"JOSE ALFREDO RAMIREZ VERGARA ")</f>
        <v>JOSE ALFREDO RAMIREZ VERGARA </v>
      </c>
      <c r="C8492" s="15" t="str">
        <f>IFERROR(__xludf.DUMMYFUNCTION("""COMPUTED_VALUE"""),"BOGOTÁ")</f>
        <v>BOGOTÁ</v>
      </c>
      <c r="D8492" s="15" t="str">
        <f>IFERROR(__xludf.DUMMYFUNCTION("""COMPUTED_VALUE"""),"MEDELLÍN")</f>
        <v>MEDELLÍN</v>
      </c>
      <c r="E8492" s="15" t="str">
        <f>IFERROR(__xludf.DUMMYFUNCTION("""COMPUTED_VALUE"""),"AREPAS LA MARY")</f>
        <v>AREPAS LA MARY</v>
      </c>
      <c r="F8492" s="17" t="str">
        <f>IFERROR(__xludf.DUMMYFUNCTION("""COMPUTED_VALUE"""),"CRA 9 N.85 75 APTO 602 / bogota")</f>
        <v>CRA 9 N.85 75 APTO 602 / bogota</v>
      </c>
      <c r="G8492" s="15" t="str">
        <f>IFERROR(__xludf.DUMMYFUNCTION("""COMPUTED_VALUE"""),"LINA ENRIQUEZ")</f>
        <v>LINA ENRIQUEZ</v>
      </c>
      <c r="H8492" s="16">
        <f>IFERROR(__xludf.DUMMYFUNCTION("""COMPUTED_VALUE"""),17169.0)</f>
        <v>17169</v>
      </c>
      <c r="I8492" s="18">
        <f>IFERROR(__xludf.DUMMYFUNCTION("""COMPUTED_VALUE"""),89.0)</f>
        <v>89</v>
      </c>
      <c r="J8492" s="18">
        <f>IFERROR(__xludf.DUMMYFUNCTION("""COMPUTED_VALUE"""),1.0)</f>
        <v>1</v>
      </c>
      <c r="K8492" s="18">
        <f>IFERROR(__xludf.DUMMYFUNCTION("""COMPUTED_VALUE"""),10.0)</f>
        <v>10</v>
      </c>
      <c r="L8492" s="17">
        <f>IFERROR(__xludf.DUMMYFUNCTION("""COMPUTED_VALUE"""),3.214265812E9)</f>
        <v>3214265812</v>
      </c>
      <c r="M8492" s="17"/>
      <c r="N8492" s="17"/>
      <c r="O8492" s="17"/>
      <c r="P8492" s="17" t="b">
        <f>IFERROR(__xludf.DUMMYFUNCTION("""COMPUTED_VALUE"""),FALSE)</f>
        <v>0</v>
      </c>
      <c r="Q8492" s="20" t="str">
        <f>IFERROR(__xludf.DUMMYFUNCTION("""COMPUTED_VALUE"""),"")</f>
        <v/>
      </c>
      <c r="R8492" s="21" t="str">
        <f>IFERROR(__xludf.DUMMYFUNCTION("""COMPUTED_VALUE"""),"https://drive.google.com/file/d/1mUCcOWY5iPHloQwsAWik9g2h0d5Vg9Pq/view?usp=drivesdk")</f>
        <v>https://drive.google.com/file/d/1mUCcOWY5iPHloQwsAWik9g2h0d5Vg9Pq/view?usp=drivesdk</v>
      </c>
    </row>
    <row r="8493">
      <c r="A8493" s="15">
        <f>IFERROR(__xludf.DUMMYFUNCTION("""COMPUTED_VALUE"""),45240.0)</f>
        <v>45240</v>
      </c>
      <c r="B8493" s="16" t="str">
        <f>IFERROR(__xludf.DUMMYFUNCTION("""COMPUTED_VALUE"""),"JOSE ALFREDO RAMIREZ VERGARA ")</f>
        <v>JOSE ALFREDO RAMIREZ VERGARA </v>
      </c>
      <c r="C8493" s="15" t="str">
        <f>IFERROR(__xludf.DUMMYFUNCTION("""COMPUTED_VALUE"""),"BOGOTÁ")</f>
        <v>BOGOTÁ</v>
      </c>
      <c r="D8493" s="15" t="str">
        <f>IFERROR(__xludf.DUMMYFUNCTION("""COMPUTED_VALUE"""),"MEDELLÍN")</f>
        <v>MEDELLÍN</v>
      </c>
      <c r="E8493" s="15" t="str">
        <f>IFERROR(__xludf.DUMMYFUNCTION("""COMPUTED_VALUE"""),"Baby Chef")</f>
        <v>Baby Chef</v>
      </c>
      <c r="F8493" s="17" t="str">
        <f>IFERROR(__xludf.DUMMYFUNCTION("""COMPUTED_VALUE"""),"Calle1sur #53-99 barrio camelias Bogota casa esquinera portón negro (llamar timbre dañado) / . / .")</f>
        <v>Calle1sur #53-99 barrio camelias Bogota casa esquinera portón negro (llamar timbre dañado) / . / .</v>
      </c>
      <c r="G8493" s="15" t="str">
        <f>IFERROR(__xludf.DUMMYFUNCTION("""COMPUTED_VALUE"""),"Angi caterine Silva Zambrano")</f>
        <v>Angi caterine Silva Zambrano</v>
      </c>
      <c r="H8493" s="16">
        <f>IFERROR(__xludf.DUMMYFUNCTION("""COMPUTED_VALUE"""),17180.0)</f>
        <v>17180</v>
      </c>
      <c r="I8493" s="18">
        <f>IFERROR(__xludf.DUMMYFUNCTION("""COMPUTED_VALUE"""),8.0)</f>
        <v>8</v>
      </c>
      <c r="J8493" s="18">
        <f>IFERROR(__xludf.DUMMYFUNCTION("""COMPUTED_VALUE"""),23.0)</f>
        <v>23</v>
      </c>
      <c r="K8493" s="18">
        <f>IFERROR(__xludf.DUMMYFUNCTION("""COMPUTED_VALUE"""),36.0)</f>
        <v>36</v>
      </c>
      <c r="L8493" s="17">
        <f>IFERROR(__xludf.DUMMYFUNCTION("""COMPUTED_VALUE"""),3.012761927E9)</f>
        <v>3012761927</v>
      </c>
      <c r="M8493" s="17"/>
      <c r="N8493" s="17"/>
      <c r="O8493" s="17"/>
      <c r="P8493" s="17" t="b">
        <f>IFERROR(__xludf.DUMMYFUNCTION("""COMPUTED_VALUE"""),FALSE)</f>
        <v>0</v>
      </c>
      <c r="Q8493" s="20" t="str">
        <f>IFERROR(__xludf.DUMMYFUNCTION("""COMPUTED_VALUE"""),"")</f>
        <v/>
      </c>
      <c r="R8493" s="21" t="str">
        <f>IFERROR(__xludf.DUMMYFUNCTION("""COMPUTED_VALUE"""),"https://drive.google.com/file/d/1Eank3T-nL7HpRpk1i_Z4lfMUC2j6Cq4z/view?usp=drivesdk")</f>
        <v>https://drive.google.com/file/d/1Eank3T-nL7HpRpk1i_Z4lfMUC2j6Cq4z/view?usp=drivesdk</v>
      </c>
    </row>
    <row r="8494">
      <c r="A8494" s="15">
        <f>IFERROR(__xludf.DUMMYFUNCTION("""COMPUTED_VALUE"""),45240.0)</f>
        <v>45240</v>
      </c>
      <c r="B8494" s="16" t="str">
        <f>IFERROR(__xludf.DUMMYFUNCTION("""COMPUTED_VALUE"""),"JOSE ALFREDO RAMIREZ VERGARA ")</f>
        <v>JOSE ALFREDO RAMIREZ VERGARA </v>
      </c>
      <c r="C8494" s="15" t="str">
        <f>IFERROR(__xludf.DUMMYFUNCTION("""COMPUTED_VALUE"""),"BOGOTÁ")</f>
        <v>BOGOTÁ</v>
      </c>
      <c r="D8494" s="15" t="str">
        <f>IFERROR(__xludf.DUMMYFUNCTION("""COMPUTED_VALUE"""),"MEDELLÍN")</f>
        <v>MEDELLÍN</v>
      </c>
      <c r="E8494" s="15" t="str">
        <f>IFERROR(__xludf.DUMMYFUNCTION("""COMPUTED_VALUE"""),"INVERSIONES MOCHI")</f>
        <v>INVERSIONES MOCHI</v>
      </c>
      <c r="F8494" s="17" t="str">
        <f>IFERROR(__xludf.DUMMYFUNCTION("""COMPUTED_VALUE"""),"cra 23 #69-35 / Casa esquinera")</f>
        <v>cra 23 #69-35 / Casa esquinera</v>
      </c>
      <c r="G8494" s="15" t="str">
        <f>IFERROR(__xludf.DUMMYFUNCTION("""COMPUTED_VALUE"""),"Inversiones Mochi SAS")</f>
        <v>Inversiones Mochi SAS</v>
      </c>
      <c r="H8494" s="16">
        <f>IFERROR(__xludf.DUMMYFUNCTION("""COMPUTED_VALUE"""),17209.0)</f>
        <v>17209</v>
      </c>
      <c r="I8494" s="17"/>
      <c r="J8494" s="17"/>
      <c r="K8494" s="17"/>
      <c r="L8494" s="17">
        <f>IFERROR(__xludf.DUMMYFUNCTION("""COMPUTED_VALUE"""),5271167.0)</f>
        <v>5271167</v>
      </c>
      <c r="M8494" s="17"/>
      <c r="N8494" s="17"/>
      <c r="O8494" s="17"/>
      <c r="P8494" s="17" t="b">
        <f>IFERROR(__xludf.DUMMYFUNCTION("""COMPUTED_VALUE"""),FALSE)</f>
        <v>0</v>
      </c>
      <c r="Q8494" s="20" t="str">
        <f>IFERROR(__xludf.DUMMYFUNCTION("""COMPUTED_VALUE"""),"")</f>
        <v/>
      </c>
      <c r="R8494" s="21" t="str">
        <f>IFERROR(__xludf.DUMMYFUNCTION("""COMPUTED_VALUE"""),"https://drive.google.com/file/d/1FSIrkeMKpVNSiRBmlO7m7ARA956si5w3/view?usp=drivesdk")</f>
        <v>https://drive.google.com/file/d/1FSIrkeMKpVNSiRBmlO7m7ARA956si5w3/view?usp=drivesdk</v>
      </c>
    </row>
    <row r="8495">
      <c r="A8495" s="15">
        <f>IFERROR(__xludf.DUMMYFUNCTION("""COMPUTED_VALUE"""),45240.0)</f>
        <v>45240</v>
      </c>
      <c r="B8495" s="16" t="str">
        <f>IFERROR(__xludf.DUMMYFUNCTION("""COMPUTED_VALUE"""),"JOSE ALFREDO RAMIREZ VERGARA ")</f>
        <v>JOSE ALFREDO RAMIREZ VERGARA </v>
      </c>
      <c r="C8495" s="15" t="str">
        <f>IFERROR(__xludf.DUMMYFUNCTION("""COMPUTED_VALUE"""),"BOGOTÁ")</f>
        <v>BOGOTÁ</v>
      </c>
      <c r="D8495" s="15" t="str">
        <f>IFERROR(__xludf.DUMMYFUNCTION("""COMPUTED_VALUE"""),"MEDELLÍN")</f>
        <v>MEDELLÍN</v>
      </c>
      <c r="E8495" s="15" t="str">
        <f>IFERROR(__xludf.DUMMYFUNCTION("""COMPUTED_VALUE"""),"Moloso S.A.S")</f>
        <v>Moloso S.A.S</v>
      </c>
      <c r="F8495" s="17" t="str">
        <f>IFERROR(__xludf.DUMMYFUNCTION("""COMPUTED_VALUE"""),"CR 55 149 09 / CONJUNTO MONTECARLO 3 CA 16")</f>
        <v>CR 55 149 09 / CONJUNTO MONTECARLO 3 CA 16</v>
      </c>
      <c r="G8495" s="15" t="str">
        <f>IFERROR(__xludf.DUMMYFUNCTION("""COMPUTED_VALUE"""),"CLAUDIA ADRIANA GARCÍA FINO")</f>
        <v>CLAUDIA ADRIANA GARCÍA FINO</v>
      </c>
      <c r="H8495" s="16">
        <f>IFERROR(__xludf.DUMMYFUNCTION("""COMPUTED_VALUE"""),17204.0)</f>
        <v>17204</v>
      </c>
      <c r="I8495" s="17"/>
      <c r="J8495" s="17"/>
      <c r="K8495" s="17"/>
      <c r="L8495" s="17"/>
      <c r="M8495" s="17"/>
      <c r="N8495" s="17"/>
      <c r="O8495" s="17"/>
      <c r="P8495" s="17" t="b">
        <f>IFERROR(__xludf.DUMMYFUNCTION("""COMPUTED_VALUE"""),TRUE)</f>
        <v>1</v>
      </c>
      <c r="Q8495" s="20">
        <f>IFERROR(__xludf.DUMMYFUNCTION("""COMPUTED_VALUE"""),45245.675998425926)</f>
        <v>45245.676</v>
      </c>
      <c r="R8495" s="21" t="str">
        <f>IFERROR(__xludf.DUMMYFUNCTION("""COMPUTED_VALUE"""),"https://drive.google.com/file/d/1YZ0uf3EATulnWlFj2d8DYyNVbrBQXH7S/view?usp=drivesdk")</f>
        <v>https://drive.google.com/file/d/1YZ0uf3EATulnWlFj2d8DYyNVbrBQXH7S/view?usp=drivesdk</v>
      </c>
    </row>
    <row r="8496">
      <c r="A8496" s="15">
        <f>IFERROR(__xludf.DUMMYFUNCTION("""COMPUTED_VALUE"""),45240.0)</f>
        <v>45240</v>
      </c>
      <c r="B8496" s="16" t="str">
        <f>IFERROR(__xludf.DUMMYFUNCTION("""COMPUTED_VALUE"""),"JOSE ALFREDO RAMIREZ VERGARA ")</f>
        <v>JOSE ALFREDO RAMIREZ VERGARA </v>
      </c>
      <c r="C8496" s="15" t="str">
        <f>IFERROR(__xludf.DUMMYFUNCTION("""COMPUTED_VALUE"""),"BOGOTÁ")</f>
        <v>BOGOTÁ</v>
      </c>
      <c r="D8496" s="15" t="str">
        <f>IFERROR(__xludf.DUMMYFUNCTION("""COMPUTED_VALUE"""),"MEDELLÍN")</f>
        <v>MEDELLÍN</v>
      </c>
      <c r="E8496" s="15" t="str">
        <f>IFERROR(__xludf.DUMMYFUNCTION("""COMPUTED_VALUE"""),"Moloso S.A.S")</f>
        <v>Moloso S.A.S</v>
      </c>
      <c r="F8496" s="17" t="str">
        <f>IFERROR(__xludf.DUMMYFUNCTION("""COMPUTED_VALUE"""),"CR 75 24D 70 / LA CIGARRERIA ,QUEDA AL LADO DE LA FLORISTERIA")</f>
        <v>CR 75 24D 70 / LA CIGARRERIA ,QUEDA AL LADO DE LA FLORISTERIA</v>
      </c>
      <c r="G8496" s="15" t="str">
        <f>IFERROR(__xludf.DUMMYFUNCTION("""COMPUTED_VALUE"""),"MARIA JOSE MELO BONILLA")</f>
        <v>MARIA JOSE MELO BONILLA</v>
      </c>
      <c r="H8496" s="16">
        <f>IFERROR(__xludf.DUMMYFUNCTION("""COMPUTED_VALUE"""),17203.0)</f>
        <v>17203</v>
      </c>
      <c r="I8496" s="17"/>
      <c r="J8496" s="17"/>
      <c r="K8496" s="17"/>
      <c r="L8496" s="17"/>
      <c r="M8496" s="17"/>
      <c r="N8496" s="17"/>
      <c r="O8496" s="17"/>
      <c r="P8496" s="17" t="b">
        <f>IFERROR(__xludf.DUMMYFUNCTION("""COMPUTED_VALUE"""),FALSE)</f>
        <v>0</v>
      </c>
      <c r="Q8496" s="20" t="str">
        <f>IFERROR(__xludf.DUMMYFUNCTION("""COMPUTED_VALUE"""),"")</f>
        <v/>
      </c>
      <c r="R8496" s="21" t="str">
        <f>IFERROR(__xludf.DUMMYFUNCTION("""COMPUTED_VALUE"""),"https://drive.google.com/file/d/1frYPO8HaneY5g3e0sLZtGJHH2fK3ocTa/view?usp=drivesdk")</f>
        <v>https://drive.google.com/file/d/1frYPO8HaneY5g3e0sLZtGJHH2fK3ocTa/view?usp=drivesdk</v>
      </c>
    </row>
    <row r="8497">
      <c r="A8497" s="15">
        <f>IFERROR(__xludf.DUMMYFUNCTION("""COMPUTED_VALUE"""),45240.0)</f>
        <v>45240</v>
      </c>
      <c r="B8497" s="16" t="str">
        <f>IFERROR(__xludf.DUMMYFUNCTION("""COMPUTED_VALUE"""),"JOSE ALFREDO RAMIREZ VERGARA ")</f>
        <v>JOSE ALFREDO RAMIREZ VERGARA </v>
      </c>
      <c r="C8497" s="15" t="str">
        <f>IFERROR(__xludf.DUMMYFUNCTION("""COMPUTED_VALUE"""),"BOGOTÁ")</f>
        <v>BOGOTÁ</v>
      </c>
      <c r="D8497" s="15" t="str">
        <f>IFERROR(__xludf.DUMMYFUNCTION("""COMPUTED_VALUE"""),"MEDELLÍN")</f>
        <v>MEDELLÍN</v>
      </c>
      <c r="E8497" s="15" t="str">
        <f>IFERROR(__xludf.DUMMYFUNCTION("""COMPUTED_VALUE"""),"Moloso S.A.S")</f>
        <v>Moloso S.A.S</v>
      </c>
      <c r="F8497" s="17" t="str">
        <f>IFERROR(__xludf.DUMMYFUNCTION("""COMPUTED_VALUE"""),"CR 75 24D 70 / LA CIGARRERIA ,QUEDA AL LADO DE LA FLORISTERIA")</f>
        <v>CR 75 24D 70 / LA CIGARRERIA ,QUEDA AL LADO DE LA FLORISTERIA</v>
      </c>
      <c r="G8497" s="15" t="str">
        <f>IFERROR(__xludf.DUMMYFUNCTION("""COMPUTED_VALUE"""),"MARIA JOSE MELO BONILLA")</f>
        <v>MARIA JOSE MELO BONILLA</v>
      </c>
      <c r="H8497" s="16">
        <f>IFERROR(__xludf.DUMMYFUNCTION("""COMPUTED_VALUE"""),17205.0)</f>
        <v>17205</v>
      </c>
      <c r="I8497" s="17"/>
      <c r="J8497" s="17"/>
      <c r="K8497" s="17"/>
      <c r="L8497" s="17"/>
      <c r="M8497" s="17"/>
      <c r="N8497" s="17"/>
      <c r="O8497" s="17"/>
      <c r="P8497" s="17" t="b">
        <f>IFERROR(__xludf.DUMMYFUNCTION("""COMPUTED_VALUE"""),FALSE)</f>
        <v>0</v>
      </c>
      <c r="Q8497" s="20" t="str">
        <f>IFERROR(__xludf.DUMMYFUNCTION("""COMPUTED_VALUE"""),"")</f>
        <v/>
      </c>
      <c r="R8497" s="21" t="str">
        <f>IFERROR(__xludf.DUMMYFUNCTION("""COMPUTED_VALUE"""),"https://drive.google.com/file/d/1y0vSyhgef7lVQzu6ZKQMLJSoQ7iVCBOh/view?usp=drivesdk")</f>
        <v>https://drive.google.com/file/d/1y0vSyhgef7lVQzu6ZKQMLJSoQ7iVCBOh/view?usp=drivesdk</v>
      </c>
    </row>
    <row r="8498">
      <c r="A8498" s="15">
        <f>IFERROR(__xludf.DUMMYFUNCTION("""COMPUTED_VALUE"""),45240.0)</f>
        <v>45240</v>
      </c>
      <c r="B8498" s="16" t="str">
        <f>IFERROR(__xludf.DUMMYFUNCTION("""COMPUTED_VALUE"""),"JOSE ALFREDO RAMIREZ VERGARA ")</f>
        <v>JOSE ALFREDO RAMIREZ VERGARA </v>
      </c>
      <c r="C8498" s="15" t="str">
        <f>IFERROR(__xludf.DUMMYFUNCTION("""COMPUTED_VALUE"""),"BOGOTÁ")</f>
        <v>BOGOTÁ</v>
      </c>
      <c r="D8498" s="15" t="str">
        <f>IFERROR(__xludf.DUMMYFUNCTION("""COMPUTED_VALUE"""),"MEDELLÍN")</f>
        <v>MEDELLÍN</v>
      </c>
      <c r="E8498" s="15" t="str">
        <f>IFERROR(__xludf.DUMMYFUNCTION("""COMPUTED_VALUE"""),"Terravocado")</f>
        <v>Terravocado</v>
      </c>
      <c r="F8498" s="17" t="str">
        <f>IFERROR(__xludf.DUMMYFUNCTION("""COMPUTED_VALUE"""),"CRA 20 # 168 - 32 / TOBERIN  / TOBERIN")</f>
        <v>CRA 20 # 168 - 32 / TOBERIN  / TOBERIN</v>
      </c>
      <c r="G8498" s="15" t="str">
        <f>IFERROR(__xludf.DUMMYFUNCTION("""COMPUTED_VALUE"""),"BUKOI")</f>
        <v>BUKOI</v>
      </c>
      <c r="H8498" s="16">
        <f>IFERROR(__xludf.DUMMYFUNCTION("""COMPUTED_VALUE"""),17101.0)</f>
        <v>17101</v>
      </c>
      <c r="I8498" s="18">
        <f>IFERROR(__xludf.DUMMYFUNCTION("""COMPUTED_VALUE"""),20.0)</f>
        <v>20</v>
      </c>
      <c r="J8498" s="18">
        <f>IFERROR(__xludf.DUMMYFUNCTION("""COMPUTED_VALUE"""),24.0)</f>
        <v>24</v>
      </c>
      <c r="K8498" s="18">
        <f>IFERROR(__xludf.DUMMYFUNCTION("""COMPUTED_VALUE"""),34.0)</f>
        <v>34</v>
      </c>
      <c r="L8498" s="17">
        <f>IFERROR(__xludf.DUMMYFUNCTION("""COMPUTED_VALUE"""),3.125489315E9)</f>
        <v>3125489315</v>
      </c>
      <c r="M8498" s="17"/>
      <c r="N8498" s="17"/>
      <c r="O8498" s="17"/>
      <c r="P8498" s="17" t="b">
        <f>IFERROR(__xludf.DUMMYFUNCTION("""COMPUTED_VALUE"""),TRUE)</f>
        <v>1</v>
      </c>
      <c r="Q8498" s="20">
        <f>IFERROR(__xludf.DUMMYFUNCTION("""COMPUTED_VALUE"""),45245.67581141204)</f>
        <v>45245.67581</v>
      </c>
      <c r="R8498" s="21" t="str">
        <f>IFERROR(__xludf.DUMMYFUNCTION("""COMPUTED_VALUE"""),"https://drive.google.com/file/d/1P-GDoGaMksyEPVrrpMuIjWpcsPz78QiR/view?usp=drivesdk")</f>
        <v>https://drive.google.com/file/d/1P-GDoGaMksyEPVrrpMuIjWpcsPz78QiR/view?usp=drivesdk</v>
      </c>
    </row>
    <row r="8499">
      <c r="A8499" s="15">
        <f>IFERROR(__xludf.DUMMYFUNCTION("""COMPUTED_VALUE"""),45240.0)</f>
        <v>45240</v>
      </c>
      <c r="B8499" s="16" t="str">
        <f>IFERROR(__xludf.DUMMYFUNCTION("""COMPUTED_VALUE"""),"JOSE ALFREDO RAMIREZ VERGARA ")</f>
        <v>JOSE ALFREDO RAMIREZ VERGARA </v>
      </c>
      <c r="C8499" s="15" t="str">
        <f>IFERROR(__xludf.DUMMYFUNCTION("""COMPUTED_VALUE"""),"CAJICÁ")</f>
        <v>CAJICÁ</v>
      </c>
      <c r="D8499" s="15" t="str">
        <f>IFERROR(__xludf.DUMMYFUNCTION("""COMPUTED_VALUE"""),"ENVIGADO")</f>
        <v>ENVIGADO</v>
      </c>
      <c r="E8499" s="15" t="str">
        <f>IFERROR(__xludf.DUMMYFUNCTION("""COMPUTED_VALUE"""),"JUAN CAMILO CORDOBA")</f>
        <v>JUAN CAMILO CORDOBA</v>
      </c>
      <c r="F8499" s="17" t="str">
        <f>IFERROR(__xludf.DUMMYFUNCTION("""COMPUTED_VALUE"""),"Carrera 5 #10-57 Sur / Km 27 vía Bogota-Cajica Centro Comercial Canelon  Local 3")</f>
        <v>Carrera 5 #10-57 Sur / Km 27 vía Bogota-Cajica Centro Comercial Canelon  Local 3</v>
      </c>
      <c r="G8499" s="15" t="str">
        <f>IFERROR(__xludf.DUMMYFUNCTION("""COMPUTED_VALUE"""),"Vivo Market Fit")</f>
        <v>Vivo Market Fit</v>
      </c>
      <c r="H8499" s="16">
        <f>IFERROR(__xludf.DUMMYFUNCTION("""COMPUTED_VALUE"""),17201.0)</f>
        <v>17201</v>
      </c>
      <c r="I8499" s="17"/>
      <c r="J8499" s="17"/>
      <c r="K8499" s="17"/>
      <c r="L8499" s="17">
        <f>IFERROR(__xludf.DUMMYFUNCTION("""COMPUTED_VALUE"""),3.145035171E9)</f>
        <v>3145035171</v>
      </c>
      <c r="M8499" s="17"/>
      <c r="N8499" s="17"/>
      <c r="O8499" s="17"/>
      <c r="P8499" s="17" t="b">
        <f>IFERROR(__xludf.DUMMYFUNCTION("""COMPUTED_VALUE"""),FALSE)</f>
        <v>0</v>
      </c>
      <c r="Q8499" s="20" t="str">
        <f>IFERROR(__xludf.DUMMYFUNCTION("""COMPUTED_VALUE"""),"")</f>
        <v/>
      </c>
      <c r="R8499" s="21" t="str">
        <f>IFERROR(__xludf.DUMMYFUNCTION("""COMPUTED_VALUE"""),"https://drive.google.com/file/d/1mP2wVzA1NU8xKAR-ORc2tL66pVpKHn6d/view?usp=drivesdk")</f>
        <v>https://drive.google.com/file/d/1mP2wVzA1NU8xKAR-ORc2tL66pVpKHn6d/view?usp=drivesdk</v>
      </c>
    </row>
    <row r="8500">
      <c r="A8500" s="15">
        <f>IFERROR(__xludf.DUMMYFUNCTION("""COMPUTED_VALUE"""),45240.0)</f>
        <v>45240</v>
      </c>
      <c r="B8500" s="16" t="str">
        <f>IFERROR(__xludf.DUMMYFUNCTION("""COMPUTED_VALUE"""),"JOSE ALFREDO RAMIREZ VERGARA ")</f>
        <v>JOSE ALFREDO RAMIREZ VERGARA </v>
      </c>
      <c r="C8500" s="15" t="str">
        <f>IFERROR(__xludf.DUMMYFUNCTION("""COMPUTED_VALUE"""),"POPAYAN")</f>
        <v>POPAYAN</v>
      </c>
      <c r="D8500" s="15" t="str">
        <f>IFERROR(__xludf.DUMMYFUNCTION("""COMPUTED_VALUE"""),"MEDELLÍN")</f>
        <v>MEDELLÍN</v>
      </c>
      <c r="E8500" s="15" t="str">
        <f>IFERROR(__xludf.DUMMYFUNCTION("""COMPUTED_VALUE"""),"Baby Chef")</f>
        <v>Baby Chef</v>
      </c>
      <c r="F8500" s="17" t="str">
        <f>IFERROR(__xludf.DUMMYFUNCTION("""COMPUTED_VALUE"""),"Carrera 6c # 33n 106 Tulipanes de la Hacienda casa 8 / . / .")</f>
        <v>Carrera 6c # 33n 106 Tulipanes de la Hacienda casa 8 / . / .</v>
      </c>
      <c r="G8500" s="15" t="str">
        <f>IFERROR(__xludf.DUMMYFUNCTION("""COMPUTED_VALUE"""),"Laura Dorado")</f>
        <v>Laura Dorado</v>
      </c>
      <c r="H8500" s="16">
        <f>IFERROR(__xludf.DUMMYFUNCTION("""COMPUTED_VALUE"""),17112.0)</f>
        <v>17112</v>
      </c>
      <c r="I8500" s="18">
        <f>IFERROR(__xludf.DUMMYFUNCTION("""COMPUTED_VALUE"""),12.0)</f>
        <v>12</v>
      </c>
      <c r="J8500" s="18">
        <f>IFERROR(__xludf.DUMMYFUNCTION("""COMPUTED_VALUE"""),20.0)</f>
        <v>20</v>
      </c>
      <c r="K8500" s="18">
        <f>IFERROR(__xludf.DUMMYFUNCTION("""COMPUTED_VALUE"""),27.0)</f>
        <v>27</v>
      </c>
      <c r="L8500" s="17">
        <f>IFERROR(__xludf.DUMMYFUNCTION("""COMPUTED_VALUE"""),3.10670563E9)</f>
        <v>3106705630</v>
      </c>
      <c r="M8500" s="17"/>
      <c r="N8500" s="17"/>
      <c r="O8500" s="17"/>
      <c r="P8500" s="17" t="b">
        <f>IFERROR(__xludf.DUMMYFUNCTION("""COMPUTED_VALUE"""),TRUE)</f>
        <v>1</v>
      </c>
      <c r="Q8500" s="20">
        <f>IFERROR(__xludf.DUMMYFUNCTION("""COMPUTED_VALUE"""),45245.67590621528)</f>
        <v>45245.67591</v>
      </c>
      <c r="R8500" s="22" t="str">
        <f>IFERROR(__xludf.DUMMYFUNCTION("""COMPUTED_VALUE"""),"")</f>
        <v/>
      </c>
    </row>
    <row r="8501">
      <c r="A8501" s="17" t="str">
        <f>IFERROR(__xludf.DUMMYFUNCTION("""COMPUTED_VALUE"""),"")</f>
        <v/>
      </c>
      <c r="B8501" s="17" t="str">
        <f>IFERROR(__xludf.DUMMYFUNCTION("""COMPUTED_VALUE"""),"")</f>
        <v/>
      </c>
      <c r="C8501" s="17" t="str">
        <f>IFERROR(__xludf.DUMMYFUNCTION("""COMPUTED_VALUE"""),"")</f>
        <v/>
      </c>
      <c r="D8501" s="17" t="str">
        <f>IFERROR(__xludf.DUMMYFUNCTION("""COMPUTED_VALUE"""),"")</f>
        <v/>
      </c>
      <c r="E8501" s="17" t="str">
        <f>IFERROR(__xludf.DUMMYFUNCTION("""COMPUTED_VALUE"""),"")</f>
        <v/>
      </c>
      <c r="F8501" s="17" t="str">
        <f>IFERROR(__xludf.DUMMYFUNCTION("""COMPUTED_VALUE"""),"")</f>
        <v/>
      </c>
      <c r="G8501" s="17" t="str">
        <f>IFERROR(__xludf.DUMMYFUNCTION("""COMPUTED_VALUE"""),"")</f>
        <v/>
      </c>
      <c r="H8501" s="17" t="str">
        <f>IFERROR(__xludf.DUMMYFUNCTION("""COMPUTED_VALUE"""),"")</f>
        <v/>
      </c>
      <c r="I8501" s="17" t="str">
        <f>IFERROR(__xludf.DUMMYFUNCTION("""COMPUTED_VALUE"""),"")</f>
        <v/>
      </c>
      <c r="J8501" s="17" t="str">
        <f>IFERROR(__xludf.DUMMYFUNCTION("""COMPUTED_VALUE"""),"")</f>
        <v/>
      </c>
      <c r="K8501" s="17" t="str">
        <f>IFERROR(__xludf.DUMMYFUNCTION("""COMPUTED_VALUE"""),"")</f>
        <v/>
      </c>
      <c r="L8501" s="17" t="str">
        <f>IFERROR(__xludf.DUMMYFUNCTION("""COMPUTED_VALUE"""),"")</f>
        <v/>
      </c>
      <c r="M8501" s="17" t="str">
        <f>IFERROR(__xludf.DUMMYFUNCTION("""COMPUTED_VALUE"""),"")</f>
        <v/>
      </c>
      <c r="N8501" s="17" t="str">
        <f>IFERROR(__xludf.DUMMYFUNCTION("""COMPUTED_VALUE"""),"")</f>
        <v/>
      </c>
      <c r="O8501" s="17" t="str">
        <f>IFERROR(__xludf.DUMMYFUNCTION("""COMPUTED_VALUE"""),"")</f>
        <v/>
      </c>
      <c r="P8501" s="17" t="str">
        <f>IFERROR(__xludf.DUMMYFUNCTION("""COMPUTED_VALUE"""),"")</f>
        <v/>
      </c>
      <c r="Q8501" s="17" t="str">
        <f>IFERROR(__xludf.DUMMYFUNCTION("""COMPUTED_VALUE"""),"")</f>
        <v/>
      </c>
      <c r="R8501" s="17" t="str">
        <f>IFERROR(__xludf.DUMMYFUNCTION("""COMPUTED_VALUE"""),"")</f>
        <v/>
      </c>
    </row>
    <row r="8502">
      <c r="A8502" s="15">
        <f>IFERROR(__xludf.DUMMYFUNCTION("""COMPUTED_VALUE"""),45240.0)</f>
        <v>45240</v>
      </c>
      <c r="B8502" s="16" t="str">
        <f>IFERROR(__xludf.DUMMYFUNCTION("""COMPUTED_VALUE"""),"Julian Calderon Rodriguez ")</f>
        <v>Julian Calderon Rodriguez </v>
      </c>
      <c r="C8502" s="15" t="str">
        <f>IFERROR(__xludf.DUMMYFUNCTION("""COMPUTED_VALUE"""),"SANTA MARTA")</f>
        <v>SANTA MARTA</v>
      </c>
      <c r="D8502" s="15" t="str">
        <f>IFERROR(__xludf.DUMMYFUNCTION("""COMPUTED_VALUE"""),"MEDELLÍN")</f>
        <v>MEDELLÍN</v>
      </c>
      <c r="E8502" s="15" t="str">
        <f>IFERROR(__xludf.DUMMYFUNCTION("""COMPUTED_VALUE"""),"Moloso S.A.S")</f>
        <v>Moloso S.A.S</v>
      </c>
      <c r="F8502" s="17" t="str">
        <f>IFERROR(__xludf.DUMMYFUNCTION("""COMPUTED_VALUE"""),"CR 2A 27 64 / ED CRISTAL AP 510")</f>
        <v>CR 2A 27 64 / ED CRISTAL AP 510</v>
      </c>
      <c r="G8502" s="15" t="str">
        <f>IFERROR(__xludf.DUMMYFUNCTION("""COMPUTED_VALUE"""),"MARIA ISABEL GONZÁLEZ VALENCIA")</f>
        <v>MARIA ISABEL GONZÁLEZ VALENCIA</v>
      </c>
      <c r="H8502" s="16">
        <f>IFERROR(__xludf.DUMMYFUNCTION("""COMPUTED_VALUE"""),17146.0)</f>
        <v>17146</v>
      </c>
      <c r="I8502" s="17"/>
      <c r="J8502" s="17"/>
      <c r="K8502" s="17"/>
      <c r="L8502" s="17"/>
      <c r="M8502" s="17"/>
      <c r="N8502" s="17"/>
      <c r="O8502" s="17"/>
      <c r="P8502" s="17" t="b">
        <f>IFERROR(__xludf.DUMMYFUNCTION("""COMPUTED_VALUE"""),TRUE)</f>
        <v>1</v>
      </c>
      <c r="Q8502" s="20">
        <f>IFERROR(__xludf.DUMMYFUNCTION("""COMPUTED_VALUE"""),45245.67590621528)</f>
        <v>45245.67591</v>
      </c>
      <c r="R8502" s="21" t="str">
        <f>IFERROR(__xludf.DUMMYFUNCTION("""COMPUTED_VALUE"""),"https://drive.google.com/file/d/1U8EdN0qbTHWY1QvGqCLChoAfe2w3uxux/view?usp=drivesdk")</f>
        <v>https://drive.google.com/file/d/1U8EdN0qbTHWY1QvGqCLChoAfe2w3uxux/view?usp=drivesdk</v>
      </c>
    </row>
    <row r="8503">
      <c r="A8503" s="15">
        <f>IFERROR(__xludf.DUMMYFUNCTION("""COMPUTED_VALUE"""),45240.0)</f>
        <v>45240</v>
      </c>
      <c r="B8503" s="16" t="str">
        <f>IFERROR(__xludf.DUMMYFUNCTION("""COMPUTED_VALUE"""),"Julian Calderon Rodriguez ")</f>
        <v>Julian Calderon Rodriguez </v>
      </c>
      <c r="C8503" s="15" t="str">
        <f>IFERROR(__xludf.DUMMYFUNCTION("""COMPUTED_VALUE"""),"SANTA MARTA")</f>
        <v>SANTA MARTA</v>
      </c>
      <c r="D8503" s="15" t="str">
        <f>IFERROR(__xludf.DUMMYFUNCTION("""COMPUTED_VALUE"""),"MEDELLÍN")</f>
        <v>MEDELLÍN</v>
      </c>
      <c r="E8503" s="15" t="str">
        <f>IFERROR(__xludf.DUMMYFUNCTION("""COMPUTED_VALUE"""),"Terravocado")</f>
        <v>Terravocado</v>
      </c>
      <c r="F8503" s="17" t="str">
        <f>IFERROR(__xludf.DUMMYFUNCTION("""COMPUTED_VALUE"""),"CLL 18 # 04 - 05 / CENTRO  / CENTRO")</f>
        <v>CLL 18 # 04 - 05 / CENTRO  / CENTRO</v>
      </c>
      <c r="G8503" s="15" t="str">
        <f>IFERROR(__xludf.DUMMYFUNCTION("""COMPUTED_VALUE"""),"GOOD FEATS SAS")</f>
        <v>GOOD FEATS SAS</v>
      </c>
      <c r="H8503" s="16">
        <f>IFERROR(__xludf.DUMMYFUNCTION("""COMPUTED_VALUE"""),17099.0)</f>
        <v>17099</v>
      </c>
      <c r="I8503" s="18">
        <f>IFERROR(__xludf.DUMMYFUNCTION("""COMPUTED_VALUE"""),20.0)</f>
        <v>20</v>
      </c>
      <c r="J8503" s="18">
        <f>IFERROR(__xludf.DUMMYFUNCTION("""COMPUTED_VALUE"""),24.0)</f>
        <v>24</v>
      </c>
      <c r="K8503" s="18">
        <f>IFERROR(__xludf.DUMMYFUNCTION("""COMPUTED_VALUE"""),34.0)</f>
        <v>34</v>
      </c>
      <c r="L8503" s="17">
        <f>IFERROR(__xludf.DUMMYFUNCTION("""COMPUTED_VALUE"""),3.003378725E9)</f>
        <v>3003378725</v>
      </c>
      <c r="M8503" s="17"/>
      <c r="N8503" s="17"/>
      <c r="O8503" s="17"/>
      <c r="P8503" s="17" t="b">
        <f>IFERROR(__xludf.DUMMYFUNCTION("""COMPUTED_VALUE"""),FALSE)</f>
        <v>0</v>
      </c>
      <c r="Q8503" s="20" t="str">
        <f>IFERROR(__xludf.DUMMYFUNCTION("""COMPUTED_VALUE"""),"")</f>
        <v/>
      </c>
      <c r="R8503" s="21" t="str">
        <f>IFERROR(__xludf.DUMMYFUNCTION("""COMPUTED_VALUE"""),"https://drive.google.com/file/d/1Sv6ckvDqqP3oPHjlpxZcOfUGA7XxbhUP/view?usp=drivesdk")</f>
        <v>https://drive.google.com/file/d/1Sv6ckvDqqP3oPHjlpxZcOfUGA7XxbhUP/view?usp=drivesdk</v>
      </c>
    </row>
    <row r="8504">
      <c r="A8504" s="15">
        <f>IFERROR(__xludf.DUMMYFUNCTION("""COMPUTED_VALUE"""),45240.0)</f>
        <v>45240</v>
      </c>
      <c r="B8504" s="16" t="str">
        <f>IFERROR(__xludf.DUMMYFUNCTION("""COMPUTED_VALUE"""),"Julian Calderon Rodriguez ")</f>
        <v>Julian Calderon Rodriguez </v>
      </c>
      <c r="C8504" s="15" t="str">
        <f>IFERROR(__xludf.DUMMYFUNCTION("""COMPUTED_VALUE"""),"VILLAVICENCIO")</f>
        <v>VILLAVICENCIO</v>
      </c>
      <c r="D8504" s="15" t="str">
        <f>IFERROR(__xludf.DUMMYFUNCTION("""COMPUTED_VALUE"""),"BOGOTÁ")</f>
        <v>BOGOTÁ</v>
      </c>
      <c r="E8504" s="15" t="str">
        <f>IFERROR(__xludf.DUMMYFUNCTION("""COMPUTED_VALUE"""),"LINA PAOLA RAMIREZ GOMEZ - EVA MAZZITA")</f>
        <v>LINA PAOLA RAMIREZ GOMEZ - EVA MAZZITA</v>
      </c>
      <c r="F8504" s="17" t="str">
        <f>IFERROR(__xludf.DUMMYFUNCTION("""COMPUTED_VALUE"""),"Carrera 40 No 5 a 41 / sur torre 8 apto 305 conjunto alcaravan Villavicencio, Meta")</f>
        <v>Carrera 40 No 5 a 41 / sur torre 8 apto 305 conjunto alcaravan Villavicencio, Meta</v>
      </c>
      <c r="G8504" s="15" t="str">
        <f>IFERROR(__xludf.DUMMYFUNCTION("""COMPUTED_VALUE"""),"TATIANA CORTES")</f>
        <v>TATIANA CORTES</v>
      </c>
      <c r="H8504" s="16">
        <f>IFERROR(__xludf.DUMMYFUNCTION("""COMPUTED_VALUE"""),17149.0)</f>
        <v>17149</v>
      </c>
      <c r="I8504" s="17"/>
      <c r="J8504" s="17"/>
      <c r="K8504" s="17"/>
      <c r="L8504" s="17">
        <f>IFERROR(__xludf.DUMMYFUNCTION("""COMPUTED_VALUE"""),3.006485514E9)</f>
        <v>3006485514</v>
      </c>
      <c r="M8504" s="17"/>
      <c r="N8504" s="17"/>
      <c r="O8504" s="17"/>
      <c r="P8504" s="17" t="b">
        <f>IFERROR(__xludf.DUMMYFUNCTION("""COMPUTED_VALUE"""),FALSE)</f>
        <v>0</v>
      </c>
      <c r="Q8504" s="20" t="str">
        <f>IFERROR(__xludf.DUMMYFUNCTION("""COMPUTED_VALUE"""),"")</f>
        <v/>
      </c>
      <c r="R8504" s="21" t="str">
        <f>IFERROR(__xludf.DUMMYFUNCTION("""COMPUTED_VALUE"""),"https://drive.google.com/file/d/1OTSLLDsqHU3kYaZYJ5-9kORtWc2nMyWK/view?usp=drivesdk")</f>
        <v>https://drive.google.com/file/d/1OTSLLDsqHU3kYaZYJ5-9kORtWc2nMyWK/view?usp=drivesdk</v>
      </c>
    </row>
    <row r="8505">
      <c r="A8505" s="15">
        <f>IFERROR(__xludf.DUMMYFUNCTION("""COMPUTED_VALUE"""),45240.0)</f>
        <v>45240</v>
      </c>
      <c r="B8505" s="16" t="str">
        <f>IFERROR(__xludf.DUMMYFUNCTION("""COMPUTED_VALUE"""),"Julian Calderon Rodriguez ")</f>
        <v>Julian Calderon Rodriguez </v>
      </c>
      <c r="C8505" s="15" t="str">
        <f>IFERROR(__xludf.DUMMYFUNCTION("""COMPUTED_VALUE"""),"VILLAVICENCIO")</f>
        <v>VILLAVICENCIO</v>
      </c>
      <c r="D8505" s="15" t="str">
        <f>IFERROR(__xludf.DUMMYFUNCTION("""COMPUTED_VALUE"""),"BOGOTÁ")</f>
        <v>BOGOTÁ</v>
      </c>
      <c r="E8505" s="15" t="str">
        <f>IFERROR(__xludf.DUMMYFUNCTION("""COMPUTED_VALUE"""),"LINA PAOLA RAMIREZ GOMEZ - EVA MAZZITA")</f>
        <v>LINA PAOLA RAMIREZ GOMEZ - EVA MAZZITA</v>
      </c>
      <c r="F8505" s="17" t="str">
        <f>IFERROR(__xludf.DUMMYFUNCTION("""COMPUTED_VALUE"""),"Diagonal al conjunto sabana grande Super manzana 2 Sección 2 / Detras de la Iglesia católica barrio San Antonio santa Laura montoya")</f>
        <v>Diagonal al conjunto sabana grande Super manzana 2 Sección 2 / Detras de la Iglesia católica barrio San Antonio santa Laura montoya</v>
      </c>
      <c r="G8505" s="15" t="str">
        <f>IFERROR(__xludf.DUMMYFUNCTION("""COMPUTED_VALUE"""),"LAURA MARIA ARGÜELLO PERDOMO")</f>
        <v>LAURA MARIA ARGÜELLO PERDOMO</v>
      </c>
      <c r="H8505" s="16">
        <f>IFERROR(__xludf.DUMMYFUNCTION("""COMPUTED_VALUE"""),17148.0)</f>
        <v>17148</v>
      </c>
      <c r="I8505" s="17"/>
      <c r="J8505" s="17"/>
      <c r="K8505" s="17"/>
      <c r="L8505" s="17">
        <f>IFERROR(__xludf.DUMMYFUNCTION("""COMPUTED_VALUE"""),3.21260194E9)</f>
        <v>3212601940</v>
      </c>
      <c r="M8505" s="17"/>
      <c r="N8505" s="17"/>
      <c r="O8505" s="17"/>
      <c r="P8505" s="17" t="b">
        <f>IFERROR(__xludf.DUMMYFUNCTION("""COMPUTED_VALUE"""),TRUE)</f>
        <v>1</v>
      </c>
      <c r="Q8505" s="20">
        <f>IFERROR(__xludf.DUMMYFUNCTION("""COMPUTED_VALUE"""),45245.49161565972)</f>
        <v>45245.49162</v>
      </c>
      <c r="R8505" s="21" t="str">
        <f>IFERROR(__xludf.DUMMYFUNCTION("""COMPUTED_VALUE"""),"https://drive.google.com/file/d/1cmF4wkNsRRoRpJDWnUPXGte7D2GeZ0hs/view?usp=drivesdk")</f>
        <v>https://drive.google.com/file/d/1cmF4wkNsRRoRpJDWnUPXGte7D2GeZ0hs/view?usp=drivesdk</v>
      </c>
    </row>
    <row r="8506">
      <c r="A8506" s="15">
        <f>IFERROR(__xludf.DUMMYFUNCTION("""COMPUTED_VALUE"""),45240.0)</f>
        <v>45240</v>
      </c>
      <c r="B8506" s="16" t="str">
        <f>IFERROR(__xludf.DUMMYFUNCTION("""COMPUTED_VALUE"""),"Julian Calderon Rodriguez ")</f>
        <v>Julian Calderon Rodriguez </v>
      </c>
      <c r="C8506" s="15" t="str">
        <f>IFERROR(__xludf.DUMMYFUNCTION("""COMPUTED_VALUE"""),"VILLAVICENCIO")</f>
        <v>VILLAVICENCIO</v>
      </c>
      <c r="D8506" s="15" t="str">
        <f>IFERROR(__xludf.DUMMYFUNCTION("""COMPUTED_VALUE"""),"BOGOTÁ")</f>
        <v>BOGOTÁ</v>
      </c>
      <c r="E8506" s="15" t="str">
        <f>IFERROR(__xludf.DUMMYFUNCTION("""COMPUTED_VALUE"""),"PAN DE WAFFLE")</f>
        <v>PAN DE WAFFLE</v>
      </c>
      <c r="F8506" s="17" t="str">
        <f>IFERROR(__xludf.DUMMYFUNCTION("""COMPUTED_VALUE"""),"Calle 15 # 44D - 28 LOCAL 1 Edifi. Palos de Caña / Calle 15 # 44D - 28 LOCAL 1 Edifi. Palos de Caña")</f>
        <v>Calle 15 # 44D - 28 LOCAL 1 Edifi. Palos de Caña / Calle 15 # 44D - 28 LOCAL 1 Edifi. Palos de Caña</v>
      </c>
      <c r="G8506" s="15" t="str">
        <f>IFERROR(__xludf.DUMMYFUNCTION("""COMPUTED_VALUE"""),"SANA TENTACION")</f>
        <v>SANA TENTACION</v>
      </c>
      <c r="H8506" s="16">
        <f>IFERROR(__xludf.DUMMYFUNCTION("""COMPUTED_VALUE"""),17141.0)</f>
        <v>17141</v>
      </c>
      <c r="I8506" s="17"/>
      <c r="J8506" s="17"/>
      <c r="K8506" s="17"/>
      <c r="L8506" s="17">
        <f>IFERROR(__xludf.DUMMYFUNCTION("""COMPUTED_VALUE"""),3.008383033E9)</f>
        <v>3008383033</v>
      </c>
      <c r="M8506" s="17"/>
      <c r="N8506" s="17"/>
      <c r="O8506" s="17"/>
      <c r="P8506" s="17" t="b">
        <f>IFERROR(__xludf.DUMMYFUNCTION("""COMPUTED_VALUE"""),FALSE)</f>
        <v>0</v>
      </c>
      <c r="Q8506" s="20" t="str">
        <f>IFERROR(__xludf.DUMMYFUNCTION("""COMPUTED_VALUE"""),"")</f>
        <v/>
      </c>
      <c r="R8506" s="21" t="str">
        <f>IFERROR(__xludf.DUMMYFUNCTION("""COMPUTED_VALUE"""),"https://drive.google.com/file/d/154WUyfFFeAuriQ3XgxHJQANRC9_bRspj/view?usp=drivesdk")</f>
        <v>https://drive.google.com/file/d/154WUyfFFeAuriQ3XgxHJQANRC9_bRspj/view?usp=drivesdk</v>
      </c>
    </row>
    <row r="8507">
      <c r="A8507" s="17" t="str">
        <f>IFERROR(__xludf.DUMMYFUNCTION("""COMPUTED_VALUE"""),"")</f>
        <v/>
      </c>
      <c r="B8507" s="17" t="str">
        <f>IFERROR(__xludf.DUMMYFUNCTION("""COMPUTED_VALUE"""),"")</f>
        <v/>
      </c>
      <c r="C8507" s="17" t="str">
        <f>IFERROR(__xludf.DUMMYFUNCTION("""COMPUTED_VALUE"""),"")</f>
        <v/>
      </c>
      <c r="D8507" s="17" t="str">
        <f>IFERROR(__xludf.DUMMYFUNCTION("""COMPUTED_VALUE"""),"")</f>
        <v/>
      </c>
      <c r="E8507" s="17" t="str">
        <f>IFERROR(__xludf.DUMMYFUNCTION("""COMPUTED_VALUE"""),"")</f>
        <v/>
      </c>
      <c r="F8507" s="17" t="str">
        <f>IFERROR(__xludf.DUMMYFUNCTION("""COMPUTED_VALUE"""),"")</f>
        <v/>
      </c>
      <c r="G8507" s="17" t="str">
        <f>IFERROR(__xludf.DUMMYFUNCTION("""COMPUTED_VALUE"""),"")</f>
        <v/>
      </c>
      <c r="H8507" s="17" t="str">
        <f>IFERROR(__xludf.DUMMYFUNCTION("""COMPUTED_VALUE"""),"")</f>
        <v/>
      </c>
      <c r="I8507" s="17" t="str">
        <f>IFERROR(__xludf.DUMMYFUNCTION("""COMPUTED_VALUE"""),"")</f>
        <v/>
      </c>
      <c r="J8507" s="17" t="str">
        <f>IFERROR(__xludf.DUMMYFUNCTION("""COMPUTED_VALUE"""),"")</f>
        <v/>
      </c>
      <c r="K8507" s="17" t="str">
        <f>IFERROR(__xludf.DUMMYFUNCTION("""COMPUTED_VALUE"""),"")</f>
        <v/>
      </c>
      <c r="L8507" s="17" t="str">
        <f>IFERROR(__xludf.DUMMYFUNCTION("""COMPUTED_VALUE"""),"")</f>
        <v/>
      </c>
      <c r="M8507" s="17" t="str">
        <f>IFERROR(__xludf.DUMMYFUNCTION("""COMPUTED_VALUE"""),"")</f>
        <v/>
      </c>
      <c r="N8507" s="17" t="str">
        <f>IFERROR(__xludf.DUMMYFUNCTION("""COMPUTED_VALUE"""),"")</f>
        <v/>
      </c>
      <c r="O8507" s="17" t="str">
        <f>IFERROR(__xludf.DUMMYFUNCTION("""COMPUTED_VALUE"""),"")</f>
        <v/>
      </c>
      <c r="P8507" s="17" t="str">
        <f>IFERROR(__xludf.DUMMYFUNCTION("""COMPUTED_VALUE"""),"")</f>
        <v/>
      </c>
      <c r="Q8507" s="17" t="str">
        <f>IFERROR(__xludf.DUMMYFUNCTION("""COMPUTED_VALUE"""),"")</f>
        <v/>
      </c>
      <c r="R8507" s="17" t="str">
        <f>IFERROR(__xludf.DUMMYFUNCTION("""COMPUTED_VALUE"""),"")</f>
        <v/>
      </c>
    </row>
    <row r="8508">
      <c r="A8508" s="15">
        <f>IFERROR(__xludf.DUMMYFUNCTION("""COMPUTED_VALUE"""),45240.0)</f>
        <v>45240</v>
      </c>
      <c r="B8508" s="16" t="str">
        <f>IFERROR(__xludf.DUMMYFUNCTION("""COMPUTED_VALUE"""),"Lina Gaona")</f>
        <v>Lina Gaona</v>
      </c>
      <c r="C8508" s="15" t="str">
        <f>IFERROR(__xludf.DUMMYFUNCTION("""COMPUTED_VALUE"""),"CÚCUTA")</f>
        <v>CÚCUTA</v>
      </c>
      <c r="D8508" s="15" t="str">
        <f>IFERROR(__xludf.DUMMYFUNCTION("""COMPUTED_VALUE"""),"BOGOTÁ")</f>
        <v>BOGOTÁ</v>
      </c>
      <c r="E8508" s="15" t="str">
        <f>IFERROR(__xludf.DUMMYFUNCTION("""COMPUTED_VALUE"""),"LINA PAOLA RAMIREZ GOMEZ - EVA MAZZITA")</f>
        <v>LINA PAOLA RAMIREZ GOMEZ - EVA MAZZITA</v>
      </c>
      <c r="F8508" s="17" t="str">
        <f>IFERROR(__xludf.DUMMYFUNCTION("""COMPUTED_VALUE"""),"Av 2E # 15A -17 Caobos / Caobos")</f>
        <v>Av 2E # 15A -17 Caobos / Caobos</v>
      </c>
      <c r="G8508" s="15" t="str">
        <f>IFERROR(__xludf.DUMMYFUNCTION("""COMPUTED_VALUE"""),"DACCY KARINA LOPEZ MORENO")</f>
        <v>DACCY KARINA LOPEZ MORENO</v>
      </c>
      <c r="H8508" s="16">
        <f>IFERROR(__xludf.DUMMYFUNCTION("""COMPUTED_VALUE"""),17153.0)</f>
        <v>17153</v>
      </c>
      <c r="I8508" s="17"/>
      <c r="J8508" s="17"/>
      <c r="K8508" s="17"/>
      <c r="L8508" s="17">
        <f>IFERROR(__xludf.DUMMYFUNCTION("""COMPUTED_VALUE"""),3.208615379E9)</f>
        <v>3208615379</v>
      </c>
      <c r="M8508" s="17"/>
      <c r="N8508" s="17"/>
      <c r="O8508" s="17"/>
      <c r="P8508" s="17" t="b">
        <f>IFERROR(__xludf.DUMMYFUNCTION("""COMPUTED_VALUE"""),TRUE)</f>
        <v>1</v>
      </c>
      <c r="Q8508" s="20">
        <f>IFERROR(__xludf.DUMMYFUNCTION("""COMPUTED_VALUE"""),45245.4916156713)</f>
        <v>45245.49162</v>
      </c>
      <c r="R8508" s="21" t="str">
        <f>IFERROR(__xludf.DUMMYFUNCTION("""COMPUTED_VALUE"""),"https://drive.google.com/file/d/1qWF-JWzvgMITx1CY9qO85m_-dmRyN1Q8/view?usp=drivesdk")</f>
        <v>https://drive.google.com/file/d/1qWF-JWzvgMITx1CY9qO85m_-dmRyN1Q8/view?usp=drivesdk</v>
      </c>
    </row>
    <row r="8509">
      <c r="A8509" s="15">
        <f>IFERROR(__xludf.DUMMYFUNCTION("""COMPUTED_VALUE"""),45240.0)</f>
        <v>45240</v>
      </c>
      <c r="B8509" s="16" t="str">
        <f>IFERROR(__xludf.DUMMYFUNCTION("""COMPUTED_VALUE"""),"Lina Gaona")</f>
        <v>Lina Gaona</v>
      </c>
      <c r="C8509" s="15" t="str">
        <f>IFERROR(__xludf.DUMMYFUNCTION("""COMPUTED_VALUE"""),"VILLAVICENCIO")</f>
        <v>VILLAVICENCIO</v>
      </c>
      <c r="D8509" s="15" t="str">
        <f>IFERROR(__xludf.DUMMYFUNCTION("""COMPUTED_VALUE"""),"MEDELLÍN")</f>
        <v>MEDELLÍN</v>
      </c>
      <c r="E8509" s="15" t="str">
        <f>IFERROR(__xludf.DUMMYFUNCTION("""COMPUTED_VALUE"""),"Moloso S.A.S")</f>
        <v>Moloso S.A.S</v>
      </c>
      <c r="F8509" s="17" t="str">
        <f>IFERROR(__xludf.DUMMYFUNCTION("""COMPUTED_VALUE"""),"DG 6SUR 42 136 / AMARILLO PASO LLANO TO 24 AP 501")</f>
        <v>DG 6SUR 42 136 / AMARILLO PASO LLANO TO 24 AP 501</v>
      </c>
      <c r="G8509" s="15" t="str">
        <f>IFERROR(__xludf.DUMMYFUNCTION("""COMPUTED_VALUE"""),"MARIA FERNANDA GUTIERREZ")</f>
        <v>MARIA FERNANDA GUTIERREZ</v>
      </c>
      <c r="H8509" s="16">
        <f>IFERROR(__xludf.DUMMYFUNCTION("""COMPUTED_VALUE"""),17085.0)</f>
        <v>17085</v>
      </c>
      <c r="I8509" s="17"/>
      <c r="J8509" s="17"/>
      <c r="K8509" s="17"/>
      <c r="L8509" s="17"/>
      <c r="M8509" s="17"/>
      <c r="N8509" s="17"/>
      <c r="O8509" s="17"/>
      <c r="P8509" s="17" t="b">
        <f>IFERROR(__xludf.DUMMYFUNCTION("""COMPUTED_VALUE"""),TRUE)</f>
        <v>1</v>
      </c>
      <c r="Q8509" s="20">
        <f>IFERROR(__xludf.DUMMYFUNCTION("""COMPUTED_VALUE"""),45245.4916156713)</f>
        <v>45245.49162</v>
      </c>
      <c r="R8509" s="21" t="str">
        <f>IFERROR(__xludf.DUMMYFUNCTION("""COMPUTED_VALUE"""),"https://drive.google.com/file/d/1N18v_k1FK6vlKw0Q93C2Wh01Gc_dyqd8/view?usp=drivesdk")</f>
        <v>https://drive.google.com/file/d/1N18v_k1FK6vlKw0Q93C2Wh01Gc_dyqd8/view?usp=drivesdk</v>
      </c>
    </row>
    <row r="8510">
      <c r="A8510" s="17" t="str">
        <f>IFERROR(__xludf.DUMMYFUNCTION("""COMPUTED_VALUE"""),"")</f>
        <v/>
      </c>
      <c r="B8510" s="17" t="str">
        <f>IFERROR(__xludf.DUMMYFUNCTION("""COMPUTED_VALUE"""),"")</f>
        <v/>
      </c>
      <c r="C8510" s="17" t="str">
        <f>IFERROR(__xludf.DUMMYFUNCTION("""COMPUTED_VALUE"""),"")</f>
        <v/>
      </c>
      <c r="D8510" s="17" t="str">
        <f>IFERROR(__xludf.DUMMYFUNCTION("""COMPUTED_VALUE"""),"")</f>
        <v/>
      </c>
      <c r="E8510" s="17" t="str">
        <f>IFERROR(__xludf.DUMMYFUNCTION("""COMPUTED_VALUE"""),"")</f>
        <v/>
      </c>
      <c r="F8510" s="17" t="str">
        <f>IFERROR(__xludf.DUMMYFUNCTION("""COMPUTED_VALUE"""),"")</f>
        <v/>
      </c>
      <c r="G8510" s="17" t="str">
        <f>IFERROR(__xludf.DUMMYFUNCTION("""COMPUTED_VALUE"""),"")</f>
        <v/>
      </c>
      <c r="H8510" s="17" t="str">
        <f>IFERROR(__xludf.DUMMYFUNCTION("""COMPUTED_VALUE"""),"")</f>
        <v/>
      </c>
      <c r="I8510" s="17" t="str">
        <f>IFERROR(__xludf.DUMMYFUNCTION("""COMPUTED_VALUE"""),"")</f>
        <v/>
      </c>
      <c r="J8510" s="17" t="str">
        <f>IFERROR(__xludf.DUMMYFUNCTION("""COMPUTED_VALUE"""),"")</f>
        <v/>
      </c>
      <c r="K8510" s="17" t="str">
        <f>IFERROR(__xludf.DUMMYFUNCTION("""COMPUTED_VALUE"""),"")</f>
        <v/>
      </c>
      <c r="L8510" s="17" t="str">
        <f>IFERROR(__xludf.DUMMYFUNCTION("""COMPUTED_VALUE"""),"")</f>
        <v/>
      </c>
      <c r="M8510" s="17" t="str">
        <f>IFERROR(__xludf.DUMMYFUNCTION("""COMPUTED_VALUE"""),"")</f>
        <v/>
      </c>
      <c r="N8510" s="17" t="str">
        <f>IFERROR(__xludf.DUMMYFUNCTION("""COMPUTED_VALUE"""),"")</f>
        <v/>
      </c>
      <c r="O8510" s="17" t="str">
        <f>IFERROR(__xludf.DUMMYFUNCTION("""COMPUTED_VALUE"""),"")</f>
        <v/>
      </c>
      <c r="P8510" s="17" t="str">
        <f>IFERROR(__xludf.DUMMYFUNCTION("""COMPUTED_VALUE"""),"")</f>
        <v/>
      </c>
      <c r="Q8510" s="17" t="str">
        <f>IFERROR(__xludf.DUMMYFUNCTION("""COMPUTED_VALUE"""),"")</f>
        <v/>
      </c>
      <c r="R8510" s="17" t="str">
        <f>IFERROR(__xludf.DUMMYFUNCTION("""COMPUTED_VALUE"""),"")</f>
        <v/>
      </c>
    </row>
    <row r="8511">
      <c r="A8511" s="15">
        <f>IFERROR(__xludf.DUMMYFUNCTION("""COMPUTED_VALUE"""),45240.0)</f>
        <v>45240</v>
      </c>
      <c r="B8511" s="16" t="str">
        <f>IFERROR(__xludf.DUMMYFUNCTION("""COMPUTED_VALUE"""),"Orlando Urdaneta Rincon ")</f>
        <v>Orlando Urdaneta Rincon </v>
      </c>
      <c r="C8511" s="15" t="str">
        <f>IFERROR(__xludf.DUMMYFUNCTION("""COMPUTED_VALUE"""),"SANTA MARTA")</f>
        <v>SANTA MARTA</v>
      </c>
      <c r="D8511" s="15" t="str">
        <f>IFERROR(__xludf.DUMMYFUNCTION("""COMPUTED_VALUE"""),"BOGOTÁ")</f>
        <v>BOGOTÁ</v>
      </c>
      <c r="E8511" s="15" t="str">
        <f>IFERROR(__xludf.DUMMYFUNCTION("""COMPUTED_VALUE"""),"Instinto alimento vital")</f>
        <v>Instinto alimento vital</v>
      </c>
      <c r="F8511" s="17" t="str">
        <f>IFERROR(__xludf.DUMMYFUNCTION("""COMPUTED_VALUE"""),"CR 1 B 26 A 109 / EDIFICIO ALMIRANTE APT 501")</f>
        <v>CR 1 B 26 A 109 / EDIFICIO ALMIRANTE APT 501</v>
      </c>
      <c r="G8511" s="15" t="str">
        <f>IFERROR(__xludf.DUMMYFUNCTION("""COMPUTED_VALUE"""),"VERONICA GOMEZ DE ZUBIRIA")</f>
        <v>VERONICA GOMEZ DE ZUBIRIA</v>
      </c>
      <c r="H8511" s="16">
        <f>IFERROR(__xludf.DUMMYFUNCTION("""COMPUTED_VALUE"""),17147.0)</f>
        <v>17147</v>
      </c>
      <c r="I8511" s="17"/>
      <c r="J8511" s="17"/>
      <c r="K8511" s="17"/>
      <c r="L8511" s="17">
        <f>IFERROR(__xludf.DUMMYFUNCTION("""COMPUTED_VALUE"""),3.107893555E9)</f>
        <v>3107893555</v>
      </c>
      <c r="M8511" s="17"/>
      <c r="N8511" s="17"/>
      <c r="O8511" s="17"/>
      <c r="P8511" s="17" t="b">
        <f>IFERROR(__xludf.DUMMYFUNCTION("""COMPUTED_VALUE"""),FALSE)</f>
        <v>0</v>
      </c>
      <c r="Q8511" s="20" t="str">
        <f>IFERROR(__xludf.DUMMYFUNCTION("""COMPUTED_VALUE"""),"")</f>
        <v/>
      </c>
      <c r="R8511" s="21" t="str">
        <f>IFERROR(__xludf.DUMMYFUNCTION("""COMPUTED_VALUE"""),"https://drive.google.com/file/d/1paRr3uAuKeHQwW0hvtLfEWEOAK83J72E/view?usp=drivesdk")</f>
        <v>https://drive.google.com/file/d/1paRr3uAuKeHQwW0hvtLfEWEOAK83J72E/view?usp=drivesdk</v>
      </c>
    </row>
    <row r="8512">
      <c r="A8512" s="17" t="str">
        <f>IFERROR(__xludf.DUMMYFUNCTION("""COMPUTED_VALUE"""),"")</f>
        <v/>
      </c>
      <c r="B8512" s="17" t="str">
        <f>IFERROR(__xludf.DUMMYFUNCTION("""COMPUTED_VALUE"""),"")</f>
        <v/>
      </c>
      <c r="C8512" s="17" t="str">
        <f>IFERROR(__xludf.DUMMYFUNCTION("""COMPUTED_VALUE"""),"")</f>
        <v/>
      </c>
      <c r="D8512" s="17" t="str">
        <f>IFERROR(__xludf.DUMMYFUNCTION("""COMPUTED_VALUE"""),"")</f>
        <v/>
      </c>
      <c r="E8512" s="17" t="str">
        <f>IFERROR(__xludf.DUMMYFUNCTION("""COMPUTED_VALUE"""),"")</f>
        <v/>
      </c>
      <c r="F8512" s="17" t="str">
        <f>IFERROR(__xludf.DUMMYFUNCTION("""COMPUTED_VALUE"""),"")</f>
        <v/>
      </c>
      <c r="G8512" s="17" t="str">
        <f>IFERROR(__xludf.DUMMYFUNCTION("""COMPUTED_VALUE"""),"")</f>
        <v/>
      </c>
      <c r="H8512" s="17" t="str">
        <f>IFERROR(__xludf.DUMMYFUNCTION("""COMPUTED_VALUE"""),"")</f>
        <v/>
      </c>
      <c r="I8512" s="17" t="str">
        <f>IFERROR(__xludf.DUMMYFUNCTION("""COMPUTED_VALUE"""),"")</f>
        <v/>
      </c>
      <c r="J8512" s="17" t="str">
        <f>IFERROR(__xludf.DUMMYFUNCTION("""COMPUTED_VALUE"""),"")</f>
        <v/>
      </c>
      <c r="K8512" s="17" t="str">
        <f>IFERROR(__xludf.DUMMYFUNCTION("""COMPUTED_VALUE"""),"")</f>
        <v/>
      </c>
      <c r="L8512" s="17" t="str">
        <f>IFERROR(__xludf.DUMMYFUNCTION("""COMPUTED_VALUE"""),"")</f>
        <v/>
      </c>
      <c r="M8512" s="17" t="str">
        <f>IFERROR(__xludf.DUMMYFUNCTION("""COMPUTED_VALUE"""),"")</f>
        <v/>
      </c>
      <c r="N8512" s="17" t="str">
        <f>IFERROR(__xludf.DUMMYFUNCTION("""COMPUTED_VALUE"""),"")</f>
        <v/>
      </c>
      <c r="O8512" s="17" t="str">
        <f>IFERROR(__xludf.DUMMYFUNCTION("""COMPUTED_VALUE"""),"")</f>
        <v/>
      </c>
      <c r="P8512" s="17" t="str">
        <f>IFERROR(__xludf.DUMMYFUNCTION("""COMPUTED_VALUE"""),"")</f>
        <v/>
      </c>
      <c r="Q8512" s="17" t="str">
        <f>IFERROR(__xludf.DUMMYFUNCTION("""COMPUTED_VALUE"""),"")</f>
        <v/>
      </c>
      <c r="R8512" s="17" t="str">
        <f>IFERROR(__xludf.DUMMYFUNCTION("""COMPUTED_VALUE"""),"")</f>
        <v/>
      </c>
    </row>
    <row r="8513">
      <c r="A8513" s="15">
        <f>IFERROR(__xludf.DUMMYFUNCTION("""COMPUTED_VALUE"""),45240.0)</f>
        <v>45240</v>
      </c>
      <c r="B8513" s="16" t="str">
        <f>IFERROR(__xludf.DUMMYFUNCTION("""COMPUTED_VALUE"""),"Santiago Garces Restrepo")</f>
        <v>Santiago Garces Restrepo</v>
      </c>
      <c r="C8513" s="15" t="str">
        <f>IFERROR(__xludf.DUMMYFUNCTION("""COMPUTED_VALUE"""),"CALI")</f>
        <v>CALI</v>
      </c>
      <c r="D8513" s="15" t="str">
        <f>IFERROR(__xludf.DUMMYFUNCTION("""COMPUTED_VALUE"""),"BOGOTÁ")</f>
        <v>BOGOTÁ</v>
      </c>
      <c r="E8513" s="15" t="str">
        <f>IFERROR(__xludf.DUMMYFUNCTION("""COMPUTED_VALUE"""),"Renata")</f>
        <v>Renata</v>
      </c>
      <c r="F8513" s="17" t="str">
        <f>IFERROR(__xludf.DUMMYFUNCTION("""COMPUTED_VALUE"""),"Carrera 3#3a-83 / Patio 34 food containers -restaurante  / San Fernando")</f>
        <v>Carrera 3#3a-83 / Patio 34 food containers -restaurante  / San Fernando</v>
      </c>
      <c r="G8513" s="15" t="str">
        <f>IFERROR(__xludf.DUMMYFUNCTION("""COMPUTED_VALUE"""),"Retaco sas")</f>
        <v>Retaco sas</v>
      </c>
      <c r="H8513" s="16">
        <f>IFERROR(__xludf.DUMMYFUNCTION("""COMPUTED_VALUE"""),17183.0)</f>
        <v>17183</v>
      </c>
      <c r="I8513" s="18">
        <f>IFERROR(__xludf.DUMMYFUNCTION("""COMPUTED_VALUE"""),90.0)</f>
        <v>90</v>
      </c>
      <c r="J8513" s="18">
        <f>IFERROR(__xludf.DUMMYFUNCTION("""COMPUTED_VALUE"""),70.0)</f>
        <v>70</v>
      </c>
      <c r="K8513" s="18">
        <f>IFERROR(__xludf.DUMMYFUNCTION("""COMPUTED_VALUE"""),60.0)</f>
        <v>60</v>
      </c>
      <c r="L8513" s="17">
        <f>IFERROR(__xludf.DUMMYFUNCTION("""COMPUTED_VALUE"""),3.134720976E9)</f>
        <v>3134720976</v>
      </c>
      <c r="M8513" s="17"/>
      <c r="N8513" s="17"/>
      <c r="O8513" s="17"/>
      <c r="P8513" s="17" t="b">
        <f>IFERROR(__xludf.DUMMYFUNCTION("""COMPUTED_VALUE"""),FALSE)</f>
        <v>0</v>
      </c>
      <c r="Q8513" s="20" t="str">
        <f>IFERROR(__xludf.DUMMYFUNCTION("""COMPUTED_VALUE"""),"")</f>
        <v/>
      </c>
      <c r="R8513" s="21" t="str">
        <f>IFERROR(__xludf.DUMMYFUNCTION("""COMPUTED_VALUE"""),"https://drive.google.com/file/d/18Zm20g1yF7ESVRi7AEM-bqpMzHFk0DkZ/view?usp=drivesdk")</f>
        <v>https://drive.google.com/file/d/18Zm20g1yF7ESVRi7AEM-bqpMzHFk0DkZ/view?usp=drivesdk</v>
      </c>
    </row>
    <row r="8514">
      <c r="A8514" s="15">
        <f>IFERROR(__xludf.DUMMYFUNCTION("""COMPUTED_VALUE"""),45240.0)</f>
        <v>45240</v>
      </c>
      <c r="B8514" s="16" t="str">
        <f>IFERROR(__xludf.DUMMYFUNCTION("""COMPUTED_VALUE"""),"Santiago Garces Restrepo")</f>
        <v>Santiago Garces Restrepo</v>
      </c>
      <c r="C8514" s="15" t="str">
        <f>IFERROR(__xludf.DUMMYFUNCTION("""COMPUTED_VALUE"""),"CALI")</f>
        <v>CALI</v>
      </c>
      <c r="D8514" s="15" t="str">
        <f>IFERROR(__xludf.DUMMYFUNCTION("""COMPUTED_VALUE"""),"BUCARAMANGA")</f>
        <v>BUCARAMANGA</v>
      </c>
      <c r="E8514" s="15" t="str">
        <f>IFERROR(__xludf.DUMMYFUNCTION("""COMPUTED_VALUE"""),"Yo Como Solito")</f>
        <v>Yo Como Solito</v>
      </c>
      <c r="F8514" s="17" t="str">
        <f>IFERROR(__xludf.DUMMYFUNCTION("""COMPUTED_VALUE"""),"CALLE 59 #93-130 UNIDAD TERRACOTA A APTO 604 TORRE 2A/ B. CIUDAD MELENDEZ (VALLE DEL LILI) / CALLE 59 #93-130 UNIDAD TERRACOTA A APTO 604 TORRE 2A/ B. CIUDAD MELENDEZ (VALLE DEL LILI) / CALLE 59 #93-130 UNIDAD TERRACOTA A APTO 604 TORRE 2A/ B. CIUDAD MELE"&amp;"NDEZ (VALLE DEL LILI)")</f>
        <v>CALLE 59 #93-130 UNIDAD TERRACOTA A APTO 604 TORRE 2A/ B. CIUDAD MELENDEZ (VALLE DEL LILI) / CALLE 59 #93-130 UNIDAD TERRACOTA A APTO 604 TORRE 2A/ B. CIUDAD MELENDEZ (VALLE DEL LILI) / CALLE 59 #93-130 UNIDAD TERRACOTA A APTO 604 TORRE 2A/ B. CIUDAD MELENDEZ (VALLE DEL LILI)</v>
      </c>
      <c r="G8514" s="15" t="str">
        <f>IFERROR(__xludf.DUMMYFUNCTION("""COMPUTED_VALUE"""),"JIREH RAMOS")</f>
        <v>JIREH RAMOS</v>
      </c>
      <c r="H8514" s="16">
        <f>IFERROR(__xludf.DUMMYFUNCTION("""COMPUTED_VALUE"""),17049.0)</f>
        <v>17049</v>
      </c>
      <c r="I8514" s="18">
        <f>IFERROR(__xludf.DUMMYFUNCTION("""COMPUTED_VALUE"""),20.0)</f>
        <v>20</v>
      </c>
      <c r="J8514" s="18">
        <f>IFERROR(__xludf.DUMMYFUNCTION("""COMPUTED_VALUE"""),28.0)</f>
        <v>28</v>
      </c>
      <c r="K8514" s="18">
        <f>IFERROR(__xludf.DUMMYFUNCTION("""COMPUTED_VALUE"""),38.0)</f>
        <v>38</v>
      </c>
      <c r="L8514" s="17">
        <f>IFERROR(__xludf.DUMMYFUNCTION("""COMPUTED_VALUE"""),3.175170844E9)</f>
        <v>3175170844</v>
      </c>
      <c r="M8514" s="17"/>
      <c r="N8514" s="17"/>
      <c r="O8514" s="17"/>
      <c r="P8514" s="17" t="b">
        <f>IFERROR(__xludf.DUMMYFUNCTION("""COMPUTED_VALUE"""),FALSE)</f>
        <v>0</v>
      </c>
      <c r="Q8514" s="20" t="str">
        <f>IFERROR(__xludf.DUMMYFUNCTION("""COMPUTED_VALUE"""),"")</f>
        <v/>
      </c>
      <c r="R8514" s="21" t="str">
        <f>IFERROR(__xludf.DUMMYFUNCTION("""COMPUTED_VALUE"""),"https://drive.google.com/file/d/1EVYN_6qk90D8xwJRJsZMi-wQiIbs-ytO/view?usp=drivesdk")</f>
        <v>https://drive.google.com/file/d/1EVYN_6qk90D8xwJRJsZMi-wQiIbs-ytO/view?usp=drivesdk</v>
      </c>
    </row>
    <row r="8515">
      <c r="A8515" s="15">
        <f>IFERROR(__xludf.DUMMYFUNCTION("""COMPUTED_VALUE"""),45240.0)</f>
        <v>45240</v>
      </c>
      <c r="B8515" s="16" t="str">
        <f>IFERROR(__xludf.DUMMYFUNCTION("""COMPUTED_VALUE"""),"Santiago Garces Restrepo")</f>
        <v>Santiago Garces Restrepo</v>
      </c>
      <c r="C8515" s="15" t="str">
        <f>IFERROR(__xludf.DUMMYFUNCTION("""COMPUTED_VALUE"""),"ENVIGADO")</f>
        <v>ENVIGADO</v>
      </c>
      <c r="D8515" s="15" t="str">
        <f>IFERROR(__xludf.DUMMYFUNCTION("""COMPUTED_VALUE"""),"BOGOTÁ")</f>
        <v>BOGOTÁ</v>
      </c>
      <c r="E8515" s="15" t="str">
        <f>IFERROR(__xludf.DUMMYFUNCTION("""COMPUTED_VALUE"""),"Ventura Productos Arg")</f>
        <v>Ventura Productos Arg</v>
      </c>
      <c r="F8515" s="17" t="str">
        <f>IFERROR(__xludf.DUMMYFUNCTION("""COMPUTED_VALUE"""),"Km 11 vía escobero Parcelacion San Luis casa 18 A / Lina Zapata Carrillo")</f>
        <v>Km 11 vía escobero Parcelacion San Luis casa 18 A / Lina Zapata Carrillo</v>
      </c>
      <c r="G8515" s="15" t="str">
        <f>IFERROR(__xludf.DUMMYFUNCTION("""COMPUTED_VALUE"""),"Lina Zapata Carrillo")</f>
        <v>Lina Zapata Carrillo</v>
      </c>
      <c r="H8515" s="16">
        <f>IFERROR(__xludf.DUMMYFUNCTION("""COMPUTED_VALUE"""),17187.0)</f>
        <v>17187</v>
      </c>
      <c r="I8515" s="17"/>
      <c r="J8515" s="17"/>
      <c r="K8515" s="17"/>
      <c r="L8515" s="17"/>
      <c r="M8515" s="17"/>
      <c r="N8515" s="17"/>
      <c r="O8515" s="17"/>
      <c r="P8515" s="17" t="b">
        <f>IFERROR(__xludf.DUMMYFUNCTION("""COMPUTED_VALUE"""),FALSE)</f>
        <v>0</v>
      </c>
      <c r="Q8515" s="20" t="str">
        <f>IFERROR(__xludf.DUMMYFUNCTION("""COMPUTED_VALUE"""),"")</f>
        <v/>
      </c>
      <c r="R8515" s="22" t="str">
        <f>IFERROR(__xludf.DUMMYFUNCTION("""COMPUTED_VALUE"""),"")</f>
        <v/>
      </c>
    </row>
    <row r="8516">
      <c r="A8516" s="15">
        <f>IFERROR(__xludf.DUMMYFUNCTION("""COMPUTED_VALUE"""),45240.0)</f>
        <v>45240</v>
      </c>
      <c r="B8516" s="16" t="str">
        <f>IFERROR(__xludf.DUMMYFUNCTION("""COMPUTED_VALUE"""),"Santiago Garces Restrepo")</f>
        <v>Santiago Garces Restrepo</v>
      </c>
      <c r="C8516" s="15" t="str">
        <f>IFERROR(__xludf.DUMMYFUNCTION("""COMPUTED_VALUE"""),"MEDELLÍN")</f>
        <v>MEDELLÍN</v>
      </c>
      <c r="D8516" s="15" t="str">
        <f>IFERROR(__xludf.DUMMYFUNCTION("""COMPUTED_VALUE"""),"BOGOTÁ")</f>
        <v>BOGOTÁ</v>
      </c>
      <c r="E8516" s="15" t="str">
        <f>IFERROR(__xludf.DUMMYFUNCTION("""COMPUTED_VALUE"""),"MAI ALIMENTOS REALES")</f>
        <v>MAI ALIMENTOS REALES</v>
      </c>
      <c r="F8516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516" s="15" t="str">
        <f>IFERROR(__xludf.DUMMYFUNCTION("""COMPUTED_VALUE"""),"Novaventas")</f>
        <v>Novaventas</v>
      </c>
      <c r="H8516" s="16">
        <f>IFERROR(__xludf.DUMMYFUNCTION("""COMPUTED_VALUE"""),17142.0)</f>
        <v>17142</v>
      </c>
      <c r="I8516" s="17"/>
      <c r="J8516" s="17"/>
      <c r="K8516" s="17"/>
      <c r="L8516" s="17">
        <f>IFERROR(__xludf.DUMMYFUNCTION("""COMPUTED_VALUE"""),3.187351593E9)</f>
        <v>3187351593</v>
      </c>
      <c r="M8516" s="17"/>
      <c r="N8516" s="17"/>
      <c r="O8516" s="17"/>
      <c r="P8516" s="17" t="b">
        <f>IFERROR(__xludf.DUMMYFUNCTION("""COMPUTED_VALUE"""),FALSE)</f>
        <v>0</v>
      </c>
      <c r="Q8516" s="20" t="str">
        <f>IFERROR(__xludf.DUMMYFUNCTION("""COMPUTED_VALUE"""),"")</f>
        <v/>
      </c>
      <c r="R8516" s="22" t="str">
        <f>IFERROR(__xludf.DUMMYFUNCTION("""COMPUTED_VALUE"""),"")</f>
        <v/>
      </c>
    </row>
    <row r="8517">
      <c r="A8517" s="15">
        <f>IFERROR(__xludf.DUMMYFUNCTION("""COMPUTED_VALUE"""),45240.0)</f>
        <v>45240</v>
      </c>
      <c r="B8517" s="16" t="str">
        <f>IFERROR(__xludf.DUMMYFUNCTION("""COMPUTED_VALUE"""),"Santiago Garces Restrepo")</f>
        <v>Santiago Garces Restrepo</v>
      </c>
      <c r="C8517" s="15" t="str">
        <f>IFERROR(__xludf.DUMMYFUNCTION("""COMPUTED_VALUE"""),"MEDELLÍN")</f>
        <v>MEDELLÍN</v>
      </c>
      <c r="D8517" s="15" t="str">
        <f>IFERROR(__xludf.DUMMYFUNCTION("""COMPUTED_VALUE"""),"BOGOTÁ")</f>
        <v>BOGOTÁ</v>
      </c>
      <c r="E8517" s="15" t="str">
        <f>IFERROR(__xludf.DUMMYFUNCTION("""COMPUTED_VALUE"""),"Natural Foodie")</f>
        <v>Natural Foodie</v>
      </c>
      <c r="F8517" s="17" t="str">
        <f>IFERROR(__xludf.DUMMYFUNCTION("""COMPUTED_VALUE"""),"Carrera 46 # 75 sur 150 / Apto 2107 torre 2  / Sabaneta")</f>
        <v>Carrera 46 # 75 sur 150 / Apto 2107 torre 2  / Sabaneta</v>
      </c>
      <c r="G8517" s="15" t="str">
        <f>IFERROR(__xludf.DUMMYFUNCTION("""COMPUTED_VALUE"""),"Víctor David Castaño")</f>
        <v>Víctor David Castaño</v>
      </c>
      <c r="H8517" s="16">
        <f>IFERROR(__xludf.DUMMYFUNCTION("""COMPUTED_VALUE"""),17176.0)</f>
        <v>17176</v>
      </c>
      <c r="I8517" s="18">
        <f>IFERROR(__xludf.DUMMYFUNCTION("""COMPUTED_VALUE"""),22.0)</f>
        <v>22</v>
      </c>
      <c r="J8517" s="18">
        <f>IFERROR(__xludf.DUMMYFUNCTION("""COMPUTED_VALUE"""),21.0)</f>
        <v>21</v>
      </c>
      <c r="K8517" s="18">
        <f>IFERROR(__xludf.DUMMYFUNCTION("""COMPUTED_VALUE"""),32.0)</f>
        <v>32</v>
      </c>
      <c r="L8517" s="17">
        <f>IFERROR(__xludf.DUMMYFUNCTION("""COMPUTED_VALUE"""),3.156749841E9)</f>
        <v>3156749841</v>
      </c>
      <c r="M8517" s="17"/>
      <c r="N8517" s="17"/>
      <c r="O8517" s="17"/>
      <c r="P8517" s="17" t="b">
        <f>IFERROR(__xludf.DUMMYFUNCTION("""COMPUTED_VALUE"""),FALSE)</f>
        <v>0</v>
      </c>
      <c r="Q8517" s="20" t="str">
        <f>IFERROR(__xludf.DUMMYFUNCTION("""COMPUTED_VALUE"""),"")</f>
        <v/>
      </c>
      <c r="R8517" s="22" t="str">
        <f>IFERROR(__xludf.DUMMYFUNCTION("""COMPUTED_VALUE"""),"")</f>
        <v/>
      </c>
    </row>
    <row r="8518">
      <c r="A8518" s="15">
        <f>IFERROR(__xludf.DUMMYFUNCTION("""COMPUTED_VALUE"""),45240.0)</f>
        <v>45240</v>
      </c>
      <c r="B8518" s="16" t="str">
        <f>IFERROR(__xludf.DUMMYFUNCTION("""COMPUTED_VALUE"""),"Santiago Garces Restrepo")</f>
        <v>Santiago Garces Restrepo</v>
      </c>
      <c r="C8518" s="15" t="str">
        <f>IFERROR(__xludf.DUMMYFUNCTION("""COMPUTED_VALUE"""),"MEDELLÍN")</f>
        <v>MEDELLÍN</v>
      </c>
      <c r="D8518" s="15" t="str">
        <f>IFERROR(__xludf.DUMMYFUNCTION("""COMPUTED_VALUE"""),"BOGOTÁ")</f>
        <v>BOGOTÁ</v>
      </c>
      <c r="E8518" s="15" t="str">
        <f>IFERROR(__xludf.DUMMYFUNCTION("""COMPUTED_VALUE"""),"Top Spun")</f>
        <v>Top Spun</v>
      </c>
      <c r="F8518" s="17" t="str">
        <f>IFERROR(__xludf.DUMMYFUNCTION("""COMPUTED_VALUE"""),"Calle 49 F # 87-35  / apto 320, torre 5, urbanización campo verde / Calazans")</f>
        <v>Calle 49 F # 87-35  / apto 320, torre 5, urbanización campo verde / Calazans</v>
      </c>
      <c r="G8518" s="15" t="str">
        <f>IFERROR(__xludf.DUMMYFUNCTION("""COMPUTED_VALUE"""),"Camila Grisales")</f>
        <v>Camila Grisales</v>
      </c>
      <c r="H8518" s="16">
        <f>IFERROR(__xludf.DUMMYFUNCTION("""COMPUTED_VALUE"""),17107.0)</f>
        <v>17107</v>
      </c>
      <c r="I8518" s="18">
        <f>IFERROR(__xludf.DUMMYFUNCTION("""COMPUTED_VALUE"""),20.0)</f>
        <v>20</v>
      </c>
      <c r="J8518" s="18">
        <f>IFERROR(__xludf.DUMMYFUNCTION("""COMPUTED_VALUE"""),10.0)</f>
        <v>10</v>
      </c>
      <c r="K8518" s="18">
        <f>IFERROR(__xludf.DUMMYFUNCTION("""COMPUTED_VALUE"""),40.0)</f>
        <v>40</v>
      </c>
      <c r="L8518" s="17">
        <f>IFERROR(__xludf.DUMMYFUNCTION("""COMPUTED_VALUE"""),3.104690969E9)</f>
        <v>3104690969</v>
      </c>
      <c r="M8518" s="17"/>
      <c r="N8518" s="17"/>
      <c r="O8518" s="17"/>
      <c r="P8518" s="17" t="b">
        <f>IFERROR(__xludf.DUMMYFUNCTION("""COMPUTED_VALUE"""),FALSE)</f>
        <v>0</v>
      </c>
      <c r="Q8518" s="20" t="str">
        <f>IFERROR(__xludf.DUMMYFUNCTION("""COMPUTED_VALUE"""),"")</f>
        <v/>
      </c>
      <c r="R8518" s="22" t="str">
        <f>IFERROR(__xludf.DUMMYFUNCTION("""COMPUTED_VALUE"""),"")</f>
        <v/>
      </c>
    </row>
    <row r="8519">
      <c r="A8519" s="15">
        <f>IFERROR(__xludf.DUMMYFUNCTION("""COMPUTED_VALUE"""),45240.0)</f>
        <v>45240</v>
      </c>
      <c r="B8519" s="16" t="str">
        <f>IFERROR(__xludf.DUMMYFUNCTION("""COMPUTED_VALUE"""),"Santiago Garces Restrepo")</f>
        <v>Santiago Garces Restrepo</v>
      </c>
      <c r="C8519" s="15" t="str">
        <f>IFERROR(__xludf.DUMMYFUNCTION("""COMPUTED_VALUE"""),"MEDELLÍN")</f>
        <v>MEDELLÍN</v>
      </c>
      <c r="D8519" s="15" t="str">
        <f>IFERROR(__xludf.DUMMYFUNCTION("""COMPUTED_VALUE"""),"BOGOTÁ")</f>
        <v>BOGOTÁ</v>
      </c>
      <c r="E8519" s="15" t="str">
        <f>IFERROR(__xludf.DUMMYFUNCTION("""COMPUTED_VALUE"""),"Top Spun")</f>
        <v>Top Spun</v>
      </c>
      <c r="F8519" s="17" t="str">
        <f>IFERROR(__xludf.DUMMYFUNCTION("""COMPUTED_VALUE"""),"Calle 6 # 17 - 250   / Edificio robles de la calera / apto 1002")</f>
        <v>Calle 6 # 17 - 250   / Edificio robles de la calera / apto 1002</v>
      </c>
      <c r="G8519" s="15" t="str">
        <f>IFERROR(__xludf.DUMMYFUNCTION("""COMPUTED_VALUE"""),"Natalia Garcia")</f>
        <v>Natalia Garcia</v>
      </c>
      <c r="H8519" s="16">
        <f>IFERROR(__xludf.DUMMYFUNCTION("""COMPUTED_VALUE"""),17104.0)</f>
        <v>17104</v>
      </c>
      <c r="I8519" s="18">
        <f>IFERROR(__xludf.DUMMYFUNCTION("""COMPUTED_VALUE"""),20.0)</f>
        <v>20</v>
      </c>
      <c r="J8519" s="18">
        <f>IFERROR(__xludf.DUMMYFUNCTION("""COMPUTED_VALUE"""),10.0)</f>
        <v>10</v>
      </c>
      <c r="K8519" s="18">
        <f>IFERROR(__xludf.DUMMYFUNCTION("""COMPUTED_VALUE"""),40.0)</f>
        <v>40</v>
      </c>
      <c r="L8519" s="17">
        <f>IFERROR(__xludf.DUMMYFUNCTION("""COMPUTED_VALUE"""),3.168305902E9)</f>
        <v>3168305902</v>
      </c>
      <c r="M8519" s="17"/>
      <c r="N8519" s="17"/>
      <c r="O8519" s="17"/>
      <c r="P8519" s="17" t="b">
        <f>IFERROR(__xludf.DUMMYFUNCTION("""COMPUTED_VALUE"""),FALSE)</f>
        <v>0</v>
      </c>
      <c r="Q8519" s="20" t="str">
        <f>IFERROR(__xludf.DUMMYFUNCTION("""COMPUTED_VALUE"""),"")</f>
        <v/>
      </c>
      <c r="R8519" s="22" t="str">
        <f>IFERROR(__xludf.DUMMYFUNCTION("""COMPUTED_VALUE"""),"")</f>
        <v/>
      </c>
    </row>
    <row r="8520">
      <c r="A8520" s="15">
        <f>IFERROR(__xludf.DUMMYFUNCTION("""COMPUTED_VALUE"""),45240.0)</f>
        <v>45240</v>
      </c>
      <c r="B8520" s="16" t="str">
        <f>IFERROR(__xludf.DUMMYFUNCTION("""COMPUTED_VALUE"""),"Santiago Garces Restrepo")</f>
        <v>Santiago Garces Restrepo</v>
      </c>
      <c r="C8520" s="15" t="str">
        <f>IFERROR(__xludf.DUMMYFUNCTION("""COMPUTED_VALUE"""),"MEDELLÍN")</f>
        <v>MEDELLÍN</v>
      </c>
      <c r="D8520" s="15" t="str">
        <f>IFERROR(__xludf.DUMMYFUNCTION("""COMPUTED_VALUE"""),"BOGOTÁ")</f>
        <v>BOGOTÁ</v>
      </c>
      <c r="E8520" s="15" t="str">
        <f>IFERROR(__xludf.DUMMYFUNCTION("""COMPUTED_VALUE"""),"Top Spun")</f>
        <v>Top Spun</v>
      </c>
      <c r="F8520" s="17" t="str">
        <f>IFERROR(__xludf.DUMMYFUNCTION("""COMPUTED_VALUE"""),"Calle 7#25-153 apto 103 / Edificio Monteleone / Medellín")</f>
        <v>Calle 7#25-153 apto 103 / Edificio Monteleone / Medellín</v>
      </c>
      <c r="G8520" s="15" t="str">
        <f>IFERROR(__xludf.DUMMYFUNCTION("""COMPUTED_VALUE"""),"Camila Del Corral")</f>
        <v>Camila Del Corral</v>
      </c>
      <c r="H8520" s="16">
        <f>IFERROR(__xludf.DUMMYFUNCTION("""COMPUTED_VALUE"""),17102.0)</f>
        <v>17102</v>
      </c>
      <c r="I8520" s="18">
        <f>IFERROR(__xludf.DUMMYFUNCTION("""COMPUTED_VALUE"""),20.0)</f>
        <v>20</v>
      </c>
      <c r="J8520" s="18">
        <f>IFERROR(__xludf.DUMMYFUNCTION("""COMPUTED_VALUE"""),10.0)</f>
        <v>10</v>
      </c>
      <c r="K8520" s="18">
        <f>IFERROR(__xludf.DUMMYFUNCTION("""COMPUTED_VALUE"""),40.0)</f>
        <v>40</v>
      </c>
      <c r="L8520" s="17">
        <f>IFERROR(__xludf.DUMMYFUNCTION("""COMPUTED_VALUE"""),3.173658512E9)</f>
        <v>3173658512</v>
      </c>
      <c r="M8520" s="17"/>
      <c r="N8520" s="17"/>
      <c r="O8520" s="17"/>
      <c r="P8520" s="17" t="b">
        <f>IFERROR(__xludf.DUMMYFUNCTION("""COMPUTED_VALUE"""),FALSE)</f>
        <v>0</v>
      </c>
      <c r="Q8520" s="20" t="str">
        <f>IFERROR(__xludf.DUMMYFUNCTION("""COMPUTED_VALUE"""),"")</f>
        <v/>
      </c>
      <c r="R8520" s="22" t="str">
        <f>IFERROR(__xludf.DUMMYFUNCTION("""COMPUTED_VALUE"""),"")</f>
        <v/>
      </c>
    </row>
    <row r="8521">
      <c r="A8521" s="15">
        <f>IFERROR(__xludf.DUMMYFUNCTION("""COMPUTED_VALUE"""),45240.0)</f>
        <v>45240</v>
      </c>
      <c r="B8521" s="16" t="str">
        <f>IFERROR(__xludf.DUMMYFUNCTION("""COMPUTED_VALUE"""),"Santiago Garces Restrepo")</f>
        <v>Santiago Garces Restrepo</v>
      </c>
      <c r="C8521" s="15" t="str">
        <f>IFERROR(__xludf.DUMMYFUNCTION("""COMPUTED_VALUE"""),"MEDELLÍN")</f>
        <v>MEDELLÍN</v>
      </c>
      <c r="D8521" s="15" t="str">
        <f>IFERROR(__xludf.DUMMYFUNCTION("""COMPUTED_VALUE"""),"BOGOTÁ")</f>
        <v>BOGOTÁ</v>
      </c>
      <c r="E8521" s="15" t="str">
        <f>IFERROR(__xludf.DUMMYFUNCTION("""COMPUTED_VALUE"""),"Top Spun")</f>
        <v>Top Spun</v>
      </c>
      <c r="F8521" s="17" t="str">
        <f>IFERROR(__xludf.DUMMYFUNCTION("""COMPUTED_VALUE"""),"Cra 20 #12 sur 425  / es la Foret  / apt 1204")</f>
        <v>Cra 20 #12 sur 425  / es la Foret  / apt 1204</v>
      </c>
      <c r="G8521" s="15" t="str">
        <f>IFERROR(__xludf.DUMMYFUNCTION("""COMPUTED_VALUE"""),"Juliana López")</f>
        <v>Juliana López</v>
      </c>
      <c r="H8521" s="16">
        <f>IFERROR(__xludf.DUMMYFUNCTION("""COMPUTED_VALUE"""),17106.0)</f>
        <v>17106</v>
      </c>
      <c r="I8521" s="18">
        <f>IFERROR(__xludf.DUMMYFUNCTION("""COMPUTED_VALUE"""),20.0)</f>
        <v>20</v>
      </c>
      <c r="J8521" s="18">
        <f>IFERROR(__xludf.DUMMYFUNCTION("""COMPUTED_VALUE"""),10.0)</f>
        <v>10</v>
      </c>
      <c r="K8521" s="18">
        <f>IFERROR(__xludf.DUMMYFUNCTION("""COMPUTED_VALUE"""),40.0)</f>
        <v>40</v>
      </c>
      <c r="L8521" s="17">
        <f>IFERROR(__xludf.DUMMYFUNCTION("""COMPUTED_VALUE"""),3.108404724E9)</f>
        <v>3108404724</v>
      </c>
      <c r="M8521" s="17"/>
      <c r="N8521" s="17"/>
      <c r="O8521" s="17"/>
      <c r="P8521" s="17" t="b">
        <f>IFERROR(__xludf.DUMMYFUNCTION("""COMPUTED_VALUE"""),FALSE)</f>
        <v>0</v>
      </c>
      <c r="Q8521" s="20" t="str">
        <f>IFERROR(__xludf.DUMMYFUNCTION("""COMPUTED_VALUE"""),"")</f>
        <v/>
      </c>
      <c r="R8521" s="22" t="str">
        <f>IFERROR(__xludf.DUMMYFUNCTION("""COMPUTED_VALUE"""),"")</f>
        <v/>
      </c>
    </row>
    <row r="8522">
      <c r="A8522" s="15">
        <f>IFERROR(__xludf.DUMMYFUNCTION("""COMPUTED_VALUE"""),45240.0)</f>
        <v>45240</v>
      </c>
      <c r="B8522" s="16" t="str">
        <f>IFERROR(__xludf.DUMMYFUNCTION("""COMPUTED_VALUE"""),"Santiago Garces Restrepo")</f>
        <v>Santiago Garces Restrepo</v>
      </c>
      <c r="C8522" s="15" t="str">
        <f>IFERROR(__xludf.DUMMYFUNCTION("""COMPUTED_VALUE"""),"MEDELLÍN")</f>
        <v>MEDELLÍN</v>
      </c>
      <c r="D8522" s="15" t="str">
        <f>IFERROR(__xludf.DUMMYFUNCTION("""COMPUTED_VALUE"""),"BOGOTÁ")</f>
        <v>BOGOTÁ</v>
      </c>
      <c r="E8522" s="15" t="str">
        <f>IFERROR(__xludf.DUMMYFUNCTION("""COMPUTED_VALUE"""),"Top Spun")</f>
        <v>Top Spun</v>
      </c>
      <c r="F8522" s="17" t="str">
        <f>IFERROR(__xludf.DUMMYFUNCTION("""COMPUTED_VALUE"""),"Cra 45 # 1 - 191 / Torres de Patio Bonito El Poblado / Apto.1816")</f>
        <v>Cra 45 # 1 - 191 / Torres de Patio Bonito El Poblado / Apto.1816</v>
      </c>
      <c r="G8522" s="15" t="str">
        <f>IFERROR(__xludf.DUMMYFUNCTION("""COMPUTED_VALUE"""),"Shanel Richard / Adriana Vanegas")</f>
        <v>Shanel Richard / Adriana Vanegas</v>
      </c>
      <c r="H8522" s="16">
        <f>IFERROR(__xludf.DUMMYFUNCTION("""COMPUTED_VALUE"""),17103.0)</f>
        <v>17103</v>
      </c>
      <c r="I8522" s="18">
        <f>IFERROR(__xludf.DUMMYFUNCTION("""COMPUTED_VALUE"""),20.0)</f>
        <v>20</v>
      </c>
      <c r="J8522" s="18">
        <f>IFERROR(__xludf.DUMMYFUNCTION("""COMPUTED_VALUE"""),10.0)</f>
        <v>10</v>
      </c>
      <c r="K8522" s="18">
        <f>IFERROR(__xludf.DUMMYFUNCTION("""COMPUTED_VALUE"""),40.0)</f>
        <v>40</v>
      </c>
      <c r="L8522" s="17">
        <f>IFERROR(__xludf.DUMMYFUNCTION("""COMPUTED_VALUE"""),3.044348892E9)</f>
        <v>3044348892</v>
      </c>
      <c r="M8522" s="17"/>
      <c r="N8522" s="17"/>
      <c r="O8522" s="17"/>
      <c r="P8522" s="17" t="b">
        <f>IFERROR(__xludf.DUMMYFUNCTION("""COMPUTED_VALUE"""),FALSE)</f>
        <v>0</v>
      </c>
      <c r="Q8522" s="20" t="str">
        <f>IFERROR(__xludf.DUMMYFUNCTION("""COMPUTED_VALUE"""),"")</f>
        <v/>
      </c>
      <c r="R8522" s="22" t="str">
        <f>IFERROR(__xludf.DUMMYFUNCTION("""COMPUTED_VALUE"""),"")</f>
        <v/>
      </c>
    </row>
    <row r="8523">
      <c r="A8523" s="15">
        <f>IFERROR(__xludf.DUMMYFUNCTION("""COMPUTED_VALUE"""),45240.0)</f>
        <v>45240</v>
      </c>
      <c r="B8523" s="16" t="str">
        <f>IFERROR(__xludf.DUMMYFUNCTION("""COMPUTED_VALUE"""),"Santiago Garces Restrepo")</f>
        <v>Santiago Garces Restrepo</v>
      </c>
      <c r="C8523" s="15" t="str">
        <f>IFERROR(__xludf.DUMMYFUNCTION("""COMPUTED_VALUE"""),"MEDELLÍN")</f>
        <v>MEDELLÍN</v>
      </c>
      <c r="D8523" s="15" t="str">
        <f>IFERROR(__xludf.DUMMYFUNCTION("""COMPUTED_VALUE"""),"BOGOTÁ")</f>
        <v>BOGOTÁ</v>
      </c>
      <c r="E8523" s="15" t="str">
        <f>IFERROR(__xludf.DUMMYFUNCTION("""COMPUTED_VALUE"""),"Top Spun")</f>
        <v>Top Spun</v>
      </c>
      <c r="F8523" s="17" t="str">
        <f>IFERROR(__xludf.DUMMYFUNCTION("""COMPUTED_VALUE"""),"Torre 2 Calle 6a 16 35   / Almendros De La Calera 2504  / Apto 2504")</f>
        <v>Torre 2 Calle 6a 16 35   / Almendros De La Calera 2504  / Apto 2504</v>
      </c>
      <c r="G8523" s="15" t="str">
        <f>IFERROR(__xludf.DUMMYFUNCTION("""COMPUTED_VALUE"""),"Maria Camila Aristizabal Sorza")</f>
        <v>Maria Camila Aristizabal Sorza</v>
      </c>
      <c r="H8523" s="16">
        <f>IFERROR(__xludf.DUMMYFUNCTION("""COMPUTED_VALUE"""),17105.0)</f>
        <v>17105</v>
      </c>
      <c r="I8523" s="18">
        <f>IFERROR(__xludf.DUMMYFUNCTION("""COMPUTED_VALUE"""),20.0)</f>
        <v>20</v>
      </c>
      <c r="J8523" s="18">
        <f>IFERROR(__xludf.DUMMYFUNCTION("""COMPUTED_VALUE"""),10.0)</f>
        <v>10</v>
      </c>
      <c r="K8523" s="18">
        <f>IFERROR(__xludf.DUMMYFUNCTION("""COMPUTED_VALUE"""),40.0)</f>
        <v>40</v>
      </c>
      <c r="L8523" s="17">
        <f>IFERROR(__xludf.DUMMYFUNCTION("""COMPUTED_VALUE"""),3.015092594E9)</f>
        <v>3015092594</v>
      </c>
      <c r="M8523" s="17"/>
      <c r="N8523" s="17"/>
      <c r="O8523" s="17"/>
      <c r="P8523" s="17" t="b">
        <f>IFERROR(__xludf.DUMMYFUNCTION("""COMPUTED_VALUE"""),FALSE)</f>
        <v>0</v>
      </c>
      <c r="Q8523" s="20" t="str">
        <f>IFERROR(__xludf.DUMMYFUNCTION("""COMPUTED_VALUE"""),"")</f>
        <v/>
      </c>
      <c r="R8523" s="22" t="str">
        <f>IFERROR(__xludf.DUMMYFUNCTION("""COMPUTED_VALUE"""),"")</f>
        <v/>
      </c>
    </row>
    <row r="8524">
      <c r="A8524" s="15">
        <f>IFERROR(__xludf.DUMMYFUNCTION("""COMPUTED_VALUE"""),45240.0)</f>
        <v>45240</v>
      </c>
      <c r="B8524" s="16" t="str">
        <f>IFERROR(__xludf.DUMMYFUNCTION("""COMPUTED_VALUE"""),"Santiago Garces Restrepo")</f>
        <v>Santiago Garces Restrepo</v>
      </c>
      <c r="C8524" s="15" t="str">
        <f>IFERROR(__xludf.DUMMYFUNCTION("""COMPUTED_VALUE"""),"MEDELLÍN")</f>
        <v>MEDELLÍN</v>
      </c>
      <c r="D8524" s="15" t="str">
        <f>IFERROR(__xludf.DUMMYFUNCTION("""COMPUTED_VALUE"""),"BOGOTÁ")</f>
        <v>BOGOTÁ</v>
      </c>
      <c r="E8524" s="15" t="str">
        <f>IFERROR(__xludf.DUMMYFUNCTION("""COMPUTED_VALUE"""),"Trigoletta")</f>
        <v>Trigoletta</v>
      </c>
      <c r="F8524" s="17" t="str">
        <f>IFERROR(__xludf.DUMMYFUNCTION("""COMPUTED_VALUE"""),"Cra 39B # 65-23 / NA")</f>
        <v>Cra 39B # 65-23 / NA</v>
      </c>
      <c r="G8524" s="15" t="str">
        <f>IFERROR(__xludf.DUMMYFUNCTION("""COMPUTED_VALUE"""),"Anghie Cabrebra")</f>
        <v>Anghie Cabrebra</v>
      </c>
      <c r="H8524" s="16">
        <f>IFERROR(__xludf.DUMMYFUNCTION("""COMPUTED_VALUE"""),17166.0)</f>
        <v>17166</v>
      </c>
      <c r="I8524" s="17"/>
      <c r="J8524" s="17"/>
      <c r="K8524" s="17"/>
      <c r="L8524" s="17">
        <f>IFERROR(__xludf.DUMMYFUNCTION("""COMPUTED_VALUE"""),3.016970991E9)</f>
        <v>3016970991</v>
      </c>
      <c r="M8524" s="17"/>
      <c r="N8524" s="17"/>
      <c r="O8524" s="17"/>
      <c r="P8524" s="17" t="b">
        <f>IFERROR(__xludf.DUMMYFUNCTION("""COMPUTED_VALUE"""),FALSE)</f>
        <v>0</v>
      </c>
      <c r="Q8524" s="20" t="str">
        <f>IFERROR(__xludf.DUMMYFUNCTION("""COMPUTED_VALUE"""),"")</f>
        <v/>
      </c>
      <c r="R8524" s="22" t="str">
        <f>IFERROR(__xludf.DUMMYFUNCTION("""COMPUTED_VALUE"""),"")</f>
        <v/>
      </c>
    </row>
    <row r="8525">
      <c r="A8525" s="17" t="str">
        <f>IFERROR(__xludf.DUMMYFUNCTION("""COMPUTED_VALUE"""),"")</f>
        <v/>
      </c>
      <c r="B8525" s="17" t="str">
        <f>IFERROR(__xludf.DUMMYFUNCTION("""COMPUTED_VALUE"""),"")</f>
        <v/>
      </c>
      <c r="C8525" s="17" t="str">
        <f>IFERROR(__xludf.DUMMYFUNCTION("""COMPUTED_VALUE"""),"")</f>
        <v/>
      </c>
      <c r="D8525" s="17" t="str">
        <f>IFERROR(__xludf.DUMMYFUNCTION("""COMPUTED_VALUE"""),"")</f>
        <v/>
      </c>
      <c r="E8525" s="17" t="str">
        <f>IFERROR(__xludf.DUMMYFUNCTION("""COMPUTED_VALUE"""),"")</f>
        <v/>
      </c>
      <c r="F8525" s="17" t="str">
        <f>IFERROR(__xludf.DUMMYFUNCTION("""COMPUTED_VALUE"""),"")</f>
        <v/>
      </c>
      <c r="G8525" s="17" t="str">
        <f>IFERROR(__xludf.DUMMYFUNCTION("""COMPUTED_VALUE"""),"")</f>
        <v/>
      </c>
      <c r="H8525" s="17" t="str">
        <f>IFERROR(__xludf.DUMMYFUNCTION("""COMPUTED_VALUE"""),"")</f>
        <v/>
      </c>
      <c r="I8525" s="17" t="str">
        <f>IFERROR(__xludf.DUMMYFUNCTION("""COMPUTED_VALUE"""),"")</f>
        <v/>
      </c>
      <c r="J8525" s="17" t="str">
        <f>IFERROR(__xludf.DUMMYFUNCTION("""COMPUTED_VALUE"""),"")</f>
        <v/>
      </c>
      <c r="K8525" s="17" t="str">
        <f>IFERROR(__xludf.DUMMYFUNCTION("""COMPUTED_VALUE"""),"")</f>
        <v/>
      </c>
      <c r="L8525" s="17" t="str">
        <f>IFERROR(__xludf.DUMMYFUNCTION("""COMPUTED_VALUE"""),"")</f>
        <v/>
      </c>
      <c r="M8525" s="17" t="str">
        <f>IFERROR(__xludf.DUMMYFUNCTION("""COMPUTED_VALUE"""),"")</f>
        <v/>
      </c>
      <c r="N8525" s="17" t="str">
        <f>IFERROR(__xludf.DUMMYFUNCTION("""COMPUTED_VALUE"""),"")</f>
        <v/>
      </c>
      <c r="O8525" s="17" t="str">
        <f>IFERROR(__xludf.DUMMYFUNCTION("""COMPUTED_VALUE"""),"")</f>
        <v/>
      </c>
      <c r="P8525" s="17" t="str">
        <f>IFERROR(__xludf.DUMMYFUNCTION("""COMPUTED_VALUE"""),"")</f>
        <v/>
      </c>
      <c r="Q8525" s="17" t="str">
        <f>IFERROR(__xludf.DUMMYFUNCTION("""COMPUTED_VALUE"""),"")</f>
        <v/>
      </c>
      <c r="R8525" s="17" t="str">
        <f>IFERROR(__xludf.DUMMYFUNCTION("""COMPUTED_VALUE"""),"")</f>
        <v/>
      </c>
    </row>
    <row r="8526">
      <c r="A8526" s="15">
        <f>IFERROR(__xludf.DUMMYFUNCTION("""COMPUTED_VALUE"""),45245.0)</f>
        <v>45245</v>
      </c>
      <c r="B8526" s="17"/>
      <c r="C8526" s="15" t="str">
        <f>IFERROR(__xludf.DUMMYFUNCTION("""COMPUTED_VALUE"""),"ARMENIA")</f>
        <v>ARMENIA</v>
      </c>
      <c r="D8526" s="15" t="str">
        <f>IFERROR(__xludf.DUMMYFUNCTION("""COMPUTED_VALUE"""),"BOGOTÁ")</f>
        <v>BOGOTÁ</v>
      </c>
      <c r="E8526" s="15" t="str">
        <f>IFERROR(__xludf.DUMMYFUNCTION("""COMPUTED_VALUE"""),"Asociacion Agropecuaria Juana Maria")</f>
        <v>Asociacion Agropecuaria Juana Maria</v>
      </c>
      <c r="F8526" s="17" t="str">
        <f>IFERROR(__xludf.DUMMYFUNCTION("""COMPUTED_VALUE"""),"URBANIZACION ENTREVERDES MANZANA 8 CASA 7 / Armenia")</f>
        <v>URBANIZACION ENTREVERDES MANZANA 8 CASA 7 / Armenia</v>
      </c>
      <c r="G8526" s="15" t="str">
        <f>IFERROR(__xludf.DUMMYFUNCTION("""COMPUTED_VALUE"""),"Claudia Castillo")</f>
        <v>Claudia Castillo</v>
      </c>
      <c r="H8526" s="16">
        <f>IFERROR(__xludf.DUMMYFUNCTION("""COMPUTED_VALUE"""),17235.0)</f>
        <v>17235</v>
      </c>
      <c r="I8526" s="17"/>
      <c r="J8526" s="17"/>
      <c r="K8526" s="17"/>
      <c r="L8526" s="17">
        <f>IFERROR(__xludf.DUMMYFUNCTION("""COMPUTED_VALUE"""),3.20804821E9)</f>
        <v>3208048210</v>
      </c>
      <c r="M8526" s="17"/>
      <c r="N8526" s="17"/>
      <c r="O8526" s="17"/>
      <c r="P8526" s="17" t="b">
        <f>IFERROR(__xludf.DUMMYFUNCTION("""COMPUTED_VALUE"""),FALSE)</f>
        <v>0</v>
      </c>
      <c r="Q8526" s="20" t="str">
        <f>IFERROR(__xludf.DUMMYFUNCTION("""COMPUTED_VALUE"""),"")</f>
        <v/>
      </c>
      <c r="R8526" s="22" t="str">
        <f>IFERROR(__xludf.DUMMYFUNCTION("""COMPUTED_VALUE"""),"")</f>
        <v/>
      </c>
    </row>
    <row r="8527">
      <c r="A8527" s="15">
        <f>IFERROR(__xludf.DUMMYFUNCTION("""COMPUTED_VALUE"""),45245.0)</f>
        <v>45245</v>
      </c>
      <c r="B8527" s="17"/>
      <c r="C8527" s="15" t="str">
        <f>IFERROR(__xludf.DUMMYFUNCTION("""COMPUTED_VALUE"""),"BOGOTÁ")</f>
        <v>BOGOTÁ</v>
      </c>
      <c r="D8527" s="15" t="str">
        <f>IFERROR(__xludf.DUMMYFUNCTION("""COMPUTED_VALUE"""),"MEDELLÍN")</f>
        <v>MEDELLÍN</v>
      </c>
      <c r="E8527" s="15" t="str">
        <f>IFERROR(__xludf.DUMMYFUNCTION("""COMPUTED_VALUE"""),"Puro Verde")</f>
        <v>Puro Verde</v>
      </c>
      <c r="F8527" s="17" t="str">
        <f>IFERROR(__xludf.DUMMYFUNCTION("""COMPUTED_VALUE"""),"CRA 16 A # 77-23.  / LOCAL 4 / BARRIO EL LAGO")</f>
        <v>CRA 16 A # 77-23.  / LOCAL 4 / BARRIO EL LAGO</v>
      </c>
      <c r="G8527" s="15" t="str">
        <f>IFERROR(__xludf.DUMMYFUNCTION("""COMPUTED_VALUE"""),"DANDO CUERDA")</f>
        <v>DANDO CUERDA</v>
      </c>
      <c r="H8527" s="16">
        <f>IFERROR(__xludf.DUMMYFUNCTION("""COMPUTED_VALUE"""),17212.0)</f>
        <v>17212</v>
      </c>
      <c r="I8527" s="18">
        <f>IFERROR(__xludf.DUMMYFUNCTION("""COMPUTED_VALUE"""),55.0)</f>
        <v>55</v>
      </c>
      <c r="J8527" s="18">
        <f>IFERROR(__xludf.DUMMYFUNCTION("""COMPUTED_VALUE"""),45.0)</f>
        <v>45</v>
      </c>
      <c r="K8527" s="18">
        <f>IFERROR(__xludf.DUMMYFUNCTION("""COMPUTED_VALUE"""),52.5)</f>
        <v>52.5</v>
      </c>
      <c r="L8527" s="17">
        <f>IFERROR(__xludf.DUMMYFUNCTION("""COMPUTED_VALUE"""),3.163816691E9)</f>
        <v>3163816691</v>
      </c>
      <c r="M8527" s="17"/>
      <c r="N8527" s="17"/>
      <c r="O8527" s="17"/>
      <c r="P8527" s="17" t="b">
        <f>IFERROR(__xludf.DUMMYFUNCTION("""COMPUTED_VALUE"""),FALSE)</f>
        <v>0</v>
      </c>
      <c r="Q8527" s="20" t="str">
        <f>IFERROR(__xludf.DUMMYFUNCTION("""COMPUTED_VALUE"""),"")</f>
        <v/>
      </c>
      <c r="R8527" s="21" t="str">
        <f>IFERROR(__xludf.DUMMYFUNCTION("""COMPUTED_VALUE"""),"https://drive.google.com/file/d/1jDPvKXU69SnHURLLAJxN94vxMZ79ZshI/view?usp=drivesdk")</f>
        <v>https://drive.google.com/file/d/1jDPvKXU69SnHURLLAJxN94vxMZ79ZshI/view?usp=drivesdk</v>
      </c>
    </row>
    <row r="8528">
      <c r="A8528" s="15">
        <f>IFERROR(__xludf.DUMMYFUNCTION("""COMPUTED_VALUE"""),45245.0)</f>
        <v>45245</v>
      </c>
      <c r="B8528" s="17"/>
      <c r="C8528" s="15" t="str">
        <f>IFERROR(__xludf.DUMMYFUNCTION("""COMPUTED_VALUE"""),"BOGOTÁ")</f>
        <v>BOGOTÁ</v>
      </c>
      <c r="D8528" s="15" t="str">
        <f>IFERROR(__xludf.DUMMYFUNCTION("""COMPUTED_VALUE"""),"MEDELLÍN")</f>
        <v>MEDELLÍN</v>
      </c>
      <c r="E8528" s="15" t="str">
        <f>IFERROR(__xludf.DUMMYFUNCTION("""COMPUTED_VALUE"""),"The Smoked House")</f>
        <v>The Smoked House</v>
      </c>
      <c r="F8528" s="17" t="str">
        <f>IFERROR(__xludf.DUMMYFUNCTION("""COMPUTED_VALUE"""),"Cra 49#238-60 Hacienda San Simon, El Alcaparro, Casa 10  / S  / S ")</f>
        <v>Cra 49#238-60 Hacienda San Simon, El Alcaparro, Casa 10  / S  / S </v>
      </c>
      <c r="G8528" s="15" t="str">
        <f>IFERROR(__xludf.DUMMYFUNCTION("""COMPUTED_VALUE"""),"Mónica ")</f>
        <v>Mónica </v>
      </c>
      <c r="H8528" s="16">
        <f>IFERROR(__xludf.DUMMYFUNCTION("""COMPUTED_VALUE"""),17281.0)</f>
        <v>17281</v>
      </c>
      <c r="I8528" s="18">
        <f>IFERROR(__xludf.DUMMYFUNCTION("""COMPUTED_VALUE"""),30.0)</f>
        <v>30</v>
      </c>
      <c r="J8528" s="18">
        <f>IFERROR(__xludf.DUMMYFUNCTION("""COMPUTED_VALUE"""),63.0)</f>
        <v>63</v>
      </c>
      <c r="K8528" s="18">
        <f>IFERROR(__xludf.DUMMYFUNCTION("""COMPUTED_VALUE"""),31.0)</f>
        <v>31</v>
      </c>
      <c r="L8528" s="17">
        <f>IFERROR(__xludf.DUMMYFUNCTION("""COMPUTED_VALUE"""),3.158825395E9)</f>
        <v>3158825395</v>
      </c>
      <c r="M8528" s="17"/>
      <c r="N8528" s="17"/>
      <c r="O8528" s="17"/>
      <c r="P8528" s="17" t="b">
        <f>IFERROR(__xludf.DUMMYFUNCTION("""COMPUTED_VALUE"""),FALSE)</f>
        <v>0</v>
      </c>
      <c r="Q8528" s="20" t="str">
        <f>IFERROR(__xludf.DUMMYFUNCTION("""COMPUTED_VALUE"""),"")</f>
        <v/>
      </c>
      <c r="R8528" s="21" t="str">
        <f>IFERROR(__xludf.DUMMYFUNCTION("""COMPUTED_VALUE"""),"https://drive.google.com/file/d/1f_1UkTAgCd8jBuKtVqxix76p8ExhnWyf/view?usp=drivesdk")</f>
        <v>https://drive.google.com/file/d/1f_1UkTAgCd8jBuKtVqxix76p8ExhnWyf/view?usp=drivesdk</v>
      </c>
    </row>
    <row r="8529">
      <c r="A8529" s="15">
        <f>IFERROR(__xludf.DUMMYFUNCTION("""COMPUTED_VALUE"""),45245.0)</f>
        <v>45245</v>
      </c>
      <c r="B8529" s="17"/>
      <c r="C8529" s="15" t="str">
        <f>IFERROR(__xludf.DUMMYFUNCTION("""COMPUTED_VALUE"""),"MEDELLÍN")</f>
        <v>MEDELLÍN</v>
      </c>
      <c r="D8529" s="15" t="str">
        <f>IFERROR(__xludf.DUMMYFUNCTION("""COMPUTED_VALUE"""),"BOGOTÁ")</f>
        <v>BOGOTÁ</v>
      </c>
      <c r="E8529" s="15" t="str">
        <f>IFERROR(__xludf.DUMMYFUNCTION("""COMPUTED_VALUE"""),"Asociacion Agropecuaria Juana Maria")</f>
        <v>Asociacion Agropecuaria Juana Maria</v>
      </c>
      <c r="F8529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8529" s="15" t="str">
        <f>IFERROR(__xludf.DUMMYFUNCTION("""COMPUTED_VALUE"""),"Jennifer Sanchez Blandon")</f>
        <v>Jennifer Sanchez Blandon</v>
      </c>
      <c r="H8529" s="16">
        <f>IFERROR(__xludf.DUMMYFUNCTION("""COMPUTED_VALUE"""),17234.0)</f>
        <v>17234</v>
      </c>
      <c r="I8529" s="17"/>
      <c r="J8529" s="17"/>
      <c r="K8529" s="17"/>
      <c r="L8529" s="17">
        <f>IFERROR(__xludf.DUMMYFUNCTION("""COMPUTED_VALUE"""),3.016937674E9)</f>
        <v>3016937674</v>
      </c>
      <c r="M8529" s="17"/>
      <c r="N8529" s="17"/>
      <c r="O8529" s="17"/>
      <c r="P8529" s="17" t="b">
        <f>IFERROR(__xludf.DUMMYFUNCTION("""COMPUTED_VALUE"""),FALSE)</f>
        <v>0</v>
      </c>
      <c r="Q8529" s="20" t="str">
        <f>IFERROR(__xludf.DUMMYFUNCTION("""COMPUTED_VALUE"""),"")</f>
        <v/>
      </c>
      <c r="R8529" s="22" t="str">
        <f>IFERROR(__xludf.DUMMYFUNCTION("""COMPUTED_VALUE"""),"")</f>
        <v/>
      </c>
    </row>
    <row r="8530">
      <c r="A8530" s="17" t="str">
        <f>IFERROR(__xludf.DUMMYFUNCTION("""COMPUTED_VALUE"""),"")</f>
        <v/>
      </c>
      <c r="B8530" s="17" t="str">
        <f>IFERROR(__xludf.DUMMYFUNCTION("""COMPUTED_VALUE"""),"")</f>
        <v/>
      </c>
      <c r="C8530" s="17" t="str">
        <f>IFERROR(__xludf.DUMMYFUNCTION("""COMPUTED_VALUE"""),"")</f>
        <v/>
      </c>
      <c r="D8530" s="17" t="str">
        <f>IFERROR(__xludf.DUMMYFUNCTION("""COMPUTED_VALUE"""),"")</f>
        <v/>
      </c>
      <c r="E8530" s="17" t="str">
        <f>IFERROR(__xludf.DUMMYFUNCTION("""COMPUTED_VALUE"""),"")</f>
        <v/>
      </c>
      <c r="F8530" s="17" t="str">
        <f>IFERROR(__xludf.DUMMYFUNCTION("""COMPUTED_VALUE"""),"")</f>
        <v/>
      </c>
      <c r="G8530" s="17" t="str">
        <f>IFERROR(__xludf.DUMMYFUNCTION("""COMPUTED_VALUE"""),"")</f>
        <v/>
      </c>
      <c r="H8530" s="17" t="str">
        <f>IFERROR(__xludf.DUMMYFUNCTION("""COMPUTED_VALUE"""),"")</f>
        <v/>
      </c>
      <c r="I8530" s="17" t="str">
        <f>IFERROR(__xludf.DUMMYFUNCTION("""COMPUTED_VALUE"""),"")</f>
        <v/>
      </c>
      <c r="J8530" s="17" t="str">
        <f>IFERROR(__xludf.DUMMYFUNCTION("""COMPUTED_VALUE"""),"")</f>
        <v/>
      </c>
      <c r="K8530" s="17" t="str">
        <f>IFERROR(__xludf.DUMMYFUNCTION("""COMPUTED_VALUE"""),"")</f>
        <v/>
      </c>
      <c r="L8530" s="17" t="str">
        <f>IFERROR(__xludf.DUMMYFUNCTION("""COMPUTED_VALUE"""),"")</f>
        <v/>
      </c>
      <c r="M8530" s="17" t="str">
        <f>IFERROR(__xludf.DUMMYFUNCTION("""COMPUTED_VALUE"""),"")</f>
        <v/>
      </c>
      <c r="N8530" s="17" t="str">
        <f>IFERROR(__xludf.DUMMYFUNCTION("""COMPUTED_VALUE"""),"")</f>
        <v/>
      </c>
      <c r="O8530" s="17" t="str">
        <f>IFERROR(__xludf.DUMMYFUNCTION("""COMPUTED_VALUE"""),"")</f>
        <v/>
      </c>
      <c r="P8530" s="17" t="str">
        <f>IFERROR(__xludf.DUMMYFUNCTION("""COMPUTED_VALUE"""),"")</f>
        <v/>
      </c>
      <c r="Q8530" s="17" t="str">
        <f>IFERROR(__xludf.DUMMYFUNCTION("""COMPUTED_VALUE"""),"")</f>
        <v/>
      </c>
      <c r="R8530" s="17" t="str">
        <f>IFERROR(__xludf.DUMMYFUNCTION("""COMPUTED_VALUE"""),"")</f>
        <v/>
      </c>
    </row>
    <row r="8531">
      <c r="A8531" s="15">
        <f>IFERROR(__xludf.DUMMYFUNCTION("""COMPUTED_VALUE"""),45245.0)</f>
        <v>45245</v>
      </c>
      <c r="B8531" s="16" t="str">
        <f>IFERROR(__xludf.DUMMYFUNCTION("""COMPUTED_VALUE"""),"Alvaro Chacón")</f>
        <v>Alvaro Chacón</v>
      </c>
      <c r="C8531" s="15" t="str">
        <f>IFERROR(__xludf.DUMMYFUNCTION("""COMPUTED_VALUE"""),"BOGOTÁ")</f>
        <v>BOGOTÁ</v>
      </c>
      <c r="D8531" s="15" t="str">
        <f>IFERROR(__xludf.DUMMYFUNCTION("""COMPUTED_VALUE"""),"ENVIGADO")</f>
        <v>ENVIGADO</v>
      </c>
      <c r="E8531" s="15" t="str">
        <f>IFERROR(__xludf.DUMMYFUNCTION("""COMPUTED_VALUE"""),"JUAN CAMILO CORDOBA")</f>
        <v>JUAN CAMILO CORDOBA</v>
      </c>
      <c r="F8531" s="17" t="str">
        <f>IFERROR(__xludf.DUMMYFUNCTION("""COMPUTED_VALUE"""),"Calle 41 a # 8-25 / bulevar 42 apto 707 b")</f>
        <v>Calle 41 a # 8-25 / bulevar 42 apto 707 b</v>
      </c>
      <c r="G8531" s="15" t="str">
        <f>IFERROR(__xludf.DUMMYFUNCTION("""COMPUTED_VALUE"""),"Nutriclicstore")</f>
        <v>Nutriclicstore</v>
      </c>
      <c r="H8531" s="16">
        <f>IFERROR(__xludf.DUMMYFUNCTION("""COMPUTED_VALUE"""),17305.0)</f>
        <v>17305</v>
      </c>
      <c r="I8531" s="17"/>
      <c r="J8531" s="17"/>
      <c r="K8531" s="17"/>
      <c r="L8531" s="17">
        <f>IFERROR(__xludf.DUMMYFUNCTION("""COMPUTED_VALUE"""),3.102661625E9)</f>
        <v>3102661625</v>
      </c>
      <c r="M8531" s="17"/>
      <c r="N8531" s="17"/>
      <c r="O8531" s="17"/>
      <c r="P8531" s="17" t="b">
        <f>IFERROR(__xludf.DUMMYFUNCTION("""COMPUTED_VALUE"""),FALSE)</f>
        <v>0</v>
      </c>
      <c r="Q8531" s="20" t="str">
        <f>IFERROR(__xludf.DUMMYFUNCTION("""COMPUTED_VALUE"""),"")</f>
        <v/>
      </c>
      <c r="R8531" s="21" t="str">
        <f>IFERROR(__xludf.DUMMYFUNCTION("""COMPUTED_VALUE"""),"https://drive.google.com/file/d/1Tbs9NPsXP1NkQKy7prt7tGMjAlvh4Gyv/view?usp=drivesdk")</f>
        <v>https://drive.google.com/file/d/1Tbs9NPsXP1NkQKy7prt7tGMjAlvh4Gyv/view?usp=drivesdk</v>
      </c>
    </row>
    <row r="8532">
      <c r="A8532" s="15">
        <f>IFERROR(__xludf.DUMMYFUNCTION("""COMPUTED_VALUE"""),45245.0)</f>
        <v>45245</v>
      </c>
      <c r="B8532" s="16" t="str">
        <f>IFERROR(__xludf.DUMMYFUNCTION("""COMPUTED_VALUE"""),"Alvaro Chacón")</f>
        <v>Alvaro Chacón</v>
      </c>
      <c r="C8532" s="15" t="str">
        <f>IFERROR(__xludf.DUMMYFUNCTION("""COMPUTED_VALUE"""),"BOGOTÁ")</f>
        <v>BOGOTÁ</v>
      </c>
      <c r="D8532" s="15" t="str">
        <f>IFERROR(__xludf.DUMMYFUNCTION("""COMPUTED_VALUE"""),"MEDELLÍN")</f>
        <v>MEDELLÍN</v>
      </c>
      <c r="E8532" s="15" t="str">
        <f>IFERROR(__xludf.DUMMYFUNCTION("""COMPUTED_VALUE"""),"AREPAS LA MARY")</f>
        <v>AREPAS LA MARY</v>
      </c>
      <c r="F8532" s="17" t="str">
        <f>IFERROR(__xludf.DUMMYFUNCTION("""COMPUTED_VALUE"""),"CRA 13 # 93-13 LOCAL 103 / LOCAL 103 ")</f>
        <v>CRA 13 # 93-13 LOCAL 103 / LOCAL 103 </v>
      </c>
      <c r="G8532" s="15" t="str">
        <f>IFERROR(__xludf.DUMMYFUNCTION("""COMPUTED_VALUE"""),"HEALING FOODS ")</f>
        <v>HEALING FOODS </v>
      </c>
      <c r="H8532" s="16">
        <f>IFERROR(__xludf.DUMMYFUNCTION("""COMPUTED_VALUE"""),17254.0)</f>
        <v>17254</v>
      </c>
      <c r="I8532" s="18">
        <f>IFERROR(__xludf.DUMMYFUNCTION("""COMPUTED_VALUE"""),89.0)</f>
        <v>89</v>
      </c>
      <c r="J8532" s="18">
        <f>IFERROR(__xludf.DUMMYFUNCTION("""COMPUTED_VALUE"""),1.0)</f>
        <v>1</v>
      </c>
      <c r="K8532" s="18">
        <f>IFERROR(__xludf.DUMMYFUNCTION("""COMPUTED_VALUE"""),10.0)</f>
        <v>10</v>
      </c>
      <c r="L8532" s="17">
        <f>IFERROR(__xludf.DUMMYFUNCTION("""COMPUTED_VALUE"""),3.142647408E9)</f>
        <v>3142647408</v>
      </c>
      <c r="M8532" s="17"/>
      <c r="N8532" s="17"/>
      <c r="O8532" s="17"/>
      <c r="P8532" s="17" t="b">
        <f>IFERROR(__xludf.DUMMYFUNCTION("""COMPUTED_VALUE"""),FALSE)</f>
        <v>0</v>
      </c>
      <c r="Q8532" s="20" t="str">
        <f>IFERROR(__xludf.DUMMYFUNCTION("""COMPUTED_VALUE"""),"")</f>
        <v/>
      </c>
      <c r="R8532" s="21" t="str">
        <f>IFERROR(__xludf.DUMMYFUNCTION("""COMPUTED_VALUE"""),"https://drive.google.com/file/d/1MuZ7Zam2EXv_6slq_-wxaorfZ_VsddIQ/view?usp=drivesdk")</f>
        <v>https://drive.google.com/file/d/1MuZ7Zam2EXv_6slq_-wxaorfZ_VsddIQ/view?usp=drivesdk</v>
      </c>
    </row>
    <row r="8533">
      <c r="A8533" s="15">
        <f>IFERROR(__xludf.DUMMYFUNCTION("""COMPUTED_VALUE"""),45245.0)</f>
        <v>45245</v>
      </c>
      <c r="B8533" s="16" t="str">
        <f>IFERROR(__xludf.DUMMYFUNCTION("""COMPUTED_VALUE"""),"Alvaro Chacón")</f>
        <v>Alvaro Chacón</v>
      </c>
      <c r="C8533" s="15" t="str">
        <f>IFERROR(__xludf.DUMMYFUNCTION("""COMPUTED_VALUE"""),"BOGOTÁ")</f>
        <v>BOGOTÁ</v>
      </c>
      <c r="D8533" s="15" t="str">
        <f>IFERROR(__xludf.DUMMYFUNCTION("""COMPUTED_VALUE"""),"MEDELLÍN")</f>
        <v>MEDELLÍN</v>
      </c>
      <c r="E8533" s="15" t="str">
        <f>IFERROR(__xludf.DUMMYFUNCTION("""COMPUTED_VALUE"""),"AREPAS LA MARY")</f>
        <v>AREPAS LA MARY</v>
      </c>
      <c r="F8533" s="17" t="str">
        <f>IFERROR(__xludf.DUMMYFUNCTION("""COMPUTED_VALUE"""),"Nativo / variante Chía-Cota BOGOTA")</f>
        <v>Nativo / variante Chía-Cota BOGOTA</v>
      </c>
      <c r="G8533" s="15" t="str">
        <f>IFERROR(__xludf.DUMMYFUNCTION("""COMPUTED_VALUE"""),"CAROLINA CLEVES ")</f>
        <v>CAROLINA CLEVES </v>
      </c>
      <c r="H8533" s="16">
        <f>IFERROR(__xludf.DUMMYFUNCTION("""COMPUTED_VALUE"""),17256.0)</f>
        <v>17256</v>
      </c>
      <c r="I8533" s="18">
        <f>IFERROR(__xludf.DUMMYFUNCTION("""COMPUTED_VALUE"""),89.0)</f>
        <v>89</v>
      </c>
      <c r="J8533" s="18">
        <f>IFERROR(__xludf.DUMMYFUNCTION("""COMPUTED_VALUE"""),1.0)</f>
        <v>1</v>
      </c>
      <c r="K8533" s="18">
        <f>IFERROR(__xludf.DUMMYFUNCTION("""COMPUTED_VALUE"""),10.0)</f>
        <v>10</v>
      </c>
      <c r="L8533" s="17" t="str">
        <f>IFERROR(__xludf.DUMMYFUNCTION("""COMPUTED_VALUE"""),"318 3120336")</f>
        <v>318 3120336</v>
      </c>
      <c r="M8533" s="17"/>
      <c r="N8533" s="17"/>
      <c r="O8533" s="17"/>
      <c r="P8533" s="17" t="b">
        <f>IFERROR(__xludf.DUMMYFUNCTION("""COMPUTED_VALUE"""),FALSE)</f>
        <v>0</v>
      </c>
      <c r="Q8533" s="20" t="str">
        <f>IFERROR(__xludf.DUMMYFUNCTION("""COMPUTED_VALUE"""),"")</f>
        <v/>
      </c>
      <c r="R8533" s="21" t="str">
        <f>IFERROR(__xludf.DUMMYFUNCTION("""COMPUTED_VALUE"""),"https://drive.google.com/file/d/1tSqXsbSyIK9e6KAcXU0R8cJ6kyg25c_b/view?usp=drivesdk")</f>
        <v>https://drive.google.com/file/d/1tSqXsbSyIK9e6KAcXU0R8cJ6kyg25c_b/view?usp=drivesdk</v>
      </c>
    </row>
    <row r="8534">
      <c r="A8534" s="15">
        <f>IFERROR(__xludf.DUMMYFUNCTION("""COMPUTED_VALUE"""),45245.0)</f>
        <v>45245</v>
      </c>
      <c r="B8534" s="16" t="str">
        <f>IFERROR(__xludf.DUMMYFUNCTION("""COMPUTED_VALUE"""),"Alvaro Chacón")</f>
        <v>Alvaro Chacón</v>
      </c>
      <c r="C8534" s="15" t="str">
        <f>IFERROR(__xludf.DUMMYFUNCTION("""COMPUTED_VALUE"""),"BOGOTÁ")</f>
        <v>BOGOTÁ</v>
      </c>
      <c r="D8534" s="15" t="str">
        <f>IFERROR(__xludf.DUMMYFUNCTION("""COMPUTED_VALUE"""),"MEDELLÍN")</f>
        <v>MEDELLÍN</v>
      </c>
      <c r="E8534" s="15" t="str">
        <f>IFERROR(__xludf.DUMMYFUNCTION("""COMPUTED_VALUE"""),"Baby Chef")</f>
        <v>Baby Chef</v>
      </c>
      <c r="F8534" s="17" t="str">
        <f>IFERROR(__xludf.DUMMYFUNCTION("""COMPUTED_VALUE"""),"Calle 131A no. 9-59 Torre 1(L) Apto 402 / . / .")</f>
        <v>Calle 131A no. 9-59 Torre 1(L) Apto 402 / . / .</v>
      </c>
      <c r="G8534" s="15" t="str">
        <f>IFERROR(__xludf.DUMMYFUNCTION("""COMPUTED_VALUE"""),"Lorena González")</f>
        <v>Lorena González</v>
      </c>
      <c r="H8534" s="16">
        <f>IFERROR(__xludf.DUMMYFUNCTION("""COMPUTED_VALUE"""),17284.0)</f>
        <v>17284</v>
      </c>
      <c r="I8534" s="18">
        <f>IFERROR(__xludf.DUMMYFUNCTION("""COMPUTED_VALUE"""),12.0)</f>
        <v>12</v>
      </c>
      <c r="J8534" s="18">
        <f>IFERROR(__xludf.DUMMYFUNCTION("""COMPUTED_VALUE"""),26.0)</f>
        <v>26</v>
      </c>
      <c r="K8534" s="18">
        <f>IFERROR(__xludf.DUMMYFUNCTION("""COMPUTED_VALUE"""),40.0)</f>
        <v>40</v>
      </c>
      <c r="L8534" s="17">
        <f>IFERROR(__xludf.DUMMYFUNCTION("""COMPUTED_VALUE"""),3.105562636E9)</f>
        <v>3105562636</v>
      </c>
      <c r="M8534" s="17"/>
      <c r="N8534" s="17"/>
      <c r="O8534" s="17"/>
      <c r="P8534" s="17" t="b">
        <f>IFERROR(__xludf.DUMMYFUNCTION("""COMPUTED_VALUE"""),FALSE)</f>
        <v>0</v>
      </c>
      <c r="Q8534" s="20" t="str">
        <f>IFERROR(__xludf.DUMMYFUNCTION("""COMPUTED_VALUE"""),"")</f>
        <v/>
      </c>
      <c r="R8534" s="21" t="str">
        <f>IFERROR(__xludf.DUMMYFUNCTION("""COMPUTED_VALUE"""),"https://drive.google.com/file/d/1oygugEqH6RJFnUDiq5mCKKNzFirh28gW/view?usp=drivesdk")</f>
        <v>https://drive.google.com/file/d/1oygugEqH6RJFnUDiq5mCKKNzFirh28gW/view?usp=drivesdk</v>
      </c>
    </row>
    <row r="8535">
      <c r="A8535" s="15">
        <f>IFERROR(__xludf.DUMMYFUNCTION("""COMPUTED_VALUE"""),45245.0)</f>
        <v>45245</v>
      </c>
      <c r="B8535" s="16" t="str">
        <f>IFERROR(__xludf.DUMMYFUNCTION("""COMPUTED_VALUE"""),"Alvaro Chacón")</f>
        <v>Alvaro Chacón</v>
      </c>
      <c r="C8535" s="15" t="str">
        <f>IFERROR(__xludf.DUMMYFUNCTION("""COMPUTED_VALUE"""),"BOGOTÁ")</f>
        <v>BOGOTÁ</v>
      </c>
      <c r="D8535" s="15" t="str">
        <f>IFERROR(__xludf.DUMMYFUNCTION("""COMPUTED_VALUE"""),"MEDELLÍN")</f>
        <v>MEDELLÍN</v>
      </c>
      <c r="E8535" s="15" t="str">
        <f>IFERROR(__xludf.DUMMYFUNCTION("""COMPUTED_VALUE"""),"Lácteos El Pino SAS")</f>
        <v>Lácteos El Pino SAS</v>
      </c>
      <c r="F8535" s="17" t="str">
        <f>IFERROR(__xludf.DUMMYFUNCTION("""COMPUTED_VALUE"""),"CALLE 93 #18 - 81 / ENTREGAR EN EL LOCAL")</f>
        <v>CALLE 93 #18 - 81 / ENTREGAR EN EL LOCAL</v>
      </c>
      <c r="G8535" s="15" t="str">
        <f>IFERROR(__xludf.DUMMYFUNCTION("""COMPUTED_VALUE"""),"KIM")</f>
        <v>KIM</v>
      </c>
      <c r="H8535" s="16">
        <f>IFERROR(__xludf.DUMMYFUNCTION("""COMPUTED_VALUE"""),17229.0)</f>
        <v>17229</v>
      </c>
      <c r="I8535" s="17"/>
      <c r="J8535" s="17"/>
      <c r="K8535" s="17"/>
      <c r="L8535" s="17">
        <f>IFERROR(__xludf.DUMMYFUNCTION("""COMPUTED_VALUE"""),3.24566062E9)</f>
        <v>3245660620</v>
      </c>
      <c r="M8535" s="17"/>
      <c r="N8535" s="17"/>
      <c r="O8535" s="17"/>
      <c r="P8535" s="17" t="b">
        <f>IFERROR(__xludf.DUMMYFUNCTION("""COMPUTED_VALUE"""),FALSE)</f>
        <v>0</v>
      </c>
      <c r="Q8535" s="20" t="str">
        <f>IFERROR(__xludf.DUMMYFUNCTION("""COMPUTED_VALUE"""),"")</f>
        <v/>
      </c>
      <c r="R8535" s="21" t="str">
        <f>IFERROR(__xludf.DUMMYFUNCTION("""COMPUTED_VALUE"""),"https://drive.google.com/file/d/1vVF6aGb0CdZdYw3H4J01UtADqbIsBZoB/view?usp=drivesdk")</f>
        <v>https://drive.google.com/file/d/1vVF6aGb0CdZdYw3H4J01UtADqbIsBZoB/view?usp=drivesdk</v>
      </c>
    </row>
    <row r="8536">
      <c r="A8536" s="17" t="str">
        <f>IFERROR(__xludf.DUMMYFUNCTION("""COMPUTED_VALUE"""),"")</f>
        <v/>
      </c>
      <c r="B8536" s="17" t="str">
        <f>IFERROR(__xludf.DUMMYFUNCTION("""COMPUTED_VALUE"""),"")</f>
        <v/>
      </c>
      <c r="C8536" s="17" t="str">
        <f>IFERROR(__xludf.DUMMYFUNCTION("""COMPUTED_VALUE"""),"")</f>
        <v/>
      </c>
      <c r="D8536" s="17" t="str">
        <f>IFERROR(__xludf.DUMMYFUNCTION("""COMPUTED_VALUE"""),"")</f>
        <v/>
      </c>
      <c r="E8536" s="17" t="str">
        <f>IFERROR(__xludf.DUMMYFUNCTION("""COMPUTED_VALUE"""),"")</f>
        <v/>
      </c>
      <c r="F8536" s="17" t="str">
        <f>IFERROR(__xludf.DUMMYFUNCTION("""COMPUTED_VALUE"""),"")</f>
        <v/>
      </c>
      <c r="G8536" s="17" t="str">
        <f>IFERROR(__xludf.DUMMYFUNCTION("""COMPUTED_VALUE"""),"")</f>
        <v/>
      </c>
      <c r="H8536" s="17" t="str">
        <f>IFERROR(__xludf.DUMMYFUNCTION("""COMPUTED_VALUE"""),"")</f>
        <v/>
      </c>
      <c r="I8536" s="17" t="str">
        <f>IFERROR(__xludf.DUMMYFUNCTION("""COMPUTED_VALUE"""),"")</f>
        <v/>
      </c>
      <c r="J8536" s="17" t="str">
        <f>IFERROR(__xludf.DUMMYFUNCTION("""COMPUTED_VALUE"""),"")</f>
        <v/>
      </c>
      <c r="K8536" s="17" t="str">
        <f>IFERROR(__xludf.DUMMYFUNCTION("""COMPUTED_VALUE"""),"")</f>
        <v/>
      </c>
      <c r="L8536" s="17" t="str">
        <f>IFERROR(__xludf.DUMMYFUNCTION("""COMPUTED_VALUE"""),"")</f>
        <v/>
      </c>
      <c r="M8536" s="17" t="str">
        <f>IFERROR(__xludf.DUMMYFUNCTION("""COMPUTED_VALUE"""),"")</f>
        <v/>
      </c>
      <c r="N8536" s="17" t="str">
        <f>IFERROR(__xludf.DUMMYFUNCTION("""COMPUTED_VALUE"""),"")</f>
        <v/>
      </c>
      <c r="O8536" s="17" t="str">
        <f>IFERROR(__xludf.DUMMYFUNCTION("""COMPUTED_VALUE"""),"")</f>
        <v/>
      </c>
      <c r="P8536" s="17" t="str">
        <f>IFERROR(__xludf.DUMMYFUNCTION("""COMPUTED_VALUE"""),"")</f>
        <v/>
      </c>
      <c r="Q8536" s="17" t="str">
        <f>IFERROR(__xludf.DUMMYFUNCTION("""COMPUTED_VALUE"""),"")</f>
        <v/>
      </c>
      <c r="R8536" s="17" t="str">
        <f>IFERROR(__xludf.DUMMYFUNCTION("""COMPUTED_VALUE"""),"")</f>
        <v/>
      </c>
    </row>
    <row r="8537">
      <c r="A8537" s="15">
        <f>IFERROR(__xludf.DUMMYFUNCTION("""COMPUTED_VALUE"""),45245.0)</f>
        <v>45245</v>
      </c>
      <c r="B8537" s="16" t="str">
        <f>IFERROR(__xludf.DUMMYFUNCTION("""COMPUTED_VALUE"""),"Carlos Andres Pirachican Numpaque (Mayerli)")</f>
        <v>Carlos Andres Pirachican Numpaque (Mayerli)</v>
      </c>
      <c r="C8537" s="15" t="str">
        <f>IFERROR(__xludf.DUMMYFUNCTION("""COMPUTED_VALUE"""),"CARTAGENA")</f>
        <v>CARTAGENA</v>
      </c>
      <c r="D8537" s="15" t="str">
        <f>IFERROR(__xludf.DUMMYFUNCTION("""COMPUTED_VALUE"""),"BOGOTÁ")</f>
        <v>BOGOTÁ</v>
      </c>
      <c r="E8537" s="15" t="str">
        <f>IFERROR(__xludf.DUMMYFUNCTION("""COMPUTED_VALUE"""),"Ventura Productos Arg")</f>
        <v>Ventura Productos Arg</v>
      </c>
      <c r="F8537" s="17" t="str">
        <f>IFERROR(__xludf.DUMMYFUNCTION("""COMPUTED_VALUE"""),"Condominio Laguna club almendros 6 apto 3c / Condominio Laguna club almendros 6 apto 3c")</f>
        <v>Condominio Laguna club almendros 6 apto 3c / Condominio Laguna club almendros 6 apto 3c</v>
      </c>
      <c r="G8537" s="15" t="str">
        <f>IFERROR(__xludf.DUMMYFUNCTION("""COMPUTED_VALUE"""),"Miguel Sabogal")</f>
        <v>Miguel Sabogal</v>
      </c>
      <c r="H8537" s="16">
        <f>IFERROR(__xludf.DUMMYFUNCTION("""COMPUTED_VALUE"""),17226.0)</f>
        <v>17226</v>
      </c>
      <c r="I8537" s="17"/>
      <c r="J8537" s="17"/>
      <c r="K8537" s="17"/>
      <c r="L8537" s="17">
        <f>IFERROR(__xludf.DUMMYFUNCTION("""COMPUTED_VALUE"""),3.164695653E9)</f>
        <v>3164695653</v>
      </c>
      <c r="M8537" s="17"/>
      <c r="N8537" s="17"/>
      <c r="O8537" s="17"/>
      <c r="P8537" s="17" t="b">
        <f>IFERROR(__xludf.DUMMYFUNCTION("""COMPUTED_VALUE"""),FALSE)</f>
        <v>0</v>
      </c>
      <c r="Q8537" s="20" t="str">
        <f>IFERROR(__xludf.DUMMYFUNCTION("""COMPUTED_VALUE"""),"")</f>
        <v/>
      </c>
      <c r="R8537" s="22" t="str">
        <f>IFERROR(__xludf.DUMMYFUNCTION("""COMPUTED_VALUE"""),"")</f>
        <v/>
      </c>
    </row>
    <row r="8538">
      <c r="A8538" s="15">
        <f>IFERROR(__xludf.DUMMYFUNCTION("""COMPUTED_VALUE"""),45245.0)</f>
        <v>45245</v>
      </c>
      <c r="B8538" s="16" t="str">
        <f>IFERROR(__xludf.DUMMYFUNCTION("""COMPUTED_VALUE"""),"Carlos Andres Pirachican Numpaque (Mayerli)")</f>
        <v>Carlos Andres Pirachican Numpaque (Mayerli)</v>
      </c>
      <c r="C8538" s="15" t="str">
        <f>IFERROR(__xludf.DUMMYFUNCTION("""COMPUTED_VALUE"""),"DUITAMA")</f>
        <v>DUITAMA</v>
      </c>
      <c r="D8538" s="15" t="str">
        <f>IFERROR(__xludf.DUMMYFUNCTION("""COMPUTED_VALUE"""),"BOGOTÁ")</f>
        <v>BOGOTÁ</v>
      </c>
      <c r="E8538" s="15" t="str">
        <f>IFERROR(__xludf.DUMMYFUNCTION("""COMPUTED_VALUE"""),"Top Spun")</f>
        <v>Top Spun</v>
      </c>
      <c r="F8538" s="17" t="str">
        <f>IFERROR(__xludf.DUMMYFUNCTION("""COMPUTED_VALUE"""),"Cra 18 # 22 - 114 / Apto 401 / Duitama")</f>
        <v>Cra 18 # 22 - 114 / Apto 401 / Duitama</v>
      </c>
      <c r="G8538" s="15" t="str">
        <f>IFERROR(__xludf.DUMMYFUNCTION("""COMPUTED_VALUE"""),"Lorena Cardenas")</f>
        <v>Lorena Cardenas</v>
      </c>
      <c r="H8538" s="16">
        <f>IFERROR(__xludf.DUMMYFUNCTION("""COMPUTED_VALUE"""),17258.0)</f>
        <v>17258</v>
      </c>
      <c r="I8538" s="18">
        <f>IFERROR(__xludf.DUMMYFUNCTION("""COMPUTED_VALUE"""),20.0)</f>
        <v>20</v>
      </c>
      <c r="J8538" s="18">
        <f>IFERROR(__xludf.DUMMYFUNCTION("""COMPUTED_VALUE"""),10.0)</f>
        <v>10</v>
      </c>
      <c r="K8538" s="18">
        <f>IFERROR(__xludf.DUMMYFUNCTION("""COMPUTED_VALUE"""),40.0)</f>
        <v>40</v>
      </c>
      <c r="L8538" s="17">
        <f>IFERROR(__xludf.DUMMYFUNCTION("""COMPUTED_VALUE"""),3.138201717E9)</f>
        <v>3138201717</v>
      </c>
      <c r="M8538" s="17"/>
      <c r="N8538" s="17"/>
      <c r="O8538" s="17"/>
      <c r="P8538" s="17" t="b">
        <f>IFERROR(__xludf.DUMMYFUNCTION("""COMPUTED_VALUE"""),FALSE)</f>
        <v>0</v>
      </c>
      <c r="Q8538" s="20" t="str">
        <f>IFERROR(__xludf.DUMMYFUNCTION("""COMPUTED_VALUE"""),"")</f>
        <v/>
      </c>
      <c r="R8538" s="21" t="str">
        <f>IFERROR(__xludf.DUMMYFUNCTION("""COMPUTED_VALUE"""),"https://drive.google.com/file/d/1ztOFRQIesMgCTluSeQF6Kf-4HmAG55z7/view?usp=drivesdk")</f>
        <v>https://drive.google.com/file/d/1ztOFRQIesMgCTluSeQF6Kf-4HmAG55z7/view?usp=drivesdk</v>
      </c>
    </row>
    <row r="8539">
      <c r="A8539" s="15">
        <f>IFERROR(__xludf.DUMMYFUNCTION("""COMPUTED_VALUE"""),45245.0)</f>
        <v>45245</v>
      </c>
      <c r="B8539" s="16" t="str">
        <f>IFERROR(__xludf.DUMMYFUNCTION("""COMPUTED_VALUE"""),"Carlos Andres Pirachican Numpaque (Mayerli)")</f>
        <v>Carlos Andres Pirachican Numpaque (Mayerli)</v>
      </c>
      <c r="C8539" s="15" t="str">
        <f>IFERROR(__xludf.DUMMYFUNCTION("""COMPUTED_VALUE"""),"TUNJA")</f>
        <v>TUNJA</v>
      </c>
      <c r="D8539" s="15" t="str">
        <f>IFERROR(__xludf.DUMMYFUNCTION("""COMPUTED_VALUE"""),"BOGOTÁ")</f>
        <v>BOGOTÁ</v>
      </c>
      <c r="E8539" s="15" t="str">
        <f>IFERROR(__xludf.DUMMYFUNCTION("""COMPUTED_VALUE"""),"Asociacion Agropecuaria Juana Maria")</f>
        <v>Asociacion Agropecuaria Juana Maria</v>
      </c>
      <c r="F8539" s="17" t="str">
        <f>IFERROR(__xludf.DUMMYFUNCTION("""COMPUTED_VALUE"""),"Carrera 2 A # 45b-03 / Tunja")</f>
        <v>Carrera 2 A # 45b-03 / Tunja</v>
      </c>
      <c r="G8539" s="15" t="str">
        <f>IFERROR(__xludf.DUMMYFUNCTION("""COMPUTED_VALUE"""),"Adriana Paola Hernandez Sarmiento")</f>
        <v>Adriana Paola Hernandez Sarmiento</v>
      </c>
      <c r="H8539" s="16">
        <f>IFERROR(__xludf.DUMMYFUNCTION("""COMPUTED_VALUE"""),17243.0)</f>
        <v>17243</v>
      </c>
      <c r="I8539" s="17"/>
      <c r="J8539" s="17"/>
      <c r="K8539" s="17"/>
      <c r="L8539" s="17">
        <f>IFERROR(__xludf.DUMMYFUNCTION("""COMPUTED_VALUE"""),3.223853604E9)</f>
        <v>3223853604</v>
      </c>
      <c r="M8539" s="17"/>
      <c r="N8539" s="17"/>
      <c r="O8539" s="17"/>
      <c r="P8539" s="17" t="b">
        <f>IFERROR(__xludf.DUMMYFUNCTION("""COMPUTED_VALUE"""),FALSE)</f>
        <v>0</v>
      </c>
      <c r="Q8539" s="20" t="str">
        <f>IFERROR(__xludf.DUMMYFUNCTION("""COMPUTED_VALUE"""),"")</f>
        <v/>
      </c>
      <c r="R8539" s="22" t="str">
        <f>IFERROR(__xludf.DUMMYFUNCTION("""COMPUTED_VALUE"""),"")</f>
        <v/>
      </c>
    </row>
    <row r="8540">
      <c r="A8540" s="15">
        <f>IFERROR(__xludf.DUMMYFUNCTION("""COMPUTED_VALUE"""),45245.0)</f>
        <v>45245</v>
      </c>
      <c r="B8540" s="16" t="str">
        <f>IFERROR(__xludf.DUMMYFUNCTION("""COMPUTED_VALUE"""),"Carlos Andres Pirachican Numpaque (Mayerli)")</f>
        <v>Carlos Andres Pirachican Numpaque (Mayerli)</v>
      </c>
      <c r="C8540" s="15" t="str">
        <f>IFERROR(__xludf.DUMMYFUNCTION("""COMPUTED_VALUE"""),"TUNJA")</f>
        <v>TUNJA</v>
      </c>
      <c r="D8540" s="15" t="str">
        <f>IFERROR(__xludf.DUMMYFUNCTION("""COMPUTED_VALUE"""),"BOGOTÁ")</f>
        <v>BOGOTÁ</v>
      </c>
      <c r="E8540" s="15" t="str">
        <f>IFERROR(__xludf.DUMMYFUNCTION("""COMPUTED_VALUE"""),"Asociacion Agropecuaria Juana Maria")</f>
        <v>Asociacion Agropecuaria Juana Maria</v>
      </c>
      <c r="F8540" s="17" t="str">
        <f>IFERROR(__xludf.DUMMYFUNCTION("""COMPUTED_VALUE"""),"Carrera 2 A # 45b-03 / Tunja")</f>
        <v>Carrera 2 A # 45b-03 / Tunja</v>
      </c>
      <c r="G8540" s="15" t="str">
        <f>IFERROR(__xludf.DUMMYFUNCTION("""COMPUTED_VALUE"""),"Adriana Paola Hernandez Sarmiento")</f>
        <v>Adriana Paola Hernandez Sarmiento</v>
      </c>
      <c r="H8540" s="16">
        <f>IFERROR(__xludf.DUMMYFUNCTION("""COMPUTED_VALUE"""),17244.0)</f>
        <v>17244</v>
      </c>
      <c r="I8540" s="17"/>
      <c r="J8540" s="17"/>
      <c r="K8540" s="17"/>
      <c r="L8540" s="17">
        <f>IFERROR(__xludf.DUMMYFUNCTION("""COMPUTED_VALUE"""),3.223853604E9)</f>
        <v>3223853604</v>
      </c>
      <c r="M8540" s="17"/>
      <c r="N8540" s="17"/>
      <c r="O8540" s="17"/>
      <c r="P8540" s="17" t="b">
        <f>IFERROR(__xludf.DUMMYFUNCTION("""COMPUTED_VALUE"""),FALSE)</f>
        <v>0</v>
      </c>
      <c r="Q8540" s="20" t="str">
        <f>IFERROR(__xludf.DUMMYFUNCTION("""COMPUTED_VALUE"""),"")</f>
        <v/>
      </c>
      <c r="R8540" s="22" t="str">
        <f>IFERROR(__xludf.DUMMYFUNCTION("""COMPUTED_VALUE"""),"")</f>
        <v/>
      </c>
    </row>
    <row r="8541">
      <c r="A8541" s="15">
        <f>IFERROR(__xludf.DUMMYFUNCTION("""COMPUTED_VALUE"""),45245.0)</f>
        <v>45245</v>
      </c>
      <c r="B8541" s="16" t="str">
        <f>IFERROR(__xludf.DUMMYFUNCTION("""COMPUTED_VALUE"""),"Carlos Andres Pirachican Numpaque (Mayerli)")</f>
        <v>Carlos Andres Pirachican Numpaque (Mayerli)</v>
      </c>
      <c r="C8541" s="15" t="str">
        <f>IFERROR(__xludf.DUMMYFUNCTION("""COMPUTED_VALUE"""),"TUNJA")</f>
        <v>TUNJA</v>
      </c>
      <c r="D8541" s="15" t="str">
        <f>IFERROR(__xludf.DUMMYFUNCTION("""COMPUTED_VALUE"""),"BOGOTÁ")</f>
        <v>BOGOTÁ</v>
      </c>
      <c r="E8541" s="15" t="str">
        <f>IFERROR(__xludf.DUMMYFUNCTION("""COMPUTED_VALUE"""),"Instinto alimento vital")</f>
        <v>Instinto alimento vital</v>
      </c>
      <c r="F8541" s="17" t="str">
        <f>IFERROR(__xludf.DUMMYFUNCTION("""COMPUTED_VALUE"""),"CL 73 # 2H - 23 / BR COEDUCADORES")</f>
        <v>CL 73 # 2H - 23 / BR COEDUCADORES</v>
      </c>
      <c r="G8541" s="15" t="str">
        <f>IFERROR(__xludf.DUMMYFUNCTION("""COMPUTED_VALUE"""),"LUIS JOSE CAMARGO CASTRO")</f>
        <v>LUIS JOSE CAMARGO CASTRO</v>
      </c>
      <c r="H8541" s="16">
        <f>IFERROR(__xludf.DUMMYFUNCTION("""COMPUTED_VALUE"""),17227.0)</f>
        <v>17227</v>
      </c>
      <c r="I8541" s="17"/>
      <c r="J8541" s="17"/>
      <c r="K8541" s="17"/>
      <c r="L8541" s="17">
        <f>IFERROR(__xludf.DUMMYFUNCTION("""COMPUTED_VALUE"""),3.022587305E9)</f>
        <v>3022587305</v>
      </c>
      <c r="M8541" s="17"/>
      <c r="N8541" s="17"/>
      <c r="O8541" s="17"/>
      <c r="P8541" s="17" t="b">
        <f>IFERROR(__xludf.DUMMYFUNCTION("""COMPUTED_VALUE"""),FALSE)</f>
        <v>0</v>
      </c>
      <c r="Q8541" s="20" t="str">
        <f>IFERROR(__xludf.DUMMYFUNCTION("""COMPUTED_VALUE"""),"")</f>
        <v/>
      </c>
      <c r="R8541" s="22" t="str">
        <f>IFERROR(__xludf.DUMMYFUNCTION("""COMPUTED_VALUE"""),"")</f>
        <v/>
      </c>
    </row>
    <row r="8542">
      <c r="A8542" s="17" t="str">
        <f>IFERROR(__xludf.DUMMYFUNCTION("""COMPUTED_VALUE"""),"")</f>
        <v/>
      </c>
      <c r="B8542" s="17" t="str">
        <f>IFERROR(__xludf.DUMMYFUNCTION("""COMPUTED_VALUE"""),"")</f>
        <v/>
      </c>
      <c r="C8542" s="17" t="str">
        <f>IFERROR(__xludf.DUMMYFUNCTION("""COMPUTED_VALUE"""),"")</f>
        <v/>
      </c>
      <c r="D8542" s="17" t="str">
        <f>IFERROR(__xludf.DUMMYFUNCTION("""COMPUTED_VALUE"""),"")</f>
        <v/>
      </c>
      <c r="E8542" s="17" t="str">
        <f>IFERROR(__xludf.DUMMYFUNCTION("""COMPUTED_VALUE"""),"")</f>
        <v/>
      </c>
      <c r="F8542" s="17" t="str">
        <f>IFERROR(__xludf.DUMMYFUNCTION("""COMPUTED_VALUE"""),"")</f>
        <v/>
      </c>
      <c r="G8542" s="17" t="str">
        <f>IFERROR(__xludf.DUMMYFUNCTION("""COMPUTED_VALUE"""),"")</f>
        <v/>
      </c>
      <c r="H8542" s="17" t="str">
        <f>IFERROR(__xludf.DUMMYFUNCTION("""COMPUTED_VALUE"""),"")</f>
        <v/>
      </c>
      <c r="I8542" s="17" t="str">
        <f>IFERROR(__xludf.DUMMYFUNCTION("""COMPUTED_VALUE"""),"")</f>
        <v/>
      </c>
      <c r="J8542" s="17" t="str">
        <f>IFERROR(__xludf.DUMMYFUNCTION("""COMPUTED_VALUE"""),"")</f>
        <v/>
      </c>
      <c r="K8542" s="17" t="str">
        <f>IFERROR(__xludf.DUMMYFUNCTION("""COMPUTED_VALUE"""),"")</f>
        <v/>
      </c>
      <c r="L8542" s="17" t="str">
        <f>IFERROR(__xludf.DUMMYFUNCTION("""COMPUTED_VALUE"""),"")</f>
        <v/>
      </c>
      <c r="M8542" s="17" t="str">
        <f>IFERROR(__xludf.DUMMYFUNCTION("""COMPUTED_VALUE"""),"")</f>
        <v/>
      </c>
      <c r="N8542" s="17" t="str">
        <f>IFERROR(__xludf.DUMMYFUNCTION("""COMPUTED_VALUE"""),"")</f>
        <v/>
      </c>
      <c r="O8542" s="17" t="str">
        <f>IFERROR(__xludf.DUMMYFUNCTION("""COMPUTED_VALUE"""),"")</f>
        <v/>
      </c>
      <c r="P8542" s="17" t="str">
        <f>IFERROR(__xludf.DUMMYFUNCTION("""COMPUTED_VALUE"""),"")</f>
        <v/>
      </c>
      <c r="Q8542" s="17" t="str">
        <f>IFERROR(__xludf.DUMMYFUNCTION("""COMPUTED_VALUE"""),"")</f>
        <v/>
      </c>
      <c r="R8542" s="17" t="str">
        <f>IFERROR(__xludf.DUMMYFUNCTION("""COMPUTED_VALUE"""),"")</f>
        <v/>
      </c>
    </row>
    <row r="8543">
      <c r="A8543" s="15">
        <f>IFERROR(__xludf.DUMMYFUNCTION("""COMPUTED_VALUE"""),45245.0)</f>
        <v>45245</v>
      </c>
      <c r="B8543" s="16" t="str">
        <f>IFERROR(__xludf.DUMMYFUNCTION("""COMPUTED_VALUE"""),"Daniel José sandoval gonzalez")</f>
        <v>Daniel José sandoval gonzalez</v>
      </c>
      <c r="C8543" s="15" t="str">
        <f>IFERROR(__xludf.DUMMYFUNCTION("""COMPUTED_VALUE"""),"JAMUNDI")</f>
        <v>JAMUNDI</v>
      </c>
      <c r="D8543" s="15" t="str">
        <f>IFERROR(__xludf.DUMMYFUNCTION("""COMPUTED_VALUE"""),"BOGOTÁ")</f>
        <v>BOGOTÁ</v>
      </c>
      <c r="E8543" s="15" t="str">
        <f>IFERROR(__xludf.DUMMYFUNCTION("""COMPUTED_VALUE"""),"Top Spun")</f>
        <v>Top Spun</v>
      </c>
      <c r="F8543" s="17" t="str">
        <f>IFERROR(__xludf.DUMMYFUNCTION("""COMPUTED_VALUE"""),"Calle 25 # 19-185 / Torre A apto 522  / unidad surcos de pangola")</f>
        <v>Calle 25 # 19-185 / Torre A apto 522  / unidad surcos de pangola</v>
      </c>
      <c r="G8543" s="15" t="str">
        <f>IFERROR(__xludf.DUMMYFUNCTION("""COMPUTED_VALUE"""),"Marcela Grueso")</f>
        <v>Marcela Grueso</v>
      </c>
      <c r="H8543" s="16">
        <f>IFERROR(__xludf.DUMMYFUNCTION("""COMPUTED_VALUE"""),17219.0)</f>
        <v>17219</v>
      </c>
      <c r="I8543" s="18">
        <f>IFERROR(__xludf.DUMMYFUNCTION("""COMPUTED_VALUE"""),20.0)</f>
        <v>20</v>
      </c>
      <c r="J8543" s="18">
        <f>IFERROR(__xludf.DUMMYFUNCTION("""COMPUTED_VALUE"""),10.0)</f>
        <v>10</v>
      </c>
      <c r="K8543" s="18">
        <f>IFERROR(__xludf.DUMMYFUNCTION("""COMPUTED_VALUE"""),40.0)</f>
        <v>40</v>
      </c>
      <c r="L8543" s="17">
        <f>IFERROR(__xludf.DUMMYFUNCTION("""COMPUTED_VALUE"""),3.183544086E9)</f>
        <v>3183544086</v>
      </c>
      <c r="M8543" s="17"/>
      <c r="N8543" s="17"/>
      <c r="O8543" s="17"/>
      <c r="P8543" s="17" t="b">
        <f>IFERROR(__xludf.DUMMYFUNCTION("""COMPUTED_VALUE"""),FALSE)</f>
        <v>0</v>
      </c>
      <c r="Q8543" s="20" t="str">
        <f>IFERROR(__xludf.DUMMYFUNCTION("""COMPUTED_VALUE"""),"")</f>
        <v/>
      </c>
      <c r="R8543" s="21" t="str">
        <f>IFERROR(__xludf.DUMMYFUNCTION("""COMPUTED_VALUE"""),"https://drive.google.com/file/d/1IOV2JeWvsH8Bl2GBvDcMjGCzG75L8YaL/view?usp=drivesdk")</f>
        <v>https://drive.google.com/file/d/1IOV2JeWvsH8Bl2GBvDcMjGCzG75L8YaL/view?usp=drivesdk</v>
      </c>
    </row>
    <row r="8544">
      <c r="A8544" s="17" t="str">
        <f>IFERROR(__xludf.DUMMYFUNCTION("""COMPUTED_VALUE"""),"")</f>
        <v/>
      </c>
      <c r="B8544" s="17" t="str">
        <f>IFERROR(__xludf.DUMMYFUNCTION("""COMPUTED_VALUE"""),"")</f>
        <v/>
      </c>
      <c r="C8544" s="17" t="str">
        <f>IFERROR(__xludf.DUMMYFUNCTION("""COMPUTED_VALUE"""),"")</f>
        <v/>
      </c>
      <c r="D8544" s="17" t="str">
        <f>IFERROR(__xludf.DUMMYFUNCTION("""COMPUTED_VALUE"""),"")</f>
        <v/>
      </c>
      <c r="E8544" s="17" t="str">
        <f>IFERROR(__xludf.DUMMYFUNCTION("""COMPUTED_VALUE"""),"")</f>
        <v/>
      </c>
      <c r="F8544" s="17" t="str">
        <f>IFERROR(__xludf.DUMMYFUNCTION("""COMPUTED_VALUE"""),"")</f>
        <v/>
      </c>
      <c r="G8544" s="17" t="str">
        <f>IFERROR(__xludf.DUMMYFUNCTION("""COMPUTED_VALUE"""),"")</f>
        <v/>
      </c>
      <c r="H8544" s="17" t="str">
        <f>IFERROR(__xludf.DUMMYFUNCTION("""COMPUTED_VALUE"""),"")</f>
        <v/>
      </c>
      <c r="I8544" s="17" t="str">
        <f>IFERROR(__xludf.DUMMYFUNCTION("""COMPUTED_VALUE"""),"")</f>
        <v/>
      </c>
      <c r="J8544" s="17" t="str">
        <f>IFERROR(__xludf.DUMMYFUNCTION("""COMPUTED_VALUE"""),"")</f>
        <v/>
      </c>
      <c r="K8544" s="17" t="str">
        <f>IFERROR(__xludf.DUMMYFUNCTION("""COMPUTED_VALUE"""),"")</f>
        <v/>
      </c>
      <c r="L8544" s="17" t="str">
        <f>IFERROR(__xludf.DUMMYFUNCTION("""COMPUTED_VALUE"""),"")</f>
        <v/>
      </c>
      <c r="M8544" s="17" t="str">
        <f>IFERROR(__xludf.DUMMYFUNCTION("""COMPUTED_VALUE"""),"")</f>
        <v/>
      </c>
      <c r="N8544" s="17" t="str">
        <f>IFERROR(__xludf.DUMMYFUNCTION("""COMPUTED_VALUE"""),"")</f>
        <v/>
      </c>
      <c r="O8544" s="17" t="str">
        <f>IFERROR(__xludf.DUMMYFUNCTION("""COMPUTED_VALUE"""),"")</f>
        <v/>
      </c>
      <c r="P8544" s="17" t="str">
        <f>IFERROR(__xludf.DUMMYFUNCTION("""COMPUTED_VALUE"""),"")</f>
        <v/>
      </c>
      <c r="Q8544" s="17" t="str">
        <f>IFERROR(__xludf.DUMMYFUNCTION("""COMPUTED_VALUE"""),"")</f>
        <v/>
      </c>
      <c r="R8544" s="17" t="str">
        <f>IFERROR(__xludf.DUMMYFUNCTION("""COMPUTED_VALUE"""),"")</f>
        <v/>
      </c>
    </row>
    <row r="8545">
      <c r="A8545" s="15">
        <f>IFERROR(__xludf.DUMMYFUNCTION("""COMPUTED_VALUE"""),45245.0)</f>
        <v>45245</v>
      </c>
      <c r="B8545" s="16" t="str">
        <f>IFERROR(__xludf.DUMMYFUNCTION("""COMPUTED_VALUE"""),"David Sanmartin Bello")</f>
        <v>David Sanmartin Bello</v>
      </c>
      <c r="C8545" s="15" t="str">
        <f>IFERROR(__xludf.DUMMYFUNCTION("""COMPUTED_VALUE"""),"CARTAGENA")</f>
        <v>CARTAGENA</v>
      </c>
      <c r="D8545" s="15" t="str">
        <f>IFERROR(__xludf.DUMMYFUNCTION("""COMPUTED_VALUE"""),"BOGOTÁ")</f>
        <v>BOGOTÁ</v>
      </c>
      <c r="E8545" s="15" t="str">
        <f>IFERROR(__xludf.DUMMYFUNCTION("""COMPUTED_VALUE"""),"Asociacion Agropecuaria Juana Maria")</f>
        <v>Asociacion Agropecuaria Juana Maria</v>
      </c>
      <c r="F8545" s="17" t="str">
        <f>IFERROR(__xludf.DUMMYFUNCTION("""COMPUTED_VALUE"""),"El country Mz G lote de 2 / al lado de aldia limitada")</f>
        <v>El country Mz G lote de 2 / al lado de aldia limitada</v>
      </c>
      <c r="G8545" s="15" t="str">
        <f>IFERROR(__xludf.DUMMYFUNCTION("""COMPUTED_VALUE"""),"María Bonita Pereira Pérez")</f>
        <v>María Bonita Pereira Pérez</v>
      </c>
      <c r="H8545" s="16">
        <f>IFERROR(__xludf.DUMMYFUNCTION("""COMPUTED_VALUE"""),17242.0)</f>
        <v>17242</v>
      </c>
      <c r="I8545" s="17"/>
      <c r="J8545" s="17"/>
      <c r="K8545" s="17"/>
      <c r="L8545" s="17"/>
      <c r="M8545" s="17"/>
      <c r="N8545" s="17"/>
      <c r="O8545" s="17"/>
      <c r="P8545" s="17" t="b">
        <f>IFERROR(__xludf.DUMMYFUNCTION("""COMPUTED_VALUE"""),FALSE)</f>
        <v>0</v>
      </c>
      <c r="Q8545" s="20" t="str">
        <f>IFERROR(__xludf.DUMMYFUNCTION("""COMPUTED_VALUE"""),"")</f>
        <v/>
      </c>
      <c r="R8545" s="21" t="str">
        <f>IFERROR(__xludf.DUMMYFUNCTION("""COMPUTED_VALUE"""),"https://drive.google.com/file/d/10TdJtGBbDnaCRqn50wIU0-IdOjsCVUQh/view?usp=drivesdk")</f>
        <v>https://drive.google.com/file/d/10TdJtGBbDnaCRqn50wIU0-IdOjsCVUQh/view?usp=drivesdk</v>
      </c>
    </row>
    <row r="8546">
      <c r="A8546" s="15">
        <f>IFERROR(__xludf.DUMMYFUNCTION("""COMPUTED_VALUE"""),45245.0)</f>
        <v>45245</v>
      </c>
      <c r="B8546" s="16" t="str">
        <f>IFERROR(__xludf.DUMMYFUNCTION("""COMPUTED_VALUE"""),"David Sanmartin Bello")</f>
        <v>David Sanmartin Bello</v>
      </c>
      <c r="C8546" s="15" t="str">
        <f>IFERROR(__xludf.DUMMYFUNCTION("""COMPUTED_VALUE"""),"CARTAGENA")</f>
        <v>CARTAGENA</v>
      </c>
      <c r="D8546" s="15" t="str">
        <f>IFERROR(__xludf.DUMMYFUNCTION("""COMPUTED_VALUE"""),"BOGOTÁ")</f>
        <v>BOGOTÁ</v>
      </c>
      <c r="E8546" s="15" t="str">
        <f>IFERROR(__xludf.DUMMYFUNCTION("""COMPUTED_VALUE"""),"LINA PAOLA RAMIREZ GOMEZ - EVA MAZZITA")</f>
        <v>LINA PAOLA RAMIREZ GOMEZ - EVA MAZZITA</v>
      </c>
      <c r="F8546" s="17" t="str">
        <f>IFERROR(__xludf.DUMMYFUNCTION("""COMPUTED_VALUE"""),"Cra 20A#29b-24 / edifciio terra club house apto 701 Pie de la popa")</f>
        <v>Cra 20A#29b-24 / edifciio terra club house apto 701 Pie de la popa</v>
      </c>
      <c r="G8546" s="15" t="str">
        <f>IFERROR(__xludf.DUMMYFUNCTION("""COMPUTED_VALUE"""),"ANDREA BERDUGO OSORIO")</f>
        <v>ANDREA BERDUGO OSORIO</v>
      </c>
      <c r="H8546" s="16">
        <f>IFERROR(__xludf.DUMMYFUNCTION("""COMPUTED_VALUE"""),17267.0)</f>
        <v>17267</v>
      </c>
      <c r="I8546" s="17"/>
      <c r="J8546" s="17"/>
      <c r="K8546" s="17"/>
      <c r="L8546" s="17">
        <f>IFERROR(__xludf.DUMMYFUNCTION("""COMPUTED_VALUE"""),3.102979161E9)</f>
        <v>3102979161</v>
      </c>
      <c r="M8546" s="17"/>
      <c r="N8546" s="17"/>
      <c r="O8546" s="17"/>
      <c r="P8546" s="17" t="b">
        <f>IFERROR(__xludf.DUMMYFUNCTION("""COMPUTED_VALUE"""),FALSE)</f>
        <v>0</v>
      </c>
      <c r="Q8546" s="20" t="str">
        <f>IFERROR(__xludf.DUMMYFUNCTION("""COMPUTED_VALUE"""),"")</f>
        <v/>
      </c>
      <c r="R8546" s="21" t="str">
        <f>IFERROR(__xludf.DUMMYFUNCTION("""COMPUTED_VALUE"""),"https://drive.google.com/file/d/1tMk-kx5MJ2YHVsxiY7zUGCA1Ji0_JtE2/view?usp=drivesdk")</f>
        <v>https://drive.google.com/file/d/1tMk-kx5MJ2YHVsxiY7zUGCA1Ji0_JtE2/view?usp=drivesdk</v>
      </c>
    </row>
    <row r="8547">
      <c r="A8547" s="15">
        <f>IFERROR(__xludf.DUMMYFUNCTION("""COMPUTED_VALUE"""),45245.0)</f>
        <v>45245</v>
      </c>
      <c r="B8547" s="16" t="str">
        <f>IFERROR(__xludf.DUMMYFUNCTION("""COMPUTED_VALUE"""),"David Sanmartin Bello")</f>
        <v>David Sanmartin Bello</v>
      </c>
      <c r="C8547" s="15" t="str">
        <f>IFERROR(__xludf.DUMMYFUNCTION("""COMPUTED_VALUE"""),"CARTAGENA")</f>
        <v>CARTAGENA</v>
      </c>
      <c r="D8547" s="15" t="str">
        <f>IFERROR(__xludf.DUMMYFUNCTION("""COMPUTED_VALUE"""),"BOGOTÁ")</f>
        <v>BOGOTÁ</v>
      </c>
      <c r="E8547" s="15" t="str">
        <f>IFERROR(__xludf.DUMMYFUNCTION("""COMPUTED_VALUE"""),"Spirulina Fresca")</f>
        <v>Spirulina Fresca</v>
      </c>
      <c r="F8547" s="17" t="str">
        <f>IFERROR(__xludf.DUMMYFUNCTION("""COMPUTED_VALUE"""),"CRA 4 #46-42 / , EDIFICIO LAGUNA DEL CABRERO APTO 1505L.  / Marbella")</f>
        <v>CRA 4 #46-42 / , EDIFICIO LAGUNA DEL CABRERO APTO 1505L.  / Marbella</v>
      </c>
      <c r="G8547" s="15" t="str">
        <f>IFERROR(__xludf.DUMMYFUNCTION("""COMPUTED_VALUE"""),"Abdon Ramirez")</f>
        <v>Abdon Ramirez</v>
      </c>
      <c r="H8547" s="16">
        <f>IFERROR(__xludf.DUMMYFUNCTION("""COMPUTED_VALUE"""),17246.0)</f>
        <v>17246</v>
      </c>
      <c r="I8547" s="18">
        <f>IFERROR(__xludf.DUMMYFUNCTION("""COMPUTED_VALUE"""),5.0)</f>
        <v>5</v>
      </c>
      <c r="J8547" s="18">
        <f>IFERROR(__xludf.DUMMYFUNCTION("""COMPUTED_VALUE"""),5.0)</f>
        <v>5</v>
      </c>
      <c r="K8547" s="18">
        <f>IFERROR(__xludf.DUMMYFUNCTION("""COMPUTED_VALUE"""),22.0)</f>
        <v>22</v>
      </c>
      <c r="L8547" s="17">
        <f>IFERROR(__xludf.DUMMYFUNCTION("""COMPUTED_VALUE"""),3.008099663E9)</f>
        <v>3008099663</v>
      </c>
      <c r="M8547" s="17"/>
      <c r="N8547" s="17"/>
      <c r="O8547" s="17"/>
      <c r="P8547" s="17" t="b">
        <f>IFERROR(__xludf.DUMMYFUNCTION("""COMPUTED_VALUE"""),FALSE)</f>
        <v>0</v>
      </c>
      <c r="Q8547" s="20" t="str">
        <f>IFERROR(__xludf.DUMMYFUNCTION("""COMPUTED_VALUE"""),"")</f>
        <v/>
      </c>
      <c r="R8547" s="21" t="str">
        <f>IFERROR(__xludf.DUMMYFUNCTION("""COMPUTED_VALUE"""),"https://drive.google.com/file/d/1twUUzo5YpUa5n3JlBZuL50RyyYHLIQmm/view?usp=drivesdk")</f>
        <v>https://drive.google.com/file/d/1twUUzo5YpUa5n3JlBZuL50RyyYHLIQmm/view?usp=drivesdk</v>
      </c>
    </row>
    <row r="8548">
      <c r="A8548" s="15">
        <f>IFERROR(__xludf.DUMMYFUNCTION("""COMPUTED_VALUE"""),45245.0)</f>
        <v>45245</v>
      </c>
      <c r="B8548" s="16" t="str">
        <f>IFERROR(__xludf.DUMMYFUNCTION("""COMPUTED_VALUE"""),"David Sanmartin Bello")</f>
        <v>David Sanmartin Bello</v>
      </c>
      <c r="C8548" s="15" t="str">
        <f>IFERROR(__xludf.DUMMYFUNCTION("""COMPUTED_VALUE"""),"CARTAGENA")</f>
        <v>CARTAGENA</v>
      </c>
      <c r="D8548" s="15" t="str">
        <f>IFERROR(__xludf.DUMMYFUNCTION("""COMPUTED_VALUE"""),"BOGOTÁ")</f>
        <v>BOGOTÁ</v>
      </c>
      <c r="E8548" s="15" t="str">
        <f>IFERROR(__xludf.DUMMYFUNCTION("""COMPUTED_VALUE"""),"Top Spun")</f>
        <v>Top Spun</v>
      </c>
      <c r="F8548" s="17" t="str">
        <f>IFERROR(__xludf.DUMMYFUNCTION("""COMPUTED_VALUE"""),"Manga calle 27 # 20-44 / Edificio Villa Magna / apto 102b")</f>
        <v>Manga calle 27 # 20-44 / Edificio Villa Magna / apto 102b</v>
      </c>
      <c r="G8548" s="15" t="str">
        <f>IFERROR(__xludf.DUMMYFUNCTION("""COMPUTED_VALUE"""),"Margarita Valderrama Morom")</f>
        <v>Margarita Valderrama Morom</v>
      </c>
      <c r="H8548" s="16">
        <f>IFERROR(__xludf.DUMMYFUNCTION("""COMPUTED_VALUE"""),17214.0)</f>
        <v>17214</v>
      </c>
      <c r="I8548" s="18">
        <f>IFERROR(__xludf.DUMMYFUNCTION("""COMPUTED_VALUE"""),20.0)</f>
        <v>20</v>
      </c>
      <c r="J8548" s="18">
        <f>IFERROR(__xludf.DUMMYFUNCTION("""COMPUTED_VALUE"""),10.0)</f>
        <v>10</v>
      </c>
      <c r="K8548" s="18">
        <f>IFERROR(__xludf.DUMMYFUNCTION("""COMPUTED_VALUE"""),40.0)</f>
        <v>40</v>
      </c>
      <c r="L8548" s="17">
        <f>IFERROR(__xludf.DUMMYFUNCTION("""COMPUTED_VALUE"""),3.145639965E9)</f>
        <v>3145639965</v>
      </c>
      <c r="M8548" s="17"/>
      <c r="N8548" s="17"/>
      <c r="O8548" s="17"/>
      <c r="P8548" s="17" t="b">
        <f>IFERROR(__xludf.DUMMYFUNCTION("""COMPUTED_VALUE"""),FALSE)</f>
        <v>0</v>
      </c>
      <c r="Q8548" s="20" t="str">
        <f>IFERROR(__xludf.DUMMYFUNCTION("""COMPUTED_VALUE"""),"")</f>
        <v/>
      </c>
      <c r="R8548" s="21" t="str">
        <f>IFERROR(__xludf.DUMMYFUNCTION("""COMPUTED_VALUE"""),"https://drive.google.com/file/d/1kYJD7vs8BzSj4ByBS1taPK2A-0JEfCHc/view?usp=drivesdk")</f>
        <v>https://drive.google.com/file/d/1kYJD7vs8BzSj4ByBS1taPK2A-0JEfCHc/view?usp=drivesdk</v>
      </c>
    </row>
    <row r="8549">
      <c r="A8549" s="15">
        <f>IFERROR(__xludf.DUMMYFUNCTION("""COMPUTED_VALUE"""),45245.0)</f>
        <v>45245</v>
      </c>
      <c r="B8549" s="16" t="str">
        <f>IFERROR(__xludf.DUMMYFUNCTION("""COMPUTED_VALUE"""),"David Sanmartin Bello")</f>
        <v>David Sanmartin Bello</v>
      </c>
      <c r="C8549" s="15" t="str">
        <f>IFERROR(__xludf.DUMMYFUNCTION("""COMPUTED_VALUE"""),"MEDELLÍN")</f>
        <v>MEDELLÍN</v>
      </c>
      <c r="D8549" s="15" t="str">
        <f>IFERROR(__xludf.DUMMYFUNCTION("""COMPUTED_VALUE"""),"BOGOTÁ")</f>
        <v>BOGOTÁ</v>
      </c>
      <c r="E8549" s="15" t="str">
        <f>IFERROR(__xludf.DUMMYFUNCTION("""COMPUTED_VALUE"""),"Top Spun")</f>
        <v>Top Spun</v>
      </c>
      <c r="F8549" s="17" t="str">
        <f>IFERROR(__xludf.DUMMYFUNCTION("""COMPUTED_VALUE"""),"Calle 42#74-58 / Edificio turin luxury  /  apto 901")</f>
        <v>Calle 42#74-58 / Edificio turin luxury  /  apto 901</v>
      </c>
      <c r="G8549" s="15" t="str">
        <f>IFERROR(__xludf.DUMMYFUNCTION("""COMPUTED_VALUE"""),"Manuela Gomez Pulgarin")</f>
        <v>Manuela Gomez Pulgarin</v>
      </c>
      <c r="H8549" s="16">
        <f>IFERROR(__xludf.DUMMYFUNCTION("""COMPUTED_VALUE"""),17216.0)</f>
        <v>17216</v>
      </c>
      <c r="I8549" s="18">
        <f>IFERROR(__xludf.DUMMYFUNCTION("""COMPUTED_VALUE"""),20.0)</f>
        <v>20</v>
      </c>
      <c r="J8549" s="18">
        <f>IFERROR(__xludf.DUMMYFUNCTION("""COMPUTED_VALUE"""),10.0)</f>
        <v>10</v>
      </c>
      <c r="K8549" s="18">
        <f>IFERROR(__xludf.DUMMYFUNCTION("""COMPUTED_VALUE"""),40.0)</f>
        <v>40</v>
      </c>
      <c r="L8549" s="17">
        <f>IFERROR(__xludf.DUMMYFUNCTION("""COMPUTED_VALUE"""),3.166964785E9)</f>
        <v>3166964785</v>
      </c>
      <c r="M8549" s="17"/>
      <c r="N8549" s="17"/>
      <c r="O8549" s="17"/>
      <c r="P8549" s="17" t="b">
        <f>IFERROR(__xludf.DUMMYFUNCTION("""COMPUTED_VALUE"""),FALSE)</f>
        <v>0</v>
      </c>
      <c r="Q8549" s="20" t="str">
        <f>IFERROR(__xludf.DUMMYFUNCTION("""COMPUTED_VALUE"""),"")</f>
        <v/>
      </c>
      <c r="R8549" s="22" t="str">
        <f>IFERROR(__xludf.DUMMYFUNCTION("""COMPUTED_VALUE"""),"")</f>
        <v/>
      </c>
    </row>
    <row r="8550">
      <c r="A8550" s="15">
        <f>IFERROR(__xludf.DUMMYFUNCTION("""COMPUTED_VALUE"""),45245.0)</f>
        <v>45245</v>
      </c>
      <c r="B8550" s="16" t="str">
        <f>IFERROR(__xludf.DUMMYFUNCTION("""COMPUTED_VALUE"""),"David Sanmartin Bello")</f>
        <v>David Sanmartin Bello</v>
      </c>
      <c r="C8550" s="15" t="str">
        <f>IFERROR(__xludf.DUMMYFUNCTION("""COMPUTED_VALUE"""),"MEDELLÍN")</f>
        <v>MEDELLÍN</v>
      </c>
      <c r="D8550" s="15" t="str">
        <f>IFERROR(__xludf.DUMMYFUNCTION("""COMPUTED_VALUE"""),"BOGOTÁ")</f>
        <v>BOGOTÁ</v>
      </c>
      <c r="E8550" s="15" t="str">
        <f>IFERROR(__xludf.DUMMYFUNCTION("""COMPUTED_VALUE"""),"Ventura Productos Arg")</f>
        <v>Ventura Productos Arg</v>
      </c>
      <c r="F8550" s="17" t="str">
        <f>IFERROR(__xludf.DUMMYFUNCTION("""COMPUTED_VALUE"""),"Calle 32E 76-13 / apto 1201 Conjunto Islafuerte")</f>
        <v>Calle 32E 76-13 / apto 1201 Conjunto Islafuerte</v>
      </c>
      <c r="G8550" s="15" t="str">
        <f>IFERROR(__xludf.DUMMYFUNCTION("""COMPUTED_VALUE"""),"Ricardo Medina Zea")</f>
        <v>Ricardo Medina Zea</v>
      </c>
      <c r="H8550" s="16">
        <f>IFERROR(__xludf.DUMMYFUNCTION("""COMPUTED_VALUE"""),17263.0)</f>
        <v>17263</v>
      </c>
      <c r="I8550" s="17"/>
      <c r="J8550" s="17"/>
      <c r="K8550" s="17"/>
      <c r="L8550" s="17">
        <f>IFERROR(__xludf.DUMMYFUNCTION("""COMPUTED_VALUE"""),3.004076021E9)</f>
        <v>3004076021</v>
      </c>
      <c r="M8550" s="17"/>
      <c r="N8550" s="17"/>
      <c r="O8550" s="17"/>
      <c r="P8550" s="17" t="b">
        <f>IFERROR(__xludf.DUMMYFUNCTION("""COMPUTED_VALUE"""),FALSE)</f>
        <v>0</v>
      </c>
      <c r="Q8550" s="20" t="str">
        <f>IFERROR(__xludf.DUMMYFUNCTION("""COMPUTED_VALUE"""),"")</f>
        <v/>
      </c>
      <c r="R8550" s="22" t="str">
        <f>IFERROR(__xludf.DUMMYFUNCTION("""COMPUTED_VALUE"""),"")</f>
        <v/>
      </c>
    </row>
    <row r="8551">
      <c r="A8551" s="17" t="str">
        <f>IFERROR(__xludf.DUMMYFUNCTION("""COMPUTED_VALUE"""),"")</f>
        <v/>
      </c>
      <c r="B8551" s="17" t="str">
        <f>IFERROR(__xludf.DUMMYFUNCTION("""COMPUTED_VALUE"""),"")</f>
        <v/>
      </c>
      <c r="C8551" s="17" t="str">
        <f>IFERROR(__xludf.DUMMYFUNCTION("""COMPUTED_VALUE"""),"")</f>
        <v/>
      </c>
      <c r="D8551" s="17" t="str">
        <f>IFERROR(__xludf.DUMMYFUNCTION("""COMPUTED_VALUE"""),"")</f>
        <v/>
      </c>
      <c r="E8551" s="17" t="str">
        <f>IFERROR(__xludf.DUMMYFUNCTION("""COMPUTED_VALUE"""),"")</f>
        <v/>
      </c>
      <c r="F8551" s="17" t="str">
        <f>IFERROR(__xludf.DUMMYFUNCTION("""COMPUTED_VALUE"""),"")</f>
        <v/>
      </c>
      <c r="G8551" s="17" t="str">
        <f>IFERROR(__xludf.DUMMYFUNCTION("""COMPUTED_VALUE"""),"")</f>
        <v/>
      </c>
      <c r="H8551" s="17" t="str">
        <f>IFERROR(__xludf.DUMMYFUNCTION("""COMPUTED_VALUE"""),"")</f>
        <v/>
      </c>
      <c r="I8551" s="17" t="str">
        <f>IFERROR(__xludf.DUMMYFUNCTION("""COMPUTED_VALUE"""),"")</f>
        <v/>
      </c>
      <c r="J8551" s="17" t="str">
        <f>IFERROR(__xludf.DUMMYFUNCTION("""COMPUTED_VALUE"""),"")</f>
        <v/>
      </c>
      <c r="K8551" s="17" t="str">
        <f>IFERROR(__xludf.DUMMYFUNCTION("""COMPUTED_VALUE"""),"")</f>
        <v/>
      </c>
      <c r="L8551" s="17" t="str">
        <f>IFERROR(__xludf.DUMMYFUNCTION("""COMPUTED_VALUE"""),"")</f>
        <v/>
      </c>
      <c r="M8551" s="17" t="str">
        <f>IFERROR(__xludf.DUMMYFUNCTION("""COMPUTED_VALUE"""),"")</f>
        <v/>
      </c>
      <c r="N8551" s="17" t="str">
        <f>IFERROR(__xludf.DUMMYFUNCTION("""COMPUTED_VALUE"""),"")</f>
        <v/>
      </c>
      <c r="O8551" s="17" t="str">
        <f>IFERROR(__xludf.DUMMYFUNCTION("""COMPUTED_VALUE"""),"")</f>
        <v/>
      </c>
      <c r="P8551" s="17" t="str">
        <f>IFERROR(__xludf.DUMMYFUNCTION("""COMPUTED_VALUE"""),"")</f>
        <v/>
      </c>
      <c r="Q8551" s="17" t="str">
        <f>IFERROR(__xludf.DUMMYFUNCTION("""COMPUTED_VALUE"""),"")</f>
        <v/>
      </c>
      <c r="R8551" s="17" t="str">
        <f>IFERROR(__xludf.DUMMYFUNCTION("""COMPUTED_VALUE"""),"")</f>
        <v/>
      </c>
    </row>
    <row r="8552">
      <c r="A8552" s="15">
        <f>IFERROR(__xludf.DUMMYFUNCTION("""COMPUTED_VALUE"""),45245.0)</f>
        <v>45245</v>
      </c>
      <c r="B8552" s="16" t="str">
        <f>IFERROR(__xludf.DUMMYFUNCTION("""COMPUTED_VALUE"""),"Deivi Alejandro Quintero Corrales")</f>
        <v>Deivi Alejandro Quintero Corrales</v>
      </c>
      <c r="C8552" s="15" t="str">
        <f>IFERROR(__xludf.DUMMYFUNCTION("""COMPUTED_VALUE"""),"ARMENIA")</f>
        <v>ARMENIA</v>
      </c>
      <c r="D8552" s="15" t="str">
        <f>IFERROR(__xludf.DUMMYFUNCTION("""COMPUTED_VALUE"""),"BOGOTÁ")</f>
        <v>BOGOTÁ</v>
      </c>
      <c r="E8552" s="15" t="str">
        <f>IFERROR(__xludf.DUMMYFUNCTION("""COMPUTED_VALUE"""),"Top Spun")</f>
        <v>Top Spun</v>
      </c>
      <c r="F8552" s="17" t="str">
        <f>IFERROR(__xludf.DUMMYFUNCTION("""COMPUTED_VALUE"""),"KILOMETRO 9 VIA EL EDEN / EL CABRERO CASAS DE CAMPO / CASA #8")</f>
        <v>KILOMETRO 9 VIA EL EDEN / EL CABRERO CASAS DE CAMPO / CASA #8</v>
      </c>
      <c r="G8552" s="15" t="str">
        <f>IFERROR(__xludf.DUMMYFUNCTION("""COMPUTED_VALUE"""),"VERONICA ARANGO")</f>
        <v>VERONICA ARANGO</v>
      </c>
      <c r="H8552" s="16">
        <f>IFERROR(__xludf.DUMMYFUNCTION("""COMPUTED_VALUE"""),17223.0)</f>
        <v>17223</v>
      </c>
      <c r="I8552" s="18">
        <f>IFERROR(__xludf.DUMMYFUNCTION("""COMPUTED_VALUE"""),30.0)</f>
        <v>30</v>
      </c>
      <c r="J8552" s="18">
        <f>IFERROR(__xludf.DUMMYFUNCTION("""COMPUTED_VALUE"""),20.0)</f>
        <v>20</v>
      </c>
      <c r="K8552" s="18">
        <f>IFERROR(__xludf.DUMMYFUNCTION("""COMPUTED_VALUE"""),60.0)</f>
        <v>60</v>
      </c>
      <c r="L8552" s="17">
        <f>IFERROR(__xludf.DUMMYFUNCTION("""COMPUTED_VALUE"""),3.117155114E9)</f>
        <v>3117155114</v>
      </c>
      <c r="M8552" s="17"/>
      <c r="N8552" s="17"/>
      <c r="O8552" s="17"/>
      <c r="P8552" s="17" t="b">
        <f>IFERROR(__xludf.DUMMYFUNCTION("""COMPUTED_VALUE"""),FALSE)</f>
        <v>0</v>
      </c>
      <c r="Q8552" s="20" t="str">
        <f>IFERROR(__xludf.DUMMYFUNCTION("""COMPUTED_VALUE"""),"")</f>
        <v/>
      </c>
      <c r="R8552" s="21" t="str">
        <f>IFERROR(__xludf.DUMMYFUNCTION("""COMPUTED_VALUE"""),"https://drive.google.com/file/d/14quVDD10o5_F-v-6YMD1nW13QblrNWrv/view?usp=drivesdk")</f>
        <v>https://drive.google.com/file/d/14quVDD10o5_F-v-6YMD1nW13QblrNWrv/view?usp=drivesdk</v>
      </c>
    </row>
    <row r="8553">
      <c r="A8553" s="15">
        <f>IFERROR(__xludf.DUMMYFUNCTION("""COMPUTED_VALUE"""),45245.0)</f>
        <v>45245</v>
      </c>
      <c r="B8553" s="16" t="str">
        <f>IFERROR(__xludf.DUMMYFUNCTION("""COMPUTED_VALUE"""),"Deivi Alejandro Quintero Corrales")</f>
        <v>Deivi Alejandro Quintero Corrales</v>
      </c>
      <c r="C8553" s="15" t="str">
        <f>IFERROR(__xludf.DUMMYFUNCTION("""COMPUTED_VALUE"""),"ARMENIA")</f>
        <v>ARMENIA</v>
      </c>
      <c r="D8553" s="15" t="str">
        <f>IFERROR(__xludf.DUMMYFUNCTION("""COMPUTED_VALUE"""),"MEDELLÍN")</f>
        <v>MEDELLÍN</v>
      </c>
      <c r="E8553" s="15" t="str">
        <f>IFERROR(__xludf.DUMMYFUNCTION("""COMPUTED_VALUE"""),"Baby Chef")</f>
        <v>Baby Chef</v>
      </c>
      <c r="F8553" s="17" t="str">
        <f>IFERROR(__xludf.DUMMYFUNCTION("""COMPUTED_VALUE"""),"Calle 6 Norte #16A 44 Edificio Valparaiso Apto 1102 Barrio los profesionales / . / .")</f>
        <v>Calle 6 Norte #16A 44 Edificio Valparaiso Apto 1102 Barrio los profesionales / . / .</v>
      </c>
      <c r="G8553" s="15" t="str">
        <f>IFERROR(__xludf.DUMMYFUNCTION("""COMPUTED_VALUE"""),"Leidy Johanna Echeverry Botero")</f>
        <v>Leidy Johanna Echeverry Botero</v>
      </c>
      <c r="H8553" s="16">
        <f>IFERROR(__xludf.DUMMYFUNCTION("""COMPUTED_VALUE"""),17327.0)</f>
        <v>17327</v>
      </c>
      <c r="I8553" s="18">
        <f>IFERROR(__xludf.DUMMYFUNCTION("""COMPUTED_VALUE"""),8.0)</f>
        <v>8</v>
      </c>
      <c r="J8553" s="18">
        <f>IFERROR(__xludf.DUMMYFUNCTION("""COMPUTED_VALUE"""),16.0)</f>
        <v>16</v>
      </c>
      <c r="K8553" s="18">
        <f>IFERROR(__xludf.DUMMYFUNCTION("""COMPUTED_VALUE"""),20.0)</f>
        <v>20</v>
      </c>
      <c r="L8553" s="17">
        <f>IFERROR(__xludf.DUMMYFUNCTION("""COMPUTED_VALUE"""),3.16575559E9)</f>
        <v>3165755590</v>
      </c>
      <c r="M8553" s="17"/>
      <c r="N8553" s="17"/>
      <c r="O8553" s="17"/>
      <c r="P8553" s="17" t="b">
        <f>IFERROR(__xludf.DUMMYFUNCTION("""COMPUTED_VALUE"""),FALSE)</f>
        <v>0</v>
      </c>
      <c r="Q8553" s="20" t="str">
        <f>IFERROR(__xludf.DUMMYFUNCTION("""COMPUTED_VALUE"""),"")</f>
        <v/>
      </c>
      <c r="R8553" s="22" t="str">
        <f>IFERROR(__xludf.DUMMYFUNCTION("""COMPUTED_VALUE"""),"")</f>
        <v/>
      </c>
    </row>
    <row r="8554">
      <c r="A8554" s="15">
        <f>IFERROR(__xludf.DUMMYFUNCTION("""COMPUTED_VALUE"""),45245.0)</f>
        <v>45245</v>
      </c>
      <c r="B8554" s="16" t="str">
        <f>IFERROR(__xludf.DUMMYFUNCTION("""COMPUTED_VALUE"""),"Deivi Alejandro Quintero Corrales")</f>
        <v>Deivi Alejandro Quintero Corrales</v>
      </c>
      <c r="C8554" s="15" t="str">
        <f>IFERROR(__xludf.DUMMYFUNCTION("""COMPUTED_VALUE"""),"PEREIRA")</f>
        <v>PEREIRA</v>
      </c>
      <c r="D8554" s="15" t="str">
        <f>IFERROR(__xludf.DUMMYFUNCTION("""COMPUTED_VALUE"""),"BOGOTÁ")</f>
        <v>BOGOTÁ</v>
      </c>
      <c r="E8554" s="15" t="str">
        <f>IFERROR(__xludf.DUMMYFUNCTION("""COMPUTED_VALUE"""),"Asociacion Agropecuaria Juana Maria")</f>
        <v>Asociacion Agropecuaria Juana Maria</v>
      </c>
      <c r="F8554" s="17" t="str">
        <f>IFERROR(__xludf.DUMMYFUNCTION("""COMPUTED_VALUE"""),"Calle 10 Nro 20-39 alcaravan casa Nro 4 / Pereira")</f>
        <v>Calle 10 Nro 20-39 alcaravan casa Nro 4 / Pereira</v>
      </c>
      <c r="G8554" s="15" t="str">
        <f>IFERROR(__xludf.DUMMYFUNCTION("""COMPUTED_VALUE"""),"Luz Karime Salazar González")</f>
        <v>Luz Karime Salazar González</v>
      </c>
      <c r="H8554" s="16">
        <f>IFERROR(__xludf.DUMMYFUNCTION("""COMPUTED_VALUE"""),17241.0)</f>
        <v>17241</v>
      </c>
      <c r="I8554" s="17"/>
      <c r="J8554" s="17"/>
      <c r="K8554" s="17"/>
      <c r="L8554" s="17">
        <f>IFERROR(__xludf.DUMMYFUNCTION("""COMPUTED_VALUE"""),3.127851749E9)</f>
        <v>3127851749</v>
      </c>
      <c r="M8554" s="17"/>
      <c r="N8554" s="17"/>
      <c r="O8554" s="17"/>
      <c r="P8554" s="17" t="b">
        <f>IFERROR(__xludf.DUMMYFUNCTION("""COMPUTED_VALUE"""),FALSE)</f>
        <v>0</v>
      </c>
      <c r="Q8554" s="20" t="str">
        <f>IFERROR(__xludf.DUMMYFUNCTION("""COMPUTED_VALUE"""),"")</f>
        <v/>
      </c>
      <c r="R8554" s="21" t="str">
        <f>IFERROR(__xludf.DUMMYFUNCTION("""COMPUTED_VALUE"""),"https://drive.google.com/file/d/1T3rGIUKvx0gLcHqo7R0vvqDUnyCpASA0/view?usp=drivesdk")</f>
        <v>https://drive.google.com/file/d/1T3rGIUKvx0gLcHqo7R0vvqDUnyCpASA0/view?usp=drivesdk</v>
      </c>
    </row>
    <row r="8555">
      <c r="A8555" s="15">
        <f>IFERROR(__xludf.DUMMYFUNCTION("""COMPUTED_VALUE"""),45245.0)</f>
        <v>45245</v>
      </c>
      <c r="B8555" s="16" t="str">
        <f>IFERROR(__xludf.DUMMYFUNCTION("""COMPUTED_VALUE"""),"Deivi Alejandro Quintero Corrales")</f>
        <v>Deivi Alejandro Quintero Corrales</v>
      </c>
      <c r="C8555" s="15" t="str">
        <f>IFERROR(__xludf.DUMMYFUNCTION("""COMPUTED_VALUE"""),"PEREIRA")</f>
        <v>PEREIRA</v>
      </c>
      <c r="D8555" s="15" t="str">
        <f>IFERROR(__xludf.DUMMYFUNCTION("""COMPUTED_VALUE"""),"BOGOTÁ")</f>
        <v>BOGOTÁ</v>
      </c>
      <c r="E8555" s="15" t="str">
        <f>IFERROR(__xludf.DUMMYFUNCTION("""COMPUTED_VALUE"""),"Instinto alimento vital")</f>
        <v>Instinto alimento vital</v>
      </c>
      <c r="F8555" s="17" t="str">
        <f>IFERROR(__xludf.DUMMYFUNCTION("""COMPUTED_VALUE"""),"CRA 5 # 18 - 43 / MERCANCIA REQUIERE CONGELACION - CONTACTO CON MOISES")</f>
        <v>CRA 5 # 18 - 43 / MERCANCIA REQUIERE CONGELACION - CONTACTO CON MOISES</v>
      </c>
      <c r="G8555" s="15" t="str">
        <f>IFERROR(__xludf.DUMMYFUNCTION("""COMPUTED_VALUE"""),"BODEGA PEREIRA")</f>
        <v>BODEGA PEREIRA</v>
      </c>
      <c r="H8555" s="16">
        <f>IFERROR(__xludf.DUMMYFUNCTION("""COMPUTED_VALUE"""),17318.0)</f>
        <v>17318</v>
      </c>
      <c r="I8555" s="17"/>
      <c r="J8555" s="17"/>
      <c r="K8555" s="17"/>
      <c r="L8555" s="17">
        <f>IFERROR(__xludf.DUMMYFUNCTION("""COMPUTED_VALUE"""),3.008252529E9)</f>
        <v>3008252529</v>
      </c>
      <c r="M8555" s="17"/>
      <c r="N8555" s="17"/>
      <c r="O8555" s="17"/>
      <c r="P8555" s="17" t="b">
        <f>IFERROR(__xludf.DUMMYFUNCTION("""COMPUTED_VALUE"""),FALSE)</f>
        <v>0</v>
      </c>
      <c r="Q8555" s="20" t="str">
        <f>IFERROR(__xludf.DUMMYFUNCTION("""COMPUTED_VALUE"""),"")</f>
        <v/>
      </c>
      <c r="R8555" s="22" t="str">
        <f>IFERROR(__xludf.DUMMYFUNCTION("""COMPUTED_VALUE"""),"")</f>
        <v/>
      </c>
    </row>
    <row r="8556">
      <c r="A8556" s="15">
        <f>IFERROR(__xludf.DUMMYFUNCTION("""COMPUTED_VALUE"""),45245.0)</f>
        <v>45245</v>
      </c>
      <c r="B8556" s="16" t="str">
        <f>IFERROR(__xludf.DUMMYFUNCTION("""COMPUTED_VALUE"""),"Deivi Alejandro Quintero Corrales")</f>
        <v>Deivi Alejandro Quintero Corrales</v>
      </c>
      <c r="C8556" s="15" t="str">
        <f>IFERROR(__xludf.DUMMYFUNCTION("""COMPUTED_VALUE"""),"PEREIRA")</f>
        <v>PEREIRA</v>
      </c>
      <c r="D8556" s="15" t="str">
        <f>IFERROR(__xludf.DUMMYFUNCTION("""COMPUTED_VALUE"""),"BOGOTÁ")</f>
        <v>BOGOTÁ</v>
      </c>
      <c r="E8556" s="15" t="str">
        <f>IFERROR(__xludf.DUMMYFUNCTION("""COMPUTED_VALUE"""),"Top Spun")</f>
        <v>Top Spun</v>
      </c>
      <c r="F8556" s="17" t="str">
        <f>IFERROR(__xludf.DUMMYFUNCTION("""COMPUTED_VALUE"""),"Av las Américas #85-80 / parque residencial San Silvestre / Apto 3015")</f>
        <v>Av las Américas #85-80 / parque residencial San Silvestre / Apto 3015</v>
      </c>
      <c r="G8556" s="15" t="str">
        <f>IFERROR(__xludf.DUMMYFUNCTION("""COMPUTED_VALUE"""),"Stephany Colorado ")</f>
        <v>Stephany Colorado </v>
      </c>
      <c r="H8556" s="16">
        <f>IFERROR(__xludf.DUMMYFUNCTION("""COMPUTED_VALUE"""),17220.0)</f>
        <v>17220</v>
      </c>
      <c r="I8556" s="18">
        <f>IFERROR(__xludf.DUMMYFUNCTION("""COMPUTED_VALUE"""),25.0)</f>
        <v>25</v>
      </c>
      <c r="J8556" s="18">
        <f>IFERROR(__xludf.DUMMYFUNCTION("""COMPUTED_VALUE"""),15.0)</f>
        <v>15</v>
      </c>
      <c r="K8556" s="18">
        <f>IFERROR(__xludf.DUMMYFUNCTION("""COMPUTED_VALUE"""),50.0)</f>
        <v>50</v>
      </c>
      <c r="L8556" s="17">
        <f>IFERROR(__xludf.DUMMYFUNCTION("""COMPUTED_VALUE"""),3.137239429E9)</f>
        <v>3137239429</v>
      </c>
      <c r="M8556" s="17"/>
      <c r="N8556" s="17"/>
      <c r="O8556" s="17"/>
      <c r="P8556" s="17" t="b">
        <f>IFERROR(__xludf.DUMMYFUNCTION("""COMPUTED_VALUE"""),FALSE)</f>
        <v>0</v>
      </c>
      <c r="Q8556" s="20" t="str">
        <f>IFERROR(__xludf.DUMMYFUNCTION("""COMPUTED_VALUE"""),"")</f>
        <v/>
      </c>
      <c r="R8556" s="21" t="str">
        <f>IFERROR(__xludf.DUMMYFUNCTION("""COMPUTED_VALUE"""),"https://drive.google.com/file/d/1jow6V2FZBZ9IXMy4L0iUV6u-waJFI49A/view?usp=drivesdk")</f>
        <v>https://drive.google.com/file/d/1jow6V2FZBZ9IXMy4L0iUV6u-waJFI49A/view?usp=drivesdk</v>
      </c>
    </row>
    <row r="8557">
      <c r="A8557" s="15">
        <f>IFERROR(__xludf.DUMMYFUNCTION("""COMPUTED_VALUE"""),45245.0)</f>
        <v>45245</v>
      </c>
      <c r="B8557" s="16" t="str">
        <f>IFERROR(__xludf.DUMMYFUNCTION("""COMPUTED_VALUE"""),"Deivi Alejandro Quintero Corrales")</f>
        <v>Deivi Alejandro Quintero Corrales</v>
      </c>
      <c r="C8557" s="15" t="str">
        <f>IFERROR(__xludf.DUMMYFUNCTION("""COMPUTED_VALUE"""),"PEREIRA")</f>
        <v>PEREIRA</v>
      </c>
      <c r="D8557" s="15" t="str">
        <f>IFERROR(__xludf.DUMMYFUNCTION("""COMPUTED_VALUE"""),"BOGOTÁ")</f>
        <v>BOGOTÁ</v>
      </c>
      <c r="E8557" s="15" t="str">
        <f>IFERROR(__xludf.DUMMYFUNCTION("""COMPUTED_VALUE"""),"Top Spun")</f>
        <v>Top Spun</v>
      </c>
      <c r="F8557" s="17" t="str">
        <f>IFERROR(__xludf.DUMMYFUNCTION("""COMPUTED_VALUE"""),"Calle 151 18 03  / Mz 6 Cs 10  / Reservas del campo. Galicia")</f>
        <v>Calle 151 18 03  / Mz 6 Cs 10  / Reservas del campo. Galicia</v>
      </c>
      <c r="G8557" s="15" t="str">
        <f>IFERROR(__xludf.DUMMYFUNCTION("""COMPUTED_VALUE"""),"Johanna Ramirez Rodas")</f>
        <v>Johanna Ramirez Rodas</v>
      </c>
      <c r="H8557" s="16">
        <f>IFERROR(__xludf.DUMMYFUNCTION("""COMPUTED_VALUE"""),17221.0)</f>
        <v>17221</v>
      </c>
      <c r="I8557" s="18">
        <f>IFERROR(__xludf.DUMMYFUNCTION("""COMPUTED_VALUE"""),20.0)</f>
        <v>20</v>
      </c>
      <c r="J8557" s="18">
        <f>IFERROR(__xludf.DUMMYFUNCTION("""COMPUTED_VALUE"""),10.0)</f>
        <v>10</v>
      </c>
      <c r="K8557" s="18">
        <f>IFERROR(__xludf.DUMMYFUNCTION("""COMPUTED_VALUE"""),40.0)</f>
        <v>40</v>
      </c>
      <c r="L8557" s="17">
        <f>IFERROR(__xludf.DUMMYFUNCTION("""COMPUTED_VALUE"""),3.147373536E9)</f>
        <v>3147373536</v>
      </c>
      <c r="M8557" s="17"/>
      <c r="N8557" s="17"/>
      <c r="O8557" s="17"/>
      <c r="P8557" s="17" t="b">
        <f>IFERROR(__xludf.DUMMYFUNCTION("""COMPUTED_VALUE"""),FALSE)</f>
        <v>0</v>
      </c>
      <c r="Q8557" s="20" t="str">
        <f>IFERROR(__xludf.DUMMYFUNCTION("""COMPUTED_VALUE"""),"")</f>
        <v/>
      </c>
      <c r="R8557" s="21" t="str">
        <f>IFERROR(__xludf.DUMMYFUNCTION("""COMPUTED_VALUE"""),"https://drive.google.com/file/d/1oxFpSXzW2lU5h_vUyxDgON5xMJdqH7sQ/view?usp=drivesdk")</f>
        <v>https://drive.google.com/file/d/1oxFpSXzW2lU5h_vUyxDgON5xMJdqH7sQ/view?usp=drivesdk</v>
      </c>
    </row>
    <row r="8558">
      <c r="A8558" s="15">
        <f>IFERROR(__xludf.DUMMYFUNCTION("""COMPUTED_VALUE"""),45245.0)</f>
        <v>45245</v>
      </c>
      <c r="B8558" s="16" t="str">
        <f>IFERROR(__xludf.DUMMYFUNCTION("""COMPUTED_VALUE"""),"Deivi Alejandro Quintero Corrales")</f>
        <v>Deivi Alejandro Quintero Corrales</v>
      </c>
      <c r="C8558" s="15" t="str">
        <f>IFERROR(__xludf.DUMMYFUNCTION("""COMPUTED_VALUE"""),"PEREIRA")</f>
        <v>PEREIRA</v>
      </c>
      <c r="D8558" s="15" t="str">
        <f>IFERROR(__xludf.DUMMYFUNCTION("""COMPUTED_VALUE"""),"ENVIGADO")</f>
        <v>ENVIGADO</v>
      </c>
      <c r="E8558" s="15" t="str">
        <f>IFERROR(__xludf.DUMMYFUNCTION("""COMPUTED_VALUE"""),"JUAN CAMILO CORDOBA")</f>
        <v>JUAN CAMILO CORDOBA</v>
      </c>
      <c r="F8558" s="17" t="str">
        <f>IFERROR(__xludf.DUMMYFUNCTION("""COMPUTED_VALUE"""),"Calle 14 # 14-15 / San Jos? sur circunvalar Pereira")</f>
        <v>Calle 14 # 14-15 / San Jos? sur circunvalar Pereira</v>
      </c>
      <c r="G8558" s="15" t="str">
        <f>IFERROR(__xludf.DUMMYFUNCTION("""COMPUTED_VALUE"""),"Market Majana Fit")</f>
        <v>Market Majana Fit</v>
      </c>
      <c r="H8558" s="16">
        <f>IFERROR(__xludf.DUMMYFUNCTION("""COMPUTED_VALUE"""),17308.0)</f>
        <v>17308</v>
      </c>
      <c r="I8558" s="17"/>
      <c r="J8558" s="17"/>
      <c r="K8558" s="17"/>
      <c r="L8558" s="17">
        <f>IFERROR(__xludf.DUMMYFUNCTION("""COMPUTED_VALUE"""),3.148112262E9)</f>
        <v>3148112262</v>
      </c>
      <c r="M8558" s="17"/>
      <c r="N8558" s="17"/>
      <c r="O8558" s="17"/>
      <c r="P8558" s="17" t="b">
        <f>IFERROR(__xludf.DUMMYFUNCTION("""COMPUTED_VALUE"""),FALSE)</f>
        <v>0</v>
      </c>
      <c r="Q8558" s="20" t="str">
        <f>IFERROR(__xludf.DUMMYFUNCTION("""COMPUTED_VALUE"""),"")</f>
        <v/>
      </c>
      <c r="R8558" s="21" t="str">
        <f>IFERROR(__xludf.DUMMYFUNCTION("""COMPUTED_VALUE"""),"https://drive.google.com/file/d/16fcPBAWrQZK8rhAqGSlU2S-kseHLHjfq/view?usp=drivesdk")</f>
        <v>https://drive.google.com/file/d/16fcPBAWrQZK8rhAqGSlU2S-kseHLHjfq/view?usp=drivesdk</v>
      </c>
    </row>
    <row r="8559">
      <c r="A8559" s="17" t="str">
        <f>IFERROR(__xludf.DUMMYFUNCTION("""COMPUTED_VALUE"""),"")</f>
        <v/>
      </c>
      <c r="B8559" s="17" t="str">
        <f>IFERROR(__xludf.DUMMYFUNCTION("""COMPUTED_VALUE"""),"")</f>
        <v/>
      </c>
      <c r="C8559" s="17" t="str">
        <f>IFERROR(__xludf.DUMMYFUNCTION("""COMPUTED_VALUE"""),"")</f>
        <v/>
      </c>
      <c r="D8559" s="17" t="str">
        <f>IFERROR(__xludf.DUMMYFUNCTION("""COMPUTED_VALUE"""),"")</f>
        <v/>
      </c>
      <c r="E8559" s="17" t="str">
        <f>IFERROR(__xludf.DUMMYFUNCTION("""COMPUTED_VALUE"""),"")</f>
        <v/>
      </c>
      <c r="F8559" s="17" t="str">
        <f>IFERROR(__xludf.DUMMYFUNCTION("""COMPUTED_VALUE"""),"")</f>
        <v/>
      </c>
      <c r="G8559" s="17" t="str">
        <f>IFERROR(__xludf.DUMMYFUNCTION("""COMPUTED_VALUE"""),"")</f>
        <v/>
      </c>
      <c r="H8559" s="17" t="str">
        <f>IFERROR(__xludf.DUMMYFUNCTION("""COMPUTED_VALUE"""),"")</f>
        <v/>
      </c>
      <c r="I8559" s="17" t="str">
        <f>IFERROR(__xludf.DUMMYFUNCTION("""COMPUTED_VALUE"""),"")</f>
        <v/>
      </c>
      <c r="J8559" s="17" t="str">
        <f>IFERROR(__xludf.DUMMYFUNCTION("""COMPUTED_VALUE"""),"")</f>
        <v/>
      </c>
      <c r="K8559" s="17" t="str">
        <f>IFERROR(__xludf.DUMMYFUNCTION("""COMPUTED_VALUE"""),"")</f>
        <v/>
      </c>
      <c r="L8559" s="17" t="str">
        <f>IFERROR(__xludf.DUMMYFUNCTION("""COMPUTED_VALUE"""),"")</f>
        <v/>
      </c>
      <c r="M8559" s="17" t="str">
        <f>IFERROR(__xludf.DUMMYFUNCTION("""COMPUTED_VALUE"""),"")</f>
        <v/>
      </c>
      <c r="N8559" s="17" t="str">
        <f>IFERROR(__xludf.DUMMYFUNCTION("""COMPUTED_VALUE"""),"")</f>
        <v/>
      </c>
      <c r="O8559" s="17" t="str">
        <f>IFERROR(__xludf.DUMMYFUNCTION("""COMPUTED_VALUE"""),"")</f>
        <v/>
      </c>
      <c r="P8559" s="17" t="str">
        <f>IFERROR(__xludf.DUMMYFUNCTION("""COMPUTED_VALUE"""),"")</f>
        <v/>
      </c>
      <c r="Q8559" s="17" t="str">
        <f>IFERROR(__xludf.DUMMYFUNCTION("""COMPUTED_VALUE"""),"")</f>
        <v/>
      </c>
      <c r="R8559" s="17" t="str">
        <f>IFERROR(__xludf.DUMMYFUNCTION("""COMPUTED_VALUE"""),"")</f>
        <v/>
      </c>
    </row>
    <row r="8560">
      <c r="A8560" s="15">
        <f>IFERROR(__xludf.DUMMYFUNCTION("""COMPUTED_VALUE"""),45245.0)</f>
        <v>45245</v>
      </c>
      <c r="B8560" s="16" t="str">
        <f>IFERROR(__xludf.DUMMYFUNCTION("""COMPUTED_VALUE"""),"Duvan Gabriel Alvarez Giron")</f>
        <v>Duvan Gabriel Alvarez Giron</v>
      </c>
      <c r="C8560" s="15" t="str">
        <f>IFERROR(__xludf.DUMMYFUNCTION("""COMPUTED_VALUE"""),"BUCARAMANGA")</f>
        <v>BUCARAMANGA</v>
      </c>
      <c r="D8560" s="15" t="str">
        <f>IFERROR(__xludf.DUMMYFUNCTION("""COMPUTED_VALUE"""),"MEDELLÍN")</f>
        <v>MEDELLÍN</v>
      </c>
      <c r="E8560" s="15" t="str">
        <f>IFERROR(__xludf.DUMMYFUNCTION("""COMPUTED_VALUE"""),"Baby Chef")</f>
        <v>Baby Chef</v>
      </c>
      <c r="F8560" s="17" t="str">
        <f>IFERROR(__xludf.DUMMYFUNCTION("""COMPUTED_VALUE"""),"Calle 100 # 18-117 Barrio Fontana Bucaramanga - Santander / . / .")</f>
        <v>Calle 100 # 18-117 Barrio Fontana Bucaramanga - Santander / . / .</v>
      </c>
      <c r="G8560" s="15" t="str">
        <f>IFERROR(__xludf.DUMMYFUNCTION("""COMPUTED_VALUE"""),"Laura Patricia Guerrero Ramirez")</f>
        <v>Laura Patricia Guerrero Ramirez</v>
      </c>
      <c r="H8560" s="16">
        <f>IFERROR(__xludf.DUMMYFUNCTION("""COMPUTED_VALUE"""),17290.0)</f>
        <v>17290</v>
      </c>
      <c r="I8560" s="18">
        <f>IFERROR(__xludf.DUMMYFUNCTION("""COMPUTED_VALUE"""),9.0)</f>
        <v>9</v>
      </c>
      <c r="J8560" s="18">
        <f>IFERROR(__xludf.DUMMYFUNCTION("""COMPUTED_VALUE"""),24.0)</f>
        <v>24</v>
      </c>
      <c r="K8560" s="18">
        <f>IFERROR(__xludf.DUMMYFUNCTION("""COMPUTED_VALUE"""),22.0)</f>
        <v>22</v>
      </c>
      <c r="L8560" s="17">
        <f>IFERROR(__xludf.DUMMYFUNCTION("""COMPUTED_VALUE"""),3.134324746E9)</f>
        <v>3134324746</v>
      </c>
      <c r="M8560" s="17"/>
      <c r="N8560" s="17"/>
      <c r="O8560" s="17"/>
      <c r="P8560" s="17" t="b">
        <f>IFERROR(__xludf.DUMMYFUNCTION("""COMPUTED_VALUE"""),FALSE)</f>
        <v>0</v>
      </c>
      <c r="Q8560" s="20" t="str">
        <f>IFERROR(__xludf.DUMMYFUNCTION("""COMPUTED_VALUE"""),"")</f>
        <v/>
      </c>
      <c r="R8560" s="21" t="str">
        <f>IFERROR(__xludf.DUMMYFUNCTION("""COMPUTED_VALUE"""),"https://drive.google.com/file/d/1mcmNVEAhjPHDiBLmRJeFP-5zsDSil4ry/view?usp=drivesdk")</f>
        <v>https://drive.google.com/file/d/1mcmNVEAhjPHDiBLmRJeFP-5zsDSil4ry/view?usp=drivesdk</v>
      </c>
    </row>
    <row r="8561">
      <c r="A8561" s="15">
        <f>IFERROR(__xludf.DUMMYFUNCTION("""COMPUTED_VALUE"""),45245.0)</f>
        <v>45245</v>
      </c>
      <c r="B8561" s="16" t="str">
        <f>IFERROR(__xludf.DUMMYFUNCTION("""COMPUTED_VALUE"""),"Duvan Gabriel Alvarez Giron")</f>
        <v>Duvan Gabriel Alvarez Giron</v>
      </c>
      <c r="C8561" s="15" t="str">
        <f>IFERROR(__xludf.DUMMYFUNCTION("""COMPUTED_VALUE"""),"FLORIDABLANCA")</f>
        <v>FLORIDABLANCA</v>
      </c>
      <c r="D8561" s="15" t="str">
        <f>IFERROR(__xludf.DUMMYFUNCTION("""COMPUTED_VALUE"""),"BOGOTÁ")</f>
        <v>BOGOTÁ</v>
      </c>
      <c r="E8561" s="15" t="str">
        <f>IFERROR(__xludf.DUMMYFUNCTION("""COMPUTED_VALUE"""),"Asociacion Agropecuaria Juana Maria")</f>
        <v>Asociacion Agropecuaria Juana Maria</v>
      </c>
      <c r="F8561" s="17" t="str">
        <f>IFERROR(__xludf.DUMMYFUNCTION("""COMPUTED_VALUE"""),"Calle 19 #11-37 / Guanatá FLORIDABLANCA")</f>
        <v>Calle 19 #11-37 / Guanatá FLORIDABLANCA</v>
      </c>
      <c r="G8561" s="15" t="str">
        <f>IFERROR(__xludf.DUMMYFUNCTION("""COMPUTED_VALUE"""),"Claudia Gonzalez")</f>
        <v>Claudia Gonzalez</v>
      </c>
      <c r="H8561" s="16">
        <f>IFERROR(__xludf.DUMMYFUNCTION("""COMPUTED_VALUE"""),17237.0)</f>
        <v>17237</v>
      </c>
      <c r="I8561" s="17"/>
      <c r="J8561" s="17"/>
      <c r="K8561" s="17"/>
      <c r="L8561" s="17">
        <f>IFERROR(__xludf.DUMMYFUNCTION("""COMPUTED_VALUE"""),3.002802001E9)</f>
        <v>3002802001</v>
      </c>
      <c r="M8561" s="17"/>
      <c r="N8561" s="17"/>
      <c r="O8561" s="17"/>
      <c r="P8561" s="17" t="b">
        <f>IFERROR(__xludf.DUMMYFUNCTION("""COMPUTED_VALUE"""),FALSE)</f>
        <v>0</v>
      </c>
      <c r="Q8561" s="20" t="str">
        <f>IFERROR(__xludf.DUMMYFUNCTION("""COMPUTED_VALUE"""),"")</f>
        <v/>
      </c>
      <c r="R8561" s="21" t="str">
        <f>IFERROR(__xludf.DUMMYFUNCTION("""COMPUTED_VALUE"""),"https://drive.google.com/file/d/1nyL81UK5XaifBoD03vQfnr84oooIZMvB/view?usp=drivesdk")</f>
        <v>https://drive.google.com/file/d/1nyL81UK5XaifBoD03vQfnr84oooIZMvB/view?usp=drivesdk</v>
      </c>
    </row>
    <row r="8562">
      <c r="A8562" s="15">
        <f>IFERROR(__xludf.DUMMYFUNCTION("""COMPUTED_VALUE"""),45245.0)</f>
        <v>45245</v>
      </c>
      <c r="B8562" s="16" t="str">
        <f>IFERROR(__xludf.DUMMYFUNCTION("""COMPUTED_VALUE"""),"Duvan Gabriel Alvarez Giron")</f>
        <v>Duvan Gabriel Alvarez Giron</v>
      </c>
      <c r="C8562" s="15" t="str">
        <f>IFERROR(__xludf.DUMMYFUNCTION("""COMPUTED_VALUE"""),"FLORIDABLANCA")</f>
        <v>FLORIDABLANCA</v>
      </c>
      <c r="D8562" s="15" t="str">
        <f>IFERROR(__xludf.DUMMYFUNCTION("""COMPUTED_VALUE"""),"BOGOTÁ")</f>
        <v>BOGOTÁ</v>
      </c>
      <c r="E8562" s="15" t="str">
        <f>IFERROR(__xludf.DUMMYFUNCTION("""COMPUTED_VALUE"""),"Karem foods")</f>
        <v>Karem foods</v>
      </c>
      <c r="F8562" s="17" t="str">
        <f>IFERROR(__xludf.DUMMYFUNCTION("""COMPUTED_VALUE"""),"Calle 204 b #40-141 / los Andes CASA / -")</f>
        <v>Calle 204 b #40-141 / los Andes CASA / -</v>
      </c>
      <c r="G8562" s="15" t="str">
        <f>IFERROR(__xludf.DUMMYFUNCTION("""COMPUTED_VALUE"""),"Ingridth guarguati Vargas")</f>
        <v>Ingridth guarguati Vargas</v>
      </c>
      <c r="H8562" s="16">
        <f>IFERROR(__xludf.DUMMYFUNCTION("""COMPUTED_VALUE"""),17261.0)</f>
        <v>17261</v>
      </c>
      <c r="I8562" s="18">
        <f>IFERROR(__xludf.DUMMYFUNCTION("""COMPUTED_VALUE"""),7.0)</f>
        <v>7</v>
      </c>
      <c r="J8562" s="18">
        <f>IFERROR(__xludf.DUMMYFUNCTION("""COMPUTED_VALUE"""),20.0)</f>
        <v>20</v>
      </c>
      <c r="K8562" s="18">
        <f>IFERROR(__xludf.DUMMYFUNCTION("""COMPUTED_VALUE"""),20.0)</f>
        <v>20</v>
      </c>
      <c r="L8562" s="17">
        <f>IFERROR(__xludf.DUMMYFUNCTION("""COMPUTED_VALUE"""),3.177958168E9)</f>
        <v>3177958168</v>
      </c>
      <c r="M8562" s="17"/>
      <c r="N8562" s="17"/>
      <c r="O8562" s="17"/>
      <c r="P8562" s="17" t="b">
        <f>IFERROR(__xludf.DUMMYFUNCTION("""COMPUTED_VALUE"""),FALSE)</f>
        <v>0</v>
      </c>
      <c r="Q8562" s="20" t="str">
        <f>IFERROR(__xludf.DUMMYFUNCTION("""COMPUTED_VALUE"""),"")</f>
        <v/>
      </c>
      <c r="R8562" s="21" t="str">
        <f>IFERROR(__xludf.DUMMYFUNCTION("""COMPUTED_VALUE"""),"https://drive.google.com/file/d/106iAsouq-f7d8oaR-MSbhhJNuCzTi3ec/view?usp=drivesdk")</f>
        <v>https://drive.google.com/file/d/106iAsouq-f7d8oaR-MSbhhJNuCzTi3ec/view?usp=drivesdk</v>
      </c>
    </row>
    <row r="8563">
      <c r="A8563" s="15">
        <f>IFERROR(__xludf.DUMMYFUNCTION("""COMPUTED_VALUE"""),45245.0)</f>
        <v>45245</v>
      </c>
      <c r="B8563" s="16" t="str">
        <f>IFERROR(__xludf.DUMMYFUNCTION("""COMPUTED_VALUE"""),"Duvan Gabriel Alvarez Giron")</f>
        <v>Duvan Gabriel Alvarez Giron</v>
      </c>
      <c r="C8563" s="15" t="str">
        <f>IFERROR(__xludf.DUMMYFUNCTION("""COMPUTED_VALUE"""),"IBAGUÉ")</f>
        <v>IBAGUÉ</v>
      </c>
      <c r="D8563" s="15" t="str">
        <f>IFERROR(__xludf.DUMMYFUNCTION("""COMPUTED_VALUE"""),"BOGOTÁ")</f>
        <v>BOGOTÁ</v>
      </c>
      <c r="E8563" s="15" t="str">
        <f>IFERROR(__xludf.DUMMYFUNCTION("""COMPUTED_VALUE"""),"Frambascolombia sas")</f>
        <v>Frambascolombia sas</v>
      </c>
      <c r="F8563" s="17" t="str">
        <f>IFERROR(__xludf.DUMMYFUNCTION("""COMPUTED_VALUE"""),"Cra 14 # 75 A - 29 / Local 5")</f>
        <v>Cra 14 # 75 A - 29 / Local 5</v>
      </c>
      <c r="G8563" s="15" t="str">
        <f>IFERROR(__xludf.DUMMYFUNCTION("""COMPUTED_VALUE"""),"SoyNatural Market Ibagué")</f>
        <v>SoyNatural Market Ibagué</v>
      </c>
      <c r="H8563" s="16">
        <f>IFERROR(__xludf.DUMMYFUNCTION("""COMPUTED_VALUE"""),17319.0)</f>
        <v>17319</v>
      </c>
      <c r="I8563" s="17"/>
      <c r="J8563" s="17"/>
      <c r="K8563" s="17"/>
      <c r="L8563" s="17"/>
      <c r="M8563" s="17"/>
      <c r="N8563" s="17"/>
      <c r="O8563" s="17"/>
      <c r="P8563" s="17" t="b">
        <f>IFERROR(__xludf.DUMMYFUNCTION("""COMPUTED_VALUE"""),FALSE)</f>
        <v>0</v>
      </c>
      <c r="Q8563" s="20" t="str">
        <f>IFERROR(__xludf.DUMMYFUNCTION("""COMPUTED_VALUE"""),"")</f>
        <v/>
      </c>
      <c r="R8563" s="21" t="str">
        <f>IFERROR(__xludf.DUMMYFUNCTION("""COMPUTED_VALUE"""),"https://drive.google.com/file/d/1a5QZPbW1nnUM8vAXm3yVjWseHMEugp1B/view?usp=drivesdk")</f>
        <v>https://drive.google.com/file/d/1a5QZPbW1nnUM8vAXm3yVjWseHMEugp1B/view?usp=drivesdk</v>
      </c>
    </row>
    <row r="8564">
      <c r="A8564" s="15">
        <f>IFERROR(__xludf.DUMMYFUNCTION("""COMPUTED_VALUE"""),45245.0)</f>
        <v>45245</v>
      </c>
      <c r="B8564" s="16" t="str">
        <f>IFERROR(__xludf.DUMMYFUNCTION("""COMPUTED_VALUE"""),"Duvan Gabriel Alvarez Giron")</f>
        <v>Duvan Gabriel Alvarez Giron</v>
      </c>
      <c r="C8564" s="15" t="str">
        <f>IFERROR(__xludf.DUMMYFUNCTION("""COMPUTED_VALUE"""),"IBAGUÉ")</f>
        <v>IBAGUÉ</v>
      </c>
      <c r="D8564" s="15" t="str">
        <f>IFERROR(__xludf.DUMMYFUNCTION("""COMPUTED_VALUE"""),"BOGOTÁ")</f>
        <v>BOGOTÁ</v>
      </c>
      <c r="E8564" s="15" t="str">
        <f>IFERROR(__xludf.DUMMYFUNCTION("""COMPUTED_VALUE"""),"Lunchy Kids")</f>
        <v>Lunchy Kids</v>
      </c>
      <c r="F8564" s="17" t="str">
        <f>IFERROR(__xludf.DUMMYFUNCTION("""COMPUTED_VALUE"""),"Condominio la Samaria Manzana C    Ibagué  Cel:  / Casa 26 / Barrio La Samaria")</f>
        <v>Condominio la Samaria Manzana C    Ibagué  Cel:  / Casa 26 / Barrio La Samaria</v>
      </c>
      <c r="G8564" s="15" t="str">
        <f>IFERROR(__xludf.DUMMYFUNCTION("""COMPUTED_VALUE"""),"Paola Jaramillo ")</f>
        <v>Paola Jaramillo </v>
      </c>
      <c r="H8564" s="16">
        <f>IFERROR(__xludf.DUMMYFUNCTION("""COMPUTED_VALUE"""),17259.0)</f>
        <v>17259</v>
      </c>
      <c r="I8564" s="18">
        <f>IFERROR(__xludf.DUMMYFUNCTION("""COMPUTED_VALUE"""),34.0)</f>
        <v>34</v>
      </c>
      <c r="J8564" s="18">
        <f>IFERROR(__xludf.DUMMYFUNCTION("""COMPUTED_VALUE"""),29.0)</f>
        <v>29</v>
      </c>
      <c r="K8564" s="18">
        <f>IFERROR(__xludf.DUMMYFUNCTION("""COMPUTED_VALUE"""),20.0)</f>
        <v>20</v>
      </c>
      <c r="L8564" s="17">
        <f>IFERROR(__xludf.DUMMYFUNCTION("""COMPUTED_VALUE"""),3.142207089E9)</f>
        <v>3142207089</v>
      </c>
      <c r="M8564" s="17"/>
      <c r="N8564" s="17"/>
      <c r="O8564" s="17"/>
      <c r="P8564" s="17" t="b">
        <f>IFERROR(__xludf.DUMMYFUNCTION("""COMPUTED_VALUE"""),FALSE)</f>
        <v>0</v>
      </c>
      <c r="Q8564" s="20" t="str">
        <f>IFERROR(__xludf.DUMMYFUNCTION("""COMPUTED_VALUE"""),"")</f>
        <v/>
      </c>
      <c r="R8564" s="21" t="str">
        <f>IFERROR(__xludf.DUMMYFUNCTION("""COMPUTED_VALUE"""),"https://drive.google.com/file/d/1h_a-HCGbApCzN8QdrKcK_NRaaQXhnZcz/view?usp=drivesdk")</f>
        <v>https://drive.google.com/file/d/1h_a-HCGbApCzN8QdrKcK_NRaaQXhnZcz/view?usp=drivesdk</v>
      </c>
    </row>
    <row r="8565">
      <c r="A8565" s="17" t="str">
        <f>IFERROR(__xludf.DUMMYFUNCTION("""COMPUTED_VALUE"""),"")</f>
        <v/>
      </c>
      <c r="B8565" s="17" t="str">
        <f>IFERROR(__xludf.DUMMYFUNCTION("""COMPUTED_VALUE"""),"")</f>
        <v/>
      </c>
      <c r="C8565" s="17" t="str">
        <f>IFERROR(__xludf.DUMMYFUNCTION("""COMPUTED_VALUE"""),"")</f>
        <v/>
      </c>
      <c r="D8565" s="17" t="str">
        <f>IFERROR(__xludf.DUMMYFUNCTION("""COMPUTED_VALUE"""),"")</f>
        <v/>
      </c>
      <c r="E8565" s="17" t="str">
        <f>IFERROR(__xludf.DUMMYFUNCTION("""COMPUTED_VALUE"""),"")</f>
        <v/>
      </c>
      <c r="F8565" s="17" t="str">
        <f>IFERROR(__xludf.DUMMYFUNCTION("""COMPUTED_VALUE"""),"")</f>
        <v/>
      </c>
      <c r="G8565" s="17" t="str">
        <f>IFERROR(__xludf.DUMMYFUNCTION("""COMPUTED_VALUE"""),"")</f>
        <v/>
      </c>
      <c r="H8565" s="17" t="str">
        <f>IFERROR(__xludf.DUMMYFUNCTION("""COMPUTED_VALUE"""),"")</f>
        <v/>
      </c>
      <c r="I8565" s="17" t="str">
        <f>IFERROR(__xludf.DUMMYFUNCTION("""COMPUTED_VALUE"""),"")</f>
        <v/>
      </c>
      <c r="J8565" s="17" t="str">
        <f>IFERROR(__xludf.DUMMYFUNCTION("""COMPUTED_VALUE"""),"")</f>
        <v/>
      </c>
      <c r="K8565" s="17" t="str">
        <f>IFERROR(__xludf.DUMMYFUNCTION("""COMPUTED_VALUE"""),"")</f>
        <v/>
      </c>
      <c r="L8565" s="17" t="str">
        <f>IFERROR(__xludf.DUMMYFUNCTION("""COMPUTED_VALUE"""),"")</f>
        <v/>
      </c>
      <c r="M8565" s="17" t="str">
        <f>IFERROR(__xludf.DUMMYFUNCTION("""COMPUTED_VALUE"""),"")</f>
        <v/>
      </c>
      <c r="N8565" s="17" t="str">
        <f>IFERROR(__xludf.DUMMYFUNCTION("""COMPUTED_VALUE"""),"")</f>
        <v/>
      </c>
      <c r="O8565" s="17" t="str">
        <f>IFERROR(__xludf.DUMMYFUNCTION("""COMPUTED_VALUE"""),"")</f>
        <v/>
      </c>
      <c r="P8565" s="17" t="str">
        <f>IFERROR(__xludf.DUMMYFUNCTION("""COMPUTED_VALUE"""),"")</f>
        <v/>
      </c>
      <c r="Q8565" s="17" t="str">
        <f>IFERROR(__xludf.DUMMYFUNCTION("""COMPUTED_VALUE"""),"")</f>
        <v/>
      </c>
      <c r="R8565" s="17" t="str">
        <f>IFERROR(__xludf.DUMMYFUNCTION("""COMPUTED_VALUE"""),"")</f>
        <v/>
      </c>
    </row>
    <row r="8566">
      <c r="A8566" s="15">
        <f>IFERROR(__xludf.DUMMYFUNCTION("""COMPUTED_VALUE"""),45245.0)</f>
        <v>45245</v>
      </c>
      <c r="B8566" s="16" t="str">
        <f>IFERROR(__xludf.DUMMYFUNCTION("""COMPUTED_VALUE"""),"Envia")</f>
        <v>Envia</v>
      </c>
      <c r="C8566" s="15" t="str">
        <f>IFERROR(__xludf.DUMMYFUNCTION("""COMPUTED_VALUE"""),"ARMENIA")</f>
        <v>ARMENIA</v>
      </c>
      <c r="D8566" s="15" t="str">
        <f>IFERROR(__xludf.DUMMYFUNCTION("""COMPUTED_VALUE"""),"MEDELLÍN")</f>
        <v>MEDELLÍN</v>
      </c>
      <c r="E8566" s="15" t="str">
        <f>IFERROR(__xludf.DUMMYFUNCTION("""COMPUTED_VALUE"""),"Baby Chef")</f>
        <v>Baby Chef</v>
      </c>
      <c r="F8566" s="17" t="str">
        <f>IFERROR(__xludf.DUMMYFUNCTION("""COMPUTED_VALUE"""),"Calle 19Norte #10-41 Castellon Manzana J Casa 16 / . / .")</f>
        <v>Calle 19Norte #10-41 Castellon Manzana J Casa 16 / . / .</v>
      </c>
      <c r="G8566" s="15" t="str">
        <f>IFERROR(__xludf.DUMMYFUNCTION("""COMPUTED_VALUE"""),"Laura Mireya Cardona Tamayo")</f>
        <v>Laura Mireya Cardona Tamayo</v>
      </c>
      <c r="H8566" s="16">
        <f>IFERROR(__xludf.DUMMYFUNCTION("""COMPUTED_VALUE"""),17289.0)</f>
        <v>17289</v>
      </c>
      <c r="I8566" s="18">
        <f>IFERROR(__xludf.DUMMYFUNCTION("""COMPUTED_VALUE"""),12.0)</f>
        <v>12</v>
      </c>
      <c r="J8566" s="18">
        <f>IFERROR(__xludf.DUMMYFUNCTION("""COMPUTED_VALUE"""),27.0)</f>
        <v>27</v>
      </c>
      <c r="K8566" s="18">
        <f>IFERROR(__xludf.DUMMYFUNCTION("""COMPUTED_VALUE"""),29.0)</f>
        <v>29</v>
      </c>
      <c r="L8566" s="17">
        <f>IFERROR(__xludf.DUMMYFUNCTION("""COMPUTED_VALUE"""),3.01435952E9)</f>
        <v>3014359520</v>
      </c>
      <c r="M8566" s="17"/>
      <c r="N8566" s="17"/>
      <c r="O8566" s="17"/>
      <c r="P8566" s="17" t="b">
        <f>IFERROR(__xludf.DUMMYFUNCTION("""COMPUTED_VALUE"""),FALSE)</f>
        <v>0</v>
      </c>
      <c r="Q8566" s="20" t="str">
        <f>IFERROR(__xludf.DUMMYFUNCTION("""COMPUTED_VALUE"""),"")</f>
        <v/>
      </c>
      <c r="R8566" s="22" t="str">
        <f>IFERROR(__xludf.DUMMYFUNCTION("""COMPUTED_VALUE"""),"")</f>
        <v/>
      </c>
    </row>
    <row r="8567">
      <c r="A8567" s="15">
        <f>IFERROR(__xludf.DUMMYFUNCTION("""COMPUTED_VALUE"""),45245.0)</f>
        <v>45245</v>
      </c>
      <c r="B8567" s="16" t="str">
        <f>IFERROR(__xludf.DUMMYFUNCTION("""COMPUTED_VALUE"""),"Envia")</f>
        <v>Envia</v>
      </c>
      <c r="C8567" s="15" t="str">
        <f>IFERROR(__xludf.DUMMYFUNCTION("""COMPUTED_VALUE"""),"BOGOTÁ")</f>
        <v>BOGOTÁ</v>
      </c>
      <c r="D8567" s="15" t="str">
        <f>IFERROR(__xludf.DUMMYFUNCTION("""COMPUTED_VALUE"""),"MEDELLÍN")</f>
        <v>MEDELLÍN</v>
      </c>
      <c r="E8567" s="15" t="str">
        <f>IFERROR(__xludf.DUMMYFUNCTION("""COMPUTED_VALUE"""),"Baby Chef")</f>
        <v>Baby Chef</v>
      </c>
      <c r="F8567" s="17" t="str">
        <f>IFERROR(__xludf.DUMMYFUNCTION("""COMPUTED_VALUE"""),"Calle 127 c bis # 7-20 apt 505 Bella suiza / . / .")</f>
        <v>Calle 127 c bis # 7-20 apt 505 Bella suiza / . / .</v>
      </c>
      <c r="G8567" s="15" t="str">
        <f>IFERROR(__xludf.DUMMYFUNCTION("""COMPUTED_VALUE"""),"Valentina Arango Escobar")</f>
        <v>Valentina Arango Escobar</v>
      </c>
      <c r="H8567" s="16">
        <f>IFERROR(__xludf.DUMMYFUNCTION("""COMPUTED_VALUE"""),17283.0)</f>
        <v>17283</v>
      </c>
      <c r="I8567" s="18">
        <f>IFERROR(__xludf.DUMMYFUNCTION("""COMPUTED_VALUE"""),12.0)</f>
        <v>12</v>
      </c>
      <c r="J8567" s="18">
        <f>IFERROR(__xludf.DUMMYFUNCTION("""COMPUTED_VALUE"""),24.0)</f>
        <v>24</v>
      </c>
      <c r="K8567" s="18">
        <f>IFERROR(__xludf.DUMMYFUNCTION("""COMPUTED_VALUE"""),43.0)</f>
        <v>43</v>
      </c>
      <c r="L8567" s="17">
        <f>IFERROR(__xludf.DUMMYFUNCTION("""COMPUTED_VALUE"""),3.108941287E9)</f>
        <v>3108941287</v>
      </c>
      <c r="M8567" s="17"/>
      <c r="N8567" s="17"/>
      <c r="O8567" s="17"/>
      <c r="P8567" s="17" t="b">
        <f>IFERROR(__xludf.DUMMYFUNCTION("""COMPUTED_VALUE"""),FALSE)</f>
        <v>0</v>
      </c>
      <c r="Q8567" s="20" t="str">
        <f>IFERROR(__xludf.DUMMYFUNCTION("""COMPUTED_VALUE"""),"")</f>
        <v/>
      </c>
      <c r="R8567" s="21" t="str">
        <f>IFERROR(__xludf.DUMMYFUNCTION("""COMPUTED_VALUE"""),"https://drive.google.com/file/d/1Fptz-dERQmwh28uUPHpj0zd0B751cL79/view?usp=drivesdk")</f>
        <v>https://drive.google.com/file/d/1Fptz-dERQmwh28uUPHpj0zd0B751cL79/view?usp=drivesdk</v>
      </c>
    </row>
    <row r="8568">
      <c r="A8568" s="15">
        <f>IFERROR(__xludf.DUMMYFUNCTION("""COMPUTED_VALUE"""),45245.0)</f>
        <v>45245</v>
      </c>
      <c r="B8568" s="16" t="str">
        <f>IFERROR(__xludf.DUMMYFUNCTION("""COMPUTED_VALUE"""),"Envia")</f>
        <v>Envia</v>
      </c>
      <c r="C8568" s="15" t="str">
        <f>IFERROR(__xludf.DUMMYFUNCTION("""COMPUTED_VALUE"""),"BOGOTÁ")</f>
        <v>BOGOTÁ</v>
      </c>
      <c r="D8568" s="15" t="str">
        <f>IFERROR(__xludf.DUMMYFUNCTION("""COMPUTED_VALUE"""),"MEDELLÍN")</f>
        <v>MEDELLÍN</v>
      </c>
      <c r="E8568" s="15" t="str">
        <f>IFERROR(__xludf.DUMMYFUNCTION("""COMPUTED_VALUE"""),"Moloso S.A.S")</f>
        <v>Moloso S.A.S</v>
      </c>
      <c r="F8568" s="17" t="str">
        <f>IFERROR(__xludf.DUMMYFUNCTION("""COMPUTED_VALUE"""),"CALLE 90 9A 51 / ED MT3 AP 403")</f>
        <v>CALLE 90 9A 51 / ED MT3 AP 403</v>
      </c>
      <c r="G8568" s="15" t="str">
        <f>IFERROR(__xludf.DUMMYFUNCTION("""COMPUTED_VALUE"""),"MARIA XIMENA GUZMAN DEL CASTILLO")</f>
        <v>MARIA XIMENA GUZMAN DEL CASTILLO</v>
      </c>
      <c r="H8568" s="16">
        <f>IFERROR(__xludf.DUMMYFUNCTION("""COMPUTED_VALUE"""),17309.0)</f>
        <v>17309</v>
      </c>
      <c r="I8568" s="17"/>
      <c r="J8568" s="17"/>
      <c r="K8568" s="17"/>
      <c r="L8568" s="17"/>
      <c r="M8568" s="17"/>
      <c r="N8568" s="17"/>
      <c r="O8568" s="17"/>
      <c r="P8568" s="17" t="b">
        <f>IFERROR(__xludf.DUMMYFUNCTION("""COMPUTED_VALUE"""),FALSE)</f>
        <v>0</v>
      </c>
      <c r="Q8568" s="20" t="str">
        <f>IFERROR(__xludf.DUMMYFUNCTION("""COMPUTED_VALUE"""),"")</f>
        <v/>
      </c>
      <c r="R8568" s="21" t="str">
        <f>IFERROR(__xludf.DUMMYFUNCTION("""COMPUTED_VALUE"""),"https://drive.google.com/file/d/1C6Cne9_pvN5FpUyqcv5Oq3G5hNjn9cfV/view?usp=drivesdk")</f>
        <v>https://drive.google.com/file/d/1C6Cne9_pvN5FpUyqcv5Oq3G5hNjn9cfV/view?usp=drivesdk</v>
      </c>
    </row>
    <row r="8569">
      <c r="A8569" s="15">
        <f>IFERROR(__xludf.DUMMYFUNCTION("""COMPUTED_VALUE"""),45245.0)</f>
        <v>45245</v>
      </c>
      <c r="B8569" s="16" t="str">
        <f>IFERROR(__xludf.DUMMYFUNCTION("""COMPUTED_VALUE"""),"Envia")</f>
        <v>Envia</v>
      </c>
      <c r="C8569" s="15" t="str">
        <f>IFERROR(__xludf.DUMMYFUNCTION("""COMPUTED_VALUE"""),"BOGOTÁ")</f>
        <v>BOGOTÁ</v>
      </c>
      <c r="D8569" s="15" t="str">
        <f>IFERROR(__xludf.DUMMYFUNCTION("""COMPUTED_VALUE"""),"MEDELLÍN")</f>
        <v>MEDELLÍN</v>
      </c>
      <c r="E8569" s="15" t="str">
        <f>IFERROR(__xludf.DUMMYFUNCTION("""COMPUTED_VALUE"""),"Moloso S.A.S")</f>
        <v>Moloso S.A.S</v>
      </c>
      <c r="F8569" s="17" t="str">
        <f>IFERROR(__xludf.DUMMYFUNCTION("""COMPUTED_VALUE"""),"CR 78AN 58M 88 SUR / BOGOTA ANDALUCIA")</f>
        <v>CR 78AN 58M 88 SUR / BOGOTA ANDALUCIA</v>
      </c>
      <c r="G8569" s="15" t="str">
        <f>IFERROR(__xludf.DUMMYFUNCTION("""COMPUTED_VALUE"""),"VANESSA BELTRAN BUITRAGO")</f>
        <v>VANESSA BELTRAN BUITRAGO</v>
      </c>
      <c r="H8569" s="16">
        <f>IFERROR(__xludf.DUMMYFUNCTION("""COMPUTED_VALUE"""),17310.0)</f>
        <v>17310</v>
      </c>
      <c r="I8569" s="17"/>
      <c r="J8569" s="17"/>
      <c r="K8569" s="17"/>
      <c r="L8569" s="17"/>
      <c r="M8569" s="17"/>
      <c r="N8569" s="17"/>
      <c r="O8569" s="17"/>
      <c r="P8569" s="17" t="b">
        <f>IFERROR(__xludf.DUMMYFUNCTION("""COMPUTED_VALUE"""),TRUE)</f>
        <v>1</v>
      </c>
      <c r="Q8569" s="20">
        <f>IFERROR(__xludf.DUMMYFUNCTION("""COMPUTED_VALUE"""),45245.67434211806)</f>
        <v>45245.67434</v>
      </c>
      <c r="R8569" s="21" t="str">
        <f>IFERROR(__xludf.DUMMYFUNCTION("""COMPUTED_VALUE"""),"https://drive.google.com/file/d/1M6lIyB3DwRzWaVJoS4ngoPprJW_Rjhkr/view?usp=drivesdk")</f>
        <v>https://drive.google.com/file/d/1M6lIyB3DwRzWaVJoS4ngoPprJW_Rjhkr/view?usp=drivesdk</v>
      </c>
    </row>
    <row r="8570">
      <c r="A8570" s="15">
        <f>IFERROR(__xludf.DUMMYFUNCTION("""COMPUTED_VALUE"""),45245.0)</f>
        <v>45245</v>
      </c>
      <c r="B8570" s="16" t="str">
        <f>IFERROR(__xludf.DUMMYFUNCTION("""COMPUTED_VALUE"""),"Envia")</f>
        <v>Envia</v>
      </c>
      <c r="C8570" s="15" t="str">
        <f>IFERROR(__xludf.DUMMYFUNCTION("""COMPUTED_VALUE"""),"CALI")</f>
        <v>CALI</v>
      </c>
      <c r="D8570" s="15" t="str">
        <f>IFERROR(__xludf.DUMMYFUNCTION("""COMPUTED_VALUE"""),"BOGOTÁ")</f>
        <v>BOGOTÁ</v>
      </c>
      <c r="E8570" s="15" t="str">
        <f>IFERROR(__xludf.DUMMYFUNCTION("""COMPUTED_VALUE"""),"LINA PAOLA RAMIREZ GOMEZ - EVA MAZZITA")</f>
        <v>LINA PAOLA RAMIREZ GOMEZ - EVA MAZZITA</v>
      </c>
      <c r="F8570" s="17" t="str">
        <f>IFERROR(__xludf.DUMMYFUNCTION("""COMPUTED_VALUE"""),"Calle 59 #93-130 / Unidad terracota/apto 604/torre 2A")</f>
        <v>Calle 59 #93-130 / Unidad terracota/apto 604/torre 2A</v>
      </c>
      <c r="G8570" s="15" t="str">
        <f>IFERROR(__xludf.DUMMYFUNCTION("""COMPUTED_VALUE"""),"JIREH RAMOS")</f>
        <v>JIREH RAMOS</v>
      </c>
      <c r="H8570" s="16">
        <f>IFERROR(__xludf.DUMMYFUNCTION("""COMPUTED_VALUE"""),17269.0)</f>
        <v>17269</v>
      </c>
      <c r="I8570" s="17"/>
      <c r="J8570" s="17"/>
      <c r="K8570" s="17"/>
      <c r="L8570" s="17">
        <f>IFERROR(__xludf.DUMMYFUNCTION("""COMPUTED_VALUE"""),3.175170844E9)</f>
        <v>3175170844</v>
      </c>
      <c r="M8570" s="17"/>
      <c r="N8570" s="17"/>
      <c r="O8570" s="17"/>
      <c r="P8570" s="17" t="b">
        <f>IFERROR(__xludf.DUMMYFUNCTION("""COMPUTED_VALUE"""),TRUE)</f>
        <v>1</v>
      </c>
      <c r="Q8570" s="20">
        <f>IFERROR(__xludf.DUMMYFUNCTION("""COMPUTED_VALUE"""),45245.674473935185)</f>
        <v>45245.67447</v>
      </c>
      <c r="R8570" s="21" t="str">
        <f>IFERROR(__xludf.DUMMYFUNCTION("""COMPUTED_VALUE"""),"https://drive.google.com/file/d/1Bhh6vLaQwgSENZOH4Ai_FCjoAGTW2XnL/view?usp=drivesdk")</f>
        <v>https://drive.google.com/file/d/1Bhh6vLaQwgSENZOH4Ai_FCjoAGTW2XnL/view?usp=drivesdk</v>
      </c>
    </row>
    <row r="8571">
      <c r="A8571" s="15">
        <f>IFERROR(__xludf.DUMMYFUNCTION("""COMPUTED_VALUE"""),45245.0)</f>
        <v>45245</v>
      </c>
      <c r="B8571" s="16" t="str">
        <f>IFERROR(__xludf.DUMMYFUNCTION("""COMPUTED_VALUE"""),"Envia")</f>
        <v>Envia</v>
      </c>
      <c r="C8571" s="15" t="str">
        <f>IFERROR(__xludf.DUMMYFUNCTION("""COMPUTED_VALUE"""),"CALI")</f>
        <v>CALI</v>
      </c>
      <c r="D8571" s="15" t="str">
        <f>IFERROR(__xludf.DUMMYFUNCTION("""COMPUTED_VALUE"""),"BOGOTÁ")</f>
        <v>BOGOTÁ</v>
      </c>
      <c r="E8571" s="15" t="str">
        <f>IFERROR(__xludf.DUMMYFUNCTION("""COMPUTED_VALUE"""),"Top Spun")</f>
        <v>Top Spun</v>
      </c>
      <c r="F8571" s="17" t="str">
        <f>IFERROR(__xludf.DUMMYFUNCTION("""COMPUTED_VALUE"""),"CALLE 5 B # 141-156 / CASA 17 / RESERVA DE PANCE")</f>
        <v>CALLE 5 B # 141-156 / CASA 17 / RESERVA DE PANCE</v>
      </c>
      <c r="G8571" s="15" t="str">
        <f>IFERROR(__xludf.DUMMYFUNCTION("""COMPUTED_VALUE"""),"CAROLINA ARBOLEDA")</f>
        <v>CAROLINA ARBOLEDA</v>
      </c>
      <c r="H8571" s="16">
        <f>IFERROR(__xludf.DUMMYFUNCTION("""COMPUTED_VALUE"""),17218.0)</f>
        <v>17218</v>
      </c>
      <c r="I8571" s="18">
        <f>IFERROR(__xludf.DUMMYFUNCTION("""COMPUTED_VALUE"""),20.0)</f>
        <v>20</v>
      </c>
      <c r="J8571" s="18">
        <f>IFERROR(__xludf.DUMMYFUNCTION("""COMPUTED_VALUE"""),10.0)</f>
        <v>10</v>
      </c>
      <c r="K8571" s="18">
        <f>IFERROR(__xludf.DUMMYFUNCTION("""COMPUTED_VALUE"""),40.0)</f>
        <v>40</v>
      </c>
      <c r="L8571" s="17">
        <f>IFERROR(__xludf.DUMMYFUNCTION("""COMPUTED_VALUE"""),3.155358007E9)</f>
        <v>3155358007</v>
      </c>
      <c r="M8571" s="17"/>
      <c r="N8571" s="17"/>
      <c r="O8571" s="17"/>
      <c r="P8571" s="17" t="b">
        <f>IFERROR(__xludf.DUMMYFUNCTION("""COMPUTED_VALUE"""),TRUE)</f>
        <v>1</v>
      </c>
      <c r="Q8571" s="20">
        <f>IFERROR(__xludf.DUMMYFUNCTION("""COMPUTED_VALUE"""),45245.674559074076)</f>
        <v>45245.67456</v>
      </c>
      <c r="R8571" s="21" t="str">
        <f>IFERROR(__xludf.DUMMYFUNCTION("""COMPUTED_VALUE"""),"https://drive.google.com/file/d/1r-moKZC6b-Bl_noO2u82Pww0a1tea7U5/view?usp=drivesdk")</f>
        <v>https://drive.google.com/file/d/1r-moKZC6b-Bl_noO2u82Pww0a1tea7U5/view?usp=drivesdk</v>
      </c>
    </row>
    <row r="8572">
      <c r="A8572" s="15">
        <f>IFERROR(__xludf.DUMMYFUNCTION("""COMPUTED_VALUE"""),45245.0)</f>
        <v>45245</v>
      </c>
      <c r="B8572" s="16" t="str">
        <f>IFERROR(__xludf.DUMMYFUNCTION("""COMPUTED_VALUE"""),"Envia")</f>
        <v>Envia</v>
      </c>
      <c r="C8572" s="15" t="str">
        <f>IFERROR(__xludf.DUMMYFUNCTION("""COMPUTED_VALUE"""),"CARTAGENA")</f>
        <v>CARTAGENA</v>
      </c>
      <c r="D8572" s="15" t="str">
        <f>IFERROR(__xludf.DUMMYFUNCTION("""COMPUTED_VALUE"""),"BOGOTÁ")</f>
        <v>BOGOTÁ</v>
      </c>
      <c r="E8572" s="15" t="str">
        <f>IFERROR(__xludf.DUMMYFUNCTION("""COMPUTED_VALUE"""),"Ventura Productos Arg")</f>
        <v>Ventura Productos Arg</v>
      </c>
      <c r="F8572" s="17" t="str">
        <f>IFERROR(__xludf.DUMMYFUNCTION("""COMPUTED_VALUE"""),"CR 2 #43-102 / Edifico Napoli Apto 2503")</f>
        <v>CR 2 #43-102 / Edifico Napoli Apto 2503</v>
      </c>
      <c r="G8572" s="15" t="str">
        <f>IFERROR(__xludf.DUMMYFUNCTION("""COMPUTED_VALUE"""),"Aaron Meister")</f>
        <v>Aaron Meister</v>
      </c>
      <c r="H8572" s="16">
        <f>IFERROR(__xludf.DUMMYFUNCTION("""COMPUTED_VALUE"""),17278.0)</f>
        <v>17278</v>
      </c>
      <c r="I8572" s="17"/>
      <c r="J8572" s="17"/>
      <c r="K8572" s="17"/>
      <c r="L8572" s="17"/>
      <c r="M8572" s="17"/>
      <c r="N8572" s="17"/>
      <c r="O8572" s="17"/>
      <c r="P8572" s="17" t="b">
        <f>IFERROR(__xludf.DUMMYFUNCTION("""COMPUTED_VALUE"""),TRUE)</f>
        <v>1</v>
      </c>
      <c r="Q8572" s="20">
        <f>IFERROR(__xludf.DUMMYFUNCTION("""COMPUTED_VALUE"""),45245.70329282407)</f>
        <v>45245.70329</v>
      </c>
      <c r="R8572" s="21" t="str">
        <f>IFERROR(__xludf.DUMMYFUNCTION("""COMPUTED_VALUE"""),"https://drive.google.com/file/d/1Opojle2pRg_mWivee6JYbn9zeLRt4wkB/view?usp=drivesdk")</f>
        <v>https://drive.google.com/file/d/1Opojle2pRg_mWivee6JYbn9zeLRt4wkB/view?usp=drivesdk</v>
      </c>
    </row>
    <row r="8573">
      <c r="A8573" s="15">
        <f>IFERROR(__xludf.DUMMYFUNCTION("""COMPUTED_VALUE"""),45245.0)</f>
        <v>45245</v>
      </c>
      <c r="B8573" s="16" t="str">
        <f>IFERROR(__xludf.DUMMYFUNCTION("""COMPUTED_VALUE"""),"Envia")</f>
        <v>Envia</v>
      </c>
      <c r="C8573" s="15" t="str">
        <f>IFERROR(__xludf.DUMMYFUNCTION("""COMPUTED_VALUE"""),"CHÍA")</f>
        <v>CHÍA</v>
      </c>
      <c r="D8573" s="15" t="str">
        <f>IFERROR(__xludf.DUMMYFUNCTION("""COMPUTED_VALUE"""),"BOGOTÁ")</f>
        <v>BOGOTÁ</v>
      </c>
      <c r="E8573" s="15" t="str">
        <f>IFERROR(__xludf.DUMMYFUNCTION("""COMPUTED_VALUE"""),"Hiiva Fermentados SAS")</f>
        <v>Hiiva Fermentados SAS</v>
      </c>
      <c r="F8573" s="17" t="str">
        <f>IFERROR(__xludf.DUMMYFUNCTION("""COMPUTED_VALUE"""),"Conjunto residencial Ventto Reservado / casa56 - Fonqueta")</f>
        <v>Conjunto residencial Ventto Reservado / casa56 - Fonqueta</v>
      </c>
      <c r="G8573" s="15" t="str">
        <f>IFERROR(__xludf.DUMMYFUNCTION("""COMPUTED_VALUE"""),"Chia - Dario Correal")</f>
        <v>Chia - Dario Correal</v>
      </c>
      <c r="H8573" s="16">
        <f>IFERROR(__xludf.DUMMYFUNCTION("""COMPUTED_VALUE"""),17232.0)</f>
        <v>17232</v>
      </c>
      <c r="I8573" s="17"/>
      <c r="J8573" s="17"/>
      <c r="K8573" s="17"/>
      <c r="L8573" s="17">
        <f>IFERROR(__xludf.DUMMYFUNCTION("""COMPUTED_VALUE"""),3.142240765E9)</f>
        <v>3142240765</v>
      </c>
      <c r="M8573" s="17"/>
      <c r="N8573" s="17"/>
      <c r="O8573" s="17"/>
      <c r="P8573" s="17" t="b">
        <f>IFERROR(__xludf.DUMMYFUNCTION("""COMPUTED_VALUE"""),FALSE)</f>
        <v>0</v>
      </c>
      <c r="Q8573" s="20" t="str">
        <f>IFERROR(__xludf.DUMMYFUNCTION("""COMPUTED_VALUE"""),"")</f>
        <v/>
      </c>
      <c r="R8573" s="21" t="str">
        <f>IFERROR(__xludf.DUMMYFUNCTION("""COMPUTED_VALUE"""),"https://drive.google.com/file/d/1es0PIwWsZHfAb_3GYchmHNvr_eJpvQKv/view?usp=drivesdk")</f>
        <v>https://drive.google.com/file/d/1es0PIwWsZHfAb_3GYchmHNvr_eJpvQKv/view?usp=drivesdk</v>
      </c>
    </row>
    <row r="8574">
      <c r="A8574" s="15">
        <f>IFERROR(__xludf.DUMMYFUNCTION("""COMPUTED_VALUE"""),45245.0)</f>
        <v>45245</v>
      </c>
      <c r="B8574" s="16" t="str">
        <f>IFERROR(__xludf.DUMMYFUNCTION("""COMPUTED_VALUE"""),"Envia")</f>
        <v>Envia</v>
      </c>
      <c r="C8574" s="15" t="str">
        <f>IFERROR(__xludf.DUMMYFUNCTION("""COMPUTED_VALUE"""),"ENVIGADO")</f>
        <v>ENVIGADO</v>
      </c>
      <c r="D8574" s="15" t="str">
        <f>IFERROR(__xludf.DUMMYFUNCTION("""COMPUTED_VALUE"""),"BOGOTÁ")</f>
        <v>BOGOTÁ</v>
      </c>
      <c r="E8574" s="15" t="str">
        <f>IFERROR(__xludf.DUMMYFUNCTION("""COMPUTED_VALUE"""),"Top Spun")</f>
        <v>Top Spun</v>
      </c>
      <c r="F8574" s="17" t="str">
        <f>IFERROR(__xludf.DUMMYFUNCTION("""COMPUTED_VALUE"""),"Cra 27A #36sur -150 / Urbanización Bosqueadentro / torre 3 apto 503")</f>
        <v>Cra 27A #36sur -150 / Urbanización Bosqueadentro / torre 3 apto 503</v>
      </c>
      <c r="G8574" s="15" t="str">
        <f>IFERROR(__xludf.DUMMYFUNCTION("""COMPUTED_VALUE"""),"Mariana Pineda")</f>
        <v>Mariana Pineda</v>
      </c>
      <c r="H8574" s="16">
        <f>IFERROR(__xludf.DUMMYFUNCTION("""COMPUTED_VALUE"""),17215.0)</f>
        <v>17215</v>
      </c>
      <c r="I8574" s="18">
        <f>IFERROR(__xludf.DUMMYFUNCTION("""COMPUTED_VALUE"""),20.0)</f>
        <v>20</v>
      </c>
      <c r="J8574" s="18">
        <f>IFERROR(__xludf.DUMMYFUNCTION("""COMPUTED_VALUE"""),10.0)</f>
        <v>10</v>
      </c>
      <c r="K8574" s="18">
        <f>IFERROR(__xludf.DUMMYFUNCTION("""COMPUTED_VALUE"""),40.0)</f>
        <v>40</v>
      </c>
      <c r="L8574" s="17">
        <f>IFERROR(__xludf.DUMMYFUNCTION("""COMPUTED_VALUE"""),3.213667276E9)</f>
        <v>3213667276</v>
      </c>
      <c r="M8574" s="17"/>
      <c r="N8574" s="17"/>
      <c r="O8574" s="17"/>
      <c r="P8574" s="17" t="b">
        <f>IFERROR(__xludf.DUMMYFUNCTION("""COMPUTED_VALUE"""),TRUE)</f>
        <v>1</v>
      </c>
      <c r="Q8574" s="20">
        <f>IFERROR(__xludf.DUMMYFUNCTION("""COMPUTED_VALUE"""),45245.674845497684)</f>
        <v>45245.67485</v>
      </c>
      <c r="R8574" s="22" t="str">
        <f>IFERROR(__xludf.DUMMYFUNCTION("""COMPUTED_VALUE"""),"")</f>
        <v/>
      </c>
    </row>
    <row r="8575">
      <c r="A8575" s="15">
        <f>IFERROR(__xludf.DUMMYFUNCTION("""COMPUTED_VALUE"""),45245.0)</f>
        <v>45245</v>
      </c>
      <c r="B8575" s="16" t="str">
        <f>IFERROR(__xludf.DUMMYFUNCTION("""COMPUTED_VALUE"""),"Envia")</f>
        <v>Envia</v>
      </c>
      <c r="C8575" s="15" t="str">
        <f>IFERROR(__xludf.DUMMYFUNCTION("""COMPUTED_VALUE"""),"IBAGUÉ")</f>
        <v>IBAGUÉ</v>
      </c>
      <c r="D8575" s="15" t="str">
        <f>IFERROR(__xludf.DUMMYFUNCTION("""COMPUTED_VALUE"""),"BOGOTÁ")</f>
        <v>BOGOTÁ</v>
      </c>
      <c r="E8575" s="15" t="str">
        <f>IFERROR(__xludf.DUMMYFUNCTION("""COMPUTED_VALUE"""),"Spirulina Fresca")</f>
        <v>Spirulina Fresca</v>
      </c>
      <c r="F8575" s="17" t="str">
        <f>IFERROR(__xludf.DUMMYFUNCTION("""COMPUTED_VALUE"""),"calle 21 # 14-90,  / Conjunto Foresta Torre 2 apartamento 202 /  Calambeo Ibague")</f>
        <v>calle 21 # 14-90,  / Conjunto Foresta Torre 2 apartamento 202 /  Calambeo Ibague</v>
      </c>
      <c r="G8575" s="15" t="str">
        <f>IFERROR(__xludf.DUMMYFUNCTION("""COMPUTED_VALUE"""),"José Montero")</f>
        <v>José Montero</v>
      </c>
      <c r="H8575" s="16">
        <f>IFERROR(__xludf.DUMMYFUNCTION("""COMPUTED_VALUE"""),17249.0)</f>
        <v>17249</v>
      </c>
      <c r="I8575" s="18">
        <f>IFERROR(__xludf.DUMMYFUNCTION("""COMPUTED_VALUE"""),5.0)</f>
        <v>5</v>
      </c>
      <c r="J8575" s="18">
        <f>IFERROR(__xludf.DUMMYFUNCTION("""COMPUTED_VALUE"""),5.0)</f>
        <v>5</v>
      </c>
      <c r="K8575" s="18">
        <f>IFERROR(__xludf.DUMMYFUNCTION("""COMPUTED_VALUE"""),22.0)</f>
        <v>22</v>
      </c>
      <c r="L8575" s="17">
        <f>IFERROR(__xludf.DUMMYFUNCTION("""COMPUTED_VALUE"""),3.134121193E9)</f>
        <v>3134121193</v>
      </c>
      <c r="M8575" s="17"/>
      <c r="N8575" s="17"/>
      <c r="O8575" s="17"/>
      <c r="P8575" s="17" t="b">
        <f>IFERROR(__xludf.DUMMYFUNCTION("""COMPUTED_VALUE"""),TRUE)</f>
        <v>1</v>
      </c>
      <c r="Q8575" s="20">
        <f>IFERROR(__xludf.DUMMYFUNCTION("""COMPUTED_VALUE"""),45245.674758043984)</f>
        <v>45245.67476</v>
      </c>
      <c r="R8575" s="21" t="str">
        <f>IFERROR(__xludf.DUMMYFUNCTION("""COMPUTED_VALUE"""),"https://drive.google.com/file/d/1BWkzD5d-sIecXGV0PwZZzFAP9G0ut9Sc/view?usp=drivesdk")</f>
        <v>https://drive.google.com/file/d/1BWkzD5d-sIecXGV0PwZZzFAP9G0ut9Sc/view?usp=drivesdk</v>
      </c>
    </row>
    <row r="8576">
      <c r="A8576" s="15">
        <f>IFERROR(__xludf.DUMMYFUNCTION("""COMPUTED_VALUE"""),45245.0)</f>
        <v>45245</v>
      </c>
      <c r="B8576" s="16" t="str">
        <f>IFERROR(__xludf.DUMMYFUNCTION("""COMPUTED_VALUE"""),"Envia")</f>
        <v>Envia</v>
      </c>
      <c r="C8576" s="15" t="str">
        <f>IFERROR(__xludf.DUMMYFUNCTION("""COMPUTED_VALUE"""),"MANIZALES")</f>
        <v>MANIZALES</v>
      </c>
      <c r="D8576" s="15" t="str">
        <f>IFERROR(__xludf.DUMMYFUNCTION("""COMPUTED_VALUE"""),"MEDELLÍN")</f>
        <v>MEDELLÍN</v>
      </c>
      <c r="E8576" s="15" t="str">
        <f>IFERROR(__xludf.DUMMYFUNCTION("""COMPUTED_VALUE"""),"Baby Chef")</f>
        <v>Baby Chef</v>
      </c>
      <c r="F8576" s="17" t="str">
        <f>IFERROR(__xludf.DUMMYFUNCTION("""COMPUTED_VALUE"""),"Cll 66 a # 26 a 11 apto 303  Palermo Edificio Picasso  Manizales / . / .")</f>
        <v>Cll 66 a # 26 a 11 apto 303  Palermo Edificio Picasso  Manizales / . / .</v>
      </c>
      <c r="G8576" s="15" t="str">
        <f>IFERROR(__xludf.DUMMYFUNCTION("""COMPUTED_VALUE"""),"Marisol Henao")</f>
        <v>Marisol Henao</v>
      </c>
      <c r="H8576" s="16">
        <f>IFERROR(__xludf.DUMMYFUNCTION("""COMPUTED_VALUE"""),17291.0)</f>
        <v>17291</v>
      </c>
      <c r="I8576" s="18">
        <f>IFERROR(__xludf.DUMMYFUNCTION("""COMPUTED_VALUE"""),8.0)</f>
        <v>8</v>
      </c>
      <c r="J8576" s="18">
        <f>IFERROR(__xludf.DUMMYFUNCTION("""COMPUTED_VALUE"""),21.0)</f>
        <v>21</v>
      </c>
      <c r="K8576" s="18">
        <f>IFERROR(__xludf.DUMMYFUNCTION("""COMPUTED_VALUE"""),22.0)</f>
        <v>22</v>
      </c>
      <c r="L8576" s="17">
        <f>IFERROR(__xludf.DUMMYFUNCTION("""COMPUTED_VALUE"""),3.216959252E9)</f>
        <v>3216959252</v>
      </c>
      <c r="M8576" s="17"/>
      <c r="N8576" s="17"/>
      <c r="O8576" s="17"/>
      <c r="P8576" s="17" t="b">
        <f>IFERROR(__xludf.DUMMYFUNCTION("""COMPUTED_VALUE"""),TRUE)</f>
        <v>1</v>
      </c>
      <c r="Q8576" s="20">
        <f>IFERROR(__xludf.DUMMYFUNCTION("""COMPUTED_VALUE"""),45245.674664652775)</f>
        <v>45245.67466</v>
      </c>
      <c r="R8576" s="21" t="str">
        <f>IFERROR(__xludf.DUMMYFUNCTION("""COMPUTED_VALUE"""),"https://drive.google.com/file/d/1Ha3Puirz4-sVpQoCbyjuJa9aLw1RAhoI/view?usp=drivesdk")</f>
        <v>https://drive.google.com/file/d/1Ha3Puirz4-sVpQoCbyjuJa9aLw1RAhoI/view?usp=drivesdk</v>
      </c>
    </row>
    <row r="8577">
      <c r="A8577" s="15">
        <f>IFERROR(__xludf.DUMMYFUNCTION("""COMPUTED_VALUE"""),45245.0)</f>
        <v>45245</v>
      </c>
      <c r="B8577" s="16" t="str">
        <f>IFERROR(__xludf.DUMMYFUNCTION("""COMPUTED_VALUE"""),"Envia")</f>
        <v>Envia</v>
      </c>
      <c r="C8577" s="15" t="str">
        <f>IFERROR(__xludf.DUMMYFUNCTION("""COMPUTED_VALUE"""),"MEDELLÍN")</f>
        <v>MEDELLÍN</v>
      </c>
      <c r="D8577" s="15" t="str">
        <f>IFERROR(__xludf.DUMMYFUNCTION("""COMPUTED_VALUE"""),"BOGOTÁ")</f>
        <v>BOGOTÁ</v>
      </c>
      <c r="E8577" s="15" t="str">
        <f>IFERROR(__xludf.DUMMYFUNCTION("""COMPUTED_VALUE"""),"Instinto alimento vital")</f>
        <v>Instinto alimento vital</v>
      </c>
      <c r="F8577" s="17" t="str">
        <f>IFERROR(__xludf.DUMMYFUNCTION("""COMPUTED_VALUE"""),"CRA 44 # 26 27 / EL POBLADO")</f>
        <v>CRA 44 # 26 27 / EL POBLADO</v>
      </c>
      <c r="G8577" s="15" t="str">
        <f>IFERROR(__xludf.DUMMYFUNCTION("""COMPUTED_VALUE"""),"BODEGA VELOSITY MEDELLIN")</f>
        <v>BODEGA VELOSITY MEDELLIN</v>
      </c>
      <c r="H8577" s="16">
        <f>IFERROR(__xludf.DUMMYFUNCTION("""COMPUTED_VALUE"""),17317.0)</f>
        <v>17317</v>
      </c>
      <c r="I8577" s="17"/>
      <c r="J8577" s="17"/>
      <c r="K8577" s="17"/>
      <c r="L8577" s="17">
        <f>IFERROR(__xludf.DUMMYFUNCTION("""COMPUTED_VALUE"""),3.124683372E9)</f>
        <v>3124683372</v>
      </c>
      <c r="M8577" s="17"/>
      <c r="N8577" s="17"/>
      <c r="O8577" s="17"/>
      <c r="P8577" s="17" t="b">
        <f>IFERROR(__xludf.DUMMYFUNCTION("""COMPUTED_VALUE"""),TRUE)</f>
        <v>1</v>
      </c>
      <c r="Q8577" s="20">
        <f>IFERROR(__xludf.DUMMYFUNCTION("""COMPUTED_VALUE"""),45245.674559074076)</f>
        <v>45245.67456</v>
      </c>
      <c r="R8577" s="22" t="str">
        <f>IFERROR(__xludf.DUMMYFUNCTION("""COMPUTED_VALUE"""),"")</f>
        <v/>
      </c>
    </row>
    <row r="8578">
      <c r="A8578" s="15">
        <f>IFERROR(__xludf.DUMMYFUNCTION("""COMPUTED_VALUE"""),45245.0)</f>
        <v>45245</v>
      </c>
      <c r="B8578" s="16" t="str">
        <f>IFERROR(__xludf.DUMMYFUNCTION("""COMPUTED_VALUE"""),"Envia")</f>
        <v>Envia</v>
      </c>
      <c r="C8578" s="15" t="str">
        <f>IFERROR(__xludf.DUMMYFUNCTION("""COMPUTED_VALUE"""),"MEDELLÍN")</f>
        <v>MEDELLÍN</v>
      </c>
      <c r="D8578" s="15" t="str">
        <f>IFERROR(__xludf.DUMMYFUNCTION("""COMPUTED_VALUE"""),"BOGOTÁ")</f>
        <v>BOGOTÁ</v>
      </c>
      <c r="E8578" s="15" t="str">
        <f>IFERROR(__xludf.DUMMYFUNCTION("""COMPUTED_VALUE"""),"LINA PAOLA RAMIREZ GOMEZ - EVA MAZZITA")</f>
        <v>LINA PAOLA RAMIREZ GOMEZ - EVA MAZZITA</v>
      </c>
      <c r="F8578" s="17" t="str">
        <f>IFERROR(__xludf.DUMMYFUNCTION("""COMPUTED_VALUE"""),"CRA 15 BA No. 34D - 44 / INT 201")</f>
        <v>CRA 15 BA No. 34D - 44 / INT 201</v>
      </c>
      <c r="G8578" s="15" t="str">
        <f>IFERROR(__xludf.DUMMYFUNCTION("""COMPUTED_VALUE"""),"DANIELA BEDOYA BLANDON")</f>
        <v>DANIELA BEDOYA BLANDON</v>
      </c>
      <c r="H8578" s="16">
        <f>IFERROR(__xludf.DUMMYFUNCTION("""COMPUTED_VALUE"""),17270.0)</f>
        <v>17270</v>
      </c>
      <c r="I8578" s="17"/>
      <c r="J8578" s="17"/>
      <c r="K8578" s="17"/>
      <c r="L8578" s="17">
        <f>IFERROR(__xludf.DUMMYFUNCTION("""COMPUTED_VALUE"""),3.14672822E9)</f>
        <v>3146728220</v>
      </c>
      <c r="M8578" s="17"/>
      <c r="N8578" s="17"/>
      <c r="O8578" s="17"/>
      <c r="P8578" s="17" t="b">
        <f>IFERROR(__xludf.DUMMYFUNCTION("""COMPUTED_VALUE"""),TRUE)</f>
        <v>1</v>
      </c>
      <c r="Q8578" s="20">
        <f>IFERROR(__xludf.DUMMYFUNCTION("""COMPUTED_VALUE"""),45245.6749346875)</f>
        <v>45245.67493</v>
      </c>
      <c r="R8578" s="21" t="str">
        <f>IFERROR(__xludf.DUMMYFUNCTION("""COMPUTED_VALUE"""),"https://drive.google.com/file/d/1_bnqKJmc3tuvStsWM4pNjXF3JepB4xL4/view?usp=drivesdk")</f>
        <v>https://drive.google.com/file/d/1_bnqKJmc3tuvStsWM4pNjXF3JepB4xL4/view?usp=drivesdk</v>
      </c>
    </row>
    <row r="8579">
      <c r="A8579" s="15">
        <f>IFERROR(__xludf.DUMMYFUNCTION("""COMPUTED_VALUE"""),45245.0)</f>
        <v>45245</v>
      </c>
      <c r="B8579" s="16" t="str">
        <f>IFERROR(__xludf.DUMMYFUNCTION("""COMPUTED_VALUE"""),"Envia")</f>
        <v>Envia</v>
      </c>
      <c r="C8579" s="15" t="str">
        <f>IFERROR(__xludf.DUMMYFUNCTION("""COMPUTED_VALUE"""),"MEDELLÍN")</f>
        <v>MEDELLÍN</v>
      </c>
      <c r="D8579" s="15" t="str">
        <f>IFERROR(__xludf.DUMMYFUNCTION("""COMPUTED_VALUE"""),"BOGOTÁ")</f>
        <v>BOGOTÁ</v>
      </c>
      <c r="E8579" s="15" t="str">
        <f>IFERROR(__xludf.DUMMYFUNCTION("""COMPUTED_VALUE"""),"Loomifoods")</f>
        <v>Loomifoods</v>
      </c>
      <c r="F8579" s="17" t="str">
        <f>IFERROR(__xludf.DUMMYFUNCTION("""COMPUTED_VALUE"""),"Calle 25 A sur #42b-61,  / Villa Fontana, apto 208  / Envigado, Antioquia")</f>
        <v>Calle 25 A sur #42b-61,  / Villa Fontana, apto 208  / Envigado, Antioquia</v>
      </c>
      <c r="G8579" s="15" t="str">
        <f>IFERROR(__xludf.DUMMYFUNCTION("""COMPUTED_VALUE"""),"Juliana Jaramillo")</f>
        <v>Juliana Jaramillo</v>
      </c>
      <c r="H8579" s="16">
        <f>IFERROR(__xludf.DUMMYFUNCTION("""COMPUTED_VALUE"""),17251.0)</f>
        <v>17251</v>
      </c>
      <c r="I8579" s="18">
        <f>IFERROR(__xludf.DUMMYFUNCTION("""COMPUTED_VALUE"""),19.0)</f>
        <v>19</v>
      </c>
      <c r="J8579" s="18">
        <f>IFERROR(__xludf.DUMMYFUNCTION("""COMPUTED_VALUE"""),5.0)</f>
        <v>5</v>
      </c>
      <c r="K8579" s="18">
        <f>IFERROR(__xludf.DUMMYFUNCTION("""COMPUTED_VALUE"""),16.0)</f>
        <v>16</v>
      </c>
      <c r="L8579" s="17">
        <f>IFERROR(__xludf.DUMMYFUNCTION("""COMPUTED_VALUE"""),3.058192859E9)</f>
        <v>3058192859</v>
      </c>
      <c r="M8579" s="17"/>
      <c r="N8579" s="17"/>
      <c r="O8579" s="17"/>
      <c r="P8579" s="17" t="b">
        <f>IFERROR(__xludf.DUMMYFUNCTION("""COMPUTED_VALUE"""),TRUE)</f>
        <v>1</v>
      </c>
      <c r="Q8579" s="20">
        <f>IFERROR(__xludf.DUMMYFUNCTION("""COMPUTED_VALUE"""),45245.674758043984)</f>
        <v>45245.67476</v>
      </c>
      <c r="R8579" s="22" t="str">
        <f>IFERROR(__xludf.DUMMYFUNCTION("""COMPUTED_VALUE"""),"")</f>
        <v/>
      </c>
    </row>
    <row r="8580">
      <c r="A8580" s="15">
        <f>IFERROR(__xludf.DUMMYFUNCTION("""COMPUTED_VALUE"""),45245.0)</f>
        <v>45245</v>
      </c>
      <c r="B8580" s="16" t="str">
        <f>IFERROR(__xludf.DUMMYFUNCTION("""COMPUTED_VALUE"""),"Envia")</f>
        <v>Envia</v>
      </c>
      <c r="C8580" s="15" t="str">
        <f>IFERROR(__xludf.DUMMYFUNCTION("""COMPUTED_VALUE"""),"MEDELLÍN")</f>
        <v>MEDELLÍN</v>
      </c>
      <c r="D8580" s="15" t="str">
        <f>IFERROR(__xludf.DUMMYFUNCTION("""COMPUTED_VALUE"""),"BOGOTÁ")</f>
        <v>BOGOTÁ</v>
      </c>
      <c r="E8580" s="15" t="str">
        <f>IFERROR(__xludf.DUMMYFUNCTION("""COMPUTED_VALUE"""),"Loomifoods")</f>
        <v>Loomifoods</v>
      </c>
      <c r="F8580" s="17" t="str">
        <f>IFERROR(__xludf.DUMMYFUNCTION("""COMPUTED_VALUE"""),"Cra 15 BA no. 34 D - 44  / Int 201 / Medellin")</f>
        <v>Cra 15 BA no. 34 D - 44  / Int 201 / Medellin</v>
      </c>
      <c r="G8580" s="15" t="str">
        <f>IFERROR(__xludf.DUMMYFUNCTION("""COMPUTED_VALUE"""),"Daniela Bedoya")</f>
        <v>Daniela Bedoya</v>
      </c>
      <c r="H8580" s="16">
        <f>IFERROR(__xludf.DUMMYFUNCTION("""COMPUTED_VALUE"""),17250.0)</f>
        <v>17250</v>
      </c>
      <c r="I8580" s="18">
        <f>IFERROR(__xludf.DUMMYFUNCTION("""COMPUTED_VALUE"""),19.0)</f>
        <v>19</v>
      </c>
      <c r="J8580" s="18">
        <f>IFERROR(__xludf.DUMMYFUNCTION("""COMPUTED_VALUE"""),10.0)</f>
        <v>10</v>
      </c>
      <c r="K8580" s="18">
        <f>IFERROR(__xludf.DUMMYFUNCTION("""COMPUTED_VALUE"""),16.0)</f>
        <v>16</v>
      </c>
      <c r="L8580" s="17">
        <f>IFERROR(__xludf.DUMMYFUNCTION("""COMPUTED_VALUE"""),3.14672822E9)</f>
        <v>3146728220</v>
      </c>
      <c r="M8580" s="17"/>
      <c r="N8580" s="17"/>
      <c r="O8580" s="17"/>
      <c r="P8580" s="17" t="b">
        <f>IFERROR(__xludf.DUMMYFUNCTION("""COMPUTED_VALUE"""),FALSE)</f>
        <v>0</v>
      </c>
      <c r="Q8580" s="20" t="str">
        <f>IFERROR(__xludf.DUMMYFUNCTION("""COMPUTED_VALUE"""),"")</f>
        <v/>
      </c>
      <c r="R8580" s="21" t="str">
        <f>IFERROR(__xludf.DUMMYFUNCTION("""COMPUTED_VALUE"""),"https://drive.google.com/file/d/1aFxgZhMZ4KzVD7pxBFJBqDKgExUlxjxp/view?usp=drivesdk")</f>
        <v>https://drive.google.com/file/d/1aFxgZhMZ4KzVD7pxBFJBqDKgExUlxjxp/view?usp=drivesdk</v>
      </c>
    </row>
    <row r="8581">
      <c r="A8581" s="17" t="str">
        <f>IFERROR(__xludf.DUMMYFUNCTION("""COMPUTED_VALUE"""),"")</f>
        <v/>
      </c>
      <c r="B8581" s="17" t="str">
        <f>IFERROR(__xludf.DUMMYFUNCTION("""COMPUTED_VALUE"""),"")</f>
        <v/>
      </c>
      <c r="C8581" s="17" t="str">
        <f>IFERROR(__xludf.DUMMYFUNCTION("""COMPUTED_VALUE"""),"")</f>
        <v/>
      </c>
      <c r="D8581" s="17" t="str">
        <f>IFERROR(__xludf.DUMMYFUNCTION("""COMPUTED_VALUE"""),"")</f>
        <v/>
      </c>
      <c r="E8581" s="17" t="str">
        <f>IFERROR(__xludf.DUMMYFUNCTION("""COMPUTED_VALUE"""),"")</f>
        <v/>
      </c>
      <c r="F8581" s="17" t="str">
        <f>IFERROR(__xludf.DUMMYFUNCTION("""COMPUTED_VALUE"""),"")</f>
        <v/>
      </c>
      <c r="G8581" s="17" t="str">
        <f>IFERROR(__xludf.DUMMYFUNCTION("""COMPUTED_VALUE"""),"")</f>
        <v/>
      </c>
      <c r="H8581" s="17" t="str">
        <f>IFERROR(__xludf.DUMMYFUNCTION("""COMPUTED_VALUE"""),"")</f>
        <v/>
      </c>
      <c r="I8581" s="17" t="str">
        <f>IFERROR(__xludf.DUMMYFUNCTION("""COMPUTED_VALUE"""),"")</f>
        <v/>
      </c>
      <c r="J8581" s="17" t="str">
        <f>IFERROR(__xludf.DUMMYFUNCTION("""COMPUTED_VALUE"""),"")</f>
        <v/>
      </c>
      <c r="K8581" s="17" t="str">
        <f>IFERROR(__xludf.DUMMYFUNCTION("""COMPUTED_VALUE"""),"")</f>
        <v/>
      </c>
      <c r="L8581" s="17" t="str">
        <f>IFERROR(__xludf.DUMMYFUNCTION("""COMPUTED_VALUE"""),"")</f>
        <v/>
      </c>
      <c r="M8581" s="17" t="str">
        <f>IFERROR(__xludf.DUMMYFUNCTION("""COMPUTED_VALUE"""),"")</f>
        <v/>
      </c>
      <c r="N8581" s="17" t="str">
        <f>IFERROR(__xludf.DUMMYFUNCTION("""COMPUTED_VALUE"""),"")</f>
        <v/>
      </c>
      <c r="O8581" s="17" t="str">
        <f>IFERROR(__xludf.DUMMYFUNCTION("""COMPUTED_VALUE"""),"")</f>
        <v/>
      </c>
      <c r="P8581" s="17" t="str">
        <f>IFERROR(__xludf.DUMMYFUNCTION("""COMPUTED_VALUE"""),"")</f>
        <v/>
      </c>
      <c r="Q8581" s="17" t="str">
        <f>IFERROR(__xludf.DUMMYFUNCTION("""COMPUTED_VALUE"""),"")</f>
        <v/>
      </c>
      <c r="R8581" s="17" t="str">
        <f>IFERROR(__xludf.DUMMYFUNCTION("""COMPUTED_VALUE"""),"")</f>
        <v/>
      </c>
    </row>
    <row r="8582">
      <c r="A8582" s="15">
        <f>IFERROR(__xludf.DUMMYFUNCTION("""COMPUTED_VALUE"""),45245.0)</f>
        <v>45245</v>
      </c>
      <c r="B8582" s="16" t="str">
        <f>IFERROR(__xludf.DUMMYFUNCTION("""COMPUTED_VALUE"""),"Jhon Anderson Ceballos Hernandez")</f>
        <v>Jhon Anderson Ceballos Hernandez</v>
      </c>
      <c r="C8582" s="15" t="str">
        <f>IFERROR(__xludf.DUMMYFUNCTION("""COMPUTED_VALUE"""),"MANIZALES")</f>
        <v>MANIZALES</v>
      </c>
      <c r="D8582" s="15" t="str">
        <f>IFERROR(__xludf.DUMMYFUNCTION("""COMPUTED_VALUE"""),"BOGOTÁ")</f>
        <v>BOGOTÁ</v>
      </c>
      <c r="E8582" s="15" t="str">
        <f>IFERROR(__xludf.DUMMYFUNCTION("""COMPUTED_VALUE"""),"Spirulina Fresca")</f>
        <v>Spirulina Fresca</v>
      </c>
      <c r="F8582" s="17" t="str">
        <f>IFERROR(__xludf.DUMMYFUNCTION("""COMPUTED_VALUE"""),"Avenida Alberto Mendoza # 89-94  Edificio Paseo del Bosque  Apto 903 / Edificio Paseo del Bosque  Apto 903 / Manizalez")</f>
        <v>Avenida Alberto Mendoza # 89-94  Edificio Paseo del Bosque  Apto 903 / Edificio Paseo del Bosque  Apto 903 / Manizalez</v>
      </c>
      <c r="G8582" s="15" t="str">
        <f>IFERROR(__xludf.DUMMYFUNCTION("""COMPUTED_VALUE"""),"Oscar Arias")</f>
        <v>Oscar Arias</v>
      </c>
      <c r="H8582" s="16">
        <f>IFERROR(__xludf.DUMMYFUNCTION("""COMPUTED_VALUE"""),17247.0)</f>
        <v>17247</v>
      </c>
      <c r="I8582" s="18">
        <f>IFERROR(__xludf.DUMMYFUNCTION("""COMPUTED_VALUE"""),5.0)</f>
        <v>5</v>
      </c>
      <c r="J8582" s="18">
        <f>IFERROR(__xludf.DUMMYFUNCTION("""COMPUTED_VALUE"""),5.0)</f>
        <v>5</v>
      </c>
      <c r="K8582" s="18">
        <f>IFERROR(__xludf.DUMMYFUNCTION("""COMPUTED_VALUE"""),22.0)</f>
        <v>22</v>
      </c>
      <c r="L8582" s="17">
        <f>IFERROR(__xludf.DUMMYFUNCTION("""COMPUTED_VALUE"""),3.104558441E9)</f>
        <v>3104558441</v>
      </c>
      <c r="M8582" s="17"/>
      <c r="N8582" s="17"/>
      <c r="O8582" s="17"/>
      <c r="P8582" s="17" t="b">
        <f>IFERROR(__xludf.DUMMYFUNCTION("""COMPUTED_VALUE"""),TRUE)</f>
        <v>1</v>
      </c>
      <c r="Q8582" s="20">
        <f>IFERROR(__xludf.DUMMYFUNCTION("""COMPUTED_VALUE"""),45245.538262222224)</f>
        <v>45245.53826</v>
      </c>
      <c r="R8582" s="21" t="str">
        <f>IFERROR(__xludf.DUMMYFUNCTION("""COMPUTED_VALUE"""),"https://drive.google.com/file/d/1kJJSpA5zyAZ-8E2t2pbL2ZHhCo2YPe1y/view?usp=drivesdk")</f>
        <v>https://drive.google.com/file/d/1kJJSpA5zyAZ-8E2t2pbL2ZHhCo2YPe1y/view?usp=drivesdk</v>
      </c>
    </row>
    <row r="8583">
      <c r="A8583" s="15">
        <f>IFERROR(__xludf.DUMMYFUNCTION("""COMPUTED_VALUE"""),45245.0)</f>
        <v>45245</v>
      </c>
      <c r="B8583" s="16" t="str">
        <f>IFERROR(__xludf.DUMMYFUNCTION("""COMPUTED_VALUE"""),"Jhon Anderson Ceballos Hernandez")</f>
        <v>Jhon Anderson Ceballos Hernandez</v>
      </c>
      <c r="C8583" s="15" t="str">
        <f>IFERROR(__xludf.DUMMYFUNCTION("""COMPUTED_VALUE"""),"MANIZALES")</f>
        <v>MANIZALES</v>
      </c>
      <c r="D8583" s="15" t="str">
        <f>IFERROR(__xludf.DUMMYFUNCTION("""COMPUTED_VALUE"""),"BOGOTÁ")</f>
        <v>BOGOTÁ</v>
      </c>
      <c r="E8583" s="15" t="str">
        <f>IFERROR(__xludf.DUMMYFUNCTION("""COMPUTED_VALUE"""),"Vtopia")</f>
        <v>Vtopia</v>
      </c>
      <c r="F8583" s="17" t="str">
        <f>IFERROR(__xludf.DUMMYFUNCTION("""COMPUTED_VALUE"""),"Calle 12 Nro 3-127 / Casa / Barrio Villa Pilar. Por el Aquilino Villegas. ")</f>
        <v>Calle 12 Nro 3-127 / Casa / Barrio Villa Pilar. Por el Aquilino Villegas. </v>
      </c>
      <c r="G8583" s="15" t="str">
        <f>IFERROR(__xludf.DUMMYFUNCTION("""COMPUTED_VALUE"""),"Engie Camila Ramírez o John Jairo Ramirez")</f>
        <v>Engie Camila Ramírez o John Jairo Ramirez</v>
      </c>
      <c r="H8583" s="16">
        <f>IFERROR(__xludf.DUMMYFUNCTION("""COMPUTED_VALUE"""),17224.0)</f>
        <v>17224</v>
      </c>
      <c r="I8583" s="18">
        <f>IFERROR(__xludf.DUMMYFUNCTION("""COMPUTED_VALUE"""),17.0)</f>
        <v>17</v>
      </c>
      <c r="J8583" s="18">
        <f>IFERROR(__xludf.DUMMYFUNCTION("""COMPUTED_VALUE"""),12.0)</f>
        <v>12</v>
      </c>
      <c r="K8583" s="18">
        <f>IFERROR(__xludf.DUMMYFUNCTION("""COMPUTED_VALUE"""),12.0)</f>
        <v>12</v>
      </c>
      <c r="L8583" s="17">
        <f>IFERROR(__xludf.DUMMYFUNCTION("""COMPUTED_VALUE"""),3.126926496E9)</f>
        <v>3126926496</v>
      </c>
      <c r="M8583" s="17"/>
      <c r="N8583" s="17"/>
      <c r="O8583" s="17"/>
      <c r="P8583" s="17" t="b">
        <f>IFERROR(__xludf.DUMMYFUNCTION("""COMPUTED_VALUE"""),TRUE)</f>
        <v>1</v>
      </c>
      <c r="Q8583" s="20">
        <f>IFERROR(__xludf.DUMMYFUNCTION("""COMPUTED_VALUE"""),45245.60796461806)</f>
        <v>45245.60796</v>
      </c>
      <c r="R8583" s="21" t="str">
        <f>IFERROR(__xludf.DUMMYFUNCTION("""COMPUTED_VALUE"""),"https://drive.google.com/file/d/1hgv916-FiPIxZ55ga1LISFpGRi2Z0dhm/view?usp=drivesdk")</f>
        <v>https://drive.google.com/file/d/1hgv916-FiPIxZ55ga1LISFpGRi2Z0dhm/view?usp=drivesdk</v>
      </c>
    </row>
    <row r="8584">
      <c r="A8584" s="15">
        <f>IFERROR(__xludf.DUMMYFUNCTION("""COMPUTED_VALUE"""),45245.0)</f>
        <v>45245</v>
      </c>
      <c r="B8584" s="16" t="str">
        <f>IFERROR(__xludf.DUMMYFUNCTION("""COMPUTED_VALUE"""),"Jhon Anderson Ceballos Hernandez")</f>
        <v>Jhon Anderson Ceballos Hernandez</v>
      </c>
      <c r="C8584" s="15" t="str">
        <f>IFERROR(__xludf.DUMMYFUNCTION("""COMPUTED_VALUE"""),"MANIZALES")</f>
        <v>MANIZALES</v>
      </c>
      <c r="D8584" s="15" t="str">
        <f>IFERROR(__xludf.DUMMYFUNCTION("""COMPUTED_VALUE"""),"ENVIGADO")</f>
        <v>ENVIGADO</v>
      </c>
      <c r="E8584" s="15" t="str">
        <f>IFERROR(__xludf.DUMMYFUNCTION("""COMPUTED_VALUE"""),"JUAN CAMILO CORDOBA")</f>
        <v>JUAN CAMILO CORDOBA</v>
      </c>
      <c r="F8584" s="17" t="str">
        <f>IFERROR(__xludf.DUMMYFUNCTION("""COMPUTED_VALUE"""),"carrera 27a # 66-30 / local 819 centro comercial sancancio")</f>
        <v>carrera 27a # 66-30 / local 819 centro comercial sancancio</v>
      </c>
      <c r="G8584" s="15" t="str">
        <f>IFERROR(__xludf.DUMMYFUNCTION("""COMPUTED_VALUE"""),"Atipiko")</f>
        <v>Atipiko</v>
      </c>
      <c r="H8584" s="16">
        <f>IFERROR(__xludf.DUMMYFUNCTION("""COMPUTED_VALUE"""),17307.0)</f>
        <v>17307</v>
      </c>
      <c r="I8584" s="17"/>
      <c r="J8584" s="17"/>
      <c r="K8584" s="17"/>
      <c r="L8584" s="17">
        <f>IFERROR(__xludf.DUMMYFUNCTION("""COMPUTED_VALUE"""),3.113499778E9)</f>
        <v>3113499778</v>
      </c>
      <c r="M8584" s="17"/>
      <c r="N8584" s="17"/>
      <c r="O8584" s="17"/>
      <c r="P8584" s="17" t="b">
        <f>IFERROR(__xludf.DUMMYFUNCTION("""COMPUTED_VALUE"""),TRUE)</f>
        <v>1</v>
      </c>
      <c r="Q8584" s="20">
        <f>IFERROR(__xludf.DUMMYFUNCTION("""COMPUTED_VALUE"""),45245.6080846875)</f>
        <v>45245.60808</v>
      </c>
      <c r="R8584" s="21" t="str">
        <f>IFERROR(__xludf.DUMMYFUNCTION("""COMPUTED_VALUE"""),"https://drive.google.com/file/d/1y0G4nO37EUBSv9hLjl9U4jmZUJY6Erhw/view?usp=drivesdk")</f>
        <v>https://drive.google.com/file/d/1y0G4nO37EUBSv9hLjl9U4jmZUJY6Erhw/view?usp=drivesdk</v>
      </c>
    </row>
    <row r="8585">
      <c r="A8585" s="15">
        <f>IFERROR(__xludf.DUMMYFUNCTION("""COMPUTED_VALUE"""),45245.0)</f>
        <v>45245</v>
      </c>
      <c r="B8585" s="16" t="str">
        <f>IFERROR(__xludf.DUMMYFUNCTION("""COMPUTED_VALUE"""),"Jhon Anderson Ceballos Hernandez")</f>
        <v>Jhon Anderson Ceballos Hernandez</v>
      </c>
      <c r="C8585" s="15" t="str">
        <f>IFERROR(__xludf.DUMMYFUNCTION("""COMPUTED_VALUE"""),"TUNJA")</f>
        <v>TUNJA</v>
      </c>
      <c r="D8585" s="15" t="str">
        <f>IFERROR(__xludf.DUMMYFUNCTION("""COMPUTED_VALUE"""),"BOGOTÁ")</f>
        <v>BOGOTÁ</v>
      </c>
      <c r="E8585" s="15" t="str">
        <f>IFERROR(__xludf.DUMMYFUNCTION("""COMPUTED_VALUE"""),"LINA PAOLA RAMIREZ GOMEZ - EVA MAZZITA")</f>
        <v>LINA PAOLA RAMIREZ GOMEZ - EVA MAZZITA</v>
      </c>
      <c r="F8585" s="17" t="str">
        <f>IFERROR(__xludf.DUMMYFUNCTION("""COMPUTED_VALUE"""),"Calle 18b#3b-224 / Apto 707/torre 1 conjunto Avium")</f>
        <v>Calle 18b#3b-224 / Apto 707/torre 1 conjunto Avium</v>
      </c>
      <c r="G8585" s="15" t="str">
        <f>IFERROR(__xludf.DUMMYFUNCTION("""COMPUTED_VALUE"""),"DAYANA PAOLA REYES ORTIZ")</f>
        <v>DAYANA PAOLA REYES ORTIZ</v>
      </c>
      <c r="H8585" s="16">
        <f>IFERROR(__xludf.DUMMYFUNCTION("""COMPUTED_VALUE"""),17266.0)</f>
        <v>17266</v>
      </c>
      <c r="I8585" s="17"/>
      <c r="J8585" s="17"/>
      <c r="K8585" s="17"/>
      <c r="L8585" s="17">
        <f>IFERROR(__xludf.DUMMYFUNCTION("""COMPUTED_VALUE"""),3.202330046E9)</f>
        <v>3202330046</v>
      </c>
      <c r="M8585" s="17"/>
      <c r="N8585" s="17"/>
      <c r="O8585" s="17"/>
      <c r="P8585" s="17" t="b">
        <f>IFERROR(__xludf.DUMMYFUNCTION("""COMPUTED_VALUE"""),FALSE)</f>
        <v>0</v>
      </c>
      <c r="Q8585" s="20" t="str">
        <f>IFERROR(__xludf.DUMMYFUNCTION("""COMPUTED_VALUE"""),"")</f>
        <v/>
      </c>
      <c r="R8585" s="22" t="str">
        <f>IFERROR(__xludf.DUMMYFUNCTION("""COMPUTED_VALUE"""),"")</f>
        <v/>
      </c>
    </row>
    <row r="8586">
      <c r="A8586" s="15">
        <f>IFERROR(__xludf.DUMMYFUNCTION("""COMPUTED_VALUE"""),45245.0)</f>
        <v>45245</v>
      </c>
      <c r="B8586" s="16" t="str">
        <f>IFERROR(__xludf.DUMMYFUNCTION("""COMPUTED_VALUE"""),"Jhon Anderson Ceballos Hernandez")</f>
        <v>Jhon Anderson Ceballos Hernandez</v>
      </c>
      <c r="C8586" s="15" t="str">
        <f>IFERROR(__xludf.DUMMYFUNCTION("""COMPUTED_VALUE"""),"TUNJA")</f>
        <v>TUNJA</v>
      </c>
      <c r="D8586" s="15" t="str">
        <f>IFERROR(__xludf.DUMMYFUNCTION("""COMPUTED_VALUE"""),"BOGOTÁ")</f>
        <v>BOGOTÁ</v>
      </c>
      <c r="E8586" s="15" t="str">
        <f>IFERROR(__xludf.DUMMYFUNCTION("""COMPUTED_VALUE"""),"LINA PAOLA RAMIREZ GOMEZ - EVA MAZZITA")</f>
        <v>LINA PAOLA RAMIREZ GOMEZ - EVA MAZZITA</v>
      </c>
      <c r="F8586" s="17" t="str">
        <f>IFERROR(__xludf.DUMMYFUNCTION("""COMPUTED_VALUE"""),"Diagonal 66A # 4-20 / Barrio Los Muiscas")</f>
        <v>Diagonal 66A # 4-20 / Barrio Los Muiscas</v>
      </c>
      <c r="G8586" s="15" t="str">
        <f>IFERROR(__xludf.DUMMYFUNCTION("""COMPUTED_VALUE"""),"MERY YOLIMA URIBE RIOS")</f>
        <v>MERY YOLIMA URIBE RIOS</v>
      </c>
      <c r="H8586" s="16">
        <f>IFERROR(__xludf.DUMMYFUNCTION("""COMPUTED_VALUE"""),17264.0)</f>
        <v>17264</v>
      </c>
      <c r="I8586" s="17"/>
      <c r="J8586" s="17"/>
      <c r="K8586" s="17"/>
      <c r="L8586" s="17">
        <f>IFERROR(__xludf.DUMMYFUNCTION("""COMPUTED_VALUE"""),3.102399974E9)</f>
        <v>3102399974</v>
      </c>
      <c r="M8586" s="17"/>
      <c r="N8586" s="17"/>
      <c r="O8586" s="17"/>
      <c r="P8586" s="17" t="b">
        <f>IFERROR(__xludf.DUMMYFUNCTION("""COMPUTED_VALUE"""),TRUE)</f>
        <v>1</v>
      </c>
      <c r="Q8586" s="20">
        <f>IFERROR(__xludf.DUMMYFUNCTION("""COMPUTED_VALUE"""),45245.53870157407)</f>
        <v>45245.5387</v>
      </c>
      <c r="R8586" s="22" t="str">
        <f>IFERROR(__xludf.DUMMYFUNCTION("""COMPUTED_VALUE"""),"")</f>
        <v/>
      </c>
    </row>
    <row r="8587">
      <c r="A8587" s="17" t="str">
        <f>IFERROR(__xludf.DUMMYFUNCTION("""COMPUTED_VALUE"""),"")</f>
        <v/>
      </c>
      <c r="B8587" s="17" t="str">
        <f>IFERROR(__xludf.DUMMYFUNCTION("""COMPUTED_VALUE"""),"")</f>
        <v/>
      </c>
      <c r="C8587" s="17" t="str">
        <f>IFERROR(__xludf.DUMMYFUNCTION("""COMPUTED_VALUE"""),"")</f>
        <v/>
      </c>
      <c r="D8587" s="17" t="str">
        <f>IFERROR(__xludf.DUMMYFUNCTION("""COMPUTED_VALUE"""),"")</f>
        <v/>
      </c>
      <c r="E8587" s="17" t="str">
        <f>IFERROR(__xludf.DUMMYFUNCTION("""COMPUTED_VALUE"""),"")</f>
        <v/>
      </c>
      <c r="F8587" s="17" t="str">
        <f>IFERROR(__xludf.DUMMYFUNCTION("""COMPUTED_VALUE"""),"")</f>
        <v/>
      </c>
      <c r="G8587" s="17" t="str">
        <f>IFERROR(__xludf.DUMMYFUNCTION("""COMPUTED_VALUE"""),"")</f>
        <v/>
      </c>
      <c r="H8587" s="17" t="str">
        <f>IFERROR(__xludf.DUMMYFUNCTION("""COMPUTED_VALUE"""),"")</f>
        <v/>
      </c>
      <c r="I8587" s="17" t="str">
        <f>IFERROR(__xludf.DUMMYFUNCTION("""COMPUTED_VALUE"""),"")</f>
        <v/>
      </c>
      <c r="J8587" s="17" t="str">
        <f>IFERROR(__xludf.DUMMYFUNCTION("""COMPUTED_VALUE"""),"")</f>
        <v/>
      </c>
      <c r="K8587" s="17" t="str">
        <f>IFERROR(__xludf.DUMMYFUNCTION("""COMPUTED_VALUE"""),"")</f>
        <v/>
      </c>
      <c r="L8587" s="17" t="str">
        <f>IFERROR(__xludf.DUMMYFUNCTION("""COMPUTED_VALUE"""),"")</f>
        <v/>
      </c>
      <c r="M8587" s="17" t="str">
        <f>IFERROR(__xludf.DUMMYFUNCTION("""COMPUTED_VALUE"""),"")</f>
        <v/>
      </c>
      <c r="N8587" s="17" t="str">
        <f>IFERROR(__xludf.DUMMYFUNCTION("""COMPUTED_VALUE"""),"")</f>
        <v/>
      </c>
      <c r="O8587" s="17" t="str">
        <f>IFERROR(__xludf.DUMMYFUNCTION("""COMPUTED_VALUE"""),"")</f>
        <v/>
      </c>
      <c r="P8587" s="17" t="str">
        <f>IFERROR(__xludf.DUMMYFUNCTION("""COMPUTED_VALUE"""),"")</f>
        <v/>
      </c>
      <c r="Q8587" s="17" t="str">
        <f>IFERROR(__xludf.DUMMYFUNCTION("""COMPUTED_VALUE"""),"")</f>
        <v/>
      </c>
      <c r="R8587" s="17" t="str">
        <f>IFERROR(__xludf.DUMMYFUNCTION("""COMPUTED_VALUE"""),"")</f>
        <v/>
      </c>
    </row>
    <row r="8588">
      <c r="A8588" s="15">
        <f>IFERROR(__xludf.DUMMYFUNCTION("""COMPUTED_VALUE"""),45245.0)</f>
        <v>45245</v>
      </c>
      <c r="B8588" s="16" t="str">
        <f>IFERROR(__xludf.DUMMYFUNCTION("""COMPUTED_VALUE"""),"Johan Alexander Escobar Arroyo ")</f>
        <v>Johan Alexander Escobar Arroyo </v>
      </c>
      <c r="C8588" s="15" t="str">
        <f>IFERROR(__xludf.DUMMYFUNCTION("""COMPUTED_VALUE"""),"CALI")</f>
        <v>CALI</v>
      </c>
      <c r="D8588" s="15" t="str">
        <f>IFERROR(__xludf.DUMMYFUNCTION("""COMPUTED_VALUE"""),"BOGOTÁ")</f>
        <v>BOGOTÁ</v>
      </c>
      <c r="E8588" s="15" t="str">
        <f>IFERROR(__xludf.DUMMYFUNCTION("""COMPUTED_VALUE"""),"Asociacion Agropecuaria Juana Maria")</f>
        <v>Asociacion Agropecuaria Juana Maria</v>
      </c>
      <c r="F8588" s="17" t="str">
        <f>IFERROR(__xludf.DUMMYFUNCTION("""COMPUTED_VALUE"""),"Carrera 17B # 33E-33 / La Floresta vieja")</f>
        <v>Carrera 17B # 33E-33 / La Floresta vieja</v>
      </c>
      <c r="G8588" s="15" t="str">
        <f>IFERROR(__xludf.DUMMYFUNCTION("""COMPUTED_VALUE"""),"Johanna acuña Molina")</f>
        <v>Johanna acuña Molina</v>
      </c>
      <c r="H8588" s="16">
        <f>IFERROR(__xludf.DUMMYFUNCTION("""COMPUTED_VALUE"""),17238.0)</f>
        <v>17238</v>
      </c>
      <c r="I8588" s="17"/>
      <c r="J8588" s="17"/>
      <c r="K8588" s="17"/>
      <c r="L8588" s="17">
        <f>IFERROR(__xludf.DUMMYFUNCTION("""COMPUTED_VALUE"""),3.218700343E9)</f>
        <v>3218700343</v>
      </c>
      <c r="M8588" s="17"/>
      <c r="N8588" s="17"/>
      <c r="O8588" s="17"/>
      <c r="P8588" s="17" t="b">
        <f>IFERROR(__xludf.DUMMYFUNCTION("""COMPUTED_VALUE"""),FALSE)</f>
        <v>0</v>
      </c>
      <c r="Q8588" s="20" t="str">
        <f>IFERROR(__xludf.DUMMYFUNCTION("""COMPUTED_VALUE"""),"")</f>
        <v/>
      </c>
      <c r="R8588" s="21" t="str">
        <f>IFERROR(__xludf.DUMMYFUNCTION("""COMPUTED_VALUE"""),"https://drive.google.com/file/d/1PVKi0HqMesDrOaDQQC-SdoyoY6H7gwWg/view?usp=drivesdk")</f>
        <v>https://drive.google.com/file/d/1PVKi0HqMesDrOaDQQC-SdoyoY6H7gwWg/view?usp=drivesdk</v>
      </c>
    </row>
    <row r="8589">
      <c r="A8589" s="15">
        <f>IFERROR(__xludf.DUMMYFUNCTION("""COMPUTED_VALUE"""),45245.0)</f>
        <v>45245</v>
      </c>
      <c r="B8589" s="16" t="str">
        <f>IFERROR(__xludf.DUMMYFUNCTION("""COMPUTED_VALUE"""),"Johan Alexander Escobar Arroyo ")</f>
        <v>Johan Alexander Escobar Arroyo </v>
      </c>
      <c r="C8589" s="15" t="str">
        <f>IFERROR(__xludf.DUMMYFUNCTION("""COMPUTED_VALUE"""),"CALI")</f>
        <v>CALI</v>
      </c>
      <c r="D8589" s="15" t="str">
        <f>IFERROR(__xludf.DUMMYFUNCTION("""COMPUTED_VALUE"""),"BOGOTÁ")</f>
        <v>BOGOTÁ</v>
      </c>
      <c r="E8589" s="15" t="str">
        <f>IFERROR(__xludf.DUMMYFUNCTION("""COMPUTED_VALUE"""),"Grupo Hakim")</f>
        <v>Grupo Hakim</v>
      </c>
      <c r="F8589" s="17" t="str">
        <f>IFERROR(__xludf.DUMMYFUNCTION("""COMPUTED_VALUE"""),"CALLE 24 NORTE # 6A - 20 / ALMACEN DECORACIONES OLY  / BARRIO SANTA MONICA ")</f>
        <v>CALLE 24 NORTE # 6A - 20 / ALMACEN DECORACIONES OLY  / BARRIO SANTA MONICA </v>
      </c>
      <c r="G8589" s="15" t="str">
        <f>IFERROR(__xludf.DUMMYFUNCTION("""COMPUTED_VALUE"""),"DENISE HAKIM")</f>
        <v>DENISE HAKIM</v>
      </c>
      <c r="H8589" s="16">
        <f>IFERROR(__xludf.DUMMYFUNCTION("""COMPUTED_VALUE"""),17282.0)</f>
        <v>17282</v>
      </c>
      <c r="I8589" s="18">
        <f>IFERROR(__xludf.DUMMYFUNCTION("""COMPUTED_VALUE"""),157.5)</f>
        <v>157.5</v>
      </c>
      <c r="J8589" s="18">
        <f>IFERROR(__xludf.DUMMYFUNCTION("""COMPUTED_VALUE"""),55.0)</f>
        <v>55</v>
      </c>
      <c r="K8589" s="18">
        <f>IFERROR(__xludf.DUMMYFUNCTION("""COMPUTED_VALUE"""),45.0)</f>
        <v>45</v>
      </c>
      <c r="L8589" s="17">
        <f>IFERROR(__xludf.DUMMYFUNCTION("""COMPUTED_VALUE"""),3.124797615E9)</f>
        <v>3124797615</v>
      </c>
      <c r="M8589" s="17"/>
      <c r="N8589" s="17"/>
      <c r="O8589" s="17"/>
      <c r="P8589" s="17" t="b">
        <f>IFERROR(__xludf.DUMMYFUNCTION("""COMPUTED_VALUE"""),FALSE)</f>
        <v>0</v>
      </c>
      <c r="Q8589" s="20" t="str">
        <f>IFERROR(__xludf.DUMMYFUNCTION("""COMPUTED_VALUE"""),"")</f>
        <v/>
      </c>
      <c r="R8589" s="21" t="str">
        <f>IFERROR(__xludf.DUMMYFUNCTION("""COMPUTED_VALUE"""),"https://drive.google.com/file/d/1OGM92X1DkL1UJSpfg8aLC_hY-899Pn_c/view?usp=drivesdk")</f>
        <v>https://drive.google.com/file/d/1OGM92X1DkL1UJSpfg8aLC_hY-899Pn_c/view?usp=drivesdk</v>
      </c>
    </row>
    <row r="8590">
      <c r="A8590" s="15">
        <f>IFERROR(__xludf.DUMMYFUNCTION("""COMPUTED_VALUE"""),45245.0)</f>
        <v>45245</v>
      </c>
      <c r="B8590" s="16" t="str">
        <f>IFERROR(__xludf.DUMMYFUNCTION("""COMPUTED_VALUE"""),"Johan Alexander Escobar Arroyo ")</f>
        <v>Johan Alexander Escobar Arroyo </v>
      </c>
      <c r="C8590" s="15" t="str">
        <f>IFERROR(__xludf.DUMMYFUNCTION("""COMPUTED_VALUE"""),"CALI")</f>
        <v>CALI</v>
      </c>
      <c r="D8590" s="15" t="str">
        <f>IFERROR(__xludf.DUMMYFUNCTION("""COMPUTED_VALUE"""),"BOGOTÁ")</f>
        <v>BOGOTÁ</v>
      </c>
      <c r="E8590" s="15" t="str">
        <f>IFERROR(__xludf.DUMMYFUNCTION("""COMPUTED_VALUE"""),"Hiiva Fermentados SAS")</f>
        <v>Hiiva Fermentados SAS</v>
      </c>
      <c r="F8590" s="17" t="str">
        <f>IFERROR(__xludf.DUMMYFUNCTION("""COMPUTED_VALUE"""),"Av 5 Nte # 42 - 42 la flora / Tienda Ecohuerta Cali")</f>
        <v>Av 5 Nte # 42 - 42 la flora / Tienda Ecohuerta Cali</v>
      </c>
      <c r="G8590" s="15" t="str">
        <f>IFERROR(__xludf.DUMMYFUNCTION("""COMPUTED_VALUE"""),"Ecohuerta Cali")</f>
        <v>Ecohuerta Cali</v>
      </c>
      <c r="H8590" s="16">
        <f>IFERROR(__xludf.DUMMYFUNCTION("""COMPUTED_VALUE"""),17231.0)</f>
        <v>17231</v>
      </c>
      <c r="I8590" s="17"/>
      <c r="J8590" s="17"/>
      <c r="K8590" s="17"/>
      <c r="L8590" s="17">
        <f>IFERROR(__xludf.DUMMYFUNCTION("""COMPUTED_VALUE"""),3.113856209E9)</f>
        <v>3113856209</v>
      </c>
      <c r="M8590" s="17"/>
      <c r="N8590" s="17"/>
      <c r="O8590" s="17"/>
      <c r="P8590" s="17" t="b">
        <f>IFERROR(__xludf.DUMMYFUNCTION("""COMPUTED_VALUE"""),FALSE)</f>
        <v>0</v>
      </c>
      <c r="Q8590" s="20" t="str">
        <f>IFERROR(__xludf.DUMMYFUNCTION("""COMPUTED_VALUE"""),"")</f>
        <v/>
      </c>
      <c r="R8590" s="21" t="str">
        <f>IFERROR(__xludf.DUMMYFUNCTION("""COMPUTED_VALUE"""),"https://drive.google.com/file/d/1AodgnDymZJoLaVGyffjbqVpVgFrbV6Fl/view?usp=drivesdk")</f>
        <v>https://drive.google.com/file/d/1AodgnDymZJoLaVGyffjbqVpVgFrbV6Fl/view?usp=drivesdk</v>
      </c>
    </row>
    <row r="8591">
      <c r="A8591" s="15">
        <f>IFERROR(__xludf.DUMMYFUNCTION("""COMPUTED_VALUE"""),45245.0)</f>
        <v>45245</v>
      </c>
      <c r="B8591" s="16" t="str">
        <f>IFERROR(__xludf.DUMMYFUNCTION("""COMPUTED_VALUE"""),"Johan Alexander Escobar Arroyo ")</f>
        <v>Johan Alexander Escobar Arroyo </v>
      </c>
      <c r="C8591" s="15" t="str">
        <f>IFERROR(__xludf.DUMMYFUNCTION("""COMPUTED_VALUE"""),"CALI")</f>
        <v>CALI</v>
      </c>
      <c r="D8591" s="15" t="str">
        <f>IFERROR(__xludf.DUMMYFUNCTION("""COMPUTED_VALUE"""),"BOGOTÁ")</f>
        <v>BOGOTÁ</v>
      </c>
      <c r="E8591" s="15" t="str">
        <f>IFERROR(__xludf.DUMMYFUNCTION("""COMPUTED_VALUE"""),"Karem foods")</f>
        <v>Karem foods</v>
      </c>
      <c r="F8591" s="17" t="str">
        <f>IFERROR(__xludf.DUMMYFUNCTION("""COMPUTED_VALUE"""),"Calle 23AN #5AN-30 / Casa dental / -")</f>
        <v>Calle 23AN #5AN-30 / Casa dental / -</v>
      </c>
      <c r="G8591" s="15" t="str">
        <f>IFERROR(__xludf.DUMMYFUNCTION("""COMPUTED_VALUE"""),"Juliana Uriarte")</f>
        <v>Juliana Uriarte</v>
      </c>
      <c r="H8591" s="16">
        <f>IFERROR(__xludf.DUMMYFUNCTION("""COMPUTED_VALUE"""),17260.0)</f>
        <v>17260</v>
      </c>
      <c r="I8591" s="18">
        <f>IFERROR(__xludf.DUMMYFUNCTION("""COMPUTED_VALUE"""),7.0)</f>
        <v>7</v>
      </c>
      <c r="J8591" s="18">
        <f>IFERROR(__xludf.DUMMYFUNCTION("""COMPUTED_VALUE"""),20.0)</f>
        <v>20</v>
      </c>
      <c r="K8591" s="18">
        <f>IFERROR(__xludf.DUMMYFUNCTION("""COMPUTED_VALUE"""),20.0)</f>
        <v>20</v>
      </c>
      <c r="L8591" s="17">
        <f>IFERROR(__xludf.DUMMYFUNCTION("""COMPUTED_VALUE"""),3.023782304E9)</f>
        <v>3023782304</v>
      </c>
      <c r="M8591" s="17"/>
      <c r="N8591" s="17"/>
      <c r="O8591" s="17"/>
      <c r="P8591" s="17" t="b">
        <f>IFERROR(__xludf.DUMMYFUNCTION("""COMPUTED_VALUE"""),FALSE)</f>
        <v>0</v>
      </c>
      <c r="Q8591" s="20" t="str">
        <f>IFERROR(__xludf.DUMMYFUNCTION("""COMPUTED_VALUE"""),"")</f>
        <v/>
      </c>
      <c r="R8591" s="21" t="str">
        <f>IFERROR(__xludf.DUMMYFUNCTION("""COMPUTED_VALUE"""),"https://drive.google.com/file/d/1Ia39wyfwf5uM_VjeGiv_xliA30xrpo1j/view?usp=drivesdk")</f>
        <v>https://drive.google.com/file/d/1Ia39wyfwf5uM_VjeGiv_xliA30xrpo1j/view?usp=drivesdk</v>
      </c>
    </row>
    <row r="8592">
      <c r="A8592" s="15">
        <f>IFERROR(__xludf.DUMMYFUNCTION("""COMPUTED_VALUE"""),45245.0)</f>
        <v>45245</v>
      </c>
      <c r="B8592" s="16" t="str">
        <f>IFERROR(__xludf.DUMMYFUNCTION("""COMPUTED_VALUE"""),"Johan Alexander Escobar Arroyo ")</f>
        <v>Johan Alexander Escobar Arroyo </v>
      </c>
      <c r="C8592" s="15" t="str">
        <f>IFERROR(__xludf.DUMMYFUNCTION("""COMPUTED_VALUE"""),"CALI")</f>
        <v>CALI</v>
      </c>
      <c r="D8592" s="15" t="str">
        <f>IFERROR(__xludf.DUMMYFUNCTION("""COMPUTED_VALUE"""),"BOGOTÁ")</f>
        <v>BOGOTÁ</v>
      </c>
      <c r="E8592" s="15" t="str">
        <f>IFERROR(__xludf.DUMMYFUNCTION("""COMPUTED_VALUE"""),"LINA PAOLA RAMIREZ GOMEZ - EVA MAZZITA")</f>
        <v>LINA PAOLA RAMIREZ GOMEZ - EVA MAZZITA</v>
      </c>
      <c r="F8592" s="17" t="str">
        <f>IFERROR(__xludf.DUMMYFUNCTION("""COMPUTED_VALUE"""),"CALLE 50 # 94 32 / UNIDAD RESIDENCIAL TAIRONA 104A VALLE DE LILI")</f>
        <v>CALLE 50 # 94 32 / UNIDAD RESIDENCIAL TAIRONA 104A VALLE DE LILI</v>
      </c>
      <c r="G8592" s="15" t="str">
        <f>IFERROR(__xludf.DUMMYFUNCTION("""COMPUTED_VALUE"""),"DANIELA GOMEZ - CALI")</f>
        <v>DANIELA GOMEZ - CALI</v>
      </c>
      <c r="H8592" s="16">
        <f>IFERROR(__xludf.DUMMYFUNCTION("""COMPUTED_VALUE"""),17277.0)</f>
        <v>17277</v>
      </c>
      <c r="I8592" s="17"/>
      <c r="J8592" s="17"/>
      <c r="K8592" s="17"/>
      <c r="L8592" s="17">
        <f>IFERROR(__xludf.DUMMYFUNCTION("""COMPUTED_VALUE"""),3.146880862E9)</f>
        <v>3146880862</v>
      </c>
      <c r="M8592" s="17"/>
      <c r="N8592" s="17"/>
      <c r="O8592" s="17"/>
      <c r="P8592" s="17" t="b">
        <f>IFERROR(__xludf.DUMMYFUNCTION("""COMPUTED_VALUE"""),FALSE)</f>
        <v>0</v>
      </c>
      <c r="Q8592" s="20" t="str">
        <f>IFERROR(__xludf.DUMMYFUNCTION("""COMPUTED_VALUE"""),"")</f>
        <v/>
      </c>
      <c r="R8592" s="21" t="str">
        <f>IFERROR(__xludf.DUMMYFUNCTION("""COMPUTED_VALUE"""),"https://drive.google.com/file/d/1VD2eOmmxrWOMAhZM9ZptQhpdSlhTe4zT/view?usp=drivesdk")</f>
        <v>https://drive.google.com/file/d/1VD2eOmmxrWOMAhZM9ZptQhpdSlhTe4zT/view?usp=drivesdk</v>
      </c>
    </row>
    <row r="8593">
      <c r="A8593" s="15">
        <f>IFERROR(__xludf.DUMMYFUNCTION("""COMPUTED_VALUE"""),45245.0)</f>
        <v>45245</v>
      </c>
      <c r="B8593" s="16" t="str">
        <f>IFERROR(__xludf.DUMMYFUNCTION("""COMPUTED_VALUE"""),"Johan Alexander Escobar Arroyo ")</f>
        <v>Johan Alexander Escobar Arroyo </v>
      </c>
      <c r="C8593" s="15" t="str">
        <f>IFERROR(__xludf.DUMMYFUNCTION("""COMPUTED_VALUE"""),"CALI")</f>
        <v>CALI</v>
      </c>
      <c r="D8593" s="15" t="str">
        <f>IFERROR(__xludf.DUMMYFUNCTION("""COMPUTED_VALUE"""),"BOGOTÁ")</f>
        <v>BOGOTÁ</v>
      </c>
      <c r="E8593" s="15" t="str">
        <f>IFERROR(__xludf.DUMMYFUNCTION("""COMPUTED_VALUE"""),"LINA PAOLA RAMIREZ GOMEZ - EVA MAZZITA")</f>
        <v>LINA PAOLA RAMIREZ GOMEZ - EVA MAZZITA</v>
      </c>
      <c r="F8593" s="17" t="str">
        <f>IFERROR(__xludf.DUMMYFUNCTION("""COMPUTED_VALUE"""),"CRA 46C No. 55A - 15 / BARRIO CIUDAD CORDOBA")</f>
        <v>CRA 46C No. 55A - 15 / BARRIO CIUDAD CORDOBA</v>
      </c>
      <c r="G8593" s="15" t="str">
        <f>IFERROR(__xludf.DUMMYFUNCTION("""COMPUTED_VALUE"""),"CLAUDIA CANTERO")</f>
        <v>CLAUDIA CANTERO</v>
      </c>
      <c r="H8593" s="16">
        <f>IFERROR(__xludf.DUMMYFUNCTION("""COMPUTED_VALUE"""),17275.0)</f>
        <v>17275</v>
      </c>
      <c r="I8593" s="17"/>
      <c r="J8593" s="17"/>
      <c r="K8593" s="17"/>
      <c r="L8593" s="17">
        <f>IFERROR(__xludf.DUMMYFUNCTION("""COMPUTED_VALUE"""),3.176248548E9)</f>
        <v>3176248548</v>
      </c>
      <c r="M8593" s="17"/>
      <c r="N8593" s="17"/>
      <c r="O8593" s="17"/>
      <c r="P8593" s="17" t="b">
        <f>IFERROR(__xludf.DUMMYFUNCTION("""COMPUTED_VALUE"""),FALSE)</f>
        <v>0</v>
      </c>
      <c r="Q8593" s="20" t="str">
        <f>IFERROR(__xludf.DUMMYFUNCTION("""COMPUTED_VALUE"""),"")</f>
        <v/>
      </c>
      <c r="R8593" s="21" t="str">
        <f>IFERROR(__xludf.DUMMYFUNCTION("""COMPUTED_VALUE"""),"https://drive.google.com/file/d/1mJBDMR198byHyvWQRBN2szRwEb_ppTYG/view?usp=drivesdk")</f>
        <v>https://drive.google.com/file/d/1mJBDMR198byHyvWQRBN2szRwEb_ppTYG/view?usp=drivesdk</v>
      </c>
    </row>
    <row r="8594">
      <c r="A8594" s="15">
        <f>IFERROR(__xludf.DUMMYFUNCTION("""COMPUTED_VALUE"""),45245.0)</f>
        <v>45245</v>
      </c>
      <c r="B8594" s="16" t="str">
        <f>IFERROR(__xludf.DUMMYFUNCTION("""COMPUTED_VALUE"""),"Johan Alexander Escobar Arroyo ")</f>
        <v>Johan Alexander Escobar Arroyo </v>
      </c>
      <c r="C8594" s="15" t="str">
        <f>IFERROR(__xludf.DUMMYFUNCTION("""COMPUTED_VALUE"""),"CALI")</f>
        <v>CALI</v>
      </c>
      <c r="D8594" s="15" t="str">
        <f>IFERROR(__xludf.DUMMYFUNCTION("""COMPUTED_VALUE"""),"BOGOTÁ")</f>
        <v>BOGOTÁ</v>
      </c>
      <c r="E8594" s="15" t="str">
        <f>IFERROR(__xludf.DUMMYFUNCTION("""COMPUTED_VALUE"""),"LINA PAOLA RAMIREZ GOMEZ - EVA MAZZITA")</f>
        <v>LINA PAOLA RAMIREZ GOMEZ - EVA MAZZITA</v>
      </c>
      <c r="F8594" s="17" t="str">
        <f>IFERROR(__xludf.DUMMYFUNCTION("""COMPUTED_VALUE"""),"Cra 64 a # 14-75. Casa 47 / Conjunto cañamiel Barrio limonar")</f>
        <v>Cra 64 a # 14-75. Casa 47 / Conjunto cañamiel Barrio limonar</v>
      </c>
      <c r="G8594" s="15" t="str">
        <f>IFERROR(__xludf.DUMMYFUNCTION("""COMPUTED_VALUE"""),"ANGELA MARIA LOPEZ")</f>
        <v>ANGELA MARIA LOPEZ</v>
      </c>
      <c r="H8594" s="16">
        <f>IFERROR(__xludf.DUMMYFUNCTION("""COMPUTED_VALUE"""),17276.0)</f>
        <v>17276</v>
      </c>
      <c r="I8594" s="17"/>
      <c r="J8594" s="17"/>
      <c r="K8594" s="17"/>
      <c r="L8594" s="17">
        <f>IFERROR(__xludf.DUMMYFUNCTION("""COMPUTED_VALUE"""),3.164688197E9)</f>
        <v>3164688197</v>
      </c>
      <c r="M8594" s="17"/>
      <c r="N8594" s="17"/>
      <c r="O8594" s="17"/>
      <c r="P8594" s="17" t="b">
        <f>IFERROR(__xludf.DUMMYFUNCTION("""COMPUTED_VALUE"""),FALSE)</f>
        <v>0</v>
      </c>
      <c r="Q8594" s="20" t="str">
        <f>IFERROR(__xludf.DUMMYFUNCTION("""COMPUTED_VALUE"""),"")</f>
        <v/>
      </c>
      <c r="R8594" s="21" t="str">
        <f>IFERROR(__xludf.DUMMYFUNCTION("""COMPUTED_VALUE"""),"https://drive.google.com/file/d/19onP2Jyq2jua9S0myZ8MQ33P3uI4e10e/view?usp=drivesdk")</f>
        <v>https://drive.google.com/file/d/19onP2Jyq2jua9S0myZ8MQ33P3uI4e10e/view?usp=drivesdk</v>
      </c>
    </row>
    <row r="8595">
      <c r="A8595" s="15">
        <f>IFERROR(__xludf.DUMMYFUNCTION("""COMPUTED_VALUE"""),45245.0)</f>
        <v>45245</v>
      </c>
      <c r="B8595" s="16" t="str">
        <f>IFERROR(__xludf.DUMMYFUNCTION("""COMPUTED_VALUE"""),"Johan Alexander Escobar Arroyo ")</f>
        <v>Johan Alexander Escobar Arroyo </v>
      </c>
      <c r="C8595" s="15" t="str">
        <f>IFERROR(__xludf.DUMMYFUNCTION("""COMPUTED_VALUE"""),"IBAGUÉ")</f>
        <v>IBAGUÉ</v>
      </c>
      <c r="D8595" s="15" t="str">
        <f>IFERROR(__xludf.DUMMYFUNCTION("""COMPUTED_VALUE"""),"BOGOTÁ")</f>
        <v>BOGOTÁ</v>
      </c>
      <c r="E8595" s="15" t="str">
        <f>IFERROR(__xludf.DUMMYFUNCTION("""COMPUTED_VALUE"""),"PAN DE WAFFLE")</f>
        <v>PAN DE WAFFLE</v>
      </c>
      <c r="F8595" s="17" t="str">
        <f>IFERROR(__xludf.DUMMYFUNCTION("""COMPUTED_VALUE"""),"Carrera 6a # 61 - 71 Prados del Norte / Carrera 6a # 61 - 71 Prados del Norte")</f>
        <v>Carrera 6a # 61 - 71 Prados del Norte / Carrera 6a # 61 - 71 Prados del Norte</v>
      </c>
      <c r="G8595" s="15" t="str">
        <f>IFERROR(__xludf.DUMMYFUNCTION("""COMPUTED_VALUE"""),"SOY NATURAL")</f>
        <v>SOY NATURAL</v>
      </c>
      <c r="H8595" s="16">
        <f>IFERROR(__xludf.DUMMYFUNCTION("""COMPUTED_VALUE"""),17265.0)</f>
        <v>17265</v>
      </c>
      <c r="I8595" s="17"/>
      <c r="J8595" s="17"/>
      <c r="K8595" s="17"/>
      <c r="L8595" s="17"/>
      <c r="M8595" s="17"/>
      <c r="N8595" s="17"/>
      <c r="O8595" s="17"/>
      <c r="P8595" s="17" t="b">
        <f>IFERROR(__xludf.DUMMYFUNCTION("""COMPUTED_VALUE"""),FALSE)</f>
        <v>0</v>
      </c>
      <c r="Q8595" s="20" t="str">
        <f>IFERROR(__xludf.DUMMYFUNCTION("""COMPUTED_VALUE"""),"")</f>
        <v/>
      </c>
      <c r="R8595" s="21" t="str">
        <f>IFERROR(__xludf.DUMMYFUNCTION("""COMPUTED_VALUE"""),"https://drive.google.com/file/d/1LuWIEFBNMcILmHnlvVtLkBcb4P5XCNhL/view?usp=drivesdk")</f>
        <v>https://drive.google.com/file/d/1LuWIEFBNMcILmHnlvVtLkBcb4P5XCNhL/view?usp=drivesdk</v>
      </c>
    </row>
    <row r="8596">
      <c r="A8596" s="15">
        <f>IFERROR(__xludf.DUMMYFUNCTION("""COMPUTED_VALUE"""),45245.0)</f>
        <v>45245</v>
      </c>
      <c r="B8596" s="16" t="str">
        <f>IFERROR(__xludf.DUMMYFUNCTION("""COMPUTED_VALUE"""),"Johan Alexander Escobar Arroyo ")</f>
        <v>Johan Alexander Escobar Arroyo </v>
      </c>
      <c r="C8596" s="15" t="str">
        <f>IFERROR(__xludf.DUMMYFUNCTION("""COMPUTED_VALUE"""),"IBAGUÉ")</f>
        <v>IBAGUÉ</v>
      </c>
      <c r="D8596" s="15" t="str">
        <f>IFERROR(__xludf.DUMMYFUNCTION("""COMPUTED_VALUE"""),"MEDELLÍN")</f>
        <v>MEDELLÍN</v>
      </c>
      <c r="E8596" s="15" t="str">
        <f>IFERROR(__xludf.DUMMYFUNCTION("""COMPUTED_VALUE"""),"Baby Chef")</f>
        <v>Baby Chef</v>
      </c>
      <c r="F8596" s="17" t="str">
        <f>IFERROR(__xludf.DUMMYFUNCTION("""COMPUTED_VALUE"""),"Torreon de piedra pintada etapa 2 manzana D casa 9  Ibague Tolima / . / .")</f>
        <v>Torreon de piedra pintada etapa 2 manzana D casa 9  Ibague Tolima / . / .</v>
      </c>
      <c r="G8596" s="15" t="str">
        <f>IFERROR(__xludf.DUMMYFUNCTION("""COMPUTED_VALUE"""),"Ana Victoria Cuellar ")</f>
        <v>Ana Victoria Cuellar </v>
      </c>
      <c r="H8596" s="16">
        <f>IFERROR(__xludf.DUMMYFUNCTION("""COMPUTED_VALUE"""),17287.0)</f>
        <v>17287</v>
      </c>
      <c r="I8596" s="18">
        <f>IFERROR(__xludf.DUMMYFUNCTION("""COMPUTED_VALUE"""),8.0)</f>
        <v>8</v>
      </c>
      <c r="J8596" s="18">
        <f>IFERROR(__xludf.DUMMYFUNCTION("""COMPUTED_VALUE"""),21.0)</f>
        <v>21</v>
      </c>
      <c r="K8596" s="18">
        <f>IFERROR(__xludf.DUMMYFUNCTION("""COMPUTED_VALUE"""),30.0)</f>
        <v>30</v>
      </c>
      <c r="L8596" s="17">
        <f>IFERROR(__xludf.DUMMYFUNCTION("""COMPUTED_VALUE"""),3.138718003E9)</f>
        <v>3138718003</v>
      </c>
      <c r="M8596" s="17"/>
      <c r="N8596" s="17"/>
      <c r="O8596" s="17"/>
      <c r="P8596" s="17" t="b">
        <f>IFERROR(__xludf.DUMMYFUNCTION("""COMPUTED_VALUE"""),FALSE)</f>
        <v>0</v>
      </c>
      <c r="Q8596" s="20" t="str">
        <f>IFERROR(__xludf.DUMMYFUNCTION("""COMPUTED_VALUE"""),"")</f>
        <v/>
      </c>
      <c r="R8596" s="22" t="str">
        <f>IFERROR(__xludf.DUMMYFUNCTION("""COMPUTED_VALUE"""),"")</f>
        <v/>
      </c>
    </row>
    <row r="8597">
      <c r="A8597" s="17" t="str">
        <f>IFERROR(__xludf.DUMMYFUNCTION("""COMPUTED_VALUE"""),"")</f>
        <v/>
      </c>
      <c r="B8597" s="17" t="str">
        <f>IFERROR(__xludf.DUMMYFUNCTION("""COMPUTED_VALUE"""),"")</f>
        <v/>
      </c>
      <c r="C8597" s="17" t="str">
        <f>IFERROR(__xludf.DUMMYFUNCTION("""COMPUTED_VALUE"""),"")</f>
        <v/>
      </c>
      <c r="D8597" s="17" t="str">
        <f>IFERROR(__xludf.DUMMYFUNCTION("""COMPUTED_VALUE"""),"")</f>
        <v/>
      </c>
      <c r="E8597" s="17" t="str">
        <f>IFERROR(__xludf.DUMMYFUNCTION("""COMPUTED_VALUE"""),"")</f>
        <v/>
      </c>
      <c r="F8597" s="17" t="str">
        <f>IFERROR(__xludf.DUMMYFUNCTION("""COMPUTED_VALUE"""),"")</f>
        <v/>
      </c>
      <c r="G8597" s="17" t="str">
        <f>IFERROR(__xludf.DUMMYFUNCTION("""COMPUTED_VALUE"""),"")</f>
        <v/>
      </c>
      <c r="H8597" s="17" t="str">
        <f>IFERROR(__xludf.DUMMYFUNCTION("""COMPUTED_VALUE"""),"")</f>
        <v/>
      </c>
      <c r="I8597" s="17" t="str">
        <f>IFERROR(__xludf.DUMMYFUNCTION("""COMPUTED_VALUE"""),"")</f>
        <v/>
      </c>
      <c r="J8597" s="17" t="str">
        <f>IFERROR(__xludf.DUMMYFUNCTION("""COMPUTED_VALUE"""),"")</f>
        <v/>
      </c>
      <c r="K8597" s="17" t="str">
        <f>IFERROR(__xludf.DUMMYFUNCTION("""COMPUTED_VALUE"""),"")</f>
        <v/>
      </c>
      <c r="L8597" s="17" t="str">
        <f>IFERROR(__xludf.DUMMYFUNCTION("""COMPUTED_VALUE"""),"")</f>
        <v/>
      </c>
      <c r="M8597" s="17" t="str">
        <f>IFERROR(__xludf.DUMMYFUNCTION("""COMPUTED_VALUE"""),"")</f>
        <v/>
      </c>
      <c r="N8597" s="17" t="str">
        <f>IFERROR(__xludf.DUMMYFUNCTION("""COMPUTED_VALUE"""),"")</f>
        <v/>
      </c>
      <c r="O8597" s="17" t="str">
        <f>IFERROR(__xludf.DUMMYFUNCTION("""COMPUTED_VALUE"""),"")</f>
        <v/>
      </c>
      <c r="P8597" s="17" t="str">
        <f>IFERROR(__xludf.DUMMYFUNCTION("""COMPUTED_VALUE"""),"")</f>
        <v/>
      </c>
      <c r="Q8597" s="17" t="str">
        <f>IFERROR(__xludf.DUMMYFUNCTION("""COMPUTED_VALUE"""),"")</f>
        <v/>
      </c>
      <c r="R8597" s="17" t="str">
        <f>IFERROR(__xludf.DUMMYFUNCTION("""COMPUTED_VALUE"""),"")</f>
        <v/>
      </c>
    </row>
    <row r="8598">
      <c r="A8598" s="15">
        <f>IFERROR(__xludf.DUMMYFUNCTION("""COMPUTED_VALUE"""),45245.0)</f>
        <v>45245</v>
      </c>
      <c r="B8598" s="16" t="str">
        <f>IFERROR(__xludf.DUMMYFUNCTION("""COMPUTED_VALUE"""),"Johanna Arango Barrera")</f>
        <v>Johanna Arango Barrera</v>
      </c>
      <c r="C8598" s="15" t="str">
        <f>IFERROR(__xludf.DUMMYFUNCTION("""COMPUTED_VALUE"""),"BUCARAMANGA")</f>
        <v>BUCARAMANGA</v>
      </c>
      <c r="D8598" s="15" t="str">
        <f>IFERROR(__xludf.DUMMYFUNCTION("""COMPUTED_VALUE"""),"BOGOTÁ")</f>
        <v>BOGOTÁ</v>
      </c>
      <c r="E8598" s="15" t="str">
        <f>IFERROR(__xludf.DUMMYFUNCTION("""COMPUTED_VALUE"""),"Spirulina Fresca")</f>
        <v>Spirulina Fresca</v>
      </c>
      <c r="F8598" s="17" t="str">
        <f>IFERROR(__xludf.DUMMYFUNCTION("""COMPUTED_VALUE"""),"Calle 44 # 36-30  / portal de la sierra apto 1303  / Bucaramanga")</f>
        <v>Calle 44 # 36-30  / portal de la sierra apto 1303  / Bucaramanga</v>
      </c>
      <c r="G8598" s="15" t="str">
        <f>IFERROR(__xludf.DUMMYFUNCTION("""COMPUTED_VALUE"""),"Fernando Mier")</f>
        <v>Fernando Mier</v>
      </c>
      <c r="H8598" s="16">
        <f>IFERROR(__xludf.DUMMYFUNCTION("""COMPUTED_VALUE"""),17248.0)</f>
        <v>17248</v>
      </c>
      <c r="I8598" s="18">
        <f>IFERROR(__xludf.DUMMYFUNCTION("""COMPUTED_VALUE"""),5.0)</f>
        <v>5</v>
      </c>
      <c r="J8598" s="18">
        <f>IFERROR(__xludf.DUMMYFUNCTION("""COMPUTED_VALUE"""),5.0)</f>
        <v>5</v>
      </c>
      <c r="K8598" s="18">
        <f>IFERROR(__xludf.DUMMYFUNCTION("""COMPUTED_VALUE"""),22.0)</f>
        <v>22</v>
      </c>
      <c r="L8598" s="17">
        <f>IFERROR(__xludf.DUMMYFUNCTION("""COMPUTED_VALUE"""),3.012789719E9)</f>
        <v>3012789719</v>
      </c>
      <c r="M8598" s="17"/>
      <c r="N8598" s="17"/>
      <c r="O8598" s="17"/>
      <c r="P8598" s="17" t="b">
        <f>IFERROR(__xludf.DUMMYFUNCTION("""COMPUTED_VALUE"""),FALSE)</f>
        <v>0</v>
      </c>
      <c r="Q8598" s="20" t="str">
        <f>IFERROR(__xludf.DUMMYFUNCTION("""COMPUTED_VALUE"""),"")</f>
        <v/>
      </c>
      <c r="R8598" s="21" t="str">
        <f>IFERROR(__xludf.DUMMYFUNCTION("""COMPUTED_VALUE"""),"https://drive.google.com/file/d/1dnhyqYJU_myQl4b4-bqb3TrltOAWIDP2/view?usp=drivesdk")</f>
        <v>https://drive.google.com/file/d/1dnhyqYJU_myQl4b4-bqb3TrltOAWIDP2/view?usp=drivesdk</v>
      </c>
    </row>
    <row r="8599">
      <c r="A8599" s="15">
        <f>IFERROR(__xludf.DUMMYFUNCTION("""COMPUTED_VALUE"""),45245.0)</f>
        <v>45245</v>
      </c>
      <c r="B8599" s="16" t="str">
        <f>IFERROR(__xludf.DUMMYFUNCTION("""COMPUTED_VALUE"""),"Johanna Arango Barrera")</f>
        <v>Johanna Arango Barrera</v>
      </c>
      <c r="C8599" s="15" t="str">
        <f>IFERROR(__xludf.DUMMYFUNCTION("""COMPUTED_VALUE"""),"BUCARAMANGA")</f>
        <v>BUCARAMANGA</v>
      </c>
      <c r="D8599" s="15" t="str">
        <f>IFERROR(__xludf.DUMMYFUNCTION("""COMPUTED_VALUE"""),"MEDELLÍN")</f>
        <v>MEDELLÍN</v>
      </c>
      <c r="E8599" s="15" t="str">
        <f>IFERROR(__xludf.DUMMYFUNCTION("""COMPUTED_VALUE"""),"AREPAS LA MARY")</f>
        <v>AREPAS LA MARY</v>
      </c>
      <c r="F8599" s="17" t="str">
        <f>IFERROR(__xludf.DUMMYFUNCTION("""COMPUTED_VALUE"""),"calle 34 # 22-46  / edificio picasso cubismo t2 apto 604 ")</f>
        <v>calle 34 # 22-46  / edificio picasso cubismo t2 apto 604 </v>
      </c>
      <c r="G8599" s="15" t="str">
        <f>IFERROR(__xludf.DUMMYFUNCTION("""COMPUTED_VALUE"""),"PANERA BUCARAMANGA")</f>
        <v>PANERA BUCARAMANGA</v>
      </c>
      <c r="H8599" s="16">
        <f>IFERROR(__xludf.DUMMYFUNCTION("""COMPUTED_VALUE"""),17255.0)</f>
        <v>17255</v>
      </c>
      <c r="I8599" s="18">
        <f>IFERROR(__xludf.DUMMYFUNCTION("""COMPUTED_VALUE"""),89.0)</f>
        <v>89</v>
      </c>
      <c r="J8599" s="18">
        <f>IFERROR(__xludf.DUMMYFUNCTION("""COMPUTED_VALUE"""),1.0)</f>
        <v>1</v>
      </c>
      <c r="K8599" s="18">
        <f>IFERROR(__xludf.DUMMYFUNCTION("""COMPUTED_VALUE"""),10.0)</f>
        <v>10</v>
      </c>
      <c r="L8599" s="17">
        <f>IFERROR(__xludf.DUMMYFUNCTION("""COMPUTED_VALUE"""),3.213260509E9)</f>
        <v>3213260509</v>
      </c>
      <c r="M8599" s="17"/>
      <c r="N8599" s="17"/>
      <c r="O8599" s="17"/>
      <c r="P8599" s="17" t="b">
        <f>IFERROR(__xludf.DUMMYFUNCTION("""COMPUTED_VALUE"""),FALSE)</f>
        <v>0</v>
      </c>
      <c r="Q8599" s="20" t="str">
        <f>IFERROR(__xludf.DUMMYFUNCTION("""COMPUTED_VALUE"""),"")</f>
        <v/>
      </c>
      <c r="R8599" s="21" t="str">
        <f>IFERROR(__xludf.DUMMYFUNCTION("""COMPUTED_VALUE"""),"https://drive.google.com/file/d/1NQ7RKquT-MaNVBL9XwevScXLKl-aSE-3/view?usp=drivesdk")</f>
        <v>https://drive.google.com/file/d/1NQ7RKquT-MaNVBL9XwevScXLKl-aSE-3/view?usp=drivesdk</v>
      </c>
    </row>
    <row r="8600">
      <c r="A8600" s="15">
        <f>IFERROR(__xludf.DUMMYFUNCTION("""COMPUTED_VALUE"""),45245.0)</f>
        <v>45245</v>
      </c>
      <c r="B8600" s="16" t="str">
        <f>IFERROR(__xludf.DUMMYFUNCTION("""COMPUTED_VALUE"""),"Johanna Arango Barrera")</f>
        <v>Johanna Arango Barrera</v>
      </c>
      <c r="C8600" s="15" t="str">
        <f>IFERROR(__xludf.DUMMYFUNCTION("""COMPUTED_VALUE"""),"BUCARAMANGA")</f>
        <v>BUCARAMANGA</v>
      </c>
      <c r="D8600" s="15" t="str">
        <f>IFERROR(__xludf.DUMMYFUNCTION("""COMPUTED_VALUE"""),"MEDELLÍN")</f>
        <v>MEDELLÍN</v>
      </c>
      <c r="E8600" s="15" t="str">
        <f>IFERROR(__xludf.DUMMYFUNCTION("""COMPUTED_VALUE"""),"AREPAS LA MARY")</f>
        <v>AREPAS LA MARY</v>
      </c>
      <c r="F8600" s="17" t="str">
        <f>IFERROR(__xludf.DUMMYFUNCTION("""COMPUTED_VALUE"""),"CALLE 45 # 28-64")</f>
        <v>CALLE 45 # 28-64</v>
      </c>
      <c r="G8600" s="15" t="str">
        <f>IFERROR(__xludf.DUMMYFUNCTION("""COMPUTED_VALUE"""),"FITBUK")</f>
        <v>FITBUK</v>
      </c>
      <c r="H8600" s="16">
        <f>IFERROR(__xludf.DUMMYFUNCTION("""COMPUTED_VALUE"""),17253.0)</f>
        <v>17253</v>
      </c>
      <c r="I8600" s="18">
        <f>IFERROR(__xludf.DUMMYFUNCTION("""COMPUTED_VALUE"""),89.0)</f>
        <v>89</v>
      </c>
      <c r="J8600" s="18">
        <f>IFERROR(__xludf.DUMMYFUNCTION("""COMPUTED_VALUE"""),1.0)</f>
        <v>1</v>
      </c>
      <c r="K8600" s="18">
        <f>IFERROR(__xludf.DUMMYFUNCTION("""COMPUTED_VALUE"""),10.0)</f>
        <v>10</v>
      </c>
      <c r="L8600" s="17">
        <f>IFERROR(__xludf.DUMMYFUNCTION("""COMPUTED_VALUE"""),3.214652576E9)</f>
        <v>3214652576</v>
      </c>
      <c r="M8600" s="17"/>
      <c r="N8600" s="17"/>
      <c r="O8600" s="17"/>
      <c r="P8600" s="17" t="b">
        <f>IFERROR(__xludf.DUMMYFUNCTION("""COMPUTED_VALUE"""),FALSE)</f>
        <v>0</v>
      </c>
      <c r="Q8600" s="20" t="str">
        <f>IFERROR(__xludf.DUMMYFUNCTION("""COMPUTED_VALUE"""),"")</f>
        <v/>
      </c>
      <c r="R8600" s="21" t="str">
        <f>IFERROR(__xludf.DUMMYFUNCTION("""COMPUTED_VALUE"""),"https://drive.google.com/file/d/19npKgTyFIQu-IoHD5353Bj0wNnb1zUlJ/view?usp=drivesdk")</f>
        <v>https://drive.google.com/file/d/19npKgTyFIQu-IoHD5353Bj0wNnb1zUlJ/view?usp=drivesdk</v>
      </c>
    </row>
    <row r="8601">
      <c r="A8601" s="15">
        <f>IFERROR(__xludf.DUMMYFUNCTION("""COMPUTED_VALUE"""),45245.0)</f>
        <v>45245</v>
      </c>
      <c r="B8601" s="16" t="str">
        <f>IFERROR(__xludf.DUMMYFUNCTION("""COMPUTED_VALUE"""),"Johanna Arango Barrera")</f>
        <v>Johanna Arango Barrera</v>
      </c>
      <c r="C8601" s="15" t="str">
        <f>IFERROR(__xludf.DUMMYFUNCTION("""COMPUTED_VALUE"""),"PEREIRA")</f>
        <v>PEREIRA</v>
      </c>
      <c r="D8601" s="15" t="str">
        <f>IFERROR(__xludf.DUMMYFUNCTION("""COMPUTED_VALUE"""),"ENVIGADO")</f>
        <v>ENVIGADO</v>
      </c>
      <c r="E8601" s="15" t="str">
        <f>IFERROR(__xludf.DUMMYFUNCTION("""COMPUTED_VALUE"""),"JUAN CAMILO CORDOBA")</f>
        <v>JUAN CAMILO CORDOBA</v>
      </c>
      <c r="F8601" s="17" t="str">
        <f>IFERROR(__xludf.DUMMYFUNCTION("""COMPUTED_VALUE"""),"Carrera 14 -12-55")</f>
        <v>Carrera 14 -12-55</v>
      </c>
      <c r="G8601" s="15" t="str">
        <f>IFERROR(__xludf.DUMMYFUNCTION("""COMPUTED_VALUE"""),"Vita Eco")</f>
        <v>Vita Eco</v>
      </c>
      <c r="H8601" s="16">
        <f>IFERROR(__xludf.DUMMYFUNCTION("""COMPUTED_VALUE"""),17303.0)</f>
        <v>17303</v>
      </c>
      <c r="I8601" s="17"/>
      <c r="J8601" s="17"/>
      <c r="K8601" s="17"/>
      <c r="L8601" s="17">
        <f>IFERROR(__xludf.DUMMYFUNCTION("""COMPUTED_VALUE"""),3.215501948E9)</f>
        <v>3215501948</v>
      </c>
      <c r="M8601" s="17"/>
      <c r="N8601" s="17"/>
      <c r="O8601" s="17"/>
      <c r="P8601" s="17" t="b">
        <f>IFERROR(__xludf.DUMMYFUNCTION("""COMPUTED_VALUE"""),FALSE)</f>
        <v>0</v>
      </c>
      <c r="Q8601" s="20" t="str">
        <f>IFERROR(__xludf.DUMMYFUNCTION("""COMPUTED_VALUE"""),"")</f>
        <v/>
      </c>
      <c r="R8601" s="21" t="str">
        <f>IFERROR(__xludf.DUMMYFUNCTION("""COMPUTED_VALUE"""),"https://drive.google.com/file/d/1FprvtajhGAKIEH52xeC96rTj3Y-NdQOa/view?usp=drivesdk")</f>
        <v>https://drive.google.com/file/d/1FprvtajhGAKIEH52xeC96rTj3Y-NdQOa/view?usp=drivesdk</v>
      </c>
    </row>
    <row r="8602">
      <c r="A8602" s="15">
        <f>IFERROR(__xludf.DUMMYFUNCTION("""COMPUTED_VALUE"""),45245.0)</f>
        <v>45245</v>
      </c>
      <c r="B8602" s="16" t="str">
        <f>IFERROR(__xludf.DUMMYFUNCTION("""COMPUTED_VALUE"""),"Johanna Arango Barrera")</f>
        <v>Johanna Arango Barrera</v>
      </c>
      <c r="C8602" s="15" t="str">
        <f>IFERROR(__xludf.DUMMYFUNCTION("""COMPUTED_VALUE"""),"PEREIRA")</f>
        <v>PEREIRA</v>
      </c>
      <c r="D8602" s="15" t="str">
        <f>IFERROR(__xludf.DUMMYFUNCTION("""COMPUTED_VALUE"""),"MEDELLÍN")</f>
        <v>MEDELLÍN</v>
      </c>
      <c r="E8602" s="15" t="str">
        <f>IFERROR(__xludf.DUMMYFUNCTION("""COMPUTED_VALUE"""),"Baby Chef")</f>
        <v>Baby Chef</v>
      </c>
      <c r="F8602" s="17" t="str">
        <f>IFERROR(__xludf.DUMMYFUNCTION("""COMPUTED_VALUE"""),"Calle 12 # 33-55 Torre 1.apto 402 a / . / .")</f>
        <v>Calle 12 # 33-55 Torre 1.apto 402 a / . / .</v>
      </c>
      <c r="G8602" s="15" t="str">
        <f>IFERROR(__xludf.DUMMYFUNCTION("""COMPUTED_VALUE"""),"Ivonne Morales")</f>
        <v>Ivonne Morales</v>
      </c>
      <c r="H8602" s="16">
        <f>IFERROR(__xludf.DUMMYFUNCTION("""COMPUTED_VALUE"""),17286.0)</f>
        <v>17286</v>
      </c>
      <c r="I8602" s="18">
        <f>IFERROR(__xludf.DUMMYFUNCTION("""COMPUTED_VALUE"""),11.0)</f>
        <v>11</v>
      </c>
      <c r="J8602" s="18">
        <f>IFERROR(__xludf.DUMMYFUNCTION("""COMPUTED_VALUE"""),22.0)</f>
        <v>22</v>
      </c>
      <c r="K8602" s="18">
        <f>IFERROR(__xludf.DUMMYFUNCTION("""COMPUTED_VALUE"""),24.0)</f>
        <v>24</v>
      </c>
      <c r="L8602" s="17">
        <f>IFERROR(__xludf.DUMMYFUNCTION("""COMPUTED_VALUE"""),3.102955433E9)</f>
        <v>3102955433</v>
      </c>
      <c r="M8602" s="17"/>
      <c r="N8602" s="17"/>
      <c r="O8602" s="17"/>
      <c r="P8602" s="17" t="b">
        <f>IFERROR(__xludf.DUMMYFUNCTION("""COMPUTED_VALUE"""),FALSE)</f>
        <v>0</v>
      </c>
      <c r="Q8602" s="20" t="str">
        <f>IFERROR(__xludf.DUMMYFUNCTION("""COMPUTED_VALUE"""),"")</f>
        <v/>
      </c>
      <c r="R8602" s="21" t="str">
        <f>IFERROR(__xludf.DUMMYFUNCTION("""COMPUTED_VALUE"""),"https://drive.google.com/file/d/1c_Vpo-hUe-vR9D_rkuM-o5aPqXTrczT_/view?usp=drivesdk")</f>
        <v>https://drive.google.com/file/d/1c_Vpo-hUe-vR9D_rkuM-o5aPqXTrczT_/view?usp=drivesdk</v>
      </c>
    </row>
    <row r="8603">
      <c r="A8603" s="15">
        <f>IFERROR(__xludf.DUMMYFUNCTION("""COMPUTED_VALUE"""),45245.0)</f>
        <v>45245</v>
      </c>
      <c r="B8603" s="16" t="str">
        <f>IFERROR(__xludf.DUMMYFUNCTION("""COMPUTED_VALUE"""),"Johanna Arango Barrera")</f>
        <v>Johanna Arango Barrera</v>
      </c>
      <c r="C8603" s="15" t="str">
        <f>IFERROR(__xludf.DUMMYFUNCTION("""COMPUTED_VALUE"""),"PEREIRA")</f>
        <v>PEREIRA</v>
      </c>
      <c r="D8603" s="15" t="str">
        <f>IFERROR(__xludf.DUMMYFUNCTION("""COMPUTED_VALUE"""),"MEDELLÍN")</f>
        <v>MEDELLÍN</v>
      </c>
      <c r="E8603" s="15" t="str">
        <f>IFERROR(__xludf.DUMMYFUNCTION("""COMPUTED_VALUE"""),"TOLEDALES S.A.S")</f>
        <v>TOLEDALES S.A.S</v>
      </c>
      <c r="F8603" s="17" t="str">
        <f>IFERROR(__xludf.DUMMYFUNCTION("""COMPUTED_VALUE"""),"Manzana 42 casa 13 piso 2 Samaria 1 / casa 13 piso 2 Samaria 1")</f>
        <v>Manzana 42 casa 13 piso 2 Samaria 1 / casa 13 piso 2 Samaria 1</v>
      </c>
      <c r="G8603" s="15" t="str">
        <f>IFERROR(__xludf.DUMMYFUNCTION("""COMPUTED_VALUE"""),"luz omaida jimenez")</f>
        <v>luz omaida jimenez</v>
      </c>
      <c r="H8603" s="16">
        <f>IFERROR(__xludf.DUMMYFUNCTION("""COMPUTED_VALUE"""),17245.0)</f>
        <v>17245</v>
      </c>
      <c r="I8603" s="17"/>
      <c r="J8603" s="17"/>
      <c r="K8603" s="17"/>
      <c r="L8603" s="17">
        <f>IFERROR(__xludf.DUMMYFUNCTION("""COMPUTED_VALUE"""),3.14562573E9)</f>
        <v>3145625730</v>
      </c>
      <c r="M8603" s="17"/>
      <c r="N8603" s="17"/>
      <c r="O8603" s="17"/>
      <c r="P8603" s="17" t="b">
        <f>IFERROR(__xludf.DUMMYFUNCTION("""COMPUTED_VALUE"""),FALSE)</f>
        <v>0</v>
      </c>
      <c r="Q8603" s="20" t="str">
        <f>IFERROR(__xludf.DUMMYFUNCTION("""COMPUTED_VALUE"""),"")</f>
        <v/>
      </c>
      <c r="R8603" s="21" t="str">
        <f>IFERROR(__xludf.DUMMYFUNCTION("""COMPUTED_VALUE"""),"https://drive.google.com/file/d/1qlmKmkNM1W7kkYv7kHEW2kG-PLaT87Bx/view?usp=drivesdk")</f>
        <v>https://drive.google.com/file/d/1qlmKmkNM1W7kkYv7kHEW2kG-PLaT87Bx/view?usp=drivesdk</v>
      </c>
    </row>
    <row r="8604">
      <c r="A8604" s="17" t="str">
        <f>IFERROR(__xludf.DUMMYFUNCTION("""COMPUTED_VALUE"""),"")</f>
        <v/>
      </c>
      <c r="B8604" s="17" t="str">
        <f>IFERROR(__xludf.DUMMYFUNCTION("""COMPUTED_VALUE"""),"")</f>
        <v/>
      </c>
      <c r="C8604" s="17" t="str">
        <f>IFERROR(__xludf.DUMMYFUNCTION("""COMPUTED_VALUE"""),"")</f>
        <v/>
      </c>
      <c r="D8604" s="17" t="str">
        <f>IFERROR(__xludf.DUMMYFUNCTION("""COMPUTED_VALUE"""),"")</f>
        <v/>
      </c>
      <c r="E8604" s="17" t="str">
        <f>IFERROR(__xludf.DUMMYFUNCTION("""COMPUTED_VALUE"""),"")</f>
        <v/>
      </c>
      <c r="F8604" s="17" t="str">
        <f>IFERROR(__xludf.DUMMYFUNCTION("""COMPUTED_VALUE"""),"")</f>
        <v/>
      </c>
      <c r="G8604" s="17" t="str">
        <f>IFERROR(__xludf.DUMMYFUNCTION("""COMPUTED_VALUE"""),"")</f>
        <v/>
      </c>
      <c r="H8604" s="17" t="str">
        <f>IFERROR(__xludf.DUMMYFUNCTION("""COMPUTED_VALUE"""),"")</f>
        <v/>
      </c>
      <c r="I8604" s="17" t="str">
        <f>IFERROR(__xludf.DUMMYFUNCTION("""COMPUTED_VALUE"""),"")</f>
        <v/>
      </c>
      <c r="J8604" s="17" t="str">
        <f>IFERROR(__xludf.DUMMYFUNCTION("""COMPUTED_VALUE"""),"")</f>
        <v/>
      </c>
      <c r="K8604" s="17" t="str">
        <f>IFERROR(__xludf.DUMMYFUNCTION("""COMPUTED_VALUE"""),"")</f>
        <v/>
      </c>
      <c r="L8604" s="17" t="str">
        <f>IFERROR(__xludf.DUMMYFUNCTION("""COMPUTED_VALUE"""),"")</f>
        <v/>
      </c>
      <c r="M8604" s="17" t="str">
        <f>IFERROR(__xludf.DUMMYFUNCTION("""COMPUTED_VALUE"""),"")</f>
        <v/>
      </c>
      <c r="N8604" s="17" t="str">
        <f>IFERROR(__xludf.DUMMYFUNCTION("""COMPUTED_VALUE"""),"")</f>
        <v/>
      </c>
      <c r="O8604" s="17" t="str">
        <f>IFERROR(__xludf.DUMMYFUNCTION("""COMPUTED_VALUE"""),"")</f>
        <v/>
      </c>
      <c r="P8604" s="17" t="str">
        <f>IFERROR(__xludf.DUMMYFUNCTION("""COMPUTED_VALUE"""),"")</f>
        <v/>
      </c>
      <c r="Q8604" s="17" t="str">
        <f>IFERROR(__xludf.DUMMYFUNCTION("""COMPUTED_VALUE"""),"")</f>
        <v/>
      </c>
      <c r="R8604" s="17" t="str">
        <f>IFERROR(__xludf.DUMMYFUNCTION("""COMPUTED_VALUE"""),"")</f>
        <v/>
      </c>
    </row>
    <row r="8605">
      <c r="A8605" s="15">
        <f>IFERROR(__xludf.DUMMYFUNCTION("""COMPUTED_VALUE"""),45245.0)</f>
        <v>45245</v>
      </c>
      <c r="B8605" s="16" t="str">
        <f>IFERROR(__xludf.DUMMYFUNCTION("""COMPUTED_VALUE"""),"JOSE ALFREDO RAMIREZ VERGARA ")</f>
        <v>JOSE ALFREDO RAMIREZ VERGARA </v>
      </c>
      <c r="C8605" s="15" t="str">
        <f>IFERROR(__xludf.DUMMYFUNCTION("""COMPUTED_VALUE"""),"BOGOTÁ")</f>
        <v>BOGOTÁ</v>
      </c>
      <c r="D8605" s="15" t="str">
        <f>IFERROR(__xludf.DUMMYFUNCTION("""COMPUTED_VALUE"""),"MEDELLÍN")</f>
        <v>MEDELLÍN</v>
      </c>
      <c r="E8605" s="15" t="str">
        <f>IFERROR(__xludf.DUMMYFUNCTION("""COMPUTED_VALUE"""),"Lácteos El Pino SAS")</f>
        <v>Lácteos El Pino SAS</v>
      </c>
      <c r="F8605" s="17" t="str">
        <f>IFERROR(__xludf.DUMMYFUNCTION("""COMPUTED_VALUE"""),"CALLE 109 #15-85 RESTAURANTE ANGUS AZUL / ENTREGAR ADMINISTRADOR")</f>
        <v>CALLE 109 #15-85 RESTAURANTE ANGUS AZUL / ENTREGAR ADMINISTRADOR</v>
      </c>
      <c r="G8605" s="15" t="str">
        <f>IFERROR(__xludf.DUMMYFUNCTION("""COMPUTED_VALUE"""),"ANGUS AZUL")</f>
        <v>ANGUS AZUL</v>
      </c>
      <c r="H8605" s="16">
        <f>IFERROR(__xludf.DUMMYFUNCTION("""COMPUTED_VALUE"""),17230.0)</f>
        <v>17230</v>
      </c>
      <c r="I8605" s="17"/>
      <c r="J8605" s="17"/>
      <c r="K8605" s="17"/>
      <c r="L8605" s="17"/>
      <c r="M8605" s="17"/>
      <c r="N8605" s="17"/>
      <c r="O8605" s="17"/>
      <c r="P8605" s="17" t="b">
        <f>IFERROR(__xludf.DUMMYFUNCTION("""COMPUTED_VALUE"""),FALSE)</f>
        <v>0</v>
      </c>
      <c r="Q8605" s="20" t="str">
        <f>IFERROR(__xludf.DUMMYFUNCTION("""COMPUTED_VALUE"""),"")</f>
        <v/>
      </c>
      <c r="R8605" s="22" t="str">
        <f>IFERROR(__xludf.DUMMYFUNCTION("""COMPUTED_VALUE"""),"")</f>
        <v/>
      </c>
    </row>
    <row r="8606">
      <c r="A8606" s="15">
        <f>IFERROR(__xludf.DUMMYFUNCTION("""COMPUTED_VALUE"""),45245.0)</f>
        <v>45245</v>
      </c>
      <c r="B8606" s="16" t="str">
        <f>IFERROR(__xludf.DUMMYFUNCTION("""COMPUTED_VALUE"""),"JOSE ALFREDO RAMIREZ VERGARA ")</f>
        <v>JOSE ALFREDO RAMIREZ VERGARA </v>
      </c>
      <c r="C8606" s="15" t="str">
        <f>IFERROR(__xludf.DUMMYFUNCTION("""COMPUTED_VALUE"""),"BOGOTÁ")</f>
        <v>BOGOTÁ</v>
      </c>
      <c r="D8606" s="15" t="str">
        <f>IFERROR(__xludf.DUMMYFUNCTION("""COMPUTED_VALUE"""),"MEDELLÍN")</f>
        <v>MEDELLÍN</v>
      </c>
      <c r="E8606" s="15" t="str">
        <f>IFERROR(__xludf.DUMMYFUNCTION("""COMPUTED_VALUE"""),"Legri")</f>
        <v>Legri</v>
      </c>
      <c r="F8606" s="17" t="str">
        <f>IFERROR(__xludf.DUMMYFUNCTION("""COMPUTED_VALUE"""),"Calle 71 #2 -66 este / apto 204,  Edif Rodamonte / sobre la circunvalar en sentido sur norte, entrando x la quebrada la vieja a mano derecha x el costado norte de la quebrada, entrando x el edif mirador de la cañada El edificio queda al final de la calle "&amp;"cerrada")</f>
        <v>Calle 71 #2 -66 este / apto 204,  Edif Rodamonte / sobre la circunvalar en sentido sur norte, entrando x la quebrada la vieja a mano derecha x el costado norte de la quebrada, entrando x el edif mirador de la cañada El edificio queda al final de la calle cerrada</v>
      </c>
      <c r="G8606" s="15" t="str">
        <f>IFERROR(__xludf.DUMMYFUNCTION("""COMPUTED_VALUE"""),"Susi Londoño")</f>
        <v>Susi Londoño</v>
      </c>
      <c r="H8606" s="16">
        <f>IFERROR(__xludf.DUMMYFUNCTION("""COMPUTED_VALUE"""),17213.0)</f>
        <v>17213</v>
      </c>
      <c r="I8606" s="18">
        <f>IFERROR(__xludf.DUMMYFUNCTION("""COMPUTED_VALUE"""),20.0)</f>
        <v>20</v>
      </c>
      <c r="J8606" s="18">
        <f>IFERROR(__xludf.DUMMYFUNCTION("""COMPUTED_VALUE"""),45.0)</f>
        <v>45</v>
      </c>
      <c r="K8606" s="18">
        <f>IFERROR(__xludf.DUMMYFUNCTION("""COMPUTED_VALUE"""),65.0)</f>
        <v>65</v>
      </c>
      <c r="L8606" s="17">
        <f>IFERROR(__xludf.DUMMYFUNCTION("""COMPUTED_VALUE"""),3.105087726E9)</f>
        <v>3105087726</v>
      </c>
      <c r="M8606" s="17"/>
      <c r="N8606" s="17"/>
      <c r="O8606" s="17"/>
      <c r="P8606" s="17" t="b">
        <f>IFERROR(__xludf.DUMMYFUNCTION("""COMPUTED_VALUE"""),FALSE)</f>
        <v>0</v>
      </c>
      <c r="Q8606" s="20" t="str">
        <f>IFERROR(__xludf.DUMMYFUNCTION("""COMPUTED_VALUE"""),"")</f>
        <v/>
      </c>
      <c r="R8606" s="21" t="str">
        <f>IFERROR(__xludf.DUMMYFUNCTION("""COMPUTED_VALUE"""),"https://drive.google.com/file/d/1Azffjd8YVbyxJ_N-vqDWPJte-DhZseI3/view?usp=drivesdk")</f>
        <v>https://drive.google.com/file/d/1Azffjd8YVbyxJ_N-vqDWPJte-DhZseI3/view?usp=drivesdk</v>
      </c>
    </row>
    <row r="8607">
      <c r="A8607" s="15">
        <f>IFERROR(__xludf.DUMMYFUNCTION("""COMPUTED_VALUE"""),45245.0)</f>
        <v>45245</v>
      </c>
      <c r="B8607" s="16" t="str">
        <f>IFERROR(__xludf.DUMMYFUNCTION("""COMPUTED_VALUE"""),"JOSE ALFREDO RAMIREZ VERGARA ")</f>
        <v>JOSE ALFREDO RAMIREZ VERGARA </v>
      </c>
      <c r="C8607" s="15" t="str">
        <f>IFERROR(__xludf.DUMMYFUNCTION("""COMPUTED_VALUE"""),"BOGOTÁ")</f>
        <v>BOGOTÁ</v>
      </c>
      <c r="D8607" s="15" t="str">
        <f>IFERROR(__xludf.DUMMYFUNCTION("""COMPUTED_VALUE"""),"MEDELLÍN")</f>
        <v>MEDELLÍN</v>
      </c>
      <c r="E8607" s="15" t="str">
        <f>IFERROR(__xludf.DUMMYFUNCTION("""COMPUTED_VALUE"""),"The Smoked House")</f>
        <v>The Smoked House</v>
      </c>
      <c r="F8607" s="17" t="str">
        <f>IFERROR(__xludf.DUMMYFUNCTION("""COMPUTED_VALUE"""),"Cra 49#238-60 Hacienda San Simon,  / El Alcaparro, Casa 10 / Hacienda San Simon, El Alcaparro, Casa 10 ")</f>
        <v>Cra 49#238-60 Hacienda San Simon,  / El Alcaparro, Casa 10 / Hacienda San Simon, El Alcaparro, Casa 10 </v>
      </c>
      <c r="G8607" s="15" t="str">
        <f>IFERROR(__xludf.DUMMYFUNCTION("""COMPUTED_VALUE"""),"Mónica b")</f>
        <v>Mónica b</v>
      </c>
      <c r="H8607" s="16">
        <f>IFERROR(__xludf.DUMMYFUNCTION("""COMPUTED_VALUE"""),17279.0)</f>
        <v>17279</v>
      </c>
      <c r="I8607" s="18">
        <f>IFERROR(__xludf.DUMMYFUNCTION("""COMPUTED_VALUE"""),33.0)</f>
        <v>33</v>
      </c>
      <c r="J8607" s="18">
        <f>IFERROR(__xludf.DUMMYFUNCTION("""COMPUTED_VALUE"""),34.0)</f>
        <v>34</v>
      </c>
      <c r="K8607" s="18">
        <f>IFERROR(__xludf.DUMMYFUNCTION("""COMPUTED_VALUE"""),50.0)</f>
        <v>50</v>
      </c>
      <c r="L8607" s="17">
        <f>IFERROR(__xludf.DUMMYFUNCTION("""COMPUTED_VALUE"""),3.158825395E9)</f>
        <v>3158825395</v>
      </c>
      <c r="M8607" s="17"/>
      <c r="N8607" s="17"/>
      <c r="O8607" s="17"/>
      <c r="P8607" s="17" t="b">
        <f>IFERROR(__xludf.DUMMYFUNCTION("""COMPUTED_VALUE"""),FALSE)</f>
        <v>0</v>
      </c>
      <c r="Q8607" s="20" t="str">
        <f>IFERROR(__xludf.DUMMYFUNCTION("""COMPUTED_VALUE"""),"")</f>
        <v/>
      </c>
      <c r="R8607" s="22" t="str">
        <f>IFERROR(__xludf.DUMMYFUNCTION("""COMPUTED_VALUE"""),"")</f>
        <v/>
      </c>
    </row>
    <row r="8608">
      <c r="A8608" s="15">
        <f>IFERROR(__xludf.DUMMYFUNCTION("""COMPUTED_VALUE"""),45245.0)</f>
        <v>45245</v>
      </c>
      <c r="B8608" s="16" t="str">
        <f>IFERROR(__xludf.DUMMYFUNCTION("""COMPUTED_VALUE"""),"JOSE ALFREDO RAMIREZ VERGARA ")</f>
        <v>JOSE ALFREDO RAMIREZ VERGARA </v>
      </c>
      <c r="C8608" s="15" t="str">
        <f>IFERROR(__xludf.DUMMYFUNCTION("""COMPUTED_VALUE"""),"BOGOTÁ")</f>
        <v>BOGOTÁ</v>
      </c>
      <c r="D8608" s="15" t="str">
        <f>IFERROR(__xludf.DUMMYFUNCTION("""COMPUTED_VALUE"""),"MEDELLÍN")</f>
        <v>MEDELLÍN</v>
      </c>
      <c r="E8608" s="15" t="str">
        <f>IFERROR(__xludf.DUMMYFUNCTION("""COMPUTED_VALUE"""),"The Smoked House")</f>
        <v>The Smoked House</v>
      </c>
      <c r="F8608" s="17" t="str">
        <f>IFERROR(__xludf.DUMMYFUNCTION("""COMPUTED_VALUE"""),"Cra 49#238-60 Hacienda San Simon, El Alcaparro, Casa 10  / S / S ")</f>
        <v>Cra 49#238-60 Hacienda San Simon, El Alcaparro, Casa 10  / S / S </v>
      </c>
      <c r="G8608" s="15" t="str">
        <f>IFERROR(__xludf.DUMMYFUNCTION("""COMPUTED_VALUE"""),"Mónica b ")</f>
        <v>Mónica b </v>
      </c>
      <c r="H8608" s="16">
        <f>IFERROR(__xludf.DUMMYFUNCTION("""COMPUTED_VALUE"""),17280.0)</f>
        <v>17280</v>
      </c>
      <c r="I8608" s="18">
        <f>IFERROR(__xludf.DUMMYFUNCTION("""COMPUTED_VALUE"""),41.0)</f>
        <v>41</v>
      </c>
      <c r="J8608" s="18">
        <f>IFERROR(__xludf.DUMMYFUNCTION("""COMPUTED_VALUE"""),30.0)</f>
        <v>30</v>
      </c>
      <c r="K8608" s="18">
        <f>IFERROR(__xludf.DUMMYFUNCTION("""COMPUTED_VALUE"""),41.0)</f>
        <v>41</v>
      </c>
      <c r="L8608" s="17">
        <f>IFERROR(__xludf.DUMMYFUNCTION("""COMPUTED_VALUE"""),3.158825395E9)</f>
        <v>3158825395</v>
      </c>
      <c r="M8608" s="17"/>
      <c r="N8608" s="17"/>
      <c r="O8608" s="17"/>
      <c r="P8608" s="17" t="b">
        <f>IFERROR(__xludf.DUMMYFUNCTION("""COMPUTED_VALUE"""),FALSE)</f>
        <v>0</v>
      </c>
      <c r="Q8608" s="20" t="str">
        <f>IFERROR(__xludf.DUMMYFUNCTION("""COMPUTED_VALUE"""),"")</f>
        <v/>
      </c>
      <c r="R8608" s="22" t="str">
        <f>IFERROR(__xludf.DUMMYFUNCTION("""COMPUTED_VALUE"""),"")</f>
        <v/>
      </c>
    </row>
    <row r="8609">
      <c r="A8609" s="15">
        <f>IFERROR(__xludf.DUMMYFUNCTION("""COMPUTED_VALUE"""),45245.0)</f>
        <v>45245</v>
      </c>
      <c r="B8609" s="16" t="str">
        <f>IFERROR(__xludf.DUMMYFUNCTION("""COMPUTED_VALUE"""),"JOSE ALFREDO RAMIREZ VERGARA ")</f>
        <v>JOSE ALFREDO RAMIREZ VERGARA </v>
      </c>
      <c r="C8609" s="15" t="str">
        <f>IFERROR(__xludf.DUMMYFUNCTION("""COMPUTED_VALUE"""),"MANIZALES")</f>
        <v>MANIZALES</v>
      </c>
      <c r="D8609" s="15" t="str">
        <f>IFERROR(__xludf.DUMMYFUNCTION("""COMPUTED_VALUE"""),"MEDELLÍN")</f>
        <v>MEDELLÍN</v>
      </c>
      <c r="E8609" s="15" t="str">
        <f>IFERROR(__xludf.DUMMYFUNCTION("""COMPUTED_VALUE"""),"Selva")</f>
        <v>Selva</v>
      </c>
      <c r="F8609" s="17" t="str">
        <f>IFERROR(__xludf.DUMMYFUNCTION("""COMPUTED_VALUE"""),"Calle 66a #26a 51 / Tienda saludable Vienssano")</f>
        <v>Calle 66a #26a 51 / Tienda saludable Vienssano</v>
      </c>
      <c r="G8609" s="15" t="str">
        <f>IFERROR(__xludf.DUMMYFUNCTION("""COMPUTED_VALUE"""),"Vienssano")</f>
        <v>Vienssano</v>
      </c>
      <c r="H8609" s="16">
        <f>IFERROR(__xludf.DUMMYFUNCTION("""COMPUTED_VALUE"""),17228.0)</f>
        <v>17228</v>
      </c>
      <c r="I8609" s="17"/>
      <c r="J8609" s="17"/>
      <c r="K8609" s="17"/>
      <c r="L8609" s="17">
        <f>IFERROR(__xludf.DUMMYFUNCTION("""COMPUTED_VALUE"""),3.136077653E9)</f>
        <v>3136077653</v>
      </c>
      <c r="M8609" s="17"/>
      <c r="N8609" s="17"/>
      <c r="O8609" s="17"/>
      <c r="P8609" s="17" t="b">
        <f>IFERROR(__xludf.DUMMYFUNCTION("""COMPUTED_VALUE"""),FALSE)</f>
        <v>0</v>
      </c>
      <c r="Q8609" s="20" t="str">
        <f>IFERROR(__xludf.DUMMYFUNCTION("""COMPUTED_VALUE"""),"")</f>
        <v/>
      </c>
      <c r="R8609" s="21" t="str">
        <f>IFERROR(__xludf.DUMMYFUNCTION("""COMPUTED_VALUE"""),"https://drive.google.com/file/d/1nsdBxE5FWQQH_q2IjSlRaXuiSNtx6VuK/view?usp=drivesdk")</f>
        <v>https://drive.google.com/file/d/1nsdBxE5FWQQH_q2IjSlRaXuiSNtx6VuK/view?usp=drivesdk</v>
      </c>
    </row>
    <row r="8610">
      <c r="A8610" s="15">
        <f>IFERROR(__xludf.DUMMYFUNCTION("""COMPUTED_VALUE"""),45245.0)</f>
        <v>45245</v>
      </c>
      <c r="B8610" s="16" t="str">
        <f>IFERROR(__xludf.DUMMYFUNCTION("""COMPUTED_VALUE"""),"JOSE ALFREDO RAMIREZ VERGARA ")</f>
        <v>JOSE ALFREDO RAMIREZ VERGARA </v>
      </c>
      <c r="C8610" s="15" t="str">
        <f>IFERROR(__xludf.DUMMYFUNCTION("""COMPUTED_VALUE"""),"YOPAL")</f>
        <v>YOPAL</v>
      </c>
      <c r="D8610" s="15" t="str">
        <f>IFERROR(__xludf.DUMMYFUNCTION("""COMPUTED_VALUE"""),"BOGOTÁ")</f>
        <v>BOGOTÁ</v>
      </c>
      <c r="E8610" s="15" t="str">
        <f>IFERROR(__xludf.DUMMYFUNCTION("""COMPUTED_VALUE"""),"Top Spun")</f>
        <v>Top Spun</v>
      </c>
      <c r="F8610" s="17" t="str">
        <f>IFERROR(__xludf.DUMMYFUNCTION("""COMPUTED_VALUE"""),"Calle 15 27a 21 / Edificio Oregon  / Apartamento 402 Yopal")</f>
        <v>Calle 15 27a 21 / Edificio Oregon  / Apartamento 402 Yopal</v>
      </c>
      <c r="G8610" s="15" t="str">
        <f>IFERROR(__xludf.DUMMYFUNCTION("""COMPUTED_VALUE"""),"Jenny Viviana Carpintero")</f>
        <v>Jenny Viviana Carpintero</v>
      </c>
      <c r="H8610" s="16">
        <f>IFERROR(__xludf.DUMMYFUNCTION("""COMPUTED_VALUE"""),17257.0)</f>
        <v>17257</v>
      </c>
      <c r="I8610" s="18">
        <f>IFERROR(__xludf.DUMMYFUNCTION("""COMPUTED_VALUE"""),20.0)</f>
        <v>20</v>
      </c>
      <c r="J8610" s="18">
        <f>IFERROR(__xludf.DUMMYFUNCTION("""COMPUTED_VALUE"""),10.0)</f>
        <v>10</v>
      </c>
      <c r="K8610" s="18">
        <f>IFERROR(__xludf.DUMMYFUNCTION("""COMPUTED_VALUE"""),40.0)</f>
        <v>40</v>
      </c>
      <c r="L8610" s="17">
        <f>IFERROR(__xludf.DUMMYFUNCTION("""COMPUTED_VALUE"""),3.186319767E9)</f>
        <v>3186319767</v>
      </c>
      <c r="M8610" s="17"/>
      <c r="N8610" s="17"/>
      <c r="O8610" s="17"/>
      <c r="P8610" s="17" t="b">
        <f>IFERROR(__xludf.DUMMYFUNCTION("""COMPUTED_VALUE"""),FALSE)</f>
        <v>0</v>
      </c>
      <c r="Q8610" s="20" t="str">
        <f>IFERROR(__xludf.DUMMYFUNCTION("""COMPUTED_VALUE"""),"")</f>
        <v/>
      </c>
      <c r="R8610" s="21" t="str">
        <f>IFERROR(__xludf.DUMMYFUNCTION("""COMPUTED_VALUE"""),"https://drive.google.com/file/d/1G2xXGkzC_-8guNxMJNZSaFsjx-Hqatvc/view?usp=drivesdk")</f>
        <v>https://drive.google.com/file/d/1G2xXGkzC_-8guNxMJNZSaFsjx-Hqatvc/view?usp=drivesdk</v>
      </c>
    </row>
    <row r="8611">
      <c r="A8611" s="17" t="str">
        <f>IFERROR(__xludf.DUMMYFUNCTION("""COMPUTED_VALUE"""),"")</f>
        <v/>
      </c>
      <c r="B8611" s="17" t="str">
        <f>IFERROR(__xludf.DUMMYFUNCTION("""COMPUTED_VALUE"""),"")</f>
        <v/>
      </c>
      <c r="C8611" s="17" t="str">
        <f>IFERROR(__xludf.DUMMYFUNCTION("""COMPUTED_VALUE"""),"")</f>
        <v/>
      </c>
      <c r="D8611" s="17" t="str">
        <f>IFERROR(__xludf.DUMMYFUNCTION("""COMPUTED_VALUE"""),"")</f>
        <v/>
      </c>
      <c r="E8611" s="17" t="str">
        <f>IFERROR(__xludf.DUMMYFUNCTION("""COMPUTED_VALUE"""),"")</f>
        <v/>
      </c>
      <c r="F8611" s="17" t="str">
        <f>IFERROR(__xludf.DUMMYFUNCTION("""COMPUTED_VALUE"""),"")</f>
        <v/>
      </c>
      <c r="G8611" s="17" t="str">
        <f>IFERROR(__xludf.DUMMYFUNCTION("""COMPUTED_VALUE"""),"")</f>
        <v/>
      </c>
      <c r="H8611" s="17" t="str">
        <f>IFERROR(__xludf.DUMMYFUNCTION("""COMPUTED_VALUE"""),"")</f>
        <v/>
      </c>
      <c r="I8611" s="17" t="str">
        <f>IFERROR(__xludf.DUMMYFUNCTION("""COMPUTED_VALUE"""),"")</f>
        <v/>
      </c>
      <c r="J8611" s="17" t="str">
        <f>IFERROR(__xludf.DUMMYFUNCTION("""COMPUTED_VALUE"""),"")</f>
        <v/>
      </c>
      <c r="K8611" s="17" t="str">
        <f>IFERROR(__xludf.DUMMYFUNCTION("""COMPUTED_VALUE"""),"")</f>
        <v/>
      </c>
      <c r="L8611" s="17" t="str">
        <f>IFERROR(__xludf.DUMMYFUNCTION("""COMPUTED_VALUE"""),"")</f>
        <v/>
      </c>
      <c r="M8611" s="17" t="str">
        <f>IFERROR(__xludf.DUMMYFUNCTION("""COMPUTED_VALUE"""),"")</f>
        <v/>
      </c>
      <c r="N8611" s="17" t="str">
        <f>IFERROR(__xludf.DUMMYFUNCTION("""COMPUTED_VALUE"""),"")</f>
        <v/>
      </c>
      <c r="O8611" s="17" t="str">
        <f>IFERROR(__xludf.DUMMYFUNCTION("""COMPUTED_VALUE"""),"")</f>
        <v/>
      </c>
      <c r="P8611" s="17" t="str">
        <f>IFERROR(__xludf.DUMMYFUNCTION("""COMPUTED_VALUE"""),"")</f>
        <v/>
      </c>
      <c r="Q8611" s="17" t="str">
        <f>IFERROR(__xludf.DUMMYFUNCTION("""COMPUTED_VALUE"""),"")</f>
        <v/>
      </c>
      <c r="R8611" s="17" t="str">
        <f>IFERROR(__xludf.DUMMYFUNCTION("""COMPUTED_VALUE"""),"")</f>
        <v/>
      </c>
    </row>
    <row r="8612">
      <c r="A8612" s="15">
        <f>IFERROR(__xludf.DUMMYFUNCTION("""COMPUTED_VALUE"""),45245.0)</f>
        <v>45245</v>
      </c>
      <c r="B8612" s="16" t="str">
        <f>IFERROR(__xludf.DUMMYFUNCTION("""COMPUTED_VALUE"""),"Julián Alexis salazar Anaya ")</f>
        <v>Julián Alexis salazar Anaya </v>
      </c>
      <c r="C8612" s="15" t="str">
        <f>IFERROR(__xludf.DUMMYFUNCTION("""COMPUTED_VALUE"""),"CAJICÁ")</f>
        <v>CAJICÁ</v>
      </c>
      <c r="D8612" s="15" t="str">
        <f>IFERROR(__xludf.DUMMYFUNCTION("""COMPUTED_VALUE"""),"MEDELLÍN")</f>
        <v>MEDELLÍN</v>
      </c>
      <c r="E8612" s="15" t="str">
        <f>IFERROR(__xludf.DUMMYFUNCTION("""COMPUTED_VALUE"""),"Baby Chef")</f>
        <v>Baby Chef</v>
      </c>
      <c r="F8612" s="17" t="str">
        <f>IFERROR(__xludf.DUMMYFUNCTION("""COMPUTED_VALUE"""),"Calle 7#6b20 Cajica Cundinamarca / . / .")</f>
        <v>Calle 7#6b20 Cajica Cundinamarca / . / .</v>
      </c>
      <c r="G8612" s="15" t="str">
        <f>IFERROR(__xludf.DUMMYFUNCTION("""COMPUTED_VALUE"""),"Verónica Puerta Murcia ")</f>
        <v>Verónica Puerta Murcia </v>
      </c>
      <c r="H8612" s="16">
        <f>IFERROR(__xludf.DUMMYFUNCTION("""COMPUTED_VALUE"""),17285.0)</f>
        <v>17285</v>
      </c>
      <c r="I8612" s="18">
        <f>IFERROR(__xludf.DUMMYFUNCTION("""COMPUTED_VALUE"""),5.0)</f>
        <v>5</v>
      </c>
      <c r="J8612" s="18">
        <f>IFERROR(__xludf.DUMMYFUNCTION("""COMPUTED_VALUE"""),21.0)</f>
        <v>21</v>
      </c>
      <c r="K8612" s="18">
        <f>IFERROR(__xludf.DUMMYFUNCTION("""COMPUTED_VALUE"""),17.0)</f>
        <v>17</v>
      </c>
      <c r="L8612" s="17">
        <f>IFERROR(__xludf.DUMMYFUNCTION("""COMPUTED_VALUE"""),3.145795044E9)</f>
        <v>3145795044</v>
      </c>
      <c r="M8612" s="17"/>
      <c r="N8612" s="17"/>
      <c r="O8612" s="17"/>
      <c r="P8612" s="17" t="b">
        <f>IFERROR(__xludf.DUMMYFUNCTION("""COMPUTED_VALUE"""),FALSE)</f>
        <v>0</v>
      </c>
      <c r="Q8612" s="20" t="str">
        <f>IFERROR(__xludf.DUMMYFUNCTION("""COMPUTED_VALUE"""),"")</f>
        <v/>
      </c>
      <c r="R8612" s="22" t="str">
        <f>IFERROR(__xludf.DUMMYFUNCTION("""COMPUTED_VALUE"""),"")</f>
        <v/>
      </c>
    </row>
    <row r="8613">
      <c r="A8613" s="17" t="str">
        <f>IFERROR(__xludf.DUMMYFUNCTION("""COMPUTED_VALUE"""),"")</f>
        <v/>
      </c>
      <c r="B8613" s="17" t="str">
        <f>IFERROR(__xludf.DUMMYFUNCTION("""COMPUTED_VALUE"""),"")</f>
        <v/>
      </c>
      <c r="C8613" s="17" t="str">
        <f>IFERROR(__xludf.DUMMYFUNCTION("""COMPUTED_VALUE"""),"")</f>
        <v/>
      </c>
      <c r="D8613" s="17" t="str">
        <f>IFERROR(__xludf.DUMMYFUNCTION("""COMPUTED_VALUE"""),"")</f>
        <v/>
      </c>
      <c r="E8613" s="17" t="str">
        <f>IFERROR(__xludf.DUMMYFUNCTION("""COMPUTED_VALUE"""),"")</f>
        <v/>
      </c>
      <c r="F8613" s="17" t="str">
        <f>IFERROR(__xludf.DUMMYFUNCTION("""COMPUTED_VALUE"""),"")</f>
        <v/>
      </c>
      <c r="G8613" s="17" t="str">
        <f>IFERROR(__xludf.DUMMYFUNCTION("""COMPUTED_VALUE"""),"")</f>
        <v/>
      </c>
      <c r="H8613" s="17" t="str">
        <f>IFERROR(__xludf.DUMMYFUNCTION("""COMPUTED_VALUE"""),"")</f>
        <v/>
      </c>
      <c r="I8613" s="17" t="str">
        <f>IFERROR(__xludf.DUMMYFUNCTION("""COMPUTED_VALUE"""),"")</f>
        <v/>
      </c>
      <c r="J8613" s="17" t="str">
        <f>IFERROR(__xludf.DUMMYFUNCTION("""COMPUTED_VALUE"""),"")</f>
        <v/>
      </c>
      <c r="K8613" s="17" t="str">
        <f>IFERROR(__xludf.DUMMYFUNCTION("""COMPUTED_VALUE"""),"")</f>
        <v/>
      </c>
      <c r="L8613" s="17" t="str">
        <f>IFERROR(__xludf.DUMMYFUNCTION("""COMPUTED_VALUE"""),"")</f>
        <v/>
      </c>
      <c r="M8613" s="17" t="str">
        <f>IFERROR(__xludf.DUMMYFUNCTION("""COMPUTED_VALUE"""),"")</f>
        <v/>
      </c>
      <c r="N8613" s="17" t="str">
        <f>IFERROR(__xludf.DUMMYFUNCTION("""COMPUTED_VALUE"""),"")</f>
        <v/>
      </c>
      <c r="O8613" s="17" t="str">
        <f>IFERROR(__xludf.DUMMYFUNCTION("""COMPUTED_VALUE"""),"")</f>
        <v/>
      </c>
      <c r="P8613" s="17" t="str">
        <f>IFERROR(__xludf.DUMMYFUNCTION("""COMPUTED_VALUE"""),"")</f>
        <v/>
      </c>
      <c r="Q8613" s="17" t="str">
        <f>IFERROR(__xludf.DUMMYFUNCTION("""COMPUTED_VALUE"""),"")</f>
        <v/>
      </c>
      <c r="R8613" s="17" t="str">
        <f>IFERROR(__xludf.DUMMYFUNCTION("""COMPUTED_VALUE"""),"")</f>
        <v/>
      </c>
    </row>
    <row r="8614">
      <c r="A8614" s="15">
        <f>IFERROR(__xludf.DUMMYFUNCTION("""COMPUTED_VALUE"""),45245.0)</f>
        <v>45245</v>
      </c>
      <c r="B8614" s="16" t="str">
        <f>IFERROR(__xludf.DUMMYFUNCTION("""COMPUTED_VALUE"""),"Santiago Garces Restrepo")</f>
        <v>Santiago Garces Restrepo</v>
      </c>
      <c r="C8614" s="15" t="str">
        <f>IFERROR(__xludf.DUMMYFUNCTION("""COMPUTED_VALUE"""),"ENVIGADO")</f>
        <v>ENVIGADO</v>
      </c>
      <c r="D8614" s="15" t="str">
        <f>IFERROR(__xludf.DUMMYFUNCTION("""COMPUTED_VALUE"""),"BOGOTÁ")</f>
        <v>BOGOTÁ</v>
      </c>
      <c r="E8614" s="15" t="str">
        <f>IFERROR(__xludf.DUMMYFUNCTION("""COMPUTED_VALUE"""),"Top Spun")</f>
        <v>Top Spun</v>
      </c>
      <c r="F8614" s="17" t="str">
        <f>IFERROR(__xludf.DUMMYFUNCTION("""COMPUTED_VALUE"""),"Carrera 25 A # 38D sur 30 Apartamento 902 / California Apartamentos  / Loma el Chingui")</f>
        <v>Carrera 25 A # 38D sur 30 Apartamento 902 / California Apartamentos  / Loma el Chingui</v>
      </c>
      <c r="G8614" s="15" t="str">
        <f>IFERROR(__xludf.DUMMYFUNCTION("""COMPUTED_VALUE"""),"Karen Martínez Villa ")</f>
        <v>Karen Martínez Villa </v>
      </c>
      <c r="H8614" s="16">
        <f>IFERROR(__xludf.DUMMYFUNCTION("""COMPUTED_VALUE"""),17217.0)</f>
        <v>17217</v>
      </c>
      <c r="I8614" s="18">
        <f>IFERROR(__xludf.DUMMYFUNCTION("""COMPUTED_VALUE"""),20.0)</f>
        <v>20</v>
      </c>
      <c r="J8614" s="18">
        <f>IFERROR(__xludf.DUMMYFUNCTION("""COMPUTED_VALUE"""),10.0)</f>
        <v>10</v>
      </c>
      <c r="K8614" s="18">
        <f>IFERROR(__xludf.DUMMYFUNCTION("""COMPUTED_VALUE"""),40.0)</f>
        <v>40</v>
      </c>
      <c r="L8614" s="17">
        <f>IFERROR(__xludf.DUMMYFUNCTION("""COMPUTED_VALUE"""),3.00547152E9)</f>
        <v>3005471520</v>
      </c>
      <c r="M8614" s="17"/>
      <c r="N8614" s="17"/>
      <c r="O8614" s="17"/>
      <c r="P8614" s="17" t="b">
        <f>IFERROR(__xludf.DUMMYFUNCTION("""COMPUTED_VALUE"""),FALSE)</f>
        <v>0</v>
      </c>
      <c r="Q8614" s="20" t="str">
        <f>IFERROR(__xludf.DUMMYFUNCTION("""COMPUTED_VALUE"""),"")</f>
        <v/>
      </c>
      <c r="R8614" s="22" t="str">
        <f>IFERROR(__xludf.DUMMYFUNCTION("""COMPUTED_VALUE"""),"")</f>
        <v/>
      </c>
    </row>
    <row r="8615">
      <c r="A8615" s="15">
        <f>IFERROR(__xludf.DUMMYFUNCTION("""COMPUTED_VALUE"""),45245.0)</f>
        <v>45245</v>
      </c>
      <c r="B8615" s="16" t="str">
        <f>IFERROR(__xludf.DUMMYFUNCTION("""COMPUTED_VALUE"""),"Santiago Garces Restrepo")</f>
        <v>Santiago Garces Restrepo</v>
      </c>
      <c r="C8615" s="15" t="str">
        <f>IFERROR(__xludf.DUMMYFUNCTION("""COMPUTED_VALUE"""),"ITAGÜI")</f>
        <v>ITAGÜI</v>
      </c>
      <c r="D8615" s="15" t="str">
        <f>IFERROR(__xludf.DUMMYFUNCTION("""COMPUTED_VALUE"""),"BOGOTÁ")</f>
        <v>BOGOTÁ</v>
      </c>
      <c r="E8615" s="15" t="str">
        <f>IFERROR(__xludf.DUMMYFUNCTION("""COMPUTED_VALUE"""),"LINA PAOLA RAMIREZ GOMEZ - EVA MAZZITA")</f>
        <v>LINA PAOLA RAMIREZ GOMEZ - EVA MAZZITA</v>
      </c>
      <c r="F8615" s="17" t="str">
        <f>IFERROR(__xludf.DUMMYFUNCTION("""COMPUTED_VALUE"""),"CALLE 83 B # 57 88 / PRIMER PISO VIVIENDAS DEL SUR")</f>
        <v>CALLE 83 B # 57 88 / PRIMER PISO VIVIENDAS DEL SUR</v>
      </c>
      <c r="G8615" s="15" t="str">
        <f>IFERROR(__xludf.DUMMYFUNCTION("""COMPUTED_VALUE"""),"JUSTINE COLORADO GUTIERREZ")</f>
        <v>JUSTINE COLORADO GUTIERREZ</v>
      </c>
      <c r="H8615" s="16">
        <f>IFERROR(__xludf.DUMMYFUNCTION("""COMPUTED_VALUE"""),17272.0)</f>
        <v>17272</v>
      </c>
      <c r="I8615" s="17"/>
      <c r="J8615" s="17"/>
      <c r="K8615" s="17"/>
      <c r="L8615" s="17">
        <f>IFERROR(__xludf.DUMMYFUNCTION("""COMPUTED_VALUE"""),3.146532342E9)</f>
        <v>3146532342</v>
      </c>
      <c r="M8615" s="17"/>
      <c r="N8615" s="17"/>
      <c r="O8615" s="17"/>
      <c r="P8615" s="17" t="b">
        <f>IFERROR(__xludf.DUMMYFUNCTION("""COMPUTED_VALUE"""),FALSE)</f>
        <v>0</v>
      </c>
      <c r="Q8615" s="20" t="str">
        <f>IFERROR(__xludf.DUMMYFUNCTION("""COMPUTED_VALUE"""),"")</f>
        <v/>
      </c>
      <c r="R8615" s="22" t="str">
        <f>IFERROR(__xludf.DUMMYFUNCTION("""COMPUTED_VALUE"""),"")</f>
        <v/>
      </c>
    </row>
    <row r="8616">
      <c r="A8616" s="15">
        <f>IFERROR(__xludf.DUMMYFUNCTION("""COMPUTED_VALUE"""),45245.0)</f>
        <v>45245</v>
      </c>
      <c r="B8616" s="16" t="str">
        <f>IFERROR(__xludf.DUMMYFUNCTION("""COMPUTED_VALUE"""),"Santiago Garces Restrepo")</f>
        <v>Santiago Garces Restrepo</v>
      </c>
      <c r="C8616" s="15" t="str">
        <f>IFERROR(__xludf.DUMMYFUNCTION("""COMPUTED_VALUE"""),"MEDELLÍN")</f>
        <v>MEDELLÍN</v>
      </c>
      <c r="D8616" s="15" t="str">
        <f>IFERROR(__xludf.DUMMYFUNCTION("""COMPUTED_VALUE"""),"BOGOTÁ")</f>
        <v>BOGOTÁ</v>
      </c>
      <c r="E8616" s="15" t="str">
        <f>IFERROR(__xludf.DUMMYFUNCTION("""COMPUTED_VALUE"""),"Asociacion Agropecuaria Juana Maria")</f>
        <v>Asociacion Agropecuaria Juana Maria</v>
      </c>
      <c r="F8616" s="17" t="str">
        <f>IFERROR(__xludf.DUMMYFUNCTION("""COMPUTED_VALUE"""),"Carrera 15 BA # 30D-44 / int 201")</f>
        <v>Carrera 15 BA # 30D-44 / int 201</v>
      </c>
      <c r="G8616" s="15" t="str">
        <f>IFERROR(__xludf.DUMMYFUNCTION("""COMPUTED_VALUE"""),"Daniela Bedoya Blandon")</f>
        <v>Daniela Bedoya Blandon</v>
      </c>
      <c r="H8616" s="16">
        <f>IFERROR(__xludf.DUMMYFUNCTION("""COMPUTED_VALUE"""),17233.0)</f>
        <v>17233</v>
      </c>
      <c r="I8616" s="17"/>
      <c r="J8616" s="17"/>
      <c r="K8616" s="17"/>
      <c r="L8616" s="17">
        <f>IFERROR(__xludf.DUMMYFUNCTION("""COMPUTED_VALUE"""),3.14672822E9)</f>
        <v>3146728220</v>
      </c>
      <c r="M8616" s="17"/>
      <c r="N8616" s="17"/>
      <c r="O8616" s="17"/>
      <c r="P8616" s="17" t="b">
        <f>IFERROR(__xludf.DUMMYFUNCTION("""COMPUTED_VALUE"""),FALSE)</f>
        <v>0</v>
      </c>
      <c r="Q8616" s="20" t="str">
        <f>IFERROR(__xludf.DUMMYFUNCTION("""COMPUTED_VALUE"""),"")</f>
        <v/>
      </c>
      <c r="R8616" s="21" t="str">
        <f>IFERROR(__xludf.DUMMYFUNCTION("""COMPUTED_VALUE"""),"https://drive.google.com/file/d/1q6GHZhnUG0xOD4fq3fh3E52vE0SyikOl/view?usp=drivesdk")</f>
        <v>https://drive.google.com/file/d/1q6GHZhnUG0xOD4fq3fh3E52vE0SyikOl/view?usp=drivesdk</v>
      </c>
    </row>
    <row r="8617">
      <c r="A8617" s="15">
        <f>IFERROR(__xludf.DUMMYFUNCTION("""COMPUTED_VALUE"""),45245.0)</f>
        <v>45245</v>
      </c>
      <c r="B8617" s="16" t="str">
        <f>IFERROR(__xludf.DUMMYFUNCTION("""COMPUTED_VALUE"""),"Santiago Garces Restrepo")</f>
        <v>Santiago Garces Restrepo</v>
      </c>
      <c r="C8617" s="15" t="str">
        <f>IFERROR(__xludf.DUMMYFUNCTION("""COMPUTED_VALUE"""),"MEDELLÍN")</f>
        <v>MEDELLÍN</v>
      </c>
      <c r="D8617" s="15" t="str">
        <f>IFERROR(__xludf.DUMMYFUNCTION("""COMPUTED_VALUE"""),"BOGOTÁ")</f>
        <v>BOGOTÁ</v>
      </c>
      <c r="E8617" s="15" t="str">
        <f>IFERROR(__xludf.DUMMYFUNCTION("""COMPUTED_VALUE"""),"Asociacion Agropecuaria Juana Maria")</f>
        <v>Asociacion Agropecuaria Juana Maria</v>
      </c>
      <c r="F8617" s="17" t="str">
        <f>IFERROR(__xludf.DUMMYFUNCTION("""COMPUTED_VALUE"""),"Cra 82C # 30A-100 / apto 1202 urbanizacion Torres de Vicuña Belen los Alpes")</f>
        <v>Cra 82C # 30A-100 / apto 1202 urbanizacion Torres de Vicuña Belen los Alpes</v>
      </c>
      <c r="G8617" s="15" t="str">
        <f>IFERROR(__xludf.DUMMYFUNCTION("""COMPUTED_VALUE"""),"Gloria Moreno")</f>
        <v>Gloria Moreno</v>
      </c>
      <c r="H8617" s="16">
        <f>IFERROR(__xludf.DUMMYFUNCTION("""COMPUTED_VALUE"""),17236.0)</f>
        <v>17236</v>
      </c>
      <c r="I8617" s="17"/>
      <c r="J8617" s="17"/>
      <c r="K8617" s="17"/>
      <c r="L8617" s="17">
        <f>IFERROR(__xludf.DUMMYFUNCTION("""COMPUTED_VALUE"""),3.162544201E9)</f>
        <v>3162544201</v>
      </c>
      <c r="M8617" s="17"/>
      <c r="N8617" s="17"/>
      <c r="O8617" s="17"/>
      <c r="P8617" s="17" t="b">
        <f>IFERROR(__xludf.DUMMYFUNCTION("""COMPUTED_VALUE"""),FALSE)</f>
        <v>0</v>
      </c>
      <c r="Q8617" s="20" t="str">
        <f>IFERROR(__xludf.DUMMYFUNCTION("""COMPUTED_VALUE"""),"")</f>
        <v/>
      </c>
      <c r="R8617" s="22" t="str">
        <f>IFERROR(__xludf.DUMMYFUNCTION("""COMPUTED_VALUE"""),"")</f>
        <v/>
      </c>
    </row>
    <row r="8618">
      <c r="A8618" s="15">
        <f>IFERROR(__xludf.DUMMYFUNCTION("""COMPUTED_VALUE"""),45245.0)</f>
        <v>45245</v>
      </c>
      <c r="B8618" s="16" t="str">
        <f>IFERROR(__xludf.DUMMYFUNCTION("""COMPUTED_VALUE"""),"Santiago Garces Restrepo")</f>
        <v>Santiago Garces Restrepo</v>
      </c>
      <c r="C8618" s="15" t="str">
        <f>IFERROR(__xludf.DUMMYFUNCTION("""COMPUTED_VALUE"""),"MEDELLÍN")</f>
        <v>MEDELLÍN</v>
      </c>
      <c r="D8618" s="15" t="str">
        <f>IFERROR(__xludf.DUMMYFUNCTION("""COMPUTED_VALUE"""),"BOGOTÁ")</f>
        <v>BOGOTÁ</v>
      </c>
      <c r="E8618" s="15" t="str">
        <f>IFERROR(__xludf.DUMMYFUNCTION("""COMPUTED_VALUE"""),"Hiiva Fermentados SAS")</f>
        <v>Hiiva Fermentados SAS</v>
      </c>
      <c r="F8618" s="17" t="str">
        <f>IFERROR(__xludf.DUMMYFUNCTION("""COMPUTED_VALUE"""),"Calle 98 #50b-19 primer piso / Preguntar por Doña Fabiola")</f>
        <v>Calle 98 #50b-19 primer piso / Preguntar por Doña Fabiola</v>
      </c>
      <c r="G8618" s="15" t="str">
        <f>IFERROR(__xludf.DUMMYFUNCTION("""COMPUTED_VALUE"""),"Bayron")</f>
        <v>Bayron</v>
      </c>
      <c r="H8618" s="16">
        <f>IFERROR(__xludf.DUMMYFUNCTION("""COMPUTED_VALUE"""),17225.0)</f>
        <v>17225</v>
      </c>
      <c r="I8618" s="17"/>
      <c r="J8618" s="17"/>
      <c r="K8618" s="17"/>
      <c r="L8618" s="17">
        <f>IFERROR(__xludf.DUMMYFUNCTION("""COMPUTED_VALUE"""),3.166261966E9)</f>
        <v>3166261966</v>
      </c>
      <c r="M8618" s="17"/>
      <c r="N8618" s="17"/>
      <c r="O8618" s="17"/>
      <c r="P8618" s="17" t="b">
        <f>IFERROR(__xludf.DUMMYFUNCTION("""COMPUTED_VALUE"""),FALSE)</f>
        <v>0</v>
      </c>
      <c r="Q8618" s="20" t="str">
        <f>IFERROR(__xludf.DUMMYFUNCTION("""COMPUTED_VALUE"""),"")</f>
        <v/>
      </c>
      <c r="R8618" s="22" t="str">
        <f>IFERROR(__xludf.DUMMYFUNCTION("""COMPUTED_VALUE"""),"")</f>
        <v/>
      </c>
    </row>
    <row r="8619">
      <c r="A8619" s="15">
        <f>IFERROR(__xludf.DUMMYFUNCTION("""COMPUTED_VALUE"""),45245.0)</f>
        <v>45245</v>
      </c>
      <c r="B8619" s="16" t="str">
        <f>IFERROR(__xludf.DUMMYFUNCTION("""COMPUTED_VALUE"""),"Santiago Garces Restrepo")</f>
        <v>Santiago Garces Restrepo</v>
      </c>
      <c r="C8619" s="15" t="str">
        <f>IFERROR(__xludf.DUMMYFUNCTION("""COMPUTED_VALUE"""),"MEDELLÍN")</f>
        <v>MEDELLÍN</v>
      </c>
      <c r="D8619" s="15" t="str">
        <f>IFERROR(__xludf.DUMMYFUNCTION("""COMPUTED_VALUE"""),"BOGOTÁ")</f>
        <v>BOGOTÁ</v>
      </c>
      <c r="E8619" s="15" t="str">
        <f>IFERROR(__xludf.DUMMYFUNCTION("""COMPUTED_VALUE"""),"LINA PAOLA RAMIREZ GOMEZ - EVA MAZZITA")</f>
        <v>LINA PAOLA RAMIREZ GOMEZ - EVA MAZZITA</v>
      </c>
      <c r="F8619" s="17" t="str">
        <f>IFERROR(__xludf.DUMMYFUNCTION("""COMPUTED_VALUE"""),"Calle 77a # 88-35 / casa 36 urbanización villa fernanda Barrio robledo")</f>
        <v>Calle 77a # 88-35 / casa 36 urbanización villa fernanda Barrio robledo</v>
      </c>
      <c r="G8619" s="15" t="str">
        <f>IFERROR(__xludf.DUMMYFUNCTION("""COMPUTED_VALUE"""),"BLANCA INES GOMEZ ALVAREZ")</f>
        <v>BLANCA INES GOMEZ ALVAREZ</v>
      </c>
      <c r="H8619" s="16">
        <f>IFERROR(__xludf.DUMMYFUNCTION("""COMPUTED_VALUE"""),17274.0)</f>
        <v>17274</v>
      </c>
      <c r="I8619" s="17"/>
      <c r="J8619" s="17"/>
      <c r="K8619" s="17"/>
      <c r="L8619" s="17">
        <f>IFERROR(__xludf.DUMMYFUNCTION("""COMPUTED_VALUE"""),3.137121846E9)</f>
        <v>3137121846</v>
      </c>
      <c r="M8619" s="17"/>
      <c r="N8619" s="17"/>
      <c r="O8619" s="17"/>
      <c r="P8619" s="17" t="b">
        <f>IFERROR(__xludf.DUMMYFUNCTION("""COMPUTED_VALUE"""),FALSE)</f>
        <v>0</v>
      </c>
      <c r="Q8619" s="20" t="str">
        <f>IFERROR(__xludf.DUMMYFUNCTION("""COMPUTED_VALUE"""),"")</f>
        <v/>
      </c>
      <c r="R8619" s="22" t="str">
        <f>IFERROR(__xludf.DUMMYFUNCTION("""COMPUTED_VALUE"""),"")</f>
        <v/>
      </c>
    </row>
    <row r="8620">
      <c r="A8620" s="15">
        <f>IFERROR(__xludf.DUMMYFUNCTION("""COMPUTED_VALUE"""),45245.0)</f>
        <v>45245</v>
      </c>
      <c r="B8620" s="16" t="str">
        <f>IFERROR(__xludf.DUMMYFUNCTION("""COMPUTED_VALUE"""),"Santiago Garces Restrepo")</f>
        <v>Santiago Garces Restrepo</v>
      </c>
      <c r="C8620" s="15" t="str">
        <f>IFERROR(__xludf.DUMMYFUNCTION("""COMPUTED_VALUE"""),"MEDELLÍN")</f>
        <v>MEDELLÍN</v>
      </c>
      <c r="D8620" s="15" t="str">
        <f>IFERROR(__xludf.DUMMYFUNCTION("""COMPUTED_VALUE"""),"BOGOTÁ")</f>
        <v>BOGOTÁ</v>
      </c>
      <c r="E8620" s="15" t="str">
        <f>IFERROR(__xludf.DUMMYFUNCTION("""COMPUTED_VALUE"""),"LINA PAOLA RAMIREZ GOMEZ - EVA MAZZITA")</f>
        <v>LINA PAOLA RAMIREZ GOMEZ - EVA MAZZITA</v>
      </c>
      <c r="F8620" s="17" t="str">
        <f>IFERROR(__xludf.DUMMYFUNCTION("""COMPUTED_VALUE"""),"Crr 20 n 12 sur 424 / DuVille 805 Poblado")</f>
        <v>Crr 20 n 12 sur 424 / DuVille 805 Poblado</v>
      </c>
      <c r="G8620" s="15" t="str">
        <f>IFERROR(__xludf.DUMMYFUNCTION("""COMPUTED_VALUE"""),"MANUELA MONSALVE")</f>
        <v>MANUELA MONSALVE</v>
      </c>
      <c r="H8620" s="16">
        <f>IFERROR(__xludf.DUMMYFUNCTION("""COMPUTED_VALUE"""),17273.0)</f>
        <v>17273</v>
      </c>
      <c r="I8620" s="17"/>
      <c r="J8620" s="17"/>
      <c r="K8620" s="17"/>
      <c r="L8620" s="17">
        <f>IFERROR(__xludf.DUMMYFUNCTION("""COMPUTED_VALUE"""),3.18649839E9)</f>
        <v>3186498390</v>
      </c>
      <c r="M8620" s="17"/>
      <c r="N8620" s="17"/>
      <c r="O8620" s="17"/>
      <c r="P8620" s="17" t="b">
        <f>IFERROR(__xludf.DUMMYFUNCTION("""COMPUTED_VALUE"""),FALSE)</f>
        <v>0</v>
      </c>
      <c r="Q8620" s="20" t="str">
        <f>IFERROR(__xludf.DUMMYFUNCTION("""COMPUTED_VALUE"""),"")</f>
        <v/>
      </c>
      <c r="R8620" s="22" t="str">
        <f>IFERROR(__xludf.DUMMYFUNCTION("""COMPUTED_VALUE"""),"")</f>
        <v/>
      </c>
    </row>
    <row r="8621">
      <c r="A8621" s="15">
        <f>IFERROR(__xludf.DUMMYFUNCTION("""COMPUTED_VALUE"""),45245.0)</f>
        <v>45245</v>
      </c>
      <c r="B8621" s="16" t="str">
        <f>IFERROR(__xludf.DUMMYFUNCTION("""COMPUTED_VALUE"""),"Santiago Garces Restrepo")</f>
        <v>Santiago Garces Restrepo</v>
      </c>
      <c r="C8621" s="15" t="str">
        <f>IFERROR(__xludf.DUMMYFUNCTION("""COMPUTED_VALUE"""),"MEDELLÍN")</f>
        <v>MEDELLÍN</v>
      </c>
      <c r="D8621" s="15" t="str">
        <f>IFERROR(__xludf.DUMMYFUNCTION("""COMPUTED_VALUE"""),"BOGOTÁ")</f>
        <v>BOGOTÁ</v>
      </c>
      <c r="E8621" s="15" t="str">
        <f>IFERROR(__xludf.DUMMYFUNCTION("""COMPUTED_VALUE"""),"MAI ALIMENTOS REALES")</f>
        <v>MAI ALIMENTOS REALES</v>
      </c>
      <c r="F8621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621" s="15" t="str">
        <f>IFERROR(__xludf.DUMMYFUNCTION("""COMPUTED_VALUE"""),"Novaventas")</f>
        <v>Novaventas</v>
      </c>
      <c r="H8621" s="16">
        <f>IFERROR(__xludf.DUMMYFUNCTION("""COMPUTED_VALUE"""),17271.0)</f>
        <v>17271</v>
      </c>
      <c r="I8621" s="17"/>
      <c r="J8621" s="17"/>
      <c r="K8621" s="17"/>
      <c r="L8621" s="17">
        <f>IFERROR(__xludf.DUMMYFUNCTION("""COMPUTED_VALUE"""),3.187351593E9)</f>
        <v>3187351593</v>
      </c>
      <c r="M8621" s="17"/>
      <c r="N8621" s="17"/>
      <c r="O8621" s="17"/>
      <c r="P8621" s="17" t="b">
        <f>IFERROR(__xludf.DUMMYFUNCTION("""COMPUTED_VALUE"""),FALSE)</f>
        <v>0</v>
      </c>
      <c r="Q8621" s="20" t="str">
        <f>IFERROR(__xludf.DUMMYFUNCTION("""COMPUTED_VALUE"""),"")</f>
        <v/>
      </c>
      <c r="R8621" s="21" t="str">
        <f>IFERROR(__xludf.DUMMYFUNCTION("""COMPUTED_VALUE"""),"https://drive.google.com/file/d/1Hk4FtNz6MaYvLoDAilSzQqFSSJ5Fn9NM/view?usp=drivesdk")</f>
        <v>https://drive.google.com/file/d/1Hk4FtNz6MaYvLoDAilSzQqFSSJ5Fn9NM/view?usp=drivesdk</v>
      </c>
    </row>
    <row r="8622">
      <c r="A8622" s="15">
        <f>IFERROR(__xludf.DUMMYFUNCTION("""COMPUTED_VALUE"""),45245.0)</f>
        <v>45245</v>
      </c>
      <c r="B8622" s="16" t="str">
        <f>IFERROR(__xludf.DUMMYFUNCTION("""COMPUTED_VALUE"""),"Santiago Garces Restrepo")</f>
        <v>Santiago Garces Restrepo</v>
      </c>
      <c r="C8622" s="15" t="str">
        <f>IFERROR(__xludf.DUMMYFUNCTION("""COMPUTED_VALUE"""),"MEDELLÍN")</f>
        <v>MEDELLÍN</v>
      </c>
      <c r="D8622" s="15" t="str">
        <f>IFERROR(__xludf.DUMMYFUNCTION("""COMPUTED_VALUE"""),"BOGOTÁ")</f>
        <v>BOGOTÁ</v>
      </c>
      <c r="E8622" s="15" t="str">
        <f>IFERROR(__xludf.DUMMYFUNCTION("""COMPUTED_VALUE"""),"PAN DE WAFFLE")</f>
        <v>PAN DE WAFFLE</v>
      </c>
      <c r="F8622" s="17" t="str">
        <f>IFERROR(__xludf.DUMMYFUNCTION("""COMPUTED_VALUE"""),"FOODOLOGY - MEDELLIN / Carrera 39 # 59 - 32")</f>
        <v>FOODOLOGY - MEDELLIN / Carrera 39 # 59 - 32</v>
      </c>
      <c r="G8622" s="15" t="str">
        <f>IFERROR(__xludf.DUMMYFUNCTION("""COMPUTED_VALUE"""),"FOODOLOGY - MEDELLIN")</f>
        <v>FOODOLOGY - MEDELLIN</v>
      </c>
      <c r="H8622" s="16">
        <f>IFERROR(__xludf.DUMMYFUNCTION("""COMPUTED_VALUE"""),17262.0)</f>
        <v>17262</v>
      </c>
      <c r="I8622" s="17"/>
      <c r="J8622" s="17"/>
      <c r="K8622" s="17"/>
      <c r="L8622" s="17">
        <f>IFERROR(__xludf.DUMMYFUNCTION("""COMPUTED_VALUE"""),3.123558292E9)</f>
        <v>3123558292</v>
      </c>
      <c r="M8622" s="17"/>
      <c r="N8622" s="17"/>
      <c r="O8622" s="17"/>
      <c r="P8622" s="17" t="b">
        <f>IFERROR(__xludf.DUMMYFUNCTION("""COMPUTED_VALUE"""),FALSE)</f>
        <v>0</v>
      </c>
      <c r="Q8622" s="20" t="str">
        <f>IFERROR(__xludf.DUMMYFUNCTION("""COMPUTED_VALUE"""),"")</f>
        <v/>
      </c>
      <c r="R8622" s="21" t="str">
        <f>IFERROR(__xludf.DUMMYFUNCTION("""COMPUTED_VALUE"""),"https://drive.google.com/file/d/1B0_fpHqH-8aAh_CTQ7l1GMHV4rKq0hp-/view?usp=drivesdk")</f>
        <v>https://drive.google.com/file/d/1B0_fpHqH-8aAh_CTQ7l1GMHV4rKq0hp-/view?usp=drivesdk</v>
      </c>
    </row>
    <row r="8623">
      <c r="A8623" s="17" t="str">
        <f>IFERROR(__xludf.DUMMYFUNCTION("""COMPUTED_VALUE"""),"")</f>
        <v/>
      </c>
      <c r="B8623" s="17" t="str">
        <f>IFERROR(__xludf.DUMMYFUNCTION("""COMPUTED_VALUE"""),"")</f>
        <v/>
      </c>
      <c r="C8623" s="17" t="str">
        <f>IFERROR(__xludf.DUMMYFUNCTION("""COMPUTED_VALUE"""),"")</f>
        <v/>
      </c>
      <c r="D8623" s="17" t="str">
        <f>IFERROR(__xludf.DUMMYFUNCTION("""COMPUTED_VALUE"""),"")</f>
        <v/>
      </c>
      <c r="E8623" s="17" t="str">
        <f>IFERROR(__xludf.DUMMYFUNCTION("""COMPUTED_VALUE"""),"")</f>
        <v/>
      </c>
      <c r="F8623" s="17" t="str">
        <f>IFERROR(__xludf.DUMMYFUNCTION("""COMPUTED_VALUE"""),"")</f>
        <v/>
      </c>
      <c r="G8623" s="17" t="str">
        <f>IFERROR(__xludf.DUMMYFUNCTION("""COMPUTED_VALUE"""),"")</f>
        <v/>
      </c>
      <c r="H8623" s="17" t="str">
        <f>IFERROR(__xludf.DUMMYFUNCTION("""COMPUTED_VALUE"""),"")</f>
        <v/>
      </c>
      <c r="I8623" s="17" t="str">
        <f>IFERROR(__xludf.DUMMYFUNCTION("""COMPUTED_VALUE"""),"")</f>
        <v/>
      </c>
      <c r="J8623" s="17" t="str">
        <f>IFERROR(__xludf.DUMMYFUNCTION("""COMPUTED_VALUE"""),"")</f>
        <v/>
      </c>
      <c r="K8623" s="17" t="str">
        <f>IFERROR(__xludf.DUMMYFUNCTION("""COMPUTED_VALUE"""),"")</f>
        <v/>
      </c>
      <c r="L8623" s="17" t="str">
        <f>IFERROR(__xludf.DUMMYFUNCTION("""COMPUTED_VALUE"""),"")</f>
        <v/>
      </c>
      <c r="M8623" s="17" t="str">
        <f>IFERROR(__xludf.DUMMYFUNCTION("""COMPUTED_VALUE"""),"")</f>
        <v/>
      </c>
      <c r="N8623" s="17" t="str">
        <f>IFERROR(__xludf.DUMMYFUNCTION("""COMPUTED_VALUE"""),"")</f>
        <v/>
      </c>
      <c r="O8623" s="17" t="str">
        <f>IFERROR(__xludf.DUMMYFUNCTION("""COMPUTED_VALUE"""),"")</f>
        <v/>
      </c>
      <c r="P8623" s="17" t="str">
        <f>IFERROR(__xludf.DUMMYFUNCTION("""COMPUTED_VALUE"""),"")</f>
        <v/>
      </c>
      <c r="Q8623" s="17" t="str">
        <f>IFERROR(__xludf.DUMMYFUNCTION("""COMPUTED_VALUE"""),"")</f>
        <v/>
      </c>
      <c r="R8623" s="17" t="str">
        <f>IFERROR(__xludf.DUMMYFUNCTION("""COMPUTED_VALUE"""),"")</f>
        <v/>
      </c>
    </row>
    <row r="8624">
      <c r="A8624" s="15">
        <f>IFERROR(__xludf.DUMMYFUNCTION("""COMPUTED_VALUE"""),45246.0)</f>
        <v>45246</v>
      </c>
      <c r="B8624" s="16" t="str">
        <f>IFERROR(__xludf.DUMMYFUNCTION("""COMPUTED_VALUE"""),"Daniel José sandoval gonzalez")</f>
        <v>Daniel José sandoval gonzalez</v>
      </c>
      <c r="C8624" s="15" t="str">
        <f>IFERROR(__xludf.DUMMYFUNCTION("""COMPUTED_VALUE"""),"BARRANQUILLA")</f>
        <v>BARRANQUILLA</v>
      </c>
      <c r="D8624" s="15" t="str">
        <f>IFERROR(__xludf.DUMMYFUNCTION("""COMPUTED_VALUE"""),"BOGOTÁ")</f>
        <v>BOGOTÁ</v>
      </c>
      <c r="E8624" s="15" t="str">
        <f>IFERROR(__xludf.DUMMYFUNCTION("""COMPUTED_VALUE"""),"Banana Bread")</f>
        <v>Banana Bread</v>
      </c>
      <c r="F8624" s="17" t="str">
        <f>IFERROR(__xludf.DUMMYFUNCTION("""COMPUTED_VALUE""")," TV1B sur #68B-30 apto 102 torre 4 conjunto Palma, ciudad Salitre,  Soledad  /  TV1B sur #68B-30 apto 102 torre 4 conjunto Palma, ciudad Salitre,  Soledad  / conjunto Palma, ciudad Salitre,  Soledad ")</f>
        <v> TV1B sur #68B-30 apto 102 torre 4 conjunto Palma, ciudad Salitre,  Soledad  /  TV1B sur #68B-30 apto 102 torre 4 conjunto Palma, ciudad Salitre,  Soledad  / conjunto Palma, ciudad Salitre,  Soledad </v>
      </c>
      <c r="G8624" s="15" t="str">
        <f>IFERROR(__xludf.DUMMYFUNCTION("""COMPUTED_VALUE"""),"SHIRLEY CONDE ")</f>
        <v>SHIRLEY CONDE </v>
      </c>
      <c r="H8624" s="16">
        <f>IFERROR(__xludf.DUMMYFUNCTION("""COMPUTED_VALUE"""),17320.0)</f>
        <v>17320</v>
      </c>
      <c r="I8624" s="18">
        <f>IFERROR(__xludf.DUMMYFUNCTION("""COMPUTED_VALUE"""),8.0)</f>
        <v>8</v>
      </c>
      <c r="J8624" s="18">
        <f>IFERROR(__xludf.DUMMYFUNCTION("""COMPUTED_VALUE"""),22.0)</f>
        <v>22</v>
      </c>
      <c r="K8624" s="18">
        <f>IFERROR(__xludf.DUMMYFUNCTION("""COMPUTED_VALUE"""),22.0)</f>
        <v>22</v>
      </c>
      <c r="L8624" s="17">
        <f>IFERROR(__xludf.DUMMYFUNCTION("""COMPUTED_VALUE"""),3.228979778E9)</f>
        <v>3228979778</v>
      </c>
      <c r="M8624" s="17"/>
      <c r="N8624" s="17"/>
      <c r="O8624" s="17"/>
      <c r="P8624" s="17" t="b">
        <f>IFERROR(__xludf.DUMMYFUNCTION("""COMPUTED_VALUE"""),FALSE)</f>
        <v>0</v>
      </c>
      <c r="Q8624" s="20" t="str">
        <f>IFERROR(__xludf.DUMMYFUNCTION("""COMPUTED_VALUE"""),"")</f>
        <v/>
      </c>
      <c r="R8624" s="21" t="str">
        <f>IFERROR(__xludf.DUMMYFUNCTION("""COMPUTED_VALUE"""),"https://drive.google.com/file/d/1EDC99LfpDW99fzATRguzaR9S_089kQ5s/view?usp=drivesdk")</f>
        <v>https://drive.google.com/file/d/1EDC99LfpDW99fzATRguzaR9S_089kQ5s/view?usp=drivesdk</v>
      </c>
    </row>
    <row r="8625">
      <c r="A8625" s="15">
        <f>IFERROR(__xludf.DUMMYFUNCTION("""COMPUTED_VALUE"""),45246.0)</f>
        <v>45246</v>
      </c>
      <c r="B8625" s="16" t="str">
        <f>IFERROR(__xludf.DUMMYFUNCTION("""COMPUTED_VALUE"""),"Daniel José sandoval gonzalez")</f>
        <v>Daniel José sandoval gonzalez</v>
      </c>
      <c r="C8625" s="15" t="str">
        <f>IFERROR(__xludf.DUMMYFUNCTION("""COMPUTED_VALUE"""),"BARRANQUILLA")</f>
        <v>BARRANQUILLA</v>
      </c>
      <c r="D8625" s="15" t="str">
        <f>IFERROR(__xludf.DUMMYFUNCTION("""COMPUTED_VALUE"""),"BOGOTÁ")</f>
        <v>BOGOTÁ</v>
      </c>
      <c r="E8625" s="15" t="str">
        <f>IFERROR(__xludf.DUMMYFUNCTION("""COMPUTED_VALUE"""),"Hiiva Fermentados SAS")</f>
        <v>Hiiva Fermentados SAS</v>
      </c>
      <c r="F8625" s="17" t="str">
        <f>IFERROR(__xludf.DUMMYFUNCTION("""COMPUTED_VALUE"""),"Cra 4A 33 125 / Casa blanca rejas blancas")</f>
        <v>Cra 4A 33 125 / Casa blanca rejas blancas</v>
      </c>
      <c r="G8625" s="15" t="str">
        <f>IFERROR(__xludf.DUMMYFUNCTION("""COMPUTED_VALUE"""),"BAQ - Maria Redondo")</f>
        <v>BAQ - Maria Redondo</v>
      </c>
      <c r="H8625" s="16">
        <f>IFERROR(__xludf.DUMMYFUNCTION("""COMPUTED_VALUE"""),17356.0)</f>
        <v>17356</v>
      </c>
      <c r="I8625" s="17"/>
      <c r="J8625" s="17"/>
      <c r="K8625" s="17"/>
      <c r="L8625" s="17">
        <f>IFERROR(__xludf.DUMMYFUNCTION("""COMPUTED_VALUE"""),3.012630998E9)</f>
        <v>3012630998</v>
      </c>
      <c r="M8625" s="17"/>
      <c r="N8625" s="17"/>
      <c r="O8625" s="17"/>
      <c r="P8625" s="17" t="b">
        <f>IFERROR(__xludf.DUMMYFUNCTION("""COMPUTED_VALUE"""),FALSE)</f>
        <v>0</v>
      </c>
      <c r="Q8625" s="20" t="str">
        <f>IFERROR(__xludf.DUMMYFUNCTION("""COMPUTED_VALUE"""),"")</f>
        <v/>
      </c>
      <c r="R8625" s="21" t="str">
        <f>IFERROR(__xludf.DUMMYFUNCTION("""COMPUTED_VALUE"""),"https://drive.google.com/file/d/1DrdVvpwHKEfAjmUM3fqS_-vwRY-Kr4Cc/view?usp=drivesdk")</f>
        <v>https://drive.google.com/file/d/1DrdVvpwHKEfAjmUM3fqS_-vwRY-Kr4Cc/view?usp=drivesdk</v>
      </c>
    </row>
    <row r="8626">
      <c r="A8626" s="15">
        <f>IFERROR(__xludf.DUMMYFUNCTION("""COMPUTED_VALUE"""),45246.0)</f>
        <v>45246</v>
      </c>
      <c r="B8626" s="16" t="str">
        <f>IFERROR(__xludf.DUMMYFUNCTION("""COMPUTED_VALUE"""),"Daniel José sandoval gonzalez")</f>
        <v>Daniel José sandoval gonzalez</v>
      </c>
      <c r="C8626" s="15" t="str">
        <f>IFERROR(__xludf.DUMMYFUNCTION("""COMPUTED_VALUE"""),"BARRANQUILLA")</f>
        <v>BARRANQUILLA</v>
      </c>
      <c r="D8626" s="15" t="str">
        <f>IFERROR(__xludf.DUMMYFUNCTION("""COMPUTED_VALUE"""),"BOGOTÁ")</f>
        <v>BOGOTÁ</v>
      </c>
      <c r="E8626" s="15" t="str">
        <f>IFERROR(__xludf.DUMMYFUNCTION("""COMPUTED_VALUE"""),"LINA PAOLA RAMIREZ GOMEZ - EVA MAZZITA")</f>
        <v>LINA PAOLA RAMIREZ GOMEZ - EVA MAZZITA</v>
      </c>
      <c r="F8626" s="17" t="str">
        <f>IFERROR(__xludf.DUMMYFUNCTION("""COMPUTED_VALUE"""),"Calle 94 #47-56 / barrio el poblado")</f>
        <v>Calle 94 #47-56 / barrio el poblado</v>
      </c>
      <c r="G8626" s="15" t="str">
        <f>IFERROR(__xludf.DUMMYFUNCTION("""COMPUTED_VALUE"""),"KAREN OSMA")</f>
        <v>KAREN OSMA</v>
      </c>
      <c r="H8626" s="16">
        <f>IFERROR(__xludf.DUMMYFUNCTION("""COMPUTED_VALUE"""),17331.0)</f>
        <v>17331</v>
      </c>
      <c r="I8626" s="17"/>
      <c r="J8626" s="17"/>
      <c r="K8626" s="17"/>
      <c r="L8626" s="17">
        <f>IFERROR(__xludf.DUMMYFUNCTION("""COMPUTED_VALUE"""),3.164603488E9)</f>
        <v>3164603488</v>
      </c>
      <c r="M8626" s="17"/>
      <c r="N8626" s="17"/>
      <c r="O8626" s="17"/>
      <c r="P8626" s="17" t="b">
        <f>IFERROR(__xludf.DUMMYFUNCTION("""COMPUTED_VALUE"""),FALSE)</f>
        <v>0</v>
      </c>
      <c r="Q8626" s="20" t="str">
        <f>IFERROR(__xludf.DUMMYFUNCTION("""COMPUTED_VALUE"""),"")</f>
        <v/>
      </c>
      <c r="R8626" s="21" t="str">
        <f>IFERROR(__xludf.DUMMYFUNCTION("""COMPUTED_VALUE"""),"https://drive.google.com/file/d/1E2Y6jkycN4iVPGbzpBNnqdzy-n9_6jSl/view?usp=drivesdk")</f>
        <v>https://drive.google.com/file/d/1E2Y6jkycN4iVPGbzpBNnqdzy-n9_6jSl/view?usp=drivesdk</v>
      </c>
    </row>
    <row r="8627">
      <c r="A8627" s="15">
        <f>IFERROR(__xludf.DUMMYFUNCTION("""COMPUTED_VALUE"""),45246.0)</f>
        <v>45246</v>
      </c>
      <c r="B8627" s="16" t="str">
        <f>IFERROR(__xludf.DUMMYFUNCTION("""COMPUTED_VALUE"""),"Daniel José sandoval gonzalez")</f>
        <v>Daniel José sandoval gonzalez</v>
      </c>
      <c r="C8627" s="15" t="str">
        <f>IFERROR(__xludf.DUMMYFUNCTION("""COMPUTED_VALUE"""),"BARRANQUILLA")</f>
        <v>BARRANQUILLA</v>
      </c>
      <c r="D8627" s="15" t="str">
        <f>IFERROR(__xludf.DUMMYFUNCTION("""COMPUTED_VALUE"""),"BOGOTÁ")</f>
        <v>BOGOTÁ</v>
      </c>
      <c r="E8627" s="15" t="str">
        <f>IFERROR(__xludf.DUMMYFUNCTION("""COMPUTED_VALUE"""),"LINA PAOLA RAMIREZ GOMEZ - EVA MAZZITA")</f>
        <v>LINA PAOLA RAMIREZ GOMEZ - EVA MAZZITA</v>
      </c>
      <c r="F8627" s="17" t="str">
        <f>IFERROR(__xludf.DUMMYFUNCTION("""COMPUTED_VALUE"""),"CARRERA 34 # 65 - 35 APTO. 1B / BARRIO RECREO")</f>
        <v>CARRERA 34 # 65 - 35 APTO. 1B / BARRIO RECREO</v>
      </c>
      <c r="G8627" s="15" t="str">
        <f>IFERROR(__xludf.DUMMYFUNCTION("""COMPUTED_VALUE"""),"ALEXANDRA VASQUEZ")</f>
        <v>ALEXANDRA VASQUEZ</v>
      </c>
      <c r="H8627" s="16">
        <f>IFERROR(__xludf.DUMMYFUNCTION("""COMPUTED_VALUE"""),17333.0)</f>
        <v>17333</v>
      </c>
      <c r="I8627" s="17"/>
      <c r="J8627" s="17"/>
      <c r="K8627" s="17"/>
      <c r="L8627" s="17">
        <f>IFERROR(__xludf.DUMMYFUNCTION("""COMPUTED_VALUE"""),3.014597718E9)</f>
        <v>3014597718</v>
      </c>
      <c r="M8627" s="17"/>
      <c r="N8627" s="17"/>
      <c r="O8627" s="17"/>
      <c r="P8627" s="17" t="b">
        <f>IFERROR(__xludf.DUMMYFUNCTION("""COMPUTED_VALUE"""),FALSE)</f>
        <v>0</v>
      </c>
      <c r="Q8627" s="20" t="str">
        <f>IFERROR(__xludf.DUMMYFUNCTION("""COMPUTED_VALUE"""),"")</f>
        <v/>
      </c>
      <c r="R8627" s="21" t="str">
        <f>IFERROR(__xludf.DUMMYFUNCTION("""COMPUTED_VALUE"""),"https://drive.google.com/file/d/1Ti77O7Mz0gdGXBwIQMl-_L1MTqySO0sz/view?usp=drivesdk")</f>
        <v>https://drive.google.com/file/d/1Ti77O7Mz0gdGXBwIQMl-_L1MTqySO0sz/view?usp=drivesdk</v>
      </c>
    </row>
    <row r="8628">
      <c r="A8628" s="15">
        <f>IFERROR(__xludf.DUMMYFUNCTION("""COMPUTED_VALUE"""),45246.0)</f>
        <v>45246</v>
      </c>
      <c r="B8628" s="16" t="str">
        <f>IFERROR(__xludf.DUMMYFUNCTION("""COMPUTED_VALUE"""),"Daniel José sandoval gonzalez")</f>
        <v>Daniel José sandoval gonzalez</v>
      </c>
      <c r="C8628" s="15" t="str">
        <f>IFERROR(__xludf.DUMMYFUNCTION("""COMPUTED_VALUE"""),"RIONEGRO")</f>
        <v>RIONEGRO</v>
      </c>
      <c r="D8628" s="15" t="str">
        <f>IFERROR(__xludf.DUMMYFUNCTION("""COMPUTED_VALUE"""),"BOGOTÁ")</f>
        <v>BOGOTÁ</v>
      </c>
      <c r="E8628" s="15" t="str">
        <f>IFERROR(__xludf.DUMMYFUNCTION("""COMPUTED_VALUE"""),"Hiiva Fermentados SAS")</f>
        <v>Hiiva Fermentados SAS</v>
      </c>
      <c r="F8628" s="17" t="str">
        <f>IFERROR(__xludf.DUMMYFUNCTION("""COMPUTED_VALUE"""),"Km 8.5 vía Llanogrande – Rionegro / Tienda Kanu")</f>
        <v>Km 8.5 vía Llanogrande – Rionegro / Tienda Kanu</v>
      </c>
      <c r="G8628" s="15" t="str">
        <f>IFERROR(__xludf.DUMMYFUNCTION("""COMPUTED_VALUE"""),"Tienda Kanu, Jorge Daza")</f>
        <v>Tienda Kanu, Jorge Daza</v>
      </c>
      <c r="H8628" s="16">
        <f>IFERROR(__xludf.DUMMYFUNCTION("""COMPUTED_VALUE"""),17353.0)</f>
        <v>17353</v>
      </c>
      <c r="I8628" s="17"/>
      <c r="J8628" s="17"/>
      <c r="K8628" s="17"/>
      <c r="L8628" s="17">
        <f>IFERROR(__xludf.DUMMYFUNCTION("""COMPUTED_VALUE"""),3.16693357E9)</f>
        <v>3166933570</v>
      </c>
      <c r="M8628" s="17"/>
      <c r="N8628" s="17"/>
      <c r="O8628" s="17"/>
      <c r="P8628" s="17" t="b">
        <f>IFERROR(__xludf.DUMMYFUNCTION("""COMPUTED_VALUE"""),FALSE)</f>
        <v>0</v>
      </c>
      <c r="Q8628" s="20" t="str">
        <f>IFERROR(__xludf.DUMMYFUNCTION("""COMPUTED_VALUE"""),"")</f>
        <v/>
      </c>
      <c r="R8628" s="21" t="str">
        <f>IFERROR(__xludf.DUMMYFUNCTION("""COMPUTED_VALUE"""),"https://drive.google.com/file/d/1hCdHPlz736thdN-NAKDVmt2q5wwQ0DMH/view?usp=drivesdk")</f>
        <v>https://drive.google.com/file/d/1hCdHPlz736thdN-NAKDVmt2q5wwQ0DMH/view?usp=drivesdk</v>
      </c>
    </row>
    <row r="8629">
      <c r="A8629" s="17" t="str">
        <f>IFERROR(__xludf.DUMMYFUNCTION("""COMPUTED_VALUE"""),"")</f>
        <v/>
      </c>
      <c r="B8629" s="17" t="str">
        <f>IFERROR(__xludf.DUMMYFUNCTION("""COMPUTED_VALUE"""),"")</f>
        <v/>
      </c>
      <c r="C8629" s="17" t="str">
        <f>IFERROR(__xludf.DUMMYFUNCTION("""COMPUTED_VALUE"""),"")</f>
        <v/>
      </c>
      <c r="D8629" s="17" t="str">
        <f>IFERROR(__xludf.DUMMYFUNCTION("""COMPUTED_VALUE"""),"")</f>
        <v/>
      </c>
      <c r="E8629" s="17" t="str">
        <f>IFERROR(__xludf.DUMMYFUNCTION("""COMPUTED_VALUE"""),"")</f>
        <v/>
      </c>
      <c r="F8629" s="17" t="str">
        <f>IFERROR(__xludf.DUMMYFUNCTION("""COMPUTED_VALUE"""),"")</f>
        <v/>
      </c>
      <c r="G8629" s="17" t="str">
        <f>IFERROR(__xludf.DUMMYFUNCTION("""COMPUTED_VALUE"""),"")</f>
        <v/>
      </c>
      <c r="H8629" s="17" t="str">
        <f>IFERROR(__xludf.DUMMYFUNCTION("""COMPUTED_VALUE"""),"")</f>
        <v/>
      </c>
      <c r="I8629" s="17" t="str">
        <f>IFERROR(__xludf.DUMMYFUNCTION("""COMPUTED_VALUE"""),"")</f>
        <v/>
      </c>
      <c r="J8629" s="17" t="str">
        <f>IFERROR(__xludf.DUMMYFUNCTION("""COMPUTED_VALUE"""),"")</f>
        <v/>
      </c>
      <c r="K8629" s="17" t="str">
        <f>IFERROR(__xludf.DUMMYFUNCTION("""COMPUTED_VALUE"""),"")</f>
        <v/>
      </c>
      <c r="L8629" s="17" t="str">
        <f>IFERROR(__xludf.DUMMYFUNCTION("""COMPUTED_VALUE"""),"")</f>
        <v/>
      </c>
      <c r="M8629" s="17" t="str">
        <f>IFERROR(__xludf.DUMMYFUNCTION("""COMPUTED_VALUE"""),"")</f>
        <v/>
      </c>
      <c r="N8629" s="17" t="str">
        <f>IFERROR(__xludf.DUMMYFUNCTION("""COMPUTED_VALUE"""),"")</f>
        <v/>
      </c>
      <c r="O8629" s="17" t="str">
        <f>IFERROR(__xludf.DUMMYFUNCTION("""COMPUTED_VALUE"""),"")</f>
        <v/>
      </c>
      <c r="P8629" s="17" t="str">
        <f>IFERROR(__xludf.DUMMYFUNCTION("""COMPUTED_VALUE"""),"")</f>
        <v/>
      </c>
      <c r="Q8629" s="17" t="str">
        <f>IFERROR(__xludf.DUMMYFUNCTION("""COMPUTED_VALUE"""),"")</f>
        <v/>
      </c>
      <c r="R8629" s="17" t="str">
        <f>IFERROR(__xludf.DUMMYFUNCTION("""COMPUTED_VALUE"""),"")</f>
        <v/>
      </c>
    </row>
    <row r="8630">
      <c r="A8630" s="15">
        <f>IFERROR(__xludf.DUMMYFUNCTION("""COMPUTED_VALUE"""),45246.0)</f>
        <v>45246</v>
      </c>
      <c r="B8630" s="16" t="str">
        <f>IFERROR(__xludf.DUMMYFUNCTION("""COMPUTED_VALUE"""),"Envia")</f>
        <v>Envia</v>
      </c>
      <c r="C8630" s="15" t="str">
        <f>IFERROR(__xludf.DUMMYFUNCTION("""COMPUTED_VALUE"""),"ARMENIA")</f>
        <v>ARMENIA</v>
      </c>
      <c r="D8630" s="15" t="str">
        <f>IFERROR(__xludf.DUMMYFUNCTION("""COMPUTED_VALUE"""),"BOGOTÁ")</f>
        <v>BOGOTÁ</v>
      </c>
      <c r="E8630" s="15" t="str">
        <f>IFERROR(__xludf.DUMMYFUNCTION("""COMPUTED_VALUE"""),"Premium Choice")</f>
        <v>Premium Choice</v>
      </c>
      <c r="F8630" s="17" t="str">
        <f>IFERROR(__xludf.DUMMYFUNCTION("""COMPUTED_VALUE"""),"Calle 22 norte # 14 - 31  / Súper mercado  / Laureles ")</f>
        <v>Calle 22 norte # 14 - 31  / Súper mercado  / Laureles </v>
      </c>
      <c r="G8630" s="15" t="str">
        <f>IFERROR(__xludf.DUMMYFUNCTION("""COMPUTED_VALUE"""),"Laureles norte ")</f>
        <v>Laureles norte </v>
      </c>
      <c r="H8630" s="16">
        <f>IFERROR(__xludf.DUMMYFUNCTION("""COMPUTED_VALUE"""),17302.0)</f>
        <v>17302</v>
      </c>
      <c r="I8630" s="18">
        <f>IFERROR(__xludf.DUMMYFUNCTION("""COMPUTED_VALUE"""),30.0)</f>
        <v>30</v>
      </c>
      <c r="J8630" s="18">
        <f>IFERROR(__xludf.DUMMYFUNCTION("""COMPUTED_VALUE"""),30.0)</f>
        <v>30</v>
      </c>
      <c r="K8630" s="18">
        <f>IFERROR(__xludf.DUMMYFUNCTION("""COMPUTED_VALUE"""),30.0)</f>
        <v>30</v>
      </c>
      <c r="L8630" s="17">
        <f>IFERROR(__xludf.DUMMYFUNCTION("""COMPUTED_VALUE"""),3.102170999E9)</f>
        <v>3102170999</v>
      </c>
      <c r="M8630" s="17"/>
      <c r="N8630" s="17"/>
      <c r="O8630" s="17"/>
      <c r="P8630" s="17" t="b">
        <f>IFERROR(__xludf.DUMMYFUNCTION("""COMPUTED_VALUE"""),FALSE)</f>
        <v>0</v>
      </c>
      <c r="Q8630" s="20" t="str">
        <f>IFERROR(__xludf.DUMMYFUNCTION("""COMPUTED_VALUE"""),"")</f>
        <v/>
      </c>
      <c r="R8630" s="21" t="str">
        <f>IFERROR(__xludf.DUMMYFUNCTION("""COMPUTED_VALUE"""),"https://drive.google.com/file/d/1z2vMQRSa-TdInUVUQTJKxV1Ty6uYlV9_/view?usp=drivesdk")</f>
        <v>https://drive.google.com/file/d/1z2vMQRSa-TdInUVUQTJKxV1Ty6uYlV9_/view?usp=drivesdk</v>
      </c>
    </row>
    <row r="8631">
      <c r="A8631" s="15">
        <f>IFERROR(__xludf.DUMMYFUNCTION("""COMPUTED_VALUE"""),45246.0)</f>
        <v>45246</v>
      </c>
      <c r="B8631" s="16" t="str">
        <f>IFERROR(__xludf.DUMMYFUNCTION("""COMPUTED_VALUE"""),"Envia")</f>
        <v>Envia</v>
      </c>
      <c r="C8631" s="15" t="str">
        <f>IFERROR(__xludf.DUMMYFUNCTION("""COMPUTED_VALUE"""),"ARMENIA")</f>
        <v>ARMENIA</v>
      </c>
      <c r="D8631" s="15" t="str">
        <f>IFERROR(__xludf.DUMMYFUNCTION("""COMPUTED_VALUE"""),"BOGOTÁ")</f>
        <v>BOGOTÁ</v>
      </c>
      <c r="E8631" s="15" t="str">
        <f>IFERROR(__xludf.DUMMYFUNCTION("""COMPUTED_VALUE"""),"Premium Choice")</f>
        <v>Premium Choice</v>
      </c>
      <c r="F8631" s="17" t="str">
        <f>IFERROR(__xludf.DUMMYFUNCTION("""COMPUTED_VALUE"""),"Km 10 vía tebaida frente al club campestre  / Súper mercado  / Laureles ")</f>
        <v>Km 10 vía tebaida frente al club campestre  / Súper mercado  / Laureles </v>
      </c>
      <c r="G8631" s="15" t="str">
        <f>IFERROR(__xludf.DUMMYFUNCTION("""COMPUTED_VALUE"""),"Laureles mall paraíso ")</f>
        <v>Laureles mall paraíso </v>
      </c>
      <c r="H8631" s="16">
        <f>IFERROR(__xludf.DUMMYFUNCTION("""COMPUTED_VALUE"""),17301.0)</f>
        <v>17301</v>
      </c>
      <c r="I8631" s="18">
        <f>IFERROR(__xludf.DUMMYFUNCTION("""COMPUTED_VALUE"""),30.0)</f>
        <v>30</v>
      </c>
      <c r="J8631" s="18">
        <f>IFERROR(__xludf.DUMMYFUNCTION("""COMPUTED_VALUE"""),30.0)</f>
        <v>30</v>
      </c>
      <c r="K8631" s="18">
        <f>IFERROR(__xludf.DUMMYFUNCTION("""COMPUTED_VALUE"""),30.0)</f>
        <v>30</v>
      </c>
      <c r="L8631" s="17">
        <f>IFERROR(__xludf.DUMMYFUNCTION("""COMPUTED_VALUE"""),3.102170999E9)</f>
        <v>3102170999</v>
      </c>
      <c r="M8631" s="17"/>
      <c r="N8631" s="17"/>
      <c r="O8631" s="17"/>
      <c r="P8631" s="17" t="b">
        <f>IFERROR(__xludf.DUMMYFUNCTION("""COMPUTED_VALUE"""),FALSE)</f>
        <v>0</v>
      </c>
      <c r="Q8631" s="20" t="str">
        <f>IFERROR(__xludf.DUMMYFUNCTION("""COMPUTED_VALUE"""),"")</f>
        <v/>
      </c>
      <c r="R8631" s="21" t="str">
        <f>IFERROR(__xludf.DUMMYFUNCTION("""COMPUTED_VALUE"""),"https://drive.google.com/file/d/1VcYPXpCHi8OSAXM7Djq6grp_8r-pDRoQ/view?usp=drivesdk")</f>
        <v>https://drive.google.com/file/d/1VcYPXpCHi8OSAXM7Djq6grp_8r-pDRoQ/view?usp=drivesdk</v>
      </c>
    </row>
    <row r="8632">
      <c r="A8632" s="15">
        <f>IFERROR(__xludf.DUMMYFUNCTION("""COMPUTED_VALUE"""),45246.0)</f>
        <v>45246</v>
      </c>
      <c r="B8632" s="16" t="str">
        <f>IFERROR(__xludf.DUMMYFUNCTION("""COMPUTED_VALUE"""),"Envia")</f>
        <v>Envia</v>
      </c>
      <c r="C8632" s="15" t="str">
        <f>IFERROR(__xludf.DUMMYFUNCTION("""COMPUTED_VALUE"""),"BARRANQUILLA")</f>
        <v>BARRANQUILLA</v>
      </c>
      <c r="D8632" s="15" t="str">
        <f>IFERROR(__xludf.DUMMYFUNCTION("""COMPUTED_VALUE"""),"BOGOTÁ")</f>
        <v>BOGOTÁ</v>
      </c>
      <c r="E8632" s="15" t="str">
        <f>IFERROR(__xludf.DUMMYFUNCTION("""COMPUTED_VALUE"""),"LINA PAOLA RAMIREZ GOMEZ - EVA MAZZITA")</f>
        <v>LINA PAOLA RAMIREZ GOMEZ - EVA MAZZITA</v>
      </c>
      <c r="F8632" s="17" t="str">
        <f>IFERROR(__xludf.DUMMYFUNCTION("""COMPUTED_VALUE"""),"cra 44 # 85 - 130, apto 701 / edificio Évora 85 Barrio La campiña")</f>
        <v>cra 44 # 85 - 130, apto 701 / edificio Évora 85 Barrio La campiña</v>
      </c>
      <c r="G8632" s="15" t="str">
        <f>IFERROR(__xludf.DUMMYFUNCTION("""COMPUTED_VALUE"""),"SANDRA HAMBURGER ACOSTA")</f>
        <v>SANDRA HAMBURGER ACOSTA</v>
      </c>
      <c r="H8632" s="16">
        <f>IFERROR(__xludf.DUMMYFUNCTION("""COMPUTED_VALUE"""),17332.0)</f>
        <v>17332</v>
      </c>
      <c r="I8632" s="17"/>
      <c r="J8632" s="17"/>
      <c r="K8632" s="17"/>
      <c r="L8632" s="17">
        <f>IFERROR(__xludf.DUMMYFUNCTION("""COMPUTED_VALUE"""),3.00893007E9)</f>
        <v>3008930070</v>
      </c>
      <c r="M8632" s="17"/>
      <c r="N8632" s="17"/>
      <c r="O8632" s="17"/>
      <c r="P8632" s="17" t="b">
        <f>IFERROR(__xludf.DUMMYFUNCTION("""COMPUTED_VALUE"""),FALSE)</f>
        <v>0</v>
      </c>
      <c r="Q8632" s="20" t="str">
        <f>IFERROR(__xludf.DUMMYFUNCTION("""COMPUTED_VALUE"""),"")</f>
        <v/>
      </c>
      <c r="R8632" s="21" t="str">
        <f>IFERROR(__xludf.DUMMYFUNCTION("""COMPUTED_VALUE"""),"https://drive.google.com/file/d/1O_cckPy03DVTkOTiI2uj07kSE1iFoQ1i/view?usp=drivesdk")</f>
        <v>https://drive.google.com/file/d/1O_cckPy03DVTkOTiI2uj07kSE1iFoQ1i/view?usp=drivesdk</v>
      </c>
    </row>
    <row r="8633">
      <c r="A8633" s="15">
        <f>IFERROR(__xludf.DUMMYFUNCTION("""COMPUTED_VALUE"""),45246.0)</f>
        <v>45246</v>
      </c>
      <c r="B8633" s="16" t="str">
        <f>IFERROR(__xludf.DUMMYFUNCTION("""COMPUTED_VALUE"""),"Envia")</f>
        <v>Envia</v>
      </c>
      <c r="C8633" s="15" t="str">
        <f>IFERROR(__xludf.DUMMYFUNCTION("""COMPUTED_VALUE"""),"BARRANQUILLA")</f>
        <v>BARRANQUILLA</v>
      </c>
      <c r="D8633" s="15" t="str">
        <f>IFERROR(__xludf.DUMMYFUNCTION("""COMPUTED_VALUE"""),"BOGOTÁ")</f>
        <v>BOGOTÁ</v>
      </c>
      <c r="E8633" s="15" t="str">
        <f>IFERROR(__xludf.DUMMYFUNCTION("""COMPUTED_VALUE"""),"PAN DE WAFFLE")</f>
        <v>PAN DE WAFFLE</v>
      </c>
      <c r="F8633" s="17" t="str">
        <f>IFERROR(__xludf.DUMMYFUNCTION("""COMPUTED_VALUE"""),"Carrera 45 # 85 - 168 / Carrera 45 # 85 - 168")</f>
        <v>Carrera 45 # 85 - 168 / Carrera 45 # 85 - 168</v>
      </c>
      <c r="G8633" s="15" t="str">
        <f>IFERROR(__xludf.DUMMYFUNCTION("""COMPUTED_VALUE"""),"FOODOLOGY B/QUILLA")</f>
        <v>FOODOLOGY B/QUILLA</v>
      </c>
      <c r="H8633" s="16">
        <f>IFERROR(__xludf.DUMMYFUNCTION("""COMPUTED_VALUE"""),17312.0)</f>
        <v>17312</v>
      </c>
      <c r="I8633" s="17"/>
      <c r="J8633" s="17"/>
      <c r="K8633" s="17"/>
      <c r="L8633" s="17">
        <f>IFERROR(__xludf.DUMMYFUNCTION("""COMPUTED_VALUE"""),3.017001909E9)</f>
        <v>3017001909</v>
      </c>
      <c r="M8633" s="17"/>
      <c r="N8633" s="17"/>
      <c r="O8633" s="17"/>
      <c r="P8633" s="17" t="b">
        <f>IFERROR(__xludf.DUMMYFUNCTION("""COMPUTED_VALUE"""),FALSE)</f>
        <v>0</v>
      </c>
      <c r="Q8633" s="20" t="str">
        <f>IFERROR(__xludf.DUMMYFUNCTION("""COMPUTED_VALUE"""),"")</f>
        <v/>
      </c>
      <c r="R8633" s="21" t="str">
        <f>IFERROR(__xludf.DUMMYFUNCTION("""COMPUTED_VALUE"""),"https://drive.google.com/file/d/165cRX897GIDCr8f6eaSgFYVZ_oQ3nZG4/view?usp=drivesdk")</f>
        <v>https://drive.google.com/file/d/165cRX897GIDCr8f6eaSgFYVZ_oQ3nZG4/view?usp=drivesdk</v>
      </c>
    </row>
    <row r="8634">
      <c r="A8634" s="15">
        <f>IFERROR(__xludf.DUMMYFUNCTION("""COMPUTED_VALUE"""),45246.0)</f>
        <v>45246</v>
      </c>
      <c r="B8634" s="16" t="str">
        <f>IFERROR(__xludf.DUMMYFUNCTION("""COMPUTED_VALUE"""),"Envia")</f>
        <v>Envia</v>
      </c>
      <c r="C8634" s="15" t="str">
        <f>IFERROR(__xludf.DUMMYFUNCTION("""COMPUTED_VALUE"""),"CALI")</f>
        <v>CALI</v>
      </c>
      <c r="D8634" s="15" t="str">
        <f>IFERROR(__xludf.DUMMYFUNCTION("""COMPUTED_VALUE"""),"MEDELLÍN")</f>
        <v>MEDELLÍN</v>
      </c>
      <c r="E8634" s="15" t="str">
        <f>IFERROR(__xludf.DUMMYFUNCTION("""COMPUTED_VALUE"""),"AREPAS LA MARY")</f>
        <v>AREPAS LA MARY</v>
      </c>
      <c r="F8634" s="17" t="str">
        <f>IFERROR(__xludf.DUMMYFUNCTION("""COMPUTED_VALUE"""),"AVENIDA 4 NORTE # 7 N 46  / LOCAL 129 CENTRO COMERCIAL CENTENARIO PRIMER PISO ")</f>
        <v>AVENIDA 4 NORTE # 7 N 46  / LOCAL 129 CENTRO COMERCIAL CENTENARIO PRIMER PISO </v>
      </c>
      <c r="G8634" s="15" t="str">
        <f>IFERROR(__xludf.DUMMYFUNCTION("""COMPUTED_VALUE"""),"VITALFINESS CALI")</f>
        <v>VITALFINESS CALI</v>
      </c>
      <c r="H8634" s="16">
        <f>IFERROR(__xludf.DUMMYFUNCTION("""COMPUTED_VALUE"""),17252.0)</f>
        <v>17252</v>
      </c>
      <c r="I8634" s="18">
        <f>IFERROR(__xludf.DUMMYFUNCTION("""COMPUTED_VALUE"""),89.0)</f>
        <v>89</v>
      </c>
      <c r="J8634" s="18">
        <f>IFERROR(__xludf.DUMMYFUNCTION("""COMPUTED_VALUE"""),1.0)</f>
        <v>1</v>
      </c>
      <c r="K8634" s="18">
        <f>IFERROR(__xludf.DUMMYFUNCTION("""COMPUTED_VALUE"""),10.0)</f>
        <v>10</v>
      </c>
      <c r="L8634" s="17">
        <f>IFERROR(__xludf.DUMMYFUNCTION("""COMPUTED_VALUE"""),3.226925759E9)</f>
        <v>3226925759</v>
      </c>
      <c r="M8634" s="17"/>
      <c r="N8634" s="17"/>
      <c r="O8634" s="17"/>
      <c r="P8634" s="17" t="b">
        <f>IFERROR(__xludf.DUMMYFUNCTION("""COMPUTED_VALUE"""),FALSE)</f>
        <v>0</v>
      </c>
      <c r="Q8634" s="20" t="str">
        <f>IFERROR(__xludf.DUMMYFUNCTION("""COMPUTED_VALUE"""),"")</f>
        <v/>
      </c>
      <c r="R8634" s="21" t="str">
        <f>IFERROR(__xludf.DUMMYFUNCTION("""COMPUTED_VALUE"""),"https://drive.google.com/file/d/1TNOf5Z4vV-IKilI1LEINulDNZS89A3e-/view?usp=drivesdk")</f>
        <v>https://drive.google.com/file/d/1TNOf5Z4vV-IKilI1LEINulDNZS89A3e-/view?usp=drivesdk</v>
      </c>
    </row>
    <row r="8635">
      <c r="A8635" s="15">
        <f>IFERROR(__xludf.DUMMYFUNCTION("""COMPUTED_VALUE"""),45246.0)</f>
        <v>45246</v>
      </c>
      <c r="B8635" s="16" t="str">
        <f>IFERROR(__xludf.DUMMYFUNCTION("""COMPUTED_VALUE"""),"Envia")</f>
        <v>Envia</v>
      </c>
      <c r="C8635" s="15" t="str">
        <f>IFERROR(__xludf.DUMMYFUNCTION("""COMPUTED_VALUE"""),"CALI")</f>
        <v>CALI</v>
      </c>
      <c r="D8635" s="15" t="str">
        <f>IFERROR(__xludf.DUMMYFUNCTION("""COMPUTED_VALUE"""),"MEDELLÍN")</f>
        <v>MEDELLÍN</v>
      </c>
      <c r="E8635" s="15" t="str">
        <f>IFERROR(__xludf.DUMMYFUNCTION("""COMPUTED_VALUE"""),"AREPAS LA MARY")</f>
        <v>AREPAS LA MARY</v>
      </c>
      <c r="F8635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8635" s="15" t="str">
        <f>IFERROR(__xludf.DUMMYFUNCTION("""COMPUTED_VALUE"""),"VITALFINESS CALI")</f>
        <v>VITALFINESS CALI</v>
      </c>
      <c r="H8635" s="16">
        <f>IFERROR(__xludf.DUMMYFUNCTION("""COMPUTED_VALUE"""),17349.0)</f>
        <v>17349</v>
      </c>
      <c r="I8635" s="17"/>
      <c r="J8635" s="17"/>
      <c r="K8635" s="17"/>
      <c r="L8635" s="17">
        <f>IFERROR(__xludf.DUMMYFUNCTION("""COMPUTED_VALUE"""),3.226925759E9)</f>
        <v>3226925759</v>
      </c>
      <c r="M8635" s="17"/>
      <c r="N8635" s="17"/>
      <c r="O8635" s="17"/>
      <c r="P8635" s="17" t="b">
        <f>IFERROR(__xludf.DUMMYFUNCTION("""COMPUTED_VALUE"""),FALSE)</f>
        <v>0</v>
      </c>
      <c r="Q8635" s="20" t="str">
        <f>IFERROR(__xludf.DUMMYFUNCTION("""COMPUTED_VALUE"""),"")</f>
        <v/>
      </c>
      <c r="R8635" s="22" t="str">
        <f>IFERROR(__xludf.DUMMYFUNCTION("""COMPUTED_VALUE"""),"")</f>
        <v/>
      </c>
    </row>
    <row r="8636">
      <c r="A8636" s="15">
        <f>IFERROR(__xludf.DUMMYFUNCTION("""COMPUTED_VALUE"""),45246.0)</f>
        <v>45246</v>
      </c>
      <c r="B8636" s="16" t="str">
        <f>IFERROR(__xludf.DUMMYFUNCTION("""COMPUTED_VALUE"""),"Envia")</f>
        <v>Envia</v>
      </c>
      <c r="C8636" s="15" t="str">
        <f>IFERROR(__xludf.DUMMYFUNCTION("""COMPUTED_VALUE"""),"CALI")</f>
        <v>CALI</v>
      </c>
      <c r="D8636" s="15" t="str">
        <f>IFERROR(__xludf.DUMMYFUNCTION("""COMPUTED_VALUE"""),"MEDELLÍN")</f>
        <v>MEDELLÍN</v>
      </c>
      <c r="E8636" s="15" t="str">
        <f>IFERROR(__xludf.DUMMYFUNCTION("""COMPUTED_VALUE"""),"Terravocado")</f>
        <v>Terravocado</v>
      </c>
      <c r="F8636" s="17" t="str">
        <f>IFERROR(__xludf.DUMMYFUNCTION("""COMPUTED_VALUE"""),"CLL 34 NORTE # 2 BN 33 | / COCINA 1  / ENTRE LA 14 DE LAS 6 TA Y EL DEPORTIVO CALI ")</f>
        <v>CLL 34 NORTE # 2 BN 33 | / COCINA 1  / ENTRE LA 14 DE LAS 6 TA Y EL DEPORTIVO CALI </v>
      </c>
      <c r="G8636" s="15" t="str">
        <f>IFERROR(__xludf.DUMMYFUNCTION("""COMPUTED_VALUE"""),"CONTINENTAL KITCHENS")</f>
        <v>CONTINENTAL KITCHENS</v>
      </c>
      <c r="H8636" s="16">
        <f>IFERROR(__xludf.DUMMYFUNCTION("""COMPUTED_VALUE"""),17328.0)</f>
        <v>17328</v>
      </c>
      <c r="I8636" s="18">
        <f>IFERROR(__xludf.DUMMYFUNCTION("""COMPUTED_VALUE"""),20.0)</f>
        <v>20</v>
      </c>
      <c r="J8636" s="18">
        <f>IFERROR(__xludf.DUMMYFUNCTION("""COMPUTED_VALUE"""),24.0)</f>
        <v>24</v>
      </c>
      <c r="K8636" s="18">
        <f>IFERROR(__xludf.DUMMYFUNCTION("""COMPUTED_VALUE"""),34.0)</f>
        <v>34</v>
      </c>
      <c r="L8636" s="17">
        <f>IFERROR(__xludf.DUMMYFUNCTION("""COMPUTED_VALUE"""),3.112634547E9)</f>
        <v>3112634547</v>
      </c>
      <c r="M8636" s="17"/>
      <c r="N8636" s="17"/>
      <c r="O8636" s="17"/>
      <c r="P8636" s="17" t="b">
        <f>IFERROR(__xludf.DUMMYFUNCTION("""COMPUTED_VALUE"""),FALSE)</f>
        <v>0</v>
      </c>
      <c r="Q8636" s="20" t="str">
        <f>IFERROR(__xludf.DUMMYFUNCTION("""COMPUTED_VALUE"""),"")</f>
        <v/>
      </c>
      <c r="R8636" s="21" t="str">
        <f>IFERROR(__xludf.DUMMYFUNCTION("""COMPUTED_VALUE"""),"https://drive.google.com/file/d/1kgkgKm9aR4PWvbh16x9BFh67ImFe_zS5/view?usp=drivesdk")</f>
        <v>https://drive.google.com/file/d/1kgkgKm9aR4PWvbh16x9BFh67ImFe_zS5/view?usp=drivesdk</v>
      </c>
    </row>
    <row r="8637">
      <c r="A8637" s="15">
        <f>IFERROR(__xludf.DUMMYFUNCTION("""COMPUTED_VALUE"""),45246.0)</f>
        <v>45246</v>
      </c>
      <c r="B8637" s="16" t="str">
        <f>IFERROR(__xludf.DUMMYFUNCTION("""COMPUTED_VALUE"""),"Envia")</f>
        <v>Envia</v>
      </c>
      <c r="C8637" s="15" t="str">
        <f>IFERROR(__xludf.DUMMYFUNCTION("""COMPUTED_VALUE"""),"CARTAGENA")</f>
        <v>CARTAGENA</v>
      </c>
      <c r="D8637" s="15" t="str">
        <f>IFERROR(__xludf.DUMMYFUNCTION("""COMPUTED_VALUE"""),"ENVIGADO")</f>
        <v>ENVIGADO</v>
      </c>
      <c r="E8637" s="15" t="str">
        <f>IFERROR(__xludf.DUMMYFUNCTION("""COMPUTED_VALUE"""),"JUAN CAMILO CORDOBA")</f>
        <v>JUAN CAMILO CORDOBA</v>
      </c>
      <c r="F8637" s="17" t="str">
        <f>IFERROR(__xludf.DUMMYFUNCTION("""COMPUTED_VALUE"""),"Avenida san martin 9 -161")</f>
        <v>Avenida san martin 9 -161</v>
      </c>
      <c r="G8637" s="15" t="str">
        <f>IFERROR(__xludf.DUMMYFUNCTION("""COMPUTED_VALUE"""),"Salute Mercado")</f>
        <v>Salute Mercado</v>
      </c>
      <c r="H8637" s="16">
        <f>IFERROR(__xludf.DUMMYFUNCTION("""COMPUTED_VALUE"""),17304.0)</f>
        <v>17304</v>
      </c>
      <c r="I8637" s="17"/>
      <c r="J8637" s="17"/>
      <c r="K8637" s="17"/>
      <c r="L8637" s="17">
        <f>IFERROR(__xludf.DUMMYFUNCTION("""COMPUTED_VALUE"""),3.205661519E9)</f>
        <v>3205661519</v>
      </c>
      <c r="M8637" s="17"/>
      <c r="N8637" s="17"/>
      <c r="O8637" s="17"/>
      <c r="P8637" s="17" t="b">
        <f>IFERROR(__xludf.DUMMYFUNCTION("""COMPUTED_VALUE"""),FALSE)</f>
        <v>0</v>
      </c>
      <c r="Q8637" s="20" t="str">
        <f>IFERROR(__xludf.DUMMYFUNCTION("""COMPUTED_VALUE"""),"")</f>
        <v/>
      </c>
      <c r="R8637" s="21" t="str">
        <f>IFERROR(__xludf.DUMMYFUNCTION("""COMPUTED_VALUE"""),"https://drive.google.com/file/d/1rmE6jOnkHh5hsuZcy5Du2zcElkVFicvL/view?usp=drivesdk")</f>
        <v>https://drive.google.com/file/d/1rmE6jOnkHh5hsuZcy5Du2zcElkVFicvL/view?usp=drivesdk</v>
      </c>
    </row>
    <row r="8638">
      <c r="A8638" s="15">
        <f>IFERROR(__xludf.DUMMYFUNCTION("""COMPUTED_VALUE"""),45246.0)</f>
        <v>45246</v>
      </c>
      <c r="B8638" s="16" t="str">
        <f>IFERROR(__xludf.DUMMYFUNCTION("""COMPUTED_VALUE"""),"Envia")</f>
        <v>Envia</v>
      </c>
      <c r="C8638" s="15" t="str">
        <f>IFERROR(__xludf.DUMMYFUNCTION("""COMPUTED_VALUE"""),"CÚCUTA")</f>
        <v>CÚCUTA</v>
      </c>
      <c r="D8638" s="15" t="str">
        <f>IFERROR(__xludf.DUMMYFUNCTION("""COMPUTED_VALUE"""),"MEDELLÍN")</f>
        <v>MEDELLÍN</v>
      </c>
      <c r="E8638" s="15" t="str">
        <f>IFERROR(__xludf.DUMMYFUNCTION("""COMPUTED_VALUE"""),"Momo Tea S.A.S Gabriel Echavarría")</f>
        <v>Momo Tea S.A.S Gabriel Echavarría</v>
      </c>
      <c r="F8638" s="17" t="str">
        <f>IFERROR(__xludf.DUMMYFUNCTION("""COMPUTED_VALUE"""),"CL 11 N 16 E 35 / CA B 1 ")</f>
        <v>CL 11 N 16 E 35 / CA B 1 </v>
      </c>
      <c r="G8638" s="15" t="str">
        <f>IFERROR(__xludf.DUMMYFUNCTION("""COMPUTED_VALUE"""),"Gabriel Echavarría")</f>
        <v>Gabriel Echavarría</v>
      </c>
      <c r="H8638" s="16">
        <f>IFERROR(__xludf.DUMMYFUNCTION("""COMPUTED_VALUE"""),17293.0)</f>
        <v>17293</v>
      </c>
      <c r="I8638" s="18">
        <f>IFERROR(__xludf.DUMMYFUNCTION("""COMPUTED_VALUE"""),21.0)</f>
        <v>21</v>
      </c>
      <c r="J8638" s="18">
        <f>IFERROR(__xludf.DUMMYFUNCTION("""COMPUTED_VALUE"""),29.0)</f>
        <v>29</v>
      </c>
      <c r="K8638" s="18">
        <f>IFERROR(__xludf.DUMMYFUNCTION("""COMPUTED_VALUE"""),29.0)</f>
        <v>29</v>
      </c>
      <c r="L8638" s="17">
        <f>IFERROR(__xludf.DUMMYFUNCTION("""COMPUTED_VALUE"""),3.017909548E9)</f>
        <v>3017909548</v>
      </c>
      <c r="M8638" s="17"/>
      <c r="N8638" s="17"/>
      <c r="O8638" s="17"/>
      <c r="P8638" s="17" t="b">
        <f>IFERROR(__xludf.DUMMYFUNCTION("""COMPUTED_VALUE"""),FALSE)</f>
        <v>0</v>
      </c>
      <c r="Q8638" s="20" t="str">
        <f>IFERROR(__xludf.DUMMYFUNCTION("""COMPUTED_VALUE"""),"")</f>
        <v/>
      </c>
      <c r="R8638" s="21" t="str">
        <f>IFERROR(__xludf.DUMMYFUNCTION("""COMPUTED_VALUE"""),"https://drive.google.com/file/d/1DaEhsOlEHbbt4FAE6wXmWcRXSOEi7c55/view?usp=drivesdk")</f>
        <v>https://drive.google.com/file/d/1DaEhsOlEHbbt4FAE6wXmWcRXSOEi7c55/view?usp=drivesdk</v>
      </c>
    </row>
    <row r="8639">
      <c r="A8639" s="15">
        <f>IFERROR(__xludf.DUMMYFUNCTION("""COMPUTED_VALUE"""),45246.0)</f>
        <v>45246</v>
      </c>
      <c r="B8639" s="16" t="str">
        <f>IFERROR(__xludf.DUMMYFUNCTION("""COMPUTED_VALUE"""),"Envia")</f>
        <v>Envia</v>
      </c>
      <c r="C8639" s="15" t="str">
        <f>IFERROR(__xludf.DUMMYFUNCTION("""COMPUTED_VALUE"""),"IBAGUÉ")</f>
        <v>IBAGUÉ</v>
      </c>
      <c r="D8639" s="15" t="str">
        <f>IFERROR(__xludf.DUMMYFUNCTION("""COMPUTED_VALUE"""),"BOGOTÁ")</f>
        <v>BOGOTÁ</v>
      </c>
      <c r="E8639" s="15" t="str">
        <f>IFERROR(__xludf.DUMMYFUNCTION("""COMPUTED_VALUE"""),"Instinto alimento vital")</f>
        <v>Instinto alimento vital</v>
      </c>
      <c r="F8639" s="17" t="str">
        <f>IFERROR(__xludf.DUMMYFUNCTION("""COMPUTED_VALUE"""),"MANZANA M CASA 2B / BARRIO ARKALA")</f>
        <v>MANZANA M CASA 2B / BARRIO ARKALA</v>
      </c>
      <c r="G8639" s="15" t="str">
        <f>IFERROR(__xludf.DUMMYFUNCTION("""COMPUTED_VALUE"""),"YINA LISETH DIAZ TORRES")</f>
        <v>YINA LISETH DIAZ TORRES</v>
      </c>
      <c r="H8639" s="16">
        <f>IFERROR(__xludf.DUMMYFUNCTION("""COMPUTED_VALUE"""),17306.0)</f>
        <v>17306</v>
      </c>
      <c r="I8639" s="17"/>
      <c r="J8639" s="17"/>
      <c r="K8639" s="17"/>
      <c r="L8639" s="17">
        <f>IFERROR(__xludf.DUMMYFUNCTION("""COMPUTED_VALUE"""),3.134502277E9)</f>
        <v>3134502277</v>
      </c>
      <c r="M8639" s="17"/>
      <c r="N8639" s="17"/>
      <c r="O8639" s="17"/>
      <c r="P8639" s="17" t="b">
        <f>IFERROR(__xludf.DUMMYFUNCTION("""COMPUTED_VALUE"""),FALSE)</f>
        <v>0</v>
      </c>
      <c r="Q8639" s="20" t="str">
        <f>IFERROR(__xludf.DUMMYFUNCTION("""COMPUTED_VALUE"""),"")</f>
        <v/>
      </c>
      <c r="R8639" s="21" t="str">
        <f>IFERROR(__xludf.DUMMYFUNCTION("""COMPUTED_VALUE"""),"https://drive.google.com/file/d/1XexuavAlFY0FodJ3PTuRH315jrd6bWyH/view?usp=drivesdk")</f>
        <v>https://drive.google.com/file/d/1XexuavAlFY0FodJ3PTuRH315jrd6bWyH/view?usp=drivesdk</v>
      </c>
    </row>
    <row r="8640">
      <c r="A8640" s="15">
        <f>IFERROR(__xludf.DUMMYFUNCTION("""COMPUTED_VALUE"""),45246.0)</f>
        <v>45246</v>
      </c>
      <c r="B8640" s="16" t="str">
        <f>IFERROR(__xludf.DUMMYFUNCTION("""COMPUTED_VALUE"""),"Envia")</f>
        <v>Envia</v>
      </c>
      <c r="C8640" s="15" t="str">
        <f>IFERROR(__xludf.DUMMYFUNCTION("""COMPUTED_VALUE"""),"SINCELEJO")</f>
        <v>SINCELEJO</v>
      </c>
      <c r="D8640" s="15" t="str">
        <f>IFERROR(__xludf.DUMMYFUNCTION("""COMPUTED_VALUE"""),"BOGOTÁ")</f>
        <v>BOGOTÁ</v>
      </c>
      <c r="E8640" s="15" t="str">
        <f>IFERROR(__xludf.DUMMYFUNCTION("""COMPUTED_VALUE"""),"LINA PAOLA RAMIREZ GOMEZ - EVA MAZZITA")</f>
        <v>LINA PAOLA RAMIREZ GOMEZ - EVA MAZZITA</v>
      </c>
      <c r="F8640" s="17" t="str">
        <f>IFERROR(__xludf.DUMMYFUNCTION("""COMPUTED_VALUE"""),"Cra 6a #28a-37 / Cra 6a #28a-37")</f>
        <v>Cra 6a #28a-37 / Cra 6a #28a-37</v>
      </c>
      <c r="G8640" s="15" t="str">
        <f>IFERROR(__xludf.DUMMYFUNCTION("""COMPUTED_VALUE"""),"KENDRA MEZA MARTINEZ")</f>
        <v>KENDRA MEZA MARTINEZ</v>
      </c>
      <c r="H8640" s="16">
        <f>IFERROR(__xludf.DUMMYFUNCTION("""COMPUTED_VALUE"""),17268.0)</f>
        <v>17268</v>
      </c>
      <c r="I8640" s="17"/>
      <c r="J8640" s="17"/>
      <c r="K8640" s="17"/>
      <c r="L8640" s="17">
        <f>IFERROR(__xludf.DUMMYFUNCTION("""COMPUTED_VALUE"""),3.116567773E9)</f>
        <v>3116567773</v>
      </c>
      <c r="M8640" s="17"/>
      <c r="N8640" s="17"/>
      <c r="O8640" s="17"/>
      <c r="P8640" s="17" t="b">
        <f>IFERROR(__xludf.DUMMYFUNCTION("""COMPUTED_VALUE"""),FALSE)</f>
        <v>0</v>
      </c>
      <c r="Q8640" s="20" t="str">
        <f>IFERROR(__xludf.DUMMYFUNCTION("""COMPUTED_VALUE"""),"")</f>
        <v/>
      </c>
      <c r="R8640" s="21" t="str">
        <f>IFERROR(__xludf.DUMMYFUNCTION("""COMPUTED_VALUE"""),"https://drive.google.com/file/d/1OCUcPngRpmyRjGKByZ3eEA_ELfE2ue1t/view?usp=drivesdk")</f>
        <v>https://drive.google.com/file/d/1OCUcPngRpmyRjGKByZ3eEA_ELfE2ue1t/view?usp=drivesdk</v>
      </c>
    </row>
    <row r="8641">
      <c r="A8641" s="15">
        <f>IFERROR(__xludf.DUMMYFUNCTION("""COMPUTED_VALUE"""),45246.0)</f>
        <v>45246</v>
      </c>
      <c r="B8641" s="16" t="str">
        <f>IFERROR(__xludf.DUMMYFUNCTION("""COMPUTED_VALUE"""),"Envia")</f>
        <v>Envia</v>
      </c>
      <c r="C8641" s="15" t="str">
        <f>IFERROR(__xludf.DUMMYFUNCTION("""COMPUTED_VALUE"""),"TULUÁ")</f>
        <v>TULUÁ</v>
      </c>
      <c r="D8641" s="15" t="str">
        <f>IFERROR(__xludf.DUMMYFUNCTION("""COMPUTED_VALUE"""),"BOGOTÁ")</f>
        <v>BOGOTÁ</v>
      </c>
      <c r="E8641" s="15" t="str">
        <f>IFERROR(__xludf.DUMMYFUNCTION("""COMPUTED_VALUE"""),"LINA PAOLA RAMIREZ GOMEZ - EVA MAZZITA")</f>
        <v>LINA PAOLA RAMIREZ GOMEZ - EVA MAZZITA</v>
      </c>
      <c r="F8641" s="17" t="str">
        <f>IFERROR(__xludf.DUMMYFUNCTION("""COMPUTED_VALUE"""),"MANZANA 17 CASA 5 / BOSQUES DE MARACAIBO")</f>
        <v>MANZANA 17 CASA 5 / BOSQUES DE MARACAIBO</v>
      </c>
      <c r="G8641" s="15" t="str">
        <f>IFERROR(__xludf.DUMMYFUNCTION("""COMPUTED_VALUE"""),"DIANA CAROLINA MOLINA VALENCIA")</f>
        <v>DIANA CAROLINA MOLINA VALENCIA</v>
      </c>
      <c r="H8641" s="16">
        <f>IFERROR(__xludf.DUMMYFUNCTION("""COMPUTED_VALUE"""),17335.0)</f>
        <v>17335</v>
      </c>
      <c r="I8641" s="17"/>
      <c r="J8641" s="17"/>
      <c r="K8641" s="17"/>
      <c r="L8641" s="17"/>
      <c r="M8641" s="17"/>
      <c r="N8641" s="17"/>
      <c r="O8641" s="17"/>
      <c r="P8641" s="17" t="b">
        <f>IFERROR(__xludf.DUMMYFUNCTION("""COMPUTED_VALUE"""),FALSE)</f>
        <v>0</v>
      </c>
      <c r="Q8641" s="20" t="str">
        <f>IFERROR(__xludf.DUMMYFUNCTION("""COMPUTED_VALUE"""),"")</f>
        <v/>
      </c>
      <c r="R8641" s="21" t="str">
        <f>IFERROR(__xludf.DUMMYFUNCTION("""COMPUTED_VALUE"""),"https://drive.google.com/file/d/1MiRL_XAFPJ154hEPF0sbayufL8i7-PgU/view?usp=drivesdk")</f>
        <v>https://drive.google.com/file/d/1MiRL_XAFPJ154hEPF0sbayufL8i7-PgU/view?usp=drivesdk</v>
      </c>
    </row>
    <row r="8642">
      <c r="A8642" s="15">
        <f>IFERROR(__xludf.DUMMYFUNCTION("""COMPUTED_VALUE"""),45246.0)</f>
        <v>45246</v>
      </c>
      <c r="B8642" s="16" t="str">
        <f>IFERROR(__xludf.DUMMYFUNCTION("""COMPUTED_VALUE"""),"Envia")</f>
        <v>Envia</v>
      </c>
      <c r="C8642" s="15" t="str">
        <f>IFERROR(__xludf.DUMMYFUNCTION("""COMPUTED_VALUE"""),"VILLAVICENCIO")</f>
        <v>VILLAVICENCIO</v>
      </c>
      <c r="D8642" s="15" t="str">
        <f>IFERROR(__xludf.DUMMYFUNCTION("""COMPUTED_VALUE"""),"MEDELLÍN")</f>
        <v>MEDELLÍN</v>
      </c>
      <c r="E8642" s="15" t="str">
        <f>IFERROR(__xludf.DUMMYFUNCTION("""COMPUTED_VALUE"""),"Baby Chef")</f>
        <v>Baby Chef</v>
      </c>
      <c r="F8642" s="17" t="str">
        <f>IFERROR(__xludf.DUMMYFUNCTION("""COMPUTED_VALUE"""),"CALLE 35 C N 20 -51 JORDAN PARAISO VILLAVICENCIO / . / .")</f>
        <v>CALLE 35 C N 20 -51 JORDAN PARAISO VILLAVICENCIO / . / .</v>
      </c>
      <c r="G8642" s="15" t="str">
        <f>IFERROR(__xludf.DUMMYFUNCTION("""COMPUTED_VALUE"""),"Katherine Gómez Guevara")</f>
        <v>Katherine Gómez Guevara</v>
      </c>
      <c r="H8642" s="16">
        <f>IFERROR(__xludf.DUMMYFUNCTION("""COMPUTED_VALUE"""),17288.0)</f>
        <v>17288</v>
      </c>
      <c r="I8642" s="18">
        <f>IFERROR(__xludf.DUMMYFUNCTION("""COMPUTED_VALUE"""),11.0)</f>
        <v>11</v>
      </c>
      <c r="J8642" s="18">
        <f>IFERROR(__xludf.DUMMYFUNCTION("""COMPUTED_VALUE"""),21.0)</f>
        <v>21</v>
      </c>
      <c r="K8642" s="18">
        <f>IFERROR(__xludf.DUMMYFUNCTION("""COMPUTED_VALUE"""),24.0)</f>
        <v>24</v>
      </c>
      <c r="L8642" s="17">
        <f>IFERROR(__xludf.DUMMYFUNCTION("""COMPUTED_VALUE"""),3.115869725E9)</f>
        <v>3115869725</v>
      </c>
      <c r="M8642" s="17"/>
      <c r="N8642" s="17"/>
      <c r="O8642" s="17"/>
      <c r="P8642" s="17" t="b">
        <f>IFERROR(__xludf.DUMMYFUNCTION("""COMPUTED_VALUE"""),FALSE)</f>
        <v>0</v>
      </c>
      <c r="Q8642" s="20" t="str">
        <f>IFERROR(__xludf.DUMMYFUNCTION("""COMPUTED_VALUE"""),"")</f>
        <v/>
      </c>
      <c r="R8642" s="21" t="str">
        <f>IFERROR(__xludf.DUMMYFUNCTION("""COMPUTED_VALUE"""),"https://drive.google.com/file/d/1EJJK32VP0SD0balfw-GINcP07CfRDsjz/view?usp=drivesdk")</f>
        <v>https://drive.google.com/file/d/1EJJK32VP0SD0balfw-GINcP07CfRDsjz/view?usp=drivesdk</v>
      </c>
    </row>
    <row r="8643">
      <c r="A8643" s="15">
        <f>IFERROR(__xludf.DUMMYFUNCTION("""COMPUTED_VALUE"""),45246.0)</f>
        <v>45246</v>
      </c>
      <c r="B8643" s="16" t="str">
        <f>IFERROR(__xludf.DUMMYFUNCTION("""COMPUTED_VALUE"""),"Envia")</f>
        <v>Envia</v>
      </c>
      <c r="C8643" s="15" t="str">
        <f>IFERROR(__xludf.DUMMYFUNCTION("""COMPUTED_VALUE"""),"YOPAL")</f>
        <v>YOPAL</v>
      </c>
      <c r="D8643" s="15" t="str">
        <f>IFERROR(__xludf.DUMMYFUNCTION("""COMPUTED_VALUE"""),"BOGOTÁ")</f>
        <v>BOGOTÁ</v>
      </c>
      <c r="E8643" s="15" t="str">
        <f>IFERROR(__xludf.DUMMYFUNCTION("""COMPUTED_VALUE"""),"Asociacion Agropecuaria Juana Maria")</f>
        <v>Asociacion Agropecuaria Juana Maria</v>
      </c>
      <c r="F8643" s="17" t="str">
        <f>IFERROR(__xludf.DUMMYFUNCTION("""COMPUTED_VALUE"""),"Cra 8A # 46A -26 / Yopal")</f>
        <v>Cra 8A # 46A -26 / Yopal</v>
      </c>
      <c r="G8643" s="15" t="str">
        <f>IFERROR(__xludf.DUMMYFUNCTION("""COMPUTED_VALUE"""),"Magda Liseth Balaguera")</f>
        <v>Magda Liseth Balaguera</v>
      </c>
      <c r="H8643" s="16">
        <f>IFERROR(__xludf.DUMMYFUNCTION("""COMPUTED_VALUE"""),17240.0)</f>
        <v>17240</v>
      </c>
      <c r="I8643" s="17"/>
      <c r="J8643" s="17"/>
      <c r="K8643" s="17"/>
      <c r="L8643" s="17">
        <f>IFERROR(__xludf.DUMMYFUNCTION("""COMPUTED_VALUE"""),3.134945113E9)</f>
        <v>3134945113</v>
      </c>
      <c r="M8643" s="17"/>
      <c r="N8643" s="17"/>
      <c r="O8643" s="17"/>
      <c r="P8643" s="17" t="b">
        <f>IFERROR(__xludf.DUMMYFUNCTION("""COMPUTED_VALUE"""),FALSE)</f>
        <v>0</v>
      </c>
      <c r="Q8643" s="20" t="str">
        <f>IFERROR(__xludf.DUMMYFUNCTION("""COMPUTED_VALUE"""),"")</f>
        <v/>
      </c>
      <c r="R8643" s="21" t="str">
        <f>IFERROR(__xludf.DUMMYFUNCTION("""COMPUTED_VALUE"""),"https://drive.google.com/file/d/1iPLRyTCP5hTWYRTmpakmzmuei7ubtsnn/view?usp=drivesdk")</f>
        <v>https://drive.google.com/file/d/1iPLRyTCP5hTWYRTmpakmzmuei7ubtsnn/view?usp=drivesdk</v>
      </c>
    </row>
    <row r="8644">
      <c r="A8644" s="17" t="str">
        <f>IFERROR(__xludf.DUMMYFUNCTION("""COMPUTED_VALUE"""),"")</f>
        <v/>
      </c>
      <c r="B8644" s="17" t="str">
        <f>IFERROR(__xludf.DUMMYFUNCTION("""COMPUTED_VALUE"""),"")</f>
        <v/>
      </c>
      <c r="C8644" s="17" t="str">
        <f>IFERROR(__xludf.DUMMYFUNCTION("""COMPUTED_VALUE"""),"")</f>
        <v/>
      </c>
      <c r="D8644" s="17" t="str">
        <f>IFERROR(__xludf.DUMMYFUNCTION("""COMPUTED_VALUE"""),"")</f>
        <v/>
      </c>
      <c r="E8644" s="17" t="str">
        <f>IFERROR(__xludf.DUMMYFUNCTION("""COMPUTED_VALUE"""),"")</f>
        <v/>
      </c>
      <c r="F8644" s="17" t="str">
        <f>IFERROR(__xludf.DUMMYFUNCTION("""COMPUTED_VALUE"""),"")</f>
        <v/>
      </c>
      <c r="G8644" s="17" t="str">
        <f>IFERROR(__xludf.DUMMYFUNCTION("""COMPUTED_VALUE"""),"")</f>
        <v/>
      </c>
      <c r="H8644" s="17" t="str">
        <f>IFERROR(__xludf.DUMMYFUNCTION("""COMPUTED_VALUE"""),"")</f>
        <v/>
      </c>
      <c r="I8644" s="17" t="str">
        <f>IFERROR(__xludf.DUMMYFUNCTION("""COMPUTED_VALUE"""),"")</f>
        <v/>
      </c>
      <c r="J8644" s="17" t="str">
        <f>IFERROR(__xludf.DUMMYFUNCTION("""COMPUTED_VALUE"""),"")</f>
        <v/>
      </c>
      <c r="K8644" s="17" t="str">
        <f>IFERROR(__xludf.DUMMYFUNCTION("""COMPUTED_VALUE"""),"")</f>
        <v/>
      </c>
      <c r="L8644" s="17" t="str">
        <f>IFERROR(__xludf.DUMMYFUNCTION("""COMPUTED_VALUE"""),"")</f>
        <v/>
      </c>
      <c r="M8644" s="17" t="str">
        <f>IFERROR(__xludf.DUMMYFUNCTION("""COMPUTED_VALUE"""),"")</f>
        <v/>
      </c>
      <c r="N8644" s="17" t="str">
        <f>IFERROR(__xludf.DUMMYFUNCTION("""COMPUTED_VALUE"""),"")</f>
        <v/>
      </c>
      <c r="O8644" s="17" t="str">
        <f>IFERROR(__xludf.DUMMYFUNCTION("""COMPUTED_VALUE"""),"")</f>
        <v/>
      </c>
      <c r="P8644" s="17" t="str">
        <f>IFERROR(__xludf.DUMMYFUNCTION("""COMPUTED_VALUE"""),"")</f>
        <v/>
      </c>
      <c r="Q8644" s="17" t="str">
        <f>IFERROR(__xludf.DUMMYFUNCTION("""COMPUTED_VALUE"""),"")</f>
        <v/>
      </c>
      <c r="R8644" s="17" t="str">
        <f>IFERROR(__xludf.DUMMYFUNCTION("""COMPUTED_VALUE"""),"")</f>
        <v/>
      </c>
    </row>
    <row r="8645">
      <c r="A8645" s="15">
        <f>IFERROR(__xludf.DUMMYFUNCTION("""COMPUTED_VALUE"""),45246.0)</f>
        <v>45246</v>
      </c>
      <c r="B8645" s="16" t="str">
        <f>IFERROR(__xludf.DUMMYFUNCTION("""COMPUTED_VALUE"""),"Johan Alexander Escobar Arroyo ")</f>
        <v>Johan Alexander Escobar Arroyo </v>
      </c>
      <c r="C8645" s="15" t="str">
        <f>IFERROR(__xludf.DUMMYFUNCTION("""COMPUTED_VALUE"""),"CALI")</f>
        <v>CALI</v>
      </c>
      <c r="D8645" s="15" t="str">
        <f>IFERROR(__xludf.DUMMYFUNCTION("""COMPUTED_VALUE"""),"BOGOTÁ")</f>
        <v>BOGOTÁ</v>
      </c>
      <c r="E8645" s="15" t="str">
        <f>IFERROR(__xludf.DUMMYFUNCTION("""COMPUTED_VALUE"""),"Instinto alimento vital")</f>
        <v>Instinto alimento vital</v>
      </c>
      <c r="F8645" s="17" t="str">
        <f>IFERROR(__xludf.DUMMYFUNCTION("""COMPUTED_VALUE"""),"CALLE 34 N # 2B N 33 / MERCANCIA REQUIERE REFRIGERACION")</f>
        <v>CALLE 34 N # 2B N 33 / MERCANCIA REQUIERE REFRIGERACION</v>
      </c>
      <c r="G8645" s="15" t="str">
        <f>IFERROR(__xludf.DUMMYFUNCTION("""COMPUTED_VALUE"""),"BODEGA VELOCITY CALI")</f>
        <v>BODEGA VELOCITY CALI</v>
      </c>
      <c r="H8645" s="16">
        <f>IFERROR(__xludf.DUMMYFUNCTION("""COMPUTED_VALUE"""),17336.0)</f>
        <v>17336</v>
      </c>
      <c r="I8645" s="17"/>
      <c r="J8645" s="17"/>
      <c r="K8645" s="17"/>
      <c r="L8645" s="17">
        <f>IFERROR(__xludf.DUMMYFUNCTION("""COMPUTED_VALUE"""),3.15586906E9)</f>
        <v>3155869060</v>
      </c>
      <c r="M8645" s="17"/>
      <c r="N8645" s="17"/>
      <c r="O8645" s="17"/>
      <c r="P8645" s="17" t="b">
        <f>IFERROR(__xludf.DUMMYFUNCTION("""COMPUTED_VALUE"""),FALSE)</f>
        <v>0</v>
      </c>
      <c r="Q8645" s="20" t="str">
        <f>IFERROR(__xludf.DUMMYFUNCTION("""COMPUTED_VALUE"""),"")</f>
        <v/>
      </c>
      <c r="R8645" s="21" t="str">
        <f>IFERROR(__xludf.DUMMYFUNCTION("""COMPUTED_VALUE"""),"https://drive.google.com/file/d/1UdiHq3SC5b7zjEbPJqAIv5R6xnzWmWn5/view?usp=drivesdk")</f>
        <v>https://drive.google.com/file/d/1UdiHq3SC5b7zjEbPJqAIv5R6xnzWmWn5/view?usp=drivesdk</v>
      </c>
    </row>
    <row r="8646">
      <c r="A8646" s="15">
        <f>IFERROR(__xludf.DUMMYFUNCTION("""COMPUTED_VALUE"""),45246.0)</f>
        <v>45246</v>
      </c>
      <c r="B8646" s="16" t="str">
        <f>IFERROR(__xludf.DUMMYFUNCTION("""COMPUTED_VALUE"""),"Johan Alexander Escobar Arroyo ")</f>
        <v>Johan Alexander Escobar Arroyo </v>
      </c>
      <c r="C8646" s="15" t="str">
        <f>IFERROR(__xludf.DUMMYFUNCTION("""COMPUTED_VALUE"""),"CALI")</f>
        <v>CALI</v>
      </c>
      <c r="D8646" s="15" t="str">
        <f>IFERROR(__xludf.DUMMYFUNCTION("""COMPUTED_VALUE"""),"MEDELLÍN")</f>
        <v>MEDELLÍN</v>
      </c>
      <c r="E8646" s="15" t="str">
        <f>IFERROR(__xludf.DUMMYFUNCTION("""COMPUTED_VALUE"""),"JdBufala")</f>
        <v>JdBufala</v>
      </c>
      <c r="F8646" s="17" t="str">
        <f>IFERROR(__xludf.DUMMYFUNCTION("""COMPUTED_VALUE"""),"Calle 51 norte # 4bn 72 / Delhuertopizzeria")</f>
        <v>Calle 51 norte # 4bn 72 / Delhuertopizzeria</v>
      </c>
      <c r="G8646" s="15" t="str">
        <f>IFERROR(__xludf.DUMMYFUNCTION("""COMPUTED_VALUE"""),"Javier")</f>
        <v>Javier</v>
      </c>
      <c r="H8646" s="16">
        <f>IFERROR(__xludf.DUMMYFUNCTION("""COMPUTED_VALUE"""),17344.0)</f>
        <v>17344</v>
      </c>
      <c r="I8646" s="17"/>
      <c r="J8646" s="17"/>
      <c r="K8646" s="17"/>
      <c r="L8646" s="17">
        <f>IFERROR(__xludf.DUMMYFUNCTION("""COMPUTED_VALUE"""),3.206763524E9)</f>
        <v>3206763524</v>
      </c>
      <c r="M8646" s="17"/>
      <c r="N8646" s="17"/>
      <c r="O8646" s="17"/>
      <c r="P8646" s="17" t="b">
        <f>IFERROR(__xludf.DUMMYFUNCTION("""COMPUTED_VALUE"""),FALSE)</f>
        <v>0</v>
      </c>
      <c r="Q8646" s="20" t="str">
        <f>IFERROR(__xludf.DUMMYFUNCTION("""COMPUTED_VALUE"""),"")</f>
        <v/>
      </c>
      <c r="R8646" s="21" t="str">
        <f>IFERROR(__xludf.DUMMYFUNCTION("""COMPUTED_VALUE"""),"https://drive.google.com/file/d/10qlXImREdbjAXJm5H9GmNapIiwfUhQ_S/view?usp=drivesdk")</f>
        <v>https://drive.google.com/file/d/10qlXImREdbjAXJm5H9GmNapIiwfUhQ_S/view?usp=drivesdk</v>
      </c>
    </row>
    <row r="8647">
      <c r="A8647" s="15">
        <f>IFERROR(__xludf.DUMMYFUNCTION("""COMPUTED_VALUE"""),45246.0)</f>
        <v>45246</v>
      </c>
      <c r="B8647" s="16" t="str">
        <f>IFERROR(__xludf.DUMMYFUNCTION("""COMPUTED_VALUE"""),"Johan Alexander Escobar Arroyo ")</f>
        <v>Johan Alexander Escobar Arroyo </v>
      </c>
      <c r="C8647" s="15" t="str">
        <f>IFERROR(__xludf.DUMMYFUNCTION("""COMPUTED_VALUE"""),"CALI")</f>
        <v>CALI</v>
      </c>
      <c r="D8647" s="15" t="str">
        <f>IFERROR(__xludf.DUMMYFUNCTION("""COMPUTED_VALUE"""),"MEDELLÍN")</f>
        <v>MEDELLÍN</v>
      </c>
      <c r="E8647" s="15" t="str">
        <f>IFERROR(__xludf.DUMMYFUNCTION("""COMPUTED_VALUE"""),"Moloso S.A.S")</f>
        <v>Moloso S.A.S</v>
      </c>
      <c r="F8647" s="17" t="str">
        <f>IFERROR(__xludf.DUMMYFUNCTION("""COMPUTED_VALUE"""),"CL 14 NORTE 9N 25 / ED MULTIFAMILIAR GRANADA AP 302")</f>
        <v>CL 14 NORTE 9N 25 / ED MULTIFAMILIAR GRANADA AP 302</v>
      </c>
      <c r="G8647" s="15" t="str">
        <f>IFERROR(__xludf.DUMMYFUNCTION("""COMPUTED_VALUE"""),"LAURA MURILLO QUIROGA")</f>
        <v>LAURA MURILLO QUIROGA</v>
      </c>
      <c r="H8647" s="16">
        <f>IFERROR(__xludf.DUMMYFUNCTION("""COMPUTED_VALUE"""),17350.0)</f>
        <v>17350</v>
      </c>
      <c r="I8647" s="17"/>
      <c r="J8647" s="17"/>
      <c r="K8647" s="17"/>
      <c r="L8647" s="17"/>
      <c r="M8647" s="17"/>
      <c r="N8647" s="17"/>
      <c r="O8647" s="17"/>
      <c r="P8647" s="17" t="b">
        <f>IFERROR(__xludf.DUMMYFUNCTION("""COMPUTED_VALUE"""),FALSE)</f>
        <v>0</v>
      </c>
      <c r="Q8647" s="20" t="str">
        <f>IFERROR(__xludf.DUMMYFUNCTION("""COMPUTED_VALUE"""),"")</f>
        <v/>
      </c>
      <c r="R8647" s="21" t="str">
        <f>IFERROR(__xludf.DUMMYFUNCTION("""COMPUTED_VALUE"""),"https://drive.google.com/file/d/1-f9YlgXZ70FinBbeulfafKL0Ou6nVgvg/view?usp=drivesdk")</f>
        <v>https://drive.google.com/file/d/1-f9YlgXZ70FinBbeulfafKL0Ou6nVgvg/view?usp=drivesdk</v>
      </c>
    </row>
    <row r="8648">
      <c r="A8648" s="17" t="str">
        <f>IFERROR(__xludf.DUMMYFUNCTION("""COMPUTED_VALUE"""),"")</f>
        <v/>
      </c>
      <c r="B8648" s="17" t="str">
        <f>IFERROR(__xludf.DUMMYFUNCTION("""COMPUTED_VALUE"""),"")</f>
        <v/>
      </c>
      <c r="C8648" s="17" t="str">
        <f>IFERROR(__xludf.DUMMYFUNCTION("""COMPUTED_VALUE"""),"")</f>
        <v/>
      </c>
      <c r="D8648" s="17" t="str">
        <f>IFERROR(__xludf.DUMMYFUNCTION("""COMPUTED_VALUE"""),"")</f>
        <v/>
      </c>
      <c r="E8648" s="17" t="str">
        <f>IFERROR(__xludf.DUMMYFUNCTION("""COMPUTED_VALUE"""),"")</f>
        <v/>
      </c>
      <c r="F8648" s="17" t="str">
        <f>IFERROR(__xludf.DUMMYFUNCTION("""COMPUTED_VALUE"""),"")</f>
        <v/>
      </c>
      <c r="G8648" s="17" t="str">
        <f>IFERROR(__xludf.DUMMYFUNCTION("""COMPUTED_VALUE"""),"")</f>
        <v/>
      </c>
      <c r="H8648" s="17" t="str">
        <f>IFERROR(__xludf.DUMMYFUNCTION("""COMPUTED_VALUE"""),"")</f>
        <v/>
      </c>
      <c r="I8648" s="17" t="str">
        <f>IFERROR(__xludf.DUMMYFUNCTION("""COMPUTED_VALUE"""),"")</f>
        <v/>
      </c>
      <c r="J8648" s="17" t="str">
        <f>IFERROR(__xludf.DUMMYFUNCTION("""COMPUTED_VALUE"""),"")</f>
        <v/>
      </c>
      <c r="K8648" s="17" t="str">
        <f>IFERROR(__xludf.DUMMYFUNCTION("""COMPUTED_VALUE"""),"")</f>
        <v/>
      </c>
      <c r="L8648" s="17" t="str">
        <f>IFERROR(__xludf.DUMMYFUNCTION("""COMPUTED_VALUE"""),"")</f>
        <v/>
      </c>
      <c r="M8648" s="17" t="str">
        <f>IFERROR(__xludf.DUMMYFUNCTION("""COMPUTED_VALUE"""),"")</f>
        <v/>
      </c>
      <c r="N8648" s="17" t="str">
        <f>IFERROR(__xludf.DUMMYFUNCTION("""COMPUTED_VALUE"""),"")</f>
        <v/>
      </c>
      <c r="O8648" s="17" t="str">
        <f>IFERROR(__xludf.DUMMYFUNCTION("""COMPUTED_VALUE"""),"")</f>
        <v/>
      </c>
      <c r="P8648" s="17" t="str">
        <f>IFERROR(__xludf.DUMMYFUNCTION("""COMPUTED_VALUE"""),"")</f>
        <v/>
      </c>
      <c r="Q8648" s="17" t="str">
        <f>IFERROR(__xludf.DUMMYFUNCTION("""COMPUTED_VALUE"""),"")</f>
        <v/>
      </c>
      <c r="R8648" s="17" t="str">
        <f>IFERROR(__xludf.DUMMYFUNCTION("""COMPUTED_VALUE"""),"")</f>
        <v/>
      </c>
    </row>
    <row r="8649">
      <c r="A8649" s="15">
        <f>IFERROR(__xludf.DUMMYFUNCTION("""COMPUTED_VALUE"""),45246.0)</f>
        <v>45246</v>
      </c>
      <c r="B8649" s="16" t="str">
        <f>IFERROR(__xludf.DUMMYFUNCTION("""COMPUTED_VALUE"""),"Julian Calderon Rodriguez ")</f>
        <v>Julian Calderon Rodriguez </v>
      </c>
      <c r="C8649" s="15" t="str">
        <f>IFERROR(__xludf.DUMMYFUNCTION("""COMPUTED_VALUE"""),"BOGOTÁ")</f>
        <v>BOGOTÁ</v>
      </c>
      <c r="D8649" s="15" t="str">
        <f>IFERROR(__xludf.DUMMYFUNCTION("""COMPUTED_VALUE"""),"CALI")</f>
        <v>CALI</v>
      </c>
      <c r="E8649" s="15" t="str">
        <f>IFERROR(__xludf.DUMMYFUNCTION("""COMPUTED_VALUE"""),"Natalia Carreño")</f>
        <v>Natalia Carreño</v>
      </c>
      <c r="F8649" s="17" t="str">
        <f>IFERROR(__xludf.DUMMYFUNCTION("""COMPUTED_VALUE"""),"Carrera 27 #70-83 / Casa color curuba  / Los Alcazares ")</f>
        <v>Carrera 27 #70-83 / Casa color curuba  / Los Alcazares </v>
      </c>
      <c r="G8649" s="15" t="str">
        <f>IFERROR(__xludf.DUMMYFUNCTION("""COMPUTED_VALUE"""),"Natalia Carreño")</f>
        <v>Natalia Carreño</v>
      </c>
      <c r="H8649" s="16">
        <f>IFERROR(__xludf.DUMMYFUNCTION("""COMPUTED_VALUE"""),17292.0)</f>
        <v>17292</v>
      </c>
      <c r="I8649" s="18">
        <f>IFERROR(__xludf.DUMMYFUNCTION("""COMPUTED_VALUE"""),60.0)</f>
        <v>60</v>
      </c>
      <c r="J8649" s="18">
        <f>IFERROR(__xludf.DUMMYFUNCTION("""COMPUTED_VALUE"""),60.0)</f>
        <v>60</v>
      </c>
      <c r="K8649" s="18">
        <f>IFERROR(__xludf.DUMMYFUNCTION("""COMPUTED_VALUE"""),50.0)</f>
        <v>50</v>
      </c>
      <c r="L8649" s="17">
        <f>IFERROR(__xludf.DUMMYFUNCTION("""COMPUTED_VALUE"""),3.11561131E9)</f>
        <v>3115611310</v>
      </c>
      <c r="M8649" s="17"/>
      <c r="N8649" s="17"/>
      <c r="O8649" s="17"/>
      <c r="P8649" s="17" t="b">
        <f>IFERROR(__xludf.DUMMYFUNCTION("""COMPUTED_VALUE"""),FALSE)</f>
        <v>0</v>
      </c>
      <c r="Q8649" s="20" t="str">
        <f>IFERROR(__xludf.DUMMYFUNCTION("""COMPUTED_VALUE"""),"")</f>
        <v/>
      </c>
      <c r="R8649" s="21" t="str">
        <f>IFERROR(__xludf.DUMMYFUNCTION("""COMPUTED_VALUE"""),"https://drive.google.com/file/d/1jm9Pe2BR6VuM2GzPX6xFwzJqFkbbsCCD/view?usp=drivesdk")</f>
        <v>https://drive.google.com/file/d/1jm9Pe2BR6VuM2GzPX6xFwzJqFkbbsCCD/view?usp=drivesdk</v>
      </c>
    </row>
    <row r="8650">
      <c r="A8650" s="15">
        <f>IFERROR(__xludf.DUMMYFUNCTION("""COMPUTED_VALUE"""),45246.0)</f>
        <v>45246</v>
      </c>
      <c r="B8650" s="16" t="str">
        <f>IFERROR(__xludf.DUMMYFUNCTION("""COMPUTED_VALUE"""),"Julian Calderon Rodriguez ")</f>
        <v>Julian Calderon Rodriguez </v>
      </c>
      <c r="C8650" s="15" t="str">
        <f>IFERROR(__xludf.DUMMYFUNCTION("""COMPUTED_VALUE"""),"VILLAVICENCIO")</f>
        <v>VILLAVICENCIO</v>
      </c>
      <c r="D8650" s="15" t="str">
        <f>IFERROR(__xludf.DUMMYFUNCTION("""COMPUTED_VALUE"""),"BOGOTÁ")</f>
        <v>BOGOTÁ</v>
      </c>
      <c r="E8650" s="15" t="str">
        <f>IFERROR(__xludf.DUMMYFUNCTION("""COMPUTED_VALUE"""),"Spirulina Fresca")</f>
        <v>Spirulina Fresca</v>
      </c>
      <c r="F8650" s="17" t="str">
        <f>IFERROR(__xludf.DUMMYFUNCTION("""COMPUTED_VALUE"""),"Jason Perilla  Calle 49B # 45-12  / Barrio Santa Josefa  Villavicencio ( Meta ) / Villavicencio")</f>
        <v>Jason Perilla  Calle 49B # 45-12  / Barrio Santa Josefa  Villavicencio ( Meta ) / Villavicencio</v>
      </c>
      <c r="G8650" s="15" t="str">
        <f>IFERROR(__xludf.DUMMYFUNCTION("""COMPUTED_VALUE"""),"Jason Perilla")</f>
        <v>Jason Perilla</v>
      </c>
      <c r="H8650" s="16">
        <f>IFERROR(__xludf.DUMMYFUNCTION("""COMPUTED_VALUE"""),17348.0)</f>
        <v>17348</v>
      </c>
      <c r="I8650" s="18">
        <f>IFERROR(__xludf.DUMMYFUNCTION("""COMPUTED_VALUE"""),5.0)</f>
        <v>5</v>
      </c>
      <c r="J8650" s="18">
        <f>IFERROR(__xludf.DUMMYFUNCTION("""COMPUTED_VALUE"""),5.0)</f>
        <v>5</v>
      </c>
      <c r="K8650" s="18">
        <f>IFERROR(__xludf.DUMMYFUNCTION("""COMPUTED_VALUE"""),22.0)</f>
        <v>22</v>
      </c>
      <c r="L8650" s="17">
        <f>IFERROR(__xludf.DUMMYFUNCTION("""COMPUTED_VALUE"""),3.137115373E9)</f>
        <v>3137115373</v>
      </c>
      <c r="M8650" s="17"/>
      <c r="N8650" s="17"/>
      <c r="O8650" s="17"/>
      <c r="P8650" s="17" t="b">
        <f>IFERROR(__xludf.DUMMYFUNCTION("""COMPUTED_VALUE"""),FALSE)</f>
        <v>0</v>
      </c>
      <c r="Q8650" s="20" t="str">
        <f>IFERROR(__xludf.DUMMYFUNCTION("""COMPUTED_VALUE"""),"")</f>
        <v/>
      </c>
      <c r="R8650" s="21" t="str">
        <f>IFERROR(__xludf.DUMMYFUNCTION("""COMPUTED_VALUE"""),"https://drive.google.com/file/d/17nFtRPAghlimaCLTsoHkoWpv7_eQjmZ1/view?usp=drivesdk")</f>
        <v>https://drive.google.com/file/d/17nFtRPAghlimaCLTsoHkoWpv7_eQjmZ1/view?usp=drivesdk</v>
      </c>
    </row>
    <row r="8651">
      <c r="A8651" s="17" t="str">
        <f>IFERROR(__xludf.DUMMYFUNCTION("""COMPUTED_VALUE"""),"")</f>
        <v/>
      </c>
      <c r="B8651" s="17" t="str">
        <f>IFERROR(__xludf.DUMMYFUNCTION("""COMPUTED_VALUE"""),"")</f>
        <v/>
      </c>
      <c r="C8651" s="17" t="str">
        <f>IFERROR(__xludf.DUMMYFUNCTION("""COMPUTED_VALUE"""),"")</f>
        <v/>
      </c>
      <c r="D8651" s="17" t="str">
        <f>IFERROR(__xludf.DUMMYFUNCTION("""COMPUTED_VALUE"""),"")</f>
        <v/>
      </c>
      <c r="E8651" s="17" t="str">
        <f>IFERROR(__xludf.DUMMYFUNCTION("""COMPUTED_VALUE"""),"")</f>
        <v/>
      </c>
      <c r="F8651" s="17" t="str">
        <f>IFERROR(__xludf.DUMMYFUNCTION("""COMPUTED_VALUE"""),"")</f>
        <v/>
      </c>
      <c r="G8651" s="17" t="str">
        <f>IFERROR(__xludf.DUMMYFUNCTION("""COMPUTED_VALUE"""),"")</f>
        <v/>
      </c>
      <c r="H8651" s="17" t="str">
        <f>IFERROR(__xludf.DUMMYFUNCTION("""COMPUTED_VALUE"""),"")</f>
        <v/>
      </c>
      <c r="I8651" s="17" t="str">
        <f>IFERROR(__xludf.DUMMYFUNCTION("""COMPUTED_VALUE"""),"")</f>
        <v/>
      </c>
      <c r="J8651" s="17" t="str">
        <f>IFERROR(__xludf.DUMMYFUNCTION("""COMPUTED_VALUE"""),"")</f>
        <v/>
      </c>
      <c r="K8651" s="17" t="str">
        <f>IFERROR(__xludf.DUMMYFUNCTION("""COMPUTED_VALUE"""),"")</f>
        <v/>
      </c>
      <c r="L8651" s="17" t="str">
        <f>IFERROR(__xludf.DUMMYFUNCTION("""COMPUTED_VALUE"""),"")</f>
        <v/>
      </c>
      <c r="M8651" s="17" t="str">
        <f>IFERROR(__xludf.DUMMYFUNCTION("""COMPUTED_VALUE"""),"")</f>
        <v/>
      </c>
      <c r="N8651" s="17" t="str">
        <f>IFERROR(__xludf.DUMMYFUNCTION("""COMPUTED_VALUE"""),"")</f>
        <v/>
      </c>
      <c r="O8651" s="17" t="str">
        <f>IFERROR(__xludf.DUMMYFUNCTION("""COMPUTED_VALUE"""),"")</f>
        <v/>
      </c>
      <c r="P8651" s="17" t="str">
        <f>IFERROR(__xludf.DUMMYFUNCTION("""COMPUTED_VALUE"""),"")</f>
        <v/>
      </c>
      <c r="Q8651" s="17" t="str">
        <f>IFERROR(__xludf.DUMMYFUNCTION("""COMPUTED_VALUE"""),"")</f>
        <v/>
      </c>
      <c r="R8651" s="17" t="str">
        <f>IFERROR(__xludf.DUMMYFUNCTION("""COMPUTED_VALUE"""),"")</f>
        <v/>
      </c>
    </row>
    <row r="8652">
      <c r="A8652" s="15">
        <f>IFERROR(__xludf.DUMMYFUNCTION("""COMPUTED_VALUE"""),45246.0)</f>
        <v>45246</v>
      </c>
      <c r="B8652" s="16" t="str">
        <f>IFERROR(__xludf.DUMMYFUNCTION("""COMPUTED_VALUE"""),"Lina Gaona")</f>
        <v>Lina Gaona</v>
      </c>
      <c r="C8652" s="15" t="str">
        <f>IFERROR(__xludf.DUMMYFUNCTION("""COMPUTED_VALUE"""),"VILLAVICENCIO")</f>
        <v>VILLAVICENCIO</v>
      </c>
      <c r="D8652" s="15" t="str">
        <f>IFERROR(__xludf.DUMMYFUNCTION("""COMPUTED_VALUE"""),"BOGOTÁ")</f>
        <v>BOGOTÁ</v>
      </c>
      <c r="E8652" s="15" t="str">
        <f>IFERROR(__xludf.DUMMYFUNCTION("""COMPUTED_VALUE"""),"Top Spun")</f>
        <v>Top Spun</v>
      </c>
      <c r="F8652" s="17" t="str">
        <f>IFERROR(__xludf.DUMMYFUNCTION("""COMPUTED_VALUE"""),"CALLE 35 C N 20 -51 / JORDAN PARAISO / VILLAVICENCIO")</f>
        <v>CALLE 35 C N 20 -51 / JORDAN PARAISO / VILLAVICENCIO</v>
      </c>
      <c r="G8652" s="15" t="str">
        <f>IFERROR(__xludf.DUMMYFUNCTION("""COMPUTED_VALUE"""),"KATHERINE GOMEZ GUEVARA")</f>
        <v>KATHERINE GOMEZ GUEVARA</v>
      </c>
      <c r="H8652" s="16">
        <f>IFERROR(__xludf.DUMMYFUNCTION("""COMPUTED_VALUE"""),17222.0)</f>
        <v>17222</v>
      </c>
      <c r="I8652" s="18">
        <f>IFERROR(__xludf.DUMMYFUNCTION("""COMPUTED_VALUE"""),20.0)</f>
        <v>20</v>
      </c>
      <c r="J8652" s="18">
        <f>IFERROR(__xludf.DUMMYFUNCTION("""COMPUTED_VALUE"""),10.0)</f>
        <v>10</v>
      </c>
      <c r="K8652" s="18">
        <f>IFERROR(__xludf.DUMMYFUNCTION("""COMPUTED_VALUE"""),40.0)</f>
        <v>40</v>
      </c>
      <c r="L8652" s="17">
        <f>IFERROR(__xludf.DUMMYFUNCTION("""COMPUTED_VALUE"""),3.115869725E9)</f>
        <v>3115869725</v>
      </c>
      <c r="M8652" s="17"/>
      <c r="N8652" s="17"/>
      <c r="O8652" s="17"/>
      <c r="P8652" s="17" t="b">
        <f>IFERROR(__xludf.DUMMYFUNCTION("""COMPUTED_VALUE"""),FALSE)</f>
        <v>0</v>
      </c>
      <c r="Q8652" s="20" t="str">
        <f>IFERROR(__xludf.DUMMYFUNCTION("""COMPUTED_VALUE"""),"")</f>
        <v/>
      </c>
      <c r="R8652" s="21" t="str">
        <f>IFERROR(__xludf.DUMMYFUNCTION("""COMPUTED_VALUE"""),"https://drive.google.com/file/d/1Tb0Oii12XllnB9xfDY71t3HE9urdo-Vz/view?usp=drivesdk")</f>
        <v>https://drive.google.com/file/d/1Tb0Oii12XllnB9xfDY71t3HE9urdo-Vz/view?usp=drivesdk</v>
      </c>
    </row>
    <row r="8653">
      <c r="A8653" s="17" t="str">
        <f>IFERROR(__xludf.DUMMYFUNCTION("""COMPUTED_VALUE"""),"")</f>
        <v/>
      </c>
      <c r="B8653" s="17" t="str">
        <f>IFERROR(__xludf.DUMMYFUNCTION("""COMPUTED_VALUE"""),"")</f>
        <v/>
      </c>
      <c r="C8653" s="17" t="str">
        <f>IFERROR(__xludf.DUMMYFUNCTION("""COMPUTED_VALUE"""),"")</f>
        <v/>
      </c>
      <c r="D8653" s="17" t="str">
        <f>IFERROR(__xludf.DUMMYFUNCTION("""COMPUTED_VALUE"""),"")</f>
        <v/>
      </c>
      <c r="E8653" s="17" t="str">
        <f>IFERROR(__xludf.DUMMYFUNCTION("""COMPUTED_VALUE"""),"")</f>
        <v/>
      </c>
      <c r="F8653" s="17" t="str">
        <f>IFERROR(__xludf.DUMMYFUNCTION("""COMPUTED_VALUE"""),"")</f>
        <v/>
      </c>
      <c r="G8653" s="17" t="str">
        <f>IFERROR(__xludf.DUMMYFUNCTION("""COMPUTED_VALUE"""),"")</f>
        <v/>
      </c>
      <c r="H8653" s="17" t="str">
        <f>IFERROR(__xludf.DUMMYFUNCTION("""COMPUTED_VALUE"""),"")</f>
        <v/>
      </c>
      <c r="I8653" s="17" t="str">
        <f>IFERROR(__xludf.DUMMYFUNCTION("""COMPUTED_VALUE"""),"")</f>
        <v/>
      </c>
      <c r="J8653" s="17" t="str">
        <f>IFERROR(__xludf.DUMMYFUNCTION("""COMPUTED_VALUE"""),"")</f>
        <v/>
      </c>
      <c r="K8653" s="17" t="str">
        <f>IFERROR(__xludf.DUMMYFUNCTION("""COMPUTED_VALUE"""),"")</f>
        <v/>
      </c>
      <c r="L8653" s="17" t="str">
        <f>IFERROR(__xludf.DUMMYFUNCTION("""COMPUTED_VALUE"""),"")</f>
        <v/>
      </c>
      <c r="M8653" s="17" t="str">
        <f>IFERROR(__xludf.DUMMYFUNCTION("""COMPUTED_VALUE"""),"")</f>
        <v/>
      </c>
      <c r="N8653" s="17" t="str">
        <f>IFERROR(__xludf.DUMMYFUNCTION("""COMPUTED_VALUE"""),"")</f>
        <v/>
      </c>
      <c r="O8653" s="17" t="str">
        <f>IFERROR(__xludf.DUMMYFUNCTION("""COMPUTED_VALUE"""),"")</f>
        <v/>
      </c>
      <c r="P8653" s="17" t="str">
        <f>IFERROR(__xludf.DUMMYFUNCTION("""COMPUTED_VALUE"""),"")</f>
        <v/>
      </c>
      <c r="Q8653" s="17" t="str">
        <f>IFERROR(__xludf.DUMMYFUNCTION("""COMPUTED_VALUE"""),"")</f>
        <v/>
      </c>
      <c r="R8653" s="17" t="str">
        <f>IFERROR(__xludf.DUMMYFUNCTION("""COMPUTED_VALUE"""),"")</f>
        <v/>
      </c>
    </row>
    <row r="8654">
      <c r="A8654" s="15">
        <f>IFERROR(__xludf.DUMMYFUNCTION("""COMPUTED_VALUE"""),45247.0)</f>
        <v>45247</v>
      </c>
      <c r="B8654" s="17"/>
      <c r="C8654" s="15" t="str">
        <f>IFERROR(__xludf.DUMMYFUNCTION("""COMPUTED_VALUE"""),"BOGOTÁ")</f>
        <v>BOGOTÁ</v>
      </c>
      <c r="D8654" s="15" t="str">
        <f>IFERROR(__xludf.DUMMYFUNCTION("""COMPUTED_VALUE"""),"MEDELLÍN")</f>
        <v>MEDELLÍN</v>
      </c>
      <c r="E8654" s="15" t="str">
        <f>IFERROR(__xludf.DUMMYFUNCTION("""COMPUTED_VALUE"""),"Lácteos El Pino SAS")</f>
        <v>Lácteos El Pino SAS</v>
      </c>
      <c r="F8654" s="17" t="str">
        <f>IFERROR(__xludf.DUMMYFUNCTION("""COMPUTED_VALUE"""),"CARRERA 54 # 65 - 25 / ENTREGAR EN DIRECCION")</f>
        <v>CARRERA 54 # 65 - 25 / ENTREGAR EN DIRECCION</v>
      </c>
      <c r="G8654" s="15" t="str">
        <f>IFERROR(__xludf.DUMMYFUNCTION("""COMPUTED_VALUE"""),"FELIPE MARIO PASCUA AGUIRRE")</f>
        <v>FELIPE MARIO PASCUA AGUIRRE</v>
      </c>
      <c r="H8654" s="16">
        <f>IFERROR(__xludf.DUMMYFUNCTION("""COMPUTED_VALUE"""),17341.0)</f>
        <v>17341</v>
      </c>
      <c r="I8654" s="17"/>
      <c r="J8654" s="17"/>
      <c r="K8654" s="17"/>
      <c r="L8654" s="17">
        <f>IFERROR(__xludf.DUMMYFUNCTION("""COMPUTED_VALUE"""),3.208334704E9)</f>
        <v>3208334704</v>
      </c>
      <c r="M8654" s="17"/>
      <c r="N8654" s="17"/>
      <c r="O8654" s="17"/>
      <c r="P8654" s="17" t="b">
        <f>IFERROR(__xludf.DUMMYFUNCTION("""COMPUTED_VALUE"""),FALSE)</f>
        <v>0</v>
      </c>
      <c r="Q8654" s="20" t="str">
        <f>IFERROR(__xludf.DUMMYFUNCTION("""COMPUTED_VALUE"""),"")</f>
        <v/>
      </c>
      <c r="R8654" s="21" t="str">
        <f>IFERROR(__xludf.DUMMYFUNCTION("""COMPUTED_VALUE"""),"https://drive.google.com/file/d/1xnKaLKNrS3rp6Q8TZyClHdL_-3WSsDGS/view?usp=drivesdk")</f>
        <v>https://drive.google.com/file/d/1xnKaLKNrS3rp6Q8TZyClHdL_-3WSsDGS/view?usp=drivesdk</v>
      </c>
    </row>
    <row r="8655">
      <c r="A8655" s="15">
        <f>IFERROR(__xludf.DUMMYFUNCTION("""COMPUTED_VALUE"""),45247.0)</f>
        <v>45247</v>
      </c>
      <c r="B8655" s="17"/>
      <c r="C8655" s="15" t="str">
        <f>IFERROR(__xludf.DUMMYFUNCTION("""COMPUTED_VALUE"""),"MEDELLÍN")</f>
        <v>MEDELLÍN</v>
      </c>
      <c r="D8655" s="15" t="str">
        <f>IFERROR(__xludf.DUMMYFUNCTION("""COMPUTED_VALUE"""),"BOGOTÁ")</f>
        <v>BOGOTÁ</v>
      </c>
      <c r="E8655" s="15" t="str">
        <f>IFERROR(__xludf.DUMMYFUNCTION("""COMPUTED_VALUE"""),"PAN DE WAFFLE")</f>
        <v>PAN DE WAFFLE</v>
      </c>
      <c r="F8655" s="17" t="str">
        <f>IFERROR(__xludf.DUMMYFUNCTION("""COMPUTED_VALUE"""),"Transveral 39b # 77 - 40 Laureles / Transveral 39b # 77 - 40 Laureles")</f>
        <v>Transveral 39b # 77 - 40 Laureles / Transveral 39b # 77 - 40 Laureles</v>
      </c>
      <c r="G8655" s="15" t="str">
        <f>IFERROR(__xludf.DUMMYFUNCTION("""COMPUTED_VALUE"""),"VITA INTEGRAL")</f>
        <v>VITA INTEGRAL</v>
      </c>
      <c r="H8655" s="16">
        <f>IFERROR(__xludf.DUMMYFUNCTION("""COMPUTED_VALUE"""),17364.0)</f>
        <v>17364</v>
      </c>
      <c r="I8655" s="17"/>
      <c r="J8655" s="17"/>
      <c r="K8655" s="17"/>
      <c r="L8655" s="17"/>
      <c r="M8655" s="17"/>
      <c r="N8655" s="17"/>
      <c r="O8655" s="17"/>
      <c r="P8655" s="17" t="b">
        <f>IFERROR(__xludf.DUMMYFUNCTION("""COMPUTED_VALUE"""),FALSE)</f>
        <v>0</v>
      </c>
      <c r="Q8655" s="20" t="str">
        <f>IFERROR(__xludf.DUMMYFUNCTION("""COMPUTED_VALUE"""),"")</f>
        <v/>
      </c>
      <c r="R8655" s="22" t="str">
        <f>IFERROR(__xludf.DUMMYFUNCTION("""COMPUTED_VALUE"""),"")</f>
        <v/>
      </c>
    </row>
    <row r="8656">
      <c r="A8656" s="15">
        <f>IFERROR(__xludf.DUMMYFUNCTION("""COMPUTED_VALUE"""),45247.0)</f>
        <v>45247</v>
      </c>
      <c r="B8656" s="17"/>
      <c r="C8656" s="15" t="str">
        <f>IFERROR(__xludf.DUMMYFUNCTION("""COMPUTED_VALUE"""),"MONTERIA")</f>
        <v>MONTERIA</v>
      </c>
      <c r="D8656" s="15" t="str">
        <f>IFERROR(__xludf.DUMMYFUNCTION("""COMPUTED_VALUE"""),"MEDELLÍN")</f>
        <v>MEDELLÍN</v>
      </c>
      <c r="E8656" s="15" t="str">
        <f>IFERROR(__xludf.DUMMYFUNCTION("""COMPUTED_VALUE"""),"Helados swip")</f>
        <v>Helados swip</v>
      </c>
      <c r="F8656" s="17" t="str">
        <f>IFERROR(__xludf.DUMMYFUNCTION("""COMPUTED_VALUE"""),"CALLE 62 # 6-45  / LOCAL 2 / X LA CARRERA 7 BARRIO ALCAZARES ")</f>
        <v>CALLE 62 # 6-45  / LOCAL 2 / X LA CARRERA 7 BARRIO ALCAZARES </v>
      </c>
      <c r="G8656" s="15" t="str">
        <f>IFERROR(__xludf.DUMMYFUNCTION("""COMPUTED_VALUE"""),"FEELI -- BEATRIZ ")</f>
        <v>FEELI -- BEATRIZ </v>
      </c>
      <c r="H8656" s="16">
        <f>IFERROR(__xludf.DUMMYFUNCTION("""COMPUTED_VALUE"""),17367.0)</f>
        <v>17367</v>
      </c>
      <c r="I8656" s="18">
        <f>IFERROR(__xludf.DUMMYFUNCTION("""COMPUTED_VALUE"""),29.0)</f>
        <v>29</v>
      </c>
      <c r="J8656" s="18">
        <f>IFERROR(__xludf.DUMMYFUNCTION("""COMPUTED_VALUE"""),55.0)</f>
        <v>55</v>
      </c>
      <c r="K8656" s="18">
        <f>IFERROR(__xludf.DUMMYFUNCTION("""COMPUTED_VALUE"""),45.0)</f>
        <v>45</v>
      </c>
      <c r="L8656" s="17">
        <f>IFERROR(__xludf.DUMMYFUNCTION("""COMPUTED_VALUE"""),3.052261719E9)</f>
        <v>3052261719</v>
      </c>
      <c r="M8656" s="17"/>
      <c r="N8656" s="17"/>
      <c r="O8656" s="17"/>
      <c r="P8656" s="17" t="b">
        <f>IFERROR(__xludf.DUMMYFUNCTION("""COMPUTED_VALUE"""),FALSE)</f>
        <v>0</v>
      </c>
      <c r="Q8656" s="20" t="str">
        <f>IFERROR(__xludf.DUMMYFUNCTION("""COMPUTED_VALUE"""),"")</f>
        <v/>
      </c>
      <c r="R8656" s="21" t="str">
        <f>IFERROR(__xludf.DUMMYFUNCTION("""COMPUTED_VALUE"""),"https://drive.google.com/file/d/19hHobawU4q0ftbxRDqr_6QtSbSilR1t0/view?usp=drivesdk")</f>
        <v>https://drive.google.com/file/d/19hHobawU4q0ftbxRDqr_6QtSbSilR1t0/view?usp=drivesdk</v>
      </c>
    </row>
    <row r="8657">
      <c r="A8657" s="17" t="str">
        <f>IFERROR(__xludf.DUMMYFUNCTION("""COMPUTED_VALUE"""),"")</f>
        <v/>
      </c>
      <c r="B8657" s="17" t="str">
        <f>IFERROR(__xludf.DUMMYFUNCTION("""COMPUTED_VALUE"""),"")</f>
        <v/>
      </c>
      <c r="C8657" s="17" t="str">
        <f>IFERROR(__xludf.DUMMYFUNCTION("""COMPUTED_VALUE"""),"")</f>
        <v/>
      </c>
      <c r="D8657" s="17" t="str">
        <f>IFERROR(__xludf.DUMMYFUNCTION("""COMPUTED_VALUE"""),"")</f>
        <v/>
      </c>
      <c r="E8657" s="17" t="str">
        <f>IFERROR(__xludf.DUMMYFUNCTION("""COMPUTED_VALUE"""),"")</f>
        <v/>
      </c>
      <c r="F8657" s="17" t="str">
        <f>IFERROR(__xludf.DUMMYFUNCTION("""COMPUTED_VALUE"""),"")</f>
        <v/>
      </c>
      <c r="G8657" s="17" t="str">
        <f>IFERROR(__xludf.DUMMYFUNCTION("""COMPUTED_VALUE"""),"")</f>
        <v/>
      </c>
      <c r="H8657" s="17" t="str">
        <f>IFERROR(__xludf.DUMMYFUNCTION("""COMPUTED_VALUE"""),"")</f>
        <v/>
      </c>
      <c r="I8657" s="17" t="str">
        <f>IFERROR(__xludf.DUMMYFUNCTION("""COMPUTED_VALUE"""),"")</f>
        <v/>
      </c>
      <c r="J8657" s="17" t="str">
        <f>IFERROR(__xludf.DUMMYFUNCTION("""COMPUTED_VALUE"""),"")</f>
        <v/>
      </c>
      <c r="K8657" s="17" t="str">
        <f>IFERROR(__xludf.DUMMYFUNCTION("""COMPUTED_VALUE"""),"")</f>
        <v/>
      </c>
      <c r="L8657" s="17" t="str">
        <f>IFERROR(__xludf.DUMMYFUNCTION("""COMPUTED_VALUE"""),"")</f>
        <v/>
      </c>
      <c r="M8657" s="17" t="str">
        <f>IFERROR(__xludf.DUMMYFUNCTION("""COMPUTED_VALUE"""),"")</f>
        <v/>
      </c>
      <c r="N8657" s="17" t="str">
        <f>IFERROR(__xludf.DUMMYFUNCTION("""COMPUTED_VALUE"""),"")</f>
        <v/>
      </c>
      <c r="O8657" s="17" t="str">
        <f>IFERROR(__xludf.DUMMYFUNCTION("""COMPUTED_VALUE"""),"")</f>
        <v/>
      </c>
      <c r="P8657" s="17" t="str">
        <f>IFERROR(__xludf.DUMMYFUNCTION("""COMPUTED_VALUE"""),"")</f>
        <v/>
      </c>
      <c r="Q8657" s="17" t="str">
        <f>IFERROR(__xludf.DUMMYFUNCTION("""COMPUTED_VALUE"""),"")</f>
        <v/>
      </c>
      <c r="R8657" s="17" t="str">
        <f>IFERROR(__xludf.DUMMYFUNCTION("""COMPUTED_VALUE"""),"")</f>
        <v/>
      </c>
    </row>
    <row r="8658">
      <c r="A8658" s="15">
        <f>IFERROR(__xludf.DUMMYFUNCTION("""COMPUTED_VALUE"""),45247.0)</f>
        <v>45247</v>
      </c>
      <c r="B8658" s="16" t="str">
        <f>IFERROR(__xludf.DUMMYFUNCTION("""COMPUTED_VALUE"""),"Alvaro Chacón")</f>
        <v>Alvaro Chacón</v>
      </c>
      <c r="C8658" s="15" t="str">
        <f>IFERROR(__xludf.DUMMYFUNCTION("""COMPUTED_VALUE"""),"BOGOTÁ")</f>
        <v>BOGOTÁ</v>
      </c>
      <c r="D8658" s="15" t="str">
        <f>IFERROR(__xludf.DUMMYFUNCTION("""COMPUTED_VALUE"""),"ENVIGADO")</f>
        <v>ENVIGADO</v>
      </c>
      <c r="E8658" s="15" t="str">
        <f>IFERROR(__xludf.DUMMYFUNCTION("""COMPUTED_VALUE"""),"JUAN CAMILO CORDOBA")</f>
        <v>JUAN CAMILO CORDOBA</v>
      </c>
      <c r="F8658" s="17" t="str">
        <f>IFERROR(__xludf.DUMMYFUNCTION("""COMPUTED_VALUE"""),"Calle 24 80b 82")</f>
        <v>Calle 24 80b 82</v>
      </c>
      <c r="G8658" s="15" t="str">
        <f>IFERROR(__xludf.DUMMYFUNCTION("""COMPUTED_VALUE"""),"Mercado Origenes")</f>
        <v>Mercado Origenes</v>
      </c>
      <c r="H8658" s="16">
        <f>IFERROR(__xludf.DUMMYFUNCTION("""COMPUTED_VALUE"""),17372.0)</f>
        <v>17372</v>
      </c>
      <c r="I8658" s="17"/>
      <c r="J8658" s="17"/>
      <c r="K8658" s="17"/>
      <c r="L8658" s="17">
        <f>IFERROR(__xludf.DUMMYFUNCTION("""COMPUTED_VALUE"""),3.136299043E9)</f>
        <v>3136299043</v>
      </c>
      <c r="M8658" s="17"/>
      <c r="N8658" s="17"/>
      <c r="O8658" s="17"/>
      <c r="P8658" s="17" t="b">
        <f>IFERROR(__xludf.DUMMYFUNCTION("""COMPUTED_VALUE"""),FALSE)</f>
        <v>0</v>
      </c>
      <c r="Q8658" s="20" t="str">
        <f>IFERROR(__xludf.DUMMYFUNCTION("""COMPUTED_VALUE"""),"")</f>
        <v/>
      </c>
      <c r="R8658" s="21" t="str">
        <f>IFERROR(__xludf.DUMMYFUNCTION("""COMPUTED_VALUE"""),"https://drive.google.com/file/d/1cKgWk14ydD0aUUMVViyKJUOmD3M0LnwT/view?usp=drivesdk")</f>
        <v>https://drive.google.com/file/d/1cKgWk14ydD0aUUMVViyKJUOmD3M0LnwT/view?usp=drivesdk</v>
      </c>
    </row>
    <row r="8659">
      <c r="A8659" s="15">
        <f>IFERROR(__xludf.DUMMYFUNCTION("""COMPUTED_VALUE"""),45247.0)</f>
        <v>45247</v>
      </c>
      <c r="B8659" s="16" t="str">
        <f>IFERROR(__xludf.DUMMYFUNCTION("""COMPUTED_VALUE"""),"Alvaro Chacón")</f>
        <v>Alvaro Chacón</v>
      </c>
      <c r="C8659" s="15" t="str">
        <f>IFERROR(__xludf.DUMMYFUNCTION("""COMPUTED_VALUE"""),"BOGOTÁ")</f>
        <v>BOGOTÁ</v>
      </c>
      <c r="D8659" s="15" t="str">
        <f>IFERROR(__xludf.DUMMYFUNCTION("""COMPUTED_VALUE"""),"ENVIGADO")</f>
        <v>ENVIGADO</v>
      </c>
      <c r="E8659" s="15" t="str">
        <f>IFERROR(__xludf.DUMMYFUNCTION("""COMPUTED_VALUE"""),"JUAN CAMILO CORDOBA")</f>
        <v>JUAN CAMILO CORDOBA</v>
      </c>
      <c r="F8659" s="17" t="str">
        <f>IFERROR(__xludf.DUMMYFUNCTION("""COMPUTED_VALUE"""),"Calle 93a #11-46")</f>
        <v>Calle 93a #11-46</v>
      </c>
      <c r="G8659" s="15" t="str">
        <f>IFERROR(__xludf.DUMMYFUNCTION("""COMPUTED_VALUE"""),"Fit Hub")</f>
        <v>Fit Hub</v>
      </c>
      <c r="H8659" s="16">
        <f>IFERROR(__xludf.DUMMYFUNCTION("""COMPUTED_VALUE"""),17373.0)</f>
        <v>17373</v>
      </c>
      <c r="I8659" s="17"/>
      <c r="J8659" s="17"/>
      <c r="K8659" s="17"/>
      <c r="L8659" s="17">
        <f>IFERROR(__xludf.DUMMYFUNCTION("""COMPUTED_VALUE"""),3.015447307E9)</f>
        <v>3015447307</v>
      </c>
      <c r="M8659" s="17"/>
      <c r="N8659" s="17"/>
      <c r="O8659" s="17"/>
      <c r="P8659" s="17" t="b">
        <f>IFERROR(__xludf.DUMMYFUNCTION("""COMPUTED_VALUE"""),FALSE)</f>
        <v>0</v>
      </c>
      <c r="Q8659" s="20" t="str">
        <f>IFERROR(__xludf.DUMMYFUNCTION("""COMPUTED_VALUE"""),"")</f>
        <v/>
      </c>
      <c r="R8659" s="21" t="str">
        <f>IFERROR(__xludf.DUMMYFUNCTION("""COMPUTED_VALUE"""),"https://drive.google.com/file/d/1f2V9x_WUZ66NaMAxriESMg9IDFDxqisN/view?usp=drivesdk")</f>
        <v>https://drive.google.com/file/d/1f2V9x_WUZ66NaMAxriESMg9IDFDxqisN/view?usp=drivesdk</v>
      </c>
    </row>
    <row r="8660">
      <c r="A8660" s="15">
        <f>IFERROR(__xludf.DUMMYFUNCTION("""COMPUTED_VALUE"""),45247.0)</f>
        <v>45247</v>
      </c>
      <c r="B8660" s="16" t="str">
        <f>IFERROR(__xludf.DUMMYFUNCTION("""COMPUTED_VALUE"""),"Alvaro Chacón")</f>
        <v>Alvaro Chacón</v>
      </c>
      <c r="C8660" s="15" t="str">
        <f>IFERROR(__xludf.DUMMYFUNCTION("""COMPUTED_VALUE"""),"BOGOTÁ")</f>
        <v>BOGOTÁ</v>
      </c>
      <c r="D8660" s="15" t="str">
        <f>IFERROR(__xludf.DUMMYFUNCTION("""COMPUTED_VALUE"""),"MEDELLÍN")</f>
        <v>MEDELLÍN</v>
      </c>
      <c r="E8660" s="15" t="str">
        <f>IFERROR(__xludf.DUMMYFUNCTION("""COMPUTED_VALUE"""),"AREPAS LA MARY")</f>
        <v>AREPAS LA MARY</v>
      </c>
      <c r="F8660" s="17" t="str">
        <f>IFERROR(__xludf.DUMMYFUNCTION("""COMPUTED_VALUE"""),"Calle 128b #78-90 Casa 20 / Conjunto Arboreto")</f>
        <v>Calle 128b #78-90 Casa 20 / Conjunto Arboreto</v>
      </c>
      <c r="G8660" s="15" t="str">
        <f>IFERROR(__xludf.DUMMYFUNCTION("""COMPUTED_VALUE"""),"MARTHA CALDERON CARDOSO")</f>
        <v>MARTHA CALDERON CARDOSO</v>
      </c>
      <c r="H8660" s="16">
        <f>IFERROR(__xludf.DUMMYFUNCTION("""COMPUTED_VALUE"""),17395.0)</f>
        <v>17395</v>
      </c>
      <c r="I8660" s="17"/>
      <c r="J8660" s="17"/>
      <c r="K8660" s="17"/>
      <c r="L8660" s="17">
        <f>IFERROR(__xludf.DUMMYFUNCTION("""COMPUTED_VALUE"""),3.102349623E9)</f>
        <v>3102349623</v>
      </c>
      <c r="M8660" s="17"/>
      <c r="N8660" s="17"/>
      <c r="O8660" s="17"/>
      <c r="P8660" s="17" t="b">
        <f>IFERROR(__xludf.DUMMYFUNCTION("""COMPUTED_VALUE"""),FALSE)</f>
        <v>0</v>
      </c>
      <c r="Q8660" s="20" t="str">
        <f>IFERROR(__xludf.DUMMYFUNCTION("""COMPUTED_VALUE"""),"")</f>
        <v/>
      </c>
      <c r="R8660" s="21" t="str">
        <f>IFERROR(__xludf.DUMMYFUNCTION("""COMPUTED_VALUE"""),"https://drive.google.com/file/d/1MbFDPsHcuDbpG4fqMB9q2_fkad9y6irT/view?usp=drivesdk")</f>
        <v>https://drive.google.com/file/d/1MbFDPsHcuDbpG4fqMB9q2_fkad9y6irT/view?usp=drivesdk</v>
      </c>
    </row>
    <row r="8661">
      <c r="A8661" s="15">
        <f>IFERROR(__xludf.DUMMYFUNCTION("""COMPUTED_VALUE"""),45247.0)</f>
        <v>45247</v>
      </c>
      <c r="B8661" s="16" t="str">
        <f>IFERROR(__xludf.DUMMYFUNCTION("""COMPUTED_VALUE"""),"Alvaro Chacón")</f>
        <v>Alvaro Chacón</v>
      </c>
      <c r="C8661" s="15" t="str">
        <f>IFERROR(__xludf.DUMMYFUNCTION("""COMPUTED_VALUE"""),"BOGOTÁ")</f>
        <v>BOGOTÁ</v>
      </c>
      <c r="D8661" s="15" t="str">
        <f>IFERROR(__xludf.DUMMYFUNCTION("""COMPUTED_VALUE"""),"MEDELLÍN")</f>
        <v>MEDELLÍN</v>
      </c>
      <c r="E8661" s="15" t="str">
        <f>IFERROR(__xludf.DUMMYFUNCTION("""COMPUTED_VALUE"""),"AREPAS LA MARY")</f>
        <v>AREPAS LA MARY</v>
      </c>
      <c r="F8661" s="17" t="str">
        <f>IFERROR(__xludf.DUMMYFUNCTION("""COMPUTED_VALUE"""),"Calle 238#55-39 / Hacienda San Simón Frailejon Casa 13")</f>
        <v>Calle 238#55-39 / Hacienda San Simón Frailejon Casa 13</v>
      </c>
      <c r="G8661" s="15" t="str">
        <f>IFERROR(__xludf.DUMMYFUNCTION("""COMPUTED_VALUE"""),"MARIA BELEN IECERASI")</f>
        <v>MARIA BELEN IECERASI</v>
      </c>
      <c r="H8661" s="16">
        <f>IFERROR(__xludf.DUMMYFUNCTION("""COMPUTED_VALUE"""),17396.0)</f>
        <v>17396</v>
      </c>
      <c r="I8661" s="17"/>
      <c r="J8661" s="17"/>
      <c r="K8661" s="17"/>
      <c r="L8661" s="17">
        <f>IFERROR(__xludf.DUMMYFUNCTION("""COMPUTED_VALUE"""),3.013896508E9)</f>
        <v>3013896508</v>
      </c>
      <c r="M8661" s="17"/>
      <c r="N8661" s="17"/>
      <c r="O8661" s="17"/>
      <c r="P8661" s="17" t="b">
        <f>IFERROR(__xludf.DUMMYFUNCTION("""COMPUTED_VALUE"""),FALSE)</f>
        <v>0</v>
      </c>
      <c r="Q8661" s="20" t="str">
        <f>IFERROR(__xludf.DUMMYFUNCTION("""COMPUTED_VALUE"""),"")</f>
        <v/>
      </c>
      <c r="R8661" s="21" t="str">
        <f>IFERROR(__xludf.DUMMYFUNCTION("""COMPUTED_VALUE"""),"https://drive.google.com/file/d/1NPwfwxdKxuHSfFqk9KWqrnjoNK5H_IuE/view?usp=drivesdk")</f>
        <v>https://drive.google.com/file/d/1NPwfwxdKxuHSfFqk9KWqrnjoNK5H_IuE/view?usp=drivesdk</v>
      </c>
    </row>
    <row r="8662">
      <c r="A8662" s="15">
        <f>IFERROR(__xludf.DUMMYFUNCTION("""COMPUTED_VALUE"""),45247.0)</f>
        <v>45247</v>
      </c>
      <c r="B8662" s="16" t="str">
        <f>IFERROR(__xludf.DUMMYFUNCTION("""COMPUTED_VALUE"""),"Alvaro Chacón")</f>
        <v>Alvaro Chacón</v>
      </c>
      <c r="C8662" s="15" t="str">
        <f>IFERROR(__xludf.DUMMYFUNCTION("""COMPUTED_VALUE"""),"BOGOTÁ")</f>
        <v>BOGOTÁ</v>
      </c>
      <c r="D8662" s="15" t="str">
        <f>IFERROR(__xludf.DUMMYFUNCTION("""COMPUTED_VALUE"""),"MEDELLÍN")</f>
        <v>MEDELLÍN</v>
      </c>
      <c r="E8662" s="15" t="str">
        <f>IFERROR(__xludf.DUMMYFUNCTION("""COMPUTED_VALUE"""),"AREPAS LA MARY")</f>
        <v>AREPAS LA MARY</v>
      </c>
      <c r="F8662" s="17" t="str">
        <f>IFERROR(__xludf.DUMMYFUNCTION("""COMPUTED_VALUE"""),"Cra 17#124-28 / Portico v")</f>
        <v>Cra 17#124-28 / Portico v</v>
      </c>
      <c r="G8662" s="15" t="str">
        <f>IFERROR(__xludf.DUMMYFUNCTION("""COMPUTED_VALUE"""),"ANDREA LIZARAZO")</f>
        <v>ANDREA LIZARAZO</v>
      </c>
      <c r="H8662" s="16">
        <f>IFERROR(__xludf.DUMMYFUNCTION("""COMPUTED_VALUE"""),17399.0)</f>
        <v>17399</v>
      </c>
      <c r="I8662" s="17"/>
      <c r="J8662" s="17"/>
      <c r="K8662" s="17"/>
      <c r="L8662" s="17">
        <f>IFERROR(__xludf.DUMMYFUNCTION("""COMPUTED_VALUE"""),3.174396925E9)</f>
        <v>3174396925</v>
      </c>
      <c r="M8662" s="17"/>
      <c r="N8662" s="17"/>
      <c r="O8662" s="17"/>
      <c r="P8662" s="17" t="b">
        <f>IFERROR(__xludf.DUMMYFUNCTION("""COMPUTED_VALUE"""),FALSE)</f>
        <v>0</v>
      </c>
      <c r="Q8662" s="20" t="str">
        <f>IFERROR(__xludf.DUMMYFUNCTION("""COMPUTED_VALUE"""),"")</f>
        <v/>
      </c>
      <c r="R8662" s="21" t="str">
        <f>IFERROR(__xludf.DUMMYFUNCTION("""COMPUTED_VALUE"""),"https://drive.google.com/file/d/1YHulJwJCZMw5O6grq4_TEqJO6XKv9GRf/view?usp=drivesdk")</f>
        <v>https://drive.google.com/file/d/1YHulJwJCZMw5O6grq4_TEqJO6XKv9GRf/view?usp=drivesdk</v>
      </c>
    </row>
    <row r="8663">
      <c r="A8663" s="15">
        <f>IFERROR(__xludf.DUMMYFUNCTION("""COMPUTED_VALUE"""),45247.0)</f>
        <v>45247</v>
      </c>
      <c r="B8663" s="16" t="str">
        <f>IFERROR(__xludf.DUMMYFUNCTION("""COMPUTED_VALUE"""),"Alvaro Chacón")</f>
        <v>Alvaro Chacón</v>
      </c>
      <c r="C8663" s="15" t="str">
        <f>IFERROR(__xludf.DUMMYFUNCTION("""COMPUTED_VALUE"""),"BOGOTÁ")</f>
        <v>BOGOTÁ</v>
      </c>
      <c r="D8663" s="15" t="str">
        <f>IFERROR(__xludf.DUMMYFUNCTION("""COMPUTED_VALUE"""),"MEDELLÍN")</f>
        <v>MEDELLÍN</v>
      </c>
      <c r="E8663" s="15" t="str">
        <f>IFERROR(__xludf.DUMMYFUNCTION("""COMPUTED_VALUE"""),"AREPAS LA MARY")</f>
        <v>AREPAS LA MARY</v>
      </c>
      <c r="F8663" s="17" t="str">
        <f>IFERROR(__xludf.DUMMYFUNCTION("""COMPUTED_VALUE"""),"CRA 21 N.106 B 29 / ANCORA")</f>
        <v>CRA 21 N.106 B 29 / ANCORA</v>
      </c>
      <c r="G8663" s="15" t="str">
        <f>IFERROR(__xludf.DUMMYFUNCTION("""COMPUTED_VALUE"""),"JUAN CARLOS AMAYA")</f>
        <v>JUAN CARLOS AMAYA</v>
      </c>
      <c r="H8663" s="16">
        <f>IFERROR(__xludf.DUMMYFUNCTION("""COMPUTED_VALUE"""),17397.0)</f>
        <v>17397</v>
      </c>
      <c r="I8663" s="17"/>
      <c r="J8663" s="17"/>
      <c r="K8663" s="17"/>
      <c r="L8663" s="17">
        <f>IFERROR(__xludf.DUMMYFUNCTION("""COMPUTED_VALUE"""),3.174387238E9)</f>
        <v>3174387238</v>
      </c>
      <c r="M8663" s="17"/>
      <c r="N8663" s="17"/>
      <c r="O8663" s="17"/>
      <c r="P8663" s="17" t="b">
        <f>IFERROR(__xludf.DUMMYFUNCTION("""COMPUTED_VALUE"""),FALSE)</f>
        <v>0</v>
      </c>
      <c r="Q8663" s="20" t="str">
        <f>IFERROR(__xludf.DUMMYFUNCTION("""COMPUTED_VALUE"""),"")</f>
        <v/>
      </c>
      <c r="R8663" s="21" t="str">
        <f>IFERROR(__xludf.DUMMYFUNCTION("""COMPUTED_VALUE"""),"https://drive.google.com/file/d/1CM1Lvw-McOohjEXFI3R46cNxXXFjMYWX/view?usp=drivesdk")</f>
        <v>https://drive.google.com/file/d/1CM1Lvw-McOohjEXFI3R46cNxXXFjMYWX/view?usp=drivesdk</v>
      </c>
    </row>
    <row r="8664">
      <c r="A8664" s="15">
        <f>IFERROR(__xludf.DUMMYFUNCTION("""COMPUTED_VALUE"""),45247.0)</f>
        <v>45247</v>
      </c>
      <c r="B8664" s="16" t="str">
        <f>IFERROR(__xludf.DUMMYFUNCTION("""COMPUTED_VALUE"""),"Alvaro Chacón")</f>
        <v>Alvaro Chacón</v>
      </c>
      <c r="C8664" s="15" t="str">
        <f>IFERROR(__xludf.DUMMYFUNCTION("""COMPUTED_VALUE"""),"BOGOTÁ")</f>
        <v>BOGOTÁ</v>
      </c>
      <c r="D8664" s="15" t="str">
        <f>IFERROR(__xludf.DUMMYFUNCTION("""COMPUTED_VALUE"""),"MEDELLÍN")</f>
        <v>MEDELLÍN</v>
      </c>
      <c r="E8664" s="15" t="str">
        <f>IFERROR(__xludf.DUMMYFUNCTION("""COMPUTED_VALUE"""),"AREPAS LA MARY")</f>
        <v>AREPAS LA MARY</v>
      </c>
      <c r="F8664" s="17" t="str">
        <f>IFERROR(__xludf.DUMMYFUNCTION("""COMPUTED_VALUE"""),"cra 54 # 126-35 Torre 3 Apto 601 / PARQUE CORDOBA")</f>
        <v>cra 54 # 126-35 Torre 3 Apto 601 / PARQUE CORDOBA</v>
      </c>
      <c r="G8664" s="15" t="str">
        <f>IFERROR(__xludf.DUMMYFUNCTION("""COMPUTED_VALUE"""),"CAROLINA CABRA")</f>
        <v>CAROLINA CABRA</v>
      </c>
      <c r="H8664" s="16">
        <f>IFERROR(__xludf.DUMMYFUNCTION("""COMPUTED_VALUE"""),17394.0)</f>
        <v>17394</v>
      </c>
      <c r="I8664" s="17"/>
      <c r="J8664" s="17"/>
      <c r="K8664" s="17"/>
      <c r="L8664" s="17">
        <f>IFERROR(__xludf.DUMMYFUNCTION("""COMPUTED_VALUE"""),3.102539108E9)</f>
        <v>3102539108</v>
      </c>
      <c r="M8664" s="17"/>
      <c r="N8664" s="17"/>
      <c r="O8664" s="17"/>
      <c r="P8664" s="17" t="b">
        <f>IFERROR(__xludf.DUMMYFUNCTION("""COMPUTED_VALUE"""),FALSE)</f>
        <v>0</v>
      </c>
      <c r="Q8664" s="20" t="str">
        <f>IFERROR(__xludf.DUMMYFUNCTION("""COMPUTED_VALUE"""),"")</f>
        <v/>
      </c>
      <c r="R8664" s="21" t="str">
        <f>IFERROR(__xludf.DUMMYFUNCTION("""COMPUTED_VALUE"""),"https://drive.google.com/file/d/1f9voJUazyPoyPa5mkLtQwg9yphWrfXFA/view?usp=drivesdk")</f>
        <v>https://drive.google.com/file/d/1f9voJUazyPoyPa5mkLtQwg9yphWrfXFA/view?usp=drivesdk</v>
      </c>
    </row>
    <row r="8665">
      <c r="A8665" s="15">
        <f>IFERROR(__xludf.DUMMYFUNCTION("""COMPUTED_VALUE"""),45247.0)</f>
        <v>45247</v>
      </c>
      <c r="B8665" s="16" t="str">
        <f>IFERROR(__xludf.DUMMYFUNCTION("""COMPUTED_VALUE"""),"Alvaro Chacón")</f>
        <v>Alvaro Chacón</v>
      </c>
      <c r="C8665" s="15" t="str">
        <f>IFERROR(__xludf.DUMMYFUNCTION("""COMPUTED_VALUE"""),"BOGOTÁ")</f>
        <v>BOGOTÁ</v>
      </c>
      <c r="D8665" s="15" t="str">
        <f>IFERROR(__xludf.DUMMYFUNCTION("""COMPUTED_VALUE"""),"MEDELLÍN")</f>
        <v>MEDELLÍN</v>
      </c>
      <c r="E8665" s="15" t="str">
        <f>IFERROR(__xludf.DUMMYFUNCTION("""COMPUTED_VALUE"""),"Baby Chef")</f>
        <v>Baby Chef</v>
      </c>
      <c r="F8665" s="17" t="str">
        <f>IFERROR(__xludf.DUMMYFUNCTION("""COMPUTED_VALUE"""),"Calle 64 # 1 - 15 Torre 1 Apto 203 Conjunto Kandinsky / . / .")</f>
        <v>Calle 64 # 1 - 15 Torre 1 Apto 203 Conjunto Kandinsky / . / .</v>
      </c>
      <c r="G8665" s="15" t="str">
        <f>IFERROR(__xludf.DUMMYFUNCTION("""COMPUTED_VALUE"""),"Elkin Yesid García Rueda")</f>
        <v>Elkin Yesid García Rueda</v>
      </c>
      <c r="H8665" s="16">
        <f>IFERROR(__xludf.DUMMYFUNCTION("""COMPUTED_VALUE"""),17387.0)</f>
        <v>17387</v>
      </c>
      <c r="I8665" s="18">
        <f>IFERROR(__xludf.DUMMYFUNCTION("""COMPUTED_VALUE"""),8.0)</f>
        <v>8</v>
      </c>
      <c r="J8665" s="18">
        <f>IFERROR(__xludf.DUMMYFUNCTION("""COMPUTED_VALUE"""),16.0)</f>
        <v>16</v>
      </c>
      <c r="K8665" s="18">
        <f>IFERROR(__xludf.DUMMYFUNCTION("""COMPUTED_VALUE"""),20.0)</f>
        <v>20</v>
      </c>
      <c r="L8665" s="17">
        <f>IFERROR(__xludf.DUMMYFUNCTION("""COMPUTED_VALUE"""),3.183820228E9)</f>
        <v>3183820228</v>
      </c>
      <c r="M8665" s="17"/>
      <c r="N8665" s="17"/>
      <c r="O8665" s="17"/>
      <c r="P8665" s="17" t="b">
        <f>IFERROR(__xludf.DUMMYFUNCTION("""COMPUTED_VALUE"""),FALSE)</f>
        <v>0</v>
      </c>
      <c r="Q8665" s="20" t="str">
        <f>IFERROR(__xludf.DUMMYFUNCTION("""COMPUTED_VALUE"""),"")</f>
        <v/>
      </c>
      <c r="R8665" s="21" t="str">
        <f>IFERROR(__xludf.DUMMYFUNCTION("""COMPUTED_VALUE"""),"https://drive.google.com/file/d/1E4ItGpvxvHE9sDt7CtNQ-KfsibYXmGJ7/view?usp=drivesdk")</f>
        <v>https://drive.google.com/file/d/1E4ItGpvxvHE9sDt7CtNQ-KfsibYXmGJ7/view?usp=drivesdk</v>
      </c>
    </row>
    <row r="8666">
      <c r="A8666" s="15">
        <f>IFERROR(__xludf.DUMMYFUNCTION("""COMPUTED_VALUE"""),45247.0)</f>
        <v>45247</v>
      </c>
      <c r="B8666" s="16" t="str">
        <f>IFERROR(__xludf.DUMMYFUNCTION("""COMPUTED_VALUE"""),"Alvaro Chacón")</f>
        <v>Alvaro Chacón</v>
      </c>
      <c r="C8666" s="15" t="str">
        <f>IFERROR(__xludf.DUMMYFUNCTION("""COMPUTED_VALUE"""),"BOGOTÁ")</f>
        <v>BOGOTÁ</v>
      </c>
      <c r="D8666" s="15" t="str">
        <f>IFERROR(__xludf.DUMMYFUNCTION("""COMPUTED_VALUE"""),"MEDELLÍN")</f>
        <v>MEDELLÍN</v>
      </c>
      <c r="E8666" s="15" t="str">
        <f>IFERROR(__xludf.DUMMYFUNCTION("""COMPUTED_VALUE"""),"Baby Chef")</f>
        <v>Baby Chef</v>
      </c>
      <c r="F8666" s="17" t="str">
        <f>IFERROR(__xludf.DUMMYFUNCTION("""COMPUTED_VALUE"""),"Carrera 104b Bis 23d 56 / . / .")</f>
        <v>Carrera 104b Bis 23d 56 / . / .</v>
      </c>
      <c r="G8666" s="15" t="str">
        <f>IFERROR(__xludf.DUMMYFUNCTION("""COMPUTED_VALUE"""),"Paola Elles")</f>
        <v>Paola Elles</v>
      </c>
      <c r="H8666" s="16">
        <f>IFERROR(__xludf.DUMMYFUNCTION("""COMPUTED_VALUE"""),17391.0)</f>
        <v>17391</v>
      </c>
      <c r="I8666" s="18">
        <f>IFERROR(__xludf.DUMMYFUNCTION("""COMPUTED_VALUE"""),7.0)</f>
        <v>7</v>
      </c>
      <c r="J8666" s="18">
        <f>IFERROR(__xludf.DUMMYFUNCTION("""COMPUTED_VALUE"""),26.0)</f>
        <v>26</v>
      </c>
      <c r="K8666" s="18">
        <f>IFERROR(__xludf.DUMMYFUNCTION("""COMPUTED_VALUE"""),24.0)</f>
        <v>24</v>
      </c>
      <c r="L8666" s="17">
        <f>IFERROR(__xludf.DUMMYFUNCTION("""COMPUTED_VALUE"""),3.115531515E9)</f>
        <v>3115531515</v>
      </c>
      <c r="M8666" s="17"/>
      <c r="N8666" s="17"/>
      <c r="O8666" s="17"/>
      <c r="P8666" s="17" t="b">
        <f>IFERROR(__xludf.DUMMYFUNCTION("""COMPUTED_VALUE"""),FALSE)</f>
        <v>0</v>
      </c>
      <c r="Q8666" s="20" t="str">
        <f>IFERROR(__xludf.DUMMYFUNCTION("""COMPUTED_VALUE"""),"")</f>
        <v/>
      </c>
      <c r="R8666" s="21" t="str">
        <f>IFERROR(__xludf.DUMMYFUNCTION("""COMPUTED_VALUE"""),"https://drive.google.com/file/d/15HvNWw-LRDtMkf7-DtdWdukLBw-vTdI_/view?usp=drivesdk")</f>
        <v>https://drive.google.com/file/d/15HvNWw-LRDtMkf7-DtdWdukLBw-vTdI_/view?usp=drivesdk</v>
      </c>
    </row>
    <row r="8667">
      <c r="A8667" s="15">
        <f>IFERROR(__xludf.DUMMYFUNCTION("""COMPUTED_VALUE"""),45247.0)</f>
        <v>45247</v>
      </c>
      <c r="B8667" s="16" t="str">
        <f>IFERROR(__xludf.DUMMYFUNCTION("""COMPUTED_VALUE"""),"Alvaro Chacón")</f>
        <v>Alvaro Chacón</v>
      </c>
      <c r="C8667" s="15" t="str">
        <f>IFERROR(__xludf.DUMMYFUNCTION("""COMPUTED_VALUE"""),"BOGOTÁ")</f>
        <v>BOGOTÁ</v>
      </c>
      <c r="D8667" s="15" t="str">
        <f>IFERROR(__xludf.DUMMYFUNCTION("""COMPUTED_VALUE"""),"NEIVA")</f>
        <v>NEIVA</v>
      </c>
      <c r="E8667" s="15" t="str">
        <f>IFERROR(__xludf.DUMMYFUNCTION("""COMPUTED_VALUE"""),"Natalia Carreño")</f>
        <v>Natalia Carreño</v>
      </c>
      <c r="F8667" s="17" t="str">
        <f>IFERROR(__xludf.DUMMYFUNCTION("""COMPUTED_VALUE"""),"Carrera 27 #70-83 / Casa color Curuba / Alcázares")</f>
        <v>Carrera 27 #70-83 / Casa color Curuba / Alcázares</v>
      </c>
      <c r="G8667" s="15" t="str">
        <f>IFERROR(__xludf.DUMMYFUNCTION("""COMPUTED_VALUE"""),"Natalia Carreño")</f>
        <v>Natalia Carreño</v>
      </c>
      <c r="H8667" s="16">
        <f>IFERROR(__xludf.DUMMYFUNCTION("""COMPUTED_VALUE"""),17326.0)</f>
        <v>17326</v>
      </c>
      <c r="I8667" s="18">
        <f>IFERROR(__xludf.DUMMYFUNCTION("""COMPUTED_VALUE"""),60.0)</f>
        <v>60</v>
      </c>
      <c r="J8667" s="18">
        <f>IFERROR(__xludf.DUMMYFUNCTION("""COMPUTED_VALUE"""),60.0)</f>
        <v>60</v>
      </c>
      <c r="K8667" s="18">
        <f>IFERROR(__xludf.DUMMYFUNCTION("""COMPUTED_VALUE"""),50.0)</f>
        <v>50</v>
      </c>
      <c r="L8667" s="17">
        <f>IFERROR(__xludf.DUMMYFUNCTION("""COMPUTED_VALUE"""),3.11561131E9)</f>
        <v>3115611310</v>
      </c>
      <c r="M8667" s="17"/>
      <c r="N8667" s="17"/>
      <c r="O8667" s="17"/>
      <c r="P8667" s="17" t="b">
        <f>IFERROR(__xludf.DUMMYFUNCTION("""COMPUTED_VALUE"""),FALSE)</f>
        <v>0</v>
      </c>
      <c r="Q8667" s="20" t="str">
        <f>IFERROR(__xludf.DUMMYFUNCTION("""COMPUTED_VALUE"""),"")</f>
        <v/>
      </c>
      <c r="R8667" s="21" t="str">
        <f>IFERROR(__xludf.DUMMYFUNCTION("""COMPUTED_VALUE"""),"https://drive.google.com/file/d/1eYCcEYPyyQhIgD9q79BABahzJEGeJHuI/view?usp=drivesdk")</f>
        <v>https://drive.google.com/file/d/1eYCcEYPyyQhIgD9q79BABahzJEGeJHuI/view?usp=drivesdk</v>
      </c>
    </row>
    <row r="8668">
      <c r="A8668" s="17" t="str">
        <f>IFERROR(__xludf.DUMMYFUNCTION("""COMPUTED_VALUE"""),"")</f>
        <v/>
      </c>
      <c r="B8668" s="17" t="str">
        <f>IFERROR(__xludf.DUMMYFUNCTION("""COMPUTED_VALUE"""),"")</f>
        <v/>
      </c>
      <c r="C8668" s="17" t="str">
        <f>IFERROR(__xludf.DUMMYFUNCTION("""COMPUTED_VALUE"""),"")</f>
        <v/>
      </c>
      <c r="D8668" s="17" t="str">
        <f>IFERROR(__xludf.DUMMYFUNCTION("""COMPUTED_VALUE"""),"")</f>
        <v/>
      </c>
      <c r="E8668" s="17" t="str">
        <f>IFERROR(__xludf.DUMMYFUNCTION("""COMPUTED_VALUE"""),"")</f>
        <v/>
      </c>
      <c r="F8668" s="17" t="str">
        <f>IFERROR(__xludf.DUMMYFUNCTION("""COMPUTED_VALUE"""),"")</f>
        <v/>
      </c>
      <c r="G8668" s="17" t="str">
        <f>IFERROR(__xludf.DUMMYFUNCTION("""COMPUTED_VALUE"""),"")</f>
        <v/>
      </c>
      <c r="H8668" s="17" t="str">
        <f>IFERROR(__xludf.DUMMYFUNCTION("""COMPUTED_VALUE"""),"")</f>
        <v/>
      </c>
      <c r="I8668" s="17" t="str">
        <f>IFERROR(__xludf.DUMMYFUNCTION("""COMPUTED_VALUE"""),"")</f>
        <v/>
      </c>
      <c r="J8668" s="17" t="str">
        <f>IFERROR(__xludf.DUMMYFUNCTION("""COMPUTED_VALUE"""),"")</f>
        <v/>
      </c>
      <c r="K8668" s="17" t="str">
        <f>IFERROR(__xludf.DUMMYFUNCTION("""COMPUTED_VALUE"""),"")</f>
        <v/>
      </c>
      <c r="L8668" s="17" t="str">
        <f>IFERROR(__xludf.DUMMYFUNCTION("""COMPUTED_VALUE"""),"")</f>
        <v/>
      </c>
      <c r="M8668" s="17" t="str">
        <f>IFERROR(__xludf.DUMMYFUNCTION("""COMPUTED_VALUE"""),"")</f>
        <v/>
      </c>
      <c r="N8668" s="17" t="str">
        <f>IFERROR(__xludf.DUMMYFUNCTION("""COMPUTED_VALUE"""),"")</f>
        <v/>
      </c>
      <c r="O8668" s="17" t="str">
        <f>IFERROR(__xludf.DUMMYFUNCTION("""COMPUTED_VALUE"""),"")</f>
        <v/>
      </c>
      <c r="P8668" s="17" t="str">
        <f>IFERROR(__xludf.DUMMYFUNCTION("""COMPUTED_VALUE"""),"")</f>
        <v/>
      </c>
      <c r="Q8668" s="17" t="str">
        <f>IFERROR(__xludf.DUMMYFUNCTION("""COMPUTED_VALUE"""),"")</f>
        <v/>
      </c>
      <c r="R8668" s="17" t="str">
        <f>IFERROR(__xludf.DUMMYFUNCTION("""COMPUTED_VALUE"""),"")</f>
        <v/>
      </c>
    </row>
    <row r="8669">
      <c r="A8669" s="15">
        <f>IFERROR(__xludf.DUMMYFUNCTION("""COMPUTED_VALUE"""),45247.0)</f>
        <v>45247</v>
      </c>
      <c r="B8669" s="16" t="str">
        <f>IFERROR(__xludf.DUMMYFUNCTION("""COMPUTED_VALUE"""),"Daniel José sandoval gonzalez")</f>
        <v>Daniel José sandoval gonzalez</v>
      </c>
      <c r="C8669" s="15" t="str">
        <f>IFERROR(__xludf.DUMMYFUNCTION("""COMPUTED_VALUE"""),"BARRANQUILLA")</f>
        <v>BARRANQUILLA</v>
      </c>
      <c r="D8669" s="15" t="str">
        <f>IFERROR(__xludf.DUMMYFUNCTION("""COMPUTED_VALUE"""),"BOGOTÁ")</f>
        <v>BOGOTÁ</v>
      </c>
      <c r="E8669" s="15" t="str">
        <f>IFERROR(__xludf.DUMMYFUNCTION("""COMPUTED_VALUE"""),"Athenas")</f>
        <v>Athenas</v>
      </c>
      <c r="F8669" s="17" t="str">
        <f>IFERROR(__xludf.DUMMYFUNCTION("""COMPUTED_VALUE"""),"Cra 43 # 60-25 / BODYTECH CAFETERIA / BARRIO RECREO")</f>
        <v>Cra 43 # 60-25 / BODYTECH CAFETERIA / BARRIO RECREO</v>
      </c>
      <c r="G8669" s="15" t="str">
        <f>IFERROR(__xludf.DUMMYFUNCTION("""COMPUTED_VALUE"""),"ADRIANA CASTRO")</f>
        <v>ADRIANA CASTRO</v>
      </c>
      <c r="H8669" s="16">
        <f>IFERROR(__xludf.DUMMYFUNCTION("""COMPUTED_VALUE"""),17314.0)</f>
        <v>17314</v>
      </c>
      <c r="I8669" s="18">
        <f>IFERROR(__xludf.DUMMYFUNCTION("""COMPUTED_VALUE"""),52.5)</f>
        <v>52.5</v>
      </c>
      <c r="J8669" s="18">
        <f>IFERROR(__xludf.DUMMYFUNCTION("""COMPUTED_VALUE"""),55.0)</f>
        <v>55</v>
      </c>
      <c r="K8669" s="18">
        <f>IFERROR(__xludf.DUMMYFUNCTION("""COMPUTED_VALUE"""),45.0)</f>
        <v>45</v>
      </c>
      <c r="L8669" s="17">
        <f>IFERROR(__xludf.DUMMYFUNCTION("""COMPUTED_VALUE"""),3.104011367E9)</f>
        <v>3104011367</v>
      </c>
      <c r="M8669" s="17"/>
      <c r="N8669" s="17"/>
      <c r="O8669" s="17"/>
      <c r="P8669" s="17" t="b">
        <f>IFERROR(__xludf.DUMMYFUNCTION("""COMPUTED_VALUE"""),FALSE)</f>
        <v>0</v>
      </c>
      <c r="Q8669" s="20" t="str">
        <f>IFERROR(__xludf.DUMMYFUNCTION("""COMPUTED_VALUE"""),"")</f>
        <v/>
      </c>
      <c r="R8669" s="21" t="str">
        <f>IFERROR(__xludf.DUMMYFUNCTION("""COMPUTED_VALUE"""),"https://drive.google.com/file/d/13QPUEj1r8sdpa0whIZRfCPF8YQ3eEmGu/view?usp=drivesdk")</f>
        <v>https://drive.google.com/file/d/13QPUEj1r8sdpa0whIZRfCPF8YQ3eEmGu/view?usp=drivesdk</v>
      </c>
    </row>
    <row r="8670">
      <c r="A8670" s="15">
        <f>IFERROR(__xludf.DUMMYFUNCTION("""COMPUTED_VALUE"""),45247.0)</f>
        <v>45247</v>
      </c>
      <c r="B8670" s="16" t="str">
        <f>IFERROR(__xludf.DUMMYFUNCTION("""COMPUTED_VALUE"""),"Daniel José sandoval gonzalez")</f>
        <v>Daniel José sandoval gonzalez</v>
      </c>
      <c r="C8670" s="15" t="str">
        <f>IFERROR(__xludf.DUMMYFUNCTION("""COMPUTED_VALUE"""),"BARRANQUILLA")</f>
        <v>BARRANQUILLA</v>
      </c>
      <c r="D8670" s="15" t="str">
        <f>IFERROR(__xludf.DUMMYFUNCTION("""COMPUTED_VALUE"""),"BOGOTÁ")</f>
        <v>BOGOTÁ</v>
      </c>
      <c r="E8670" s="15" t="str">
        <f>IFERROR(__xludf.DUMMYFUNCTION("""COMPUTED_VALUE"""),"Athenas")</f>
        <v>Athenas</v>
      </c>
      <c r="F8670" s="17" t="str">
        <f>IFERROR(__xludf.DUMMYFUNCTION("""COMPUTED_VALUE"""),"Cra 43 # 99-50 CC Miramar Piso 3 Local 301-302 / bodytech cafeteria / miramar")</f>
        <v>Cra 43 # 99-50 CC Miramar Piso 3 Local 301-302 / bodytech cafeteria / miramar</v>
      </c>
      <c r="G8670" s="15" t="str">
        <f>IFERROR(__xludf.DUMMYFUNCTION("""COMPUTED_VALUE"""),"zobeida jimenez")</f>
        <v>zobeida jimenez</v>
      </c>
      <c r="H8670" s="16">
        <f>IFERROR(__xludf.DUMMYFUNCTION("""COMPUTED_VALUE"""),17315.0)</f>
        <v>17315</v>
      </c>
      <c r="I8670" s="18">
        <f>IFERROR(__xludf.DUMMYFUNCTION("""COMPUTED_VALUE"""),52.5)</f>
        <v>52.5</v>
      </c>
      <c r="J8670" s="18">
        <f>IFERROR(__xludf.DUMMYFUNCTION("""COMPUTED_VALUE"""),55.0)</f>
        <v>55</v>
      </c>
      <c r="K8670" s="18">
        <f>IFERROR(__xludf.DUMMYFUNCTION("""COMPUTED_VALUE"""),45.0)</f>
        <v>45</v>
      </c>
      <c r="L8670" s="17">
        <f>IFERROR(__xludf.DUMMYFUNCTION("""COMPUTED_VALUE"""),3.016374746E9)</f>
        <v>3016374746</v>
      </c>
      <c r="M8670" s="17"/>
      <c r="N8670" s="17"/>
      <c r="O8670" s="17"/>
      <c r="P8670" s="17" t="b">
        <f>IFERROR(__xludf.DUMMYFUNCTION("""COMPUTED_VALUE"""),FALSE)</f>
        <v>0</v>
      </c>
      <c r="Q8670" s="20" t="str">
        <f>IFERROR(__xludf.DUMMYFUNCTION("""COMPUTED_VALUE"""),"")</f>
        <v/>
      </c>
      <c r="R8670" s="21" t="str">
        <f>IFERROR(__xludf.DUMMYFUNCTION("""COMPUTED_VALUE"""),"https://drive.google.com/file/d/1u9WYzKhNXHUktEFOOD-82ilHao17Qc-C/view?usp=drivesdk")</f>
        <v>https://drive.google.com/file/d/1u9WYzKhNXHUktEFOOD-82ilHao17Qc-C/view?usp=drivesdk</v>
      </c>
    </row>
    <row r="8671">
      <c r="A8671" s="15">
        <f>IFERROR(__xludf.DUMMYFUNCTION("""COMPUTED_VALUE"""),45247.0)</f>
        <v>45247</v>
      </c>
      <c r="B8671" s="16" t="str">
        <f>IFERROR(__xludf.DUMMYFUNCTION("""COMPUTED_VALUE"""),"Daniel José sandoval gonzalez")</f>
        <v>Daniel José sandoval gonzalez</v>
      </c>
      <c r="C8671" s="15" t="str">
        <f>IFERROR(__xludf.DUMMYFUNCTION("""COMPUTED_VALUE"""),"BARRANQUILLA")</f>
        <v>BARRANQUILLA</v>
      </c>
      <c r="D8671" s="15" t="str">
        <f>IFERROR(__xludf.DUMMYFUNCTION("""COMPUTED_VALUE"""),"BOGOTÁ")</f>
        <v>BOGOTÁ</v>
      </c>
      <c r="E8671" s="15" t="str">
        <f>IFERROR(__xludf.DUMMYFUNCTION("""COMPUTED_VALUE"""),"Athenas")</f>
        <v>Athenas</v>
      </c>
      <c r="F8671" s="17" t="str">
        <f>IFERROR(__xludf.DUMMYFUNCTION("""COMPUTED_VALUE"""),"Cra 51B # 87 - 50 Centro Comercial Viva / BODYTECH CAFETERIA / SANTA MONICA")</f>
        <v>Cra 51B # 87 - 50 Centro Comercial Viva / BODYTECH CAFETERIA / SANTA MONICA</v>
      </c>
      <c r="G8671" s="15" t="str">
        <f>IFERROR(__xludf.DUMMYFUNCTION("""COMPUTED_VALUE"""),"KATHERINE COLLAZOS")</f>
        <v>KATHERINE COLLAZOS</v>
      </c>
      <c r="H8671" s="16">
        <f>IFERROR(__xludf.DUMMYFUNCTION("""COMPUTED_VALUE"""),17316.0)</f>
        <v>17316</v>
      </c>
      <c r="I8671" s="18">
        <f>IFERROR(__xludf.DUMMYFUNCTION("""COMPUTED_VALUE"""),52.5)</f>
        <v>52.5</v>
      </c>
      <c r="J8671" s="18">
        <f>IFERROR(__xludf.DUMMYFUNCTION("""COMPUTED_VALUE"""),55.0)</f>
        <v>55</v>
      </c>
      <c r="K8671" s="18">
        <f>IFERROR(__xludf.DUMMYFUNCTION("""COMPUTED_VALUE"""),45.0)</f>
        <v>45</v>
      </c>
      <c r="L8671" s="17">
        <f>IFERROR(__xludf.DUMMYFUNCTION("""COMPUTED_VALUE"""),3.244436647E9)</f>
        <v>3244436647</v>
      </c>
      <c r="M8671" s="17"/>
      <c r="N8671" s="17"/>
      <c r="O8671" s="17"/>
      <c r="P8671" s="17" t="b">
        <f>IFERROR(__xludf.DUMMYFUNCTION("""COMPUTED_VALUE"""),FALSE)</f>
        <v>0</v>
      </c>
      <c r="Q8671" s="20" t="str">
        <f>IFERROR(__xludf.DUMMYFUNCTION("""COMPUTED_VALUE"""),"")</f>
        <v/>
      </c>
      <c r="R8671" s="21" t="str">
        <f>IFERROR(__xludf.DUMMYFUNCTION("""COMPUTED_VALUE"""),"https://drive.google.com/file/d/1irJlL9WAXUISbscDn1AV3LX8HBc3amrB/view?usp=drivesdk")</f>
        <v>https://drive.google.com/file/d/1irJlL9WAXUISbscDn1AV3LX8HBc3amrB/view?usp=drivesdk</v>
      </c>
    </row>
    <row r="8672">
      <c r="A8672" s="15">
        <f>IFERROR(__xludf.DUMMYFUNCTION("""COMPUTED_VALUE"""),45247.0)</f>
        <v>45247</v>
      </c>
      <c r="B8672" s="16" t="str">
        <f>IFERROR(__xludf.DUMMYFUNCTION("""COMPUTED_VALUE"""),"Daniel José sandoval gonzalez")</f>
        <v>Daniel José sandoval gonzalez</v>
      </c>
      <c r="C8672" s="15" t="str">
        <f>IFERROR(__xludf.DUMMYFUNCTION("""COMPUTED_VALUE"""),"BARRANQUILLA")</f>
        <v>BARRANQUILLA</v>
      </c>
      <c r="D8672" s="15" t="str">
        <f>IFERROR(__xludf.DUMMYFUNCTION("""COMPUTED_VALUE"""),"BOGOTÁ")</f>
        <v>BOGOTÁ</v>
      </c>
      <c r="E8672" s="15" t="str">
        <f>IFERROR(__xludf.DUMMYFUNCTION("""COMPUTED_VALUE"""),"Ventura Productos Arg")</f>
        <v>Ventura Productos Arg</v>
      </c>
      <c r="F8672" s="17" t="str">
        <f>IFERROR(__xludf.DUMMYFUNCTION("""COMPUTED_VALUE"""),"Cra 59 #84-77 / Piso 1, Apto 2")</f>
        <v>Cra 59 #84-77 / Piso 1, Apto 2</v>
      </c>
      <c r="G8672" s="15" t="str">
        <f>IFERROR(__xludf.DUMMYFUNCTION("""COMPUTED_VALUE"""),"Aura Sofía Pérez Amador")</f>
        <v>Aura Sofía Pérez Amador</v>
      </c>
      <c r="H8672" s="16">
        <f>IFERROR(__xludf.DUMMYFUNCTION("""COMPUTED_VALUE"""),17360.0)</f>
        <v>17360</v>
      </c>
      <c r="I8672" s="17"/>
      <c r="J8672" s="17"/>
      <c r="K8672" s="17"/>
      <c r="L8672" s="17">
        <f>IFERROR(__xludf.DUMMYFUNCTION("""COMPUTED_VALUE"""),3.157251515E9)</f>
        <v>3157251515</v>
      </c>
      <c r="M8672" s="17"/>
      <c r="N8672" s="17"/>
      <c r="O8672" s="17"/>
      <c r="P8672" s="17" t="b">
        <f>IFERROR(__xludf.DUMMYFUNCTION("""COMPUTED_VALUE"""),FALSE)</f>
        <v>0</v>
      </c>
      <c r="Q8672" s="20" t="str">
        <f>IFERROR(__xludf.DUMMYFUNCTION("""COMPUTED_VALUE"""),"")</f>
        <v/>
      </c>
      <c r="R8672" s="21" t="str">
        <f>IFERROR(__xludf.DUMMYFUNCTION("""COMPUTED_VALUE"""),"https://drive.google.com/file/d/1C9vqYZj9BZiZFLnNFfAsp8_ZzWeDGiW8/view?usp=drivesdk")</f>
        <v>https://drive.google.com/file/d/1C9vqYZj9BZiZFLnNFfAsp8_ZzWeDGiW8/view?usp=drivesdk</v>
      </c>
    </row>
    <row r="8673">
      <c r="A8673" s="15">
        <f>IFERROR(__xludf.DUMMYFUNCTION("""COMPUTED_VALUE"""),45247.0)</f>
        <v>45247</v>
      </c>
      <c r="B8673" s="16" t="str">
        <f>IFERROR(__xludf.DUMMYFUNCTION("""COMPUTED_VALUE"""),"Daniel José sandoval gonzalez")</f>
        <v>Daniel José sandoval gonzalez</v>
      </c>
      <c r="C8673" s="15" t="str">
        <f>IFERROR(__xludf.DUMMYFUNCTION("""COMPUTED_VALUE"""),"BARRANQUILLA")</f>
        <v>BARRANQUILLA</v>
      </c>
      <c r="D8673" s="15" t="str">
        <f>IFERROR(__xludf.DUMMYFUNCTION("""COMPUTED_VALUE"""),"BOGOTÁ")</f>
        <v>BOGOTÁ</v>
      </c>
      <c r="E8673" s="15" t="str">
        <f>IFERROR(__xludf.DUMMYFUNCTION("""COMPUTED_VALUE"""),"Viral Brands")</f>
        <v>Viral Brands</v>
      </c>
      <c r="F8673" s="17" t="str">
        <f>IFERROR(__xludf.DUMMYFUNCTION("""COMPUTED_VALUE"""),"chuzales prado kra 49c n 75-47 lyd house prado restaurante chuzales , reciben apartir de las 10 y 30am / lyd house prado restaurante chuzales / prado")</f>
        <v>chuzales prado kra 49c n 75-47 lyd house prado restaurante chuzales , reciben apartir de las 10 y 30am / lyd house prado restaurante chuzales / prado</v>
      </c>
      <c r="G8673" s="15" t="str">
        <f>IFERROR(__xludf.DUMMYFUNCTION("""COMPUTED_VALUE"""),"viral brands")</f>
        <v>viral brands</v>
      </c>
      <c r="H8673" s="16">
        <f>IFERROR(__xludf.DUMMYFUNCTION("""COMPUTED_VALUE"""),17329.0)</f>
        <v>17329</v>
      </c>
      <c r="I8673" s="18">
        <f>IFERROR(__xludf.DUMMYFUNCTION("""COMPUTED_VALUE"""),29.0)</f>
        <v>29</v>
      </c>
      <c r="J8673" s="18">
        <f>IFERROR(__xludf.DUMMYFUNCTION("""COMPUTED_VALUE"""),55.0)</f>
        <v>55</v>
      </c>
      <c r="K8673" s="18">
        <f>IFERROR(__xludf.DUMMYFUNCTION("""COMPUTED_VALUE"""),45.0)</f>
        <v>45</v>
      </c>
      <c r="L8673" s="17">
        <f>IFERROR(__xludf.DUMMYFUNCTION("""COMPUTED_VALUE"""),3.017624858E9)</f>
        <v>3017624858</v>
      </c>
      <c r="M8673" s="17"/>
      <c r="N8673" s="17"/>
      <c r="O8673" s="17"/>
      <c r="P8673" s="17" t="b">
        <f>IFERROR(__xludf.DUMMYFUNCTION("""COMPUTED_VALUE"""),FALSE)</f>
        <v>0</v>
      </c>
      <c r="Q8673" s="20" t="str">
        <f>IFERROR(__xludf.DUMMYFUNCTION("""COMPUTED_VALUE"""),"")</f>
        <v/>
      </c>
      <c r="R8673" s="21" t="str">
        <f>IFERROR(__xludf.DUMMYFUNCTION("""COMPUTED_VALUE"""),"https://drive.google.com/file/d/1wJJsDuR_rmQPbLUQgVpc0TGCGW4BNOxb/view?usp=drivesdk")</f>
        <v>https://drive.google.com/file/d/1wJJsDuR_rmQPbLUQgVpc0TGCGW4BNOxb/view?usp=drivesdk</v>
      </c>
    </row>
    <row r="8674">
      <c r="A8674" s="15">
        <f>IFERROR(__xludf.DUMMYFUNCTION("""COMPUTED_VALUE"""),45247.0)</f>
        <v>45247</v>
      </c>
      <c r="B8674" s="16" t="str">
        <f>IFERROR(__xludf.DUMMYFUNCTION("""COMPUTED_VALUE"""),"Daniel José sandoval gonzalez")</f>
        <v>Daniel José sandoval gonzalez</v>
      </c>
      <c r="C8674" s="15" t="str">
        <f>IFERROR(__xludf.DUMMYFUNCTION("""COMPUTED_VALUE"""),"BARRANQUILLA")</f>
        <v>BARRANQUILLA</v>
      </c>
      <c r="D8674" s="15" t="str">
        <f>IFERROR(__xludf.DUMMYFUNCTION("""COMPUTED_VALUE"""),"MEDELLÍN")</f>
        <v>MEDELLÍN</v>
      </c>
      <c r="E8674" s="15" t="str">
        <f>IFERROR(__xludf.DUMMYFUNCTION("""COMPUTED_VALUE"""),"HELADERIA MAGDA")</f>
        <v>HELADERIA MAGDA</v>
      </c>
      <c r="F8674" s="17" t="str">
        <f>IFERROR(__xludf.DUMMYFUNCTION("""COMPUTED_VALUE"""),"CALLE 93 #43-41 / COCINA OCULTA")</f>
        <v>CALLE 93 #43-41 / COCINA OCULTA</v>
      </c>
      <c r="G8674" s="15" t="str">
        <f>IFERROR(__xludf.DUMMYFUNCTION("""COMPUTED_VALUE"""),"CITY HUB")</f>
        <v>CITY HUB</v>
      </c>
      <c r="H8674" s="16">
        <f>IFERROR(__xludf.DUMMYFUNCTION("""COMPUTED_VALUE"""),17345.0)</f>
        <v>17345</v>
      </c>
      <c r="I8674" s="17"/>
      <c r="J8674" s="17"/>
      <c r="K8674" s="17"/>
      <c r="L8674" s="17">
        <f>IFERROR(__xludf.DUMMYFUNCTION("""COMPUTED_VALUE"""),3.235800359E9)</f>
        <v>3235800359</v>
      </c>
      <c r="M8674" s="17"/>
      <c r="N8674" s="17"/>
      <c r="O8674" s="17"/>
      <c r="P8674" s="17" t="b">
        <f>IFERROR(__xludf.DUMMYFUNCTION("""COMPUTED_VALUE"""),FALSE)</f>
        <v>0</v>
      </c>
      <c r="Q8674" s="20" t="str">
        <f>IFERROR(__xludf.DUMMYFUNCTION("""COMPUTED_VALUE"""),"")</f>
        <v/>
      </c>
      <c r="R8674" s="21" t="str">
        <f>IFERROR(__xludf.DUMMYFUNCTION("""COMPUTED_VALUE"""),"https://drive.google.com/file/d/1fNudVrPa3gXJlWxIE1UT1LP-s8W0MZM8/view?usp=drivesdk")</f>
        <v>https://drive.google.com/file/d/1fNudVrPa3gXJlWxIE1UT1LP-s8W0MZM8/view?usp=drivesdk</v>
      </c>
    </row>
    <row r="8675">
      <c r="A8675" s="15">
        <f>IFERROR(__xludf.DUMMYFUNCTION("""COMPUTED_VALUE"""),45247.0)</f>
        <v>45247</v>
      </c>
      <c r="B8675" s="16" t="str">
        <f>IFERROR(__xludf.DUMMYFUNCTION("""COMPUTED_VALUE"""),"Daniel José sandoval gonzalez")</f>
        <v>Daniel José sandoval gonzalez</v>
      </c>
      <c r="C8675" s="15" t="str">
        <f>IFERROR(__xludf.DUMMYFUNCTION("""COMPUTED_VALUE"""),"BARRANQUILLA")</f>
        <v>BARRANQUILLA</v>
      </c>
      <c r="D8675" s="15" t="str">
        <f>IFERROR(__xludf.DUMMYFUNCTION("""COMPUTED_VALUE"""),"MEDELLÍN")</f>
        <v>MEDELLÍN</v>
      </c>
      <c r="E8675" s="15" t="str">
        <f>IFERROR(__xludf.DUMMYFUNCTION("""COMPUTED_VALUE"""),"Moloso S.A.S")</f>
        <v>Moloso S.A.S</v>
      </c>
      <c r="F8675" s="17" t="str">
        <f>IFERROR(__xludf.DUMMYFUNCTION("""COMPUTED_VALUE"""),"CR 47 100 14 / ED ALAMEDA 100 - 46 TORRE B AP1304")</f>
        <v>CR 47 100 14 / ED ALAMEDA 100 - 46 TORRE B AP1304</v>
      </c>
      <c r="G8675" s="15" t="str">
        <f>IFERROR(__xludf.DUMMYFUNCTION("""COMPUTED_VALUE"""),"GRACIELA COHEN")</f>
        <v>GRACIELA COHEN</v>
      </c>
      <c r="H8675" s="16">
        <f>IFERROR(__xludf.DUMMYFUNCTION("""COMPUTED_VALUE"""),17352.0)</f>
        <v>17352</v>
      </c>
      <c r="I8675" s="17"/>
      <c r="J8675" s="17"/>
      <c r="K8675" s="17"/>
      <c r="L8675" s="17">
        <f>IFERROR(__xludf.DUMMYFUNCTION("""COMPUTED_VALUE"""),3.167401158E9)</f>
        <v>3167401158</v>
      </c>
      <c r="M8675" s="17"/>
      <c r="N8675" s="17"/>
      <c r="O8675" s="17"/>
      <c r="P8675" s="17" t="b">
        <f>IFERROR(__xludf.DUMMYFUNCTION("""COMPUTED_VALUE"""),FALSE)</f>
        <v>0</v>
      </c>
      <c r="Q8675" s="20" t="str">
        <f>IFERROR(__xludf.DUMMYFUNCTION("""COMPUTED_VALUE"""),"")</f>
        <v/>
      </c>
      <c r="R8675" s="21" t="str">
        <f>IFERROR(__xludf.DUMMYFUNCTION("""COMPUTED_VALUE"""),"https://drive.google.com/file/d/198paWqkFelw4J_nQLreXa8UDels6VxGI/view?usp=drivesdk")</f>
        <v>https://drive.google.com/file/d/198paWqkFelw4J_nQLreXa8UDels6VxGI/view?usp=drivesdk</v>
      </c>
    </row>
    <row r="8676">
      <c r="A8676" s="15">
        <f>IFERROR(__xludf.DUMMYFUNCTION("""COMPUTED_VALUE"""),45247.0)</f>
        <v>45247</v>
      </c>
      <c r="B8676" s="16" t="str">
        <f>IFERROR(__xludf.DUMMYFUNCTION("""COMPUTED_VALUE"""),"Daniel José sandoval gonzalez")</f>
        <v>Daniel José sandoval gonzalez</v>
      </c>
      <c r="C8676" s="15" t="str">
        <f>IFERROR(__xludf.DUMMYFUNCTION("""COMPUTED_VALUE"""),"BARRANQUILLA")</f>
        <v>BARRANQUILLA</v>
      </c>
      <c r="D8676" s="15" t="str">
        <f>IFERROR(__xludf.DUMMYFUNCTION("""COMPUTED_VALUE"""),"MEDELLÍN")</f>
        <v>MEDELLÍN</v>
      </c>
      <c r="E8676" s="15" t="str">
        <f>IFERROR(__xludf.DUMMYFUNCTION("""COMPUTED_VALUE"""),"Moloso S.A.S")</f>
        <v>Moloso S.A.S</v>
      </c>
      <c r="F8676" s="17" t="str">
        <f>IFERROR(__xludf.DUMMYFUNCTION("""COMPUTED_VALUE"""),"TV 44 102 167 / CON SIERRA AP 939 TO 5")</f>
        <v>TV 44 102 167 / CON SIERRA AP 939 TO 5</v>
      </c>
      <c r="G8676" s="15" t="str">
        <f>IFERROR(__xludf.DUMMYFUNCTION("""COMPUTED_VALUE"""),"MARIANA ORJUELA CHARCÓN")</f>
        <v>MARIANA ORJUELA CHARCÓN</v>
      </c>
      <c r="H8676" s="16">
        <f>IFERROR(__xludf.DUMMYFUNCTION("""COMPUTED_VALUE"""),17351.0)</f>
        <v>17351</v>
      </c>
      <c r="I8676" s="17"/>
      <c r="J8676" s="17"/>
      <c r="K8676" s="17"/>
      <c r="L8676" s="17"/>
      <c r="M8676" s="17"/>
      <c r="N8676" s="17"/>
      <c r="O8676" s="17"/>
      <c r="P8676" s="17" t="b">
        <f>IFERROR(__xludf.DUMMYFUNCTION("""COMPUTED_VALUE"""),FALSE)</f>
        <v>0</v>
      </c>
      <c r="Q8676" s="20" t="str">
        <f>IFERROR(__xludf.DUMMYFUNCTION("""COMPUTED_VALUE"""),"")</f>
        <v/>
      </c>
      <c r="R8676" s="21" t="str">
        <f>IFERROR(__xludf.DUMMYFUNCTION("""COMPUTED_VALUE"""),"https://drive.google.com/file/d/1FYVkvqs25oLSHcV0mm9tpebu5gUHSFU9/view?usp=drivesdk")</f>
        <v>https://drive.google.com/file/d/1FYVkvqs25oLSHcV0mm9tpebu5gUHSFU9/view?usp=drivesdk</v>
      </c>
    </row>
    <row r="8677">
      <c r="A8677" s="15">
        <f>IFERROR(__xludf.DUMMYFUNCTION("""COMPUTED_VALUE"""),45247.0)</f>
        <v>45247</v>
      </c>
      <c r="B8677" s="16" t="str">
        <f>IFERROR(__xludf.DUMMYFUNCTION("""COMPUTED_VALUE"""),"Daniel José sandoval gonzalez")</f>
        <v>Daniel José sandoval gonzalez</v>
      </c>
      <c r="C8677" s="15" t="str">
        <f>IFERROR(__xludf.DUMMYFUNCTION("""COMPUTED_VALUE"""),"CARTAGO")</f>
        <v>CARTAGO</v>
      </c>
      <c r="D8677" s="15" t="str">
        <f>IFERROR(__xludf.DUMMYFUNCTION("""COMPUTED_VALUE"""),"BOGOTÁ")</f>
        <v>BOGOTÁ</v>
      </c>
      <c r="E8677" s="15" t="str">
        <f>IFERROR(__xludf.DUMMYFUNCTION("""COMPUTED_VALUE"""),"PAN DE WAFFLE")</f>
        <v>PAN DE WAFFLE</v>
      </c>
      <c r="F8677" s="17" t="str">
        <f>IFERROR(__xludf.DUMMYFUNCTION("""COMPUTED_VALUE"""),"CR 4 # 16 107 / CR 4 # 16 107")</f>
        <v>CR 4 # 16 107 / CR 4 # 16 107</v>
      </c>
      <c r="G8677" s="15" t="str">
        <f>IFERROR(__xludf.DUMMYFUNCTION("""COMPUTED_VALUE"""),"THE NATURAL")</f>
        <v>THE NATURAL</v>
      </c>
      <c r="H8677" s="16">
        <f>IFERROR(__xludf.DUMMYFUNCTION("""COMPUTED_VALUE"""),17311.0)</f>
        <v>17311</v>
      </c>
      <c r="I8677" s="17"/>
      <c r="J8677" s="17"/>
      <c r="K8677" s="17"/>
      <c r="L8677" s="17">
        <f>IFERROR(__xludf.DUMMYFUNCTION("""COMPUTED_VALUE"""),3.146025882E9)</f>
        <v>3146025882</v>
      </c>
      <c r="M8677" s="17"/>
      <c r="N8677" s="17"/>
      <c r="O8677" s="17"/>
      <c r="P8677" s="17" t="b">
        <f>IFERROR(__xludf.DUMMYFUNCTION("""COMPUTED_VALUE"""),FALSE)</f>
        <v>0</v>
      </c>
      <c r="Q8677" s="20" t="str">
        <f>IFERROR(__xludf.DUMMYFUNCTION("""COMPUTED_VALUE"""),"")</f>
        <v/>
      </c>
      <c r="R8677" s="21" t="str">
        <f>IFERROR(__xludf.DUMMYFUNCTION("""COMPUTED_VALUE"""),"https://drive.google.com/file/d/1LBCtru9bDQjmbYxan9VO2GsqKGVjXoM9/view?usp=drivesdk")</f>
        <v>https://drive.google.com/file/d/1LBCtru9bDQjmbYxan9VO2GsqKGVjXoM9/view?usp=drivesdk</v>
      </c>
    </row>
    <row r="8678">
      <c r="A8678" s="15">
        <f>IFERROR(__xludf.DUMMYFUNCTION("""COMPUTED_VALUE"""),45247.0)</f>
        <v>45247</v>
      </c>
      <c r="B8678" s="16" t="str">
        <f>IFERROR(__xludf.DUMMYFUNCTION("""COMPUTED_VALUE"""),"Daniel José sandoval gonzalez")</f>
        <v>Daniel José sandoval gonzalez</v>
      </c>
      <c r="C8678" s="15" t="str">
        <f>IFERROR(__xludf.DUMMYFUNCTION("""COMPUTED_VALUE"""),"MEDELLÍN")</f>
        <v>MEDELLÍN</v>
      </c>
      <c r="D8678" s="15" t="str">
        <f>IFERROR(__xludf.DUMMYFUNCTION("""COMPUTED_VALUE"""),"BOGOTÁ")</f>
        <v>BOGOTÁ</v>
      </c>
      <c r="E8678" s="15" t="str">
        <f>IFERROR(__xludf.DUMMYFUNCTION("""COMPUTED_VALUE"""),"Trigoletta")</f>
        <v>Trigoletta</v>
      </c>
      <c r="F8678" s="17" t="str">
        <f>IFERROR(__xludf.DUMMYFUNCTION("""COMPUTED_VALUE"""),"Cra 39B # 65-23 / NA")</f>
        <v>Cra 39B # 65-23 / NA</v>
      </c>
      <c r="G8678" s="15" t="str">
        <f>IFERROR(__xludf.DUMMYFUNCTION("""COMPUTED_VALUE"""),"Anghie Cabrebra")</f>
        <v>Anghie Cabrebra</v>
      </c>
      <c r="H8678" s="16">
        <f>IFERROR(__xludf.DUMMYFUNCTION("""COMPUTED_VALUE"""),17361.0)</f>
        <v>17361</v>
      </c>
      <c r="I8678" s="17"/>
      <c r="J8678" s="17"/>
      <c r="K8678" s="17"/>
      <c r="L8678" s="17">
        <f>IFERROR(__xludf.DUMMYFUNCTION("""COMPUTED_VALUE"""),3.016970991E9)</f>
        <v>3016970991</v>
      </c>
      <c r="M8678" s="17"/>
      <c r="N8678" s="17"/>
      <c r="O8678" s="17"/>
      <c r="P8678" s="17" t="b">
        <f>IFERROR(__xludf.DUMMYFUNCTION("""COMPUTED_VALUE"""),FALSE)</f>
        <v>0</v>
      </c>
      <c r="Q8678" s="20" t="str">
        <f>IFERROR(__xludf.DUMMYFUNCTION("""COMPUTED_VALUE"""),"")</f>
        <v/>
      </c>
      <c r="R8678" s="22" t="str">
        <f>IFERROR(__xludf.DUMMYFUNCTION("""COMPUTED_VALUE"""),"")</f>
        <v/>
      </c>
    </row>
    <row r="8679">
      <c r="A8679" s="15">
        <f>IFERROR(__xludf.DUMMYFUNCTION("""COMPUTED_VALUE"""),45247.0)</f>
        <v>45247</v>
      </c>
      <c r="B8679" s="16" t="str">
        <f>IFERROR(__xludf.DUMMYFUNCTION("""COMPUTED_VALUE"""),"Daniel José sandoval gonzalez")</f>
        <v>Daniel José sandoval gonzalez</v>
      </c>
      <c r="C8679" s="15" t="str">
        <f>IFERROR(__xludf.DUMMYFUNCTION("""COMPUTED_VALUE"""),"MEDELLÍN")</f>
        <v>MEDELLÍN</v>
      </c>
      <c r="D8679" s="15" t="str">
        <f>IFERROR(__xludf.DUMMYFUNCTION("""COMPUTED_VALUE"""),"CALI")</f>
        <v>CALI</v>
      </c>
      <c r="E8679" s="15" t="str">
        <f>IFERROR(__xludf.DUMMYFUNCTION("""COMPUTED_VALUE"""),"Cliente Nuevo")</f>
        <v>Cliente Nuevo</v>
      </c>
      <c r="F8679" s="17" t="str">
        <f>IFERROR(__xludf.DUMMYFUNCTION("""COMPUTED_VALUE"""),"Cra 51c 12b sur 146 / N.N / Guayabal")</f>
        <v>Cra 51c 12b sur 146 / N.N / Guayabal</v>
      </c>
      <c r="G8679" s="15" t="str">
        <f>IFERROR(__xludf.DUMMYFUNCTION("""COMPUTED_VALUE"""),"Compañía de alimentos Catering sas ")</f>
        <v>Compañía de alimentos Catering sas </v>
      </c>
      <c r="H8679" s="16">
        <f>IFERROR(__xludf.DUMMYFUNCTION("""COMPUTED_VALUE"""),17383.0)</f>
        <v>17383</v>
      </c>
      <c r="I8679" s="18">
        <f>IFERROR(__xludf.DUMMYFUNCTION("""COMPUTED_VALUE"""),182.0)</f>
        <v>182</v>
      </c>
      <c r="J8679" s="18">
        <f>IFERROR(__xludf.DUMMYFUNCTION("""COMPUTED_VALUE"""),20.0)</f>
        <v>20</v>
      </c>
      <c r="K8679" s="18">
        <f>IFERROR(__xludf.DUMMYFUNCTION("""COMPUTED_VALUE"""),20.0)</f>
        <v>20</v>
      </c>
      <c r="L8679" s="17">
        <f>IFERROR(__xludf.DUMMYFUNCTION("""COMPUTED_VALUE"""),6.043664429E9)</f>
        <v>6043664429</v>
      </c>
      <c r="M8679" s="17"/>
      <c r="N8679" s="17"/>
      <c r="O8679" s="17"/>
      <c r="P8679" s="17" t="b">
        <f>IFERROR(__xludf.DUMMYFUNCTION("""COMPUTED_VALUE"""),FALSE)</f>
        <v>0</v>
      </c>
      <c r="Q8679" s="20" t="str">
        <f>IFERROR(__xludf.DUMMYFUNCTION("""COMPUTED_VALUE"""),"")</f>
        <v/>
      </c>
      <c r="R8679" s="21" t="str">
        <f>IFERROR(__xludf.DUMMYFUNCTION("""COMPUTED_VALUE"""),"https://drive.google.com/file/d/13fnWS2wzvRoxgNKZ4R8CLQawmIdZWNeg/view?usp=drivesdk")</f>
        <v>https://drive.google.com/file/d/13fnWS2wzvRoxgNKZ4R8CLQawmIdZWNeg/view?usp=drivesdk</v>
      </c>
    </row>
    <row r="8680">
      <c r="A8680" s="17" t="str">
        <f>IFERROR(__xludf.DUMMYFUNCTION("""COMPUTED_VALUE"""),"")</f>
        <v/>
      </c>
      <c r="B8680" s="17" t="str">
        <f>IFERROR(__xludf.DUMMYFUNCTION("""COMPUTED_VALUE"""),"")</f>
        <v/>
      </c>
      <c r="C8680" s="17" t="str">
        <f>IFERROR(__xludf.DUMMYFUNCTION("""COMPUTED_VALUE"""),"")</f>
        <v/>
      </c>
      <c r="D8680" s="17" t="str">
        <f>IFERROR(__xludf.DUMMYFUNCTION("""COMPUTED_VALUE"""),"")</f>
        <v/>
      </c>
      <c r="E8680" s="17" t="str">
        <f>IFERROR(__xludf.DUMMYFUNCTION("""COMPUTED_VALUE"""),"")</f>
        <v/>
      </c>
      <c r="F8680" s="17" t="str">
        <f>IFERROR(__xludf.DUMMYFUNCTION("""COMPUTED_VALUE"""),"")</f>
        <v/>
      </c>
      <c r="G8680" s="17" t="str">
        <f>IFERROR(__xludf.DUMMYFUNCTION("""COMPUTED_VALUE"""),"")</f>
        <v/>
      </c>
      <c r="H8680" s="17" t="str">
        <f>IFERROR(__xludf.DUMMYFUNCTION("""COMPUTED_VALUE"""),"")</f>
        <v/>
      </c>
      <c r="I8680" s="17" t="str">
        <f>IFERROR(__xludf.DUMMYFUNCTION("""COMPUTED_VALUE"""),"")</f>
        <v/>
      </c>
      <c r="J8680" s="17" t="str">
        <f>IFERROR(__xludf.DUMMYFUNCTION("""COMPUTED_VALUE"""),"")</f>
        <v/>
      </c>
      <c r="K8680" s="17" t="str">
        <f>IFERROR(__xludf.DUMMYFUNCTION("""COMPUTED_VALUE"""),"")</f>
        <v/>
      </c>
      <c r="L8680" s="17" t="str">
        <f>IFERROR(__xludf.DUMMYFUNCTION("""COMPUTED_VALUE"""),"")</f>
        <v/>
      </c>
      <c r="M8680" s="17" t="str">
        <f>IFERROR(__xludf.DUMMYFUNCTION("""COMPUTED_VALUE"""),"")</f>
        <v/>
      </c>
      <c r="N8680" s="17" t="str">
        <f>IFERROR(__xludf.DUMMYFUNCTION("""COMPUTED_VALUE"""),"")</f>
        <v/>
      </c>
      <c r="O8680" s="17" t="str">
        <f>IFERROR(__xludf.DUMMYFUNCTION("""COMPUTED_VALUE"""),"")</f>
        <v/>
      </c>
      <c r="P8680" s="17" t="str">
        <f>IFERROR(__xludf.DUMMYFUNCTION("""COMPUTED_VALUE"""),"")</f>
        <v/>
      </c>
      <c r="Q8680" s="17" t="str">
        <f>IFERROR(__xludf.DUMMYFUNCTION("""COMPUTED_VALUE"""),"")</f>
        <v/>
      </c>
      <c r="R8680" s="17" t="str">
        <f>IFERROR(__xludf.DUMMYFUNCTION("""COMPUTED_VALUE"""),"")</f>
        <v/>
      </c>
    </row>
    <row r="8681">
      <c r="A8681" s="15">
        <f>IFERROR(__xludf.DUMMYFUNCTION("""COMPUTED_VALUE"""),45247.0)</f>
        <v>45247</v>
      </c>
      <c r="B8681" s="16" t="str">
        <f>IFERROR(__xludf.DUMMYFUNCTION("""COMPUTED_VALUE"""),"Envia")</f>
        <v>Envia</v>
      </c>
      <c r="C8681" s="15" t="str">
        <f>IFERROR(__xludf.DUMMYFUNCTION("""COMPUTED_VALUE"""),"ARMENIA")</f>
        <v>ARMENIA</v>
      </c>
      <c r="D8681" s="15" t="str">
        <f>IFERROR(__xludf.DUMMYFUNCTION("""COMPUTED_VALUE"""),"BOGOTÁ")</f>
        <v>BOGOTÁ</v>
      </c>
      <c r="E8681" s="15" t="str">
        <f>IFERROR(__xludf.DUMMYFUNCTION("""COMPUTED_VALUE"""),"Top Spun")</f>
        <v>Top Spun</v>
      </c>
      <c r="F8681" s="17" t="str">
        <f>IFERROR(__xludf.DUMMYFUNCTION("""COMPUTED_VALUE"""),"KILOMETRO 9 VIA EL EDEN EL CABRERO  / CASAS DE CAMPO CASA #8 / ARMENIA")</f>
        <v>KILOMETRO 9 VIA EL EDEN EL CABRERO  / CASAS DE CAMPO CASA #8 / ARMENIA</v>
      </c>
      <c r="G8681" s="15" t="str">
        <f>IFERROR(__xludf.DUMMYFUNCTION("""COMPUTED_VALUE"""),"VERONICA ARANGO")</f>
        <v>VERONICA ARANGO</v>
      </c>
      <c r="H8681" s="16">
        <f>IFERROR(__xludf.DUMMYFUNCTION("""COMPUTED_VALUE"""),17384.0)</f>
        <v>17384</v>
      </c>
      <c r="I8681" s="18">
        <f>IFERROR(__xludf.DUMMYFUNCTION("""COMPUTED_VALUE"""),30.0)</f>
        <v>30</v>
      </c>
      <c r="J8681" s="18">
        <f>IFERROR(__xludf.DUMMYFUNCTION("""COMPUTED_VALUE"""),20.0)</f>
        <v>20</v>
      </c>
      <c r="K8681" s="18">
        <f>IFERROR(__xludf.DUMMYFUNCTION("""COMPUTED_VALUE"""),50.0)</f>
        <v>50</v>
      </c>
      <c r="L8681" s="17">
        <f>IFERROR(__xludf.DUMMYFUNCTION("""COMPUTED_VALUE"""),3.117155114E9)</f>
        <v>3117155114</v>
      </c>
      <c r="M8681" s="17"/>
      <c r="N8681" s="17"/>
      <c r="O8681" s="17"/>
      <c r="P8681" s="17" t="b">
        <f>IFERROR(__xludf.DUMMYFUNCTION("""COMPUTED_VALUE"""),FALSE)</f>
        <v>0</v>
      </c>
      <c r="Q8681" s="20" t="str">
        <f>IFERROR(__xludf.DUMMYFUNCTION("""COMPUTED_VALUE"""),"")</f>
        <v/>
      </c>
      <c r="R8681" s="21" t="str">
        <f>IFERROR(__xludf.DUMMYFUNCTION("""COMPUTED_VALUE"""),"https://drive.google.com/file/d/1nKbnV6qIUk9wq-DExdwIV7AW6h3fxHTe/view?usp=drivesdk")</f>
        <v>https://drive.google.com/file/d/1nKbnV6qIUk9wq-DExdwIV7AW6h3fxHTe/view?usp=drivesdk</v>
      </c>
    </row>
    <row r="8682">
      <c r="A8682" s="15">
        <f>IFERROR(__xludf.DUMMYFUNCTION("""COMPUTED_VALUE"""),45247.0)</f>
        <v>45247</v>
      </c>
      <c r="B8682" s="16" t="str">
        <f>IFERROR(__xludf.DUMMYFUNCTION("""COMPUTED_VALUE"""),"Envia")</f>
        <v>Envia</v>
      </c>
      <c r="C8682" s="15" t="str">
        <f>IFERROR(__xludf.DUMMYFUNCTION("""COMPUTED_VALUE"""),"BOGOTÁ")</f>
        <v>BOGOTÁ</v>
      </c>
      <c r="D8682" s="15" t="str">
        <f>IFERROR(__xludf.DUMMYFUNCTION("""COMPUTED_VALUE"""),"BUCARAMANGA")</f>
        <v>BUCARAMANGA</v>
      </c>
      <c r="E8682" s="15" t="str">
        <f>IFERROR(__xludf.DUMMYFUNCTION("""COMPUTED_VALUE"""),"Yo Como Solito")</f>
        <v>Yo Como Solito</v>
      </c>
      <c r="F8682" s="17" t="str">
        <f>IFERROR(__xludf.DUMMYFUNCTION("""COMPUTED_VALUE"""),"CARRERA 2 A SUR #17A -34 CONJUNTO PARQUE METROPOLITANO, ETAPA 2 INTERIOR 9 APARATAMENTO 201 BARRIO VELODROMO  / CARRERA 2 A SUR #17A -34 CONJUNTO PARQUE METROPOLITANO, ETAPA 2 INTERIOR 9 APARATAMENTO 201 BARRIO VELODROMO / CARRERA 2 A SUR #17A -34 CONJUNT"&amp;"O PARQUE METROPOLITANO, ETAPA 2 INTERIOR 9 APARATAMENTO 201 BARRIO VELODROMO")</f>
        <v>CARRERA 2 A SUR #17A -34 CONJUNTO PARQUE METROPOLITANO, ETAPA 2 INTERIOR 9 APARATAMENTO 201 BARRIO VELODROMO  / CARRERA 2 A SUR #17A -34 CONJUNTO PARQUE METROPOLITANO, ETAPA 2 INTERIOR 9 APARATAMENTO 201 BARRIO VELODROMO / CARRERA 2 A SUR #17A -34 CONJUNTO PARQUE METROPOLITANO, ETAPA 2 INTERIOR 9 APARATAMENTO 201 BARRIO VELODROMO</v>
      </c>
      <c r="G8682" s="15" t="str">
        <f>IFERROR(__xludf.DUMMYFUNCTION("""COMPUTED_VALUE"""),"ANGIE KATHERINE MARTINEZ ")</f>
        <v>ANGIE KATHERINE MARTINEZ </v>
      </c>
      <c r="H8682" s="16">
        <f>IFERROR(__xludf.DUMMYFUNCTION("""COMPUTED_VALUE"""),17321.0)</f>
        <v>17321</v>
      </c>
      <c r="I8682" s="18">
        <f>IFERROR(__xludf.DUMMYFUNCTION("""COMPUTED_VALUE"""),30.0)</f>
        <v>30</v>
      </c>
      <c r="J8682" s="18">
        <f>IFERROR(__xludf.DUMMYFUNCTION("""COMPUTED_VALUE"""),35.0)</f>
        <v>35</v>
      </c>
      <c r="K8682" s="18">
        <f>IFERROR(__xludf.DUMMYFUNCTION("""COMPUTED_VALUE"""),41.0)</f>
        <v>41</v>
      </c>
      <c r="L8682" s="17">
        <f>IFERROR(__xludf.DUMMYFUNCTION("""COMPUTED_VALUE"""),3.228544719E9)</f>
        <v>3228544719</v>
      </c>
      <c r="M8682" s="17"/>
      <c r="N8682" s="17"/>
      <c r="O8682" s="17"/>
      <c r="P8682" s="17" t="b">
        <f>IFERROR(__xludf.DUMMYFUNCTION("""COMPUTED_VALUE"""),FALSE)</f>
        <v>0</v>
      </c>
      <c r="Q8682" s="20" t="str">
        <f>IFERROR(__xludf.DUMMYFUNCTION("""COMPUTED_VALUE"""),"")</f>
        <v/>
      </c>
      <c r="R8682" s="21" t="str">
        <f>IFERROR(__xludf.DUMMYFUNCTION("""COMPUTED_VALUE"""),"https://drive.google.com/file/d/1mTeZLL-wChhkTmOYerDSv4JaVoaqTy3M/view?usp=drivesdk")</f>
        <v>https://drive.google.com/file/d/1mTeZLL-wChhkTmOYerDSv4JaVoaqTy3M/view?usp=drivesdk</v>
      </c>
    </row>
    <row r="8683">
      <c r="A8683" s="15">
        <f>IFERROR(__xludf.DUMMYFUNCTION("""COMPUTED_VALUE"""),45247.0)</f>
        <v>45247</v>
      </c>
      <c r="B8683" s="16" t="str">
        <f>IFERROR(__xludf.DUMMYFUNCTION("""COMPUTED_VALUE"""),"Envia")</f>
        <v>Envia</v>
      </c>
      <c r="C8683" s="15" t="str">
        <f>IFERROR(__xludf.DUMMYFUNCTION("""COMPUTED_VALUE"""),"BOGOTÁ")</f>
        <v>BOGOTÁ</v>
      </c>
      <c r="D8683" s="15" t="str">
        <f>IFERROR(__xludf.DUMMYFUNCTION("""COMPUTED_VALUE"""),"MEDELLÍN")</f>
        <v>MEDELLÍN</v>
      </c>
      <c r="E8683" s="15" t="str">
        <f>IFERROR(__xludf.DUMMYFUNCTION("""COMPUTED_VALUE"""),"HELADERIA MAGDA")</f>
        <v>HELADERIA MAGDA</v>
      </c>
      <c r="F8683" s="17" t="str">
        <f>IFERROR(__xludf.DUMMYFUNCTION("""COMPUTED_VALUE"""),"CALLE 71A #14A22-26 / COCINA OCULTA")</f>
        <v>CALLE 71A #14A22-26 / COCINA OCULTA</v>
      </c>
      <c r="G8683" s="15" t="str">
        <f>IFERROR(__xludf.DUMMYFUNCTION("""COMPUTED_VALUE"""),"COCINAS OCULTAS")</f>
        <v>COCINAS OCULTAS</v>
      </c>
      <c r="H8683" s="16">
        <f>IFERROR(__xludf.DUMMYFUNCTION("""COMPUTED_VALUE"""),17401.0)</f>
        <v>17401</v>
      </c>
      <c r="I8683" s="17"/>
      <c r="J8683" s="17"/>
      <c r="K8683" s="17"/>
      <c r="L8683" s="17">
        <f>IFERROR(__xludf.DUMMYFUNCTION("""COMPUTED_VALUE"""),3.156303988E9)</f>
        <v>3156303988</v>
      </c>
      <c r="M8683" s="17"/>
      <c r="N8683" s="17"/>
      <c r="O8683" s="17"/>
      <c r="P8683" s="17" t="b">
        <f>IFERROR(__xludf.DUMMYFUNCTION("""COMPUTED_VALUE"""),FALSE)</f>
        <v>0</v>
      </c>
      <c r="Q8683" s="20" t="str">
        <f>IFERROR(__xludf.DUMMYFUNCTION("""COMPUTED_VALUE"""),"")</f>
        <v/>
      </c>
      <c r="R8683" s="22" t="str">
        <f>IFERROR(__xludf.DUMMYFUNCTION("""COMPUTED_VALUE"""),"")</f>
        <v/>
      </c>
    </row>
    <row r="8684">
      <c r="A8684" s="15">
        <f>IFERROR(__xludf.DUMMYFUNCTION("""COMPUTED_VALUE"""),45247.0)</f>
        <v>45247</v>
      </c>
      <c r="B8684" s="16" t="str">
        <f>IFERROR(__xludf.DUMMYFUNCTION("""COMPUTED_VALUE"""),"Envia")</f>
        <v>Envia</v>
      </c>
      <c r="C8684" s="15" t="str">
        <f>IFERROR(__xludf.DUMMYFUNCTION("""COMPUTED_VALUE"""),"BOGOTÁ")</f>
        <v>BOGOTÁ</v>
      </c>
      <c r="D8684" s="15" t="str">
        <f>IFERROR(__xludf.DUMMYFUNCTION("""COMPUTED_VALUE"""),"PEREIRA")</f>
        <v>PEREIRA</v>
      </c>
      <c r="E8684" s="15" t="str">
        <f>IFERROR(__xludf.DUMMYFUNCTION("""COMPUTED_VALUE"""),"BAK&amp;VEG ")</f>
        <v>BAK&amp;VEG </v>
      </c>
      <c r="F8684" s="17" t="str">
        <f>IFERROR(__xludf.DUMMYFUNCTION("""COMPUTED_VALUE"""),"CALLE 43 BIS A SUR #73B 47  / CASA ESQUINERA -  APTO 301")</f>
        <v>CALLE 43 BIS A SUR #73B 47  / CASA ESQUINERA -  APTO 301</v>
      </c>
      <c r="G8684" s="15" t="str">
        <f>IFERROR(__xludf.DUMMYFUNCTION("""COMPUTED_VALUE"""),"jesica")</f>
        <v>jesica</v>
      </c>
      <c r="H8684" s="16">
        <f>IFERROR(__xludf.DUMMYFUNCTION("""COMPUTED_VALUE"""),17381.0)</f>
        <v>17381</v>
      </c>
      <c r="I8684" s="18">
        <f>IFERROR(__xludf.DUMMYFUNCTION("""COMPUTED_VALUE"""),26.0)</f>
        <v>26</v>
      </c>
      <c r="J8684" s="18">
        <f>IFERROR(__xludf.DUMMYFUNCTION("""COMPUTED_VALUE"""),22.0)</f>
        <v>22</v>
      </c>
      <c r="K8684" s="18">
        <f>IFERROR(__xludf.DUMMYFUNCTION("""COMPUTED_VALUE"""),32.0)</f>
        <v>32</v>
      </c>
      <c r="L8684" s="17">
        <f>IFERROR(__xludf.DUMMYFUNCTION("""COMPUTED_VALUE"""),3.235913169E9)</f>
        <v>3235913169</v>
      </c>
      <c r="M8684" s="17"/>
      <c r="N8684" s="17"/>
      <c r="O8684" s="17"/>
      <c r="P8684" s="17" t="b">
        <f>IFERROR(__xludf.DUMMYFUNCTION("""COMPUTED_VALUE"""),FALSE)</f>
        <v>0</v>
      </c>
      <c r="Q8684" s="20" t="str">
        <f>IFERROR(__xludf.DUMMYFUNCTION("""COMPUTED_VALUE"""),"")</f>
        <v/>
      </c>
      <c r="R8684" s="21" t="str">
        <f>IFERROR(__xludf.DUMMYFUNCTION("""COMPUTED_VALUE"""),"https://drive.google.com/file/d/16QDNpz4P15PHwsDBk8AqQkRLhWBg9ivd/view?usp=drivesdk")</f>
        <v>https://drive.google.com/file/d/16QDNpz4P15PHwsDBk8AqQkRLhWBg9ivd/view?usp=drivesdk</v>
      </c>
    </row>
    <row r="8685">
      <c r="A8685" s="15">
        <f>IFERROR(__xludf.DUMMYFUNCTION("""COMPUTED_VALUE"""),45247.0)</f>
        <v>45247</v>
      </c>
      <c r="B8685" s="16" t="str">
        <f>IFERROR(__xludf.DUMMYFUNCTION("""COMPUTED_VALUE"""),"Envia")</f>
        <v>Envia</v>
      </c>
      <c r="C8685" s="15" t="str">
        <f>IFERROR(__xludf.DUMMYFUNCTION("""COMPUTED_VALUE"""),"BUCARAMANGA")</f>
        <v>BUCARAMANGA</v>
      </c>
      <c r="D8685" s="15" t="str">
        <f>IFERROR(__xludf.DUMMYFUNCTION("""COMPUTED_VALUE"""),"BOGOTÁ")</f>
        <v>BOGOTÁ</v>
      </c>
      <c r="E8685" s="15" t="str">
        <f>IFERROR(__xludf.DUMMYFUNCTION("""COMPUTED_VALUE"""),"LINA PAOLA RAMIREZ GOMEZ - EVA MAZZITA")</f>
        <v>LINA PAOLA RAMIREZ GOMEZ - EVA MAZZITA</v>
      </c>
      <c r="F8685" s="17" t="str">
        <f>IFERROR(__xludf.DUMMYFUNCTION("""COMPUTED_VALUE"""),"Cra 13 #51A-25 / Apto 201 Barrio San Miguel")</f>
        <v>Cra 13 #51A-25 / Apto 201 Barrio San Miguel</v>
      </c>
      <c r="G8685" s="15" t="str">
        <f>IFERROR(__xludf.DUMMYFUNCTION("""COMPUTED_VALUE"""),"LUDY MARCELA ORTIZ COLMENARES")</f>
        <v>LUDY MARCELA ORTIZ COLMENARES</v>
      </c>
      <c r="H8685" s="16">
        <f>IFERROR(__xludf.DUMMYFUNCTION("""COMPUTED_VALUE"""),17374.0)</f>
        <v>17374</v>
      </c>
      <c r="I8685" s="17"/>
      <c r="J8685" s="17"/>
      <c r="K8685" s="17"/>
      <c r="L8685" s="17">
        <f>IFERROR(__xludf.DUMMYFUNCTION("""COMPUTED_VALUE"""),3.105650147E9)</f>
        <v>3105650147</v>
      </c>
      <c r="M8685" s="17"/>
      <c r="N8685" s="17"/>
      <c r="O8685" s="17"/>
      <c r="P8685" s="17" t="b">
        <f>IFERROR(__xludf.DUMMYFUNCTION("""COMPUTED_VALUE"""),FALSE)</f>
        <v>0</v>
      </c>
      <c r="Q8685" s="20" t="str">
        <f>IFERROR(__xludf.DUMMYFUNCTION("""COMPUTED_VALUE"""),"")</f>
        <v/>
      </c>
      <c r="R8685" s="21" t="str">
        <f>IFERROR(__xludf.DUMMYFUNCTION("""COMPUTED_VALUE"""),"https://drive.google.com/file/d/1BNKBxBQBLD5UZfCvYdcteoNhRiGPeqak/view?usp=drivesdk")</f>
        <v>https://drive.google.com/file/d/1BNKBxBQBLD5UZfCvYdcteoNhRiGPeqak/view?usp=drivesdk</v>
      </c>
    </row>
    <row r="8686">
      <c r="A8686" s="15">
        <f>IFERROR(__xludf.DUMMYFUNCTION("""COMPUTED_VALUE"""),45247.0)</f>
        <v>45247</v>
      </c>
      <c r="B8686" s="16" t="str">
        <f>IFERROR(__xludf.DUMMYFUNCTION("""COMPUTED_VALUE"""),"Envia")</f>
        <v>Envia</v>
      </c>
      <c r="C8686" s="15" t="str">
        <f>IFERROR(__xludf.DUMMYFUNCTION("""COMPUTED_VALUE"""),"CALI")</f>
        <v>CALI</v>
      </c>
      <c r="D8686" s="15" t="str">
        <f>IFERROR(__xludf.DUMMYFUNCTION("""COMPUTED_VALUE"""),"BOGOTÁ")</f>
        <v>BOGOTÁ</v>
      </c>
      <c r="E8686" s="15" t="str">
        <f>IFERROR(__xludf.DUMMYFUNCTION("""COMPUTED_VALUE"""),"Viral Brands")</f>
        <v>Viral Brands</v>
      </c>
      <c r="F8686" s="17" t="str">
        <f>IFERROR(__xludf.DUMMYFUNCTION("""COMPUTED_VALUE"""),"cra 81 a # 42-02, segundo piso. / barrio el caney segundo piso, diagonal a olimpica / barrio el caney segundo piso, diagonal a olímpica")</f>
        <v>cra 81 a # 42-02, segundo piso. / barrio el caney segundo piso, diagonal a olimpica / barrio el caney segundo piso, diagonal a olímpica</v>
      </c>
      <c r="G8686" s="15" t="str">
        <f>IFERROR(__xludf.DUMMYFUNCTION("""COMPUTED_VALUE"""),"liceth sulbara")</f>
        <v>liceth sulbara</v>
      </c>
      <c r="H8686" s="16">
        <f>IFERROR(__xludf.DUMMYFUNCTION("""COMPUTED_VALUE"""),17366.0)</f>
        <v>17366</v>
      </c>
      <c r="I8686" s="18">
        <f>IFERROR(__xludf.DUMMYFUNCTION("""COMPUTED_VALUE"""),52.5)</f>
        <v>52.5</v>
      </c>
      <c r="J8686" s="18">
        <f>IFERROR(__xludf.DUMMYFUNCTION("""COMPUTED_VALUE"""),55.0)</f>
        <v>55</v>
      </c>
      <c r="K8686" s="18">
        <f>IFERROR(__xludf.DUMMYFUNCTION("""COMPUTED_VALUE"""),45.0)</f>
        <v>45</v>
      </c>
      <c r="L8686" s="17">
        <f>IFERROR(__xludf.DUMMYFUNCTION("""COMPUTED_VALUE"""),3.044474842E9)</f>
        <v>3044474842</v>
      </c>
      <c r="M8686" s="17"/>
      <c r="N8686" s="17"/>
      <c r="O8686" s="17"/>
      <c r="P8686" s="17" t="b">
        <f>IFERROR(__xludf.DUMMYFUNCTION("""COMPUTED_VALUE"""),FALSE)</f>
        <v>0</v>
      </c>
      <c r="Q8686" s="20" t="str">
        <f>IFERROR(__xludf.DUMMYFUNCTION("""COMPUTED_VALUE"""),"")</f>
        <v/>
      </c>
      <c r="R8686" s="21" t="str">
        <f>IFERROR(__xludf.DUMMYFUNCTION("""COMPUTED_VALUE"""),"https://drive.google.com/file/d/12APDPNtRwxTWvF0a9as8jkEP002Ws_51/view?usp=drivesdk")</f>
        <v>https://drive.google.com/file/d/12APDPNtRwxTWvF0a9as8jkEP002Ws_51/view?usp=drivesdk</v>
      </c>
    </row>
    <row r="8687">
      <c r="A8687" s="15">
        <f>IFERROR(__xludf.DUMMYFUNCTION("""COMPUTED_VALUE"""),45247.0)</f>
        <v>45247</v>
      </c>
      <c r="B8687" s="16" t="str">
        <f>IFERROR(__xludf.DUMMYFUNCTION("""COMPUTED_VALUE"""),"Envia")</f>
        <v>Envia</v>
      </c>
      <c r="C8687" s="15" t="str">
        <f>IFERROR(__xludf.DUMMYFUNCTION("""COMPUTED_VALUE"""),"CÚCUTA")</f>
        <v>CÚCUTA</v>
      </c>
      <c r="D8687" s="15" t="str">
        <f>IFERROR(__xludf.DUMMYFUNCTION("""COMPUTED_VALUE"""),"BOGOTÁ")</f>
        <v>BOGOTÁ</v>
      </c>
      <c r="E8687" s="15" t="str">
        <f>IFERROR(__xludf.DUMMYFUNCTION("""COMPUTED_VALUE"""),"Asociacion Agropecuaria Juana Maria")</f>
        <v>Asociacion Agropecuaria Juana Maria</v>
      </c>
      <c r="F8687" s="17" t="str">
        <f>IFERROR(__xludf.DUMMYFUNCTION("""COMPUTED_VALUE"""),"AV. 2E # 15 A -17 / PISTACHO FIT MARKET BARRIO CAOBOS")</f>
        <v>AV. 2E # 15 A -17 / PISTACHO FIT MARKET BARRIO CAOBOS</v>
      </c>
      <c r="G8687" s="15" t="str">
        <f>IFERROR(__xludf.DUMMYFUNCTION("""COMPUTED_VALUE"""),"DACCY KARINA LOPEZ")</f>
        <v>DACCY KARINA LOPEZ</v>
      </c>
      <c r="H8687" s="16">
        <f>IFERROR(__xludf.DUMMYFUNCTION("""COMPUTED_VALUE"""),17239.0)</f>
        <v>17239</v>
      </c>
      <c r="I8687" s="17"/>
      <c r="J8687" s="17"/>
      <c r="K8687" s="17"/>
      <c r="L8687" s="17">
        <f>IFERROR(__xludf.DUMMYFUNCTION("""COMPUTED_VALUE"""),3.208615379E9)</f>
        <v>3208615379</v>
      </c>
      <c r="M8687" s="17"/>
      <c r="N8687" s="17"/>
      <c r="O8687" s="17"/>
      <c r="P8687" s="17" t="b">
        <f>IFERROR(__xludf.DUMMYFUNCTION("""COMPUTED_VALUE"""),FALSE)</f>
        <v>0</v>
      </c>
      <c r="Q8687" s="20" t="str">
        <f>IFERROR(__xludf.DUMMYFUNCTION("""COMPUTED_VALUE"""),"")</f>
        <v/>
      </c>
      <c r="R8687" s="21" t="str">
        <f>IFERROR(__xludf.DUMMYFUNCTION("""COMPUTED_VALUE"""),"https://drive.google.com/file/d/1gzFjuUC0a9S5EzGV2E0gts-gL3c3Tmkf/view?usp=drivesdk")</f>
        <v>https://drive.google.com/file/d/1gzFjuUC0a9S5EzGV2E0gts-gL3c3Tmkf/view?usp=drivesdk</v>
      </c>
    </row>
    <row r="8688">
      <c r="A8688" s="15">
        <f>IFERROR(__xludf.DUMMYFUNCTION("""COMPUTED_VALUE"""),45247.0)</f>
        <v>45247</v>
      </c>
      <c r="B8688" s="16" t="str">
        <f>IFERROR(__xludf.DUMMYFUNCTION("""COMPUTED_VALUE"""),"Envia")</f>
        <v>Envia</v>
      </c>
      <c r="C8688" s="15" t="str">
        <f>IFERROR(__xludf.DUMMYFUNCTION("""COMPUTED_VALUE"""),"CÚCUTA")</f>
        <v>CÚCUTA</v>
      </c>
      <c r="D8688" s="15" t="str">
        <f>IFERROR(__xludf.DUMMYFUNCTION("""COMPUTED_VALUE"""),"BOGOTÁ")</f>
        <v>BOGOTÁ</v>
      </c>
      <c r="E8688" s="15" t="str">
        <f>IFERROR(__xludf.DUMMYFUNCTION("""COMPUTED_VALUE"""),"Athenas")</f>
        <v>Athenas</v>
      </c>
      <c r="F8688" s="17" t="str">
        <f>IFERROR(__xludf.DUMMYFUNCTION("""COMPUTED_VALUE"""),"Calle 11 # 2E-10 Centro Comercial Quinta Vélez Piso 3 - Local 301 / BODYTECH - CAFETERIAS / BARRIO CAOBOS")</f>
        <v>Calle 11 # 2E-10 Centro Comercial Quinta Vélez Piso 3 - Local 301 / BODYTECH - CAFETERIAS / BARRIO CAOBOS</v>
      </c>
      <c r="G8688" s="15" t="str">
        <f>IFERROR(__xludf.DUMMYFUNCTION("""COMPUTED_VALUE"""),"JENNIFER RODRIGUEZ")</f>
        <v>JENNIFER RODRIGUEZ</v>
      </c>
      <c r="H8688" s="16">
        <f>IFERROR(__xludf.DUMMYFUNCTION("""COMPUTED_VALUE"""),17313.0)</f>
        <v>17313</v>
      </c>
      <c r="I8688" s="18">
        <f>IFERROR(__xludf.DUMMYFUNCTION("""COMPUTED_VALUE"""),52.5)</f>
        <v>52.5</v>
      </c>
      <c r="J8688" s="18">
        <f>IFERROR(__xludf.DUMMYFUNCTION("""COMPUTED_VALUE"""),55.0)</f>
        <v>55</v>
      </c>
      <c r="K8688" s="18">
        <f>IFERROR(__xludf.DUMMYFUNCTION("""COMPUTED_VALUE"""),45.0)</f>
        <v>45</v>
      </c>
      <c r="L8688" s="17">
        <f>IFERROR(__xludf.DUMMYFUNCTION("""COMPUTED_VALUE"""),3.166748316E9)</f>
        <v>3166748316</v>
      </c>
      <c r="M8688" s="17"/>
      <c r="N8688" s="17"/>
      <c r="O8688" s="17"/>
      <c r="P8688" s="17" t="b">
        <f>IFERROR(__xludf.DUMMYFUNCTION("""COMPUTED_VALUE"""),FALSE)</f>
        <v>0</v>
      </c>
      <c r="Q8688" s="20" t="str">
        <f>IFERROR(__xludf.DUMMYFUNCTION("""COMPUTED_VALUE"""),"")</f>
        <v/>
      </c>
      <c r="R8688" s="21" t="str">
        <f>IFERROR(__xludf.DUMMYFUNCTION("""COMPUTED_VALUE"""),"https://drive.google.com/file/d/1ZYzwcPBZYpwqjpSd_ocbbxZVJRlwHcA0/view?usp=drivesdk")</f>
        <v>https://drive.google.com/file/d/1ZYzwcPBZYpwqjpSd_ocbbxZVJRlwHcA0/view?usp=drivesdk</v>
      </c>
    </row>
    <row r="8689">
      <c r="A8689" s="15">
        <f>IFERROR(__xludf.DUMMYFUNCTION("""COMPUTED_VALUE"""),45247.0)</f>
        <v>45247</v>
      </c>
      <c r="B8689" s="16" t="str">
        <f>IFERROR(__xludf.DUMMYFUNCTION("""COMPUTED_VALUE"""),"Envia")</f>
        <v>Envia</v>
      </c>
      <c r="C8689" s="15" t="str">
        <f>IFERROR(__xludf.DUMMYFUNCTION("""COMPUTED_VALUE"""),"CÚCUTA")</f>
        <v>CÚCUTA</v>
      </c>
      <c r="D8689" s="15" t="str">
        <f>IFERROR(__xludf.DUMMYFUNCTION("""COMPUTED_VALUE"""),"BOGOTÁ")</f>
        <v>BOGOTÁ</v>
      </c>
      <c r="E8689" s="15" t="str">
        <f>IFERROR(__xludf.DUMMYFUNCTION("""COMPUTED_VALUE"""),"LINA PAOLA RAMIREZ GOMEZ - EVA MAZZITA")</f>
        <v>LINA PAOLA RAMIREZ GOMEZ - EVA MAZZITA</v>
      </c>
      <c r="F8689" s="17" t="str">
        <f>IFERROR(__xludf.DUMMYFUNCTION("""COMPUTED_VALUE"""),"Av 2E # 15A -17 Caobos / Caobos")</f>
        <v>Av 2E # 15A -17 Caobos / Caobos</v>
      </c>
      <c r="G8689" s="15" t="str">
        <f>IFERROR(__xludf.DUMMYFUNCTION("""COMPUTED_VALUE"""),"DACCY KARINA LOPEZ MORENO")</f>
        <v>DACCY KARINA LOPEZ MORENO</v>
      </c>
      <c r="H8689" s="16">
        <f>IFERROR(__xludf.DUMMYFUNCTION("""COMPUTED_VALUE"""),17334.0)</f>
        <v>17334</v>
      </c>
      <c r="I8689" s="17"/>
      <c r="J8689" s="17"/>
      <c r="K8689" s="17"/>
      <c r="L8689" s="17">
        <f>IFERROR(__xludf.DUMMYFUNCTION("""COMPUTED_VALUE"""),3.208615379E9)</f>
        <v>3208615379</v>
      </c>
      <c r="M8689" s="17"/>
      <c r="N8689" s="17"/>
      <c r="O8689" s="17"/>
      <c r="P8689" s="17" t="b">
        <f>IFERROR(__xludf.DUMMYFUNCTION("""COMPUTED_VALUE"""),FALSE)</f>
        <v>0</v>
      </c>
      <c r="Q8689" s="20" t="str">
        <f>IFERROR(__xludf.DUMMYFUNCTION("""COMPUTED_VALUE"""),"")</f>
        <v/>
      </c>
      <c r="R8689" s="21" t="str">
        <f>IFERROR(__xludf.DUMMYFUNCTION("""COMPUTED_VALUE"""),"https://drive.google.com/file/d/1oqvyMlKUx2sNZMkVWGFuePWbOQ4ljFWu/view?usp=drivesdk")</f>
        <v>https://drive.google.com/file/d/1oqvyMlKUx2sNZMkVWGFuePWbOQ4ljFWu/view?usp=drivesdk</v>
      </c>
    </row>
    <row r="8690">
      <c r="A8690" s="15">
        <f>IFERROR(__xludf.DUMMYFUNCTION("""COMPUTED_VALUE"""),45247.0)</f>
        <v>45247</v>
      </c>
      <c r="B8690" s="16" t="str">
        <f>IFERROR(__xludf.DUMMYFUNCTION("""COMPUTED_VALUE"""),"Envia")</f>
        <v>Envia</v>
      </c>
      <c r="C8690" s="15" t="str">
        <f>IFERROR(__xludf.DUMMYFUNCTION("""COMPUTED_VALUE"""),"MEDELLÍN")</f>
        <v>MEDELLÍN</v>
      </c>
      <c r="D8690" s="15" t="str">
        <f>IFERROR(__xludf.DUMMYFUNCTION("""COMPUTED_VALUE"""),"BOGOTÁ")</f>
        <v>BOGOTÁ</v>
      </c>
      <c r="E8690" s="15" t="str">
        <f>IFERROR(__xludf.DUMMYFUNCTION("""COMPUTED_VALUE"""),"Cliente Nuevo")</f>
        <v>Cliente Nuevo</v>
      </c>
      <c r="F8690" s="17" t="str">
        <f>IFERROR(__xludf.DUMMYFUNCTION("""COMPUTED_VALUE"""),"Carrera 31d#9-43 / Seline y cowork -restaurante  / Provenza ")</f>
        <v>Carrera 31d#9-43 / Seline y cowork -restaurante  / Provenza </v>
      </c>
      <c r="G8690" s="15" t="str">
        <f>IFERROR(__xludf.DUMMYFUNCTION("""COMPUTED_VALUE"""),"Front y back hospitality group ")</f>
        <v>Front y back hospitality group </v>
      </c>
      <c r="H8690" s="16">
        <f>IFERROR(__xludf.DUMMYFUNCTION("""COMPUTED_VALUE"""),17371.0)</f>
        <v>17371</v>
      </c>
      <c r="I8690" s="18">
        <f>IFERROR(__xludf.DUMMYFUNCTION("""COMPUTED_VALUE"""),90.0)</f>
        <v>90</v>
      </c>
      <c r="J8690" s="18">
        <f>IFERROR(__xludf.DUMMYFUNCTION("""COMPUTED_VALUE"""),70.0)</f>
        <v>70</v>
      </c>
      <c r="K8690" s="18">
        <f>IFERROR(__xludf.DUMMYFUNCTION("""COMPUTED_VALUE"""),60.0)</f>
        <v>60</v>
      </c>
      <c r="L8690" s="17">
        <f>IFERROR(__xludf.DUMMYFUNCTION("""COMPUTED_VALUE"""),3.104046378E9)</f>
        <v>3104046378</v>
      </c>
      <c r="M8690" s="17"/>
      <c r="N8690" s="17"/>
      <c r="O8690" s="17"/>
      <c r="P8690" s="17" t="b">
        <f>IFERROR(__xludf.DUMMYFUNCTION("""COMPUTED_VALUE"""),FALSE)</f>
        <v>0</v>
      </c>
      <c r="Q8690" s="20" t="str">
        <f>IFERROR(__xludf.DUMMYFUNCTION("""COMPUTED_VALUE"""),"")</f>
        <v/>
      </c>
      <c r="R8690" s="21" t="str">
        <f>IFERROR(__xludf.DUMMYFUNCTION("""COMPUTED_VALUE"""),"https://drive.google.com/file/d/1DU3Jwuzg0ncgBCiBYTbaDSakiwhB5nuc/view?usp=drivesdk")</f>
        <v>https://drive.google.com/file/d/1DU3Jwuzg0ncgBCiBYTbaDSakiwhB5nuc/view?usp=drivesdk</v>
      </c>
    </row>
    <row r="8691">
      <c r="A8691" s="15">
        <f>IFERROR(__xludf.DUMMYFUNCTION("""COMPUTED_VALUE"""),45247.0)</f>
        <v>45247</v>
      </c>
      <c r="B8691" s="16" t="str">
        <f>IFERROR(__xludf.DUMMYFUNCTION("""COMPUTED_VALUE"""),"Envia")</f>
        <v>Envia</v>
      </c>
      <c r="C8691" s="15" t="str">
        <f>IFERROR(__xludf.DUMMYFUNCTION("""COMPUTED_VALUE"""),"MEDELLÍN")</f>
        <v>MEDELLÍN</v>
      </c>
      <c r="D8691" s="15" t="str">
        <f>IFERROR(__xludf.DUMMYFUNCTION("""COMPUTED_VALUE"""),"BOGOTÁ")</f>
        <v>BOGOTÁ</v>
      </c>
      <c r="E8691" s="15" t="str">
        <f>IFERROR(__xludf.DUMMYFUNCTION("""COMPUTED_VALUE"""),"Instinto alimento vital")</f>
        <v>Instinto alimento vital</v>
      </c>
      <c r="F8691" s="17" t="str">
        <f>IFERROR(__xludf.DUMMYFUNCTION("""COMPUTED_VALUE"""),"CRA 44 # 26 27 / EL POBLADO")</f>
        <v>CRA 44 # 26 27 / EL POBLADO</v>
      </c>
      <c r="G8691" s="15" t="str">
        <f>IFERROR(__xludf.DUMMYFUNCTION("""COMPUTED_VALUE"""),"BODEGA VELOSITY MEDELLIN")</f>
        <v>BODEGA VELOSITY MEDELLIN</v>
      </c>
      <c r="H8691" s="16">
        <f>IFERROR(__xludf.DUMMYFUNCTION("""COMPUTED_VALUE"""),17337.0)</f>
        <v>17337</v>
      </c>
      <c r="I8691" s="17"/>
      <c r="J8691" s="17"/>
      <c r="K8691" s="17"/>
      <c r="L8691" s="17">
        <f>IFERROR(__xludf.DUMMYFUNCTION("""COMPUTED_VALUE"""),3.124683372E9)</f>
        <v>3124683372</v>
      </c>
      <c r="M8691" s="17"/>
      <c r="N8691" s="17"/>
      <c r="O8691" s="17"/>
      <c r="P8691" s="17" t="b">
        <f>IFERROR(__xludf.DUMMYFUNCTION("""COMPUTED_VALUE"""),FALSE)</f>
        <v>0</v>
      </c>
      <c r="Q8691" s="20" t="str">
        <f>IFERROR(__xludf.DUMMYFUNCTION("""COMPUTED_VALUE"""),"")</f>
        <v/>
      </c>
      <c r="R8691" s="21" t="str">
        <f>IFERROR(__xludf.DUMMYFUNCTION("""COMPUTED_VALUE"""),"https://drive.google.com/file/d/1nsna7wztKK5IzaWTrIKR0gJqfCf5o9GN/view?usp=drivesdk")</f>
        <v>https://drive.google.com/file/d/1nsna7wztKK5IzaWTrIKR0gJqfCf5o9GN/view?usp=drivesdk</v>
      </c>
    </row>
    <row r="8692">
      <c r="A8692" s="15">
        <f>IFERROR(__xludf.DUMMYFUNCTION("""COMPUTED_VALUE"""),45247.0)</f>
        <v>45247</v>
      </c>
      <c r="B8692" s="16" t="str">
        <f>IFERROR(__xludf.DUMMYFUNCTION("""COMPUTED_VALUE"""),"Envia")</f>
        <v>Envia</v>
      </c>
      <c r="C8692" s="15" t="str">
        <f>IFERROR(__xludf.DUMMYFUNCTION("""COMPUTED_VALUE"""),"MEDELLÍN")</f>
        <v>MEDELLÍN</v>
      </c>
      <c r="D8692" s="15" t="str">
        <f>IFERROR(__xludf.DUMMYFUNCTION("""COMPUTED_VALUE"""),"BOGOTÁ")</f>
        <v>BOGOTÁ</v>
      </c>
      <c r="E8692" s="15" t="str">
        <f>IFERROR(__xludf.DUMMYFUNCTION("""COMPUTED_VALUE"""),"PAN DE WAFFLE")</f>
        <v>PAN DE WAFFLE</v>
      </c>
      <c r="F8692" s="17" t="str">
        <f>IFERROR(__xludf.DUMMYFUNCTION("""COMPUTED_VALUE"""),"Transveral 39b # 77 - 40 Laureles / Transveral 39b # 77 - 40 Laureles")</f>
        <v>Transveral 39b # 77 - 40 Laureles / Transveral 39b # 77 - 40 Laureles</v>
      </c>
      <c r="G8692" s="15" t="str">
        <f>IFERROR(__xludf.DUMMYFUNCTION("""COMPUTED_VALUE"""),"VITA INTEGRAL")</f>
        <v>VITA INTEGRAL</v>
      </c>
      <c r="H8692" s="16">
        <f>IFERROR(__xludf.DUMMYFUNCTION("""COMPUTED_VALUE"""),17340.0)</f>
        <v>17340</v>
      </c>
      <c r="I8692" s="17"/>
      <c r="J8692" s="17"/>
      <c r="K8692" s="17"/>
      <c r="L8692" s="17"/>
      <c r="M8692" s="17"/>
      <c r="N8692" s="17"/>
      <c r="O8692" s="17"/>
      <c r="P8692" s="17" t="b">
        <f>IFERROR(__xludf.DUMMYFUNCTION("""COMPUTED_VALUE"""),FALSE)</f>
        <v>0</v>
      </c>
      <c r="Q8692" s="20" t="str">
        <f>IFERROR(__xludf.DUMMYFUNCTION("""COMPUTED_VALUE"""),"")</f>
        <v/>
      </c>
      <c r="R8692" s="21" t="str">
        <f>IFERROR(__xludf.DUMMYFUNCTION("""COMPUTED_VALUE"""),"https://drive.google.com/file/d/1xPmoTZCZdjCa1Nv_bUdKdkU-nIJOtq7x/view?usp=drivesdk")</f>
        <v>https://drive.google.com/file/d/1xPmoTZCZdjCa1Nv_bUdKdkU-nIJOtq7x/view?usp=drivesdk</v>
      </c>
    </row>
    <row r="8693">
      <c r="A8693" s="15">
        <f>IFERROR(__xludf.DUMMYFUNCTION("""COMPUTED_VALUE"""),45247.0)</f>
        <v>45247</v>
      </c>
      <c r="B8693" s="16" t="str">
        <f>IFERROR(__xludf.DUMMYFUNCTION("""COMPUTED_VALUE"""),"Envia")</f>
        <v>Envia</v>
      </c>
      <c r="C8693" s="15" t="str">
        <f>IFERROR(__xludf.DUMMYFUNCTION("""COMPUTED_VALUE"""),"VILLAVICENCIO")</f>
        <v>VILLAVICENCIO</v>
      </c>
      <c r="D8693" s="15" t="str">
        <f>IFERROR(__xludf.DUMMYFUNCTION("""COMPUTED_VALUE"""),"PEREIRA")</f>
        <v>PEREIRA</v>
      </c>
      <c r="E8693" s="15" t="str">
        <f>IFERROR(__xludf.DUMMYFUNCTION("""COMPUTED_VALUE"""),"Cliente Nuevo")</f>
        <v>Cliente Nuevo</v>
      </c>
      <c r="F8693" s="17" t="str">
        <f>IFERROR(__xludf.DUMMYFUNCTION("""COMPUTED_VALUE"""),"calle15 # 44d - 28 / edificio palo de agua local 1 / centro")</f>
        <v>calle15 # 44d - 28 / edificio palo de agua local 1 / centro</v>
      </c>
      <c r="G8693" s="15" t="str">
        <f>IFERROR(__xludf.DUMMYFUNCTION("""COMPUTED_VALUE"""),"Elsa Liliana Estepa Baquero")</f>
        <v>Elsa Liliana Estepa Baquero</v>
      </c>
      <c r="H8693" s="16">
        <f>IFERROR(__xludf.DUMMYFUNCTION("""COMPUTED_VALUE"""),17347.0)</f>
        <v>17347</v>
      </c>
      <c r="I8693" s="18">
        <f>IFERROR(__xludf.DUMMYFUNCTION("""COMPUTED_VALUE"""),40.0)</f>
        <v>40</v>
      </c>
      <c r="J8693" s="18">
        <f>IFERROR(__xludf.DUMMYFUNCTION("""COMPUTED_VALUE"""),93.0)</f>
        <v>93</v>
      </c>
      <c r="K8693" s="18">
        <f>IFERROR(__xludf.DUMMYFUNCTION("""COMPUTED_VALUE"""),62.0)</f>
        <v>62</v>
      </c>
      <c r="L8693" s="17">
        <f>IFERROR(__xludf.DUMMYFUNCTION("""COMPUTED_VALUE"""),3.008383044E9)</f>
        <v>3008383044</v>
      </c>
      <c r="M8693" s="17"/>
      <c r="N8693" s="17"/>
      <c r="O8693" s="17"/>
      <c r="P8693" s="17" t="b">
        <f>IFERROR(__xludf.DUMMYFUNCTION("""COMPUTED_VALUE"""),FALSE)</f>
        <v>0</v>
      </c>
      <c r="Q8693" s="20" t="str">
        <f>IFERROR(__xludf.DUMMYFUNCTION("""COMPUTED_VALUE"""),"")</f>
        <v/>
      </c>
      <c r="R8693" s="21" t="str">
        <f>IFERROR(__xludf.DUMMYFUNCTION("""COMPUTED_VALUE"""),"https://drive.google.com/file/d/1CzXtLB_l_Fe4_Z465vMVUfIBWokVqWuR/view?usp=drivesdk")</f>
        <v>https://drive.google.com/file/d/1CzXtLB_l_Fe4_Z465vMVUfIBWokVqWuR/view?usp=drivesdk</v>
      </c>
    </row>
    <row r="8694">
      <c r="A8694" s="17" t="str">
        <f>IFERROR(__xludf.DUMMYFUNCTION("""COMPUTED_VALUE"""),"")</f>
        <v/>
      </c>
      <c r="B8694" s="17" t="str">
        <f>IFERROR(__xludf.DUMMYFUNCTION("""COMPUTED_VALUE"""),"")</f>
        <v/>
      </c>
      <c r="C8694" s="17" t="str">
        <f>IFERROR(__xludf.DUMMYFUNCTION("""COMPUTED_VALUE"""),"")</f>
        <v/>
      </c>
      <c r="D8694" s="17" t="str">
        <f>IFERROR(__xludf.DUMMYFUNCTION("""COMPUTED_VALUE"""),"")</f>
        <v/>
      </c>
      <c r="E8694" s="17" t="str">
        <f>IFERROR(__xludf.DUMMYFUNCTION("""COMPUTED_VALUE"""),"")</f>
        <v/>
      </c>
      <c r="F8694" s="17" t="str">
        <f>IFERROR(__xludf.DUMMYFUNCTION("""COMPUTED_VALUE"""),"")</f>
        <v/>
      </c>
      <c r="G8694" s="17" t="str">
        <f>IFERROR(__xludf.DUMMYFUNCTION("""COMPUTED_VALUE"""),"")</f>
        <v/>
      </c>
      <c r="H8694" s="17" t="str">
        <f>IFERROR(__xludf.DUMMYFUNCTION("""COMPUTED_VALUE"""),"")</f>
        <v/>
      </c>
      <c r="I8694" s="17" t="str">
        <f>IFERROR(__xludf.DUMMYFUNCTION("""COMPUTED_VALUE"""),"")</f>
        <v/>
      </c>
      <c r="J8694" s="17" t="str">
        <f>IFERROR(__xludf.DUMMYFUNCTION("""COMPUTED_VALUE"""),"")</f>
        <v/>
      </c>
      <c r="K8694" s="17" t="str">
        <f>IFERROR(__xludf.DUMMYFUNCTION("""COMPUTED_VALUE"""),"")</f>
        <v/>
      </c>
      <c r="L8694" s="17" t="str">
        <f>IFERROR(__xludf.DUMMYFUNCTION("""COMPUTED_VALUE"""),"")</f>
        <v/>
      </c>
      <c r="M8694" s="17" t="str">
        <f>IFERROR(__xludf.DUMMYFUNCTION("""COMPUTED_VALUE"""),"")</f>
        <v/>
      </c>
      <c r="N8694" s="17" t="str">
        <f>IFERROR(__xludf.DUMMYFUNCTION("""COMPUTED_VALUE"""),"")</f>
        <v/>
      </c>
      <c r="O8694" s="17" t="str">
        <f>IFERROR(__xludf.DUMMYFUNCTION("""COMPUTED_VALUE"""),"")</f>
        <v/>
      </c>
      <c r="P8694" s="17" t="str">
        <f>IFERROR(__xludf.DUMMYFUNCTION("""COMPUTED_VALUE"""),"")</f>
        <v/>
      </c>
      <c r="Q8694" s="17" t="str">
        <f>IFERROR(__xludf.DUMMYFUNCTION("""COMPUTED_VALUE"""),"")</f>
        <v/>
      </c>
      <c r="R8694" s="17" t="str">
        <f>IFERROR(__xludf.DUMMYFUNCTION("""COMPUTED_VALUE"""),"")</f>
        <v/>
      </c>
    </row>
    <row r="8695">
      <c r="A8695" s="15">
        <f>IFERROR(__xludf.DUMMYFUNCTION("""COMPUTED_VALUE"""),45247.0)</f>
        <v>45247</v>
      </c>
      <c r="B8695" s="16" t="str">
        <f>IFERROR(__xludf.DUMMYFUNCTION("""COMPUTED_VALUE"""),"Johanna Arango Barrera")</f>
        <v>Johanna Arango Barrera</v>
      </c>
      <c r="C8695" s="15" t="str">
        <f>IFERROR(__xludf.DUMMYFUNCTION("""COMPUTED_VALUE"""),"BUCARAMANGA")</f>
        <v>BUCARAMANGA</v>
      </c>
      <c r="D8695" s="15" t="str">
        <f>IFERROR(__xludf.DUMMYFUNCTION("""COMPUTED_VALUE"""),"BOGOTÁ")</f>
        <v>BOGOTÁ</v>
      </c>
      <c r="E8695" s="15" t="str">
        <f>IFERROR(__xludf.DUMMYFUNCTION("""COMPUTED_VALUE"""),"PAN DE WAFFLE")</f>
        <v>PAN DE WAFFLE</v>
      </c>
      <c r="F8695" s="17" t="str">
        <f>IFERROR(__xludf.DUMMYFUNCTION("""COMPUTED_VALUE"""),"Carrera 31 # 50 - 27 / Carrera 31 # 50 - 27")</f>
        <v>Carrera 31 # 50 - 27 / Carrera 31 # 50 - 27</v>
      </c>
      <c r="G8695" s="15" t="str">
        <f>IFERROR(__xludf.DUMMYFUNCTION("""COMPUTED_VALUE"""),"FOODOLOGY")</f>
        <v>FOODOLOGY</v>
      </c>
      <c r="H8695" s="16">
        <f>IFERROR(__xludf.DUMMYFUNCTION("""COMPUTED_VALUE"""),17330.0)</f>
        <v>17330</v>
      </c>
      <c r="I8695" s="17"/>
      <c r="J8695" s="17"/>
      <c r="K8695" s="17"/>
      <c r="L8695" s="17"/>
      <c r="M8695" s="17"/>
      <c r="N8695" s="17"/>
      <c r="O8695" s="17"/>
      <c r="P8695" s="17" t="b">
        <f>IFERROR(__xludf.DUMMYFUNCTION("""COMPUTED_VALUE"""),FALSE)</f>
        <v>0</v>
      </c>
      <c r="Q8695" s="20" t="str">
        <f>IFERROR(__xludf.DUMMYFUNCTION("""COMPUTED_VALUE"""),"")</f>
        <v/>
      </c>
      <c r="R8695" s="21" t="str">
        <f>IFERROR(__xludf.DUMMYFUNCTION("""COMPUTED_VALUE"""),"https://drive.google.com/file/d/141ihHSvxlq1dExZPx3020WYUojQGPyLd/view?usp=drivesdk")</f>
        <v>https://drive.google.com/file/d/141ihHSvxlq1dExZPx3020WYUojQGPyLd/view?usp=drivesdk</v>
      </c>
    </row>
    <row r="8696">
      <c r="A8696" s="15">
        <f>IFERROR(__xludf.DUMMYFUNCTION("""COMPUTED_VALUE"""),45247.0)</f>
        <v>45247</v>
      </c>
      <c r="B8696" s="16" t="str">
        <f>IFERROR(__xludf.DUMMYFUNCTION("""COMPUTED_VALUE"""),"Johanna Arango Barrera")</f>
        <v>Johanna Arango Barrera</v>
      </c>
      <c r="C8696" s="15" t="str">
        <f>IFERROR(__xludf.DUMMYFUNCTION("""COMPUTED_VALUE"""),"BUCARAMANGA")</f>
        <v>BUCARAMANGA</v>
      </c>
      <c r="D8696" s="15" t="str">
        <f>IFERROR(__xludf.DUMMYFUNCTION("""COMPUTED_VALUE"""),"BOGOTÁ")</f>
        <v>BOGOTÁ</v>
      </c>
      <c r="E8696" s="15" t="str">
        <f>IFERROR(__xludf.DUMMYFUNCTION("""COMPUTED_VALUE"""),"PAN DE WAFFLE")</f>
        <v>PAN DE WAFFLE</v>
      </c>
      <c r="F8696" s="17" t="str">
        <f>IFERROR(__xludf.DUMMYFUNCTION("""COMPUTED_VALUE"""),"Carrera 31 # 50 - 27 / Carrera 31 # 50 - 27")</f>
        <v>Carrera 31 # 50 - 27 / Carrera 31 # 50 - 27</v>
      </c>
      <c r="G8696" s="15" t="str">
        <f>IFERROR(__xludf.DUMMYFUNCTION("""COMPUTED_VALUE"""),"FOODOLOGY")</f>
        <v>FOODOLOGY</v>
      </c>
      <c r="H8696" s="16">
        <f>IFERROR(__xludf.DUMMYFUNCTION("""COMPUTED_VALUE"""),17339.0)</f>
        <v>17339</v>
      </c>
      <c r="I8696" s="17"/>
      <c r="J8696" s="17"/>
      <c r="K8696" s="17"/>
      <c r="L8696" s="17"/>
      <c r="M8696" s="17"/>
      <c r="N8696" s="17"/>
      <c r="O8696" s="17"/>
      <c r="P8696" s="17" t="b">
        <f>IFERROR(__xludf.DUMMYFUNCTION("""COMPUTED_VALUE"""),FALSE)</f>
        <v>0</v>
      </c>
      <c r="Q8696" s="20" t="str">
        <f>IFERROR(__xludf.DUMMYFUNCTION("""COMPUTED_VALUE"""),"")</f>
        <v/>
      </c>
      <c r="R8696" s="22" t="str">
        <f>IFERROR(__xludf.DUMMYFUNCTION("""COMPUTED_VALUE"""),"")</f>
        <v/>
      </c>
    </row>
    <row r="8697">
      <c r="A8697" s="15">
        <f>IFERROR(__xludf.DUMMYFUNCTION("""COMPUTED_VALUE"""),45247.0)</f>
        <v>45247</v>
      </c>
      <c r="B8697" s="16" t="str">
        <f>IFERROR(__xludf.DUMMYFUNCTION("""COMPUTED_VALUE"""),"Johanna Arango Barrera")</f>
        <v>Johanna Arango Barrera</v>
      </c>
      <c r="C8697" s="15" t="str">
        <f>IFERROR(__xludf.DUMMYFUNCTION("""COMPUTED_VALUE"""),"CALI")</f>
        <v>CALI</v>
      </c>
      <c r="D8697" s="15" t="str">
        <f>IFERROR(__xludf.DUMMYFUNCTION("""COMPUTED_VALUE"""),"BOGOTÁ")</f>
        <v>BOGOTÁ</v>
      </c>
      <c r="E8697" s="15" t="str">
        <f>IFERROR(__xludf.DUMMYFUNCTION("""COMPUTED_VALUE"""),"Renata")</f>
        <v>Renata</v>
      </c>
      <c r="F8697" s="17" t="str">
        <f>IFERROR(__xludf.DUMMYFUNCTION("""COMPUTED_VALUE"""),"Carrera 3#3a-83 / Patio 34 food containers -restaurante  / San Fernando ")</f>
        <v>Carrera 3#3a-83 / Patio 34 food containers -restaurante  / San Fernando </v>
      </c>
      <c r="G8697" s="15" t="str">
        <f>IFERROR(__xludf.DUMMYFUNCTION("""COMPUTED_VALUE"""),"Retaco sas ")</f>
        <v>Retaco sas </v>
      </c>
      <c r="H8697" s="16">
        <f>IFERROR(__xludf.DUMMYFUNCTION("""COMPUTED_VALUE"""),17370.0)</f>
        <v>17370</v>
      </c>
      <c r="I8697" s="18">
        <f>IFERROR(__xludf.DUMMYFUNCTION("""COMPUTED_VALUE"""),90.0)</f>
        <v>90</v>
      </c>
      <c r="J8697" s="18">
        <f>IFERROR(__xludf.DUMMYFUNCTION("""COMPUTED_VALUE"""),70.0)</f>
        <v>70</v>
      </c>
      <c r="K8697" s="18">
        <f>IFERROR(__xludf.DUMMYFUNCTION("""COMPUTED_VALUE"""),60.0)</f>
        <v>60</v>
      </c>
      <c r="L8697" s="17">
        <f>IFERROR(__xludf.DUMMYFUNCTION("""COMPUTED_VALUE"""),3.134720976E9)</f>
        <v>3134720976</v>
      </c>
      <c r="M8697" s="17"/>
      <c r="N8697" s="17"/>
      <c r="O8697" s="17"/>
      <c r="P8697" s="17" t="b">
        <f>IFERROR(__xludf.DUMMYFUNCTION("""COMPUTED_VALUE"""),FALSE)</f>
        <v>0</v>
      </c>
      <c r="Q8697" s="20" t="str">
        <f>IFERROR(__xludf.DUMMYFUNCTION("""COMPUTED_VALUE"""),"")</f>
        <v/>
      </c>
      <c r="R8697" s="21" t="str">
        <f>IFERROR(__xludf.DUMMYFUNCTION("""COMPUTED_VALUE"""),"https://drive.google.com/file/d/1vVgIk590pKq5_ZOVVZmd73niTYCie8-V/view?usp=drivesdk")</f>
        <v>https://drive.google.com/file/d/1vVgIk590pKq5_ZOVVZmd73niTYCie8-V/view?usp=drivesdk</v>
      </c>
    </row>
    <row r="8698">
      <c r="A8698" s="15">
        <f>IFERROR(__xludf.DUMMYFUNCTION("""COMPUTED_VALUE"""),45247.0)</f>
        <v>45247</v>
      </c>
      <c r="B8698" s="16" t="str">
        <f>IFERROR(__xludf.DUMMYFUNCTION("""COMPUTED_VALUE"""),"Johanna Arango Barrera")</f>
        <v>Johanna Arango Barrera</v>
      </c>
      <c r="C8698" s="15" t="str">
        <f>IFERROR(__xludf.DUMMYFUNCTION("""COMPUTED_VALUE"""),"FLORIDABLANCA")</f>
        <v>FLORIDABLANCA</v>
      </c>
      <c r="D8698" s="15" t="str">
        <f>IFERROR(__xludf.DUMMYFUNCTION("""COMPUTED_VALUE"""),"BOGOTÁ")</f>
        <v>BOGOTÁ</v>
      </c>
      <c r="E8698" s="15" t="str">
        <f>IFERROR(__xludf.DUMMYFUNCTION("""COMPUTED_VALUE"""),"LINA PAOLA RAMIREZ GOMEZ - EVA MAZZITA")</f>
        <v>LINA PAOLA RAMIREZ GOMEZ - EVA MAZZITA</v>
      </c>
      <c r="F8698" s="17" t="str">
        <f>IFERROR(__xludf.DUMMYFUNCTION("""COMPUTED_VALUE"""),"Calle 157 # 154-215 / Edificio Gaira Torre 1 apartamento 1102 Barrio Cañaveral diagonal a la clínica Fosunab")</f>
        <v>Calle 157 # 154-215 / Edificio Gaira Torre 1 apartamento 1102 Barrio Cañaveral diagonal a la clínica Fosunab</v>
      </c>
      <c r="G8698" s="15" t="str">
        <f>IFERROR(__xludf.DUMMYFUNCTION("""COMPUTED_VALUE"""),"RUTH CASTRO MONTOYA")</f>
        <v>RUTH CASTRO MONTOYA</v>
      </c>
      <c r="H8698" s="16">
        <f>IFERROR(__xludf.DUMMYFUNCTION("""COMPUTED_VALUE"""),17375.0)</f>
        <v>17375</v>
      </c>
      <c r="I8698" s="17"/>
      <c r="J8698" s="17"/>
      <c r="K8698" s="17"/>
      <c r="L8698" s="17">
        <f>IFERROR(__xludf.DUMMYFUNCTION("""COMPUTED_VALUE"""),3.186588608E9)</f>
        <v>3186588608</v>
      </c>
      <c r="M8698" s="17"/>
      <c r="N8698" s="17"/>
      <c r="O8698" s="17"/>
      <c r="P8698" s="17" t="b">
        <f>IFERROR(__xludf.DUMMYFUNCTION("""COMPUTED_VALUE"""),FALSE)</f>
        <v>0</v>
      </c>
      <c r="Q8698" s="20" t="str">
        <f>IFERROR(__xludf.DUMMYFUNCTION("""COMPUTED_VALUE"""),"")</f>
        <v/>
      </c>
      <c r="R8698" s="21" t="str">
        <f>IFERROR(__xludf.DUMMYFUNCTION("""COMPUTED_VALUE"""),"https://drive.google.com/file/d/15fdd1AiDggitBx2e0uHxylyF6dsDEfPY/view?usp=drivesdk")</f>
        <v>https://drive.google.com/file/d/15fdd1AiDggitBx2e0uHxylyF6dsDEfPY/view?usp=drivesdk</v>
      </c>
    </row>
    <row r="8699">
      <c r="A8699" s="15">
        <f>IFERROR(__xludf.DUMMYFUNCTION("""COMPUTED_VALUE"""),45247.0)</f>
        <v>45247</v>
      </c>
      <c r="B8699" s="16" t="str">
        <f>IFERROR(__xludf.DUMMYFUNCTION("""COMPUTED_VALUE"""),"Johanna Arango Barrera")</f>
        <v>Johanna Arango Barrera</v>
      </c>
      <c r="C8699" s="15" t="str">
        <f>IFERROR(__xludf.DUMMYFUNCTION("""COMPUTED_VALUE"""),"FLORIDABLANCA")</f>
        <v>FLORIDABLANCA</v>
      </c>
      <c r="D8699" s="15" t="str">
        <f>IFERROR(__xludf.DUMMYFUNCTION("""COMPUTED_VALUE"""),"BOGOTÁ")</f>
        <v>BOGOTÁ</v>
      </c>
      <c r="E8699" s="15" t="str">
        <f>IFERROR(__xludf.DUMMYFUNCTION("""COMPUTED_VALUE"""),"LINA PAOLA RAMIREZ GOMEZ - EVA MAZZITA")</f>
        <v>LINA PAOLA RAMIREZ GOMEZ - EVA MAZZITA</v>
      </c>
      <c r="F8699" s="17" t="str">
        <f>IFERROR(__xludf.DUMMYFUNCTION("""COMPUTED_VALUE"""),"Calle 35 # 36-14 / torre 4 apto 403. Conjunto Residencial Redil del Country Cañaveral")</f>
        <v>Calle 35 # 36-14 / torre 4 apto 403. Conjunto Residencial Redil del Country Cañaveral</v>
      </c>
      <c r="G8699" s="15" t="str">
        <f>IFERROR(__xludf.DUMMYFUNCTION("""COMPUTED_VALUE"""),"CAROLINA RUGELES RODRIGUEZ")</f>
        <v>CAROLINA RUGELES RODRIGUEZ</v>
      </c>
      <c r="H8699" s="16">
        <f>IFERROR(__xludf.DUMMYFUNCTION("""COMPUTED_VALUE"""),17378.0)</f>
        <v>17378</v>
      </c>
      <c r="I8699" s="17"/>
      <c r="J8699" s="17"/>
      <c r="K8699" s="17"/>
      <c r="L8699" s="17">
        <f>IFERROR(__xludf.DUMMYFUNCTION("""COMPUTED_VALUE"""),3.183933399E9)</f>
        <v>3183933399</v>
      </c>
      <c r="M8699" s="17"/>
      <c r="N8699" s="17"/>
      <c r="O8699" s="17"/>
      <c r="P8699" s="17" t="b">
        <f>IFERROR(__xludf.DUMMYFUNCTION("""COMPUTED_VALUE"""),FALSE)</f>
        <v>0</v>
      </c>
      <c r="Q8699" s="20" t="str">
        <f>IFERROR(__xludf.DUMMYFUNCTION("""COMPUTED_VALUE"""),"")</f>
        <v/>
      </c>
      <c r="R8699" s="21" t="str">
        <f>IFERROR(__xludf.DUMMYFUNCTION("""COMPUTED_VALUE"""),"https://drive.google.com/file/d/1dXd5S8jWBAh65WJbB6BUoGnR2TxQvzRC/view?usp=drivesdk")</f>
        <v>https://drive.google.com/file/d/1dXd5S8jWBAh65WJbB6BUoGnR2TxQvzRC/view?usp=drivesdk</v>
      </c>
    </row>
    <row r="8700">
      <c r="A8700" s="15">
        <f>IFERROR(__xludf.DUMMYFUNCTION("""COMPUTED_VALUE"""),45247.0)</f>
        <v>45247</v>
      </c>
      <c r="B8700" s="16" t="str">
        <f>IFERROR(__xludf.DUMMYFUNCTION("""COMPUTED_VALUE"""),"Johanna Arango Barrera")</f>
        <v>Johanna Arango Barrera</v>
      </c>
      <c r="C8700" s="15" t="str">
        <f>IFERROR(__xludf.DUMMYFUNCTION("""COMPUTED_VALUE"""),"FLORIDABLANCA")</f>
        <v>FLORIDABLANCA</v>
      </c>
      <c r="D8700" s="15" t="str">
        <f>IFERROR(__xludf.DUMMYFUNCTION("""COMPUTED_VALUE"""),"BOGOTÁ")</f>
        <v>BOGOTÁ</v>
      </c>
      <c r="E8700" s="15" t="str">
        <f>IFERROR(__xludf.DUMMYFUNCTION("""COMPUTED_VALUE"""),"LINA PAOLA RAMIREZ GOMEZ - EVA MAZZITA")</f>
        <v>LINA PAOLA RAMIREZ GOMEZ - EVA MAZZITA</v>
      </c>
      <c r="F8700" s="17" t="str">
        <f>IFERROR(__xludf.DUMMYFUNCTION("""COMPUTED_VALUE"""),"Carrera 20#158-40 / torre 2 apto 80 Makadamia Barrio cañaveral")</f>
        <v>Carrera 20#158-40 / torre 2 apto 80 Makadamia Barrio cañaveral</v>
      </c>
      <c r="G8700" s="15" t="str">
        <f>IFERROR(__xludf.DUMMYFUNCTION("""COMPUTED_VALUE"""),"MARIA CAMILA GARCES MEDINA")</f>
        <v>MARIA CAMILA GARCES MEDINA</v>
      </c>
      <c r="H8700" s="16">
        <f>IFERROR(__xludf.DUMMYFUNCTION("""COMPUTED_VALUE"""),17376.0)</f>
        <v>17376</v>
      </c>
      <c r="I8700" s="17"/>
      <c r="J8700" s="17"/>
      <c r="K8700" s="17"/>
      <c r="L8700" s="17">
        <f>IFERROR(__xludf.DUMMYFUNCTION("""COMPUTED_VALUE"""),3.002331575E9)</f>
        <v>3002331575</v>
      </c>
      <c r="M8700" s="17"/>
      <c r="N8700" s="17"/>
      <c r="O8700" s="17"/>
      <c r="P8700" s="17" t="b">
        <f>IFERROR(__xludf.DUMMYFUNCTION("""COMPUTED_VALUE"""),FALSE)</f>
        <v>0</v>
      </c>
      <c r="Q8700" s="20" t="str">
        <f>IFERROR(__xludf.DUMMYFUNCTION("""COMPUTED_VALUE"""),"")</f>
        <v/>
      </c>
      <c r="R8700" s="21" t="str">
        <f>IFERROR(__xludf.DUMMYFUNCTION("""COMPUTED_VALUE"""),"https://drive.google.com/file/d/1NMg-d2DbAqPpwOup1mlYm5cljjTkvK62/view?usp=drivesdk")</f>
        <v>https://drive.google.com/file/d/1NMg-d2DbAqPpwOup1mlYm5cljjTkvK62/view?usp=drivesdk</v>
      </c>
    </row>
    <row r="8701">
      <c r="A8701" s="15">
        <f>IFERROR(__xludf.DUMMYFUNCTION("""COMPUTED_VALUE"""),45247.0)</f>
        <v>45247</v>
      </c>
      <c r="B8701" s="16" t="str">
        <f>IFERROR(__xludf.DUMMYFUNCTION("""COMPUTED_VALUE"""),"Johanna Arango Barrera")</f>
        <v>Johanna Arango Barrera</v>
      </c>
      <c r="C8701" s="15" t="str">
        <f>IFERROR(__xludf.DUMMYFUNCTION("""COMPUTED_VALUE"""),"GIRÓN")</f>
        <v>GIRÓN</v>
      </c>
      <c r="D8701" s="15" t="str">
        <f>IFERROR(__xludf.DUMMYFUNCTION("""COMPUTED_VALUE"""),"BOGOTÁ")</f>
        <v>BOGOTÁ</v>
      </c>
      <c r="E8701" s="15" t="str">
        <f>IFERROR(__xludf.DUMMYFUNCTION("""COMPUTED_VALUE"""),"LINA PAOLA RAMIREZ GOMEZ - EVA MAZZITA")</f>
        <v>LINA PAOLA RAMIREZ GOMEZ - EVA MAZZITA</v>
      </c>
      <c r="F8701" s="17" t="str">
        <f>IFERROR(__xludf.DUMMYFUNCTION("""COMPUTED_VALUE"""),"Carrera 22 C # 64-11 / torre 3 apto 503 conjunto colina campestre, barrio carrizal")</f>
        <v>Carrera 22 C # 64-11 / torre 3 apto 503 conjunto colina campestre, barrio carrizal</v>
      </c>
      <c r="G8701" s="15" t="str">
        <f>IFERROR(__xludf.DUMMYFUNCTION("""COMPUTED_VALUE"""),"JOHANNA CATHERINE QUINTERO SOLIS")</f>
        <v>JOHANNA CATHERINE QUINTERO SOLIS</v>
      </c>
      <c r="H8701" s="16">
        <f>IFERROR(__xludf.DUMMYFUNCTION("""COMPUTED_VALUE"""),17377.0)</f>
        <v>17377</v>
      </c>
      <c r="I8701" s="17"/>
      <c r="J8701" s="17"/>
      <c r="K8701" s="17"/>
      <c r="L8701" s="17">
        <f>IFERROR(__xludf.DUMMYFUNCTION("""COMPUTED_VALUE"""),3.175064652E9)</f>
        <v>3175064652</v>
      </c>
      <c r="M8701" s="17"/>
      <c r="N8701" s="17"/>
      <c r="O8701" s="17"/>
      <c r="P8701" s="17" t="b">
        <f>IFERROR(__xludf.DUMMYFUNCTION("""COMPUTED_VALUE"""),FALSE)</f>
        <v>0</v>
      </c>
      <c r="Q8701" s="20" t="str">
        <f>IFERROR(__xludf.DUMMYFUNCTION("""COMPUTED_VALUE"""),"")</f>
        <v/>
      </c>
      <c r="R8701" s="21" t="str">
        <f>IFERROR(__xludf.DUMMYFUNCTION("""COMPUTED_VALUE"""),"https://drive.google.com/file/d/1aJNPpuCMqgyoFziW1Oc-2RYuW7b3-OmM/view?usp=drivesdk")</f>
        <v>https://drive.google.com/file/d/1aJNPpuCMqgyoFziW1Oc-2RYuW7b3-OmM/view?usp=drivesdk</v>
      </c>
    </row>
    <row r="8702">
      <c r="A8702" s="17" t="str">
        <f>IFERROR(__xludf.DUMMYFUNCTION("""COMPUTED_VALUE"""),"")</f>
        <v/>
      </c>
      <c r="B8702" s="17" t="str">
        <f>IFERROR(__xludf.DUMMYFUNCTION("""COMPUTED_VALUE"""),"")</f>
        <v/>
      </c>
      <c r="C8702" s="17" t="str">
        <f>IFERROR(__xludf.DUMMYFUNCTION("""COMPUTED_VALUE"""),"")</f>
        <v/>
      </c>
      <c r="D8702" s="17" t="str">
        <f>IFERROR(__xludf.DUMMYFUNCTION("""COMPUTED_VALUE"""),"")</f>
        <v/>
      </c>
      <c r="E8702" s="17" t="str">
        <f>IFERROR(__xludf.DUMMYFUNCTION("""COMPUTED_VALUE"""),"")</f>
        <v/>
      </c>
      <c r="F8702" s="17" t="str">
        <f>IFERROR(__xludf.DUMMYFUNCTION("""COMPUTED_VALUE"""),"")</f>
        <v/>
      </c>
      <c r="G8702" s="17" t="str">
        <f>IFERROR(__xludf.DUMMYFUNCTION("""COMPUTED_VALUE"""),"")</f>
        <v/>
      </c>
      <c r="H8702" s="17" t="str">
        <f>IFERROR(__xludf.DUMMYFUNCTION("""COMPUTED_VALUE"""),"")</f>
        <v/>
      </c>
      <c r="I8702" s="17" t="str">
        <f>IFERROR(__xludf.DUMMYFUNCTION("""COMPUTED_VALUE"""),"")</f>
        <v/>
      </c>
      <c r="J8702" s="17" t="str">
        <f>IFERROR(__xludf.DUMMYFUNCTION("""COMPUTED_VALUE"""),"")</f>
        <v/>
      </c>
      <c r="K8702" s="17" t="str">
        <f>IFERROR(__xludf.DUMMYFUNCTION("""COMPUTED_VALUE"""),"")</f>
        <v/>
      </c>
      <c r="L8702" s="17" t="str">
        <f>IFERROR(__xludf.DUMMYFUNCTION("""COMPUTED_VALUE"""),"")</f>
        <v/>
      </c>
      <c r="M8702" s="17" t="str">
        <f>IFERROR(__xludf.DUMMYFUNCTION("""COMPUTED_VALUE"""),"")</f>
        <v/>
      </c>
      <c r="N8702" s="17" t="str">
        <f>IFERROR(__xludf.DUMMYFUNCTION("""COMPUTED_VALUE"""),"")</f>
        <v/>
      </c>
      <c r="O8702" s="17" t="str">
        <f>IFERROR(__xludf.DUMMYFUNCTION("""COMPUTED_VALUE"""),"")</f>
        <v/>
      </c>
      <c r="P8702" s="17" t="str">
        <f>IFERROR(__xludf.DUMMYFUNCTION("""COMPUTED_VALUE"""),"")</f>
        <v/>
      </c>
      <c r="Q8702" s="17" t="str">
        <f>IFERROR(__xludf.DUMMYFUNCTION("""COMPUTED_VALUE"""),"")</f>
        <v/>
      </c>
      <c r="R8702" s="17" t="str">
        <f>IFERROR(__xludf.DUMMYFUNCTION("""COMPUTED_VALUE"""),"")</f>
        <v/>
      </c>
    </row>
    <row r="8703">
      <c r="A8703" s="15">
        <f>IFERROR(__xludf.DUMMYFUNCTION("""COMPUTED_VALUE"""),45247.0)</f>
        <v>45247</v>
      </c>
      <c r="B8703" s="16" t="str">
        <f>IFERROR(__xludf.DUMMYFUNCTION("""COMPUTED_VALUE"""),"JOSE ALFREDO RAMIREZ VERGARA ")</f>
        <v>JOSE ALFREDO RAMIREZ VERGARA </v>
      </c>
      <c r="C8703" s="15" t="str">
        <f>IFERROR(__xludf.DUMMYFUNCTION("""COMPUTED_VALUE"""),"BOGOTÁ")</f>
        <v>BOGOTÁ</v>
      </c>
      <c r="D8703" s="15" t="str">
        <f>IFERROR(__xludf.DUMMYFUNCTION("""COMPUTED_VALUE"""),"ENVIGADO")</f>
        <v>ENVIGADO</v>
      </c>
      <c r="E8703" s="15" t="str">
        <f>IFERROR(__xludf.DUMMYFUNCTION("""COMPUTED_VALUE"""),"JUAN CAMILO CORDOBA")</f>
        <v>JUAN CAMILO CORDOBA</v>
      </c>
      <c r="F8703" s="17" t="str">
        <f>IFERROR(__xludf.DUMMYFUNCTION("""COMPUTED_VALUE"""),"Cra 7 No. 88-96 / Apto 1401 Edificio Montecarlo")</f>
        <v>Cra 7 No. 88-96 / Apto 1401 Edificio Montecarlo</v>
      </c>
      <c r="G8703" s="15" t="str">
        <f>IFERROR(__xludf.DUMMYFUNCTION("""COMPUTED_VALUE"""),"Betty Vargas")</f>
        <v>Betty Vargas</v>
      </c>
      <c r="H8703" s="16">
        <f>IFERROR(__xludf.DUMMYFUNCTION("""COMPUTED_VALUE"""),17379.0)</f>
        <v>17379</v>
      </c>
      <c r="I8703" s="17"/>
      <c r="J8703" s="17"/>
      <c r="K8703" s="17"/>
      <c r="L8703" s="17">
        <f>IFERROR(__xludf.DUMMYFUNCTION("""COMPUTED_VALUE"""),3.167936595E9)</f>
        <v>3167936595</v>
      </c>
      <c r="M8703" s="17"/>
      <c r="N8703" s="17"/>
      <c r="O8703" s="17"/>
      <c r="P8703" s="17" t="b">
        <f>IFERROR(__xludf.DUMMYFUNCTION("""COMPUTED_VALUE"""),FALSE)</f>
        <v>0</v>
      </c>
      <c r="Q8703" s="20" t="str">
        <f>IFERROR(__xludf.DUMMYFUNCTION("""COMPUTED_VALUE"""),"")</f>
        <v/>
      </c>
      <c r="R8703" s="21" t="str">
        <f>IFERROR(__xludf.DUMMYFUNCTION("""COMPUTED_VALUE"""),"https://drive.google.com/file/d/1xWMmfaMse7eY3JzeVqFeEVqaCCWzfErm/view?usp=drivesdk")</f>
        <v>https://drive.google.com/file/d/1xWMmfaMse7eY3JzeVqFeEVqaCCWzfErm/view?usp=drivesdk</v>
      </c>
    </row>
    <row r="8704">
      <c r="A8704" s="15">
        <f>IFERROR(__xludf.DUMMYFUNCTION("""COMPUTED_VALUE"""),45247.0)</f>
        <v>45247</v>
      </c>
      <c r="B8704" s="16" t="str">
        <f>IFERROR(__xludf.DUMMYFUNCTION("""COMPUTED_VALUE"""),"JOSE ALFREDO RAMIREZ VERGARA ")</f>
        <v>JOSE ALFREDO RAMIREZ VERGARA </v>
      </c>
      <c r="C8704" s="15" t="str">
        <f>IFERROR(__xludf.DUMMYFUNCTION("""COMPUTED_VALUE"""),"BOGOTÁ")</f>
        <v>BOGOTÁ</v>
      </c>
      <c r="D8704" s="15" t="str">
        <f>IFERROR(__xludf.DUMMYFUNCTION("""COMPUTED_VALUE"""),"MEDELLÍN")</f>
        <v>MEDELLÍN</v>
      </c>
      <c r="E8704" s="15" t="str">
        <f>IFERROR(__xludf.DUMMYFUNCTION("""COMPUTED_VALUE"""),"AREPAS LA MARY")</f>
        <v>AREPAS LA MARY</v>
      </c>
      <c r="F8704" s="17" t="str">
        <f>IFERROR(__xludf.DUMMYFUNCTION("""COMPUTED_VALUE"""),"calle 116#70d-06 local 105 / edificio fiorepi")</f>
        <v>calle 116#70d-06 local 105 / edificio fiorepi</v>
      </c>
      <c r="G8704" s="15" t="str">
        <f>IFERROR(__xludf.DUMMYFUNCTION("""COMPUTED_VALUE"""),"NANCY DIONISIO")</f>
        <v>NANCY DIONISIO</v>
      </c>
      <c r="H8704" s="16">
        <f>IFERROR(__xludf.DUMMYFUNCTION("""COMPUTED_VALUE"""),17392.0)</f>
        <v>17392</v>
      </c>
      <c r="I8704" s="17"/>
      <c r="J8704" s="17"/>
      <c r="K8704" s="17"/>
      <c r="L8704" s="17">
        <f>IFERROR(__xludf.DUMMYFUNCTION("""COMPUTED_VALUE"""),3.102692395E9)</f>
        <v>3102692395</v>
      </c>
      <c r="M8704" s="17"/>
      <c r="N8704" s="17"/>
      <c r="O8704" s="17"/>
      <c r="P8704" s="17" t="b">
        <f>IFERROR(__xludf.DUMMYFUNCTION("""COMPUTED_VALUE"""),FALSE)</f>
        <v>0</v>
      </c>
      <c r="Q8704" s="20" t="str">
        <f>IFERROR(__xludf.DUMMYFUNCTION("""COMPUTED_VALUE"""),"")</f>
        <v/>
      </c>
      <c r="R8704" s="21" t="str">
        <f>IFERROR(__xludf.DUMMYFUNCTION("""COMPUTED_VALUE"""),"https://drive.google.com/file/d/18ZTnh5EYntcRnwcV3bz93cd5h4IuvaUK/view?usp=drivesdk")</f>
        <v>https://drive.google.com/file/d/18ZTnh5EYntcRnwcV3bz93cd5h4IuvaUK/view?usp=drivesdk</v>
      </c>
    </row>
    <row r="8705">
      <c r="A8705" s="15">
        <f>IFERROR(__xludf.DUMMYFUNCTION("""COMPUTED_VALUE"""),45247.0)</f>
        <v>45247</v>
      </c>
      <c r="B8705" s="16" t="str">
        <f>IFERROR(__xludf.DUMMYFUNCTION("""COMPUTED_VALUE"""),"JOSE ALFREDO RAMIREZ VERGARA ")</f>
        <v>JOSE ALFREDO RAMIREZ VERGARA </v>
      </c>
      <c r="C8705" s="15" t="str">
        <f>IFERROR(__xludf.DUMMYFUNCTION("""COMPUTED_VALUE"""),"BOGOTÁ")</f>
        <v>BOGOTÁ</v>
      </c>
      <c r="D8705" s="15" t="str">
        <f>IFERROR(__xludf.DUMMYFUNCTION("""COMPUTED_VALUE"""),"MEDELLÍN")</f>
        <v>MEDELLÍN</v>
      </c>
      <c r="E8705" s="15" t="str">
        <f>IFERROR(__xludf.DUMMYFUNCTION("""COMPUTED_VALUE"""),"AREPAS LA MARY")</f>
        <v>AREPAS LA MARY</v>
      </c>
      <c r="F8705" s="17" t="str">
        <f>IFERROR(__xludf.DUMMYFUNCTION("""COMPUTED_VALUE"""),"Calle 89 #19a-38 apto 703 / Caminos del virrey")</f>
        <v>Calle 89 #19a-38 apto 703 / Caminos del virrey</v>
      </c>
      <c r="G8705" s="15" t="str">
        <f>IFERROR(__xludf.DUMMYFUNCTION("""COMPUTED_VALUE"""),"MARIA JOSE VELEZ")</f>
        <v>MARIA JOSE VELEZ</v>
      </c>
      <c r="H8705" s="16">
        <f>IFERROR(__xludf.DUMMYFUNCTION("""COMPUTED_VALUE"""),17398.0)</f>
        <v>17398</v>
      </c>
      <c r="I8705" s="17"/>
      <c r="J8705" s="17"/>
      <c r="K8705" s="17"/>
      <c r="L8705" s="17">
        <f>IFERROR(__xludf.DUMMYFUNCTION("""COMPUTED_VALUE"""),3.208462338E9)</f>
        <v>3208462338</v>
      </c>
      <c r="M8705" s="17"/>
      <c r="N8705" s="17"/>
      <c r="O8705" s="17"/>
      <c r="P8705" s="17" t="b">
        <f>IFERROR(__xludf.DUMMYFUNCTION("""COMPUTED_VALUE"""),FALSE)</f>
        <v>0</v>
      </c>
      <c r="Q8705" s="20" t="str">
        <f>IFERROR(__xludf.DUMMYFUNCTION("""COMPUTED_VALUE"""),"")</f>
        <v/>
      </c>
      <c r="R8705" s="21" t="str">
        <f>IFERROR(__xludf.DUMMYFUNCTION("""COMPUTED_VALUE"""),"https://drive.google.com/file/d/19td_8AdBwvFNuiPSJM-UxYn7n25AKlkC/view?usp=drivesdk")</f>
        <v>https://drive.google.com/file/d/19td_8AdBwvFNuiPSJM-UxYn7n25AKlkC/view?usp=drivesdk</v>
      </c>
    </row>
    <row r="8706">
      <c r="A8706" s="15">
        <f>IFERROR(__xludf.DUMMYFUNCTION("""COMPUTED_VALUE"""),45247.0)</f>
        <v>45247</v>
      </c>
      <c r="B8706" s="16" t="str">
        <f>IFERROR(__xludf.DUMMYFUNCTION("""COMPUTED_VALUE"""),"JOSE ALFREDO RAMIREZ VERGARA ")</f>
        <v>JOSE ALFREDO RAMIREZ VERGARA </v>
      </c>
      <c r="C8706" s="15" t="str">
        <f>IFERROR(__xludf.DUMMYFUNCTION("""COMPUTED_VALUE"""),"BOGOTÁ")</f>
        <v>BOGOTÁ</v>
      </c>
      <c r="D8706" s="15" t="str">
        <f>IFERROR(__xludf.DUMMYFUNCTION("""COMPUTED_VALUE"""),"MEDELLÍN")</f>
        <v>MEDELLÍN</v>
      </c>
      <c r="E8706" s="15" t="str">
        <f>IFERROR(__xludf.DUMMYFUNCTION("""COMPUTED_VALUE"""),"AREPAS LA MARY")</f>
        <v>AREPAS LA MARY</v>
      </c>
      <c r="F8706" s="17" t="str">
        <f>IFERROR(__xludf.DUMMYFUNCTION("""COMPUTED_VALUE"""),"Cra 17#124-28 / Portico v")</f>
        <v>Cra 17#124-28 / Portico v</v>
      </c>
      <c r="G8706" s="15" t="str">
        <f>IFERROR(__xludf.DUMMYFUNCTION("""COMPUTED_VALUE"""),"ANDREA LIZARAZO")</f>
        <v>ANDREA LIZARAZO</v>
      </c>
      <c r="H8706" s="16">
        <f>IFERROR(__xludf.DUMMYFUNCTION("""COMPUTED_VALUE"""),17393.0)</f>
        <v>17393</v>
      </c>
      <c r="I8706" s="17"/>
      <c r="J8706" s="17"/>
      <c r="K8706" s="17"/>
      <c r="L8706" s="17">
        <f>IFERROR(__xludf.DUMMYFUNCTION("""COMPUTED_VALUE"""),3.174396925E9)</f>
        <v>3174396925</v>
      </c>
      <c r="M8706" s="17"/>
      <c r="N8706" s="17"/>
      <c r="O8706" s="17"/>
      <c r="P8706" s="17" t="b">
        <f>IFERROR(__xludf.DUMMYFUNCTION("""COMPUTED_VALUE"""),FALSE)</f>
        <v>0</v>
      </c>
      <c r="Q8706" s="20" t="str">
        <f>IFERROR(__xludf.DUMMYFUNCTION("""COMPUTED_VALUE"""),"")</f>
        <v/>
      </c>
      <c r="R8706" s="21" t="str">
        <f>IFERROR(__xludf.DUMMYFUNCTION("""COMPUTED_VALUE"""),"https://drive.google.com/file/d/1HnEBBAJ9XwQbCi65XcMf_w-MkHSJfBqH/view?usp=drivesdk")</f>
        <v>https://drive.google.com/file/d/1HnEBBAJ9XwQbCi65XcMf_w-MkHSJfBqH/view?usp=drivesdk</v>
      </c>
    </row>
    <row r="8707">
      <c r="A8707" s="15">
        <f>IFERROR(__xludf.DUMMYFUNCTION("""COMPUTED_VALUE"""),45247.0)</f>
        <v>45247</v>
      </c>
      <c r="B8707" s="16" t="str">
        <f>IFERROR(__xludf.DUMMYFUNCTION("""COMPUTED_VALUE"""),"JOSE ALFREDO RAMIREZ VERGARA ")</f>
        <v>JOSE ALFREDO RAMIREZ VERGARA </v>
      </c>
      <c r="C8707" s="15" t="str">
        <f>IFERROR(__xludf.DUMMYFUNCTION("""COMPUTED_VALUE"""),"BOGOTÁ")</f>
        <v>BOGOTÁ</v>
      </c>
      <c r="D8707" s="15" t="str">
        <f>IFERROR(__xludf.DUMMYFUNCTION("""COMPUTED_VALUE"""),"MEDELLÍN")</f>
        <v>MEDELLÍN</v>
      </c>
      <c r="E8707" s="15" t="str">
        <f>IFERROR(__xludf.DUMMYFUNCTION("""COMPUTED_VALUE"""),"Baby Chef")</f>
        <v>Baby Chef</v>
      </c>
      <c r="F8707" s="17" t="str">
        <f>IFERROR(__xludf.DUMMYFUNCTION("""COMPUTED_VALUE"""),"Calle 16 i # 100-53 Apto 408 Torres de Galilea Barrio el Carmen Fontibon  Bogota / . / .")</f>
        <v>Calle 16 i # 100-53 Apto 408 Torres de Galilea Barrio el Carmen Fontibon  Bogota / . / .</v>
      </c>
      <c r="G8707" s="15" t="str">
        <f>IFERROR(__xludf.DUMMYFUNCTION("""COMPUTED_VALUE"""),"Kimberly Jimenez Carranza")</f>
        <v>Kimberly Jimenez Carranza</v>
      </c>
      <c r="H8707" s="16">
        <f>IFERROR(__xludf.DUMMYFUNCTION("""COMPUTED_VALUE"""),17385.0)</f>
        <v>17385</v>
      </c>
      <c r="I8707" s="18">
        <f>IFERROR(__xludf.DUMMYFUNCTION("""COMPUTED_VALUE"""),6.0)</f>
        <v>6</v>
      </c>
      <c r="J8707" s="18">
        <f>IFERROR(__xludf.DUMMYFUNCTION("""COMPUTED_VALUE"""),18.0)</f>
        <v>18</v>
      </c>
      <c r="K8707" s="18">
        <f>IFERROR(__xludf.DUMMYFUNCTION("""COMPUTED_VALUE"""),12.0)</f>
        <v>12</v>
      </c>
      <c r="L8707" s="17">
        <f>IFERROR(__xludf.DUMMYFUNCTION("""COMPUTED_VALUE"""),3.132753465E9)</f>
        <v>3132753465</v>
      </c>
      <c r="M8707" s="17"/>
      <c r="N8707" s="17"/>
      <c r="O8707" s="17"/>
      <c r="P8707" s="17" t="b">
        <f>IFERROR(__xludf.DUMMYFUNCTION("""COMPUTED_VALUE"""),FALSE)</f>
        <v>0</v>
      </c>
      <c r="Q8707" s="20" t="str">
        <f>IFERROR(__xludf.DUMMYFUNCTION("""COMPUTED_VALUE"""),"")</f>
        <v/>
      </c>
      <c r="R8707" s="21" t="str">
        <f>IFERROR(__xludf.DUMMYFUNCTION("""COMPUTED_VALUE"""),"https://drive.google.com/file/d/1E27jGtQgC6MgchU2CAPbuOGT_TjP08WX/view?usp=drivesdk")</f>
        <v>https://drive.google.com/file/d/1E27jGtQgC6MgchU2CAPbuOGT_TjP08WX/view?usp=drivesdk</v>
      </c>
    </row>
    <row r="8708">
      <c r="A8708" s="15">
        <f>IFERROR(__xludf.DUMMYFUNCTION("""COMPUTED_VALUE"""),45247.0)</f>
        <v>45247</v>
      </c>
      <c r="B8708" s="16" t="str">
        <f>IFERROR(__xludf.DUMMYFUNCTION("""COMPUTED_VALUE"""),"JOSE ALFREDO RAMIREZ VERGARA ")</f>
        <v>JOSE ALFREDO RAMIREZ VERGARA </v>
      </c>
      <c r="C8708" s="15" t="str">
        <f>IFERROR(__xludf.DUMMYFUNCTION("""COMPUTED_VALUE"""),"BOGOTÁ")</f>
        <v>BOGOTÁ</v>
      </c>
      <c r="D8708" s="15" t="str">
        <f>IFERROR(__xludf.DUMMYFUNCTION("""COMPUTED_VALUE"""),"MEDELLÍN")</f>
        <v>MEDELLÍN</v>
      </c>
      <c r="E8708" s="15" t="str">
        <f>IFERROR(__xludf.DUMMYFUNCTION("""COMPUTED_VALUE"""),"Baby Chef")</f>
        <v>Baby Chef</v>
      </c>
      <c r="F8708" s="17" t="str">
        <f>IFERROR(__xludf.DUMMYFUNCTION("""COMPUTED_VALUE"""),"Calle 90# 9-32 edificio ocal apto 603 bogota  Chico norte / . / .")</f>
        <v>Calle 90# 9-32 edificio ocal apto 603 bogota  Chico norte / . / .</v>
      </c>
      <c r="G8708" s="15" t="str">
        <f>IFERROR(__xludf.DUMMYFUNCTION("""COMPUTED_VALUE"""),"Camila de Ureña")</f>
        <v>Camila de Ureña</v>
      </c>
      <c r="H8708" s="16">
        <f>IFERROR(__xludf.DUMMYFUNCTION("""COMPUTED_VALUE"""),17388.0)</f>
        <v>17388</v>
      </c>
      <c r="I8708" s="18">
        <f>IFERROR(__xludf.DUMMYFUNCTION("""COMPUTED_VALUE"""),6.0)</f>
        <v>6</v>
      </c>
      <c r="J8708" s="18">
        <f>IFERROR(__xludf.DUMMYFUNCTION("""COMPUTED_VALUE"""),29.0)</f>
        <v>29</v>
      </c>
      <c r="K8708" s="18">
        <f>IFERROR(__xludf.DUMMYFUNCTION("""COMPUTED_VALUE"""),25.0)</f>
        <v>25</v>
      </c>
      <c r="L8708" s="17">
        <f>IFERROR(__xludf.DUMMYFUNCTION("""COMPUTED_VALUE"""),3.114550715E9)</f>
        <v>3114550715</v>
      </c>
      <c r="M8708" s="17"/>
      <c r="N8708" s="17"/>
      <c r="O8708" s="17"/>
      <c r="P8708" s="17" t="b">
        <f>IFERROR(__xludf.DUMMYFUNCTION("""COMPUTED_VALUE"""),FALSE)</f>
        <v>0</v>
      </c>
      <c r="Q8708" s="20" t="str">
        <f>IFERROR(__xludf.DUMMYFUNCTION("""COMPUTED_VALUE"""),"")</f>
        <v/>
      </c>
      <c r="R8708" s="21" t="str">
        <f>IFERROR(__xludf.DUMMYFUNCTION("""COMPUTED_VALUE"""),"https://drive.google.com/file/d/10uOIB8fzFmZrx3a3oOvstzcBFLWaDiEg/view?usp=drivesdk")</f>
        <v>https://drive.google.com/file/d/10uOIB8fzFmZrx3a3oOvstzcBFLWaDiEg/view?usp=drivesdk</v>
      </c>
    </row>
    <row r="8709">
      <c r="A8709" s="15">
        <f>IFERROR(__xludf.DUMMYFUNCTION("""COMPUTED_VALUE"""),45247.0)</f>
        <v>45247</v>
      </c>
      <c r="B8709" s="16" t="str">
        <f>IFERROR(__xludf.DUMMYFUNCTION("""COMPUTED_VALUE"""),"JOSE ALFREDO RAMIREZ VERGARA ")</f>
        <v>JOSE ALFREDO RAMIREZ VERGARA </v>
      </c>
      <c r="C8709" s="15" t="str">
        <f>IFERROR(__xludf.DUMMYFUNCTION("""COMPUTED_VALUE"""),"BOGOTÁ")</f>
        <v>BOGOTÁ</v>
      </c>
      <c r="D8709" s="15" t="str">
        <f>IFERROR(__xludf.DUMMYFUNCTION("""COMPUTED_VALUE"""),"MEDELLÍN")</f>
        <v>MEDELLÍN</v>
      </c>
      <c r="E8709" s="15" t="str">
        <f>IFERROR(__xludf.DUMMYFUNCTION("""COMPUTED_VALUE"""),"Baby Chef")</f>
        <v>Baby Chef</v>
      </c>
      <c r="F8709" s="17" t="str">
        <f>IFERROR(__xludf.DUMMYFUNCTION("""COMPUTED_VALUE"""),"Carrera 21 114-20 apto 101 edificio Cerezo  Bogotá / . / .")</f>
        <v>Carrera 21 114-20 apto 101 edificio Cerezo  Bogotá / . / .</v>
      </c>
      <c r="G8709" s="15" t="str">
        <f>IFERROR(__xludf.DUMMYFUNCTION("""COMPUTED_VALUE"""),"Laura Martinez")</f>
        <v>Laura Martinez</v>
      </c>
      <c r="H8709" s="16">
        <f>IFERROR(__xludf.DUMMYFUNCTION("""COMPUTED_VALUE"""),17389.0)</f>
        <v>17389</v>
      </c>
      <c r="I8709" s="18">
        <f>IFERROR(__xludf.DUMMYFUNCTION("""COMPUTED_VALUE"""),7.0)</f>
        <v>7</v>
      </c>
      <c r="J8709" s="18">
        <f>IFERROR(__xludf.DUMMYFUNCTION("""COMPUTED_VALUE"""),22.0)</f>
        <v>22</v>
      </c>
      <c r="K8709" s="18">
        <f>IFERROR(__xludf.DUMMYFUNCTION("""COMPUTED_VALUE"""),28.0)</f>
        <v>28</v>
      </c>
      <c r="L8709" s="17">
        <f>IFERROR(__xludf.DUMMYFUNCTION("""COMPUTED_VALUE"""),3.152629963E9)</f>
        <v>3152629963</v>
      </c>
      <c r="M8709" s="17"/>
      <c r="N8709" s="17"/>
      <c r="O8709" s="17"/>
      <c r="P8709" s="17" t="b">
        <f>IFERROR(__xludf.DUMMYFUNCTION("""COMPUTED_VALUE"""),FALSE)</f>
        <v>0</v>
      </c>
      <c r="Q8709" s="20" t="str">
        <f>IFERROR(__xludf.DUMMYFUNCTION("""COMPUTED_VALUE"""),"")</f>
        <v/>
      </c>
      <c r="R8709" s="21" t="str">
        <f>IFERROR(__xludf.DUMMYFUNCTION("""COMPUTED_VALUE"""),"https://drive.google.com/file/d/1Km5VJt4Zv93q29GbzrjIu_5L94nKAbYn/view?usp=drivesdk")</f>
        <v>https://drive.google.com/file/d/1Km5VJt4Zv93q29GbzrjIu_5L94nKAbYn/view?usp=drivesdk</v>
      </c>
    </row>
    <row r="8710">
      <c r="A8710" s="15">
        <f>IFERROR(__xludf.DUMMYFUNCTION("""COMPUTED_VALUE"""),45247.0)</f>
        <v>45247</v>
      </c>
      <c r="B8710" s="16" t="str">
        <f>IFERROR(__xludf.DUMMYFUNCTION("""COMPUTED_VALUE"""),"JOSE ALFREDO RAMIREZ VERGARA ")</f>
        <v>JOSE ALFREDO RAMIREZ VERGARA </v>
      </c>
      <c r="C8710" s="15" t="str">
        <f>IFERROR(__xludf.DUMMYFUNCTION("""COMPUTED_VALUE"""),"BOGOTÁ")</f>
        <v>BOGOTÁ</v>
      </c>
      <c r="D8710" s="15" t="str">
        <f>IFERROR(__xludf.DUMMYFUNCTION("""COMPUTED_VALUE"""),"MEDELLÍN")</f>
        <v>MEDELLÍN</v>
      </c>
      <c r="E8710" s="15" t="str">
        <f>IFERROR(__xludf.DUMMYFUNCTION("""COMPUTED_VALUE"""),"Baby Chef")</f>
        <v>Baby Chef</v>
      </c>
      <c r="F8710" s="17" t="str">
        <f>IFERROR(__xludf.DUMMYFUNCTION("""COMPUTED_VALUE"""),"Tv 106# 74a - 05  Garces Navas Bogota / . / .")</f>
        <v>Tv 106# 74a - 05  Garces Navas Bogota / . / .</v>
      </c>
      <c r="G8710" s="15" t="str">
        <f>IFERROR(__xludf.DUMMYFUNCTION("""COMPUTED_VALUE"""),"Erika Abril (ENTREGAR ANTES DE LAS 4PM)")</f>
        <v>Erika Abril (ENTREGAR ANTES DE LAS 4PM)</v>
      </c>
      <c r="H8710" s="16">
        <f>IFERROR(__xludf.DUMMYFUNCTION("""COMPUTED_VALUE"""),17386.0)</f>
        <v>17386</v>
      </c>
      <c r="I8710" s="18">
        <f>IFERROR(__xludf.DUMMYFUNCTION("""COMPUTED_VALUE"""),7.0)</f>
        <v>7</v>
      </c>
      <c r="J8710" s="18">
        <f>IFERROR(__xludf.DUMMYFUNCTION("""COMPUTED_VALUE"""),30.0)</f>
        <v>30</v>
      </c>
      <c r="K8710" s="18">
        <f>IFERROR(__xludf.DUMMYFUNCTION("""COMPUTED_VALUE"""),21.0)</f>
        <v>21</v>
      </c>
      <c r="L8710" s="17">
        <f>IFERROR(__xludf.DUMMYFUNCTION("""COMPUTED_VALUE"""),3.006559272E9)</f>
        <v>3006559272</v>
      </c>
      <c r="M8710" s="17"/>
      <c r="N8710" s="17"/>
      <c r="O8710" s="17"/>
      <c r="P8710" s="17" t="b">
        <f>IFERROR(__xludf.DUMMYFUNCTION("""COMPUTED_VALUE"""),FALSE)</f>
        <v>0</v>
      </c>
      <c r="Q8710" s="20" t="str">
        <f>IFERROR(__xludf.DUMMYFUNCTION("""COMPUTED_VALUE"""),"")</f>
        <v/>
      </c>
      <c r="R8710" s="21" t="str">
        <f>IFERROR(__xludf.DUMMYFUNCTION("""COMPUTED_VALUE"""),"https://drive.google.com/file/d/1CjFHUWTQVQCfVWWF9NoSmZOSsItLwWcJ/view?usp=drivesdk")</f>
        <v>https://drive.google.com/file/d/1CjFHUWTQVQCfVWWF9NoSmZOSsItLwWcJ/view?usp=drivesdk</v>
      </c>
    </row>
    <row r="8711">
      <c r="A8711" s="15">
        <f>IFERROR(__xludf.DUMMYFUNCTION("""COMPUTED_VALUE"""),45247.0)</f>
        <v>45247</v>
      </c>
      <c r="B8711" s="16" t="str">
        <f>IFERROR(__xludf.DUMMYFUNCTION("""COMPUTED_VALUE"""),"JOSE ALFREDO RAMIREZ VERGARA ")</f>
        <v>JOSE ALFREDO RAMIREZ VERGARA </v>
      </c>
      <c r="C8711" s="15" t="str">
        <f>IFERROR(__xludf.DUMMYFUNCTION("""COMPUTED_VALUE"""),"BOGOTÁ")</f>
        <v>BOGOTÁ</v>
      </c>
      <c r="D8711" s="15" t="str">
        <f>IFERROR(__xludf.DUMMYFUNCTION("""COMPUTED_VALUE"""),"MEDELLÍN")</f>
        <v>MEDELLÍN</v>
      </c>
      <c r="E8711" s="15" t="str">
        <f>IFERROR(__xludf.DUMMYFUNCTION("""COMPUTED_VALUE"""),"Biota")</f>
        <v>Biota</v>
      </c>
      <c r="F8711" s="17" t="str">
        <f>IFERROR(__xludf.DUMMYFUNCTION("""COMPUTED_VALUE"""),"EL KONNY Carrera 3D No. 54A – 58 Local 1 / EL KONNY Carrera 3D No. 54A – 58 Local 1 / EL KONNY Carrera 3D No. 54A – 58 Local 1")</f>
        <v>EL KONNY Carrera 3D No. 54A – 58 Local 1 / EL KONNY Carrera 3D No. 54A – 58 Local 1 / EL KONNY Carrera 3D No. 54A – 58 Local 1</v>
      </c>
      <c r="G8711" s="15" t="str">
        <f>IFERROR(__xludf.DUMMYFUNCTION("""COMPUTED_VALUE"""),"EL KONNY Carrera 3D No. 54A – 58 Local 1")</f>
        <v>EL KONNY Carrera 3D No. 54A – 58 Local 1</v>
      </c>
      <c r="H8711" s="16">
        <f>IFERROR(__xludf.DUMMYFUNCTION("""COMPUTED_VALUE"""),17390.0)</f>
        <v>17390</v>
      </c>
      <c r="I8711" s="18">
        <f>IFERROR(__xludf.DUMMYFUNCTION("""COMPUTED_VALUE"""),14.0)</f>
        <v>14</v>
      </c>
      <c r="J8711" s="18">
        <f>IFERROR(__xludf.DUMMYFUNCTION("""COMPUTED_VALUE"""),23.0)</f>
        <v>23</v>
      </c>
      <c r="K8711" s="18">
        <f>IFERROR(__xludf.DUMMYFUNCTION("""COMPUTED_VALUE"""),30.0)</f>
        <v>30</v>
      </c>
      <c r="L8711" s="17">
        <f>IFERROR(__xludf.DUMMYFUNCTION("""COMPUTED_VALUE"""),3.21472746E9)</f>
        <v>3214727460</v>
      </c>
      <c r="M8711" s="17"/>
      <c r="N8711" s="17"/>
      <c r="O8711" s="17"/>
      <c r="P8711" s="17" t="b">
        <f>IFERROR(__xludf.DUMMYFUNCTION("""COMPUTED_VALUE"""),FALSE)</f>
        <v>0</v>
      </c>
      <c r="Q8711" s="20" t="str">
        <f>IFERROR(__xludf.DUMMYFUNCTION("""COMPUTED_VALUE"""),"")</f>
        <v/>
      </c>
      <c r="R8711" s="21" t="str">
        <f>IFERROR(__xludf.DUMMYFUNCTION("""COMPUTED_VALUE"""),"https://drive.google.com/file/d/10VTvaXDWtRlLa4vV-MoAf4c7qpJU7My5/view?usp=drivesdk")</f>
        <v>https://drive.google.com/file/d/10VTvaXDWtRlLa4vV-MoAf4c7qpJU7My5/view?usp=drivesdk</v>
      </c>
    </row>
    <row r="8712">
      <c r="A8712" s="15">
        <f>IFERROR(__xludf.DUMMYFUNCTION("""COMPUTED_VALUE"""),45247.0)</f>
        <v>45247</v>
      </c>
      <c r="B8712" s="16" t="str">
        <f>IFERROR(__xludf.DUMMYFUNCTION("""COMPUTED_VALUE"""),"JOSE ALFREDO RAMIREZ VERGARA ")</f>
        <v>JOSE ALFREDO RAMIREZ VERGARA </v>
      </c>
      <c r="C8712" s="15" t="str">
        <f>IFERROR(__xludf.DUMMYFUNCTION("""COMPUTED_VALUE"""),"BOGOTÁ")</f>
        <v>BOGOTÁ</v>
      </c>
      <c r="D8712" s="15" t="str">
        <f>IFERROR(__xludf.DUMMYFUNCTION("""COMPUTED_VALUE"""),"MEDELLÍN")</f>
        <v>MEDELLÍN</v>
      </c>
      <c r="E8712" s="15" t="str">
        <f>IFERROR(__xludf.DUMMYFUNCTION("""COMPUTED_VALUE"""),"HELADERIA MAGDA")</f>
        <v>HELADERIA MAGDA</v>
      </c>
      <c r="F8712" s="17" t="str">
        <f>IFERROR(__xludf.DUMMYFUNCTION("""COMPUTED_VALUE"""),"CALLE 71A #14A22-26 / COCINA OCULTA")</f>
        <v>CALLE 71A #14A22-26 / COCINA OCULTA</v>
      </c>
      <c r="G8712" s="15" t="str">
        <f>IFERROR(__xludf.DUMMYFUNCTION("""COMPUTED_VALUE"""),"COCINAS OCULTAS")</f>
        <v>COCINAS OCULTAS</v>
      </c>
      <c r="H8712" s="16">
        <f>IFERROR(__xludf.DUMMYFUNCTION("""COMPUTED_VALUE"""),17400.0)</f>
        <v>17400</v>
      </c>
      <c r="I8712" s="17"/>
      <c r="J8712" s="17"/>
      <c r="K8712" s="17"/>
      <c r="L8712" s="17">
        <f>IFERROR(__xludf.DUMMYFUNCTION("""COMPUTED_VALUE"""),3.156303988E9)</f>
        <v>3156303988</v>
      </c>
      <c r="M8712" s="17"/>
      <c r="N8712" s="17"/>
      <c r="O8712" s="17"/>
      <c r="P8712" s="17" t="b">
        <f>IFERROR(__xludf.DUMMYFUNCTION("""COMPUTED_VALUE"""),FALSE)</f>
        <v>0</v>
      </c>
      <c r="Q8712" s="20" t="str">
        <f>IFERROR(__xludf.DUMMYFUNCTION("""COMPUTED_VALUE"""),"")</f>
        <v/>
      </c>
      <c r="R8712" s="21" t="str">
        <f>IFERROR(__xludf.DUMMYFUNCTION("""COMPUTED_VALUE"""),"https://drive.google.com/file/d/10nZJ5IyEjDK84h6OBTFNi0oxCzmJSiQB/view?usp=drivesdk")</f>
        <v>https://drive.google.com/file/d/10nZJ5IyEjDK84h6OBTFNi0oxCzmJSiQB/view?usp=drivesdk</v>
      </c>
    </row>
    <row r="8713">
      <c r="A8713" s="15">
        <f>IFERROR(__xludf.DUMMYFUNCTION("""COMPUTED_VALUE"""),45247.0)</f>
        <v>45247</v>
      </c>
      <c r="B8713" s="16" t="str">
        <f>IFERROR(__xludf.DUMMYFUNCTION("""COMPUTED_VALUE"""),"JOSE ALFREDO RAMIREZ VERGARA ")</f>
        <v>JOSE ALFREDO RAMIREZ VERGARA </v>
      </c>
      <c r="C8713" s="15" t="str">
        <f>IFERROR(__xludf.DUMMYFUNCTION("""COMPUTED_VALUE"""),"BOGOTÁ")</f>
        <v>BOGOTÁ</v>
      </c>
      <c r="D8713" s="15" t="str">
        <f>IFERROR(__xludf.DUMMYFUNCTION("""COMPUTED_VALUE"""),"MEDELLÍN")</f>
        <v>MEDELLÍN</v>
      </c>
      <c r="E8713" s="15" t="str">
        <f>IFERROR(__xludf.DUMMYFUNCTION("""COMPUTED_VALUE"""),"Moloso S.A.S")</f>
        <v>Moloso S.A.S</v>
      </c>
      <c r="F8713" s="17" t="str">
        <f>IFERROR(__xludf.DUMMYFUNCTION("""COMPUTED_VALUE"""),"CL 118 16 32 / AP 502")</f>
        <v>CL 118 16 32 / AP 502</v>
      </c>
      <c r="G8713" s="15" t="str">
        <f>IFERROR(__xludf.DUMMYFUNCTION("""COMPUTED_VALUE"""),"ANGELICA MANCILLA")</f>
        <v>ANGELICA MANCILLA</v>
      </c>
      <c r="H8713" s="16">
        <f>IFERROR(__xludf.DUMMYFUNCTION("""COMPUTED_VALUE"""),17380.0)</f>
        <v>17380</v>
      </c>
      <c r="I8713" s="17"/>
      <c r="J8713" s="17"/>
      <c r="K8713" s="17"/>
      <c r="L8713" s="17">
        <f>IFERROR(__xludf.DUMMYFUNCTION("""COMPUTED_VALUE"""),3.174401028E9)</f>
        <v>3174401028</v>
      </c>
      <c r="M8713" s="17"/>
      <c r="N8713" s="17"/>
      <c r="O8713" s="17"/>
      <c r="P8713" s="17" t="b">
        <f>IFERROR(__xludf.DUMMYFUNCTION("""COMPUTED_VALUE"""),FALSE)</f>
        <v>0</v>
      </c>
      <c r="Q8713" s="20" t="str">
        <f>IFERROR(__xludf.DUMMYFUNCTION("""COMPUTED_VALUE"""),"")</f>
        <v/>
      </c>
      <c r="R8713" s="21" t="str">
        <f>IFERROR(__xludf.DUMMYFUNCTION("""COMPUTED_VALUE"""),"https://drive.google.com/file/d/1t7NXQPVyiGmNnIqxtgYnu3i2RascBssS/view?usp=drivesdk")</f>
        <v>https://drive.google.com/file/d/1t7NXQPVyiGmNnIqxtgYnu3i2RascBssS/view?usp=drivesdk</v>
      </c>
    </row>
    <row r="8714">
      <c r="A8714" s="17" t="str">
        <f>IFERROR(__xludf.DUMMYFUNCTION("""COMPUTED_VALUE"""),"")</f>
        <v/>
      </c>
      <c r="B8714" s="17" t="str">
        <f>IFERROR(__xludf.DUMMYFUNCTION("""COMPUTED_VALUE"""),"")</f>
        <v/>
      </c>
      <c r="C8714" s="17" t="str">
        <f>IFERROR(__xludf.DUMMYFUNCTION("""COMPUTED_VALUE"""),"")</f>
        <v/>
      </c>
      <c r="D8714" s="17" t="str">
        <f>IFERROR(__xludf.DUMMYFUNCTION("""COMPUTED_VALUE"""),"")</f>
        <v/>
      </c>
      <c r="E8714" s="17" t="str">
        <f>IFERROR(__xludf.DUMMYFUNCTION("""COMPUTED_VALUE"""),"")</f>
        <v/>
      </c>
      <c r="F8714" s="17" t="str">
        <f>IFERROR(__xludf.DUMMYFUNCTION("""COMPUTED_VALUE"""),"")</f>
        <v/>
      </c>
      <c r="G8714" s="17" t="str">
        <f>IFERROR(__xludf.DUMMYFUNCTION("""COMPUTED_VALUE"""),"")</f>
        <v/>
      </c>
      <c r="H8714" s="17" t="str">
        <f>IFERROR(__xludf.DUMMYFUNCTION("""COMPUTED_VALUE"""),"")</f>
        <v/>
      </c>
      <c r="I8714" s="17" t="str">
        <f>IFERROR(__xludf.DUMMYFUNCTION("""COMPUTED_VALUE"""),"")</f>
        <v/>
      </c>
      <c r="J8714" s="17" t="str">
        <f>IFERROR(__xludf.DUMMYFUNCTION("""COMPUTED_VALUE"""),"")</f>
        <v/>
      </c>
      <c r="K8714" s="17" t="str">
        <f>IFERROR(__xludf.DUMMYFUNCTION("""COMPUTED_VALUE"""),"")</f>
        <v/>
      </c>
      <c r="L8714" s="17" t="str">
        <f>IFERROR(__xludf.DUMMYFUNCTION("""COMPUTED_VALUE"""),"")</f>
        <v/>
      </c>
      <c r="M8714" s="17" t="str">
        <f>IFERROR(__xludf.DUMMYFUNCTION("""COMPUTED_VALUE"""),"")</f>
        <v/>
      </c>
      <c r="N8714" s="17" t="str">
        <f>IFERROR(__xludf.DUMMYFUNCTION("""COMPUTED_VALUE"""),"")</f>
        <v/>
      </c>
      <c r="O8714" s="17" t="str">
        <f>IFERROR(__xludf.DUMMYFUNCTION("""COMPUTED_VALUE"""),"")</f>
        <v/>
      </c>
      <c r="P8714" s="17" t="str">
        <f>IFERROR(__xludf.DUMMYFUNCTION("""COMPUTED_VALUE"""),"")</f>
        <v/>
      </c>
      <c r="Q8714" s="17" t="str">
        <f>IFERROR(__xludf.DUMMYFUNCTION("""COMPUTED_VALUE"""),"")</f>
        <v/>
      </c>
      <c r="R8714" s="17" t="str">
        <f>IFERROR(__xludf.DUMMYFUNCTION("""COMPUTED_VALUE"""),"")</f>
        <v/>
      </c>
    </row>
    <row r="8715">
      <c r="A8715" s="15">
        <f>IFERROR(__xludf.DUMMYFUNCTION("""COMPUTED_VALUE"""),45247.0)</f>
        <v>45247</v>
      </c>
      <c r="B8715" s="16" t="str">
        <f>IFERROR(__xludf.DUMMYFUNCTION("""COMPUTED_VALUE"""),"Julian Calderon Rodriguez ")</f>
        <v>Julian Calderon Rodriguez </v>
      </c>
      <c r="C8715" s="15" t="str">
        <f>IFERROR(__xludf.DUMMYFUNCTION("""COMPUTED_VALUE"""),"BOGOTÁ")</f>
        <v>BOGOTÁ</v>
      </c>
      <c r="D8715" s="15" t="str">
        <f>IFERROR(__xludf.DUMMYFUNCTION("""COMPUTED_VALUE"""),"PEREIRA")</f>
        <v>PEREIRA</v>
      </c>
      <c r="E8715" s="15" t="str">
        <f>IFERROR(__xludf.DUMMYFUNCTION("""COMPUTED_VALUE"""),"BAK&amp;VEG ")</f>
        <v>BAK&amp;VEG </v>
      </c>
      <c r="F8715" s="17" t="str">
        <f>IFERROR(__xludf.DUMMYFUNCTION("""COMPUTED_VALUE"""),"CALLE 43 BIS A SUR #73B 47  / CASA ESQUINERA -  APTO 301")</f>
        <v>CALLE 43 BIS A SUR #73B 47  / CASA ESQUINERA -  APTO 301</v>
      </c>
      <c r="G8715" s="15" t="str">
        <f>IFERROR(__xludf.DUMMYFUNCTION("""COMPUTED_VALUE"""),"jesica")</f>
        <v>jesica</v>
      </c>
      <c r="H8715" s="16">
        <f>IFERROR(__xludf.DUMMYFUNCTION("""COMPUTED_VALUE"""),17382.0)</f>
        <v>17382</v>
      </c>
      <c r="I8715" s="18">
        <f>IFERROR(__xludf.DUMMYFUNCTION("""COMPUTED_VALUE"""),20.0)</f>
        <v>20</v>
      </c>
      <c r="J8715" s="18">
        <f>IFERROR(__xludf.DUMMYFUNCTION("""COMPUTED_VALUE"""),15.0)</f>
        <v>15</v>
      </c>
      <c r="K8715" s="18">
        <f>IFERROR(__xludf.DUMMYFUNCTION("""COMPUTED_VALUE"""),37.0)</f>
        <v>37</v>
      </c>
      <c r="L8715" s="17">
        <f>IFERROR(__xludf.DUMMYFUNCTION("""COMPUTED_VALUE"""),3.235913169E9)</f>
        <v>3235913169</v>
      </c>
      <c r="M8715" s="17"/>
      <c r="N8715" s="17"/>
      <c r="O8715" s="17"/>
      <c r="P8715" s="17" t="b">
        <f>IFERROR(__xludf.DUMMYFUNCTION("""COMPUTED_VALUE"""),FALSE)</f>
        <v>0</v>
      </c>
      <c r="Q8715" s="20" t="str">
        <f>IFERROR(__xludf.DUMMYFUNCTION("""COMPUTED_VALUE"""),"")</f>
        <v/>
      </c>
      <c r="R8715" s="22" t="str">
        <f>IFERROR(__xludf.DUMMYFUNCTION("""COMPUTED_VALUE"""),"")</f>
        <v/>
      </c>
    </row>
    <row r="8716">
      <c r="A8716" s="17" t="str">
        <f>IFERROR(__xludf.DUMMYFUNCTION("""COMPUTED_VALUE"""),"")</f>
        <v/>
      </c>
      <c r="B8716" s="17" t="str">
        <f>IFERROR(__xludf.DUMMYFUNCTION("""COMPUTED_VALUE"""),"")</f>
        <v/>
      </c>
      <c r="C8716" s="17" t="str">
        <f>IFERROR(__xludf.DUMMYFUNCTION("""COMPUTED_VALUE"""),"")</f>
        <v/>
      </c>
      <c r="D8716" s="17" t="str">
        <f>IFERROR(__xludf.DUMMYFUNCTION("""COMPUTED_VALUE"""),"")</f>
        <v/>
      </c>
      <c r="E8716" s="17" t="str">
        <f>IFERROR(__xludf.DUMMYFUNCTION("""COMPUTED_VALUE"""),"")</f>
        <v/>
      </c>
      <c r="F8716" s="17" t="str">
        <f>IFERROR(__xludf.DUMMYFUNCTION("""COMPUTED_VALUE"""),"")</f>
        <v/>
      </c>
      <c r="G8716" s="17" t="str">
        <f>IFERROR(__xludf.DUMMYFUNCTION("""COMPUTED_VALUE"""),"")</f>
        <v/>
      </c>
      <c r="H8716" s="17" t="str">
        <f>IFERROR(__xludf.DUMMYFUNCTION("""COMPUTED_VALUE"""),"")</f>
        <v/>
      </c>
      <c r="I8716" s="17" t="str">
        <f>IFERROR(__xludf.DUMMYFUNCTION("""COMPUTED_VALUE"""),"")</f>
        <v/>
      </c>
      <c r="J8716" s="17" t="str">
        <f>IFERROR(__xludf.DUMMYFUNCTION("""COMPUTED_VALUE"""),"")</f>
        <v/>
      </c>
      <c r="K8716" s="17" t="str">
        <f>IFERROR(__xludf.DUMMYFUNCTION("""COMPUTED_VALUE"""),"")</f>
        <v/>
      </c>
      <c r="L8716" s="17" t="str">
        <f>IFERROR(__xludf.DUMMYFUNCTION("""COMPUTED_VALUE"""),"")</f>
        <v/>
      </c>
      <c r="M8716" s="17" t="str">
        <f>IFERROR(__xludf.DUMMYFUNCTION("""COMPUTED_VALUE"""),"")</f>
        <v/>
      </c>
      <c r="N8716" s="17" t="str">
        <f>IFERROR(__xludf.DUMMYFUNCTION("""COMPUTED_VALUE"""),"")</f>
        <v/>
      </c>
      <c r="O8716" s="17" t="str">
        <f>IFERROR(__xludf.DUMMYFUNCTION("""COMPUTED_VALUE"""),"")</f>
        <v/>
      </c>
      <c r="P8716" s="17" t="str">
        <f>IFERROR(__xludf.DUMMYFUNCTION("""COMPUTED_VALUE"""),"")</f>
        <v/>
      </c>
      <c r="Q8716" s="17" t="str">
        <f>IFERROR(__xludf.DUMMYFUNCTION("""COMPUTED_VALUE"""),"")</f>
        <v/>
      </c>
      <c r="R8716" s="17" t="str">
        <f>IFERROR(__xludf.DUMMYFUNCTION("""COMPUTED_VALUE"""),"")</f>
        <v/>
      </c>
    </row>
    <row r="8717">
      <c r="A8717" s="15">
        <f>IFERROR(__xludf.DUMMYFUNCTION("""COMPUTED_VALUE"""),45247.0)</f>
        <v>45247</v>
      </c>
      <c r="B8717" s="16" t="str">
        <f>IFERROR(__xludf.DUMMYFUNCTION("""COMPUTED_VALUE"""),"Lina Gaona")</f>
        <v>Lina Gaona</v>
      </c>
      <c r="C8717" s="15" t="str">
        <f>IFERROR(__xludf.DUMMYFUNCTION("""COMPUTED_VALUE"""),"SANTA MARTA")</f>
        <v>SANTA MARTA</v>
      </c>
      <c r="D8717" s="15" t="str">
        <f>IFERROR(__xludf.DUMMYFUNCTION("""COMPUTED_VALUE"""),"MEDELLÍN")</f>
        <v>MEDELLÍN</v>
      </c>
      <c r="E8717" s="15" t="str">
        <f>IFERROR(__xludf.DUMMYFUNCTION("""COMPUTED_VALUE"""),"HELADERIA MAGDA")</f>
        <v>HELADERIA MAGDA</v>
      </c>
      <c r="F8717" s="17" t="str">
        <f>IFERROR(__xludf.DUMMYFUNCTION("""COMPUTED_VALUE"""),"CALLE 22 #6-82 / PLAZUELA 22 LOCAL 27")</f>
        <v>CALLE 22 #6-82 / PLAZUELA 22 LOCAL 27</v>
      </c>
      <c r="G8717" s="15" t="str">
        <f>IFERROR(__xludf.DUMMYFUNCTION("""COMPUTED_VALUE"""),"HELADERIA MAGDA SANTA MARTA")</f>
        <v>HELADERIA MAGDA SANTA MARTA</v>
      </c>
      <c r="H8717" s="16">
        <f>IFERROR(__xludf.DUMMYFUNCTION("""COMPUTED_VALUE"""),17355.0)</f>
        <v>17355</v>
      </c>
      <c r="I8717" s="17"/>
      <c r="J8717" s="17"/>
      <c r="K8717" s="17"/>
      <c r="L8717" s="17">
        <f>IFERROR(__xludf.DUMMYFUNCTION("""COMPUTED_VALUE"""),3.054269156E9)</f>
        <v>3054269156</v>
      </c>
      <c r="M8717" s="17"/>
      <c r="N8717" s="17"/>
      <c r="O8717" s="17"/>
      <c r="P8717" s="17" t="b">
        <f>IFERROR(__xludf.DUMMYFUNCTION("""COMPUTED_VALUE"""),FALSE)</f>
        <v>0</v>
      </c>
      <c r="Q8717" s="20" t="str">
        <f>IFERROR(__xludf.DUMMYFUNCTION("""COMPUTED_VALUE"""),"")</f>
        <v/>
      </c>
      <c r="R8717" s="21" t="str">
        <f>IFERROR(__xludf.DUMMYFUNCTION("""COMPUTED_VALUE"""),"https://drive.google.com/file/d/1NZNyRBgyv54udJcjXQXhPMWLTUfw08IQ/view?usp=drivesdk")</f>
        <v>https://drive.google.com/file/d/1NZNyRBgyv54udJcjXQXhPMWLTUfw08IQ/view?usp=drivesdk</v>
      </c>
    </row>
    <row r="8718">
      <c r="A8718" s="17" t="str">
        <f>IFERROR(__xludf.DUMMYFUNCTION("""COMPUTED_VALUE"""),"")</f>
        <v/>
      </c>
      <c r="B8718" s="17" t="str">
        <f>IFERROR(__xludf.DUMMYFUNCTION("""COMPUTED_VALUE"""),"")</f>
        <v/>
      </c>
      <c r="C8718" s="17" t="str">
        <f>IFERROR(__xludf.DUMMYFUNCTION("""COMPUTED_VALUE"""),"")</f>
        <v/>
      </c>
      <c r="D8718" s="17" t="str">
        <f>IFERROR(__xludf.DUMMYFUNCTION("""COMPUTED_VALUE"""),"")</f>
        <v/>
      </c>
      <c r="E8718" s="17" t="str">
        <f>IFERROR(__xludf.DUMMYFUNCTION("""COMPUTED_VALUE"""),"")</f>
        <v/>
      </c>
      <c r="F8718" s="17" t="str">
        <f>IFERROR(__xludf.DUMMYFUNCTION("""COMPUTED_VALUE"""),"")</f>
        <v/>
      </c>
      <c r="G8718" s="17" t="str">
        <f>IFERROR(__xludf.DUMMYFUNCTION("""COMPUTED_VALUE"""),"")</f>
        <v/>
      </c>
      <c r="H8718" s="17" t="str">
        <f>IFERROR(__xludf.DUMMYFUNCTION("""COMPUTED_VALUE"""),"")</f>
        <v/>
      </c>
      <c r="I8718" s="17" t="str">
        <f>IFERROR(__xludf.DUMMYFUNCTION("""COMPUTED_VALUE"""),"")</f>
        <v/>
      </c>
      <c r="J8718" s="17" t="str">
        <f>IFERROR(__xludf.DUMMYFUNCTION("""COMPUTED_VALUE"""),"")</f>
        <v/>
      </c>
      <c r="K8718" s="17" t="str">
        <f>IFERROR(__xludf.DUMMYFUNCTION("""COMPUTED_VALUE"""),"")</f>
        <v/>
      </c>
      <c r="L8718" s="17" t="str">
        <f>IFERROR(__xludf.DUMMYFUNCTION("""COMPUTED_VALUE"""),"")</f>
        <v/>
      </c>
      <c r="M8718" s="17" t="str">
        <f>IFERROR(__xludf.DUMMYFUNCTION("""COMPUTED_VALUE"""),"")</f>
        <v/>
      </c>
      <c r="N8718" s="17" t="str">
        <f>IFERROR(__xludf.DUMMYFUNCTION("""COMPUTED_VALUE"""),"")</f>
        <v/>
      </c>
      <c r="O8718" s="17" t="str">
        <f>IFERROR(__xludf.DUMMYFUNCTION("""COMPUTED_VALUE"""),"")</f>
        <v/>
      </c>
      <c r="P8718" s="17" t="str">
        <f>IFERROR(__xludf.DUMMYFUNCTION("""COMPUTED_VALUE"""),"")</f>
        <v/>
      </c>
      <c r="Q8718" s="17" t="str">
        <f>IFERROR(__xludf.DUMMYFUNCTION("""COMPUTED_VALUE"""),"")</f>
        <v/>
      </c>
      <c r="R8718" s="17" t="str">
        <f>IFERROR(__xludf.DUMMYFUNCTION("""COMPUTED_VALUE"""),"")</f>
        <v/>
      </c>
    </row>
    <row r="8719">
      <c r="A8719" s="15">
        <f>IFERROR(__xludf.DUMMYFUNCTION("""COMPUTED_VALUE"""),45247.0)</f>
        <v>45247</v>
      </c>
      <c r="B8719" s="16" t="str">
        <f>IFERROR(__xludf.DUMMYFUNCTION("""COMPUTED_VALUE"""),"Santiago Garces Restrepo")</f>
        <v>Santiago Garces Restrepo</v>
      </c>
      <c r="C8719" s="15" t="str">
        <f>IFERROR(__xludf.DUMMYFUNCTION("""COMPUTED_VALUE"""),"MEDELLÍN")</f>
        <v>MEDELLÍN</v>
      </c>
      <c r="D8719" s="15" t="str">
        <f>IFERROR(__xludf.DUMMYFUNCTION("""COMPUTED_VALUE"""),"BOGOTÁ")</f>
        <v>BOGOTÁ</v>
      </c>
      <c r="E8719" s="15" t="str">
        <f>IFERROR(__xludf.DUMMYFUNCTION("""COMPUTED_VALUE"""),"Redi Food")</f>
        <v>Redi Food</v>
      </c>
      <c r="F8719" s="17" t="str">
        <f>IFERROR(__xludf.DUMMYFUNCTION("""COMPUTED_VALUE"""),"Cl 20 sur # 39a-250 / Edificio torre mayor apto 1004 / En la frontera subiendo por el euro")</f>
        <v>Cl 20 sur # 39a-250 / Edificio torre mayor apto 1004 / En la frontera subiendo por el euro</v>
      </c>
      <c r="G8719" s="15" t="str">
        <f>IFERROR(__xludf.DUMMYFUNCTION("""COMPUTED_VALUE"""),"María Fernanda alce")</f>
        <v>María Fernanda alce</v>
      </c>
      <c r="H8719" s="16">
        <f>IFERROR(__xludf.DUMMYFUNCTION("""COMPUTED_VALUE"""),17363.0)</f>
        <v>17363</v>
      </c>
      <c r="I8719" s="18">
        <f>IFERROR(__xludf.DUMMYFUNCTION("""COMPUTED_VALUE"""),14.0)</f>
        <v>14</v>
      </c>
      <c r="J8719" s="18">
        <f>IFERROR(__xludf.DUMMYFUNCTION("""COMPUTED_VALUE"""),15.0)</f>
        <v>15</v>
      </c>
      <c r="K8719" s="18">
        <f>IFERROR(__xludf.DUMMYFUNCTION("""COMPUTED_VALUE"""),28.0)</f>
        <v>28</v>
      </c>
      <c r="L8719" s="17">
        <f>IFERROR(__xludf.DUMMYFUNCTION("""COMPUTED_VALUE"""),3.104485436E9)</f>
        <v>3104485436</v>
      </c>
      <c r="M8719" s="17"/>
      <c r="N8719" s="17"/>
      <c r="O8719" s="17"/>
      <c r="P8719" s="17" t="b">
        <f>IFERROR(__xludf.DUMMYFUNCTION("""COMPUTED_VALUE"""),FALSE)</f>
        <v>0</v>
      </c>
      <c r="Q8719" s="20" t="str">
        <f>IFERROR(__xludf.DUMMYFUNCTION("""COMPUTED_VALUE"""),"")</f>
        <v/>
      </c>
      <c r="R8719" s="22" t="str">
        <f>IFERROR(__xludf.DUMMYFUNCTION("""COMPUTED_VALUE"""),"")</f>
        <v/>
      </c>
    </row>
    <row r="8720">
      <c r="A8720" s="15">
        <f>IFERROR(__xludf.DUMMYFUNCTION("""COMPUTED_VALUE"""),45247.0)</f>
        <v>45247</v>
      </c>
      <c r="B8720" s="16" t="str">
        <f>IFERROR(__xludf.DUMMYFUNCTION("""COMPUTED_VALUE"""),"Santiago Garces Restrepo")</f>
        <v>Santiago Garces Restrepo</v>
      </c>
      <c r="C8720" s="15" t="str">
        <f>IFERROR(__xludf.DUMMYFUNCTION("""COMPUTED_VALUE"""),"MEDELLÍN")</f>
        <v>MEDELLÍN</v>
      </c>
      <c r="D8720" s="15" t="str">
        <f>IFERROR(__xludf.DUMMYFUNCTION("""COMPUTED_VALUE"""),"BOGOTÁ")</f>
        <v>BOGOTÁ</v>
      </c>
      <c r="E8720" s="15" t="str">
        <f>IFERROR(__xludf.DUMMYFUNCTION("""COMPUTED_VALUE"""),"Redi Food")</f>
        <v>Redi Food</v>
      </c>
      <c r="F8720" s="17" t="str">
        <f>IFERROR(__xludf.DUMMYFUNCTION("""COMPUTED_VALUE"""),"Cr 48 # 16 sur 111 / Edificio los gemelos apto 904 / Aguacatala medellin")</f>
        <v>Cr 48 # 16 sur 111 / Edificio los gemelos apto 904 / Aguacatala medellin</v>
      </c>
      <c r="G8720" s="15" t="str">
        <f>IFERROR(__xludf.DUMMYFUNCTION("""COMPUTED_VALUE"""),"Andrea naranjo gallego")</f>
        <v>Andrea naranjo gallego</v>
      </c>
      <c r="H8720" s="16">
        <f>IFERROR(__xludf.DUMMYFUNCTION("""COMPUTED_VALUE"""),17362.0)</f>
        <v>17362</v>
      </c>
      <c r="I8720" s="18">
        <f>IFERROR(__xludf.DUMMYFUNCTION("""COMPUTED_VALUE"""),14.0)</f>
        <v>14</v>
      </c>
      <c r="J8720" s="18">
        <f>IFERROR(__xludf.DUMMYFUNCTION("""COMPUTED_VALUE"""),15.0)</f>
        <v>15</v>
      </c>
      <c r="K8720" s="18">
        <f>IFERROR(__xludf.DUMMYFUNCTION("""COMPUTED_VALUE"""),28.0)</f>
        <v>28</v>
      </c>
      <c r="L8720" s="17">
        <f>IFERROR(__xludf.DUMMYFUNCTION("""COMPUTED_VALUE"""),3.185617574E9)</f>
        <v>3185617574</v>
      </c>
      <c r="M8720" s="17"/>
      <c r="N8720" s="17"/>
      <c r="O8720" s="17"/>
      <c r="P8720" s="17" t="b">
        <f>IFERROR(__xludf.DUMMYFUNCTION("""COMPUTED_VALUE"""),FALSE)</f>
        <v>0</v>
      </c>
      <c r="Q8720" s="20" t="str">
        <f>IFERROR(__xludf.DUMMYFUNCTION("""COMPUTED_VALUE"""),"")</f>
        <v/>
      </c>
      <c r="R8720" s="22" t="str">
        <f>IFERROR(__xludf.DUMMYFUNCTION("""COMPUTED_VALUE"""),"")</f>
        <v/>
      </c>
    </row>
    <row r="8721">
      <c r="A8721" s="15">
        <f>IFERROR(__xludf.DUMMYFUNCTION("""COMPUTED_VALUE"""),45247.0)</f>
        <v>45247</v>
      </c>
      <c r="B8721" s="16" t="str">
        <f>IFERROR(__xludf.DUMMYFUNCTION("""COMPUTED_VALUE"""),"Santiago Garces Restrepo")</f>
        <v>Santiago Garces Restrepo</v>
      </c>
      <c r="C8721" s="15" t="str">
        <f>IFERROR(__xludf.DUMMYFUNCTION("""COMPUTED_VALUE"""),"MEDELLÍN")</f>
        <v>MEDELLÍN</v>
      </c>
      <c r="D8721" s="15" t="str">
        <f>IFERROR(__xludf.DUMMYFUNCTION("""COMPUTED_VALUE"""),"BOGOTÁ")</f>
        <v>BOGOTÁ</v>
      </c>
      <c r="E8721" s="15" t="str">
        <f>IFERROR(__xludf.DUMMYFUNCTION("""COMPUTED_VALUE"""),"Top Spun")</f>
        <v>Top Spun</v>
      </c>
      <c r="F8721" s="17" t="str">
        <f>IFERROR(__xludf.DUMMYFUNCTION("""COMPUTED_VALUE"""),"Cara 18 # 1-171 / Urbanización Arezzo / Apto 2411")</f>
        <v>Cara 18 # 1-171 / Urbanización Arezzo / Apto 2411</v>
      </c>
      <c r="G8721" s="15" t="str">
        <f>IFERROR(__xludf.DUMMYFUNCTION("""COMPUTED_VALUE"""),"Melissa Vallejo")</f>
        <v>Melissa Vallejo</v>
      </c>
      <c r="H8721" s="16">
        <f>IFERROR(__xludf.DUMMYFUNCTION("""COMPUTED_VALUE"""),17368.0)</f>
        <v>17368</v>
      </c>
      <c r="I8721" s="18">
        <f>IFERROR(__xludf.DUMMYFUNCTION("""COMPUTED_VALUE"""),20.0)</f>
        <v>20</v>
      </c>
      <c r="J8721" s="18">
        <f>IFERROR(__xludf.DUMMYFUNCTION("""COMPUTED_VALUE"""),10.0)</f>
        <v>10</v>
      </c>
      <c r="K8721" s="18">
        <f>IFERROR(__xludf.DUMMYFUNCTION("""COMPUTED_VALUE"""),40.0)</f>
        <v>40</v>
      </c>
      <c r="L8721" s="17">
        <f>IFERROR(__xludf.DUMMYFUNCTION("""COMPUTED_VALUE"""),3.146759402E9)</f>
        <v>3146759402</v>
      </c>
      <c r="M8721" s="17"/>
      <c r="N8721" s="17"/>
      <c r="O8721" s="17"/>
      <c r="P8721" s="17" t="b">
        <f>IFERROR(__xludf.DUMMYFUNCTION("""COMPUTED_VALUE"""),FALSE)</f>
        <v>0</v>
      </c>
      <c r="Q8721" s="20" t="str">
        <f>IFERROR(__xludf.DUMMYFUNCTION("""COMPUTED_VALUE"""),"")</f>
        <v/>
      </c>
      <c r="R8721" s="22" t="str">
        <f>IFERROR(__xludf.DUMMYFUNCTION("""COMPUTED_VALUE"""),"")</f>
        <v/>
      </c>
    </row>
    <row r="8722">
      <c r="A8722" s="17" t="str">
        <f>IFERROR(__xludf.DUMMYFUNCTION("""COMPUTED_VALUE"""),"")</f>
        <v/>
      </c>
      <c r="B8722" s="17" t="str">
        <f>IFERROR(__xludf.DUMMYFUNCTION("""COMPUTED_VALUE"""),"")</f>
        <v/>
      </c>
      <c r="C8722" s="17" t="str">
        <f>IFERROR(__xludf.DUMMYFUNCTION("""COMPUTED_VALUE"""),"")</f>
        <v/>
      </c>
      <c r="D8722" s="17" t="str">
        <f>IFERROR(__xludf.DUMMYFUNCTION("""COMPUTED_VALUE"""),"")</f>
        <v/>
      </c>
      <c r="E8722" s="17" t="str">
        <f>IFERROR(__xludf.DUMMYFUNCTION("""COMPUTED_VALUE"""),"")</f>
        <v/>
      </c>
      <c r="F8722" s="17" t="str">
        <f>IFERROR(__xludf.DUMMYFUNCTION("""COMPUTED_VALUE"""),"")</f>
        <v/>
      </c>
      <c r="G8722" s="17" t="str">
        <f>IFERROR(__xludf.DUMMYFUNCTION("""COMPUTED_VALUE"""),"")</f>
        <v/>
      </c>
      <c r="H8722" s="17" t="str">
        <f>IFERROR(__xludf.DUMMYFUNCTION("""COMPUTED_VALUE"""),"")</f>
        <v/>
      </c>
      <c r="I8722" s="17" t="str">
        <f>IFERROR(__xludf.DUMMYFUNCTION("""COMPUTED_VALUE"""),"")</f>
        <v/>
      </c>
      <c r="J8722" s="17" t="str">
        <f>IFERROR(__xludf.DUMMYFUNCTION("""COMPUTED_VALUE"""),"")</f>
        <v/>
      </c>
      <c r="K8722" s="17" t="str">
        <f>IFERROR(__xludf.DUMMYFUNCTION("""COMPUTED_VALUE"""),"")</f>
        <v/>
      </c>
      <c r="L8722" s="17" t="str">
        <f>IFERROR(__xludf.DUMMYFUNCTION("""COMPUTED_VALUE"""),"")</f>
        <v/>
      </c>
      <c r="M8722" s="17" t="str">
        <f>IFERROR(__xludf.DUMMYFUNCTION("""COMPUTED_VALUE"""),"")</f>
        <v/>
      </c>
      <c r="N8722" s="17" t="str">
        <f>IFERROR(__xludf.DUMMYFUNCTION("""COMPUTED_VALUE"""),"")</f>
        <v/>
      </c>
      <c r="O8722" s="17" t="str">
        <f>IFERROR(__xludf.DUMMYFUNCTION("""COMPUTED_VALUE"""),"")</f>
        <v/>
      </c>
      <c r="P8722" s="17" t="str">
        <f>IFERROR(__xludf.DUMMYFUNCTION("""COMPUTED_VALUE"""),"")</f>
        <v/>
      </c>
      <c r="Q8722" s="17" t="str">
        <f>IFERROR(__xludf.DUMMYFUNCTION("""COMPUTED_VALUE"""),"")</f>
        <v/>
      </c>
      <c r="R8722" s="17" t="str">
        <f>IFERROR(__xludf.DUMMYFUNCTION("""COMPUTED_VALUE"""),"")</f>
        <v/>
      </c>
    </row>
    <row r="8723">
      <c r="A8723" s="15">
        <f>IFERROR(__xludf.DUMMYFUNCTION("""COMPUTED_VALUE"""),45249.0)</f>
        <v>45249</v>
      </c>
      <c r="B8723" s="16" t="str">
        <f>IFERROR(__xludf.DUMMYFUNCTION("""COMPUTED_VALUE"""),"Envia")</f>
        <v>Envia</v>
      </c>
      <c r="C8723" s="15" t="str">
        <f>IFERROR(__xludf.DUMMYFUNCTION("""COMPUTED_VALUE"""),"BARRANQUILLA")</f>
        <v>BARRANQUILLA</v>
      </c>
      <c r="D8723" s="15" t="str">
        <f>IFERROR(__xludf.DUMMYFUNCTION("""COMPUTED_VALUE"""),"ENVIGADO")</f>
        <v>ENVIGADO</v>
      </c>
      <c r="E8723" s="15" t="str">
        <f>IFERROR(__xludf.DUMMYFUNCTION("""COMPUTED_VALUE"""),"JUAN CAMILO CORDOBA")</f>
        <v>JUAN CAMILO CORDOBA</v>
      </c>
      <c r="F8723" s="17" t="str">
        <f>IFERROR(__xludf.DUMMYFUNCTION("""COMPUTED_VALUE"""),"Carrera 67 no 81-95")</f>
        <v>Carrera 67 no 81-95</v>
      </c>
      <c r="G8723" s="15" t="str">
        <f>IFERROR(__xludf.DUMMYFUNCTION("""COMPUTED_VALUE"""),"Santiago Arbelaez")</f>
        <v>Santiago Arbelaez</v>
      </c>
      <c r="H8723" s="16">
        <f>IFERROR(__xludf.DUMMYFUNCTION("""COMPUTED_VALUE"""),17404.0)</f>
        <v>17404</v>
      </c>
      <c r="I8723" s="17"/>
      <c r="J8723" s="17"/>
      <c r="K8723" s="17"/>
      <c r="L8723" s="17">
        <f>IFERROR(__xludf.DUMMYFUNCTION("""COMPUTED_VALUE"""),3.204749856E9)</f>
        <v>3204749856</v>
      </c>
      <c r="M8723" s="17"/>
      <c r="N8723" s="17"/>
      <c r="O8723" s="17"/>
      <c r="P8723" s="17" t="b">
        <f>IFERROR(__xludf.DUMMYFUNCTION("""COMPUTED_VALUE"""),FALSE)</f>
        <v>0</v>
      </c>
      <c r="Q8723" s="20" t="str">
        <f>IFERROR(__xludf.DUMMYFUNCTION("""COMPUTED_VALUE"""),"")</f>
        <v/>
      </c>
      <c r="R8723" s="22" t="str">
        <f>IFERROR(__xludf.DUMMYFUNCTION("""COMPUTED_VALUE"""),"")</f>
        <v/>
      </c>
    </row>
    <row r="8724">
      <c r="A8724" s="17" t="str">
        <f>IFERROR(__xludf.DUMMYFUNCTION("""COMPUTED_VALUE"""),"")</f>
        <v/>
      </c>
      <c r="B8724" s="17" t="str">
        <f>IFERROR(__xludf.DUMMYFUNCTION("""COMPUTED_VALUE"""),"")</f>
        <v/>
      </c>
      <c r="C8724" s="17" t="str">
        <f>IFERROR(__xludf.DUMMYFUNCTION("""COMPUTED_VALUE"""),"")</f>
        <v/>
      </c>
      <c r="D8724" s="17" t="str">
        <f>IFERROR(__xludf.DUMMYFUNCTION("""COMPUTED_VALUE"""),"")</f>
        <v/>
      </c>
      <c r="E8724" s="17" t="str">
        <f>IFERROR(__xludf.DUMMYFUNCTION("""COMPUTED_VALUE"""),"")</f>
        <v/>
      </c>
      <c r="F8724" s="17" t="str">
        <f>IFERROR(__xludf.DUMMYFUNCTION("""COMPUTED_VALUE"""),"")</f>
        <v/>
      </c>
      <c r="G8724" s="17" t="str">
        <f>IFERROR(__xludf.DUMMYFUNCTION("""COMPUTED_VALUE"""),"")</f>
        <v/>
      </c>
      <c r="H8724" s="17" t="str">
        <f>IFERROR(__xludf.DUMMYFUNCTION("""COMPUTED_VALUE"""),"")</f>
        <v/>
      </c>
      <c r="I8724" s="17" t="str">
        <f>IFERROR(__xludf.DUMMYFUNCTION("""COMPUTED_VALUE"""),"")</f>
        <v/>
      </c>
      <c r="J8724" s="17" t="str">
        <f>IFERROR(__xludf.DUMMYFUNCTION("""COMPUTED_VALUE"""),"")</f>
        <v/>
      </c>
      <c r="K8724" s="17" t="str">
        <f>IFERROR(__xludf.DUMMYFUNCTION("""COMPUTED_VALUE"""),"")</f>
        <v/>
      </c>
      <c r="L8724" s="17" t="str">
        <f>IFERROR(__xludf.DUMMYFUNCTION("""COMPUTED_VALUE"""),"")</f>
        <v/>
      </c>
      <c r="M8724" s="17" t="str">
        <f>IFERROR(__xludf.DUMMYFUNCTION("""COMPUTED_VALUE"""),"")</f>
        <v/>
      </c>
      <c r="N8724" s="17" t="str">
        <f>IFERROR(__xludf.DUMMYFUNCTION("""COMPUTED_VALUE"""),"")</f>
        <v/>
      </c>
      <c r="O8724" s="17" t="str">
        <f>IFERROR(__xludf.DUMMYFUNCTION("""COMPUTED_VALUE"""),"")</f>
        <v/>
      </c>
      <c r="P8724" s="17" t="str">
        <f>IFERROR(__xludf.DUMMYFUNCTION("""COMPUTED_VALUE"""),"")</f>
        <v/>
      </c>
      <c r="Q8724" s="17" t="str">
        <f>IFERROR(__xludf.DUMMYFUNCTION("""COMPUTED_VALUE"""),"")</f>
        <v/>
      </c>
      <c r="R8724" s="17" t="str">
        <f>IFERROR(__xludf.DUMMYFUNCTION("""COMPUTED_VALUE"""),"")</f>
        <v/>
      </c>
    </row>
    <row r="8725">
      <c r="A8725" s="15">
        <f>IFERROR(__xludf.DUMMYFUNCTION("""COMPUTED_VALUE"""),45249.0)</f>
        <v>45249</v>
      </c>
      <c r="B8725" s="16" t="str">
        <f>IFERROR(__xludf.DUMMYFUNCTION("""COMPUTED_VALUE"""),"Johan Alexander Escobar Arroyo ")</f>
        <v>Johan Alexander Escobar Arroyo </v>
      </c>
      <c r="C8725" s="15" t="str">
        <f>IFERROR(__xludf.DUMMYFUNCTION("""COMPUTED_VALUE"""),"BOGOTÁ")</f>
        <v>BOGOTÁ</v>
      </c>
      <c r="D8725" s="15" t="str">
        <f>IFERROR(__xludf.DUMMYFUNCTION("""COMPUTED_VALUE"""),"MEDELLÍN")</f>
        <v>MEDELLÍN</v>
      </c>
      <c r="E8725" s="15" t="str">
        <f>IFERROR(__xludf.DUMMYFUNCTION("""COMPUTED_VALUE"""),"The Smoked House")</f>
        <v>The Smoked House</v>
      </c>
      <c r="F8725" s="17" t="str">
        <f>IFERROR(__xludf.DUMMYFUNCTION("""COMPUTED_VALUE"""),"Cra 49#238-60 Hacienda San Simon, El Alcaparro, Casa 10  / Hacienda San Simon, El Alcaparro, Casa 10 / Hacienda San Simon, El Alcaparro, Casa 10")</f>
        <v>Cra 49#238-60 Hacienda San Simon, El Alcaparro, Casa 10  / Hacienda San Simon, El Alcaparro, Casa 10 / Hacienda San Simon, El Alcaparro, Casa 10</v>
      </c>
      <c r="G8725" s="15" t="str">
        <f>IFERROR(__xludf.DUMMYFUNCTION("""COMPUTED_VALUE"""),"Monivax")</f>
        <v>Monivax</v>
      </c>
      <c r="H8725" s="16">
        <f>IFERROR(__xludf.DUMMYFUNCTION("""COMPUTED_VALUE"""),17403.0)</f>
        <v>17403</v>
      </c>
      <c r="I8725" s="18">
        <f>IFERROR(__xludf.DUMMYFUNCTION("""COMPUTED_VALUE"""),31.0)</f>
        <v>31</v>
      </c>
      <c r="J8725" s="18">
        <f>IFERROR(__xludf.DUMMYFUNCTION("""COMPUTED_VALUE"""),30.0)</f>
        <v>30</v>
      </c>
      <c r="K8725" s="18">
        <f>IFERROR(__xludf.DUMMYFUNCTION("""COMPUTED_VALUE"""),63.0)</f>
        <v>63</v>
      </c>
      <c r="L8725" s="17">
        <f>IFERROR(__xludf.DUMMYFUNCTION("""COMPUTED_VALUE"""),3.158825395E9)</f>
        <v>3158825395</v>
      </c>
      <c r="M8725" s="17"/>
      <c r="N8725" s="17"/>
      <c r="O8725" s="17"/>
      <c r="P8725" s="17" t="b">
        <f>IFERROR(__xludf.DUMMYFUNCTION("""COMPUTED_VALUE"""),FALSE)</f>
        <v>0</v>
      </c>
      <c r="Q8725" s="20" t="str">
        <f>IFERROR(__xludf.DUMMYFUNCTION("""COMPUTED_VALUE"""),"")</f>
        <v/>
      </c>
      <c r="R8725" s="22" t="str">
        <f>IFERROR(__xludf.DUMMYFUNCTION("""COMPUTED_VALUE"""),"")</f>
        <v/>
      </c>
    </row>
    <row r="8726">
      <c r="A8726" s="15">
        <f>IFERROR(__xludf.DUMMYFUNCTION("""COMPUTED_VALUE"""),45249.0)</f>
        <v>45249</v>
      </c>
      <c r="B8726" s="16" t="str">
        <f>IFERROR(__xludf.DUMMYFUNCTION("""COMPUTED_VALUE"""),"Johan Alexander Escobar Arroyo ")</f>
        <v>Johan Alexander Escobar Arroyo </v>
      </c>
      <c r="C8726" s="15" t="str">
        <f>IFERROR(__xludf.DUMMYFUNCTION("""COMPUTED_VALUE"""),"OTRO")</f>
        <v>OTRO</v>
      </c>
      <c r="D8726" s="15" t="str">
        <f>IFERROR(__xludf.DUMMYFUNCTION("""COMPUTED_VALUE"""),"BOGOTÁ")</f>
        <v>BOGOTÁ</v>
      </c>
      <c r="E8726" s="15" t="str">
        <f>IFERROR(__xludf.DUMMYFUNCTION("""COMPUTED_VALUE"""),"Cliente Nuevo")</f>
        <v>Cliente Nuevo</v>
      </c>
      <c r="F8726" s="17" t="str">
        <f>IFERROR(__xludf.DUMMYFUNCTION("""COMPUTED_VALUE"""),"cra 45 a nro 60 39 complejo industrial alcantara  / bodega 120 interior 3  / itagui")</f>
        <v>cra 45 a nro 60 39 complejo industrial alcantara  / bodega 120 interior 3  / itagui</v>
      </c>
      <c r="G8726" s="15" t="str">
        <f>IFERROR(__xludf.DUMMYFUNCTION("""COMPUTED_VALUE"""),"fredy acevedo inversiones outdoor sas")</f>
        <v>fredy acevedo inversiones outdoor sas</v>
      </c>
      <c r="H8726" s="16">
        <f>IFERROR(__xludf.DUMMYFUNCTION("""COMPUTED_VALUE"""),17406.0)</f>
        <v>17406</v>
      </c>
      <c r="I8726" s="18">
        <f>IFERROR(__xludf.DUMMYFUNCTION("""COMPUTED_VALUE"""),65.0)</f>
        <v>65</v>
      </c>
      <c r="J8726" s="18">
        <f>IFERROR(__xludf.DUMMYFUNCTION("""COMPUTED_VALUE"""),45.0)</f>
        <v>45</v>
      </c>
      <c r="K8726" s="18">
        <f>IFERROR(__xludf.DUMMYFUNCTION("""COMPUTED_VALUE"""),55.0)</f>
        <v>55</v>
      </c>
      <c r="L8726" s="17">
        <f>IFERROR(__xludf.DUMMYFUNCTION("""COMPUTED_VALUE"""),3.00220419E9)</f>
        <v>3002204190</v>
      </c>
      <c r="M8726" s="17"/>
      <c r="N8726" s="17"/>
      <c r="O8726" s="17"/>
      <c r="P8726" s="17" t="b">
        <f>IFERROR(__xludf.DUMMYFUNCTION("""COMPUTED_VALUE"""),FALSE)</f>
        <v>0</v>
      </c>
      <c r="Q8726" s="20" t="str">
        <f>IFERROR(__xludf.DUMMYFUNCTION("""COMPUTED_VALUE"""),"")</f>
        <v/>
      </c>
      <c r="R8726" s="22" t="str">
        <f>IFERROR(__xludf.DUMMYFUNCTION("""COMPUTED_VALUE"""),"")</f>
        <v/>
      </c>
    </row>
    <row r="8727">
      <c r="A8727" s="17" t="str">
        <f>IFERROR(__xludf.DUMMYFUNCTION("""COMPUTED_VALUE"""),"")</f>
        <v/>
      </c>
      <c r="B8727" s="17" t="str">
        <f>IFERROR(__xludf.DUMMYFUNCTION("""COMPUTED_VALUE"""),"")</f>
        <v/>
      </c>
      <c r="C8727" s="17" t="str">
        <f>IFERROR(__xludf.DUMMYFUNCTION("""COMPUTED_VALUE"""),"")</f>
        <v/>
      </c>
      <c r="D8727" s="17" t="str">
        <f>IFERROR(__xludf.DUMMYFUNCTION("""COMPUTED_VALUE"""),"")</f>
        <v/>
      </c>
      <c r="E8727" s="17" t="str">
        <f>IFERROR(__xludf.DUMMYFUNCTION("""COMPUTED_VALUE"""),"")</f>
        <v/>
      </c>
      <c r="F8727" s="17" t="str">
        <f>IFERROR(__xludf.DUMMYFUNCTION("""COMPUTED_VALUE"""),"")</f>
        <v/>
      </c>
      <c r="G8727" s="17" t="str">
        <f>IFERROR(__xludf.DUMMYFUNCTION("""COMPUTED_VALUE"""),"")</f>
        <v/>
      </c>
      <c r="H8727" s="17" t="str">
        <f>IFERROR(__xludf.DUMMYFUNCTION("""COMPUTED_VALUE"""),"")</f>
        <v/>
      </c>
      <c r="I8727" s="17" t="str">
        <f>IFERROR(__xludf.DUMMYFUNCTION("""COMPUTED_VALUE"""),"")</f>
        <v/>
      </c>
      <c r="J8727" s="17" t="str">
        <f>IFERROR(__xludf.DUMMYFUNCTION("""COMPUTED_VALUE"""),"")</f>
        <v/>
      </c>
      <c r="K8727" s="17" t="str">
        <f>IFERROR(__xludf.DUMMYFUNCTION("""COMPUTED_VALUE"""),"")</f>
        <v/>
      </c>
      <c r="L8727" s="17" t="str">
        <f>IFERROR(__xludf.DUMMYFUNCTION("""COMPUTED_VALUE"""),"")</f>
        <v/>
      </c>
      <c r="M8727" s="17" t="str">
        <f>IFERROR(__xludf.DUMMYFUNCTION("""COMPUTED_VALUE"""),"")</f>
        <v/>
      </c>
      <c r="N8727" s="17" t="str">
        <f>IFERROR(__xludf.DUMMYFUNCTION("""COMPUTED_VALUE"""),"")</f>
        <v/>
      </c>
      <c r="O8727" s="17" t="str">
        <f>IFERROR(__xludf.DUMMYFUNCTION("""COMPUTED_VALUE"""),"")</f>
        <v/>
      </c>
      <c r="P8727" s="17" t="str">
        <f>IFERROR(__xludf.DUMMYFUNCTION("""COMPUTED_VALUE"""),"")</f>
        <v/>
      </c>
      <c r="Q8727" s="17" t="str">
        <f>IFERROR(__xludf.DUMMYFUNCTION("""COMPUTED_VALUE"""),"")</f>
        <v/>
      </c>
      <c r="R8727" s="17" t="str">
        <f>IFERROR(__xludf.DUMMYFUNCTION("""COMPUTED_VALUE"""),"")</f>
        <v/>
      </c>
    </row>
    <row r="8728">
      <c r="A8728" s="15">
        <f>IFERROR(__xludf.DUMMYFUNCTION("""COMPUTED_VALUE"""),45249.0)</f>
        <v>45249</v>
      </c>
      <c r="B8728" s="16" t="str">
        <f>IFERROR(__xludf.DUMMYFUNCTION("""COMPUTED_VALUE"""),"JOSE ALFREDO RAMIREZ VERGARA ")</f>
        <v>JOSE ALFREDO RAMIREZ VERGARA </v>
      </c>
      <c r="C8728" s="15" t="str">
        <f>IFERROR(__xludf.DUMMYFUNCTION("""COMPUTED_VALUE"""),"BOGOTÁ")</f>
        <v>BOGOTÁ</v>
      </c>
      <c r="D8728" s="15" t="str">
        <f>IFERROR(__xludf.DUMMYFUNCTION("""COMPUTED_VALUE"""),"MEDELLÍN")</f>
        <v>MEDELLÍN</v>
      </c>
      <c r="E8728" s="15" t="str">
        <f>IFERROR(__xludf.DUMMYFUNCTION("""COMPUTED_VALUE"""),"The Smoked House")</f>
        <v>The Smoked House</v>
      </c>
      <c r="F8728" s="17" t="str">
        <f>IFERROR(__xludf.DUMMYFUNCTION("""COMPUTED_VALUE"""),"Cra 49#238-60  / Hacienda San Simon, El Alcaparro, Casa 10 / Hacienda San Simon")</f>
        <v>Cra 49#238-60  / Hacienda San Simon, El Alcaparro, Casa 10 / Hacienda San Simon</v>
      </c>
      <c r="G8728" s="15" t="str">
        <f>IFERROR(__xludf.DUMMYFUNCTION("""COMPUTED_VALUE"""),"Monica")</f>
        <v>Monica</v>
      </c>
      <c r="H8728" s="16">
        <f>IFERROR(__xludf.DUMMYFUNCTION("""COMPUTED_VALUE"""),17402.0)</f>
        <v>17402</v>
      </c>
      <c r="I8728" s="18">
        <f>IFERROR(__xludf.DUMMYFUNCTION("""COMPUTED_VALUE"""),31.0)</f>
        <v>31</v>
      </c>
      <c r="J8728" s="18">
        <f>IFERROR(__xludf.DUMMYFUNCTION("""COMPUTED_VALUE"""),30.0)</f>
        <v>30</v>
      </c>
      <c r="K8728" s="18">
        <f>IFERROR(__xludf.DUMMYFUNCTION("""COMPUTED_VALUE"""),63.0)</f>
        <v>63</v>
      </c>
      <c r="L8728" s="17">
        <f>IFERROR(__xludf.DUMMYFUNCTION("""COMPUTED_VALUE"""),3.158825395E9)</f>
        <v>3158825395</v>
      </c>
      <c r="M8728" s="17"/>
      <c r="N8728" s="17"/>
      <c r="O8728" s="17"/>
      <c r="P8728" s="17" t="b">
        <f>IFERROR(__xludf.DUMMYFUNCTION("""COMPUTED_VALUE"""),FALSE)</f>
        <v>0</v>
      </c>
      <c r="Q8728" s="20" t="str">
        <f>IFERROR(__xludf.DUMMYFUNCTION("""COMPUTED_VALUE"""),"")</f>
        <v/>
      </c>
      <c r="R8728" s="22" t="str">
        <f>IFERROR(__xludf.DUMMYFUNCTION("""COMPUTED_VALUE"""),"")</f>
        <v/>
      </c>
    </row>
    <row r="8729">
      <c r="A8729" s="15">
        <f>IFERROR(__xludf.DUMMYFUNCTION("""COMPUTED_VALUE"""),45249.0)</f>
        <v>45249</v>
      </c>
      <c r="B8729" s="16" t="str">
        <f>IFERROR(__xludf.DUMMYFUNCTION("""COMPUTED_VALUE"""),"JOSE ALFREDO RAMIREZ VERGARA ")</f>
        <v>JOSE ALFREDO RAMIREZ VERGARA </v>
      </c>
      <c r="C8729" s="15" t="str">
        <f>IFERROR(__xludf.DUMMYFUNCTION("""COMPUTED_VALUE"""),"MONTERIA")</f>
        <v>MONTERIA</v>
      </c>
      <c r="D8729" s="15" t="str">
        <f>IFERROR(__xludf.DUMMYFUNCTION("""COMPUTED_VALUE"""),"ENVIGADO")</f>
        <v>ENVIGADO</v>
      </c>
      <c r="E8729" s="15" t="str">
        <f>IFERROR(__xludf.DUMMYFUNCTION("""COMPUTED_VALUE"""),"JUAN CAMILO CORDOBA")</f>
        <v>JUAN CAMILO CORDOBA</v>
      </c>
      <c r="F8729" s="17" t="str">
        <f>IFERROR(__xludf.DUMMYFUNCTION("""COMPUTED_VALUE"""),"Calle 62 #6 45 / lc 2")</f>
        <v>Calle 62 #6 45 / lc 2</v>
      </c>
      <c r="G8729" s="15" t="str">
        <f>IFERROR(__xludf.DUMMYFUNCTION("""COMPUTED_VALUE"""),"Felii Restaurante")</f>
        <v>Felii Restaurante</v>
      </c>
      <c r="H8729" s="16">
        <f>IFERROR(__xludf.DUMMYFUNCTION("""COMPUTED_VALUE"""),17405.0)</f>
        <v>17405</v>
      </c>
      <c r="I8729" s="17"/>
      <c r="J8729" s="17"/>
      <c r="K8729" s="17"/>
      <c r="L8729" s="17">
        <f>IFERROR(__xludf.DUMMYFUNCTION("""COMPUTED_VALUE"""),3.052261719E9)</f>
        <v>3052261719</v>
      </c>
      <c r="M8729" s="17"/>
      <c r="N8729" s="17"/>
      <c r="O8729" s="17"/>
      <c r="P8729" s="17" t="b">
        <f>IFERROR(__xludf.DUMMYFUNCTION("""COMPUTED_VALUE"""),FALSE)</f>
        <v>0</v>
      </c>
      <c r="Q8729" s="20" t="str">
        <f>IFERROR(__xludf.DUMMYFUNCTION("""COMPUTED_VALUE"""),"")</f>
        <v/>
      </c>
      <c r="R8729" s="22" t="str">
        <f>IFERROR(__xludf.DUMMYFUNCTION("""COMPUTED_VALUE"""),"")</f>
        <v/>
      </c>
    </row>
    <row r="8730">
      <c r="A8730" s="17" t="str">
        <f>IFERROR(__xludf.DUMMYFUNCTION("""COMPUTED_VALUE"""),"")</f>
        <v/>
      </c>
      <c r="B8730" s="17" t="str">
        <f>IFERROR(__xludf.DUMMYFUNCTION("""COMPUTED_VALUE"""),"")</f>
        <v/>
      </c>
      <c r="C8730" s="17" t="str">
        <f>IFERROR(__xludf.DUMMYFUNCTION("""COMPUTED_VALUE"""),"")</f>
        <v/>
      </c>
      <c r="D8730" s="17" t="str">
        <f>IFERROR(__xludf.DUMMYFUNCTION("""COMPUTED_VALUE"""),"")</f>
        <v/>
      </c>
      <c r="E8730" s="17" t="str">
        <f>IFERROR(__xludf.DUMMYFUNCTION("""COMPUTED_VALUE"""),"")</f>
        <v/>
      </c>
      <c r="F8730" s="17" t="str">
        <f>IFERROR(__xludf.DUMMYFUNCTION("""COMPUTED_VALUE"""),"")</f>
        <v/>
      </c>
      <c r="G8730" s="17" t="str">
        <f>IFERROR(__xludf.DUMMYFUNCTION("""COMPUTED_VALUE"""),"")</f>
        <v/>
      </c>
      <c r="H8730" s="17" t="str">
        <f>IFERROR(__xludf.DUMMYFUNCTION("""COMPUTED_VALUE"""),"")</f>
        <v/>
      </c>
      <c r="I8730" s="17" t="str">
        <f>IFERROR(__xludf.DUMMYFUNCTION("""COMPUTED_VALUE"""),"")</f>
        <v/>
      </c>
      <c r="J8730" s="17" t="str">
        <f>IFERROR(__xludf.DUMMYFUNCTION("""COMPUTED_VALUE"""),"")</f>
        <v/>
      </c>
      <c r="K8730" s="17" t="str">
        <f>IFERROR(__xludf.DUMMYFUNCTION("""COMPUTED_VALUE"""),"")</f>
        <v/>
      </c>
      <c r="L8730" s="17" t="str">
        <f>IFERROR(__xludf.DUMMYFUNCTION("""COMPUTED_VALUE"""),"")</f>
        <v/>
      </c>
      <c r="M8730" s="17" t="str">
        <f>IFERROR(__xludf.DUMMYFUNCTION("""COMPUTED_VALUE"""),"")</f>
        <v/>
      </c>
      <c r="N8730" s="17" t="str">
        <f>IFERROR(__xludf.DUMMYFUNCTION("""COMPUTED_VALUE"""),"")</f>
        <v/>
      </c>
      <c r="O8730" s="17" t="str">
        <f>IFERROR(__xludf.DUMMYFUNCTION("""COMPUTED_VALUE"""),"")</f>
        <v/>
      </c>
      <c r="P8730" s="17" t="str">
        <f>IFERROR(__xludf.DUMMYFUNCTION("""COMPUTED_VALUE"""),"")</f>
        <v/>
      </c>
      <c r="Q8730" s="17" t="str">
        <f>IFERROR(__xludf.DUMMYFUNCTION("""COMPUTED_VALUE"""),"")</f>
        <v/>
      </c>
      <c r="R8730" s="17" t="str">
        <f>IFERROR(__xludf.DUMMYFUNCTION("""COMPUTED_VALUE"""),"")</f>
        <v/>
      </c>
    </row>
    <row r="8731">
      <c r="A8731" s="15">
        <f>IFERROR(__xludf.DUMMYFUNCTION("""COMPUTED_VALUE"""),45249.0)</f>
        <v>45249</v>
      </c>
      <c r="B8731" s="16" t="str">
        <f>IFERROR(__xludf.DUMMYFUNCTION("""COMPUTED_VALUE"""),"Kevin Andrés puerta Jaramillo")</f>
        <v>Kevin Andrés puerta Jaramillo</v>
      </c>
      <c r="C8731" s="15" t="str">
        <f>IFERROR(__xludf.DUMMYFUNCTION("""COMPUTED_VALUE"""),"CALI")</f>
        <v>CALI</v>
      </c>
      <c r="D8731" s="15" t="str">
        <f>IFERROR(__xludf.DUMMYFUNCTION("""COMPUTED_VALUE"""),"ENVIGADO")</f>
        <v>ENVIGADO</v>
      </c>
      <c r="E8731" s="15" t="str">
        <f>IFERROR(__xludf.DUMMYFUNCTION("""COMPUTED_VALUE"""),"JUAN CAMILO CORDOBA")</f>
        <v>JUAN CAMILO CORDOBA</v>
      </c>
      <c r="F8731" s="17" t="str">
        <f>IFERROR(__xludf.DUMMYFUNCTION("""COMPUTED_VALUE"""),"Calle 13a # 100-119 / Ciudad jardin")</f>
        <v>Calle 13a # 100-119 / Ciudad jardin</v>
      </c>
      <c r="G8731" s="15" t="str">
        <f>IFERROR(__xludf.DUMMYFUNCTION("""COMPUTED_VALUE"""),"Sanisimo")</f>
        <v>Sanisimo</v>
      </c>
      <c r="H8731" s="16">
        <f>IFERROR(__xludf.DUMMYFUNCTION("""COMPUTED_VALUE"""),17407.0)</f>
        <v>17407</v>
      </c>
      <c r="I8731" s="17"/>
      <c r="J8731" s="17"/>
      <c r="K8731" s="17"/>
      <c r="L8731" s="17">
        <f>IFERROR(__xludf.DUMMYFUNCTION("""COMPUTED_VALUE"""),3.216449854E9)</f>
        <v>3216449854</v>
      </c>
      <c r="M8731" s="17"/>
      <c r="N8731" s="17"/>
      <c r="O8731" s="17"/>
      <c r="P8731" s="17" t="b">
        <f>IFERROR(__xludf.DUMMYFUNCTION("""COMPUTED_VALUE"""),FALSE)</f>
        <v>0</v>
      </c>
      <c r="Q8731" s="20" t="str">
        <f>IFERROR(__xludf.DUMMYFUNCTION("""COMPUTED_VALUE"""),"")</f>
        <v/>
      </c>
      <c r="R8731" s="22" t="str">
        <f>IFERROR(__xludf.DUMMYFUNCTION("""COMPUTED_VALUE"""),"")</f>
        <v/>
      </c>
    </row>
    <row r="8732">
      <c r="A8732" s="15">
        <f>IFERROR(__xludf.DUMMYFUNCTION("""COMPUTED_VALUE"""),45249.0)</f>
        <v>45249</v>
      </c>
      <c r="B8732" s="16" t="str">
        <f>IFERROR(__xludf.DUMMYFUNCTION("""COMPUTED_VALUE"""),"Kevin Andrés puerta Jaramillo")</f>
        <v>Kevin Andrés puerta Jaramillo</v>
      </c>
      <c r="C8732" s="15" t="str">
        <f>IFERROR(__xludf.DUMMYFUNCTION("""COMPUTED_VALUE"""),"CALI")</f>
        <v>CALI</v>
      </c>
      <c r="D8732" s="15" t="str">
        <f>IFERROR(__xludf.DUMMYFUNCTION("""COMPUTED_VALUE"""),"ENVIGADO")</f>
        <v>ENVIGADO</v>
      </c>
      <c r="E8732" s="15" t="str">
        <f>IFERROR(__xludf.DUMMYFUNCTION("""COMPUTED_VALUE"""),"JUAN CAMILO CORDOBA")</f>
        <v>JUAN CAMILO CORDOBA</v>
      </c>
      <c r="F8732" s="17" t="str">
        <f>IFERROR(__xludf.DUMMYFUNCTION("""COMPUTED_VALUE"""),"cra. 66A No.10-15 / local 101 sobre la autopista")</f>
        <v>cra. 66A No.10-15 / local 101 sobre la autopista</v>
      </c>
      <c r="G8732" s="15" t="str">
        <f>IFERROR(__xludf.DUMMYFUNCTION("""COMPUTED_VALUE"""),"Go Healthy Market")</f>
        <v>Go Healthy Market</v>
      </c>
      <c r="H8732" s="16">
        <f>IFERROR(__xludf.DUMMYFUNCTION("""COMPUTED_VALUE"""),17408.0)</f>
        <v>17408</v>
      </c>
      <c r="I8732" s="17"/>
      <c r="J8732" s="17"/>
      <c r="K8732" s="17"/>
      <c r="L8732" s="17">
        <f>IFERROR(__xludf.DUMMYFUNCTION("""COMPUTED_VALUE"""),3.173427535E9)</f>
        <v>3173427535</v>
      </c>
      <c r="M8732" s="17"/>
      <c r="N8732" s="17"/>
      <c r="O8732" s="17"/>
      <c r="P8732" s="17" t="b">
        <f>IFERROR(__xludf.DUMMYFUNCTION("""COMPUTED_VALUE"""),FALSE)</f>
        <v>0</v>
      </c>
      <c r="Q8732" s="20" t="str">
        <f>IFERROR(__xludf.DUMMYFUNCTION("""COMPUTED_VALUE"""),"")</f>
        <v/>
      </c>
      <c r="R8732" s="22" t="str">
        <f>IFERROR(__xludf.DUMMYFUNCTION("""COMPUTED_VALUE"""),"")</f>
        <v/>
      </c>
    </row>
    <row r="8733">
      <c r="A8733" s="17" t="str">
        <f>IFERROR(__xludf.DUMMYFUNCTION("""COMPUTED_VALUE"""),"")</f>
        <v/>
      </c>
      <c r="B8733" s="17" t="str">
        <f>IFERROR(__xludf.DUMMYFUNCTION("""COMPUTED_VALUE"""),"")</f>
        <v/>
      </c>
      <c r="C8733" s="17" t="str">
        <f>IFERROR(__xludf.DUMMYFUNCTION("""COMPUTED_VALUE"""),"")</f>
        <v/>
      </c>
      <c r="D8733" s="17" t="str">
        <f>IFERROR(__xludf.DUMMYFUNCTION("""COMPUTED_VALUE"""),"")</f>
        <v/>
      </c>
      <c r="E8733" s="17" t="str">
        <f>IFERROR(__xludf.DUMMYFUNCTION("""COMPUTED_VALUE"""),"")</f>
        <v/>
      </c>
      <c r="F8733" s="17" t="str">
        <f>IFERROR(__xludf.DUMMYFUNCTION("""COMPUTED_VALUE"""),"")</f>
        <v/>
      </c>
      <c r="G8733" s="17" t="str">
        <f>IFERROR(__xludf.DUMMYFUNCTION("""COMPUTED_VALUE"""),"")</f>
        <v/>
      </c>
      <c r="H8733" s="17" t="str">
        <f>IFERROR(__xludf.DUMMYFUNCTION("""COMPUTED_VALUE"""),"")</f>
        <v/>
      </c>
      <c r="I8733" s="17" t="str">
        <f>IFERROR(__xludf.DUMMYFUNCTION("""COMPUTED_VALUE"""),"")</f>
        <v/>
      </c>
      <c r="J8733" s="17" t="str">
        <f>IFERROR(__xludf.DUMMYFUNCTION("""COMPUTED_VALUE"""),"")</f>
        <v/>
      </c>
      <c r="K8733" s="17" t="str">
        <f>IFERROR(__xludf.DUMMYFUNCTION("""COMPUTED_VALUE"""),"")</f>
        <v/>
      </c>
      <c r="L8733" s="17" t="str">
        <f>IFERROR(__xludf.DUMMYFUNCTION("""COMPUTED_VALUE"""),"")</f>
        <v/>
      </c>
      <c r="M8733" s="17" t="str">
        <f>IFERROR(__xludf.DUMMYFUNCTION("""COMPUTED_VALUE"""),"")</f>
        <v/>
      </c>
      <c r="N8733" s="17" t="str">
        <f>IFERROR(__xludf.DUMMYFUNCTION("""COMPUTED_VALUE"""),"")</f>
        <v/>
      </c>
      <c r="O8733" s="17" t="str">
        <f>IFERROR(__xludf.DUMMYFUNCTION("""COMPUTED_VALUE"""),"")</f>
        <v/>
      </c>
      <c r="P8733" s="17" t="str">
        <f>IFERROR(__xludf.DUMMYFUNCTION("""COMPUTED_VALUE"""),"")</f>
        <v/>
      </c>
      <c r="Q8733" s="17" t="str">
        <f>IFERROR(__xludf.DUMMYFUNCTION("""COMPUTED_VALUE"""),"")</f>
        <v/>
      </c>
      <c r="R8733" s="17" t="str">
        <f>IFERROR(__xludf.DUMMYFUNCTION("""COMPUTED_VALUE"""),"")</f>
        <v/>
      </c>
    </row>
    <row r="8734">
      <c r="A8734" s="15">
        <f>IFERROR(__xludf.DUMMYFUNCTION("""COMPUTED_VALUE"""),45251.0)</f>
        <v>45251</v>
      </c>
      <c r="B8734" s="17"/>
      <c r="C8734" s="15" t="str">
        <f>IFERROR(__xludf.DUMMYFUNCTION("""COMPUTED_VALUE"""),"MEDELLÍN")</f>
        <v>MEDELLÍN</v>
      </c>
      <c r="D8734" s="15" t="str">
        <f>IFERROR(__xludf.DUMMYFUNCTION("""COMPUTED_VALUE"""),"BOGOTÁ")</f>
        <v>BOGOTÁ</v>
      </c>
      <c r="E8734" s="15" t="str">
        <f>IFERROR(__xludf.DUMMYFUNCTION("""COMPUTED_VALUE"""),"FamiliaReal S.A.S")</f>
        <v>FamiliaReal S.A.S</v>
      </c>
      <c r="F8734" s="17" t="str">
        <f>IFERROR(__xludf.DUMMYFUNCTION("""COMPUTED_VALUE"""),"Calle 4 a sur # 37-67 apto 301. / Edificio torres de Oviedo")</f>
        <v>Calle 4 a sur # 37-67 apto 301. / Edificio torres de Oviedo</v>
      </c>
      <c r="G8734" s="15" t="str">
        <f>IFERROR(__xludf.DUMMYFUNCTION("""COMPUTED_VALUE"""),"Angela Correa")</f>
        <v>Angela Correa</v>
      </c>
      <c r="H8734" s="16">
        <f>IFERROR(__xludf.DUMMYFUNCTION("""COMPUTED_VALUE"""),17431.0)</f>
        <v>17431</v>
      </c>
      <c r="I8734" s="17"/>
      <c r="J8734" s="17"/>
      <c r="K8734" s="17"/>
      <c r="L8734" s="17">
        <f>IFERROR(__xludf.DUMMYFUNCTION("""COMPUTED_VALUE"""),3.183253096E9)</f>
        <v>3183253096</v>
      </c>
      <c r="M8734" s="17"/>
      <c r="N8734" s="17"/>
      <c r="O8734" s="17"/>
      <c r="P8734" s="17" t="b">
        <f>IFERROR(__xludf.DUMMYFUNCTION("""COMPUTED_VALUE"""),FALSE)</f>
        <v>0</v>
      </c>
      <c r="Q8734" s="20" t="str">
        <f>IFERROR(__xludf.DUMMYFUNCTION("""COMPUTED_VALUE"""),"")</f>
        <v/>
      </c>
      <c r="R8734" s="22" t="str">
        <f>IFERROR(__xludf.DUMMYFUNCTION("""COMPUTED_VALUE"""),"")</f>
        <v/>
      </c>
    </row>
    <row r="8735">
      <c r="A8735" s="15">
        <f>IFERROR(__xludf.DUMMYFUNCTION("""COMPUTED_VALUE"""),45251.0)</f>
        <v>45251</v>
      </c>
      <c r="B8735" s="17"/>
      <c r="C8735" s="15" t="str">
        <f>IFERROR(__xludf.DUMMYFUNCTION("""COMPUTED_VALUE"""),"MEDELLÍN")</f>
        <v>MEDELLÍN</v>
      </c>
      <c r="D8735" s="15" t="str">
        <f>IFERROR(__xludf.DUMMYFUNCTION("""COMPUTED_VALUE"""),"BOGOTÁ")</f>
        <v>BOGOTÁ</v>
      </c>
      <c r="E8735" s="15" t="str">
        <f>IFERROR(__xludf.DUMMYFUNCTION("""COMPUTED_VALUE"""),"FamiliaReal S.A.S")</f>
        <v>FamiliaReal S.A.S</v>
      </c>
      <c r="F8735" s="17" t="str">
        <f>IFERROR(__xludf.DUMMYFUNCTION("""COMPUTED_VALUE"""),"Carrera 41 # 57 sur 60 Urbanización Laurel apto 1205 / Urbanización Laurel apto 1205")</f>
        <v>Carrera 41 # 57 sur 60 Urbanización Laurel apto 1205 / Urbanización Laurel apto 1205</v>
      </c>
      <c r="G8735" s="15" t="str">
        <f>IFERROR(__xludf.DUMMYFUNCTION("""COMPUTED_VALUE"""),"Alejandra Bastidas")</f>
        <v>Alejandra Bastidas</v>
      </c>
      <c r="H8735" s="16">
        <f>IFERROR(__xludf.DUMMYFUNCTION("""COMPUTED_VALUE"""),17464.0)</f>
        <v>17464</v>
      </c>
      <c r="I8735" s="17"/>
      <c r="J8735" s="17"/>
      <c r="K8735" s="17"/>
      <c r="L8735" s="17">
        <f>IFERROR(__xludf.DUMMYFUNCTION("""COMPUTED_VALUE"""),3.107761095E9)</f>
        <v>3107761095</v>
      </c>
      <c r="M8735" s="17"/>
      <c r="N8735" s="17"/>
      <c r="O8735" s="17"/>
      <c r="P8735" s="17" t="b">
        <f>IFERROR(__xludf.DUMMYFUNCTION("""COMPUTED_VALUE"""),FALSE)</f>
        <v>0</v>
      </c>
      <c r="Q8735" s="20" t="str">
        <f>IFERROR(__xludf.DUMMYFUNCTION("""COMPUTED_VALUE"""),"")</f>
        <v/>
      </c>
      <c r="R8735" s="21" t="str">
        <f>IFERROR(__xludf.DUMMYFUNCTION("""COMPUTED_VALUE"""),"https://drive.google.com/file/d/1Xmkf2Nk7UoMnu5UwG75s4yt1wuW2Y02Y/view?usp=drivesdk")</f>
        <v>https://drive.google.com/file/d/1Xmkf2Nk7UoMnu5UwG75s4yt1wuW2Y02Y/view?usp=drivesdk</v>
      </c>
    </row>
    <row r="8736">
      <c r="A8736" s="15">
        <f>IFERROR(__xludf.DUMMYFUNCTION("""COMPUTED_VALUE"""),45251.0)</f>
        <v>45251</v>
      </c>
      <c r="B8736" s="17"/>
      <c r="C8736" s="15" t="str">
        <f>IFERROR(__xludf.DUMMYFUNCTION("""COMPUTED_VALUE"""),"MEDELLÍN")</f>
        <v>MEDELLÍN</v>
      </c>
      <c r="D8736" s="15" t="str">
        <f>IFERROR(__xludf.DUMMYFUNCTION("""COMPUTED_VALUE"""),"BOGOTÁ")</f>
        <v>BOGOTÁ</v>
      </c>
      <c r="E8736" s="15" t="str">
        <f>IFERROR(__xludf.DUMMYFUNCTION("""COMPUTED_VALUE"""),"FamiliaReal S.A.S")</f>
        <v>FamiliaReal S.A.S</v>
      </c>
      <c r="F8736" s="17" t="str">
        <f>IFERROR(__xludf.DUMMYFUNCTION("""COMPUTED_VALUE"""),"Carrera 72 #95 67 / tercer piso apto 302")</f>
        <v>Carrera 72 #95 67 / tercer piso apto 302</v>
      </c>
      <c r="G8736" s="15" t="str">
        <f>IFERROR(__xludf.DUMMYFUNCTION("""COMPUTED_VALUE"""),"Luz Adriana Posada Gómez")</f>
        <v>Luz Adriana Posada Gómez</v>
      </c>
      <c r="H8736" s="16">
        <f>IFERROR(__xludf.DUMMYFUNCTION("""COMPUTED_VALUE"""),17432.0)</f>
        <v>17432</v>
      </c>
      <c r="I8736" s="17"/>
      <c r="J8736" s="17"/>
      <c r="K8736" s="17"/>
      <c r="L8736" s="17">
        <f>IFERROR(__xludf.DUMMYFUNCTION("""COMPUTED_VALUE"""),3.006571416E9)</f>
        <v>3006571416</v>
      </c>
      <c r="M8736" s="17"/>
      <c r="N8736" s="17"/>
      <c r="O8736" s="17"/>
      <c r="P8736" s="17" t="b">
        <f>IFERROR(__xludf.DUMMYFUNCTION("""COMPUTED_VALUE"""),FALSE)</f>
        <v>0</v>
      </c>
      <c r="Q8736" s="20" t="str">
        <f>IFERROR(__xludf.DUMMYFUNCTION("""COMPUTED_VALUE"""),"")</f>
        <v/>
      </c>
      <c r="R8736" s="22" t="str">
        <f>IFERROR(__xludf.DUMMYFUNCTION("""COMPUTED_VALUE"""),"")</f>
        <v/>
      </c>
    </row>
    <row r="8737">
      <c r="A8737" s="15">
        <f>IFERROR(__xludf.DUMMYFUNCTION("""COMPUTED_VALUE"""),45251.0)</f>
        <v>45251</v>
      </c>
      <c r="B8737" s="17"/>
      <c r="C8737" s="15" t="str">
        <f>IFERROR(__xludf.DUMMYFUNCTION("""COMPUTED_VALUE"""),"MEDELLÍN")</f>
        <v>MEDELLÍN</v>
      </c>
      <c r="D8737" s="15" t="str">
        <f>IFERROR(__xludf.DUMMYFUNCTION("""COMPUTED_VALUE"""),"BOGOTÁ")</f>
        <v>BOGOTÁ</v>
      </c>
      <c r="E8737" s="15" t="str">
        <f>IFERROR(__xludf.DUMMYFUNCTION("""COMPUTED_VALUE"""),"FamiliaReal S.A.S")</f>
        <v>FamiliaReal S.A.S</v>
      </c>
      <c r="F8737" s="17" t="str">
        <f>IFERROR(__xludf.DUMMYFUNCTION("""COMPUTED_VALUE"""),"Cra. 27 # 23 Sur-68 / Mall Comercial Distrito Avignon Mercado Saludable Local 106 Horario: 10 am - 7 pm")</f>
        <v>Cra. 27 # 23 Sur-68 / Mall Comercial Distrito Avignon Mercado Saludable Local 106 Horario: 10 am - 7 pm</v>
      </c>
      <c r="G8737" s="15" t="str">
        <f>IFERROR(__xludf.DUMMYFUNCTION("""COMPUTED_VALUE"""),"Frutal Exotic SAS")</f>
        <v>Frutal Exotic SAS</v>
      </c>
      <c r="H8737" s="16">
        <f>IFERROR(__xludf.DUMMYFUNCTION("""COMPUTED_VALUE"""),17433.0)</f>
        <v>17433</v>
      </c>
      <c r="I8737" s="17"/>
      <c r="J8737" s="17"/>
      <c r="K8737" s="17"/>
      <c r="L8737" s="17">
        <f>IFERROR(__xludf.DUMMYFUNCTION("""COMPUTED_VALUE"""),3.218310603E9)</f>
        <v>3218310603</v>
      </c>
      <c r="M8737" s="17"/>
      <c r="N8737" s="17"/>
      <c r="O8737" s="17"/>
      <c r="P8737" s="17" t="b">
        <f>IFERROR(__xludf.DUMMYFUNCTION("""COMPUTED_VALUE"""),FALSE)</f>
        <v>0</v>
      </c>
      <c r="Q8737" s="20" t="str">
        <f>IFERROR(__xludf.DUMMYFUNCTION("""COMPUTED_VALUE"""),"")</f>
        <v/>
      </c>
      <c r="R8737" s="22" t="str">
        <f>IFERROR(__xludf.DUMMYFUNCTION("""COMPUTED_VALUE"""),"")</f>
        <v/>
      </c>
    </row>
    <row r="8738">
      <c r="A8738" s="15">
        <f>IFERROR(__xludf.DUMMYFUNCTION("""COMPUTED_VALUE"""),45251.0)</f>
        <v>45251</v>
      </c>
      <c r="B8738" s="17"/>
      <c r="C8738" s="15" t="str">
        <f>IFERROR(__xludf.DUMMYFUNCTION("""COMPUTED_VALUE"""),"MEDELLÍN")</f>
        <v>MEDELLÍN</v>
      </c>
      <c r="D8738" s="15" t="str">
        <f>IFERROR(__xludf.DUMMYFUNCTION("""COMPUTED_VALUE"""),"BOGOTÁ")</f>
        <v>BOGOTÁ</v>
      </c>
      <c r="E8738" s="15" t="str">
        <f>IFERROR(__xludf.DUMMYFUNCTION("""COMPUTED_VALUE"""),"LINA PAOLA RAMIREZ GOMEZ - EVA MAZZITA")</f>
        <v>LINA PAOLA RAMIREZ GOMEZ - EVA MAZZITA</v>
      </c>
      <c r="F8738" s="17" t="str">
        <f>IFERROR(__xludf.DUMMYFUNCTION("""COMPUTED_VALUE"""),"CRA 15 BA No. 34D - 44 / INT 201")</f>
        <v>CRA 15 BA No. 34D - 44 / INT 201</v>
      </c>
      <c r="G8738" s="15" t="str">
        <f>IFERROR(__xludf.DUMMYFUNCTION("""COMPUTED_VALUE"""),"DANIELA BEDOYA BLANDON")</f>
        <v>DANIELA BEDOYA BLANDON</v>
      </c>
      <c r="H8738" s="16">
        <f>IFERROR(__xludf.DUMMYFUNCTION("""COMPUTED_VALUE"""),17468.0)</f>
        <v>17468</v>
      </c>
      <c r="I8738" s="17"/>
      <c r="J8738" s="17"/>
      <c r="K8738" s="17"/>
      <c r="L8738" s="17">
        <f>IFERROR(__xludf.DUMMYFUNCTION("""COMPUTED_VALUE"""),3.14672822E9)</f>
        <v>3146728220</v>
      </c>
      <c r="M8738" s="17"/>
      <c r="N8738" s="17"/>
      <c r="O8738" s="17"/>
      <c r="P8738" s="17" t="b">
        <f>IFERROR(__xludf.DUMMYFUNCTION("""COMPUTED_VALUE"""),FALSE)</f>
        <v>0</v>
      </c>
      <c r="Q8738" s="20" t="str">
        <f>IFERROR(__xludf.DUMMYFUNCTION("""COMPUTED_VALUE"""),"")</f>
        <v/>
      </c>
      <c r="R8738" s="21" t="str">
        <f>IFERROR(__xludf.DUMMYFUNCTION("""COMPUTED_VALUE"""),"https://drive.google.com/file/d/1XuLppWw4zd-ECoYQqFsoeP7CvQziadgC/view?usp=drivesdk")</f>
        <v>https://drive.google.com/file/d/1XuLppWw4zd-ECoYQqFsoeP7CvQziadgC/view?usp=drivesdk</v>
      </c>
    </row>
    <row r="8739">
      <c r="A8739" s="17" t="str">
        <f>IFERROR(__xludf.DUMMYFUNCTION("""COMPUTED_VALUE"""),"")</f>
        <v/>
      </c>
      <c r="B8739" s="17" t="str">
        <f>IFERROR(__xludf.DUMMYFUNCTION("""COMPUTED_VALUE"""),"")</f>
        <v/>
      </c>
      <c r="C8739" s="17" t="str">
        <f>IFERROR(__xludf.DUMMYFUNCTION("""COMPUTED_VALUE"""),"")</f>
        <v/>
      </c>
      <c r="D8739" s="17" t="str">
        <f>IFERROR(__xludf.DUMMYFUNCTION("""COMPUTED_VALUE"""),"")</f>
        <v/>
      </c>
      <c r="E8739" s="17" t="str">
        <f>IFERROR(__xludf.DUMMYFUNCTION("""COMPUTED_VALUE"""),"")</f>
        <v/>
      </c>
      <c r="F8739" s="17" t="str">
        <f>IFERROR(__xludf.DUMMYFUNCTION("""COMPUTED_VALUE"""),"")</f>
        <v/>
      </c>
      <c r="G8739" s="17" t="str">
        <f>IFERROR(__xludf.DUMMYFUNCTION("""COMPUTED_VALUE"""),"")</f>
        <v/>
      </c>
      <c r="H8739" s="17" t="str">
        <f>IFERROR(__xludf.DUMMYFUNCTION("""COMPUTED_VALUE"""),"")</f>
        <v/>
      </c>
      <c r="I8739" s="17" t="str">
        <f>IFERROR(__xludf.DUMMYFUNCTION("""COMPUTED_VALUE"""),"")</f>
        <v/>
      </c>
      <c r="J8739" s="17" t="str">
        <f>IFERROR(__xludf.DUMMYFUNCTION("""COMPUTED_VALUE"""),"")</f>
        <v/>
      </c>
      <c r="K8739" s="17" t="str">
        <f>IFERROR(__xludf.DUMMYFUNCTION("""COMPUTED_VALUE"""),"")</f>
        <v/>
      </c>
      <c r="L8739" s="17" t="str">
        <f>IFERROR(__xludf.DUMMYFUNCTION("""COMPUTED_VALUE"""),"")</f>
        <v/>
      </c>
      <c r="M8739" s="17" t="str">
        <f>IFERROR(__xludf.DUMMYFUNCTION("""COMPUTED_VALUE"""),"")</f>
        <v/>
      </c>
      <c r="N8739" s="17" t="str">
        <f>IFERROR(__xludf.DUMMYFUNCTION("""COMPUTED_VALUE"""),"")</f>
        <v/>
      </c>
      <c r="O8739" s="17" t="str">
        <f>IFERROR(__xludf.DUMMYFUNCTION("""COMPUTED_VALUE"""),"")</f>
        <v/>
      </c>
      <c r="P8739" s="17" t="str">
        <f>IFERROR(__xludf.DUMMYFUNCTION("""COMPUTED_VALUE"""),"")</f>
        <v/>
      </c>
      <c r="Q8739" s="17" t="str">
        <f>IFERROR(__xludf.DUMMYFUNCTION("""COMPUTED_VALUE"""),"")</f>
        <v/>
      </c>
      <c r="R8739" s="17" t="str">
        <f>IFERROR(__xludf.DUMMYFUNCTION("""COMPUTED_VALUE"""),"")</f>
        <v/>
      </c>
    </row>
    <row r="8740">
      <c r="A8740" s="15">
        <f>IFERROR(__xludf.DUMMYFUNCTION("""COMPUTED_VALUE"""),45251.0)</f>
        <v>45251</v>
      </c>
      <c r="B8740" s="16" t="str">
        <f>IFERROR(__xludf.DUMMYFUNCTION("""COMPUTED_VALUE"""),"Deivi Alejandro Quintero Corrales")</f>
        <v>Deivi Alejandro Quintero Corrales</v>
      </c>
      <c r="C8740" s="15" t="str">
        <f>IFERROR(__xludf.DUMMYFUNCTION("""COMPUTED_VALUE"""),"BOGOTÁ")</f>
        <v>BOGOTÁ</v>
      </c>
      <c r="D8740" s="15" t="str">
        <f>IFERROR(__xludf.DUMMYFUNCTION("""COMPUTED_VALUE"""),"MEDELLÍN")</f>
        <v>MEDELLÍN</v>
      </c>
      <c r="E8740" s="15" t="str">
        <f>IFERROR(__xludf.DUMMYFUNCTION("""COMPUTED_VALUE"""),"Puro Verde")</f>
        <v>Puro Verde</v>
      </c>
      <c r="F8740" s="17" t="str">
        <f>IFERROR(__xludf.DUMMYFUNCTION("""COMPUTED_VALUE"""),"CR 16A # 77-23 / LOCAL 4 / BARRIO EL LAGO")</f>
        <v>CR 16A # 77-23 / LOCAL 4 / BARRIO EL LAGO</v>
      </c>
      <c r="G8740" s="15" t="str">
        <f>IFERROR(__xludf.DUMMYFUNCTION("""COMPUTED_VALUE"""),"DANDO CUERDA")</f>
        <v>DANDO CUERDA</v>
      </c>
      <c r="H8740" s="16">
        <f>IFERROR(__xludf.DUMMYFUNCTION("""COMPUTED_VALUE"""),17411.0)</f>
        <v>17411</v>
      </c>
      <c r="I8740" s="18">
        <f>IFERROR(__xludf.DUMMYFUNCTION("""COMPUTED_VALUE"""),55.0)</f>
        <v>55</v>
      </c>
      <c r="J8740" s="18">
        <f>IFERROR(__xludf.DUMMYFUNCTION("""COMPUTED_VALUE"""),45.0)</f>
        <v>45</v>
      </c>
      <c r="K8740" s="18">
        <f>IFERROR(__xludf.DUMMYFUNCTION("""COMPUTED_VALUE"""),52.5)</f>
        <v>52.5</v>
      </c>
      <c r="L8740" s="17">
        <f>IFERROR(__xludf.DUMMYFUNCTION("""COMPUTED_VALUE"""),3.163816691E9)</f>
        <v>3163816691</v>
      </c>
      <c r="M8740" s="17"/>
      <c r="N8740" s="17"/>
      <c r="O8740" s="17"/>
      <c r="P8740" s="17" t="b">
        <f>IFERROR(__xludf.DUMMYFUNCTION("""COMPUTED_VALUE"""),FALSE)</f>
        <v>0</v>
      </c>
      <c r="Q8740" s="20" t="str">
        <f>IFERROR(__xludf.DUMMYFUNCTION("""COMPUTED_VALUE"""),"")</f>
        <v/>
      </c>
      <c r="R8740" s="21" t="str">
        <f>IFERROR(__xludf.DUMMYFUNCTION("""COMPUTED_VALUE"""),"https://drive.google.com/file/d/1GeudDdrhShknyaP7BQUXSk_eSRYG0g-N/view?usp=drivesdk")</f>
        <v>https://drive.google.com/file/d/1GeudDdrhShknyaP7BQUXSk_eSRYG0g-N/view?usp=drivesdk</v>
      </c>
    </row>
    <row r="8741">
      <c r="A8741" s="15">
        <f>IFERROR(__xludf.DUMMYFUNCTION("""COMPUTED_VALUE"""),45251.0)</f>
        <v>45251</v>
      </c>
      <c r="B8741" s="16" t="str">
        <f>IFERROR(__xludf.DUMMYFUNCTION("""COMPUTED_VALUE"""),"Deivi Alejandro Quintero Corrales")</f>
        <v>Deivi Alejandro Quintero Corrales</v>
      </c>
      <c r="C8741" s="15" t="str">
        <f>IFERROR(__xludf.DUMMYFUNCTION("""COMPUTED_VALUE"""),"PEREIRA")</f>
        <v>PEREIRA</v>
      </c>
      <c r="D8741" s="15" t="str">
        <f>IFERROR(__xludf.DUMMYFUNCTION("""COMPUTED_VALUE"""),"BOGOTÁ")</f>
        <v>BOGOTÁ</v>
      </c>
      <c r="E8741" s="15" t="str">
        <f>IFERROR(__xludf.DUMMYFUNCTION("""COMPUTED_VALUE"""),"Instinto alimento vital")</f>
        <v>Instinto alimento vital</v>
      </c>
      <c r="F8741" s="17" t="str">
        <f>IFERROR(__xludf.DUMMYFUNCTION("""COMPUTED_VALUE"""),"CRA 5 # 18 - 43 / MERCANCIA REQUIERE CONGELACION - CONTACTO CON MOISES")</f>
        <v>CRA 5 # 18 - 43 / MERCANCIA REQUIERE CONGELACION - CONTACTO CON MOISES</v>
      </c>
      <c r="G8741" s="15" t="str">
        <f>IFERROR(__xludf.DUMMYFUNCTION("""COMPUTED_VALUE"""),"BODEGA PEREIRA")</f>
        <v>BODEGA PEREIRA</v>
      </c>
      <c r="H8741" s="16">
        <f>IFERROR(__xludf.DUMMYFUNCTION("""COMPUTED_VALUE"""),17338.0)</f>
        <v>17338</v>
      </c>
      <c r="I8741" s="17"/>
      <c r="J8741" s="17"/>
      <c r="K8741" s="17"/>
      <c r="L8741" s="17">
        <f>IFERROR(__xludf.DUMMYFUNCTION("""COMPUTED_VALUE"""),3.008252529E9)</f>
        <v>3008252529</v>
      </c>
      <c r="M8741" s="17"/>
      <c r="N8741" s="17"/>
      <c r="O8741" s="17"/>
      <c r="P8741" s="17" t="b">
        <f>IFERROR(__xludf.DUMMYFUNCTION("""COMPUTED_VALUE"""),FALSE)</f>
        <v>0</v>
      </c>
      <c r="Q8741" s="20" t="str">
        <f>IFERROR(__xludf.DUMMYFUNCTION("""COMPUTED_VALUE"""),"")</f>
        <v/>
      </c>
      <c r="R8741" s="21" t="str">
        <f>IFERROR(__xludf.DUMMYFUNCTION("""COMPUTED_VALUE"""),"https://drive.google.com/file/d/1wQar5f2-t3fEfS5WcLOeY9UrVzwDNsIP/view?usp=drivesdk")</f>
        <v>https://drive.google.com/file/d/1wQar5f2-t3fEfS5WcLOeY9UrVzwDNsIP/view?usp=drivesdk</v>
      </c>
    </row>
    <row r="8742">
      <c r="A8742" s="15">
        <f>IFERROR(__xludf.DUMMYFUNCTION("""COMPUTED_VALUE"""),45251.0)</f>
        <v>45251</v>
      </c>
      <c r="B8742" s="16" t="str">
        <f>IFERROR(__xludf.DUMMYFUNCTION("""COMPUTED_VALUE"""),"Deivi Alejandro Quintero Corrales")</f>
        <v>Deivi Alejandro Quintero Corrales</v>
      </c>
      <c r="C8742" s="15" t="str">
        <f>IFERROR(__xludf.DUMMYFUNCTION("""COMPUTED_VALUE"""),"PEREIRA")</f>
        <v>PEREIRA</v>
      </c>
      <c r="D8742" s="15" t="str">
        <f>IFERROR(__xludf.DUMMYFUNCTION("""COMPUTED_VALUE"""),"BOGOTÁ")</f>
        <v>BOGOTÁ</v>
      </c>
      <c r="E8742" s="15" t="str">
        <f>IFERROR(__xludf.DUMMYFUNCTION("""COMPUTED_VALUE"""),"Instinto alimento vital")</f>
        <v>Instinto alimento vital</v>
      </c>
      <c r="F8742" s="17" t="str">
        <f>IFERROR(__xludf.DUMMYFUNCTION("""COMPUTED_VALUE"""),"CRA 5 # 18 - 43 / MERCANCIA REQUIERE CONGELACION - CONTACTO CON MOISES")</f>
        <v>CRA 5 # 18 - 43 / MERCANCIA REQUIERE CONGELACION - CONTACTO CON MOISES</v>
      </c>
      <c r="G8742" s="15" t="str">
        <f>IFERROR(__xludf.DUMMYFUNCTION("""COMPUTED_VALUE"""),"BODEGA PEREIRA")</f>
        <v>BODEGA PEREIRA</v>
      </c>
      <c r="H8742" s="16">
        <f>IFERROR(__xludf.DUMMYFUNCTION("""COMPUTED_VALUE"""),17502.0)</f>
        <v>17502</v>
      </c>
      <c r="I8742" s="17"/>
      <c r="J8742" s="17"/>
      <c r="K8742" s="17"/>
      <c r="L8742" s="17">
        <f>IFERROR(__xludf.DUMMYFUNCTION("""COMPUTED_VALUE"""),3.008252529E9)</f>
        <v>3008252529</v>
      </c>
      <c r="M8742" s="17"/>
      <c r="N8742" s="17"/>
      <c r="O8742" s="17"/>
      <c r="P8742" s="17" t="b">
        <f>IFERROR(__xludf.DUMMYFUNCTION("""COMPUTED_VALUE"""),FALSE)</f>
        <v>0</v>
      </c>
      <c r="Q8742" s="20" t="str">
        <f>IFERROR(__xludf.DUMMYFUNCTION("""COMPUTED_VALUE"""),"")</f>
        <v/>
      </c>
      <c r="R8742" s="22" t="str">
        <f>IFERROR(__xludf.DUMMYFUNCTION("""COMPUTED_VALUE"""),"")</f>
        <v/>
      </c>
    </row>
    <row r="8743">
      <c r="A8743" s="15">
        <f>IFERROR(__xludf.DUMMYFUNCTION("""COMPUTED_VALUE"""),45251.0)</f>
        <v>45251</v>
      </c>
      <c r="B8743" s="16" t="str">
        <f>IFERROR(__xludf.DUMMYFUNCTION("""COMPUTED_VALUE"""),"Deivi Alejandro Quintero Corrales")</f>
        <v>Deivi Alejandro Quintero Corrales</v>
      </c>
      <c r="C8743" s="15" t="str">
        <f>IFERROR(__xludf.DUMMYFUNCTION("""COMPUTED_VALUE"""),"PEREIRA")</f>
        <v>PEREIRA</v>
      </c>
      <c r="D8743" s="15" t="str">
        <f>IFERROR(__xludf.DUMMYFUNCTION("""COMPUTED_VALUE"""),"BOGOTÁ")</f>
        <v>BOGOTÁ</v>
      </c>
      <c r="E8743" s="15" t="str">
        <f>IFERROR(__xludf.DUMMYFUNCTION("""COMPUTED_VALUE"""),"LINA PAOLA RAMIREZ GOMEZ - EVA MAZZITA")</f>
        <v>LINA PAOLA RAMIREZ GOMEZ - EVA MAZZITA</v>
      </c>
      <c r="F8743" s="17" t="str">
        <f>IFERROR(__xludf.DUMMYFUNCTION("""COMPUTED_VALUE"""),"Av las Américas 87-12 / conjunto residencial San Sebastián torre 5 apto 402 MARTHA tirado preguntar")</f>
        <v>Av las Américas 87-12 / conjunto residencial San Sebastián torre 5 apto 402 MARTHA tirado preguntar</v>
      </c>
      <c r="G8743" s="15" t="str">
        <f>IFERROR(__xludf.DUMMYFUNCTION("""COMPUTED_VALUE"""),"CAROLINA RIOS GARCIA")</f>
        <v>CAROLINA RIOS GARCIA</v>
      </c>
      <c r="H8743" s="16">
        <f>IFERROR(__xludf.DUMMYFUNCTION("""COMPUTED_VALUE"""),17473.0)</f>
        <v>17473</v>
      </c>
      <c r="I8743" s="17"/>
      <c r="J8743" s="17"/>
      <c r="K8743" s="17"/>
      <c r="L8743" s="17">
        <f>IFERROR(__xludf.DUMMYFUNCTION("""COMPUTED_VALUE"""),3.235815413E9)</f>
        <v>3235815413</v>
      </c>
      <c r="M8743" s="17"/>
      <c r="N8743" s="17"/>
      <c r="O8743" s="17"/>
      <c r="P8743" s="17" t="b">
        <f>IFERROR(__xludf.DUMMYFUNCTION("""COMPUTED_VALUE"""),FALSE)</f>
        <v>0</v>
      </c>
      <c r="Q8743" s="20" t="str">
        <f>IFERROR(__xludf.DUMMYFUNCTION("""COMPUTED_VALUE"""),"")</f>
        <v/>
      </c>
      <c r="R8743" s="21" t="str">
        <f>IFERROR(__xludf.DUMMYFUNCTION("""COMPUTED_VALUE"""),"https://drive.google.com/file/d/197ocXqQIw8SrpX4r-HJsi5WgF4mHHNht/view?usp=drivesdk")</f>
        <v>https://drive.google.com/file/d/197ocXqQIw8SrpX4r-HJsi5WgF4mHHNht/view?usp=drivesdk</v>
      </c>
    </row>
    <row r="8744">
      <c r="A8744" s="15">
        <f>IFERROR(__xludf.DUMMYFUNCTION("""COMPUTED_VALUE"""),45251.0)</f>
        <v>45251</v>
      </c>
      <c r="B8744" s="16" t="str">
        <f>IFERROR(__xludf.DUMMYFUNCTION("""COMPUTED_VALUE"""),"Deivi Alejandro Quintero Corrales")</f>
        <v>Deivi Alejandro Quintero Corrales</v>
      </c>
      <c r="C8744" s="15" t="str">
        <f>IFERROR(__xludf.DUMMYFUNCTION("""COMPUTED_VALUE"""),"PEREIRA")</f>
        <v>PEREIRA</v>
      </c>
      <c r="D8744" s="15" t="str">
        <f>IFERROR(__xludf.DUMMYFUNCTION("""COMPUTED_VALUE"""),"BOGOTÁ")</f>
        <v>BOGOTÁ</v>
      </c>
      <c r="E8744" s="15" t="str">
        <f>IFERROR(__xludf.DUMMYFUNCTION("""COMPUTED_VALUE"""),"LINA PAOLA RAMIREZ GOMEZ - EVA MAZZITA")</f>
        <v>LINA PAOLA RAMIREZ GOMEZ - EVA MAZZITA</v>
      </c>
      <c r="F8744" s="17" t="str">
        <f>IFERROR(__xludf.DUMMYFUNCTION("""COMPUTED_VALUE"""),"Cra 15 #171-85 / Barrio el 25 Esperanza Galicia por el parque ukumary")</f>
        <v>Cra 15 #171-85 / Barrio el 25 Esperanza Galicia por el parque ukumary</v>
      </c>
      <c r="G8744" s="15" t="str">
        <f>IFERROR(__xludf.DUMMYFUNCTION("""COMPUTED_VALUE"""),"DIANA CAROLINA MARIN")</f>
        <v>DIANA CAROLINA MARIN</v>
      </c>
      <c r="H8744" s="16">
        <f>IFERROR(__xludf.DUMMYFUNCTION("""COMPUTED_VALUE"""),17474.0)</f>
        <v>17474</v>
      </c>
      <c r="I8744" s="17"/>
      <c r="J8744" s="17"/>
      <c r="K8744" s="17"/>
      <c r="L8744" s="17">
        <f>IFERROR(__xludf.DUMMYFUNCTION("""COMPUTED_VALUE"""),3.23487056E9)</f>
        <v>3234870560</v>
      </c>
      <c r="M8744" s="17"/>
      <c r="N8744" s="17"/>
      <c r="O8744" s="17"/>
      <c r="P8744" s="17" t="b">
        <f>IFERROR(__xludf.DUMMYFUNCTION("""COMPUTED_VALUE"""),FALSE)</f>
        <v>0</v>
      </c>
      <c r="Q8744" s="20" t="str">
        <f>IFERROR(__xludf.DUMMYFUNCTION("""COMPUTED_VALUE"""),"")</f>
        <v/>
      </c>
      <c r="R8744" s="21" t="str">
        <f>IFERROR(__xludf.DUMMYFUNCTION("""COMPUTED_VALUE"""),"https://drive.google.com/file/d/15AX0VAqFqBrArqIEWfkpaeNXYVaGxMyq/view?usp=drivesdk")</f>
        <v>https://drive.google.com/file/d/15AX0VAqFqBrArqIEWfkpaeNXYVaGxMyq/view?usp=drivesdk</v>
      </c>
    </row>
    <row r="8745">
      <c r="A8745" s="15">
        <f>IFERROR(__xludf.DUMMYFUNCTION("""COMPUTED_VALUE"""),45251.0)</f>
        <v>45251</v>
      </c>
      <c r="B8745" s="16" t="str">
        <f>IFERROR(__xludf.DUMMYFUNCTION("""COMPUTED_VALUE"""),"Deivi Alejandro Quintero Corrales")</f>
        <v>Deivi Alejandro Quintero Corrales</v>
      </c>
      <c r="C8745" s="15" t="str">
        <f>IFERROR(__xludf.DUMMYFUNCTION("""COMPUTED_VALUE"""),"PEREIRA")</f>
        <v>PEREIRA</v>
      </c>
      <c r="D8745" s="15" t="str">
        <f>IFERROR(__xludf.DUMMYFUNCTION("""COMPUTED_VALUE"""),"BOGOTÁ")</f>
        <v>BOGOTÁ</v>
      </c>
      <c r="E8745" s="15" t="str">
        <f>IFERROR(__xludf.DUMMYFUNCTION("""COMPUTED_VALUE"""),"Loomifoods")</f>
        <v>Loomifoods</v>
      </c>
      <c r="F8745" s="17" t="str">
        <f>IFERROR(__xludf.DUMMYFUNCTION("""COMPUTED_VALUE"""),"Calle 151 18-03  / manzana 7 casa 19 / reservas del campo, ")</f>
        <v>Calle 151 18-03  / manzana 7 casa 19 / reservas del campo, </v>
      </c>
      <c r="G8745" s="15" t="str">
        <f>IFERROR(__xludf.DUMMYFUNCTION("""COMPUTED_VALUE"""),"Nathalia Toro")</f>
        <v>Nathalia Toro</v>
      </c>
      <c r="H8745" s="16">
        <f>IFERROR(__xludf.DUMMYFUNCTION("""COMPUTED_VALUE"""),17450.0)</f>
        <v>17450</v>
      </c>
      <c r="I8745" s="18">
        <f>IFERROR(__xludf.DUMMYFUNCTION("""COMPUTED_VALUE"""),19.0)</f>
        <v>19</v>
      </c>
      <c r="J8745" s="18">
        <f>IFERROR(__xludf.DUMMYFUNCTION("""COMPUTED_VALUE"""),10.0)</f>
        <v>10</v>
      </c>
      <c r="K8745" s="18">
        <f>IFERROR(__xludf.DUMMYFUNCTION("""COMPUTED_VALUE"""),16.0)</f>
        <v>16</v>
      </c>
      <c r="L8745" s="17">
        <f>IFERROR(__xludf.DUMMYFUNCTION("""COMPUTED_VALUE"""),3.113717211E9)</f>
        <v>3113717211</v>
      </c>
      <c r="M8745" s="17"/>
      <c r="N8745" s="17"/>
      <c r="O8745" s="17"/>
      <c r="P8745" s="17" t="b">
        <f>IFERROR(__xludf.DUMMYFUNCTION("""COMPUTED_VALUE"""),FALSE)</f>
        <v>0</v>
      </c>
      <c r="Q8745" s="20" t="str">
        <f>IFERROR(__xludf.DUMMYFUNCTION("""COMPUTED_VALUE"""),"")</f>
        <v/>
      </c>
      <c r="R8745" s="21" t="str">
        <f>IFERROR(__xludf.DUMMYFUNCTION("""COMPUTED_VALUE"""),"https://drive.google.com/file/d/11EliVASrJ5lwwX4PxopltAnZCCx2fEmh/view?usp=drivesdk")</f>
        <v>https://drive.google.com/file/d/11EliVASrJ5lwwX4PxopltAnZCCx2fEmh/view?usp=drivesdk</v>
      </c>
    </row>
    <row r="8746">
      <c r="A8746" s="15">
        <f>IFERROR(__xludf.DUMMYFUNCTION("""COMPUTED_VALUE"""),45251.0)</f>
        <v>45251</v>
      </c>
      <c r="B8746" s="16" t="str">
        <f>IFERROR(__xludf.DUMMYFUNCTION("""COMPUTED_VALUE"""),"Deivi Alejandro Quintero Corrales")</f>
        <v>Deivi Alejandro Quintero Corrales</v>
      </c>
      <c r="C8746" s="15" t="str">
        <f>IFERROR(__xludf.DUMMYFUNCTION("""COMPUTED_VALUE"""),"PEREIRA")</f>
        <v>PEREIRA</v>
      </c>
      <c r="D8746" s="15" t="str">
        <f>IFERROR(__xludf.DUMMYFUNCTION("""COMPUTED_VALUE"""),"BOGOTÁ")</f>
        <v>BOGOTÁ</v>
      </c>
      <c r="E8746" s="15" t="str">
        <f>IFERROR(__xludf.DUMMYFUNCTION("""COMPUTED_VALUE"""),"PAN DE WAFFLE")</f>
        <v>PAN DE WAFFLE</v>
      </c>
      <c r="F8746" s="17" t="str">
        <f>IFERROR(__xludf.DUMMYFUNCTION("""COMPUTED_VALUE"""),"VITA ECO MARKET / Carrera 14 # 12 - 55")</f>
        <v>VITA ECO MARKET / Carrera 14 # 12 - 55</v>
      </c>
      <c r="G8746" s="15" t="str">
        <f>IFERROR(__xludf.DUMMYFUNCTION("""COMPUTED_VALUE"""),"VITA ECO MARKET")</f>
        <v>VITA ECO MARKET</v>
      </c>
      <c r="H8746" s="16">
        <f>IFERROR(__xludf.DUMMYFUNCTION("""COMPUTED_VALUE"""),17461.0)</f>
        <v>17461</v>
      </c>
      <c r="I8746" s="17"/>
      <c r="J8746" s="17"/>
      <c r="K8746" s="17"/>
      <c r="L8746" s="17">
        <f>IFERROR(__xludf.DUMMYFUNCTION("""COMPUTED_VALUE"""),3.215501948E9)</f>
        <v>3215501948</v>
      </c>
      <c r="M8746" s="17"/>
      <c r="N8746" s="17"/>
      <c r="O8746" s="17"/>
      <c r="P8746" s="17" t="b">
        <f>IFERROR(__xludf.DUMMYFUNCTION("""COMPUTED_VALUE"""),FALSE)</f>
        <v>0</v>
      </c>
      <c r="Q8746" s="20" t="str">
        <f>IFERROR(__xludf.DUMMYFUNCTION("""COMPUTED_VALUE"""),"")</f>
        <v/>
      </c>
      <c r="R8746" s="21" t="str">
        <f>IFERROR(__xludf.DUMMYFUNCTION("""COMPUTED_VALUE"""),"https://drive.google.com/file/d/1XKYuS-DTfl-Fb8kqWrjAgDfBIg-X-F8K/view?usp=drivesdk")</f>
        <v>https://drive.google.com/file/d/1XKYuS-DTfl-Fb8kqWrjAgDfBIg-X-F8K/view?usp=drivesdk</v>
      </c>
    </row>
    <row r="8747">
      <c r="A8747" s="15">
        <f>IFERROR(__xludf.DUMMYFUNCTION("""COMPUTED_VALUE"""),45251.0)</f>
        <v>45251</v>
      </c>
      <c r="B8747" s="16" t="str">
        <f>IFERROR(__xludf.DUMMYFUNCTION("""COMPUTED_VALUE"""),"Deivi Alejandro Quintero Corrales")</f>
        <v>Deivi Alejandro Quintero Corrales</v>
      </c>
      <c r="C8747" s="15" t="str">
        <f>IFERROR(__xludf.DUMMYFUNCTION("""COMPUTED_VALUE"""),"PEREIRA")</f>
        <v>PEREIRA</v>
      </c>
      <c r="D8747" s="15" t="str">
        <f>IFERROR(__xludf.DUMMYFUNCTION("""COMPUTED_VALUE"""),"BOGOTÁ")</f>
        <v>BOGOTÁ</v>
      </c>
      <c r="E8747" s="15" t="str">
        <f>IFERROR(__xludf.DUMMYFUNCTION("""COMPUTED_VALUE"""),"Spirulina Fresca")</f>
        <v>Spirulina Fresca</v>
      </c>
      <c r="F8747" s="17" t="str">
        <f>IFERROR(__xludf.DUMMYFUNCTION("""COMPUTED_VALUE""")," Carrera 19 10-89  / casa 15 Conjunto villa del pinar  Barrio pinares     / Pereira")</f>
        <v> Carrera 19 10-89  / casa 15 Conjunto villa del pinar  Barrio pinares     / Pereira</v>
      </c>
      <c r="G8747" s="15" t="str">
        <f>IFERROR(__xludf.DUMMYFUNCTION("""COMPUTED_VALUE"""),"Jhonny Lee Chan")</f>
        <v>Jhonny Lee Chan</v>
      </c>
      <c r="H8747" s="16">
        <f>IFERROR(__xludf.DUMMYFUNCTION("""COMPUTED_VALUE"""),17439.0)</f>
        <v>17439</v>
      </c>
      <c r="I8747" s="18">
        <f>IFERROR(__xludf.DUMMYFUNCTION("""COMPUTED_VALUE"""),5.0)</f>
        <v>5</v>
      </c>
      <c r="J8747" s="18">
        <f>IFERROR(__xludf.DUMMYFUNCTION("""COMPUTED_VALUE"""),5.0)</f>
        <v>5</v>
      </c>
      <c r="K8747" s="18">
        <f>IFERROR(__xludf.DUMMYFUNCTION("""COMPUTED_VALUE"""),22.0)</f>
        <v>22</v>
      </c>
      <c r="L8747" s="17">
        <f>IFERROR(__xludf.DUMMYFUNCTION("""COMPUTED_VALUE"""),3.186574828E9)</f>
        <v>3186574828</v>
      </c>
      <c r="M8747" s="17"/>
      <c r="N8747" s="17"/>
      <c r="O8747" s="17"/>
      <c r="P8747" s="17" t="b">
        <f>IFERROR(__xludf.DUMMYFUNCTION("""COMPUTED_VALUE"""),FALSE)</f>
        <v>0</v>
      </c>
      <c r="Q8747" s="20" t="str">
        <f>IFERROR(__xludf.DUMMYFUNCTION("""COMPUTED_VALUE"""),"")</f>
        <v/>
      </c>
      <c r="R8747" s="21" t="str">
        <f>IFERROR(__xludf.DUMMYFUNCTION("""COMPUTED_VALUE"""),"https://drive.google.com/file/d/1Thnw-3lPvqqzh4m3UAQSFc2S6GD9sFOe/view?usp=drivesdk")</f>
        <v>https://drive.google.com/file/d/1Thnw-3lPvqqzh4m3UAQSFc2S6GD9sFOe/view?usp=drivesdk</v>
      </c>
    </row>
    <row r="8748">
      <c r="A8748" s="15">
        <f>IFERROR(__xludf.DUMMYFUNCTION("""COMPUTED_VALUE"""),45251.0)</f>
        <v>45251</v>
      </c>
      <c r="B8748" s="16" t="str">
        <f>IFERROR(__xludf.DUMMYFUNCTION("""COMPUTED_VALUE"""),"Deivi Alejandro Quintero Corrales")</f>
        <v>Deivi Alejandro Quintero Corrales</v>
      </c>
      <c r="C8748" s="15" t="str">
        <f>IFERROR(__xludf.DUMMYFUNCTION("""COMPUTED_VALUE"""),"PEREIRA")</f>
        <v>PEREIRA</v>
      </c>
      <c r="D8748" s="15" t="str">
        <f>IFERROR(__xludf.DUMMYFUNCTION("""COMPUTED_VALUE"""),"MEDELLÍN")</f>
        <v>MEDELLÍN</v>
      </c>
      <c r="E8748" s="15" t="str">
        <f>IFERROR(__xludf.DUMMYFUNCTION("""COMPUTED_VALUE"""),"AREPAS LA MARY")</f>
        <v>AREPAS LA MARY</v>
      </c>
      <c r="F8748" s="17" t="str">
        <f>IFERROR(__xludf.DUMMYFUNCTION("""COMPUTED_VALUE"""),"Av 30 de agosto calle 29 numero 13-05 / TALLER AUTOMOTRIZ")</f>
        <v>Av 30 de agosto calle 29 numero 13-05 / TALLER AUTOMOTRIZ</v>
      </c>
      <c r="G8748" s="15" t="str">
        <f>IFERROR(__xludf.DUMMYFUNCTION("""COMPUTED_VALUE"""),"NATHALIA TAPASCO")</f>
        <v>NATHALIA TAPASCO</v>
      </c>
      <c r="H8748" s="16">
        <f>IFERROR(__xludf.DUMMYFUNCTION("""COMPUTED_VALUE"""),17485.0)</f>
        <v>17485</v>
      </c>
      <c r="I8748" s="17"/>
      <c r="J8748" s="17"/>
      <c r="K8748" s="17"/>
      <c r="L8748" s="17">
        <f>IFERROR(__xludf.DUMMYFUNCTION("""COMPUTED_VALUE"""),3.104713313E9)</f>
        <v>3104713313</v>
      </c>
      <c r="M8748" s="17"/>
      <c r="N8748" s="17"/>
      <c r="O8748" s="17"/>
      <c r="P8748" s="17" t="b">
        <f>IFERROR(__xludf.DUMMYFUNCTION("""COMPUTED_VALUE"""),FALSE)</f>
        <v>0</v>
      </c>
      <c r="Q8748" s="20" t="str">
        <f>IFERROR(__xludf.DUMMYFUNCTION("""COMPUTED_VALUE"""),"")</f>
        <v/>
      </c>
      <c r="R8748" s="21" t="str">
        <f>IFERROR(__xludf.DUMMYFUNCTION("""COMPUTED_VALUE"""),"https://drive.google.com/file/d/1KbTatuoWoz2dG7jIL9A2w6LBNFGNRbPt/view?usp=drivesdk")</f>
        <v>https://drive.google.com/file/d/1KbTatuoWoz2dG7jIL9A2w6LBNFGNRbPt/view?usp=drivesdk</v>
      </c>
    </row>
    <row r="8749">
      <c r="A8749" s="15">
        <f>IFERROR(__xludf.DUMMYFUNCTION("""COMPUTED_VALUE"""),45251.0)</f>
        <v>45251</v>
      </c>
      <c r="B8749" s="16" t="str">
        <f>IFERROR(__xludf.DUMMYFUNCTION("""COMPUTED_VALUE"""),"Deivi Alejandro Quintero Corrales")</f>
        <v>Deivi Alejandro Quintero Corrales</v>
      </c>
      <c r="C8749" s="15" t="str">
        <f>IFERROR(__xludf.DUMMYFUNCTION("""COMPUTED_VALUE"""),"PEREIRA")</f>
        <v>PEREIRA</v>
      </c>
      <c r="D8749" s="15" t="str">
        <f>IFERROR(__xludf.DUMMYFUNCTION("""COMPUTED_VALUE"""),"MEDELLÍN")</f>
        <v>MEDELLÍN</v>
      </c>
      <c r="E8749" s="15" t="str">
        <f>IFERROR(__xludf.DUMMYFUNCTION("""COMPUTED_VALUE"""),"AREPAS LA MARY")</f>
        <v>AREPAS LA MARY</v>
      </c>
      <c r="F8749" s="17" t="str">
        <f>IFERROR(__xludf.DUMMYFUNCTION("""COMPUTED_VALUE"""),"Av 30 de agosto calle 29 numero 13-05 / TALLER AUTOMOTRIZ")</f>
        <v>Av 30 de agosto calle 29 numero 13-05 / TALLER AUTOMOTRIZ</v>
      </c>
      <c r="G8749" s="15" t="str">
        <f>IFERROR(__xludf.DUMMYFUNCTION("""COMPUTED_VALUE"""),"NATHALIA TAPASCO")</f>
        <v>NATHALIA TAPASCO</v>
      </c>
      <c r="H8749" s="16">
        <f>IFERROR(__xludf.DUMMYFUNCTION("""COMPUTED_VALUE"""),17487.0)</f>
        <v>17487</v>
      </c>
      <c r="I8749" s="17"/>
      <c r="J8749" s="17"/>
      <c r="K8749" s="17"/>
      <c r="L8749" s="17">
        <f>IFERROR(__xludf.DUMMYFUNCTION("""COMPUTED_VALUE"""),3.104713313E9)</f>
        <v>3104713313</v>
      </c>
      <c r="M8749" s="17"/>
      <c r="N8749" s="17"/>
      <c r="O8749" s="17"/>
      <c r="P8749" s="17" t="b">
        <f>IFERROR(__xludf.DUMMYFUNCTION("""COMPUTED_VALUE"""),TRUE)</f>
        <v>1</v>
      </c>
      <c r="Q8749" s="20">
        <f>IFERROR(__xludf.DUMMYFUNCTION("""COMPUTED_VALUE"""),45251.76469759259)</f>
        <v>45251.7647</v>
      </c>
      <c r="R8749" s="22" t="str">
        <f>IFERROR(__xludf.DUMMYFUNCTION("""COMPUTED_VALUE"""),"")</f>
        <v/>
      </c>
    </row>
    <row r="8750">
      <c r="A8750" s="15">
        <f>IFERROR(__xludf.DUMMYFUNCTION("""COMPUTED_VALUE"""),45251.0)</f>
        <v>45251</v>
      </c>
      <c r="B8750" s="16" t="str">
        <f>IFERROR(__xludf.DUMMYFUNCTION("""COMPUTED_VALUE"""),"Deivi Alejandro Quintero Corrales")</f>
        <v>Deivi Alejandro Quintero Corrales</v>
      </c>
      <c r="C8750" s="15" t="str">
        <f>IFERROR(__xludf.DUMMYFUNCTION("""COMPUTED_VALUE"""),"PEREIRA")</f>
        <v>PEREIRA</v>
      </c>
      <c r="D8750" s="15" t="str">
        <f>IFERROR(__xludf.DUMMYFUNCTION("""COMPUTED_VALUE"""),"MEDELLÍN")</f>
        <v>MEDELLÍN</v>
      </c>
      <c r="E8750" s="15" t="str">
        <f>IFERROR(__xludf.DUMMYFUNCTION("""COMPUTED_VALUE"""),"Baby Chef")</f>
        <v>Baby Chef</v>
      </c>
      <c r="F8750" s="17" t="str">
        <f>IFERROR(__xludf.DUMMYFUNCTION("""COMPUTED_VALUE"""),"Carrera 12 #110-20 Conjunto Solarum Torre 1 apto 1007 / . / .")</f>
        <v>Carrera 12 #110-20 Conjunto Solarum Torre 1 apto 1007 / . / .</v>
      </c>
      <c r="G8750" s="15" t="str">
        <f>IFERROR(__xludf.DUMMYFUNCTION("""COMPUTED_VALUE"""),"Maria Alejandra Cobo")</f>
        <v>Maria Alejandra Cobo</v>
      </c>
      <c r="H8750" s="16">
        <f>IFERROR(__xludf.DUMMYFUNCTION("""COMPUTED_VALUE"""),17488.0)</f>
        <v>17488</v>
      </c>
      <c r="I8750" s="18">
        <f>IFERROR(__xludf.DUMMYFUNCTION("""COMPUTED_VALUE"""),18.0)</f>
        <v>18</v>
      </c>
      <c r="J8750" s="18">
        <f>IFERROR(__xludf.DUMMYFUNCTION("""COMPUTED_VALUE"""),22.0)</f>
        <v>22</v>
      </c>
      <c r="K8750" s="18">
        <f>IFERROR(__xludf.DUMMYFUNCTION("""COMPUTED_VALUE"""),42.0)</f>
        <v>42</v>
      </c>
      <c r="L8750" s="17">
        <f>IFERROR(__xludf.DUMMYFUNCTION("""COMPUTED_VALUE"""),3.206471502E9)</f>
        <v>3206471502</v>
      </c>
      <c r="M8750" s="17"/>
      <c r="N8750" s="17"/>
      <c r="O8750" s="17"/>
      <c r="P8750" s="17" t="b">
        <f>IFERROR(__xludf.DUMMYFUNCTION("""COMPUTED_VALUE"""),FALSE)</f>
        <v>0</v>
      </c>
      <c r="Q8750" s="20" t="str">
        <f>IFERROR(__xludf.DUMMYFUNCTION("""COMPUTED_VALUE"""),"")</f>
        <v/>
      </c>
      <c r="R8750" s="21" t="str">
        <f>IFERROR(__xludf.DUMMYFUNCTION("""COMPUTED_VALUE"""),"https://drive.google.com/file/d/1nuR5BtCPSoeYoiqJZv5dVOYbCfLjDrHV/view?usp=drivesdk")</f>
        <v>https://drive.google.com/file/d/1nuR5BtCPSoeYoiqJZv5dVOYbCfLjDrHV/view?usp=drivesdk</v>
      </c>
    </row>
    <row r="8751">
      <c r="A8751" s="17" t="str">
        <f>IFERROR(__xludf.DUMMYFUNCTION("""COMPUTED_VALUE"""),"")</f>
        <v/>
      </c>
      <c r="B8751" s="17" t="str">
        <f>IFERROR(__xludf.DUMMYFUNCTION("""COMPUTED_VALUE"""),"")</f>
        <v/>
      </c>
      <c r="C8751" s="17" t="str">
        <f>IFERROR(__xludf.DUMMYFUNCTION("""COMPUTED_VALUE"""),"")</f>
        <v/>
      </c>
      <c r="D8751" s="17" t="str">
        <f>IFERROR(__xludf.DUMMYFUNCTION("""COMPUTED_VALUE"""),"")</f>
        <v/>
      </c>
      <c r="E8751" s="17" t="str">
        <f>IFERROR(__xludf.DUMMYFUNCTION("""COMPUTED_VALUE"""),"")</f>
        <v/>
      </c>
      <c r="F8751" s="17" t="str">
        <f>IFERROR(__xludf.DUMMYFUNCTION("""COMPUTED_VALUE"""),"")</f>
        <v/>
      </c>
      <c r="G8751" s="17" t="str">
        <f>IFERROR(__xludf.DUMMYFUNCTION("""COMPUTED_VALUE"""),"")</f>
        <v/>
      </c>
      <c r="H8751" s="17" t="str">
        <f>IFERROR(__xludf.DUMMYFUNCTION("""COMPUTED_VALUE"""),"")</f>
        <v/>
      </c>
      <c r="I8751" s="17" t="str">
        <f>IFERROR(__xludf.DUMMYFUNCTION("""COMPUTED_VALUE"""),"")</f>
        <v/>
      </c>
      <c r="J8751" s="17" t="str">
        <f>IFERROR(__xludf.DUMMYFUNCTION("""COMPUTED_VALUE"""),"")</f>
        <v/>
      </c>
      <c r="K8751" s="17" t="str">
        <f>IFERROR(__xludf.DUMMYFUNCTION("""COMPUTED_VALUE"""),"")</f>
        <v/>
      </c>
      <c r="L8751" s="17" t="str">
        <f>IFERROR(__xludf.DUMMYFUNCTION("""COMPUTED_VALUE"""),"")</f>
        <v/>
      </c>
      <c r="M8751" s="17" t="str">
        <f>IFERROR(__xludf.DUMMYFUNCTION("""COMPUTED_VALUE"""),"")</f>
        <v/>
      </c>
      <c r="N8751" s="17" t="str">
        <f>IFERROR(__xludf.DUMMYFUNCTION("""COMPUTED_VALUE"""),"")</f>
        <v/>
      </c>
      <c r="O8751" s="17" t="str">
        <f>IFERROR(__xludf.DUMMYFUNCTION("""COMPUTED_VALUE"""),"")</f>
        <v/>
      </c>
      <c r="P8751" s="17" t="str">
        <f>IFERROR(__xludf.DUMMYFUNCTION("""COMPUTED_VALUE"""),"")</f>
        <v/>
      </c>
      <c r="Q8751" s="17" t="str">
        <f>IFERROR(__xludf.DUMMYFUNCTION("""COMPUTED_VALUE"""),"")</f>
        <v/>
      </c>
      <c r="R8751" s="17" t="str">
        <f>IFERROR(__xludf.DUMMYFUNCTION("""COMPUTED_VALUE"""),"")</f>
        <v/>
      </c>
    </row>
    <row r="8752">
      <c r="A8752" s="15">
        <f>IFERROR(__xludf.DUMMYFUNCTION("""COMPUTED_VALUE"""),45251.0)</f>
        <v>45251</v>
      </c>
      <c r="B8752" s="16" t="str">
        <f>IFERROR(__xludf.DUMMYFUNCTION("""COMPUTED_VALUE"""),"Duvan Gabriel Alvarez Giron")</f>
        <v>Duvan Gabriel Alvarez Giron</v>
      </c>
      <c r="C8752" s="15" t="str">
        <f>IFERROR(__xludf.DUMMYFUNCTION("""COMPUTED_VALUE"""),"IBAGUÉ")</f>
        <v>IBAGUÉ</v>
      </c>
      <c r="D8752" s="15" t="str">
        <f>IFERROR(__xludf.DUMMYFUNCTION("""COMPUTED_VALUE"""),"BOGOTÁ")</f>
        <v>BOGOTÁ</v>
      </c>
      <c r="E8752" s="15" t="str">
        <f>IFERROR(__xludf.DUMMYFUNCTION("""COMPUTED_VALUE"""),"Asociacion Agropecuaria Juana Maria")</f>
        <v>Asociacion Agropecuaria Juana Maria</v>
      </c>
      <c r="F8752" s="17" t="str">
        <f>IFERROR(__xludf.DUMMYFUNCTION("""COMPUTED_VALUE"""),"Calle 93 # 7 Sur-90 / torre 7 apto 701 Conjunto Residencial Altagracia")</f>
        <v>Calle 93 # 7 Sur-90 / torre 7 apto 701 Conjunto Residencial Altagracia</v>
      </c>
      <c r="G8752" s="15" t="str">
        <f>IFERROR(__xludf.DUMMYFUNCTION("""COMPUTED_VALUE"""),"Mariam Yasmin Murillo Rubio")</f>
        <v>Mariam Yasmin Murillo Rubio</v>
      </c>
      <c r="H8752" s="16">
        <f>IFERROR(__xludf.DUMMYFUNCTION("""COMPUTED_VALUE"""),17422.0)</f>
        <v>17422</v>
      </c>
      <c r="I8752" s="17"/>
      <c r="J8752" s="17"/>
      <c r="K8752" s="17"/>
      <c r="L8752" s="17">
        <f>IFERROR(__xludf.DUMMYFUNCTION("""COMPUTED_VALUE"""),3.105789664E9)</f>
        <v>3105789664</v>
      </c>
      <c r="M8752" s="17"/>
      <c r="N8752" s="17"/>
      <c r="O8752" s="17"/>
      <c r="P8752" s="17" t="b">
        <f>IFERROR(__xludf.DUMMYFUNCTION("""COMPUTED_VALUE"""),FALSE)</f>
        <v>0</v>
      </c>
      <c r="Q8752" s="20" t="str">
        <f>IFERROR(__xludf.DUMMYFUNCTION("""COMPUTED_VALUE"""),"")</f>
        <v/>
      </c>
      <c r="R8752" s="22" t="str">
        <f>IFERROR(__xludf.DUMMYFUNCTION("""COMPUTED_VALUE"""),"")</f>
        <v/>
      </c>
    </row>
    <row r="8753">
      <c r="A8753" s="15">
        <f>IFERROR(__xludf.DUMMYFUNCTION("""COMPUTED_VALUE"""),45251.0)</f>
        <v>45251</v>
      </c>
      <c r="B8753" s="16" t="str">
        <f>IFERROR(__xludf.DUMMYFUNCTION("""COMPUTED_VALUE"""),"Duvan Gabriel Alvarez Giron")</f>
        <v>Duvan Gabriel Alvarez Giron</v>
      </c>
      <c r="C8753" s="15" t="str">
        <f>IFERROR(__xludf.DUMMYFUNCTION("""COMPUTED_VALUE"""),"IBAGUÉ")</f>
        <v>IBAGUÉ</v>
      </c>
      <c r="D8753" s="15" t="str">
        <f>IFERROR(__xludf.DUMMYFUNCTION("""COMPUTED_VALUE"""),"BOGOTÁ")</f>
        <v>BOGOTÁ</v>
      </c>
      <c r="E8753" s="15" t="str">
        <f>IFERROR(__xludf.DUMMYFUNCTION("""COMPUTED_VALUE"""),"LINA PAOLA RAMIREZ GOMEZ - EVA MAZZITA")</f>
        <v>LINA PAOLA RAMIREZ GOMEZ - EVA MAZZITA</v>
      </c>
      <c r="F8753" s="17" t="str">
        <f>IFERROR(__xludf.DUMMYFUNCTION("""COMPUTED_VALUE"""),"CALLE 93 No. 7SUR - 90 / TORRE 7 APTO 701 CONJUNTO PARQUE RESIDENCIAL ALTAGRACIA")</f>
        <v>CALLE 93 No. 7SUR - 90 / TORRE 7 APTO 701 CONJUNTO PARQUE RESIDENCIAL ALTAGRACIA</v>
      </c>
      <c r="G8753" s="15" t="str">
        <f>IFERROR(__xludf.DUMMYFUNCTION("""COMPUTED_VALUE"""),"MARIAM MURILLO")</f>
        <v>MARIAM MURILLO</v>
      </c>
      <c r="H8753" s="16">
        <f>IFERROR(__xludf.DUMMYFUNCTION("""COMPUTED_VALUE"""),17471.0)</f>
        <v>17471</v>
      </c>
      <c r="I8753" s="17"/>
      <c r="J8753" s="17"/>
      <c r="K8753" s="17"/>
      <c r="L8753" s="17">
        <f>IFERROR(__xludf.DUMMYFUNCTION("""COMPUTED_VALUE"""),3.105789664E9)</f>
        <v>3105789664</v>
      </c>
      <c r="M8753" s="17"/>
      <c r="N8753" s="17"/>
      <c r="O8753" s="17"/>
      <c r="P8753" s="17" t="b">
        <f>IFERROR(__xludf.DUMMYFUNCTION("""COMPUTED_VALUE"""),FALSE)</f>
        <v>0</v>
      </c>
      <c r="Q8753" s="20" t="str">
        <f>IFERROR(__xludf.DUMMYFUNCTION("""COMPUTED_VALUE"""),"")</f>
        <v/>
      </c>
      <c r="R8753" s="22" t="str">
        <f>IFERROR(__xludf.DUMMYFUNCTION("""COMPUTED_VALUE"""),"")</f>
        <v/>
      </c>
    </row>
    <row r="8754">
      <c r="A8754" s="15">
        <f>IFERROR(__xludf.DUMMYFUNCTION("""COMPUTED_VALUE"""),45251.0)</f>
        <v>45251</v>
      </c>
      <c r="B8754" s="16" t="str">
        <f>IFERROR(__xludf.DUMMYFUNCTION("""COMPUTED_VALUE"""),"Duvan Gabriel Alvarez Giron")</f>
        <v>Duvan Gabriel Alvarez Giron</v>
      </c>
      <c r="C8754" s="15" t="str">
        <f>IFERROR(__xludf.DUMMYFUNCTION("""COMPUTED_VALUE"""),"SINCELEJO")</f>
        <v>SINCELEJO</v>
      </c>
      <c r="D8754" s="15" t="str">
        <f>IFERROR(__xludf.DUMMYFUNCTION("""COMPUTED_VALUE"""),"MEDELLÍN")</f>
        <v>MEDELLÍN</v>
      </c>
      <c r="E8754" s="15" t="str">
        <f>IFERROR(__xludf.DUMMYFUNCTION("""COMPUTED_VALUE"""),"Helados swip")</f>
        <v>Helados swip</v>
      </c>
      <c r="F8754" s="17" t="str">
        <f>IFERROR(__xludf.DUMMYFUNCTION("""COMPUTED_VALUE"""),"CALLE 32 # 33 -119  / LOCAL 101 / VENECIA LIVING MALL")</f>
        <v>CALLE 32 # 33 -119  / LOCAL 101 / VENECIA LIVING MALL</v>
      </c>
      <c r="G8754" s="15" t="str">
        <f>IFERROR(__xludf.DUMMYFUNCTION("""COMPUTED_VALUE"""),"OLIVA MERCADO SALUDABLE")</f>
        <v>OLIVA MERCADO SALUDABLE</v>
      </c>
      <c r="H8754" s="16">
        <f>IFERROR(__xludf.DUMMYFUNCTION("""COMPUTED_VALUE"""),17491.0)</f>
        <v>17491</v>
      </c>
      <c r="I8754" s="18">
        <f>IFERROR(__xludf.DUMMYFUNCTION("""COMPUTED_VALUE"""),50.0)</f>
        <v>50</v>
      </c>
      <c r="J8754" s="18">
        <f>IFERROR(__xludf.DUMMYFUNCTION("""COMPUTED_VALUE"""),30.0)</f>
        <v>30</v>
      </c>
      <c r="K8754" s="18">
        <f>IFERROR(__xludf.DUMMYFUNCTION("""COMPUTED_VALUE"""),21.0)</f>
        <v>21</v>
      </c>
      <c r="L8754" s="17">
        <f>IFERROR(__xludf.DUMMYFUNCTION("""COMPUTED_VALUE"""),3.022293728E9)</f>
        <v>3022293728</v>
      </c>
      <c r="M8754" s="17"/>
      <c r="N8754" s="17"/>
      <c r="O8754" s="17"/>
      <c r="P8754" s="17" t="b">
        <f>IFERROR(__xludf.DUMMYFUNCTION("""COMPUTED_VALUE"""),FALSE)</f>
        <v>0</v>
      </c>
      <c r="Q8754" s="20" t="str">
        <f>IFERROR(__xludf.DUMMYFUNCTION("""COMPUTED_VALUE"""),"")</f>
        <v/>
      </c>
      <c r="R8754" s="21" t="str">
        <f>IFERROR(__xludf.DUMMYFUNCTION("""COMPUTED_VALUE"""),"https://drive.google.com/file/d/1dxEMpo2ryFTuHqhz1h-TdcCvcCXnCQV9/view?usp=drivesdk")</f>
        <v>https://drive.google.com/file/d/1dxEMpo2ryFTuHqhz1h-TdcCvcCXnCQV9/view?usp=drivesdk</v>
      </c>
    </row>
    <row r="8755">
      <c r="A8755" s="17" t="str">
        <f>IFERROR(__xludf.DUMMYFUNCTION("""COMPUTED_VALUE"""),"")</f>
        <v/>
      </c>
      <c r="B8755" s="17" t="str">
        <f>IFERROR(__xludf.DUMMYFUNCTION("""COMPUTED_VALUE"""),"")</f>
        <v/>
      </c>
      <c r="C8755" s="17" t="str">
        <f>IFERROR(__xludf.DUMMYFUNCTION("""COMPUTED_VALUE"""),"")</f>
        <v/>
      </c>
      <c r="D8755" s="17" t="str">
        <f>IFERROR(__xludf.DUMMYFUNCTION("""COMPUTED_VALUE"""),"")</f>
        <v/>
      </c>
      <c r="E8755" s="17" t="str">
        <f>IFERROR(__xludf.DUMMYFUNCTION("""COMPUTED_VALUE"""),"")</f>
        <v/>
      </c>
      <c r="F8755" s="17" t="str">
        <f>IFERROR(__xludf.DUMMYFUNCTION("""COMPUTED_VALUE"""),"")</f>
        <v/>
      </c>
      <c r="G8755" s="17" t="str">
        <f>IFERROR(__xludf.DUMMYFUNCTION("""COMPUTED_VALUE"""),"")</f>
        <v/>
      </c>
      <c r="H8755" s="17" t="str">
        <f>IFERROR(__xludf.DUMMYFUNCTION("""COMPUTED_VALUE"""),"")</f>
        <v/>
      </c>
      <c r="I8755" s="17" t="str">
        <f>IFERROR(__xludf.DUMMYFUNCTION("""COMPUTED_VALUE"""),"")</f>
        <v/>
      </c>
      <c r="J8755" s="17" t="str">
        <f>IFERROR(__xludf.DUMMYFUNCTION("""COMPUTED_VALUE"""),"")</f>
        <v/>
      </c>
      <c r="K8755" s="17" t="str">
        <f>IFERROR(__xludf.DUMMYFUNCTION("""COMPUTED_VALUE"""),"")</f>
        <v/>
      </c>
      <c r="L8755" s="17" t="str">
        <f>IFERROR(__xludf.DUMMYFUNCTION("""COMPUTED_VALUE"""),"")</f>
        <v/>
      </c>
      <c r="M8755" s="17" t="str">
        <f>IFERROR(__xludf.DUMMYFUNCTION("""COMPUTED_VALUE"""),"")</f>
        <v/>
      </c>
      <c r="N8755" s="17" t="str">
        <f>IFERROR(__xludf.DUMMYFUNCTION("""COMPUTED_VALUE"""),"")</f>
        <v/>
      </c>
      <c r="O8755" s="17" t="str">
        <f>IFERROR(__xludf.DUMMYFUNCTION("""COMPUTED_VALUE"""),"")</f>
        <v/>
      </c>
      <c r="P8755" s="17" t="str">
        <f>IFERROR(__xludf.DUMMYFUNCTION("""COMPUTED_VALUE"""),"")</f>
        <v/>
      </c>
      <c r="Q8755" s="17" t="str">
        <f>IFERROR(__xludf.DUMMYFUNCTION("""COMPUTED_VALUE"""),"")</f>
        <v/>
      </c>
      <c r="R8755" s="17" t="str">
        <f>IFERROR(__xludf.DUMMYFUNCTION("""COMPUTED_VALUE"""),"")</f>
        <v/>
      </c>
    </row>
    <row r="8756">
      <c r="A8756" s="15">
        <f>IFERROR(__xludf.DUMMYFUNCTION("""COMPUTED_VALUE"""),45251.0)</f>
        <v>45251</v>
      </c>
      <c r="B8756" s="16" t="str">
        <f>IFERROR(__xludf.DUMMYFUNCTION("""COMPUTED_VALUE"""),"Envia")</f>
        <v>Envia</v>
      </c>
      <c r="C8756" s="15" t="str">
        <f>IFERROR(__xludf.DUMMYFUNCTION("""COMPUTED_VALUE"""),"DOS QUEBRADAS")</f>
        <v>DOS QUEBRADAS</v>
      </c>
      <c r="D8756" s="15" t="str">
        <f>IFERROR(__xludf.DUMMYFUNCTION("""COMPUTED_VALUE"""),"BOGOTÁ")</f>
        <v>BOGOTÁ</v>
      </c>
      <c r="E8756" s="15" t="str">
        <f>IFERROR(__xludf.DUMMYFUNCTION("""COMPUTED_VALUE"""),"Asociacion Agropecuaria Juana Maria")</f>
        <v>Asociacion Agropecuaria Juana Maria</v>
      </c>
      <c r="F8756" s="17" t="str">
        <f>IFERROR(__xludf.DUMMYFUNCTION("""COMPUTED_VALUE"""),"Mz 19 Cs 22 colinas del bosque dosquebradas / Dosquebradas")</f>
        <v>Mz 19 Cs 22 colinas del bosque dosquebradas / Dosquebradas</v>
      </c>
      <c r="G8756" s="15" t="str">
        <f>IFERROR(__xludf.DUMMYFUNCTION("""COMPUTED_VALUE"""),"Viviana Paola Jaramillo Figueroa")</f>
        <v>Viviana Paola Jaramillo Figueroa</v>
      </c>
      <c r="H8756" s="16">
        <f>IFERROR(__xludf.DUMMYFUNCTION("""COMPUTED_VALUE"""),17427.0)</f>
        <v>17427</v>
      </c>
      <c r="I8756" s="17"/>
      <c r="J8756" s="17"/>
      <c r="K8756" s="17"/>
      <c r="L8756" s="17">
        <f>IFERROR(__xludf.DUMMYFUNCTION("""COMPUTED_VALUE"""),3.136551321E9)</f>
        <v>3136551321</v>
      </c>
      <c r="M8756" s="17"/>
      <c r="N8756" s="17"/>
      <c r="O8756" s="17"/>
      <c r="P8756" s="17" t="b">
        <f>IFERROR(__xludf.DUMMYFUNCTION("""COMPUTED_VALUE"""),FALSE)</f>
        <v>0</v>
      </c>
      <c r="Q8756" s="20" t="str">
        <f>IFERROR(__xludf.DUMMYFUNCTION("""COMPUTED_VALUE"""),"")</f>
        <v/>
      </c>
      <c r="R8756" s="21" t="str">
        <f>IFERROR(__xludf.DUMMYFUNCTION("""COMPUTED_VALUE"""),"https://drive.google.com/file/d/1qCy9Bhs0rIel_Z1gZhLoBCZ44BNO4lDw/view?usp=drivesdk")</f>
        <v>https://drive.google.com/file/d/1qCy9Bhs0rIel_Z1gZhLoBCZ44BNO4lDw/view?usp=drivesdk</v>
      </c>
    </row>
    <row r="8757">
      <c r="A8757" s="15">
        <f>IFERROR(__xludf.DUMMYFUNCTION("""COMPUTED_VALUE"""),45251.0)</f>
        <v>45251</v>
      </c>
      <c r="B8757" s="16" t="str">
        <f>IFERROR(__xludf.DUMMYFUNCTION("""COMPUTED_VALUE"""),"Envia")</f>
        <v>Envia</v>
      </c>
      <c r="C8757" s="15" t="str">
        <f>IFERROR(__xludf.DUMMYFUNCTION("""COMPUTED_VALUE"""),"ENVIGADO")</f>
        <v>ENVIGADO</v>
      </c>
      <c r="D8757" s="15" t="str">
        <f>IFERROR(__xludf.DUMMYFUNCTION("""COMPUTED_VALUE"""),"BOGOTÁ")</f>
        <v>BOGOTÁ</v>
      </c>
      <c r="E8757" s="15" t="str">
        <f>IFERROR(__xludf.DUMMYFUNCTION("""COMPUTED_VALUE"""),"Top Spun")</f>
        <v>Top Spun</v>
      </c>
      <c r="F8757" s="17" t="str">
        <f>IFERROR(__xludf.DUMMYFUNCTION("""COMPUTED_VALUE"""),"Calle 27sur #25B-64 / unidad Merlot / casa 121")</f>
        <v>Calle 27sur #25B-64 / unidad Merlot / casa 121</v>
      </c>
      <c r="G8757" s="15" t="str">
        <f>IFERROR(__xludf.DUMMYFUNCTION("""COMPUTED_VALUE"""),"Manuela Vásquez Jaramillo")</f>
        <v>Manuela Vásquez Jaramillo</v>
      </c>
      <c r="H8757" s="16">
        <f>IFERROR(__xludf.DUMMYFUNCTION("""COMPUTED_VALUE"""),17416.0)</f>
        <v>17416</v>
      </c>
      <c r="I8757" s="18">
        <f>IFERROR(__xludf.DUMMYFUNCTION("""COMPUTED_VALUE"""),20.0)</f>
        <v>20</v>
      </c>
      <c r="J8757" s="18">
        <f>IFERROR(__xludf.DUMMYFUNCTION("""COMPUTED_VALUE"""),10.0)</f>
        <v>10</v>
      </c>
      <c r="K8757" s="18">
        <f>IFERROR(__xludf.DUMMYFUNCTION("""COMPUTED_VALUE"""),40.0)</f>
        <v>40</v>
      </c>
      <c r="L8757" s="17">
        <f>IFERROR(__xludf.DUMMYFUNCTION("""COMPUTED_VALUE"""),3.146323293E9)</f>
        <v>3146323293</v>
      </c>
      <c r="M8757" s="17"/>
      <c r="N8757" s="17"/>
      <c r="O8757" s="17"/>
      <c r="P8757" s="17" t="b">
        <f>IFERROR(__xludf.DUMMYFUNCTION("""COMPUTED_VALUE"""),FALSE)</f>
        <v>0</v>
      </c>
      <c r="Q8757" s="20" t="str">
        <f>IFERROR(__xludf.DUMMYFUNCTION("""COMPUTED_VALUE"""),"")</f>
        <v/>
      </c>
      <c r="R8757" s="21" t="str">
        <f>IFERROR(__xludf.DUMMYFUNCTION("""COMPUTED_VALUE"""),"https://drive.google.com/file/d/1KmLXU9OFNOLxvb5jkKDiMyv6I6GwzFZa/view?usp=drivesdk")</f>
        <v>https://drive.google.com/file/d/1KmLXU9OFNOLxvb5jkKDiMyv6I6GwzFZa/view?usp=drivesdk</v>
      </c>
    </row>
    <row r="8758">
      <c r="A8758" s="15">
        <f>IFERROR(__xludf.DUMMYFUNCTION("""COMPUTED_VALUE"""),45251.0)</f>
        <v>45251</v>
      </c>
      <c r="B8758" s="16" t="str">
        <f>IFERROR(__xludf.DUMMYFUNCTION("""COMPUTED_VALUE"""),"Envia")</f>
        <v>Envia</v>
      </c>
      <c r="C8758" s="15" t="str">
        <f>IFERROR(__xludf.DUMMYFUNCTION("""COMPUTED_VALUE"""),"FLORIDABLANCA")</f>
        <v>FLORIDABLANCA</v>
      </c>
      <c r="D8758" s="15" t="str">
        <f>IFERROR(__xludf.DUMMYFUNCTION("""COMPUTED_VALUE"""),"BOGOTÁ")</f>
        <v>BOGOTÁ</v>
      </c>
      <c r="E8758" s="15" t="str">
        <f>IFERROR(__xludf.DUMMYFUNCTION("""COMPUTED_VALUE"""),"Asociacion Agropecuaria Juana Maria")</f>
        <v>Asociacion Agropecuaria Juana Maria</v>
      </c>
      <c r="F8758" s="17" t="str">
        <f>IFERROR(__xludf.DUMMYFUNCTION("""COMPUTED_VALUE"""),"Calle 19 #11-37 / Guanatá FLORIDABLANCA")</f>
        <v>Calle 19 #11-37 / Guanatá FLORIDABLANCA</v>
      </c>
      <c r="G8758" s="15" t="str">
        <f>IFERROR(__xludf.DUMMYFUNCTION("""COMPUTED_VALUE"""),"Claudia Gonzalez")</f>
        <v>Claudia Gonzalez</v>
      </c>
      <c r="H8758" s="16">
        <f>IFERROR(__xludf.DUMMYFUNCTION("""COMPUTED_VALUE"""),17420.0)</f>
        <v>17420</v>
      </c>
      <c r="I8758" s="17"/>
      <c r="J8758" s="17"/>
      <c r="K8758" s="17"/>
      <c r="L8758" s="17">
        <f>IFERROR(__xludf.DUMMYFUNCTION("""COMPUTED_VALUE"""),3.002802001E9)</f>
        <v>3002802001</v>
      </c>
      <c r="M8758" s="17"/>
      <c r="N8758" s="17"/>
      <c r="O8758" s="17"/>
      <c r="P8758" s="17" t="b">
        <f>IFERROR(__xludf.DUMMYFUNCTION("""COMPUTED_VALUE"""),FALSE)</f>
        <v>0</v>
      </c>
      <c r="Q8758" s="20" t="str">
        <f>IFERROR(__xludf.DUMMYFUNCTION("""COMPUTED_VALUE"""),"")</f>
        <v/>
      </c>
      <c r="R8758" s="21" t="str">
        <f>IFERROR(__xludf.DUMMYFUNCTION("""COMPUTED_VALUE"""),"https://drive.google.com/file/d/129M9A4WjUEdNDRwPPUYoMQP9pBryXl8_/view?usp=drivesdk")</f>
        <v>https://drive.google.com/file/d/129M9A4WjUEdNDRwPPUYoMQP9pBryXl8_/view?usp=drivesdk</v>
      </c>
    </row>
    <row r="8759">
      <c r="A8759" s="15">
        <f>IFERROR(__xludf.DUMMYFUNCTION("""COMPUTED_VALUE"""),45251.0)</f>
        <v>45251</v>
      </c>
      <c r="B8759" s="16" t="str">
        <f>IFERROR(__xludf.DUMMYFUNCTION("""COMPUTED_VALUE"""),"Envia")</f>
        <v>Envia</v>
      </c>
      <c r="C8759" s="15" t="str">
        <f>IFERROR(__xludf.DUMMYFUNCTION("""COMPUTED_VALUE"""),"MANIZALES")</f>
        <v>MANIZALES</v>
      </c>
      <c r="D8759" s="15" t="str">
        <f>IFERROR(__xludf.DUMMYFUNCTION("""COMPUTED_VALUE"""),"BOGOTÁ")</f>
        <v>BOGOTÁ</v>
      </c>
      <c r="E8759" s="15" t="str">
        <f>IFERROR(__xludf.DUMMYFUNCTION("""COMPUTED_VALUE"""),"Cliente Nuevo")</f>
        <v>Cliente Nuevo</v>
      </c>
      <c r="F8759" s="17" t="str">
        <f>IFERROR(__xludf.DUMMYFUNCTION("""COMPUTED_VALUE"""),"Carrera 37 # 50-15 / Casa empinada / Barrio Guamal ")</f>
        <v>Carrera 37 # 50-15 / Casa empinada / Barrio Guamal </v>
      </c>
      <c r="G8759" s="15" t="str">
        <f>IFERROR(__xludf.DUMMYFUNCTION("""COMPUTED_VALUE"""),"Juan Henao ")</f>
        <v>Juan Henao </v>
      </c>
      <c r="H8759" s="16">
        <f>IFERROR(__xludf.DUMMYFUNCTION("""COMPUTED_VALUE"""),17428.0)</f>
        <v>17428</v>
      </c>
      <c r="I8759" s="18">
        <f>IFERROR(__xludf.DUMMYFUNCTION("""COMPUTED_VALUE"""),55.0)</f>
        <v>55</v>
      </c>
      <c r="J8759" s="18">
        <f>IFERROR(__xludf.DUMMYFUNCTION("""COMPUTED_VALUE"""),45.0)</f>
        <v>45</v>
      </c>
      <c r="K8759" s="18">
        <f>IFERROR(__xludf.DUMMYFUNCTION("""COMPUTED_VALUE"""),29.0)</f>
        <v>29</v>
      </c>
      <c r="L8759" s="17">
        <f>IFERROR(__xludf.DUMMYFUNCTION("""COMPUTED_VALUE"""),3.106036418E9)</f>
        <v>3106036418</v>
      </c>
      <c r="M8759" s="17"/>
      <c r="N8759" s="17"/>
      <c r="O8759" s="17"/>
      <c r="P8759" s="17" t="b">
        <f>IFERROR(__xludf.DUMMYFUNCTION("""COMPUTED_VALUE"""),FALSE)</f>
        <v>0</v>
      </c>
      <c r="Q8759" s="20" t="str">
        <f>IFERROR(__xludf.DUMMYFUNCTION("""COMPUTED_VALUE"""),"")</f>
        <v/>
      </c>
      <c r="R8759" s="21" t="str">
        <f>IFERROR(__xludf.DUMMYFUNCTION("""COMPUTED_VALUE"""),"https://drive.google.com/file/d/1ZiW9Qh-i97AQQfpHR6aiwzgU1hMuIhli/view?usp=drivesdk")</f>
        <v>https://drive.google.com/file/d/1ZiW9Qh-i97AQQfpHR6aiwzgU1hMuIhli/view?usp=drivesdk</v>
      </c>
    </row>
    <row r="8760">
      <c r="A8760" s="15">
        <f>IFERROR(__xludf.DUMMYFUNCTION("""COMPUTED_VALUE"""),45251.0)</f>
        <v>45251</v>
      </c>
      <c r="B8760" s="16" t="str">
        <f>IFERROR(__xludf.DUMMYFUNCTION("""COMPUTED_VALUE"""),"Envia")</f>
        <v>Envia</v>
      </c>
      <c r="C8760" s="15" t="str">
        <f>IFERROR(__xludf.DUMMYFUNCTION("""COMPUTED_VALUE"""),"MANIZALES")</f>
        <v>MANIZALES</v>
      </c>
      <c r="D8760" s="15" t="str">
        <f>IFERROR(__xludf.DUMMYFUNCTION("""COMPUTED_VALUE"""),"MEDELLÍN")</f>
        <v>MEDELLÍN</v>
      </c>
      <c r="E8760" s="15" t="str">
        <f>IFERROR(__xludf.DUMMYFUNCTION("""COMPUTED_VALUE"""),"Todo Bufala")</f>
        <v>Todo Bufala</v>
      </c>
      <c r="F8760" s="17" t="str">
        <f>IFERROR(__xludf.DUMMYFUNCTION("""COMPUTED_VALUE"""),"Calle 66 #23B - 211 / Edifico calle larga, local 5c")</f>
        <v>Calle 66 #23B - 211 / Edifico calle larga, local 5c</v>
      </c>
      <c r="G8760" s="15" t="str">
        <f>IFERROR(__xludf.DUMMYFUNCTION("""COMPUTED_VALUE"""),"Sebastian Perez Pineda")</f>
        <v>Sebastian Perez Pineda</v>
      </c>
      <c r="H8760" s="16">
        <f>IFERROR(__xludf.DUMMYFUNCTION("""COMPUTED_VALUE"""),17429.0)</f>
        <v>17429</v>
      </c>
      <c r="I8760" s="17"/>
      <c r="J8760" s="17"/>
      <c r="K8760" s="17"/>
      <c r="L8760" s="17">
        <f>IFERROR(__xludf.DUMMYFUNCTION("""COMPUTED_VALUE"""),3.106974621E9)</f>
        <v>3106974621</v>
      </c>
      <c r="M8760" s="17"/>
      <c r="N8760" s="17"/>
      <c r="O8760" s="17"/>
      <c r="P8760" s="17" t="b">
        <f>IFERROR(__xludf.DUMMYFUNCTION("""COMPUTED_VALUE"""),FALSE)</f>
        <v>0</v>
      </c>
      <c r="Q8760" s="20" t="str">
        <f>IFERROR(__xludf.DUMMYFUNCTION("""COMPUTED_VALUE"""),"")</f>
        <v/>
      </c>
      <c r="R8760" s="21" t="str">
        <f>IFERROR(__xludf.DUMMYFUNCTION("""COMPUTED_VALUE"""),"https://drive.google.com/file/d/11CFk8gPmMBrhMNbip3PeYh63ix2DhxrO/view?usp=drivesdk")</f>
        <v>https://drive.google.com/file/d/11CFk8gPmMBrhMNbip3PeYh63ix2DhxrO/view?usp=drivesdk</v>
      </c>
    </row>
    <row r="8761">
      <c r="A8761" s="15">
        <f>IFERROR(__xludf.DUMMYFUNCTION("""COMPUTED_VALUE"""),45251.0)</f>
        <v>45251</v>
      </c>
      <c r="B8761" s="16" t="str">
        <f>IFERROR(__xludf.DUMMYFUNCTION("""COMPUTED_VALUE"""),"Envia")</f>
        <v>Envia</v>
      </c>
      <c r="C8761" s="15" t="str">
        <f>IFERROR(__xludf.DUMMYFUNCTION("""COMPUTED_VALUE"""),"MEDELLÍN")</f>
        <v>MEDELLÍN</v>
      </c>
      <c r="D8761" s="15" t="str">
        <f>IFERROR(__xludf.DUMMYFUNCTION("""COMPUTED_VALUE"""),"BOGOTÁ")</f>
        <v>BOGOTÁ</v>
      </c>
      <c r="E8761" s="15" t="str">
        <f>IFERROR(__xludf.DUMMYFUNCTION("""COMPUTED_VALUE"""),"FamiliaReal S.A.S")</f>
        <v>FamiliaReal S.A.S</v>
      </c>
      <c r="F8761" s="17" t="str">
        <f>IFERROR(__xludf.DUMMYFUNCTION("""COMPUTED_VALUE"""),"Calle 4 a sur # 37-67 apto 301. / Edificio torres de Oviedo")</f>
        <v>Calle 4 a sur # 37-67 apto 301. / Edificio torres de Oviedo</v>
      </c>
      <c r="G8761" s="15" t="str">
        <f>IFERROR(__xludf.DUMMYFUNCTION("""COMPUTED_VALUE"""),"Angela Correa")</f>
        <v>Angela Correa</v>
      </c>
      <c r="H8761" s="16">
        <f>IFERROR(__xludf.DUMMYFUNCTION("""COMPUTED_VALUE"""),17342.0)</f>
        <v>17342</v>
      </c>
      <c r="I8761" s="17"/>
      <c r="J8761" s="17"/>
      <c r="K8761" s="17"/>
      <c r="L8761" s="17">
        <f>IFERROR(__xludf.DUMMYFUNCTION("""COMPUTED_VALUE"""),3.183253096E9)</f>
        <v>3183253096</v>
      </c>
      <c r="M8761" s="17"/>
      <c r="N8761" s="17"/>
      <c r="O8761" s="17"/>
      <c r="P8761" s="17" t="b">
        <f>IFERROR(__xludf.DUMMYFUNCTION("""COMPUTED_VALUE"""),FALSE)</f>
        <v>0</v>
      </c>
      <c r="Q8761" s="20" t="str">
        <f>IFERROR(__xludf.DUMMYFUNCTION("""COMPUTED_VALUE"""),"")</f>
        <v/>
      </c>
      <c r="R8761" s="21" t="str">
        <f>IFERROR(__xludf.DUMMYFUNCTION("""COMPUTED_VALUE"""),"https://drive.google.com/file/d/1cKUflVFkVGYBkbFXrBd9BReDQUOY2U_E/view?usp=drivesdk")</f>
        <v>https://drive.google.com/file/d/1cKUflVFkVGYBkbFXrBd9BReDQUOY2U_E/view?usp=drivesdk</v>
      </c>
    </row>
    <row r="8762">
      <c r="A8762" s="15">
        <f>IFERROR(__xludf.DUMMYFUNCTION("""COMPUTED_VALUE"""),45251.0)</f>
        <v>45251</v>
      </c>
      <c r="B8762" s="16" t="str">
        <f>IFERROR(__xludf.DUMMYFUNCTION("""COMPUTED_VALUE"""),"Envia")</f>
        <v>Envia</v>
      </c>
      <c r="C8762" s="15" t="str">
        <f>IFERROR(__xludf.DUMMYFUNCTION("""COMPUTED_VALUE"""),"MEDELLÍN")</f>
        <v>MEDELLÍN</v>
      </c>
      <c r="D8762" s="15" t="str">
        <f>IFERROR(__xludf.DUMMYFUNCTION("""COMPUTED_VALUE"""),"BOGOTÁ")</f>
        <v>BOGOTÁ</v>
      </c>
      <c r="E8762" s="15" t="str">
        <f>IFERROR(__xludf.DUMMYFUNCTION("""COMPUTED_VALUE"""),"Instinto alimento vital")</f>
        <v>Instinto alimento vital</v>
      </c>
      <c r="F8762" s="17" t="str">
        <f>IFERROR(__xludf.DUMMYFUNCTION("""COMPUTED_VALUE"""),"Calle 45 # 79-26 / Dos cuadras abajo de la Lázaro de la América")</f>
        <v>Calle 45 # 79-26 / Dos cuadras abajo de la Lázaro de la América</v>
      </c>
      <c r="G8762" s="15" t="str">
        <f>IFERROR(__xludf.DUMMYFUNCTION("""COMPUTED_VALUE"""),"MADO EXPRESS // JAIME ANDRES BLANDON LOPEZ,")</f>
        <v>MADO EXPRESS // JAIME ANDRES BLANDON LOPEZ,</v>
      </c>
      <c r="H8762" s="16">
        <f>IFERROR(__xludf.DUMMYFUNCTION("""COMPUTED_VALUE"""),17500.0)</f>
        <v>17500</v>
      </c>
      <c r="I8762" s="17"/>
      <c r="J8762" s="17"/>
      <c r="K8762" s="17"/>
      <c r="L8762" s="17">
        <f>IFERROR(__xludf.DUMMYFUNCTION("""COMPUTED_VALUE"""),3.002842264E9)</f>
        <v>3002842264</v>
      </c>
      <c r="M8762" s="17"/>
      <c r="N8762" s="17"/>
      <c r="O8762" s="17"/>
      <c r="P8762" s="17" t="b">
        <f>IFERROR(__xludf.DUMMYFUNCTION("""COMPUTED_VALUE"""),FALSE)</f>
        <v>0</v>
      </c>
      <c r="Q8762" s="20" t="str">
        <f>IFERROR(__xludf.DUMMYFUNCTION("""COMPUTED_VALUE"""),"")</f>
        <v/>
      </c>
      <c r="R8762" s="22" t="str">
        <f>IFERROR(__xludf.DUMMYFUNCTION("""COMPUTED_VALUE"""),"")</f>
        <v/>
      </c>
    </row>
    <row r="8763">
      <c r="A8763" s="15">
        <f>IFERROR(__xludf.DUMMYFUNCTION("""COMPUTED_VALUE"""),45251.0)</f>
        <v>45251</v>
      </c>
      <c r="B8763" s="16" t="str">
        <f>IFERROR(__xludf.DUMMYFUNCTION("""COMPUTED_VALUE"""),"Envia")</f>
        <v>Envia</v>
      </c>
      <c r="C8763" s="15" t="str">
        <f>IFERROR(__xludf.DUMMYFUNCTION("""COMPUTED_VALUE"""),"MEDELLÍN")</f>
        <v>MEDELLÍN</v>
      </c>
      <c r="D8763" s="15" t="str">
        <f>IFERROR(__xludf.DUMMYFUNCTION("""COMPUTED_VALUE"""),"BOGOTÁ")</f>
        <v>BOGOTÁ</v>
      </c>
      <c r="E8763" s="15" t="str">
        <f>IFERROR(__xludf.DUMMYFUNCTION("""COMPUTED_VALUE"""),"Karem foods")</f>
        <v>Karem foods</v>
      </c>
      <c r="F8763" s="17" t="str">
        <f>IFERROR(__xludf.DUMMYFUNCTION("""COMPUTED_VALUE"""),"Diagonal 47A, sobre la, Av. Las Vegas #16a Sur-04  / Av. Las Vegas, Sector, Aguacatala / -")</f>
        <v>Diagonal 47A, sobre la, Av. Las Vegas #16a Sur-04  / Av. Las Vegas, Sector, Aguacatala / -</v>
      </c>
      <c r="G8763" s="15" t="str">
        <f>IFERROR(__xludf.DUMMYFUNCTION("""COMPUTED_VALUE"""),"Libertina Panaderia")</f>
        <v>Libertina Panaderia</v>
      </c>
      <c r="H8763" s="16">
        <f>IFERROR(__xludf.DUMMYFUNCTION("""COMPUTED_VALUE"""),17446.0)</f>
        <v>17446</v>
      </c>
      <c r="I8763" s="18">
        <f>IFERROR(__xludf.DUMMYFUNCTION("""COMPUTED_VALUE"""),30.0)</f>
        <v>30</v>
      </c>
      <c r="J8763" s="18">
        <f>IFERROR(__xludf.DUMMYFUNCTION("""COMPUTED_VALUE"""),20.0)</f>
        <v>20</v>
      </c>
      <c r="K8763" s="18">
        <f>IFERROR(__xludf.DUMMYFUNCTION("""COMPUTED_VALUE"""),30.0)</f>
        <v>30</v>
      </c>
      <c r="L8763" s="17">
        <f>IFERROR(__xludf.DUMMYFUNCTION("""COMPUTED_VALUE"""),3.1174961E9)</f>
        <v>3117496100</v>
      </c>
      <c r="M8763" s="17"/>
      <c r="N8763" s="17"/>
      <c r="O8763" s="17"/>
      <c r="P8763" s="17" t="b">
        <f>IFERROR(__xludf.DUMMYFUNCTION("""COMPUTED_VALUE"""),FALSE)</f>
        <v>0</v>
      </c>
      <c r="Q8763" s="20" t="str">
        <f>IFERROR(__xludf.DUMMYFUNCTION("""COMPUTED_VALUE"""),"")</f>
        <v/>
      </c>
      <c r="R8763" s="21" t="str">
        <f>IFERROR(__xludf.DUMMYFUNCTION("""COMPUTED_VALUE"""),"https://drive.google.com/file/d/19nEOtkcKCoLtZQ1ApIFnRu0rFFA8QWs9/view?usp=drivesdk")</f>
        <v>https://drive.google.com/file/d/19nEOtkcKCoLtZQ1ApIFnRu0rFFA8QWs9/view?usp=drivesdk</v>
      </c>
    </row>
    <row r="8764">
      <c r="A8764" s="15">
        <f>IFERROR(__xludf.DUMMYFUNCTION("""COMPUTED_VALUE"""),45251.0)</f>
        <v>45251</v>
      </c>
      <c r="B8764" s="16" t="str">
        <f>IFERROR(__xludf.DUMMYFUNCTION("""COMPUTED_VALUE"""),"Envia")</f>
        <v>Envia</v>
      </c>
      <c r="C8764" s="15" t="str">
        <f>IFERROR(__xludf.DUMMYFUNCTION("""COMPUTED_VALUE"""),"MEDELLÍN")</f>
        <v>MEDELLÍN</v>
      </c>
      <c r="D8764" s="15" t="str">
        <f>IFERROR(__xludf.DUMMYFUNCTION("""COMPUTED_VALUE"""),"BOGOTÁ")</f>
        <v>BOGOTÁ</v>
      </c>
      <c r="E8764" s="15" t="str">
        <f>IFERROR(__xludf.DUMMYFUNCTION("""COMPUTED_VALUE"""),"KÜKIDOW")</f>
        <v>KÜKIDOW</v>
      </c>
      <c r="F8764" s="17" t="str">
        <f>IFERROR(__xludf.DUMMYFUNCTION("""COMPUTED_VALUE"""),"CARRERA 44 # 19A-20 / PARQUE CENTRAL DEL RIO APTO 1229")</f>
        <v>CARRERA 44 # 19A-20 / PARQUE CENTRAL DEL RIO APTO 1229</v>
      </c>
      <c r="G8764" s="15" t="str">
        <f>IFERROR(__xludf.DUMMYFUNCTION("""COMPUTED_VALUE"""),"MEDELLÍN MEL Y SEB")</f>
        <v>MEDELLÍN MEL Y SEB</v>
      </c>
      <c r="H8764" s="16">
        <f>IFERROR(__xludf.DUMMYFUNCTION("""COMPUTED_VALUE"""),17477.0)</f>
        <v>17477</v>
      </c>
      <c r="I8764" s="17"/>
      <c r="J8764" s="17"/>
      <c r="K8764" s="17"/>
      <c r="L8764" s="17">
        <f>IFERROR(__xludf.DUMMYFUNCTION("""COMPUTED_VALUE"""),3.14886576E9)</f>
        <v>3148865760</v>
      </c>
      <c r="M8764" s="17"/>
      <c r="N8764" s="17"/>
      <c r="O8764" s="17"/>
      <c r="P8764" s="17" t="b">
        <f>IFERROR(__xludf.DUMMYFUNCTION("""COMPUTED_VALUE"""),FALSE)</f>
        <v>0</v>
      </c>
      <c r="Q8764" s="20" t="str">
        <f>IFERROR(__xludf.DUMMYFUNCTION("""COMPUTED_VALUE"""),"")</f>
        <v/>
      </c>
      <c r="R8764" s="22" t="str">
        <f>IFERROR(__xludf.DUMMYFUNCTION("""COMPUTED_VALUE"""),"")</f>
        <v/>
      </c>
    </row>
    <row r="8765">
      <c r="A8765" s="15">
        <f>IFERROR(__xludf.DUMMYFUNCTION("""COMPUTED_VALUE"""),45251.0)</f>
        <v>45251</v>
      </c>
      <c r="B8765" s="16" t="str">
        <f>IFERROR(__xludf.DUMMYFUNCTION("""COMPUTED_VALUE"""),"Envia")</f>
        <v>Envia</v>
      </c>
      <c r="C8765" s="15" t="str">
        <f>IFERROR(__xludf.DUMMYFUNCTION("""COMPUTED_VALUE"""),"MEDELLÍN")</f>
        <v>MEDELLÍN</v>
      </c>
      <c r="D8765" s="15" t="str">
        <f>IFERROR(__xludf.DUMMYFUNCTION("""COMPUTED_VALUE"""),"BOGOTÁ")</f>
        <v>BOGOTÁ</v>
      </c>
      <c r="E8765" s="15" t="str">
        <f>IFERROR(__xludf.DUMMYFUNCTION("""COMPUTED_VALUE"""),"Loomifoods")</f>
        <v>Loomifoods</v>
      </c>
      <c r="F8765" s="17" t="str">
        <f>IFERROR(__xludf.DUMMYFUNCTION("""COMPUTED_VALUE"""),"Cra 15 BA no. 34d - 44 / Interior 201 / medellin")</f>
        <v>Cra 15 BA no. 34d - 44 / Interior 201 / medellin</v>
      </c>
      <c r="G8765" s="15" t="str">
        <f>IFERROR(__xludf.DUMMYFUNCTION("""COMPUTED_VALUE"""),"Daniela Bedoya")</f>
        <v>Daniela Bedoya</v>
      </c>
      <c r="H8765" s="16">
        <f>IFERROR(__xludf.DUMMYFUNCTION("""COMPUTED_VALUE"""),17451.0)</f>
        <v>17451</v>
      </c>
      <c r="I8765" s="18">
        <f>IFERROR(__xludf.DUMMYFUNCTION("""COMPUTED_VALUE"""),19.0)</f>
        <v>19</v>
      </c>
      <c r="J8765" s="18">
        <f>IFERROR(__xludf.DUMMYFUNCTION("""COMPUTED_VALUE"""),10.0)</f>
        <v>10</v>
      </c>
      <c r="K8765" s="18">
        <f>IFERROR(__xludf.DUMMYFUNCTION("""COMPUTED_VALUE"""),16.0)</f>
        <v>16</v>
      </c>
      <c r="L8765" s="17">
        <f>IFERROR(__xludf.DUMMYFUNCTION("""COMPUTED_VALUE"""),3.14672822E9)</f>
        <v>3146728220</v>
      </c>
      <c r="M8765" s="17"/>
      <c r="N8765" s="17"/>
      <c r="O8765" s="17"/>
      <c r="P8765" s="17" t="b">
        <f>IFERROR(__xludf.DUMMYFUNCTION("""COMPUTED_VALUE"""),FALSE)</f>
        <v>0</v>
      </c>
      <c r="Q8765" s="20" t="str">
        <f>IFERROR(__xludf.DUMMYFUNCTION("""COMPUTED_VALUE"""),"")</f>
        <v/>
      </c>
      <c r="R8765" s="21" t="str">
        <f>IFERROR(__xludf.DUMMYFUNCTION("""COMPUTED_VALUE"""),"https://drive.google.com/file/d/1JW2y-P8TvCrJLHlYsXiYmADRW8JeD012/view?usp=drivesdk")</f>
        <v>https://drive.google.com/file/d/1JW2y-P8TvCrJLHlYsXiYmADRW8JeD012/view?usp=drivesdk</v>
      </c>
    </row>
    <row r="8766">
      <c r="A8766" s="15">
        <f>IFERROR(__xludf.DUMMYFUNCTION("""COMPUTED_VALUE"""),45251.0)</f>
        <v>45251</v>
      </c>
      <c r="B8766" s="16" t="str">
        <f>IFERROR(__xludf.DUMMYFUNCTION("""COMPUTED_VALUE"""),"Envia")</f>
        <v>Envia</v>
      </c>
      <c r="C8766" s="15" t="str">
        <f>IFERROR(__xludf.DUMMYFUNCTION("""COMPUTED_VALUE"""),"MEDELLÍN")</f>
        <v>MEDELLÍN</v>
      </c>
      <c r="D8766" s="15" t="str">
        <f>IFERROR(__xludf.DUMMYFUNCTION("""COMPUTED_VALUE"""),"BOGOTÁ")</f>
        <v>BOGOTÁ</v>
      </c>
      <c r="E8766" s="15" t="str">
        <f>IFERROR(__xludf.DUMMYFUNCTION("""COMPUTED_VALUE"""),"Lunchy Kids")</f>
        <v>Lunchy Kids</v>
      </c>
      <c r="F8766" s="17" t="str">
        <f>IFERROR(__xludf.DUMMYFUNCTION("""COMPUTED_VALUE""")," Avenida 26 # 52-140  / unidad Roterdam torre 1 apto 702   / Bello ANT ")</f>
        <v> Avenida 26 # 52-140  / unidad Roterdam torre 1 apto 702   / Bello ANT </v>
      </c>
      <c r="G8766" s="15" t="str">
        <f>IFERROR(__xludf.DUMMYFUNCTION("""COMPUTED_VALUE"""),"Alejandra Jiménez ")</f>
        <v>Alejandra Jiménez </v>
      </c>
      <c r="H8766" s="16">
        <f>IFERROR(__xludf.DUMMYFUNCTION("""COMPUTED_VALUE"""),17436.0)</f>
        <v>17436</v>
      </c>
      <c r="I8766" s="18">
        <f>IFERROR(__xludf.DUMMYFUNCTION("""COMPUTED_VALUE"""),10.0)</f>
        <v>10</v>
      </c>
      <c r="J8766" s="18">
        <f>IFERROR(__xludf.DUMMYFUNCTION("""COMPUTED_VALUE"""),21.0)</f>
        <v>21</v>
      </c>
      <c r="K8766" s="18">
        <f>IFERROR(__xludf.DUMMYFUNCTION("""COMPUTED_VALUE"""),10.0)</f>
        <v>10</v>
      </c>
      <c r="L8766" s="17">
        <f>IFERROR(__xludf.DUMMYFUNCTION("""COMPUTED_VALUE"""),3.136735104E9)</f>
        <v>3136735104</v>
      </c>
      <c r="M8766" s="17"/>
      <c r="N8766" s="17"/>
      <c r="O8766" s="17"/>
      <c r="P8766" s="17" t="b">
        <f>IFERROR(__xludf.DUMMYFUNCTION("""COMPUTED_VALUE"""),FALSE)</f>
        <v>0</v>
      </c>
      <c r="Q8766" s="20" t="str">
        <f>IFERROR(__xludf.DUMMYFUNCTION("""COMPUTED_VALUE"""),"")</f>
        <v/>
      </c>
      <c r="R8766" s="22" t="str">
        <f>IFERROR(__xludf.DUMMYFUNCTION("""COMPUTED_VALUE"""),"")</f>
        <v/>
      </c>
    </row>
    <row r="8767">
      <c r="A8767" s="15">
        <f>IFERROR(__xludf.DUMMYFUNCTION("""COMPUTED_VALUE"""),45251.0)</f>
        <v>45251</v>
      </c>
      <c r="B8767" s="16" t="str">
        <f>IFERROR(__xludf.DUMMYFUNCTION("""COMPUTED_VALUE"""),"Envia")</f>
        <v>Envia</v>
      </c>
      <c r="C8767" s="15" t="str">
        <f>IFERROR(__xludf.DUMMYFUNCTION("""COMPUTED_VALUE"""),"MEDELLÍN")</f>
        <v>MEDELLÍN</v>
      </c>
      <c r="D8767" s="15" t="str">
        <f>IFERROR(__xludf.DUMMYFUNCTION("""COMPUTED_VALUE"""),"BOGOTÁ")</f>
        <v>BOGOTÁ</v>
      </c>
      <c r="E8767" s="15" t="str">
        <f>IFERROR(__xludf.DUMMYFUNCTION("""COMPUTED_VALUE"""),"Ventura Productos Arg")</f>
        <v>Ventura Productos Arg</v>
      </c>
      <c r="F8767" s="17" t="str">
        <f>IFERROR(__xludf.DUMMYFUNCTION("""COMPUTED_VALUE"""),"Carrera 53 numero 73 sur 40 / Urbanizacion Entre Bosques Apartamento 508 Itagui - Antioquia")</f>
        <v>Carrera 53 numero 73 sur 40 / Urbanizacion Entre Bosques Apartamento 508 Itagui - Antioquia</v>
      </c>
      <c r="G8767" s="15" t="str">
        <f>IFERROR(__xludf.DUMMYFUNCTION("""COMPUTED_VALUE"""),"Monica Villa Henao")</f>
        <v>Monica Villa Henao</v>
      </c>
      <c r="H8767" s="16">
        <f>IFERROR(__xludf.DUMMYFUNCTION("""COMPUTED_VALUE"""),17435.0)</f>
        <v>17435</v>
      </c>
      <c r="I8767" s="17"/>
      <c r="J8767" s="17"/>
      <c r="K8767" s="17"/>
      <c r="L8767" s="17">
        <f>IFERROR(__xludf.DUMMYFUNCTION("""COMPUTED_VALUE"""),3.206194085E9)</f>
        <v>3206194085</v>
      </c>
      <c r="M8767" s="17"/>
      <c r="N8767" s="17"/>
      <c r="O8767" s="17"/>
      <c r="P8767" s="17" t="b">
        <f>IFERROR(__xludf.DUMMYFUNCTION("""COMPUTED_VALUE"""),FALSE)</f>
        <v>0</v>
      </c>
      <c r="Q8767" s="20" t="str">
        <f>IFERROR(__xludf.DUMMYFUNCTION("""COMPUTED_VALUE"""),"")</f>
        <v/>
      </c>
      <c r="R8767" s="21" t="str">
        <f>IFERROR(__xludf.DUMMYFUNCTION("""COMPUTED_VALUE"""),"https://drive.google.com/file/d/1HTDS-nO4K0fFlUKfFphQSIAFXHJkJ4Jv/view?usp=drivesdk")</f>
        <v>https://drive.google.com/file/d/1HTDS-nO4K0fFlUKfFphQSIAFXHJkJ4Jv/view?usp=drivesdk</v>
      </c>
    </row>
    <row r="8768">
      <c r="A8768" s="15">
        <f>IFERROR(__xludf.DUMMYFUNCTION("""COMPUTED_VALUE"""),45251.0)</f>
        <v>45251</v>
      </c>
      <c r="B8768" s="16" t="str">
        <f>IFERROR(__xludf.DUMMYFUNCTION("""COMPUTED_VALUE"""),"Envia")</f>
        <v>Envia</v>
      </c>
      <c r="C8768" s="15" t="str">
        <f>IFERROR(__xludf.DUMMYFUNCTION("""COMPUTED_VALUE"""),"SABANETA")</f>
        <v>SABANETA</v>
      </c>
      <c r="D8768" s="15" t="str">
        <f>IFERROR(__xludf.DUMMYFUNCTION("""COMPUTED_VALUE"""),"BOGOTÁ")</f>
        <v>BOGOTÁ</v>
      </c>
      <c r="E8768" s="15" t="str">
        <f>IFERROR(__xludf.DUMMYFUNCTION("""COMPUTED_VALUE"""),"LINA PAOLA RAMIREZ GOMEZ - EVA MAZZITA")</f>
        <v>LINA PAOLA RAMIREZ GOMEZ - EVA MAZZITA</v>
      </c>
      <c r="F8768" s="17" t="str">
        <f>IFERROR(__xludf.DUMMYFUNCTION("""COMPUTED_VALUE"""),"CRA 48 No. 76D SUR - 34 2208 / CRA 48 No. 76D SUR - 34 2208")</f>
        <v>CRA 48 No. 76D SUR - 34 2208 / CRA 48 No. 76D SUR - 34 2208</v>
      </c>
      <c r="G8768" s="15" t="str">
        <f>IFERROR(__xludf.DUMMYFUNCTION("""COMPUTED_VALUE"""),"DANIELA CESPEDES")</f>
        <v>DANIELA CESPEDES</v>
      </c>
      <c r="H8768" s="16">
        <f>IFERROR(__xludf.DUMMYFUNCTION("""COMPUTED_VALUE"""),17482.0)</f>
        <v>17482</v>
      </c>
      <c r="I8768" s="17"/>
      <c r="J8768" s="17"/>
      <c r="K8768" s="17"/>
      <c r="L8768" s="17">
        <f>IFERROR(__xludf.DUMMYFUNCTION("""COMPUTED_VALUE"""),3.207345876E9)</f>
        <v>3207345876</v>
      </c>
      <c r="M8768" s="17"/>
      <c r="N8768" s="17"/>
      <c r="O8768" s="17"/>
      <c r="P8768" s="17" t="b">
        <f>IFERROR(__xludf.DUMMYFUNCTION("""COMPUTED_VALUE"""),FALSE)</f>
        <v>0</v>
      </c>
      <c r="Q8768" s="20" t="str">
        <f>IFERROR(__xludf.DUMMYFUNCTION("""COMPUTED_VALUE"""),"")</f>
        <v/>
      </c>
      <c r="R8768" s="21" t="str">
        <f>IFERROR(__xludf.DUMMYFUNCTION("""COMPUTED_VALUE"""),"https://drive.google.com/file/d/1YVnEtfvEzlnaA_1ypx_gbJ9OdQarGEXE/view?usp=drivesdk")</f>
        <v>https://drive.google.com/file/d/1YVnEtfvEzlnaA_1ypx_gbJ9OdQarGEXE/view?usp=drivesdk</v>
      </c>
    </row>
    <row r="8769">
      <c r="A8769" s="17" t="str">
        <f>IFERROR(__xludf.DUMMYFUNCTION("""COMPUTED_VALUE"""),"")</f>
        <v/>
      </c>
      <c r="B8769" s="17" t="str">
        <f>IFERROR(__xludf.DUMMYFUNCTION("""COMPUTED_VALUE"""),"")</f>
        <v/>
      </c>
      <c r="C8769" s="17" t="str">
        <f>IFERROR(__xludf.DUMMYFUNCTION("""COMPUTED_VALUE"""),"")</f>
        <v/>
      </c>
      <c r="D8769" s="17" t="str">
        <f>IFERROR(__xludf.DUMMYFUNCTION("""COMPUTED_VALUE"""),"")</f>
        <v/>
      </c>
      <c r="E8769" s="17" t="str">
        <f>IFERROR(__xludf.DUMMYFUNCTION("""COMPUTED_VALUE"""),"")</f>
        <v/>
      </c>
      <c r="F8769" s="17" t="str">
        <f>IFERROR(__xludf.DUMMYFUNCTION("""COMPUTED_VALUE"""),"")</f>
        <v/>
      </c>
      <c r="G8769" s="17" t="str">
        <f>IFERROR(__xludf.DUMMYFUNCTION("""COMPUTED_VALUE"""),"")</f>
        <v/>
      </c>
      <c r="H8769" s="17" t="str">
        <f>IFERROR(__xludf.DUMMYFUNCTION("""COMPUTED_VALUE"""),"")</f>
        <v/>
      </c>
      <c r="I8769" s="17" t="str">
        <f>IFERROR(__xludf.DUMMYFUNCTION("""COMPUTED_VALUE"""),"")</f>
        <v/>
      </c>
      <c r="J8769" s="17" t="str">
        <f>IFERROR(__xludf.DUMMYFUNCTION("""COMPUTED_VALUE"""),"")</f>
        <v/>
      </c>
      <c r="K8769" s="17" t="str">
        <f>IFERROR(__xludf.DUMMYFUNCTION("""COMPUTED_VALUE"""),"")</f>
        <v/>
      </c>
      <c r="L8769" s="17" t="str">
        <f>IFERROR(__xludf.DUMMYFUNCTION("""COMPUTED_VALUE"""),"")</f>
        <v/>
      </c>
      <c r="M8769" s="17" t="str">
        <f>IFERROR(__xludf.DUMMYFUNCTION("""COMPUTED_VALUE"""),"")</f>
        <v/>
      </c>
      <c r="N8769" s="17" t="str">
        <f>IFERROR(__xludf.DUMMYFUNCTION("""COMPUTED_VALUE"""),"")</f>
        <v/>
      </c>
      <c r="O8769" s="17" t="str">
        <f>IFERROR(__xludf.DUMMYFUNCTION("""COMPUTED_VALUE"""),"")</f>
        <v/>
      </c>
      <c r="P8769" s="17" t="str">
        <f>IFERROR(__xludf.DUMMYFUNCTION("""COMPUTED_VALUE"""),"")</f>
        <v/>
      </c>
      <c r="Q8769" s="17" t="str">
        <f>IFERROR(__xludf.DUMMYFUNCTION("""COMPUTED_VALUE"""),"")</f>
        <v/>
      </c>
      <c r="R8769" s="17" t="str">
        <f>IFERROR(__xludf.DUMMYFUNCTION("""COMPUTED_VALUE"""),"")</f>
        <v/>
      </c>
    </row>
    <row r="8770">
      <c r="A8770" s="15">
        <f>IFERROR(__xludf.DUMMYFUNCTION("""COMPUTED_VALUE"""),45251.0)</f>
        <v>45251</v>
      </c>
      <c r="B8770" s="16" t="str">
        <f>IFERROR(__xludf.DUMMYFUNCTION("""COMPUTED_VALUE"""),"Jhon Anderson Ceballos Hernandez")</f>
        <v>Jhon Anderson Ceballos Hernandez</v>
      </c>
      <c r="C8770" s="15" t="str">
        <f>IFERROR(__xludf.DUMMYFUNCTION("""COMPUTED_VALUE"""),"MANIZALES")</f>
        <v>MANIZALES</v>
      </c>
      <c r="D8770" s="15" t="str">
        <f>IFERROR(__xludf.DUMMYFUNCTION("""COMPUTED_VALUE"""),"BOGOTÁ")</f>
        <v>BOGOTÁ</v>
      </c>
      <c r="E8770" s="15" t="str">
        <f>IFERROR(__xludf.DUMMYFUNCTION("""COMPUTED_VALUE"""),"LINA PAOLA RAMIREZ GOMEZ - EVA MAZZITA")</f>
        <v>LINA PAOLA RAMIREZ GOMEZ - EVA MAZZITA</v>
      </c>
      <c r="F8770" s="17" t="str">
        <f>IFERROR(__xludf.DUMMYFUNCTION("""COMPUTED_VALUE"""),"Calle 71 #17-24 / apto 1002 Colseguros")</f>
        <v>Calle 71 #17-24 / apto 1002 Colseguros</v>
      </c>
      <c r="G8770" s="15" t="str">
        <f>IFERROR(__xludf.DUMMYFUNCTION("""COMPUTED_VALUE"""),"ADRIANA URIBE")</f>
        <v>ADRIANA URIBE</v>
      </c>
      <c r="H8770" s="16">
        <f>IFERROR(__xludf.DUMMYFUNCTION("""COMPUTED_VALUE"""),17472.0)</f>
        <v>17472</v>
      </c>
      <c r="I8770" s="17"/>
      <c r="J8770" s="17"/>
      <c r="K8770" s="17"/>
      <c r="L8770" s="17">
        <f>IFERROR(__xludf.DUMMYFUNCTION("""COMPUTED_VALUE"""),3.136404224E9)</f>
        <v>3136404224</v>
      </c>
      <c r="M8770" s="17"/>
      <c r="N8770" s="17"/>
      <c r="O8770" s="17"/>
      <c r="P8770" s="17" t="b">
        <f>IFERROR(__xludf.DUMMYFUNCTION("""COMPUTED_VALUE"""),FALSE)</f>
        <v>0</v>
      </c>
      <c r="Q8770" s="20" t="str">
        <f>IFERROR(__xludf.DUMMYFUNCTION("""COMPUTED_VALUE"""),"")</f>
        <v/>
      </c>
      <c r="R8770" s="21" t="str">
        <f>IFERROR(__xludf.DUMMYFUNCTION("""COMPUTED_VALUE"""),"https://drive.google.com/file/d/1yoBWdTbO-uCFV1iHgn0XC-txYz3I8wmD/view?usp=drivesdk")</f>
        <v>https://drive.google.com/file/d/1yoBWdTbO-uCFV1iHgn0XC-txYz3I8wmD/view?usp=drivesdk</v>
      </c>
    </row>
    <row r="8771">
      <c r="A8771" s="15">
        <f>IFERROR(__xludf.DUMMYFUNCTION("""COMPUTED_VALUE"""),45251.0)</f>
        <v>45251</v>
      </c>
      <c r="B8771" s="16" t="str">
        <f>IFERROR(__xludf.DUMMYFUNCTION("""COMPUTED_VALUE"""),"Jhon Anderson Ceballos Hernandez")</f>
        <v>Jhon Anderson Ceballos Hernandez</v>
      </c>
      <c r="C8771" s="15" t="str">
        <f>IFERROR(__xludf.DUMMYFUNCTION("""COMPUTED_VALUE"""),"SABANETA")</f>
        <v>SABANETA</v>
      </c>
      <c r="D8771" s="15" t="str">
        <f>IFERROR(__xludf.DUMMYFUNCTION("""COMPUTED_VALUE"""),"BOGOTÁ")</f>
        <v>BOGOTÁ</v>
      </c>
      <c r="E8771" s="15" t="str">
        <f>IFERROR(__xludf.DUMMYFUNCTION("""COMPUTED_VALUE"""),"LINA PAOLA RAMIREZ GOMEZ - EVA MAZZITA")</f>
        <v>LINA PAOLA RAMIREZ GOMEZ - EVA MAZZITA</v>
      </c>
      <c r="F8771" s="17" t="str">
        <f>IFERROR(__xludf.DUMMYFUNCTION("""COMPUTED_VALUE"""),"Cra 44 No 60 sur 35 / Apto 1809 Urbanización Puerta de Mayorca")</f>
        <v>Cra 44 No 60 sur 35 / Apto 1809 Urbanización Puerta de Mayorca</v>
      </c>
      <c r="G8771" s="15" t="str">
        <f>IFERROR(__xludf.DUMMYFUNCTION("""COMPUTED_VALUE"""),"LINA ISABEL GONZALEZ")</f>
        <v>LINA ISABEL GONZALEZ</v>
      </c>
      <c r="H8771" s="16">
        <f>IFERROR(__xludf.DUMMYFUNCTION("""COMPUTED_VALUE"""),17470.0)</f>
        <v>17470</v>
      </c>
      <c r="I8771" s="17"/>
      <c r="J8771" s="17"/>
      <c r="K8771" s="17"/>
      <c r="L8771" s="17">
        <f>IFERROR(__xludf.DUMMYFUNCTION("""COMPUTED_VALUE"""),3.012163028E9)</f>
        <v>3012163028</v>
      </c>
      <c r="M8771" s="17"/>
      <c r="N8771" s="17"/>
      <c r="O8771" s="17"/>
      <c r="P8771" s="17" t="b">
        <f>IFERROR(__xludf.DUMMYFUNCTION("""COMPUTED_VALUE"""),FALSE)</f>
        <v>0</v>
      </c>
      <c r="Q8771" s="20" t="str">
        <f>IFERROR(__xludf.DUMMYFUNCTION("""COMPUTED_VALUE"""),"")</f>
        <v/>
      </c>
      <c r="R8771" s="21" t="str">
        <f>IFERROR(__xludf.DUMMYFUNCTION("""COMPUTED_VALUE"""),"https://drive.google.com/file/d/17ET9kVSFU6dhZGn3dntHblZ4aPsMyJ4Z/view?usp=drivesdk")</f>
        <v>https://drive.google.com/file/d/17ET9kVSFU6dhZGn3dntHblZ4aPsMyJ4Z/view?usp=drivesdk</v>
      </c>
    </row>
    <row r="8772">
      <c r="A8772" s="17" t="str">
        <f>IFERROR(__xludf.DUMMYFUNCTION("""COMPUTED_VALUE"""),"")</f>
        <v/>
      </c>
      <c r="B8772" s="17" t="str">
        <f>IFERROR(__xludf.DUMMYFUNCTION("""COMPUTED_VALUE"""),"")</f>
        <v/>
      </c>
      <c r="C8772" s="17" t="str">
        <f>IFERROR(__xludf.DUMMYFUNCTION("""COMPUTED_VALUE"""),"")</f>
        <v/>
      </c>
      <c r="D8772" s="17" t="str">
        <f>IFERROR(__xludf.DUMMYFUNCTION("""COMPUTED_VALUE"""),"")</f>
        <v/>
      </c>
      <c r="E8772" s="17" t="str">
        <f>IFERROR(__xludf.DUMMYFUNCTION("""COMPUTED_VALUE"""),"")</f>
        <v/>
      </c>
      <c r="F8772" s="17" t="str">
        <f>IFERROR(__xludf.DUMMYFUNCTION("""COMPUTED_VALUE"""),"")</f>
        <v/>
      </c>
      <c r="G8772" s="17" t="str">
        <f>IFERROR(__xludf.DUMMYFUNCTION("""COMPUTED_VALUE"""),"")</f>
        <v/>
      </c>
      <c r="H8772" s="17" t="str">
        <f>IFERROR(__xludf.DUMMYFUNCTION("""COMPUTED_VALUE"""),"")</f>
        <v/>
      </c>
      <c r="I8772" s="17" t="str">
        <f>IFERROR(__xludf.DUMMYFUNCTION("""COMPUTED_VALUE"""),"")</f>
        <v/>
      </c>
      <c r="J8772" s="17" t="str">
        <f>IFERROR(__xludf.DUMMYFUNCTION("""COMPUTED_VALUE"""),"")</f>
        <v/>
      </c>
      <c r="K8772" s="17" t="str">
        <f>IFERROR(__xludf.DUMMYFUNCTION("""COMPUTED_VALUE"""),"")</f>
        <v/>
      </c>
      <c r="L8772" s="17" t="str">
        <f>IFERROR(__xludf.DUMMYFUNCTION("""COMPUTED_VALUE"""),"")</f>
        <v/>
      </c>
      <c r="M8772" s="17" t="str">
        <f>IFERROR(__xludf.DUMMYFUNCTION("""COMPUTED_VALUE"""),"")</f>
        <v/>
      </c>
      <c r="N8772" s="17" t="str">
        <f>IFERROR(__xludf.DUMMYFUNCTION("""COMPUTED_VALUE"""),"")</f>
        <v/>
      </c>
      <c r="O8772" s="17" t="str">
        <f>IFERROR(__xludf.DUMMYFUNCTION("""COMPUTED_VALUE"""),"")</f>
        <v/>
      </c>
      <c r="P8772" s="17" t="str">
        <f>IFERROR(__xludf.DUMMYFUNCTION("""COMPUTED_VALUE"""),"")</f>
        <v/>
      </c>
      <c r="Q8772" s="17" t="str">
        <f>IFERROR(__xludf.DUMMYFUNCTION("""COMPUTED_VALUE"""),"")</f>
        <v/>
      </c>
      <c r="R8772" s="17" t="str">
        <f>IFERROR(__xludf.DUMMYFUNCTION("""COMPUTED_VALUE"""),"")</f>
        <v/>
      </c>
    </row>
    <row r="8773">
      <c r="A8773" s="15">
        <f>IFERROR(__xludf.DUMMYFUNCTION("""COMPUTED_VALUE"""),45251.0)</f>
        <v>45251</v>
      </c>
      <c r="B8773" s="16" t="str">
        <f>IFERROR(__xludf.DUMMYFUNCTION("""COMPUTED_VALUE"""),"Johan Alexander Escobar Arroyo ")</f>
        <v>Johan Alexander Escobar Arroyo </v>
      </c>
      <c r="C8773" s="15" t="str">
        <f>IFERROR(__xludf.DUMMYFUNCTION("""COMPUTED_VALUE"""),"CALI")</f>
        <v>CALI</v>
      </c>
      <c r="D8773" s="15" t="str">
        <f>IFERROR(__xludf.DUMMYFUNCTION("""COMPUTED_VALUE"""),"BOGOTÁ")</f>
        <v>BOGOTÁ</v>
      </c>
      <c r="E8773" s="15" t="str">
        <f>IFERROR(__xludf.DUMMYFUNCTION("""COMPUTED_VALUE"""),"Eso es Queso")</f>
        <v>Eso es Queso</v>
      </c>
      <c r="F8773" s="17" t="str">
        <f>IFERROR(__xludf.DUMMYFUNCTION("""COMPUTED_VALUE"""),"Calle 14 32-37 / Casa piso 2 / Barrio : Cristóbal Colón")</f>
        <v>Calle 14 32-37 / Casa piso 2 / Barrio : Cristóbal Colón</v>
      </c>
      <c r="G8773" s="15" t="str">
        <f>IFERROR(__xludf.DUMMYFUNCTION("""COMPUTED_VALUE"""),"Gerson Morera ")</f>
        <v>Gerson Morera </v>
      </c>
      <c r="H8773" s="16">
        <f>IFERROR(__xludf.DUMMYFUNCTION("""COMPUTED_VALUE"""),17430.0)</f>
        <v>17430</v>
      </c>
      <c r="I8773" s="18">
        <f>IFERROR(__xludf.DUMMYFUNCTION("""COMPUTED_VALUE"""),6.0)</f>
        <v>6</v>
      </c>
      <c r="J8773" s="18">
        <f>IFERROR(__xludf.DUMMYFUNCTION("""COMPUTED_VALUE"""),28.0)</f>
        <v>28</v>
      </c>
      <c r="K8773" s="18">
        <f>IFERROR(__xludf.DUMMYFUNCTION("""COMPUTED_VALUE"""),28.0)</f>
        <v>28</v>
      </c>
      <c r="L8773" s="17">
        <f>IFERROR(__xludf.DUMMYFUNCTION("""COMPUTED_VALUE"""),3.00286965E9)</f>
        <v>3002869650</v>
      </c>
      <c r="M8773" s="17"/>
      <c r="N8773" s="17"/>
      <c r="O8773" s="17"/>
      <c r="P8773" s="17" t="b">
        <f>IFERROR(__xludf.DUMMYFUNCTION("""COMPUTED_VALUE"""),FALSE)</f>
        <v>0</v>
      </c>
      <c r="Q8773" s="20" t="str">
        <f>IFERROR(__xludf.DUMMYFUNCTION("""COMPUTED_VALUE"""),"")</f>
        <v/>
      </c>
      <c r="R8773" s="21" t="str">
        <f>IFERROR(__xludf.DUMMYFUNCTION("""COMPUTED_VALUE"""),"https://drive.google.com/file/d/1zKd9RLjXN6Ni22Oe32u2Rvg2lVxqOykW/view?usp=drivesdk")</f>
        <v>https://drive.google.com/file/d/1zKd9RLjXN6Ni22Oe32u2Rvg2lVxqOykW/view?usp=drivesdk</v>
      </c>
    </row>
    <row r="8774">
      <c r="A8774" s="15">
        <f>IFERROR(__xludf.DUMMYFUNCTION("""COMPUTED_VALUE"""),45251.0)</f>
        <v>45251</v>
      </c>
      <c r="B8774" s="16" t="str">
        <f>IFERROR(__xludf.DUMMYFUNCTION("""COMPUTED_VALUE"""),"Johan Alexander Escobar Arroyo ")</f>
        <v>Johan Alexander Escobar Arroyo </v>
      </c>
      <c r="C8774" s="15" t="str">
        <f>IFERROR(__xludf.DUMMYFUNCTION("""COMPUTED_VALUE"""),"CALI")</f>
        <v>CALI</v>
      </c>
      <c r="D8774" s="15" t="str">
        <f>IFERROR(__xludf.DUMMYFUNCTION("""COMPUTED_VALUE"""),"BOGOTÁ")</f>
        <v>BOGOTÁ</v>
      </c>
      <c r="E8774" s="15" t="str">
        <f>IFERROR(__xludf.DUMMYFUNCTION("""COMPUTED_VALUE"""),"Hiiva Fermentados SAS")</f>
        <v>Hiiva Fermentados SAS</v>
      </c>
      <c r="F8774" s="17" t="str">
        <f>IFERROR(__xludf.DUMMYFUNCTION("""COMPUTED_VALUE"""),"Av 5 Nte # 42 - 42 la flora / Tienda Ecohuerta Cali")</f>
        <v>Av 5 Nte # 42 - 42 la flora / Tienda Ecohuerta Cali</v>
      </c>
      <c r="G8774" s="15" t="str">
        <f>IFERROR(__xludf.DUMMYFUNCTION("""COMPUTED_VALUE"""),"Ecohuerta Cali")</f>
        <v>Ecohuerta Cali</v>
      </c>
      <c r="H8774" s="16">
        <f>IFERROR(__xludf.DUMMYFUNCTION("""COMPUTED_VALUE"""),17412.0)</f>
        <v>17412</v>
      </c>
      <c r="I8774" s="17"/>
      <c r="J8774" s="17"/>
      <c r="K8774" s="17"/>
      <c r="L8774" s="17">
        <f>IFERROR(__xludf.DUMMYFUNCTION("""COMPUTED_VALUE"""),3.113856209E9)</f>
        <v>3113856209</v>
      </c>
      <c r="M8774" s="17"/>
      <c r="N8774" s="17"/>
      <c r="O8774" s="17"/>
      <c r="P8774" s="17" t="b">
        <f>IFERROR(__xludf.DUMMYFUNCTION("""COMPUTED_VALUE"""),FALSE)</f>
        <v>0</v>
      </c>
      <c r="Q8774" s="20" t="str">
        <f>IFERROR(__xludf.DUMMYFUNCTION("""COMPUTED_VALUE"""),"")</f>
        <v/>
      </c>
      <c r="R8774" s="21" t="str">
        <f>IFERROR(__xludf.DUMMYFUNCTION("""COMPUTED_VALUE"""),"https://drive.google.com/file/d/1HVcRv2sNuY-8ku9hPdkX-CPqtSdYH5wY/view?usp=drivesdk")</f>
        <v>https://drive.google.com/file/d/1HVcRv2sNuY-8ku9hPdkX-CPqtSdYH5wY/view?usp=drivesdk</v>
      </c>
    </row>
    <row r="8775">
      <c r="A8775" s="15">
        <f>IFERROR(__xludf.DUMMYFUNCTION("""COMPUTED_VALUE"""),45251.0)</f>
        <v>45251</v>
      </c>
      <c r="B8775" s="16" t="str">
        <f>IFERROR(__xludf.DUMMYFUNCTION("""COMPUTED_VALUE"""),"Johan Alexander Escobar Arroyo ")</f>
        <v>Johan Alexander Escobar Arroyo </v>
      </c>
      <c r="C8775" s="15" t="str">
        <f>IFERROR(__xludf.DUMMYFUNCTION("""COMPUTED_VALUE"""),"CALI")</f>
        <v>CALI</v>
      </c>
      <c r="D8775" s="15" t="str">
        <f>IFERROR(__xludf.DUMMYFUNCTION("""COMPUTED_VALUE"""),"BOGOTÁ")</f>
        <v>BOGOTÁ</v>
      </c>
      <c r="E8775" s="15" t="str">
        <f>IFERROR(__xludf.DUMMYFUNCTION("""COMPUTED_VALUE"""),"Instinto alimento vital")</f>
        <v>Instinto alimento vital</v>
      </c>
      <c r="F8775" s="17" t="str">
        <f>IFERROR(__xludf.DUMMYFUNCTION("""COMPUTED_VALUE"""),"CALLE 34 N # 2B N 33 / MERCANCIA REQUIERE REFRIGERACION")</f>
        <v>CALLE 34 N # 2B N 33 / MERCANCIA REQUIERE REFRIGERACION</v>
      </c>
      <c r="G8775" s="15" t="str">
        <f>IFERROR(__xludf.DUMMYFUNCTION("""COMPUTED_VALUE"""),"BODEGA VELOCITY CALI")</f>
        <v>BODEGA VELOCITY CALI</v>
      </c>
      <c r="H8775" s="16">
        <f>IFERROR(__xludf.DUMMYFUNCTION("""COMPUTED_VALUE"""),17501.0)</f>
        <v>17501</v>
      </c>
      <c r="I8775" s="17"/>
      <c r="J8775" s="17"/>
      <c r="K8775" s="17"/>
      <c r="L8775" s="17">
        <f>IFERROR(__xludf.DUMMYFUNCTION("""COMPUTED_VALUE"""),3.15586906E9)</f>
        <v>3155869060</v>
      </c>
      <c r="M8775" s="17"/>
      <c r="N8775" s="17"/>
      <c r="O8775" s="17"/>
      <c r="P8775" s="17" t="b">
        <f>IFERROR(__xludf.DUMMYFUNCTION("""COMPUTED_VALUE"""),FALSE)</f>
        <v>0</v>
      </c>
      <c r="Q8775" s="20" t="str">
        <f>IFERROR(__xludf.DUMMYFUNCTION("""COMPUTED_VALUE"""),"")</f>
        <v/>
      </c>
      <c r="R8775" s="22" t="str">
        <f>IFERROR(__xludf.DUMMYFUNCTION("""COMPUTED_VALUE"""),"")</f>
        <v/>
      </c>
    </row>
    <row r="8776">
      <c r="A8776" s="15">
        <f>IFERROR(__xludf.DUMMYFUNCTION("""COMPUTED_VALUE"""),45251.0)</f>
        <v>45251</v>
      </c>
      <c r="B8776" s="16" t="str">
        <f>IFERROR(__xludf.DUMMYFUNCTION("""COMPUTED_VALUE"""),"Johan Alexander Escobar Arroyo ")</f>
        <v>Johan Alexander Escobar Arroyo </v>
      </c>
      <c r="C8776" s="15" t="str">
        <f>IFERROR(__xludf.DUMMYFUNCTION("""COMPUTED_VALUE"""),"CALI")</f>
        <v>CALI</v>
      </c>
      <c r="D8776" s="15" t="str">
        <f>IFERROR(__xludf.DUMMYFUNCTION("""COMPUTED_VALUE"""),"BOGOTÁ")</f>
        <v>BOGOTÁ</v>
      </c>
      <c r="E8776" s="15" t="str">
        <f>IFERROR(__xludf.DUMMYFUNCTION("""COMPUTED_VALUE"""),"LINA PAOLA RAMIREZ GOMEZ - EVA MAZZITA")</f>
        <v>LINA PAOLA RAMIREZ GOMEZ - EVA MAZZITA</v>
      </c>
      <c r="F8776" s="17" t="str">
        <f>IFERROR(__xludf.DUMMYFUNCTION("""COMPUTED_VALUE"""),"AV 9 NORTE #56 NORTE -140 / Apto 907/Unidad Atiko 66")</f>
        <v>AV 9 NORTE #56 NORTE -140 / Apto 907/Unidad Atiko 66</v>
      </c>
      <c r="G8776" s="15" t="str">
        <f>IFERROR(__xludf.DUMMYFUNCTION("""COMPUTED_VALUE"""),"VANESSA ERAZO ROJAS")</f>
        <v>VANESSA ERAZO ROJAS</v>
      </c>
      <c r="H8776" s="16">
        <f>IFERROR(__xludf.DUMMYFUNCTION("""COMPUTED_VALUE"""),17466.0)</f>
        <v>17466</v>
      </c>
      <c r="I8776" s="17"/>
      <c r="J8776" s="17"/>
      <c r="K8776" s="17"/>
      <c r="L8776" s="17">
        <f>IFERROR(__xludf.DUMMYFUNCTION("""COMPUTED_VALUE"""),3.11671249E9)</f>
        <v>3116712490</v>
      </c>
      <c r="M8776" s="17"/>
      <c r="N8776" s="17"/>
      <c r="O8776" s="17"/>
      <c r="P8776" s="17" t="b">
        <f>IFERROR(__xludf.DUMMYFUNCTION("""COMPUTED_VALUE"""),FALSE)</f>
        <v>0</v>
      </c>
      <c r="Q8776" s="20" t="str">
        <f>IFERROR(__xludf.DUMMYFUNCTION("""COMPUTED_VALUE"""),"")</f>
        <v/>
      </c>
      <c r="R8776" s="21" t="str">
        <f>IFERROR(__xludf.DUMMYFUNCTION("""COMPUTED_VALUE"""),"https://drive.google.com/file/d/1WC0yRHQ2aR52MbySMHYiRnahv_rEdy0i/view?usp=drivesdk")</f>
        <v>https://drive.google.com/file/d/1WC0yRHQ2aR52MbySMHYiRnahv_rEdy0i/view?usp=drivesdk</v>
      </c>
    </row>
    <row r="8777">
      <c r="A8777" s="15">
        <f>IFERROR(__xludf.DUMMYFUNCTION("""COMPUTED_VALUE"""),45251.0)</f>
        <v>45251</v>
      </c>
      <c r="B8777" s="16" t="str">
        <f>IFERROR(__xludf.DUMMYFUNCTION("""COMPUTED_VALUE"""),"Johan Alexander Escobar Arroyo ")</f>
        <v>Johan Alexander Escobar Arroyo </v>
      </c>
      <c r="C8777" s="15" t="str">
        <f>IFERROR(__xludf.DUMMYFUNCTION("""COMPUTED_VALUE"""),"CALI")</f>
        <v>CALI</v>
      </c>
      <c r="D8777" s="15" t="str">
        <f>IFERROR(__xludf.DUMMYFUNCTION("""COMPUTED_VALUE"""),"BOGOTÁ")</f>
        <v>BOGOTÁ</v>
      </c>
      <c r="E8777" s="15" t="str">
        <f>IFERROR(__xludf.DUMMYFUNCTION("""COMPUTED_VALUE"""),"LINA PAOLA RAMIREZ GOMEZ - EVA MAZZITA")</f>
        <v>LINA PAOLA RAMIREZ GOMEZ - EVA MAZZITA</v>
      </c>
      <c r="F8777" s="17" t="str">
        <f>IFERROR(__xludf.DUMMYFUNCTION("""COMPUTED_VALUE"""),"Calle 26 norte no 5 AN 31 / barrio san vicente (ENTREGAR ENTRE 8:30 Y 5:30)")</f>
        <v>Calle 26 norte no 5 AN 31 / barrio san vicente (ENTREGAR ENTRE 8:30 Y 5:30)</v>
      </c>
      <c r="G8777" s="15" t="str">
        <f>IFERROR(__xludf.DUMMYFUNCTION("""COMPUTED_VALUE"""),"TATIANA CADAVID")</f>
        <v>TATIANA CADAVID</v>
      </c>
      <c r="H8777" s="16">
        <f>IFERROR(__xludf.DUMMYFUNCTION("""COMPUTED_VALUE"""),17467.0)</f>
        <v>17467</v>
      </c>
      <c r="I8777" s="17"/>
      <c r="J8777" s="17"/>
      <c r="K8777" s="17"/>
      <c r="L8777" s="17">
        <f>IFERROR(__xludf.DUMMYFUNCTION("""COMPUTED_VALUE"""),3.185167099E9)</f>
        <v>3185167099</v>
      </c>
      <c r="M8777" s="17"/>
      <c r="N8777" s="17"/>
      <c r="O8777" s="17"/>
      <c r="P8777" s="17" t="b">
        <f>IFERROR(__xludf.DUMMYFUNCTION("""COMPUTED_VALUE"""),FALSE)</f>
        <v>0</v>
      </c>
      <c r="Q8777" s="20" t="str">
        <f>IFERROR(__xludf.DUMMYFUNCTION("""COMPUTED_VALUE"""),"")</f>
        <v/>
      </c>
      <c r="R8777" s="21" t="str">
        <f>IFERROR(__xludf.DUMMYFUNCTION("""COMPUTED_VALUE"""),"https://drive.google.com/file/d/1P2Elu488zHt9WL14hV84FUoNZTVbC0A8/view?usp=drivesdk")</f>
        <v>https://drive.google.com/file/d/1P2Elu488zHt9WL14hV84FUoNZTVbC0A8/view?usp=drivesdk</v>
      </c>
    </row>
    <row r="8778">
      <c r="A8778" s="15">
        <f>IFERROR(__xludf.DUMMYFUNCTION("""COMPUTED_VALUE"""),45251.0)</f>
        <v>45251</v>
      </c>
      <c r="B8778" s="16" t="str">
        <f>IFERROR(__xludf.DUMMYFUNCTION("""COMPUTED_VALUE"""),"Johan Alexander Escobar Arroyo ")</f>
        <v>Johan Alexander Escobar Arroyo </v>
      </c>
      <c r="C8778" s="15" t="str">
        <f>IFERROR(__xludf.DUMMYFUNCTION("""COMPUTED_VALUE"""),"CALI")</f>
        <v>CALI</v>
      </c>
      <c r="D8778" s="15" t="str">
        <f>IFERROR(__xludf.DUMMYFUNCTION("""COMPUTED_VALUE"""),"BOGOTÁ")</f>
        <v>BOGOTÁ</v>
      </c>
      <c r="E8778" s="15" t="str">
        <f>IFERROR(__xludf.DUMMYFUNCTION("""COMPUTED_VALUE"""),"Top Spun")</f>
        <v>Top Spun</v>
      </c>
      <c r="F8778" s="17" t="str">
        <f>IFERROR(__xludf.DUMMYFUNCTION("""COMPUTED_VALUE"""),"Carrera 114b 17 120 / Apto 301 / Torre Verdanza Campestre")</f>
        <v>Carrera 114b 17 120 / Apto 301 / Torre Verdanza Campestre</v>
      </c>
      <c r="G8778" s="15" t="str">
        <f>IFERROR(__xludf.DUMMYFUNCTION("""COMPUTED_VALUE"""),"Nicole Usma")</f>
        <v>Nicole Usma</v>
      </c>
      <c r="H8778" s="16">
        <f>IFERROR(__xludf.DUMMYFUNCTION("""COMPUTED_VALUE"""),17417.0)</f>
        <v>17417</v>
      </c>
      <c r="I8778" s="18">
        <f>IFERROR(__xludf.DUMMYFUNCTION("""COMPUTED_VALUE"""),20.0)</f>
        <v>20</v>
      </c>
      <c r="J8778" s="18">
        <f>IFERROR(__xludf.DUMMYFUNCTION("""COMPUTED_VALUE"""),10.0)</f>
        <v>10</v>
      </c>
      <c r="K8778" s="18">
        <f>IFERROR(__xludf.DUMMYFUNCTION("""COMPUTED_VALUE"""),40.0)</f>
        <v>40</v>
      </c>
      <c r="L8778" s="17">
        <f>IFERROR(__xludf.DUMMYFUNCTION("""COMPUTED_VALUE"""),3.163684979E9)</f>
        <v>3163684979</v>
      </c>
      <c r="M8778" s="17"/>
      <c r="N8778" s="17"/>
      <c r="O8778" s="17"/>
      <c r="P8778" s="17" t="b">
        <f>IFERROR(__xludf.DUMMYFUNCTION("""COMPUTED_VALUE"""),FALSE)</f>
        <v>0</v>
      </c>
      <c r="Q8778" s="20" t="str">
        <f>IFERROR(__xludf.DUMMYFUNCTION("""COMPUTED_VALUE"""),"")</f>
        <v/>
      </c>
      <c r="R8778" s="21" t="str">
        <f>IFERROR(__xludf.DUMMYFUNCTION("""COMPUTED_VALUE"""),"https://drive.google.com/file/d/1w7L0pCH1uwtg_M5qVSGU0P94BidCoDGZ/view?usp=drivesdk")</f>
        <v>https://drive.google.com/file/d/1w7L0pCH1uwtg_M5qVSGU0P94BidCoDGZ/view?usp=drivesdk</v>
      </c>
    </row>
    <row r="8779">
      <c r="A8779" s="15">
        <f>IFERROR(__xludf.DUMMYFUNCTION("""COMPUTED_VALUE"""),45251.0)</f>
        <v>45251</v>
      </c>
      <c r="B8779" s="16" t="str">
        <f>IFERROR(__xludf.DUMMYFUNCTION("""COMPUTED_VALUE"""),"Johan Alexander Escobar Arroyo ")</f>
        <v>Johan Alexander Escobar Arroyo </v>
      </c>
      <c r="C8779" s="15" t="str">
        <f>IFERROR(__xludf.DUMMYFUNCTION("""COMPUTED_VALUE"""),"IBAGUÉ")</f>
        <v>IBAGUÉ</v>
      </c>
      <c r="D8779" s="15" t="str">
        <f>IFERROR(__xludf.DUMMYFUNCTION("""COMPUTED_VALUE"""),"ENVIGADO")</f>
        <v>ENVIGADO</v>
      </c>
      <c r="E8779" s="15" t="str">
        <f>IFERROR(__xludf.DUMMYFUNCTION("""COMPUTED_VALUE"""),"JUAN CAMILO CORDOBA")</f>
        <v>JUAN CAMILO CORDOBA</v>
      </c>
      <c r="F8779" s="17" t="str">
        <f>IFERROR(__xludf.DUMMYFUNCTION("""COMPUTED_VALUE"""),"Cra 14 #75A-29 / local 5 estancia del vergel")</f>
        <v>Cra 14 #75A-29 / local 5 estancia del vergel</v>
      </c>
      <c r="G8779" s="15" t="str">
        <f>IFERROR(__xludf.DUMMYFUNCTION("""COMPUTED_VALUE"""),"Soy Natural")</f>
        <v>Soy Natural</v>
      </c>
      <c r="H8779" s="16">
        <f>IFERROR(__xludf.DUMMYFUNCTION("""COMPUTED_VALUE"""),17478.0)</f>
        <v>17478</v>
      </c>
      <c r="I8779" s="17"/>
      <c r="J8779" s="17"/>
      <c r="K8779" s="17"/>
      <c r="L8779" s="17">
        <f>IFERROR(__xludf.DUMMYFUNCTION("""COMPUTED_VALUE"""),3.177002909E9)</f>
        <v>3177002909</v>
      </c>
      <c r="M8779" s="17"/>
      <c r="N8779" s="17"/>
      <c r="O8779" s="17"/>
      <c r="P8779" s="17" t="b">
        <f>IFERROR(__xludf.DUMMYFUNCTION("""COMPUTED_VALUE"""),FALSE)</f>
        <v>0</v>
      </c>
      <c r="Q8779" s="20" t="str">
        <f>IFERROR(__xludf.DUMMYFUNCTION("""COMPUTED_VALUE"""),"")</f>
        <v/>
      </c>
      <c r="R8779" s="21" t="str">
        <f>IFERROR(__xludf.DUMMYFUNCTION("""COMPUTED_VALUE"""),"https://drive.google.com/file/d/16hAQPIRYnFkqtvX4oIPWWbOLe42eTsRa/view?usp=drivesdk")</f>
        <v>https://drive.google.com/file/d/16hAQPIRYnFkqtvX4oIPWWbOLe42eTsRa/view?usp=drivesdk</v>
      </c>
    </row>
    <row r="8780">
      <c r="A8780" s="15">
        <f>IFERROR(__xludf.DUMMYFUNCTION("""COMPUTED_VALUE"""),45251.0)</f>
        <v>45251</v>
      </c>
      <c r="B8780" s="16" t="str">
        <f>IFERROR(__xludf.DUMMYFUNCTION("""COMPUTED_VALUE"""),"Johan Alexander Escobar Arroyo ")</f>
        <v>Johan Alexander Escobar Arroyo </v>
      </c>
      <c r="C8780" s="15" t="str">
        <f>IFERROR(__xludf.DUMMYFUNCTION("""COMPUTED_VALUE"""),"IBAGUÉ")</f>
        <v>IBAGUÉ</v>
      </c>
      <c r="D8780" s="15" t="str">
        <f>IFERROR(__xludf.DUMMYFUNCTION("""COMPUTED_VALUE"""),"MEDELLÍN")</f>
        <v>MEDELLÍN</v>
      </c>
      <c r="E8780" s="15" t="str">
        <f>IFERROR(__xludf.DUMMYFUNCTION("""COMPUTED_VALUE"""),"Baby Chef")</f>
        <v>Baby Chef</v>
      </c>
      <c r="F8780" s="17" t="str">
        <f>IFERROR(__xludf.DUMMYFUNCTION("""COMPUTED_VALUE"""),"calle 67 # 7-21 torres de barlovento torre 2 apto 306 Barrio parrales / . / .")</f>
        <v>calle 67 # 7-21 torres de barlovento torre 2 apto 306 Barrio parrales / . / .</v>
      </c>
      <c r="G8780" s="15" t="str">
        <f>IFERROR(__xludf.DUMMYFUNCTION("""COMPUTED_VALUE"""),"Laura rios")</f>
        <v>Laura rios</v>
      </c>
      <c r="H8780" s="16">
        <f>IFERROR(__xludf.DUMMYFUNCTION("""COMPUTED_VALUE"""),17490.0)</f>
        <v>17490</v>
      </c>
      <c r="I8780" s="18">
        <f>IFERROR(__xludf.DUMMYFUNCTION("""COMPUTED_VALUE"""),8.0)</f>
        <v>8</v>
      </c>
      <c r="J8780" s="18">
        <f>IFERROR(__xludf.DUMMYFUNCTION("""COMPUTED_VALUE"""),28.0)</f>
        <v>28</v>
      </c>
      <c r="K8780" s="18">
        <f>IFERROR(__xludf.DUMMYFUNCTION("""COMPUTED_VALUE"""),21.0)</f>
        <v>21</v>
      </c>
      <c r="L8780" s="17">
        <f>IFERROR(__xludf.DUMMYFUNCTION("""COMPUTED_VALUE"""),3.213717164E9)</f>
        <v>3213717164</v>
      </c>
      <c r="M8780" s="17"/>
      <c r="N8780" s="17"/>
      <c r="O8780" s="17"/>
      <c r="P8780" s="17" t="b">
        <f>IFERROR(__xludf.DUMMYFUNCTION("""COMPUTED_VALUE"""),FALSE)</f>
        <v>0</v>
      </c>
      <c r="Q8780" s="20" t="str">
        <f>IFERROR(__xludf.DUMMYFUNCTION("""COMPUTED_VALUE"""),"")</f>
        <v/>
      </c>
      <c r="R8780" s="21" t="str">
        <f>IFERROR(__xludf.DUMMYFUNCTION("""COMPUTED_VALUE"""),"https://drive.google.com/file/d/1R6-sLPCO4lKMk7SrD14v7IOkK4kJcz_e/view?usp=drivesdk")</f>
        <v>https://drive.google.com/file/d/1R6-sLPCO4lKMk7SrD14v7IOkK4kJcz_e/view?usp=drivesdk</v>
      </c>
    </row>
    <row r="8781">
      <c r="A8781" s="17" t="str">
        <f>IFERROR(__xludf.DUMMYFUNCTION("""COMPUTED_VALUE"""),"")</f>
        <v/>
      </c>
      <c r="B8781" s="17" t="str">
        <f>IFERROR(__xludf.DUMMYFUNCTION("""COMPUTED_VALUE"""),"")</f>
        <v/>
      </c>
      <c r="C8781" s="17" t="str">
        <f>IFERROR(__xludf.DUMMYFUNCTION("""COMPUTED_VALUE"""),"")</f>
        <v/>
      </c>
      <c r="D8781" s="17" t="str">
        <f>IFERROR(__xludf.DUMMYFUNCTION("""COMPUTED_VALUE"""),"")</f>
        <v/>
      </c>
      <c r="E8781" s="17" t="str">
        <f>IFERROR(__xludf.DUMMYFUNCTION("""COMPUTED_VALUE"""),"")</f>
        <v/>
      </c>
      <c r="F8781" s="17" t="str">
        <f>IFERROR(__xludf.DUMMYFUNCTION("""COMPUTED_VALUE"""),"")</f>
        <v/>
      </c>
      <c r="G8781" s="17" t="str">
        <f>IFERROR(__xludf.DUMMYFUNCTION("""COMPUTED_VALUE"""),"")</f>
        <v/>
      </c>
      <c r="H8781" s="17" t="str">
        <f>IFERROR(__xludf.DUMMYFUNCTION("""COMPUTED_VALUE"""),"")</f>
        <v/>
      </c>
      <c r="I8781" s="17" t="str">
        <f>IFERROR(__xludf.DUMMYFUNCTION("""COMPUTED_VALUE"""),"")</f>
        <v/>
      </c>
      <c r="J8781" s="17" t="str">
        <f>IFERROR(__xludf.DUMMYFUNCTION("""COMPUTED_VALUE"""),"")</f>
        <v/>
      </c>
      <c r="K8781" s="17" t="str">
        <f>IFERROR(__xludf.DUMMYFUNCTION("""COMPUTED_VALUE"""),"")</f>
        <v/>
      </c>
      <c r="L8781" s="17" t="str">
        <f>IFERROR(__xludf.DUMMYFUNCTION("""COMPUTED_VALUE"""),"")</f>
        <v/>
      </c>
      <c r="M8781" s="17" t="str">
        <f>IFERROR(__xludf.DUMMYFUNCTION("""COMPUTED_VALUE"""),"")</f>
        <v/>
      </c>
      <c r="N8781" s="17" t="str">
        <f>IFERROR(__xludf.DUMMYFUNCTION("""COMPUTED_VALUE"""),"")</f>
        <v/>
      </c>
      <c r="O8781" s="17" t="str">
        <f>IFERROR(__xludf.DUMMYFUNCTION("""COMPUTED_VALUE"""),"")</f>
        <v/>
      </c>
      <c r="P8781" s="17" t="str">
        <f>IFERROR(__xludf.DUMMYFUNCTION("""COMPUTED_VALUE"""),"")</f>
        <v/>
      </c>
      <c r="Q8781" s="17" t="str">
        <f>IFERROR(__xludf.DUMMYFUNCTION("""COMPUTED_VALUE"""),"")</f>
        <v/>
      </c>
      <c r="R8781" s="17" t="str">
        <f>IFERROR(__xludf.DUMMYFUNCTION("""COMPUTED_VALUE"""),"")</f>
        <v/>
      </c>
    </row>
    <row r="8782">
      <c r="A8782" s="15">
        <f>IFERROR(__xludf.DUMMYFUNCTION("""COMPUTED_VALUE"""),45251.0)</f>
        <v>45251</v>
      </c>
      <c r="B8782" s="16" t="str">
        <f>IFERROR(__xludf.DUMMYFUNCTION("""COMPUTED_VALUE"""),"Johanna Arango Barrera")</f>
        <v>Johanna Arango Barrera</v>
      </c>
      <c r="C8782" s="15" t="str">
        <f>IFERROR(__xludf.DUMMYFUNCTION("""COMPUTED_VALUE"""),"BUCARAMANGA")</f>
        <v>BUCARAMANGA</v>
      </c>
      <c r="D8782" s="15" t="str">
        <f>IFERROR(__xludf.DUMMYFUNCTION("""COMPUTED_VALUE"""),"BOGOTÁ")</f>
        <v>BOGOTÁ</v>
      </c>
      <c r="E8782" s="15" t="str">
        <f>IFERROR(__xludf.DUMMYFUNCTION("""COMPUTED_VALUE"""),"Lunchy Kids")</f>
        <v>Lunchy Kids</v>
      </c>
      <c r="F8782" s="17" t="str">
        <f>IFERROR(__xludf.DUMMYFUNCTION("""COMPUTED_VALUE"""),"Cra 36#54-112  / cabecera del llano apt 602  / Cabecera ")</f>
        <v>Cra 36#54-112  / cabecera del llano apt 602  / Cabecera </v>
      </c>
      <c r="G8782" s="15" t="str">
        <f>IFERROR(__xludf.DUMMYFUNCTION("""COMPUTED_VALUE"""),"Paula Fernanda Tarazona dueñas ")</f>
        <v>Paula Fernanda Tarazona dueñas </v>
      </c>
      <c r="H8782" s="16">
        <f>IFERROR(__xludf.DUMMYFUNCTION("""COMPUTED_VALUE"""),17437.0)</f>
        <v>17437</v>
      </c>
      <c r="I8782" s="18">
        <f>IFERROR(__xludf.DUMMYFUNCTION("""COMPUTED_VALUE"""),16.0)</f>
        <v>16</v>
      </c>
      <c r="J8782" s="18">
        <f>IFERROR(__xludf.DUMMYFUNCTION("""COMPUTED_VALUE"""),23.0)</f>
        <v>23</v>
      </c>
      <c r="K8782" s="18">
        <f>IFERROR(__xludf.DUMMYFUNCTION("""COMPUTED_VALUE"""),8.0)</f>
        <v>8</v>
      </c>
      <c r="L8782" s="17">
        <f>IFERROR(__xludf.DUMMYFUNCTION("""COMPUTED_VALUE"""),3.188001575E9)</f>
        <v>3188001575</v>
      </c>
      <c r="M8782" s="17"/>
      <c r="N8782" s="17"/>
      <c r="O8782" s="17"/>
      <c r="P8782" s="17" t="b">
        <f>IFERROR(__xludf.DUMMYFUNCTION("""COMPUTED_VALUE"""),TRUE)</f>
        <v>1</v>
      </c>
      <c r="Q8782" s="20">
        <f>IFERROR(__xludf.DUMMYFUNCTION("""COMPUTED_VALUE"""),45252.605273900466)</f>
        <v>45252.60527</v>
      </c>
      <c r="R8782" s="22" t="str">
        <f>IFERROR(__xludf.DUMMYFUNCTION("""COMPUTED_VALUE"""),"")</f>
        <v/>
      </c>
    </row>
    <row r="8783">
      <c r="A8783" s="15">
        <f>IFERROR(__xludf.DUMMYFUNCTION("""COMPUTED_VALUE"""),45251.0)</f>
        <v>45251</v>
      </c>
      <c r="B8783" s="16" t="str">
        <f>IFERROR(__xludf.DUMMYFUNCTION("""COMPUTED_VALUE"""),"Johanna Arango Barrera")</f>
        <v>Johanna Arango Barrera</v>
      </c>
      <c r="C8783" s="15" t="str">
        <f>IFERROR(__xludf.DUMMYFUNCTION("""COMPUTED_VALUE"""),"BUCARAMANGA")</f>
        <v>BUCARAMANGA</v>
      </c>
      <c r="D8783" s="15" t="str">
        <f>IFERROR(__xludf.DUMMYFUNCTION("""COMPUTED_VALUE"""),"BOGOTÁ")</f>
        <v>BOGOTÁ</v>
      </c>
      <c r="E8783" s="15" t="str">
        <f>IFERROR(__xludf.DUMMYFUNCTION("""COMPUTED_VALUE"""),"Pan de Yuca")</f>
        <v>Pan de Yuca</v>
      </c>
      <c r="F8783" s="17" t="str">
        <f>IFERROR(__xludf.DUMMYFUNCTION("""COMPUTED_VALUE"""),"Carrera 37 # 53 - 08 / Casa / Cabecera ")</f>
        <v>Carrera 37 # 53 - 08 / Casa / Cabecera </v>
      </c>
      <c r="G8783" s="15" t="str">
        <f>IFERROR(__xludf.DUMMYFUNCTION("""COMPUTED_VALUE"""),"Daniela Ordóñez ")</f>
        <v>Daniela Ordóñez </v>
      </c>
      <c r="H8783" s="16">
        <f>IFERROR(__xludf.DUMMYFUNCTION("""COMPUTED_VALUE"""),17442.0)</f>
        <v>17442</v>
      </c>
      <c r="I8783" s="18">
        <f>IFERROR(__xludf.DUMMYFUNCTION("""COMPUTED_VALUE"""),30.0)</f>
        <v>30</v>
      </c>
      <c r="J8783" s="18">
        <f>IFERROR(__xludf.DUMMYFUNCTION("""COMPUTED_VALUE"""),32.0)</f>
        <v>32</v>
      </c>
      <c r="K8783" s="18">
        <f>IFERROR(__xludf.DUMMYFUNCTION("""COMPUTED_VALUE"""),43.0)</f>
        <v>43</v>
      </c>
      <c r="L8783" s="17">
        <f>IFERROR(__xludf.DUMMYFUNCTION("""COMPUTED_VALUE"""),3.002833712E9)</f>
        <v>3002833712</v>
      </c>
      <c r="M8783" s="17"/>
      <c r="N8783" s="17"/>
      <c r="O8783" s="17"/>
      <c r="P8783" s="17" t="b">
        <f>IFERROR(__xludf.DUMMYFUNCTION("""COMPUTED_VALUE"""),FALSE)</f>
        <v>0</v>
      </c>
      <c r="Q8783" s="20" t="str">
        <f>IFERROR(__xludf.DUMMYFUNCTION("""COMPUTED_VALUE"""),"")</f>
        <v/>
      </c>
      <c r="R8783" s="21" t="str">
        <f>IFERROR(__xludf.DUMMYFUNCTION("""COMPUTED_VALUE"""),"https://drive.google.com/file/d/1JQ5d4txU83CdMunKPtYbmX8w64--7K2G/view?usp=drivesdk")</f>
        <v>https://drive.google.com/file/d/1JQ5d4txU83CdMunKPtYbmX8w64--7K2G/view?usp=drivesdk</v>
      </c>
    </row>
    <row r="8784">
      <c r="A8784" s="15">
        <f>IFERROR(__xludf.DUMMYFUNCTION("""COMPUTED_VALUE"""),45251.0)</f>
        <v>45251</v>
      </c>
      <c r="B8784" s="16" t="str">
        <f>IFERROR(__xludf.DUMMYFUNCTION("""COMPUTED_VALUE"""),"Johanna Arango Barrera")</f>
        <v>Johanna Arango Barrera</v>
      </c>
      <c r="C8784" s="15" t="str">
        <f>IFERROR(__xludf.DUMMYFUNCTION("""COMPUTED_VALUE"""),"BUCARAMANGA")</f>
        <v>BUCARAMANGA</v>
      </c>
      <c r="D8784" s="15" t="str">
        <f>IFERROR(__xludf.DUMMYFUNCTION("""COMPUTED_VALUE"""),"MEDELLÍN")</f>
        <v>MEDELLÍN</v>
      </c>
      <c r="E8784" s="15" t="str">
        <f>IFERROR(__xludf.DUMMYFUNCTION("""COMPUTED_VALUE"""),"Baby Chef")</f>
        <v>Baby Chef</v>
      </c>
      <c r="F8784" s="17" t="str">
        <f>IFERROR(__xludf.DUMMYFUNCTION("""COMPUTED_VALUE"""),"Cra 39 # 48-152 apto 603 Altos de la quinta Barrio Cabecera / . / .")</f>
        <v>Cra 39 # 48-152 apto 603 Altos de la quinta Barrio Cabecera / . / .</v>
      </c>
      <c r="G8784" s="15" t="str">
        <f>IFERROR(__xludf.DUMMYFUNCTION("""COMPUTED_VALUE"""),"Claudia Vargas")</f>
        <v>Claudia Vargas</v>
      </c>
      <c r="H8784" s="16">
        <f>IFERROR(__xludf.DUMMYFUNCTION("""COMPUTED_VALUE"""),17489.0)</f>
        <v>17489</v>
      </c>
      <c r="I8784" s="18">
        <f>IFERROR(__xludf.DUMMYFUNCTION("""COMPUTED_VALUE"""),9.0)</f>
        <v>9</v>
      </c>
      <c r="J8784" s="18">
        <f>IFERROR(__xludf.DUMMYFUNCTION("""COMPUTED_VALUE"""),21.0)</f>
        <v>21</v>
      </c>
      <c r="K8784" s="18">
        <f>IFERROR(__xludf.DUMMYFUNCTION("""COMPUTED_VALUE"""),23.0)</f>
        <v>23</v>
      </c>
      <c r="L8784" s="17">
        <f>IFERROR(__xludf.DUMMYFUNCTION("""COMPUTED_VALUE"""),3.188133972E9)</f>
        <v>3188133972</v>
      </c>
      <c r="M8784" s="17"/>
      <c r="N8784" s="17"/>
      <c r="O8784" s="17"/>
      <c r="P8784" s="17" t="b">
        <f>IFERROR(__xludf.DUMMYFUNCTION("""COMPUTED_VALUE"""),FALSE)</f>
        <v>0</v>
      </c>
      <c r="Q8784" s="20" t="str">
        <f>IFERROR(__xludf.DUMMYFUNCTION("""COMPUTED_VALUE"""),"")</f>
        <v/>
      </c>
      <c r="R8784" s="21" t="str">
        <f>IFERROR(__xludf.DUMMYFUNCTION("""COMPUTED_VALUE"""),"https://drive.google.com/file/d/1OaOrQlpicgUJVtemzEi6vi6kmwQfMqeK/view?usp=drivesdk")</f>
        <v>https://drive.google.com/file/d/1OaOrQlpicgUJVtemzEi6vi6kmwQfMqeK/view?usp=drivesdk</v>
      </c>
    </row>
    <row r="8785">
      <c r="A8785" s="15">
        <f>IFERROR(__xludf.DUMMYFUNCTION("""COMPUTED_VALUE"""),45251.0)</f>
        <v>45251</v>
      </c>
      <c r="B8785" s="16" t="str">
        <f>IFERROR(__xludf.DUMMYFUNCTION("""COMPUTED_VALUE"""),"Johanna Arango Barrera")</f>
        <v>Johanna Arango Barrera</v>
      </c>
      <c r="C8785" s="15" t="str">
        <f>IFERROR(__xludf.DUMMYFUNCTION("""COMPUTED_VALUE"""),"PEREIRA")</f>
        <v>PEREIRA</v>
      </c>
      <c r="D8785" s="15" t="str">
        <f>IFERROR(__xludf.DUMMYFUNCTION("""COMPUTED_VALUE"""),"MEDELLÍN")</f>
        <v>MEDELLÍN</v>
      </c>
      <c r="E8785" s="15" t="str">
        <f>IFERROR(__xludf.DUMMYFUNCTION("""COMPUTED_VALUE"""),"Goyo Todo por ellos")</f>
        <v>Goyo Todo por ellos</v>
      </c>
      <c r="F8785" s="17" t="str">
        <f>IFERROR(__xludf.DUMMYFUNCTION("""COMPUTED_VALUE"""),"Calle 12 bis #16 18 / Casa Hoja Comunidad Consciente  / Pinares ")</f>
        <v>Calle 12 bis #16 18 / Casa Hoja Comunidad Consciente  / Pinares </v>
      </c>
      <c r="G8785" s="15" t="str">
        <f>IFERROR(__xludf.DUMMYFUNCTION("""COMPUTED_VALUE"""),"Hector Hernandez ")</f>
        <v>Hector Hernandez </v>
      </c>
      <c r="H8785" s="16">
        <f>IFERROR(__xludf.DUMMYFUNCTION("""COMPUTED_VALUE"""),17448.0)</f>
        <v>17448</v>
      </c>
      <c r="I8785" s="18">
        <f>IFERROR(__xludf.DUMMYFUNCTION("""COMPUTED_VALUE"""),13.0)</f>
        <v>13</v>
      </c>
      <c r="J8785" s="18">
        <f>IFERROR(__xludf.DUMMYFUNCTION("""COMPUTED_VALUE"""),26.0)</f>
        <v>26</v>
      </c>
      <c r="K8785" s="18">
        <f>IFERROR(__xludf.DUMMYFUNCTION("""COMPUTED_VALUE"""),17.0)</f>
        <v>17</v>
      </c>
      <c r="L8785" s="17">
        <f>IFERROR(__xludf.DUMMYFUNCTION("""COMPUTED_VALUE"""),3.18591145E9)</f>
        <v>3185911450</v>
      </c>
      <c r="M8785" s="17"/>
      <c r="N8785" s="17"/>
      <c r="O8785" s="17"/>
      <c r="P8785" s="17" t="b">
        <f>IFERROR(__xludf.DUMMYFUNCTION("""COMPUTED_VALUE"""),FALSE)</f>
        <v>0</v>
      </c>
      <c r="Q8785" s="20" t="str">
        <f>IFERROR(__xludf.DUMMYFUNCTION("""COMPUTED_VALUE"""),"")</f>
        <v/>
      </c>
      <c r="R8785" s="21" t="str">
        <f>IFERROR(__xludf.DUMMYFUNCTION("""COMPUTED_VALUE"""),"https://drive.google.com/file/d/16hdSKMjAP8teFviw4_BDuMHMc-AK09uI/view?usp=drivesdk")</f>
        <v>https://drive.google.com/file/d/16hdSKMjAP8teFviw4_BDuMHMc-AK09uI/view?usp=drivesdk</v>
      </c>
    </row>
    <row r="8786">
      <c r="A8786" s="15">
        <f>IFERROR(__xludf.DUMMYFUNCTION("""COMPUTED_VALUE"""),45251.0)</f>
        <v>45251</v>
      </c>
      <c r="B8786" s="16" t="str">
        <f>IFERROR(__xludf.DUMMYFUNCTION("""COMPUTED_VALUE"""),"Johanna Arango Barrera")</f>
        <v>Johanna Arango Barrera</v>
      </c>
      <c r="C8786" s="15" t="str">
        <f>IFERROR(__xludf.DUMMYFUNCTION("""COMPUTED_VALUE"""),"PEREIRA")</f>
        <v>PEREIRA</v>
      </c>
      <c r="D8786" s="15" t="str">
        <f>IFERROR(__xludf.DUMMYFUNCTION("""COMPUTED_VALUE"""),"MEDELLÍN")</f>
        <v>MEDELLÍN</v>
      </c>
      <c r="E8786" s="15" t="str">
        <f>IFERROR(__xludf.DUMMYFUNCTION("""COMPUTED_VALUE"""),"Shottas")</f>
        <v>Shottas</v>
      </c>
      <c r="F8786" s="17" t="str">
        <f>IFERROR(__xludf.DUMMYFUNCTION("""COMPUTED_VALUE"""),"Cll 12 bis # 16-18  / Casa hoja  / Pinares ")</f>
        <v>Cll 12 bis # 16-18  / Casa hoja  / Pinares </v>
      </c>
      <c r="G8786" s="15" t="str">
        <f>IFERROR(__xludf.DUMMYFUNCTION("""COMPUTED_VALUE"""),"María José Parra España ")</f>
        <v>María José Parra España </v>
      </c>
      <c r="H8786" s="16">
        <f>IFERROR(__xludf.DUMMYFUNCTION("""COMPUTED_VALUE"""),17441.0)</f>
        <v>17441</v>
      </c>
      <c r="I8786" s="18">
        <f>IFERROR(__xludf.DUMMYFUNCTION("""COMPUTED_VALUE"""),30.0)</f>
        <v>30</v>
      </c>
      <c r="J8786" s="18">
        <f>IFERROR(__xludf.DUMMYFUNCTION("""COMPUTED_VALUE"""),35.0)</f>
        <v>35</v>
      </c>
      <c r="K8786" s="18">
        <f>IFERROR(__xludf.DUMMYFUNCTION("""COMPUTED_VALUE"""),8.0)</f>
        <v>8</v>
      </c>
      <c r="L8786" s="17">
        <f>IFERROR(__xludf.DUMMYFUNCTION("""COMPUTED_VALUE"""),3.166799446E9)</f>
        <v>3166799446</v>
      </c>
      <c r="M8786" s="17"/>
      <c r="N8786" s="17"/>
      <c r="O8786" s="17"/>
      <c r="P8786" s="17" t="b">
        <f>IFERROR(__xludf.DUMMYFUNCTION("""COMPUTED_VALUE"""),FALSE)</f>
        <v>0</v>
      </c>
      <c r="Q8786" s="20" t="str">
        <f>IFERROR(__xludf.DUMMYFUNCTION("""COMPUTED_VALUE"""),"")</f>
        <v/>
      </c>
      <c r="R8786" s="21" t="str">
        <f>IFERROR(__xludf.DUMMYFUNCTION("""COMPUTED_VALUE"""),"https://drive.google.com/file/d/18xABynaaznVTIDKcl2MBumxM-RfqeFeS/view?usp=drivesdk")</f>
        <v>https://drive.google.com/file/d/18xABynaaznVTIDKcl2MBumxM-RfqeFeS/view?usp=drivesdk</v>
      </c>
    </row>
    <row r="8787">
      <c r="A8787" s="17" t="str">
        <f>IFERROR(__xludf.DUMMYFUNCTION("""COMPUTED_VALUE"""),"")</f>
        <v/>
      </c>
      <c r="B8787" s="17" t="str">
        <f>IFERROR(__xludf.DUMMYFUNCTION("""COMPUTED_VALUE"""),"")</f>
        <v/>
      </c>
      <c r="C8787" s="17" t="str">
        <f>IFERROR(__xludf.DUMMYFUNCTION("""COMPUTED_VALUE"""),"")</f>
        <v/>
      </c>
      <c r="D8787" s="17" t="str">
        <f>IFERROR(__xludf.DUMMYFUNCTION("""COMPUTED_VALUE"""),"")</f>
        <v/>
      </c>
      <c r="E8787" s="17" t="str">
        <f>IFERROR(__xludf.DUMMYFUNCTION("""COMPUTED_VALUE"""),"")</f>
        <v/>
      </c>
      <c r="F8787" s="17" t="str">
        <f>IFERROR(__xludf.DUMMYFUNCTION("""COMPUTED_VALUE"""),"")</f>
        <v/>
      </c>
      <c r="G8787" s="17" t="str">
        <f>IFERROR(__xludf.DUMMYFUNCTION("""COMPUTED_VALUE"""),"")</f>
        <v/>
      </c>
      <c r="H8787" s="17" t="str">
        <f>IFERROR(__xludf.DUMMYFUNCTION("""COMPUTED_VALUE"""),"")</f>
        <v/>
      </c>
      <c r="I8787" s="17" t="str">
        <f>IFERROR(__xludf.DUMMYFUNCTION("""COMPUTED_VALUE"""),"")</f>
        <v/>
      </c>
      <c r="J8787" s="17" t="str">
        <f>IFERROR(__xludf.DUMMYFUNCTION("""COMPUTED_VALUE"""),"")</f>
        <v/>
      </c>
      <c r="K8787" s="17" t="str">
        <f>IFERROR(__xludf.DUMMYFUNCTION("""COMPUTED_VALUE"""),"")</f>
        <v/>
      </c>
      <c r="L8787" s="17" t="str">
        <f>IFERROR(__xludf.DUMMYFUNCTION("""COMPUTED_VALUE"""),"")</f>
        <v/>
      </c>
      <c r="M8787" s="17" t="str">
        <f>IFERROR(__xludf.DUMMYFUNCTION("""COMPUTED_VALUE"""),"")</f>
        <v/>
      </c>
      <c r="N8787" s="17" t="str">
        <f>IFERROR(__xludf.DUMMYFUNCTION("""COMPUTED_VALUE"""),"")</f>
        <v/>
      </c>
      <c r="O8787" s="17" t="str">
        <f>IFERROR(__xludf.DUMMYFUNCTION("""COMPUTED_VALUE"""),"")</f>
        <v/>
      </c>
      <c r="P8787" s="17" t="str">
        <f>IFERROR(__xludf.DUMMYFUNCTION("""COMPUTED_VALUE"""),"")</f>
        <v/>
      </c>
      <c r="Q8787" s="17" t="str">
        <f>IFERROR(__xludf.DUMMYFUNCTION("""COMPUTED_VALUE"""),"")</f>
        <v/>
      </c>
      <c r="R8787" s="17" t="str">
        <f>IFERROR(__xludf.DUMMYFUNCTION("""COMPUTED_VALUE"""),"")</f>
        <v/>
      </c>
    </row>
    <row r="8788">
      <c r="A8788" s="15">
        <f>IFERROR(__xludf.DUMMYFUNCTION("""COMPUTED_VALUE"""),45251.0)</f>
        <v>45251</v>
      </c>
      <c r="B8788" s="16" t="str">
        <f>IFERROR(__xludf.DUMMYFUNCTION("""COMPUTED_VALUE"""),"JOSE ALFREDO RAMIREZ VERGARA ")</f>
        <v>JOSE ALFREDO RAMIREZ VERGARA </v>
      </c>
      <c r="C8788" s="15" t="str">
        <f>IFERROR(__xludf.DUMMYFUNCTION("""COMPUTED_VALUE"""),"MANIZALES")</f>
        <v>MANIZALES</v>
      </c>
      <c r="D8788" s="15" t="str">
        <f>IFERROR(__xludf.DUMMYFUNCTION("""COMPUTED_VALUE"""),"MEDELLÍN")</f>
        <v>MEDELLÍN</v>
      </c>
      <c r="E8788" s="15" t="str">
        <f>IFERROR(__xludf.DUMMYFUNCTION("""COMPUTED_VALUE"""),"AREPAS LA MARY")</f>
        <v>AREPAS LA MARY</v>
      </c>
      <c r="F8788" s="17" t="str">
        <f>IFERROR(__xludf.DUMMYFUNCTION("""COMPUTED_VALUE"""),"VIA MAGDALENA N.103 03 CASA 19 / CONJ. VALLES DE LA ALHAMBRA")</f>
        <v>VIA MAGDALENA N.103 03 CASA 19 / CONJ. VALLES DE LA ALHAMBRA</v>
      </c>
      <c r="G8788" s="15" t="str">
        <f>IFERROR(__xludf.DUMMYFUNCTION("""COMPUTED_VALUE"""),"PAULA BIBI")</f>
        <v>PAULA BIBI</v>
      </c>
      <c r="H8788" s="16">
        <f>IFERROR(__xludf.DUMMYFUNCTION("""COMPUTED_VALUE"""),17460.0)</f>
        <v>17460</v>
      </c>
      <c r="I8788" s="17"/>
      <c r="J8788" s="17"/>
      <c r="K8788" s="17"/>
      <c r="L8788" s="17">
        <f>IFERROR(__xludf.DUMMYFUNCTION("""COMPUTED_VALUE"""),3.209268656E9)</f>
        <v>3209268656</v>
      </c>
      <c r="M8788" s="17"/>
      <c r="N8788" s="17"/>
      <c r="O8788" s="17"/>
      <c r="P8788" s="17" t="b">
        <f>IFERROR(__xludf.DUMMYFUNCTION("""COMPUTED_VALUE"""),FALSE)</f>
        <v>0</v>
      </c>
      <c r="Q8788" s="20" t="str">
        <f>IFERROR(__xludf.DUMMYFUNCTION("""COMPUTED_VALUE"""),"")</f>
        <v/>
      </c>
      <c r="R8788" s="21" t="str">
        <f>IFERROR(__xludf.DUMMYFUNCTION("""COMPUTED_VALUE"""),"https://drive.google.com/file/d/1HcjF0gniNguHIvPSVnFoF0c0E0GlDF7o/view?usp=drivesdk")</f>
        <v>https://drive.google.com/file/d/1HcjF0gniNguHIvPSVnFoF0c0E0GlDF7o/view?usp=drivesdk</v>
      </c>
    </row>
    <row r="8789">
      <c r="A8789" s="17" t="str">
        <f>IFERROR(__xludf.DUMMYFUNCTION("""COMPUTED_VALUE"""),"")</f>
        <v/>
      </c>
      <c r="B8789" s="17" t="str">
        <f>IFERROR(__xludf.DUMMYFUNCTION("""COMPUTED_VALUE"""),"")</f>
        <v/>
      </c>
      <c r="C8789" s="17" t="str">
        <f>IFERROR(__xludf.DUMMYFUNCTION("""COMPUTED_VALUE"""),"")</f>
        <v/>
      </c>
      <c r="D8789" s="17" t="str">
        <f>IFERROR(__xludf.DUMMYFUNCTION("""COMPUTED_VALUE"""),"")</f>
        <v/>
      </c>
      <c r="E8789" s="17" t="str">
        <f>IFERROR(__xludf.DUMMYFUNCTION("""COMPUTED_VALUE"""),"")</f>
        <v/>
      </c>
      <c r="F8789" s="17" t="str">
        <f>IFERROR(__xludf.DUMMYFUNCTION("""COMPUTED_VALUE"""),"")</f>
        <v/>
      </c>
      <c r="G8789" s="17" t="str">
        <f>IFERROR(__xludf.DUMMYFUNCTION("""COMPUTED_VALUE"""),"")</f>
        <v/>
      </c>
      <c r="H8789" s="17" t="str">
        <f>IFERROR(__xludf.DUMMYFUNCTION("""COMPUTED_VALUE"""),"")</f>
        <v/>
      </c>
      <c r="I8789" s="17" t="str">
        <f>IFERROR(__xludf.DUMMYFUNCTION("""COMPUTED_VALUE"""),"")</f>
        <v/>
      </c>
      <c r="J8789" s="17" t="str">
        <f>IFERROR(__xludf.DUMMYFUNCTION("""COMPUTED_VALUE"""),"")</f>
        <v/>
      </c>
      <c r="K8789" s="17" t="str">
        <f>IFERROR(__xludf.DUMMYFUNCTION("""COMPUTED_VALUE"""),"")</f>
        <v/>
      </c>
      <c r="L8789" s="17" t="str">
        <f>IFERROR(__xludf.DUMMYFUNCTION("""COMPUTED_VALUE"""),"")</f>
        <v/>
      </c>
      <c r="M8789" s="17" t="str">
        <f>IFERROR(__xludf.DUMMYFUNCTION("""COMPUTED_VALUE"""),"")</f>
        <v/>
      </c>
      <c r="N8789" s="17" t="str">
        <f>IFERROR(__xludf.DUMMYFUNCTION("""COMPUTED_VALUE"""),"")</f>
        <v/>
      </c>
      <c r="O8789" s="17" t="str">
        <f>IFERROR(__xludf.DUMMYFUNCTION("""COMPUTED_VALUE"""),"")</f>
        <v/>
      </c>
      <c r="P8789" s="17" t="str">
        <f>IFERROR(__xludf.DUMMYFUNCTION("""COMPUTED_VALUE"""),"")</f>
        <v/>
      </c>
      <c r="Q8789" s="17" t="str">
        <f>IFERROR(__xludf.DUMMYFUNCTION("""COMPUTED_VALUE"""),"")</f>
        <v/>
      </c>
      <c r="R8789" s="17" t="str">
        <f>IFERROR(__xludf.DUMMYFUNCTION("""COMPUTED_VALUE"""),"")</f>
        <v/>
      </c>
    </row>
    <row r="8790">
      <c r="A8790" s="15">
        <f>IFERROR(__xludf.DUMMYFUNCTION("""COMPUTED_VALUE"""),45251.0)</f>
        <v>45251</v>
      </c>
      <c r="B8790" s="16" t="str">
        <f>IFERROR(__xludf.DUMMYFUNCTION("""COMPUTED_VALUE"""),"Julián Alexis salazar Anaya ")</f>
        <v>Julián Alexis salazar Anaya </v>
      </c>
      <c r="C8790" s="15" t="str">
        <f>IFERROR(__xludf.DUMMYFUNCTION("""COMPUTED_VALUE"""),"BOGOTÁ")</f>
        <v>BOGOTÁ</v>
      </c>
      <c r="D8790" s="15" t="str">
        <f>IFERROR(__xludf.DUMMYFUNCTION("""COMPUTED_VALUE"""),"BOGOTÁ")</f>
        <v>BOGOTÁ</v>
      </c>
      <c r="E8790" s="15" t="str">
        <f>IFERROR(__xludf.DUMMYFUNCTION("""COMPUTED_VALUE"""),"MAI ALIMENTOS REALES")</f>
        <v>MAI ALIMENTOS REALES</v>
      </c>
      <c r="F8790" s="17" t="str">
        <f>IFERROR(__xludf.DUMMYFUNCTION("""COMPUTED_VALUE"""),"Carrera 42 # 75 – 367 / Servicio de Almacenamiento octubre")</f>
        <v>Carrera 42 # 75 – 367 / Servicio de Almacenamiento octubre</v>
      </c>
      <c r="G8790" s="15" t="str">
        <f>IFERROR(__xludf.DUMMYFUNCTION("""COMPUTED_VALUE"""),"Servicio de Almacenamiento octubre")</f>
        <v>Servicio de Almacenamiento octubre</v>
      </c>
      <c r="H8790" s="16">
        <f>IFERROR(__xludf.DUMMYFUNCTION("""COMPUTED_VALUE"""),17434.0)</f>
        <v>17434</v>
      </c>
      <c r="I8790" s="17"/>
      <c r="J8790" s="17"/>
      <c r="K8790" s="17"/>
      <c r="L8790" s="17">
        <f>IFERROR(__xludf.DUMMYFUNCTION("""COMPUTED_VALUE"""),3.187351593E9)</f>
        <v>3187351593</v>
      </c>
      <c r="M8790" s="17"/>
      <c r="N8790" s="17"/>
      <c r="O8790" s="17"/>
      <c r="P8790" s="17" t="b">
        <f>IFERROR(__xludf.DUMMYFUNCTION("""COMPUTED_VALUE"""),FALSE)</f>
        <v>0</v>
      </c>
      <c r="Q8790" s="20" t="str">
        <f>IFERROR(__xludf.DUMMYFUNCTION("""COMPUTED_VALUE"""),"")</f>
        <v/>
      </c>
      <c r="R8790" s="22" t="str">
        <f>IFERROR(__xludf.DUMMYFUNCTION("""COMPUTED_VALUE"""),"")</f>
        <v/>
      </c>
    </row>
    <row r="8791">
      <c r="A8791" s="15">
        <f>IFERROR(__xludf.DUMMYFUNCTION("""COMPUTED_VALUE"""),45251.0)</f>
        <v>45251</v>
      </c>
      <c r="B8791" s="16" t="str">
        <f>IFERROR(__xludf.DUMMYFUNCTION("""COMPUTED_VALUE"""),"Julián Alexis salazar Anaya ")</f>
        <v>Julián Alexis salazar Anaya </v>
      </c>
      <c r="C8791" s="15" t="str">
        <f>IFERROR(__xludf.DUMMYFUNCTION("""COMPUTED_VALUE"""),"BOGOTÁ")</f>
        <v>BOGOTÁ</v>
      </c>
      <c r="D8791" s="15" t="str">
        <f>IFERROR(__xludf.DUMMYFUNCTION("""COMPUTED_VALUE"""),"BUCARAMANGA")</f>
        <v>BUCARAMANGA</v>
      </c>
      <c r="E8791" s="15" t="str">
        <f>IFERROR(__xludf.DUMMYFUNCTION("""COMPUTED_VALUE"""),"Yo Como Solito")</f>
        <v>Yo Como Solito</v>
      </c>
      <c r="F8791" s="17" t="str">
        <f>IFERROR(__xludf.DUMMYFUNCTION("""COMPUTED_VALUE"""),"CARRERA 45A #128-62 / CARRERA 45A #128-62 / CARRERA 45A #128-62")</f>
        <v>CARRERA 45A #128-62 / CARRERA 45A #128-62 / CARRERA 45A #128-62</v>
      </c>
      <c r="G8791" s="15" t="str">
        <f>IFERROR(__xludf.DUMMYFUNCTION("""COMPUTED_VALUE"""),"LINA PAOLA RAMIREZ")</f>
        <v>LINA PAOLA RAMIREZ</v>
      </c>
      <c r="H8791" s="16">
        <f>IFERROR(__xludf.DUMMYFUNCTION("""COMPUTED_VALUE"""),17445.0)</f>
        <v>17445</v>
      </c>
      <c r="I8791" s="18">
        <f>IFERROR(__xludf.DUMMYFUNCTION("""COMPUTED_VALUE"""),50.0)</f>
        <v>50</v>
      </c>
      <c r="J8791" s="18">
        <f>IFERROR(__xludf.DUMMYFUNCTION("""COMPUTED_VALUE"""),46.0)</f>
        <v>46</v>
      </c>
      <c r="K8791" s="18">
        <f>IFERROR(__xludf.DUMMYFUNCTION("""COMPUTED_VALUE"""),39.0)</f>
        <v>39</v>
      </c>
      <c r="L8791" s="17">
        <f>IFERROR(__xludf.DUMMYFUNCTION("""COMPUTED_VALUE"""),3.12327346E9)</f>
        <v>3123273460</v>
      </c>
      <c r="M8791" s="17"/>
      <c r="N8791" s="17"/>
      <c r="O8791" s="17"/>
      <c r="P8791" s="17" t="b">
        <f>IFERROR(__xludf.DUMMYFUNCTION("""COMPUTED_VALUE"""),FALSE)</f>
        <v>0</v>
      </c>
      <c r="Q8791" s="20" t="str">
        <f>IFERROR(__xludf.DUMMYFUNCTION("""COMPUTED_VALUE"""),"")</f>
        <v/>
      </c>
      <c r="R8791" s="22" t="str">
        <f>IFERROR(__xludf.DUMMYFUNCTION("""COMPUTED_VALUE"""),"")</f>
        <v/>
      </c>
    </row>
    <row r="8792">
      <c r="A8792" s="17" t="str">
        <f>IFERROR(__xludf.DUMMYFUNCTION("""COMPUTED_VALUE"""),"")</f>
        <v/>
      </c>
      <c r="B8792" s="17" t="str">
        <f>IFERROR(__xludf.DUMMYFUNCTION("""COMPUTED_VALUE"""),"")</f>
        <v/>
      </c>
      <c r="C8792" s="17" t="str">
        <f>IFERROR(__xludf.DUMMYFUNCTION("""COMPUTED_VALUE"""),"")</f>
        <v/>
      </c>
      <c r="D8792" s="17" t="str">
        <f>IFERROR(__xludf.DUMMYFUNCTION("""COMPUTED_VALUE"""),"")</f>
        <v/>
      </c>
      <c r="E8792" s="17" t="str">
        <f>IFERROR(__xludf.DUMMYFUNCTION("""COMPUTED_VALUE"""),"")</f>
        <v/>
      </c>
      <c r="F8792" s="17" t="str">
        <f>IFERROR(__xludf.DUMMYFUNCTION("""COMPUTED_VALUE"""),"")</f>
        <v/>
      </c>
      <c r="G8792" s="17" t="str">
        <f>IFERROR(__xludf.DUMMYFUNCTION("""COMPUTED_VALUE"""),"")</f>
        <v/>
      </c>
      <c r="H8792" s="17" t="str">
        <f>IFERROR(__xludf.DUMMYFUNCTION("""COMPUTED_VALUE"""),"")</f>
        <v/>
      </c>
      <c r="I8792" s="17" t="str">
        <f>IFERROR(__xludf.DUMMYFUNCTION("""COMPUTED_VALUE"""),"")</f>
        <v/>
      </c>
      <c r="J8792" s="17" t="str">
        <f>IFERROR(__xludf.DUMMYFUNCTION("""COMPUTED_VALUE"""),"")</f>
        <v/>
      </c>
      <c r="K8792" s="17" t="str">
        <f>IFERROR(__xludf.DUMMYFUNCTION("""COMPUTED_VALUE"""),"")</f>
        <v/>
      </c>
      <c r="L8792" s="17" t="str">
        <f>IFERROR(__xludf.DUMMYFUNCTION("""COMPUTED_VALUE"""),"")</f>
        <v/>
      </c>
      <c r="M8792" s="17" t="str">
        <f>IFERROR(__xludf.DUMMYFUNCTION("""COMPUTED_VALUE"""),"")</f>
        <v/>
      </c>
      <c r="N8792" s="17" t="str">
        <f>IFERROR(__xludf.DUMMYFUNCTION("""COMPUTED_VALUE"""),"")</f>
        <v/>
      </c>
      <c r="O8792" s="17" t="str">
        <f>IFERROR(__xludf.DUMMYFUNCTION("""COMPUTED_VALUE"""),"")</f>
        <v/>
      </c>
      <c r="P8792" s="17" t="str">
        <f>IFERROR(__xludf.DUMMYFUNCTION("""COMPUTED_VALUE"""),"")</f>
        <v/>
      </c>
      <c r="Q8792" s="17" t="str">
        <f>IFERROR(__xludf.DUMMYFUNCTION("""COMPUTED_VALUE"""),"")</f>
        <v/>
      </c>
      <c r="R8792" s="17" t="str">
        <f>IFERROR(__xludf.DUMMYFUNCTION("""COMPUTED_VALUE"""),"")</f>
        <v/>
      </c>
    </row>
    <row r="8793">
      <c r="A8793" s="15">
        <f>IFERROR(__xludf.DUMMYFUNCTION("""COMPUTED_VALUE"""),45251.0)</f>
        <v>45251</v>
      </c>
      <c r="B8793" s="16" t="str">
        <f>IFERROR(__xludf.DUMMYFUNCTION("""COMPUTED_VALUE"""),"Kevin Andrés puerta Jaramillo")</f>
        <v>Kevin Andrés puerta Jaramillo</v>
      </c>
      <c r="C8793" s="15" t="str">
        <f>IFERROR(__xludf.DUMMYFUNCTION("""COMPUTED_VALUE"""),"ENVIGADO")</f>
        <v>ENVIGADO</v>
      </c>
      <c r="D8793" s="15" t="str">
        <f>IFERROR(__xludf.DUMMYFUNCTION("""COMPUTED_VALUE"""),"BOGOTÁ")</f>
        <v>BOGOTÁ</v>
      </c>
      <c r="E8793" s="15" t="str">
        <f>IFERROR(__xludf.DUMMYFUNCTION("""COMPUTED_VALUE"""),"LINA PAOLA RAMIREZ GOMEZ - EVA MAZZITA")</f>
        <v>LINA PAOLA RAMIREZ GOMEZ - EVA MAZZITA</v>
      </c>
      <c r="F8793" s="17" t="str">
        <f>IFERROR(__xludf.DUMMYFUNCTION("""COMPUTED_VALUE"""),"CALLE 40 C SUR #42 28 / CASA PRIMER PISO")</f>
        <v>CALLE 40 C SUR #42 28 / CASA PRIMER PISO</v>
      </c>
      <c r="G8793" s="15" t="str">
        <f>IFERROR(__xludf.DUMMYFUNCTION("""COMPUTED_VALUE"""),"LIZETH ARANGO")</f>
        <v>LIZETH ARANGO</v>
      </c>
      <c r="H8793" s="16">
        <f>IFERROR(__xludf.DUMMYFUNCTION("""COMPUTED_VALUE"""),17469.0)</f>
        <v>17469</v>
      </c>
      <c r="I8793" s="17"/>
      <c r="J8793" s="17"/>
      <c r="K8793" s="17"/>
      <c r="L8793" s="17">
        <f>IFERROR(__xludf.DUMMYFUNCTION("""COMPUTED_VALUE"""),3.152227165E9)</f>
        <v>3152227165</v>
      </c>
      <c r="M8793" s="17"/>
      <c r="N8793" s="17"/>
      <c r="O8793" s="17"/>
      <c r="P8793" s="17" t="b">
        <f>IFERROR(__xludf.DUMMYFUNCTION("""COMPUTED_VALUE"""),FALSE)</f>
        <v>0</v>
      </c>
      <c r="Q8793" s="20" t="str">
        <f>IFERROR(__xludf.DUMMYFUNCTION("""COMPUTED_VALUE"""),"")</f>
        <v/>
      </c>
      <c r="R8793" s="21" t="str">
        <f>IFERROR(__xludf.DUMMYFUNCTION("""COMPUTED_VALUE"""),"https://drive.google.com/file/d/1j4ZCWnd4BUeCnWkusbVpPtdL5KiGGCmn/view?usp=drivesdk")</f>
        <v>https://drive.google.com/file/d/1j4ZCWnd4BUeCnWkusbVpPtdL5KiGGCmn/view?usp=drivesdk</v>
      </c>
    </row>
    <row r="8794">
      <c r="A8794" s="15">
        <f>IFERROR(__xludf.DUMMYFUNCTION("""COMPUTED_VALUE"""),45251.0)</f>
        <v>45251</v>
      </c>
      <c r="B8794" s="16" t="str">
        <f>IFERROR(__xludf.DUMMYFUNCTION("""COMPUTED_VALUE"""),"Kevin Andrés puerta Jaramillo")</f>
        <v>Kevin Andrés puerta Jaramillo</v>
      </c>
      <c r="C8794" s="15" t="str">
        <f>IFERROR(__xludf.DUMMYFUNCTION("""COMPUTED_VALUE"""),"ENVIGADO")</f>
        <v>ENVIGADO</v>
      </c>
      <c r="D8794" s="15" t="str">
        <f>IFERROR(__xludf.DUMMYFUNCTION("""COMPUTED_VALUE"""),"BOGOTÁ")</f>
        <v>BOGOTÁ</v>
      </c>
      <c r="E8794" s="15" t="str">
        <f>IFERROR(__xludf.DUMMYFUNCTION("""COMPUTED_VALUE"""),"Top Spun")</f>
        <v>Top Spun</v>
      </c>
      <c r="F8794" s="17" t="str">
        <f>IFERROR(__xludf.DUMMYFUNCTION("""COMPUTED_VALUE"""),"Calle 36 sur # 22-05 /  interior(casa)123 Unidad aguas claras / Loma el chocho")</f>
        <v>Calle 36 sur # 22-05 /  interior(casa)123 Unidad aguas claras / Loma el chocho</v>
      </c>
      <c r="G8794" s="15" t="str">
        <f>IFERROR(__xludf.DUMMYFUNCTION("""COMPUTED_VALUE"""),"Patricia Mejia")</f>
        <v>Patricia Mejia</v>
      </c>
      <c r="H8794" s="16">
        <f>IFERROR(__xludf.DUMMYFUNCTION("""COMPUTED_VALUE"""),17414.0)</f>
        <v>17414</v>
      </c>
      <c r="I8794" s="18">
        <f>IFERROR(__xludf.DUMMYFUNCTION("""COMPUTED_VALUE"""),20.0)</f>
        <v>20</v>
      </c>
      <c r="J8794" s="18">
        <f>IFERROR(__xludf.DUMMYFUNCTION("""COMPUTED_VALUE"""),10.0)</f>
        <v>10</v>
      </c>
      <c r="K8794" s="18">
        <f>IFERROR(__xludf.DUMMYFUNCTION("""COMPUTED_VALUE"""),40.0)</f>
        <v>40</v>
      </c>
      <c r="L8794" s="17">
        <f>IFERROR(__xludf.DUMMYFUNCTION("""COMPUTED_VALUE"""),3.113128062E9)</f>
        <v>3113128062</v>
      </c>
      <c r="M8794" s="17"/>
      <c r="N8794" s="17"/>
      <c r="O8794" s="17"/>
      <c r="P8794" s="17" t="b">
        <f>IFERROR(__xludf.DUMMYFUNCTION("""COMPUTED_VALUE"""),FALSE)</f>
        <v>0</v>
      </c>
      <c r="Q8794" s="20" t="str">
        <f>IFERROR(__xludf.DUMMYFUNCTION("""COMPUTED_VALUE"""),"")</f>
        <v/>
      </c>
      <c r="R8794" s="21" t="str">
        <f>IFERROR(__xludf.DUMMYFUNCTION("""COMPUTED_VALUE"""),"https://drive.google.com/file/d/1Loql20rAzSUYV44bcGqdQGxcLn8SMcbX/view?usp=drivesdk")</f>
        <v>https://drive.google.com/file/d/1Loql20rAzSUYV44bcGqdQGxcLn8SMcbX/view?usp=drivesdk</v>
      </c>
    </row>
    <row r="8795">
      <c r="A8795" s="15">
        <f>IFERROR(__xludf.DUMMYFUNCTION("""COMPUTED_VALUE"""),45251.0)</f>
        <v>45251</v>
      </c>
      <c r="B8795" s="16" t="str">
        <f>IFERROR(__xludf.DUMMYFUNCTION("""COMPUTED_VALUE"""),"Kevin Andrés puerta Jaramillo")</f>
        <v>Kevin Andrés puerta Jaramillo</v>
      </c>
      <c r="C8795" s="15" t="str">
        <f>IFERROR(__xludf.DUMMYFUNCTION("""COMPUTED_VALUE"""),"JAMUNDI")</f>
        <v>JAMUNDI</v>
      </c>
      <c r="D8795" s="15" t="str">
        <f>IFERROR(__xludf.DUMMYFUNCTION("""COMPUTED_VALUE"""),"BOGOTÁ")</f>
        <v>BOGOTÁ</v>
      </c>
      <c r="E8795" s="15" t="str">
        <f>IFERROR(__xludf.DUMMYFUNCTION("""COMPUTED_VALUE"""),"50 Gr Alfajores")</f>
        <v>50 Gr Alfajores</v>
      </c>
      <c r="F8795" s="17" t="str">
        <f>IFERROR(__xludf.DUMMYFUNCTION("""COMPUTED_VALUE"""),"Vía circunvalar # 254A-162 / Conjunto coclí / casa 77  / ciudad contry")</f>
        <v>Vía circunvalar # 254A-162 / Conjunto coclí / casa 77  / ciudad contry</v>
      </c>
      <c r="G8795" s="15" t="str">
        <f>IFERROR(__xludf.DUMMYFUNCTION("""COMPUTED_VALUE"""),"Stephania Croes")</f>
        <v>Stephania Croes</v>
      </c>
      <c r="H8795" s="16">
        <f>IFERROR(__xludf.DUMMYFUNCTION("""COMPUTED_VALUE"""),17493.0)</f>
        <v>17493</v>
      </c>
      <c r="I8795" s="18">
        <f>IFERROR(__xludf.DUMMYFUNCTION("""COMPUTED_VALUE"""),5.0)</f>
        <v>5</v>
      </c>
      <c r="J8795" s="18">
        <f>IFERROR(__xludf.DUMMYFUNCTION("""COMPUTED_VALUE"""),19.0)</f>
        <v>19</v>
      </c>
      <c r="K8795" s="18">
        <f>IFERROR(__xludf.DUMMYFUNCTION("""COMPUTED_VALUE"""),19.0)</f>
        <v>19</v>
      </c>
      <c r="L8795" s="17">
        <f>IFERROR(__xludf.DUMMYFUNCTION("""COMPUTED_VALUE"""),3.005180481E9)</f>
        <v>3005180481</v>
      </c>
      <c r="M8795" s="17"/>
      <c r="N8795" s="17"/>
      <c r="O8795" s="17"/>
      <c r="P8795" s="17" t="b">
        <f>IFERROR(__xludf.DUMMYFUNCTION("""COMPUTED_VALUE"""),FALSE)</f>
        <v>0</v>
      </c>
      <c r="Q8795" s="20" t="str">
        <f>IFERROR(__xludf.DUMMYFUNCTION("""COMPUTED_VALUE"""),"")</f>
        <v/>
      </c>
      <c r="R8795" s="21" t="str">
        <f>IFERROR(__xludf.DUMMYFUNCTION("""COMPUTED_VALUE"""),"https://drive.google.com/file/d/1Qpc-QqDm64Sc2WC_ya-jngcsKSacJ2-j/view?usp=drivesdk")</f>
        <v>https://drive.google.com/file/d/1Qpc-QqDm64Sc2WC_ya-jngcsKSacJ2-j/view?usp=drivesdk</v>
      </c>
    </row>
    <row r="8796">
      <c r="A8796" s="15">
        <f>IFERROR(__xludf.DUMMYFUNCTION("""COMPUTED_VALUE"""),45251.0)</f>
        <v>45251</v>
      </c>
      <c r="B8796" s="16" t="str">
        <f>IFERROR(__xludf.DUMMYFUNCTION("""COMPUTED_VALUE"""),"Kevin Andrés puerta Jaramillo")</f>
        <v>Kevin Andrés puerta Jaramillo</v>
      </c>
      <c r="C8796" s="15" t="str">
        <f>IFERROR(__xludf.DUMMYFUNCTION("""COMPUTED_VALUE"""),"MEDELLÍN")</f>
        <v>MEDELLÍN</v>
      </c>
      <c r="D8796" s="15" t="str">
        <f>IFERROR(__xludf.DUMMYFUNCTION("""COMPUTED_VALUE"""),"BOGOTÁ")</f>
        <v>BOGOTÁ</v>
      </c>
      <c r="E8796" s="15" t="str">
        <f>IFERROR(__xludf.DUMMYFUNCTION("""COMPUTED_VALUE"""),"Asociacion Agropecuaria Juana Maria")</f>
        <v>Asociacion Agropecuaria Juana Maria</v>
      </c>
      <c r="F8796" s="17" t="str">
        <f>IFERROR(__xludf.DUMMYFUNCTION("""COMPUTED_VALUE"""),"Autopista Medellin Bogota Retorno 6 Vereda San Isidro Sector el salado GUARNE ANTIOQUIA / Finca Centro de Psicoligia Canina Katty Arteaga")</f>
        <v>Autopista Medellin Bogota Retorno 6 Vereda San Isidro Sector el salado GUARNE ANTIOQUIA / Finca Centro de Psicoligia Canina Katty Arteaga</v>
      </c>
      <c r="G8796" s="15" t="str">
        <f>IFERROR(__xludf.DUMMYFUNCTION("""COMPUTED_VALUE"""),"Katty Arteaga")</f>
        <v>Katty Arteaga</v>
      </c>
      <c r="H8796" s="16">
        <f>IFERROR(__xludf.DUMMYFUNCTION("""COMPUTED_VALUE"""),17421.0)</f>
        <v>17421</v>
      </c>
      <c r="I8796" s="17"/>
      <c r="J8796" s="17"/>
      <c r="K8796" s="17"/>
      <c r="L8796" s="17">
        <f>IFERROR(__xludf.DUMMYFUNCTION("""COMPUTED_VALUE"""),3.013295248E9)</f>
        <v>3013295248</v>
      </c>
      <c r="M8796" s="17"/>
      <c r="N8796" s="17"/>
      <c r="O8796" s="17"/>
      <c r="P8796" s="17" t="b">
        <f>IFERROR(__xludf.DUMMYFUNCTION("""COMPUTED_VALUE"""),FALSE)</f>
        <v>0</v>
      </c>
      <c r="Q8796" s="20" t="str">
        <f>IFERROR(__xludf.DUMMYFUNCTION("""COMPUTED_VALUE"""),"")</f>
        <v/>
      </c>
      <c r="R8796" s="22" t="str">
        <f>IFERROR(__xludf.DUMMYFUNCTION("""COMPUTED_VALUE"""),"")</f>
        <v/>
      </c>
    </row>
    <row r="8797">
      <c r="A8797" s="15">
        <f>IFERROR(__xludf.DUMMYFUNCTION("""COMPUTED_VALUE"""),45251.0)</f>
        <v>45251</v>
      </c>
      <c r="B8797" s="16" t="str">
        <f>IFERROR(__xludf.DUMMYFUNCTION("""COMPUTED_VALUE"""),"Kevin Andrés puerta Jaramillo")</f>
        <v>Kevin Andrés puerta Jaramillo</v>
      </c>
      <c r="C8797" s="15" t="str">
        <f>IFERROR(__xludf.DUMMYFUNCTION("""COMPUTED_VALUE"""),"MEDELLÍN")</f>
        <v>MEDELLÍN</v>
      </c>
      <c r="D8797" s="15" t="str">
        <f>IFERROR(__xludf.DUMMYFUNCTION("""COMPUTED_VALUE"""),"BOGOTÁ")</f>
        <v>BOGOTÁ</v>
      </c>
      <c r="E8797" s="15" t="str">
        <f>IFERROR(__xludf.DUMMYFUNCTION("""COMPUTED_VALUE"""),"Asociacion Agropecuaria Juana Maria")</f>
        <v>Asociacion Agropecuaria Juana Maria</v>
      </c>
      <c r="F8797" s="17" t="str">
        <f>IFERROR(__xludf.DUMMYFUNCTION("""COMPUTED_VALUE"""),"Carrera 15 BA # 30D-44 / int 201")</f>
        <v>Carrera 15 BA # 30D-44 / int 201</v>
      </c>
      <c r="G8797" s="15" t="str">
        <f>IFERROR(__xludf.DUMMYFUNCTION("""COMPUTED_VALUE"""),"Daniela Bedoya Blandon")</f>
        <v>Daniela Bedoya Blandon</v>
      </c>
      <c r="H8797" s="16">
        <f>IFERROR(__xludf.DUMMYFUNCTION("""COMPUTED_VALUE"""),17413.0)</f>
        <v>17413</v>
      </c>
      <c r="I8797" s="17"/>
      <c r="J8797" s="17"/>
      <c r="K8797" s="17"/>
      <c r="L8797" s="17">
        <f>IFERROR(__xludf.DUMMYFUNCTION("""COMPUTED_VALUE"""),3.14672822E9)</f>
        <v>3146728220</v>
      </c>
      <c r="M8797" s="17"/>
      <c r="N8797" s="17"/>
      <c r="O8797" s="17"/>
      <c r="P8797" s="17" t="b">
        <f>IFERROR(__xludf.DUMMYFUNCTION("""COMPUTED_VALUE"""),FALSE)</f>
        <v>0</v>
      </c>
      <c r="Q8797" s="20" t="str">
        <f>IFERROR(__xludf.DUMMYFUNCTION("""COMPUTED_VALUE"""),"")</f>
        <v/>
      </c>
      <c r="R8797" s="21" t="str">
        <f>IFERROR(__xludf.DUMMYFUNCTION("""COMPUTED_VALUE"""),"https://drive.google.com/file/d/1rv2M198b-6kdtqPgF2K37QaagkrJ2TSz/view?usp=drivesdk")</f>
        <v>https://drive.google.com/file/d/1rv2M198b-6kdtqPgF2K37QaagkrJ2TSz/view?usp=drivesdk</v>
      </c>
    </row>
    <row r="8798">
      <c r="A8798" s="15">
        <f>IFERROR(__xludf.DUMMYFUNCTION("""COMPUTED_VALUE"""),45251.0)</f>
        <v>45251</v>
      </c>
      <c r="B8798" s="16" t="str">
        <f>IFERROR(__xludf.DUMMYFUNCTION("""COMPUTED_VALUE"""),"Kevin Andrés puerta Jaramillo")</f>
        <v>Kevin Andrés puerta Jaramillo</v>
      </c>
      <c r="C8798" s="15" t="str">
        <f>IFERROR(__xludf.DUMMYFUNCTION("""COMPUTED_VALUE"""),"MEDELLÍN")</f>
        <v>MEDELLÍN</v>
      </c>
      <c r="D8798" s="15" t="str">
        <f>IFERROR(__xludf.DUMMYFUNCTION("""COMPUTED_VALUE"""),"BOGOTÁ")</f>
        <v>BOGOTÁ</v>
      </c>
      <c r="E8798" s="15" t="str">
        <f>IFERROR(__xludf.DUMMYFUNCTION("""COMPUTED_VALUE"""),"Asociacion Agropecuaria Juana Maria")</f>
        <v>Asociacion Agropecuaria Juana Maria</v>
      </c>
      <c r="F8798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8798" s="15" t="str">
        <f>IFERROR(__xludf.DUMMYFUNCTION("""COMPUTED_VALUE"""),"Jennifer Sanchez Blandon")</f>
        <v>Jennifer Sanchez Blandon</v>
      </c>
      <c r="H8798" s="16">
        <f>IFERROR(__xludf.DUMMYFUNCTION("""COMPUTED_VALUE"""),17418.0)</f>
        <v>17418</v>
      </c>
      <c r="I8798" s="17"/>
      <c r="J8798" s="17"/>
      <c r="K8798" s="17"/>
      <c r="L8798" s="17">
        <f>IFERROR(__xludf.DUMMYFUNCTION("""COMPUTED_VALUE"""),3.016937674E9)</f>
        <v>3016937674</v>
      </c>
      <c r="M8798" s="17"/>
      <c r="N8798" s="17"/>
      <c r="O8798" s="17"/>
      <c r="P8798" s="17" t="b">
        <f>IFERROR(__xludf.DUMMYFUNCTION("""COMPUTED_VALUE"""),FALSE)</f>
        <v>0</v>
      </c>
      <c r="Q8798" s="20" t="str">
        <f>IFERROR(__xludf.DUMMYFUNCTION("""COMPUTED_VALUE"""),"")</f>
        <v/>
      </c>
      <c r="R8798" s="21" t="str">
        <f>IFERROR(__xludf.DUMMYFUNCTION("""COMPUTED_VALUE"""),"https://drive.google.com/file/d/1TQJSG6BmUT574BuUW9D62h6PVrHYds1a/view?usp=drivesdk")</f>
        <v>https://drive.google.com/file/d/1TQJSG6BmUT574BuUW9D62h6PVrHYds1a/view?usp=drivesdk</v>
      </c>
    </row>
    <row r="8799">
      <c r="A8799" s="15">
        <f>IFERROR(__xludf.DUMMYFUNCTION("""COMPUTED_VALUE"""),45251.0)</f>
        <v>45251</v>
      </c>
      <c r="B8799" s="16" t="str">
        <f>IFERROR(__xludf.DUMMYFUNCTION("""COMPUTED_VALUE"""),"Kevin Andrés puerta Jaramillo")</f>
        <v>Kevin Andrés puerta Jaramillo</v>
      </c>
      <c r="C8799" s="15" t="str">
        <f>IFERROR(__xludf.DUMMYFUNCTION("""COMPUTED_VALUE"""),"MEDELLÍN")</f>
        <v>MEDELLÍN</v>
      </c>
      <c r="D8799" s="15" t="str">
        <f>IFERROR(__xludf.DUMMYFUNCTION("""COMPUTED_VALUE"""),"BOGOTÁ")</f>
        <v>BOGOTÁ</v>
      </c>
      <c r="E8799" s="15" t="str">
        <f>IFERROR(__xludf.DUMMYFUNCTION("""COMPUTED_VALUE"""),"FamiliaReal S.A.S")</f>
        <v>FamiliaReal S.A.S</v>
      </c>
      <c r="F8799" s="17" t="str">
        <f>IFERROR(__xludf.DUMMYFUNCTION("""COMPUTED_VALUE"""),"Carrera 72 #95 67 / tercer piso apto 302")</f>
        <v>Carrera 72 #95 67 / tercer piso apto 302</v>
      </c>
      <c r="G8799" s="15" t="str">
        <f>IFERROR(__xludf.DUMMYFUNCTION("""COMPUTED_VALUE"""),"Luz Adriana Posada Gómez")</f>
        <v>Luz Adriana Posada Gómez</v>
      </c>
      <c r="H8799" s="16">
        <f>IFERROR(__xludf.DUMMYFUNCTION("""COMPUTED_VALUE"""),17343.0)</f>
        <v>17343</v>
      </c>
      <c r="I8799" s="17"/>
      <c r="J8799" s="17"/>
      <c r="K8799" s="17"/>
      <c r="L8799" s="17">
        <f>IFERROR(__xludf.DUMMYFUNCTION("""COMPUTED_VALUE"""),3.006571416E9)</f>
        <v>3006571416</v>
      </c>
      <c r="M8799" s="17"/>
      <c r="N8799" s="17"/>
      <c r="O8799" s="17"/>
      <c r="P8799" s="17" t="b">
        <f>IFERROR(__xludf.DUMMYFUNCTION("""COMPUTED_VALUE"""),FALSE)</f>
        <v>0</v>
      </c>
      <c r="Q8799" s="20" t="str">
        <f>IFERROR(__xludf.DUMMYFUNCTION("""COMPUTED_VALUE"""),"")</f>
        <v/>
      </c>
      <c r="R8799" s="21" t="str">
        <f>IFERROR(__xludf.DUMMYFUNCTION("""COMPUTED_VALUE"""),"https://drive.google.com/file/d/1TXsJ2swxv8C0cZPslG1zvg2vQQe4fBvr/view?usp=drivesdk")</f>
        <v>https://drive.google.com/file/d/1TXsJ2swxv8C0cZPslG1zvg2vQQe4fBvr/view?usp=drivesdk</v>
      </c>
    </row>
    <row r="8800">
      <c r="A8800" s="15">
        <f>IFERROR(__xludf.DUMMYFUNCTION("""COMPUTED_VALUE"""),45251.0)</f>
        <v>45251</v>
      </c>
      <c r="B8800" s="16" t="str">
        <f>IFERROR(__xludf.DUMMYFUNCTION("""COMPUTED_VALUE"""),"Kevin Andrés puerta Jaramillo")</f>
        <v>Kevin Andrés puerta Jaramillo</v>
      </c>
      <c r="C8800" s="15" t="str">
        <f>IFERROR(__xludf.DUMMYFUNCTION("""COMPUTED_VALUE"""),"MEDELLÍN")</f>
        <v>MEDELLÍN</v>
      </c>
      <c r="D8800" s="15" t="str">
        <f>IFERROR(__xludf.DUMMYFUNCTION("""COMPUTED_VALUE"""),"BOGOTÁ")</f>
        <v>BOGOTÁ</v>
      </c>
      <c r="E8800" s="15" t="str">
        <f>IFERROR(__xludf.DUMMYFUNCTION("""COMPUTED_VALUE"""),"FamiliaReal S.A.S")</f>
        <v>FamiliaReal S.A.S</v>
      </c>
      <c r="F8800" s="17" t="str">
        <f>IFERROR(__xludf.DUMMYFUNCTION("""COMPUTED_VALUE"""),"Cra. 27 # 23 Sur-68 / Mall Comercial Distrito Avignon Mercado Saludable Local 106 Horario: 10 am - 7 pm")</f>
        <v>Cra. 27 # 23 Sur-68 / Mall Comercial Distrito Avignon Mercado Saludable Local 106 Horario: 10 am - 7 pm</v>
      </c>
      <c r="G8800" s="15" t="str">
        <f>IFERROR(__xludf.DUMMYFUNCTION("""COMPUTED_VALUE"""),"Frutal Exotic SAS")</f>
        <v>Frutal Exotic SAS</v>
      </c>
      <c r="H8800" s="16">
        <f>IFERROR(__xludf.DUMMYFUNCTION("""COMPUTED_VALUE"""),17354.0)</f>
        <v>17354</v>
      </c>
      <c r="I8800" s="17"/>
      <c r="J8800" s="17"/>
      <c r="K8800" s="17"/>
      <c r="L8800" s="17">
        <f>IFERROR(__xludf.DUMMYFUNCTION("""COMPUTED_VALUE"""),3.218310603E9)</f>
        <v>3218310603</v>
      </c>
      <c r="M8800" s="17"/>
      <c r="N8800" s="17"/>
      <c r="O8800" s="17"/>
      <c r="P8800" s="17" t="b">
        <f>IFERROR(__xludf.DUMMYFUNCTION("""COMPUTED_VALUE"""),FALSE)</f>
        <v>0</v>
      </c>
      <c r="Q8800" s="20" t="str">
        <f>IFERROR(__xludf.DUMMYFUNCTION("""COMPUTED_VALUE"""),"")</f>
        <v/>
      </c>
      <c r="R8800" s="21" t="str">
        <f>IFERROR(__xludf.DUMMYFUNCTION("""COMPUTED_VALUE"""),"https://drive.google.com/file/d/1E4CKv-330obOTTOm1wbjJ582m1eJe9Hy/view?usp=drivesdk")</f>
        <v>https://drive.google.com/file/d/1E4CKv-330obOTTOm1wbjJ582m1eJe9Hy/view?usp=drivesdk</v>
      </c>
    </row>
    <row r="8801">
      <c r="A8801" s="15">
        <f>IFERROR(__xludf.DUMMYFUNCTION("""COMPUTED_VALUE"""),45251.0)</f>
        <v>45251</v>
      </c>
      <c r="B8801" s="16" t="str">
        <f>IFERROR(__xludf.DUMMYFUNCTION("""COMPUTED_VALUE"""),"Kevin Andrés puerta Jaramillo")</f>
        <v>Kevin Andrés puerta Jaramillo</v>
      </c>
      <c r="C8801" s="15" t="str">
        <f>IFERROR(__xludf.DUMMYFUNCTION("""COMPUTED_VALUE"""),"MEDELLÍN")</f>
        <v>MEDELLÍN</v>
      </c>
      <c r="D8801" s="15" t="str">
        <f>IFERROR(__xludf.DUMMYFUNCTION("""COMPUTED_VALUE"""),"BOGOTÁ")</f>
        <v>BOGOTÁ</v>
      </c>
      <c r="E8801" s="15" t="str">
        <f>IFERROR(__xludf.DUMMYFUNCTION("""COMPUTED_VALUE"""),"Loomifoods")</f>
        <v>Loomifoods</v>
      </c>
      <c r="F8801" s="17" t="str">
        <f>IFERROR(__xludf.DUMMYFUNCTION("""COMPUTED_VALUE"""),"Bodega N° 3NP-B-02 Sótano S4 Rojo  / Parque Comercial El Tesoro / El Poblado")</f>
        <v>Bodega N° 3NP-B-02 Sótano S4 Rojo  / Parque Comercial El Tesoro / El Poblado</v>
      </c>
      <c r="G8801" s="15" t="str">
        <f>IFERROR(__xludf.DUMMYFUNCTION("""COMPUTED_VALUE"""),"Merkaorganico")</f>
        <v>Merkaorganico</v>
      </c>
      <c r="H8801" s="16">
        <f>IFERROR(__xludf.DUMMYFUNCTION("""COMPUTED_VALUE"""),17449.0)</f>
        <v>17449</v>
      </c>
      <c r="I8801" s="18">
        <f>IFERROR(__xludf.DUMMYFUNCTION("""COMPUTED_VALUE"""),50.0)</f>
        <v>50</v>
      </c>
      <c r="J8801" s="18">
        <f>IFERROR(__xludf.DUMMYFUNCTION("""COMPUTED_VALUE"""),30.0)</f>
        <v>30</v>
      </c>
      <c r="K8801" s="18">
        <f>IFERROR(__xludf.DUMMYFUNCTION("""COMPUTED_VALUE"""),21.0)</f>
        <v>21</v>
      </c>
      <c r="L8801" s="17">
        <f>IFERROR(__xludf.DUMMYFUNCTION("""COMPUTED_VALUE"""),3.053552603E9)</f>
        <v>3053552603</v>
      </c>
      <c r="M8801" s="17"/>
      <c r="N8801" s="17"/>
      <c r="O8801" s="17"/>
      <c r="P8801" s="17" t="b">
        <f>IFERROR(__xludf.DUMMYFUNCTION("""COMPUTED_VALUE"""),FALSE)</f>
        <v>0</v>
      </c>
      <c r="Q8801" s="20" t="str">
        <f>IFERROR(__xludf.DUMMYFUNCTION("""COMPUTED_VALUE"""),"")</f>
        <v/>
      </c>
      <c r="R8801" s="21" t="str">
        <f>IFERROR(__xludf.DUMMYFUNCTION("""COMPUTED_VALUE"""),"https://drive.google.com/file/d/1W-3ASPueoyXqmAj9nCkuK59NupLwf5wH/view?usp=drivesdk")</f>
        <v>https://drive.google.com/file/d/1W-3ASPueoyXqmAj9nCkuK59NupLwf5wH/view?usp=drivesdk</v>
      </c>
    </row>
    <row r="8802">
      <c r="A8802" s="15">
        <f>IFERROR(__xludf.DUMMYFUNCTION("""COMPUTED_VALUE"""),45251.0)</f>
        <v>45251</v>
      </c>
      <c r="B8802" s="16" t="str">
        <f>IFERROR(__xludf.DUMMYFUNCTION("""COMPUTED_VALUE"""),"Kevin Andrés puerta Jaramillo")</f>
        <v>Kevin Andrés puerta Jaramillo</v>
      </c>
      <c r="C8802" s="15" t="str">
        <f>IFERROR(__xludf.DUMMYFUNCTION("""COMPUTED_VALUE"""),"MEDELLÍN")</f>
        <v>MEDELLÍN</v>
      </c>
      <c r="D8802" s="15" t="str">
        <f>IFERROR(__xludf.DUMMYFUNCTION("""COMPUTED_VALUE"""),"BOGOTÁ")</f>
        <v>BOGOTÁ</v>
      </c>
      <c r="E8802" s="15" t="str">
        <f>IFERROR(__xludf.DUMMYFUNCTION("""COMPUTED_VALUE"""),"MAI ALIMENTOS REALES")</f>
        <v>MAI ALIMENTOS REALES</v>
      </c>
      <c r="F8802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802" s="15" t="str">
        <f>IFERROR(__xludf.DUMMYFUNCTION("""COMPUTED_VALUE"""),"Novaventas")</f>
        <v>Novaventas</v>
      </c>
      <c r="H8802" s="16">
        <f>IFERROR(__xludf.DUMMYFUNCTION("""COMPUTED_VALUE"""),17359.0)</f>
        <v>17359</v>
      </c>
      <c r="I8802" s="17"/>
      <c r="J8802" s="17"/>
      <c r="K8802" s="17"/>
      <c r="L8802" s="17">
        <f>IFERROR(__xludf.DUMMYFUNCTION("""COMPUTED_VALUE"""),3.187351593E9)</f>
        <v>3187351593</v>
      </c>
      <c r="M8802" s="17"/>
      <c r="N8802" s="17"/>
      <c r="O8802" s="17"/>
      <c r="P8802" s="17" t="b">
        <f>IFERROR(__xludf.DUMMYFUNCTION("""COMPUTED_VALUE"""),FALSE)</f>
        <v>0</v>
      </c>
      <c r="Q8802" s="20" t="str">
        <f>IFERROR(__xludf.DUMMYFUNCTION("""COMPUTED_VALUE"""),"")</f>
        <v/>
      </c>
      <c r="R8802" s="21" t="str">
        <f>IFERROR(__xludf.DUMMYFUNCTION("""COMPUTED_VALUE"""),"https://drive.google.com/file/d/1UWNU8APtxrYl9O_zA-rncF_iHlUrs7Dq/view?usp=drivesdk")</f>
        <v>https://drive.google.com/file/d/1UWNU8APtxrYl9O_zA-rncF_iHlUrs7Dq/view?usp=drivesdk</v>
      </c>
    </row>
    <row r="8803">
      <c r="A8803" s="15">
        <f>IFERROR(__xludf.DUMMYFUNCTION("""COMPUTED_VALUE"""),45251.0)</f>
        <v>45251</v>
      </c>
      <c r="B8803" s="16" t="str">
        <f>IFERROR(__xludf.DUMMYFUNCTION("""COMPUTED_VALUE"""),"Kevin Andrés puerta Jaramillo")</f>
        <v>Kevin Andrés puerta Jaramillo</v>
      </c>
      <c r="C8803" s="15" t="str">
        <f>IFERROR(__xludf.DUMMYFUNCTION("""COMPUTED_VALUE"""),"MEDELLÍN")</f>
        <v>MEDELLÍN</v>
      </c>
      <c r="D8803" s="15" t="str">
        <f>IFERROR(__xludf.DUMMYFUNCTION("""COMPUTED_VALUE"""),"BOGOTÁ")</f>
        <v>BOGOTÁ</v>
      </c>
      <c r="E8803" s="15" t="str">
        <f>IFERROR(__xludf.DUMMYFUNCTION("""COMPUTED_VALUE"""),"PAN DE WAFFLE")</f>
        <v>PAN DE WAFFLE</v>
      </c>
      <c r="F8803" s="17" t="str">
        <f>IFERROR(__xludf.DUMMYFUNCTION("""COMPUTED_VALUE"""),"Calle 46 # 82 - 59 Parque de Floresta Local 102 / Calle 46 # 82 - 59 Parque de Floresta Local 102")</f>
        <v>Calle 46 # 82 - 59 Parque de Floresta Local 102 / Calle 46 # 82 - 59 Parque de Floresta Local 102</v>
      </c>
      <c r="G8803" s="15" t="str">
        <f>IFERROR(__xludf.DUMMYFUNCTION("""COMPUTED_VALUE"""),"CAFE AMEDEUS")</f>
        <v>CAFE AMEDEUS</v>
      </c>
      <c r="H8803" s="16">
        <f>IFERROR(__xludf.DUMMYFUNCTION("""COMPUTED_VALUE"""),17463.0)</f>
        <v>17463</v>
      </c>
      <c r="I8803" s="17"/>
      <c r="J8803" s="17"/>
      <c r="K8803" s="17"/>
      <c r="L8803" s="17"/>
      <c r="M8803" s="17"/>
      <c r="N8803" s="17"/>
      <c r="O8803" s="17"/>
      <c r="P8803" s="17" t="b">
        <f>IFERROR(__xludf.DUMMYFUNCTION("""COMPUTED_VALUE"""),FALSE)</f>
        <v>0</v>
      </c>
      <c r="Q8803" s="20" t="str">
        <f>IFERROR(__xludf.DUMMYFUNCTION("""COMPUTED_VALUE"""),"")</f>
        <v/>
      </c>
      <c r="R8803" s="21" t="str">
        <f>IFERROR(__xludf.DUMMYFUNCTION("""COMPUTED_VALUE"""),"https://drive.google.com/file/d/153PU9rs2nZR4hKGWWxWQWlk4uDaKyr3h/view?usp=drivesdk")</f>
        <v>https://drive.google.com/file/d/153PU9rs2nZR4hKGWWxWQWlk4uDaKyr3h/view?usp=drivesdk</v>
      </c>
    </row>
    <row r="8804">
      <c r="A8804" s="15">
        <f>IFERROR(__xludf.DUMMYFUNCTION("""COMPUTED_VALUE"""),45251.0)</f>
        <v>45251</v>
      </c>
      <c r="B8804" s="16" t="str">
        <f>IFERROR(__xludf.DUMMYFUNCTION("""COMPUTED_VALUE"""),"Kevin Andrés puerta Jaramillo")</f>
        <v>Kevin Andrés puerta Jaramillo</v>
      </c>
      <c r="C8804" s="15" t="str">
        <f>IFERROR(__xludf.DUMMYFUNCTION("""COMPUTED_VALUE"""),"MEDELLÍN")</f>
        <v>MEDELLÍN</v>
      </c>
      <c r="D8804" s="15" t="str">
        <f>IFERROR(__xludf.DUMMYFUNCTION("""COMPUTED_VALUE"""),"BOGOTÁ")</f>
        <v>BOGOTÁ</v>
      </c>
      <c r="E8804" s="15" t="str">
        <f>IFERROR(__xludf.DUMMYFUNCTION("""COMPUTED_VALUE"""),"PAN DE WAFFLE")</f>
        <v>PAN DE WAFFLE</v>
      </c>
      <c r="F8804" s="17" t="str">
        <f>IFERROR(__xludf.DUMMYFUNCTION("""COMPUTED_VALUE"""),"FOODOLOGY - MEDELLIN / Carrera 39 # 59 - 32")</f>
        <v>FOODOLOGY - MEDELLIN / Carrera 39 # 59 - 32</v>
      </c>
      <c r="G8804" s="15" t="str">
        <f>IFERROR(__xludf.DUMMYFUNCTION("""COMPUTED_VALUE"""),"FOODOLOGY - MEDELLIN")</f>
        <v>FOODOLOGY - MEDELLIN</v>
      </c>
      <c r="H8804" s="16">
        <f>IFERROR(__xludf.DUMMYFUNCTION("""COMPUTED_VALUE"""),17410.0)</f>
        <v>17410</v>
      </c>
      <c r="I8804" s="17"/>
      <c r="J8804" s="17"/>
      <c r="K8804" s="17"/>
      <c r="L8804" s="17">
        <f>IFERROR(__xludf.DUMMYFUNCTION("""COMPUTED_VALUE"""),3.123558292E9)</f>
        <v>3123558292</v>
      </c>
      <c r="M8804" s="17"/>
      <c r="N8804" s="17"/>
      <c r="O8804" s="17"/>
      <c r="P8804" s="17" t="b">
        <f>IFERROR(__xludf.DUMMYFUNCTION("""COMPUTED_VALUE"""),FALSE)</f>
        <v>0</v>
      </c>
      <c r="Q8804" s="20" t="str">
        <f>IFERROR(__xludf.DUMMYFUNCTION("""COMPUTED_VALUE"""),"")</f>
        <v/>
      </c>
      <c r="R8804" s="21" t="str">
        <f>IFERROR(__xludf.DUMMYFUNCTION("""COMPUTED_VALUE"""),"https://drive.google.com/file/d/1OFtesFq_0krFtAZQoYipn5q3HuWWP9Zc/view?usp=drivesdk")</f>
        <v>https://drive.google.com/file/d/1OFtesFq_0krFtAZQoYipn5q3HuWWP9Zc/view?usp=drivesdk</v>
      </c>
    </row>
    <row r="8805">
      <c r="A8805" s="15">
        <f>IFERROR(__xludf.DUMMYFUNCTION("""COMPUTED_VALUE"""),45251.0)</f>
        <v>45251</v>
      </c>
      <c r="B8805" s="16" t="str">
        <f>IFERROR(__xludf.DUMMYFUNCTION("""COMPUTED_VALUE"""),"Kevin Andrés puerta Jaramillo")</f>
        <v>Kevin Andrés puerta Jaramillo</v>
      </c>
      <c r="C8805" s="15" t="str">
        <f>IFERROR(__xludf.DUMMYFUNCTION("""COMPUTED_VALUE"""),"MEDELLÍN")</f>
        <v>MEDELLÍN</v>
      </c>
      <c r="D8805" s="15" t="str">
        <f>IFERROR(__xludf.DUMMYFUNCTION("""COMPUTED_VALUE"""),"BOGOTÁ")</f>
        <v>BOGOTÁ</v>
      </c>
      <c r="E8805" s="15" t="str">
        <f>IFERROR(__xludf.DUMMYFUNCTION("""COMPUTED_VALUE"""),"Spirulina Fresca")</f>
        <v>Spirulina Fresca</v>
      </c>
      <c r="F8805" s="17" t="str">
        <f>IFERROR(__xludf.DUMMYFUNCTION("""COMPUTED_VALUE"""),"Calle 3 Sur # 37A - 25 Alejandría / Edificio Next Avenue Apartamento 801 Medellin Poblado, loma  / Medellin")</f>
        <v>Calle 3 Sur # 37A - 25 Alejandría / Edificio Next Avenue Apartamento 801 Medellin Poblado, loma  / Medellin</v>
      </c>
      <c r="G8805" s="15" t="str">
        <f>IFERROR(__xludf.DUMMYFUNCTION("""COMPUTED_VALUE"""),"Mauricio Pinto")</f>
        <v>Mauricio Pinto</v>
      </c>
      <c r="H8805" s="16">
        <f>IFERROR(__xludf.DUMMYFUNCTION("""COMPUTED_VALUE"""),17440.0)</f>
        <v>17440</v>
      </c>
      <c r="I8805" s="18">
        <f>IFERROR(__xludf.DUMMYFUNCTION("""COMPUTED_VALUE"""),5.0)</f>
        <v>5</v>
      </c>
      <c r="J8805" s="18">
        <f>IFERROR(__xludf.DUMMYFUNCTION("""COMPUTED_VALUE"""),5.0)</f>
        <v>5</v>
      </c>
      <c r="K8805" s="18">
        <f>IFERROR(__xludf.DUMMYFUNCTION("""COMPUTED_VALUE"""),22.0)</f>
        <v>22</v>
      </c>
      <c r="L8805" s="17">
        <f>IFERROR(__xludf.DUMMYFUNCTION("""COMPUTED_VALUE"""),3.226511122E9)</f>
        <v>3226511122</v>
      </c>
      <c r="M8805" s="17"/>
      <c r="N8805" s="17"/>
      <c r="O8805" s="17"/>
      <c r="P8805" s="17" t="b">
        <f>IFERROR(__xludf.DUMMYFUNCTION("""COMPUTED_VALUE"""),FALSE)</f>
        <v>0</v>
      </c>
      <c r="Q8805" s="20" t="str">
        <f>IFERROR(__xludf.DUMMYFUNCTION("""COMPUTED_VALUE"""),"")</f>
        <v/>
      </c>
      <c r="R8805" s="21" t="str">
        <f>IFERROR(__xludf.DUMMYFUNCTION("""COMPUTED_VALUE"""),"https://drive.google.com/file/d/1eSPv8dw7fP8OH-mRk171KzWpE5F1acTB/view?usp=drivesdk")</f>
        <v>https://drive.google.com/file/d/1eSPv8dw7fP8OH-mRk171KzWpE5F1acTB/view?usp=drivesdk</v>
      </c>
    </row>
    <row r="8806">
      <c r="A8806" s="15">
        <f>IFERROR(__xludf.DUMMYFUNCTION("""COMPUTED_VALUE"""),45251.0)</f>
        <v>45251</v>
      </c>
      <c r="B8806" s="16" t="str">
        <f>IFERROR(__xludf.DUMMYFUNCTION("""COMPUTED_VALUE"""),"Kevin Andrés puerta Jaramillo")</f>
        <v>Kevin Andrés puerta Jaramillo</v>
      </c>
      <c r="C8806" s="15" t="str">
        <f>IFERROR(__xludf.DUMMYFUNCTION("""COMPUTED_VALUE"""),"MEDELLÍN")</f>
        <v>MEDELLÍN</v>
      </c>
      <c r="D8806" s="15" t="str">
        <f>IFERROR(__xludf.DUMMYFUNCTION("""COMPUTED_VALUE"""),"BOGOTÁ")</f>
        <v>BOGOTÁ</v>
      </c>
      <c r="E8806" s="15" t="str">
        <f>IFERROR(__xludf.DUMMYFUNCTION("""COMPUTED_VALUE"""),"Spirulina Fresca")</f>
        <v>Spirulina Fresca</v>
      </c>
      <c r="F8806" s="17" t="str">
        <f>IFERROR(__xludf.DUMMYFUNCTION("""COMPUTED_VALUE"""),"Carrera 72#15-10, casa Primer piso, Belén las Playas / casa Primer piso, Belén las Playas / Belen")</f>
        <v>Carrera 72#15-10, casa Primer piso, Belén las Playas / casa Primer piso, Belén las Playas / Belen</v>
      </c>
      <c r="G8806" s="15" t="str">
        <f>IFERROR(__xludf.DUMMYFUNCTION("""COMPUTED_VALUE"""),"Daniela Lara")</f>
        <v>Daniela Lara</v>
      </c>
      <c r="H8806" s="16">
        <f>IFERROR(__xludf.DUMMYFUNCTION("""COMPUTED_VALUE"""),17438.0)</f>
        <v>17438</v>
      </c>
      <c r="I8806" s="18">
        <f>IFERROR(__xludf.DUMMYFUNCTION("""COMPUTED_VALUE"""),5.0)</f>
        <v>5</v>
      </c>
      <c r="J8806" s="18">
        <f>IFERROR(__xludf.DUMMYFUNCTION("""COMPUTED_VALUE"""),5.0)</f>
        <v>5</v>
      </c>
      <c r="K8806" s="18">
        <f>IFERROR(__xludf.DUMMYFUNCTION("""COMPUTED_VALUE"""),22.0)</f>
        <v>22</v>
      </c>
      <c r="L8806" s="17">
        <f>IFERROR(__xludf.DUMMYFUNCTION("""COMPUTED_VALUE"""),3.193510173E9)</f>
        <v>3193510173</v>
      </c>
      <c r="M8806" s="17"/>
      <c r="N8806" s="17"/>
      <c r="O8806" s="17"/>
      <c r="P8806" s="17" t="b">
        <f>IFERROR(__xludf.DUMMYFUNCTION("""COMPUTED_VALUE"""),FALSE)</f>
        <v>0</v>
      </c>
      <c r="Q8806" s="20" t="str">
        <f>IFERROR(__xludf.DUMMYFUNCTION("""COMPUTED_VALUE"""),"")</f>
        <v/>
      </c>
      <c r="R8806" s="21" t="str">
        <f>IFERROR(__xludf.DUMMYFUNCTION("""COMPUTED_VALUE"""),"https://drive.google.com/file/d/143prnID5-YJbDtFStHGTotMpyb9fMU68/view?usp=drivesdk")</f>
        <v>https://drive.google.com/file/d/143prnID5-YJbDtFStHGTotMpyb9fMU68/view?usp=drivesdk</v>
      </c>
    </row>
    <row r="8807">
      <c r="A8807" s="15">
        <f>IFERROR(__xludf.DUMMYFUNCTION("""COMPUTED_VALUE"""),45251.0)</f>
        <v>45251</v>
      </c>
      <c r="B8807" s="16" t="str">
        <f>IFERROR(__xludf.DUMMYFUNCTION("""COMPUTED_VALUE"""),"Kevin Andrés puerta Jaramillo")</f>
        <v>Kevin Andrés puerta Jaramillo</v>
      </c>
      <c r="C8807" s="15" t="str">
        <f>IFERROR(__xludf.DUMMYFUNCTION("""COMPUTED_VALUE"""),"MEDELLÍN")</f>
        <v>MEDELLÍN</v>
      </c>
      <c r="D8807" s="15" t="str">
        <f>IFERROR(__xludf.DUMMYFUNCTION("""COMPUTED_VALUE"""),"BOGOTÁ")</f>
        <v>BOGOTÁ</v>
      </c>
      <c r="E8807" s="15" t="str">
        <f>IFERROR(__xludf.DUMMYFUNCTION("""COMPUTED_VALUE"""),"Top Spun")</f>
        <v>Top Spun</v>
      </c>
      <c r="F8807" s="17" t="str">
        <f>IFERROR(__xludf.DUMMYFUNCTION("""COMPUTED_VALUE"""),"Carrera 20 # 12 Sur 425 / La foret apartamentos / apt 304")</f>
        <v>Carrera 20 # 12 Sur 425 / La foret apartamentos / apt 304</v>
      </c>
      <c r="G8807" s="15" t="str">
        <f>IFERROR(__xludf.DUMMYFUNCTION("""COMPUTED_VALUE"""),"Carolina Usme Bedoya")</f>
        <v>Carolina Usme Bedoya</v>
      </c>
      <c r="H8807" s="16">
        <f>IFERROR(__xludf.DUMMYFUNCTION("""COMPUTED_VALUE"""),17415.0)</f>
        <v>17415</v>
      </c>
      <c r="I8807" s="18">
        <f>IFERROR(__xludf.DUMMYFUNCTION("""COMPUTED_VALUE"""),25.0)</f>
        <v>25</v>
      </c>
      <c r="J8807" s="18">
        <f>IFERROR(__xludf.DUMMYFUNCTION("""COMPUTED_VALUE"""),15.0)</f>
        <v>15</v>
      </c>
      <c r="K8807" s="18">
        <f>IFERROR(__xludf.DUMMYFUNCTION("""COMPUTED_VALUE"""),50.0)</f>
        <v>50</v>
      </c>
      <c r="L8807" s="17">
        <f>IFERROR(__xludf.DUMMYFUNCTION("""COMPUTED_VALUE"""),3.104393079E9)</f>
        <v>3104393079</v>
      </c>
      <c r="M8807" s="17"/>
      <c r="N8807" s="17"/>
      <c r="O8807" s="17"/>
      <c r="P8807" s="17" t="b">
        <f>IFERROR(__xludf.DUMMYFUNCTION("""COMPUTED_VALUE"""),FALSE)</f>
        <v>0</v>
      </c>
      <c r="Q8807" s="20" t="str">
        <f>IFERROR(__xludf.DUMMYFUNCTION("""COMPUTED_VALUE"""),"")</f>
        <v/>
      </c>
      <c r="R8807" s="21" t="str">
        <f>IFERROR(__xludf.DUMMYFUNCTION("""COMPUTED_VALUE"""),"https://drive.google.com/file/d/141SbqZrSX8VsHrus1tM8J6uIprH0-e48/view?usp=drivesdk")</f>
        <v>https://drive.google.com/file/d/141SbqZrSX8VsHrus1tM8J6uIprH0-e48/view?usp=drivesdk</v>
      </c>
    </row>
    <row r="8808">
      <c r="A8808" s="15">
        <f>IFERROR(__xludf.DUMMYFUNCTION("""COMPUTED_VALUE"""),45251.0)</f>
        <v>45251</v>
      </c>
      <c r="B8808" s="16" t="str">
        <f>IFERROR(__xludf.DUMMYFUNCTION("""COMPUTED_VALUE"""),"Kevin Andrés puerta Jaramillo")</f>
        <v>Kevin Andrés puerta Jaramillo</v>
      </c>
      <c r="C8808" s="15" t="str">
        <f>IFERROR(__xludf.DUMMYFUNCTION("""COMPUTED_VALUE"""),"PALMIRA")</f>
        <v>PALMIRA</v>
      </c>
      <c r="D8808" s="15" t="str">
        <f>IFERROR(__xludf.DUMMYFUNCTION("""COMPUTED_VALUE"""),"BOGOTÁ")</f>
        <v>BOGOTÁ</v>
      </c>
      <c r="E8808" s="15" t="str">
        <f>IFERROR(__xludf.DUMMYFUNCTION("""COMPUTED_VALUE"""),"Karem foods")</f>
        <v>Karem foods</v>
      </c>
      <c r="F8808" s="17" t="str">
        <f>IFERROR(__xludf.DUMMYFUNCTION("""COMPUTED_VALUE"""),"Cra 28 # 47-90 / Local PeZcar market  / Altamira")</f>
        <v>Cra 28 # 47-90 / Local PeZcar market  / Altamira</v>
      </c>
      <c r="G8808" s="15" t="str">
        <f>IFERROR(__xludf.DUMMYFUNCTION("""COMPUTED_VALUE"""),"PeZcar Market")</f>
        <v>PeZcar Market</v>
      </c>
      <c r="H8808" s="16">
        <f>IFERROR(__xludf.DUMMYFUNCTION("""COMPUTED_VALUE"""),17447.0)</f>
        <v>17447</v>
      </c>
      <c r="I8808" s="18">
        <f>IFERROR(__xludf.DUMMYFUNCTION("""COMPUTED_VALUE"""),20.0)</f>
        <v>20</v>
      </c>
      <c r="J8808" s="18">
        <f>IFERROR(__xludf.DUMMYFUNCTION("""COMPUTED_VALUE"""),30.0)</f>
        <v>30</v>
      </c>
      <c r="K8808" s="18">
        <f>IFERROR(__xludf.DUMMYFUNCTION("""COMPUTED_VALUE"""),30.0)</f>
        <v>30</v>
      </c>
      <c r="L8808" s="17">
        <f>IFERROR(__xludf.DUMMYFUNCTION("""COMPUTED_VALUE"""),3.177759344E9)</f>
        <v>3177759344</v>
      </c>
      <c r="M8808" s="17"/>
      <c r="N8808" s="17"/>
      <c r="O8808" s="17"/>
      <c r="P8808" s="17" t="b">
        <f>IFERROR(__xludf.DUMMYFUNCTION("""COMPUTED_VALUE"""),FALSE)</f>
        <v>0</v>
      </c>
      <c r="Q8808" s="20" t="str">
        <f>IFERROR(__xludf.DUMMYFUNCTION("""COMPUTED_VALUE"""),"")</f>
        <v/>
      </c>
      <c r="R8808" s="21" t="str">
        <f>IFERROR(__xludf.DUMMYFUNCTION("""COMPUTED_VALUE"""),"https://drive.google.com/file/d/1pb1-PGarikjtRjOuEgnCSZiIcF-dfXCU/view?usp=drivesdk")</f>
        <v>https://drive.google.com/file/d/1pb1-PGarikjtRjOuEgnCSZiIcF-dfXCU/view?usp=drivesdk</v>
      </c>
    </row>
    <row r="8809">
      <c r="A8809" s="17" t="str">
        <f>IFERROR(__xludf.DUMMYFUNCTION("""COMPUTED_VALUE"""),"")</f>
        <v/>
      </c>
      <c r="B8809" s="17" t="str">
        <f>IFERROR(__xludf.DUMMYFUNCTION("""COMPUTED_VALUE"""),"")</f>
        <v/>
      </c>
      <c r="C8809" s="17" t="str">
        <f>IFERROR(__xludf.DUMMYFUNCTION("""COMPUTED_VALUE"""),"")</f>
        <v/>
      </c>
      <c r="D8809" s="17" t="str">
        <f>IFERROR(__xludf.DUMMYFUNCTION("""COMPUTED_VALUE"""),"")</f>
        <v/>
      </c>
      <c r="E8809" s="17" t="str">
        <f>IFERROR(__xludf.DUMMYFUNCTION("""COMPUTED_VALUE"""),"")</f>
        <v/>
      </c>
      <c r="F8809" s="17" t="str">
        <f>IFERROR(__xludf.DUMMYFUNCTION("""COMPUTED_VALUE"""),"")</f>
        <v/>
      </c>
      <c r="G8809" s="17" t="str">
        <f>IFERROR(__xludf.DUMMYFUNCTION("""COMPUTED_VALUE"""),"")</f>
        <v/>
      </c>
      <c r="H8809" s="17" t="str">
        <f>IFERROR(__xludf.DUMMYFUNCTION("""COMPUTED_VALUE"""),"")</f>
        <v/>
      </c>
      <c r="I8809" s="17" t="str">
        <f>IFERROR(__xludf.DUMMYFUNCTION("""COMPUTED_VALUE"""),"")</f>
        <v/>
      </c>
      <c r="J8809" s="17" t="str">
        <f>IFERROR(__xludf.DUMMYFUNCTION("""COMPUTED_VALUE"""),"")</f>
        <v/>
      </c>
      <c r="K8809" s="17" t="str">
        <f>IFERROR(__xludf.DUMMYFUNCTION("""COMPUTED_VALUE"""),"")</f>
        <v/>
      </c>
      <c r="L8809" s="17" t="str">
        <f>IFERROR(__xludf.DUMMYFUNCTION("""COMPUTED_VALUE"""),"")</f>
        <v/>
      </c>
      <c r="M8809" s="17" t="str">
        <f>IFERROR(__xludf.DUMMYFUNCTION("""COMPUTED_VALUE"""),"")</f>
        <v/>
      </c>
      <c r="N8809" s="17" t="str">
        <f>IFERROR(__xludf.DUMMYFUNCTION("""COMPUTED_VALUE"""),"")</f>
        <v/>
      </c>
      <c r="O8809" s="17" t="str">
        <f>IFERROR(__xludf.DUMMYFUNCTION("""COMPUTED_VALUE"""),"")</f>
        <v/>
      </c>
      <c r="P8809" s="17" t="str">
        <f>IFERROR(__xludf.DUMMYFUNCTION("""COMPUTED_VALUE"""),"")</f>
        <v/>
      </c>
      <c r="Q8809" s="17" t="str">
        <f>IFERROR(__xludf.DUMMYFUNCTION("""COMPUTED_VALUE"""),"")</f>
        <v/>
      </c>
      <c r="R8809" s="17" t="str">
        <f>IFERROR(__xludf.DUMMYFUNCTION("""COMPUTED_VALUE"""),"")</f>
        <v/>
      </c>
    </row>
    <row r="8810">
      <c r="A8810" s="15">
        <f>IFERROR(__xludf.DUMMYFUNCTION("""COMPUTED_VALUE"""),45252.0)</f>
        <v>45252</v>
      </c>
      <c r="B8810" s="16" t="str">
        <f>IFERROR(__xludf.DUMMYFUNCTION("""COMPUTED_VALUE"""),"Anuar suarez jimenez ")</f>
        <v>Anuar suarez jimenez </v>
      </c>
      <c r="C8810" s="15" t="str">
        <f>IFERROR(__xludf.DUMMYFUNCTION("""COMPUTED_VALUE"""),"MEDELLÍN")</f>
        <v>MEDELLÍN</v>
      </c>
      <c r="D8810" s="15" t="str">
        <f>IFERROR(__xludf.DUMMYFUNCTION("""COMPUTED_VALUE"""),"BOGOTÁ")</f>
        <v>BOGOTÁ</v>
      </c>
      <c r="E8810" s="15" t="str">
        <f>IFERROR(__xludf.DUMMYFUNCTION("""COMPUTED_VALUE"""),"Orso")</f>
        <v>Orso</v>
      </c>
      <c r="F8810" s="17" t="str">
        <f>IFERROR(__xludf.DUMMYFUNCTION("""COMPUTED_VALUE"""),"Carrera 46 # 14-140, Medellin / Rappi Turbo Medellin - Manila                / Rappi Turbo Medellin - Manila               ")</f>
        <v>Carrera 46 # 14-140, Medellin / Rappi Turbo Medellin - Manila                / Rappi Turbo Medellin - Manila               </v>
      </c>
      <c r="G8810" s="15" t="str">
        <f>IFERROR(__xludf.DUMMYFUNCTION("""COMPUTED_VALUE"""),"Santiago Salazar ")</f>
        <v>Santiago Salazar </v>
      </c>
      <c r="H8810" s="16">
        <f>IFERROR(__xludf.DUMMYFUNCTION("""COMPUTED_VALUE"""),17323.0)</f>
        <v>17323</v>
      </c>
      <c r="I8810" s="18">
        <f>IFERROR(__xludf.DUMMYFUNCTION("""COMPUTED_VALUE"""),1.0)</f>
        <v>1</v>
      </c>
      <c r="J8810" s="18">
        <f>IFERROR(__xludf.DUMMYFUNCTION("""COMPUTED_VALUE"""),1.0)</f>
        <v>1</v>
      </c>
      <c r="K8810" s="18">
        <f>IFERROR(__xludf.DUMMYFUNCTION("""COMPUTED_VALUE"""),1.0)</f>
        <v>1</v>
      </c>
      <c r="L8810" s="17">
        <f>IFERROR(__xludf.DUMMYFUNCTION("""COMPUTED_VALUE"""),3.175005565E9)</f>
        <v>3175005565</v>
      </c>
      <c r="M8810" s="17"/>
      <c r="N8810" s="17"/>
      <c r="O8810" s="17"/>
      <c r="P8810" s="17" t="b">
        <f>IFERROR(__xludf.DUMMYFUNCTION("""COMPUTED_VALUE"""),FALSE)</f>
        <v>0</v>
      </c>
      <c r="Q8810" s="20" t="str">
        <f>IFERROR(__xludf.DUMMYFUNCTION("""COMPUTED_VALUE"""),"")</f>
        <v/>
      </c>
      <c r="R8810" s="21" t="str">
        <f>IFERROR(__xludf.DUMMYFUNCTION("""COMPUTED_VALUE"""),"https://drive.google.com/file/d/1RPDlJ7so4ebChkj5p_y9cQX2azbhwmnm/view?usp=drivesdk")</f>
        <v>https://drive.google.com/file/d/1RPDlJ7so4ebChkj5p_y9cQX2azbhwmnm/view?usp=drivesdk</v>
      </c>
    </row>
    <row r="8811">
      <c r="A8811" s="15">
        <f>IFERROR(__xludf.DUMMYFUNCTION("""COMPUTED_VALUE"""),45252.0)</f>
        <v>45252</v>
      </c>
      <c r="B8811" s="16" t="str">
        <f>IFERROR(__xludf.DUMMYFUNCTION("""COMPUTED_VALUE"""),"Anuar suarez jimenez ")</f>
        <v>Anuar suarez jimenez </v>
      </c>
      <c r="C8811" s="15" t="str">
        <f>IFERROR(__xludf.DUMMYFUNCTION("""COMPUTED_VALUE"""),"MEDELLÍN")</f>
        <v>MEDELLÍN</v>
      </c>
      <c r="D8811" s="15" t="str">
        <f>IFERROR(__xludf.DUMMYFUNCTION("""COMPUTED_VALUE"""),"BOGOTÁ")</f>
        <v>BOGOTÁ</v>
      </c>
      <c r="E8811" s="15" t="str">
        <f>IFERROR(__xludf.DUMMYFUNCTION("""COMPUTED_VALUE"""),"Orso")</f>
        <v>Orso</v>
      </c>
      <c r="F8811" s="17" t="str">
        <f>IFERROR(__xludf.DUMMYFUNCTION("""COMPUTED_VALUE"""),"carrera 80 #34B-51, Medellín / Rappi Turbo  Medellin- Laureles  / Rappi Turbo  Medellin- Laureles ")</f>
        <v>carrera 80 #34B-51, Medellín / Rappi Turbo  Medellin- Laureles  / Rappi Turbo  Medellin- Laureles </v>
      </c>
      <c r="G8811" s="15" t="str">
        <f>IFERROR(__xludf.DUMMYFUNCTION("""COMPUTED_VALUE"""),"Santiago Salazar")</f>
        <v>Santiago Salazar</v>
      </c>
      <c r="H8811" s="16">
        <f>IFERROR(__xludf.DUMMYFUNCTION("""COMPUTED_VALUE"""),17324.0)</f>
        <v>17324</v>
      </c>
      <c r="I8811" s="18">
        <f>IFERROR(__xludf.DUMMYFUNCTION("""COMPUTED_VALUE"""),1.0)</f>
        <v>1</v>
      </c>
      <c r="J8811" s="18">
        <f>IFERROR(__xludf.DUMMYFUNCTION("""COMPUTED_VALUE"""),1.0)</f>
        <v>1</v>
      </c>
      <c r="K8811" s="18">
        <f>IFERROR(__xludf.DUMMYFUNCTION("""COMPUTED_VALUE"""),1.0)</f>
        <v>1</v>
      </c>
      <c r="L8811" s="17">
        <f>IFERROR(__xludf.DUMMYFUNCTION("""COMPUTED_VALUE"""),3.175005565E9)</f>
        <v>3175005565</v>
      </c>
      <c r="M8811" s="17"/>
      <c r="N8811" s="17"/>
      <c r="O8811" s="17"/>
      <c r="P8811" s="17" t="b">
        <f>IFERROR(__xludf.DUMMYFUNCTION("""COMPUTED_VALUE"""),FALSE)</f>
        <v>0</v>
      </c>
      <c r="Q8811" s="20" t="str">
        <f>IFERROR(__xludf.DUMMYFUNCTION("""COMPUTED_VALUE"""),"")</f>
        <v/>
      </c>
      <c r="R8811" s="22" t="str">
        <f>IFERROR(__xludf.DUMMYFUNCTION("""COMPUTED_VALUE"""),"")</f>
        <v/>
      </c>
    </row>
    <row r="8812">
      <c r="A8812" s="15">
        <f>IFERROR(__xludf.DUMMYFUNCTION("""COMPUTED_VALUE"""),45252.0)</f>
        <v>45252</v>
      </c>
      <c r="B8812" s="16" t="str">
        <f>IFERROR(__xludf.DUMMYFUNCTION("""COMPUTED_VALUE"""),"Anuar suarez jimenez ")</f>
        <v>Anuar suarez jimenez </v>
      </c>
      <c r="C8812" s="15" t="str">
        <f>IFERROR(__xludf.DUMMYFUNCTION("""COMPUTED_VALUE"""),"MONTERIA")</f>
        <v>MONTERIA</v>
      </c>
      <c r="D8812" s="15" t="str">
        <f>IFERROR(__xludf.DUMMYFUNCTION("""COMPUTED_VALUE"""),"BOGOTÁ")</f>
        <v>BOGOTÁ</v>
      </c>
      <c r="E8812" s="15" t="str">
        <f>IFERROR(__xludf.DUMMYFUNCTION("""COMPUTED_VALUE"""),"Asociacion Agropecuaria Juana Maria")</f>
        <v>Asociacion Agropecuaria Juana Maria</v>
      </c>
      <c r="F8812" s="17" t="str">
        <f>IFERROR(__xludf.DUMMYFUNCTION("""COMPUTED_VALUE"""),"Carrera 12 # 53A-39 edificio alta vista torre 1 apto 603 / Carrera 12 # 53A-39 edificio alta vista torre 1 apto 603")</f>
        <v>Carrera 12 # 53A-39 edificio alta vista torre 1 apto 603 / Carrera 12 # 53A-39 edificio alta vista torre 1 apto 603</v>
      </c>
      <c r="G8812" s="15" t="str">
        <f>IFERROR(__xludf.DUMMYFUNCTION("""COMPUTED_VALUE"""),"Emilia Miranda")</f>
        <v>Emilia Miranda</v>
      </c>
      <c r="H8812" s="16">
        <f>IFERROR(__xludf.DUMMYFUNCTION("""COMPUTED_VALUE"""),17424.0)</f>
        <v>17424</v>
      </c>
      <c r="I8812" s="17"/>
      <c r="J8812" s="17"/>
      <c r="K8812" s="17"/>
      <c r="L8812" s="17">
        <f>IFERROR(__xludf.DUMMYFUNCTION("""COMPUTED_VALUE"""),3.113438505E9)</f>
        <v>3113438505</v>
      </c>
      <c r="M8812" s="17"/>
      <c r="N8812" s="17"/>
      <c r="O8812" s="17"/>
      <c r="P8812" s="17" t="b">
        <f>IFERROR(__xludf.DUMMYFUNCTION("""COMPUTED_VALUE"""),TRUE)</f>
        <v>1</v>
      </c>
      <c r="Q8812" s="20">
        <f>IFERROR(__xludf.DUMMYFUNCTION("""COMPUTED_VALUE"""),45252.6032068287)</f>
        <v>45252.60321</v>
      </c>
      <c r="R8812" s="21" t="str">
        <f>IFERROR(__xludf.DUMMYFUNCTION("""COMPUTED_VALUE"""),"https://drive.google.com/file/d/1b6d5SUTWbCLS5zkSP3UzwRoQ6iBoM4Iq/view?usp=drivesdk")</f>
        <v>https://drive.google.com/file/d/1b6d5SUTWbCLS5zkSP3UzwRoQ6iBoM4Iq/view?usp=drivesdk</v>
      </c>
    </row>
    <row r="8813">
      <c r="A8813" s="17" t="str">
        <f>IFERROR(__xludf.DUMMYFUNCTION("""COMPUTED_VALUE"""),"")</f>
        <v/>
      </c>
      <c r="B8813" s="17" t="str">
        <f>IFERROR(__xludf.DUMMYFUNCTION("""COMPUTED_VALUE"""),"")</f>
        <v/>
      </c>
      <c r="C8813" s="17" t="str">
        <f>IFERROR(__xludf.DUMMYFUNCTION("""COMPUTED_VALUE"""),"")</f>
        <v/>
      </c>
      <c r="D8813" s="17" t="str">
        <f>IFERROR(__xludf.DUMMYFUNCTION("""COMPUTED_VALUE"""),"")</f>
        <v/>
      </c>
      <c r="E8813" s="17" t="str">
        <f>IFERROR(__xludf.DUMMYFUNCTION("""COMPUTED_VALUE"""),"")</f>
        <v/>
      </c>
      <c r="F8813" s="17" t="str">
        <f>IFERROR(__xludf.DUMMYFUNCTION("""COMPUTED_VALUE"""),"")</f>
        <v/>
      </c>
      <c r="G8813" s="17" t="str">
        <f>IFERROR(__xludf.DUMMYFUNCTION("""COMPUTED_VALUE"""),"")</f>
        <v/>
      </c>
      <c r="H8813" s="17" t="str">
        <f>IFERROR(__xludf.DUMMYFUNCTION("""COMPUTED_VALUE"""),"")</f>
        <v/>
      </c>
      <c r="I8813" s="17" t="str">
        <f>IFERROR(__xludf.DUMMYFUNCTION("""COMPUTED_VALUE"""),"")</f>
        <v/>
      </c>
      <c r="J8813" s="17" t="str">
        <f>IFERROR(__xludf.DUMMYFUNCTION("""COMPUTED_VALUE"""),"")</f>
        <v/>
      </c>
      <c r="K8813" s="17" t="str">
        <f>IFERROR(__xludf.DUMMYFUNCTION("""COMPUTED_VALUE"""),"")</f>
        <v/>
      </c>
      <c r="L8813" s="17" t="str">
        <f>IFERROR(__xludf.DUMMYFUNCTION("""COMPUTED_VALUE"""),"")</f>
        <v/>
      </c>
      <c r="M8813" s="17" t="str">
        <f>IFERROR(__xludf.DUMMYFUNCTION("""COMPUTED_VALUE"""),"")</f>
        <v/>
      </c>
      <c r="N8813" s="17" t="str">
        <f>IFERROR(__xludf.DUMMYFUNCTION("""COMPUTED_VALUE"""),"")</f>
        <v/>
      </c>
      <c r="O8813" s="17" t="str">
        <f>IFERROR(__xludf.DUMMYFUNCTION("""COMPUTED_VALUE"""),"")</f>
        <v/>
      </c>
      <c r="P8813" s="17" t="str">
        <f>IFERROR(__xludf.DUMMYFUNCTION("""COMPUTED_VALUE"""),"")</f>
        <v/>
      </c>
      <c r="Q8813" s="17" t="str">
        <f>IFERROR(__xludf.DUMMYFUNCTION("""COMPUTED_VALUE"""),"")</f>
        <v/>
      </c>
      <c r="R8813" s="17" t="str">
        <f>IFERROR(__xludf.DUMMYFUNCTION("""COMPUTED_VALUE"""),"")</f>
        <v/>
      </c>
    </row>
    <row r="8814">
      <c r="A8814" s="15">
        <f>IFERROR(__xludf.DUMMYFUNCTION("""COMPUTED_VALUE"""),45252.0)</f>
        <v>45252</v>
      </c>
      <c r="B8814" s="16" t="str">
        <f>IFERROR(__xludf.DUMMYFUNCTION("""COMPUTED_VALUE"""),"Daniel José sandoval gonzalez")</f>
        <v>Daniel José sandoval gonzalez</v>
      </c>
      <c r="C8814" s="15" t="str">
        <f>IFERROR(__xludf.DUMMYFUNCTION("""COMPUTED_VALUE"""),"CALI")</f>
        <v>CALI</v>
      </c>
      <c r="D8814" s="15" t="str">
        <f>IFERROR(__xludf.DUMMYFUNCTION("""COMPUTED_VALUE"""),"MEDELLÍN")</f>
        <v>MEDELLÍN</v>
      </c>
      <c r="E8814" s="15" t="str">
        <f>IFERROR(__xludf.DUMMYFUNCTION("""COMPUTED_VALUE"""),"JdBufala")</f>
        <v>JdBufala</v>
      </c>
      <c r="F8814" s="17" t="str">
        <f>IFERROR(__xludf.DUMMYFUNCTION("""COMPUTED_VALUE"""),"Calle 51 norte # 4bn 72 / Delhuertopizzeria")</f>
        <v>Calle 51 norte # 4bn 72 / Delhuertopizzeria</v>
      </c>
      <c r="G8814" s="15" t="str">
        <f>IFERROR(__xludf.DUMMYFUNCTION("""COMPUTED_VALUE"""),"Javier")</f>
        <v>Javier</v>
      </c>
      <c r="H8814" s="16">
        <f>IFERROR(__xludf.DUMMYFUNCTION("""COMPUTED_VALUE"""),17534.0)</f>
        <v>17534</v>
      </c>
      <c r="I8814" s="17"/>
      <c r="J8814" s="17"/>
      <c r="K8814" s="17"/>
      <c r="L8814" s="17">
        <f>IFERROR(__xludf.DUMMYFUNCTION("""COMPUTED_VALUE"""),3.206763524E9)</f>
        <v>3206763524</v>
      </c>
      <c r="M8814" s="17"/>
      <c r="N8814" s="17"/>
      <c r="O8814" s="17"/>
      <c r="P8814" s="17" t="b">
        <f>IFERROR(__xludf.DUMMYFUNCTION("""COMPUTED_VALUE"""),FALSE)</f>
        <v>0</v>
      </c>
      <c r="Q8814" s="20" t="str">
        <f>IFERROR(__xludf.DUMMYFUNCTION("""COMPUTED_VALUE"""),"")</f>
        <v/>
      </c>
      <c r="R8814" s="22" t="str">
        <f>IFERROR(__xludf.DUMMYFUNCTION("""COMPUTED_VALUE"""),"")</f>
        <v/>
      </c>
    </row>
    <row r="8815">
      <c r="A8815" s="15">
        <f>IFERROR(__xludf.DUMMYFUNCTION("""COMPUTED_VALUE"""),45252.0)</f>
        <v>45252</v>
      </c>
      <c r="B8815" s="16" t="str">
        <f>IFERROR(__xludf.DUMMYFUNCTION("""COMPUTED_VALUE"""),"Daniel José sandoval gonzalez")</f>
        <v>Daniel José sandoval gonzalez</v>
      </c>
      <c r="C8815" s="15" t="str">
        <f>IFERROR(__xludf.DUMMYFUNCTION("""COMPUTED_VALUE"""),"CALI")</f>
        <v>CALI</v>
      </c>
      <c r="D8815" s="15" t="str">
        <f>IFERROR(__xludf.DUMMYFUNCTION("""COMPUTED_VALUE"""),"MEDELLÍN")</f>
        <v>MEDELLÍN</v>
      </c>
      <c r="E8815" s="15" t="str">
        <f>IFERROR(__xludf.DUMMYFUNCTION("""COMPUTED_VALUE"""),"Terravocado")</f>
        <v>Terravocado</v>
      </c>
      <c r="F8815" s="17" t="str">
        <f>IFERROR(__xludf.DUMMYFUNCTION("""COMPUTED_VALUE"""),"CLL 5B NUMERO 36 B 13  / HOTEL DON SIMON  / SAN FERNANDO ")</f>
        <v>CLL 5B NUMERO 36 B 13  / HOTEL DON SIMON  / SAN FERNANDO </v>
      </c>
      <c r="G8815" s="15" t="str">
        <f>IFERROR(__xludf.DUMMYFUNCTION("""COMPUTED_VALUE"""),"CARLOS ARANGO ARBOLEDA ")</f>
        <v>CARLOS ARANGO ARBOLEDA </v>
      </c>
      <c r="H8815" s="16">
        <f>IFERROR(__xludf.DUMMYFUNCTION("""COMPUTED_VALUE"""),17511.0)</f>
        <v>17511</v>
      </c>
      <c r="I8815" s="18">
        <f>IFERROR(__xludf.DUMMYFUNCTION("""COMPUTED_VALUE"""),20.0)</f>
        <v>20</v>
      </c>
      <c r="J8815" s="18">
        <f>IFERROR(__xludf.DUMMYFUNCTION("""COMPUTED_VALUE"""),24.0)</f>
        <v>24</v>
      </c>
      <c r="K8815" s="18">
        <f>IFERROR(__xludf.DUMMYFUNCTION("""COMPUTED_VALUE"""),34.0)</f>
        <v>34</v>
      </c>
      <c r="L8815" s="17">
        <f>IFERROR(__xludf.DUMMYFUNCTION("""COMPUTED_VALUE"""),3.012546407E9)</f>
        <v>3012546407</v>
      </c>
      <c r="M8815" s="17"/>
      <c r="N8815" s="17"/>
      <c r="O8815" s="17"/>
      <c r="P8815" s="17" t="b">
        <f>IFERROR(__xludf.DUMMYFUNCTION("""COMPUTED_VALUE"""),FALSE)</f>
        <v>0</v>
      </c>
      <c r="Q8815" s="20" t="str">
        <f>IFERROR(__xludf.DUMMYFUNCTION("""COMPUTED_VALUE"""),"")</f>
        <v/>
      </c>
      <c r="R8815" s="21" t="str">
        <f>IFERROR(__xludf.DUMMYFUNCTION("""COMPUTED_VALUE"""),"https://drive.google.com/file/d/1kdArEWJu9CkmYOGsXd0flsOEOEItE_aT/view?usp=drivesdk")</f>
        <v>https://drive.google.com/file/d/1kdArEWJu9CkmYOGsXd0flsOEOEItE_aT/view?usp=drivesdk</v>
      </c>
    </row>
    <row r="8816">
      <c r="A8816" s="17" t="str">
        <f>IFERROR(__xludf.DUMMYFUNCTION("""COMPUTED_VALUE"""),"")</f>
        <v/>
      </c>
      <c r="B8816" s="17" t="str">
        <f>IFERROR(__xludf.DUMMYFUNCTION("""COMPUTED_VALUE"""),"")</f>
        <v/>
      </c>
      <c r="C8816" s="17" t="str">
        <f>IFERROR(__xludf.DUMMYFUNCTION("""COMPUTED_VALUE"""),"")</f>
        <v/>
      </c>
      <c r="D8816" s="17" t="str">
        <f>IFERROR(__xludf.DUMMYFUNCTION("""COMPUTED_VALUE"""),"")</f>
        <v/>
      </c>
      <c r="E8816" s="17" t="str">
        <f>IFERROR(__xludf.DUMMYFUNCTION("""COMPUTED_VALUE"""),"")</f>
        <v/>
      </c>
      <c r="F8816" s="17" t="str">
        <f>IFERROR(__xludf.DUMMYFUNCTION("""COMPUTED_VALUE"""),"")</f>
        <v/>
      </c>
      <c r="G8816" s="17" t="str">
        <f>IFERROR(__xludf.DUMMYFUNCTION("""COMPUTED_VALUE"""),"")</f>
        <v/>
      </c>
      <c r="H8816" s="17" t="str">
        <f>IFERROR(__xludf.DUMMYFUNCTION("""COMPUTED_VALUE"""),"")</f>
        <v/>
      </c>
      <c r="I8816" s="17" t="str">
        <f>IFERROR(__xludf.DUMMYFUNCTION("""COMPUTED_VALUE"""),"")</f>
        <v/>
      </c>
      <c r="J8816" s="17" t="str">
        <f>IFERROR(__xludf.DUMMYFUNCTION("""COMPUTED_VALUE"""),"")</f>
        <v/>
      </c>
      <c r="K8816" s="17" t="str">
        <f>IFERROR(__xludf.DUMMYFUNCTION("""COMPUTED_VALUE"""),"")</f>
        <v/>
      </c>
      <c r="L8816" s="17" t="str">
        <f>IFERROR(__xludf.DUMMYFUNCTION("""COMPUTED_VALUE"""),"")</f>
        <v/>
      </c>
      <c r="M8816" s="17" t="str">
        <f>IFERROR(__xludf.DUMMYFUNCTION("""COMPUTED_VALUE"""),"")</f>
        <v/>
      </c>
      <c r="N8816" s="17" t="str">
        <f>IFERROR(__xludf.DUMMYFUNCTION("""COMPUTED_VALUE"""),"")</f>
        <v/>
      </c>
      <c r="O8816" s="17" t="str">
        <f>IFERROR(__xludf.DUMMYFUNCTION("""COMPUTED_VALUE"""),"")</f>
        <v/>
      </c>
      <c r="P8816" s="17" t="str">
        <f>IFERROR(__xludf.DUMMYFUNCTION("""COMPUTED_VALUE"""),"")</f>
        <v/>
      </c>
      <c r="Q8816" s="17" t="str">
        <f>IFERROR(__xludf.DUMMYFUNCTION("""COMPUTED_VALUE"""),"")</f>
        <v/>
      </c>
      <c r="R8816" s="17" t="str">
        <f>IFERROR(__xludf.DUMMYFUNCTION("""COMPUTED_VALUE"""),"")</f>
        <v/>
      </c>
    </row>
    <row r="8817">
      <c r="A8817" s="15">
        <f>IFERROR(__xludf.DUMMYFUNCTION("""COMPUTED_VALUE"""),45252.0)</f>
        <v>45252</v>
      </c>
      <c r="B8817" s="16" t="str">
        <f>IFERROR(__xludf.DUMMYFUNCTION("""COMPUTED_VALUE"""),"Duvan Gabriel Alvarez Giron")</f>
        <v>Duvan Gabriel Alvarez Giron</v>
      </c>
      <c r="C8817" s="15" t="str">
        <f>IFERROR(__xludf.DUMMYFUNCTION("""COMPUTED_VALUE"""),"ARMENIA")</f>
        <v>ARMENIA</v>
      </c>
      <c r="D8817" s="15" t="str">
        <f>IFERROR(__xludf.DUMMYFUNCTION("""COMPUTED_VALUE"""),"MEDELLÍN")</f>
        <v>MEDELLÍN</v>
      </c>
      <c r="E8817" s="15" t="str">
        <f>IFERROR(__xludf.DUMMYFUNCTION("""COMPUTED_VALUE"""),"TOLEDALES S.A.S")</f>
        <v>TOLEDALES S.A.S</v>
      </c>
      <c r="F8817" s="17" t="str">
        <f>IFERROR(__xludf.DUMMYFUNCTION("""COMPUTED_VALUE"""),"Cra 14 # 46 norte -41 mall zona de oro / oro negro")</f>
        <v>Cra 14 # 46 norte -41 mall zona de oro / oro negro</v>
      </c>
      <c r="G8817" s="15" t="str">
        <f>IFERROR(__xludf.DUMMYFUNCTION("""COMPUTED_VALUE"""),"paola andrea gomez")</f>
        <v>paola andrea gomez</v>
      </c>
      <c r="H8817" s="16">
        <f>IFERROR(__xludf.DUMMYFUNCTION("""COMPUTED_VALUE"""),17481.0)</f>
        <v>17481</v>
      </c>
      <c r="I8817" s="17"/>
      <c r="J8817" s="17"/>
      <c r="K8817" s="17"/>
      <c r="L8817" s="17">
        <f>IFERROR(__xludf.DUMMYFUNCTION("""COMPUTED_VALUE"""),3.003222972E9)</f>
        <v>3003222972</v>
      </c>
      <c r="M8817" s="17"/>
      <c r="N8817" s="17"/>
      <c r="O8817" s="17"/>
      <c r="P8817" s="17" t="b">
        <f>IFERROR(__xludf.DUMMYFUNCTION("""COMPUTED_VALUE"""),FALSE)</f>
        <v>0</v>
      </c>
      <c r="Q8817" s="20" t="str">
        <f>IFERROR(__xludf.DUMMYFUNCTION("""COMPUTED_VALUE"""),"")</f>
        <v/>
      </c>
      <c r="R8817" s="22" t="str">
        <f>IFERROR(__xludf.DUMMYFUNCTION("""COMPUTED_VALUE"""),"")</f>
        <v/>
      </c>
    </row>
    <row r="8818">
      <c r="A8818" s="15">
        <f>IFERROR(__xludf.DUMMYFUNCTION("""COMPUTED_VALUE"""),45252.0)</f>
        <v>45252</v>
      </c>
      <c r="B8818" s="16" t="str">
        <f>IFERROR(__xludf.DUMMYFUNCTION("""COMPUTED_VALUE"""),"Duvan Gabriel Alvarez Giron")</f>
        <v>Duvan Gabriel Alvarez Giron</v>
      </c>
      <c r="C8818" s="15" t="str">
        <f>IFERROR(__xludf.DUMMYFUNCTION("""COMPUTED_VALUE"""),"BUCARAMANGA")</f>
        <v>BUCARAMANGA</v>
      </c>
      <c r="D8818" s="15" t="str">
        <f>IFERROR(__xludf.DUMMYFUNCTION("""COMPUTED_VALUE"""),"MEDELLÍN")</f>
        <v>MEDELLÍN</v>
      </c>
      <c r="E8818" s="15" t="str">
        <f>IFERROR(__xludf.DUMMYFUNCTION("""COMPUTED_VALUE"""),"AREPAS LA MARY")</f>
        <v>AREPAS LA MARY</v>
      </c>
      <c r="F8818" s="17" t="str">
        <f>IFERROR(__xludf.DUMMYFUNCTION("""COMPUTED_VALUE"""),"calle 59 n 9 a -96 / CENTRO DE DISTIBUICON SAN GIL")</f>
        <v>calle 59 n 9 a -96 / CENTRO DE DISTIBUICON SAN GIL</v>
      </c>
      <c r="G8818" s="15" t="str">
        <f>IFERROR(__xludf.DUMMYFUNCTION("""COMPUTED_VALUE"""),"ANDREA LUNA")</f>
        <v>ANDREA LUNA</v>
      </c>
      <c r="H8818" s="16">
        <f>IFERROR(__xludf.DUMMYFUNCTION("""COMPUTED_VALUE"""),17483.0)</f>
        <v>17483</v>
      </c>
      <c r="I8818" s="17"/>
      <c r="J8818" s="17"/>
      <c r="K8818" s="17"/>
      <c r="L8818" s="17">
        <f>IFERROR(__xludf.DUMMYFUNCTION("""COMPUTED_VALUE"""),3.013393882E9)</f>
        <v>3013393882</v>
      </c>
      <c r="M8818" s="17"/>
      <c r="N8818" s="17"/>
      <c r="O8818" s="17"/>
      <c r="P8818" s="17" t="b">
        <f>IFERROR(__xludf.DUMMYFUNCTION("""COMPUTED_VALUE"""),FALSE)</f>
        <v>0</v>
      </c>
      <c r="Q8818" s="20" t="str">
        <f>IFERROR(__xludf.DUMMYFUNCTION("""COMPUTED_VALUE"""),"")</f>
        <v/>
      </c>
      <c r="R8818" s="22" t="str">
        <f>IFERROR(__xludf.DUMMYFUNCTION("""COMPUTED_VALUE"""),"")</f>
        <v/>
      </c>
    </row>
    <row r="8819">
      <c r="A8819" s="17" t="str">
        <f>IFERROR(__xludf.DUMMYFUNCTION("""COMPUTED_VALUE"""),"")</f>
        <v/>
      </c>
      <c r="B8819" s="17" t="str">
        <f>IFERROR(__xludf.DUMMYFUNCTION("""COMPUTED_VALUE"""),"")</f>
        <v/>
      </c>
      <c r="C8819" s="17" t="str">
        <f>IFERROR(__xludf.DUMMYFUNCTION("""COMPUTED_VALUE"""),"")</f>
        <v/>
      </c>
      <c r="D8819" s="17" t="str">
        <f>IFERROR(__xludf.DUMMYFUNCTION("""COMPUTED_VALUE"""),"")</f>
        <v/>
      </c>
      <c r="E8819" s="17" t="str">
        <f>IFERROR(__xludf.DUMMYFUNCTION("""COMPUTED_VALUE"""),"")</f>
        <v/>
      </c>
      <c r="F8819" s="17" t="str">
        <f>IFERROR(__xludf.DUMMYFUNCTION("""COMPUTED_VALUE"""),"")</f>
        <v/>
      </c>
      <c r="G8819" s="17" t="str">
        <f>IFERROR(__xludf.DUMMYFUNCTION("""COMPUTED_VALUE"""),"")</f>
        <v/>
      </c>
      <c r="H8819" s="17" t="str">
        <f>IFERROR(__xludf.DUMMYFUNCTION("""COMPUTED_VALUE"""),"")</f>
        <v/>
      </c>
      <c r="I8819" s="17" t="str">
        <f>IFERROR(__xludf.DUMMYFUNCTION("""COMPUTED_VALUE"""),"")</f>
        <v/>
      </c>
      <c r="J8819" s="17" t="str">
        <f>IFERROR(__xludf.DUMMYFUNCTION("""COMPUTED_VALUE"""),"")</f>
        <v/>
      </c>
      <c r="K8819" s="17" t="str">
        <f>IFERROR(__xludf.DUMMYFUNCTION("""COMPUTED_VALUE"""),"")</f>
        <v/>
      </c>
      <c r="L8819" s="17" t="str">
        <f>IFERROR(__xludf.DUMMYFUNCTION("""COMPUTED_VALUE"""),"")</f>
        <v/>
      </c>
      <c r="M8819" s="17" t="str">
        <f>IFERROR(__xludf.DUMMYFUNCTION("""COMPUTED_VALUE"""),"")</f>
        <v/>
      </c>
      <c r="N8819" s="17" t="str">
        <f>IFERROR(__xludf.DUMMYFUNCTION("""COMPUTED_VALUE"""),"")</f>
        <v/>
      </c>
      <c r="O8819" s="17" t="str">
        <f>IFERROR(__xludf.DUMMYFUNCTION("""COMPUTED_VALUE"""),"")</f>
        <v/>
      </c>
      <c r="P8819" s="17" t="str">
        <f>IFERROR(__xludf.DUMMYFUNCTION("""COMPUTED_VALUE"""),"")</f>
        <v/>
      </c>
      <c r="Q8819" s="17" t="str">
        <f>IFERROR(__xludf.DUMMYFUNCTION("""COMPUTED_VALUE"""),"")</f>
        <v/>
      </c>
      <c r="R8819" s="17" t="str">
        <f>IFERROR(__xludf.DUMMYFUNCTION("""COMPUTED_VALUE"""),"")</f>
        <v/>
      </c>
    </row>
    <row r="8820">
      <c r="A8820" s="15">
        <f>IFERROR(__xludf.DUMMYFUNCTION("""COMPUTED_VALUE"""),45252.0)</f>
        <v>45252</v>
      </c>
      <c r="B8820" s="16" t="str">
        <f>IFERROR(__xludf.DUMMYFUNCTION("""COMPUTED_VALUE"""),"Envia")</f>
        <v>Envia</v>
      </c>
      <c r="C8820" s="15" t="str">
        <f>IFERROR(__xludf.DUMMYFUNCTION("""COMPUTED_VALUE"""),"BOGOTÁ")</f>
        <v>BOGOTÁ</v>
      </c>
      <c r="D8820" s="15" t="str">
        <f>IFERROR(__xludf.DUMMYFUNCTION("""COMPUTED_VALUE"""),"MEDELLÍN")</f>
        <v>MEDELLÍN</v>
      </c>
      <c r="E8820" s="15" t="str">
        <f>IFERROR(__xludf.DUMMYFUNCTION("""COMPUTED_VALUE"""),"Felicidad Bakery")</f>
        <v>Felicidad Bakery</v>
      </c>
      <c r="F8820" s="17" t="str">
        <f>IFERROR(__xludf.DUMMYFUNCTION("""COMPUTED_VALUE"""),"Calle 92 #15-62 / Edificio centro Chicó Local 103")</f>
        <v>Calle 92 #15-62 / Edificio centro Chicó Local 103</v>
      </c>
      <c r="G8820" s="15" t="str">
        <f>IFERROR(__xludf.DUMMYFUNCTION("""COMPUTED_VALUE"""),"Felicidad Bogota")</f>
        <v>Felicidad Bogota</v>
      </c>
      <c r="H8820" s="16">
        <f>IFERROR(__xludf.DUMMYFUNCTION("""COMPUTED_VALUE"""),17465.0)</f>
        <v>17465</v>
      </c>
      <c r="I8820" s="17"/>
      <c r="J8820" s="17"/>
      <c r="K8820" s="17"/>
      <c r="L8820" s="17">
        <f>IFERROR(__xludf.DUMMYFUNCTION("""COMPUTED_VALUE"""),3.013527163E9)</f>
        <v>3013527163</v>
      </c>
      <c r="M8820" s="17"/>
      <c r="N8820" s="17"/>
      <c r="O8820" s="17"/>
      <c r="P8820" s="17" t="b">
        <f>IFERROR(__xludf.DUMMYFUNCTION("""COMPUTED_VALUE"""),FALSE)</f>
        <v>0</v>
      </c>
      <c r="Q8820" s="20" t="str">
        <f>IFERROR(__xludf.DUMMYFUNCTION("""COMPUTED_VALUE"""),"")</f>
        <v/>
      </c>
      <c r="R8820" s="21" t="str">
        <f>IFERROR(__xludf.DUMMYFUNCTION("""COMPUTED_VALUE"""),"https://drive.google.com/file/d/1KiC7G0ittmhVWe1xZ2bVo6yXl1PmdDSG/view?usp=drivesdk")</f>
        <v>https://drive.google.com/file/d/1KiC7G0ittmhVWe1xZ2bVo6yXl1PmdDSG/view?usp=drivesdk</v>
      </c>
    </row>
    <row r="8821">
      <c r="A8821" s="15">
        <f>IFERROR(__xludf.DUMMYFUNCTION("""COMPUTED_VALUE"""),45252.0)</f>
        <v>45252</v>
      </c>
      <c r="B8821" s="16" t="str">
        <f>IFERROR(__xludf.DUMMYFUNCTION("""COMPUTED_VALUE"""),"Envia")</f>
        <v>Envia</v>
      </c>
      <c r="C8821" s="15" t="str">
        <f>IFERROR(__xludf.DUMMYFUNCTION("""COMPUTED_VALUE"""),"CAJICÁ")</f>
        <v>CAJICÁ</v>
      </c>
      <c r="D8821" s="15" t="str">
        <f>IFERROR(__xludf.DUMMYFUNCTION("""COMPUTED_VALUE"""),"ENVIGADO")</f>
        <v>ENVIGADO</v>
      </c>
      <c r="E8821" s="15" t="str">
        <f>IFERROR(__xludf.DUMMYFUNCTION("""COMPUTED_VALUE"""),"JUAN CAMILO CORDOBA")</f>
        <v>JUAN CAMILO CORDOBA</v>
      </c>
      <c r="F8821" s="17" t="str">
        <f>IFERROR(__xludf.DUMMYFUNCTION("""COMPUTED_VALUE"""),"Carrera 5 #10-57 Sur / Km 27 vía Bogota-Cajica Centro Comercial Canelon Local 3")</f>
        <v>Carrera 5 #10-57 Sur / Km 27 vía Bogota-Cajica Centro Comercial Canelon Local 3</v>
      </c>
      <c r="G8821" s="15" t="str">
        <f>IFERROR(__xludf.DUMMYFUNCTION("""COMPUTED_VALUE"""),"Vivo Market Fit")</f>
        <v>Vivo Market Fit</v>
      </c>
      <c r="H8821" s="16">
        <f>IFERROR(__xludf.DUMMYFUNCTION("""COMPUTED_VALUE"""),17535.0)</f>
        <v>17535</v>
      </c>
      <c r="I8821" s="17"/>
      <c r="J8821" s="17"/>
      <c r="K8821" s="17"/>
      <c r="L8821" s="17">
        <f>IFERROR(__xludf.DUMMYFUNCTION("""COMPUTED_VALUE"""),3.145035171E9)</f>
        <v>3145035171</v>
      </c>
      <c r="M8821" s="17"/>
      <c r="N8821" s="17"/>
      <c r="O8821" s="17"/>
      <c r="P8821" s="17" t="b">
        <f>IFERROR(__xludf.DUMMYFUNCTION("""COMPUTED_VALUE"""),FALSE)</f>
        <v>0</v>
      </c>
      <c r="Q8821" s="20" t="str">
        <f>IFERROR(__xludf.DUMMYFUNCTION("""COMPUTED_VALUE"""),"")</f>
        <v/>
      </c>
      <c r="R8821" s="21" t="str">
        <f>IFERROR(__xludf.DUMMYFUNCTION("""COMPUTED_VALUE"""),"https://drive.google.com/file/d/1BeQaABEgjlGojjEoySJEdPhFqpQljmJT/view?usp=drivesdk")</f>
        <v>https://drive.google.com/file/d/1BeQaABEgjlGojjEoySJEdPhFqpQljmJT/view?usp=drivesdk</v>
      </c>
    </row>
    <row r="8822">
      <c r="A8822" s="15">
        <f>IFERROR(__xludf.DUMMYFUNCTION("""COMPUTED_VALUE"""),45252.0)</f>
        <v>45252</v>
      </c>
      <c r="B8822" s="16" t="str">
        <f>IFERROR(__xludf.DUMMYFUNCTION("""COMPUTED_VALUE"""),"Envia")</f>
        <v>Envia</v>
      </c>
      <c r="C8822" s="15" t="str">
        <f>IFERROR(__xludf.DUMMYFUNCTION("""COMPUTED_VALUE"""),"CAJICÁ")</f>
        <v>CAJICÁ</v>
      </c>
      <c r="D8822" s="15" t="str">
        <f>IFERROR(__xludf.DUMMYFUNCTION("""COMPUTED_VALUE"""),"MEDELLÍN")</f>
        <v>MEDELLÍN</v>
      </c>
      <c r="E8822" s="15" t="str">
        <f>IFERROR(__xludf.DUMMYFUNCTION("""COMPUTED_VALUE"""),"Baby Chef")</f>
        <v>Baby Chef</v>
      </c>
      <c r="F8822" s="17" t="str">
        <f>IFERROR(__xludf.DUMMYFUNCTION("""COMPUTED_VALUE"""),"Calle 15#2-37e conjunto san jose casa1 / . / .")</f>
        <v>Calle 15#2-37e conjunto san jose casa1 / . / .</v>
      </c>
      <c r="G8822" s="15" t="str">
        <f>IFERROR(__xludf.DUMMYFUNCTION("""COMPUTED_VALUE"""),"Caty Manzera")</f>
        <v>Caty Manzera</v>
      </c>
      <c r="H8822" s="16">
        <f>IFERROR(__xludf.DUMMYFUNCTION("""COMPUTED_VALUE"""),17517.0)</f>
        <v>17517</v>
      </c>
      <c r="I8822" s="18">
        <f>IFERROR(__xludf.DUMMYFUNCTION("""COMPUTED_VALUE"""),12.0)</f>
        <v>12</v>
      </c>
      <c r="J8822" s="18">
        <f>IFERROR(__xludf.DUMMYFUNCTION("""COMPUTED_VALUE"""),21.0)</f>
        <v>21</v>
      </c>
      <c r="K8822" s="18">
        <f>IFERROR(__xludf.DUMMYFUNCTION("""COMPUTED_VALUE"""),22.0)</f>
        <v>22</v>
      </c>
      <c r="L8822" s="17">
        <f>IFERROR(__xludf.DUMMYFUNCTION("""COMPUTED_VALUE"""),3.04604446E9)</f>
        <v>3046044460</v>
      </c>
      <c r="M8822" s="17"/>
      <c r="N8822" s="17"/>
      <c r="O8822" s="17"/>
      <c r="P8822" s="17" t="b">
        <f>IFERROR(__xludf.DUMMYFUNCTION("""COMPUTED_VALUE"""),FALSE)</f>
        <v>0</v>
      </c>
      <c r="Q8822" s="20" t="str">
        <f>IFERROR(__xludf.DUMMYFUNCTION("""COMPUTED_VALUE"""),"")</f>
        <v/>
      </c>
      <c r="R8822" s="21" t="str">
        <f>IFERROR(__xludf.DUMMYFUNCTION("""COMPUTED_VALUE"""),"https://drive.google.com/file/d/1swv7RPJRp33uvhLiINHld1fzaZmE3CmU/view?usp=drivesdk")</f>
        <v>https://drive.google.com/file/d/1swv7RPJRp33uvhLiINHld1fzaZmE3CmU/view?usp=drivesdk</v>
      </c>
    </row>
    <row r="8823">
      <c r="A8823" s="15">
        <f>IFERROR(__xludf.DUMMYFUNCTION("""COMPUTED_VALUE"""),45252.0)</f>
        <v>45252</v>
      </c>
      <c r="B8823" s="16" t="str">
        <f>IFERROR(__xludf.DUMMYFUNCTION("""COMPUTED_VALUE"""),"Envia")</f>
        <v>Envia</v>
      </c>
      <c r="C8823" s="15" t="str">
        <f>IFERROR(__xludf.DUMMYFUNCTION("""COMPUTED_VALUE"""),"CÚCUTA")</f>
        <v>CÚCUTA</v>
      </c>
      <c r="D8823" s="15" t="str">
        <f>IFERROR(__xludf.DUMMYFUNCTION("""COMPUTED_VALUE"""),"MEDELLÍN")</f>
        <v>MEDELLÍN</v>
      </c>
      <c r="E8823" s="15" t="str">
        <f>IFERROR(__xludf.DUMMYFUNCTION("""COMPUTED_VALUE"""),"Momo Tea S.A.S Gabriel Echavarría")</f>
        <v>Momo Tea S.A.S Gabriel Echavarría</v>
      </c>
      <c r="F8823" s="17" t="str">
        <f>IFERROR(__xludf.DUMMYFUNCTION("""COMPUTED_VALUE"""),"CL 11 N 16 E 35 / CA B 1 ")</f>
        <v>CL 11 N 16 E 35 / CA B 1 </v>
      </c>
      <c r="G8823" s="15" t="str">
        <f>IFERROR(__xludf.DUMMYFUNCTION("""COMPUTED_VALUE"""),"Gabriel Echavarría")</f>
        <v>Gabriel Echavarría</v>
      </c>
      <c r="H8823" s="16">
        <f>IFERROR(__xludf.DUMMYFUNCTION("""COMPUTED_VALUE"""),17452.0)</f>
        <v>17452</v>
      </c>
      <c r="I8823" s="18">
        <f>IFERROR(__xludf.DUMMYFUNCTION("""COMPUTED_VALUE"""),21.0)</f>
        <v>21</v>
      </c>
      <c r="J8823" s="18">
        <f>IFERROR(__xludf.DUMMYFUNCTION("""COMPUTED_VALUE"""),29.0)</f>
        <v>29</v>
      </c>
      <c r="K8823" s="18">
        <f>IFERROR(__xludf.DUMMYFUNCTION("""COMPUTED_VALUE"""),29.0)</f>
        <v>29</v>
      </c>
      <c r="L8823" s="17">
        <f>IFERROR(__xludf.DUMMYFUNCTION("""COMPUTED_VALUE"""),3.017909548E9)</f>
        <v>3017909548</v>
      </c>
      <c r="M8823" s="17"/>
      <c r="N8823" s="17"/>
      <c r="O8823" s="17"/>
      <c r="P8823" s="17" t="b">
        <f>IFERROR(__xludf.DUMMYFUNCTION("""COMPUTED_VALUE"""),FALSE)</f>
        <v>0</v>
      </c>
      <c r="Q8823" s="20" t="str">
        <f>IFERROR(__xludf.DUMMYFUNCTION("""COMPUTED_VALUE"""),"")</f>
        <v/>
      </c>
      <c r="R8823" s="21" t="str">
        <f>IFERROR(__xludf.DUMMYFUNCTION("""COMPUTED_VALUE"""),"https://drive.google.com/file/d/1fQJUbBYCWcjS4awK9N7_t111glwXwVDH/view?usp=drivesdk")</f>
        <v>https://drive.google.com/file/d/1fQJUbBYCWcjS4awK9N7_t111glwXwVDH/view?usp=drivesdk</v>
      </c>
    </row>
    <row r="8824">
      <c r="A8824" s="15">
        <f>IFERROR(__xludf.DUMMYFUNCTION("""COMPUTED_VALUE"""),45252.0)</f>
        <v>45252</v>
      </c>
      <c r="B8824" s="16" t="str">
        <f>IFERROR(__xludf.DUMMYFUNCTION("""COMPUTED_VALUE"""),"Envia")</f>
        <v>Envia</v>
      </c>
      <c r="C8824" s="15" t="str">
        <f>IFERROR(__xludf.DUMMYFUNCTION("""COMPUTED_VALUE"""),"CÚCUTA")</f>
        <v>CÚCUTA</v>
      </c>
      <c r="D8824" s="15" t="str">
        <f>IFERROR(__xludf.DUMMYFUNCTION("""COMPUTED_VALUE"""),"MEDELLÍN")</f>
        <v>MEDELLÍN</v>
      </c>
      <c r="E8824" s="15" t="str">
        <f>IFERROR(__xludf.DUMMYFUNCTION("""COMPUTED_VALUE"""),"Momo Tea S.A.S Gabriel Echavarría")</f>
        <v>Momo Tea S.A.S Gabriel Echavarría</v>
      </c>
      <c r="F8824" s="17" t="str">
        <f>IFERROR(__xludf.DUMMYFUNCTION("""COMPUTED_VALUE"""),"CL 11 N 16 E 35 / CA B 1 ")</f>
        <v>CL 11 N 16 E 35 / CA B 1 </v>
      </c>
      <c r="G8824" s="15" t="str">
        <f>IFERROR(__xludf.DUMMYFUNCTION("""COMPUTED_VALUE"""),"Gabriel Echavarría")</f>
        <v>Gabriel Echavarría</v>
      </c>
      <c r="H8824" s="16">
        <f>IFERROR(__xludf.DUMMYFUNCTION("""COMPUTED_VALUE"""),17453.0)</f>
        <v>17453</v>
      </c>
      <c r="I8824" s="18">
        <f>IFERROR(__xludf.DUMMYFUNCTION("""COMPUTED_VALUE"""),28.0)</f>
        <v>28</v>
      </c>
      <c r="J8824" s="18">
        <f>IFERROR(__xludf.DUMMYFUNCTION("""COMPUTED_VALUE"""),54.0)</f>
        <v>54</v>
      </c>
      <c r="K8824" s="18">
        <f>IFERROR(__xludf.DUMMYFUNCTION("""COMPUTED_VALUE"""),35.0)</f>
        <v>35</v>
      </c>
      <c r="L8824" s="17">
        <f>IFERROR(__xludf.DUMMYFUNCTION("""COMPUTED_VALUE"""),3.017909548E9)</f>
        <v>3017909548</v>
      </c>
      <c r="M8824" s="17"/>
      <c r="N8824" s="17"/>
      <c r="O8824" s="17"/>
      <c r="P8824" s="17" t="b">
        <f>IFERROR(__xludf.DUMMYFUNCTION("""COMPUTED_VALUE"""),FALSE)</f>
        <v>0</v>
      </c>
      <c r="Q8824" s="20" t="str">
        <f>IFERROR(__xludf.DUMMYFUNCTION("""COMPUTED_VALUE"""),"")</f>
        <v/>
      </c>
      <c r="R8824" s="21" t="str">
        <f>IFERROR(__xludf.DUMMYFUNCTION("""COMPUTED_VALUE"""),"https://drive.google.com/file/d/1uQbbGldh6uLhV7_4JPjwkQIofngulLgp/view?usp=drivesdk")</f>
        <v>https://drive.google.com/file/d/1uQbbGldh6uLhV7_4JPjwkQIofngulLgp/view?usp=drivesdk</v>
      </c>
    </row>
    <row r="8825">
      <c r="A8825" s="15">
        <f>IFERROR(__xludf.DUMMYFUNCTION("""COMPUTED_VALUE"""),45252.0)</f>
        <v>45252</v>
      </c>
      <c r="B8825" s="16" t="str">
        <f>IFERROR(__xludf.DUMMYFUNCTION("""COMPUTED_VALUE"""),"Envia")</f>
        <v>Envia</v>
      </c>
      <c r="C8825" s="15" t="str">
        <f>IFERROR(__xludf.DUMMYFUNCTION("""COMPUTED_VALUE"""),"CÚCUTA")</f>
        <v>CÚCUTA</v>
      </c>
      <c r="D8825" s="15" t="str">
        <f>IFERROR(__xludf.DUMMYFUNCTION("""COMPUTED_VALUE"""),"MEDELLÍN")</f>
        <v>MEDELLÍN</v>
      </c>
      <c r="E8825" s="15" t="str">
        <f>IFERROR(__xludf.DUMMYFUNCTION("""COMPUTED_VALUE"""),"Momo Tea S.A.S Gabriel Echavarría")</f>
        <v>Momo Tea S.A.S Gabriel Echavarría</v>
      </c>
      <c r="F8825" s="17" t="str">
        <f>IFERROR(__xludf.DUMMYFUNCTION("""COMPUTED_VALUE"""),"CL 11 N 16 E 35 / CA B 1 ")</f>
        <v>CL 11 N 16 E 35 / CA B 1 </v>
      </c>
      <c r="G8825" s="15" t="str">
        <f>IFERROR(__xludf.DUMMYFUNCTION("""COMPUTED_VALUE"""),"Gabriel Echavarría")</f>
        <v>Gabriel Echavarría</v>
      </c>
      <c r="H8825" s="16">
        <f>IFERROR(__xludf.DUMMYFUNCTION("""COMPUTED_VALUE"""),17454.0)</f>
        <v>17454</v>
      </c>
      <c r="I8825" s="18">
        <f>IFERROR(__xludf.DUMMYFUNCTION("""COMPUTED_VALUE"""),24.0)</f>
        <v>24</v>
      </c>
      <c r="J8825" s="18">
        <f>IFERROR(__xludf.DUMMYFUNCTION("""COMPUTED_VALUE"""),3.0)</f>
        <v>3</v>
      </c>
      <c r="K8825" s="18">
        <f>IFERROR(__xludf.DUMMYFUNCTION("""COMPUTED_VALUE"""),26.0)</f>
        <v>26</v>
      </c>
      <c r="L8825" s="17">
        <f>IFERROR(__xludf.DUMMYFUNCTION("""COMPUTED_VALUE"""),3.017909548E9)</f>
        <v>3017909548</v>
      </c>
      <c r="M8825" s="17"/>
      <c r="N8825" s="17"/>
      <c r="O8825" s="17"/>
      <c r="P8825" s="17" t="b">
        <f>IFERROR(__xludf.DUMMYFUNCTION("""COMPUTED_VALUE"""),FALSE)</f>
        <v>0</v>
      </c>
      <c r="Q8825" s="20" t="str">
        <f>IFERROR(__xludf.DUMMYFUNCTION("""COMPUTED_VALUE"""),"")</f>
        <v/>
      </c>
      <c r="R8825" s="21" t="str">
        <f>IFERROR(__xludf.DUMMYFUNCTION("""COMPUTED_VALUE"""),"https://drive.google.com/file/d/16-HN4G9X1G2LQ1mmOuA_zZptWgab6dlh/view?usp=drivesdk")</f>
        <v>https://drive.google.com/file/d/16-HN4G9X1G2LQ1mmOuA_zZptWgab6dlh/view?usp=drivesdk</v>
      </c>
    </row>
    <row r="8826">
      <c r="A8826" s="15">
        <f>IFERROR(__xludf.DUMMYFUNCTION("""COMPUTED_VALUE"""),45252.0)</f>
        <v>45252</v>
      </c>
      <c r="B8826" s="16" t="str">
        <f>IFERROR(__xludf.DUMMYFUNCTION("""COMPUTED_VALUE"""),"Envia")</f>
        <v>Envia</v>
      </c>
      <c r="C8826" s="15" t="str">
        <f>IFERROR(__xludf.DUMMYFUNCTION("""COMPUTED_VALUE"""),"CÚCUTA")</f>
        <v>CÚCUTA</v>
      </c>
      <c r="D8826" s="15" t="str">
        <f>IFERROR(__xludf.DUMMYFUNCTION("""COMPUTED_VALUE"""),"MEDELLÍN")</f>
        <v>MEDELLÍN</v>
      </c>
      <c r="E8826" s="15" t="str">
        <f>IFERROR(__xludf.DUMMYFUNCTION("""COMPUTED_VALUE"""),"Momo Tea S.A.S Gabriel Echavarría")</f>
        <v>Momo Tea S.A.S Gabriel Echavarría</v>
      </c>
      <c r="F8826" s="17" t="str">
        <f>IFERROR(__xludf.DUMMYFUNCTION("""COMPUTED_VALUE"""),"CL 11 N 16 E 35 / CA B 1 ")</f>
        <v>CL 11 N 16 E 35 / CA B 1 </v>
      </c>
      <c r="G8826" s="15" t="str">
        <f>IFERROR(__xludf.DUMMYFUNCTION("""COMPUTED_VALUE"""),"Gabriel Echavarría")</f>
        <v>Gabriel Echavarría</v>
      </c>
      <c r="H8826" s="16">
        <f>IFERROR(__xludf.DUMMYFUNCTION("""COMPUTED_VALUE"""),17455.0)</f>
        <v>17455</v>
      </c>
      <c r="I8826" s="18">
        <f>IFERROR(__xludf.DUMMYFUNCTION("""COMPUTED_VALUE"""),30.0)</f>
        <v>30</v>
      </c>
      <c r="J8826" s="18">
        <f>IFERROR(__xludf.DUMMYFUNCTION("""COMPUTED_VALUE"""),8.0)</f>
        <v>8</v>
      </c>
      <c r="K8826" s="18">
        <f>IFERROR(__xludf.DUMMYFUNCTION("""COMPUTED_VALUE"""),18.0)</f>
        <v>18</v>
      </c>
      <c r="L8826" s="17">
        <f>IFERROR(__xludf.DUMMYFUNCTION("""COMPUTED_VALUE"""),3.017909548E9)</f>
        <v>3017909548</v>
      </c>
      <c r="M8826" s="17"/>
      <c r="N8826" s="17"/>
      <c r="O8826" s="17"/>
      <c r="P8826" s="17" t="b">
        <f>IFERROR(__xludf.DUMMYFUNCTION("""COMPUTED_VALUE"""),FALSE)</f>
        <v>0</v>
      </c>
      <c r="Q8826" s="20" t="str">
        <f>IFERROR(__xludf.DUMMYFUNCTION("""COMPUTED_VALUE"""),"")</f>
        <v/>
      </c>
      <c r="R8826" s="21" t="str">
        <f>IFERROR(__xludf.DUMMYFUNCTION("""COMPUTED_VALUE"""),"https://drive.google.com/file/d/1FkLFILOZMjAAHAUtHL2qGu4hJKBXeBam/view?usp=drivesdk")</f>
        <v>https://drive.google.com/file/d/1FkLFILOZMjAAHAUtHL2qGu4hJKBXeBam/view?usp=drivesdk</v>
      </c>
    </row>
    <row r="8827">
      <c r="A8827" s="15">
        <f>IFERROR(__xludf.DUMMYFUNCTION("""COMPUTED_VALUE"""),45252.0)</f>
        <v>45252</v>
      </c>
      <c r="B8827" s="16" t="str">
        <f>IFERROR(__xludf.DUMMYFUNCTION("""COMPUTED_VALUE"""),"Envia")</f>
        <v>Envia</v>
      </c>
      <c r="C8827" s="15" t="str">
        <f>IFERROR(__xludf.DUMMYFUNCTION("""COMPUTED_VALUE"""),"CÚCUTA")</f>
        <v>CÚCUTA</v>
      </c>
      <c r="D8827" s="15" t="str">
        <f>IFERROR(__xludf.DUMMYFUNCTION("""COMPUTED_VALUE"""),"MEDELLÍN")</f>
        <v>MEDELLÍN</v>
      </c>
      <c r="E8827" s="15" t="str">
        <f>IFERROR(__xludf.DUMMYFUNCTION("""COMPUTED_VALUE"""),"Momo Tea S.A.S Gabriel Echavarría")</f>
        <v>Momo Tea S.A.S Gabriel Echavarría</v>
      </c>
      <c r="F8827" s="17" t="str">
        <f>IFERROR(__xludf.DUMMYFUNCTION("""COMPUTED_VALUE"""),"CL 11 N 16 E 35 / CA B 1 ")</f>
        <v>CL 11 N 16 E 35 / CA B 1 </v>
      </c>
      <c r="G8827" s="15" t="str">
        <f>IFERROR(__xludf.DUMMYFUNCTION("""COMPUTED_VALUE"""),"Gabriel Echavarría")</f>
        <v>Gabriel Echavarría</v>
      </c>
      <c r="H8827" s="16">
        <f>IFERROR(__xludf.DUMMYFUNCTION("""COMPUTED_VALUE"""),17456.0)</f>
        <v>17456</v>
      </c>
      <c r="I8827" s="18">
        <f>IFERROR(__xludf.DUMMYFUNCTION("""COMPUTED_VALUE"""),17.0)</f>
        <v>17</v>
      </c>
      <c r="J8827" s="18">
        <f>IFERROR(__xludf.DUMMYFUNCTION("""COMPUTED_VALUE"""),17.0)</f>
        <v>17</v>
      </c>
      <c r="K8827" s="18">
        <f>IFERROR(__xludf.DUMMYFUNCTION("""COMPUTED_VALUE"""),23.0)</f>
        <v>23</v>
      </c>
      <c r="L8827" s="17">
        <f>IFERROR(__xludf.DUMMYFUNCTION("""COMPUTED_VALUE"""),3.017909548E9)</f>
        <v>3017909548</v>
      </c>
      <c r="M8827" s="17"/>
      <c r="N8827" s="17"/>
      <c r="O8827" s="17"/>
      <c r="P8827" s="17" t="b">
        <f>IFERROR(__xludf.DUMMYFUNCTION("""COMPUTED_VALUE"""),FALSE)</f>
        <v>0</v>
      </c>
      <c r="Q8827" s="20" t="str">
        <f>IFERROR(__xludf.DUMMYFUNCTION("""COMPUTED_VALUE"""),"")</f>
        <v/>
      </c>
      <c r="R8827" s="21" t="str">
        <f>IFERROR(__xludf.DUMMYFUNCTION("""COMPUTED_VALUE"""),"https://drive.google.com/file/d/1yIIMfZa0Odv6NkqE2F8p0UpBsftxkHl_/view?usp=drivesdk")</f>
        <v>https://drive.google.com/file/d/1yIIMfZa0Odv6NkqE2F8p0UpBsftxkHl_/view?usp=drivesdk</v>
      </c>
    </row>
    <row r="8828">
      <c r="A8828" s="17" t="str">
        <f>IFERROR(__xludf.DUMMYFUNCTION("""COMPUTED_VALUE"""),"")</f>
        <v/>
      </c>
      <c r="B8828" s="17" t="str">
        <f>IFERROR(__xludf.DUMMYFUNCTION("""COMPUTED_VALUE"""),"")</f>
        <v/>
      </c>
      <c r="C8828" s="17" t="str">
        <f>IFERROR(__xludf.DUMMYFUNCTION("""COMPUTED_VALUE"""),"")</f>
        <v/>
      </c>
      <c r="D8828" s="17" t="str">
        <f>IFERROR(__xludf.DUMMYFUNCTION("""COMPUTED_VALUE"""),"")</f>
        <v/>
      </c>
      <c r="E8828" s="17" t="str">
        <f>IFERROR(__xludf.DUMMYFUNCTION("""COMPUTED_VALUE"""),"")</f>
        <v/>
      </c>
      <c r="F8828" s="17" t="str">
        <f>IFERROR(__xludf.DUMMYFUNCTION("""COMPUTED_VALUE"""),"")</f>
        <v/>
      </c>
      <c r="G8828" s="17" t="str">
        <f>IFERROR(__xludf.DUMMYFUNCTION("""COMPUTED_VALUE"""),"")</f>
        <v/>
      </c>
      <c r="H8828" s="17" t="str">
        <f>IFERROR(__xludf.DUMMYFUNCTION("""COMPUTED_VALUE"""),"")</f>
        <v/>
      </c>
      <c r="I8828" s="17" t="str">
        <f>IFERROR(__xludf.DUMMYFUNCTION("""COMPUTED_VALUE"""),"")</f>
        <v/>
      </c>
      <c r="J8828" s="17" t="str">
        <f>IFERROR(__xludf.DUMMYFUNCTION("""COMPUTED_VALUE"""),"")</f>
        <v/>
      </c>
      <c r="K8828" s="17" t="str">
        <f>IFERROR(__xludf.DUMMYFUNCTION("""COMPUTED_VALUE"""),"")</f>
        <v/>
      </c>
      <c r="L8828" s="17" t="str">
        <f>IFERROR(__xludf.DUMMYFUNCTION("""COMPUTED_VALUE"""),"")</f>
        <v/>
      </c>
      <c r="M8828" s="17" t="str">
        <f>IFERROR(__xludf.DUMMYFUNCTION("""COMPUTED_VALUE"""),"")</f>
        <v/>
      </c>
      <c r="N8828" s="17" t="str">
        <f>IFERROR(__xludf.DUMMYFUNCTION("""COMPUTED_VALUE"""),"")</f>
        <v/>
      </c>
      <c r="O8828" s="17" t="str">
        <f>IFERROR(__xludf.DUMMYFUNCTION("""COMPUTED_VALUE"""),"")</f>
        <v/>
      </c>
      <c r="P8828" s="17" t="str">
        <f>IFERROR(__xludf.DUMMYFUNCTION("""COMPUTED_VALUE"""),"")</f>
        <v/>
      </c>
      <c r="Q8828" s="17" t="str">
        <f>IFERROR(__xludf.DUMMYFUNCTION("""COMPUTED_VALUE"""),"")</f>
        <v/>
      </c>
      <c r="R8828" s="17" t="str">
        <f>IFERROR(__xludf.DUMMYFUNCTION("""COMPUTED_VALUE"""),"")</f>
        <v/>
      </c>
    </row>
    <row r="8829">
      <c r="A8829" s="15">
        <f>IFERROR(__xludf.DUMMYFUNCTION("""COMPUTED_VALUE"""),45252.0)</f>
        <v>45252</v>
      </c>
      <c r="B8829" s="16" t="str">
        <f>IFERROR(__xludf.DUMMYFUNCTION("""COMPUTED_VALUE"""),"Johan Alexander Escobar Arroyo ")</f>
        <v>Johan Alexander Escobar Arroyo </v>
      </c>
      <c r="C8829" s="15" t="str">
        <f>IFERROR(__xludf.DUMMYFUNCTION("""COMPUTED_VALUE"""),"CALI")</f>
        <v>CALI</v>
      </c>
      <c r="D8829" s="15" t="str">
        <f>IFERROR(__xludf.DUMMYFUNCTION("""COMPUTED_VALUE"""),"ENVIGADO")</f>
        <v>ENVIGADO</v>
      </c>
      <c r="E8829" s="15" t="str">
        <f>IFERROR(__xludf.DUMMYFUNCTION("""COMPUTED_VALUE"""),"JUAN CAMILO CORDOBA")</f>
        <v>JUAN CAMILO CORDOBA</v>
      </c>
      <c r="F8829" s="17" t="str">
        <f>IFERROR(__xludf.DUMMYFUNCTION("""COMPUTED_VALUE"""),"calle 16 #85-10 / local 102")</f>
        <v>calle 16 #85-10 / local 102</v>
      </c>
      <c r="G8829" s="15" t="str">
        <f>IFERROR(__xludf.DUMMYFUNCTION("""COMPUTED_VALUE"""),"Saludable tentación")</f>
        <v>Saludable tentación</v>
      </c>
      <c r="H8829" s="16">
        <f>IFERROR(__xludf.DUMMYFUNCTION("""COMPUTED_VALUE"""),17539.0)</f>
        <v>17539</v>
      </c>
      <c r="I8829" s="17"/>
      <c r="J8829" s="17"/>
      <c r="K8829" s="17"/>
      <c r="L8829" s="17">
        <f>IFERROR(__xludf.DUMMYFUNCTION("""COMPUTED_VALUE"""),3.112664694E9)</f>
        <v>3112664694</v>
      </c>
      <c r="M8829" s="17"/>
      <c r="N8829" s="17"/>
      <c r="O8829" s="17"/>
      <c r="P8829" s="17" t="b">
        <f>IFERROR(__xludf.DUMMYFUNCTION("""COMPUTED_VALUE"""),FALSE)</f>
        <v>0</v>
      </c>
      <c r="Q8829" s="20" t="str">
        <f>IFERROR(__xludf.DUMMYFUNCTION("""COMPUTED_VALUE"""),"")</f>
        <v/>
      </c>
      <c r="R8829" s="21" t="str">
        <f>IFERROR(__xludf.DUMMYFUNCTION("""COMPUTED_VALUE"""),"https://drive.google.com/file/d/1NM45LFvD5uHunH8qsgM4mqkYPU5s-Nh9/view?usp=drivesdk")</f>
        <v>https://drive.google.com/file/d/1NM45LFvD5uHunH8qsgM4mqkYPU5s-Nh9/view?usp=drivesdk</v>
      </c>
    </row>
    <row r="8830">
      <c r="A8830" s="15">
        <f>IFERROR(__xludf.DUMMYFUNCTION("""COMPUTED_VALUE"""),45252.0)</f>
        <v>45252</v>
      </c>
      <c r="B8830" s="16" t="str">
        <f>IFERROR(__xludf.DUMMYFUNCTION("""COMPUTED_VALUE"""),"Johan Alexander Escobar Arroyo ")</f>
        <v>Johan Alexander Escobar Arroyo </v>
      </c>
      <c r="C8830" s="15" t="str">
        <f>IFERROR(__xludf.DUMMYFUNCTION("""COMPUTED_VALUE"""),"CALI")</f>
        <v>CALI</v>
      </c>
      <c r="D8830" s="15" t="str">
        <f>IFERROR(__xludf.DUMMYFUNCTION("""COMPUTED_VALUE"""),"ENVIGADO")</f>
        <v>ENVIGADO</v>
      </c>
      <c r="E8830" s="15" t="str">
        <f>IFERROR(__xludf.DUMMYFUNCTION("""COMPUTED_VALUE"""),"JUAN CAMILO CORDOBA")</f>
        <v>JUAN CAMILO CORDOBA</v>
      </c>
      <c r="F8830" s="17" t="str">
        <f>IFERROR(__xludf.DUMMYFUNCTION("""COMPUTED_VALUE"""),"Carrera 105 #15B45 / LOCAL 15 CENTRO COMERCIAL LAS VELAS")</f>
        <v>Carrera 105 #15B45 / LOCAL 15 CENTRO COMERCIAL LAS VELAS</v>
      </c>
      <c r="G8830" s="15" t="str">
        <f>IFERROR(__xludf.DUMMYFUNCTION("""COMPUTED_VALUE"""),"Wellthy market")</f>
        <v>Wellthy market</v>
      </c>
      <c r="H8830" s="16">
        <f>IFERROR(__xludf.DUMMYFUNCTION("""COMPUTED_VALUE"""),17538.0)</f>
        <v>17538</v>
      </c>
      <c r="I8830" s="17"/>
      <c r="J8830" s="17"/>
      <c r="K8830" s="17"/>
      <c r="L8830" s="17">
        <f>IFERROR(__xludf.DUMMYFUNCTION("""COMPUTED_VALUE"""),3.152542618E9)</f>
        <v>3152542618</v>
      </c>
      <c r="M8830" s="17"/>
      <c r="N8830" s="17"/>
      <c r="O8830" s="17"/>
      <c r="P8830" s="17" t="b">
        <f>IFERROR(__xludf.DUMMYFUNCTION("""COMPUTED_VALUE"""),FALSE)</f>
        <v>0</v>
      </c>
      <c r="Q8830" s="20" t="str">
        <f>IFERROR(__xludf.DUMMYFUNCTION("""COMPUTED_VALUE"""),"")</f>
        <v/>
      </c>
      <c r="R8830" s="21" t="str">
        <f>IFERROR(__xludf.DUMMYFUNCTION("""COMPUTED_VALUE"""),"https://drive.google.com/file/d/12y-WkqL3TAxi2FfrCY5KMuTXpf_qDIxw/view?usp=drivesdk")</f>
        <v>https://drive.google.com/file/d/12y-WkqL3TAxi2FfrCY5KMuTXpf_qDIxw/view?usp=drivesdk</v>
      </c>
    </row>
    <row r="8831">
      <c r="A8831" s="15">
        <f>IFERROR(__xludf.DUMMYFUNCTION("""COMPUTED_VALUE"""),45252.0)</f>
        <v>45252</v>
      </c>
      <c r="B8831" s="16" t="str">
        <f>IFERROR(__xludf.DUMMYFUNCTION("""COMPUTED_VALUE"""),"Johan Alexander Escobar Arroyo ")</f>
        <v>Johan Alexander Escobar Arroyo </v>
      </c>
      <c r="C8831" s="15" t="str">
        <f>IFERROR(__xludf.DUMMYFUNCTION("""COMPUTED_VALUE"""),"CALI")</f>
        <v>CALI</v>
      </c>
      <c r="D8831" s="15" t="str">
        <f>IFERROR(__xludf.DUMMYFUNCTION("""COMPUTED_VALUE"""),"MEDELLÍN")</f>
        <v>MEDELLÍN</v>
      </c>
      <c r="E8831" s="15" t="str">
        <f>IFERROR(__xludf.DUMMYFUNCTION("""COMPUTED_VALUE"""),"AREPAS LA MARY")</f>
        <v>AREPAS LA MARY</v>
      </c>
      <c r="F8831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8831" s="15" t="str">
        <f>IFERROR(__xludf.DUMMYFUNCTION("""COMPUTED_VALUE"""),"VITALFINESS CALI")</f>
        <v>VITALFINESS CALI</v>
      </c>
      <c r="H8831" s="16">
        <f>IFERROR(__xludf.DUMMYFUNCTION("""COMPUTED_VALUE"""),17495.0)</f>
        <v>17495</v>
      </c>
      <c r="I8831" s="17"/>
      <c r="J8831" s="17"/>
      <c r="K8831" s="17"/>
      <c r="L8831" s="17">
        <f>IFERROR(__xludf.DUMMYFUNCTION("""COMPUTED_VALUE"""),3.226925759E9)</f>
        <v>3226925759</v>
      </c>
      <c r="M8831" s="17"/>
      <c r="N8831" s="17"/>
      <c r="O8831" s="17"/>
      <c r="P8831" s="17" t="b">
        <f>IFERROR(__xludf.DUMMYFUNCTION("""COMPUTED_VALUE"""),FALSE)</f>
        <v>0</v>
      </c>
      <c r="Q8831" s="20" t="str">
        <f>IFERROR(__xludf.DUMMYFUNCTION("""COMPUTED_VALUE"""),"")</f>
        <v/>
      </c>
      <c r="R8831" s="22" t="str">
        <f>IFERROR(__xludf.DUMMYFUNCTION("""COMPUTED_VALUE"""),"")</f>
        <v/>
      </c>
    </row>
    <row r="8832">
      <c r="A8832" s="15">
        <f>IFERROR(__xludf.DUMMYFUNCTION("""COMPUTED_VALUE"""),45252.0)</f>
        <v>45252</v>
      </c>
      <c r="B8832" s="16" t="str">
        <f>IFERROR(__xludf.DUMMYFUNCTION("""COMPUTED_VALUE"""),"Johan Alexander Escobar Arroyo ")</f>
        <v>Johan Alexander Escobar Arroyo </v>
      </c>
      <c r="C8832" s="15" t="str">
        <f>IFERROR(__xludf.DUMMYFUNCTION("""COMPUTED_VALUE"""),"CALI")</f>
        <v>CALI</v>
      </c>
      <c r="D8832" s="15" t="str">
        <f>IFERROR(__xludf.DUMMYFUNCTION("""COMPUTED_VALUE"""),"MEDELLÍN")</f>
        <v>MEDELLÍN</v>
      </c>
      <c r="E8832" s="15" t="str">
        <f>IFERROR(__xludf.DUMMYFUNCTION("""COMPUTED_VALUE"""),"AREPAS LA MARY")</f>
        <v>AREPAS LA MARY</v>
      </c>
      <c r="F8832" s="17" t="str">
        <f>IFERROR(__xludf.DUMMYFUNCTION("""COMPUTED_VALUE"""),"CLL 22A N121 180 APTO 502B / INES DE LARA")</f>
        <v>CLL 22A N121 180 APTO 502B / INES DE LARA</v>
      </c>
      <c r="G8832" s="15" t="str">
        <f>IFERROR(__xludf.DUMMYFUNCTION("""COMPUTED_VALUE"""),"JESSICA GOMEZ")</f>
        <v>JESSICA GOMEZ</v>
      </c>
      <c r="H8832" s="16">
        <f>IFERROR(__xludf.DUMMYFUNCTION("""COMPUTED_VALUE"""),17528.0)</f>
        <v>17528</v>
      </c>
      <c r="I8832" s="17"/>
      <c r="J8832" s="17"/>
      <c r="K8832" s="17"/>
      <c r="L8832" s="17"/>
      <c r="M8832" s="17"/>
      <c r="N8832" s="17"/>
      <c r="O8832" s="17"/>
      <c r="P8832" s="17" t="b">
        <f>IFERROR(__xludf.DUMMYFUNCTION("""COMPUTED_VALUE"""),FALSE)</f>
        <v>0</v>
      </c>
      <c r="Q8832" s="20" t="str">
        <f>IFERROR(__xludf.DUMMYFUNCTION("""COMPUTED_VALUE"""),"")</f>
        <v/>
      </c>
      <c r="R8832" s="21" t="str">
        <f>IFERROR(__xludf.DUMMYFUNCTION("""COMPUTED_VALUE"""),"https://drive.google.com/file/d/1EZzxNNo1f1UR-PT3n_7mTl1djUfaifOi/view?usp=drivesdk")</f>
        <v>https://drive.google.com/file/d/1EZzxNNo1f1UR-PT3n_7mTl1djUfaifOi/view?usp=drivesdk</v>
      </c>
    </row>
    <row r="8833">
      <c r="A8833" s="15">
        <f>IFERROR(__xludf.DUMMYFUNCTION("""COMPUTED_VALUE"""),45252.0)</f>
        <v>45252</v>
      </c>
      <c r="B8833" s="16" t="str">
        <f>IFERROR(__xludf.DUMMYFUNCTION("""COMPUTED_VALUE"""),"Johan Alexander Escobar Arroyo ")</f>
        <v>Johan Alexander Escobar Arroyo </v>
      </c>
      <c r="C8833" s="15" t="str">
        <f>IFERROR(__xludf.DUMMYFUNCTION("""COMPUTED_VALUE"""),"CALI")</f>
        <v>CALI</v>
      </c>
      <c r="D8833" s="15" t="str">
        <f>IFERROR(__xludf.DUMMYFUNCTION("""COMPUTED_VALUE"""),"MEDELLÍN")</f>
        <v>MEDELLÍN</v>
      </c>
      <c r="E8833" s="15" t="str">
        <f>IFERROR(__xludf.DUMMYFUNCTION("""COMPUTED_VALUE"""),"Baby Chef")</f>
        <v>Baby Chef</v>
      </c>
      <c r="F8833" s="17" t="str">
        <f>IFERROR(__xludf.DUMMYFUNCTION("""COMPUTED_VALUE"""),"Calle 20 # 121-234 Edificio Verona apto 308 / . / .")</f>
        <v>Calle 20 # 121-234 Edificio Verona apto 308 / . / .</v>
      </c>
      <c r="G8833" s="15" t="str">
        <f>IFERROR(__xludf.DUMMYFUNCTION("""COMPUTED_VALUE"""),"Julia Marcela Florez")</f>
        <v>Julia Marcela Florez</v>
      </c>
      <c r="H8833" s="16">
        <f>IFERROR(__xludf.DUMMYFUNCTION("""COMPUTED_VALUE"""),17521.0)</f>
        <v>17521</v>
      </c>
      <c r="I8833" s="18">
        <f>IFERROR(__xludf.DUMMYFUNCTION("""COMPUTED_VALUE"""),7.0)</f>
        <v>7</v>
      </c>
      <c r="J8833" s="18">
        <f>IFERROR(__xludf.DUMMYFUNCTION("""COMPUTED_VALUE"""),21.0)</f>
        <v>21</v>
      </c>
      <c r="K8833" s="18">
        <f>IFERROR(__xludf.DUMMYFUNCTION("""COMPUTED_VALUE"""),30.0)</f>
        <v>30</v>
      </c>
      <c r="L8833" s="17">
        <f>IFERROR(__xludf.DUMMYFUNCTION("""COMPUTED_VALUE"""),3.104065403E9)</f>
        <v>3104065403</v>
      </c>
      <c r="M8833" s="17"/>
      <c r="N8833" s="17"/>
      <c r="O8833" s="17"/>
      <c r="P8833" s="17" t="b">
        <f>IFERROR(__xludf.DUMMYFUNCTION("""COMPUTED_VALUE"""),FALSE)</f>
        <v>0</v>
      </c>
      <c r="Q8833" s="20" t="str">
        <f>IFERROR(__xludf.DUMMYFUNCTION("""COMPUTED_VALUE"""),"")</f>
        <v/>
      </c>
      <c r="R8833" s="21" t="str">
        <f>IFERROR(__xludf.DUMMYFUNCTION("""COMPUTED_VALUE"""),"https://drive.google.com/file/d/1WQY_WJOYoCHUBQy7De6WMnzc38PXuk6m/view?usp=drivesdk")</f>
        <v>https://drive.google.com/file/d/1WQY_WJOYoCHUBQy7De6WMnzc38PXuk6m/view?usp=drivesdk</v>
      </c>
    </row>
    <row r="8834">
      <c r="A8834" s="15">
        <f>IFERROR(__xludf.DUMMYFUNCTION("""COMPUTED_VALUE"""),45252.0)</f>
        <v>45252</v>
      </c>
      <c r="B8834" s="16" t="str">
        <f>IFERROR(__xludf.DUMMYFUNCTION("""COMPUTED_VALUE"""),"Johan Alexander Escobar Arroyo ")</f>
        <v>Johan Alexander Escobar Arroyo </v>
      </c>
      <c r="C8834" s="15" t="str">
        <f>IFERROR(__xludf.DUMMYFUNCTION("""COMPUTED_VALUE"""),"CALI")</f>
        <v>CALI</v>
      </c>
      <c r="D8834" s="15" t="str">
        <f>IFERROR(__xludf.DUMMYFUNCTION("""COMPUTED_VALUE"""),"MEDELLÍN")</f>
        <v>MEDELLÍN</v>
      </c>
      <c r="E8834" s="15" t="str">
        <f>IFERROR(__xludf.DUMMYFUNCTION("""COMPUTED_VALUE"""),"Baby Chef")</f>
        <v>Baby Chef</v>
      </c>
      <c r="F8834" s="17" t="str">
        <f>IFERROR(__xludf.DUMMYFUNCTION("""COMPUTED_VALUE"""),"Calle 4a # 35-49 apartamento 102 Barrio san fernando / . / .")</f>
        <v>Calle 4a # 35-49 apartamento 102 Barrio san fernando / . / .</v>
      </c>
      <c r="G8834" s="15" t="str">
        <f>IFERROR(__xludf.DUMMYFUNCTION("""COMPUTED_VALUE"""),"Stephany Ortega")</f>
        <v>Stephany Ortega</v>
      </c>
      <c r="H8834" s="16">
        <f>IFERROR(__xludf.DUMMYFUNCTION("""COMPUTED_VALUE"""),17522.0)</f>
        <v>17522</v>
      </c>
      <c r="I8834" s="18">
        <f>IFERROR(__xludf.DUMMYFUNCTION("""COMPUTED_VALUE"""),7.0)</f>
        <v>7</v>
      </c>
      <c r="J8834" s="18">
        <f>IFERROR(__xludf.DUMMYFUNCTION("""COMPUTED_VALUE"""),21.0)</f>
        <v>21</v>
      </c>
      <c r="K8834" s="18">
        <f>IFERROR(__xludf.DUMMYFUNCTION("""COMPUTED_VALUE"""),27.0)</f>
        <v>27</v>
      </c>
      <c r="L8834" s="17">
        <f>IFERROR(__xludf.DUMMYFUNCTION("""COMPUTED_VALUE"""),3.143036686E9)</f>
        <v>3143036686</v>
      </c>
      <c r="M8834" s="17"/>
      <c r="N8834" s="17"/>
      <c r="O8834" s="17"/>
      <c r="P8834" s="17" t="b">
        <f>IFERROR(__xludf.DUMMYFUNCTION("""COMPUTED_VALUE"""),FALSE)</f>
        <v>0</v>
      </c>
      <c r="Q8834" s="20" t="str">
        <f>IFERROR(__xludf.DUMMYFUNCTION("""COMPUTED_VALUE"""),"")</f>
        <v/>
      </c>
      <c r="R8834" s="21" t="str">
        <f>IFERROR(__xludf.DUMMYFUNCTION("""COMPUTED_VALUE"""),"https://drive.google.com/file/d/17ybAB1qnKJQy51-jbW_nZ1O0_QxUPRue/view?usp=drivesdk")</f>
        <v>https://drive.google.com/file/d/17ybAB1qnKJQy51-jbW_nZ1O0_QxUPRue/view?usp=drivesdk</v>
      </c>
    </row>
    <row r="8835">
      <c r="A8835" s="15">
        <f>IFERROR(__xludf.DUMMYFUNCTION("""COMPUTED_VALUE"""),45252.0)</f>
        <v>45252</v>
      </c>
      <c r="B8835" s="16" t="str">
        <f>IFERROR(__xludf.DUMMYFUNCTION("""COMPUTED_VALUE"""),"Johan Alexander Escobar Arroyo ")</f>
        <v>Johan Alexander Escobar Arroyo </v>
      </c>
      <c r="C8835" s="15" t="str">
        <f>IFERROR(__xludf.DUMMYFUNCTION("""COMPUTED_VALUE"""),"CALI")</f>
        <v>CALI</v>
      </c>
      <c r="D8835" s="15" t="str">
        <f>IFERROR(__xludf.DUMMYFUNCTION("""COMPUTED_VALUE"""),"MEDELLÍN")</f>
        <v>MEDELLÍN</v>
      </c>
      <c r="E8835" s="15" t="str">
        <f>IFERROR(__xludf.DUMMYFUNCTION("""COMPUTED_VALUE"""),"Baby Chef")</f>
        <v>Baby Chef</v>
      </c>
      <c r="F8835" s="17" t="str">
        <f>IFERROR(__xludf.DUMMYFUNCTION("""COMPUTED_VALUE"""),"Calle18a #56-20 cañaverales 4 apto 494 torre Y  Barrio cañaverales los samanes  / . / .")</f>
        <v>Calle18a #56-20 cañaverales 4 apto 494 torre Y  Barrio cañaverales los samanes  / . / .</v>
      </c>
      <c r="G8835" s="15" t="str">
        <f>IFERROR(__xludf.DUMMYFUNCTION("""COMPUTED_VALUE"""),"Fernanda Rodríguez")</f>
        <v>Fernanda Rodríguez</v>
      </c>
      <c r="H8835" s="16">
        <f>IFERROR(__xludf.DUMMYFUNCTION("""COMPUTED_VALUE"""),17524.0)</f>
        <v>17524</v>
      </c>
      <c r="I8835" s="18">
        <f>IFERROR(__xludf.DUMMYFUNCTION("""COMPUTED_VALUE"""),9.0)</f>
        <v>9</v>
      </c>
      <c r="J8835" s="18">
        <f>IFERROR(__xludf.DUMMYFUNCTION("""COMPUTED_VALUE"""),20.0)</f>
        <v>20</v>
      </c>
      <c r="K8835" s="18">
        <f>IFERROR(__xludf.DUMMYFUNCTION("""COMPUTED_VALUE"""),27.0)</f>
        <v>27</v>
      </c>
      <c r="L8835" s="17">
        <f>IFERROR(__xludf.DUMMYFUNCTION("""COMPUTED_VALUE"""),3.215670443E9)</f>
        <v>3215670443</v>
      </c>
      <c r="M8835" s="17"/>
      <c r="N8835" s="17"/>
      <c r="O8835" s="17"/>
      <c r="P8835" s="17" t="b">
        <f>IFERROR(__xludf.DUMMYFUNCTION("""COMPUTED_VALUE"""),FALSE)</f>
        <v>0</v>
      </c>
      <c r="Q8835" s="20" t="str">
        <f>IFERROR(__xludf.DUMMYFUNCTION("""COMPUTED_VALUE"""),"")</f>
        <v/>
      </c>
      <c r="R8835" s="21" t="str">
        <f>IFERROR(__xludf.DUMMYFUNCTION("""COMPUTED_VALUE"""),"https://drive.google.com/file/d/1RiUKeu5FzYOnIbEp28pr0maBT2-J89pc/view?usp=drivesdk")</f>
        <v>https://drive.google.com/file/d/1RiUKeu5FzYOnIbEp28pr0maBT2-J89pc/view?usp=drivesdk</v>
      </c>
    </row>
    <row r="8836">
      <c r="A8836" s="15">
        <f>IFERROR(__xludf.DUMMYFUNCTION("""COMPUTED_VALUE"""),45252.0)</f>
        <v>45252</v>
      </c>
      <c r="B8836" s="16" t="str">
        <f>IFERROR(__xludf.DUMMYFUNCTION("""COMPUTED_VALUE"""),"Johan Alexander Escobar Arroyo ")</f>
        <v>Johan Alexander Escobar Arroyo </v>
      </c>
      <c r="C8836" s="15" t="str">
        <f>IFERROR(__xludf.DUMMYFUNCTION("""COMPUTED_VALUE"""),"CALI")</f>
        <v>CALI</v>
      </c>
      <c r="D8836" s="15" t="str">
        <f>IFERROR(__xludf.DUMMYFUNCTION("""COMPUTED_VALUE"""),"MEDELLÍN")</f>
        <v>MEDELLÍN</v>
      </c>
      <c r="E8836" s="15" t="str">
        <f>IFERROR(__xludf.DUMMYFUNCTION("""COMPUTED_VALUE"""),"Baby Chef")</f>
        <v>Baby Chef</v>
      </c>
      <c r="F8836" s="17" t="str">
        <f>IFERROR(__xludf.DUMMYFUNCTION("""COMPUTED_VALUE"""),"Carrera 103 # 11-40 Sendero del Polo Club casa P1 / . / .")</f>
        <v>Carrera 103 # 11-40 Sendero del Polo Club casa P1 / . / .</v>
      </c>
      <c r="G8836" s="15" t="str">
        <f>IFERROR(__xludf.DUMMYFUNCTION("""COMPUTED_VALUE"""),"Johanna Rojas")</f>
        <v>Johanna Rojas</v>
      </c>
      <c r="H8836" s="16">
        <f>IFERROR(__xludf.DUMMYFUNCTION("""COMPUTED_VALUE"""),17523.0)</f>
        <v>17523</v>
      </c>
      <c r="I8836" s="18">
        <f>IFERROR(__xludf.DUMMYFUNCTION("""COMPUTED_VALUE"""),11.0)</f>
        <v>11</v>
      </c>
      <c r="J8836" s="18">
        <f>IFERROR(__xludf.DUMMYFUNCTION("""COMPUTED_VALUE"""),19.0)</f>
        <v>19</v>
      </c>
      <c r="K8836" s="18">
        <f>IFERROR(__xludf.DUMMYFUNCTION("""COMPUTED_VALUE"""),30.0)</f>
        <v>30</v>
      </c>
      <c r="L8836" s="17">
        <f>IFERROR(__xludf.DUMMYFUNCTION("""COMPUTED_VALUE"""),3.183307191E9)</f>
        <v>3183307191</v>
      </c>
      <c r="M8836" s="17"/>
      <c r="N8836" s="17"/>
      <c r="O8836" s="17"/>
      <c r="P8836" s="17" t="b">
        <f>IFERROR(__xludf.DUMMYFUNCTION("""COMPUTED_VALUE"""),FALSE)</f>
        <v>0</v>
      </c>
      <c r="Q8836" s="20" t="str">
        <f>IFERROR(__xludf.DUMMYFUNCTION("""COMPUTED_VALUE"""),"")</f>
        <v/>
      </c>
      <c r="R8836" s="21" t="str">
        <f>IFERROR(__xludf.DUMMYFUNCTION("""COMPUTED_VALUE"""),"https://drive.google.com/file/d/1iLdoeibYtAPnPdw-xqH6Rbgx4pwMcI22/view?usp=drivesdk")</f>
        <v>https://drive.google.com/file/d/1iLdoeibYtAPnPdw-xqH6Rbgx4pwMcI22/view?usp=drivesdk</v>
      </c>
    </row>
    <row r="8837">
      <c r="A8837" s="15">
        <f>IFERROR(__xludf.DUMMYFUNCTION("""COMPUTED_VALUE"""),45252.0)</f>
        <v>45252</v>
      </c>
      <c r="B8837" s="16" t="str">
        <f>IFERROR(__xludf.DUMMYFUNCTION("""COMPUTED_VALUE"""),"Johan Alexander Escobar Arroyo ")</f>
        <v>Johan Alexander Escobar Arroyo </v>
      </c>
      <c r="C8837" s="15" t="str">
        <f>IFERROR(__xludf.DUMMYFUNCTION("""COMPUTED_VALUE"""),"CALI")</f>
        <v>CALI</v>
      </c>
      <c r="D8837" s="15" t="str">
        <f>IFERROR(__xludf.DUMMYFUNCTION("""COMPUTED_VALUE"""),"MEDELLÍN")</f>
        <v>MEDELLÍN</v>
      </c>
      <c r="E8837" s="15" t="str">
        <f>IFERROR(__xludf.DUMMYFUNCTION("""COMPUTED_VALUE"""),"Baby Chef")</f>
        <v>Baby Chef</v>
      </c>
      <c r="F8837" s="17" t="str">
        <f>IFERROR(__xludf.DUMMYFUNCTION("""COMPUTED_VALUE"""),"Carrera 59 # 1-44 Edificio Guadalupe, apto 402 Barrio Seminario  / . / .")</f>
        <v>Carrera 59 # 1-44 Edificio Guadalupe, apto 402 Barrio Seminario  / . / .</v>
      </c>
      <c r="G8837" s="15" t="str">
        <f>IFERROR(__xludf.DUMMYFUNCTION("""COMPUTED_VALUE"""),"Daniela Baraya")</f>
        <v>Daniela Baraya</v>
      </c>
      <c r="H8837" s="16">
        <f>IFERROR(__xludf.DUMMYFUNCTION("""COMPUTED_VALUE"""),17525.0)</f>
        <v>17525</v>
      </c>
      <c r="I8837" s="18">
        <f>IFERROR(__xludf.DUMMYFUNCTION("""COMPUTED_VALUE"""),14.0)</f>
        <v>14</v>
      </c>
      <c r="J8837" s="18">
        <f>IFERROR(__xludf.DUMMYFUNCTION("""COMPUTED_VALUE"""),21.0)</f>
        <v>21</v>
      </c>
      <c r="K8837" s="18">
        <f>IFERROR(__xludf.DUMMYFUNCTION("""COMPUTED_VALUE"""),34.0)</f>
        <v>34</v>
      </c>
      <c r="L8837" s="17">
        <f>IFERROR(__xludf.DUMMYFUNCTION("""COMPUTED_VALUE"""),3.218536044E9)</f>
        <v>3218536044</v>
      </c>
      <c r="M8837" s="17"/>
      <c r="N8837" s="17"/>
      <c r="O8837" s="17"/>
      <c r="P8837" s="17" t="b">
        <f>IFERROR(__xludf.DUMMYFUNCTION("""COMPUTED_VALUE"""),FALSE)</f>
        <v>0</v>
      </c>
      <c r="Q8837" s="20" t="str">
        <f>IFERROR(__xludf.DUMMYFUNCTION("""COMPUTED_VALUE"""),"")</f>
        <v/>
      </c>
      <c r="R8837" s="21" t="str">
        <f>IFERROR(__xludf.DUMMYFUNCTION("""COMPUTED_VALUE"""),"https://drive.google.com/file/d/1nSO_9XHwD0qslA7GRuEpc9Ap4tj38BdT/view?usp=drivesdk")</f>
        <v>https://drive.google.com/file/d/1nSO_9XHwD0qslA7GRuEpc9Ap4tj38BdT/view?usp=drivesdk</v>
      </c>
    </row>
    <row r="8838">
      <c r="A8838" s="15">
        <f>IFERROR(__xludf.DUMMYFUNCTION("""COMPUTED_VALUE"""),45252.0)</f>
        <v>45252</v>
      </c>
      <c r="B8838" s="16" t="str">
        <f>IFERROR(__xludf.DUMMYFUNCTION("""COMPUTED_VALUE"""),"Johan Alexander Escobar Arroyo ")</f>
        <v>Johan Alexander Escobar Arroyo </v>
      </c>
      <c r="C8838" s="15" t="str">
        <f>IFERROR(__xludf.DUMMYFUNCTION("""COMPUTED_VALUE"""),"IBAGUÉ")</f>
        <v>IBAGUÉ</v>
      </c>
      <c r="D8838" s="15" t="str">
        <f>IFERROR(__xludf.DUMMYFUNCTION("""COMPUTED_VALUE"""),"BOGOTÁ")</f>
        <v>BOGOTÁ</v>
      </c>
      <c r="E8838" s="15" t="str">
        <f>IFERROR(__xludf.DUMMYFUNCTION("""COMPUTED_VALUE"""),"Instinto alimento vital")</f>
        <v>Instinto alimento vital</v>
      </c>
      <c r="F8838" s="17" t="str">
        <f>IFERROR(__xludf.DUMMYFUNCTION("""COMPUTED_VALUE"""),"CASA 48 MANZANA 4 ALAMEDA LA CAMPIÑA SECTOR CALATATUD / PRODUCTO ALIMENTICIO REQUIERE CONGELACION")</f>
        <v>CASA 48 MANZANA 4 ALAMEDA LA CAMPIÑA SECTOR CALATATUD / PRODUCTO ALIMENTICIO REQUIERE CONGELACION</v>
      </c>
      <c r="G8838" s="15" t="str">
        <f>IFERROR(__xludf.DUMMYFUNCTION("""COMPUTED_VALUE"""),"JESUS DAVID DELGADO TASCON")</f>
        <v>JESUS DAVID DELGADO TASCON</v>
      </c>
      <c r="H8838" s="16">
        <f>IFERROR(__xludf.DUMMYFUNCTION("""COMPUTED_VALUE"""),17479.0)</f>
        <v>17479</v>
      </c>
      <c r="I8838" s="17"/>
      <c r="J8838" s="17"/>
      <c r="K8838" s="17"/>
      <c r="L8838" s="17">
        <f>IFERROR(__xludf.DUMMYFUNCTION("""COMPUTED_VALUE"""),3.196515049E9)</f>
        <v>3196515049</v>
      </c>
      <c r="M8838" s="17"/>
      <c r="N8838" s="17"/>
      <c r="O8838" s="17"/>
      <c r="P8838" s="17" t="b">
        <f>IFERROR(__xludf.DUMMYFUNCTION("""COMPUTED_VALUE"""),FALSE)</f>
        <v>0</v>
      </c>
      <c r="Q8838" s="20" t="str">
        <f>IFERROR(__xludf.DUMMYFUNCTION("""COMPUTED_VALUE"""),"")</f>
        <v/>
      </c>
      <c r="R8838" s="21" t="str">
        <f>IFERROR(__xludf.DUMMYFUNCTION("""COMPUTED_VALUE"""),"https://drive.google.com/file/d/1aflHBjmm7gU0l8agU7liHLl7srSbcbSM/view?usp=drivesdk")</f>
        <v>https://drive.google.com/file/d/1aflHBjmm7gU0l8agU7liHLl7srSbcbSM/view?usp=drivesdk</v>
      </c>
    </row>
    <row r="8839">
      <c r="A8839" s="15">
        <f>IFERROR(__xludf.DUMMYFUNCTION("""COMPUTED_VALUE"""),45252.0)</f>
        <v>45252</v>
      </c>
      <c r="B8839" s="16" t="str">
        <f>IFERROR(__xludf.DUMMYFUNCTION("""COMPUTED_VALUE"""),"Johan Alexander Escobar Arroyo ")</f>
        <v>Johan Alexander Escobar Arroyo </v>
      </c>
      <c r="C8839" s="15" t="str">
        <f>IFERROR(__xludf.DUMMYFUNCTION("""COMPUTED_VALUE"""),"IBAGUÉ")</f>
        <v>IBAGUÉ</v>
      </c>
      <c r="D8839" s="15" t="str">
        <f>IFERROR(__xludf.DUMMYFUNCTION("""COMPUTED_VALUE"""),"BOGOTÁ")</f>
        <v>BOGOTÁ</v>
      </c>
      <c r="E8839" s="15" t="str">
        <f>IFERROR(__xludf.DUMMYFUNCTION("""COMPUTED_VALUE"""),"PAN DE WAFFLE")</f>
        <v>PAN DE WAFFLE</v>
      </c>
      <c r="F8839" s="17" t="str">
        <f>IFERROR(__xludf.DUMMYFUNCTION("""COMPUTED_VALUE"""),"Carrera 14 # 75a - 29 Local 5 Conjunto Estancia Del Vergel / Carrera 14 # 75a - 29 Local 5 Conjunto Estancia Del Vergel")</f>
        <v>Carrera 14 # 75a - 29 Local 5 Conjunto Estancia Del Vergel / Carrera 14 # 75a - 29 Local 5 Conjunto Estancia Del Vergel</v>
      </c>
      <c r="G8839" s="15" t="str">
        <f>IFERROR(__xludf.DUMMYFUNCTION("""COMPUTED_VALUE"""),"SOY NATURAL")</f>
        <v>SOY NATURAL</v>
      </c>
      <c r="H8839" s="16">
        <f>IFERROR(__xludf.DUMMYFUNCTION("""COMPUTED_VALUE"""),17462.0)</f>
        <v>17462</v>
      </c>
      <c r="I8839" s="17"/>
      <c r="J8839" s="17"/>
      <c r="K8839" s="17"/>
      <c r="L8839" s="17"/>
      <c r="M8839" s="17"/>
      <c r="N8839" s="17"/>
      <c r="O8839" s="17"/>
      <c r="P8839" s="17" t="b">
        <f>IFERROR(__xludf.DUMMYFUNCTION("""COMPUTED_VALUE"""),FALSE)</f>
        <v>0</v>
      </c>
      <c r="Q8839" s="20" t="str">
        <f>IFERROR(__xludf.DUMMYFUNCTION("""COMPUTED_VALUE"""),"")</f>
        <v/>
      </c>
      <c r="R8839" s="21" t="str">
        <f>IFERROR(__xludf.DUMMYFUNCTION("""COMPUTED_VALUE"""),"https://drive.google.com/file/d/1ktaG_6vkYYUGP842VyES2vO8sz_69qEb/view?usp=drivesdk")</f>
        <v>https://drive.google.com/file/d/1ktaG_6vkYYUGP842VyES2vO8sz_69qEb/view?usp=drivesdk</v>
      </c>
    </row>
    <row r="8840">
      <c r="A8840" s="17" t="str">
        <f>IFERROR(__xludf.DUMMYFUNCTION("""COMPUTED_VALUE"""),"")</f>
        <v/>
      </c>
      <c r="B8840" s="17" t="str">
        <f>IFERROR(__xludf.DUMMYFUNCTION("""COMPUTED_VALUE"""),"")</f>
        <v/>
      </c>
      <c r="C8840" s="17" t="str">
        <f>IFERROR(__xludf.DUMMYFUNCTION("""COMPUTED_VALUE"""),"")</f>
        <v/>
      </c>
      <c r="D8840" s="17" t="str">
        <f>IFERROR(__xludf.DUMMYFUNCTION("""COMPUTED_VALUE"""),"")</f>
        <v/>
      </c>
      <c r="E8840" s="17" t="str">
        <f>IFERROR(__xludf.DUMMYFUNCTION("""COMPUTED_VALUE"""),"")</f>
        <v/>
      </c>
      <c r="F8840" s="17" t="str">
        <f>IFERROR(__xludf.DUMMYFUNCTION("""COMPUTED_VALUE"""),"")</f>
        <v/>
      </c>
      <c r="G8840" s="17" t="str">
        <f>IFERROR(__xludf.DUMMYFUNCTION("""COMPUTED_VALUE"""),"")</f>
        <v/>
      </c>
      <c r="H8840" s="17" t="str">
        <f>IFERROR(__xludf.DUMMYFUNCTION("""COMPUTED_VALUE"""),"")</f>
        <v/>
      </c>
      <c r="I8840" s="17" t="str">
        <f>IFERROR(__xludf.DUMMYFUNCTION("""COMPUTED_VALUE"""),"")</f>
        <v/>
      </c>
      <c r="J8840" s="17" t="str">
        <f>IFERROR(__xludf.DUMMYFUNCTION("""COMPUTED_VALUE"""),"")</f>
        <v/>
      </c>
      <c r="K8840" s="17" t="str">
        <f>IFERROR(__xludf.DUMMYFUNCTION("""COMPUTED_VALUE"""),"")</f>
        <v/>
      </c>
      <c r="L8840" s="17" t="str">
        <f>IFERROR(__xludf.DUMMYFUNCTION("""COMPUTED_VALUE"""),"")</f>
        <v/>
      </c>
      <c r="M8840" s="17" t="str">
        <f>IFERROR(__xludf.DUMMYFUNCTION("""COMPUTED_VALUE"""),"")</f>
        <v/>
      </c>
      <c r="N8840" s="17" t="str">
        <f>IFERROR(__xludf.DUMMYFUNCTION("""COMPUTED_VALUE"""),"")</f>
        <v/>
      </c>
      <c r="O8840" s="17" t="str">
        <f>IFERROR(__xludf.DUMMYFUNCTION("""COMPUTED_VALUE"""),"")</f>
        <v/>
      </c>
      <c r="P8840" s="17" t="str">
        <f>IFERROR(__xludf.DUMMYFUNCTION("""COMPUTED_VALUE"""),"")</f>
        <v/>
      </c>
      <c r="Q8840" s="17" t="str">
        <f>IFERROR(__xludf.DUMMYFUNCTION("""COMPUTED_VALUE"""),"")</f>
        <v/>
      </c>
      <c r="R8840" s="17" t="str">
        <f>IFERROR(__xludf.DUMMYFUNCTION("""COMPUTED_VALUE"""),"")</f>
        <v/>
      </c>
    </row>
    <row r="8841">
      <c r="A8841" s="15">
        <f>IFERROR(__xludf.DUMMYFUNCTION("""COMPUTED_VALUE"""),45252.0)</f>
        <v>45252</v>
      </c>
      <c r="B8841" s="16" t="str">
        <f>IFERROR(__xludf.DUMMYFUNCTION("""COMPUTED_VALUE"""),"Johanna Arango Barrera")</f>
        <v>Johanna Arango Barrera</v>
      </c>
      <c r="C8841" s="15" t="str">
        <f>IFERROR(__xludf.DUMMYFUNCTION("""COMPUTED_VALUE"""),"ARMENIA")</f>
        <v>ARMENIA</v>
      </c>
      <c r="D8841" s="15" t="str">
        <f>IFERROR(__xludf.DUMMYFUNCTION("""COMPUTED_VALUE"""),"MEDELLÍN")</f>
        <v>MEDELLÍN</v>
      </c>
      <c r="E8841" s="15" t="str">
        <f>IFERROR(__xludf.DUMMYFUNCTION("""COMPUTED_VALUE"""),"Terravocado")</f>
        <v>Terravocado</v>
      </c>
      <c r="F8841" s="17" t="str">
        <f>IFERROR(__xludf.DUMMYFUNCTION("""COMPUTED_VALUE"""),"Cra 18#70-20 / CIONJUNTO RECIDENCIAL BARU  / ARMENIA ")</f>
        <v>Cra 18#70-20 / CIONJUNTO RECIDENCIAL BARU  / ARMENIA </v>
      </c>
      <c r="G8841" s="15" t="str">
        <f>IFERROR(__xludf.DUMMYFUNCTION("""COMPUTED_VALUE"""),"Cristian jimenez ")</f>
        <v>Cristian jimenez </v>
      </c>
      <c r="H8841" s="16">
        <f>IFERROR(__xludf.DUMMYFUNCTION("""COMPUTED_VALUE"""),17369.0)</f>
        <v>17369</v>
      </c>
      <c r="I8841" s="18">
        <f>IFERROR(__xludf.DUMMYFUNCTION("""COMPUTED_VALUE"""),20.0)</f>
        <v>20</v>
      </c>
      <c r="J8841" s="18">
        <f>IFERROR(__xludf.DUMMYFUNCTION("""COMPUTED_VALUE"""),24.0)</f>
        <v>24</v>
      </c>
      <c r="K8841" s="18">
        <f>IFERROR(__xludf.DUMMYFUNCTION("""COMPUTED_VALUE"""),34.0)</f>
        <v>34</v>
      </c>
      <c r="L8841" s="17">
        <f>IFERROR(__xludf.DUMMYFUNCTION("""COMPUTED_VALUE"""),3.215820207E9)</f>
        <v>3215820207</v>
      </c>
      <c r="M8841" s="17"/>
      <c r="N8841" s="17"/>
      <c r="O8841" s="17"/>
      <c r="P8841" s="17" t="b">
        <f>IFERROR(__xludf.DUMMYFUNCTION("""COMPUTED_VALUE"""),FALSE)</f>
        <v>0</v>
      </c>
      <c r="Q8841" s="20" t="str">
        <f>IFERROR(__xludf.DUMMYFUNCTION("""COMPUTED_VALUE"""),"")</f>
        <v/>
      </c>
      <c r="R8841" s="22" t="str">
        <f>IFERROR(__xludf.DUMMYFUNCTION("""COMPUTED_VALUE"""),"")</f>
        <v/>
      </c>
    </row>
    <row r="8842">
      <c r="A8842" s="17" t="str">
        <f>IFERROR(__xludf.DUMMYFUNCTION("""COMPUTED_VALUE"""),"")</f>
        <v/>
      </c>
      <c r="B8842" s="17" t="str">
        <f>IFERROR(__xludf.DUMMYFUNCTION("""COMPUTED_VALUE"""),"")</f>
        <v/>
      </c>
      <c r="C8842" s="17" t="str">
        <f>IFERROR(__xludf.DUMMYFUNCTION("""COMPUTED_VALUE"""),"")</f>
        <v/>
      </c>
      <c r="D8842" s="17" t="str">
        <f>IFERROR(__xludf.DUMMYFUNCTION("""COMPUTED_VALUE"""),"")</f>
        <v/>
      </c>
      <c r="E8842" s="17" t="str">
        <f>IFERROR(__xludf.DUMMYFUNCTION("""COMPUTED_VALUE"""),"")</f>
        <v/>
      </c>
      <c r="F8842" s="17" t="str">
        <f>IFERROR(__xludf.DUMMYFUNCTION("""COMPUTED_VALUE"""),"")</f>
        <v/>
      </c>
      <c r="G8842" s="17" t="str">
        <f>IFERROR(__xludf.DUMMYFUNCTION("""COMPUTED_VALUE"""),"")</f>
        <v/>
      </c>
      <c r="H8842" s="17" t="str">
        <f>IFERROR(__xludf.DUMMYFUNCTION("""COMPUTED_VALUE"""),"")</f>
        <v/>
      </c>
      <c r="I8842" s="17" t="str">
        <f>IFERROR(__xludf.DUMMYFUNCTION("""COMPUTED_VALUE"""),"")</f>
        <v/>
      </c>
      <c r="J8842" s="17" t="str">
        <f>IFERROR(__xludf.DUMMYFUNCTION("""COMPUTED_VALUE"""),"")</f>
        <v/>
      </c>
      <c r="K8842" s="17" t="str">
        <f>IFERROR(__xludf.DUMMYFUNCTION("""COMPUTED_VALUE"""),"")</f>
        <v/>
      </c>
      <c r="L8842" s="17" t="str">
        <f>IFERROR(__xludf.DUMMYFUNCTION("""COMPUTED_VALUE"""),"")</f>
        <v/>
      </c>
      <c r="M8842" s="17" t="str">
        <f>IFERROR(__xludf.DUMMYFUNCTION("""COMPUTED_VALUE"""),"")</f>
        <v/>
      </c>
      <c r="N8842" s="17" t="str">
        <f>IFERROR(__xludf.DUMMYFUNCTION("""COMPUTED_VALUE"""),"")</f>
        <v/>
      </c>
      <c r="O8842" s="17" t="str">
        <f>IFERROR(__xludf.DUMMYFUNCTION("""COMPUTED_VALUE"""),"")</f>
        <v/>
      </c>
      <c r="P8842" s="17" t="str">
        <f>IFERROR(__xludf.DUMMYFUNCTION("""COMPUTED_VALUE"""),"")</f>
        <v/>
      </c>
      <c r="Q8842" s="17" t="str">
        <f>IFERROR(__xludf.DUMMYFUNCTION("""COMPUTED_VALUE"""),"")</f>
        <v/>
      </c>
      <c r="R8842" s="17" t="str">
        <f>IFERROR(__xludf.DUMMYFUNCTION("""COMPUTED_VALUE"""),"")</f>
        <v/>
      </c>
    </row>
    <row r="8843">
      <c r="A8843" s="15">
        <f>IFERROR(__xludf.DUMMYFUNCTION("""COMPUTED_VALUE"""),45252.0)</f>
        <v>45252</v>
      </c>
      <c r="B8843" s="16" t="str">
        <f>IFERROR(__xludf.DUMMYFUNCTION("""COMPUTED_VALUE"""),"JOSE ALFREDO RAMIREZ VERGARA ")</f>
        <v>JOSE ALFREDO RAMIREZ VERGARA </v>
      </c>
      <c r="C8843" s="15" t="str">
        <f>IFERROR(__xludf.DUMMYFUNCTION("""COMPUTED_VALUE"""),"BOGOTÁ")</f>
        <v>BOGOTÁ</v>
      </c>
      <c r="D8843" s="15" t="str">
        <f>IFERROR(__xludf.DUMMYFUNCTION("""COMPUTED_VALUE"""),"ENVIGADO")</f>
        <v>ENVIGADO</v>
      </c>
      <c r="E8843" s="15" t="str">
        <f>IFERROR(__xludf.DUMMYFUNCTION("""COMPUTED_VALUE"""),"JUAN CAMILO CORDOBA")</f>
        <v>JUAN CAMILO CORDOBA</v>
      </c>
      <c r="F8843" s="17" t="str">
        <f>IFERROR(__xludf.DUMMYFUNCTION("""COMPUTED_VALUE"""),"Avenida Carrera 9 # 113-52 / local 306")</f>
        <v>Avenida Carrera 9 # 113-52 / local 306</v>
      </c>
      <c r="G8843" s="15" t="str">
        <f>IFERROR(__xludf.DUMMYFUNCTION("""COMPUTED_VALUE"""),"Fresh Co")</f>
        <v>Fresh Co</v>
      </c>
      <c r="H8843" s="16">
        <f>IFERROR(__xludf.DUMMYFUNCTION("""COMPUTED_VALUE"""),17543.0)</f>
        <v>17543</v>
      </c>
      <c r="I8843" s="17"/>
      <c r="J8843" s="17"/>
      <c r="K8843" s="17"/>
      <c r="L8843" s="17">
        <f>IFERROR(__xludf.DUMMYFUNCTION("""COMPUTED_VALUE"""),3.229417869E9)</f>
        <v>3229417869</v>
      </c>
      <c r="M8843" s="17"/>
      <c r="N8843" s="17"/>
      <c r="O8843" s="17"/>
      <c r="P8843" s="17" t="b">
        <f>IFERROR(__xludf.DUMMYFUNCTION("""COMPUTED_VALUE"""),FALSE)</f>
        <v>0</v>
      </c>
      <c r="Q8843" s="20" t="str">
        <f>IFERROR(__xludf.DUMMYFUNCTION("""COMPUTED_VALUE"""),"")</f>
        <v/>
      </c>
      <c r="R8843" s="21" t="str">
        <f>IFERROR(__xludf.DUMMYFUNCTION("""COMPUTED_VALUE"""),"https://drive.google.com/file/d/1Ss8MwKCK2xNjUprPHVwSxMDb64dCzZjE/view?usp=drivesdk")</f>
        <v>https://drive.google.com/file/d/1Ss8MwKCK2xNjUprPHVwSxMDb64dCzZjE/view?usp=drivesdk</v>
      </c>
    </row>
    <row r="8844">
      <c r="A8844" s="15">
        <f>IFERROR(__xludf.DUMMYFUNCTION("""COMPUTED_VALUE"""),45252.0)</f>
        <v>45252</v>
      </c>
      <c r="B8844" s="16" t="str">
        <f>IFERROR(__xludf.DUMMYFUNCTION("""COMPUTED_VALUE"""),"JOSE ALFREDO RAMIREZ VERGARA ")</f>
        <v>JOSE ALFREDO RAMIREZ VERGARA </v>
      </c>
      <c r="C8844" s="15" t="str">
        <f>IFERROR(__xludf.DUMMYFUNCTION("""COMPUTED_VALUE"""),"BOGOTÁ")</f>
        <v>BOGOTÁ</v>
      </c>
      <c r="D8844" s="15" t="str">
        <f>IFERROR(__xludf.DUMMYFUNCTION("""COMPUTED_VALUE"""),"ENVIGADO")</f>
        <v>ENVIGADO</v>
      </c>
      <c r="E8844" s="15" t="str">
        <f>IFERROR(__xludf.DUMMYFUNCTION("""COMPUTED_VALUE"""),"JUAN CAMILO CORDOBA")</f>
        <v>JUAN CAMILO CORDOBA</v>
      </c>
      <c r="F8844" s="17" t="str">
        <f>IFERROR(__xludf.DUMMYFUNCTION("""COMPUTED_VALUE"""),"Calle 147#58c-80 / Edificio residencial carra apto 2002")</f>
        <v>Calle 147#58c-80 / Edificio residencial carra apto 2002</v>
      </c>
      <c r="G8844" s="15" t="str">
        <f>IFERROR(__xludf.DUMMYFUNCTION("""COMPUTED_VALUE"""),"Diana Duque")</f>
        <v>Diana Duque</v>
      </c>
      <c r="H8844" s="16">
        <f>IFERROR(__xludf.DUMMYFUNCTION("""COMPUTED_VALUE"""),17536.0)</f>
        <v>17536</v>
      </c>
      <c r="I8844" s="17"/>
      <c r="J8844" s="17"/>
      <c r="K8844" s="17"/>
      <c r="L8844" s="17">
        <f>IFERROR(__xludf.DUMMYFUNCTION("""COMPUTED_VALUE"""),3.173891282E9)</f>
        <v>3173891282</v>
      </c>
      <c r="M8844" s="17"/>
      <c r="N8844" s="17"/>
      <c r="O8844" s="17"/>
      <c r="P8844" s="17" t="b">
        <f>IFERROR(__xludf.DUMMYFUNCTION("""COMPUTED_VALUE"""),FALSE)</f>
        <v>0</v>
      </c>
      <c r="Q8844" s="20" t="str">
        <f>IFERROR(__xludf.DUMMYFUNCTION("""COMPUTED_VALUE"""),"")</f>
        <v/>
      </c>
      <c r="R8844" s="21" t="str">
        <f>IFERROR(__xludf.DUMMYFUNCTION("""COMPUTED_VALUE"""),"https://drive.google.com/file/d/1AsD9aG2WUeT-sI_Po0_kcjXxj68sePmK/view?usp=drivesdk")</f>
        <v>https://drive.google.com/file/d/1AsD9aG2WUeT-sI_Po0_kcjXxj68sePmK/view?usp=drivesdk</v>
      </c>
    </row>
    <row r="8845">
      <c r="A8845" s="15">
        <f>IFERROR(__xludf.DUMMYFUNCTION("""COMPUTED_VALUE"""),45252.0)</f>
        <v>45252</v>
      </c>
      <c r="B8845" s="16" t="str">
        <f>IFERROR(__xludf.DUMMYFUNCTION("""COMPUTED_VALUE"""),"JOSE ALFREDO RAMIREZ VERGARA ")</f>
        <v>JOSE ALFREDO RAMIREZ VERGARA </v>
      </c>
      <c r="C8845" s="15" t="str">
        <f>IFERROR(__xludf.DUMMYFUNCTION("""COMPUTED_VALUE"""),"BOGOTÁ")</f>
        <v>BOGOTÁ</v>
      </c>
      <c r="D8845" s="15" t="str">
        <f>IFERROR(__xludf.DUMMYFUNCTION("""COMPUTED_VALUE"""),"ENVIGADO")</f>
        <v>ENVIGADO</v>
      </c>
      <c r="E8845" s="15" t="str">
        <f>IFERROR(__xludf.DUMMYFUNCTION("""COMPUTED_VALUE"""),"JUAN CAMILO CORDOBA")</f>
        <v>JUAN CAMILO CORDOBA</v>
      </c>
      <c r="F8845" s="17" t="str">
        <f>IFERROR(__xludf.DUMMYFUNCTION("""COMPUTED_VALUE"""),"Calle 72 A Bis # 1B - 52 Este. / Edificio Lumini Apto 403.")</f>
        <v>Calle 72 A Bis # 1B - 52 Este. / Edificio Lumini Apto 403.</v>
      </c>
      <c r="G8845" s="15" t="str">
        <f>IFERROR(__xludf.DUMMYFUNCTION("""COMPUTED_VALUE"""),"Johanna Contreras Romero")</f>
        <v>Johanna Contreras Romero</v>
      </c>
      <c r="H8845" s="16">
        <f>IFERROR(__xludf.DUMMYFUNCTION("""COMPUTED_VALUE"""),17544.0)</f>
        <v>17544</v>
      </c>
      <c r="I8845" s="17"/>
      <c r="J8845" s="17"/>
      <c r="K8845" s="17"/>
      <c r="L8845" s="17">
        <f>IFERROR(__xludf.DUMMYFUNCTION("""COMPUTED_VALUE"""),3.176419243E9)</f>
        <v>3176419243</v>
      </c>
      <c r="M8845" s="17"/>
      <c r="N8845" s="17"/>
      <c r="O8845" s="17"/>
      <c r="P8845" s="17" t="b">
        <f>IFERROR(__xludf.DUMMYFUNCTION("""COMPUTED_VALUE"""),TRUE)</f>
        <v>1</v>
      </c>
      <c r="Q8845" s="20">
        <f>IFERROR(__xludf.DUMMYFUNCTION("""COMPUTED_VALUE"""),45253.73893190973)</f>
        <v>45253.73893</v>
      </c>
      <c r="R8845" s="21" t="str">
        <f>IFERROR(__xludf.DUMMYFUNCTION("""COMPUTED_VALUE"""),"https://drive.google.com/file/d/1k6p34bbcI2Tyj_NqPexaWixP1HQHBGGr/view?usp=drivesdk")</f>
        <v>https://drive.google.com/file/d/1k6p34bbcI2Tyj_NqPexaWixP1HQHBGGr/view?usp=drivesdk</v>
      </c>
    </row>
    <row r="8846">
      <c r="A8846" s="15">
        <f>IFERROR(__xludf.DUMMYFUNCTION("""COMPUTED_VALUE"""),45252.0)</f>
        <v>45252</v>
      </c>
      <c r="B8846" s="16" t="str">
        <f>IFERROR(__xludf.DUMMYFUNCTION("""COMPUTED_VALUE"""),"JOSE ALFREDO RAMIREZ VERGARA ")</f>
        <v>JOSE ALFREDO RAMIREZ VERGARA </v>
      </c>
      <c r="C8846" s="15" t="str">
        <f>IFERROR(__xludf.DUMMYFUNCTION("""COMPUTED_VALUE"""),"BOGOTÁ")</f>
        <v>BOGOTÁ</v>
      </c>
      <c r="D8846" s="15" t="str">
        <f>IFERROR(__xludf.DUMMYFUNCTION("""COMPUTED_VALUE"""),"ENVIGADO")</f>
        <v>ENVIGADO</v>
      </c>
      <c r="E8846" s="15" t="str">
        <f>IFERROR(__xludf.DUMMYFUNCTION("""COMPUTED_VALUE"""),"JUAN CAMILO CORDOBA")</f>
        <v>JUAN CAMILO CORDOBA</v>
      </c>
      <c r="F8846" s="17" t="str">
        <f>IFERROR(__xludf.DUMMYFUNCTION("""COMPUTED_VALUE"""),"Calle 93a #11-46")</f>
        <v>Calle 93a #11-46</v>
      </c>
      <c r="G8846" s="15" t="str">
        <f>IFERROR(__xludf.DUMMYFUNCTION("""COMPUTED_VALUE"""),"Fit Hub")</f>
        <v>Fit Hub</v>
      </c>
      <c r="H8846" s="16">
        <f>IFERROR(__xludf.DUMMYFUNCTION("""COMPUTED_VALUE"""),17542.0)</f>
        <v>17542</v>
      </c>
      <c r="I8846" s="17"/>
      <c r="J8846" s="17"/>
      <c r="K8846" s="17"/>
      <c r="L8846" s="17">
        <f>IFERROR(__xludf.DUMMYFUNCTION("""COMPUTED_VALUE"""),3.015447307E9)</f>
        <v>3015447307</v>
      </c>
      <c r="M8846" s="17"/>
      <c r="N8846" s="17"/>
      <c r="O8846" s="17"/>
      <c r="P8846" s="17" t="b">
        <f>IFERROR(__xludf.DUMMYFUNCTION("""COMPUTED_VALUE"""),FALSE)</f>
        <v>0</v>
      </c>
      <c r="Q8846" s="20" t="str">
        <f>IFERROR(__xludf.DUMMYFUNCTION("""COMPUTED_VALUE"""),"")</f>
        <v/>
      </c>
      <c r="R8846" s="21" t="str">
        <f>IFERROR(__xludf.DUMMYFUNCTION("""COMPUTED_VALUE"""),"https://drive.google.com/file/d/18Iap6EPC-f3M-K4TdG0CuqjrIFBDL-Vp/view?usp=drivesdk")</f>
        <v>https://drive.google.com/file/d/18Iap6EPC-f3M-K4TdG0CuqjrIFBDL-Vp/view?usp=drivesdk</v>
      </c>
    </row>
    <row r="8847">
      <c r="A8847" s="15">
        <f>IFERROR(__xludf.DUMMYFUNCTION("""COMPUTED_VALUE"""),45252.0)</f>
        <v>45252</v>
      </c>
      <c r="B8847" s="16" t="str">
        <f>IFERROR(__xludf.DUMMYFUNCTION("""COMPUTED_VALUE"""),"JOSE ALFREDO RAMIREZ VERGARA ")</f>
        <v>JOSE ALFREDO RAMIREZ VERGARA </v>
      </c>
      <c r="C8847" s="15" t="str">
        <f>IFERROR(__xludf.DUMMYFUNCTION("""COMPUTED_VALUE"""),"BOGOTÁ")</f>
        <v>BOGOTÁ</v>
      </c>
      <c r="D8847" s="15" t="str">
        <f>IFERROR(__xludf.DUMMYFUNCTION("""COMPUTED_VALUE"""),"ENVIGADO")</f>
        <v>ENVIGADO</v>
      </c>
      <c r="E8847" s="15" t="str">
        <f>IFERROR(__xludf.DUMMYFUNCTION("""COMPUTED_VALUE"""),"JUAN CAMILO CORDOBA")</f>
        <v>JUAN CAMILO CORDOBA</v>
      </c>
      <c r="F8847" s="17" t="str">
        <f>IFERROR(__xludf.DUMMYFUNCTION("""COMPUTED_VALUE"""),"Calle 94 no 15 28 / local 3")</f>
        <v>Calle 94 no 15 28 / local 3</v>
      </c>
      <c r="G8847" s="15" t="str">
        <f>IFERROR(__xludf.DUMMYFUNCTION("""COMPUTED_VALUE"""),"Brunch Market")</f>
        <v>Brunch Market</v>
      </c>
      <c r="H8847" s="16">
        <f>IFERROR(__xludf.DUMMYFUNCTION("""COMPUTED_VALUE"""),17541.0)</f>
        <v>17541</v>
      </c>
      <c r="I8847" s="17"/>
      <c r="J8847" s="17"/>
      <c r="K8847" s="17"/>
      <c r="L8847" s="17">
        <f>IFERROR(__xludf.DUMMYFUNCTION("""COMPUTED_VALUE"""),3.10565416E9)</f>
        <v>3105654160</v>
      </c>
      <c r="M8847" s="17"/>
      <c r="N8847" s="17"/>
      <c r="O8847" s="17"/>
      <c r="P8847" s="17" t="b">
        <f>IFERROR(__xludf.DUMMYFUNCTION("""COMPUTED_VALUE"""),FALSE)</f>
        <v>0</v>
      </c>
      <c r="Q8847" s="20" t="str">
        <f>IFERROR(__xludf.DUMMYFUNCTION("""COMPUTED_VALUE"""),"")</f>
        <v/>
      </c>
      <c r="R8847" s="21" t="str">
        <f>IFERROR(__xludf.DUMMYFUNCTION("""COMPUTED_VALUE"""),"https://drive.google.com/file/d/15nUuCQXRuNrH4FPiguFQjFzlgGceqRzI/view?usp=drivesdk")</f>
        <v>https://drive.google.com/file/d/15nUuCQXRuNrH4FPiguFQjFzlgGceqRzI/view?usp=drivesdk</v>
      </c>
    </row>
    <row r="8848">
      <c r="A8848" s="15">
        <f>IFERROR(__xludf.DUMMYFUNCTION("""COMPUTED_VALUE"""),45252.0)</f>
        <v>45252</v>
      </c>
      <c r="B8848" s="16" t="str">
        <f>IFERROR(__xludf.DUMMYFUNCTION("""COMPUTED_VALUE"""),"JOSE ALFREDO RAMIREZ VERGARA ")</f>
        <v>JOSE ALFREDO RAMIREZ VERGARA </v>
      </c>
      <c r="C8848" s="15" t="str">
        <f>IFERROR(__xludf.DUMMYFUNCTION("""COMPUTED_VALUE"""),"BOGOTÁ")</f>
        <v>BOGOTÁ</v>
      </c>
      <c r="D8848" s="15" t="str">
        <f>IFERROR(__xludf.DUMMYFUNCTION("""COMPUTED_VALUE"""),"ENVIGADO")</f>
        <v>ENVIGADO</v>
      </c>
      <c r="E8848" s="15" t="str">
        <f>IFERROR(__xludf.DUMMYFUNCTION("""COMPUTED_VALUE"""),"JUAN CAMILO CORDOBA")</f>
        <v>JUAN CAMILO CORDOBA</v>
      </c>
      <c r="F8848" s="17" t="str">
        <f>IFERROR(__xludf.DUMMYFUNCTION("""COMPUTED_VALUE"""),"Carrera 72bis No 24c-02 / Apto 202")</f>
        <v>Carrera 72bis No 24c-02 / Apto 202</v>
      </c>
      <c r="G8848" s="15" t="str">
        <f>IFERROR(__xludf.DUMMYFUNCTION("""COMPUTED_VALUE"""),"Luis Medina")</f>
        <v>Luis Medina</v>
      </c>
      <c r="H8848" s="16">
        <f>IFERROR(__xludf.DUMMYFUNCTION("""COMPUTED_VALUE"""),17537.0)</f>
        <v>17537</v>
      </c>
      <c r="I8848" s="17"/>
      <c r="J8848" s="17"/>
      <c r="K8848" s="17"/>
      <c r="L8848" s="17">
        <f>IFERROR(__xludf.DUMMYFUNCTION("""COMPUTED_VALUE"""),3.006077106E9)</f>
        <v>3006077106</v>
      </c>
      <c r="M8848" s="17"/>
      <c r="N8848" s="17"/>
      <c r="O8848" s="17"/>
      <c r="P8848" s="17" t="b">
        <f>IFERROR(__xludf.DUMMYFUNCTION("""COMPUTED_VALUE"""),FALSE)</f>
        <v>0</v>
      </c>
      <c r="Q8848" s="20" t="str">
        <f>IFERROR(__xludf.DUMMYFUNCTION("""COMPUTED_VALUE"""),"")</f>
        <v/>
      </c>
      <c r="R8848" s="21" t="str">
        <f>IFERROR(__xludf.DUMMYFUNCTION("""COMPUTED_VALUE"""),"https://drive.google.com/file/d/1HUPPeQyd61LGuKZLTZ6VBCWCwIuJ7pZr/view?usp=drivesdk")</f>
        <v>https://drive.google.com/file/d/1HUPPeQyd61LGuKZLTZ6VBCWCwIuJ7pZr/view?usp=drivesdk</v>
      </c>
    </row>
    <row r="8849">
      <c r="A8849" s="15">
        <f>IFERROR(__xludf.DUMMYFUNCTION("""COMPUTED_VALUE"""),45252.0)</f>
        <v>45252</v>
      </c>
      <c r="B8849" s="16" t="str">
        <f>IFERROR(__xludf.DUMMYFUNCTION("""COMPUTED_VALUE"""),"JOSE ALFREDO RAMIREZ VERGARA ")</f>
        <v>JOSE ALFREDO RAMIREZ VERGARA </v>
      </c>
      <c r="C8849" s="15" t="str">
        <f>IFERROR(__xludf.DUMMYFUNCTION("""COMPUTED_VALUE"""),"BOGOTÁ")</f>
        <v>BOGOTÁ</v>
      </c>
      <c r="D8849" s="15" t="str">
        <f>IFERROR(__xludf.DUMMYFUNCTION("""COMPUTED_VALUE"""),"MEDELLÍN")</f>
        <v>MEDELLÍN</v>
      </c>
      <c r="E8849" s="15" t="str">
        <f>IFERROR(__xludf.DUMMYFUNCTION("""COMPUTED_VALUE"""),"AREPAS LA MARY")</f>
        <v>AREPAS LA MARY</v>
      </c>
      <c r="F8849" s="17" t="str">
        <f>IFERROR(__xludf.DUMMYFUNCTION("""COMPUTED_VALUE"""),"Calle 102 # 50-57 torre 2 apto 803 / CIIEN")</f>
        <v>Calle 102 # 50-57 torre 2 apto 803 / CIIEN</v>
      </c>
      <c r="G8849" s="15" t="str">
        <f>IFERROR(__xludf.DUMMYFUNCTION("""COMPUTED_VALUE"""),"LAURA CABALLERO")</f>
        <v>LAURA CABALLERO</v>
      </c>
      <c r="H8849" s="16">
        <f>IFERROR(__xludf.DUMMYFUNCTION("""COMPUTED_VALUE"""),17530.0)</f>
        <v>17530</v>
      </c>
      <c r="I8849" s="17"/>
      <c r="J8849" s="17"/>
      <c r="K8849" s="17"/>
      <c r="L8849" s="17">
        <f>IFERROR(__xludf.DUMMYFUNCTION("""COMPUTED_VALUE"""),3.144024226E9)</f>
        <v>3144024226</v>
      </c>
      <c r="M8849" s="17"/>
      <c r="N8849" s="17"/>
      <c r="O8849" s="17"/>
      <c r="P8849" s="17" t="b">
        <f>IFERROR(__xludf.DUMMYFUNCTION("""COMPUTED_VALUE"""),FALSE)</f>
        <v>0</v>
      </c>
      <c r="Q8849" s="20" t="str">
        <f>IFERROR(__xludf.DUMMYFUNCTION("""COMPUTED_VALUE"""),"")</f>
        <v/>
      </c>
      <c r="R8849" s="21" t="str">
        <f>IFERROR(__xludf.DUMMYFUNCTION("""COMPUTED_VALUE"""),"https://drive.google.com/file/d/1VAeppJEYeqSSrafkb1Y6SAATTI8zlHTp/view?usp=drivesdk")</f>
        <v>https://drive.google.com/file/d/1VAeppJEYeqSSrafkb1Y6SAATTI8zlHTp/view?usp=drivesdk</v>
      </c>
    </row>
    <row r="8850">
      <c r="A8850" s="15">
        <f>IFERROR(__xludf.DUMMYFUNCTION("""COMPUTED_VALUE"""),45252.0)</f>
        <v>45252</v>
      </c>
      <c r="B8850" s="16" t="str">
        <f>IFERROR(__xludf.DUMMYFUNCTION("""COMPUTED_VALUE"""),"JOSE ALFREDO RAMIREZ VERGARA ")</f>
        <v>JOSE ALFREDO RAMIREZ VERGARA </v>
      </c>
      <c r="C8850" s="15" t="str">
        <f>IFERROR(__xludf.DUMMYFUNCTION("""COMPUTED_VALUE"""),"BOGOTÁ")</f>
        <v>BOGOTÁ</v>
      </c>
      <c r="D8850" s="15" t="str">
        <f>IFERROR(__xludf.DUMMYFUNCTION("""COMPUTED_VALUE"""),"MEDELLÍN")</f>
        <v>MEDELLÍN</v>
      </c>
      <c r="E8850" s="15" t="str">
        <f>IFERROR(__xludf.DUMMYFUNCTION("""COMPUTED_VALUE"""),"AREPAS LA MARY")</f>
        <v>AREPAS LA MARY</v>
      </c>
      <c r="F8850" s="17" t="str">
        <f>IFERROR(__xludf.DUMMYFUNCTION("""COMPUTED_VALUE"""),"calle 147 # 17-95 local 13 / centro comercial caobos 147")</f>
        <v>calle 147 # 17-95 local 13 / centro comercial caobos 147</v>
      </c>
      <c r="G8850" s="15" t="str">
        <f>IFERROR(__xludf.DUMMYFUNCTION("""COMPUTED_VALUE"""),"ANDRES LEONARDO ROJAS")</f>
        <v>ANDRES LEONARDO ROJAS</v>
      </c>
      <c r="H8850" s="16">
        <f>IFERROR(__xludf.DUMMYFUNCTION("""COMPUTED_VALUE"""),17529.0)</f>
        <v>17529</v>
      </c>
      <c r="I8850" s="17"/>
      <c r="J8850" s="17"/>
      <c r="K8850" s="17"/>
      <c r="L8850" s="17">
        <f>IFERROR(__xludf.DUMMYFUNCTION("""COMPUTED_VALUE"""),3.143204094E9)</f>
        <v>3143204094</v>
      </c>
      <c r="M8850" s="17"/>
      <c r="N8850" s="17"/>
      <c r="O8850" s="17"/>
      <c r="P8850" s="17" t="b">
        <f>IFERROR(__xludf.DUMMYFUNCTION("""COMPUTED_VALUE"""),FALSE)</f>
        <v>0</v>
      </c>
      <c r="Q8850" s="20" t="str">
        <f>IFERROR(__xludf.DUMMYFUNCTION("""COMPUTED_VALUE"""),"")</f>
        <v/>
      </c>
      <c r="R8850" s="21" t="str">
        <f>IFERROR(__xludf.DUMMYFUNCTION("""COMPUTED_VALUE"""),"https://drive.google.com/file/d/1DHrVYt7wBqFvkBbb2d6NpPdT0WLqWmb7/view?usp=drivesdk")</f>
        <v>https://drive.google.com/file/d/1DHrVYt7wBqFvkBbb2d6NpPdT0WLqWmb7/view?usp=drivesdk</v>
      </c>
    </row>
    <row r="8851">
      <c r="A8851" s="15">
        <f>IFERROR(__xludf.DUMMYFUNCTION("""COMPUTED_VALUE"""),45252.0)</f>
        <v>45252</v>
      </c>
      <c r="B8851" s="16" t="str">
        <f>IFERROR(__xludf.DUMMYFUNCTION("""COMPUTED_VALUE"""),"JOSE ALFREDO RAMIREZ VERGARA ")</f>
        <v>JOSE ALFREDO RAMIREZ VERGARA </v>
      </c>
      <c r="C8851" s="15" t="str">
        <f>IFERROR(__xludf.DUMMYFUNCTION("""COMPUTED_VALUE"""),"BOGOTÁ")</f>
        <v>BOGOTÁ</v>
      </c>
      <c r="D8851" s="15" t="str">
        <f>IFERROR(__xludf.DUMMYFUNCTION("""COMPUTED_VALUE"""),"MEDELLÍN")</f>
        <v>MEDELLÍN</v>
      </c>
      <c r="E8851" s="15" t="str">
        <f>IFERROR(__xludf.DUMMYFUNCTION("""COMPUTED_VALUE"""),"AREPAS LA MARY")</f>
        <v>AREPAS LA MARY</v>
      </c>
      <c r="F8851" s="17" t="str">
        <f>IFERROR(__xludf.DUMMYFUNCTION("""COMPUTED_VALUE"""),"cra 54 # 126-35 Torre 3 Apto 601 / PARQUE CORDOBA")</f>
        <v>cra 54 # 126-35 Torre 3 Apto 601 / PARQUE CORDOBA</v>
      </c>
      <c r="G8851" s="15" t="str">
        <f>IFERROR(__xludf.DUMMYFUNCTION("""COMPUTED_VALUE"""),"CAROLINA CABRA")</f>
        <v>CAROLINA CABRA</v>
      </c>
      <c r="H8851" s="16">
        <f>IFERROR(__xludf.DUMMYFUNCTION("""COMPUTED_VALUE"""),17504.0)</f>
        <v>17504</v>
      </c>
      <c r="I8851" s="17"/>
      <c r="J8851" s="17"/>
      <c r="K8851" s="17"/>
      <c r="L8851" s="17">
        <f>IFERROR(__xludf.DUMMYFUNCTION("""COMPUTED_VALUE"""),3.102539108E9)</f>
        <v>3102539108</v>
      </c>
      <c r="M8851" s="17"/>
      <c r="N8851" s="17"/>
      <c r="O8851" s="17"/>
      <c r="P8851" s="17" t="b">
        <f>IFERROR(__xludf.DUMMYFUNCTION("""COMPUTED_VALUE"""),FALSE)</f>
        <v>0</v>
      </c>
      <c r="Q8851" s="20" t="str">
        <f>IFERROR(__xludf.DUMMYFUNCTION("""COMPUTED_VALUE"""),"")</f>
        <v/>
      </c>
      <c r="R8851" s="22" t="str">
        <f>IFERROR(__xludf.DUMMYFUNCTION("""COMPUTED_VALUE"""),"")</f>
        <v/>
      </c>
    </row>
    <row r="8852">
      <c r="A8852" s="15">
        <f>IFERROR(__xludf.DUMMYFUNCTION("""COMPUTED_VALUE"""),45252.0)</f>
        <v>45252</v>
      </c>
      <c r="B8852" s="16" t="str">
        <f>IFERROR(__xludf.DUMMYFUNCTION("""COMPUTED_VALUE"""),"JOSE ALFREDO RAMIREZ VERGARA ")</f>
        <v>JOSE ALFREDO RAMIREZ VERGARA </v>
      </c>
      <c r="C8852" s="15" t="str">
        <f>IFERROR(__xludf.DUMMYFUNCTION("""COMPUTED_VALUE"""),"BOGOTÁ")</f>
        <v>BOGOTÁ</v>
      </c>
      <c r="D8852" s="15" t="str">
        <f>IFERROR(__xludf.DUMMYFUNCTION("""COMPUTED_VALUE"""),"MEDELLÍN")</f>
        <v>MEDELLÍN</v>
      </c>
      <c r="E8852" s="15" t="str">
        <f>IFERROR(__xludf.DUMMYFUNCTION("""COMPUTED_VALUE"""),"Baby Chef")</f>
        <v>Baby Chef</v>
      </c>
      <c r="F8852" s="17" t="str">
        <f>IFERROR(__xludf.DUMMYFUNCTION("""COMPUTED_VALUE"""),"Calle 22a #72b-48, torre 3, apto 1202, conjunto el prado Barrio: Rincón de modelia / . / .")</f>
        <v>Calle 22a #72b-48, torre 3, apto 1202, conjunto el prado Barrio: Rincón de modelia / . / .</v>
      </c>
      <c r="G8852" s="15" t="str">
        <f>IFERROR(__xludf.DUMMYFUNCTION("""COMPUTED_VALUE"""),"Martha Carolina Puentes Guacaneme")</f>
        <v>Martha Carolina Puentes Guacaneme</v>
      </c>
      <c r="H8852" s="16">
        <f>IFERROR(__xludf.DUMMYFUNCTION("""COMPUTED_VALUE"""),17520.0)</f>
        <v>17520</v>
      </c>
      <c r="I8852" s="18">
        <f>IFERROR(__xludf.DUMMYFUNCTION("""COMPUTED_VALUE"""),8.0)</f>
        <v>8</v>
      </c>
      <c r="J8852" s="18">
        <f>IFERROR(__xludf.DUMMYFUNCTION("""COMPUTED_VALUE"""),22.0)</f>
        <v>22</v>
      </c>
      <c r="K8852" s="18">
        <f>IFERROR(__xludf.DUMMYFUNCTION("""COMPUTED_VALUE"""),31.0)</f>
        <v>31</v>
      </c>
      <c r="L8852" s="17">
        <f>IFERROR(__xludf.DUMMYFUNCTION("""COMPUTED_VALUE"""),3.227695489E9)</f>
        <v>3227695489</v>
      </c>
      <c r="M8852" s="17"/>
      <c r="N8852" s="17"/>
      <c r="O8852" s="17"/>
      <c r="P8852" s="17" t="b">
        <f>IFERROR(__xludf.DUMMYFUNCTION("""COMPUTED_VALUE"""),FALSE)</f>
        <v>0</v>
      </c>
      <c r="Q8852" s="20" t="str">
        <f>IFERROR(__xludf.DUMMYFUNCTION("""COMPUTED_VALUE"""),"")</f>
        <v/>
      </c>
      <c r="R8852" s="21" t="str">
        <f>IFERROR(__xludf.DUMMYFUNCTION("""COMPUTED_VALUE"""),"https://drive.google.com/file/d/17f6PLaOvYPUsOrXfku1XPKOXiZYmgo72/view?usp=drivesdk")</f>
        <v>https://drive.google.com/file/d/17f6PLaOvYPUsOrXfku1XPKOXiZYmgo72/view?usp=drivesdk</v>
      </c>
    </row>
    <row r="8853">
      <c r="A8853" s="15">
        <f>IFERROR(__xludf.DUMMYFUNCTION("""COMPUTED_VALUE"""),45252.0)</f>
        <v>45252</v>
      </c>
      <c r="B8853" s="16" t="str">
        <f>IFERROR(__xludf.DUMMYFUNCTION("""COMPUTED_VALUE"""),"JOSE ALFREDO RAMIREZ VERGARA ")</f>
        <v>JOSE ALFREDO RAMIREZ VERGARA </v>
      </c>
      <c r="C8853" s="15" t="str">
        <f>IFERROR(__xludf.DUMMYFUNCTION("""COMPUTED_VALUE"""),"BOGOTÁ")</f>
        <v>BOGOTÁ</v>
      </c>
      <c r="D8853" s="15" t="str">
        <f>IFERROR(__xludf.DUMMYFUNCTION("""COMPUTED_VALUE"""),"MEDELLÍN")</f>
        <v>MEDELLÍN</v>
      </c>
      <c r="E8853" s="15" t="str">
        <f>IFERROR(__xludf.DUMMYFUNCTION("""COMPUTED_VALUE"""),"Baby Chef")</f>
        <v>Baby Chef</v>
      </c>
      <c r="F8853" s="17" t="str">
        <f>IFERROR(__xludf.DUMMYFUNCTION("""COMPUTED_VALUE"""),"Carrera 58B N° 136 -34 Torre 16 Apto 103 / . / .")</f>
        <v>Carrera 58B N° 136 -34 Torre 16 Apto 103 / . / .</v>
      </c>
      <c r="G8853" s="15" t="str">
        <f>IFERROR(__xludf.DUMMYFUNCTION("""COMPUTED_VALUE"""),"myriam tibavisky duarte")</f>
        <v>myriam tibavisky duarte</v>
      </c>
      <c r="H8853" s="16">
        <f>IFERROR(__xludf.DUMMYFUNCTION("""COMPUTED_VALUE"""),17518.0)</f>
        <v>17518</v>
      </c>
      <c r="I8853" s="18">
        <f>IFERROR(__xludf.DUMMYFUNCTION("""COMPUTED_VALUE"""),9.0)</f>
        <v>9</v>
      </c>
      <c r="J8853" s="18">
        <f>IFERROR(__xludf.DUMMYFUNCTION("""COMPUTED_VALUE"""),21.0)</f>
        <v>21</v>
      </c>
      <c r="K8853" s="18">
        <f>IFERROR(__xludf.DUMMYFUNCTION("""COMPUTED_VALUE"""),23.0)</f>
        <v>23</v>
      </c>
      <c r="L8853" s="17">
        <f>IFERROR(__xludf.DUMMYFUNCTION("""COMPUTED_VALUE"""),3.108517159E9)</f>
        <v>3108517159</v>
      </c>
      <c r="M8853" s="17"/>
      <c r="N8853" s="17"/>
      <c r="O8853" s="17"/>
      <c r="P8853" s="17" t="b">
        <f>IFERROR(__xludf.DUMMYFUNCTION("""COMPUTED_VALUE"""),FALSE)</f>
        <v>0</v>
      </c>
      <c r="Q8853" s="20" t="str">
        <f>IFERROR(__xludf.DUMMYFUNCTION("""COMPUTED_VALUE"""),"")</f>
        <v/>
      </c>
      <c r="R8853" s="21" t="str">
        <f>IFERROR(__xludf.DUMMYFUNCTION("""COMPUTED_VALUE"""),"https://drive.google.com/file/d/1IdeTzqTujT0BgexHO0ASSsTBx79mJtl_/view?usp=drivesdk")</f>
        <v>https://drive.google.com/file/d/1IdeTzqTujT0BgexHO0ASSsTBx79mJtl_/view?usp=drivesdk</v>
      </c>
    </row>
    <row r="8854">
      <c r="A8854" s="15">
        <f>IFERROR(__xludf.DUMMYFUNCTION("""COMPUTED_VALUE"""),45252.0)</f>
        <v>45252</v>
      </c>
      <c r="B8854" s="16" t="str">
        <f>IFERROR(__xludf.DUMMYFUNCTION("""COMPUTED_VALUE"""),"JOSE ALFREDO RAMIREZ VERGARA ")</f>
        <v>JOSE ALFREDO RAMIREZ VERGARA </v>
      </c>
      <c r="C8854" s="15" t="str">
        <f>IFERROR(__xludf.DUMMYFUNCTION("""COMPUTED_VALUE"""),"BOGOTÁ")</f>
        <v>BOGOTÁ</v>
      </c>
      <c r="D8854" s="15" t="str">
        <f>IFERROR(__xludf.DUMMYFUNCTION("""COMPUTED_VALUE"""),"MEDELLÍN")</f>
        <v>MEDELLÍN</v>
      </c>
      <c r="E8854" s="15" t="str">
        <f>IFERROR(__xludf.DUMMYFUNCTION("""COMPUTED_VALUE"""),"Baby Chef")</f>
        <v>Baby Chef</v>
      </c>
      <c r="F8854" s="17" t="str">
        <f>IFERROR(__xludf.DUMMYFUNCTION("""COMPUTED_VALUE"""),"Carrera 77 # 64c - 16 Barrio Villa Luz / . / .")</f>
        <v>Carrera 77 # 64c - 16 Barrio Villa Luz / . / .</v>
      </c>
      <c r="G8854" s="15" t="str">
        <f>IFERROR(__xludf.DUMMYFUNCTION("""COMPUTED_VALUE"""),"Heidy Pinilla")</f>
        <v>Heidy Pinilla</v>
      </c>
      <c r="H8854" s="16">
        <f>IFERROR(__xludf.DUMMYFUNCTION("""COMPUTED_VALUE"""),17514.0)</f>
        <v>17514</v>
      </c>
      <c r="I8854" s="18">
        <f>IFERROR(__xludf.DUMMYFUNCTION("""COMPUTED_VALUE"""),11.0)</f>
        <v>11</v>
      </c>
      <c r="J8854" s="18">
        <f>IFERROR(__xludf.DUMMYFUNCTION("""COMPUTED_VALUE"""),23.0)</f>
        <v>23</v>
      </c>
      <c r="K8854" s="18">
        <f>IFERROR(__xludf.DUMMYFUNCTION("""COMPUTED_VALUE"""),37.0)</f>
        <v>37</v>
      </c>
      <c r="L8854" s="17">
        <f>IFERROR(__xludf.DUMMYFUNCTION("""COMPUTED_VALUE"""),3.213748559E9)</f>
        <v>3213748559</v>
      </c>
      <c r="M8854" s="17"/>
      <c r="N8854" s="17"/>
      <c r="O8854" s="17"/>
      <c r="P8854" s="17" t="b">
        <f>IFERROR(__xludf.DUMMYFUNCTION("""COMPUTED_VALUE"""),FALSE)</f>
        <v>0</v>
      </c>
      <c r="Q8854" s="20" t="str">
        <f>IFERROR(__xludf.DUMMYFUNCTION("""COMPUTED_VALUE"""),"")</f>
        <v/>
      </c>
      <c r="R8854" s="21" t="str">
        <f>IFERROR(__xludf.DUMMYFUNCTION("""COMPUTED_VALUE"""),"https://drive.google.com/file/d/17UBrJu-cT1SkhOBtZIiXYCSp4Ip93xcY/view?usp=drivesdk")</f>
        <v>https://drive.google.com/file/d/17UBrJu-cT1SkhOBtZIiXYCSp4Ip93xcY/view?usp=drivesdk</v>
      </c>
    </row>
    <row r="8855">
      <c r="A8855" s="15">
        <f>IFERROR(__xludf.DUMMYFUNCTION("""COMPUTED_VALUE"""),45252.0)</f>
        <v>45252</v>
      </c>
      <c r="B8855" s="16" t="str">
        <f>IFERROR(__xludf.DUMMYFUNCTION("""COMPUTED_VALUE"""),"JOSE ALFREDO RAMIREZ VERGARA ")</f>
        <v>JOSE ALFREDO RAMIREZ VERGARA </v>
      </c>
      <c r="C8855" s="15" t="str">
        <f>IFERROR(__xludf.DUMMYFUNCTION("""COMPUTED_VALUE"""),"BOGOTÁ")</f>
        <v>BOGOTÁ</v>
      </c>
      <c r="D8855" s="15" t="str">
        <f>IFERROR(__xludf.DUMMYFUNCTION("""COMPUTED_VALUE"""),"MEDELLÍN")</f>
        <v>MEDELLÍN</v>
      </c>
      <c r="E8855" s="15" t="str">
        <f>IFERROR(__xludf.DUMMYFUNCTION("""COMPUTED_VALUE"""),"Baby Chef")</f>
        <v>Baby Chef</v>
      </c>
      <c r="F8855" s="17" t="str">
        <f>IFERROR(__xludf.DUMMYFUNCTION("""COMPUTED_VALUE"""),"Cra 104 #13d - 74 casa 33 fontibon zona franca, Bogota Conjunto sabana grande 1 / . / .")</f>
        <v>Cra 104 #13d - 74 casa 33 fontibon zona franca, Bogota Conjunto sabana grande 1 / . / .</v>
      </c>
      <c r="G8855" s="15" t="str">
        <f>IFERROR(__xludf.DUMMYFUNCTION("""COMPUTED_VALUE"""),"Daniela Rodríguez Camacho")</f>
        <v>Daniela Rodríguez Camacho</v>
      </c>
      <c r="H8855" s="16">
        <f>IFERROR(__xludf.DUMMYFUNCTION("""COMPUTED_VALUE"""),17515.0)</f>
        <v>17515</v>
      </c>
      <c r="I8855" s="18">
        <f>IFERROR(__xludf.DUMMYFUNCTION("""COMPUTED_VALUE"""),14.0)</f>
        <v>14</v>
      </c>
      <c r="J8855" s="18">
        <f>IFERROR(__xludf.DUMMYFUNCTION("""COMPUTED_VALUE"""),23.0)</f>
        <v>23</v>
      </c>
      <c r="K8855" s="18">
        <f>IFERROR(__xludf.DUMMYFUNCTION("""COMPUTED_VALUE"""),37.0)</f>
        <v>37</v>
      </c>
      <c r="L8855" s="17">
        <f>IFERROR(__xludf.DUMMYFUNCTION("""COMPUTED_VALUE"""),3.214205121E9)</f>
        <v>3214205121</v>
      </c>
      <c r="M8855" s="17"/>
      <c r="N8855" s="17"/>
      <c r="O8855" s="17"/>
      <c r="P8855" s="17" t="b">
        <f>IFERROR(__xludf.DUMMYFUNCTION("""COMPUTED_VALUE"""),FALSE)</f>
        <v>0</v>
      </c>
      <c r="Q8855" s="20" t="str">
        <f>IFERROR(__xludf.DUMMYFUNCTION("""COMPUTED_VALUE"""),"")</f>
        <v/>
      </c>
      <c r="R8855" s="21" t="str">
        <f>IFERROR(__xludf.DUMMYFUNCTION("""COMPUTED_VALUE"""),"https://drive.google.com/file/d/1UAOzyOGPpjdlxvuwJTlT_98qsPLYzXzr/view?usp=drivesdk")</f>
        <v>https://drive.google.com/file/d/1UAOzyOGPpjdlxvuwJTlT_98qsPLYzXzr/view?usp=drivesdk</v>
      </c>
    </row>
    <row r="8856">
      <c r="A8856" s="15">
        <f>IFERROR(__xludf.DUMMYFUNCTION("""COMPUTED_VALUE"""),45252.0)</f>
        <v>45252</v>
      </c>
      <c r="B8856" s="16" t="str">
        <f>IFERROR(__xludf.DUMMYFUNCTION("""COMPUTED_VALUE"""),"JOSE ALFREDO RAMIREZ VERGARA ")</f>
        <v>JOSE ALFREDO RAMIREZ VERGARA </v>
      </c>
      <c r="C8856" s="15" t="str">
        <f>IFERROR(__xludf.DUMMYFUNCTION("""COMPUTED_VALUE"""),"BOGOTÁ")</f>
        <v>BOGOTÁ</v>
      </c>
      <c r="D8856" s="15" t="str">
        <f>IFERROR(__xludf.DUMMYFUNCTION("""COMPUTED_VALUE"""),"MEDELLÍN")</f>
        <v>MEDELLÍN</v>
      </c>
      <c r="E8856" s="15" t="str">
        <f>IFERROR(__xludf.DUMMYFUNCTION("""COMPUTED_VALUE"""),"Baby Chef")</f>
        <v>Baby Chef</v>
      </c>
      <c r="F8856" s="17" t="str">
        <f>IFERROR(__xludf.DUMMYFUNCTION("""COMPUTED_VALUE"""),"Cra 77 18 51 conjunto la arboleda torre 4 apto 402 barrio la felicidad / . / .")</f>
        <v>Cra 77 18 51 conjunto la arboleda torre 4 apto 402 barrio la felicidad / . / .</v>
      </c>
      <c r="G8856" s="15" t="str">
        <f>IFERROR(__xludf.DUMMYFUNCTION("""COMPUTED_VALUE"""),"Kate Ortíz")</f>
        <v>Kate Ortíz</v>
      </c>
      <c r="H8856" s="16">
        <f>IFERROR(__xludf.DUMMYFUNCTION("""COMPUTED_VALUE"""),17519.0)</f>
        <v>17519</v>
      </c>
      <c r="I8856" s="18">
        <f>IFERROR(__xludf.DUMMYFUNCTION("""COMPUTED_VALUE"""),16.0)</f>
        <v>16</v>
      </c>
      <c r="J8856" s="18">
        <f>IFERROR(__xludf.DUMMYFUNCTION("""COMPUTED_VALUE"""),25.0)</f>
        <v>25</v>
      </c>
      <c r="K8856" s="18">
        <f>IFERROR(__xludf.DUMMYFUNCTION("""COMPUTED_VALUE"""),45.0)</f>
        <v>45</v>
      </c>
      <c r="L8856" s="17">
        <f>IFERROR(__xludf.DUMMYFUNCTION("""COMPUTED_VALUE"""),3.502970217E9)</f>
        <v>3502970217</v>
      </c>
      <c r="M8856" s="17"/>
      <c r="N8856" s="17"/>
      <c r="O8856" s="17"/>
      <c r="P8856" s="17" t="b">
        <f>IFERROR(__xludf.DUMMYFUNCTION("""COMPUTED_VALUE"""),FALSE)</f>
        <v>0</v>
      </c>
      <c r="Q8856" s="20" t="str">
        <f>IFERROR(__xludf.DUMMYFUNCTION("""COMPUTED_VALUE"""),"")</f>
        <v/>
      </c>
      <c r="R8856" s="21" t="str">
        <f>IFERROR(__xludf.DUMMYFUNCTION("""COMPUTED_VALUE"""),"https://drive.google.com/file/d/1SxM9Lx_QDA__LyQ9M45LfHbyf7QC7mrO/view?usp=drivesdk")</f>
        <v>https://drive.google.com/file/d/1SxM9Lx_QDA__LyQ9M45LfHbyf7QC7mrO/view?usp=drivesdk</v>
      </c>
    </row>
    <row r="8857">
      <c r="A8857" s="15">
        <f>IFERROR(__xludf.DUMMYFUNCTION("""COMPUTED_VALUE"""),45252.0)</f>
        <v>45252</v>
      </c>
      <c r="B8857" s="16" t="str">
        <f>IFERROR(__xludf.DUMMYFUNCTION("""COMPUTED_VALUE"""),"JOSE ALFREDO RAMIREZ VERGARA ")</f>
        <v>JOSE ALFREDO RAMIREZ VERGARA </v>
      </c>
      <c r="C8857" s="15" t="str">
        <f>IFERROR(__xludf.DUMMYFUNCTION("""COMPUTED_VALUE"""),"BOGOTÁ")</f>
        <v>BOGOTÁ</v>
      </c>
      <c r="D8857" s="15" t="str">
        <f>IFERROR(__xludf.DUMMYFUNCTION("""COMPUTED_VALUE"""),"MEDELLÍN")</f>
        <v>MEDELLÍN</v>
      </c>
      <c r="E8857" s="15" t="str">
        <f>IFERROR(__xludf.DUMMYFUNCTION("""COMPUTED_VALUE"""),"Baby Chef")</f>
        <v>Baby Chef</v>
      </c>
      <c r="F8857" s="17" t="str">
        <f>IFERROR(__xludf.DUMMYFUNCTION("""COMPUTED_VALUE"""),"Dirección:  Cll 6c #78c-51 apto 101  Barrio: Catania- Pio XII  Ciudad: Bogotá / . / .")</f>
        <v>Dirección:  Cll 6c #78c-51 apto 101  Barrio: Catania- Pio XII  Ciudad: Bogotá / . / .</v>
      </c>
      <c r="G8857" s="15" t="str">
        <f>IFERROR(__xludf.DUMMYFUNCTION("""COMPUTED_VALUE"""),"Yury Garzón ")</f>
        <v>Yury Garzón </v>
      </c>
      <c r="H8857" s="16">
        <f>IFERROR(__xludf.DUMMYFUNCTION("""COMPUTED_VALUE"""),17516.0)</f>
        <v>17516</v>
      </c>
      <c r="I8857" s="18">
        <f>IFERROR(__xludf.DUMMYFUNCTION("""COMPUTED_VALUE"""),10.0)</f>
        <v>10</v>
      </c>
      <c r="J8857" s="18">
        <f>IFERROR(__xludf.DUMMYFUNCTION("""COMPUTED_VALUE"""),21.0)</f>
        <v>21</v>
      </c>
      <c r="K8857" s="18">
        <f>IFERROR(__xludf.DUMMYFUNCTION("""COMPUTED_VALUE"""),20.0)</f>
        <v>20</v>
      </c>
      <c r="L8857" s="17">
        <f>IFERROR(__xludf.DUMMYFUNCTION("""COMPUTED_VALUE"""),3.143694231E9)</f>
        <v>3143694231</v>
      </c>
      <c r="M8857" s="17"/>
      <c r="N8857" s="17"/>
      <c r="O8857" s="17"/>
      <c r="P8857" s="17" t="b">
        <f>IFERROR(__xludf.DUMMYFUNCTION("""COMPUTED_VALUE"""),FALSE)</f>
        <v>0</v>
      </c>
      <c r="Q8857" s="20" t="str">
        <f>IFERROR(__xludf.DUMMYFUNCTION("""COMPUTED_VALUE"""),"")</f>
        <v/>
      </c>
      <c r="R8857" s="21" t="str">
        <f>IFERROR(__xludf.DUMMYFUNCTION("""COMPUTED_VALUE"""),"https://drive.google.com/file/d/1ePcuqo4mcqSpRBJjH5sbjG4_ZNZ-7RlB/view?usp=drivesdk")</f>
        <v>https://drive.google.com/file/d/1ePcuqo4mcqSpRBJjH5sbjG4_ZNZ-7RlB/view?usp=drivesdk</v>
      </c>
    </row>
    <row r="8858">
      <c r="A8858" s="15">
        <f>IFERROR(__xludf.DUMMYFUNCTION("""COMPUTED_VALUE"""),45252.0)</f>
        <v>45252</v>
      </c>
      <c r="B8858" s="16" t="str">
        <f>IFERROR(__xludf.DUMMYFUNCTION("""COMPUTED_VALUE"""),"JOSE ALFREDO RAMIREZ VERGARA ")</f>
        <v>JOSE ALFREDO RAMIREZ VERGARA </v>
      </c>
      <c r="C8858" s="15" t="str">
        <f>IFERROR(__xludf.DUMMYFUNCTION("""COMPUTED_VALUE"""),"BOGOTÁ")</f>
        <v>BOGOTÁ</v>
      </c>
      <c r="D8858" s="15" t="str">
        <f>IFERROR(__xludf.DUMMYFUNCTION("""COMPUTED_VALUE"""),"MEDELLÍN")</f>
        <v>MEDELLÍN</v>
      </c>
      <c r="E8858" s="15" t="str">
        <f>IFERROR(__xludf.DUMMYFUNCTION("""COMPUTED_VALUE"""),"Baby Chef")</f>
        <v>Baby Chef</v>
      </c>
      <c r="F8858" s="17" t="str">
        <f>IFERROR(__xludf.DUMMYFUNCTION("""COMPUTED_VALUE"""),"Tv. 19A #94A - 19 809 / . / .")</f>
        <v>Tv. 19A #94A - 19 809 / . / .</v>
      </c>
      <c r="G8858" s="15" t="str">
        <f>IFERROR(__xludf.DUMMYFUNCTION("""COMPUTED_VALUE"""),"Lina Arguello")</f>
        <v>Lina Arguello</v>
      </c>
      <c r="H8858" s="16">
        <f>IFERROR(__xludf.DUMMYFUNCTION("""COMPUTED_VALUE"""),17513.0)</f>
        <v>17513</v>
      </c>
      <c r="I8858" s="18">
        <f>IFERROR(__xludf.DUMMYFUNCTION("""COMPUTED_VALUE"""),5.0)</f>
        <v>5</v>
      </c>
      <c r="J8858" s="18">
        <f>IFERROR(__xludf.DUMMYFUNCTION("""COMPUTED_VALUE"""),19.0)</f>
        <v>19</v>
      </c>
      <c r="K8858" s="18">
        <f>IFERROR(__xludf.DUMMYFUNCTION("""COMPUTED_VALUE"""),29.0)</f>
        <v>29</v>
      </c>
      <c r="L8858" s="17">
        <f>IFERROR(__xludf.DUMMYFUNCTION("""COMPUTED_VALUE"""),3.002129615E9)</f>
        <v>3002129615</v>
      </c>
      <c r="M8858" s="17"/>
      <c r="N8858" s="17"/>
      <c r="O8858" s="17"/>
      <c r="P8858" s="17" t="b">
        <f>IFERROR(__xludf.DUMMYFUNCTION("""COMPUTED_VALUE"""),FALSE)</f>
        <v>0</v>
      </c>
      <c r="Q8858" s="20" t="str">
        <f>IFERROR(__xludf.DUMMYFUNCTION("""COMPUTED_VALUE"""),"")</f>
        <v/>
      </c>
      <c r="R8858" s="21" t="str">
        <f>IFERROR(__xludf.DUMMYFUNCTION("""COMPUTED_VALUE"""),"https://drive.google.com/file/d/16ix_iNs8fcKBhGwcLQaT0mlxNFo2EKq8/view?usp=drivesdk")</f>
        <v>https://drive.google.com/file/d/16ix_iNs8fcKBhGwcLQaT0mlxNFo2EKq8/view?usp=drivesdk</v>
      </c>
    </row>
    <row r="8859">
      <c r="A8859" s="15">
        <f>IFERROR(__xludf.DUMMYFUNCTION("""COMPUTED_VALUE"""),45252.0)</f>
        <v>45252</v>
      </c>
      <c r="B8859" s="16" t="str">
        <f>IFERROR(__xludf.DUMMYFUNCTION("""COMPUTED_VALUE"""),"JOSE ALFREDO RAMIREZ VERGARA ")</f>
        <v>JOSE ALFREDO RAMIREZ VERGARA </v>
      </c>
      <c r="C8859" s="15" t="str">
        <f>IFERROR(__xludf.DUMMYFUNCTION("""COMPUTED_VALUE"""),"BOGOTÁ")</f>
        <v>BOGOTÁ</v>
      </c>
      <c r="D8859" s="15" t="str">
        <f>IFERROR(__xludf.DUMMYFUNCTION("""COMPUTED_VALUE"""),"MEDELLÍN")</f>
        <v>MEDELLÍN</v>
      </c>
      <c r="E8859" s="15" t="str">
        <f>IFERROR(__xludf.DUMMYFUNCTION("""COMPUTED_VALUE"""),"Biota")</f>
        <v>Biota</v>
      </c>
      <c r="F8859" s="17" t="str">
        <f>IFERROR(__xludf.DUMMYFUNCTION("""COMPUTED_VALUE"""),"Balcones de Toledo . Calle 166 número 49 -20  Apto 109 torre 6 / Balcones de Toledo . Calle 166 número 49 -20  Apto 109 torre 6 / Balcones de Toledo . Calle 166 número 49 -20  Apto 109 torre 6")</f>
        <v>Balcones de Toledo . Calle 166 número 49 -20  Apto 109 torre 6 / Balcones de Toledo . Calle 166 número 49 -20  Apto 109 torre 6 / Balcones de Toledo . Calle 166 número 49 -20  Apto 109 torre 6</v>
      </c>
      <c r="G8859" s="15" t="str">
        <f>IFERROR(__xludf.DUMMYFUNCTION("""COMPUTED_VALUE"""),"Lorena ")</f>
        <v>Lorena </v>
      </c>
      <c r="H8859" s="16">
        <f>IFERROR(__xludf.DUMMYFUNCTION("""COMPUTED_VALUE"""),17498.0)</f>
        <v>17498</v>
      </c>
      <c r="I8859" s="18">
        <f>IFERROR(__xludf.DUMMYFUNCTION("""COMPUTED_VALUE"""),14.0)</f>
        <v>14</v>
      </c>
      <c r="J8859" s="18">
        <f>IFERROR(__xludf.DUMMYFUNCTION("""COMPUTED_VALUE"""),12.0)</f>
        <v>12</v>
      </c>
      <c r="K8859" s="18">
        <f>IFERROR(__xludf.DUMMYFUNCTION("""COMPUTED_VALUE"""),29.0)</f>
        <v>29</v>
      </c>
      <c r="L8859" s="17">
        <f>IFERROR(__xludf.DUMMYFUNCTION("""COMPUTED_VALUE"""),3.107378986E9)</f>
        <v>3107378986</v>
      </c>
      <c r="M8859" s="17"/>
      <c r="N8859" s="17"/>
      <c r="O8859" s="17"/>
      <c r="P8859" s="17" t="b">
        <f>IFERROR(__xludf.DUMMYFUNCTION("""COMPUTED_VALUE"""),FALSE)</f>
        <v>0</v>
      </c>
      <c r="Q8859" s="20" t="str">
        <f>IFERROR(__xludf.DUMMYFUNCTION("""COMPUTED_VALUE"""),"")</f>
        <v/>
      </c>
      <c r="R8859" s="21" t="str">
        <f>IFERROR(__xludf.DUMMYFUNCTION("""COMPUTED_VALUE"""),"https://drive.google.com/file/d/1vqxojWrYKfwrPGpImrB7lMJZlsIbXFWF/view?usp=drivesdk")</f>
        <v>https://drive.google.com/file/d/1vqxojWrYKfwrPGpImrB7lMJZlsIbXFWF/view?usp=drivesdk</v>
      </c>
    </row>
    <row r="8860">
      <c r="A8860" s="15">
        <f>IFERROR(__xludf.DUMMYFUNCTION("""COMPUTED_VALUE"""),45252.0)</f>
        <v>45252</v>
      </c>
      <c r="B8860" s="16" t="str">
        <f>IFERROR(__xludf.DUMMYFUNCTION("""COMPUTED_VALUE"""),"JOSE ALFREDO RAMIREZ VERGARA ")</f>
        <v>JOSE ALFREDO RAMIREZ VERGARA </v>
      </c>
      <c r="C8860" s="15" t="str">
        <f>IFERROR(__xludf.DUMMYFUNCTION("""COMPUTED_VALUE"""),"BOGOTÁ")</f>
        <v>BOGOTÁ</v>
      </c>
      <c r="D8860" s="15" t="str">
        <f>IFERROR(__xludf.DUMMYFUNCTION("""COMPUTED_VALUE"""),"MEDELLÍN")</f>
        <v>MEDELLÍN</v>
      </c>
      <c r="E8860" s="15" t="str">
        <f>IFERROR(__xludf.DUMMYFUNCTION("""COMPUTED_VALUE"""),"Moloso S.A.S")</f>
        <v>Moloso S.A.S</v>
      </c>
      <c r="F8860" s="17" t="str">
        <f>IFERROR(__xludf.DUMMYFUNCTION("""COMPUTED_VALUE"""),"CR 10B 135A 20 / ED AGAVE AP 301")</f>
        <v>CR 10B 135A 20 / ED AGAVE AP 301</v>
      </c>
      <c r="G8860" s="15" t="str">
        <f>IFERROR(__xludf.DUMMYFUNCTION("""COMPUTED_VALUE"""),"ALEJANDRA MARIA QUIÑONES CEDEÑO")</f>
        <v>ALEJANDRA MARIA QUIÑONES CEDEÑO</v>
      </c>
      <c r="H8860" s="16">
        <f>IFERROR(__xludf.DUMMYFUNCTION("""COMPUTED_VALUE"""),17540.0)</f>
        <v>17540</v>
      </c>
      <c r="I8860" s="17"/>
      <c r="J8860" s="17"/>
      <c r="K8860" s="17"/>
      <c r="L8860" s="17"/>
      <c r="M8860" s="17"/>
      <c r="N8860" s="17"/>
      <c r="O8860" s="17"/>
      <c r="P8860" s="17" t="b">
        <f>IFERROR(__xludf.DUMMYFUNCTION("""COMPUTED_VALUE"""),FALSE)</f>
        <v>0</v>
      </c>
      <c r="Q8860" s="20" t="str">
        <f>IFERROR(__xludf.DUMMYFUNCTION("""COMPUTED_VALUE"""),"")</f>
        <v/>
      </c>
      <c r="R8860" s="21" t="str">
        <f>IFERROR(__xludf.DUMMYFUNCTION("""COMPUTED_VALUE"""),"https://drive.google.com/file/d/1meCy5gzs1Xw7jBXB-QVHvqZbkHkokIj9/view?usp=drivesdk")</f>
        <v>https://drive.google.com/file/d/1meCy5gzs1Xw7jBXB-QVHvqZbkHkokIj9/view?usp=drivesdk</v>
      </c>
    </row>
    <row r="8861">
      <c r="A8861" s="15">
        <f>IFERROR(__xludf.DUMMYFUNCTION("""COMPUTED_VALUE"""),45252.0)</f>
        <v>45252</v>
      </c>
      <c r="B8861" s="16" t="str">
        <f>IFERROR(__xludf.DUMMYFUNCTION("""COMPUTED_VALUE"""),"JOSE ALFREDO RAMIREZ VERGARA ")</f>
        <v>JOSE ALFREDO RAMIREZ VERGARA </v>
      </c>
      <c r="C8861" s="15" t="str">
        <f>IFERROR(__xludf.DUMMYFUNCTION("""COMPUTED_VALUE"""),"BOGOTÁ")</f>
        <v>BOGOTÁ</v>
      </c>
      <c r="D8861" s="15" t="str">
        <f>IFERROR(__xludf.DUMMYFUNCTION("""COMPUTED_VALUE"""),"MEDELLÍN")</f>
        <v>MEDELLÍN</v>
      </c>
      <c r="E8861" s="15" t="str">
        <f>IFERROR(__xludf.DUMMYFUNCTION("""COMPUTED_VALUE"""),"Puro Verde")</f>
        <v>Puro Verde</v>
      </c>
      <c r="F8861" s="17" t="str">
        <f>IFERROR(__xludf.DUMMYFUNCTION("""COMPUTED_VALUE"""),"CRA 16A # 77-23 / LOCAL 4 / BARRIO EL LAGO")</f>
        <v>CRA 16A # 77-23 / LOCAL 4 / BARRIO EL LAGO</v>
      </c>
      <c r="G8861" s="15" t="str">
        <f>IFERROR(__xludf.DUMMYFUNCTION("""COMPUTED_VALUE"""),"DANDO CUERDA")</f>
        <v>DANDO CUERDA</v>
      </c>
      <c r="H8861" s="16">
        <f>IFERROR(__xludf.DUMMYFUNCTION("""COMPUTED_VALUE"""),17497.0)</f>
        <v>17497</v>
      </c>
      <c r="I8861" s="18">
        <f>IFERROR(__xludf.DUMMYFUNCTION("""COMPUTED_VALUE"""),55.0)</f>
        <v>55</v>
      </c>
      <c r="J8861" s="18">
        <f>IFERROR(__xludf.DUMMYFUNCTION("""COMPUTED_VALUE"""),45.0)</f>
        <v>45</v>
      </c>
      <c r="K8861" s="18">
        <f>IFERROR(__xludf.DUMMYFUNCTION("""COMPUTED_VALUE"""),55.5)</f>
        <v>55.5</v>
      </c>
      <c r="L8861" s="17">
        <f>IFERROR(__xludf.DUMMYFUNCTION("""COMPUTED_VALUE"""),3.163816691E9)</f>
        <v>3163816691</v>
      </c>
      <c r="M8861" s="17"/>
      <c r="N8861" s="17"/>
      <c r="O8861" s="17"/>
      <c r="P8861" s="17" t="b">
        <f>IFERROR(__xludf.DUMMYFUNCTION("""COMPUTED_VALUE"""),FALSE)</f>
        <v>0</v>
      </c>
      <c r="Q8861" s="20" t="str">
        <f>IFERROR(__xludf.DUMMYFUNCTION("""COMPUTED_VALUE"""),"")</f>
        <v/>
      </c>
      <c r="R8861" s="21" t="str">
        <f>IFERROR(__xludf.DUMMYFUNCTION("""COMPUTED_VALUE"""),"https://drive.google.com/file/d/1CjLYSjrux_J2CsY0q4-yPg7aRf1uWl_g/view?usp=drivesdk")</f>
        <v>https://drive.google.com/file/d/1CjLYSjrux_J2CsY0q4-yPg7aRf1uWl_g/view?usp=drivesdk</v>
      </c>
    </row>
    <row r="8862">
      <c r="A8862" s="15">
        <f>IFERROR(__xludf.DUMMYFUNCTION("""COMPUTED_VALUE"""),45252.0)</f>
        <v>45252</v>
      </c>
      <c r="B8862" s="16" t="str">
        <f>IFERROR(__xludf.DUMMYFUNCTION("""COMPUTED_VALUE"""),"JOSE ALFREDO RAMIREZ VERGARA ")</f>
        <v>JOSE ALFREDO RAMIREZ VERGARA </v>
      </c>
      <c r="C8862" s="15" t="str">
        <f>IFERROR(__xludf.DUMMYFUNCTION("""COMPUTED_VALUE"""),"BOGOTÁ")</f>
        <v>BOGOTÁ</v>
      </c>
      <c r="D8862" s="15" t="str">
        <f>IFERROR(__xludf.DUMMYFUNCTION("""COMPUTED_VALUE"""),"MEDELLÍN")</f>
        <v>MEDELLÍN</v>
      </c>
      <c r="E8862" s="15" t="str">
        <f>IFERROR(__xludf.DUMMYFUNCTION("""COMPUTED_VALUE"""),"The Smoked House")</f>
        <v>The Smoked House</v>
      </c>
      <c r="F8862" s="17" t="str">
        <f>IFERROR(__xludf.DUMMYFUNCTION("""COMPUTED_VALUE"""),"Cra 49#238-60  / Hacienda San Simon, El Alcaparro, Casa 10  / Hacienda San Simon, El Alcaparro, Casa 10 ")</f>
        <v>Cra 49#238-60  / Hacienda San Simon, El Alcaparro, Casa 10  / Hacienda San Simon, El Alcaparro, Casa 10 </v>
      </c>
      <c r="G8862" s="15" t="str">
        <f>IFERROR(__xludf.DUMMYFUNCTION("""COMPUTED_VALUE"""),"Mónica ")</f>
        <v>Mónica </v>
      </c>
      <c r="H8862" s="16">
        <f>IFERROR(__xludf.DUMMYFUNCTION("""COMPUTED_VALUE"""),17510.0)</f>
        <v>17510</v>
      </c>
      <c r="I8862" s="18">
        <f>IFERROR(__xludf.DUMMYFUNCTION("""COMPUTED_VALUE"""),16.0)</f>
        <v>16</v>
      </c>
      <c r="J8862" s="18">
        <f>IFERROR(__xludf.DUMMYFUNCTION("""COMPUTED_VALUE"""),49.0)</f>
        <v>49</v>
      </c>
      <c r="K8862" s="18">
        <f>IFERROR(__xludf.DUMMYFUNCTION("""COMPUTED_VALUE"""),61.0)</f>
        <v>61</v>
      </c>
      <c r="L8862" s="17">
        <f>IFERROR(__xludf.DUMMYFUNCTION("""COMPUTED_VALUE"""),3.158825395E9)</f>
        <v>3158825395</v>
      </c>
      <c r="M8862" s="17"/>
      <c r="N8862" s="17"/>
      <c r="O8862" s="17"/>
      <c r="P8862" s="17" t="b">
        <f>IFERROR(__xludf.DUMMYFUNCTION("""COMPUTED_VALUE"""),FALSE)</f>
        <v>0</v>
      </c>
      <c r="Q8862" s="20" t="str">
        <f>IFERROR(__xludf.DUMMYFUNCTION("""COMPUTED_VALUE"""),"")</f>
        <v/>
      </c>
      <c r="R8862" s="22" t="str">
        <f>IFERROR(__xludf.DUMMYFUNCTION("""COMPUTED_VALUE"""),"")</f>
        <v/>
      </c>
    </row>
    <row r="8863">
      <c r="A8863" s="15">
        <f>IFERROR(__xludf.DUMMYFUNCTION("""COMPUTED_VALUE"""),45252.0)</f>
        <v>45252</v>
      </c>
      <c r="B8863" s="16" t="str">
        <f>IFERROR(__xludf.DUMMYFUNCTION("""COMPUTED_VALUE"""),"JOSE ALFREDO RAMIREZ VERGARA ")</f>
        <v>JOSE ALFREDO RAMIREZ VERGARA </v>
      </c>
      <c r="C8863" s="15" t="str">
        <f>IFERROR(__xludf.DUMMYFUNCTION("""COMPUTED_VALUE"""),"BOGOTÁ")</f>
        <v>BOGOTÁ</v>
      </c>
      <c r="D8863" s="15" t="str">
        <f>IFERROR(__xludf.DUMMYFUNCTION("""COMPUTED_VALUE"""),"MEDELLÍN")</f>
        <v>MEDELLÍN</v>
      </c>
      <c r="E8863" s="15" t="str">
        <f>IFERROR(__xludf.DUMMYFUNCTION("""COMPUTED_VALUE"""),"TOLEDALES S.A.S")</f>
        <v>TOLEDALES S.A.S</v>
      </c>
      <c r="F8863" s="17" t="str">
        <f>IFERROR(__xludf.DUMMYFUNCTION("""COMPUTED_VALUE"""),"Carrera 58 B 135-49 int 3 / apartamento 203 Colina campestre bogota cundinamarca")</f>
        <v>Carrera 58 B 135-49 int 3 / apartamento 203 Colina campestre bogota cundinamarca</v>
      </c>
      <c r="G8863" s="15" t="str">
        <f>IFERROR(__xludf.DUMMYFUNCTION("""COMPUTED_VALUE"""),"Carlos salas borbon")</f>
        <v>Carlos salas borbon</v>
      </c>
      <c r="H8863" s="16">
        <f>IFERROR(__xludf.DUMMYFUNCTION("""COMPUTED_VALUE"""),17484.0)</f>
        <v>17484</v>
      </c>
      <c r="I8863" s="17"/>
      <c r="J8863" s="17"/>
      <c r="K8863" s="17"/>
      <c r="L8863" s="17">
        <f>IFERROR(__xludf.DUMMYFUNCTION("""COMPUTED_VALUE"""),3.1020866E7)</f>
        <v>31020866</v>
      </c>
      <c r="M8863" s="17"/>
      <c r="N8863" s="17"/>
      <c r="O8863" s="17"/>
      <c r="P8863" s="17" t="b">
        <f>IFERROR(__xludf.DUMMYFUNCTION("""COMPUTED_VALUE"""),FALSE)</f>
        <v>0</v>
      </c>
      <c r="Q8863" s="20" t="str">
        <f>IFERROR(__xludf.DUMMYFUNCTION("""COMPUTED_VALUE"""),"")</f>
        <v/>
      </c>
      <c r="R8863" s="21" t="str">
        <f>IFERROR(__xludf.DUMMYFUNCTION("""COMPUTED_VALUE"""),"https://drive.google.com/file/d/1-Ja8GV1FgU7yPdNqeaff7VS2B7_3iGI9/view?usp=drivesdk")</f>
        <v>https://drive.google.com/file/d/1-Ja8GV1FgU7yPdNqeaff7VS2B7_3iGI9/view?usp=drivesdk</v>
      </c>
    </row>
    <row r="8864">
      <c r="A8864" s="15">
        <f>IFERROR(__xludf.DUMMYFUNCTION("""COMPUTED_VALUE"""),45252.0)</f>
        <v>45252</v>
      </c>
      <c r="B8864" s="16" t="str">
        <f>IFERROR(__xludf.DUMMYFUNCTION("""COMPUTED_VALUE"""),"JOSE ALFREDO RAMIREZ VERGARA ")</f>
        <v>JOSE ALFREDO RAMIREZ VERGARA </v>
      </c>
      <c r="C8864" s="15" t="str">
        <f>IFERROR(__xludf.DUMMYFUNCTION("""COMPUTED_VALUE"""),"BOGOTÁ")</f>
        <v>BOGOTÁ</v>
      </c>
      <c r="D8864" s="15" t="str">
        <f>IFERROR(__xludf.DUMMYFUNCTION("""COMPUTED_VALUE"""),"MEDELLÍN")</f>
        <v>MEDELLÍN</v>
      </c>
      <c r="E8864" s="15" t="str">
        <f>IFERROR(__xludf.DUMMYFUNCTION("""COMPUTED_VALUE"""),"TOLEDALES S.A.S")</f>
        <v>TOLEDALES S.A.S</v>
      </c>
      <c r="F8864" s="17" t="str">
        <f>IFERROR(__xludf.DUMMYFUNCTION("""COMPUTED_VALUE"""),"Carrera 58 B 135-49 int 3 / apartamento 203 Colina campestre bogota cundinamarca")</f>
        <v>Carrera 58 B 135-49 int 3 / apartamento 203 Colina campestre bogota cundinamarca</v>
      </c>
      <c r="G8864" s="15" t="str">
        <f>IFERROR(__xludf.DUMMYFUNCTION("""COMPUTED_VALUE"""),"Carlos salas borbon")</f>
        <v>Carlos salas borbon</v>
      </c>
      <c r="H8864" s="16">
        <f>IFERROR(__xludf.DUMMYFUNCTION("""COMPUTED_VALUE"""),17486.0)</f>
        <v>17486</v>
      </c>
      <c r="I8864" s="17"/>
      <c r="J8864" s="17"/>
      <c r="K8864" s="17"/>
      <c r="L8864" s="17">
        <f>IFERROR(__xludf.DUMMYFUNCTION("""COMPUTED_VALUE"""),3.1020866E7)</f>
        <v>31020866</v>
      </c>
      <c r="M8864" s="17"/>
      <c r="N8864" s="17"/>
      <c r="O8864" s="17"/>
      <c r="P8864" s="17" t="b">
        <f>IFERROR(__xludf.DUMMYFUNCTION("""COMPUTED_VALUE"""),FALSE)</f>
        <v>0</v>
      </c>
      <c r="Q8864" s="20" t="str">
        <f>IFERROR(__xludf.DUMMYFUNCTION("""COMPUTED_VALUE"""),"")</f>
        <v/>
      </c>
      <c r="R8864" s="21" t="str">
        <f>IFERROR(__xludf.DUMMYFUNCTION("""COMPUTED_VALUE"""),"https://drive.google.com/file/d/1WcRt3KBpWr72eeNbHV15x4MHRcTgaYtA/view?usp=drivesdk")</f>
        <v>https://drive.google.com/file/d/1WcRt3KBpWr72eeNbHV15x4MHRcTgaYtA/view?usp=drivesdk</v>
      </c>
    </row>
    <row r="8865">
      <c r="A8865" s="15">
        <f>IFERROR(__xludf.DUMMYFUNCTION("""COMPUTED_VALUE"""),45252.0)</f>
        <v>45252</v>
      </c>
      <c r="B8865" s="16" t="str">
        <f>IFERROR(__xludf.DUMMYFUNCTION("""COMPUTED_VALUE"""),"JOSE ALFREDO RAMIREZ VERGARA ")</f>
        <v>JOSE ALFREDO RAMIREZ VERGARA </v>
      </c>
      <c r="C8865" s="15" t="str">
        <f>IFERROR(__xludf.DUMMYFUNCTION("""COMPUTED_VALUE"""),"MONTERIA")</f>
        <v>MONTERIA</v>
      </c>
      <c r="D8865" s="15" t="str">
        <f>IFERROR(__xludf.DUMMYFUNCTION("""COMPUTED_VALUE"""),"BOGOTÁ")</f>
        <v>BOGOTÁ</v>
      </c>
      <c r="E8865" s="15" t="str">
        <f>IFERROR(__xludf.DUMMYFUNCTION("""COMPUTED_VALUE"""),"LINA PAOLA RAMIREZ GOMEZ - EVA MAZZITA")</f>
        <v>LINA PAOLA RAMIREZ GOMEZ - EVA MAZZITA</v>
      </c>
      <c r="F8865" s="17" t="str">
        <f>IFERROR(__xludf.DUMMYFUNCTION("""COMPUTED_VALUE"""),"Carrera 12#53A-39 / edificio alta vista torre 1 apto 603")</f>
        <v>Carrera 12#53A-39 / edificio alta vista torre 1 apto 603</v>
      </c>
      <c r="G8865" s="15" t="str">
        <f>IFERROR(__xludf.DUMMYFUNCTION("""COMPUTED_VALUE"""),"EMILIA MIRANDA")</f>
        <v>EMILIA MIRANDA</v>
      </c>
      <c r="H8865" s="16">
        <f>IFERROR(__xludf.DUMMYFUNCTION("""COMPUTED_VALUE"""),17475.0)</f>
        <v>17475</v>
      </c>
      <c r="I8865" s="17"/>
      <c r="J8865" s="17"/>
      <c r="K8865" s="17"/>
      <c r="L8865" s="17">
        <f>IFERROR(__xludf.DUMMYFUNCTION("""COMPUTED_VALUE"""),3.113438505E9)</f>
        <v>3113438505</v>
      </c>
      <c r="M8865" s="17"/>
      <c r="N8865" s="17"/>
      <c r="O8865" s="17"/>
      <c r="P8865" s="17" t="b">
        <f>IFERROR(__xludf.DUMMYFUNCTION("""COMPUTED_VALUE"""),FALSE)</f>
        <v>0</v>
      </c>
      <c r="Q8865" s="20" t="str">
        <f>IFERROR(__xludf.DUMMYFUNCTION("""COMPUTED_VALUE"""),"")</f>
        <v/>
      </c>
      <c r="R8865" s="21" t="str">
        <f>IFERROR(__xludf.DUMMYFUNCTION("""COMPUTED_VALUE"""),"https://drive.google.com/file/d/1VRRisRDnewA-8VCmzEroXkPEKSsBIIwk/view?usp=drivesdk")</f>
        <v>https://drive.google.com/file/d/1VRRisRDnewA-8VCmzEroXkPEKSsBIIwk/view?usp=drivesdk</v>
      </c>
    </row>
    <row r="8866">
      <c r="A8866" s="15">
        <f>IFERROR(__xludf.DUMMYFUNCTION("""COMPUTED_VALUE"""),45252.0)</f>
        <v>45252</v>
      </c>
      <c r="B8866" s="16" t="str">
        <f>IFERROR(__xludf.DUMMYFUNCTION("""COMPUTED_VALUE"""),"JOSE ALFREDO RAMIREZ VERGARA ")</f>
        <v>JOSE ALFREDO RAMIREZ VERGARA </v>
      </c>
      <c r="C8866" s="15" t="str">
        <f>IFERROR(__xludf.DUMMYFUNCTION("""COMPUTED_VALUE"""),"MONTERIA")</f>
        <v>MONTERIA</v>
      </c>
      <c r="D8866" s="15" t="str">
        <f>IFERROR(__xludf.DUMMYFUNCTION("""COMPUTED_VALUE"""),"BOGOTÁ")</f>
        <v>BOGOTÁ</v>
      </c>
      <c r="E8866" s="15" t="str">
        <f>IFERROR(__xludf.DUMMYFUNCTION("""COMPUTED_VALUE"""),"MAI ALIMENTOS REALES")</f>
        <v>MAI ALIMENTOS REALES</v>
      </c>
      <c r="F8866" s="17" t="str">
        <f>IFERROR(__xludf.DUMMYFUNCTION("""COMPUTED_VALUE"""),"Carrera 6#68-62 / Centro Comercial Buenavista, Piso 1, Isla 004")</f>
        <v>Carrera 6#68-62 / Centro Comercial Buenavista, Piso 1, Isla 004</v>
      </c>
      <c r="G8866" s="15" t="str">
        <f>IFERROR(__xludf.DUMMYFUNCTION("""COMPUTED_VALUE"""),"Enjoy Fit Buenavista")</f>
        <v>Enjoy Fit Buenavista</v>
      </c>
      <c r="H8866" s="16">
        <f>IFERROR(__xludf.DUMMYFUNCTION("""COMPUTED_VALUE"""),17357.0)</f>
        <v>17357</v>
      </c>
      <c r="I8866" s="17"/>
      <c r="J8866" s="17"/>
      <c r="K8866" s="17"/>
      <c r="L8866" s="17">
        <f>IFERROR(__xludf.DUMMYFUNCTION("""COMPUTED_VALUE"""),3.107294683E9)</f>
        <v>3107294683</v>
      </c>
      <c r="M8866" s="17"/>
      <c r="N8866" s="17"/>
      <c r="O8866" s="17"/>
      <c r="P8866" s="17" t="b">
        <f>IFERROR(__xludf.DUMMYFUNCTION("""COMPUTED_VALUE"""),FALSE)</f>
        <v>0</v>
      </c>
      <c r="Q8866" s="20" t="str">
        <f>IFERROR(__xludf.DUMMYFUNCTION("""COMPUTED_VALUE"""),"")</f>
        <v/>
      </c>
      <c r="R8866" s="21" t="str">
        <f>IFERROR(__xludf.DUMMYFUNCTION("""COMPUTED_VALUE"""),"https://drive.google.com/file/d/15jnMVEPXrCwlNIVgZCPyTVA9B5kJ3mZ-/view?usp=drivesdk")</f>
        <v>https://drive.google.com/file/d/15jnMVEPXrCwlNIVgZCPyTVA9B5kJ3mZ-/view?usp=drivesdk</v>
      </c>
    </row>
    <row r="8867">
      <c r="A8867" s="17" t="str">
        <f>IFERROR(__xludf.DUMMYFUNCTION("""COMPUTED_VALUE"""),"")</f>
        <v/>
      </c>
      <c r="B8867" s="17" t="str">
        <f>IFERROR(__xludf.DUMMYFUNCTION("""COMPUTED_VALUE"""),"")</f>
        <v/>
      </c>
      <c r="C8867" s="17" t="str">
        <f>IFERROR(__xludf.DUMMYFUNCTION("""COMPUTED_VALUE"""),"")</f>
        <v/>
      </c>
      <c r="D8867" s="17" t="str">
        <f>IFERROR(__xludf.DUMMYFUNCTION("""COMPUTED_VALUE"""),"")</f>
        <v/>
      </c>
      <c r="E8867" s="17" t="str">
        <f>IFERROR(__xludf.DUMMYFUNCTION("""COMPUTED_VALUE"""),"")</f>
        <v/>
      </c>
      <c r="F8867" s="17" t="str">
        <f>IFERROR(__xludf.DUMMYFUNCTION("""COMPUTED_VALUE"""),"")</f>
        <v/>
      </c>
      <c r="G8867" s="17" t="str">
        <f>IFERROR(__xludf.DUMMYFUNCTION("""COMPUTED_VALUE"""),"")</f>
        <v/>
      </c>
      <c r="H8867" s="17" t="str">
        <f>IFERROR(__xludf.DUMMYFUNCTION("""COMPUTED_VALUE"""),"")</f>
        <v/>
      </c>
      <c r="I8867" s="17" t="str">
        <f>IFERROR(__xludf.DUMMYFUNCTION("""COMPUTED_VALUE"""),"")</f>
        <v/>
      </c>
      <c r="J8867" s="17" t="str">
        <f>IFERROR(__xludf.DUMMYFUNCTION("""COMPUTED_VALUE"""),"")</f>
        <v/>
      </c>
      <c r="K8867" s="17" t="str">
        <f>IFERROR(__xludf.DUMMYFUNCTION("""COMPUTED_VALUE"""),"")</f>
        <v/>
      </c>
      <c r="L8867" s="17" t="str">
        <f>IFERROR(__xludf.DUMMYFUNCTION("""COMPUTED_VALUE"""),"")</f>
        <v/>
      </c>
      <c r="M8867" s="17" t="str">
        <f>IFERROR(__xludf.DUMMYFUNCTION("""COMPUTED_VALUE"""),"")</f>
        <v/>
      </c>
      <c r="N8867" s="17" t="str">
        <f>IFERROR(__xludf.DUMMYFUNCTION("""COMPUTED_VALUE"""),"")</f>
        <v/>
      </c>
      <c r="O8867" s="17" t="str">
        <f>IFERROR(__xludf.DUMMYFUNCTION("""COMPUTED_VALUE"""),"")</f>
        <v/>
      </c>
      <c r="P8867" s="17" t="str">
        <f>IFERROR(__xludf.DUMMYFUNCTION("""COMPUTED_VALUE"""),"")</f>
        <v/>
      </c>
      <c r="Q8867" s="17" t="str">
        <f>IFERROR(__xludf.DUMMYFUNCTION("""COMPUTED_VALUE"""),"")</f>
        <v/>
      </c>
      <c r="R8867" s="17" t="str">
        <f>IFERROR(__xludf.DUMMYFUNCTION("""COMPUTED_VALUE"""),"")</f>
        <v/>
      </c>
    </row>
    <row r="8868">
      <c r="A8868" s="15">
        <f>IFERROR(__xludf.DUMMYFUNCTION("""COMPUTED_VALUE"""),45252.0)</f>
        <v>45252</v>
      </c>
      <c r="B8868" s="16" t="str">
        <f>IFERROR(__xludf.DUMMYFUNCTION("""COMPUTED_VALUE"""),"Julián Alexis salazar Anaya ")</f>
        <v>Julián Alexis salazar Anaya </v>
      </c>
      <c r="C8868" s="15" t="str">
        <f>IFERROR(__xludf.DUMMYFUNCTION("""COMPUTED_VALUE"""),"ARMENIA")</f>
        <v>ARMENIA</v>
      </c>
      <c r="D8868" s="15" t="str">
        <f>IFERROR(__xludf.DUMMYFUNCTION("""COMPUTED_VALUE"""),"MEDELLÍN")</f>
        <v>MEDELLÍN</v>
      </c>
      <c r="E8868" s="15" t="str">
        <f>IFERROR(__xludf.DUMMYFUNCTION("""COMPUTED_VALUE"""),"AREPAS LA MARY")</f>
        <v>AREPAS LA MARY</v>
      </c>
      <c r="F8868" s="17" t="str">
        <f>IFERROR(__xludf.DUMMYFUNCTION("""COMPUTED_VALUE"""),"CLL 41 #36-110 CASA 46 / PARQUE RESIDENCIAL ALTOS DEL RIO")</f>
        <v>CLL 41 #36-110 CASA 46 / PARQUE RESIDENCIAL ALTOS DEL RIO</v>
      </c>
      <c r="G8868" s="15" t="str">
        <f>IFERROR(__xludf.DUMMYFUNCTION("""COMPUTED_VALUE"""),"MARIA PAULA GALINDO")</f>
        <v>MARIA PAULA GALINDO</v>
      </c>
      <c r="H8868" s="16">
        <f>IFERROR(__xludf.DUMMYFUNCTION("""COMPUTED_VALUE"""),17459.0)</f>
        <v>17459</v>
      </c>
      <c r="I8868" s="17"/>
      <c r="J8868" s="17"/>
      <c r="K8868" s="17"/>
      <c r="L8868" s="17">
        <f>IFERROR(__xludf.DUMMYFUNCTION("""COMPUTED_VALUE"""),3.123878729E9)</f>
        <v>3123878729</v>
      </c>
      <c r="M8868" s="17"/>
      <c r="N8868" s="17"/>
      <c r="O8868" s="17"/>
      <c r="P8868" s="17" t="b">
        <f>IFERROR(__xludf.DUMMYFUNCTION("""COMPUTED_VALUE"""),TRUE)</f>
        <v>1</v>
      </c>
      <c r="Q8868" s="20">
        <f>IFERROR(__xludf.DUMMYFUNCTION("""COMPUTED_VALUE"""),45253.606927939814)</f>
        <v>45253.60693</v>
      </c>
      <c r="R8868" s="22" t="str">
        <f>IFERROR(__xludf.DUMMYFUNCTION("""COMPUTED_VALUE"""),"")</f>
        <v/>
      </c>
    </row>
    <row r="8869">
      <c r="A8869" s="15">
        <f>IFERROR(__xludf.DUMMYFUNCTION("""COMPUTED_VALUE"""),45252.0)</f>
        <v>45252</v>
      </c>
      <c r="B8869" s="16" t="str">
        <f>IFERROR(__xludf.DUMMYFUNCTION("""COMPUTED_VALUE"""),"Julián Alexis salazar Anaya ")</f>
        <v>Julián Alexis salazar Anaya </v>
      </c>
      <c r="C8869" s="15" t="str">
        <f>IFERROR(__xludf.DUMMYFUNCTION("""COMPUTED_VALUE"""),"CÚCUTA")</f>
        <v>CÚCUTA</v>
      </c>
      <c r="D8869" s="15" t="str">
        <f>IFERROR(__xludf.DUMMYFUNCTION("""COMPUTED_VALUE"""),"MEDELLÍN")</f>
        <v>MEDELLÍN</v>
      </c>
      <c r="E8869" s="15" t="str">
        <f>IFERROR(__xludf.DUMMYFUNCTION("""COMPUTED_VALUE"""),"Momo Tea S.A.S Gabriel Echavarría")</f>
        <v>Momo Tea S.A.S Gabriel Echavarría</v>
      </c>
      <c r="F8869" s="17" t="str">
        <f>IFERROR(__xludf.DUMMYFUNCTION("""COMPUTED_VALUE"""),"CL 11 N 16 E 35 / CA B 1 ")</f>
        <v>CL 11 N 16 E 35 / CA B 1 </v>
      </c>
      <c r="G8869" s="15" t="str">
        <f>IFERROR(__xludf.DUMMYFUNCTION("""COMPUTED_VALUE"""),"Gabriel Echavarría")</f>
        <v>Gabriel Echavarría</v>
      </c>
      <c r="H8869" s="16">
        <f>IFERROR(__xludf.DUMMYFUNCTION("""COMPUTED_VALUE"""),17457.0)</f>
        <v>17457</v>
      </c>
      <c r="I8869" s="18">
        <f>IFERROR(__xludf.DUMMYFUNCTION("""COMPUTED_VALUE"""),17.0)</f>
        <v>17</v>
      </c>
      <c r="J8869" s="18">
        <f>IFERROR(__xludf.DUMMYFUNCTION("""COMPUTED_VALUE"""),13.0)</f>
        <v>13</v>
      </c>
      <c r="K8869" s="18">
        <f>IFERROR(__xludf.DUMMYFUNCTION("""COMPUTED_VALUE"""),20.0)</f>
        <v>20</v>
      </c>
      <c r="L8869" s="17">
        <f>IFERROR(__xludf.DUMMYFUNCTION("""COMPUTED_VALUE"""),3.017909548E9)</f>
        <v>3017909548</v>
      </c>
      <c r="M8869" s="17"/>
      <c r="N8869" s="17"/>
      <c r="O8869" s="17"/>
      <c r="P8869" s="17" t="b">
        <f>IFERROR(__xludf.DUMMYFUNCTION("""COMPUTED_VALUE"""),FALSE)</f>
        <v>0</v>
      </c>
      <c r="Q8869" s="20" t="str">
        <f>IFERROR(__xludf.DUMMYFUNCTION("""COMPUTED_VALUE"""),"")</f>
        <v/>
      </c>
      <c r="R8869" s="21" t="str">
        <f>IFERROR(__xludf.DUMMYFUNCTION("""COMPUTED_VALUE"""),"https://drive.google.com/file/d/1u9XOMimQr6znPiv-VRRfOIgPV7MtfsW8/view?usp=drivesdk")</f>
        <v>https://drive.google.com/file/d/1u9XOMimQr6znPiv-VRRfOIgPV7MtfsW8/view?usp=drivesdk</v>
      </c>
    </row>
    <row r="8870">
      <c r="A8870" s="15">
        <f>IFERROR(__xludf.DUMMYFUNCTION("""COMPUTED_VALUE"""),45252.0)</f>
        <v>45252</v>
      </c>
      <c r="B8870" s="16" t="str">
        <f>IFERROR(__xludf.DUMMYFUNCTION("""COMPUTED_VALUE"""),"Julián Alexis salazar Anaya ")</f>
        <v>Julián Alexis salazar Anaya </v>
      </c>
      <c r="C8870" s="15" t="str">
        <f>IFERROR(__xludf.DUMMYFUNCTION("""COMPUTED_VALUE"""),"CÚCUTA")</f>
        <v>CÚCUTA</v>
      </c>
      <c r="D8870" s="15" t="str">
        <f>IFERROR(__xludf.DUMMYFUNCTION("""COMPUTED_VALUE"""),"MEDELLÍN")</f>
        <v>MEDELLÍN</v>
      </c>
      <c r="E8870" s="15" t="str">
        <f>IFERROR(__xludf.DUMMYFUNCTION("""COMPUTED_VALUE"""),"Momo Tea S.A.S Gabriel Echavarría")</f>
        <v>Momo Tea S.A.S Gabriel Echavarría</v>
      </c>
      <c r="F8870" s="17" t="str">
        <f>IFERROR(__xludf.DUMMYFUNCTION("""COMPUTED_VALUE"""),"CL 11 N 16 E 35 / CA B 1 ")</f>
        <v>CL 11 N 16 E 35 / CA B 1 </v>
      </c>
      <c r="G8870" s="15" t="str">
        <f>IFERROR(__xludf.DUMMYFUNCTION("""COMPUTED_VALUE"""),"Gabriel Echavarría")</f>
        <v>Gabriel Echavarría</v>
      </c>
      <c r="H8870" s="16">
        <f>IFERROR(__xludf.DUMMYFUNCTION("""COMPUTED_VALUE"""),17458.0)</f>
        <v>17458</v>
      </c>
      <c r="I8870" s="18">
        <f>IFERROR(__xludf.DUMMYFUNCTION("""COMPUTED_VALUE"""),63.0)</f>
        <v>63</v>
      </c>
      <c r="J8870" s="18">
        <f>IFERROR(__xludf.DUMMYFUNCTION("""COMPUTED_VALUE"""),10.0)</f>
        <v>10</v>
      </c>
      <c r="K8870" s="18">
        <f>IFERROR(__xludf.DUMMYFUNCTION("""COMPUTED_VALUE"""),9.0)</f>
        <v>9</v>
      </c>
      <c r="L8870" s="17">
        <f>IFERROR(__xludf.DUMMYFUNCTION("""COMPUTED_VALUE"""),3.017909548E9)</f>
        <v>3017909548</v>
      </c>
      <c r="M8870" s="17"/>
      <c r="N8870" s="17"/>
      <c r="O8870" s="17"/>
      <c r="P8870" s="17" t="b">
        <f>IFERROR(__xludf.DUMMYFUNCTION("""COMPUTED_VALUE"""),FALSE)</f>
        <v>0</v>
      </c>
      <c r="Q8870" s="20" t="str">
        <f>IFERROR(__xludf.DUMMYFUNCTION("""COMPUTED_VALUE"""),"")</f>
        <v/>
      </c>
      <c r="R8870" s="21" t="str">
        <f>IFERROR(__xludf.DUMMYFUNCTION("""COMPUTED_VALUE"""),"https://drive.google.com/file/d/18-ZEolmH95PB9hW5CNOi6EnohQLxBs8t/view?usp=drivesdk")</f>
        <v>https://drive.google.com/file/d/18-ZEolmH95PB9hW5CNOi6EnohQLxBs8t/view?usp=drivesdk</v>
      </c>
    </row>
    <row r="8871">
      <c r="A8871" s="17" t="str">
        <f>IFERROR(__xludf.DUMMYFUNCTION("""COMPUTED_VALUE"""),"")</f>
        <v/>
      </c>
      <c r="B8871" s="17" t="str">
        <f>IFERROR(__xludf.DUMMYFUNCTION("""COMPUTED_VALUE"""),"")</f>
        <v/>
      </c>
      <c r="C8871" s="17" t="str">
        <f>IFERROR(__xludf.DUMMYFUNCTION("""COMPUTED_VALUE"""),"")</f>
        <v/>
      </c>
      <c r="D8871" s="17" t="str">
        <f>IFERROR(__xludf.DUMMYFUNCTION("""COMPUTED_VALUE"""),"")</f>
        <v/>
      </c>
      <c r="E8871" s="17" t="str">
        <f>IFERROR(__xludf.DUMMYFUNCTION("""COMPUTED_VALUE"""),"")</f>
        <v/>
      </c>
      <c r="F8871" s="17" t="str">
        <f>IFERROR(__xludf.DUMMYFUNCTION("""COMPUTED_VALUE"""),"")</f>
        <v/>
      </c>
      <c r="G8871" s="17" t="str">
        <f>IFERROR(__xludf.DUMMYFUNCTION("""COMPUTED_VALUE"""),"")</f>
        <v/>
      </c>
      <c r="H8871" s="17" t="str">
        <f>IFERROR(__xludf.DUMMYFUNCTION("""COMPUTED_VALUE"""),"")</f>
        <v/>
      </c>
      <c r="I8871" s="17" t="str">
        <f>IFERROR(__xludf.DUMMYFUNCTION("""COMPUTED_VALUE"""),"")</f>
        <v/>
      </c>
      <c r="J8871" s="17" t="str">
        <f>IFERROR(__xludf.DUMMYFUNCTION("""COMPUTED_VALUE"""),"")</f>
        <v/>
      </c>
      <c r="K8871" s="17" t="str">
        <f>IFERROR(__xludf.DUMMYFUNCTION("""COMPUTED_VALUE"""),"")</f>
        <v/>
      </c>
      <c r="L8871" s="17" t="str">
        <f>IFERROR(__xludf.DUMMYFUNCTION("""COMPUTED_VALUE"""),"")</f>
        <v/>
      </c>
      <c r="M8871" s="17" t="str">
        <f>IFERROR(__xludf.DUMMYFUNCTION("""COMPUTED_VALUE"""),"")</f>
        <v/>
      </c>
      <c r="N8871" s="17" t="str">
        <f>IFERROR(__xludf.DUMMYFUNCTION("""COMPUTED_VALUE"""),"")</f>
        <v/>
      </c>
      <c r="O8871" s="17" t="str">
        <f>IFERROR(__xludf.DUMMYFUNCTION("""COMPUTED_VALUE"""),"")</f>
        <v/>
      </c>
      <c r="P8871" s="17" t="str">
        <f>IFERROR(__xludf.DUMMYFUNCTION("""COMPUTED_VALUE"""),"")</f>
        <v/>
      </c>
      <c r="Q8871" s="17" t="str">
        <f>IFERROR(__xludf.DUMMYFUNCTION("""COMPUTED_VALUE"""),"")</f>
        <v/>
      </c>
      <c r="R8871" s="17" t="str">
        <f>IFERROR(__xludf.DUMMYFUNCTION("""COMPUTED_VALUE"""),"")</f>
        <v/>
      </c>
    </row>
    <row r="8872">
      <c r="A8872" s="15">
        <f>IFERROR(__xludf.DUMMYFUNCTION("""COMPUTED_VALUE"""),45252.0)</f>
        <v>45252</v>
      </c>
      <c r="B8872" s="16" t="str">
        <f>IFERROR(__xludf.DUMMYFUNCTION("""COMPUTED_VALUE"""),"Kevin Andrés puerta Jaramillo")</f>
        <v>Kevin Andrés puerta Jaramillo</v>
      </c>
      <c r="C8872" s="15" t="str">
        <f>IFERROR(__xludf.DUMMYFUNCTION("""COMPUTED_VALUE"""),"MEDELLÍN")</f>
        <v>MEDELLÍN</v>
      </c>
      <c r="D8872" s="15" t="str">
        <f>IFERROR(__xludf.DUMMYFUNCTION("""COMPUTED_VALUE"""),"BOGOTÁ")</f>
        <v>BOGOTÁ</v>
      </c>
      <c r="E8872" s="15" t="str">
        <f>IFERROR(__xludf.DUMMYFUNCTION("""COMPUTED_VALUE"""),"Orso")</f>
        <v>Orso</v>
      </c>
      <c r="F8872" s="17" t="str">
        <f>IFERROR(__xludf.DUMMYFUNCTION("""COMPUTED_VALUE"""),"Calle 01 # 29-354, Medellin. / Rappi Turbo Medellin - Tesoro   / Rappi Turbo Medellin - Tesoro  ")</f>
        <v>Calle 01 # 29-354, Medellin. / Rappi Turbo Medellin - Tesoro   / Rappi Turbo Medellin - Tesoro  </v>
      </c>
      <c r="G8872" s="15" t="str">
        <f>IFERROR(__xludf.DUMMYFUNCTION("""COMPUTED_VALUE"""),"Carolina Velez ")</f>
        <v>Carolina Velez </v>
      </c>
      <c r="H8872" s="16">
        <f>IFERROR(__xludf.DUMMYFUNCTION("""COMPUTED_VALUE"""),17322.0)</f>
        <v>17322</v>
      </c>
      <c r="I8872" s="18">
        <f>IFERROR(__xludf.DUMMYFUNCTION("""COMPUTED_VALUE"""),1.0)</f>
        <v>1</v>
      </c>
      <c r="J8872" s="18">
        <f>IFERROR(__xludf.DUMMYFUNCTION("""COMPUTED_VALUE"""),1.0)</f>
        <v>1</v>
      </c>
      <c r="K8872" s="18">
        <f>IFERROR(__xludf.DUMMYFUNCTION("""COMPUTED_VALUE"""),1.0)</f>
        <v>1</v>
      </c>
      <c r="L8872" s="17">
        <f>IFERROR(__xludf.DUMMYFUNCTION("""COMPUTED_VALUE"""),3.012888007E9)</f>
        <v>3012888007</v>
      </c>
      <c r="M8872" s="17"/>
      <c r="N8872" s="17"/>
      <c r="O8872" s="17"/>
      <c r="P8872" s="17" t="b">
        <f>IFERROR(__xludf.DUMMYFUNCTION("""COMPUTED_VALUE"""),FALSE)</f>
        <v>0</v>
      </c>
      <c r="Q8872" s="20" t="str">
        <f>IFERROR(__xludf.DUMMYFUNCTION("""COMPUTED_VALUE"""),"")</f>
        <v/>
      </c>
      <c r="R8872" s="21" t="str">
        <f>IFERROR(__xludf.DUMMYFUNCTION("""COMPUTED_VALUE"""),"https://drive.google.com/file/d/15ONGbhSR0gtq44zdWAEurggwiqZOsHWb/view?usp=drivesdk")</f>
        <v>https://drive.google.com/file/d/15ONGbhSR0gtq44zdWAEurggwiqZOsHWb/view?usp=drivesdk</v>
      </c>
    </row>
    <row r="8873">
      <c r="A8873" s="15">
        <f>IFERROR(__xludf.DUMMYFUNCTION("""COMPUTED_VALUE"""),45252.0)</f>
        <v>45252</v>
      </c>
      <c r="B8873" s="16" t="str">
        <f>IFERROR(__xludf.DUMMYFUNCTION("""COMPUTED_VALUE"""),"Kevin Andrés puerta Jaramillo")</f>
        <v>Kevin Andrés puerta Jaramillo</v>
      </c>
      <c r="C8873" s="15" t="str">
        <f>IFERROR(__xludf.DUMMYFUNCTION("""COMPUTED_VALUE"""),"MEDELLÍN")</f>
        <v>MEDELLÍN</v>
      </c>
      <c r="D8873" s="15" t="str">
        <f>IFERROR(__xludf.DUMMYFUNCTION("""COMPUTED_VALUE"""),"BOGOTÁ")</f>
        <v>BOGOTÁ</v>
      </c>
      <c r="E8873" s="15" t="str">
        <f>IFERROR(__xludf.DUMMYFUNCTION("""COMPUTED_VALUE"""),"Orso")</f>
        <v>Orso</v>
      </c>
      <c r="F8873" s="17" t="str">
        <f>IFERROR(__xludf.DUMMYFUNCTION("""COMPUTED_VALUE"""),"Cra. 27 #23 Sur-120, San Jorge, Envigado, Antioquia / Rappi Turbo Medellin -La Frontera   / Rappi Turbo Medellin -La Frontera  ")</f>
        <v>Cra. 27 #23 Sur-120, San Jorge, Envigado, Antioquia / Rappi Turbo Medellin -La Frontera   / Rappi Turbo Medellin -La Frontera  </v>
      </c>
      <c r="G8873" s="15" t="str">
        <f>IFERROR(__xludf.DUMMYFUNCTION("""COMPUTED_VALUE"""),"Carolina Velez")</f>
        <v>Carolina Velez</v>
      </c>
      <c r="H8873" s="16">
        <f>IFERROR(__xludf.DUMMYFUNCTION("""COMPUTED_VALUE"""),17325.0)</f>
        <v>17325</v>
      </c>
      <c r="I8873" s="18">
        <f>IFERROR(__xludf.DUMMYFUNCTION("""COMPUTED_VALUE"""),1.0)</f>
        <v>1</v>
      </c>
      <c r="J8873" s="18">
        <f>IFERROR(__xludf.DUMMYFUNCTION("""COMPUTED_VALUE"""),1.0)</f>
        <v>1</v>
      </c>
      <c r="K8873" s="18">
        <f>IFERROR(__xludf.DUMMYFUNCTION("""COMPUTED_VALUE"""),1.0)</f>
        <v>1</v>
      </c>
      <c r="L8873" s="17">
        <f>IFERROR(__xludf.DUMMYFUNCTION("""COMPUTED_VALUE"""),3.012888007E9)</f>
        <v>3012888007</v>
      </c>
      <c r="M8873" s="17"/>
      <c r="N8873" s="17"/>
      <c r="O8873" s="17"/>
      <c r="P8873" s="17" t="b">
        <f>IFERROR(__xludf.DUMMYFUNCTION("""COMPUTED_VALUE"""),FALSE)</f>
        <v>0</v>
      </c>
      <c r="Q8873" s="20" t="str">
        <f>IFERROR(__xludf.DUMMYFUNCTION("""COMPUTED_VALUE"""),"")</f>
        <v/>
      </c>
      <c r="R8873" s="21" t="str">
        <f>IFERROR(__xludf.DUMMYFUNCTION("""COMPUTED_VALUE"""),"https://drive.google.com/file/d/1AEcXNPAViFNqNSxwMpALlLU4sNHc-ek7/view?usp=drivesdk")</f>
        <v>https://drive.google.com/file/d/1AEcXNPAViFNqNSxwMpALlLU4sNHc-ek7/view?usp=drivesdk</v>
      </c>
    </row>
    <row r="8874">
      <c r="A8874" s="17" t="str">
        <f>IFERROR(__xludf.DUMMYFUNCTION("""COMPUTED_VALUE"""),"")</f>
        <v/>
      </c>
      <c r="B8874" s="17" t="str">
        <f>IFERROR(__xludf.DUMMYFUNCTION("""COMPUTED_VALUE"""),"")</f>
        <v/>
      </c>
      <c r="C8874" s="17" t="str">
        <f>IFERROR(__xludf.DUMMYFUNCTION("""COMPUTED_VALUE"""),"")</f>
        <v/>
      </c>
      <c r="D8874" s="17" t="str">
        <f>IFERROR(__xludf.DUMMYFUNCTION("""COMPUTED_VALUE"""),"")</f>
        <v/>
      </c>
      <c r="E8874" s="17" t="str">
        <f>IFERROR(__xludf.DUMMYFUNCTION("""COMPUTED_VALUE"""),"")</f>
        <v/>
      </c>
      <c r="F8874" s="17" t="str">
        <f>IFERROR(__xludf.DUMMYFUNCTION("""COMPUTED_VALUE"""),"")</f>
        <v/>
      </c>
      <c r="G8874" s="17" t="str">
        <f>IFERROR(__xludf.DUMMYFUNCTION("""COMPUTED_VALUE"""),"")</f>
        <v/>
      </c>
      <c r="H8874" s="17" t="str">
        <f>IFERROR(__xludf.DUMMYFUNCTION("""COMPUTED_VALUE"""),"")</f>
        <v/>
      </c>
      <c r="I8874" s="17" t="str">
        <f>IFERROR(__xludf.DUMMYFUNCTION("""COMPUTED_VALUE"""),"")</f>
        <v/>
      </c>
      <c r="J8874" s="17" t="str">
        <f>IFERROR(__xludf.DUMMYFUNCTION("""COMPUTED_VALUE"""),"")</f>
        <v/>
      </c>
      <c r="K8874" s="17" t="str">
        <f>IFERROR(__xludf.DUMMYFUNCTION("""COMPUTED_VALUE"""),"")</f>
        <v/>
      </c>
      <c r="L8874" s="17" t="str">
        <f>IFERROR(__xludf.DUMMYFUNCTION("""COMPUTED_VALUE"""),"")</f>
        <v/>
      </c>
      <c r="M8874" s="17" t="str">
        <f>IFERROR(__xludf.DUMMYFUNCTION("""COMPUTED_VALUE"""),"")</f>
        <v/>
      </c>
      <c r="N8874" s="17" t="str">
        <f>IFERROR(__xludf.DUMMYFUNCTION("""COMPUTED_VALUE"""),"")</f>
        <v/>
      </c>
      <c r="O8874" s="17" t="str">
        <f>IFERROR(__xludf.DUMMYFUNCTION("""COMPUTED_VALUE"""),"")</f>
        <v/>
      </c>
      <c r="P8874" s="17" t="str">
        <f>IFERROR(__xludf.DUMMYFUNCTION("""COMPUTED_VALUE"""),"")</f>
        <v/>
      </c>
      <c r="Q8874" s="17" t="str">
        <f>IFERROR(__xludf.DUMMYFUNCTION("""COMPUTED_VALUE"""),"")</f>
        <v/>
      </c>
      <c r="R8874" s="17" t="str">
        <f>IFERROR(__xludf.DUMMYFUNCTION("""COMPUTED_VALUE"""),"")</f>
        <v/>
      </c>
    </row>
    <row r="8875">
      <c r="A8875" s="15">
        <f>IFERROR(__xludf.DUMMYFUNCTION("""COMPUTED_VALUE"""),45253.0)</f>
        <v>45253</v>
      </c>
      <c r="B8875" s="16" t="str">
        <f>IFERROR(__xludf.DUMMYFUNCTION("""COMPUTED_VALUE"""),"Daniel José sandoval gonzalez")</f>
        <v>Daniel José sandoval gonzalez</v>
      </c>
      <c r="C8875" s="15" t="str">
        <f>IFERROR(__xludf.DUMMYFUNCTION("""COMPUTED_VALUE"""),"BARRANQUILLA")</f>
        <v>BARRANQUILLA</v>
      </c>
      <c r="D8875" s="15" t="str">
        <f>IFERROR(__xludf.DUMMYFUNCTION("""COMPUTED_VALUE"""),"BOGOTÁ")</f>
        <v>BOGOTÁ</v>
      </c>
      <c r="E8875" s="15" t="str">
        <f>IFERROR(__xludf.DUMMYFUNCTION("""COMPUTED_VALUE"""),"Asociacion Agropecuaria Juana Maria")</f>
        <v>Asociacion Agropecuaria Juana Maria</v>
      </c>
      <c r="F8875" s="17" t="str">
        <f>IFERROR(__xludf.DUMMYFUNCTION("""COMPUTED_VALUE"""),"Calle 34 # 44 - 63 / Edificio Seguros tequendama piso 8 oficina 8D")</f>
        <v>Calle 34 # 44 - 63 / Edificio Seguros tequendama piso 8 oficina 8D</v>
      </c>
      <c r="G8875" s="15" t="str">
        <f>IFERROR(__xludf.DUMMYFUNCTION("""COMPUTED_VALUE"""),"Yamile Rada")</f>
        <v>Yamile Rada</v>
      </c>
      <c r="H8875" s="16">
        <f>IFERROR(__xludf.DUMMYFUNCTION("""COMPUTED_VALUE"""),17425.0)</f>
        <v>17425</v>
      </c>
      <c r="I8875" s="17"/>
      <c r="J8875" s="17"/>
      <c r="K8875" s="17"/>
      <c r="L8875" s="17">
        <f>IFERROR(__xludf.DUMMYFUNCTION("""COMPUTED_VALUE"""),3.017184164E9)</f>
        <v>3017184164</v>
      </c>
      <c r="M8875" s="17"/>
      <c r="N8875" s="17"/>
      <c r="O8875" s="17"/>
      <c r="P8875" s="17" t="b">
        <f>IFERROR(__xludf.DUMMYFUNCTION("""COMPUTED_VALUE"""),TRUE)</f>
        <v>1</v>
      </c>
      <c r="Q8875" s="20">
        <f>IFERROR(__xludf.DUMMYFUNCTION("""COMPUTED_VALUE"""),45255.116057604166)</f>
        <v>45255.11606</v>
      </c>
      <c r="R8875" s="21" t="str">
        <f>IFERROR(__xludf.DUMMYFUNCTION("""COMPUTED_VALUE"""),"https://drive.google.com/file/d/1z4XTGJr7s3xXvip5DkAdGFQiklamyMrK/view?usp=drivesdk")</f>
        <v>https://drive.google.com/file/d/1z4XTGJr7s3xXvip5DkAdGFQiklamyMrK/view?usp=drivesdk</v>
      </c>
    </row>
    <row r="8876">
      <c r="A8876" s="15">
        <f>IFERROR(__xludf.DUMMYFUNCTION("""COMPUTED_VALUE"""),45253.0)</f>
        <v>45253</v>
      </c>
      <c r="B8876" s="16" t="str">
        <f>IFERROR(__xludf.DUMMYFUNCTION("""COMPUTED_VALUE"""),"Daniel José sandoval gonzalez")</f>
        <v>Daniel José sandoval gonzalez</v>
      </c>
      <c r="C8876" s="15" t="str">
        <f>IFERROR(__xludf.DUMMYFUNCTION("""COMPUTED_VALUE"""),"BARRANQUILLA")</f>
        <v>BARRANQUILLA</v>
      </c>
      <c r="D8876" s="15" t="str">
        <f>IFERROR(__xludf.DUMMYFUNCTION("""COMPUTED_VALUE"""),"BOGOTÁ")</f>
        <v>BOGOTÁ</v>
      </c>
      <c r="E8876" s="15" t="str">
        <f>IFERROR(__xludf.DUMMYFUNCTION("""COMPUTED_VALUE"""),"Eso es Queso")</f>
        <v>Eso es Queso</v>
      </c>
      <c r="F8876" s="17" t="str">
        <f>IFERROR(__xludf.DUMMYFUNCTION("""COMPUTED_VALUE"""),"Calle 135 #55-75 / Casa 210  / Barrio Villa Campestre")</f>
        <v>Calle 135 #55-75 / Casa 210  / Barrio Villa Campestre</v>
      </c>
      <c r="G8876" s="15" t="str">
        <f>IFERROR(__xludf.DUMMYFUNCTION("""COMPUTED_VALUE"""),"Dagoberto Páramo Morales ")</f>
        <v>Dagoberto Páramo Morales </v>
      </c>
      <c r="H8876" s="16">
        <f>IFERROR(__xludf.DUMMYFUNCTION("""COMPUTED_VALUE"""),17527.0)</f>
        <v>17527</v>
      </c>
      <c r="I8876" s="18">
        <f>IFERROR(__xludf.DUMMYFUNCTION("""COMPUTED_VALUE"""),8.0)</f>
        <v>8</v>
      </c>
      <c r="J8876" s="18">
        <f>IFERROR(__xludf.DUMMYFUNCTION("""COMPUTED_VALUE"""),22.0)</f>
        <v>22</v>
      </c>
      <c r="K8876" s="18">
        <f>IFERROR(__xludf.DUMMYFUNCTION("""COMPUTED_VALUE"""),22.0)</f>
        <v>22</v>
      </c>
      <c r="L8876" s="17">
        <f>IFERROR(__xludf.DUMMYFUNCTION("""COMPUTED_VALUE"""),3.145200408E9)</f>
        <v>3145200408</v>
      </c>
      <c r="M8876" s="17"/>
      <c r="N8876" s="17"/>
      <c r="O8876" s="17"/>
      <c r="P8876" s="17" t="b">
        <f>IFERROR(__xludf.DUMMYFUNCTION("""COMPUTED_VALUE"""),TRUE)</f>
        <v>1</v>
      </c>
      <c r="Q8876" s="20">
        <f>IFERROR(__xludf.DUMMYFUNCTION("""COMPUTED_VALUE"""),45255.116057604166)</f>
        <v>45255.11606</v>
      </c>
      <c r="R8876" s="21" t="str">
        <f>IFERROR(__xludf.DUMMYFUNCTION("""COMPUTED_VALUE"""),"https://drive.google.com/file/d/1dEkkFuo6nJxM_hrxafXccFVX8V-GBqwl/view?usp=drivesdk")</f>
        <v>https://drive.google.com/file/d/1dEkkFuo6nJxM_hrxafXccFVX8V-GBqwl/view?usp=drivesdk</v>
      </c>
    </row>
    <row r="8877">
      <c r="A8877" s="15">
        <f>IFERROR(__xludf.DUMMYFUNCTION("""COMPUTED_VALUE"""),45253.0)</f>
        <v>45253</v>
      </c>
      <c r="B8877" s="16" t="str">
        <f>IFERROR(__xludf.DUMMYFUNCTION("""COMPUTED_VALUE"""),"Daniel José sandoval gonzalez")</f>
        <v>Daniel José sandoval gonzalez</v>
      </c>
      <c r="C8877" s="15" t="str">
        <f>IFERROR(__xludf.DUMMYFUNCTION("""COMPUTED_VALUE"""),"BARRANQUILLA")</f>
        <v>BARRANQUILLA</v>
      </c>
      <c r="D8877" s="15" t="str">
        <f>IFERROR(__xludf.DUMMYFUNCTION("""COMPUTED_VALUE"""),"BOGOTÁ")</f>
        <v>BOGOTÁ</v>
      </c>
      <c r="E8877" s="15" t="str">
        <f>IFERROR(__xludf.DUMMYFUNCTION("""COMPUTED_VALUE"""),"Ser Fit")</f>
        <v>Ser Fit</v>
      </c>
      <c r="F8877" s="17" t="str">
        <f>IFERROR(__xludf.DUMMYFUNCTION("""COMPUTED_VALUE"""),"cr 51#82-223 / barranquilla fit hub / fit hub")</f>
        <v>cr 51#82-223 / barranquilla fit hub / fit hub</v>
      </c>
      <c r="G8877" s="15" t="str">
        <f>IFERROR(__xludf.DUMMYFUNCTION("""COMPUTED_VALUE"""),"fit hub barranquilla")</f>
        <v>fit hub barranquilla</v>
      </c>
      <c r="H8877" s="16">
        <f>IFERROR(__xludf.DUMMYFUNCTION("""COMPUTED_VALUE"""),17553.0)</f>
        <v>17553</v>
      </c>
      <c r="I8877" s="18">
        <f>IFERROR(__xludf.DUMMYFUNCTION("""COMPUTED_VALUE"""),12.0)</f>
        <v>12</v>
      </c>
      <c r="J8877" s="18">
        <f>IFERROR(__xludf.DUMMYFUNCTION("""COMPUTED_VALUE"""),17.0)</f>
        <v>17</v>
      </c>
      <c r="K8877" s="18">
        <f>IFERROR(__xludf.DUMMYFUNCTION("""COMPUTED_VALUE"""),21.0)</f>
        <v>21</v>
      </c>
      <c r="L8877" s="17">
        <f>IFERROR(__xludf.DUMMYFUNCTION("""COMPUTED_VALUE"""),3.157237432E9)</f>
        <v>3157237432</v>
      </c>
      <c r="M8877" s="17"/>
      <c r="N8877" s="17"/>
      <c r="O8877" s="17"/>
      <c r="P8877" s="17" t="b">
        <f>IFERROR(__xludf.DUMMYFUNCTION("""COMPUTED_VALUE"""),TRUE)</f>
        <v>1</v>
      </c>
      <c r="Q8877" s="20">
        <f>IFERROR(__xludf.DUMMYFUNCTION("""COMPUTED_VALUE"""),45255.116057604166)</f>
        <v>45255.11606</v>
      </c>
      <c r="R8877" s="21" t="str">
        <f>IFERROR(__xludf.DUMMYFUNCTION("""COMPUTED_VALUE"""),"https://drive.google.com/file/d/1meM-rP7W6iYl2Ub8SSCuZBT91r-VMOoN/view?usp=drivesdk")</f>
        <v>https://drive.google.com/file/d/1meM-rP7W6iYl2Ub8SSCuZBT91r-VMOoN/view?usp=drivesdk</v>
      </c>
    </row>
    <row r="8878">
      <c r="A8878" s="17" t="str">
        <f>IFERROR(__xludf.DUMMYFUNCTION("""COMPUTED_VALUE"""),"")</f>
        <v/>
      </c>
      <c r="B8878" s="17" t="str">
        <f>IFERROR(__xludf.DUMMYFUNCTION("""COMPUTED_VALUE"""),"")</f>
        <v/>
      </c>
      <c r="C8878" s="17" t="str">
        <f>IFERROR(__xludf.DUMMYFUNCTION("""COMPUTED_VALUE"""),"")</f>
        <v/>
      </c>
      <c r="D8878" s="17" t="str">
        <f>IFERROR(__xludf.DUMMYFUNCTION("""COMPUTED_VALUE"""),"")</f>
        <v/>
      </c>
      <c r="E8878" s="17" t="str">
        <f>IFERROR(__xludf.DUMMYFUNCTION("""COMPUTED_VALUE"""),"")</f>
        <v/>
      </c>
      <c r="F8878" s="17" t="str">
        <f>IFERROR(__xludf.DUMMYFUNCTION("""COMPUTED_VALUE"""),"")</f>
        <v/>
      </c>
      <c r="G8878" s="17" t="str">
        <f>IFERROR(__xludf.DUMMYFUNCTION("""COMPUTED_VALUE"""),"")</f>
        <v/>
      </c>
      <c r="H8878" s="17" t="str">
        <f>IFERROR(__xludf.DUMMYFUNCTION("""COMPUTED_VALUE"""),"")</f>
        <v/>
      </c>
      <c r="I8878" s="17" t="str">
        <f>IFERROR(__xludf.DUMMYFUNCTION("""COMPUTED_VALUE"""),"")</f>
        <v/>
      </c>
      <c r="J8878" s="17" t="str">
        <f>IFERROR(__xludf.DUMMYFUNCTION("""COMPUTED_VALUE"""),"")</f>
        <v/>
      </c>
      <c r="K8878" s="17" t="str">
        <f>IFERROR(__xludf.DUMMYFUNCTION("""COMPUTED_VALUE"""),"")</f>
        <v/>
      </c>
      <c r="L8878" s="17" t="str">
        <f>IFERROR(__xludf.DUMMYFUNCTION("""COMPUTED_VALUE"""),"")</f>
        <v/>
      </c>
      <c r="M8878" s="17" t="str">
        <f>IFERROR(__xludf.DUMMYFUNCTION("""COMPUTED_VALUE"""),"")</f>
        <v/>
      </c>
      <c r="N8878" s="17" t="str">
        <f>IFERROR(__xludf.DUMMYFUNCTION("""COMPUTED_VALUE"""),"")</f>
        <v/>
      </c>
      <c r="O8878" s="17" t="str">
        <f>IFERROR(__xludf.DUMMYFUNCTION("""COMPUTED_VALUE"""),"")</f>
        <v/>
      </c>
      <c r="P8878" s="17" t="str">
        <f>IFERROR(__xludf.DUMMYFUNCTION("""COMPUTED_VALUE"""),"")</f>
        <v/>
      </c>
      <c r="Q8878" s="17" t="str">
        <f>IFERROR(__xludf.DUMMYFUNCTION("""COMPUTED_VALUE"""),"")</f>
        <v/>
      </c>
      <c r="R8878" s="17" t="str">
        <f>IFERROR(__xludf.DUMMYFUNCTION("""COMPUTED_VALUE"""),"")</f>
        <v/>
      </c>
    </row>
    <row r="8879">
      <c r="A8879" s="15">
        <f>IFERROR(__xludf.DUMMYFUNCTION("""COMPUTED_VALUE"""),45253.0)</f>
        <v>45253</v>
      </c>
      <c r="B8879" s="16" t="str">
        <f>IFERROR(__xludf.DUMMYFUNCTION("""COMPUTED_VALUE"""),"David Sanmartin Bello")</f>
        <v>David Sanmartin Bello</v>
      </c>
      <c r="C8879" s="15" t="str">
        <f>IFERROR(__xludf.DUMMYFUNCTION("""COMPUTED_VALUE"""),"BARRANQUILLA")</f>
        <v>BARRANQUILLA</v>
      </c>
      <c r="D8879" s="15" t="str">
        <f>IFERROR(__xludf.DUMMYFUNCTION("""COMPUTED_VALUE"""),"BOGOTÁ")</f>
        <v>BOGOTÁ</v>
      </c>
      <c r="E8879" s="15" t="str">
        <f>IFERROR(__xludf.DUMMYFUNCTION("""COMPUTED_VALUE"""),"Top Spun")</f>
        <v>Top Spun</v>
      </c>
      <c r="F8879" s="17" t="str">
        <f>IFERROR(__xludf.DUMMYFUNCTION("""COMPUTED_VALUE"""),"Cra 72 # 91A - 100 / Palmeras del parque / apto 420")</f>
        <v>Cra 72 # 91A - 100 / Palmeras del parque / apto 420</v>
      </c>
      <c r="G8879" s="15" t="str">
        <f>IFERROR(__xludf.DUMMYFUNCTION("""COMPUTED_VALUE"""),"Angelica Quintero Mojica")</f>
        <v>Angelica Quintero Mojica</v>
      </c>
      <c r="H8879" s="16">
        <f>IFERROR(__xludf.DUMMYFUNCTION("""COMPUTED_VALUE"""),17509.0)</f>
        <v>17509</v>
      </c>
      <c r="I8879" s="18">
        <f>IFERROR(__xludf.DUMMYFUNCTION("""COMPUTED_VALUE"""),20.0)</f>
        <v>20</v>
      </c>
      <c r="J8879" s="18">
        <f>IFERROR(__xludf.DUMMYFUNCTION("""COMPUTED_VALUE"""),10.0)</f>
        <v>10</v>
      </c>
      <c r="K8879" s="18">
        <f>IFERROR(__xludf.DUMMYFUNCTION("""COMPUTED_VALUE"""),40.0)</f>
        <v>40</v>
      </c>
      <c r="L8879" s="17">
        <f>IFERROR(__xludf.DUMMYFUNCTION("""COMPUTED_VALUE"""),3.004395589E9)</f>
        <v>3004395589</v>
      </c>
      <c r="M8879" s="17"/>
      <c r="N8879" s="17"/>
      <c r="O8879" s="17"/>
      <c r="P8879" s="17" t="b">
        <f>IFERROR(__xludf.DUMMYFUNCTION("""COMPUTED_VALUE"""),TRUE)</f>
        <v>1</v>
      </c>
      <c r="Q8879" s="20">
        <f>IFERROR(__xludf.DUMMYFUNCTION("""COMPUTED_VALUE"""),45255.116057604166)</f>
        <v>45255.11606</v>
      </c>
      <c r="R8879" s="21" t="str">
        <f>IFERROR(__xludf.DUMMYFUNCTION("""COMPUTED_VALUE"""),"https://drive.google.com/file/d/1lgmAz8-myKAuBz2US96bt_LvMp0-UOOu/view?usp=drivesdk")</f>
        <v>https://drive.google.com/file/d/1lgmAz8-myKAuBz2US96bt_LvMp0-UOOu/view?usp=drivesdk</v>
      </c>
    </row>
    <row r="8880">
      <c r="A8880" s="15">
        <f>IFERROR(__xludf.DUMMYFUNCTION("""COMPUTED_VALUE"""),45253.0)</f>
        <v>45253</v>
      </c>
      <c r="B8880" s="16" t="str">
        <f>IFERROR(__xludf.DUMMYFUNCTION("""COMPUTED_VALUE"""),"David Sanmartin Bello")</f>
        <v>David Sanmartin Bello</v>
      </c>
      <c r="C8880" s="15" t="str">
        <f>IFERROR(__xludf.DUMMYFUNCTION("""COMPUTED_VALUE"""),"BARRANQUILLA")</f>
        <v>BARRANQUILLA</v>
      </c>
      <c r="D8880" s="15" t="str">
        <f>IFERROR(__xludf.DUMMYFUNCTION("""COMPUTED_VALUE"""),"BOGOTÁ")</f>
        <v>BOGOTÁ</v>
      </c>
      <c r="E8880" s="15" t="str">
        <f>IFERROR(__xludf.DUMMYFUNCTION("""COMPUTED_VALUE"""),"Yoridi")</f>
        <v>Yoridi</v>
      </c>
      <c r="F8880" s="17" t="str">
        <f>IFERROR(__xludf.DUMMYFUNCTION("""COMPUTED_VALUE"""),"Via 40 # 85 parque logika, bodega dulcerna / Bodega Lucerna")</f>
        <v>Via 40 # 85 parque logika, bodega dulcerna / Bodega Lucerna</v>
      </c>
      <c r="G8880" s="15" t="str">
        <f>IFERROR(__xludf.DUMMYFUNCTION("""COMPUTED_VALUE"""),"Keinnys Gutiérrez")</f>
        <v>Keinnys Gutiérrez</v>
      </c>
      <c r="H8880" s="16">
        <f>IFERROR(__xludf.DUMMYFUNCTION("""COMPUTED_VALUE"""),17563.0)</f>
        <v>17563</v>
      </c>
      <c r="I8880" s="17"/>
      <c r="J8880" s="17"/>
      <c r="K8880" s="17"/>
      <c r="L8880" s="17"/>
      <c r="M8880" s="17"/>
      <c r="N8880" s="17"/>
      <c r="O8880" s="17"/>
      <c r="P8880" s="17" t="b">
        <f>IFERROR(__xludf.DUMMYFUNCTION("""COMPUTED_VALUE"""),TRUE)</f>
        <v>1</v>
      </c>
      <c r="Q8880" s="20">
        <f>IFERROR(__xludf.DUMMYFUNCTION("""COMPUTED_VALUE"""),45255.116057604166)</f>
        <v>45255.11606</v>
      </c>
      <c r="R8880" s="21" t="str">
        <f>IFERROR(__xludf.DUMMYFUNCTION("""COMPUTED_VALUE"""),"https://drive.google.com/file/d/1nsjrMwpHwos-BfzlOUmuUWunzb_6kwTO/view?usp=drivesdk")</f>
        <v>https://drive.google.com/file/d/1nsjrMwpHwos-BfzlOUmuUWunzb_6kwTO/view?usp=drivesdk</v>
      </c>
    </row>
    <row r="8881">
      <c r="A8881" s="15">
        <f>IFERROR(__xludf.DUMMYFUNCTION("""COMPUTED_VALUE"""),45253.0)</f>
        <v>45253</v>
      </c>
      <c r="B8881" s="16" t="str">
        <f>IFERROR(__xludf.DUMMYFUNCTION("""COMPUTED_VALUE"""),"David Sanmartin Bello")</f>
        <v>David Sanmartin Bello</v>
      </c>
      <c r="C8881" s="15" t="str">
        <f>IFERROR(__xludf.DUMMYFUNCTION("""COMPUTED_VALUE"""),"CARTAGENA")</f>
        <v>CARTAGENA</v>
      </c>
      <c r="D8881" s="15" t="str">
        <f>IFERROR(__xludf.DUMMYFUNCTION("""COMPUTED_VALUE"""),"BOGOTÁ")</f>
        <v>BOGOTÁ</v>
      </c>
      <c r="E8881" s="15" t="str">
        <f>IFERROR(__xludf.DUMMYFUNCTION("""COMPUTED_VALUE"""),"goodboycookiez")</f>
        <v>goodboycookiez</v>
      </c>
      <c r="F8881" s="17" t="str">
        <f>IFERROR(__xludf.DUMMYFUNCTION("""COMPUTED_VALUE"""),"CARRERA 10#30-14 / 8AM-5PM")</f>
        <v>CARRERA 10#30-14 / 8AM-5PM</v>
      </c>
      <c r="G8881" s="15" t="str">
        <f>IFERROR(__xludf.DUMMYFUNCTION("""COMPUTED_VALUE"""),"LIBERTARIO COFFEE ROASTERS")</f>
        <v>LIBERTARIO COFFEE ROASTERS</v>
      </c>
      <c r="H8881" s="16">
        <f>IFERROR(__xludf.DUMMYFUNCTION("""COMPUTED_VALUE"""),17480.0)</f>
        <v>17480</v>
      </c>
      <c r="I8881" s="17"/>
      <c r="J8881" s="17"/>
      <c r="K8881" s="17"/>
      <c r="L8881" s="17">
        <f>IFERROR(__xludf.DUMMYFUNCTION("""COMPUTED_VALUE"""),3.225112476E9)</f>
        <v>3225112476</v>
      </c>
      <c r="M8881" s="17"/>
      <c r="N8881" s="17"/>
      <c r="O8881" s="17"/>
      <c r="P8881" s="17" t="b">
        <f>IFERROR(__xludf.DUMMYFUNCTION("""COMPUTED_VALUE"""),TRUE)</f>
        <v>1</v>
      </c>
      <c r="Q8881" s="20">
        <f>IFERROR(__xludf.DUMMYFUNCTION("""COMPUTED_VALUE"""),45255.116057604166)</f>
        <v>45255.11606</v>
      </c>
      <c r="R8881" s="21" t="str">
        <f>IFERROR(__xludf.DUMMYFUNCTION("""COMPUTED_VALUE"""),"https://drive.google.com/file/d/1PWDig8xoBgEPgcSPwPBbUmkkQ5aIiw4J/view?usp=drivesdk")</f>
        <v>https://drive.google.com/file/d/1PWDig8xoBgEPgcSPwPBbUmkkQ5aIiw4J/view?usp=drivesdk</v>
      </c>
    </row>
    <row r="8882">
      <c r="A8882" s="15">
        <f>IFERROR(__xludf.DUMMYFUNCTION("""COMPUTED_VALUE"""),45253.0)</f>
        <v>45253</v>
      </c>
      <c r="B8882" s="16" t="str">
        <f>IFERROR(__xludf.DUMMYFUNCTION("""COMPUTED_VALUE"""),"David Sanmartin Bello")</f>
        <v>David Sanmartin Bello</v>
      </c>
      <c r="C8882" s="15" t="str">
        <f>IFERROR(__xludf.DUMMYFUNCTION("""COMPUTED_VALUE"""),"CARTAGENA")</f>
        <v>CARTAGENA</v>
      </c>
      <c r="D8882" s="15" t="str">
        <f>IFERROR(__xludf.DUMMYFUNCTION("""COMPUTED_VALUE"""),"BOGOTÁ")</f>
        <v>BOGOTÁ</v>
      </c>
      <c r="E8882" s="15" t="str">
        <f>IFERROR(__xludf.DUMMYFUNCTION("""COMPUTED_VALUE"""),"LINA PAOLA RAMIREZ GOMEZ - EVA MAZZITA")</f>
        <v>LINA PAOLA RAMIREZ GOMEZ - EVA MAZZITA</v>
      </c>
      <c r="F8882" s="17" t="str">
        <f>IFERROR(__xludf.DUMMYFUNCTION("""COMPUTED_VALUE"""),"CALLE 20 #18-70 / barrio cielo mar EDIFICIO GEMINIS APTO 809 CIELO MAR")</f>
        <v>CALLE 20 #18-70 / barrio cielo mar EDIFICIO GEMINIS APTO 809 CIELO MAR</v>
      </c>
      <c r="G8882" s="15" t="str">
        <f>IFERROR(__xludf.DUMMYFUNCTION("""COMPUTED_VALUE"""),"MIVERLIS MANGA VELILLA")</f>
        <v>MIVERLIS MANGA VELILLA</v>
      </c>
      <c r="H8882" s="16">
        <f>IFERROR(__xludf.DUMMYFUNCTION("""COMPUTED_VALUE"""),17532.0)</f>
        <v>17532</v>
      </c>
      <c r="I8882" s="17"/>
      <c r="J8882" s="17"/>
      <c r="K8882" s="17"/>
      <c r="L8882" s="17">
        <f>IFERROR(__xludf.DUMMYFUNCTION("""COMPUTED_VALUE"""),3.168883322E9)</f>
        <v>3168883322</v>
      </c>
      <c r="M8882" s="17"/>
      <c r="N8882" s="17"/>
      <c r="O8882" s="17"/>
      <c r="P8882" s="17" t="b">
        <f>IFERROR(__xludf.DUMMYFUNCTION("""COMPUTED_VALUE"""),TRUE)</f>
        <v>1</v>
      </c>
      <c r="Q8882" s="20">
        <f>IFERROR(__xludf.DUMMYFUNCTION("""COMPUTED_VALUE"""),45255.11605761574)</f>
        <v>45255.11606</v>
      </c>
      <c r="R8882" s="21" t="str">
        <f>IFERROR(__xludf.DUMMYFUNCTION("""COMPUTED_VALUE"""),"https://drive.google.com/file/d/1egkl4Sk3C_DBagNIppV8Q1KU1OR7mvzZ/view?usp=drivesdk")</f>
        <v>https://drive.google.com/file/d/1egkl4Sk3C_DBagNIppV8Q1KU1OR7mvzZ/view?usp=drivesdk</v>
      </c>
    </row>
    <row r="8883">
      <c r="A8883" s="15">
        <f>IFERROR(__xludf.DUMMYFUNCTION("""COMPUTED_VALUE"""),45253.0)</f>
        <v>45253</v>
      </c>
      <c r="B8883" s="16" t="str">
        <f>IFERROR(__xludf.DUMMYFUNCTION("""COMPUTED_VALUE"""),"David Sanmartin Bello")</f>
        <v>David Sanmartin Bello</v>
      </c>
      <c r="C8883" s="15" t="str">
        <f>IFERROR(__xludf.DUMMYFUNCTION("""COMPUTED_VALUE"""),"CARTAGENA")</f>
        <v>CARTAGENA</v>
      </c>
      <c r="D8883" s="15" t="str">
        <f>IFERROR(__xludf.DUMMYFUNCTION("""COMPUTED_VALUE"""),"BOGOTÁ")</f>
        <v>BOGOTÁ</v>
      </c>
      <c r="E8883" s="15" t="str">
        <f>IFERROR(__xludf.DUMMYFUNCTION("""COMPUTED_VALUE"""),"LINA PAOLA RAMIREZ GOMEZ - EVA MAZZITA")</f>
        <v>LINA PAOLA RAMIREZ GOMEZ - EVA MAZZITA</v>
      </c>
      <c r="F8883" s="17" t="str">
        <f>IFERROR(__xludf.DUMMYFUNCTION("""COMPUTED_VALUE"""),"Urbanización Villa del Sol Mz E Lote 4 / segundo piso, ternera")</f>
        <v>Urbanización Villa del Sol Mz E Lote 4 / segundo piso, ternera</v>
      </c>
      <c r="G8883" s="15" t="str">
        <f>IFERROR(__xludf.DUMMYFUNCTION("""COMPUTED_VALUE"""),"VANESSA ELENA CARABALLO GUZMAN")</f>
        <v>VANESSA ELENA CARABALLO GUZMAN</v>
      </c>
      <c r="H8883" s="16">
        <f>IFERROR(__xludf.DUMMYFUNCTION("""COMPUTED_VALUE"""),17531.0)</f>
        <v>17531</v>
      </c>
      <c r="I8883" s="17"/>
      <c r="J8883" s="17"/>
      <c r="K8883" s="17"/>
      <c r="L8883" s="17">
        <f>IFERROR(__xludf.DUMMYFUNCTION("""COMPUTED_VALUE"""),3.163391533E9)</f>
        <v>3163391533</v>
      </c>
      <c r="M8883" s="17"/>
      <c r="N8883" s="17"/>
      <c r="O8883" s="17"/>
      <c r="P8883" s="17" t="b">
        <f>IFERROR(__xludf.DUMMYFUNCTION("""COMPUTED_VALUE"""),FALSE)</f>
        <v>0</v>
      </c>
      <c r="Q8883" s="20" t="str">
        <f>IFERROR(__xludf.DUMMYFUNCTION("""COMPUTED_VALUE"""),"")</f>
        <v/>
      </c>
      <c r="R8883" s="21" t="str">
        <f>IFERROR(__xludf.DUMMYFUNCTION("""COMPUTED_VALUE"""),"https://drive.google.com/file/d/1B7bk5iZ3JJZgHo-a9m2K2ABgL7FYvaQf/view?usp=drivesdk")</f>
        <v>https://drive.google.com/file/d/1B7bk5iZ3JJZgHo-a9m2K2ABgL7FYvaQf/view?usp=drivesdk</v>
      </c>
    </row>
    <row r="8884">
      <c r="A8884" s="15">
        <f>IFERROR(__xludf.DUMMYFUNCTION("""COMPUTED_VALUE"""),45253.0)</f>
        <v>45253</v>
      </c>
      <c r="B8884" s="16" t="str">
        <f>IFERROR(__xludf.DUMMYFUNCTION("""COMPUTED_VALUE"""),"David Sanmartin Bello")</f>
        <v>David Sanmartin Bello</v>
      </c>
      <c r="C8884" s="15" t="str">
        <f>IFERROR(__xludf.DUMMYFUNCTION("""COMPUTED_VALUE"""),"CARTAGENA")</f>
        <v>CARTAGENA</v>
      </c>
      <c r="D8884" s="15" t="str">
        <f>IFERROR(__xludf.DUMMYFUNCTION("""COMPUTED_VALUE"""),"BOGOTÁ")</f>
        <v>BOGOTÁ</v>
      </c>
      <c r="E8884" s="15" t="str">
        <f>IFERROR(__xludf.DUMMYFUNCTION("""COMPUTED_VALUE"""),"MAI ALIMENTOS REALES")</f>
        <v>MAI ALIMENTOS REALES</v>
      </c>
      <c r="F8884" s="17" t="str">
        <f>IFERROR(__xludf.DUMMYFUNCTION("""COMPUTED_VALUE"""),"Carrera 3 A # 31 - 23 / Plaza Santa teresa / Restaurante Harry Sasson")</f>
        <v>Carrera 3 A # 31 - 23 / Plaza Santa teresa / Restaurante Harry Sasson</v>
      </c>
      <c r="G8884" s="15" t="str">
        <f>IFERROR(__xludf.DUMMYFUNCTION("""COMPUTED_VALUE"""),"Hoteles Charleston SAS")</f>
        <v>Hoteles Charleston SAS</v>
      </c>
      <c r="H8884" s="16">
        <f>IFERROR(__xludf.DUMMYFUNCTION("""COMPUTED_VALUE"""),17546.0)</f>
        <v>17546</v>
      </c>
      <c r="I8884" s="17"/>
      <c r="J8884" s="17"/>
      <c r="K8884" s="17"/>
      <c r="L8884" s="17">
        <f>IFERROR(__xludf.DUMMYFUNCTION("""COMPUTED_VALUE"""),3.174374246E9)</f>
        <v>3174374246</v>
      </c>
      <c r="M8884" s="17"/>
      <c r="N8884" s="17"/>
      <c r="O8884" s="17"/>
      <c r="P8884" s="17" t="b">
        <f>IFERROR(__xludf.DUMMYFUNCTION("""COMPUTED_VALUE"""),TRUE)</f>
        <v>1</v>
      </c>
      <c r="Q8884" s="20">
        <f>IFERROR(__xludf.DUMMYFUNCTION("""COMPUTED_VALUE"""),45255.11605761574)</f>
        <v>45255.11606</v>
      </c>
      <c r="R8884" s="21" t="str">
        <f>IFERROR(__xludf.DUMMYFUNCTION("""COMPUTED_VALUE"""),"https://drive.google.com/file/d/1lRD6Qc7DLX5VDBsEcqLwTsvJk45iAuL9/view?usp=drivesdk")</f>
        <v>https://drive.google.com/file/d/1lRD6Qc7DLX5VDBsEcqLwTsvJk45iAuL9/view?usp=drivesdk</v>
      </c>
    </row>
    <row r="8885">
      <c r="A8885" s="17" t="str">
        <f>IFERROR(__xludf.DUMMYFUNCTION("""COMPUTED_VALUE"""),"")</f>
        <v/>
      </c>
      <c r="B8885" s="17" t="str">
        <f>IFERROR(__xludf.DUMMYFUNCTION("""COMPUTED_VALUE"""),"")</f>
        <v/>
      </c>
      <c r="C8885" s="17" t="str">
        <f>IFERROR(__xludf.DUMMYFUNCTION("""COMPUTED_VALUE"""),"")</f>
        <v/>
      </c>
      <c r="D8885" s="17" t="str">
        <f>IFERROR(__xludf.DUMMYFUNCTION("""COMPUTED_VALUE"""),"")</f>
        <v/>
      </c>
      <c r="E8885" s="17" t="str">
        <f>IFERROR(__xludf.DUMMYFUNCTION("""COMPUTED_VALUE"""),"")</f>
        <v/>
      </c>
      <c r="F8885" s="17" t="str">
        <f>IFERROR(__xludf.DUMMYFUNCTION("""COMPUTED_VALUE"""),"")</f>
        <v/>
      </c>
      <c r="G8885" s="17" t="str">
        <f>IFERROR(__xludf.DUMMYFUNCTION("""COMPUTED_VALUE"""),"")</f>
        <v/>
      </c>
      <c r="H8885" s="17" t="str">
        <f>IFERROR(__xludf.DUMMYFUNCTION("""COMPUTED_VALUE"""),"")</f>
        <v/>
      </c>
      <c r="I8885" s="17" t="str">
        <f>IFERROR(__xludf.DUMMYFUNCTION("""COMPUTED_VALUE"""),"")</f>
        <v/>
      </c>
      <c r="J8885" s="17" t="str">
        <f>IFERROR(__xludf.DUMMYFUNCTION("""COMPUTED_VALUE"""),"")</f>
        <v/>
      </c>
      <c r="K8885" s="17" t="str">
        <f>IFERROR(__xludf.DUMMYFUNCTION("""COMPUTED_VALUE"""),"")</f>
        <v/>
      </c>
      <c r="L8885" s="17" t="str">
        <f>IFERROR(__xludf.DUMMYFUNCTION("""COMPUTED_VALUE"""),"")</f>
        <v/>
      </c>
      <c r="M8885" s="17" t="str">
        <f>IFERROR(__xludf.DUMMYFUNCTION("""COMPUTED_VALUE"""),"")</f>
        <v/>
      </c>
      <c r="N8885" s="17" t="str">
        <f>IFERROR(__xludf.DUMMYFUNCTION("""COMPUTED_VALUE"""),"")</f>
        <v/>
      </c>
      <c r="O8885" s="17" t="str">
        <f>IFERROR(__xludf.DUMMYFUNCTION("""COMPUTED_VALUE"""),"")</f>
        <v/>
      </c>
      <c r="P8885" s="17" t="str">
        <f>IFERROR(__xludf.DUMMYFUNCTION("""COMPUTED_VALUE"""),"")</f>
        <v/>
      </c>
      <c r="Q8885" s="17" t="str">
        <f>IFERROR(__xludf.DUMMYFUNCTION("""COMPUTED_VALUE"""),"")</f>
        <v/>
      </c>
      <c r="R8885" s="17" t="str">
        <f>IFERROR(__xludf.DUMMYFUNCTION("""COMPUTED_VALUE"""),"")</f>
        <v/>
      </c>
    </row>
    <row r="8886">
      <c r="A8886" s="15">
        <f>IFERROR(__xludf.DUMMYFUNCTION("""COMPUTED_VALUE"""),45253.0)</f>
        <v>45253</v>
      </c>
      <c r="B8886" s="16" t="str">
        <f>IFERROR(__xludf.DUMMYFUNCTION("""COMPUTED_VALUE"""),"Envia")</f>
        <v>Envia</v>
      </c>
      <c r="C8886" s="15" t="str">
        <f>IFERROR(__xludf.DUMMYFUNCTION("""COMPUTED_VALUE"""),"BARRANQUILLA")</f>
        <v>BARRANQUILLA</v>
      </c>
      <c r="D8886" s="15" t="str">
        <f>IFERROR(__xludf.DUMMYFUNCTION("""COMPUTED_VALUE"""),"BOGOTÁ")</f>
        <v>BOGOTÁ</v>
      </c>
      <c r="E8886" s="15" t="str">
        <f>IFERROR(__xludf.DUMMYFUNCTION("""COMPUTED_VALUE"""),"Asociacion Agropecuaria Juana Maria")</f>
        <v>Asociacion Agropecuaria Juana Maria</v>
      </c>
      <c r="F8886" s="17" t="str">
        <f>IFERROR(__xludf.DUMMYFUNCTION("""COMPUTED_VALUE"""),"Calle 1a #24-86 apto 1205. / BARRANQUILLA")</f>
        <v>Calle 1a #24-86 apto 1205. / BARRANQUILLA</v>
      </c>
      <c r="G8886" s="15" t="str">
        <f>IFERROR(__xludf.DUMMYFUNCTION("""COMPUTED_VALUE"""),"JUAN CAMILO RODRIGUEZ")</f>
        <v>JUAN CAMILO RODRIGUEZ</v>
      </c>
      <c r="H8886" s="16">
        <f>IFERROR(__xludf.DUMMYFUNCTION("""COMPUTED_VALUE"""),17426.0)</f>
        <v>17426</v>
      </c>
      <c r="I8886" s="17"/>
      <c r="J8886" s="17"/>
      <c r="K8886" s="17"/>
      <c r="L8886" s="17">
        <f>IFERROR(__xludf.DUMMYFUNCTION("""COMPUTED_VALUE"""),3.209074493E9)</f>
        <v>3209074493</v>
      </c>
      <c r="M8886" s="17"/>
      <c r="N8886" s="17"/>
      <c r="O8886" s="17"/>
      <c r="P8886" s="17" t="b">
        <f>IFERROR(__xludf.DUMMYFUNCTION("""COMPUTED_VALUE"""),FALSE)</f>
        <v>0</v>
      </c>
      <c r="Q8886" s="20" t="str">
        <f>IFERROR(__xludf.DUMMYFUNCTION("""COMPUTED_VALUE"""),"")</f>
        <v/>
      </c>
      <c r="R8886" s="21" t="str">
        <f>IFERROR(__xludf.DUMMYFUNCTION("""COMPUTED_VALUE"""),"https://drive.google.com/file/d/1Tea2g-nGkshze6A57oxduKx8XGa5gsO1/view?usp=drivesdk")</f>
        <v>https://drive.google.com/file/d/1Tea2g-nGkshze6A57oxduKx8XGa5gsO1/view?usp=drivesdk</v>
      </c>
    </row>
    <row r="8887">
      <c r="A8887" s="15">
        <f>IFERROR(__xludf.DUMMYFUNCTION("""COMPUTED_VALUE"""),45253.0)</f>
        <v>45253</v>
      </c>
      <c r="B8887" s="16" t="str">
        <f>IFERROR(__xludf.DUMMYFUNCTION("""COMPUTED_VALUE"""),"Envia")</f>
        <v>Envia</v>
      </c>
      <c r="C8887" s="15" t="str">
        <f>IFERROR(__xludf.DUMMYFUNCTION("""COMPUTED_VALUE"""),"FLORIDABLANCA")</f>
        <v>FLORIDABLANCA</v>
      </c>
      <c r="D8887" s="15" t="str">
        <f>IFERROR(__xludf.DUMMYFUNCTION("""COMPUTED_VALUE"""),"BOGOTÁ")</f>
        <v>BOGOTÁ</v>
      </c>
      <c r="E8887" s="15" t="str">
        <f>IFERROR(__xludf.DUMMYFUNCTION("""COMPUTED_VALUE"""),"Top Spun")</f>
        <v>Top Spun</v>
      </c>
      <c r="F8887" s="17" t="str">
        <f>IFERROR(__xludf.DUMMYFUNCTION("""COMPUTED_VALUE"""),"Calle 21#71-31 / Cañaveral campestre  / etapa I casa 3")</f>
        <v>Calle 21#71-31 / Cañaveral campestre  / etapa I casa 3</v>
      </c>
      <c r="G8887" s="15" t="str">
        <f>IFERROR(__xludf.DUMMYFUNCTION("""COMPUTED_VALUE"""),"Gloria Gonzalez")</f>
        <v>Gloria Gonzalez</v>
      </c>
      <c r="H8887" s="16">
        <f>IFERROR(__xludf.DUMMYFUNCTION("""COMPUTED_VALUE"""),17548.0)</f>
        <v>17548</v>
      </c>
      <c r="I8887" s="18">
        <f>IFERROR(__xludf.DUMMYFUNCTION("""COMPUTED_VALUE"""),20.0)</f>
        <v>20</v>
      </c>
      <c r="J8887" s="18">
        <f>IFERROR(__xludf.DUMMYFUNCTION("""COMPUTED_VALUE"""),10.0)</f>
        <v>10</v>
      </c>
      <c r="K8887" s="18">
        <f>IFERROR(__xludf.DUMMYFUNCTION("""COMPUTED_VALUE"""),40.0)</f>
        <v>40</v>
      </c>
      <c r="L8887" s="17">
        <f>IFERROR(__xludf.DUMMYFUNCTION("""COMPUTED_VALUE"""),3.15278785E9)</f>
        <v>3152787850</v>
      </c>
      <c r="M8887" s="17"/>
      <c r="N8887" s="17"/>
      <c r="O8887" s="17"/>
      <c r="P8887" s="17" t="b">
        <f>IFERROR(__xludf.DUMMYFUNCTION("""COMPUTED_VALUE"""),FALSE)</f>
        <v>0</v>
      </c>
      <c r="Q8887" s="20" t="str">
        <f>IFERROR(__xludf.DUMMYFUNCTION("""COMPUTED_VALUE"""),"")</f>
        <v/>
      </c>
      <c r="R8887" s="22" t="str">
        <f>IFERROR(__xludf.DUMMYFUNCTION("""COMPUTED_VALUE"""),"")</f>
        <v/>
      </c>
    </row>
    <row r="8888">
      <c r="A8888" s="15">
        <f>IFERROR(__xludf.DUMMYFUNCTION("""COMPUTED_VALUE"""),45253.0)</f>
        <v>45253</v>
      </c>
      <c r="B8888" s="16" t="str">
        <f>IFERROR(__xludf.DUMMYFUNCTION("""COMPUTED_VALUE"""),"Envia")</f>
        <v>Envia</v>
      </c>
      <c r="C8888" s="15" t="str">
        <f>IFERROR(__xludf.DUMMYFUNCTION("""COMPUTED_VALUE"""),"NEIVA")</f>
        <v>NEIVA</v>
      </c>
      <c r="D8888" s="15" t="str">
        <f>IFERROR(__xludf.DUMMYFUNCTION("""COMPUTED_VALUE"""),"BOGOTÁ")</f>
        <v>BOGOTÁ</v>
      </c>
      <c r="E8888" s="15" t="str">
        <f>IFERROR(__xludf.DUMMYFUNCTION("""COMPUTED_VALUE"""),"KÜKIDOW")</f>
        <v>KÜKIDOW</v>
      </c>
      <c r="F8888" s="17" t="str">
        <f>IFERROR(__xludf.DUMMYFUNCTION("""COMPUTED_VALUE"""),"CALLE 56 # 17C-05 / VILLA CAROLINA CASA ESQUINERA")</f>
        <v>CALLE 56 # 17C-05 / VILLA CAROLINA CASA ESQUINERA</v>
      </c>
      <c r="G8888" s="15" t="str">
        <f>IFERROR(__xludf.DUMMYFUNCTION("""COMPUTED_VALUE"""),"NEIVA SAMUEL ANDRADE")</f>
        <v>NEIVA SAMUEL ANDRADE</v>
      </c>
      <c r="H8888" s="16">
        <f>IFERROR(__xludf.DUMMYFUNCTION("""COMPUTED_VALUE"""),17476.0)</f>
        <v>17476</v>
      </c>
      <c r="I8888" s="17"/>
      <c r="J8888" s="17"/>
      <c r="K8888" s="17"/>
      <c r="L8888" s="17">
        <f>IFERROR(__xludf.DUMMYFUNCTION("""COMPUTED_VALUE"""),3.205978308E9)</f>
        <v>3205978308</v>
      </c>
      <c r="M8888" s="17"/>
      <c r="N8888" s="17"/>
      <c r="O8888" s="17"/>
      <c r="P8888" s="17" t="b">
        <f>IFERROR(__xludf.DUMMYFUNCTION("""COMPUTED_VALUE"""),FALSE)</f>
        <v>0</v>
      </c>
      <c r="Q8888" s="20" t="str">
        <f>IFERROR(__xludf.DUMMYFUNCTION("""COMPUTED_VALUE"""),"")</f>
        <v/>
      </c>
      <c r="R8888" s="21" t="str">
        <f>IFERROR(__xludf.DUMMYFUNCTION("""COMPUTED_VALUE"""),"https://drive.google.com/file/d/11m6LEtB6gb2jKdjNbZiMHLi9DJRHVwg0/view?usp=drivesdk")</f>
        <v>https://drive.google.com/file/d/11m6LEtB6gb2jKdjNbZiMHLi9DJRHVwg0/view?usp=drivesdk</v>
      </c>
    </row>
    <row r="8889">
      <c r="A8889" s="15">
        <f>IFERROR(__xludf.DUMMYFUNCTION("""COMPUTED_VALUE"""),45253.0)</f>
        <v>45253</v>
      </c>
      <c r="B8889" s="16" t="str">
        <f>IFERROR(__xludf.DUMMYFUNCTION("""COMPUTED_VALUE"""),"Envia")</f>
        <v>Envia</v>
      </c>
      <c r="C8889" s="15" t="str">
        <f>IFERROR(__xludf.DUMMYFUNCTION("""COMPUTED_VALUE"""),"YOPAL")</f>
        <v>YOPAL</v>
      </c>
      <c r="D8889" s="15" t="str">
        <f>IFERROR(__xludf.DUMMYFUNCTION("""COMPUTED_VALUE"""),"BOGOTÁ")</f>
        <v>BOGOTÁ</v>
      </c>
      <c r="E8889" s="15" t="str">
        <f>IFERROR(__xludf.DUMMYFUNCTION("""COMPUTED_VALUE"""),"LINA PAOLA RAMIREZ GOMEZ - EVA MAZZITA")</f>
        <v>LINA PAOLA RAMIREZ GOMEZ - EVA MAZZITA</v>
      </c>
      <c r="F8889" s="17" t="str">
        <f>IFERROR(__xludf.DUMMYFUNCTION("""COMPUTED_VALUE"""),"CALLE 20 No. 10A - 47 / CALLE 20 No. 10A - 47")</f>
        <v>CALLE 20 No. 10A - 47 / CALLE 20 No. 10A - 47</v>
      </c>
      <c r="G8889" s="15" t="str">
        <f>IFERROR(__xludf.DUMMYFUNCTION("""COMPUTED_VALUE"""),"SANDRA GUZMAN")</f>
        <v>SANDRA GUZMAN</v>
      </c>
      <c r="H8889" s="16">
        <f>IFERROR(__xludf.DUMMYFUNCTION("""COMPUTED_VALUE"""),17573.0)</f>
        <v>17573</v>
      </c>
      <c r="I8889" s="17"/>
      <c r="J8889" s="17"/>
      <c r="K8889" s="17"/>
      <c r="L8889" s="17">
        <f>IFERROR(__xludf.DUMMYFUNCTION("""COMPUTED_VALUE"""),3.004863383E9)</f>
        <v>3004863383</v>
      </c>
      <c r="M8889" s="17"/>
      <c r="N8889" s="17"/>
      <c r="O8889" s="17"/>
      <c r="P8889" s="17" t="b">
        <f>IFERROR(__xludf.DUMMYFUNCTION("""COMPUTED_VALUE"""),FALSE)</f>
        <v>0</v>
      </c>
      <c r="Q8889" s="20" t="str">
        <f>IFERROR(__xludf.DUMMYFUNCTION("""COMPUTED_VALUE"""),"")</f>
        <v/>
      </c>
      <c r="R8889" s="22" t="str">
        <f>IFERROR(__xludf.DUMMYFUNCTION("""COMPUTED_VALUE"""),"")</f>
        <v/>
      </c>
    </row>
    <row r="8890">
      <c r="A8890" s="15">
        <f>IFERROR(__xludf.DUMMYFUNCTION("""COMPUTED_VALUE"""),45253.0)</f>
        <v>45253</v>
      </c>
      <c r="B8890" s="16" t="str">
        <f>IFERROR(__xludf.DUMMYFUNCTION("""COMPUTED_VALUE"""),"Envia")</f>
        <v>Envia</v>
      </c>
      <c r="C8890" s="15" t="str">
        <f>IFERROR(__xludf.DUMMYFUNCTION("""COMPUTED_VALUE"""),"YOPAL")</f>
        <v>YOPAL</v>
      </c>
      <c r="D8890" s="15" t="str">
        <f>IFERROR(__xludf.DUMMYFUNCTION("""COMPUTED_VALUE"""),"BOGOTÁ")</f>
        <v>BOGOTÁ</v>
      </c>
      <c r="E8890" s="15" t="str">
        <f>IFERROR(__xludf.DUMMYFUNCTION("""COMPUTED_VALUE"""),"LINA PAOLA RAMIREZ GOMEZ - EVA MAZZITA")</f>
        <v>LINA PAOLA RAMIREZ GOMEZ - EVA MAZZITA</v>
      </c>
      <c r="F8890" s="17" t="str">
        <f>IFERROR(__xludf.DUMMYFUNCTION("""COMPUTED_VALUE"""),"carrera 23 No 19-50 / yopal casanare BARRIO EL GABAN")</f>
        <v>carrera 23 No 19-50 / yopal casanare BARRIO EL GABAN</v>
      </c>
      <c r="G8890" s="15" t="str">
        <f>IFERROR(__xludf.DUMMYFUNCTION("""COMPUTED_VALUE"""),"LUISA FARFAN")</f>
        <v>LUISA FARFAN</v>
      </c>
      <c r="H8890" s="16">
        <f>IFERROR(__xludf.DUMMYFUNCTION("""COMPUTED_VALUE"""),17575.0)</f>
        <v>17575</v>
      </c>
      <c r="I8890" s="17"/>
      <c r="J8890" s="17"/>
      <c r="K8890" s="17"/>
      <c r="L8890" s="17">
        <f>IFERROR(__xludf.DUMMYFUNCTION("""COMPUTED_VALUE"""),3.132535141E9)</f>
        <v>3132535141</v>
      </c>
      <c r="M8890" s="17"/>
      <c r="N8890" s="17"/>
      <c r="O8890" s="17"/>
      <c r="P8890" s="17" t="b">
        <f>IFERROR(__xludf.DUMMYFUNCTION("""COMPUTED_VALUE"""),FALSE)</f>
        <v>0</v>
      </c>
      <c r="Q8890" s="20" t="str">
        <f>IFERROR(__xludf.DUMMYFUNCTION("""COMPUTED_VALUE"""),"")</f>
        <v/>
      </c>
      <c r="R8890" s="22" t="str">
        <f>IFERROR(__xludf.DUMMYFUNCTION("""COMPUTED_VALUE"""),"")</f>
        <v/>
      </c>
    </row>
    <row r="8891">
      <c r="A8891" s="17" t="str">
        <f>IFERROR(__xludf.DUMMYFUNCTION("""COMPUTED_VALUE"""),"")</f>
        <v/>
      </c>
      <c r="B8891" s="17" t="str">
        <f>IFERROR(__xludf.DUMMYFUNCTION("""COMPUTED_VALUE"""),"")</f>
        <v/>
      </c>
      <c r="C8891" s="17" t="str">
        <f>IFERROR(__xludf.DUMMYFUNCTION("""COMPUTED_VALUE"""),"")</f>
        <v/>
      </c>
      <c r="D8891" s="17" t="str">
        <f>IFERROR(__xludf.DUMMYFUNCTION("""COMPUTED_VALUE"""),"")</f>
        <v/>
      </c>
      <c r="E8891" s="17" t="str">
        <f>IFERROR(__xludf.DUMMYFUNCTION("""COMPUTED_VALUE"""),"")</f>
        <v/>
      </c>
      <c r="F8891" s="17" t="str">
        <f>IFERROR(__xludf.DUMMYFUNCTION("""COMPUTED_VALUE"""),"")</f>
        <v/>
      </c>
      <c r="G8891" s="17" t="str">
        <f>IFERROR(__xludf.DUMMYFUNCTION("""COMPUTED_VALUE"""),"")</f>
        <v/>
      </c>
      <c r="H8891" s="17" t="str">
        <f>IFERROR(__xludf.DUMMYFUNCTION("""COMPUTED_VALUE"""),"")</f>
        <v/>
      </c>
      <c r="I8891" s="17" t="str">
        <f>IFERROR(__xludf.DUMMYFUNCTION("""COMPUTED_VALUE"""),"")</f>
        <v/>
      </c>
      <c r="J8891" s="17" t="str">
        <f>IFERROR(__xludf.DUMMYFUNCTION("""COMPUTED_VALUE"""),"")</f>
        <v/>
      </c>
      <c r="K8891" s="17" t="str">
        <f>IFERROR(__xludf.DUMMYFUNCTION("""COMPUTED_VALUE"""),"")</f>
        <v/>
      </c>
      <c r="L8891" s="17" t="str">
        <f>IFERROR(__xludf.DUMMYFUNCTION("""COMPUTED_VALUE"""),"")</f>
        <v/>
      </c>
      <c r="M8891" s="17" t="str">
        <f>IFERROR(__xludf.DUMMYFUNCTION("""COMPUTED_VALUE"""),"")</f>
        <v/>
      </c>
      <c r="N8891" s="17" t="str">
        <f>IFERROR(__xludf.DUMMYFUNCTION("""COMPUTED_VALUE"""),"")</f>
        <v/>
      </c>
      <c r="O8891" s="17" t="str">
        <f>IFERROR(__xludf.DUMMYFUNCTION("""COMPUTED_VALUE"""),"")</f>
        <v/>
      </c>
      <c r="P8891" s="17" t="str">
        <f>IFERROR(__xludf.DUMMYFUNCTION("""COMPUTED_VALUE"""),"")</f>
        <v/>
      </c>
      <c r="Q8891" s="17" t="str">
        <f>IFERROR(__xludf.DUMMYFUNCTION("""COMPUTED_VALUE"""),"")</f>
        <v/>
      </c>
      <c r="R8891" s="17" t="str">
        <f>IFERROR(__xludf.DUMMYFUNCTION("""COMPUTED_VALUE"""),"")</f>
        <v/>
      </c>
    </row>
    <row r="8892">
      <c r="A8892" s="15">
        <f>IFERROR(__xludf.DUMMYFUNCTION("""COMPUTED_VALUE"""),45253.0)</f>
        <v>45253</v>
      </c>
      <c r="B8892" s="16" t="str">
        <f>IFERROR(__xludf.DUMMYFUNCTION("""COMPUTED_VALUE"""),"Gustavo Medina Ibañez")</f>
        <v>Gustavo Medina Ibañez</v>
      </c>
      <c r="C8892" s="15" t="str">
        <f>IFERROR(__xludf.DUMMYFUNCTION("""COMPUTED_VALUE"""),"CARTAGENA")</f>
        <v>CARTAGENA</v>
      </c>
      <c r="D8892" s="15" t="str">
        <f>IFERROR(__xludf.DUMMYFUNCTION("""COMPUTED_VALUE"""),"BOGOTÁ")</f>
        <v>BOGOTÁ</v>
      </c>
      <c r="E8892" s="15" t="str">
        <f>IFERROR(__xludf.DUMMYFUNCTION("""COMPUTED_VALUE"""),"Ventura Productos Arg")</f>
        <v>Ventura Productos Arg</v>
      </c>
      <c r="F8892" s="17" t="str">
        <f>IFERROR(__xludf.DUMMYFUNCTION("""COMPUTED_VALUE"""),"Condominio Laguna club almendros 6 apto 3c / Condominio Laguna club almendros 6 apto 3c")</f>
        <v>Condominio Laguna club almendros 6 apto 3c / Condominio Laguna club almendros 6 apto 3c</v>
      </c>
      <c r="G8892" s="15" t="str">
        <f>IFERROR(__xludf.DUMMYFUNCTION("""COMPUTED_VALUE"""),"Miguel Sabogal")</f>
        <v>Miguel Sabogal</v>
      </c>
      <c r="H8892" s="16">
        <f>IFERROR(__xludf.DUMMYFUNCTION("""COMPUTED_VALUE"""),17409.0)</f>
        <v>17409</v>
      </c>
      <c r="I8892" s="17"/>
      <c r="J8892" s="17"/>
      <c r="K8892" s="17"/>
      <c r="L8892" s="17">
        <f>IFERROR(__xludf.DUMMYFUNCTION("""COMPUTED_VALUE"""),3.164695653E9)</f>
        <v>3164695653</v>
      </c>
      <c r="M8892" s="17"/>
      <c r="N8892" s="17"/>
      <c r="O8892" s="17"/>
      <c r="P8892" s="17" t="b">
        <f>IFERROR(__xludf.DUMMYFUNCTION("""COMPUTED_VALUE"""),FALSE)</f>
        <v>0</v>
      </c>
      <c r="Q8892" s="20" t="str">
        <f>IFERROR(__xludf.DUMMYFUNCTION("""COMPUTED_VALUE"""),"")</f>
        <v/>
      </c>
      <c r="R8892" s="21" t="str">
        <f>IFERROR(__xludf.DUMMYFUNCTION("""COMPUTED_VALUE"""),"https://drive.google.com/file/d/1l1jGJBZOjCPEEJp_rXwR7J_YbXHRbZnk/view?usp=drivesdk")</f>
        <v>https://drive.google.com/file/d/1l1jGJBZOjCPEEJp_rXwR7J_YbXHRbZnk/view?usp=drivesdk</v>
      </c>
    </row>
    <row r="8893">
      <c r="A8893" s="15">
        <f>IFERROR(__xludf.DUMMYFUNCTION("""COMPUTED_VALUE"""),45253.0)</f>
        <v>45253</v>
      </c>
      <c r="B8893" s="16" t="str">
        <f>IFERROR(__xludf.DUMMYFUNCTION("""COMPUTED_VALUE"""),"Gustavo Medina Ibañez")</f>
        <v>Gustavo Medina Ibañez</v>
      </c>
      <c r="C8893" s="15" t="str">
        <f>IFERROR(__xludf.DUMMYFUNCTION("""COMPUTED_VALUE"""),"CARTAGENA")</f>
        <v>CARTAGENA</v>
      </c>
      <c r="D8893" s="15" t="str">
        <f>IFERROR(__xludf.DUMMYFUNCTION("""COMPUTED_VALUE"""),"MEDELLÍN")</f>
        <v>MEDELLÍN</v>
      </c>
      <c r="E8893" s="15" t="str">
        <f>IFERROR(__xludf.DUMMYFUNCTION("""COMPUTED_VALUE"""),"Terravocado")</f>
        <v>Terravocado</v>
      </c>
      <c r="F8893" s="17" t="str">
        <f>IFERROR(__xludf.DUMMYFUNCTION("""COMPUTED_VALUE"""),"CLL 30 # 44 13 / EDI ROSA helena  / AMBERES")</f>
        <v>CLL 30 # 44 13 / EDI ROSA helena  / AMBERES</v>
      </c>
      <c r="G8893" s="15" t="str">
        <f>IFERROR(__xludf.DUMMYFUNCTION("""COMPUTED_VALUE"""),"NUBIA TRIVIÑO CARABALLO ")</f>
        <v>NUBIA TRIVIÑO CARABALLO </v>
      </c>
      <c r="H8893" s="16">
        <f>IFERROR(__xludf.DUMMYFUNCTION("""COMPUTED_VALUE"""),17419.0)</f>
        <v>17419</v>
      </c>
      <c r="I8893" s="18">
        <f>IFERROR(__xludf.DUMMYFUNCTION("""COMPUTED_VALUE"""),20.0)</f>
        <v>20</v>
      </c>
      <c r="J8893" s="18">
        <f>IFERROR(__xludf.DUMMYFUNCTION("""COMPUTED_VALUE"""),24.0)</f>
        <v>24</v>
      </c>
      <c r="K8893" s="18">
        <f>IFERROR(__xludf.DUMMYFUNCTION("""COMPUTED_VALUE"""),34.0)</f>
        <v>34</v>
      </c>
      <c r="L8893" s="17">
        <f>IFERROR(__xludf.DUMMYFUNCTION("""COMPUTED_VALUE"""),3.176366612E9)</f>
        <v>3176366612</v>
      </c>
      <c r="M8893" s="17"/>
      <c r="N8893" s="17"/>
      <c r="O8893" s="17"/>
      <c r="P8893" s="17" t="b">
        <f>IFERROR(__xludf.DUMMYFUNCTION("""COMPUTED_VALUE"""),FALSE)</f>
        <v>0</v>
      </c>
      <c r="Q8893" s="20" t="str">
        <f>IFERROR(__xludf.DUMMYFUNCTION("""COMPUTED_VALUE"""),"")</f>
        <v/>
      </c>
      <c r="R8893" s="22" t="str">
        <f>IFERROR(__xludf.DUMMYFUNCTION("""COMPUTED_VALUE"""),"")</f>
        <v/>
      </c>
    </row>
    <row r="8894">
      <c r="A8894" s="15">
        <f>IFERROR(__xludf.DUMMYFUNCTION("""COMPUTED_VALUE"""),45253.0)</f>
        <v>45253</v>
      </c>
      <c r="B8894" s="16" t="str">
        <f>IFERROR(__xludf.DUMMYFUNCTION("""COMPUTED_VALUE"""),"Gustavo Medina Ibañez")</f>
        <v>Gustavo Medina Ibañez</v>
      </c>
      <c r="C8894" s="15" t="str">
        <f>IFERROR(__xludf.DUMMYFUNCTION("""COMPUTED_VALUE"""),"YOPAL")</f>
        <v>YOPAL</v>
      </c>
      <c r="D8894" s="15" t="str">
        <f>IFERROR(__xludf.DUMMYFUNCTION("""COMPUTED_VALUE"""),"BOGOTÁ")</f>
        <v>BOGOTÁ</v>
      </c>
      <c r="E8894" s="15" t="str">
        <f>IFERROR(__xludf.DUMMYFUNCTION("""COMPUTED_VALUE"""),"Instinto alimento vital")</f>
        <v>Instinto alimento vital</v>
      </c>
      <c r="F8894" s="17" t="str">
        <f>IFERROR(__xludf.DUMMYFUNCTION("""COMPUTED_VALUE"""),"CALLE 31A 14 05 / YOPAL")</f>
        <v>CALLE 31A 14 05 / YOPAL</v>
      </c>
      <c r="G8894" s="15" t="str">
        <f>IFERROR(__xludf.DUMMYFUNCTION("""COMPUTED_VALUE"""),"YESSICA ANDREA HERNANDEZ MORALES")</f>
        <v>YESSICA ANDREA HERNANDEZ MORALES</v>
      </c>
      <c r="H8894" s="16">
        <f>IFERROR(__xludf.DUMMYFUNCTION("""COMPUTED_VALUE"""),17561.0)</f>
        <v>17561</v>
      </c>
      <c r="I8894" s="17"/>
      <c r="J8894" s="17"/>
      <c r="K8894" s="17"/>
      <c r="L8894" s="17">
        <f>IFERROR(__xludf.DUMMYFUNCTION("""COMPUTED_VALUE"""),3.107940644E9)</f>
        <v>3107940644</v>
      </c>
      <c r="M8894" s="17"/>
      <c r="N8894" s="17"/>
      <c r="O8894" s="17"/>
      <c r="P8894" s="17" t="b">
        <f>IFERROR(__xludf.DUMMYFUNCTION("""COMPUTED_VALUE"""),FALSE)</f>
        <v>0</v>
      </c>
      <c r="Q8894" s="20" t="str">
        <f>IFERROR(__xludf.DUMMYFUNCTION("""COMPUTED_VALUE"""),"")</f>
        <v/>
      </c>
      <c r="R8894" s="22" t="str">
        <f>IFERROR(__xludf.DUMMYFUNCTION("""COMPUTED_VALUE"""),"")</f>
        <v/>
      </c>
    </row>
    <row r="8895">
      <c r="A8895" s="15">
        <f>IFERROR(__xludf.DUMMYFUNCTION("""COMPUTED_VALUE"""),45253.0)</f>
        <v>45253</v>
      </c>
      <c r="B8895" s="16" t="str">
        <f>IFERROR(__xludf.DUMMYFUNCTION("""COMPUTED_VALUE"""),"Gustavo Medina Ibañez")</f>
        <v>Gustavo Medina Ibañez</v>
      </c>
      <c r="C8895" s="15" t="str">
        <f>IFERROR(__xludf.DUMMYFUNCTION("""COMPUTED_VALUE"""),"YOPAL")</f>
        <v>YOPAL</v>
      </c>
      <c r="D8895" s="15" t="str">
        <f>IFERROR(__xludf.DUMMYFUNCTION("""COMPUTED_VALUE"""),"BOGOTÁ")</f>
        <v>BOGOTÁ</v>
      </c>
      <c r="E8895" s="15" t="str">
        <f>IFERROR(__xludf.DUMMYFUNCTION("""COMPUTED_VALUE"""),"LINA PAOLA RAMIREZ GOMEZ - EVA MAZZITA")</f>
        <v>LINA PAOLA RAMIREZ GOMEZ - EVA MAZZITA</v>
      </c>
      <c r="F8895" s="17" t="str">
        <f>IFERROR(__xludf.DUMMYFUNCTION("""COMPUTED_VALUE"""),"carrera 23 No 19-50 / yopal casanare BARRIO EL GABAN")</f>
        <v>carrera 23 No 19-50 / yopal casanare BARRIO EL GABAN</v>
      </c>
      <c r="G8895" s="15" t="str">
        <f>IFERROR(__xludf.DUMMYFUNCTION("""COMPUTED_VALUE"""),"LUISA FARFAN")</f>
        <v>LUISA FARFAN</v>
      </c>
      <c r="H8895" s="16">
        <f>IFERROR(__xludf.DUMMYFUNCTION("""COMPUTED_VALUE"""),17574.0)</f>
        <v>17574</v>
      </c>
      <c r="I8895" s="17"/>
      <c r="J8895" s="17"/>
      <c r="K8895" s="17"/>
      <c r="L8895" s="17">
        <f>IFERROR(__xludf.DUMMYFUNCTION("""COMPUTED_VALUE"""),3.132535141E9)</f>
        <v>3132535141</v>
      </c>
      <c r="M8895" s="17"/>
      <c r="N8895" s="17"/>
      <c r="O8895" s="17"/>
      <c r="P8895" s="17" t="b">
        <f>IFERROR(__xludf.DUMMYFUNCTION("""COMPUTED_VALUE"""),FALSE)</f>
        <v>0</v>
      </c>
      <c r="Q8895" s="20" t="str">
        <f>IFERROR(__xludf.DUMMYFUNCTION("""COMPUTED_VALUE"""),"")</f>
        <v/>
      </c>
      <c r="R8895" s="22" t="str">
        <f>IFERROR(__xludf.DUMMYFUNCTION("""COMPUTED_VALUE"""),"")</f>
        <v/>
      </c>
    </row>
    <row r="8896">
      <c r="A8896" s="17" t="str">
        <f>IFERROR(__xludf.DUMMYFUNCTION("""COMPUTED_VALUE"""),"")</f>
        <v/>
      </c>
      <c r="B8896" s="17" t="str">
        <f>IFERROR(__xludf.DUMMYFUNCTION("""COMPUTED_VALUE"""),"")</f>
        <v/>
      </c>
      <c r="C8896" s="17" t="str">
        <f>IFERROR(__xludf.DUMMYFUNCTION("""COMPUTED_VALUE"""),"")</f>
        <v/>
      </c>
      <c r="D8896" s="17" t="str">
        <f>IFERROR(__xludf.DUMMYFUNCTION("""COMPUTED_VALUE"""),"")</f>
        <v/>
      </c>
      <c r="E8896" s="17" t="str">
        <f>IFERROR(__xludf.DUMMYFUNCTION("""COMPUTED_VALUE"""),"")</f>
        <v/>
      </c>
      <c r="F8896" s="17" t="str">
        <f>IFERROR(__xludf.DUMMYFUNCTION("""COMPUTED_VALUE"""),"")</f>
        <v/>
      </c>
      <c r="G8896" s="17" t="str">
        <f>IFERROR(__xludf.DUMMYFUNCTION("""COMPUTED_VALUE"""),"")</f>
        <v/>
      </c>
      <c r="H8896" s="17" t="str">
        <f>IFERROR(__xludf.DUMMYFUNCTION("""COMPUTED_VALUE"""),"")</f>
        <v/>
      </c>
      <c r="I8896" s="17" t="str">
        <f>IFERROR(__xludf.DUMMYFUNCTION("""COMPUTED_VALUE"""),"")</f>
        <v/>
      </c>
      <c r="J8896" s="17" t="str">
        <f>IFERROR(__xludf.DUMMYFUNCTION("""COMPUTED_VALUE"""),"")</f>
        <v/>
      </c>
      <c r="K8896" s="17" t="str">
        <f>IFERROR(__xludf.DUMMYFUNCTION("""COMPUTED_VALUE"""),"")</f>
        <v/>
      </c>
      <c r="L8896" s="17" t="str">
        <f>IFERROR(__xludf.DUMMYFUNCTION("""COMPUTED_VALUE"""),"")</f>
        <v/>
      </c>
      <c r="M8896" s="17" t="str">
        <f>IFERROR(__xludf.DUMMYFUNCTION("""COMPUTED_VALUE"""),"")</f>
        <v/>
      </c>
      <c r="N8896" s="17" t="str">
        <f>IFERROR(__xludf.DUMMYFUNCTION("""COMPUTED_VALUE"""),"")</f>
        <v/>
      </c>
      <c r="O8896" s="17" t="str">
        <f>IFERROR(__xludf.DUMMYFUNCTION("""COMPUTED_VALUE"""),"")</f>
        <v/>
      </c>
      <c r="P8896" s="17" t="str">
        <f>IFERROR(__xludf.DUMMYFUNCTION("""COMPUTED_VALUE"""),"")</f>
        <v/>
      </c>
      <c r="Q8896" s="17" t="str">
        <f>IFERROR(__xludf.DUMMYFUNCTION("""COMPUTED_VALUE"""),"")</f>
        <v/>
      </c>
      <c r="R8896" s="17" t="str">
        <f>IFERROR(__xludf.DUMMYFUNCTION("""COMPUTED_VALUE"""),"")</f>
        <v/>
      </c>
    </row>
    <row r="8897">
      <c r="A8897" s="15">
        <f>IFERROR(__xludf.DUMMYFUNCTION("""COMPUTED_VALUE"""),45253.0)</f>
        <v>45253</v>
      </c>
      <c r="B8897" s="16" t="str">
        <f>IFERROR(__xludf.DUMMYFUNCTION("""COMPUTED_VALUE"""),"Johanna Arango Barrera")</f>
        <v>Johanna Arango Barrera</v>
      </c>
      <c r="C8897" s="15" t="str">
        <f>IFERROR(__xludf.DUMMYFUNCTION("""COMPUTED_VALUE"""),"BUCARAMANGA")</f>
        <v>BUCARAMANGA</v>
      </c>
      <c r="D8897" s="15" t="str">
        <f>IFERROR(__xludf.DUMMYFUNCTION("""COMPUTED_VALUE"""),"BOGOTÁ")</f>
        <v>BOGOTÁ</v>
      </c>
      <c r="E8897" s="15" t="str">
        <f>IFERROR(__xludf.DUMMYFUNCTION("""COMPUTED_VALUE"""),"LINA PAOLA RAMIREZ GOMEZ - EVA MAZZITA")</f>
        <v>LINA PAOLA RAMIREZ GOMEZ - EVA MAZZITA</v>
      </c>
      <c r="F8897" s="17" t="str">
        <f>IFERROR(__xludf.DUMMYFUNCTION("""COMPUTED_VALUE"""),"CALLE 34 NO. 26 - 82 / edificio terzetto 27 APTO 301")</f>
        <v>CALLE 34 NO. 26 - 82 / edificio terzetto 27 APTO 301</v>
      </c>
      <c r="G8897" s="15" t="str">
        <f>IFERROR(__xludf.DUMMYFUNCTION("""COMPUTED_VALUE"""),"CATALINA GIRALDO AGUDELO")</f>
        <v>CATALINA GIRALDO AGUDELO</v>
      </c>
      <c r="H8897" s="16">
        <f>IFERROR(__xludf.DUMMYFUNCTION("""COMPUTED_VALUE"""),17570.0)</f>
        <v>17570</v>
      </c>
      <c r="I8897" s="17"/>
      <c r="J8897" s="17"/>
      <c r="K8897" s="17"/>
      <c r="L8897" s="17">
        <f>IFERROR(__xludf.DUMMYFUNCTION("""COMPUTED_VALUE"""),3.103793101E9)</f>
        <v>3103793101</v>
      </c>
      <c r="M8897" s="17"/>
      <c r="N8897" s="17"/>
      <c r="O8897" s="17"/>
      <c r="P8897" s="17" t="b">
        <f>IFERROR(__xludf.DUMMYFUNCTION("""COMPUTED_VALUE"""),FALSE)</f>
        <v>0</v>
      </c>
      <c r="Q8897" s="20" t="str">
        <f>IFERROR(__xludf.DUMMYFUNCTION("""COMPUTED_VALUE"""),"")</f>
        <v/>
      </c>
      <c r="R8897" s="21" t="str">
        <f>IFERROR(__xludf.DUMMYFUNCTION("""COMPUTED_VALUE"""),"https://drive.google.com/file/d/16Tj7efBIKzHhqSvDo00eYo-Vimd_EJyf/view?usp=drivesdk")</f>
        <v>https://drive.google.com/file/d/16Tj7efBIKzHhqSvDo00eYo-Vimd_EJyf/view?usp=drivesdk</v>
      </c>
    </row>
    <row r="8898">
      <c r="A8898" s="15">
        <f>IFERROR(__xludf.DUMMYFUNCTION("""COMPUTED_VALUE"""),45253.0)</f>
        <v>45253</v>
      </c>
      <c r="B8898" s="16" t="str">
        <f>IFERROR(__xludf.DUMMYFUNCTION("""COMPUTED_VALUE"""),"Johanna Arango Barrera")</f>
        <v>Johanna Arango Barrera</v>
      </c>
      <c r="C8898" s="15" t="str">
        <f>IFERROR(__xludf.DUMMYFUNCTION("""COMPUTED_VALUE"""),"BUCARAMANGA")</f>
        <v>BUCARAMANGA</v>
      </c>
      <c r="D8898" s="15" t="str">
        <f>IFERROR(__xludf.DUMMYFUNCTION("""COMPUTED_VALUE"""),"BOGOTÁ")</f>
        <v>BOGOTÁ</v>
      </c>
      <c r="E8898" s="15" t="str">
        <f>IFERROR(__xludf.DUMMYFUNCTION("""COMPUTED_VALUE"""),"LINA PAOLA RAMIREZ GOMEZ - EVA MAZZITA")</f>
        <v>LINA PAOLA RAMIREZ GOMEZ - EVA MAZZITA</v>
      </c>
      <c r="F8898" s="17" t="str">
        <f>IFERROR(__xludf.DUMMYFUNCTION("""COMPUTED_VALUE"""),"Calle 37 #22-33 / Torre A Apto 501 Edificio Monterrey Barrio Bolivar")</f>
        <v>Calle 37 #22-33 / Torre A Apto 501 Edificio Monterrey Barrio Bolivar</v>
      </c>
      <c r="G8898" s="15" t="str">
        <f>IFERROR(__xludf.DUMMYFUNCTION("""COMPUTED_VALUE"""),"LEIDY RUGELES")</f>
        <v>LEIDY RUGELES</v>
      </c>
      <c r="H8898" s="16">
        <f>IFERROR(__xludf.DUMMYFUNCTION("""COMPUTED_VALUE"""),17569.0)</f>
        <v>17569</v>
      </c>
      <c r="I8898" s="17"/>
      <c r="J8898" s="17"/>
      <c r="K8898" s="17"/>
      <c r="L8898" s="17">
        <f>IFERROR(__xludf.DUMMYFUNCTION("""COMPUTED_VALUE"""),3.192986719E9)</f>
        <v>3192986719</v>
      </c>
      <c r="M8898" s="17"/>
      <c r="N8898" s="17"/>
      <c r="O8898" s="17"/>
      <c r="P8898" s="17" t="b">
        <f>IFERROR(__xludf.DUMMYFUNCTION("""COMPUTED_VALUE"""),FALSE)</f>
        <v>0</v>
      </c>
      <c r="Q8898" s="20" t="str">
        <f>IFERROR(__xludf.DUMMYFUNCTION("""COMPUTED_VALUE"""),"")</f>
        <v/>
      </c>
      <c r="R8898" s="21" t="str">
        <f>IFERROR(__xludf.DUMMYFUNCTION("""COMPUTED_VALUE"""),"https://drive.google.com/file/d/1mz0LRmDj_PRYYX3QHH_qClsNIbvLC0m8/view?usp=drivesdk")</f>
        <v>https://drive.google.com/file/d/1mz0LRmDj_PRYYX3QHH_qClsNIbvLC0m8/view?usp=drivesdk</v>
      </c>
    </row>
    <row r="8899">
      <c r="A8899" s="15">
        <f>IFERROR(__xludf.DUMMYFUNCTION("""COMPUTED_VALUE"""),45253.0)</f>
        <v>45253</v>
      </c>
      <c r="B8899" s="16" t="str">
        <f>IFERROR(__xludf.DUMMYFUNCTION("""COMPUTED_VALUE"""),"Johanna Arango Barrera")</f>
        <v>Johanna Arango Barrera</v>
      </c>
      <c r="C8899" s="15" t="str">
        <f>IFERROR(__xludf.DUMMYFUNCTION("""COMPUTED_VALUE"""),"BUCARAMANGA")</f>
        <v>BUCARAMANGA</v>
      </c>
      <c r="D8899" s="15" t="str">
        <f>IFERROR(__xludf.DUMMYFUNCTION("""COMPUTED_VALUE"""),"BOGOTÁ")</f>
        <v>BOGOTÁ</v>
      </c>
      <c r="E8899" s="15" t="str">
        <f>IFERROR(__xludf.DUMMYFUNCTION("""COMPUTED_VALUE"""),"LINA PAOLA RAMIREZ GOMEZ - EVA MAZZITA")</f>
        <v>LINA PAOLA RAMIREZ GOMEZ - EVA MAZZITA</v>
      </c>
      <c r="F8899" s="17" t="str">
        <f>IFERROR(__xludf.DUMMYFUNCTION("""COMPUTED_VALUE"""),"CRA 19 No. 8 - 45 / TORRE 3 APTO 604 COMUNEROS")</f>
        <v>CRA 19 No. 8 - 45 / TORRE 3 APTO 604 COMUNEROS</v>
      </c>
      <c r="G8899" s="15" t="str">
        <f>IFERROR(__xludf.DUMMYFUNCTION("""COMPUTED_VALUE"""),"MAYRA FERNANDA LOZADA MOTTA")</f>
        <v>MAYRA FERNANDA LOZADA MOTTA</v>
      </c>
      <c r="H8899" s="16">
        <f>IFERROR(__xludf.DUMMYFUNCTION("""COMPUTED_VALUE"""),17568.0)</f>
        <v>17568</v>
      </c>
      <c r="I8899" s="17"/>
      <c r="J8899" s="17"/>
      <c r="K8899" s="17"/>
      <c r="L8899" s="17">
        <f>IFERROR(__xludf.DUMMYFUNCTION("""COMPUTED_VALUE"""),3.214080448E9)</f>
        <v>3214080448</v>
      </c>
      <c r="M8899" s="17"/>
      <c r="N8899" s="17"/>
      <c r="O8899" s="17"/>
      <c r="P8899" s="17" t="b">
        <f>IFERROR(__xludf.DUMMYFUNCTION("""COMPUTED_VALUE"""),FALSE)</f>
        <v>0</v>
      </c>
      <c r="Q8899" s="20" t="str">
        <f>IFERROR(__xludf.DUMMYFUNCTION("""COMPUTED_VALUE"""),"")</f>
        <v/>
      </c>
      <c r="R8899" s="21" t="str">
        <f>IFERROR(__xludf.DUMMYFUNCTION("""COMPUTED_VALUE"""),"https://drive.google.com/file/d/10q1qY_qv6GUhxCu0l9qQRhXBbioWwi9O/view?usp=drivesdk")</f>
        <v>https://drive.google.com/file/d/10q1qY_qv6GUhxCu0l9qQRhXBbioWwi9O/view?usp=drivesdk</v>
      </c>
    </row>
    <row r="8900">
      <c r="A8900" s="15">
        <f>IFERROR(__xludf.DUMMYFUNCTION("""COMPUTED_VALUE"""),45253.0)</f>
        <v>45253</v>
      </c>
      <c r="B8900" s="16" t="str">
        <f>IFERROR(__xludf.DUMMYFUNCTION("""COMPUTED_VALUE"""),"Johanna Arango Barrera")</f>
        <v>Johanna Arango Barrera</v>
      </c>
      <c r="C8900" s="15" t="str">
        <f>IFERROR(__xludf.DUMMYFUNCTION("""COMPUTED_VALUE"""),"BUCARAMANGA")</f>
        <v>BUCARAMANGA</v>
      </c>
      <c r="D8900" s="15" t="str">
        <f>IFERROR(__xludf.DUMMYFUNCTION("""COMPUTED_VALUE"""),"BOGOTÁ")</f>
        <v>BOGOTÁ</v>
      </c>
      <c r="E8900" s="15" t="str">
        <f>IFERROR(__xludf.DUMMYFUNCTION("""COMPUTED_VALUE"""),"PAN DE WAFFLE")</f>
        <v>PAN DE WAFFLE</v>
      </c>
      <c r="F8900" s="17" t="str">
        <f>IFERROR(__xludf.DUMMYFUNCTION("""COMPUTED_VALUE"""),"Av. Samanes # 9 - 140 Ciudadela Real De Minas C.C. Acropolis Local 210A Piso 2 / Av. Samanes # 9 - 140 Ciudadela Real De Minas C.C. Acropolis Local 210A Piso 2")</f>
        <v>Av. Samanes # 9 - 140 Ciudadela Real De Minas C.C. Acropolis Local 210A Piso 2 / Av. Samanes # 9 - 140 Ciudadela Real De Minas C.C. Acropolis Local 210A Piso 2</v>
      </c>
      <c r="G8900" s="15" t="str">
        <f>IFERROR(__xludf.DUMMYFUNCTION("""COMPUTED_VALUE"""),"FITANICA SALUDABLE")</f>
        <v>FITANICA SALUDABLE</v>
      </c>
      <c r="H8900" s="16">
        <f>IFERROR(__xludf.DUMMYFUNCTION("""COMPUTED_VALUE"""),17533.0)</f>
        <v>17533</v>
      </c>
      <c r="I8900" s="17"/>
      <c r="J8900" s="17"/>
      <c r="K8900" s="17"/>
      <c r="L8900" s="17">
        <f>IFERROR(__xludf.DUMMYFUNCTION("""COMPUTED_VALUE"""),3.102563586E9)</f>
        <v>3102563586</v>
      </c>
      <c r="M8900" s="17"/>
      <c r="N8900" s="17"/>
      <c r="O8900" s="17"/>
      <c r="P8900" s="17" t="b">
        <f>IFERROR(__xludf.DUMMYFUNCTION("""COMPUTED_VALUE"""),FALSE)</f>
        <v>0</v>
      </c>
      <c r="Q8900" s="20" t="str">
        <f>IFERROR(__xludf.DUMMYFUNCTION("""COMPUTED_VALUE"""),"")</f>
        <v/>
      </c>
      <c r="R8900" s="21" t="str">
        <f>IFERROR(__xludf.DUMMYFUNCTION("""COMPUTED_VALUE"""),"https://drive.google.com/file/d/1ZrczEmT3ExgppTrl4xSV_LHVCqX4_NDw/view?usp=drivesdk")</f>
        <v>https://drive.google.com/file/d/1ZrczEmT3ExgppTrl4xSV_LHVCqX4_NDw/view?usp=drivesdk</v>
      </c>
    </row>
    <row r="8901">
      <c r="A8901" s="15">
        <f>IFERROR(__xludf.DUMMYFUNCTION("""COMPUTED_VALUE"""),45253.0)</f>
        <v>45253</v>
      </c>
      <c r="B8901" s="16" t="str">
        <f>IFERROR(__xludf.DUMMYFUNCTION("""COMPUTED_VALUE"""),"Johanna Arango Barrera")</f>
        <v>Johanna Arango Barrera</v>
      </c>
      <c r="C8901" s="15" t="str">
        <f>IFERROR(__xludf.DUMMYFUNCTION("""COMPUTED_VALUE"""),"CÚCUTA")</f>
        <v>CÚCUTA</v>
      </c>
      <c r="D8901" s="15" t="str">
        <f>IFERROR(__xludf.DUMMYFUNCTION("""COMPUTED_VALUE"""),"BUCARAMANGA")</f>
        <v>BUCARAMANGA</v>
      </c>
      <c r="E8901" s="15" t="str">
        <f>IFERROR(__xludf.DUMMYFUNCTION("""COMPUTED_VALUE"""),"Yo Como Solito")</f>
        <v>Yo Como Solito</v>
      </c>
      <c r="F8901" s="17" t="str">
        <f>IFERROR(__xludf.DUMMYFUNCTION("""COMPUTED_VALUE"""),"AB 2E 15A 17 CAOBOS DIAGONAL COLEGIO CARMELITAS / AB 2E 15A 17 CAOBOS DIAGONAL COLEGIO CARMELITAS / AB 2E 15A 17 CAOBOS DIAGONAL COLEGIO CARMELITAS")</f>
        <v>AB 2E 15A 17 CAOBOS DIAGONAL COLEGIO CARMELITAS / AB 2E 15A 17 CAOBOS DIAGONAL COLEGIO CARMELITAS / AB 2E 15A 17 CAOBOS DIAGONAL COLEGIO CARMELITAS</v>
      </c>
      <c r="G8901" s="15" t="str">
        <f>IFERROR(__xludf.DUMMYFUNCTION("""COMPUTED_VALUE"""),"DACCY KARINA LOPEZ MORENO")</f>
        <v>DACCY KARINA LOPEZ MORENO</v>
      </c>
      <c r="H8901" s="16">
        <f>IFERROR(__xludf.DUMMYFUNCTION("""COMPUTED_VALUE"""),17492.0)</f>
        <v>17492</v>
      </c>
      <c r="I8901" s="18">
        <f>IFERROR(__xludf.DUMMYFUNCTION("""COMPUTED_VALUE"""),46.0)</f>
        <v>46</v>
      </c>
      <c r="J8901" s="18">
        <f>IFERROR(__xludf.DUMMYFUNCTION("""COMPUTED_VALUE"""),39.0)</f>
        <v>39</v>
      </c>
      <c r="K8901" s="18">
        <f>IFERROR(__xludf.DUMMYFUNCTION("""COMPUTED_VALUE"""),44.0)</f>
        <v>44</v>
      </c>
      <c r="L8901" s="17">
        <f>IFERROR(__xludf.DUMMYFUNCTION("""COMPUTED_VALUE"""),3.133032295E9)</f>
        <v>3133032295</v>
      </c>
      <c r="M8901" s="17"/>
      <c r="N8901" s="17"/>
      <c r="O8901" s="17"/>
      <c r="P8901" s="17" t="b">
        <f>IFERROR(__xludf.DUMMYFUNCTION("""COMPUTED_VALUE"""),FALSE)</f>
        <v>0</v>
      </c>
      <c r="Q8901" s="20" t="str">
        <f>IFERROR(__xludf.DUMMYFUNCTION("""COMPUTED_VALUE"""),"")</f>
        <v/>
      </c>
      <c r="R8901" s="22" t="str">
        <f>IFERROR(__xludf.DUMMYFUNCTION("""COMPUTED_VALUE"""),"")</f>
        <v/>
      </c>
    </row>
    <row r="8902">
      <c r="A8902" s="15">
        <f>IFERROR(__xludf.DUMMYFUNCTION("""COMPUTED_VALUE"""),45253.0)</f>
        <v>45253</v>
      </c>
      <c r="B8902" s="16" t="str">
        <f>IFERROR(__xludf.DUMMYFUNCTION("""COMPUTED_VALUE"""),"Johanna Arango Barrera")</f>
        <v>Johanna Arango Barrera</v>
      </c>
      <c r="C8902" s="15" t="str">
        <f>IFERROR(__xludf.DUMMYFUNCTION("""COMPUTED_VALUE"""),"VILLAVICENCIO")</f>
        <v>VILLAVICENCIO</v>
      </c>
      <c r="D8902" s="15" t="str">
        <f>IFERROR(__xludf.DUMMYFUNCTION("""COMPUTED_VALUE"""),"MEDELLÍN")</f>
        <v>MEDELLÍN</v>
      </c>
      <c r="E8902" s="15" t="str">
        <f>IFERROR(__xludf.DUMMYFUNCTION("""COMPUTED_VALUE"""),"Lácteos El Pino SAS")</f>
        <v>Lácteos El Pino SAS</v>
      </c>
      <c r="F8902" s="17" t="str">
        <f>IFERROR(__xludf.DUMMYFUNCTION("""COMPUTED_VALUE"""),"Cra. 32 #39-14 / CAFE BRA KAFFE")</f>
        <v>Cra. 32 #39-14 / CAFE BRA KAFFE</v>
      </c>
      <c r="G8902" s="15" t="str">
        <f>IFERROR(__xludf.DUMMYFUNCTION("""COMPUTED_VALUE"""),"BRA KAFFE SAS")</f>
        <v>BRA KAFFE SAS</v>
      </c>
      <c r="H8902" s="16">
        <f>IFERROR(__xludf.DUMMYFUNCTION("""COMPUTED_VALUE"""),17494.0)</f>
        <v>17494</v>
      </c>
      <c r="I8902" s="17"/>
      <c r="J8902" s="17"/>
      <c r="K8902" s="17"/>
      <c r="L8902" s="17">
        <f>IFERROR(__xludf.DUMMYFUNCTION("""COMPUTED_VALUE"""),3.188882386E9)</f>
        <v>3188882386</v>
      </c>
      <c r="M8902" s="17"/>
      <c r="N8902" s="17"/>
      <c r="O8902" s="17"/>
      <c r="P8902" s="17" t="b">
        <f>IFERROR(__xludf.DUMMYFUNCTION("""COMPUTED_VALUE"""),FALSE)</f>
        <v>0</v>
      </c>
      <c r="Q8902" s="20" t="str">
        <f>IFERROR(__xludf.DUMMYFUNCTION("""COMPUTED_VALUE"""),"")</f>
        <v/>
      </c>
      <c r="R8902" s="21" t="str">
        <f>IFERROR(__xludf.DUMMYFUNCTION("""COMPUTED_VALUE"""),"https://drive.google.com/file/d/1-kkg96ZHKwoDEwHhqXuNsmgR1I_474JG/view?usp=drivesdk")</f>
        <v>https://drive.google.com/file/d/1-kkg96ZHKwoDEwHhqXuNsmgR1I_474JG/view?usp=drivesdk</v>
      </c>
    </row>
    <row r="8903">
      <c r="A8903" s="17" t="str">
        <f>IFERROR(__xludf.DUMMYFUNCTION("""COMPUTED_VALUE"""),"")</f>
        <v/>
      </c>
      <c r="B8903" s="17" t="str">
        <f>IFERROR(__xludf.DUMMYFUNCTION("""COMPUTED_VALUE"""),"")</f>
        <v/>
      </c>
      <c r="C8903" s="17" t="str">
        <f>IFERROR(__xludf.DUMMYFUNCTION("""COMPUTED_VALUE"""),"")</f>
        <v/>
      </c>
      <c r="D8903" s="17" t="str">
        <f>IFERROR(__xludf.DUMMYFUNCTION("""COMPUTED_VALUE"""),"")</f>
        <v/>
      </c>
      <c r="E8903" s="17" t="str">
        <f>IFERROR(__xludf.DUMMYFUNCTION("""COMPUTED_VALUE"""),"")</f>
        <v/>
      </c>
      <c r="F8903" s="17" t="str">
        <f>IFERROR(__xludf.DUMMYFUNCTION("""COMPUTED_VALUE"""),"")</f>
        <v/>
      </c>
      <c r="G8903" s="17" t="str">
        <f>IFERROR(__xludf.DUMMYFUNCTION("""COMPUTED_VALUE"""),"")</f>
        <v/>
      </c>
      <c r="H8903" s="17" t="str">
        <f>IFERROR(__xludf.DUMMYFUNCTION("""COMPUTED_VALUE"""),"")</f>
        <v/>
      </c>
      <c r="I8903" s="17" t="str">
        <f>IFERROR(__xludf.DUMMYFUNCTION("""COMPUTED_VALUE"""),"")</f>
        <v/>
      </c>
      <c r="J8903" s="17" t="str">
        <f>IFERROR(__xludf.DUMMYFUNCTION("""COMPUTED_VALUE"""),"")</f>
        <v/>
      </c>
      <c r="K8903" s="17" t="str">
        <f>IFERROR(__xludf.DUMMYFUNCTION("""COMPUTED_VALUE"""),"")</f>
        <v/>
      </c>
      <c r="L8903" s="17" t="str">
        <f>IFERROR(__xludf.DUMMYFUNCTION("""COMPUTED_VALUE"""),"")</f>
        <v/>
      </c>
      <c r="M8903" s="17" t="str">
        <f>IFERROR(__xludf.DUMMYFUNCTION("""COMPUTED_VALUE"""),"")</f>
        <v/>
      </c>
      <c r="N8903" s="17" t="str">
        <f>IFERROR(__xludf.DUMMYFUNCTION("""COMPUTED_VALUE"""),"")</f>
        <v/>
      </c>
      <c r="O8903" s="17" t="str">
        <f>IFERROR(__xludf.DUMMYFUNCTION("""COMPUTED_VALUE"""),"")</f>
        <v/>
      </c>
      <c r="P8903" s="17" t="str">
        <f>IFERROR(__xludf.DUMMYFUNCTION("""COMPUTED_VALUE"""),"")</f>
        <v/>
      </c>
      <c r="Q8903" s="17" t="str">
        <f>IFERROR(__xludf.DUMMYFUNCTION("""COMPUTED_VALUE"""),"")</f>
        <v/>
      </c>
      <c r="R8903" s="17" t="str">
        <f>IFERROR(__xludf.DUMMYFUNCTION("""COMPUTED_VALUE"""),"")</f>
        <v/>
      </c>
    </row>
    <row r="8904">
      <c r="A8904" s="15">
        <f>IFERROR(__xludf.DUMMYFUNCTION("""COMPUTED_VALUE"""),45253.0)</f>
        <v>45253</v>
      </c>
      <c r="B8904" s="16" t="str">
        <f>IFERROR(__xludf.DUMMYFUNCTION("""COMPUTED_VALUE"""),"Julian Calderon Rodriguez ")</f>
        <v>Julian Calderon Rodriguez </v>
      </c>
      <c r="C8904" s="15" t="str">
        <f>IFERROR(__xludf.DUMMYFUNCTION("""COMPUTED_VALUE"""),"SANTA MARTA")</f>
        <v>SANTA MARTA</v>
      </c>
      <c r="D8904" s="15" t="str">
        <f>IFERROR(__xludf.DUMMYFUNCTION("""COMPUTED_VALUE"""),"BOGOTÁ")</f>
        <v>BOGOTÁ</v>
      </c>
      <c r="E8904" s="15" t="str">
        <f>IFERROR(__xludf.DUMMYFUNCTION("""COMPUTED_VALUE"""),"Loomifoods")</f>
        <v>Loomifoods</v>
      </c>
      <c r="F8904" s="17" t="str">
        <f>IFERROR(__xludf.DUMMYFUNCTION("""COMPUTED_VALUE"""),"Carrera 7c #29-114 / Santa Marta / st mt")</f>
        <v>Carrera 7c #29-114 / Santa Marta / st mt</v>
      </c>
      <c r="G8904" s="15" t="str">
        <f>IFERROR(__xludf.DUMMYFUNCTION("""COMPUTED_VALUE"""),"Carolina Thavenet")</f>
        <v>Carolina Thavenet</v>
      </c>
      <c r="H8904" s="16">
        <f>IFERROR(__xludf.DUMMYFUNCTION("""COMPUTED_VALUE"""),17586.0)</f>
        <v>17586</v>
      </c>
      <c r="I8904" s="18">
        <f>IFERROR(__xludf.DUMMYFUNCTION("""COMPUTED_VALUE"""),19.0)</f>
        <v>19</v>
      </c>
      <c r="J8904" s="18">
        <f>IFERROR(__xludf.DUMMYFUNCTION("""COMPUTED_VALUE"""),10.0)</f>
        <v>10</v>
      </c>
      <c r="K8904" s="18">
        <f>IFERROR(__xludf.DUMMYFUNCTION("""COMPUTED_VALUE"""),16.0)</f>
        <v>16</v>
      </c>
      <c r="L8904" s="17">
        <f>IFERROR(__xludf.DUMMYFUNCTION("""COMPUTED_VALUE"""),3.103051294E9)</f>
        <v>3103051294</v>
      </c>
      <c r="M8904" s="17"/>
      <c r="N8904" s="17"/>
      <c r="O8904" s="17"/>
      <c r="P8904" s="17" t="b">
        <f>IFERROR(__xludf.DUMMYFUNCTION("""COMPUTED_VALUE"""),FALSE)</f>
        <v>0</v>
      </c>
      <c r="Q8904" s="20" t="str">
        <f>IFERROR(__xludf.DUMMYFUNCTION("""COMPUTED_VALUE"""),"")</f>
        <v/>
      </c>
      <c r="R8904" s="21" t="str">
        <f>IFERROR(__xludf.DUMMYFUNCTION("""COMPUTED_VALUE"""),"https://drive.google.com/file/d/1Jl30lamFOZvkNIWtONEB6ANgJkwEbAXj/view?usp=drivesdk")</f>
        <v>https://drive.google.com/file/d/1Jl30lamFOZvkNIWtONEB6ANgJkwEbAXj/view?usp=drivesdk</v>
      </c>
    </row>
    <row r="8905">
      <c r="A8905" s="15">
        <f>IFERROR(__xludf.DUMMYFUNCTION("""COMPUTED_VALUE"""),45253.0)</f>
        <v>45253</v>
      </c>
      <c r="B8905" s="16" t="str">
        <f>IFERROR(__xludf.DUMMYFUNCTION("""COMPUTED_VALUE"""),"Julian Calderon Rodriguez ")</f>
        <v>Julian Calderon Rodriguez </v>
      </c>
      <c r="C8905" s="15" t="str">
        <f>IFERROR(__xludf.DUMMYFUNCTION("""COMPUTED_VALUE"""),"SANTA MARTA")</f>
        <v>SANTA MARTA</v>
      </c>
      <c r="D8905" s="15" t="str">
        <f>IFERROR(__xludf.DUMMYFUNCTION("""COMPUTED_VALUE"""),"BOGOTÁ")</f>
        <v>BOGOTÁ</v>
      </c>
      <c r="E8905" s="15" t="str">
        <f>IFERROR(__xludf.DUMMYFUNCTION("""COMPUTED_VALUE"""),"Spirulina Fresca")</f>
        <v>Spirulina Fresca</v>
      </c>
      <c r="F8905" s="17" t="str">
        <f>IFERROR(__xludf.DUMMYFUNCTION("""COMPUTED_VALUE"""),"Cr 2 #29-144  / apto 302 playa Salguero rodadero / Rodadero")</f>
        <v>Cr 2 #29-144  / apto 302 playa Salguero rodadero / Rodadero</v>
      </c>
      <c r="G8905" s="15" t="str">
        <f>IFERROR(__xludf.DUMMYFUNCTION("""COMPUTED_VALUE"""),"Olga Severino")</f>
        <v>Olga Severino</v>
      </c>
      <c r="H8905" s="16">
        <f>IFERROR(__xludf.DUMMYFUNCTION("""COMPUTED_VALUE"""),17547.0)</f>
        <v>17547</v>
      </c>
      <c r="I8905" s="18">
        <f>IFERROR(__xludf.DUMMYFUNCTION("""COMPUTED_VALUE"""),10.0)</f>
        <v>10</v>
      </c>
      <c r="J8905" s="18">
        <f>IFERROR(__xludf.DUMMYFUNCTION("""COMPUTED_VALUE"""),5.0)</f>
        <v>5</v>
      </c>
      <c r="K8905" s="18">
        <f>IFERROR(__xludf.DUMMYFUNCTION("""COMPUTED_VALUE"""),22.0)</f>
        <v>22</v>
      </c>
      <c r="L8905" s="17">
        <f>IFERROR(__xludf.DUMMYFUNCTION("""COMPUTED_VALUE"""),3.12491148E9)</f>
        <v>3124911480</v>
      </c>
      <c r="M8905" s="17"/>
      <c r="N8905" s="17"/>
      <c r="O8905" s="17"/>
      <c r="P8905" s="17" t="b">
        <f>IFERROR(__xludf.DUMMYFUNCTION("""COMPUTED_VALUE"""),FALSE)</f>
        <v>0</v>
      </c>
      <c r="Q8905" s="20" t="str">
        <f>IFERROR(__xludf.DUMMYFUNCTION("""COMPUTED_VALUE"""),"")</f>
        <v/>
      </c>
      <c r="R8905" s="21" t="str">
        <f>IFERROR(__xludf.DUMMYFUNCTION("""COMPUTED_VALUE"""),"https://drive.google.com/file/d/1JP8WyspveQz0c6Sjru48Q5w3LuXItvWG/view?usp=drivesdk")</f>
        <v>https://drive.google.com/file/d/1JP8WyspveQz0c6Sjru48Q5w3LuXItvWG/view?usp=drivesdk</v>
      </c>
    </row>
    <row r="8906">
      <c r="A8906" s="15">
        <f>IFERROR(__xludf.DUMMYFUNCTION("""COMPUTED_VALUE"""),45253.0)</f>
        <v>45253</v>
      </c>
      <c r="B8906" s="16" t="str">
        <f>IFERROR(__xludf.DUMMYFUNCTION("""COMPUTED_VALUE"""),"Julian Calderon Rodriguez ")</f>
        <v>Julian Calderon Rodriguez </v>
      </c>
      <c r="C8906" s="15" t="str">
        <f>IFERROR(__xludf.DUMMYFUNCTION("""COMPUTED_VALUE"""),"VILLAVICENCIO")</f>
        <v>VILLAVICENCIO</v>
      </c>
      <c r="D8906" s="15" t="str">
        <f>IFERROR(__xludf.DUMMYFUNCTION("""COMPUTED_VALUE"""),"BOGOTÁ")</f>
        <v>BOGOTÁ</v>
      </c>
      <c r="E8906" s="15" t="str">
        <f>IFERROR(__xludf.DUMMYFUNCTION("""COMPUTED_VALUE"""),"LINA PAOLA RAMIREZ GOMEZ - EVA MAZZITA")</f>
        <v>LINA PAOLA RAMIREZ GOMEZ - EVA MAZZITA</v>
      </c>
      <c r="F8906" s="17" t="str">
        <f>IFERROR(__xludf.DUMMYFUNCTION("""COMPUTED_VALUE"""),"Carrera 40 No 5 a 41 / sur torre 8 apto 305 conjunto alcaravan Villavicencio, Meta")</f>
        <v>Carrera 40 No 5 a 41 / sur torre 8 apto 305 conjunto alcaravan Villavicencio, Meta</v>
      </c>
      <c r="G8906" s="15" t="str">
        <f>IFERROR(__xludf.DUMMYFUNCTION("""COMPUTED_VALUE"""),"TATIANA CORTES")</f>
        <v>TATIANA CORTES</v>
      </c>
      <c r="H8906" s="16">
        <f>IFERROR(__xludf.DUMMYFUNCTION("""COMPUTED_VALUE"""),17566.0)</f>
        <v>17566</v>
      </c>
      <c r="I8906" s="17"/>
      <c r="J8906" s="17"/>
      <c r="K8906" s="17"/>
      <c r="L8906" s="17">
        <f>IFERROR(__xludf.DUMMYFUNCTION("""COMPUTED_VALUE"""),3.006485514E9)</f>
        <v>3006485514</v>
      </c>
      <c r="M8906" s="17"/>
      <c r="N8906" s="17"/>
      <c r="O8906" s="17"/>
      <c r="P8906" s="17" t="b">
        <f>IFERROR(__xludf.DUMMYFUNCTION("""COMPUTED_VALUE"""),FALSE)</f>
        <v>0</v>
      </c>
      <c r="Q8906" s="20" t="str">
        <f>IFERROR(__xludf.DUMMYFUNCTION("""COMPUTED_VALUE"""),"")</f>
        <v/>
      </c>
      <c r="R8906" s="21" t="str">
        <f>IFERROR(__xludf.DUMMYFUNCTION("""COMPUTED_VALUE"""),"https://drive.google.com/file/d/1FBJCur5wW-uFNBjnYvnyosv7J_JOJ2wF/view?usp=drivesdk")</f>
        <v>https://drive.google.com/file/d/1FBJCur5wW-uFNBjnYvnyosv7J_JOJ2wF/view?usp=drivesdk</v>
      </c>
    </row>
    <row r="8907">
      <c r="A8907" s="17" t="str">
        <f>IFERROR(__xludf.DUMMYFUNCTION("""COMPUTED_VALUE"""),"")</f>
        <v/>
      </c>
      <c r="B8907" s="17" t="str">
        <f>IFERROR(__xludf.DUMMYFUNCTION("""COMPUTED_VALUE"""),"")</f>
        <v/>
      </c>
      <c r="C8907" s="17" t="str">
        <f>IFERROR(__xludf.DUMMYFUNCTION("""COMPUTED_VALUE"""),"")</f>
        <v/>
      </c>
      <c r="D8907" s="17" t="str">
        <f>IFERROR(__xludf.DUMMYFUNCTION("""COMPUTED_VALUE"""),"")</f>
        <v/>
      </c>
      <c r="E8907" s="17" t="str">
        <f>IFERROR(__xludf.DUMMYFUNCTION("""COMPUTED_VALUE"""),"")</f>
        <v/>
      </c>
      <c r="F8907" s="17" t="str">
        <f>IFERROR(__xludf.DUMMYFUNCTION("""COMPUTED_VALUE"""),"")</f>
        <v/>
      </c>
      <c r="G8907" s="17" t="str">
        <f>IFERROR(__xludf.DUMMYFUNCTION("""COMPUTED_VALUE"""),"")</f>
        <v/>
      </c>
      <c r="H8907" s="17" t="str">
        <f>IFERROR(__xludf.DUMMYFUNCTION("""COMPUTED_VALUE"""),"")</f>
        <v/>
      </c>
      <c r="I8907" s="17" t="str">
        <f>IFERROR(__xludf.DUMMYFUNCTION("""COMPUTED_VALUE"""),"")</f>
        <v/>
      </c>
      <c r="J8907" s="17" t="str">
        <f>IFERROR(__xludf.DUMMYFUNCTION("""COMPUTED_VALUE"""),"")</f>
        <v/>
      </c>
      <c r="K8907" s="17" t="str">
        <f>IFERROR(__xludf.DUMMYFUNCTION("""COMPUTED_VALUE"""),"")</f>
        <v/>
      </c>
      <c r="L8907" s="17" t="str">
        <f>IFERROR(__xludf.DUMMYFUNCTION("""COMPUTED_VALUE"""),"")</f>
        <v/>
      </c>
      <c r="M8907" s="17" t="str">
        <f>IFERROR(__xludf.DUMMYFUNCTION("""COMPUTED_VALUE"""),"")</f>
        <v/>
      </c>
      <c r="N8907" s="17" t="str">
        <f>IFERROR(__xludf.DUMMYFUNCTION("""COMPUTED_VALUE"""),"")</f>
        <v/>
      </c>
      <c r="O8907" s="17" t="str">
        <f>IFERROR(__xludf.DUMMYFUNCTION("""COMPUTED_VALUE"""),"")</f>
        <v/>
      </c>
      <c r="P8907" s="17" t="str">
        <f>IFERROR(__xludf.DUMMYFUNCTION("""COMPUTED_VALUE"""),"")</f>
        <v/>
      </c>
      <c r="Q8907" s="17" t="str">
        <f>IFERROR(__xludf.DUMMYFUNCTION("""COMPUTED_VALUE"""),"")</f>
        <v/>
      </c>
      <c r="R8907" s="17" t="str">
        <f>IFERROR(__xludf.DUMMYFUNCTION("""COMPUTED_VALUE"""),"")</f>
        <v/>
      </c>
    </row>
    <row r="8908">
      <c r="A8908" s="15">
        <f>IFERROR(__xludf.DUMMYFUNCTION("""COMPUTED_VALUE"""),45253.0)</f>
        <v>45253</v>
      </c>
      <c r="B8908" s="16" t="str">
        <f>IFERROR(__xludf.DUMMYFUNCTION("""COMPUTED_VALUE"""),"Kevin Andrés puerta Jaramillo")</f>
        <v>Kevin Andrés puerta Jaramillo</v>
      </c>
      <c r="C8908" s="15" t="str">
        <f>IFERROR(__xludf.DUMMYFUNCTION("""COMPUTED_VALUE"""),"FLORIDABLANCA")</f>
        <v>FLORIDABLANCA</v>
      </c>
      <c r="D8908" s="15" t="str">
        <f>IFERROR(__xludf.DUMMYFUNCTION("""COMPUTED_VALUE"""),"BOGOTÁ")</f>
        <v>BOGOTÁ</v>
      </c>
      <c r="E8908" s="15" t="str">
        <f>IFERROR(__xludf.DUMMYFUNCTION("""COMPUTED_VALUE"""),"LINA PAOLA RAMIREZ GOMEZ - EVA MAZZITA")</f>
        <v>LINA PAOLA RAMIREZ GOMEZ - EVA MAZZITA</v>
      </c>
      <c r="F8908" s="17" t="str">
        <f>IFERROR(__xludf.DUMMYFUNCTION("""COMPUTED_VALUE"""),"Calle 147 22 189 / quintas del palmar casa 79 Palomitas")</f>
        <v>Calle 147 22 189 / quintas del palmar casa 79 Palomitas</v>
      </c>
      <c r="G8908" s="15" t="str">
        <f>IFERROR(__xludf.DUMMYFUNCTION("""COMPUTED_VALUE"""),"JENNY GARCIA")</f>
        <v>JENNY GARCIA</v>
      </c>
      <c r="H8908" s="16">
        <f>IFERROR(__xludf.DUMMYFUNCTION("""COMPUTED_VALUE"""),17571.0)</f>
        <v>17571</v>
      </c>
      <c r="I8908" s="17"/>
      <c r="J8908" s="17"/>
      <c r="K8908" s="17"/>
      <c r="L8908" s="17">
        <f>IFERROR(__xludf.DUMMYFUNCTION("""COMPUTED_VALUE"""),3.160510651E9)</f>
        <v>3160510651</v>
      </c>
      <c r="M8908" s="17"/>
      <c r="N8908" s="17"/>
      <c r="O8908" s="17"/>
      <c r="P8908" s="17" t="b">
        <f>IFERROR(__xludf.DUMMYFUNCTION("""COMPUTED_VALUE"""),FALSE)</f>
        <v>0</v>
      </c>
      <c r="Q8908" s="20" t="str">
        <f>IFERROR(__xludf.DUMMYFUNCTION("""COMPUTED_VALUE"""),"")</f>
        <v/>
      </c>
      <c r="R8908" s="21" t="str">
        <f>IFERROR(__xludf.DUMMYFUNCTION("""COMPUTED_VALUE"""),"https://drive.google.com/file/d/1IVcIbq8t56yq6f88NTAnxiE_ecbVFMQ2/view?usp=drivesdk")</f>
        <v>https://drive.google.com/file/d/1IVcIbq8t56yq6f88NTAnxiE_ecbVFMQ2/view?usp=drivesdk</v>
      </c>
    </row>
    <row r="8909">
      <c r="A8909" s="17" t="str">
        <f>IFERROR(__xludf.DUMMYFUNCTION("""COMPUTED_VALUE"""),"")</f>
        <v/>
      </c>
      <c r="B8909" s="17" t="str">
        <f>IFERROR(__xludf.DUMMYFUNCTION("""COMPUTED_VALUE"""),"")</f>
        <v/>
      </c>
      <c r="C8909" s="17" t="str">
        <f>IFERROR(__xludf.DUMMYFUNCTION("""COMPUTED_VALUE"""),"")</f>
        <v/>
      </c>
      <c r="D8909" s="17" t="str">
        <f>IFERROR(__xludf.DUMMYFUNCTION("""COMPUTED_VALUE"""),"")</f>
        <v/>
      </c>
      <c r="E8909" s="17" t="str">
        <f>IFERROR(__xludf.DUMMYFUNCTION("""COMPUTED_VALUE"""),"")</f>
        <v/>
      </c>
      <c r="F8909" s="17" t="str">
        <f>IFERROR(__xludf.DUMMYFUNCTION("""COMPUTED_VALUE"""),"")</f>
        <v/>
      </c>
      <c r="G8909" s="17" t="str">
        <f>IFERROR(__xludf.DUMMYFUNCTION("""COMPUTED_VALUE"""),"")</f>
        <v/>
      </c>
      <c r="H8909" s="17" t="str">
        <f>IFERROR(__xludf.DUMMYFUNCTION("""COMPUTED_VALUE"""),"")</f>
        <v/>
      </c>
      <c r="I8909" s="17" t="str">
        <f>IFERROR(__xludf.DUMMYFUNCTION("""COMPUTED_VALUE"""),"")</f>
        <v/>
      </c>
      <c r="J8909" s="17" t="str">
        <f>IFERROR(__xludf.DUMMYFUNCTION("""COMPUTED_VALUE"""),"")</f>
        <v/>
      </c>
      <c r="K8909" s="17" t="str">
        <f>IFERROR(__xludf.DUMMYFUNCTION("""COMPUTED_VALUE"""),"")</f>
        <v/>
      </c>
      <c r="L8909" s="17" t="str">
        <f>IFERROR(__xludf.DUMMYFUNCTION("""COMPUTED_VALUE"""),"")</f>
        <v/>
      </c>
      <c r="M8909" s="17" t="str">
        <f>IFERROR(__xludf.DUMMYFUNCTION("""COMPUTED_VALUE"""),"")</f>
        <v/>
      </c>
      <c r="N8909" s="17" t="str">
        <f>IFERROR(__xludf.DUMMYFUNCTION("""COMPUTED_VALUE"""),"")</f>
        <v/>
      </c>
      <c r="O8909" s="17" t="str">
        <f>IFERROR(__xludf.DUMMYFUNCTION("""COMPUTED_VALUE"""),"")</f>
        <v/>
      </c>
      <c r="P8909" s="17" t="str">
        <f>IFERROR(__xludf.DUMMYFUNCTION("""COMPUTED_VALUE"""),"")</f>
        <v/>
      </c>
      <c r="Q8909" s="17" t="str">
        <f>IFERROR(__xludf.DUMMYFUNCTION("""COMPUTED_VALUE"""),"")</f>
        <v/>
      </c>
      <c r="R8909" s="17" t="str">
        <f>IFERROR(__xludf.DUMMYFUNCTION("""COMPUTED_VALUE"""),"")</f>
        <v/>
      </c>
    </row>
    <row r="8910">
      <c r="A8910" s="15">
        <f>IFERROR(__xludf.DUMMYFUNCTION("""COMPUTED_VALUE"""),45253.0)</f>
        <v>45253</v>
      </c>
      <c r="B8910" s="16" t="str">
        <f>IFERROR(__xludf.DUMMYFUNCTION("""COMPUTED_VALUE"""),"Lina Gaona")</f>
        <v>Lina Gaona</v>
      </c>
      <c r="C8910" s="15" t="str">
        <f>IFERROR(__xludf.DUMMYFUNCTION("""COMPUTED_VALUE"""),"VILLAVICENCIO")</f>
        <v>VILLAVICENCIO</v>
      </c>
      <c r="D8910" s="15" t="str">
        <f>IFERROR(__xludf.DUMMYFUNCTION("""COMPUTED_VALUE"""),"BOGOTÁ")</f>
        <v>BOGOTÁ</v>
      </c>
      <c r="E8910" s="15" t="str">
        <f>IFERROR(__xludf.DUMMYFUNCTION("""COMPUTED_VALUE"""),"LINA PAOLA RAMIREZ GOMEZ - EVA MAZZITA")</f>
        <v>LINA PAOLA RAMIREZ GOMEZ - EVA MAZZITA</v>
      </c>
      <c r="F8910" s="17" t="str">
        <f>IFERROR(__xludf.DUMMYFUNCTION("""COMPUTED_VALUE"""),"Kra 44#14-14 / apto 401 Edificio Reservas de Alcalá")</f>
        <v>Kra 44#14-14 / apto 401 Edificio Reservas de Alcalá</v>
      </c>
      <c r="G8910" s="15" t="str">
        <f>IFERROR(__xludf.DUMMYFUNCTION("""COMPUTED_VALUE"""),"YEIMY STEFANY GIL ZABALETA")</f>
        <v>YEIMY STEFANY GIL ZABALETA</v>
      </c>
      <c r="H8910" s="16">
        <f>IFERROR(__xludf.DUMMYFUNCTION("""COMPUTED_VALUE"""),17572.0)</f>
        <v>17572</v>
      </c>
      <c r="I8910" s="17"/>
      <c r="J8910" s="17"/>
      <c r="K8910" s="17"/>
      <c r="L8910" s="17">
        <f>IFERROR(__xludf.DUMMYFUNCTION("""COMPUTED_VALUE"""),3.002797433E9)</f>
        <v>3002797433</v>
      </c>
      <c r="M8910" s="17"/>
      <c r="N8910" s="17"/>
      <c r="O8910" s="17"/>
      <c r="P8910" s="17" t="b">
        <f>IFERROR(__xludf.DUMMYFUNCTION("""COMPUTED_VALUE"""),FALSE)</f>
        <v>0</v>
      </c>
      <c r="Q8910" s="20" t="str">
        <f>IFERROR(__xludf.DUMMYFUNCTION("""COMPUTED_VALUE"""),"")</f>
        <v/>
      </c>
      <c r="R8910" s="21" t="str">
        <f>IFERROR(__xludf.DUMMYFUNCTION("""COMPUTED_VALUE"""),"https://drive.google.com/file/d/1l-conxqC-xL3PRijZ2OhK_Cf-qiARHRG/view?usp=drivesdk")</f>
        <v>https://drive.google.com/file/d/1l-conxqC-xL3PRijZ2OhK_Cf-qiARHRG/view?usp=drivesdk</v>
      </c>
    </row>
    <row r="8911">
      <c r="A8911" s="17" t="str">
        <f>IFERROR(__xludf.DUMMYFUNCTION("""COMPUTED_VALUE"""),"")</f>
        <v/>
      </c>
      <c r="B8911" s="17" t="str">
        <f>IFERROR(__xludf.DUMMYFUNCTION("""COMPUTED_VALUE"""),"")</f>
        <v/>
      </c>
      <c r="C8911" s="17" t="str">
        <f>IFERROR(__xludf.DUMMYFUNCTION("""COMPUTED_VALUE"""),"")</f>
        <v/>
      </c>
      <c r="D8911" s="17" t="str">
        <f>IFERROR(__xludf.DUMMYFUNCTION("""COMPUTED_VALUE"""),"")</f>
        <v/>
      </c>
      <c r="E8911" s="17" t="str">
        <f>IFERROR(__xludf.DUMMYFUNCTION("""COMPUTED_VALUE"""),"")</f>
        <v/>
      </c>
      <c r="F8911" s="17" t="str">
        <f>IFERROR(__xludf.DUMMYFUNCTION("""COMPUTED_VALUE"""),"")</f>
        <v/>
      </c>
      <c r="G8911" s="17" t="str">
        <f>IFERROR(__xludf.DUMMYFUNCTION("""COMPUTED_VALUE"""),"")</f>
        <v/>
      </c>
      <c r="H8911" s="17" t="str">
        <f>IFERROR(__xludf.DUMMYFUNCTION("""COMPUTED_VALUE"""),"")</f>
        <v/>
      </c>
      <c r="I8911" s="17" t="str">
        <f>IFERROR(__xludf.DUMMYFUNCTION("""COMPUTED_VALUE"""),"")</f>
        <v/>
      </c>
      <c r="J8911" s="17" t="str">
        <f>IFERROR(__xludf.DUMMYFUNCTION("""COMPUTED_VALUE"""),"")</f>
        <v/>
      </c>
      <c r="K8911" s="17" t="str">
        <f>IFERROR(__xludf.DUMMYFUNCTION("""COMPUTED_VALUE"""),"")</f>
        <v/>
      </c>
      <c r="L8911" s="17" t="str">
        <f>IFERROR(__xludf.DUMMYFUNCTION("""COMPUTED_VALUE"""),"")</f>
        <v/>
      </c>
      <c r="M8911" s="17" t="str">
        <f>IFERROR(__xludf.DUMMYFUNCTION("""COMPUTED_VALUE"""),"")</f>
        <v/>
      </c>
      <c r="N8911" s="17" t="str">
        <f>IFERROR(__xludf.DUMMYFUNCTION("""COMPUTED_VALUE"""),"")</f>
        <v/>
      </c>
      <c r="O8911" s="17" t="str">
        <f>IFERROR(__xludf.DUMMYFUNCTION("""COMPUTED_VALUE"""),"")</f>
        <v/>
      </c>
      <c r="P8911" s="17" t="str">
        <f>IFERROR(__xludf.DUMMYFUNCTION("""COMPUTED_VALUE"""),"")</f>
        <v/>
      </c>
      <c r="Q8911" s="17" t="str">
        <f>IFERROR(__xludf.DUMMYFUNCTION("""COMPUTED_VALUE"""),"")</f>
        <v/>
      </c>
      <c r="R8911" s="17" t="str">
        <f>IFERROR(__xludf.DUMMYFUNCTION("""COMPUTED_VALUE"""),"")</f>
        <v/>
      </c>
    </row>
    <row r="8912">
      <c r="A8912" s="15">
        <f>IFERROR(__xludf.DUMMYFUNCTION("""COMPUTED_VALUE"""),45253.0)</f>
        <v>45253</v>
      </c>
      <c r="B8912" s="16" t="str">
        <f>IFERROR(__xludf.DUMMYFUNCTION("""COMPUTED_VALUE"""),"Orlando Urdaneta Rincon ")</f>
        <v>Orlando Urdaneta Rincon </v>
      </c>
      <c r="C8912" s="15" t="str">
        <f>IFERROR(__xludf.DUMMYFUNCTION("""COMPUTED_VALUE"""),"NEIVA")</f>
        <v>NEIVA</v>
      </c>
      <c r="D8912" s="15" t="str">
        <f>IFERROR(__xludf.DUMMYFUNCTION("""COMPUTED_VALUE"""),"BOGOTÁ")</f>
        <v>BOGOTÁ</v>
      </c>
      <c r="E8912" s="15" t="str">
        <f>IFERROR(__xludf.DUMMYFUNCTION("""COMPUTED_VALUE"""),"LINA PAOLA RAMIREZ GOMEZ - EVA MAZZITA")</f>
        <v>LINA PAOLA RAMIREZ GOMEZ - EVA MAZZITA</v>
      </c>
      <c r="F8912" s="17" t="str">
        <f>IFERROR(__xludf.DUMMYFUNCTION("""COMPUTED_VALUE"""),"CARRERA 42 # 18 A - 08 / TORRE H, APTO. 1008")</f>
        <v>CARRERA 42 # 18 A - 08 / TORRE H, APTO. 1008</v>
      </c>
      <c r="G8912" s="15" t="str">
        <f>IFERROR(__xludf.DUMMYFUNCTION("""COMPUTED_VALUE"""),"ISABEL MARTINEZ")</f>
        <v>ISABEL MARTINEZ</v>
      </c>
      <c r="H8912" s="16">
        <f>IFERROR(__xludf.DUMMYFUNCTION("""COMPUTED_VALUE"""),17567.0)</f>
        <v>17567</v>
      </c>
      <c r="I8912" s="17"/>
      <c r="J8912" s="17"/>
      <c r="K8912" s="17"/>
      <c r="L8912" s="17">
        <f>IFERROR(__xludf.DUMMYFUNCTION("""COMPUTED_VALUE"""),3.167464059E9)</f>
        <v>3167464059</v>
      </c>
      <c r="M8912" s="17"/>
      <c r="N8912" s="17"/>
      <c r="O8912" s="17"/>
      <c r="P8912" s="17" t="b">
        <f>IFERROR(__xludf.DUMMYFUNCTION("""COMPUTED_VALUE"""),FALSE)</f>
        <v>0</v>
      </c>
      <c r="Q8912" s="20" t="str">
        <f>IFERROR(__xludf.DUMMYFUNCTION("""COMPUTED_VALUE"""),"")</f>
        <v/>
      </c>
      <c r="R8912" s="21" t="str">
        <f>IFERROR(__xludf.DUMMYFUNCTION("""COMPUTED_VALUE"""),"https://drive.google.com/file/d/1VjP9ixcTFNtZ-SS_4MCd9GknGPRzOR5y/view?usp=drivesdk")</f>
        <v>https://drive.google.com/file/d/1VjP9ixcTFNtZ-SS_4MCd9GknGPRzOR5y/view?usp=drivesdk</v>
      </c>
    </row>
    <row r="8913">
      <c r="A8913" s="15">
        <f>IFERROR(__xludf.DUMMYFUNCTION("""COMPUTED_VALUE"""),45253.0)</f>
        <v>45253</v>
      </c>
      <c r="B8913" s="16" t="str">
        <f>IFERROR(__xludf.DUMMYFUNCTION("""COMPUTED_VALUE"""),"Orlando Urdaneta Rincon ")</f>
        <v>Orlando Urdaneta Rincon </v>
      </c>
      <c r="C8913" s="15" t="str">
        <f>IFERROR(__xludf.DUMMYFUNCTION("""COMPUTED_VALUE"""),"NEIVA")</f>
        <v>NEIVA</v>
      </c>
      <c r="D8913" s="15" t="str">
        <f>IFERROR(__xludf.DUMMYFUNCTION("""COMPUTED_VALUE"""),"BOGOTÁ")</f>
        <v>BOGOTÁ</v>
      </c>
      <c r="E8913" s="15" t="str">
        <f>IFERROR(__xludf.DUMMYFUNCTION("""COMPUTED_VALUE"""),"Top Spun")</f>
        <v>Top Spun</v>
      </c>
      <c r="F8913" s="17" t="str">
        <f>IFERROR(__xludf.DUMMYFUNCTION("""COMPUTED_VALUE"""),"Av 26 # 31 - 68 / Conjunto Santa Clara / Bloque 6 apto 301")</f>
        <v>Av 26 # 31 - 68 / Conjunto Santa Clara / Bloque 6 apto 301</v>
      </c>
      <c r="G8913" s="15" t="str">
        <f>IFERROR(__xludf.DUMMYFUNCTION("""COMPUTED_VALUE"""),"Diana Torres Rivera")</f>
        <v>Diana Torres Rivera</v>
      </c>
      <c r="H8913" s="16">
        <f>IFERROR(__xludf.DUMMYFUNCTION("""COMPUTED_VALUE"""),17508.0)</f>
        <v>17508</v>
      </c>
      <c r="I8913" s="18">
        <f>IFERROR(__xludf.DUMMYFUNCTION("""COMPUTED_VALUE"""),20.0)</f>
        <v>20</v>
      </c>
      <c r="J8913" s="18">
        <f>IFERROR(__xludf.DUMMYFUNCTION("""COMPUTED_VALUE"""),10.0)</f>
        <v>10</v>
      </c>
      <c r="K8913" s="18">
        <f>IFERROR(__xludf.DUMMYFUNCTION("""COMPUTED_VALUE"""),40.0)</f>
        <v>40</v>
      </c>
      <c r="L8913" s="17">
        <f>IFERROR(__xludf.DUMMYFUNCTION("""COMPUTED_VALUE"""),3.186937781E9)</f>
        <v>3186937781</v>
      </c>
      <c r="M8913" s="17"/>
      <c r="N8913" s="17"/>
      <c r="O8913" s="17"/>
      <c r="P8913" s="17" t="b">
        <f>IFERROR(__xludf.DUMMYFUNCTION("""COMPUTED_VALUE"""),FALSE)</f>
        <v>0</v>
      </c>
      <c r="Q8913" s="20" t="str">
        <f>IFERROR(__xludf.DUMMYFUNCTION("""COMPUTED_VALUE"""),"")</f>
        <v/>
      </c>
      <c r="R8913" s="21" t="str">
        <f>IFERROR(__xludf.DUMMYFUNCTION("""COMPUTED_VALUE"""),"https://drive.google.com/file/d/1G428-Zl5Kr8Ede_4pSvaQB5XYcVfH9kb/view?usp=drivesdk")</f>
        <v>https://drive.google.com/file/d/1G428-Zl5Kr8Ede_4pSvaQB5XYcVfH9kb/view?usp=drivesdk</v>
      </c>
    </row>
    <row r="8914">
      <c r="A8914" s="15">
        <f>IFERROR(__xludf.DUMMYFUNCTION("""COMPUTED_VALUE"""),45253.0)</f>
        <v>45253</v>
      </c>
      <c r="B8914" s="16" t="str">
        <f>IFERROR(__xludf.DUMMYFUNCTION("""COMPUTED_VALUE"""),"Orlando Urdaneta Rincon ")</f>
        <v>Orlando Urdaneta Rincon </v>
      </c>
      <c r="C8914" s="15" t="str">
        <f>IFERROR(__xludf.DUMMYFUNCTION("""COMPUTED_VALUE"""),"SANTA MARTA")</f>
        <v>SANTA MARTA</v>
      </c>
      <c r="D8914" s="15" t="str">
        <f>IFERROR(__xludf.DUMMYFUNCTION("""COMPUTED_VALUE"""),"BOGOTÁ")</f>
        <v>BOGOTÁ</v>
      </c>
      <c r="E8914" s="15" t="str">
        <f>IFERROR(__xludf.DUMMYFUNCTION("""COMPUTED_VALUE"""),"Instinto alimento vital")</f>
        <v>Instinto alimento vital</v>
      </c>
      <c r="F8914" s="17" t="str">
        <f>IFERROR(__xludf.DUMMYFUNCTION("""COMPUTED_VALUE"""),"CR 2 # 16-28 / CASA 10")</f>
        <v>CR 2 # 16-28 / CASA 10</v>
      </c>
      <c r="G8914" s="15" t="str">
        <f>IFERROR(__xludf.DUMMYFUNCTION("""COMPUTED_VALUE"""),"LILIANA DDEL CARMEN RODRIGUEZ ACEVEDO")</f>
        <v>LILIANA DDEL CARMEN RODRIGUEZ ACEVEDO</v>
      </c>
      <c r="H8914" s="16">
        <f>IFERROR(__xludf.DUMMYFUNCTION("""COMPUTED_VALUE"""),17559.0)</f>
        <v>17559</v>
      </c>
      <c r="I8914" s="17"/>
      <c r="J8914" s="17"/>
      <c r="K8914" s="17"/>
      <c r="L8914" s="17">
        <f>IFERROR(__xludf.DUMMYFUNCTION("""COMPUTED_VALUE"""),3.008165296E9)</f>
        <v>3008165296</v>
      </c>
      <c r="M8914" s="17"/>
      <c r="N8914" s="17"/>
      <c r="O8914" s="17"/>
      <c r="P8914" s="17" t="b">
        <f>IFERROR(__xludf.DUMMYFUNCTION("""COMPUTED_VALUE"""),FALSE)</f>
        <v>0</v>
      </c>
      <c r="Q8914" s="20" t="str">
        <f>IFERROR(__xludf.DUMMYFUNCTION("""COMPUTED_VALUE"""),"")</f>
        <v/>
      </c>
      <c r="R8914" s="21" t="str">
        <f>IFERROR(__xludf.DUMMYFUNCTION("""COMPUTED_VALUE"""),"https://drive.google.com/file/d/1pREG391iuV2d7IlM_k-sIOJAsT82LUcN/view?usp=drivesdk")</f>
        <v>https://drive.google.com/file/d/1pREG391iuV2d7IlM_k-sIOJAsT82LUcN/view?usp=drivesdk</v>
      </c>
    </row>
    <row r="8915">
      <c r="A8915" s="15">
        <f>IFERROR(__xludf.DUMMYFUNCTION("""COMPUTED_VALUE"""),45253.0)</f>
        <v>45253</v>
      </c>
      <c r="B8915" s="16" t="str">
        <f>IFERROR(__xludf.DUMMYFUNCTION("""COMPUTED_VALUE"""),"Orlando Urdaneta Rincon ")</f>
        <v>Orlando Urdaneta Rincon </v>
      </c>
      <c r="C8915" s="15" t="str">
        <f>IFERROR(__xludf.DUMMYFUNCTION("""COMPUTED_VALUE"""),"SANTA MARTA")</f>
        <v>SANTA MARTA</v>
      </c>
      <c r="D8915" s="15" t="str">
        <f>IFERROR(__xludf.DUMMYFUNCTION("""COMPUTED_VALUE"""),"BOGOTÁ")</f>
        <v>BOGOTÁ</v>
      </c>
      <c r="E8915" s="15" t="str">
        <f>IFERROR(__xludf.DUMMYFUNCTION("""COMPUTED_VALUE"""),"Juan Carlos Aponte")</f>
        <v>Juan Carlos Aponte</v>
      </c>
      <c r="F8915" s="17" t="str">
        <f>IFERROR(__xludf.DUMMYFUNCTION("""COMPUTED_VALUE"""),"Edificio Balcones de Andalucía Apto B54 Km 14 - 278 Carrera 90 calle 113 / Entrando por Irotama al fondo, a la derecha, después de la Torre de Irotama Siglo XXI, a la izquierda, edificio a la izquierda / BELLO HORIZONTE")</f>
        <v>Edificio Balcones de Andalucía Apto B54 Km 14 - 278 Carrera 90 calle 113 / Entrando por Irotama al fondo, a la derecha, después de la Torre de Irotama Siglo XXI, a la izquierda, edificio a la izquierda / BELLO HORIZONTE</v>
      </c>
      <c r="G8915" s="15" t="str">
        <f>IFERROR(__xludf.DUMMYFUNCTION("""COMPUTED_VALUE"""),"JUAN CARLOS APONTE ORDÓÑEZ")</f>
        <v>JUAN CARLOS APONTE ORDÓÑEZ</v>
      </c>
      <c r="H8915" s="16">
        <f>IFERROR(__xludf.DUMMYFUNCTION("""COMPUTED_VALUE"""),17526.0)</f>
        <v>17526</v>
      </c>
      <c r="I8915" s="18">
        <f>IFERROR(__xludf.DUMMYFUNCTION("""COMPUTED_VALUE"""),40.0)</f>
        <v>40</v>
      </c>
      <c r="J8915" s="18">
        <f>IFERROR(__xludf.DUMMYFUNCTION("""COMPUTED_VALUE"""),40.0)</f>
        <v>40</v>
      </c>
      <c r="K8915" s="18">
        <f>IFERROR(__xludf.DUMMYFUNCTION("""COMPUTED_VALUE"""),40.0)</f>
        <v>40</v>
      </c>
      <c r="L8915" s="17">
        <f>IFERROR(__xludf.DUMMYFUNCTION("""COMPUTED_VALUE"""),3.157835032E9)</f>
        <v>3157835032</v>
      </c>
      <c r="M8915" s="17"/>
      <c r="N8915" s="17"/>
      <c r="O8915" s="17"/>
      <c r="P8915" s="17" t="b">
        <f>IFERROR(__xludf.DUMMYFUNCTION("""COMPUTED_VALUE"""),FALSE)</f>
        <v>0</v>
      </c>
      <c r="Q8915" s="20" t="str">
        <f>IFERROR(__xludf.DUMMYFUNCTION("""COMPUTED_VALUE"""),"")</f>
        <v/>
      </c>
      <c r="R8915" s="22" t="str">
        <f>IFERROR(__xludf.DUMMYFUNCTION("""COMPUTED_VALUE"""),"")</f>
        <v/>
      </c>
    </row>
    <row r="8916">
      <c r="A8916" s="17" t="str">
        <f>IFERROR(__xludf.DUMMYFUNCTION("""COMPUTED_VALUE"""),"")</f>
        <v/>
      </c>
      <c r="B8916" s="17" t="str">
        <f>IFERROR(__xludf.DUMMYFUNCTION("""COMPUTED_VALUE"""),"")</f>
        <v/>
      </c>
      <c r="C8916" s="17" t="str">
        <f>IFERROR(__xludf.DUMMYFUNCTION("""COMPUTED_VALUE"""),"")</f>
        <v/>
      </c>
      <c r="D8916" s="17" t="str">
        <f>IFERROR(__xludf.DUMMYFUNCTION("""COMPUTED_VALUE"""),"")</f>
        <v/>
      </c>
      <c r="E8916" s="17" t="str">
        <f>IFERROR(__xludf.DUMMYFUNCTION("""COMPUTED_VALUE"""),"")</f>
        <v/>
      </c>
      <c r="F8916" s="17" t="str">
        <f>IFERROR(__xludf.DUMMYFUNCTION("""COMPUTED_VALUE"""),"")</f>
        <v/>
      </c>
      <c r="G8916" s="17" t="str">
        <f>IFERROR(__xludf.DUMMYFUNCTION("""COMPUTED_VALUE"""),"")</f>
        <v/>
      </c>
      <c r="H8916" s="17" t="str">
        <f>IFERROR(__xludf.DUMMYFUNCTION("""COMPUTED_VALUE"""),"")</f>
        <v/>
      </c>
      <c r="I8916" s="17" t="str">
        <f>IFERROR(__xludf.DUMMYFUNCTION("""COMPUTED_VALUE"""),"")</f>
        <v/>
      </c>
      <c r="J8916" s="17" t="str">
        <f>IFERROR(__xludf.DUMMYFUNCTION("""COMPUTED_VALUE"""),"")</f>
        <v/>
      </c>
      <c r="K8916" s="17" t="str">
        <f>IFERROR(__xludf.DUMMYFUNCTION("""COMPUTED_VALUE"""),"")</f>
        <v/>
      </c>
      <c r="L8916" s="17" t="str">
        <f>IFERROR(__xludf.DUMMYFUNCTION("""COMPUTED_VALUE"""),"")</f>
        <v/>
      </c>
      <c r="M8916" s="17" t="str">
        <f>IFERROR(__xludf.DUMMYFUNCTION("""COMPUTED_VALUE"""),"")</f>
        <v/>
      </c>
      <c r="N8916" s="17" t="str">
        <f>IFERROR(__xludf.DUMMYFUNCTION("""COMPUTED_VALUE"""),"")</f>
        <v/>
      </c>
      <c r="O8916" s="17" t="str">
        <f>IFERROR(__xludf.DUMMYFUNCTION("""COMPUTED_VALUE"""),"")</f>
        <v/>
      </c>
      <c r="P8916" s="17" t="str">
        <f>IFERROR(__xludf.DUMMYFUNCTION("""COMPUTED_VALUE"""),"")</f>
        <v/>
      </c>
      <c r="Q8916" s="17" t="str">
        <f>IFERROR(__xludf.DUMMYFUNCTION("""COMPUTED_VALUE"""),"")</f>
        <v/>
      </c>
      <c r="R8916" s="17" t="str">
        <f>IFERROR(__xludf.DUMMYFUNCTION("""COMPUTED_VALUE"""),"")</f>
        <v/>
      </c>
    </row>
    <row r="8917">
      <c r="A8917" s="15">
        <f>IFERROR(__xludf.DUMMYFUNCTION("""COMPUTED_VALUE"""),45254.0)</f>
        <v>45254</v>
      </c>
      <c r="B8917" s="17"/>
      <c r="C8917" s="15" t="str">
        <f>IFERROR(__xludf.DUMMYFUNCTION("""COMPUTED_VALUE"""),"PASTO")</f>
        <v>PASTO</v>
      </c>
      <c r="D8917" s="15" t="str">
        <f>IFERROR(__xludf.DUMMYFUNCTION("""COMPUTED_VALUE"""),"BOGOTÁ")</f>
        <v>BOGOTÁ</v>
      </c>
      <c r="E8917" s="15" t="str">
        <f>IFERROR(__xludf.DUMMYFUNCTION("""COMPUTED_VALUE"""),"Instinto alimento vital")</f>
        <v>Instinto alimento vital</v>
      </c>
      <c r="F8917" s="17" t="str">
        <f>IFERROR(__xludf.DUMMYFUNCTION("""COMPUTED_VALUE"""),"CRA 35 # 15-24 APT 301 / EDIFICIO LAS CAMELIAS")</f>
        <v>CRA 35 # 15-24 APT 301 / EDIFICIO LAS CAMELIAS</v>
      </c>
      <c r="G8917" s="15" t="str">
        <f>IFERROR(__xludf.DUMMYFUNCTION("""COMPUTED_VALUE"""),"JANETH CABRERA // CARMEN CABRERA")</f>
        <v>JANETH CABRERA // CARMEN CABRERA</v>
      </c>
      <c r="H8917" s="16">
        <f>IFERROR(__xludf.DUMMYFUNCTION("""COMPUTED_VALUE"""),17545.0)</f>
        <v>17545</v>
      </c>
      <c r="I8917" s="17"/>
      <c r="J8917" s="17"/>
      <c r="K8917" s="17"/>
      <c r="L8917" s="17"/>
      <c r="M8917" s="17"/>
      <c r="N8917" s="17"/>
      <c r="O8917" s="17"/>
      <c r="P8917" s="17" t="b">
        <f>IFERROR(__xludf.DUMMYFUNCTION("""COMPUTED_VALUE"""),TRUE)</f>
        <v>1</v>
      </c>
      <c r="Q8917" s="20">
        <f>IFERROR(__xludf.DUMMYFUNCTION("""COMPUTED_VALUE"""),45255.11605761574)</f>
        <v>45255.11606</v>
      </c>
      <c r="R8917" s="22" t="str">
        <f>IFERROR(__xludf.DUMMYFUNCTION("""COMPUTED_VALUE"""),"")</f>
        <v/>
      </c>
    </row>
    <row r="8918">
      <c r="A8918" s="15">
        <f>IFERROR(__xludf.DUMMYFUNCTION("""COMPUTED_VALUE"""),45254.0)</f>
        <v>45254</v>
      </c>
      <c r="B8918" s="17"/>
      <c r="C8918" s="15" t="str">
        <f>IFERROR(__xludf.DUMMYFUNCTION("""COMPUTED_VALUE"""),"SANTA MARTA")</f>
        <v>SANTA MARTA</v>
      </c>
      <c r="D8918" s="15" t="str">
        <f>IFERROR(__xludf.DUMMYFUNCTION("""COMPUTED_VALUE"""),"MEDELLÍN")</f>
        <v>MEDELLÍN</v>
      </c>
      <c r="E8918" s="15" t="str">
        <f>IFERROR(__xludf.DUMMYFUNCTION("""COMPUTED_VALUE"""),"HELADERIA MAGDA")</f>
        <v>HELADERIA MAGDA</v>
      </c>
      <c r="F8918" s="17" t="str">
        <f>IFERROR(__xludf.DUMMYFUNCTION("""COMPUTED_VALUE"""),"CALLE 22 #6-82 / PLAZUELA 22 LOCAL 27")</f>
        <v>CALLE 22 #6-82 / PLAZUELA 22 LOCAL 27</v>
      </c>
      <c r="G8918" s="15" t="str">
        <f>IFERROR(__xludf.DUMMYFUNCTION("""COMPUTED_VALUE"""),"HELADERIA MAGDA SANTA MARTA")</f>
        <v>HELADERIA MAGDA SANTA MARTA</v>
      </c>
      <c r="H8918" s="16">
        <f>IFERROR(__xludf.DUMMYFUNCTION("""COMPUTED_VALUE"""),17589.0)</f>
        <v>17589</v>
      </c>
      <c r="I8918" s="17"/>
      <c r="J8918" s="17"/>
      <c r="K8918" s="17"/>
      <c r="L8918" s="17">
        <f>IFERROR(__xludf.DUMMYFUNCTION("""COMPUTED_VALUE"""),3.054269156E9)</f>
        <v>3054269156</v>
      </c>
      <c r="M8918" s="17"/>
      <c r="N8918" s="17"/>
      <c r="O8918" s="17"/>
      <c r="P8918" s="17" t="b">
        <f>IFERROR(__xludf.DUMMYFUNCTION("""COMPUTED_VALUE"""),FALSE)</f>
        <v>0</v>
      </c>
      <c r="Q8918" s="20" t="str">
        <f>IFERROR(__xludf.DUMMYFUNCTION("""COMPUTED_VALUE"""),"")</f>
        <v/>
      </c>
      <c r="R8918" s="21" t="str">
        <f>IFERROR(__xludf.DUMMYFUNCTION("""COMPUTED_VALUE"""),"https://drive.google.com/file/d/192wu_XKJA3Rlt6PO1ENK5OO7FQDKl1Zg/view?usp=drivesdk")</f>
        <v>https://drive.google.com/file/d/192wu_XKJA3Rlt6PO1ENK5OO7FQDKl1Zg/view?usp=drivesdk</v>
      </c>
    </row>
    <row r="8919">
      <c r="A8919" s="15">
        <f>IFERROR(__xludf.DUMMYFUNCTION("""COMPUTED_VALUE"""),45254.0)</f>
        <v>45254</v>
      </c>
      <c r="B8919" s="17"/>
      <c r="C8919" s="15" t="str">
        <f>IFERROR(__xludf.DUMMYFUNCTION("""COMPUTED_VALUE"""),"SANTA MARTA")</f>
        <v>SANTA MARTA</v>
      </c>
      <c r="D8919" s="15" t="str">
        <f>IFERROR(__xludf.DUMMYFUNCTION("""COMPUTED_VALUE"""),"MEDELLÍN")</f>
        <v>MEDELLÍN</v>
      </c>
      <c r="E8919" s="15" t="str">
        <f>IFERROR(__xludf.DUMMYFUNCTION("""COMPUTED_VALUE"""),"Terravocado")</f>
        <v>Terravocado</v>
      </c>
      <c r="F8919" s="17" t="str">
        <f>IFERROR(__xludf.DUMMYFUNCTION("""COMPUTED_VALUE"""),"CLL 18# 4 05  / CENTRO  / CENTRO ")</f>
        <v>CLL 18# 4 05  / CENTRO  / CENTRO </v>
      </c>
      <c r="G8919" s="15" t="str">
        <f>IFERROR(__xludf.DUMMYFUNCTION("""COMPUTED_VALUE"""),"GOOD FEAST ")</f>
        <v>GOOD FEAST </v>
      </c>
      <c r="H8919" s="16">
        <f>IFERROR(__xludf.DUMMYFUNCTION("""COMPUTED_VALUE"""),17512.0)</f>
        <v>17512</v>
      </c>
      <c r="I8919" s="18">
        <f>IFERROR(__xludf.DUMMYFUNCTION("""COMPUTED_VALUE"""),20.0)</f>
        <v>20</v>
      </c>
      <c r="J8919" s="18">
        <f>IFERROR(__xludf.DUMMYFUNCTION("""COMPUTED_VALUE"""),24.0)</f>
        <v>24</v>
      </c>
      <c r="K8919" s="18">
        <f>IFERROR(__xludf.DUMMYFUNCTION("""COMPUTED_VALUE"""),34.0)</f>
        <v>34</v>
      </c>
      <c r="L8919" s="17">
        <f>IFERROR(__xludf.DUMMYFUNCTION("""COMPUTED_VALUE"""),3.13672152E9)</f>
        <v>3136721520</v>
      </c>
      <c r="M8919" s="17"/>
      <c r="N8919" s="17"/>
      <c r="O8919" s="17"/>
      <c r="P8919" s="17" t="b">
        <f>IFERROR(__xludf.DUMMYFUNCTION("""COMPUTED_VALUE"""),FALSE)</f>
        <v>0</v>
      </c>
      <c r="Q8919" s="20" t="str">
        <f>IFERROR(__xludf.DUMMYFUNCTION("""COMPUTED_VALUE"""),"")</f>
        <v/>
      </c>
      <c r="R8919" s="22" t="str">
        <f>IFERROR(__xludf.DUMMYFUNCTION("""COMPUTED_VALUE"""),"")</f>
        <v/>
      </c>
    </row>
    <row r="8920">
      <c r="A8920" s="17" t="str">
        <f>IFERROR(__xludf.DUMMYFUNCTION("""COMPUTED_VALUE"""),"")</f>
        <v/>
      </c>
      <c r="B8920" s="17" t="str">
        <f>IFERROR(__xludf.DUMMYFUNCTION("""COMPUTED_VALUE"""),"")</f>
        <v/>
      </c>
      <c r="C8920" s="17" t="str">
        <f>IFERROR(__xludf.DUMMYFUNCTION("""COMPUTED_VALUE"""),"")</f>
        <v/>
      </c>
      <c r="D8920" s="17" t="str">
        <f>IFERROR(__xludf.DUMMYFUNCTION("""COMPUTED_VALUE"""),"")</f>
        <v/>
      </c>
      <c r="E8920" s="17" t="str">
        <f>IFERROR(__xludf.DUMMYFUNCTION("""COMPUTED_VALUE"""),"")</f>
        <v/>
      </c>
      <c r="F8920" s="17" t="str">
        <f>IFERROR(__xludf.DUMMYFUNCTION("""COMPUTED_VALUE"""),"")</f>
        <v/>
      </c>
      <c r="G8920" s="17" t="str">
        <f>IFERROR(__xludf.DUMMYFUNCTION("""COMPUTED_VALUE"""),"")</f>
        <v/>
      </c>
      <c r="H8920" s="17" t="str">
        <f>IFERROR(__xludf.DUMMYFUNCTION("""COMPUTED_VALUE"""),"")</f>
        <v/>
      </c>
      <c r="I8920" s="17" t="str">
        <f>IFERROR(__xludf.DUMMYFUNCTION("""COMPUTED_VALUE"""),"")</f>
        <v/>
      </c>
      <c r="J8920" s="17" t="str">
        <f>IFERROR(__xludf.DUMMYFUNCTION("""COMPUTED_VALUE"""),"")</f>
        <v/>
      </c>
      <c r="K8920" s="17" t="str">
        <f>IFERROR(__xludf.DUMMYFUNCTION("""COMPUTED_VALUE"""),"")</f>
        <v/>
      </c>
      <c r="L8920" s="17" t="str">
        <f>IFERROR(__xludf.DUMMYFUNCTION("""COMPUTED_VALUE"""),"")</f>
        <v/>
      </c>
      <c r="M8920" s="17" t="str">
        <f>IFERROR(__xludf.DUMMYFUNCTION("""COMPUTED_VALUE"""),"")</f>
        <v/>
      </c>
      <c r="N8920" s="17" t="str">
        <f>IFERROR(__xludf.DUMMYFUNCTION("""COMPUTED_VALUE"""),"")</f>
        <v/>
      </c>
      <c r="O8920" s="17" t="str">
        <f>IFERROR(__xludf.DUMMYFUNCTION("""COMPUTED_VALUE"""),"")</f>
        <v/>
      </c>
      <c r="P8920" s="17" t="str">
        <f>IFERROR(__xludf.DUMMYFUNCTION("""COMPUTED_VALUE"""),"")</f>
        <v/>
      </c>
      <c r="Q8920" s="17" t="str">
        <f>IFERROR(__xludf.DUMMYFUNCTION("""COMPUTED_VALUE"""),"")</f>
        <v/>
      </c>
      <c r="R8920" s="17" t="str">
        <f>IFERROR(__xludf.DUMMYFUNCTION("""COMPUTED_VALUE"""),"")</f>
        <v/>
      </c>
    </row>
    <row r="8921">
      <c r="A8921" s="15">
        <f>IFERROR(__xludf.DUMMYFUNCTION("""COMPUTED_VALUE"""),45254.0)</f>
        <v>45254</v>
      </c>
      <c r="B8921" s="16" t="str">
        <f>IFERROR(__xludf.DUMMYFUNCTION("""COMPUTED_VALUE"""),"Angie Daniela Meneses ")</f>
        <v>Angie Daniela Meneses </v>
      </c>
      <c r="C8921" s="15" t="str">
        <f>IFERROR(__xludf.DUMMYFUNCTION("""COMPUTED_VALUE"""),"BARRANQUILLA")</f>
        <v>BARRANQUILLA</v>
      </c>
      <c r="D8921" s="15" t="str">
        <f>IFERROR(__xludf.DUMMYFUNCTION("""COMPUTED_VALUE"""),"MEDELLÍN")</f>
        <v>MEDELLÍN</v>
      </c>
      <c r="E8921" s="15" t="str">
        <f>IFERROR(__xludf.DUMMYFUNCTION("""COMPUTED_VALUE"""),"HELADERIA MAGDA")</f>
        <v>HELADERIA MAGDA</v>
      </c>
      <c r="F8921" s="17" t="str">
        <f>IFERROR(__xludf.DUMMYFUNCTION("""COMPUTED_VALUE"""),"CALLE 93 #43-41 / COCINA OCULTA")</f>
        <v>CALLE 93 #43-41 / COCINA OCULTA</v>
      </c>
      <c r="G8921" s="15" t="str">
        <f>IFERROR(__xludf.DUMMYFUNCTION("""COMPUTED_VALUE"""),"CITY HUB")</f>
        <v>CITY HUB</v>
      </c>
      <c r="H8921" s="16">
        <f>IFERROR(__xludf.DUMMYFUNCTION("""COMPUTED_VALUE"""),17588.0)</f>
        <v>17588</v>
      </c>
      <c r="I8921" s="17"/>
      <c r="J8921" s="17"/>
      <c r="K8921" s="17"/>
      <c r="L8921" s="17">
        <f>IFERROR(__xludf.DUMMYFUNCTION("""COMPUTED_VALUE"""),3.235800359E9)</f>
        <v>3235800359</v>
      </c>
      <c r="M8921" s="17"/>
      <c r="N8921" s="17"/>
      <c r="O8921" s="17"/>
      <c r="P8921" s="17" t="b">
        <f>IFERROR(__xludf.DUMMYFUNCTION("""COMPUTED_VALUE"""),FALSE)</f>
        <v>0</v>
      </c>
      <c r="Q8921" s="20" t="str">
        <f>IFERROR(__xludf.DUMMYFUNCTION("""COMPUTED_VALUE"""),"")</f>
        <v/>
      </c>
      <c r="R8921" s="21" t="str">
        <f>IFERROR(__xludf.DUMMYFUNCTION("""COMPUTED_VALUE"""),"https://drive.google.com/file/d/1Dxxhv3P-shJHHsNzP3508oFspDc3K_L8/view?usp=drivesdk")</f>
        <v>https://drive.google.com/file/d/1Dxxhv3P-shJHHsNzP3508oFspDc3K_L8/view?usp=drivesdk</v>
      </c>
    </row>
    <row r="8922">
      <c r="A8922" s="15">
        <f>IFERROR(__xludf.DUMMYFUNCTION("""COMPUTED_VALUE"""),45254.0)</f>
        <v>45254</v>
      </c>
      <c r="B8922" s="16" t="str">
        <f>IFERROR(__xludf.DUMMYFUNCTION("""COMPUTED_VALUE"""),"Angie Daniela Meneses ")</f>
        <v>Angie Daniela Meneses </v>
      </c>
      <c r="C8922" s="15" t="str">
        <f>IFERROR(__xludf.DUMMYFUNCTION("""COMPUTED_VALUE"""),"BARRANQUILLA")</f>
        <v>BARRANQUILLA</v>
      </c>
      <c r="D8922" s="15" t="str">
        <f>IFERROR(__xludf.DUMMYFUNCTION("""COMPUTED_VALUE"""),"MEDELLÍN")</f>
        <v>MEDELLÍN</v>
      </c>
      <c r="E8922" s="15" t="str">
        <f>IFERROR(__xludf.DUMMYFUNCTION("""COMPUTED_VALUE"""),"Puro Verde")</f>
        <v>Puro Verde</v>
      </c>
      <c r="F8922" s="17" t="str">
        <f>IFERROR(__xludf.DUMMYFUNCTION("""COMPUTED_VALUE"""),"CALLE 96 # 71-165 / TORRE 2A. APTO 602.  / EDIFICIO ALTARES")</f>
        <v>CALLE 96 # 71-165 / TORRE 2A. APTO 602.  / EDIFICIO ALTARES</v>
      </c>
      <c r="G8922" s="15" t="str">
        <f>IFERROR(__xludf.DUMMYFUNCTION("""COMPUTED_VALUE"""),"MONICA PINZON")</f>
        <v>MONICA PINZON</v>
      </c>
      <c r="H8922" s="16">
        <f>IFERROR(__xludf.DUMMYFUNCTION("""COMPUTED_VALUE"""),17496.0)</f>
        <v>17496</v>
      </c>
      <c r="I8922" s="18">
        <f>IFERROR(__xludf.DUMMYFUNCTION("""COMPUTED_VALUE"""),18.4)</f>
        <v>18.4</v>
      </c>
      <c r="J8922" s="18">
        <f>IFERROR(__xludf.DUMMYFUNCTION("""COMPUTED_VALUE"""),32.2)</f>
        <v>32.2</v>
      </c>
      <c r="K8922" s="18">
        <f>IFERROR(__xludf.DUMMYFUNCTION("""COMPUTED_VALUE"""),39.4)</f>
        <v>39.4</v>
      </c>
      <c r="L8922" s="17">
        <f>IFERROR(__xludf.DUMMYFUNCTION("""COMPUTED_VALUE"""),3.013280217E9)</f>
        <v>3013280217</v>
      </c>
      <c r="M8922" s="17"/>
      <c r="N8922" s="17"/>
      <c r="O8922" s="17"/>
      <c r="P8922" s="17" t="b">
        <f>IFERROR(__xludf.DUMMYFUNCTION("""COMPUTED_VALUE"""),TRUE)</f>
        <v>1</v>
      </c>
      <c r="Q8922" s="20">
        <f>IFERROR(__xludf.DUMMYFUNCTION("""COMPUTED_VALUE"""),45255.11605761574)</f>
        <v>45255.11606</v>
      </c>
      <c r="R8922" s="21" t="str">
        <f>IFERROR(__xludf.DUMMYFUNCTION("""COMPUTED_VALUE"""),"https://drive.google.com/file/d/16BzwvclAmL6KBHKlZlNkj5U9QGvkglbr/view?usp=drivesdk")</f>
        <v>https://drive.google.com/file/d/16BzwvclAmL6KBHKlZlNkj5U9QGvkglbr/view?usp=drivesdk</v>
      </c>
    </row>
    <row r="8923">
      <c r="A8923" s="15">
        <f>IFERROR(__xludf.DUMMYFUNCTION("""COMPUTED_VALUE"""),45254.0)</f>
        <v>45254</v>
      </c>
      <c r="B8923" s="16" t="str">
        <f>IFERROR(__xludf.DUMMYFUNCTION("""COMPUTED_VALUE"""),"Angie Daniela Meneses ")</f>
        <v>Angie Daniela Meneses </v>
      </c>
      <c r="C8923" s="15" t="str">
        <f>IFERROR(__xludf.DUMMYFUNCTION("""COMPUTED_VALUE"""),"POPAYAN")</f>
        <v>POPAYAN</v>
      </c>
      <c r="D8923" s="15" t="str">
        <f>IFERROR(__xludf.DUMMYFUNCTION("""COMPUTED_VALUE"""),"BOGOTÁ")</f>
        <v>BOGOTÁ</v>
      </c>
      <c r="E8923" s="15" t="str">
        <f>IFERROR(__xludf.DUMMYFUNCTION("""COMPUTED_VALUE"""),"Hiiva Fermentados SAS")</f>
        <v>Hiiva Fermentados SAS</v>
      </c>
      <c r="F8923" s="17" t="str">
        <f>IFERROR(__xludf.DUMMYFUNCTION("""COMPUTED_VALUE"""),"carrera 9 #21N - 36 / Tienda Red Salud de Occidente")</f>
        <v>carrera 9 #21N - 36 / Tienda Red Salud de Occidente</v>
      </c>
      <c r="G8923" s="15" t="str">
        <f>IFERROR(__xludf.DUMMYFUNCTION("""COMPUTED_VALUE"""),"Popayan Red Salud de occidente")</f>
        <v>Popayan Red Salud de occidente</v>
      </c>
      <c r="H8923" s="16">
        <f>IFERROR(__xludf.DUMMYFUNCTION("""COMPUTED_VALUE"""),17358.0)</f>
        <v>17358</v>
      </c>
      <c r="I8923" s="17"/>
      <c r="J8923" s="17"/>
      <c r="K8923" s="17"/>
      <c r="L8923" s="17"/>
      <c r="M8923" s="17"/>
      <c r="N8923" s="17"/>
      <c r="O8923" s="17"/>
      <c r="P8923" s="17" t="b">
        <f>IFERROR(__xludf.DUMMYFUNCTION("""COMPUTED_VALUE"""),FALSE)</f>
        <v>0</v>
      </c>
      <c r="Q8923" s="20" t="str">
        <f>IFERROR(__xludf.DUMMYFUNCTION("""COMPUTED_VALUE"""),"")</f>
        <v/>
      </c>
      <c r="R8923" s="22" t="str">
        <f>IFERROR(__xludf.DUMMYFUNCTION("""COMPUTED_VALUE"""),"")</f>
        <v/>
      </c>
    </row>
    <row r="8924">
      <c r="A8924" s="15">
        <f>IFERROR(__xludf.DUMMYFUNCTION("""COMPUTED_VALUE"""),45254.0)</f>
        <v>45254</v>
      </c>
      <c r="B8924" s="16" t="str">
        <f>IFERROR(__xludf.DUMMYFUNCTION("""COMPUTED_VALUE"""),"Angie Daniela Meneses ")</f>
        <v>Angie Daniela Meneses </v>
      </c>
      <c r="C8924" s="15" t="str">
        <f>IFERROR(__xludf.DUMMYFUNCTION("""COMPUTED_VALUE"""),"POPAYAN")</f>
        <v>POPAYAN</v>
      </c>
      <c r="D8924" s="15" t="str">
        <f>IFERROR(__xludf.DUMMYFUNCTION("""COMPUTED_VALUE"""),"BOGOTÁ")</f>
        <v>BOGOTÁ</v>
      </c>
      <c r="E8924" s="15" t="str">
        <f>IFERROR(__xludf.DUMMYFUNCTION("""COMPUTED_VALUE"""),"Instinto alimento vital")</f>
        <v>Instinto alimento vital</v>
      </c>
      <c r="F8924" s="17" t="str">
        <f>IFERROR(__xludf.DUMMYFUNCTION("""COMPUTED_VALUE"""),"CRA 17 # 15 - 40 / CAS A")</f>
        <v>CRA 17 # 15 - 40 / CAS A</v>
      </c>
      <c r="G8924" s="15" t="str">
        <f>IFERROR(__xludf.DUMMYFUNCTION("""COMPUTED_VALUE"""),"MARCELA GAVIRIA PAZ")</f>
        <v>MARCELA GAVIRIA PAZ</v>
      </c>
      <c r="H8924" s="16">
        <f>IFERROR(__xludf.DUMMYFUNCTION("""COMPUTED_VALUE"""),17558.0)</f>
        <v>17558</v>
      </c>
      <c r="I8924" s="17"/>
      <c r="J8924" s="17"/>
      <c r="K8924" s="17"/>
      <c r="L8924" s="17">
        <f>IFERROR(__xludf.DUMMYFUNCTION("""COMPUTED_VALUE"""),3.117038837E9)</f>
        <v>3117038837</v>
      </c>
      <c r="M8924" s="17"/>
      <c r="N8924" s="17"/>
      <c r="O8924" s="17"/>
      <c r="P8924" s="17" t="b">
        <f>IFERROR(__xludf.DUMMYFUNCTION("""COMPUTED_VALUE"""),FALSE)</f>
        <v>0</v>
      </c>
      <c r="Q8924" s="20" t="str">
        <f>IFERROR(__xludf.DUMMYFUNCTION("""COMPUTED_VALUE"""),"")</f>
        <v/>
      </c>
      <c r="R8924" s="22" t="str">
        <f>IFERROR(__xludf.DUMMYFUNCTION("""COMPUTED_VALUE"""),"")</f>
        <v/>
      </c>
    </row>
    <row r="8925">
      <c r="A8925" s="17" t="str">
        <f>IFERROR(__xludf.DUMMYFUNCTION("""COMPUTED_VALUE"""),"")</f>
        <v/>
      </c>
      <c r="B8925" s="17" t="str">
        <f>IFERROR(__xludf.DUMMYFUNCTION("""COMPUTED_VALUE"""),"")</f>
        <v/>
      </c>
      <c r="C8925" s="17" t="str">
        <f>IFERROR(__xludf.DUMMYFUNCTION("""COMPUTED_VALUE"""),"")</f>
        <v/>
      </c>
      <c r="D8925" s="17" t="str">
        <f>IFERROR(__xludf.DUMMYFUNCTION("""COMPUTED_VALUE"""),"")</f>
        <v/>
      </c>
      <c r="E8925" s="17" t="str">
        <f>IFERROR(__xludf.DUMMYFUNCTION("""COMPUTED_VALUE"""),"")</f>
        <v/>
      </c>
      <c r="F8925" s="17" t="str">
        <f>IFERROR(__xludf.DUMMYFUNCTION("""COMPUTED_VALUE"""),"")</f>
        <v/>
      </c>
      <c r="G8925" s="17" t="str">
        <f>IFERROR(__xludf.DUMMYFUNCTION("""COMPUTED_VALUE"""),"")</f>
        <v/>
      </c>
      <c r="H8925" s="17" t="str">
        <f>IFERROR(__xludf.DUMMYFUNCTION("""COMPUTED_VALUE"""),"")</f>
        <v/>
      </c>
      <c r="I8925" s="17" t="str">
        <f>IFERROR(__xludf.DUMMYFUNCTION("""COMPUTED_VALUE"""),"")</f>
        <v/>
      </c>
      <c r="J8925" s="17" t="str">
        <f>IFERROR(__xludf.DUMMYFUNCTION("""COMPUTED_VALUE"""),"")</f>
        <v/>
      </c>
      <c r="K8925" s="17" t="str">
        <f>IFERROR(__xludf.DUMMYFUNCTION("""COMPUTED_VALUE"""),"")</f>
        <v/>
      </c>
      <c r="L8925" s="17" t="str">
        <f>IFERROR(__xludf.DUMMYFUNCTION("""COMPUTED_VALUE"""),"")</f>
        <v/>
      </c>
      <c r="M8925" s="17" t="str">
        <f>IFERROR(__xludf.DUMMYFUNCTION("""COMPUTED_VALUE"""),"")</f>
        <v/>
      </c>
      <c r="N8925" s="17" t="str">
        <f>IFERROR(__xludf.DUMMYFUNCTION("""COMPUTED_VALUE"""),"")</f>
        <v/>
      </c>
      <c r="O8925" s="17" t="str">
        <f>IFERROR(__xludf.DUMMYFUNCTION("""COMPUTED_VALUE"""),"")</f>
        <v/>
      </c>
      <c r="P8925" s="17" t="str">
        <f>IFERROR(__xludf.DUMMYFUNCTION("""COMPUTED_VALUE"""),"")</f>
        <v/>
      </c>
      <c r="Q8925" s="17" t="str">
        <f>IFERROR(__xludf.DUMMYFUNCTION("""COMPUTED_VALUE"""),"")</f>
        <v/>
      </c>
      <c r="R8925" s="17" t="str">
        <f>IFERROR(__xludf.DUMMYFUNCTION("""COMPUTED_VALUE"""),"")</f>
        <v/>
      </c>
    </row>
    <row r="8926">
      <c r="A8926" s="15">
        <f>IFERROR(__xludf.DUMMYFUNCTION("""COMPUTED_VALUE"""),45254.0)</f>
        <v>45254</v>
      </c>
      <c r="B8926" s="16" t="str">
        <f>IFERROR(__xludf.DUMMYFUNCTION("""COMPUTED_VALUE"""),"Daniel José sandoval gonzalez")</f>
        <v>Daniel José sandoval gonzalez</v>
      </c>
      <c r="C8926" s="15" t="str">
        <f>IFERROR(__xludf.DUMMYFUNCTION("""COMPUTED_VALUE"""),"BARRANQUILLA")</f>
        <v>BARRANQUILLA</v>
      </c>
      <c r="D8926" s="15" t="str">
        <f>IFERROR(__xludf.DUMMYFUNCTION("""COMPUTED_VALUE"""),"BOGOTÁ")</f>
        <v>BOGOTÁ</v>
      </c>
      <c r="E8926" s="15" t="str">
        <f>IFERROR(__xludf.DUMMYFUNCTION("""COMPUTED_VALUE"""),"Instinto alimento vital")</f>
        <v>Instinto alimento vital</v>
      </c>
      <c r="F8926" s="17" t="str">
        <f>IFERROR(__xludf.DUMMYFUNCTION("""COMPUTED_VALUE"""),"CL 79 # 42 - 163 / CASA 1B")</f>
        <v>CL 79 # 42 - 163 / CASA 1B</v>
      </c>
      <c r="G8926" s="15" t="str">
        <f>IFERROR(__xludf.DUMMYFUNCTION("""COMPUTED_VALUE"""),"STEFANY JULIETH ALDANA FILLIPO")</f>
        <v>STEFANY JULIETH ALDANA FILLIPO</v>
      </c>
      <c r="H8926" s="16">
        <f>IFERROR(__xludf.DUMMYFUNCTION("""COMPUTED_VALUE"""),17602.0)</f>
        <v>17602</v>
      </c>
      <c r="I8926" s="17"/>
      <c r="J8926" s="17"/>
      <c r="K8926" s="17"/>
      <c r="L8926" s="17">
        <f>IFERROR(__xludf.DUMMYFUNCTION("""COMPUTED_VALUE"""),3.126244999E9)</f>
        <v>3126244999</v>
      </c>
      <c r="M8926" s="17"/>
      <c r="N8926" s="17"/>
      <c r="O8926" s="17"/>
      <c r="P8926" s="17" t="b">
        <f>IFERROR(__xludf.DUMMYFUNCTION("""COMPUTED_VALUE"""),FALSE)</f>
        <v>0</v>
      </c>
      <c r="Q8926" s="20" t="str">
        <f>IFERROR(__xludf.DUMMYFUNCTION("""COMPUTED_VALUE"""),"")</f>
        <v/>
      </c>
      <c r="R8926" s="22" t="str">
        <f>IFERROR(__xludf.DUMMYFUNCTION("""COMPUTED_VALUE"""),"")</f>
        <v/>
      </c>
    </row>
    <row r="8927">
      <c r="A8927" s="15">
        <f>IFERROR(__xludf.DUMMYFUNCTION("""COMPUTED_VALUE"""),45254.0)</f>
        <v>45254</v>
      </c>
      <c r="B8927" s="16" t="str">
        <f>IFERROR(__xludf.DUMMYFUNCTION("""COMPUTED_VALUE"""),"Daniel José sandoval gonzalez")</f>
        <v>Daniel José sandoval gonzalez</v>
      </c>
      <c r="C8927" s="15" t="str">
        <f>IFERROR(__xludf.DUMMYFUNCTION("""COMPUTED_VALUE"""),"BARRANQUILLA")</f>
        <v>BARRANQUILLA</v>
      </c>
      <c r="D8927" s="15" t="str">
        <f>IFERROR(__xludf.DUMMYFUNCTION("""COMPUTED_VALUE"""),"ENVIGADO")</f>
        <v>ENVIGADO</v>
      </c>
      <c r="E8927" s="15" t="str">
        <f>IFERROR(__xludf.DUMMYFUNCTION("""COMPUTED_VALUE"""),"JUAN CAMILO CORDOBA")</f>
        <v>JUAN CAMILO CORDOBA</v>
      </c>
      <c r="F8927" s="17" t="str">
        <f>IFERROR(__xludf.DUMMYFUNCTION("""COMPUTED_VALUE"""),"Carrera 67 no 81-95")</f>
        <v>Carrera 67 no 81-95</v>
      </c>
      <c r="G8927" s="15" t="str">
        <f>IFERROR(__xludf.DUMMYFUNCTION("""COMPUTED_VALUE"""),"Santiago Arbelaez")</f>
        <v>Santiago Arbelaez</v>
      </c>
      <c r="H8927" s="16">
        <f>IFERROR(__xludf.DUMMYFUNCTION("""COMPUTED_VALUE"""),17577.0)</f>
        <v>17577</v>
      </c>
      <c r="I8927" s="17"/>
      <c r="J8927" s="17"/>
      <c r="K8927" s="17"/>
      <c r="L8927" s="17">
        <f>IFERROR(__xludf.DUMMYFUNCTION("""COMPUTED_VALUE"""),3.204749856E9)</f>
        <v>3204749856</v>
      </c>
      <c r="M8927" s="17"/>
      <c r="N8927" s="17"/>
      <c r="O8927" s="17"/>
      <c r="P8927" s="17" t="b">
        <f>IFERROR(__xludf.DUMMYFUNCTION("""COMPUTED_VALUE"""),FALSE)</f>
        <v>0</v>
      </c>
      <c r="Q8927" s="20" t="str">
        <f>IFERROR(__xludf.DUMMYFUNCTION("""COMPUTED_VALUE"""),"")</f>
        <v/>
      </c>
      <c r="R8927" s="22" t="str">
        <f>IFERROR(__xludf.DUMMYFUNCTION("""COMPUTED_VALUE"""),"")</f>
        <v/>
      </c>
    </row>
    <row r="8928">
      <c r="A8928" s="15">
        <f>IFERROR(__xludf.DUMMYFUNCTION("""COMPUTED_VALUE"""),45254.0)</f>
        <v>45254</v>
      </c>
      <c r="B8928" s="16" t="str">
        <f>IFERROR(__xludf.DUMMYFUNCTION("""COMPUTED_VALUE"""),"Daniel José sandoval gonzalez")</f>
        <v>Daniel José sandoval gonzalez</v>
      </c>
      <c r="C8928" s="15" t="str">
        <f>IFERROR(__xludf.DUMMYFUNCTION("""COMPUTED_VALUE"""),"BARRANQUILLA")</f>
        <v>BARRANQUILLA</v>
      </c>
      <c r="D8928" s="15" t="str">
        <f>IFERROR(__xludf.DUMMYFUNCTION("""COMPUTED_VALUE"""),"ENVIGADO")</f>
        <v>ENVIGADO</v>
      </c>
      <c r="E8928" s="15" t="str">
        <f>IFERROR(__xludf.DUMMYFUNCTION("""COMPUTED_VALUE"""),"JUAN CAMILO CORDOBA")</f>
        <v>JUAN CAMILO CORDOBA</v>
      </c>
      <c r="F8928" s="17" t="str">
        <f>IFERROR(__xludf.DUMMYFUNCTION("""COMPUTED_VALUE"""),"Carrera 74 #76-74")</f>
        <v>Carrera 74 #76-74</v>
      </c>
      <c r="G8928" s="15" t="str">
        <f>IFERROR(__xludf.DUMMYFUNCTION("""COMPUTED_VALUE"""),"Fit Hub")</f>
        <v>Fit Hub</v>
      </c>
      <c r="H8928" s="16">
        <f>IFERROR(__xludf.DUMMYFUNCTION("""COMPUTED_VALUE"""),17578.0)</f>
        <v>17578</v>
      </c>
      <c r="I8928" s="17"/>
      <c r="J8928" s="17"/>
      <c r="K8928" s="17"/>
      <c r="L8928" s="17">
        <f>IFERROR(__xludf.DUMMYFUNCTION("""COMPUTED_VALUE"""),3.157039547E9)</f>
        <v>3157039547</v>
      </c>
      <c r="M8928" s="17"/>
      <c r="N8928" s="17"/>
      <c r="O8928" s="17"/>
      <c r="P8928" s="17" t="b">
        <f>IFERROR(__xludf.DUMMYFUNCTION("""COMPUTED_VALUE"""),FALSE)</f>
        <v>0</v>
      </c>
      <c r="Q8928" s="20" t="str">
        <f>IFERROR(__xludf.DUMMYFUNCTION("""COMPUTED_VALUE"""),"")</f>
        <v/>
      </c>
      <c r="R8928" s="21" t="str">
        <f>IFERROR(__xludf.DUMMYFUNCTION("""COMPUTED_VALUE"""),"https://drive.google.com/file/d/1qlX2r52MKD5xO8Dm4Ixy1lCWpvdiMcz0/view?usp=drivesdk")</f>
        <v>https://drive.google.com/file/d/1qlX2r52MKD5xO8Dm4Ixy1lCWpvdiMcz0/view?usp=drivesdk</v>
      </c>
    </row>
    <row r="8929">
      <c r="A8929" s="15">
        <f>IFERROR(__xludf.DUMMYFUNCTION("""COMPUTED_VALUE"""),45254.0)</f>
        <v>45254</v>
      </c>
      <c r="B8929" s="16" t="str">
        <f>IFERROR(__xludf.DUMMYFUNCTION("""COMPUTED_VALUE"""),"Daniel José sandoval gonzalez")</f>
        <v>Daniel José sandoval gonzalez</v>
      </c>
      <c r="C8929" s="15" t="str">
        <f>IFERROR(__xludf.DUMMYFUNCTION("""COMPUTED_VALUE"""),"BARRANQUILLA")</f>
        <v>BARRANQUILLA</v>
      </c>
      <c r="D8929" s="15" t="str">
        <f>IFERROR(__xludf.DUMMYFUNCTION("""COMPUTED_VALUE"""),"MEDELLÍN")</f>
        <v>MEDELLÍN</v>
      </c>
      <c r="E8929" s="15" t="str">
        <f>IFERROR(__xludf.DUMMYFUNCTION("""COMPUTED_VALUE"""),"Baby Chef")</f>
        <v>Baby Chef</v>
      </c>
      <c r="F8929" s="17" t="str">
        <f>IFERROR(__xludf.DUMMYFUNCTION("""COMPUTED_VALUE"""),"Calle 81 n 56 - 74 ED iluminatta apto 21 / . / .")</f>
        <v>Calle 81 n 56 - 74 ED iluminatta apto 21 / . / .</v>
      </c>
      <c r="G8929" s="15" t="str">
        <f>IFERROR(__xludf.DUMMYFUNCTION("""COMPUTED_VALUE"""),"Maria Bula")</f>
        <v>Maria Bula</v>
      </c>
      <c r="H8929" s="16">
        <f>IFERROR(__xludf.DUMMYFUNCTION("""COMPUTED_VALUE"""),17583.0)</f>
        <v>17583</v>
      </c>
      <c r="I8929" s="18">
        <f>IFERROR(__xludf.DUMMYFUNCTION("""COMPUTED_VALUE"""),8.0)</f>
        <v>8</v>
      </c>
      <c r="J8929" s="18">
        <f>IFERROR(__xludf.DUMMYFUNCTION("""COMPUTED_VALUE"""),21.0)</f>
        <v>21</v>
      </c>
      <c r="K8929" s="18">
        <f>IFERROR(__xludf.DUMMYFUNCTION("""COMPUTED_VALUE"""),25.0)</f>
        <v>25</v>
      </c>
      <c r="L8929" s="17">
        <f>IFERROR(__xludf.DUMMYFUNCTION("""COMPUTED_VALUE"""),3.005396796E9)</f>
        <v>3005396796</v>
      </c>
      <c r="M8929" s="17"/>
      <c r="N8929" s="17"/>
      <c r="O8929" s="17"/>
      <c r="P8929" s="17" t="b">
        <f>IFERROR(__xludf.DUMMYFUNCTION("""COMPUTED_VALUE"""),FALSE)</f>
        <v>0</v>
      </c>
      <c r="Q8929" s="20" t="str">
        <f>IFERROR(__xludf.DUMMYFUNCTION("""COMPUTED_VALUE"""),"")</f>
        <v/>
      </c>
      <c r="R8929" s="21" t="str">
        <f>IFERROR(__xludf.DUMMYFUNCTION("""COMPUTED_VALUE"""),"https://drive.google.com/file/d/1a66WlK4oAjO6quvB1G0fDLWCu9cr4qw8/view?usp=drivesdk")</f>
        <v>https://drive.google.com/file/d/1a66WlK4oAjO6quvB1G0fDLWCu9cr4qw8/view?usp=drivesdk</v>
      </c>
    </row>
    <row r="8930">
      <c r="A8930" s="15">
        <f>IFERROR(__xludf.DUMMYFUNCTION("""COMPUTED_VALUE"""),45254.0)</f>
        <v>45254</v>
      </c>
      <c r="B8930" s="16" t="str">
        <f>IFERROR(__xludf.DUMMYFUNCTION("""COMPUTED_VALUE"""),"Daniel José sandoval gonzalez")</f>
        <v>Daniel José sandoval gonzalez</v>
      </c>
      <c r="C8930" s="15" t="str">
        <f>IFERROR(__xludf.DUMMYFUNCTION("""COMPUTED_VALUE"""),"BARRANQUILLA")</f>
        <v>BARRANQUILLA</v>
      </c>
      <c r="D8930" s="15" t="str">
        <f>IFERROR(__xludf.DUMMYFUNCTION("""COMPUTED_VALUE"""),"MEDELLÍN")</f>
        <v>MEDELLÍN</v>
      </c>
      <c r="E8930" s="15" t="str">
        <f>IFERROR(__xludf.DUMMYFUNCTION("""COMPUTED_VALUE"""),"Biota")</f>
        <v>Biota</v>
      </c>
      <c r="F8930" s="17" t="str">
        <f>IFERROR(__xludf.DUMMYFUNCTION("""COMPUTED_VALUE"""),"calle 92 # 42G - 71 / edificio: Cadebia / apto: 3A / Barranquill / calle 92 # 42G - 71 / edificio: Cadebia / apto: 3A / Barranquill / calle 92 # 42G - 71 / edificio: Cadebia / apto: 3A / Barranquill")</f>
        <v>calle 92 # 42G - 71 / edificio: Cadebia / apto: 3A / Barranquill / calle 92 # 42G - 71 / edificio: Cadebia / apto: 3A / Barranquill / calle 92 # 42G - 71 / edificio: Cadebia / apto: 3A / Barranquill</v>
      </c>
      <c r="G8930" s="15" t="str">
        <f>IFERROR(__xludf.DUMMYFUNCTION("""COMPUTED_VALUE"""),"Zalena Carreño")</f>
        <v>Zalena Carreño</v>
      </c>
      <c r="H8930" s="16">
        <f>IFERROR(__xludf.DUMMYFUNCTION("""COMPUTED_VALUE"""),17499.0)</f>
        <v>17499</v>
      </c>
      <c r="I8930" s="18">
        <f>IFERROR(__xludf.DUMMYFUNCTION("""COMPUTED_VALUE"""),8.0)</f>
        <v>8</v>
      </c>
      <c r="J8930" s="18">
        <f>IFERROR(__xludf.DUMMYFUNCTION("""COMPUTED_VALUE"""),7.0)</f>
        <v>7</v>
      </c>
      <c r="K8930" s="18">
        <f>IFERROR(__xludf.DUMMYFUNCTION("""COMPUTED_VALUE"""),12.0)</f>
        <v>12</v>
      </c>
      <c r="L8930" s="17">
        <f>IFERROR(__xludf.DUMMYFUNCTION("""COMPUTED_VALUE"""),3.162870802E9)</f>
        <v>3162870802</v>
      </c>
      <c r="M8930" s="17"/>
      <c r="N8930" s="17"/>
      <c r="O8930" s="17"/>
      <c r="P8930" s="17" t="b">
        <f>IFERROR(__xludf.DUMMYFUNCTION("""COMPUTED_VALUE"""),FALSE)</f>
        <v>0</v>
      </c>
      <c r="Q8930" s="20" t="str">
        <f>IFERROR(__xludf.DUMMYFUNCTION("""COMPUTED_VALUE"""),"")</f>
        <v/>
      </c>
      <c r="R8930" s="22" t="str">
        <f>IFERROR(__xludf.DUMMYFUNCTION("""COMPUTED_VALUE"""),"")</f>
        <v/>
      </c>
    </row>
    <row r="8931">
      <c r="A8931" s="15">
        <f>IFERROR(__xludf.DUMMYFUNCTION("""COMPUTED_VALUE"""),45254.0)</f>
        <v>45254</v>
      </c>
      <c r="B8931" s="16" t="str">
        <f>IFERROR(__xludf.DUMMYFUNCTION("""COMPUTED_VALUE"""),"Daniel José sandoval gonzalez")</f>
        <v>Daniel José sandoval gonzalez</v>
      </c>
      <c r="C8931" s="15" t="str">
        <f>IFERROR(__xludf.DUMMYFUNCTION("""COMPUTED_VALUE"""),"MEDELLÍN")</f>
        <v>MEDELLÍN</v>
      </c>
      <c r="D8931" s="15" t="str">
        <f>IFERROR(__xludf.DUMMYFUNCTION("""COMPUTED_VALUE"""),"BOGOTÁ")</f>
        <v>BOGOTÁ</v>
      </c>
      <c r="E8931" s="15" t="str">
        <f>IFERROR(__xludf.DUMMYFUNCTION("""COMPUTED_VALUE"""),"Spirulina Fresca")</f>
        <v>Spirulina Fresca</v>
      </c>
      <c r="F8931" s="17" t="str">
        <f>IFERROR(__xludf.DUMMYFUNCTION("""COMPUTED_VALUE"""),"Calle 33AA 82-40  / apto 801  edificio San Lorenzo  Barrio La Castellana   / La castellana")</f>
        <v>Calle 33AA 82-40  / apto 801  edificio San Lorenzo  Barrio La Castellana   / La castellana</v>
      </c>
      <c r="G8931" s="15" t="str">
        <f>IFERROR(__xludf.DUMMYFUNCTION("""COMPUTED_VALUE"""),"María del Socorro Patiño Arcila  ")</f>
        <v>María del Socorro Patiño Arcila  </v>
      </c>
      <c r="H8931" s="16">
        <f>IFERROR(__xludf.DUMMYFUNCTION("""COMPUTED_VALUE"""),17592.0)</f>
        <v>17592</v>
      </c>
      <c r="I8931" s="18">
        <f>IFERROR(__xludf.DUMMYFUNCTION("""COMPUTED_VALUE"""),5.0)</f>
        <v>5</v>
      </c>
      <c r="J8931" s="18">
        <f>IFERROR(__xludf.DUMMYFUNCTION("""COMPUTED_VALUE"""),5.0)</f>
        <v>5</v>
      </c>
      <c r="K8931" s="18">
        <f>IFERROR(__xludf.DUMMYFUNCTION("""COMPUTED_VALUE"""),22.0)</f>
        <v>22</v>
      </c>
      <c r="L8931" s="17">
        <f>IFERROR(__xludf.DUMMYFUNCTION("""COMPUTED_VALUE"""),3.122860396E9)</f>
        <v>3122860396</v>
      </c>
      <c r="M8931" s="17"/>
      <c r="N8931" s="17"/>
      <c r="O8931" s="17"/>
      <c r="P8931" s="17" t="b">
        <f>IFERROR(__xludf.DUMMYFUNCTION("""COMPUTED_VALUE"""),FALSE)</f>
        <v>0</v>
      </c>
      <c r="Q8931" s="20" t="str">
        <f>IFERROR(__xludf.DUMMYFUNCTION("""COMPUTED_VALUE"""),"")</f>
        <v/>
      </c>
      <c r="R8931" s="22" t="str">
        <f>IFERROR(__xludf.DUMMYFUNCTION("""COMPUTED_VALUE"""),"")</f>
        <v/>
      </c>
    </row>
    <row r="8932">
      <c r="A8932" s="17" t="str">
        <f>IFERROR(__xludf.DUMMYFUNCTION("""COMPUTED_VALUE"""),"")</f>
        <v/>
      </c>
      <c r="B8932" s="17" t="str">
        <f>IFERROR(__xludf.DUMMYFUNCTION("""COMPUTED_VALUE"""),"")</f>
        <v/>
      </c>
      <c r="C8932" s="17" t="str">
        <f>IFERROR(__xludf.DUMMYFUNCTION("""COMPUTED_VALUE"""),"")</f>
        <v/>
      </c>
      <c r="D8932" s="17" t="str">
        <f>IFERROR(__xludf.DUMMYFUNCTION("""COMPUTED_VALUE"""),"")</f>
        <v/>
      </c>
      <c r="E8932" s="17" t="str">
        <f>IFERROR(__xludf.DUMMYFUNCTION("""COMPUTED_VALUE"""),"")</f>
        <v/>
      </c>
      <c r="F8932" s="17" t="str">
        <f>IFERROR(__xludf.DUMMYFUNCTION("""COMPUTED_VALUE"""),"")</f>
        <v/>
      </c>
      <c r="G8932" s="17" t="str">
        <f>IFERROR(__xludf.DUMMYFUNCTION("""COMPUTED_VALUE"""),"")</f>
        <v/>
      </c>
      <c r="H8932" s="17" t="str">
        <f>IFERROR(__xludf.DUMMYFUNCTION("""COMPUTED_VALUE"""),"")</f>
        <v/>
      </c>
      <c r="I8932" s="17" t="str">
        <f>IFERROR(__xludf.DUMMYFUNCTION("""COMPUTED_VALUE"""),"")</f>
        <v/>
      </c>
      <c r="J8932" s="17" t="str">
        <f>IFERROR(__xludf.DUMMYFUNCTION("""COMPUTED_VALUE"""),"")</f>
        <v/>
      </c>
      <c r="K8932" s="17" t="str">
        <f>IFERROR(__xludf.DUMMYFUNCTION("""COMPUTED_VALUE"""),"")</f>
        <v/>
      </c>
      <c r="L8932" s="17" t="str">
        <f>IFERROR(__xludf.DUMMYFUNCTION("""COMPUTED_VALUE"""),"")</f>
        <v/>
      </c>
      <c r="M8932" s="17" t="str">
        <f>IFERROR(__xludf.DUMMYFUNCTION("""COMPUTED_VALUE"""),"")</f>
        <v/>
      </c>
      <c r="N8932" s="17" t="str">
        <f>IFERROR(__xludf.DUMMYFUNCTION("""COMPUTED_VALUE"""),"")</f>
        <v/>
      </c>
      <c r="O8932" s="17" t="str">
        <f>IFERROR(__xludf.DUMMYFUNCTION("""COMPUTED_VALUE"""),"")</f>
        <v/>
      </c>
      <c r="P8932" s="17" t="str">
        <f>IFERROR(__xludf.DUMMYFUNCTION("""COMPUTED_VALUE"""),"")</f>
        <v/>
      </c>
      <c r="Q8932" s="17" t="str">
        <f>IFERROR(__xludf.DUMMYFUNCTION("""COMPUTED_VALUE"""),"")</f>
        <v/>
      </c>
      <c r="R8932" s="17" t="str">
        <f>IFERROR(__xludf.DUMMYFUNCTION("""COMPUTED_VALUE"""),"")</f>
        <v/>
      </c>
    </row>
    <row r="8933">
      <c r="A8933" s="15">
        <f>IFERROR(__xludf.DUMMYFUNCTION("""COMPUTED_VALUE"""),45254.0)</f>
        <v>45254</v>
      </c>
      <c r="B8933" s="16" t="str">
        <f>IFERROR(__xludf.DUMMYFUNCTION("""COMPUTED_VALUE"""),"Envia")</f>
        <v>Envia</v>
      </c>
      <c r="C8933" s="15" t="str">
        <f>IFERROR(__xludf.DUMMYFUNCTION("""COMPUTED_VALUE"""),"BARRANQUILLA")</f>
        <v>BARRANQUILLA</v>
      </c>
      <c r="D8933" s="15" t="str">
        <f>IFERROR(__xludf.DUMMYFUNCTION("""COMPUTED_VALUE"""),"MEDELLÍN")</f>
        <v>MEDELLÍN</v>
      </c>
      <c r="E8933" s="15" t="str">
        <f>IFERROR(__xludf.DUMMYFUNCTION("""COMPUTED_VALUE"""),"Baby Chef")</f>
        <v>Baby Chef</v>
      </c>
      <c r="F8933" s="17" t="str">
        <f>IFERROR(__xludf.DUMMYFUNCTION("""COMPUTED_VALUE"""),"Calle 84 # 42 c - 181 apto 406 Edificio Más house Nuevo horizonte  Barrio Nuevo Horizonte / . / .")</f>
        <v>Calle 84 # 42 c - 181 apto 406 Edificio Más house Nuevo horizonte  Barrio Nuevo Horizonte / . / .</v>
      </c>
      <c r="G8933" s="15" t="str">
        <f>IFERROR(__xludf.DUMMYFUNCTION("""COMPUTED_VALUE"""),"Viviana Fontalvo")</f>
        <v>Viviana Fontalvo</v>
      </c>
      <c r="H8933" s="16">
        <f>IFERROR(__xludf.DUMMYFUNCTION("""COMPUTED_VALUE"""),17582.0)</f>
        <v>17582</v>
      </c>
      <c r="I8933" s="18">
        <f>IFERROR(__xludf.DUMMYFUNCTION("""COMPUTED_VALUE"""),10.0)</f>
        <v>10</v>
      </c>
      <c r="J8933" s="18">
        <f>IFERROR(__xludf.DUMMYFUNCTION("""COMPUTED_VALUE"""),22.0)</f>
        <v>22</v>
      </c>
      <c r="K8933" s="18">
        <f>IFERROR(__xludf.DUMMYFUNCTION("""COMPUTED_VALUE"""),32.0)</f>
        <v>32</v>
      </c>
      <c r="L8933" s="17">
        <f>IFERROR(__xludf.DUMMYFUNCTION("""COMPUTED_VALUE"""),3.003883187E9)</f>
        <v>3003883187</v>
      </c>
      <c r="M8933" s="17"/>
      <c r="N8933" s="17"/>
      <c r="O8933" s="17"/>
      <c r="P8933" s="17" t="b">
        <f>IFERROR(__xludf.DUMMYFUNCTION("""COMPUTED_VALUE"""),FALSE)</f>
        <v>0</v>
      </c>
      <c r="Q8933" s="20" t="str">
        <f>IFERROR(__xludf.DUMMYFUNCTION("""COMPUTED_VALUE"""),"")</f>
        <v/>
      </c>
      <c r="R8933" s="21" t="str">
        <f>IFERROR(__xludf.DUMMYFUNCTION("""COMPUTED_VALUE"""),"https://drive.google.com/file/d/1Cg0kGUur8F0EyTl1rP39fwhQmptCNNzw/view?usp=drivesdk")</f>
        <v>https://drive.google.com/file/d/1Cg0kGUur8F0EyTl1rP39fwhQmptCNNzw/view?usp=drivesdk</v>
      </c>
    </row>
    <row r="8934">
      <c r="A8934" s="15">
        <f>IFERROR(__xludf.DUMMYFUNCTION("""COMPUTED_VALUE"""),45254.0)</f>
        <v>45254</v>
      </c>
      <c r="B8934" s="16" t="str">
        <f>IFERROR(__xludf.DUMMYFUNCTION("""COMPUTED_VALUE"""),"Envia")</f>
        <v>Envia</v>
      </c>
      <c r="C8934" s="15" t="str">
        <f>IFERROR(__xludf.DUMMYFUNCTION("""COMPUTED_VALUE"""),"BOGOTÁ")</f>
        <v>BOGOTÁ</v>
      </c>
      <c r="D8934" s="15" t="str">
        <f>IFERROR(__xludf.DUMMYFUNCTION("""COMPUTED_VALUE"""),"MEDELLÍN")</f>
        <v>MEDELLÍN</v>
      </c>
      <c r="E8934" s="15" t="str">
        <f>IFERROR(__xludf.DUMMYFUNCTION("""COMPUTED_VALUE"""),"Natusoya")</f>
        <v>Natusoya</v>
      </c>
      <c r="F8934" s="17" t="str">
        <f>IFERROR(__xludf.DUMMYFUNCTION("""COMPUTED_VALUE"""),"Tv 22a #61c-13 / Bodega  / Tuesaquillo")</f>
        <v>Tv 22a #61c-13 / Bodega  / Tuesaquillo</v>
      </c>
      <c r="G8934" s="15" t="str">
        <f>IFERROR(__xludf.DUMMYFUNCTION("""COMPUTED_VALUE"""),"Distribuidora MKT ")</f>
        <v>Distribuidora MKT </v>
      </c>
      <c r="H8934" s="16">
        <f>IFERROR(__xludf.DUMMYFUNCTION("""COMPUTED_VALUE"""),17599.0)</f>
        <v>17599</v>
      </c>
      <c r="I8934" s="18">
        <f>IFERROR(__xludf.DUMMYFUNCTION("""COMPUTED_VALUE"""),25.0)</f>
        <v>25</v>
      </c>
      <c r="J8934" s="18">
        <f>IFERROR(__xludf.DUMMYFUNCTION("""COMPUTED_VALUE"""),25.0)</f>
        <v>25</v>
      </c>
      <c r="K8934" s="18">
        <f>IFERROR(__xludf.DUMMYFUNCTION("""COMPUTED_VALUE"""),30.0)</f>
        <v>30</v>
      </c>
      <c r="L8934" s="17">
        <f>IFERROR(__xludf.DUMMYFUNCTION("""COMPUTED_VALUE"""),3.183593653E9)</f>
        <v>3183593653</v>
      </c>
      <c r="M8934" s="17"/>
      <c r="N8934" s="17"/>
      <c r="O8934" s="17"/>
      <c r="P8934" s="17" t="b">
        <f>IFERROR(__xludf.DUMMYFUNCTION("""COMPUTED_VALUE"""),FALSE)</f>
        <v>0</v>
      </c>
      <c r="Q8934" s="20" t="str">
        <f>IFERROR(__xludf.DUMMYFUNCTION("""COMPUTED_VALUE"""),"")</f>
        <v/>
      </c>
      <c r="R8934" s="21" t="str">
        <f>IFERROR(__xludf.DUMMYFUNCTION("""COMPUTED_VALUE"""),"https://drive.google.com/file/d/1lnKwcyqAWd5-PvPPmuFK1bg2Md_YwiSN/view?usp=drivesdk")</f>
        <v>https://drive.google.com/file/d/1lnKwcyqAWd5-PvPPmuFK1bg2Md_YwiSN/view?usp=drivesdk</v>
      </c>
    </row>
    <row r="8935">
      <c r="A8935" s="15">
        <f>IFERROR(__xludf.DUMMYFUNCTION("""COMPUTED_VALUE"""),45254.0)</f>
        <v>45254</v>
      </c>
      <c r="B8935" s="16" t="str">
        <f>IFERROR(__xludf.DUMMYFUNCTION("""COMPUTED_VALUE"""),"Envia")</f>
        <v>Envia</v>
      </c>
      <c r="C8935" s="15" t="str">
        <f>IFERROR(__xludf.DUMMYFUNCTION("""COMPUTED_VALUE"""),"BUCARAMANGA")</f>
        <v>BUCARAMANGA</v>
      </c>
      <c r="D8935" s="15" t="str">
        <f>IFERROR(__xludf.DUMMYFUNCTION("""COMPUTED_VALUE"""),"BOGOTÁ")</f>
        <v>BOGOTÁ</v>
      </c>
      <c r="E8935" s="15" t="str">
        <f>IFERROR(__xludf.DUMMYFUNCTION("""COMPUTED_VALUE"""),"Olü")</f>
        <v>Olü</v>
      </c>
      <c r="F8935" s="17" t="str">
        <f>IFERROR(__xludf.DUMMYFUNCTION("""COMPUTED_VALUE"""),"Carrera 50 # 72-19 / Casa 3, Villa del Cacique / Barrios del cacique")</f>
        <v>Carrera 50 # 72-19 / Casa 3, Villa del Cacique / Barrios del cacique</v>
      </c>
      <c r="G8935" s="15" t="str">
        <f>IFERROR(__xludf.DUMMYFUNCTION("""COMPUTED_VALUE"""),"Guadalupe Orjuela Ayala ")</f>
        <v>Guadalupe Orjuela Ayala </v>
      </c>
      <c r="H8935" s="16">
        <f>IFERROR(__xludf.DUMMYFUNCTION("""COMPUTED_VALUE"""),17595.0)</f>
        <v>17595</v>
      </c>
      <c r="I8935" s="18">
        <f>IFERROR(__xludf.DUMMYFUNCTION("""COMPUTED_VALUE"""),1.0)</f>
        <v>1</v>
      </c>
      <c r="J8935" s="18">
        <f>IFERROR(__xludf.DUMMYFUNCTION("""COMPUTED_VALUE"""),1.0)</f>
        <v>1</v>
      </c>
      <c r="K8935" s="18">
        <f>IFERROR(__xludf.DUMMYFUNCTION("""COMPUTED_VALUE"""),1.0)</f>
        <v>1</v>
      </c>
      <c r="L8935" s="17">
        <f>IFERROR(__xludf.DUMMYFUNCTION("""COMPUTED_VALUE"""),3.176676101E9)</f>
        <v>3176676101</v>
      </c>
      <c r="M8935" s="17"/>
      <c r="N8935" s="17"/>
      <c r="O8935" s="17"/>
      <c r="P8935" s="17" t="b">
        <f>IFERROR(__xludf.DUMMYFUNCTION("""COMPUTED_VALUE"""),FALSE)</f>
        <v>0</v>
      </c>
      <c r="Q8935" s="20" t="str">
        <f>IFERROR(__xludf.DUMMYFUNCTION("""COMPUTED_VALUE"""),"")</f>
        <v/>
      </c>
      <c r="R8935" s="21" t="str">
        <f>IFERROR(__xludf.DUMMYFUNCTION("""COMPUTED_VALUE"""),"https://drive.google.com/file/d/1LsJOWvRAmqJhgo-HYK0BKYgVKKpeP4ot/view?usp=drivesdk")</f>
        <v>https://drive.google.com/file/d/1LsJOWvRAmqJhgo-HYK0BKYgVKKpeP4ot/view?usp=drivesdk</v>
      </c>
    </row>
    <row r="8936">
      <c r="A8936" s="15">
        <f>IFERROR(__xludf.DUMMYFUNCTION("""COMPUTED_VALUE"""),45254.0)</f>
        <v>45254</v>
      </c>
      <c r="B8936" s="16" t="str">
        <f>IFERROR(__xludf.DUMMYFUNCTION("""COMPUTED_VALUE"""),"Envia")</f>
        <v>Envia</v>
      </c>
      <c r="C8936" s="15" t="str">
        <f>IFERROR(__xludf.DUMMYFUNCTION("""COMPUTED_VALUE"""),"BUCARAMANGA")</f>
        <v>BUCARAMANGA</v>
      </c>
      <c r="D8936" s="15" t="str">
        <f>IFERROR(__xludf.DUMMYFUNCTION("""COMPUTED_VALUE"""),"BOGOTÁ")</f>
        <v>BOGOTÁ</v>
      </c>
      <c r="E8936" s="15" t="str">
        <f>IFERROR(__xludf.DUMMYFUNCTION("""COMPUTED_VALUE"""),"Premium Choice")</f>
        <v>Premium Choice</v>
      </c>
      <c r="F8936" s="17" t="str">
        <f>IFERROR(__xludf.DUMMYFUNCTION("""COMPUTED_VALUE"""),"CR 38 49 33 BRR CABECERA DEL LLANO        / LOCAL  / CABECERA ")</f>
        <v>CR 38 49 33 BRR CABECERA DEL LLANO        / LOCAL  / CABECERA </v>
      </c>
      <c r="G8936" s="15" t="str">
        <f>IFERROR(__xludf.DUMMYFUNCTION("""COMPUTED_VALUE"""),"LA RESERVA VINOS Y LICORES ")</f>
        <v>LA RESERVA VINOS Y LICORES </v>
      </c>
      <c r="H8936" s="16">
        <f>IFERROR(__xludf.DUMMYFUNCTION("""COMPUTED_VALUE"""),17600.0)</f>
        <v>17600</v>
      </c>
      <c r="I8936" s="18">
        <f>IFERROR(__xludf.DUMMYFUNCTION("""COMPUTED_VALUE"""),30.0)</f>
        <v>30</v>
      </c>
      <c r="J8936" s="18">
        <f>IFERROR(__xludf.DUMMYFUNCTION("""COMPUTED_VALUE"""),30.0)</f>
        <v>30</v>
      </c>
      <c r="K8936" s="18">
        <f>IFERROR(__xludf.DUMMYFUNCTION("""COMPUTED_VALUE"""),30.0)</f>
        <v>30</v>
      </c>
      <c r="L8936" s="17">
        <f>IFERROR(__xludf.DUMMYFUNCTION("""COMPUTED_VALUE"""),3.123786063E9)</f>
        <v>3123786063</v>
      </c>
      <c r="M8936" s="17"/>
      <c r="N8936" s="17"/>
      <c r="O8936" s="17"/>
      <c r="P8936" s="17" t="b">
        <f>IFERROR(__xludf.DUMMYFUNCTION("""COMPUTED_VALUE"""),FALSE)</f>
        <v>0</v>
      </c>
      <c r="Q8936" s="20" t="str">
        <f>IFERROR(__xludf.DUMMYFUNCTION("""COMPUTED_VALUE"""),"")</f>
        <v/>
      </c>
      <c r="R8936" s="21" t="str">
        <f>IFERROR(__xludf.DUMMYFUNCTION("""COMPUTED_VALUE"""),"https://drive.google.com/file/d/1gxwxnG3w2aOvRTTeScYSyvz0XUL5tZ0w/view?usp=drivesdk")</f>
        <v>https://drive.google.com/file/d/1gxwxnG3w2aOvRTTeScYSyvz0XUL5tZ0w/view?usp=drivesdk</v>
      </c>
    </row>
    <row r="8937">
      <c r="A8937" s="15">
        <f>IFERROR(__xludf.DUMMYFUNCTION("""COMPUTED_VALUE"""),45254.0)</f>
        <v>45254</v>
      </c>
      <c r="B8937" s="16" t="str">
        <f>IFERROR(__xludf.DUMMYFUNCTION("""COMPUTED_VALUE"""),"Envia")</f>
        <v>Envia</v>
      </c>
      <c r="C8937" s="15" t="str">
        <f>IFERROR(__xludf.DUMMYFUNCTION("""COMPUTED_VALUE"""),"CALI")</f>
        <v>CALI</v>
      </c>
      <c r="D8937" s="15" t="str">
        <f>IFERROR(__xludf.DUMMYFUNCTION("""COMPUTED_VALUE"""),"BOGOTÁ")</f>
        <v>BOGOTÁ</v>
      </c>
      <c r="E8937" s="15" t="str">
        <f>IFERROR(__xludf.DUMMYFUNCTION("""COMPUTED_VALUE"""),"Renata")</f>
        <v>Renata</v>
      </c>
      <c r="F8937" s="17" t="str">
        <f>IFERROR(__xludf.DUMMYFUNCTION("""COMPUTED_VALUE"""),"Carrera 3#3a-83 / Patio 34 food containers -restaurante  / San Fernando ")</f>
        <v>Carrera 3#3a-83 / Patio 34 food containers -restaurante  / San Fernando </v>
      </c>
      <c r="G8937" s="15" t="str">
        <f>IFERROR(__xludf.DUMMYFUNCTION("""COMPUTED_VALUE"""),"Retaco sas ")</f>
        <v>Retaco sas </v>
      </c>
      <c r="H8937" s="16">
        <f>IFERROR(__xludf.DUMMYFUNCTION("""COMPUTED_VALUE"""),17597.0)</f>
        <v>17597</v>
      </c>
      <c r="I8937" s="18">
        <f>IFERROR(__xludf.DUMMYFUNCTION("""COMPUTED_VALUE"""),90.0)</f>
        <v>90</v>
      </c>
      <c r="J8937" s="18">
        <f>IFERROR(__xludf.DUMMYFUNCTION("""COMPUTED_VALUE"""),70.0)</f>
        <v>70</v>
      </c>
      <c r="K8937" s="18">
        <f>IFERROR(__xludf.DUMMYFUNCTION("""COMPUTED_VALUE"""),60.0)</f>
        <v>60</v>
      </c>
      <c r="L8937" s="17">
        <f>IFERROR(__xludf.DUMMYFUNCTION("""COMPUTED_VALUE"""),3.134720976E9)</f>
        <v>3134720976</v>
      </c>
      <c r="M8937" s="17"/>
      <c r="N8937" s="17"/>
      <c r="O8937" s="17"/>
      <c r="P8937" s="17" t="b">
        <f>IFERROR(__xludf.DUMMYFUNCTION("""COMPUTED_VALUE"""),FALSE)</f>
        <v>0</v>
      </c>
      <c r="Q8937" s="20" t="str">
        <f>IFERROR(__xludf.DUMMYFUNCTION("""COMPUTED_VALUE"""),"")</f>
        <v/>
      </c>
      <c r="R8937" s="21" t="str">
        <f>IFERROR(__xludf.DUMMYFUNCTION("""COMPUTED_VALUE"""),"https://drive.google.com/file/d/1fmwLf1oRU8bp_rWcQQJl4TvjkADc8CEm/view?usp=drivesdk")</f>
        <v>https://drive.google.com/file/d/1fmwLf1oRU8bp_rWcQQJl4TvjkADc8CEm/view?usp=drivesdk</v>
      </c>
    </row>
    <row r="8938">
      <c r="A8938" s="15">
        <f>IFERROR(__xludf.DUMMYFUNCTION("""COMPUTED_VALUE"""),45254.0)</f>
        <v>45254</v>
      </c>
      <c r="B8938" s="16" t="str">
        <f>IFERROR(__xludf.DUMMYFUNCTION("""COMPUTED_VALUE"""),"Envia")</f>
        <v>Envia</v>
      </c>
      <c r="C8938" s="15" t="str">
        <f>IFERROR(__xludf.DUMMYFUNCTION("""COMPUTED_VALUE"""),"CALI")</f>
        <v>CALI</v>
      </c>
      <c r="D8938" s="15" t="str">
        <f>IFERROR(__xludf.DUMMYFUNCTION("""COMPUTED_VALUE"""),"BOGOTÁ")</f>
        <v>BOGOTÁ</v>
      </c>
      <c r="E8938" s="15" t="str">
        <f>IFERROR(__xludf.DUMMYFUNCTION("""COMPUTED_VALUE"""),"Viral Brands")</f>
        <v>Viral Brands</v>
      </c>
      <c r="F8938" s="17" t="str">
        <f>IFERROR(__xludf.DUMMYFUNCTION("""COMPUTED_VALUE"""),"CCra 81a # 42-07 Segundo piso Barrio caney / Segundo piso  / Barrio el caney")</f>
        <v>CCra 81a # 42-07 Segundo piso Barrio caney / Segundo piso  / Barrio el caney</v>
      </c>
      <c r="G8938" s="15" t="str">
        <f>IFERROR(__xludf.DUMMYFUNCTION("""COMPUTED_VALUE"""),"Liceth sulbaran")</f>
        <v>Liceth sulbaran</v>
      </c>
      <c r="H8938" s="16">
        <f>IFERROR(__xludf.DUMMYFUNCTION("""COMPUTED_VALUE"""),17601.0)</f>
        <v>17601</v>
      </c>
      <c r="I8938" s="18">
        <f>IFERROR(__xludf.DUMMYFUNCTION("""COMPUTED_VALUE"""),52.5)</f>
        <v>52.5</v>
      </c>
      <c r="J8938" s="18">
        <f>IFERROR(__xludf.DUMMYFUNCTION("""COMPUTED_VALUE"""),55.0)</f>
        <v>55</v>
      </c>
      <c r="K8938" s="18">
        <f>IFERROR(__xludf.DUMMYFUNCTION("""COMPUTED_VALUE"""),45.0)</f>
        <v>45</v>
      </c>
      <c r="L8938" s="17">
        <f>IFERROR(__xludf.DUMMYFUNCTION("""COMPUTED_VALUE"""),3.044474842E9)</f>
        <v>3044474842</v>
      </c>
      <c r="M8938" s="17"/>
      <c r="N8938" s="17"/>
      <c r="O8938" s="17"/>
      <c r="P8938" s="17" t="b">
        <f>IFERROR(__xludf.DUMMYFUNCTION("""COMPUTED_VALUE"""),FALSE)</f>
        <v>0</v>
      </c>
      <c r="Q8938" s="20" t="str">
        <f>IFERROR(__xludf.DUMMYFUNCTION("""COMPUTED_VALUE"""),"")</f>
        <v/>
      </c>
      <c r="R8938" s="21" t="str">
        <f>IFERROR(__xludf.DUMMYFUNCTION("""COMPUTED_VALUE"""),"https://drive.google.com/file/d/1Lbqaqu1-oZn10UQfdmYvNbrAlqsuMAo_/view?usp=drivesdk")</f>
        <v>https://drive.google.com/file/d/1Lbqaqu1-oZn10UQfdmYvNbrAlqsuMAo_/view?usp=drivesdk</v>
      </c>
    </row>
    <row r="8939">
      <c r="A8939" s="15">
        <f>IFERROR(__xludf.DUMMYFUNCTION("""COMPUTED_VALUE"""),45254.0)</f>
        <v>45254</v>
      </c>
      <c r="B8939" s="16" t="str">
        <f>IFERROR(__xludf.DUMMYFUNCTION("""COMPUTED_VALUE"""),"Envia")</f>
        <v>Envia</v>
      </c>
      <c r="C8939" s="15" t="str">
        <f>IFERROR(__xludf.DUMMYFUNCTION("""COMPUTED_VALUE"""),"CÚCUTA")</f>
        <v>CÚCUTA</v>
      </c>
      <c r="D8939" s="15" t="str">
        <f>IFERROR(__xludf.DUMMYFUNCTION("""COMPUTED_VALUE"""),"BOGOTÁ")</f>
        <v>BOGOTÁ</v>
      </c>
      <c r="E8939" s="15" t="str">
        <f>IFERROR(__xludf.DUMMYFUNCTION("""COMPUTED_VALUE"""),"Asociacion Agropecuaria Juana Maria")</f>
        <v>Asociacion Agropecuaria Juana Maria</v>
      </c>
      <c r="F8939" s="17" t="str">
        <f>IFERROR(__xludf.DUMMYFUNCTION("""COMPUTED_VALUE"""),"AV. 2E # 15 A -17 / PISTACHO FIT MARKET BARRIO CAOBOS")</f>
        <v>AV. 2E # 15 A -17 / PISTACHO FIT MARKET BARRIO CAOBOS</v>
      </c>
      <c r="G8939" s="15" t="str">
        <f>IFERROR(__xludf.DUMMYFUNCTION("""COMPUTED_VALUE"""),"DACCY KARINA LOPEZ")</f>
        <v>DACCY KARINA LOPEZ</v>
      </c>
      <c r="H8939" s="16">
        <f>IFERROR(__xludf.DUMMYFUNCTION("""COMPUTED_VALUE"""),17423.0)</f>
        <v>17423</v>
      </c>
      <c r="I8939" s="17"/>
      <c r="J8939" s="17"/>
      <c r="K8939" s="17"/>
      <c r="L8939" s="17">
        <f>IFERROR(__xludf.DUMMYFUNCTION("""COMPUTED_VALUE"""),3.208615379E9)</f>
        <v>3208615379</v>
      </c>
      <c r="M8939" s="17"/>
      <c r="N8939" s="17"/>
      <c r="O8939" s="17"/>
      <c r="P8939" s="17" t="b">
        <f>IFERROR(__xludf.DUMMYFUNCTION("""COMPUTED_VALUE"""),FALSE)</f>
        <v>0</v>
      </c>
      <c r="Q8939" s="20" t="str">
        <f>IFERROR(__xludf.DUMMYFUNCTION("""COMPUTED_VALUE"""),"")</f>
        <v/>
      </c>
      <c r="R8939" s="21" t="str">
        <f>IFERROR(__xludf.DUMMYFUNCTION("""COMPUTED_VALUE"""),"https://drive.google.com/file/d/1VQbvcFpFLY8QggmO7-3T5080i8ND4M6w/view?usp=drivesdk")</f>
        <v>https://drive.google.com/file/d/1VQbvcFpFLY8QggmO7-3T5080i8ND4M6w/view?usp=drivesdk</v>
      </c>
    </row>
    <row r="8940">
      <c r="A8940" s="15">
        <f>IFERROR(__xludf.DUMMYFUNCTION("""COMPUTED_VALUE"""),45254.0)</f>
        <v>45254</v>
      </c>
      <c r="B8940" s="16" t="str">
        <f>IFERROR(__xludf.DUMMYFUNCTION("""COMPUTED_VALUE"""),"Envia")</f>
        <v>Envia</v>
      </c>
      <c r="C8940" s="15" t="str">
        <f>IFERROR(__xludf.DUMMYFUNCTION("""COMPUTED_VALUE"""),"CÚCUTA")</f>
        <v>CÚCUTA</v>
      </c>
      <c r="D8940" s="15" t="str">
        <f>IFERROR(__xludf.DUMMYFUNCTION("""COMPUTED_VALUE"""),"BOGOTÁ")</f>
        <v>BOGOTÁ</v>
      </c>
      <c r="E8940" s="15" t="str">
        <f>IFERROR(__xludf.DUMMYFUNCTION("""COMPUTED_VALUE"""),"Instinto alimento vital")</f>
        <v>Instinto alimento vital</v>
      </c>
      <c r="F8940" s="17" t="str">
        <f>IFERROR(__xludf.DUMMYFUNCTION("""COMPUTED_VALUE"""),"CONJUNTO CERRADO VILLA CECILIA CASA 5 VILLA DEL ROSARIO / CONJUNTO CERRADO VILLA CECILIA CASA 5 VILLA DEL ROSARIO")</f>
        <v>CONJUNTO CERRADO VILLA CECILIA CASA 5 VILLA DEL ROSARIO / CONJUNTO CERRADO VILLA CECILIA CASA 5 VILLA DEL ROSARIO</v>
      </c>
      <c r="G8940" s="15" t="str">
        <f>IFERROR(__xludf.DUMMYFUNCTION("""COMPUTED_VALUE"""),"WILLIAM DIAZ PEÑALOZA")</f>
        <v>WILLIAM DIAZ PEÑALOZA</v>
      </c>
      <c r="H8940" s="16">
        <f>IFERROR(__xludf.DUMMYFUNCTION("""COMPUTED_VALUE"""),17560.0)</f>
        <v>17560</v>
      </c>
      <c r="I8940" s="17"/>
      <c r="J8940" s="17"/>
      <c r="K8940" s="17"/>
      <c r="L8940" s="17">
        <f>IFERROR(__xludf.DUMMYFUNCTION("""COMPUTED_VALUE"""),3.222766084E9)</f>
        <v>3222766084</v>
      </c>
      <c r="M8940" s="17"/>
      <c r="N8940" s="17"/>
      <c r="O8940" s="17"/>
      <c r="P8940" s="17" t="b">
        <f>IFERROR(__xludf.DUMMYFUNCTION("""COMPUTED_VALUE"""),FALSE)</f>
        <v>0</v>
      </c>
      <c r="Q8940" s="20" t="str">
        <f>IFERROR(__xludf.DUMMYFUNCTION("""COMPUTED_VALUE"""),"")</f>
        <v/>
      </c>
      <c r="R8940" s="21" t="str">
        <f>IFERROR(__xludf.DUMMYFUNCTION("""COMPUTED_VALUE"""),"https://drive.google.com/file/d/1DdQsHh9h7GBhR5yy-crQwTQpoPUA24Fy/view?usp=drivesdk")</f>
        <v>https://drive.google.com/file/d/1DdQsHh9h7GBhR5yy-crQwTQpoPUA24Fy/view?usp=drivesdk</v>
      </c>
    </row>
    <row r="8941">
      <c r="A8941" s="15">
        <f>IFERROR(__xludf.DUMMYFUNCTION("""COMPUTED_VALUE"""),45254.0)</f>
        <v>45254</v>
      </c>
      <c r="B8941" s="16" t="str">
        <f>IFERROR(__xludf.DUMMYFUNCTION("""COMPUTED_VALUE"""),"Envia")</f>
        <v>Envia</v>
      </c>
      <c r="C8941" s="15" t="str">
        <f>IFERROR(__xludf.DUMMYFUNCTION("""COMPUTED_VALUE"""),"CÚCUTA")</f>
        <v>CÚCUTA</v>
      </c>
      <c r="D8941" s="15" t="str">
        <f>IFERROR(__xludf.DUMMYFUNCTION("""COMPUTED_VALUE"""),"BOGOTÁ")</f>
        <v>BOGOTÁ</v>
      </c>
      <c r="E8941" s="15" t="str">
        <f>IFERROR(__xludf.DUMMYFUNCTION("""COMPUTED_VALUE"""),"LINA PAOLA RAMIREZ GOMEZ - EVA MAZZITA")</f>
        <v>LINA PAOLA RAMIREZ GOMEZ - EVA MAZZITA</v>
      </c>
      <c r="F8941" s="17" t="str">
        <f>IFERROR(__xludf.DUMMYFUNCTION("""COMPUTED_VALUE"""),"Av 2E # 15A -17 Caobos / Caobos")</f>
        <v>Av 2E # 15A -17 Caobos / Caobos</v>
      </c>
      <c r="G8941" s="15" t="str">
        <f>IFERROR(__xludf.DUMMYFUNCTION("""COMPUTED_VALUE"""),"DACCY KARINA LOPEZ MORENO")</f>
        <v>DACCY KARINA LOPEZ MORENO</v>
      </c>
      <c r="H8941" s="16">
        <f>IFERROR(__xludf.DUMMYFUNCTION("""COMPUTED_VALUE"""),17564.0)</f>
        <v>17564</v>
      </c>
      <c r="I8941" s="17"/>
      <c r="J8941" s="17"/>
      <c r="K8941" s="17"/>
      <c r="L8941" s="17">
        <f>IFERROR(__xludf.DUMMYFUNCTION("""COMPUTED_VALUE"""),3.208615379E9)</f>
        <v>3208615379</v>
      </c>
      <c r="M8941" s="17"/>
      <c r="N8941" s="17"/>
      <c r="O8941" s="17"/>
      <c r="P8941" s="17" t="b">
        <f>IFERROR(__xludf.DUMMYFUNCTION("""COMPUTED_VALUE"""),FALSE)</f>
        <v>0</v>
      </c>
      <c r="Q8941" s="20" t="str">
        <f>IFERROR(__xludf.DUMMYFUNCTION("""COMPUTED_VALUE"""),"")</f>
        <v/>
      </c>
      <c r="R8941" s="21" t="str">
        <f>IFERROR(__xludf.DUMMYFUNCTION("""COMPUTED_VALUE"""),"https://drive.google.com/file/d/1aTRC8hCTHUqVg-nPKZGVq6IJbm74kXbr/view?usp=drivesdk")</f>
        <v>https://drive.google.com/file/d/1aTRC8hCTHUqVg-nPKZGVq6IJbm74kXbr/view?usp=drivesdk</v>
      </c>
    </row>
    <row r="8942">
      <c r="A8942" s="15">
        <f>IFERROR(__xludf.DUMMYFUNCTION("""COMPUTED_VALUE"""),45254.0)</f>
        <v>45254</v>
      </c>
      <c r="B8942" s="16" t="str">
        <f>IFERROR(__xludf.DUMMYFUNCTION("""COMPUTED_VALUE"""),"Envia")</f>
        <v>Envia</v>
      </c>
      <c r="C8942" s="15" t="str">
        <f>IFERROR(__xludf.DUMMYFUNCTION("""COMPUTED_VALUE"""),"CÚCUTA")</f>
        <v>CÚCUTA</v>
      </c>
      <c r="D8942" s="15" t="str">
        <f>IFERROR(__xludf.DUMMYFUNCTION("""COMPUTED_VALUE"""),"MEDELLÍN")</f>
        <v>MEDELLÍN</v>
      </c>
      <c r="E8942" s="15" t="str">
        <f>IFERROR(__xludf.DUMMYFUNCTION("""COMPUTED_VALUE"""),"Moloso S.A.S")</f>
        <v>Moloso S.A.S</v>
      </c>
      <c r="F8942" s="17" t="str">
        <f>IFERROR(__xludf.DUMMYFUNCTION("""COMPUTED_VALUE"""),"CALLE 7N 18 09 / ASTURIAS TORRES TO A AP 402")</f>
        <v>CALLE 7N 18 09 / ASTURIAS TORRES TO A AP 402</v>
      </c>
      <c r="G8942" s="15" t="str">
        <f>IFERROR(__xludf.DUMMYFUNCTION("""COMPUTED_VALUE"""),"GENESIS VICTORIA MELENDEZ")</f>
        <v>GENESIS VICTORIA MELENDEZ</v>
      </c>
      <c r="H8942" s="16">
        <f>IFERROR(__xludf.DUMMYFUNCTION("""COMPUTED_VALUE"""),17594.0)</f>
        <v>17594</v>
      </c>
      <c r="I8942" s="17"/>
      <c r="J8942" s="17"/>
      <c r="K8942" s="17"/>
      <c r="L8942" s="17"/>
      <c r="M8942" s="17"/>
      <c r="N8942" s="17"/>
      <c r="O8942" s="17"/>
      <c r="P8942" s="17" t="b">
        <f>IFERROR(__xludf.DUMMYFUNCTION("""COMPUTED_VALUE"""),FALSE)</f>
        <v>0</v>
      </c>
      <c r="Q8942" s="20" t="str">
        <f>IFERROR(__xludf.DUMMYFUNCTION("""COMPUTED_VALUE"""),"")</f>
        <v/>
      </c>
      <c r="R8942" s="21" t="str">
        <f>IFERROR(__xludf.DUMMYFUNCTION("""COMPUTED_VALUE"""),"https://drive.google.com/file/d/1aRi9A_ljBdb3M5Q1AOa-hRfQWG9BOXY2/view?usp=drivesdk")</f>
        <v>https://drive.google.com/file/d/1aRi9A_ljBdb3M5Q1AOa-hRfQWG9BOXY2/view?usp=drivesdk</v>
      </c>
    </row>
    <row r="8943">
      <c r="A8943" s="15">
        <f>IFERROR(__xludf.DUMMYFUNCTION("""COMPUTED_VALUE"""),45254.0)</f>
        <v>45254</v>
      </c>
      <c r="B8943" s="16" t="str">
        <f>IFERROR(__xludf.DUMMYFUNCTION("""COMPUTED_VALUE"""),"Envia")</f>
        <v>Envia</v>
      </c>
      <c r="C8943" s="15" t="str">
        <f>IFERROR(__xludf.DUMMYFUNCTION("""COMPUTED_VALUE"""),"MEDELLÍN")</f>
        <v>MEDELLÍN</v>
      </c>
      <c r="D8943" s="15" t="str">
        <f>IFERROR(__xludf.DUMMYFUNCTION("""COMPUTED_VALUE"""),"BOGOTÁ")</f>
        <v>BOGOTÁ</v>
      </c>
      <c r="E8943" s="15" t="str">
        <f>IFERROR(__xludf.DUMMYFUNCTION("""COMPUTED_VALUE"""),"Orso")</f>
        <v>Orso</v>
      </c>
      <c r="F8943" s="17" t="str">
        <f>IFERROR(__xludf.DUMMYFUNCTION("""COMPUTED_VALUE"""),"Carrera 46 # 14-140, Medellin / Rappi Turbo Medellin - Manila      / Rappi Turbo Medellin - Manila     ")</f>
        <v>Carrera 46 # 14-140, Medellin / Rappi Turbo Medellin - Manila      / Rappi Turbo Medellin - Manila     </v>
      </c>
      <c r="G8943" s="15" t="str">
        <f>IFERROR(__xludf.DUMMYFUNCTION("""COMPUTED_VALUE"""),"Santiago Salazar")</f>
        <v>Santiago Salazar</v>
      </c>
      <c r="H8943" s="16">
        <f>IFERROR(__xludf.DUMMYFUNCTION("""COMPUTED_VALUE"""),17555.0)</f>
        <v>17555</v>
      </c>
      <c r="I8943" s="18">
        <f>IFERROR(__xludf.DUMMYFUNCTION("""COMPUTED_VALUE"""),1.0)</f>
        <v>1</v>
      </c>
      <c r="J8943" s="18">
        <f>IFERROR(__xludf.DUMMYFUNCTION("""COMPUTED_VALUE"""),1.0)</f>
        <v>1</v>
      </c>
      <c r="K8943" s="18">
        <f>IFERROR(__xludf.DUMMYFUNCTION("""COMPUTED_VALUE"""),1.0)</f>
        <v>1</v>
      </c>
      <c r="L8943" s="17">
        <f>IFERROR(__xludf.DUMMYFUNCTION("""COMPUTED_VALUE"""),3.175005565E9)</f>
        <v>3175005565</v>
      </c>
      <c r="M8943" s="17"/>
      <c r="N8943" s="17"/>
      <c r="O8943" s="17"/>
      <c r="P8943" s="17" t="b">
        <f>IFERROR(__xludf.DUMMYFUNCTION("""COMPUTED_VALUE"""),FALSE)</f>
        <v>0</v>
      </c>
      <c r="Q8943" s="20" t="str">
        <f>IFERROR(__xludf.DUMMYFUNCTION("""COMPUTED_VALUE"""),"")</f>
        <v/>
      </c>
      <c r="R8943" s="22" t="str">
        <f>IFERROR(__xludf.DUMMYFUNCTION("""COMPUTED_VALUE"""),"")</f>
        <v/>
      </c>
    </row>
    <row r="8944">
      <c r="A8944" s="15">
        <f>IFERROR(__xludf.DUMMYFUNCTION("""COMPUTED_VALUE"""),45254.0)</f>
        <v>45254</v>
      </c>
      <c r="B8944" s="16" t="str">
        <f>IFERROR(__xludf.DUMMYFUNCTION("""COMPUTED_VALUE"""),"Envia")</f>
        <v>Envia</v>
      </c>
      <c r="C8944" s="15" t="str">
        <f>IFERROR(__xludf.DUMMYFUNCTION("""COMPUTED_VALUE"""),"MEDELLÍN")</f>
        <v>MEDELLÍN</v>
      </c>
      <c r="D8944" s="15" t="str">
        <f>IFERROR(__xludf.DUMMYFUNCTION("""COMPUTED_VALUE"""),"BOGOTÁ")</f>
        <v>BOGOTÁ</v>
      </c>
      <c r="E8944" s="15" t="str">
        <f>IFERROR(__xludf.DUMMYFUNCTION("""COMPUTED_VALUE"""),"Renata")</f>
        <v>Renata</v>
      </c>
      <c r="F8944" s="17" t="str">
        <f>IFERROR(__xludf.DUMMYFUNCTION("""COMPUTED_VALUE"""),"Carrera 32d#9-43 / Seline y cowork -restaurante  / Provenza ")</f>
        <v>Carrera 32d#9-43 / Seline y cowork -restaurante  / Provenza </v>
      </c>
      <c r="G8944" s="15" t="str">
        <f>IFERROR(__xludf.DUMMYFUNCTION("""COMPUTED_VALUE"""),"Front y back hospitality group ")</f>
        <v>Front y back hospitality group </v>
      </c>
      <c r="H8944" s="16">
        <f>IFERROR(__xludf.DUMMYFUNCTION("""COMPUTED_VALUE"""),17598.0)</f>
        <v>17598</v>
      </c>
      <c r="I8944" s="18">
        <f>IFERROR(__xludf.DUMMYFUNCTION("""COMPUTED_VALUE"""),90.0)</f>
        <v>90</v>
      </c>
      <c r="J8944" s="18">
        <f>IFERROR(__xludf.DUMMYFUNCTION("""COMPUTED_VALUE"""),70.0)</f>
        <v>70</v>
      </c>
      <c r="K8944" s="18">
        <f>IFERROR(__xludf.DUMMYFUNCTION("""COMPUTED_VALUE"""),60.0)</f>
        <v>60</v>
      </c>
      <c r="L8944" s="17">
        <f>IFERROR(__xludf.DUMMYFUNCTION("""COMPUTED_VALUE"""),3.104047368E9)</f>
        <v>3104047368</v>
      </c>
      <c r="M8944" s="17"/>
      <c r="N8944" s="17"/>
      <c r="O8944" s="17"/>
      <c r="P8944" s="17" t="b">
        <f>IFERROR(__xludf.DUMMYFUNCTION("""COMPUTED_VALUE"""),FALSE)</f>
        <v>0</v>
      </c>
      <c r="Q8944" s="20" t="str">
        <f>IFERROR(__xludf.DUMMYFUNCTION("""COMPUTED_VALUE"""),"")</f>
        <v/>
      </c>
      <c r="R8944" s="21" t="str">
        <f>IFERROR(__xludf.DUMMYFUNCTION("""COMPUTED_VALUE"""),"https://drive.google.com/file/d/1JIFAs3DNm4vWMNHyk5MfyvJnQuxHpq_F/view?usp=drivesdk")</f>
        <v>https://drive.google.com/file/d/1JIFAs3DNm4vWMNHyk5MfyvJnQuxHpq_F/view?usp=drivesdk</v>
      </c>
    </row>
    <row r="8945">
      <c r="A8945" s="15">
        <f>IFERROR(__xludf.DUMMYFUNCTION("""COMPUTED_VALUE"""),45254.0)</f>
        <v>45254</v>
      </c>
      <c r="B8945" s="16" t="str">
        <f>IFERROR(__xludf.DUMMYFUNCTION("""COMPUTED_VALUE"""),"Envia")</f>
        <v>Envia</v>
      </c>
      <c r="C8945" s="15" t="str">
        <f>IFERROR(__xludf.DUMMYFUNCTION("""COMPUTED_VALUE"""),"PASTO")</f>
        <v>PASTO</v>
      </c>
      <c r="D8945" s="15" t="str">
        <f>IFERROR(__xludf.DUMMYFUNCTION("""COMPUTED_VALUE"""),"BOGOTÁ")</f>
        <v>BOGOTÁ</v>
      </c>
      <c r="E8945" s="15" t="str">
        <f>IFERROR(__xludf.DUMMYFUNCTION("""COMPUTED_VALUE"""),"Top Spun")</f>
        <v>Top Spun</v>
      </c>
      <c r="F8945" s="17" t="str">
        <f>IFERROR(__xludf.DUMMYFUNCTION("""COMPUTED_VALUE"""),"Calle 19c # 44-45 / Edificio jardín del Río /  apto 803")</f>
        <v>Calle 19c # 44-45 / Edificio jardín del Río /  apto 803</v>
      </c>
      <c r="G8945" s="15" t="str">
        <f>IFERROR(__xludf.DUMMYFUNCTION("""COMPUTED_VALUE"""),"Carolina Ceballos Chaves")</f>
        <v>Carolina Ceballos Chaves</v>
      </c>
      <c r="H8945" s="16">
        <f>IFERROR(__xludf.DUMMYFUNCTION("""COMPUTED_VALUE"""),17549.0)</f>
        <v>17549</v>
      </c>
      <c r="I8945" s="18">
        <f>IFERROR(__xludf.DUMMYFUNCTION("""COMPUTED_VALUE"""),20.0)</f>
        <v>20</v>
      </c>
      <c r="J8945" s="18">
        <f>IFERROR(__xludf.DUMMYFUNCTION("""COMPUTED_VALUE"""),10.0)</f>
        <v>10</v>
      </c>
      <c r="K8945" s="18">
        <f>IFERROR(__xludf.DUMMYFUNCTION("""COMPUTED_VALUE"""),40.0)</f>
        <v>40</v>
      </c>
      <c r="L8945" s="17">
        <f>IFERROR(__xludf.DUMMYFUNCTION("""COMPUTED_VALUE"""),3.117152121E9)</f>
        <v>3117152121</v>
      </c>
      <c r="M8945" s="17"/>
      <c r="N8945" s="17"/>
      <c r="O8945" s="17"/>
      <c r="P8945" s="17" t="b">
        <f>IFERROR(__xludf.DUMMYFUNCTION("""COMPUTED_VALUE"""),FALSE)</f>
        <v>0</v>
      </c>
      <c r="Q8945" s="20" t="str">
        <f>IFERROR(__xludf.DUMMYFUNCTION("""COMPUTED_VALUE"""),"")</f>
        <v/>
      </c>
      <c r="R8945" s="22" t="str">
        <f>IFERROR(__xludf.DUMMYFUNCTION("""COMPUTED_VALUE"""),"")</f>
        <v/>
      </c>
    </row>
    <row r="8946">
      <c r="A8946" s="15">
        <f>IFERROR(__xludf.DUMMYFUNCTION("""COMPUTED_VALUE"""),45254.0)</f>
        <v>45254</v>
      </c>
      <c r="B8946" s="16" t="str">
        <f>IFERROR(__xludf.DUMMYFUNCTION("""COMPUTED_VALUE"""),"Envia")</f>
        <v>Envia</v>
      </c>
      <c r="C8946" s="15" t="str">
        <f>IFERROR(__xludf.DUMMYFUNCTION("""COMPUTED_VALUE"""),"PASTO")</f>
        <v>PASTO</v>
      </c>
      <c r="D8946" s="15" t="str">
        <f>IFERROR(__xludf.DUMMYFUNCTION("""COMPUTED_VALUE"""),"ENVIGADO")</f>
        <v>ENVIGADO</v>
      </c>
      <c r="E8946" s="15" t="str">
        <f>IFERROR(__xludf.DUMMYFUNCTION("""COMPUTED_VALUE"""),"JUAN CAMILO CORDOBA")</f>
        <v>JUAN CAMILO CORDOBA</v>
      </c>
      <c r="F8946" s="17" t="str">
        <f>IFERROR(__xludf.DUMMYFUNCTION("""COMPUTED_VALUE"""),"Clle 16 no. 22 a 78 / Pasto")</f>
        <v>Clle 16 no. 22 a 78 / Pasto</v>
      </c>
      <c r="G8946" s="15" t="str">
        <f>IFERROR(__xludf.DUMMYFUNCTION("""COMPUTED_VALUE"""),"Kyomu biotienda")</f>
        <v>Kyomu biotienda</v>
      </c>
      <c r="H8946" s="16">
        <f>IFERROR(__xludf.DUMMYFUNCTION("""COMPUTED_VALUE"""),17580.0)</f>
        <v>17580</v>
      </c>
      <c r="I8946" s="17"/>
      <c r="J8946" s="17"/>
      <c r="K8946" s="17"/>
      <c r="L8946" s="17">
        <f>IFERROR(__xludf.DUMMYFUNCTION("""COMPUTED_VALUE"""),3.183886922E9)</f>
        <v>3183886922</v>
      </c>
      <c r="M8946" s="17"/>
      <c r="N8946" s="17"/>
      <c r="O8946" s="17"/>
      <c r="P8946" s="17" t="b">
        <f>IFERROR(__xludf.DUMMYFUNCTION("""COMPUTED_VALUE"""),FALSE)</f>
        <v>0</v>
      </c>
      <c r="Q8946" s="20" t="str">
        <f>IFERROR(__xludf.DUMMYFUNCTION("""COMPUTED_VALUE"""),"")</f>
        <v/>
      </c>
      <c r="R8946" s="22" t="str">
        <f>IFERROR(__xludf.DUMMYFUNCTION("""COMPUTED_VALUE"""),"")</f>
        <v/>
      </c>
    </row>
    <row r="8947">
      <c r="A8947" s="15">
        <f>IFERROR(__xludf.DUMMYFUNCTION("""COMPUTED_VALUE"""),45254.0)</f>
        <v>45254</v>
      </c>
      <c r="B8947" s="16" t="str">
        <f>IFERROR(__xludf.DUMMYFUNCTION("""COMPUTED_VALUE"""),"Envia")</f>
        <v>Envia</v>
      </c>
      <c r="C8947" s="15" t="str">
        <f>IFERROR(__xludf.DUMMYFUNCTION("""COMPUTED_VALUE"""),"POPAYAN")</f>
        <v>POPAYAN</v>
      </c>
      <c r="D8947" s="15" t="str">
        <f>IFERROR(__xludf.DUMMYFUNCTION("""COMPUTED_VALUE"""),"BOGOTÁ")</f>
        <v>BOGOTÁ</v>
      </c>
      <c r="E8947" s="15" t="str">
        <f>IFERROR(__xludf.DUMMYFUNCTION("""COMPUTED_VALUE"""),"LINA PAOLA RAMIREZ GOMEZ - EVA MAZZITA")</f>
        <v>LINA PAOLA RAMIREZ GOMEZ - EVA MAZZITA</v>
      </c>
      <c r="F8947" s="17" t="str">
        <f>IFERROR(__xludf.DUMMYFUNCTION("""COMPUTED_VALUE"""),"CRA 6 # 27N - 58 / LOCAL 1 BARRIO LOS HOYOS - VIVEA MERCADO SALUDABLE")</f>
        <v>CRA 6 # 27N - 58 / LOCAL 1 BARRIO LOS HOYOS - VIVEA MERCADO SALUDABLE</v>
      </c>
      <c r="G8947" s="15" t="str">
        <f>IFERROR(__xludf.DUMMYFUNCTION("""COMPUTED_VALUE"""),"VIVIANA ANDREA CHAMORRO YANZA")</f>
        <v>VIVIANA ANDREA CHAMORRO YANZA</v>
      </c>
      <c r="H8947" s="16">
        <f>IFERROR(__xludf.DUMMYFUNCTION("""COMPUTED_VALUE"""),17565.0)</f>
        <v>17565</v>
      </c>
      <c r="I8947" s="17"/>
      <c r="J8947" s="17"/>
      <c r="K8947" s="17"/>
      <c r="L8947" s="17">
        <f>IFERROR(__xludf.DUMMYFUNCTION("""COMPUTED_VALUE"""),3.122971002E9)</f>
        <v>3122971002</v>
      </c>
      <c r="M8947" s="17"/>
      <c r="N8947" s="17"/>
      <c r="O8947" s="17"/>
      <c r="P8947" s="17" t="b">
        <f>IFERROR(__xludf.DUMMYFUNCTION("""COMPUTED_VALUE"""),FALSE)</f>
        <v>0</v>
      </c>
      <c r="Q8947" s="20" t="str">
        <f>IFERROR(__xludf.DUMMYFUNCTION("""COMPUTED_VALUE"""),"")</f>
        <v/>
      </c>
      <c r="R8947" s="22" t="str">
        <f>IFERROR(__xludf.DUMMYFUNCTION("""COMPUTED_VALUE"""),"")</f>
        <v/>
      </c>
    </row>
    <row r="8948">
      <c r="A8948" s="15">
        <f>IFERROR(__xludf.DUMMYFUNCTION("""COMPUTED_VALUE"""),45254.0)</f>
        <v>45254</v>
      </c>
      <c r="B8948" s="16" t="str">
        <f>IFERROR(__xludf.DUMMYFUNCTION("""COMPUTED_VALUE"""),"Envia")</f>
        <v>Envia</v>
      </c>
      <c r="C8948" s="15" t="str">
        <f>IFERROR(__xludf.DUMMYFUNCTION("""COMPUTED_VALUE"""),"SANTA MARTA")</f>
        <v>SANTA MARTA</v>
      </c>
      <c r="D8948" s="15" t="str">
        <f>IFERROR(__xludf.DUMMYFUNCTION("""COMPUTED_VALUE"""),"ENVIGADO")</f>
        <v>ENVIGADO</v>
      </c>
      <c r="E8948" s="15" t="str">
        <f>IFERROR(__xludf.DUMMYFUNCTION("""COMPUTED_VALUE"""),"JUAN CAMILO CORDOBA")</f>
        <v>JUAN CAMILO CORDOBA</v>
      </c>
      <c r="F8948" s="17" t="str">
        <f>IFERROR(__xludf.DUMMYFUNCTION("""COMPUTED_VALUE"""),"Carrera 4 26 40 / CC PRADO PLAZA LC 117")</f>
        <v>Carrera 4 26 40 / CC PRADO PLAZA LC 117</v>
      </c>
      <c r="G8948" s="15" t="str">
        <f>IFERROR(__xludf.DUMMYFUNCTION("""COMPUTED_VALUE"""),"Hecho en casa")</f>
        <v>Hecho en casa</v>
      </c>
      <c r="H8948" s="16">
        <f>IFERROR(__xludf.DUMMYFUNCTION("""COMPUTED_VALUE"""),17579.0)</f>
        <v>17579</v>
      </c>
      <c r="I8948" s="17"/>
      <c r="J8948" s="17"/>
      <c r="K8948" s="17"/>
      <c r="L8948" s="17">
        <f>IFERROR(__xludf.DUMMYFUNCTION("""COMPUTED_VALUE"""),3.176455877E9)</f>
        <v>3176455877</v>
      </c>
      <c r="M8948" s="17"/>
      <c r="N8948" s="17"/>
      <c r="O8948" s="17"/>
      <c r="P8948" s="17" t="b">
        <f>IFERROR(__xludf.DUMMYFUNCTION("""COMPUTED_VALUE"""),FALSE)</f>
        <v>0</v>
      </c>
      <c r="Q8948" s="20" t="str">
        <f>IFERROR(__xludf.DUMMYFUNCTION("""COMPUTED_VALUE"""),"")</f>
        <v/>
      </c>
      <c r="R8948" s="21" t="str">
        <f>IFERROR(__xludf.DUMMYFUNCTION("""COMPUTED_VALUE"""),"https://drive.google.com/file/d/17YBWvgtHotZ3uIRafRYDmEdP6__HhrOi/view?usp=drivesdk")</f>
        <v>https://drive.google.com/file/d/17YBWvgtHotZ3uIRafRYDmEdP6__HhrOi/view?usp=drivesdk</v>
      </c>
    </row>
    <row r="8949">
      <c r="A8949" s="17" t="str">
        <f>IFERROR(__xludf.DUMMYFUNCTION("""COMPUTED_VALUE"""),"")</f>
        <v/>
      </c>
      <c r="B8949" s="17" t="str">
        <f>IFERROR(__xludf.DUMMYFUNCTION("""COMPUTED_VALUE"""),"")</f>
        <v/>
      </c>
      <c r="C8949" s="17" t="str">
        <f>IFERROR(__xludf.DUMMYFUNCTION("""COMPUTED_VALUE"""),"")</f>
        <v/>
      </c>
      <c r="D8949" s="17" t="str">
        <f>IFERROR(__xludf.DUMMYFUNCTION("""COMPUTED_VALUE"""),"")</f>
        <v/>
      </c>
      <c r="E8949" s="17" t="str">
        <f>IFERROR(__xludf.DUMMYFUNCTION("""COMPUTED_VALUE"""),"")</f>
        <v/>
      </c>
      <c r="F8949" s="17" t="str">
        <f>IFERROR(__xludf.DUMMYFUNCTION("""COMPUTED_VALUE"""),"")</f>
        <v/>
      </c>
      <c r="G8949" s="17" t="str">
        <f>IFERROR(__xludf.DUMMYFUNCTION("""COMPUTED_VALUE"""),"")</f>
        <v/>
      </c>
      <c r="H8949" s="17" t="str">
        <f>IFERROR(__xludf.DUMMYFUNCTION("""COMPUTED_VALUE"""),"")</f>
        <v/>
      </c>
      <c r="I8949" s="17" t="str">
        <f>IFERROR(__xludf.DUMMYFUNCTION("""COMPUTED_VALUE"""),"")</f>
        <v/>
      </c>
      <c r="J8949" s="17" t="str">
        <f>IFERROR(__xludf.DUMMYFUNCTION("""COMPUTED_VALUE"""),"")</f>
        <v/>
      </c>
      <c r="K8949" s="17" t="str">
        <f>IFERROR(__xludf.DUMMYFUNCTION("""COMPUTED_VALUE"""),"")</f>
        <v/>
      </c>
      <c r="L8949" s="17" t="str">
        <f>IFERROR(__xludf.DUMMYFUNCTION("""COMPUTED_VALUE"""),"")</f>
        <v/>
      </c>
      <c r="M8949" s="17" t="str">
        <f>IFERROR(__xludf.DUMMYFUNCTION("""COMPUTED_VALUE"""),"")</f>
        <v/>
      </c>
      <c r="N8949" s="17" t="str">
        <f>IFERROR(__xludf.DUMMYFUNCTION("""COMPUTED_VALUE"""),"")</f>
        <v/>
      </c>
      <c r="O8949" s="17" t="str">
        <f>IFERROR(__xludf.DUMMYFUNCTION("""COMPUTED_VALUE"""),"")</f>
        <v/>
      </c>
      <c r="P8949" s="17" t="str">
        <f>IFERROR(__xludf.DUMMYFUNCTION("""COMPUTED_VALUE"""),"")</f>
        <v/>
      </c>
      <c r="Q8949" s="17" t="str">
        <f>IFERROR(__xludf.DUMMYFUNCTION("""COMPUTED_VALUE"""),"")</f>
        <v/>
      </c>
      <c r="R8949" s="17" t="str">
        <f>IFERROR(__xludf.DUMMYFUNCTION("""COMPUTED_VALUE"""),"")</f>
        <v/>
      </c>
    </row>
    <row r="8950">
      <c r="A8950" s="15">
        <f>IFERROR(__xludf.DUMMYFUNCTION("""COMPUTED_VALUE"""),45254.0)</f>
        <v>45254</v>
      </c>
      <c r="B8950" s="16" t="str">
        <f>IFERROR(__xludf.DUMMYFUNCTION("""COMPUTED_VALUE"""),"JOSE ALFREDO RAMIREZ VERGARA ")</f>
        <v>JOSE ALFREDO RAMIREZ VERGARA </v>
      </c>
      <c r="C8950" s="15" t="str">
        <f>IFERROR(__xludf.DUMMYFUNCTION("""COMPUTED_VALUE"""),"BOGOTÁ")</f>
        <v>BOGOTÁ</v>
      </c>
      <c r="D8950" s="15" t="str">
        <f>IFERROR(__xludf.DUMMYFUNCTION("""COMPUTED_VALUE"""),"BARRANQUILLA")</f>
        <v>BARRANQUILLA</v>
      </c>
      <c r="E8950" s="15" t="str">
        <f>IFERROR(__xludf.DUMMYFUNCTION("""COMPUTED_VALUE"""),"Paketto")</f>
        <v>Paketto</v>
      </c>
      <c r="F8950" s="17" t="str">
        <f>IFERROR(__xludf.DUMMYFUNCTION("""COMPUTED_VALUE"""),"Calle 93 a  # 11-46 / STF 93 / Chico")</f>
        <v>Calle 93 a  # 11-46 / STF 93 / Chico</v>
      </c>
      <c r="G8950" s="15" t="str">
        <f>IFERROR(__xludf.DUMMYFUNCTION("""COMPUTED_VALUE"""),"STF 93")</f>
        <v>STF 93</v>
      </c>
      <c r="H8950" s="16">
        <f>IFERROR(__xludf.DUMMYFUNCTION("""COMPUTED_VALUE"""),17593.0)</f>
        <v>17593</v>
      </c>
      <c r="I8950" s="18">
        <f>IFERROR(__xludf.DUMMYFUNCTION("""COMPUTED_VALUE"""),1.0)</f>
        <v>1</v>
      </c>
      <c r="J8950" s="18">
        <f>IFERROR(__xludf.DUMMYFUNCTION("""COMPUTED_VALUE"""),18.0)</f>
        <v>18</v>
      </c>
      <c r="K8950" s="18">
        <f>IFERROR(__xludf.DUMMYFUNCTION("""COMPUTED_VALUE"""),20.0)</f>
        <v>20</v>
      </c>
      <c r="L8950" s="17">
        <f>IFERROR(__xludf.DUMMYFUNCTION("""COMPUTED_VALUE"""),3.114158595E9)</f>
        <v>3114158595</v>
      </c>
      <c r="M8950" s="17"/>
      <c r="N8950" s="17"/>
      <c r="O8950" s="17"/>
      <c r="P8950" s="17" t="b">
        <f>IFERROR(__xludf.DUMMYFUNCTION("""COMPUTED_VALUE"""),FALSE)</f>
        <v>0</v>
      </c>
      <c r="Q8950" s="20" t="str">
        <f>IFERROR(__xludf.DUMMYFUNCTION("""COMPUTED_VALUE"""),"")</f>
        <v/>
      </c>
      <c r="R8950" s="21" t="str">
        <f>IFERROR(__xludf.DUMMYFUNCTION("""COMPUTED_VALUE"""),"https://drive.google.com/file/d/10jjJTz_2b6HARFgiTQMJOb9DPTbaj9Xh/view?usp=drivesdk")</f>
        <v>https://drive.google.com/file/d/10jjJTz_2b6HARFgiTQMJOb9DPTbaj9Xh/view?usp=drivesdk</v>
      </c>
    </row>
    <row r="8951">
      <c r="A8951" s="15">
        <f>IFERROR(__xludf.DUMMYFUNCTION("""COMPUTED_VALUE"""),45254.0)</f>
        <v>45254</v>
      </c>
      <c r="B8951" s="16" t="str">
        <f>IFERROR(__xludf.DUMMYFUNCTION("""COMPUTED_VALUE"""),"JOSE ALFREDO RAMIREZ VERGARA ")</f>
        <v>JOSE ALFREDO RAMIREZ VERGARA </v>
      </c>
      <c r="C8951" s="15" t="str">
        <f>IFERROR(__xludf.DUMMYFUNCTION("""COMPUTED_VALUE"""),"BOGOTÁ")</f>
        <v>BOGOTÁ</v>
      </c>
      <c r="D8951" s="15" t="str">
        <f>IFERROR(__xludf.DUMMYFUNCTION("""COMPUTED_VALUE"""),"MEDELLÍN")</f>
        <v>MEDELLÍN</v>
      </c>
      <c r="E8951" s="15" t="str">
        <f>IFERROR(__xludf.DUMMYFUNCTION("""COMPUTED_VALUE"""),"AREPAS LA MARY")</f>
        <v>AREPAS LA MARY</v>
      </c>
      <c r="F8951" s="17" t="str">
        <f>IFERROR(__xludf.DUMMYFUNCTION("""COMPUTED_VALUE"""),"CRA 9 N.85 75 APTO 602 / BOSQUES DE LA CABRERA")</f>
        <v>CRA 9 N.85 75 APTO 602 / BOSQUES DE LA CABRERA</v>
      </c>
      <c r="G8951" s="15" t="str">
        <f>IFERROR(__xludf.DUMMYFUNCTION("""COMPUTED_VALUE"""),"LINA ENRIQUEZ")</f>
        <v>LINA ENRIQUEZ</v>
      </c>
      <c r="H8951" s="16">
        <f>IFERROR(__xludf.DUMMYFUNCTION("""COMPUTED_VALUE"""),17603.0)</f>
        <v>17603</v>
      </c>
      <c r="I8951" s="17"/>
      <c r="J8951" s="17"/>
      <c r="K8951" s="17"/>
      <c r="L8951" s="17">
        <f>IFERROR(__xludf.DUMMYFUNCTION("""COMPUTED_VALUE"""),3.214265812E9)</f>
        <v>3214265812</v>
      </c>
      <c r="M8951" s="17"/>
      <c r="N8951" s="17"/>
      <c r="O8951" s="17"/>
      <c r="P8951" s="17" t="b">
        <f>IFERROR(__xludf.DUMMYFUNCTION("""COMPUTED_VALUE"""),FALSE)</f>
        <v>0</v>
      </c>
      <c r="Q8951" s="20" t="str">
        <f>IFERROR(__xludf.DUMMYFUNCTION("""COMPUTED_VALUE"""),"")</f>
        <v/>
      </c>
      <c r="R8951" s="22" t="str">
        <f>IFERROR(__xludf.DUMMYFUNCTION("""COMPUTED_VALUE"""),"")</f>
        <v/>
      </c>
    </row>
    <row r="8952">
      <c r="A8952" s="15">
        <f>IFERROR(__xludf.DUMMYFUNCTION("""COMPUTED_VALUE"""),45254.0)</f>
        <v>45254</v>
      </c>
      <c r="B8952" s="16" t="str">
        <f>IFERROR(__xludf.DUMMYFUNCTION("""COMPUTED_VALUE"""),"JOSE ALFREDO RAMIREZ VERGARA ")</f>
        <v>JOSE ALFREDO RAMIREZ VERGARA </v>
      </c>
      <c r="C8952" s="15" t="str">
        <f>IFERROR(__xludf.DUMMYFUNCTION("""COMPUTED_VALUE"""),"BOGOTÁ")</f>
        <v>BOGOTÁ</v>
      </c>
      <c r="D8952" s="15" t="str">
        <f>IFERROR(__xludf.DUMMYFUNCTION("""COMPUTED_VALUE"""),"MEDELLÍN")</f>
        <v>MEDELLÍN</v>
      </c>
      <c r="E8952" s="15" t="str">
        <f>IFERROR(__xludf.DUMMYFUNCTION("""COMPUTED_VALUE"""),"Moloso S.A.S")</f>
        <v>Moloso S.A.S</v>
      </c>
      <c r="F8952" s="17" t="str">
        <f>IFERROR(__xludf.DUMMYFUNCTION("""COMPUTED_VALUE"""),"CR 18C 112 76 / AP 402")</f>
        <v>CR 18C 112 76 / AP 402</v>
      </c>
      <c r="G8952" s="15" t="str">
        <f>IFERROR(__xludf.DUMMYFUNCTION("""COMPUTED_VALUE"""),"MARIA OCHOA MARTELO")</f>
        <v>MARIA OCHOA MARTELO</v>
      </c>
      <c r="H8952" s="16">
        <f>IFERROR(__xludf.DUMMYFUNCTION("""COMPUTED_VALUE"""),17609.0)</f>
        <v>17609</v>
      </c>
      <c r="I8952" s="17"/>
      <c r="J8952" s="17"/>
      <c r="K8952" s="17"/>
      <c r="L8952" s="17"/>
      <c r="M8952" s="17"/>
      <c r="N8952" s="17"/>
      <c r="O8952" s="17"/>
      <c r="P8952" s="17" t="b">
        <f>IFERROR(__xludf.DUMMYFUNCTION("""COMPUTED_VALUE"""),FALSE)</f>
        <v>0</v>
      </c>
      <c r="Q8952" s="20" t="str">
        <f>IFERROR(__xludf.DUMMYFUNCTION("""COMPUTED_VALUE"""),"")</f>
        <v/>
      </c>
      <c r="R8952" s="22" t="str">
        <f>IFERROR(__xludf.DUMMYFUNCTION("""COMPUTED_VALUE"""),"")</f>
        <v/>
      </c>
    </row>
    <row r="8953">
      <c r="A8953" s="15">
        <f>IFERROR(__xludf.DUMMYFUNCTION("""COMPUTED_VALUE"""),45254.0)</f>
        <v>45254</v>
      </c>
      <c r="B8953" s="16" t="str">
        <f>IFERROR(__xludf.DUMMYFUNCTION("""COMPUTED_VALUE"""),"JOSE ALFREDO RAMIREZ VERGARA ")</f>
        <v>JOSE ALFREDO RAMIREZ VERGARA </v>
      </c>
      <c r="C8953" s="15" t="str">
        <f>IFERROR(__xludf.DUMMYFUNCTION("""COMPUTED_VALUE"""),"BOGOTÁ")</f>
        <v>BOGOTÁ</v>
      </c>
      <c r="D8953" s="15" t="str">
        <f>IFERROR(__xludf.DUMMYFUNCTION("""COMPUTED_VALUE"""),"MEDELLÍN")</f>
        <v>MEDELLÍN</v>
      </c>
      <c r="E8953" s="15" t="str">
        <f>IFERROR(__xludf.DUMMYFUNCTION("""COMPUTED_VALUE"""),"Moloso S.A.S")</f>
        <v>Moloso S.A.S</v>
      </c>
      <c r="F8953" s="17" t="str">
        <f>IFERROR(__xludf.DUMMYFUNCTION("""COMPUTED_VALUE"""),"CR 54D 188 41 / CONJUNTO MIRANDELA 7")</f>
        <v>CR 54D 188 41 / CONJUNTO MIRANDELA 7</v>
      </c>
      <c r="G8953" s="15" t="str">
        <f>IFERROR(__xludf.DUMMYFUNCTION("""COMPUTED_VALUE"""),"FABIOLA ESPERANZA MARIN MONCADA")</f>
        <v>FABIOLA ESPERANZA MARIN MONCADA</v>
      </c>
      <c r="H8953" s="16">
        <f>IFERROR(__xludf.DUMMYFUNCTION("""COMPUTED_VALUE"""),17608.0)</f>
        <v>17608</v>
      </c>
      <c r="I8953" s="17"/>
      <c r="J8953" s="17"/>
      <c r="K8953" s="17"/>
      <c r="L8953" s="17"/>
      <c r="M8953" s="17"/>
      <c r="N8953" s="17"/>
      <c r="O8953" s="17"/>
      <c r="P8953" s="17" t="b">
        <f>IFERROR(__xludf.DUMMYFUNCTION("""COMPUTED_VALUE"""),FALSE)</f>
        <v>0</v>
      </c>
      <c r="Q8953" s="20" t="str">
        <f>IFERROR(__xludf.DUMMYFUNCTION("""COMPUTED_VALUE"""),"")</f>
        <v/>
      </c>
      <c r="R8953" s="22" t="str">
        <f>IFERROR(__xludf.DUMMYFUNCTION("""COMPUTED_VALUE"""),"")</f>
        <v/>
      </c>
    </row>
    <row r="8954">
      <c r="A8954" s="15">
        <f>IFERROR(__xludf.DUMMYFUNCTION("""COMPUTED_VALUE"""),45254.0)</f>
        <v>45254</v>
      </c>
      <c r="B8954" s="16" t="str">
        <f>IFERROR(__xludf.DUMMYFUNCTION("""COMPUTED_VALUE"""),"JOSE ALFREDO RAMIREZ VERGARA ")</f>
        <v>JOSE ALFREDO RAMIREZ VERGARA </v>
      </c>
      <c r="C8954" s="15" t="str">
        <f>IFERROR(__xludf.DUMMYFUNCTION("""COMPUTED_VALUE"""),"BOGOTÁ")</f>
        <v>BOGOTÁ</v>
      </c>
      <c r="D8954" s="15" t="str">
        <f>IFERROR(__xludf.DUMMYFUNCTION("""COMPUTED_VALUE"""),"MEDELLÍN")</f>
        <v>MEDELLÍN</v>
      </c>
      <c r="E8954" s="15" t="str">
        <f>IFERROR(__xludf.DUMMYFUNCTION("""COMPUTED_VALUE"""),"Moloso S.A.S")</f>
        <v>Moloso S.A.S</v>
      </c>
      <c r="F8954" s="17" t="str">
        <f>IFERROR(__xludf.DUMMYFUNCTION("""COMPUTED_VALUE"""),"CR 55 149 09 / CONJUNTO MONTECARLO 3 CA 16")</f>
        <v>CR 55 149 09 / CONJUNTO MONTECARLO 3 CA 16</v>
      </c>
      <c r="G8954" s="15" t="str">
        <f>IFERROR(__xludf.DUMMYFUNCTION("""COMPUTED_VALUE"""),"CLAUDIA ADRIANA GARCÍA FINO")</f>
        <v>CLAUDIA ADRIANA GARCÍA FINO</v>
      </c>
      <c r="H8954" s="16">
        <f>IFERROR(__xludf.DUMMYFUNCTION("""COMPUTED_VALUE"""),17606.0)</f>
        <v>17606</v>
      </c>
      <c r="I8954" s="17"/>
      <c r="J8954" s="17"/>
      <c r="K8954" s="17"/>
      <c r="L8954" s="17"/>
      <c r="M8954" s="17"/>
      <c r="N8954" s="17"/>
      <c r="O8954" s="17"/>
      <c r="P8954" s="17" t="b">
        <f>IFERROR(__xludf.DUMMYFUNCTION("""COMPUTED_VALUE"""),FALSE)</f>
        <v>0</v>
      </c>
      <c r="Q8954" s="20" t="str">
        <f>IFERROR(__xludf.DUMMYFUNCTION("""COMPUTED_VALUE"""),"")</f>
        <v/>
      </c>
      <c r="R8954" s="22" t="str">
        <f>IFERROR(__xludf.DUMMYFUNCTION("""COMPUTED_VALUE"""),"")</f>
        <v/>
      </c>
    </row>
    <row r="8955">
      <c r="A8955" s="15">
        <f>IFERROR(__xludf.DUMMYFUNCTION("""COMPUTED_VALUE"""),45254.0)</f>
        <v>45254</v>
      </c>
      <c r="B8955" s="16" t="str">
        <f>IFERROR(__xludf.DUMMYFUNCTION("""COMPUTED_VALUE"""),"JOSE ALFREDO RAMIREZ VERGARA ")</f>
        <v>JOSE ALFREDO RAMIREZ VERGARA </v>
      </c>
      <c r="C8955" s="15" t="str">
        <f>IFERROR(__xludf.DUMMYFUNCTION("""COMPUTED_VALUE"""),"BOGOTÁ")</f>
        <v>BOGOTÁ</v>
      </c>
      <c r="D8955" s="15" t="str">
        <f>IFERROR(__xludf.DUMMYFUNCTION("""COMPUTED_VALUE"""),"MEDELLÍN")</f>
        <v>MEDELLÍN</v>
      </c>
      <c r="E8955" s="15" t="str">
        <f>IFERROR(__xludf.DUMMYFUNCTION("""COMPUTED_VALUE"""),"Moloso S.A.S")</f>
        <v>Moloso S.A.S</v>
      </c>
      <c r="F8955" s="17" t="str">
        <f>IFERROR(__xludf.DUMMYFUNCTION("""COMPUTED_VALUE"""),"CR 75 24D 70 / LA CIGARRERIA ,QUEDA AL LADO DE LA FLORISTERIA")</f>
        <v>CR 75 24D 70 / LA CIGARRERIA ,QUEDA AL LADO DE LA FLORISTERIA</v>
      </c>
      <c r="G8955" s="15" t="str">
        <f>IFERROR(__xludf.DUMMYFUNCTION("""COMPUTED_VALUE"""),"MARIA JOSE MELO BONILLA")</f>
        <v>MARIA JOSE MELO BONILLA</v>
      </c>
      <c r="H8955" s="16">
        <f>IFERROR(__xludf.DUMMYFUNCTION("""COMPUTED_VALUE"""),17605.0)</f>
        <v>17605</v>
      </c>
      <c r="I8955" s="17"/>
      <c r="J8955" s="17"/>
      <c r="K8955" s="17"/>
      <c r="L8955" s="17"/>
      <c r="M8955" s="17"/>
      <c r="N8955" s="17"/>
      <c r="O8955" s="17"/>
      <c r="P8955" s="17" t="b">
        <f>IFERROR(__xludf.DUMMYFUNCTION("""COMPUTED_VALUE"""),FALSE)</f>
        <v>0</v>
      </c>
      <c r="Q8955" s="20" t="str">
        <f>IFERROR(__xludf.DUMMYFUNCTION("""COMPUTED_VALUE"""),"")</f>
        <v/>
      </c>
      <c r="R8955" s="22" t="str">
        <f>IFERROR(__xludf.DUMMYFUNCTION("""COMPUTED_VALUE"""),"")</f>
        <v/>
      </c>
    </row>
    <row r="8956">
      <c r="A8956" s="15">
        <f>IFERROR(__xludf.DUMMYFUNCTION("""COMPUTED_VALUE"""),45254.0)</f>
        <v>45254</v>
      </c>
      <c r="B8956" s="16" t="str">
        <f>IFERROR(__xludf.DUMMYFUNCTION("""COMPUTED_VALUE"""),"JOSE ALFREDO RAMIREZ VERGARA ")</f>
        <v>JOSE ALFREDO RAMIREZ VERGARA </v>
      </c>
      <c r="C8956" s="15" t="str">
        <f>IFERROR(__xludf.DUMMYFUNCTION("""COMPUTED_VALUE"""),"BOGOTÁ")</f>
        <v>BOGOTÁ</v>
      </c>
      <c r="D8956" s="15" t="str">
        <f>IFERROR(__xludf.DUMMYFUNCTION("""COMPUTED_VALUE"""),"MEDELLÍN")</f>
        <v>MEDELLÍN</v>
      </c>
      <c r="E8956" s="15" t="str">
        <f>IFERROR(__xludf.DUMMYFUNCTION("""COMPUTED_VALUE"""),"Moloso S.A.S")</f>
        <v>Moloso S.A.S</v>
      </c>
      <c r="F8956" s="17" t="str">
        <f>IFERROR(__xludf.DUMMYFUNCTION("""COMPUTED_VALUE"""),"CR 78AN 58M 88 SUR / BOGOTA ANDALUCIA")</f>
        <v>CR 78AN 58M 88 SUR / BOGOTA ANDALUCIA</v>
      </c>
      <c r="G8956" s="15" t="str">
        <f>IFERROR(__xludf.DUMMYFUNCTION("""COMPUTED_VALUE"""),"VANESSA BELTRAN BUITRAGO")</f>
        <v>VANESSA BELTRAN BUITRAGO</v>
      </c>
      <c r="H8956" s="16">
        <f>IFERROR(__xludf.DUMMYFUNCTION("""COMPUTED_VALUE"""),17607.0)</f>
        <v>17607</v>
      </c>
      <c r="I8956" s="17"/>
      <c r="J8956" s="17"/>
      <c r="K8956" s="17"/>
      <c r="L8956" s="17"/>
      <c r="M8956" s="17"/>
      <c r="N8956" s="17"/>
      <c r="O8956" s="17"/>
      <c r="P8956" s="17" t="b">
        <f>IFERROR(__xludf.DUMMYFUNCTION("""COMPUTED_VALUE"""),FALSE)</f>
        <v>0</v>
      </c>
      <c r="Q8956" s="20" t="str">
        <f>IFERROR(__xludf.DUMMYFUNCTION("""COMPUTED_VALUE"""),"")</f>
        <v/>
      </c>
      <c r="R8956" s="21" t="str">
        <f>IFERROR(__xludf.DUMMYFUNCTION("""COMPUTED_VALUE"""),"https://drive.google.com/file/d/1y_Fd2Zl3dKP4iMDbzrnZTCmdennns8Qc/view?usp=drivesdk")</f>
        <v>https://drive.google.com/file/d/1y_Fd2Zl3dKP4iMDbzrnZTCmdennns8Qc/view?usp=drivesdk</v>
      </c>
    </row>
    <row r="8957">
      <c r="A8957" s="15">
        <f>IFERROR(__xludf.DUMMYFUNCTION("""COMPUTED_VALUE"""),45254.0)</f>
        <v>45254</v>
      </c>
      <c r="B8957" s="16" t="str">
        <f>IFERROR(__xludf.DUMMYFUNCTION("""COMPUTED_VALUE"""),"JOSE ALFREDO RAMIREZ VERGARA ")</f>
        <v>JOSE ALFREDO RAMIREZ VERGARA </v>
      </c>
      <c r="C8957" s="15" t="str">
        <f>IFERROR(__xludf.DUMMYFUNCTION("""COMPUTED_VALUE"""),"POPAYAN")</f>
        <v>POPAYAN</v>
      </c>
      <c r="D8957" s="15" t="str">
        <f>IFERROR(__xludf.DUMMYFUNCTION("""COMPUTED_VALUE"""),"ENVIGADO")</f>
        <v>ENVIGADO</v>
      </c>
      <c r="E8957" s="15" t="str">
        <f>IFERROR(__xludf.DUMMYFUNCTION("""COMPUTED_VALUE"""),"JUAN CAMILO CORDOBA")</f>
        <v>JUAN CAMILO CORDOBA</v>
      </c>
      <c r="F8957" s="17" t="str">
        <f>IFERROR(__xludf.DUMMYFUNCTION("""COMPUTED_VALUE"""),"Calle 16 an # 6-66")</f>
        <v>Calle 16 an # 6-66</v>
      </c>
      <c r="G8957" s="15" t="str">
        <f>IFERROR(__xludf.DUMMYFUNCTION("""COMPUTED_VALUE"""),"Vid Natura")</f>
        <v>Vid Natura</v>
      </c>
      <c r="H8957" s="16">
        <f>IFERROR(__xludf.DUMMYFUNCTION("""COMPUTED_VALUE"""),17576.0)</f>
        <v>17576</v>
      </c>
      <c r="I8957" s="17"/>
      <c r="J8957" s="17"/>
      <c r="K8957" s="17"/>
      <c r="L8957" s="17">
        <f>IFERROR(__xludf.DUMMYFUNCTION("""COMPUTED_VALUE"""),3.18557702E9)</f>
        <v>3185577020</v>
      </c>
      <c r="M8957" s="17"/>
      <c r="N8957" s="17"/>
      <c r="O8957" s="17"/>
      <c r="P8957" s="17" t="b">
        <f>IFERROR(__xludf.DUMMYFUNCTION("""COMPUTED_VALUE"""),FALSE)</f>
        <v>0</v>
      </c>
      <c r="Q8957" s="20" t="str">
        <f>IFERROR(__xludf.DUMMYFUNCTION("""COMPUTED_VALUE"""),"")</f>
        <v/>
      </c>
      <c r="R8957" s="22" t="str">
        <f>IFERROR(__xludf.DUMMYFUNCTION("""COMPUTED_VALUE"""),"")</f>
        <v/>
      </c>
    </row>
    <row r="8958">
      <c r="A8958" s="17" t="str">
        <f>IFERROR(__xludf.DUMMYFUNCTION("""COMPUTED_VALUE"""),"")</f>
        <v/>
      </c>
      <c r="B8958" s="17" t="str">
        <f>IFERROR(__xludf.DUMMYFUNCTION("""COMPUTED_VALUE"""),"")</f>
        <v/>
      </c>
      <c r="C8958" s="17" t="str">
        <f>IFERROR(__xludf.DUMMYFUNCTION("""COMPUTED_VALUE"""),"")</f>
        <v/>
      </c>
      <c r="D8958" s="17" t="str">
        <f>IFERROR(__xludf.DUMMYFUNCTION("""COMPUTED_VALUE"""),"")</f>
        <v/>
      </c>
      <c r="E8958" s="17" t="str">
        <f>IFERROR(__xludf.DUMMYFUNCTION("""COMPUTED_VALUE"""),"")</f>
        <v/>
      </c>
      <c r="F8958" s="17" t="str">
        <f>IFERROR(__xludf.DUMMYFUNCTION("""COMPUTED_VALUE"""),"")</f>
        <v/>
      </c>
      <c r="G8958" s="17" t="str">
        <f>IFERROR(__xludf.DUMMYFUNCTION("""COMPUTED_VALUE"""),"")</f>
        <v/>
      </c>
      <c r="H8958" s="17" t="str">
        <f>IFERROR(__xludf.DUMMYFUNCTION("""COMPUTED_VALUE"""),"")</f>
        <v/>
      </c>
      <c r="I8958" s="17" t="str">
        <f>IFERROR(__xludf.DUMMYFUNCTION("""COMPUTED_VALUE"""),"")</f>
        <v/>
      </c>
      <c r="J8958" s="17" t="str">
        <f>IFERROR(__xludf.DUMMYFUNCTION("""COMPUTED_VALUE"""),"")</f>
        <v/>
      </c>
      <c r="K8958" s="17" t="str">
        <f>IFERROR(__xludf.DUMMYFUNCTION("""COMPUTED_VALUE"""),"")</f>
        <v/>
      </c>
      <c r="L8958" s="17" t="str">
        <f>IFERROR(__xludf.DUMMYFUNCTION("""COMPUTED_VALUE"""),"")</f>
        <v/>
      </c>
      <c r="M8958" s="17" t="str">
        <f>IFERROR(__xludf.DUMMYFUNCTION("""COMPUTED_VALUE"""),"")</f>
        <v/>
      </c>
      <c r="N8958" s="17" t="str">
        <f>IFERROR(__xludf.DUMMYFUNCTION("""COMPUTED_VALUE"""),"")</f>
        <v/>
      </c>
      <c r="O8958" s="17" t="str">
        <f>IFERROR(__xludf.DUMMYFUNCTION("""COMPUTED_VALUE"""),"")</f>
        <v/>
      </c>
      <c r="P8958" s="17" t="str">
        <f>IFERROR(__xludf.DUMMYFUNCTION("""COMPUTED_VALUE"""),"")</f>
        <v/>
      </c>
      <c r="Q8958" s="17" t="str">
        <f>IFERROR(__xludf.DUMMYFUNCTION("""COMPUTED_VALUE"""),"")</f>
        <v/>
      </c>
      <c r="R8958" s="17" t="str">
        <f>IFERROR(__xludf.DUMMYFUNCTION("""COMPUTED_VALUE"""),"")</f>
        <v/>
      </c>
    </row>
    <row r="8959">
      <c r="A8959" s="15">
        <f>IFERROR(__xludf.DUMMYFUNCTION("""COMPUTED_VALUE"""),45254.0)</f>
        <v>45254</v>
      </c>
      <c r="B8959" s="16" t="str">
        <f>IFERROR(__xludf.DUMMYFUNCTION("""COMPUTED_VALUE"""),"Kevin Andrés puerta Jaramillo")</f>
        <v>Kevin Andrés puerta Jaramillo</v>
      </c>
      <c r="C8959" s="15" t="str">
        <f>IFERROR(__xludf.DUMMYFUNCTION("""COMPUTED_VALUE"""),"CALI")</f>
        <v>CALI</v>
      </c>
      <c r="D8959" s="15" t="str">
        <f>IFERROR(__xludf.DUMMYFUNCTION("""COMPUTED_VALUE"""),"BUCARAMANGA")</f>
        <v>BUCARAMANGA</v>
      </c>
      <c r="E8959" s="15" t="str">
        <f>IFERROR(__xludf.DUMMYFUNCTION("""COMPUTED_VALUE"""),"Yo Como Solito")</f>
        <v>Yo Como Solito</v>
      </c>
      <c r="F8959" s="17" t="str">
        <f>IFERROR(__xludf.DUMMYFUNCTION("""COMPUTED_VALUE"""),"CALLE 59 #93-130 APARTAMENTO 604 TORRE 2 UNIDAD TERRACOTA A BARRIO CIUDAD MELENDEZ /VALLE DEL LILI / CALLE 59 #93-130 APARTAMENTO 604 TORRE 2 UNIDAD TERRACOTA A BARRIO CIUDAD MELENDEZ /VALLE DEL LILI / CALLE 59 #93-130 APARTAMENTO 604 TORRE 2 UNIDAD TERRA"&amp;"COTA A BARRIO CIUDAD MELENDEZ /VALLE DEL LILI")</f>
        <v>CALLE 59 #93-130 APARTAMENTO 604 TORRE 2 UNIDAD TERRACOTA A BARRIO CIUDAD MELENDEZ /VALLE DEL LILI / CALLE 59 #93-130 APARTAMENTO 604 TORRE 2 UNIDAD TERRACOTA A BARRIO CIUDAD MELENDEZ /VALLE DEL LILI / CALLE 59 #93-130 APARTAMENTO 604 TORRE 2 UNIDAD TERRACOTA A BARRIO CIUDAD MELENDEZ /VALLE DEL LILI</v>
      </c>
      <c r="G8959" s="15" t="str">
        <f>IFERROR(__xludf.DUMMYFUNCTION("""COMPUTED_VALUE"""),"JIREH PAULINE RAMOS")</f>
        <v>JIREH PAULINE RAMOS</v>
      </c>
      <c r="H8959" s="16">
        <f>IFERROR(__xludf.DUMMYFUNCTION("""COMPUTED_VALUE"""),17444.0)</f>
        <v>17444</v>
      </c>
      <c r="I8959" s="18">
        <f>IFERROR(__xludf.DUMMYFUNCTION("""COMPUTED_VALUE"""),25.0)</f>
        <v>25</v>
      </c>
      <c r="J8959" s="18">
        <f>IFERROR(__xludf.DUMMYFUNCTION("""COMPUTED_VALUE"""),37.0)</f>
        <v>37</v>
      </c>
      <c r="K8959" s="18">
        <f>IFERROR(__xludf.DUMMYFUNCTION("""COMPUTED_VALUE"""),44.0)</f>
        <v>44</v>
      </c>
      <c r="L8959" s="17">
        <f>IFERROR(__xludf.DUMMYFUNCTION("""COMPUTED_VALUE"""),3.175170844E9)</f>
        <v>3175170844</v>
      </c>
      <c r="M8959" s="17"/>
      <c r="N8959" s="17"/>
      <c r="O8959" s="17"/>
      <c r="P8959" s="17" t="b">
        <f>IFERROR(__xludf.DUMMYFUNCTION("""COMPUTED_VALUE"""),FALSE)</f>
        <v>0</v>
      </c>
      <c r="Q8959" s="20" t="str">
        <f>IFERROR(__xludf.DUMMYFUNCTION("""COMPUTED_VALUE"""),"")</f>
        <v/>
      </c>
      <c r="R8959" s="21" t="str">
        <f>IFERROR(__xludf.DUMMYFUNCTION("""COMPUTED_VALUE"""),"https://drive.google.com/file/d/1PeXhnoqBnJjqJ2Xu2mPlzncxkqtgNOPR/view?usp=drivesdk")</f>
        <v>https://drive.google.com/file/d/1PeXhnoqBnJjqJ2Xu2mPlzncxkqtgNOPR/view?usp=drivesdk</v>
      </c>
    </row>
    <row r="8960">
      <c r="A8960" s="15">
        <f>IFERROR(__xludf.DUMMYFUNCTION("""COMPUTED_VALUE"""),45254.0)</f>
        <v>45254</v>
      </c>
      <c r="B8960" s="16" t="str">
        <f>IFERROR(__xludf.DUMMYFUNCTION("""COMPUTED_VALUE"""),"Kevin Andrés puerta Jaramillo")</f>
        <v>Kevin Andrés puerta Jaramillo</v>
      </c>
      <c r="C8960" s="15" t="str">
        <f>IFERROR(__xludf.DUMMYFUNCTION("""COMPUTED_VALUE"""),"MEDELLÍN")</f>
        <v>MEDELLÍN</v>
      </c>
      <c r="D8960" s="15" t="str">
        <f>IFERROR(__xludf.DUMMYFUNCTION("""COMPUTED_VALUE"""),"BOGOTÁ")</f>
        <v>BOGOTÁ</v>
      </c>
      <c r="E8960" s="15" t="str">
        <f>IFERROR(__xludf.DUMMYFUNCTION("""COMPUTED_VALUE"""),"Hiiva Fermentados SAS")</f>
        <v>Hiiva Fermentados SAS</v>
      </c>
      <c r="F8960" s="17" t="str">
        <f>IFERROR(__xludf.DUMMYFUNCTION("""COMPUTED_VALUE"""),"Transversal 39b#77-48 / int 302")</f>
        <v>Transversal 39b#77-48 / int 302</v>
      </c>
      <c r="G8960" s="15" t="str">
        <f>IFERROR(__xludf.DUMMYFUNCTION("""COMPUTED_VALUE"""),"Medellín - Vita Integral")</f>
        <v>Medellín - Vita Integral</v>
      </c>
      <c r="H8960" s="16">
        <f>IFERROR(__xludf.DUMMYFUNCTION("""COMPUTED_VALUE"""),17503.0)</f>
        <v>17503</v>
      </c>
      <c r="I8960" s="17"/>
      <c r="J8960" s="17"/>
      <c r="K8960" s="17"/>
      <c r="L8960" s="17">
        <f>IFERROR(__xludf.DUMMYFUNCTION("""COMPUTED_VALUE"""),3.188473468E9)</f>
        <v>3188473468</v>
      </c>
      <c r="M8960" s="17"/>
      <c r="N8960" s="17"/>
      <c r="O8960" s="17"/>
      <c r="P8960" s="17" t="b">
        <f>IFERROR(__xludf.DUMMYFUNCTION("""COMPUTED_VALUE"""),FALSE)</f>
        <v>0</v>
      </c>
      <c r="Q8960" s="20" t="str">
        <f>IFERROR(__xludf.DUMMYFUNCTION("""COMPUTED_VALUE"""),"")</f>
        <v/>
      </c>
      <c r="R8960" s="22" t="str">
        <f>IFERROR(__xludf.DUMMYFUNCTION("""COMPUTED_VALUE"""),"")</f>
        <v/>
      </c>
    </row>
    <row r="8961">
      <c r="A8961" s="15">
        <f>IFERROR(__xludf.DUMMYFUNCTION("""COMPUTED_VALUE"""),45254.0)</f>
        <v>45254</v>
      </c>
      <c r="B8961" s="16" t="str">
        <f>IFERROR(__xludf.DUMMYFUNCTION("""COMPUTED_VALUE"""),"Kevin Andrés puerta Jaramillo")</f>
        <v>Kevin Andrés puerta Jaramillo</v>
      </c>
      <c r="C8961" s="15" t="str">
        <f>IFERROR(__xludf.DUMMYFUNCTION("""COMPUTED_VALUE"""),"MEDELLÍN")</f>
        <v>MEDELLÍN</v>
      </c>
      <c r="D8961" s="15" t="str">
        <f>IFERROR(__xludf.DUMMYFUNCTION("""COMPUTED_VALUE"""),"BOGOTÁ")</f>
        <v>BOGOTÁ</v>
      </c>
      <c r="E8961" s="15" t="str">
        <f>IFERROR(__xludf.DUMMYFUNCTION("""COMPUTED_VALUE"""),"MAI ALIMENTOS REALES")</f>
        <v>MAI ALIMENTOS REALES</v>
      </c>
      <c r="F8961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961" s="15" t="str">
        <f>IFERROR(__xludf.DUMMYFUNCTION("""COMPUTED_VALUE"""),"Novaventas")</f>
        <v>Novaventas</v>
      </c>
      <c r="H8961" s="16">
        <f>IFERROR(__xludf.DUMMYFUNCTION("""COMPUTED_VALUE"""),17505.0)</f>
        <v>17505</v>
      </c>
      <c r="I8961" s="17"/>
      <c r="J8961" s="17"/>
      <c r="K8961" s="17"/>
      <c r="L8961" s="17">
        <f>IFERROR(__xludf.DUMMYFUNCTION("""COMPUTED_VALUE"""),3.187351593E9)</f>
        <v>3187351593</v>
      </c>
      <c r="M8961" s="17"/>
      <c r="N8961" s="17"/>
      <c r="O8961" s="17"/>
      <c r="P8961" s="17" t="b">
        <f>IFERROR(__xludf.DUMMYFUNCTION("""COMPUTED_VALUE"""),FALSE)</f>
        <v>0</v>
      </c>
      <c r="Q8961" s="20" t="str">
        <f>IFERROR(__xludf.DUMMYFUNCTION("""COMPUTED_VALUE"""),"")</f>
        <v/>
      </c>
      <c r="R8961" s="21" t="str">
        <f>IFERROR(__xludf.DUMMYFUNCTION("""COMPUTED_VALUE"""),"https://drive.google.com/file/d/1R4xmK5WDYd8ub_lLlTCym2yGwEcJDFR2/view?usp=drivesdk")</f>
        <v>https://drive.google.com/file/d/1R4xmK5WDYd8ub_lLlTCym2yGwEcJDFR2/view?usp=drivesdk</v>
      </c>
    </row>
    <row r="8962">
      <c r="A8962" s="15">
        <f>IFERROR(__xludf.DUMMYFUNCTION("""COMPUTED_VALUE"""),45254.0)</f>
        <v>45254</v>
      </c>
      <c r="B8962" s="16" t="str">
        <f>IFERROR(__xludf.DUMMYFUNCTION("""COMPUTED_VALUE"""),"Kevin Andrés puerta Jaramillo")</f>
        <v>Kevin Andrés puerta Jaramillo</v>
      </c>
      <c r="C8962" s="15" t="str">
        <f>IFERROR(__xludf.DUMMYFUNCTION("""COMPUTED_VALUE"""),"MEDELLÍN")</f>
        <v>MEDELLÍN</v>
      </c>
      <c r="D8962" s="15" t="str">
        <f>IFERROR(__xludf.DUMMYFUNCTION("""COMPUTED_VALUE"""),"BOGOTÁ")</f>
        <v>BOGOTÁ</v>
      </c>
      <c r="E8962" s="15" t="str">
        <f>IFERROR(__xludf.DUMMYFUNCTION("""COMPUTED_VALUE"""),"Orso")</f>
        <v>Orso</v>
      </c>
      <c r="F8962" s="17" t="str">
        <f>IFERROR(__xludf.DUMMYFUNCTION("""COMPUTED_VALUE"""),"Calle 01 # 29-354, Medellin. / Rappi Turbo Medellin - Tesoro  / Rappi Turbo Medellin - Tesoro ")</f>
        <v>Calle 01 # 29-354, Medellin. / Rappi Turbo Medellin - Tesoro  / Rappi Turbo Medellin - Tesoro </v>
      </c>
      <c r="G8962" s="15" t="str">
        <f>IFERROR(__xludf.DUMMYFUNCTION("""COMPUTED_VALUE"""),"Carolina Velez")</f>
        <v>Carolina Velez</v>
      </c>
      <c r="H8962" s="16">
        <f>IFERROR(__xludf.DUMMYFUNCTION("""COMPUTED_VALUE"""),17554.0)</f>
        <v>17554</v>
      </c>
      <c r="I8962" s="18">
        <f>IFERROR(__xludf.DUMMYFUNCTION("""COMPUTED_VALUE"""),1.0)</f>
        <v>1</v>
      </c>
      <c r="J8962" s="18">
        <f>IFERROR(__xludf.DUMMYFUNCTION("""COMPUTED_VALUE"""),1.0)</f>
        <v>1</v>
      </c>
      <c r="K8962" s="18">
        <f>IFERROR(__xludf.DUMMYFUNCTION("""COMPUTED_VALUE"""),1.0)</f>
        <v>1</v>
      </c>
      <c r="L8962" s="17">
        <f>IFERROR(__xludf.DUMMYFUNCTION("""COMPUTED_VALUE"""),3.012888007E9)</f>
        <v>3012888007</v>
      </c>
      <c r="M8962" s="17"/>
      <c r="N8962" s="17"/>
      <c r="O8962" s="17"/>
      <c r="P8962" s="17" t="b">
        <f>IFERROR(__xludf.DUMMYFUNCTION("""COMPUTED_VALUE"""),FALSE)</f>
        <v>0</v>
      </c>
      <c r="Q8962" s="20" t="str">
        <f>IFERROR(__xludf.DUMMYFUNCTION("""COMPUTED_VALUE"""),"")</f>
        <v/>
      </c>
      <c r="R8962" s="22" t="str">
        <f>IFERROR(__xludf.DUMMYFUNCTION("""COMPUTED_VALUE"""),"")</f>
        <v/>
      </c>
    </row>
    <row r="8963">
      <c r="A8963" s="15">
        <f>IFERROR(__xludf.DUMMYFUNCTION("""COMPUTED_VALUE"""),45254.0)</f>
        <v>45254</v>
      </c>
      <c r="B8963" s="16" t="str">
        <f>IFERROR(__xludf.DUMMYFUNCTION("""COMPUTED_VALUE"""),"Kevin Andrés puerta Jaramillo")</f>
        <v>Kevin Andrés puerta Jaramillo</v>
      </c>
      <c r="C8963" s="15" t="str">
        <f>IFERROR(__xludf.DUMMYFUNCTION("""COMPUTED_VALUE"""),"MEDELLÍN")</f>
        <v>MEDELLÍN</v>
      </c>
      <c r="D8963" s="15" t="str">
        <f>IFERROR(__xludf.DUMMYFUNCTION("""COMPUTED_VALUE"""),"BOGOTÁ")</f>
        <v>BOGOTÁ</v>
      </c>
      <c r="E8963" s="15" t="str">
        <f>IFERROR(__xludf.DUMMYFUNCTION("""COMPUTED_VALUE"""),"Orso")</f>
        <v>Orso</v>
      </c>
      <c r="F8963" s="17" t="str">
        <f>IFERROR(__xludf.DUMMYFUNCTION("""COMPUTED_VALUE"""),"carrera 80 #34B-51, Medellín / Rappi Turbo  Medellin- Laureles     / Rappi Turbo  Medellin- Laureles    ")</f>
        <v>carrera 80 #34B-51, Medellín / Rappi Turbo  Medellin- Laureles     / Rappi Turbo  Medellin- Laureles    </v>
      </c>
      <c r="G8963" s="15" t="str">
        <f>IFERROR(__xludf.DUMMYFUNCTION("""COMPUTED_VALUE"""),"Santiago Salazar ")</f>
        <v>Santiago Salazar </v>
      </c>
      <c r="H8963" s="16">
        <f>IFERROR(__xludf.DUMMYFUNCTION("""COMPUTED_VALUE"""),17556.0)</f>
        <v>17556</v>
      </c>
      <c r="I8963" s="18">
        <f>IFERROR(__xludf.DUMMYFUNCTION("""COMPUTED_VALUE"""),1.0)</f>
        <v>1</v>
      </c>
      <c r="J8963" s="18">
        <f>IFERROR(__xludf.DUMMYFUNCTION("""COMPUTED_VALUE"""),1.0)</f>
        <v>1</v>
      </c>
      <c r="K8963" s="18">
        <f>IFERROR(__xludf.DUMMYFUNCTION("""COMPUTED_VALUE"""),1.0)</f>
        <v>1</v>
      </c>
      <c r="L8963" s="17">
        <f>IFERROR(__xludf.DUMMYFUNCTION("""COMPUTED_VALUE"""),3.175005565E9)</f>
        <v>3175005565</v>
      </c>
      <c r="M8963" s="17"/>
      <c r="N8963" s="17"/>
      <c r="O8963" s="17"/>
      <c r="P8963" s="17" t="b">
        <f>IFERROR(__xludf.DUMMYFUNCTION("""COMPUTED_VALUE"""),FALSE)</f>
        <v>0</v>
      </c>
      <c r="Q8963" s="20" t="str">
        <f>IFERROR(__xludf.DUMMYFUNCTION("""COMPUTED_VALUE"""),"")</f>
        <v/>
      </c>
      <c r="R8963" s="22" t="str">
        <f>IFERROR(__xludf.DUMMYFUNCTION("""COMPUTED_VALUE"""),"")</f>
        <v/>
      </c>
    </row>
    <row r="8964">
      <c r="A8964" s="15">
        <f>IFERROR(__xludf.DUMMYFUNCTION("""COMPUTED_VALUE"""),45254.0)</f>
        <v>45254</v>
      </c>
      <c r="B8964" s="16" t="str">
        <f>IFERROR(__xludf.DUMMYFUNCTION("""COMPUTED_VALUE"""),"Kevin Andrés puerta Jaramillo")</f>
        <v>Kevin Andrés puerta Jaramillo</v>
      </c>
      <c r="C8964" s="15" t="str">
        <f>IFERROR(__xludf.DUMMYFUNCTION("""COMPUTED_VALUE"""),"MEDELLÍN")</f>
        <v>MEDELLÍN</v>
      </c>
      <c r="D8964" s="15" t="str">
        <f>IFERROR(__xludf.DUMMYFUNCTION("""COMPUTED_VALUE"""),"BOGOTÁ")</f>
        <v>BOGOTÁ</v>
      </c>
      <c r="E8964" s="15" t="str">
        <f>IFERROR(__xludf.DUMMYFUNCTION("""COMPUTED_VALUE"""),"Orso")</f>
        <v>Orso</v>
      </c>
      <c r="F8964" s="17" t="str">
        <f>IFERROR(__xludf.DUMMYFUNCTION("""COMPUTED_VALUE"""),"Cra. 27 #23 Sur-120, San Jorge, Envigado, Antioquia / Rappi Turbo Medellin -La Frontera   / Rappi Turbo Medellin -La Frontera  ")</f>
        <v>Cra. 27 #23 Sur-120, San Jorge, Envigado, Antioquia / Rappi Turbo Medellin -La Frontera   / Rappi Turbo Medellin -La Frontera  </v>
      </c>
      <c r="G8964" s="15" t="str">
        <f>IFERROR(__xludf.DUMMYFUNCTION("""COMPUTED_VALUE"""),"Carolina Velez ")</f>
        <v>Carolina Velez </v>
      </c>
      <c r="H8964" s="16">
        <f>IFERROR(__xludf.DUMMYFUNCTION("""COMPUTED_VALUE"""),17557.0)</f>
        <v>17557</v>
      </c>
      <c r="I8964" s="18">
        <f>IFERROR(__xludf.DUMMYFUNCTION("""COMPUTED_VALUE"""),1.0)</f>
        <v>1</v>
      </c>
      <c r="J8964" s="18">
        <f>IFERROR(__xludf.DUMMYFUNCTION("""COMPUTED_VALUE"""),1.0)</f>
        <v>1</v>
      </c>
      <c r="K8964" s="18">
        <f>IFERROR(__xludf.DUMMYFUNCTION("""COMPUTED_VALUE"""),1.0)</f>
        <v>1</v>
      </c>
      <c r="L8964" s="17">
        <f>IFERROR(__xludf.DUMMYFUNCTION("""COMPUTED_VALUE"""),3.012888007E9)</f>
        <v>3012888007</v>
      </c>
      <c r="M8964" s="17"/>
      <c r="N8964" s="17"/>
      <c r="O8964" s="17"/>
      <c r="P8964" s="17" t="b">
        <f>IFERROR(__xludf.DUMMYFUNCTION("""COMPUTED_VALUE"""),FALSE)</f>
        <v>0</v>
      </c>
      <c r="Q8964" s="20" t="str">
        <f>IFERROR(__xludf.DUMMYFUNCTION("""COMPUTED_VALUE"""),"")</f>
        <v/>
      </c>
      <c r="R8964" s="22" t="str">
        <f>IFERROR(__xludf.DUMMYFUNCTION("""COMPUTED_VALUE"""),"")</f>
        <v/>
      </c>
    </row>
    <row r="8965">
      <c r="A8965" s="17" t="str">
        <f>IFERROR(__xludf.DUMMYFUNCTION("""COMPUTED_VALUE"""),"")</f>
        <v/>
      </c>
      <c r="B8965" s="17" t="str">
        <f>IFERROR(__xludf.DUMMYFUNCTION("""COMPUTED_VALUE"""),"")</f>
        <v/>
      </c>
      <c r="C8965" s="17" t="str">
        <f>IFERROR(__xludf.DUMMYFUNCTION("""COMPUTED_VALUE"""),"")</f>
        <v/>
      </c>
      <c r="D8965" s="17" t="str">
        <f>IFERROR(__xludf.DUMMYFUNCTION("""COMPUTED_VALUE"""),"")</f>
        <v/>
      </c>
      <c r="E8965" s="17" t="str">
        <f>IFERROR(__xludf.DUMMYFUNCTION("""COMPUTED_VALUE"""),"")</f>
        <v/>
      </c>
      <c r="F8965" s="17" t="str">
        <f>IFERROR(__xludf.DUMMYFUNCTION("""COMPUTED_VALUE"""),"")</f>
        <v/>
      </c>
      <c r="G8965" s="17" t="str">
        <f>IFERROR(__xludf.DUMMYFUNCTION("""COMPUTED_VALUE"""),"")</f>
        <v/>
      </c>
      <c r="H8965" s="17" t="str">
        <f>IFERROR(__xludf.DUMMYFUNCTION("""COMPUTED_VALUE"""),"")</f>
        <v/>
      </c>
      <c r="I8965" s="17" t="str">
        <f>IFERROR(__xludf.DUMMYFUNCTION("""COMPUTED_VALUE"""),"")</f>
        <v/>
      </c>
      <c r="J8965" s="17" t="str">
        <f>IFERROR(__xludf.DUMMYFUNCTION("""COMPUTED_VALUE"""),"")</f>
        <v/>
      </c>
      <c r="K8965" s="17" t="str">
        <f>IFERROR(__xludf.DUMMYFUNCTION("""COMPUTED_VALUE"""),"")</f>
        <v/>
      </c>
      <c r="L8965" s="17" t="str">
        <f>IFERROR(__xludf.DUMMYFUNCTION("""COMPUTED_VALUE"""),"")</f>
        <v/>
      </c>
      <c r="M8965" s="17" t="str">
        <f>IFERROR(__xludf.DUMMYFUNCTION("""COMPUTED_VALUE"""),"")</f>
        <v/>
      </c>
      <c r="N8965" s="17" t="str">
        <f>IFERROR(__xludf.DUMMYFUNCTION("""COMPUTED_VALUE"""),"")</f>
        <v/>
      </c>
      <c r="O8965" s="17" t="str">
        <f>IFERROR(__xludf.DUMMYFUNCTION("""COMPUTED_VALUE"""),"")</f>
        <v/>
      </c>
      <c r="P8965" s="17" t="str">
        <f>IFERROR(__xludf.DUMMYFUNCTION("""COMPUTED_VALUE"""),"")</f>
        <v/>
      </c>
      <c r="Q8965" s="17" t="str">
        <f>IFERROR(__xludf.DUMMYFUNCTION("""COMPUTED_VALUE"""),"")</f>
        <v/>
      </c>
      <c r="R8965" s="17" t="str">
        <f>IFERROR(__xludf.DUMMYFUNCTION("""COMPUTED_VALUE"""),"")</f>
        <v/>
      </c>
    </row>
    <row r="8966">
      <c r="A8966" s="15">
        <f>IFERROR(__xludf.DUMMYFUNCTION("""COMPUTED_VALUE"""),45254.0)</f>
        <v>45254</v>
      </c>
      <c r="B8966" s="16" t="str">
        <f>IFERROR(__xludf.DUMMYFUNCTION("""COMPUTED_VALUE"""),"Orlando Urdaneta Rincon ")</f>
        <v>Orlando Urdaneta Rincon </v>
      </c>
      <c r="C8966" s="15" t="str">
        <f>IFERROR(__xludf.DUMMYFUNCTION("""COMPUTED_VALUE"""),"BOGOTÁ")</f>
        <v>BOGOTÁ</v>
      </c>
      <c r="D8966" s="15" t="str">
        <f>IFERROR(__xludf.DUMMYFUNCTION("""COMPUTED_VALUE"""),"MEDELLÍN")</f>
        <v>MEDELLÍN</v>
      </c>
      <c r="E8966" s="15" t="str">
        <f>IFERROR(__xludf.DUMMYFUNCTION("""COMPUTED_VALUE"""),"Salón Ahumado")</f>
        <v>Salón Ahumado</v>
      </c>
      <c r="F8966" s="17" t="str">
        <f>IFERROR(__xludf.DUMMYFUNCTION("""COMPUTED_VALUE"""),"Calle 87 #10-51 / apto 501 Edificio 1087 / Bogotá ")</f>
        <v>Calle 87 #10-51 / apto 501 Edificio 1087 / Bogotá </v>
      </c>
      <c r="G8966" s="15" t="str">
        <f>IFERROR(__xludf.DUMMYFUNCTION("""COMPUTED_VALUE"""),"Ines de Mosquera")</f>
        <v>Ines de Mosquera</v>
      </c>
      <c r="H8966" s="16">
        <f>IFERROR(__xludf.DUMMYFUNCTION("""COMPUTED_VALUE"""),17550.0)</f>
        <v>17550</v>
      </c>
      <c r="I8966" s="18">
        <f>IFERROR(__xludf.DUMMYFUNCTION("""COMPUTED_VALUE"""),9.0)</f>
        <v>9</v>
      </c>
      <c r="J8966" s="18">
        <f>IFERROR(__xludf.DUMMYFUNCTION("""COMPUTED_VALUE"""),32.0)</f>
        <v>32</v>
      </c>
      <c r="K8966" s="18">
        <f>IFERROR(__xludf.DUMMYFUNCTION("""COMPUTED_VALUE"""),60.0)</f>
        <v>60</v>
      </c>
      <c r="L8966" s="17">
        <f>IFERROR(__xludf.DUMMYFUNCTION("""COMPUTED_VALUE"""),3.102222246E9)</f>
        <v>3102222246</v>
      </c>
      <c r="M8966" s="17"/>
      <c r="N8966" s="17"/>
      <c r="O8966" s="17"/>
      <c r="P8966" s="17" t="b">
        <f>IFERROR(__xludf.DUMMYFUNCTION("""COMPUTED_VALUE"""),FALSE)</f>
        <v>0</v>
      </c>
      <c r="Q8966" s="20" t="str">
        <f>IFERROR(__xludf.DUMMYFUNCTION("""COMPUTED_VALUE"""),"")</f>
        <v/>
      </c>
      <c r="R8966" s="22" t="str">
        <f>IFERROR(__xludf.DUMMYFUNCTION("""COMPUTED_VALUE"""),"")</f>
        <v/>
      </c>
    </row>
    <row r="8967">
      <c r="A8967" s="15">
        <f>IFERROR(__xludf.DUMMYFUNCTION("""COMPUTED_VALUE"""),45254.0)</f>
        <v>45254</v>
      </c>
      <c r="B8967" s="16" t="str">
        <f>IFERROR(__xludf.DUMMYFUNCTION("""COMPUTED_VALUE"""),"Orlando Urdaneta Rincon ")</f>
        <v>Orlando Urdaneta Rincon </v>
      </c>
      <c r="C8967" s="15" t="str">
        <f>IFERROR(__xludf.DUMMYFUNCTION("""COMPUTED_VALUE"""),"SANTA MARTA")</f>
        <v>SANTA MARTA</v>
      </c>
      <c r="D8967" s="15" t="str">
        <f>IFERROR(__xludf.DUMMYFUNCTION("""COMPUTED_VALUE"""),"BUCARAMANGA")</f>
        <v>BUCARAMANGA</v>
      </c>
      <c r="E8967" s="15" t="str">
        <f>IFERROR(__xludf.DUMMYFUNCTION("""COMPUTED_VALUE"""),"Yo Como Solito")</f>
        <v>Yo Como Solito</v>
      </c>
      <c r="F8967" s="17" t="str">
        <f>IFERROR(__xludf.DUMMYFUNCTION("""COMPUTED_VALUE"""),"EDIFICIO TORRE 19 24 APARTAMENTO 13-04 CARRERA 19 # 24-16  / EDIFICIO TORRE 19 24 APARTAMENTO 13-04 CARRERA 19 # 24-16 / EDIFICIO TORRE 19 24 APARTAMENTO 13-04 CARRERA 19 # 24-16")</f>
        <v>EDIFICIO TORRE 19 24 APARTAMENTO 13-04 CARRERA 19 # 24-16  / EDIFICIO TORRE 19 24 APARTAMENTO 13-04 CARRERA 19 # 24-16 / EDIFICIO TORRE 19 24 APARTAMENTO 13-04 CARRERA 19 # 24-16</v>
      </c>
      <c r="G8967" s="15" t="str">
        <f>IFERROR(__xludf.DUMMYFUNCTION("""COMPUTED_VALUE"""),"STEPHANIA GARCIA MIER")</f>
        <v>STEPHANIA GARCIA MIER</v>
      </c>
      <c r="H8967" s="16">
        <f>IFERROR(__xludf.DUMMYFUNCTION("""COMPUTED_VALUE"""),17443.0)</f>
        <v>17443</v>
      </c>
      <c r="I8967" s="18">
        <f>IFERROR(__xludf.DUMMYFUNCTION("""COMPUTED_VALUE"""),32.0)</f>
        <v>32</v>
      </c>
      <c r="J8967" s="18">
        <f>IFERROR(__xludf.DUMMYFUNCTION("""COMPUTED_VALUE"""),38.0)</f>
        <v>38</v>
      </c>
      <c r="K8967" s="18">
        <f>IFERROR(__xludf.DUMMYFUNCTION("""COMPUTED_VALUE"""),38.0)</f>
        <v>38</v>
      </c>
      <c r="L8967" s="17">
        <f>IFERROR(__xludf.DUMMYFUNCTION("""COMPUTED_VALUE"""),3.002695985E9)</f>
        <v>3002695985</v>
      </c>
      <c r="M8967" s="17"/>
      <c r="N8967" s="17"/>
      <c r="O8967" s="17"/>
      <c r="P8967" s="17" t="b">
        <f>IFERROR(__xludf.DUMMYFUNCTION("""COMPUTED_VALUE"""),FALSE)</f>
        <v>0</v>
      </c>
      <c r="Q8967" s="20" t="str">
        <f>IFERROR(__xludf.DUMMYFUNCTION("""COMPUTED_VALUE"""),"")</f>
        <v/>
      </c>
      <c r="R8967" s="21" t="str">
        <f>IFERROR(__xludf.DUMMYFUNCTION("""COMPUTED_VALUE"""),"https://drive.google.com/file/d/1nILVjOvqUmTjJA5WaONpggot11wiVAfH/view?usp=drivesdk")</f>
        <v>https://drive.google.com/file/d/1nILVjOvqUmTjJA5WaONpggot11wiVAfH/view?usp=drivesdk</v>
      </c>
    </row>
    <row r="8968">
      <c r="A8968" s="15">
        <f>IFERROR(__xludf.DUMMYFUNCTION("""COMPUTED_VALUE"""),45254.0)</f>
        <v>45254</v>
      </c>
      <c r="B8968" s="16" t="str">
        <f>IFERROR(__xludf.DUMMYFUNCTION("""COMPUTED_VALUE"""),"Orlando Urdaneta Rincon ")</f>
        <v>Orlando Urdaneta Rincon </v>
      </c>
      <c r="C8968" s="15" t="str">
        <f>IFERROR(__xludf.DUMMYFUNCTION("""COMPUTED_VALUE"""),"SANTA MARTA")</f>
        <v>SANTA MARTA</v>
      </c>
      <c r="D8968" s="15" t="str">
        <f>IFERROR(__xludf.DUMMYFUNCTION("""COMPUTED_VALUE"""),"MEDELLÍN")</f>
        <v>MEDELLÍN</v>
      </c>
      <c r="E8968" s="15" t="str">
        <f>IFERROR(__xludf.DUMMYFUNCTION("""COMPUTED_VALUE"""),"Baby Chef")</f>
        <v>Baby Chef</v>
      </c>
      <c r="F8968" s="17" t="str">
        <f>IFERROR(__xludf.DUMMYFUNCTION("""COMPUTED_VALUE"""),"Calle 11a #5-40 Rodadero / . / .")</f>
        <v>Calle 11a #5-40 Rodadero / . / .</v>
      </c>
      <c r="G8968" s="15" t="str">
        <f>IFERROR(__xludf.DUMMYFUNCTION("""COMPUTED_VALUE"""),"Melissa Caballero")</f>
        <v>Melissa Caballero</v>
      </c>
      <c r="H8968" s="16">
        <f>IFERROR(__xludf.DUMMYFUNCTION("""COMPUTED_VALUE"""),17581.0)</f>
        <v>17581</v>
      </c>
      <c r="I8968" s="18">
        <f>IFERROR(__xludf.DUMMYFUNCTION("""COMPUTED_VALUE"""),18.0)</f>
        <v>18</v>
      </c>
      <c r="J8968" s="18">
        <f>IFERROR(__xludf.DUMMYFUNCTION("""COMPUTED_VALUE"""),23.0)</f>
        <v>23</v>
      </c>
      <c r="K8968" s="18">
        <f>IFERROR(__xludf.DUMMYFUNCTION("""COMPUTED_VALUE"""),47.0)</f>
        <v>47</v>
      </c>
      <c r="L8968" s="17">
        <f>IFERROR(__xludf.DUMMYFUNCTION("""COMPUTED_VALUE"""),3.044614918E9)</f>
        <v>3044614918</v>
      </c>
      <c r="M8968" s="17"/>
      <c r="N8968" s="17"/>
      <c r="O8968" s="17"/>
      <c r="P8968" s="17" t="b">
        <f>IFERROR(__xludf.DUMMYFUNCTION("""COMPUTED_VALUE"""),FALSE)</f>
        <v>0</v>
      </c>
      <c r="Q8968" s="20" t="str">
        <f>IFERROR(__xludf.DUMMYFUNCTION("""COMPUTED_VALUE"""),"")</f>
        <v/>
      </c>
      <c r="R8968" s="21" t="str">
        <f>IFERROR(__xludf.DUMMYFUNCTION("""COMPUTED_VALUE"""),"https://drive.google.com/file/d/1AaQ-5Y4K2knsPl4xgAcE2Qde1jXOIS9Z/view?usp=drivesdk")</f>
        <v>https://drive.google.com/file/d/1AaQ-5Y4K2knsPl4xgAcE2Qde1jXOIS9Z/view?usp=drivesdk</v>
      </c>
    </row>
    <row r="8969">
      <c r="A8969" s="17" t="str">
        <f>IFERROR(__xludf.DUMMYFUNCTION("""COMPUTED_VALUE"""),"")</f>
        <v/>
      </c>
      <c r="B8969" s="17" t="str">
        <f>IFERROR(__xludf.DUMMYFUNCTION("""COMPUTED_VALUE"""),"")</f>
        <v/>
      </c>
      <c r="C8969" s="17" t="str">
        <f>IFERROR(__xludf.DUMMYFUNCTION("""COMPUTED_VALUE"""),"")</f>
        <v/>
      </c>
      <c r="D8969" s="17" t="str">
        <f>IFERROR(__xludf.DUMMYFUNCTION("""COMPUTED_VALUE"""),"")</f>
        <v/>
      </c>
      <c r="E8969" s="17" t="str">
        <f>IFERROR(__xludf.DUMMYFUNCTION("""COMPUTED_VALUE"""),"")</f>
        <v/>
      </c>
      <c r="F8969" s="17" t="str">
        <f>IFERROR(__xludf.DUMMYFUNCTION("""COMPUTED_VALUE"""),"")</f>
        <v/>
      </c>
      <c r="G8969" s="17" t="str">
        <f>IFERROR(__xludf.DUMMYFUNCTION("""COMPUTED_VALUE"""),"")</f>
        <v/>
      </c>
      <c r="H8969" s="17" t="str">
        <f>IFERROR(__xludf.DUMMYFUNCTION("""COMPUTED_VALUE"""),"")</f>
        <v/>
      </c>
      <c r="I8969" s="17" t="str">
        <f>IFERROR(__xludf.DUMMYFUNCTION("""COMPUTED_VALUE"""),"")</f>
        <v/>
      </c>
      <c r="J8969" s="17" t="str">
        <f>IFERROR(__xludf.DUMMYFUNCTION("""COMPUTED_VALUE"""),"")</f>
        <v/>
      </c>
      <c r="K8969" s="17" t="str">
        <f>IFERROR(__xludf.DUMMYFUNCTION("""COMPUTED_VALUE"""),"")</f>
        <v/>
      </c>
      <c r="L8969" s="17" t="str">
        <f>IFERROR(__xludf.DUMMYFUNCTION("""COMPUTED_VALUE"""),"")</f>
        <v/>
      </c>
      <c r="M8969" s="17" t="str">
        <f>IFERROR(__xludf.DUMMYFUNCTION("""COMPUTED_VALUE"""),"")</f>
        <v/>
      </c>
      <c r="N8969" s="17" t="str">
        <f>IFERROR(__xludf.DUMMYFUNCTION("""COMPUTED_VALUE"""),"")</f>
        <v/>
      </c>
      <c r="O8969" s="17" t="str">
        <f>IFERROR(__xludf.DUMMYFUNCTION("""COMPUTED_VALUE"""),"")</f>
        <v/>
      </c>
      <c r="P8969" s="17" t="str">
        <f>IFERROR(__xludf.DUMMYFUNCTION("""COMPUTED_VALUE"""),"")</f>
        <v/>
      </c>
      <c r="Q8969" s="17" t="str">
        <f>IFERROR(__xludf.DUMMYFUNCTION("""COMPUTED_VALUE"""),"")</f>
        <v/>
      </c>
      <c r="R8969" s="17" t="str">
        <f>IFERROR(__xludf.DUMMYFUNCTION("""COMPUTED_VALUE"""),"")</f>
        <v/>
      </c>
    </row>
    <row r="8970">
      <c r="A8970" s="15">
        <f>IFERROR(__xludf.DUMMYFUNCTION("""COMPUTED_VALUE"""),45255.0)</f>
        <v>45255</v>
      </c>
      <c r="B8970" s="16" t="str">
        <f>IFERROR(__xludf.DUMMYFUNCTION("""COMPUTED_VALUE"""),"Kevin Andrés puerta Jaramillo")</f>
        <v>Kevin Andrés puerta Jaramillo</v>
      </c>
      <c r="C8970" s="15" t="str">
        <f>IFERROR(__xludf.DUMMYFUNCTION("""COMPUTED_VALUE"""),"MEDELLÍN")</f>
        <v>MEDELLÍN</v>
      </c>
      <c r="D8970" s="15" t="str">
        <f>IFERROR(__xludf.DUMMYFUNCTION("""COMPUTED_VALUE"""),"BOGOTÁ")</f>
        <v>BOGOTÁ</v>
      </c>
      <c r="E8970" s="15" t="str">
        <f>IFERROR(__xludf.DUMMYFUNCTION("""COMPUTED_VALUE"""),"Forever Dog")</f>
        <v>Forever Dog</v>
      </c>
      <c r="F8970" s="17" t="str">
        <f>IFERROR(__xludf.DUMMYFUNCTION("""COMPUTED_VALUE"""),"Calle 36 sur # 27 - 10 / apto 9615 torre 3 unidad residencial entreparques / apto 9615 torre 3 unidad residencial entreparques")</f>
        <v>Calle 36 sur # 27 - 10 / apto 9615 torre 3 unidad residencial entreparques / apto 9615 torre 3 unidad residencial entreparques</v>
      </c>
      <c r="G8970" s="15" t="str">
        <f>IFERROR(__xludf.DUMMYFUNCTION("""COMPUTED_VALUE"""),"Alejandra Maya")</f>
        <v>Alejandra Maya</v>
      </c>
      <c r="H8970" s="16">
        <f>IFERROR(__xludf.DUMMYFUNCTION("""COMPUTED_VALUE"""),17615.0)</f>
        <v>17615</v>
      </c>
      <c r="I8970" s="18">
        <f>IFERROR(__xludf.DUMMYFUNCTION("""COMPUTED_VALUE"""),51.0)</f>
        <v>51</v>
      </c>
      <c r="J8970" s="18">
        <f>IFERROR(__xludf.DUMMYFUNCTION("""COMPUTED_VALUE"""),20.0)</f>
        <v>20</v>
      </c>
      <c r="K8970" s="18">
        <f>IFERROR(__xludf.DUMMYFUNCTION("""COMPUTED_VALUE"""),30.0)</f>
        <v>30</v>
      </c>
      <c r="L8970" s="17">
        <f>IFERROR(__xludf.DUMMYFUNCTION("""COMPUTED_VALUE"""),3.016427229E9)</f>
        <v>3016427229</v>
      </c>
      <c r="M8970" s="17"/>
      <c r="N8970" s="17"/>
      <c r="O8970" s="17"/>
      <c r="P8970" s="17" t="b">
        <f>IFERROR(__xludf.DUMMYFUNCTION("""COMPUTED_VALUE"""),FALSE)</f>
        <v>0</v>
      </c>
      <c r="Q8970" s="20" t="str">
        <f>IFERROR(__xludf.DUMMYFUNCTION("""COMPUTED_VALUE"""),"")</f>
        <v/>
      </c>
      <c r="R8970" s="22" t="str">
        <f>IFERROR(__xludf.DUMMYFUNCTION("""COMPUTED_VALUE"""),"")</f>
        <v/>
      </c>
    </row>
    <row r="8971">
      <c r="A8971" s="17" t="str">
        <f>IFERROR(__xludf.DUMMYFUNCTION("""COMPUTED_VALUE"""),"")</f>
        <v/>
      </c>
      <c r="B8971" s="17" t="str">
        <f>IFERROR(__xludf.DUMMYFUNCTION("""COMPUTED_VALUE"""),"")</f>
        <v/>
      </c>
      <c r="C8971" s="17" t="str">
        <f>IFERROR(__xludf.DUMMYFUNCTION("""COMPUTED_VALUE"""),"")</f>
        <v/>
      </c>
      <c r="D8971" s="17" t="str">
        <f>IFERROR(__xludf.DUMMYFUNCTION("""COMPUTED_VALUE"""),"")</f>
        <v/>
      </c>
      <c r="E8971" s="17" t="str">
        <f>IFERROR(__xludf.DUMMYFUNCTION("""COMPUTED_VALUE"""),"")</f>
        <v/>
      </c>
      <c r="F8971" s="17" t="str">
        <f>IFERROR(__xludf.DUMMYFUNCTION("""COMPUTED_VALUE"""),"")</f>
        <v/>
      </c>
      <c r="G8971" s="17" t="str">
        <f>IFERROR(__xludf.DUMMYFUNCTION("""COMPUTED_VALUE"""),"")</f>
        <v/>
      </c>
      <c r="H8971" s="17" t="str">
        <f>IFERROR(__xludf.DUMMYFUNCTION("""COMPUTED_VALUE"""),"")</f>
        <v/>
      </c>
      <c r="I8971" s="17" t="str">
        <f>IFERROR(__xludf.DUMMYFUNCTION("""COMPUTED_VALUE"""),"")</f>
        <v/>
      </c>
      <c r="J8971" s="17" t="str">
        <f>IFERROR(__xludf.DUMMYFUNCTION("""COMPUTED_VALUE"""),"")</f>
        <v/>
      </c>
      <c r="K8971" s="17" t="str">
        <f>IFERROR(__xludf.DUMMYFUNCTION("""COMPUTED_VALUE"""),"")</f>
        <v/>
      </c>
      <c r="L8971" s="17" t="str">
        <f>IFERROR(__xludf.DUMMYFUNCTION("""COMPUTED_VALUE"""),"")</f>
        <v/>
      </c>
      <c r="M8971" s="17" t="str">
        <f>IFERROR(__xludf.DUMMYFUNCTION("""COMPUTED_VALUE"""),"")</f>
        <v/>
      </c>
      <c r="N8971" s="17" t="str">
        <f>IFERROR(__xludf.DUMMYFUNCTION("""COMPUTED_VALUE"""),"")</f>
        <v/>
      </c>
      <c r="O8971" s="17" t="str">
        <f>IFERROR(__xludf.DUMMYFUNCTION("""COMPUTED_VALUE"""),"")</f>
        <v/>
      </c>
      <c r="P8971" s="17" t="str">
        <f>IFERROR(__xludf.DUMMYFUNCTION("""COMPUTED_VALUE"""),"")</f>
        <v/>
      </c>
      <c r="Q8971" s="17" t="str">
        <f>IFERROR(__xludf.DUMMYFUNCTION("""COMPUTED_VALUE"""),"")</f>
        <v/>
      </c>
      <c r="R8971" s="17" t="str">
        <f>IFERROR(__xludf.DUMMYFUNCTION("""COMPUTED_VALUE"""),"")</f>
        <v/>
      </c>
    </row>
    <row r="8972">
      <c r="A8972" s="15">
        <f>IFERROR(__xludf.DUMMYFUNCTION("""COMPUTED_VALUE"""),45258.0)</f>
        <v>45258</v>
      </c>
      <c r="B8972" s="16" t="str">
        <f>IFERROR(__xludf.DUMMYFUNCTION("""COMPUTED_VALUE"""),"David Sanmartin Bello")</f>
        <v>David Sanmartin Bello</v>
      </c>
      <c r="C8972" s="15" t="str">
        <f>IFERROR(__xludf.DUMMYFUNCTION("""COMPUTED_VALUE"""),"PALMIRA")</f>
        <v>PALMIRA</v>
      </c>
      <c r="D8972" s="15" t="str">
        <f>IFERROR(__xludf.DUMMYFUNCTION("""COMPUTED_VALUE"""),"BOGOTÁ")</f>
        <v>BOGOTÁ</v>
      </c>
      <c r="E8972" s="15" t="str">
        <f>IFERROR(__xludf.DUMMYFUNCTION("""COMPUTED_VALUE"""),"Instinto alimento vital")</f>
        <v>Instinto alimento vital</v>
      </c>
      <c r="F8972" s="17" t="str">
        <f>IFERROR(__xludf.DUMMYFUNCTION("""COMPUTED_VALUE"""),"CAR 28 # 30-19 / EDF TORRE BANCAFE")</f>
        <v>CAR 28 # 30-19 / EDF TORRE BANCAFE</v>
      </c>
      <c r="G8972" s="15" t="str">
        <f>IFERROR(__xludf.DUMMYFUNCTION("""COMPUTED_VALUE"""),"GLORIA PATRICIA HERERA SARAY")</f>
        <v>GLORIA PATRICIA HERERA SARAY</v>
      </c>
      <c r="H8972" s="16">
        <f>IFERROR(__xludf.DUMMYFUNCTION("""COMPUTED_VALUE"""),17664.0)</f>
        <v>17664</v>
      </c>
      <c r="I8972" s="17"/>
      <c r="J8972" s="17"/>
      <c r="K8972" s="17"/>
      <c r="L8972" s="17">
        <f>IFERROR(__xludf.DUMMYFUNCTION("""COMPUTED_VALUE"""),3.14722041E9)</f>
        <v>3147220410</v>
      </c>
      <c r="M8972" s="17"/>
      <c r="N8972" s="17"/>
      <c r="O8972" s="17"/>
      <c r="P8972" s="17" t="b">
        <f>IFERROR(__xludf.DUMMYFUNCTION("""COMPUTED_VALUE"""),FALSE)</f>
        <v>0</v>
      </c>
      <c r="Q8972" s="20" t="str">
        <f>IFERROR(__xludf.DUMMYFUNCTION("""COMPUTED_VALUE"""),"")</f>
        <v/>
      </c>
      <c r="R8972" s="21" t="str">
        <f>IFERROR(__xludf.DUMMYFUNCTION("""COMPUTED_VALUE"""),"https://drive.google.com/file/d/1DMg_iUY7KQS6djYFMM0AMbvIQxjJkeEV/view?usp=drivesdk")</f>
        <v>https://drive.google.com/file/d/1DMg_iUY7KQS6djYFMM0AMbvIQxjJkeEV/view?usp=drivesdk</v>
      </c>
    </row>
    <row r="8973">
      <c r="A8973" s="15">
        <f>IFERROR(__xludf.DUMMYFUNCTION("""COMPUTED_VALUE"""),45258.0)</f>
        <v>45258</v>
      </c>
      <c r="B8973" s="16" t="str">
        <f>IFERROR(__xludf.DUMMYFUNCTION("""COMPUTED_VALUE"""),"David Sanmartin Bello")</f>
        <v>David Sanmartin Bello</v>
      </c>
      <c r="C8973" s="15" t="str">
        <f>IFERROR(__xludf.DUMMYFUNCTION("""COMPUTED_VALUE"""),"YUMBO")</f>
        <v>YUMBO</v>
      </c>
      <c r="D8973" s="15" t="str">
        <f>IFERROR(__xludf.DUMMYFUNCTION("""COMPUTED_VALUE"""),"BOGOTÁ")</f>
        <v>BOGOTÁ</v>
      </c>
      <c r="E8973" s="15" t="str">
        <f>IFERROR(__xludf.DUMMYFUNCTION("""COMPUTED_VALUE"""),"MAI ALIMENTOS REALES")</f>
        <v>MAI ALIMENTOS REALES</v>
      </c>
      <c r="F8973" s="17" t="str">
        <f>IFERROR(__xludf.DUMMYFUNCTION("""COMPUTED_VALUE"""),"Carrera 35 # 10 – 592 / Bodega 6 , Conjunto Industrial Nueva Era")</f>
        <v>Carrera 35 # 10 – 592 / Bodega 6 , Conjunto Industrial Nueva Era</v>
      </c>
      <c r="G8973" s="15" t="str">
        <f>IFERROR(__xludf.DUMMYFUNCTION("""COMPUTED_VALUE"""),"NOVAVENTAS CALI")</f>
        <v>NOVAVENTAS CALI</v>
      </c>
      <c r="H8973" s="16">
        <f>IFERROR(__xludf.DUMMYFUNCTION("""COMPUTED_VALUE"""),17618.0)</f>
        <v>17618</v>
      </c>
      <c r="I8973" s="17"/>
      <c r="J8973" s="17"/>
      <c r="K8973" s="17"/>
      <c r="L8973" s="17">
        <f>IFERROR(__xludf.DUMMYFUNCTION("""COMPUTED_VALUE"""),3.146714539E9)</f>
        <v>3146714539</v>
      </c>
      <c r="M8973" s="17"/>
      <c r="N8973" s="17"/>
      <c r="O8973" s="17"/>
      <c r="P8973" s="17" t="b">
        <f>IFERROR(__xludf.DUMMYFUNCTION("""COMPUTED_VALUE"""),FALSE)</f>
        <v>0</v>
      </c>
      <c r="Q8973" s="20" t="str">
        <f>IFERROR(__xludf.DUMMYFUNCTION("""COMPUTED_VALUE"""),"")</f>
        <v/>
      </c>
      <c r="R8973" s="21" t="str">
        <f>IFERROR(__xludf.DUMMYFUNCTION("""COMPUTED_VALUE"""),"https://drive.google.com/file/d/18G3g4vPvKWUm-vZLwCfpQMm1ZzHhgyJq/view?usp=drivesdk")</f>
        <v>https://drive.google.com/file/d/18G3g4vPvKWUm-vZLwCfpQMm1ZzHhgyJq/view?usp=drivesdk</v>
      </c>
    </row>
    <row r="8974">
      <c r="A8974" s="17" t="str">
        <f>IFERROR(__xludf.DUMMYFUNCTION("""COMPUTED_VALUE"""),"")</f>
        <v/>
      </c>
      <c r="B8974" s="17" t="str">
        <f>IFERROR(__xludf.DUMMYFUNCTION("""COMPUTED_VALUE"""),"")</f>
        <v/>
      </c>
      <c r="C8974" s="17" t="str">
        <f>IFERROR(__xludf.DUMMYFUNCTION("""COMPUTED_VALUE"""),"")</f>
        <v/>
      </c>
      <c r="D8974" s="17" t="str">
        <f>IFERROR(__xludf.DUMMYFUNCTION("""COMPUTED_VALUE"""),"")</f>
        <v/>
      </c>
      <c r="E8974" s="17" t="str">
        <f>IFERROR(__xludf.DUMMYFUNCTION("""COMPUTED_VALUE"""),"")</f>
        <v/>
      </c>
      <c r="F8974" s="17" t="str">
        <f>IFERROR(__xludf.DUMMYFUNCTION("""COMPUTED_VALUE"""),"")</f>
        <v/>
      </c>
      <c r="G8974" s="17" t="str">
        <f>IFERROR(__xludf.DUMMYFUNCTION("""COMPUTED_VALUE"""),"")</f>
        <v/>
      </c>
      <c r="H8974" s="17" t="str">
        <f>IFERROR(__xludf.DUMMYFUNCTION("""COMPUTED_VALUE"""),"")</f>
        <v/>
      </c>
      <c r="I8974" s="17" t="str">
        <f>IFERROR(__xludf.DUMMYFUNCTION("""COMPUTED_VALUE"""),"")</f>
        <v/>
      </c>
      <c r="J8974" s="17" t="str">
        <f>IFERROR(__xludf.DUMMYFUNCTION("""COMPUTED_VALUE"""),"")</f>
        <v/>
      </c>
      <c r="K8974" s="17" t="str">
        <f>IFERROR(__xludf.DUMMYFUNCTION("""COMPUTED_VALUE"""),"")</f>
        <v/>
      </c>
      <c r="L8974" s="17" t="str">
        <f>IFERROR(__xludf.DUMMYFUNCTION("""COMPUTED_VALUE"""),"")</f>
        <v/>
      </c>
      <c r="M8974" s="17" t="str">
        <f>IFERROR(__xludf.DUMMYFUNCTION("""COMPUTED_VALUE"""),"")</f>
        <v/>
      </c>
      <c r="N8974" s="17" t="str">
        <f>IFERROR(__xludf.DUMMYFUNCTION("""COMPUTED_VALUE"""),"")</f>
        <v/>
      </c>
      <c r="O8974" s="17" t="str">
        <f>IFERROR(__xludf.DUMMYFUNCTION("""COMPUTED_VALUE"""),"")</f>
        <v/>
      </c>
      <c r="P8974" s="17" t="str">
        <f>IFERROR(__xludf.DUMMYFUNCTION("""COMPUTED_VALUE"""),"")</f>
        <v/>
      </c>
      <c r="Q8974" s="17" t="str">
        <f>IFERROR(__xludf.DUMMYFUNCTION("""COMPUTED_VALUE"""),"")</f>
        <v/>
      </c>
      <c r="R8974" s="17" t="str">
        <f>IFERROR(__xludf.DUMMYFUNCTION("""COMPUTED_VALUE"""),"")</f>
        <v/>
      </c>
    </row>
    <row r="8975">
      <c r="A8975" s="15">
        <f>IFERROR(__xludf.DUMMYFUNCTION("""COMPUTED_VALUE"""),45258.0)</f>
        <v>45258</v>
      </c>
      <c r="B8975" s="16" t="str">
        <f>IFERROR(__xludf.DUMMYFUNCTION("""COMPUTED_VALUE"""),"Deivi Alejandro Quintero Corrales")</f>
        <v>Deivi Alejandro Quintero Corrales</v>
      </c>
      <c r="C8975" s="15" t="str">
        <f>IFERROR(__xludf.DUMMYFUNCTION("""COMPUTED_VALUE"""),"ARMENIA")</f>
        <v>ARMENIA</v>
      </c>
      <c r="D8975" s="15" t="str">
        <f>IFERROR(__xludf.DUMMYFUNCTION("""COMPUTED_VALUE"""),"MEDELLÍN")</f>
        <v>MEDELLÍN</v>
      </c>
      <c r="E8975" s="15" t="str">
        <f>IFERROR(__xludf.DUMMYFUNCTION("""COMPUTED_VALUE"""),"AREPAS LA MARY")</f>
        <v>AREPAS LA MARY</v>
      </c>
      <c r="F8975" s="17" t="str">
        <f>IFERROR(__xludf.DUMMYFUNCTION("""COMPUTED_VALUE"""),"Calle 26 #44-91 / Parques de Bolívar 2 Bl A apto 501")</f>
        <v>Calle 26 #44-91 / Parques de Bolívar 2 Bl A apto 501</v>
      </c>
      <c r="G8975" s="15" t="str">
        <f>IFERROR(__xludf.DUMMYFUNCTION("""COMPUTED_VALUE"""),"ANDREA GIRALDO")</f>
        <v>ANDREA GIRALDO</v>
      </c>
      <c r="H8975" s="16">
        <f>IFERROR(__xludf.DUMMYFUNCTION("""COMPUTED_VALUE"""),17728.0)</f>
        <v>17728</v>
      </c>
      <c r="I8975" s="17"/>
      <c r="J8975" s="17"/>
      <c r="K8975" s="17"/>
      <c r="L8975" s="17">
        <f>IFERROR(__xludf.DUMMYFUNCTION("""COMPUTED_VALUE"""),3.003284967E9)</f>
        <v>3003284967</v>
      </c>
      <c r="M8975" s="17"/>
      <c r="N8975" s="17"/>
      <c r="O8975" s="17"/>
      <c r="P8975" s="17" t="b">
        <f>IFERROR(__xludf.DUMMYFUNCTION("""COMPUTED_VALUE"""),FALSE)</f>
        <v>0</v>
      </c>
      <c r="Q8975" s="20" t="str">
        <f>IFERROR(__xludf.DUMMYFUNCTION("""COMPUTED_VALUE"""),"")</f>
        <v/>
      </c>
      <c r="R8975" s="22" t="str">
        <f>IFERROR(__xludf.DUMMYFUNCTION("""COMPUTED_VALUE"""),"")</f>
        <v/>
      </c>
    </row>
    <row r="8976">
      <c r="A8976" s="15">
        <f>IFERROR(__xludf.DUMMYFUNCTION("""COMPUTED_VALUE"""),45258.0)</f>
        <v>45258</v>
      </c>
      <c r="B8976" s="16" t="str">
        <f>IFERROR(__xludf.DUMMYFUNCTION("""COMPUTED_VALUE"""),"Deivi Alejandro Quintero Corrales")</f>
        <v>Deivi Alejandro Quintero Corrales</v>
      </c>
      <c r="C8976" s="15" t="str">
        <f>IFERROR(__xludf.DUMMYFUNCTION("""COMPUTED_VALUE"""),"PEREIRA")</f>
        <v>PEREIRA</v>
      </c>
      <c r="D8976" s="15" t="str">
        <f>IFERROR(__xludf.DUMMYFUNCTION("""COMPUTED_VALUE"""),"BOGOTÁ")</f>
        <v>BOGOTÁ</v>
      </c>
      <c r="E8976" s="15" t="str">
        <f>IFERROR(__xludf.DUMMYFUNCTION("""COMPUTED_VALUE"""),"LINA PAOLA RAMIREZ GOMEZ - EVA MAZZITA")</f>
        <v>LINA PAOLA RAMIREZ GOMEZ - EVA MAZZITA</v>
      </c>
      <c r="F8976" s="17" t="str">
        <f>IFERROR(__xludf.DUMMYFUNCTION("""COMPUTED_VALUE"""),"Carrera 25 #85- 141 / colores de la villa Casa 1 Bloque Amarillo")</f>
        <v>Carrera 25 #85- 141 / colores de la villa Casa 1 Bloque Amarillo</v>
      </c>
      <c r="G8976" s="15" t="str">
        <f>IFERROR(__xludf.DUMMYFUNCTION("""COMPUTED_VALUE"""),"IVONNE FIGUEREDO")</f>
        <v>IVONNE FIGUEREDO</v>
      </c>
      <c r="H8976" s="16">
        <f>IFERROR(__xludf.DUMMYFUNCTION("""COMPUTED_VALUE"""),17713.0)</f>
        <v>17713</v>
      </c>
      <c r="I8976" s="17"/>
      <c r="J8976" s="17"/>
      <c r="K8976" s="17"/>
      <c r="L8976" s="17">
        <f>IFERROR(__xludf.DUMMYFUNCTION("""COMPUTED_VALUE"""),3.057078162E9)</f>
        <v>3057078162</v>
      </c>
      <c r="M8976" s="17"/>
      <c r="N8976" s="17"/>
      <c r="O8976" s="17"/>
      <c r="P8976" s="17" t="b">
        <f>IFERROR(__xludf.DUMMYFUNCTION("""COMPUTED_VALUE"""),FALSE)</f>
        <v>0</v>
      </c>
      <c r="Q8976" s="20" t="str">
        <f>IFERROR(__xludf.DUMMYFUNCTION("""COMPUTED_VALUE"""),"")</f>
        <v/>
      </c>
      <c r="R8976" s="21" t="str">
        <f>IFERROR(__xludf.DUMMYFUNCTION("""COMPUTED_VALUE"""),"https://drive.google.com/file/d/10RsvqS8imrs9e3q8nqj5g6lCNdBGQZtX/view?usp=drivesdk")</f>
        <v>https://drive.google.com/file/d/10RsvqS8imrs9e3q8nqj5g6lCNdBGQZtX/view?usp=drivesdk</v>
      </c>
    </row>
    <row r="8977">
      <c r="A8977" s="15">
        <f>IFERROR(__xludf.DUMMYFUNCTION("""COMPUTED_VALUE"""),45258.0)</f>
        <v>45258</v>
      </c>
      <c r="B8977" s="16" t="str">
        <f>IFERROR(__xludf.DUMMYFUNCTION("""COMPUTED_VALUE"""),"Deivi Alejandro Quintero Corrales")</f>
        <v>Deivi Alejandro Quintero Corrales</v>
      </c>
      <c r="C8977" s="15" t="str">
        <f>IFERROR(__xludf.DUMMYFUNCTION("""COMPUTED_VALUE"""),"PEREIRA")</f>
        <v>PEREIRA</v>
      </c>
      <c r="D8977" s="15" t="str">
        <f>IFERROR(__xludf.DUMMYFUNCTION("""COMPUTED_VALUE"""),"BOGOTÁ")</f>
        <v>BOGOTÁ</v>
      </c>
      <c r="E8977" s="15" t="str">
        <f>IFERROR(__xludf.DUMMYFUNCTION("""COMPUTED_VALUE"""),"MAI ALIMENTOS REALES")</f>
        <v>MAI ALIMENTOS REALES</v>
      </c>
      <c r="F8977" s="17" t="str">
        <f>IFERROR(__xludf.DUMMYFUNCTION("""COMPUTED_VALUE"""),"Carrera 8 #14-132 / Bodega 2 Multicentro Macarena, Dosquebrabas")</f>
        <v>Carrera 8 #14-132 / Bodega 2 Multicentro Macarena, Dosquebrabas</v>
      </c>
      <c r="G8977" s="15" t="str">
        <f>IFERROR(__xludf.DUMMYFUNCTION("""COMPUTED_VALUE"""),"NOVAVENTAS PERERIA")</f>
        <v>NOVAVENTAS PERERIA</v>
      </c>
      <c r="H8977" s="16">
        <f>IFERROR(__xludf.DUMMYFUNCTION("""COMPUTED_VALUE"""),17617.0)</f>
        <v>17617</v>
      </c>
      <c r="I8977" s="17"/>
      <c r="J8977" s="17"/>
      <c r="K8977" s="17"/>
      <c r="L8977" s="17">
        <f>IFERROR(__xludf.DUMMYFUNCTION("""COMPUTED_VALUE"""),3.136760965E9)</f>
        <v>3136760965</v>
      </c>
      <c r="M8977" s="17"/>
      <c r="N8977" s="17"/>
      <c r="O8977" s="17"/>
      <c r="P8977" s="17" t="b">
        <f>IFERROR(__xludf.DUMMYFUNCTION("""COMPUTED_VALUE"""),FALSE)</f>
        <v>0</v>
      </c>
      <c r="Q8977" s="20" t="str">
        <f>IFERROR(__xludf.DUMMYFUNCTION("""COMPUTED_VALUE"""),"")</f>
        <v/>
      </c>
      <c r="R8977" s="21" t="str">
        <f>IFERROR(__xludf.DUMMYFUNCTION("""COMPUTED_VALUE"""),"https://drive.google.com/file/d/1A1Y5hF_bcYKDltbAytXo9obIYfaSrwKO/view?usp=drivesdk")</f>
        <v>https://drive.google.com/file/d/1A1Y5hF_bcYKDltbAytXo9obIYfaSrwKO/view?usp=drivesdk</v>
      </c>
    </row>
    <row r="8978">
      <c r="A8978" s="15">
        <f>IFERROR(__xludf.DUMMYFUNCTION("""COMPUTED_VALUE"""),45258.0)</f>
        <v>45258</v>
      </c>
      <c r="B8978" s="16" t="str">
        <f>IFERROR(__xludf.DUMMYFUNCTION("""COMPUTED_VALUE"""),"Deivi Alejandro Quintero Corrales")</f>
        <v>Deivi Alejandro Quintero Corrales</v>
      </c>
      <c r="C8978" s="15" t="str">
        <f>IFERROR(__xludf.DUMMYFUNCTION("""COMPUTED_VALUE"""),"PEREIRA")</f>
        <v>PEREIRA</v>
      </c>
      <c r="D8978" s="15" t="str">
        <f>IFERROR(__xludf.DUMMYFUNCTION("""COMPUTED_VALUE"""),"MEDELLÍN")</f>
        <v>MEDELLÍN</v>
      </c>
      <c r="E8978" s="15" t="str">
        <f>IFERROR(__xludf.DUMMYFUNCTION("""COMPUTED_VALUE"""),"Baby Chef")</f>
        <v>Baby Chef</v>
      </c>
      <c r="F8978" s="17" t="str">
        <f>IFERROR(__xludf.DUMMYFUNCTION("""COMPUTED_VALUE"""),"Avenida sur #36A-87 conjunto palma Apto 605 / . / .")</f>
        <v>Avenida sur #36A-87 conjunto palma Apto 605 / . / .</v>
      </c>
      <c r="G8978" s="15" t="str">
        <f>IFERROR(__xludf.DUMMYFUNCTION("""COMPUTED_VALUE"""),"Jessica Alzate Palacio")</f>
        <v>Jessica Alzate Palacio</v>
      </c>
      <c r="H8978" s="16">
        <f>IFERROR(__xludf.DUMMYFUNCTION("""COMPUTED_VALUE"""),17724.0)</f>
        <v>17724</v>
      </c>
      <c r="I8978" s="18">
        <f>IFERROR(__xludf.DUMMYFUNCTION("""COMPUTED_VALUE"""),9.0)</f>
        <v>9</v>
      </c>
      <c r="J8978" s="18">
        <f>IFERROR(__xludf.DUMMYFUNCTION("""COMPUTED_VALUE"""),23.0)</f>
        <v>23</v>
      </c>
      <c r="K8978" s="18">
        <f>IFERROR(__xludf.DUMMYFUNCTION("""COMPUTED_VALUE"""),37.0)</f>
        <v>37</v>
      </c>
      <c r="L8978" s="17">
        <f>IFERROR(__xludf.DUMMYFUNCTION("""COMPUTED_VALUE"""),3.113924059E9)</f>
        <v>3113924059</v>
      </c>
      <c r="M8978" s="17"/>
      <c r="N8978" s="17"/>
      <c r="O8978" s="17"/>
      <c r="P8978" s="17" t="b">
        <f>IFERROR(__xludf.DUMMYFUNCTION("""COMPUTED_VALUE"""),FALSE)</f>
        <v>0</v>
      </c>
      <c r="Q8978" s="20" t="str">
        <f>IFERROR(__xludf.DUMMYFUNCTION("""COMPUTED_VALUE"""),"")</f>
        <v/>
      </c>
      <c r="R8978" s="21" t="str">
        <f>IFERROR(__xludf.DUMMYFUNCTION("""COMPUTED_VALUE"""),"https://drive.google.com/file/d/18Qf1WsMtQXhZfNx84mx7qQF2Z-q4qcAW/view?usp=drivesdk")</f>
        <v>https://drive.google.com/file/d/18Qf1WsMtQXhZfNx84mx7qQF2Z-q4qcAW/view?usp=drivesdk</v>
      </c>
    </row>
    <row r="8979">
      <c r="A8979" s="15">
        <f>IFERROR(__xludf.DUMMYFUNCTION("""COMPUTED_VALUE"""),45258.0)</f>
        <v>45258</v>
      </c>
      <c r="B8979" s="16" t="str">
        <f>IFERROR(__xludf.DUMMYFUNCTION("""COMPUTED_VALUE"""),"Deivi Alejandro Quintero Corrales")</f>
        <v>Deivi Alejandro Quintero Corrales</v>
      </c>
      <c r="C8979" s="15" t="str">
        <f>IFERROR(__xludf.DUMMYFUNCTION("""COMPUTED_VALUE"""),"PEREIRA")</f>
        <v>PEREIRA</v>
      </c>
      <c r="D8979" s="15" t="str">
        <f>IFERROR(__xludf.DUMMYFUNCTION("""COMPUTED_VALUE"""),"MEDELLÍN")</f>
        <v>MEDELLÍN</v>
      </c>
      <c r="E8979" s="15" t="str">
        <f>IFERROR(__xludf.DUMMYFUNCTION("""COMPUTED_VALUE"""),"Baby Chef")</f>
        <v>Baby Chef</v>
      </c>
      <c r="F8979" s="17" t="str">
        <f>IFERROR(__xludf.DUMMYFUNCTION("""COMPUTED_VALUE"""),"Calle 8 bis no 15-51 edificio parque central Apto 1602 / . / .")</f>
        <v>Calle 8 bis no 15-51 edificio parque central Apto 1602 / . / .</v>
      </c>
      <c r="G8979" s="15" t="str">
        <f>IFERROR(__xludf.DUMMYFUNCTION("""COMPUTED_VALUE"""),"Luisa Holguín")</f>
        <v>Luisa Holguín</v>
      </c>
      <c r="H8979" s="16">
        <f>IFERROR(__xludf.DUMMYFUNCTION("""COMPUTED_VALUE"""),17722.0)</f>
        <v>17722</v>
      </c>
      <c r="I8979" s="18">
        <f>IFERROR(__xludf.DUMMYFUNCTION("""COMPUTED_VALUE"""),10.0)</f>
        <v>10</v>
      </c>
      <c r="J8979" s="18">
        <f>IFERROR(__xludf.DUMMYFUNCTION("""COMPUTED_VALUE"""),42.0)</f>
        <v>42</v>
      </c>
      <c r="K8979" s="18">
        <f>IFERROR(__xludf.DUMMYFUNCTION("""COMPUTED_VALUE"""),30.0)</f>
        <v>30</v>
      </c>
      <c r="L8979" s="17">
        <f>IFERROR(__xludf.DUMMYFUNCTION("""COMPUTED_VALUE"""),3.008427381E9)</f>
        <v>3008427381</v>
      </c>
      <c r="M8979" s="17"/>
      <c r="N8979" s="17"/>
      <c r="O8979" s="17"/>
      <c r="P8979" s="17" t="b">
        <f>IFERROR(__xludf.DUMMYFUNCTION("""COMPUTED_VALUE"""),FALSE)</f>
        <v>0</v>
      </c>
      <c r="Q8979" s="20" t="str">
        <f>IFERROR(__xludf.DUMMYFUNCTION("""COMPUTED_VALUE"""),"")</f>
        <v/>
      </c>
      <c r="R8979" s="21" t="str">
        <f>IFERROR(__xludf.DUMMYFUNCTION("""COMPUTED_VALUE"""),"https://drive.google.com/file/d/1aCdMhDNIrxSPKgw-r9iJDK8ThhouuHOl/view?usp=drivesdk")</f>
        <v>https://drive.google.com/file/d/1aCdMhDNIrxSPKgw-r9iJDK8ThhouuHOl/view?usp=drivesdk</v>
      </c>
    </row>
    <row r="8980">
      <c r="A8980" s="15">
        <f>IFERROR(__xludf.DUMMYFUNCTION("""COMPUTED_VALUE"""),45258.0)</f>
        <v>45258</v>
      </c>
      <c r="B8980" s="16" t="str">
        <f>IFERROR(__xludf.DUMMYFUNCTION("""COMPUTED_VALUE"""),"Deivi Alejandro Quintero Corrales")</f>
        <v>Deivi Alejandro Quintero Corrales</v>
      </c>
      <c r="C8980" s="15" t="str">
        <f>IFERROR(__xludf.DUMMYFUNCTION("""COMPUTED_VALUE"""),"PEREIRA")</f>
        <v>PEREIRA</v>
      </c>
      <c r="D8980" s="15" t="str">
        <f>IFERROR(__xludf.DUMMYFUNCTION("""COMPUTED_VALUE"""),"MEDELLÍN")</f>
        <v>MEDELLÍN</v>
      </c>
      <c r="E8980" s="15" t="str">
        <f>IFERROR(__xludf.DUMMYFUNCTION("""COMPUTED_VALUE"""),"Baby Chef")</f>
        <v>Baby Chef</v>
      </c>
      <c r="F8980" s="17" t="str">
        <f>IFERROR(__xludf.DUMMYFUNCTION("""COMPUTED_VALUE"""),"Calle 95 # 40-75 conjunto residencial kaoba Manzana 2 casa 23 / . / .")</f>
        <v>Calle 95 # 40-75 conjunto residencial kaoba Manzana 2 casa 23 / . / .</v>
      </c>
      <c r="G8980" s="15" t="str">
        <f>IFERROR(__xludf.DUMMYFUNCTION("""COMPUTED_VALUE"""),"Tatiana Maya")</f>
        <v>Tatiana Maya</v>
      </c>
      <c r="H8980" s="16">
        <f>IFERROR(__xludf.DUMMYFUNCTION("""COMPUTED_VALUE"""),17723.0)</f>
        <v>17723</v>
      </c>
      <c r="I8980" s="18">
        <f>IFERROR(__xludf.DUMMYFUNCTION("""COMPUTED_VALUE"""),14.0)</f>
        <v>14</v>
      </c>
      <c r="J8980" s="18">
        <f>IFERROR(__xludf.DUMMYFUNCTION("""COMPUTED_VALUE"""),41.0)</f>
        <v>41</v>
      </c>
      <c r="K8980" s="18">
        <f>IFERROR(__xludf.DUMMYFUNCTION("""COMPUTED_VALUE"""),22.0)</f>
        <v>22</v>
      </c>
      <c r="L8980" s="17">
        <f>IFERROR(__xludf.DUMMYFUNCTION("""COMPUTED_VALUE"""),3.157039002E9)</f>
        <v>3157039002</v>
      </c>
      <c r="M8980" s="17"/>
      <c r="N8980" s="17"/>
      <c r="O8980" s="17"/>
      <c r="P8980" s="17" t="b">
        <f>IFERROR(__xludf.DUMMYFUNCTION("""COMPUTED_VALUE"""),FALSE)</f>
        <v>0</v>
      </c>
      <c r="Q8980" s="20" t="str">
        <f>IFERROR(__xludf.DUMMYFUNCTION("""COMPUTED_VALUE"""),"")</f>
        <v/>
      </c>
      <c r="R8980" s="21" t="str">
        <f>IFERROR(__xludf.DUMMYFUNCTION("""COMPUTED_VALUE"""),"https://drive.google.com/file/d/1rKrxUBDWaKYP8GL0qTlC9ZYjvBsHrjWK/view?usp=drivesdk")</f>
        <v>https://drive.google.com/file/d/1rKrxUBDWaKYP8GL0qTlC9ZYjvBsHrjWK/view?usp=drivesdk</v>
      </c>
    </row>
    <row r="8981">
      <c r="A8981" s="15">
        <f>IFERROR(__xludf.DUMMYFUNCTION("""COMPUTED_VALUE"""),45258.0)</f>
        <v>45258</v>
      </c>
      <c r="B8981" s="16" t="str">
        <f>IFERROR(__xludf.DUMMYFUNCTION("""COMPUTED_VALUE"""),"Deivi Alejandro Quintero Corrales")</f>
        <v>Deivi Alejandro Quintero Corrales</v>
      </c>
      <c r="C8981" s="15" t="str">
        <f>IFERROR(__xludf.DUMMYFUNCTION("""COMPUTED_VALUE"""),"PEREIRA")</f>
        <v>PEREIRA</v>
      </c>
      <c r="D8981" s="15" t="str">
        <f>IFERROR(__xludf.DUMMYFUNCTION("""COMPUTED_VALUE"""),"MEDELLÍN")</f>
        <v>MEDELLÍN</v>
      </c>
      <c r="E8981" s="15" t="str">
        <f>IFERROR(__xludf.DUMMYFUNCTION("""COMPUTED_VALUE"""),"Goyo Todo por ellos")</f>
        <v>Goyo Todo por ellos</v>
      </c>
      <c r="F8981" s="17" t="str">
        <f>IFERROR(__xludf.DUMMYFUNCTION("""COMPUTED_VALUE"""),"Calle 12 bis #16 18 / Casa Hoja Comunidad Consciente  / Barrio Pinares")</f>
        <v>Calle 12 bis #16 18 / Casa Hoja Comunidad Consciente  / Barrio Pinares</v>
      </c>
      <c r="G8981" s="15" t="str">
        <f>IFERROR(__xludf.DUMMYFUNCTION("""COMPUTED_VALUE"""),"Hector Hernandez")</f>
        <v>Hector Hernandez</v>
      </c>
      <c r="H8981" s="16">
        <f>IFERROR(__xludf.DUMMYFUNCTION("""COMPUTED_VALUE"""),17676.0)</f>
        <v>17676</v>
      </c>
      <c r="I8981" s="18">
        <f>IFERROR(__xludf.DUMMYFUNCTION("""COMPUTED_VALUE"""),14.0)</f>
        <v>14</v>
      </c>
      <c r="J8981" s="18">
        <f>IFERROR(__xludf.DUMMYFUNCTION("""COMPUTED_VALUE"""),26.0)</f>
        <v>26</v>
      </c>
      <c r="K8981" s="18">
        <f>IFERROR(__xludf.DUMMYFUNCTION("""COMPUTED_VALUE"""),23.0)</f>
        <v>23</v>
      </c>
      <c r="L8981" s="17">
        <f>IFERROR(__xludf.DUMMYFUNCTION("""COMPUTED_VALUE"""),3.18591145E9)</f>
        <v>3185911450</v>
      </c>
      <c r="M8981" s="17"/>
      <c r="N8981" s="17"/>
      <c r="O8981" s="17"/>
      <c r="P8981" s="17" t="b">
        <f>IFERROR(__xludf.DUMMYFUNCTION("""COMPUTED_VALUE"""),FALSE)</f>
        <v>0</v>
      </c>
      <c r="Q8981" s="20" t="str">
        <f>IFERROR(__xludf.DUMMYFUNCTION("""COMPUTED_VALUE"""),"")</f>
        <v/>
      </c>
      <c r="R8981" s="21" t="str">
        <f>IFERROR(__xludf.DUMMYFUNCTION("""COMPUTED_VALUE"""),"https://drive.google.com/file/d/175HgwUFZcjxGl1b-QL8JABwBdOICOSx2/view?usp=drivesdk")</f>
        <v>https://drive.google.com/file/d/175HgwUFZcjxGl1b-QL8JABwBdOICOSx2/view?usp=drivesdk</v>
      </c>
    </row>
    <row r="8982">
      <c r="A8982" s="15">
        <f>IFERROR(__xludf.DUMMYFUNCTION("""COMPUTED_VALUE"""),45258.0)</f>
        <v>45258</v>
      </c>
      <c r="B8982" s="16" t="str">
        <f>IFERROR(__xludf.DUMMYFUNCTION("""COMPUTED_VALUE"""),"Deivi Alejandro Quintero Corrales")</f>
        <v>Deivi Alejandro Quintero Corrales</v>
      </c>
      <c r="C8982" s="15" t="str">
        <f>IFERROR(__xludf.DUMMYFUNCTION("""COMPUTED_VALUE"""),"PEREIRA")</f>
        <v>PEREIRA</v>
      </c>
      <c r="D8982" s="15" t="str">
        <f>IFERROR(__xludf.DUMMYFUNCTION("""COMPUTED_VALUE"""),"MEDELLÍN")</f>
        <v>MEDELLÍN</v>
      </c>
      <c r="E8982" s="15" t="str">
        <f>IFERROR(__xludf.DUMMYFUNCTION("""COMPUTED_VALUE"""),"Goyo Todo por ellos")</f>
        <v>Goyo Todo por ellos</v>
      </c>
      <c r="F8982" s="17" t="str">
        <f>IFERROR(__xludf.DUMMYFUNCTION("""COMPUTED_VALUE"""),"Calle 12 bis #16 18 / Casa Hoja Comunidad Consciente  / Barrio Pinares")</f>
        <v>Calle 12 bis #16 18 / Casa Hoja Comunidad Consciente  / Barrio Pinares</v>
      </c>
      <c r="G8982" s="15" t="str">
        <f>IFERROR(__xludf.DUMMYFUNCTION("""COMPUTED_VALUE"""),"Hector Hernandez")</f>
        <v>Hector Hernandez</v>
      </c>
      <c r="H8982" s="16">
        <f>IFERROR(__xludf.DUMMYFUNCTION("""COMPUTED_VALUE"""),17677.0)</f>
        <v>17677</v>
      </c>
      <c r="I8982" s="18">
        <f>IFERROR(__xludf.DUMMYFUNCTION("""COMPUTED_VALUE"""),23.0)</f>
        <v>23</v>
      </c>
      <c r="J8982" s="18">
        <f>IFERROR(__xludf.DUMMYFUNCTION("""COMPUTED_VALUE"""),23.0)</f>
        <v>23</v>
      </c>
      <c r="K8982" s="18">
        <f>IFERROR(__xludf.DUMMYFUNCTION("""COMPUTED_VALUE"""),17.0)</f>
        <v>17</v>
      </c>
      <c r="L8982" s="17">
        <f>IFERROR(__xludf.DUMMYFUNCTION("""COMPUTED_VALUE"""),3.18591145E9)</f>
        <v>3185911450</v>
      </c>
      <c r="M8982" s="17"/>
      <c r="N8982" s="17"/>
      <c r="O8982" s="17"/>
      <c r="P8982" s="17" t="b">
        <f>IFERROR(__xludf.DUMMYFUNCTION("""COMPUTED_VALUE"""),FALSE)</f>
        <v>0</v>
      </c>
      <c r="Q8982" s="20" t="str">
        <f>IFERROR(__xludf.DUMMYFUNCTION("""COMPUTED_VALUE"""),"")</f>
        <v/>
      </c>
      <c r="R8982" s="21" t="str">
        <f>IFERROR(__xludf.DUMMYFUNCTION("""COMPUTED_VALUE"""),"https://drive.google.com/file/d/1xGCNiRHTwI8Oh5OCTAOWhUYAWSgwyttJ/view?usp=drivesdk")</f>
        <v>https://drive.google.com/file/d/1xGCNiRHTwI8Oh5OCTAOWhUYAWSgwyttJ/view?usp=drivesdk</v>
      </c>
    </row>
    <row r="8983">
      <c r="A8983" s="17" t="str">
        <f>IFERROR(__xludf.DUMMYFUNCTION("""COMPUTED_VALUE"""),"")</f>
        <v/>
      </c>
      <c r="B8983" s="17" t="str">
        <f>IFERROR(__xludf.DUMMYFUNCTION("""COMPUTED_VALUE"""),"")</f>
        <v/>
      </c>
      <c r="C8983" s="17" t="str">
        <f>IFERROR(__xludf.DUMMYFUNCTION("""COMPUTED_VALUE"""),"")</f>
        <v/>
      </c>
      <c r="D8983" s="17" t="str">
        <f>IFERROR(__xludf.DUMMYFUNCTION("""COMPUTED_VALUE"""),"")</f>
        <v/>
      </c>
      <c r="E8983" s="17" t="str">
        <f>IFERROR(__xludf.DUMMYFUNCTION("""COMPUTED_VALUE"""),"")</f>
        <v/>
      </c>
      <c r="F8983" s="17" t="str">
        <f>IFERROR(__xludf.DUMMYFUNCTION("""COMPUTED_VALUE"""),"")</f>
        <v/>
      </c>
      <c r="G8983" s="17" t="str">
        <f>IFERROR(__xludf.DUMMYFUNCTION("""COMPUTED_VALUE"""),"")</f>
        <v/>
      </c>
      <c r="H8983" s="17" t="str">
        <f>IFERROR(__xludf.DUMMYFUNCTION("""COMPUTED_VALUE"""),"")</f>
        <v/>
      </c>
      <c r="I8983" s="17" t="str">
        <f>IFERROR(__xludf.DUMMYFUNCTION("""COMPUTED_VALUE"""),"")</f>
        <v/>
      </c>
      <c r="J8983" s="17" t="str">
        <f>IFERROR(__xludf.DUMMYFUNCTION("""COMPUTED_VALUE"""),"")</f>
        <v/>
      </c>
      <c r="K8983" s="17" t="str">
        <f>IFERROR(__xludf.DUMMYFUNCTION("""COMPUTED_VALUE"""),"")</f>
        <v/>
      </c>
      <c r="L8983" s="17" t="str">
        <f>IFERROR(__xludf.DUMMYFUNCTION("""COMPUTED_VALUE"""),"")</f>
        <v/>
      </c>
      <c r="M8983" s="17" t="str">
        <f>IFERROR(__xludf.DUMMYFUNCTION("""COMPUTED_VALUE"""),"")</f>
        <v/>
      </c>
      <c r="N8983" s="17" t="str">
        <f>IFERROR(__xludf.DUMMYFUNCTION("""COMPUTED_VALUE"""),"")</f>
        <v/>
      </c>
      <c r="O8983" s="17" t="str">
        <f>IFERROR(__xludf.DUMMYFUNCTION("""COMPUTED_VALUE"""),"")</f>
        <v/>
      </c>
      <c r="P8983" s="17" t="str">
        <f>IFERROR(__xludf.DUMMYFUNCTION("""COMPUTED_VALUE"""),"")</f>
        <v/>
      </c>
      <c r="Q8983" s="17" t="str">
        <f>IFERROR(__xludf.DUMMYFUNCTION("""COMPUTED_VALUE"""),"")</f>
        <v/>
      </c>
      <c r="R8983" s="17" t="str">
        <f>IFERROR(__xludf.DUMMYFUNCTION("""COMPUTED_VALUE"""),"")</f>
        <v/>
      </c>
    </row>
    <row r="8984">
      <c r="A8984" s="15">
        <f>IFERROR(__xludf.DUMMYFUNCTION("""COMPUTED_VALUE"""),45258.0)</f>
        <v>45258</v>
      </c>
      <c r="B8984" s="16" t="str">
        <f>IFERROR(__xludf.DUMMYFUNCTION("""COMPUTED_VALUE"""),"Duvan Gabriel Alvarez Giron")</f>
        <v>Duvan Gabriel Alvarez Giron</v>
      </c>
      <c r="C8984" s="15" t="str">
        <f>IFERROR(__xludf.DUMMYFUNCTION("""COMPUTED_VALUE"""),"FLORIDABLANCA")</f>
        <v>FLORIDABLANCA</v>
      </c>
      <c r="D8984" s="15" t="str">
        <f>IFERROR(__xludf.DUMMYFUNCTION("""COMPUTED_VALUE"""),"BOGOTÁ")</f>
        <v>BOGOTÁ</v>
      </c>
      <c r="E8984" s="15" t="str">
        <f>IFERROR(__xludf.DUMMYFUNCTION("""COMPUTED_VALUE"""),"Instinto alimento vital")</f>
        <v>Instinto alimento vital</v>
      </c>
      <c r="F8984" s="17" t="str">
        <f>IFERROR(__xludf.DUMMYFUNCTION("""COMPUTED_VALUE"""),"CL 30 22 129 / AP 902 EDIFICIO VENTUS")</f>
        <v>CL 30 22 129 / AP 902 EDIFICIO VENTUS</v>
      </c>
      <c r="G8984" s="15" t="str">
        <f>IFERROR(__xludf.DUMMYFUNCTION("""COMPUTED_VALUE"""),"LUZ ALEJANDRA URIBE ANGARITA")</f>
        <v>LUZ ALEJANDRA URIBE ANGARITA</v>
      </c>
      <c r="H8984" s="16">
        <f>IFERROR(__xludf.DUMMYFUNCTION("""COMPUTED_VALUE"""),17661.0)</f>
        <v>17661</v>
      </c>
      <c r="I8984" s="17"/>
      <c r="J8984" s="17"/>
      <c r="K8984" s="17"/>
      <c r="L8984" s="17">
        <f>IFERROR(__xludf.DUMMYFUNCTION("""COMPUTED_VALUE"""),3.005691834E9)</f>
        <v>3005691834</v>
      </c>
      <c r="M8984" s="17"/>
      <c r="N8984" s="17"/>
      <c r="O8984" s="17"/>
      <c r="P8984" s="17" t="b">
        <f>IFERROR(__xludf.DUMMYFUNCTION("""COMPUTED_VALUE"""),FALSE)</f>
        <v>0</v>
      </c>
      <c r="Q8984" s="20" t="str">
        <f>IFERROR(__xludf.DUMMYFUNCTION("""COMPUTED_VALUE"""),"")</f>
        <v/>
      </c>
      <c r="R8984" s="21" t="str">
        <f>IFERROR(__xludf.DUMMYFUNCTION("""COMPUTED_VALUE"""),"https://drive.google.com/file/d/1ANOF2fjgL88UgNT0zgEYRWE_ykTYoj7S/view?usp=drivesdk")</f>
        <v>https://drive.google.com/file/d/1ANOF2fjgL88UgNT0zgEYRWE_ykTYoj7S/view?usp=drivesdk</v>
      </c>
    </row>
    <row r="8985">
      <c r="A8985" s="15">
        <f>IFERROR(__xludf.DUMMYFUNCTION("""COMPUTED_VALUE"""),45258.0)</f>
        <v>45258</v>
      </c>
      <c r="B8985" s="16" t="str">
        <f>IFERROR(__xludf.DUMMYFUNCTION("""COMPUTED_VALUE"""),"Duvan Gabriel Alvarez Giron")</f>
        <v>Duvan Gabriel Alvarez Giron</v>
      </c>
      <c r="C8985" s="15" t="str">
        <f>IFERROR(__xludf.DUMMYFUNCTION("""COMPUTED_VALUE"""),"GIRÓN")</f>
        <v>GIRÓN</v>
      </c>
      <c r="D8985" s="15" t="str">
        <f>IFERROR(__xludf.DUMMYFUNCTION("""COMPUTED_VALUE"""),"MEDELLÍN")</f>
        <v>MEDELLÍN</v>
      </c>
      <c r="E8985" s="15" t="str">
        <f>IFERROR(__xludf.DUMMYFUNCTION("""COMPUTED_VALUE"""),"Baby Chef")</f>
        <v>Baby Chef</v>
      </c>
      <c r="F8985" s="17" t="str">
        <f>IFERROR(__xludf.DUMMYFUNCTION("""COMPUTED_VALUE"""),"Carrera 22 C # 64-11  torre 3 apto 503, conjunto colina campestre, barrio carrizal Giron, Santander / . / .")</f>
        <v>Carrera 22 C # 64-11  torre 3 apto 503, conjunto colina campestre, barrio carrizal Giron, Santander / . / .</v>
      </c>
      <c r="G8985" s="15" t="str">
        <f>IFERROR(__xludf.DUMMYFUNCTION("""COMPUTED_VALUE"""),"Johanna Catherine Quintero Solis")</f>
        <v>Johanna Catherine Quintero Solis</v>
      </c>
      <c r="H8985" s="16">
        <f>IFERROR(__xludf.DUMMYFUNCTION("""COMPUTED_VALUE"""),17719.0)</f>
        <v>17719</v>
      </c>
      <c r="I8985" s="18">
        <f>IFERROR(__xludf.DUMMYFUNCTION("""COMPUTED_VALUE"""),9.0)</f>
        <v>9</v>
      </c>
      <c r="J8985" s="18">
        <f>IFERROR(__xludf.DUMMYFUNCTION("""COMPUTED_VALUE"""),23.0)</f>
        <v>23</v>
      </c>
      <c r="K8985" s="18">
        <f>IFERROR(__xludf.DUMMYFUNCTION("""COMPUTED_VALUE"""),38.0)</f>
        <v>38</v>
      </c>
      <c r="L8985" s="17">
        <f>IFERROR(__xludf.DUMMYFUNCTION("""COMPUTED_VALUE"""),3.175064652E9)</f>
        <v>3175064652</v>
      </c>
      <c r="M8985" s="17"/>
      <c r="N8985" s="17"/>
      <c r="O8985" s="17"/>
      <c r="P8985" s="17" t="b">
        <f>IFERROR(__xludf.DUMMYFUNCTION("""COMPUTED_VALUE"""),FALSE)</f>
        <v>0</v>
      </c>
      <c r="Q8985" s="20" t="str">
        <f>IFERROR(__xludf.DUMMYFUNCTION("""COMPUTED_VALUE"""),"")</f>
        <v/>
      </c>
      <c r="R8985" s="21" t="str">
        <f>IFERROR(__xludf.DUMMYFUNCTION("""COMPUTED_VALUE"""),"https://drive.google.com/file/d/1oXEW_lzJStZnQ1JpXtXbd6S5ZA6NXhfs/view?usp=drivesdk")</f>
        <v>https://drive.google.com/file/d/1oXEW_lzJStZnQ1JpXtXbd6S5ZA6NXhfs/view?usp=drivesdk</v>
      </c>
    </row>
    <row r="8986">
      <c r="A8986" s="15">
        <f>IFERROR(__xludf.DUMMYFUNCTION("""COMPUTED_VALUE"""),45258.0)</f>
        <v>45258</v>
      </c>
      <c r="B8986" s="16" t="str">
        <f>IFERROR(__xludf.DUMMYFUNCTION("""COMPUTED_VALUE"""),"Duvan Gabriel Alvarez Giron")</f>
        <v>Duvan Gabriel Alvarez Giron</v>
      </c>
      <c r="C8986" s="15" t="str">
        <f>IFERROR(__xludf.DUMMYFUNCTION("""COMPUTED_VALUE"""),"IBAGUÉ")</f>
        <v>IBAGUÉ</v>
      </c>
      <c r="D8986" s="15" t="str">
        <f>IFERROR(__xludf.DUMMYFUNCTION("""COMPUTED_VALUE"""),"BOGOTÁ")</f>
        <v>BOGOTÁ</v>
      </c>
      <c r="E8986" s="15" t="str">
        <f>IFERROR(__xludf.DUMMYFUNCTION("""COMPUTED_VALUE"""),"Lunchy Kids")</f>
        <v>Lunchy Kids</v>
      </c>
      <c r="F8986" s="17" t="str">
        <f>IFERROR(__xludf.DUMMYFUNCTION("""COMPUTED_VALUE"""),"Calle 3#7a-09  / edificio Apto 104  / Ibagué")</f>
        <v>Calle 3#7a-09  / edificio Apto 104  / Ibagué</v>
      </c>
      <c r="G8986" s="15" t="str">
        <f>IFERROR(__xludf.DUMMYFUNCTION("""COMPUTED_VALUE"""),"Paola Zambrano")</f>
        <v>Paola Zambrano</v>
      </c>
      <c r="H8986" s="16">
        <f>IFERROR(__xludf.DUMMYFUNCTION("""COMPUTED_VALUE"""),17636.0)</f>
        <v>17636</v>
      </c>
      <c r="I8986" s="18">
        <f>IFERROR(__xludf.DUMMYFUNCTION("""COMPUTED_VALUE"""),15.0)</f>
        <v>15</v>
      </c>
      <c r="J8986" s="18">
        <f>IFERROR(__xludf.DUMMYFUNCTION("""COMPUTED_VALUE"""),28.0)</f>
        <v>28</v>
      </c>
      <c r="K8986" s="18">
        <f>IFERROR(__xludf.DUMMYFUNCTION("""COMPUTED_VALUE"""),6.0)</f>
        <v>6</v>
      </c>
      <c r="L8986" s="17">
        <f>IFERROR(__xludf.DUMMYFUNCTION("""COMPUTED_VALUE"""),3.214829663E9)</f>
        <v>3214829663</v>
      </c>
      <c r="M8986" s="17"/>
      <c r="N8986" s="17"/>
      <c r="O8986" s="17"/>
      <c r="P8986" s="17" t="b">
        <f>IFERROR(__xludf.DUMMYFUNCTION("""COMPUTED_VALUE"""),FALSE)</f>
        <v>0</v>
      </c>
      <c r="Q8986" s="20" t="str">
        <f>IFERROR(__xludf.DUMMYFUNCTION("""COMPUTED_VALUE"""),"")</f>
        <v/>
      </c>
      <c r="R8986" s="21" t="str">
        <f>IFERROR(__xludf.DUMMYFUNCTION("""COMPUTED_VALUE"""),"https://drive.google.com/file/d/1A9u72CSehSf-ikWBFdOfCa8Qxgvbx_C3/view?usp=drivesdk")</f>
        <v>https://drive.google.com/file/d/1A9u72CSehSf-ikWBFdOfCa8Qxgvbx_C3/view?usp=drivesdk</v>
      </c>
    </row>
    <row r="8987">
      <c r="A8987" s="17" t="str">
        <f>IFERROR(__xludf.DUMMYFUNCTION("""COMPUTED_VALUE"""),"")</f>
        <v/>
      </c>
      <c r="B8987" s="17" t="str">
        <f>IFERROR(__xludf.DUMMYFUNCTION("""COMPUTED_VALUE"""),"")</f>
        <v/>
      </c>
      <c r="C8987" s="17" t="str">
        <f>IFERROR(__xludf.DUMMYFUNCTION("""COMPUTED_VALUE"""),"")</f>
        <v/>
      </c>
      <c r="D8987" s="17" t="str">
        <f>IFERROR(__xludf.DUMMYFUNCTION("""COMPUTED_VALUE"""),"")</f>
        <v/>
      </c>
      <c r="E8987" s="17" t="str">
        <f>IFERROR(__xludf.DUMMYFUNCTION("""COMPUTED_VALUE"""),"")</f>
        <v/>
      </c>
      <c r="F8987" s="17" t="str">
        <f>IFERROR(__xludf.DUMMYFUNCTION("""COMPUTED_VALUE"""),"")</f>
        <v/>
      </c>
      <c r="G8987" s="17" t="str">
        <f>IFERROR(__xludf.DUMMYFUNCTION("""COMPUTED_VALUE"""),"")</f>
        <v/>
      </c>
      <c r="H8987" s="17" t="str">
        <f>IFERROR(__xludf.DUMMYFUNCTION("""COMPUTED_VALUE"""),"")</f>
        <v/>
      </c>
      <c r="I8987" s="17" t="str">
        <f>IFERROR(__xludf.DUMMYFUNCTION("""COMPUTED_VALUE"""),"")</f>
        <v/>
      </c>
      <c r="J8987" s="17" t="str">
        <f>IFERROR(__xludf.DUMMYFUNCTION("""COMPUTED_VALUE"""),"")</f>
        <v/>
      </c>
      <c r="K8987" s="17" t="str">
        <f>IFERROR(__xludf.DUMMYFUNCTION("""COMPUTED_VALUE"""),"")</f>
        <v/>
      </c>
      <c r="L8987" s="17" t="str">
        <f>IFERROR(__xludf.DUMMYFUNCTION("""COMPUTED_VALUE"""),"")</f>
        <v/>
      </c>
      <c r="M8987" s="17" t="str">
        <f>IFERROR(__xludf.DUMMYFUNCTION("""COMPUTED_VALUE"""),"")</f>
        <v/>
      </c>
      <c r="N8987" s="17" t="str">
        <f>IFERROR(__xludf.DUMMYFUNCTION("""COMPUTED_VALUE"""),"")</f>
        <v/>
      </c>
      <c r="O8987" s="17" t="str">
        <f>IFERROR(__xludf.DUMMYFUNCTION("""COMPUTED_VALUE"""),"")</f>
        <v/>
      </c>
      <c r="P8987" s="17" t="str">
        <f>IFERROR(__xludf.DUMMYFUNCTION("""COMPUTED_VALUE"""),"")</f>
        <v/>
      </c>
      <c r="Q8987" s="17" t="str">
        <f>IFERROR(__xludf.DUMMYFUNCTION("""COMPUTED_VALUE"""),"")</f>
        <v/>
      </c>
      <c r="R8987" s="17" t="str">
        <f>IFERROR(__xludf.DUMMYFUNCTION("""COMPUTED_VALUE"""),"")</f>
        <v/>
      </c>
    </row>
    <row r="8988">
      <c r="A8988" s="15">
        <f>IFERROR(__xludf.DUMMYFUNCTION("""COMPUTED_VALUE"""),45258.0)</f>
        <v>45258</v>
      </c>
      <c r="B8988" s="16" t="str">
        <f>IFERROR(__xludf.DUMMYFUNCTION("""COMPUTED_VALUE"""),"Envia")</f>
        <v>Envia</v>
      </c>
      <c r="C8988" s="15" t="str">
        <f>IFERROR(__xludf.DUMMYFUNCTION("""COMPUTED_VALUE"""),"ARMENIA")</f>
        <v>ARMENIA</v>
      </c>
      <c r="D8988" s="15" t="str">
        <f>IFERROR(__xludf.DUMMYFUNCTION("""COMPUTED_VALUE"""),"MEDELLÍN")</f>
        <v>MEDELLÍN</v>
      </c>
      <c r="E8988" s="15" t="str">
        <f>IFERROR(__xludf.DUMMYFUNCTION("""COMPUTED_VALUE"""),"AREPAS LA MARY")</f>
        <v>AREPAS LA MARY</v>
      </c>
      <c r="F8988" s="17" t="str">
        <f>IFERROR(__xludf.DUMMYFUNCTION("""COMPUTED_VALUE"""),"Calle 23A norte#19-47 Casa 2 / Condominio Casa de campo")</f>
        <v>Calle 23A norte#19-47 Casa 2 / Condominio Casa de campo</v>
      </c>
      <c r="G8988" s="15" t="str">
        <f>IFERROR(__xludf.DUMMYFUNCTION("""COMPUTED_VALUE"""),"SANDRA SALAS")</f>
        <v>SANDRA SALAS</v>
      </c>
      <c r="H8988" s="16">
        <f>IFERROR(__xludf.DUMMYFUNCTION("""COMPUTED_VALUE"""),17727.0)</f>
        <v>17727</v>
      </c>
      <c r="I8988" s="17"/>
      <c r="J8988" s="17"/>
      <c r="K8988" s="17"/>
      <c r="L8988" s="17"/>
      <c r="M8988" s="17"/>
      <c r="N8988" s="17"/>
      <c r="O8988" s="17"/>
      <c r="P8988" s="17" t="b">
        <f>IFERROR(__xludf.DUMMYFUNCTION("""COMPUTED_VALUE"""),FALSE)</f>
        <v>0</v>
      </c>
      <c r="Q8988" s="20" t="str">
        <f>IFERROR(__xludf.DUMMYFUNCTION("""COMPUTED_VALUE"""),"")</f>
        <v/>
      </c>
      <c r="R8988" s="22" t="str">
        <f>IFERROR(__xludf.DUMMYFUNCTION("""COMPUTED_VALUE"""),"")</f>
        <v/>
      </c>
    </row>
    <row r="8989">
      <c r="A8989" s="15">
        <f>IFERROR(__xludf.DUMMYFUNCTION("""COMPUTED_VALUE"""),45258.0)</f>
        <v>45258</v>
      </c>
      <c r="B8989" s="16" t="str">
        <f>IFERROR(__xludf.DUMMYFUNCTION("""COMPUTED_VALUE"""),"Envia")</f>
        <v>Envia</v>
      </c>
      <c r="C8989" s="15" t="str">
        <f>IFERROR(__xludf.DUMMYFUNCTION("""COMPUTED_VALUE"""),"CALI")</f>
        <v>CALI</v>
      </c>
      <c r="D8989" s="15" t="str">
        <f>IFERROR(__xludf.DUMMYFUNCTION("""COMPUTED_VALUE"""),"BOGOTÁ")</f>
        <v>BOGOTÁ</v>
      </c>
      <c r="E8989" s="15" t="str">
        <f>IFERROR(__xludf.DUMMYFUNCTION("""COMPUTED_VALUE"""),"Top Spun")</f>
        <v>Top Spun</v>
      </c>
      <c r="F8989" s="17" t="str">
        <f>IFERROR(__xludf.DUMMYFUNCTION("""COMPUTED_VALUE"""),"carrera 85c#13a-120 / unidad villas del ingenio  / casa 14")</f>
        <v>carrera 85c#13a-120 / unidad villas del ingenio  / casa 14</v>
      </c>
      <c r="G8989" s="15" t="str">
        <f>IFERROR(__xludf.DUMMYFUNCTION("""COMPUTED_VALUE"""),"Katherine Avila")</f>
        <v>Katherine Avila</v>
      </c>
      <c r="H8989" s="16">
        <f>IFERROR(__xludf.DUMMYFUNCTION("""COMPUTED_VALUE"""),17633.0)</f>
        <v>17633</v>
      </c>
      <c r="I8989" s="18">
        <f>IFERROR(__xludf.DUMMYFUNCTION("""COMPUTED_VALUE"""),20.0)</f>
        <v>20</v>
      </c>
      <c r="J8989" s="18">
        <f>IFERROR(__xludf.DUMMYFUNCTION("""COMPUTED_VALUE"""),10.0)</f>
        <v>10</v>
      </c>
      <c r="K8989" s="18">
        <f>IFERROR(__xludf.DUMMYFUNCTION("""COMPUTED_VALUE"""),40.0)</f>
        <v>40</v>
      </c>
      <c r="L8989" s="17">
        <f>IFERROR(__xludf.DUMMYFUNCTION("""COMPUTED_VALUE"""),3.183904278E9)</f>
        <v>3183904278</v>
      </c>
      <c r="M8989" s="17"/>
      <c r="N8989" s="17"/>
      <c r="O8989" s="17"/>
      <c r="P8989" s="17" t="b">
        <f>IFERROR(__xludf.DUMMYFUNCTION("""COMPUTED_VALUE"""),FALSE)</f>
        <v>0</v>
      </c>
      <c r="Q8989" s="20" t="str">
        <f>IFERROR(__xludf.DUMMYFUNCTION("""COMPUTED_VALUE"""),"")</f>
        <v/>
      </c>
      <c r="R8989" s="21" t="str">
        <f>IFERROR(__xludf.DUMMYFUNCTION("""COMPUTED_VALUE"""),"https://drive.google.com/file/d/1I1dbY3_F9AXx5bEODWGdNUYyJMnKOzph/view?usp=drivesdk")</f>
        <v>https://drive.google.com/file/d/1I1dbY3_F9AXx5bEODWGdNUYyJMnKOzph/view?usp=drivesdk</v>
      </c>
    </row>
    <row r="8990">
      <c r="A8990" s="15">
        <f>IFERROR(__xludf.DUMMYFUNCTION("""COMPUTED_VALUE"""),45258.0)</f>
        <v>45258</v>
      </c>
      <c r="B8990" s="16" t="str">
        <f>IFERROR(__xludf.DUMMYFUNCTION("""COMPUTED_VALUE"""),"Envia")</f>
        <v>Envia</v>
      </c>
      <c r="C8990" s="15" t="str">
        <f>IFERROR(__xludf.DUMMYFUNCTION("""COMPUTED_VALUE"""),"IBAGUÉ")</f>
        <v>IBAGUÉ</v>
      </c>
      <c r="D8990" s="15" t="str">
        <f>IFERROR(__xludf.DUMMYFUNCTION("""COMPUTED_VALUE"""),"BOGOTÁ")</f>
        <v>BOGOTÁ</v>
      </c>
      <c r="E8990" s="15" t="str">
        <f>IFERROR(__xludf.DUMMYFUNCTION("""COMPUTED_VALUE"""),"LINA PAOLA RAMIREZ GOMEZ - EVA MAZZITA")</f>
        <v>LINA PAOLA RAMIREZ GOMEZ - EVA MAZZITA</v>
      </c>
      <c r="F8990" s="17" t="str">
        <f>IFERROR(__xludf.DUMMYFUNCTION("""COMPUTED_VALUE"""),"Biventti del vergel/torre norte apto 901 / Biventti del vergel/torre norte apto 901")</f>
        <v>Biventti del vergel/torre norte apto 901 / Biventti del vergel/torre norte apto 901</v>
      </c>
      <c r="G8990" s="15" t="str">
        <f>IFERROR(__xludf.DUMMYFUNCTION("""COMPUTED_VALUE"""),"NICOLLE SAENZ")</f>
        <v>NICOLLE SAENZ</v>
      </c>
      <c r="H8990" s="16">
        <f>IFERROR(__xludf.DUMMYFUNCTION("""COMPUTED_VALUE"""),17710.0)</f>
        <v>17710</v>
      </c>
      <c r="I8990" s="17"/>
      <c r="J8990" s="17"/>
      <c r="K8990" s="17"/>
      <c r="L8990" s="17">
        <f>IFERROR(__xludf.DUMMYFUNCTION("""COMPUTED_VALUE"""),3.507744766E9)</f>
        <v>3507744766</v>
      </c>
      <c r="M8990" s="17"/>
      <c r="N8990" s="17"/>
      <c r="O8990" s="17"/>
      <c r="P8990" s="17" t="b">
        <f>IFERROR(__xludf.DUMMYFUNCTION("""COMPUTED_VALUE"""),FALSE)</f>
        <v>0</v>
      </c>
      <c r="Q8990" s="20" t="str">
        <f>IFERROR(__xludf.DUMMYFUNCTION("""COMPUTED_VALUE"""),"")</f>
        <v/>
      </c>
      <c r="R8990" s="21" t="str">
        <f>IFERROR(__xludf.DUMMYFUNCTION("""COMPUTED_VALUE"""),"https://drive.google.com/file/d/1CLjJznZnY2xq9Phxc9YpKEOV3khFtzro/view?usp=drivesdk")</f>
        <v>https://drive.google.com/file/d/1CLjJznZnY2xq9Phxc9YpKEOV3khFtzro/view?usp=drivesdk</v>
      </c>
    </row>
    <row r="8991">
      <c r="A8991" s="15">
        <f>IFERROR(__xludf.DUMMYFUNCTION("""COMPUTED_VALUE"""),45258.0)</f>
        <v>45258</v>
      </c>
      <c r="B8991" s="16" t="str">
        <f>IFERROR(__xludf.DUMMYFUNCTION("""COMPUTED_VALUE"""),"Envia")</f>
        <v>Envia</v>
      </c>
      <c r="C8991" s="15" t="str">
        <f>IFERROR(__xludf.DUMMYFUNCTION("""COMPUTED_VALUE"""),"IBAGUÉ")</f>
        <v>IBAGUÉ</v>
      </c>
      <c r="D8991" s="15" t="str">
        <f>IFERROR(__xludf.DUMMYFUNCTION("""COMPUTED_VALUE"""),"BOGOTÁ")</f>
        <v>BOGOTÁ</v>
      </c>
      <c r="E8991" s="15" t="str">
        <f>IFERROR(__xludf.DUMMYFUNCTION("""COMPUTED_VALUE"""),"Premium Choice")</f>
        <v>Premium Choice</v>
      </c>
      <c r="F8991" s="17" t="str">
        <f>IFERROR(__xludf.DUMMYFUNCTION("""COMPUTED_VALUE"""),"Carrera 1 # 45 - 50  / Hotel  / Ibague")</f>
        <v>Carrera 1 # 45 - 50  / Hotel  / Ibague</v>
      </c>
      <c r="G8991" s="15" t="str">
        <f>IFERROR(__xludf.DUMMYFUNCTION("""COMPUTED_VALUE"""),"Hoteles estelar Ibague")</f>
        <v>Hoteles estelar Ibague</v>
      </c>
      <c r="H8991" s="16">
        <f>IFERROR(__xludf.DUMMYFUNCTION("""COMPUTED_VALUE"""),17678.0)</f>
        <v>17678</v>
      </c>
      <c r="I8991" s="18">
        <f>IFERROR(__xludf.DUMMYFUNCTION("""COMPUTED_VALUE"""),10.0)</f>
        <v>10</v>
      </c>
      <c r="J8991" s="18">
        <f>IFERROR(__xludf.DUMMYFUNCTION("""COMPUTED_VALUE"""),16.0)</f>
        <v>16</v>
      </c>
      <c r="K8991" s="18">
        <f>IFERROR(__xludf.DUMMYFUNCTION("""COMPUTED_VALUE"""),25.0)</f>
        <v>25</v>
      </c>
      <c r="L8991" s="17">
        <f>IFERROR(__xludf.DUMMYFUNCTION("""COMPUTED_VALUE"""),3.102170999E9)</f>
        <v>3102170999</v>
      </c>
      <c r="M8991" s="17"/>
      <c r="N8991" s="17"/>
      <c r="O8991" s="17"/>
      <c r="P8991" s="17" t="b">
        <f>IFERROR(__xludf.DUMMYFUNCTION("""COMPUTED_VALUE"""),FALSE)</f>
        <v>0</v>
      </c>
      <c r="Q8991" s="20" t="str">
        <f>IFERROR(__xludf.DUMMYFUNCTION("""COMPUTED_VALUE"""),"")</f>
        <v/>
      </c>
      <c r="R8991" s="21" t="str">
        <f>IFERROR(__xludf.DUMMYFUNCTION("""COMPUTED_VALUE"""),"https://drive.google.com/file/d/1KeJqqjEGug3cKVPpTprI7YLJoC7pIQpI/view?usp=drivesdk")</f>
        <v>https://drive.google.com/file/d/1KeJqqjEGug3cKVPpTprI7YLJoC7pIQpI/view?usp=drivesdk</v>
      </c>
    </row>
    <row r="8992">
      <c r="A8992" s="15">
        <f>IFERROR(__xludf.DUMMYFUNCTION("""COMPUTED_VALUE"""),45258.0)</f>
        <v>45258</v>
      </c>
      <c r="B8992" s="16" t="str">
        <f>IFERROR(__xludf.DUMMYFUNCTION("""COMPUTED_VALUE"""),"Envia")</f>
        <v>Envia</v>
      </c>
      <c r="C8992" s="15" t="str">
        <f>IFERROR(__xludf.DUMMYFUNCTION("""COMPUTED_VALUE"""),"ITAGÜI")</f>
        <v>ITAGÜI</v>
      </c>
      <c r="D8992" s="15" t="str">
        <f>IFERROR(__xludf.DUMMYFUNCTION("""COMPUTED_VALUE"""),"BOGOTÁ")</f>
        <v>BOGOTÁ</v>
      </c>
      <c r="E8992" s="15" t="str">
        <f>IFERROR(__xludf.DUMMYFUNCTION("""COMPUTED_VALUE"""),"LINA PAOLA RAMIREZ GOMEZ - EVA MAZZITA")</f>
        <v>LINA PAOLA RAMIREZ GOMEZ - EVA MAZZITA</v>
      </c>
      <c r="F8992" s="17" t="str">
        <f>IFERROR(__xludf.DUMMYFUNCTION("""COMPUTED_VALUE"""),"Cra 58 #77-50 / Urb Laureles del sur. TORRE 3 APTO. 807")</f>
        <v>Cra 58 #77-50 / Urb Laureles del sur. TORRE 3 APTO. 807</v>
      </c>
      <c r="G8992" s="15" t="str">
        <f>IFERROR(__xludf.DUMMYFUNCTION("""COMPUTED_VALUE"""),"EVERLYN RIVERA")</f>
        <v>EVERLYN RIVERA</v>
      </c>
      <c r="H8992" s="16">
        <f>IFERROR(__xludf.DUMMYFUNCTION("""COMPUTED_VALUE"""),17692.0)</f>
        <v>17692</v>
      </c>
      <c r="I8992" s="17"/>
      <c r="J8992" s="17"/>
      <c r="K8992" s="17"/>
      <c r="L8992" s="17">
        <f>IFERROR(__xludf.DUMMYFUNCTION("""COMPUTED_VALUE"""),3.208249871E9)</f>
        <v>3208249871</v>
      </c>
      <c r="M8992" s="17"/>
      <c r="N8992" s="17"/>
      <c r="O8992" s="17"/>
      <c r="P8992" s="17" t="b">
        <f>IFERROR(__xludf.DUMMYFUNCTION("""COMPUTED_VALUE"""),FALSE)</f>
        <v>0</v>
      </c>
      <c r="Q8992" s="20" t="str">
        <f>IFERROR(__xludf.DUMMYFUNCTION("""COMPUTED_VALUE"""),"")</f>
        <v/>
      </c>
      <c r="R8992" s="21" t="str">
        <f>IFERROR(__xludf.DUMMYFUNCTION("""COMPUTED_VALUE"""),"https://drive.google.com/file/d/1FyE6e0DHNqbHiiC0_6sxH5IgyMB8aca1/view?usp=drivesdk")</f>
        <v>https://drive.google.com/file/d/1FyE6e0DHNqbHiiC0_6sxH5IgyMB8aca1/view?usp=drivesdk</v>
      </c>
    </row>
    <row r="8993">
      <c r="A8993" s="15">
        <f>IFERROR(__xludf.DUMMYFUNCTION("""COMPUTED_VALUE"""),45258.0)</f>
        <v>45258</v>
      </c>
      <c r="B8993" s="16" t="str">
        <f>IFERROR(__xludf.DUMMYFUNCTION("""COMPUTED_VALUE"""),"Envia")</f>
        <v>Envia</v>
      </c>
      <c r="C8993" s="15" t="str">
        <f>IFERROR(__xludf.DUMMYFUNCTION("""COMPUTED_VALUE"""),"MANIZALES")</f>
        <v>MANIZALES</v>
      </c>
      <c r="D8993" s="15" t="str">
        <f>IFERROR(__xludf.DUMMYFUNCTION("""COMPUTED_VALUE"""),"BOGOTÁ")</f>
        <v>BOGOTÁ</v>
      </c>
      <c r="E8993" s="15" t="str">
        <f>IFERROR(__xludf.DUMMYFUNCTION("""COMPUTED_VALUE"""),"Top Spun")</f>
        <v>Top Spun</v>
      </c>
      <c r="F8993" s="17" t="str">
        <f>IFERROR(__xludf.DUMMYFUNCTION("""COMPUTED_VALUE"""),"Cl 66 23b 211 / Edificio calle larga  / apto 606")</f>
        <v>Cl 66 23b 211 / Edificio calle larga  / apto 606</v>
      </c>
      <c r="G8993" s="15" t="str">
        <f>IFERROR(__xludf.DUMMYFUNCTION("""COMPUTED_VALUE"""),"Diana Patricia Cifuentes")</f>
        <v>Diana Patricia Cifuentes</v>
      </c>
      <c r="H8993" s="16">
        <f>IFERROR(__xludf.DUMMYFUNCTION("""COMPUTED_VALUE"""),17631.0)</f>
        <v>17631</v>
      </c>
      <c r="I8993" s="18">
        <f>IFERROR(__xludf.DUMMYFUNCTION("""COMPUTED_VALUE"""),20.0)</f>
        <v>20</v>
      </c>
      <c r="J8993" s="18">
        <f>IFERROR(__xludf.DUMMYFUNCTION("""COMPUTED_VALUE"""),10.0)</f>
        <v>10</v>
      </c>
      <c r="K8993" s="18">
        <f>IFERROR(__xludf.DUMMYFUNCTION("""COMPUTED_VALUE"""),40.0)</f>
        <v>40</v>
      </c>
      <c r="L8993" s="17">
        <f>IFERROR(__xludf.DUMMYFUNCTION("""COMPUTED_VALUE"""),3.156459832E9)</f>
        <v>3156459832</v>
      </c>
      <c r="M8993" s="17"/>
      <c r="N8993" s="17"/>
      <c r="O8993" s="17"/>
      <c r="P8993" s="17" t="b">
        <f>IFERROR(__xludf.DUMMYFUNCTION("""COMPUTED_VALUE"""),FALSE)</f>
        <v>0</v>
      </c>
      <c r="Q8993" s="20" t="str">
        <f>IFERROR(__xludf.DUMMYFUNCTION("""COMPUTED_VALUE"""),"")</f>
        <v/>
      </c>
      <c r="R8993" s="21" t="str">
        <f>IFERROR(__xludf.DUMMYFUNCTION("""COMPUTED_VALUE"""),"https://drive.google.com/file/d/1rD2prmd5WCqIe9_WFT_SS6RiLBoaQrOw/view?usp=drivesdk")</f>
        <v>https://drive.google.com/file/d/1rD2prmd5WCqIe9_WFT_SS6RiLBoaQrOw/view?usp=drivesdk</v>
      </c>
    </row>
    <row r="8994">
      <c r="A8994" s="15">
        <f>IFERROR(__xludf.DUMMYFUNCTION("""COMPUTED_VALUE"""),45258.0)</f>
        <v>45258</v>
      </c>
      <c r="B8994" s="16" t="str">
        <f>IFERROR(__xludf.DUMMYFUNCTION("""COMPUTED_VALUE"""),"Envia")</f>
        <v>Envia</v>
      </c>
      <c r="C8994" s="15" t="str">
        <f>IFERROR(__xludf.DUMMYFUNCTION("""COMPUTED_VALUE"""),"MANIZALES")</f>
        <v>MANIZALES</v>
      </c>
      <c r="D8994" s="15" t="str">
        <f>IFERROR(__xludf.DUMMYFUNCTION("""COMPUTED_VALUE"""),"BOGOTÁ")</f>
        <v>BOGOTÁ</v>
      </c>
      <c r="E8994" s="15" t="str">
        <f>IFERROR(__xludf.DUMMYFUNCTION("""COMPUTED_VALUE"""),"Vtopia")</f>
        <v>Vtopia</v>
      </c>
      <c r="F8994" s="17" t="str">
        <f>IFERROR(__xludf.DUMMYFUNCTION("""COMPUTED_VALUE"""),"Calle 68#29A-17 / Casa / Barrio Palermo")</f>
        <v>Calle 68#29A-17 / Casa / Barrio Palermo</v>
      </c>
      <c r="G8994" s="15" t="str">
        <f>IFERROR(__xludf.DUMMYFUNCTION("""COMPUTED_VALUE"""),"Erika María Pinilla Montes")</f>
        <v>Erika María Pinilla Montes</v>
      </c>
      <c r="H8994" s="16">
        <f>IFERROR(__xludf.DUMMYFUNCTION("""COMPUTED_VALUE"""),17637.0)</f>
        <v>17637</v>
      </c>
      <c r="I8994" s="18">
        <f>IFERROR(__xludf.DUMMYFUNCTION("""COMPUTED_VALUE"""),23.0)</f>
        <v>23</v>
      </c>
      <c r="J8994" s="18">
        <f>IFERROR(__xludf.DUMMYFUNCTION("""COMPUTED_VALUE"""),12.0)</f>
        <v>12</v>
      </c>
      <c r="K8994" s="18">
        <f>IFERROR(__xludf.DUMMYFUNCTION("""COMPUTED_VALUE"""),12.0)</f>
        <v>12</v>
      </c>
      <c r="L8994" s="17">
        <f>IFERROR(__xludf.DUMMYFUNCTION("""COMPUTED_VALUE"""),3.122033076E9)</f>
        <v>3122033076</v>
      </c>
      <c r="M8994" s="17"/>
      <c r="N8994" s="17"/>
      <c r="O8994" s="17"/>
      <c r="P8994" s="17" t="b">
        <f>IFERROR(__xludf.DUMMYFUNCTION("""COMPUTED_VALUE"""),FALSE)</f>
        <v>0</v>
      </c>
      <c r="Q8994" s="20" t="str">
        <f>IFERROR(__xludf.DUMMYFUNCTION("""COMPUTED_VALUE"""),"")</f>
        <v/>
      </c>
      <c r="R8994" s="21" t="str">
        <f>IFERROR(__xludf.DUMMYFUNCTION("""COMPUTED_VALUE"""),"https://drive.google.com/file/d/1pCTGd9sXVOYOIZSzkRSxHnz6tEhYlHnB/view?usp=drivesdk")</f>
        <v>https://drive.google.com/file/d/1pCTGd9sXVOYOIZSzkRSxHnz6tEhYlHnB/view?usp=drivesdk</v>
      </c>
    </row>
    <row r="8995">
      <c r="A8995" s="15">
        <f>IFERROR(__xludf.DUMMYFUNCTION("""COMPUTED_VALUE"""),45258.0)</f>
        <v>45258</v>
      </c>
      <c r="B8995" s="16" t="str">
        <f>IFERROR(__xludf.DUMMYFUNCTION("""COMPUTED_VALUE"""),"Envia")</f>
        <v>Envia</v>
      </c>
      <c r="C8995" s="15" t="str">
        <f>IFERROR(__xludf.DUMMYFUNCTION("""COMPUTED_VALUE"""),"MEDELLÍN")</f>
        <v>MEDELLÍN</v>
      </c>
      <c r="D8995" s="15" t="str">
        <f>IFERROR(__xludf.DUMMYFUNCTION("""COMPUTED_VALUE"""),"BOGOTÁ")</f>
        <v>BOGOTÁ</v>
      </c>
      <c r="E8995" s="15" t="str">
        <f>IFERROR(__xludf.DUMMYFUNCTION("""COMPUTED_VALUE"""),"Asociacion Agropecuaria Juana Maria")</f>
        <v>Asociacion Agropecuaria Juana Maria</v>
      </c>
      <c r="F8995" s="17" t="str">
        <f>IFERROR(__xludf.DUMMYFUNCTION("""COMPUTED_VALUE"""),"Cra 82C # 30A-100 / apto 1202 urbanizacion Torres de Vicuña Belen los Alpes")</f>
        <v>Cra 82C # 30A-100 / apto 1202 urbanizacion Torres de Vicuña Belen los Alpes</v>
      </c>
      <c r="G8995" s="15" t="str">
        <f>IFERROR(__xludf.DUMMYFUNCTION("""COMPUTED_VALUE"""),"Gloria Moreno")</f>
        <v>Gloria Moreno</v>
      </c>
      <c r="H8995" s="16">
        <f>IFERROR(__xludf.DUMMYFUNCTION("""COMPUTED_VALUE"""),17643.0)</f>
        <v>17643</v>
      </c>
      <c r="I8995" s="17"/>
      <c r="J8995" s="17"/>
      <c r="K8995" s="17"/>
      <c r="L8995" s="17">
        <f>IFERROR(__xludf.DUMMYFUNCTION("""COMPUTED_VALUE"""),3.162544201E9)</f>
        <v>3162544201</v>
      </c>
      <c r="M8995" s="17"/>
      <c r="N8995" s="17"/>
      <c r="O8995" s="17"/>
      <c r="P8995" s="17" t="b">
        <f>IFERROR(__xludf.DUMMYFUNCTION("""COMPUTED_VALUE"""),FALSE)</f>
        <v>0</v>
      </c>
      <c r="Q8995" s="20" t="str">
        <f>IFERROR(__xludf.DUMMYFUNCTION("""COMPUTED_VALUE"""),"")</f>
        <v/>
      </c>
      <c r="R8995" s="21" t="str">
        <f>IFERROR(__xludf.DUMMYFUNCTION("""COMPUTED_VALUE"""),"https://drive.google.com/file/d/1MlhX_pdZgIT6XGAeks9NXPNEcZ14thJx/view?usp=drivesdk")</f>
        <v>https://drive.google.com/file/d/1MlhX_pdZgIT6XGAeks9NXPNEcZ14thJx/view?usp=drivesdk</v>
      </c>
    </row>
    <row r="8996">
      <c r="A8996" s="15">
        <f>IFERROR(__xludf.DUMMYFUNCTION("""COMPUTED_VALUE"""),45258.0)</f>
        <v>45258</v>
      </c>
      <c r="B8996" s="16" t="str">
        <f>IFERROR(__xludf.DUMMYFUNCTION("""COMPUTED_VALUE"""),"Envia")</f>
        <v>Envia</v>
      </c>
      <c r="C8996" s="15" t="str">
        <f>IFERROR(__xludf.DUMMYFUNCTION("""COMPUTED_VALUE"""),"MEDELLÍN")</f>
        <v>MEDELLÍN</v>
      </c>
      <c r="D8996" s="15" t="str">
        <f>IFERROR(__xludf.DUMMYFUNCTION("""COMPUTED_VALUE"""),"BOGOTÁ")</f>
        <v>BOGOTÁ</v>
      </c>
      <c r="E8996" s="15" t="str">
        <f>IFERROR(__xludf.DUMMYFUNCTION("""COMPUTED_VALUE"""),"Instinto alimento vital")</f>
        <v>Instinto alimento vital</v>
      </c>
      <c r="F8996" s="17" t="str">
        <f>IFERROR(__xludf.DUMMYFUNCTION("""COMPUTED_VALUE"""),"Calle 45 # 79-26 / Dos cuadras abajo de la Lázaro de la América")</f>
        <v>Calle 45 # 79-26 / Dos cuadras abajo de la Lázaro de la América</v>
      </c>
      <c r="G8996" s="15" t="str">
        <f>IFERROR(__xludf.DUMMYFUNCTION("""COMPUTED_VALUE"""),"MADO EXPRESS // JAIME ANDRES BLANDON LOPEZ,")</f>
        <v>MADO EXPRESS // JAIME ANDRES BLANDON LOPEZ,</v>
      </c>
      <c r="H8996" s="16">
        <f>IFERROR(__xludf.DUMMYFUNCTION("""COMPUTED_VALUE"""),17638.0)</f>
        <v>17638</v>
      </c>
      <c r="I8996" s="17"/>
      <c r="J8996" s="17"/>
      <c r="K8996" s="17"/>
      <c r="L8996" s="17">
        <f>IFERROR(__xludf.DUMMYFUNCTION("""COMPUTED_VALUE"""),3.002842264E9)</f>
        <v>3002842264</v>
      </c>
      <c r="M8996" s="17"/>
      <c r="N8996" s="17"/>
      <c r="O8996" s="17"/>
      <c r="P8996" s="17" t="b">
        <f>IFERROR(__xludf.DUMMYFUNCTION("""COMPUTED_VALUE"""),FALSE)</f>
        <v>0</v>
      </c>
      <c r="Q8996" s="20" t="str">
        <f>IFERROR(__xludf.DUMMYFUNCTION("""COMPUTED_VALUE"""),"")</f>
        <v/>
      </c>
      <c r="R8996" s="21" t="str">
        <f>IFERROR(__xludf.DUMMYFUNCTION("""COMPUTED_VALUE"""),"https://drive.google.com/file/d/13AJIfEdeLIskJ-c5Xu__RDT87CLxG719/view?usp=drivesdk")</f>
        <v>https://drive.google.com/file/d/13AJIfEdeLIskJ-c5Xu__RDT87CLxG719/view?usp=drivesdk</v>
      </c>
    </row>
    <row r="8997">
      <c r="A8997" s="15">
        <f>IFERROR(__xludf.DUMMYFUNCTION("""COMPUTED_VALUE"""),45258.0)</f>
        <v>45258</v>
      </c>
      <c r="B8997" s="16" t="str">
        <f>IFERROR(__xludf.DUMMYFUNCTION("""COMPUTED_VALUE"""),"Envia")</f>
        <v>Envia</v>
      </c>
      <c r="C8997" s="15" t="str">
        <f>IFERROR(__xludf.DUMMYFUNCTION("""COMPUTED_VALUE"""),"MEDELLÍN")</f>
        <v>MEDELLÍN</v>
      </c>
      <c r="D8997" s="15" t="str">
        <f>IFERROR(__xludf.DUMMYFUNCTION("""COMPUTED_VALUE"""),"BOGOTÁ")</f>
        <v>BOGOTÁ</v>
      </c>
      <c r="E8997" s="15" t="str">
        <f>IFERROR(__xludf.DUMMYFUNCTION("""COMPUTED_VALUE"""),"LINA PAOLA RAMIREZ GOMEZ - EVA MAZZITA")</f>
        <v>LINA PAOLA RAMIREZ GOMEZ - EVA MAZZITA</v>
      </c>
      <c r="F8997" s="17" t="str">
        <f>IFERROR(__xludf.DUMMYFUNCTION("""COMPUTED_VALUE"""),"Calle 14 #75-13 / Apto 712- Bosques de San Bernardo")</f>
        <v>Calle 14 #75-13 / Apto 712- Bosques de San Bernardo</v>
      </c>
      <c r="G8997" s="15" t="str">
        <f>IFERROR(__xludf.DUMMYFUNCTION("""COMPUTED_VALUE"""),"ELIANA MILENA GARCIA GOMEZ")</f>
        <v>ELIANA MILENA GARCIA GOMEZ</v>
      </c>
      <c r="H8997" s="16">
        <f>IFERROR(__xludf.DUMMYFUNCTION("""COMPUTED_VALUE"""),17693.0)</f>
        <v>17693</v>
      </c>
      <c r="I8997" s="17"/>
      <c r="J8997" s="17"/>
      <c r="K8997" s="17"/>
      <c r="L8997" s="17">
        <f>IFERROR(__xludf.DUMMYFUNCTION("""COMPUTED_VALUE"""),3.206743244E9)</f>
        <v>3206743244</v>
      </c>
      <c r="M8997" s="17"/>
      <c r="N8997" s="17"/>
      <c r="O8997" s="17"/>
      <c r="P8997" s="17" t="b">
        <f>IFERROR(__xludf.DUMMYFUNCTION("""COMPUTED_VALUE"""),FALSE)</f>
        <v>0</v>
      </c>
      <c r="Q8997" s="20" t="str">
        <f>IFERROR(__xludf.DUMMYFUNCTION("""COMPUTED_VALUE"""),"")</f>
        <v/>
      </c>
      <c r="R8997" s="21" t="str">
        <f>IFERROR(__xludf.DUMMYFUNCTION("""COMPUTED_VALUE"""),"https://drive.google.com/file/d/1l9Pn5hEeoL9VkVl_dWxrpJs9g1oY-8Fx/view?usp=drivesdk")</f>
        <v>https://drive.google.com/file/d/1l9Pn5hEeoL9VkVl_dWxrpJs9g1oY-8Fx/view?usp=drivesdk</v>
      </c>
    </row>
    <row r="8998">
      <c r="A8998" s="15">
        <f>IFERROR(__xludf.DUMMYFUNCTION("""COMPUTED_VALUE"""),45258.0)</f>
        <v>45258</v>
      </c>
      <c r="B8998" s="16" t="str">
        <f>IFERROR(__xludf.DUMMYFUNCTION("""COMPUTED_VALUE"""),"Envia")</f>
        <v>Envia</v>
      </c>
      <c r="C8998" s="15" t="str">
        <f>IFERROR(__xludf.DUMMYFUNCTION("""COMPUTED_VALUE"""),"MEDELLÍN")</f>
        <v>MEDELLÍN</v>
      </c>
      <c r="D8998" s="15" t="str">
        <f>IFERROR(__xludf.DUMMYFUNCTION("""COMPUTED_VALUE"""),"BOGOTÁ")</f>
        <v>BOGOTÁ</v>
      </c>
      <c r="E8998" s="15" t="str">
        <f>IFERROR(__xludf.DUMMYFUNCTION("""COMPUTED_VALUE"""),"Lunchy Kids")</f>
        <v>Lunchy Kids</v>
      </c>
      <c r="F8998" s="17" t="str">
        <f>IFERROR(__xludf.DUMMYFUNCTION("""COMPUTED_VALUE"""),"Avenida 26 # 52-140  / Unidad Roterdam.  Torre 1. Apto 702 / Bello")</f>
        <v>Avenida 26 # 52-140  / Unidad Roterdam.  Torre 1. Apto 702 / Bello</v>
      </c>
      <c r="G8998" s="15" t="str">
        <f>IFERROR(__xludf.DUMMYFUNCTION("""COMPUTED_VALUE"""),"Alejandra Jiménez González")</f>
        <v>Alejandra Jiménez González</v>
      </c>
      <c r="H8998" s="16">
        <f>IFERROR(__xludf.DUMMYFUNCTION("""COMPUTED_VALUE"""),17683.0)</f>
        <v>17683</v>
      </c>
      <c r="I8998" s="18">
        <f>IFERROR(__xludf.DUMMYFUNCTION("""COMPUTED_VALUE"""),10.0)</f>
        <v>10</v>
      </c>
      <c r="J8998" s="18">
        <f>IFERROR(__xludf.DUMMYFUNCTION("""COMPUTED_VALUE"""),21.0)</f>
        <v>21</v>
      </c>
      <c r="K8998" s="18">
        <f>IFERROR(__xludf.DUMMYFUNCTION("""COMPUTED_VALUE"""),10.0)</f>
        <v>10</v>
      </c>
      <c r="L8998" s="17">
        <f>IFERROR(__xludf.DUMMYFUNCTION("""COMPUTED_VALUE"""),3.136735104E9)</f>
        <v>3136735104</v>
      </c>
      <c r="M8998" s="17"/>
      <c r="N8998" s="17"/>
      <c r="O8998" s="17"/>
      <c r="P8998" s="17" t="b">
        <f>IFERROR(__xludf.DUMMYFUNCTION("""COMPUTED_VALUE"""),FALSE)</f>
        <v>0</v>
      </c>
      <c r="Q8998" s="20" t="str">
        <f>IFERROR(__xludf.DUMMYFUNCTION("""COMPUTED_VALUE"""),"")</f>
        <v/>
      </c>
      <c r="R8998" s="21" t="str">
        <f>IFERROR(__xludf.DUMMYFUNCTION("""COMPUTED_VALUE"""),"https://drive.google.com/file/d/1EEU0tWnzdo5MXnNBAfJVYmOmlO7vkeHY/view?usp=drivesdk")</f>
        <v>https://drive.google.com/file/d/1EEU0tWnzdo5MXnNBAfJVYmOmlO7vkeHY/view?usp=drivesdk</v>
      </c>
    </row>
    <row r="8999">
      <c r="A8999" s="15">
        <f>IFERROR(__xludf.DUMMYFUNCTION("""COMPUTED_VALUE"""),45258.0)</f>
        <v>45258</v>
      </c>
      <c r="B8999" s="16" t="str">
        <f>IFERROR(__xludf.DUMMYFUNCTION("""COMPUTED_VALUE"""),"Envia")</f>
        <v>Envia</v>
      </c>
      <c r="C8999" s="15" t="str">
        <f>IFERROR(__xludf.DUMMYFUNCTION("""COMPUTED_VALUE"""),"MEDELLÍN")</f>
        <v>MEDELLÍN</v>
      </c>
      <c r="D8999" s="15" t="str">
        <f>IFERROR(__xludf.DUMMYFUNCTION("""COMPUTED_VALUE"""),"BOGOTÁ")</f>
        <v>BOGOTÁ</v>
      </c>
      <c r="E8999" s="15" t="str">
        <f>IFERROR(__xludf.DUMMYFUNCTION("""COMPUTED_VALUE"""),"MAI ALIMENTOS REALES")</f>
        <v>MAI ALIMENTOS REALES</v>
      </c>
      <c r="F8999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8999" s="15" t="str">
        <f>IFERROR(__xludf.DUMMYFUNCTION("""COMPUTED_VALUE"""),"Novaventas")</f>
        <v>Novaventas</v>
      </c>
      <c r="H8999" s="16">
        <f>IFERROR(__xludf.DUMMYFUNCTION("""COMPUTED_VALUE"""),17616.0)</f>
        <v>17616</v>
      </c>
      <c r="I8999" s="17"/>
      <c r="J8999" s="17"/>
      <c r="K8999" s="17"/>
      <c r="L8999" s="17">
        <f>IFERROR(__xludf.DUMMYFUNCTION("""COMPUTED_VALUE"""),3.187351593E9)</f>
        <v>3187351593</v>
      </c>
      <c r="M8999" s="17"/>
      <c r="N8999" s="17"/>
      <c r="O8999" s="17"/>
      <c r="P8999" s="17" t="b">
        <f>IFERROR(__xludf.DUMMYFUNCTION("""COMPUTED_VALUE"""),FALSE)</f>
        <v>0</v>
      </c>
      <c r="Q8999" s="20" t="str">
        <f>IFERROR(__xludf.DUMMYFUNCTION("""COMPUTED_VALUE"""),"")</f>
        <v/>
      </c>
      <c r="R8999" s="21" t="str">
        <f>IFERROR(__xludf.DUMMYFUNCTION("""COMPUTED_VALUE"""),"https://drive.google.com/file/d/15F_weMqE12F5edALgdarxRF6F5xnG5KG/view?usp=drivesdk")</f>
        <v>https://drive.google.com/file/d/15F_weMqE12F5edALgdarxRF6F5xnG5KG/view?usp=drivesdk</v>
      </c>
    </row>
    <row r="9000">
      <c r="A9000" s="15">
        <f>IFERROR(__xludf.DUMMYFUNCTION("""COMPUTED_VALUE"""),45258.0)</f>
        <v>45258</v>
      </c>
      <c r="B9000" s="16" t="str">
        <f>IFERROR(__xludf.DUMMYFUNCTION("""COMPUTED_VALUE"""),"Envia")</f>
        <v>Envia</v>
      </c>
      <c r="C9000" s="15" t="str">
        <f>IFERROR(__xludf.DUMMYFUNCTION("""COMPUTED_VALUE"""),"MEDELLÍN")</f>
        <v>MEDELLÍN</v>
      </c>
      <c r="D9000" s="15" t="str">
        <f>IFERROR(__xludf.DUMMYFUNCTION("""COMPUTED_VALUE"""),"BOGOTÁ")</f>
        <v>BOGOTÁ</v>
      </c>
      <c r="E9000" s="15" t="str">
        <f>IFERROR(__xludf.DUMMYFUNCTION("""COMPUTED_VALUE"""),"PAN DE WAFFLE")</f>
        <v>PAN DE WAFFLE</v>
      </c>
      <c r="F9000" s="17" t="str">
        <f>IFERROR(__xludf.DUMMYFUNCTION("""COMPUTED_VALUE"""),"FOODOLOGY - MEDELLIN / Carrera 39 # 59 - 32")</f>
        <v>FOODOLOGY - MEDELLIN / Carrera 39 # 59 - 32</v>
      </c>
      <c r="G9000" s="15" t="str">
        <f>IFERROR(__xludf.DUMMYFUNCTION("""COMPUTED_VALUE"""),"FOODOLOGY - MEDELLIN")</f>
        <v>FOODOLOGY - MEDELLIN</v>
      </c>
      <c r="H9000" s="16">
        <f>IFERROR(__xludf.DUMMYFUNCTION("""COMPUTED_VALUE"""),17623.0)</f>
        <v>17623</v>
      </c>
      <c r="I9000" s="17"/>
      <c r="J9000" s="17"/>
      <c r="K9000" s="17"/>
      <c r="L9000" s="17">
        <f>IFERROR(__xludf.DUMMYFUNCTION("""COMPUTED_VALUE"""),3.123558292E9)</f>
        <v>3123558292</v>
      </c>
      <c r="M9000" s="17"/>
      <c r="N9000" s="17"/>
      <c r="O9000" s="17"/>
      <c r="P9000" s="17" t="b">
        <f>IFERROR(__xludf.DUMMYFUNCTION("""COMPUTED_VALUE"""),FALSE)</f>
        <v>0</v>
      </c>
      <c r="Q9000" s="20" t="str">
        <f>IFERROR(__xludf.DUMMYFUNCTION("""COMPUTED_VALUE"""),"")</f>
        <v/>
      </c>
      <c r="R9000" s="21" t="str">
        <f>IFERROR(__xludf.DUMMYFUNCTION("""COMPUTED_VALUE"""),"https://drive.google.com/file/d/1F3r3yM1f7cCVn_DxHQ8Jtl60iIBP_lbD/view?usp=drivesdk")</f>
        <v>https://drive.google.com/file/d/1F3r3yM1f7cCVn_DxHQ8Jtl60iIBP_lbD/view?usp=drivesdk</v>
      </c>
    </row>
    <row r="9001">
      <c r="A9001" s="15">
        <f>IFERROR(__xludf.DUMMYFUNCTION("""COMPUTED_VALUE"""),45258.0)</f>
        <v>45258</v>
      </c>
      <c r="B9001" s="16" t="str">
        <f>IFERROR(__xludf.DUMMYFUNCTION("""COMPUTED_VALUE"""),"Envia")</f>
        <v>Envia</v>
      </c>
      <c r="C9001" s="15" t="str">
        <f>IFERROR(__xludf.DUMMYFUNCTION("""COMPUTED_VALUE"""),"MEDELLÍN")</f>
        <v>MEDELLÍN</v>
      </c>
      <c r="D9001" s="15" t="str">
        <f>IFERROR(__xludf.DUMMYFUNCTION("""COMPUTED_VALUE"""),"BOGOTÁ")</f>
        <v>BOGOTÁ</v>
      </c>
      <c r="E9001" s="15" t="str">
        <f>IFERROR(__xludf.DUMMYFUNCTION("""COMPUTED_VALUE"""),"Top Spun")</f>
        <v>Top Spun</v>
      </c>
      <c r="F9001" s="17" t="str">
        <f>IFERROR(__xludf.DUMMYFUNCTION("""COMPUTED_VALUE"""),"Calle 75 sur #34-240 / Urbanización Aramus Style Apto o casa: 2708 / Sabaneta")</f>
        <v>Calle 75 sur #34-240 / Urbanización Aramus Style Apto o casa: 2708 / Sabaneta</v>
      </c>
      <c r="G9001" s="15" t="str">
        <f>IFERROR(__xludf.DUMMYFUNCTION("""COMPUTED_VALUE"""),"Maria Fernanda Osorio")</f>
        <v>Maria Fernanda Osorio</v>
      </c>
      <c r="H9001" s="16">
        <f>IFERROR(__xludf.DUMMYFUNCTION("""COMPUTED_VALUE"""),17628.0)</f>
        <v>17628</v>
      </c>
      <c r="I9001" s="18">
        <f>IFERROR(__xludf.DUMMYFUNCTION("""COMPUTED_VALUE"""),20.0)</f>
        <v>20</v>
      </c>
      <c r="J9001" s="18">
        <f>IFERROR(__xludf.DUMMYFUNCTION("""COMPUTED_VALUE"""),10.0)</f>
        <v>10</v>
      </c>
      <c r="K9001" s="18">
        <f>IFERROR(__xludf.DUMMYFUNCTION("""COMPUTED_VALUE"""),40.0)</f>
        <v>40</v>
      </c>
      <c r="L9001" s="17">
        <f>IFERROR(__xludf.DUMMYFUNCTION("""COMPUTED_VALUE"""),3.136761969E9)</f>
        <v>3136761969</v>
      </c>
      <c r="M9001" s="17"/>
      <c r="N9001" s="17"/>
      <c r="O9001" s="17"/>
      <c r="P9001" s="17" t="b">
        <f>IFERROR(__xludf.DUMMYFUNCTION("""COMPUTED_VALUE"""),FALSE)</f>
        <v>0</v>
      </c>
      <c r="Q9001" s="20" t="str">
        <f>IFERROR(__xludf.DUMMYFUNCTION("""COMPUTED_VALUE"""),"")</f>
        <v/>
      </c>
      <c r="R9001" s="21" t="str">
        <f>IFERROR(__xludf.DUMMYFUNCTION("""COMPUTED_VALUE"""),"https://drive.google.com/file/d/1FZgfrScIqcE0atbcpw_AF6EAFZ5_YT-q/view?usp=drivesdk")</f>
        <v>https://drive.google.com/file/d/1FZgfrScIqcE0atbcpw_AF6EAFZ5_YT-q/view?usp=drivesdk</v>
      </c>
    </row>
    <row r="9002">
      <c r="A9002" s="15">
        <f>IFERROR(__xludf.DUMMYFUNCTION("""COMPUTED_VALUE"""),45258.0)</f>
        <v>45258</v>
      </c>
      <c r="B9002" s="16" t="str">
        <f>IFERROR(__xludf.DUMMYFUNCTION("""COMPUTED_VALUE"""),"Envia")</f>
        <v>Envia</v>
      </c>
      <c r="C9002" s="15" t="str">
        <f>IFERROR(__xludf.DUMMYFUNCTION("""COMPUTED_VALUE"""),"MEDELLÍN")</f>
        <v>MEDELLÍN</v>
      </c>
      <c r="D9002" s="15" t="str">
        <f>IFERROR(__xludf.DUMMYFUNCTION("""COMPUTED_VALUE"""),"BOGOTÁ")</f>
        <v>BOGOTÁ</v>
      </c>
      <c r="E9002" s="15" t="str">
        <f>IFERROR(__xludf.DUMMYFUNCTION("""COMPUTED_VALUE"""),"Ventura Productos Arg")</f>
        <v>Ventura Productos Arg</v>
      </c>
      <c r="F9002" s="17" t="str">
        <f>IFERROR(__xludf.DUMMYFUNCTION("""COMPUTED_VALUE"""),"Transversal 49b sur # 62c-13 / Transversal 49b sur # 62c-13")</f>
        <v>Transversal 49b sur # 62c-13 / Transversal 49b sur # 62c-13</v>
      </c>
      <c r="G9002" s="15" t="str">
        <f>IFERROR(__xludf.DUMMYFUNCTION("""COMPUTED_VALUE"""),"Carmen Cecilia Patiño Zapata")</f>
        <v>Carmen Cecilia Patiño Zapata</v>
      </c>
      <c r="H9002" s="16">
        <f>IFERROR(__xludf.DUMMYFUNCTION("""COMPUTED_VALUE"""),17671.0)</f>
        <v>17671</v>
      </c>
      <c r="I9002" s="17"/>
      <c r="J9002" s="17"/>
      <c r="K9002" s="17"/>
      <c r="L9002" s="17">
        <f>IFERROR(__xludf.DUMMYFUNCTION("""COMPUTED_VALUE"""),3.155854394E9)</f>
        <v>3155854394</v>
      </c>
      <c r="M9002" s="17"/>
      <c r="N9002" s="17"/>
      <c r="O9002" s="17"/>
      <c r="P9002" s="17" t="b">
        <f>IFERROR(__xludf.DUMMYFUNCTION("""COMPUTED_VALUE"""),FALSE)</f>
        <v>0</v>
      </c>
      <c r="Q9002" s="20" t="str">
        <f>IFERROR(__xludf.DUMMYFUNCTION("""COMPUTED_VALUE"""),"")</f>
        <v/>
      </c>
      <c r="R9002" s="21" t="str">
        <f>IFERROR(__xludf.DUMMYFUNCTION("""COMPUTED_VALUE"""),"https://drive.google.com/file/d/1AnZuPhzldiUzYzhwSZdFCulnc-A9_WAA/view?usp=drivesdk")</f>
        <v>https://drive.google.com/file/d/1AnZuPhzldiUzYzhwSZdFCulnc-A9_WAA/view?usp=drivesdk</v>
      </c>
    </row>
    <row r="9003">
      <c r="A9003" s="15">
        <f>IFERROR(__xludf.DUMMYFUNCTION("""COMPUTED_VALUE"""),45258.0)</f>
        <v>45258</v>
      </c>
      <c r="B9003" s="16" t="str">
        <f>IFERROR(__xludf.DUMMYFUNCTION("""COMPUTED_VALUE"""),"Envia")</f>
        <v>Envia</v>
      </c>
      <c r="C9003" s="15" t="str">
        <f>IFERROR(__xludf.DUMMYFUNCTION("""COMPUTED_VALUE"""),"MEDELLÍN")</f>
        <v>MEDELLÍN</v>
      </c>
      <c r="D9003" s="15" t="str">
        <f>IFERROR(__xludf.DUMMYFUNCTION("""COMPUTED_VALUE"""),"CALI")</f>
        <v>CALI</v>
      </c>
      <c r="E9003" s="15" t="str">
        <f>IFERROR(__xludf.DUMMYFUNCTION("""COMPUTED_VALUE"""),"Vallar")</f>
        <v>Vallar</v>
      </c>
      <c r="F9003" s="17" t="str">
        <f>IFERROR(__xludf.DUMMYFUNCTION("""COMPUTED_VALUE"""),"Carrera 17 # 2-161 Apto 2004. / Urbanizacion Calera Alta / Urbanizacion Calera Alta")</f>
        <v>Carrera 17 # 2-161 Apto 2004. / Urbanizacion Calera Alta / Urbanizacion Calera Alta</v>
      </c>
      <c r="G9003" s="15" t="str">
        <f>IFERROR(__xludf.DUMMYFUNCTION("""COMPUTED_VALUE"""),"Manuela Mejia")</f>
        <v>Manuela Mejia</v>
      </c>
      <c r="H9003" s="16">
        <f>IFERROR(__xludf.DUMMYFUNCTION("""COMPUTED_VALUE"""),17674.0)</f>
        <v>17674</v>
      </c>
      <c r="I9003" s="18">
        <f>IFERROR(__xludf.DUMMYFUNCTION("""COMPUTED_VALUE"""),52.0)</f>
        <v>52</v>
      </c>
      <c r="J9003" s="18">
        <f>IFERROR(__xludf.DUMMYFUNCTION("""COMPUTED_VALUE"""),45.0)</f>
        <v>45</v>
      </c>
      <c r="K9003" s="18">
        <f>IFERROR(__xludf.DUMMYFUNCTION("""COMPUTED_VALUE"""),55.0)</f>
        <v>55</v>
      </c>
      <c r="L9003" s="17">
        <f>IFERROR(__xludf.DUMMYFUNCTION("""COMPUTED_VALUE"""),3.108239729E9)</f>
        <v>3108239729</v>
      </c>
      <c r="M9003" s="17"/>
      <c r="N9003" s="17"/>
      <c r="O9003" s="17"/>
      <c r="P9003" s="17" t="b">
        <f>IFERROR(__xludf.DUMMYFUNCTION("""COMPUTED_VALUE"""),FALSE)</f>
        <v>0</v>
      </c>
      <c r="Q9003" s="20" t="str">
        <f>IFERROR(__xludf.DUMMYFUNCTION("""COMPUTED_VALUE"""),"")</f>
        <v/>
      </c>
      <c r="R9003" s="21" t="str">
        <f>IFERROR(__xludf.DUMMYFUNCTION("""COMPUTED_VALUE"""),"https://drive.google.com/file/d/18JZEpoN2SaHc5wRcOOJTWada7uP5aF4F/view?usp=drivesdk")</f>
        <v>https://drive.google.com/file/d/18JZEpoN2SaHc5wRcOOJTWada7uP5aF4F/view?usp=drivesdk</v>
      </c>
    </row>
    <row r="9004">
      <c r="A9004" s="17" t="str">
        <f>IFERROR(__xludf.DUMMYFUNCTION("""COMPUTED_VALUE"""),"")</f>
        <v/>
      </c>
      <c r="B9004" s="17" t="str">
        <f>IFERROR(__xludf.DUMMYFUNCTION("""COMPUTED_VALUE"""),"")</f>
        <v/>
      </c>
      <c r="C9004" s="17" t="str">
        <f>IFERROR(__xludf.DUMMYFUNCTION("""COMPUTED_VALUE"""),"")</f>
        <v/>
      </c>
      <c r="D9004" s="17" t="str">
        <f>IFERROR(__xludf.DUMMYFUNCTION("""COMPUTED_VALUE"""),"")</f>
        <v/>
      </c>
      <c r="E9004" s="17" t="str">
        <f>IFERROR(__xludf.DUMMYFUNCTION("""COMPUTED_VALUE"""),"")</f>
        <v/>
      </c>
      <c r="F9004" s="17" t="str">
        <f>IFERROR(__xludf.DUMMYFUNCTION("""COMPUTED_VALUE"""),"")</f>
        <v/>
      </c>
      <c r="G9004" s="17" t="str">
        <f>IFERROR(__xludf.DUMMYFUNCTION("""COMPUTED_VALUE"""),"")</f>
        <v/>
      </c>
      <c r="H9004" s="17" t="str">
        <f>IFERROR(__xludf.DUMMYFUNCTION("""COMPUTED_VALUE"""),"")</f>
        <v/>
      </c>
      <c r="I9004" s="17" t="str">
        <f>IFERROR(__xludf.DUMMYFUNCTION("""COMPUTED_VALUE"""),"")</f>
        <v/>
      </c>
      <c r="J9004" s="17" t="str">
        <f>IFERROR(__xludf.DUMMYFUNCTION("""COMPUTED_VALUE"""),"")</f>
        <v/>
      </c>
      <c r="K9004" s="17" t="str">
        <f>IFERROR(__xludf.DUMMYFUNCTION("""COMPUTED_VALUE"""),"")</f>
        <v/>
      </c>
      <c r="L9004" s="17" t="str">
        <f>IFERROR(__xludf.DUMMYFUNCTION("""COMPUTED_VALUE"""),"")</f>
        <v/>
      </c>
      <c r="M9004" s="17" t="str">
        <f>IFERROR(__xludf.DUMMYFUNCTION("""COMPUTED_VALUE"""),"")</f>
        <v/>
      </c>
      <c r="N9004" s="17" t="str">
        <f>IFERROR(__xludf.DUMMYFUNCTION("""COMPUTED_VALUE"""),"")</f>
        <v/>
      </c>
      <c r="O9004" s="17" t="str">
        <f>IFERROR(__xludf.DUMMYFUNCTION("""COMPUTED_VALUE"""),"")</f>
        <v/>
      </c>
      <c r="P9004" s="17" t="str">
        <f>IFERROR(__xludf.DUMMYFUNCTION("""COMPUTED_VALUE"""),"")</f>
        <v/>
      </c>
      <c r="Q9004" s="17" t="str">
        <f>IFERROR(__xludf.DUMMYFUNCTION("""COMPUTED_VALUE"""),"")</f>
        <v/>
      </c>
      <c r="R9004" s="17" t="str">
        <f>IFERROR(__xludf.DUMMYFUNCTION("""COMPUTED_VALUE"""),"")</f>
        <v/>
      </c>
    </row>
    <row r="9005">
      <c r="A9005" s="15">
        <f>IFERROR(__xludf.DUMMYFUNCTION("""COMPUTED_VALUE"""),45258.0)</f>
        <v>45258</v>
      </c>
      <c r="B9005" s="16" t="str">
        <f>IFERROR(__xludf.DUMMYFUNCTION("""COMPUTED_VALUE"""),"Jhon Anderson Ceballos Hernandez")</f>
        <v>Jhon Anderson Ceballos Hernandez</v>
      </c>
      <c r="C9005" s="15" t="str">
        <f>IFERROR(__xludf.DUMMYFUNCTION("""COMPUTED_VALUE"""),"BARRANQUILLA")</f>
        <v>BARRANQUILLA</v>
      </c>
      <c r="D9005" s="15" t="str">
        <f>IFERROR(__xludf.DUMMYFUNCTION("""COMPUTED_VALUE"""),"BOGOTÁ")</f>
        <v>BOGOTÁ</v>
      </c>
      <c r="E9005" s="15" t="str">
        <f>IFERROR(__xludf.DUMMYFUNCTION("""COMPUTED_VALUE"""),"INVERSIONES MOCHI")</f>
        <v>INVERSIONES MOCHI</v>
      </c>
      <c r="F9005" s="17" t="str">
        <f>IFERROR(__xludf.DUMMYFUNCTION("""COMPUTED_VALUE"""),"cra 51b #87-50 / centro comercial viva barranquilla")</f>
        <v>cra 51b #87-50 / centro comercial viva barranquilla</v>
      </c>
      <c r="G9005" s="15" t="str">
        <f>IFERROR(__xludf.DUMMYFUNCTION("""COMPUTED_VALUE"""),"centro comercial viva Barranquilla")</f>
        <v>centro comercial viva Barranquilla</v>
      </c>
      <c r="H9005" s="16">
        <f>IFERROR(__xludf.DUMMYFUNCTION("""COMPUTED_VALUE"""),17699.0)</f>
        <v>17699</v>
      </c>
      <c r="I9005" s="17"/>
      <c r="J9005" s="17"/>
      <c r="K9005" s="17"/>
      <c r="L9005" s="17">
        <f>IFERROR(__xludf.DUMMYFUNCTION("""COMPUTED_VALUE"""),3.116026252E9)</f>
        <v>3116026252</v>
      </c>
      <c r="M9005" s="17"/>
      <c r="N9005" s="17"/>
      <c r="O9005" s="17"/>
      <c r="P9005" s="17" t="b">
        <f>IFERROR(__xludf.DUMMYFUNCTION("""COMPUTED_VALUE"""),FALSE)</f>
        <v>0</v>
      </c>
      <c r="Q9005" s="20" t="str">
        <f>IFERROR(__xludf.DUMMYFUNCTION("""COMPUTED_VALUE"""),"")</f>
        <v/>
      </c>
      <c r="R9005" s="21" t="str">
        <f>IFERROR(__xludf.DUMMYFUNCTION("""COMPUTED_VALUE"""),"https://drive.google.com/file/d/1-muXmBQoycFtbA7PljgoCNg2VbJvad36/view?usp=drivesdk")</f>
        <v>https://drive.google.com/file/d/1-muXmBQoycFtbA7PljgoCNg2VbJvad36/view?usp=drivesdk</v>
      </c>
    </row>
    <row r="9006">
      <c r="A9006" s="15">
        <f>IFERROR(__xludf.DUMMYFUNCTION("""COMPUTED_VALUE"""),45258.0)</f>
        <v>45258</v>
      </c>
      <c r="B9006" s="16" t="str">
        <f>IFERROR(__xludf.DUMMYFUNCTION("""COMPUTED_VALUE"""),"Jhon Anderson Ceballos Hernandez")</f>
        <v>Jhon Anderson Ceballos Hernandez</v>
      </c>
      <c r="C9006" s="15" t="str">
        <f>IFERROR(__xludf.DUMMYFUNCTION("""COMPUTED_VALUE"""),"CARTAGENA")</f>
        <v>CARTAGENA</v>
      </c>
      <c r="D9006" s="15" t="str">
        <f>IFERROR(__xludf.DUMMYFUNCTION("""COMPUTED_VALUE"""),"BOGOTÁ")</f>
        <v>BOGOTÁ</v>
      </c>
      <c r="E9006" s="15" t="str">
        <f>IFERROR(__xludf.DUMMYFUNCTION("""COMPUTED_VALUE"""),"INVERSIONES MOCHI")</f>
        <v>INVERSIONES MOCHI</v>
      </c>
      <c r="F9006" s="17" t="str">
        <f>IFERROR(__xludf.DUMMYFUNCTION("""COMPUTED_VALUE"""),"Cra 11 #39-21 / centro comercial la serrezuela")</f>
        <v>Cra 11 #39-21 / centro comercial la serrezuela</v>
      </c>
      <c r="G9006" s="15" t="str">
        <f>IFERROR(__xludf.DUMMYFUNCTION("""COMPUTED_VALUE"""),"Centro comercial la Serrezuela")</f>
        <v>Centro comercial la Serrezuela</v>
      </c>
      <c r="H9006" s="16">
        <f>IFERROR(__xludf.DUMMYFUNCTION("""COMPUTED_VALUE"""),17701.0)</f>
        <v>17701</v>
      </c>
      <c r="I9006" s="17"/>
      <c r="J9006" s="17"/>
      <c r="K9006" s="17"/>
      <c r="L9006" s="17">
        <f>IFERROR(__xludf.DUMMYFUNCTION("""COMPUTED_VALUE"""),3.116026252E9)</f>
        <v>3116026252</v>
      </c>
      <c r="M9006" s="17"/>
      <c r="N9006" s="17"/>
      <c r="O9006" s="17"/>
      <c r="P9006" s="17" t="b">
        <f>IFERROR(__xludf.DUMMYFUNCTION("""COMPUTED_VALUE"""),FALSE)</f>
        <v>0</v>
      </c>
      <c r="Q9006" s="20" t="str">
        <f>IFERROR(__xludf.DUMMYFUNCTION("""COMPUTED_VALUE"""),"")</f>
        <v/>
      </c>
      <c r="R9006" s="21" t="str">
        <f>IFERROR(__xludf.DUMMYFUNCTION("""COMPUTED_VALUE"""),"https://drive.google.com/file/d/1ENIdOCvk1Lc_yHhGw5sJobFhVezUT9uu/view?usp=drivesdk")</f>
        <v>https://drive.google.com/file/d/1ENIdOCvk1Lc_yHhGw5sJobFhVezUT9uu/view?usp=drivesdk</v>
      </c>
    </row>
    <row r="9007">
      <c r="A9007" s="15">
        <f>IFERROR(__xludf.DUMMYFUNCTION("""COMPUTED_VALUE"""),45258.0)</f>
        <v>45258</v>
      </c>
      <c r="B9007" s="16" t="str">
        <f>IFERROR(__xludf.DUMMYFUNCTION("""COMPUTED_VALUE"""),"Jhon Anderson Ceballos Hernandez")</f>
        <v>Jhon Anderson Ceballos Hernandez</v>
      </c>
      <c r="C9007" s="15" t="str">
        <f>IFERROR(__xludf.DUMMYFUNCTION("""COMPUTED_VALUE"""),"MANIZALES")</f>
        <v>MANIZALES</v>
      </c>
      <c r="D9007" s="15" t="str">
        <f>IFERROR(__xludf.DUMMYFUNCTION("""COMPUTED_VALUE"""),"BOGOTÁ")</f>
        <v>BOGOTÁ</v>
      </c>
      <c r="E9007" s="15" t="str">
        <f>IFERROR(__xludf.DUMMYFUNCTION("""COMPUTED_VALUE"""),"fenicia picadas árabes sas")</f>
        <v>fenicia picadas árabes sas</v>
      </c>
      <c r="F9007" s="17" t="str">
        <f>IFERROR(__xludf.DUMMYFUNCTION("""COMPUTED_VALUE"""),"Carrera 35 # 62 - 160, Sede Sancancio, Bloque F - piso 4. / Universidad Tecnologica de Alimentos, laboratorio de calidad, Universidad de caldas.")</f>
        <v>Carrera 35 # 62 - 160, Sede Sancancio, Bloque F - piso 4. / Universidad Tecnologica de Alimentos, laboratorio de calidad, Universidad de caldas.</v>
      </c>
      <c r="G9007" s="15" t="str">
        <f>IFERROR(__xludf.DUMMYFUNCTION("""COMPUTED_VALUE"""),"UNIDAD TECNOLÓGICA DE ALIMENTOS LABORATORIO DE CALIDAD, Manizales, Universidad de Caldas.")</f>
        <v>UNIDAD TECNOLÓGICA DE ALIMENTOS LABORATORIO DE CALIDAD, Manizales, Universidad de Caldas.</v>
      </c>
      <c r="H9007" s="16">
        <f>IFERROR(__xludf.DUMMYFUNCTION("""COMPUTED_VALUE"""),17591.0)</f>
        <v>17591</v>
      </c>
      <c r="I9007" s="17"/>
      <c r="J9007" s="17"/>
      <c r="K9007" s="17"/>
      <c r="L9007" s="17"/>
      <c r="M9007" s="17"/>
      <c r="N9007" s="17"/>
      <c r="O9007" s="17"/>
      <c r="P9007" s="17" t="b">
        <f>IFERROR(__xludf.DUMMYFUNCTION("""COMPUTED_VALUE"""),TRUE)</f>
        <v>1</v>
      </c>
      <c r="Q9007" s="20">
        <f>IFERROR(__xludf.DUMMYFUNCTION("""COMPUTED_VALUE"""),45259.67713418981)</f>
        <v>45259.67713</v>
      </c>
      <c r="R9007" s="21" t="str">
        <f>IFERROR(__xludf.DUMMYFUNCTION("""COMPUTED_VALUE"""),"https://drive.google.com/file/d/1K2M5MUT_9XQ2XyWvdYmXJnc9grOWzUWB/view?usp=drivesdk")</f>
        <v>https://drive.google.com/file/d/1K2M5MUT_9XQ2XyWvdYmXJnc9grOWzUWB/view?usp=drivesdk</v>
      </c>
    </row>
    <row r="9008">
      <c r="A9008" s="15">
        <f>IFERROR(__xludf.DUMMYFUNCTION("""COMPUTED_VALUE"""),45258.0)</f>
        <v>45258</v>
      </c>
      <c r="B9008" s="16" t="str">
        <f>IFERROR(__xludf.DUMMYFUNCTION("""COMPUTED_VALUE"""),"Jhon Anderson Ceballos Hernandez")</f>
        <v>Jhon Anderson Ceballos Hernandez</v>
      </c>
      <c r="C9008" s="15" t="str">
        <f>IFERROR(__xludf.DUMMYFUNCTION("""COMPUTED_VALUE"""),"MANIZALES")</f>
        <v>MANIZALES</v>
      </c>
      <c r="D9008" s="15" t="str">
        <f>IFERROR(__xludf.DUMMYFUNCTION("""COMPUTED_VALUE"""),"BOGOTÁ")</f>
        <v>BOGOTÁ</v>
      </c>
      <c r="E9008" s="15" t="str">
        <f>IFERROR(__xludf.DUMMYFUNCTION("""COMPUTED_VALUE"""),"LINA PAOLA RAMIREZ GOMEZ - EVA MAZZITA")</f>
        <v>LINA PAOLA RAMIREZ GOMEZ - EVA MAZZITA</v>
      </c>
      <c r="F9008" s="17" t="str">
        <f>IFERROR(__xludf.DUMMYFUNCTION("""COMPUTED_VALUE"""),"Carrera 20 bis #65A-101 / Apto 902 A")</f>
        <v>Carrera 20 bis #65A-101 / Apto 902 A</v>
      </c>
      <c r="G9008" s="15" t="str">
        <f>IFERROR(__xludf.DUMMYFUNCTION("""COMPUTED_VALUE"""),"CAROLINA RAMOS GAVIRIA")</f>
        <v>CAROLINA RAMOS GAVIRIA</v>
      </c>
      <c r="H9008" s="16">
        <f>IFERROR(__xludf.DUMMYFUNCTION("""COMPUTED_VALUE"""),17709.0)</f>
        <v>17709</v>
      </c>
      <c r="I9008" s="17"/>
      <c r="J9008" s="17"/>
      <c r="K9008" s="17"/>
      <c r="L9008" s="17">
        <f>IFERROR(__xludf.DUMMYFUNCTION("""COMPUTED_VALUE"""),3.104940047E9)</f>
        <v>3104940047</v>
      </c>
      <c r="M9008" s="17"/>
      <c r="N9008" s="17"/>
      <c r="O9008" s="17"/>
      <c r="P9008" s="17" t="b">
        <f>IFERROR(__xludf.DUMMYFUNCTION("""COMPUTED_VALUE"""),FALSE)</f>
        <v>0</v>
      </c>
      <c r="Q9008" s="20" t="str">
        <f>IFERROR(__xludf.DUMMYFUNCTION("""COMPUTED_VALUE"""),"")</f>
        <v/>
      </c>
      <c r="R9008" s="21" t="str">
        <f>IFERROR(__xludf.DUMMYFUNCTION("""COMPUTED_VALUE"""),"https://drive.google.com/file/d/1VJVeSlnwJFrS7ECRDL2dZphJskHkt0vJ/view?usp=drivesdk")</f>
        <v>https://drive.google.com/file/d/1VJVeSlnwJFrS7ECRDL2dZphJskHkt0vJ/view?usp=drivesdk</v>
      </c>
    </row>
    <row r="9009">
      <c r="A9009" s="15">
        <f>IFERROR(__xludf.DUMMYFUNCTION("""COMPUTED_VALUE"""),45258.0)</f>
        <v>45258</v>
      </c>
      <c r="B9009" s="16" t="str">
        <f>IFERROR(__xludf.DUMMYFUNCTION("""COMPUTED_VALUE"""),"Jhon Anderson Ceballos Hernandez")</f>
        <v>Jhon Anderson Ceballos Hernandez</v>
      </c>
      <c r="C9009" s="15" t="str">
        <f>IFERROR(__xludf.DUMMYFUNCTION("""COMPUTED_VALUE"""),"MANIZALES")</f>
        <v>MANIZALES</v>
      </c>
      <c r="D9009" s="15" t="str">
        <f>IFERROR(__xludf.DUMMYFUNCTION("""COMPUTED_VALUE"""),"BOGOTÁ")</f>
        <v>BOGOTÁ</v>
      </c>
      <c r="E9009" s="15" t="str">
        <f>IFERROR(__xludf.DUMMYFUNCTION("""COMPUTED_VALUE"""),"LINA PAOLA RAMIREZ GOMEZ - EVA MAZZITA")</f>
        <v>LINA PAOLA RAMIREZ GOMEZ - EVA MAZZITA</v>
      </c>
      <c r="F9009" s="17" t="str">
        <f>IFERROR(__xludf.DUMMYFUNCTION("""COMPUTED_VALUE"""),"cra 22A # 70-60 / San Rafael")</f>
        <v>cra 22A # 70-60 / San Rafael</v>
      </c>
      <c r="G9009" s="15" t="str">
        <f>IFERROR(__xludf.DUMMYFUNCTION("""COMPUTED_VALUE"""),"CAMILA OLARTE")</f>
        <v>CAMILA OLARTE</v>
      </c>
      <c r="H9009" s="16">
        <f>IFERROR(__xludf.DUMMYFUNCTION("""COMPUTED_VALUE"""),17712.0)</f>
        <v>17712</v>
      </c>
      <c r="I9009" s="17"/>
      <c r="J9009" s="17"/>
      <c r="K9009" s="17"/>
      <c r="L9009" s="17">
        <f>IFERROR(__xludf.DUMMYFUNCTION("""COMPUTED_VALUE"""),3.004445331E9)</f>
        <v>3004445331</v>
      </c>
      <c r="M9009" s="17"/>
      <c r="N9009" s="17"/>
      <c r="O9009" s="17"/>
      <c r="P9009" s="17" t="b">
        <f>IFERROR(__xludf.DUMMYFUNCTION("""COMPUTED_VALUE"""),TRUE)</f>
        <v>1</v>
      </c>
      <c r="Q9009" s="20">
        <f>IFERROR(__xludf.DUMMYFUNCTION("""COMPUTED_VALUE"""),45259.67713418981)</f>
        <v>45259.67713</v>
      </c>
      <c r="R9009" s="21" t="str">
        <f>IFERROR(__xludf.DUMMYFUNCTION("""COMPUTED_VALUE"""),"https://drive.google.com/file/d/1VMFrwZ2_zoO7sgIpbiWSdK4wgxull_Dy/view?usp=drivesdk")</f>
        <v>https://drive.google.com/file/d/1VMFrwZ2_zoO7sgIpbiWSdK4wgxull_Dy/view?usp=drivesdk</v>
      </c>
    </row>
    <row r="9010">
      <c r="A9010" s="15">
        <f>IFERROR(__xludf.DUMMYFUNCTION("""COMPUTED_VALUE"""),45258.0)</f>
        <v>45258</v>
      </c>
      <c r="B9010" s="16" t="str">
        <f>IFERROR(__xludf.DUMMYFUNCTION("""COMPUTED_VALUE"""),"Jhon Anderson Ceballos Hernandez")</f>
        <v>Jhon Anderson Ceballos Hernandez</v>
      </c>
      <c r="C9010" s="15" t="str">
        <f>IFERROR(__xludf.DUMMYFUNCTION("""COMPUTED_VALUE"""),"MANIZALES")</f>
        <v>MANIZALES</v>
      </c>
      <c r="D9010" s="15" t="str">
        <f>IFERROR(__xludf.DUMMYFUNCTION("""COMPUTED_VALUE"""),"BOGOTÁ")</f>
        <v>BOGOTÁ</v>
      </c>
      <c r="E9010" s="15" t="str">
        <f>IFERROR(__xludf.DUMMYFUNCTION("""COMPUTED_VALUE"""),"LINA PAOLA RAMIREZ GOMEZ - EVA MAZZITA")</f>
        <v>LINA PAOLA RAMIREZ GOMEZ - EVA MAZZITA</v>
      </c>
      <c r="F9010" s="17" t="str">
        <f>IFERROR(__xludf.DUMMYFUNCTION("""COMPUTED_VALUE"""),"Cra 28D#70-46 / Palermo")</f>
        <v>Cra 28D#70-46 / Palermo</v>
      </c>
      <c r="G9010" s="15" t="str">
        <f>IFERROR(__xludf.DUMMYFUNCTION("""COMPUTED_VALUE"""),"PAULA XIMENA BOLAÑOS")</f>
        <v>PAULA XIMENA BOLAÑOS</v>
      </c>
      <c r="H9010" s="16">
        <f>IFERROR(__xludf.DUMMYFUNCTION("""COMPUTED_VALUE"""),17711.0)</f>
        <v>17711</v>
      </c>
      <c r="I9010" s="17"/>
      <c r="J9010" s="17"/>
      <c r="K9010" s="17"/>
      <c r="L9010" s="17">
        <f>IFERROR(__xludf.DUMMYFUNCTION("""COMPUTED_VALUE"""),3.10398467E9)</f>
        <v>3103984670</v>
      </c>
      <c r="M9010" s="17"/>
      <c r="N9010" s="17"/>
      <c r="O9010" s="17"/>
      <c r="P9010" s="17" t="b">
        <f>IFERROR(__xludf.DUMMYFUNCTION("""COMPUTED_VALUE"""),FALSE)</f>
        <v>0</v>
      </c>
      <c r="Q9010" s="20" t="str">
        <f>IFERROR(__xludf.DUMMYFUNCTION("""COMPUTED_VALUE"""),"")</f>
        <v/>
      </c>
      <c r="R9010" s="21" t="str">
        <f>IFERROR(__xludf.DUMMYFUNCTION("""COMPUTED_VALUE"""),"https://drive.google.com/file/d/17tzQvHBpw80K5vrEmcGebOOYg4wOD3P5/view?usp=drivesdk")</f>
        <v>https://drive.google.com/file/d/17tzQvHBpw80K5vrEmcGebOOYg4wOD3P5/view?usp=drivesdk</v>
      </c>
    </row>
    <row r="9011">
      <c r="A9011" s="15">
        <f>IFERROR(__xludf.DUMMYFUNCTION("""COMPUTED_VALUE"""),45258.0)</f>
        <v>45258</v>
      </c>
      <c r="B9011" s="16" t="str">
        <f>IFERROR(__xludf.DUMMYFUNCTION("""COMPUTED_VALUE"""),"Jhon Anderson Ceballos Hernandez")</f>
        <v>Jhon Anderson Ceballos Hernandez</v>
      </c>
      <c r="C9011" s="15" t="str">
        <f>IFERROR(__xludf.DUMMYFUNCTION("""COMPUTED_VALUE"""),"MANIZALES")</f>
        <v>MANIZALES</v>
      </c>
      <c r="D9011" s="15" t="str">
        <f>IFERROR(__xludf.DUMMYFUNCTION("""COMPUTED_VALUE"""),"BOGOTÁ")</f>
        <v>BOGOTÁ</v>
      </c>
      <c r="E9011" s="15" t="str">
        <f>IFERROR(__xludf.DUMMYFUNCTION("""COMPUTED_VALUE"""),"Spirulina Fresca")</f>
        <v>Spirulina Fresca</v>
      </c>
      <c r="F9011" s="17" t="str">
        <f>IFERROR(__xludf.DUMMYFUNCTION("""COMPUTED_VALUE"""),"Carrera 23 # 58 - 59   / Manizales / Manizales")</f>
        <v>Carrera 23 # 58 - 59   / Manizales / Manizales</v>
      </c>
      <c r="G9011" s="15" t="str">
        <f>IFERROR(__xludf.DUMMYFUNCTION("""COMPUTED_VALUE"""),"Paola Ceballos")</f>
        <v>Paola Ceballos</v>
      </c>
      <c r="H9011" s="16">
        <f>IFERROR(__xludf.DUMMYFUNCTION("""COMPUTED_VALUE"""),17657.0)</f>
        <v>17657</v>
      </c>
      <c r="I9011" s="18">
        <f>IFERROR(__xludf.DUMMYFUNCTION("""COMPUTED_VALUE"""),5.0)</f>
        <v>5</v>
      </c>
      <c r="J9011" s="18">
        <f>IFERROR(__xludf.DUMMYFUNCTION("""COMPUTED_VALUE"""),10.0)</f>
        <v>10</v>
      </c>
      <c r="K9011" s="18">
        <f>IFERROR(__xludf.DUMMYFUNCTION("""COMPUTED_VALUE"""),22.0)</f>
        <v>22</v>
      </c>
      <c r="L9011" s="17">
        <f>IFERROR(__xludf.DUMMYFUNCTION("""COMPUTED_VALUE"""),3.173652958E9)</f>
        <v>3173652958</v>
      </c>
      <c r="M9011" s="17"/>
      <c r="N9011" s="17"/>
      <c r="O9011" s="17"/>
      <c r="P9011" s="17" t="b">
        <f>IFERROR(__xludf.DUMMYFUNCTION("""COMPUTED_VALUE"""),FALSE)</f>
        <v>0</v>
      </c>
      <c r="Q9011" s="20" t="str">
        <f>IFERROR(__xludf.DUMMYFUNCTION("""COMPUTED_VALUE"""),"")</f>
        <v/>
      </c>
      <c r="R9011" s="21" t="str">
        <f>IFERROR(__xludf.DUMMYFUNCTION("""COMPUTED_VALUE"""),"https://drive.google.com/file/d/1HZVA3himnpqeNlFLdI1i-nVqHOqdLch9/view?usp=drivesdk")</f>
        <v>https://drive.google.com/file/d/1HZVA3himnpqeNlFLdI1i-nVqHOqdLch9/view?usp=drivesdk</v>
      </c>
    </row>
    <row r="9012">
      <c r="A9012" s="15">
        <f>IFERROR(__xludf.DUMMYFUNCTION("""COMPUTED_VALUE"""),45258.0)</f>
        <v>45258</v>
      </c>
      <c r="B9012" s="16" t="str">
        <f>IFERROR(__xludf.DUMMYFUNCTION("""COMPUTED_VALUE"""),"Jhon Anderson Ceballos Hernandez")</f>
        <v>Jhon Anderson Ceballos Hernandez</v>
      </c>
      <c r="C9012" s="15" t="str">
        <f>IFERROR(__xludf.DUMMYFUNCTION("""COMPUTED_VALUE"""),"MANIZALES")</f>
        <v>MANIZALES</v>
      </c>
      <c r="D9012" s="15" t="str">
        <f>IFERROR(__xludf.DUMMYFUNCTION("""COMPUTED_VALUE"""),"BOGOTÁ")</f>
        <v>BOGOTÁ</v>
      </c>
      <c r="E9012" s="15" t="str">
        <f>IFERROR(__xludf.DUMMYFUNCTION("""COMPUTED_VALUE"""),"Top Spun")</f>
        <v>Top Spun</v>
      </c>
      <c r="F9012" s="17" t="str">
        <f>IFERROR(__xludf.DUMMYFUNCTION("""COMPUTED_VALUE"""),"Km8 via al magdalena / conjunto cerros de la alhambra / Casa 55")</f>
        <v>Km8 via al magdalena / conjunto cerros de la alhambra / Casa 55</v>
      </c>
      <c r="G9012" s="15" t="str">
        <f>IFERROR(__xludf.DUMMYFUNCTION("""COMPUTED_VALUE"""),"Catalina Gomez Raad")</f>
        <v>Catalina Gomez Raad</v>
      </c>
      <c r="H9012" s="16">
        <f>IFERROR(__xludf.DUMMYFUNCTION("""COMPUTED_VALUE"""),17632.0)</f>
        <v>17632</v>
      </c>
      <c r="I9012" s="18">
        <f>IFERROR(__xludf.DUMMYFUNCTION("""COMPUTED_VALUE"""),20.0)</f>
        <v>20</v>
      </c>
      <c r="J9012" s="18">
        <f>IFERROR(__xludf.DUMMYFUNCTION("""COMPUTED_VALUE"""),10.0)</f>
        <v>10</v>
      </c>
      <c r="K9012" s="18">
        <f>IFERROR(__xludf.DUMMYFUNCTION("""COMPUTED_VALUE"""),40.0)</f>
        <v>40</v>
      </c>
      <c r="L9012" s="17">
        <f>IFERROR(__xludf.DUMMYFUNCTION("""COMPUTED_VALUE"""),3.204744678E9)</f>
        <v>3204744678</v>
      </c>
      <c r="M9012" s="17"/>
      <c r="N9012" s="17"/>
      <c r="O9012" s="17"/>
      <c r="P9012" s="17" t="b">
        <f>IFERROR(__xludf.DUMMYFUNCTION("""COMPUTED_VALUE"""),FALSE)</f>
        <v>0</v>
      </c>
      <c r="Q9012" s="20" t="str">
        <f>IFERROR(__xludf.DUMMYFUNCTION("""COMPUTED_VALUE"""),"")</f>
        <v/>
      </c>
      <c r="R9012" s="21" t="str">
        <f>IFERROR(__xludf.DUMMYFUNCTION("""COMPUTED_VALUE"""),"https://drive.google.com/file/d/1cRAND567pBZs0NPbqHfAngwN1KbRqLZf/view?usp=drivesdk")</f>
        <v>https://drive.google.com/file/d/1cRAND567pBZs0NPbqHfAngwN1KbRqLZf/view?usp=drivesdk</v>
      </c>
    </row>
    <row r="9013">
      <c r="A9013" s="17" t="str">
        <f>IFERROR(__xludf.DUMMYFUNCTION("""COMPUTED_VALUE"""),"")</f>
        <v/>
      </c>
      <c r="B9013" s="17" t="str">
        <f>IFERROR(__xludf.DUMMYFUNCTION("""COMPUTED_VALUE"""),"")</f>
        <v/>
      </c>
      <c r="C9013" s="17" t="str">
        <f>IFERROR(__xludf.DUMMYFUNCTION("""COMPUTED_VALUE"""),"")</f>
        <v/>
      </c>
      <c r="D9013" s="17" t="str">
        <f>IFERROR(__xludf.DUMMYFUNCTION("""COMPUTED_VALUE"""),"")</f>
        <v/>
      </c>
      <c r="E9013" s="17" t="str">
        <f>IFERROR(__xludf.DUMMYFUNCTION("""COMPUTED_VALUE"""),"")</f>
        <v/>
      </c>
      <c r="F9013" s="17" t="str">
        <f>IFERROR(__xludf.DUMMYFUNCTION("""COMPUTED_VALUE"""),"")</f>
        <v/>
      </c>
      <c r="G9013" s="17" t="str">
        <f>IFERROR(__xludf.DUMMYFUNCTION("""COMPUTED_VALUE"""),"")</f>
        <v/>
      </c>
      <c r="H9013" s="17" t="str">
        <f>IFERROR(__xludf.DUMMYFUNCTION("""COMPUTED_VALUE"""),"")</f>
        <v/>
      </c>
      <c r="I9013" s="17" t="str">
        <f>IFERROR(__xludf.DUMMYFUNCTION("""COMPUTED_VALUE"""),"")</f>
        <v/>
      </c>
      <c r="J9013" s="17" t="str">
        <f>IFERROR(__xludf.DUMMYFUNCTION("""COMPUTED_VALUE"""),"")</f>
        <v/>
      </c>
      <c r="K9013" s="17" t="str">
        <f>IFERROR(__xludf.DUMMYFUNCTION("""COMPUTED_VALUE"""),"")</f>
        <v/>
      </c>
      <c r="L9013" s="17" t="str">
        <f>IFERROR(__xludf.DUMMYFUNCTION("""COMPUTED_VALUE"""),"")</f>
        <v/>
      </c>
      <c r="M9013" s="17" t="str">
        <f>IFERROR(__xludf.DUMMYFUNCTION("""COMPUTED_VALUE"""),"")</f>
        <v/>
      </c>
      <c r="N9013" s="17" t="str">
        <f>IFERROR(__xludf.DUMMYFUNCTION("""COMPUTED_VALUE"""),"")</f>
        <v/>
      </c>
      <c r="O9013" s="17" t="str">
        <f>IFERROR(__xludf.DUMMYFUNCTION("""COMPUTED_VALUE"""),"")</f>
        <v/>
      </c>
      <c r="P9013" s="17" t="str">
        <f>IFERROR(__xludf.DUMMYFUNCTION("""COMPUTED_VALUE"""),"")</f>
        <v/>
      </c>
      <c r="Q9013" s="17" t="str">
        <f>IFERROR(__xludf.DUMMYFUNCTION("""COMPUTED_VALUE"""),"")</f>
        <v/>
      </c>
      <c r="R9013" s="17" t="str">
        <f>IFERROR(__xludf.DUMMYFUNCTION("""COMPUTED_VALUE"""),"")</f>
        <v/>
      </c>
    </row>
    <row r="9014">
      <c r="A9014" s="15">
        <f>IFERROR(__xludf.DUMMYFUNCTION("""COMPUTED_VALUE"""),45258.0)</f>
        <v>45258</v>
      </c>
      <c r="B9014" s="16" t="str">
        <f>IFERROR(__xludf.DUMMYFUNCTION("""COMPUTED_VALUE"""),"Johan Alexander Escobar Arroyo ")</f>
        <v>Johan Alexander Escobar Arroyo </v>
      </c>
      <c r="C9014" s="15" t="str">
        <f>IFERROR(__xludf.DUMMYFUNCTION("""COMPUTED_VALUE"""),"CALI")</f>
        <v>CALI</v>
      </c>
      <c r="D9014" s="15" t="str">
        <f>IFERROR(__xludf.DUMMYFUNCTION("""COMPUTED_VALUE"""),"BOGOTÁ")</f>
        <v>BOGOTÁ</v>
      </c>
      <c r="E9014" s="15" t="str">
        <f>IFERROR(__xludf.DUMMYFUNCTION("""COMPUTED_VALUE"""),"Asociacion Agropecuaria Juana Maria")</f>
        <v>Asociacion Agropecuaria Juana Maria</v>
      </c>
      <c r="F9014" s="17" t="str">
        <f>IFERROR(__xludf.DUMMYFUNCTION("""COMPUTED_VALUE"""),"Carrera 17B # 33E-33 / La Floresta vieja")</f>
        <v>Carrera 17B # 33E-33 / La Floresta vieja</v>
      </c>
      <c r="G9014" s="15" t="str">
        <f>IFERROR(__xludf.DUMMYFUNCTION("""COMPUTED_VALUE"""),"Johanna acuña Molina")</f>
        <v>Johanna acuña Molina</v>
      </c>
      <c r="H9014" s="16">
        <f>IFERROR(__xludf.DUMMYFUNCTION("""COMPUTED_VALUE"""),17642.0)</f>
        <v>17642</v>
      </c>
      <c r="I9014" s="17"/>
      <c r="J9014" s="17"/>
      <c r="K9014" s="17"/>
      <c r="L9014" s="17">
        <f>IFERROR(__xludf.DUMMYFUNCTION("""COMPUTED_VALUE"""),3.218700343E9)</f>
        <v>3218700343</v>
      </c>
      <c r="M9014" s="17"/>
      <c r="N9014" s="17"/>
      <c r="O9014" s="17"/>
      <c r="P9014" s="17" t="b">
        <f>IFERROR(__xludf.DUMMYFUNCTION("""COMPUTED_VALUE"""),FALSE)</f>
        <v>0</v>
      </c>
      <c r="Q9014" s="20" t="str">
        <f>IFERROR(__xludf.DUMMYFUNCTION("""COMPUTED_VALUE"""),"")</f>
        <v/>
      </c>
      <c r="R9014" s="21" t="str">
        <f>IFERROR(__xludf.DUMMYFUNCTION("""COMPUTED_VALUE"""),"https://drive.google.com/file/d/1GzXfcwW0RfieybSYL8Bjd305t6zF4dnh/view?usp=drivesdk")</f>
        <v>https://drive.google.com/file/d/1GzXfcwW0RfieybSYL8Bjd305t6zF4dnh/view?usp=drivesdk</v>
      </c>
    </row>
    <row r="9015">
      <c r="A9015" s="15">
        <f>IFERROR(__xludf.DUMMYFUNCTION("""COMPUTED_VALUE"""),45258.0)</f>
        <v>45258</v>
      </c>
      <c r="B9015" s="16" t="str">
        <f>IFERROR(__xludf.DUMMYFUNCTION("""COMPUTED_VALUE"""),"Johan Alexander Escobar Arroyo ")</f>
        <v>Johan Alexander Escobar Arroyo </v>
      </c>
      <c r="C9015" s="15" t="str">
        <f>IFERROR(__xludf.DUMMYFUNCTION("""COMPUTED_VALUE"""),"CALI")</f>
        <v>CALI</v>
      </c>
      <c r="D9015" s="15" t="str">
        <f>IFERROR(__xludf.DUMMYFUNCTION("""COMPUTED_VALUE"""),"BOGOTÁ")</f>
        <v>BOGOTÁ</v>
      </c>
      <c r="E9015" s="15" t="str">
        <f>IFERROR(__xludf.DUMMYFUNCTION("""COMPUTED_VALUE"""),"El Algo")</f>
        <v>El Algo</v>
      </c>
      <c r="F9015" s="17" t="str">
        <f>IFERROR(__xludf.DUMMYFUNCTION("""COMPUTED_VALUE"""),"Cra 2oeste#5-262 Ap 501 Ed avenida Belalcázar cali / Ap 501  / Ed avenida Belalcázar")</f>
        <v>Cra 2oeste#5-262 Ap 501 Ed avenida Belalcázar cali / Ap 501  / Ed avenida Belalcázar</v>
      </c>
      <c r="G9015" s="15" t="str">
        <f>IFERROR(__xludf.DUMMYFUNCTION("""COMPUTED_VALUE"""),"Victor Castrillon")</f>
        <v>Victor Castrillon</v>
      </c>
      <c r="H9015" s="16">
        <f>IFERROR(__xludf.DUMMYFUNCTION("""COMPUTED_VALUE"""),17660.0)</f>
        <v>17660</v>
      </c>
      <c r="I9015" s="18">
        <f>IFERROR(__xludf.DUMMYFUNCTION("""COMPUTED_VALUE"""),17.0)</f>
        <v>17</v>
      </c>
      <c r="J9015" s="18">
        <f>IFERROR(__xludf.DUMMYFUNCTION("""COMPUTED_VALUE"""),11.0)</f>
        <v>11</v>
      </c>
      <c r="K9015" s="18">
        <f>IFERROR(__xludf.DUMMYFUNCTION("""COMPUTED_VALUE"""),44991.0)</f>
        <v>44991</v>
      </c>
      <c r="L9015" s="17">
        <f>IFERROR(__xludf.DUMMYFUNCTION("""COMPUTED_VALUE"""),3.159281897E9)</f>
        <v>3159281897</v>
      </c>
      <c r="M9015" s="17"/>
      <c r="N9015" s="17"/>
      <c r="O9015" s="17"/>
      <c r="P9015" s="17" t="b">
        <f>IFERROR(__xludf.DUMMYFUNCTION("""COMPUTED_VALUE"""),FALSE)</f>
        <v>0</v>
      </c>
      <c r="Q9015" s="20" t="str">
        <f>IFERROR(__xludf.DUMMYFUNCTION("""COMPUTED_VALUE"""),"")</f>
        <v/>
      </c>
      <c r="R9015" s="21" t="str">
        <f>IFERROR(__xludf.DUMMYFUNCTION("""COMPUTED_VALUE"""),"https://drive.google.com/file/d/16PvgEmuZLPzMlhEVxxqBbRsusrC2wsCy/view?usp=drivesdk")</f>
        <v>https://drive.google.com/file/d/16PvgEmuZLPzMlhEVxxqBbRsusrC2wsCy/view?usp=drivesdk</v>
      </c>
    </row>
    <row r="9016">
      <c r="A9016" s="15">
        <f>IFERROR(__xludf.DUMMYFUNCTION("""COMPUTED_VALUE"""),45258.0)</f>
        <v>45258</v>
      </c>
      <c r="B9016" s="16" t="str">
        <f>IFERROR(__xludf.DUMMYFUNCTION("""COMPUTED_VALUE"""),"Johan Alexander Escobar Arroyo ")</f>
        <v>Johan Alexander Escobar Arroyo </v>
      </c>
      <c r="C9016" s="15" t="str">
        <f>IFERROR(__xludf.DUMMYFUNCTION("""COMPUTED_VALUE"""),"CALI")</f>
        <v>CALI</v>
      </c>
      <c r="D9016" s="15" t="str">
        <f>IFERROR(__xludf.DUMMYFUNCTION("""COMPUTED_VALUE"""),"BOGOTÁ")</f>
        <v>BOGOTÁ</v>
      </c>
      <c r="E9016" s="15" t="str">
        <f>IFERROR(__xludf.DUMMYFUNCTION("""COMPUTED_VALUE"""),"FamiliaReal S.A.S")</f>
        <v>FamiliaReal S.A.S</v>
      </c>
      <c r="F9016" s="17" t="str">
        <f>IFERROR(__xludf.DUMMYFUNCTION("""COMPUTED_VALUE"""),"Calle34#7-152 / Barrio industrial")</f>
        <v>Calle34#7-152 / Barrio industrial</v>
      </c>
      <c r="G9016" s="15" t="str">
        <f>IFERROR(__xludf.DUMMYFUNCTION("""COMPUTED_VALUE"""),"Andrea Moreno")</f>
        <v>Andrea Moreno</v>
      </c>
      <c r="H9016" s="16">
        <f>IFERROR(__xludf.DUMMYFUNCTION("""COMPUTED_VALUE"""),17686.0)</f>
        <v>17686</v>
      </c>
      <c r="I9016" s="17"/>
      <c r="J9016" s="17"/>
      <c r="K9016" s="17"/>
      <c r="L9016" s="17">
        <f>IFERROR(__xludf.DUMMYFUNCTION("""COMPUTED_VALUE"""),3.205892097E9)</f>
        <v>3205892097</v>
      </c>
      <c r="M9016" s="17"/>
      <c r="N9016" s="17"/>
      <c r="O9016" s="17"/>
      <c r="P9016" s="17" t="b">
        <f>IFERROR(__xludf.DUMMYFUNCTION("""COMPUTED_VALUE"""),FALSE)</f>
        <v>0</v>
      </c>
      <c r="Q9016" s="20" t="str">
        <f>IFERROR(__xludf.DUMMYFUNCTION("""COMPUTED_VALUE"""),"")</f>
        <v/>
      </c>
      <c r="R9016" s="21" t="str">
        <f>IFERROR(__xludf.DUMMYFUNCTION("""COMPUTED_VALUE"""),"https://drive.google.com/file/d/1twvyWHWn9U39zm7S-ZFVR9FspvNXt4_Q/view?usp=drivesdk")</f>
        <v>https://drive.google.com/file/d/1twvyWHWn9U39zm7S-ZFVR9FspvNXt4_Q/view?usp=drivesdk</v>
      </c>
    </row>
    <row r="9017">
      <c r="A9017" s="15">
        <f>IFERROR(__xludf.DUMMYFUNCTION("""COMPUTED_VALUE"""),45258.0)</f>
        <v>45258</v>
      </c>
      <c r="B9017" s="16" t="str">
        <f>IFERROR(__xludf.DUMMYFUNCTION("""COMPUTED_VALUE"""),"Johan Alexander Escobar Arroyo ")</f>
        <v>Johan Alexander Escobar Arroyo </v>
      </c>
      <c r="C9017" s="15" t="str">
        <f>IFERROR(__xludf.DUMMYFUNCTION("""COMPUTED_VALUE"""),"CALI")</f>
        <v>CALI</v>
      </c>
      <c r="D9017" s="15" t="str">
        <f>IFERROR(__xludf.DUMMYFUNCTION("""COMPUTED_VALUE"""),"BOGOTÁ")</f>
        <v>BOGOTÁ</v>
      </c>
      <c r="E9017" s="15" t="str">
        <f>IFERROR(__xludf.DUMMYFUNCTION("""COMPUTED_VALUE"""),"Hiiva Fermentados SAS")</f>
        <v>Hiiva Fermentados SAS</v>
      </c>
      <c r="F9017" s="17" t="str">
        <f>IFERROR(__xludf.DUMMYFUNCTION("""COMPUTED_VALUE"""),"Av 5 Nte # 42 - 42 la flora / Tienda Ecohuerta Cali")</f>
        <v>Av 5 Nte # 42 - 42 la flora / Tienda Ecohuerta Cali</v>
      </c>
      <c r="G9017" s="15" t="str">
        <f>IFERROR(__xludf.DUMMYFUNCTION("""COMPUTED_VALUE"""),"Ecohuerta Cali")</f>
        <v>Ecohuerta Cali</v>
      </c>
      <c r="H9017" s="16">
        <f>IFERROR(__xludf.DUMMYFUNCTION("""COMPUTED_VALUE"""),17648.0)</f>
        <v>17648</v>
      </c>
      <c r="I9017" s="17"/>
      <c r="J9017" s="17"/>
      <c r="K9017" s="17"/>
      <c r="L9017" s="17">
        <f>IFERROR(__xludf.DUMMYFUNCTION("""COMPUTED_VALUE"""),3.113856209E9)</f>
        <v>3113856209</v>
      </c>
      <c r="M9017" s="17"/>
      <c r="N9017" s="17"/>
      <c r="O9017" s="17"/>
      <c r="P9017" s="17" t="b">
        <f>IFERROR(__xludf.DUMMYFUNCTION("""COMPUTED_VALUE"""),FALSE)</f>
        <v>0</v>
      </c>
      <c r="Q9017" s="20" t="str">
        <f>IFERROR(__xludf.DUMMYFUNCTION("""COMPUTED_VALUE"""),"")</f>
        <v/>
      </c>
      <c r="R9017" s="21" t="str">
        <f>IFERROR(__xludf.DUMMYFUNCTION("""COMPUTED_VALUE"""),"https://drive.google.com/file/d/1zxm23cx3ZRqlrFiLKtI4uNmGS4YXoExM/view?usp=drivesdk")</f>
        <v>https://drive.google.com/file/d/1zxm23cx3ZRqlrFiLKtI4uNmGS4YXoExM/view?usp=drivesdk</v>
      </c>
    </row>
    <row r="9018">
      <c r="A9018" s="15">
        <f>IFERROR(__xludf.DUMMYFUNCTION("""COMPUTED_VALUE"""),45258.0)</f>
        <v>45258</v>
      </c>
      <c r="B9018" s="16" t="str">
        <f>IFERROR(__xludf.DUMMYFUNCTION("""COMPUTED_VALUE"""),"Johan Alexander Escobar Arroyo ")</f>
        <v>Johan Alexander Escobar Arroyo </v>
      </c>
      <c r="C9018" s="15" t="str">
        <f>IFERROR(__xludf.DUMMYFUNCTION("""COMPUTED_VALUE"""),"CALI")</f>
        <v>CALI</v>
      </c>
      <c r="D9018" s="15" t="str">
        <f>IFERROR(__xludf.DUMMYFUNCTION("""COMPUTED_VALUE"""),"BOGOTÁ")</f>
        <v>BOGOTÁ</v>
      </c>
      <c r="E9018" s="15" t="str">
        <f>IFERROR(__xludf.DUMMYFUNCTION("""COMPUTED_VALUE"""),"Karem foods")</f>
        <v>Karem foods</v>
      </c>
      <c r="F9018" s="17" t="str">
        <f>IFERROR(__xludf.DUMMYFUNCTION("""COMPUTED_VALUE"""),"Cll 2 #116-650 / - / -")</f>
        <v>Cll 2 #116-650 / - / -</v>
      </c>
      <c r="G9018" s="15" t="str">
        <f>IFERROR(__xludf.DUMMYFUNCTION("""COMPUTED_VALUE"""),"Angela Botero")</f>
        <v>Angela Botero</v>
      </c>
      <c r="H9018" s="16">
        <f>IFERROR(__xludf.DUMMYFUNCTION("""COMPUTED_VALUE"""),17652.0)</f>
        <v>17652</v>
      </c>
      <c r="I9018" s="18">
        <f>IFERROR(__xludf.DUMMYFUNCTION("""COMPUTED_VALUE"""),14.0)</f>
        <v>14</v>
      </c>
      <c r="J9018" s="18">
        <f>IFERROR(__xludf.DUMMYFUNCTION("""COMPUTED_VALUE"""),20.0)</f>
        <v>20</v>
      </c>
      <c r="K9018" s="18">
        <f>IFERROR(__xludf.DUMMYFUNCTION("""COMPUTED_VALUE"""),20.0)</f>
        <v>20</v>
      </c>
      <c r="L9018" s="17">
        <f>IFERROR(__xludf.DUMMYFUNCTION("""COMPUTED_VALUE"""),3.146312742E9)</f>
        <v>3146312742</v>
      </c>
      <c r="M9018" s="17"/>
      <c r="N9018" s="17"/>
      <c r="O9018" s="17"/>
      <c r="P9018" s="17" t="b">
        <f>IFERROR(__xludf.DUMMYFUNCTION("""COMPUTED_VALUE"""),FALSE)</f>
        <v>0</v>
      </c>
      <c r="Q9018" s="20" t="str">
        <f>IFERROR(__xludf.DUMMYFUNCTION("""COMPUTED_VALUE"""),"")</f>
        <v/>
      </c>
      <c r="R9018" s="21" t="str">
        <f>IFERROR(__xludf.DUMMYFUNCTION("""COMPUTED_VALUE"""),"https://drive.google.com/file/d/1PWEooqF6roKwe5Sj_rpwwARlXFSVDhD8/view?usp=drivesdk")</f>
        <v>https://drive.google.com/file/d/1PWEooqF6roKwe5Sj_rpwwARlXFSVDhD8/view?usp=drivesdk</v>
      </c>
    </row>
    <row r="9019">
      <c r="A9019" s="15">
        <f>IFERROR(__xludf.DUMMYFUNCTION("""COMPUTED_VALUE"""),45258.0)</f>
        <v>45258</v>
      </c>
      <c r="B9019" s="16" t="str">
        <f>IFERROR(__xludf.DUMMYFUNCTION("""COMPUTED_VALUE"""),"Johan Alexander Escobar Arroyo ")</f>
        <v>Johan Alexander Escobar Arroyo </v>
      </c>
      <c r="C9019" s="15" t="str">
        <f>IFERROR(__xludf.DUMMYFUNCTION("""COMPUTED_VALUE"""),"CALI")</f>
        <v>CALI</v>
      </c>
      <c r="D9019" s="15" t="str">
        <f>IFERROR(__xludf.DUMMYFUNCTION("""COMPUTED_VALUE"""),"BOGOTÁ")</f>
        <v>BOGOTÁ</v>
      </c>
      <c r="E9019" s="15" t="str">
        <f>IFERROR(__xludf.DUMMYFUNCTION("""COMPUTED_VALUE"""),"LINA PAOLA RAMIREZ GOMEZ - EVA MAZZITA")</f>
        <v>LINA PAOLA RAMIREZ GOMEZ - EVA MAZZITA</v>
      </c>
      <c r="F9019" s="17" t="str">
        <f>IFERROR(__xludf.DUMMYFUNCTION("""COMPUTED_VALUE"""),"1c bis #68-22 / Bloque 3-c /Apto 501")</f>
        <v>1c bis #68-22 / Bloque 3-c /Apto 501</v>
      </c>
      <c r="G9019" s="15" t="str">
        <f>IFERROR(__xludf.DUMMYFUNCTION("""COMPUTED_VALUE"""),"YULIANA DIAZ AMAYA")</f>
        <v>YULIANA DIAZ AMAYA</v>
      </c>
      <c r="H9019" s="16">
        <f>IFERROR(__xludf.DUMMYFUNCTION("""COMPUTED_VALUE"""),17697.0)</f>
        <v>17697</v>
      </c>
      <c r="I9019" s="17"/>
      <c r="J9019" s="17"/>
      <c r="K9019" s="17"/>
      <c r="L9019" s="17">
        <f>IFERROR(__xludf.DUMMYFUNCTION("""COMPUTED_VALUE"""),3.206210843E9)</f>
        <v>3206210843</v>
      </c>
      <c r="M9019" s="17"/>
      <c r="N9019" s="17"/>
      <c r="O9019" s="17"/>
      <c r="P9019" s="17" t="b">
        <f>IFERROR(__xludf.DUMMYFUNCTION("""COMPUTED_VALUE"""),FALSE)</f>
        <v>0</v>
      </c>
      <c r="Q9019" s="20" t="str">
        <f>IFERROR(__xludf.DUMMYFUNCTION("""COMPUTED_VALUE"""),"")</f>
        <v/>
      </c>
      <c r="R9019" s="21" t="str">
        <f>IFERROR(__xludf.DUMMYFUNCTION("""COMPUTED_VALUE"""),"https://drive.google.com/file/d/1BuPfQVnyEgHfNUugJmDzumbQlJdANGOe/view?usp=drivesdk")</f>
        <v>https://drive.google.com/file/d/1BuPfQVnyEgHfNUugJmDzumbQlJdANGOe/view?usp=drivesdk</v>
      </c>
    </row>
    <row r="9020">
      <c r="A9020" s="15">
        <f>IFERROR(__xludf.DUMMYFUNCTION("""COMPUTED_VALUE"""),45258.0)</f>
        <v>45258</v>
      </c>
      <c r="B9020" s="16" t="str">
        <f>IFERROR(__xludf.DUMMYFUNCTION("""COMPUTED_VALUE"""),"Johan Alexander Escobar Arroyo ")</f>
        <v>Johan Alexander Escobar Arroyo </v>
      </c>
      <c r="C9020" s="15" t="str">
        <f>IFERROR(__xludf.DUMMYFUNCTION("""COMPUTED_VALUE"""),"CALI")</f>
        <v>CALI</v>
      </c>
      <c r="D9020" s="15" t="str">
        <f>IFERROR(__xludf.DUMMYFUNCTION("""COMPUTED_VALUE"""),"BOGOTÁ")</f>
        <v>BOGOTÁ</v>
      </c>
      <c r="E9020" s="15" t="str">
        <f>IFERROR(__xludf.DUMMYFUNCTION("""COMPUTED_VALUE"""),"LINA PAOLA RAMIREZ GOMEZ - EVA MAZZITA")</f>
        <v>LINA PAOLA RAMIREZ GOMEZ - EVA MAZZITA</v>
      </c>
      <c r="F9020" s="17" t="str">
        <f>IFERROR(__xludf.DUMMYFUNCTION("""COMPUTED_VALUE"""),"CALI: cra 89# 18-61 / casa 81 villas de san joaquin 1")</f>
        <v>CALI: cra 89# 18-61 / casa 81 villas de san joaquin 1</v>
      </c>
      <c r="G9020" s="15" t="str">
        <f>IFERROR(__xludf.DUMMYFUNCTION("""COMPUTED_VALUE"""),"TATIANA GONZALEZ")</f>
        <v>TATIANA GONZALEZ</v>
      </c>
      <c r="H9020" s="16">
        <f>IFERROR(__xludf.DUMMYFUNCTION("""COMPUTED_VALUE"""),17696.0)</f>
        <v>17696</v>
      </c>
      <c r="I9020" s="17"/>
      <c r="J9020" s="17"/>
      <c r="K9020" s="17"/>
      <c r="L9020" s="17">
        <f>IFERROR(__xludf.DUMMYFUNCTION("""COMPUTED_VALUE"""),3.104643005E9)</f>
        <v>3104643005</v>
      </c>
      <c r="M9020" s="17"/>
      <c r="N9020" s="17"/>
      <c r="O9020" s="17"/>
      <c r="P9020" s="17" t="b">
        <f>IFERROR(__xludf.DUMMYFUNCTION("""COMPUTED_VALUE"""),FALSE)</f>
        <v>0</v>
      </c>
      <c r="Q9020" s="20" t="str">
        <f>IFERROR(__xludf.DUMMYFUNCTION("""COMPUTED_VALUE"""),"")</f>
        <v/>
      </c>
      <c r="R9020" s="21" t="str">
        <f>IFERROR(__xludf.DUMMYFUNCTION("""COMPUTED_VALUE"""),"https://drive.google.com/file/d/1gXVS-mfIKl7yvnd9QVdjM2en4_nGd-MN/view?usp=drivesdk")</f>
        <v>https://drive.google.com/file/d/1gXVS-mfIKl7yvnd9QVdjM2en4_nGd-MN/view?usp=drivesdk</v>
      </c>
    </row>
    <row r="9021">
      <c r="A9021" s="15">
        <f>IFERROR(__xludf.DUMMYFUNCTION("""COMPUTED_VALUE"""),45258.0)</f>
        <v>45258</v>
      </c>
      <c r="B9021" s="16" t="str">
        <f>IFERROR(__xludf.DUMMYFUNCTION("""COMPUTED_VALUE"""),"Johan Alexander Escobar Arroyo ")</f>
        <v>Johan Alexander Escobar Arroyo </v>
      </c>
      <c r="C9021" s="15" t="str">
        <f>IFERROR(__xludf.DUMMYFUNCTION("""COMPUTED_VALUE"""),"CALI")</f>
        <v>CALI</v>
      </c>
      <c r="D9021" s="15" t="str">
        <f>IFERROR(__xludf.DUMMYFUNCTION("""COMPUTED_VALUE"""),"BOGOTÁ")</f>
        <v>BOGOTÁ</v>
      </c>
      <c r="E9021" s="15" t="str">
        <f>IFERROR(__xludf.DUMMYFUNCTION("""COMPUTED_VALUE"""),"LINA PAOLA RAMIREZ GOMEZ - EVA MAZZITA")</f>
        <v>LINA PAOLA RAMIREZ GOMEZ - EVA MAZZITA</v>
      </c>
      <c r="F9021" s="17" t="str">
        <f>IFERROR(__xludf.DUMMYFUNCTION("""COMPUTED_VALUE"""),"Calle 34 #94-143 / Jardin del lili/ casa 08m")</f>
        <v>Calle 34 #94-143 / Jardin del lili/ casa 08m</v>
      </c>
      <c r="G9021" s="15" t="str">
        <f>IFERROR(__xludf.DUMMYFUNCTION("""COMPUTED_VALUE"""),"MAYLIN CAROLINA MUÑOZ RAMOS")</f>
        <v>MAYLIN CAROLINA MUÑOZ RAMOS</v>
      </c>
      <c r="H9021" s="16">
        <f>IFERROR(__xludf.DUMMYFUNCTION("""COMPUTED_VALUE"""),17707.0)</f>
        <v>17707</v>
      </c>
      <c r="I9021" s="17"/>
      <c r="J9021" s="17"/>
      <c r="K9021" s="17"/>
      <c r="L9021" s="17">
        <f>IFERROR(__xludf.DUMMYFUNCTION("""COMPUTED_VALUE"""),3.118376725E9)</f>
        <v>3118376725</v>
      </c>
      <c r="M9021" s="17"/>
      <c r="N9021" s="17"/>
      <c r="O9021" s="17"/>
      <c r="P9021" s="17" t="b">
        <f>IFERROR(__xludf.DUMMYFUNCTION("""COMPUTED_VALUE"""),FALSE)</f>
        <v>0</v>
      </c>
      <c r="Q9021" s="20" t="str">
        <f>IFERROR(__xludf.DUMMYFUNCTION("""COMPUTED_VALUE"""),"")</f>
        <v/>
      </c>
      <c r="R9021" s="21" t="str">
        <f>IFERROR(__xludf.DUMMYFUNCTION("""COMPUTED_VALUE"""),"https://drive.google.com/file/d/1VRIJZrmeEE3tKbmhaM6i0V4MPHfJnRre/view?usp=drivesdk")</f>
        <v>https://drive.google.com/file/d/1VRIJZrmeEE3tKbmhaM6i0V4MPHfJnRre/view?usp=drivesdk</v>
      </c>
    </row>
    <row r="9022">
      <c r="A9022" s="15">
        <f>IFERROR(__xludf.DUMMYFUNCTION("""COMPUTED_VALUE"""),45258.0)</f>
        <v>45258</v>
      </c>
      <c r="B9022" s="16" t="str">
        <f>IFERROR(__xludf.DUMMYFUNCTION("""COMPUTED_VALUE"""),"Johan Alexander Escobar Arroyo ")</f>
        <v>Johan Alexander Escobar Arroyo </v>
      </c>
      <c r="C9022" s="15" t="str">
        <f>IFERROR(__xludf.DUMMYFUNCTION("""COMPUTED_VALUE"""),"CALI")</f>
        <v>CALI</v>
      </c>
      <c r="D9022" s="15" t="str">
        <f>IFERROR(__xludf.DUMMYFUNCTION("""COMPUTED_VALUE"""),"BOGOTÁ")</f>
        <v>BOGOTÁ</v>
      </c>
      <c r="E9022" s="15" t="str">
        <f>IFERROR(__xludf.DUMMYFUNCTION("""COMPUTED_VALUE"""),"LINA PAOLA RAMIREZ GOMEZ - EVA MAZZITA")</f>
        <v>LINA PAOLA RAMIREZ GOMEZ - EVA MAZZITA</v>
      </c>
      <c r="F9022" s="17" t="str">
        <f>IFERROR(__xludf.DUMMYFUNCTION("""COMPUTED_VALUE"""),"Calle 59 #93-130 / Unidad terracota/apto 604/torre 2A")</f>
        <v>Calle 59 #93-130 / Unidad terracota/apto 604/torre 2A</v>
      </c>
      <c r="G9022" s="15" t="str">
        <f>IFERROR(__xludf.DUMMYFUNCTION("""COMPUTED_VALUE"""),"JIREH RAMOS")</f>
        <v>JIREH RAMOS</v>
      </c>
      <c r="H9022" s="16">
        <f>IFERROR(__xludf.DUMMYFUNCTION("""COMPUTED_VALUE"""),17714.0)</f>
        <v>17714</v>
      </c>
      <c r="I9022" s="17"/>
      <c r="J9022" s="17"/>
      <c r="K9022" s="17"/>
      <c r="L9022" s="17">
        <f>IFERROR(__xludf.DUMMYFUNCTION("""COMPUTED_VALUE"""),3.175170844E9)</f>
        <v>3175170844</v>
      </c>
      <c r="M9022" s="17"/>
      <c r="N9022" s="17"/>
      <c r="O9022" s="17"/>
      <c r="P9022" s="17" t="b">
        <f>IFERROR(__xludf.DUMMYFUNCTION("""COMPUTED_VALUE"""),FALSE)</f>
        <v>0</v>
      </c>
      <c r="Q9022" s="20" t="str">
        <f>IFERROR(__xludf.DUMMYFUNCTION("""COMPUTED_VALUE"""),"")</f>
        <v/>
      </c>
      <c r="R9022" s="21" t="str">
        <f>IFERROR(__xludf.DUMMYFUNCTION("""COMPUTED_VALUE"""),"https://drive.google.com/file/d/1_jxsTXW7JeXKZ8edN1tlFHRKTJoJRzlr/view?usp=drivesdk")</f>
        <v>https://drive.google.com/file/d/1_jxsTXW7JeXKZ8edN1tlFHRKTJoJRzlr/view?usp=drivesdk</v>
      </c>
    </row>
    <row r="9023">
      <c r="A9023" s="15">
        <f>IFERROR(__xludf.DUMMYFUNCTION("""COMPUTED_VALUE"""),45258.0)</f>
        <v>45258</v>
      </c>
      <c r="B9023" s="16" t="str">
        <f>IFERROR(__xludf.DUMMYFUNCTION("""COMPUTED_VALUE"""),"Johan Alexander Escobar Arroyo ")</f>
        <v>Johan Alexander Escobar Arroyo </v>
      </c>
      <c r="C9023" s="15" t="str">
        <f>IFERROR(__xludf.DUMMYFUNCTION("""COMPUTED_VALUE"""),"CALI")</f>
        <v>CALI</v>
      </c>
      <c r="D9023" s="15" t="str">
        <f>IFERROR(__xludf.DUMMYFUNCTION("""COMPUTED_VALUE"""),"BOGOTÁ")</f>
        <v>BOGOTÁ</v>
      </c>
      <c r="E9023" s="15" t="str">
        <f>IFERROR(__xludf.DUMMYFUNCTION("""COMPUTED_VALUE"""),"LINA PAOLA RAMIREZ GOMEZ - EVA MAZZITA")</f>
        <v>LINA PAOLA RAMIREZ GOMEZ - EVA MAZZITA</v>
      </c>
      <c r="F9023" s="17" t="str">
        <f>IFERROR(__xludf.DUMMYFUNCTION("""COMPUTED_VALUE"""),"CALLE 7 No. 47 - 69 / BARRIO NUEVA TEQUENDAMA")</f>
        <v>CALLE 7 No. 47 - 69 / BARRIO NUEVA TEQUENDAMA</v>
      </c>
      <c r="G9023" s="15" t="str">
        <f>IFERROR(__xludf.DUMMYFUNCTION("""COMPUTED_VALUE"""),"JULIANA LEITON")</f>
        <v>JULIANA LEITON</v>
      </c>
      <c r="H9023" s="16">
        <f>IFERROR(__xludf.DUMMYFUNCTION("""COMPUTED_VALUE"""),17702.0)</f>
        <v>17702</v>
      </c>
      <c r="I9023" s="17"/>
      <c r="J9023" s="17"/>
      <c r="K9023" s="17"/>
      <c r="L9023" s="17">
        <f>IFERROR(__xludf.DUMMYFUNCTION("""COMPUTED_VALUE"""),3.002780329E9)</f>
        <v>3002780329</v>
      </c>
      <c r="M9023" s="17"/>
      <c r="N9023" s="17"/>
      <c r="O9023" s="17"/>
      <c r="P9023" s="17" t="b">
        <f>IFERROR(__xludf.DUMMYFUNCTION("""COMPUTED_VALUE"""),FALSE)</f>
        <v>0</v>
      </c>
      <c r="Q9023" s="20" t="str">
        <f>IFERROR(__xludf.DUMMYFUNCTION("""COMPUTED_VALUE"""),"")</f>
        <v/>
      </c>
      <c r="R9023" s="21" t="str">
        <f>IFERROR(__xludf.DUMMYFUNCTION("""COMPUTED_VALUE"""),"https://drive.google.com/file/d/19NXW3Ijt2GPUWMNGL1PTkgczgBDBVGVt/view?usp=drivesdk")</f>
        <v>https://drive.google.com/file/d/19NXW3Ijt2GPUWMNGL1PTkgczgBDBVGVt/view?usp=drivesdk</v>
      </c>
    </row>
    <row r="9024">
      <c r="A9024" s="15">
        <f>IFERROR(__xludf.DUMMYFUNCTION("""COMPUTED_VALUE"""),45258.0)</f>
        <v>45258</v>
      </c>
      <c r="B9024" s="16" t="str">
        <f>IFERROR(__xludf.DUMMYFUNCTION("""COMPUTED_VALUE"""),"Johan Alexander Escobar Arroyo ")</f>
        <v>Johan Alexander Escobar Arroyo </v>
      </c>
      <c r="C9024" s="15" t="str">
        <f>IFERROR(__xludf.DUMMYFUNCTION("""COMPUTED_VALUE"""),"CALI")</f>
        <v>CALI</v>
      </c>
      <c r="D9024" s="15" t="str">
        <f>IFERROR(__xludf.DUMMYFUNCTION("""COMPUTED_VALUE"""),"BOGOTÁ")</f>
        <v>BOGOTÁ</v>
      </c>
      <c r="E9024" s="15" t="str">
        <f>IFERROR(__xludf.DUMMYFUNCTION("""COMPUTED_VALUE"""),"LINA PAOLA RAMIREZ GOMEZ - EVA MAZZITA")</f>
        <v>LINA PAOLA RAMIREZ GOMEZ - EVA MAZZITA</v>
      </c>
      <c r="F9024" s="17" t="str">
        <f>IFERROR(__xludf.DUMMYFUNCTION("""COMPUTED_VALUE"""),"Carrera 12A#45-57 / Carrera 12A#45-57")</f>
        <v>Carrera 12A#45-57 / Carrera 12A#45-57</v>
      </c>
      <c r="G9024" s="15" t="str">
        <f>IFERROR(__xludf.DUMMYFUNCTION("""COMPUTED_VALUE"""),"PAOLA BADOS")</f>
        <v>PAOLA BADOS</v>
      </c>
      <c r="H9024" s="16">
        <f>IFERROR(__xludf.DUMMYFUNCTION("""COMPUTED_VALUE"""),17704.0)</f>
        <v>17704</v>
      </c>
      <c r="I9024" s="17"/>
      <c r="J9024" s="17"/>
      <c r="K9024" s="17"/>
      <c r="L9024" s="17">
        <f>IFERROR(__xludf.DUMMYFUNCTION("""COMPUTED_VALUE"""),3.004745794E9)</f>
        <v>3004745794</v>
      </c>
      <c r="M9024" s="17"/>
      <c r="N9024" s="17"/>
      <c r="O9024" s="17"/>
      <c r="P9024" s="17" t="b">
        <f>IFERROR(__xludf.DUMMYFUNCTION("""COMPUTED_VALUE"""),FALSE)</f>
        <v>0</v>
      </c>
      <c r="Q9024" s="20" t="str">
        <f>IFERROR(__xludf.DUMMYFUNCTION("""COMPUTED_VALUE"""),"")</f>
        <v/>
      </c>
      <c r="R9024" s="21" t="str">
        <f>IFERROR(__xludf.DUMMYFUNCTION("""COMPUTED_VALUE"""),"https://drive.google.com/file/d/1gIiJ_1NhqdI2P0o2MLWnFJx4ffFISzEw/view?usp=drivesdk")</f>
        <v>https://drive.google.com/file/d/1gIiJ_1NhqdI2P0o2MLWnFJx4ffFISzEw/view?usp=drivesdk</v>
      </c>
    </row>
    <row r="9025">
      <c r="A9025" s="15">
        <f>IFERROR(__xludf.DUMMYFUNCTION("""COMPUTED_VALUE"""),45258.0)</f>
        <v>45258</v>
      </c>
      <c r="B9025" s="16" t="str">
        <f>IFERROR(__xludf.DUMMYFUNCTION("""COMPUTED_VALUE"""),"Johan Alexander Escobar Arroyo ")</f>
        <v>Johan Alexander Escobar Arroyo </v>
      </c>
      <c r="C9025" s="15" t="str">
        <f>IFERROR(__xludf.DUMMYFUNCTION("""COMPUTED_VALUE"""),"CALI")</f>
        <v>CALI</v>
      </c>
      <c r="D9025" s="15" t="str">
        <f>IFERROR(__xludf.DUMMYFUNCTION("""COMPUTED_VALUE"""),"BOGOTÁ")</f>
        <v>BOGOTÁ</v>
      </c>
      <c r="E9025" s="15" t="str">
        <f>IFERROR(__xludf.DUMMYFUNCTION("""COMPUTED_VALUE"""),"LINA PAOLA RAMIREZ GOMEZ - EVA MAZZITA")</f>
        <v>LINA PAOLA RAMIREZ GOMEZ - EVA MAZZITA</v>
      </c>
      <c r="F9025" s="17" t="str">
        <f>IFERROR(__xludf.DUMMYFUNCTION("""COMPUTED_VALUE"""),"Carrera 1c 1#63-09 / Bloque 32A/Apto501")</f>
        <v>Carrera 1c 1#63-09 / Bloque 32A/Apto501</v>
      </c>
      <c r="G9025" s="15" t="str">
        <f>IFERROR(__xludf.DUMMYFUNCTION("""COMPUTED_VALUE"""),"GLORIA MARULANDA")</f>
        <v>GLORIA MARULANDA</v>
      </c>
      <c r="H9025" s="16">
        <f>IFERROR(__xludf.DUMMYFUNCTION("""COMPUTED_VALUE"""),17700.0)</f>
        <v>17700</v>
      </c>
      <c r="I9025" s="17"/>
      <c r="J9025" s="17"/>
      <c r="K9025" s="17"/>
      <c r="L9025" s="17">
        <f>IFERROR(__xludf.DUMMYFUNCTION("""COMPUTED_VALUE"""),3.184059794E9)</f>
        <v>3184059794</v>
      </c>
      <c r="M9025" s="17"/>
      <c r="N9025" s="17"/>
      <c r="O9025" s="17"/>
      <c r="P9025" s="17" t="b">
        <f>IFERROR(__xludf.DUMMYFUNCTION("""COMPUTED_VALUE"""),FALSE)</f>
        <v>0</v>
      </c>
      <c r="Q9025" s="20" t="str">
        <f>IFERROR(__xludf.DUMMYFUNCTION("""COMPUTED_VALUE"""),"")</f>
        <v/>
      </c>
      <c r="R9025" s="21" t="str">
        <f>IFERROR(__xludf.DUMMYFUNCTION("""COMPUTED_VALUE"""),"https://drive.google.com/file/d/1JigVMvMNTYhRMkIR6tCyqpyZlr6c6fg8/view?usp=drivesdk")</f>
        <v>https://drive.google.com/file/d/1JigVMvMNTYhRMkIR6tCyqpyZlr6c6fg8/view?usp=drivesdk</v>
      </c>
    </row>
    <row r="9026">
      <c r="A9026" s="15">
        <f>IFERROR(__xludf.DUMMYFUNCTION("""COMPUTED_VALUE"""),45258.0)</f>
        <v>45258</v>
      </c>
      <c r="B9026" s="16" t="str">
        <f>IFERROR(__xludf.DUMMYFUNCTION("""COMPUTED_VALUE"""),"Johan Alexander Escobar Arroyo ")</f>
        <v>Johan Alexander Escobar Arroyo </v>
      </c>
      <c r="C9026" s="15" t="str">
        <f>IFERROR(__xludf.DUMMYFUNCTION("""COMPUTED_VALUE"""),"CALI")</f>
        <v>CALI</v>
      </c>
      <c r="D9026" s="15" t="str">
        <f>IFERROR(__xludf.DUMMYFUNCTION("""COMPUTED_VALUE"""),"BOGOTÁ")</f>
        <v>BOGOTÁ</v>
      </c>
      <c r="E9026" s="15" t="str">
        <f>IFERROR(__xludf.DUMMYFUNCTION("""COMPUTED_VALUE"""),"LINA PAOLA RAMIREZ GOMEZ - EVA MAZZITA")</f>
        <v>LINA PAOLA RAMIREZ GOMEZ - EVA MAZZITA</v>
      </c>
      <c r="F9026" s="17" t="str">
        <f>IFERROR(__xludf.DUMMYFUNCTION("""COMPUTED_VALUE"""),"Carrera 2 norte #4n-06 / Edificio Centenario APTO 701")</f>
        <v>Carrera 2 norte #4n-06 / Edificio Centenario APTO 701</v>
      </c>
      <c r="G9026" s="15" t="str">
        <f>IFERROR(__xludf.DUMMYFUNCTION("""COMPUTED_VALUE"""),"MARIA JIMENA BEDOYA")</f>
        <v>MARIA JIMENA BEDOYA</v>
      </c>
      <c r="H9026" s="16">
        <f>IFERROR(__xludf.DUMMYFUNCTION("""COMPUTED_VALUE"""),17695.0)</f>
        <v>17695</v>
      </c>
      <c r="I9026" s="17"/>
      <c r="J9026" s="17"/>
      <c r="K9026" s="17"/>
      <c r="L9026" s="17">
        <f>IFERROR(__xludf.DUMMYFUNCTION("""COMPUTED_VALUE"""),3.113677538E9)</f>
        <v>3113677538</v>
      </c>
      <c r="M9026" s="17"/>
      <c r="N9026" s="17"/>
      <c r="O9026" s="17"/>
      <c r="P9026" s="17" t="b">
        <f>IFERROR(__xludf.DUMMYFUNCTION("""COMPUTED_VALUE"""),FALSE)</f>
        <v>0</v>
      </c>
      <c r="Q9026" s="20" t="str">
        <f>IFERROR(__xludf.DUMMYFUNCTION("""COMPUTED_VALUE"""),"")</f>
        <v/>
      </c>
      <c r="R9026" s="21" t="str">
        <f>IFERROR(__xludf.DUMMYFUNCTION("""COMPUTED_VALUE"""),"https://drive.google.com/file/d/1rMlJ1msNkz3-uKkSKdKNPlVeVchK5_Hz/view?usp=drivesdk")</f>
        <v>https://drive.google.com/file/d/1rMlJ1msNkz3-uKkSKdKNPlVeVchK5_Hz/view?usp=drivesdk</v>
      </c>
    </row>
    <row r="9027">
      <c r="A9027" s="15">
        <f>IFERROR(__xludf.DUMMYFUNCTION("""COMPUTED_VALUE"""),45258.0)</f>
        <v>45258</v>
      </c>
      <c r="B9027" s="16" t="str">
        <f>IFERROR(__xludf.DUMMYFUNCTION("""COMPUTED_VALUE"""),"Johan Alexander Escobar Arroyo ")</f>
        <v>Johan Alexander Escobar Arroyo </v>
      </c>
      <c r="C9027" s="15" t="str">
        <f>IFERROR(__xludf.DUMMYFUNCTION("""COMPUTED_VALUE"""),"CALI")</f>
        <v>CALI</v>
      </c>
      <c r="D9027" s="15" t="str">
        <f>IFERROR(__xludf.DUMMYFUNCTION("""COMPUTED_VALUE"""),"BOGOTÁ")</f>
        <v>BOGOTÁ</v>
      </c>
      <c r="E9027" s="15" t="str">
        <f>IFERROR(__xludf.DUMMYFUNCTION("""COMPUTED_VALUE"""),"LINA PAOLA RAMIREZ GOMEZ - EVA MAZZITA")</f>
        <v>LINA PAOLA RAMIREZ GOMEZ - EVA MAZZITA</v>
      </c>
      <c r="F9027" s="17" t="str">
        <f>IFERROR(__xludf.DUMMYFUNCTION("""COMPUTED_VALUE"""),"Carrera 8#24-50 / Es un local que se llama Carpas Oriental/ de 7:30 am a 1pm, 2-5pm")</f>
        <v>Carrera 8#24-50 / Es un local que se llama Carpas Oriental/ de 7:30 am a 1pm, 2-5pm</v>
      </c>
      <c r="G9027" s="15" t="str">
        <f>IFERROR(__xludf.DUMMYFUNCTION("""COMPUTED_VALUE"""),"IRINA ALEJANDRA ROJAS")</f>
        <v>IRINA ALEJANDRA ROJAS</v>
      </c>
      <c r="H9027" s="16">
        <f>IFERROR(__xludf.DUMMYFUNCTION("""COMPUTED_VALUE"""),17705.0)</f>
        <v>17705</v>
      </c>
      <c r="I9027" s="17"/>
      <c r="J9027" s="17"/>
      <c r="K9027" s="17"/>
      <c r="L9027" s="17">
        <f>IFERROR(__xludf.DUMMYFUNCTION("""COMPUTED_VALUE"""),3.117716241E9)</f>
        <v>3117716241</v>
      </c>
      <c r="M9027" s="17"/>
      <c r="N9027" s="17"/>
      <c r="O9027" s="17"/>
      <c r="P9027" s="17" t="b">
        <f>IFERROR(__xludf.DUMMYFUNCTION("""COMPUTED_VALUE"""),FALSE)</f>
        <v>0</v>
      </c>
      <c r="Q9027" s="20" t="str">
        <f>IFERROR(__xludf.DUMMYFUNCTION("""COMPUTED_VALUE"""),"")</f>
        <v/>
      </c>
      <c r="R9027" s="21" t="str">
        <f>IFERROR(__xludf.DUMMYFUNCTION("""COMPUTED_VALUE"""),"https://drive.google.com/file/d/1tYSC2PLNuLm-o0Bmgti5W_gEo7kurUQD/view?usp=drivesdk")</f>
        <v>https://drive.google.com/file/d/1tYSC2PLNuLm-o0Bmgti5W_gEo7kurUQD/view?usp=drivesdk</v>
      </c>
    </row>
    <row r="9028">
      <c r="A9028" s="15">
        <f>IFERROR(__xludf.DUMMYFUNCTION("""COMPUTED_VALUE"""),45258.0)</f>
        <v>45258</v>
      </c>
      <c r="B9028" s="16" t="str">
        <f>IFERROR(__xludf.DUMMYFUNCTION("""COMPUTED_VALUE"""),"Johan Alexander Escobar Arroyo ")</f>
        <v>Johan Alexander Escobar Arroyo </v>
      </c>
      <c r="C9028" s="15" t="str">
        <f>IFERROR(__xludf.DUMMYFUNCTION("""COMPUTED_VALUE"""),"CALI")</f>
        <v>CALI</v>
      </c>
      <c r="D9028" s="15" t="str">
        <f>IFERROR(__xludf.DUMMYFUNCTION("""COMPUTED_VALUE"""),"BOGOTÁ")</f>
        <v>BOGOTÁ</v>
      </c>
      <c r="E9028" s="15" t="str">
        <f>IFERROR(__xludf.DUMMYFUNCTION("""COMPUTED_VALUE"""),"LINA PAOLA RAMIREZ GOMEZ - EVA MAZZITA")</f>
        <v>LINA PAOLA RAMIREZ GOMEZ - EVA MAZZITA</v>
      </c>
      <c r="F9028" s="17" t="str">
        <f>IFERROR(__xludf.DUMMYFUNCTION("""COMPUTED_VALUE"""),"CRA 98B No. 60 -115 / ZAFIRO B TORRE 5B APTO 804")</f>
        <v>CRA 98B No. 60 -115 / ZAFIRO B TORRE 5B APTO 804</v>
      </c>
      <c r="G9028" s="15" t="str">
        <f>IFERROR(__xludf.DUMMYFUNCTION("""COMPUTED_VALUE"""),"PAOLA VARELA")</f>
        <v>PAOLA VARELA</v>
      </c>
      <c r="H9028" s="16">
        <f>IFERROR(__xludf.DUMMYFUNCTION("""COMPUTED_VALUE"""),17698.0)</f>
        <v>17698</v>
      </c>
      <c r="I9028" s="17"/>
      <c r="J9028" s="17"/>
      <c r="K9028" s="17"/>
      <c r="L9028" s="17">
        <f>IFERROR(__xludf.DUMMYFUNCTION("""COMPUTED_VALUE"""),3.01327837E9)</f>
        <v>3013278370</v>
      </c>
      <c r="M9028" s="17"/>
      <c r="N9028" s="17"/>
      <c r="O9028" s="17"/>
      <c r="P9028" s="17" t="b">
        <f>IFERROR(__xludf.DUMMYFUNCTION("""COMPUTED_VALUE"""),FALSE)</f>
        <v>0</v>
      </c>
      <c r="Q9028" s="20" t="str">
        <f>IFERROR(__xludf.DUMMYFUNCTION("""COMPUTED_VALUE"""),"")</f>
        <v/>
      </c>
      <c r="R9028" s="21" t="str">
        <f>IFERROR(__xludf.DUMMYFUNCTION("""COMPUTED_VALUE"""),"https://drive.google.com/file/d/1VG-DBNmvpH_Ha0WbXty0UpsNPeGnuax6/view?usp=drivesdk")</f>
        <v>https://drive.google.com/file/d/1VG-DBNmvpH_Ha0WbXty0UpsNPeGnuax6/view?usp=drivesdk</v>
      </c>
    </row>
    <row r="9029">
      <c r="A9029" s="15">
        <f>IFERROR(__xludf.DUMMYFUNCTION("""COMPUTED_VALUE"""),45258.0)</f>
        <v>45258</v>
      </c>
      <c r="B9029" s="16" t="str">
        <f>IFERROR(__xludf.DUMMYFUNCTION("""COMPUTED_VALUE"""),"Johan Alexander Escobar Arroyo ")</f>
        <v>Johan Alexander Escobar Arroyo </v>
      </c>
      <c r="C9029" s="15" t="str">
        <f>IFERROR(__xludf.DUMMYFUNCTION("""COMPUTED_VALUE"""),"CALI")</f>
        <v>CALI</v>
      </c>
      <c r="D9029" s="15" t="str">
        <f>IFERROR(__xludf.DUMMYFUNCTION("""COMPUTED_VALUE"""),"BOGOTÁ")</f>
        <v>BOGOTÁ</v>
      </c>
      <c r="E9029" s="15" t="str">
        <f>IFERROR(__xludf.DUMMYFUNCTION("""COMPUTED_VALUE"""),"LINA PAOLA RAMIREZ GOMEZ - EVA MAZZITA")</f>
        <v>LINA PAOLA RAMIREZ GOMEZ - EVA MAZZITA</v>
      </c>
      <c r="F9029" s="17" t="str">
        <f>IFERROR(__xludf.DUMMYFUNCTION("""COMPUTED_VALUE"""),"Recibe: Jhonatan Castillo Cel.: 3128308962 Calle 6 # 29-104 / avenida Roosvelt Cali. Local Ferrollaves Ortiz")</f>
        <v>Recibe: Jhonatan Castillo Cel.: 3128308962 Calle 6 # 29-104 / avenida Roosvelt Cali. Local Ferrollaves Ortiz</v>
      </c>
      <c r="G9029" s="15" t="str">
        <f>IFERROR(__xludf.DUMMYFUNCTION("""COMPUTED_VALUE"""),"YINA MARCELA GUERRERO ESPAÑA")</f>
        <v>YINA MARCELA GUERRERO ESPAÑA</v>
      </c>
      <c r="H9029" s="16">
        <f>IFERROR(__xludf.DUMMYFUNCTION("""COMPUTED_VALUE"""),17703.0)</f>
        <v>17703</v>
      </c>
      <c r="I9029" s="17"/>
      <c r="J9029" s="17"/>
      <c r="K9029" s="17"/>
      <c r="L9029" s="17">
        <f>IFERROR(__xludf.DUMMYFUNCTION("""COMPUTED_VALUE"""),3.157731149E9)</f>
        <v>3157731149</v>
      </c>
      <c r="M9029" s="17"/>
      <c r="N9029" s="17"/>
      <c r="O9029" s="17"/>
      <c r="P9029" s="17" t="b">
        <f>IFERROR(__xludf.DUMMYFUNCTION("""COMPUTED_VALUE"""),FALSE)</f>
        <v>0</v>
      </c>
      <c r="Q9029" s="20" t="str">
        <f>IFERROR(__xludf.DUMMYFUNCTION("""COMPUTED_VALUE"""),"")</f>
        <v/>
      </c>
      <c r="R9029" s="21" t="str">
        <f>IFERROR(__xludf.DUMMYFUNCTION("""COMPUTED_VALUE"""),"https://drive.google.com/file/d/1FIPcUnqGOIJlIOYft_eI0g0lhfQGl0po/view?usp=drivesdk")</f>
        <v>https://drive.google.com/file/d/1FIPcUnqGOIJlIOYft_eI0g0lhfQGl0po/view?usp=drivesdk</v>
      </c>
    </row>
    <row r="9030">
      <c r="A9030" s="15">
        <f>IFERROR(__xludf.DUMMYFUNCTION("""COMPUTED_VALUE"""),45258.0)</f>
        <v>45258</v>
      </c>
      <c r="B9030" s="16" t="str">
        <f>IFERROR(__xludf.DUMMYFUNCTION("""COMPUTED_VALUE"""),"Johan Alexander Escobar Arroyo ")</f>
        <v>Johan Alexander Escobar Arroyo </v>
      </c>
      <c r="C9030" s="15" t="str">
        <f>IFERROR(__xludf.DUMMYFUNCTION("""COMPUTED_VALUE"""),"CALI")</f>
        <v>CALI</v>
      </c>
      <c r="D9030" s="15" t="str">
        <f>IFERROR(__xludf.DUMMYFUNCTION("""COMPUTED_VALUE"""),"BOGOTÁ")</f>
        <v>BOGOTÁ</v>
      </c>
      <c r="E9030" s="15" t="str">
        <f>IFERROR(__xludf.DUMMYFUNCTION("""COMPUTED_VALUE"""),"Ola Cacerola")</f>
        <v>Ola Cacerola</v>
      </c>
      <c r="F9030" s="17" t="str">
        <f>IFERROR(__xludf.DUMMYFUNCTION("""COMPUTED_VALUE"""),"Cra 77 #11a-50 - Barrio capri - Cali /  casa blanca / CAPRI")</f>
        <v>Cra 77 #11a-50 - Barrio capri - Cali /  casa blanca / CAPRI</v>
      </c>
      <c r="G9030" s="15" t="str">
        <f>IFERROR(__xludf.DUMMYFUNCTION("""COMPUTED_VALUE"""),"MARIA ISMAR / RAMIRO PABÓN")</f>
        <v>MARIA ISMAR / RAMIRO PABÓN</v>
      </c>
      <c r="H9030" s="16">
        <f>IFERROR(__xludf.DUMMYFUNCTION("""COMPUTED_VALUE"""),17731.0)</f>
        <v>17731</v>
      </c>
      <c r="I9030" s="18">
        <f>IFERROR(__xludf.DUMMYFUNCTION("""COMPUTED_VALUE"""),15.0)</f>
        <v>15</v>
      </c>
      <c r="J9030" s="18">
        <f>IFERROR(__xludf.DUMMYFUNCTION("""COMPUTED_VALUE"""),33.0)</f>
        <v>33</v>
      </c>
      <c r="K9030" s="18">
        <f>IFERROR(__xludf.DUMMYFUNCTION("""COMPUTED_VALUE"""),49.0)</f>
        <v>49</v>
      </c>
      <c r="L9030" s="17">
        <f>IFERROR(__xludf.DUMMYFUNCTION("""COMPUTED_VALUE"""),3.012460738E9)</f>
        <v>3012460738</v>
      </c>
      <c r="M9030" s="17"/>
      <c r="N9030" s="17"/>
      <c r="O9030" s="17"/>
      <c r="P9030" s="17" t="b">
        <f>IFERROR(__xludf.DUMMYFUNCTION("""COMPUTED_VALUE"""),FALSE)</f>
        <v>0</v>
      </c>
      <c r="Q9030" s="20" t="str">
        <f>IFERROR(__xludf.DUMMYFUNCTION("""COMPUTED_VALUE"""),"")</f>
        <v/>
      </c>
      <c r="R9030" s="21" t="str">
        <f>IFERROR(__xludf.DUMMYFUNCTION("""COMPUTED_VALUE"""),"https://drive.google.com/file/d/1WaIJUWTvqTrNJoEQmi1mk_hygkEAK7Zd/view?usp=drivesdk")</f>
        <v>https://drive.google.com/file/d/1WaIJUWTvqTrNJoEQmi1mk_hygkEAK7Zd/view?usp=drivesdk</v>
      </c>
    </row>
    <row r="9031">
      <c r="A9031" s="15">
        <f>IFERROR(__xludf.DUMMYFUNCTION("""COMPUTED_VALUE"""),45258.0)</f>
        <v>45258</v>
      </c>
      <c r="B9031" s="16" t="str">
        <f>IFERROR(__xludf.DUMMYFUNCTION("""COMPUTED_VALUE"""),"Johan Alexander Escobar Arroyo ")</f>
        <v>Johan Alexander Escobar Arroyo </v>
      </c>
      <c r="C9031" s="15" t="str">
        <f>IFERROR(__xludf.DUMMYFUNCTION("""COMPUTED_VALUE"""),"CALI")</f>
        <v>CALI</v>
      </c>
      <c r="D9031" s="15" t="str">
        <f>IFERROR(__xludf.DUMMYFUNCTION("""COMPUTED_VALUE"""),"BOGOTÁ")</f>
        <v>BOGOTÁ</v>
      </c>
      <c r="E9031" s="15" t="str">
        <f>IFERROR(__xludf.DUMMYFUNCTION("""COMPUTED_VALUE"""),"Top Spun")</f>
        <v>Top Spun</v>
      </c>
      <c r="F9031" s="17" t="str">
        <f>IFERROR(__xludf.DUMMYFUNCTION("""COMPUTED_VALUE"""),"Carrera 36B # 1 oeste - 75 / Edificio Quadratto apto 904 / Barrio Cristales")</f>
        <v>Carrera 36B # 1 oeste - 75 / Edificio Quadratto apto 904 / Barrio Cristales</v>
      </c>
      <c r="G9031" s="15" t="str">
        <f>IFERROR(__xludf.DUMMYFUNCTION("""COMPUTED_VALUE"""),"Daniela Baraya")</f>
        <v>Daniela Baraya</v>
      </c>
      <c r="H9031" s="16">
        <f>IFERROR(__xludf.DUMMYFUNCTION("""COMPUTED_VALUE"""),17634.0)</f>
        <v>17634</v>
      </c>
      <c r="I9031" s="18">
        <f>IFERROR(__xludf.DUMMYFUNCTION("""COMPUTED_VALUE"""),20.0)</f>
        <v>20</v>
      </c>
      <c r="J9031" s="18">
        <f>IFERROR(__xludf.DUMMYFUNCTION("""COMPUTED_VALUE"""),10.0)</f>
        <v>10</v>
      </c>
      <c r="K9031" s="18">
        <f>IFERROR(__xludf.DUMMYFUNCTION("""COMPUTED_VALUE"""),40.0)</f>
        <v>40</v>
      </c>
      <c r="L9031" s="17">
        <f>IFERROR(__xludf.DUMMYFUNCTION("""COMPUTED_VALUE"""),3.218536044E9)</f>
        <v>3218536044</v>
      </c>
      <c r="M9031" s="17"/>
      <c r="N9031" s="17"/>
      <c r="O9031" s="17"/>
      <c r="P9031" s="17" t="b">
        <f>IFERROR(__xludf.DUMMYFUNCTION("""COMPUTED_VALUE"""),FALSE)</f>
        <v>0</v>
      </c>
      <c r="Q9031" s="20" t="str">
        <f>IFERROR(__xludf.DUMMYFUNCTION("""COMPUTED_VALUE"""),"")</f>
        <v/>
      </c>
      <c r="R9031" s="21" t="str">
        <f>IFERROR(__xludf.DUMMYFUNCTION("""COMPUTED_VALUE"""),"https://drive.google.com/file/d/1_unIAYVJ01ykvuH_V1d0I_61BWDvGOMw/view?usp=drivesdk")</f>
        <v>https://drive.google.com/file/d/1_unIAYVJ01ykvuH_V1d0I_61BWDvGOMw/view?usp=drivesdk</v>
      </c>
    </row>
    <row r="9032">
      <c r="A9032" s="15">
        <f>IFERROR(__xludf.DUMMYFUNCTION("""COMPUTED_VALUE"""),45258.0)</f>
        <v>45258</v>
      </c>
      <c r="B9032" s="16" t="str">
        <f>IFERROR(__xludf.DUMMYFUNCTION("""COMPUTED_VALUE"""),"Johan Alexander Escobar Arroyo ")</f>
        <v>Johan Alexander Escobar Arroyo </v>
      </c>
      <c r="C9032" s="15" t="str">
        <f>IFERROR(__xludf.DUMMYFUNCTION("""COMPUTED_VALUE"""),"IBAGUÉ")</f>
        <v>IBAGUÉ</v>
      </c>
      <c r="D9032" s="15" t="str">
        <f>IFERROR(__xludf.DUMMYFUNCTION("""COMPUTED_VALUE"""),"BOGOTÁ")</f>
        <v>BOGOTÁ</v>
      </c>
      <c r="E9032" s="15" t="str">
        <f>IFERROR(__xludf.DUMMYFUNCTION("""COMPUTED_VALUE"""),"Spirulina Fresca")</f>
        <v>Spirulina Fresca</v>
      </c>
      <c r="F9032" s="17" t="str">
        <f>IFERROR(__xludf.DUMMYFUNCTION("""COMPUTED_VALUE"""),"calle 21 # 14-90  / Conjunto Foresta Torre 2 apartamento 202,    /  Calambeo")</f>
        <v>calle 21 # 14-90  / Conjunto Foresta Torre 2 apartamento 202,    /  Calambeo</v>
      </c>
      <c r="G9032" s="15" t="str">
        <f>IFERROR(__xludf.DUMMYFUNCTION("""COMPUTED_VALUE"""),"Fernando Montero")</f>
        <v>Fernando Montero</v>
      </c>
      <c r="H9032" s="16">
        <f>IFERROR(__xludf.DUMMYFUNCTION("""COMPUTED_VALUE"""),17659.0)</f>
        <v>17659</v>
      </c>
      <c r="I9032" s="18">
        <f>IFERROR(__xludf.DUMMYFUNCTION("""COMPUTED_VALUE"""),5.0)</f>
        <v>5</v>
      </c>
      <c r="J9032" s="18">
        <f>IFERROR(__xludf.DUMMYFUNCTION("""COMPUTED_VALUE"""),5.0)</f>
        <v>5</v>
      </c>
      <c r="K9032" s="18">
        <f>IFERROR(__xludf.DUMMYFUNCTION("""COMPUTED_VALUE"""),22.0)</f>
        <v>22</v>
      </c>
      <c r="L9032" s="17">
        <f>IFERROR(__xludf.DUMMYFUNCTION("""COMPUTED_VALUE"""),3.134121193E9)</f>
        <v>3134121193</v>
      </c>
      <c r="M9032" s="17"/>
      <c r="N9032" s="17"/>
      <c r="O9032" s="17"/>
      <c r="P9032" s="17" t="b">
        <f>IFERROR(__xludf.DUMMYFUNCTION("""COMPUTED_VALUE"""),FALSE)</f>
        <v>0</v>
      </c>
      <c r="Q9032" s="20" t="str">
        <f>IFERROR(__xludf.DUMMYFUNCTION("""COMPUTED_VALUE"""),"")</f>
        <v/>
      </c>
      <c r="R9032" s="21" t="str">
        <f>IFERROR(__xludf.DUMMYFUNCTION("""COMPUTED_VALUE"""),"https://drive.google.com/file/d/1csP9ReHc9vEfD9OqzTjxYGikoiApHILd/view?usp=drivesdk")</f>
        <v>https://drive.google.com/file/d/1csP9ReHc9vEfD9OqzTjxYGikoiApHILd/view?usp=drivesdk</v>
      </c>
    </row>
    <row r="9033">
      <c r="A9033" s="15">
        <f>IFERROR(__xludf.DUMMYFUNCTION("""COMPUTED_VALUE"""),45258.0)</f>
        <v>45258</v>
      </c>
      <c r="B9033" s="16" t="str">
        <f>IFERROR(__xludf.DUMMYFUNCTION("""COMPUTED_VALUE"""),"Johan Alexander Escobar Arroyo ")</f>
        <v>Johan Alexander Escobar Arroyo </v>
      </c>
      <c r="C9033" s="15" t="str">
        <f>IFERROR(__xludf.DUMMYFUNCTION("""COMPUTED_VALUE"""),"IBAGUÉ")</f>
        <v>IBAGUÉ</v>
      </c>
      <c r="D9033" s="15" t="str">
        <f>IFERROR(__xludf.DUMMYFUNCTION("""COMPUTED_VALUE"""),"MEDELLÍN")</f>
        <v>MEDELLÍN</v>
      </c>
      <c r="E9033" s="15" t="str">
        <f>IFERROR(__xludf.DUMMYFUNCTION("""COMPUTED_VALUE"""),"Moloso S.A.S")</f>
        <v>Moloso S.A.S</v>
      </c>
      <c r="F9033" s="17" t="str">
        <f>IFERROR(__xludf.DUMMYFUNCTION("""COMPUTED_VALUE"""),"TRANSVERSAL 19 A SUR 125 134 / RESERVAS DEL CAMPESTRE CS 32 ZONA 3")</f>
        <v>TRANSVERSAL 19 A SUR 125 134 / RESERVAS DEL CAMPESTRE CS 32 ZONA 3</v>
      </c>
      <c r="G9033" s="15" t="str">
        <f>IFERROR(__xludf.DUMMYFUNCTION("""COMPUTED_VALUE"""),"LUIS FELIPE ESPINOSA CASTRO")</f>
        <v>LUIS FELIPE ESPINOSA CASTRO</v>
      </c>
      <c r="H9033" s="16">
        <f>IFERROR(__xludf.DUMMYFUNCTION("""COMPUTED_VALUE"""),17706.0)</f>
        <v>17706</v>
      </c>
      <c r="I9033" s="17"/>
      <c r="J9033" s="17"/>
      <c r="K9033" s="17"/>
      <c r="L9033" s="17"/>
      <c r="M9033" s="17"/>
      <c r="N9033" s="17"/>
      <c r="O9033" s="17"/>
      <c r="P9033" s="17" t="b">
        <f>IFERROR(__xludf.DUMMYFUNCTION("""COMPUTED_VALUE"""),FALSE)</f>
        <v>0</v>
      </c>
      <c r="Q9033" s="20" t="str">
        <f>IFERROR(__xludf.DUMMYFUNCTION("""COMPUTED_VALUE"""),"")</f>
        <v/>
      </c>
      <c r="R9033" s="21" t="str">
        <f>IFERROR(__xludf.DUMMYFUNCTION("""COMPUTED_VALUE"""),"https://drive.google.com/file/d/1-iFliubm2EneH7Wb5lU2QC8Tqx_OVX9U/view?usp=drivesdk")</f>
        <v>https://drive.google.com/file/d/1-iFliubm2EneH7Wb5lU2QC8Tqx_OVX9U/view?usp=drivesdk</v>
      </c>
    </row>
    <row r="9034">
      <c r="A9034" s="17" t="str">
        <f>IFERROR(__xludf.DUMMYFUNCTION("""COMPUTED_VALUE"""),"")</f>
        <v/>
      </c>
      <c r="B9034" s="17" t="str">
        <f>IFERROR(__xludf.DUMMYFUNCTION("""COMPUTED_VALUE"""),"")</f>
        <v/>
      </c>
      <c r="C9034" s="17" t="str">
        <f>IFERROR(__xludf.DUMMYFUNCTION("""COMPUTED_VALUE"""),"")</f>
        <v/>
      </c>
      <c r="D9034" s="17" t="str">
        <f>IFERROR(__xludf.DUMMYFUNCTION("""COMPUTED_VALUE"""),"")</f>
        <v/>
      </c>
      <c r="E9034" s="17" t="str">
        <f>IFERROR(__xludf.DUMMYFUNCTION("""COMPUTED_VALUE"""),"")</f>
        <v/>
      </c>
      <c r="F9034" s="17" t="str">
        <f>IFERROR(__xludf.DUMMYFUNCTION("""COMPUTED_VALUE"""),"")</f>
        <v/>
      </c>
      <c r="G9034" s="17" t="str">
        <f>IFERROR(__xludf.DUMMYFUNCTION("""COMPUTED_VALUE"""),"")</f>
        <v/>
      </c>
      <c r="H9034" s="17" t="str">
        <f>IFERROR(__xludf.DUMMYFUNCTION("""COMPUTED_VALUE"""),"")</f>
        <v/>
      </c>
      <c r="I9034" s="17" t="str">
        <f>IFERROR(__xludf.DUMMYFUNCTION("""COMPUTED_VALUE"""),"")</f>
        <v/>
      </c>
      <c r="J9034" s="17" t="str">
        <f>IFERROR(__xludf.DUMMYFUNCTION("""COMPUTED_VALUE"""),"")</f>
        <v/>
      </c>
      <c r="K9034" s="17" t="str">
        <f>IFERROR(__xludf.DUMMYFUNCTION("""COMPUTED_VALUE"""),"")</f>
        <v/>
      </c>
      <c r="L9034" s="17" t="str">
        <f>IFERROR(__xludf.DUMMYFUNCTION("""COMPUTED_VALUE"""),"")</f>
        <v/>
      </c>
      <c r="M9034" s="17" t="str">
        <f>IFERROR(__xludf.DUMMYFUNCTION("""COMPUTED_VALUE"""),"")</f>
        <v/>
      </c>
      <c r="N9034" s="17" t="str">
        <f>IFERROR(__xludf.DUMMYFUNCTION("""COMPUTED_VALUE"""),"")</f>
        <v/>
      </c>
      <c r="O9034" s="17" t="str">
        <f>IFERROR(__xludf.DUMMYFUNCTION("""COMPUTED_VALUE"""),"")</f>
        <v/>
      </c>
      <c r="P9034" s="17" t="str">
        <f>IFERROR(__xludf.DUMMYFUNCTION("""COMPUTED_VALUE"""),"")</f>
        <v/>
      </c>
      <c r="Q9034" s="17" t="str">
        <f>IFERROR(__xludf.DUMMYFUNCTION("""COMPUTED_VALUE"""),"")</f>
        <v/>
      </c>
      <c r="R9034" s="17" t="str">
        <f>IFERROR(__xludf.DUMMYFUNCTION("""COMPUTED_VALUE"""),"")</f>
        <v/>
      </c>
    </row>
    <row r="9035">
      <c r="A9035" s="15">
        <f>IFERROR(__xludf.DUMMYFUNCTION("""COMPUTED_VALUE"""),45258.0)</f>
        <v>45258</v>
      </c>
      <c r="B9035" s="16" t="str">
        <f>IFERROR(__xludf.DUMMYFUNCTION("""COMPUTED_VALUE"""),"Johanna Arango Barrera")</f>
        <v>Johanna Arango Barrera</v>
      </c>
      <c r="C9035" s="15" t="str">
        <f>IFERROR(__xludf.DUMMYFUNCTION("""COMPUTED_VALUE"""),"BUCARAMANGA")</f>
        <v>BUCARAMANGA</v>
      </c>
      <c r="D9035" s="15" t="str">
        <f>IFERROR(__xludf.DUMMYFUNCTION("""COMPUTED_VALUE"""),"BOGOTÁ")</f>
        <v>BOGOTÁ</v>
      </c>
      <c r="E9035" s="15" t="str">
        <f>IFERROR(__xludf.DUMMYFUNCTION("""COMPUTED_VALUE"""),"Instinto alimento vital")</f>
        <v>Instinto alimento vital</v>
      </c>
      <c r="F9035" s="17" t="str">
        <f>IFERROR(__xludf.DUMMYFUNCTION("""COMPUTED_VALUE"""),"CL 31 30 08 / AP 501")</f>
        <v>CL 31 30 08 / AP 501</v>
      </c>
      <c r="G9035" s="15" t="str">
        <f>IFERROR(__xludf.DUMMYFUNCTION("""COMPUTED_VALUE"""),"LARRY ALBERTO LOPEZ MACANA")</f>
        <v>LARRY ALBERTO LOPEZ MACANA</v>
      </c>
      <c r="H9035" s="16">
        <f>IFERROR(__xludf.DUMMYFUNCTION("""COMPUTED_VALUE"""),17687.0)</f>
        <v>17687</v>
      </c>
      <c r="I9035" s="17"/>
      <c r="J9035" s="17"/>
      <c r="K9035" s="17"/>
      <c r="L9035" s="17">
        <f>IFERROR(__xludf.DUMMYFUNCTION("""COMPUTED_VALUE"""),3.185709801E9)</f>
        <v>3185709801</v>
      </c>
      <c r="M9035" s="17"/>
      <c r="N9035" s="17"/>
      <c r="O9035" s="17"/>
      <c r="P9035" s="17" t="b">
        <f>IFERROR(__xludf.DUMMYFUNCTION("""COMPUTED_VALUE"""),FALSE)</f>
        <v>0</v>
      </c>
      <c r="Q9035" s="20" t="str">
        <f>IFERROR(__xludf.DUMMYFUNCTION("""COMPUTED_VALUE"""),"")</f>
        <v/>
      </c>
      <c r="R9035" s="21" t="str">
        <f>IFERROR(__xludf.DUMMYFUNCTION("""COMPUTED_VALUE"""),"https://drive.google.com/file/d/1ZL9lo98KNc5Z95ZEgpJ01Wv6ZeE9WK1-/view?usp=drivesdk")</f>
        <v>https://drive.google.com/file/d/1ZL9lo98KNc5Z95ZEgpJ01Wv6ZeE9WK1-/view?usp=drivesdk</v>
      </c>
    </row>
    <row r="9036">
      <c r="A9036" s="15">
        <f>IFERROR(__xludf.DUMMYFUNCTION("""COMPUTED_VALUE"""),45258.0)</f>
        <v>45258</v>
      </c>
      <c r="B9036" s="16" t="str">
        <f>IFERROR(__xludf.DUMMYFUNCTION("""COMPUTED_VALUE"""),"Johanna Arango Barrera")</f>
        <v>Johanna Arango Barrera</v>
      </c>
      <c r="C9036" s="15" t="str">
        <f>IFERROR(__xludf.DUMMYFUNCTION("""COMPUTED_VALUE"""),"BUCARAMANGA")</f>
        <v>BUCARAMANGA</v>
      </c>
      <c r="D9036" s="15" t="str">
        <f>IFERROR(__xludf.DUMMYFUNCTION("""COMPUTED_VALUE"""),"BOGOTÁ")</f>
        <v>BOGOTÁ</v>
      </c>
      <c r="E9036" s="15" t="str">
        <f>IFERROR(__xludf.DUMMYFUNCTION("""COMPUTED_VALUE"""),"Loomifoods")</f>
        <v>Loomifoods</v>
      </c>
      <c r="F9036" s="17" t="str">
        <f>IFERROR(__xludf.DUMMYFUNCTION("""COMPUTED_VALUE"""),"Kra 26 #34-38  / Apto 11-01 / Condominio fuerte ventura")</f>
        <v>Kra 26 #34-38  / Apto 11-01 / Condominio fuerte ventura</v>
      </c>
      <c r="G9036" s="15" t="str">
        <f>IFERROR(__xludf.DUMMYFUNCTION("""COMPUTED_VALUE"""),"Maria Fernanda Cáceres")</f>
        <v>Maria Fernanda Cáceres</v>
      </c>
      <c r="H9036" s="16">
        <f>IFERROR(__xludf.DUMMYFUNCTION("""COMPUTED_VALUE"""),17684.0)</f>
        <v>17684</v>
      </c>
      <c r="I9036" s="18">
        <f>IFERROR(__xludf.DUMMYFUNCTION("""COMPUTED_VALUE"""),19.0)</f>
        <v>19</v>
      </c>
      <c r="J9036" s="18">
        <f>IFERROR(__xludf.DUMMYFUNCTION("""COMPUTED_VALUE"""),10.0)</f>
        <v>10</v>
      </c>
      <c r="K9036" s="18">
        <f>IFERROR(__xludf.DUMMYFUNCTION("""COMPUTED_VALUE"""),16.0)</f>
        <v>16</v>
      </c>
      <c r="L9036" s="17">
        <f>IFERROR(__xludf.DUMMYFUNCTION("""COMPUTED_VALUE"""),3.05721245E9)</f>
        <v>3057212450</v>
      </c>
      <c r="M9036" s="17"/>
      <c r="N9036" s="17"/>
      <c r="O9036" s="17"/>
      <c r="P9036" s="17" t="b">
        <f>IFERROR(__xludf.DUMMYFUNCTION("""COMPUTED_VALUE"""),FALSE)</f>
        <v>0</v>
      </c>
      <c r="Q9036" s="20" t="str">
        <f>IFERROR(__xludf.DUMMYFUNCTION("""COMPUTED_VALUE"""),"")</f>
        <v/>
      </c>
      <c r="R9036" s="21" t="str">
        <f>IFERROR(__xludf.DUMMYFUNCTION("""COMPUTED_VALUE"""),"https://drive.google.com/file/d/1k_tItCZGwuYS4mn1gm9gtAddbC35R-SB/view?usp=drivesdk")</f>
        <v>https://drive.google.com/file/d/1k_tItCZGwuYS4mn1gm9gtAddbC35R-SB/view?usp=drivesdk</v>
      </c>
    </row>
    <row r="9037">
      <c r="A9037" s="15">
        <f>IFERROR(__xludf.DUMMYFUNCTION("""COMPUTED_VALUE"""),45258.0)</f>
        <v>45258</v>
      </c>
      <c r="B9037" s="16" t="str">
        <f>IFERROR(__xludf.DUMMYFUNCTION("""COMPUTED_VALUE"""),"Johanna Arango Barrera")</f>
        <v>Johanna Arango Barrera</v>
      </c>
      <c r="C9037" s="15" t="str">
        <f>IFERROR(__xludf.DUMMYFUNCTION("""COMPUTED_VALUE"""),"BUCARAMANGA")</f>
        <v>BUCARAMANGA</v>
      </c>
      <c r="D9037" s="15" t="str">
        <f>IFERROR(__xludf.DUMMYFUNCTION("""COMPUTED_VALUE"""),"BOGOTÁ")</f>
        <v>BOGOTÁ</v>
      </c>
      <c r="E9037" s="15" t="str">
        <f>IFERROR(__xludf.DUMMYFUNCTION("""COMPUTED_VALUE"""),"Lunchy Kids")</f>
        <v>Lunchy Kids</v>
      </c>
      <c r="F9037" s="17" t="str">
        <f>IFERROR(__xludf.DUMMYFUNCTION("""COMPUTED_VALUE"""),"Cra 36 # 54-112  / Cabecera del llano - Apto 602 / Cabecera")</f>
        <v>Cra 36 # 54-112  / Cabecera del llano - Apto 602 / Cabecera</v>
      </c>
      <c r="G9037" s="15" t="str">
        <f>IFERROR(__xludf.DUMMYFUNCTION("""COMPUTED_VALUE"""),"Paula Fernanda Tarazona")</f>
        <v>Paula Fernanda Tarazona</v>
      </c>
      <c r="H9037" s="16">
        <f>IFERROR(__xludf.DUMMYFUNCTION("""COMPUTED_VALUE"""),17682.0)</f>
        <v>17682</v>
      </c>
      <c r="I9037" s="18">
        <f>IFERROR(__xludf.DUMMYFUNCTION("""COMPUTED_VALUE"""),16.0)</f>
        <v>16</v>
      </c>
      <c r="J9037" s="18">
        <f>IFERROR(__xludf.DUMMYFUNCTION("""COMPUTED_VALUE"""),23.0)</f>
        <v>23</v>
      </c>
      <c r="K9037" s="18">
        <f>IFERROR(__xludf.DUMMYFUNCTION("""COMPUTED_VALUE"""),8.0)</f>
        <v>8</v>
      </c>
      <c r="L9037" s="17">
        <f>IFERROR(__xludf.DUMMYFUNCTION("""COMPUTED_VALUE"""),3.188001575E9)</f>
        <v>3188001575</v>
      </c>
      <c r="M9037" s="17"/>
      <c r="N9037" s="17"/>
      <c r="O9037" s="17"/>
      <c r="P9037" s="17" t="b">
        <f>IFERROR(__xludf.DUMMYFUNCTION("""COMPUTED_VALUE"""),TRUE)</f>
        <v>1</v>
      </c>
      <c r="Q9037" s="20">
        <f>IFERROR(__xludf.DUMMYFUNCTION("""COMPUTED_VALUE"""),45259.51352425926)</f>
        <v>45259.51352</v>
      </c>
      <c r="R9037" s="21" t="str">
        <f>IFERROR(__xludf.DUMMYFUNCTION("""COMPUTED_VALUE"""),"https://drive.google.com/file/d/1O8ANwxtsfsb-r7nE_wcBsh9nGrvb4g9d/view?usp=drivesdk")</f>
        <v>https://drive.google.com/file/d/1O8ANwxtsfsb-r7nE_wcBsh9nGrvb4g9d/view?usp=drivesdk</v>
      </c>
    </row>
    <row r="9038">
      <c r="A9038" s="15">
        <f>IFERROR(__xludf.DUMMYFUNCTION("""COMPUTED_VALUE"""),45258.0)</f>
        <v>45258</v>
      </c>
      <c r="B9038" s="16" t="str">
        <f>IFERROR(__xludf.DUMMYFUNCTION("""COMPUTED_VALUE"""),"Johanna Arango Barrera")</f>
        <v>Johanna Arango Barrera</v>
      </c>
      <c r="C9038" s="15" t="str">
        <f>IFERROR(__xludf.DUMMYFUNCTION("""COMPUTED_VALUE"""),"BUCARAMANGA")</f>
        <v>BUCARAMANGA</v>
      </c>
      <c r="D9038" s="15" t="str">
        <f>IFERROR(__xludf.DUMMYFUNCTION("""COMPUTED_VALUE"""),"MEDELLÍN")</f>
        <v>MEDELLÍN</v>
      </c>
      <c r="E9038" s="15" t="str">
        <f>IFERROR(__xludf.DUMMYFUNCTION("""COMPUTED_VALUE"""),"Baby Chef")</f>
        <v>Baby Chef</v>
      </c>
      <c r="F9038" s="17" t="str">
        <f>IFERROR(__xludf.DUMMYFUNCTION("""COMPUTED_VALUE"""),"Calle 31 #14occ-14 barrio don Bosco Bucaramanga / . / .")</f>
        <v>Calle 31 #14occ-14 barrio don Bosco Bucaramanga / . / .</v>
      </c>
      <c r="G9038" s="15" t="str">
        <f>IFERROR(__xludf.DUMMYFUNCTION("""COMPUTED_VALUE"""),"Fernanda Romero")</f>
        <v>Fernanda Romero</v>
      </c>
      <c r="H9038" s="16">
        <f>IFERROR(__xludf.DUMMYFUNCTION("""COMPUTED_VALUE"""),17720.0)</f>
        <v>17720</v>
      </c>
      <c r="I9038" s="18">
        <f>IFERROR(__xludf.DUMMYFUNCTION("""COMPUTED_VALUE"""),10.0)</f>
        <v>10</v>
      </c>
      <c r="J9038" s="18">
        <f>IFERROR(__xludf.DUMMYFUNCTION("""COMPUTED_VALUE"""),22.0)</f>
        <v>22</v>
      </c>
      <c r="K9038" s="18">
        <f>IFERROR(__xludf.DUMMYFUNCTION("""COMPUTED_VALUE"""),38.0)</f>
        <v>38</v>
      </c>
      <c r="L9038" s="17">
        <f>IFERROR(__xludf.DUMMYFUNCTION("""COMPUTED_VALUE"""),3.194260714E9)</f>
        <v>3194260714</v>
      </c>
      <c r="M9038" s="17"/>
      <c r="N9038" s="17"/>
      <c r="O9038" s="17"/>
      <c r="P9038" s="17" t="b">
        <f>IFERROR(__xludf.DUMMYFUNCTION("""COMPUTED_VALUE"""),FALSE)</f>
        <v>0</v>
      </c>
      <c r="Q9038" s="20" t="str">
        <f>IFERROR(__xludf.DUMMYFUNCTION("""COMPUTED_VALUE"""),"")</f>
        <v/>
      </c>
      <c r="R9038" s="21" t="str">
        <f>IFERROR(__xludf.DUMMYFUNCTION("""COMPUTED_VALUE"""),"https://drive.google.com/file/d/1KSjNX1-uedHVRZMqPZ_pRr-dy7TUcjlQ/view?usp=drivesdk")</f>
        <v>https://drive.google.com/file/d/1KSjNX1-uedHVRZMqPZ_pRr-dy7TUcjlQ/view?usp=drivesdk</v>
      </c>
    </row>
    <row r="9039">
      <c r="A9039" s="15">
        <f>IFERROR(__xludf.DUMMYFUNCTION("""COMPUTED_VALUE"""),45258.0)</f>
        <v>45258</v>
      </c>
      <c r="B9039" s="16" t="str">
        <f>IFERROR(__xludf.DUMMYFUNCTION("""COMPUTED_VALUE"""),"Johanna Arango Barrera")</f>
        <v>Johanna Arango Barrera</v>
      </c>
      <c r="C9039" s="15" t="str">
        <f>IFERROR(__xludf.DUMMYFUNCTION("""COMPUTED_VALUE"""),"BUCARAMANGA")</f>
        <v>BUCARAMANGA</v>
      </c>
      <c r="D9039" s="15" t="str">
        <f>IFERROR(__xludf.DUMMYFUNCTION("""COMPUTED_VALUE"""),"MEDELLÍN")</f>
        <v>MEDELLÍN</v>
      </c>
      <c r="E9039" s="15" t="str">
        <f>IFERROR(__xludf.DUMMYFUNCTION("""COMPUTED_VALUE"""),"Baby Chef")</f>
        <v>Baby Chef</v>
      </c>
      <c r="F9039" s="17" t="str">
        <f>IFERROR(__xludf.DUMMYFUNCTION("""COMPUTED_VALUE"""),"Calle 71# 53- 96 lagos club house Lagos del cacique Apartamento 204 / . / .")</f>
        <v>Calle 71# 53- 96 lagos club house Lagos del cacique Apartamento 204 / . / .</v>
      </c>
      <c r="G9039" s="15" t="str">
        <f>IFERROR(__xludf.DUMMYFUNCTION("""COMPUTED_VALUE"""),"Silvia Martinez")</f>
        <v>Silvia Martinez</v>
      </c>
      <c r="H9039" s="16">
        <f>IFERROR(__xludf.DUMMYFUNCTION("""COMPUTED_VALUE"""),17721.0)</f>
        <v>17721</v>
      </c>
      <c r="I9039" s="18">
        <f>IFERROR(__xludf.DUMMYFUNCTION("""COMPUTED_VALUE"""),6.0)</f>
        <v>6</v>
      </c>
      <c r="J9039" s="18">
        <f>IFERROR(__xludf.DUMMYFUNCTION("""COMPUTED_VALUE"""),31.0)</f>
        <v>31</v>
      </c>
      <c r="K9039" s="18">
        <f>IFERROR(__xludf.DUMMYFUNCTION("""COMPUTED_VALUE"""),23.0)</f>
        <v>23</v>
      </c>
      <c r="L9039" s="17">
        <f>IFERROR(__xludf.DUMMYFUNCTION("""COMPUTED_VALUE"""),3.175954971E9)</f>
        <v>3175954971</v>
      </c>
      <c r="M9039" s="17"/>
      <c r="N9039" s="17"/>
      <c r="O9039" s="17"/>
      <c r="P9039" s="17" t="b">
        <f>IFERROR(__xludf.DUMMYFUNCTION("""COMPUTED_VALUE"""),FALSE)</f>
        <v>0</v>
      </c>
      <c r="Q9039" s="20" t="str">
        <f>IFERROR(__xludf.DUMMYFUNCTION("""COMPUTED_VALUE"""),"")</f>
        <v/>
      </c>
      <c r="R9039" s="21" t="str">
        <f>IFERROR(__xludf.DUMMYFUNCTION("""COMPUTED_VALUE"""),"https://drive.google.com/file/d/1Vlgp0SY7uhB2ASlU13xE_F-2eiihs0kV/view?usp=drivesdk")</f>
        <v>https://drive.google.com/file/d/1Vlgp0SY7uhB2ASlU13xE_F-2eiihs0kV/view?usp=drivesdk</v>
      </c>
    </row>
    <row r="9040">
      <c r="A9040" s="15">
        <f>IFERROR(__xludf.DUMMYFUNCTION("""COMPUTED_VALUE"""),45258.0)</f>
        <v>45258</v>
      </c>
      <c r="B9040" s="16" t="str">
        <f>IFERROR(__xludf.DUMMYFUNCTION("""COMPUTED_VALUE"""),"Johanna Arango Barrera")</f>
        <v>Johanna Arango Barrera</v>
      </c>
      <c r="C9040" s="15" t="str">
        <f>IFERROR(__xludf.DUMMYFUNCTION("""COMPUTED_VALUE"""),"BUCARAMANGA")</f>
        <v>BUCARAMANGA</v>
      </c>
      <c r="D9040" s="15" t="str">
        <f>IFERROR(__xludf.DUMMYFUNCTION("""COMPUTED_VALUE"""),"MEDELLÍN")</f>
        <v>MEDELLÍN</v>
      </c>
      <c r="E9040" s="15" t="str">
        <f>IFERROR(__xludf.DUMMYFUNCTION("""COMPUTED_VALUE"""),"MARTHA ISABEL GONZALEZ PEREZ")</f>
        <v>MARTHA ISABEL GONZALEZ PEREZ</v>
      </c>
      <c r="F9040" s="17" t="str">
        <f>IFERROR(__xludf.DUMMYFUNCTION("""COMPUTED_VALUE"""),"Cra 23 # 48-41 / Ed. Irazu apto 1603")</f>
        <v>Cra 23 # 48-41 / Ed. Irazu apto 1603</v>
      </c>
      <c r="G9040" s="15" t="str">
        <f>IFERROR(__xludf.DUMMYFUNCTION("""COMPUTED_VALUE"""),"Erika Janneth Londoño")</f>
        <v>Erika Janneth Londoño</v>
      </c>
      <c r="H9040" s="16">
        <f>IFERROR(__xludf.DUMMYFUNCTION("""COMPUTED_VALUE"""),17672.0)</f>
        <v>17672</v>
      </c>
      <c r="I9040" s="17"/>
      <c r="J9040" s="17"/>
      <c r="K9040" s="17"/>
      <c r="L9040" s="17">
        <f>IFERROR(__xludf.DUMMYFUNCTION("""COMPUTED_VALUE"""),3.186053735E9)</f>
        <v>3186053735</v>
      </c>
      <c r="M9040" s="17"/>
      <c r="N9040" s="17"/>
      <c r="O9040" s="17"/>
      <c r="P9040" s="17" t="b">
        <f>IFERROR(__xludf.DUMMYFUNCTION("""COMPUTED_VALUE"""),FALSE)</f>
        <v>0</v>
      </c>
      <c r="Q9040" s="20" t="str">
        <f>IFERROR(__xludf.DUMMYFUNCTION("""COMPUTED_VALUE"""),"")</f>
        <v/>
      </c>
      <c r="R9040" s="21" t="str">
        <f>IFERROR(__xludf.DUMMYFUNCTION("""COMPUTED_VALUE"""),"https://drive.google.com/file/d/1aHRcRIthKZrivDzYhY9dWTkvaPLsEELU/view?usp=drivesdk")</f>
        <v>https://drive.google.com/file/d/1aHRcRIthKZrivDzYhY9dWTkvaPLsEELU/view?usp=drivesdk</v>
      </c>
    </row>
    <row r="9041">
      <c r="A9041" s="15">
        <f>IFERROR(__xludf.DUMMYFUNCTION("""COMPUTED_VALUE"""),45258.0)</f>
        <v>45258</v>
      </c>
      <c r="B9041" s="16" t="str">
        <f>IFERROR(__xludf.DUMMYFUNCTION("""COMPUTED_VALUE"""),"Johanna Arango Barrera")</f>
        <v>Johanna Arango Barrera</v>
      </c>
      <c r="C9041" s="15" t="str">
        <f>IFERROR(__xludf.DUMMYFUNCTION("""COMPUTED_VALUE"""),"FLORIDABLANCA")</f>
        <v>FLORIDABLANCA</v>
      </c>
      <c r="D9041" s="15" t="str">
        <f>IFERROR(__xludf.DUMMYFUNCTION("""COMPUTED_VALUE"""),"BOGOTÁ")</f>
        <v>BOGOTÁ</v>
      </c>
      <c r="E9041" s="15" t="str">
        <f>IFERROR(__xludf.DUMMYFUNCTION("""COMPUTED_VALUE"""),"Asociacion Agropecuaria Juana Maria")</f>
        <v>Asociacion Agropecuaria Juana Maria</v>
      </c>
      <c r="F9041" s="17" t="str">
        <f>IFERROR(__xludf.DUMMYFUNCTION("""COMPUTED_VALUE"""),"Calle 19 #11-37 / Guanatá FLORIDABLANCA")</f>
        <v>Calle 19 #11-37 / Guanatá FLORIDABLANCA</v>
      </c>
      <c r="G9041" s="15" t="str">
        <f>IFERROR(__xludf.DUMMYFUNCTION("""COMPUTED_VALUE"""),"Claudia Gonzalez")</f>
        <v>Claudia Gonzalez</v>
      </c>
      <c r="H9041" s="16">
        <f>IFERROR(__xludf.DUMMYFUNCTION("""COMPUTED_VALUE"""),17645.0)</f>
        <v>17645</v>
      </c>
      <c r="I9041" s="17"/>
      <c r="J9041" s="17"/>
      <c r="K9041" s="17"/>
      <c r="L9041" s="17">
        <f>IFERROR(__xludf.DUMMYFUNCTION("""COMPUTED_VALUE"""),3.002802001E9)</f>
        <v>3002802001</v>
      </c>
      <c r="M9041" s="17"/>
      <c r="N9041" s="17"/>
      <c r="O9041" s="17"/>
      <c r="P9041" s="17" t="b">
        <f>IFERROR(__xludf.DUMMYFUNCTION("""COMPUTED_VALUE"""),FALSE)</f>
        <v>0</v>
      </c>
      <c r="Q9041" s="20" t="str">
        <f>IFERROR(__xludf.DUMMYFUNCTION("""COMPUTED_VALUE"""),"")</f>
        <v/>
      </c>
      <c r="R9041" s="21" t="str">
        <f>IFERROR(__xludf.DUMMYFUNCTION("""COMPUTED_VALUE"""),"https://drive.google.com/file/d/1hl_XypgIjYZnvZqnU3KgjI0Axaxx9bMF/view?usp=drivesdk")</f>
        <v>https://drive.google.com/file/d/1hl_XypgIjYZnvZqnU3KgjI0Axaxx9bMF/view?usp=drivesdk</v>
      </c>
    </row>
    <row r="9042">
      <c r="A9042" s="15">
        <f>IFERROR(__xludf.DUMMYFUNCTION("""COMPUTED_VALUE"""),45258.0)</f>
        <v>45258</v>
      </c>
      <c r="B9042" s="16" t="str">
        <f>IFERROR(__xludf.DUMMYFUNCTION("""COMPUTED_VALUE"""),"Johanna Arango Barrera")</f>
        <v>Johanna Arango Barrera</v>
      </c>
      <c r="C9042" s="15" t="str">
        <f>IFERROR(__xludf.DUMMYFUNCTION("""COMPUTED_VALUE"""),"PEREIRA")</f>
        <v>PEREIRA</v>
      </c>
      <c r="D9042" s="15" t="str">
        <f>IFERROR(__xludf.DUMMYFUNCTION("""COMPUTED_VALUE"""),"MEDELLÍN")</f>
        <v>MEDELLÍN</v>
      </c>
      <c r="E9042" s="15" t="str">
        <f>IFERROR(__xludf.DUMMYFUNCTION("""COMPUTED_VALUE"""),"TOLEDALES S.A.S")</f>
        <v>TOLEDALES S.A.S</v>
      </c>
      <c r="F9042" s="17" t="str">
        <f>IFERROR(__xludf.DUMMYFUNCTION("""COMPUTED_VALUE"""),"Manzana 42 casa 13 piso 2 Samaria 1 / casa 13 piso 2 Samaria 1")</f>
        <v>Manzana 42 casa 13 piso 2 Samaria 1 / casa 13 piso 2 Samaria 1</v>
      </c>
      <c r="G9042" s="15" t="str">
        <f>IFERROR(__xludf.DUMMYFUNCTION("""COMPUTED_VALUE"""),"luz omaida jimenez")</f>
        <v>luz omaida jimenez</v>
      </c>
      <c r="H9042" s="16">
        <f>IFERROR(__xludf.DUMMYFUNCTION("""COMPUTED_VALUE"""),17666.0)</f>
        <v>17666</v>
      </c>
      <c r="I9042" s="17"/>
      <c r="J9042" s="17"/>
      <c r="K9042" s="17"/>
      <c r="L9042" s="17">
        <f>IFERROR(__xludf.DUMMYFUNCTION("""COMPUTED_VALUE"""),3.14562573E9)</f>
        <v>3145625730</v>
      </c>
      <c r="M9042" s="17"/>
      <c r="N9042" s="17"/>
      <c r="O9042" s="17"/>
      <c r="P9042" s="17" t="b">
        <f>IFERROR(__xludf.DUMMYFUNCTION("""COMPUTED_VALUE"""),FALSE)</f>
        <v>0</v>
      </c>
      <c r="Q9042" s="20" t="str">
        <f>IFERROR(__xludf.DUMMYFUNCTION("""COMPUTED_VALUE"""),"")</f>
        <v/>
      </c>
      <c r="R9042" s="21" t="str">
        <f>IFERROR(__xludf.DUMMYFUNCTION("""COMPUTED_VALUE"""),"https://drive.google.com/file/d/1j4GLHcoA3IGtVRxmhqz-SbaGnnGZpP2I/view?usp=drivesdk")</f>
        <v>https://drive.google.com/file/d/1j4GLHcoA3IGtVRxmhqz-SbaGnnGZpP2I/view?usp=drivesdk</v>
      </c>
    </row>
    <row r="9043">
      <c r="A9043" s="15">
        <f>IFERROR(__xludf.DUMMYFUNCTION("""COMPUTED_VALUE"""),45258.0)</f>
        <v>45258</v>
      </c>
      <c r="B9043" s="16" t="str">
        <f>IFERROR(__xludf.DUMMYFUNCTION("""COMPUTED_VALUE"""),"Johanna Arango Barrera")</f>
        <v>Johanna Arango Barrera</v>
      </c>
      <c r="C9043" s="15" t="str">
        <f>IFERROR(__xludf.DUMMYFUNCTION("""COMPUTED_VALUE"""),"PEREIRA")</f>
        <v>PEREIRA</v>
      </c>
      <c r="D9043" s="15" t="str">
        <f>IFERROR(__xludf.DUMMYFUNCTION("""COMPUTED_VALUE"""),"MEDELLÍN")</f>
        <v>MEDELLÍN</v>
      </c>
      <c r="E9043" s="15" t="str">
        <f>IFERROR(__xludf.DUMMYFUNCTION("""COMPUTED_VALUE"""),"TOLEDALES S.A.S")</f>
        <v>TOLEDALES S.A.S</v>
      </c>
      <c r="F9043" s="17" t="str">
        <f>IFERROR(__xludf.DUMMYFUNCTION("""COMPUTED_VALUE"""),"Manzana 42 casa 13 piso 2 Samaria 1 / casa 13 piso 2 Samaria 1")</f>
        <v>Manzana 42 casa 13 piso 2 Samaria 1 / casa 13 piso 2 Samaria 1</v>
      </c>
      <c r="G9043" s="15" t="str">
        <f>IFERROR(__xludf.DUMMYFUNCTION("""COMPUTED_VALUE"""),"luz omaida jimenez")</f>
        <v>luz omaida jimenez</v>
      </c>
      <c r="H9043" s="16">
        <f>IFERROR(__xludf.DUMMYFUNCTION("""COMPUTED_VALUE"""),17668.0)</f>
        <v>17668</v>
      </c>
      <c r="I9043" s="17"/>
      <c r="J9043" s="17"/>
      <c r="K9043" s="17"/>
      <c r="L9043" s="17">
        <f>IFERROR(__xludf.DUMMYFUNCTION("""COMPUTED_VALUE"""),3.14562573E9)</f>
        <v>3145625730</v>
      </c>
      <c r="M9043" s="17"/>
      <c r="N9043" s="17"/>
      <c r="O9043" s="17"/>
      <c r="P9043" s="17" t="b">
        <f>IFERROR(__xludf.DUMMYFUNCTION("""COMPUTED_VALUE"""),FALSE)</f>
        <v>0</v>
      </c>
      <c r="Q9043" s="20" t="str">
        <f>IFERROR(__xludf.DUMMYFUNCTION("""COMPUTED_VALUE"""),"")</f>
        <v/>
      </c>
      <c r="R9043" s="21" t="str">
        <f>IFERROR(__xludf.DUMMYFUNCTION("""COMPUTED_VALUE"""),"https://drive.google.com/file/d/1rZP3dzsIEQKXqkzPRte8DGVrdcfQVUhD/view?usp=drivesdk")</f>
        <v>https://drive.google.com/file/d/1rZP3dzsIEQKXqkzPRte8DGVrdcfQVUhD/view?usp=drivesdk</v>
      </c>
    </row>
    <row r="9044">
      <c r="A9044" s="17" t="str">
        <f>IFERROR(__xludf.DUMMYFUNCTION("""COMPUTED_VALUE"""),"")</f>
        <v/>
      </c>
      <c r="B9044" s="17" t="str">
        <f>IFERROR(__xludf.DUMMYFUNCTION("""COMPUTED_VALUE"""),"")</f>
        <v/>
      </c>
      <c r="C9044" s="17" t="str">
        <f>IFERROR(__xludf.DUMMYFUNCTION("""COMPUTED_VALUE"""),"")</f>
        <v/>
      </c>
      <c r="D9044" s="17" t="str">
        <f>IFERROR(__xludf.DUMMYFUNCTION("""COMPUTED_VALUE"""),"")</f>
        <v/>
      </c>
      <c r="E9044" s="17" t="str">
        <f>IFERROR(__xludf.DUMMYFUNCTION("""COMPUTED_VALUE"""),"")</f>
        <v/>
      </c>
      <c r="F9044" s="17" t="str">
        <f>IFERROR(__xludf.DUMMYFUNCTION("""COMPUTED_VALUE"""),"")</f>
        <v/>
      </c>
      <c r="G9044" s="17" t="str">
        <f>IFERROR(__xludf.DUMMYFUNCTION("""COMPUTED_VALUE"""),"")</f>
        <v/>
      </c>
      <c r="H9044" s="17" t="str">
        <f>IFERROR(__xludf.DUMMYFUNCTION("""COMPUTED_VALUE"""),"")</f>
        <v/>
      </c>
      <c r="I9044" s="17" t="str">
        <f>IFERROR(__xludf.DUMMYFUNCTION("""COMPUTED_VALUE"""),"")</f>
        <v/>
      </c>
      <c r="J9044" s="17" t="str">
        <f>IFERROR(__xludf.DUMMYFUNCTION("""COMPUTED_VALUE"""),"")</f>
        <v/>
      </c>
      <c r="K9044" s="17" t="str">
        <f>IFERROR(__xludf.DUMMYFUNCTION("""COMPUTED_VALUE"""),"")</f>
        <v/>
      </c>
      <c r="L9044" s="17" t="str">
        <f>IFERROR(__xludf.DUMMYFUNCTION("""COMPUTED_VALUE"""),"")</f>
        <v/>
      </c>
      <c r="M9044" s="17" t="str">
        <f>IFERROR(__xludf.DUMMYFUNCTION("""COMPUTED_VALUE"""),"")</f>
        <v/>
      </c>
      <c r="N9044" s="17" t="str">
        <f>IFERROR(__xludf.DUMMYFUNCTION("""COMPUTED_VALUE"""),"")</f>
        <v/>
      </c>
      <c r="O9044" s="17" t="str">
        <f>IFERROR(__xludf.DUMMYFUNCTION("""COMPUTED_VALUE"""),"")</f>
        <v/>
      </c>
      <c r="P9044" s="17" t="str">
        <f>IFERROR(__xludf.DUMMYFUNCTION("""COMPUTED_VALUE"""),"")</f>
        <v/>
      </c>
      <c r="Q9044" s="17" t="str">
        <f>IFERROR(__xludf.DUMMYFUNCTION("""COMPUTED_VALUE"""),"")</f>
        <v/>
      </c>
      <c r="R9044" s="17" t="str">
        <f>IFERROR(__xludf.DUMMYFUNCTION("""COMPUTED_VALUE"""),"")</f>
        <v/>
      </c>
    </row>
    <row r="9045">
      <c r="A9045" s="15">
        <f>IFERROR(__xludf.DUMMYFUNCTION("""COMPUTED_VALUE"""),45258.0)</f>
        <v>45258</v>
      </c>
      <c r="B9045" s="16" t="str">
        <f>IFERROR(__xludf.DUMMYFUNCTION("""COMPUTED_VALUE"""),"Julián Alexis salazar Anaya ")</f>
        <v>Julián Alexis salazar Anaya </v>
      </c>
      <c r="C9045" s="15" t="str">
        <f>IFERROR(__xludf.DUMMYFUNCTION("""COMPUTED_VALUE"""),"ARMENIA")</f>
        <v>ARMENIA</v>
      </c>
      <c r="D9045" s="15" t="str">
        <f>IFERROR(__xludf.DUMMYFUNCTION("""COMPUTED_VALUE"""),"BOGOTÁ")</f>
        <v>BOGOTÁ</v>
      </c>
      <c r="E9045" s="15" t="str">
        <f>IFERROR(__xludf.DUMMYFUNCTION("""COMPUTED_VALUE"""),"Instinto alimento vital")</f>
        <v>Instinto alimento vital</v>
      </c>
      <c r="F9045" s="17" t="str">
        <f>IFERROR(__xludf.DUMMYFUNCTION("""COMPUTED_VALUE"""),"CALLE14 NORTE 10 49 / EDIFICIO LA CASTELLANA APTO 502")</f>
        <v>CALLE14 NORTE 10 49 / EDIFICIO LA CASTELLANA APTO 502</v>
      </c>
      <c r="G9045" s="15" t="str">
        <f>IFERROR(__xludf.DUMMYFUNCTION("""COMPUTED_VALUE"""),"JIMENA PALACIO")</f>
        <v>JIMENA PALACIO</v>
      </c>
      <c r="H9045" s="16">
        <f>IFERROR(__xludf.DUMMYFUNCTION("""COMPUTED_VALUE"""),17639.0)</f>
        <v>17639</v>
      </c>
      <c r="I9045" s="17"/>
      <c r="J9045" s="17"/>
      <c r="K9045" s="17"/>
      <c r="L9045" s="17">
        <f>IFERROR(__xludf.DUMMYFUNCTION("""COMPUTED_VALUE"""),3.105042231E9)</f>
        <v>3105042231</v>
      </c>
      <c r="M9045" s="17"/>
      <c r="N9045" s="17"/>
      <c r="O9045" s="17"/>
      <c r="P9045" s="17" t="b">
        <f>IFERROR(__xludf.DUMMYFUNCTION("""COMPUTED_VALUE"""),FALSE)</f>
        <v>0</v>
      </c>
      <c r="Q9045" s="20" t="str">
        <f>IFERROR(__xludf.DUMMYFUNCTION("""COMPUTED_VALUE"""),"")</f>
        <v/>
      </c>
      <c r="R9045" s="21" t="str">
        <f>IFERROR(__xludf.DUMMYFUNCTION("""COMPUTED_VALUE"""),"https://drive.google.com/file/d/1-VxpKDOiXxGfp1I0fUswTHlZqWU4_Be7/view?usp=drivesdk")</f>
        <v>https://drive.google.com/file/d/1-VxpKDOiXxGfp1I0fUswTHlZqWU4_Be7/view?usp=drivesdk</v>
      </c>
    </row>
    <row r="9046">
      <c r="A9046" s="15">
        <f>IFERROR(__xludf.DUMMYFUNCTION("""COMPUTED_VALUE"""),45258.0)</f>
        <v>45258</v>
      </c>
      <c r="B9046" s="16" t="str">
        <f>IFERROR(__xludf.DUMMYFUNCTION("""COMPUTED_VALUE"""),"Julián Alexis salazar Anaya ")</f>
        <v>Julián Alexis salazar Anaya </v>
      </c>
      <c r="C9046" s="15" t="str">
        <f>IFERROR(__xludf.DUMMYFUNCTION("""COMPUTED_VALUE"""),"ARMENIA")</f>
        <v>ARMENIA</v>
      </c>
      <c r="D9046" s="15" t="str">
        <f>IFERROR(__xludf.DUMMYFUNCTION("""COMPUTED_VALUE"""),"BOGOTÁ")</f>
        <v>BOGOTÁ</v>
      </c>
      <c r="E9046" s="15" t="str">
        <f>IFERROR(__xludf.DUMMYFUNCTION("""COMPUTED_VALUE"""),"Top Spun")</f>
        <v>Top Spun</v>
      </c>
      <c r="F9046" s="17" t="str">
        <f>IFERROR(__xludf.DUMMYFUNCTION("""COMPUTED_VALUE"""),"Carrera 19 #11Norte-93 / unidad 4 bloque 13 apto 4A / proviteq (Torres del norte)")</f>
        <v>Carrera 19 #11Norte-93 / unidad 4 bloque 13 apto 4A / proviteq (Torres del norte)</v>
      </c>
      <c r="G9046" s="15" t="str">
        <f>IFERROR(__xludf.DUMMYFUNCTION("""COMPUTED_VALUE"""),"Mayra Delgado Moreno")</f>
        <v>Mayra Delgado Moreno</v>
      </c>
      <c r="H9046" s="16">
        <f>IFERROR(__xludf.DUMMYFUNCTION("""COMPUTED_VALUE"""),17635.0)</f>
        <v>17635</v>
      </c>
      <c r="I9046" s="18">
        <f>IFERROR(__xludf.DUMMYFUNCTION("""COMPUTED_VALUE"""),20.0)</f>
        <v>20</v>
      </c>
      <c r="J9046" s="18">
        <f>IFERROR(__xludf.DUMMYFUNCTION("""COMPUTED_VALUE"""),10.0)</f>
        <v>10</v>
      </c>
      <c r="K9046" s="18">
        <f>IFERROR(__xludf.DUMMYFUNCTION("""COMPUTED_VALUE"""),40.0)</f>
        <v>40</v>
      </c>
      <c r="L9046" s="17">
        <f>IFERROR(__xludf.DUMMYFUNCTION("""COMPUTED_VALUE"""),3.207135069E9)</f>
        <v>3207135069</v>
      </c>
      <c r="M9046" s="17"/>
      <c r="N9046" s="17"/>
      <c r="O9046" s="17"/>
      <c r="P9046" s="17" t="b">
        <f>IFERROR(__xludf.DUMMYFUNCTION("""COMPUTED_VALUE"""),FALSE)</f>
        <v>0</v>
      </c>
      <c r="Q9046" s="20" t="str">
        <f>IFERROR(__xludf.DUMMYFUNCTION("""COMPUTED_VALUE"""),"")</f>
        <v/>
      </c>
      <c r="R9046" s="22" t="str">
        <f>IFERROR(__xludf.DUMMYFUNCTION("""COMPUTED_VALUE"""),"")</f>
        <v/>
      </c>
    </row>
    <row r="9047">
      <c r="A9047" s="15">
        <f>IFERROR(__xludf.DUMMYFUNCTION("""COMPUTED_VALUE"""),45258.0)</f>
        <v>45258</v>
      </c>
      <c r="B9047" s="16" t="str">
        <f>IFERROR(__xludf.DUMMYFUNCTION("""COMPUTED_VALUE"""),"Julián Alexis salazar Anaya ")</f>
        <v>Julián Alexis salazar Anaya </v>
      </c>
      <c r="C9047" s="15" t="str">
        <f>IFERROR(__xludf.DUMMYFUNCTION("""COMPUTED_VALUE"""),"MANIZALES")</f>
        <v>MANIZALES</v>
      </c>
      <c r="D9047" s="15" t="str">
        <f>IFERROR(__xludf.DUMMYFUNCTION("""COMPUTED_VALUE"""),"MEDELLÍN")</f>
        <v>MEDELLÍN</v>
      </c>
      <c r="E9047" s="15" t="str">
        <f>IFERROR(__xludf.DUMMYFUNCTION("""COMPUTED_VALUE"""),"Todo Bufala")</f>
        <v>Todo Bufala</v>
      </c>
      <c r="F9047" s="17" t="str">
        <f>IFERROR(__xludf.DUMMYFUNCTION("""COMPUTED_VALUE"""),"Calle 66 #23B - 211 / Edifico calle larga, local 5c")</f>
        <v>Calle 66 #23B - 211 / Edifico calle larga, local 5c</v>
      </c>
      <c r="G9047" s="15" t="str">
        <f>IFERROR(__xludf.DUMMYFUNCTION("""COMPUTED_VALUE"""),"Sebastian Perez Pineda")</f>
        <v>Sebastian Perez Pineda</v>
      </c>
      <c r="H9047" s="16">
        <f>IFERROR(__xludf.DUMMYFUNCTION("""COMPUTED_VALUE"""),17673.0)</f>
        <v>17673</v>
      </c>
      <c r="I9047" s="17"/>
      <c r="J9047" s="17"/>
      <c r="K9047" s="17"/>
      <c r="L9047" s="17">
        <f>IFERROR(__xludf.DUMMYFUNCTION("""COMPUTED_VALUE"""),3.106974621E9)</f>
        <v>3106974621</v>
      </c>
      <c r="M9047" s="17"/>
      <c r="N9047" s="17"/>
      <c r="O9047" s="17"/>
      <c r="P9047" s="17" t="b">
        <f>IFERROR(__xludf.DUMMYFUNCTION("""COMPUTED_VALUE"""),FALSE)</f>
        <v>0</v>
      </c>
      <c r="Q9047" s="20" t="str">
        <f>IFERROR(__xludf.DUMMYFUNCTION("""COMPUTED_VALUE"""),"")</f>
        <v/>
      </c>
      <c r="R9047" s="21" t="str">
        <f>IFERROR(__xludf.DUMMYFUNCTION("""COMPUTED_VALUE"""),"https://drive.google.com/file/d/1AwvK5qfe9Bac12pLWRcq-T4eGyBxs0Tq/view?usp=drivesdk")</f>
        <v>https://drive.google.com/file/d/1AwvK5qfe9Bac12pLWRcq-T4eGyBxs0Tq/view?usp=drivesdk</v>
      </c>
    </row>
    <row r="9048">
      <c r="A9048" s="17" t="str">
        <f>IFERROR(__xludf.DUMMYFUNCTION("""COMPUTED_VALUE"""),"")</f>
        <v/>
      </c>
      <c r="B9048" s="17" t="str">
        <f>IFERROR(__xludf.DUMMYFUNCTION("""COMPUTED_VALUE"""),"")</f>
        <v/>
      </c>
      <c r="C9048" s="17" t="str">
        <f>IFERROR(__xludf.DUMMYFUNCTION("""COMPUTED_VALUE"""),"")</f>
        <v/>
      </c>
      <c r="D9048" s="17" t="str">
        <f>IFERROR(__xludf.DUMMYFUNCTION("""COMPUTED_VALUE"""),"")</f>
        <v/>
      </c>
      <c r="E9048" s="17" t="str">
        <f>IFERROR(__xludf.DUMMYFUNCTION("""COMPUTED_VALUE"""),"")</f>
        <v/>
      </c>
      <c r="F9048" s="17" t="str">
        <f>IFERROR(__xludf.DUMMYFUNCTION("""COMPUTED_VALUE"""),"")</f>
        <v/>
      </c>
      <c r="G9048" s="17" t="str">
        <f>IFERROR(__xludf.DUMMYFUNCTION("""COMPUTED_VALUE"""),"")</f>
        <v/>
      </c>
      <c r="H9048" s="17" t="str">
        <f>IFERROR(__xludf.DUMMYFUNCTION("""COMPUTED_VALUE"""),"")</f>
        <v/>
      </c>
      <c r="I9048" s="17" t="str">
        <f>IFERROR(__xludf.DUMMYFUNCTION("""COMPUTED_VALUE"""),"")</f>
        <v/>
      </c>
      <c r="J9048" s="17" t="str">
        <f>IFERROR(__xludf.DUMMYFUNCTION("""COMPUTED_VALUE"""),"")</f>
        <v/>
      </c>
      <c r="K9048" s="17" t="str">
        <f>IFERROR(__xludf.DUMMYFUNCTION("""COMPUTED_VALUE"""),"")</f>
        <v/>
      </c>
      <c r="L9048" s="17" t="str">
        <f>IFERROR(__xludf.DUMMYFUNCTION("""COMPUTED_VALUE"""),"")</f>
        <v/>
      </c>
      <c r="M9048" s="17" t="str">
        <f>IFERROR(__xludf.DUMMYFUNCTION("""COMPUTED_VALUE"""),"")</f>
        <v/>
      </c>
      <c r="N9048" s="17" t="str">
        <f>IFERROR(__xludf.DUMMYFUNCTION("""COMPUTED_VALUE"""),"")</f>
        <v/>
      </c>
      <c r="O9048" s="17" t="str">
        <f>IFERROR(__xludf.DUMMYFUNCTION("""COMPUTED_VALUE"""),"")</f>
        <v/>
      </c>
      <c r="P9048" s="17" t="str">
        <f>IFERROR(__xludf.DUMMYFUNCTION("""COMPUTED_VALUE"""),"")</f>
        <v/>
      </c>
      <c r="Q9048" s="17" t="str">
        <f>IFERROR(__xludf.DUMMYFUNCTION("""COMPUTED_VALUE"""),"")</f>
        <v/>
      </c>
      <c r="R9048" s="17" t="str">
        <f>IFERROR(__xludf.DUMMYFUNCTION("""COMPUTED_VALUE"""),"")</f>
        <v/>
      </c>
    </row>
    <row r="9049">
      <c r="A9049" s="15">
        <f>IFERROR(__xludf.DUMMYFUNCTION("""COMPUTED_VALUE"""),45258.0)</f>
        <v>45258</v>
      </c>
      <c r="B9049" s="16" t="str">
        <f>IFERROR(__xludf.DUMMYFUNCTION("""COMPUTED_VALUE"""),"Kevin Andrés puerta Jaramillo")</f>
        <v>Kevin Andrés puerta Jaramillo</v>
      </c>
      <c r="C9049" s="15" t="str">
        <f>IFERROR(__xludf.DUMMYFUNCTION("""COMPUTED_VALUE"""),"ENVIGADO")</f>
        <v>ENVIGADO</v>
      </c>
      <c r="D9049" s="15" t="str">
        <f>IFERROR(__xludf.DUMMYFUNCTION("""COMPUTED_VALUE"""),"BOGOTÁ")</f>
        <v>BOGOTÁ</v>
      </c>
      <c r="E9049" s="15" t="str">
        <f>IFERROR(__xludf.DUMMYFUNCTION("""COMPUTED_VALUE"""),"Karem foods")</f>
        <v>Karem foods</v>
      </c>
      <c r="F9049" s="17" t="str">
        <f>IFERROR(__xludf.DUMMYFUNCTION("""COMPUTED_VALUE"""),"Carrera 42 # 23A Sur - 126  / Apto 702  / -")</f>
        <v>Carrera 42 # 23A Sur - 126  / Apto 702  / -</v>
      </c>
      <c r="G9049" s="15" t="str">
        <f>IFERROR(__xludf.DUMMYFUNCTION("""COMPUTED_VALUE"""),"Natalia Sánchez")</f>
        <v>Natalia Sánchez</v>
      </c>
      <c r="H9049" s="16">
        <f>IFERROR(__xludf.DUMMYFUNCTION("""COMPUTED_VALUE"""),17654.0)</f>
        <v>17654</v>
      </c>
      <c r="I9049" s="18">
        <f>IFERROR(__xludf.DUMMYFUNCTION("""COMPUTED_VALUE"""),7.0)</f>
        <v>7</v>
      </c>
      <c r="J9049" s="18">
        <f>IFERROR(__xludf.DUMMYFUNCTION("""COMPUTED_VALUE"""),20.0)</f>
        <v>20</v>
      </c>
      <c r="K9049" s="18">
        <f>IFERROR(__xludf.DUMMYFUNCTION("""COMPUTED_VALUE"""),20.0)</f>
        <v>20</v>
      </c>
      <c r="L9049" s="17">
        <f>IFERROR(__xludf.DUMMYFUNCTION("""COMPUTED_VALUE"""),3.002104779E9)</f>
        <v>3002104779</v>
      </c>
      <c r="M9049" s="17"/>
      <c r="N9049" s="17"/>
      <c r="O9049" s="17"/>
      <c r="P9049" s="17" t="b">
        <f>IFERROR(__xludf.DUMMYFUNCTION("""COMPUTED_VALUE"""),FALSE)</f>
        <v>0</v>
      </c>
      <c r="Q9049" s="20" t="str">
        <f>IFERROR(__xludf.DUMMYFUNCTION("""COMPUTED_VALUE"""),"")</f>
        <v/>
      </c>
      <c r="R9049" s="21" t="str">
        <f>IFERROR(__xludf.DUMMYFUNCTION("""COMPUTED_VALUE"""),"https://drive.google.com/file/d/1yUHJ-xbh5y9BA05QI_msdFXos1gWCX7Q/view?usp=drivesdk")</f>
        <v>https://drive.google.com/file/d/1yUHJ-xbh5y9BA05QI_msdFXos1gWCX7Q/view?usp=drivesdk</v>
      </c>
    </row>
    <row r="9050">
      <c r="A9050" s="15">
        <f>IFERROR(__xludf.DUMMYFUNCTION("""COMPUTED_VALUE"""),45258.0)</f>
        <v>45258</v>
      </c>
      <c r="B9050" s="16" t="str">
        <f>IFERROR(__xludf.DUMMYFUNCTION("""COMPUTED_VALUE"""),"Kevin Andrés puerta Jaramillo")</f>
        <v>Kevin Andrés puerta Jaramillo</v>
      </c>
      <c r="C9050" s="15" t="str">
        <f>IFERROR(__xludf.DUMMYFUNCTION("""COMPUTED_VALUE"""),"ENVIGADO")</f>
        <v>ENVIGADO</v>
      </c>
      <c r="D9050" s="15" t="str">
        <f>IFERROR(__xludf.DUMMYFUNCTION("""COMPUTED_VALUE"""),"BOGOTÁ")</f>
        <v>BOGOTÁ</v>
      </c>
      <c r="E9050" s="15" t="str">
        <f>IFERROR(__xludf.DUMMYFUNCTION("""COMPUTED_VALUE"""),"LINA PAOLA RAMIREZ GOMEZ - EVA MAZZITA")</f>
        <v>LINA PAOLA RAMIREZ GOMEZ - EVA MAZZITA</v>
      </c>
      <c r="F9050" s="17" t="str">
        <f>IFERROR(__xludf.DUMMYFUNCTION("""COMPUTED_VALUE"""),"TRANSV 34DD SUR No. 30A - 22 / APTO 201 Y 301 CASA BARRIO MANUEL URIBE ANGEL ENVIGADO")</f>
        <v>TRANSV 34DD SUR No. 30A - 22 / APTO 201 Y 301 CASA BARRIO MANUEL URIBE ANGEL ENVIGADO</v>
      </c>
      <c r="G9050" s="15" t="str">
        <f>IFERROR(__xludf.DUMMYFUNCTION("""COMPUTED_VALUE"""),"MARLEN LONDOÑO CIFUENTES")</f>
        <v>MARLEN LONDOÑO CIFUENTES</v>
      </c>
      <c r="H9050" s="16">
        <f>IFERROR(__xludf.DUMMYFUNCTION("""COMPUTED_VALUE"""),17691.0)</f>
        <v>17691</v>
      </c>
      <c r="I9050" s="17"/>
      <c r="J9050" s="17"/>
      <c r="K9050" s="17"/>
      <c r="L9050" s="17">
        <f>IFERROR(__xludf.DUMMYFUNCTION("""COMPUTED_VALUE"""),3.156672207E9)</f>
        <v>3156672207</v>
      </c>
      <c r="M9050" s="17"/>
      <c r="N9050" s="17"/>
      <c r="O9050" s="17"/>
      <c r="P9050" s="17" t="b">
        <f>IFERROR(__xludf.DUMMYFUNCTION("""COMPUTED_VALUE"""),FALSE)</f>
        <v>0</v>
      </c>
      <c r="Q9050" s="20" t="str">
        <f>IFERROR(__xludf.DUMMYFUNCTION("""COMPUTED_VALUE"""),"")</f>
        <v/>
      </c>
      <c r="R9050" s="21" t="str">
        <f>IFERROR(__xludf.DUMMYFUNCTION("""COMPUTED_VALUE"""),"https://drive.google.com/file/d/1oykki7XSU2X9iqIPqlOohzmkRNg1lczH/view?usp=drivesdk")</f>
        <v>https://drive.google.com/file/d/1oykki7XSU2X9iqIPqlOohzmkRNg1lczH/view?usp=drivesdk</v>
      </c>
    </row>
    <row r="9051">
      <c r="A9051" s="15">
        <f>IFERROR(__xludf.DUMMYFUNCTION("""COMPUTED_VALUE"""),45258.0)</f>
        <v>45258</v>
      </c>
      <c r="B9051" s="16" t="str">
        <f>IFERROR(__xludf.DUMMYFUNCTION("""COMPUTED_VALUE"""),"Kevin Andrés puerta Jaramillo")</f>
        <v>Kevin Andrés puerta Jaramillo</v>
      </c>
      <c r="C9051" s="15" t="str">
        <f>IFERROR(__xludf.DUMMYFUNCTION("""COMPUTED_VALUE"""),"ITAGÜI")</f>
        <v>ITAGÜI</v>
      </c>
      <c r="D9051" s="15" t="str">
        <f>IFERROR(__xludf.DUMMYFUNCTION("""COMPUTED_VALUE"""),"BOGOTÁ")</f>
        <v>BOGOTÁ</v>
      </c>
      <c r="E9051" s="15" t="str">
        <f>IFERROR(__xludf.DUMMYFUNCTION("""COMPUTED_VALUE"""),"LINA PAOLA RAMIREZ GOMEZ - EVA MAZZITA")</f>
        <v>LINA PAOLA RAMIREZ GOMEZ - EVA MAZZITA</v>
      </c>
      <c r="F9051" s="17" t="str">
        <f>IFERROR(__xludf.DUMMYFUNCTION("""COMPUTED_VALUE"""),"Calle 35 #69A-33 / Calle 35 #69A-33")</f>
        <v>Calle 35 #69A-33 / Calle 35 #69A-33</v>
      </c>
      <c r="G9051" s="15" t="str">
        <f>IFERROR(__xludf.DUMMYFUNCTION("""COMPUTED_VALUE"""),"TATIANA QUINTERO")</f>
        <v>TATIANA QUINTERO</v>
      </c>
      <c r="H9051" s="16">
        <f>IFERROR(__xludf.DUMMYFUNCTION("""COMPUTED_VALUE"""),17690.0)</f>
        <v>17690</v>
      </c>
      <c r="I9051" s="17"/>
      <c r="J9051" s="17"/>
      <c r="K9051" s="17"/>
      <c r="L9051" s="17">
        <f>IFERROR(__xludf.DUMMYFUNCTION("""COMPUTED_VALUE"""),3.108485523E9)</f>
        <v>3108485523</v>
      </c>
      <c r="M9051" s="17"/>
      <c r="N9051" s="17"/>
      <c r="O9051" s="17"/>
      <c r="P9051" s="17" t="b">
        <f>IFERROR(__xludf.DUMMYFUNCTION("""COMPUTED_VALUE"""),FALSE)</f>
        <v>0</v>
      </c>
      <c r="Q9051" s="20" t="str">
        <f>IFERROR(__xludf.DUMMYFUNCTION("""COMPUTED_VALUE"""),"")</f>
        <v/>
      </c>
      <c r="R9051" s="21" t="str">
        <f>IFERROR(__xludf.DUMMYFUNCTION("""COMPUTED_VALUE"""),"https://drive.google.com/file/d/1HD0li0vKCsQBahaXo9BZk_o0s9G19H1Q/view?usp=drivesdk")</f>
        <v>https://drive.google.com/file/d/1HD0li0vKCsQBahaXo9BZk_o0s9G19H1Q/view?usp=drivesdk</v>
      </c>
    </row>
    <row r="9052">
      <c r="A9052" s="15">
        <f>IFERROR(__xludf.DUMMYFUNCTION("""COMPUTED_VALUE"""),45258.0)</f>
        <v>45258</v>
      </c>
      <c r="B9052" s="16" t="str">
        <f>IFERROR(__xludf.DUMMYFUNCTION("""COMPUTED_VALUE"""),"Kevin Andrés puerta Jaramillo")</f>
        <v>Kevin Andrés puerta Jaramillo</v>
      </c>
      <c r="C9052" s="15" t="str">
        <f>IFERROR(__xludf.DUMMYFUNCTION("""COMPUTED_VALUE"""),"MEDELLÍN")</f>
        <v>MEDELLÍN</v>
      </c>
      <c r="D9052" s="15" t="str">
        <f>IFERROR(__xludf.DUMMYFUNCTION("""COMPUTED_VALUE"""),"BOGOTÁ")</f>
        <v>BOGOTÁ</v>
      </c>
      <c r="E9052" s="15" t="str">
        <f>IFERROR(__xludf.DUMMYFUNCTION("""COMPUTED_VALUE"""),"Asociacion Agropecuaria Juana Maria")</f>
        <v>Asociacion Agropecuaria Juana Maria</v>
      </c>
      <c r="F9052" s="17" t="str">
        <f>IFERROR(__xludf.DUMMYFUNCTION("""COMPUTED_VALUE"""),"Carrera 15 BA # 30D-44 / int 201")</f>
        <v>Carrera 15 BA # 30D-44 / int 201</v>
      </c>
      <c r="G9052" s="15" t="str">
        <f>IFERROR(__xludf.DUMMYFUNCTION("""COMPUTED_VALUE"""),"Daniela Bedoya Blandon")</f>
        <v>Daniela Bedoya Blandon</v>
      </c>
      <c r="H9052" s="16">
        <f>IFERROR(__xludf.DUMMYFUNCTION("""COMPUTED_VALUE"""),17641.0)</f>
        <v>17641</v>
      </c>
      <c r="I9052" s="17"/>
      <c r="J9052" s="17"/>
      <c r="K9052" s="17"/>
      <c r="L9052" s="17">
        <f>IFERROR(__xludf.DUMMYFUNCTION("""COMPUTED_VALUE"""),3.14672822E9)</f>
        <v>3146728220</v>
      </c>
      <c r="M9052" s="17"/>
      <c r="N9052" s="17"/>
      <c r="O9052" s="17"/>
      <c r="P9052" s="17" t="b">
        <f>IFERROR(__xludf.DUMMYFUNCTION("""COMPUTED_VALUE"""),FALSE)</f>
        <v>0</v>
      </c>
      <c r="Q9052" s="20" t="str">
        <f>IFERROR(__xludf.DUMMYFUNCTION("""COMPUTED_VALUE"""),"")</f>
        <v/>
      </c>
      <c r="R9052" s="21" t="str">
        <f>IFERROR(__xludf.DUMMYFUNCTION("""COMPUTED_VALUE"""),"https://drive.google.com/file/d/1IxmnORsNU2AIVPhnYF2d8ePjxRa_lbAh/view?usp=drivesdk")</f>
        <v>https://drive.google.com/file/d/1IxmnORsNU2AIVPhnYF2d8ePjxRa_lbAh/view?usp=drivesdk</v>
      </c>
    </row>
    <row r="9053">
      <c r="A9053" s="15">
        <f>IFERROR(__xludf.DUMMYFUNCTION("""COMPUTED_VALUE"""),45258.0)</f>
        <v>45258</v>
      </c>
      <c r="B9053" s="16" t="str">
        <f>IFERROR(__xludf.DUMMYFUNCTION("""COMPUTED_VALUE"""),"Kevin Andrés puerta Jaramillo")</f>
        <v>Kevin Andrés puerta Jaramillo</v>
      </c>
      <c r="C9053" s="15" t="str">
        <f>IFERROR(__xludf.DUMMYFUNCTION("""COMPUTED_VALUE"""),"MEDELLÍN")</f>
        <v>MEDELLÍN</v>
      </c>
      <c r="D9053" s="15" t="str">
        <f>IFERROR(__xludf.DUMMYFUNCTION("""COMPUTED_VALUE"""),"BOGOTÁ")</f>
        <v>BOGOTÁ</v>
      </c>
      <c r="E9053" s="15" t="str">
        <f>IFERROR(__xludf.DUMMYFUNCTION("""COMPUTED_VALUE"""),"Asociacion Agropecuaria Juana Maria")</f>
        <v>Asociacion Agropecuaria Juana Maria</v>
      </c>
      <c r="F9053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9053" s="15" t="str">
        <f>IFERROR(__xludf.DUMMYFUNCTION("""COMPUTED_VALUE"""),"Jennifer Sanchez Blandon")</f>
        <v>Jennifer Sanchez Blandon</v>
      </c>
      <c r="H9053" s="16">
        <f>IFERROR(__xludf.DUMMYFUNCTION("""COMPUTED_VALUE"""),17644.0)</f>
        <v>17644</v>
      </c>
      <c r="I9053" s="17"/>
      <c r="J9053" s="17"/>
      <c r="K9053" s="17"/>
      <c r="L9053" s="17">
        <f>IFERROR(__xludf.DUMMYFUNCTION("""COMPUTED_VALUE"""),3.016937674E9)</f>
        <v>3016937674</v>
      </c>
      <c r="M9053" s="17"/>
      <c r="N9053" s="17"/>
      <c r="O9053" s="17"/>
      <c r="P9053" s="17" t="b">
        <f>IFERROR(__xludf.DUMMYFUNCTION("""COMPUTED_VALUE"""),FALSE)</f>
        <v>0</v>
      </c>
      <c r="Q9053" s="20" t="str">
        <f>IFERROR(__xludf.DUMMYFUNCTION("""COMPUTED_VALUE"""),"")</f>
        <v/>
      </c>
      <c r="R9053" s="21" t="str">
        <f>IFERROR(__xludf.DUMMYFUNCTION("""COMPUTED_VALUE"""),"https://drive.google.com/file/d/1LJPX1Ga6hyqmTYPVje_hk6ooWiqqtm6J/view?usp=drivesdk")</f>
        <v>https://drive.google.com/file/d/1LJPX1Ga6hyqmTYPVje_hk6ooWiqqtm6J/view?usp=drivesdk</v>
      </c>
    </row>
    <row r="9054">
      <c r="A9054" s="15">
        <f>IFERROR(__xludf.DUMMYFUNCTION("""COMPUTED_VALUE"""),45258.0)</f>
        <v>45258</v>
      </c>
      <c r="B9054" s="16" t="str">
        <f>IFERROR(__xludf.DUMMYFUNCTION("""COMPUTED_VALUE"""),"Kevin Andrés puerta Jaramillo")</f>
        <v>Kevin Andrés puerta Jaramillo</v>
      </c>
      <c r="C9054" s="15" t="str">
        <f>IFERROR(__xludf.DUMMYFUNCTION("""COMPUTED_VALUE"""),"MEDELLÍN")</f>
        <v>MEDELLÍN</v>
      </c>
      <c r="D9054" s="15" t="str">
        <f>IFERROR(__xludf.DUMMYFUNCTION("""COMPUTED_VALUE"""),"BOGOTÁ")</f>
        <v>BOGOTÁ</v>
      </c>
      <c r="E9054" s="15" t="str">
        <f>IFERROR(__xludf.DUMMYFUNCTION("""COMPUTED_VALUE"""),"Karem foods")</f>
        <v>Karem foods</v>
      </c>
      <c r="F9054" s="17" t="str">
        <f>IFERROR(__xludf.DUMMYFUNCTION("""COMPUTED_VALUE"""),"Carrera 38 # 7A Sur 40  / Apto 1001 Edificio Arvore / -")</f>
        <v>Carrera 38 # 7A Sur 40  / Apto 1001 Edificio Arvore / -</v>
      </c>
      <c r="G9054" s="15" t="str">
        <f>IFERROR(__xludf.DUMMYFUNCTION("""COMPUTED_VALUE"""),"Carolina Arroyave")</f>
        <v>Carolina Arroyave</v>
      </c>
      <c r="H9054" s="16">
        <f>IFERROR(__xludf.DUMMYFUNCTION("""COMPUTED_VALUE"""),17651.0)</f>
        <v>17651</v>
      </c>
      <c r="I9054" s="18">
        <f>IFERROR(__xludf.DUMMYFUNCTION("""COMPUTED_VALUE"""),7.0)</f>
        <v>7</v>
      </c>
      <c r="J9054" s="18">
        <f>IFERROR(__xludf.DUMMYFUNCTION("""COMPUTED_VALUE"""),20.0)</f>
        <v>20</v>
      </c>
      <c r="K9054" s="18">
        <f>IFERROR(__xludf.DUMMYFUNCTION("""COMPUTED_VALUE"""),20.0)</f>
        <v>20</v>
      </c>
      <c r="L9054" s="17">
        <f>IFERROR(__xludf.DUMMYFUNCTION("""COMPUTED_VALUE"""),3.044182792E9)</f>
        <v>3044182792</v>
      </c>
      <c r="M9054" s="17"/>
      <c r="N9054" s="17"/>
      <c r="O9054" s="17"/>
      <c r="P9054" s="17" t="b">
        <f>IFERROR(__xludf.DUMMYFUNCTION("""COMPUTED_VALUE"""),FALSE)</f>
        <v>0</v>
      </c>
      <c r="Q9054" s="20" t="str">
        <f>IFERROR(__xludf.DUMMYFUNCTION("""COMPUTED_VALUE"""),"")</f>
        <v/>
      </c>
      <c r="R9054" s="21" t="str">
        <f>IFERROR(__xludf.DUMMYFUNCTION("""COMPUTED_VALUE"""),"https://drive.google.com/file/d/1fN-vPocqnW0NAgQMeKkWQh7pEoPWgbfc/view?usp=drivesdk")</f>
        <v>https://drive.google.com/file/d/1fN-vPocqnW0NAgQMeKkWQh7pEoPWgbfc/view?usp=drivesdk</v>
      </c>
    </row>
    <row r="9055">
      <c r="A9055" s="15">
        <f>IFERROR(__xludf.DUMMYFUNCTION("""COMPUTED_VALUE"""),45258.0)</f>
        <v>45258</v>
      </c>
      <c r="B9055" s="16" t="str">
        <f>IFERROR(__xludf.DUMMYFUNCTION("""COMPUTED_VALUE"""),"Kevin Andrés puerta Jaramillo")</f>
        <v>Kevin Andrés puerta Jaramillo</v>
      </c>
      <c r="C9055" s="15" t="str">
        <f>IFERROR(__xludf.DUMMYFUNCTION("""COMPUTED_VALUE"""),"MEDELLÍN")</f>
        <v>MEDELLÍN</v>
      </c>
      <c r="D9055" s="15" t="str">
        <f>IFERROR(__xludf.DUMMYFUNCTION("""COMPUTED_VALUE"""),"BOGOTÁ")</f>
        <v>BOGOTÁ</v>
      </c>
      <c r="E9055" s="15" t="str">
        <f>IFERROR(__xludf.DUMMYFUNCTION("""COMPUTED_VALUE"""),"LINA PAOLA RAMIREZ GOMEZ - EVA MAZZITA")</f>
        <v>LINA PAOLA RAMIREZ GOMEZ - EVA MAZZITA</v>
      </c>
      <c r="F9055" s="17" t="str">
        <f>IFERROR(__xludf.DUMMYFUNCTION("""COMPUTED_VALUE"""),"CRA 15 BA No. 34D - 44 / INT 201")</f>
        <v>CRA 15 BA No. 34D - 44 / INT 201</v>
      </c>
      <c r="G9055" s="15" t="str">
        <f>IFERROR(__xludf.DUMMYFUNCTION("""COMPUTED_VALUE"""),"DANIELA BEDOYA BLANDON")</f>
        <v>DANIELA BEDOYA BLANDON</v>
      </c>
      <c r="H9055" s="16">
        <f>IFERROR(__xludf.DUMMYFUNCTION("""COMPUTED_VALUE"""),17708.0)</f>
        <v>17708</v>
      </c>
      <c r="I9055" s="17"/>
      <c r="J9055" s="17"/>
      <c r="K9055" s="17"/>
      <c r="L9055" s="17">
        <f>IFERROR(__xludf.DUMMYFUNCTION("""COMPUTED_VALUE"""),3.14672822E9)</f>
        <v>3146728220</v>
      </c>
      <c r="M9055" s="17"/>
      <c r="N9055" s="17"/>
      <c r="O9055" s="17"/>
      <c r="P9055" s="17" t="b">
        <f>IFERROR(__xludf.DUMMYFUNCTION("""COMPUTED_VALUE"""),FALSE)</f>
        <v>0</v>
      </c>
      <c r="Q9055" s="20" t="str">
        <f>IFERROR(__xludf.DUMMYFUNCTION("""COMPUTED_VALUE"""),"")</f>
        <v/>
      </c>
      <c r="R9055" s="21" t="str">
        <f>IFERROR(__xludf.DUMMYFUNCTION("""COMPUTED_VALUE"""),"https://drive.google.com/file/d/1eiV2oF7oN7yQfMM-euoTrCGmXuEOVyjt/view?usp=drivesdk")</f>
        <v>https://drive.google.com/file/d/1eiV2oF7oN7yQfMM-euoTrCGmXuEOVyjt/view?usp=drivesdk</v>
      </c>
    </row>
    <row r="9056">
      <c r="A9056" s="15">
        <f>IFERROR(__xludf.DUMMYFUNCTION("""COMPUTED_VALUE"""),45258.0)</f>
        <v>45258</v>
      </c>
      <c r="B9056" s="16" t="str">
        <f>IFERROR(__xludf.DUMMYFUNCTION("""COMPUTED_VALUE"""),"Kevin Andrés puerta Jaramillo")</f>
        <v>Kevin Andrés puerta Jaramillo</v>
      </c>
      <c r="C9056" s="15" t="str">
        <f>IFERROR(__xludf.DUMMYFUNCTION("""COMPUTED_VALUE"""),"MEDELLÍN")</f>
        <v>MEDELLÍN</v>
      </c>
      <c r="D9056" s="15" t="str">
        <f>IFERROR(__xludf.DUMMYFUNCTION("""COMPUTED_VALUE"""),"BOGOTÁ")</f>
        <v>BOGOTÁ</v>
      </c>
      <c r="E9056" s="15" t="str">
        <f>IFERROR(__xludf.DUMMYFUNCTION("""COMPUTED_VALUE"""),"PAN DE WAFFLE")</f>
        <v>PAN DE WAFFLE</v>
      </c>
      <c r="F9056" s="17" t="str">
        <f>IFERROR(__xludf.DUMMYFUNCTION("""COMPUTED_VALUE"""),"Calle 01 # 29 - 354 / Calle 01 # 29 - 354")</f>
        <v>Calle 01 # 29 - 354 / Calle 01 # 29 - 354</v>
      </c>
      <c r="G9056" s="15" t="str">
        <f>IFERROR(__xludf.DUMMYFUNCTION("""COMPUTED_VALUE"""),"RAPPI TURBO TESORO")</f>
        <v>RAPPI TURBO TESORO</v>
      </c>
      <c r="H9056" s="16">
        <f>IFERROR(__xludf.DUMMYFUNCTION("""COMPUTED_VALUE"""),17622.0)</f>
        <v>17622</v>
      </c>
      <c r="I9056" s="17"/>
      <c r="J9056" s="17"/>
      <c r="K9056" s="17"/>
      <c r="L9056" s="17">
        <f>IFERROR(__xludf.DUMMYFUNCTION("""COMPUTED_VALUE"""),3.012888007E9)</f>
        <v>3012888007</v>
      </c>
      <c r="M9056" s="17"/>
      <c r="N9056" s="17"/>
      <c r="O9056" s="17"/>
      <c r="P9056" s="17" t="b">
        <f>IFERROR(__xludf.DUMMYFUNCTION("""COMPUTED_VALUE"""),FALSE)</f>
        <v>0</v>
      </c>
      <c r="Q9056" s="20" t="str">
        <f>IFERROR(__xludf.DUMMYFUNCTION("""COMPUTED_VALUE"""),"")</f>
        <v/>
      </c>
      <c r="R9056" s="21" t="str">
        <f>IFERROR(__xludf.DUMMYFUNCTION("""COMPUTED_VALUE"""),"https://drive.google.com/file/d/1HkI9OyBIrzbxCr0hZQMjOglUV47fVwv4/view?usp=drivesdk")</f>
        <v>https://drive.google.com/file/d/1HkI9OyBIrzbxCr0hZQMjOglUV47fVwv4/view?usp=drivesdk</v>
      </c>
    </row>
    <row r="9057">
      <c r="A9057" s="15">
        <f>IFERROR(__xludf.DUMMYFUNCTION("""COMPUTED_VALUE"""),45258.0)</f>
        <v>45258</v>
      </c>
      <c r="B9057" s="16" t="str">
        <f>IFERROR(__xludf.DUMMYFUNCTION("""COMPUTED_VALUE"""),"Kevin Andrés puerta Jaramillo")</f>
        <v>Kevin Andrés puerta Jaramillo</v>
      </c>
      <c r="C9057" s="15" t="str">
        <f>IFERROR(__xludf.DUMMYFUNCTION("""COMPUTED_VALUE"""),"MEDELLÍN")</f>
        <v>MEDELLÍN</v>
      </c>
      <c r="D9057" s="15" t="str">
        <f>IFERROR(__xludf.DUMMYFUNCTION("""COMPUTED_VALUE"""),"BOGOTÁ")</f>
        <v>BOGOTÁ</v>
      </c>
      <c r="E9057" s="15" t="str">
        <f>IFERROR(__xludf.DUMMYFUNCTION("""COMPUTED_VALUE"""),"PAN DE WAFFLE")</f>
        <v>PAN DE WAFFLE</v>
      </c>
      <c r="F9057" s="17" t="str">
        <f>IFERROR(__xludf.DUMMYFUNCTION("""COMPUTED_VALUE"""),"Carrera 80 # 34B - 51 / Carrera 80 # 34B - 51")</f>
        <v>Carrera 80 # 34B - 51 / Carrera 80 # 34B - 51</v>
      </c>
      <c r="G9057" s="15" t="str">
        <f>IFERROR(__xludf.DUMMYFUNCTION("""COMPUTED_VALUE"""),"RAPPI TURBO LAURELES")</f>
        <v>RAPPI TURBO LAURELES</v>
      </c>
      <c r="H9057" s="16">
        <f>IFERROR(__xludf.DUMMYFUNCTION("""COMPUTED_VALUE"""),17621.0)</f>
        <v>17621</v>
      </c>
      <c r="I9057" s="17"/>
      <c r="J9057" s="17"/>
      <c r="K9057" s="17"/>
      <c r="L9057" s="17">
        <f>IFERROR(__xludf.DUMMYFUNCTION("""COMPUTED_VALUE"""),3.175005565E9)</f>
        <v>3175005565</v>
      </c>
      <c r="M9057" s="17"/>
      <c r="N9057" s="17"/>
      <c r="O9057" s="17"/>
      <c r="P9057" s="17" t="b">
        <f>IFERROR(__xludf.DUMMYFUNCTION("""COMPUTED_VALUE"""),FALSE)</f>
        <v>0</v>
      </c>
      <c r="Q9057" s="20" t="str">
        <f>IFERROR(__xludf.DUMMYFUNCTION("""COMPUTED_VALUE"""),"")</f>
        <v/>
      </c>
      <c r="R9057" s="21" t="str">
        <f>IFERROR(__xludf.DUMMYFUNCTION("""COMPUTED_VALUE"""),"https://drive.google.com/file/d/1rqjIGbr2pR9Bh_em48N3l4pHaFCGNZT3/view?usp=drivesdk")</f>
        <v>https://drive.google.com/file/d/1rqjIGbr2pR9Bh_em48N3l4pHaFCGNZT3/view?usp=drivesdk</v>
      </c>
    </row>
    <row r="9058">
      <c r="A9058" s="15">
        <f>IFERROR(__xludf.DUMMYFUNCTION("""COMPUTED_VALUE"""),45258.0)</f>
        <v>45258</v>
      </c>
      <c r="B9058" s="16" t="str">
        <f>IFERROR(__xludf.DUMMYFUNCTION("""COMPUTED_VALUE"""),"Kevin Andrés puerta Jaramillo")</f>
        <v>Kevin Andrés puerta Jaramillo</v>
      </c>
      <c r="C9058" s="15" t="str">
        <f>IFERROR(__xludf.DUMMYFUNCTION("""COMPUTED_VALUE"""),"MEDELLÍN")</f>
        <v>MEDELLÍN</v>
      </c>
      <c r="D9058" s="15" t="str">
        <f>IFERROR(__xludf.DUMMYFUNCTION("""COMPUTED_VALUE"""),"BOGOTÁ")</f>
        <v>BOGOTÁ</v>
      </c>
      <c r="E9058" s="15" t="str">
        <f>IFERROR(__xludf.DUMMYFUNCTION("""COMPUTED_VALUE"""),"PAN DE WAFFLE")</f>
        <v>PAN DE WAFFLE</v>
      </c>
      <c r="F9058" s="17" t="str">
        <f>IFERROR(__xludf.DUMMYFUNCTION("""COMPUTED_VALUE"""),"FOODOLOGY - MEDELLIN / Carrera 39 # 59 - 32")</f>
        <v>FOODOLOGY - MEDELLIN / Carrera 39 # 59 - 32</v>
      </c>
      <c r="G9058" s="15" t="str">
        <f>IFERROR(__xludf.DUMMYFUNCTION("""COMPUTED_VALUE"""),"FOODOLOGY - MEDELLIN")</f>
        <v>FOODOLOGY - MEDELLIN</v>
      </c>
      <c r="H9058" s="16">
        <f>IFERROR(__xludf.DUMMYFUNCTION("""COMPUTED_VALUE"""),17662.0)</f>
        <v>17662</v>
      </c>
      <c r="I9058" s="17"/>
      <c r="J9058" s="17"/>
      <c r="K9058" s="17"/>
      <c r="L9058" s="17">
        <f>IFERROR(__xludf.DUMMYFUNCTION("""COMPUTED_VALUE"""),3.123558292E9)</f>
        <v>3123558292</v>
      </c>
      <c r="M9058" s="17"/>
      <c r="N9058" s="17"/>
      <c r="O9058" s="17"/>
      <c r="P9058" s="17" t="b">
        <f>IFERROR(__xludf.DUMMYFUNCTION("""COMPUTED_VALUE"""),FALSE)</f>
        <v>0</v>
      </c>
      <c r="Q9058" s="20" t="str">
        <f>IFERROR(__xludf.DUMMYFUNCTION("""COMPUTED_VALUE"""),"")</f>
        <v/>
      </c>
      <c r="R9058" s="21" t="str">
        <f>IFERROR(__xludf.DUMMYFUNCTION("""COMPUTED_VALUE"""),"https://drive.google.com/file/d/1o1l7NkS52lrL8yf0Y_DuiYpQPFv46wC0/view?usp=drivesdk")</f>
        <v>https://drive.google.com/file/d/1o1l7NkS52lrL8yf0Y_DuiYpQPFv46wC0/view?usp=drivesdk</v>
      </c>
    </row>
    <row r="9059">
      <c r="A9059" s="15">
        <f>IFERROR(__xludf.DUMMYFUNCTION("""COMPUTED_VALUE"""),45258.0)</f>
        <v>45258</v>
      </c>
      <c r="B9059" s="16" t="str">
        <f>IFERROR(__xludf.DUMMYFUNCTION("""COMPUTED_VALUE"""),"Kevin Andrés puerta Jaramillo")</f>
        <v>Kevin Andrés puerta Jaramillo</v>
      </c>
      <c r="C9059" s="15" t="str">
        <f>IFERROR(__xludf.DUMMYFUNCTION("""COMPUTED_VALUE"""),"MEDELLÍN")</f>
        <v>MEDELLÍN</v>
      </c>
      <c r="D9059" s="15" t="str">
        <f>IFERROR(__xludf.DUMMYFUNCTION("""COMPUTED_VALUE"""),"BOGOTÁ")</f>
        <v>BOGOTÁ</v>
      </c>
      <c r="E9059" s="15" t="str">
        <f>IFERROR(__xludf.DUMMYFUNCTION("""COMPUTED_VALUE"""),"PAN DE WAFFLE")</f>
        <v>PAN DE WAFFLE</v>
      </c>
      <c r="F9059" s="17" t="str">
        <f>IFERROR(__xludf.DUMMYFUNCTION("""COMPUTED_VALUE"""),"FOODOLOGY - MEDELLIN / Carrera 39 # 59 - 32")</f>
        <v>FOODOLOGY - MEDELLIN / Carrera 39 # 59 - 32</v>
      </c>
      <c r="G9059" s="15" t="str">
        <f>IFERROR(__xludf.DUMMYFUNCTION("""COMPUTED_VALUE"""),"FOODOLOGY - MEDELLIN")</f>
        <v>FOODOLOGY - MEDELLIN</v>
      </c>
      <c r="H9059" s="16">
        <f>IFERROR(__xludf.DUMMYFUNCTION("""COMPUTED_VALUE"""),17663.0)</f>
        <v>17663</v>
      </c>
      <c r="I9059" s="17"/>
      <c r="J9059" s="17"/>
      <c r="K9059" s="17"/>
      <c r="L9059" s="17">
        <f>IFERROR(__xludf.DUMMYFUNCTION("""COMPUTED_VALUE"""),3.123558292E9)</f>
        <v>3123558292</v>
      </c>
      <c r="M9059" s="17"/>
      <c r="N9059" s="17"/>
      <c r="O9059" s="17"/>
      <c r="P9059" s="17" t="b">
        <f>IFERROR(__xludf.DUMMYFUNCTION("""COMPUTED_VALUE"""),FALSE)</f>
        <v>0</v>
      </c>
      <c r="Q9059" s="20" t="str">
        <f>IFERROR(__xludf.DUMMYFUNCTION("""COMPUTED_VALUE"""),"")</f>
        <v/>
      </c>
      <c r="R9059" s="21" t="str">
        <f>IFERROR(__xludf.DUMMYFUNCTION("""COMPUTED_VALUE"""),"https://drive.google.com/file/d/1Xv1uHhUB5VkGh51BCV8WC_q7MR8Zm3tA/view?usp=drivesdk")</f>
        <v>https://drive.google.com/file/d/1Xv1uHhUB5VkGh51BCV8WC_q7MR8Zm3tA/view?usp=drivesdk</v>
      </c>
    </row>
    <row r="9060">
      <c r="A9060" s="15">
        <f>IFERROR(__xludf.DUMMYFUNCTION("""COMPUTED_VALUE"""),45258.0)</f>
        <v>45258</v>
      </c>
      <c r="B9060" s="16" t="str">
        <f>IFERROR(__xludf.DUMMYFUNCTION("""COMPUTED_VALUE"""),"Kevin Andrés puerta Jaramillo")</f>
        <v>Kevin Andrés puerta Jaramillo</v>
      </c>
      <c r="C9060" s="15" t="str">
        <f>IFERROR(__xludf.DUMMYFUNCTION("""COMPUTED_VALUE"""),"MEDELLÍN")</f>
        <v>MEDELLÍN</v>
      </c>
      <c r="D9060" s="15" t="str">
        <f>IFERROR(__xludf.DUMMYFUNCTION("""COMPUTED_VALUE"""),"BOGOTÁ")</f>
        <v>BOGOTÁ</v>
      </c>
      <c r="E9060" s="15" t="str">
        <f>IFERROR(__xludf.DUMMYFUNCTION("""COMPUTED_VALUE"""),"Redi Food")</f>
        <v>Redi Food</v>
      </c>
      <c r="F9060" s="17" t="str">
        <f>IFERROR(__xludf.DUMMYFUNCTION("""COMPUTED_VALUE"""),"Calle 11 sur # 29e-115 / Undidad Saint Michel  apto 1510 / El Poblado")</f>
        <v>Calle 11 sur # 29e-115 / Undidad Saint Michel  apto 1510 / El Poblado</v>
      </c>
      <c r="G9060" s="15" t="str">
        <f>IFERROR(__xludf.DUMMYFUNCTION("""COMPUTED_VALUE"""),"Andrea torrado")</f>
        <v>Andrea torrado</v>
      </c>
      <c r="H9060" s="16">
        <f>IFERROR(__xludf.DUMMYFUNCTION("""COMPUTED_VALUE"""),17681.0)</f>
        <v>17681</v>
      </c>
      <c r="I9060" s="18">
        <f>IFERROR(__xludf.DUMMYFUNCTION("""COMPUTED_VALUE"""),15.0)</f>
        <v>15</v>
      </c>
      <c r="J9060" s="18">
        <f>IFERROR(__xludf.DUMMYFUNCTION("""COMPUTED_VALUE"""),30.0)</f>
        <v>30</v>
      </c>
      <c r="K9060" s="18">
        <f>IFERROR(__xludf.DUMMYFUNCTION("""COMPUTED_VALUE"""),15.0)</f>
        <v>15</v>
      </c>
      <c r="L9060" s="17">
        <f>IFERROR(__xludf.DUMMYFUNCTION("""COMPUTED_VALUE"""),3.043482712E9)</f>
        <v>3043482712</v>
      </c>
      <c r="M9060" s="17"/>
      <c r="N9060" s="17"/>
      <c r="O9060" s="17"/>
      <c r="P9060" s="17" t="b">
        <f>IFERROR(__xludf.DUMMYFUNCTION("""COMPUTED_VALUE"""),FALSE)</f>
        <v>0</v>
      </c>
      <c r="Q9060" s="20" t="str">
        <f>IFERROR(__xludf.DUMMYFUNCTION("""COMPUTED_VALUE"""),"")</f>
        <v/>
      </c>
      <c r="R9060" s="21" t="str">
        <f>IFERROR(__xludf.DUMMYFUNCTION("""COMPUTED_VALUE"""),"https://drive.google.com/file/d/1mtQPvLNkhY4-wMtdOI3zP0iQIUpGYPvP/view?usp=drivesdk")</f>
        <v>https://drive.google.com/file/d/1mtQPvLNkhY4-wMtdOI3zP0iQIUpGYPvP/view?usp=drivesdk</v>
      </c>
    </row>
    <row r="9061">
      <c r="A9061" s="15">
        <f>IFERROR(__xludf.DUMMYFUNCTION("""COMPUTED_VALUE"""),45258.0)</f>
        <v>45258</v>
      </c>
      <c r="B9061" s="16" t="str">
        <f>IFERROR(__xludf.DUMMYFUNCTION("""COMPUTED_VALUE"""),"Kevin Andrés puerta Jaramillo")</f>
        <v>Kevin Andrés puerta Jaramillo</v>
      </c>
      <c r="C9061" s="15" t="str">
        <f>IFERROR(__xludf.DUMMYFUNCTION("""COMPUTED_VALUE"""),"MEDELLÍN")</f>
        <v>MEDELLÍN</v>
      </c>
      <c r="D9061" s="15" t="str">
        <f>IFERROR(__xludf.DUMMYFUNCTION("""COMPUTED_VALUE"""),"BOGOTÁ")</f>
        <v>BOGOTÁ</v>
      </c>
      <c r="E9061" s="15" t="str">
        <f>IFERROR(__xludf.DUMMYFUNCTION("""COMPUTED_VALUE"""),"Redi Food")</f>
        <v>Redi Food</v>
      </c>
      <c r="F9061" s="17" t="str">
        <f>IFERROR(__xludf.DUMMYFUNCTION("""COMPUTED_VALUE"""),"Cl 16b # 55-60 / Interior 301 / Guayabal")</f>
        <v>Cl 16b # 55-60 / Interior 301 / Guayabal</v>
      </c>
      <c r="G9061" s="15" t="str">
        <f>IFERROR(__xludf.DUMMYFUNCTION("""COMPUTED_VALUE"""),"Olga marin")</f>
        <v>Olga marin</v>
      </c>
      <c r="H9061" s="16">
        <f>IFERROR(__xludf.DUMMYFUNCTION("""COMPUTED_VALUE"""),17680.0)</f>
        <v>17680</v>
      </c>
      <c r="I9061" s="18">
        <f>IFERROR(__xludf.DUMMYFUNCTION("""COMPUTED_VALUE"""),14.0)</f>
        <v>14</v>
      </c>
      <c r="J9061" s="18">
        <f>IFERROR(__xludf.DUMMYFUNCTION("""COMPUTED_VALUE"""),30.0)</f>
        <v>30</v>
      </c>
      <c r="K9061" s="18">
        <f>IFERROR(__xludf.DUMMYFUNCTION("""COMPUTED_VALUE"""),15.0)</f>
        <v>15</v>
      </c>
      <c r="L9061" s="17">
        <f>IFERROR(__xludf.DUMMYFUNCTION("""COMPUTED_VALUE"""),3.16613285E9)</f>
        <v>3166132850</v>
      </c>
      <c r="M9061" s="17"/>
      <c r="N9061" s="17"/>
      <c r="O9061" s="17"/>
      <c r="P9061" s="17" t="b">
        <f>IFERROR(__xludf.DUMMYFUNCTION("""COMPUTED_VALUE"""),FALSE)</f>
        <v>0</v>
      </c>
      <c r="Q9061" s="20" t="str">
        <f>IFERROR(__xludf.DUMMYFUNCTION("""COMPUTED_VALUE"""),"")</f>
        <v/>
      </c>
      <c r="R9061" s="21" t="str">
        <f>IFERROR(__xludf.DUMMYFUNCTION("""COMPUTED_VALUE"""),"https://drive.google.com/file/d/1ntVzclvD4UnMVhnVj1O6ajUmYg20jQGw/view?usp=drivesdk")</f>
        <v>https://drive.google.com/file/d/1ntVzclvD4UnMVhnVj1O6ajUmYg20jQGw/view?usp=drivesdk</v>
      </c>
    </row>
    <row r="9062">
      <c r="A9062" s="15">
        <f>IFERROR(__xludf.DUMMYFUNCTION("""COMPUTED_VALUE"""),45258.0)</f>
        <v>45258</v>
      </c>
      <c r="B9062" s="16" t="str">
        <f>IFERROR(__xludf.DUMMYFUNCTION("""COMPUTED_VALUE"""),"Kevin Andrés puerta Jaramillo")</f>
        <v>Kevin Andrés puerta Jaramillo</v>
      </c>
      <c r="C9062" s="15" t="str">
        <f>IFERROR(__xludf.DUMMYFUNCTION("""COMPUTED_VALUE"""),"MEDELLÍN")</f>
        <v>MEDELLÍN</v>
      </c>
      <c r="D9062" s="15" t="str">
        <f>IFERROR(__xludf.DUMMYFUNCTION("""COMPUTED_VALUE"""),"BOGOTÁ")</f>
        <v>BOGOTÁ</v>
      </c>
      <c r="E9062" s="15" t="str">
        <f>IFERROR(__xludf.DUMMYFUNCTION("""COMPUTED_VALUE"""),"Redi Food")</f>
        <v>Redi Food</v>
      </c>
      <c r="F9062" s="17" t="str">
        <f>IFERROR(__xludf.DUMMYFUNCTION("""COMPUTED_VALUE"""),"Cr 15 # 9a-23 / Edificio aniz apto 203 / Subiendo por el colegio san José de la salle")</f>
        <v>Cr 15 # 9a-23 / Edificio aniz apto 203 / Subiendo por el colegio san José de la salle</v>
      </c>
      <c r="G9062" s="15" t="str">
        <f>IFERROR(__xludf.DUMMYFUNCTION("""COMPUTED_VALUE"""),"Andreina perez")</f>
        <v>Andreina perez</v>
      </c>
      <c r="H9062" s="16">
        <f>IFERROR(__xludf.DUMMYFUNCTION("""COMPUTED_VALUE"""),17679.0)</f>
        <v>17679</v>
      </c>
      <c r="I9062" s="18">
        <f>IFERROR(__xludf.DUMMYFUNCTION("""COMPUTED_VALUE"""),17.0)</f>
        <v>17</v>
      </c>
      <c r="J9062" s="18">
        <f>IFERROR(__xludf.DUMMYFUNCTION("""COMPUTED_VALUE"""),45.0)</f>
        <v>45</v>
      </c>
      <c r="K9062" s="18">
        <f>IFERROR(__xludf.DUMMYFUNCTION("""COMPUTED_VALUE"""),17.0)</f>
        <v>17</v>
      </c>
      <c r="L9062" s="17">
        <f>IFERROR(__xludf.DUMMYFUNCTION("""COMPUTED_VALUE"""),3.215085219E9)</f>
        <v>3215085219</v>
      </c>
      <c r="M9062" s="17"/>
      <c r="N9062" s="17"/>
      <c r="O9062" s="17"/>
      <c r="P9062" s="17" t="b">
        <f>IFERROR(__xludf.DUMMYFUNCTION("""COMPUTED_VALUE"""),FALSE)</f>
        <v>0</v>
      </c>
      <c r="Q9062" s="20" t="str">
        <f>IFERROR(__xludf.DUMMYFUNCTION("""COMPUTED_VALUE"""),"")</f>
        <v/>
      </c>
      <c r="R9062" s="21" t="str">
        <f>IFERROR(__xludf.DUMMYFUNCTION("""COMPUTED_VALUE"""),"https://drive.google.com/file/d/1k9wHD7kw3lqqcPIfpXt_8ln-1n7k0fTU/view?usp=drivesdk")</f>
        <v>https://drive.google.com/file/d/1k9wHD7kw3lqqcPIfpXt_8ln-1n7k0fTU/view?usp=drivesdk</v>
      </c>
    </row>
    <row r="9063">
      <c r="A9063" s="15">
        <f>IFERROR(__xludf.DUMMYFUNCTION("""COMPUTED_VALUE"""),45258.0)</f>
        <v>45258</v>
      </c>
      <c r="B9063" s="16" t="str">
        <f>IFERROR(__xludf.DUMMYFUNCTION("""COMPUTED_VALUE"""),"Kevin Andrés puerta Jaramillo")</f>
        <v>Kevin Andrés puerta Jaramillo</v>
      </c>
      <c r="C9063" s="15" t="str">
        <f>IFERROR(__xludf.DUMMYFUNCTION("""COMPUTED_VALUE"""),"MEDELLÍN")</f>
        <v>MEDELLÍN</v>
      </c>
      <c r="D9063" s="15" t="str">
        <f>IFERROR(__xludf.DUMMYFUNCTION("""COMPUTED_VALUE"""),"BOGOTÁ")</f>
        <v>BOGOTÁ</v>
      </c>
      <c r="E9063" s="15" t="str">
        <f>IFERROR(__xludf.DUMMYFUNCTION("""COMPUTED_VALUE"""),"Spirulina Fresca")</f>
        <v>Spirulina Fresca</v>
      </c>
      <c r="F9063" s="17" t="str">
        <f>IFERROR(__xludf.DUMMYFUNCTION("""COMPUTED_VALUE"""),"Carrera 45 A # 80 sur 75  / apto 1014, Urbanización Prestige,  / Sabaneta")</f>
        <v>Carrera 45 A # 80 sur 75  / apto 1014, Urbanización Prestige,  / Sabaneta</v>
      </c>
      <c r="G9063" s="15" t="str">
        <f>IFERROR(__xludf.DUMMYFUNCTION("""COMPUTED_VALUE"""),"Juan Esteban Vanegas")</f>
        <v>Juan Esteban Vanegas</v>
      </c>
      <c r="H9063" s="16">
        <f>IFERROR(__xludf.DUMMYFUNCTION("""COMPUTED_VALUE"""),17655.0)</f>
        <v>17655</v>
      </c>
      <c r="I9063" s="18">
        <f>IFERROR(__xludf.DUMMYFUNCTION("""COMPUTED_VALUE"""),5.0)</f>
        <v>5</v>
      </c>
      <c r="J9063" s="18">
        <f>IFERROR(__xludf.DUMMYFUNCTION("""COMPUTED_VALUE"""),15.0)</f>
        <v>15</v>
      </c>
      <c r="K9063" s="18">
        <f>IFERROR(__xludf.DUMMYFUNCTION("""COMPUTED_VALUE"""),22.0)</f>
        <v>22</v>
      </c>
      <c r="L9063" s="17">
        <f>IFERROR(__xludf.DUMMYFUNCTION("""COMPUTED_VALUE"""),3.135470428E9)</f>
        <v>3135470428</v>
      </c>
      <c r="M9063" s="17"/>
      <c r="N9063" s="17"/>
      <c r="O9063" s="17"/>
      <c r="P9063" s="17" t="b">
        <f>IFERROR(__xludf.DUMMYFUNCTION("""COMPUTED_VALUE"""),FALSE)</f>
        <v>0</v>
      </c>
      <c r="Q9063" s="20" t="str">
        <f>IFERROR(__xludf.DUMMYFUNCTION("""COMPUTED_VALUE"""),"")</f>
        <v/>
      </c>
      <c r="R9063" s="21" t="str">
        <f>IFERROR(__xludf.DUMMYFUNCTION("""COMPUTED_VALUE"""),"https://drive.google.com/file/d/1KbdeQETlGxDukhT3QRHY_SVCo_6ESZaH/view?usp=drivesdk")</f>
        <v>https://drive.google.com/file/d/1KbdeQETlGxDukhT3QRHY_SVCo_6ESZaH/view?usp=drivesdk</v>
      </c>
    </row>
    <row r="9064">
      <c r="A9064" s="15">
        <f>IFERROR(__xludf.DUMMYFUNCTION("""COMPUTED_VALUE"""),45258.0)</f>
        <v>45258</v>
      </c>
      <c r="B9064" s="16" t="str">
        <f>IFERROR(__xludf.DUMMYFUNCTION("""COMPUTED_VALUE"""),"Kevin Andrés puerta Jaramillo")</f>
        <v>Kevin Andrés puerta Jaramillo</v>
      </c>
      <c r="C9064" s="15" t="str">
        <f>IFERROR(__xludf.DUMMYFUNCTION("""COMPUTED_VALUE"""),"MEDELLÍN")</f>
        <v>MEDELLÍN</v>
      </c>
      <c r="D9064" s="15" t="str">
        <f>IFERROR(__xludf.DUMMYFUNCTION("""COMPUTED_VALUE"""),"BOGOTÁ")</f>
        <v>BOGOTÁ</v>
      </c>
      <c r="E9064" s="15" t="str">
        <f>IFERROR(__xludf.DUMMYFUNCTION("""COMPUTED_VALUE"""),"Spirulina Fresca")</f>
        <v>Spirulina Fresca</v>
      </c>
      <c r="F9064" s="17" t="str">
        <f>IFERROR(__xludf.DUMMYFUNCTION("""COMPUTED_VALUE"""),"Cr 32 #5g-70 / apto 3001 / Medellin")</f>
        <v>Cr 32 #5g-70 / apto 3001 / Medellin</v>
      </c>
      <c r="G9064" s="15" t="str">
        <f>IFERROR(__xludf.DUMMYFUNCTION("""COMPUTED_VALUE"""),"Hugo Salazar")</f>
        <v>Hugo Salazar</v>
      </c>
      <c r="H9064" s="16">
        <f>IFERROR(__xludf.DUMMYFUNCTION("""COMPUTED_VALUE"""),17658.0)</f>
        <v>17658</v>
      </c>
      <c r="I9064" s="18">
        <f>IFERROR(__xludf.DUMMYFUNCTION("""COMPUTED_VALUE"""),5.0)</f>
        <v>5</v>
      </c>
      <c r="J9064" s="18">
        <f>IFERROR(__xludf.DUMMYFUNCTION("""COMPUTED_VALUE"""),5.0)</f>
        <v>5</v>
      </c>
      <c r="K9064" s="18">
        <f>IFERROR(__xludf.DUMMYFUNCTION("""COMPUTED_VALUE"""),22.0)</f>
        <v>22</v>
      </c>
      <c r="L9064" s="17">
        <f>IFERROR(__xludf.DUMMYFUNCTION("""COMPUTED_VALUE"""),3.125193079E9)</f>
        <v>3125193079</v>
      </c>
      <c r="M9064" s="17"/>
      <c r="N9064" s="17"/>
      <c r="O9064" s="17"/>
      <c r="P9064" s="17" t="b">
        <f>IFERROR(__xludf.DUMMYFUNCTION("""COMPUTED_VALUE"""),FALSE)</f>
        <v>0</v>
      </c>
      <c r="Q9064" s="20" t="str">
        <f>IFERROR(__xludf.DUMMYFUNCTION("""COMPUTED_VALUE"""),"")</f>
        <v/>
      </c>
      <c r="R9064" s="21" t="str">
        <f>IFERROR(__xludf.DUMMYFUNCTION("""COMPUTED_VALUE"""),"https://drive.google.com/file/d/1twgSJVVvVdtTrsmsZcJNX2iz1uldUPnI/view?usp=drivesdk")</f>
        <v>https://drive.google.com/file/d/1twgSJVVvVdtTrsmsZcJNX2iz1uldUPnI/view?usp=drivesdk</v>
      </c>
    </row>
    <row r="9065">
      <c r="A9065" s="15">
        <f>IFERROR(__xludf.DUMMYFUNCTION("""COMPUTED_VALUE"""),45258.0)</f>
        <v>45258</v>
      </c>
      <c r="B9065" s="16" t="str">
        <f>IFERROR(__xludf.DUMMYFUNCTION("""COMPUTED_VALUE"""),"Kevin Andrés puerta Jaramillo")</f>
        <v>Kevin Andrés puerta Jaramillo</v>
      </c>
      <c r="C9065" s="15" t="str">
        <f>IFERROR(__xludf.DUMMYFUNCTION("""COMPUTED_VALUE"""),"MEDELLÍN")</f>
        <v>MEDELLÍN</v>
      </c>
      <c r="D9065" s="15" t="str">
        <f>IFERROR(__xludf.DUMMYFUNCTION("""COMPUTED_VALUE"""),"BOGOTÁ")</f>
        <v>BOGOTÁ</v>
      </c>
      <c r="E9065" s="15" t="str">
        <f>IFERROR(__xludf.DUMMYFUNCTION("""COMPUTED_VALUE"""),"Spirulina Fresca")</f>
        <v>Spirulina Fresca</v>
      </c>
      <c r="F9065" s="17" t="str">
        <f>IFERROR(__xludf.DUMMYFUNCTION("""COMPUTED_VALUE"""),"Cra 40B #17-188  / Edificio Bronce Apto 504  / Medellin")</f>
        <v>Cra 40B #17-188  / Edificio Bronce Apto 504  / Medellin</v>
      </c>
      <c r="G9065" s="15" t="str">
        <f>IFERROR(__xludf.DUMMYFUNCTION("""COMPUTED_VALUE"""),"Margarita Escobar")</f>
        <v>Margarita Escobar</v>
      </c>
      <c r="H9065" s="16">
        <f>IFERROR(__xludf.DUMMYFUNCTION("""COMPUTED_VALUE"""),17656.0)</f>
        <v>17656</v>
      </c>
      <c r="I9065" s="18">
        <f>IFERROR(__xludf.DUMMYFUNCTION("""COMPUTED_VALUE"""),5.0)</f>
        <v>5</v>
      </c>
      <c r="J9065" s="18">
        <f>IFERROR(__xludf.DUMMYFUNCTION("""COMPUTED_VALUE"""),5.0)</f>
        <v>5</v>
      </c>
      <c r="K9065" s="18">
        <f>IFERROR(__xludf.DUMMYFUNCTION("""COMPUTED_VALUE"""),22.0)</f>
        <v>22</v>
      </c>
      <c r="L9065" s="17">
        <f>IFERROR(__xludf.DUMMYFUNCTION("""COMPUTED_VALUE"""),3.044605529E9)</f>
        <v>3044605529</v>
      </c>
      <c r="M9065" s="17"/>
      <c r="N9065" s="17"/>
      <c r="O9065" s="17"/>
      <c r="P9065" s="17" t="b">
        <f>IFERROR(__xludf.DUMMYFUNCTION("""COMPUTED_VALUE"""),FALSE)</f>
        <v>0</v>
      </c>
      <c r="Q9065" s="20" t="str">
        <f>IFERROR(__xludf.DUMMYFUNCTION("""COMPUTED_VALUE"""),"")</f>
        <v/>
      </c>
      <c r="R9065" s="21" t="str">
        <f>IFERROR(__xludf.DUMMYFUNCTION("""COMPUTED_VALUE"""),"https://drive.google.com/file/d/18jwKsemxHncx-RHQpXd7m4ZX5tgHHSIP/view?usp=drivesdk")</f>
        <v>https://drive.google.com/file/d/18jwKsemxHncx-RHQpXd7m4ZX5tgHHSIP/view?usp=drivesdk</v>
      </c>
    </row>
    <row r="9066">
      <c r="A9066" s="15">
        <f>IFERROR(__xludf.DUMMYFUNCTION("""COMPUTED_VALUE"""),45258.0)</f>
        <v>45258</v>
      </c>
      <c r="B9066" s="16" t="str">
        <f>IFERROR(__xludf.DUMMYFUNCTION("""COMPUTED_VALUE"""),"Kevin Andrés puerta Jaramillo")</f>
        <v>Kevin Andrés puerta Jaramillo</v>
      </c>
      <c r="C9066" s="15" t="str">
        <f>IFERROR(__xludf.DUMMYFUNCTION("""COMPUTED_VALUE"""),"MEDELLÍN")</f>
        <v>MEDELLÍN</v>
      </c>
      <c r="D9066" s="15" t="str">
        <f>IFERROR(__xludf.DUMMYFUNCTION("""COMPUTED_VALUE"""),"BOGOTÁ")</f>
        <v>BOGOTÁ</v>
      </c>
      <c r="E9066" s="15" t="str">
        <f>IFERROR(__xludf.DUMMYFUNCTION("""COMPUTED_VALUE"""),"Top Spun")</f>
        <v>Top Spun</v>
      </c>
      <c r="F9066" s="17" t="str">
        <f>IFERROR(__xludf.DUMMYFUNCTION("""COMPUTED_VALUE"""),"Calle 36 sur #22-138 / Unidad fuente clara, casa 24 / Envigado Antioquia")</f>
        <v>Calle 36 sur #22-138 / Unidad fuente clara, casa 24 / Envigado Antioquia</v>
      </c>
      <c r="G9066" s="15" t="str">
        <f>IFERROR(__xludf.DUMMYFUNCTION("""COMPUTED_VALUE"""),"Camila Gonzalez")</f>
        <v>Camila Gonzalez</v>
      </c>
      <c r="H9066" s="16">
        <f>IFERROR(__xludf.DUMMYFUNCTION("""COMPUTED_VALUE"""),17627.0)</f>
        <v>17627</v>
      </c>
      <c r="I9066" s="18">
        <f>IFERROR(__xludf.DUMMYFUNCTION("""COMPUTED_VALUE"""),20.0)</f>
        <v>20</v>
      </c>
      <c r="J9066" s="18">
        <f>IFERROR(__xludf.DUMMYFUNCTION("""COMPUTED_VALUE"""),10.0)</f>
        <v>10</v>
      </c>
      <c r="K9066" s="18">
        <f>IFERROR(__xludf.DUMMYFUNCTION("""COMPUTED_VALUE"""),40.0)</f>
        <v>40</v>
      </c>
      <c r="L9066" s="17">
        <f>IFERROR(__xludf.DUMMYFUNCTION("""COMPUTED_VALUE"""),3.176795192E9)</f>
        <v>3176795192</v>
      </c>
      <c r="M9066" s="17"/>
      <c r="N9066" s="17"/>
      <c r="O9066" s="17"/>
      <c r="P9066" s="17" t="b">
        <f>IFERROR(__xludf.DUMMYFUNCTION("""COMPUTED_VALUE"""),FALSE)</f>
        <v>0</v>
      </c>
      <c r="Q9066" s="20" t="str">
        <f>IFERROR(__xludf.DUMMYFUNCTION("""COMPUTED_VALUE"""),"")</f>
        <v/>
      </c>
      <c r="R9066" s="21" t="str">
        <f>IFERROR(__xludf.DUMMYFUNCTION("""COMPUTED_VALUE"""),"https://drive.google.com/file/d/1AfBKKt3mH5PS7EFCqvwXCobq_7ETDQWV/view?usp=drivesdk")</f>
        <v>https://drive.google.com/file/d/1AfBKKt3mH5PS7EFCqvwXCobq_7ETDQWV/view?usp=drivesdk</v>
      </c>
    </row>
    <row r="9067">
      <c r="A9067" s="15">
        <f>IFERROR(__xludf.DUMMYFUNCTION("""COMPUTED_VALUE"""),45258.0)</f>
        <v>45258</v>
      </c>
      <c r="B9067" s="16" t="str">
        <f>IFERROR(__xludf.DUMMYFUNCTION("""COMPUTED_VALUE"""),"Kevin Andrés puerta Jaramillo")</f>
        <v>Kevin Andrés puerta Jaramillo</v>
      </c>
      <c r="C9067" s="15" t="str">
        <f>IFERROR(__xludf.DUMMYFUNCTION("""COMPUTED_VALUE"""),"MEDELLÍN")</f>
        <v>MEDELLÍN</v>
      </c>
      <c r="D9067" s="15" t="str">
        <f>IFERROR(__xludf.DUMMYFUNCTION("""COMPUTED_VALUE"""),"BOGOTÁ")</f>
        <v>BOGOTÁ</v>
      </c>
      <c r="E9067" s="15" t="str">
        <f>IFERROR(__xludf.DUMMYFUNCTION("""COMPUTED_VALUE"""),"Top Spun")</f>
        <v>Top Spun</v>
      </c>
      <c r="F9067" s="17" t="str">
        <f>IFERROR(__xludf.DUMMYFUNCTION("""COMPUTED_VALUE"""),"Calle 7 # 80-100 / Arboleda los Bernal / Apto 708")</f>
        <v>Calle 7 # 80-100 / Arboleda los Bernal / Apto 708</v>
      </c>
      <c r="G9067" s="15" t="str">
        <f>IFERROR(__xludf.DUMMYFUNCTION("""COMPUTED_VALUE"""),"Dayana Contreras")</f>
        <v>Dayana Contreras</v>
      </c>
      <c r="H9067" s="16">
        <f>IFERROR(__xludf.DUMMYFUNCTION("""COMPUTED_VALUE"""),17629.0)</f>
        <v>17629</v>
      </c>
      <c r="I9067" s="18">
        <f>IFERROR(__xludf.DUMMYFUNCTION("""COMPUTED_VALUE"""),20.0)</f>
        <v>20</v>
      </c>
      <c r="J9067" s="18">
        <f>IFERROR(__xludf.DUMMYFUNCTION("""COMPUTED_VALUE"""),10.0)</f>
        <v>10</v>
      </c>
      <c r="K9067" s="18">
        <f>IFERROR(__xludf.DUMMYFUNCTION("""COMPUTED_VALUE"""),40.0)</f>
        <v>40</v>
      </c>
      <c r="L9067" s="17">
        <f>IFERROR(__xludf.DUMMYFUNCTION("""COMPUTED_VALUE"""),3.058994967E9)</f>
        <v>3058994967</v>
      </c>
      <c r="M9067" s="17"/>
      <c r="N9067" s="17"/>
      <c r="O9067" s="17"/>
      <c r="P9067" s="17" t="b">
        <f>IFERROR(__xludf.DUMMYFUNCTION("""COMPUTED_VALUE"""),FALSE)</f>
        <v>0</v>
      </c>
      <c r="Q9067" s="20" t="str">
        <f>IFERROR(__xludf.DUMMYFUNCTION("""COMPUTED_VALUE"""),"")</f>
        <v/>
      </c>
      <c r="R9067" s="21" t="str">
        <f>IFERROR(__xludf.DUMMYFUNCTION("""COMPUTED_VALUE"""),"https://drive.google.com/file/d/1kyFNalX6JiA5dlF8N0OeV7fXZS6SD8l_/view?usp=drivesdk")</f>
        <v>https://drive.google.com/file/d/1kyFNalX6JiA5dlF8N0OeV7fXZS6SD8l_/view?usp=drivesdk</v>
      </c>
    </row>
    <row r="9068">
      <c r="A9068" s="15">
        <f>IFERROR(__xludf.DUMMYFUNCTION("""COMPUTED_VALUE"""),45258.0)</f>
        <v>45258</v>
      </c>
      <c r="B9068" s="16" t="str">
        <f>IFERROR(__xludf.DUMMYFUNCTION("""COMPUTED_VALUE"""),"Kevin Andrés puerta Jaramillo")</f>
        <v>Kevin Andrés puerta Jaramillo</v>
      </c>
      <c r="C9068" s="15" t="str">
        <f>IFERROR(__xludf.DUMMYFUNCTION("""COMPUTED_VALUE"""),"MEDELLÍN")</f>
        <v>MEDELLÍN</v>
      </c>
      <c r="D9068" s="15" t="str">
        <f>IFERROR(__xludf.DUMMYFUNCTION("""COMPUTED_VALUE"""),"BOGOTÁ")</f>
        <v>BOGOTÁ</v>
      </c>
      <c r="E9068" s="15" t="str">
        <f>IFERROR(__xludf.DUMMYFUNCTION("""COMPUTED_VALUE"""),"Top Spun")</f>
        <v>Top Spun</v>
      </c>
      <c r="F9068" s="17" t="str">
        <f>IFERROR(__xludf.DUMMYFUNCTION("""COMPUTED_VALUE"""),"Calle 75b sur # 38- 05, apto 1904 / Club residencial Fidelena Park. Barrio Lagos de la dotora. / Sabaneta Antioquia")</f>
        <v>Calle 75b sur # 38- 05, apto 1904 / Club residencial Fidelena Park. Barrio Lagos de la dotora. / Sabaneta Antioquia</v>
      </c>
      <c r="G9068" s="15" t="str">
        <f>IFERROR(__xludf.DUMMYFUNCTION("""COMPUTED_VALUE"""),"Marcela Canchila Acosta")</f>
        <v>Marcela Canchila Acosta</v>
      </c>
      <c r="H9068" s="16">
        <f>IFERROR(__xludf.DUMMYFUNCTION("""COMPUTED_VALUE"""),17626.0)</f>
        <v>17626</v>
      </c>
      <c r="I9068" s="18">
        <f>IFERROR(__xludf.DUMMYFUNCTION("""COMPUTED_VALUE"""),20.0)</f>
        <v>20</v>
      </c>
      <c r="J9068" s="18">
        <f>IFERROR(__xludf.DUMMYFUNCTION("""COMPUTED_VALUE"""),10.0)</f>
        <v>10</v>
      </c>
      <c r="K9068" s="18">
        <f>IFERROR(__xludf.DUMMYFUNCTION("""COMPUTED_VALUE"""),40.0)</f>
        <v>40</v>
      </c>
      <c r="L9068" s="17">
        <f>IFERROR(__xludf.DUMMYFUNCTION("""COMPUTED_VALUE"""),3.113851514E9)</f>
        <v>3113851514</v>
      </c>
      <c r="M9068" s="17"/>
      <c r="N9068" s="17"/>
      <c r="O9068" s="17"/>
      <c r="P9068" s="17" t="b">
        <f>IFERROR(__xludf.DUMMYFUNCTION("""COMPUTED_VALUE"""),FALSE)</f>
        <v>0</v>
      </c>
      <c r="Q9068" s="20" t="str">
        <f>IFERROR(__xludf.DUMMYFUNCTION("""COMPUTED_VALUE"""),"")</f>
        <v/>
      </c>
      <c r="R9068" s="21" t="str">
        <f>IFERROR(__xludf.DUMMYFUNCTION("""COMPUTED_VALUE"""),"https://drive.google.com/file/d/1vY91vFPoYLuJ9LkEyyNITmZo5NDz9UAt/view?usp=drivesdk")</f>
        <v>https://drive.google.com/file/d/1vY91vFPoYLuJ9LkEyyNITmZo5NDz9UAt/view?usp=drivesdk</v>
      </c>
    </row>
    <row r="9069">
      <c r="A9069" s="15">
        <f>IFERROR(__xludf.DUMMYFUNCTION("""COMPUTED_VALUE"""),45258.0)</f>
        <v>45258</v>
      </c>
      <c r="B9069" s="16" t="str">
        <f>IFERROR(__xludf.DUMMYFUNCTION("""COMPUTED_VALUE"""),"Kevin Andrés puerta Jaramillo")</f>
        <v>Kevin Andrés puerta Jaramillo</v>
      </c>
      <c r="C9069" s="15" t="str">
        <f>IFERROR(__xludf.DUMMYFUNCTION("""COMPUTED_VALUE"""),"MEDELLÍN")</f>
        <v>MEDELLÍN</v>
      </c>
      <c r="D9069" s="15" t="str">
        <f>IFERROR(__xludf.DUMMYFUNCTION("""COMPUTED_VALUE"""),"BOGOTÁ")</f>
        <v>BOGOTÁ</v>
      </c>
      <c r="E9069" s="15" t="str">
        <f>IFERROR(__xludf.DUMMYFUNCTION("""COMPUTED_VALUE"""),"Top Spun")</f>
        <v>Top Spun</v>
      </c>
      <c r="F9069" s="17" t="str">
        <f>IFERROR(__xludf.DUMMYFUNCTION("""COMPUTED_VALUE"""),"Cr 23a#36sur-60 / la purisima casas / CASA 105")</f>
        <v>Cr 23a#36sur-60 / la purisima casas / CASA 105</v>
      </c>
      <c r="G9069" s="15" t="str">
        <f>IFERROR(__xludf.DUMMYFUNCTION("""COMPUTED_VALUE"""),"Luisa Fernanda Gómez Hincapié")</f>
        <v>Luisa Fernanda Gómez Hincapié</v>
      </c>
      <c r="H9069" s="16">
        <f>IFERROR(__xludf.DUMMYFUNCTION("""COMPUTED_VALUE"""),17630.0)</f>
        <v>17630</v>
      </c>
      <c r="I9069" s="18">
        <f>IFERROR(__xludf.DUMMYFUNCTION("""COMPUTED_VALUE"""),20.0)</f>
        <v>20</v>
      </c>
      <c r="J9069" s="18">
        <f>IFERROR(__xludf.DUMMYFUNCTION("""COMPUTED_VALUE"""),10.0)</f>
        <v>10</v>
      </c>
      <c r="K9069" s="18">
        <f>IFERROR(__xludf.DUMMYFUNCTION("""COMPUTED_VALUE"""),40.0)</f>
        <v>40</v>
      </c>
      <c r="L9069" s="17">
        <f>IFERROR(__xludf.DUMMYFUNCTION("""COMPUTED_VALUE"""),3.122994073E9)</f>
        <v>3122994073</v>
      </c>
      <c r="M9069" s="17"/>
      <c r="N9069" s="17"/>
      <c r="O9069" s="17"/>
      <c r="P9069" s="17" t="b">
        <f>IFERROR(__xludf.DUMMYFUNCTION("""COMPUTED_VALUE"""),FALSE)</f>
        <v>0</v>
      </c>
      <c r="Q9069" s="20" t="str">
        <f>IFERROR(__xludf.DUMMYFUNCTION("""COMPUTED_VALUE"""),"")</f>
        <v/>
      </c>
      <c r="R9069" s="21" t="str">
        <f>IFERROR(__xludf.DUMMYFUNCTION("""COMPUTED_VALUE"""),"https://drive.google.com/file/d/1ir5BmJviLhmYDG5LcGXfjgUbz7j_hOiT/view?usp=drivesdk")</f>
        <v>https://drive.google.com/file/d/1ir5BmJviLhmYDG5LcGXfjgUbz7j_hOiT/view?usp=drivesdk</v>
      </c>
    </row>
    <row r="9070">
      <c r="A9070" s="17" t="str">
        <f>IFERROR(__xludf.DUMMYFUNCTION("""COMPUTED_VALUE"""),"")</f>
        <v/>
      </c>
      <c r="B9070" s="17" t="str">
        <f>IFERROR(__xludf.DUMMYFUNCTION("""COMPUTED_VALUE"""),"")</f>
        <v/>
      </c>
      <c r="C9070" s="17" t="str">
        <f>IFERROR(__xludf.DUMMYFUNCTION("""COMPUTED_VALUE"""),"")</f>
        <v/>
      </c>
      <c r="D9070" s="17" t="str">
        <f>IFERROR(__xludf.DUMMYFUNCTION("""COMPUTED_VALUE"""),"")</f>
        <v/>
      </c>
      <c r="E9070" s="17" t="str">
        <f>IFERROR(__xludf.DUMMYFUNCTION("""COMPUTED_VALUE"""),"")</f>
        <v/>
      </c>
      <c r="F9070" s="17" t="str">
        <f>IFERROR(__xludf.DUMMYFUNCTION("""COMPUTED_VALUE"""),"")</f>
        <v/>
      </c>
      <c r="G9070" s="17" t="str">
        <f>IFERROR(__xludf.DUMMYFUNCTION("""COMPUTED_VALUE"""),"")</f>
        <v/>
      </c>
      <c r="H9070" s="17" t="str">
        <f>IFERROR(__xludf.DUMMYFUNCTION("""COMPUTED_VALUE"""),"")</f>
        <v/>
      </c>
      <c r="I9070" s="17" t="str">
        <f>IFERROR(__xludf.DUMMYFUNCTION("""COMPUTED_VALUE"""),"")</f>
        <v/>
      </c>
      <c r="J9070" s="17" t="str">
        <f>IFERROR(__xludf.DUMMYFUNCTION("""COMPUTED_VALUE"""),"")</f>
        <v/>
      </c>
      <c r="K9070" s="17" t="str">
        <f>IFERROR(__xludf.DUMMYFUNCTION("""COMPUTED_VALUE"""),"")</f>
        <v/>
      </c>
      <c r="L9070" s="17" t="str">
        <f>IFERROR(__xludf.DUMMYFUNCTION("""COMPUTED_VALUE"""),"")</f>
        <v/>
      </c>
      <c r="M9070" s="17" t="str">
        <f>IFERROR(__xludf.DUMMYFUNCTION("""COMPUTED_VALUE"""),"")</f>
        <v/>
      </c>
      <c r="N9070" s="17" t="str">
        <f>IFERROR(__xludf.DUMMYFUNCTION("""COMPUTED_VALUE"""),"")</f>
        <v/>
      </c>
      <c r="O9070" s="17" t="str">
        <f>IFERROR(__xludf.DUMMYFUNCTION("""COMPUTED_VALUE"""),"")</f>
        <v/>
      </c>
      <c r="P9070" s="17" t="str">
        <f>IFERROR(__xludf.DUMMYFUNCTION("""COMPUTED_VALUE"""),"")</f>
        <v/>
      </c>
      <c r="Q9070" s="17" t="str">
        <f>IFERROR(__xludf.DUMMYFUNCTION("""COMPUTED_VALUE"""),"")</f>
        <v/>
      </c>
      <c r="R9070" s="17" t="str">
        <f>IFERROR(__xludf.DUMMYFUNCTION("""COMPUTED_VALUE"""),"")</f>
        <v/>
      </c>
    </row>
    <row r="9071">
      <c r="A9071" s="15">
        <f>IFERROR(__xludf.DUMMYFUNCTION("""COMPUTED_VALUE"""),45259.0)</f>
        <v>45259</v>
      </c>
      <c r="B9071" s="16" t="str">
        <f>IFERROR(__xludf.DUMMYFUNCTION("""COMPUTED_VALUE"""),"Alvaro Chacón")</f>
        <v>Alvaro Chacón</v>
      </c>
      <c r="C9071" s="15" t="str">
        <f>IFERROR(__xludf.DUMMYFUNCTION("""COMPUTED_VALUE"""),"BOGOTÁ")</f>
        <v>BOGOTÁ</v>
      </c>
      <c r="D9071" s="15" t="str">
        <f>IFERROR(__xludf.DUMMYFUNCTION("""COMPUTED_VALUE"""),"BUCARAMANGA")</f>
        <v>BUCARAMANGA</v>
      </c>
      <c r="E9071" s="15" t="str">
        <f>IFERROR(__xludf.DUMMYFUNCTION("""COMPUTED_VALUE"""),"Yo Como Solito")</f>
        <v>Yo Como Solito</v>
      </c>
      <c r="F9071" s="17" t="str">
        <f>IFERROR(__xludf.DUMMYFUNCTION("""COMPUTED_VALUE"""),"CARRERA 45A # 128-62 / CARRERA 45A # 128-62 / CARRERA 45A # 128-62")</f>
        <v>CARRERA 45A # 128-62 / CARRERA 45A # 128-62 / CARRERA 45A # 128-62</v>
      </c>
      <c r="G9071" s="15" t="str">
        <f>IFERROR(__xludf.DUMMYFUNCTION("""COMPUTED_VALUE"""),"LINA PAOLA RAMIREZ")</f>
        <v>LINA PAOLA RAMIREZ</v>
      </c>
      <c r="H9071" s="16">
        <f>IFERROR(__xludf.DUMMYFUNCTION("""COMPUTED_VALUE"""),17743.0)</f>
        <v>17743</v>
      </c>
      <c r="I9071" s="18">
        <f>IFERROR(__xludf.DUMMYFUNCTION("""COMPUTED_VALUE"""),13.0)</f>
        <v>13</v>
      </c>
      <c r="J9071" s="18">
        <f>IFERROR(__xludf.DUMMYFUNCTION("""COMPUTED_VALUE"""),29.0)</f>
        <v>29</v>
      </c>
      <c r="K9071" s="18">
        <f>IFERROR(__xludf.DUMMYFUNCTION("""COMPUTED_VALUE"""),40.0)</f>
        <v>40</v>
      </c>
      <c r="L9071" s="17">
        <f>IFERROR(__xludf.DUMMYFUNCTION("""COMPUTED_VALUE"""),3.12327346E9)</f>
        <v>3123273460</v>
      </c>
      <c r="M9071" s="17"/>
      <c r="N9071" s="17"/>
      <c r="O9071" s="17"/>
      <c r="P9071" s="17" t="b">
        <f>IFERROR(__xludf.DUMMYFUNCTION("""COMPUTED_VALUE"""),FALSE)</f>
        <v>0</v>
      </c>
      <c r="Q9071" s="20" t="str">
        <f>IFERROR(__xludf.DUMMYFUNCTION("""COMPUTED_VALUE"""),"")</f>
        <v/>
      </c>
      <c r="R9071" s="21" t="str">
        <f>IFERROR(__xludf.DUMMYFUNCTION("""COMPUTED_VALUE"""),"https://drive.google.com/file/d/1Q-hoC2MT79C44NNnh8AwGG29TK9Quuqf/view?usp=drivesdk")</f>
        <v>https://drive.google.com/file/d/1Q-hoC2MT79C44NNnh8AwGG29TK9Quuqf/view?usp=drivesdk</v>
      </c>
    </row>
    <row r="9072">
      <c r="A9072" s="15">
        <f>IFERROR(__xludf.DUMMYFUNCTION("""COMPUTED_VALUE"""),45259.0)</f>
        <v>45259</v>
      </c>
      <c r="B9072" s="16" t="str">
        <f>IFERROR(__xludf.DUMMYFUNCTION("""COMPUTED_VALUE"""),"Alvaro Chacón")</f>
        <v>Alvaro Chacón</v>
      </c>
      <c r="C9072" s="15" t="str">
        <f>IFERROR(__xludf.DUMMYFUNCTION("""COMPUTED_VALUE"""),"BOGOTÁ")</f>
        <v>BOGOTÁ</v>
      </c>
      <c r="D9072" s="15" t="str">
        <f>IFERROR(__xludf.DUMMYFUNCTION("""COMPUTED_VALUE"""),"MEDELLÍN")</f>
        <v>MEDELLÍN</v>
      </c>
      <c r="E9072" s="15" t="str">
        <f>IFERROR(__xludf.DUMMYFUNCTION("""COMPUTED_VALUE"""),"AREPAS LA MARY")</f>
        <v>AREPAS LA MARY</v>
      </c>
      <c r="F9072" s="17" t="str">
        <f>IFERROR(__xludf.DUMMYFUNCTION("""COMPUTED_VALUE"""),"Cr 24 # 4- 29 sur / casa")</f>
        <v>Cr 24 # 4- 29 sur / casa</v>
      </c>
      <c r="G9072" s="15" t="str">
        <f>IFERROR(__xludf.DUMMYFUNCTION("""COMPUTED_VALUE"""),"JENNIFER ALEJANDRA RAMÍREZ (pend)")</f>
        <v>JENNIFER ALEJANDRA RAMÍREZ (pend)</v>
      </c>
      <c r="H9072" s="16">
        <f>IFERROR(__xludf.DUMMYFUNCTION("""COMPUTED_VALUE"""),17739.0)</f>
        <v>17739</v>
      </c>
      <c r="I9072" s="17"/>
      <c r="J9072" s="17"/>
      <c r="K9072" s="17"/>
      <c r="L9072" s="17">
        <f>IFERROR(__xludf.DUMMYFUNCTION("""COMPUTED_VALUE"""),3.007282923E9)</f>
        <v>3007282923</v>
      </c>
      <c r="M9072" s="17"/>
      <c r="N9072" s="17"/>
      <c r="O9072" s="17"/>
      <c r="P9072" s="17" t="b">
        <f>IFERROR(__xludf.DUMMYFUNCTION("""COMPUTED_VALUE"""),FALSE)</f>
        <v>0</v>
      </c>
      <c r="Q9072" s="20" t="str">
        <f>IFERROR(__xludf.DUMMYFUNCTION("""COMPUTED_VALUE"""),"")</f>
        <v/>
      </c>
      <c r="R9072" s="21" t="str">
        <f>IFERROR(__xludf.DUMMYFUNCTION("""COMPUTED_VALUE"""),"https://drive.google.com/file/d/15L4zwTacHBC8dzqYEYNvFRjYnJ92KTLs/view?usp=drivesdk")</f>
        <v>https://drive.google.com/file/d/15L4zwTacHBC8dzqYEYNvFRjYnJ92KTLs/view?usp=drivesdk</v>
      </c>
    </row>
    <row r="9073">
      <c r="A9073" s="15">
        <f>IFERROR(__xludf.DUMMYFUNCTION("""COMPUTED_VALUE"""),45259.0)</f>
        <v>45259</v>
      </c>
      <c r="B9073" s="16" t="str">
        <f>IFERROR(__xludf.DUMMYFUNCTION("""COMPUTED_VALUE"""),"Alvaro Chacón")</f>
        <v>Alvaro Chacón</v>
      </c>
      <c r="C9073" s="15" t="str">
        <f>IFERROR(__xludf.DUMMYFUNCTION("""COMPUTED_VALUE"""),"BOGOTÁ")</f>
        <v>BOGOTÁ</v>
      </c>
      <c r="D9073" s="15" t="str">
        <f>IFERROR(__xludf.DUMMYFUNCTION("""COMPUTED_VALUE"""),"MEDELLÍN")</f>
        <v>MEDELLÍN</v>
      </c>
      <c r="E9073" s="15" t="str">
        <f>IFERROR(__xludf.DUMMYFUNCTION("""COMPUTED_VALUE"""),"AREPAS LA MARY")</f>
        <v>AREPAS LA MARY</v>
      </c>
      <c r="F9073" s="17" t="str">
        <f>IFERROR(__xludf.DUMMYFUNCTION("""COMPUTED_VALUE"""),"CRA 11#65-47. Apto 502 / qualita VII")</f>
        <v>CRA 11#65-47. Apto 502 / qualita VII</v>
      </c>
      <c r="G9073" s="15" t="str">
        <f>IFERROR(__xludf.DUMMYFUNCTION("""COMPUTED_VALUE"""),"JOHAN MATEO BENAVIDES")</f>
        <v>JOHAN MATEO BENAVIDES</v>
      </c>
      <c r="H9073" s="16">
        <f>IFERROR(__xludf.DUMMYFUNCTION("""COMPUTED_VALUE"""),17736.0)</f>
        <v>17736</v>
      </c>
      <c r="I9073" s="17"/>
      <c r="J9073" s="17"/>
      <c r="K9073" s="17"/>
      <c r="L9073" s="17">
        <f>IFERROR(__xludf.DUMMYFUNCTION("""COMPUTED_VALUE"""),3.014211614E9)</f>
        <v>3014211614</v>
      </c>
      <c r="M9073" s="17"/>
      <c r="N9073" s="17"/>
      <c r="O9073" s="17"/>
      <c r="P9073" s="17" t="b">
        <f>IFERROR(__xludf.DUMMYFUNCTION("""COMPUTED_VALUE"""),FALSE)</f>
        <v>0</v>
      </c>
      <c r="Q9073" s="20" t="str">
        <f>IFERROR(__xludf.DUMMYFUNCTION("""COMPUTED_VALUE"""),"")</f>
        <v/>
      </c>
      <c r="R9073" s="21" t="str">
        <f>IFERROR(__xludf.DUMMYFUNCTION("""COMPUTED_VALUE"""),"https://drive.google.com/file/d/1cNcksPA72L84DdNEvqCUF_IIFxCYmn1c/view?usp=drivesdk")</f>
        <v>https://drive.google.com/file/d/1cNcksPA72L84DdNEvqCUF_IIFxCYmn1c/view?usp=drivesdk</v>
      </c>
    </row>
    <row r="9074">
      <c r="A9074" s="15">
        <f>IFERROR(__xludf.DUMMYFUNCTION("""COMPUTED_VALUE"""),45259.0)</f>
        <v>45259</v>
      </c>
      <c r="B9074" s="16" t="str">
        <f>IFERROR(__xludf.DUMMYFUNCTION("""COMPUTED_VALUE"""),"Alvaro Chacón")</f>
        <v>Alvaro Chacón</v>
      </c>
      <c r="C9074" s="15" t="str">
        <f>IFERROR(__xludf.DUMMYFUNCTION("""COMPUTED_VALUE"""),"BOGOTÁ")</f>
        <v>BOGOTÁ</v>
      </c>
      <c r="D9074" s="15" t="str">
        <f>IFERROR(__xludf.DUMMYFUNCTION("""COMPUTED_VALUE"""),"MEDELLÍN")</f>
        <v>MEDELLÍN</v>
      </c>
      <c r="E9074" s="15" t="str">
        <f>IFERROR(__xludf.DUMMYFUNCTION("""COMPUTED_VALUE"""),"Baby Chef")</f>
        <v>Baby Chef</v>
      </c>
      <c r="F9074" s="17" t="str">
        <f>IFERROR(__xludf.DUMMYFUNCTION("""COMPUTED_VALUE"""),"calle 19 # 96C-58 Apto 204 edificio carolina / . / .")</f>
        <v>calle 19 # 96C-58 Apto 204 edificio carolina / . / .</v>
      </c>
      <c r="G9074" s="15" t="str">
        <f>IFERROR(__xludf.DUMMYFUNCTION("""COMPUTED_VALUE"""),"Jorge Ivan Díaz")</f>
        <v>Jorge Ivan Díaz</v>
      </c>
      <c r="H9074" s="16">
        <f>IFERROR(__xludf.DUMMYFUNCTION("""COMPUTED_VALUE"""),17777.0)</f>
        <v>17777</v>
      </c>
      <c r="I9074" s="18">
        <f>IFERROR(__xludf.DUMMYFUNCTION("""COMPUTED_VALUE"""),8.0)</f>
        <v>8</v>
      </c>
      <c r="J9074" s="18">
        <f>IFERROR(__xludf.DUMMYFUNCTION("""COMPUTED_VALUE"""),23.0)</f>
        <v>23</v>
      </c>
      <c r="K9074" s="18">
        <f>IFERROR(__xludf.DUMMYFUNCTION("""COMPUTED_VALUE"""),33.0)</f>
        <v>33</v>
      </c>
      <c r="L9074" s="17">
        <f>IFERROR(__xludf.DUMMYFUNCTION("""COMPUTED_VALUE"""),3.20442364E9)</f>
        <v>3204423640</v>
      </c>
      <c r="M9074" s="17"/>
      <c r="N9074" s="17"/>
      <c r="O9074" s="17"/>
      <c r="P9074" s="17" t="b">
        <f>IFERROR(__xludf.DUMMYFUNCTION("""COMPUTED_VALUE"""),FALSE)</f>
        <v>0</v>
      </c>
      <c r="Q9074" s="20" t="str">
        <f>IFERROR(__xludf.DUMMYFUNCTION("""COMPUTED_VALUE"""),"")</f>
        <v/>
      </c>
      <c r="R9074" s="21" t="str">
        <f>IFERROR(__xludf.DUMMYFUNCTION("""COMPUTED_VALUE"""),"https://drive.google.com/file/d/17fDLIRBTeW3e851fieEbuJLssK7yFBwM/view?usp=drivesdk")</f>
        <v>https://drive.google.com/file/d/17fDLIRBTeW3e851fieEbuJLssK7yFBwM/view?usp=drivesdk</v>
      </c>
    </row>
    <row r="9075">
      <c r="A9075" s="15">
        <f>IFERROR(__xludf.DUMMYFUNCTION("""COMPUTED_VALUE"""),45259.0)</f>
        <v>45259</v>
      </c>
      <c r="B9075" s="16" t="str">
        <f>IFERROR(__xludf.DUMMYFUNCTION("""COMPUTED_VALUE"""),"Alvaro Chacón")</f>
        <v>Alvaro Chacón</v>
      </c>
      <c r="C9075" s="15" t="str">
        <f>IFERROR(__xludf.DUMMYFUNCTION("""COMPUTED_VALUE"""),"BOGOTÁ")</f>
        <v>BOGOTÁ</v>
      </c>
      <c r="D9075" s="15" t="str">
        <f>IFERROR(__xludf.DUMMYFUNCTION("""COMPUTED_VALUE"""),"MEDELLÍN")</f>
        <v>MEDELLÍN</v>
      </c>
      <c r="E9075" s="15" t="str">
        <f>IFERROR(__xludf.DUMMYFUNCTION("""COMPUTED_VALUE"""),"Carnicos Fricar")</f>
        <v>Carnicos Fricar</v>
      </c>
      <c r="F9075" s="17" t="str">
        <f>IFERROR(__xludf.DUMMYFUNCTION("""COMPUTED_VALUE"""),"CARRERA 80 # 16 C - 51  / BARRIO VERGEL - ES UNA BODEGA / BARRIO VERGEL - ES UNA BODEGA")</f>
        <v>CARRERA 80 # 16 C - 51  / BARRIO VERGEL - ES UNA BODEGA / BARRIO VERGEL - ES UNA BODEGA</v>
      </c>
      <c r="G9075" s="15" t="str">
        <f>IFERROR(__xludf.DUMMYFUNCTION("""COMPUTED_VALUE"""),"ALFREDO DUQUE")</f>
        <v>ALFREDO DUQUE</v>
      </c>
      <c r="H9075" s="16">
        <f>IFERROR(__xludf.DUMMYFUNCTION("""COMPUTED_VALUE"""),17806.0)</f>
        <v>17806</v>
      </c>
      <c r="I9075" s="18">
        <f>IFERROR(__xludf.DUMMYFUNCTION("""COMPUTED_VALUE"""),5.0)</f>
        <v>5</v>
      </c>
      <c r="J9075" s="18">
        <f>IFERROR(__xludf.DUMMYFUNCTION("""COMPUTED_VALUE"""),5.0)</f>
        <v>5</v>
      </c>
      <c r="K9075" s="18">
        <f>IFERROR(__xludf.DUMMYFUNCTION("""COMPUTED_VALUE"""),12.0)</f>
        <v>12</v>
      </c>
      <c r="L9075" s="17">
        <f>IFERROR(__xludf.DUMMYFUNCTION("""COMPUTED_VALUE"""),3.123797436E9)</f>
        <v>3123797436</v>
      </c>
      <c r="M9075" s="17"/>
      <c r="N9075" s="17"/>
      <c r="O9075" s="17"/>
      <c r="P9075" s="17" t="b">
        <f>IFERROR(__xludf.DUMMYFUNCTION("""COMPUTED_VALUE"""),FALSE)</f>
        <v>0</v>
      </c>
      <c r="Q9075" s="20" t="str">
        <f>IFERROR(__xludf.DUMMYFUNCTION("""COMPUTED_VALUE"""),"")</f>
        <v/>
      </c>
      <c r="R9075" s="21" t="str">
        <f>IFERROR(__xludf.DUMMYFUNCTION("""COMPUTED_VALUE"""),"https://drive.google.com/file/d/1XmaJm_6jhmlKF3IkMp1BZJ3D_DpbFH6X/view?usp=drivesdk")</f>
        <v>https://drive.google.com/file/d/1XmaJm_6jhmlKF3IkMp1BZJ3D_DpbFH6X/view?usp=drivesdk</v>
      </c>
    </row>
    <row r="9076">
      <c r="A9076" s="15">
        <f>IFERROR(__xludf.DUMMYFUNCTION("""COMPUTED_VALUE"""),45259.0)</f>
        <v>45259</v>
      </c>
      <c r="B9076" s="16" t="str">
        <f>IFERROR(__xludf.DUMMYFUNCTION("""COMPUTED_VALUE"""),"Alvaro Chacón")</f>
        <v>Alvaro Chacón</v>
      </c>
      <c r="C9076" s="15" t="str">
        <f>IFERROR(__xludf.DUMMYFUNCTION("""COMPUTED_VALUE"""),"BOGOTÁ")</f>
        <v>BOGOTÁ</v>
      </c>
      <c r="D9076" s="15" t="str">
        <f>IFERROR(__xludf.DUMMYFUNCTION("""COMPUTED_VALUE"""),"MEDELLÍN")</f>
        <v>MEDELLÍN</v>
      </c>
      <c r="E9076" s="15" t="str">
        <f>IFERROR(__xludf.DUMMYFUNCTION("""COMPUTED_VALUE"""),"Panki Waffle")</f>
        <v>Panki Waffle</v>
      </c>
      <c r="F9076" s="17" t="str">
        <f>IFERROR(__xludf.DUMMYFUNCTION("""COMPUTED_VALUE"""),"Cra 15 # 136-26 apto 402  / ed Daniela PH  / barrio cedritos")</f>
        <v>Cra 15 # 136-26 apto 402  / ed Daniela PH  / barrio cedritos</v>
      </c>
      <c r="G9076" s="15" t="str">
        <f>IFERROR(__xludf.DUMMYFUNCTION("""COMPUTED_VALUE"""),"Alejandra Pineda Beltrán")</f>
        <v>Alejandra Pineda Beltrán</v>
      </c>
      <c r="H9076" s="16">
        <f>IFERROR(__xludf.DUMMYFUNCTION("""COMPUTED_VALUE"""),17749.0)</f>
        <v>17749</v>
      </c>
      <c r="I9076" s="18">
        <f>IFERROR(__xludf.DUMMYFUNCTION("""COMPUTED_VALUE"""),20.0)</f>
        <v>20</v>
      </c>
      <c r="J9076" s="18">
        <f>IFERROR(__xludf.DUMMYFUNCTION("""COMPUTED_VALUE"""),11.0)</f>
        <v>11</v>
      </c>
      <c r="K9076" s="18">
        <f>IFERROR(__xludf.DUMMYFUNCTION("""COMPUTED_VALUE"""),22.0)</f>
        <v>22</v>
      </c>
      <c r="L9076" s="17">
        <f>IFERROR(__xludf.DUMMYFUNCTION("""COMPUTED_VALUE"""),3.202267977E9)</f>
        <v>3202267977</v>
      </c>
      <c r="M9076" s="17"/>
      <c r="N9076" s="17"/>
      <c r="O9076" s="17"/>
      <c r="P9076" s="17" t="b">
        <f>IFERROR(__xludf.DUMMYFUNCTION("""COMPUTED_VALUE"""),FALSE)</f>
        <v>0</v>
      </c>
      <c r="Q9076" s="20" t="str">
        <f>IFERROR(__xludf.DUMMYFUNCTION("""COMPUTED_VALUE"""),"")</f>
        <v/>
      </c>
      <c r="R9076" s="21" t="str">
        <f>IFERROR(__xludf.DUMMYFUNCTION("""COMPUTED_VALUE"""),"https://drive.google.com/file/d/1oSR_ocWLD7nQeCYOX4kMU-1YCskC1Waf/view?usp=drivesdk")</f>
        <v>https://drive.google.com/file/d/1oSR_ocWLD7nQeCYOX4kMU-1YCskC1Waf/view?usp=drivesdk</v>
      </c>
    </row>
    <row r="9077">
      <c r="A9077" s="15">
        <f>IFERROR(__xludf.DUMMYFUNCTION("""COMPUTED_VALUE"""),45259.0)</f>
        <v>45259</v>
      </c>
      <c r="B9077" s="16" t="str">
        <f>IFERROR(__xludf.DUMMYFUNCTION("""COMPUTED_VALUE"""),"Alvaro Chacón")</f>
        <v>Alvaro Chacón</v>
      </c>
      <c r="C9077" s="15" t="str">
        <f>IFERROR(__xludf.DUMMYFUNCTION("""COMPUTED_VALUE"""),"CARTAGENA")</f>
        <v>CARTAGENA</v>
      </c>
      <c r="D9077" s="15" t="str">
        <f>IFERROR(__xludf.DUMMYFUNCTION("""COMPUTED_VALUE"""),"BOGOTÁ")</f>
        <v>BOGOTÁ</v>
      </c>
      <c r="E9077" s="15" t="str">
        <f>IFERROR(__xludf.DUMMYFUNCTION("""COMPUTED_VALUE"""),"Ventura Productos Arg")</f>
        <v>Ventura Productos Arg</v>
      </c>
      <c r="F9077" s="17" t="str">
        <f>IFERROR(__xludf.DUMMYFUNCTION("""COMPUTED_VALUE"""),"Carrera 80D #31B-25 barrio el recreo, calle valencia / barrio el recreo, calle valencia")</f>
        <v>Carrera 80D #31B-25 barrio el recreo, calle valencia / barrio el recreo, calle valencia</v>
      </c>
      <c r="G9077" s="15" t="str">
        <f>IFERROR(__xludf.DUMMYFUNCTION("""COMPUTED_VALUE"""),"lucy bossa")</f>
        <v>lucy bossa</v>
      </c>
      <c r="H9077" s="16">
        <f>IFERROR(__xludf.DUMMYFUNCTION("""COMPUTED_VALUE"""),17640.0)</f>
        <v>17640</v>
      </c>
      <c r="I9077" s="17"/>
      <c r="J9077" s="17"/>
      <c r="K9077" s="17"/>
      <c r="L9077" s="17"/>
      <c r="M9077" s="17"/>
      <c r="N9077" s="17"/>
      <c r="O9077" s="17"/>
      <c r="P9077" s="17" t="b">
        <f>IFERROR(__xludf.DUMMYFUNCTION("""COMPUTED_VALUE"""),FALSE)</f>
        <v>0</v>
      </c>
      <c r="Q9077" s="20" t="str">
        <f>IFERROR(__xludf.DUMMYFUNCTION("""COMPUTED_VALUE"""),"")</f>
        <v/>
      </c>
      <c r="R9077" s="21" t="str">
        <f>IFERROR(__xludf.DUMMYFUNCTION("""COMPUTED_VALUE"""),"https://drive.google.com/file/d/10eyoyNyX-jdM0OU65MnsaBUAhQt0-yRk/view?usp=drivesdk")</f>
        <v>https://drive.google.com/file/d/10eyoyNyX-jdM0OU65MnsaBUAhQt0-yRk/view?usp=drivesdk</v>
      </c>
    </row>
    <row r="9078">
      <c r="A9078" s="17" t="str">
        <f>IFERROR(__xludf.DUMMYFUNCTION("""COMPUTED_VALUE"""),"")</f>
        <v/>
      </c>
      <c r="B9078" s="17" t="str">
        <f>IFERROR(__xludf.DUMMYFUNCTION("""COMPUTED_VALUE"""),"")</f>
        <v/>
      </c>
      <c r="C9078" s="17" t="str">
        <f>IFERROR(__xludf.DUMMYFUNCTION("""COMPUTED_VALUE"""),"")</f>
        <v/>
      </c>
      <c r="D9078" s="17" t="str">
        <f>IFERROR(__xludf.DUMMYFUNCTION("""COMPUTED_VALUE"""),"")</f>
        <v/>
      </c>
      <c r="E9078" s="17" t="str">
        <f>IFERROR(__xludf.DUMMYFUNCTION("""COMPUTED_VALUE"""),"")</f>
        <v/>
      </c>
      <c r="F9078" s="17" t="str">
        <f>IFERROR(__xludf.DUMMYFUNCTION("""COMPUTED_VALUE"""),"")</f>
        <v/>
      </c>
      <c r="G9078" s="17" t="str">
        <f>IFERROR(__xludf.DUMMYFUNCTION("""COMPUTED_VALUE"""),"")</f>
        <v/>
      </c>
      <c r="H9078" s="17" t="str">
        <f>IFERROR(__xludf.DUMMYFUNCTION("""COMPUTED_VALUE"""),"")</f>
        <v/>
      </c>
      <c r="I9078" s="17" t="str">
        <f>IFERROR(__xludf.DUMMYFUNCTION("""COMPUTED_VALUE"""),"")</f>
        <v/>
      </c>
      <c r="J9078" s="17" t="str">
        <f>IFERROR(__xludf.DUMMYFUNCTION("""COMPUTED_VALUE"""),"")</f>
        <v/>
      </c>
      <c r="K9078" s="17" t="str">
        <f>IFERROR(__xludf.DUMMYFUNCTION("""COMPUTED_VALUE"""),"")</f>
        <v/>
      </c>
      <c r="L9078" s="17" t="str">
        <f>IFERROR(__xludf.DUMMYFUNCTION("""COMPUTED_VALUE"""),"")</f>
        <v/>
      </c>
      <c r="M9078" s="17" t="str">
        <f>IFERROR(__xludf.DUMMYFUNCTION("""COMPUTED_VALUE"""),"")</f>
        <v/>
      </c>
      <c r="N9078" s="17" t="str">
        <f>IFERROR(__xludf.DUMMYFUNCTION("""COMPUTED_VALUE"""),"")</f>
        <v/>
      </c>
      <c r="O9078" s="17" t="str">
        <f>IFERROR(__xludf.DUMMYFUNCTION("""COMPUTED_VALUE"""),"")</f>
        <v/>
      </c>
      <c r="P9078" s="17" t="str">
        <f>IFERROR(__xludf.DUMMYFUNCTION("""COMPUTED_VALUE"""),"")</f>
        <v/>
      </c>
      <c r="Q9078" s="17" t="str">
        <f>IFERROR(__xludf.DUMMYFUNCTION("""COMPUTED_VALUE"""),"")</f>
        <v/>
      </c>
      <c r="R9078" s="17" t="str">
        <f>IFERROR(__xludf.DUMMYFUNCTION("""COMPUTED_VALUE"""),"")</f>
        <v/>
      </c>
    </row>
    <row r="9079">
      <c r="A9079" s="15">
        <f>IFERROR(__xludf.DUMMYFUNCTION("""COMPUTED_VALUE"""),45259.0)</f>
        <v>45259</v>
      </c>
      <c r="B9079" s="16" t="str">
        <f>IFERROR(__xludf.DUMMYFUNCTION("""COMPUTED_VALUE"""),"David Sanmartin Bello")</f>
        <v>David Sanmartin Bello</v>
      </c>
      <c r="C9079" s="15" t="str">
        <f>IFERROR(__xludf.DUMMYFUNCTION("""COMPUTED_VALUE"""),"CARTAGENA")</f>
        <v>CARTAGENA</v>
      </c>
      <c r="D9079" s="15" t="str">
        <f>IFERROR(__xludf.DUMMYFUNCTION("""COMPUTED_VALUE"""),"BOGOTÁ")</f>
        <v>BOGOTÁ</v>
      </c>
      <c r="E9079" s="15" t="str">
        <f>IFERROR(__xludf.DUMMYFUNCTION("""COMPUTED_VALUE"""),"Asociacion Agropecuaria Juana Maria")</f>
        <v>Asociacion Agropecuaria Juana Maria</v>
      </c>
      <c r="F9079" s="17" t="str">
        <f>IFERROR(__xludf.DUMMYFUNCTION("""COMPUTED_VALUE"""),"El country Mz G lote de 2 / al lado de aldia limitada")</f>
        <v>El country Mz G lote de 2 / al lado de aldia limitada</v>
      </c>
      <c r="G9079" s="15" t="str">
        <f>IFERROR(__xludf.DUMMYFUNCTION("""COMPUTED_VALUE"""),"María Bonita Pereira Pérez")</f>
        <v>María Bonita Pereira Pérez</v>
      </c>
      <c r="H9079" s="16">
        <f>IFERROR(__xludf.DUMMYFUNCTION("""COMPUTED_VALUE"""),17646.0)</f>
        <v>17646</v>
      </c>
      <c r="I9079" s="17"/>
      <c r="J9079" s="17"/>
      <c r="K9079" s="17"/>
      <c r="L9079" s="17"/>
      <c r="M9079" s="17"/>
      <c r="N9079" s="17"/>
      <c r="O9079" s="17"/>
      <c r="P9079" s="17" t="b">
        <f>IFERROR(__xludf.DUMMYFUNCTION("""COMPUTED_VALUE"""),FALSE)</f>
        <v>0</v>
      </c>
      <c r="Q9079" s="20" t="str">
        <f>IFERROR(__xludf.DUMMYFUNCTION("""COMPUTED_VALUE"""),"")</f>
        <v/>
      </c>
      <c r="R9079" s="21" t="str">
        <f>IFERROR(__xludf.DUMMYFUNCTION("""COMPUTED_VALUE"""),"https://drive.google.com/file/d/1Tb_SeD_aIZhk7yVDTavSwShzIayxDjeW/view?usp=drivesdk")</f>
        <v>https://drive.google.com/file/d/1Tb_SeD_aIZhk7yVDTavSwShzIayxDjeW/view?usp=drivesdk</v>
      </c>
    </row>
    <row r="9080">
      <c r="A9080" s="15">
        <f>IFERROR(__xludf.DUMMYFUNCTION("""COMPUTED_VALUE"""),45259.0)</f>
        <v>45259</v>
      </c>
      <c r="B9080" s="16" t="str">
        <f>IFERROR(__xludf.DUMMYFUNCTION("""COMPUTED_VALUE"""),"David Sanmartin Bello")</f>
        <v>David Sanmartin Bello</v>
      </c>
      <c r="C9080" s="15" t="str">
        <f>IFERROR(__xludf.DUMMYFUNCTION("""COMPUTED_VALUE"""),"CARTAGENA")</f>
        <v>CARTAGENA</v>
      </c>
      <c r="D9080" s="15" t="str">
        <f>IFERROR(__xludf.DUMMYFUNCTION("""COMPUTED_VALUE"""),"BOGOTÁ")</f>
        <v>BOGOTÁ</v>
      </c>
      <c r="E9080" s="15" t="str">
        <f>IFERROR(__xludf.DUMMYFUNCTION("""COMPUTED_VALUE"""),"goodboycookiez")</f>
        <v>goodboycookiez</v>
      </c>
      <c r="F9080" s="17" t="str">
        <f>IFERROR(__xludf.DUMMYFUNCTION("""COMPUTED_VALUE"""),"CARRERA 10#30-14 / 8AM-5PM")</f>
        <v>CARRERA 10#30-14 / 8AM-5PM</v>
      </c>
      <c r="G9080" s="15" t="str">
        <f>IFERROR(__xludf.DUMMYFUNCTION("""COMPUTED_VALUE"""),"LIBERTARIO COFFEE ROASTERS")</f>
        <v>LIBERTARIO COFFEE ROASTERS</v>
      </c>
      <c r="H9080" s="16">
        <f>IFERROR(__xludf.DUMMYFUNCTION("""COMPUTED_VALUE"""),17787.0)</f>
        <v>17787</v>
      </c>
      <c r="I9080" s="17"/>
      <c r="J9080" s="17"/>
      <c r="K9080" s="17"/>
      <c r="L9080" s="17">
        <f>IFERROR(__xludf.DUMMYFUNCTION("""COMPUTED_VALUE"""),3.225112476E9)</f>
        <v>3225112476</v>
      </c>
      <c r="M9080" s="17"/>
      <c r="N9080" s="17"/>
      <c r="O9080" s="17"/>
      <c r="P9080" s="17" t="b">
        <f>IFERROR(__xludf.DUMMYFUNCTION("""COMPUTED_VALUE"""),FALSE)</f>
        <v>0</v>
      </c>
      <c r="Q9080" s="20" t="str">
        <f>IFERROR(__xludf.DUMMYFUNCTION("""COMPUTED_VALUE"""),"")</f>
        <v/>
      </c>
      <c r="R9080" s="21" t="str">
        <f>IFERROR(__xludf.DUMMYFUNCTION("""COMPUTED_VALUE"""),"https://drive.google.com/file/d/1OQyYLOv6TOuwqUKwbpEqBTSh90YsG5Ef/view?usp=drivesdk")</f>
        <v>https://drive.google.com/file/d/1OQyYLOv6TOuwqUKwbpEqBTSh90YsG5Ef/view?usp=drivesdk</v>
      </c>
    </row>
    <row r="9081">
      <c r="A9081" s="15">
        <f>IFERROR(__xludf.DUMMYFUNCTION("""COMPUTED_VALUE"""),45259.0)</f>
        <v>45259</v>
      </c>
      <c r="B9081" s="16" t="str">
        <f>IFERROR(__xludf.DUMMYFUNCTION("""COMPUTED_VALUE"""),"David Sanmartin Bello")</f>
        <v>David Sanmartin Bello</v>
      </c>
      <c r="C9081" s="15" t="str">
        <f>IFERROR(__xludf.DUMMYFUNCTION("""COMPUTED_VALUE"""),"CARTAGENA")</f>
        <v>CARTAGENA</v>
      </c>
      <c r="D9081" s="15" t="str">
        <f>IFERROR(__xludf.DUMMYFUNCTION("""COMPUTED_VALUE"""),"BOGOTÁ")</f>
        <v>BOGOTÁ</v>
      </c>
      <c r="E9081" s="15" t="str">
        <f>IFERROR(__xludf.DUMMYFUNCTION("""COMPUTED_VALUE"""),"Instinto alimento vital")</f>
        <v>Instinto alimento vital</v>
      </c>
      <c r="F9081" s="17" t="str">
        <f>IFERROR(__xludf.DUMMYFUNCTION("""COMPUTED_VALUE"""),"ALTO BOSQUE 21 B # 49 - 24 / D SERRANOVA APT 605 B1")</f>
        <v>ALTO BOSQUE 21 B # 49 - 24 / D SERRANOVA APT 605 B1</v>
      </c>
      <c r="G9081" s="15" t="str">
        <f>IFERROR(__xludf.DUMMYFUNCTION("""COMPUTED_VALUE"""),"YANNET FLOREZ PALENCIA")</f>
        <v>YANNET FLOREZ PALENCIA</v>
      </c>
      <c r="H9081" s="16">
        <f>IFERROR(__xludf.DUMMYFUNCTION("""COMPUTED_VALUE"""),17755.0)</f>
        <v>17755</v>
      </c>
      <c r="I9081" s="17"/>
      <c r="J9081" s="17"/>
      <c r="K9081" s="17"/>
      <c r="L9081" s="17">
        <f>IFERROR(__xludf.DUMMYFUNCTION("""COMPUTED_VALUE"""),3.1227901E9)</f>
        <v>3122790100</v>
      </c>
      <c r="M9081" s="17"/>
      <c r="N9081" s="17"/>
      <c r="O9081" s="17"/>
      <c r="P9081" s="17" t="b">
        <f>IFERROR(__xludf.DUMMYFUNCTION("""COMPUTED_VALUE"""),FALSE)</f>
        <v>0</v>
      </c>
      <c r="Q9081" s="20" t="str">
        <f>IFERROR(__xludf.DUMMYFUNCTION("""COMPUTED_VALUE"""),"")</f>
        <v/>
      </c>
      <c r="R9081" s="21" t="str">
        <f>IFERROR(__xludf.DUMMYFUNCTION("""COMPUTED_VALUE"""),"https://drive.google.com/file/d/1XWkHhSqxbBtzVWEiHMoQwPaI74G0ofSS/view?usp=drivesdk")</f>
        <v>https://drive.google.com/file/d/1XWkHhSqxbBtzVWEiHMoQwPaI74G0ofSS/view?usp=drivesdk</v>
      </c>
    </row>
    <row r="9082">
      <c r="A9082" s="15">
        <f>IFERROR(__xludf.DUMMYFUNCTION("""COMPUTED_VALUE"""),45259.0)</f>
        <v>45259</v>
      </c>
      <c r="B9082" s="16" t="str">
        <f>IFERROR(__xludf.DUMMYFUNCTION("""COMPUTED_VALUE"""),"David Sanmartin Bello")</f>
        <v>David Sanmartin Bello</v>
      </c>
      <c r="C9082" s="15" t="str">
        <f>IFERROR(__xludf.DUMMYFUNCTION("""COMPUTED_VALUE"""),"CARTAGENA")</f>
        <v>CARTAGENA</v>
      </c>
      <c r="D9082" s="15" t="str">
        <f>IFERROR(__xludf.DUMMYFUNCTION("""COMPUTED_VALUE"""),"BOGOTÁ")</f>
        <v>BOGOTÁ</v>
      </c>
      <c r="E9082" s="15" t="str">
        <f>IFERROR(__xludf.DUMMYFUNCTION("""COMPUTED_VALUE"""),"Instinto alimento vital")</f>
        <v>Instinto alimento vital</v>
      </c>
      <c r="F9082" s="17" t="str">
        <f>IFERROR(__xludf.DUMMYFUNCTION("""COMPUTED_VALUE"""),"CL 1 # 1-71 / CASA")</f>
        <v>CL 1 # 1-71 / CASA</v>
      </c>
      <c r="G9082" s="15" t="str">
        <f>IFERROR(__xludf.DUMMYFUNCTION("""COMPUTED_VALUE"""),"LAURA VANESA SABOGAL VILLADIEGO")</f>
        <v>LAURA VANESA SABOGAL VILLADIEGO</v>
      </c>
      <c r="H9082" s="16">
        <f>IFERROR(__xludf.DUMMYFUNCTION("""COMPUTED_VALUE"""),17733.0)</f>
        <v>17733</v>
      </c>
      <c r="I9082" s="17"/>
      <c r="J9082" s="17"/>
      <c r="K9082" s="17"/>
      <c r="L9082" s="17">
        <f>IFERROR(__xludf.DUMMYFUNCTION("""COMPUTED_VALUE"""),3.209402467E9)</f>
        <v>3209402467</v>
      </c>
      <c r="M9082" s="17"/>
      <c r="N9082" s="17"/>
      <c r="O9082" s="17"/>
      <c r="P9082" s="17" t="b">
        <f>IFERROR(__xludf.DUMMYFUNCTION("""COMPUTED_VALUE"""),FALSE)</f>
        <v>0</v>
      </c>
      <c r="Q9082" s="20" t="str">
        <f>IFERROR(__xludf.DUMMYFUNCTION("""COMPUTED_VALUE"""),"")</f>
        <v/>
      </c>
      <c r="R9082" s="21" t="str">
        <f>IFERROR(__xludf.DUMMYFUNCTION("""COMPUTED_VALUE"""),"https://drive.google.com/file/d/1KrVsYJsm0-wLc3wJsGQ2q6H6qwCfyKLh/view?usp=drivesdk")</f>
        <v>https://drive.google.com/file/d/1KrVsYJsm0-wLc3wJsGQ2q6H6qwCfyKLh/view?usp=drivesdk</v>
      </c>
    </row>
    <row r="9083">
      <c r="A9083" s="15">
        <f>IFERROR(__xludf.DUMMYFUNCTION("""COMPUTED_VALUE"""),45259.0)</f>
        <v>45259</v>
      </c>
      <c r="B9083" s="16" t="str">
        <f>IFERROR(__xludf.DUMMYFUNCTION("""COMPUTED_VALUE"""),"David Sanmartin Bello")</f>
        <v>David Sanmartin Bello</v>
      </c>
      <c r="C9083" s="15" t="str">
        <f>IFERROR(__xludf.DUMMYFUNCTION("""COMPUTED_VALUE"""),"CARTAGENA")</f>
        <v>CARTAGENA</v>
      </c>
      <c r="D9083" s="15" t="str">
        <f>IFERROR(__xludf.DUMMYFUNCTION("""COMPUTED_VALUE"""),"BOGOTÁ")</f>
        <v>BOGOTÁ</v>
      </c>
      <c r="E9083" s="15" t="str">
        <f>IFERROR(__xludf.DUMMYFUNCTION("""COMPUTED_VALUE"""),"LINA PAOLA RAMIREZ GOMEZ - EVA MAZZITA")</f>
        <v>LINA PAOLA RAMIREZ GOMEZ - EVA MAZZITA</v>
      </c>
      <c r="F9083" s="17" t="str">
        <f>IFERROR(__xludf.DUMMYFUNCTION("""COMPUTED_VALUE"""),"Cra 20A#29b-24 / edifciio terra club house apto 701  Pie de la popa")</f>
        <v>Cra 20A#29b-24 / edifciio terra club house apto 701  Pie de la popa</v>
      </c>
      <c r="G9083" s="15" t="str">
        <f>IFERROR(__xludf.DUMMYFUNCTION("""COMPUTED_VALUE"""),"ANDREA BERDUGO OSORIO")</f>
        <v>ANDREA BERDUGO OSORIO</v>
      </c>
      <c r="H9083" s="16">
        <f>IFERROR(__xludf.DUMMYFUNCTION("""COMPUTED_VALUE"""),17795.0)</f>
        <v>17795</v>
      </c>
      <c r="I9083" s="17"/>
      <c r="J9083" s="17"/>
      <c r="K9083" s="17"/>
      <c r="L9083" s="17">
        <f>IFERROR(__xludf.DUMMYFUNCTION("""COMPUTED_VALUE"""),3.102979161E9)</f>
        <v>3102979161</v>
      </c>
      <c r="M9083" s="17"/>
      <c r="N9083" s="17"/>
      <c r="O9083" s="17"/>
      <c r="P9083" s="17" t="b">
        <f>IFERROR(__xludf.DUMMYFUNCTION("""COMPUTED_VALUE"""),FALSE)</f>
        <v>0</v>
      </c>
      <c r="Q9083" s="20" t="str">
        <f>IFERROR(__xludf.DUMMYFUNCTION("""COMPUTED_VALUE"""),"")</f>
        <v/>
      </c>
      <c r="R9083" s="21" t="str">
        <f>IFERROR(__xludf.DUMMYFUNCTION("""COMPUTED_VALUE"""),"https://drive.google.com/file/d/1BNgneICQBkpqCQs3R_IfQW3gtw0yqpGA/view?usp=drivesdk")</f>
        <v>https://drive.google.com/file/d/1BNgneICQBkpqCQs3R_IfQW3gtw0yqpGA/view?usp=drivesdk</v>
      </c>
    </row>
    <row r="9084">
      <c r="A9084" s="15">
        <f>IFERROR(__xludf.DUMMYFUNCTION("""COMPUTED_VALUE"""),45259.0)</f>
        <v>45259</v>
      </c>
      <c r="B9084" s="16" t="str">
        <f>IFERROR(__xludf.DUMMYFUNCTION("""COMPUTED_VALUE"""),"David Sanmartin Bello")</f>
        <v>David Sanmartin Bello</v>
      </c>
      <c r="C9084" s="15" t="str">
        <f>IFERROR(__xludf.DUMMYFUNCTION("""COMPUTED_VALUE"""),"CARTAGENA")</f>
        <v>CARTAGENA</v>
      </c>
      <c r="D9084" s="15" t="str">
        <f>IFERROR(__xludf.DUMMYFUNCTION("""COMPUTED_VALUE"""),"BOGOTÁ")</f>
        <v>BOGOTÁ</v>
      </c>
      <c r="E9084" s="15" t="str">
        <f>IFERROR(__xludf.DUMMYFUNCTION("""COMPUTED_VALUE"""),"MAI ALIMENTOS REALES")</f>
        <v>MAI ALIMENTOS REALES</v>
      </c>
      <c r="F9084" s="17" t="str">
        <f>IFERROR(__xludf.DUMMYFUNCTION("""COMPUTED_VALUE"""),"Carrera 3 A # 31 - 23 / Plaza Santa teresa / Restaurante Harry Sasson")</f>
        <v>Carrera 3 A # 31 - 23 / Plaza Santa teresa / Restaurante Harry Sasson</v>
      </c>
      <c r="G9084" s="15" t="str">
        <f>IFERROR(__xludf.DUMMYFUNCTION("""COMPUTED_VALUE"""),"Hoteles Charleston SAS")</f>
        <v>Hoteles Charleston SAS</v>
      </c>
      <c r="H9084" s="16">
        <f>IFERROR(__xludf.DUMMYFUNCTION("""COMPUTED_VALUE"""),17716.0)</f>
        <v>17716</v>
      </c>
      <c r="I9084" s="17"/>
      <c r="J9084" s="17"/>
      <c r="K9084" s="17"/>
      <c r="L9084" s="17">
        <f>IFERROR(__xludf.DUMMYFUNCTION("""COMPUTED_VALUE"""),3.174374246E9)</f>
        <v>3174374246</v>
      </c>
      <c r="M9084" s="17"/>
      <c r="N9084" s="17"/>
      <c r="O9084" s="17"/>
      <c r="P9084" s="17" t="b">
        <f>IFERROR(__xludf.DUMMYFUNCTION("""COMPUTED_VALUE"""),FALSE)</f>
        <v>0</v>
      </c>
      <c r="Q9084" s="20" t="str">
        <f>IFERROR(__xludf.DUMMYFUNCTION("""COMPUTED_VALUE"""),"")</f>
        <v/>
      </c>
      <c r="R9084" s="21" t="str">
        <f>IFERROR(__xludf.DUMMYFUNCTION("""COMPUTED_VALUE"""),"https://drive.google.com/file/d/13A6El6mf-Zv0meLHj8uh_sPK5E1buOhr/view?usp=drivesdk")</f>
        <v>https://drive.google.com/file/d/13A6El6mf-Zv0meLHj8uh_sPK5E1buOhr/view?usp=drivesdk</v>
      </c>
    </row>
    <row r="9085">
      <c r="A9085" s="15">
        <f>IFERROR(__xludf.DUMMYFUNCTION("""COMPUTED_VALUE"""),45259.0)</f>
        <v>45259</v>
      </c>
      <c r="B9085" s="16" t="str">
        <f>IFERROR(__xludf.DUMMYFUNCTION("""COMPUTED_VALUE"""),"David Sanmartin Bello")</f>
        <v>David Sanmartin Bello</v>
      </c>
      <c r="C9085" s="15" t="str">
        <f>IFERROR(__xludf.DUMMYFUNCTION("""COMPUTED_VALUE"""),"CARTAGENA")</f>
        <v>CARTAGENA</v>
      </c>
      <c r="D9085" s="15" t="str">
        <f>IFERROR(__xludf.DUMMYFUNCTION("""COMPUTED_VALUE"""),"BOGOTÁ")</f>
        <v>BOGOTÁ</v>
      </c>
      <c r="E9085" s="15" t="str">
        <f>IFERROR(__xludf.DUMMYFUNCTION("""COMPUTED_VALUE"""),"PAN DE WAFFLE")</f>
        <v>PAN DE WAFFLE</v>
      </c>
      <c r="F9085" s="17" t="str">
        <f>IFERROR(__xludf.DUMMYFUNCTION("""COMPUTED_VALUE"""),"Carrera 1 # 46b - 6 Edif. Mar del Norte Local 3 / Carrera 1 # 46b - 6 Edif. Mar del Norte Local 3")</f>
        <v>Carrera 1 # 46b - 6 Edif. Mar del Norte Local 3 / Carrera 1 # 46b - 6 Edif. Mar del Norte Local 3</v>
      </c>
      <c r="G9085" s="15" t="str">
        <f>IFERROR(__xludf.DUMMYFUNCTION("""COMPUTED_VALUE"""),"RAPPI TURBO MAR DEL NORTE")</f>
        <v>RAPPI TURBO MAR DEL NORTE</v>
      </c>
      <c r="H9085" s="16">
        <f>IFERROR(__xludf.DUMMYFUNCTION("""COMPUTED_VALUE"""),17688.0)</f>
        <v>17688</v>
      </c>
      <c r="I9085" s="17"/>
      <c r="J9085" s="17"/>
      <c r="K9085" s="17"/>
      <c r="L9085" s="17">
        <f>IFERROR(__xludf.DUMMYFUNCTION("""COMPUTED_VALUE"""),3.05336397E9)</f>
        <v>3053363970</v>
      </c>
      <c r="M9085" s="17"/>
      <c r="N9085" s="17"/>
      <c r="O9085" s="17"/>
      <c r="P9085" s="17" t="b">
        <f>IFERROR(__xludf.DUMMYFUNCTION("""COMPUTED_VALUE"""),FALSE)</f>
        <v>0</v>
      </c>
      <c r="Q9085" s="20" t="str">
        <f>IFERROR(__xludf.DUMMYFUNCTION("""COMPUTED_VALUE"""),"")</f>
        <v/>
      </c>
      <c r="R9085" s="21" t="str">
        <f>IFERROR(__xludf.DUMMYFUNCTION("""COMPUTED_VALUE"""),"https://drive.google.com/file/d/1I4eHI7Royal8aaI4xh4-iMtsAt_nJjA9/view?usp=drivesdk")</f>
        <v>https://drive.google.com/file/d/1I4eHI7Royal8aaI4xh4-iMtsAt_nJjA9/view?usp=drivesdk</v>
      </c>
    </row>
    <row r="9086">
      <c r="A9086" s="15">
        <f>IFERROR(__xludf.DUMMYFUNCTION("""COMPUTED_VALUE"""),45259.0)</f>
        <v>45259</v>
      </c>
      <c r="B9086" s="16" t="str">
        <f>IFERROR(__xludf.DUMMYFUNCTION("""COMPUTED_VALUE"""),"David Sanmartin Bello")</f>
        <v>David Sanmartin Bello</v>
      </c>
      <c r="C9086" s="15" t="str">
        <f>IFERROR(__xludf.DUMMYFUNCTION("""COMPUTED_VALUE"""),"CARTAGENA")</f>
        <v>CARTAGENA</v>
      </c>
      <c r="D9086" s="15" t="str">
        <f>IFERROR(__xludf.DUMMYFUNCTION("""COMPUTED_VALUE"""),"BOGOTÁ")</f>
        <v>BOGOTÁ</v>
      </c>
      <c r="E9086" s="15" t="str">
        <f>IFERROR(__xludf.DUMMYFUNCTION("""COMPUTED_VALUE"""),"PAN DE WAFFLE")</f>
        <v>PAN DE WAFFLE</v>
      </c>
      <c r="F9086" s="17" t="str">
        <f>IFERROR(__xludf.DUMMYFUNCTION("""COMPUTED_VALUE"""),"Carrera 2 # 10 - 175 / Carrera 2 # 10 - 175")</f>
        <v>Carrera 2 # 10 - 175 / Carrera 2 # 10 - 175</v>
      </c>
      <c r="G9086" s="15" t="str">
        <f>IFERROR(__xludf.DUMMYFUNCTION("""COMPUTED_VALUE"""),"RAPPI TURBO BOCAGRANDE")</f>
        <v>RAPPI TURBO BOCAGRANDE</v>
      </c>
      <c r="H9086" s="16">
        <f>IFERROR(__xludf.DUMMYFUNCTION("""COMPUTED_VALUE"""),17694.0)</f>
        <v>17694</v>
      </c>
      <c r="I9086" s="17"/>
      <c r="J9086" s="17"/>
      <c r="K9086" s="17"/>
      <c r="L9086" s="17">
        <f>IFERROR(__xludf.DUMMYFUNCTION("""COMPUTED_VALUE"""),3.214609635E9)</f>
        <v>3214609635</v>
      </c>
      <c r="M9086" s="17"/>
      <c r="N9086" s="17"/>
      <c r="O9086" s="17"/>
      <c r="P9086" s="17" t="b">
        <f>IFERROR(__xludf.DUMMYFUNCTION("""COMPUTED_VALUE"""),FALSE)</f>
        <v>0</v>
      </c>
      <c r="Q9086" s="20" t="str">
        <f>IFERROR(__xludf.DUMMYFUNCTION("""COMPUTED_VALUE"""),"")</f>
        <v/>
      </c>
      <c r="R9086" s="21" t="str">
        <f>IFERROR(__xludf.DUMMYFUNCTION("""COMPUTED_VALUE"""),"https://drive.google.com/file/d/1LV1f1AQqihds9xgKDTMSRGL9OI_C4-CU/view?usp=drivesdk")</f>
        <v>https://drive.google.com/file/d/1LV1f1AQqihds9xgKDTMSRGL9OI_C4-CU/view?usp=drivesdk</v>
      </c>
    </row>
    <row r="9087">
      <c r="A9087" s="15">
        <f>IFERROR(__xludf.DUMMYFUNCTION("""COMPUTED_VALUE"""),45259.0)</f>
        <v>45259</v>
      </c>
      <c r="B9087" s="16" t="str">
        <f>IFERROR(__xludf.DUMMYFUNCTION("""COMPUTED_VALUE"""),"David Sanmartin Bello")</f>
        <v>David Sanmartin Bello</v>
      </c>
      <c r="C9087" s="15" t="str">
        <f>IFERROR(__xludf.DUMMYFUNCTION("""COMPUTED_VALUE"""),"CARTAGENA")</f>
        <v>CARTAGENA</v>
      </c>
      <c r="D9087" s="15" t="str">
        <f>IFERROR(__xludf.DUMMYFUNCTION("""COMPUTED_VALUE"""),"BOGOTÁ")</f>
        <v>BOGOTÁ</v>
      </c>
      <c r="E9087" s="15" t="str">
        <f>IFERROR(__xludf.DUMMYFUNCTION("""COMPUTED_VALUE"""),"Top Spun")</f>
        <v>Top Spun</v>
      </c>
      <c r="F9087" s="17" t="str">
        <f>IFERROR(__xludf.DUMMYFUNCTION("""COMPUTED_VALUE"""),"Calle 31 no. 69-75 / Edificio La Caracola / apto 1b")</f>
        <v>Calle 31 no. 69-75 / Edificio La Caracola / apto 1b</v>
      </c>
      <c r="G9087" s="15" t="str">
        <f>IFERROR(__xludf.DUMMYFUNCTION("""COMPUTED_VALUE"""),"Alexandra Tello Fénix")</f>
        <v>Alexandra Tello Fénix</v>
      </c>
      <c r="H9087" s="16">
        <f>IFERROR(__xludf.DUMMYFUNCTION("""COMPUTED_VALUE"""),17752.0)</f>
        <v>17752</v>
      </c>
      <c r="I9087" s="18">
        <f>IFERROR(__xludf.DUMMYFUNCTION("""COMPUTED_VALUE"""),20.0)</f>
        <v>20</v>
      </c>
      <c r="J9087" s="18">
        <f>IFERROR(__xludf.DUMMYFUNCTION("""COMPUTED_VALUE"""),10.0)</f>
        <v>10</v>
      </c>
      <c r="K9087" s="18">
        <f>IFERROR(__xludf.DUMMYFUNCTION("""COMPUTED_VALUE"""),40.0)</f>
        <v>40</v>
      </c>
      <c r="L9087" s="17">
        <f>IFERROR(__xludf.DUMMYFUNCTION("""COMPUTED_VALUE"""),3.008085269E9)</f>
        <v>3008085269</v>
      </c>
      <c r="M9087" s="17"/>
      <c r="N9087" s="17"/>
      <c r="O9087" s="17"/>
      <c r="P9087" s="17" t="b">
        <f>IFERROR(__xludf.DUMMYFUNCTION("""COMPUTED_VALUE"""),FALSE)</f>
        <v>0</v>
      </c>
      <c r="Q9087" s="20" t="str">
        <f>IFERROR(__xludf.DUMMYFUNCTION("""COMPUTED_VALUE"""),"")</f>
        <v/>
      </c>
      <c r="R9087" s="21" t="str">
        <f>IFERROR(__xludf.DUMMYFUNCTION("""COMPUTED_VALUE"""),"https://drive.google.com/file/d/1M8fJzaBHXoyYWWfH70BewTvmN1MsaF-B/view?usp=drivesdk")</f>
        <v>https://drive.google.com/file/d/1M8fJzaBHXoyYWWfH70BewTvmN1MsaF-B/view?usp=drivesdk</v>
      </c>
    </row>
    <row r="9088">
      <c r="A9088" s="17" t="str">
        <f>IFERROR(__xludf.DUMMYFUNCTION("""COMPUTED_VALUE"""),"")</f>
        <v/>
      </c>
      <c r="B9088" s="17" t="str">
        <f>IFERROR(__xludf.DUMMYFUNCTION("""COMPUTED_VALUE"""),"")</f>
        <v/>
      </c>
      <c r="C9088" s="17" t="str">
        <f>IFERROR(__xludf.DUMMYFUNCTION("""COMPUTED_VALUE"""),"")</f>
        <v/>
      </c>
      <c r="D9088" s="17" t="str">
        <f>IFERROR(__xludf.DUMMYFUNCTION("""COMPUTED_VALUE"""),"")</f>
        <v/>
      </c>
      <c r="E9088" s="17" t="str">
        <f>IFERROR(__xludf.DUMMYFUNCTION("""COMPUTED_VALUE"""),"")</f>
        <v/>
      </c>
      <c r="F9088" s="17" t="str">
        <f>IFERROR(__xludf.DUMMYFUNCTION("""COMPUTED_VALUE"""),"")</f>
        <v/>
      </c>
      <c r="G9088" s="17" t="str">
        <f>IFERROR(__xludf.DUMMYFUNCTION("""COMPUTED_VALUE"""),"")</f>
        <v/>
      </c>
      <c r="H9088" s="17" t="str">
        <f>IFERROR(__xludf.DUMMYFUNCTION("""COMPUTED_VALUE"""),"")</f>
        <v/>
      </c>
      <c r="I9088" s="17" t="str">
        <f>IFERROR(__xludf.DUMMYFUNCTION("""COMPUTED_VALUE"""),"")</f>
        <v/>
      </c>
      <c r="J9088" s="17" t="str">
        <f>IFERROR(__xludf.DUMMYFUNCTION("""COMPUTED_VALUE"""),"")</f>
        <v/>
      </c>
      <c r="K9088" s="17" t="str">
        <f>IFERROR(__xludf.DUMMYFUNCTION("""COMPUTED_VALUE"""),"")</f>
        <v/>
      </c>
      <c r="L9088" s="17" t="str">
        <f>IFERROR(__xludf.DUMMYFUNCTION("""COMPUTED_VALUE"""),"")</f>
        <v/>
      </c>
      <c r="M9088" s="17" t="str">
        <f>IFERROR(__xludf.DUMMYFUNCTION("""COMPUTED_VALUE"""),"")</f>
        <v/>
      </c>
      <c r="N9088" s="17" t="str">
        <f>IFERROR(__xludf.DUMMYFUNCTION("""COMPUTED_VALUE"""),"")</f>
        <v/>
      </c>
      <c r="O9088" s="17" t="str">
        <f>IFERROR(__xludf.DUMMYFUNCTION("""COMPUTED_VALUE"""),"")</f>
        <v/>
      </c>
      <c r="P9088" s="17" t="str">
        <f>IFERROR(__xludf.DUMMYFUNCTION("""COMPUTED_VALUE"""),"")</f>
        <v/>
      </c>
      <c r="Q9088" s="17" t="str">
        <f>IFERROR(__xludf.DUMMYFUNCTION("""COMPUTED_VALUE"""),"")</f>
        <v/>
      </c>
      <c r="R9088" s="17" t="str">
        <f>IFERROR(__xludf.DUMMYFUNCTION("""COMPUTED_VALUE"""),"")</f>
        <v/>
      </c>
    </row>
    <row r="9089">
      <c r="A9089" s="15">
        <f>IFERROR(__xludf.DUMMYFUNCTION("""COMPUTED_VALUE"""),45259.0)</f>
        <v>45259</v>
      </c>
      <c r="B9089" s="16" t="str">
        <f>IFERROR(__xludf.DUMMYFUNCTION("""COMPUTED_VALUE"""),"Envia")</f>
        <v>Envia</v>
      </c>
      <c r="C9089" s="15" t="str">
        <f>IFERROR(__xludf.DUMMYFUNCTION("""COMPUTED_VALUE"""),"BOGOTÁ")</f>
        <v>BOGOTÁ</v>
      </c>
      <c r="D9089" s="15" t="str">
        <f>IFERROR(__xludf.DUMMYFUNCTION("""COMPUTED_VALUE"""),"BUCARAMANGA")</f>
        <v>BUCARAMANGA</v>
      </c>
      <c r="E9089" s="15" t="str">
        <f>IFERROR(__xludf.DUMMYFUNCTION("""COMPUTED_VALUE"""),"Yo Como Solito")</f>
        <v>Yo Como Solito</v>
      </c>
      <c r="F9089" s="17" t="str">
        <f>IFERROR(__xludf.DUMMYFUNCTION("""COMPUTED_VALUE"""),"CALLE 146 # 12A -20 APARTAMENTO 903 / CALLE 146 # 12A -20 APARTAMENTO 903 / CALLE 146 # 12A -20 APARTAMENTO 903")</f>
        <v>CALLE 146 # 12A -20 APARTAMENTO 903 / CALLE 146 # 12A -20 APARTAMENTO 903 / CALLE 146 # 12A -20 APARTAMENTO 903</v>
      </c>
      <c r="G9089" s="15" t="str">
        <f>IFERROR(__xludf.DUMMYFUNCTION("""COMPUTED_VALUE"""),"ADRIANA GARCIA")</f>
        <v>ADRIANA GARCIA</v>
      </c>
      <c r="H9089" s="16">
        <f>IFERROR(__xludf.DUMMYFUNCTION("""COMPUTED_VALUE"""),17748.0)</f>
        <v>17748</v>
      </c>
      <c r="I9089" s="18">
        <f>IFERROR(__xludf.DUMMYFUNCTION("""COMPUTED_VALUE"""),13.0)</f>
        <v>13</v>
      </c>
      <c r="J9089" s="18">
        <f>IFERROR(__xludf.DUMMYFUNCTION("""COMPUTED_VALUE"""),27.0)</f>
        <v>27</v>
      </c>
      <c r="K9089" s="18">
        <f>IFERROR(__xludf.DUMMYFUNCTION("""COMPUTED_VALUE"""),33.0)</f>
        <v>33</v>
      </c>
      <c r="L9089" s="17">
        <f>IFERROR(__xludf.DUMMYFUNCTION("""COMPUTED_VALUE"""),3.125952101E9)</f>
        <v>3125952101</v>
      </c>
      <c r="M9089" s="17"/>
      <c r="N9089" s="17"/>
      <c r="O9089" s="17"/>
      <c r="P9089" s="17" t="b">
        <f>IFERROR(__xludf.DUMMYFUNCTION("""COMPUTED_VALUE"""),FALSE)</f>
        <v>0</v>
      </c>
      <c r="Q9089" s="20" t="str">
        <f>IFERROR(__xludf.DUMMYFUNCTION("""COMPUTED_VALUE"""),"")</f>
        <v/>
      </c>
      <c r="R9089" s="21" t="str">
        <f>IFERROR(__xludf.DUMMYFUNCTION("""COMPUTED_VALUE"""),"https://drive.google.com/file/d/1lshhbMO-pHtKddyfewEC-eArhfIXbdEE/view?usp=drivesdk")</f>
        <v>https://drive.google.com/file/d/1lshhbMO-pHtKddyfewEC-eArhfIXbdEE/view?usp=drivesdk</v>
      </c>
    </row>
    <row r="9090">
      <c r="A9090" s="15">
        <f>IFERROR(__xludf.DUMMYFUNCTION("""COMPUTED_VALUE"""),45259.0)</f>
        <v>45259</v>
      </c>
      <c r="B9090" s="16" t="str">
        <f>IFERROR(__xludf.DUMMYFUNCTION("""COMPUTED_VALUE"""),"Envia")</f>
        <v>Envia</v>
      </c>
      <c r="C9090" s="15" t="str">
        <f>IFERROR(__xludf.DUMMYFUNCTION("""COMPUTED_VALUE"""),"BOGOTÁ")</f>
        <v>BOGOTÁ</v>
      </c>
      <c r="D9090" s="15" t="str">
        <f>IFERROR(__xludf.DUMMYFUNCTION("""COMPUTED_VALUE"""),"BUCARAMANGA")</f>
        <v>BUCARAMANGA</v>
      </c>
      <c r="E9090" s="15" t="str">
        <f>IFERROR(__xludf.DUMMYFUNCTION("""COMPUTED_VALUE"""),"Yo Como Solito")</f>
        <v>Yo Como Solito</v>
      </c>
      <c r="F9090" s="17" t="str">
        <f>IFERROR(__xludf.DUMMYFUNCTION("""COMPUTED_VALUE"""),"CARRERA 111A #148-50 TORRE 6 APARTAMENTO 603 BOGOTA, SUBA ALMENDROS  / CARRERA 111A #148-50 TORRE 6 APARTAMENTO 603 BOGOTA, SUBA ALMENDROS / CARRERA 111A #148-50 TORRE 6 APARTAMENTO 603 BOGOTA, SUBA ALMENDROS")</f>
        <v>CARRERA 111A #148-50 TORRE 6 APARTAMENTO 603 BOGOTA, SUBA ALMENDROS  / CARRERA 111A #148-50 TORRE 6 APARTAMENTO 603 BOGOTA, SUBA ALMENDROS / CARRERA 111A #148-50 TORRE 6 APARTAMENTO 603 BOGOTA, SUBA ALMENDROS</v>
      </c>
      <c r="G9090" s="15" t="str">
        <f>IFERROR(__xludf.DUMMYFUNCTION("""COMPUTED_VALUE"""),"ELIANA MARCELA VARGAS PEÑA")</f>
        <v>ELIANA MARCELA VARGAS PEÑA</v>
      </c>
      <c r="H9090" s="16">
        <f>IFERROR(__xludf.DUMMYFUNCTION("""COMPUTED_VALUE"""),17746.0)</f>
        <v>17746</v>
      </c>
      <c r="I9090" s="18">
        <f>IFERROR(__xludf.DUMMYFUNCTION("""COMPUTED_VALUE"""),15.0)</f>
        <v>15</v>
      </c>
      <c r="J9090" s="18">
        <f>IFERROR(__xludf.DUMMYFUNCTION("""COMPUTED_VALUE"""),27.0)</f>
        <v>27</v>
      </c>
      <c r="K9090" s="18">
        <f>IFERROR(__xludf.DUMMYFUNCTION("""COMPUTED_VALUE"""),26.0)</f>
        <v>26</v>
      </c>
      <c r="L9090" s="17">
        <f>IFERROR(__xludf.DUMMYFUNCTION("""COMPUTED_VALUE"""),3.112876878E9)</f>
        <v>3112876878</v>
      </c>
      <c r="M9090" s="17"/>
      <c r="N9090" s="17"/>
      <c r="O9090" s="17"/>
      <c r="P9090" s="17" t="b">
        <f>IFERROR(__xludf.DUMMYFUNCTION("""COMPUTED_VALUE"""),FALSE)</f>
        <v>0</v>
      </c>
      <c r="Q9090" s="20" t="str">
        <f>IFERROR(__xludf.DUMMYFUNCTION("""COMPUTED_VALUE"""),"")</f>
        <v/>
      </c>
      <c r="R9090" s="21" t="str">
        <f>IFERROR(__xludf.DUMMYFUNCTION("""COMPUTED_VALUE"""),"https://drive.google.com/file/d/1g6-VD8c2D6QDiY9Cyrh7UhJ6cdaIcJ-W/view?usp=drivesdk")</f>
        <v>https://drive.google.com/file/d/1g6-VD8c2D6QDiY9Cyrh7UhJ6cdaIcJ-W/view?usp=drivesdk</v>
      </c>
    </row>
    <row r="9091">
      <c r="A9091" s="15">
        <f>IFERROR(__xludf.DUMMYFUNCTION("""COMPUTED_VALUE"""),45259.0)</f>
        <v>45259</v>
      </c>
      <c r="B9091" s="16" t="str">
        <f>IFERROR(__xludf.DUMMYFUNCTION("""COMPUTED_VALUE"""),"Envia")</f>
        <v>Envia</v>
      </c>
      <c r="C9091" s="15" t="str">
        <f>IFERROR(__xludf.DUMMYFUNCTION("""COMPUTED_VALUE"""),"BOGOTÁ")</f>
        <v>BOGOTÁ</v>
      </c>
      <c r="D9091" s="15" t="str">
        <f>IFERROR(__xludf.DUMMYFUNCTION("""COMPUTED_VALUE"""),"ENVIGADO")</f>
        <v>ENVIGADO</v>
      </c>
      <c r="E9091" s="15" t="str">
        <f>IFERROR(__xludf.DUMMYFUNCTION("""COMPUTED_VALUE"""),"JUAN CAMILO CORDOBA")</f>
        <v>JUAN CAMILO CORDOBA</v>
      </c>
      <c r="F9091" s="17" t="str">
        <f>IFERROR(__xludf.DUMMYFUNCTION("""COMPUTED_VALUE"""),"Calle 53 # 15 90 / PASAJE COMERCIAL NOVACENTRO LOCAL 13")</f>
        <v>Calle 53 # 15 90 / PASAJE COMERCIAL NOVACENTRO LOCAL 13</v>
      </c>
      <c r="G9091" s="15" t="str">
        <f>IFERROR(__xludf.DUMMYFUNCTION("""COMPUTED_VALUE"""),"Bien y Estar Market")</f>
        <v>Bien y Estar Market</v>
      </c>
      <c r="H9091" s="16">
        <f>IFERROR(__xludf.DUMMYFUNCTION("""COMPUTED_VALUE"""),17761.0)</f>
        <v>17761</v>
      </c>
      <c r="I9091" s="17"/>
      <c r="J9091" s="17"/>
      <c r="K9091" s="17"/>
      <c r="L9091" s="17">
        <f>IFERROR(__xludf.DUMMYFUNCTION("""COMPUTED_VALUE"""),3.143330353E9)</f>
        <v>3143330353</v>
      </c>
      <c r="M9091" s="17"/>
      <c r="N9091" s="17"/>
      <c r="O9091" s="17"/>
      <c r="P9091" s="17" t="b">
        <f>IFERROR(__xludf.DUMMYFUNCTION("""COMPUTED_VALUE"""),FALSE)</f>
        <v>0</v>
      </c>
      <c r="Q9091" s="20" t="str">
        <f>IFERROR(__xludf.DUMMYFUNCTION("""COMPUTED_VALUE"""),"")</f>
        <v/>
      </c>
      <c r="R9091" s="21" t="str">
        <f>IFERROR(__xludf.DUMMYFUNCTION("""COMPUTED_VALUE"""),"https://drive.google.com/file/d/1hDVTirC_Wk3F6nN09LnbD5uTK353oXwi/view?usp=drivesdk")</f>
        <v>https://drive.google.com/file/d/1hDVTirC_Wk3F6nN09LnbD5uTK353oXwi/view?usp=drivesdk</v>
      </c>
    </row>
    <row r="9092">
      <c r="A9092" s="15">
        <f>IFERROR(__xludf.DUMMYFUNCTION("""COMPUTED_VALUE"""),45259.0)</f>
        <v>45259</v>
      </c>
      <c r="B9092" s="16" t="str">
        <f>IFERROR(__xludf.DUMMYFUNCTION("""COMPUTED_VALUE"""),"Envia")</f>
        <v>Envia</v>
      </c>
      <c r="C9092" s="15" t="str">
        <f>IFERROR(__xludf.DUMMYFUNCTION("""COMPUTED_VALUE"""),"BOGOTÁ")</f>
        <v>BOGOTÁ</v>
      </c>
      <c r="D9092" s="15" t="str">
        <f>IFERROR(__xludf.DUMMYFUNCTION("""COMPUTED_VALUE"""),"MEDELLÍN")</f>
        <v>MEDELLÍN</v>
      </c>
      <c r="E9092" s="15" t="str">
        <f>IFERROR(__xludf.DUMMYFUNCTION("""COMPUTED_VALUE"""),"Carnicos Fricar")</f>
        <v>Carnicos Fricar</v>
      </c>
      <c r="F9092" s="17" t="str">
        <f>IFERROR(__xludf.DUMMYFUNCTION("""COMPUTED_VALUE"""),"CALLE 1RA # 3 - 13 SOPO CUNDINAMARCA / CASA / SOPO CUNDINAMARCA")</f>
        <v>CALLE 1RA # 3 - 13 SOPO CUNDINAMARCA / CASA / SOPO CUNDINAMARCA</v>
      </c>
      <c r="G9092" s="15" t="str">
        <f>IFERROR(__xludf.DUMMYFUNCTION("""COMPUTED_VALUE"""),"JUAN CARLOS GOMEZ")</f>
        <v>JUAN CARLOS GOMEZ</v>
      </c>
      <c r="H9092" s="16">
        <f>IFERROR(__xludf.DUMMYFUNCTION("""COMPUTED_VALUE"""),17742.0)</f>
        <v>17742</v>
      </c>
      <c r="I9092" s="18">
        <f>IFERROR(__xludf.DUMMYFUNCTION("""COMPUTED_VALUE"""),26.0)</f>
        <v>26</v>
      </c>
      <c r="J9092" s="18">
        <f>IFERROR(__xludf.DUMMYFUNCTION("""COMPUTED_VALUE"""),36.0)</f>
        <v>36</v>
      </c>
      <c r="K9092" s="18">
        <f>IFERROR(__xludf.DUMMYFUNCTION("""COMPUTED_VALUE"""),9.0)</f>
        <v>9</v>
      </c>
      <c r="L9092" s="17">
        <f>IFERROR(__xludf.DUMMYFUNCTION("""COMPUTED_VALUE"""),3.005691441E9)</f>
        <v>3005691441</v>
      </c>
      <c r="M9092" s="17"/>
      <c r="N9092" s="17"/>
      <c r="O9092" s="17"/>
      <c r="P9092" s="17" t="b">
        <f>IFERROR(__xludf.DUMMYFUNCTION("""COMPUTED_VALUE"""),FALSE)</f>
        <v>0</v>
      </c>
      <c r="Q9092" s="20" t="str">
        <f>IFERROR(__xludf.DUMMYFUNCTION("""COMPUTED_VALUE"""),"")</f>
        <v/>
      </c>
      <c r="R9092" s="21" t="str">
        <f>IFERROR(__xludf.DUMMYFUNCTION("""COMPUTED_VALUE"""),"https://drive.google.com/file/d/18f_PV15TSWBsjPn7sZ9M4hx4PjNjBg0_/view?usp=drivesdk")</f>
        <v>https://drive.google.com/file/d/18f_PV15TSWBsjPn7sZ9M4hx4PjNjBg0_/view?usp=drivesdk</v>
      </c>
    </row>
    <row r="9093">
      <c r="A9093" s="15">
        <f>IFERROR(__xludf.DUMMYFUNCTION("""COMPUTED_VALUE"""),45259.0)</f>
        <v>45259</v>
      </c>
      <c r="B9093" s="16" t="str">
        <f>IFERROR(__xludf.DUMMYFUNCTION("""COMPUTED_VALUE"""),"Envia")</f>
        <v>Envia</v>
      </c>
      <c r="C9093" s="15" t="str">
        <f>IFERROR(__xludf.DUMMYFUNCTION("""COMPUTED_VALUE"""),"BOGOTÁ")</f>
        <v>BOGOTÁ</v>
      </c>
      <c r="D9093" s="15" t="str">
        <f>IFERROR(__xludf.DUMMYFUNCTION("""COMPUTED_VALUE"""),"MEDELLÍN")</f>
        <v>MEDELLÍN</v>
      </c>
      <c r="E9093" s="15" t="str">
        <f>IFERROR(__xludf.DUMMYFUNCTION("""COMPUTED_VALUE"""),"Moloso S.A.S")</f>
        <v>Moloso S.A.S</v>
      </c>
      <c r="F9093" s="17" t="str">
        <f>IFERROR(__xludf.DUMMYFUNCTION("""COMPUTED_VALUE"""),"CALLE 90 9A 51 / ED MT3 AP 403")</f>
        <v>CALLE 90 9A 51 / ED MT3 AP 403</v>
      </c>
      <c r="G9093" s="15" t="str">
        <f>IFERROR(__xludf.DUMMYFUNCTION("""COMPUTED_VALUE"""),"MARIA XIMENA GUZMAN DEL CASTILLO")</f>
        <v>MARIA XIMENA GUZMAN DEL CASTILLO</v>
      </c>
      <c r="H9093" s="16">
        <f>IFERROR(__xludf.DUMMYFUNCTION("""COMPUTED_VALUE"""),17788.0)</f>
        <v>17788</v>
      </c>
      <c r="I9093" s="17"/>
      <c r="J9093" s="17"/>
      <c r="K9093" s="17"/>
      <c r="L9093" s="17"/>
      <c r="M9093" s="17"/>
      <c r="N9093" s="17"/>
      <c r="O9093" s="17"/>
      <c r="P9093" s="17" t="b">
        <f>IFERROR(__xludf.DUMMYFUNCTION("""COMPUTED_VALUE"""),FALSE)</f>
        <v>0</v>
      </c>
      <c r="Q9093" s="20" t="str">
        <f>IFERROR(__xludf.DUMMYFUNCTION("""COMPUTED_VALUE"""),"")</f>
        <v/>
      </c>
      <c r="R9093" s="21" t="str">
        <f>IFERROR(__xludf.DUMMYFUNCTION("""COMPUTED_VALUE"""),"https://drive.google.com/file/d/1ovjA00PM4KC2obuREirk06EYDHIpupK0/view?usp=drivesdk")</f>
        <v>https://drive.google.com/file/d/1ovjA00PM4KC2obuREirk06EYDHIpupK0/view?usp=drivesdk</v>
      </c>
    </row>
    <row r="9094">
      <c r="A9094" s="15">
        <f>IFERROR(__xludf.DUMMYFUNCTION("""COMPUTED_VALUE"""),45259.0)</f>
        <v>45259</v>
      </c>
      <c r="B9094" s="16" t="str">
        <f>IFERROR(__xludf.DUMMYFUNCTION("""COMPUTED_VALUE"""),"Envia")</f>
        <v>Envia</v>
      </c>
      <c r="C9094" s="15" t="str">
        <f>IFERROR(__xludf.DUMMYFUNCTION("""COMPUTED_VALUE"""),"BOGOTÁ")</f>
        <v>BOGOTÁ</v>
      </c>
      <c r="D9094" s="15" t="str">
        <f>IFERROR(__xludf.DUMMYFUNCTION("""COMPUTED_VALUE"""),"MEDELLÍN")</f>
        <v>MEDELLÍN</v>
      </c>
      <c r="E9094" s="15" t="str">
        <f>IFERROR(__xludf.DUMMYFUNCTION("""COMPUTED_VALUE"""),"Moloso S.A.S")</f>
        <v>Moloso S.A.S</v>
      </c>
      <c r="F9094" s="17" t="str">
        <f>IFERROR(__xludf.DUMMYFUNCTION("""COMPUTED_VALUE"""),"CL 23C 69B 56 / CONJUNTO ALBORARIA TO 4 AP 804")</f>
        <v>CL 23C 69B 56 / CONJUNTO ALBORARIA TO 4 AP 804</v>
      </c>
      <c r="G9094" s="15" t="str">
        <f>IFERROR(__xludf.DUMMYFUNCTION("""COMPUTED_VALUE"""),"CLAUDIA LILIANA SANCHEZ FINO")</f>
        <v>CLAUDIA LILIANA SANCHEZ FINO</v>
      </c>
      <c r="H9094" s="16">
        <f>IFERROR(__xludf.DUMMYFUNCTION("""COMPUTED_VALUE"""),17791.0)</f>
        <v>17791</v>
      </c>
      <c r="I9094" s="17"/>
      <c r="J9094" s="17"/>
      <c r="K9094" s="17"/>
      <c r="L9094" s="17"/>
      <c r="M9094" s="17"/>
      <c r="N9094" s="17"/>
      <c r="O9094" s="17"/>
      <c r="P9094" s="17" t="b">
        <f>IFERROR(__xludf.DUMMYFUNCTION("""COMPUTED_VALUE"""),FALSE)</f>
        <v>0</v>
      </c>
      <c r="Q9094" s="20" t="str">
        <f>IFERROR(__xludf.DUMMYFUNCTION("""COMPUTED_VALUE"""),"")</f>
        <v/>
      </c>
      <c r="R9094" s="21" t="str">
        <f>IFERROR(__xludf.DUMMYFUNCTION("""COMPUTED_VALUE"""),"https://drive.google.com/file/d/1H8s-Nc-dU89IEqfzSorwbbY2hxpzP_0I/view?usp=drivesdk")</f>
        <v>https://drive.google.com/file/d/1H8s-Nc-dU89IEqfzSorwbbY2hxpzP_0I/view?usp=drivesdk</v>
      </c>
    </row>
    <row r="9095">
      <c r="A9095" s="15">
        <f>IFERROR(__xludf.DUMMYFUNCTION("""COMPUTED_VALUE"""),45259.0)</f>
        <v>45259</v>
      </c>
      <c r="B9095" s="16" t="str">
        <f>IFERROR(__xludf.DUMMYFUNCTION("""COMPUTED_VALUE"""),"Envia")</f>
        <v>Envia</v>
      </c>
      <c r="C9095" s="15" t="str">
        <f>IFERROR(__xludf.DUMMYFUNCTION("""COMPUTED_VALUE"""),"BOGOTÁ")</f>
        <v>BOGOTÁ</v>
      </c>
      <c r="D9095" s="15" t="str">
        <f>IFERROR(__xludf.DUMMYFUNCTION("""COMPUTED_VALUE"""),"MEDELLÍN")</f>
        <v>MEDELLÍN</v>
      </c>
      <c r="E9095" s="15" t="str">
        <f>IFERROR(__xludf.DUMMYFUNCTION("""COMPUTED_VALUE"""),"Orobroy")</f>
        <v>Orobroy</v>
      </c>
      <c r="F9095" s="17" t="str">
        <f>IFERROR(__xludf.DUMMYFUNCTION("""COMPUTED_VALUE"""),"Tra 19A n 98 -12 of 502 / Chico navarra")</f>
        <v>Tra 19A n 98 -12 of 502 / Chico navarra</v>
      </c>
      <c r="G9095" s="15" t="str">
        <f>IFERROR(__xludf.DUMMYFUNCTION("""COMPUTED_VALUE"""),"Scala Logistica")</f>
        <v>Scala Logistica</v>
      </c>
      <c r="H9095" s="16">
        <f>IFERROR(__xludf.DUMMYFUNCTION("""COMPUTED_VALUE"""),17669.0)</f>
        <v>17669</v>
      </c>
      <c r="I9095" s="17"/>
      <c r="J9095" s="17"/>
      <c r="K9095" s="17"/>
      <c r="L9095" s="17">
        <f>IFERROR(__xludf.DUMMYFUNCTION("""COMPUTED_VALUE"""),6.014424837E9)</f>
        <v>6014424837</v>
      </c>
      <c r="M9095" s="17"/>
      <c r="N9095" s="17"/>
      <c r="O9095" s="17"/>
      <c r="P9095" s="17" t="b">
        <f>IFERROR(__xludf.DUMMYFUNCTION("""COMPUTED_VALUE"""),FALSE)</f>
        <v>0</v>
      </c>
      <c r="Q9095" s="20" t="str">
        <f>IFERROR(__xludf.DUMMYFUNCTION("""COMPUTED_VALUE"""),"")</f>
        <v/>
      </c>
      <c r="R9095" s="21" t="str">
        <f>IFERROR(__xludf.DUMMYFUNCTION("""COMPUTED_VALUE"""),"https://drive.google.com/file/d/1OCs8bo32aFSx5D1okAYOPb7syFxE-vV-/view?usp=drivesdk")</f>
        <v>https://drive.google.com/file/d/1OCs8bo32aFSx5D1okAYOPb7syFxE-vV-/view?usp=drivesdk</v>
      </c>
    </row>
    <row r="9096">
      <c r="A9096" s="15">
        <f>IFERROR(__xludf.DUMMYFUNCTION("""COMPUTED_VALUE"""),45259.0)</f>
        <v>45259</v>
      </c>
      <c r="B9096" s="16" t="str">
        <f>IFERROR(__xludf.DUMMYFUNCTION("""COMPUTED_VALUE"""),"Envia")</f>
        <v>Envia</v>
      </c>
      <c r="C9096" s="15" t="str">
        <f>IFERROR(__xludf.DUMMYFUNCTION("""COMPUTED_VALUE"""),"BOGOTÁ")</f>
        <v>BOGOTÁ</v>
      </c>
      <c r="D9096" s="15" t="str">
        <f>IFERROR(__xludf.DUMMYFUNCTION("""COMPUTED_VALUE"""),"MEDELLÍN")</f>
        <v>MEDELLÍN</v>
      </c>
      <c r="E9096" s="15" t="str">
        <f>IFERROR(__xludf.DUMMYFUNCTION("""COMPUTED_VALUE"""),"Terravocado")</f>
        <v>Terravocado</v>
      </c>
      <c r="F9096" s="17" t="str">
        <f>IFERROR(__xludf.DUMMYFUNCTION("""COMPUTED_VALUE"""),"KR 13 # 98 - 48 / CHICO  / CHICO")</f>
        <v>KR 13 # 98 - 48 / CHICO  / CHICO</v>
      </c>
      <c r="G9096" s="15" t="str">
        <f>IFERROR(__xludf.DUMMYFUNCTION("""COMPUTED_VALUE"""),"ALPARKE")</f>
        <v>ALPARKE</v>
      </c>
      <c r="H9096" s="16">
        <f>IFERROR(__xludf.DUMMYFUNCTION("""COMPUTED_VALUE"""),17785.0)</f>
        <v>17785</v>
      </c>
      <c r="I9096" s="18">
        <f>IFERROR(__xludf.DUMMYFUNCTION("""COMPUTED_VALUE"""),20.0)</f>
        <v>20</v>
      </c>
      <c r="J9096" s="18">
        <f>IFERROR(__xludf.DUMMYFUNCTION("""COMPUTED_VALUE"""),24.0)</f>
        <v>24</v>
      </c>
      <c r="K9096" s="18">
        <f>IFERROR(__xludf.DUMMYFUNCTION("""COMPUTED_VALUE"""),34.0)</f>
        <v>34</v>
      </c>
      <c r="L9096" s="17">
        <f>IFERROR(__xludf.DUMMYFUNCTION("""COMPUTED_VALUE"""),3.227737548E9)</f>
        <v>3227737548</v>
      </c>
      <c r="M9096" s="17"/>
      <c r="N9096" s="17"/>
      <c r="O9096" s="17"/>
      <c r="P9096" s="17" t="b">
        <f>IFERROR(__xludf.DUMMYFUNCTION("""COMPUTED_VALUE"""),FALSE)</f>
        <v>0</v>
      </c>
      <c r="Q9096" s="20" t="str">
        <f>IFERROR(__xludf.DUMMYFUNCTION("""COMPUTED_VALUE"""),"")</f>
        <v/>
      </c>
      <c r="R9096" s="21" t="str">
        <f>IFERROR(__xludf.DUMMYFUNCTION("""COMPUTED_VALUE"""),"https://drive.google.com/file/d/1b_xlqdO9lfPSLwPQO2LBYMYbvzrcKLAH/view?usp=drivesdk")</f>
        <v>https://drive.google.com/file/d/1b_xlqdO9lfPSLwPQO2LBYMYbvzrcKLAH/view?usp=drivesdk</v>
      </c>
    </row>
    <row r="9097">
      <c r="A9097" s="15">
        <f>IFERROR(__xludf.DUMMYFUNCTION("""COMPUTED_VALUE"""),45259.0)</f>
        <v>45259</v>
      </c>
      <c r="B9097" s="16" t="str">
        <f>IFERROR(__xludf.DUMMYFUNCTION("""COMPUTED_VALUE"""),"Envia")</f>
        <v>Envia</v>
      </c>
      <c r="C9097" s="15" t="str">
        <f>IFERROR(__xludf.DUMMYFUNCTION("""COMPUTED_VALUE"""),"BOGOTÁ")</f>
        <v>BOGOTÁ</v>
      </c>
      <c r="D9097" s="15" t="str">
        <f>IFERROR(__xludf.DUMMYFUNCTION("""COMPUTED_VALUE"""),"MEDELLÍN")</f>
        <v>MEDELLÍN</v>
      </c>
      <c r="E9097" s="15" t="str">
        <f>IFERROR(__xludf.DUMMYFUNCTION("""COMPUTED_VALUE"""),"Todo Bufala")</f>
        <v>Todo Bufala</v>
      </c>
      <c r="F9097" s="17" t="str">
        <f>IFERROR(__xludf.DUMMYFUNCTION("""COMPUTED_VALUE"""),"Carrera 21 #63C-29 / Empresa")</f>
        <v>Carrera 21 #63C-29 / Empresa</v>
      </c>
      <c r="G9097" s="15" t="str">
        <f>IFERROR(__xludf.DUMMYFUNCTION("""COMPUTED_VALUE"""),"Vermarket global")</f>
        <v>Vermarket global</v>
      </c>
      <c r="H9097" s="16">
        <f>IFERROR(__xludf.DUMMYFUNCTION("""COMPUTED_VALUE"""),17729.0)</f>
        <v>17729</v>
      </c>
      <c r="I9097" s="17"/>
      <c r="J9097" s="17"/>
      <c r="K9097" s="17"/>
      <c r="L9097" s="17">
        <f>IFERROR(__xludf.DUMMYFUNCTION("""COMPUTED_VALUE"""),3.15525235E9)</f>
        <v>3155252350</v>
      </c>
      <c r="M9097" s="17"/>
      <c r="N9097" s="17"/>
      <c r="O9097" s="17"/>
      <c r="P9097" s="17" t="b">
        <f>IFERROR(__xludf.DUMMYFUNCTION("""COMPUTED_VALUE"""),FALSE)</f>
        <v>0</v>
      </c>
      <c r="Q9097" s="20" t="str">
        <f>IFERROR(__xludf.DUMMYFUNCTION("""COMPUTED_VALUE"""),"")</f>
        <v/>
      </c>
      <c r="R9097" s="21" t="str">
        <f>IFERROR(__xludf.DUMMYFUNCTION("""COMPUTED_VALUE"""),"https://drive.google.com/file/d/12VPuOndF-4YaBa9AdYKgwFJzauJyFf44/view?usp=drivesdk")</f>
        <v>https://drive.google.com/file/d/12VPuOndF-4YaBa9AdYKgwFJzauJyFf44/view?usp=drivesdk</v>
      </c>
    </row>
    <row r="9098">
      <c r="A9098" s="15">
        <f>IFERROR(__xludf.DUMMYFUNCTION("""COMPUTED_VALUE"""),45259.0)</f>
        <v>45259</v>
      </c>
      <c r="B9098" s="16" t="str">
        <f>IFERROR(__xludf.DUMMYFUNCTION("""COMPUTED_VALUE"""),"Envia")</f>
        <v>Envia</v>
      </c>
      <c r="C9098" s="15" t="str">
        <f>IFERROR(__xludf.DUMMYFUNCTION("""COMPUTED_VALUE"""),"CALI")</f>
        <v>CALI</v>
      </c>
      <c r="D9098" s="15" t="str">
        <f>IFERROR(__xludf.DUMMYFUNCTION("""COMPUTED_VALUE"""),"MEDELLÍN")</f>
        <v>MEDELLÍN</v>
      </c>
      <c r="E9098" s="15" t="str">
        <f>IFERROR(__xludf.DUMMYFUNCTION("""COMPUTED_VALUE"""),"Baby Chef")</f>
        <v>Baby Chef</v>
      </c>
      <c r="F9098" s="17" t="str">
        <f>IFERROR(__xludf.DUMMYFUNCTION("""COMPUTED_VALUE"""),"Calle 8#9-36 Edifício Daniel Andres Apto505 Santa Rosa Centro / . / .")</f>
        <v>Calle 8#9-36 Edifício Daniel Andres Apto505 Santa Rosa Centro / . / .</v>
      </c>
      <c r="G9098" s="15" t="str">
        <f>IFERROR(__xludf.DUMMYFUNCTION("""COMPUTED_VALUE"""),"Diana Valencia")</f>
        <v>Diana Valencia</v>
      </c>
      <c r="H9098" s="16">
        <f>IFERROR(__xludf.DUMMYFUNCTION("""COMPUTED_VALUE"""),17767.0)</f>
        <v>17767</v>
      </c>
      <c r="I9098" s="18">
        <f>IFERROR(__xludf.DUMMYFUNCTION("""COMPUTED_VALUE"""),9.0)</f>
        <v>9</v>
      </c>
      <c r="J9098" s="18">
        <f>IFERROR(__xludf.DUMMYFUNCTION("""COMPUTED_VALUE"""),29.0)</f>
        <v>29</v>
      </c>
      <c r="K9098" s="18">
        <f>IFERROR(__xludf.DUMMYFUNCTION("""COMPUTED_VALUE"""),48.0)</f>
        <v>48</v>
      </c>
      <c r="L9098" s="17">
        <f>IFERROR(__xludf.DUMMYFUNCTION("""COMPUTED_VALUE"""),3.185215395E9)</f>
        <v>3185215395</v>
      </c>
      <c r="M9098" s="17"/>
      <c r="N9098" s="17"/>
      <c r="O9098" s="17"/>
      <c r="P9098" s="17" t="b">
        <f>IFERROR(__xludf.DUMMYFUNCTION("""COMPUTED_VALUE"""),FALSE)</f>
        <v>0</v>
      </c>
      <c r="Q9098" s="20" t="str">
        <f>IFERROR(__xludf.DUMMYFUNCTION("""COMPUTED_VALUE"""),"")</f>
        <v/>
      </c>
      <c r="R9098" s="21" t="str">
        <f>IFERROR(__xludf.DUMMYFUNCTION("""COMPUTED_VALUE"""),"https://drive.google.com/file/d/160pd7K1-8Oj7TnZAtsNmHb4t4xC8SVz8/view?usp=drivesdk")</f>
        <v>https://drive.google.com/file/d/160pd7K1-8Oj7TnZAtsNmHb4t4xC8SVz8/view?usp=drivesdk</v>
      </c>
    </row>
    <row r="9099">
      <c r="A9099" s="15">
        <f>IFERROR(__xludf.DUMMYFUNCTION("""COMPUTED_VALUE"""),45259.0)</f>
        <v>45259</v>
      </c>
      <c r="B9099" s="16" t="str">
        <f>IFERROR(__xludf.DUMMYFUNCTION("""COMPUTED_VALUE"""),"Envia")</f>
        <v>Envia</v>
      </c>
      <c r="C9099" s="15" t="str">
        <f>IFERROR(__xludf.DUMMYFUNCTION("""COMPUTED_VALUE"""),"CALI")</f>
        <v>CALI</v>
      </c>
      <c r="D9099" s="15" t="str">
        <f>IFERROR(__xludf.DUMMYFUNCTION("""COMPUTED_VALUE"""),"MEDELLÍN")</f>
        <v>MEDELLÍN</v>
      </c>
      <c r="E9099" s="15" t="str">
        <f>IFERROR(__xludf.DUMMYFUNCTION("""COMPUTED_VALUE"""),"Moloso S.A.S")</f>
        <v>Moloso S.A.S</v>
      </c>
      <c r="F9099" s="17" t="str">
        <f>IFERROR(__xludf.DUMMYFUNCTION("""COMPUTED_VALUE"""),"CR 117  9 67 / ED SCALA  1004B")</f>
        <v>CR 117  9 67 / ED SCALA  1004B</v>
      </c>
      <c r="G9099" s="15" t="str">
        <f>IFERROR(__xludf.DUMMYFUNCTION("""COMPUTED_VALUE"""),"NICOLE CRUZ MUÑOZ")</f>
        <v>NICOLE CRUZ MUÑOZ</v>
      </c>
      <c r="H9099" s="16">
        <f>IFERROR(__xludf.DUMMYFUNCTION("""COMPUTED_VALUE"""),17790.0)</f>
        <v>17790</v>
      </c>
      <c r="I9099" s="17"/>
      <c r="J9099" s="17"/>
      <c r="K9099" s="17"/>
      <c r="L9099" s="17"/>
      <c r="M9099" s="17"/>
      <c r="N9099" s="17"/>
      <c r="O9099" s="17"/>
      <c r="P9099" s="17" t="b">
        <f>IFERROR(__xludf.DUMMYFUNCTION("""COMPUTED_VALUE"""),FALSE)</f>
        <v>0</v>
      </c>
      <c r="Q9099" s="20" t="str">
        <f>IFERROR(__xludf.DUMMYFUNCTION("""COMPUTED_VALUE"""),"")</f>
        <v/>
      </c>
      <c r="R9099" s="21" t="str">
        <f>IFERROR(__xludf.DUMMYFUNCTION("""COMPUTED_VALUE"""),"https://drive.google.com/file/d/1X_o1ugdp5ZswVe_k5Sqxy5a672Dv0nEb/view?usp=drivesdk")</f>
        <v>https://drive.google.com/file/d/1X_o1ugdp5ZswVe_k5Sqxy5a672Dv0nEb/view?usp=drivesdk</v>
      </c>
    </row>
    <row r="9100">
      <c r="A9100" s="15">
        <f>IFERROR(__xludf.DUMMYFUNCTION("""COMPUTED_VALUE"""),45259.0)</f>
        <v>45259</v>
      </c>
      <c r="B9100" s="16" t="str">
        <f>IFERROR(__xludf.DUMMYFUNCTION("""COMPUTED_VALUE"""),"Envia")</f>
        <v>Envia</v>
      </c>
      <c r="C9100" s="15" t="str">
        <f>IFERROR(__xludf.DUMMYFUNCTION("""COMPUTED_VALUE"""),"CALI")</f>
        <v>CALI</v>
      </c>
      <c r="D9100" s="15" t="str">
        <f>IFERROR(__xludf.DUMMYFUNCTION("""COMPUTED_VALUE"""),"MEDELLÍN")</f>
        <v>MEDELLÍN</v>
      </c>
      <c r="E9100" s="15" t="str">
        <f>IFERROR(__xludf.DUMMYFUNCTION("""COMPUTED_VALUE"""),"Terravocado")</f>
        <v>Terravocado</v>
      </c>
      <c r="F9100" s="17" t="str">
        <f>IFERROR(__xludf.DUMMYFUNCTION("""COMPUTED_VALUE"""),"CLL 5 B 5 # 36 B 13 / HOTEL SIGLO 21 / SANTA FE")</f>
        <v>CLL 5 B 5 # 36 B 13 / HOTEL SIGLO 21 / SANTA FE</v>
      </c>
      <c r="G9100" s="15" t="str">
        <f>IFERROR(__xludf.DUMMYFUNCTION("""COMPUTED_VALUE"""),"MARTHA SOFIA SANTANDER")</f>
        <v>MARTHA SOFIA SANTANDER</v>
      </c>
      <c r="H9100" s="16">
        <f>IFERROR(__xludf.DUMMYFUNCTION("""COMPUTED_VALUE"""),17784.0)</f>
        <v>17784</v>
      </c>
      <c r="I9100" s="18">
        <f>IFERROR(__xludf.DUMMYFUNCTION("""COMPUTED_VALUE"""),20.0)</f>
        <v>20</v>
      </c>
      <c r="J9100" s="18">
        <f>IFERROR(__xludf.DUMMYFUNCTION("""COMPUTED_VALUE"""),24.0)</f>
        <v>24</v>
      </c>
      <c r="K9100" s="18">
        <f>IFERROR(__xludf.DUMMYFUNCTION("""COMPUTED_VALUE"""),34.0)</f>
        <v>34</v>
      </c>
      <c r="L9100" s="17">
        <f>IFERROR(__xludf.DUMMYFUNCTION("""COMPUTED_VALUE"""),3.222330333E9)</f>
        <v>3222330333</v>
      </c>
      <c r="M9100" s="17"/>
      <c r="N9100" s="17"/>
      <c r="O9100" s="17"/>
      <c r="P9100" s="17" t="b">
        <f>IFERROR(__xludf.DUMMYFUNCTION("""COMPUTED_VALUE"""),FALSE)</f>
        <v>0</v>
      </c>
      <c r="Q9100" s="20" t="str">
        <f>IFERROR(__xludf.DUMMYFUNCTION("""COMPUTED_VALUE"""),"")</f>
        <v/>
      </c>
      <c r="R9100" s="21" t="str">
        <f>IFERROR(__xludf.DUMMYFUNCTION("""COMPUTED_VALUE"""),"https://drive.google.com/file/d/1dJfMjWJ9DC-DZ4B4DJWRsI5D65HfrwX5/view?usp=drivesdk")</f>
        <v>https://drive.google.com/file/d/1dJfMjWJ9DC-DZ4B4DJWRsI5D65HfrwX5/view?usp=drivesdk</v>
      </c>
    </row>
    <row r="9101">
      <c r="A9101" s="15">
        <f>IFERROR(__xludf.DUMMYFUNCTION("""COMPUTED_VALUE"""),45259.0)</f>
        <v>45259</v>
      </c>
      <c r="B9101" s="16" t="str">
        <f>IFERROR(__xludf.DUMMYFUNCTION("""COMPUTED_VALUE"""),"Envia")</f>
        <v>Envia</v>
      </c>
      <c r="C9101" s="15" t="str">
        <f>IFERROR(__xludf.DUMMYFUNCTION("""COMPUTED_VALUE"""),"CARTAGENA")</f>
        <v>CARTAGENA</v>
      </c>
      <c r="D9101" s="15" t="str">
        <f>IFERROR(__xludf.DUMMYFUNCTION("""COMPUTED_VALUE"""),"BOGOTÁ")</f>
        <v>BOGOTÁ</v>
      </c>
      <c r="E9101" s="15" t="str">
        <f>IFERROR(__xludf.DUMMYFUNCTION("""COMPUTED_VALUE"""),"Top Spun")</f>
        <v>Top Spun</v>
      </c>
      <c r="F9101" s="17" t="str">
        <f>IFERROR(__xludf.DUMMYFUNCTION("""COMPUTED_VALUE"""),"Barrio la carolina /  mzna k / lote 16")</f>
        <v>Barrio la carolina /  mzna k / lote 16</v>
      </c>
      <c r="G9101" s="15" t="str">
        <f>IFERROR(__xludf.DUMMYFUNCTION("""COMPUTED_VALUE"""),"Jeinny Villadiego")</f>
        <v>Jeinny Villadiego</v>
      </c>
      <c r="H9101" s="16">
        <f>IFERROR(__xludf.DUMMYFUNCTION("""COMPUTED_VALUE"""),17751.0)</f>
        <v>17751</v>
      </c>
      <c r="I9101" s="18">
        <f>IFERROR(__xludf.DUMMYFUNCTION("""COMPUTED_VALUE"""),20.0)</f>
        <v>20</v>
      </c>
      <c r="J9101" s="18">
        <f>IFERROR(__xludf.DUMMYFUNCTION("""COMPUTED_VALUE"""),10.0)</f>
        <v>10</v>
      </c>
      <c r="K9101" s="18">
        <f>IFERROR(__xludf.DUMMYFUNCTION("""COMPUTED_VALUE"""),40.0)</f>
        <v>40</v>
      </c>
      <c r="L9101" s="17">
        <f>IFERROR(__xludf.DUMMYFUNCTION("""COMPUTED_VALUE"""),3.102684875E9)</f>
        <v>3102684875</v>
      </c>
      <c r="M9101" s="17"/>
      <c r="N9101" s="17"/>
      <c r="O9101" s="17"/>
      <c r="P9101" s="17" t="b">
        <f>IFERROR(__xludf.DUMMYFUNCTION("""COMPUTED_VALUE"""),FALSE)</f>
        <v>0</v>
      </c>
      <c r="Q9101" s="20" t="str">
        <f>IFERROR(__xludf.DUMMYFUNCTION("""COMPUTED_VALUE"""),"")</f>
        <v/>
      </c>
      <c r="R9101" s="22" t="str">
        <f>IFERROR(__xludf.DUMMYFUNCTION("""COMPUTED_VALUE"""),"")</f>
        <v/>
      </c>
    </row>
    <row r="9102">
      <c r="A9102" s="17" t="str">
        <f>IFERROR(__xludf.DUMMYFUNCTION("""COMPUTED_VALUE"""),"")</f>
        <v/>
      </c>
      <c r="B9102" s="17" t="str">
        <f>IFERROR(__xludf.DUMMYFUNCTION("""COMPUTED_VALUE"""),"")</f>
        <v/>
      </c>
      <c r="C9102" s="17" t="str">
        <f>IFERROR(__xludf.DUMMYFUNCTION("""COMPUTED_VALUE"""),"")</f>
        <v/>
      </c>
      <c r="D9102" s="17" t="str">
        <f>IFERROR(__xludf.DUMMYFUNCTION("""COMPUTED_VALUE"""),"")</f>
        <v/>
      </c>
      <c r="E9102" s="17" t="str">
        <f>IFERROR(__xludf.DUMMYFUNCTION("""COMPUTED_VALUE"""),"")</f>
        <v/>
      </c>
      <c r="F9102" s="17" t="str">
        <f>IFERROR(__xludf.DUMMYFUNCTION("""COMPUTED_VALUE"""),"")</f>
        <v/>
      </c>
      <c r="G9102" s="17" t="str">
        <f>IFERROR(__xludf.DUMMYFUNCTION("""COMPUTED_VALUE"""),"")</f>
        <v/>
      </c>
      <c r="H9102" s="17" t="str">
        <f>IFERROR(__xludf.DUMMYFUNCTION("""COMPUTED_VALUE"""),"")</f>
        <v/>
      </c>
      <c r="I9102" s="17" t="str">
        <f>IFERROR(__xludf.DUMMYFUNCTION("""COMPUTED_VALUE"""),"")</f>
        <v/>
      </c>
      <c r="J9102" s="17" t="str">
        <f>IFERROR(__xludf.DUMMYFUNCTION("""COMPUTED_VALUE"""),"")</f>
        <v/>
      </c>
      <c r="K9102" s="17" t="str">
        <f>IFERROR(__xludf.DUMMYFUNCTION("""COMPUTED_VALUE"""),"")</f>
        <v/>
      </c>
      <c r="L9102" s="17" t="str">
        <f>IFERROR(__xludf.DUMMYFUNCTION("""COMPUTED_VALUE"""),"")</f>
        <v/>
      </c>
      <c r="M9102" s="17" t="str">
        <f>IFERROR(__xludf.DUMMYFUNCTION("""COMPUTED_VALUE"""),"")</f>
        <v/>
      </c>
      <c r="N9102" s="17" t="str">
        <f>IFERROR(__xludf.DUMMYFUNCTION("""COMPUTED_VALUE"""),"")</f>
        <v/>
      </c>
      <c r="O9102" s="17" t="str">
        <f>IFERROR(__xludf.DUMMYFUNCTION("""COMPUTED_VALUE"""),"")</f>
        <v/>
      </c>
      <c r="P9102" s="17" t="str">
        <f>IFERROR(__xludf.DUMMYFUNCTION("""COMPUTED_VALUE"""),"")</f>
        <v/>
      </c>
      <c r="Q9102" s="17" t="str">
        <f>IFERROR(__xludf.DUMMYFUNCTION("""COMPUTED_VALUE"""),"")</f>
        <v/>
      </c>
      <c r="R9102" s="17" t="str">
        <f>IFERROR(__xludf.DUMMYFUNCTION("""COMPUTED_VALUE"""),"")</f>
        <v/>
      </c>
    </row>
    <row r="9103">
      <c r="A9103" s="15">
        <f>IFERROR(__xludf.DUMMYFUNCTION("""COMPUTED_VALUE"""),45259.0)</f>
        <v>45259</v>
      </c>
      <c r="B9103" s="16" t="str">
        <f>IFERROR(__xludf.DUMMYFUNCTION("""COMPUTED_VALUE"""),"Johan Alexander Escobar Arroyo ")</f>
        <v>Johan Alexander Escobar Arroyo </v>
      </c>
      <c r="C9103" s="15" t="str">
        <f>IFERROR(__xludf.DUMMYFUNCTION("""COMPUTED_VALUE"""),"BOGOTÁ")</f>
        <v>BOGOTÁ</v>
      </c>
      <c r="D9103" s="15" t="str">
        <f>IFERROR(__xludf.DUMMYFUNCTION("""COMPUTED_VALUE"""),"MEDELLÍN")</f>
        <v>MEDELLÍN</v>
      </c>
      <c r="E9103" s="15" t="str">
        <f>IFERROR(__xludf.DUMMYFUNCTION("""COMPUTED_VALUE"""),"THE SMOKED HOUSE SAS")</f>
        <v>THE SMOKED HOUSE SAS</v>
      </c>
      <c r="F9103" s="17" t="str">
        <f>IFERROR(__xludf.DUMMYFUNCTION("""COMPUTED_VALUE"""),"Carrera 49 # 238 -60 Casa 10 Hacienda San Simón, El Alcaparro / Hacienda San Simón, El Alcaparro")</f>
        <v>Carrera 49 # 238 -60 Casa 10 Hacienda San Simón, El Alcaparro / Hacienda San Simón, El Alcaparro</v>
      </c>
      <c r="G9103" s="15" t="str">
        <f>IFERROR(__xludf.DUMMYFUNCTION("""COMPUTED_VALUE"""),"Sede Principal")</f>
        <v>Sede Principal</v>
      </c>
      <c r="H9103" s="16">
        <f>IFERROR(__xludf.DUMMYFUNCTION("""COMPUTED_VALUE"""),17726.0)</f>
        <v>17726</v>
      </c>
      <c r="I9103" s="17"/>
      <c r="J9103" s="17"/>
      <c r="K9103" s="17"/>
      <c r="L9103" s="17">
        <f>IFERROR(__xludf.DUMMYFUNCTION("""COMPUTED_VALUE"""),3.158825395E9)</f>
        <v>3158825395</v>
      </c>
      <c r="M9103" s="17"/>
      <c r="N9103" s="17"/>
      <c r="O9103" s="17"/>
      <c r="P9103" s="17" t="b">
        <f>IFERROR(__xludf.DUMMYFUNCTION("""COMPUTED_VALUE"""),FALSE)</f>
        <v>0</v>
      </c>
      <c r="Q9103" s="20" t="str">
        <f>IFERROR(__xludf.DUMMYFUNCTION("""COMPUTED_VALUE"""),"")</f>
        <v/>
      </c>
      <c r="R9103" s="21" t="str">
        <f>IFERROR(__xludf.DUMMYFUNCTION("""COMPUTED_VALUE"""),"https://drive.google.com/file/d/1o-xXMSXKBmLMj8NsdDd0TSdkF3qZAy9Q/view?usp=drivesdk")</f>
        <v>https://drive.google.com/file/d/1o-xXMSXKBmLMj8NsdDd0TSdkF3qZAy9Q/view?usp=drivesdk</v>
      </c>
    </row>
    <row r="9104">
      <c r="A9104" s="15">
        <f>IFERROR(__xludf.DUMMYFUNCTION("""COMPUTED_VALUE"""),45259.0)</f>
        <v>45259</v>
      </c>
      <c r="B9104" s="16" t="str">
        <f>IFERROR(__xludf.DUMMYFUNCTION("""COMPUTED_VALUE"""),"Johan Alexander Escobar Arroyo ")</f>
        <v>Johan Alexander Escobar Arroyo </v>
      </c>
      <c r="C9104" s="15" t="str">
        <f>IFERROR(__xludf.DUMMYFUNCTION("""COMPUTED_VALUE"""),"CALI")</f>
        <v>CALI</v>
      </c>
      <c r="D9104" s="15" t="str">
        <f>IFERROR(__xludf.DUMMYFUNCTION("""COMPUTED_VALUE"""),"ENVIGADO")</f>
        <v>ENVIGADO</v>
      </c>
      <c r="E9104" s="15" t="str">
        <f>IFERROR(__xludf.DUMMYFUNCTION("""COMPUTED_VALUE"""),"JUAN CAMILO CORDOBA")</f>
        <v>JUAN CAMILO CORDOBA</v>
      </c>
      <c r="F9104" s="17" t="str">
        <f>IFERROR(__xludf.DUMMYFUNCTION("""COMPUTED_VALUE"""),"Avenida 4 norte #7n-46 lc 129 / centro comercial centenario")</f>
        <v>Avenida 4 norte #7n-46 lc 129 / centro comercial centenario</v>
      </c>
      <c r="G9104" s="15" t="str">
        <f>IFERROR(__xludf.DUMMYFUNCTION("""COMPUTED_VALUE"""),"Vita Fitness")</f>
        <v>Vita Fitness</v>
      </c>
      <c r="H9104" s="16">
        <f>IFERROR(__xludf.DUMMYFUNCTION("""COMPUTED_VALUE"""),17764.0)</f>
        <v>17764</v>
      </c>
      <c r="I9104" s="17"/>
      <c r="J9104" s="17"/>
      <c r="K9104" s="17"/>
      <c r="L9104" s="17">
        <f>IFERROR(__xludf.DUMMYFUNCTION("""COMPUTED_VALUE"""),3.226925759E9)</f>
        <v>3226925759</v>
      </c>
      <c r="M9104" s="17"/>
      <c r="N9104" s="17"/>
      <c r="O9104" s="17"/>
      <c r="P9104" s="17" t="b">
        <f>IFERROR(__xludf.DUMMYFUNCTION("""COMPUTED_VALUE"""),FALSE)</f>
        <v>0</v>
      </c>
      <c r="Q9104" s="20" t="str">
        <f>IFERROR(__xludf.DUMMYFUNCTION("""COMPUTED_VALUE"""),"")</f>
        <v/>
      </c>
      <c r="R9104" s="21" t="str">
        <f>IFERROR(__xludf.DUMMYFUNCTION("""COMPUTED_VALUE"""),"https://drive.google.com/file/d/1gs-qxr9htpmnIc3RAlVUeKHB-LWBl3ik/view?usp=drivesdk")</f>
        <v>https://drive.google.com/file/d/1gs-qxr9htpmnIc3RAlVUeKHB-LWBl3ik/view?usp=drivesdk</v>
      </c>
    </row>
    <row r="9105">
      <c r="A9105" s="15">
        <f>IFERROR(__xludf.DUMMYFUNCTION("""COMPUTED_VALUE"""),45259.0)</f>
        <v>45259</v>
      </c>
      <c r="B9105" s="16" t="str">
        <f>IFERROR(__xludf.DUMMYFUNCTION("""COMPUTED_VALUE"""),"Johan Alexander Escobar Arroyo ")</f>
        <v>Johan Alexander Escobar Arroyo </v>
      </c>
      <c r="C9105" s="15" t="str">
        <f>IFERROR(__xludf.DUMMYFUNCTION("""COMPUTED_VALUE"""),"CALI")</f>
        <v>CALI</v>
      </c>
      <c r="D9105" s="15" t="str">
        <f>IFERROR(__xludf.DUMMYFUNCTION("""COMPUTED_VALUE"""),"ENVIGADO")</f>
        <v>ENVIGADO</v>
      </c>
      <c r="E9105" s="15" t="str">
        <f>IFERROR(__xludf.DUMMYFUNCTION("""COMPUTED_VALUE"""),"JUAN CAMILO CORDOBA")</f>
        <v>JUAN CAMILO CORDOBA</v>
      </c>
      <c r="F9105" s="17" t="str">
        <f>IFERROR(__xludf.DUMMYFUNCTION("""COMPUTED_VALUE"""),"cra. 66A No.10-15 / local 101 sobre la autopista")</f>
        <v>cra. 66A No.10-15 / local 101 sobre la autopista</v>
      </c>
      <c r="G9105" s="15" t="str">
        <f>IFERROR(__xludf.DUMMYFUNCTION("""COMPUTED_VALUE"""),"Go Healthy Market")</f>
        <v>Go Healthy Market</v>
      </c>
      <c r="H9105" s="16">
        <f>IFERROR(__xludf.DUMMYFUNCTION("""COMPUTED_VALUE"""),17757.0)</f>
        <v>17757</v>
      </c>
      <c r="I9105" s="17"/>
      <c r="J9105" s="17"/>
      <c r="K9105" s="17"/>
      <c r="L9105" s="17">
        <f>IFERROR(__xludf.DUMMYFUNCTION("""COMPUTED_VALUE"""),3.173427535E9)</f>
        <v>3173427535</v>
      </c>
      <c r="M9105" s="17"/>
      <c r="N9105" s="17"/>
      <c r="O9105" s="17"/>
      <c r="P9105" s="17" t="b">
        <f>IFERROR(__xludf.DUMMYFUNCTION("""COMPUTED_VALUE"""),FALSE)</f>
        <v>0</v>
      </c>
      <c r="Q9105" s="20" t="str">
        <f>IFERROR(__xludf.DUMMYFUNCTION("""COMPUTED_VALUE"""),"")</f>
        <v/>
      </c>
      <c r="R9105" s="21" t="str">
        <f>IFERROR(__xludf.DUMMYFUNCTION("""COMPUTED_VALUE"""),"https://drive.google.com/file/d/1iwT84izMj7Ua-InecCJcGU08liSQAq0W/view?usp=drivesdk")</f>
        <v>https://drive.google.com/file/d/1iwT84izMj7Ua-InecCJcGU08liSQAq0W/view?usp=drivesdk</v>
      </c>
    </row>
    <row r="9106">
      <c r="A9106" s="15">
        <f>IFERROR(__xludf.DUMMYFUNCTION("""COMPUTED_VALUE"""),45259.0)</f>
        <v>45259</v>
      </c>
      <c r="B9106" s="16" t="str">
        <f>IFERROR(__xludf.DUMMYFUNCTION("""COMPUTED_VALUE"""),"Johan Alexander Escobar Arroyo ")</f>
        <v>Johan Alexander Escobar Arroyo </v>
      </c>
      <c r="C9106" s="15" t="str">
        <f>IFERROR(__xludf.DUMMYFUNCTION("""COMPUTED_VALUE"""),"CALI")</f>
        <v>CALI</v>
      </c>
      <c r="D9106" s="15" t="str">
        <f>IFERROR(__xludf.DUMMYFUNCTION("""COMPUTED_VALUE"""),"MEDELLÍN")</f>
        <v>MEDELLÍN</v>
      </c>
      <c r="E9106" s="15" t="str">
        <f>IFERROR(__xludf.DUMMYFUNCTION("""COMPUTED_VALUE"""),"Baby Chef")</f>
        <v>Baby Chef</v>
      </c>
      <c r="F9106" s="17" t="str">
        <f>IFERROR(__xludf.DUMMYFUNCTION("""COMPUTED_VALUE"""),"Calle 58 norte # 4 N-76 apto 401 B unidad Torremolinos / . / .")</f>
        <v>Calle 58 norte # 4 N-76 apto 401 B unidad Torremolinos / . / .</v>
      </c>
      <c r="G9106" s="15" t="str">
        <f>IFERROR(__xludf.DUMMYFUNCTION("""COMPUTED_VALUE"""),"Maria Alejandra Zapata")</f>
        <v>Maria Alejandra Zapata</v>
      </c>
      <c r="H9106" s="16">
        <f>IFERROR(__xludf.DUMMYFUNCTION("""COMPUTED_VALUE"""),17769.0)</f>
        <v>17769</v>
      </c>
      <c r="I9106" s="18">
        <f>IFERROR(__xludf.DUMMYFUNCTION("""COMPUTED_VALUE"""),12.0)</f>
        <v>12</v>
      </c>
      <c r="J9106" s="18">
        <f>IFERROR(__xludf.DUMMYFUNCTION("""COMPUTED_VALUE"""),36.0)</f>
        <v>36</v>
      </c>
      <c r="K9106" s="18">
        <f>IFERROR(__xludf.DUMMYFUNCTION("""COMPUTED_VALUE"""),44.0)</f>
        <v>44</v>
      </c>
      <c r="L9106" s="17">
        <f>IFERROR(__xludf.DUMMYFUNCTION("""COMPUTED_VALUE"""),3.136271239E9)</f>
        <v>3136271239</v>
      </c>
      <c r="M9106" s="17"/>
      <c r="N9106" s="17"/>
      <c r="O9106" s="17"/>
      <c r="P9106" s="17" t="b">
        <f>IFERROR(__xludf.DUMMYFUNCTION("""COMPUTED_VALUE"""),FALSE)</f>
        <v>0</v>
      </c>
      <c r="Q9106" s="20" t="str">
        <f>IFERROR(__xludf.DUMMYFUNCTION("""COMPUTED_VALUE"""),"")</f>
        <v/>
      </c>
      <c r="R9106" s="21" t="str">
        <f>IFERROR(__xludf.DUMMYFUNCTION("""COMPUTED_VALUE"""),"https://drive.google.com/file/d/1WC_DqHriRYSJaBTC71UnjSw9ElXfr0sT/view?usp=drivesdk")</f>
        <v>https://drive.google.com/file/d/1WC_DqHriRYSJaBTC71UnjSw9ElXfr0sT/view?usp=drivesdk</v>
      </c>
    </row>
    <row r="9107">
      <c r="A9107" s="15">
        <f>IFERROR(__xludf.DUMMYFUNCTION("""COMPUTED_VALUE"""),45259.0)</f>
        <v>45259</v>
      </c>
      <c r="B9107" s="16" t="str">
        <f>IFERROR(__xludf.DUMMYFUNCTION("""COMPUTED_VALUE"""),"Johan Alexander Escobar Arroyo ")</f>
        <v>Johan Alexander Escobar Arroyo </v>
      </c>
      <c r="C9107" s="15" t="str">
        <f>IFERROR(__xludf.DUMMYFUNCTION("""COMPUTED_VALUE"""),"CALI")</f>
        <v>CALI</v>
      </c>
      <c r="D9107" s="15" t="str">
        <f>IFERROR(__xludf.DUMMYFUNCTION("""COMPUTED_VALUE"""),"MEDELLÍN")</f>
        <v>MEDELLÍN</v>
      </c>
      <c r="E9107" s="15" t="str">
        <f>IFERROR(__xludf.DUMMYFUNCTION("""COMPUTED_VALUE"""),"Baby Chef")</f>
        <v>Baby Chef</v>
      </c>
      <c r="F9107" s="17" t="str">
        <f>IFERROR(__xludf.DUMMYFUNCTION("""COMPUTED_VALUE"""),"Carrera 6 Norte # 62-27 / . / .")</f>
        <v>Carrera 6 Norte # 62-27 / . / .</v>
      </c>
      <c r="G9107" s="15" t="str">
        <f>IFERROR(__xludf.DUMMYFUNCTION("""COMPUTED_VALUE"""),"Andrea Pelaez Monje")</f>
        <v>Andrea Pelaez Monje</v>
      </c>
      <c r="H9107" s="16">
        <f>IFERROR(__xludf.DUMMYFUNCTION("""COMPUTED_VALUE"""),17768.0)</f>
        <v>17768</v>
      </c>
      <c r="I9107" s="18">
        <f>IFERROR(__xludf.DUMMYFUNCTION("""COMPUTED_VALUE"""),7.0)</f>
        <v>7</v>
      </c>
      <c r="J9107" s="18">
        <f>IFERROR(__xludf.DUMMYFUNCTION("""COMPUTED_VALUE"""),24.0)</f>
        <v>24</v>
      </c>
      <c r="K9107" s="18">
        <f>IFERROR(__xludf.DUMMYFUNCTION("""COMPUTED_VALUE"""),34.0)</f>
        <v>34</v>
      </c>
      <c r="L9107" s="17">
        <f>IFERROR(__xludf.DUMMYFUNCTION("""COMPUTED_VALUE"""),3.105407166E9)</f>
        <v>3105407166</v>
      </c>
      <c r="M9107" s="17"/>
      <c r="N9107" s="17"/>
      <c r="O9107" s="17"/>
      <c r="P9107" s="17" t="b">
        <f>IFERROR(__xludf.DUMMYFUNCTION("""COMPUTED_VALUE"""),FALSE)</f>
        <v>0</v>
      </c>
      <c r="Q9107" s="20" t="str">
        <f>IFERROR(__xludf.DUMMYFUNCTION("""COMPUTED_VALUE"""),"")</f>
        <v/>
      </c>
      <c r="R9107" s="21" t="str">
        <f>IFERROR(__xludf.DUMMYFUNCTION("""COMPUTED_VALUE"""),"https://drive.google.com/file/d/1G87EI11Jw2deWEvB8ych6SQeVL9z_2MY/view?usp=drivesdk")</f>
        <v>https://drive.google.com/file/d/1G87EI11Jw2deWEvB8ych6SQeVL9z_2MY/view?usp=drivesdk</v>
      </c>
    </row>
    <row r="9108">
      <c r="A9108" s="15">
        <f>IFERROR(__xludf.DUMMYFUNCTION("""COMPUTED_VALUE"""),45259.0)</f>
        <v>45259</v>
      </c>
      <c r="B9108" s="16" t="str">
        <f>IFERROR(__xludf.DUMMYFUNCTION("""COMPUTED_VALUE"""),"Johan Alexander Escobar Arroyo ")</f>
        <v>Johan Alexander Escobar Arroyo </v>
      </c>
      <c r="C9108" s="15" t="str">
        <f>IFERROR(__xludf.DUMMYFUNCTION("""COMPUTED_VALUE"""),"CALI")</f>
        <v>CALI</v>
      </c>
      <c r="D9108" s="15" t="str">
        <f>IFERROR(__xludf.DUMMYFUNCTION("""COMPUTED_VALUE"""),"MEDELLÍN")</f>
        <v>MEDELLÍN</v>
      </c>
      <c r="E9108" s="15" t="str">
        <f>IFERROR(__xludf.DUMMYFUNCTION("""COMPUTED_VALUE"""),"Baby Chef")</f>
        <v>Baby Chef</v>
      </c>
      <c r="F9108" s="17" t="str">
        <f>IFERROR(__xludf.DUMMYFUNCTION("""COMPUTED_VALUE"""),"Cra 138 # 4-133, Condominio. “Batik”, Barrio Pance, casa 75 / . / .")</f>
        <v>Cra 138 # 4-133, Condominio. “Batik”, Barrio Pance, casa 75 / . / .</v>
      </c>
      <c r="G9108" s="15" t="str">
        <f>IFERROR(__xludf.DUMMYFUNCTION("""COMPUTED_VALUE"""),"Carolina Cerón")</f>
        <v>Carolina Cerón</v>
      </c>
      <c r="H9108" s="16">
        <f>IFERROR(__xludf.DUMMYFUNCTION("""COMPUTED_VALUE"""),17770.0)</f>
        <v>17770</v>
      </c>
      <c r="I9108" s="18">
        <f>IFERROR(__xludf.DUMMYFUNCTION("""COMPUTED_VALUE"""),12.0)</f>
        <v>12</v>
      </c>
      <c r="J9108" s="18">
        <f>IFERROR(__xludf.DUMMYFUNCTION("""COMPUTED_VALUE"""),27.0)</f>
        <v>27</v>
      </c>
      <c r="K9108" s="18">
        <f>IFERROR(__xludf.DUMMYFUNCTION("""COMPUTED_VALUE"""),40.0)</f>
        <v>40</v>
      </c>
      <c r="L9108" s="17">
        <f>IFERROR(__xludf.DUMMYFUNCTION("""COMPUTED_VALUE"""),3.00419566E9)</f>
        <v>3004195660</v>
      </c>
      <c r="M9108" s="17"/>
      <c r="N9108" s="17"/>
      <c r="O9108" s="17"/>
      <c r="P9108" s="17" t="b">
        <f>IFERROR(__xludf.DUMMYFUNCTION("""COMPUTED_VALUE"""),FALSE)</f>
        <v>0</v>
      </c>
      <c r="Q9108" s="20" t="str">
        <f>IFERROR(__xludf.DUMMYFUNCTION("""COMPUTED_VALUE"""),"")</f>
        <v/>
      </c>
      <c r="R9108" s="21" t="str">
        <f>IFERROR(__xludf.DUMMYFUNCTION("""COMPUTED_VALUE"""),"https://drive.google.com/file/d/1tC3rm3R92aX_kKyUGb_dnmYwFYl9gHS-/view?usp=drivesdk")</f>
        <v>https://drive.google.com/file/d/1tC3rm3R92aX_kKyUGb_dnmYwFYl9gHS-/view?usp=drivesdk</v>
      </c>
    </row>
    <row r="9109">
      <c r="A9109" s="15">
        <f>IFERROR(__xludf.DUMMYFUNCTION("""COMPUTED_VALUE"""),45259.0)</f>
        <v>45259</v>
      </c>
      <c r="B9109" s="16" t="str">
        <f>IFERROR(__xludf.DUMMYFUNCTION("""COMPUTED_VALUE"""),"Johan Alexander Escobar Arroyo ")</f>
        <v>Johan Alexander Escobar Arroyo </v>
      </c>
      <c r="C9109" s="15" t="str">
        <f>IFERROR(__xludf.DUMMYFUNCTION("""COMPUTED_VALUE"""),"CALI")</f>
        <v>CALI</v>
      </c>
      <c r="D9109" s="15" t="str">
        <f>IFERROR(__xludf.DUMMYFUNCTION("""COMPUTED_VALUE"""),"MEDELLÍN")</f>
        <v>MEDELLÍN</v>
      </c>
      <c r="E9109" s="15" t="str">
        <f>IFERROR(__xludf.DUMMYFUNCTION("""COMPUTED_VALUE"""),"Baby Chef")</f>
        <v>Baby Chef</v>
      </c>
      <c r="F9109" s="17" t="str">
        <f>IFERROR(__xludf.DUMMYFUNCTION("""COMPUTED_VALUE"""),"Cra 64A#13A-74 / . / .")</f>
        <v>Cra 64A#13A-74 / . / .</v>
      </c>
      <c r="G9109" s="15" t="str">
        <f>IFERROR(__xludf.DUMMYFUNCTION("""COMPUTED_VALUE"""),"Angelica Ortegón")</f>
        <v>Angelica Ortegón</v>
      </c>
      <c r="H9109" s="16">
        <f>IFERROR(__xludf.DUMMYFUNCTION("""COMPUTED_VALUE"""),17771.0)</f>
        <v>17771</v>
      </c>
      <c r="I9109" s="18">
        <f>IFERROR(__xludf.DUMMYFUNCTION("""COMPUTED_VALUE"""),6.0)</f>
        <v>6</v>
      </c>
      <c r="J9109" s="18">
        <f>IFERROR(__xludf.DUMMYFUNCTION("""COMPUTED_VALUE"""),23.0)</f>
        <v>23</v>
      </c>
      <c r="K9109" s="18">
        <f>IFERROR(__xludf.DUMMYFUNCTION("""COMPUTED_VALUE"""),26.0)</f>
        <v>26</v>
      </c>
      <c r="L9109" s="17">
        <f>IFERROR(__xludf.DUMMYFUNCTION("""COMPUTED_VALUE"""),3.012186167E9)</f>
        <v>3012186167</v>
      </c>
      <c r="M9109" s="17"/>
      <c r="N9109" s="17"/>
      <c r="O9109" s="17"/>
      <c r="P9109" s="17" t="b">
        <f>IFERROR(__xludf.DUMMYFUNCTION("""COMPUTED_VALUE"""),FALSE)</f>
        <v>0</v>
      </c>
      <c r="Q9109" s="20" t="str">
        <f>IFERROR(__xludf.DUMMYFUNCTION("""COMPUTED_VALUE"""),"")</f>
        <v/>
      </c>
      <c r="R9109" s="21" t="str">
        <f>IFERROR(__xludf.DUMMYFUNCTION("""COMPUTED_VALUE"""),"https://drive.google.com/file/d/1S_paN-4449wnXaR1z4tTVr6GxW3PRb4L/view?usp=drivesdk")</f>
        <v>https://drive.google.com/file/d/1S_paN-4449wnXaR1z4tTVr6GxW3PRb4L/view?usp=drivesdk</v>
      </c>
    </row>
    <row r="9110">
      <c r="A9110" s="15">
        <f>IFERROR(__xludf.DUMMYFUNCTION("""COMPUTED_VALUE"""),45259.0)</f>
        <v>45259</v>
      </c>
      <c r="B9110" s="16" t="str">
        <f>IFERROR(__xludf.DUMMYFUNCTION("""COMPUTED_VALUE"""),"Johan Alexander Escobar Arroyo ")</f>
        <v>Johan Alexander Escobar Arroyo </v>
      </c>
      <c r="C9110" s="15" t="str">
        <f>IFERROR(__xludf.DUMMYFUNCTION("""COMPUTED_VALUE"""),"CALI")</f>
        <v>CALI</v>
      </c>
      <c r="D9110" s="15" t="str">
        <f>IFERROR(__xludf.DUMMYFUNCTION("""COMPUTED_VALUE"""),"MEDELLÍN")</f>
        <v>MEDELLÍN</v>
      </c>
      <c r="E9110" s="15" t="str">
        <f>IFERROR(__xludf.DUMMYFUNCTION("""COMPUTED_VALUE"""),"JdBufala")</f>
        <v>JdBufala</v>
      </c>
      <c r="F9110" s="17" t="str">
        <f>IFERROR(__xludf.DUMMYFUNCTION("""COMPUTED_VALUE"""),"Calle 51 norte # 4bn 72 / Delhuertopizzeria")</f>
        <v>Calle 51 norte # 4bn 72 / Delhuertopizzeria</v>
      </c>
      <c r="G9110" s="15" t="str">
        <f>IFERROR(__xludf.DUMMYFUNCTION("""COMPUTED_VALUE"""),"Javier")</f>
        <v>Javier</v>
      </c>
      <c r="H9110" s="16">
        <f>IFERROR(__xludf.DUMMYFUNCTION("""COMPUTED_VALUE"""),17754.0)</f>
        <v>17754</v>
      </c>
      <c r="I9110" s="17"/>
      <c r="J9110" s="17"/>
      <c r="K9110" s="17"/>
      <c r="L9110" s="17">
        <f>IFERROR(__xludf.DUMMYFUNCTION("""COMPUTED_VALUE"""),3.206763524E9)</f>
        <v>3206763524</v>
      </c>
      <c r="M9110" s="17"/>
      <c r="N9110" s="17"/>
      <c r="O9110" s="17"/>
      <c r="P9110" s="17" t="b">
        <f>IFERROR(__xludf.DUMMYFUNCTION("""COMPUTED_VALUE"""),FALSE)</f>
        <v>0</v>
      </c>
      <c r="Q9110" s="20" t="str">
        <f>IFERROR(__xludf.DUMMYFUNCTION("""COMPUTED_VALUE"""),"")</f>
        <v/>
      </c>
      <c r="R9110" s="21" t="str">
        <f>IFERROR(__xludf.DUMMYFUNCTION("""COMPUTED_VALUE"""),"https://drive.google.com/file/d/1DUh4fFks4PAnGjlU5JaLWCintgihMt91/view?usp=drivesdk")</f>
        <v>https://drive.google.com/file/d/1DUh4fFks4PAnGjlU5JaLWCintgihMt91/view?usp=drivesdk</v>
      </c>
    </row>
    <row r="9111">
      <c r="A9111" s="17" t="str">
        <f>IFERROR(__xludf.DUMMYFUNCTION("""COMPUTED_VALUE"""),"")</f>
        <v/>
      </c>
      <c r="B9111" s="17" t="str">
        <f>IFERROR(__xludf.DUMMYFUNCTION("""COMPUTED_VALUE"""),"")</f>
        <v/>
      </c>
      <c r="C9111" s="17" t="str">
        <f>IFERROR(__xludf.DUMMYFUNCTION("""COMPUTED_VALUE"""),"")</f>
        <v/>
      </c>
      <c r="D9111" s="17" t="str">
        <f>IFERROR(__xludf.DUMMYFUNCTION("""COMPUTED_VALUE"""),"")</f>
        <v/>
      </c>
      <c r="E9111" s="17" t="str">
        <f>IFERROR(__xludf.DUMMYFUNCTION("""COMPUTED_VALUE"""),"")</f>
        <v/>
      </c>
      <c r="F9111" s="17" t="str">
        <f>IFERROR(__xludf.DUMMYFUNCTION("""COMPUTED_VALUE"""),"")</f>
        <v/>
      </c>
      <c r="G9111" s="17" t="str">
        <f>IFERROR(__xludf.DUMMYFUNCTION("""COMPUTED_VALUE"""),"")</f>
        <v/>
      </c>
      <c r="H9111" s="17" t="str">
        <f>IFERROR(__xludf.DUMMYFUNCTION("""COMPUTED_VALUE"""),"")</f>
        <v/>
      </c>
      <c r="I9111" s="17" t="str">
        <f>IFERROR(__xludf.DUMMYFUNCTION("""COMPUTED_VALUE"""),"")</f>
        <v/>
      </c>
      <c r="J9111" s="17" t="str">
        <f>IFERROR(__xludf.DUMMYFUNCTION("""COMPUTED_VALUE"""),"")</f>
        <v/>
      </c>
      <c r="K9111" s="17" t="str">
        <f>IFERROR(__xludf.DUMMYFUNCTION("""COMPUTED_VALUE"""),"")</f>
        <v/>
      </c>
      <c r="L9111" s="17" t="str">
        <f>IFERROR(__xludf.DUMMYFUNCTION("""COMPUTED_VALUE"""),"")</f>
        <v/>
      </c>
      <c r="M9111" s="17" t="str">
        <f>IFERROR(__xludf.DUMMYFUNCTION("""COMPUTED_VALUE"""),"")</f>
        <v/>
      </c>
      <c r="N9111" s="17" t="str">
        <f>IFERROR(__xludf.DUMMYFUNCTION("""COMPUTED_VALUE"""),"")</f>
        <v/>
      </c>
      <c r="O9111" s="17" t="str">
        <f>IFERROR(__xludf.DUMMYFUNCTION("""COMPUTED_VALUE"""),"")</f>
        <v/>
      </c>
      <c r="P9111" s="17" t="str">
        <f>IFERROR(__xludf.DUMMYFUNCTION("""COMPUTED_VALUE"""),"")</f>
        <v/>
      </c>
      <c r="Q9111" s="17" t="str">
        <f>IFERROR(__xludf.DUMMYFUNCTION("""COMPUTED_VALUE"""),"")</f>
        <v/>
      </c>
      <c r="R9111" s="17" t="str">
        <f>IFERROR(__xludf.DUMMYFUNCTION("""COMPUTED_VALUE"""),"")</f>
        <v/>
      </c>
    </row>
    <row r="9112">
      <c r="A9112" s="15">
        <f>IFERROR(__xludf.DUMMYFUNCTION("""COMPUTED_VALUE"""),45259.0)</f>
        <v>45259</v>
      </c>
      <c r="B9112" s="16" t="str">
        <f>IFERROR(__xludf.DUMMYFUNCTION("""COMPUTED_VALUE"""),"JOSE ALFREDO RAMIREZ VERGARA ")</f>
        <v>JOSE ALFREDO RAMIREZ VERGARA </v>
      </c>
      <c r="C9112" s="15" t="str">
        <f>IFERROR(__xludf.DUMMYFUNCTION("""COMPUTED_VALUE"""),"BOGOTÁ")</f>
        <v>BOGOTÁ</v>
      </c>
      <c r="D9112" s="15" t="str">
        <f>IFERROR(__xludf.DUMMYFUNCTION("""COMPUTED_VALUE"""),"BARRANQUILLA")</f>
        <v>BARRANQUILLA</v>
      </c>
      <c r="E9112" s="15" t="str">
        <f>IFERROR(__xludf.DUMMYFUNCTION("""COMPUTED_VALUE"""),"Yelii")</f>
        <v>Yelii</v>
      </c>
      <c r="F9112" s="17" t="str">
        <f>IFERROR(__xludf.DUMMYFUNCTION("""COMPUTED_VALUE"""),"Calle 25 # 69D-80  / Int 3 Apto 301 conjunto plaza real II / NA")</f>
        <v>Calle 25 # 69D-80  / Int 3 Apto 301 conjunto plaza real II / NA</v>
      </c>
      <c r="G9112" s="15" t="str">
        <f>IFERROR(__xludf.DUMMYFUNCTION("""COMPUTED_VALUE"""),"Luz Helena Navarro ")</f>
        <v>Luz Helena Navarro </v>
      </c>
      <c r="H9112" s="16">
        <f>IFERROR(__xludf.DUMMYFUNCTION("""COMPUTED_VALUE"""),17596.0)</f>
        <v>17596</v>
      </c>
      <c r="I9112" s="18">
        <f>IFERROR(__xludf.DUMMYFUNCTION("""COMPUTED_VALUE"""),52.0)</f>
        <v>52</v>
      </c>
      <c r="J9112" s="18">
        <f>IFERROR(__xludf.DUMMYFUNCTION("""COMPUTED_VALUE"""),55.0)</f>
        <v>55</v>
      </c>
      <c r="K9112" s="18">
        <f>IFERROR(__xludf.DUMMYFUNCTION("""COMPUTED_VALUE"""),45.0)</f>
        <v>45</v>
      </c>
      <c r="L9112" s="17">
        <f>IFERROR(__xludf.DUMMYFUNCTION("""COMPUTED_VALUE"""),3.004913705E9)</f>
        <v>3004913705</v>
      </c>
      <c r="M9112" s="17"/>
      <c r="N9112" s="17"/>
      <c r="O9112" s="17"/>
      <c r="P9112" s="17" t="b">
        <f>IFERROR(__xludf.DUMMYFUNCTION("""COMPUTED_VALUE"""),FALSE)</f>
        <v>0</v>
      </c>
      <c r="Q9112" s="20" t="str">
        <f>IFERROR(__xludf.DUMMYFUNCTION("""COMPUTED_VALUE"""),"")</f>
        <v/>
      </c>
      <c r="R9112" s="21" t="str">
        <f>IFERROR(__xludf.DUMMYFUNCTION("""COMPUTED_VALUE"""),"https://drive.google.com/file/d/19LaoBRBEhh-Yr9sZYKL7l67wXd69hgFj/view?usp=drivesdk")</f>
        <v>https://drive.google.com/file/d/19LaoBRBEhh-Yr9sZYKL7l67wXd69hgFj/view?usp=drivesdk</v>
      </c>
    </row>
    <row r="9113">
      <c r="A9113" s="15">
        <f>IFERROR(__xludf.DUMMYFUNCTION("""COMPUTED_VALUE"""),45259.0)</f>
        <v>45259</v>
      </c>
      <c r="B9113" s="16" t="str">
        <f>IFERROR(__xludf.DUMMYFUNCTION("""COMPUTED_VALUE"""),"JOSE ALFREDO RAMIREZ VERGARA ")</f>
        <v>JOSE ALFREDO RAMIREZ VERGARA </v>
      </c>
      <c r="C9113" s="15" t="str">
        <f>IFERROR(__xludf.DUMMYFUNCTION("""COMPUTED_VALUE"""),"BOGOTÁ")</f>
        <v>BOGOTÁ</v>
      </c>
      <c r="D9113" s="15" t="str">
        <f>IFERROR(__xludf.DUMMYFUNCTION("""COMPUTED_VALUE"""),"BUCARAMANGA")</f>
        <v>BUCARAMANGA</v>
      </c>
      <c r="E9113" s="15" t="str">
        <f>IFERROR(__xludf.DUMMYFUNCTION("""COMPUTED_VALUE"""),"Yo Como Solito")</f>
        <v>Yo Como Solito</v>
      </c>
      <c r="F9113" s="17" t="str">
        <f>IFERROR(__xludf.DUMMYFUNCTION("""COMPUTED_VALUE"""),"CARRERA 45A # 128-62 / CARRERA 45A # 128-62 / CARRERA 45A # 128-62")</f>
        <v>CARRERA 45A # 128-62 / CARRERA 45A # 128-62 / CARRERA 45A # 128-62</v>
      </c>
      <c r="G9113" s="15" t="str">
        <f>IFERROR(__xludf.DUMMYFUNCTION("""COMPUTED_VALUE"""),"LINA PAOLA RAMIREZ")</f>
        <v>LINA PAOLA RAMIREZ</v>
      </c>
      <c r="H9113" s="16">
        <f>IFERROR(__xludf.DUMMYFUNCTION("""COMPUTED_VALUE"""),17753.0)</f>
        <v>17753</v>
      </c>
      <c r="I9113" s="18">
        <f>IFERROR(__xludf.DUMMYFUNCTION("""COMPUTED_VALUE"""),16.0)</f>
        <v>16</v>
      </c>
      <c r="J9113" s="18">
        <f>IFERROR(__xludf.DUMMYFUNCTION("""COMPUTED_VALUE"""),30.0)</f>
        <v>30</v>
      </c>
      <c r="K9113" s="18">
        <f>IFERROR(__xludf.DUMMYFUNCTION("""COMPUTED_VALUE"""),39.0)</f>
        <v>39</v>
      </c>
      <c r="L9113" s="17">
        <f>IFERROR(__xludf.DUMMYFUNCTION("""COMPUTED_VALUE"""),3.12327346E9)</f>
        <v>3123273460</v>
      </c>
      <c r="M9113" s="17"/>
      <c r="N9113" s="17"/>
      <c r="O9113" s="17"/>
      <c r="P9113" s="17" t="b">
        <f>IFERROR(__xludf.DUMMYFUNCTION("""COMPUTED_VALUE"""),FALSE)</f>
        <v>0</v>
      </c>
      <c r="Q9113" s="20" t="str">
        <f>IFERROR(__xludf.DUMMYFUNCTION("""COMPUTED_VALUE"""),"")</f>
        <v/>
      </c>
      <c r="R9113" s="21" t="str">
        <f>IFERROR(__xludf.DUMMYFUNCTION("""COMPUTED_VALUE"""),"https://drive.google.com/file/d/1UW585vEIhf78jj4BwxNxVKO0my4I8n6N/view?usp=drivesdk")</f>
        <v>https://drive.google.com/file/d/1UW585vEIhf78jj4BwxNxVKO0my4I8n6N/view?usp=drivesdk</v>
      </c>
    </row>
    <row r="9114">
      <c r="A9114" s="15">
        <f>IFERROR(__xludf.DUMMYFUNCTION("""COMPUTED_VALUE"""),45259.0)</f>
        <v>45259</v>
      </c>
      <c r="B9114" s="16" t="str">
        <f>IFERROR(__xludf.DUMMYFUNCTION("""COMPUTED_VALUE"""),"JOSE ALFREDO RAMIREZ VERGARA ")</f>
        <v>JOSE ALFREDO RAMIREZ VERGARA </v>
      </c>
      <c r="C9114" s="15" t="str">
        <f>IFERROR(__xludf.DUMMYFUNCTION("""COMPUTED_VALUE"""),"BOGOTÁ")</f>
        <v>BOGOTÁ</v>
      </c>
      <c r="D9114" s="15" t="str">
        <f>IFERROR(__xludf.DUMMYFUNCTION("""COMPUTED_VALUE"""),"ENVIGADO")</f>
        <v>ENVIGADO</v>
      </c>
      <c r="E9114" s="15" t="str">
        <f>IFERROR(__xludf.DUMMYFUNCTION("""COMPUTED_VALUE"""),"JUAN CAMILO CORDOBA")</f>
        <v>JUAN CAMILO CORDOBA</v>
      </c>
      <c r="F9114" s="17" t="str">
        <f>IFERROR(__xludf.DUMMYFUNCTION("""COMPUTED_VALUE"""),"Calle 152 # 72-85 / torre 2 apto 906")</f>
        <v>Calle 152 # 72-85 / torre 2 apto 906</v>
      </c>
      <c r="G9114" s="15" t="str">
        <f>IFERROR(__xludf.DUMMYFUNCTION("""COMPUTED_VALUE"""),"Paula Peña")</f>
        <v>Paula Peña</v>
      </c>
      <c r="H9114" s="16">
        <f>IFERROR(__xludf.DUMMYFUNCTION("""COMPUTED_VALUE"""),17620.0)</f>
        <v>17620</v>
      </c>
      <c r="I9114" s="17"/>
      <c r="J9114" s="17"/>
      <c r="K9114" s="17"/>
      <c r="L9114" s="17">
        <f>IFERROR(__xludf.DUMMYFUNCTION("""COMPUTED_VALUE"""),3.124166361E9)</f>
        <v>3124166361</v>
      </c>
      <c r="M9114" s="17"/>
      <c r="N9114" s="17"/>
      <c r="O9114" s="17"/>
      <c r="P9114" s="17" t="b">
        <f>IFERROR(__xludf.DUMMYFUNCTION("""COMPUTED_VALUE"""),FALSE)</f>
        <v>0</v>
      </c>
      <c r="Q9114" s="20" t="str">
        <f>IFERROR(__xludf.DUMMYFUNCTION("""COMPUTED_VALUE"""),"")</f>
        <v/>
      </c>
      <c r="R9114" s="21" t="str">
        <f>IFERROR(__xludf.DUMMYFUNCTION("""COMPUTED_VALUE"""),"https://drive.google.com/file/d/12p2Sp2qBcbpu5rFvKo9FN2YS4v2pX_nD/view?usp=drivesdk")</f>
        <v>https://drive.google.com/file/d/12p2Sp2qBcbpu5rFvKo9FN2YS4v2pX_nD/view?usp=drivesdk</v>
      </c>
    </row>
    <row r="9115">
      <c r="A9115" s="15">
        <f>IFERROR(__xludf.DUMMYFUNCTION("""COMPUTED_VALUE"""),45259.0)</f>
        <v>45259</v>
      </c>
      <c r="B9115" s="16" t="str">
        <f>IFERROR(__xludf.DUMMYFUNCTION("""COMPUTED_VALUE"""),"JOSE ALFREDO RAMIREZ VERGARA ")</f>
        <v>JOSE ALFREDO RAMIREZ VERGARA </v>
      </c>
      <c r="C9115" s="15" t="str">
        <f>IFERROR(__xludf.DUMMYFUNCTION("""COMPUTED_VALUE"""),"BOGOTÁ")</f>
        <v>BOGOTÁ</v>
      </c>
      <c r="D9115" s="15" t="str">
        <f>IFERROR(__xludf.DUMMYFUNCTION("""COMPUTED_VALUE"""),"ENVIGADO")</f>
        <v>ENVIGADO</v>
      </c>
      <c r="E9115" s="15" t="str">
        <f>IFERROR(__xludf.DUMMYFUNCTION("""COMPUTED_VALUE"""),"JUAN CAMILO CORDOBA")</f>
        <v>JUAN CAMILO CORDOBA</v>
      </c>
      <c r="F9115" s="17" t="str">
        <f>IFERROR(__xludf.DUMMYFUNCTION("""COMPUTED_VALUE"""),"Calle 41 a # 8-25 / bulevar 42 apto 707 b")</f>
        <v>Calle 41 a # 8-25 / bulevar 42 apto 707 b</v>
      </c>
      <c r="G9115" s="15" t="str">
        <f>IFERROR(__xludf.DUMMYFUNCTION("""COMPUTED_VALUE"""),"Nutriclicstore")</f>
        <v>Nutriclicstore</v>
      </c>
      <c r="H9115" s="16">
        <f>IFERROR(__xludf.DUMMYFUNCTION("""COMPUTED_VALUE"""),17759.0)</f>
        <v>17759</v>
      </c>
      <c r="I9115" s="17"/>
      <c r="J9115" s="17"/>
      <c r="K9115" s="17"/>
      <c r="L9115" s="17">
        <f>IFERROR(__xludf.DUMMYFUNCTION("""COMPUTED_VALUE"""),3.102661625E9)</f>
        <v>3102661625</v>
      </c>
      <c r="M9115" s="17"/>
      <c r="N9115" s="17"/>
      <c r="O9115" s="17"/>
      <c r="P9115" s="17" t="b">
        <f>IFERROR(__xludf.DUMMYFUNCTION("""COMPUTED_VALUE"""),FALSE)</f>
        <v>0</v>
      </c>
      <c r="Q9115" s="20" t="str">
        <f>IFERROR(__xludf.DUMMYFUNCTION("""COMPUTED_VALUE"""),"")</f>
        <v/>
      </c>
      <c r="R9115" s="21" t="str">
        <f>IFERROR(__xludf.DUMMYFUNCTION("""COMPUTED_VALUE"""),"https://drive.google.com/file/d/1RkwI1ikeTSN9SIY4Wme0-ni39V5IWMY2/view?usp=drivesdk")</f>
        <v>https://drive.google.com/file/d/1RkwI1ikeTSN9SIY4Wme0-ni39V5IWMY2/view?usp=drivesdk</v>
      </c>
    </row>
    <row r="9116">
      <c r="A9116" s="15">
        <f>IFERROR(__xludf.DUMMYFUNCTION("""COMPUTED_VALUE"""),45259.0)</f>
        <v>45259</v>
      </c>
      <c r="B9116" s="16" t="str">
        <f>IFERROR(__xludf.DUMMYFUNCTION("""COMPUTED_VALUE"""),"JOSE ALFREDO RAMIREZ VERGARA ")</f>
        <v>JOSE ALFREDO RAMIREZ VERGARA </v>
      </c>
      <c r="C9116" s="15" t="str">
        <f>IFERROR(__xludf.DUMMYFUNCTION("""COMPUTED_VALUE"""),"BOGOTÁ")</f>
        <v>BOGOTÁ</v>
      </c>
      <c r="D9116" s="15" t="str">
        <f>IFERROR(__xludf.DUMMYFUNCTION("""COMPUTED_VALUE"""),"ENVIGADO")</f>
        <v>ENVIGADO</v>
      </c>
      <c r="E9116" s="15" t="str">
        <f>IFERROR(__xludf.DUMMYFUNCTION("""COMPUTED_VALUE"""),"JUAN CAMILO CORDOBA")</f>
        <v>JUAN CAMILO CORDOBA</v>
      </c>
      <c r="F9116" s="17" t="str">
        <f>IFERROR(__xludf.DUMMYFUNCTION("""COMPUTED_VALUE"""),"Callel 90 # 15-56")</f>
        <v>Callel 90 # 15-56</v>
      </c>
      <c r="G9116" s="15" t="str">
        <f>IFERROR(__xludf.DUMMYFUNCTION("""COMPUTED_VALUE"""),"Fit Market SAS")</f>
        <v>Fit Market SAS</v>
      </c>
      <c r="H9116" s="16">
        <f>IFERROR(__xludf.DUMMYFUNCTION("""COMPUTED_VALUE"""),17760.0)</f>
        <v>17760</v>
      </c>
      <c r="I9116" s="17"/>
      <c r="J9116" s="17"/>
      <c r="K9116" s="17"/>
      <c r="L9116" s="17">
        <f>IFERROR(__xludf.DUMMYFUNCTION("""COMPUTED_VALUE"""),3.183545455E9)</f>
        <v>3183545455</v>
      </c>
      <c r="M9116" s="17"/>
      <c r="N9116" s="17"/>
      <c r="O9116" s="17"/>
      <c r="P9116" s="17" t="b">
        <f>IFERROR(__xludf.DUMMYFUNCTION("""COMPUTED_VALUE"""),FALSE)</f>
        <v>0</v>
      </c>
      <c r="Q9116" s="20" t="str">
        <f>IFERROR(__xludf.DUMMYFUNCTION("""COMPUTED_VALUE"""),"")</f>
        <v/>
      </c>
      <c r="R9116" s="21" t="str">
        <f>IFERROR(__xludf.DUMMYFUNCTION("""COMPUTED_VALUE"""),"https://drive.google.com/file/d/1YYO4dbP8syRRDyZh-xlfWOh4BnhFySl_/view?usp=drivesdk")</f>
        <v>https://drive.google.com/file/d/1YYO4dbP8syRRDyZh-xlfWOh4BnhFySl_/view?usp=drivesdk</v>
      </c>
    </row>
    <row r="9117">
      <c r="A9117" s="15">
        <f>IFERROR(__xludf.DUMMYFUNCTION("""COMPUTED_VALUE"""),45259.0)</f>
        <v>45259</v>
      </c>
      <c r="B9117" s="16" t="str">
        <f>IFERROR(__xludf.DUMMYFUNCTION("""COMPUTED_VALUE"""),"JOSE ALFREDO RAMIREZ VERGARA ")</f>
        <v>JOSE ALFREDO RAMIREZ VERGARA </v>
      </c>
      <c r="C9117" s="15" t="str">
        <f>IFERROR(__xludf.DUMMYFUNCTION("""COMPUTED_VALUE"""),"BOGOTÁ")</f>
        <v>BOGOTÁ</v>
      </c>
      <c r="D9117" s="15" t="str">
        <f>IFERROR(__xludf.DUMMYFUNCTION("""COMPUTED_VALUE"""),"ENVIGADO")</f>
        <v>ENVIGADO</v>
      </c>
      <c r="E9117" s="15" t="str">
        <f>IFERROR(__xludf.DUMMYFUNCTION("""COMPUTED_VALUE"""),"JUAN CAMILO CORDOBA")</f>
        <v>JUAN CAMILO CORDOBA</v>
      </c>
      <c r="F9117" s="17" t="str">
        <f>IFERROR(__xludf.DUMMYFUNCTION("""COMPUTED_VALUE"""),"Carrera 52 # 122- 30")</f>
        <v>Carrera 52 # 122- 30</v>
      </c>
      <c r="G9117" s="15" t="str">
        <f>IFERROR(__xludf.DUMMYFUNCTION("""COMPUTED_VALUE"""),"Sweet &amp; Fit Life")</f>
        <v>Sweet &amp; Fit Life</v>
      </c>
      <c r="H9117" s="16">
        <f>IFERROR(__xludf.DUMMYFUNCTION("""COMPUTED_VALUE"""),17763.0)</f>
        <v>17763</v>
      </c>
      <c r="I9117" s="17"/>
      <c r="J9117" s="17"/>
      <c r="K9117" s="17"/>
      <c r="L9117" s="17">
        <f>IFERROR(__xludf.DUMMYFUNCTION("""COMPUTED_VALUE"""),3.207201556E9)</f>
        <v>3207201556</v>
      </c>
      <c r="M9117" s="17"/>
      <c r="N9117" s="17"/>
      <c r="O9117" s="17"/>
      <c r="P9117" s="17" t="b">
        <f>IFERROR(__xludf.DUMMYFUNCTION("""COMPUTED_VALUE"""),FALSE)</f>
        <v>0</v>
      </c>
      <c r="Q9117" s="20" t="str">
        <f>IFERROR(__xludf.DUMMYFUNCTION("""COMPUTED_VALUE"""),"")</f>
        <v/>
      </c>
      <c r="R9117" s="21" t="str">
        <f>IFERROR(__xludf.DUMMYFUNCTION("""COMPUTED_VALUE"""),"https://drive.google.com/file/d/1E3OrvYaRPY16L56OaUomcuHtrukCzD0o/view?usp=drivesdk")</f>
        <v>https://drive.google.com/file/d/1E3OrvYaRPY16L56OaUomcuHtrukCzD0o/view?usp=drivesdk</v>
      </c>
    </row>
    <row r="9118">
      <c r="A9118" s="15">
        <f>IFERROR(__xludf.DUMMYFUNCTION("""COMPUTED_VALUE"""),45259.0)</f>
        <v>45259</v>
      </c>
      <c r="B9118" s="16" t="str">
        <f>IFERROR(__xludf.DUMMYFUNCTION("""COMPUTED_VALUE"""),"JOSE ALFREDO RAMIREZ VERGARA ")</f>
        <v>JOSE ALFREDO RAMIREZ VERGARA </v>
      </c>
      <c r="C9118" s="15" t="str">
        <f>IFERROR(__xludf.DUMMYFUNCTION("""COMPUTED_VALUE"""),"BOGOTÁ")</f>
        <v>BOGOTÁ</v>
      </c>
      <c r="D9118" s="15" t="str">
        <f>IFERROR(__xludf.DUMMYFUNCTION("""COMPUTED_VALUE"""),"ENVIGADO")</f>
        <v>ENVIGADO</v>
      </c>
      <c r="E9118" s="15" t="str">
        <f>IFERROR(__xludf.DUMMYFUNCTION("""COMPUTED_VALUE"""),"JUAN CAMILO CORDOBA")</f>
        <v>JUAN CAMILO CORDOBA</v>
      </c>
      <c r="F9118" s="17" t="str">
        <f>IFERROR(__xludf.DUMMYFUNCTION("""COMPUTED_VALUE"""),"Cra 40 número 36-41sur / Barrio santa Rita")</f>
        <v>Cra 40 número 36-41sur / Barrio santa Rita</v>
      </c>
      <c r="G9118" s="15" t="str">
        <f>IFERROR(__xludf.DUMMYFUNCTION("""COMPUTED_VALUE"""),"Daniela Stefanía Galindo")</f>
        <v>Daniela Stefanía Galindo</v>
      </c>
      <c r="H9118" s="16">
        <f>IFERROR(__xludf.DUMMYFUNCTION("""COMPUTED_VALUE"""),17762.0)</f>
        <v>17762</v>
      </c>
      <c r="I9118" s="17"/>
      <c r="J9118" s="17"/>
      <c r="K9118" s="17"/>
      <c r="L9118" s="17">
        <f>IFERROR(__xludf.DUMMYFUNCTION("""COMPUTED_VALUE"""),3.118409134E9)</f>
        <v>3118409134</v>
      </c>
      <c r="M9118" s="17"/>
      <c r="N9118" s="17"/>
      <c r="O9118" s="17"/>
      <c r="P9118" s="17" t="b">
        <f>IFERROR(__xludf.DUMMYFUNCTION("""COMPUTED_VALUE"""),FALSE)</f>
        <v>0</v>
      </c>
      <c r="Q9118" s="20" t="str">
        <f>IFERROR(__xludf.DUMMYFUNCTION("""COMPUTED_VALUE"""),"")</f>
        <v/>
      </c>
      <c r="R9118" s="21" t="str">
        <f>IFERROR(__xludf.DUMMYFUNCTION("""COMPUTED_VALUE"""),"https://drive.google.com/file/d/1BCcW590Lkx7Sln8Z_xY1QSAoBGqfpwZ5/view?usp=drivesdk")</f>
        <v>https://drive.google.com/file/d/1BCcW590Lkx7Sln8Z_xY1QSAoBGqfpwZ5/view?usp=drivesdk</v>
      </c>
    </row>
    <row r="9119">
      <c r="A9119" s="15">
        <f>IFERROR(__xludf.DUMMYFUNCTION("""COMPUTED_VALUE"""),45259.0)</f>
        <v>45259</v>
      </c>
      <c r="B9119" s="16" t="str">
        <f>IFERROR(__xludf.DUMMYFUNCTION("""COMPUTED_VALUE"""),"JOSE ALFREDO RAMIREZ VERGARA ")</f>
        <v>JOSE ALFREDO RAMIREZ VERGARA </v>
      </c>
      <c r="C9119" s="15" t="str">
        <f>IFERROR(__xludf.DUMMYFUNCTION("""COMPUTED_VALUE"""),"BOGOTÁ")</f>
        <v>BOGOTÁ</v>
      </c>
      <c r="D9119" s="15" t="str">
        <f>IFERROR(__xludf.DUMMYFUNCTION("""COMPUTED_VALUE"""),"ENVIGADO")</f>
        <v>ENVIGADO</v>
      </c>
      <c r="E9119" s="15" t="str">
        <f>IFERROR(__xludf.DUMMYFUNCTION("""COMPUTED_VALUE"""),"JUAN CAMILO CORDOBA")</f>
        <v>JUAN CAMILO CORDOBA</v>
      </c>
      <c r="F9119" s="17" t="str">
        <f>IFERROR(__xludf.DUMMYFUNCTION("""COMPUTED_VALUE"""),"Cra 7A#146-89 / Apto 1206 - Edificio Menta")</f>
        <v>Cra 7A#146-89 / Apto 1206 - Edificio Menta</v>
      </c>
      <c r="G9119" s="15" t="str">
        <f>IFERROR(__xludf.DUMMYFUNCTION("""COMPUTED_VALUE"""),"Maria Adelaida Piedrahita")</f>
        <v>Maria Adelaida Piedrahita</v>
      </c>
      <c r="H9119" s="16">
        <f>IFERROR(__xludf.DUMMYFUNCTION("""COMPUTED_VALUE"""),17619.0)</f>
        <v>17619</v>
      </c>
      <c r="I9119" s="17"/>
      <c r="J9119" s="17"/>
      <c r="K9119" s="17"/>
      <c r="L9119" s="17">
        <f>IFERROR(__xludf.DUMMYFUNCTION("""COMPUTED_VALUE"""),3.103792275E9)</f>
        <v>3103792275</v>
      </c>
      <c r="M9119" s="17"/>
      <c r="N9119" s="17"/>
      <c r="O9119" s="17"/>
      <c r="P9119" s="17" t="b">
        <f>IFERROR(__xludf.DUMMYFUNCTION("""COMPUTED_VALUE"""),FALSE)</f>
        <v>0</v>
      </c>
      <c r="Q9119" s="20" t="str">
        <f>IFERROR(__xludf.DUMMYFUNCTION("""COMPUTED_VALUE"""),"")</f>
        <v/>
      </c>
      <c r="R9119" s="21" t="str">
        <f>IFERROR(__xludf.DUMMYFUNCTION("""COMPUTED_VALUE"""),"https://drive.google.com/file/d/1h19cy6OB-kGP4B5IURRb8zwERF3FtjHW/view?usp=drivesdk")</f>
        <v>https://drive.google.com/file/d/1h19cy6OB-kGP4B5IURRb8zwERF3FtjHW/view?usp=drivesdk</v>
      </c>
    </row>
    <row r="9120">
      <c r="A9120" s="15">
        <f>IFERROR(__xludf.DUMMYFUNCTION("""COMPUTED_VALUE"""),45259.0)</f>
        <v>45259</v>
      </c>
      <c r="B9120" s="16" t="str">
        <f>IFERROR(__xludf.DUMMYFUNCTION("""COMPUTED_VALUE"""),"JOSE ALFREDO RAMIREZ VERGARA ")</f>
        <v>JOSE ALFREDO RAMIREZ VERGARA </v>
      </c>
      <c r="C9120" s="15" t="str">
        <f>IFERROR(__xludf.DUMMYFUNCTION("""COMPUTED_VALUE"""),"BOGOTÁ")</f>
        <v>BOGOTÁ</v>
      </c>
      <c r="D9120" s="15" t="str">
        <f>IFERROR(__xludf.DUMMYFUNCTION("""COMPUTED_VALUE"""),"MEDELLÍN")</f>
        <v>MEDELLÍN</v>
      </c>
      <c r="E9120" s="15" t="str">
        <f>IFERROR(__xludf.DUMMYFUNCTION("""COMPUTED_VALUE"""),"AREPAS LA MARY")</f>
        <v>AREPAS LA MARY</v>
      </c>
      <c r="F9120" s="17" t="str">
        <f>IFERROR(__xludf.DUMMYFUNCTION("""COMPUTED_VALUE"""),"Carrera 89a 81 62 / CASA")</f>
        <v>Carrera 89a 81 62 / CASA</v>
      </c>
      <c r="G9120" s="15" t="str">
        <f>IFERROR(__xludf.DUMMYFUNCTION("""COMPUTED_VALUE"""),"DALIA ROCHA")</f>
        <v>DALIA ROCHA</v>
      </c>
      <c r="H9120" s="16">
        <f>IFERROR(__xludf.DUMMYFUNCTION("""COMPUTED_VALUE"""),17741.0)</f>
        <v>17741</v>
      </c>
      <c r="I9120" s="17"/>
      <c r="J9120" s="17"/>
      <c r="K9120" s="17"/>
      <c r="L9120" s="17">
        <f>IFERROR(__xludf.DUMMYFUNCTION("""COMPUTED_VALUE"""),3.14355486E9)</f>
        <v>3143554860</v>
      </c>
      <c r="M9120" s="17"/>
      <c r="N9120" s="17"/>
      <c r="O9120" s="17"/>
      <c r="P9120" s="17" t="b">
        <f>IFERROR(__xludf.DUMMYFUNCTION("""COMPUTED_VALUE"""),FALSE)</f>
        <v>0</v>
      </c>
      <c r="Q9120" s="20" t="str">
        <f>IFERROR(__xludf.DUMMYFUNCTION("""COMPUTED_VALUE"""),"")</f>
        <v/>
      </c>
      <c r="R9120" s="21" t="str">
        <f>IFERROR(__xludf.DUMMYFUNCTION("""COMPUTED_VALUE"""),"https://drive.google.com/file/d/1ZSJdRFvrmIAa6O7ub9y8QiaItGTw3Juw/view?usp=drivesdk")</f>
        <v>https://drive.google.com/file/d/1ZSJdRFvrmIAa6O7ub9y8QiaItGTw3Juw/view?usp=drivesdk</v>
      </c>
    </row>
    <row r="9121">
      <c r="A9121" s="15">
        <f>IFERROR(__xludf.DUMMYFUNCTION("""COMPUTED_VALUE"""),45259.0)</f>
        <v>45259</v>
      </c>
      <c r="B9121" s="16" t="str">
        <f>IFERROR(__xludf.DUMMYFUNCTION("""COMPUTED_VALUE"""),"JOSE ALFREDO RAMIREZ VERGARA ")</f>
        <v>JOSE ALFREDO RAMIREZ VERGARA </v>
      </c>
      <c r="C9121" s="15" t="str">
        <f>IFERROR(__xludf.DUMMYFUNCTION("""COMPUTED_VALUE"""),"BOGOTÁ")</f>
        <v>BOGOTÁ</v>
      </c>
      <c r="D9121" s="15" t="str">
        <f>IFERROR(__xludf.DUMMYFUNCTION("""COMPUTED_VALUE"""),"MEDELLÍN")</f>
        <v>MEDELLÍN</v>
      </c>
      <c r="E9121" s="15" t="str">
        <f>IFERROR(__xludf.DUMMYFUNCTION("""COMPUTED_VALUE"""),"AREPAS LA MARY")</f>
        <v>AREPAS LA MARY</v>
      </c>
      <c r="F9121" s="17" t="str">
        <f>IFERROR(__xludf.DUMMYFUNCTION("""COMPUTED_VALUE"""),"CRA 8A #97 07 / COUNTRY OCTAVA")</f>
        <v>CRA 8A #97 07 / COUNTRY OCTAVA</v>
      </c>
      <c r="G9121" s="15" t="str">
        <f>IFERROR(__xludf.DUMMYFUNCTION("""COMPUTED_VALUE"""),"NICOLE GAZZEA")</f>
        <v>NICOLE GAZZEA</v>
      </c>
      <c r="H9121" s="16">
        <f>IFERROR(__xludf.DUMMYFUNCTION("""COMPUTED_VALUE"""),17738.0)</f>
        <v>17738</v>
      </c>
      <c r="I9121" s="17"/>
      <c r="J9121" s="17"/>
      <c r="K9121" s="17"/>
      <c r="L9121" s="17">
        <f>IFERROR(__xludf.DUMMYFUNCTION("""COMPUTED_VALUE"""),3.136937631E9)</f>
        <v>3136937631</v>
      </c>
      <c r="M9121" s="17"/>
      <c r="N9121" s="17"/>
      <c r="O9121" s="17"/>
      <c r="P9121" s="17" t="b">
        <f>IFERROR(__xludf.DUMMYFUNCTION("""COMPUTED_VALUE"""),FALSE)</f>
        <v>0</v>
      </c>
      <c r="Q9121" s="20" t="str">
        <f>IFERROR(__xludf.DUMMYFUNCTION("""COMPUTED_VALUE"""),"")</f>
        <v/>
      </c>
      <c r="R9121" s="21" t="str">
        <f>IFERROR(__xludf.DUMMYFUNCTION("""COMPUTED_VALUE"""),"https://drive.google.com/file/d/18E_PJmR2xEl13O9_rmPQMQQK5eNEKmu-/view?usp=drivesdk")</f>
        <v>https://drive.google.com/file/d/18E_PJmR2xEl13O9_rmPQMQQK5eNEKmu-/view?usp=drivesdk</v>
      </c>
    </row>
    <row r="9122">
      <c r="A9122" s="15">
        <f>IFERROR(__xludf.DUMMYFUNCTION("""COMPUTED_VALUE"""),45259.0)</f>
        <v>45259</v>
      </c>
      <c r="B9122" s="16" t="str">
        <f>IFERROR(__xludf.DUMMYFUNCTION("""COMPUTED_VALUE"""),"JOSE ALFREDO RAMIREZ VERGARA ")</f>
        <v>JOSE ALFREDO RAMIREZ VERGARA </v>
      </c>
      <c r="C9122" s="15" t="str">
        <f>IFERROR(__xludf.DUMMYFUNCTION("""COMPUTED_VALUE"""),"BOGOTÁ")</f>
        <v>BOGOTÁ</v>
      </c>
      <c r="D9122" s="15" t="str">
        <f>IFERROR(__xludf.DUMMYFUNCTION("""COMPUTED_VALUE"""),"MEDELLÍN")</f>
        <v>MEDELLÍN</v>
      </c>
      <c r="E9122" s="15" t="str">
        <f>IFERROR(__xludf.DUMMYFUNCTION("""COMPUTED_VALUE"""),"Baby Chef")</f>
        <v>Baby Chef</v>
      </c>
      <c r="F9122" s="17" t="str">
        <f>IFERROR(__xludf.DUMMYFUNCTION("""COMPUTED_VALUE"""),"Calle 167 # 73-45 int 9 apto 404 / . / .")</f>
        <v>Calle 167 # 73-45 int 9 apto 404 / . / .</v>
      </c>
      <c r="G9122" s="15" t="str">
        <f>IFERROR(__xludf.DUMMYFUNCTION("""COMPUTED_VALUE"""),"Luisa Montero")</f>
        <v>Luisa Montero</v>
      </c>
      <c r="H9122" s="16">
        <f>IFERROR(__xludf.DUMMYFUNCTION("""COMPUTED_VALUE"""),17774.0)</f>
        <v>17774</v>
      </c>
      <c r="I9122" s="18">
        <f>IFERROR(__xludf.DUMMYFUNCTION("""COMPUTED_VALUE"""),17.0)</f>
        <v>17</v>
      </c>
      <c r="J9122" s="18">
        <f>IFERROR(__xludf.DUMMYFUNCTION("""COMPUTED_VALUE"""),26.0)</f>
        <v>26</v>
      </c>
      <c r="K9122" s="18">
        <f>IFERROR(__xludf.DUMMYFUNCTION("""COMPUTED_VALUE"""),43.0)</f>
        <v>43</v>
      </c>
      <c r="L9122" s="17">
        <f>IFERROR(__xludf.DUMMYFUNCTION("""COMPUTED_VALUE"""),3.10341585E9)</f>
        <v>3103415850</v>
      </c>
      <c r="M9122" s="17"/>
      <c r="N9122" s="17"/>
      <c r="O9122" s="17"/>
      <c r="P9122" s="17" t="b">
        <f>IFERROR(__xludf.DUMMYFUNCTION("""COMPUTED_VALUE"""),FALSE)</f>
        <v>0</v>
      </c>
      <c r="Q9122" s="20" t="str">
        <f>IFERROR(__xludf.DUMMYFUNCTION("""COMPUTED_VALUE"""),"")</f>
        <v/>
      </c>
      <c r="R9122" s="21" t="str">
        <f>IFERROR(__xludf.DUMMYFUNCTION("""COMPUTED_VALUE"""),"https://drive.google.com/file/d/1ZxdsW4Hiob1f881AZFp63Qnwo6gqgDD_/view?usp=drivesdk")</f>
        <v>https://drive.google.com/file/d/1ZxdsW4Hiob1f881AZFp63Qnwo6gqgDD_/view?usp=drivesdk</v>
      </c>
    </row>
    <row r="9123">
      <c r="A9123" s="15">
        <f>IFERROR(__xludf.DUMMYFUNCTION("""COMPUTED_VALUE"""),45259.0)</f>
        <v>45259</v>
      </c>
      <c r="B9123" s="16" t="str">
        <f>IFERROR(__xludf.DUMMYFUNCTION("""COMPUTED_VALUE"""),"JOSE ALFREDO RAMIREZ VERGARA ")</f>
        <v>JOSE ALFREDO RAMIREZ VERGARA </v>
      </c>
      <c r="C9123" s="15" t="str">
        <f>IFERROR(__xludf.DUMMYFUNCTION("""COMPUTED_VALUE"""),"BOGOTÁ")</f>
        <v>BOGOTÁ</v>
      </c>
      <c r="D9123" s="15" t="str">
        <f>IFERROR(__xludf.DUMMYFUNCTION("""COMPUTED_VALUE"""),"MEDELLÍN")</f>
        <v>MEDELLÍN</v>
      </c>
      <c r="E9123" s="15" t="str">
        <f>IFERROR(__xludf.DUMMYFUNCTION("""COMPUTED_VALUE"""),"Baby Chef")</f>
        <v>Baby Chef</v>
      </c>
      <c r="F9123" s="17" t="str">
        <f>IFERROR(__xludf.DUMMYFUNCTION("""COMPUTED_VALUE"""),"Diagonal 115 # 45 - 42. Apto 201 / . / .")</f>
        <v>Diagonal 115 # 45 - 42. Apto 201 / . / .</v>
      </c>
      <c r="G9123" s="15" t="str">
        <f>IFERROR(__xludf.DUMMYFUNCTION("""COMPUTED_VALUE"""),"Pilar Burbano")</f>
        <v>Pilar Burbano</v>
      </c>
      <c r="H9123" s="16">
        <f>IFERROR(__xludf.DUMMYFUNCTION("""COMPUTED_VALUE"""),17775.0)</f>
        <v>17775</v>
      </c>
      <c r="I9123" s="18">
        <f>IFERROR(__xludf.DUMMYFUNCTION("""COMPUTED_VALUE"""),6.0)</f>
        <v>6</v>
      </c>
      <c r="J9123" s="18">
        <f>IFERROR(__xludf.DUMMYFUNCTION("""COMPUTED_VALUE"""),21.0)</f>
        <v>21</v>
      </c>
      <c r="K9123" s="18">
        <f>IFERROR(__xludf.DUMMYFUNCTION("""COMPUTED_VALUE"""),39.0)</f>
        <v>39</v>
      </c>
      <c r="L9123" s="17">
        <f>IFERROR(__xludf.DUMMYFUNCTION("""COMPUTED_VALUE"""),3.107719455E9)</f>
        <v>3107719455</v>
      </c>
      <c r="M9123" s="17"/>
      <c r="N9123" s="17"/>
      <c r="O9123" s="17"/>
      <c r="P9123" s="17" t="b">
        <f>IFERROR(__xludf.DUMMYFUNCTION("""COMPUTED_VALUE"""),FALSE)</f>
        <v>0</v>
      </c>
      <c r="Q9123" s="20" t="str">
        <f>IFERROR(__xludf.DUMMYFUNCTION("""COMPUTED_VALUE"""),"")</f>
        <v/>
      </c>
      <c r="R9123" s="21" t="str">
        <f>IFERROR(__xludf.DUMMYFUNCTION("""COMPUTED_VALUE"""),"https://drive.google.com/file/d/1uXfSw6P0CzGUeJJg3CRL1Z6Ae6guEyII/view?usp=drivesdk")</f>
        <v>https://drive.google.com/file/d/1uXfSw6P0CzGUeJJg3CRL1Z6Ae6guEyII/view?usp=drivesdk</v>
      </c>
    </row>
    <row r="9124">
      <c r="A9124" s="15">
        <f>IFERROR(__xludf.DUMMYFUNCTION("""COMPUTED_VALUE"""),45259.0)</f>
        <v>45259</v>
      </c>
      <c r="B9124" s="16" t="str">
        <f>IFERROR(__xludf.DUMMYFUNCTION("""COMPUTED_VALUE"""),"JOSE ALFREDO RAMIREZ VERGARA ")</f>
        <v>JOSE ALFREDO RAMIREZ VERGARA </v>
      </c>
      <c r="C9124" s="15" t="str">
        <f>IFERROR(__xludf.DUMMYFUNCTION("""COMPUTED_VALUE"""),"BOGOTÁ")</f>
        <v>BOGOTÁ</v>
      </c>
      <c r="D9124" s="15" t="str">
        <f>IFERROR(__xludf.DUMMYFUNCTION("""COMPUTED_VALUE"""),"MEDELLÍN")</f>
        <v>MEDELLÍN</v>
      </c>
      <c r="E9124" s="15" t="str">
        <f>IFERROR(__xludf.DUMMYFUNCTION("""COMPUTED_VALUE"""),"Baby Chef")</f>
        <v>Baby Chef</v>
      </c>
      <c r="F9124" s="17" t="str">
        <f>IFERROR(__xludf.DUMMYFUNCTION("""COMPUTED_VALUE"""),"Dirección:  cra 73A # 167-29 casa 59 Barrio Portales del Norte Ciudad: Bogotá / . / .")</f>
        <v>Dirección:  cra 73A # 167-29 casa 59 Barrio Portales del Norte Ciudad: Bogotá / . / .</v>
      </c>
      <c r="G9124" s="15" t="str">
        <f>IFERROR(__xludf.DUMMYFUNCTION("""COMPUTED_VALUE"""),"Catalina Angel")</f>
        <v>Catalina Angel</v>
      </c>
      <c r="H9124" s="16">
        <f>IFERROR(__xludf.DUMMYFUNCTION("""COMPUTED_VALUE"""),17778.0)</f>
        <v>17778</v>
      </c>
      <c r="I9124" s="18">
        <f>IFERROR(__xludf.DUMMYFUNCTION("""COMPUTED_VALUE"""),11.0)</f>
        <v>11</v>
      </c>
      <c r="J9124" s="18">
        <f>IFERROR(__xludf.DUMMYFUNCTION("""COMPUTED_VALUE"""),30.0)</f>
        <v>30</v>
      </c>
      <c r="K9124" s="18">
        <f>IFERROR(__xludf.DUMMYFUNCTION("""COMPUTED_VALUE"""),42.0)</f>
        <v>42</v>
      </c>
      <c r="L9124" s="17">
        <f>IFERROR(__xludf.DUMMYFUNCTION("""COMPUTED_VALUE"""),3.209348559E9)</f>
        <v>3209348559</v>
      </c>
      <c r="M9124" s="17"/>
      <c r="N9124" s="17"/>
      <c r="O9124" s="17"/>
      <c r="P9124" s="17" t="b">
        <f>IFERROR(__xludf.DUMMYFUNCTION("""COMPUTED_VALUE"""),FALSE)</f>
        <v>0</v>
      </c>
      <c r="Q9124" s="20" t="str">
        <f>IFERROR(__xludf.DUMMYFUNCTION("""COMPUTED_VALUE"""),"")</f>
        <v/>
      </c>
      <c r="R9124" s="21" t="str">
        <f>IFERROR(__xludf.DUMMYFUNCTION("""COMPUTED_VALUE"""),"https://drive.google.com/file/d/1oGO-gMvsbHaoypKqnGsyHj7lbVE4Lp9n/view?usp=drivesdk")</f>
        <v>https://drive.google.com/file/d/1oGO-gMvsbHaoypKqnGsyHj7lbVE4Lp9n/view?usp=drivesdk</v>
      </c>
    </row>
    <row r="9125">
      <c r="A9125" s="15">
        <f>IFERROR(__xludf.DUMMYFUNCTION("""COMPUTED_VALUE"""),45259.0)</f>
        <v>45259</v>
      </c>
      <c r="B9125" s="16" t="str">
        <f>IFERROR(__xludf.DUMMYFUNCTION("""COMPUTED_VALUE"""),"JOSE ALFREDO RAMIREZ VERGARA ")</f>
        <v>JOSE ALFREDO RAMIREZ VERGARA </v>
      </c>
      <c r="C9125" s="15" t="str">
        <f>IFERROR(__xludf.DUMMYFUNCTION("""COMPUTED_VALUE"""),"BOGOTÁ")</f>
        <v>BOGOTÁ</v>
      </c>
      <c r="D9125" s="15" t="str">
        <f>IFERROR(__xludf.DUMMYFUNCTION("""COMPUTED_VALUE"""),"MEDELLÍN")</f>
        <v>MEDELLÍN</v>
      </c>
      <c r="E9125" s="15" t="str">
        <f>IFERROR(__xludf.DUMMYFUNCTION("""COMPUTED_VALUE"""),"Baby Chef")</f>
        <v>Baby Chef</v>
      </c>
      <c r="F9125" s="17" t="str">
        <f>IFERROR(__xludf.DUMMYFUNCTION("""COMPUTED_VALUE"""),"Transversal 73 D bis # 39 A 41 Sur Kennedy central / . / .")</f>
        <v>Transversal 73 D bis # 39 A 41 Sur Kennedy central / . / .</v>
      </c>
      <c r="G9125" s="15" t="str">
        <f>IFERROR(__xludf.DUMMYFUNCTION("""COMPUTED_VALUE"""),"Franci Moreno Contreras")</f>
        <v>Franci Moreno Contreras</v>
      </c>
      <c r="H9125" s="16">
        <f>IFERROR(__xludf.DUMMYFUNCTION("""COMPUTED_VALUE"""),17772.0)</f>
        <v>17772</v>
      </c>
      <c r="I9125" s="18">
        <f>IFERROR(__xludf.DUMMYFUNCTION("""COMPUTED_VALUE"""),8.0)</f>
        <v>8</v>
      </c>
      <c r="J9125" s="18">
        <f>IFERROR(__xludf.DUMMYFUNCTION("""COMPUTED_VALUE"""),27.0)</f>
        <v>27</v>
      </c>
      <c r="K9125" s="18">
        <f>IFERROR(__xludf.DUMMYFUNCTION("""COMPUTED_VALUE"""),40.0)</f>
        <v>40</v>
      </c>
      <c r="L9125" s="17">
        <f>IFERROR(__xludf.DUMMYFUNCTION("""COMPUTED_VALUE"""),3.102907858E9)</f>
        <v>3102907858</v>
      </c>
      <c r="M9125" s="17"/>
      <c r="N9125" s="17"/>
      <c r="O9125" s="17"/>
      <c r="P9125" s="17" t="b">
        <f>IFERROR(__xludf.DUMMYFUNCTION("""COMPUTED_VALUE"""),FALSE)</f>
        <v>0</v>
      </c>
      <c r="Q9125" s="20" t="str">
        <f>IFERROR(__xludf.DUMMYFUNCTION("""COMPUTED_VALUE"""),"")</f>
        <v/>
      </c>
      <c r="R9125" s="21" t="str">
        <f>IFERROR(__xludf.DUMMYFUNCTION("""COMPUTED_VALUE"""),"https://drive.google.com/file/d/131Q47XJbbHnbDQZiCC9ZlFJWfreQVYoj/view?usp=drivesdk")</f>
        <v>https://drive.google.com/file/d/131Q47XJbbHnbDQZiCC9ZlFJWfreQVYoj/view?usp=drivesdk</v>
      </c>
    </row>
    <row r="9126">
      <c r="A9126" s="15">
        <f>IFERROR(__xludf.DUMMYFUNCTION("""COMPUTED_VALUE"""),45259.0)</f>
        <v>45259</v>
      </c>
      <c r="B9126" s="16" t="str">
        <f>IFERROR(__xludf.DUMMYFUNCTION("""COMPUTED_VALUE"""),"JOSE ALFREDO RAMIREZ VERGARA ")</f>
        <v>JOSE ALFREDO RAMIREZ VERGARA </v>
      </c>
      <c r="C9126" s="15" t="str">
        <f>IFERROR(__xludf.DUMMYFUNCTION("""COMPUTED_VALUE"""),"BOGOTÁ")</f>
        <v>BOGOTÁ</v>
      </c>
      <c r="D9126" s="15" t="str">
        <f>IFERROR(__xludf.DUMMYFUNCTION("""COMPUTED_VALUE"""),"MEDELLÍN")</f>
        <v>MEDELLÍN</v>
      </c>
      <c r="E9126" s="15" t="str">
        <f>IFERROR(__xludf.DUMMYFUNCTION("""COMPUTED_VALUE"""),"Carnicos Fricar")</f>
        <v>Carnicos Fricar</v>
      </c>
      <c r="F9126" s="17" t="str">
        <f>IFERROR(__xludf.DUMMYFUNCTION("""COMPUTED_VALUE"""),"CARRERA 13 C # 165 B 41 INTERIOR 1 CASA 23 - BARRIO VILLAS DE ARNJUEZ CONJUNTO TOSCANA 2 / CONJUNTO TOSCANA 2 / BARRIO VILLAS DE ARANJUEZ")</f>
        <v>CARRERA 13 C # 165 B 41 INTERIOR 1 CASA 23 - BARRIO VILLAS DE ARNJUEZ CONJUNTO TOSCANA 2 / CONJUNTO TOSCANA 2 / BARRIO VILLAS DE ARANJUEZ</v>
      </c>
      <c r="G9126" s="15" t="str">
        <f>IFERROR(__xludf.DUMMYFUNCTION("""COMPUTED_VALUE"""),"LAURA NEIRA HERNANDEZ")</f>
        <v>LAURA NEIRA HERNANDEZ</v>
      </c>
      <c r="H9126" s="16">
        <f>IFERROR(__xludf.DUMMYFUNCTION("""COMPUTED_VALUE"""),17740.0)</f>
        <v>17740</v>
      </c>
      <c r="I9126" s="18">
        <f>IFERROR(__xludf.DUMMYFUNCTION("""COMPUTED_VALUE"""),32.0)</f>
        <v>32</v>
      </c>
      <c r="J9126" s="18">
        <f>IFERROR(__xludf.DUMMYFUNCTION("""COMPUTED_VALUE"""),26.0)</f>
        <v>26</v>
      </c>
      <c r="K9126" s="18">
        <f>IFERROR(__xludf.DUMMYFUNCTION("""COMPUTED_VALUE"""),47.0)</f>
        <v>47</v>
      </c>
      <c r="L9126" s="17">
        <f>IFERROR(__xludf.DUMMYFUNCTION("""COMPUTED_VALUE"""),3.157339068E9)</f>
        <v>3157339068</v>
      </c>
      <c r="M9126" s="17"/>
      <c r="N9126" s="17"/>
      <c r="O9126" s="17"/>
      <c r="P9126" s="17" t="b">
        <f>IFERROR(__xludf.DUMMYFUNCTION("""COMPUTED_VALUE"""),FALSE)</f>
        <v>0</v>
      </c>
      <c r="Q9126" s="20" t="str">
        <f>IFERROR(__xludf.DUMMYFUNCTION("""COMPUTED_VALUE"""),"")</f>
        <v/>
      </c>
      <c r="R9126" s="21" t="str">
        <f>IFERROR(__xludf.DUMMYFUNCTION("""COMPUTED_VALUE"""),"https://drive.google.com/file/d/1zQLjrLoMArk1QBK_h4eCrMZSDeP9o3zf/view?usp=drivesdk")</f>
        <v>https://drive.google.com/file/d/1zQLjrLoMArk1QBK_h4eCrMZSDeP9o3zf/view?usp=drivesdk</v>
      </c>
    </row>
    <row r="9127">
      <c r="A9127" s="15">
        <f>IFERROR(__xludf.DUMMYFUNCTION("""COMPUTED_VALUE"""),45259.0)</f>
        <v>45259</v>
      </c>
      <c r="B9127" s="16" t="str">
        <f>IFERROR(__xludf.DUMMYFUNCTION("""COMPUTED_VALUE"""),"JOSE ALFREDO RAMIREZ VERGARA ")</f>
        <v>JOSE ALFREDO RAMIREZ VERGARA </v>
      </c>
      <c r="C9127" s="15" t="str">
        <f>IFERROR(__xludf.DUMMYFUNCTION("""COMPUTED_VALUE"""),"BOGOTÁ")</f>
        <v>BOGOTÁ</v>
      </c>
      <c r="D9127" s="15" t="str">
        <f>IFERROR(__xludf.DUMMYFUNCTION("""COMPUTED_VALUE"""),"MEDELLÍN")</f>
        <v>MEDELLÍN</v>
      </c>
      <c r="E9127" s="15" t="str">
        <f>IFERROR(__xludf.DUMMYFUNCTION("""COMPUTED_VALUE"""),"Lácteos El Pino SAS")</f>
        <v>Lácteos El Pino SAS</v>
      </c>
      <c r="F9127" s="17" t="str">
        <f>IFERROR(__xludf.DUMMYFUNCTION("""COMPUTED_VALUE"""),"CALLE 93 #18 - 81 / ENTREGAR EN EL LOCAL")</f>
        <v>CALLE 93 #18 - 81 / ENTREGAR EN EL LOCAL</v>
      </c>
      <c r="G9127" s="15" t="str">
        <f>IFERROR(__xludf.DUMMYFUNCTION("""COMPUTED_VALUE"""),"KIM")</f>
        <v>KIM</v>
      </c>
      <c r="H9127" s="16">
        <f>IFERROR(__xludf.DUMMYFUNCTION("""COMPUTED_VALUE"""),17718.0)</f>
        <v>17718</v>
      </c>
      <c r="I9127" s="17"/>
      <c r="J9127" s="17"/>
      <c r="K9127" s="17"/>
      <c r="L9127" s="17">
        <f>IFERROR(__xludf.DUMMYFUNCTION("""COMPUTED_VALUE"""),3.24566062E9)</f>
        <v>3245660620</v>
      </c>
      <c r="M9127" s="17"/>
      <c r="N9127" s="17"/>
      <c r="O9127" s="17"/>
      <c r="P9127" s="17" t="b">
        <f>IFERROR(__xludf.DUMMYFUNCTION("""COMPUTED_VALUE"""),FALSE)</f>
        <v>0</v>
      </c>
      <c r="Q9127" s="20" t="str">
        <f>IFERROR(__xludf.DUMMYFUNCTION("""COMPUTED_VALUE"""),"")</f>
        <v/>
      </c>
      <c r="R9127" s="21" t="str">
        <f>IFERROR(__xludf.DUMMYFUNCTION("""COMPUTED_VALUE"""),"https://drive.google.com/file/d/1s2b7_Dohg1SqYLUTEiY72ZJBeYmJeNCK/view?usp=drivesdk")</f>
        <v>https://drive.google.com/file/d/1s2b7_Dohg1SqYLUTEiY72ZJBeYmJeNCK/view?usp=drivesdk</v>
      </c>
    </row>
    <row r="9128">
      <c r="A9128" s="15">
        <f>IFERROR(__xludf.DUMMYFUNCTION("""COMPUTED_VALUE"""),45259.0)</f>
        <v>45259</v>
      </c>
      <c r="B9128" s="16" t="str">
        <f>IFERROR(__xludf.DUMMYFUNCTION("""COMPUTED_VALUE"""),"JOSE ALFREDO RAMIREZ VERGARA ")</f>
        <v>JOSE ALFREDO RAMIREZ VERGARA </v>
      </c>
      <c r="C9128" s="15" t="str">
        <f>IFERROR(__xludf.DUMMYFUNCTION("""COMPUTED_VALUE"""),"BOGOTÁ")</f>
        <v>BOGOTÁ</v>
      </c>
      <c r="D9128" s="15" t="str">
        <f>IFERROR(__xludf.DUMMYFUNCTION("""COMPUTED_VALUE"""),"MEDELLÍN")</f>
        <v>MEDELLÍN</v>
      </c>
      <c r="E9128" s="15" t="str">
        <f>IFERROR(__xludf.DUMMYFUNCTION("""COMPUTED_VALUE"""),"Lácteos El Pino SAS")</f>
        <v>Lácteos El Pino SAS</v>
      </c>
      <c r="F9128" s="17" t="str">
        <f>IFERROR(__xludf.DUMMYFUNCTION("""COMPUTED_VALUE"""),"CRA 13 # 118-15 / LOCAL CASA GRIS- PRIMER PISO")</f>
        <v>CRA 13 # 118-15 / LOCAL CASA GRIS- PRIMER PISO</v>
      </c>
      <c r="G9128" s="15" t="str">
        <f>IFERROR(__xludf.DUMMYFUNCTION("""COMPUTED_VALUE"""),"MARCELA POSADA")</f>
        <v>MARCELA POSADA</v>
      </c>
      <c r="H9128" s="16">
        <f>IFERROR(__xludf.DUMMYFUNCTION("""COMPUTED_VALUE"""),17717.0)</f>
        <v>17717</v>
      </c>
      <c r="I9128" s="17"/>
      <c r="J9128" s="17"/>
      <c r="K9128" s="17"/>
      <c r="L9128" s="17">
        <f>IFERROR(__xludf.DUMMYFUNCTION("""COMPUTED_VALUE"""),3.207349904E9)</f>
        <v>3207349904</v>
      </c>
      <c r="M9128" s="17"/>
      <c r="N9128" s="17"/>
      <c r="O9128" s="17"/>
      <c r="P9128" s="17" t="b">
        <f>IFERROR(__xludf.DUMMYFUNCTION("""COMPUTED_VALUE"""),FALSE)</f>
        <v>0</v>
      </c>
      <c r="Q9128" s="20" t="str">
        <f>IFERROR(__xludf.DUMMYFUNCTION("""COMPUTED_VALUE"""),"")</f>
        <v/>
      </c>
      <c r="R9128" s="21" t="str">
        <f>IFERROR(__xludf.DUMMYFUNCTION("""COMPUTED_VALUE"""),"https://drive.google.com/file/d/1bXEMxbny8KFQlU9k1oIt_kkBg0j-6nrQ/view?usp=drivesdk")</f>
        <v>https://drive.google.com/file/d/1bXEMxbny8KFQlU9k1oIt_kkBg0j-6nrQ/view?usp=drivesdk</v>
      </c>
    </row>
    <row r="9129">
      <c r="A9129" s="15">
        <f>IFERROR(__xludf.DUMMYFUNCTION("""COMPUTED_VALUE"""),45259.0)</f>
        <v>45259</v>
      </c>
      <c r="B9129" s="16" t="str">
        <f>IFERROR(__xludf.DUMMYFUNCTION("""COMPUTED_VALUE"""),"JOSE ALFREDO RAMIREZ VERGARA ")</f>
        <v>JOSE ALFREDO RAMIREZ VERGARA </v>
      </c>
      <c r="C9129" s="15" t="str">
        <f>IFERROR(__xludf.DUMMYFUNCTION("""COMPUTED_VALUE"""),"BOGOTÁ")</f>
        <v>BOGOTÁ</v>
      </c>
      <c r="D9129" s="15" t="str">
        <f>IFERROR(__xludf.DUMMYFUNCTION("""COMPUTED_VALUE"""),"MEDELLÍN")</f>
        <v>MEDELLÍN</v>
      </c>
      <c r="E9129" s="15" t="str">
        <f>IFERROR(__xludf.DUMMYFUNCTION("""COMPUTED_VALUE"""),"Orobroy")</f>
        <v>Orobroy</v>
      </c>
      <c r="F9129" s="17" t="str">
        <f>IFERROR(__xludf.DUMMYFUNCTION("""COMPUTED_VALUE"""),"Cra 12 n 79 -32 of 703 edificio orion / Edicio Orion")</f>
        <v>Cra 12 n 79 -32 of 703 edificio orion / Edicio Orion</v>
      </c>
      <c r="G9129" s="15" t="str">
        <f>IFERROR(__xludf.DUMMYFUNCTION("""COMPUTED_VALUE"""),"Origen it")</f>
        <v>Origen it</v>
      </c>
      <c r="H9129" s="16">
        <f>IFERROR(__xludf.DUMMYFUNCTION("""COMPUTED_VALUE"""),17667.0)</f>
        <v>17667</v>
      </c>
      <c r="I9129" s="17"/>
      <c r="J9129" s="17"/>
      <c r="K9129" s="17"/>
      <c r="L9129" s="17">
        <f>IFERROR(__xludf.DUMMYFUNCTION("""COMPUTED_VALUE"""),4.674446E7)</f>
        <v>46744460</v>
      </c>
      <c r="M9129" s="17"/>
      <c r="N9129" s="17"/>
      <c r="O9129" s="17"/>
      <c r="P9129" s="17" t="b">
        <f>IFERROR(__xludf.DUMMYFUNCTION("""COMPUTED_VALUE"""),FALSE)</f>
        <v>0</v>
      </c>
      <c r="Q9129" s="20" t="str">
        <f>IFERROR(__xludf.DUMMYFUNCTION("""COMPUTED_VALUE"""),"")</f>
        <v/>
      </c>
      <c r="R9129" s="22" t="str">
        <f>IFERROR(__xludf.DUMMYFUNCTION("""COMPUTED_VALUE"""),"")</f>
        <v/>
      </c>
    </row>
    <row r="9130">
      <c r="A9130" s="15">
        <f>IFERROR(__xludf.DUMMYFUNCTION("""COMPUTED_VALUE"""),45259.0)</f>
        <v>45259</v>
      </c>
      <c r="B9130" s="16" t="str">
        <f>IFERROR(__xludf.DUMMYFUNCTION("""COMPUTED_VALUE"""),"JOSE ALFREDO RAMIREZ VERGARA ")</f>
        <v>JOSE ALFREDO RAMIREZ VERGARA </v>
      </c>
      <c r="C9130" s="15" t="str">
        <f>IFERROR(__xludf.DUMMYFUNCTION("""COMPUTED_VALUE"""),"BOGOTÁ")</f>
        <v>BOGOTÁ</v>
      </c>
      <c r="D9130" s="15" t="str">
        <f>IFERROR(__xludf.DUMMYFUNCTION("""COMPUTED_VALUE"""),"MEDELLÍN")</f>
        <v>MEDELLÍN</v>
      </c>
      <c r="E9130" s="15" t="str">
        <f>IFERROR(__xludf.DUMMYFUNCTION("""COMPUTED_VALUE"""),"Orobroy")</f>
        <v>Orobroy</v>
      </c>
      <c r="F9130" s="17" t="str">
        <f>IFERROR(__xludf.DUMMYFUNCTION("""COMPUTED_VALUE"""),"Cra 12 n 79 -32 of 703 edificio orion / Edicio Orion")</f>
        <v>Cra 12 n 79 -32 of 703 edificio orion / Edicio Orion</v>
      </c>
      <c r="G9130" s="15" t="str">
        <f>IFERROR(__xludf.DUMMYFUNCTION("""COMPUTED_VALUE"""),"Origen it")</f>
        <v>Origen it</v>
      </c>
      <c r="H9130" s="16">
        <f>IFERROR(__xludf.DUMMYFUNCTION("""COMPUTED_VALUE"""),17670.0)</f>
        <v>17670</v>
      </c>
      <c r="I9130" s="17"/>
      <c r="J9130" s="17"/>
      <c r="K9130" s="17"/>
      <c r="L9130" s="17">
        <f>IFERROR(__xludf.DUMMYFUNCTION("""COMPUTED_VALUE"""),4.674446E7)</f>
        <v>46744460</v>
      </c>
      <c r="M9130" s="17"/>
      <c r="N9130" s="17"/>
      <c r="O9130" s="17"/>
      <c r="P9130" s="17" t="b">
        <f>IFERROR(__xludf.DUMMYFUNCTION("""COMPUTED_VALUE"""),FALSE)</f>
        <v>0</v>
      </c>
      <c r="Q9130" s="20" t="str">
        <f>IFERROR(__xludf.DUMMYFUNCTION("""COMPUTED_VALUE"""),"")</f>
        <v/>
      </c>
      <c r="R9130" s="21" t="str">
        <f>IFERROR(__xludf.DUMMYFUNCTION("""COMPUTED_VALUE"""),"https://drive.google.com/file/d/1AFKDn6em9NPzgXszEpw8V0Y9ETSzXpoS/view?usp=drivesdk")</f>
        <v>https://drive.google.com/file/d/1AFKDn6em9NPzgXszEpw8V0Y9ETSzXpoS/view?usp=drivesdk</v>
      </c>
    </row>
    <row r="9131">
      <c r="A9131" s="15">
        <f>IFERROR(__xludf.DUMMYFUNCTION("""COMPUTED_VALUE"""),45259.0)</f>
        <v>45259</v>
      </c>
      <c r="B9131" s="16" t="str">
        <f>IFERROR(__xludf.DUMMYFUNCTION("""COMPUTED_VALUE"""),"JOSE ALFREDO RAMIREZ VERGARA ")</f>
        <v>JOSE ALFREDO RAMIREZ VERGARA </v>
      </c>
      <c r="C9131" s="15" t="str">
        <f>IFERROR(__xludf.DUMMYFUNCTION("""COMPUTED_VALUE"""),"BOGOTÁ")</f>
        <v>BOGOTÁ</v>
      </c>
      <c r="D9131" s="15" t="str">
        <f>IFERROR(__xludf.DUMMYFUNCTION("""COMPUTED_VALUE"""),"MEDELLÍN")</f>
        <v>MEDELLÍN</v>
      </c>
      <c r="E9131" s="15" t="str">
        <f>IFERROR(__xludf.DUMMYFUNCTION("""COMPUTED_VALUE"""),"Puro Verde")</f>
        <v>Puro Verde</v>
      </c>
      <c r="F9131" s="17" t="str">
        <f>IFERROR(__xludf.DUMMYFUNCTION("""COMPUTED_VALUE"""),"CRA 16A # 77-23.  / LOCAL 4 / BARRIO EL LAGO")</f>
        <v>CRA 16A # 77-23.  / LOCAL 4 / BARRIO EL LAGO</v>
      </c>
      <c r="G9131" s="15" t="str">
        <f>IFERROR(__xludf.DUMMYFUNCTION("""COMPUTED_VALUE"""),"DANDO CUERDA")</f>
        <v>DANDO CUERDA</v>
      </c>
      <c r="H9131" s="16">
        <f>IFERROR(__xludf.DUMMYFUNCTION("""COMPUTED_VALUE"""),17725.0)</f>
        <v>17725</v>
      </c>
      <c r="I9131" s="18">
        <f>IFERROR(__xludf.DUMMYFUNCTION("""COMPUTED_VALUE"""),55.0)</f>
        <v>55</v>
      </c>
      <c r="J9131" s="18">
        <f>IFERROR(__xludf.DUMMYFUNCTION("""COMPUTED_VALUE"""),45.0)</f>
        <v>45</v>
      </c>
      <c r="K9131" s="18" t="str">
        <f>IFERROR(__xludf.DUMMYFUNCTION("""COMPUTED_VALUE"""),"52.5")</f>
        <v>52.5</v>
      </c>
      <c r="L9131" s="17">
        <f>IFERROR(__xludf.DUMMYFUNCTION("""COMPUTED_VALUE"""),3.163816691E9)</f>
        <v>3163816691</v>
      </c>
      <c r="M9131" s="17"/>
      <c r="N9131" s="17"/>
      <c r="O9131" s="17"/>
      <c r="P9131" s="17" t="b">
        <f>IFERROR(__xludf.DUMMYFUNCTION("""COMPUTED_VALUE"""),FALSE)</f>
        <v>0</v>
      </c>
      <c r="Q9131" s="20" t="str">
        <f>IFERROR(__xludf.DUMMYFUNCTION("""COMPUTED_VALUE"""),"")</f>
        <v/>
      </c>
      <c r="R9131" s="21" t="str">
        <f>IFERROR(__xludf.DUMMYFUNCTION("""COMPUTED_VALUE"""),"https://drive.google.com/file/d/1oh8OtXpHWt6snjCnh5lQTvTp7_F-b_ig/view?usp=drivesdk")</f>
        <v>https://drive.google.com/file/d/1oh8OtXpHWt6snjCnh5lQTvTp7_F-b_ig/view?usp=drivesdk</v>
      </c>
    </row>
    <row r="9132">
      <c r="A9132" s="15">
        <f>IFERROR(__xludf.DUMMYFUNCTION("""COMPUTED_VALUE"""),45259.0)</f>
        <v>45259</v>
      </c>
      <c r="B9132" s="16" t="str">
        <f>IFERROR(__xludf.DUMMYFUNCTION("""COMPUTED_VALUE"""),"JOSE ALFREDO RAMIREZ VERGARA ")</f>
        <v>JOSE ALFREDO RAMIREZ VERGARA </v>
      </c>
      <c r="C9132" s="15" t="str">
        <f>IFERROR(__xludf.DUMMYFUNCTION("""COMPUTED_VALUE"""),"BOGOTÁ")</f>
        <v>BOGOTÁ</v>
      </c>
      <c r="D9132" s="15" t="str">
        <f>IFERROR(__xludf.DUMMYFUNCTION("""COMPUTED_VALUE"""),"MEDELLÍN")</f>
        <v>MEDELLÍN</v>
      </c>
      <c r="E9132" s="15" t="str">
        <f>IFERROR(__xludf.DUMMYFUNCTION("""COMPUTED_VALUE"""),"Terravocado")</f>
        <v>Terravocado</v>
      </c>
      <c r="F9132" s="17" t="str">
        <f>IFERROR(__xludf.DUMMYFUNCTION("""COMPUTED_VALUE"""),"CR 20 #168 34 / BOGOTA / TOBERIN")</f>
        <v>CR 20 #168 34 / BOGOTA / TOBERIN</v>
      </c>
      <c r="G9132" s="15" t="str">
        <f>IFERROR(__xludf.DUMMYFUNCTION("""COMPUTED_VALUE"""),"BUKOI")</f>
        <v>BUKOI</v>
      </c>
      <c r="H9132" s="16">
        <f>IFERROR(__xludf.DUMMYFUNCTION("""COMPUTED_VALUE"""),17786.0)</f>
        <v>17786</v>
      </c>
      <c r="I9132" s="18">
        <f>IFERROR(__xludf.DUMMYFUNCTION("""COMPUTED_VALUE"""),20.0)</f>
        <v>20</v>
      </c>
      <c r="J9132" s="18">
        <f>IFERROR(__xludf.DUMMYFUNCTION("""COMPUTED_VALUE"""),24.0)</f>
        <v>24</v>
      </c>
      <c r="K9132" s="18">
        <f>IFERROR(__xludf.DUMMYFUNCTION("""COMPUTED_VALUE"""),34.0)</f>
        <v>34</v>
      </c>
      <c r="L9132" s="17">
        <f>IFERROR(__xludf.DUMMYFUNCTION("""COMPUTED_VALUE"""),3.125489315E9)</f>
        <v>3125489315</v>
      </c>
      <c r="M9132" s="17"/>
      <c r="N9132" s="17"/>
      <c r="O9132" s="17"/>
      <c r="P9132" s="17" t="b">
        <f>IFERROR(__xludf.DUMMYFUNCTION("""COMPUTED_VALUE"""),FALSE)</f>
        <v>0</v>
      </c>
      <c r="Q9132" s="20" t="str">
        <f>IFERROR(__xludf.DUMMYFUNCTION("""COMPUTED_VALUE"""),"")</f>
        <v/>
      </c>
      <c r="R9132" s="21" t="str">
        <f>IFERROR(__xludf.DUMMYFUNCTION("""COMPUTED_VALUE"""),"https://drive.google.com/file/d/1yHayBbT38ccjIfuLDmWmU0hbCQxStzlI/view?usp=drivesdk")</f>
        <v>https://drive.google.com/file/d/1yHayBbT38ccjIfuLDmWmU0hbCQxStzlI/view?usp=drivesdk</v>
      </c>
    </row>
    <row r="9133">
      <c r="A9133" s="17" t="str">
        <f>IFERROR(__xludf.DUMMYFUNCTION("""COMPUTED_VALUE"""),"")</f>
        <v/>
      </c>
      <c r="B9133" s="17" t="str">
        <f>IFERROR(__xludf.DUMMYFUNCTION("""COMPUTED_VALUE"""),"")</f>
        <v/>
      </c>
      <c r="C9133" s="17" t="str">
        <f>IFERROR(__xludf.DUMMYFUNCTION("""COMPUTED_VALUE"""),"")</f>
        <v/>
      </c>
      <c r="D9133" s="17" t="str">
        <f>IFERROR(__xludf.DUMMYFUNCTION("""COMPUTED_VALUE"""),"")</f>
        <v/>
      </c>
      <c r="E9133" s="17" t="str">
        <f>IFERROR(__xludf.DUMMYFUNCTION("""COMPUTED_VALUE"""),"")</f>
        <v/>
      </c>
      <c r="F9133" s="17" t="str">
        <f>IFERROR(__xludf.DUMMYFUNCTION("""COMPUTED_VALUE"""),"")</f>
        <v/>
      </c>
      <c r="G9133" s="17" t="str">
        <f>IFERROR(__xludf.DUMMYFUNCTION("""COMPUTED_VALUE"""),"")</f>
        <v/>
      </c>
      <c r="H9133" s="17" t="str">
        <f>IFERROR(__xludf.DUMMYFUNCTION("""COMPUTED_VALUE"""),"")</f>
        <v/>
      </c>
      <c r="I9133" s="17" t="str">
        <f>IFERROR(__xludf.DUMMYFUNCTION("""COMPUTED_VALUE"""),"")</f>
        <v/>
      </c>
      <c r="J9133" s="17" t="str">
        <f>IFERROR(__xludf.DUMMYFUNCTION("""COMPUTED_VALUE"""),"")</f>
        <v/>
      </c>
      <c r="K9133" s="17" t="str">
        <f>IFERROR(__xludf.DUMMYFUNCTION("""COMPUTED_VALUE"""),"")</f>
        <v/>
      </c>
      <c r="L9133" s="17" t="str">
        <f>IFERROR(__xludf.DUMMYFUNCTION("""COMPUTED_VALUE"""),"")</f>
        <v/>
      </c>
      <c r="M9133" s="17" t="str">
        <f>IFERROR(__xludf.DUMMYFUNCTION("""COMPUTED_VALUE"""),"")</f>
        <v/>
      </c>
      <c r="N9133" s="17" t="str">
        <f>IFERROR(__xludf.DUMMYFUNCTION("""COMPUTED_VALUE"""),"")</f>
        <v/>
      </c>
      <c r="O9133" s="17" t="str">
        <f>IFERROR(__xludf.DUMMYFUNCTION("""COMPUTED_VALUE"""),"")</f>
        <v/>
      </c>
      <c r="P9133" s="17" t="str">
        <f>IFERROR(__xludf.DUMMYFUNCTION("""COMPUTED_VALUE"""),"")</f>
        <v/>
      </c>
      <c r="Q9133" s="17" t="str">
        <f>IFERROR(__xludf.DUMMYFUNCTION("""COMPUTED_VALUE"""),"")</f>
        <v/>
      </c>
      <c r="R9133" s="17" t="str">
        <f>IFERROR(__xludf.DUMMYFUNCTION("""COMPUTED_VALUE"""),"")</f>
        <v/>
      </c>
    </row>
    <row r="9134">
      <c r="A9134" s="15">
        <f>IFERROR(__xludf.DUMMYFUNCTION("""COMPUTED_VALUE"""),45260.0)</f>
        <v>45260</v>
      </c>
      <c r="B9134" s="17"/>
      <c r="C9134" s="15" t="str">
        <f>IFERROR(__xludf.DUMMYFUNCTION("""COMPUTED_VALUE"""),"BARRANQUILLA")</f>
        <v>BARRANQUILLA</v>
      </c>
      <c r="D9134" s="15" t="str">
        <f>IFERROR(__xludf.DUMMYFUNCTION("""COMPUTED_VALUE"""),"BOGOTÁ")</f>
        <v>BOGOTÁ</v>
      </c>
      <c r="E9134" s="15" t="str">
        <f>IFERROR(__xludf.DUMMYFUNCTION("""COMPUTED_VALUE"""),"Ventura Productos Arg")</f>
        <v>Ventura Productos Arg</v>
      </c>
      <c r="F9134" s="17" t="str">
        <f>IFERROR(__xludf.DUMMYFUNCTION("""COMPUTED_VALUE"""),"Cra 62 No 77 50 / Oficina IQM SAS")</f>
        <v>Cra 62 No 77 50 / Oficina IQM SAS</v>
      </c>
      <c r="G9134" s="15" t="str">
        <f>IFERROR(__xludf.DUMMYFUNCTION("""COMPUTED_VALUE"""),"IQM SAS")</f>
        <v>IQM SAS</v>
      </c>
      <c r="H9134" s="16">
        <f>IFERROR(__xludf.DUMMYFUNCTION("""COMPUTED_VALUE"""),17624.0)</f>
        <v>17624</v>
      </c>
      <c r="I9134" s="17"/>
      <c r="J9134" s="17"/>
      <c r="K9134" s="17"/>
      <c r="L9134" s="17">
        <f>IFERROR(__xludf.DUMMYFUNCTION("""COMPUTED_VALUE"""),3.186565759E9)</f>
        <v>3186565759</v>
      </c>
      <c r="M9134" s="17"/>
      <c r="N9134" s="17"/>
      <c r="O9134" s="17"/>
      <c r="P9134" s="17" t="b">
        <f>IFERROR(__xludf.DUMMYFUNCTION("""COMPUTED_VALUE"""),FALSE)</f>
        <v>0</v>
      </c>
      <c r="Q9134" s="20" t="str">
        <f>IFERROR(__xludf.DUMMYFUNCTION("""COMPUTED_VALUE"""),"")</f>
        <v/>
      </c>
      <c r="R9134" s="21" t="str">
        <f>IFERROR(__xludf.DUMMYFUNCTION("""COMPUTED_VALUE"""),"https://drive.google.com/file/d/1wl3fEoKpX9LeqH9ASOYzx-t8B66OVQet/view?usp=drivesdk")</f>
        <v>https://drive.google.com/file/d/1wl3fEoKpX9LeqH9ASOYzx-t8B66OVQet/view?usp=drivesdk</v>
      </c>
    </row>
    <row r="9135">
      <c r="A9135" s="15">
        <f>IFERROR(__xludf.DUMMYFUNCTION("""COMPUTED_VALUE"""),45260.0)</f>
        <v>45260</v>
      </c>
      <c r="B9135" s="17"/>
      <c r="C9135" s="15" t="str">
        <f>IFERROR(__xludf.DUMMYFUNCTION("""COMPUTED_VALUE"""),"BUCARAMANGA")</f>
        <v>BUCARAMANGA</v>
      </c>
      <c r="D9135" s="15" t="str">
        <f>IFERROR(__xludf.DUMMYFUNCTION("""COMPUTED_VALUE"""),"BOGOTÁ")</f>
        <v>BOGOTÁ</v>
      </c>
      <c r="E9135" s="15" t="str">
        <f>IFERROR(__xludf.DUMMYFUNCTION("""COMPUTED_VALUE"""),"LINA PAOLA RAMIREZ GOMEZ - EVA MAZZITA")</f>
        <v>LINA PAOLA RAMIREZ GOMEZ - EVA MAZZITA</v>
      </c>
      <c r="F9135" s="17" t="str">
        <f>IFERROR(__xludf.DUMMYFUNCTION("""COMPUTED_VALUE"""),"Condominio mediterrane / conjunto la toscana casa 40 Floridablanca santander")</f>
        <v>Condominio mediterrane / conjunto la toscana casa 40 Floridablanca santander</v>
      </c>
      <c r="G9135" s="15" t="str">
        <f>IFERROR(__xludf.DUMMYFUNCTION("""COMPUTED_VALUE"""),"ANA MARIA BAEZ")</f>
        <v>ANA MARIA BAEZ</v>
      </c>
      <c r="H9135" s="16">
        <f>IFERROR(__xludf.DUMMYFUNCTION("""COMPUTED_VALUE"""),17829.0)</f>
        <v>17829</v>
      </c>
      <c r="I9135" s="17"/>
      <c r="J9135" s="17"/>
      <c r="K9135" s="17"/>
      <c r="L9135" s="17">
        <f>IFERROR(__xludf.DUMMYFUNCTION("""COMPUTED_VALUE"""),3.176769662E9)</f>
        <v>3176769662</v>
      </c>
      <c r="M9135" s="17"/>
      <c r="N9135" s="17"/>
      <c r="O9135" s="17"/>
      <c r="P9135" s="17" t="b">
        <f>IFERROR(__xludf.DUMMYFUNCTION("""COMPUTED_VALUE"""),FALSE)</f>
        <v>0</v>
      </c>
      <c r="Q9135" s="20" t="str">
        <f>IFERROR(__xludf.DUMMYFUNCTION("""COMPUTED_VALUE"""),"")</f>
        <v/>
      </c>
      <c r="R9135" s="21" t="str">
        <f>IFERROR(__xludf.DUMMYFUNCTION("""COMPUTED_VALUE"""),"https://drive.google.com/file/d/1HILMIpvgsqO3QeiE0xKbUaaT-_vUpOoe/view?usp=drivesdk")</f>
        <v>https://drive.google.com/file/d/1HILMIpvgsqO3QeiE0xKbUaaT-_vUpOoe/view?usp=drivesdk</v>
      </c>
    </row>
    <row r="9136">
      <c r="A9136" s="15">
        <f>IFERROR(__xludf.DUMMYFUNCTION("""COMPUTED_VALUE"""),45260.0)</f>
        <v>45260</v>
      </c>
      <c r="B9136" s="17"/>
      <c r="C9136" s="15" t="str">
        <f>IFERROR(__xludf.DUMMYFUNCTION("""COMPUTED_VALUE"""),"BUCARAMANGA")</f>
        <v>BUCARAMANGA</v>
      </c>
      <c r="D9136" s="15" t="str">
        <f>IFERROR(__xludf.DUMMYFUNCTION("""COMPUTED_VALUE"""),"BOGOTÁ")</f>
        <v>BOGOTÁ</v>
      </c>
      <c r="E9136" s="15" t="str">
        <f>IFERROR(__xludf.DUMMYFUNCTION("""COMPUTED_VALUE"""),"LINA PAOLA RAMIREZ GOMEZ - EVA MAZZITA")</f>
        <v>LINA PAOLA RAMIREZ GOMEZ - EVA MAZZITA</v>
      </c>
      <c r="F9136" s="17" t="str">
        <f>IFERROR(__xludf.DUMMYFUNCTION("""COMPUTED_VALUE"""),"Cra 25#20-15 / apto 201 San Francisco")</f>
        <v>Cra 25#20-15 / apto 201 San Francisco</v>
      </c>
      <c r="G9136" s="15" t="str">
        <f>IFERROR(__xludf.DUMMYFUNCTION("""COMPUTED_VALUE"""),"CLAUDIA TIBAMOZA")</f>
        <v>CLAUDIA TIBAMOZA</v>
      </c>
      <c r="H9136" s="16">
        <f>IFERROR(__xludf.DUMMYFUNCTION("""COMPUTED_VALUE"""),17832.0)</f>
        <v>17832</v>
      </c>
      <c r="I9136" s="17"/>
      <c r="J9136" s="17"/>
      <c r="K9136" s="17"/>
      <c r="L9136" s="17">
        <f>IFERROR(__xludf.DUMMYFUNCTION("""COMPUTED_VALUE"""),3.166240312E9)</f>
        <v>3166240312</v>
      </c>
      <c r="M9136" s="17"/>
      <c r="N9136" s="17"/>
      <c r="O9136" s="17"/>
      <c r="P9136" s="17" t="b">
        <f>IFERROR(__xludf.DUMMYFUNCTION("""COMPUTED_VALUE"""),FALSE)</f>
        <v>0</v>
      </c>
      <c r="Q9136" s="20" t="str">
        <f>IFERROR(__xludf.DUMMYFUNCTION("""COMPUTED_VALUE"""),"")</f>
        <v/>
      </c>
      <c r="R9136" s="22" t="str">
        <f>IFERROR(__xludf.DUMMYFUNCTION("""COMPUTED_VALUE"""),"")</f>
        <v/>
      </c>
    </row>
    <row r="9137">
      <c r="A9137" s="17" t="str">
        <f>IFERROR(__xludf.DUMMYFUNCTION("""COMPUTED_VALUE"""),"")</f>
        <v/>
      </c>
      <c r="B9137" s="17" t="str">
        <f>IFERROR(__xludf.DUMMYFUNCTION("""COMPUTED_VALUE"""),"")</f>
        <v/>
      </c>
      <c r="C9137" s="17" t="str">
        <f>IFERROR(__xludf.DUMMYFUNCTION("""COMPUTED_VALUE"""),"")</f>
        <v/>
      </c>
      <c r="D9137" s="17" t="str">
        <f>IFERROR(__xludf.DUMMYFUNCTION("""COMPUTED_VALUE"""),"")</f>
        <v/>
      </c>
      <c r="E9137" s="17" t="str">
        <f>IFERROR(__xludf.DUMMYFUNCTION("""COMPUTED_VALUE"""),"")</f>
        <v/>
      </c>
      <c r="F9137" s="17" t="str">
        <f>IFERROR(__xludf.DUMMYFUNCTION("""COMPUTED_VALUE"""),"")</f>
        <v/>
      </c>
      <c r="G9137" s="17" t="str">
        <f>IFERROR(__xludf.DUMMYFUNCTION("""COMPUTED_VALUE"""),"")</f>
        <v/>
      </c>
      <c r="H9137" s="17" t="str">
        <f>IFERROR(__xludf.DUMMYFUNCTION("""COMPUTED_VALUE"""),"")</f>
        <v/>
      </c>
      <c r="I9137" s="17" t="str">
        <f>IFERROR(__xludf.DUMMYFUNCTION("""COMPUTED_VALUE"""),"")</f>
        <v/>
      </c>
      <c r="J9137" s="17" t="str">
        <f>IFERROR(__xludf.DUMMYFUNCTION("""COMPUTED_VALUE"""),"")</f>
        <v/>
      </c>
      <c r="K9137" s="17" t="str">
        <f>IFERROR(__xludf.DUMMYFUNCTION("""COMPUTED_VALUE"""),"")</f>
        <v/>
      </c>
      <c r="L9137" s="17" t="str">
        <f>IFERROR(__xludf.DUMMYFUNCTION("""COMPUTED_VALUE"""),"")</f>
        <v/>
      </c>
      <c r="M9137" s="17" t="str">
        <f>IFERROR(__xludf.DUMMYFUNCTION("""COMPUTED_VALUE"""),"")</f>
        <v/>
      </c>
      <c r="N9137" s="17" t="str">
        <f>IFERROR(__xludf.DUMMYFUNCTION("""COMPUTED_VALUE"""),"")</f>
        <v/>
      </c>
      <c r="O9137" s="17" t="str">
        <f>IFERROR(__xludf.DUMMYFUNCTION("""COMPUTED_VALUE"""),"")</f>
        <v/>
      </c>
      <c r="P9137" s="17" t="str">
        <f>IFERROR(__xludf.DUMMYFUNCTION("""COMPUTED_VALUE"""),"")</f>
        <v/>
      </c>
      <c r="Q9137" s="17" t="str">
        <f>IFERROR(__xludf.DUMMYFUNCTION("""COMPUTED_VALUE"""),"")</f>
        <v/>
      </c>
      <c r="R9137" s="17" t="str">
        <f>IFERROR(__xludf.DUMMYFUNCTION("""COMPUTED_VALUE"""),"")</f>
        <v/>
      </c>
    </row>
    <row r="9138">
      <c r="A9138" s="15">
        <f>IFERROR(__xludf.DUMMYFUNCTION("""COMPUTED_VALUE"""),45260.0)</f>
        <v>45260</v>
      </c>
      <c r="B9138" s="16" t="str">
        <f>IFERROR(__xludf.DUMMYFUNCTION("""COMPUTED_VALUE"""),"Daniel José sandoval gonzalez")</f>
        <v>Daniel José sandoval gonzalez</v>
      </c>
      <c r="C9138" s="15" t="str">
        <f>IFERROR(__xludf.DUMMYFUNCTION("""COMPUTED_VALUE"""),"BARRANQUILLA")</f>
        <v>BARRANQUILLA</v>
      </c>
      <c r="D9138" s="15" t="str">
        <f>IFERROR(__xludf.DUMMYFUNCTION("""COMPUTED_VALUE"""),"BOGOTÁ")</f>
        <v>BOGOTÁ</v>
      </c>
      <c r="E9138" s="15" t="str">
        <f>IFERROR(__xludf.DUMMYFUNCTION("""COMPUTED_VALUE"""),"Athenas")</f>
        <v>Athenas</v>
      </c>
      <c r="F9138" s="17" t="str">
        <f>IFERROR(__xludf.DUMMYFUNCTION("""COMPUTED_VALUE"""),"CARRERA 43 #99-50 PISO 3 CENTRO COMERCIAL MIRAMAR / BODYTECH - CAFETERIA / MIRAMAR")</f>
        <v>CARRERA 43 #99-50 PISO 3 CENTRO COMERCIAL MIRAMAR / BODYTECH - CAFETERIA / MIRAMAR</v>
      </c>
      <c r="G9138" s="15" t="str">
        <f>IFERROR(__xludf.DUMMYFUNCTION("""COMPUTED_VALUE"""),"ADRIANA CASTRO")</f>
        <v>ADRIANA CASTRO</v>
      </c>
      <c r="H9138" s="16">
        <f>IFERROR(__xludf.DUMMYFUNCTION("""COMPUTED_VALUE"""),17780.0)</f>
        <v>17780</v>
      </c>
      <c r="I9138" s="18">
        <f>IFERROR(__xludf.DUMMYFUNCTION("""COMPUTED_VALUE"""),52.5)</f>
        <v>52.5</v>
      </c>
      <c r="J9138" s="18">
        <f>IFERROR(__xludf.DUMMYFUNCTION("""COMPUTED_VALUE"""),55.0)</f>
        <v>55</v>
      </c>
      <c r="K9138" s="18">
        <f>IFERROR(__xludf.DUMMYFUNCTION("""COMPUTED_VALUE"""),45.0)</f>
        <v>45</v>
      </c>
      <c r="L9138" s="17">
        <f>IFERROR(__xludf.DUMMYFUNCTION("""COMPUTED_VALUE"""),3.104011367E9)</f>
        <v>3104011367</v>
      </c>
      <c r="M9138" s="17"/>
      <c r="N9138" s="17"/>
      <c r="O9138" s="17"/>
      <c r="P9138" s="17" t="b">
        <f>IFERROR(__xludf.DUMMYFUNCTION("""COMPUTED_VALUE"""),FALSE)</f>
        <v>0</v>
      </c>
      <c r="Q9138" s="20" t="str">
        <f>IFERROR(__xludf.DUMMYFUNCTION("""COMPUTED_VALUE"""),"")</f>
        <v/>
      </c>
      <c r="R9138" s="21" t="str">
        <f>IFERROR(__xludf.DUMMYFUNCTION("""COMPUTED_VALUE"""),"https://drive.google.com/file/d/1HgdgwVBc6PZt6fKPLPqXUS5SyMobCdpi/view?usp=drivesdk")</f>
        <v>https://drive.google.com/file/d/1HgdgwVBc6PZt6fKPLPqXUS5SyMobCdpi/view?usp=drivesdk</v>
      </c>
    </row>
    <row r="9139">
      <c r="A9139" s="15">
        <f>IFERROR(__xludf.DUMMYFUNCTION("""COMPUTED_VALUE"""),45260.0)</f>
        <v>45260</v>
      </c>
      <c r="B9139" s="16" t="str">
        <f>IFERROR(__xludf.DUMMYFUNCTION("""COMPUTED_VALUE"""),"Daniel José sandoval gonzalez")</f>
        <v>Daniel José sandoval gonzalez</v>
      </c>
      <c r="C9139" s="15" t="str">
        <f>IFERROR(__xludf.DUMMYFUNCTION("""COMPUTED_VALUE"""),"BARRANQUILLA")</f>
        <v>BARRANQUILLA</v>
      </c>
      <c r="D9139" s="15" t="str">
        <f>IFERROR(__xludf.DUMMYFUNCTION("""COMPUTED_VALUE"""),"BOGOTÁ")</f>
        <v>BOGOTÁ</v>
      </c>
      <c r="E9139" s="15" t="str">
        <f>IFERROR(__xludf.DUMMYFUNCTION("""COMPUTED_VALUE"""),"Instinto alimento vital")</f>
        <v>Instinto alimento vital</v>
      </c>
      <c r="F9139" s="17" t="str">
        <f>IFERROR(__xludf.DUMMYFUNCTION("""COMPUTED_VALUE"""),"CRA 64 # 99-100 / TORRE 2 APTO 622")</f>
        <v>CRA 64 # 99-100 / TORRE 2 APTO 622</v>
      </c>
      <c r="G9139" s="15" t="str">
        <f>IFERROR(__xludf.DUMMYFUNCTION("""COMPUTED_VALUE"""),"SILVIA DEL PILAR RUIZ PINO")</f>
        <v>SILVIA DEL PILAR RUIZ PINO</v>
      </c>
      <c r="H9139" s="16">
        <f>IFERROR(__xludf.DUMMYFUNCTION("""COMPUTED_VALUE"""),17796.0)</f>
        <v>17796</v>
      </c>
      <c r="I9139" s="17"/>
      <c r="J9139" s="17"/>
      <c r="K9139" s="17"/>
      <c r="L9139" s="17">
        <f>IFERROR(__xludf.DUMMYFUNCTION("""COMPUTED_VALUE"""),3.102552967E9)</f>
        <v>3102552967</v>
      </c>
      <c r="M9139" s="17"/>
      <c r="N9139" s="17"/>
      <c r="O9139" s="17"/>
      <c r="P9139" s="17" t="b">
        <f>IFERROR(__xludf.DUMMYFUNCTION("""COMPUTED_VALUE"""),FALSE)</f>
        <v>0</v>
      </c>
      <c r="Q9139" s="20" t="str">
        <f>IFERROR(__xludf.DUMMYFUNCTION("""COMPUTED_VALUE"""),"")</f>
        <v/>
      </c>
      <c r="R9139" s="21" t="str">
        <f>IFERROR(__xludf.DUMMYFUNCTION("""COMPUTED_VALUE"""),"https://drive.google.com/file/d/1nOm09QmDq4BJsEP0cliFwoAhP-HcN8BW/view?usp=drivesdk")</f>
        <v>https://drive.google.com/file/d/1nOm09QmDq4BJsEP0cliFwoAhP-HcN8BW/view?usp=drivesdk</v>
      </c>
    </row>
    <row r="9140">
      <c r="A9140" s="15">
        <f>IFERROR(__xludf.DUMMYFUNCTION("""COMPUTED_VALUE"""),45260.0)</f>
        <v>45260</v>
      </c>
      <c r="B9140" s="16" t="str">
        <f>IFERROR(__xludf.DUMMYFUNCTION("""COMPUTED_VALUE"""),"Daniel José sandoval gonzalez")</f>
        <v>Daniel José sandoval gonzalez</v>
      </c>
      <c r="C9140" s="15" t="str">
        <f>IFERROR(__xludf.DUMMYFUNCTION("""COMPUTED_VALUE"""),"BARRANQUILLA")</f>
        <v>BARRANQUILLA</v>
      </c>
      <c r="D9140" s="15" t="str">
        <f>IFERROR(__xludf.DUMMYFUNCTION("""COMPUTED_VALUE"""),"BOGOTÁ")</f>
        <v>BOGOTÁ</v>
      </c>
      <c r="E9140" s="15" t="str">
        <f>IFERROR(__xludf.DUMMYFUNCTION("""COMPUTED_VALUE"""),"MAI ALIMENTOS REALES")</f>
        <v>MAI ALIMENTOS REALES</v>
      </c>
      <c r="F9140" s="17" t="str">
        <f>IFERROR(__xludf.DUMMYFUNCTION("""COMPUTED_VALUE"""),"Calle 110 # 6 – 335 / Bod. M10 - M11 Centro Industrial Metroparque")</f>
        <v>Calle 110 # 6 – 335 / Bod. M10 - M11 Centro Industrial Metroparque</v>
      </c>
      <c r="G9140" s="15" t="str">
        <f>IFERROR(__xludf.DUMMYFUNCTION("""COMPUTED_VALUE"""),"NOVAVENTAS BARRANQUILLA")</f>
        <v>NOVAVENTAS BARRANQUILLA</v>
      </c>
      <c r="H9140" s="16">
        <f>IFERROR(__xludf.DUMMYFUNCTION("""COMPUTED_VALUE"""),17715.0)</f>
        <v>17715</v>
      </c>
      <c r="I9140" s="17"/>
      <c r="J9140" s="17"/>
      <c r="K9140" s="17"/>
      <c r="L9140" s="17"/>
      <c r="M9140" s="17"/>
      <c r="N9140" s="17"/>
      <c r="O9140" s="17"/>
      <c r="P9140" s="17" t="b">
        <f>IFERROR(__xludf.DUMMYFUNCTION("""COMPUTED_VALUE"""),FALSE)</f>
        <v>0</v>
      </c>
      <c r="Q9140" s="20" t="str">
        <f>IFERROR(__xludf.DUMMYFUNCTION("""COMPUTED_VALUE"""),"")</f>
        <v/>
      </c>
      <c r="R9140" s="21" t="str">
        <f>IFERROR(__xludf.DUMMYFUNCTION("""COMPUTED_VALUE"""),"https://drive.google.com/file/d/1VUrTOsfYCced5-WpjBInT94aZ69z6kke/view?usp=drivesdk")</f>
        <v>https://drive.google.com/file/d/1VUrTOsfYCced5-WpjBInT94aZ69z6kke/view?usp=drivesdk</v>
      </c>
    </row>
    <row r="9141">
      <c r="A9141" s="15">
        <f>IFERROR(__xludf.DUMMYFUNCTION("""COMPUTED_VALUE"""),45260.0)</f>
        <v>45260</v>
      </c>
      <c r="B9141" s="16" t="str">
        <f>IFERROR(__xludf.DUMMYFUNCTION("""COMPUTED_VALUE"""),"Daniel José sandoval gonzalez")</f>
        <v>Daniel José sandoval gonzalez</v>
      </c>
      <c r="C9141" s="15" t="str">
        <f>IFERROR(__xludf.DUMMYFUNCTION("""COMPUTED_VALUE"""),"BARRANQUILLA")</f>
        <v>BARRANQUILLA</v>
      </c>
      <c r="D9141" s="15" t="str">
        <f>IFERROR(__xludf.DUMMYFUNCTION("""COMPUTED_VALUE"""),"BOGOTÁ")</f>
        <v>BOGOTÁ</v>
      </c>
      <c r="E9141" s="15" t="str">
        <f>IFERROR(__xludf.DUMMYFUNCTION("""COMPUTED_VALUE"""),"Premium Choice")</f>
        <v>Premium Choice</v>
      </c>
      <c r="F9141" s="17" t="str">
        <f>IFERROR(__xludf.DUMMYFUNCTION("""COMPUTED_VALUE"""),"Carrera 59c # 81 - 12  / Panadería  / Barranquilla")</f>
        <v>Carrera 59c # 81 - 12  / Panadería  / Barranquilla</v>
      </c>
      <c r="G9141" s="15" t="str">
        <f>IFERROR(__xludf.DUMMYFUNCTION("""COMPUTED_VALUE"""),"Planificadora la baguette  panadería la baguete")</f>
        <v>Planificadora la baguette  panadería la baguete</v>
      </c>
      <c r="H9141" s="16">
        <f>IFERROR(__xludf.DUMMYFUNCTION("""COMPUTED_VALUE"""),17766.0)</f>
        <v>17766</v>
      </c>
      <c r="I9141" s="18">
        <f>IFERROR(__xludf.DUMMYFUNCTION("""COMPUTED_VALUE"""),20.0)</f>
        <v>20</v>
      </c>
      <c r="J9141" s="18">
        <f>IFERROR(__xludf.DUMMYFUNCTION("""COMPUTED_VALUE"""),32.0)</f>
        <v>32</v>
      </c>
      <c r="K9141" s="18">
        <f>IFERROR(__xludf.DUMMYFUNCTION("""COMPUTED_VALUE"""),28.0)</f>
        <v>28</v>
      </c>
      <c r="L9141" s="17">
        <f>IFERROR(__xludf.DUMMYFUNCTION("""COMPUTED_VALUE"""),3.102170998E9)</f>
        <v>3102170998</v>
      </c>
      <c r="M9141" s="17"/>
      <c r="N9141" s="17"/>
      <c r="O9141" s="17"/>
      <c r="P9141" s="17" t="b">
        <f>IFERROR(__xludf.DUMMYFUNCTION("""COMPUTED_VALUE"""),FALSE)</f>
        <v>0</v>
      </c>
      <c r="Q9141" s="20" t="str">
        <f>IFERROR(__xludf.DUMMYFUNCTION("""COMPUTED_VALUE"""),"")</f>
        <v/>
      </c>
      <c r="R9141" s="21" t="str">
        <f>IFERROR(__xludf.DUMMYFUNCTION("""COMPUTED_VALUE"""),"https://drive.google.com/file/d/1NEYNgYJBDYLuZVjGtne-MIdLD-0Spzky/view?usp=drivesdk")</f>
        <v>https://drive.google.com/file/d/1NEYNgYJBDYLuZVjGtne-MIdLD-0Spzky/view?usp=drivesdk</v>
      </c>
    </row>
    <row r="9142">
      <c r="A9142" s="15">
        <f>IFERROR(__xludf.DUMMYFUNCTION("""COMPUTED_VALUE"""),45260.0)</f>
        <v>45260</v>
      </c>
      <c r="B9142" s="16" t="str">
        <f>IFERROR(__xludf.DUMMYFUNCTION("""COMPUTED_VALUE"""),"Daniel José sandoval gonzalez")</f>
        <v>Daniel José sandoval gonzalez</v>
      </c>
      <c r="C9142" s="15" t="str">
        <f>IFERROR(__xludf.DUMMYFUNCTION("""COMPUTED_VALUE"""),"BARRANQUILLA")</f>
        <v>BARRANQUILLA</v>
      </c>
      <c r="D9142" s="15" t="str">
        <f>IFERROR(__xludf.DUMMYFUNCTION("""COMPUTED_VALUE"""),"BOGOTÁ")</f>
        <v>BOGOTÁ</v>
      </c>
      <c r="E9142" s="15" t="str">
        <f>IFERROR(__xludf.DUMMYFUNCTION("""COMPUTED_VALUE"""),"Top Spun")</f>
        <v>Top Spun</v>
      </c>
      <c r="F9142" s="17" t="str">
        <f>IFERROR(__xludf.DUMMYFUNCTION("""COMPUTED_VALUE"""),"Cra 55 # 82-227. / Edificio OM CLUB apto1604 / Barranquilla")</f>
        <v>Cra 55 # 82-227. / Edificio OM CLUB apto1604 / Barranquilla</v>
      </c>
      <c r="G9142" s="15" t="str">
        <f>IFERROR(__xludf.DUMMYFUNCTION("""COMPUTED_VALUE"""),"Maria Carolina Molinares Celedon")</f>
        <v>Maria Carolina Molinares Celedon</v>
      </c>
      <c r="H9142" s="16">
        <f>IFERROR(__xludf.DUMMYFUNCTION("""COMPUTED_VALUE"""),17865.0)</f>
        <v>17865</v>
      </c>
      <c r="I9142" s="18">
        <f>IFERROR(__xludf.DUMMYFUNCTION("""COMPUTED_VALUE"""),20.0)</f>
        <v>20</v>
      </c>
      <c r="J9142" s="18">
        <f>IFERROR(__xludf.DUMMYFUNCTION("""COMPUTED_VALUE"""),10.0)</f>
        <v>10</v>
      </c>
      <c r="K9142" s="18">
        <f>IFERROR(__xludf.DUMMYFUNCTION("""COMPUTED_VALUE"""),40.0)</f>
        <v>40</v>
      </c>
      <c r="L9142" s="17">
        <f>IFERROR(__xludf.DUMMYFUNCTION("""COMPUTED_VALUE"""),3.157862604E9)</f>
        <v>3157862604</v>
      </c>
      <c r="M9142" s="17"/>
      <c r="N9142" s="17"/>
      <c r="O9142" s="17"/>
      <c r="P9142" s="17" t="b">
        <f>IFERROR(__xludf.DUMMYFUNCTION("""COMPUTED_VALUE"""),FALSE)</f>
        <v>0</v>
      </c>
      <c r="Q9142" s="20" t="str">
        <f>IFERROR(__xludf.DUMMYFUNCTION("""COMPUTED_VALUE"""),"")</f>
        <v/>
      </c>
      <c r="R9142" s="21" t="str">
        <f>IFERROR(__xludf.DUMMYFUNCTION("""COMPUTED_VALUE"""),"https://drive.google.com/file/d/1xQJsRnGP1v1JcoHgG0G25NI3PduzChhV/view?usp=drivesdk")</f>
        <v>https://drive.google.com/file/d/1xQJsRnGP1v1JcoHgG0G25NI3PduzChhV/view?usp=drivesdk</v>
      </c>
    </row>
    <row r="9143">
      <c r="A9143" s="15">
        <f>IFERROR(__xludf.DUMMYFUNCTION("""COMPUTED_VALUE"""),45260.0)</f>
        <v>45260</v>
      </c>
      <c r="B9143" s="16" t="str">
        <f>IFERROR(__xludf.DUMMYFUNCTION("""COMPUTED_VALUE"""),"Daniel José sandoval gonzalez")</f>
        <v>Daniel José sandoval gonzalez</v>
      </c>
      <c r="C9143" s="15" t="str">
        <f>IFERROR(__xludf.DUMMYFUNCTION("""COMPUTED_VALUE"""),"BARRANQUILLA")</f>
        <v>BARRANQUILLA</v>
      </c>
      <c r="D9143" s="15" t="str">
        <f>IFERROR(__xludf.DUMMYFUNCTION("""COMPUTED_VALUE"""),"BOGOTÁ")</f>
        <v>BOGOTÁ</v>
      </c>
      <c r="E9143" s="15" t="str">
        <f>IFERROR(__xludf.DUMMYFUNCTION("""COMPUTED_VALUE"""),"Top Spun")</f>
        <v>Top Spun</v>
      </c>
      <c r="F9143" s="17" t="str">
        <f>IFERROR(__xludf.DUMMYFUNCTION("""COMPUTED_VALUE"""),"Cra 58 # 64 - 264  / Apt 4C / Barranquilla")</f>
        <v>Cra 58 # 64 - 264  / Apt 4C / Barranquilla</v>
      </c>
      <c r="G9143" s="15" t="str">
        <f>IFERROR(__xludf.DUMMYFUNCTION("""COMPUTED_VALUE"""),"Veronica Wunderlin")</f>
        <v>Veronica Wunderlin</v>
      </c>
      <c r="H9143" s="16">
        <f>IFERROR(__xludf.DUMMYFUNCTION("""COMPUTED_VALUE"""),17866.0)</f>
        <v>17866</v>
      </c>
      <c r="I9143" s="18">
        <f>IFERROR(__xludf.DUMMYFUNCTION("""COMPUTED_VALUE"""),20.0)</f>
        <v>20</v>
      </c>
      <c r="J9143" s="18">
        <f>IFERROR(__xludf.DUMMYFUNCTION("""COMPUTED_VALUE"""),10.0)</f>
        <v>10</v>
      </c>
      <c r="K9143" s="18">
        <f>IFERROR(__xludf.DUMMYFUNCTION("""COMPUTED_VALUE"""),40.0)</f>
        <v>40</v>
      </c>
      <c r="L9143" s="17">
        <f>IFERROR(__xludf.DUMMYFUNCTION("""COMPUTED_VALUE"""),3.147353292E9)</f>
        <v>3147353292</v>
      </c>
      <c r="M9143" s="17"/>
      <c r="N9143" s="17"/>
      <c r="O9143" s="17"/>
      <c r="P9143" s="17" t="b">
        <f>IFERROR(__xludf.DUMMYFUNCTION("""COMPUTED_VALUE"""),FALSE)</f>
        <v>0</v>
      </c>
      <c r="Q9143" s="20" t="str">
        <f>IFERROR(__xludf.DUMMYFUNCTION("""COMPUTED_VALUE"""),"")</f>
        <v/>
      </c>
      <c r="R9143" s="21" t="str">
        <f>IFERROR(__xludf.DUMMYFUNCTION("""COMPUTED_VALUE"""),"https://drive.google.com/file/d/1xX_3uDzIlxvx_YZMmXlBjNfwAAZBrtDR/view?usp=drivesdk")</f>
        <v>https://drive.google.com/file/d/1xX_3uDzIlxvx_YZMmXlBjNfwAAZBrtDR/view?usp=drivesdk</v>
      </c>
    </row>
    <row r="9144">
      <c r="A9144" s="15">
        <f>IFERROR(__xludf.DUMMYFUNCTION("""COMPUTED_VALUE"""),45260.0)</f>
        <v>45260</v>
      </c>
      <c r="B9144" s="16" t="str">
        <f>IFERROR(__xludf.DUMMYFUNCTION("""COMPUTED_VALUE"""),"Daniel José sandoval gonzalez")</f>
        <v>Daniel José sandoval gonzalez</v>
      </c>
      <c r="C9144" s="15" t="str">
        <f>IFERROR(__xludf.DUMMYFUNCTION("""COMPUTED_VALUE"""),"BARRANQUILLA")</f>
        <v>BARRANQUILLA</v>
      </c>
      <c r="D9144" s="15" t="str">
        <f>IFERROR(__xludf.DUMMYFUNCTION("""COMPUTED_VALUE"""),"BOGOTÁ")</f>
        <v>BOGOTÁ</v>
      </c>
      <c r="E9144" s="15" t="str">
        <f>IFERROR(__xludf.DUMMYFUNCTION("""COMPUTED_VALUE"""),"Top Spun")</f>
        <v>Top Spun</v>
      </c>
      <c r="F9144" s="17" t="str">
        <f>IFERROR(__xludf.DUMMYFUNCTION("""COMPUTED_VALUE"""),"Cra 59B # 84-100 / apto 1606 torre 3 / Duville")</f>
        <v>Cra 59B # 84-100 / apto 1606 torre 3 / Duville</v>
      </c>
      <c r="G9144" s="15" t="str">
        <f>IFERROR(__xludf.DUMMYFUNCTION("""COMPUTED_VALUE"""),"Daniella Tejada")</f>
        <v>Daniella Tejada</v>
      </c>
      <c r="H9144" s="16">
        <f>IFERROR(__xludf.DUMMYFUNCTION("""COMPUTED_VALUE"""),17867.0)</f>
        <v>17867</v>
      </c>
      <c r="I9144" s="18">
        <f>IFERROR(__xludf.DUMMYFUNCTION("""COMPUTED_VALUE"""),20.0)</f>
        <v>20</v>
      </c>
      <c r="J9144" s="18">
        <f>IFERROR(__xludf.DUMMYFUNCTION("""COMPUTED_VALUE"""),10.0)</f>
        <v>10</v>
      </c>
      <c r="K9144" s="18">
        <f>IFERROR(__xludf.DUMMYFUNCTION("""COMPUTED_VALUE"""),40.0)</f>
        <v>40</v>
      </c>
      <c r="L9144" s="17">
        <f>IFERROR(__xludf.DUMMYFUNCTION("""COMPUTED_VALUE"""),3.135830967E9)</f>
        <v>3135830967</v>
      </c>
      <c r="M9144" s="17"/>
      <c r="N9144" s="17"/>
      <c r="O9144" s="17"/>
      <c r="P9144" s="17" t="b">
        <f>IFERROR(__xludf.DUMMYFUNCTION("""COMPUTED_VALUE"""),FALSE)</f>
        <v>0</v>
      </c>
      <c r="Q9144" s="20" t="str">
        <f>IFERROR(__xludf.DUMMYFUNCTION("""COMPUTED_VALUE"""),"")</f>
        <v/>
      </c>
      <c r="R9144" s="21" t="str">
        <f>IFERROR(__xludf.DUMMYFUNCTION("""COMPUTED_VALUE"""),"https://drive.google.com/file/d/1EzYQQcuHd1jw1RWqZZVQoajJBMAA9Mkl/view?usp=drivesdk")</f>
        <v>https://drive.google.com/file/d/1EzYQQcuHd1jw1RWqZZVQoajJBMAA9Mkl/view?usp=drivesdk</v>
      </c>
    </row>
    <row r="9145">
      <c r="A9145" s="15">
        <f>IFERROR(__xludf.DUMMYFUNCTION("""COMPUTED_VALUE"""),45260.0)</f>
        <v>45260</v>
      </c>
      <c r="B9145" s="16" t="str">
        <f>IFERROR(__xludf.DUMMYFUNCTION("""COMPUTED_VALUE"""),"Daniel José sandoval gonzalez")</f>
        <v>Daniel José sandoval gonzalez</v>
      </c>
      <c r="C9145" s="15" t="str">
        <f>IFERROR(__xludf.DUMMYFUNCTION("""COMPUTED_VALUE"""),"MEDELLÍN")</f>
        <v>MEDELLÍN</v>
      </c>
      <c r="D9145" s="15" t="str">
        <f>IFERROR(__xludf.DUMMYFUNCTION("""COMPUTED_VALUE"""),"BOGOTÁ")</f>
        <v>BOGOTÁ</v>
      </c>
      <c r="E9145" s="15" t="str">
        <f>IFERROR(__xludf.DUMMYFUNCTION("""COMPUTED_VALUE"""),"INVERSIONES MOCHI")</f>
        <v>INVERSIONES MOCHI</v>
      </c>
      <c r="F9145" s="17" t="str">
        <f>IFERROR(__xludf.DUMMYFUNCTION("""COMPUTED_VALUE"""),"CRA 48 #32B SUR-139 ZONA 1 / CENTRO COMERCIAL VIVA ENVIGADO")</f>
        <v>CRA 48 #32B SUR-139 ZONA 1 / CENTRO COMERCIAL VIVA ENVIGADO</v>
      </c>
      <c r="G9145" s="15" t="str">
        <f>IFERROR(__xludf.DUMMYFUNCTION("""COMPUTED_VALUE"""),"CENTRO COMERCIAL VIVA ENVIGADO")</f>
        <v>CENTRO COMERCIAL VIVA ENVIGADO</v>
      </c>
      <c r="H9145" s="16">
        <f>IFERROR(__xludf.DUMMYFUNCTION("""COMPUTED_VALUE"""),17830.0)</f>
        <v>17830</v>
      </c>
      <c r="I9145" s="17"/>
      <c r="J9145" s="17"/>
      <c r="K9145" s="17"/>
      <c r="L9145" s="17">
        <f>IFERROR(__xludf.DUMMYFUNCTION("""COMPUTED_VALUE"""),3.142587995E9)</f>
        <v>3142587995</v>
      </c>
      <c r="M9145" s="17"/>
      <c r="N9145" s="17"/>
      <c r="O9145" s="17"/>
      <c r="P9145" s="17" t="b">
        <f>IFERROR(__xludf.DUMMYFUNCTION("""COMPUTED_VALUE"""),FALSE)</f>
        <v>0</v>
      </c>
      <c r="Q9145" s="20" t="str">
        <f>IFERROR(__xludf.DUMMYFUNCTION("""COMPUTED_VALUE"""),"")</f>
        <v/>
      </c>
      <c r="R9145" s="21" t="str">
        <f>IFERROR(__xludf.DUMMYFUNCTION("""COMPUTED_VALUE"""),"https://drive.google.com/file/d/1k_jBf7irf_3_biaMgqwdKmSGPEdQ61IG/view?usp=drivesdk")</f>
        <v>https://drive.google.com/file/d/1k_jBf7irf_3_biaMgqwdKmSGPEdQ61IG/view?usp=drivesdk</v>
      </c>
    </row>
    <row r="9146">
      <c r="A9146" s="17" t="str">
        <f>IFERROR(__xludf.DUMMYFUNCTION("""COMPUTED_VALUE"""),"")</f>
        <v/>
      </c>
      <c r="B9146" s="17" t="str">
        <f>IFERROR(__xludf.DUMMYFUNCTION("""COMPUTED_VALUE"""),"")</f>
        <v/>
      </c>
      <c r="C9146" s="17" t="str">
        <f>IFERROR(__xludf.DUMMYFUNCTION("""COMPUTED_VALUE"""),"")</f>
        <v/>
      </c>
      <c r="D9146" s="17" t="str">
        <f>IFERROR(__xludf.DUMMYFUNCTION("""COMPUTED_VALUE"""),"")</f>
        <v/>
      </c>
      <c r="E9146" s="17" t="str">
        <f>IFERROR(__xludf.DUMMYFUNCTION("""COMPUTED_VALUE"""),"")</f>
        <v/>
      </c>
      <c r="F9146" s="17" t="str">
        <f>IFERROR(__xludf.DUMMYFUNCTION("""COMPUTED_VALUE"""),"")</f>
        <v/>
      </c>
      <c r="G9146" s="17" t="str">
        <f>IFERROR(__xludf.DUMMYFUNCTION("""COMPUTED_VALUE"""),"")</f>
        <v/>
      </c>
      <c r="H9146" s="17" t="str">
        <f>IFERROR(__xludf.DUMMYFUNCTION("""COMPUTED_VALUE"""),"")</f>
        <v/>
      </c>
      <c r="I9146" s="17" t="str">
        <f>IFERROR(__xludf.DUMMYFUNCTION("""COMPUTED_VALUE"""),"")</f>
        <v/>
      </c>
      <c r="J9146" s="17" t="str">
        <f>IFERROR(__xludf.DUMMYFUNCTION("""COMPUTED_VALUE"""),"")</f>
        <v/>
      </c>
      <c r="K9146" s="17" t="str">
        <f>IFERROR(__xludf.DUMMYFUNCTION("""COMPUTED_VALUE"""),"")</f>
        <v/>
      </c>
      <c r="L9146" s="17" t="str">
        <f>IFERROR(__xludf.DUMMYFUNCTION("""COMPUTED_VALUE"""),"")</f>
        <v/>
      </c>
      <c r="M9146" s="17" t="str">
        <f>IFERROR(__xludf.DUMMYFUNCTION("""COMPUTED_VALUE"""),"")</f>
        <v/>
      </c>
      <c r="N9146" s="17" t="str">
        <f>IFERROR(__xludf.DUMMYFUNCTION("""COMPUTED_VALUE"""),"")</f>
        <v/>
      </c>
      <c r="O9146" s="17" t="str">
        <f>IFERROR(__xludf.DUMMYFUNCTION("""COMPUTED_VALUE"""),"")</f>
        <v/>
      </c>
      <c r="P9146" s="17" t="str">
        <f>IFERROR(__xludf.DUMMYFUNCTION("""COMPUTED_VALUE"""),"")</f>
        <v/>
      </c>
      <c r="Q9146" s="17" t="str">
        <f>IFERROR(__xludf.DUMMYFUNCTION("""COMPUTED_VALUE"""),"")</f>
        <v/>
      </c>
      <c r="R9146" s="17" t="str">
        <f>IFERROR(__xludf.DUMMYFUNCTION("""COMPUTED_VALUE"""),"")</f>
        <v/>
      </c>
    </row>
    <row r="9147">
      <c r="A9147" s="15">
        <f>IFERROR(__xludf.DUMMYFUNCTION("""COMPUTED_VALUE"""),45260.0)</f>
        <v>45260</v>
      </c>
      <c r="B9147" s="16" t="str">
        <f>IFERROR(__xludf.DUMMYFUNCTION("""COMPUTED_VALUE"""),"David Sanmartin Bello")</f>
        <v>David Sanmartin Bello</v>
      </c>
      <c r="C9147" s="15" t="str">
        <f>IFERROR(__xludf.DUMMYFUNCTION("""COMPUTED_VALUE"""),"CARTAGENA")</f>
        <v>CARTAGENA</v>
      </c>
      <c r="D9147" s="15" t="str">
        <f>IFERROR(__xludf.DUMMYFUNCTION("""COMPUTED_VALUE"""),"BOGOTÁ")</f>
        <v>BOGOTÁ</v>
      </c>
      <c r="E9147" s="15" t="str">
        <f>IFERROR(__xludf.DUMMYFUNCTION("""COMPUTED_VALUE"""),"Premium Choice")</f>
        <v>Premium Choice</v>
      </c>
      <c r="F9147" s="17" t="str">
        <f>IFERROR(__xludf.DUMMYFUNCTION("""COMPUTED_VALUE"""),"Calle del torno 39 - 29 barrio San Diego  / Hotel Santa Clara  / Boda karen y benedict")</f>
        <v>Calle del torno 39 - 29 barrio San Diego  / Hotel Santa Clara  / Boda karen y benedict</v>
      </c>
      <c r="G9147" s="15" t="str">
        <f>IFERROR(__xludf.DUMMYFUNCTION("""COMPUTED_VALUE"""),"Juan Pablo Estrada")</f>
        <v>Juan Pablo Estrada</v>
      </c>
      <c r="H9147" s="16">
        <f>IFERROR(__xludf.DUMMYFUNCTION("""COMPUTED_VALUE"""),17811.0)</f>
        <v>17811</v>
      </c>
      <c r="I9147" s="18">
        <f>IFERROR(__xludf.DUMMYFUNCTION("""COMPUTED_VALUE"""),5.0)</f>
        <v>5</v>
      </c>
      <c r="J9147" s="18">
        <f>IFERROR(__xludf.DUMMYFUNCTION("""COMPUTED_VALUE"""),5.0)</f>
        <v>5</v>
      </c>
      <c r="K9147" s="18">
        <f>IFERROR(__xludf.DUMMYFUNCTION("""COMPUTED_VALUE"""),5.0)</f>
        <v>5</v>
      </c>
      <c r="L9147" s="17">
        <f>IFERROR(__xludf.DUMMYFUNCTION("""COMPUTED_VALUE"""),3.104819355E9)</f>
        <v>3104819355</v>
      </c>
      <c r="M9147" s="17"/>
      <c r="N9147" s="17"/>
      <c r="O9147" s="17"/>
      <c r="P9147" s="17" t="b">
        <f>IFERROR(__xludf.DUMMYFUNCTION("""COMPUTED_VALUE"""),FALSE)</f>
        <v>0</v>
      </c>
      <c r="Q9147" s="20" t="str">
        <f>IFERROR(__xludf.DUMMYFUNCTION("""COMPUTED_VALUE"""),"")</f>
        <v/>
      </c>
      <c r="R9147" s="21" t="str">
        <f>IFERROR(__xludf.DUMMYFUNCTION("""COMPUTED_VALUE"""),"https://drive.google.com/file/d/1ByWUEtT5IPkMWpvq4KQVqtJvJ5nQ2Fxx/view?usp=drivesdk")</f>
        <v>https://drive.google.com/file/d/1ByWUEtT5IPkMWpvq4KQVqtJvJ5nQ2Fxx/view?usp=drivesdk</v>
      </c>
    </row>
    <row r="9148">
      <c r="A9148" s="15">
        <f>IFERROR(__xludf.DUMMYFUNCTION("""COMPUTED_VALUE"""),45260.0)</f>
        <v>45260</v>
      </c>
      <c r="B9148" s="16" t="str">
        <f>IFERROR(__xludf.DUMMYFUNCTION("""COMPUTED_VALUE"""),"David Sanmartin Bello")</f>
        <v>David Sanmartin Bello</v>
      </c>
      <c r="C9148" s="15" t="str">
        <f>IFERROR(__xludf.DUMMYFUNCTION("""COMPUTED_VALUE"""),"CARTAGENA")</f>
        <v>CARTAGENA</v>
      </c>
      <c r="D9148" s="15" t="str">
        <f>IFERROR(__xludf.DUMMYFUNCTION("""COMPUTED_VALUE"""),"ENVIGADO")</f>
        <v>ENVIGADO</v>
      </c>
      <c r="E9148" s="15" t="str">
        <f>IFERROR(__xludf.DUMMYFUNCTION("""COMPUTED_VALUE"""),"JUAN CAMILO CORDOBA")</f>
        <v>JUAN CAMILO CORDOBA</v>
      </c>
      <c r="F9148" s="17" t="str">
        <f>IFERROR(__xludf.DUMMYFUNCTION("""COMPUTED_VALUE"""),"Calle 6 #20 / CC LA ESTANCIA LC 1 10")</f>
        <v>Calle 6 #20 / CC LA ESTANCIA LC 1 10</v>
      </c>
      <c r="G9148" s="15" t="str">
        <f>IFERROR(__xludf.DUMMYFUNCTION("""COMPUTED_VALUE"""),"Cocofit Mercado Saludable S.A.S")</f>
        <v>Cocofit Mercado Saludable S.A.S</v>
      </c>
      <c r="H9148" s="16">
        <f>IFERROR(__xludf.DUMMYFUNCTION("""COMPUTED_VALUE"""),17756.0)</f>
        <v>17756</v>
      </c>
      <c r="I9148" s="17"/>
      <c r="J9148" s="17"/>
      <c r="K9148" s="17"/>
      <c r="L9148" s="17">
        <f>IFERROR(__xludf.DUMMYFUNCTION("""COMPUTED_VALUE"""),3.135781119E9)</f>
        <v>3135781119</v>
      </c>
      <c r="M9148" s="17"/>
      <c r="N9148" s="17"/>
      <c r="O9148" s="17"/>
      <c r="P9148" s="17" t="b">
        <f>IFERROR(__xludf.DUMMYFUNCTION("""COMPUTED_VALUE"""),FALSE)</f>
        <v>0</v>
      </c>
      <c r="Q9148" s="20" t="str">
        <f>IFERROR(__xludf.DUMMYFUNCTION("""COMPUTED_VALUE"""),"")</f>
        <v/>
      </c>
      <c r="R9148" s="22" t="str">
        <f>IFERROR(__xludf.DUMMYFUNCTION("""COMPUTED_VALUE"""),"")</f>
        <v/>
      </c>
    </row>
    <row r="9149">
      <c r="A9149" s="17" t="str">
        <f>IFERROR(__xludf.DUMMYFUNCTION("""COMPUTED_VALUE"""),"")</f>
        <v/>
      </c>
      <c r="B9149" s="17" t="str">
        <f>IFERROR(__xludf.DUMMYFUNCTION("""COMPUTED_VALUE"""),"")</f>
        <v/>
      </c>
      <c r="C9149" s="17" t="str">
        <f>IFERROR(__xludf.DUMMYFUNCTION("""COMPUTED_VALUE"""),"")</f>
        <v/>
      </c>
      <c r="D9149" s="17" t="str">
        <f>IFERROR(__xludf.DUMMYFUNCTION("""COMPUTED_VALUE"""),"")</f>
        <v/>
      </c>
      <c r="E9149" s="17" t="str">
        <f>IFERROR(__xludf.DUMMYFUNCTION("""COMPUTED_VALUE"""),"")</f>
        <v/>
      </c>
      <c r="F9149" s="17" t="str">
        <f>IFERROR(__xludf.DUMMYFUNCTION("""COMPUTED_VALUE"""),"")</f>
        <v/>
      </c>
      <c r="G9149" s="17" t="str">
        <f>IFERROR(__xludf.DUMMYFUNCTION("""COMPUTED_VALUE"""),"")</f>
        <v/>
      </c>
      <c r="H9149" s="17" t="str">
        <f>IFERROR(__xludf.DUMMYFUNCTION("""COMPUTED_VALUE"""),"")</f>
        <v/>
      </c>
      <c r="I9149" s="17" t="str">
        <f>IFERROR(__xludf.DUMMYFUNCTION("""COMPUTED_VALUE"""),"")</f>
        <v/>
      </c>
      <c r="J9149" s="17" t="str">
        <f>IFERROR(__xludf.DUMMYFUNCTION("""COMPUTED_VALUE"""),"")</f>
        <v/>
      </c>
      <c r="K9149" s="17" t="str">
        <f>IFERROR(__xludf.DUMMYFUNCTION("""COMPUTED_VALUE"""),"")</f>
        <v/>
      </c>
      <c r="L9149" s="17" t="str">
        <f>IFERROR(__xludf.DUMMYFUNCTION("""COMPUTED_VALUE"""),"")</f>
        <v/>
      </c>
      <c r="M9149" s="17" t="str">
        <f>IFERROR(__xludf.DUMMYFUNCTION("""COMPUTED_VALUE"""),"")</f>
        <v/>
      </c>
      <c r="N9149" s="17" t="str">
        <f>IFERROR(__xludf.DUMMYFUNCTION("""COMPUTED_VALUE"""),"")</f>
        <v/>
      </c>
      <c r="O9149" s="17" t="str">
        <f>IFERROR(__xludf.DUMMYFUNCTION("""COMPUTED_VALUE"""),"")</f>
        <v/>
      </c>
      <c r="P9149" s="17" t="str">
        <f>IFERROR(__xludf.DUMMYFUNCTION("""COMPUTED_VALUE"""),"")</f>
        <v/>
      </c>
      <c r="Q9149" s="17" t="str">
        <f>IFERROR(__xludf.DUMMYFUNCTION("""COMPUTED_VALUE"""),"")</f>
        <v/>
      </c>
      <c r="R9149" s="17" t="str">
        <f>IFERROR(__xludf.DUMMYFUNCTION("""COMPUTED_VALUE"""),"")</f>
        <v/>
      </c>
    </row>
    <row r="9150">
      <c r="A9150" s="15">
        <f>IFERROR(__xludf.DUMMYFUNCTION("""COMPUTED_VALUE"""),45260.0)</f>
        <v>45260</v>
      </c>
      <c r="B9150" s="16" t="str">
        <f>IFERROR(__xludf.DUMMYFUNCTION("""COMPUTED_VALUE"""),"Envia")</f>
        <v>Envia</v>
      </c>
      <c r="C9150" s="15" t="str">
        <f>IFERROR(__xludf.DUMMYFUNCTION("""COMPUTED_VALUE"""),"BARRANQUILLA")</f>
        <v>BARRANQUILLA</v>
      </c>
      <c r="D9150" s="15" t="str">
        <f>IFERROR(__xludf.DUMMYFUNCTION("""COMPUTED_VALUE"""),"BOGOTÁ")</f>
        <v>BOGOTÁ</v>
      </c>
      <c r="E9150" s="15" t="str">
        <f>IFERROR(__xludf.DUMMYFUNCTION("""COMPUTED_VALUE"""),"LINA PAOLA RAMIREZ GOMEZ - EVA MAZZITA")</f>
        <v>LINA PAOLA RAMIREZ GOMEZ - EVA MAZZITA</v>
      </c>
      <c r="F9150" s="17" t="str">
        <f>IFERROR(__xludf.DUMMYFUNCTION("""COMPUTED_VALUE"""),"CARRERA 34 # 65 - 35 APTO. 1B / BARRIO RECREO")</f>
        <v>CARRERA 34 # 65 - 35 APTO. 1B / BARRIO RECREO</v>
      </c>
      <c r="G9150" s="15" t="str">
        <f>IFERROR(__xludf.DUMMYFUNCTION("""COMPUTED_VALUE"""),"ALEXANDRA VASQUEZ")</f>
        <v>ALEXANDRA VASQUEZ</v>
      </c>
      <c r="H9150" s="16">
        <f>IFERROR(__xludf.DUMMYFUNCTION("""COMPUTED_VALUE"""),17828.0)</f>
        <v>17828</v>
      </c>
      <c r="I9150" s="17"/>
      <c r="J9150" s="17"/>
      <c r="K9150" s="17"/>
      <c r="L9150" s="17">
        <f>IFERROR(__xludf.DUMMYFUNCTION("""COMPUTED_VALUE"""),3.014597718E9)</f>
        <v>3014597718</v>
      </c>
      <c r="M9150" s="17"/>
      <c r="N9150" s="17"/>
      <c r="O9150" s="17"/>
      <c r="P9150" s="17" t="b">
        <f>IFERROR(__xludf.DUMMYFUNCTION("""COMPUTED_VALUE"""),FALSE)</f>
        <v>0</v>
      </c>
      <c r="Q9150" s="20" t="str">
        <f>IFERROR(__xludf.DUMMYFUNCTION("""COMPUTED_VALUE"""),"")</f>
        <v/>
      </c>
      <c r="R9150" s="21" t="str">
        <f>IFERROR(__xludf.DUMMYFUNCTION("""COMPUTED_VALUE"""),"https://drive.google.com/file/d/19pGTGALKoYvHIJt4UoEMeode9dM-zwp_/view?usp=drivesdk")</f>
        <v>https://drive.google.com/file/d/19pGTGALKoYvHIJt4UoEMeode9dM-zwp_/view?usp=drivesdk</v>
      </c>
    </row>
    <row r="9151">
      <c r="A9151" s="15">
        <f>IFERROR(__xludf.DUMMYFUNCTION("""COMPUTED_VALUE"""),45260.0)</f>
        <v>45260</v>
      </c>
      <c r="B9151" s="16" t="str">
        <f>IFERROR(__xludf.DUMMYFUNCTION("""COMPUTED_VALUE"""),"Envia")</f>
        <v>Envia</v>
      </c>
      <c r="C9151" s="15" t="str">
        <f>IFERROR(__xludf.DUMMYFUNCTION("""COMPUTED_VALUE"""),"BARRANQUILLA")</f>
        <v>BARRANQUILLA</v>
      </c>
      <c r="D9151" s="15" t="str">
        <f>IFERROR(__xludf.DUMMYFUNCTION("""COMPUTED_VALUE"""),"BOGOTÁ")</f>
        <v>BOGOTÁ</v>
      </c>
      <c r="E9151" s="15" t="str">
        <f>IFERROR(__xludf.DUMMYFUNCTION("""COMPUTED_VALUE"""),"LINA PAOLA RAMIREZ GOMEZ - EVA MAZZITA")</f>
        <v>LINA PAOLA RAMIREZ GOMEZ - EVA MAZZITA</v>
      </c>
      <c r="F9151" s="17" t="str">
        <f>IFERROR(__xludf.DUMMYFUNCTION("""COMPUTED_VALUE"""),"TRANSV 44 No. 100-82 / CONJUNTO TOZCANA TORRE 5 APTO 318 MIRAMAR")</f>
        <v>TRANSV 44 No. 100-82 / CONJUNTO TOZCANA TORRE 5 APTO 318 MIRAMAR</v>
      </c>
      <c r="G9151" s="15" t="str">
        <f>IFERROR(__xludf.DUMMYFUNCTION("""COMPUTED_VALUE"""),"CAROLINA PARADA ACOSTA")</f>
        <v>CAROLINA PARADA ACOSTA</v>
      </c>
      <c r="H9151" s="16">
        <f>IFERROR(__xludf.DUMMYFUNCTION("""COMPUTED_VALUE"""),17827.0)</f>
        <v>17827</v>
      </c>
      <c r="I9151" s="17"/>
      <c r="J9151" s="17"/>
      <c r="K9151" s="17"/>
      <c r="L9151" s="17">
        <f>IFERROR(__xludf.DUMMYFUNCTION("""COMPUTED_VALUE"""),3.134122981E9)</f>
        <v>3134122981</v>
      </c>
      <c r="M9151" s="17"/>
      <c r="N9151" s="17"/>
      <c r="O9151" s="17"/>
      <c r="P9151" s="17" t="b">
        <f>IFERROR(__xludf.DUMMYFUNCTION("""COMPUTED_VALUE"""),FALSE)</f>
        <v>0</v>
      </c>
      <c r="Q9151" s="20" t="str">
        <f>IFERROR(__xludf.DUMMYFUNCTION("""COMPUTED_VALUE"""),"")</f>
        <v/>
      </c>
      <c r="R9151" s="21" t="str">
        <f>IFERROR(__xludf.DUMMYFUNCTION("""COMPUTED_VALUE"""),"https://drive.google.com/file/d/1LibAWfz13Hx-A_Df2-KdLQVsvsDE0WEF/view?usp=drivesdk")</f>
        <v>https://drive.google.com/file/d/1LibAWfz13Hx-A_Df2-KdLQVsvsDE0WEF/view?usp=drivesdk</v>
      </c>
    </row>
    <row r="9152">
      <c r="A9152" s="15">
        <f>IFERROR(__xludf.DUMMYFUNCTION("""COMPUTED_VALUE"""),45260.0)</f>
        <v>45260</v>
      </c>
      <c r="B9152" s="16" t="str">
        <f>IFERROR(__xludf.DUMMYFUNCTION("""COMPUTED_VALUE"""),"Envia")</f>
        <v>Envia</v>
      </c>
      <c r="C9152" s="15" t="str">
        <f>IFERROR(__xludf.DUMMYFUNCTION("""COMPUTED_VALUE"""),"BARRANQUILLA")</f>
        <v>BARRANQUILLA</v>
      </c>
      <c r="D9152" s="15" t="str">
        <f>IFERROR(__xludf.DUMMYFUNCTION("""COMPUTED_VALUE"""),"BOGOTÁ")</f>
        <v>BOGOTÁ</v>
      </c>
      <c r="E9152" s="15" t="str">
        <f>IFERROR(__xludf.DUMMYFUNCTION("""COMPUTED_VALUE"""),"Top Spun")</f>
        <v>Top Spun</v>
      </c>
      <c r="F9152" s="17" t="str">
        <f>IFERROR(__xludf.DUMMYFUNCTION("""COMPUTED_VALUE"""),"Cra 56 no 82-104 / Edificio Lalique Piso 17 / Barranquilla")</f>
        <v>Cra 56 no 82-104 / Edificio Lalique Piso 17 / Barranquilla</v>
      </c>
      <c r="G9152" s="15" t="str">
        <f>IFERROR(__xludf.DUMMYFUNCTION("""COMPUTED_VALUE"""),"Valentina Garcia")</f>
        <v>Valentina Garcia</v>
      </c>
      <c r="H9152" s="16">
        <f>IFERROR(__xludf.DUMMYFUNCTION("""COMPUTED_VALUE"""),17864.0)</f>
        <v>17864</v>
      </c>
      <c r="I9152" s="18">
        <f>IFERROR(__xludf.DUMMYFUNCTION("""COMPUTED_VALUE"""),20.0)</f>
        <v>20</v>
      </c>
      <c r="J9152" s="18">
        <f>IFERROR(__xludf.DUMMYFUNCTION("""COMPUTED_VALUE"""),10.0)</f>
        <v>10</v>
      </c>
      <c r="K9152" s="18">
        <f>IFERROR(__xludf.DUMMYFUNCTION("""COMPUTED_VALUE"""),40.0)</f>
        <v>40</v>
      </c>
      <c r="L9152" s="17">
        <f>IFERROR(__xludf.DUMMYFUNCTION("""COMPUTED_VALUE"""),3.157212652E9)</f>
        <v>3157212652</v>
      </c>
      <c r="M9152" s="17"/>
      <c r="N9152" s="17"/>
      <c r="O9152" s="17"/>
      <c r="P9152" s="17" t="b">
        <f>IFERROR(__xludf.DUMMYFUNCTION("""COMPUTED_VALUE"""),FALSE)</f>
        <v>0</v>
      </c>
      <c r="Q9152" s="20" t="str">
        <f>IFERROR(__xludf.DUMMYFUNCTION("""COMPUTED_VALUE"""),"")</f>
        <v/>
      </c>
      <c r="R9152" s="21" t="str">
        <f>IFERROR(__xludf.DUMMYFUNCTION("""COMPUTED_VALUE"""),"https://drive.google.com/file/d/1snG2wLxj97QYlNesmoqT2OezB0QgnkVX/view?usp=drivesdk")</f>
        <v>https://drive.google.com/file/d/1snG2wLxj97QYlNesmoqT2OezB0QgnkVX/view?usp=drivesdk</v>
      </c>
    </row>
    <row r="9153">
      <c r="A9153" s="15">
        <f>IFERROR(__xludf.DUMMYFUNCTION("""COMPUTED_VALUE"""),45260.0)</f>
        <v>45260</v>
      </c>
      <c r="B9153" s="16" t="str">
        <f>IFERROR(__xludf.DUMMYFUNCTION("""COMPUTED_VALUE"""),"Envia")</f>
        <v>Envia</v>
      </c>
      <c r="C9153" s="15" t="str">
        <f>IFERROR(__xludf.DUMMYFUNCTION("""COMPUTED_VALUE"""),"BARRANQUILLA")</f>
        <v>BARRANQUILLA</v>
      </c>
      <c r="D9153" s="15" t="str">
        <f>IFERROR(__xludf.DUMMYFUNCTION("""COMPUTED_VALUE"""),"BOGOTÁ")</f>
        <v>BOGOTÁ</v>
      </c>
      <c r="E9153" s="15" t="str">
        <f>IFERROR(__xludf.DUMMYFUNCTION("""COMPUTED_VALUE"""),"Ventura Productos Arg")</f>
        <v>Ventura Productos Arg</v>
      </c>
      <c r="F9153" s="17" t="str">
        <f>IFERROR(__xludf.DUMMYFUNCTION("""COMPUTED_VALUE"""),"Calle 80#41d-57 casa de esquina rejas blancas ciudad jardin / casa de esquina rejas blancas ciudad jardin")</f>
        <v>Calle 80#41d-57 casa de esquina rejas blancas ciudad jardin / casa de esquina rejas blancas ciudad jardin</v>
      </c>
      <c r="G9153" s="15" t="str">
        <f>IFERROR(__xludf.DUMMYFUNCTION("""COMPUTED_VALUE"""),"Tatiana Hennesey")</f>
        <v>Tatiana Hennesey</v>
      </c>
      <c r="H9153" s="16">
        <f>IFERROR(__xludf.DUMMYFUNCTION("""COMPUTED_VALUE"""),17625.0)</f>
        <v>17625</v>
      </c>
      <c r="I9153" s="17"/>
      <c r="J9153" s="17"/>
      <c r="K9153" s="17"/>
      <c r="L9153" s="17"/>
      <c r="M9153" s="17"/>
      <c r="N9153" s="17"/>
      <c r="O9153" s="17"/>
      <c r="P9153" s="17" t="b">
        <f>IFERROR(__xludf.DUMMYFUNCTION("""COMPUTED_VALUE"""),FALSE)</f>
        <v>0</v>
      </c>
      <c r="Q9153" s="20" t="str">
        <f>IFERROR(__xludf.DUMMYFUNCTION("""COMPUTED_VALUE"""),"")</f>
        <v/>
      </c>
      <c r="R9153" s="22" t="str">
        <f>IFERROR(__xludf.DUMMYFUNCTION("""COMPUTED_VALUE"""),"")</f>
        <v/>
      </c>
    </row>
    <row r="9154">
      <c r="A9154" s="15">
        <f>IFERROR(__xludf.DUMMYFUNCTION("""COMPUTED_VALUE"""),45260.0)</f>
        <v>45260</v>
      </c>
      <c r="B9154" s="16" t="str">
        <f>IFERROR(__xludf.DUMMYFUNCTION("""COMPUTED_VALUE"""),"Envia")</f>
        <v>Envia</v>
      </c>
      <c r="C9154" s="15" t="str">
        <f>IFERROR(__xludf.DUMMYFUNCTION("""COMPUTED_VALUE"""),"BARRANQUILLA")</f>
        <v>BARRANQUILLA</v>
      </c>
      <c r="D9154" s="15" t="str">
        <f>IFERROR(__xludf.DUMMYFUNCTION("""COMPUTED_VALUE"""),"BOGOTÁ")</f>
        <v>BOGOTÁ</v>
      </c>
      <c r="E9154" s="15" t="str">
        <f>IFERROR(__xludf.DUMMYFUNCTION("""COMPUTED_VALUE"""),"Ventura Productos Arg")</f>
        <v>Ventura Productos Arg</v>
      </c>
      <c r="F9154" s="17" t="str">
        <f>IFERROR(__xludf.DUMMYFUNCTION("""COMPUTED_VALUE"""),"Calle 91 No. 64B31 / Apartamento 207, Conjunto Residencial Marbella")</f>
        <v>Calle 91 No. 64B31 / Apartamento 207, Conjunto Residencial Marbella</v>
      </c>
      <c r="G9154" s="15" t="str">
        <f>IFERROR(__xludf.DUMMYFUNCTION("""COMPUTED_VALUE"""),"Rodrigo Naranjo Arango")</f>
        <v>Rodrigo Naranjo Arango</v>
      </c>
      <c r="H9154" s="16">
        <f>IFERROR(__xludf.DUMMYFUNCTION("""COMPUTED_VALUE"""),17765.0)</f>
        <v>17765</v>
      </c>
      <c r="I9154" s="17"/>
      <c r="J9154" s="17"/>
      <c r="K9154" s="17"/>
      <c r="L9154" s="17">
        <f>IFERROR(__xludf.DUMMYFUNCTION("""COMPUTED_VALUE"""),3.004818317E9)</f>
        <v>3004818317</v>
      </c>
      <c r="M9154" s="17"/>
      <c r="N9154" s="17"/>
      <c r="O9154" s="17"/>
      <c r="P9154" s="17" t="b">
        <f>IFERROR(__xludf.DUMMYFUNCTION("""COMPUTED_VALUE"""),FALSE)</f>
        <v>0</v>
      </c>
      <c r="Q9154" s="20" t="str">
        <f>IFERROR(__xludf.DUMMYFUNCTION("""COMPUTED_VALUE"""),"")</f>
        <v/>
      </c>
      <c r="R9154" s="21" t="str">
        <f>IFERROR(__xludf.DUMMYFUNCTION("""COMPUTED_VALUE"""),"https://drive.google.com/file/d/1K5dTb_VdxWk7wlnRZ2JzoWnfessR46PJ/view?usp=drivesdk")</f>
        <v>https://drive.google.com/file/d/1K5dTb_VdxWk7wlnRZ2JzoWnfessR46PJ/view?usp=drivesdk</v>
      </c>
    </row>
    <row r="9155">
      <c r="A9155" s="15">
        <f>IFERROR(__xludf.DUMMYFUNCTION("""COMPUTED_VALUE"""),45260.0)</f>
        <v>45260</v>
      </c>
      <c r="B9155" s="16" t="str">
        <f>IFERROR(__xludf.DUMMYFUNCTION("""COMPUTED_VALUE"""),"Envia")</f>
        <v>Envia</v>
      </c>
      <c r="C9155" s="15" t="str">
        <f>IFERROR(__xludf.DUMMYFUNCTION("""COMPUTED_VALUE"""),"BARRANQUILLA")</f>
        <v>BARRANQUILLA</v>
      </c>
      <c r="D9155" s="15" t="str">
        <f>IFERROR(__xludf.DUMMYFUNCTION("""COMPUTED_VALUE"""),"BOGOTÁ")</f>
        <v>BOGOTÁ</v>
      </c>
      <c r="E9155" s="15" t="str">
        <f>IFERROR(__xludf.DUMMYFUNCTION("""COMPUTED_VALUE"""),"Viral Brands")</f>
        <v>Viral Brands</v>
      </c>
      <c r="F9155" s="17" t="str">
        <f>IFERROR(__xludf.DUMMYFUNCTION("""COMPUTED_VALUE"""),"kra 49c 75 47  / LYD HOUSE PRADO RESTAURANTE CHUZALES ENTREGAR A LAS 10 Y 30AM / PRADO")</f>
        <v>kra 49c 75 47  / LYD HOUSE PRADO RESTAURANTE CHUZALES ENTREGAR A LAS 10 Y 30AM / PRADO</v>
      </c>
      <c r="G9155" s="15" t="str">
        <f>IFERROR(__xludf.DUMMYFUNCTION("""COMPUTED_VALUE"""),"CHUZALES BARRANQUILLA")</f>
        <v>CHUZALES BARRANQUILLA</v>
      </c>
      <c r="H9155" s="16">
        <f>IFERROR(__xludf.DUMMYFUNCTION("""COMPUTED_VALUE"""),17809.0)</f>
        <v>17809</v>
      </c>
      <c r="I9155" s="18">
        <f>IFERROR(__xludf.DUMMYFUNCTION("""COMPUTED_VALUE"""),45.0)</f>
        <v>45</v>
      </c>
      <c r="J9155" s="18">
        <f>IFERROR(__xludf.DUMMYFUNCTION("""COMPUTED_VALUE"""),55.0)</f>
        <v>55</v>
      </c>
      <c r="K9155" s="18">
        <f>IFERROR(__xludf.DUMMYFUNCTION("""COMPUTED_VALUE"""),29.0)</f>
        <v>29</v>
      </c>
      <c r="L9155" s="17">
        <f>IFERROR(__xludf.DUMMYFUNCTION("""COMPUTED_VALUE"""),3.017624858E9)</f>
        <v>3017624858</v>
      </c>
      <c r="M9155" s="17"/>
      <c r="N9155" s="17"/>
      <c r="O9155" s="17"/>
      <c r="P9155" s="17" t="b">
        <f>IFERROR(__xludf.DUMMYFUNCTION("""COMPUTED_VALUE"""),FALSE)</f>
        <v>0</v>
      </c>
      <c r="Q9155" s="20" t="str">
        <f>IFERROR(__xludf.DUMMYFUNCTION("""COMPUTED_VALUE"""),"")</f>
        <v/>
      </c>
      <c r="R9155" s="21" t="str">
        <f>IFERROR(__xludf.DUMMYFUNCTION("""COMPUTED_VALUE"""),"https://drive.google.com/file/d/1B5gA7SNzMp5ltRLTrlDmTJfzrET5xrMd/view?usp=drivesdk")</f>
        <v>https://drive.google.com/file/d/1B5gA7SNzMp5ltRLTrlDmTJfzrET5xrMd/view?usp=drivesdk</v>
      </c>
    </row>
    <row r="9156">
      <c r="A9156" s="15">
        <f>IFERROR(__xludf.DUMMYFUNCTION("""COMPUTED_VALUE"""),45260.0)</f>
        <v>45260</v>
      </c>
      <c r="B9156" s="16" t="str">
        <f>IFERROR(__xludf.DUMMYFUNCTION("""COMPUTED_VALUE"""),"Envia")</f>
        <v>Envia</v>
      </c>
      <c r="C9156" s="15" t="str">
        <f>IFERROR(__xludf.DUMMYFUNCTION("""COMPUTED_VALUE"""),"BARRANQUILLA")</f>
        <v>BARRANQUILLA</v>
      </c>
      <c r="D9156" s="15" t="str">
        <f>IFERROR(__xludf.DUMMYFUNCTION("""COMPUTED_VALUE"""),"BOGOTÁ")</f>
        <v>BOGOTÁ</v>
      </c>
      <c r="E9156" s="15" t="str">
        <f>IFERROR(__xludf.DUMMYFUNCTION("""COMPUTED_VALUE"""),"Viral Brands")</f>
        <v>Viral Brands</v>
      </c>
      <c r="F9156" s="17" t="str">
        <f>IFERROR(__xludf.DUMMYFUNCTION("""COMPUTED_VALUE"""),"kra 49c n 75-47 / LYD HOUSE PRADO RESTAURANTE PRADO , ENTREGAR A LAS 10 Y 30AM / PRADO")</f>
        <v>kra 49c n 75-47 / LYD HOUSE PRADO RESTAURANTE PRADO , ENTREGAR A LAS 10 Y 30AM / PRADO</v>
      </c>
      <c r="G9156" s="15" t="str">
        <f>IFERROR(__xludf.DUMMYFUNCTION("""COMPUTED_VALUE"""),"RESTAURANTE CHUZALES")</f>
        <v>RESTAURANTE CHUZALES</v>
      </c>
      <c r="H9156" s="16">
        <f>IFERROR(__xludf.DUMMYFUNCTION("""COMPUTED_VALUE"""),17810.0)</f>
        <v>17810</v>
      </c>
      <c r="I9156" s="18">
        <f>IFERROR(__xludf.DUMMYFUNCTION("""COMPUTED_VALUE"""),30.0)</f>
        <v>30</v>
      </c>
      <c r="J9156" s="18">
        <f>IFERROR(__xludf.DUMMYFUNCTION("""COMPUTED_VALUE"""),50.0)</f>
        <v>50</v>
      </c>
      <c r="K9156" s="18">
        <f>IFERROR(__xludf.DUMMYFUNCTION("""COMPUTED_VALUE"""),21.0)</f>
        <v>21</v>
      </c>
      <c r="L9156" s="17">
        <f>IFERROR(__xludf.DUMMYFUNCTION("""COMPUTED_VALUE"""),3.017624858E9)</f>
        <v>3017624858</v>
      </c>
      <c r="M9156" s="17"/>
      <c r="N9156" s="17"/>
      <c r="O9156" s="17"/>
      <c r="P9156" s="17" t="b">
        <f>IFERROR(__xludf.DUMMYFUNCTION("""COMPUTED_VALUE"""),FALSE)</f>
        <v>0</v>
      </c>
      <c r="Q9156" s="20" t="str">
        <f>IFERROR(__xludf.DUMMYFUNCTION("""COMPUTED_VALUE"""),"")</f>
        <v/>
      </c>
      <c r="R9156" s="21" t="str">
        <f>IFERROR(__xludf.DUMMYFUNCTION("""COMPUTED_VALUE"""),"https://drive.google.com/file/d/1rM4TK45_DGWVqDEtB3bwn8_nT-p5AWml/view?usp=drivesdk")</f>
        <v>https://drive.google.com/file/d/1rM4TK45_DGWVqDEtB3bwn8_nT-p5AWml/view?usp=drivesdk</v>
      </c>
    </row>
    <row r="9157">
      <c r="A9157" s="15">
        <f>IFERROR(__xludf.DUMMYFUNCTION("""COMPUTED_VALUE"""),45260.0)</f>
        <v>45260</v>
      </c>
      <c r="B9157" s="16" t="str">
        <f>IFERROR(__xludf.DUMMYFUNCTION("""COMPUTED_VALUE"""),"Envia")</f>
        <v>Envia</v>
      </c>
      <c r="C9157" s="15" t="str">
        <f>IFERROR(__xludf.DUMMYFUNCTION("""COMPUTED_VALUE"""),"BOGOTÁ")</f>
        <v>BOGOTÁ</v>
      </c>
      <c r="D9157" s="15" t="str">
        <f>IFERROR(__xludf.DUMMYFUNCTION("""COMPUTED_VALUE"""),"BARRANQUILLA")</f>
        <v>BARRANQUILLA</v>
      </c>
      <c r="E9157" s="15" t="str">
        <f>IFERROR(__xludf.DUMMYFUNCTION("""COMPUTED_VALUE"""),"Yelii")</f>
        <v>Yelii</v>
      </c>
      <c r="F9157" s="17" t="str">
        <f>IFERROR(__xludf.DUMMYFUNCTION("""COMPUTED_VALUE"""),"Calle 25 # 69D-80 Int 3 Apto 301  / Edif Conjunto Plaza Real II / NA")</f>
        <v>Calle 25 # 69D-80 Int 3 Apto 301  / Edif Conjunto Plaza Real II / NA</v>
      </c>
      <c r="G9157" s="15" t="str">
        <f>IFERROR(__xludf.DUMMYFUNCTION("""COMPUTED_VALUE"""),"Luz Helena Navarro Ramirez")</f>
        <v>Luz Helena Navarro Ramirez</v>
      </c>
      <c r="H9157" s="16">
        <f>IFERROR(__xludf.DUMMYFUNCTION("""COMPUTED_VALUE"""),17805.0)</f>
        <v>17805</v>
      </c>
      <c r="I9157" s="18">
        <f>IFERROR(__xludf.DUMMYFUNCTION("""COMPUTED_VALUE"""),21.0)</f>
        <v>21</v>
      </c>
      <c r="J9157" s="18">
        <f>IFERROR(__xludf.DUMMYFUNCTION("""COMPUTED_VALUE"""),50.0)</f>
        <v>50</v>
      </c>
      <c r="K9157" s="18">
        <f>IFERROR(__xludf.DUMMYFUNCTION("""COMPUTED_VALUE"""),30.0)</f>
        <v>30</v>
      </c>
      <c r="L9157" s="17">
        <f>IFERROR(__xludf.DUMMYFUNCTION("""COMPUTED_VALUE"""),3.004913705E9)</f>
        <v>3004913705</v>
      </c>
      <c r="M9157" s="17"/>
      <c r="N9157" s="17"/>
      <c r="O9157" s="17"/>
      <c r="P9157" s="17" t="b">
        <f>IFERROR(__xludf.DUMMYFUNCTION("""COMPUTED_VALUE"""),FALSE)</f>
        <v>0</v>
      </c>
      <c r="Q9157" s="20" t="str">
        <f>IFERROR(__xludf.DUMMYFUNCTION("""COMPUTED_VALUE"""),"")</f>
        <v/>
      </c>
      <c r="R9157" s="21" t="str">
        <f>IFERROR(__xludf.DUMMYFUNCTION("""COMPUTED_VALUE"""),"https://drive.google.com/file/d/10aHtaUNnw4bzaYEHVY6FFWuvIe6WqHno/view?usp=drivesdk")</f>
        <v>https://drive.google.com/file/d/10aHtaUNnw4bzaYEHVY6FFWuvIe6WqHno/view?usp=drivesdk</v>
      </c>
    </row>
    <row r="9158">
      <c r="A9158" s="15">
        <f>IFERROR(__xludf.DUMMYFUNCTION("""COMPUTED_VALUE"""),45260.0)</f>
        <v>45260</v>
      </c>
      <c r="B9158" s="16" t="str">
        <f>IFERROR(__xludf.DUMMYFUNCTION("""COMPUTED_VALUE"""),"Envia")</f>
        <v>Envia</v>
      </c>
      <c r="C9158" s="15" t="str">
        <f>IFERROR(__xludf.DUMMYFUNCTION("""COMPUTED_VALUE"""),"BOGOTÁ")</f>
        <v>BOGOTÁ</v>
      </c>
      <c r="D9158" s="15" t="str">
        <f>IFERROR(__xludf.DUMMYFUNCTION("""COMPUTED_VALUE"""),"MEDELLÍN")</f>
        <v>MEDELLÍN</v>
      </c>
      <c r="E9158" s="15" t="str">
        <f>IFERROR(__xludf.DUMMYFUNCTION("""COMPUTED_VALUE"""),"Frubits")</f>
        <v>Frubits</v>
      </c>
      <c r="F9158" s="17" t="str">
        <f>IFERROR(__xludf.DUMMYFUNCTION("""COMPUTED_VALUE"""),"CRA 27 No. 77 - 64 barrios unidos / CRA 27 No. 77 - 64 barrios unidos / CRA 27 No. 77 - 64 barrios unidos")</f>
        <v>CRA 27 No. 77 - 64 barrios unidos / CRA 27 No. 77 - 64 barrios unidos / CRA 27 No. 77 - 64 barrios unidos</v>
      </c>
      <c r="G9158" s="15" t="str">
        <f>IFERROR(__xludf.DUMMYFUNCTION("""COMPUTED_VALUE"""),"FRUBITS SAS")</f>
        <v>FRUBITS SAS</v>
      </c>
      <c r="H9158" s="16">
        <f>IFERROR(__xludf.DUMMYFUNCTION("""COMPUTED_VALUE"""),17863.0)</f>
        <v>17863</v>
      </c>
      <c r="I9158" s="18">
        <f>IFERROR(__xludf.DUMMYFUNCTION("""COMPUTED_VALUE"""),1.0)</f>
        <v>1</v>
      </c>
      <c r="J9158" s="18">
        <f>IFERROR(__xludf.DUMMYFUNCTION("""COMPUTED_VALUE"""),1.0)</f>
        <v>1</v>
      </c>
      <c r="K9158" s="18">
        <f>IFERROR(__xludf.DUMMYFUNCTION("""COMPUTED_VALUE"""),1.0)</f>
        <v>1</v>
      </c>
      <c r="L9158" s="17">
        <f>IFERROR(__xludf.DUMMYFUNCTION("""COMPUTED_VALUE"""),3.123597578E9)</f>
        <v>3123597578</v>
      </c>
      <c r="M9158" s="17"/>
      <c r="N9158" s="17"/>
      <c r="O9158" s="17"/>
      <c r="P9158" s="17" t="b">
        <f>IFERROR(__xludf.DUMMYFUNCTION("""COMPUTED_VALUE"""),FALSE)</f>
        <v>0</v>
      </c>
      <c r="Q9158" s="20" t="str">
        <f>IFERROR(__xludf.DUMMYFUNCTION("""COMPUTED_VALUE"""),"")</f>
        <v/>
      </c>
      <c r="R9158" s="21" t="str">
        <f>IFERROR(__xludf.DUMMYFUNCTION("""COMPUTED_VALUE"""),"https://drive.google.com/file/d/1Qoe_7HrzOZkzrS6X6rhQ4BJnqWjHGFwe/view?usp=drivesdk")</f>
        <v>https://drive.google.com/file/d/1Qoe_7HrzOZkzrS6X6rhQ4BJnqWjHGFwe/view?usp=drivesdk</v>
      </c>
    </row>
    <row r="9159">
      <c r="A9159" s="15">
        <f>IFERROR(__xludf.DUMMYFUNCTION("""COMPUTED_VALUE"""),45260.0)</f>
        <v>45260</v>
      </c>
      <c r="B9159" s="16" t="str">
        <f>IFERROR(__xludf.DUMMYFUNCTION("""COMPUTED_VALUE"""),"Envia")</f>
        <v>Envia</v>
      </c>
      <c r="C9159" s="15" t="str">
        <f>IFERROR(__xludf.DUMMYFUNCTION("""COMPUTED_VALUE"""),"CARTAGENA")</f>
        <v>CARTAGENA</v>
      </c>
      <c r="D9159" s="15" t="str">
        <f>IFERROR(__xludf.DUMMYFUNCTION("""COMPUTED_VALUE"""),"BUCARAMANGA")</f>
        <v>BUCARAMANGA</v>
      </c>
      <c r="E9159" s="15" t="str">
        <f>IFERROR(__xludf.DUMMYFUNCTION("""COMPUTED_VALUE"""),"Yo Como Solito")</f>
        <v>Yo Como Solito</v>
      </c>
      <c r="F9159" s="17" t="str">
        <f>IFERROR(__xludf.DUMMYFUNCTION("""COMPUTED_VALUE"""),"BARRIO GAVIOTAS PRIMER ETAPA MZ 38 LOTE 17 SEGUNDO PISO  / BARRIO GAVIOTAS PRIMER ETAPA MZ 38 LOTE 17 SEGUNDO PISO / BARRIO GAVIOTAS PRIMER ETAPA MZ 38 LOTE 17 SEGUNDO PISO")</f>
        <v>BARRIO GAVIOTAS PRIMER ETAPA MZ 38 LOTE 17 SEGUNDO PISO  / BARRIO GAVIOTAS PRIMER ETAPA MZ 38 LOTE 17 SEGUNDO PISO / BARRIO GAVIOTAS PRIMER ETAPA MZ 38 LOTE 17 SEGUNDO PISO</v>
      </c>
      <c r="G9159" s="15" t="str">
        <f>IFERROR(__xludf.DUMMYFUNCTION("""COMPUTED_VALUE"""),"VANESSA CARABALLO")</f>
        <v>VANESSA CARABALLO</v>
      </c>
      <c r="H9159" s="16">
        <f>IFERROR(__xludf.DUMMYFUNCTION("""COMPUTED_VALUE"""),17745.0)</f>
        <v>17745</v>
      </c>
      <c r="I9159" s="18">
        <f>IFERROR(__xludf.DUMMYFUNCTION("""COMPUTED_VALUE"""),24.0)</f>
        <v>24</v>
      </c>
      <c r="J9159" s="18">
        <f>IFERROR(__xludf.DUMMYFUNCTION("""COMPUTED_VALUE"""),38.0)</f>
        <v>38</v>
      </c>
      <c r="K9159" s="18">
        <f>IFERROR(__xludf.DUMMYFUNCTION("""COMPUTED_VALUE"""),35.0)</f>
        <v>35</v>
      </c>
      <c r="L9159" s="17">
        <f>IFERROR(__xludf.DUMMYFUNCTION("""COMPUTED_VALUE"""),3.163391533E9)</f>
        <v>3163391533</v>
      </c>
      <c r="M9159" s="17"/>
      <c r="N9159" s="17"/>
      <c r="O9159" s="17"/>
      <c r="P9159" s="17" t="b">
        <f>IFERROR(__xludf.DUMMYFUNCTION("""COMPUTED_VALUE"""),FALSE)</f>
        <v>0</v>
      </c>
      <c r="Q9159" s="20" t="str">
        <f>IFERROR(__xludf.DUMMYFUNCTION("""COMPUTED_VALUE"""),"")</f>
        <v/>
      </c>
      <c r="R9159" s="21" t="str">
        <f>IFERROR(__xludf.DUMMYFUNCTION("""COMPUTED_VALUE"""),"https://drive.google.com/file/d/1A0Vc8VrhQybwGElx2ZbuP9BCaRauawQR/view?usp=drivesdk")</f>
        <v>https://drive.google.com/file/d/1A0Vc8VrhQybwGElx2ZbuP9BCaRauawQR/view?usp=drivesdk</v>
      </c>
    </row>
    <row r="9160">
      <c r="A9160" s="15">
        <f>IFERROR(__xludf.DUMMYFUNCTION("""COMPUTED_VALUE"""),45260.0)</f>
        <v>45260</v>
      </c>
      <c r="B9160" s="16" t="str">
        <f>IFERROR(__xludf.DUMMYFUNCTION("""COMPUTED_VALUE"""),"Envia")</f>
        <v>Envia</v>
      </c>
      <c r="C9160" s="15" t="str">
        <f>IFERROR(__xludf.DUMMYFUNCTION("""COMPUTED_VALUE"""),"CARTAGENA")</f>
        <v>CARTAGENA</v>
      </c>
      <c r="D9160" s="15" t="str">
        <f>IFERROR(__xludf.DUMMYFUNCTION("""COMPUTED_VALUE"""),"MEDELLÍN")</f>
        <v>MEDELLÍN</v>
      </c>
      <c r="E9160" s="15" t="str">
        <f>IFERROR(__xludf.DUMMYFUNCTION("""COMPUTED_VALUE"""),"AREPAS LA MARY")</f>
        <v>AREPAS LA MARY</v>
      </c>
      <c r="F9160" s="17" t="str">
        <f>IFERROR(__xludf.DUMMYFUNCTION("""COMPUTED_VALUE"""),"CLL 6 #4-20 / CENTRO COMERCIAL LA ESTACION")</f>
        <v>CLL 6 #4-20 / CENTRO COMERCIAL LA ESTACION</v>
      </c>
      <c r="G9160" s="15" t="str">
        <f>IFERROR(__xludf.DUMMYFUNCTION("""COMPUTED_VALUE"""),"COCO FIT CARTAGENA")</f>
        <v>COCO FIT CARTAGENA</v>
      </c>
      <c r="H9160" s="16">
        <f>IFERROR(__xludf.DUMMYFUNCTION("""COMPUTED_VALUE"""),17734.0)</f>
        <v>17734</v>
      </c>
      <c r="I9160" s="17"/>
      <c r="J9160" s="17"/>
      <c r="K9160" s="17"/>
      <c r="L9160" s="17">
        <f>IFERROR(__xludf.DUMMYFUNCTION("""COMPUTED_VALUE"""),3.105318059E9)</f>
        <v>3105318059</v>
      </c>
      <c r="M9160" s="17"/>
      <c r="N9160" s="17"/>
      <c r="O9160" s="17"/>
      <c r="P9160" s="17" t="b">
        <f>IFERROR(__xludf.DUMMYFUNCTION("""COMPUTED_VALUE"""),FALSE)</f>
        <v>0</v>
      </c>
      <c r="Q9160" s="20" t="str">
        <f>IFERROR(__xludf.DUMMYFUNCTION("""COMPUTED_VALUE"""),"")</f>
        <v/>
      </c>
      <c r="R9160" s="21" t="str">
        <f>IFERROR(__xludf.DUMMYFUNCTION("""COMPUTED_VALUE"""),"https://drive.google.com/file/d/11KRK8f2dLJimVavz6YPIYQZM4e-U6yoD/view?usp=drivesdk")</f>
        <v>https://drive.google.com/file/d/11KRK8f2dLJimVavz6YPIYQZM4e-U6yoD/view?usp=drivesdk</v>
      </c>
    </row>
    <row r="9161">
      <c r="A9161" s="15">
        <f>IFERROR(__xludf.DUMMYFUNCTION("""COMPUTED_VALUE"""),45260.0)</f>
        <v>45260</v>
      </c>
      <c r="B9161" s="16" t="str">
        <f>IFERROR(__xludf.DUMMYFUNCTION("""COMPUTED_VALUE"""),"Envia")</f>
        <v>Envia</v>
      </c>
      <c r="C9161" s="15" t="str">
        <f>IFERROR(__xludf.DUMMYFUNCTION("""COMPUTED_VALUE"""),"CARTAGENA")</f>
        <v>CARTAGENA</v>
      </c>
      <c r="D9161" s="15" t="str">
        <f>IFERROR(__xludf.DUMMYFUNCTION("""COMPUTED_VALUE"""),"MEDELLÍN")</f>
        <v>MEDELLÍN</v>
      </c>
      <c r="E9161" s="15" t="str">
        <f>IFERROR(__xludf.DUMMYFUNCTION("""COMPUTED_VALUE"""),"Baby Chef")</f>
        <v>Baby Chef</v>
      </c>
      <c r="F9161" s="17" t="str">
        <f>IFERROR(__xludf.DUMMYFUNCTION("""COMPUTED_VALUE"""),"Castillogrande, Cra. 10 #5-68 Edf Omega 21 apto 1201 / . / .")</f>
        <v>Castillogrande, Cra. 10 #5-68 Edf Omega 21 apto 1201 / . / .</v>
      </c>
      <c r="G9161" s="15" t="str">
        <f>IFERROR(__xludf.DUMMYFUNCTION("""COMPUTED_VALUE"""),"Maria Camila de la Vega")</f>
        <v>Maria Camila de la Vega</v>
      </c>
      <c r="H9161" s="16">
        <f>IFERROR(__xludf.DUMMYFUNCTION("""COMPUTED_VALUE"""),17779.0)</f>
        <v>17779</v>
      </c>
      <c r="I9161" s="18">
        <f>IFERROR(__xludf.DUMMYFUNCTION("""COMPUTED_VALUE"""),7.0)</f>
        <v>7</v>
      </c>
      <c r="J9161" s="18">
        <f>IFERROR(__xludf.DUMMYFUNCTION("""COMPUTED_VALUE"""),20.0)</f>
        <v>20</v>
      </c>
      <c r="K9161" s="18">
        <f>IFERROR(__xludf.DUMMYFUNCTION("""COMPUTED_VALUE"""),38.0)</f>
        <v>38</v>
      </c>
      <c r="L9161" s="17">
        <f>IFERROR(__xludf.DUMMYFUNCTION("""COMPUTED_VALUE"""),3.157021102E9)</f>
        <v>3157021102</v>
      </c>
      <c r="M9161" s="17"/>
      <c r="N9161" s="17"/>
      <c r="O9161" s="17"/>
      <c r="P9161" s="17" t="b">
        <f>IFERROR(__xludf.DUMMYFUNCTION("""COMPUTED_VALUE"""),FALSE)</f>
        <v>0</v>
      </c>
      <c r="Q9161" s="20" t="str">
        <f>IFERROR(__xludf.DUMMYFUNCTION("""COMPUTED_VALUE"""),"")</f>
        <v/>
      </c>
      <c r="R9161" s="21" t="str">
        <f>IFERROR(__xludf.DUMMYFUNCTION("""COMPUTED_VALUE"""),"https://drive.google.com/file/d/1PwF8TuHv3UzM2yQJ-IktTQE1D4OHCMGM/view?usp=drivesdk")</f>
        <v>https://drive.google.com/file/d/1PwF8TuHv3UzM2yQJ-IktTQE1D4OHCMGM/view?usp=drivesdk</v>
      </c>
    </row>
    <row r="9162">
      <c r="A9162" s="15">
        <f>IFERROR(__xludf.DUMMYFUNCTION("""COMPUTED_VALUE"""),45260.0)</f>
        <v>45260</v>
      </c>
      <c r="B9162" s="16" t="str">
        <f>IFERROR(__xludf.DUMMYFUNCTION("""COMPUTED_VALUE"""),"Envia")</f>
        <v>Envia</v>
      </c>
      <c r="C9162" s="15" t="str">
        <f>IFERROR(__xludf.DUMMYFUNCTION("""COMPUTED_VALUE"""),"FLORIDABLANCA")</f>
        <v>FLORIDABLANCA</v>
      </c>
      <c r="D9162" s="15" t="str">
        <f>IFERROR(__xludf.DUMMYFUNCTION("""COMPUTED_VALUE"""),"BOGOTÁ")</f>
        <v>BOGOTÁ</v>
      </c>
      <c r="E9162" s="15" t="str">
        <f>IFERROR(__xludf.DUMMYFUNCTION("""COMPUTED_VALUE"""),"LINA PAOLA RAMIREZ GOMEZ - EVA MAZZITA")</f>
        <v>LINA PAOLA RAMIREZ GOMEZ - EVA MAZZITA</v>
      </c>
      <c r="F9162" s="17" t="str">
        <f>IFERROR(__xludf.DUMMYFUNCTION("""COMPUTED_VALUE"""),"cra 12 # 200-105. / Condominio Mediterrane, portería Santorini torre 2 apto 1102.")</f>
        <v>cra 12 # 200-105. / Condominio Mediterrane, portería Santorini torre 2 apto 1102.</v>
      </c>
      <c r="G9162" s="15" t="str">
        <f>IFERROR(__xludf.DUMMYFUNCTION("""COMPUTED_VALUE"""),"NATALIA AGUDELO - BUCARAMANGA")</f>
        <v>NATALIA AGUDELO - BUCARAMANGA</v>
      </c>
      <c r="H9162" s="16">
        <f>IFERROR(__xludf.DUMMYFUNCTION("""COMPUTED_VALUE"""),17850.0)</f>
        <v>17850</v>
      </c>
      <c r="I9162" s="17"/>
      <c r="J9162" s="17"/>
      <c r="K9162" s="17"/>
      <c r="L9162" s="17">
        <f>IFERROR(__xludf.DUMMYFUNCTION("""COMPUTED_VALUE"""),3.002663305E9)</f>
        <v>3002663305</v>
      </c>
      <c r="M9162" s="17"/>
      <c r="N9162" s="17"/>
      <c r="O9162" s="17"/>
      <c r="P9162" s="17" t="b">
        <f>IFERROR(__xludf.DUMMYFUNCTION("""COMPUTED_VALUE"""),FALSE)</f>
        <v>0</v>
      </c>
      <c r="Q9162" s="20" t="str">
        <f>IFERROR(__xludf.DUMMYFUNCTION("""COMPUTED_VALUE"""),"")</f>
        <v/>
      </c>
      <c r="R9162" s="21" t="str">
        <f>IFERROR(__xludf.DUMMYFUNCTION("""COMPUTED_VALUE"""),"https://drive.google.com/file/d/1IvcGCSu-IpGBYWqHcpajffMKQNfDui4k/view?usp=drivesdk")</f>
        <v>https://drive.google.com/file/d/1IvcGCSu-IpGBYWqHcpajffMKQNfDui4k/view?usp=drivesdk</v>
      </c>
    </row>
    <row r="9163">
      <c r="A9163" s="15">
        <f>IFERROR(__xludf.DUMMYFUNCTION("""COMPUTED_VALUE"""),45260.0)</f>
        <v>45260</v>
      </c>
      <c r="B9163" s="16" t="str">
        <f>IFERROR(__xludf.DUMMYFUNCTION("""COMPUTED_VALUE"""),"Envia")</f>
        <v>Envia</v>
      </c>
      <c r="C9163" s="15" t="str">
        <f>IFERROR(__xludf.DUMMYFUNCTION("""COMPUTED_VALUE"""),"GIRARDOT")</f>
        <v>GIRARDOT</v>
      </c>
      <c r="D9163" s="15" t="str">
        <f>IFERROR(__xludf.DUMMYFUNCTION("""COMPUTED_VALUE"""),"MEDELLÍN")</f>
        <v>MEDELLÍN</v>
      </c>
      <c r="E9163" s="15" t="str">
        <f>IFERROR(__xludf.DUMMYFUNCTION("""COMPUTED_VALUE"""),"Baby Chef")</f>
        <v>Baby Chef</v>
      </c>
      <c r="F9163" s="17" t="str">
        <f>IFERROR(__xludf.DUMMYFUNCTION("""COMPUTED_VALUE"""),"Calle 15 #11a-03 B/ centro / . / .")</f>
        <v>Calle 15 #11a-03 B/ centro / . / .</v>
      </c>
      <c r="G9163" s="15" t="str">
        <f>IFERROR(__xludf.DUMMYFUNCTION("""COMPUTED_VALUE"""),"Steffany Ortiz celis")</f>
        <v>Steffany Ortiz celis</v>
      </c>
      <c r="H9163" s="16">
        <f>IFERROR(__xludf.DUMMYFUNCTION("""COMPUTED_VALUE"""),17773.0)</f>
        <v>17773</v>
      </c>
      <c r="I9163" s="18">
        <f>IFERROR(__xludf.DUMMYFUNCTION("""COMPUTED_VALUE"""),8.0)</f>
        <v>8</v>
      </c>
      <c r="J9163" s="18">
        <f>IFERROR(__xludf.DUMMYFUNCTION("""COMPUTED_VALUE"""),26.0)</f>
        <v>26</v>
      </c>
      <c r="K9163" s="18">
        <f>IFERROR(__xludf.DUMMYFUNCTION("""COMPUTED_VALUE"""),37.0)</f>
        <v>37</v>
      </c>
      <c r="L9163" s="17">
        <f>IFERROR(__xludf.DUMMYFUNCTION("""COMPUTED_VALUE"""),3.208968624E9)</f>
        <v>3208968624</v>
      </c>
      <c r="M9163" s="17"/>
      <c r="N9163" s="17"/>
      <c r="O9163" s="17"/>
      <c r="P9163" s="17" t="b">
        <f>IFERROR(__xludf.DUMMYFUNCTION("""COMPUTED_VALUE"""),FALSE)</f>
        <v>0</v>
      </c>
      <c r="Q9163" s="20" t="str">
        <f>IFERROR(__xludf.DUMMYFUNCTION("""COMPUTED_VALUE"""),"")</f>
        <v/>
      </c>
      <c r="R9163" s="21" t="str">
        <f>IFERROR(__xludf.DUMMYFUNCTION("""COMPUTED_VALUE"""),"https://drive.google.com/file/d/1H2wWlPEm4IgE3nED087aivJmQswJR8l4/view?usp=drivesdk")</f>
        <v>https://drive.google.com/file/d/1H2wWlPEm4IgE3nED087aivJmQswJR8l4/view?usp=drivesdk</v>
      </c>
    </row>
    <row r="9164">
      <c r="A9164" s="15">
        <f>IFERROR(__xludf.DUMMYFUNCTION("""COMPUTED_VALUE"""),45260.0)</f>
        <v>45260</v>
      </c>
      <c r="B9164" s="16" t="str">
        <f>IFERROR(__xludf.DUMMYFUNCTION("""COMPUTED_VALUE"""),"Envia")</f>
        <v>Envia</v>
      </c>
      <c r="C9164" s="15" t="str">
        <f>IFERROR(__xludf.DUMMYFUNCTION("""COMPUTED_VALUE"""),"NEIVA")</f>
        <v>NEIVA</v>
      </c>
      <c r="D9164" s="15" t="str">
        <f>IFERROR(__xludf.DUMMYFUNCTION("""COMPUTED_VALUE"""),"BOGOTÁ")</f>
        <v>BOGOTÁ</v>
      </c>
      <c r="E9164" s="15" t="str">
        <f>IFERROR(__xludf.DUMMYFUNCTION("""COMPUTED_VALUE"""),"Frubits")</f>
        <v>Frubits</v>
      </c>
      <c r="F9164" s="17" t="str">
        <f>IFERROR(__xludf.DUMMYFUNCTION("""COMPUTED_VALUE"""),"av la lo toma cll 11 No. 7 a - 22 barrio centro restaurante Viña del Mar Neiva huila / av la lo toma cll 11 No. 7 a - 22 barrio centro restaurante Viña del Mar Neiva huila / av la lo toma cll 11 No. 7 a - 22 barrio centro restaurante Viña del Mar Neiva hu"&amp;"ila")</f>
        <v>av la lo toma cll 11 No. 7 a - 22 barrio centro restaurante Viña del Mar Neiva huila / av la lo toma cll 11 No. 7 a - 22 barrio centro restaurante Viña del Mar Neiva huila / av la lo toma cll 11 No. 7 a - 22 barrio centro restaurante Viña del Mar Neiva huila</v>
      </c>
      <c r="G9164" s="15" t="str">
        <f>IFERROR(__xludf.DUMMYFUNCTION("""COMPUTED_VALUE"""),"lizeth sadany payares irisma")</f>
        <v>lizeth sadany payares irisma</v>
      </c>
      <c r="H9164" s="16">
        <f>IFERROR(__xludf.DUMMYFUNCTION("""COMPUTED_VALUE"""),17862.0)</f>
        <v>17862</v>
      </c>
      <c r="I9164" s="18">
        <f>IFERROR(__xludf.DUMMYFUNCTION("""COMPUTED_VALUE"""),1.0)</f>
        <v>1</v>
      </c>
      <c r="J9164" s="18">
        <f>IFERROR(__xludf.DUMMYFUNCTION("""COMPUTED_VALUE"""),1.0)</f>
        <v>1</v>
      </c>
      <c r="K9164" s="18">
        <f>IFERROR(__xludf.DUMMYFUNCTION("""COMPUTED_VALUE"""),1.0)</f>
        <v>1</v>
      </c>
      <c r="L9164" s="17">
        <f>IFERROR(__xludf.DUMMYFUNCTION("""COMPUTED_VALUE"""),3.160553471E9)</f>
        <v>3160553471</v>
      </c>
      <c r="M9164" s="17"/>
      <c r="N9164" s="17"/>
      <c r="O9164" s="17"/>
      <c r="P9164" s="17" t="b">
        <f>IFERROR(__xludf.DUMMYFUNCTION("""COMPUTED_VALUE"""),FALSE)</f>
        <v>0</v>
      </c>
      <c r="Q9164" s="20" t="str">
        <f>IFERROR(__xludf.DUMMYFUNCTION("""COMPUTED_VALUE"""),"")</f>
        <v/>
      </c>
      <c r="R9164" s="21" t="str">
        <f>IFERROR(__xludf.DUMMYFUNCTION("""COMPUTED_VALUE"""),"https://drive.google.com/file/d/1TI38Pru68E8Fvd4YqTxnfaW6voj5pukO/view?usp=drivesdk")</f>
        <v>https://drive.google.com/file/d/1TI38Pru68E8Fvd4YqTxnfaW6voj5pukO/view?usp=drivesdk</v>
      </c>
    </row>
    <row r="9165">
      <c r="A9165" s="15">
        <f>IFERROR(__xludf.DUMMYFUNCTION("""COMPUTED_VALUE"""),45260.0)</f>
        <v>45260</v>
      </c>
      <c r="B9165" s="16" t="str">
        <f>IFERROR(__xludf.DUMMYFUNCTION("""COMPUTED_VALUE"""),"Envia")</f>
        <v>Envia</v>
      </c>
      <c r="C9165" s="15" t="str">
        <f>IFERROR(__xludf.DUMMYFUNCTION("""COMPUTED_VALUE"""),"NEIVA")</f>
        <v>NEIVA</v>
      </c>
      <c r="D9165" s="15" t="str">
        <f>IFERROR(__xludf.DUMMYFUNCTION("""COMPUTED_VALUE"""),"BOGOTÁ")</f>
        <v>BOGOTÁ</v>
      </c>
      <c r="E9165" s="15" t="str">
        <f>IFERROR(__xludf.DUMMYFUNCTION("""COMPUTED_VALUE"""),"LINA PAOLA RAMIREZ GOMEZ - EVA MAZZITA")</f>
        <v>LINA PAOLA RAMIREZ GOMEZ - EVA MAZZITA</v>
      </c>
      <c r="F9165" s="17" t="str">
        <f>IFERROR(__xludf.DUMMYFUNCTION("""COMPUTED_VALUE"""),"Calle 56B No 17-71 / Apto 701 Torre 3 conjunto Amaranto")</f>
        <v>Calle 56B No 17-71 / Apto 701 Torre 3 conjunto Amaranto</v>
      </c>
      <c r="G9165" s="15" t="str">
        <f>IFERROR(__xludf.DUMMYFUNCTION("""COMPUTED_VALUE"""),"JENNIFER CAMPOS")</f>
        <v>JENNIFER CAMPOS</v>
      </c>
      <c r="H9165" s="16">
        <f>IFERROR(__xludf.DUMMYFUNCTION("""COMPUTED_VALUE"""),17853.0)</f>
        <v>17853</v>
      </c>
      <c r="I9165" s="17"/>
      <c r="J9165" s="17"/>
      <c r="K9165" s="17"/>
      <c r="L9165" s="17">
        <f>IFERROR(__xludf.DUMMYFUNCTION("""COMPUTED_VALUE"""),3.175322511E9)</f>
        <v>3175322511</v>
      </c>
      <c r="M9165" s="17"/>
      <c r="N9165" s="17"/>
      <c r="O9165" s="17"/>
      <c r="P9165" s="17" t="b">
        <f>IFERROR(__xludf.DUMMYFUNCTION("""COMPUTED_VALUE"""),FALSE)</f>
        <v>0</v>
      </c>
      <c r="Q9165" s="20" t="str">
        <f>IFERROR(__xludf.DUMMYFUNCTION("""COMPUTED_VALUE"""),"")</f>
        <v/>
      </c>
      <c r="R9165" s="21" t="str">
        <f>IFERROR(__xludf.DUMMYFUNCTION("""COMPUTED_VALUE"""),"https://drive.google.com/file/d/1P2vlaYvJEkr9YqEdmbSy0OcCLSkM9vcQ/view?usp=drivesdk")</f>
        <v>https://drive.google.com/file/d/1P2vlaYvJEkr9YqEdmbSy0OcCLSkM9vcQ/view?usp=drivesdk</v>
      </c>
    </row>
    <row r="9166">
      <c r="A9166" s="15">
        <f>IFERROR(__xludf.DUMMYFUNCTION("""COMPUTED_VALUE"""),45260.0)</f>
        <v>45260</v>
      </c>
      <c r="B9166" s="16" t="str">
        <f>IFERROR(__xludf.DUMMYFUNCTION("""COMPUTED_VALUE"""),"Envia")</f>
        <v>Envia</v>
      </c>
      <c r="C9166" s="15" t="str">
        <f>IFERROR(__xludf.DUMMYFUNCTION("""COMPUTED_VALUE"""),"NEIVA")</f>
        <v>NEIVA</v>
      </c>
      <c r="D9166" s="15" t="str">
        <f>IFERROR(__xludf.DUMMYFUNCTION("""COMPUTED_VALUE"""),"BOGOTÁ")</f>
        <v>BOGOTÁ</v>
      </c>
      <c r="E9166" s="15" t="str">
        <f>IFERROR(__xludf.DUMMYFUNCTION("""COMPUTED_VALUE"""),"LINA PAOLA RAMIREZ GOMEZ - EVA MAZZITA")</f>
        <v>LINA PAOLA RAMIREZ GOMEZ - EVA MAZZITA</v>
      </c>
      <c r="F9166" s="17" t="str">
        <f>IFERROR(__xludf.DUMMYFUNCTION("""COMPUTED_VALUE"""),"Calle 57 # 1 aw 81 / Ciudadela comfamiliar")</f>
        <v>Calle 57 # 1 aw 81 / Ciudadela comfamiliar</v>
      </c>
      <c r="G9166" s="15" t="str">
        <f>IFERROR(__xludf.DUMMYFUNCTION("""COMPUTED_VALUE"""),"MARIA YULIETH QUIMBAYO MEDINA")</f>
        <v>MARIA YULIETH QUIMBAYO MEDINA</v>
      </c>
      <c r="H9166" s="16">
        <f>IFERROR(__xludf.DUMMYFUNCTION("""COMPUTED_VALUE"""),17855.0)</f>
        <v>17855</v>
      </c>
      <c r="I9166" s="17"/>
      <c r="J9166" s="17"/>
      <c r="K9166" s="17"/>
      <c r="L9166" s="17">
        <f>IFERROR(__xludf.DUMMYFUNCTION("""COMPUTED_VALUE"""),3.178547825E9)</f>
        <v>3178547825</v>
      </c>
      <c r="M9166" s="17"/>
      <c r="N9166" s="17"/>
      <c r="O9166" s="17"/>
      <c r="P9166" s="17" t="b">
        <f>IFERROR(__xludf.DUMMYFUNCTION("""COMPUTED_VALUE"""),FALSE)</f>
        <v>0</v>
      </c>
      <c r="Q9166" s="20" t="str">
        <f>IFERROR(__xludf.DUMMYFUNCTION("""COMPUTED_VALUE"""),"")</f>
        <v/>
      </c>
      <c r="R9166" s="21" t="str">
        <f>IFERROR(__xludf.DUMMYFUNCTION("""COMPUTED_VALUE"""),"https://drive.google.com/file/d/1fCVxhMWMAB5RA8KphhOqRMV1i1lU19BT/view?usp=drivesdk")</f>
        <v>https://drive.google.com/file/d/1fCVxhMWMAB5RA8KphhOqRMV1i1lU19BT/view?usp=drivesdk</v>
      </c>
    </row>
    <row r="9167">
      <c r="A9167" s="15">
        <f>IFERROR(__xludf.DUMMYFUNCTION("""COMPUTED_VALUE"""),45260.0)</f>
        <v>45260</v>
      </c>
      <c r="B9167" s="16" t="str">
        <f>IFERROR(__xludf.DUMMYFUNCTION("""COMPUTED_VALUE"""),"Envia")</f>
        <v>Envia</v>
      </c>
      <c r="C9167" s="15" t="str">
        <f>IFERROR(__xludf.DUMMYFUNCTION("""COMPUTED_VALUE"""),"NEIVA")</f>
        <v>NEIVA</v>
      </c>
      <c r="D9167" s="15" t="str">
        <f>IFERROR(__xludf.DUMMYFUNCTION("""COMPUTED_VALUE"""),"ENVIGADO")</f>
        <v>ENVIGADO</v>
      </c>
      <c r="E9167" s="15" t="str">
        <f>IFERROR(__xludf.DUMMYFUNCTION("""COMPUTED_VALUE"""),"JUAN CAMILO CORDOBA")</f>
        <v>JUAN CAMILO CORDOBA</v>
      </c>
      <c r="F9167" s="17" t="str">
        <f>IFERROR(__xludf.DUMMYFUNCTION("""COMPUTED_VALUE"""),"Carrera 15 No. 23 A - 41 sur / Conjunto multicentro Apto 103 torre 3")</f>
        <v>Carrera 15 No. 23 A - 41 sur / Conjunto multicentro Apto 103 torre 3</v>
      </c>
      <c r="G9167" s="15" t="str">
        <f>IFERROR(__xludf.DUMMYFUNCTION("""COMPUTED_VALUE"""),"Natalia Charry Pastrana")</f>
        <v>Natalia Charry Pastrana</v>
      </c>
      <c r="H9167" s="16">
        <f>IFERROR(__xludf.DUMMYFUNCTION("""COMPUTED_VALUE"""),17758.0)</f>
        <v>17758</v>
      </c>
      <c r="I9167" s="17"/>
      <c r="J9167" s="17"/>
      <c r="K9167" s="17"/>
      <c r="L9167" s="17">
        <f>IFERROR(__xludf.DUMMYFUNCTION("""COMPUTED_VALUE"""),3.023771068E9)</f>
        <v>3023771068</v>
      </c>
      <c r="M9167" s="17"/>
      <c r="N9167" s="17"/>
      <c r="O9167" s="17"/>
      <c r="P9167" s="17" t="b">
        <f>IFERROR(__xludf.DUMMYFUNCTION("""COMPUTED_VALUE"""),FALSE)</f>
        <v>0</v>
      </c>
      <c r="Q9167" s="20" t="str">
        <f>IFERROR(__xludf.DUMMYFUNCTION("""COMPUTED_VALUE"""),"")</f>
        <v/>
      </c>
      <c r="R9167" s="21" t="str">
        <f>IFERROR(__xludf.DUMMYFUNCTION("""COMPUTED_VALUE"""),"https://drive.google.com/file/d/1tGsxfbpfHrg_KgklzsxapuoCUr3pO2cn/view?usp=drivesdk")</f>
        <v>https://drive.google.com/file/d/1tGsxfbpfHrg_KgklzsxapuoCUr3pO2cn/view?usp=drivesdk</v>
      </c>
    </row>
    <row r="9168">
      <c r="A9168" s="15">
        <f>IFERROR(__xludf.DUMMYFUNCTION("""COMPUTED_VALUE"""),45260.0)</f>
        <v>45260</v>
      </c>
      <c r="B9168" s="16" t="str">
        <f>IFERROR(__xludf.DUMMYFUNCTION("""COMPUTED_VALUE"""),"Envia")</f>
        <v>Envia</v>
      </c>
      <c r="C9168" s="15" t="str">
        <f>IFERROR(__xludf.DUMMYFUNCTION("""COMPUTED_VALUE"""),"SINCELEJO")</f>
        <v>SINCELEJO</v>
      </c>
      <c r="D9168" s="15" t="str">
        <f>IFERROR(__xludf.DUMMYFUNCTION("""COMPUTED_VALUE"""),"ENVIGADO")</f>
        <v>ENVIGADO</v>
      </c>
      <c r="E9168" s="15" t="str">
        <f>IFERROR(__xludf.DUMMYFUNCTION("""COMPUTED_VALUE"""),"JUAN CAMILO CORDOBA")</f>
        <v>JUAN CAMILO CORDOBA</v>
      </c>
      <c r="F9168" s="17" t="str">
        <f>IFERROR(__xludf.DUMMYFUNCTION("""COMPUTED_VALUE"""),"Calle 32 #33 -119 / local 101 cc living mall")</f>
        <v>Calle 32 #33 -119 / local 101 cc living mall</v>
      </c>
      <c r="G9168" s="15" t="str">
        <f>IFERROR(__xludf.DUMMYFUNCTION("""COMPUTED_VALUE"""),"Oliva")</f>
        <v>Oliva</v>
      </c>
      <c r="H9168" s="16">
        <f>IFERROR(__xludf.DUMMYFUNCTION("""COMPUTED_VALUE"""),17804.0)</f>
        <v>17804</v>
      </c>
      <c r="I9168" s="17"/>
      <c r="J9168" s="17"/>
      <c r="K9168" s="17"/>
      <c r="L9168" s="17">
        <f>IFERROR(__xludf.DUMMYFUNCTION("""COMPUTED_VALUE"""),3.022293728E9)</f>
        <v>3022293728</v>
      </c>
      <c r="M9168" s="17"/>
      <c r="N9168" s="17"/>
      <c r="O9168" s="17"/>
      <c r="P9168" s="17" t="b">
        <f>IFERROR(__xludf.DUMMYFUNCTION("""COMPUTED_VALUE"""),FALSE)</f>
        <v>0</v>
      </c>
      <c r="Q9168" s="20" t="str">
        <f>IFERROR(__xludf.DUMMYFUNCTION("""COMPUTED_VALUE"""),"")</f>
        <v/>
      </c>
      <c r="R9168" s="21" t="str">
        <f>IFERROR(__xludf.DUMMYFUNCTION("""COMPUTED_VALUE"""),"https://drive.google.com/file/d/1U6QdYIdsMvwUiAkutpPJszFRfwrIJBDf/view?usp=drivesdk")</f>
        <v>https://drive.google.com/file/d/1U6QdYIdsMvwUiAkutpPJszFRfwrIJBDf/view?usp=drivesdk</v>
      </c>
    </row>
    <row r="9169">
      <c r="A9169" s="17" t="str">
        <f>IFERROR(__xludf.DUMMYFUNCTION("""COMPUTED_VALUE"""),"")</f>
        <v/>
      </c>
      <c r="B9169" s="17" t="str">
        <f>IFERROR(__xludf.DUMMYFUNCTION("""COMPUTED_VALUE"""),"")</f>
        <v/>
      </c>
      <c r="C9169" s="17" t="str">
        <f>IFERROR(__xludf.DUMMYFUNCTION("""COMPUTED_VALUE"""),"")</f>
        <v/>
      </c>
      <c r="D9169" s="17" t="str">
        <f>IFERROR(__xludf.DUMMYFUNCTION("""COMPUTED_VALUE"""),"")</f>
        <v/>
      </c>
      <c r="E9169" s="17" t="str">
        <f>IFERROR(__xludf.DUMMYFUNCTION("""COMPUTED_VALUE"""),"")</f>
        <v/>
      </c>
      <c r="F9169" s="17" t="str">
        <f>IFERROR(__xludf.DUMMYFUNCTION("""COMPUTED_VALUE"""),"")</f>
        <v/>
      </c>
      <c r="G9169" s="17" t="str">
        <f>IFERROR(__xludf.DUMMYFUNCTION("""COMPUTED_VALUE"""),"")</f>
        <v/>
      </c>
      <c r="H9169" s="17" t="str">
        <f>IFERROR(__xludf.DUMMYFUNCTION("""COMPUTED_VALUE"""),"")</f>
        <v/>
      </c>
      <c r="I9169" s="17" t="str">
        <f>IFERROR(__xludf.DUMMYFUNCTION("""COMPUTED_VALUE"""),"")</f>
        <v/>
      </c>
      <c r="J9169" s="17" t="str">
        <f>IFERROR(__xludf.DUMMYFUNCTION("""COMPUTED_VALUE"""),"")</f>
        <v/>
      </c>
      <c r="K9169" s="17" t="str">
        <f>IFERROR(__xludf.DUMMYFUNCTION("""COMPUTED_VALUE"""),"")</f>
        <v/>
      </c>
      <c r="L9169" s="17" t="str">
        <f>IFERROR(__xludf.DUMMYFUNCTION("""COMPUTED_VALUE"""),"")</f>
        <v/>
      </c>
      <c r="M9169" s="17" t="str">
        <f>IFERROR(__xludf.DUMMYFUNCTION("""COMPUTED_VALUE"""),"")</f>
        <v/>
      </c>
      <c r="N9169" s="17" t="str">
        <f>IFERROR(__xludf.DUMMYFUNCTION("""COMPUTED_VALUE"""),"")</f>
        <v/>
      </c>
      <c r="O9169" s="17" t="str">
        <f>IFERROR(__xludf.DUMMYFUNCTION("""COMPUTED_VALUE"""),"")</f>
        <v/>
      </c>
      <c r="P9169" s="17" t="str">
        <f>IFERROR(__xludf.DUMMYFUNCTION("""COMPUTED_VALUE"""),"")</f>
        <v/>
      </c>
      <c r="Q9169" s="17" t="str">
        <f>IFERROR(__xludf.DUMMYFUNCTION("""COMPUTED_VALUE"""),"")</f>
        <v/>
      </c>
      <c r="R9169" s="17" t="str">
        <f>IFERROR(__xludf.DUMMYFUNCTION("""COMPUTED_VALUE"""),"")</f>
        <v/>
      </c>
    </row>
    <row r="9170">
      <c r="A9170" s="15">
        <f>IFERROR(__xludf.DUMMYFUNCTION("""COMPUTED_VALUE"""),45260.0)</f>
        <v>45260</v>
      </c>
      <c r="B9170" s="16" t="str">
        <f>IFERROR(__xludf.DUMMYFUNCTION("""COMPUTED_VALUE"""),"Johanna Arango Barrera")</f>
        <v>Johanna Arango Barrera</v>
      </c>
      <c r="C9170" s="15" t="str">
        <f>IFERROR(__xludf.DUMMYFUNCTION("""COMPUTED_VALUE"""),"BUCARAMANGA")</f>
        <v>BUCARAMANGA</v>
      </c>
      <c r="D9170" s="15" t="str">
        <f>IFERROR(__xludf.DUMMYFUNCTION("""COMPUTED_VALUE"""),"BOGOTÁ")</f>
        <v>BOGOTÁ</v>
      </c>
      <c r="E9170" s="15" t="str">
        <f>IFERROR(__xludf.DUMMYFUNCTION("""COMPUTED_VALUE"""),"LINA PAOLA RAMIREZ GOMEZ - EVA MAZZITA")</f>
        <v>LINA PAOLA RAMIREZ GOMEZ - EVA MAZZITA</v>
      </c>
      <c r="F9170" s="17" t="str">
        <f>IFERROR(__xludf.DUMMYFUNCTION("""COMPUTED_VALUE"""),"Av 87 # 24-09 / conjunto dimanti torre 2 apto 1008")</f>
        <v>Av 87 # 24-09 / conjunto dimanti torre 2 apto 1008</v>
      </c>
      <c r="G9170" s="15" t="str">
        <f>IFERROR(__xludf.DUMMYFUNCTION("""COMPUTED_VALUE"""),"MARIA LEAL ZABALA")</f>
        <v>MARIA LEAL ZABALA</v>
      </c>
      <c r="H9170" s="16">
        <f>IFERROR(__xludf.DUMMYFUNCTION("""COMPUTED_VALUE"""),17836.0)</f>
        <v>17836</v>
      </c>
      <c r="I9170" s="17"/>
      <c r="J9170" s="17"/>
      <c r="K9170" s="17"/>
      <c r="L9170" s="17">
        <f>IFERROR(__xludf.DUMMYFUNCTION("""COMPUTED_VALUE"""),3.188170159E9)</f>
        <v>3188170159</v>
      </c>
      <c r="M9170" s="17"/>
      <c r="N9170" s="17"/>
      <c r="O9170" s="17"/>
      <c r="P9170" s="17" t="b">
        <f>IFERROR(__xludf.DUMMYFUNCTION("""COMPUTED_VALUE"""),FALSE)</f>
        <v>0</v>
      </c>
      <c r="Q9170" s="20" t="str">
        <f>IFERROR(__xludf.DUMMYFUNCTION("""COMPUTED_VALUE"""),"")</f>
        <v/>
      </c>
      <c r="R9170" s="21" t="str">
        <f>IFERROR(__xludf.DUMMYFUNCTION("""COMPUTED_VALUE"""),"https://drive.google.com/file/d/1vJtuPwh5hx-J75KS6_5LUdft6w4MxEAu/view?usp=drivesdk")</f>
        <v>https://drive.google.com/file/d/1vJtuPwh5hx-J75KS6_5LUdft6w4MxEAu/view?usp=drivesdk</v>
      </c>
    </row>
    <row r="9171">
      <c r="A9171" s="15">
        <f>IFERROR(__xludf.DUMMYFUNCTION("""COMPUTED_VALUE"""),45260.0)</f>
        <v>45260</v>
      </c>
      <c r="B9171" s="16" t="str">
        <f>IFERROR(__xludf.DUMMYFUNCTION("""COMPUTED_VALUE"""),"Johanna Arango Barrera")</f>
        <v>Johanna Arango Barrera</v>
      </c>
      <c r="C9171" s="15" t="str">
        <f>IFERROR(__xludf.DUMMYFUNCTION("""COMPUTED_VALUE"""),"BUCARAMANGA")</f>
        <v>BUCARAMANGA</v>
      </c>
      <c r="D9171" s="15" t="str">
        <f>IFERROR(__xludf.DUMMYFUNCTION("""COMPUTED_VALUE"""),"BOGOTÁ")</f>
        <v>BOGOTÁ</v>
      </c>
      <c r="E9171" s="15" t="str">
        <f>IFERROR(__xludf.DUMMYFUNCTION("""COMPUTED_VALUE"""),"LINA PAOLA RAMIREZ GOMEZ - EVA MAZZITA")</f>
        <v>LINA PAOLA RAMIREZ GOMEZ - EVA MAZZITA</v>
      </c>
      <c r="F9171" s="17" t="str">
        <f>IFERROR(__xludf.DUMMYFUNCTION("""COMPUTED_VALUE"""),"Bloque 14 apt 101 Campo hermoso quinta estrella / Bloque 14 apt 101 Campo hermoso quinta estrella")</f>
        <v>Bloque 14 apt 101 Campo hermoso quinta estrella / Bloque 14 apt 101 Campo hermoso quinta estrella</v>
      </c>
      <c r="G9171" s="15" t="str">
        <f>IFERROR(__xludf.DUMMYFUNCTION("""COMPUTED_VALUE"""),"JIMENA OCHOA")</f>
        <v>JIMENA OCHOA</v>
      </c>
      <c r="H9171" s="16">
        <f>IFERROR(__xludf.DUMMYFUNCTION("""COMPUTED_VALUE"""),17839.0)</f>
        <v>17839</v>
      </c>
      <c r="I9171" s="17"/>
      <c r="J9171" s="17"/>
      <c r="K9171" s="17"/>
      <c r="L9171" s="17">
        <f>IFERROR(__xludf.DUMMYFUNCTION("""COMPUTED_VALUE"""),3.00358854E9)</f>
        <v>3003588540</v>
      </c>
      <c r="M9171" s="17"/>
      <c r="N9171" s="17"/>
      <c r="O9171" s="17"/>
      <c r="P9171" s="17" t="b">
        <f>IFERROR(__xludf.DUMMYFUNCTION("""COMPUTED_VALUE"""),FALSE)</f>
        <v>0</v>
      </c>
      <c r="Q9171" s="20" t="str">
        <f>IFERROR(__xludf.DUMMYFUNCTION("""COMPUTED_VALUE"""),"")</f>
        <v/>
      </c>
      <c r="R9171" s="21" t="str">
        <f>IFERROR(__xludf.DUMMYFUNCTION("""COMPUTED_VALUE"""),"https://drive.google.com/file/d/1WN9fFEbSi72em6pFPDMl3r9dCQgC0ZX7/view?usp=drivesdk")</f>
        <v>https://drive.google.com/file/d/1WN9fFEbSi72em6pFPDMl3r9dCQgC0ZX7/view?usp=drivesdk</v>
      </c>
    </row>
    <row r="9172">
      <c r="A9172" s="15">
        <f>IFERROR(__xludf.DUMMYFUNCTION("""COMPUTED_VALUE"""),45260.0)</f>
        <v>45260</v>
      </c>
      <c r="B9172" s="16" t="str">
        <f>IFERROR(__xludf.DUMMYFUNCTION("""COMPUTED_VALUE"""),"Johanna Arango Barrera")</f>
        <v>Johanna Arango Barrera</v>
      </c>
      <c r="C9172" s="15" t="str">
        <f>IFERROR(__xludf.DUMMYFUNCTION("""COMPUTED_VALUE"""),"BUCARAMANGA")</f>
        <v>BUCARAMANGA</v>
      </c>
      <c r="D9172" s="15" t="str">
        <f>IFERROR(__xludf.DUMMYFUNCTION("""COMPUTED_VALUE"""),"BOGOTÁ")</f>
        <v>BOGOTÁ</v>
      </c>
      <c r="E9172" s="15" t="str">
        <f>IFERROR(__xludf.DUMMYFUNCTION("""COMPUTED_VALUE"""),"LINA PAOLA RAMIREZ GOMEZ - EVA MAZZITA")</f>
        <v>LINA PAOLA RAMIREZ GOMEZ - EVA MAZZITA</v>
      </c>
      <c r="F9172" s="17" t="str">
        <f>IFERROR(__xludf.DUMMYFUNCTION("""COMPUTED_VALUE"""),"Bloque 14 apt 101 Campo hermoso quinta estrella / Bloque 14 apt 101 Campo hermoso quinta estrella")</f>
        <v>Bloque 14 apt 101 Campo hermoso quinta estrella / Bloque 14 apt 101 Campo hermoso quinta estrella</v>
      </c>
      <c r="G9172" s="15" t="str">
        <f>IFERROR(__xludf.DUMMYFUNCTION("""COMPUTED_VALUE"""),"JIMENA OCHOA")</f>
        <v>JIMENA OCHOA</v>
      </c>
      <c r="H9172" s="16">
        <f>IFERROR(__xludf.DUMMYFUNCTION("""COMPUTED_VALUE"""),17842.0)</f>
        <v>17842</v>
      </c>
      <c r="I9172" s="17"/>
      <c r="J9172" s="17"/>
      <c r="K9172" s="17"/>
      <c r="L9172" s="17">
        <f>IFERROR(__xludf.DUMMYFUNCTION("""COMPUTED_VALUE"""),3.00358854E9)</f>
        <v>3003588540</v>
      </c>
      <c r="M9172" s="17"/>
      <c r="N9172" s="17"/>
      <c r="O9172" s="17"/>
      <c r="P9172" s="17" t="b">
        <f>IFERROR(__xludf.DUMMYFUNCTION("""COMPUTED_VALUE"""),FALSE)</f>
        <v>0</v>
      </c>
      <c r="Q9172" s="20" t="str">
        <f>IFERROR(__xludf.DUMMYFUNCTION("""COMPUTED_VALUE"""),"")</f>
        <v/>
      </c>
      <c r="R9172" s="22" t="str">
        <f>IFERROR(__xludf.DUMMYFUNCTION("""COMPUTED_VALUE"""),"")</f>
        <v/>
      </c>
    </row>
    <row r="9173">
      <c r="A9173" s="15">
        <f>IFERROR(__xludf.DUMMYFUNCTION("""COMPUTED_VALUE"""),45260.0)</f>
        <v>45260</v>
      </c>
      <c r="B9173" s="16" t="str">
        <f>IFERROR(__xludf.DUMMYFUNCTION("""COMPUTED_VALUE"""),"Johanna Arango Barrera")</f>
        <v>Johanna Arango Barrera</v>
      </c>
      <c r="C9173" s="15" t="str">
        <f>IFERROR(__xludf.DUMMYFUNCTION("""COMPUTED_VALUE"""),"BUCARAMANGA")</f>
        <v>BUCARAMANGA</v>
      </c>
      <c r="D9173" s="15" t="str">
        <f>IFERROR(__xludf.DUMMYFUNCTION("""COMPUTED_VALUE"""),"BOGOTÁ")</f>
        <v>BOGOTÁ</v>
      </c>
      <c r="E9173" s="15" t="str">
        <f>IFERROR(__xludf.DUMMYFUNCTION("""COMPUTED_VALUE"""),"LINA PAOLA RAMIREZ GOMEZ - EVA MAZZITA")</f>
        <v>LINA PAOLA RAMIREZ GOMEZ - EVA MAZZITA</v>
      </c>
      <c r="F9173" s="17" t="str">
        <f>IFERROR(__xludf.DUMMYFUNCTION("""COMPUTED_VALUE"""),"Calle 31a No. 41-21 / Barrio los Alpes, B/manga")</f>
        <v>Calle 31a No. 41-21 / Barrio los Alpes, B/manga</v>
      </c>
      <c r="G9173" s="15" t="str">
        <f>IFERROR(__xludf.DUMMYFUNCTION("""COMPUTED_VALUE"""),"SONIA PATRICIA SUAREZ")</f>
        <v>SONIA PATRICIA SUAREZ</v>
      </c>
      <c r="H9173" s="16">
        <f>IFERROR(__xludf.DUMMYFUNCTION("""COMPUTED_VALUE"""),17851.0)</f>
        <v>17851</v>
      </c>
      <c r="I9173" s="17"/>
      <c r="J9173" s="17"/>
      <c r="K9173" s="17"/>
      <c r="L9173" s="17">
        <f>IFERROR(__xludf.DUMMYFUNCTION("""COMPUTED_VALUE"""),3.005167857E9)</f>
        <v>3005167857</v>
      </c>
      <c r="M9173" s="17"/>
      <c r="N9173" s="17"/>
      <c r="O9173" s="17"/>
      <c r="P9173" s="17" t="b">
        <f>IFERROR(__xludf.DUMMYFUNCTION("""COMPUTED_VALUE"""),FALSE)</f>
        <v>0</v>
      </c>
      <c r="Q9173" s="20" t="str">
        <f>IFERROR(__xludf.DUMMYFUNCTION("""COMPUTED_VALUE"""),"")</f>
        <v/>
      </c>
      <c r="R9173" s="21" t="str">
        <f>IFERROR(__xludf.DUMMYFUNCTION("""COMPUTED_VALUE"""),"https://drive.google.com/file/d/1EUGYkTrU1toLR1p16iz78254Mw2QSP-s/view?usp=drivesdk")</f>
        <v>https://drive.google.com/file/d/1EUGYkTrU1toLR1p16iz78254Mw2QSP-s/view?usp=drivesdk</v>
      </c>
    </row>
    <row r="9174">
      <c r="A9174" s="15">
        <f>IFERROR(__xludf.DUMMYFUNCTION("""COMPUTED_VALUE"""),45260.0)</f>
        <v>45260</v>
      </c>
      <c r="B9174" s="16" t="str">
        <f>IFERROR(__xludf.DUMMYFUNCTION("""COMPUTED_VALUE"""),"Johanna Arango Barrera")</f>
        <v>Johanna Arango Barrera</v>
      </c>
      <c r="C9174" s="15" t="str">
        <f>IFERROR(__xludf.DUMMYFUNCTION("""COMPUTED_VALUE"""),"BUCARAMANGA")</f>
        <v>BUCARAMANGA</v>
      </c>
      <c r="D9174" s="15" t="str">
        <f>IFERROR(__xludf.DUMMYFUNCTION("""COMPUTED_VALUE"""),"BOGOTÁ")</f>
        <v>BOGOTÁ</v>
      </c>
      <c r="E9174" s="15" t="str">
        <f>IFERROR(__xludf.DUMMYFUNCTION("""COMPUTED_VALUE"""),"LINA PAOLA RAMIREZ GOMEZ - EVA MAZZITA")</f>
        <v>LINA PAOLA RAMIREZ GOMEZ - EVA MAZZITA</v>
      </c>
      <c r="F9174" s="17" t="str">
        <f>IFERROR(__xludf.DUMMYFUNCTION("""COMPUTED_VALUE"""),"CALLE 90 # 20 - 133 / BARRIO DIAMANTE 2")</f>
        <v>CALLE 90 # 20 - 133 / BARRIO DIAMANTE 2</v>
      </c>
      <c r="G9174" s="15" t="str">
        <f>IFERROR(__xludf.DUMMYFUNCTION("""COMPUTED_VALUE"""),"SILVIA JULIANA RIOS")</f>
        <v>SILVIA JULIANA RIOS</v>
      </c>
      <c r="H9174" s="16">
        <f>IFERROR(__xludf.DUMMYFUNCTION("""COMPUTED_VALUE"""),17837.0)</f>
        <v>17837</v>
      </c>
      <c r="I9174" s="17"/>
      <c r="J9174" s="17"/>
      <c r="K9174" s="17"/>
      <c r="L9174" s="17">
        <f>IFERROR(__xludf.DUMMYFUNCTION("""COMPUTED_VALUE"""),3.18576826E9)</f>
        <v>3185768260</v>
      </c>
      <c r="M9174" s="17"/>
      <c r="N9174" s="17"/>
      <c r="O9174" s="17"/>
      <c r="P9174" s="17" t="b">
        <f>IFERROR(__xludf.DUMMYFUNCTION("""COMPUTED_VALUE"""),FALSE)</f>
        <v>0</v>
      </c>
      <c r="Q9174" s="20" t="str">
        <f>IFERROR(__xludf.DUMMYFUNCTION("""COMPUTED_VALUE"""),"")</f>
        <v/>
      </c>
      <c r="R9174" s="21" t="str">
        <f>IFERROR(__xludf.DUMMYFUNCTION("""COMPUTED_VALUE"""),"https://drive.google.com/file/d/1oD1eypaQN-yJrzHPub9RplC_NzsrwGc-/view?usp=drivesdk")</f>
        <v>https://drive.google.com/file/d/1oD1eypaQN-yJrzHPub9RplC_NzsrwGc-/view?usp=drivesdk</v>
      </c>
    </row>
    <row r="9175">
      <c r="A9175" s="15">
        <f>IFERROR(__xludf.DUMMYFUNCTION("""COMPUTED_VALUE"""),45260.0)</f>
        <v>45260</v>
      </c>
      <c r="B9175" s="16" t="str">
        <f>IFERROR(__xludf.DUMMYFUNCTION("""COMPUTED_VALUE"""),"Johanna Arango Barrera")</f>
        <v>Johanna Arango Barrera</v>
      </c>
      <c r="C9175" s="15" t="str">
        <f>IFERROR(__xludf.DUMMYFUNCTION("""COMPUTED_VALUE"""),"BUCARAMANGA")</f>
        <v>BUCARAMANGA</v>
      </c>
      <c r="D9175" s="15" t="str">
        <f>IFERROR(__xludf.DUMMYFUNCTION("""COMPUTED_VALUE"""),"BOGOTÁ")</f>
        <v>BOGOTÁ</v>
      </c>
      <c r="E9175" s="15" t="str">
        <f>IFERROR(__xludf.DUMMYFUNCTION("""COMPUTED_VALUE"""),"LINA PAOLA RAMIREZ GOMEZ - EVA MAZZITA")</f>
        <v>LINA PAOLA RAMIREZ GOMEZ - EVA MAZZITA</v>
      </c>
      <c r="F9175" s="17" t="str">
        <f>IFERROR(__xludf.DUMMYFUNCTION("""COMPUTED_VALUE"""),"CALLE 92 No. 56-02 / HACIENDA SAN JUAN")</f>
        <v>CALLE 92 No. 56-02 / HACIENDA SAN JUAN</v>
      </c>
      <c r="G9175" s="15" t="str">
        <f>IFERROR(__xludf.DUMMYFUNCTION("""COMPUTED_VALUE"""),"XIOMARA PABUENCE")</f>
        <v>XIOMARA PABUENCE</v>
      </c>
      <c r="H9175" s="16">
        <f>IFERROR(__xludf.DUMMYFUNCTION("""COMPUTED_VALUE"""),17838.0)</f>
        <v>17838</v>
      </c>
      <c r="I9175" s="17"/>
      <c r="J9175" s="17"/>
      <c r="K9175" s="17"/>
      <c r="L9175" s="17">
        <f>IFERROR(__xludf.DUMMYFUNCTION("""COMPUTED_VALUE"""),3.21271685E9)</f>
        <v>3212716850</v>
      </c>
      <c r="M9175" s="17"/>
      <c r="N9175" s="17"/>
      <c r="O9175" s="17"/>
      <c r="P9175" s="17" t="b">
        <f>IFERROR(__xludf.DUMMYFUNCTION("""COMPUTED_VALUE"""),FALSE)</f>
        <v>0</v>
      </c>
      <c r="Q9175" s="20" t="str">
        <f>IFERROR(__xludf.DUMMYFUNCTION("""COMPUTED_VALUE"""),"")</f>
        <v/>
      </c>
      <c r="R9175" s="21" t="str">
        <f>IFERROR(__xludf.DUMMYFUNCTION("""COMPUTED_VALUE"""),"https://drive.google.com/file/d/1J14mUyc-gkT4EZyHcJpxi0GiMZTLoPVx/view?usp=drivesdk")</f>
        <v>https://drive.google.com/file/d/1J14mUyc-gkT4EZyHcJpxi0GiMZTLoPVx/view?usp=drivesdk</v>
      </c>
    </row>
    <row r="9176">
      <c r="A9176" s="15">
        <f>IFERROR(__xludf.DUMMYFUNCTION("""COMPUTED_VALUE"""),45260.0)</f>
        <v>45260</v>
      </c>
      <c r="B9176" s="16" t="str">
        <f>IFERROR(__xludf.DUMMYFUNCTION("""COMPUTED_VALUE"""),"Johanna Arango Barrera")</f>
        <v>Johanna Arango Barrera</v>
      </c>
      <c r="C9176" s="15" t="str">
        <f>IFERROR(__xludf.DUMMYFUNCTION("""COMPUTED_VALUE"""),"BUCARAMANGA")</f>
        <v>BUCARAMANGA</v>
      </c>
      <c r="D9176" s="15" t="str">
        <f>IFERROR(__xludf.DUMMYFUNCTION("""COMPUTED_VALUE"""),"BOGOTÁ")</f>
        <v>BOGOTÁ</v>
      </c>
      <c r="E9176" s="15" t="str">
        <f>IFERROR(__xludf.DUMMYFUNCTION("""COMPUTED_VALUE"""),"LINA PAOLA RAMIREZ GOMEZ - EVA MAZZITA")</f>
        <v>LINA PAOLA RAMIREZ GOMEZ - EVA MAZZITA</v>
      </c>
      <c r="F9176" s="17" t="str">
        <f>IFERROR(__xludf.DUMMYFUNCTION("""COMPUTED_VALUE"""),"Circunvalar 35 # 92-156 / conjunto británia Torre 2 apto 1708 Barrio el tejar")</f>
        <v>Circunvalar 35 # 92-156 / conjunto británia Torre 2 apto 1708 Barrio el tejar</v>
      </c>
      <c r="G9176" s="15" t="str">
        <f>IFERROR(__xludf.DUMMYFUNCTION("""COMPUTED_VALUE"""),"MARCELA JAIMES")</f>
        <v>MARCELA JAIMES</v>
      </c>
      <c r="H9176" s="16">
        <f>IFERROR(__xludf.DUMMYFUNCTION("""COMPUTED_VALUE"""),17844.0)</f>
        <v>17844</v>
      </c>
      <c r="I9176" s="17"/>
      <c r="J9176" s="17"/>
      <c r="K9176" s="17"/>
      <c r="L9176" s="17">
        <f>IFERROR(__xludf.DUMMYFUNCTION("""COMPUTED_VALUE"""),3.164222887E9)</f>
        <v>3164222887</v>
      </c>
      <c r="M9176" s="17"/>
      <c r="N9176" s="17"/>
      <c r="O9176" s="17"/>
      <c r="P9176" s="17" t="b">
        <f>IFERROR(__xludf.DUMMYFUNCTION("""COMPUTED_VALUE"""),FALSE)</f>
        <v>0</v>
      </c>
      <c r="Q9176" s="20" t="str">
        <f>IFERROR(__xludf.DUMMYFUNCTION("""COMPUTED_VALUE"""),"")</f>
        <v/>
      </c>
      <c r="R9176" s="21" t="str">
        <f>IFERROR(__xludf.DUMMYFUNCTION("""COMPUTED_VALUE"""),"https://drive.google.com/file/d/18QWJnA7_ymY0iZ2KnV2MapN-ry2oCyhz/view?usp=drivesdk")</f>
        <v>https://drive.google.com/file/d/18QWJnA7_ymY0iZ2KnV2MapN-ry2oCyhz/view?usp=drivesdk</v>
      </c>
    </row>
    <row r="9177">
      <c r="A9177" s="15">
        <f>IFERROR(__xludf.DUMMYFUNCTION("""COMPUTED_VALUE"""),45260.0)</f>
        <v>45260</v>
      </c>
      <c r="B9177" s="16" t="str">
        <f>IFERROR(__xludf.DUMMYFUNCTION("""COMPUTED_VALUE"""),"Johanna Arango Barrera")</f>
        <v>Johanna Arango Barrera</v>
      </c>
      <c r="C9177" s="15" t="str">
        <f>IFERROR(__xludf.DUMMYFUNCTION("""COMPUTED_VALUE"""),"BUCARAMANGA")</f>
        <v>BUCARAMANGA</v>
      </c>
      <c r="D9177" s="15" t="str">
        <f>IFERROR(__xludf.DUMMYFUNCTION("""COMPUTED_VALUE"""),"BOGOTÁ")</f>
        <v>BOGOTÁ</v>
      </c>
      <c r="E9177" s="15" t="str">
        <f>IFERROR(__xludf.DUMMYFUNCTION("""COMPUTED_VALUE"""),"LINA PAOLA RAMIREZ GOMEZ - EVA MAZZITA")</f>
        <v>LINA PAOLA RAMIREZ GOMEZ - EVA MAZZITA</v>
      </c>
      <c r="F9177" s="17" t="str">
        <f>IFERROR(__xludf.DUMMYFUNCTION("""COMPUTED_VALUE"""),"CRA 20 No. 110 - 69 / CONJUNTO SAN LORENZO 2 APTO 1505 PROVENZA")</f>
        <v>CRA 20 No. 110 - 69 / CONJUNTO SAN LORENZO 2 APTO 1505 PROVENZA</v>
      </c>
      <c r="G9177" s="15" t="str">
        <f>IFERROR(__xludf.DUMMYFUNCTION("""COMPUTED_VALUE"""),"LAURA VANESSA PADILLA")</f>
        <v>LAURA VANESSA PADILLA</v>
      </c>
      <c r="H9177" s="16">
        <f>IFERROR(__xludf.DUMMYFUNCTION("""COMPUTED_VALUE"""),17833.0)</f>
        <v>17833</v>
      </c>
      <c r="I9177" s="17"/>
      <c r="J9177" s="17"/>
      <c r="K9177" s="17"/>
      <c r="L9177" s="17">
        <f>IFERROR(__xludf.DUMMYFUNCTION("""COMPUTED_VALUE"""),3.045236772E9)</f>
        <v>3045236772</v>
      </c>
      <c r="M9177" s="17"/>
      <c r="N9177" s="17"/>
      <c r="O9177" s="17"/>
      <c r="P9177" s="17" t="b">
        <f>IFERROR(__xludf.DUMMYFUNCTION("""COMPUTED_VALUE"""),FALSE)</f>
        <v>0</v>
      </c>
      <c r="Q9177" s="20" t="str">
        <f>IFERROR(__xludf.DUMMYFUNCTION("""COMPUTED_VALUE"""),"")</f>
        <v/>
      </c>
      <c r="R9177" s="21" t="str">
        <f>IFERROR(__xludf.DUMMYFUNCTION("""COMPUTED_VALUE"""),"https://drive.google.com/file/d/1fvK7HE4M3o7a39-S_JHfdx9kb6r8RZNK/view?usp=drivesdk")</f>
        <v>https://drive.google.com/file/d/1fvK7HE4M3o7a39-S_JHfdx9kb6r8RZNK/view?usp=drivesdk</v>
      </c>
    </row>
    <row r="9178">
      <c r="A9178" s="15">
        <f>IFERROR(__xludf.DUMMYFUNCTION("""COMPUTED_VALUE"""),45260.0)</f>
        <v>45260</v>
      </c>
      <c r="B9178" s="16" t="str">
        <f>IFERROR(__xludf.DUMMYFUNCTION("""COMPUTED_VALUE"""),"Johanna Arango Barrera")</f>
        <v>Johanna Arango Barrera</v>
      </c>
      <c r="C9178" s="15" t="str">
        <f>IFERROR(__xludf.DUMMYFUNCTION("""COMPUTED_VALUE"""),"BUCARAMANGA")</f>
        <v>BUCARAMANGA</v>
      </c>
      <c r="D9178" s="15" t="str">
        <f>IFERROR(__xludf.DUMMYFUNCTION("""COMPUTED_VALUE"""),"BOGOTÁ")</f>
        <v>BOGOTÁ</v>
      </c>
      <c r="E9178" s="15" t="str">
        <f>IFERROR(__xludf.DUMMYFUNCTION("""COMPUTED_VALUE"""),"LINA PAOLA RAMIREZ GOMEZ - EVA MAZZITA")</f>
        <v>LINA PAOLA RAMIREZ GOMEZ - EVA MAZZITA</v>
      </c>
      <c r="F9178" s="17" t="str">
        <f>IFERROR(__xludf.DUMMYFUNCTION("""COMPUTED_VALUE"""),"Cra 25#20-15 / apto 201 San Francisco")</f>
        <v>Cra 25#20-15 / apto 201 San Francisco</v>
      </c>
      <c r="G9178" s="15" t="str">
        <f>IFERROR(__xludf.DUMMYFUNCTION("""COMPUTED_VALUE"""),"CLAUDIA TIBAMOZA")</f>
        <v>CLAUDIA TIBAMOZA</v>
      </c>
      <c r="H9178" s="16">
        <f>IFERROR(__xludf.DUMMYFUNCTION("""COMPUTED_VALUE"""),17831.0)</f>
        <v>17831</v>
      </c>
      <c r="I9178" s="17"/>
      <c r="J9178" s="17"/>
      <c r="K9178" s="17"/>
      <c r="L9178" s="17">
        <f>IFERROR(__xludf.DUMMYFUNCTION("""COMPUTED_VALUE"""),3.166240312E9)</f>
        <v>3166240312</v>
      </c>
      <c r="M9178" s="17"/>
      <c r="N9178" s="17"/>
      <c r="O9178" s="17"/>
      <c r="P9178" s="17" t="b">
        <f>IFERROR(__xludf.DUMMYFUNCTION("""COMPUTED_VALUE"""),FALSE)</f>
        <v>0</v>
      </c>
      <c r="Q9178" s="20" t="str">
        <f>IFERROR(__xludf.DUMMYFUNCTION("""COMPUTED_VALUE"""),"")</f>
        <v/>
      </c>
      <c r="R9178" s="21" t="str">
        <f>IFERROR(__xludf.DUMMYFUNCTION("""COMPUTED_VALUE"""),"https://drive.google.com/file/d/1JNkrUp2Kj42DcBCtEz6sNrpVtBZy43XS/view?usp=drivesdk")</f>
        <v>https://drive.google.com/file/d/1JNkrUp2Kj42DcBCtEz6sNrpVtBZy43XS/view?usp=drivesdk</v>
      </c>
    </row>
    <row r="9179">
      <c r="A9179" s="15">
        <f>IFERROR(__xludf.DUMMYFUNCTION("""COMPUTED_VALUE"""),45260.0)</f>
        <v>45260</v>
      </c>
      <c r="B9179" s="16" t="str">
        <f>IFERROR(__xludf.DUMMYFUNCTION("""COMPUTED_VALUE"""),"Johanna Arango Barrera")</f>
        <v>Johanna Arango Barrera</v>
      </c>
      <c r="C9179" s="15" t="str">
        <f>IFERROR(__xludf.DUMMYFUNCTION("""COMPUTED_VALUE"""),"BUCARAMANGA")</f>
        <v>BUCARAMANGA</v>
      </c>
      <c r="D9179" s="15" t="str">
        <f>IFERROR(__xludf.DUMMYFUNCTION("""COMPUTED_VALUE"""),"BOGOTÁ")</f>
        <v>BOGOTÁ</v>
      </c>
      <c r="E9179" s="15" t="str">
        <f>IFERROR(__xludf.DUMMYFUNCTION("""COMPUTED_VALUE"""),"LINA PAOLA RAMIREZ GOMEZ - EVA MAZZITA")</f>
        <v>LINA PAOLA RAMIREZ GOMEZ - EVA MAZZITA</v>
      </c>
      <c r="F9179" s="17" t="str">
        <f>IFERROR(__xludf.DUMMYFUNCTION("""COMPUTED_VALUE"""),"Crr 27A N48-62. / Torre a - 402. Palmas de Mardel BARRIO SOTOMAYOR")</f>
        <v>Crr 27A N48-62. / Torre a - 402. Palmas de Mardel BARRIO SOTOMAYOR</v>
      </c>
      <c r="G9179" s="15" t="str">
        <f>IFERROR(__xludf.DUMMYFUNCTION("""COMPUTED_VALUE"""),"LUCYNI MARCELA MENDOZA RIVERA")</f>
        <v>LUCYNI MARCELA MENDOZA RIVERA</v>
      </c>
      <c r="H9179" s="16">
        <f>IFERROR(__xludf.DUMMYFUNCTION("""COMPUTED_VALUE"""),17834.0)</f>
        <v>17834</v>
      </c>
      <c r="I9179" s="17"/>
      <c r="J9179" s="17"/>
      <c r="K9179" s="17"/>
      <c r="L9179" s="17">
        <f>IFERROR(__xludf.DUMMYFUNCTION("""COMPUTED_VALUE"""),3.158277288E9)</f>
        <v>3158277288</v>
      </c>
      <c r="M9179" s="17"/>
      <c r="N9179" s="17"/>
      <c r="O9179" s="17"/>
      <c r="P9179" s="17" t="b">
        <f>IFERROR(__xludf.DUMMYFUNCTION("""COMPUTED_VALUE"""),FALSE)</f>
        <v>0</v>
      </c>
      <c r="Q9179" s="20" t="str">
        <f>IFERROR(__xludf.DUMMYFUNCTION("""COMPUTED_VALUE"""),"")</f>
        <v/>
      </c>
      <c r="R9179" s="21" t="str">
        <f>IFERROR(__xludf.DUMMYFUNCTION("""COMPUTED_VALUE"""),"https://drive.google.com/file/d/1IKmGwaXNzdgAa7jOvrr7DBOPIurEB15a/view?usp=drivesdk")</f>
        <v>https://drive.google.com/file/d/1IKmGwaXNzdgAa7jOvrr7DBOPIurEB15a/view?usp=drivesdk</v>
      </c>
    </row>
    <row r="9180">
      <c r="A9180" s="15">
        <f>IFERROR(__xludf.DUMMYFUNCTION("""COMPUTED_VALUE"""),45260.0)</f>
        <v>45260</v>
      </c>
      <c r="B9180" s="16" t="str">
        <f>IFERROR(__xludf.DUMMYFUNCTION("""COMPUTED_VALUE"""),"Johanna Arango Barrera")</f>
        <v>Johanna Arango Barrera</v>
      </c>
      <c r="C9180" s="15" t="str">
        <f>IFERROR(__xludf.DUMMYFUNCTION("""COMPUTED_VALUE"""),"BUCARAMANGA")</f>
        <v>BUCARAMANGA</v>
      </c>
      <c r="D9180" s="15" t="str">
        <f>IFERROR(__xludf.DUMMYFUNCTION("""COMPUTED_VALUE"""),"BOGOTÁ")</f>
        <v>BOGOTÁ</v>
      </c>
      <c r="E9180" s="15" t="str">
        <f>IFERROR(__xludf.DUMMYFUNCTION("""COMPUTED_VALUE"""),"LINA PAOLA RAMIREZ GOMEZ - EVA MAZZITA")</f>
        <v>LINA PAOLA RAMIREZ GOMEZ - EVA MAZZITA</v>
      </c>
      <c r="F9180" s="17" t="str">
        <f>IFERROR(__xludf.DUMMYFUNCTION("""COMPUTED_VALUE"""),"Kilómetro 1 vía Pamplona 1 -97 / aquarium condominio apto 2601")</f>
        <v>Kilómetro 1 vía Pamplona 1 -97 / aquarium condominio apto 2601</v>
      </c>
      <c r="G9180" s="15" t="str">
        <f>IFERROR(__xludf.DUMMYFUNCTION("""COMPUTED_VALUE"""),"MARIA ALEJANDRA JACOME")</f>
        <v>MARIA ALEJANDRA JACOME</v>
      </c>
      <c r="H9180" s="16">
        <f>IFERROR(__xludf.DUMMYFUNCTION("""COMPUTED_VALUE"""),17835.0)</f>
        <v>17835</v>
      </c>
      <c r="I9180" s="17"/>
      <c r="J9180" s="17"/>
      <c r="K9180" s="17"/>
      <c r="L9180" s="17">
        <f>IFERROR(__xludf.DUMMYFUNCTION("""COMPUTED_VALUE"""),3.016958376E9)</f>
        <v>3016958376</v>
      </c>
      <c r="M9180" s="17"/>
      <c r="N9180" s="17"/>
      <c r="O9180" s="17"/>
      <c r="P9180" s="17" t="b">
        <f>IFERROR(__xludf.DUMMYFUNCTION("""COMPUTED_VALUE"""),FALSE)</f>
        <v>0</v>
      </c>
      <c r="Q9180" s="20" t="str">
        <f>IFERROR(__xludf.DUMMYFUNCTION("""COMPUTED_VALUE"""),"")</f>
        <v/>
      </c>
      <c r="R9180" s="21" t="str">
        <f>IFERROR(__xludf.DUMMYFUNCTION("""COMPUTED_VALUE"""),"https://drive.google.com/file/d/1s5wInPIi0vDIjwU-Y5IXTbdO4-TIEJ1C/view?usp=drivesdk")</f>
        <v>https://drive.google.com/file/d/1s5wInPIi0vDIjwU-Y5IXTbdO4-TIEJ1C/view?usp=drivesdk</v>
      </c>
    </row>
    <row r="9181">
      <c r="A9181" s="15">
        <f>IFERROR(__xludf.DUMMYFUNCTION("""COMPUTED_VALUE"""),45260.0)</f>
        <v>45260</v>
      </c>
      <c r="B9181" s="16" t="str">
        <f>IFERROR(__xludf.DUMMYFUNCTION("""COMPUTED_VALUE"""),"Johanna Arango Barrera")</f>
        <v>Johanna Arango Barrera</v>
      </c>
      <c r="C9181" s="15" t="str">
        <f>IFERROR(__xludf.DUMMYFUNCTION("""COMPUTED_VALUE"""),"FLORIDABLANCA")</f>
        <v>FLORIDABLANCA</v>
      </c>
      <c r="D9181" s="15" t="str">
        <f>IFERROR(__xludf.DUMMYFUNCTION("""COMPUTED_VALUE"""),"BOGOTÁ")</f>
        <v>BOGOTÁ</v>
      </c>
      <c r="E9181" s="15" t="str">
        <f>IFERROR(__xludf.DUMMYFUNCTION("""COMPUTED_VALUE"""),"LINA PAOLA RAMIREZ GOMEZ - EVA MAZZITA")</f>
        <v>LINA PAOLA RAMIREZ GOMEZ - EVA MAZZITA</v>
      </c>
      <c r="F9181" s="17" t="str">
        <f>IFERROR(__xludf.DUMMYFUNCTION("""COMPUTED_VALUE"""),"Calle 146 #22-256 / INT. 3 AP. 1011 SANTELMO CONJUNTO RESIDENCIAL ETAPA II PH. (por la paralela el bosque)")</f>
        <v>Calle 146 #22-256 / INT. 3 AP. 1011 SANTELMO CONJUNTO RESIDENCIAL ETAPA II PH. (por la paralela el bosque)</v>
      </c>
      <c r="G9181" s="15" t="str">
        <f>IFERROR(__xludf.DUMMYFUNCTION("""COMPUTED_VALUE"""),"CAROLINA REY")</f>
        <v>CAROLINA REY</v>
      </c>
      <c r="H9181" s="16">
        <f>IFERROR(__xludf.DUMMYFUNCTION("""COMPUTED_VALUE"""),17847.0)</f>
        <v>17847</v>
      </c>
      <c r="I9181" s="17"/>
      <c r="J9181" s="17"/>
      <c r="K9181" s="17"/>
      <c r="L9181" s="17">
        <f>IFERROR(__xludf.DUMMYFUNCTION("""COMPUTED_VALUE"""),3.10323256E9)</f>
        <v>3103232560</v>
      </c>
      <c r="M9181" s="17"/>
      <c r="N9181" s="17"/>
      <c r="O9181" s="17"/>
      <c r="P9181" s="17" t="b">
        <f>IFERROR(__xludf.DUMMYFUNCTION("""COMPUTED_VALUE"""),FALSE)</f>
        <v>0</v>
      </c>
      <c r="Q9181" s="20" t="str">
        <f>IFERROR(__xludf.DUMMYFUNCTION("""COMPUTED_VALUE"""),"")</f>
        <v/>
      </c>
      <c r="R9181" s="21" t="str">
        <f>IFERROR(__xludf.DUMMYFUNCTION("""COMPUTED_VALUE"""),"https://drive.google.com/file/d/15lix1MtvJcO-o6TVJCsJ_mECmHQSxNui/view?usp=drivesdk")</f>
        <v>https://drive.google.com/file/d/15lix1MtvJcO-o6TVJCsJ_mECmHQSxNui/view?usp=drivesdk</v>
      </c>
    </row>
    <row r="9182">
      <c r="A9182" s="15">
        <f>IFERROR(__xludf.DUMMYFUNCTION("""COMPUTED_VALUE"""),45260.0)</f>
        <v>45260</v>
      </c>
      <c r="B9182" s="16" t="str">
        <f>IFERROR(__xludf.DUMMYFUNCTION("""COMPUTED_VALUE"""),"Johanna Arango Barrera")</f>
        <v>Johanna Arango Barrera</v>
      </c>
      <c r="C9182" s="15" t="str">
        <f>IFERROR(__xludf.DUMMYFUNCTION("""COMPUTED_VALUE"""),"FLORIDABLANCA")</f>
        <v>FLORIDABLANCA</v>
      </c>
      <c r="D9182" s="15" t="str">
        <f>IFERROR(__xludf.DUMMYFUNCTION("""COMPUTED_VALUE"""),"BOGOTÁ")</f>
        <v>BOGOTÁ</v>
      </c>
      <c r="E9182" s="15" t="str">
        <f>IFERROR(__xludf.DUMMYFUNCTION("""COMPUTED_VALUE"""),"LINA PAOLA RAMIREZ GOMEZ - EVA MAZZITA")</f>
        <v>LINA PAOLA RAMIREZ GOMEZ - EVA MAZZITA</v>
      </c>
      <c r="F9182" s="17" t="str">
        <f>IFERROR(__xludf.DUMMYFUNCTION("""COMPUTED_VALUE"""),"CALLE 197 No. 15 - 382 / TORRE 4 APTO 916 COLINA VERSALLES")</f>
        <v>CALLE 197 No. 15 - 382 / TORRE 4 APTO 916 COLINA VERSALLES</v>
      </c>
      <c r="G9182" s="15" t="str">
        <f>IFERROR(__xludf.DUMMYFUNCTION("""COMPUTED_VALUE"""),"DIANA BLANCO MATEUS")</f>
        <v>DIANA BLANCO MATEUS</v>
      </c>
      <c r="H9182" s="16">
        <f>IFERROR(__xludf.DUMMYFUNCTION("""COMPUTED_VALUE"""),17848.0)</f>
        <v>17848</v>
      </c>
      <c r="I9182" s="17"/>
      <c r="J9182" s="17"/>
      <c r="K9182" s="17"/>
      <c r="L9182" s="17">
        <f>IFERROR(__xludf.DUMMYFUNCTION("""COMPUTED_VALUE"""),3.164073166E9)</f>
        <v>3164073166</v>
      </c>
      <c r="M9182" s="17"/>
      <c r="N9182" s="17"/>
      <c r="O9182" s="17"/>
      <c r="P9182" s="17" t="b">
        <f>IFERROR(__xludf.DUMMYFUNCTION("""COMPUTED_VALUE"""),FALSE)</f>
        <v>0</v>
      </c>
      <c r="Q9182" s="20" t="str">
        <f>IFERROR(__xludf.DUMMYFUNCTION("""COMPUTED_VALUE"""),"")</f>
        <v/>
      </c>
      <c r="R9182" s="21" t="str">
        <f>IFERROR(__xludf.DUMMYFUNCTION("""COMPUTED_VALUE"""),"https://drive.google.com/file/d/1DPiPvAKRALR9NfmNlA9iVzQvVRsK8QCI/view?usp=drivesdk")</f>
        <v>https://drive.google.com/file/d/1DPiPvAKRALR9NfmNlA9iVzQvVRsK8QCI/view?usp=drivesdk</v>
      </c>
    </row>
    <row r="9183">
      <c r="A9183" s="15">
        <f>IFERROR(__xludf.DUMMYFUNCTION("""COMPUTED_VALUE"""),45260.0)</f>
        <v>45260</v>
      </c>
      <c r="B9183" s="16" t="str">
        <f>IFERROR(__xludf.DUMMYFUNCTION("""COMPUTED_VALUE"""),"Johanna Arango Barrera")</f>
        <v>Johanna Arango Barrera</v>
      </c>
      <c r="C9183" s="15" t="str">
        <f>IFERROR(__xludf.DUMMYFUNCTION("""COMPUTED_VALUE"""),"FLORIDABLANCA")</f>
        <v>FLORIDABLANCA</v>
      </c>
      <c r="D9183" s="15" t="str">
        <f>IFERROR(__xludf.DUMMYFUNCTION("""COMPUTED_VALUE"""),"BOGOTÁ")</f>
        <v>BOGOTÁ</v>
      </c>
      <c r="E9183" s="15" t="str">
        <f>IFERROR(__xludf.DUMMYFUNCTION("""COMPUTED_VALUE"""),"LINA PAOLA RAMIREZ GOMEZ - EVA MAZZITA")</f>
        <v>LINA PAOLA RAMIREZ GOMEZ - EVA MAZZITA</v>
      </c>
      <c r="F9183" s="17" t="str">
        <f>IFERROR(__xludf.DUMMYFUNCTION("""COMPUTED_VALUE"""),"CRA 20 No. 158 - 40 / TORRE 2 APTO 304 MAKADAMIA CAÑAVERAL")</f>
        <v>CRA 20 No. 158 - 40 / TORRE 2 APTO 304 MAKADAMIA CAÑAVERAL</v>
      </c>
      <c r="G9183" s="15" t="str">
        <f>IFERROR(__xludf.DUMMYFUNCTION("""COMPUTED_VALUE"""),"AURA URIBE")</f>
        <v>AURA URIBE</v>
      </c>
      <c r="H9183" s="16">
        <f>IFERROR(__xludf.DUMMYFUNCTION("""COMPUTED_VALUE"""),17845.0)</f>
        <v>17845</v>
      </c>
      <c r="I9183" s="17"/>
      <c r="J9183" s="17"/>
      <c r="K9183" s="17"/>
      <c r="L9183" s="17">
        <f>IFERROR(__xludf.DUMMYFUNCTION("""COMPUTED_VALUE"""),3.204026169E9)</f>
        <v>3204026169</v>
      </c>
      <c r="M9183" s="17"/>
      <c r="N9183" s="17"/>
      <c r="O9183" s="17"/>
      <c r="P9183" s="17" t="b">
        <f>IFERROR(__xludf.DUMMYFUNCTION("""COMPUTED_VALUE"""),FALSE)</f>
        <v>0</v>
      </c>
      <c r="Q9183" s="20" t="str">
        <f>IFERROR(__xludf.DUMMYFUNCTION("""COMPUTED_VALUE"""),"")</f>
        <v/>
      </c>
      <c r="R9183" s="21" t="str">
        <f>IFERROR(__xludf.DUMMYFUNCTION("""COMPUTED_VALUE"""),"https://drive.google.com/file/d/1dXj6PcnaJtRkfio2KP9cLhy_F27uz6WB/view?usp=drivesdk")</f>
        <v>https://drive.google.com/file/d/1dXj6PcnaJtRkfio2KP9cLhy_F27uz6WB/view?usp=drivesdk</v>
      </c>
    </row>
    <row r="9184">
      <c r="A9184" s="15">
        <f>IFERROR(__xludf.DUMMYFUNCTION("""COMPUTED_VALUE"""),45260.0)</f>
        <v>45260</v>
      </c>
      <c r="B9184" s="16" t="str">
        <f>IFERROR(__xludf.DUMMYFUNCTION("""COMPUTED_VALUE"""),"Johanna Arango Barrera")</f>
        <v>Johanna Arango Barrera</v>
      </c>
      <c r="C9184" s="15" t="str">
        <f>IFERROR(__xludf.DUMMYFUNCTION("""COMPUTED_VALUE"""),"FLORIDABLANCA")</f>
        <v>FLORIDABLANCA</v>
      </c>
      <c r="D9184" s="15" t="str">
        <f>IFERROR(__xludf.DUMMYFUNCTION("""COMPUTED_VALUE"""),"BOGOTÁ")</f>
        <v>BOGOTÁ</v>
      </c>
      <c r="E9184" s="15" t="str">
        <f>IFERROR(__xludf.DUMMYFUNCTION("""COMPUTED_VALUE"""),"LINA PAOLA RAMIREZ GOMEZ - EVA MAZZITA")</f>
        <v>LINA PAOLA RAMIREZ GOMEZ - EVA MAZZITA</v>
      </c>
      <c r="F9184" s="17" t="str">
        <f>IFERROR(__xludf.DUMMYFUNCTION("""COMPUTED_VALUE"""),"TRANSV 154 No. 24 - 125 / VISTA AZUL CAMPESTRE TORRE 1 APTO 1201 EL BOSQUE")</f>
        <v>TRANSV 154 No. 24 - 125 / VISTA AZUL CAMPESTRE TORRE 1 APTO 1201 EL BOSQUE</v>
      </c>
      <c r="G9184" s="15" t="str">
        <f>IFERROR(__xludf.DUMMYFUNCTION("""COMPUTED_VALUE"""),"KAREN VARGAS")</f>
        <v>KAREN VARGAS</v>
      </c>
      <c r="H9184" s="16">
        <f>IFERROR(__xludf.DUMMYFUNCTION("""COMPUTED_VALUE"""),17849.0)</f>
        <v>17849</v>
      </c>
      <c r="I9184" s="17"/>
      <c r="J9184" s="17"/>
      <c r="K9184" s="17"/>
      <c r="L9184" s="17">
        <f>IFERROR(__xludf.DUMMYFUNCTION("""COMPUTED_VALUE"""),3.203735855E9)</f>
        <v>3203735855</v>
      </c>
      <c r="M9184" s="17"/>
      <c r="N9184" s="17"/>
      <c r="O9184" s="17"/>
      <c r="P9184" s="17" t="b">
        <f>IFERROR(__xludf.DUMMYFUNCTION("""COMPUTED_VALUE"""),FALSE)</f>
        <v>0</v>
      </c>
      <c r="Q9184" s="20" t="str">
        <f>IFERROR(__xludf.DUMMYFUNCTION("""COMPUTED_VALUE"""),"")</f>
        <v/>
      </c>
      <c r="R9184" s="21" t="str">
        <f>IFERROR(__xludf.DUMMYFUNCTION("""COMPUTED_VALUE"""),"https://drive.google.com/file/d/1S38D03ZqJNivPHvCO4n7ks4DGpUYWKX2/view?usp=drivesdk")</f>
        <v>https://drive.google.com/file/d/1S38D03ZqJNivPHvCO4n7ks4DGpUYWKX2/view?usp=drivesdk</v>
      </c>
    </row>
    <row r="9185">
      <c r="A9185" s="15">
        <f>IFERROR(__xludf.DUMMYFUNCTION("""COMPUTED_VALUE"""),45260.0)</f>
        <v>45260</v>
      </c>
      <c r="B9185" s="16" t="str">
        <f>IFERROR(__xludf.DUMMYFUNCTION("""COMPUTED_VALUE"""),"Johanna Arango Barrera")</f>
        <v>Johanna Arango Barrera</v>
      </c>
      <c r="C9185" s="15" t="str">
        <f>IFERROR(__xludf.DUMMYFUNCTION("""COMPUTED_VALUE"""),"VILLAVICENCIO")</f>
        <v>VILLAVICENCIO</v>
      </c>
      <c r="D9185" s="15" t="str">
        <f>IFERROR(__xludf.DUMMYFUNCTION("""COMPUTED_VALUE"""),"MEDELLÍN")</f>
        <v>MEDELLÍN</v>
      </c>
      <c r="E9185" s="15" t="str">
        <f>IFERROR(__xludf.DUMMYFUNCTION("""COMPUTED_VALUE"""),"AREPAS LA MARY")</f>
        <v>AREPAS LA MARY</v>
      </c>
      <c r="F9185" s="17" t="str">
        <f>IFERROR(__xludf.DUMMYFUNCTION("""COMPUTED_VALUE"""),"Calle 44a # 46-51 / Casa barrio catalana")</f>
        <v>Calle 44a # 46-51 / Casa barrio catalana</v>
      </c>
      <c r="G9185" s="15" t="str">
        <f>IFERROR(__xludf.DUMMYFUNCTION("""COMPUTED_VALUE"""),"TATIANA ANGEL")</f>
        <v>TATIANA ANGEL</v>
      </c>
      <c r="H9185" s="16">
        <f>IFERROR(__xludf.DUMMYFUNCTION("""COMPUTED_VALUE"""),17737.0)</f>
        <v>17737</v>
      </c>
      <c r="I9185" s="17"/>
      <c r="J9185" s="17"/>
      <c r="K9185" s="17"/>
      <c r="L9185" s="17">
        <f>IFERROR(__xludf.DUMMYFUNCTION("""COMPUTED_VALUE"""),3.103178509E9)</f>
        <v>3103178509</v>
      </c>
      <c r="M9185" s="17"/>
      <c r="N9185" s="17"/>
      <c r="O9185" s="17"/>
      <c r="P9185" s="17" t="b">
        <f>IFERROR(__xludf.DUMMYFUNCTION("""COMPUTED_VALUE"""),FALSE)</f>
        <v>0</v>
      </c>
      <c r="Q9185" s="20" t="str">
        <f>IFERROR(__xludf.DUMMYFUNCTION("""COMPUTED_VALUE"""),"")</f>
        <v/>
      </c>
      <c r="R9185" s="22" t="str">
        <f>IFERROR(__xludf.DUMMYFUNCTION("""COMPUTED_VALUE"""),"")</f>
        <v/>
      </c>
    </row>
    <row r="9186">
      <c r="A9186" s="15">
        <f>IFERROR(__xludf.DUMMYFUNCTION("""COMPUTED_VALUE"""),45260.0)</f>
        <v>45260</v>
      </c>
      <c r="B9186" s="16" t="str">
        <f>IFERROR(__xludf.DUMMYFUNCTION("""COMPUTED_VALUE"""),"Johanna Arango Barrera")</f>
        <v>Johanna Arango Barrera</v>
      </c>
      <c r="C9186" s="15" t="str">
        <f>IFERROR(__xludf.DUMMYFUNCTION("""COMPUTED_VALUE"""),"VILLAVICENCIO")</f>
        <v>VILLAVICENCIO</v>
      </c>
      <c r="D9186" s="15" t="str">
        <f>IFERROR(__xludf.DUMMYFUNCTION("""COMPUTED_VALUE"""),"MEDELLÍN")</f>
        <v>MEDELLÍN</v>
      </c>
      <c r="E9186" s="15" t="str">
        <f>IFERROR(__xludf.DUMMYFUNCTION("""COMPUTED_VALUE"""),"Moloso S.A.S")</f>
        <v>Moloso S.A.S</v>
      </c>
      <c r="F9186" s="17" t="str">
        <f>IFERROR(__xludf.DUMMYFUNCTION("""COMPUTED_VALUE"""),"DG 6SUR 42 136 / AMARILLO PASO LLANO TO 24 AP 501")</f>
        <v>DG 6SUR 42 136 / AMARILLO PASO LLANO TO 24 AP 501</v>
      </c>
      <c r="G9186" s="15" t="str">
        <f>IFERROR(__xludf.DUMMYFUNCTION("""COMPUTED_VALUE"""),"MARIA FERNANDA GUTIERREZ")</f>
        <v>MARIA FERNANDA GUTIERREZ</v>
      </c>
      <c r="H9186" s="16">
        <f>IFERROR(__xludf.DUMMYFUNCTION("""COMPUTED_VALUE"""),17789.0)</f>
        <v>17789</v>
      </c>
      <c r="I9186" s="17"/>
      <c r="J9186" s="17"/>
      <c r="K9186" s="17"/>
      <c r="L9186" s="17"/>
      <c r="M9186" s="17"/>
      <c r="N9186" s="17"/>
      <c r="O9186" s="17"/>
      <c r="P9186" s="17" t="b">
        <f>IFERROR(__xludf.DUMMYFUNCTION("""COMPUTED_VALUE"""),FALSE)</f>
        <v>0</v>
      </c>
      <c r="Q9186" s="20" t="str">
        <f>IFERROR(__xludf.DUMMYFUNCTION("""COMPUTED_VALUE"""),"")</f>
        <v/>
      </c>
      <c r="R9186" s="21" t="str">
        <f>IFERROR(__xludf.DUMMYFUNCTION("""COMPUTED_VALUE"""),"https://drive.google.com/file/d/11uuRxA7i-7_SSWCzzDdE_ph20cBbf95C/view?usp=drivesdk")</f>
        <v>https://drive.google.com/file/d/11uuRxA7i-7_SSWCzzDdE_ph20cBbf95C/view?usp=drivesdk</v>
      </c>
    </row>
    <row r="9187">
      <c r="A9187" s="17" t="str">
        <f>IFERROR(__xludf.DUMMYFUNCTION("""COMPUTED_VALUE"""),"")</f>
        <v/>
      </c>
      <c r="B9187" s="17" t="str">
        <f>IFERROR(__xludf.DUMMYFUNCTION("""COMPUTED_VALUE"""),"")</f>
        <v/>
      </c>
      <c r="C9187" s="17" t="str">
        <f>IFERROR(__xludf.DUMMYFUNCTION("""COMPUTED_VALUE"""),"")</f>
        <v/>
      </c>
      <c r="D9187" s="17" t="str">
        <f>IFERROR(__xludf.DUMMYFUNCTION("""COMPUTED_VALUE"""),"")</f>
        <v/>
      </c>
      <c r="E9187" s="17" t="str">
        <f>IFERROR(__xludf.DUMMYFUNCTION("""COMPUTED_VALUE"""),"")</f>
        <v/>
      </c>
      <c r="F9187" s="17" t="str">
        <f>IFERROR(__xludf.DUMMYFUNCTION("""COMPUTED_VALUE"""),"")</f>
        <v/>
      </c>
      <c r="G9187" s="17" t="str">
        <f>IFERROR(__xludf.DUMMYFUNCTION("""COMPUTED_VALUE"""),"")</f>
        <v/>
      </c>
      <c r="H9187" s="17" t="str">
        <f>IFERROR(__xludf.DUMMYFUNCTION("""COMPUTED_VALUE"""),"")</f>
        <v/>
      </c>
      <c r="I9187" s="17" t="str">
        <f>IFERROR(__xludf.DUMMYFUNCTION("""COMPUTED_VALUE"""),"")</f>
        <v/>
      </c>
      <c r="J9187" s="17" t="str">
        <f>IFERROR(__xludf.DUMMYFUNCTION("""COMPUTED_VALUE"""),"")</f>
        <v/>
      </c>
      <c r="K9187" s="17" t="str">
        <f>IFERROR(__xludf.DUMMYFUNCTION("""COMPUTED_VALUE"""),"")</f>
        <v/>
      </c>
      <c r="L9187" s="17" t="str">
        <f>IFERROR(__xludf.DUMMYFUNCTION("""COMPUTED_VALUE"""),"")</f>
        <v/>
      </c>
      <c r="M9187" s="17" t="str">
        <f>IFERROR(__xludf.DUMMYFUNCTION("""COMPUTED_VALUE"""),"")</f>
        <v/>
      </c>
      <c r="N9187" s="17" t="str">
        <f>IFERROR(__xludf.DUMMYFUNCTION("""COMPUTED_VALUE"""),"")</f>
        <v/>
      </c>
      <c r="O9187" s="17" t="str">
        <f>IFERROR(__xludf.DUMMYFUNCTION("""COMPUTED_VALUE"""),"")</f>
        <v/>
      </c>
      <c r="P9187" s="17" t="str">
        <f>IFERROR(__xludf.DUMMYFUNCTION("""COMPUTED_VALUE"""),"")</f>
        <v/>
      </c>
      <c r="Q9187" s="17" t="str">
        <f>IFERROR(__xludf.DUMMYFUNCTION("""COMPUTED_VALUE"""),"")</f>
        <v/>
      </c>
      <c r="R9187" s="17" t="str">
        <f>IFERROR(__xludf.DUMMYFUNCTION("""COMPUTED_VALUE"""),"")</f>
        <v/>
      </c>
    </row>
    <row r="9188">
      <c r="A9188" s="15">
        <f>IFERROR(__xludf.DUMMYFUNCTION("""COMPUTED_VALUE"""),45260.0)</f>
        <v>45260</v>
      </c>
      <c r="B9188" s="16" t="str">
        <f>IFERROR(__xludf.DUMMYFUNCTION("""COMPUTED_VALUE"""),"Julian Calderon Rodriguez ")</f>
        <v>Julian Calderon Rodriguez </v>
      </c>
      <c r="C9188" s="15" t="str">
        <f>IFERROR(__xludf.DUMMYFUNCTION("""COMPUTED_VALUE"""),"SANTA MARTA")</f>
        <v>SANTA MARTA</v>
      </c>
      <c r="D9188" s="15" t="str">
        <f>IFERROR(__xludf.DUMMYFUNCTION("""COMPUTED_VALUE"""),"BOGOTÁ")</f>
        <v>BOGOTÁ</v>
      </c>
      <c r="E9188" s="15" t="str">
        <f>IFERROR(__xludf.DUMMYFUNCTION("""COMPUTED_VALUE"""),"LINA PAOLA RAMIREZ GOMEZ - EVA MAZZITA")</f>
        <v>LINA PAOLA RAMIREZ GOMEZ - EVA MAZZITA</v>
      </c>
      <c r="F9188" s="17" t="str">
        <f>IFERROR(__xludf.DUMMYFUNCTION("""COMPUTED_VALUE"""),"Cra 19 24 15 / torre 1924 apt 1307 Santa catalina Santa marta")</f>
        <v>Cra 19 24 15 / torre 1924 apt 1307 Santa catalina Santa marta</v>
      </c>
      <c r="G9188" s="15" t="str">
        <f>IFERROR(__xludf.DUMMYFUNCTION("""COMPUTED_VALUE"""),"MILENA OLARTE")</f>
        <v>MILENA OLARTE</v>
      </c>
      <c r="H9188" s="16">
        <f>IFERROR(__xludf.DUMMYFUNCTION("""COMPUTED_VALUE"""),17856.0)</f>
        <v>17856</v>
      </c>
      <c r="I9188" s="17"/>
      <c r="J9188" s="17"/>
      <c r="K9188" s="17"/>
      <c r="L9188" s="17">
        <f>IFERROR(__xludf.DUMMYFUNCTION("""COMPUTED_VALUE"""),3.004773111E9)</f>
        <v>3004773111</v>
      </c>
      <c r="M9188" s="17"/>
      <c r="N9188" s="17"/>
      <c r="O9188" s="17"/>
      <c r="P9188" s="17" t="b">
        <f>IFERROR(__xludf.DUMMYFUNCTION("""COMPUTED_VALUE"""),FALSE)</f>
        <v>0</v>
      </c>
      <c r="Q9188" s="20" t="str">
        <f>IFERROR(__xludf.DUMMYFUNCTION("""COMPUTED_VALUE"""),"")</f>
        <v/>
      </c>
      <c r="R9188" s="21" t="str">
        <f>IFERROR(__xludf.DUMMYFUNCTION("""COMPUTED_VALUE"""),"https://drive.google.com/file/d/1p3Jzqa8RdOFXz-dJGQ8bn0BsO5Wb2XCk/view?usp=drivesdk")</f>
        <v>https://drive.google.com/file/d/1p3Jzqa8RdOFXz-dJGQ8bn0BsO5Wb2XCk/view?usp=drivesdk</v>
      </c>
    </row>
    <row r="9189">
      <c r="A9189" s="15">
        <f>IFERROR(__xludf.DUMMYFUNCTION("""COMPUTED_VALUE"""),45260.0)</f>
        <v>45260</v>
      </c>
      <c r="B9189" s="16" t="str">
        <f>IFERROR(__xludf.DUMMYFUNCTION("""COMPUTED_VALUE"""),"Julian Calderon Rodriguez ")</f>
        <v>Julian Calderon Rodriguez </v>
      </c>
      <c r="C9189" s="15" t="str">
        <f>IFERROR(__xludf.DUMMYFUNCTION("""COMPUTED_VALUE"""),"SANTA MARTA")</f>
        <v>SANTA MARTA</v>
      </c>
      <c r="D9189" s="15" t="str">
        <f>IFERROR(__xludf.DUMMYFUNCTION("""COMPUTED_VALUE"""),"BOGOTÁ")</f>
        <v>BOGOTÁ</v>
      </c>
      <c r="E9189" s="15" t="str">
        <f>IFERROR(__xludf.DUMMYFUNCTION("""COMPUTED_VALUE"""),"LINA PAOLA RAMIREZ GOMEZ - EVA MAZZITA")</f>
        <v>LINA PAOLA RAMIREZ GOMEZ - EVA MAZZITA</v>
      </c>
      <c r="F9189" s="17" t="str">
        <f>IFERROR(__xludf.DUMMYFUNCTION("""COMPUTED_VALUE"""),"CRA 1B No. 26A - 109 / EDIFICIO ALMIRANTE PATO 1004 BARRIO BELLAVISTA SECTOR LOS COCOS")</f>
        <v>CRA 1B No. 26A - 109 / EDIFICIO ALMIRANTE PATO 1004 BARRIO BELLAVISTA SECTOR LOS COCOS</v>
      </c>
      <c r="G9189" s="15" t="str">
        <f>IFERROR(__xludf.DUMMYFUNCTION("""COMPUTED_VALUE"""),"MARIA DEL CARMEN CAMPO")</f>
        <v>MARIA DEL CARMEN CAMPO</v>
      </c>
      <c r="H9189" s="16">
        <f>IFERROR(__xludf.DUMMYFUNCTION("""COMPUTED_VALUE"""),17854.0)</f>
        <v>17854</v>
      </c>
      <c r="I9189" s="17"/>
      <c r="J9189" s="17"/>
      <c r="K9189" s="17"/>
      <c r="L9189" s="17">
        <f>IFERROR(__xludf.DUMMYFUNCTION("""COMPUTED_VALUE"""),3.157049736E9)</f>
        <v>3157049736</v>
      </c>
      <c r="M9189" s="17"/>
      <c r="N9189" s="17"/>
      <c r="O9189" s="17"/>
      <c r="P9189" s="17" t="b">
        <f>IFERROR(__xludf.DUMMYFUNCTION("""COMPUTED_VALUE"""),FALSE)</f>
        <v>0</v>
      </c>
      <c r="Q9189" s="20" t="str">
        <f>IFERROR(__xludf.DUMMYFUNCTION("""COMPUTED_VALUE"""),"")</f>
        <v/>
      </c>
      <c r="R9189" s="21" t="str">
        <f>IFERROR(__xludf.DUMMYFUNCTION("""COMPUTED_VALUE"""),"https://drive.google.com/file/d/1vMBeSrDemuxigTr2fhewc74e8SP1ekvJ/view?usp=drivesdk")</f>
        <v>https://drive.google.com/file/d/1vMBeSrDemuxigTr2fhewc74e8SP1ekvJ/view?usp=drivesdk</v>
      </c>
    </row>
    <row r="9190">
      <c r="A9190" s="15">
        <f>IFERROR(__xludf.DUMMYFUNCTION("""COMPUTED_VALUE"""),45260.0)</f>
        <v>45260</v>
      </c>
      <c r="B9190" s="16" t="str">
        <f>IFERROR(__xludf.DUMMYFUNCTION("""COMPUTED_VALUE"""),"Julian Calderon Rodriguez ")</f>
        <v>Julian Calderon Rodriguez </v>
      </c>
      <c r="C9190" s="15" t="str">
        <f>IFERROR(__xludf.DUMMYFUNCTION("""COMPUTED_VALUE"""),"VILLAVICENCIO")</f>
        <v>VILLAVICENCIO</v>
      </c>
      <c r="D9190" s="15" t="str">
        <f>IFERROR(__xludf.DUMMYFUNCTION("""COMPUTED_VALUE"""),"BOGOTÁ")</f>
        <v>BOGOTÁ</v>
      </c>
      <c r="E9190" s="15" t="str">
        <f>IFERROR(__xludf.DUMMYFUNCTION("""COMPUTED_VALUE"""),"Instinto alimento vital")</f>
        <v>Instinto alimento vital</v>
      </c>
      <c r="F9190" s="17" t="str">
        <f>IFERROR(__xludf.DUMMYFUNCTION("""COMPUTED_VALUE"""),"CANTON MILITAR APIA VILLAVICENCIO / CANTON MILITAR APIA VILLAVICENCIO")</f>
        <v>CANTON MILITAR APIA VILLAVICENCIO / CANTON MILITAR APIA VILLAVICENCIO</v>
      </c>
      <c r="G9190" s="15" t="str">
        <f>IFERROR(__xludf.DUMMYFUNCTION("""COMPUTED_VALUE"""),"JEISSSON DAVID MAHECHA RICO")</f>
        <v>JEISSSON DAVID MAHECHA RICO</v>
      </c>
      <c r="H9190" s="16">
        <f>IFERROR(__xludf.DUMMYFUNCTION("""COMPUTED_VALUE"""),17826.0)</f>
        <v>17826</v>
      </c>
      <c r="I9190" s="17"/>
      <c r="J9190" s="17"/>
      <c r="K9190" s="17"/>
      <c r="L9190" s="17">
        <f>IFERROR(__xludf.DUMMYFUNCTION("""COMPUTED_VALUE"""),3.166215463E9)</f>
        <v>3166215463</v>
      </c>
      <c r="M9190" s="17"/>
      <c r="N9190" s="17"/>
      <c r="O9190" s="17"/>
      <c r="P9190" s="17" t="b">
        <f>IFERROR(__xludf.DUMMYFUNCTION("""COMPUTED_VALUE"""),FALSE)</f>
        <v>0</v>
      </c>
      <c r="Q9190" s="20" t="str">
        <f>IFERROR(__xludf.DUMMYFUNCTION("""COMPUTED_VALUE"""),"")</f>
        <v/>
      </c>
      <c r="R9190" s="21" t="str">
        <f>IFERROR(__xludf.DUMMYFUNCTION("""COMPUTED_VALUE"""),"https://drive.google.com/file/d/1OLO_svjoszSw0uPrBwmHPsL5vehRcwWQ/view?usp=drivesdk")</f>
        <v>https://drive.google.com/file/d/1OLO_svjoszSw0uPrBwmHPsL5vehRcwWQ/view?usp=drivesdk</v>
      </c>
    </row>
    <row r="9191">
      <c r="A9191" s="15">
        <f>IFERROR(__xludf.DUMMYFUNCTION("""COMPUTED_VALUE"""),45260.0)</f>
        <v>45260</v>
      </c>
      <c r="B9191" s="16" t="str">
        <f>IFERROR(__xludf.DUMMYFUNCTION("""COMPUTED_VALUE"""),"Julian Calderon Rodriguez ")</f>
        <v>Julian Calderon Rodriguez </v>
      </c>
      <c r="C9191" s="15" t="str">
        <f>IFERROR(__xludf.DUMMYFUNCTION("""COMPUTED_VALUE"""),"VILLAVICENCIO")</f>
        <v>VILLAVICENCIO</v>
      </c>
      <c r="D9191" s="15" t="str">
        <f>IFERROR(__xludf.DUMMYFUNCTION("""COMPUTED_VALUE"""),"BOGOTÁ")</f>
        <v>BOGOTÁ</v>
      </c>
      <c r="E9191" s="15" t="str">
        <f>IFERROR(__xludf.DUMMYFUNCTION("""COMPUTED_VALUE"""),"Pave")</f>
        <v>Pave</v>
      </c>
      <c r="F9191" s="17" t="str">
        <f>IFERROR(__xludf.DUMMYFUNCTION("""COMPUTED_VALUE"""),"calle 35 #27-113 / barrio san Isidro ( MAXCAMPO) / SAN ISIDRO")</f>
        <v>calle 35 #27-113 / barrio san Isidro ( MAXCAMPO) / SAN ISIDRO</v>
      </c>
      <c r="G9191" s="15" t="str">
        <f>IFERROR(__xludf.DUMMYFUNCTION("""COMPUTED_VALUE"""),"Eduin Fuquene")</f>
        <v>Eduin Fuquene</v>
      </c>
      <c r="H9191" s="16">
        <f>IFERROR(__xludf.DUMMYFUNCTION("""COMPUTED_VALUE"""),17861.0)</f>
        <v>17861</v>
      </c>
      <c r="I9191" s="18">
        <f>IFERROR(__xludf.DUMMYFUNCTION("""COMPUTED_VALUE"""),6.0)</f>
        <v>6</v>
      </c>
      <c r="J9191" s="18">
        <f>IFERROR(__xludf.DUMMYFUNCTION("""COMPUTED_VALUE"""),14.0)</f>
        <v>14</v>
      </c>
      <c r="K9191" s="18">
        <f>IFERROR(__xludf.DUMMYFUNCTION("""COMPUTED_VALUE"""),13.0)</f>
        <v>13</v>
      </c>
      <c r="L9191" s="17">
        <f>IFERROR(__xludf.DUMMYFUNCTION("""COMPUTED_VALUE"""),3.144203099E9)</f>
        <v>3144203099</v>
      </c>
      <c r="M9191" s="17"/>
      <c r="N9191" s="17"/>
      <c r="O9191" s="17"/>
      <c r="P9191" s="17" t="b">
        <f>IFERROR(__xludf.DUMMYFUNCTION("""COMPUTED_VALUE"""),FALSE)</f>
        <v>0</v>
      </c>
      <c r="Q9191" s="20" t="str">
        <f>IFERROR(__xludf.DUMMYFUNCTION("""COMPUTED_VALUE"""),"")</f>
        <v/>
      </c>
      <c r="R9191" s="21" t="str">
        <f>IFERROR(__xludf.DUMMYFUNCTION("""COMPUTED_VALUE"""),"https://drive.google.com/file/d/1kkMzuwREwXY8ao5_aFFCXla4FtCruzQx/view?usp=drivesdk")</f>
        <v>https://drive.google.com/file/d/1kkMzuwREwXY8ao5_aFFCXla4FtCruzQx/view?usp=drivesdk</v>
      </c>
    </row>
    <row r="9192">
      <c r="A9192" s="15">
        <f>IFERROR(__xludf.DUMMYFUNCTION("""COMPUTED_VALUE"""),45260.0)</f>
        <v>45260</v>
      </c>
      <c r="B9192" s="16" t="str">
        <f>IFERROR(__xludf.DUMMYFUNCTION("""COMPUTED_VALUE"""),"Julian Calderon Rodriguez ")</f>
        <v>Julian Calderon Rodriguez </v>
      </c>
      <c r="C9192" s="15" t="str">
        <f>IFERROR(__xludf.DUMMYFUNCTION("""COMPUTED_VALUE"""),"VILLAVICENCIO")</f>
        <v>VILLAVICENCIO</v>
      </c>
      <c r="D9192" s="15" t="str">
        <f>IFERROR(__xludf.DUMMYFUNCTION("""COMPUTED_VALUE"""),"BOGOTÁ")</f>
        <v>BOGOTÁ</v>
      </c>
      <c r="E9192" s="15" t="str">
        <f>IFERROR(__xludf.DUMMYFUNCTION("""COMPUTED_VALUE"""),"Spirulina Fresca")</f>
        <v>Spirulina Fresca</v>
      </c>
      <c r="F9192" s="17" t="str">
        <f>IFERROR(__xludf.DUMMYFUNCTION("""COMPUTED_VALUE"""),"calle 3 sur 23-51  / casa 1-14 santa maria 2  / Villavicencio")</f>
        <v>calle 3 sur 23-51  / casa 1-14 santa maria 2  / Villavicencio</v>
      </c>
      <c r="G9192" s="15" t="str">
        <f>IFERROR(__xludf.DUMMYFUNCTION("""COMPUTED_VALUE"""),"William Salguero")</f>
        <v>William Salguero</v>
      </c>
      <c r="H9192" s="16">
        <f>IFERROR(__xludf.DUMMYFUNCTION("""COMPUTED_VALUE"""),17860.0)</f>
        <v>17860</v>
      </c>
      <c r="I9192" s="18">
        <f>IFERROR(__xludf.DUMMYFUNCTION("""COMPUTED_VALUE"""),5.0)</f>
        <v>5</v>
      </c>
      <c r="J9192" s="18">
        <f>IFERROR(__xludf.DUMMYFUNCTION("""COMPUTED_VALUE"""),10.0)</f>
        <v>10</v>
      </c>
      <c r="K9192" s="18">
        <f>IFERROR(__xludf.DUMMYFUNCTION("""COMPUTED_VALUE"""),22.0)</f>
        <v>22</v>
      </c>
      <c r="L9192" s="17">
        <f>IFERROR(__xludf.DUMMYFUNCTION("""COMPUTED_VALUE"""),3.005311178E9)</f>
        <v>3005311178</v>
      </c>
      <c r="M9192" s="17"/>
      <c r="N9192" s="17"/>
      <c r="O9192" s="17"/>
      <c r="P9192" s="17" t="b">
        <f>IFERROR(__xludf.DUMMYFUNCTION("""COMPUTED_VALUE"""),FALSE)</f>
        <v>0</v>
      </c>
      <c r="Q9192" s="20" t="str">
        <f>IFERROR(__xludf.DUMMYFUNCTION("""COMPUTED_VALUE"""),"")</f>
        <v/>
      </c>
      <c r="R9192" s="21" t="str">
        <f>IFERROR(__xludf.DUMMYFUNCTION("""COMPUTED_VALUE"""),"https://drive.google.com/file/d/1SZM6EC8ZIaTMPTq6WBaLggHzv99VtnmB/view?usp=drivesdk")</f>
        <v>https://drive.google.com/file/d/1SZM6EC8ZIaTMPTq6WBaLggHzv99VtnmB/view?usp=drivesdk</v>
      </c>
    </row>
    <row r="9193">
      <c r="A9193" s="15">
        <f>IFERROR(__xludf.DUMMYFUNCTION("""COMPUTED_VALUE"""),45260.0)</f>
        <v>45260</v>
      </c>
      <c r="B9193" s="16" t="str">
        <f>IFERROR(__xludf.DUMMYFUNCTION("""COMPUTED_VALUE"""),"Julian Calderon Rodriguez ")</f>
        <v>Julian Calderon Rodriguez </v>
      </c>
      <c r="C9193" s="15" t="str">
        <f>IFERROR(__xludf.DUMMYFUNCTION("""COMPUTED_VALUE"""),"VILLAVICENCIO")</f>
        <v>VILLAVICENCIO</v>
      </c>
      <c r="D9193" s="15" t="str">
        <f>IFERROR(__xludf.DUMMYFUNCTION("""COMPUTED_VALUE"""),"MEDELLÍN")</f>
        <v>MEDELLÍN</v>
      </c>
      <c r="E9193" s="15" t="str">
        <f>IFERROR(__xludf.DUMMYFUNCTION("""COMPUTED_VALUE"""),"AREPAS LA MARY")</f>
        <v>AREPAS LA MARY</v>
      </c>
      <c r="F9193" s="17" t="str">
        <f>IFERROR(__xludf.DUMMYFUNCTION("""COMPUTED_VALUE"""),"CLLE 15 N.44 116. LOCAL 5 / CONJUNTO RESIDENCIAL PUNTA DE PIEDRA")</f>
        <v>CLLE 15 N.44 116. LOCAL 5 / CONJUNTO RESIDENCIAL PUNTA DE PIEDRA</v>
      </c>
      <c r="G9193" s="15" t="str">
        <f>IFERROR(__xludf.DUMMYFUNCTION("""COMPUTED_VALUE"""),"SANA TENTACION")</f>
        <v>SANA TENTACION</v>
      </c>
      <c r="H9193" s="16">
        <f>IFERROR(__xludf.DUMMYFUNCTION("""COMPUTED_VALUE"""),17735.0)</f>
        <v>17735</v>
      </c>
      <c r="I9193" s="17"/>
      <c r="J9193" s="17"/>
      <c r="K9193" s="17"/>
      <c r="L9193" s="17"/>
      <c r="M9193" s="17"/>
      <c r="N9193" s="17"/>
      <c r="O9193" s="17"/>
      <c r="P9193" s="17" t="b">
        <f>IFERROR(__xludf.DUMMYFUNCTION("""COMPUTED_VALUE"""),FALSE)</f>
        <v>0</v>
      </c>
      <c r="Q9193" s="20" t="str">
        <f>IFERROR(__xludf.DUMMYFUNCTION("""COMPUTED_VALUE"""),"")</f>
        <v/>
      </c>
      <c r="R9193" s="21" t="str">
        <f>IFERROR(__xludf.DUMMYFUNCTION("""COMPUTED_VALUE"""),"https://drive.google.com/file/d/134nh8IVuvHS022JldDGdn4hObSp_RUkL/view?usp=drivesdk")</f>
        <v>https://drive.google.com/file/d/134nh8IVuvHS022JldDGdn4hObSp_RUkL/view?usp=drivesdk</v>
      </c>
    </row>
    <row r="9194">
      <c r="A9194" s="17" t="str">
        <f>IFERROR(__xludf.DUMMYFUNCTION("""COMPUTED_VALUE"""),"")</f>
        <v/>
      </c>
      <c r="B9194" s="17" t="str">
        <f>IFERROR(__xludf.DUMMYFUNCTION("""COMPUTED_VALUE"""),"")</f>
        <v/>
      </c>
      <c r="C9194" s="17" t="str">
        <f>IFERROR(__xludf.DUMMYFUNCTION("""COMPUTED_VALUE"""),"")</f>
        <v/>
      </c>
      <c r="D9194" s="17" t="str">
        <f>IFERROR(__xludf.DUMMYFUNCTION("""COMPUTED_VALUE"""),"")</f>
        <v/>
      </c>
      <c r="E9194" s="17" t="str">
        <f>IFERROR(__xludf.DUMMYFUNCTION("""COMPUTED_VALUE"""),"")</f>
        <v/>
      </c>
      <c r="F9194" s="17" t="str">
        <f>IFERROR(__xludf.DUMMYFUNCTION("""COMPUTED_VALUE"""),"")</f>
        <v/>
      </c>
      <c r="G9194" s="17" t="str">
        <f>IFERROR(__xludf.DUMMYFUNCTION("""COMPUTED_VALUE"""),"")</f>
        <v/>
      </c>
      <c r="H9194" s="17" t="str">
        <f>IFERROR(__xludf.DUMMYFUNCTION("""COMPUTED_VALUE"""),"")</f>
        <v/>
      </c>
      <c r="I9194" s="17" t="str">
        <f>IFERROR(__xludf.DUMMYFUNCTION("""COMPUTED_VALUE"""),"")</f>
        <v/>
      </c>
      <c r="J9194" s="17" t="str">
        <f>IFERROR(__xludf.DUMMYFUNCTION("""COMPUTED_VALUE"""),"")</f>
        <v/>
      </c>
      <c r="K9194" s="17" t="str">
        <f>IFERROR(__xludf.DUMMYFUNCTION("""COMPUTED_VALUE"""),"")</f>
        <v/>
      </c>
      <c r="L9194" s="17" t="str">
        <f>IFERROR(__xludf.DUMMYFUNCTION("""COMPUTED_VALUE"""),"")</f>
        <v/>
      </c>
      <c r="M9194" s="17" t="str">
        <f>IFERROR(__xludf.DUMMYFUNCTION("""COMPUTED_VALUE"""),"")</f>
        <v/>
      </c>
      <c r="N9194" s="17" t="str">
        <f>IFERROR(__xludf.DUMMYFUNCTION("""COMPUTED_VALUE"""),"")</f>
        <v/>
      </c>
      <c r="O9194" s="17" t="str">
        <f>IFERROR(__xludf.DUMMYFUNCTION("""COMPUTED_VALUE"""),"")</f>
        <v/>
      </c>
      <c r="P9194" s="17" t="str">
        <f>IFERROR(__xludf.DUMMYFUNCTION("""COMPUTED_VALUE"""),"")</f>
        <v/>
      </c>
      <c r="Q9194" s="17" t="str">
        <f>IFERROR(__xludf.DUMMYFUNCTION("""COMPUTED_VALUE"""),"")</f>
        <v/>
      </c>
      <c r="R9194" s="17" t="str">
        <f>IFERROR(__xludf.DUMMYFUNCTION("""COMPUTED_VALUE"""),"")</f>
        <v/>
      </c>
    </row>
    <row r="9195">
      <c r="A9195" s="15">
        <f>IFERROR(__xludf.DUMMYFUNCTION("""COMPUTED_VALUE"""),45260.0)</f>
        <v>45260</v>
      </c>
      <c r="B9195" s="16" t="str">
        <f>IFERROR(__xludf.DUMMYFUNCTION("""COMPUTED_VALUE"""),"Kevin Andrés puerta Jaramillo")</f>
        <v>Kevin Andrés puerta Jaramillo</v>
      </c>
      <c r="C9195" s="15" t="str">
        <f>IFERROR(__xludf.DUMMYFUNCTION("""COMPUTED_VALUE"""),"FLORIDABLANCA")</f>
        <v>FLORIDABLANCA</v>
      </c>
      <c r="D9195" s="15" t="str">
        <f>IFERROR(__xludf.DUMMYFUNCTION("""COMPUTED_VALUE"""),"BOGOTÁ")</f>
        <v>BOGOTÁ</v>
      </c>
      <c r="E9195" s="15" t="str">
        <f>IFERROR(__xludf.DUMMYFUNCTION("""COMPUTED_VALUE"""),"PAN DE WAFFLE")</f>
        <v>PAN DE WAFFLE</v>
      </c>
      <c r="F9195" s="17" t="str">
        <f>IFERROR(__xludf.DUMMYFUNCTION("""COMPUTED_VALUE"""),"Carrera 24 # 30 - 53 Local 2 / Carrera 24 # 30 - 53 Local 2")</f>
        <v>Carrera 24 # 30 - 53 Local 2 / Carrera 24 # 30 - 53 Local 2</v>
      </c>
      <c r="G9195" s="15" t="str">
        <f>IFERROR(__xludf.DUMMYFUNCTION("""COMPUTED_VALUE"""),"RAPPI TURBO EXITO CAÑAVERAL")</f>
        <v>RAPPI TURBO EXITO CAÑAVERAL</v>
      </c>
      <c r="H9195" s="16">
        <f>IFERROR(__xludf.DUMMYFUNCTION("""COMPUTED_VALUE"""),17689.0)</f>
        <v>17689</v>
      </c>
      <c r="I9195" s="17"/>
      <c r="J9195" s="17"/>
      <c r="K9195" s="17"/>
      <c r="L9195" s="17">
        <f>IFERROR(__xludf.DUMMYFUNCTION("""COMPUTED_VALUE"""),3.138602774E9)</f>
        <v>3138602774</v>
      </c>
      <c r="M9195" s="17"/>
      <c r="N9195" s="17"/>
      <c r="O9195" s="17"/>
      <c r="P9195" s="17" t="b">
        <f>IFERROR(__xludf.DUMMYFUNCTION("""COMPUTED_VALUE"""),FALSE)</f>
        <v>0</v>
      </c>
      <c r="Q9195" s="20" t="str">
        <f>IFERROR(__xludf.DUMMYFUNCTION("""COMPUTED_VALUE"""),"")</f>
        <v/>
      </c>
      <c r="R9195" s="21" t="str">
        <f>IFERROR(__xludf.DUMMYFUNCTION("""COMPUTED_VALUE"""),"https://drive.google.com/file/d/1FUV6cAlyLVXisN3DWFIsApy8mSfWg-0F/view?usp=drivesdk")</f>
        <v>https://drive.google.com/file/d/1FUV6cAlyLVXisN3DWFIsApy8mSfWg-0F/view?usp=drivesdk</v>
      </c>
    </row>
    <row r="9196">
      <c r="A9196" s="17" t="str">
        <f>IFERROR(__xludf.DUMMYFUNCTION("""COMPUTED_VALUE"""),"")</f>
        <v/>
      </c>
      <c r="B9196" s="17" t="str">
        <f>IFERROR(__xludf.DUMMYFUNCTION("""COMPUTED_VALUE"""),"")</f>
        <v/>
      </c>
      <c r="C9196" s="17" t="str">
        <f>IFERROR(__xludf.DUMMYFUNCTION("""COMPUTED_VALUE"""),"")</f>
        <v/>
      </c>
      <c r="D9196" s="17" t="str">
        <f>IFERROR(__xludf.DUMMYFUNCTION("""COMPUTED_VALUE"""),"")</f>
        <v/>
      </c>
      <c r="E9196" s="17" t="str">
        <f>IFERROR(__xludf.DUMMYFUNCTION("""COMPUTED_VALUE"""),"")</f>
        <v/>
      </c>
      <c r="F9196" s="17" t="str">
        <f>IFERROR(__xludf.DUMMYFUNCTION("""COMPUTED_VALUE"""),"")</f>
        <v/>
      </c>
      <c r="G9196" s="17" t="str">
        <f>IFERROR(__xludf.DUMMYFUNCTION("""COMPUTED_VALUE"""),"")</f>
        <v/>
      </c>
      <c r="H9196" s="17" t="str">
        <f>IFERROR(__xludf.DUMMYFUNCTION("""COMPUTED_VALUE"""),"")</f>
        <v/>
      </c>
      <c r="I9196" s="17" t="str">
        <f>IFERROR(__xludf.DUMMYFUNCTION("""COMPUTED_VALUE"""),"")</f>
        <v/>
      </c>
      <c r="J9196" s="17" t="str">
        <f>IFERROR(__xludf.DUMMYFUNCTION("""COMPUTED_VALUE"""),"")</f>
        <v/>
      </c>
      <c r="K9196" s="17" t="str">
        <f>IFERROR(__xludf.DUMMYFUNCTION("""COMPUTED_VALUE"""),"")</f>
        <v/>
      </c>
      <c r="L9196" s="17" t="str">
        <f>IFERROR(__xludf.DUMMYFUNCTION("""COMPUTED_VALUE"""),"")</f>
        <v/>
      </c>
      <c r="M9196" s="17" t="str">
        <f>IFERROR(__xludf.DUMMYFUNCTION("""COMPUTED_VALUE"""),"")</f>
        <v/>
      </c>
      <c r="N9196" s="17" t="str">
        <f>IFERROR(__xludf.DUMMYFUNCTION("""COMPUTED_VALUE"""),"")</f>
        <v/>
      </c>
      <c r="O9196" s="17" t="str">
        <f>IFERROR(__xludf.DUMMYFUNCTION("""COMPUTED_VALUE"""),"")</f>
        <v/>
      </c>
      <c r="P9196" s="17" t="str">
        <f>IFERROR(__xludf.DUMMYFUNCTION("""COMPUTED_VALUE"""),"")</f>
        <v/>
      </c>
      <c r="Q9196" s="17" t="str">
        <f>IFERROR(__xludf.DUMMYFUNCTION("""COMPUTED_VALUE"""),"")</f>
        <v/>
      </c>
      <c r="R9196" s="17" t="str">
        <f>IFERROR(__xludf.DUMMYFUNCTION("""COMPUTED_VALUE"""),"")</f>
        <v/>
      </c>
    </row>
    <row r="9197">
      <c r="A9197" s="15">
        <f>IFERROR(__xludf.DUMMYFUNCTION("""COMPUTED_VALUE"""),45260.0)</f>
        <v>45260</v>
      </c>
      <c r="B9197" s="16" t="str">
        <f>IFERROR(__xludf.DUMMYFUNCTION("""COMPUTED_VALUE"""),"Orlando Urdaneta Rincon ")</f>
        <v>Orlando Urdaneta Rincon </v>
      </c>
      <c r="C9197" s="15" t="str">
        <f>IFERROR(__xludf.DUMMYFUNCTION("""COMPUTED_VALUE"""),"NEIVA")</f>
        <v>NEIVA</v>
      </c>
      <c r="D9197" s="15" t="str">
        <f>IFERROR(__xludf.DUMMYFUNCTION("""COMPUTED_VALUE"""),"MEDELLÍN")</f>
        <v>MEDELLÍN</v>
      </c>
      <c r="E9197" s="15" t="str">
        <f>IFERROR(__xludf.DUMMYFUNCTION("""COMPUTED_VALUE"""),"Baby Chef")</f>
        <v>Baby Chef</v>
      </c>
      <c r="F9197" s="17" t="str">
        <f>IFERROR(__xludf.DUMMYFUNCTION("""COMPUTED_VALUE"""),"carrera 46 # 6-29 Neiva  / . / .")</f>
        <v>carrera 46 # 6-29 Neiva  / . / .</v>
      </c>
      <c r="G9197" s="15" t="str">
        <f>IFERROR(__xludf.DUMMYFUNCTION("""COMPUTED_VALUE"""),"Maria Paola Cardenas Sandoval")</f>
        <v>Maria Paola Cardenas Sandoval</v>
      </c>
      <c r="H9197" s="16">
        <f>IFERROR(__xludf.DUMMYFUNCTION("""COMPUTED_VALUE"""),17776.0)</f>
        <v>17776</v>
      </c>
      <c r="I9197" s="18">
        <f>IFERROR(__xludf.DUMMYFUNCTION("""COMPUTED_VALUE"""),15.0)</f>
        <v>15</v>
      </c>
      <c r="J9197" s="18">
        <f>IFERROR(__xludf.DUMMYFUNCTION("""COMPUTED_VALUE"""),26.0)</f>
        <v>26</v>
      </c>
      <c r="K9197" s="18">
        <f>IFERROR(__xludf.DUMMYFUNCTION("""COMPUTED_VALUE"""),39.0)</f>
        <v>39</v>
      </c>
      <c r="L9197" s="17">
        <f>IFERROR(__xludf.DUMMYFUNCTION("""COMPUTED_VALUE"""),3.10578461E9)</f>
        <v>3105784610</v>
      </c>
      <c r="M9197" s="17"/>
      <c r="N9197" s="17"/>
      <c r="O9197" s="17"/>
      <c r="P9197" s="17" t="b">
        <f>IFERROR(__xludf.DUMMYFUNCTION("""COMPUTED_VALUE"""),FALSE)</f>
        <v>0</v>
      </c>
      <c r="Q9197" s="20" t="str">
        <f>IFERROR(__xludf.DUMMYFUNCTION("""COMPUTED_VALUE"""),"")</f>
        <v/>
      </c>
      <c r="R9197" s="21" t="str">
        <f>IFERROR(__xludf.DUMMYFUNCTION("""COMPUTED_VALUE"""),"https://drive.google.com/file/d/1tme292JV9sBElxoFgh_Vrb9E5JGgII1T/view?usp=drivesdk")</f>
        <v>https://drive.google.com/file/d/1tme292JV9sBElxoFgh_Vrb9E5JGgII1T/view?usp=drivesdk</v>
      </c>
    </row>
    <row r="9198">
      <c r="A9198" s="15">
        <f>IFERROR(__xludf.DUMMYFUNCTION("""COMPUTED_VALUE"""),45260.0)</f>
        <v>45260</v>
      </c>
      <c r="B9198" s="16" t="str">
        <f>IFERROR(__xludf.DUMMYFUNCTION("""COMPUTED_VALUE"""),"Orlando Urdaneta Rincon ")</f>
        <v>Orlando Urdaneta Rincon </v>
      </c>
      <c r="C9198" s="15" t="str">
        <f>IFERROR(__xludf.DUMMYFUNCTION("""COMPUTED_VALUE"""),"SANTA MARTA")</f>
        <v>SANTA MARTA</v>
      </c>
      <c r="D9198" s="15" t="str">
        <f>IFERROR(__xludf.DUMMYFUNCTION("""COMPUTED_VALUE"""),"BOGOTÁ")</f>
        <v>BOGOTÁ</v>
      </c>
      <c r="E9198" s="15" t="str">
        <f>IFERROR(__xludf.DUMMYFUNCTION("""COMPUTED_VALUE"""),"Instinto alimento vital")</f>
        <v>Instinto alimento vital</v>
      </c>
      <c r="F9198" s="17" t="str">
        <f>IFERROR(__xludf.DUMMYFUNCTION("""COMPUTED_VALUE"""),"CR 1 B 26 A 109 / EDIFICIO ALMIRANTE APT 501")</f>
        <v>CR 1 B 26 A 109 / EDIFICIO ALMIRANTE APT 501</v>
      </c>
      <c r="G9198" s="15" t="str">
        <f>IFERROR(__xludf.DUMMYFUNCTION("""COMPUTED_VALUE"""),"VERONICA GOMEZ DE ZUBIRIA")</f>
        <v>VERONICA GOMEZ DE ZUBIRIA</v>
      </c>
      <c r="H9198" s="16">
        <f>IFERROR(__xludf.DUMMYFUNCTION("""COMPUTED_VALUE"""),17801.0)</f>
        <v>17801</v>
      </c>
      <c r="I9198" s="17"/>
      <c r="J9198" s="17"/>
      <c r="K9198" s="17"/>
      <c r="L9198" s="17">
        <f>IFERROR(__xludf.DUMMYFUNCTION("""COMPUTED_VALUE"""),3.107893555E9)</f>
        <v>3107893555</v>
      </c>
      <c r="M9198" s="17"/>
      <c r="N9198" s="17"/>
      <c r="O9198" s="17"/>
      <c r="P9198" s="17" t="b">
        <f>IFERROR(__xludf.DUMMYFUNCTION("""COMPUTED_VALUE"""),FALSE)</f>
        <v>0</v>
      </c>
      <c r="Q9198" s="20" t="str">
        <f>IFERROR(__xludf.DUMMYFUNCTION("""COMPUTED_VALUE"""),"")</f>
        <v/>
      </c>
      <c r="R9198" s="21" t="str">
        <f>IFERROR(__xludf.DUMMYFUNCTION("""COMPUTED_VALUE"""),"https://drive.google.com/file/d/1aDkor8fG1g7-2T99cHCGOqgY29T6JAnm/view?usp=drivesdk")</f>
        <v>https://drive.google.com/file/d/1aDkor8fG1g7-2T99cHCGOqgY29T6JAnm/view?usp=drivesdk</v>
      </c>
    </row>
    <row r="9199">
      <c r="A9199" s="15">
        <f>IFERROR(__xludf.DUMMYFUNCTION("""COMPUTED_VALUE"""),45260.0)</f>
        <v>45260</v>
      </c>
      <c r="B9199" s="16" t="str">
        <f>IFERROR(__xludf.DUMMYFUNCTION("""COMPUTED_VALUE"""),"Orlando Urdaneta Rincon ")</f>
        <v>Orlando Urdaneta Rincon </v>
      </c>
      <c r="C9199" s="15" t="str">
        <f>IFERROR(__xludf.DUMMYFUNCTION("""COMPUTED_VALUE"""),"SANTA MARTA")</f>
        <v>SANTA MARTA</v>
      </c>
      <c r="D9199" s="15" t="str">
        <f>IFERROR(__xludf.DUMMYFUNCTION("""COMPUTED_VALUE"""),"BOGOTÁ")</f>
        <v>BOGOTÁ</v>
      </c>
      <c r="E9199" s="15" t="str">
        <f>IFERROR(__xludf.DUMMYFUNCTION("""COMPUTED_VALUE"""),"Karem foods")</f>
        <v>Karem foods</v>
      </c>
      <c r="F9199" s="17" t="str">
        <f>IFERROR(__xludf.DUMMYFUNCTION("""COMPUTED_VALUE"""),"Conjunto Atardecer De La Sierra  / Casa 125 / -")</f>
        <v>Conjunto Atardecer De La Sierra  / Casa 125 / -</v>
      </c>
      <c r="G9199" s="15" t="str">
        <f>IFERROR(__xludf.DUMMYFUNCTION("""COMPUTED_VALUE"""),"Vivian Baute")</f>
        <v>Vivian Baute</v>
      </c>
      <c r="H9199" s="16">
        <f>IFERROR(__xludf.DUMMYFUNCTION("""COMPUTED_VALUE"""),17653.0)</f>
        <v>17653</v>
      </c>
      <c r="I9199" s="18">
        <f>IFERROR(__xludf.DUMMYFUNCTION("""COMPUTED_VALUE"""),7.0)</f>
        <v>7</v>
      </c>
      <c r="J9199" s="18">
        <f>IFERROR(__xludf.DUMMYFUNCTION("""COMPUTED_VALUE"""),20.0)</f>
        <v>20</v>
      </c>
      <c r="K9199" s="18">
        <f>IFERROR(__xludf.DUMMYFUNCTION("""COMPUTED_VALUE"""),20.0)</f>
        <v>20</v>
      </c>
      <c r="L9199" s="17">
        <f>IFERROR(__xludf.DUMMYFUNCTION("""COMPUTED_VALUE"""),3.002803334E9)</f>
        <v>3002803334</v>
      </c>
      <c r="M9199" s="17"/>
      <c r="N9199" s="17"/>
      <c r="O9199" s="17"/>
      <c r="P9199" s="17" t="b">
        <f>IFERROR(__xludf.DUMMYFUNCTION("""COMPUTED_VALUE"""),FALSE)</f>
        <v>0</v>
      </c>
      <c r="Q9199" s="20" t="str">
        <f>IFERROR(__xludf.DUMMYFUNCTION("""COMPUTED_VALUE"""),"")</f>
        <v/>
      </c>
      <c r="R9199" s="21" t="str">
        <f>IFERROR(__xludf.DUMMYFUNCTION("""COMPUTED_VALUE"""),"https://drive.google.com/file/d/1kVizejYZ2bVm57uM2Myg52Rq8E1QRxts/view?usp=drivesdk")</f>
        <v>https://drive.google.com/file/d/1kVizejYZ2bVm57uM2Myg52Rq8E1QRxts/view?usp=drivesdk</v>
      </c>
    </row>
    <row r="9200">
      <c r="A9200" s="17" t="str">
        <f>IFERROR(__xludf.DUMMYFUNCTION("""COMPUTED_VALUE"""),"")</f>
        <v/>
      </c>
      <c r="B9200" s="17" t="str">
        <f>IFERROR(__xludf.DUMMYFUNCTION("""COMPUTED_VALUE"""),"")</f>
        <v/>
      </c>
      <c r="C9200" s="17" t="str">
        <f>IFERROR(__xludf.DUMMYFUNCTION("""COMPUTED_VALUE"""),"")</f>
        <v/>
      </c>
      <c r="D9200" s="17" t="str">
        <f>IFERROR(__xludf.DUMMYFUNCTION("""COMPUTED_VALUE"""),"")</f>
        <v/>
      </c>
      <c r="E9200" s="17" t="str">
        <f>IFERROR(__xludf.DUMMYFUNCTION("""COMPUTED_VALUE"""),"")</f>
        <v/>
      </c>
      <c r="F9200" s="17" t="str">
        <f>IFERROR(__xludf.DUMMYFUNCTION("""COMPUTED_VALUE"""),"")</f>
        <v/>
      </c>
      <c r="G9200" s="17" t="str">
        <f>IFERROR(__xludf.DUMMYFUNCTION("""COMPUTED_VALUE"""),"")</f>
        <v/>
      </c>
      <c r="H9200" s="17" t="str">
        <f>IFERROR(__xludf.DUMMYFUNCTION("""COMPUTED_VALUE"""),"")</f>
        <v/>
      </c>
      <c r="I9200" s="17" t="str">
        <f>IFERROR(__xludf.DUMMYFUNCTION("""COMPUTED_VALUE"""),"")</f>
        <v/>
      </c>
      <c r="J9200" s="17" t="str">
        <f>IFERROR(__xludf.DUMMYFUNCTION("""COMPUTED_VALUE"""),"")</f>
        <v/>
      </c>
      <c r="K9200" s="17" t="str">
        <f>IFERROR(__xludf.DUMMYFUNCTION("""COMPUTED_VALUE"""),"")</f>
        <v/>
      </c>
      <c r="L9200" s="17" t="str">
        <f>IFERROR(__xludf.DUMMYFUNCTION("""COMPUTED_VALUE"""),"")</f>
        <v/>
      </c>
      <c r="M9200" s="17" t="str">
        <f>IFERROR(__xludf.DUMMYFUNCTION("""COMPUTED_VALUE"""),"")</f>
        <v/>
      </c>
      <c r="N9200" s="17" t="str">
        <f>IFERROR(__xludf.DUMMYFUNCTION("""COMPUTED_VALUE"""),"")</f>
        <v/>
      </c>
      <c r="O9200" s="17" t="str">
        <f>IFERROR(__xludf.DUMMYFUNCTION("""COMPUTED_VALUE"""),"")</f>
        <v/>
      </c>
      <c r="P9200" s="17" t="str">
        <f>IFERROR(__xludf.DUMMYFUNCTION("""COMPUTED_VALUE"""),"")</f>
        <v/>
      </c>
      <c r="Q9200" s="17" t="str">
        <f>IFERROR(__xludf.DUMMYFUNCTION("""COMPUTED_VALUE"""),"")</f>
        <v/>
      </c>
      <c r="R9200" s="17" t="str">
        <f>IFERROR(__xludf.DUMMYFUNCTION("""COMPUTED_VALUE"""),"")</f>
        <v/>
      </c>
    </row>
    <row r="9201">
      <c r="A9201" s="15">
        <f>IFERROR(__xludf.DUMMYFUNCTION("""COMPUTED_VALUE"""),45261.0)</f>
        <v>45261</v>
      </c>
      <c r="B9201" s="17"/>
      <c r="C9201" s="15" t="str">
        <f>IFERROR(__xludf.DUMMYFUNCTION("""COMPUTED_VALUE"""),"MEDELLÍN")</f>
        <v>MEDELLÍN</v>
      </c>
      <c r="D9201" s="15" t="str">
        <f>IFERROR(__xludf.DUMMYFUNCTION("""COMPUTED_VALUE"""),"BOGOTÁ")</f>
        <v>BOGOTÁ</v>
      </c>
      <c r="E9201" s="15" t="str">
        <f>IFERROR(__xludf.DUMMYFUNCTION("""COMPUTED_VALUE"""),"Trigoletta")</f>
        <v>Trigoletta</v>
      </c>
      <c r="F9201" s="17" t="str">
        <f>IFERROR(__xludf.DUMMYFUNCTION("""COMPUTED_VALUE"""),"Cra 48 #20-45 / Rivana Edificio Tigo Piso 12 El Poblado")</f>
        <v>Cra 48 #20-45 / Rivana Edificio Tigo Piso 12 El Poblado</v>
      </c>
      <c r="G9201" s="15" t="str">
        <f>IFERROR(__xludf.DUMMYFUNCTION("""COMPUTED_VALUE"""),"Jessica Marin")</f>
        <v>Jessica Marin</v>
      </c>
      <c r="H9201" s="16">
        <f>IFERROR(__xludf.DUMMYFUNCTION("""COMPUTED_VALUE"""),17868.0)</f>
        <v>17868</v>
      </c>
      <c r="I9201" s="17"/>
      <c r="J9201" s="17"/>
      <c r="K9201" s="17"/>
      <c r="L9201" s="17">
        <f>IFERROR(__xludf.DUMMYFUNCTION("""COMPUTED_VALUE"""),3.108308018E9)</f>
        <v>3108308018</v>
      </c>
      <c r="M9201" s="17"/>
      <c r="N9201" s="17"/>
      <c r="O9201" s="17"/>
      <c r="P9201" s="17" t="b">
        <f>IFERROR(__xludf.DUMMYFUNCTION("""COMPUTED_VALUE"""),FALSE)</f>
        <v>0</v>
      </c>
      <c r="Q9201" s="20" t="str">
        <f>IFERROR(__xludf.DUMMYFUNCTION("""COMPUTED_VALUE"""),"")</f>
        <v/>
      </c>
      <c r="R9201" s="21" t="str">
        <f>IFERROR(__xludf.DUMMYFUNCTION("""COMPUTED_VALUE"""),"https://drive.google.com/file/d/1XBfYUIZuMkJorV1PMCQzPztfyEO0fM3u/view?usp=drivesdk")</f>
        <v>https://drive.google.com/file/d/1XBfYUIZuMkJorV1PMCQzPztfyEO0fM3u/view?usp=drivesdk</v>
      </c>
    </row>
    <row r="9202">
      <c r="A9202" s="17" t="str">
        <f>IFERROR(__xludf.DUMMYFUNCTION("""COMPUTED_VALUE"""),"")</f>
        <v/>
      </c>
      <c r="B9202" s="17" t="str">
        <f>IFERROR(__xludf.DUMMYFUNCTION("""COMPUTED_VALUE"""),"")</f>
        <v/>
      </c>
      <c r="C9202" s="17" t="str">
        <f>IFERROR(__xludf.DUMMYFUNCTION("""COMPUTED_VALUE"""),"")</f>
        <v/>
      </c>
      <c r="D9202" s="17" t="str">
        <f>IFERROR(__xludf.DUMMYFUNCTION("""COMPUTED_VALUE"""),"")</f>
        <v/>
      </c>
      <c r="E9202" s="17" t="str">
        <f>IFERROR(__xludf.DUMMYFUNCTION("""COMPUTED_VALUE"""),"")</f>
        <v/>
      </c>
      <c r="F9202" s="17" t="str">
        <f>IFERROR(__xludf.DUMMYFUNCTION("""COMPUTED_VALUE"""),"")</f>
        <v/>
      </c>
      <c r="G9202" s="17" t="str">
        <f>IFERROR(__xludf.DUMMYFUNCTION("""COMPUTED_VALUE"""),"")</f>
        <v/>
      </c>
      <c r="H9202" s="17" t="str">
        <f>IFERROR(__xludf.DUMMYFUNCTION("""COMPUTED_VALUE"""),"")</f>
        <v/>
      </c>
      <c r="I9202" s="17" t="str">
        <f>IFERROR(__xludf.DUMMYFUNCTION("""COMPUTED_VALUE"""),"")</f>
        <v/>
      </c>
      <c r="J9202" s="17" t="str">
        <f>IFERROR(__xludf.DUMMYFUNCTION("""COMPUTED_VALUE"""),"")</f>
        <v/>
      </c>
      <c r="K9202" s="17" t="str">
        <f>IFERROR(__xludf.DUMMYFUNCTION("""COMPUTED_VALUE"""),"")</f>
        <v/>
      </c>
      <c r="L9202" s="17" t="str">
        <f>IFERROR(__xludf.DUMMYFUNCTION("""COMPUTED_VALUE"""),"")</f>
        <v/>
      </c>
      <c r="M9202" s="17" t="str">
        <f>IFERROR(__xludf.DUMMYFUNCTION("""COMPUTED_VALUE"""),"")</f>
        <v/>
      </c>
      <c r="N9202" s="17" t="str">
        <f>IFERROR(__xludf.DUMMYFUNCTION("""COMPUTED_VALUE"""),"")</f>
        <v/>
      </c>
      <c r="O9202" s="17" t="str">
        <f>IFERROR(__xludf.DUMMYFUNCTION("""COMPUTED_VALUE"""),"")</f>
        <v/>
      </c>
      <c r="P9202" s="17" t="str">
        <f>IFERROR(__xludf.DUMMYFUNCTION("""COMPUTED_VALUE"""),"")</f>
        <v/>
      </c>
      <c r="Q9202" s="17" t="str">
        <f>IFERROR(__xludf.DUMMYFUNCTION("""COMPUTED_VALUE"""),"")</f>
        <v/>
      </c>
      <c r="R9202" s="17" t="str">
        <f>IFERROR(__xludf.DUMMYFUNCTION("""COMPUTED_VALUE"""),"")</f>
        <v/>
      </c>
    </row>
    <row r="9203">
      <c r="A9203" s="15">
        <f>IFERROR(__xludf.DUMMYFUNCTION("""COMPUTED_VALUE"""),45261.0)</f>
        <v>45261</v>
      </c>
      <c r="B9203" s="16" t="str">
        <f>IFERROR(__xludf.DUMMYFUNCTION("""COMPUTED_VALUE"""),"Alvaro Chacón")</f>
        <v>Alvaro Chacón</v>
      </c>
      <c r="C9203" s="15" t="str">
        <f>IFERROR(__xludf.DUMMYFUNCTION("""COMPUTED_VALUE"""),"BOGOTÁ")</f>
        <v>BOGOTÁ</v>
      </c>
      <c r="D9203" s="15" t="str">
        <f>IFERROR(__xludf.DUMMYFUNCTION("""COMPUTED_VALUE"""),"ENVIGADO")</f>
        <v>ENVIGADO</v>
      </c>
      <c r="E9203" s="15" t="str">
        <f>IFERROR(__xludf.DUMMYFUNCTION("""COMPUTED_VALUE"""),"RAMBLA")</f>
        <v>RAMBLA</v>
      </c>
      <c r="F9203" s="17" t="str">
        <f>IFERROR(__xludf.DUMMYFUNCTION("""COMPUTED_VALUE"""),"Calle 20 sur # 12B 26 / apto 402")</f>
        <v>Calle 20 sur # 12B 26 / apto 402</v>
      </c>
      <c r="G9203" s="15" t="str">
        <f>IFERROR(__xludf.DUMMYFUNCTION("""COMPUTED_VALUE"""),"Elisa Joya")</f>
        <v>Elisa Joya</v>
      </c>
      <c r="H9203" s="16">
        <f>IFERROR(__xludf.DUMMYFUNCTION("""COMPUTED_VALUE"""),17885.0)</f>
        <v>17885</v>
      </c>
      <c r="I9203" s="17"/>
      <c r="J9203" s="17"/>
      <c r="K9203" s="17"/>
      <c r="L9203" s="17">
        <f>IFERROR(__xludf.DUMMYFUNCTION("""COMPUTED_VALUE"""),3.115842241E9)</f>
        <v>3115842241</v>
      </c>
      <c r="M9203" s="17"/>
      <c r="N9203" s="17"/>
      <c r="O9203" s="17"/>
      <c r="P9203" s="17" t="b">
        <f>IFERROR(__xludf.DUMMYFUNCTION("""COMPUTED_VALUE"""),FALSE)</f>
        <v>0</v>
      </c>
      <c r="Q9203" s="20" t="str">
        <f>IFERROR(__xludf.DUMMYFUNCTION("""COMPUTED_VALUE"""),"")</f>
        <v/>
      </c>
      <c r="R9203" s="21" t="str">
        <f>IFERROR(__xludf.DUMMYFUNCTION("""COMPUTED_VALUE"""),"https://drive.google.com/file/d/14mU4yj3WqJE8P8g5LP4zm3KZoHzmjUUq/view?usp=drivesdk")</f>
        <v>https://drive.google.com/file/d/14mU4yj3WqJE8P8g5LP4zm3KZoHzmjUUq/view?usp=drivesdk</v>
      </c>
    </row>
    <row r="9204">
      <c r="A9204" s="15">
        <f>IFERROR(__xludf.DUMMYFUNCTION("""COMPUTED_VALUE"""),45261.0)</f>
        <v>45261</v>
      </c>
      <c r="B9204" s="16" t="str">
        <f>IFERROR(__xludf.DUMMYFUNCTION("""COMPUTED_VALUE"""),"Alvaro Chacón")</f>
        <v>Alvaro Chacón</v>
      </c>
      <c r="C9204" s="15" t="str">
        <f>IFERROR(__xludf.DUMMYFUNCTION("""COMPUTED_VALUE"""),"BOGOTÁ")</f>
        <v>BOGOTÁ</v>
      </c>
      <c r="D9204" s="15" t="str">
        <f>IFERROR(__xludf.DUMMYFUNCTION("""COMPUTED_VALUE"""),"ENVIGADO")</f>
        <v>ENVIGADO</v>
      </c>
      <c r="E9204" s="15" t="str">
        <f>IFERROR(__xludf.DUMMYFUNCTION("""COMPUTED_VALUE"""),"RAMBLA")</f>
        <v>RAMBLA</v>
      </c>
      <c r="F9204" s="17" t="str">
        <f>IFERROR(__xludf.DUMMYFUNCTION("""COMPUTED_VALUE"""),"Callel 8 sur # 39 _34.")</f>
        <v>Callel 8 sur # 39 _34.</v>
      </c>
      <c r="G9204" s="15" t="str">
        <f>IFERROR(__xludf.DUMMYFUNCTION("""COMPUTED_VALUE"""),"Tierra Fertil")</f>
        <v>Tierra Fertil</v>
      </c>
      <c r="H9204" s="16">
        <f>IFERROR(__xludf.DUMMYFUNCTION("""COMPUTED_VALUE"""),17884.0)</f>
        <v>17884</v>
      </c>
      <c r="I9204" s="17"/>
      <c r="J9204" s="17"/>
      <c r="K9204" s="17"/>
      <c r="L9204" s="17">
        <f>IFERROR(__xludf.DUMMYFUNCTION("""COMPUTED_VALUE"""),3.112876801E9)</f>
        <v>3112876801</v>
      </c>
      <c r="M9204" s="17"/>
      <c r="N9204" s="17"/>
      <c r="O9204" s="17"/>
      <c r="P9204" s="17" t="b">
        <f>IFERROR(__xludf.DUMMYFUNCTION("""COMPUTED_VALUE"""),FALSE)</f>
        <v>0</v>
      </c>
      <c r="Q9204" s="20" t="str">
        <f>IFERROR(__xludf.DUMMYFUNCTION("""COMPUTED_VALUE"""),"")</f>
        <v/>
      </c>
      <c r="R9204" s="21" t="str">
        <f>IFERROR(__xludf.DUMMYFUNCTION("""COMPUTED_VALUE"""),"https://drive.google.com/file/d/1wOwUaj6Xx_EPD5naKTqyvrt-Br-e_nk-/view?usp=drivesdk")</f>
        <v>https://drive.google.com/file/d/1wOwUaj6Xx_EPD5naKTqyvrt-Br-e_nk-/view?usp=drivesdk</v>
      </c>
    </row>
    <row r="9205">
      <c r="A9205" s="15">
        <f>IFERROR(__xludf.DUMMYFUNCTION("""COMPUTED_VALUE"""),45261.0)</f>
        <v>45261</v>
      </c>
      <c r="B9205" s="16" t="str">
        <f>IFERROR(__xludf.DUMMYFUNCTION("""COMPUTED_VALUE"""),"Alvaro Chacón")</f>
        <v>Alvaro Chacón</v>
      </c>
      <c r="C9205" s="15" t="str">
        <f>IFERROR(__xludf.DUMMYFUNCTION("""COMPUTED_VALUE"""),"BOGOTÁ")</f>
        <v>BOGOTÁ</v>
      </c>
      <c r="D9205" s="15" t="str">
        <f>IFERROR(__xludf.DUMMYFUNCTION("""COMPUTED_VALUE"""),"ENVIGADO")</f>
        <v>ENVIGADO</v>
      </c>
      <c r="E9205" s="15" t="str">
        <f>IFERROR(__xludf.DUMMYFUNCTION("""COMPUTED_VALUE"""),"RAMBLA")</f>
        <v>RAMBLA</v>
      </c>
      <c r="F9205" s="17" t="str">
        <f>IFERROR(__xludf.DUMMYFUNCTION("""COMPUTED_VALUE"""),"Carrera 76 # 152B - 77 / Torre 9 Apto 502 Conjunto Residencial Ventto.")</f>
        <v>Carrera 76 # 152B - 77 / Torre 9 Apto 502 Conjunto Residencial Ventto.</v>
      </c>
      <c r="G9205" s="15" t="str">
        <f>IFERROR(__xludf.DUMMYFUNCTION("""COMPUTED_VALUE"""),"Francis Niño")</f>
        <v>Francis Niño</v>
      </c>
      <c r="H9205" s="16">
        <f>IFERROR(__xludf.DUMMYFUNCTION("""COMPUTED_VALUE"""),17890.0)</f>
        <v>17890</v>
      </c>
      <c r="I9205" s="17"/>
      <c r="J9205" s="17"/>
      <c r="K9205" s="17"/>
      <c r="L9205" s="17">
        <f>IFERROR(__xludf.DUMMYFUNCTION("""COMPUTED_VALUE"""),3.204883519E9)</f>
        <v>3204883519</v>
      </c>
      <c r="M9205" s="17"/>
      <c r="N9205" s="17"/>
      <c r="O9205" s="17"/>
      <c r="P9205" s="17" t="b">
        <f>IFERROR(__xludf.DUMMYFUNCTION("""COMPUTED_VALUE"""),FALSE)</f>
        <v>0</v>
      </c>
      <c r="Q9205" s="20" t="str">
        <f>IFERROR(__xludf.DUMMYFUNCTION("""COMPUTED_VALUE"""),"")</f>
        <v/>
      </c>
      <c r="R9205" s="21" t="str">
        <f>IFERROR(__xludf.DUMMYFUNCTION("""COMPUTED_VALUE"""),"https://drive.google.com/file/d/1l759lt3zwjV0idtjoM5x6N4mn_akfEHT/view?usp=drivesdk")</f>
        <v>https://drive.google.com/file/d/1l759lt3zwjV0idtjoM5x6N4mn_akfEHT/view?usp=drivesdk</v>
      </c>
    </row>
    <row r="9206">
      <c r="A9206" s="15">
        <f>IFERROR(__xludf.DUMMYFUNCTION("""COMPUTED_VALUE"""),45261.0)</f>
        <v>45261</v>
      </c>
      <c r="B9206" s="16" t="str">
        <f>IFERROR(__xludf.DUMMYFUNCTION("""COMPUTED_VALUE"""),"Alvaro Chacón")</f>
        <v>Alvaro Chacón</v>
      </c>
      <c r="C9206" s="15" t="str">
        <f>IFERROR(__xludf.DUMMYFUNCTION("""COMPUTED_VALUE"""),"BOGOTÁ")</f>
        <v>BOGOTÁ</v>
      </c>
      <c r="D9206" s="15" t="str">
        <f>IFERROR(__xludf.DUMMYFUNCTION("""COMPUTED_VALUE"""),"MEDELLÍN")</f>
        <v>MEDELLÍN</v>
      </c>
      <c r="E9206" s="15" t="str">
        <f>IFERROR(__xludf.DUMMYFUNCTION("""COMPUTED_VALUE"""),"AREPAS LA MARY")</f>
        <v>AREPAS LA MARY</v>
      </c>
      <c r="F9206" s="17" t="str">
        <f>IFERROR(__xludf.DUMMYFUNCTION("""COMPUTED_VALUE"""),"unidad 25 / 68b # 75a-52, unidad 25, interior 6, apto 302")</f>
        <v>unidad 25 / 68b # 75a-52, unidad 25, interior 6, apto 302</v>
      </c>
      <c r="G9206" s="15" t="str">
        <f>IFERROR(__xludf.DUMMYFUNCTION("""COMPUTED_VALUE"""),"NATALIA BAQUERO")</f>
        <v>NATALIA BAQUERO</v>
      </c>
      <c r="H9206" s="16">
        <f>IFERROR(__xludf.DUMMYFUNCTION("""COMPUTED_VALUE"""),17898.0)</f>
        <v>17898</v>
      </c>
      <c r="I9206" s="17"/>
      <c r="J9206" s="17"/>
      <c r="K9206" s="17"/>
      <c r="L9206" s="17">
        <f>IFERROR(__xludf.DUMMYFUNCTION("""COMPUTED_VALUE"""),3.133914495E9)</f>
        <v>3133914495</v>
      </c>
      <c r="M9206" s="17"/>
      <c r="N9206" s="17"/>
      <c r="O9206" s="17"/>
      <c r="P9206" s="17" t="b">
        <f>IFERROR(__xludf.DUMMYFUNCTION("""COMPUTED_VALUE"""),FALSE)</f>
        <v>0</v>
      </c>
      <c r="Q9206" s="20" t="str">
        <f>IFERROR(__xludf.DUMMYFUNCTION("""COMPUTED_VALUE"""),"")</f>
        <v/>
      </c>
      <c r="R9206" s="21" t="str">
        <f>IFERROR(__xludf.DUMMYFUNCTION("""COMPUTED_VALUE"""),"https://drive.google.com/file/d/1HbBoUS0vYK8RPLG23UnLCeeDGZpRNpJs/view?usp=drivesdk")</f>
        <v>https://drive.google.com/file/d/1HbBoUS0vYK8RPLG23UnLCeeDGZpRNpJs/view?usp=drivesdk</v>
      </c>
    </row>
    <row r="9207">
      <c r="A9207" s="15">
        <f>IFERROR(__xludf.DUMMYFUNCTION("""COMPUTED_VALUE"""),45261.0)</f>
        <v>45261</v>
      </c>
      <c r="B9207" s="16" t="str">
        <f>IFERROR(__xludf.DUMMYFUNCTION("""COMPUTED_VALUE"""),"Alvaro Chacón")</f>
        <v>Alvaro Chacón</v>
      </c>
      <c r="C9207" s="15" t="str">
        <f>IFERROR(__xludf.DUMMYFUNCTION("""COMPUTED_VALUE"""),"BOGOTÁ")</f>
        <v>BOGOTÁ</v>
      </c>
      <c r="D9207" s="15" t="str">
        <f>IFERROR(__xludf.DUMMYFUNCTION("""COMPUTED_VALUE"""),"MEDELLÍN")</f>
        <v>MEDELLÍN</v>
      </c>
      <c r="E9207" s="15" t="str">
        <f>IFERROR(__xludf.DUMMYFUNCTION("""COMPUTED_VALUE"""),"Baby Chef")</f>
        <v>Baby Chef</v>
      </c>
      <c r="F9207" s="17" t="str">
        <f>IFERROR(__xludf.DUMMYFUNCTION("""COMPUTED_VALUE"""),"Calle 129 #54-75 interior 11 apto 303 Barrio prado jardin Conjunto el poblado  Bogotá D.c / . / .")</f>
        <v>Calle 129 #54-75 interior 11 apto 303 Barrio prado jardin Conjunto el poblado  Bogotá D.c / . / .</v>
      </c>
      <c r="G9207" s="15" t="str">
        <f>IFERROR(__xludf.DUMMYFUNCTION("""COMPUTED_VALUE"""),"Leidy Yate")</f>
        <v>Leidy Yate</v>
      </c>
      <c r="H9207" s="16">
        <f>IFERROR(__xludf.DUMMYFUNCTION("""COMPUTED_VALUE"""),17879.0)</f>
        <v>17879</v>
      </c>
      <c r="I9207" s="18">
        <f>IFERROR(__xludf.DUMMYFUNCTION("""COMPUTED_VALUE"""),9.0)</f>
        <v>9</v>
      </c>
      <c r="J9207" s="18">
        <f>IFERROR(__xludf.DUMMYFUNCTION("""COMPUTED_VALUE"""),27.0)</f>
        <v>27</v>
      </c>
      <c r="K9207" s="18">
        <f>IFERROR(__xludf.DUMMYFUNCTION("""COMPUTED_VALUE"""),20.0)</f>
        <v>20</v>
      </c>
      <c r="L9207" s="17">
        <f>IFERROR(__xludf.DUMMYFUNCTION("""COMPUTED_VALUE"""),3.058113207E9)</f>
        <v>3058113207</v>
      </c>
      <c r="M9207" s="17"/>
      <c r="N9207" s="17"/>
      <c r="O9207" s="17"/>
      <c r="P9207" s="17" t="b">
        <f>IFERROR(__xludf.DUMMYFUNCTION("""COMPUTED_VALUE"""),FALSE)</f>
        <v>0</v>
      </c>
      <c r="Q9207" s="20" t="str">
        <f>IFERROR(__xludf.DUMMYFUNCTION("""COMPUTED_VALUE"""),"")</f>
        <v/>
      </c>
      <c r="R9207" s="22" t="str">
        <f>IFERROR(__xludf.DUMMYFUNCTION("""COMPUTED_VALUE"""),"")</f>
        <v/>
      </c>
    </row>
    <row r="9208">
      <c r="A9208" s="15">
        <f>IFERROR(__xludf.DUMMYFUNCTION("""COMPUTED_VALUE"""),45261.0)</f>
        <v>45261</v>
      </c>
      <c r="B9208" s="16" t="str">
        <f>IFERROR(__xludf.DUMMYFUNCTION("""COMPUTED_VALUE"""),"Alvaro Chacón")</f>
        <v>Alvaro Chacón</v>
      </c>
      <c r="C9208" s="15" t="str">
        <f>IFERROR(__xludf.DUMMYFUNCTION("""COMPUTED_VALUE"""),"BOGOTÁ")</f>
        <v>BOGOTÁ</v>
      </c>
      <c r="D9208" s="15" t="str">
        <f>IFERROR(__xludf.DUMMYFUNCTION("""COMPUTED_VALUE"""),"MEDELLÍN")</f>
        <v>MEDELLÍN</v>
      </c>
      <c r="E9208" s="15" t="str">
        <f>IFERROR(__xludf.DUMMYFUNCTION("""COMPUTED_VALUE"""),"HELADERIA MAGDA")</f>
        <v>HELADERIA MAGDA</v>
      </c>
      <c r="F9208" s="17" t="str">
        <f>IFERROR(__xludf.DUMMYFUNCTION("""COMPUTED_VALUE"""),"Cra. 16A #77-23 / Bodega")</f>
        <v>Cra. 16A #77-23 / Bodega</v>
      </c>
      <c r="G9208" s="15" t="str">
        <f>IFERROR(__xludf.DUMMYFUNCTION("""COMPUTED_VALUE"""),"Dando Cuerda")</f>
        <v>Dando Cuerda</v>
      </c>
      <c r="H9208" s="16">
        <f>IFERROR(__xludf.DUMMYFUNCTION("""COMPUTED_VALUE"""),17892.0)</f>
        <v>17892</v>
      </c>
      <c r="I9208" s="17"/>
      <c r="J9208" s="17"/>
      <c r="K9208" s="17"/>
      <c r="L9208" s="17"/>
      <c r="M9208" s="17"/>
      <c r="N9208" s="17"/>
      <c r="O9208" s="17"/>
      <c r="P9208" s="17" t="b">
        <f>IFERROR(__xludf.DUMMYFUNCTION("""COMPUTED_VALUE"""),FALSE)</f>
        <v>0</v>
      </c>
      <c r="Q9208" s="20" t="str">
        <f>IFERROR(__xludf.DUMMYFUNCTION("""COMPUTED_VALUE"""),"")</f>
        <v/>
      </c>
      <c r="R9208" s="21" t="str">
        <f>IFERROR(__xludf.DUMMYFUNCTION("""COMPUTED_VALUE"""),"https://drive.google.com/file/d/1-kJwr0paiwKtqFsMSBTvWzUMNDCHwbhQ/view?usp=drivesdk")</f>
        <v>https://drive.google.com/file/d/1-kJwr0paiwKtqFsMSBTvWzUMNDCHwbhQ/view?usp=drivesdk</v>
      </c>
    </row>
    <row r="9209">
      <c r="A9209" s="15">
        <f>IFERROR(__xludf.DUMMYFUNCTION("""COMPUTED_VALUE"""),45261.0)</f>
        <v>45261</v>
      </c>
      <c r="B9209" s="16" t="str">
        <f>IFERROR(__xludf.DUMMYFUNCTION("""COMPUTED_VALUE"""),"Alvaro Chacón")</f>
        <v>Alvaro Chacón</v>
      </c>
      <c r="C9209" s="15" t="str">
        <f>IFERROR(__xludf.DUMMYFUNCTION("""COMPUTED_VALUE"""),"POPAYAN")</f>
        <v>POPAYAN</v>
      </c>
      <c r="D9209" s="15" t="str">
        <f>IFERROR(__xludf.DUMMYFUNCTION("""COMPUTED_VALUE"""),"BOGOTÁ")</f>
        <v>BOGOTÁ</v>
      </c>
      <c r="E9209" s="15" t="str">
        <f>IFERROR(__xludf.DUMMYFUNCTION("""COMPUTED_VALUE"""),"Top Spun")</f>
        <v>Top Spun</v>
      </c>
      <c r="F9209" s="17" t="str">
        <f>IFERROR(__xludf.DUMMYFUNCTION("""COMPUTED_VALUE"""),"carrera 8#22N21 / Ciudad jardín / Popayán")</f>
        <v>carrera 8#22N21 / Ciudad jardín / Popayán</v>
      </c>
      <c r="G9209" s="15" t="str">
        <f>IFERROR(__xludf.DUMMYFUNCTION("""COMPUTED_VALUE"""),"Claudia Burbano")</f>
        <v>Claudia Burbano</v>
      </c>
      <c r="H9209" s="16">
        <f>IFERROR(__xludf.DUMMYFUNCTION("""COMPUTED_VALUE"""),17750.0)</f>
        <v>17750</v>
      </c>
      <c r="I9209" s="18">
        <f>IFERROR(__xludf.DUMMYFUNCTION("""COMPUTED_VALUE"""),20.0)</f>
        <v>20</v>
      </c>
      <c r="J9209" s="18">
        <f>IFERROR(__xludf.DUMMYFUNCTION("""COMPUTED_VALUE"""),10.0)</f>
        <v>10</v>
      </c>
      <c r="K9209" s="18">
        <f>IFERROR(__xludf.DUMMYFUNCTION("""COMPUTED_VALUE"""),40.0)</f>
        <v>40</v>
      </c>
      <c r="L9209" s="17">
        <f>IFERROR(__xludf.DUMMYFUNCTION("""COMPUTED_VALUE"""),3.117327737E9)</f>
        <v>3117327737</v>
      </c>
      <c r="M9209" s="17"/>
      <c r="N9209" s="17"/>
      <c r="O9209" s="17"/>
      <c r="P9209" s="17" t="b">
        <f>IFERROR(__xludf.DUMMYFUNCTION("""COMPUTED_VALUE"""),FALSE)</f>
        <v>0</v>
      </c>
      <c r="Q9209" s="20" t="str">
        <f>IFERROR(__xludf.DUMMYFUNCTION("""COMPUTED_VALUE"""),"")</f>
        <v/>
      </c>
      <c r="R9209" s="21" t="str">
        <f>IFERROR(__xludf.DUMMYFUNCTION("""COMPUTED_VALUE"""),"https://drive.google.com/file/d/1M9tAYHFu8i-WX4OlU8s5kUme5YlkoQz7/view?usp=drivesdk")</f>
        <v>https://drive.google.com/file/d/1M9tAYHFu8i-WX4OlU8s5kUme5YlkoQz7/view?usp=drivesdk</v>
      </c>
    </row>
    <row r="9210">
      <c r="A9210" s="17" t="str">
        <f>IFERROR(__xludf.DUMMYFUNCTION("""COMPUTED_VALUE"""),"")</f>
        <v/>
      </c>
      <c r="B9210" s="17" t="str">
        <f>IFERROR(__xludf.DUMMYFUNCTION("""COMPUTED_VALUE"""),"")</f>
        <v/>
      </c>
      <c r="C9210" s="17" t="str">
        <f>IFERROR(__xludf.DUMMYFUNCTION("""COMPUTED_VALUE"""),"")</f>
        <v/>
      </c>
      <c r="D9210" s="17" t="str">
        <f>IFERROR(__xludf.DUMMYFUNCTION("""COMPUTED_VALUE"""),"")</f>
        <v/>
      </c>
      <c r="E9210" s="17" t="str">
        <f>IFERROR(__xludf.DUMMYFUNCTION("""COMPUTED_VALUE"""),"")</f>
        <v/>
      </c>
      <c r="F9210" s="17" t="str">
        <f>IFERROR(__xludf.DUMMYFUNCTION("""COMPUTED_VALUE"""),"")</f>
        <v/>
      </c>
      <c r="G9210" s="17" t="str">
        <f>IFERROR(__xludf.DUMMYFUNCTION("""COMPUTED_VALUE"""),"")</f>
        <v/>
      </c>
      <c r="H9210" s="17" t="str">
        <f>IFERROR(__xludf.DUMMYFUNCTION("""COMPUTED_VALUE"""),"")</f>
        <v/>
      </c>
      <c r="I9210" s="17" t="str">
        <f>IFERROR(__xludf.DUMMYFUNCTION("""COMPUTED_VALUE"""),"")</f>
        <v/>
      </c>
      <c r="J9210" s="17" t="str">
        <f>IFERROR(__xludf.DUMMYFUNCTION("""COMPUTED_VALUE"""),"")</f>
        <v/>
      </c>
      <c r="K9210" s="17" t="str">
        <f>IFERROR(__xludf.DUMMYFUNCTION("""COMPUTED_VALUE"""),"")</f>
        <v/>
      </c>
      <c r="L9210" s="17" t="str">
        <f>IFERROR(__xludf.DUMMYFUNCTION("""COMPUTED_VALUE"""),"")</f>
        <v/>
      </c>
      <c r="M9210" s="17" t="str">
        <f>IFERROR(__xludf.DUMMYFUNCTION("""COMPUTED_VALUE"""),"")</f>
        <v/>
      </c>
      <c r="N9210" s="17" t="str">
        <f>IFERROR(__xludf.DUMMYFUNCTION("""COMPUTED_VALUE"""),"")</f>
        <v/>
      </c>
      <c r="O9210" s="17" t="str">
        <f>IFERROR(__xludf.DUMMYFUNCTION("""COMPUTED_VALUE"""),"")</f>
        <v/>
      </c>
      <c r="P9210" s="17" t="str">
        <f>IFERROR(__xludf.DUMMYFUNCTION("""COMPUTED_VALUE"""),"")</f>
        <v/>
      </c>
      <c r="Q9210" s="17" t="str">
        <f>IFERROR(__xludf.DUMMYFUNCTION("""COMPUTED_VALUE"""),"")</f>
        <v/>
      </c>
      <c r="R9210" s="17" t="str">
        <f>IFERROR(__xludf.DUMMYFUNCTION("""COMPUTED_VALUE"""),"")</f>
        <v/>
      </c>
    </row>
    <row r="9211">
      <c r="A9211" s="15">
        <f>IFERROR(__xludf.DUMMYFUNCTION("""COMPUTED_VALUE"""),45261.0)</f>
        <v>45261</v>
      </c>
      <c r="B9211" s="16" t="str">
        <f>IFERROR(__xludf.DUMMYFUNCTION("""COMPUTED_VALUE"""),"Daniel José sandoval gonzalez")</f>
        <v>Daniel José sandoval gonzalez</v>
      </c>
      <c r="C9211" s="15" t="str">
        <f>IFERROR(__xludf.DUMMYFUNCTION("""COMPUTED_VALUE"""),"BARRANQUILLA")</f>
        <v>BARRANQUILLA</v>
      </c>
      <c r="D9211" s="15" t="str">
        <f>IFERROR(__xludf.DUMMYFUNCTION("""COMPUTED_VALUE"""),"BOGOTÁ")</f>
        <v>BOGOTÁ</v>
      </c>
      <c r="E9211" s="15" t="str">
        <f>IFERROR(__xludf.DUMMYFUNCTION("""COMPUTED_VALUE"""),"PAN DE WAFFLE")</f>
        <v>PAN DE WAFFLE</v>
      </c>
      <c r="F9211" s="17" t="str">
        <f>IFERROR(__xludf.DUMMYFUNCTION("""COMPUTED_VALUE"""),"Calle 80 # 65 - 07 / Calle 80 # 65 - 07")</f>
        <v>Calle 80 # 65 - 07 / Calle 80 # 65 - 07</v>
      </c>
      <c r="G9211" s="15" t="str">
        <f>IFERROR(__xludf.DUMMYFUNCTION("""COMPUTED_VALUE"""),"RAPPI TURBO VILLA ANDA LUCIA BAQ")</f>
        <v>RAPPI TURBO VILLA ANDA LUCIA BAQ</v>
      </c>
      <c r="H9211" s="16">
        <f>IFERROR(__xludf.DUMMYFUNCTION("""COMPUTED_VALUE"""),17799.0)</f>
        <v>17799</v>
      </c>
      <c r="I9211" s="17"/>
      <c r="J9211" s="17"/>
      <c r="K9211" s="17"/>
      <c r="L9211" s="17">
        <f>IFERROR(__xludf.DUMMYFUNCTION("""COMPUTED_VALUE"""),3.017032143E9)</f>
        <v>3017032143</v>
      </c>
      <c r="M9211" s="17"/>
      <c r="N9211" s="17"/>
      <c r="O9211" s="17"/>
      <c r="P9211" s="17" t="b">
        <f>IFERROR(__xludf.DUMMYFUNCTION("""COMPUTED_VALUE"""),FALSE)</f>
        <v>0</v>
      </c>
      <c r="Q9211" s="20" t="str">
        <f>IFERROR(__xludf.DUMMYFUNCTION("""COMPUTED_VALUE"""),"")</f>
        <v/>
      </c>
      <c r="R9211" s="21" t="str">
        <f>IFERROR(__xludf.DUMMYFUNCTION("""COMPUTED_VALUE"""),"https://drive.google.com/file/d/1JQOM_rkssdpan2YVE_ZZUT5bkWK_C76H/view?usp=drivesdk")</f>
        <v>https://drive.google.com/file/d/1JQOM_rkssdpan2YVE_ZZUT5bkWK_C76H/view?usp=drivesdk</v>
      </c>
    </row>
    <row r="9212">
      <c r="A9212" s="15">
        <f>IFERROR(__xludf.DUMMYFUNCTION("""COMPUTED_VALUE"""),45261.0)</f>
        <v>45261</v>
      </c>
      <c r="B9212" s="16" t="str">
        <f>IFERROR(__xludf.DUMMYFUNCTION("""COMPUTED_VALUE"""),"Daniel José sandoval gonzalez")</f>
        <v>Daniel José sandoval gonzalez</v>
      </c>
      <c r="C9212" s="15" t="str">
        <f>IFERROR(__xludf.DUMMYFUNCTION("""COMPUTED_VALUE"""),"BARRANQUILLA")</f>
        <v>BARRANQUILLA</v>
      </c>
      <c r="D9212" s="15" t="str">
        <f>IFERROR(__xludf.DUMMYFUNCTION("""COMPUTED_VALUE"""),"BOGOTÁ")</f>
        <v>BOGOTÁ</v>
      </c>
      <c r="E9212" s="15" t="str">
        <f>IFERROR(__xludf.DUMMYFUNCTION("""COMPUTED_VALUE"""),"PAN DE WAFFLE")</f>
        <v>PAN DE WAFFLE</v>
      </c>
      <c r="F9212" s="17" t="str">
        <f>IFERROR(__xludf.DUMMYFUNCTION("""COMPUTED_VALUE"""),"Calle 93 # 43 - 138 / Calle 93 # 43 - 138")</f>
        <v>Calle 93 # 43 - 138 / Calle 93 # 43 - 138</v>
      </c>
      <c r="G9212" s="15" t="str">
        <f>IFERROR(__xludf.DUMMYFUNCTION("""COMPUTED_VALUE"""),"RAPPI TURBO SEDE EL POBLADO")</f>
        <v>RAPPI TURBO SEDE EL POBLADO</v>
      </c>
      <c r="H9212" s="16">
        <f>IFERROR(__xludf.DUMMYFUNCTION("""COMPUTED_VALUE"""),17798.0)</f>
        <v>17798</v>
      </c>
      <c r="I9212" s="17"/>
      <c r="J9212" s="17"/>
      <c r="K9212" s="17"/>
      <c r="L9212" s="17">
        <f>IFERROR(__xludf.DUMMYFUNCTION("""COMPUTED_VALUE"""),3.017032143E9)</f>
        <v>3017032143</v>
      </c>
      <c r="M9212" s="17"/>
      <c r="N9212" s="17"/>
      <c r="O9212" s="17"/>
      <c r="P9212" s="17" t="b">
        <f>IFERROR(__xludf.DUMMYFUNCTION("""COMPUTED_VALUE"""),FALSE)</f>
        <v>0</v>
      </c>
      <c r="Q9212" s="20" t="str">
        <f>IFERROR(__xludf.DUMMYFUNCTION("""COMPUTED_VALUE"""),"")</f>
        <v/>
      </c>
      <c r="R9212" s="21" t="str">
        <f>IFERROR(__xludf.DUMMYFUNCTION("""COMPUTED_VALUE"""),"https://drive.google.com/file/d/1GN12w4RtQrDwCflIDV0y94-w4Wk5UQkM/view?usp=drivesdk")</f>
        <v>https://drive.google.com/file/d/1GN12w4RtQrDwCflIDV0y94-w4Wk5UQkM/view?usp=drivesdk</v>
      </c>
    </row>
    <row r="9213">
      <c r="A9213" s="15">
        <f>IFERROR(__xludf.DUMMYFUNCTION("""COMPUTED_VALUE"""),45261.0)</f>
        <v>45261</v>
      </c>
      <c r="B9213" s="16" t="str">
        <f>IFERROR(__xludf.DUMMYFUNCTION("""COMPUTED_VALUE"""),"Daniel José sandoval gonzalez")</f>
        <v>Daniel José sandoval gonzalez</v>
      </c>
      <c r="C9213" s="15" t="str">
        <f>IFERROR(__xludf.DUMMYFUNCTION("""COMPUTED_VALUE"""),"BARRANQUILLA")</f>
        <v>BARRANQUILLA</v>
      </c>
      <c r="D9213" s="15" t="str">
        <f>IFERROR(__xludf.DUMMYFUNCTION("""COMPUTED_VALUE"""),"BOGOTÁ")</f>
        <v>BOGOTÁ</v>
      </c>
      <c r="E9213" s="15" t="str">
        <f>IFERROR(__xludf.DUMMYFUNCTION("""COMPUTED_VALUE"""),"PAN DE WAFFLE")</f>
        <v>PAN DE WAFFLE</v>
      </c>
      <c r="F9213" s="17" t="str">
        <f>IFERROR(__xludf.DUMMYFUNCTION("""COMPUTED_VALUE"""),"Carrera 38 # 76 - 50 / Carrera 38 # 76 - 50")</f>
        <v>Carrera 38 # 76 - 50 / Carrera 38 # 76 - 50</v>
      </c>
      <c r="G9213" s="15" t="str">
        <f>IFERROR(__xludf.DUMMYFUNCTION("""COMPUTED_VALUE"""),"RAPPI TURBO SEDE LAS COLINAS")</f>
        <v>RAPPI TURBO SEDE LAS COLINAS</v>
      </c>
      <c r="H9213" s="16">
        <f>IFERROR(__xludf.DUMMYFUNCTION("""COMPUTED_VALUE"""),17797.0)</f>
        <v>17797</v>
      </c>
      <c r="I9213" s="17"/>
      <c r="J9213" s="17"/>
      <c r="K9213" s="17"/>
      <c r="L9213" s="17">
        <f>IFERROR(__xludf.DUMMYFUNCTION("""COMPUTED_VALUE"""),3.017032143E9)</f>
        <v>3017032143</v>
      </c>
      <c r="M9213" s="17"/>
      <c r="N9213" s="17"/>
      <c r="O9213" s="17"/>
      <c r="P9213" s="17" t="b">
        <f>IFERROR(__xludf.DUMMYFUNCTION("""COMPUTED_VALUE"""),FALSE)</f>
        <v>0</v>
      </c>
      <c r="Q9213" s="20" t="str">
        <f>IFERROR(__xludf.DUMMYFUNCTION("""COMPUTED_VALUE"""),"")</f>
        <v/>
      </c>
      <c r="R9213" s="21" t="str">
        <f>IFERROR(__xludf.DUMMYFUNCTION("""COMPUTED_VALUE"""),"https://drive.google.com/file/d/1U0mrBJC0p_uHsH1CqtJeq3CpTxKyh0WQ/view?usp=drivesdk")</f>
        <v>https://drive.google.com/file/d/1U0mrBJC0p_uHsH1CqtJeq3CpTxKyh0WQ/view?usp=drivesdk</v>
      </c>
    </row>
    <row r="9214">
      <c r="A9214" s="15">
        <f>IFERROR(__xludf.DUMMYFUNCTION("""COMPUTED_VALUE"""),45261.0)</f>
        <v>45261</v>
      </c>
      <c r="B9214" s="16" t="str">
        <f>IFERROR(__xludf.DUMMYFUNCTION("""COMPUTED_VALUE"""),"Daniel José sandoval gonzalez")</f>
        <v>Daniel José sandoval gonzalez</v>
      </c>
      <c r="C9214" s="15" t="str">
        <f>IFERROR(__xludf.DUMMYFUNCTION("""COMPUTED_VALUE"""),"BARRANQUILLA")</f>
        <v>BARRANQUILLA</v>
      </c>
      <c r="D9214" s="15" t="str">
        <f>IFERROR(__xludf.DUMMYFUNCTION("""COMPUTED_VALUE"""),"BOGOTÁ")</f>
        <v>BOGOTÁ</v>
      </c>
      <c r="E9214" s="15" t="str">
        <f>IFERROR(__xludf.DUMMYFUNCTION("""COMPUTED_VALUE"""),"PAN DE WAFFLE")</f>
        <v>PAN DE WAFFLE</v>
      </c>
      <c r="F9214" s="17" t="str">
        <f>IFERROR(__xludf.DUMMYFUNCTION("""COMPUTED_VALUE"""),"CR 53 80 284 LC 8 / CR 53 80 284 LC 8")</f>
        <v>CR 53 80 284 LC 8 / CR 53 80 284 LC 8</v>
      </c>
      <c r="G9214" s="15" t="str">
        <f>IFERROR(__xludf.DUMMYFUNCTION("""COMPUTED_VALUE"""),"CORPOFIT")</f>
        <v>CORPOFIT</v>
      </c>
      <c r="H9214" s="16">
        <f>IFERROR(__xludf.DUMMYFUNCTION("""COMPUTED_VALUE"""),17800.0)</f>
        <v>17800</v>
      </c>
      <c r="I9214" s="17"/>
      <c r="J9214" s="17"/>
      <c r="K9214" s="17"/>
      <c r="L9214" s="17">
        <f>IFERROR(__xludf.DUMMYFUNCTION("""COMPUTED_VALUE"""),3.006125263E9)</f>
        <v>3006125263</v>
      </c>
      <c r="M9214" s="17"/>
      <c r="N9214" s="17"/>
      <c r="O9214" s="17"/>
      <c r="P9214" s="17" t="b">
        <f>IFERROR(__xludf.DUMMYFUNCTION("""COMPUTED_VALUE"""),FALSE)</f>
        <v>0</v>
      </c>
      <c r="Q9214" s="20" t="str">
        <f>IFERROR(__xludf.DUMMYFUNCTION("""COMPUTED_VALUE"""),"")</f>
        <v/>
      </c>
      <c r="R9214" s="21" t="str">
        <f>IFERROR(__xludf.DUMMYFUNCTION("""COMPUTED_VALUE"""),"https://drive.google.com/file/d/1d7tzR-g6usTCT6Amj1X6_E8tRTf9dC4a/view?usp=drivesdk")</f>
        <v>https://drive.google.com/file/d/1d7tzR-g6usTCT6Amj1X6_E8tRTf9dC4a/view?usp=drivesdk</v>
      </c>
    </row>
    <row r="9215">
      <c r="A9215" s="15">
        <f>IFERROR(__xludf.DUMMYFUNCTION("""COMPUTED_VALUE"""),45261.0)</f>
        <v>45261</v>
      </c>
      <c r="B9215" s="16" t="str">
        <f>IFERROR(__xludf.DUMMYFUNCTION("""COMPUTED_VALUE"""),"Daniel José sandoval gonzalez")</f>
        <v>Daniel José sandoval gonzalez</v>
      </c>
      <c r="C9215" s="15" t="str">
        <f>IFERROR(__xludf.DUMMYFUNCTION("""COMPUTED_VALUE"""),"BARRANQUILLA")</f>
        <v>BARRANQUILLA</v>
      </c>
      <c r="D9215" s="15" t="str">
        <f>IFERROR(__xludf.DUMMYFUNCTION("""COMPUTED_VALUE"""),"ENVIGADO")</f>
        <v>ENVIGADO</v>
      </c>
      <c r="E9215" s="15" t="str">
        <f>IFERROR(__xludf.DUMMYFUNCTION("""COMPUTED_VALUE"""),"JUAN CAMILO CORDOBA")</f>
        <v>JUAN CAMILO CORDOBA</v>
      </c>
      <c r="F9215" s="17" t="str">
        <f>IFERROR(__xludf.DUMMYFUNCTION("""COMPUTED_VALUE"""),"Carrera 74 #76-74")</f>
        <v>Carrera 74 #76-74</v>
      </c>
      <c r="G9215" s="15" t="str">
        <f>IFERROR(__xludf.DUMMYFUNCTION("""COMPUTED_VALUE"""),"Fit Hub")</f>
        <v>Fit Hub</v>
      </c>
      <c r="H9215" s="16">
        <f>IFERROR(__xludf.DUMMYFUNCTION("""COMPUTED_VALUE"""),17824.0)</f>
        <v>17824</v>
      </c>
      <c r="I9215" s="17"/>
      <c r="J9215" s="17"/>
      <c r="K9215" s="17"/>
      <c r="L9215" s="17">
        <f>IFERROR(__xludf.DUMMYFUNCTION("""COMPUTED_VALUE"""),3.157039547E9)</f>
        <v>3157039547</v>
      </c>
      <c r="M9215" s="17"/>
      <c r="N9215" s="17"/>
      <c r="O9215" s="17"/>
      <c r="P9215" s="17" t="b">
        <f>IFERROR(__xludf.DUMMYFUNCTION("""COMPUTED_VALUE"""),FALSE)</f>
        <v>0</v>
      </c>
      <c r="Q9215" s="20" t="str">
        <f>IFERROR(__xludf.DUMMYFUNCTION("""COMPUTED_VALUE"""),"")</f>
        <v/>
      </c>
      <c r="R9215" s="21" t="str">
        <f>IFERROR(__xludf.DUMMYFUNCTION("""COMPUTED_VALUE"""),"https://drive.google.com/file/d/1GnNIyNaIibT36sdLK6uc5TVQHa_Cfqz6/view?usp=drivesdk")</f>
        <v>https://drive.google.com/file/d/1GnNIyNaIibT36sdLK6uc5TVQHa_Cfqz6/view?usp=drivesdk</v>
      </c>
    </row>
    <row r="9216">
      <c r="A9216" s="15">
        <f>IFERROR(__xludf.DUMMYFUNCTION("""COMPUTED_VALUE"""),45261.0)</f>
        <v>45261</v>
      </c>
      <c r="B9216" s="16" t="str">
        <f>IFERROR(__xludf.DUMMYFUNCTION("""COMPUTED_VALUE"""),"Daniel José sandoval gonzalez")</f>
        <v>Daniel José sandoval gonzalez</v>
      </c>
      <c r="C9216" s="15" t="str">
        <f>IFERROR(__xludf.DUMMYFUNCTION("""COMPUTED_VALUE"""),"BARRANQUILLA")</f>
        <v>BARRANQUILLA</v>
      </c>
      <c r="D9216" s="15" t="str">
        <f>IFERROR(__xludf.DUMMYFUNCTION("""COMPUTED_VALUE"""),"MEDELLÍN")</f>
        <v>MEDELLÍN</v>
      </c>
      <c r="E9216" s="15" t="str">
        <f>IFERROR(__xludf.DUMMYFUNCTION("""COMPUTED_VALUE"""),"AREPAS LA MARY")</f>
        <v>AREPAS LA MARY</v>
      </c>
      <c r="F9216" s="17" t="str">
        <f>IFERROR(__xludf.DUMMYFUNCTION("""COMPUTED_VALUE"""),"CALLE 79 N.57 180 CASA 8 / CONJUNTO PORTAL DEL COUNTRY")</f>
        <v>CALLE 79 N.57 180 CASA 8 / CONJUNTO PORTAL DEL COUNTRY</v>
      </c>
      <c r="G9216" s="15" t="str">
        <f>IFERROR(__xludf.DUMMYFUNCTION("""COMPUTED_VALUE"""),"MARIA VICTORIA NIEBLES")</f>
        <v>MARIA VICTORIA NIEBLES</v>
      </c>
      <c r="H9216" s="16">
        <f>IFERROR(__xludf.DUMMYFUNCTION("""COMPUTED_VALUE"""),17859.0)</f>
        <v>17859</v>
      </c>
      <c r="I9216" s="17"/>
      <c r="J9216" s="17"/>
      <c r="K9216" s="17"/>
      <c r="L9216" s="17">
        <f>IFERROR(__xludf.DUMMYFUNCTION("""COMPUTED_VALUE"""),3.205211711E9)</f>
        <v>3205211711</v>
      </c>
      <c r="M9216" s="17"/>
      <c r="N9216" s="17"/>
      <c r="O9216" s="17"/>
      <c r="P9216" s="17" t="b">
        <f>IFERROR(__xludf.DUMMYFUNCTION("""COMPUTED_VALUE"""),FALSE)</f>
        <v>0</v>
      </c>
      <c r="Q9216" s="20" t="str">
        <f>IFERROR(__xludf.DUMMYFUNCTION("""COMPUTED_VALUE"""),"")</f>
        <v/>
      </c>
      <c r="R9216" s="21" t="str">
        <f>IFERROR(__xludf.DUMMYFUNCTION("""COMPUTED_VALUE"""),"https://drive.google.com/file/d/10wr6Ze7DfmWCZ4eKQQ9lax1ps4jOkGB3/view?usp=drivesdk")</f>
        <v>https://drive.google.com/file/d/10wr6Ze7DfmWCZ4eKQQ9lax1ps4jOkGB3/view?usp=drivesdk</v>
      </c>
    </row>
    <row r="9217">
      <c r="A9217" s="15">
        <f>IFERROR(__xludf.DUMMYFUNCTION("""COMPUTED_VALUE"""),45261.0)</f>
        <v>45261</v>
      </c>
      <c r="B9217" s="16" t="str">
        <f>IFERROR(__xludf.DUMMYFUNCTION("""COMPUTED_VALUE"""),"Daniel José sandoval gonzalez")</f>
        <v>Daniel José sandoval gonzalez</v>
      </c>
      <c r="C9217" s="15" t="str">
        <f>IFERROR(__xludf.DUMMYFUNCTION("""COMPUTED_VALUE"""),"BARRANQUILLA")</f>
        <v>BARRANQUILLA</v>
      </c>
      <c r="D9217" s="15" t="str">
        <f>IFERROR(__xludf.DUMMYFUNCTION("""COMPUTED_VALUE"""),"MEDELLÍN")</f>
        <v>MEDELLÍN</v>
      </c>
      <c r="E9217" s="15" t="str">
        <f>IFERROR(__xludf.DUMMYFUNCTION("""COMPUTED_VALUE"""),"AREPAS LA MARY")</f>
        <v>AREPAS LA MARY</v>
      </c>
      <c r="F9217" s="17" t="str">
        <f>IFERROR(__xludf.DUMMYFUNCTION("""COMPUTED_VALUE"""),"CALLE 93 N.42 C 123 APTO 607 / ED. TABOR PLAZA")</f>
        <v>CALLE 93 N.42 C 123 APTO 607 / ED. TABOR PLAZA</v>
      </c>
      <c r="G9217" s="15" t="str">
        <f>IFERROR(__xludf.DUMMYFUNCTION("""COMPUTED_VALUE"""),"CINDY GARCIA")</f>
        <v>CINDY GARCIA</v>
      </c>
      <c r="H9217" s="16">
        <f>IFERROR(__xludf.DUMMYFUNCTION("""COMPUTED_VALUE"""),17858.0)</f>
        <v>17858</v>
      </c>
      <c r="I9217" s="17"/>
      <c r="J9217" s="17"/>
      <c r="K9217" s="17"/>
      <c r="L9217" s="17">
        <f>IFERROR(__xludf.DUMMYFUNCTION("""COMPUTED_VALUE"""),3.017247359E9)</f>
        <v>3017247359</v>
      </c>
      <c r="M9217" s="17"/>
      <c r="N9217" s="17"/>
      <c r="O9217" s="17"/>
      <c r="P9217" s="17" t="b">
        <f>IFERROR(__xludf.DUMMYFUNCTION("""COMPUTED_VALUE"""),FALSE)</f>
        <v>0</v>
      </c>
      <c r="Q9217" s="20" t="str">
        <f>IFERROR(__xludf.DUMMYFUNCTION("""COMPUTED_VALUE"""),"")</f>
        <v/>
      </c>
      <c r="R9217" s="21" t="str">
        <f>IFERROR(__xludf.DUMMYFUNCTION("""COMPUTED_VALUE"""),"https://drive.google.com/file/d/1CYSLLRaXccHG94Cx3m01QaqKXfMooqaC/view?usp=drivesdk")</f>
        <v>https://drive.google.com/file/d/1CYSLLRaXccHG94Cx3m01QaqKXfMooqaC/view?usp=drivesdk</v>
      </c>
    </row>
    <row r="9218">
      <c r="A9218" s="15">
        <f>IFERROR(__xludf.DUMMYFUNCTION("""COMPUTED_VALUE"""),45261.0)</f>
        <v>45261</v>
      </c>
      <c r="B9218" s="16" t="str">
        <f>IFERROR(__xludf.DUMMYFUNCTION("""COMPUTED_VALUE"""),"Daniel José sandoval gonzalez")</f>
        <v>Daniel José sandoval gonzalez</v>
      </c>
      <c r="C9218" s="15" t="str">
        <f>IFERROR(__xludf.DUMMYFUNCTION("""COMPUTED_VALUE"""),"BARRANQUILLA")</f>
        <v>BARRANQUILLA</v>
      </c>
      <c r="D9218" s="15" t="str">
        <f>IFERROR(__xludf.DUMMYFUNCTION("""COMPUTED_VALUE"""),"MEDELLÍN")</f>
        <v>MEDELLÍN</v>
      </c>
      <c r="E9218" s="15" t="str">
        <f>IFERROR(__xludf.DUMMYFUNCTION("""COMPUTED_VALUE"""),"Baby Chef")</f>
        <v>Baby Chef</v>
      </c>
      <c r="F9218" s="17" t="str">
        <f>IFERROR(__xludf.DUMMYFUNCTION("""COMPUTED_VALUE"""),"carrera 18 #26-118, Casa esquina Barrio Las Nieves Casa esquina Barrio Las Nieves / . / .")</f>
        <v>carrera 18 #26-118, Casa esquina Barrio Las Nieves Casa esquina Barrio Las Nieves / . / .</v>
      </c>
      <c r="G9218" s="15" t="str">
        <f>IFERROR(__xludf.DUMMYFUNCTION("""COMPUTED_VALUE"""),"Karen Madrid Vélez")</f>
        <v>Karen Madrid Vélez</v>
      </c>
      <c r="H9218" s="16">
        <f>IFERROR(__xludf.DUMMYFUNCTION("""COMPUTED_VALUE"""),17820.0)</f>
        <v>17820</v>
      </c>
      <c r="I9218" s="18">
        <f>IFERROR(__xludf.DUMMYFUNCTION("""COMPUTED_VALUE"""),10.0)</f>
        <v>10</v>
      </c>
      <c r="J9218" s="18">
        <f>IFERROR(__xludf.DUMMYFUNCTION("""COMPUTED_VALUE"""),26.0)</f>
        <v>26</v>
      </c>
      <c r="K9218" s="18">
        <f>IFERROR(__xludf.DUMMYFUNCTION("""COMPUTED_VALUE"""),33.0)</f>
        <v>33</v>
      </c>
      <c r="L9218" s="17">
        <f>IFERROR(__xludf.DUMMYFUNCTION("""COMPUTED_VALUE"""),3.00735457E9)</f>
        <v>3007354570</v>
      </c>
      <c r="M9218" s="17"/>
      <c r="N9218" s="17"/>
      <c r="O9218" s="17"/>
      <c r="P9218" s="17" t="b">
        <f>IFERROR(__xludf.DUMMYFUNCTION("""COMPUTED_VALUE"""),FALSE)</f>
        <v>0</v>
      </c>
      <c r="Q9218" s="20" t="str">
        <f>IFERROR(__xludf.DUMMYFUNCTION("""COMPUTED_VALUE"""),"")</f>
        <v/>
      </c>
      <c r="R9218" s="21" t="str">
        <f>IFERROR(__xludf.DUMMYFUNCTION("""COMPUTED_VALUE"""),"https://drive.google.com/file/d/1AhiR--W3T46ZBg512GWLOQ4wusLKXhYl/view?usp=drivesdk")</f>
        <v>https://drive.google.com/file/d/1AhiR--W3T46ZBg512GWLOQ4wusLKXhYl/view?usp=drivesdk</v>
      </c>
    </row>
    <row r="9219">
      <c r="A9219" s="15">
        <f>IFERROR(__xludf.DUMMYFUNCTION("""COMPUTED_VALUE"""),45261.0)</f>
        <v>45261</v>
      </c>
      <c r="B9219" s="16" t="str">
        <f>IFERROR(__xludf.DUMMYFUNCTION("""COMPUTED_VALUE"""),"Daniel José sandoval gonzalez")</f>
        <v>Daniel José sandoval gonzalez</v>
      </c>
      <c r="C9219" s="15" t="str">
        <f>IFERROR(__xludf.DUMMYFUNCTION("""COMPUTED_VALUE"""),"BARRANQUILLA")</f>
        <v>BARRANQUILLA</v>
      </c>
      <c r="D9219" s="15" t="str">
        <f>IFERROR(__xludf.DUMMYFUNCTION("""COMPUTED_VALUE"""),"MEDELLÍN")</f>
        <v>MEDELLÍN</v>
      </c>
      <c r="E9219" s="15" t="str">
        <f>IFERROR(__xludf.DUMMYFUNCTION("""COMPUTED_VALUE"""),"HELADERIA MAGDA")</f>
        <v>HELADERIA MAGDA</v>
      </c>
      <c r="F9219" s="17" t="str">
        <f>IFERROR(__xludf.DUMMYFUNCTION("""COMPUTED_VALUE"""),"CALLE 93 #43-41 / COCINA OCULTA")</f>
        <v>CALLE 93 #43-41 / COCINA OCULTA</v>
      </c>
      <c r="G9219" s="15" t="str">
        <f>IFERROR(__xludf.DUMMYFUNCTION("""COMPUTED_VALUE"""),"CITY HUB")</f>
        <v>CITY HUB</v>
      </c>
      <c r="H9219" s="16">
        <f>IFERROR(__xludf.DUMMYFUNCTION("""COMPUTED_VALUE"""),17822.0)</f>
        <v>17822</v>
      </c>
      <c r="I9219" s="17"/>
      <c r="J9219" s="17"/>
      <c r="K9219" s="17"/>
      <c r="L9219" s="17">
        <f>IFERROR(__xludf.DUMMYFUNCTION("""COMPUTED_VALUE"""),3.235800359E9)</f>
        <v>3235800359</v>
      </c>
      <c r="M9219" s="17"/>
      <c r="N9219" s="17"/>
      <c r="O9219" s="17"/>
      <c r="P9219" s="17" t="b">
        <f>IFERROR(__xludf.DUMMYFUNCTION("""COMPUTED_VALUE"""),FALSE)</f>
        <v>0</v>
      </c>
      <c r="Q9219" s="20" t="str">
        <f>IFERROR(__xludf.DUMMYFUNCTION("""COMPUTED_VALUE"""),"")</f>
        <v/>
      </c>
      <c r="R9219" s="21" t="str">
        <f>IFERROR(__xludf.DUMMYFUNCTION("""COMPUTED_VALUE"""),"https://drive.google.com/file/d/1WCYuVxkUcqAlZgnPs3xyatpq0Ebqi8Rk/view?usp=drivesdk")</f>
        <v>https://drive.google.com/file/d/1WCYuVxkUcqAlZgnPs3xyatpq0Ebqi8Rk/view?usp=drivesdk</v>
      </c>
    </row>
    <row r="9220">
      <c r="A9220" s="15">
        <f>IFERROR(__xludf.DUMMYFUNCTION("""COMPUTED_VALUE"""),45261.0)</f>
        <v>45261</v>
      </c>
      <c r="B9220" s="16" t="str">
        <f>IFERROR(__xludf.DUMMYFUNCTION("""COMPUTED_VALUE"""),"Daniel José sandoval gonzalez")</f>
        <v>Daniel José sandoval gonzalez</v>
      </c>
      <c r="C9220" s="15" t="str">
        <f>IFERROR(__xludf.DUMMYFUNCTION("""COMPUTED_VALUE"""),"SABANETA")</f>
        <v>SABANETA</v>
      </c>
      <c r="D9220" s="15" t="str">
        <f>IFERROR(__xludf.DUMMYFUNCTION("""COMPUTED_VALUE"""),"BOGOTÁ")</f>
        <v>BOGOTÁ</v>
      </c>
      <c r="E9220" s="15" t="str">
        <f>IFERROR(__xludf.DUMMYFUNCTION("""COMPUTED_VALUE"""),"Natural Foodie")</f>
        <v>Natural Foodie</v>
      </c>
      <c r="F9220" s="17" t="str">
        <f>IFERROR(__xludf.DUMMYFUNCTION("""COMPUTED_VALUE"""),"Cra 46 75sur 150 apto 2107 torre 2 / apto 2107 torre 2 / Sabaneta")</f>
        <v>Cra 46 75sur 150 apto 2107 torre 2 / apto 2107 torre 2 / Sabaneta</v>
      </c>
      <c r="G9220" s="15" t="str">
        <f>IFERROR(__xludf.DUMMYFUNCTION("""COMPUTED_VALUE"""),"Víctor David Castaño")</f>
        <v>Víctor David Castaño</v>
      </c>
      <c r="H9220" s="16">
        <f>IFERROR(__xludf.DUMMYFUNCTION("""COMPUTED_VALUE"""),17732.0)</f>
        <v>17732</v>
      </c>
      <c r="I9220" s="18">
        <f>IFERROR(__xludf.DUMMYFUNCTION("""COMPUTED_VALUE"""),22.0)</f>
        <v>22</v>
      </c>
      <c r="J9220" s="18">
        <f>IFERROR(__xludf.DUMMYFUNCTION("""COMPUTED_VALUE"""),21.0)</f>
        <v>21</v>
      </c>
      <c r="K9220" s="18">
        <f>IFERROR(__xludf.DUMMYFUNCTION("""COMPUTED_VALUE"""),32.0)</f>
        <v>32</v>
      </c>
      <c r="L9220" s="17">
        <f>IFERROR(__xludf.DUMMYFUNCTION("""COMPUTED_VALUE"""),3.156749841E9)</f>
        <v>3156749841</v>
      </c>
      <c r="M9220" s="17"/>
      <c r="N9220" s="17"/>
      <c r="O9220" s="17"/>
      <c r="P9220" s="17" t="b">
        <f>IFERROR(__xludf.DUMMYFUNCTION("""COMPUTED_VALUE"""),FALSE)</f>
        <v>0</v>
      </c>
      <c r="Q9220" s="20" t="str">
        <f>IFERROR(__xludf.DUMMYFUNCTION("""COMPUTED_VALUE"""),"")</f>
        <v/>
      </c>
      <c r="R9220" s="22" t="str">
        <f>IFERROR(__xludf.DUMMYFUNCTION("""COMPUTED_VALUE"""),"")</f>
        <v/>
      </c>
    </row>
    <row r="9221">
      <c r="A9221" s="15">
        <f>IFERROR(__xludf.DUMMYFUNCTION("""COMPUTED_VALUE"""),45261.0)</f>
        <v>45261</v>
      </c>
      <c r="B9221" s="16" t="str">
        <f>IFERROR(__xludf.DUMMYFUNCTION("""COMPUTED_VALUE"""),"Daniel José sandoval gonzalez")</f>
        <v>Daniel José sandoval gonzalez</v>
      </c>
      <c r="C9221" s="15" t="str">
        <f>IFERROR(__xludf.DUMMYFUNCTION("""COMPUTED_VALUE"""),"SABANETA")</f>
        <v>SABANETA</v>
      </c>
      <c r="D9221" s="15" t="str">
        <f>IFERROR(__xludf.DUMMYFUNCTION("""COMPUTED_VALUE"""),"BOGOTÁ")</f>
        <v>BOGOTÁ</v>
      </c>
      <c r="E9221" s="15" t="str">
        <f>IFERROR(__xludf.DUMMYFUNCTION("""COMPUTED_VALUE"""),"PAN DE WAFFLE")</f>
        <v>PAN DE WAFFLE</v>
      </c>
      <c r="F9221" s="17" t="str">
        <f>IFERROR(__xludf.DUMMYFUNCTION("""COMPUTED_VALUE"""),"Calle 75sur # 34 - 140 Local 102 / Calle 75sur # 34 - 140 Local 102")</f>
        <v>Calle 75sur # 34 - 140 Local 102 / Calle 75sur # 34 - 140 Local 102</v>
      </c>
      <c r="G9221" s="15" t="str">
        <f>IFERROR(__xludf.DUMMYFUNCTION("""COMPUTED_VALUE"""),"RAPPI TURBO SABANETA")</f>
        <v>RAPPI TURBO SABANETA</v>
      </c>
      <c r="H9221" s="16">
        <f>IFERROR(__xludf.DUMMYFUNCTION("""COMPUTED_VALUE"""),17840.0)</f>
        <v>17840</v>
      </c>
      <c r="I9221" s="17"/>
      <c r="J9221" s="17"/>
      <c r="K9221" s="17"/>
      <c r="L9221" s="17">
        <f>IFERROR(__xludf.DUMMYFUNCTION("""COMPUTED_VALUE"""),3.012888007E9)</f>
        <v>3012888007</v>
      </c>
      <c r="M9221" s="17"/>
      <c r="N9221" s="17"/>
      <c r="O9221" s="17"/>
      <c r="P9221" s="17" t="b">
        <f>IFERROR(__xludf.DUMMYFUNCTION("""COMPUTED_VALUE"""),FALSE)</f>
        <v>0</v>
      </c>
      <c r="Q9221" s="20" t="str">
        <f>IFERROR(__xludf.DUMMYFUNCTION("""COMPUTED_VALUE"""),"")</f>
        <v/>
      </c>
      <c r="R9221" s="21" t="str">
        <f>IFERROR(__xludf.DUMMYFUNCTION("""COMPUTED_VALUE"""),"https://drive.google.com/file/d/11QW9ZnI1VY3jdTUIVxlDlQH_bPhYiOYF/view?usp=drivesdk")</f>
        <v>https://drive.google.com/file/d/11QW9ZnI1VY3jdTUIVxlDlQH_bPhYiOYF/view?usp=drivesdk</v>
      </c>
    </row>
    <row r="9222">
      <c r="A9222" s="17" t="str">
        <f>IFERROR(__xludf.DUMMYFUNCTION("""COMPUTED_VALUE"""),"")</f>
        <v/>
      </c>
      <c r="B9222" s="17" t="str">
        <f>IFERROR(__xludf.DUMMYFUNCTION("""COMPUTED_VALUE"""),"")</f>
        <v/>
      </c>
      <c r="C9222" s="17" t="str">
        <f>IFERROR(__xludf.DUMMYFUNCTION("""COMPUTED_VALUE"""),"")</f>
        <v/>
      </c>
      <c r="D9222" s="17" t="str">
        <f>IFERROR(__xludf.DUMMYFUNCTION("""COMPUTED_VALUE"""),"")</f>
        <v/>
      </c>
      <c r="E9222" s="17" t="str">
        <f>IFERROR(__xludf.DUMMYFUNCTION("""COMPUTED_VALUE"""),"")</f>
        <v/>
      </c>
      <c r="F9222" s="17" t="str">
        <f>IFERROR(__xludf.DUMMYFUNCTION("""COMPUTED_VALUE"""),"")</f>
        <v/>
      </c>
      <c r="G9222" s="17" t="str">
        <f>IFERROR(__xludf.DUMMYFUNCTION("""COMPUTED_VALUE"""),"")</f>
        <v/>
      </c>
      <c r="H9222" s="17" t="str">
        <f>IFERROR(__xludf.DUMMYFUNCTION("""COMPUTED_VALUE"""),"")</f>
        <v/>
      </c>
      <c r="I9222" s="17" t="str">
        <f>IFERROR(__xludf.DUMMYFUNCTION("""COMPUTED_VALUE"""),"")</f>
        <v/>
      </c>
      <c r="J9222" s="17" t="str">
        <f>IFERROR(__xludf.DUMMYFUNCTION("""COMPUTED_VALUE"""),"")</f>
        <v/>
      </c>
      <c r="K9222" s="17" t="str">
        <f>IFERROR(__xludf.DUMMYFUNCTION("""COMPUTED_VALUE"""),"")</f>
        <v/>
      </c>
      <c r="L9222" s="17" t="str">
        <f>IFERROR(__xludf.DUMMYFUNCTION("""COMPUTED_VALUE"""),"")</f>
        <v/>
      </c>
      <c r="M9222" s="17" t="str">
        <f>IFERROR(__xludf.DUMMYFUNCTION("""COMPUTED_VALUE"""),"")</f>
        <v/>
      </c>
      <c r="N9222" s="17" t="str">
        <f>IFERROR(__xludf.DUMMYFUNCTION("""COMPUTED_VALUE"""),"")</f>
        <v/>
      </c>
      <c r="O9222" s="17" t="str">
        <f>IFERROR(__xludf.DUMMYFUNCTION("""COMPUTED_VALUE"""),"")</f>
        <v/>
      </c>
      <c r="P9222" s="17" t="str">
        <f>IFERROR(__xludf.DUMMYFUNCTION("""COMPUTED_VALUE"""),"")</f>
        <v/>
      </c>
      <c r="Q9222" s="17" t="str">
        <f>IFERROR(__xludf.DUMMYFUNCTION("""COMPUTED_VALUE"""),"")</f>
        <v/>
      </c>
      <c r="R9222" s="17" t="str">
        <f>IFERROR(__xludf.DUMMYFUNCTION("""COMPUTED_VALUE"""),"")</f>
        <v/>
      </c>
    </row>
    <row r="9223">
      <c r="A9223" s="15">
        <f>IFERROR(__xludf.DUMMYFUNCTION("""COMPUTED_VALUE"""),45261.0)</f>
        <v>45261</v>
      </c>
      <c r="B9223" s="16" t="str">
        <f>IFERROR(__xludf.DUMMYFUNCTION("""COMPUTED_VALUE"""),"Envia")</f>
        <v>Envia</v>
      </c>
      <c r="C9223" s="15" t="str">
        <f>IFERROR(__xludf.DUMMYFUNCTION("""COMPUTED_VALUE"""),"BARRANQUILLA")</f>
        <v>BARRANQUILLA</v>
      </c>
      <c r="D9223" s="15" t="str">
        <f>IFERROR(__xludf.DUMMYFUNCTION("""COMPUTED_VALUE"""),"MEDELLÍN")</f>
        <v>MEDELLÍN</v>
      </c>
      <c r="E9223" s="15" t="str">
        <f>IFERROR(__xludf.DUMMYFUNCTION("""COMPUTED_VALUE"""),"AREPAS LA MARY")</f>
        <v>AREPAS LA MARY</v>
      </c>
      <c r="F9223" s="17" t="str">
        <f>IFERROR(__xludf.DUMMYFUNCTION("""COMPUTED_VALUE"""),"CRA 57 N79 319 APTO 14B / SOLARA")</f>
        <v>CRA 57 N79 319 APTO 14B / SOLARA</v>
      </c>
      <c r="G9223" s="15" t="str">
        <f>IFERROR(__xludf.DUMMYFUNCTION("""COMPUTED_VALUE"""),"VICTORIA DAZA")</f>
        <v>VICTORIA DAZA</v>
      </c>
      <c r="H9223" s="16">
        <f>IFERROR(__xludf.DUMMYFUNCTION("""COMPUTED_VALUE"""),17857.0)</f>
        <v>17857</v>
      </c>
      <c r="I9223" s="17"/>
      <c r="J9223" s="17"/>
      <c r="K9223" s="17"/>
      <c r="L9223" s="17">
        <f>IFERROR(__xludf.DUMMYFUNCTION("""COMPUTED_VALUE"""),3.204850279E9)</f>
        <v>3204850279</v>
      </c>
      <c r="M9223" s="17"/>
      <c r="N9223" s="17"/>
      <c r="O9223" s="17"/>
      <c r="P9223" s="17" t="b">
        <f>IFERROR(__xludf.DUMMYFUNCTION("""COMPUTED_VALUE"""),FALSE)</f>
        <v>0</v>
      </c>
      <c r="Q9223" s="20" t="str">
        <f>IFERROR(__xludf.DUMMYFUNCTION("""COMPUTED_VALUE"""),"")</f>
        <v/>
      </c>
      <c r="R9223" s="21" t="str">
        <f>IFERROR(__xludf.DUMMYFUNCTION("""COMPUTED_VALUE"""),"https://drive.google.com/file/d/1PMYrI2hOviLEw4TIF4_dQFxS0lPMCwk3/view?usp=drivesdk")</f>
        <v>https://drive.google.com/file/d/1PMYrI2hOviLEw4TIF4_dQFxS0lPMCwk3/view?usp=drivesdk</v>
      </c>
    </row>
    <row r="9224">
      <c r="A9224" s="15">
        <f>IFERROR(__xludf.DUMMYFUNCTION("""COMPUTED_VALUE"""),45261.0)</f>
        <v>45261</v>
      </c>
      <c r="B9224" s="16" t="str">
        <f>IFERROR(__xludf.DUMMYFUNCTION("""COMPUTED_VALUE"""),"Envia")</f>
        <v>Envia</v>
      </c>
      <c r="C9224" s="15" t="str">
        <f>IFERROR(__xludf.DUMMYFUNCTION("""COMPUTED_VALUE"""),"BARRANQUILLA")</f>
        <v>BARRANQUILLA</v>
      </c>
      <c r="D9224" s="15" t="str">
        <f>IFERROR(__xludf.DUMMYFUNCTION("""COMPUTED_VALUE"""),"MEDELLÍN")</f>
        <v>MEDELLÍN</v>
      </c>
      <c r="E9224" s="15" t="str">
        <f>IFERROR(__xludf.DUMMYFUNCTION("""COMPUTED_VALUE"""),"Moloso S.A.S")</f>
        <v>Moloso S.A.S</v>
      </c>
      <c r="F9224" s="17" t="str">
        <f>IFERROR(__xludf.DUMMYFUNCTION("""COMPUTED_VALUE"""),"CR 47 100 14 / ED ALAMEDA 100 - 46 TORRE B AP1304")</f>
        <v>CR 47 100 14 / ED ALAMEDA 100 - 46 TORRE B AP1304</v>
      </c>
      <c r="G9224" s="15" t="str">
        <f>IFERROR(__xludf.DUMMYFUNCTION("""COMPUTED_VALUE"""),"GRACIELA COHEN")</f>
        <v>GRACIELA COHEN</v>
      </c>
      <c r="H9224" s="16">
        <f>IFERROR(__xludf.DUMMYFUNCTION("""COMPUTED_VALUE"""),17793.0)</f>
        <v>17793</v>
      </c>
      <c r="I9224" s="17"/>
      <c r="J9224" s="17"/>
      <c r="K9224" s="17"/>
      <c r="L9224" s="17">
        <f>IFERROR(__xludf.DUMMYFUNCTION("""COMPUTED_VALUE"""),3.167401158E9)</f>
        <v>3167401158</v>
      </c>
      <c r="M9224" s="17"/>
      <c r="N9224" s="17"/>
      <c r="O9224" s="17"/>
      <c r="P9224" s="17" t="b">
        <f>IFERROR(__xludf.DUMMYFUNCTION("""COMPUTED_VALUE"""),FALSE)</f>
        <v>0</v>
      </c>
      <c r="Q9224" s="20" t="str">
        <f>IFERROR(__xludf.DUMMYFUNCTION("""COMPUTED_VALUE"""),"")</f>
        <v/>
      </c>
      <c r="R9224" s="21" t="str">
        <f>IFERROR(__xludf.DUMMYFUNCTION("""COMPUTED_VALUE"""),"https://drive.google.com/file/d/1ViOHd0fbcT0FyQCgSiqxO44kn_psntrL/view?usp=drivesdk")</f>
        <v>https://drive.google.com/file/d/1ViOHd0fbcT0FyQCgSiqxO44kn_psntrL/view?usp=drivesdk</v>
      </c>
    </row>
    <row r="9225">
      <c r="A9225" s="15">
        <f>IFERROR(__xludf.DUMMYFUNCTION("""COMPUTED_VALUE"""),45261.0)</f>
        <v>45261</v>
      </c>
      <c r="B9225" s="16" t="str">
        <f>IFERROR(__xludf.DUMMYFUNCTION("""COMPUTED_VALUE"""),"Envia")</f>
        <v>Envia</v>
      </c>
      <c r="C9225" s="15" t="str">
        <f>IFERROR(__xludf.DUMMYFUNCTION("""COMPUTED_VALUE"""),"BARRANQUILLA")</f>
        <v>BARRANQUILLA</v>
      </c>
      <c r="D9225" s="15" t="str">
        <f>IFERROR(__xludf.DUMMYFUNCTION("""COMPUTED_VALUE"""),"MEDELLÍN")</f>
        <v>MEDELLÍN</v>
      </c>
      <c r="E9225" s="15" t="str">
        <f>IFERROR(__xludf.DUMMYFUNCTION("""COMPUTED_VALUE"""),"Todo Bufala")</f>
        <v>Todo Bufala</v>
      </c>
      <c r="F9225" s="17" t="str">
        <f>IFERROR(__xludf.DUMMYFUNCTION("""COMPUTED_VALUE"""),"cra 43 N 84 - 74 / Centro nutricional local 3")</f>
        <v>cra 43 N 84 - 74 / Centro nutricional local 3</v>
      </c>
      <c r="G9225" s="15" t="str">
        <f>IFERROR(__xludf.DUMMYFUNCTION("""COMPUTED_VALUE"""),"Eliana Sarmiento")</f>
        <v>Eliana Sarmiento</v>
      </c>
      <c r="H9225" s="16">
        <f>IFERROR(__xludf.DUMMYFUNCTION("""COMPUTED_VALUE"""),17730.0)</f>
        <v>17730</v>
      </c>
      <c r="I9225" s="17"/>
      <c r="J9225" s="17"/>
      <c r="K9225" s="17"/>
      <c r="L9225" s="17"/>
      <c r="M9225" s="17"/>
      <c r="N9225" s="17"/>
      <c r="O9225" s="17"/>
      <c r="P9225" s="17" t="b">
        <f>IFERROR(__xludf.DUMMYFUNCTION("""COMPUTED_VALUE"""),FALSE)</f>
        <v>0</v>
      </c>
      <c r="Q9225" s="20" t="str">
        <f>IFERROR(__xludf.DUMMYFUNCTION("""COMPUTED_VALUE"""),"")</f>
        <v/>
      </c>
      <c r="R9225" s="21" t="str">
        <f>IFERROR(__xludf.DUMMYFUNCTION("""COMPUTED_VALUE"""),"https://drive.google.com/file/d/1MqhIS37z02YzZfbMaSLzQEJ4fOUHdGvV/view?usp=drivesdk")</f>
        <v>https://drive.google.com/file/d/1MqhIS37z02YzZfbMaSLzQEJ4fOUHdGvV/view?usp=drivesdk</v>
      </c>
    </row>
    <row r="9226">
      <c r="A9226" s="15">
        <f>IFERROR(__xludf.DUMMYFUNCTION("""COMPUTED_VALUE"""),45261.0)</f>
        <v>45261</v>
      </c>
      <c r="B9226" s="16" t="str">
        <f>IFERROR(__xludf.DUMMYFUNCTION("""COMPUTED_VALUE"""),"Envia")</f>
        <v>Envia</v>
      </c>
      <c r="C9226" s="15" t="str">
        <f>IFERROR(__xludf.DUMMYFUNCTION("""COMPUTED_VALUE"""),"BOGOTÁ")</f>
        <v>BOGOTÁ</v>
      </c>
      <c r="D9226" s="15" t="str">
        <f>IFERROR(__xludf.DUMMYFUNCTION("""COMPUTED_VALUE"""),"MEDELLÍN")</f>
        <v>MEDELLÍN</v>
      </c>
      <c r="E9226" s="15" t="str">
        <f>IFERROR(__xludf.DUMMYFUNCTION("""COMPUTED_VALUE"""),"Baby Chef")</f>
        <v>Baby Chef</v>
      </c>
      <c r="F9226" s="17" t="str">
        <f>IFERROR(__xludf.DUMMYFUNCTION("""COMPUTED_VALUE"""),"calle 23 bis # 28-21 manzana L apto 216 Barrio Usatama / . / .")</f>
        <v>calle 23 bis # 28-21 manzana L apto 216 Barrio Usatama / . / .</v>
      </c>
      <c r="G9226" s="15" t="str">
        <f>IFERROR(__xludf.DUMMYFUNCTION("""COMPUTED_VALUE"""),"Mábel González")</f>
        <v>Mábel González</v>
      </c>
      <c r="H9226" s="16">
        <f>IFERROR(__xludf.DUMMYFUNCTION("""COMPUTED_VALUE"""),17880.0)</f>
        <v>17880</v>
      </c>
      <c r="I9226" s="18">
        <f>IFERROR(__xludf.DUMMYFUNCTION("""COMPUTED_VALUE"""),12.0)</f>
        <v>12</v>
      </c>
      <c r="J9226" s="18">
        <f>IFERROR(__xludf.DUMMYFUNCTION("""COMPUTED_VALUE"""),44.0)</f>
        <v>44</v>
      </c>
      <c r="K9226" s="18">
        <f>IFERROR(__xludf.DUMMYFUNCTION("""COMPUTED_VALUE"""),30.0)</f>
        <v>30</v>
      </c>
      <c r="L9226" s="17">
        <f>IFERROR(__xludf.DUMMYFUNCTION("""COMPUTED_VALUE"""),3.012958438E9)</f>
        <v>3012958438</v>
      </c>
      <c r="M9226" s="17"/>
      <c r="N9226" s="17"/>
      <c r="O9226" s="17"/>
      <c r="P9226" s="17" t="b">
        <f>IFERROR(__xludf.DUMMYFUNCTION("""COMPUTED_VALUE"""),FALSE)</f>
        <v>0</v>
      </c>
      <c r="Q9226" s="20" t="str">
        <f>IFERROR(__xludf.DUMMYFUNCTION("""COMPUTED_VALUE"""),"")</f>
        <v/>
      </c>
      <c r="R9226" s="21" t="str">
        <f>IFERROR(__xludf.DUMMYFUNCTION("""COMPUTED_VALUE"""),"https://drive.google.com/file/d/1U41Du_sgKuCuoz6sQyb39EZxWMlCASJZ/view?usp=drivesdk")</f>
        <v>https://drive.google.com/file/d/1U41Du_sgKuCuoz6sQyb39EZxWMlCASJZ/view?usp=drivesdk</v>
      </c>
    </row>
    <row r="9227">
      <c r="A9227" s="15">
        <f>IFERROR(__xludf.DUMMYFUNCTION("""COMPUTED_VALUE"""),45261.0)</f>
        <v>45261</v>
      </c>
      <c r="B9227" s="16" t="str">
        <f>IFERROR(__xludf.DUMMYFUNCTION("""COMPUTED_VALUE"""),"Envia")</f>
        <v>Envia</v>
      </c>
      <c r="C9227" s="15" t="str">
        <f>IFERROR(__xludf.DUMMYFUNCTION("""COMPUTED_VALUE"""),"BOGOTÁ")</f>
        <v>BOGOTÁ</v>
      </c>
      <c r="D9227" s="15" t="str">
        <f>IFERROR(__xludf.DUMMYFUNCTION("""COMPUTED_VALUE"""),"MEDELLÍN")</f>
        <v>MEDELLÍN</v>
      </c>
      <c r="E9227" s="15" t="str">
        <f>IFERROR(__xludf.DUMMYFUNCTION("""COMPUTED_VALUE"""),"Baby Chef")</f>
        <v>Baby Chef</v>
      </c>
      <c r="F9227" s="17" t="str">
        <f>IFERROR(__xludf.DUMMYFUNCTION("""COMPUTED_VALUE"""),"cra 58 B # 136 34 torre 16 apto 103. Conjunto Rincón de Iberia Barrio Colina campestre / . / .")</f>
        <v>cra 58 B # 136 34 torre 16 apto 103. Conjunto Rincón de Iberia Barrio Colina campestre / . / .</v>
      </c>
      <c r="G9227" s="15" t="str">
        <f>IFERROR(__xludf.DUMMYFUNCTION("""COMPUTED_VALUE"""),"myriam tibavisky duarte")</f>
        <v>myriam tibavisky duarte</v>
      </c>
      <c r="H9227" s="16">
        <f>IFERROR(__xludf.DUMMYFUNCTION("""COMPUTED_VALUE"""),17878.0)</f>
        <v>17878</v>
      </c>
      <c r="I9227" s="18">
        <f>IFERROR(__xludf.DUMMYFUNCTION("""COMPUTED_VALUE"""),8.0)</f>
        <v>8</v>
      </c>
      <c r="J9227" s="18">
        <f>IFERROR(__xludf.DUMMYFUNCTION("""COMPUTED_VALUE"""),40.0)</f>
        <v>40</v>
      </c>
      <c r="K9227" s="18">
        <f>IFERROR(__xludf.DUMMYFUNCTION("""COMPUTED_VALUE"""),23.0)</f>
        <v>23</v>
      </c>
      <c r="L9227" s="17">
        <f>IFERROR(__xludf.DUMMYFUNCTION("""COMPUTED_VALUE"""),3.108517159E9)</f>
        <v>3108517159</v>
      </c>
      <c r="M9227" s="17"/>
      <c r="N9227" s="17"/>
      <c r="O9227" s="17"/>
      <c r="P9227" s="17" t="b">
        <f>IFERROR(__xludf.DUMMYFUNCTION("""COMPUTED_VALUE"""),FALSE)</f>
        <v>0</v>
      </c>
      <c r="Q9227" s="20" t="str">
        <f>IFERROR(__xludf.DUMMYFUNCTION("""COMPUTED_VALUE"""),"")</f>
        <v/>
      </c>
      <c r="R9227" s="21" t="str">
        <f>IFERROR(__xludf.DUMMYFUNCTION("""COMPUTED_VALUE"""),"https://drive.google.com/file/d/171lVO3bBerkSN_6AOPNX9pkmIu__WBLg/view?usp=drivesdk")</f>
        <v>https://drive.google.com/file/d/171lVO3bBerkSN_6AOPNX9pkmIu__WBLg/view?usp=drivesdk</v>
      </c>
    </row>
    <row r="9228">
      <c r="A9228" s="15">
        <f>IFERROR(__xludf.DUMMYFUNCTION("""COMPUTED_VALUE"""),45261.0)</f>
        <v>45261</v>
      </c>
      <c r="B9228" s="16" t="str">
        <f>IFERROR(__xludf.DUMMYFUNCTION("""COMPUTED_VALUE"""),"Envia")</f>
        <v>Envia</v>
      </c>
      <c r="C9228" s="15" t="str">
        <f>IFERROR(__xludf.DUMMYFUNCTION("""COMPUTED_VALUE"""),"BOGOTÁ")</f>
        <v>BOGOTÁ</v>
      </c>
      <c r="D9228" s="15" t="str">
        <f>IFERROR(__xludf.DUMMYFUNCTION("""COMPUTED_VALUE"""),"MEDELLÍN")</f>
        <v>MEDELLÍN</v>
      </c>
      <c r="E9228" s="15" t="str">
        <f>IFERROR(__xludf.DUMMYFUNCTION("""COMPUTED_VALUE"""),"Biota")</f>
        <v>Biota</v>
      </c>
      <c r="F9228" s="17" t="str">
        <f>IFERROR(__xludf.DUMMYFUNCTION("""COMPUTED_VALUE"""),"distribuidora mkt Transversal 22A #61c -13 Teusaquillo  / distribuidora mkt Transversal 22A #61c -13 Teusaquillo  / distribuidora mkt Transversal 22A #61c -13 Teusaquillo")</f>
        <v>distribuidora mkt Transversal 22A #61c -13 Teusaquillo  / distribuidora mkt Transversal 22A #61c -13 Teusaquillo  / distribuidora mkt Transversal 22A #61c -13 Teusaquillo</v>
      </c>
      <c r="G9228" s="15" t="str">
        <f>IFERROR(__xludf.DUMMYFUNCTION("""COMPUTED_VALUE"""),"distribuidora mkt Transversal 22A #61c -13 Teusaquillo")</f>
        <v>distribuidora mkt Transversal 22A #61c -13 Teusaquillo</v>
      </c>
      <c r="H9228" s="16">
        <f>IFERROR(__xludf.DUMMYFUNCTION("""COMPUTED_VALUE"""),17876.0)</f>
        <v>17876</v>
      </c>
      <c r="I9228" s="18">
        <f>IFERROR(__xludf.DUMMYFUNCTION("""COMPUTED_VALUE"""),27.0)</f>
        <v>27</v>
      </c>
      <c r="J9228" s="18">
        <f>IFERROR(__xludf.DUMMYFUNCTION("""COMPUTED_VALUE"""),40.0)</f>
        <v>40</v>
      </c>
      <c r="K9228" s="18">
        <f>IFERROR(__xludf.DUMMYFUNCTION("""COMPUTED_VALUE"""),100.0)</f>
        <v>100</v>
      </c>
      <c r="L9228" s="17">
        <f>IFERROR(__xludf.DUMMYFUNCTION("""COMPUTED_VALUE"""),3.183593653E9)</f>
        <v>3183593653</v>
      </c>
      <c r="M9228" s="17"/>
      <c r="N9228" s="17"/>
      <c r="O9228" s="17"/>
      <c r="P9228" s="17" t="b">
        <f>IFERROR(__xludf.DUMMYFUNCTION("""COMPUTED_VALUE"""),FALSE)</f>
        <v>0</v>
      </c>
      <c r="Q9228" s="20" t="str">
        <f>IFERROR(__xludf.DUMMYFUNCTION("""COMPUTED_VALUE"""),"")</f>
        <v/>
      </c>
      <c r="R9228" s="21" t="str">
        <f>IFERROR(__xludf.DUMMYFUNCTION("""COMPUTED_VALUE"""),"https://drive.google.com/file/d/1d4yfCfeLXWtFHs5JZocEJKxitNl3fvJc/view?usp=drivesdk")</f>
        <v>https://drive.google.com/file/d/1d4yfCfeLXWtFHs5JZocEJKxitNl3fvJc/view?usp=drivesdk</v>
      </c>
    </row>
    <row r="9229">
      <c r="A9229" s="15">
        <f>IFERROR(__xludf.DUMMYFUNCTION("""COMPUTED_VALUE"""),45261.0)</f>
        <v>45261</v>
      </c>
      <c r="B9229" s="16" t="str">
        <f>IFERROR(__xludf.DUMMYFUNCTION("""COMPUTED_VALUE"""),"Envia")</f>
        <v>Envia</v>
      </c>
      <c r="C9229" s="15" t="str">
        <f>IFERROR(__xludf.DUMMYFUNCTION("""COMPUTED_VALUE"""),"BOGOTÁ")</f>
        <v>BOGOTÁ</v>
      </c>
      <c r="D9229" s="15" t="str">
        <f>IFERROR(__xludf.DUMMYFUNCTION("""COMPUTED_VALUE"""),"MEDELLÍN")</f>
        <v>MEDELLÍN</v>
      </c>
      <c r="E9229" s="15" t="str">
        <f>IFERROR(__xludf.DUMMYFUNCTION("""COMPUTED_VALUE"""),"Lácteos El Pino SAS")</f>
        <v>Lácteos El Pino SAS</v>
      </c>
      <c r="F9229" s="17" t="str">
        <f>IFERROR(__xludf.DUMMYFUNCTION("""COMPUTED_VALUE"""),"CRA 13 # 118-15 / LOCAL CASA GRIS- PRIMER PISO")</f>
        <v>CRA 13 # 118-15 / LOCAL CASA GRIS- PRIMER PISO</v>
      </c>
      <c r="G9229" s="15" t="str">
        <f>IFERROR(__xludf.DUMMYFUNCTION("""COMPUTED_VALUE"""),"MARCELA POSADA")</f>
        <v>MARCELA POSADA</v>
      </c>
      <c r="H9229" s="16">
        <f>IFERROR(__xludf.DUMMYFUNCTION("""COMPUTED_VALUE"""),17893.0)</f>
        <v>17893</v>
      </c>
      <c r="I9229" s="17"/>
      <c r="J9229" s="17"/>
      <c r="K9229" s="17"/>
      <c r="L9229" s="17">
        <f>IFERROR(__xludf.DUMMYFUNCTION("""COMPUTED_VALUE"""),3.207349904E9)</f>
        <v>3207349904</v>
      </c>
      <c r="M9229" s="17"/>
      <c r="N9229" s="17"/>
      <c r="O9229" s="17"/>
      <c r="P9229" s="17" t="b">
        <f>IFERROR(__xludf.DUMMYFUNCTION("""COMPUTED_VALUE"""),FALSE)</f>
        <v>0</v>
      </c>
      <c r="Q9229" s="20" t="str">
        <f>IFERROR(__xludf.DUMMYFUNCTION("""COMPUTED_VALUE"""),"")</f>
        <v/>
      </c>
      <c r="R9229" s="21" t="str">
        <f>IFERROR(__xludf.DUMMYFUNCTION("""COMPUTED_VALUE"""),"https://drive.google.com/file/d/1IZ2u13hV50HntTb8sQsiNC1dm33e9d9t/view?usp=drivesdk")</f>
        <v>https://drive.google.com/file/d/1IZ2u13hV50HntTb8sQsiNC1dm33e9d9t/view?usp=drivesdk</v>
      </c>
    </row>
    <row r="9230">
      <c r="A9230" s="15">
        <f>IFERROR(__xludf.DUMMYFUNCTION("""COMPUTED_VALUE"""),45261.0)</f>
        <v>45261</v>
      </c>
      <c r="B9230" s="16" t="str">
        <f>IFERROR(__xludf.DUMMYFUNCTION("""COMPUTED_VALUE"""),"Envia")</f>
        <v>Envia</v>
      </c>
      <c r="C9230" s="15" t="str">
        <f>IFERROR(__xludf.DUMMYFUNCTION("""COMPUTED_VALUE"""),"BOGOTÁ")</f>
        <v>BOGOTÁ</v>
      </c>
      <c r="D9230" s="15" t="str">
        <f>IFERROR(__xludf.DUMMYFUNCTION("""COMPUTED_VALUE"""),"MEDELLÍN")</f>
        <v>MEDELLÍN</v>
      </c>
      <c r="E9230" s="15" t="str">
        <f>IFERROR(__xludf.DUMMYFUNCTION("""COMPUTED_VALUE"""),"Moloso S.A.S")</f>
        <v>Moloso S.A.S</v>
      </c>
      <c r="F9230" s="17" t="str">
        <f>IFERROR(__xludf.DUMMYFUNCTION("""COMPUTED_VALUE"""),"CALLE 90 9A 51 / ED MT3 AP 403")</f>
        <v>CALLE 90 9A 51 / ED MT3 AP 403</v>
      </c>
      <c r="G9230" s="15" t="str">
        <f>IFERROR(__xludf.DUMMYFUNCTION("""COMPUTED_VALUE"""),"MARIA XIMENA GUZMAN DEL CASTILLO")</f>
        <v>MARIA XIMENA GUZMAN DEL CASTILLO</v>
      </c>
      <c r="H9230" s="16">
        <f>IFERROR(__xludf.DUMMYFUNCTION("""COMPUTED_VALUE"""),17894.0)</f>
        <v>17894</v>
      </c>
      <c r="I9230" s="17"/>
      <c r="J9230" s="17"/>
      <c r="K9230" s="17"/>
      <c r="L9230" s="17"/>
      <c r="M9230" s="17"/>
      <c r="N9230" s="17"/>
      <c r="O9230" s="17"/>
      <c r="P9230" s="17" t="b">
        <f>IFERROR(__xludf.DUMMYFUNCTION("""COMPUTED_VALUE"""),FALSE)</f>
        <v>0</v>
      </c>
      <c r="Q9230" s="20" t="str">
        <f>IFERROR(__xludf.DUMMYFUNCTION("""COMPUTED_VALUE"""),"")</f>
        <v/>
      </c>
      <c r="R9230" s="21" t="str">
        <f>IFERROR(__xludf.DUMMYFUNCTION("""COMPUTED_VALUE"""),"https://drive.google.com/file/d/1LWHngrhtqC1nZlOQOrgKwqF1L-SiUrUq/view?usp=drivesdk")</f>
        <v>https://drive.google.com/file/d/1LWHngrhtqC1nZlOQOrgKwqF1L-SiUrUq/view?usp=drivesdk</v>
      </c>
    </row>
    <row r="9231">
      <c r="A9231" s="15">
        <f>IFERROR(__xludf.DUMMYFUNCTION("""COMPUTED_VALUE"""),45261.0)</f>
        <v>45261</v>
      </c>
      <c r="B9231" s="16" t="str">
        <f>IFERROR(__xludf.DUMMYFUNCTION("""COMPUTED_VALUE"""),"Envia")</f>
        <v>Envia</v>
      </c>
      <c r="C9231" s="15" t="str">
        <f>IFERROR(__xludf.DUMMYFUNCTION("""COMPUTED_VALUE"""),"CALI")</f>
        <v>CALI</v>
      </c>
      <c r="D9231" s="15" t="str">
        <f>IFERROR(__xludf.DUMMYFUNCTION("""COMPUTED_VALUE"""),"BOGOTÁ")</f>
        <v>BOGOTÁ</v>
      </c>
      <c r="E9231" s="15" t="str">
        <f>IFERROR(__xludf.DUMMYFUNCTION("""COMPUTED_VALUE"""),"Athenas")</f>
        <v>Athenas</v>
      </c>
      <c r="F9231" s="17" t="str">
        <f>IFERROR(__xludf.DUMMYFUNCTION("""COMPUTED_VALUE"""),"CARRERA 98 #16-200 CENTRO COMERCIAL JARDIN PLAZA / BODYTECH - CAFETERIA / CIUDAD JARDIN")</f>
        <v>CARRERA 98 #16-200 CENTRO COMERCIAL JARDIN PLAZA / BODYTECH - CAFETERIA / CIUDAD JARDIN</v>
      </c>
      <c r="G9231" s="15" t="str">
        <f>IFERROR(__xludf.DUMMYFUNCTION("""COMPUTED_VALUE"""),"JORGE PARRA")</f>
        <v>JORGE PARRA</v>
      </c>
      <c r="H9231" s="16">
        <f>IFERROR(__xludf.DUMMYFUNCTION("""COMPUTED_VALUE"""),17782.0)</f>
        <v>17782</v>
      </c>
      <c r="I9231" s="18" t="str">
        <f>IFERROR(__xludf.DUMMYFUNCTION("""COMPUTED_VALUE"""),"52.5")</f>
        <v>52.5</v>
      </c>
      <c r="J9231" s="18">
        <f>IFERROR(__xludf.DUMMYFUNCTION("""COMPUTED_VALUE"""),55.0)</f>
        <v>55</v>
      </c>
      <c r="K9231" s="18">
        <f>IFERROR(__xludf.DUMMYFUNCTION("""COMPUTED_VALUE"""),45.0)</f>
        <v>45</v>
      </c>
      <c r="L9231" s="17">
        <f>IFERROR(__xludf.DUMMYFUNCTION("""COMPUTED_VALUE"""),3.246801614E9)</f>
        <v>3246801614</v>
      </c>
      <c r="M9231" s="17"/>
      <c r="N9231" s="17"/>
      <c r="O9231" s="17"/>
      <c r="P9231" s="17" t="b">
        <f>IFERROR(__xludf.DUMMYFUNCTION("""COMPUTED_VALUE"""),FALSE)</f>
        <v>0</v>
      </c>
      <c r="Q9231" s="20" t="str">
        <f>IFERROR(__xludf.DUMMYFUNCTION("""COMPUTED_VALUE"""),"")</f>
        <v/>
      </c>
      <c r="R9231" s="21" t="str">
        <f>IFERROR(__xludf.DUMMYFUNCTION("""COMPUTED_VALUE"""),"https://drive.google.com/file/d/1ma95HTpVf31YYEdFUd7vdF-MG54lZrex/view?usp=drivesdk")</f>
        <v>https://drive.google.com/file/d/1ma95HTpVf31YYEdFUd7vdF-MG54lZrex/view?usp=drivesdk</v>
      </c>
    </row>
    <row r="9232">
      <c r="A9232" s="15">
        <f>IFERROR(__xludf.DUMMYFUNCTION("""COMPUTED_VALUE"""),45261.0)</f>
        <v>45261</v>
      </c>
      <c r="B9232" s="16" t="str">
        <f>IFERROR(__xludf.DUMMYFUNCTION("""COMPUTED_VALUE"""),"Envia")</f>
        <v>Envia</v>
      </c>
      <c r="C9232" s="15" t="str">
        <f>IFERROR(__xludf.DUMMYFUNCTION("""COMPUTED_VALUE"""),"CALI")</f>
        <v>CALI</v>
      </c>
      <c r="D9232" s="15" t="str">
        <f>IFERROR(__xludf.DUMMYFUNCTION("""COMPUTED_VALUE"""),"BOGOTÁ")</f>
        <v>BOGOTÁ</v>
      </c>
      <c r="E9232" s="15" t="str">
        <f>IFERROR(__xludf.DUMMYFUNCTION("""COMPUTED_VALUE"""),"INVERSIONES MOCHI")</f>
        <v>INVERSIONES MOCHI</v>
      </c>
      <c r="F9232" s="17" t="str">
        <f>IFERROR(__xludf.DUMMYFUNCTION("""COMPUTED_VALUE"""),"Calle 15 norte #9n 16 / Restaurante Fish N GO al lado de cantina la 15")</f>
        <v>Calle 15 norte #9n 16 / Restaurante Fish N GO al lado de cantina la 15</v>
      </c>
      <c r="G9232" s="15" t="str">
        <f>IFERROR(__xludf.DUMMYFUNCTION("""COMPUTED_VALUE"""),"Restaurante Fish N Go")</f>
        <v>Restaurante Fish N Go</v>
      </c>
      <c r="H9232" s="16">
        <f>IFERROR(__xludf.DUMMYFUNCTION("""COMPUTED_VALUE"""),17891.0)</f>
        <v>17891</v>
      </c>
      <c r="I9232" s="17"/>
      <c r="J9232" s="17"/>
      <c r="K9232" s="17"/>
      <c r="L9232" s="17">
        <f>IFERROR(__xludf.DUMMYFUNCTION("""COMPUTED_VALUE"""),3.183028592E9)</f>
        <v>3183028592</v>
      </c>
      <c r="M9232" s="17"/>
      <c r="N9232" s="17"/>
      <c r="O9232" s="17"/>
      <c r="P9232" s="17" t="b">
        <f>IFERROR(__xludf.DUMMYFUNCTION("""COMPUTED_VALUE"""),FALSE)</f>
        <v>0</v>
      </c>
      <c r="Q9232" s="20" t="str">
        <f>IFERROR(__xludf.DUMMYFUNCTION("""COMPUTED_VALUE"""),"")</f>
        <v/>
      </c>
      <c r="R9232" s="21" t="str">
        <f>IFERROR(__xludf.DUMMYFUNCTION("""COMPUTED_VALUE"""),"https://drive.google.com/file/d/1W6564h9HEWHMl2bAydgzoee4fAiB8bnX/view?usp=drivesdk")</f>
        <v>https://drive.google.com/file/d/1W6564h9HEWHMl2bAydgzoee4fAiB8bnX/view?usp=drivesdk</v>
      </c>
    </row>
    <row r="9233">
      <c r="A9233" s="15">
        <f>IFERROR(__xludf.DUMMYFUNCTION("""COMPUTED_VALUE"""),45261.0)</f>
        <v>45261</v>
      </c>
      <c r="B9233" s="16" t="str">
        <f>IFERROR(__xludf.DUMMYFUNCTION("""COMPUTED_VALUE"""),"Envia")</f>
        <v>Envia</v>
      </c>
      <c r="C9233" s="15" t="str">
        <f>IFERROR(__xludf.DUMMYFUNCTION("""COMPUTED_VALUE"""),"CALI")</f>
        <v>CALI</v>
      </c>
      <c r="D9233" s="15" t="str">
        <f>IFERROR(__xludf.DUMMYFUNCTION("""COMPUTED_VALUE"""),"BOGOTÁ")</f>
        <v>BOGOTÁ</v>
      </c>
      <c r="E9233" s="15" t="str">
        <f>IFERROR(__xludf.DUMMYFUNCTION("""COMPUTED_VALUE"""),"Renata")</f>
        <v>Renata</v>
      </c>
      <c r="F9233" s="17" t="str">
        <f>IFERROR(__xludf.DUMMYFUNCTION("""COMPUTED_VALUE"""),"Carrera 3#3a-83 / Patio 34 food containers  / San Fernando")</f>
        <v>Carrera 3#3a-83 / Patio 34 food containers  / San Fernando</v>
      </c>
      <c r="G9233" s="15" t="str">
        <f>IFERROR(__xludf.DUMMYFUNCTION("""COMPUTED_VALUE"""),"Retaco sas")</f>
        <v>Retaco sas</v>
      </c>
      <c r="H9233" s="16">
        <f>IFERROR(__xludf.DUMMYFUNCTION("""COMPUTED_VALUE"""),17873.0)</f>
        <v>17873</v>
      </c>
      <c r="I9233" s="18">
        <f>IFERROR(__xludf.DUMMYFUNCTION("""COMPUTED_VALUE"""),90.0)</f>
        <v>90</v>
      </c>
      <c r="J9233" s="18">
        <f>IFERROR(__xludf.DUMMYFUNCTION("""COMPUTED_VALUE"""),70.0)</f>
        <v>70</v>
      </c>
      <c r="K9233" s="18">
        <f>IFERROR(__xludf.DUMMYFUNCTION("""COMPUTED_VALUE"""),60.0)</f>
        <v>60</v>
      </c>
      <c r="L9233" s="17">
        <f>IFERROR(__xludf.DUMMYFUNCTION("""COMPUTED_VALUE"""),3.134720976E9)</f>
        <v>3134720976</v>
      </c>
      <c r="M9233" s="17"/>
      <c r="N9233" s="17"/>
      <c r="O9233" s="17"/>
      <c r="P9233" s="17" t="b">
        <f>IFERROR(__xludf.DUMMYFUNCTION("""COMPUTED_VALUE"""),FALSE)</f>
        <v>0</v>
      </c>
      <c r="Q9233" s="20" t="str">
        <f>IFERROR(__xludf.DUMMYFUNCTION("""COMPUTED_VALUE"""),"")</f>
        <v/>
      </c>
      <c r="R9233" s="21" t="str">
        <f>IFERROR(__xludf.DUMMYFUNCTION("""COMPUTED_VALUE"""),"https://drive.google.com/file/d/1qdUHDpsuj6HT-Y7rOwkN42SmeZNi06tX/view?usp=drivesdk")</f>
        <v>https://drive.google.com/file/d/1qdUHDpsuj6HT-Y7rOwkN42SmeZNi06tX/view?usp=drivesdk</v>
      </c>
    </row>
    <row r="9234">
      <c r="A9234" s="15">
        <f>IFERROR(__xludf.DUMMYFUNCTION("""COMPUTED_VALUE"""),45261.0)</f>
        <v>45261</v>
      </c>
      <c r="B9234" s="16" t="str">
        <f>IFERROR(__xludf.DUMMYFUNCTION("""COMPUTED_VALUE"""),"Envia")</f>
        <v>Envia</v>
      </c>
      <c r="C9234" s="15" t="str">
        <f>IFERROR(__xludf.DUMMYFUNCTION("""COMPUTED_VALUE"""),"CÚCUTA")</f>
        <v>CÚCUTA</v>
      </c>
      <c r="D9234" s="15" t="str">
        <f>IFERROR(__xludf.DUMMYFUNCTION("""COMPUTED_VALUE"""),"ENVIGADO")</f>
        <v>ENVIGADO</v>
      </c>
      <c r="E9234" s="15" t="str">
        <f>IFERROR(__xludf.DUMMYFUNCTION("""COMPUTED_VALUE"""),"JUAN CAMILO CORDOBA")</f>
        <v>JUAN CAMILO CORDOBA</v>
      </c>
      <c r="F9234" s="17" t="str">
        <f>IFERROR(__xludf.DUMMYFUNCTION("""COMPUTED_VALUE"""),"Avenida 9e # 7-12")</f>
        <v>Avenida 9e # 7-12</v>
      </c>
      <c r="G9234" s="15" t="str">
        <f>IFERROR(__xludf.DUMMYFUNCTION("""COMPUTED_VALUE"""),"Sexto sentido")</f>
        <v>Sexto sentido</v>
      </c>
      <c r="H9234" s="16">
        <f>IFERROR(__xludf.DUMMYFUNCTION("""COMPUTED_VALUE"""),17803.0)</f>
        <v>17803</v>
      </c>
      <c r="I9234" s="17"/>
      <c r="J9234" s="17"/>
      <c r="K9234" s="17"/>
      <c r="L9234" s="17">
        <f>IFERROR(__xludf.DUMMYFUNCTION("""COMPUTED_VALUE"""),3.154996494E9)</f>
        <v>3154996494</v>
      </c>
      <c r="M9234" s="17"/>
      <c r="N9234" s="17"/>
      <c r="O9234" s="17"/>
      <c r="P9234" s="17" t="b">
        <f>IFERROR(__xludf.DUMMYFUNCTION("""COMPUTED_VALUE"""),FALSE)</f>
        <v>0</v>
      </c>
      <c r="Q9234" s="20" t="str">
        <f>IFERROR(__xludf.DUMMYFUNCTION("""COMPUTED_VALUE"""),"")</f>
        <v/>
      </c>
      <c r="R9234" s="21" t="str">
        <f>IFERROR(__xludf.DUMMYFUNCTION("""COMPUTED_VALUE"""),"https://drive.google.com/file/d/1tVA43oPtKpV13yKo5NRaMyBa04L8X6Uo/view?usp=drivesdk")</f>
        <v>https://drive.google.com/file/d/1tVA43oPtKpV13yKo5NRaMyBa04L8X6Uo/view?usp=drivesdk</v>
      </c>
    </row>
    <row r="9235">
      <c r="A9235" s="15">
        <f>IFERROR(__xludf.DUMMYFUNCTION("""COMPUTED_VALUE"""),45261.0)</f>
        <v>45261</v>
      </c>
      <c r="B9235" s="16" t="str">
        <f>IFERROR(__xludf.DUMMYFUNCTION("""COMPUTED_VALUE"""),"Envia")</f>
        <v>Envia</v>
      </c>
      <c r="C9235" s="15" t="str">
        <f>IFERROR(__xludf.DUMMYFUNCTION("""COMPUTED_VALUE"""),"CÚCUTA")</f>
        <v>CÚCUTA</v>
      </c>
      <c r="D9235" s="15" t="str">
        <f>IFERROR(__xludf.DUMMYFUNCTION("""COMPUTED_VALUE"""),"MEDELLÍN")</f>
        <v>MEDELLÍN</v>
      </c>
      <c r="E9235" s="15" t="str">
        <f>IFERROR(__xludf.DUMMYFUNCTION("""COMPUTED_VALUE"""),"Baby Chef")</f>
        <v>Baby Chef</v>
      </c>
      <c r="F9235" s="17" t="str">
        <f>IFERROR(__xludf.DUMMYFUNCTION("""COMPUTED_VALUE"""),"Dirección:  conjunto residencial la pradera casa c 3 Barrio villa rosario  / . / .")</f>
        <v>Dirección:  conjunto residencial la pradera casa c 3 Barrio villa rosario  / . / .</v>
      </c>
      <c r="G9235" s="15" t="str">
        <f>IFERROR(__xludf.DUMMYFUNCTION("""COMPUTED_VALUE"""),"Andrea Cano")</f>
        <v>Andrea Cano</v>
      </c>
      <c r="H9235" s="16">
        <f>IFERROR(__xludf.DUMMYFUNCTION("""COMPUTED_VALUE"""),17821.0)</f>
        <v>17821</v>
      </c>
      <c r="I9235" s="18">
        <f>IFERROR(__xludf.DUMMYFUNCTION("""COMPUTED_VALUE"""),9.0)</f>
        <v>9</v>
      </c>
      <c r="J9235" s="18">
        <f>IFERROR(__xludf.DUMMYFUNCTION("""COMPUTED_VALUE"""),22.0)</f>
        <v>22</v>
      </c>
      <c r="K9235" s="18">
        <f>IFERROR(__xludf.DUMMYFUNCTION("""COMPUTED_VALUE"""),30.0)</f>
        <v>30</v>
      </c>
      <c r="L9235" s="17">
        <f>IFERROR(__xludf.DUMMYFUNCTION("""COMPUTED_VALUE"""),3.024116172E9)</f>
        <v>3024116172</v>
      </c>
      <c r="M9235" s="17"/>
      <c r="N9235" s="17"/>
      <c r="O9235" s="17"/>
      <c r="P9235" s="17" t="b">
        <f>IFERROR(__xludf.DUMMYFUNCTION("""COMPUTED_VALUE"""),FALSE)</f>
        <v>0</v>
      </c>
      <c r="Q9235" s="20" t="str">
        <f>IFERROR(__xludf.DUMMYFUNCTION("""COMPUTED_VALUE"""),"")</f>
        <v/>
      </c>
      <c r="R9235" s="21" t="str">
        <f>IFERROR(__xludf.DUMMYFUNCTION("""COMPUTED_VALUE"""),"https://drive.google.com/file/d/1hoYqEFXXLAj8aqmvo1H_raS5Yz3lTJ3t/view?usp=drivesdk")</f>
        <v>https://drive.google.com/file/d/1hoYqEFXXLAj8aqmvo1H_raS5Yz3lTJ3t/view?usp=drivesdk</v>
      </c>
    </row>
    <row r="9236">
      <c r="A9236" s="15">
        <f>IFERROR(__xludf.DUMMYFUNCTION("""COMPUTED_VALUE"""),45261.0)</f>
        <v>45261</v>
      </c>
      <c r="B9236" s="16" t="str">
        <f>IFERROR(__xludf.DUMMYFUNCTION("""COMPUTED_VALUE"""),"Envia")</f>
        <v>Envia</v>
      </c>
      <c r="C9236" s="15" t="str">
        <f>IFERROR(__xludf.DUMMYFUNCTION("""COMPUTED_VALUE"""),"CÚCUTA")</f>
        <v>CÚCUTA</v>
      </c>
      <c r="D9236" s="15" t="str">
        <f>IFERROR(__xludf.DUMMYFUNCTION("""COMPUTED_VALUE"""),"MEDELLÍN")</f>
        <v>MEDELLÍN</v>
      </c>
      <c r="E9236" s="15" t="str">
        <f>IFERROR(__xludf.DUMMYFUNCTION("""COMPUTED_VALUE"""),"Momo Tea S.A.S Gabriel Echavarría")</f>
        <v>Momo Tea S.A.S Gabriel Echavarría</v>
      </c>
      <c r="F9236" s="17" t="str">
        <f>IFERROR(__xludf.DUMMYFUNCTION("""COMPUTED_VALUE"""),"CL 11 N 16 E 35 / CA B 1")</f>
        <v>CL 11 N 16 E 35 / CA B 1</v>
      </c>
      <c r="G9236" s="15" t="str">
        <f>IFERROR(__xludf.DUMMYFUNCTION("""COMPUTED_VALUE"""),"Gabriel Echavarría")</f>
        <v>Gabriel Echavarría</v>
      </c>
      <c r="H9236" s="16">
        <f>IFERROR(__xludf.DUMMYFUNCTION("""COMPUTED_VALUE"""),17812.0)</f>
        <v>17812</v>
      </c>
      <c r="I9236" s="18">
        <f>IFERROR(__xludf.DUMMYFUNCTION("""COMPUTED_VALUE"""),21.0)</f>
        <v>21</v>
      </c>
      <c r="J9236" s="18">
        <f>IFERROR(__xludf.DUMMYFUNCTION("""COMPUTED_VALUE"""),29.0)</f>
        <v>29</v>
      </c>
      <c r="K9236" s="18">
        <f>IFERROR(__xludf.DUMMYFUNCTION("""COMPUTED_VALUE"""),29.0)</f>
        <v>29</v>
      </c>
      <c r="L9236" s="17">
        <f>IFERROR(__xludf.DUMMYFUNCTION("""COMPUTED_VALUE"""),3.017909548E9)</f>
        <v>3017909548</v>
      </c>
      <c r="M9236" s="17"/>
      <c r="N9236" s="17"/>
      <c r="O9236" s="17"/>
      <c r="P9236" s="17" t="b">
        <f>IFERROR(__xludf.DUMMYFUNCTION("""COMPUTED_VALUE"""),FALSE)</f>
        <v>0</v>
      </c>
      <c r="Q9236" s="20" t="str">
        <f>IFERROR(__xludf.DUMMYFUNCTION("""COMPUTED_VALUE"""),"")</f>
        <v/>
      </c>
      <c r="R9236" s="21" t="str">
        <f>IFERROR(__xludf.DUMMYFUNCTION("""COMPUTED_VALUE"""),"https://drive.google.com/file/d/1sB454thJyao04WoQQ1RG7iTvYkYmIYsY/view?usp=drivesdk")</f>
        <v>https://drive.google.com/file/d/1sB454thJyao04WoQQ1RG7iTvYkYmIYsY/view?usp=drivesdk</v>
      </c>
    </row>
    <row r="9237">
      <c r="A9237" s="15">
        <f>IFERROR(__xludf.DUMMYFUNCTION("""COMPUTED_VALUE"""),45261.0)</f>
        <v>45261</v>
      </c>
      <c r="B9237" s="16" t="str">
        <f>IFERROR(__xludf.DUMMYFUNCTION("""COMPUTED_VALUE"""),"Envia")</f>
        <v>Envia</v>
      </c>
      <c r="C9237" s="15" t="str">
        <f>IFERROR(__xludf.DUMMYFUNCTION("""COMPUTED_VALUE"""),"MEDELLÍN")</f>
        <v>MEDELLÍN</v>
      </c>
      <c r="D9237" s="15" t="str">
        <f>IFERROR(__xludf.DUMMYFUNCTION("""COMPUTED_VALUE"""),"BARRANQUILLA")</f>
        <v>BARRANQUILLA</v>
      </c>
      <c r="E9237" s="15" t="str">
        <f>IFERROR(__xludf.DUMMYFUNCTION("""COMPUTED_VALUE"""),"Lorenna Chaid")</f>
        <v>Lorenna Chaid</v>
      </c>
      <c r="F9237" s="17" t="str">
        <f>IFERROR(__xludf.DUMMYFUNCTION("""COMPUTED_VALUE"""),"Calle 27A SUR # 47 - 50 / Interior 403-404 Conjunto Residencial Las Vegas")</f>
        <v>Calle 27A SUR # 47 - 50 / Interior 403-404 Conjunto Residencial Las Vegas</v>
      </c>
      <c r="G9237" s="15" t="str">
        <f>IFERROR(__xludf.DUMMYFUNCTION("""COMPUTED_VALUE"""),"Eduardo Chadid Garrido")</f>
        <v>Eduardo Chadid Garrido</v>
      </c>
      <c r="H9237" s="16">
        <f>IFERROR(__xludf.DUMMYFUNCTION("""COMPUTED_VALUE"""),17685.0)</f>
        <v>17685</v>
      </c>
      <c r="I9237" s="17"/>
      <c r="J9237" s="17"/>
      <c r="K9237" s="17"/>
      <c r="L9237" s="17">
        <f>IFERROR(__xludf.DUMMYFUNCTION("""COMPUTED_VALUE"""),3.16279944E9)</f>
        <v>3162799440</v>
      </c>
      <c r="M9237" s="17"/>
      <c r="N9237" s="17"/>
      <c r="O9237" s="17"/>
      <c r="P9237" s="17" t="b">
        <f>IFERROR(__xludf.DUMMYFUNCTION("""COMPUTED_VALUE"""),FALSE)</f>
        <v>0</v>
      </c>
      <c r="Q9237" s="20" t="str">
        <f>IFERROR(__xludf.DUMMYFUNCTION("""COMPUTED_VALUE"""),"")</f>
        <v/>
      </c>
      <c r="R9237" s="21" t="str">
        <f>IFERROR(__xludf.DUMMYFUNCTION("""COMPUTED_VALUE"""),"https://drive.google.com/file/d/13ojF9wWGMYI78OIaYXGxLigGFmdpk3ux/view?usp=drivesdk")</f>
        <v>https://drive.google.com/file/d/13ojF9wWGMYI78OIaYXGxLigGFmdpk3ux/view?usp=drivesdk</v>
      </c>
    </row>
    <row r="9238">
      <c r="A9238" s="15">
        <f>IFERROR(__xludf.DUMMYFUNCTION("""COMPUTED_VALUE"""),45261.0)</f>
        <v>45261</v>
      </c>
      <c r="B9238" s="16" t="str">
        <f>IFERROR(__xludf.DUMMYFUNCTION("""COMPUTED_VALUE"""),"Envia")</f>
        <v>Envia</v>
      </c>
      <c r="C9238" s="15" t="str">
        <f>IFERROR(__xludf.DUMMYFUNCTION("""COMPUTED_VALUE"""),"MEDELLÍN")</f>
        <v>MEDELLÍN</v>
      </c>
      <c r="D9238" s="15" t="str">
        <f>IFERROR(__xludf.DUMMYFUNCTION("""COMPUTED_VALUE"""),"BOGOTÁ")</f>
        <v>BOGOTÁ</v>
      </c>
      <c r="E9238" s="15" t="str">
        <f>IFERROR(__xludf.DUMMYFUNCTION("""COMPUTED_VALUE"""),"Hiiva Fermentados SAS")</f>
        <v>Hiiva Fermentados SAS</v>
      </c>
      <c r="F9238" s="17" t="str">
        <f>IFERROR(__xludf.DUMMYFUNCTION("""COMPUTED_VALUE"""),"Cra 27 # 7b-50 / Casa 182 montes claros b")</f>
        <v>Cra 27 # 7b-50 / Casa 182 montes claros b</v>
      </c>
      <c r="G9238" s="15" t="str">
        <f>IFERROR(__xludf.DUMMYFUNCTION("""COMPUTED_VALUE"""),"Medellin - Nelson Sierra")</f>
        <v>Medellin - Nelson Sierra</v>
      </c>
      <c r="H9238" s="16">
        <f>IFERROR(__xludf.DUMMYFUNCTION("""COMPUTED_VALUE"""),17650.0)</f>
        <v>17650</v>
      </c>
      <c r="I9238" s="17"/>
      <c r="J9238" s="17"/>
      <c r="K9238" s="17"/>
      <c r="L9238" s="17">
        <f>IFERROR(__xludf.DUMMYFUNCTION("""COMPUTED_VALUE"""),3.017814201E9)</f>
        <v>3017814201</v>
      </c>
      <c r="M9238" s="17"/>
      <c r="N9238" s="17"/>
      <c r="O9238" s="17"/>
      <c r="P9238" s="17" t="b">
        <f>IFERROR(__xludf.DUMMYFUNCTION("""COMPUTED_VALUE"""),FALSE)</f>
        <v>0</v>
      </c>
      <c r="Q9238" s="20" t="str">
        <f>IFERROR(__xludf.DUMMYFUNCTION("""COMPUTED_VALUE"""),"")</f>
        <v/>
      </c>
      <c r="R9238" s="21" t="str">
        <f>IFERROR(__xludf.DUMMYFUNCTION("""COMPUTED_VALUE"""),"https://drive.google.com/file/d/1RxmJ3HQn50vrmVIyRhocYlIXU2EN6Ypk/view?usp=drivesdk")</f>
        <v>https://drive.google.com/file/d/1RxmJ3HQn50vrmVIyRhocYlIXU2EN6Ypk/view?usp=drivesdk</v>
      </c>
    </row>
    <row r="9239">
      <c r="A9239" s="15">
        <f>IFERROR(__xludf.DUMMYFUNCTION("""COMPUTED_VALUE"""),45261.0)</f>
        <v>45261</v>
      </c>
      <c r="B9239" s="16" t="str">
        <f>IFERROR(__xludf.DUMMYFUNCTION("""COMPUTED_VALUE"""),"Envia")</f>
        <v>Envia</v>
      </c>
      <c r="C9239" s="15" t="str">
        <f>IFERROR(__xludf.DUMMYFUNCTION("""COMPUTED_VALUE"""),"SANTA MARTA")</f>
        <v>SANTA MARTA</v>
      </c>
      <c r="D9239" s="15" t="str">
        <f>IFERROR(__xludf.DUMMYFUNCTION("""COMPUTED_VALUE"""),"BUCARAMANGA")</f>
        <v>BUCARAMANGA</v>
      </c>
      <c r="E9239" s="15" t="str">
        <f>IFERROR(__xludf.DUMMYFUNCTION("""COMPUTED_VALUE"""),"Yo Como Solito")</f>
        <v>Yo Como Solito</v>
      </c>
      <c r="F9239" s="17" t="str">
        <f>IFERROR(__xludf.DUMMYFUNCTION("""COMPUTED_VALUE"""),"CALLE 18 #17A -12 BARRIO 13 D JUNIO  / CALLE 18 #17A -12 BARRIO 13 D JUNIO  / CALLE 18 #17A -12 BARRIO 13 D JUNIO")</f>
        <v>CALLE 18 #17A -12 BARRIO 13 D JUNIO  / CALLE 18 #17A -12 BARRIO 13 D JUNIO  / CALLE 18 #17A -12 BARRIO 13 D JUNIO</v>
      </c>
      <c r="G9239" s="15" t="str">
        <f>IFERROR(__xludf.DUMMYFUNCTION("""COMPUTED_VALUE"""),"JENNIFER HERRERA")</f>
        <v>JENNIFER HERRERA</v>
      </c>
      <c r="H9239" s="16">
        <f>IFERROR(__xludf.DUMMYFUNCTION("""COMPUTED_VALUE"""),17744.0)</f>
        <v>17744</v>
      </c>
      <c r="I9239" s="18">
        <f>IFERROR(__xludf.DUMMYFUNCTION("""COMPUTED_VALUE"""),25.0)</f>
        <v>25</v>
      </c>
      <c r="J9239" s="18">
        <f>IFERROR(__xludf.DUMMYFUNCTION("""COMPUTED_VALUE"""),14.0)</f>
        <v>14</v>
      </c>
      <c r="K9239" s="18">
        <f>IFERROR(__xludf.DUMMYFUNCTION("""COMPUTED_VALUE"""),42.0)</f>
        <v>42</v>
      </c>
      <c r="L9239" s="17">
        <f>IFERROR(__xludf.DUMMYFUNCTION("""COMPUTED_VALUE"""),3.002648345E9)</f>
        <v>3002648345</v>
      </c>
      <c r="M9239" s="17"/>
      <c r="N9239" s="17"/>
      <c r="O9239" s="17"/>
      <c r="P9239" s="17" t="b">
        <f>IFERROR(__xludf.DUMMYFUNCTION("""COMPUTED_VALUE"""),FALSE)</f>
        <v>0</v>
      </c>
      <c r="Q9239" s="20" t="str">
        <f>IFERROR(__xludf.DUMMYFUNCTION("""COMPUTED_VALUE"""),"")</f>
        <v/>
      </c>
      <c r="R9239" s="22" t="str">
        <f>IFERROR(__xludf.DUMMYFUNCTION("""COMPUTED_VALUE"""),"")</f>
        <v/>
      </c>
    </row>
    <row r="9240">
      <c r="A9240" s="15">
        <f>IFERROR(__xludf.DUMMYFUNCTION("""COMPUTED_VALUE"""),45261.0)</f>
        <v>45261</v>
      </c>
      <c r="B9240" s="16" t="str">
        <f>IFERROR(__xludf.DUMMYFUNCTION("""COMPUTED_VALUE"""),"Envia")</f>
        <v>Envia</v>
      </c>
      <c r="C9240" s="15" t="str">
        <f>IFERROR(__xludf.DUMMYFUNCTION("""COMPUTED_VALUE"""),"SINCELEJO")</f>
        <v>SINCELEJO</v>
      </c>
      <c r="D9240" s="15" t="str">
        <f>IFERROR(__xludf.DUMMYFUNCTION("""COMPUTED_VALUE"""),"BOGOTÁ")</f>
        <v>BOGOTÁ</v>
      </c>
      <c r="E9240" s="15" t="str">
        <f>IFERROR(__xludf.DUMMYFUNCTION("""COMPUTED_VALUE"""),"Forever Dog")</f>
        <v>Forever Dog</v>
      </c>
      <c r="F9240" s="17" t="str">
        <f>IFERROR(__xludf.DUMMYFUNCTION("""COMPUTED_VALUE"""),"Cr 34 # 23A-66 / Casa diagonal al parque de la parabolica de Florencia / Casa diagonal al parque de la parabolica de Florencia")</f>
        <v>Cr 34 # 23A-66 / Casa diagonal al parque de la parabolica de Florencia / Casa diagonal al parque de la parabolica de Florencia</v>
      </c>
      <c r="G9240" s="15" t="str">
        <f>IFERROR(__xludf.DUMMYFUNCTION("""COMPUTED_VALUE"""),"Mariana Mebarak")</f>
        <v>Mariana Mebarak</v>
      </c>
      <c r="H9240" s="16">
        <f>IFERROR(__xludf.DUMMYFUNCTION("""COMPUTED_VALUE"""),17675.0)</f>
        <v>17675</v>
      </c>
      <c r="I9240" s="18">
        <f>IFERROR(__xludf.DUMMYFUNCTION("""COMPUTED_VALUE"""),21.0)</f>
        <v>21</v>
      </c>
      <c r="J9240" s="18">
        <f>IFERROR(__xludf.DUMMYFUNCTION("""COMPUTED_VALUE"""),30.0)</f>
        <v>30</v>
      </c>
      <c r="K9240" s="18">
        <f>IFERROR(__xludf.DUMMYFUNCTION("""COMPUTED_VALUE"""),50.0)</f>
        <v>50</v>
      </c>
      <c r="L9240" s="17">
        <f>IFERROR(__xludf.DUMMYFUNCTION("""COMPUTED_VALUE"""),3.015011115E9)</f>
        <v>3015011115</v>
      </c>
      <c r="M9240" s="17"/>
      <c r="N9240" s="17"/>
      <c r="O9240" s="17"/>
      <c r="P9240" s="17" t="b">
        <f>IFERROR(__xludf.DUMMYFUNCTION("""COMPUTED_VALUE"""),FALSE)</f>
        <v>0</v>
      </c>
      <c r="Q9240" s="20" t="str">
        <f>IFERROR(__xludf.DUMMYFUNCTION("""COMPUTED_VALUE"""),"")</f>
        <v/>
      </c>
      <c r="R9240" s="21" t="str">
        <f>IFERROR(__xludf.DUMMYFUNCTION("""COMPUTED_VALUE"""),"https://drive.google.com/file/d/1PmnF9nTp6ACzH9ZG5Il44lj8-MUC3if2/view?usp=drivesdk")</f>
        <v>https://drive.google.com/file/d/1PmnF9nTp6ACzH9ZG5Il44lj8-MUC3if2/view?usp=drivesdk</v>
      </c>
    </row>
    <row r="9241">
      <c r="A9241" s="17" t="str">
        <f>IFERROR(__xludf.DUMMYFUNCTION("""COMPUTED_VALUE"""),"")</f>
        <v/>
      </c>
      <c r="B9241" s="17" t="str">
        <f>IFERROR(__xludf.DUMMYFUNCTION("""COMPUTED_VALUE"""),"")</f>
        <v/>
      </c>
      <c r="C9241" s="17" t="str">
        <f>IFERROR(__xludf.DUMMYFUNCTION("""COMPUTED_VALUE"""),"")</f>
        <v/>
      </c>
      <c r="D9241" s="17" t="str">
        <f>IFERROR(__xludf.DUMMYFUNCTION("""COMPUTED_VALUE"""),"")</f>
        <v/>
      </c>
      <c r="E9241" s="17" t="str">
        <f>IFERROR(__xludf.DUMMYFUNCTION("""COMPUTED_VALUE"""),"")</f>
        <v/>
      </c>
      <c r="F9241" s="17" t="str">
        <f>IFERROR(__xludf.DUMMYFUNCTION("""COMPUTED_VALUE"""),"")</f>
        <v/>
      </c>
      <c r="G9241" s="17" t="str">
        <f>IFERROR(__xludf.DUMMYFUNCTION("""COMPUTED_VALUE"""),"")</f>
        <v/>
      </c>
      <c r="H9241" s="17" t="str">
        <f>IFERROR(__xludf.DUMMYFUNCTION("""COMPUTED_VALUE"""),"")</f>
        <v/>
      </c>
      <c r="I9241" s="17" t="str">
        <f>IFERROR(__xludf.DUMMYFUNCTION("""COMPUTED_VALUE"""),"")</f>
        <v/>
      </c>
      <c r="J9241" s="17" t="str">
        <f>IFERROR(__xludf.DUMMYFUNCTION("""COMPUTED_VALUE"""),"")</f>
        <v/>
      </c>
      <c r="K9241" s="17" t="str">
        <f>IFERROR(__xludf.DUMMYFUNCTION("""COMPUTED_VALUE"""),"")</f>
        <v/>
      </c>
      <c r="L9241" s="17" t="str">
        <f>IFERROR(__xludf.DUMMYFUNCTION("""COMPUTED_VALUE"""),"")</f>
        <v/>
      </c>
      <c r="M9241" s="17" t="str">
        <f>IFERROR(__xludf.DUMMYFUNCTION("""COMPUTED_VALUE"""),"")</f>
        <v/>
      </c>
      <c r="N9241" s="17" t="str">
        <f>IFERROR(__xludf.DUMMYFUNCTION("""COMPUTED_VALUE"""),"")</f>
        <v/>
      </c>
      <c r="O9241" s="17" t="str">
        <f>IFERROR(__xludf.DUMMYFUNCTION("""COMPUTED_VALUE"""),"")</f>
        <v/>
      </c>
      <c r="P9241" s="17" t="str">
        <f>IFERROR(__xludf.DUMMYFUNCTION("""COMPUTED_VALUE"""),"")</f>
        <v/>
      </c>
      <c r="Q9241" s="17" t="str">
        <f>IFERROR(__xludf.DUMMYFUNCTION("""COMPUTED_VALUE"""),"")</f>
        <v/>
      </c>
      <c r="R9241" s="17" t="str">
        <f>IFERROR(__xludf.DUMMYFUNCTION("""COMPUTED_VALUE"""),"")</f>
        <v/>
      </c>
    </row>
    <row r="9242">
      <c r="A9242" s="15">
        <f>IFERROR(__xludf.DUMMYFUNCTION("""COMPUTED_VALUE"""),45261.0)</f>
        <v>45261</v>
      </c>
      <c r="B9242" s="16" t="str">
        <f>IFERROR(__xludf.DUMMYFUNCTION("""COMPUTED_VALUE"""),"JOSE ALFREDO RAMIREZ VERGARA ")</f>
        <v>JOSE ALFREDO RAMIREZ VERGARA </v>
      </c>
      <c r="C9242" s="15" t="str">
        <f>IFERROR(__xludf.DUMMYFUNCTION("""COMPUTED_VALUE"""),"BARRANQUILLA")</f>
        <v>BARRANQUILLA</v>
      </c>
      <c r="D9242" s="15" t="str">
        <f>IFERROR(__xludf.DUMMYFUNCTION("""COMPUTED_VALUE"""),"MEDELLÍN")</f>
        <v>MEDELLÍN</v>
      </c>
      <c r="E9242" s="15" t="str">
        <f>IFERROR(__xludf.DUMMYFUNCTION("""COMPUTED_VALUE"""),"Tres Trigos")</f>
        <v>Tres Trigos</v>
      </c>
      <c r="F9242" s="17" t="str">
        <f>IFERROR(__xludf.DUMMYFUNCTION("""COMPUTED_VALUE"""),"CR 45 85 168 / Cocina Oculta Foodology / Cerca al parque Venezulea - Barranquilla")</f>
        <v>CR 45 85 168 / Cocina Oculta Foodology / Cerca al parque Venezulea - Barranquilla</v>
      </c>
      <c r="G9242" s="15" t="str">
        <f>IFERROR(__xludf.DUMMYFUNCTION("""COMPUTED_VALUE"""),"Foodology Acopio")</f>
        <v>Foodology Acopio</v>
      </c>
      <c r="H9242" s="16">
        <f>IFERROR(__xludf.DUMMYFUNCTION("""COMPUTED_VALUE"""),17747.0)</f>
        <v>17747</v>
      </c>
      <c r="I9242" s="18">
        <f>IFERROR(__xludf.DUMMYFUNCTION("""COMPUTED_VALUE"""),18.0)</f>
        <v>18</v>
      </c>
      <c r="J9242" s="18">
        <f>IFERROR(__xludf.DUMMYFUNCTION("""COMPUTED_VALUE"""),25.0)</f>
        <v>25</v>
      </c>
      <c r="K9242" s="18">
        <f>IFERROR(__xludf.DUMMYFUNCTION("""COMPUTED_VALUE"""),35.0)</f>
        <v>35</v>
      </c>
      <c r="L9242" s="17">
        <f>IFERROR(__xludf.DUMMYFUNCTION("""COMPUTED_VALUE"""),3.017001909E9)</f>
        <v>3017001909</v>
      </c>
      <c r="M9242" s="17"/>
      <c r="N9242" s="17"/>
      <c r="O9242" s="17"/>
      <c r="P9242" s="17" t="b">
        <f>IFERROR(__xludf.DUMMYFUNCTION("""COMPUTED_VALUE"""),TRUE)</f>
        <v>1</v>
      </c>
      <c r="Q9242" s="20">
        <f>IFERROR(__xludf.DUMMYFUNCTION("""COMPUTED_VALUE"""),45265.54365597222)</f>
        <v>45265.54366</v>
      </c>
      <c r="R9242" s="21" t="str">
        <f>IFERROR(__xludf.DUMMYFUNCTION("""COMPUTED_VALUE"""),"https://drive.google.com/file/d/1x5p08gOCZ5gdnjg0h2HpcjOfOFHt_D2M/view?usp=drivesdk")</f>
        <v>https://drive.google.com/file/d/1x5p08gOCZ5gdnjg0h2HpcjOfOFHt_D2M/view?usp=drivesdk</v>
      </c>
    </row>
    <row r="9243">
      <c r="A9243" s="15">
        <f>IFERROR(__xludf.DUMMYFUNCTION("""COMPUTED_VALUE"""),45261.0)</f>
        <v>45261</v>
      </c>
      <c r="B9243" s="16" t="str">
        <f>IFERROR(__xludf.DUMMYFUNCTION("""COMPUTED_VALUE"""),"JOSE ALFREDO RAMIREZ VERGARA ")</f>
        <v>JOSE ALFREDO RAMIREZ VERGARA </v>
      </c>
      <c r="C9243" s="15" t="str">
        <f>IFERROR(__xludf.DUMMYFUNCTION("""COMPUTED_VALUE"""),"BOGOTÁ")</f>
        <v>BOGOTÁ</v>
      </c>
      <c r="D9243" s="15" t="str">
        <f>IFERROR(__xludf.DUMMYFUNCTION("""COMPUTED_VALUE"""),"ENVIGADO")</f>
        <v>ENVIGADO</v>
      </c>
      <c r="E9243" s="15" t="str">
        <f>IFERROR(__xludf.DUMMYFUNCTION("""COMPUTED_VALUE"""),"RAMBLA")</f>
        <v>RAMBLA</v>
      </c>
      <c r="F9243" s="17" t="str">
        <f>IFERROR(__xludf.DUMMYFUNCTION("""COMPUTED_VALUE"""),"Calle 136A # 73 A 69 / casa 4")</f>
        <v>Calle 136A # 73 A 69 / casa 4</v>
      </c>
      <c r="G9243" s="15" t="str">
        <f>IFERROR(__xludf.DUMMYFUNCTION("""COMPUTED_VALUE"""),"Margherita Omarini")</f>
        <v>Margherita Omarini</v>
      </c>
      <c r="H9243" s="16">
        <f>IFERROR(__xludf.DUMMYFUNCTION("""COMPUTED_VALUE"""),17905.0)</f>
        <v>17905</v>
      </c>
      <c r="I9243" s="17"/>
      <c r="J9243" s="17"/>
      <c r="K9243" s="17"/>
      <c r="L9243" s="17">
        <f>IFERROR(__xludf.DUMMYFUNCTION("""COMPUTED_VALUE"""),3.164684094E9)</f>
        <v>3164684094</v>
      </c>
      <c r="M9243" s="17"/>
      <c r="N9243" s="17"/>
      <c r="O9243" s="17"/>
      <c r="P9243" s="17" t="b">
        <f>IFERROR(__xludf.DUMMYFUNCTION("""COMPUTED_VALUE"""),FALSE)</f>
        <v>0</v>
      </c>
      <c r="Q9243" s="20" t="str">
        <f>IFERROR(__xludf.DUMMYFUNCTION("""COMPUTED_VALUE"""),"")</f>
        <v/>
      </c>
      <c r="R9243" s="22" t="str">
        <f>IFERROR(__xludf.DUMMYFUNCTION("""COMPUTED_VALUE"""),"")</f>
        <v/>
      </c>
    </row>
    <row r="9244">
      <c r="A9244" s="15">
        <f>IFERROR(__xludf.DUMMYFUNCTION("""COMPUTED_VALUE"""),45261.0)</f>
        <v>45261</v>
      </c>
      <c r="B9244" s="16" t="str">
        <f>IFERROR(__xludf.DUMMYFUNCTION("""COMPUTED_VALUE"""),"JOSE ALFREDO RAMIREZ VERGARA ")</f>
        <v>JOSE ALFREDO RAMIREZ VERGARA </v>
      </c>
      <c r="C9244" s="15" t="str">
        <f>IFERROR(__xludf.DUMMYFUNCTION("""COMPUTED_VALUE"""),"BOGOTÁ")</f>
        <v>BOGOTÁ</v>
      </c>
      <c r="D9244" s="15" t="str">
        <f>IFERROR(__xludf.DUMMYFUNCTION("""COMPUTED_VALUE"""),"ENVIGADO")</f>
        <v>ENVIGADO</v>
      </c>
      <c r="E9244" s="15" t="str">
        <f>IFERROR(__xludf.DUMMYFUNCTION("""COMPUTED_VALUE"""),"RAMBLA")</f>
        <v>RAMBLA</v>
      </c>
      <c r="F9244" s="17" t="str">
        <f>IFERROR(__xludf.DUMMYFUNCTION("""COMPUTED_VALUE"""),"Calle 93a #11-46")</f>
        <v>Calle 93a #11-46</v>
      </c>
      <c r="G9244" s="15" t="str">
        <f>IFERROR(__xludf.DUMMYFUNCTION("""COMPUTED_VALUE"""),"Fit Hub")</f>
        <v>Fit Hub</v>
      </c>
      <c r="H9244" s="16">
        <f>IFERROR(__xludf.DUMMYFUNCTION("""COMPUTED_VALUE"""),17886.0)</f>
        <v>17886</v>
      </c>
      <c r="I9244" s="17"/>
      <c r="J9244" s="17"/>
      <c r="K9244" s="17"/>
      <c r="L9244" s="17">
        <f>IFERROR(__xludf.DUMMYFUNCTION("""COMPUTED_VALUE"""),3.015447307E9)</f>
        <v>3015447307</v>
      </c>
      <c r="M9244" s="17"/>
      <c r="N9244" s="17"/>
      <c r="O9244" s="17"/>
      <c r="P9244" s="17" t="b">
        <f>IFERROR(__xludf.DUMMYFUNCTION("""COMPUTED_VALUE"""),TRUE)</f>
        <v>1</v>
      </c>
      <c r="Q9244" s="20">
        <f>IFERROR(__xludf.DUMMYFUNCTION("""COMPUTED_VALUE"""),45265.549961979166)</f>
        <v>45265.54996</v>
      </c>
      <c r="R9244" s="21" t="str">
        <f>IFERROR(__xludf.DUMMYFUNCTION("""COMPUTED_VALUE"""),"https://drive.google.com/file/d/1XOCxsngKusD7iSazaL7laX3bZObSuu-7/view?usp=drivesdk")</f>
        <v>https://drive.google.com/file/d/1XOCxsngKusD7iSazaL7laX3bZObSuu-7/view?usp=drivesdk</v>
      </c>
    </row>
    <row r="9245">
      <c r="A9245" s="15">
        <f>IFERROR(__xludf.DUMMYFUNCTION("""COMPUTED_VALUE"""),45261.0)</f>
        <v>45261</v>
      </c>
      <c r="B9245" s="16" t="str">
        <f>IFERROR(__xludf.DUMMYFUNCTION("""COMPUTED_VALUE"""),"JOSE ALFREDO RAMIREZ VERGARA ")</f>
        <v>JOSE ALFREDO RAMIREZ VERGARA </v>
      </c>
      <c r="C9245" s="15" t="str">
        <f>IFERROR(__xludf.DUMMYFUNCTION("""COMPUTED_VALUE"""),"BOGOTÁ")</f>
        <v>BOGOTÁ</v>
      </c>
      <c r="D9245" s="15" t="str">
        <f>IFERROR(__xludf.DUMMYFUNCTION("""COMPUTED_VALUE"""),"ENVIGADO")</f>
        <v>ENVIGADO</v>
      </c>
      <c r="E9245" s="15" t="str">
        <f>IFERROR(__xludf.DUMMYFUNCTION("""COMPUTED_VALUE"""),"RAMBLA")</f>
        <v>RAMBLA</v>
      </c>
      <c r="F9245" s="17" t="str">
        <f>IFERROR(__xludf.DUMMYFUNCTION("""COMPUTED_VALUE"""),"Carrera 8 #167D-62 / TORRE 1 APTO 1212")</f>
        <v>Carrera 8 #167D-62 / TORRE 1 APTO 1212</v>
      </c>
      <c r="G9245" s="15" t="str">
        <f>IFERROR(__xludf.DUMMYFUNCTION("""COMPUTED_VALUE"""),"Lechuga y Lulo")</f>
        <v>Lechuga y Lulo</v>
      </c>
      <c r="H9245" s="16">
        <f>IFERROR(__xludf.DUMMYFUNCTION("""COMPUTED_VALUE"""),17889.0)</f>
        <v>17889</v>
      </c>
      <c r="I9245" s="17"/>
      <c r="J9245" s="17"/>
      <c r="K9245" s="17"/>
      <c r="L9245" s="17">
        <f>IFERROR(__xludf.DUMMYFUNCTION("""COMPUTED_VALUE"""),3.112063593E9)</f>
        <v>3112063593</v>
      </c>
      <c r="M9245" s="17"/>
      <c r="N9245" s="17"/>
      <c r="O9245" s="17"/>
      <c r="P9245" s="17" t="b">
        <f>IFERROR(__xludf.DUMMYFUNCTION("""COMPUTED_VALUE"""),TRUE)</f>
        <v>1</v>
      </c>
      <c r="Q9245" s="20">
        <f>IFERROR(__xludf.DUMMYFUNCTION("""COMPUTED_VALUE"""),45265.55006065972)</f>
        <v>45265.55006</v>
      </c>
      <c r="R9245" s="21" t="str">
        <f>IFERROR(__xludf.DUMMYFUNCTION("""COMPUTED_VALUE"""),"https://drive.google.com/file/d/158XNm3FK6DWmSHypJqO8fqkmZ2BPTa5_/view?usp=drivesdk")</f>
        <v>https://drive.google.com/file/d/158XNm3FK6DWmSHypJqO8fqkmZ2BPTa5_/view?usp=drivesdk</v>
      </c>
    </row>
    <row r="9246">
      <c r="A9246" s="15">
        <f>IFERROR(__xludf.DUMMYFUNCTION("""COMPUTED_VALUE"""),45261.0)</f>
        <v>45261</v>
      </c>
      <c r="B9246" s="16" t="str">
        <f>IFERROR(__xludf.DUMMYFUNCTION("""COMPUTED_VALUE"""),"JOSE ALFREDO RAMIREZ VERGARA ")</f>
        <v>JOSE ALFREDO RAMIREZ VERGARA </v>
      </c>
      <c r="C9246" s="15" t="str">
        <f>IFERROR(__xludf.DUMMYFUNCTION("""COMPUTED_VALUE"""),"BOGOTÁ")</f>
        <v>BOGOTÁ</v>
      </c>
      <c r="D9246" s="15" t="str">
        <f>IFERROR(__xludf.DUMMYFUNCTION("""COMPUTED_VALUE"""),"MEDELLÍN")</f>
        <v>MEDELLÍN</v>
      </c>
      <c r="E9246" s="15" t="str">
        <f>IFERROR(__xludf.DUMMYFUNCTION("""COMPUTED_VALUE"""),"AREPAS LA MARY")</f>
        <v>AREPAS LA MARY</v>
      </c>
      <c r="F9246" s="17" t="str">
        <f>IFERROR(__xludf.DUMMYFUNCTION("""COMPUTED_VALUE"""),"CRA 10 N.1A 50 LOCAL 22 / CC ASTURIAS")</f>
        <v>CRA 10 N.1A 50 LOCAL 22 / CC ASTURIAS</v>
      </c>
      <c r="G9246" s="15" t="str">
        <f>IFERROR(__xludf.DUMMYFUNCTION("""COMPUTED_VALUE"""),"VIVO MARKET CHIA")</f>
        <v>VIVO MARKET CHIA</v>
      </c>
      <c r="H9246" s="16">
        <f>IFERROR(__xludf.DUMMYFUNCTION("""COMPUTED_VALUE"""),17888.0)</f>
        <v>17888</v>
      </c>
      <c r="I9246" s="17"/>
      <c r="J9246" s="17"/>
      <c r="K9246" s="17"/>
      <c r="L9246" s="17">
        <f>IFERROR(__xludf.DUMMYFUNCTION("""COMPUTED_VALUE"""),3.145035171E9)</f>
        <v>3145035171</v>
      </c>
      <c r="M9246" s="17"/>
      <c r="N9246" s="17"/>
      <c r="O9246" s="17"/>
      <c r="P9246" s="17" t="b">
        <f>IFERROR(__xludf.DUMMYFUNCTION("""COMPUTED_VALUE"""),TRUE)</f>
        <v>1</v>
      </c>
      <c r="Q9246" s="20">
        <f>IFERROR(__xludf.DUMMYFUNCTION("""COMPUTED_VALUE"""),45265.55006065972)</f>
        <v>45265.55006</v>
      </c>
      <c r="R9246" s="21" t="str">
        <f>IFERROR(__xludf.DUMMYFUNCTION("""COMPUTED_VALUE"""),"https://drive.google.com/file/d/15hqLn1SOXfFmyDo6wW50QBnsEAufqlAG/view?usp=drivesdk")</f>
        <v>https://drive.google.com/file/d/15hqLn1SOXfFmyDo6wW50QBnsEAufqlAG/view?usp=drivesdk</v>
      </c>
    </row>
    <row r="9247">
      <c r="A9247" s="15">
        <f>IFERROR(__xludf.DUMMYFUNCTION("""COMPUTED_VALUE"""),45261.0)</f>
        <v>45261</v>
      </c>
      <c r="B9247" s="16" t="str">
        <f>IFERROR(__xludf.DUMMYFUNCTION("""COMPUTED_VALUE"""),"JOSE ALFREDO RAMIREZ VERGARA ")</f>
        <v>JOSE ALFREDO RAMIREZ VERGARA </v>
      </c>
      <c r="C9247" s="15" t="str">
        <f>IFERROR(__xludf.DUMMYFUNCTION("""COMPUTED_VALUE"""),"BOGOTÁ")</f>
        <v>BOGOTÁ</v>
      </c>
      <c r="D9247" s="15" t="str">
        <f>IFERROR(__xludf.DUMMYFUNCTION("""COMPUTED_VALUE"""),"MEDELLÍN")</f>
        <v>MEDELLÍN</v>
      </c>
      <c r="E9247" s="15" t="str">
        <f>IFERROR(__xludf.DUMMYFUNCTION("""COMPUTED_VALUE"""),"AREPAS LA MARY")</f>
        <v>AREPAS LA MARY</v>
      </c>
      <c r="F9247" s="17" t="str">
        <f>IFERROR(__xludf.DUMMYFUNCTION("""COMPUTED_VALUE"""),"CRA 100 A 73 -34 / ALAMOS NORTE")</f>
        <v>CRA 100 A 73 -34 / ALAMOS NORTE</v>
      </c>
      <c r="G9247" s="15" t="str">
        <f>IFERROR(__xludf.DUMMYFUNCTION("""COMPUTED_VALUE"""),"DIANA PATAQUIVA")</f>
        <v>DIANA PATAQUIVA</v>
      </c>
      <c r="H9247" s="16">
        <f>IFERROR(__xludf.DUMMYFUNCTION("""COMPUTED_VALUE"""),17895.0)</f>
        <v>17895</v>
      </c>
      <c r="I9247" s="17"/>
      <c r="J9247" s="17"/>
      <c r="K9247" s="17"/>
      <c r="L9247" s="17">
        <f>IFERROR(__xludf.DUMMYFUNCTION("""COMPUTED_VALUE"""),3.017902841E9)</f>
        <v>3017902841</v>
      </c>
      <c r="M9247" s="17"/>
      <c r="N9247" s="17"/>
      <c r="O9247" s="17"/>
      <c r="P9247" s="17" t="b">
        <f>IFERROR(__xludf.DUMMYFUNCTION("""COMPUTED_VALUE"""),FALSE)</f>
        <v>0</v>
      </c>
      <c r="Q9247" s="20" t="str">
        <f>IFERROR(__xludf.DUMMYFUNCTION("""COMPUTED_VALUE"""),"")</f>
        <v/>
      </c>
      <c r="R9247" s="22" t="str">
        <f>IFERROR(__xludf.DUMMYFUNCTION("""COMPUTED_VALUE"""),"")</f>
        <v/>
      </c>
    </row>
    <row r="9248">
      <c r="A9248" s="15">
        <f>IFERROR(__xludf.DUMMYFUNCTION("""COMPUTED_VALUE"""),45261.0)</f>
        <v>45261</v>
      </c>
      <c r="B9248" s="16" t="str">
        <f>IFERROR(__xludf.DUMMYFUNCTION("""COMPUTED_VALUE"""),"JOSE ALFREDO RAMIREZ VERGARA ")</f>
        <v>JOSE ALFREDO RAMIREZ VERGARA </v>
      </c>
      <c r="C9248" s="15" t="str">
        <f>IFERROR(__xludf.DUMMYFUNCTION("""COMPUTED_VALUE"""),"BOGOTÁ")</f>
        <v>BOGOTÁ</v>
      </c>
      <c r="D9248" s="15" t="str">
        <f>IFERROR(__xludf.DUMMYFUNCTION("""COMPUTED_VALUE"""),"MEDELLÍN")</f>
        <v>MEDELLÍN</v>
      </c>
      <c r="E9248" s="15" t="str">
        <f>IFERROR(__xludf.DUMMYFUNCTION("""COMPUTED_VALUE"""),"AREPAS LA MARY")</f>
        <v>AREPAS LA MARY</v>
      </c>
      <c r="F9248" s="17" t="str">
        <f>IFERROR(__xludf.DUMMYFUNCTION("""COMPUTED_VALUE"""),"CRA 3D 54 A 50 APTO 303 / CHAPINERO HUB")</f>
        <v>CRA 3D 54 A 50 APTO 303 / CHAPINERO HUB</v>
      </c>
      <c r="G9248" s="15" t="str">
        <f>IFERROR(__xludf.DUMMYFUNCTION("""COMPUTED_VALUE"""),"ANGELA JOHANNA MARTINEZ")</f>
        <v>ANGELA JOHANNA MARTINEZ</v>
      </c>
      <c r="H9248" s="16">
        <f>IFERROR(__xludf.DUMMYFUNCTION("""COMPUTED_VALUE"""),17897.0)</f>
        <v>17897</v>
      </c>
      <c r="I9248" s="17"/>
      <c r="J9248" s="17"/>
      <c r="K9248" s="17"/>
      <c r="L9248" s="17">
        <f>IFERROR(__xludf.DUMMYFUNCTION("""COMPUTED_VALUE"""),3.175351101E9)</f>
        <v>3175351101</v>
      </c>
      <c r="M9248" s="17"/>
      <c r="N9248" s="17"/>
      <c r="O9248" s="17"/>
      <c r="P9248" s="17" t="b">
        <f>IFERROR(__xludf.DUMMYFUNCTION("""COMPUTED_VALUE"""),FALSE)</f>
        <v>0</v>
      </c>
      <c r="Q9248" s="20" t="str">
        <f>IFERROR(__xludf.DUMMYFUNCTION("""COMPUTED_VALUE"""),"")</f>
        <v/>
      </c>
      <c r="R9248" s="21" t="str">
        <f>IFERROR(__xludf.DUMMYFUNCTION("""COMPUTED_VALUE"""),"https://drive.google.com/file/d/1yLeKH_3T0e4saFCQns7a5fQXpetgLHBM/view?usp=drivesdk")</f>
        <v>https://drive.google.com/file/d/1yLeKH_3T0e4saFCQns7a5fQXpetgLHBM/view?usp=drivesdk</v>
      </c>
    </row>
    <row r="9249">
      <c r="A9249" s="15">
        <f>IFERROR(__xludf.DUMMYFUNCTION("""COMPUTED_VALUE"""),45261.0)</f>
        <v>45261</v>
      </c>
      <c r="B9249" s="16" t="str">
        <f>IFERROR(__xludf.DUMMYFUNCTION("""COMPUTED_VALUE"""),"JOSE ALFREDO RAMIREZ VERGARA ")</f>
        <v>JOSE ALFREDO RAMIREZ VERGARA </v>
      </c>
      <c r="C9249" s="15" t="str">
        <f>IFERROR(__xludf.DUMMYFUNCTION("""COMPUTED_VALUE"""),"BOGOTÁ")</f>
        <v>BOGOTÁ</v>
      </c>
      <c r="D9249" s="15" t="str">
        <f>IFERROR(__xludf.DUMMYFUNCTION("""COMPUTED_VALUE"""),"MEDELLÍN")</f>
        <v>MEDELLÍN</v>
      </c>
      <c r="E9249" s="15" t="str">
        <f>IFERROR(__xludf.DUMMYFUNCTION("""COMPUTED_VALUE"""),"AREPAS LA MARY")</f>
        <v>AREPAS LA MARY</v>
      </c>
      <c r="F9249" s="17" t="str">
        <f>IFERROR(__xludf.DUMMYFUNCTION("""COMPUTED_VALUE"""),"k. 1 no 79-55 ap 701 / edificio Pietramonte")</f>
        <v>k. 1 no 79-55 ap 701 / edificio Pietramonte</v>
      </c>
      <c r="G9249" s="15" t="str">
        <f>IFERROR(__xludf.DUMMYFUNCTION("""COMPUTED_VALUE"""),"DIANA GOMEZ")</f>
        <v>DIANA GOMEZ</v>
      </c>
      <c r="H9249" s="16">
        <f>IFERROR(__xludf.DUMMYFUNCTION("""COMPUTED_VALUE"""),17896.0)</f>
        <v>17896</v>
      </c>
      <c r="I9249" s="17"/>
      <c r="J9249" s="17"/>
      <c r="K9249" s="17"/>
      <c r="L9249" s="17">
        <f>IFERROR(__xludf.DUMMYFUNCTION("""COMPUTED_VALUE"""),3.138705396E9)</f>
        <v>3138705396</v>
      </c>
      <c r="M9249" s="17"/>
      <c r="N9249" s="17"/>
      <c r="O9249" s="17"/>
      <c r="P9249" s="17" t="b">
        <f>IFERROR(__xludf.DUMMYFUNCTION("""COMPUTED_VALUE"""),FALSE)</f>
        <v>0</v>
      </c>
      <c r="Q9249" s="20" t="str">
        <f>IFERROR(__xludf.DUMMYFUNCTION("""COMPUTED_VALUE"""),"")</f>
        <v/>
      </c>
      <c r="R9249" s="21" t="str">
        <f>IFERROR(__xludf.DUMMYFUNCTION("""COMPUTED_VALUE"""),"https://drive.google.com/file/d/1VqFnj7VezdMddZbBNSYouzILBx4-4r6H/view?usp=drivesdk")</f>
        <v>https://drive.google.com/file/d/1VqFnj7VezdMddZbBNSYouzILBx4-4r6H/view?usp=drivesdk</v>
      </c>
    </row>
    <row r="9250">
      <c r="A9250" s="15">
        <f>IFERROR(__xludf.DUMMYFUNCTION("""COMPUTED_VALUE"""),45261.0)</f>
        <v>45261</v>
      </c>
      <c r="B9250" s="16" t="str">
        <f>IFERROR(__xludf.DUMMYFUNCTION("""COMPUTED_VALUE"""),"JOSE ALFREDO RAMIREZ VERGARA ")</f>
        <v>JOSE ALFREDO RAMIREZ VERGARA </v>
      </c>
      <c r="C9250" s="15" t="str">
        <f>IFERROR(__xludf.DUMMYFUNCTION("""COMPUTED_VALUE"""),"BOGOTÁ")</f>
        <v>BOGOTÁ</v>
      </c>
      <c r="D9250" s="15" t="str">
        <f>IFERROR(__xludf.DUMMYFUNCTION("""COMPUTED_VALUE"""),"MEDELLÍN")</f>
        <v>MEDELLÍN</v>
      </c>
      <c r="E9250" s="15" t="str">
        <f>IFERROR(__xludf.DUMMYFUNCTION("""COMPUTED_VALUE"""),"Biota")</f>
        <v>Biota</v>
      </c>
      <c r="F9250" s="17" t="str">
        <f>IFERROR(__xludf.DUMMYFUNCTION("""COMPUTED_VALUE"""),"distribuidora mkt Transversal 22A #61c -13 Teusaquillo  / distribuidora mkt Transversal 22A #61c -13 Teusaquillo  / distribuidora mkt Transversal 22A #61c -13 Teusaquillo")</f>
        <v>distribuidora mkt Transversal 22A #61c -13 Teusaquillo  / distribuidora mkt Transversal 22A #61c -13 Teusaquillo  / distribuidora mkt Transversal 22A #61c -13 Teusaquillo</v>
      </c>
      <c r="G9250" s="15" t="str">
        <f>IFERROR(__xludf.DUMMYFUNCTION("""COMPUTED_VALUE"""),"distribuidora mkt Transversal 22A #61c -13 Teusaquillo")</f>
        <v>distribuidora mkt Transversal 22A #61c -13 Teusaquillo</v>
      </c>
      <c r="H9250" s="16">
        <f>IFERROR(__xludf.DUMMYFUNCTION("""COMPUTED_VALUE"""),17877.0)</f>
        <v>17877</v>
      </c>
      <c r="I9250" s="18">
        <f>IFERROR(__xludf.DUMMYFUNCTION("""COMPUTED_VALUE"""),27.0)</f>
        <v>27</v>
      </c>
      <c r="J9250" s="18">
        <f>IFERROR(__xludf.DUMMYFUNCTION("""COMPUTED_VALUE"""),36.0)</f>
        <v>36</v>
      </c>
      <c r="K9250" s="18">
        <f>IFERROR(__xludf.DUMMYFUNCTION("""COMPUTED_VALUE"""),60.0)</f>
        <v>60</v>
      </c>
      <c r="L9250" s="17">
        <f>IFERROR(__xludf.DUMMYFUNCTION("""COMPUTED_VALUE"""),3.183593653E9)</f>
        <v>3183593653</v>
      </c>
      <c r="M9250" s="17"/>
      <c r="N9250" s="17"/>
      <c r="O9250" s="17"/>
      <c r="P9250" s="17" t="b">
        <f>IFERROR(__xludf.DUMMYFUNCTION("""COMPUTED_VALUE"""),FALSE)</f>
        <v>0</v>
      </c>
      <c r="Q9250" s="20" t="str">
        <f>IFERROR(__xludf.DUMMYFUNCTION("""COMPUTED_VALUE"""),"")</f>
        <v/>
      </c>
      <c r="R9250" s="21" t="str">
        <f>IFERROR(__xludf.DUMMYFUNCTION("""COMPUTED_VALUE"""),"https://drive.google.com/file/d/16RahtZ0TtaBDpH_7isvUQ6jbhLLLzh9D/view?usp=drivesdk")</f>
        <v>https://drive.google.com/file/d/16RahtZ0TtaBDpH_7isvUQ6jbhLLLzh9D/view?usp=drivesdk</v>
      </c>
    </row>
    <row r="9251">
      <c r="A9251" s="15">
        <f>IFERROR(__xludf.DUMMYFUNCTION("""COMPUTED_VALUE"""),45261.0)</f>
        <v>45261</v>
      </c>
      <c r="B9251" s="16" t="str">
        <f>IFERROR(__xludf.DUMMYFUNCTION("""COMPUTED_VALUE"""),"JOSE ALFREDO RAMIREZ VERGARA ")</f>
        <v>JOSE ALFREDO RAMIREZ VERGARA </v>
      </c>
      <c r="C9251" s="15" t="str">
        <f>IFERROR(__xludf.DUMMYFUNCTION("""COMPUTED_VALUE"""),"BOGOTÁ")</f>
        <v>BOGOTÁ</v>
      </c>
      <c r="D9251" s="15" t="str">
        <f>IFERROR(__xludf.DUMMYFUNCTION("""COMPUTED_VALUE"""),"MEDELLÍN")</f>
        <v>MEDELLÍN</v>
      </c>
      <c r="E9251" s="15" t="str">
        <f>IFERROR(__xludf.DUMMYFUNCTION("""COMPUTED_VALUE"""),"Natusoya")</f>
        <v>Natusoya</v>
      </c>
      <c r="F9251" s="17" t="str">
        <f>IFERROR(__xludf.DUMMYFUNCTION("""COMPUTED_VALUE"""),"Tv 22a #61c-13 / Bodega / Teusaquillo")</f>
        <v>Tv 22a #61c-13 / Bodega / Teusaquillo</v>
      </c>
      <c r="G9251" s="15" t="str">
        <f>IFERROR(__xludf.DUMMYFUNCTION("""COMPUTED_VALUE"""),"Nancy baquero, distribuidora MKT")</f>
        <v>Nancy baquero, distribuidora MKT</v>
      </c>
      <c r="H9251" s="16">
        <f>IFERROR(__xludf.DUMMYFUNCTION("""COMPUTED_VALUE"""),17872.0)</f>
        <v>17872</v>
      </c>
      <c r="I9251" s="18">
        <f>IFERROR(__xludf.DUMMYFUNCTION("""COMPUTED_VALUE"""),28.0)</f>
        <v>28</v>
      </c>
      <c r="J9251" s="18">
        <f>IFERROR(__xludf.DUMMYFUNCTION("""COMPUTED_VALUE"""),32.0)</f>
        <v>32</v>
      </c>
      <c r="K9251" s="18">
        <f>IFERROR(__xludf.DUMMYFUNCTION("""COMPUTED_VALUE"""),48.0)</f>
        <v>48</v>
      </c>
      <c r="L9251" s="17">
        <f>IFERROR(__xludf.DUMMYFUNCTION("""COMPUTED_VALUE"""),3.183593653E9)</f>
        <v>3183593653</v>
      </c>
      <c r="M9251" s="17"/>
      <c r="N9251" s="17"/>
      <c r="O9251" s="17"/>
      <c r="P9251" s="17" t="b">
        <f>IFERROR(__xludf.DUMMYFUNCTION("""COMPUTED_VALUE"""),FALSE)</f>
        <v>0</v>
      </c>
      <c r="Q9251" s="20" t="str">
        <f>IFERROR(__xludf.DUMMYFUNCTION("""COMPUTED_VALUE"""),"")</f>
        <v/>
      </c>
      <c r="R9251" s="21" t="str">
        <f>IFERROR(__xludf.DUMMYFUNCTION("""COMPUTED_VALUE"""),"https://drive.google.com/file/d/1fqLwedpRG77gNUqDbzMXDJf046AcMknY/view?usp=drivesdk")</f>
        <v>https://drive.google.com/file/d/1fqLwedpRG77gNUqDbzMXDJf046AcMknY/view?usp=drivesdk</v>
      </c>
    </row>
    <row r="9252">
      <c r="A9252" s="15">
        <f>IFERROR(__xludf.DUMMYFUNCTION("""COMPUTED_VALUE"""),45261.0)</f>
        <v>45261</v>
      </c>
      <c r="B9252" s="16" t="str">
        <f>IFERROR(__xludf.DUMMYFUNCTION("""COMPUTED_VALUE"""),"JOSE ALFREDO RAMIREZ VERGARA ")</f>
        <v>JOSE ALFREDO RAMIREZ VERGARA </v>
      </c>
      <c r="C9252" s="15" t="str">
        <f>IFERROR(__xludf.DUMMYFUNCTION("""COMPUTED_VALUE"""),"CALI")</f>
        <v>CALI</v>
      </c>
      <c r="D9252" s="15" t="str">
        <f>IFERROR(__xludf.DUMMYFUNCTION("""COMPUTED_VALUE"""),"BOGOTÁ")</f>
        <v>BOGOTÁ</v>
      </c>
      <c r="E9252" s="15" t="str">
        <f>IFERROR(__xludf.DUMMYFUNCTION("""COMPUTED_VALUE"""),"Viral Brands")</f>
        <v>Viral Brands</v>
      </c>
      <c r="F9252" s="17" t="str">
        <f>IFERROR(__xludf.DUMMYFUNCTION("""COMPUTED_VALUE"""),"Cali sur Cra 81a # 42-07 Segundo piso Barrio caney / Segundo piso / Barrio caney, diagonal a Olimpica")</f>
        <v>Cali sur Cra 81a # 42-07 Segundo piso Barrio caney / Segundo piso / Barrio caney, diagonal a Olimpica</v>
      </c>
      <c r="G9252" s="15" t="str">
        <f>IFERROR(__xludf.DUMMYFUNCTION("""COMPUTED_VALUE"""),"Liceth sulbaran")</f>
        <v>Liceth sulbaran</v>
      </c>
      <c r="H9252" s="16">
        <f>IFERROR(__xludf.DUMMYFUNCTION("""COMPUTED_VALUE"""),17874.0)</f>
        <v>17874</v>
      </c>
      <c r="I9252" s="18">
        <f>IFERROR(__xludf.DUMMYFUNCTION("""COMPUTED_VALUE"""),45.0)</f>
        <v>45</v>
      </c>
      <c r="J9252" s="18">
        <f>IFERROR(__xludf.DUMMYFUNCTION("""COMPUTED_VALUE"""),55.0)</f>
        <v>55</v>
      </c>
      <c r="K9252" s="18" t="str">
        <f>IFERROR(__xludf.DUMMYFUNCTION("""COMPUTED_VALUE"""),"52.5")</f>
        <v>52.5</v>
      </c>
      <c r="L9252" s="17">
        <f>IFERROR(__xludf.DUMMYFUNCTION("""COMPUTED_VALUE"""),3.044474842E9)</f>
        <v>3044474842</v>
      </c>
      <c r="M9252" s="17"/>
      <c r="N9252" s="17"/>
      <c r="O9252" s="17"/>
      <c r="P9252" s="17" t="b">
        <f>IFERROR(__xludf.DUMMYFUNCTION("""COMPUTED_VALUE"""),FALSE)</f>
        <v>0</v>
      </c>
      <c r="Q9252" s="20" t="str">
        <f>IFERROR(__xludf.DUMMYFUNCTION("""COMPUTED_VALUE"""),"")</f>
        <v/>
      </c>
      <c r="R9252" s="21" t="str">
        <f>IFERROR(__xludf.DUMMYFUNCTION("""COMPUTED_VALUE"""),"https://drive.google.com/file/d/1mDmvFVZ7DRkav5iP08R8fJ97XXvCAKEP/view?usp=drivesdk")</f>
        <v>https://drive.google.com/file/d/1mDmvFVZ7DRkav5iP08R8fJ97XXvCAKEP/view?usp=drivesdk</v>
      </c>
    </row>
    <row r="9253">
      <c r="A9253" s="17" t="str">
        <f>IFERROR(__xludf.DUMMYFUNCTION("""COMPUTED_VALUE"""),"")</f>
        <v/>
      </c>
      <c r="B9253" s="17" t="str">
        <f>IFERROR(__xludf.DUMMYFUNCTION("""COMPUTED_VALUE"""),"")</f>
        <v/>
      </c>
      <c r="C9253" s="17" t="str">
        <f>IFERROR(__xludf.DUMMYFUNCTION("""COMPUTED_VALUE"""),"")</f>
        <v/>
      </c>
      <c r="D9253" s="17" t="str">
        <f>IFERROR(__xludf.DUMMYFUNCTION("""COMPUTED_VALUE"""),"")</f>
        <v/>
      </c>
      <c r="E9253" s="17" t="str">
        <f>IFERROR(__xludf.DUMMYFUNCTION("""COMPUTED_VALUE"""),"")</f>
        <v/>
      </c>
      <c r="F9253" s="17" t="str">
        <f>IFERROR(__xludf.DUMMYFUNCTION("""COMPUTED_VALUE"""),"")</f>
        <v/>
      </c>
      <c r="G9253" s="17" t="str">
        <f>IFERROR(__xludf.DUMMYFUNCTION("""COMPUTED_VALUE"""),"")</f>
        <v/>
      </c>
      <c r="H9253" s="17" t="str">
        <f>IFERROR(__xludf.DUMMYFUNCTION("""COMPUTED_VALUE"""),"")</f>
        <v/>
      </c>
      <c r="I9253" s="17" t="str">
        <f>IFERROR(__xludf.DUMMYFUNCTION("""COMPUTED_VALUE"""),"")</f>
        <v/>
      </c>
      <c r="J9253" s="17" t="str">
        <f>IFERROR(__xludf.DUMMYFUNCTION("""COMPUTED_VALUE"""),"")</f>
        <v/>
      </c>
      <c r="K9253" s="17" t="str">
        <f>IFERROR(__xludf.DUMMYFUNCTION("""COMPUTED_VALUE"""),"")</f>
        <v/>
      </c>
      <c r="L9253" s="17" t="str">
        <f>IFERROR(__xludf.DUMMYFUNCTION("""COMPUTED_VALUE"""),"")</f>
        <v/>
      </c>
      <c r="M9253" s="17" t="str">
        <f>IFERROR(__xludf.DUMMYFUNCTION("""COMPUTED_VALUE"""),"")</f>
        <v/>
      </c>
      <c r="N9253" s="17" t="str">
        <f>IFERROR(__xludf.DUMMYFUNCTION("""COMPUTED_VALUE"""),"")</f>
        <v/>
      </c>
      <c r="O9253" s="17" t="str">
        <f>IFERROR(__xludf.DUMMYFUNCTION("""COMPUTED_VALUE"""),"")</f>
        <v/>
      </c>
      <c r="P9253" s="17" t="str">
        <f>IFERROR(__xludf.DUMMYFUNCTION("""COMPUTED_VALUE"""),"")</f>
        <v/>
      </c>
      <c r="Q9253" s="17" t="str">
        <f>IFERROR(__xludf.DUMMYFUNCTION("""COMPUTED_VALUE"""),"")</f>
        <v/>
      </c>
      <c r="R9253" s="17" t="str">
        <f>IFERROR(__xludf.DUMMYFUNCTION("""COMPUTED_VALUE"""),"")</f>
        <v/>
      </c>
    </row>
    <row r="9254">
      <c r="A9254" s="15">
        <f>IFERROR(__xludf.DUMMYFUNCTION("""COMPUTED_VALUE"""),45261.0)</f>
        <v>45261</v>
      </c>
      <c r="B9254" s="16" t="str">
        <f>IFERROR(__xludf.DUMMYFUNCTION("""COMPUTED_VALUE"""),"Kevin Andrés puerta Jaramillo")</f>
        <v>Kevin Andrés puerta Jaramillo</v>
      </c>
      <c r="C9254" s="15" t="str">
        <f>IFERROR(__xludf.DUMMYFUNCTION("""COMPUTED_VALUE"""),"ENVIGADO")</f>
        <v>ENVIGADO</v>
      </c>
      <c r="D9254" s="15" t="str">
        <f>IFERROR(__xludf.DUMMYFUNCTION("""COMPUTED_VALUE"""),"BOGOTÁ")</f>
        <v>BOGOTÁ</v>
      </c>
      <c r="E9254" s="15" t="str">
        <f>IFERROR(__xludf.DUMMYFUNCTION("""COMPUTED_VALUE"""),"PAN DE WAFFLE")</f>
        <v>PAN DE WAFFLE</v>
      </c>
      <c r="F9254" s="17" t="str">
        <f>IFERROR(__xludf.DUMMYFUNCTION("""COMPUTED_VALUE"""),"Carrera 27 # 23 Sur - 120 San Jorge / Carrera 27 # 23 Sur - 120 San Jorge")</f>
        <v>Carrera 27 # 23 Sur - 120 San Jorge / Carrera 27 # 23 Sur - 120 San Jorge</v>
      </c>
      <c r="G9254" s="15" t="str">
        <f>IFERROR(__xludf.DUMMYFUNCTION("""COMPUTED_VALUE"""),"RAPPI TURBO LA FRONTERA")</f>
        <v>RAPPI TURBO LA FRONTERA</v>
      </c>
      <c r="H9254" s="16">
        <f>IFERROR(__xludf.DUMMYFUNCTION("""COMPUTED_VALUE"""),17841.0)</f>
        <v>17841</v>
      </c>
      <c r="I9254" s="17"/>
      <c r="J9254" s="17"/>
      <c r="K9254" s="17"/>
      <c r="L9254" s="17">
        <f>IFERROR(__xludf.DUMMYFUNCTION("""COMPUTED_VALUE"""),3.012888007E9)</f>
        <v>3012888007</v>
      </c>
      <c r="M9254" s="17"/>
      <c r="N9254" s="17"/>
      <c r="O9254" s="17"/>
      <c r="P9254" s="17" t="b">
        <f>IFERROR(__xludf.DUMMYFUNCTION("""COMPUTED_VALUE"""),FALSE)</f>
        <v>0</v>
      </c>
      <c r="Q9254" s="20" t="str">
        <f>IFERROR(__xludf.DUMMYFUNCTION("""COMPUTED_VALUE"""),"")</f>
        <v/>
      </c>
      <c r="R9254" s="21" t="str">
        <f>IFERROR(__xludf.DUMMYFUNCTION("""COMPUTED_VALUE"""),"https://drive.google.com/file/d/1BGOOIMBXuuXXuU-zYZa4SxtNyaoLlpzS/view?usp=drivesdk")</f>
        <v>https://drive.google.com/file/d/1BGOOIMBXuuXXuU-zYZa4SxtNyaoLlpzS/view?usp=drivesdk</v>
      </c>
    </row>
    <row r="9255">
      <c r="A9255" s="15">
        <f>IFERROR(__xludf.DUMMYFUNCTION("""COMPUTED_VALUE"""),45261.0)</f>
        <v>45261</v>
      </c>
      <c r="B9255" s="16" t="str">
        <f>IFERROR(__xludf.DUMMYFUNCTION("""COMPUTED_VALUE"""),"Kevin Andrés puerta Jaramillo")</f>
        <v>Kevin Andrés puerta Jaramillo</v>
      </c>
      <c r="C9255" s="15" t="str">
        <f>IFERROR(__xludf.DUMMYFUNCTION("""COMPUTED_VALUE"""),"MEDELLÍN")</f>
        <v>MEDELLÍN</v>
      </c>
      <c r="D9255" s="15" t="str">
        <f>IFERROR(__xludf.DUMMYFUNCTION("""COMPUTED_VALUE"""),"BOGOTÁ")</f>
        <v>BOGOTÁ</v>
      </c>
      <c r="E9255" s="15" t="str">
        <f>IFERROR(__xludf.DUMMYFUNCTION("""COMPUTED_VALUE"""),"Hiiva Fermentados SAS")</f>
        <v>Hiiva Fermentados SAS</v>
      </c>
      <c r="F9255" s="17" t="str">
        <f>IFERROR(__xludf.DUMMYFUNCTION("""COMPUTED_VALUE"""),"Transversal 39b#77-48 / int 302")</f>
        <v>Transversal 39b#77-48 / int 302</v>
      </c>
      <c r="G9255" s="15" t="str">
        <f>IFERROR(__xludf.DUMMYFUNCTION("""COMPUTED_VALUE"""),"Medellín - Vita Integral")</f>
        <v>Medellín - Vita Integral</v>
      </c>
      <c r="H9255" s="16">
        <f>IFERROR(__xludf.DUMMYFUNCTION("""COMPUTED_VALUE"""),17794.0)</f>
        <v>17794</v>
      </c>
      <c r="I9255" s="17"/>
      <c r="J9255" s="17"/>
      <c r="K9255" s="17"/>
      <c r="L9255" s="17">
        <f>IFERROR(__xludf.DUMMYFUNCTION("""COMPUTED_VALUE"""),3.188473468E9)</f>
        <v>3188473468</v>
      </c>
      <c r="M9255" s="17"/>
      <c r="N9255" s="17"/>
      <c r="O9255" s="17"/>
      <c r="P9255" s="17" t="b">
        <f>IFERROR(__xludf.DUMMYFUNCTION("""COMPUTED_VALUE"""),FALSE)</f>
        <v>0</v>
      </c>
      <c r="Q9255" s="20" t="str">
        <f>IFERROR(__xludf.DUMMYFUNCTION("""COMPUTED_VALUE"""),"")</f>
        <v/>
      </c>
      <c r="R9255" s="21" t="str">
        <f>IFERROR(__xludf.DUMMYFUNCTION("""COMPUTED_VALUE"""),"https://drive.google.com/file/d/10_tzyS2Ae60dPe6Ol5YBXJvibEzGz0gh/view?usp=drivesdk")</f>
        <v>https://drive.google.com/file/d/10_tzyS2Ae60dPe6Ol5YBXJvibEzGz0gh/view?usp=drivesdk</v>
      </c>
    </row>
    <row r="9256">
      <c r="A9256" s="15">
        <f>IFERROR(__xludf.DUMMYFUNCTION("""COMPUTED_VALUE"""),45261.0)</f>
        <v>45261</v>
      </c>
      <c r="B9256" s="16" t="str">
        <f>IFERROR(__xludf.DUMMYFUNCTION("""COMPUTED_VALUE"""),"Kevin Andrés puerta Jaramillo")</f>
        <v>Kevin Andrés puerta Jaramillo</v>
      </c>
      <c r="C9256" s="15" t="str">
        <f>IFERROR(__xludf.DUMMYFUNCTION("""COMPUTED_VALUE"""),"MEDELLÍN")</f>
        <v>MEDELLÍN</v>
      </c>
      <c r="D9256" s="15" t="str">
        <f>IFERROR(__xludf.DUMMYFUNCTION("""COMPUTED_VALUE"""),"BOGOTÁ")</f>
        <v>BOGOTÁ</v>
      </c>
      <c r="E9256" s="15" t="str">
        <f>IFERROR(__xludf.DUMMYFUNCTION("""COMPUTED_VALUE"""),"PAN DE WAFFLE")</f>
        <v>PAN DE WAFFLE</v>
      </c>
      <c r="F9256" s="17" t="str">
        <f>IFERROR(__xludf.DUMMYFUNCTION("""COMPUTED_VALUE"""),"Transveral 39b # 77 - 40 Laureles / Transveral 39b # 77 - 40 Laureles")</f>
        <v>Transveral 39b # 77 - 40 Laureles / Transveral 39b # 77 - 40 Laureles</v>
      </c>
      <c r="G9256" s="15" t="str">
        <f>IFERROR(__xludf.DUMMYFUNCTION("""COMPUTED_VALUE"""),"VITA INTEGRAL")</f>
        <v>VITA INTEGRAL</v>
      </c>
      <c r="H9256" s="16">
        <f>IFERROR(__xludf.DUMMYFUNCTION("""COMPUTED_VALUE"""),17843.0)</f>
        <v>17843</v>
      </c>
      <c r="I9256" s="17"/>
      <c r="J9256" s="17"/>
      <c r="K9256" s="17"/>
      <c r="L9256" s="17"/>
      <c r="M9256" s="17"/>
      <c r="N9256" s="17"/>
      <c r="O9256" s="17"/>
      <c r="P9256" s="17" t="b">
        <f>IFERROR(__xludf.DUMMYFUNCTION("""COMPUTED_VALUE"""),FALSE)</f>
        <v>0</v>
      </c>
      <c r="Q9256" s="20" t="str">
        <f>IFERROR(__xludf.DUMMYFUNCTION("""COMPUTED_VALUE"""),"")</f>
        <v/>
      </c>
      <c r="R9256" s="21" t="str">
        <f>IFERROR(__xludf.DUMMYFUNCTION("""COMPUTED_VALUE"""),"https://drive.google.com/file/d/13orm8eQLCmx5skfUdA6vBQIhC_iM4QBS/view?usp=drivesdk")</f>
        <v>https://drive.google.com/file/d/13orm8eQLCmx5skfUdA6vBQIhC_iM4QBS/view?usp=drivesdk</v>
      </c>
    </row>
    <row r="9257">
      <c r="A9257" s="15">
        <f>IFERROR(__xludf.DUMMYFUNCTION("""COMPUTED_VALUE"""),45261.0)</f>
        <v>45261</v>
      </c>
      <c r="B9257" s="16" t="str">
        <f>IFERROR(__xludf.DUMMYFUNCTION("""COMPUTED_VALUE"""),"Kevin Andrés puerta Jaramillo")</f>
        <v>Kevin Andrés puerta Jaramillo</v>
      </c>
      <c r="C9257" s="15" t="str">
        <f>IFERROR(__xludf.DUMMYFUNCTION("""COMPUTED_VALUE"""),"MEDELLÍN")</f>
        <v>MEDELLÍN</v>
      </c>
      <c r="D9257" s="15" t="str">
        <f>IFERROR(__xludf.DUMMYFUNCTION("""COMPUTED_VALUE"""),"BOGOTÁ")</f>
        <v>BOGOTÁ</v>
      </c>
      <c r="E9257" s="15" t="str">
        <f>IFERROR(__xludf.DUMMYFUNCTION("""COMPUTED_VALUE"""),"Spirulina Fresca")</f>
        <v>Spirulina Fresca</v>
      </c>
      <c r="F9257" s="17" t="str">
        <f>IFERROR(__xludf.DUMMYFUNCTION("""COMPUTED_VALUE"""),"Cra 11 No 9A Sur -140  / Reserva del Tesoro  Casa 135 el Poblado Medellín  / Poblado")</f>
        <v>Cra 11 No 9A Sur -140  / Reserva del Tesoro  Casa 135 el Poblado Medellín  / Poblado</v>
      </c>
      <c r="G9257" s="15" t="str">
        <f>IFERROR(__xludf.DUMMYFUNCTION("""COMPUTED_VALUE"""),"Ana suarez")</f>
        <v>Ana suarez</v>
      </c>
      <c r="H9257" s="16">
        <f>IFERROR(__xludf.DUMMYFUNCTION("""COMPUTED_VALUE"""),17870.0)</f>
        <v>17870</v>
      </c>
      <c r="I9257" s="18">
        <f>IFERROR(__xludf.DUMMYFUNCTION("""COMPUTED_VALUE"""),5.0)</f>
        <v>5</v>
      </c>
      <c r="J9257" s="18">
        <f>IFERROR(__xludf.DUMMYFUNCTION("""COMPUTED_VALUE"""),15.0)</f>
        <v>15</v>
      </c>
      <c r="K9257" s="18">
        <f>IFERROR(__xludf.DUMMYFUNCTION("""COMPUTED_VALUE"""),22.0)</f>
        <v>22</v>
      </c>
      <c r="L9257" s="17">
        <f>IFERROR(__xludf.DUMMYFUNCTION("""COMPUTED_VALUE"""),3.216449997E9)</f>
        <v>3216449997</v>
      </c>
      <c r="M9257" s="17"/>
      <c r="N9257" s="17"/>
      <c r="O9257" s="17"/>
      <c r="P9257" s="17" t="b">
        <f>IFERROR(__xludf.DUMMYFUNCTION("""COMPUTED_VALUE"""),FALSE)</f>
        <v>0</v>
      </c>
      <c r="Q9257" s="20" t="str">
        <f>IFERROR(__xludf.DUMMYFUNCTION("""COMPUTED_VALUE"""),"")</f>
        <v/>
      </c>
      <c r="R9257" s="21" t="str">
        <f>IFERROR(__xludf.DUMMYFUNCTION("""COMPUTED_VALUE"""),"https://drive.google.com/file/d/1x8n4Ldx4Sa3009IHl1ioGlQ95DVxx9vz/view?usp=drivesdk")</f>
        <v>https://drive.google.com/file/d/1x8n4Ldx4Sa3009IHl1ioGlQ95DVxx9vz/view?usp=drivesdk</v>
      </c>
    </row>
    <row r="9258">
      <c r="A9258" s="15">
        <f>IFERROR(__xludf.DUMMYFUNCTION("""COMPUTED_VALUE"""),45261.0)</f>
        <v>45261</v>
      </c>
      <c r="B9258" s="16" t="str">
        <f>IFERROR(__xludf.DUMMYFUNCTION("""COMPUTED_VALUE"""),"Kevin Andrés puerta Jaramillo")</f>
        <v>Kevin Andrés puerta Jaramillo</v>
      </c>
      <c r="C9258" s="15" t="str">
        <f>IFERROR(__xludf.DUMMYFUNCTION("""COMPUTED_VALUE"""),"MEDELLÍN")</f>
        <v>MEDELLÍN</v>
      </c>
      <c r="D9258" s="15" t="str">
        <f>IFERROR(__xludf.DUMMYFUNCTION("""COMPUTED_VALUE"""),"BOGOTÁ")</f>
        <v>BOGOTÁ</v>
      </c>
      <c r="E9258" s="15" t="str">
        <f>IFERROR(__xludf.DUMMYFUNCTION("""COMPUTED_VALUE"""),"Top Spun")</f>
        <v>Top Spun</v>
      </c>
      <c r="F9258" s="17" t="str">
        <f>IFERROR(__xludf.DUMMYFUNCTION("""COMPUTED_VALUE"""),"Calle 38 # 51 12 / Comercializadora de accesorios  La bayadera  / Estación exposiciones")</f>
        <v>Calle 38 # 51 12 / Comercializadora de accesorios  La bayadera  / Estación exposiciones</v>
      </c>
      <c r="G9258" s="15" t="str">
        <f>IFERROR(__xludf.DUMMYFUNCTION("""COMPUTED_VALUE"""),"Esmeralda Rodríguez")</f>
        <v>Esmeralda Rodríguez</v>
      </c>
      <c r="H9258" s="16">
        <f>IFERROR(__xludf.DUMMYFUNCTION("""COMPUTED_VALUE"""),17899.0)</f>
        <v>17899</v>
      </c>
      <c r="I9258" s="18">
        <f>IFERROR(__xludf.DUMMYFUNCTION("""COMPUTED_VALUE"""),20.0)</f>
        <v>20</v>
      </c>
      <c r="J9258" s="18">
        <f>IFERROR(__xludf.DUMMYFUNCTION("""COMPUTED_VALUE"""),10.0)</f>
        <v>10</v>
      </c>
      <c r="K9258" s="18">
        <f>IFERROR(__xludf.DUMMYFUNCTION("""COMPUTED_VALUE"""),40.0)</f>
        <v>40</v>
      </c>
      <c r="L9258" s="17">
        <f>IFERROR(__xludf.DUMMYFUNCTION("""COMPUTED_VALUE"""),3.145243625E9)</f>
        <v>3145243625</v>
      </c>
      <c r="M9258" s="17"/>
      <c r="N9258" s="17"/>
      <c r="O9258" s="17"/>
      <c r="P9258" s="17" t="b">
        <f>IFERROR(__xludf.DUMMYFUNCTION("""COMPUTED_VALUE"""),FALSE)</f>
        <v>0</v>
      </c>
      <c r="Q9258" s="20" t="str">
        <f>IFERROR(__xludf.DUMMYFUNCTION("""COMPUTED_VALUE"""),"")</f>
        <v/>
      </c>
      <c r="R9258" s="21" t="str">
        <f>IFERROR(__xludf.DUMMYFUNCTION("""COMPUTED_VALUE"""),"https://drive.google.com/file/d/1cqCo9zjwyO3ZsFqIrI8m_U9fDQXaroW8/view?usp=drivesdk")</f>
        <v>https://drive.google.com/file/d/1cqCo9zjwyO3ZsFqIrI8m_U9fDQXaroW8/view?usp=drivesdk</v>
      </c>
    </row>
    <row r="9259">
      <c r="A9259" s="15">
        <f>IFERROR(__xludf.DUMMYFUNCTION("""COMPUTED_VALUE"""),45261.0)</f>
        <v>45261</v>
      </c>
      <c r="B9259" s="16" t="str">
        <f>IFERROR(__xludf.DUMMYFUNCTION("""COMPUTED_VALUE"""),"Kevin Andrés puerta Jaramillo")</f>
        <v>Kevin Andrés puerta Jaramillo</v>
      </c>
      <c r="C9259" s="15" t="str">
        <f>IFERROR(__xludf.DUMMYFUNCTION("""COMPUTED_VALUE"""),"MEDELLÍN")</f>
        <v>MEDELLÍN</v>
      </c>
      <c r="D9259" s="15" t="str">
        <f>IFERROR(__xludf.DUMMYFUNCTION("""COMPUTED_VALUE"""),"BOGOTÁ")</f>
        <v>BOGOTÁ</v>
      </c>
      <c r="E9259" s="15" t="str">
        <f>IFERROR(__xludf.DUMMYFUNCTION("""COMPUTED_VALUE"""),"Top Spun")</f>
        <v>Top Spun</v>
      </c>
      <c r="F9259" s="17" t="str">
        <f>IFERROR(__xludf.DUMMYFUNCTION("""COMPUTED_VALUE"""),"Calle 52 #47A13 / Itagui / Antioquia")</f>
        <v>Calle 52 #47A13 / Itagui / Antioquia</v>
      </c>
      <c r="G9259" s="15" t="str">
        <f>IFERROR(__xludf.DUMMYFUNCTION("""COMPUTED_VALUE"""),"Sara Montoya")</f>
        <v>Sara Montoya</v>
      </c>
      <c r="H9259" s="16">
        <f>IFERROR(__xludf.DUMMYFUNCTION("""COMPUTED_VALUE"""),17901.0)</f>
        <v>17901</v>
      </c>
      <c r="I9259" s="18">
        <f>IFERROR(__xludf.DUMMYFUNCTION("""COMPUTED_VALUE"""),20.0)</f>
        <v>20</v>
      </c>
      <c r="J9259" s="18">
        <f>IFERROR(__xludf.DUMMYFUNCTION("""COMPUTED_VALUE"""),10.0)</f>
        <v>10</v>
      </c>
      <c r="K9259" s="18">
        <f>IFERROR(__xludf.DUMMYFUNCTION("""COMPUTED_VALUE"""),40.0)</f>
        <v>40</v>
      </c>
      <c r="L9259" s="17">
        <f>IFERROR(__xludf.DUMMYFUNCTION("""COMPUTED_VALUE"""),3.113984442E9)</f>
        <v>3113984442</v>
      </c>
      <c r="M9259" s="17"/>
      <c r="N9259" s="17"/>
      <c r="O9259" s="17"/>
      <c r="P9259" s="17" t="b">
        <f>IFERROR(__xludf.DUMMYFUNCTION("""COMPUTED_VALUE"""),FALSE)</f>
        <v>0</v>
      </c>
      <c r="Q9259" s="20" t="str">
        <f>IFERROR(__xludf.DUMMYFUNCTION("""COMPUTED_VALUE"""),"")</f>
        <v/>
      </c>
      <c r="R9259" s="21" t="str">
        <f>IFERROR(__xludf.DUMMYFUNCTION("""COMPUTED_VALUE"""),"https://drive.google.com/file/d/1zvVWLXi1Ztk_8XDKsWtR7fKmNnKQUDUn/view?usp=drivesdk")</f>
        <v>https://drive.google.com/file/d/1zvVWLXi1Ztk_8XDKsWtR7fKmNnKQUDUn/view?usp=drivesdk</v>
      </c>
    </row>
    <row r="9260">
      <c r="A9260" s="15">
        <f>IFERROR(__xludf.DUMMYFUNCTION("""COMPUTED_VALUE"""),45261.0)</f>
        <v>45261</v>
      </c>
      <c r="B9260" s="16" t="str">
        <f>IFERROR(__xludf.DUMMYFUNCTION("""COMPUTED_VALUE"""),"Kevin Andrés puerta Jaramillo")</f>
        <v>Kevin Andrés puerta Jaramillo</v>
      </c>
      <c r="C9260" s="15" t="str">
        <f>IFERROR(__xludf.DUMMYFUNCTION("""COMPUTED_VALUE"""),"MEDELLÍN")</f>
        <v>MEDELLÍN</v>
      </c>
      <c r="D9260" s="15" t="str">
        <f>IFERROR(__xludf.DUMMYFUNCTION("""COMPUTED_VALUE"""),"BOGOTÁ")</f>
        <v>BOGOTÁ</v>
      </c>
      <c r="E9260" s="15" t="str">
        <f>IFERROR(__xludf.DUMMYFUNCTION("""COMPUTED_VALUE"""),"Top Spun")</f>
        <v>Top Spun</v>
      </c>
      <c r="F9260" s="17" t="str">
        <f>IFERROR(__xludf.DUMMYFUNCTION("""COMPUTED_VALUE"""),"Cra81b#7a40 / Casa 131 / Medellín")</f>
        <v>Cra81b#7a40 / Casa 131 / Medellín</v>
      </c>
      <c r="G9260" s="15" t="str">
        <f>IFERROR(__xludf.DUMMYFUNCTION("""COMPUTED_VALUE"""),"Ana Lopez")</f>
        <v>Ana Lopez</v>
      </c>
      <c r="H9260" s="16">
        <f>IFERROR(__xludf.DUMMYFUNCTION("""COMPUTED_VALUE"""),17900.0)</f>
        <v>17900</v>
      </c>
      <c r="I9260" s="18">
        <f>IFERROR(__xludf.DUMMYFUNCTION("""COMPUTED_VALUE"""),20.0)</f>
        <v>20</v>
      </c>
      <c r="J9260" s="18">
        <f>IFERROR(__xludf.DUMMYFUNCTION("""COMPUTED_VALUE"""),10.0)</f>
        <v>10</v>
      </c>
      <c r="K9260" s="18">
        <f>IFERROR(__xludf.DUMMYFUNCTION("""COMPUTED_VALUE"""),40.0)</f>
        <v>40</v>
      </c>
      <c r="L9260" s="17">
        <f>IFERROR(__xludf.DUMMYFUNCTION("""COMPUTED_VALUE"""),3.193458177E9)</f>
        <v>3193458177</v>
      </c>
      <c r="M9260" s="17"/>
      <c r="N9260" s="17"/>
      <c r="O9260" s="17"/>
      <c r="P9260" s="17" t="b">
        <f>IFERROR(__xludf.DUMMYFUNCTION("""COMPUTED_VALUE"""),FALSE)</f>
        <v>0</v>
      </c>
      <c r="Q9260" s="20" t="str">
        <f>IFERROR(__xludf.DUMMYFUNCTION("""COMPUTED_VALUE"""),"")</f>
        <v/>
      </c>
      <c r="R9260" s="21" t="str">
        <f>IFERROR(__xludf.DUMMYFUNCTION("""COMPUTED_VALUE"""),"https://drive.google.com/file/d/1fgZ6G-J0z0WjR5eS7ap4ihl-5gjVd_aO/view?usp=drivesdk")</f>
        <v>https://drive.google.com/file/d/1fgZ6G-J0z0WjR5eS7ap4ihl-5gjVd_aO/view?usp=drivesdk</v>
      </c>
    </row>
    <row r="9261">
      <c r="A9261" s="15">
        <f>IFERROR(__xludf.DUMMYFUNCTION("""COMPUTED_VALUE"""),45261.0)</f>
        <v>45261</v>
      </c>
      <c r="B9261" s="16" t="str">
        <f>IFERROR(__xludf.DUMMYFUNCTION("""COMPUTED_VALUE"""),"Kevin Andrés puerta Jaramillo")</f>
        <v>Kevin Andrés puerta Jaramillo</v>
      </c>
      <c r="C9261" s="15" t="str">
        <f>IFERROR(__xludf.DUMMYFUNCTION("""COMPUTED_VALUE"""),"MEDELLÍN")</f>
        <v>MEDELLÍN</v>
      </c>
      <c r="D9261" s="15" t="str">
        <f>IFERROR(__xludf.DUMMYFUNCTION("""COMPUTED_VALUE"""),"BOGOTÁ")</f>
        <v>BOGOTÁ</v>
      </c>
      <c r="E9261" s="15" t="str">
        <f>IFERROR(__xludf.DUMMYFUNCTION("""COMPUTED_VALUE"""),"Trigoletta")</f>
        <v>Trigoletta</v>
      </c>
      <c r="F9261" s="17" t="str">
        <f>IFERROR(__xludf.DUMMYFUNCTION("""COMPUTED_VALUE"""),"Calle 16A Sur #34-41 / Ap 1501 Edifico Cayaru, Poblado")</f>
        <v>Calle 16A Sur #34-41 / Ap 1501 Edifico Cayaru, Poblado</v>
      </c>
      <c r="G9261" s="15" t="str">
        <f>IFERROR(__xludf.DUMMYFUNCTION("""COMPUTED_VALUE"""),"Camilo Chacon")</f>
        <v>Camilo Chacon</v>
      </c>
      <c r="H9261" s="16">
        <f>IFERROR(__xludf.DUMMYFUNCTION("""COMPUTED_VALUE"""),17869.0)</f>
        <v>17869</v>
      </c>
      <c r="I9261" s="17"/>
      <c r="J9261" s="17"/>
      <c r="K9261" s="17"/>
      <c r="L9261" s="17">
        <f>IFERROR(__xludf.DUMMYFUNCTION("""COMPUTED_VALUE"""),3.214523411E9)</f>
        <v>3214523411</v>
      </c>
      <c r="M9261" s="17"/>
      <c r="N9261" s="17"/>
      <c r="O9261" s="17"/>
      <c r="P9261" s="17" t="b">
        <f>IFERROR(__xludf.DUMMYFUNCTION("""COMPUTED_VALUE"""),FALSE)</f>
        <v>0</v>
      </c>
      <c r="Q9261" s="20" t="str">
        <f>IFERROR(__xludf.DUMMYFUNCTION("""COMPUTED_VALUE"""),"")</f>
        <v/>
      </c>
      <c r="R9261" s="21" t="str">
        <f>IFERROR(__xludf.DUMMYFUNCTION("""COMPUTED_VALUE"""),"https://drive.google.com/file/d/1U12a3KQhFavIAUjureRDynZkVe1KWCIF/view?usp=drivesdk")</f>
        <v>https://drive.google.com/file/d/1U12a3KQhFavIAUjureRDynZkVe1KWCIF/view?usp=drivesdk</v>
      </c>
    </row>
    <row r="9262">
      <c r="A9262" s="15">
        <f>IFERROR(__xludf.DUMMYFUNCTION("""COMPUTED_VALUE"""),45261.0)</f>
        <v>45261</v>
      </c>
      <c r="B9262" s="16" t="str">
        <f>IFERROR(__xludf.DUMMYFUNCTION("""COMPUTED_VALUE"""),"Kevin Andrés puerta Jaramillo")</f>
        <v>Kevin Andrés puerta Jaramillo</v>
      </c>
      <c r="C9262" s="15" t="str">
        <f>IFERROR(__xludf.DUMMYFUNCTION("""COMPUTED_VALUE"""),"MEDELLÍN")</f>
        <v>MEDELLÍN</v>
      </c>
      <c r="D9262" s="15" t="str">
        <f>IFERROR(__xludf.DUMMYFUNCTION("""COMPUTED_VALUE"""),"BOGOTÁ")</f>
        <v>BOGOTÁ</v>
      </c>
      <c r="E9262" s="15" t="str">
        <f>IFERROR(__xludf.DUMMYFUNCTION("""COMPUTED_VALUE"""),"Trigoletta")</f>
        <v>Trigoletta</v>
      </c>
      <c r="F9262" s="17" t="str">
        <f>IFERROR(__xludf.DUMMYFUNCTION("""COMPUTED_VALUE"""),"Cra 48A # 65F-27 / AP 1009 Edificio Prados de San Angel - Medellín Antioquia")</f>
        <v>Cra 48A # 65F-27 / AP 1009 Edificio Prados de San Angel - Medellín Antioquia</v>
      </c>
      <c r="G9262" s="15" t="str">
        <f>IFERROR(__xludf.DUMMYFUNCTION("""COMPUTED_VALUE"""),"Santiago Morales")</f>
        <v>Santiago Morales</v>
      </c>
      <c r="H9262" s="16">
        <f>IFERROR(__xludf.DUMMYFUNCTION("""COMPUTED_VALUE"""),17665.0)</f>
        <v>17665</v>
      </c>
      <c r="I9262" s="17"/>
      <c r="J9262" s="17"/>
      <c r="K9262" s="17"/>
      <c r="L9262" s="17">
        <f>IFERROR(__xludf.DUMMYFUNCTION("""COMPUTED_VALUE"""),3.046401893E9)</f>
        <v>3046401893</v>
      </c>
      <c r="M9262" s="17"/>
      <c r="N9262" s="17"/>
      <c r="O9262" s="17"/>
      <c r="P9262" s="17" t="b">
        <f>IFERROR(__xludf.DUMMYFUNCTION("""COMPUTED_VALUE"""),FALSE)</f>
        <v>0</v>
      </c>
      <c r="Q9262" s="20" t="str">
        <f>IFERROR(__xludf.DUMMYFUNCTION("""COMPUTED_VALUE"""),"")</f>
        <v/>
      </c>
      <c r="R9262" s="21" t="str">
        <f>IFERROR(__xludf.DUMMYFUNCTION("""COMPUTED_VALUE"""),"https://drive.google.com/file/d/1vl_JBDYExpF36ccRd-BCuvNT8YpHkD9C/view?usp=drivesdk")</f>
        <v>https://drive.google.com/file/d/1vl_JBDYExpF36ccRd-BCuvNT8YpHkD9C/view?usp=drivesdk</v>
      </c>
    </row>
    <row r="9263">
      <c r="A9263" s="17" t="str">
        <f>IFERROR(__xludf.DUMMYFUNCTION("""COMPUTED_VALUE"""),"")</f>
        <v/>
      </c>
      <c r="B9263" s="17" t="str">
        <f>IFERROR(__xludf.DUMMYFUNCTION("""COMPUTED_VALUE"""),"")</f>
        <v/>
      </c>
      <c r="C9263" s="17" t="str">
        <f>IFERROR(__xludf.DUMMYFUNCTION("""COMPUTED_VALUE"""),"")</f>
        <v/>
      </c>
      <c r="D9263" s="17" t="str">
        <f>IFERROR(__xludf.DUMMYFUNCTION("""COMPUTED_VALUE"""),"")</f>
        <v/>
      </c>
      <c r="E9263" s="17" t="str">
        <f>IFERROR(__xludf.DUMMYFUNCTION("""COMPUTED_VALUE"""),"")</f>
        <v/>
      </c>
      <c r="F9263" s="17" t="str">
        <f>IFERROR(__xludf.DUMMYFUNCTION("""COMPUTED_VALUE"""),"")</f>
        <v/>
      </c>
      <c r="G9263" s="17" t="str">
        <f>IFERROR(__xludf.DUMMYFUNCTION("""COMPUTED_VALUE"""),"")</f>
        <v/>
      </c>
      <c r="H9263" s="17" t="str">
        <f>IFERROR(__xludf.DUMMYFUNCTION("""COMPUTED_VALUE"""),"")</f>
        <v/>
      </c>
      <c r="I9263" s="17" t="str">
        <f>IFERROR(__xludf.DUMMYFUNCTION("""COMPUTED_VALUE"""),"")</f>
        <v/>
      </c>
      <c r="J9263" s="17" t="str">
        <f>IFERROR(__xludf.DUMMYFUNCTION("""COMPUTED_VALUE"""),"")</f>
        <v/>
      </c>
      <c r="K9263" s="17" t="str">
        <f>IFERROR(__xludf.DUMMYFUNCTION("""COMPUTED_VALUE"""),"")</f>
        <v/>
      </c>
      <c r="L9263" s="17" t="str">
        <f>IFERROR(__xludf.DUMMYFUNCTION("""COMPUTED_VALUE"""),"")</f>
        <v/>
      </c>
      <c r="M9263" s="17" t="str">
        <f>IFERROR(__xludf.DUMMYFUNCTION("""COMPUTED_VALUE"""),"")</f>
        <v/>
      </c>
      <c r="N9263" s="17" t="str">
        <f>IFERROR(__xludf.DUMMYFUNCTION("""COMPUTED_VALUE"""),"")</f>
        <v/>
      </c>
      <c r="O9263" s="17" t="str">
        <f>IFERROR(__xludf.DUMMYFUNCTION("""COMPUTED_VALUE"""),"")</f>
        <v/>
      </c>
      <c r="P9263" s="17" t="str">
        <f>IFERROR(__xludf.DUMMYFUNCTION("""COMPUTED_VALUE"""),"")</f>
        <v/>
      </c>
      <c r="Q9263" s="17" t="str">
        <f>IFERROR(__xludf.DUMMYFUNCTION("""COMPUTED_VALUE"""),"")</f>
        <v/>
      </c>
      <c r="R9263" s="17" t="str">
        <f>IFERROR(__xludf.DUMMYFUNCTION("""COMPUTED_VALUE"""),"")</f>
        <v/>
      </c>
    </row>
    <row r="9264">
      <c r="A9264" s="15">
        <f>IFERROR(__xludf.DUMMYFUNCTION("""COMPUTED_VALUE"""),45261.0)</f>
        <v>45261</v>
      </c>
      <c r="B9264" s="16" t="str">
        <f>IFERROR(__xludf.DUMMYFUNCTION("""COMPUTED_VALUE"""),"Lina Gaona")</f>
        <v>Lina Gaona</v>
      </c>
      <c r="C9264" s="15" t="str">
        <f>IFERROR(__xludf.DUMMYFUNCTION("""COMPUTED_VALUE"""),"CÚCUTA")</f>
        <v>CÚCUTA</v>
      </c>
      <c r="D9264" s="15" t="str">
        <f>IFERROR(__xludf.DUMMYFUNCTION("""COMPUTED_VALUE"""),"BOGOTÁ")</f>
        <v>BOGOTÁ</v>
      </c>
      <c r="E9264" s="15" t="str">
        <f>IFERROR(__xludf.DUMMYFUNCTION("""COMPUTED_VALUE"""),"Hiiva Fermentados SAS")</f>
        <v>Hiiva Fermentados SAS</v>
      </c>
      <c r="F9264" s="17" t="str">
        <f>IFERROR(__xludf.DUMMYFUNCTION("""COMPUTED_VALUE"""),"Av 8a # 5-86 / mirador del este Apto 510 torre C")</f>
        <v>Av 8a # 5-86 / mirador del este Apto 510 torre C</v>
      </c>
      <c r="G9264" s="15" t="str">
        <f>IFERROR(__xludf.DUMMYFUNCTION("""COMPUTED_VALUE"""),"Clara milena diez")</f>
        <v>Clara milena diez</v>
      </c>
      <c r="H9264" s="16">
        <f>IFERROR(__xludf.DUMMYFUNCTION("""COMPUTED_VALUE"""),17846.0)</f>
        <v>17846</v>
      </c>
      <c r="I9264" s="17"/>
      <c r="J9264" s="17"/>
      <c r="K9264" s="17"/>
      <c r="L9264" s="17">
        <f>IFERROR(__xludf.DUMMYFUNCTION("""COMPUTED_VALUE"""),3.118103992E9)</f>
        <v>3118103992</v>
      </c>
      <c r="M9264" s="17"/>
      <c r="N9264" s="17"/>
      <c r="O9264" s="17"/>
      <c r="P9264" s="17" t="b">
        <f>IFERROR(__xludf.DUMMYFUNCTION("""COMPUTED_VALUE"""),FALSE)</f>
        <v>0</v>
      </c>
      <c r="Q9264" s="20" t="str">
        <f>IFERROR(__xludf.DUMMYFUNCTION("""COMPUTED_VALUE"""),"")</f>
        <v/>
      </c>
      <c r="R9264" s="21" t="str">
        <f>IFERROR(__xludf.DUMMYFUNCTION("""COMPUTED_VALUE"""),"https://drive.google.com/file/d/1L-r4iuCwPJwI8ZEdZwd1wrxcXY9DeYli/view?usp=drivesdk")</f>
        <v>https://drive.google.com/file/d/1L-r4iuCwPJwI8ZEdZwd1wrxcXY9DeYli/view?usp=drivesdk</v>
      </c>
    </row>
    <row r="9265">
      <c r="A9265" s="15">
        <f>IFERROR(__xludf.DUMMYFUNCTION("""COMPUTED_VALUE"""),45261.0)</f>
        <v>45261</v>
      </c>
      <c r="B9265" s="16" t="str">
        <f>IFERROR(__xludf.DUMMYFUNCTION("""COMPUTED_VALUE"""),"Lina Gaona")</f>
        <v>Lina Gaona</v>
      </c>
      <c r="C9265" s="15" t="str">
        <f>IFERROR(__xludf.DUMMYFUNCTION("""COMPUTED_VALUE"""),"CÚCUTA")</f>
        <v>CÚCUTA</v>
      </c>
      <c r="D9265" s="15" t="str">
        <f>IFERROR(__xludf.DUMMYFUNCTION("""COMPUTED_VALUE"""),"BOGOTÁ")</f>
        <v>BOGOTÁ</v>
      </c>
      <c r="E9265" s="15" t="str">
        <f>IFERROR(__xludf.DUMMYFUNCTION("""COMPUTED_VALUE"""),"LINA PAOLA RAMIREZ GOMEZ - EVA MAZZITA")</f>
        <v>LINA PAOLA RAMIREZ GOMEZ - EVA MAZZITA</v>
      </c>
      <c r="F9265" s="17" t="str">
        <f>IFERROR(__xludf.DUMMYFUNCTION("""COMPUTED_VALUE"""),"Av 2E # 15A -17 Caobos / Caobos")</f>
        <v>Av 2E # 15A -17 Caobos / Caobos</v>
      </c>
      <c r="G9265" s="15" t="str">
        <f>IFERROR(__xludf.DUMMYFUNCTION("""COMPUTED_VALUE"""),"DACCY KARINA LOPEZ MORENO")</f>
        <v>DACCY KARINA LOPEZ MORENO</v>
      </c>
      <c r="H9265" s="16">
        <f>IFERROR(__xludf.DUMMYFUNCTION("""COMPUTED_VALUE"""),17852.0)</f>
        <v>17852</v>
      </c>
      <c r="I9265" s="17"/>
      <c r="J9265" s="17"/>
      <c r="K9265" s="17"/>
      <c r="L9265" s="17">
        <f>IFERROR(__xludf.DUMMYFUNCTION("""COMPUTED_VALUE"""),3.208615379E9)</f>
        <v>3208615379</v>
      </c>
      <c r="M9265" s="17"/>
      <c r="N9265" s="17"/>
      <c r="O9265" s="17"/>
      <c r="P9265" s="17" t="b">
        <f>IFERROR(__xludf.DUMMYFUNCTION("""COMPUTED_VALUE"""),FALSE)</f>
        <v>0</v>
      </c>
      <c r="Q9265" s="20" t="str">
        <f>IFERROR(__xludf.DUMMYFUNCTION("""COMPUTED_VALUE"""),"")</f>
        <v/>
      </c>
      <c r="R9265" s="21" t="str">
        <f>IFERROR(__xludf.DUMMYFUNCTION("""COMPUTED_VALUE"""),"https://drive.google.com/file/d/1duDrDPYCdi1QBtZtPER2QMpdmkxqVNAZ/view?usp=drivesdk")</f>
        <v>https://drive.google.com/file/d/1duDrDPYCdi1QBtZtPER2QMpdmkxqVNAZ/view?usp=drivesdk</v>
      </c>
    </row>
    <row r="9266">
      <c r="A9266" s="15">
        <f>IFERROR(__xludf.DUMMYFUNCTION("""COMPUTED_VALUE"""),45261.0)</f>
        <v>45261</v>
      </c>
      <c r="B9266" s="16" t="str">
        <f>IFERROR(__xludf.DUMMYFUNCTION("""COMPUTED_VALUE"""),"Lina Gaona")</f>
        <v>Lina Gaona</v>
      </c>
      <c r="C9266" s="15" t="str">
        <f>IFERROR(__xludf.DUMMYFUNCTION("""COMPUTED_VALUE"""),"CÚCUTA")</f>
        <v>CÚCUTA</v>
      </c>
      <c r="D9266" s="15" t="str">
        <f>IFERROR(__xludf.DUMMYFUNCTION("""COMPUTED_VALUE"""),"ENVIGADO")</f>
        <v>ENVIGADO</v>
      </c>
      <c r="E9266" s="15" t="str">
        <f>IFERROR(__xludf.DUMMYFUNCTION("""COMPUTED_VALUE"""),"JUAN CAMILO CORDOBA")</f>
        <v>JUAN CAMILO CORDOBA</v>
      </c>
      <c r="F9266" s="17" t="str">
        <f>IFERROR(__xludf.DUMMYFUNCTION("""COMPUTED_VALUE"""),"Avenida 2e con 14a-32")</f>
        <v>Avenida 2e con 14a-32</v>
      </c>
      <c r="G9266" s="15" t="str">
        <f>IFERROR(__xludf.DUMMYFUNCTION("""COMPUTED_VALUE"""),"Jengibre")</f>
        <v>Jengibre</v>
      </c>
      <c r="H9266" s="16">
        <f>IFERROR(__xludf.DUMMYFUNCTION("""COMPUTED_VALUE"""),17825.0)</f>
        <v>17825</v>
      </c>
      <c r="I9266" s="17"/>
      <c r="J9266" s="17"/>
      <c r="K9266" s="17"/>
      <c r="L9266" s="17">
        <f>IFERROR(__xludf.DUMMYFUNCTION("""COMPUTED_VALUE"""),3.005618715E9)</f>
        <v>3005618715</v>
      </c>
      <c r="M9266" s="17"/>
      <c r="N9266" s="17"/>
      <c r="O9266" s="17"/>
      <c r="P9266" s="17" t="b">
        <f>IFERROR(__xludf.DUMMYFUNCTION("""COMPUTED_VALUE"""),FALSE)</f>
        <v>0</v>
      </c>
      <c r="Q9266" s="20" t="str">
        <f>IFERROR(__xludf.DUMMYFUNCTION("""COMPUTED_VALUE"""),"")</f>
        <v/>
      </c>
      <c r="R9266" s="21" t="str">
        <f>IFERROR(__xludf.DUMMYFUNCTION("""COMPUTED_VALUE"""),"https://drive.google.com/file/d/1npvPAawe4dS8eZ_c_UzYRnYCuS9WEhxs/view?usp=drivesdk")</f>
        <v>https://drive.google.com/file/d/1npvPAawe4dS8eZ_c_UzYRnYCuS9WEhxs/view?usp=drivesdk</v>
      </c>
    </row>
    <row r="9267">
      <c r="A9267" s="15">
        <f>IFERROR(__xludf.DUMMYFUNCTION("""COMPUTED_VALUE"""),45261.0)</f>
        <v>45261</v>
      </c>
      <c r="B9267" s="16" t="str">
        <f>IFERROR(__xludf.DUMMYFUNCTION("""COMPUTED_VALUE"""),"Lina Gaona")</f>
        <v>Lina Gaona</v>
      </c>
      <c r="C9267" s="15" t="str">
        <f>IFERROR(__xludf.DUMMYFUNCTION("""COMPUTED_VALUE"""),"SANTA MARTA")</f>
        <v>SANTA MARTA</v>
      </c>
      <c r="D9267" s="15" t="str">
        <f>IFERROR(__xludf.DUMMYFUNCTION("""COMPUTED_VALUE"""),"MEDELLÍN")</f>
        <v>MEDELLÍN</v>
      </c>
      <c r="E9267" s="15" t="str">
        <f>IFERROR(__xludf.DUMMYFUNCTION("""COMPUTED_VALUE"""),"HELADERIA MAGDA")</f>
        <v>HELADERIA MAGDA</v>
      </c>
      <c r="F9267" s="17" t="str">
        <f>IFERROR(__xludf.DUMMYFUNCTION("""COMPUTED_VALUE"""),"CALLE 22 #6-82 / PLAZUELA 22 LOCAL 27")</f>
        <v>CALLE 22 #6-82 / PLAZUELA 22 LOCAL 27</v>
      </c>
      <c r="G9267" s="15" t="str">
        <f>IFERROR(__xludf.DUMMYFUNCTION("""COMPUTED_VALUE"""),"HELADERIA MAGDA SANTA MARTA")</f>
        <v>HELADERIA MAGDA SANTA MARTA</v>
      </c>
      <c r="H9267" s="16">
        <f>IFERROR(__xludf.DUMMYFUNCTION("""COMPUTED_VALUE"""),17823.0)</f>
        <v>17823</v>
      </c>
      <c r="I9267" s="17"/>
      <c r="J9267" s="17"/>
      <c r="K9267" s="17"/>
      <c r="L9267" s="17">
        <f>IFERROR(__xludf.DUMMYFUNCTION("""COMPUTED_VALUE"""),3.054269156E9)</f>
        <v>3054269156</v>
      </c>
      <c r="M9267" s="17"/>
      <c r="N9267" s="17"/>
      <c r="O9267" s="17"/>
      <c r="P9267" s="17" t="b">
        <f>IFERROR(__xludf.DUMMYFUNCTION("""COMPUTED_VALUE"""),FALSE)</f>
        <v>0</v>
      </c>
      <c r="Q9267" s="20" t="str">
        <f>IFERROR(__xludf.DUMMYFUNCTION("""COMPUTED_VALUE"""),"")</f>
        <v/>
      </c>
      <c r="R9267" s="21" t="str">
        <f>IFERROR(__xludf.DUMMYFUNCTION("""COMPUTED_VALUE"""),"https://drive.google.com/file/d/1pzrHOXCq77fNzG34UowSr2NWiLV_rql5/view?usp=drivesdk")</f>
        <v>https://drive.google.com/file/d/1pzrHOXCq77fNzG34UowSr2NWiLV_rql5/view?usp=drivesdk</v>
      </c>
    </row>
    <row r="9268">
      <c r="A9268" s="15">
        <f>IFERROR(__xludf.DUMMYFUNCTION("""COMPUTED_VALUE"""),45261.0)</f>
        <v>45261</v>
      </c>
      <c r="B9268" s="16" t="str">
        <f>IFERROR(__xludf.DUMMYFUNCTION("""COMPUTED_VALUE"""),"Lina Gaona")</f>
        <v>Lina Gaona</v>
      </c>
      <c r="C9268" s="15" t="str">
        <f>IFERROR(__xludf.DUMMYFUNCTION("""COMPUTED_VALUE"""),"SANTA MARTA")</f>
        <v>SANTA MARTA</v>
      </c>
      <c r="D9268" s="15" t="str">
        <f>IFERROR(__xludf.DUMMYFUNCTION("""COMPUTED_VALUE"""),"MEDELLÍN")</f>
        <v>MEDELLÍN</v>
      </c>
      <c r="E9268" s="15" t="str">
        <f>IFERROR(__xludf.DUMMYFUNCTION("""COMPUTED_VALUE"""),"Moloso S.A.S")</f>
        <v>Moloso S.A.S</v>
      </c>
      <c r="F9268" s="17" t="str">
        <f>IFERROR(__xludf.DUMMYFUNCTION("""COMPUTED_VALUE"""),"CR 2A 27 64 / ED CRISTAL AP 510")</f>
        <v>CR 2A 27 64 / ED CRISTAL AP 510</v>
      </c>
      <c r="G9268" s="15" t="str">
        <f>IFERROR(__xludf.DUMMYFUNCTION("""COMPUTED_VALUE"""),"MARIA  ISABEL GONZÁLEZ VALENCIA")</f>
        <v>MARIA  ISABEL GONZÁLEZ VALENCIA</v>
      </c>
      <c r="H9268" s="16">
        <f>IFERROR(__xludf.DUMMYFUNCTION("""COMPUTED_VALUE"""),17792.0)</f>
        <v>17792</v>
      </c>
      <c r="I9268" s="17"/>
      <c r="J9268" s="17"/>
      <c r="K9268" s="17"/>
      <c r="L9268" s="17"/>
      <c r="M9268" s="17"/>
      <c r="N9268" s="17"/>
      <c r="O9268" s="17"/>
      <c r="P9268" s="17" t="b">
        <f>IFERROR(__xludf.DUMMYFUNCTION("""COMPUTED_VALUE"""),FALSE)</f>
        <v>0</v>
      </c>
      <c r="Q9268" s="20" t="str">
        <f>IFERROR(__xludf.DUMMYFUNCTION("""COMPUTED_VALUE"""),"")</f>
        <v/>
      </c>
      <c r="R9268" s="22" t="str">
        <f>IFERROR(__xludf.DUMMYFUNCTION("""COMPUTED_VALUE"""),"")</f>
        <v/>
      </c>
    </row>
    <row r="9269">
      <c r="A9269" s="17" t="str">
        <f>IFERROR(__xludf.DUMMYFUNCTION("""COMPUTED_VALUE"""),"")</f>
        <v/>
      </c>
      <c r="B9269" s="17" t="str">
        <f>IFERROR(__xludf.DUMMYFUNCTION("""COMPUTED_VALUE"""),"")</f>
        <v/>
      </c>
      <c r="C9269" s="17" t="str">
        <f>IFERROR(__xludf.DUMMYFUNCTION("""COMPUTED_VALUE"""),"")</f>
        <v/>
      </c>
      <c r="D9269" s="17" t="str">
        <f>IFERROR(__xludf.DUMMYFUNCTION("""COMPUTED_VALUE"""),"")</f>
        <v/>
      </c>
      <c r="E9269" s="17" t="str">
        <f>IFERROR(__xludf.DUMMYFUNCTION("""COMPUTED_VALUE"""),"")</f>
        <v/>
      </c>
      <c r="F9269" s="17" t="str">
        <f>IFERROR(__xludf.DUMMYFUNCTION("""COMPUTED_VALUE"""),"")</f>
        <v/>
      </c>
      <c r="G9269" s="17" t="str">
        <f>IFERROR(__xludf.DUMMYFUNCTION("""COMPUTED_VALUE"""),"")</f>
        <v/>
      </c>
      <c r="H9269" s="17" t="str">
        <f>IFERROR(__xludf.DUMMYFUNCTION("""COMPUTED_VALUE"""),"")</f>
        <v/>
      </c>
      <c r="I9269" s="17" t="str">
        <f>IFERROR(__xludf.DUMMYFUNCTION("""COMPUTED_VALUE"""),"")</f>
        <v/>
      </c>
      <c r="J9269" s="17" t="str">
        <f>IFERROR(__xludf.DUMMYFUNCTION("""COMPUTED_VALUE"""),"")</f>
        <v/>
      </c>
      <c r="K9269" s="17" t="str">
        <f>IFERROR(__xludf.DUMMYFUNCTION("""COMPUTED_VALUE"""),"")</f>
        <v/>
      </c>
      <c r="L9269" s="17" t="str">
        <f>IFERROR(__xludf.DUMMYFUNCTION("""COMPUTED_VALUE"""),"")</f>
        <v/>
      </c>
      <c r="M9269" s="17" t="str">
        <f>IFERROR(__xludf.DUMMYFUNCTION("""COMPUTED_VALUE"""),"")</f>
        <v/>
      </c>
      <c r="N9269" s="17" t="str">
        <f>IFERROR(__xludf.DUMMYFUNCTION("""COMPUTED_VALUE"""),"")</f>
        <v/>
      </c>
      <c r="O9269" s="17" t="str">
        <f>IFERROR(__xludf.DUMMYFUNCTION("""COMPUTED_VALUE"""),"")</f>
        <v/>
      </c>
      <c r="P9269" s="17" t="str">
        <f>IFERROR(__xludf.DUMMYFUNCTION("""COMPUTED_VALUE"""),"")</f>
        <v/>
      </c>
      <c r="Q9269" s="17" t="str">
        <f>IFERROR(__xludf.DUMMYFUNCTION("""COMPUTED_VALUE"""),"")</f>
        <v/>
      </c>
      <c r="R9269" s="17" t="str">
        <f>IFERROR(__xludf.DUMMYFUNCTION("""COMPUTED_VALUE"""),"")</f>
        <v/>
      </c>
    </row>
    <row r="9270">
      <c r="A9270" s="15">
        <f>IFERROR(__xludf.DUMMYFUNCTION("""COMPUTED_VALUE"""),45261.0)</f>
        <v>45261</v>
      </c>
      <c r="B9270" s="16" t="str">
        <f>IFERROR(__xludf.DUMMYFUNCTION("""COMPUTED_VALUE"""),"Orlando Urdaneta Rincon ")</f>
        <v>Orlando Urdaneta Rincon </v>
      </c>
      <c r="C9270" s="15" t="str">
        <f>IFERROR(__xludf.DUMMYFUNCTION("""COMPUTED_VALUE"""),"BOGOTÁ")</f>
        <v>BOGOTÁ</v>
      </c>
      <c r="D9270" s="15" t="str">
        <f>IFERROR(__xludf.DUMMYFUNCTION("""COMPUTED_VALUE"""),"MEDELLÍN")</f>
        <v>MEDELLÍN</v>
      </c>
      <c r="E9270" s="15" t="str">
        <f>IFERROR(__xludf.DUMMYFUNCTION("""COMPUTED_VALUE"""),"Puro Verde")</f>
        <v>Puro Verde</v>
      </c>
      <c r="F9270" s="17" t="str">
        <f>IFERROR(__xludf.DUMMYFUNCTION("""COMPUTED_VALUE"""),"CRA 16A #77-23 / LOCAL 4 / BARRIO EL LAGO")</f>
        <v>CRA 16A #77-23 / LOCAL 4 / BARRIO EL LAGO</v>
      </c>
      <c r="G9270" s="15" t="str">
        <f>IFERROR(__xludf.DUMMYFUNCTION("""COMPUTED_VALUE"""),"DANDO CUERDA")</f>
        <v>DANDO CUERDA</v>
      </c>
      <c r="H9270" s="16">
        <f>IFERROR(__xludf.DUMMYFUNCTION("""COMPUTED_VALUE"""),17881.0)</f>
        <v>17881</v>
      </c>
      <c r="I9270" s="18">
        <f>IFERROR(__xludf.DUMMYFUNCTION("""COMPUTED_VALUE"""),45034.0)</f>
        <v>45034</v>
      </c>
      <c r="J9270" s="18" t="str">
        <f>IFERROR(__xludf.DUMMYFUNCTION("""COMPUTED_VALUE"""),"32.2")</f>
        <v>32.2</v>
      </c>
      <c r="K9270" s="18" t="str">
        <f>IFERROR(__xludf.DUMMYFUNCTION("""COMPUTED_VALUE"""),"39.4")</f>
        <v>39.4</v>
      </c>
      <c r="L9270" s="17">
        <f>IFERROR(__xludf.DUMMYFUNCTION("""COMPUTED_VALUE"""),3.163816691E9)</f>
        <v>3163816691</v>
      </c>
      <c r="M9270" s="17"/>
      <c r="N9270" s="17"/>
      <c r="O9270" s="17"/>
      <c r="P9270" s="17" t="b">
        <f>IFERROR(__xludf.DUMMYFUNCTION("""COMPUTED_VALUE"""),FALSE)</f>
        <v>0</v>
      </c>
      <c r="Q9270" s="20" t="str">
        <f>IFERROR(__xludf.DUMMYFUNCTION("""COMPUTED_VALUE"""),"")</f>
        <v/>
      </c>
      <c r="R9270" s="21" t="str">
        <f>IFERROR(__xludf.DUMMYFUNCTION("""COMPUTED_VALUE"""),"https://drive.google.com/file/d/1OuZ7-Hw1fdvF_KgPIgdobmd3XNK2QGxO/view?usp=drivesdk")</f>
        <v>https://drive.google.com/file/d/1OuZ7-Hw1fdvF_KgPIgdobmd3XNK2QGxO/view?usp=drivesdk</v>
      </c>
    </row>
    <row r="9271">
      <c r="A9271" s="15">
        <f>IFERROR(__xludf.DUMMYFUNCTION("""COMPUTED_VALUE"""),45261.0)</f>
        <v>45261</v>
      </c>
      <c r="B9271" s="16" t="str">
        <f>IFERROR(__xludf.DUMMYFUNCTION("""COMPUTED_VALUE"""),"Orlando Urdaneta Rincon ")</f>
        <v>Orlando Urdaneta Rincon </v>
      </c>
      <c r="C9271" s="15" t="str">
        <f>IFERROR(__xludf.DUMMYFUNCTION("""COMPUTED_VALUE"""),"CHÍA")</f>
        <v>CHÍA</v>
      </c>
      <c r="D9271" s="15" t="str">
        <f>IFERROR(__xludf.DUMMYFUNCTION("""COMPUTED_VALUE"""),"ENVIGADO")</f>
        <v>ENVIGADO</v>
      </c>
      <c r="E9271" s="15" t="str">
        <f>IFERROR(__xludf.DUMMYFUNCTION("""COMPUTED_VALUE"""),"RAMBLA")</f>
        <v>RAMBLA</v>
      </c>
      <c r="F9271" s="17" t="str">
        <f>IFERROR(__xludf.DUMMYFUNCTION("""COMPUTED_VALUE"""),"Km 1.5 via Chia Cajica 100 mts antes de Fontanar")</f>
        <v>Km 1.5 via Chia Cajica 100 mts antes de Fontanar</v>
      </c>
      <c r="G9271" s="15" t="str">
        <f>IFERROR(__xludf.DUMMYFUNCTION("""COMPUTED_VALUE"""),"The Choice Natural Market")</f>
        <v>The Choice Natural Market</v>
      </c>
      <c r="H9271" s="16">
        <f>IFERROR(__xludf.DUMMYFUNCTION("""COMPUTED_VALUE"""),17887.0)</f>
        <v>17887</v>
      </c>
      <c r="I9271" s="17"/>
      <c r="J9271" s="17"/>
      <c r="K9271" s="17"/>
      <c r="L9271" s="17">
        <f>IFERROR(__xludf.DUMMYFUNCTION("""COMPUTED_VALUE"""),3.212415592E9)</f>
        <v>3212415592</v>
      </c>
      <c r="M9271" s="17"/>
      <c r="N9271" s="17"/>
      <c r="O9271" s="17"/>
      <c r="P9271" s="17" t="b">
        <f>IFERROR(__xludf.DUMMYFUNCTION("""COMPUTED_VALUE"""),FALSE)</f>
        <v>0</v>
      </c>
      <c r="Q9271" s="20" t="str">
        <f>IFERROR(__xludf.DUMMYFUNCTION("""COMPUTED_VALUE"""),"")</f>
        <v/>
      </c>
      <c r="R9271" s="21" t="str">
        <f>IFERROR(__xludf.DUMMYFUNCTION("""COMPUTED_VALUE"""),"https://drive.google.com/file/d/1s1LhnJzN5aEfzhth4uE0_qd9LvNQ_7Ru/view?usp=drivesdk")</f>
        <v>https://drive.google.com/file/d/1s1LhnJzN5aEfzhth4uE0_qd9LvNQ_7Ru/view?usp=drivesdk</v>
      </c>
    </row>
    <row r="9272">
      <c r="A9272" s="15">
        <f>IFERROR(__xludf.DUMMYFUNCTION("""COMPUTED_VALUE"""),45261.0)</f>
        <v>45261</v>
      </c>
      <c r="B9272" s="16" t="str">
        <f>IFERROR(__xludf.DUMMYFUNCTION("""COMPUTED_VALUE"""),"Orlando Urdaneta Rincon ")</f>
        <v>Orlando Urdaneta Rincon </v>
      </c>
      <c r="C9272" s="15" t="str">
        <f>IFERROR(__xludf.DUMMYFUNCTION("""COMPUTED_VALUE"""),"SANTA MARTA")</f>
        <v>SANTA MARTA</v>
      </c>
      <c r="D9272" s="15" t="str">
        <f>IFERROR(__xludf.DUMMYFUNCTION("""COMPUTED_VALUE"""),"ENVIGADO")</f>
        <v>ENVIGADO</v>
      </c>
      <c r="E9272" s="15" t="str">
        <f>IFERROR(__xludf.DUMMYFUNCTION("""COMPUTED_VALUE"""),"JUAN CAMILO CORDOBA")</f>
        <v>JUAN CAMILO CORDOBA</v>
      </c>
      <c r="F9272" s="17" t="str">
        <f>IFERROR(__xludf.DUMMYFUNCTION("""COMPUTED_VALUE"""),"Carrera 2 # 11A - 23")</f>
        <v>Carrera 2 # 11A - 23</v>
      </c>
      <c r="G9272" s="15" t="str">
        <f>IFERROR(__xludf.DUMMYFUNCTION("""COMPUTED_VALUE"""),"Enjoy Fit Food Market")</f>
        <v>Enjoy Fit Food Market</v>
      </c>
      <c r="H9272" s="16">
        <f>IFERROR(__xludf.DUMMYFUNCTION("""COMPUTED_VALUE"""),17802.0)</f>
        <v>17802</v>
      </c>
      <c r="I9272" s="17"/>
      <c r="J9272" s="17"/>
      <c r="K9272" s="17"/>
      <c r="L9272" s="17">
        <f>IFERROR(__xludf.DUMMYFUNCTION("""COMPUTED_VALUE"""),3.105785099E9)</f>
        <v>3105785099</v>
      </c>
      <c r="M9272" s="17"/>
      <c r="N9272" s="17"/>
      <c r="O9272" s="17"/>
      <c r="P9272" s="17" t="b">
        <f>IFERROR(__xludf.DUMMYFUNCTION("""COMPUTED_VALUE"""),FALSE)</f>
        <v>0</v>
      </c>
      <c r="Q9272" s="20" t="str">
        <f>IFERROR(__xludf.DUMMYFUNCTION("""COMPUTED_VALUE"""),"")</f>
        <v/>
      </c>
      <c r="R9272" s="21" t="str">
        <f>IFERROR(__xludf.DUMMYFUNCTION("""COMPUTED_VALUE"""),"https://drive.google.com/file/d/1TSayY_oWRU46-IltpJA9B4bpww3GrS-c/view?usp=drivesdk")</f>
        <v>https://drive.google.com/file/d/1TSayY_oWRU46-IltpJA9B4bpww3GrS-c/view?usp=drivesdk</v>
      </c>
    </row>
    <row r="9273">
      <c r="A9273" s="17" t="str">
        <f>IFERROR(__xludf.DUMMYFUNCTION("""COMPUTED_VALUE"""),"")</f>
        <v/>
      </c>
      <c r="B9273" s="17" t="str">
        <f>IFERROR(__xludf.DUMMYFUNCTION("""COMPUTED_VALUE"""),"")</f>
        <v/>
      </c>
      <c r="C9273" s="17" t="str">
        <f>IFERROR(__xludf.DUMMYFUNCTION("""COMPUTED_VALUE"""),"")</f>
        <v/>
      </c>
      <c r="D9273" s="17" t="str">
        <f>IFERROR(__xludf.DUMMYFUNCTION("""COMPUTED_VALUE"""),"")</f>
        <v/>
      </c>
      <c r="E9273" s="17" t="str">
        <f>IFERROR(__xludf.DUMMYFUNCTION("""COMPUTED_VALUE"""),"")</f>
        <v/>
      </c>
      <c r="F9273" s="17" t="str">
        <f>IFERROR(__xludf.DUMMYFUNCTION("""COMPUTED_VALUE"""),"")</f>
        <v/>
      </c>
      <c r="G9273" s="17" t="str">
        <f>IFERROR(__xludf.DUMMYFUNCTION("""COMPUTED_VALUE"""),"")</f>
        <v/>
      </c>
      <c r="H9273" s="17" t="str">
        <f>IFERROR(__xludf.DUMMYFUNCTION("""COMPUTED_VALUE"""),"")</f>
        <v/>
      </c>
      <c r="I9273" s="17" t="str">
        <f>IFERROR(__xludf.DUMMYFUNCTION("""COMPUTED_VALUE"""),"")</f>
        <v/>
      </c>
      <c r="J9273" s="17" t="str">
        <f>IFERROR(__xludf.DUMMYFUNCTION("""COMPUTED_VALUE"""),"")</f>
        <v/>
      </c>
      <c r="K9273" s="17" t="str">
        <f>IFERROR(__xludf.DUMMYFUNCTION("""COMPUTED_VALUE"""),"")</f>
        <v/>
      </c>
      <c r="L9273" s="17" t="str">
        <f>IFERROR(__xludf.DUMMYFUNCTION("""COMPUTED_VALUE"""),"")</f>
        <v/>
      </c>
      <c r="M9273" s="17" t="str">
        <f>IFERROR(__xludf.DUMMYFUNCTION("""COMPUTED_VALUE"""),"")</f>
        <v/>
      </c>
      <c r="N9273" s="17" t="str">
        <f>IFERROR(__xludf.DUMMYFUNCTION("""COMPUTED_VALUE"""),"")</f>
        <v/>
      </c>
      <c r="O9273" s="17" t="str">
        <f>IFERROR(__xludf.DUMMYFUNCTION("""COMPUTED_VALUE"""),"")</f>
        <v/>
      </c>
      <c r="P9273" s="17" t="str">
        <f>IFERROR(__xludf.DUMMYFUNCTION("""COMPUTED_VALUE"""),"")</f>
        <v/>
      </c>
      <c r="Q9273" s="17" t="str">
        <f>IFERROR(__xludf.DUMMYFUNCTION("""COMPUTED_VALUE"""),"")</f>
        <v/>
      </c>
      <c r="R9273" s="17" t="str">
        <f>IFERROR(__xludf.DUMMYFUNCTION("""COMPUTED_VALUE"""),"")</f>
        <v/>
      </c>
    </row>
    <row r="9274">
      <c r="A9274" s="15">
        <f>IFERROR(__xludf.DUMMYFUNCTION("""COMPUTED_VALUE"""),45262.0)</f>
        <v>45262</v>
      </c>
      <c r="B9274" s="16" t="str">
        <f>IFERROR(__xludf.DUMMYFUNCTION("""COMPUTED_VALUE"""),"Envia")</f>
        <v>Envia</v>
      </c>
      <c r="C9274" s="15" t="str">
        <f>IFERROR(__xludf.DUMMYFUNCTION("""COMPUTED_VALUE"""),"BOGOTÁ")</f>
        <v>BOGOTÁ</v>
      </c>
      <c r="D9274" s="15" t="str">
        <f>IFERROR(__xludf.DUMMYFUNCTION("""COMPUTED_VALUE"""),"MEDELLÍN")</f>
        <v>MEDELLÍN</v>
      </c>
      <c r="E9274" s="15" t="str">
        <f>IFERROR(__xludf.DUMMYFUNCTION("""COMPUTED_VALUE"""),"Puro Verde")</f>
        <v>Puro Verde</v>
      </c>
      <c r="F9274" s="17" t="str">
        <f>IFERROR(__xludf.DUMMYFUNCTION("""COMPUTED_VALUE"""),"CRA 16A # 77-23.  / LOCAL 4 / BARRIO EL CHICO")</f>
        <v>CRA 16A # 77-23.  / LOCAL 4 / BARRIO EL CHICO</v>
      </c>
      <c r="G9274" s="15" t="str">
        <f>IFERROR(__xludf.DUMMYFUNCTION("""COMPUTED_VALUE"""),"DANDO CUERDA")</f>
        <v>DANDO CUERDA</v>
      </c>
      <c r="H9274" s="16">
        <f>IFERROR(__xludf.DUMMYFUNCTION("""COMPUTED_VALUE"""),17875.0)</f>
        <v>17875</v>
      </c>
      <c r="I9274" s="18">
        <f>IFERROR(__xludf.DUMMYFUNCTION("""COMPUTED_VALUE"""),55.0)</f>
        <v>55</v>
      </c>
      <c r="J9274" s="18">
        <f>IFERROR(__xludf.DUMMYFUNCTION("""COMPUTED_VALUE"""),45.0)</f>
        <v>45</v>
      </c>
      <c r="K9274" s="18" t="str">
        <f>IFERROR(__xludf.DUMMYFUNCTION("""COMPUTED_VALUE"""),"52.5")</f>
        <v>52.5</v>
      </c>
      <c r="L9274" s="17">
        <f>IFERROR(__xludf.DUMMYFUNCTION("""COMPUTED_VALUE"""),3.163816691E9)</f>
        <v>3163816691</v>
      </c>
      <c r="M9274" s="17"/>
      <c r="N9274" s="17"/>
      <c r="O9274" s="17"/>
      <c r="P9274" s="17" t="b">
        <f>IFERROR(__xludf.DUMMYFUNCTION("""COMPUTED_VALUE"""),FALSE)</f>
        <v>0</v>
      </c>
      <c r="Q9274" s="20" t="str">
        <f>IFERROR(__xludf.DUMMYFUNCTION("""COMPUTED_VALUE"""),"")</f>
        <v/>
      </c>
      <c r="R9274" s="21" t="str">
        <f>IFERROR(__xludf.DUMMYFUNCTION("""COMPUTED_VALUE"""),"https://drive.google.com/file/d/1NHl-Hf1t35QhT3AwfFlp2XHjxcFNTvWW/view?usp=drivesdk")</f>
        <v>https://drive.google.com/file/d/1NHl-Hf1t35QhT3AwfFlp2XHjxcFNTvWW/view?usp=drivesdk</v>
      </c>
    </row>
    <row r="9275">
      <c r="A9275" s="17" t="str">
        <f>IFERROR(__xludf.DUMMYFUNCTION("""COMPUTED_VALUE"""),"")</f>
        <v/>
      </c>
      <c r="B9275" s="17" t="str">
        <f>IFERROR(__xludf.DUMMYFUNCTION("""COMPUTED_VALUE"""),"")</f>
        <v/>
      </c>
      <c r="C9275" s="17" t="str">
        <f>IFERROR(__xludf.DUMMYFUNCTION("""COMPUTED_VALUE"""),"")</f>
        <v/>
      </c>
      <c r="D9275" s="17" t="str">
        <f>IFERROR(__xludf.DUMMYFUNCTION("""COMPUTED_VALUE"""),"")</f>
        <v/>
      </c>
      <c r="E9275" s="17" t="str">
        <f>IFERROR(__xludf.DUMMYFUNCTION("""COMPUTED_VALUE"""),"")</f>
        <v/>
      </c>
      <c r="F9275" s="17" t="str">
        <f>IFERROR(__xludf.DUMMYFUNCTION("""COMPUTED_VALUE"""),"")</f>
        <v/>
      </c>
      <c r="G9275" s="17" t="str">
        <f>IFERROR(__xludf.DUMMYFUNCTION("""COMPUTED_VALUE"""),"")</f>
        <v/>
      </c>
      <c r="H9275" s="17" t="str">
        <f>IFERROR(__xludf.DUMMYFUNCTION("""COMPUTED_VALUE"""),"")</f>
        <v/>
      </c>
      <c r="I9275" s="17" t="str">
        <f>IFERROR(__xludf.DUMMYFUNCTION("""COMPUTED_VALUE"""),"")</f>
        <v/>
      </c>
      <c r="J9275" s="17" t="str">
        <f>IFERROR(__xludf.DUMMYFUNCTION("""COMPUTED_VALUE"""),"")</f>
        <v/>
      </c>
      <c r="K9275" s="17" t="str">
        <f>IFERROR(__xludf.DUMMYFUNCTION("""COMPUTED_VALUE"""),"")</f>
        <v/>
      </c>
      <c r="L9275" s="17" t="str">
        <f>IFERROR(__xludf.DUMMYFUNCTION("""COMPUTED_VALUE"""),"")</f>
        <v/>
      </c>
      <c r="M9275" s="17" t="str">
        <f>IFERROR(__xludf.DUMMYFUNCTION("""COMPUTED_VALUE"""),"")</f>
        <v/>
      </c>
      <c r="N9275" s="17" t="str">
        <f>IFERROR(__xludf.DUMMYFUNCTION("""COMPUTED_VALUE"""),"")</f>
        <v/>
      </c>
      <c r="O9275" s="17" t="str">
        <f>IFERROR(__xludf.DUMMYFUNCTION("""COMPUTED_VALUE"""),"")</f>
        <v/>
      </c>
      <c r="P9275" s="17" t="str">
        <f>IFERROR(__xludf.DUMMYFUNCTION("""COMPUTED_VALUE"""),"")</f>
        <v/>
      </c>
      <c r="Q9275" s="17" t="str">
        <f>IFERROR(__xludf.DUMMYFUNCTION("""COMPUTED_VALUE"""),"")</f>
        <v/>
      </c>
      <c r="R9275" s="17" t="str">
        <f>IFERROR(__xludf.DUMMYFUNCTION("""COMPUTED_VALUE"""),"")</f>
        <v/>
      </c>
    </row>
    <row r="9276">
      <c r="A9276" s="15">
        <f>IFERROR(__xludf.DUMMYFUNCTION("""COMPUTED_VALUE"""),45264.0)</f>
        <v>45264</v>
      </c>
      <c r="B9276" s="16" t="str">
        <f>IFERROR(__xludf.DUMMYFUNCTION("""COMPUTED_VALUE"""),"Kevin Andrés puerta Jaramillo")</f>
        <v>Kevin Andrés puerta Jaramillo</v>
      </c>
      <c r="C9276" s="15" t="str">
        <f>IFERROR(__xludf.DUMMYFUNCTION("""COMPUTED_VALUE"""),"BOGOTÁ")</f>
        <v>BOGOTÁ</v>
      </c>
      <c r="D9276" s="15" t="str">
        <f>IFERROR(__xludf.DUMMYFUNCTION("""COMPUTED_VALUE"""),"BUCARAMANGA")</f>
        <v>BUCARAMANGA</v>
      </c>
      <c r="E9276" s="15" t="str">
        <f>IFERROR(__xludf.DUMMYFUNCTION("""COMPUTED_VALUE"""),"Yo Como Solito")</f>
        <v>Yo Como Solito</v>
      </c>
      <c r="F9276" s="17" t="str">
        <f>IFERROR(__xludf.DUMMYFUNCTION("""COMPUTED_VALUE"""),"CALLE 67B SUR # 13-60 APTO 402 TORRE 4 CONJUNTO RESIDENCIAL ALTAVISTA DEL PORTAL  / CALLE 67B SUR # 13-60 APTO 402 TORRE 4 CONJUNTO RESIDENCIAL ALTAVISTA DEL PORTAL / CALLE 67B SUR # 13-60 APTO 402 TORRE 4 CONJUNTO RESIDENCIAL ALTAVISTA DEL PORTAL")</f>
        <v>CALLE 67B SUR # 13-60 APTO 402 TORRE 4 CONJUNTO RESIDENCIAL ALTAVISTA DEL PORTAL  / CALLE 67B SUR # 13-60 APTO 402 TORRE 4 CONJUNTO RESIDENCIAL ALTAVISTA DEL PORTAL / CALLE 67B SUR # 13-60 APTO 402 TORRE 4 CONJUNTO RESIDENCIAL ALTAVISTA DEL PORTAL</v>
      </c>
      <c r="G9276" s="15" t="str">
        <f>IFERROR(__xludf.DUMMYFUNCTION("""COMPUTED_VALUE"""),"JOHANNA SERRANO")</f>
        <v>JOHANNA SERRANO</v>
      </c>
      <c r="H9276" s="16">
        <f>IFERROR(__xludf.DUMMYFUNCTION("""COMPUTED_VALUE"""),17871.0)</f>
        <v>17871</v>
      </c>
      <c r="I9276" s="18">
        <f>IFERROR(__xludf.DUMMYFUNCTION("""COMPUTED_VALUE"""),14.0)</f>
        <v>14</v>
      </c>
      <c r="J9276" s="18">
        <f>IFERROR(__xludf.DUMMYFUNCTION("""COMPUTED_VALUE"""),32.0)</f>
        <v>32</v>
      </c>
      <c r="K9276" s="18">
        <f>IFERROR(__xludf.DUMMYFUNCTION("""COMPUTED_VALUE"""),36.0)</f>
        <v>36</v>
      </c>
      <c r="L9276" s="17">
        <f>IFERROR(__xludf.DUMMYFUNCTION("""COMPUTED_VALUE"""),3.214195306E9)</f>
        <v>3214195306</v>
      </c>
      <c r="M9276" s="17"/>
      <c r="N9276" s="17"/>
      <c r="O9276" s="17"/>
      <c r="P9276" s="17" t="b">
        <f>IFERROR(__xludf.DUMMYFUNCTION("""COMPUTED_VALUE"""),FALSE)</f>
        <v>0</v>
      </c>
      <c r="Q9276" s="20" t="str">
        <f>IFERROR(__xludf.DUMMYFUNCTION("""COMPUTED_VALUE"""),"")</f>
        <v/>
      </c>
      <c r="R9276" s="21" t="str">
        <f>IFERROR(__xludf.DUMMYFUNCTION("""COMPUTED_VALUE"""),"https://drive.google.com/file/d/1wNLKfZJxyhdZ1ZDXuapWlI-Y-N01ubvb/view?usp=drivesdk")</f>
        <v>https://drive.google.com/file/d/1wNLKfZJxyhdZ1ZDXuapWlI-Y-N01ubvb/view?usp=drivesdk</v>
      </c>
    </row>
    <row r="9277">
      <c r="A9277" s="17" t="str">
        <f>IFERROR(__xludf.DUMMYFUNCTION("""COMPUTED_VALUE"""),"")</f>
        <v/>
      </c>
      <c r="B9277" s="17" t="str">
        <f>IFERROR(__xludf.DUMMYFUNCTION("""COMPUTED_VALUE"""),"")</f>
        <v/>
      </c>
      <c r="C9277" s="17" t="str">
        <f>IFERROR(__xludf.DUMMYFUNCTION("""COMPUTED_VALUE"""),"")</f>
        <v/>
      </c>
      <c r="D9277" s="17" t="str">
        <f>IFERROR(__xludf.DUMMYFUNCTION("""COMPUTED_VALUE"""),"")</f>
        <v/>
      </c>
      <c r="E9277" s="17" t="str">
        <f>IFERROR(__xludf.DUMMYFUNCTION("""COMPUTED_VALUE"""),"")</f>
        <v/>
      </c>
      <c r="F9277" s="17" t="str">
        <f>IFERROR(__xludf.DUMMYFUNCTION("""COMPUTED_VALUE"""),"")</f>
        <v/>
      </c>
      <c r="G9277" s="17" t="str">
        <f>IFERROR(__xludf.DUMMYFUNCTION("""COMPUTED_VALUE"""),"")</f>
        <v/>
      </c>
      <c r="H9277" s="17" t="str">
        <f>IFERROR(__xludf.DUMMYFUNCTION("""COMPUTED_VALUE"""),"")</f>
        <v/>
      </c>
      <c r="I9277" s="17" t="str">
        <f>IFERROR(__xludf.DUMMYFUNCTION("""COMPUTED_VALUE"""),"")</f>
        <v/>
      </c>
      <c r="J9277" s="17" t="str">
        <f>IFERROR(__xludf.DUMMYFUNCTION("""COMPUTED_VALUE"""),"")</f>
        <v/>
      </c>
      <c r="K9277" s="17" t="str">
        <f>IFERROR(__xludf.DUMMYFUNCTION("""COMPUTED_VALUE"""),"")</f>
        <v/>
      </c>
      <c r="L9277" s="17" t="str">
        <f>IFERROR(__xludf.DUMMYFUNCTION("""COMPUTED_VALUE"""),"")</f>
        <v/>
      </c>
      <c r="M9277" s="17" t="str">
        <f>IFERROR(__xludf.DUMMYFUNCTION("""COMPUTED_VALUE"""),"")</f>
        <v/>
      </c>
      <c r="N9277" s="17" t="str">
        <f>IFERROR(__xludf.DUMMYFUNCTION("""COMPUTED_VALUE"""),"")</f>
        <v/>
      </c>
      <c r="O9277" s="17" t="str">
        <f>IFERROR(__xludf.DUMMYFUNCTION("""COMPUTED_VALUE"""),"")</f>
        <v/>
      </c>
      <c r="P9277" s="17" t="str">
        <f>IFERROR(__xludf.DUMMYFUNCTION("""COMPUTED_VALUE"""),"")</f>
        <v/>
      </c>
      <c r="Q9277" s="17" t="str">
        <f>IFERROR(__xludf.DUMMYFUNCTION("""COMPUTED_VALUE"""),"")</f>
        <v/>
      </c>
      <c r="R9277" s="17" t="str">
        <f>IFERROR(__xludf.DUMMYFUNCTION("""COMPUTED_VALUE"""),"")</f>
        <v/>
      </c>
    </row>
    <row r="9278">
      <c r="A9278" s="15">
        <f>IFERROR(__xludf.DUMMYFUNCTION("""COMPUTED_VALUE"""),45265.0)</f>
        <v>45265</v>
      </c>
      <c r="B9278" s="16" t="str">
        <f>IFERROR(__xludf.DUMMYFUNCTION("""COMPUTED_VALUE"""),"Carlos Andres Pirachican Numpaque (Mayerli)")</f>
        <v>Carlos Andres Pirachican Numpaque (Mayerli)</v>
      </c>
      <c r="C9278" s="15" t="str">
        <f>IFERROR(__xludf.DUMMYFUNCTION("""COMPUTED_VALUE"""),"SOGAMOSO")</f>
        <v>SOGAMOSO</v>
      </c>
      <c r="D9278" s="15" t="str">
        <f>IFERROR(__xludf.DUMMYFUNCTION("""COMPUTED_VALUE"""),"BOGOTÁ")</f>
        <v>BOGOTÁ</v>
      </c>
      <c r="E9278" s="15" t="str">
        <f>IFERROR(__xludf.DUMMYFUNCTION("""COMPUTED_VALUE"""),"LINA PAOLA RAMIREZ GOMEZ - EVA MAZZITA")</f>
        <v>LINA PAOLA RAMIREZ GOMEZ - EVA MAZZITA</v>
      </c>
      <c r="F9278" s="17" t="str">
        <f>IFERROR(__xludf.DUMMYFUNCTION("""COMPUTED_VALUE"""),"Calle 20 A # 9 - 50 / Apto. 701")</f>
        <v>Calle 20 A # 9 - 50 / Apto. 701</v>
      </c>
      <c r="G9278" s="15" t="str">
        <f>IFERROR(__xludf.DUMMYFUNCTION("""COMPUTED_VALUE"""),"DAYAN MARTINEZ")</f>
        <v>DAYAN MARTINEZ</v>
      </c>
      <c r="H9278" s="16">
        <f>IFERROR(__xludf.DUMMYFUNCTION("""COMPUTED_VALUE"""),17980.0)</f>
        <v>17980</v>
      </c>
      <c r="I9278" s="17"/>
      <c r="J9278" s="17"/>
      <c r="K9278" s="17"/>
      <c r="L9278" s="17">
        <f>IFERROR(__xludf.DUMMYFUNCTION("""COMPUTED_VALUE"""),3.208202919E9)</f>
        <v>3208202919</v>
      </c>
      <c r="M9278" s="17"/>
      <c r="N9278" s="17"/>
      <c r="O9278" s="17"/>
      <c r="P9278" s="17" t="b">
        <f>IFERROR(__xludf.DUMMYFUNCTION("""COMPUTED_VALUE"""),FALSE)</f>
        <v>0</v>
      </c>
      <c r="Q9278" s="20" t="str">
        <f>IFERROR(__xludf.DUMMYFUNCTION("""COMPUTED_VALUE"""),"")</f>
        <v/>
      </c>
      <c r="R9278" s="22" t="str">
        <f>IFERROR(__xludf.DUMMYFUNCTION("""COMPUTED_VALUE"""),"")</f>
        <v/>
      </c>
    </row>
    <row r="9279">
      <c r="A9279" s="15">
        <f>IFERROR(__xludf.DUMMYFUNCTION("""COMPUTED_VALUE"""),45265.0)</f>
        <v>45265</v>
      </c>
      <c r="B9279" s="16" t="str">
        <f>IFERROR(__xludf.DUMMYFUNCTION("""COMPUTED_VALUE"""),"Carlos Andres Pirachican Numpaque (Mayerli)")</f>
        <v>Carlos Andres Pirachican Numpaque (Mayerli)</v>
      </c>
      <c r="C9279" s="15" t="str">
        <f>IFERROR(__xludf.DUMMYFUNCTION("""COMPUTED_VALUE"""),"SOGAMOSO")</f>
        <v>SOGAMOSO</v>
      </c>
      <c r="D9279" s="15" t="str">
        <f>IFERROR(__xludf.DUMMYFUNCTION("""COMPUTED_VALUE"""),"BOGOTÁ")</f>
        <v>BOGOTÁ</v>
      </c>
      <c r="E9279" s="15" t="str">
        <f>IFERROR(__xludf.DUMMYFUNCTION("""COMPUTED_VALUE"""),"LINA PAOLA RAMIREZ GOMEZ - EVA MAZZITA")</f>
        <v>LINA PAOLA RAMIREZ GOMEZ - EVA MAZZITA</v>
      </c>
      <c r="F9279" s="17" t="str">
        <f>IFERROR(__xludf.DUMMYFUNCTION("""COMPUTED_VALUE"""),"CARRERA 15 8-90 / CARRERA 15 8-90")</f>
        <v>CARRERA 15 8-90 / CARRERA 15 8-90</v>
      </c>
      <c r="G9279" s="15" t="str">
        <f>IFERROR(__xludf.DUMMYFUNCTION("""COMPUTED_VALUE"""),"DIANA GERALDINE MONROY SALAMANCA")</f>
        <v>DIANA GERALDINE MONROY SALAMANCA</v>
      </c>
      <c r="H9279" s="16">
        <f>IFERROR(__xludf.DUMMYFUNCTION("""COMPUTED_VALUE"""),17979.0)</f>
        <v>17979</v>
      </c>
      <c r="I9279" s="17"/>
      <c r="J9279" s="17"/>
      <c r="K9279" s="17"/>
      <c r="L9279" s="17">
        <f>IFERROR(__xludf.DUMMYFUNCTION("""COMPUTED_VALUE"""),3.133828821E9)</f>
        <v>3133828821</v>
      </c>
      <c r="M9279" s="17"/>
      <c r="N9279" s="17"/>
      <c r="O9279" s="17"/>
      <c r="P9279" s="17" t="b">
        <f>IFERROR(__xludf.DUMMYFUNCTION("""COMPUTED_VALUE"""),FALSE)</f>
        <v>0</v>
      </c>
      <c r="Q9279" s="20" t="str">
        <f>IFERROR(__xludf.DUMMYFUNCTION("""COMPUTED_VALUE"""),"")</f>
        <v/>
      </c>
      <c r="R9279" s="22" t="str">
        <f>IFERROR(__xludf.DUMMYFUNCTION("""COMPUTED_VALUE"""),"")</f>
        <v/>
      </c>
    </row>
    <row r="9280">
      <c r="A9280" s="17" t="str">
        <f>IFERROR(__xludf.DUMMYFUNCTION("""COMPUTED_VALUE"""),"")</f>
        <v/>
      </c>
      <c r="B9280" s="17" t="str">
        <f>IFERROR(__xludf.DUMMYFUNCTION("""COMPUTED_VALUE"""),"")</f>
        <v/>
      </c>
      <c r="C9280" s="17" t="str">
        <f>IFERROR(__xludf.DUMMYFUNCTION("""COMPUTED_VALUE"""),"")</f>
        <v/>
      </c>
      <c r="D9280" s="17" t="str">
        <f>IFERROR(__xludf.DUMMYFUNCTION("""COMPUTED_VALUE"""),"")</f>
        <v/>
      </c>
      <c r="E9280" s="17" t="str">
        <f>IFERROR(__xludf.DUMMYFUNCTION("""COMPUTED_VALUE"""),"")</f>
        <v/>
      </c>
      <c r="F9280" s="17" t="str">
        <f>IFERROR(__xludf.DUMMYFUNCTION("""COMPUTED_VALUE"""),"")</f>
        <v/>
      </c>
      <c r="G9280" s="17" t="str">
        <f>IFERROR(__xludf.DUMMYFUNCTION("""COMPUTED_VALUE"""),"")</f>
        <v/>
      </c>
      <c r="H9280" s="17" t="str">
        <f>IFERROR(__xludf.DUMMYFUNCTION("""COMPUTED_VALUE"""),"")</f>
        <v/>
      </c>
      <c r="I9280" s="17" t="str">
        <f>IFERROR(__xludf.DUMMYFUNCTION("""COMPUTED_VALUE"""),"")</f>
        <v/>
      </c>
      <c r="J9280" s="17" t="str">
        <f>IFERROR(__xludf.DUMMYFUNCTION("""COMPUTED_VALUE"""),"")</f>
        <v/>
      </c>
      <c r="K9280" s="17" t="str">
        <f>IFERROR(__xludf.DUMMYFUNCTION("""COMPUTED_VALUE"""),"")</f>
        <v/>
      </c>
      <c r="L9280" s="17" t="str">
        <f>IFERROR(__xludf.DUMMYFUNCTION("""COMPUTED_VALUE"""),"")</f>
        <v/>
      </c>
      <c r="M9280" s="17" t="str">
        <f>IFERROR(__xludf.DUMMYFUNCTION("""COMPUTED_VALUE"""),"")</f>
        <v/>
      </c>
      <c r="N9280" s="17" t="str">
        <f>IFERROR(__xludf.DUMMYFUNCTION("""COMPUTED_VALUE"""),"")</f>
        <v/>
      </c>
      <c r="O9280" s="17" t="str">
        <f>IFERROR(__xludf.DUMMYFUNCTION("""COMPUTED_VALUE"""),"")</f>
        <v/>
      </c>
      <c r="P9280" s="17" t="str">
        <f>IFERROR(__xludf.DUMMYFUNCTION("""COMPUTED_VALUE"""),"")</f>
        <v/>
      </c>
      <c r="Q9280" s="17" t="str">
        <f>IFERROR(__xludf.DUMMYFUNCTION("""COMPUTED_VALUE"""),"")</f>
        <v/>
      </c>
      <c r="R9280" s="17" t="str">
        <f>IFERROR(__xludf.DUMMYFUNCTION("""COMPUTED_VALUE"""),"")</f>
        <v/>
      </c>
    </row>
    <row r="9281">
      <c r="A9281" s="15">
        <f>IFERROR(__xludf.DUMMYFUNCTION("""COMPUTED_VALUE"""),45265.0)</f>
        <v>45265</v>
      </c>
      <c r="B9281" s="16" t="str">
        <f>IFERROR(__xludf.DUMMYFUNCTION("""COMPUTED_VALUE"""),"Carlos Manuel Sosa")</f>
        <v>Carlos Manuel Sosa</v>
      </c>
      <c r="C9281" s="15" t="str">
        <f>IFERROR(__xludf.DUMMYFUNCTION("""COMPUTED_VALUE"""),"CARTAGENA")</f>
        <v>CARTAGENA</v>
      </c>
      <c r="D9281" s="15" t="str">
        <f>IFERROR(__xludf.DUMMYFUNCTION("""COMPUTED_VALUE"""),"BOGOTÁ")</f>
        <v>BOGOTÁ</v>
      </c>
      <c r="E9281" s="15" t="str">
        <f>IFERROR(__xludf.DUMMYFUNCTION("""COMPUTED_VALUE"""),"INVERSIONES MOCHI")</f>
        <v>INVERSIONES MOCHI</v>
      </c>
      <c r="F9281" s="17" t="str">
        <f>IFERROR(__xludf.DUMMYFUNCTION("""COMPUTED_VALUE"""),"Cra 11 #39-21 / centro comercial la serrezuela")</f>
        <v>Cra 11 #39-21 / centro comercial la serrezuela</v>
      </c>
      <c r="G9281" s="15" t="str">
        <f>IFERROR(__xludf.DUMMYFUNCTION("""COMPUTED_VALUE"""),"Centro comercial la Serrezuela")</f>
        <v>Centro comercial la Serrezuela</v>
      </c>
      <c r="H9281" s="16">
        <f>IFERROR(__xludf.DUMMYFUNCTION("""COMPUTED_VALUE"""),17948.0)</f>
        <v>17948</v>
      </c>
      <c r="I9281" s="17"/>
      <c r="J9281" s="17"/>
      <c r="K9281" s="17"/>
      <c r="L9281" s="17">
        <f>IFERROR(__xludf.DUMMYFUNCTION("""COMPUTED_VALUE"""),3.116026252E9)</f>
        <v>3116026252</v>
      </c>
      <c r="M9281" s="17"/>
      <c r="N9281" s="17"/>
      <c r="O9281" s="17"/>
      <c r="P9281" s="17" t="b">
        <f>IFERROR(__xludf.DUMMYFUNCTION("""COMPUTED_VALUE"""),FALSE)</f>
        <v>0</v>
      </c>
      <c r="Q9281" s="20" t="str">
        <f>IFERROR(__xludf.DUMMYFUNCTION("""COMPUTED_VALUE"""),"")</f>
        <v/>
      </c>
      <c r="R9281" s="21" t="str">
        <f>IFERROR(__xludf.DUMMYFUNCTION("""COMPUTED_VALUE"""),"https://drive.google.com/file/d/18lIDM_FVGARWIYWtT8eAKQT7rXpb4VNK/view?usp=drivesdk")</f>
        <v>https://drive.google.com/file/d/18lIDM_FVGARWIYWtT8eAKQT7rXpb4VNK/view?usp=drivesdk</v>
      </c>
    </row>
    <row r="9282">
      <c r="A9282" s="15">
        <f>IFERROR(__xludf.DUMMYFUNCTION("""COMPUTED_VALUE"""),45265.0)</f>
        <v>45265</v>
      </c>
      <c r="B9282" s="16" t="str">
        <f>IFERROR(__xludf.DUMMYFUNCTION("""COMPUTED_VALUE"""),"Carlos Manuel Sosa")</f>
        <v>Carlos Manuel Sosa</v>
      </c>
      <c r="C9282" s="15" t="str">
        <f>IFERROR(__xludf.DUMMYFUNCTION("""COMPUTED_VALUE"""),"SABANETA")</f>
        <v>SABANETA</v>
      </c>
      <c r="D9282" s="15" t="str">
        <f>IFERROR(__xludf.DUMMYFUNCTION("""COMPUTED_VALUE"""),"BOGOTÁ")</f>
        <v>BOGOTÁ</v>
      </c>
      <c r="E9282" s="15" t="str">
        <f>IFERROR(__xludf.DUMMYFUNCTION("""COMPUTED_VALUE"""),"LINA PAOLA RAMIREZ GOMEZ - EVA MAZZITA")</f>
        <v>LINA PAOLA RAMIREZ GOMEZ - EVA MAZZITA</v>
      </c>
      <c r="F9282" s="17" t="str">
        <f>IFERROR(__xludf.DUMMYFUNCTION("""COMPUTED_VALUE"""),"Carrera 47C N. 78 C Sur 92 . / Apto 208. Unidad: Torres de Aldea Verde Sabaneta")</f>
        <v>Carrera 47C N. 78 C Sur 92 . / Apto 208. Unidad: Torres de Aldea Verde Sabaneta</v>
      </c>
      <c r="G9282" s="15" t="str">
        <f>IFERROR(__xludf.DUMMYFUNCTION("""COMPUTED_VALUE"""),"PAULA OQUENDO")</f>
        <v>PAULA OQUENDO</v>
      </c>
      <c r="H9282" s="16">
        <f>IFERROR(__xludf.DUMMYFUNCTION("""COMPUTED_VALUE"""),17966.0)</f>
        <v>17966</v>
      </c>
      <c r="I9282" s="17"/>
      <c r="J9282" s="17"/>
      <c r="K9282" s="17"/>
      <c r="L9282" s="17">
        <f>IFERROR(__xludf.DUMMYFUNCTION("""COMPUTED_VALUE"""),3.164105195E9)</f>
        <v>3164105195</v>
      </c>
      <c r="M9282" s="17"/>
      <c r="N9282" s="17"/>
      <c r="O9282" s="17"/>
      <c r="P9282" s="17" t="b">
        <f>IFERROR(__xludf.DUMMYFUNCTION("""COMPUTED_VALUE"""),FALSE)</f>
        <v>0</v>
      </c>
      <c r="Q9282" s="20" t="str">
        <f>IFERROR(__xludf.DUMMYFUNCTION("""COMPUTED_VALUE"""),"")</f>
        <v/>
      </c>
      <c r="R9282" s="21" t="str">
        <f>IFERROR(__xludf.DUMMYFUNCTION("""COMPUTED_VALUE"""),"https://drive.google.com/file/d/1NTX1bnv1hlRHPzSFxGLUZK_e0RFApFga/view?usp=drivesdk")</f>
        <v>https://drive.google.com/file/d/1NTX1bnv1hlRHPzSFxGLUZK_e0RFApFga/view?usp=drivesdk</v>
      </c>
    </row>
    <row r="9283">
      <c r="A9283" s="15">
        <f>IFERROR(__xludf.DUMMYFUNCTION("""COMPUTED_VALUE"""),45265.0)</f>
        <v>45265</v>
      </c>
      <c r="B9283" s="16" t="str">
        <f>IFERROR(__xludf.DUMMYFUNCTION("""COMPUTED_VALUE"""),"Carlos Manuel Sosa")</f>
        <v>Carlos Manuel Sosa</v>
      </c>
      <c r="C9283" s="15" t="str">
        <f>IFERROR(__xludf.DUMMYFUNCTION("""COMPUTED_VALUE"""),"SOGAMOSO")</f>
        <v>SOGAMOSO</v>
      </c>
      <c r="D9283" s="15" t="str">
        <f>IFERROR(__xludf.DUMMYFUNCTION("""COMPUTED_VALUE"""),"BOGOTÁ")</f>
        <v>BOGOTÁ</v>
      </c>
      <c r="E9283" s="15" t="str">
        <f>IFERROR(__xludf.DUMMYFUNCTION("""COMPUTED_VALUE"""),"LINA PAOLA RAMIREZ GOMEZ - EVA MAZZITA")</f>
        <v>LINA PAOLA RAMIREZ GOMEZ - EVA MAZZITA</v>
      </c>
      <c r="F9283" s="17" t="str">
        <f>IFERROR(__xludf.DUMMYFUNCTION("""COMPUTED_VALUE"""),"calle 11 N 32-250 / conjunto la Toscana cas 81 etapa 3")</f>
        <v>calle 11 N 32-250 / conjunto la Toscana cas 81 etapa 3</v>
      </c>
      <c r="G9283" s="15" t="str">
        <f>IFERROR(__xludf.DUMMYFUNCTION("""COMPUTED_VALUE"""),"CONSUELO PAEZ")</f>
        <v>CONSUELO PAEZ</v>
      </c>
      <c r="H9283" s="16">
        <f>IFERROR(__xludf.DUMMYFUNCTION("""COMPUTED_VALUE"""),17982.0)</f>
        <v>17982</v>
      </c>
      <c r="I9283" s="17"/>
      <c r="J9283" s="17"/>
      <c r="K9283" s="17"/>
      <c r="L9283" s="17">
        <f>IFERROR(__xludf.DUMMYFUNCTION("""COMPUTED_VALUE"""),3.106094609E9)</f>
        <v>3106094609</v>
      </c>
      <c r="M9283" s="17"/>
      <c r="N9283" s="17"/>
      <c r="O9283" s="17"/>
      <c r="P9283" s="17" t="b">
        <f>IFERROR(__xludf.DUMMYFUNCTION("""COMPUTED_VALUE"""),FALSE)</f>
        <v>0</v>
      </c>
      <c r="Q9283" s="20" t="str">
        <f>IFERROR(__xludf.DUMMYFUNCTION("""COMPUTED_VALUE"""),"")</f>
        <v/>
      </c>
      <c r="R9283" s="22" t="str">
        <f>IFERROR(__xludf.DUMMYFUNCTION("""COMPUTED_VALUE"""),"")</f>
        <v/>
      </c>
    </row>
    <row r="9284">
      <c r="A9284" s="17" t="str">
        <f>IFERROR(__xludf.DUMMYFUNCTION("""COMPUTED_VALUE"""),"")</f>
        <v/>
      </c>
      <c r="B9284" s="17" t="str">
        <f>IFERROR(__xludf.DUMMYFUNCTION("""COMPUTED_VALUE"""),"")</f>
        <v/>
      </c>
      <c r="C9284" s="17" t="str">
        <f>IFERROR(__xludf.DUMMYFUNCTION("""COMPUTED_VALUE"""),"")</f>
        <v/>
      </c>
      <c r="D9284" s="17" t="str">
        <f>IFERROR(__xludf.DUMMYFUNCTION("""COMPUTED_VALUE"""),"")</f>
        <v/>
      </c>
      <c r="E9284" s="17" t="str">
        <f>IFERROR(__xludf.DUMMYFUNCTION("""COMPUTED_VALUE"""),"")</f>
        <v/>
      </c>
      <c r="F9284" s="17" t="str">
        <f>IFERROR(__xludf.DUMMYFUNCTION("""COMPUTED_VALUE"""),"")</f>
        <v/>
      </c>
      <c r="G9284" s="17" t="str">
        <f>IFERROR(__xludf.DUMMYFUNCTION("""COMPUTED_VALUE"""),"")</f>
        <v/>
      </c>
      <c r="H9284" s="17" t="str">
        <f>IFERROR(__xludf.DUMMYFUNCTION("""COMPUTED_VALUE"""),"")</f>
        <v/>
      </c>
      <c r="I9284" s="17" t="str">
        <f>IFERROR(__xludf.DUMMYFUNCTION("""COMPUTED_VALUE"""),"")</f>
        <v/>
      </c>
      <c r="J9284" s="17" t="str">
        <f>IFERROR(__xludf.DUMMYFUNCTION("""COMPUTED_VALUE"""),"")</f>
        <v/>
      </c>
      <c r="K9284" s="17" t="str">
        <f>IFERROR(__xludf.DUMMYFUNCTION("""COMPUTED_VALUE"""),"")</f>
        <v/>
      </c>
      <c r="L9284" s="17" t="str">
        <f>IFERROR(__xludf.DUMMYFUNCTION("""COMPUTED_VALUE"""),"")</f>
        <v/>
      </c>
      <c r="M9284" s="17" t="str">
        <f>IFERROR(__xludf.DUMMYFUNCTION("""COMPUTED_VALUE"""),"")</f>
        <v/>
      </c>
      <c r="N9284" s="17" t="str">
        <f>IFERROR(__xludf.DUMMYFUNCTION("""COMPUTED_VALUE"""),"")</f>
        <v/>
      </c>
      <c r="O9284" s="17" t="str">
        <f>IFERROR(__xludf.DUMMYFUNCTION("""COMPUTED_VALUE"""),"")</f>
        <v/>
      </c>
      <c r="P9284" s="17" t="str">
        <f>IFERROR(__xludf.DUMMYFUNCTION("""COMPUTED_VALUE"""),"")</f>
        <v/>
      </c>
      <c r="Q9284" s="17" t="str">
        <f>IFERROR(__xludf.DUMMYFUNCTION("""COMPUTED_VALUE"""),"")</f>
        <v/>
      </c>
      <c r="R9284" s="17" t="str">
        <f>IFERROR(__xludf.DUMMYFUNCTION("""COMPUTED_VALUE"""),"")</f>
        <v/>
      </c>
    </row>
    <row r="9285">
      <c r="A9285" s="15">
        <f>IFERROR(__xludf.DUMMYFUNCTION("""COMPUTED_VALUE"""),45265.0)</f>
        <v>45265</v>
      </c>
      <c r="B9285" s="16" t="str">
        <f>IFERROR(__xludf.DUMMYFUNCTION("""COMPUTED_VALUE"""),"Deivi Alejandro Quintero Corrales")</f>
        <v>Deivi Alejandro Quintero Corrales</v>
      </c>
      <c r="C9285" s="15" t="str">
        <f>IFERROR(__xludf.DUMMYFUNCTION("""COMPUTED_VALUE"""),"ARMENIA")</f>
        <v>ARMENIA</v>
      </c>
      <c r="D9285" s="15" t="str">
        <f>IFERROR(__xludf.DUMMYFUNCTION("""COMPUTED_VALUE"""),"MEDELLÍN")</f>
        <v>MEDELLÍN</v>
      </c>
      <c r="E9285" s="15" t="str">
        <f>IFERROR(__xludf.DUMMYFUNCTION("""COMPUTED_VALUE"""),"TOLEDALES S.A.S")</f>
        <v>TOLEDALES S.A.S</v>
      </c>
      <c r="F9285" s="17" t="str">
        <f>IFERROR(__xludf.DUMMYFUNCTION("""COMPUTED_VALUE"""),"Cll 23 A norte 19 47 / casa 2")</f>
        <v>Cll 23 A norte 19 47 / casa 2</v>
      </c>
      <c r="G9285" s="15" t="str">
        <f>IFERROR(__xludf.DUMMYFUNCTION("""COMPUTED_VALUE"""),"sandra salas")</f>
        <v>sandra salas</v>
      </c>
      <c r="H9285" s="16">
        <f>IFERROR(__xludf.DUMMYFUNCTION("""COMPUTED_VALUE"""),17946.0)</f>
        <v>17946</v>
      </c>
      <c r="I9285" s="17"/>
      <c r="J9285" s="17"/>
      <c r="K9285" s="17"/>
      <c r="L9285" s="17">
        <f>IFERROR(__xludf.DUMMYFUNCTION("""COMPUTED_VALUE"""),3.176643506E9)</f>
        <v>3176643506</v>
      </c>
      <c r="M9285" s="17"/>
      <c r="N9285" s="17"/>
      <c r="O9285" s="17"/>
      <c r="P9285" s="17" t="b">
        <f>IFERROR(__xludf.DUMMYFUNCTION("""COMPUTED_VALUE"""),FALSE)</f>
        <v>0</v>
      </c>
      <c r="Q9285" s="20" t="str">
        <f>IFERROR(__xludf.DUMMYFUNCTION("""COMPUTED_VALUE"""),"")</f>
        <v/>
      </c>
      <c r="R9285" s="22" t="str">
        <f>IFERROR(__xludf.DUMMYFUNCTION("""COMPUTED_VALUE"""),"")</f>
        <v/>
      </c>
    </row>
    <row r="9286">
      <c r="A9286" s="15">
        <f>IFERROR(__xludf.DUMMYFUNCTION("""COMPUTED_VALUE"""),45265.0)</f>
        <v>45265</v>
      </c>
      <c r="B9286" s="16" t="str">
        <f>IFERROR(__xludf.DUMMYFUNCTION("""COMPUTED_VALUE"""),"Deivi Alejandro Quintero Corrales")</f>
        <v>Deivi Alejandro Quintero Corrales</v>
      </c>
      <c r="C9286" s="15" t="str">
        <f>IFERROR(__xludf.DUMMYFUNCTION("""COMPUTED_VALUE"""),"PEREIRA")</f>
        <v>PEREIRA</v>
      </c>
      <c r="D9286" s="15" t="str">
        <f>IFERROR(__xludf.DUMMYFUNCTION("""COMPUTED_VALUE"""),"BOGOTÁ")</f>
        <v>BOGOTÁ</v>
      </c>
      <c r="E9286" s="15" t="str">
        <f>IFERROR(__xludf.DUMMYFUNCTION("""COMPUTED_VALUE"""),"Athenas")</f>
        <v>Athenas</v>
      </c>
      <c r="F9286" s="17" t="str">
        <f>IFERROR(__xludf.DUMMYFUNCTION("""COMPUTED_VALUE"""),"CARRERA 13 # 13-40 CENTRO COMERCIAL UNIPLEX PISO 6 / BODYTECH CAFETERIA / AV CIRCUNVALAR")</f>
        <v>CARRERA 13 # 13-40 CENTRO COMERCIAL UNIPLEX PISO 6 / BODYTECH CAFETERIA / AV CIRCUNVALAR</v>
      </c>
      <c r="G9286" s="15" t="str">
        <f>IFERROR(__xludf.DUMMYFUNCTION("""COMPUTED_VALUE"""),"DIANA AREVALO")</f>
        <v>DIANA AREVALO</v>
      </c>
      <c r="H9286" s="16">
        <f>IFERROR(__xludf.DUMMYFUNCTION("""COMPUTED_VALUE"""),17943.0)</f>
        <v>17943</v>
      </c>
      <c r="I9286" s="18">
        <f>IFERROR(__xludf.DUMMYFUNCTION("""COMPUTED_VALUE"""),29.0)</f>
        <v>29</v>
      </c>
      <c r="J9286" s="18">
        <f>IFERROR(__xludf.DUMMYFUNCTION("""COMPUTED_VALUE"""),55.0)</f>
        <v>55</v>
      </c>
      <c r="K9286" s="18">
        <f>IFERROR(__xludf.DUMMYFUNCTION("""COMPUTED_VALUE"""),45.0)</f>
        <v>45</v>
      </c>
      <c r="L9286" s="17">
        <f>IFERROR(__xludf.DUMMYFUNCTION("""COMPUTED_VALUE"""),3.024641655E9)</f>
        <v>3024641655</v>
      </c>
      <c r="M9286" s="17"/>
      <c r="N9286" s="17"/>
      <c r="O9286" s="17"/>
      <c r="P9286" s="17" t="b">
        <f>IFERROR(__xludf.DUMMYFUNCTION("""COMPUTED_VALUE"""),TRUE)</f>
        <v>1</v>
      </c>
      <c r="Q9286" s="20">
        <f>IFERROR(__xludf.DUMMYFUNCTION("""COMPUTED_VALUE"""),45265.640529490745)</f>
        <v>45265.64053</v>
      </c>
      <c r="R9286" s="21" t="str">
        <f>IFERROR(__xludf.DUMMYFUNCTION("""COMPUTED_VALUE"""),"https://drive.google.com/file/d/15IotK06IvFEnQkAdMiJOmCkk_8kWcOqK/view?usp=drivesdk")</f>
        <v>https://drive.google.com/file/d/15IotK06IvFEnQkAdMiJOmCkk_8kWcOqK/view?usp=drivesdk</v>
      </c>
    </row>
    <row r="9287">
      <c r="A9287" s="15">
        <f>IFERROR(__xludf.DUMMYFUNCTION("""COMPUTED_VALUE"""),45265.0)</f>
        <v>45265</v>
      </c>
      <c r="B9287" s="16" t="str">
        <f>IFERROR(__xludf.DUMMYFUNCTION("""COMPUTED_VALUE"""),"Deivi Alejandro Quintero Corrales")</f>
        <v>Deivi Alejandro Quintero Corrales</v>
      </c>
      <c r="C9287" s="15" t="str">
        <f>IFERROR(__xludf.DUMMYFUNCTION("""COMPUTED_VALUE"""),"PEREIRA")</f>
        <v>PEREIRA</v>
      </c>
      <c r="D9287" s="15" t="str">
        <f>IFERROR(__xludf.DUMMYFUNCTION("""COMPUTED_VALUE"""),"BOGOTÁ")</f>
        <v>BOGOTÁ</v>
      </c>
      <c r="E9287" s="15" t="str">
        <f>IFERROR(__xludf.DUMMYFUNCTION("""COMPUTED_VALUE"""),"Instinto alimento vital")</f>
        <v>Instinto alimento vital</v>
      </c>
      <c r="F9287" s="17" t="str">
        <f>IFERROR(__xludf.DUMMYFUNCTION("""COMPUTED_VALUE"""),"CRA 5 # 18 - 43 / MERCANCIA REQUIERE CONGELACION - CONTACTO CON MOISES")</f>
        <v>CRA 5 # 18 - 43 / MERCANCIA REQUIERE CONGELACION - CONTACTO CON MOISES</v>
      </c>
      <c r="G9287" s="15" t="str">
        <f>IFERROR(__xludf.DUMMYFUNCTION("""COMPUTED_VALUE"""),"BODEGA PEREIRA")</f>
        <v>BODEGA PEREIRA</v>
      </c>
      <c r="H9287" s="16">
        <f>IFERROR(__xludf.DUMMYFUNCTION("""COMPUTED_VALUE"""),17951.0)</f>
        <v>17951</v>
      </c>
      <c r="I9287" s="17"/>
      <c r="J9287" s="17"/>
      <c r="K9287" s="17"/>
      <c r="L9287" s="17">
        <f>IFERROR(__xludf.DUMMYFUNCTION("""COMPUTED_VALUE"""),3.008252529E9)</f>
        <v>3008252529</v>
      </c>
      <c r="M9287" s="17"/>
      <c r="N9287" s="17"/>
      <c r="O9287" s="17"/>
      <c r="P9287" s="17" t="b">
        <f>IFERROR(__xludf.DUMMYFUNCTION("""COMPUTED_VALUE"""),FALSE)</f>
        <v>0</v>
      </c>
      <c r="Q9287" s="20" t="str">
        <f>IFERROR(__xludf.DUMMYFUNCTION("""COMPUTED_VALUE"""),"")</f>
        <v/>
      </c>
      <c r="R9287" s="21" t="str">
        <f>IFERROR(__xludf.DUMMYFUNCTION("""COMPUTED_VALUE"""),"https://drive.google.com/file/d/1ErxKIui32IlJpg2j0KDFxyHDnrKP7iZB/view?usp=drivesdk")</f>
        <v>https://drive.google.com/file/d/1ErxKIui32IlJpg2j0KDFxyHDnrKP7iZB/view?usp=drivesdk</v>
      </c>
    </row>
    <row r="9288">
      <c r="A9288" s="15">
        <f>IFERROR(__xludf.DUMMYFUNCTION("""COMPUTED_VALUE"""),45265.0)</f>
        <v>45265</v>
      </c>
      <c r="B9288" s="16" t="str">
        <f>IFERROR(__xludf.DUMMYFUNCTION("""COMPUTED_VALUE"""),"Deivi Alejandro Quintero Corrales")</f>
        <v>Deivi Alejandro Quintero Corrales</v>
      </c>
      <c r="C9288" s="15" t="str">
        <f>IFERROR(__xludf.DUMMYFUNCTION("""COMPUTED_VALUE"""),"PEREIRA")</f>
        <v>PEREIRA</v>
      </c>
      <c r="D9288" s="15" t="str">
        <f>IFERROR(__xludf.DUMMYFUNCTION("""COMPUTED_VALUE"""),"BOGOTÁ")</f>
        <v>BOGOTÁ</v>
      </c>
      <c r="E9288" s="15" t="str">
        <f>IFERROR(__xludf.DUMMYFUNCTION("""COMPUTED_VALUE"""),"Karem foods")</f>
        <v>Karem foods</v>
      </c>
      <c r="F9288" s="17" t="str">
        <f>IFERROR(__xludf.DUMMYFUNCTION("""COMPUTED_VALUE"""),"Cra 17B #40-117 / Av Sur Los Cedros Bl 6 Apto 201 / -")</f>
        <v>Cra 17B #40-117 / Av Sur Los Cedros Bl 6 Apto 201 / -</v>
      </c>
      <c r="G9288" s="15" t="str">
        <f>IFERROR(__xludf.DUMMYFUNCTION("""COMPUTED_VALUE"""),"Daniela Ospina Toro")</f>
        <v>Daniela Ospina Toro</v>
      </c>
      <c r="H9288" s="16">
        <f>IFERROR(__xludf.DUMMYFUNCTION("""COMPUTED_VALUE"""),17998.0)</f>
        <v>17998</v>
      </c>
      <c r="I9288" s="18">
        <f>IFERROR(__xludf.DUMMYFUNCTION("""COMPUTED_VALUE"""),7.0)</f>
        <v>7</v>
      </c>
      <c r="J9288" s="18">
        <f>IFERROR(__xludf.DUMMYFUNCTION("""COMPUTED_VALUE"""),20.0)</f>
        <v>20</v>
      </c>
      <c r="K9288" s="18">
        <f>IFERROR(__xludf.DUMMYFUNCTION("""COMPUTED_VALUE"""),20.0)</f>
        <v>20</v>
      </c>
      <c r="L9288" s="17">
        <f>IFERROR(__xludf.DUMMYFUNCTION("""COMPUTED_VALUE"""),3.135503988E9)</f>
        <v>3135503988</v>
      </c>
      <c r="M9288" s="17"/>
      <c r="N9288" s="17"/>
      <c r="O9288" s="17"/>
      <c r="P9288" s="17" t="b">
        <f>IFERROR(__xludf.DUMMYFUNCTION("""COMPUTED_VALUE"""),FALSE)</f>
        <v>0</v>
      </c>
      <c r="Q9288" s="20" t="str">
        <f>IFERROR(__xludf.DUMMYFUNCTION("""COMPUTED_VALUE"""),"")</f>
        <v/>
      </c>
      <c r="R9288" s="21" t="str">
        <f>IFERROR(__xludf.DUMMYFUNCTION("""COMPUTED_VALUE"""),"https://drive.google.com/file/d/1jTKdKu5AZJuaf1tpzIcYNpzoz9gY6EIT/view?usp=drivesdk")</f>
        <v>https://drive.google.com/file/d/1jTKdKu5AZJuaf1tpzIcYNpzoz9gY6EIT/view?usp=drivesdk</v>
      </c>
    </row>
    <row r="9289">
      <c r="A9289" s="15">
        <f>IFERROR(__xludf.DUMMYFUNCTION("""COMPUTED_VALUE"""),45265.0)</f>
        <v>45265</v>
      </c>
      <c r="B9289" s="16" t="str">
        <f>IFERROR(__xludf.DUMMYFUNCTION("""COMPUTED_VALUE"""),"Deivi Alejandro Quintero Corrales")</f>
        <v>Deivi Alejandro Quintero Corrales</v>
      </c>
      <c r="C9289" s="15" t="str">
        <f>IFERROR(__xludf.DUMMYFUNCTION("""COMPUTED_VALUE"""),"PEREIRA")</f>
        <v>PEREIRA</v>
      </c>
      <c r="D9289" s="15" t="str">
        <f>IFERROR(__xludf.DUMMYFUNCTION("""COMPUTED_VALUE"""),"BOGOTÁ")</f>
        <v>BOGOTÁ</v>
      </c>
      <c r="E9289" s="15" t="str">
        <f>IFERROR(__xludf.DUMMYFUNCTION("""COMPUTED_VALUE"""),"Pan de Yuca")</f>
        <v>Pan de Yuca</v>
      </c>
      <c r="F9289" s="17" t="str">
        <f>IFERROR(__xludf.DUMMYFUNCTION("""COMPUTED_VALUE"""),"Cra. 19 # 94-96  / Casa F21 conjunto Villa Sol / Pereira")</f>
        <v>Cra. 19 # 94-96  / Casa F21 conjunto Villa Sol / Pereira</v>
      </c>
      <c r="G9289" s="15" t="str">
        <f>IFERROR(__xludf.DUMMYFUNCTION("""COMPUTED_VALUE"""),"Vanessa Valdivieso")</f>
        <v>Vanessa Valdivieso</v>
      </c>
      <c r="H9289" s="16">
        <f>IFERROR(__xludf.DUMMYFUNCTION("""COMPUTED_VALUE"""),17987.0)</f>
        <v>17987</v>
      </c>
      <c r="I9289" s="18">
        <f>IFERROR(__xludf.DUMMYFUNCTION("""COMPUTED_VALUE"""),8.0)</f>
        <v>8</v>
      </c>
      <c r="J9289" s="18">
        <f>IFERROR(__xludf.DUMMYFUNCTION("""COMPUTED_VALUE"""),37.0)</f>
        <v>37</v>
      </c>
      <c r="K9289" s="18">
        <f>IFERROR(__xludf.DUMMYFUNCTION("""COMPUTED_VALUE"""),28.0)</f>
        <v>28</v>
      </c>
      <c r="L9289" s="17">
        <f>IFERROR(__xludf.DUMMYFUNCTION("""COMPUTED_VALUE"""),3.18427613E9)</f>
        <v>3184276130</v>
      </c>
      <c r="M9289" s="17"/>
      <c r="N9289" s="17"/>
      <c r="O9289" s="17"/>
      <c r="P9289" s="17" t="b">
        <f>IFERROR(__xludf.DUMMYFUNCTION("""COMPUTED_VALUE"""),FALSE)</f>
        <v>0</v>
      </c>
      <c r="Q9289" s="20" t="str">
        <f>IFERROR(__xludf.DUMMYFUNCTION("""COMPUTED_VALUE"""),"")</f>
        <v/>
      </c>
      <c r="R9289" s="21" t="str">
        <f>IFERROR(__xludf.DUMMYFUNCTION("""COMPUTED_VALUE"""),"https://drive.google.com/file/d/19ZEDK9kY8MCNTraBHCpFZqpDFN1cw4L_/view?usp=drivesdk")</f>
        <v>https://drive.google.com/file/d/19ZEDK9kY8MCNTraBHCpFZqpDFN1cw4L_/view?usp=drivesdk</v>
      </c>
    </row>
    <row r="9290">
      <c r="A9290" s="15">
        <f>IFERROR(__xludf.DUMMYFUNCTION("""COMPUTED_VALUE"""),45265.0)</f>
        <v>45265</v>
      </c>
      <c r="B9290" s="16" t="str">
        <f>IFERROR(__xludf.DUMMYFUNCTION("""COMPUTED_VALUE"""),"Deivi Alejandro Quintero Corrales")</f>
        <v>Deivi Alejandro Quintero Corrales</v>
      </c>
      <c r="C9290" s="15" t="str">
        <f>IFERROR(__xludf.DUMMYFUNCTION("""COMPUTED_VALUE"""),"PEREIRA")</f>
        <v>PEREIRA</v>
      </c>
      <c r="D9290" s="15" t="str">
        <f>IFERROR(__xludf.DUMMYFUNCTION("""COMPUTED_VALUE"""),"BOGOTÁ")</f>
        <v>BOGOTÁ</v>
      </c>
      <c r="E9290" s="15" t="str">
        <f>IFERROR(__xludf.DUMMYFUNCTION("""COMPUTED_VALUE"""),"Top Spun")</f>
        <v>Top Spun</v>
      </c>
      <c r="F9290" s="17" t="str">
        <f>IFERROR(__xludf.DUMMYFUNCTION("""COMPUTED_VALUE"""),"Vía Cerritos - La Virginia entrada 4 La Carmelita / Conjunto Foresta / casa 42")</f>
        <v>Vía Cerritos - La Virginia entrada 4 La Carmelita / Conjunto Foresta / casa 42</v>
      </c>
      <c r="G9290" s="15" t="str">
        <f>IFERROR(__xludf.DUMMYFUNCTION("""COMPUTED_VALUE"""),"Manuela Arango Orrego")</f>
        <v>Manuela Arango Orrego</v>
      </c>
      <c r="H9290" s="16">
        <f>IFERROR(__xludf.DUMMYFUNCTION("""COMPUTED_VALUE"""),17917.0)</f>
        <v>17917</v>
      </c>
      <c r="I9290" s="18">
        <f>IFERROR(__xludf.DUMMYFUNCTION("""COMPUTED_VALUE"""),20.0)</f>
        <v>20</v>
      </c>
      <c r="J9290" s="18">
        <f>IFERROR(__xludf.DUMMYFUNCTION("""COMPUTED_VALUE"""),10.0)</f>
        <v>10</v>
      </c>
      <c r="K9290" s="18">
        <f>IFERROR(__xludf.DUMMYFUNCTION("""COMPUTED_VALUE"""),40.0)</f>
        <v>40</v>
      </c>
      <c r="L9290" s="17">
        <f>IFERROR(__xludf.DUMMYFUNCTION("""COMPUTED_VALUE"""),3.125945324E9)</f>
        <v>3125945324</v>
      </c>
      <c r="M9290" s="17"/>
      <c r="N9290" s="17"/>
      <c r="O9290" s="17"/>
      <c r="P9290" s="17" t="b">
        <f>IFERROR(__xludf.DUMMYFUNCTION("""COMPUTED_VALUE"""),FALSE)</f>
        <v>0</v>
      </c>
      <c r="Q9290" s="20" t="str">
        <f>IFERROR(__xludf.DUMMYFUNCTION("""COMPUTED_VALUE"""),"")</f>
        <v/>
      </c>
      <c r="R9290" s="21" t="str">
        <f>IFERROR(__xludf.DUMMYFUNCTION("""COMPUTED_VALUE"""),"https://drive.google.com/file/d/1cqfQluxZ0MXN8-NWJ-EppAkU74ORUovG/view?usp=drivesdk")</f>
        <v>https://drive.google.com/file/d/1cqfQluxZ0MXN8-NWJ-EppAkU74ORUovG/view?usp=drivesdk</v>
      </c>
    </row>
    <row r="9291">
      <c r="A9291" s="15">
        <f>IFERROR(__xludf.DUMMYFUNCTION("""COMPUTED_VALUE"""),45265.0)</f>
        <v>45265</v>
      </c>
      <c r="B9291" s="16" t="str">
        <f>IFERROR(__xludf.DUMMYFUNCTION("""COMPUTED_VALUE"""),"Deivi Alejandro Quintero Corrales")</f>
        <v>Deivi Alejandro Quintero Corrales</v>
      </c>
      <c r="C9291" s="15" t="str">
        <f>IFERROR(__xludf.DUMMYFUNCTION("""COMPUTED_VALUE"""),"PEREIRA")</f>
        <v>PEREIRA</v>
      </c>
      <c r="D9291" s="15" t="str">
        <f>IFERROR(__xludf.DUMMYFUNCTION("""COMPUTED_VALUE"""),"ENVIGADO")</f>
        <v>ENVIGADO</v>
      </c>
      <c r="E9291" s="15" t="str">
        <f>IFERROR(__xludf.DUMMYFUNCTION("""COMPUTED_VALUE"""),"kathe")</f>
        <v>kathe</v>
      </c>
      <c r="F9291" s="17" t="str">
        <f>IFERROR(__xludf.DUMMYFUNCTION("""COMPUTED_VALUE"""),"Calle 72 # 23 B 65 / Supermercado el cafetal cuba")</f>
        <v>Calle 72 # 23 B 65 / Supermercado el cafetal cuba</v>
      </c>
      <c r="G9291" s="15" t="str">
        <f>IFERROR(__xludf.DUMMYFUNCTION("""COMPUTED_VALUE"""),"Lucy Quintero Ramírez")</f>
        <v>Lucy Quintero Ramírez</v>
      </c>
      <c r="H9291" s="16">
        <f>IFERROR(__xludf.DUMMYFUNCTION("""COMPUTED_VALUE"""),17918.0)</f>
        <v>17918</v>
      </c>
      <c r="I9291" s="17"/>
      <c r="J9291" s="17"/>
      <c r="K9291" s="17"/>
      <c r="L9291" s="17">
        <f>IFERROR(__xludf.DUMMYFUNCTION("""COMPUTED_VALUE"""),3.183306934E9)</f>
        <v>3183306934</v>
      </c>
      <c r="M9291" s="17"/>
      <c r="N9291" s="17"/>
      <c r="O9291" s="17"/>
      <c r="P9291" s="17" t="b">
        <f>IFERROR(__xludf.DUMMYFUNCTION("""COMPUTED_VALUE"""),FALSE)</f>
        <v>0</v>
      </c>
      <c r="Q9291" s="20" t="str">
        <f>IFERROR(__xludf.DUMMYFUNCTION("""COMPUTED_VALUE"""),"")</f>
        <v/>
      </c>
      <c r="R9291" s="21" t="str">
        <f>IFERROR(__xludf.DUMMYFUNCTION("""COMPUTED_VALUE"""),"https://drive.google.com/file/d/1tvv5J5GESYD1nLR859AAGiGFlGlSZeTU/view?usp=drivesdk")</f>
        <v>https://drive.google.com/file/d/1tvv5J5GESYD1nLR859AAGiGFlGlSZeTU/view?usp=drivesdk</v>
      </c>
    </row>
    <row r="9292">
      <c r="A9292" s="15">
        <f>IFERROR(__xludf.DUMMYFUNCTION("""COMPUTED_VALUE"""),45265.0)</f>
        <v>45265</v>
      </c>
      <c r="B9292" s="16" t="str">
        <f>IFERROR(__xludf.DUMMYFUNCTION("""COMPUTED_VALUE"""),"Deivi Alejandro Quintero Corrales")</f>
        <v>Deivi Alejandro Quintero Corrales</v>
      </c>
      <c r="C9292" s="15" t="str">
        <f>IFERROR(__xludf.DUMMYFUNCTION("""COMPUTED_VALUE"""),"PEREIRA")</f>
        <v>PEREIRA</v>
      </c>
      <c r="D9292" s="15" t="str">
        <f>IFERROR(__xludf.DUMMYFUNCTION("""COMPUTED_VALUE"""),"MEDELLÍN")</f>
        <v>MEDELLÍN</v>
      </c>
      <c r="E9292" s="15" t="str">
        <f>IFERROR(__xludf.DUMMYFUNCTION("""COMPUTED_VALUE"""),"AREPAS LA MARY")</f>
        <v>AREPAS LA MARY</v>
      </c>
      <c r="F9292" s="17" t="str">
        <f>IFERROR(__xludf.DUMMYFUNCTION("""COMPUTED_VALUE"""),"Av 30 de agosto calle 29 numero 13-05 / TALLER AUTOMOTRIZ")</f>
        <v>Av 30 de agosto calle 29 numero 13-05 / TALLER AUTOMOTRIZ</v>
      </c>
      <c r="G9292" s="15" t="str">
        <f>IFERROR(__xludf.DUMMYFUNCTION("""COMPUTED_VALUE"""),"NATHALIA TAPASCO")</f>
        <v>NATHALIA TAPASCO</v>
      </c>
      <c r="H9292" s="16">
        <f>IFERROR(__xludf.DUMMYFUNCTION("""COMPUTED_VALUE"""),17984.0)</f>
        <v>17984</v>
      </c>
      <c r="I9292" s="17"/>
      <c r="J9292" s="17"/>
      <c r="K9292" s="17"/>
      <c r="L9292" s="17">
        <f>IFERROR(__xludf.DUMMYFUNCTION("""COMPUTED_VALUE"""),3.104713313E9)</f>
        <v>3104713313</v>
      </c>
      <c r="M9292" s="17"/>
      <c r="N9292" s="17"/>
      <c r="O9292" s="17"/>
      <c r="P9292" s="17" t="b">
        <f>IFERROR(__xludf.DUMMYFUNCTION("""COMPUTED_VALUE"""),FALSE)</f>
        <v>0</v>
      </c>
      <c r="Q9292" s="20" t="str">
        <f>IFERROR(__xludf.DUMMYFUNCTION("""COMPUTED_VALUE"""),"")</f>
        <v/>
      </c>
      <c r="R9292" s="21" t="str">
        <f>IFERROR(__xludf.DUMMYFUNCTION("""COMPUTED_VALUE"""),"https://drive.google.com/file/d/1iYguwQD6Ls3JRJw0xUf6Eer8KlIfk9UL/view?usp=drivesdk")</f>
        <v>https://drive.google.com/file/d/1iYguwQD6Ls3JRJw0xUf6Eer8KlIfk9UL/view?usp=drivesdk</v>
      </c>
    </row>
    <row r="9293">
      <c r="A9293" s="15">
        <f>IFERROR(__xludf.DUMMYFUNCTION("""COMPUTED_VALUE"""),45265.0)</f>
        <v>45265</v>
      </c>
      <c r="B9293" s="16" t="str">
        <f>IFERROR(__xludf.DUMMYFUNCTION("""COMPUTED_VALUE"""),"Deivi Alejandro Quintero Corrales")</f>
        <v>Deivi Alejandro Quintero Corrales</v>
      </c>
      <c r="C9293" s="15" t="str">
        <f>IFERROR(__xludf.DUMMYFUNCTION("""COMPUTED_VALUE"""),"PEREIRA")</f>
        <v>PEREIRA</v>
      </c>
      <c r="D9293" s="15" t="str">
        <f>IFERROR(__xludf.DUMMYFUNCTION("""COMPUTED_VALUE"""),"MEDELLÍN")</f>
        <v>MEDELLÍN</v>
      </c>
      <c r="E9293" s="15" t="str">
        <f>IFERROR(__xludf.DUMMYFUNCTION("""COMPUTED_VALUE"""),"AREPAS LA MARY")</f>
        <v>AREPAS LA MARY</v>
      </c>
      <c r="F9293" s="17" t="str">
        <f>IFERROR(__xludf.DUMMYFUNCTION("""COMPUTED_VALUE"""),"carrera 4n15-55 / edificio alquitrabe")</f>
        <v>carrera 4n15-55 / edificio alquitrabe</v>
      </c>
      <c r="G9293" s="15" t="str">
        <f>IFERROR(__xludf.DUMMYFUNCTION("""COMPUTED_VALUE"""),"ANGELA MARIA NAVARRO")</f>
        <v>ANGELA MARIA NAVARRO</v>
      </c>
      <c r="H9293" s="16">
        <f>IFERROR(__xludf.DUMMYFUNCTION("""COMPUTED_VALUE"""),17986.0)</f>
        <v>17986</v>
      </c>
      <c r="I9293" s="17"/>
      <c r="J9293" s="17"/>
      <c r="K9293" s="17"/>
      <c r="L9293" s="17">
        <f>IFERROR(__xludf.DUMMYFUNCTION("""COMPUTED_VALUE"""),3.012413317E9)</f>
        <v>3012413317</v>
      </c>
      <c r="M9293" s="17"/>
      <c r="N9293" s="17"/>
      <c r="O9293" s="17"/>
      <c r="P9293" s="17" t="b">
        <f>IFERROR(__xludf.DUMMYFUNCTION("""COMPUTED_VALUE"""),FALSE)</f>
        <v>0</v>
      </c>
      <c r="Q9293" s="20" t="str">
        <f>IFERROR(__xludf.DUMMYFUNCTION("""COMPUTED_VALUE"""),"")</f>
        <v/>
      </c>
      <c r="R9293" s="21" t="str">
        <f>IFERROR(__xludf.DUMMYFUNCTION("""COMPUTED_VALUE"""),"https://drive.google.com/file/d/1lFSvHBjJN-NM1ZxqCeB9yb1c76iUf873/view?usp=drivesdk")</f>
        <v>https://drive.google.com/file/d/1lFSvHBjJN-NM1ZxqCeB9yb1c76iUf873/view?usp=drivesdk</v>
      </c>
    </row>
    <row r="9294">
      <c r="A9294" s="17" t="str">
        <f>IFERROR(__xludf.DUMMYFUNCTION("""COMPUTED_VALUE"""),"")</f>
        <v/>
      </c>
      <c r="B9294" s="17" t="str">
        <f>IFERROR(__xludf.DUMMYFUNCTION("""COMPUTED_VALUE"""),"")</f>
        <v/>
      </c>
      <c r="C9294" s="17" t="str">
        <f>IFERROR(__xludf.DUMMYFUNCTION("""COMPUTED_VALUE"""),"")</f>
        <v/>
      </c>
      <c r="D9294" s="17" t="str">
        <f>IFERROR(__xludf.DUMMYFUNCTION("""COMPUTED_VALUE"""),"")</f>
        <v/>
      </c>
      <c r="E9294" s="17" t="str">
        <f>IFERROR(__xludf.DUMMYFUNCTION("""COMPUTED_VALUE"""),"")</f>
        <v/>
      </c>
      <c r="F9294" s="17" t="str">
        <f>IFERROR(__xludf.DUMMYFUNCTION("""COMPUTED_VALUE"""),"")</f>
        <v/>
      </c>
      <c r="G9294" s="17" t="str">
        <f>IFERROR(__xludf.DUMMYFUNCTION("""COMPUTED_VALUE"""),"")</f>
        <v/>
      </c>
      <c r="H9294" s="17" t="str">
        <f>IFERROR(__xludf.DUMMYFUNCTION("""COMPUTED_VALUE"""),"")</f>
        <v/>
      </c>
      <c r="I9294" s="17" t="str">
        <f>IFERROR(__xludf.DUMMYFUNCTION("""COMPUTED_VALUE"""),"")</f>
        <v/>
      </c>
      <c r="J9294" s="17" t="str">
        <f>IFERROR(__xludf.DUMMYFUNCTION("""COMPUTED_VALUE"""),"")</f>
        <v/>
      </c>
      <c r="K9294" s="17" t="str">
        <f>IFERROR(__xludf.DUMMYFUNCTION("""COMPUTED_VALUE"""),"")</f>
        <v/>
      </c>
      <c r="L9294" s="17" t="str">
        <f>IFERROR(__xludf.DUMMYFUNCTION("""COMPUTED_VALUE"""),"")</f>
        <v/>
      </c>
      <c r="M9294" s="17" t="str">
        <f>IFERROR(__xludf.DUMMYFUNCTION("""COMPUTED_VALUE"""),"")</f>
        <v/>
      </c>
      <c r="N9294" s="17" t="str">
        <f>IFERROR(__xludf.DUMMYFUNCTION("""COMPUTED_VALUE"""),"")</f>
        <v/>
      </c>
      <c r="O9294" s="17" t="str">
        <f>IFERROR(__xludf.DUMMYFUNCTION("""COMPUTED_VALUE"""),"")</f>
        <v/>
      </c>
      <c r="P9294" s="17" t="str">
        <f>IFERROR(__xludf.DUMMYFUNCTION("""COMPUTED_VALUE"""),"")</f>
        <v/>
      </c>
      <c r="Q9294" s="17" t="str">
        <f>IFERROR(__xludf.DUMMYFUNCTION("""COMPUTED_VALUE"""),"")</f>
        <v/>
      </c>
      <c r="R9294" s="17" t="str">
        <f>IFERROR(__xludf.DUMMYFUNCTION("""COMPUTED_VALUE"""),"")</f>
        <v/>
      </c>
    </row>
    <row r="9295">
      <c r="A9295" s="15">
        <f>IFERROR(__xludf.DUMMYFUNCTION("""COMPUTED_VALUE"""),45265.0)</f>
        <v>45265</v>
      </c>
      <c r="B9295" s="16" t="str">
        <f>IFERROR(__xludf.DUMMYFUNCTION("""COMPUTED_VALUE"""),"Duvan Gabriel Alvarez Giron")</f>
        <v>Duvan Gabriel Alvarez Giron</v>
      </c>
      <c r="C9295" s="15" t="str">
        <f>IFERROR(__xludf.DUMMYFUNCTION("""COMPUTED_VALUE"""),"IBAGUÉ")</f>
        <v>IBAGUÉ</v>
      </c>
      <c r="D9295" s="15" t="str">
        <f>IFERROR(__xludf.DUMMYFUNCTION("""COMPUTED_VALUE"""),"BOGOTÁ")</f>
        <v>BOGOTÁ</v>
      </c>
      <c r="E9295" s="15" t="str">
        <f>IFERROR(__xludf.DUMMYFUNCTION("""COMPUTED_VALUE"""),"Frutos Silvestres")</f>
        <v>Frutos Silvestres</v>
      </c>
      <c r="F9295" s="17" t="str">
        <f>IFERROR(__xludf.DUMMYFUNCTION("""COMPUTED_VALUE"""),"Manzana 12 casa 11  / Primer piso puerta negra  / Terrazas del tejar")</f>
        <v>Manzana 12 casa 11  / Primer piso puerta negra  / Terrazas del tejar</v>
      </c>
      <c r="G9295" s="15" t="str">
        <f>IFERROR(__xludf.DUMMYFUNCTION("""COMPUTED_VALUE"""),"Johanna Jaramillo")</f>
        <v>Johanna Jaramillo</v>
      </c>
      <c r="H9295" s="16">
        <f>IFERROR(__xludf.DUMMYFUNCTION("""COMPUTED_VALUE"""),17994.0)</f>
        <v>17994</v>
      </c>
      <c r="I9295" s="18">
        <f>IFERROR(__xludf.DUMMYFUNCTION("""COMPUTED_VALUE"""),13.0)</f>
        <v>13</v>
      </c>
      <c r="J9295" s="18">
        <f>IFERROR(__xludf.DUMMYFUNCTION("""COMPUTED_VALUE"""),32.0)</f>
        <v>32</v>
      </c>
      <c r="K9295" s="18">
        <f>IFERROR(__xludf.DUMMYFUNCTION("""COMPUTED_VALUE"""),52.0)</f>
        <v>52</v>
      </c>
      <c r="L9295" s="17">
        <f>IFERROR(__xludf.DUMMYFUNCTION("""COMPUTED_VALUE"""),3.245887861E9)</f>
        <v>3245887861</v>
      </c>
      <c r="M9295" s="17"/>
      <c r="N9295" s="17"/>
      <c r="O9295" s="17"/>
      <c r="P9295" s="17" t="b">
        <f>IFERROR(__xludf.DUMMYFUNCTION("""COMPUTED_VALUE"""),FALSE)</f>
        <v>0</v>
      </c>
      <c r="Q9295" s="20" t="str">
        <f>IFERROR(__xludf.DUMMYFUNCTION("""COMPUTED_VALUE"""),"")</f>
        <v/>
      </c>
      <c r="R9295" s="21" t="str">
        <f>IFERROR(__xludf.DUMMYFUNCTION("""COMPUTED_VALUE"""),"https://drive.google.com/file/d/16sj8fAslolIvVnqsAREctfl5kIp3peLw/view?usp=drivesdk")</f>
        <v>https://drive.google.com/file/d/16sj8fAslolIvVnqsAREctfl5kIp3peLw/view?usp=drivesdk</v>
      </c>
    </row>
    <row r="9296">
      <c r="A9296" s="15">
        <f>IFERROR(__xludf.DUMMYFUNCTION("""COMPUTED_VALUE"""),45265.0)</f>
        <v>45265</v>
      </c>
      <c r="B9296" s="16" t="str">
        <f>IFERROR(__xludf.DUMMYFUNCTION("""COMPUTED_VALUE"""),"Duvan Gabriel Alvarez Giron")</f>
        <v>Duvan Gabriel Alvarez Giron</v>
      </c>
      <c r="C9296" s="15" t="str">
        <f>IFERROR(__xludf.DUMMYFUNCTION("""COMPUTED_VALUE"""),"IBAGUÉ")</f>
        <v>IBAGUÉ</v>
      </c>
      <c r="D9296" s="15" t="str">
        <f>IFERROR(__xludf.DUMMYFUNCTION("""COMPUTED_VALUE"""),"BOGOTÁ")</f>
        <v>BOGOTÁ</v>
      </c>
      <c r="E9296" s="15" t="str">
        <f>IFERROR(__xludf.DUMMYFUNCTION("""COMPUTED_VALUE"""),"Instinto alimento vital")</f>
        <v>Instinto alimento vital</v>
      </c>
      <c r="F9296" s="17" t="str">
        <f>IFERROR(__xludf.DUMMYFUNCTION("""COMPUTED_VALUE"""),"MANZANA 14 CA 9 / BRR GALARZA")</f>
        <v>MANZANA 14 CA 9 / BRR GALARZA</v>
      </c>
      <c r="G9296" s="15" t="str">
        <f>IFERROR(__xludf.DUMMYFUNCTION("""COMPUTED_VALUE"""),"INGRID YOJANA BUITRAGO")</f>
        <v>INGRID YOJANA BUITRAGO</v>
      </c>
      <c r="H9296" s="16">
        <f>IFERROR(__xludf.DUMMYFUNCTION("""COMPUTED_VALUE"""),17953.0)</f>
        <v>17953</v>
      </c>
      <c r="I9296" s="17"/>
      <c r="J9296" s="17"/>
      <c r="K9296" s="17"/>
      <c r="L9296" s="17">
        <f>IFERROR(__xludf.DUMMYFUNCTION("""COMPUTED_VALUE"""),3.142858797E9)</f>
        <v>3142858797</v>
      </c>
      <c r="M9296" s="17"/>
      <c r="N9296" s="17"/>
      <c r="O9296" s="17"/>
      <c r="P9296" s="17" t="b">
        <f>IFERROR(__xludf.DUMMYFUNCTION("""COMPUTED_VALUE"""),FALSE)</f>
        <v>0</v>
      </c>
      <c r="Q9296" s="20" t="str">
        <f>IFERROR(__xludf.DUMMYFUNCTION("""COMPUTED_VALUE"""),"")</f>
        <v/>
      </c>
      <c r="R9296" s="21" t="str">
        <f>IFERROR(__xludf.DUMMYFUNCTION("""COMPUTED_VALUE"""),"https://drive.google.com/file/d/1v9_PvCE7Dp9APDYfnzyr_oWro3BNlkfu/view?usp=drivesdk")</f>
        <v>https://drive.google.com/file/d/1v9_PvCE7Dp9APDYfnzyr_oWro3BNlkfu/view?usp=drivesdk</v>
      </c>
    </row>
    <row r="9297">
      <c r="A9297" s="15">
        <f>IFERROR(__xludf.DUMMYFUNCTION("""COMPUTED_VALUE"""),45265.0)</f>
        <v>45265</v>
      </c>
      <c r="B9297" s="16" t="str">
        <f>IFERROR(__xludf.DUMMYFUNCTION("""COMPUTED_VALUE"""),"Duvan Gabriel Alvarez Giron")</f>
        <v>Duvan Gabriel Alvarez Giron</v>
      </c>
      <c r="C9297" s="15" t="str">
        <f>IFERROR(__xludf.DUMMYFUNCTION("""COMPUTED_VALUE"""),"IBAGUÉ")</f>
        <v>IBAGUÉ</v>
      </c>
      <c r="D9297" s="15" t="str">
        <f>IFERROR(__xludf.DUMMYFUNCTION("""COMPUTED_VALUE"""),"BOGOTÁ")</f>
        <v>BOGOTÁ</v>
      </c>
      <c r="E9297" s="15" t="str">
        <f>IFERROR(__xludf.DUMMYFUNCTION("""COMPUTED_VALUE"""),"LINA PAOLA RAMIREZ GOMEZ - EVA MAZZITA")</f>
        <v>LINA PAOLA RAMIREZ GOMEZ - EVA MAZZITA</v>
      </c>
      <c r="F9297" s="17" t="str">
        <f>IFERROR(__xludf.DUMMYFUNCTION("""COMPUTED_VALUE"""),"Carrera 22 sur número 114-90 / edificio bosque sereno apto 1007 San Francisco de aparco")</f>
        <v>Carrera 22 sur número 114-90 / edificio bosque sereno apto 1007 San Francisco de aparco</v>
      </c>
      <c r="G9297" s="15" t="str">
        <f>IFERROR(__xludf.DUMMYFUNCTION("""COMPUTED_VALUE"""),"JULIANA CARRANZA")</f>
        <v>JULIANA CARRANZA</v>
      </c>
      <c r="H9297" s="16">
        <f>IFERROR(__xludf.DUMMYFUNCTION("""COMPUTED_VALUE"""),17960.0)</f>
        <v>17960</v>
      </c>
      <c r="I9297" s="17"/>
      <c r="J9297" s="17"/>
      <c r="K9297" s="17"/>
      <c r="L9297" s="17">
        <f>IFERROR(__xludf.DUMMYFUNCTION("""COMPUTED_VALUE"""),3.012379988E9)</f>
        <v>3012379988</v>
      </c>
      <c r="M9297" s="17"/>
      <c r="N9297" s="17"/>
      <c r="O9297" s="17"/>
      <c r="P9297" s="17" t="b">
        <f>IFERROR(__xludf.DUMMYFUNCTION("""COMPUTED_VALUE"""),FALSE)</f>
        <v>0</v>
      </c>
      <c r="Q9297" s="20" t="str">
        <f>IFERROR(__xludf.DUMMYFUNCTION("""COMPUTED_VALUE"""),"")</f>
        <v/>
      </c>
      <c r="R9297" s="21" t="str">
        <f>IFERROR(__xludf.DUMMYFUNCTION("""COMPUTED_VALUE"""),"https://drive.google.com/file/d/1wwLenmfM9S2kFw76x9iF2ppppxMWa5nG/view?usp=drivesdk")</f>
        <v>https://drive.google.com/file/d/1wwLenmfM9S2kFw76x9iF2ppppxMWa5nG/view?usp=drivesdk</v>
      </c>
    </row>
    <row r="9298">
      <c r="A9298" s="15">
        <f>IFERROR(__xludf.DUMMYFUNCTION("""COMPUTED_VALUE"""),45265.0)</f>
        <v>45265</v>
      </c>
      <c r="B9298" s="16" t="str">
        <f>IFERROR(__xludf.DUMMYFUNCTION("""COMPUTED_VALUE"""),"Duvan Gabriel Alvarez Giron")</f>
        <v>Duvan Gabriel Alvarez Giron</v>
      </c>
      <c r="C9298" s="15" t="str">
        <f>IFERROR(__xludf.DUMMYFUNCTION("""COMPUTED_VALUE"""),"PIEDECUESTA")</f>
        <v>PIEDECUESTA</v>
      </c>
      <c r="D9298" s="15" t="str">
        <f>IFERROR(__xludf.DUMMYFUNCTION("""COMPUTED_VALUE"""),"BOGOTÁ")</f>
        <v>BOGOTÁ</v>
      </c>
      <c r="E9298" s="15" t="str">
        <f>IFERROR(__xludf.DUMMYFUNCTION("""COMPUTED_VALUE"""),"LINA PAOLA RAMIREZ GOMEZ - EVA MAZZITA")</f>
        <v>LINA PAOLA RAMIREZ GOMEZ - EVA MAZZITA</v>
      </c>
      <c r="F9298" s="17" t="str">
        <f>IFERROR(__xludf.DUMMYFUNCTION("""COMPUTED_VALUE"""),"Avenida 10 Norte # 16-02 / casa 58 / Conjunto Pinares de Granada")</f>
        <v>Avenida 10 Norte # 16-02 / casa 58 / Conjunto Pinares de Granada</v>
      </c>
      <c r="G9298" s="15" t="str">
        <f>IFERROR(__xludf.DUMMYFUNCTION("""COMPUTED_VALUE"""),"NATALIA FIGUEROA BELTRAN")</f>
        <v>NATALIA FIGUEROA BELTRAN</v>
      </c>
      <c r="H9298" s="16">
        <f>IFERROR(__xludf.DUMMYFUNCTION("""COMPUTED_VALUE"""),17976.0)</f>
        <v>17976</v>
      </c>
      <c r="I9298" s="17"/>
      <c r="J9298" s="17"/>
      <c r="K9298" s="17"/>
      <c r="L9298" s="17">
        <f>IFERROR(__xludf.DUMMYFUNCTION("""COMPUTED_VALUE"""),3.158927652E9)</f>
        <v>3158927652</v>
      </c>
      <c r="M9298" s="17"/>
      <c r="N9298" s="17"/>
      <c r="O9298" s="17"/>
      <c r="P9298" s="17" t="b">
        <f>IFERROR(__xludf.DUMMYFUNCTION("""COMPUTED_VALUE"""),FALSE)</f>
        <v>0</v>
      </c>
      <c r="Q9298" s="20" t="str">
        <f>IFERROR(__xludf.DUMMYFUNCTION("""COMPUTED_VALUE"""),"")</f>
        <v/>
      </c>
      <c r="R9298" s="21" t="str">
        <f>IFERROR(__xludf.DUMMYFUNCTION("""COMPUTED_VALUE"""),"https://drive.google.com/file/d/1ur017O297uhLGS_TAhhtR18ge0nvivz-/view?usp=drivesdk")</f>
        <v>https://drive.google.com/file/d/1ur017O297uhLGS_TAhhtR18ge0nvivz-/view?usp=drivesdk</v>
      </c>
    </row>
    <row r="9299">
      <c r="A9299" s="15">
        <f>IFERROR(__xludf.DUMMYFUNCTION("""COMPUTED_VALUE"""),45265.0)</f>
        <v>45265</v>
      </c>
      <c r="B9299" s="16" t="str">
        <f>IFERROR(__xludf.DUMMYFUNCTION("""COMPUTED_VALUE"""),"Duvan Gabriel Alvarez Giron")</f>
        <v>Duvan Gabriel Alvarez Giron</v>
      </c>
      <c r="C9299" s="15" t="str">
        <f>IFERROR(__xludf.DUMMYFUNCTION("""COMPUTED_VALUE"""),"PIEDECUESTA")</f>
        <v>PIEDECUESTA</v>
      </c>
      <c r="D9299" s="15" t="str">
        <f>IFERROR(__xludf.DUMMYFUNCTION("""COMPUTED_VALUE"""),"BOGOTÁ")</f>
        <v>BOGOTÁ</v>
      </c>
      <c r="E9299" s="15" t="str">
        <f>IFERROR(__xludf.DUMMYFUNCTION("""COMPUTED_VALUE"""),"LINA PAOLA RAMIREZ GOMEZ - EVA MAZZITA")</f>
        <v>LINA PAOLA RAMIREZ GOMEZ - EVA MAZZITA</v>
      </c>
      <c r="F9299" s="17" t="str">
        <f>IFERROR(__xludf.DUMMYFUNCTION("""COMPUTED_VALUE"""),"CALLE 6N No. 4 - 200 / CASA M11 CONJUNTO JUNIN 2")</f>
        <v>CALLE 6N No. 4 - 200 / CASA M11 CONJUNTO JUNIN 2</v>
      </c>
      <c r="G9299" s="15" t="str">
        <f>IFERROR(__xludf.DUMMYFUNCTION("""COMPUTED_VALUE"""),"KATHERINE PABON")</f>
        <v>KATHERINE PABON</v>
      </c>
      <c r="H9299" s="16">
        <f>IFERROR(__xludf.DUMMYFUNCTION("""COMPUTED_VALUE"""),17977.0)</f>
        <v>17977</v>
      </c>
      <c r="I9299" s="17"/>
      <c r="J9299" s="17"/>
      <c r="K9299" s="17"/>
      <c r="L9299" s="17">
        <f>IFERROR(__xludf.DUMMYFUNCTION("""COMPUTED_VALUE"""),3.214757511E9)</f>
        <v>3214757511</v>
      </c>
      <c r="M9299" s="17"/>
      <c r="N9299" s="17"/>
      <c r="O9299" s="17"/>
      <c r="P9299" s="17" t="b">
        <f>IFERROR(__xludf.DUMMYFUNCTION("""COMPUTED_VALUE"""),FALSE)</f>
        <v>0</v>
      </c>
      <c r="Q9299" s="20" t="str">
        <f>IFERROR(__xludf.DUMMYFUNCTION("""COMPUTED_VALUE"""),"")</f>
        <v/>
      </c>
      <c r="R9299" s="21" t="str">
        <f>IFERROR(__xludf.DUMMYFUNCTION("""COMPUTED_VALUE"""),"https://drive.google.com/file/d/1ogZbptp4_deCW9qMfBHNY9JkRhXga8UN/view?usp=drivesdk")</f>
        <v>https://drive.google.com/file/d/1ogZbptp4_deCW9qMfBHNY9JkRhXga8UN/view?usp=drivesdk</v>
      </c>
    </row>
    <row r="9300">
      <c r="A9300" s="17" t="str">
        <f>IFERROR(__xludf.DUMMYFUNCTION("""COMPUTED_VALUE"""),"")</f>
        <v/>
      </c>
      <c r="B9300" s="17" t="str">
        <f>IFERROR(__xludf.DUMMYFUNCTION("""COMPUTED_VALUE"""),"")</f>
        <v/>
      </c>
      <c r="C9300" s="17" t="str">
        <f>IFERROR(__xludf.DUMMYFUNCTION("""COMPUTED_VALUE"""),"")</f>
        <v/>
      </c>
      <c r="D9300" s="17" t="str">
        <f>IFERROR(__xludf.DUMMYFUNCTION("""COMPUTED_VALUE"""),"")</f>
        <v/>
      </c>
      <c r="E9300" s="17" t="str">
        <f>IFERROR(__xludf.DUMMYFUNCTION("""COMPUTED_VALUE"""),"")</f>
        <v/>
      </c>
      <c r="F9300" s="17" t="str">
        <f>IFERROR(__xludf.DUMMYFUNCTION("""COMPUTED_VALUE"""),"")</f>
        <v/>
      </c>
      <c r="G9300" s="17" t="str">
        <f>IFERROR(__xludf.DUMMYFUNCTION("""COMPUTED_VALUE"""),"")</f>
        <v/>
      </c>
      <c r="H9300" s="17" t="str">
        <f>IFERROR(__xludf.DUMMYFUNCTION("""COMPUTED_VALUE"""),"")</f>
        <v/>
      </c>
      <c r="I9300" s="17" t="str">
        <f>IFERROR(__xludf.DUMMYFUNCTION("""COMPUTED_VALUE"""),"")</f>
        <v/>
      </c>
      <c r="J9300" s="17" t="str">
        <f>IFERROR(__xludf.DUMMYFUNCTION("""COMPUTED_VALUE"""),"")</f>
        <v/>
      </c>
      <c r="K9300" s="17" t="str">
        <f>IFERROR(__xludf.DUMMYFUNCTION("""COMPUTED_VALUE"""),"")</f>
        <v/>
      </c>
      <c r="L9300" s="17" t="str">
        <f>IFERROR(__xludf.DUMMYFUNCTION("""COMPUTED_VALUE"""),"")</f>
        <v/>
      </c>
      <c r="M9300" s="17" t="str">
        <f>IFERROR(__xludf.DUMMYFUNCTION("""COMPUTED_VALUE"""),"")</f>
        <v/>
      </c>
      <c r="N9300" s="17" t="str">
        <f>IFERROR(__xludf.DUMMYFUNCTION("""COMPUTED_VALUE"""),"")</f>
        <v/>
      </c>
      <c r="O9300" s="17" t="str">
        <f>IFERROR(__xludf.DUMMYFUNCTION("""COMPUTED_VALUE"""),"")</f>
        <v/>
      </c>
      <c r="P9300" s="17" t="str">
        <f>IFERROR(__xludf.DUMMYFUNCTION("""COMPUTED_VALUE"""),"")</f>
        <v/>
      </c>
      <c r="Q9300" s="17" t="str">
        <f>IFERROR(__xludf.DUMMYFUNCTION("""COMPUTED_VALUE"""),"")</f>
        <v/>
      </c>
      <c r="R9300" s="17" t="str">
        <f>IFERROR(__xludf.DUMMYFUNCTION("""COMPUTED_VALUE"""),"")</f>
        <v/>
      </c>
    </row>
    <row r="9301">
      <c r="A9301" s="15">
        <f>IFERROR(__xludf.DUMMYFUNCTION("""COMPUTED_VALUE"""),45265.0)</f>
        <v>45265</v>
      </c>
      <c r="B9301" s="16" t="str">
        <f>IFERROR(__xludf.DUMMYFUNCTION("""COMPUTED_VALUE"""),"Envia")</f>
        <v>Envia</v>
      </c>
      <c r="C9301" s="15" t="str">
        <f>IFERROR(__xludf.DUMMYFUNCTION("""COMPUTED_VALUE"""),"ARMENIA")</f>
        <v>ARMENIA</v>
      </c>
      <c r="D9301" s="15" t="str">
        <f>IFERROR(__xludf.DUMMYFUNCTION("""COMPUTED_VALUE"""),"BOGOTÁ")</f>
        <v>BOGOTÁ</v>
      </c>
      <c r="E9301" s="15" t="str">
        <f>IFERROR(__xludf.DUMMYFUNCTION("""COMPUTED_VALUE"""),"LINA PAOLA RAMIREZ GOMEZ - EVA MAZZITA")</f>
        <v>LINA PAOLA RAMIREZ GOMEZ - EVA MAZZITA</v>
      </c>
      <c r="F9301" s="17" t="str">
        <f>IFERROR(__xludf.DUMMYFUNCTION("""COMPUTED_VALUE"""),"Calle 30#30-11 / Calle 30#30-11")</f>
        <v>Calle 30#30-11 / Calle 30#30-11</v>
      </c>
      <c r="G9301" s="15" t="str">
        <f>IFERROR(__xludf.DUMMYFUNCTION("""COMPUTED_VALUE"""),"YORMARY JIMENEZ")</f>
        <v>YORMARY JIMENEZ</v>
      </c>
      <c r="H9301" s="16">
        <f>IFERROR(__xludf.DUMMYFUNCTION("""COMPUTED_VALUE"""),17954.0)</f>
        <v>17954</v>
      </c>
      <c r="I9301" s="17"/>
      <c r="J9301" s="17"/>
      <c r="K9301" s="17"/>
      <c r="L9301" s="17">
        <f>IFERROR(__xludf.DUMMYFUNCTION("""COMPUTED_VALUE"""),3.113196178E9)</f>
        <v>3113196178</v>
      </c>
      <c r="M9301" s="17"/>
      <c r="N9301" s="17"/>
      <c r="O9301" s="17"/>
      <c r="P9301" s="17" t="b">
        <f>IFERROR(__xludf.DUMMYFUNCTION("""COMPUTED_VALUE"""),FALSE)</f>
        <v>0</v>
      </c>
      <c r="Q9301" s="20" t="str">
        <f>IFERROR(__xludf.DUMMYFUNCTION("""COMPUTED_VALUE"""),"")</f>
        <v/>
      </c>
      <c r="R9301" s="22" t="str">
        <f>IFERROR(__xludf.DUMMYFUNCTION("""COMPUTED_VALUE"""),"")</f>
        <v/>
      </c>
    </row>
    <row r="9302">
      <c r="A9302" s="15">
        <f>IFERROR(__xludf.DUMMYFUNCTION("""COMPUTED_VALUE"""),45265.0)</f>
        <v>45265</v>
      </c>
      <c r="B9302" s="16" t="str">
        <f>IFERROR(__xludf.DUMMYFUNCTION("""COMPUTED_VALUE"""),"Envia")</f>
        <v>Envia</v>
      </c>
      <c r="C9302" s="15" t="str">
        <f>IFERROR(__xludf.DUMMYFUNCTION("""COMPUTED_VALUE"""),"ARMENIA")</f>
        <v>ARMENIA</v>
      </c>
      <c r="D9302" s="15" t="str">
        <f>IFERROR(__xludf.DUMMYFUNCTION("""COMPUTED_VALUE"""),"BOGOTÁ")</f>
        <v>BOGOTÁ</v>
      </c>
      <c r="E9302" s="15" t="str">
        <f>IFERROR(__xludf.DUMMYFUNCTION("""COMPUTED_VALUE"""),"Premium Choice")</f>
        <v>Premium Choice</v>
      </c>
      <c r="F9302" s="17" t="str">
        <f>IFERROR(__xludf.DUMMYFUNCTION("""COMPUTED_VALUE"""),"Km 10 vía tebaida  / Frente al club campestre  / Laureles")</f>
        <v>Km 10 vía tebaida  / Frente al club campestre  / Laureles</v>
      </c>
      <c r="G9302" s="15" t="str">
        <f>IFERROR(__xludf.DUMMYFUNCTION("""COMPUTED_VALUE"""),"Laureles mall paraíso")</f>
        <v>Laureles mall paraíso</v>
      </c>
      <c r="H9302" s="16">
        <f>IFERROR(__xludf.DUMMYFUNCTION("""COMPUTED_VALUE"""),17908.0)</f>
        <v>17908</v>
      </c>
      <c r="I9302" s="18">
        <f>IFERROR(__xludf.DUMMYFUNCTION("""COMPUTED_VALUE"""),17.0)</f>
        <v>17</v>
      </c>
      <c r="J9302" s="18">
        <f>IFERROR(__xludf.DUMMYFUNCTION("""COMPUTED_VALUE"""),20.0)</f>
        <v>20</v>
      </c>
      <c r="K9302" s="18">
        <f>IFERROR(__xludf.DUMMYFUNCTION("""COMPUTED_VALUE"""),30.0)</f>
        <v>30</v>
      </c>
      <c r="L9302" s="17">
        <f>IFERROR(__xludf.DUMMYFUNCTION("""COMPUTED_VALUE"""),3.102170999E9)</f>
        <v>3102170999</v>
      </c>
      <c r="M9302" s="17"/>
      <c r="N9302" s="17"/>
      <c r="O9302" s="17"/>
      <c r="P9302" s="17" t="b">
        <f>IFERROR(__xludf.DUMMYFUNCTION("""COMPUTED_VALUE"""),FALSE)</f>
        <v>0</v>
      </c>
      <c r="Q9302" s="20" t="str">
        <f>IFERROR(__xludf.DUMMYFUNCTION("""COMPUTED_VALUE"""),"")</f>
        <v/>
      </c>
      <c r="R9302" s="21" t="str">
        <f>IFERROR(__xludf.DUMMYFUNCTION("""COMPUTED_VALUE"""),"https://drive.google.com/file/d/1xUkJarcFlmkSzgPz5lZoxS90TJEAFGuD/view?usp=drivesdk")</f>
        <v>https://drive.google.com/file/d/1xUkJarcFlmkSzgPz5lZoxS90TJEAFGuD/view?usp=drivesdk</v>
      </c>
    </row>
    <row r="9303">
      <c r="A9303" s="15">
        <f>IFERROR(__xludf.DUMMYFUNCTION("""COMPUTED_VALUE"""),45265.0)</f>
        <v>45265</v>
      </c>
      <c r="B9303" s="16" t="str">
        <f>IFERROR(__xludf.DUMMYFUNCTION("""COMPUTED_VALUE"""),"Envia")</f>
        <v>Envia</v>
      </c>
      <c r="C9303" s="15" t="str">
        <f>IFERROR(__xludf.DUMMYFUNCTION("""COMPUTED_VALUE"""),"ARMENIA")</f>
        <v>ARMENIA</v>
      </c>
      <c r="D9303" s="15" t="str">
        <f>IFERROR(__xludf.DUMMYFUNCTION("""COMPUTED_VALUE"""),"BOGOTÁ")</f>
        <v>BOGOTÁ</v>
      </c>
      <c r="E9303" s="15" t="str">
        <f>IFERROR(__xludf.DUMMYFUNCTION("""COMPUTED_VALUE"""),"Premium Choice")</f>
        <v>Premium Choice</v>
      </c>
      <c r="F9303" s="17" t="str">
        <f>IFERROR(__xludf.DUMMYFUNCTION("""COMPUTED_VALUE"""),"Km 10 vía tebaida  / Frente al club campestre  / Laureles")</f>
        <v>Km 10 vía tebaida  / Frente al club campestre  / Laureles</v>
      </c>
      <c r="G9303" s="15" t="str">
        <f>IFERROR(__xludf.DUMMYFUNCTION("""COMPUTED_VALUE"""),"Laureles mall paraíso")</f>
        <v>Laureles mall paraíso</v>
      </c>
      <c r="H9303" s="16">
        <f>IFERROR(__xludf.DUMMYFUNCTION("""COMPUTED_VALUE"""),17909.0)</f>
        <v>17909</v>
      </c>
      <c r="I9303" s="18">
        <f>IFERROR(__xludf.DUMMYFUNCTION("""COMPUTED_VALUE"""),17.0)</f>
        <v>17</v>
      </c>
      <c r="J9303" s="18">
        <f>IFERROR(__xludf.DUMMYFUNCTION("""COMPUTED_VALUE"""),30.0)</f>
        <v>30</v>
      </c>
      <c r="K9303" s="18">
        <f>IFERROR(__xludf.DUMMYFUNCTION("""COMPUTED_VALUE"""),20.0)</f>
        <v>20</v>
      </c>
      <c r="L9303" s="17">
        <f>IFERROR(__xludf.DUMMYFUNCTION("""COMPUTED_VALUE"""),3.102170999E9)</f>
        <v>3102170999</v>
      </c>
      <c r="M9303" s="17"/>
      <c r="N9303" s="17"/>
      <c r="O9303" s="17"/>
      <c r="P9303" s="17" t="b">
        <f>IFERROR(__xludf.DUMMYFUNCTION("""COMPUTED_VALUE"""),FALSE)</f>
        <v>0</v>
      </c>
      <c r="Q9303" s="20" t="str">
        <f>IFERROR(__xludf.DUMMYFUNCTION("""COMPUTED_VALUE"""),"")</f>
        <v/>
      </c>
      <c r="R9303" s="21" t="str">
        <f>IFERROR(__xludf.DUMMYFUNCTION("""COMPUTED_VALUE"""),"https://drive.google.com/file/d/1TuT-xYu2q_1Rgly5EgeuXGrKaOnlqI7K/view?usp=drivesdk")</f>
        <v>https://drive.google.com/file/d/1TuT-xYu2q_1Rgly5EgeuXGrKaOnlqI7K/view?usp=drivesdk</v>
      </c>
    </row>
    <row r="9304">
      <c r="A9304" s="15">
        <f>IFERROR(__xludf.DUMMYFUNCTION("""COMPUTED_VALUE"""),45265.0)</f>
        <v>45265</v>
      </c>
      <c r="B9304" s="16" t="str">
        <f>IFERROR(__xludf.DUMMYFUNCTION("""COMPUTED_VALUE"""),"Envia")</f>
        <v>Envia</v>
      </c>
      <c r="C9304" s="15" t="str">
        <f>IFERROR(__xludf.DUMMYFUNCTION("""COMPUTED_VALUE"""),"ARMENIA")</f>
        <v>ARMENIA</v>
      </c>
      <c r="D9304" s="15" t="str">
        <f>IFERROR(__xludf.DUMMYFUNCTION("""COMPUTED_VALUE"""),"MEDELLÍN")</f>
        <v>MEDELLÍN</v>
      </c>
      <c r="E9304" s="15" t="str">
        <f>IFERROR(__xludf.DUMMYFUNCTION("""COMPUTED_VALUE"""),"TOLEDALES S.A.S")</f>
        <v>TOLEDALES S.A.S</v>
      </c>
      <c r="F9304" s="17" t="str">
        <f>IFERROR(__xludf.DUMMYFUNCTION("""COMPUTED_VALUE"""),"carerra 14 46 norte 41 / armenia")</f>
        <v>carerra 14 46 norte 41 / armenia</v>
      </c>
      <c r="G9304" s="15" t="str">
        <f>IFERROR(__xludf.DUMMYFUNCTION("""COMPUTED_VALUE"""),"Supermercados la cima zona de oro")</f>
        <v>Supermercados la cima zona de oro</v>
      </c>
      <c r="H9304" s="16">
        <f>IFERROR(__xludf.DUMMYFUNCTION("""COMPUTED_VALUE"""),17945.0)</f>
        <v>17945</v>
      </c>
      <c r="I9304" s="17"/>
      <c r="J9304" s="17"/>
      <c r="K9304" s="17"/>
      <c r="L9304" s="17">
        <f>IFERROR(__xludf.DUMMYFUNCTION("""COMPUTED_VALUE"""),3.152122106E9)</f>
        <v>3152122106</v>
      </c>
      <c r="M9304" s="17"/>
      <c r="N9304" s="17"/>
      <c r="O9304" s="17"/>
      <c r="P9304" s="17" t="b">
        <f>IFERROR(__xludf.DUMMYFUNCTION("""COMPUTED_VALUE"""),FALSE)</f>
        <v>0</v>
      </c>
      <c r="Q9304" s="20" t="str">
        <f>IFERROR(__xludf.DUMMYFUNCTION("""COMPUTED_VALUE"""),"")</f>
        <v/>
      </c>
      <c r="R9304" s="22" t="str">
        <f>IFERROR(__xludf.DUMMYFUNCTION("""COMPUTED_VALUE"""),"")</f>
        <v/>
      </c>
    </row>
    <row r="9305">
      <c r="A9305" s="15">
        <f>IFERROR(__xludf.DUMMYFUNCTION("""COMPUTED_VALUE"""),45265.0)</f>
        <v>45265</v>
      </c>
      <c r="B9305" s="16" t="str">
        <f>IFERROR(__xludf.DUMMYFUNCTION("""COMPUTED_VALUE"""),"Envia")</f>
        <v>Envia</v>
      </c>
      <c r="C9305" s="15" t="str">
        <f>IFERROR(__xludf.DUMMYFUNCTION("""COMPUTED_VALUE"""),"CALI")</f>
        <v>CALI</v>
      </c>
      <c r="D9305" s="15" t="str">
        <f>IFERROR(__xludf.DUMMYFUNCTION("""COMPUTED_VALUE"""),"BOGOTÁ")</f>
        <v>BOGOTÁ</v>
      </c>
      <c r="E9305" s="15" t="str">
        <f>IFERROR(__xludf.DUMMYFUNCTION("""COMPUTED_VALUE"""),"LINA PAOLA RAMIREZ GOMEZ - EVA MAZZITA")</f>
        <v>LINA PAOLA RAMIREZ GOMEZ - EVA MAZZITA</v>
      </c>
      <c r="F9305" s="17" t="str">
        <f>IFERROR(__xludf.DUMMYFUNCTION("""COMPUTED_VALUE"""),"calle 13a 70-45 / calle 13a 70-45")</f>
        <v>calle 13a 70-45 / calle 13a 70-45</v>
      </c>
      <c r="G9305" s="15" t="str">
        <f>IFERROR(__xludf.DUMMYFUNCTION("""COMPUTED_VALUE"""),"LEIDI JOHANA MOSQUERA MUÑOZ")</f>
        <v>LEIDI JOHANA MOSQUERA MUÑOZ</v>
      </c>
      <c r="H9305" s="16">
        <f>IFERROR(__xludf.DUMMYFUNCTION("""COMPUTED_VALUE"""),17958.0)</f>
        <v>17958</v>
      </c>
      <c r="I9305" s="17"/>
      <c r="J9305" s="17"/>
      <c r="K9305" s="17"/>
      <c r="L9305" s="17">
        <f>IFERROR(__xludf.DUMMYFUNCTION("""COMPUTED_VALUE"""),3.183917404E9)</f>
        <v>3183917404</v>
      </c>
      <c r="M9305" s="17"/>
      <c r="N9305" s="17"/>
      <c r="O9305" s="17"/>
      <c r="P9305" s="17" t="b">
        <f>IFERROR(__xludf.DUMMYFUNCTION("""COMPUTED_VALUE"""),FALSE)</f>
        <v>0</v>
      </c>
      <c r="Q9305" s="20" t="str">
        <f>IFERROR(__xludf.DUMMYFUNCTION("""COMPUTED_VALUE"""),"")</f>
        <v/>
      </c>
      <c r="R9305" s="21" t="str">
        <f>IFERROR(__xludf.DUMMYFUNCTION("""COMPUTED_VALUE"""),"https://drive.google.com/file/d/15cz-6qjjV1CiupbOX6P-boXWDlO2Jc-X/view?usp=drivesdk")</f>
        <v>https://drive.google.com/file/d/15cz-6qjjV1CiupbOX6P-boXWDlO2Jc-X/view?usp=drivesdk</v>
      </c>
    </row>
    <row r="9306">
      <c r="A9306" s="15">
        <f>IFERROR(__xludf.DUMMYFUNCTION("""COMPUTED_VALUE"""),45265.0)</f>
        <v>45265</v>
      </c>
      <c r="B9306" s="16" t="str">
        <f>IFERROR(__xludf.DUMMYFUNCTION("""COMPUTED_VALUE"""),"Envia")</f>
        <v>Envia</v>
      </c>
      <c r="C9306" s="15" t="str">
        <f>IFERROR(__xludf.DUMMYFUNCTION("""COMPUTED_VALUE"""),"CALI")</f>
        <v>CALI</v>
      </c>
      <c r="D9306" s="15" t="str">
        <f>IFERROR(__xludf.DUMMYFUNCTION("""COMPUTED_VALUE"""),"BOGOTÁ")</f>
        <v>BOGOTÁ</v>
      </c>
      <c r="E9306" s="15" t="str">
        <f>IFERROR(__xludf.DUMMYFUNCTION("""COMPUTED_VALUE"""),"Ventura Productos Arg")</f>
        <v>Ventura Productos Arg</v>
      </c>
      <c r="F9306" s="17" t="str">
        <f>IFERROR(__xludf.DUMMYFUNCTION("""COMPUTED_VALUE"""),"Calle 5 No. 5-61. / Calle 5 No. 5-61. Barrio San Pedro.")</f>
        <v>Calle 5 No. 5-61. / Calle 5 No. 5-61. Barrio San Pedro.</v>
      </c>
      <c r="G9306" s="15" t="str">
        <f>IFERROR(__xludf.DUMMYFUNCTION("""COMPUTED_VALUE"""),"Joaquín Rodríguez")</f>
        <v>Joaquín Rodríguez</v>
      </c>
      <c r="H9306" s="16">
        <f>IFERROR(__xludf.DUMMYFUNCTION("""COMPUTED_VALUE"""),17920.0)</f>
        <v>17920</v>
      </c>
      <c r="I9306" s="17"/>
      <c r="J9306" s="17"/>
      <c r="K9306" s="17"/>
      <c r="L9306" s="17"/>
      <c r="M9306" s="17"/>
      <c r="N9306" s="17"/>
      <c r="O9306" s="17"/>
      <c r="P9306" s="17" t="b">
        <f>IFERROR(__xludf.DUMMYFUNCTION("""COMPUTED_VALUE"""),FALSE)</f>
        <v>0</v>
      </c>
      <c r="Q9306" s="20" t="str">
        <f>IFERROR(__xludf.DUMMYFUNCTION("""COMPUTED_VALUE"""),"")</f>
        <v/>
      </c>
      <c r="R9306" s="21" t="str">
        <f>IFERROR(__xludf.DUMMYFUNCTION("""COMPUTED_VALUE"""),"https://drive.google.com/file/d/1-Q6WFgt2Jb96W04_lBsphTB71Z2QkrUd/view?usp=drivesdk")</f>
        <v>https://drive.google.com/file/d/1-Q6WFgt2Jb96W04_lBsphTB71Z2QkrUd/view?usp=drivesdk</v>
      </c>
    </row>
    <row r="9307">
      <c r="A9307" s="15">
        <f>IFERROR(__xludf.DUMMYFUNCTION("""COMPUTED_VALUE"""),45265.0)</f>
        <v>45265</v>
      </c>
      <c r="B9307" s="16" t="str">
        <f>IFERROR(__xludf.DUMMYFUNCTION("""COMPUTED_VALUE"""),"Envia")</f>
        <v>Envia</v>
      </c>
      <c r="C9307" s="15" t="str">
        <f>IFERROR(__xludf.DUMMYFUNCTION("""COMPUTED_VALUE"""),"DOS QUEBRADAS")</f>
        <v>DOS QUEBRADAS</v>
      </c>
      <c r="D9307" s="15" t="str">
        <f>IFERROR(__xludf.DUMMYFUNCTION("""COMPUTED_VALUE"""),"BOGOTÁ")</f>
        <v>BOGOTÁ</v>
      </c>
      <c r="E9307" s="15" t="str">
        <f>IFERROR(__xludf.DUMMYFUNCTION("""COMPUTED_VALUE"""),"Asociacion Agropecuaria Juana Maria")</f>
        <v>Asociacion Agropecuaria Juana Maria</v>
      </c>
      <c r="F9307" s="17" t="str">
        <f>IFERROR(__xludf.DUMMYFUNCTION("""COMPUTED_VALUE"""),"Mz 19 Cs 22 colinas del bosque dosquebradas / Dosquebradas")</f>
        <v>Mz 19 Cs 22 colinas del bosque dosquebradas / Dosquebradas</v>
      </c>
      <c r="G9307" s="15" t="str">
        <f>IFERROR(__xludf.DUMMYFUNCTION("""COMPUTED_VALUE"""),"Viviana Paola Jaramillo Figueroa")</f>
        <v>Viviana Paola Jaramillo Figueroa</v>
      </c>
      <c r="H9307" s="16">
        <f>IFERROR(__xludf.DUMMYFUNCTION("""COMPUTED_VALUE"""),17928.0)</f>
        <v>17928</v>
      </c>
      <c r="I9307" s="17"/>
      <c r="J9307" s="17"/>
      <c r="K9307" s="17"/>
      <c r="L9307" s="17">
        <f>IFERROR(__xludf.DUMMYFUNCTION("""COMPUTED_VALUE"""),3.136551321E9)</f>
        <v>3136551321</v>
      </c>
      <c r="M9307" s="17"/>
      <c r="N9307" s="17"/>
      <c r="O9307" s="17"/>
      <c r="P9307" s="17" t="b">
        <f>IFERROR(__xludf.DUMMYFUNCTION("""COMPUTED_VALUE"""),FALSE)</f>
        <v>0</v>
      </c>
      <c r="Q9307" s="20" t="str">
        <f>IFERROR(__xludf.DUMMYFUNCTION("""COMPUTED_VALUE"""),"")</f>
        <v/>
      </c>
      <c r="R9307" s="21" t="str">
        <f>IFERROR(__xludf.DUMMYFUNCTION("""COMPUTED_VALUE"""),"https://drive.google.com/file/d/1pnuz7QaqKwp8-T7dYklcEgrScFAYQ3Kr/view?usp=drivesdk")</f>
        <v>https://drive.google.com/file/d/1pnuz7QaqKwp8-T7dYklcEgrScFAYQ3Kr/view?usp=drivesdk</v>
      </c>
    </row>
    <row r="9308">
      <c r="A9308" s="15">
        <f>IFERROR(__xludf.DUMMYFUNCTION("""COMPUTED_VALUE"""),45265.0)</f>
        <v>45265</v>
      </c>
      <c r="B9308" s="16" t="str">
        <f>IFERROR(__xludf.DUMMYFUNCTION("""COMPUTED_VALUE"""),"Envia")</f>
        <v>Envia</v>
      </c>
      <c r="C9308" s="15" t="str">
        <f>IFERROR(__xludf.DUMMYFUNCTION("""COMPUTED_VALUE"""),"DOS QUEBRADAS")</f>
        <v>DOS QUEBRADAS</v>
      </c>
      <c r="D9308" s="15" t="str">
        <f>IFERROR(__xludf.DUMMYFUNCTION("""COMPUTED_VALUE"""),"BOGOTÁ")</f>
        <v>BOGOTÁ</v>
      </c>
      <c r="E9308" s="15" t="str">
        <f>IFERROR(__xludf.DUMMYFUNCTION("""COMPUTED_VALUE"""),"Athenas")</f>
        <v>Athenas</v>
      </c>
      <c r="F9308" s="17" t="str">
        <f>IFERROR(__xludf.DUMMYFUNCTION("""COMPUTED_VALUE"""),"CARRERA 16 #43 LOCAL 208 CENTRO COMERCIAL EL PROGRESO / BODYTECH CAFETERIA / DOSQUEBRADAS RISARALDA")</f>
        <v>CARRERA 16 #43 LOCAL 208 CENTRO COMERCIAL EL PROGRESO / BODYTECH CAFETERIA / DOSQUEBRADAS RISARALDA</v>
      </c>
      <c r="G9308" s="15" t="str">
        <f>IFERROR(__xludf.DUMMYFUNCTION("""COMPUTED_VALUE"""),"ADRIANA CASTRO")</f>
        <v>ADRIANA CASTRO</v>
      </c>
      <c r="H9308" s="16">
        <f>IFERROR(__xludf.DUMMYFUNCTION("""COMPUTED_VALUE"""),17942.0)</f>
        <v>17942</v>
      </c>
      <c r="I9308" s="18">
        <f>IFERROR(__xludf.DUMMYFUNCTION("""COMPUTED_VALUE"""),50.0)</f>
        <v>50</v>
      </c>
      <c r="J9308" s="18">
        <f>IFERROR(__xludf.DUMMYFUNCTION("""COMPUTED_VALUE"""),30.0)</f>
        <v>30</v>
      </c>
      <c r="K9308" s="18">
        <f>IFERROR(__xludf.DUMMYFUNCTION("""COMPUTED_VALUE"""),21.0)</f>
        <v>21</v>
      </c>
      <c r="L9308" s="17">
        <f>IFERROR(__xludf.DUMMYFUNCTION("""COMPUTED_VALUE"""),3.104011367E9)</f>
        <v>3104011367</v>
      </c>
      <c r="M9308" s="17"/>
      <c r="N9308" s="17"/>
      <c r="O9308" s="17"/>
      <c r="P9308" s="17" t="b">
        <f>IFERROR(__xludf.DUMMYFUNCTION("""COMPUTED_VALUE"""),FALSE)</f>
        <v>0</v>
      </c>
      <c r="Q9308" s="20" t="str">
        <f>IFERROR(__xludf.DUMMYFUNCTION("""COMPUTED_VALUE"""),"")</f>
        <v/>
      </c>
      <c r="R9308" s="21" t="str">
        <f>IFERROR(__xludf.DUMMYFUNCTION("""COMPUTED_VALUE"""),"https://drive.google.com/file/d/1abzGY-MmtEWtsDvCV8sXs_OJ-pEXRSCW/view?usp=drivesdk")</f>
        <v>https://drive.google.com/file/d/1abzGY-MmtEWtsDvCV8sXs_OJ-pEXRSCW/view?usp=drivesdk</v>
      </c>
    </row>
    <row r="9309">
      <c r="A9309" s="15">
        <f>IFERROR(__xludf.DUMMYFUNCTION("""COMPUTED_VALUE"""),45265.0)</f>
        <v>45265</v>
      </c>
      <c r="B9309" s="16" t="str">
        <f>IFERROR(__xludf.DUMMYFUNCTION("""COMPUTED_VALUE"""),"Envia")</f>
        <v>Envia</v>
      </c>
      <c r="C9309" s="15" t="str">
        <f>IFERROR(__xludf.DUMMYFUNCTION("""COMPUTED_VALUE"""),"ENVIGADO")</f>
        <v>ENVIGADO</v>
      </c>
      <c r="D9309" s="15" t="str">
        <f>IFERROR(__xludf.DUMMYFUNCTION("""COMPUTED_VALUE"""),"BOGOTÁ")</f>
        <v>BOGOTÁ</v>
      </c>
      <c r="E9309" s="15" t="str">
        <f>IFERROR(__xludf.DUMMYFUNCTION("""COMPUTED_VALUE"""),"Top Spun")</f>
        <v>Top Spun</v>
      </c>
      <c r="F9309" s="17" t="str">
        <f>IFERROR(__xludf.DUMMYFUNCTION("""COMPUTED_VALUE"""),"Calle 45B sur# 38 15 / Edificio Antillas del sur apto 601 / Envigado")</f>
        <v>Calle 45B sur# 38 15 / Edificio Antillas del sur apto 601 / Envigado</v>
      </c>
      <c r="G9309" s="15" t="str">
        <f>IFERROR(__xludf.DUMMYFUNCTION("""COMPUTED_VALUE"""),"Ana Peña")</f>
        <v>Ana Peña</v>
      </c>
      <c r="H9309" s="16">
        <f>IFERROR(__xludf.DUMMYFUNCTION("""COMPUTED_VALUE"""),17911.0)</f>
        <v>17911</v>
      </c>
      <c r="I9309" s="18">
        <f>IFERROR(__xludf.DUMMYFUNCTION("""COMPUTED_VALUE"""),20.0)</f>
        <v>20</v>
      </c>
      <c r="J9309" s="18">
        <f>IFERROR(__xludf.DUMMYFUNCTION("""COMPUTED_VALUE"""),10.0)</f>
        <v>10</v>
      </c>
      <c r="K9309" s="18">
        <f>IFERROR(__xludf.DUMMYFUNCTION("""COMPUTED_VALUE"""),40.0)</f>
        <v>40</v>
      </c>
      <c r="L9309" s="17">
        <f>IFERROR(__xludf.DUMMYFUNCTION("""COMPUTED_VALUE"""),3.043911631E9)</f>
        <v>3043911631</v>
      </c>
      <c r="M9309" s="17"/>
      <c r="N9309" s="17"/>
      <c r="O9309" s="17"/>
      <c r="P9309" s="17" t="b">
        <f>IFERROR(__xludf.DUMMYFUNCTION("""COMPUTED_VALUE"""),FALSE)</f>
        <v>0</v>
      </c>
      <c r="Q9309" s="20" t="str">
        <f>IFERROR(__xludf.DUMMYFUNCTION("""COMPUTED_VALUE"""),"")</f>
        <v/>
      </c>
      <c r="R9309" s="21" t="str">
        <f>IFERROR(__xludf.DUMMYFUNCTION("""COMPUTED_VALUE"""),"https://drive.google.com/file/d/1swJbHJi8LtsjiXEqxPDkgHJl_xZm5mR2/view?usp=drivesdk")</f>
        <v>https://drive.google.com/file/d/1swJbHJi8LtsjiXEqxPDkgHJl_xZm5mR2/view?usp=drivesdk</v>
      </c>
    </row>
    <row r="9310">
      <c r="A9310" s="15">
        <f>IFERROR(__xludf.DUMMYFUNCTION("""COMPUTED_VALUE"""),45265.0)</f>
        <v>45265</v>
      </c>
      <c r="B9310" s="16" t="str">
        <f>IFERROR(__xludf.DUMMYFUNCTION("""COMPUTED_VALUE"""),"Envia")</f>
        <v>Envia</v>
      </c>
      <c r="C9310" s="15" t="str">
        <f>IFERROR(__xludf.DUMMYFUNCTION("""COMPUTED_VALUE"""),"ITAGÜI")</f>
        <v>ITAGÜI</v>
      </c>
      <c r="D9310" s="15" t="str">
        <f>IFERROR(__xludf.DUMMYFUNCTION("""COMPUTED_VALUE"""),"BOGOTÁ")</f>
        <v>BOGOTÁ</v>
      </c>
      <c r="E9310" s="15" t="str">
        <f>IFERROR(__xludf.DUMMYFUNCTION("""COMPUTED_VALUE"""),"LINA PAOLA RAMIREZ GOMEZ - EVA MAZZITA")</f>
        <v>LINA PAOLA RAMIREZ GOMEZ - EVA MAZZITA</v>
      </c>
      <c r="F9310" s="17" t="str">
        <f>IFERROR(__xludf.DUMMYFUNCTION("""COMPUTED_VALUE"""),"CRA 53 No. 75AA SUR 90 AP 303 ED. SANTA CATALINA (CERCA A LA CASA FRANCISCANA POR EL MALL SURAMERICA / AP 303 ED. SANTA CATALINA")</f>
        <v>CRA 53 No. 75AA SUR 90 AP 303 ED. SANTA CATALINA (CERCA A LA CASA FRANCISCANA POR EL MALL SURAMERICA / AP 303 ED. SANTA CATALINA</v>
      </c>
      <c r="G9310" s="15" t="str">
        <f>IFERROR(__xludf.DUMMYFUNCTION("""COMPUTED_VALUE"""),"MARIA ELENA CONTRERAS MATTOS")</f>
        <v>MARIA ELENA CONTRERAS MATTOS</v>
      </c>
      <c r="H9310" s="16">
        <f>IFERROR(__xludf.DUMMYFUNCTION("""COMPUTED_VALUE"""),17962.0)</f>
        <v>17962</v>
      </c>
      <c r="I9310" s="17"/>
      <c r="J9310" s="17"/>
      <c r="K9310" s="17"/>
      <c r="L9310" s="17">
        <f>IFERROR(__xludf.DUMMYFUNCTION("""COMPUTED_VALUE"""),3.165204659E9)</f>
        <v>3165204659</v>
      </c>
      <c r="M9310" s="17"/>
      <c r="N9310" s="17"/>
      <c r="O9310" s="17"/>
      <c r="P9310" s="17" t="b">
        <f>IFERROR(__xludf.DUMMYFUNCTION("""COMPUTED_VALUE"""),FALSE)</f>
        <v>0</v>
      </c>
      <c r="Q9310" s="20" t="str">
        <f>IFERROR(__xludf.DUMMYFUNCTION("""COMPUTED_VALUE"""),"")</f>
        <v/>
      </c>
      <c r="R9310" s="21" t="str">
        <f>IFERROR(__xludf.DUMMYFUNCTION("""COMPUTED_VALUE"""),"https://drive.google.com/file/d/1KO1E3DAu9Ekz2pYvvB8t29OAbzFaFKbu/view?usp=drivesdk")</f>
        <v>https://drive.google.com/file/d/1KO1E3DAu9Ekz2pYvvB8t29OAbzFaFKbu/view?usp=drivesdk</v>
      </c>
    </row>
    <row r="9311">
      <c r="A9311" s="15">
        <f>IFERROR(__xludf.DUMMYFUNCTION("""COMPUTED_VALUE"""),45265.0)</f>
        <v>45265</v>
      </c>
      <c r="B9311" s="16" t="str">
        <f>IFERROR(__xludf.DUMMYFUNCTION("""COMPUTED_VALUE"""),"Envia")</f>
        <v>Envia</v>
      </c>
      <c r="C9311" s="15" t="str">
        <f>IFERROR(__xludf.DUMMYFUNCTION("""COMPUTED_VALUE"""),"MANIZALES")</f>
        <v>MANIZALES</v>
      </c>
      <c r="D9311" s="15" t="str">
        <f>IFERROR(__xludf.DUMMYFUNCTION("""COMPUTED_VALUE"""),"MEDELLÍN")</f>
        <v>MEDELLÍN</v>
      </c>
      <c r="E9311" s="15" t="str">
        <f>IFERROR(__xludf.DUMMYFUNCTION("""COMPUTED_VALUE"""),"Baby Chef")</f>
        <v>Baby Chef</v>
      </c>
      <c r="F9311" s="17" t="str">
        <f>IFERROR(__xludf.DUMMYFUNCTION("""COMPUTED_VALUE"""),"Carrera 17# 64a 236 / . / .")</f>
        <v>Carrera 17# 64a 236 / . / .</v>
      </c>
      <c r="G9311" s="15" t="str">
        <f>IFERROR(__xludf.DUMMYFUNCTION("""COMPUTED_VALUE"""),"MIshelle Abad")</f>
        <v>MIshelle Abad</v>
      </c>
      <c r="H9311" s="16">
        <f>IFERROR(__xludf.DUMMYFUNCTION("""COMPUTED_VALUE"""),17990.0)</f>
        <v>17990</v>
      </c>
      <c r="I9311" s="18">
        <f>IFERROR(__xludf.DUMMYFUNCTION("""COMPUTED_VALUE"""),13.0)</f>
        <v>13</v>
      </c>
      <c r="J9311" s="18">
        <f>IFERROR(__xludf.DUMMYFUNCTION("""COMPUTED_VALUE"""),23.0)</f>
        <v>23</v>
      </c>
      <c r="K9311" s="18">
        <f>IFERROR(__xludf.DUMMYFUNCTION("""COMPUTED_VALUE"""),25.0)</f>
        <v>25</v>
      </c>
      <c r="L9311" s="17">
        <f>IFERROR(__xludf.DUMMYFUNCTION("""COMPUTED_VALUE"""),3.114006903E9)</f>
        <v>3114006903</v>
      </c>
      <c r="M9311" s="17"/>
      <c r="N9311" s="17"/>
      <c r="O9311" s="17"/>
      <c r="P9311" s="17" t="b">
        <f>IFERROR(__xludf.DUMMYFUNCTION("""COMPUTED_VALUE"""),FALSE)</f>
        <v>0</v>
      </c>
      <c r="Q9311" s="20" t="str">
        <f>IFERROR(__xludf.DUMMYFUNCTION("""COMPUTED_VALUE"""),"")</f>
        <v/>
      </c>
      <c r="R9311" s="21" t="str">
        <f>IFERROR(__xludf.DUMMYFUNCTION("""COMPUTED_VALUE"""),"https://drive.google.com/file/d/1AnvuN__NGN-jXxAsUk28qr7weqDn0sJV/view?usp=drivesdk")</f>
        <v>https://drive.google.com/file/d/1AnvuN__NGN-jXxAsUk28qr7weqDn0sJV/view?usp=drivesdk</v>
      </c>
    </row>
    <row r="9312">
      <c r="A9312" s="15">
        <f>IFERROR(__xludf.DUMMYFUNCTION("""COMPUTED_VALUE"""),45265.0)</f>
        <v>45265</v>
      </c>
      <c r="B9312" s="16" t="str">
        <f>IFERROR(__xludf.DUMMYFUNCTION("""COMPUTED_VALUE"""),"Envia")</f>
        <v>Envia</v>
      </c>
      <c r="C9312" s="15" t="str">
        <f>IFERROR(__xludf.DUMMYFUNCTION("""COMPUTED_VALUE"""),"MANIZALES")</f>
        <v>MANIZALES</v>
      </c>
      <c r="D9312" s="15" t="str">
        <f>IFERROR(__xludf.DUMMYFUNCTION("""COMPUTED_VALUE"""),"MEDELLÍN")</f>
        <v>MEDELLÍN</v>
      </c>
      <c r="E9312" s="15" t="str">
        <f>IFERROR(__xludf.DUMMYFUNCTION("""COMPUTED_VALUE"""),"Baby Chef")</f>
        <v>Baby Chef</v>
      </c>
      <c r="F9312" s="17" t="str">
        <f>IFERROR(__xludf.DUMMYFUNCTION("""COMPUTED_VALUE"""),"Ed Miluzka  Calle 65 A # 27-69 Apto 301 Palermo / . / .")</f>
        <v>Ed Miluzka  Calle 65 A # 27-69 Apto 301 Palermo / . / .</v>
      </c>
      <c r="G9312" s="15" t="str">
        <f>IFERROR(__xludf.DUMMYFUNCTION("""COMPUTED_VALUE"""),"Angélica María Giraldo")</f>
        <v>Angélica María Giraldo</v>
      </c>
      <c r="H9312" s="16">
        <f>IFERROR(__xludf.DUMMYFUNCTION("""COMPUTED_VALUE"""),17989.0)</f>
        <v>17989</v>
      </c>
      <c r="I9312" s="18">
        <f>IFERROR(__xludf.DUMMYFUNCTION("""COMPUTED_VALUE"""),11.0)</f>
        <v>11</v>
      </c>
      <c r="J9312" s="18">
        <f>IFERROR(__xludf.DUMMYFUNCTION("""COMPUTED_VALUE"""),25.0)</f>
        <v>25</v>
      </c>
      <c r="K9312" s="18">
        <f>IFERROR(__xludf.DUMMYFUNCTION("""COMPUTED_VALUE"""),39.0)</f>
        <v>39</v>
      </c>
      <c r="L9312" s="17">
        <f>IFERROR(__xludf.DUMMYFUNCTION("""COMPUTED_VALUE"""),3.135763698E9)</f>
        <v>3135763698</v>
      </c>
      <c r="M9312" s="17"/>
      <c r="N9312" s="17"/>
      <c r="O9312" s="17"/>
      <c r="P9312" s="17" t="b">
        <f>IFERROR(__xludf.DUMMYFUNCTION("""COMPUTED_VALUE"""),TRUE)</f>
        <v>1</v>
      </c>
      <c r="Q9312" s="20">
        <f>IFERROR(__xludf.DUMMYFUNCTION("""COMPUTED_VALUE"""),45265.59633612269)</f>
        <v>45265.59634</v>
      </c>
      <c r="R9312" s="21" t="str">
        <f>IFERROR(__xludf.DUMMYFUNCTION("""COMPUTED_VALUE"""),"https://drive.google.com/file/d/1npqn8SHEwyJB-yIyfOha_acypGgGJfb-/view?usp=drivesdk")</f>
        <v>https://drive.google.com/file/d/1npqn8SHEwyJB-yIyfOha_acypGgGJfb-/view?usp=drivesdk</v>
      </c>
    </row>
    <row r="9313">
      <c r="A9313" s="15">
        <f>IFERROR(__xludf.DUMMYFUNCTION("""COMPUTED_VALUE"""),45265.0)</f>
        <v>45265</v>
      </c>
      <c r="B9313" s="16" t="str">
        <f>IFERROR(__xludf.DUMMYFUNCTION("""COMPUTED_VALUE"""),"Envia")</f>
        <v>Envia</v>
      </c>
      <c r="C9313" s="15" t="str">
        <f>IFERROR(__xludf.DUMMYFUNCTION("""COMPUTED_VALUE"""),"MANIZALES")</f>
        <v>MANIZALES</v>
      </c>
      <c r="D9313" s="15" t="str">
        <f>IFERROR(__xludf.DUMMYFUNCTION("""COMPUTED_VALUE"""),"MEDELLÍN")</f>
        <v>MEDELLÍN</v>
      </c>
      <c r="E9313" s="15" t="str">
        <f>IFERROR(__xludf.DUMMYFUNCTION("""COMPUTED_VALUE"""),"Todo Bufala")</f>
        <v>Todo Bufala</v>
      </c>
      <c r="F9313" s="17" t="str">
        <f>IFERROR(__xludf.DUMMYFUNCTION("""COMPUTED_VALUE"""),"Calle 66 #23B - 211 / Edifico calle larga, local 5c")</f>
        <v>Calle 66 #23B - 211 / Edifico calle larga, local 5c</v>
      </c>
      <c r="G9313" s="15" t="str">
        <f>IFERROR(__xludf.DUMMYFUNCTION("""COMPUTED_VALUE"""),"Sebastian Perez Pineda")</f>
        <v>Sebastian Perez Pineda</v>
      </c>
      <c r="H9313" s="16">
        <f>IFERROR(__xludf.DUMMYFUNCTION("""COMPUTED_VALUE"""),17931.0)</f>
        <v>17931</v>
      </c>
      <c r="I9313" s="17"/>
      <c r="J9313" s="17"/>
      <c r="K9313" s="17"/>
      <c r="L9313" s="17">
        <f>IFERROR(__xludf.DUMMYFUNCTION("""COMPUTED_VALUE"""),3.106974621E9)</f>
        <v>3106974621</v>
      </c>
      <c r="M9313" s="17"/>
      <c r="N9313" s="17"/>
      <c r="O9313" s="17"/>
      <c r="P9313" s="17" t="b">
        <f>IFERROR(__xludf.DUMMYFUNCTION("""COMPUTED_VALUE"""),TRUE)</f>
        <v>1</v>
      </c>
      <c r="Q9313" s="20">
        <f>IFERROR(__xludf.DUMMYFUNCTION("""COMPUTED_VALUE"""),45265.59952988426)</f>
        <v>45265.59953</v>
      </c>
      <c r="R9313" s="21" t="str">
        <f>IFERROR(__xludf.DUMMYFUNCTION("""COMPUTED_VALUE"""),"https://drive.google.com/file/d/1gBbjqhSTuIpaPLYZB7zqyNbC4s_S-TPK/view?usp=drivesdk")</f>
        <v>https://drive.google.com/file/d/1gBbjqhSTuIpaPLYZB7zqyNbC4s_S-TPK/view?usp=drivesdk</v>
      </c>
    </row>
    <row r="9314">
      <c r="A9314" s="15">
        <f>IFERROR(__xludf.DUMMYFUNCTION("""COMPUTED_VALUE"""),45265.0)</f>
        <v>45265</v>
      </c>
      <c r="B9314" s="16" t="str">
        <f>IFERROR(__xludf.DUMMYFUNCTION("""COMPUTED_VALUE"""),"Envia")</f>
        <v>Envia</v>
      </c>
      <c r="C9314" s="15" t="str">
        <f>IFERROR(__xludf.DUMMYFUNCTION("""COMPUTED_VALUE"""),"MEDELLÍN")</f>
        <v>MEDELLÍN</v>
      </c>
      <c r="D9314" s="15" t="str">
        <f>IFERROR(__xludf.DUMMYFUNCTION("""COMPUTED_VALUE"""),"BOGOTÁ")</f>
        <v>BOGOTÁ</v>
      </c>
      <c r="E9314" s="15" t="str">
        <f>IFERROR(__xludf.DUMMYFUNCTION("""COMPUTED_VALUE"""),"Asociacion Agropecuaria Juana Maria")</f>
        <v>Asociacion Agropecuaria Juana Maria</v>
      </c>
      <c r="F9314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9314" s="15" t="str">
        <f>IFERROR(__xludf.DUMMYFUNCTION("""COMPUTED_VALUE"""),"Jennifer Sanchez Blandon")</f>
        <v>Jennifer Sanchez Blandon</v>
      </c>
      <c r="H9314" s="16">
        <f>IFERROR(__xludf.DUMMYFUNCTION("""COMPUTED_VALUE"""),17923.0)</f>
        <v>17923</v>
      </c>
      <c r="I9314" s="17"/>
      <c r="J9314" s="17"/>
      <c r="K9314" s="17"/>
      <c r="L9314" s="17">
        <f>IFERROR(__xludf.DUMMYFUNCTION("""COMPUTED_VALUE"""),3.016937674E9)</f>
        <v>3016937674</v>
      </c>
      <c r="M9314" s="17"/>
      <c r="N9314" s="17"/>
      <c r="O9314" s="17"/>
      <c r="P9314" s="17" t="b">
        <f>IFERROR(__xludf.DUMMYFUNCTION("""COMPUTED_VALUE"""),TRUE)</f>
        <v>1</v>
      </c>
      <c r="Q9314" s="20">
        <f>IFERROR(__xludf.DUMMYFUNCTION("""COMPUTED_VALUE"""),45265.55828528936)</f>
        <v>45265.55829</v>
      </c>
      <c r="R9314" s="21" t="str">
        <f>IFERROR(__xludf.DUMMYFUNCTION("""COMPUTED_VALUE"""),"https://drive.google.com/file/d/1ZyXGc0O6lzfWWy2PuYMDnqw41ztOTaHs/view?usp=drivesdk")</f>
        <v>https://drive.google.com/file/d/1ZyXGc0O6lzfWWy2PuYMDnqw41ztOTaHs/view?usp=drivesdk</v>
      </c>
    </row>
    <row r="9315">
      <c r="A9315" s="15">
        <f>IFERROR(__xludf.DUMMYFUNCTION("""COMPUTED_VALUE"""),45265.0)</f>
        <v>45265</v>
      </c>
      <c r="B9315" s="16" t="str">
        <f>IFERROR(__xludf.DUMMYFUNCTION("""COMPUTED_VALUE"""),"Envia")</f>
        <v>Envia</v>
      </c>
      <c r="C9315" s="15" t="str">
        <f>IFERROR(__xludf.DUMMYFUNCTION("""COMPUTED_VALUE"""),"MEDELLÍN")</f>
        <v>MEDELLÍN</v>
      </c>
      <c r="D9315" s="15" t="str">
        <f>IFERROR(__xludf.DUMMYFUNCTION("""COMPUTED_VALUE"""),"BOGOTÁ")</f>
        <v>BOGOTÁ</v>
      </c>
      <c r="E9315" s="15" t="str">
        <f>IFERROR(__xludf.DUMMYFUNCTION("""COMPUTED_VALUE"""),"Instinto alimento vital")</f>
        <v>Instinto alimento vital</v>
      </c>
      <c r="F9315" s="17" t="str">
        <f>IFERROR(__xludf.DUMMYFUNCTION("""COMPUTED_VALUE"""),"Calle 45 # 79-26 / Dos cuadras abajo de la Lázaro de la América")</f>
        <v>Calle 45 # 79-26 / Dos cuadras abajo de la Lázaro de la América</v>
      </c>
      <c r="G9315" s="15" t="str">
        <f>IFERROR(__xludf.DUMMYFUNCTION("""COMPUTED_VALUE"""),"MADO EXPRESS // JAIME ANDRES BLANDON LOPEZ,")</f>
        <v>MADO EXPRESS // JAIME ANDRES BLANDON LOPEZ,</v>
      </c>
      <c r="H9315" s="16">
        <f>IFERROR(__xludf.DUMMYFUNCTION("""COMPUTED_VALUE"""),17950.0)</f>
        <v>17950</v>
      </c>
      <c r="I9315" s="17"/>
      <c r="J9315" s="17"/>
      <c r="K9315" s="17"/>
      <c r="L9315" s="17">
        <f>IFERROR(__xludf.DUMMYFUNCTION("""COMPUTED_VALUE"""),3.002842264E9)</f>
        <v>3002842264</v>
      </c>
      <c r="M9315" s="17"/>
      <c r="N9315" s="17"/>
      <c r="O9315" s="17"/>
      <c r="P9315" s="17" t="b">
        <f>IFERROR(__xludf.DUMMYFUNCTION("""COMPUTED_VALUE"""),TRUE)</f>
        <v>1</v>
      </c>
      <c r="Q9315" s="20">
        <f>IFERROR(__xludf.DUMMYFUNCTION("""COMPUTED_VALUE"""),45265.55842482639)</f>
        <v>45265.55842</v>
      </c>
      <c r="R9315" s="21" t="str">
        <f>IFERROR(__xludf.DUMMYFUNCTION("""COMPUTED_VALUE"""),"https://drive.google.com/file/d/1tb36SUfDSi2US-l_JdeiaBPFVgYFK9It/view?usp=drivesdk")</f>
        <v>https://drive.google.com/file/d/1tb36SUfDSi2US-l_JdeiaBPFVgYFK9It/view?usp=drivesdk</v>
      </c>
    </row>
    <row r="9316">
      <c r="A9316" s="15">
        <f>IFERROR(__xludf.DUMMYFUNCTION("""COMPUTED_VALUE"""),45265.0)</f>
        <v>45265</v>
      </c>
      <c r="B9316" s="16" t="str">
        <f>IFERROR(__xludf.DUMMYFUNCTION("""COMPUTED_VALUE"""),"Envia")</f>
        <v>Envia</v>
      </c>
      <c r="C9316" s="15" t="str">
        <f>IFERROR(__xludf.DUMMYFUNCTION("""COMPUTED_VALUE"""),"MEDELLÍN")</f>
        <v>MEDELLÍN</v>
      </c>
      <c r="D9316" s="15" t="str">
        <f>IFERROR(__xludf.DUMMYFUNCTION("""COMPUTED_VALUE"""),"BOGOTÁ")</f>
        <v>BOGOTÁ</v>
      </c>
      <c r="E9316" s="15" t="str">
        <f>IFERROR(__xludf.DUMMYFUNCTION("""COMPUTED_VALUE"""),"LINA PAOLA RAMIREZ GOMEZ - EVA MAZZITA")</f>
        <v>LINA PAOLA RAMIREZ GOMEZ - EVA MAZZITA</v>
      </c>
      <c r="F9316" s="17" t="str">
        <f>IFERROR(__xludf.DUMMYFUNCTION("""COMPUTED_VALUE"""),"CRA 15 BA No. 34D - 44 / INT 201")</f>
        <v>CRA 15 BA No. 34D - 44 / INT 201</v>
      </c>
      <c r="G9316" s="15" t="str">
        <f>IFERROR(__xludf.DUMMYFUNCTION("""COMPUTED_VALUE"""),"DANIELA BEDOYA BLANDON")</f>
        <v>DANIELA BEDOYA BLANDON</v>
      </c>
      <c r="H9316" s="16">
        <f>IFERROR(__xludf.DUMMYFUNCTION("""COMPUTED_VALUE"""),17955.0)</f>
        <v>17955</v>
      </c>
      <c r="I9316" s="17"/>
      <c r="J9316" s="17"/>
      <c r="K9316" s="17"/>
      <c r="L9316" s="17">
        <f>IFERROR(__xludf.DUMMYFUNCTION("""COMPUTED_VALUE"""),3.14672822E9)</f>
        <v>3146728220</v>
      </c>
      <c r="M9316" s="17"/>
      <c r="N9316" s="17"/>
      <c r="O9316" s="17"/>
      <c r="P9316" s="17" t="b">
        <f>IFERROR(__xludf.DUMMYFUNCTION("""COMPUTED_VALUE"""),TRUE)</f>
        <v>1</v>
      </c>
      <c r="Q9316" s="20">
        <f>IFERROR(__xludf.DUMMYFUNCTION("""COMPUTED_VALUE"""),45265.55853596065)</f>
        <v>45265.55854</v>
      </c>
      <c r="R9316" s="21" t="str">
        <f>IFERROR(__xludf.DUMMYFUNCTION("""COMPUTED_VALUE"""),"https://drive.google.com/file/d/1Ycbt4IdKmaJ25ruw8MzfLbQRcmofq1l6/view?usp=drivesdk")</f>
        <v>https://drive.google.com/file/d/1Ycbt4IdKmaJ25ruw8MzfLbQRcmofq1l6/view?usp=drivesdk</v>
      </c>
    </row>
    <row r="9317">
      <c r="A9317" s="15">
        <f>IFERROR(__xludf.DUMMYFUNCTION("""COMPUTED_VALUE"""),45265.0)</f>
        <v>45265</v>
      </c>
      <c r="B9317" s="16" t="str">
        <f>IFERROR(__xludf.DUMMYFUNCTION("""COMPUTED_VALUE"""),"Envia")</f>
        <v>Envia</v>
      </c>
      <c r="C9317" s="15" t="str">
        <f>IFERROR(__xludf.DUMMYFUNCTION("""COMPUTED_VALUE"""),"MEDELLÍN")</f>
        <v>MEDELLÍN</v>
      </c>
      <c r="D9317" s="15" t="str">
        <f>IFERROR(__xludf.DUMMYFUNCTION("""COMPUTED_VALUE"""),"BOGOTÁ")</f>
        <v>BOGOTÁ</v>
      </c>
      <c r="E9317" s="15" t="str">
        <f>IFERROR(__xludf.DUMMYFUNCTION("""COMPUTED_VALUE"""),"LINA PAOLA RAMIREZ GOMEZ - EVA MAZZITA")</f>
        <v>LINA PAOLA RAMIREZ GOMEZ - EVA MAZZITA</v>
      </c>
      <c r="F9317" s="17" t="str">
        <f>IFERROR(__xludf.DUMMYFUNCTION("""COMPUTED_VALUE"""),"Cra 48 No. 17A SUR -47 / Edificio Portugal 404")</f>
        <v>Cra 48 No. 17A SUR -47 / Edificio Portugal 404</v>
      </c>
      <c r="G9317" s="15" t="str">
        <f>IFERROR(__xludf.DUMMYFUNCTION("""COMPUTED_VALUE"""),"DANIELA VELASQUEZ")</f>
        <v>DANIELA VELASQUEZ</v>
      </c>
      <c r="H9317" s="16">
        <f>IFERROR(__xludf.DUMMYFUNCTION("""COMPUTED_VALUE"""),17963.0)</f>
        <v>17963</v>
      </c>
      <c r="I9317" s="17"/>
      <c r="J9317" s="17"/>
      <c r="K9317" s="17"/>
      <c r="L9317" s="17">
        <f>IFERROR(__xludf.DUMMYFUNCTION("""COMPUTED_VALUE"""),3.135401331E9)</f>
        <v>3135401331</v>
      </c>
      <c r="M9317" s="17"/>
      <c r="N9317" s="17"/>
      <c r="O9317" s="17"/>
      <c r="P9317" s="17" t="b">
        <f>IFERROR(__xludf.DUMMYFUNCTION("""COMPUTED_VALUE"""),FALSE)</f>
        <v>0</v>
      </c>
      <c r="Q9317" s="20" t="str">
        <f>IFERROR(__xludf.DUMMYFUNCTION("""COMPUTED_VALUE"""),"")</f>
        <v/>
      </c>
      <c r="R9317" s="21" t="str">
        <f>IFERROR(__xludf.DUMMYFUNCTION("""COMPUTED_VALUE"""),"https://drive.google.com/file/d/1xj3k5Eb51ZSMocXZr4YmMPrTsU9uv3PT/view?usp=drivesdk")</f>
        <v>https://drive.google.com/file/d/1xj3k5Eb51ZSMocXZr4YmMPrTsU9uv3PT/view?usp=drivesdk</v>
      </c>
    </row>
    <row r="9318">
      <c r="A9318" s="15">
        <f>IFERROR(__xludf.DUMMYFUNCTION("""COMPUTED_VALUE"""),45265.0)</f>
        <v>45265</v>
      </c>
      <c r="B9318" s="16" t="str">
        <f>IFERROR(__xludf.DUMMYFUNCTION("""COMPUTED_VALUE"""),"Envia")</f>
        <v>Envia</v>
      </c>
      <c r="C9318" s="15" t="str">
        <f>IFERROR(__xludf.DUMMYFUNCTION("""COMPUTED_VALUE"""),"MEDELLÍN")</f>
        <v>MEDELLÍN</v>
      </c>
      <c r="D9318" s="15" t="str">
        <f>IFERROR(__xludf.DUMMYFUNCTION("""COMPUTED_VALUE"""),"BOGOTÁ")</f>
        <v>BOGOTÁ</v>
      </c>
      <c r="E9318" s="15" t="str">
        <f>IFERROR(__xludf.DUMMYFUNCTION("""COMPUTED_VALUE"""),"Top Spun")</f>
        <v>Top Spun</v>
      </c>
      <c r="F9318" s="17" t="str">
        <f>IFERROR(__xludf.DUMMYFUNCTION("""COMPUTED_VALUE"""),"cra 29D #7 A 120 / edificio Mindanao  / apto 602")</f>
        <v>cra 29D #7 A 120 / edificio Mindanao  / apto 602</v>
      </c>
      <c r="G9318" s="15" t="str">
        <f>IFERROR(__xludf.DUMMYFUNCTION("""COMPUTED_VALUE"""),"Margarita Toro")</f>
        <v>Margarita Toro</v>
      </c>
      <c r="H9318" s="16">
        <f>IFERROR(__xludf.DUMMYFUNCTION("""COMPUTED_VALUE"""),17912.0)</f>
        <v>17912</v>
      </c>
      <c r="I9318" s="18">
        <f>IFERROR(__xludf.DUMMYFUNCTION("""COMPUTED_VALUE"""),20.0)</f>
        <v>20</v>
      </c>
      <c r="J9318" s="18">
        <f>IFERROR(__xludf.DUMMYFUNCTION("""COMPUTED_VALUE"""),10.0)</f>
        <v>10</v>
      </c>
      <c r="K9318" s="18">
        <f>IFERROR(__xludf.DUMMYFUNCTION("""COMPUTED_VALUE"""),40.0)</f>
        <v>40</v>
      </c>
      <c r="L9318" s="17">
        <f>IFERROR(__xludf.DUMMYFUNCTION("""COMPUTED_VALUE"""),3.18713022E9)</f>
        <v>3187130220</v>
      </c>
      <c r="M9318" s="17"/>
      <c r="N9318" s="17"/>
      <c r="O9318" s="17"/>
      <c r="P9318" s="17" t="b">
        <f>IFERROR(__xludf.DUMMYFUNCTION("""COMPUTED_VALUE"""),FALSE)</f>
        <v>0</v>
      </c>
      <c r="Q9318" s="20" t="str">
        <f>IFERROR(__xludf.DUMMYFUNCTION("""COMPUTED_VALUE"""),"")</f>
        <v/>
      </c>
      <c r="R9318" s="21" t="str">
        <f>IFERROR(__xludf.DUMMYFUNCTION("""COMPUTED_VALUE"""),"https://drive.google.com/file/d/1JsqTIWgDbdHmHv2grFrhytE8Hcado8UX/view?usp=drivesdk")</f>
        <v>https://drive.google.com/file/d/1JsqTIWgDbdHmHv2grFrhytE8Hcado8UX/view?usp=drivesdk</v>
      </c>
    </row>
    <row r="9319">
      <c r="A9319" s="15">
        <f>IFERROR(__xludf.DUMMYFUNCTION("""COMPUTED_VALUE"""),45265.0)</f>
        <v>45265</v>
      </c>
      <c r="B9319" s="16" t="str">
        <f>IFERROR(__xludf.DUMMYFUNCTION("""COMPUTED_VALUE"""),"Envia")</f>
        <v>Envia</v>
      </c>
      <c r="C9319" s="15" t="str">
        <f>IFERROR(__xludf.DUMMYFUNCTION("""COMPUTED_VALUE"""),"PALMIRA")</f>
        <v>PALMIRA</v>
      </c>
      <c r="D9319" s="15" t="str">
        <f>IFERROR(__xludf.DUMMYFUNCTION("""COMPUTED_VALUE"""),"BOGOTÁ")</f>
        <v>BOGOTÁ</v>
      </c>
      <c r="E9319" s="15" t="str">
        <f>IFERROR(__xludf.DUMMYFUNCTION("""COMPUTED_VALUE"""),"LINA PAOLA RAMIREZ GOMEZ - EVA MAZZITA")</f>
        <v>LINA PAOLA RAMIREZ GOMEZ - EVA MAZZITA</v>
      </c>
      <c r="F9319" s="17" t="str">
        <f>IFERROR(__xludf.DUMMYFUNCTION("""COMPUTED_VALUE"""),"calle 43b 2 -147 / Santa María del palmar (RECIBE MAURICIO YESID GARZÓN)")</f>
        <v>calle 43b 2 -147 / Santa María del palmar (RECIBE MAURICIO YESID GARZÓN)</v>
      </c>
      <c r="G9319" s="15" t="str">
        <f>IFERROR(__xludf.DUMMYFUNCTION("""COMPUTED_VALUE"""),"DIOSELINA JHOSSEP BENAVIDES")</f>
        <v>DIOSELINA JHOSSEP BENAVIDES</v>
      </c>
      <c r="H9319" s="16">
        <f>IFERROR(__xludf.DUMMYFUNCTION("""COMPUTED_VALUE"""),17975.0)</f>
        <v>17975</v>
      </c>
      <c r="I9319" s="17"/>
      <c r="J9319" s="17"/>
      <c r="K9319" s="17"/>
      <c r="L9319" s="17">
        <f>IFERROR(__xludf.DUMMYFUNCTION("""COMPUTED_VALUE"""),3.218874122E9)</f>
        <v>3218874122</v>
      </c>
      <c r="M9319" s="17"/>
      <c r="N9319" s="17"/>
      <c r="O9319" s="17"/>
      <c r="P9319" s="17" t="b">
        <f>IFERROR(__xludf.DUMMYFUNCTION("""COMPUTED_VALUE"""),FALSE)</f>
        <v>0</v>
      </c>
      <c r="Q9319" s="20" t="str">
        <f>IFERROR(__xludf.DUMMYFUNCTION("""COMPUTED_VALUE"""),"")</f>
        <v/>
      </c>
      <c r="R9319" s="21" t="str">
        <f>IFERROR(__xludf.DUMMYFUNCTION("""COMPUTED_VALUE"""),"https://drive.google.com/file/d/1y3jSx85EfPKUNtQT7TPwQE4XrhKQNy-C/view?usp=drivesdk")</f>
        <v>https://drive.google.com/file/d/1y3jSx85EfPKUNtQT7TPwQE4XrhKQNy-C/view?usp=drivesdk</v>
      </c>
    </row>
    <row r="9320">
      <c r="A9320" s="15">
        <f>IFERROR(__xludf.DUMMYFUNCTION("""COMPUTED_VALUE"""),45265.0)</f>
        <v>45265</v>
      </c>
      <c r="B9320" s="16" t="str">
        <f>IFERROR(__xludf.DUMMYFUNCTION("""COMPUTED_VALUE"""),"Envia")</f>
        <v>Envia</v>
      </c>
      <c r="C9320" s="15" t="str">
        <f>IFERROR(__xludf.DUMMYFUNCTION("""COMPUTED_VALUE"""),"SABANETA")</f>
        <v>SABANETA</v>
      </c>
      <c r="D9320" s="15" t="str">
        <f>IFERROR(__xludf.DUMMYFUNCTION("""COMPUTED_VALUE"""),"BOGOTÁ")</f>
        <v>BOGOTÁ</v>
      </c>
      <c r="E9320" s="15" t="str">
        <f>IFERROR(__xludf.DUMMYFUNCTION("""COMPUTED_VALUE"""),"LINA PAOLA RAMIREZ GOMEZ - EVA MAZZITA")</f>
        <v>LINA PAOLA RAMIREZ GOMEZ - EVA MAZZITA</v>
      </c>
      <c r="F9320" s="17" t="str">
        <f>IFERROR(__xludf.DUMMYFUNCTION("""COMPUTED_VALUE"""),"Cra 32 # 77 sur 205 / Apartamento 1926")</f>
        <v>Cra 32 # 77 sur 205 / Apartamento 1926</v>
      </c>
      <c r="G9320" s="15" t="str">
        <f>IFERROR(__xludf.DUMMYFUNCTION("""COMPUTED_VALUE"""),"ALEJANDRA ACOSTA MORALES")</f>
        <v>ALEJANDRA ACOSTA MORALES</v>
      </c>
      <c r="H9320" s="16">
        <f>IFERROR(__xludf.DUMMYFUNCTION("""COMPUTED_VALUE"""),17974.0)</f>
        <v>17974</v>
      </c>
      <c r="I9320" s="17"/>
      <c r="J9320" s="17"/>
      <c r="K9320" s="17"/>
      <c r="L9320" s="17">
        <f>IFERROR(__xludf.DUMMYFUNCTION("""COMPUTED_VALUE"""),3.023734592E9)</f>
        <v>3023734592</v>
      </c>
      <c r="M9320" s="17"/>
      <c r="N9320" s="17"/>
      <c r="O9320" s="17"/>
      <c r="P9320" s="17" t="b">
        <f>IFERROR(__xludf.DUMMYFUNCTION("""COMPUTED_VALUE"""),FALSE)</f>
        <v>0</v>
      </c>
      <c r="Q9320" s="20" t="str">
        <f>IFERROR(__xludf.DUMMYFUNCTION("""COMPUTED_VALUE"""),"")</f>
        <v/>
      </c>
      <c r="R9320" s="21" t="str">
        <f>IFERROR(__xludf.DUMMYFUNCTION("""COMPUTED_VALUE"""),"https://drive.google.com/file/d/1bvafe24Vwb_i_Z1muRlEuBL3TkdeaAgS/view?usp=drivesdk")</f>
        <v>https://drive.google.com/file/d/1bvafe24Vwb_i_Z1muRlEuBL3TkdeaAgS/view?usp=drivesdk</v>
      </c>
    </row>
    <row r="9321">
      <c r="A9321" s="15">
        <f>IFERROR(__xludf.DUMMYFUNCTION("""COMPUTED_VALUE"""),45265.0)</f>
        <v>45265</v>
      </c>
      <c r="B9321" s="16" t="str">
        <f>IFERROR(__xludf.DUMMYFUNCTION("""COMPUTED_VALUE"""),"Envia")</f>
        <v>Envia</v>
      </c>
      <c r="C9321" s="15" t="str">
        <f>IFERROR(__xludf.DUMMYFUNCTION("""COMPUTED_VALUE"""),"TUNJA")</f>
        <v>TUNJA</v>
      </c>
      <c r="D9321" s="15" t="str">
        <f>IFERROR(__xludf.DUMMYFUNCTION("""COMPUTED_VALUE"""),"BOGOTÁ")</f>
        <v>BOGOTÁ</v>
      </c>
      <c r="E9321" s="15" t="str">
        <f>IFERROR(__xludf.DUMMYFUNCTION("""COMPUTED_VALUE"""),"Top Spun")</f>
        <v>Top Spun</v>
      </c>
      <c r="F9321" s="17" t="str">
        <f>IFERROR(__xludf.DUMMYFUNCTION("""COMPUTED_VALUE"""),"Carrera 8# 45a 91  / apto 201 / Edificio Santa Liliana")</f>
        <v>Carrera 8# 45a 91  / apto 201 / Edificio Santa Liliana</v>
      </c>
      <c r="G9321" s="15" t="str">
        <f>IFERROR(__xludf.DUMMYFUNCTION("""COMPUTED_VALUE"""),"Liliana Cifuentes")</f>
        <v>Liliana Cifuentes</v>
      </c>
      <c r="H9321" s="16">
        <f>IFERROR(__xludf.DUMMYFUNCTION("""COMPUTED_VALUE"""),17968.0)</f>
        <v>17968</v>
      </c>
      <c r="I9321" s="18">
        <f>IFERROR(__xludf.DUMMYFUNCTION("""COMPUTED_VALUE"""),20.0)</f>
        <v>20</v>
      </c>
      <c r="J9321" s="18">
        <f>IFERROR(__xludf.DUMMYFUNCTION("""COMPUTED_VALUE"""),10.0)</f>
        <v>10</v>
      </c>
      <c r="K9321" s="18">
        <f>IFERROR(__xludf.DUMMYFUNCTION("""COMPUTED_VALUE"""),40.0)</f>
        <v>40</v>
      </c>
      <c r="L9321" s="17">
        <f>IFERROR(__xludf.DUMMYFUNCTION("""COMPUTED_VALUE"""),3.044603065E9)</f>
        <v>3044603065</v>
      </c>
      <c r="M9321" s="17"/>
      <c r="N9321" s="17"/>
      <c r="O9321" s="17"/>
      <c r="P9321" s="17" t="b">
        <f>IFERROR(__xludf.DUMMYFUNCTION("""COMPUTED_VALUE"""),FALSE)</f>
        <v>0</v>
      </c>
      <c r="Q9321" s="20" t="str">
        <f>IFERROR(__xludf.DUMMYFUNCTION("""COMPUTED_VALUE"""),"")</f>
        <v/>
      </c>
      <c r="R9321" s="22" t="str">
        <f>IFERROR(__xludf.DUMMYFUNCTION("""COMPUTED_VALUE"""),"")</f>
        <v/>
      </c>
    </row>
    <row r="9322">
      <c r="A9322" s="15">
        <f>IFERROR(__xludf.DUMMYFUNCTION("""COMPUTED_VALUE"""),45265.0)</f>
        <v>45265</v>
      </c>
      <c r="B9322" s="16" t="str">
        <f>IFERROR(__xludf.DUMMYFUNCTION("""COMPUTED_VALUE"""),"Envia")</f>
        <v>Envia</v>
      </c>
      <c r="C9322" s="15" t="str">
        <f>IFERROR(__xludf.DUMMYFUNCTION("""COMPUTED_VALUE"""),"ZIPAQUIRA")</f>
        <v>ZIPAQUIRA</v>
      </c>
      <c r="D9322" s="15" t="str">
        <f>IFERROR(__xludf.DUMMYFUNCTION("""COMPUTED_VALUE"""),"BUCARAMANGA")</f>
        <v>BUCARAMANGA</v>
      </c>
      <c r="E9322" s="15" t="str">
        <f>IFERROR(__xludf.DUMMYFUNCTION("""COMPUTED_VALUE"""),"Yo Como Solito")</f>
        <v>Yo Como Solito</v>
      </c>
      <c r="F9322" s="17" t="str">
        <f>IFERROR(__xludf.DUMMYFUNCTION("""COMPUTED_VALUE"""),"DIAGONAL 4B # 31-20 TORRE 11 APARTAMENTO 644 SIENNA LA TOSCANA / DIAGONAL 4B # 31-20 TORRE 11 APARTAMENTO 644 SIENNA LA TOSCANA / DIAGONAL 4B # 31-20 TORRE 11 APARTAMENTO 644 SIENNA LA TOSCANA")</f>
        <v>DIAGONAL 4B # 31-20 TORRE 11 APARTAMENTO 644 SIENNA LA TOSCANA / DIAGONAL 4B # 31-20 TORRE 11 APARTAMENTO 644 SIENNA LA TOSCANA / DIAGONAL 4B # 31-20 TORRE 11 APARTAMENTO 644 SIENNA LA TOSCANA</v>
      </c>
      <c r="G9322" s="15" t="str">
        <f>IFERROR(__xludf.DUMMYFUNCTION("""COMPUTED_VALUE"""),"DIANA CAROLINA DIAZ DURAN")</f>
        <v>DIANA CAROLINA DIAZ DURAN</v>
      </c>
      <c r="H9322" s="16">
        <f>IFERROR(__xludf.DUMMYFUNCTION("""COMPUTED_VALUE"""),17903.0)</f>
        <v>17903</v>
      </c>
      <c r="I9322" s="18">
        <f>IFERROR(__xludf.DUMMYFUNCTION("""COMPUTED_VALUE"""),13.0)</f>
        <v>13</v>
      </c>
      <c r="J9322" s="18">
        <f>IFERROR(__xludf.DUMMYFUNCTION("""COMPUTED_VALUE"""),29.0)</f>
        <v>29</v>
      </c>
      <c r="K9322" s="18">
        <f>IFERROR(__xludf.DUMMYFUNCTION("""COMPUTED_VALUE"""),37.0)</f>
        <v>37</v>
      </c>
      <c r="L9322" s="17">
        <f>IFERROR(__xludf.DUMMYFUNCTION("""COMPUTED_VALUE"""),3.185572046E9)</f>
        <v>3185572046</v>
      </c>
      <c r="M9322" s="17"/>
      <c r="N9322" s="17"/>
      <c r="O9322" s="17"/>
      <c r="P9322" s="17" t="b">
        <f>IFERROR(__xludf.DUMMYFUNCTION("""COMPUTED_VALUE"""),FALSE)</f>
        <v>0</v>
      </c>
      <c r="Q9322" s="20" t="str">
        <f>IFERROR(__xludf.DUMMYFUNCTION("""COMPUTED_VALUE"""),"")</f>
        <v/>
      </c>
      <c r="R9322" s="21" t="str">
        <f>IFERROR(__xludf.DUMMYFUNCTION("""COMPUTED_VALUE"""),"https://drive.google.com/file/d/16MFk8iqy3Qs8BqIM4gTo2F8vhITh0cuo/view?usp=drivesdk")</f>
        <v>https://drive.google.com/file/d/16MFk8iqy3Qs8BqIM4gTo2F8vhITh0cuo/view?usp=drivesdk</v>
      </c>
    </row>
    <row r="9323">
      <c r="A9323" s="17" t="str">
        <f>IFERROR(__xludf.DUMMYFUNCTION("""COMPUTED_VALUE"""),"")</f>
        <v/>
      </c>
      <c r="B9323" s="17" t="str">
        <f>IFERROR(__xludf.DUMMYFUNCTION("""COMPUTED_VALUE"""),"")</f>
        <v/>
      </c>
      <c r="C9323" s="17" t="str">
        <f>IFERROR(__xludf.DUMMYFUNCTION("""COMPUTED_VALUE"""),"")</f>
        <v/>
      </c>
      <c r="D9323" s="17" t="str">
        <f>IFERROR(__xludf.DUMMYFUNCTION("""COMPUTED_VALUE"""),"")</f>
        <v/>
      </c>
      <c r="E9323" s="17" t="str">
        <f>IFERROR(__xludf.DUMMYFUNCTION("""COMPUTED_VALUE"""),"")</f>
        <v/>
      </c>
      <c r="F9323" s="17" t="str">
        <f>IFERROR(__xludf.DUMMYFUNCTION("""COMPUTED_VALUE"""),"")</f>
        <v/>
      </c>
      <c r="G9323" s="17" t="str">
        <f>IFERROR(__xludf.DUMMYFUNCTION("""COMPUTED_VALUE"""),"")</f>
        <v/>
      </c>
      <c r="H9323" s="17" t="str">
        <f>IFERROR(__xludf.DUMMYFUNCTION("""COMPUTED_VALUE"""),"")</f>
        <v/>
      </c>
      <c r="I9323" s="17" t="str">
        <f>IFERROR(__xludf.DUMMYFUNCTION("""COMPUTED_VALUE"""),"")</f>
        <v/>
      </c>
      <c r="J9323" s="17" t="str">
        <f>IFERROR(__xludf.DUMMYFUNCTION("""COMPUTED_VALUE"""),"")</f>
        <v/>
      </c>
      <c r="K9323" s="17" t="str">
        <f>IFERROR(__xludf.DUMMYFUNCTION("""COMPUTED_VALUE"""),"")</f>
        <v/>
      </c>
      <c r="L9323" s="17" t="str">
        <f>IFERROR(__xludf.DUMMYFUNCTION("""COMPUTED_VALUE"""),"")</f>
        <v/>
      </c>
      <c r="M9323" s="17" t="str">
        <f>IFERROR(__xludf.DUMMYFUNCTION("""COMPUTED_VALUE"""),"")</f>
        <v/>
      </c>
      <c r="N9323" s="17" t="str">
        <f>IFERROR(__xludf.DUMMYFUNCTION("""COMPUTED_VALUE"""),"")</f>
        <v/>
      </c>
      <c r="O9323" s="17" t="str">
        <f>IFERROR(__xludf.DUMMYFUNCTION("""COMPUTED_VALUE"""),"")</f>
        <v/>
      </c>
      <c r="P9323" s="17" t="str">
        <f>IFERROR(__xludf.DUMMYFUNCTION("""COMPUTED_VALUE"""),"")</f>
        <v/>
      </c>
      <c r="Q9323" s="17" t="str">
        <f>IFERROR(__xludf.DUMMYFUNCTION("""COMPUTED_VALUE"""),"")</f>
        <v/>
      </c>
      <c r="R9323" s="17" t="str">
        <f>IFERROR(__xludf.DUMMYFUNCTION("""COMPUTED_VALUE"""),"")</f>
        <v/>
      </c>
    </row>
    <row r="9324">
      <c r="A9324" s="15">
        <f>IFERROR(__xludf.DUMMYFUNCTION("""COMPUTED_VALUE"""),45265.0)</f>
        <v>45265</v>
      </c>
      <c r="B9324" s="16" t="str">
        <f>IFERROR(__xludf.DUMMYFUNCTION("""COMPUTED_VALUE"""),"Jhon Anderson Ceballos Hernandez")</f>
        <v>Jhon Anderson Ceballos Hernandez</v>
      </c>
      <c r="C9324" s="15" t="str">
        <f>IFERROR(__xludf.DUMMYFUNCTION("""COMPUTED_VALUE"""),"MANIZALES")</f>
        <v>MANIZALES</v>
      </c>
      <c r="D9324" s="15" t="str">
        <f>IFERROR(__xludf.DUMMYFUNCTION("""COMPUTED_VALUE"""),"BOGOTÁ")</f>
        <v>BOGOTÁ</v>
      </c>
      <c r="E9324" s="15" t="str">
        <f>IFERROR(__xludf.DUMMYFUNCTION("""COMPUTED_VALUE"""),"Asociacion Agropecuaria Juana Maria")</f>
        <v>Asociacion Agropecuaria Juana Maria</v>
      </c>
      <c r="F9324" s="17" t="str">
        <f>IFERROR(__xludf.DUMMYFUNCTION("""COMPUTED_VALUE"""),"CRA 28 D # 70-46 barrio Palermo / Casa")</f>
        <v>CRA 28 D # 70-46 barrio Palermo / Casa</v>
      </c>
      <c r="G9324" s="15" t="str">
        <f>IFERROR(__xludf.DUMMYFUNCTION("""COMPUTED_VALUE"""),"Paula Ximena Bolaños Quintero")</f>
        <v>Paula Ximena Bolaños Quintero</v>
      </c>
      <c r="H9324" s="16">
        <f>IFERROR(__xludf.DUMMYFUNCTION("""COMPUTED_VALUE"""),17929.0)</f>
        <v>17929</v>
      </c>
      <c r="I9324" s="17"/>
      <c r="J9324" s="17"/>
      <c r="K9324" s="17"/>
      <c r="L9324" s="17">
        <f>IFERROR(__xludf.DUMMYFUNCTION("""COMPUTED_VALUE"""),3.10398467E9)</f>
        <v>3103984670</v>
      </c>
      <c r="M9324" s="17"/>
      <c r="N9324" s="17"/>
      <c r="O9324" s="17"/>
      <c r="P9324" s="17" t="b">
        <f>IFERROR(__xludf.DUMMYFUNCTION("""COMPUTED_VALUE"""),FALSE)</f>
        <v>0</v>
      </c>
      <c r="Q9324" s="20" t="str">
        <f>IFERROR(__xludf.DUMMYFUNCTION("""COMPUTED_VALUE"""),"")</f>
        <v/>
      </c>
      <c r="R9324" s="22" t="str">
        <f>IFERROR(__xludf.DUMMYFUNCTION("""COMPUTED_VALUE"""),"")</f>
        <v/>
      </c>
    </row>
    <row r="9325">
      <c r="A9325" s="15">
        <f>IFERROR(__xludf.DUMMYFUNCTION("""COMPUTED_VALUE"""),45265.0)</f>
        <v>45265</v>
      </c>
      <c r="B9325" s="16" t="str">
        <f>IFERROR(__xludf.DUMMYFUNCTION("""COMPUTED_VALUE"""),"Jhon Anderson Ceballos Hernandez")</f>
        <v>Jhon Anderson Ceballos Hernandez</v>
      </c>
      <c r="C9325" s="15" t="str">
        <f>IFERROR(__xludf.DUMMYFUNCTION("""COMPUTED_VALUE"""),"MANIZALES")</f>
        <v>MANIZALES</v>
      </c>
      <c r="D9325" s="15" t="str">
        <f>IFERROR(__xludf.DUMMYFUNCTION("""COMPUTED_VALUE"""),"BOGOTÁ")</f>
        <v>BOGOTÁ</v>
      </c>
      <c r="E9325" s="15" t="str">
        <f>IFERROR(__xludf.DUMMYFUNCTION("""COMPUTED_VALUE"""),"Barf Brothers")</f>
        <v>Barf Brothers</v>
      </c>
      <c r="F9325" s="17" t="str">
        <f>IFERROR(__xludf.DUMMYFUNCTION("""COMPUTED_VALUE"""),"Carrera 37 # 50-15 / El Guamal manizales  / El guamal")</f>
        <v>Carrera 37 # 50-15 / El Guamal manizales  / El guamal</v>
      </c>
      <c r="G9325" s="15" t="str">
        <f>IFERROR(__xludf.DUMMYFUNCTION("""COMPUTED_VALUE"""),"Juan Henao")</f>
        <v>Juan Henao</v>
      </c>
      <c r="H9325" s="16">
        <f>IFERROR(__xludf.DUMMYFUNCTION("""COMPUTED_VALUE"""),17988.0)</f>
        <v>17988</v>
      </c>
      <c r="I9325" s="18">
        <f>IFERROR(__xludf.DUMMYFUNCTION("""COMPUTED_VALUE"""),30.0)</f>
        <v>30</v>
      </c>
      <c r="J9325" s="18">
        <f>IFERROR(__xludf.DUMMYFUNCTION("""COMPUTED_VALUE"""),60.0)</f>
        <v>60</v>
      </c>
      <c r="K9325" s="18">
        <f>IFERROR(__xludf.DUMMYFUNCTION("""COMPUTED_VALUE"""),60.0)</f>
        <v>60</v>
      </c>
      <c r="L9325" s="17">
        <f>IFERROR(__xludf.DUMMYFUNCTION("""COMPUTED_VALUE"""),3.106036418E9)</f>
        <v>3106036418</v>
      </c>
      <c r="M9325" s="17"/>
      <c r="N9325" s="17"/>
      <c r="O9325" s="17"/>
      <c r="P9325" s="17" t="b">
        <f>IFERROR(__xludf.DUMMYFUNCTION("""COMPUTED_VALUE"""),FALSE)</f>
        <v>0</v>
      </c>
      <c r="Q9325" s="20" t="str">
        <f>IFERROR(__xludf.DUMMYFUNCTION("""COMPUTED_VALUE"""),"")</f>
        <v/>
      </c>
      <c r="R9325" s="21" t="str">
        <f>IFERROR(__xludf.DUMMYFUNCTION("""COMPUTED_VALUE"""),"https://drive.google.com/file/d/1PITNMBg3fR3REtIyACHX4PJU_000UcmR/view?usp=drivesdk")</f>
        <v>https://drive.google.com/file/d/1PITNMBg3fR3REtIyACHX4PJU_000UcmR/view?usp=drivesdk</v>
      </c>
    </row>
    <row r="9326">
      <c r="A9326" s="15">
        <f>IFERROR(__xludf.DUMMYFUNCTION("""COMPUTED_VALUE"""),45265.0)</f>
        <v>45265</v>
      </c>
      <c r="B9326" s="16" t="str">
        <f>IFERROR(__xludf.DUMMYFUNCTION("""COMPUTED_VALUE"""),"Jhon Anderson Ceballos Hernandez")</f>
        <v>Jhon Anderson Ceballos Hernandez</v>
      </c>
      <c r="C9326" s="15" t="str">
        <f>IFERROR(__xludf.DUMMYFUNCTION("""COMPUTED_VALUE"""),"TUNJA")</f>
        <v>TUNJA</v>
      </c>
      <c r="D9326" s="15" t="str">
        <f>IFERROR(__xludf.DUMMYFUNCTION("""COMPUTED_VALUE"""),"BOGOTÁ")</f>
        <v>BOGOTÁ</v>
      </c>
      <c r="E9326" s="15" t="str">
        <f>IFERROR(__xludf.DUMMYFUNCTION("""COMPUTED_VALUE"""),"LINA PAOLA RAMIREZ GOMEZ - EVA MAZZITA")</f>
        <v>LINA PAOLA RAMIREZ GOMEZ - EVA MAZZITA</v>
      </c>
      <c r="F9326" s="17" t="str">
        <f>IFERROR(__xludf.DUMMYFUNCTION("""COMPUTED_VALUE"""),"Diagonal 66A # 4-20 / Barrio Los Muiscas")</f>
        <v>Diagonal 66A # 4-20 / Barrio Los Muiscas</v>
      </c>
      <c r="G9326" s="15" t="str">
        <f>IFERROR(__xludf.DUMMYFUNCTION("""COMPUTED_VALUE"""),"MERY YOLIMA URIBE RIOS")</f>
        <v>MERY YOLIMA URIBE RIOS</v>
      </c>
      <c r="H9326" s="16">
        <f>IFERROR(__xludf.DUMMYFUNCTION("""COMPUTED_VALUE"""),17981.0)</f>
        <v>17981</v>
      </c>
      <c r="I9326" s="17"/>
      <c r="J9326" s="17"/>
      <c r="K9326" s="17"/>
      <c r="L9326" s="17">
        <f>IFERROR(__xludf.DUMMYFUNCTION("""COMPUTED_VALUE"""),3.102399974E9)</f>
        <v>3102399974</v>
      </c>
      <c r="M9326" s="17"/>
      <c r="N9326" s="17"/>
      <c r="O9326" s="17"/>
      <c r="P9326" s="17" t="b">
        <f>IFERROR(__xludf.DUMMYFUNCTION("""COMPUTED_VALUE"""),FALSE)</f>
        <v>0</v>
      </c>
      <c r="Q9326" s="20" t="str">
        <f>IFERROR(__xludf.DUMMYFUNCTION("""COMPUTED_VALUE"""),"")</f>
        <v/>
      </c>
      <c r="R9326" s="22" t="str">
        <f>IFERROR(__xludf.DUMMYFUNCTION("""COMPUTED_VALUE"""),"")</f>
        <v/>
      </c>
    </row>
    <row r="9327">
      <c r="A9327" s="17" t="str">
        <f>IFERROR(__xludf.DUMMYFUNCTION("""COMPUTED_VALUE"""),"")</f>
        <v/>
      </c>
      <c r="B9327" s="17" t="str">
        <f>IFERROR(__xludf.DUMMYFUNCTION("""COMPUTED_VALUE"""),"")</f>
        <v/>
      </c>
      <c r="C9327" s="17" t="str">
        <f>IFERROR(__xludf.DUMMYFUNCTION("""COMPUTED_VALUE"""),"")</f>
        <v/>
      </c>
      <c r="D9327" s="17" t="str">
        <f>IFERROR(__xludf.DUMMYFUNCTION("""COMPUTED_VALUE"""),"")</f>
        <v/>
      </c>
      <c r="E9327" s="17" t="str">
        <f>IFERROR(__xludf.DUMMYFUNCTION("""COMPUTED_VALUE"""),"")</f>
        <v/>
      </c>
      <c r="F9327" s="17" t="str">
        <f>IFERROR(__xludf.DUMMYFUNCTION("""COMPUTED_VALUE"""),"")</f>
        <v/>
      </c>
      <c r="G9327" s="17" t="str">
        <f>IFERROR(__xludf.DUMMYFUNCTION("""COMPUTED_VALUE"""),"")</f>
        <v/>
      </c>
      <c r="H9327" s="17" t="str">
        <f>IFERROR(__xludf.DUMMYFUNCTION("""COMPUTED_VALUE"""),"")</f>
        <v/>
      </c>
      <c r="I9327" s="17" t="str">
        <f>IFERROR(__xludf.DUMMYFUNCTION("""COMPUTED_VALUE"""),"")</f>
        <v/>
      </c>
      <c r="J9327" s="17" t="str">
        <f>IFERROR(__xludf.DUMMYFUNCTION("""COMPUTED_VALUE"""),"")</f>
        <v/>
      </c>
      <c r="K9327" s="17" t="str">
        <f>IFERROR(__xludf.DUMMYFUNCTION("""COMPUTED_VALUE"""),"")</f>
        <v/>
      </c>
      <c r="L9327" s="17" t="str">
        <f>IFERROR(__xludf.DUMMYFUNCTION("""COMPUTED_VALUE"""),"")</f>
        <v/>
      </c>
      <c r="M9327" s="17" t="str">
        <f>IFERROR(__xludf.DUMMYFUNCTION("""COMPUTED_VALUE"""),"")</f>
        <v/>
      </c>
      <c r="N9327" s="17" t="str">
        <f>IFERROR(__xludf.DUMMYFUNCTION("""COMPUTED_VALUE"""),"")</f>
        <v/>
      </c>
      <c r="O9327" s="17" t="str">
        <f>IFERROR(__xludf.DUMMYFUNCTION("""COMPUTED_VALUE"""),"")</f>
        <v/>
      </c>
      <c r="P9327" s="17" t="str">
        <f>IFERROR(__xludf.DUMMYFUNCTION("""COMPUTED_VALUE"""),"")</f>
        <v/>
      </c>
      <c r="Q9327" s="17" t="str">
        <f>IFERROR(__xludf.DUMMYFUNCTION("""COMPUTED_VALUE"""),"")</f>
        <v/>
      </c>
      <c r="R9327" s="17" t="str">
        <f>IFERROR(__xludf.DUMMYFUNCTION("""COMPUTED_VALUE"""),"")</f>
        <v/>
      </c>
    </row>
    <row r="9328">
      <c r="A9328" s="15">
        <f>IFERROR(__xludf.DUMMYFUNCTION("""COMPUTED_VALUE"""),45265.0)</f>
        <v>45265</v>
      </c>
      <c r="B9328" s="16" t="str">
        <f>IFERROR(__xludf.DUMMYFUNCTION("""COMPUTED_VALUE"""),"Johan Alexander Escobar Arroyo ")</f>
        <v>Johan Alexander Escobar Arroyo </v>
      </c>
      <c r="C9328" s="15" t="str">
        <f>IFERROR(__xludf.DUMMYFUNCTION("""COMPUTED_VALUE"""),"CALI")</f>
        <v>CALI</v>
      </c>
      <c r="D9328" s="15" t="str">
        <f>IFERROR(__xludf.DUMMYFUNCTION("""COMPUTED_VALUE"""),"BOGOTÁ")</f>
        <v>BOGOTÁ</v>
      </c>
      <c r="E9328" s="15" t="str">
        <f>IFERROR(__xludf.DUMMYFUNCTION("""COMPUTED_VALUE"""),"Hiiva Fermentados SAS")</f>
        <v>Hiiva Fermentados SAS</v>
      </c>
      <c r="F9328" s="17" t="str">
        <f>IFERROR(__xludf.DUMMYFUNCTION("""COMPUTED_VALUE"""),"Av 5 Nte # 42 - 42 la flora / Tienda Ecohuerta Cali")</f>
        <v>Av 5 Nte # 42 - 42 la flora / Tienda Ecohuerta Cali</v>
      </c>
      <c r="G9328" s="15" t="str">
        <f>IFERROR(__xludf.DUMMYFUNCTION("""COMPUTED_VALUE"""),"Ecohuerta Cali")</f>
        <v>Ecohuerta Cali</v>
      </c>
      <c r="H9328" s="16">
        <f>IFERROR(__xludf.DUMMYFUNCTION("""COMPUTED_VALUE"""),18001.0)</f>
        <v>18001</v>
      </c>
      <c r="I9328" s="17"/>
      <c r="J9328" s="17"/>
      <c r="K9328" s="17"/>
      <c r="L9328" s="17">
        <f>IFERROR(__xludf.DUMMYFUNCTION("""COMPUTED_VALUE"""),3.113856209E9)</f>
        <v>3113856209</v>
      </c>
      <c r="M9328" s="17"/>
      <c r="N9328" s="17"/>
      <c r="O9328" s="17"/>
      <c r="P9328" s="17" t="b">
        <f>IFERROR(__xludf.DUMMYFUNCTION("""COMPUTED_VALUE"""),FALSE)</f>
        <v>0</v>
      </c>
      <c r="Q9328" s="20" t="str">
        <f>IFERROR(__xludf.DUMMYFUNCTION("""COMPUTED_VALUE"""),"")</f>
        <v/>
      </c>
      <c r="R9328" s="21" t="str">
        <f>IFERROR(__xludf.DUMMYFUNCTION("""COMPUTED_VALUE"""),"https://drive.google.com/file/d/14_AxNeEHGUpAN1_eJYsmV_ewt458CtSM/view?usp=drivesdk")</f>
        <v>https://drive.google.com/file/d/14_AxNeEHGUpAN1_eJYsmV_ewt458CtSM/view?usp=drivesdk</v>
      </c>
    </row>
    <row r="9329">
      <c r="A9329" s="15">
        <f>IFERROR(__xludf.DUMMYFUNCTION("""COMPUTED_VALUE"""),45265.0)</f>
        <v>45265</v>
      </c>
      <c r="B9329" s="16" t="str">
        <f>IFERROR(__xludf.DUMMYFUNCTION("""COMPUTED_VALUE"""),"Johan Alexander Escobar Arroyo ")</f>
        <v>Johan Alexander Escobar Arroyo </v>
      </c>
      <c r="C9329" s="15" t="str">
        <f>IFERROR(__xludf.DUMMYFUNCTION("""COMPUTED_VALUE"""),"CALI")</f>
        <v>CALI</v>
      </c>
      <c r="D9329" s="15" t="str">
        <f>IFERROR(__xludf.DUMMYFUNCTION("""COMPUTED_VALUE"""),"BOGOTÁ")</f>
        <v>BOGOTÁ</v>
      </c>
      <c r="E9329" s="15" t="str">
        <f>IFERROR(__xludf.DUMMYFUNCTION("""COMPUTED_VALUE"""),"LINA PAOLA RAMIREZ GOMEZ - EVA MAZZITA")</f>
        <v>LINA PAOLA RAMIREZ GOMEZ - EVA MAZZITA</v>
      </c>
      <c r="F9329" s="17" t="str">
        <f>IFERROR(__xludf.DUMMYFUNCTION("""COMPUTED_VALUE"""),"Carrera 1 Bis #56-84 / Torres de Comfandi/Apto105")</f>
        <v>Carrera 1 Bis #56-84 / Torres de Comfandi/Apto105</v>
      </c>
      <c r="G9329" s="15" t="str">
        <f>IFERROR(__xludf.DUMMYFUNCTION("""COMPUTED_VALUE"""),"JENNIFER VALENCIA")</f>
        <v>JENNIFER VALENCIA</v>
      </c>
      <c r="H9329" s="16">
        <f>IFERROR(__xludf.DUMMYFUNCTION("""COMPUTED_VALUE"""),17957.0)</f>
        <v>17957</v>
      </c>
      <c r="I9329" s="17"/>
      <c r="J9329" s="17"/>
      <c r="K9329" s="17"/>
      <c r="L9329" s="17">
        <f>IFERROR(__xludf.DUMMYFUNCTION("""COMPUTED_VALUE"""),3.147767507E9)</f>
        <v>3147767507</v>
      </c>
      <c r="M9329" s="17"/>
      <c r="N9329" s="17"/>
      <c r="O9329" s="17"/>
      <c r="P9329" s="17" t="b">
        <f>IFERROR(__xludf.DUMMYFUNCTION("""COMPUTED_VALUE"""),FALSE)</f>
        <v>0</v>
      </c>
      <c r="Q9329" s="20" t="str">
        <f>IFERROR(__xludf.DUMMYFUNCTION("""COMPUTED_VALUE"""),"")</f>
        <v/>
      </c>
      <c r="R9329" s="21" t="str">
        <f>IFERROR(__xludf.DUMMYFUNCTION("""COMPUTED_VALUE"""),"https://drive.google.com/file/d/1zRB14uvpVWyuNfElGOxKVJRD9dsNODbn/view?usp=drivesdk")</f>
        <v>https://drive.google.com/file/d/1zRB14uvpVWyuNfElGOxKVJRD9dsNODbn/view?usp=drivesdk</v>
      </c>
    </row>
    <row r="9330">
      <c r="A9330" s="15">
        <f>IFERROR(__xludf.DUMMYFUNCTION("""COMPUTED_VALUE"""),45265.0)</f>
        <v>45265</v>
      </c>
      <c r="B9330" s="16" t="str">
        <f>IFERROR(__xludf.DUMMYFUNCTION("""COMPUTED_VALUE"""),"Johan Alexander Escobar Arroyo ")</f>
        <v>Johan Alexander Escobar Arroyo </v>
      </c>
      <c r="C9330" s="15" t="str">
        <f>IFERROR(__xludf.DUMMYFUNCTION("""COMPUTED_VALUE"""),"CALI")</f>
        <v>CALI</v>
      </c>
      <c r="D9330" s="15" t="str">
        <f>IFERROR(__xludf.DUMMYFUNCTION("""COMPUTED_VALUE"""),"BOGOTÁ")</f>
        <v>BOGOTÁ</v>
      </c>
      <c r="E9330" s="15" t="str">
        <f>IFERROR(__xludf.DUMMYFUNCTION("""COMPUTED_VALUE"""),"LINA PAOLA RAMIREZ GOMEZ - EVA MAZZITA")</f>
        <v>LINA PAOLA RAMIREZ GOMEZ - EVA MAZZITA</v>
      </c>
      <c r="F9330" s="17" t="str">
        <f>IFERROR(__xludf.DUMMYFUNCTION("""COMPUTED_VALUE"""),"CRA 100 No. 28 - 68 / APTO 801 TORRE 3 CR MADEIRA")</f>
        <v>CRA 100 No. 28 - 68 / APTO 801 TORRE 3 CR MADEIRA</v>
      </c>
      <c r="G9330" s="15" t="str">
        <f>IFERROR(__xludf.DUMMYFUNCTION("""COMPUTED_VALUE"""),"ROLADIS VALENCIA")</f>
        <v>ROLADIS VALENCIA</v>
      </c>
      <c r="H9330" s="16">
        <f>IFERROR(__xludf.DUMMYFUNCTION("""COMPUTED_VALUE"""),17959.0)</f>
        <v>17959</v>
      </c>
      <c r="I9330" s="17"/>
      <c r="J9330" s="17"/>
      <c r="K9330" s="17"/>
      <c r="L9330" s="17">
        <f>IFERROR(__xludf.DUMMYFUNCTION("""COMPUTED_VALUE"""),3.218477399E9)</f>
        <v>3218477399</v>
      </c>
      <c r="M9330" s="17"/>
      <c r="N9330" s="17"/>
      <c r="O9330" s="17"/>
      <c r="P9330" s="17" t="b">
        <f>IFERROR(__xludf.DUMMYFUNCTION("""COMPUTED_VALUE"""),FALSE)</f>
        <v>0</v>
      </c>
      <c r="Q9330" s="20" t="str">
        <f>IFERROR(__xludf.DUMMYFUNCTION("""COMPUTED_VALUE"""),"")</f>
        <v/>
      </c>
      <c r="R9330" s="21" t="str">
        <f>IFERROR(__xludf.DUMMYFUNCTION("""COMPUTED_VALUE"""),"https://drive.google.com/file/d/1Feo3ztOHIz1rQ5gCuZQZSK6FgWNGMGBb/view?usp=drivesdk")</f>
        <v>https://drive.google.com/file/d/1Feo3ztOHIz1rQ5gCuZQZSK6FgWNGMGBb/view?usp=drivesdk</v>
      </c>
    </row>
    <row r="9331">
      <c r="A9331" s="15">
        <f>IFERROR(__xludf.DUMMYFUNCTION("""COMPUTED_VALUE"""),45265.0)</f>
        <v>45265</v>
      </c>
      <c r="B9331" s="16" t="str">
        <f>IFERROR(__xludf.DUMMYFUNCTION("""COMPUTED_VALUE"""),"Johan Alexander Escobar Arroyo ")</f>
        <v>Johan Alexander Escobar Arroyo </v>
      </c>
      <c r="C9331" s="15" t="str">
        <f>IFERROR(__xludf.DUMMYFUNCTION("""COMPUTED_VALUE"""),"CALI")</f>
        <v>CALI</v>
      </c>
      <c r="D9331" s="15" t="str">
        <f>IFERROR(__xludf.DUMMYFUNCTION("""COMPUTED_VALUE"""),"BOGOTÁ")</f>
        <v>BOGOTÁ</v>
      </c>
      <c r="E9331" s="15" t="str">
        <f>IFERROR(__xludf.DUMMYFUNCTION("""COMPUTED_VALUE"""),"PAN DE WAFFLE")</f>
        <v>PAN DE WAFFLE</v>
      </c>
      <c r="F9331" s="17" t="str">
        <f>IFERROR(__xludf.DUMMYFUNCTION("""COMPUTED_VALUE"""),"Calle 18 norte # 9n-45 Cali / Calle 18 norte # 9n-45 Cali")</f>
        <v>Calle 18 norte # 9n-45 Cali / Calle 18 norte # 9n-45 Cali</v>
      </c>
      <c r="G9331" s="15" t="str">
        <f>IFERROR(__xludf.DUMMYFUNCTION("""COMPUTED_VALUE"""),"NUTRICION EN MOVIMIENTO")</f>
        <v>NUTRICION EN MOVIMIENTO</v>
      </c>
      <c r="H9331" s="16">
        <f>IFERROR(__xludf.DUMMYFUNCTION("""COMPUTED_VALUE"""),17961.0)</f>
        <v>17961</v>
      </c>
      <c r="I9331" s="17"/>
      <c r="J9331" s="17"/>
      <c r="K9331" s="17"/>
      <c r="L9331" s="17">
        <f>IFERROR(__xludf.DUMMYFUNCTION("""COMPUTED_VALUE"""),3.148101084E9)</f>
        <v>3148101084</v>
      </c>
      <c r="M9331" s="17"/>
      <c r="N9331" s="17"/>
      <c r="O9331" s="17"/>
      <c r="P9331" s="17" t="b">
        <f>IFERROR(__xludf.DUMMYFUNCTION("""COMPUTED_VALUE"""),FALSE)</f>
        <v>0</v>
      </c>
      <c r="Q9331" s="20" t="str">
        <f>IFERROR(__xludf.DUMMYFUNCTION("""COMPUTED_VALUE"""),"")</f>
        <v/>
      </c>
      <c r="R9331" s="21" t="str">
        <f>IFERROR(__xludf.DUMMYFUNCTION("""COMPUTED_VALUE"""),"https://drive.google.com/file/d/11Przo1Dsv6urNnu652Y-c7f2H_vHfVzg/view?usp=drivesdk")</f>
        <v>https://drive.google.com/file/d/11Przo1Dsv6urNnu652Y-c7f2H_vHfVzg/view?usp=drivesdk</v>
      </c>
    </row>
    <row r="9332">
      <c r="A9332" s="15">
        <f>IFERROR(__xludf.DUMMYFUNCTION("""COMPUTED_VALUE"""),45265.0)</f>
        <v>45265</v>
      </c>
      <c r="B9332" s="16" t="str">
        <f>IFERROR(__xludf.DUMMYFUNCTION("""COMPUTED_VALUE"""),"Johan Alexander Escobar Arroyo ")</f>
        <v>Johan Alexander Escobar Arroyo </v>
      </c>
      <c r="C9332" s="15" t="str">
        <f>IFERROR(__xludf.DUMMYFUNCTION("""COMPUTED_VALUE"""),"CALI")</f>
        <v>CALI</v>
      </c>
      <c r="D9332" s="15" t="str">
        <f>IFERROR(__xludf.DUMMYFUNCTION("""COMPUTED_VALUE"""),"BOGOTÁ")</f>
        <v>BOGOTÁ</v>
      </c>
      <c r="E9332" s="15" t="str">
        <f>IFERROR(__xludf.DUMMYFUNCTION("""COMPUTED_VALUE"""),"Top Spun")</f>
        <v>Top Spun</v>
      </c>
      <c r="F9332" s="17" t="str">
        <f>IFERROR(__xludf.DUMMYFUNCTION("""COMPUTED_VALUE"""),"Calle 25 # 19-185 / Apto 522 torre A  / unidad surcos de pangola, Jamundí")</f>
        <v>Calle 25 # 19-185 / Apto 522 torre A  / unidad surcos de pangola, Jamundí</v>
      </c>
      <c r="G9332" s="15" t="str">
        <f>IFERROR(__xludf.DUMMYFUNCTION("""COMPUTED_VALUE"""),"Marcela Grueso")</f>
        <v>Marcela Grueso</v>
      </c>
      <c r="H9332" s="16">
        <f>IFERROR(__xludf.DUMMYFUNCTION("""COMPUTED_VALUE"""),17915.0)</f>
        <v>17915</v>
      </c>
      <c r="I9332" s="18">
        <f>IFERROR(__xludf.DUMMYFUNCTION("""COMPUTED_VALUE"""),20.0)</f>
        <v>20</v>
      </c>
      <c r="J9332" s="18">
        <f>IFERROR(__xludf.DUMMYFUNCTION("""COMPUTED_VALUE"""),10.0)</f>
        <v>10</v>
      </c>
      <c r="K9332" s="18">
        <f>IFERROR(__xludf.DUMMYFUNCTION("""COMPUTED_VALUE"""),40.0)</f>
        <v>40</v>
      </c>
      <c r="L9332" s="17">
        <f>IFERROR(__xludf.DUMMYFUNCTION("""COMPUTED_VALUE"""),3.183544086E9)</f>
        <v>3183544086</v>
      </c>
      <c r="M9332" s="17"/>
      <c r="N9332" s="17"/>
      <c r="O9332" s="17"/>
      <c r="P9332" s="17" t="b">
        <f>IFERROR(__xludf.DUMMYFUNCTION("""COMPUTED_VALUE"""),FALSE)</f>
        <v>0</v>
      </c>
      <c r="Q9332" s="20" t="str">
        <f>IFERROR(__xludf.DUMMYFUNCTION("""COMPUTED_VALUE"""),"")</f>
        <v/>
      </c>
      <c r="R9332" s="21" t="str">
        <f>IFERROR(__xludf.DUMMYFUNCTION("""COMPUTED_VALUE"""),"https://drive.google.com/file/d/1d1WHyLuZvrTzBXUVs0e2j9l4zGIiYGu0/view?usp=drivesdk")</f>
        <v>https://drive.google.com/file/d/1d1WHyLuZvrTzBXUVs0e2j9l4zGIiYGu0/view?usp=drivesdk</v>
      </c>
    </row>
    <row r="9333">
      <c r="A9333" s="15">
        <f>IFERROR(__xludf.DUMMYFUNCTION("""COMPUTED_VALUE"""),45265.0)</f>
        <v>45265</v>
      </c>
      <c r="B9333" s="16" t="str">
        <f>IFERROR(__xludf.DUMMYFUNCTION("""COMPUTED_VALUE"""),"Johan Alexander Escobar Arroyo ")</f>
        <v>Johan Alexander Escobar Arroyo </v>
      </c>
      <c r="C9333" s="15" t="str">
        <f>IFERROR(__xludf.DUMMYFUNCTION("""COMPUTED_VALUE"""),"CALI")</f>
        <v>CALI</v>
      </c>
      <c r="D9333" s="15" t="str">
        <f>IFERROR(__xludf.DUMMYFUNCTION("""COMPUTED_VALUE"""),"BOGOTÁ")</f>
        <v>BOGOTÁ</v>
      </c>
      <c r="E9333" s="15" t="str">
        <f>IFERROR(__xludf.DUMMYFUNCTION("""COMPUTED_VALUE"""),"Top Spun")</f>
        <v>Top Spun</v>
      </c>
      <c r="F9333" s="17" t="str">
        <f>IFERROR(__xludf.DUMMYFUNCTION("""COMPUTED_VALUE"""),"carrera 85c#13a-120 / unidad villas del ingenio /  casa 14")</f>
        <v>carrera 85c#13a-120 / unidad villas del ingenio /  casa 14</v>
      </c>
      <c r="G9333" s="15" t="str">
        <f>IFERROR(__xludf.DUMMYFUNCTION("""COMPUTED_VALUE"""),"katherine avila")</f>
        <v>katherine avila</v>
      </c>
      <c r="H9333" s="16">
        <f>IFERROR(__xludf.DUMMYFUNCTION("""COMPUTED_VALUE"""),17914.0)</f>
        <v>17914</v>
      </c>
      <c r="I9333" s="18">
        <f>IFERROR(__xludf.DUMMYFUNCTION("""COMPUTED_VALUE"""),20.0)</f>
        <v>20</v>
      </c>
      <c r="J9333" s="18">
        <f>IFERROR(__xludf.DUMMYFUNCTION("""COMPUTED_VALUE"""),10.0)</f>
        <v>10</v>
      </c>
      <c r="K9333" s="18">
        <f>IFERROR(__xludf.DUMMYFUNCTION("""COMPUTED_VALUE"""),40.0)</f>
        <v>40</v>
      </c>
      <c r="L9333" s="17">
        <f>IFERROR(__xludf.DUMMYFUNCTION("""COMPUTED_VALUE"""),3.183904278E9)</f>
        <v>3183904278</v>
      </c>
      <c r="M9333" s="17"/>
      <c r="N9333" s="17"/>
      <c r="O9333" s="17"/>
      <c r="P9333" s="17" t="b">
        <f>IFERROR(__xludf.DUMMYFUNCTION("""COMPUTED_VALUE"""),FALSE)</f>
        <v>0</v>
      </c>
      <c r="Q9333" s="20" t="str">
        <f>IFERROR(__xludf.DUMMYFUNCTION("""COMPUTED_VALUE"""),"")</f>
        <v/>
      </c>
      <c r="R9333" s="21" t="str">
        <f>IFERROR(__xludf.DUMMYFUNCTION("""COMPUTED_VALUE"""),"https://drive.google.com/file/d/1rHydJa4LyRcqdQJ8DdbK85gcSQg7XCaN/view?usp=drivesdk")</f>
        <v>https://drive.google.com/file/d/1rHydJa4LyRcqdQJ8DdbK85gcSQg7XCaN/view?usp=drivesdk</v>
      </c>
    </row>
    <row r="9334">
      <c r="A9334" s="15">
        <f>IFERROR(__xludf.DUMMYFUNCTION("""COMPUTED_VALUE"""),45265.0)</f>
        <v>45265</v>
      </c>
      <c r="B9334" s="16" t="str">
        <f>IFERROR(__xludf.DUMMYFUNCTION("""COMPUTED_VALUE"""),"Johan Alexander Escobar Arroyo ")</f>
        <v>Johan Alexander Escobar Arroyo </v>
      </c>
      <c r="C9334" s="15" t="str">
        <f>IFERROR(__xludf.DUMMYFUNCTION("""COMPUTED_VALUE"""),"IBAGUÉ")</f>
        <v>IBAGUÉ</v>
      </c>
      <c r="D9334" s="15" t="str">
        <f>IFERROR(__xludf.DUMMYFUNCTION("""COMPUTED_VALUE"""),"BOGOTÁ")</f>
        <v>BOGOTÁ</v>
      </c>
      <c r="E9334" s="15" t="str">
        <f>IFERROR(__xludf.DUMMYFUNCTION("""COMPUTED_VALUE"""),"Ventura Productos Arg")</f>
        <v>Ventura Productos Arg</v>
      </c>
      <c r="F9334" s="17" t="str">
        <f>IFERROR(__xludf.DUMMYFUNCTION("""COMPUTED_VALUE"""),"Calle 53 # 7-33 / Conjunto Los Molinos, Casa 48")</f>
        <v>Calle 53 # 7-33 / Conjunto Los Molinos, Casa 48</v>
      </c>
      <c r="G9334" s="15" t="str">
        <f>IFERROR(__xludf.DUMMYFUNCTION("""COMPUTED_VALUE"""),"Cesar Parra")</f>
        <v>Cesar Parra</v>
      </c>
      <c r="H9334" s="16">
        <f>IFERROR(__xludf.DUMMYFUNCTION("""COMPUTED_VALUE"""),17921.0)</f>
        <v>17921</v>
      </c>
      <c r="I9334" s="17"/>
      <c r="J9334" s="17"/>
      <c r="K9334" s="17"/>
      <c r="L9334" s="17"/>
      <c r="M9334" s="17"/>
      <c r="N9334" s="17"/>
      <c r="O9334" s="17"/>
      <c r="P9334" s="17" t="b">
        <f>IFERROR(__xludf.DUMMYFUNCTION("""COMPUTED_VALUE"""),FALSE)</f>
        <v>0</v>
      </c>
      <c r="Q9334" s="20" t="str">
        <f>IFERROR(__xludf.DUMMYFUNCTION("""COMPUTED_VALUE"""),"")</f>
        <v/>
      </c>
      <c r="R9334" s="21" t="str">
        <f>IFERROR(__xludf.DUMMYFUNCTION("""COMPUTED_VALUE"""),"https://drive.google.com/file/d/1A5AR-8CocsV7BWiETtXLNMNqJTivwCSJ/view?usp=drivesdk")</f>
        <v>https://drive.google.com/file/d/1A5AR-8CocsV7BWiETtXLNMNqJTivwCSJ/view?usp=drivesdk</v>
      </c>
    </row>
    <row r="9335">
      <c r="A9335" s="15">
        <f>IFERROR(__xludf.DUMMYFUNCTION("""COMPUTED_VALUE"""),45265.0)</f>
        <v>45265</v>
      </c>
      <c r="B9335" s="16" t="str">
        <f>IFERROR(__xludf.DUMMYFUNCTION("""COMPUTED_VALUE"""),"Johan Alexander Escobar Arroyo ")</f>
        <v>Johan Alexander Escobar Arroyo </v>
      </c>
      <c r="C9335" s="15" t="str">
        <f>IFERROR(__xludf.DUMMYFUNCTION("""COMPUTED_VALUE"""),"IBAGUÉ")</f>
        <v>IBAGUÉ</v>
      </c>
      <c r="D9335" s="15" t="str">
        <f>IFERROR(__xludf.DUMMYFUNCTION("""COMPUTED_VALUE"""),"MEDELLÍN")</f>
        <v>MEDELLÍN</v>
      </c>
      <c r="E9335" s="15" t="str">
        <f>IFERROR(__xludf.DUMMYFUNCTION("""COMPUTED_VALUE"""),"Baby Chef")</f>
        <v>Baby Chef</v>
      </c>
      <c r="F9335" s="17" t="str">
        <f>IFERROR(__xludf.DUMMYFUNCTION("""COMPUTED_VALUE"""),"Cra 1a Sur#42a-02   Edificio Santa Helena (color blanco el Edificio)  Apto 301 / . / .")</f>
        <v>Cra 1a Sur#42a-02   Edificio Santa Helena (color blanco el Edificio)  Apto 301 / . / .</v>
      </c>
      <c r="G9335" s="15" t="str">
        <f>IFERROR(__xludf.DUMMYFUNCTION("""COMPUTED_VALUE"""),"Ana Victoria Cuellar")</f>
        <v>Ana Victoria Cuellar</v>
      </c>
      <c r="H9335" s="16">
        <f>IFERROR(__xludf.DUMMYFUNCTION("""COMPUTED_VALUE"""),17997.0)</f>
        <v>17997</v>
      </c>
      <c r="I9335" s="18">
        <f>IFERROR(__xludf.DUMMYFUNCTION("""COMPUTED_VALUE"""),9.0)</f>
        <v>9</v>
      </c>
      <c r="J9335" s="18">
        <f>IFERROR(__xludf.DUMMYFUNCTION("""COMPUTED_VALUE"""),20.0)</f>
        <v>20</v>
      </c>
      <c r="K9335" s="18">
        <f>IFERROR(__xludf.DUMMYFUNCTION("""COMPUTED_VALUE"""),33.0)</f>
        <v>33</v>
      </c>
      <c r="L9335" s="17">
        <f>IFERROR(__xludf.DUMMYFUNCTION("""COMPUTED_VALUE"""),3.138718003E9)</f>
        <v>3138718003</v>
      </c>
      <c r="M9335" s="17"/>
      <c r="N9335" s="17"/>
      <c r="O9335" s="17"/>
      <c r="P9335" s="17" t="b">
        <f>IFERROR(__xludf.DUMMYFUNCTION("""COMPUTED_VALUE"""),FALSE)</f>
        <v>0</v>
      </c>
      <c r="Q9335" s="20" t="str">
        <f>IFERROR(__xludf.DUMMYFUNCTION("""COMPUTED_VALUE"""),"")</f>
        <v/>
      </c>
      <c r="R9335" s="22" t="str">
        <f>IFERROR(__xludf.DUMMYFUNCTION("""COMPUTED_VALUE"""),"")</f>
        <v/>
      </c>
    </row>
    <row r="9336">
      <c r="A9336" s="17" t="str">
        <f>IFERROR(__xludf.DUMMYFUNCTION("""COMPUTED_VALUE"""),"")</f>
        <v/>
      </c>
      <c r="B9336" s="17" t="str">
        <f>IFERROR(__xludf.DUMMYFUNCTION("""COMPUTED_VALUE"""),"")</f>
        <v/>
      </c>
      <c r="C9336" s="17" t="str">
        <f>IFERROR(__xludf.DUMMYFUNCTION("""COMPUTED_VALUE"""),"")</f>
        <v/>
      </c>
      <c r="D9336" s="17" t="str">
        <f>IFERROR(__xludf.DUMMYFUNCTION("""COMPUTED_VALUE"""),"")</f>
        <v/>
      </c>
      <c r="E9336" s="17" t="str">
        <f>IFERROR(__xludf.DUMMYFUNCTION("""COMPUTED_VALUE"""),"")</f>
        <v/>
      </c>
      <c r="F9336" s="17" t="str">
        <f>IFERROR(__xludf.DUMMYFUNCTION("""COMPUTED_VALUE"""),"")</f>
        <v/>
      </c>
      <c r="G9336" s="17" t="str">
        <f>IFERROR(__xludf.DUMMYFUNCTION("""COMPUTED_VALUE"""),"")</f>
        <v/>
      </c>
      <c r="H9336" s="17" t="str">
        <f>IFERROR(__xludf.DUMMYFUNCTION("""COMPUTED_VALUE"""),"")</f>
        <v/>
      </c>
      <c r="I9336" s="17" t="str">
        <f>IFERROR(__xludf.DUMMYFUNCTION("""COMPUTED_VALUE"""),"")</f>
        <v/>
      </c>
      <c r="J9336" s="17" t="str">
        <f>IFERROR(__xludf.DUMMYFUNCTION("""COMPUTED_VALUE"""),"")</f>
        <v/>
      </c>
      <c r="K9336" s="17" t="str">
        <f>IFERROR(__xludf.DUMMYFUNCTION("""COMPUTED_VALUE"""),"")</f>
        <v/>
      </c>
      <c r="L9336" s="17" t="str">
        <f>IFERROR(__xludf.DUMMYFUNCTION("""COMPUTED_VALUE"""),"")</f>
        <v/>
      </c>
      <c r="M9336" s="17" t="str">
        <f>IFERROR(__xludf.DUMMYFUNCTION("""COMPUTED_VALUE"""),"")</f>
        <v/>
      </c>
      <c r="N9336" s="17" t="str">
        <f>IFERROR(__xludf.DUMMYFUNCTION("""COMPUTED_VALUE"""),"")</f>
        <v/>
      </c>
      <c r="O9336" s="17" t="str">
        <f>IFERROR(__xludf.DUMMYFUNCTION("""COMPUTED_VALUE"""),"")</f>
        <v/>
      </c>
      <c r="P9336" s="17" t="str">
        <f>IFERROR(__xludf.DUMMYFUNCTION("""COMPUTED_VALUE"""),"")</f>
        <v/>
      </c>
      <c r="Q9336" s="17" t="str">
        <f>IFERROR(__xludf.DUMMYFUNCTION("""COMPUTED_VALUE"""),"")</f>
        <v/>
      </c>
      <c r="R9336" s="17" t="str">
        <f>IFERROR(__xludf.DUMMYFUNCTION("""COMPUTED_VALUE"""),"")</f>
        <v/>
      </c>
    </row>
    <row r="9337">
      <c r="A9337" s="15">
        <f>IFERROR(__xludf.DUMMYFUNCTION("""COMPUTED_VALUE"""),45265.0)</f>
        <v>45265</v>
      </c>
      <c r="B9337" s="16" t="str">
        <f>IFERROR(__xludf.DUMMYFUNCTION("""COMPUTED_VALUE"""),"Johanna Arango Barrera")</f>
        <v>Johanna Arango Barrera</v>
      </c>
      <c r="C9337" s="15" t="str">
        <f>IFERROR(__xludf.DUMMYFUNCTION("""COMPUTED_VALUE"""),"BUCARAMANGA")</f>
        <v>BUCARAMANGA</v>
      </c>
      <c r="D9337" s="15" t="str">
        <f>IFERROR(__xludf.DUMMYFUNCTION("""COMPUTED_VALUE"""),"BOGOTÁ")</f>
        <v>BOGOTÁ</v>
      </c>
      <c r="E9337" s="15" t="str">
        <f>IFERROR(__xludf.DUMMYFUNCTION("""COMPUTED_VALUE"""),"Lunchy Kids")</f>
        <v>Lunchy Kids</v>
      </c>
      <c r="F9337" s="17" t="str">
        <f>IFERROR(__xludf.DUMMYFUNCTION("""COMPUTED_VALUE"""),"Transversal oriental # 90-223  / Conjunto residencial Hispania - Torre 3 apto 711 / Frente al cacique al lado de la pista de Atletismo")</f>
        <v>Transversal oriental # 90-223  / Conjunto residencial Hispania - Torre 3 apto 711 / Frente al cacique al lado de la pista de Atletismo</v>
      </c>
      <c r="G9337" s="15" t="str">
        <f>IFERROR(__xludf.DUMMYFUNCTION("""COMPUTED_VALUE"""),"Cesar serrano")</f>
        <v>Cesar serrano</v>
      </c>
      <c r="H9337" s="16">
        <f>IFERROR(__xludf.DUMMYFUNCTION("""COMPUTED_VALUE"""),17999.0)</f>
        <v>17999</v>
      </c>
      <c r="I9337" s="18">
        <f>IFERROR(__xludf.DUMMYFUNCTION("""COMPUTED_VALUE"""),19.0)</f>
        <v>19</v>
      </c>
      <c r="J9337" s="18">
        <f>IFERROR(__xludf.DUMMYFUNCTION("""COMPUTED_VALUE"""),23.0)</f>
        <v>23</v>
      </c>
      <c r="K9337" s="18">
        <f>IFERROR(__xludf.DUMMYFUNCTION("""COMPUTED_VALUE"""),11.0)</f>
        <v>11</v>
      </c>
      <c r="L9337" s="17">
        <f>IFERROR(__xludf.DUMMYFUNCTION("""COMPUTED_VALUE"""),3.013806513E9)</f>
        <v>3013806513</v>
      </c>
      <c r="M9337" s="17"/>
      <c r="N9337" s="17"/>
      <c r="O9337" s="17"/>
      <c r="P9337" s="17" t="b">
        <f>IFERROR(__xludf.DUMMYFUNCTION("""COMPUTED_VALUE"""),FALSE)</f>
        <v>0</v>
      </c>
      <c r="Q9337" s="20" t="str">
        <f>IFERROR(__xludf.DUMMYFUNCTION("""COMPUTED_VALUE"""),"")</f>
        <v/>
      </c>
      <c r="R9337" s="21" t="str">
        <f>IFERROR(__xludf.DUMMYFUNCTION("""COMPUTED_VALUE"""),"https://drive.google.com/file/d/1jxjzGozrKh0avvkJmSssFVV2SdcuUTVt/view?usp=drivesdk")</f>
        <v>https://drive.google.com/file/d/1jxjzGozrKh0avvkJmSssFVV2SdcuUTVt/view?usp=drivesdk</v>
      </c>
    </row>
    <row r="9338">
      <c r="A9338" s="15">
        <f>IFERROR(__xludf.DUMMYFUNCTION("""COMPUTED_VALUE"""),45265.0)</f>
        <v>45265</v>
      </c>
      <c r="B9338" s="16" t="str">
        <f>IFERROR(__xludf.DUMMYFUNCTION("""COMPUTED_VALUE"""),"Johanna Arango Barrera")</f>
        <v>Johanna Arango Barrera</v>
      </c>
      <c r="C9338" s="15" t="str">
        <f>IFERROR(__xludf.DUMMYFUNCTION("""COMPUTED_VALUE"""),"BUCARAMANGA")</f>
        <v>BUCARAMANGA</v>
      </c>
      <c r="D9338" s="15" t="str">
        <f>IFERROR(__xludf.DUMMYFUNCTION("""COMPUTED_VALUE"""),"BOGOTÁ")</f>
        <v>BOGOTÁ</v>
      </c>
      <c r="E9338" s="15" t="str">
        <f>IFERROR(__xludf.DUMMYFUNCTION("""COMPUTED_VALUE"""),"PAN DE WAFFLE")</f>
        <v>PAN DE WAFFLE</v>
      </c>
      <c r="F9338" s="17" t="str">
        <f>IFERROR(__xludf.DUMMYFUNCTION("""COMPUTED_VALUE"""),"Carrera 31 # 32 - 41 / Carrera 31 # 32 - 41")</f>
        <v>Carrera 31 # 32 - 41 / Carrera 31 # 32 - 41</v>
      </c>
      <c r="G9338" s="15" t="str">
        <f>IFERROR(__xludf.DUMMYFUNCTION("""COMPUTED_VALUE"""),"RAPPI TURBO EXITO CABECERA")</f>
        <v>RAPPI TURBO EXITO CABECERA</v>
      </c>
      <c r="H9338" s="16">
        <f>IFERROR(__xludf.DUMMYFUNCTION("""COMPUTED_VALUE"""),18009.0)</f>
        <v>18009</v>
      </c>
      <c r="I9338" s="17"/>
      <c r="J9338" s="17"/>
      <c r="K9338" s="17"/>
      <c r="L9338" s="17">
        <f>IFERROR(__xludf.DUMMYFUNCTION("""COMPUTED_VALUE"""),3.138602774E9)</f>
        <v>3138602774</v>
      </c>
      <c r="M9338" s="17"/>
      <c r="N9338" s="17"/>
      <c r="O9338" s="17"/>
      <c r="P9338" s="17" t="b">
        <f>IFERROR(__xludf.DUMMYFUNCTION("""COMPUTED_VALUE"""),FALSE)</f>
        <v>0</v>
      </c>
      <c r="Q9338" s="20" t="str">
        <f>IFERROR(__xludf.DUMMYFUNCTION("""COMPUTED_VALUE"""),"")</f>
        <v/>
      </c>
      <c r="R9338" s="21" t="str">
        <f>IFERROR(__xludf.DUMMYFUNCTION("""COMPUTED_VALUE"""),"https://drive.google.com/file/d/1vH-667jban6nMZDvqkuSX4i3OOhkFbm9/view?usp=drivesdk")</f>
        <v>https://drive.google.com/file/d/1vH-667jban6nMZDvqkuSX4i3OOhkFbm9/view?usp=drivesdk</v>
      </c>
    </row>
    <row r="9339">
      <c r="A9339" s="15">
        <f>IFERROR(__xludf.DUMMYFUNCTION("""COMPUTED_VALUE"""),45265.0)</f>
        <v>45265</v>
      </c>
      <c r="B9339" s="16" t="str">
        <f>IFERROR(__xludf.DUMMYFUNCTION("""COMPUTED_VALUE"""),"Johanna Arango Barrera")</f>
        <v>Johanna Arango Barrera</v>
      </c>
      <c r="C9339" s="15" t="str">
        <f>IFERROR(__xludf.DUMMYFUNCTION("""COMPUTED_VALUE"""),"BUCARAMANGA")</f>
        <v>BUCARAMANGA</v>
      </c>
      <c r="D9339" s="15" t="str">
        <f>IFERROR(__xludf.DUMMYFUNCTION("""COMPUTED_VALUE"""),"BOGOTÁ")</f>
        <v>BOGOTÁ</v>
      </c>
      <c r="E9339" s="15" t="str">
        <f>IFERROR(__xludf.DUMMYFUNCTION("""COMPUTED_VALUE"""),"The Smoked House")</f>
        <v>The Smoked House</v>
      </c>
      <c r="F9339" s="17" t="str">
        <f>IFERROR(__xludf.DUMMYFUNCTION("""COMPUTED_VALUE"""),"CRA 22 no7-40 / CRA 22 no7-40 / CRA 22 no7-40")</f>
        <v>CRA 22 no7-40 / CRA 22 no7-40 / CRA 22 no7-40</v>
      </c>
      <c r="G9339" s="15" t="str">
        <f>IFERROR(__xludf.DUMMYFUNCTION("""COMPUTED_VALUE"""),"Clementina Cavieles")</f>
        <v>Clementina Cavieles</v>
      </c>
      <c r="H9339" s="16">
        <f>IFERROR(__xludf.DUMMYFUNCTION("""COMPUTED_VALUE"""),17937.0)</f>
        <v>17937</v>
      </c>
      <c r="I9339" s="18">
        <f>IFERROR(__xludf.DUMMYFUNCTION("""COMPUTED_VALUE"""),8.0)</f>
        <v>8</v>
      </c>
      <c r="J9339" s="18">
        <f>IFERROR(__xludf.DUMMYFUNCTION("""COMPUTED_VALUE"""),15.0)</f>
        <v>15</v>
      </c>
      <c r="K9339" s="18">
        <f>IFERROR(__xludf.DUMMYFUNCTION("""COMPUTED_VALUE"""),20.0)</f>
        <v>20</v>
      </c>
      <c r="L9339" s="17">
        <f>IFERROR(__xludf.DUMMYFUNCTION("""COMPUTED_VALUE"""),3.106290648E9)</f>
        <v>3106290648</v>
      </c>
      <c r="M9339" s="17"/>
      <c r="N9339" s="17"/>
      <c r="O9339" s="17"/>
      <c r="P9339" s="17" t="b">
        <f>IFERROR(__xludf.DUMMYFUNCTION("""COMPUTED_VALUE"""),FALSE)</f>
        <v>0</v>
      </c>
      <c r="Q9339" s="20" t="str">
        <f>IFERROR(__xludf.DUMMYFUNCTION("""COMPUTED_VALUE"""),"")</f>
        <v/>
      </c>
      <c r="R9339" s="21" t="str">
        <f>IFERROR(__xludf.DUMMYFUNCTION("""COMPUTED_VALUE"""),"https://drive.google.com/file/d/1--1HAh5nnmTt_R4fxxOlm_1zX0is2ZPM/view?usp=drivesdk")</f>
        <v>https://drive.google.com/file/d/1--1HAh5nnmTt_R4fxxOlm_1zX0is2ZPM/view?usp=drivesdk</v>
      </c>
    </row>
    <row r="9340">
      <c r="A9340" s="15">
        <f>IFERROR(__xludf.DUMMYFUNCTION("""COMPUTED_VALUE"""),45265.0)</f>
        <v>45265</v>
      </c>
      <c r="B9340" s="16" t="str">
        <f>IFERROR(__xludf.DUMMYFUNCTION("""COMPUTED_VALUE"""),"Johanna Arango Barrera")</f>
        <v>Johanna Arango Barrera</v>
      </c>
      <c r="C9340" s="15" t="str">
        <f>IFERROR(__xludf.DUMMYFUNCTION("""COMPUTED_VALUE"""),"BUCARAMANGA")</f>
        <v>BUCARAMANGA</v>
      </c>
      <c r="D9340" s="15" t="str">
        <f>IFERROR(__xludf.DUMMYFUNCTION("""COMPUTED_VALUE"""),"BOGOTÁ")</f>
        <v>BOGOTÁ</v>
      </c>
      <c r="E9340" s="15" t="str">
        <f>IFERROR(__xludf.DUMMYFUNCTION("""COMPUTED_VALUE"""),"Top Spun")</f>
        <v>Top Spun</v>
      </c>
      <c r="F9340" s="17" t="str">
        <f>IFERROR(__xludf.DUMMYFUNCTION("""COMPUTED_VALUE"""),"Calle 64a # 17a-50 / Interior 4 / barrio la ceiba")</f>
        <v>Calle 64a # 17a-50 / Interior 4 / barrio la ceiba</v>
      </c>
      <c r="G9340" s="15" t="str">
        <f>IFERROR(__xludf.DUMMYFUNCTION("""COMPUTED_VALUE"""),"María José Reyes")</f>
        <v>María José Reyes</v>
      </c>
      <c r="H9340" s="16">
        <f>IFERROR(__xludf.DUMMYFUNCTION("""COMPUTED_VALUE"""),17916.0)</f>
        <v>17916</v>
      </c>
      <c r="I9340" s="18">
        <f>IFERROR(__xludf.DUMMYFUNCTION("""COMPUTED_VALUE"""),20.0)</f>
        <v>20</v>
      </c>
      <c r="J9340" s="18">
        <f>IFERROR(__xludf.DUMMYFUNCTION("""COMPUTED_VALUE"""),10.0)</f>
        <v>10</v>
      </c>
      <c r="K9340" s="18">
        <f>IFERROR(__xludf.DUMMYFUNCTION("""COMPUTED_VALUE"""),40.0)</f>
        <v>40</v>
      </c>
      <c r="L9340" s="17">
        <f>IFERROR(__xludf.DUMMYFUNCTION("""COMPUTED_VALUE"""),3.124206903E9)</f>
        <v>3124206903</v>
      </c>
      <c r="M9340" s="17"/>
      <c r="N9340" s="17"/>
      <c r="O9340" s="17"/>
      <c r="P9340" s="17" t="b">
        <f>IFERROR(__xludf.DUMMYFUNCTION("""COMPUTED_VALUE"""),FALSE)</f>
        <v>0</v>
      </c>
      <c r="Q9340" s="20" t="str">
        <f>IFERROR(__xludf.DUMMYFUNCTION("""COMPUTED_VALUE"""),"")</f>
        <v/>
      </c>
      <c r="R9340" s="21" t="str">
        <f>IFERROR(__xludf.DUMMYFUNCTION("""COMPUTED_VALUE"""),"https://drive.google.com/file/d/1d4evvAu6EnyA9uhzoX4d3q3h3FZVJSB_/view?usp=drivesdk")</f>
        <v>https://drive.google.com/file/d/1d4evvAu6EnyA9uhzoX4d3q3h3FZVJSB_/view?usp=drivesdk</v>
      </c>
    </row>
    <row r="9341">
      <c r="A9341" s="15">
        <f>IFERROR(__xludf.DUMMYFUNCTION("""COMPUTED_VALUE"""),45265.0)</f>
        <v>45265</v>
      </c>
      <c r="B9341" s="16" t="str">
        <f>IFERROR(__xludf.DUMMYFUNCTION("""COMPUTED_VALUE"""),"Johanna Arango Barrera")</f>
        <v>Johanna Arango Barrera</v>
      </c>
      <c r="C9341" s="15" t="str">
        <f>IFERROR(__xludf.DUMMYFUNCTION("""COMPUTED_VALUE"""),"BUCARAMANGA")</f>
        <v>BUCARAMANGA</v>
      </c>
      <c r="D9341" s="15" t="str">
        <f>IFERROR(__xludf.DUMMYFUNCTION("""COMPUTED_VALUE"""),"MEDELLÍN")</f>
        <v>MEDELLÍN</v>
      </c>
      <c r="E9341" s="15" t="str">
        <f>IFERROR(__xludf.DUMMYFUNCTION("""COMPUTED_VALUE"""),"Baby Chef")</f>
        <v>Baby Chef</v>
      </c>
      <c r="F9341" s="17" t="str">
        <f>IFERROR(__xludf.DUMMYFUNCTION("""COMPUTED_VALUE"""),"calle 18 # 25-49 apto 1401 edificio santa isabella barrio San Francisco, Bucaramanga / . / .")</f>
        <v>calle 18 # 25-49 apto 1401 edificio santa isabella barrio San Francisco, Bucaramanga / . / .</v>
      </c>
      <c r="G9341" s="15" t="str">
        <f>IFERROR(__xludf.DUMMYFUNCTION("""COMPUTED_VALUE"""),"Shirley Alvarado")</f>
        <v>Shirley Alvarado</v>
      </c>
      <c r="H9341" s="16">
        <f>IFERROR(__xludf.DUMMYFUNCTION("""COMPUTED_VALUE"""),17992.0)</f>
        <v>17992</v>
      </c>
      <c r="I9341" s="18">
        <f>IFERROR(__xludf.DUMMYFUNCTION("""COMPUTED_VALUE"""),10.0)</f>
        <v>10</v>
      </c>
      <c r="J9341" s="18">
        <f>IFERROR(__xludf.DUMMYFUNCTION("""COMPUTED_VALUE"""),23.0)</f>
        <v>23</v>
      </c>
      <c r="K9341" s="18">
        <f>IFERROR(__xludf.DUMMYFUNCTION("""COMPUTED_VALUE"""),35.0)</f>
        <v>35</v>
      </c>
      <c r="L9341" s="17">
        <f>IFERROR(__xludf.DUMMYFUNCTION("""COMPUTED_VALUE"""),3.203548295E9)</f>
        <v>3203548295</v>
      </c>
      <c r="M9341" s="17"/>
      <c r="N9341" s="17"/>
      <c r="O9341" s="17"/>
      <c r="P9341" s="17" t="b">
        <f>IFERROR(__xludf.DUMMYFUNCTION("""COMPUTED_VALUE"""),FALSE)</f>
        <v>0</v>
      </c>
      <c r="Q9341" s="20" t="str">
        <f>IFERROR(__xludf.DUMMYFUNCTION("""COMPUTED_VALUE"""),"")</f>
        <v/>
      </c>
      <c r="R9341" s="21" t="str">
        <f>IFERROR(__xludf.DUMMYFUNCTION("""COMPUTED_VALUE"""),"https://drive.google.com/file/d/1XVGzTMF9CzpCLYANGzjL2gV-yQcDsLXe/view?usp=drivesdk")</f>
        <v>https://drive.google.com/file/d/1XVGzTMF9CzpCLYANGzjL2gV-yQcDsLXe/view?usp=drivesdk</v>
      </c>
    </row>
    <row r="9342">
      <c r="A9342" s="15">
        <f>IFERROR(__xludf.DUMMYFUNCTION("""COMPUTED_VALUE"""),45265.0)</f>
        <v>45265</v>
      </c>
      <c r="B9342" s="16" t="str">
        <f>IFERROR(__xludf.DUMMYFUNCTION("""COMPUTED_VALUE"""),"Johanna Arango Barrera")</f>
        <v>Johanna Arango Barrera</v>
      </c>
      <c r="C9342" s="15" t="str">
        <f>IFERROR(__xludf.DUMMYFUNCTION("""COMPUTED_VALUE"""),"FLORIDABLANCA")</f>
        <v>FLORIDABLANCA</v>
      </c>
      <c r="D9342" s="15" t="str">
        <f>IFERROR(__xludf.DUMMYFUNCTION("""COMPUTED_VALUE"""),"BOGOTÁ")</f>
        <v>BOGOTÁ</v>
      </c>
      <c r="E9342" s="15" t="str">
        <f>IFERROR(__xludf.DUMMYFUNCTION("""COMPUTED_VALUE"""),"Asociacion Agropecuaria Juana Maria")</f>
        <v>Asociacion Agropecuaria Juana Maria</v>
      </c>
      <c r="F9342" s="17" t="str">
        <f>IFERROR(__xludf.DUMMYFUNCTION("""COMPUTED_VALUE"""),"Calle 19 #11-37 / Guanatá FLORIDABLANCA")</f>
        <v>Calle 19 #11-37 / Guanatá FLORIDABLANCA</v>
      </c>
      <c r="G9342" s="15" t="str">
        <f>IFERROR(__xludf.DUMMYFUNCTION("""COMPUTED_VALUE"""),"Claudia Gonzalez")</f>
        <v>Claudia Gonzalez</v>
      </c>
      <c r="H9342" s="16">
        <f>IFERROR(__xludf.DUMMYFUNCTION("""COMPUTED_VALUE"""),17924.0)</f>
        <v>17924</v>
      </c>
      <c r="I9342" s="17"/>
      <c r="J9342" s="17"/>
      <c r="K9342" s="17"/>
      <c r="L9342" s="17">
        <f>IFERROR(__xludf.DUMMYFUNCTION("""COMPUTED_VALUE"""),3.002802001E9)</f>
        <v>3002802001</v>
      </c>
      <c r="M9342" s="17"/>
      <c r="N9342" s="17"/>
      <c r="O9342" s="17"/>
      <c r="P9342" s="17" t="b">
        <f>IFERROR(__xludf.DUMMYFUNCTION("""COMPUTED_VALUE"""),FALSE)</f>
        <v>0</v>
      </c>
      <c r="Q9342" s="20" t="str">
        <f>IFERROR(__xludf.DUMMYFUNCTION("""COMPUTED_VALUE"""),"")</f>
        <v/>
      </c>
      <c r="R9342" s="21" t="str">
        <f>IFERROR(__xludf.DUMMYFUNCTION("""COMPUTED_VALUE"""),"https://drive.google.com/file/d/1o8LOTEBSjFt4QMYk-UvLA5BHlAdz3kHw/view?usp=drivesdk")</f>
        <v>https://drive.google.com/file/d/1o8LOTEBSjFt4QMYk-UvLA5BHlAdz3kHw/view?usp=drivesdk</v>
      </c>
    </row>
    <row r="9343">
      <c r="A9343" s="15">
        <f>IFERROR(__xludf.DUMMYFUNCTION("""COMPUTED_VALUE"""),45265.0)</f>
        <v>45265</v>
      </c>
      <c r="B9343" s="16" t="str">
        <f>IFERROR(__xludf.DUMMYFUNCTION("""COMPUTED_VALUE"""),"Johanna Arango Barrera")</f>
        <v>Johanna Arango Barrera</v>
      </c>
      <c r="C9343" s="15" t="str">
        <f>IFERROR(__xludf.DUMMYFUNCTION("""COMPUTED_VALUE"""),"FLORIDABLANCA")</f>
        <v>FLORIDABLANCA</v>
      </c>
      <c r="D9343" s="15" t="str">
        <f>IFERROR(__xludf.DUMMYFUNCTION("""COMPUTED_VALUE"""),"BOGOTÁ")</f>
        <v>BOGOTÁ</v>
      </c>
      <c r="E9343" s="15" t="str">
        <f>IFERROR(__xludf.DUMMYFUNCTION("""COMPUTED_VALUE"""),"Instinto alimento vital")</f>
        <v>Instinto alimento vital</v>
      </c>
      <c r="F9343" s="17" t="str">
        <f>IFERROR(__xludf.DUMMYFUNCTION("""COMPUTED_VALUE"""),"CL 200 12 440 / EDF TORINO 200 AP 1007")</f>
        <v>CL 200 12 440 / EDF TORINO 200 AP 1007</v>
      </c>
      <c r="G9343" s="15" t="str">
        <f>IFERROR(__xludf.DUMMYFUNCTION("""COMPUTED_VALUE"""),"LISETH TATIANA GALLEGO ROJAS")</f>
        <v>LISETH TATIANA GALLEGO ROJAS</v>
      </c>
      <c r="H9343" s="16">
        <f>IFERROR(__xludf.DUMMYFUNCTION("""COMPUTED_VALUE"""),17952.0)</f>
        <v>17952</v>
      </c>
      <c r="I9343" s="17"/>
      <c r="J9343" s="17"/>
      <c r="K9343" s="17"/>
      <c r="L9343" s="17">
        <f>IFERROR(__xludf.DUMMYFUNCTION("""COMPUTED_VALUE"""),3.11566784E9)</f>
        <v>3115667840</v>
      </c>
      <c r="M9343" s="17"/>
      <c r="N9343" s="17"/>
      <c r="O9343" s="17"/>
      <c r="P9343" s="17" t="b">
        <f>IFERROR(__xludf.DUMMYFUNCTION("""COMPUTED_VALUE"""),FALSE)</f>
        <v>0</v>
      </c>
      <c r="Q9343" s="20" t="str">
        <f>IFERROR(__xludf.DUMMYFUNCTION("""COMPUTED_VALUE"""),"")</f>
        <v/>
      </c>
      <c r="R9343" s="21" t="str">
        <f>IFERROR(__xludf.DUMMYFUNCTION("""COMPUTED_VALUE"""),"https://drive.google.com/file/d/1h3opj65N657x36Of-jg3InwaoVZUZqEb/view?usp=drivesdk")</f>
        <v>https://drive.google.com/file/d/1h3opj65N657x36Of-jg3InwaoVZUZqEb/view?usp=drivesdk</v>
      </c>
    </row>
    <row r="9344">
      <c r="A9344" s="15">
        <f>IFERROR(__xludf.DUMMYFUNCTION("""COMPUTED_VALUE"""),45265.0)</f>
        <v>45265</v>
      </c>
      <c r="B9344" s="16" t="str">
        <f>IFERROR(__xludf.DUMMYFUNCTION("""COMPUTED_VALUE"""),"Johanna Arango Barrera")</f>
        <v>Johanna Arango Barrera</v>
      </c>
      <c r="C9344" s="15" t="str">
        <f>IFERROR(__xludf.DUMMYFUNCTION("""COMPUTED_VALUE"""),"FLORIDABLANCA")</f>
        <v>FLORIDABLANCA</v>
      </c>
      <c r="D9344" s="15" t="str">
        <f>IFERROR(__xludf.DUMMYFUNCTION("""COMPUTED_VALUE"""),"BOGOTÁ")</f>
        <v>BOGOTÁ</v>
      </c>
      <c r="E9344" s="15" t="str">
        <f>IFERROR(__xludf.DUMMYFUNCTION("""COMPUTED_VALUE"""),"Instinto alimento vital")</f>
        <v>Instinto alimento vital</v>
      </c>
      <c r="F9344" s="17" t="str">
        <f>IFERROR(__xludf.DUMMYFUNCTION("""COMPUTED_VALUE"""),"CRA 21 # 35-264 / CASA 47 QUINTAS CAMPESTRES")</f>
        <v>CRA 21 # 35-264 / CASA 47 QUINTAS CAMPESTRES</v>
      </c>
      <c r="G9344" s="15" t="str">
        <f>IFERROR(__xludf.DUMMYFUNCTION("""COMPUTED_VALUE"""),"KAROL JAMES LEMUS")</f>
        <v>KAROL JAMES LEMUS</v>
      </c>
      <c r="H9344" s="16">
        <f>IFERROR(__xludf.DUMMYFUNCTION("""COMPUTED_VALUE"""),17949.0)</f>
        <v>17949</v>
      </c>
      <c r="I9344" s="17"/>
      <c r="J9344" s="17"/>
      <c r="K9344" s="17"/>
      <c r="L9344" s="17">
        <f>IFERROR(__xludf.DUMMYFUNCTION("""COMPUTED_VALUE"""),3.11228878E9)</f>
        <v>3112288780</v>
      </c>
      <c r="M9344" s="17"/>
      <c r="N9344" s="17"/>
      <c r="O9344" s="17"/>
      <c r="P9344" s="17" t="b">
        <f>IFERROR(__xludf.DUMMYFUNCTION("""COMPUTED_VALUE"""),FALSE)</f>
        <v>0</v>
      </c>
      <c r="Q9344" s="20" t="str">
        <f>IFERROR(__xludf.DUMMYFUNCTION("""COMPUTED_VALUE"""),"")</f>
        <v/>
      </c>
      <c r="R9344" s="21" t="str">
        <f>IFERROR(__xludf.DUMMYFUNCTION("""COMPUTED_VALUE"""),"https://drive.google.com/file/d/1hmvfh1i3KAvhh1txxbnnqcVVDiF7esgd/view?usp=drivesdk")</f>
        <v>https://drive.google.com/file/d/1hmvfh1i3KAvhh1txxbnnqcVVDiF7esgd/view?usp=drivesdk</v>
      </c>
    </row>
    <row r="9345">
      <c r="A9345" s="15">
        <f>IFERROR(__xludf.DUMMYFUNCTION("""COMPUTED_VALUE"""),45265.0)</f>
        <v>45265</v>
      </c>
      <c r="B9345" s="16" t="str">
        <f>IFERROR(__xludf.DUMMYFUNCTION("""COMPUTED_VALUE"""),"Johanna Arango Barrera")</f>
        <v>Johanna Arango Barrera</v>
      </c>
      <c r="C9345" s="15" t="str">
        <f>IFERROR(__xludf.DUMMYFUNCTION("""COMPUTED_VALUE"""),"FLORIDABLANCA")</f>
        <v>FLORIDABLANCA</v>
      </c>
      <c r="D9345" s="15" t="str">
        <f>IFERROR(__xludf.DUMMYFUNCTION("""COMPUTED_VALUE"""),"MEDELLÍN")</f>
        <v>MEDELLÍN</v>
      </c>
      <c r="E9345" s="15" t="str">
        <f>IFERROR(__xludf.DUMMYFUNCTION("""COMPUTED_VALUE"""),"Baby Chef")</f>
        <v>Baby Chef</v>
      </c>
      <c r="F9345" s="17" t="str">
        <f>IFERROR(__xludf.DUMMYFUNCTION("""COMPUTED_VALUE"""),"CALLE 200 NO 13-36 EDIFICIO MONTESOL APTO 803 / . / .")</f>
        <v>CALLE 200 NO 13-36 EDIFICIO MONTESOL APTO 803 / . / .</v>
      </c>
      <c r="G9345" s="15" t="str">
        <f>IFERROR(__xludf.DUMMYFUNCTION("""COMPUTED_VALUE"""),"Cindy Castro")</f>
        <v>Cindy Castro</v>
      </c>
      <c r="H9345" s="16">
        <f>IFERROR(__xludf.DUMMYFUNCTION("""COMPUTED_VALUE"""),17991.0)</f>
        <v>17991</v>
      </c>
      <c r="I9345" s="18">
        <f>IFERROR(__xludf.DUMMYFUNCTION("""COMPUTED_VALUE"""),8.0)</f>
        <v>8</v>
      </c>
      <c r="J9345" s="18">
        <f>IFERROR(__xludf.DUMMYFUNCTION("""COMPUTED_VALUE"""),24.0)</f>
        <v>24</v>
      </c>
      <c r="K9345" s="18">
        <f>IFERROR(__xludf.DUMMYFUNCTION("""COMPUTED_VALUE"""),30.0)</f>
        <v>30</v>
      </c>
      <c r="L9345" s="17">
        <f>IFERROR(__xludf.DUMMYFUNCTION("""COMPUTED_VALUE"""),3.173678048E9)</f>
        <v>3173678048</v>
      </c>
      <c r="M9345" s="17"/>
      <c r="N9345" s="17"/>
      <c r="O9345" s="17"/>
      <c r="P9345" s="17" t="b">
        <f>IFERROR(__xludf.DUMMYFUNCTION("""COMPUTED_VALUE"""),FALSE)</f>
        <v>0</v>
      </c>
      <c r="Q9345" s="20" t="str">
        <f>IFERROR(__xludf.DUMMYFUNCTION("""COMPUTED_VALUE"""),"")</f>
        <v/>
      </c>
      <c r="R9345" s="21" t="str">
        <f>IFERROR(__xludf.DUMMYFUNCTION("""COMPUTED_VALUE"""),"https://drive.google.com/file/d/1Gixcqwb7zcCX6vij_M8Wehah3QEgskmV/view?usp=drivesdk")</f>
        <v>https://drive.google.com/file/d/1Gixcqwb7zcCX6vij_M8Wehah3QEgskmV/view?usp=drivesdk</v>
      </c>
    </row>
    <row r="9346">
      <c r="A9346" s="15">
        <f>IFERROR(__xludf.DUMMYFUNCTION("""COMPUTED_VALUE"""),45265.0)</f>
        <v>45265</v>
      </c>
      <c r="B9346" s="16" t="str">
        <f>IFERROR(__xludf.DUMMYFUNCTION("""COMPUTED_VALUE"""),"Johanna Arango Barrera")</f>
        <v>Johanna Arango Barrera</v>
      </c>
      <c r="C9346" s="15" t="str">
        <f>IFERROR(__xludf.DUMMYFUNCTION("""COMPUTED_VALUE"""),"PEREIRA")</f>
        <v>PEREIRA</v>
      </c>
      <c r="D9346" s="15" t="str">
        <f>IFERROR(__xludf.DUMMYFUNCTION("""COMPUTED_VALUE"""),"MEDELLÍN")</f>
        <v>MEDELLÍN</v>
      </c>
      <c r="E9346" s="15" t="str">
        <f>IFERROR(__xludf.DUMMYFUNCTION("""COMPUTED_VALUE"""),"Rambla")</f>
        <v>Rambla</v>
      </c>
      <c r="F9346" s="17" t="str">
        <f>IFERROR(__xludf.DUMMYFUNCTION("""COMPUTED_VALUE"""),"CARRERA 14 -12-55 / N/A / N/A")</f>
        <v>CARRERA 14 -12-55 / N/A / N/A</v>
      </c>
      <c r="G9346" s="15" t="str">
        <f>IFERROR(__xludf.DUMMYFUNCTION("""COMPUTED_VALUE"""),"VITA ECO PEREIRA")</f>
        <v>VITA ECO PEREIRA</v>
      </c>
      <c r="H9346" s="16">
        <f>IFERROR(__xludf.DUMMYFUNCTION("""COMPUTED_VALUE"""),17971.0)</f>
        <v>17971</v>
      </c>
      <c r="I9346" s="18">
        <f>IFERROR(__xludf.DUMMYFUNCTION("""COMPUTED_VALUE"""),20.0)</f>
        <v>20</v>
      </c>
      <c r="J9346" s="18">
        <f>IFERROR(__xludf.DUMMYFUNCTION("""COMPUTED_VALUE"""),35.0)</f>
        <v>35</v>
      </c>
      <c r="K9346" s="18">
        <f>IFERROR(__xludf.DUMMYFUNCTION("""COMPUTED_VALUE"""),21.0)</f>
        <v>21</v>
      </c>
      <c r="L9346" s="17">
        <f>IFERROR(__xludf.DUMMYFUNCTION("""COMPUTED_VALUE"""),3.14645528E9)</f>
        <v>3146455280</v>
      </c>
      <c r="M9346" s="17"/>
      <c r="N9346" s="17"/>
      <c r="O9346" s="17"/>
      <c r="P9346" s="17" t="b">
        <f>IFERROR(__xludf.DUMMYFUNCTION("""COMPUTED_VALUE"""),FALSE)</f>
        <v>0</v>
      </c>
      <c r="Q9346" s="20" t="str">
        <f>IFERROR(__xludf.DUMMYFUNCTION("""COMPUTED_VALUE"""),"")</f>
        <v/>
      </c>
      <c r="R9346" s="21" t="str">
        <f>IFERROR(__xludf.DUMMYFUNCTION("""COMPUTED_VALUE"""),"https://drive.google.com/file/d/1oTxbav2mbM1pc1psqQGrVTayrHzXXZzB/view?usp=drivesdk")</f>
        <v>https://drive.google.com/file/d/1oTxbav2mbM1pc1psqQGrVTayrHzXXZzB/view?usp=drivesdk</v>
      </c>
    </row>
    <row r="9347">
      <c r="A9347" s="15">
        <f>IFERROR(__xludf.DUMMYFUNCTION("""COMPUTED_VALUE"""),45265.0)</f>
        <v>45265</v>
      </c>
      <c r="B9347" s="16" t="str">
        <f>IFERROR(__xludf.DUMMYFUNCTION("""COMPUTED_VALUE"""),"Johanna Arango Barrera")</f>
        <v>Johanna Arango Barrera</v>
      </c>
      <c r="C9347" s="15" t="str">
        <f>IFERROR(__xludf.DUMMYFUNCTION("""COMPUTED_VALUE"""),"PIEDECUESTA")</f>
        <v>PIEDECUESTA</v>
      </c>
      <c r="D9347" s="15" t="str">
        <f>IFERROR(__xludf.DUMMYFUNCTION("""COMPUTED_VALUE"""),"BOGOTÁ")</f>
        <v>BOGOTÁ</v>
      </c>
      <c r="E9347" s="15" t="str">
        <f>IFERROR(__xludf.DUMMYFUNCTION("""COMPUTED_VALUE"""),"LINA PAOLA RAMIREZ GOMEZ - EVA MAZZITA")</f>
        <v>LINA PAOLA RAMIREZ GOMEZ - EVA MAZZITA</v>
      </c>
      <c r="F9347" s="17" t="str">
        <f>IFERROR(__xludf.DUMMYFUNCTION("""COMPUTED_VALUE"""),"Cra 18 No. 2A 56 CR / Terrazas de San Francisco, Apto. 807")</f>
        <v>Cra 18 No. 2A 56 CR / Terrazas de San Francisco, Apto. 807</v>
      </c>
      <c r="G9347" s="15" t="str">
        <f>IFERROR(__xludf.DUMMYFUNCTION("""COMPUTED_VALUE"""),"ALEJANDRA TELLEZ DELGADO")</f>
        <v>ALEJANDRA TELLEZ DELGADO</v>
      </c>
      <c r="H9347" s="16">
        <f>IFERROR(__xludf.DUMMYFUNCTION("""COMPUTED_VALUE"""),17978.0)</f>
        <v>17978</v>
      </c>
      <c r="I9347" s="17"/>
      <c r="J9347" s="17"/>
      <c r="K9347" s="17"/>
      <c r="L9347" s="17">
        <f>IFERROR(__xludf.DUMMYFUNCTION("""COMPUTED_VALUE"""),3.157767771E9)</f>
        <v>3157767771</v>
      </c>
      <c r="M9347" s="17"/>
      <c r="N9347" s="17"/>
      <c r="O9347" s="17"/>
      <c r="P9347" s="17" t="b">
        <f>IFERROR(__xludf.DUMMYFUNCTION("""COMPUTED_VALUE"""),FALSE)</f>
        <v>0</v>
      </c>
      <c r="Q9347" s="20" t="str">
        <f>IFERROR(__xludf.DUMMYFUNCTION("""COMPUTED_VALUE"""),"")</f>
        <v/>
      </c>
      <c r="R9347" s="21" t="str">
        <f>IFERROR(__xludf.DUMMYFUNCTION("""COMPUTED_VALUE"""),"https://drive.google.com/file/d/1I692GDyqFBV6Q0ty7UfkRU7pEKcpRYc4/view?usp=drivesdk")</f>
        <v>https://drive.google.com/file/d/1I692GDyqFBV6Q0ty7UfkRU7pEKcpRYc4/view?usp=drivesdk</v>
      </c>
    </row>
    <row r="9348">
      <c r="A9348" s="15">
        <f>IFERROR(__xludf.DUMMYFUNCTION("""COMPUTED_VALUE"""),45265.0)</f>
        <v>45265</v>
      </c>
      <c r="B9348" s="16" t="str">
        <f>IFERROR(__xludf.DUMMYFUNCTION("""COMPUTED_VALUE"""),"Johanna Arango Barrera")</f>
        <v>Johanna Arango Barrera</v>
      </c>
      <c r="C9348" s="15" t="str">
        <f>IFERROR(__xludf.DUMMYFUNCTION("""COMPUTED_VALUE"""),"SANTA ROSA DE CABAL")</f>
        <v>SANTA ROSA DE CABAL</v>
      </c>
      <c r="D9348" s="15" t="str">
        <f>IFERROR(__xludf.DUMMYFUNCTION("""COMPUTED_VALUE"""),"MEDELLÍN")</f>
        <v>MEDELLÍN</v>
      </c>
      <c r="E9348" s="15" t="str">
        <f>IFERROR(__xludf.DUMMYFUNCTION("""COMPUTED_VALUE"""),"Rambla")</f>
        <v>Rambla</v>
      </c>
      <c r="F9348" s="17" t="str">
        <f>IFERROR(__xludf.DUMMYFUNCTION("""COMPUTED_VALUE"""),"cra 14 # 11-39 / bio market  / santa rosa de cabal")</f>
        <v>cra 14 # 11-39 / bio market  / santa rosa de cabal</v>
      </c>
      <c r="G9348" s="15" t="str">
        <f>IFERROR(__xludf.DUMMYFUNCTION("""COMPUTED_VALUE"""),"alexandra")</f>
        <v>alexandra</v>
      </c>
      <c r="H9348" s="16">
        <f>IFERROR(__xludf.DUMMYFUNCTION("""COMPUTED_VALUE"""),17969.0)</f>
        <v>17969</v>
      </c>
      <c r="I9348" s="18">
        <f>IFERROR(__xludf.DUMMYFUNCTION("""COMPUTED_VALUE"""),16.0)</f>
        <v>16</v>
      </c>
      <c r="J9348" s="18">
        <f>IFERROR(__xludf.DUMMYFUNCTION("""COMPUTED_VALUE"""),24.0)</f>
        <v>24</v>
      </c>
      <c r="K9348" s="18">
        <f>IFERROR(__xludf.DUMMYFUNCTION("""COMPUTED_VALUE"""),15.0)</f>
        <v>15</v>
      </c>
      <c r="L9348" s="17">
        <f>IFERROR(__xludf.DUMMYFUNCTION("""COMPUTED_VALUE"""),3.128130929E9)</f>
        <v>3128130929</v>
      </c>
      <c r="M9348" s="17"/>
      <c r="N9348" s="17"/>
      <c r="O9348" s="17"/>
      <c r="P9348" s="17" t="b">
        <f>IFERROR(__xludf.DUMMYFUNCTION("""COMPUTED_VALUE"""),FALSE)</f>
        <v>0</v>
      </c>
      <c r="Q9348" s="20" t="str">
        <f>IFERROR(__xludf.DUMMYFUNCTION("""COMPUTED_VALUE"""),"")</f>
        <v/>
      </c>
      <c r="R9348" s="21" t="str">
        <f>IFERROR(__xludf.DUMMYFUNCTION("""COMPUTED_VALUE"""),"https://drive.google.com/file/d/1Lbtuupnn2m0IfQaZPDQ6UP_MQ-A4Kbc0/view?usp=drivesdk")</f>
        <v>https://drive.google.com/file/d/1Lbtuupnn2m0IfQaZPDQ6UP_MQ-A4Kbc0/view?usp=drivesdk</v>
      </c>
    </row>
    <row r="9349">
      <c r="A9349" s="17" t="str">
        <f>IFERROR(__xludf.DUMMYFUNCTION("""COMPUTED_VALUE"""),"")</f>
        <v/>
      </c>
      <c r="B9349" s="17" t="str">
        <f>IFERROR(__xludf.DUMMYFUNCTION("""COMPUTED_VALUE"""),"")</f>
        <v/>
      </c>
      <c r="C9349" s="17" t="str">
        <f>IFERROR(__xludf.DUMMYFUNCTION("""COMPUTED_VALUE"""),"")</f>
        <v/>
      </c>
      <c r="D9349" s="17" t="str">
        <f>IFERROR(__xludf.DUMMYFUNCTION("""COMPUTED_VALUE"""),"")</f>
        <v/>
      </c>
      <c r="E9349" s="17" t="str">
        <f>IFERROR(__xludf.DUMMYFUNCTION("""COMPUTED_VALUE"""),"")</f>
        <v/>
      </c>
      <c r="F9349" s="17" t="str">
        <f>IFERROR(__xludf.DUMMYFUNCTION("""COMPUTED_VALUE"""),"")</f>
        <v/>
      </c>
      <c r="G9349" s="17" t="str">
        <f>IFERROR(__xludf.DUMMYFUNCTION("""COMPUTED_VALUE"""),"")</f>
        <v/>
      </c>
      <c r="H9349" s="17" t="str">
        <f>IFERROR(__xludf.DUMMYFUNCTION("""COMPUTED_VALUE"""),"")</f>
        <v/>
      </c>
      <c r="I9349" s="17" t="str">
        <f>IFERROR(__xludf.DUMMYFUNCTION("""COMPUTED_VALUE"""),"")</f>
        <v/>
      </c>
      <c r="J9349" s="17" t="str">
        <f>IFERROR(__xludf.DUMMYFUNCTION("""COMPUTED_VALUE"""),"")</f>
        <v/>
      </c>
      <c r="K9349" s="17" t="str">
        <f>IFERROR(__xludf.DUMMYFUNCTION("""COMPUTED_VALUE"""),"")</f>
        <v/>
      </c>
      <c r="L9349" s="17" t="str">
        <f>IFERROR(__xludf.DUMMYFUNCTION("""COMPUTED_VALUE"""),"")</f>
        <v/>
      </c>
      <c r="M9349" s="17" t="str">
        <f>IFERROR(__xludf.DUMMYFUNCTION("""COMPUTED_VALUE"""),"")</f>
        <v/>
      </c>
      <c r="N9349" s="17" t="str">
        <f>IFERROR(__xludf.DUMMYFUNCTION("""COMPUTED_VALUE"""),"")</f>
        <v/>
      </c>
      <c r="O9349" s="17" t="str">
        <f>IFERROR(__xludf.DUMMYFUNCTION("""COMPUTED_VALUE"""),"")</f>
        <v/>
      </c>
      <c r="P9349" s="17" t="str">
        <f>IFERROR(__xludf.DUMMYFUNCTION("""COMPUTED_VALUE"""),"")</f>
        <v/>
      </c>
      <c r="Q9349" s="17" t="str">
        <f>IFERROR(__xludf.DUMMYFUNCTION("""COMPUTED_VALUE"""),"")</f>
        <v/>
      </c>
      <c r="R9349" s="17" t="str">
        <f>IFERROR(__xludf.DUMMYFUNCTION("""COMPUTED_VALUE"""),"")</f>
        <v/>
      </c>
    </row>
    <row r="9350">
      <c r="A9350" s="15">
        <f>IFERROR(__xludf.DUMMYFUNCTION("""COMPUTED_VALUE"""),45265.0)</f>
        <v>45265</v>
      </c>
      <c r="B9350" s="16" t="str">
        <f>IFERROR(__xludf.DUMMYFUNCTION("""COMPUTED_VALUE"""),"Julián Alexis salazar Anaya ")</f>
        <v>Julián Alexis salazar Anaya </v>
      </c>
      <c r="C9350" s="15" t="str">
        <f>IFERROR(__xludf.DUMMYFUNCTION("""COMPUTED_VALUE"""),"ARMENIA")</f>
        <v>ARMENIA</v>
      </c>
      <c r="D9350" s="15" t="str">
        <f>IFERROR(__xludf.DUMMYFUNCTION("""COMPUTED_VALUE"""),"BOGOTÁ")</f>
        <v>BOGOTÁ</v>
      </c>
      <c r="E9350" s="15" t="str">
        <f>IFERROR(__xludf.DUMMYFUNCTION("""COMPUTED_VALUE"""),"Premium Choice")</f>
        <v>Premium Choice</v>
      </c>
      <c r="F9350" s="17" t="str">
        <f>IFERROR(__xludf.DUMMYFUNCTION("""COMPUTED_VALUE"""),"Calle 22 norte # 14 - 31  / Supermercado  / Laureles")</f>
        <v>Calle 22 norte # 14 - 31  / Supermercado  / Laureles</v>
      </c>
      <c r="G9350" s="15" t="str">
        <f>IFERROR(__xludf.DUMMYFUNCTION("""COMPUTED_VALUE"""),"Laureles norte")</f>
        <v>Laureles norte</v>
      </c>
      <c r="H9350" s="16">
        <f>IFERROR(__xludf.DUMMYFUNCTION("""COMPUTED_VALUE"""),17906.0)</f>
        <v>17906</v>
      </c>
      <c r="I9350" s="18">
        <f>IFERROR(__xludf.DUMMYFUNCTION("""COMPUTED_VALUE"""),10.0)</f>
        <v>10</v>
      </c>
      <c r="J9350" s="18">
        <f>IFERROR(__xludf.DUMMYFUNCTION("""COMPUTED_VALUE"""),17.0)</f>
        <v>17</v>
      </c>
      <c r="K9350" s="18">
        <f>IFERROR(__xludf.DUMMYFUNCTION("""COMPUTED_VALUE"""),22.0)</f>
        <v>22</v>
      </c>
      <c r="L9350" s="17">
        <f>IFERROR(__xludf.DUMMYFUNCTION("""COMPUTED_VALUE"""),3.102170999E9)</f>
        <v>3102170999</v>
      </c>
      <c r="M9350" s="17"/>
      <c r="N9350" s="17"/>
      <c r="O9350" s="17"/>
      <c r="P9350" s="17" t="b">
        <f>IFERROR(__xludf.DUMMYFUNCTION("""COMPUTED_VALUE"""),FALSE)</f>
        <v>0</v>
      </c>
      <c r="Q9350" s="20" t="str">
        <f>IFERROR(__xludf.DUMMYFUNCTION("""COMPUTED_VALUE"""),"")</f>
        <v/>
      </c>
      <c r="R9350" s="21" t="str">
        <f>IFERROR(__xludf.DUMMYFUNCTION("""COMPUTED_VALUE"""),"https://drive.google.com/file/d/14QoVQCE38r1RwZPGoChBVR7zVdAzjMVd/view?usp=drivesdk")</f>
        <v>https://drive.google.com/file/d/14QoVQCE38r1RwZPGoChBVR7zVdAzjMVd/view?usp=drivesdk</v>
      </c>
    </row>
    <row r="9351">
      <c r="A9351" s="15">
        <f>IFERROR(__xludf.DUMMYFUNCTION("""COMPUTED_VALUE"""),45265.0)</f>
        <v>45265</v>
      </c>
      <c r="B9351" s="16" t="str">
        <f>IFERROR(__xludf.DUMMYFUNCTION("""COMPUTED_VALUE"""),"Julián Alexis salazar Anaya ")</f>
        <v>Julián Alexis salazar Anaya </v>
      </c>
      <c r="C9351" s="15" t="str">
        <f>IFERROR(__xludf.DUMMYFUNCTION("""COMPUTED_VALUE"""),"ARMENIA")</f>
        <v>ARMENIA</v>
      </c>
      <c r="D9351" s="15" t="str">
        <f>IFERROR(__xludf.DUMMYFUNCTION("""COMPUTED_VALUE"""),"BOGOTÁ")</f>
        <v>BOGOTÁ</v>
      </c>
      <c r="E9351" s="15" t="str">
        <f>IFERROR(__xludf.DUMMYFUNCTION("""COMPUTED_VALUE"""),"Premium Choice")</f>
        <v>Premium Choice</v>
      </c>
      <c r="F9351" s="17" t="str">
        <f>IFERROR(__xludf.DUMMYFUNCTION("""COMPUTED_VALUE"""),"Calle 22 norte # 14 - 31 / Supermercado  / Laureles")</f>
        <v>Calle 22 norte # 14 - 31 / Supermercado  / Laureles</v>
      </c>
      <c r="G9351" s="15" t="str">
        <f>IFERROR(__xludf.DUMMYFUNCTION("""COMPUTED_VALUE"""),"Laureles norte")</f>
        <v>Laureles norte</v>
      </c>
      <c r="H9351" s="16">
        <f>IFERROR(__xludf.DUMMYFUNCTION("""COMPUTED_VALUE"""),17907.0)</f>
        <v>17907</v>
      </c>
      <c r="I9351" s="18">
        <f>IFERROR(__xludf.DUMMYFUNCTION("""COMPUTED_VALUE"""),17.0)</f>
        <v>17</v>
      </c>
      <c r="J9351" s="18">
        <f>IFERROR(__xludf.DUMMYFUNCTION("""COMPUTED_VALUE"""),22.0)</f>
        <v>22</v>
      </c>
      <c r="K9351" s="18">
        <f>IFERROR(__xludf.DUMMYFUNCTION("""COMPUTED_VALUE"""),30.0)</f>
        <v>30</v>
      </c>
      <c r="L9351" s="17">
        <f>IFERROR(__xludf.DUMMYFUNCTION("""COMPUTED_VALUE"""),3.102170999E9)</f>
        <v>3102170999</v>
      </c>
      <c r="M9351" s="17"/>
      <c r="N9351" s="17"/>
      <c r="O9351" s="17"/>
      <c r="P9351" s="17" t="b">
        <f>IFERROR(__xludf.DUMMYFUNCTION("""COMPUTED_VALUE"""),FALSE)</f>
        <v>0</v>
      </c>
      <c r="Q9351" s="20" t="str">
        <f>IFERROR(__xludf.DUMMYFUNCTION("""COMPUTED_VALUE"""),"")</f>
        <v/>
      </c>
      <c r="R9351" s="21" t="str">
        <f>IFERROR(__xludf.DUMMYFUNCTION("""COMPUTED_VALUE"""),"https://drive.google.com/file/d/1F6Zm7GdHCRBbP0a-zGEF4Pd8a8cEZWwg/view?usp=drivesdk")</f>
        <v>https://drive.google.com/file/d/1F6Zm7GdHCRBbP0a-zGEF4Pd8a8cEZWwg/view?usp=drivesdk</v>
      </c>
    </row>
    <row r="9352">
      <c r="A9352" s="15">
        <f>IFERROR(__xludf.DUMMYFUNCTION("""COMPUTED_VALUE"""),45265.0)</f>
        <v>45265</v>
      </c>
      <c r="B9352" s="16" t="str">
        <f>IFERROR(__xludf.DUMMYFUNCTION("""COMPUTED_VALUE"""),"Julián Alexis salazar Anaya ")</f>
        <v>Julián Alexis salazar Anaya </v>
      </c>
      <c r="C9352" s="15" t="str">
        <f>IFERROR(__xludf.DUMMYFUNCTION("""COMPUTED_VALUE"""),"ARMENIA")</f>
        <v>ARMENIA</v>
      </c>
      <c r="D9352" s="15" t="str">
        <f>IFERROR(__xludf.DUMMYFUNCTION("""COMPUTED_VALUE"""),"MEDELLÍN")</f>
        <v>MEDELLÍN</v>
      </c>
      <c r="E9352" s="15" t="str">
        <f>IFERROR(__xludf.DUMMYFUNCTION("""COMPUTED_VALUE"""),"AREPAS LA MARY")</f>
        <v>AREPAS LA MARY</v>
      </c>
      <c r="F9352" s="17" t="str">
        <f>IFERROR(__xludf.DUMMYFUNCTION("""COMPUTED_VALUE"""),"Calle 26 #44-91 / Parques de Bolívar 2 Bl A apto 501")</f>
        <v>Calle 26 #44-91 / Parques de Bolívar 2 Bl A apto 501</v>
      </c>
      <c r="G9352" s="15" t="str">
        <f>IFERROR(__xludf.DUMMYFUNCTION("""COMPUTED_VALUE"""),"ANDREA GIRALDO")</f>
        <v>ANDREA GIRALDO</v>
      </c>
      <c r="H9352" s="16">
        <f>IFERROR(__xludf.DUMMYFUNCTION("""COMPUTED_VALUE"""),17985.0)</f>
        <v>17985</v>
      </c>
      <c r="I9352" s="17"/>
      <c r="J9352" s="17"/>
      <c r="K9352" s="17"/>
      <c r="L9352" s="17">
        <f>IFERROR(__xludf.DUMMYFUNCTION("""COMPUTED_VALUE"""),3.003284967E9)</f>
        <v>3003284967</v>
      </c>
      <c r="M9352" s="17"/>
      <c r="N9352" s="17"/>
      <c r="O9352" s="17"/>
      <c r="P9352" s="17" t="b">
        <f>IFERROR(__xludf.DUMMYFUNCTION("""COMPUTED_VALUE"""),FALSE)</f>
        <v>0</v>
      </c>
      <c r="Q9352" s="20" t="str">
        <f>IFERROR(__xludf.DUMMYFUNCTION("""COMPUTED_VALUE"""),"")</f>
        <v/>
      </c>
      <c r="R9352" s="22" t="str">
        <f>IFERROR(__xludf.DUMMYFUNCTION("""COMPUTED_VALUE"""),"")</f>
        <v/>
      </c>
    </row>
    <row r="9353">
      <c r="A9353" s="15">
        <f>IFERROR(__xludf.DUMMYFUNCTION("""COMPUTED_VALUE"""),45265.0)</f>
        <v>45265</v>
      </c>
      <c r="B9353" s="16" t="str">
        <f>IFERROR(__xludf.DUMMYFUNCTION("""COMPUTED_VALUE"""),"Julián Alexis salazar Anaya ")</f>
        <v>Julián Alexis salazar Anaya </v>
      </c>
      <c r="C9353" s="15" t="str">
        <f>IFERROR(__xludf.DUMMYFUNCTION("""COMPUTED_VALUE"""),"ARMENIA")</f>
        <v>ARMENIA</v>
      </c>
      <c r="D9353" s="15" t="str">
        <f>IFERROR(__xludf.DUMMYFUNCTION("""COMPUTED_VALUE"""),"MEDELLÍN")</f>
        <v>MEDELLÍN</v>
      </c>
      <c r="E9353" s="15" t="str">
        <f>IFERROR(__xludf.DUMMYFUNCTION("""COMPUTED_VALUE"""),"Rambla")</f>
        <v>Rambla</v>
      </c>
      <c r="F9353" s="17" t="str">
        <f>IFERROR(__xludf.DUMMYFUNCTION("""COMPUTED_VALUE"""),"cra 14 # 19A norte 50  / local 2 / armenia, Quindio")</f>
        <v>cra 14 # 19A norte 50  / local 2 / armenia, Quindio</v>
      </c>
      <c r="G9353" s="15" t="str">
        <f>IFERROR(__xludf.DUMMYFUNCTION("""COMPUTED_VALUE"""),"delparaisso organico")</f>
        <v>delparaisso organico</v>
      </c>
      <c r="H9353" s="16">
        <f>IFERROR(__xludf.DUMMYFUNCTION("""COMPUTED_VALUE"""),17970.0)</f>
        <v>17970</v>
      </c>
      <c r="I9353" s="18">
        <f>IFERROR(__xludf.DUMMYFUNCTION("""COMPUTED_VALUE"""),19.0)</f>
        <v>19</v>
      </c>
      <c r="J9353" s="18">
        <f>IFERROR(__xludf.DUMMYFUNCTION("""COMPUTED_VALUE"""),28.0)</f>
        <v>28</v>
      </c>
      <c r="K9353" s="18">
        <f>IFERROR(__xludf.DUMMYFUNCTION("""COMPUTED_VALUE"""),18.0)</f>
        <v>18</v>
      </c>
      <c r="L9353" s="17">
        <f>IFERROR(__xludf.DUMMYFUNCTION("""COMPUTED_VALUE"""),3.175160625E9)</f>
        <v>3175160625</v>
      </c>
      <c r="M9353" s="17"/>
      <c r="N9353" s="17"/>
      <c r="O9353" s="17"/>
      <c r="P9353" s="17" t="b">
        <f>IFERROR(__xludf.DUMMYFUNCTION("""COMPUTED_VALUE"""),FALSE)</f>
        <v>0</v>
      </c>
      <c r="Q9353" s="20" t="str">
        <f>IFERROR(__xludf.DUMMYFUNCTION("""COMPUTED_VALUE"""),"")</f>
        <v/>
      </c>
      <c r="R9353" s="22" t="str">
        <f>IFERROR(__xludf.DUMMYFUNCTION("""COMPUTED_VALUE"""),"")</f>
        <v/>
      </c>
    </row>
    <row r="9354">
      <c r="A9354" s="15">
        <f>IFERROR(__xludf.DUMMYFUNCTION("""COMPUTED_VALUE"""),45265.0)</f>
        <v>45265</v>
      </c>
      <c r="B9354" s="16" t="str">
        <f>IFERROR(__xludf.DUMMYFUNCTION("""COMPUTED_VALUE"""),"Julián Alexis salazar Anaya ")</f>
        <v>Julián Alexis salazar Anaya </v>
      </c>
      <c r="C9354" s="15" t="str">
        <f>IFERROR(__xludf.DUMMYFUNCTION("""COMPUTED_VALUE"""),"BOGOTÁ")</f>
        <v>BOGOTÁ</v>
      </c>
      <c r="D9354" s="15" t="str">
        <f>IFERROR(__xludf.DUMMYFUNCTION("""COMPUTED_VALUE"""),"MEDELLÍN")</f>
        <v>MEDELLÍN</v>
      </c>
      <c r="E9354" s="15" t="str">
        <f>IFERROR(__xludf.DUMMYFUNCTION("""COMPUTED_VALUE"""),"Helados swip")</f>
        <v>Helados swip</v>
      </c>
      <c r="F9354" s="17" t="str">
        <f>IFERROR(__xludf.DUMMYFUNCTION("""COMPUTED_VALUE"""),"CARRERA 58 # 137 B -01  / LOCAL 8  / C.C PORTO ALEGRE ( COSTADO SUPERIOR )")</f>
        <v>CARRERA 58 # 137 B -01  / LOCAL 8  / C.C PORTO ALEGRE ( COSTADO SUPERIOR )</v>
      </c>
      <c r="G9354" s="15" t="str">
        <f>IFERROR(__xludf.DUMMYFUNCTION("""COMPUTED_VALUE"""),"FIT MARKET PORTO ALEGRE")</f>
        <v>FIT MARKET PORTO ALEGRE</v>
      </c>
      <c r="H9354" s="16">
        <f>IFERROR(__xludf.DUMMYFUNCTION("""COMPUTED_VALUE"""),17940.0)</f>
        <v>17940</v>
      </c>
      <c r="I9354" s="18">
        <f>IFERROR(__xludf.DUMMYFUNCTION("""COMPUTED_VALUE"""),50.0)</f>
        <v>50</v>
      </c>
      <c r="J9354" s="18">
        <f>IFERROR(__xludf.DUMMYFUNCTION("""COMPUTED_VALUE"""),30.0)</f>
        <v>30</v>
      </c>
      <c r="K9354" s="18">
        <f>IFERROR(__xludf.DUMMYFUNCTION("""COMPUTED_VALUE"""),21.0)</f>
        <v>21</v>
      </c>
      <c r="L9354" s="17">
        <f>IFERROR(__xludf.DUMMYFUNCTION("""COMPUTED_VALUE"""),3.235797907E9)</f>
        <v>3235797907</v>
      </c>
      <c r="M9354" s="17"/>
      <c r="N9354" s="17"/>
      <c r="O9354" s="17"/>
      <c r="P9354" s="17" t="b">
        <f>IFERROR(__xludf.DUMMYFUNCTION("""COMPUTED_VALUE"""),FALSE)</f>
        <v>0</v>
      </c>
      <c r="Q9354" s="20" t="str">
        <f>IFERROR(__xludf.DUMMYFUNCTION("""COMPUTED_VALUE"""),"")</f>
        <v/>
      </c>
      <c r="R9354" s="21" t="str">
        <f>IFERROR(__xludf.DUMMYFUNCTION("""COMPUTED_VALUE"""),"https://drive.google.com/file/d/14RXMd1OMKbD4wkb0OPM1mqvrvn3dWIaR/view?usp=drivesdk")</f>
        <v>https://drive.google.com/file/d/14RXMd1OMKbD4wkb0OPM1mqvrvn3dWIaR/view?usp=drivesdk</v>
      </c>
    </row>
    <row r="9355">
      <c r="A9355" s="17" t="str">
        <f>IFERROR(__xludf.DUMMYFUNCTION("""COMPUTED_VALUE"""),"")</f>
        <v/>
      </c>
      <c r="B9355" s="17" t="str">
        <f>IFERROR(__xludf.DUMMYFUNCTION("""COMPUTED_VALUE"""),"")</f>
        <v/>
      </c>
      <c r="C9355" s="17" t="str">
        <f>IFERROR(__xludf.DUMMYFUNCTION("""COMPUTED_VALUE"""),"")</f>
        <v/>
      </c>
      <c r="D9355" s="17" t="str">
        <f>IFERROR(__xludf.DUMMYFUNCTION("""COMPUTED_VALUE"""),"")</f>
        <v/>
      </c>
      <c r="E9355" s="17" t="str">
        <f>IFERROR(__xludf.DUMMYFUNCTION("""COMPUTED_VALUE"""),"")</f>
        <v/>
      </c>
      <c r="F9355" s="17" t="str">
        <f>IFERROR(__xludf.DUMMYFUNCTION("""COMPUTED_VALUE"""),"")</f>
        <v/>
      </c>
      <c r="G9355" s="17" t="str">
        <f>IFERROR(__xludf.DUMMYFUNCTION("""COMPUTED_VALUE"""),"")</f>
        <v/>
      </c>
      <c r="H9355" s="17" t="str">
        <f>IFERROR(__xludf.DUMMYFUNCTION("""COMPUTED_VALUE"""),"")</f>
        <v/>
      </c>
      <c r="I9355" s="17" t="str">
        <f>IFERROR(__xludf.DUMMYFUNCTION("""COMPUTED_VALUE"""),"")</f>
        <v/>
      </c>
      <c r="J9355" s="17" t="str">
        <f>IFERROR(__xludf.DUMMYFUNCTION("""COMPUTED_VALUE"""),"")</f>
        <v/>
      </c>
      <c r="K9355" s="17" t="str">
        <f>IFERROR(__xludf.DUMMYFUNCTION("""COMPUTED_VALUE"""),"")</f>
        <v/>
      </c>
      <c r="L9355" s="17" t="str">
        <f>IFERROR(__xludf.DUMMYFUNCTION("""COMPUTED_VALUE"""),"")</f>
        <v/>
      </c>
      <c r="M9355" s="17" t="str">
        <f>IFERROR(__xludf.DUMMYFUNCTION("""COMPUTED_VALUE"""),"")</f>
        <v/>
      </c>
      <c r="N9355" s="17" t="str">
        <f>IFERROR(__xludf.DUMMYFUNCTION("""COMPUTED_VALUE"""),"")</f>
        <v/>
      </c>
      <c r="O9355" s="17" t="str">
        <f>IFERROR(__xludf.DUMMYFUNCTION("""COMPUTED_VALUE"""),"")</f>
        <v/>
      </c>
      <c r="P9355" s="17" t="str">
        <f>IFERROR(__xludf.DUMMYFUNCTION("""COMPUTED_VALUE"""),"")</f>
        <v/>
      </c>
      <c r="Q9355" s="17" t="str">
        <f>IFERROR(__xludf.DUMMYFUNCTION("""COMPUTED_VALUE"""),"")</f>
        <v/>
      </c>
      <c r="R9355" s="17" t="str">
        <f>IFERROR(__xludf.DUMMYFUNCTION("""COMPUTED_VALUE"""),"")</f>
        <v/>
      </c>
    </row>
    <row r="9356">
      <c r="A9356" s="15">
        <f>IFERROR(__xludf.DUMMYFUNCTION("""COMPUTED_VALUE"""),45265.0)</f>
        <v>45265</v>
      </c>
      <c r="B9356" s="16" t="str">
        <f>IFERROR(__xludf.DUMMYFUNCTION("""COMPUTED_VALUE"""),"Kevin Andrés puerta Jaramillo")</f>
        <v>Kevin Andrés puerta Jaramillo</v>
      </c>
      <c r="C9356" s="15" t="str">
        <f>IFERROR(__xludf.DUMMYFUNCTION("""COMPUTED_VALUE"""),"ENVIGADO")</f>
        <v>ENVIGADO</v>
      </c>
      <c r="D9356" s="15" t="str">
        <f>IFERROR(__xludf.DUMMYFUNCTION("""COMPUTED_VALUE"""),"BOGOTÁ")</f>
        <v>BOGOTÁ</v>
      </c>
      <c r="E9356" s="15" t="str">
        <f>IFERROR(__xludf.DUMMYFUNCTION("""COMPUTED_VALUE"""),"Cakelab")</f>
        <v>Cakelab</v>
      </c>
      <c r="F9356" s="17" t="str">
        <f>IFERROR(__xludf.DUMMYFUNCTION("""COMPUTED_VALUE"""),"calle 20 B sur #2A 385. / Es una casa finca. tocar timbre de la puerta. primera casa a mano derecha")</f>
        <v>calle 20 B sur #2A 385. / Es una casa finca. tocar timbre de la puerta. primera casa a mano derecha</v>
      </c>
      <c r="G9356" s="15" t="str">
        <f>IFERROR(__xludf.DUMMYFUNCTION("""COMPUTED_VALUE"""),"CASA")</f>
        <v>CASA</v>
      </c>
      <c r="H9356" s="16">
        <f>IFERROR(__xludf.DUMMYFUNCTION("""COMPUTED_VALUE"""),17947.0)</f>
        <v>17947</v>
      </c>
      <c r="I9356" s="17"/>
      <c r="J9356" s="17"/>
      <c r="K9356" s="17"/>
      <c r="L9356" s="17">
        <f>IFERROR(__xludf.DUMMYFUNCTION("""COMPUTED_VALUE"""),3.155181477E9)</f>
        <v>3155181477</v>
      </c>
      <c r="M9356" s="17"/>
      <c r="N9356" s="17"/>
      <c r="O9356" s="17"/>
      <c r="P9356" s="17" t="b">
        <f>IFERROR(__xludf.DUMMYFUNCTION("""COMPUTED_VALUE"""),FALSE)</f>
        <v>0</v>
      </c>
      <c r="Q9356" s="20" t="str">
        <f>IFERROR(__xludf.DUMMYFUNCTION("""COMPUTED_VALUE"""),"")</f>
        <v/>
      </c>
      <c r="R9356" s="21" t="str">
        <f>IFERROR(__xludf.DUMMYFUNCTION("""COMPUTED_VALUE"""),"https://drive.google.com/file/d/1LuVl-7cAaXWy9p3u74r6DewkuvbjsB-Q/view?usp=drivesdk")</f>
        <v>https://drive.google.com/file/d/1LuVl-7cAaXWy9p3u74r6DewkuvbjsB-Q/view?usp=drivesdk</v>
      </c>
    </row>
    <row r="9357">
      <c r="A9357" s="15">
        <f>IFERROR(__xludf.DUMMYFUNCTION("""COMPUTED_VALUE"""),45265.0)</f>
        <v>45265</v>
      </c>
      <c r="B9357" s="16" t="str">
        <f>IFERROR(__xludf.DUMMYFUNCTION("""COMPUTED_VALUE"""),"Kevin Andrés puerta Jaramillo")</f>
        <v>Kevin Andrés puerta Jaramillo</v>
      </c>
      <c r="C9357" s="15" t="str">
        <f>IFERROR(__xludf.DUMMYFUNCTION("""COMPUTED_VALUE"""),"MEDELLÍN")</f>
        <v>MEDELLÍN</v>
      </c>
      <c r="D9357" s="15" t="str">
        <f>IFERROR(__xludf.DUMMYFUNCTION("""COMPUTED_VALUE"""),"BOGOTÁ")</f>
        <v>BOGOTÁ</v>
      </c>
      <c r="E9357" s="15" t="str">
        <f>IFERROR(__xludf.DUMMYFUNCTION("""COMPUTED_VALUE"""),"Asociacion Agropecuaria Juana Maria")</f>
        <v>Asociacion Agropecuaria Juana Maria</v>
      </c>
      <c r="F9357" s="17" t="str">
        <f>IFERROR(__xludf.DUMMYFUNCTION("""COMPUTED_VALUE"""),"calle 50A#84-141 subestación Colombia EPM / medellin")</f>
        <v>calle 50A#84-141 subestación Colombia EPM / medellin</v>
      </c>
      <c r="G9357" s="15" t="str">
        <f>IFERROR(__xludf.DUMMYFUNCTION("""COMPUTED_VALUE"""),"Carolina Escobar")</f>
        <v>Carolina Escobar</v>
      </c>
      <c r="H9357" s="16">
        <f>IFERROR(__xludf.DUMMYFUNCTION("""COMPUTED_VALUE"""),17925.0)</f>
        <v>17925</v>
      </c>
      <c r="I9357" s="17"/>
      <c r="J9357" s="17"/>
      <c r="K9357" s="17"/>
      <c r="L9357" s="17"/>
      <c r="M9357" s="17"/>
      <c r="N9357" s="17"/>
      <c r="O9357" s="17"/>
      <c r="P9357" s="17" t="b">
        <f>IFERROR(__xludf.DUMMYFUNCTION("""COMPUTED_VALUE"""),FALSE)</f>
        <v>0</v>
      </c>
      <c r="Q9357" s="20" t="str">
        <f>IFERROR(__xludf.DUMMYFUNCTION("""COMPUTED_VALUE"""),"")</f>
        <v/>
      </c>
      <c r="R9357" s="21" t="str">
        <f>IFERROR(__xludf.DUMMYFUNCTION("""COMPUTED_VALUE"""),"https://drive.google.com/file/d/17GXvHp-vKg5XHg5A4AXuS5lht45w-PuN/view?usp=drivesdk")</f>
        <v>https://drive.google.com/file/d/17GXvHp-vKg5XHg5A4AXuS5lht45w-PuN/view?usp=drivesdk</v>
      </c>
    </row>
    <row r="9358">
      <c r="A9358" s="15">
        <f>IFERROR(__xludf.DUMMYFUNCTION("""COMPUTED_VALUE"""),45265.0)</f>
        <v>45265</v>
      </c>
      <c r="B9358" s="16" t="str">
        <f>IFERROR(__xludf.DUMMYFUNCTION("""COMPUTED_VALUE"""),"Kevin Andrés puerta Jaramillo")</f>
        <v>Kevin Andrés puerta Jaramillo</v>
      </c>
      <c r="C9358" s="15" t="str">
        <f>IFERROR(__xludf.DUMMYFUNCTION("""COMPUTED_VALUE"""),"MEDELLÍN")</f>
        <v>MEDELLÍN</v>
      </c>
      <c r="D9358" s="15" t="str">
        <f>IFERROR(__xludf.DUMMYFUNCTION("""COMPUTED_VALUE"""),"BOGOTÁ")</f>
        <v>BOGOTÁ</v>
      </c>
      <c r="E9358" s="15" t="str">
        <f>IFERROR(__xludf.DUMMYFUNCTION("""COMPUTED_VALUE"""),"Asociacion Agropecuaria Juana Maria")</f>
        <v>Asociacion Agropecuaria Juana Maria</v>
      </c>
      <c r="F9358" s="17" t="str">
        <f>IFERROR(__xludf.DUMMYFUNCTION("""COMPUTED_VALUE"""),"Carrera 15 BA # 30D-44 / int 201")</f>
        <v>Carrera 15 BA # 30D-44 / int 201</v>
      </c>
      <c r="G9358" s="15" t="str">
        <f>IFERROR(__xludf.DUMMYFUNCTION("""COMPUTED_VALUE"""),"Daniela Bedoya Blandon")</f>
        <v>Daniela Bedoya Blandon</v>
      </c>
      <c r="H9358" s="16">
        <f>IFERROR(__xludf.DUMMYFUNCTION("""COMPUTED_VALUE"""),17922.0)</f>
        <v>17922</v>
      </c>
      <c r="I9358" s="17"/>
      <c r="J9358" s="17"/>
      <c r="K9358" s="17"/>
      <c r="L9358" s="17">
        <f>IFERROR(__xludf.DUMMYFUNCTION("""COMPUTED_VALUE"""),3.14672822E9)</f>
        <v>3146728220</v>
      </c>
      <c r="M9358" s="17"/>
      <c r="N9358" s="17"/>
      <c r="O9358" s="17"/>
      <c r="P9358" s="17" t="b">
        <f>IFERROR(__xludf.DUMMYFUNCTION("""COMPUTED_VALUE"""),FALSE)</f>
        <v>0</v>
      </c>
      <c r="Q9358" s="20" t="str">
        <f>IFERROR(__xludf.DUMMYFUNCTION("""COMPUTED_VALUE"""),"")</f>
        <v/>
      </c>
      <c r="R9358" s="21" t="str">
        <f>IFERROR(__xludf.DUMMYFUNCTION("""COMPUTED_VALUE"""),"https://drive.google.com/file/d/1Bp0PJTbk2udcy01GSgNcipzt8E2VcBbJ/view?usp=drivesdk")</f>
        <v>https://drive.google.com/file/d/1Bp0PJTbk2udcy01GSgNcipzt8E2VcBbJ/view?usp=drivesdk</v>
      </c>
    </row>
    <row r="9359">
      <c r="A9359" s="15">
        <f>IFERROR(__xludf.DUMMYFUNCTION("""COMPUTED_VALUE"""),45265.0)</f>
        <v>45265</v>
      </c>
      <c r="B9359" s="16" t="str">
        <f>IFERROR(__xludf.DUMMYFUNCTION("""COMPUTED_VALUE"""),"Kevin Andrés puerta Jaramillo")</f>
        <v>Kevin Andrés puerta Jaramillo</v>
      </c>
      <c r="C9359" s="15" t="str">
        <f>IFERROR(__xludf.DUMMYFUNCTION("""COMPUTED_VALUE"""),"MEDELLÍN")</f>
        <v>MEDELLÍN</v>
      </c>
      <c r="D9359" s="15" t="str">
        <f>IFERROR(__xludf.DUMMYFUNCTION("""COMPUTED_VALUE"""),"BOGOTÁ")</f>
        <v>BOGOTÁ</v>
      </c>
      <c r="E9359" s="15" t="str">
        <f>IFERROR(__xludf.DUMMYFUNCTION("""COMPUTED_VALUE"""),"Hiiva Fermentados SAS")</f>
        <v>Hiiva Fermentados SAS</v>
      </c>
      <c r="F9359" s="17" t="str">
        <f>IFERROR(__xludf.DUMMYFUNCTION("""COMPUTED_VALUE"""),"Calle 98 #50b-19 primer piso / Preguntar por Doña Fabiola")</f>
        <v>Calle 98 #50b-19 primer piso / Preguntar por Doña Fabiola</v>
      </c>
      <c r="G9359" s="15" t="str">
        <f>IFERROR(__xludf.DUMMYFUNCTION("""COMPUTED_VALUE"""),"Bayron")</f>
        <v>Bayron</v>
      </c>
      <c r="H9359" s="16">
        <f>IFERROR(__xludf.DUMMYFUNCTION("""COMPUTED_VALUE"""),18000.0)</f>
        <v>18000</v>
      </c>
      <c r="I9359" s="17"/>
      <c r="J9359" s="17"/>
      <c r="K9359" s="17"/>
      <c r="L9359" s="17">
        <f>IFERROR(__xludf.DUMMYFUNCTION("""COMPUTED_VALUE"""),3.166261966E9)</f>
        <v>3166261966</v>
      </c>
      <c r="M9359" s="17"/>
      <c r="N9359" s="17"/>
      <c r="O9359" s="17"/>
      <c r="P9359" s="17" t="b">
        <f>IFERROR(__xludf.DUMMYFUNCTION("""COMPUTED_VALUE"""),FALSE)</f>
        <v>0</v>
      </c>
      <c r="Q9359" s="20" t="str">
        <f>IFERROR(__xludf.DUMMYFUNCTION("""COMPUTED_VALUE"""),"")</f>
        <v/>
      </c>
      <c r="R9359" s="21" t="str">
        <f>IFERROR(__xludf.DUMMYFUNCTION("""COMPUTED_VALUE"""),"https://drive.google.com/file/d/1JXv2kGTOmX8GYEaDDIsIBpZlSaRodkoP/view?usp=drivesdk")</f>
        <v>https://drive.google.com/file/d/1JXv2kGTOmX8GYEaDDIsIBpZlSaRodkoP/view?usp=drivesdk</v>
      </c>
    </row>
    <row r="9360">
      <c r="A9360" s="15">
        <f>IFERROR(__xludf.DUMMYFUNCTION("""COMPUTED_VALUE"""),45265.0)</f>
        <v>45265</v>
      </c>
      <c r="B9360" s="16" t="str">
        <f>IFERROR(__xludf.DUMMYFUNCTION("""COMPUTED_VALUE"""),"Kevin Andrés puerta Jaramillo")</f>
        <v>Kevin Andrés puerta Jaramillo</v>
      </c>
      <c r="C9360" s="15" t="str">
        <f>IFERROR(__xludf.DUMMYFUNCTION("""COMPUTED_VALUE"""),"MEDELLÍN")</f>
        <v>MEDELLÍN</v>
      </c>
      <c r="D9360" s="15" t="str">
        <f>IFERROR(__xludf.DUMMYFUNCTION("""COMPUTED_VALUE"""),"BOGOTÁ")</f>
        <v>BOGOTÁ</v>
      </c>
      <c r="E9360" s="15" t="str">
        <f>IFERROR(__xludf.DUMMYFUNCTION("""COMPUTED_VALUE"""),"LINA PAOLA RAMIREZ GOMEZ - EVA MAZZITA")</f>
        <v>LINA PAOLA RAMIREZ GOMEZ - EVA MAZZITA</v>
      </c>
      <c r="F9360" s="17" t="str">
        <f>IFERROR(__xludf.DUMMYFUNCTION("""COMPUTED_VALUE"""),"CRA 27 No. 23 SUR - 69 / EDIFICIO ZARZAMORA APTO 1806")</f>
        <v>CRA 27 No. 23 SUR - 69 / EDIFICIO ZARZAMORA APTO 1806</v>
      </c>
      <c r="G9360" s="15" t="str">
        <f>IFERROR(__xludf.DUMMYFUNCTION("""COMPUTED_VALUE"""),"CAMILA RESTREPO SOTO")</f>
        <v>CAMILA RESTREPO SOTO</v>
      </c>
      <c r="H9360" s="16">
        <f>IFERROR(__xludf.DUMMYFUNCTION("""COMPUTED_VALUE"""),17965.0)</f>
        <v>17965</v>
      </c>
      <c r="I9360" s="17"/>
      <c r="J9360" s="17"/>
      <c r="K9360" s="17"/>
      <c r="L9360" s="17">
        <f>IFERROR(__xludf.DUMMYFUNCTION("""COMPUTED_VALUE"""),3.015332145E9)</f>
        <v>3015332145</v>
      </c>
      <c r="M9360" s="17"/>
      <c r="N9360" s="17"/>
      <c r="O9360" s="17"/>
      <c r="P9360" s="17" t="b">
        <f>IFERROR(__xludf.DUMMYFUNCTION("""COMPUTED_VALUE"""),FALSE)</f>
        <v>0</v>
      </c>
      <c r="Q9360" s="20" t="str">
        <f>IFERROR(__xludf.DUMMYFUNCTION("""COMPUTED_VALUE"""),"")</f>
        <v/>
      </c>
      <c r="R9360" s="21" t="str">
        <f>IFERROR(__xludf.DUMMYFUNCTION("""COMPUTED_VALUE"""),"https://drive.google.com/file/d/1Xw8cLRFtoddwPGm7czt_yEaZ3mrdkn3U/view?usp=drivesdk")</f>
        <v>https://drive.google.com/file/d/1Xw8cLRFtoddwPGm7czt_yEaZ3mrdkn3U/view?usp=drivesdk</v>
      </c>
    </row>
    <row r="9361">
      <c r="A9361" s="15">
        <f>IFERROR(__xludf.DUMMYFUNCTION("""COMPUTED_VALUE"""),45265.0)</f>
        <v>45265</v>
      </c>
      <c r="B9361" s="16" t="str">
        <f>IFERROR(__xludf.DUMMYFUNCTION("""COMPUTED_VALUE"""),"Kevin Andrés puerta Jaramillo")</f>
        <v>Kevin Andrés puerta Jaramillo</v>
      </c>
      <c r="C9361" s="15" t="str">
        <f>IFERROR(__xludf.DUMMYFUNCTION("""COMPUTED_VALUE"""),"MEDELLÍN")</f>
        <v>MEDELLÍN</v>
      </c>
      <c r="D9361" s="15" t="str">
        <f>IFERROR(__xludf.DUMMYFUNCTION("""COMPUTED_VALUE"""),"BOGOTÁ")</f>
        <v>BOGOTÁ</v>
      </c>
      <c r="E9361" s="15" t="str">
        <f>IFERROR(__xludf.DUMMYFUNCTION("""COMPUTED_VALUE"""),"MAI ALIMENTOS REALES")</f>
        <v>MAI ALIMENTOS REALES</v>
      </c>
      <c r="F9361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9361" s="15" t="str">
        <f>IFERROR(__xludf.DUMMYFUNCTION("""COMPUTED_VALUE"""),"Novaventas")</f>
        <v>Novaventas</v>
      </c>
      <c r="H9361" s="16">
        <f>IFERROR(__xludf.DUMMYFUNCTION("""COMPUTED_VALUE"""),17882.0)</f>
        <v>17882</v>
      </c>
      <c r="I9361" s="17"/>
      <c r="J9361" s="17"/>
      <c r="K9361" s="17"/>
      <c r="L9361" s="17">
        <f>IFERROR(__xludf.DUMMYFUNCTION("""COMPUTED_VALUE"""),3.187351593E9)</f>
        <v>3187351593</v>
      </c>
      <c r="M9361" s="17"/>
      <c r="N9361" s="17"/>
      <c r="O9361" s="17"/>
      <c r="P9361" s="17" t="b">
        <f>IFERROR(__xludf.DUMMYFUNCTION("""COMPUTED_VALUE"""),FALSE)</f>
        <v>0</v>
      </c>
      <c r="Q9361" s="20" t="str">
        <f>IFERROR(__xludf.DUMMYFUNCTION("""COMPUTED_VALUE"""),"")</f>
        <v/>
      </c>
      <c r="R9361" s="21" t="str">
        <f>IFERROR(__xludf.DUMMYFUNCTION("""COMPUTED_VALUE"""),"https://drive.google.com/file/d/1UalbIBGM1-See1XjP7evigX8ZpfAIOT7/view?usp=drivesdk")</f>
        <v>https://drive.google.com/file/d/1UalbIBGM1-See1XjP7evigX8ZpfAIOT7/view?usp=drivesdk</v>
      </c>
    </row>
    <row r="9362">
      <c r="A9362" s="15">
        <f>IFERROR(__xludf.DUMMYFUNCTION("""COMPUTED_VALUE"""),45265.0)</f>
        <v>45265</v>
      </c>
      <c r="B9362" s="16" t="str">
        <f>IFERROR(__xludf.DUMMYFUNCTION("""COMPUTED_VALUE"""),"Kevin Andrés puerta Jaramillo")</f>
        <v>Kevin Andrés puerta Jaramillo</v>
      </c>
      <c r="C9362" s="15" t="str">
        <f>IFERROR(__xludf.DUMMYFUNCTION("""COMPUTED_VALUE"""),"MEDELLÍN")</f>
        <v>MEDELLÍN</v>
      </c>
      <c r="D9362" s="15" t="str">
        <f>IFERROR(__xludf.DUMMYFUNCTION("""COMPUTED_VALUE"""),"BOGOTÁ")</f>
        <v>BOGOTÁ</v>
      </c>
      <c r="E9362" s="15" t="str">
        <f>IFERROR(__xludf.DUMMYFUNCTION("""COMPUTED_VALUE"""),"MAI ALIMENTOS REALES")</f>
        <v>MAI ALIMENTOS REALES</v>
      </c>
      <c r="F9362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9362" s="15" t="str">
        <f>IFERROR(__xludf.DUMMYFUNCTION("""COMPUTED_VALUE"""),"Novaventas")</f>
        <v>Novaventas</v>
      </c>
      <c r="H9362" s="16">
        <f>IFERROR(__xludf.DUMMYFUNCTION("""COMPUTED_VALUE"""),17983.0)</f>
        <v>17983</v>
      </c>
      <c r="I9362" s="17"/>
      <c r="J9362" s="17"/>
      <c r="K9362" s="17"/>
      <c r="L9362" s="17">
        <f>IFERROR(__xludf.DUMMYFUNCTION("""COMPUTED_VALUE"""),3.187351593E9)</f>
        <v>3187351593</v>
      </c>
      <c r="M9362" s="17"/>
      <c r="N9362" s="17"/>
      <c r="O9362" s="17"/>
      <c r="P9362" s="17" t="b">
        <f>IFERROR(__xludf.DUMMYFUNCTION("""COMPUTED_VALUE"""),FALSE)</f>
        <v>0</v>
      </c>
      <c r="Q9362" s="20" t="str">
        <f>IFERROR(__xludf.DUMMYFUNCTION("""COMPUTED_VALUE"""),"")</f>
        <v/>
      </c>
      <c r="R9362" s="21" t="str">
        <f>IFERROR(__xludf.DUMMYFUNCTION("""COMPUTED_VALUE"""),"https://drive.google.com/file/d/1cJSwtsCDGoIXfvmO0r_R8PLEfhdgqdXK/view?usp=drivesdk")</f>
        <v>https://drive.google.com/file/d/1cJSwtsCDGoIXfvmO0r_R8PLEfhdgqdXK/view?usp=drivesdk</v>
      </c>
    </row>
    <row r="9363">
      <c r="A9363" s="15">
        <f>IFERROR(__xludf.DUMMYFUNCTION("""COMPUTED_VALUE"""),45265.0)</f>
        <v>45265</v>
      </c>
      <c r="B9363" s="16" t="str">
        <f>IFERROR(__xludf.DUMMYFUNCTION("""COMPUTED_VALUE"""),"Kevin Andrés puerta Jaramillo")</f>
        <v>Kevin Andrés puerta Jaramillo</v>
      </c>
      <c r="C9363" s="15" t="str">
        <f>IFERROR(__xludf.DUMMYFUNCTION("""COMPUTED_VALUE"""),"MEDELLÍN")</f>
        <v>MEDELLÍN</v>
      </c>
      <c r="D9363" s="15" t="str">
        <f>IFERROR(__xludf.DUMMYFUNCTION("""COMPUTED_VALUE"""),"BOGOTÁ")</f>
        <v>BOGOTÁ</v>
      </c>
      <c r="E9363" s="15" t="str">
        <f>IFERROR(__xludf.DUMMYFUNCTION("""COMPUTED_VALUE"""),"PAN DE WAFFLE")</f>
        <v>PAN DE WAFFLE</v>
      </c>
      <c r="F9363" s="17" t="str">
        <f>IFERROR(__xludf.DUMMYFUNCTION("""COMPUTED_VALUE"""),"FOODOLOGY - MEDELLIN / Carrera 39 # 59 - 32")</f>
        <v>FOODOLOGY - MEDELLIN / Carrera 39 # 59 - 32</v>
      </c>
      <c r="G9363" s="15" t="str">
        <f>IFERROR(__xludf.DUMMYFUNCTION("""COMPUTED_VALUE"""),"FOODOLOGY - MEDELLIN")</f>
        <v>FOODOLOGY - MEDELLIN</v>
      </c>
      <c r="H9363" s="16">
        <f>IFERROR(__xludf.DUMMYFUNCTION("""COMPUTED_VALUE"""),17902.0)</f>
        <v>17902</v>
      </c>
      <c r="I9363" s="17"/>
      <c r="J9363" s="17"/>
      <c r="K9363" s="17"/>
      <c r="L9363" s="17">
        <f>IFERROR(__xludf.DUMMYFUNCTION("""COMPUTED_VALUE"""),3.123558292E9)</f>
        <v>3123558292</v>
      </c>
      <c r="M9363" s="17"/>
      <c r="N9363" s="17"/>
      <c r="O9363" s="17"/>
      <c r="P9363" s="17" t="b">
        <f>IFERROR(__xludf.DUMMYFUNCTION("""COMPUTED_VALUE"""),FALSE)</f>
        <v>0</v>
      </c>
      <c r="Q9363" s="20" t="str">
        <f>IFERROR(__xludf.DUMMYFUNCTION("""COMPUTED_VALUE"""),"")</f>
        <v/>
      </c>
      <c r="R9363" s="21" t="str">
        <f>IFERROR(__xludf.DUMMYFUNCTION("""COMPUTED_VALUE"""),"https://drive.google.com/file/d/1SFxXc1Bi2LU5HinXp5rt4aLA9F4xiVPV/view?usp=drivesdk")</f>
        <v>https://drive.google.com/file/d/1SFxXc1Bi2LU5HinXp5rt4aLA9F4xiVPV/view?usp=drivesdk</v>
      </c>
    </row>
    <row r="9364">
      <c r="A9364" s="15">
        <f>IFERROR(__xludf.DUMMYFUNCTION("""COMPUTED_VALUE"""),45265.0)</f>
        <v>45265</v>
      </c>
      <c r="B9364" s="16" t="str">
        <f>IFERROR(__xludf.DUMMYFUNCTION("""COMPUTED_VALUE"""),"Kevin Andrés puerta Jaramillo")</f>
        <v>Kevin Andrés puerta Jaramillo</v>
      </c>
      <c r="C9364" s="15" t="str">
        <f>IFERROR(__xludf.DUMMYFUNCTION("""COMPUTED_VALUE"""),"MEDELLÍN")</f>
        <v>MEDELLÍN</v>
      </c>
      <c r="D9364" s="15" t="str">
        <f>IFERROR(__xludf.DUMMYFUNCTION("""COMPUTED_VALUE"""),"BOGOTÁ")</f>
        <v>BOGOTÁ</v>
      </c>
      <c r="E9364" s="15" t="str">
        <f>IFERROR(__xludf.DUMMYFUNCTION("""COMPUTED_VALUE"""),"Spirulina Fresca")</f>
        <v>Spirulina Fresca</v>
      </c>
      <c r="F9364" s="17" t="str">
        <f>IFERROR(__xludf.DUMMYFUNCTION("""COMPUTED_VALUE"""),"Calle 5 A sur # 32A-91,  / apartamento 101, torre C1    Edificio Monterrey / El poblado")</f>
        <v>Calle 5 A sur # 32A-91,  / apartamento 101, torre C1    Edificio Monterrey / El poblado</v>
      </c>
      <c r="G9364" s="15" t="str">
        <f>IFERROR(__xludf.DUMMYFUNCTION("""COMPUTED_VALUE"""),"Carolina Ospina")</f>
        <v>Carolina Ospina</v>
      </c>
      <c r="H9364" s="16">
        <f>IFERROR(__xludf.DUMMYFUNCTION("""COMPUTED_VALUE"""),17936.0)</f>
        <v>17936</v>
      </c>
      <c r="I9364" s="18">
        <f>IFERROR(__xludf.DUMMYFUNCTION("""COMPUTED_VALUE"""),5.0)</f>
        <v>5</v>
      </c>
      <c r="J9364" s="18">
        <f>IFERROR(__xludf.DUMMYFUNCTION("""COMPUTED_VALUE"""),5.0)</f>
        <v>5</v>
      </c>
      <c r="K9364" s="18">
        <f>IFERROR(__xludf.DUMMYFUNCTION("""COMPUTED_VALUE"""),22.0)</f>
        <v>22</v>
      </c>
      <c r="L9364" s="17">
        <f>IFERROR(__xludf.DUMMYFUNCTION("""COMPUTED_VALUE"""),3.10895785E9)</f>
        <v>3108957850</v>
      </c>
      <c r="M9364" s="17"/>
      <c r="N9364" s="17"/>
      <c r="O9364" s="17"/>
      <c r="P9364" s="17" t="b">
        <f>IFERROR(__xludf.DUMMYFUNCTION("""COMPUTED_VALUE"""),FALSE)</f>
        <v>0</v>
      </c>
      <c r="Q9364" s="20" t="str">
        <f>IFERROR(__xludf.DUMMYFUNCTION("""COMPUTED_VALUE"""),"")</f>
        <v/>
      </c>
      <c r="R9364" s="21" t="str">
        <f>IFERROR(__xludf.DUMMYFUNCTION("""COMPUTED_VALUE"""),"https://drive.google.com/file/d/1vRPGAY9VlKVQaGFlghFnzsdOwi-4656F/view?usp=drivesdk")</f>
        <v>https://drive.google.com/file/d/1vRPGAY9VlKVQaGFlghFnzsdOwi-4656F/view?usp=drivesdk</v>
      </c>
    </row>
    <row r="9365">
      <c r="A9365" s="15">
        <f>IFERROR(__xludf.DUMMYFUNCTION("""COMPUTED_VALUE"""),45265.0)</f>
        <v>45265</v>
      </c>
      <c r="B9365" s="16" t="str">
        <f>IFERROR(__xludf.DUMMYFUNCTION("""COMPUTED_VALUE"""),"Kevin Andrés puerta Jaramillo")</f>
        <v>Kevin Andrés puerta Jaramillo</v>
      </c>
      <c r="C9365" s="15" t="str">
        <f>IFERROR(__xludf.DUMMYFUNCTION("""COMPUTED_VALUE"""),"MEDELLÍN")</f>
        <v>MEDELLÍN</v>
      </c>
      <c r="D9365" s="15" t="str">
        <f>IFERROR(__xludf.DUMMYFUNCTION("""COMPUTED_VALUE"""),"BOGOTÁ")</f>
        <v>BOGOTÁ</v>
      </c>
      <c r="E9365" s="15" t="str">
        <f>IFERROR(__xludf.DUMMYFUNCTION("""COMPUTED_VALUE"""),"Spirulina Fresca")</f>
        <v>Spirulina Fresca</v>
      </c>
      <c r="F9365" s="17" t="str">
        <f>IFERROR(__xludf.DUMMYFUNCTION("""COMPUTED_VALUE"""),"Carrera 17# 2-161  / Edificio Calera Alta apto 2302  / Poblado")</f>
        <v>Carrera 17# 2-161  / Edificio Calera Alta apto 2302  / Poblado</v>
      </c>
      <c r="G9365" s="15" t="str">
        <f>IFERROR(__xludf.DUMMYFUNCTION("""COMPUTED_VALUE"""),"Ana Cristina Correa")</f>
        <v>Ana Cristina Correa</v>
      </c>
      <c r="H9365" s="16">
        <f>IFERROR(__xludf.DUMMYFUNCTION("""COMPUTED_VALUE"""),17935.0)</f>
        <v>17935</v>
      </c>
      <c r="I9365" s="18">
        <f>IFERROR(__xludf.DUMMYFUNCTION("""COMPUTED_VALUE"""),5.0)</f>
        <v>5</v>
      </c>
      <c r="J9365" s="18">
        <f>IFERROR(__xludf.DUMMYFUNCTION("""COMPUTED_VALUE"""),5.0)</f>
        <v>5</v>
      </c>
      <c r="K9365" s="18">
        <f>IFERROR(__xludf.DUMMYFUNCTION("""COMPUTED_VALUE"""),22.0)</f>
        <v>22</v>
      </c>
      <c r="L9365" s="17">
        <f>IFERROR(__xludf.DUMMYFUNCTION("""COMPUTED_VALUE"""),3.10895785E9)</f>
        <v>3108957850</v>
      </c>
      <c r="M9365" s="17"/>
      <c r="N9365" s="17"/>
      <c r="O9365" s="17"/>
      <c r="P9365" s="17" t="b">
        <f>IFERROR(__xludf.DUMMYFUNCTION("""COMPUTED_VALUE"""),FALSE)</f>
        <v>0</v>
      </c>
      <c r="Q9365" s="20" t="str">
        <f>IFERROR(__xludf.DUMMYFUNCTION("""COMPUTED_VALUE"""),"")</f>
        <v/>
      </c>
      <c r="R9365" s="21" t="str">
        <f>IFERROR(__xludf.DUMMYFUNCTION("""COMPUTED_VALUE"""),"https://drive.google.com/file/d/1OVJCPBvZxB5igOAkw1UlvgbBJWFMAEDD/view?usp=drivesdk")</f>
        <v>https://drive.google.com/file/d/1OVJCPBvZxB5igOAkw1UlvgbBJWFMAEDD/view?usp=drivesdk</v>
      </c>
    </row>
    <row r="9366">
      <c r="A9366" s="15">
        <f>IFERROR(__xludf.DUMMYFUNCTION("""COMPUTED_VALUE"""),45265.0)</f>
        <v>45265</v>
      </c>
      <c r="B9366" s="16" t="str">
        <f>IFERROR(__xludf.DUMMYFUNCTION("""COMPUTED_VALUE"""),"Kevin Andrés puerta Jaramillo")</f>
        <v>Kevin Andrés puerta Jaramillo</v>
      </c>
      <c r="C9366" s="15" t="str">
        <f>IFERROR(__xludf.DUMMYFUNCTION("""COMPUTED_VALUE"""),"MEDELLÍN")</f>
        <v>MEDELLÍN</v>
      </c>
      <c r="D9366" s="15" t="str">
        <f>IFERROR(__xludf.DUMMYFUNCTION("""COMPUTED_VALUE"""),"BOGOTÁ")</f>
        <v>BOGOTÁ</v>
      </c>
      <c r="E9366" s="15" t="str">
        <f>IFERROR(__xludf.DUMMYFUNCTION("""COMPUTED_VALUE"""),"Spirulina Fresca")</f>
        <v>Spirulina Fresca</v>
      </c>
      <c r="F9366" s="17" t="str">
        <f>IFERROR(__xludf.DUMMYFUNCTION("""COMPUTED_VALUE"""),"Cr 98#50a30 / Urbanización Girasoles apto 1003 / Calazans")</f>
        <v>Cr 98#50a30 / Urbanización Girasoles apto 1003 / Calazans</v>
      </c>
      <c r="G9366" s="15" t="str">
        <f>IFERROR(__xludf.DUMMYFUNCTION("""COMPUTED_VALUE"""),"Bibiana Arias")</f>
        <v>Bibiana Arias</v>
      </c>
      <c r="H9366" s="16">
        <f>IFERROR(__xludf.DUMMYFUNCTION("""COMPUTED_VALUE"""),17934.0)</f>
        <v>17934</v>
      </c>
      <c r="I9366" s="18">
        <f>IFERROR(__xludf.DUMMYFUNCTION("""COMPUTED_VALUE"""),5.0)</f>
        <v>5</v>
      </c>
      <c r="J9366" s="18">
        <f>IFERROR(__xludf.DUMMYFUNCTION("""COMPUTED_VALUE"""),5.0)</f>
        <v>5</v>
      </c>
      <c r="K9366" s="18">
        <f>IFERROR(__xludf.DUMMYFUNCTION("""COMPUTED_VALUE"""),22.0)</f>
        <v>22</v>
      </c>
      <c r="L9366" s="17">
        <f>IFERROR(__xludf.DUMMYFUNCTION("""COMPUTED_VALUE"""),3.006848174E9)</f>
        <v>3006848174</v>
      </c>
      <c r="M9366" s="17"/>
      <c r="N9366" s="17"/>
      <c r="O9366" s="17"/>
      <c r="P9366" s="17" t="b">
        <f>IFERROR(__xludf.DUMMYFUNCTION("""COMPUTED_VALUE"""),FALSE)</f>
        <v>0</v>
      </c>
      <c r="Q9366" s="20" t="str">
        <f>IFERROR(__xludf.DUMMYFUNCTION("""COMPUTED_VALUE"""),"")</f>
        <v/>
      </c>
      <c r="R9366" s="21" t="str">
        <f>IFERROR(__xludf.DUMMYFUNCTION("""COMPUTED_VALUE"""),"https://drive.google.com/file/d/11oFRbSJREH5-i19sNnDcznIuqnC0NAyB/view?usp=drivesdk")</f>
        <v>https://drive.google.com/file/d/11oFRbSJREH5-i19sNnDcznIuqnC0NAyB/view?usp=drivesdk</v>
      </c>
    </row>
    <row r="9367">
      <c r="A9367" s="15">
        <f>IFERROR(__xludf.DUMMYFUNCTION("""COMPUTED_VALUE"""),45265.0)</f>
        <v>45265</v>
      </c>
      <c r="B9367" s="16" t="str">
        <f>IFERROR(__xludf.DUMMYFUNCTION("""COMPUTED_VALUE"""),"Kevin Andrés puerta Jaramillo")</f>
        <v>Kevin Andrés puerta Jaramillo</v>
      </c>
      <c r="C9367" s="15" t="str">
        <f>IFERROR(__xludf.DUMMYFUNCTION("""COMPUTED_VALUE"""),"MEDELLÍN")</f>
        <v>MEDELLÍN</v>
      </c>
      <c r="D9367" s="15" t="str">
        <f>IFERROR(__xludf.DUMMYFUNCTION("""COMPUTED_VALUE"""),"BOGOTÁ")</f>
        <v>BOGOTÁ</v>
      </c>
      <c r="E9367" s="15" t="str">
        <f>IFERROR(__xludf.DUMMYFUNCTION("""COMPUTED_VALUE"""),"Top Spun")</f>
        <v>Top Spun</v>
      </c>
      <c r="F9367" s="17" t="str">
        <f>IFERROR(__xludf.DUMMYFUNCTION("""COMPUTED_VALUE"""),"Calle 16a sur # 34-41 / Edifício Cayaru / apto 1501")</f>
        <v>Calle 16a sur # 34-41 / Edifício Cayaru / apto 1501</v>
      </c>
      <c r="G9367" s="15" t="str">
        <f>IFERROR(__xludf.DUMMYFUNCTION("""COMPUTED_VALUE"""),"Nikol Contecha Mendez")</f>
        <v>Nikol Contecha Mendez</v>
      </c>
      <c r="H9367" s="16">
        <f>IFERROR(__xludf.DUMMYFUNCTION("""COMPUTED_VALUE"""),17910.0)</f>
        <v>17910</v>
      </c>
      <c r="I9367" s="18">
        <f>IFERROR(__xludf.DUMMYFUNCTION("""COMPUTED_VALUE"""),20.0)</f>
        <v>20</v>
      </c>
      <c r="J9367" s="18">
        <f>IFERROR(__xludf.DUMMYFUNCTION("""COMPUTED_VALUE"""),10.0)</f>
        <v>10</v>
      </c>
      <c r="K9367" s="18">
        <f>IFERROR(__xludf.DUMMYFUNCTION("""COMPUTED_VALUE"""),40.0)</f>
        <v>40</v>
      </c>
      <c r="L9367" s="17">
        <f>IFERROR(__xludf.DUMMYFUNCTION("""COMPUTED_VALUE"""),3.022805509E9)</f>
        <v>3022805509</v>
      </c>
      <c r="M9367" s="17"/>
      <c r="N9367" s="17"/>
      <c r="O9367" s="17"/>
      <c r="P9367" s="17" t="b">
        <f>IFERROR(__xludf.DUMMYFUNCTION("""COMPUTED_VALUE"""),FALSE)</f>
        <v>0</v>
      </c>
      <c r="Q9367" s="20" t="str">
        <f>IFERROR(__xludf.DUMMYFUNCTION("""COMPUTED_VALUE"""),"")</f>
        <v/>
      </c>
      <c r="R9367" s="21" t="str">
        <f>IFERROR(__xludf.DUMMYFUNCTION("""COMPUTED_VALUE"""),"https://drive.google.com/file/d/1GUsPtLPkzlHlVPbH1SxnzBewuYrnGHuh/view?usp=drivesdk")</f>
        <v>https://drive.google.com/file/d/1GUsPtLPkzlHlVPbH1SxnzBewuYrnGHuh/view?usp=drivesdk</v>
      </c>
    </row>
    <row r="9368">
      <c r="A9368" s="15">
        <f>IFERROR(__xludf.DUMMYFUNCTION("""COMPUTED_VALUE"""),45265.0)</f>
        <v>45265</v>
      </c>
      <c r="B9368" s="16" t="str">
        <f>IFERROR(__xludf.DUMMYFUNCTION("""COMPUTED_VALUE"""),"Kevin Andrés puerta Jaramillo")</f>
        <v>Kevin Andrés puerta Jaramillo</v>
      </c>
      <c r="C9368" s="15" t="str">
        <f>IFERROR(__xludf.DUMMYFUNCTION("""COMPUTED_VALUE"""),"MEDELLÍN")</f>
        <v>MEDELLÍN</v>
      </c>
      <c r="D9368" s="15" t="str">
        <f>IFERROR(__xludf.DUMMYFUNCTION("""COMPUTED_VALUE"""),"BUCARAMANGA")</f>
        <v>BUCARAMANGA</v>
      </c>
      <c r="E9368" s="15" t="str">
        <f>IFERROR(__xludf.DUMMYFUNCTION("""COMPUTED_VALUE"""),"Yo Como Solito")</f>
        <v>Yo Como Solito</v>
      </c>
      <c r="F9368" s="17" t="str">
        <f>IFERROR(__xludf.DUMMYFUNCTION("""COMPUTED_VALUE"""),"CARRERA 15BA 34D -44 INT 201 QUINTA LINDA / CARRERA 15BA 34D -44 INT 201 QUINTA LINDA / CARRERA 15BA 34D -44 INT 201 QUINTA LINDA")</f>
        <v>CARRERA 15BA 34D -44 INT 201 QUINTA LINDA / CARRERA 15BA 34D -44 INT 201 QUINTA LINDA / CARRERA 15BA 34D -44 INT 201 QUINTA LINDA</v>
      </c>
      <c r="G9368" s="15" t="str">
        <f>IFERROR(__xludf.DUMMYFUNCTION("""COMPUTED_VALUE"""),"DANIELA BEDOYA BLANDON")</f>
        <v>DANIELA BEDOYA BLANDON</v>
      </c>
      <c r="H9368" s="16">
        <f>IFERROR(__xludf.DUMMYFUNCTION("""COMPUTED_VALUE"""),17904.0)</f>
        <v>17904</v>
      </c>
      <c r="I9368" s="18">
        <f>IFERROR(__xludf.DUMMYFUNCTION("""COMPUTED_VALUE"""),13.0)</f>
        <v>13</v>
      </c>
      <c r="J9368" s="18">
        <f>IFERROR(__xludf.DUMMYFUNCTION("""COMPUTED_VALUE"""),27.0)</f>
        <v>27</v>
      </c>
      <c r="K9368" s="18">
        <f>IFERROR(__xludf.DUMMYFUNCTION("""COMPUTED_VALUE"""),32.0)</f>
        <v>32</v>
      </c>
      <c r="L9368" s="17">
        <f>IFERROR(__xludf.DUMMYFUNCTION("""COMPUTED_VALUE"""),3.14672822E9)</f>
        <v>3146728220</v>
      </c>
      <c r="M9368" s="17"/>
      <c r="N9368" s="17"/>
      <c r="O9368" s="17"/>
      <c r="P9368" s="17" t="b">
        <f>IFERROR(__xludf.DUMMYFUNCTION("""COMPUTED_VALUE"""),FALSE)</f>
        <v>0</v>
      </c>
      <c r="Q9368" s="20" t="str">
        <f>IFERROR(__xludf.DUMMYFUNCTION("""COMPUTED_VALUE"""),"")</f>
        <v/>
      </c>
      <c r="R9368" s="21" t="str">
        <f>IFERROR(__xludf.DUMMYFUNCTION("""COMPUTED_VALUE"""),"https://drive.google.com/file/d/1cXlFTTZqUWgoyyagUqpyKU2M7DYRWs_C/view?usp=drivesdk")</f>
        <v>https://drive.google.com/file/d/1cXlFTTZqUWgoyyagUqpyKU2M7DYRWs_C/view?usp=drivesdk</v>
      </c>
    </row>
    <row r="9369">
      <c r="A9369" s="15">
        <f>IFERROR(__xludf.DUMMYFUNCTION("""COMPUTED_VALUE"""),45265.0)</f>
        <v>45265</v>
      </c>
      <c r="B9369" s="16" t="str">
        <f>IFERROR(__xludf.DUMMYFUNCTION("""COMPUTED_VALUE"""),"Kevin Andrés puerta Jaramillo")</f>
        <v>Kevin Andrés puerta Jaramillo</v>
      </c>
      <c r="C9369" s="15" t="str">
        <f>IFERROR(__xludf.DUMMYFUNCTION("""COMPUTED_VALUE"""),"SABANETA")</f>
        <v>SABANETA</v>
      </c>
      <c r="D9369" s="15" t="str">
        <f>IFERROR(__xludf.DUMMYFUNCTION("""COMPUTED_VALUE"""),"BOGOTÁ")</f>
        <v>BOGOTÁ</v>
      </c>
      <c r="E9369" s="15" t="str">
        <f>IFERROR(__xludf.DUMMYFUNCTION("""COMPUTED_VALUE"""),"LINA PAOLA RAMIREZ GOMEZ - EVA MAZZITA")</f>
        <v>LINA PAOLA RAMIREZ GOMEZ - EVA MAZZITA</v>
      </c>
      <c r="F9369" s="17" t="str">
        <f>IFERROR(__xludf.DUMMYFUNCTION("""COMPUTED_VALUE"""),"Cra 46C 80 sur 155 / Conjunto Residencial Amonte Apto 109 vía pan de azúcar")</f>
        <v>Cra 46C 80 sur 155 / Conjunto Residencial Amonte Apto 109 vía pan de azúcar</v>
      </c>
      <c r="G9369" s="15" t="str">
        <f>IFERROR(__xludf.DUMMYFUNCTION("""COMPUTED_VALUE"""),"ADRIANA RUIZ")</f>
        <v>ADRIANA RUIZ</v>
      </c>
      <c r="H9369" s="16">
        <f>IFERROR(__xludf.DUMMYFUNCTION("""COMPUTED_VALUE"""),17967.0)</f>
        <v>17967</v>
      </c>
      <c r="I9369" s="17"/>
      <c r="J9369" s="17"/>
      <c r="K9369" s="17"/>
      <c r="L9369" s="17">
        <f>IFERROR(__xludf.DUMMYFUNCTION("""COMPUTED_VALUE"""),3.127566518E9)</f>
        <v>3127566518</v>
      </c>
      <c r="M9369" s="17"/>
      <c r="N9369" s="17"/>
      <c r="O9369" s="17"/>
      <c r="P9369" s="17" t="b">
        <f>IFERROR(__xludf.DUMMYFUNCTION("""COMPUTED_VALUE"""),FALSE)</f>
        <v>0</v>
      </c>
      <c r="Q9369" s="20" t="str">
        <f>IFERROR(__xludf.DUMMYFUNCTION("""COMPUTED_VALUE"""),"")</f>
        <v/>
      </c>
      <c r="R9369" s="21" t="str">
        <f>IFERROR(__xludf.DUMMYFUNCTION("""COMPUTED_VALUE"""),"https://drive.google.com/file/d/1S_VrLmAqKv7NVi00U6kea_G-BQZTEnWW/view?usp=drivesdk")</f>
        <v>https://drive.google.com/file/d/1S_VrLmAqKv7NVi00U6kea_G-BQZTEnWW/view?usp=drivesdk</v>
      </c>
    </row>
    <row r="9370">
      <c r="A9370" s="17" t="str">
        <f>IFERROR(__xludf.DUMMYFUNCTION("""COMPUTED_VALUE"""),"")</f>
        <v/>
      </c>
      <c r="B9370" s="17" t="str">
        <f>IFERROR(__xludf.DUMMYFUNCTION("""COMPUTED_VALUE"""),"")</f>
        <v/>
      </c>
      <c r="C9370" s="17" t="str">
        <f>IFERROR(__xludf.DUMMYFUNCTION("""COMPUTED_VALUE"""),"")</f>
        <v/>
      </c>
      <c r="D9370" s="17" t="str">
        <f>IFERROR(__xludf.DUMMYFUNCTION("""COMPUTED_VALUE"""),"")</f>
        <v/>
      </c>
      <c r="E9370" s="17" t="str">
        <f>IFERROR(__xludf.DUMMYFUNCTION("""COMPUTED_VALUE"""),"")</f>
        <v/>
      </c>
      <c r="F9370" s="17" t="str">
        <f>IFERROR(__xludf.DUMMYFUNCTION("""COMPUTED_VALUE"""),"")</f>
        <v/>
      </c>
      <c r="G9370" s="17" t="str">
        <f>IFERROR(__xludf.DUMMYFUNCTION("""COMPUTED_VALUE"""),"")</f>
        <v/>
      </c>
      <c r="H9370" s="17" t="str">
        <f>IFERROR(__xludf.DUMMYFUNCTION("""COMPUTED_VALUE"""),"")</f>
        <v/>
      </c>
      <c r="I9370" s="17" t="str">
        <f>IFERROR(__xludf.DUMMYFUNCTION("""COMPUTED_VALUE"""),"")</f>
        <v/>
      </c>
      <c r="J9370" s="17" t="str">
        <f>IFERROR(__xludf.DUMMYFUNCTION("""COMPUTED_VALUE"""),"")</f>
        <v/>
      </c>
      <c r="K9370" s="17" t="str">
        <f>IFERROR(__xludf.DUMMYFUNCTION("""COMPUTED_VALUE"""),"")</f>
        <v/>
      </c>
      <c r="L9370" s="17" t="str">
        <f>IFERROR(__xludf.DUMMYFUNCTION("""COMPUTED_VALUE"""),"")</f>
        <v/>
      </c>
      <c r="M9370" s="17" t="str">
        <f>IFERROR(__xludf.DUMMYFUNCTION("""COMPUTED_VALUE"""),"")</f>
        <v/>
      </c>
      <c r="N9370" s="17" t="str">
        <f>IFERROR(__xludf.DUMMYFUNCTION("""COMPUTED_VALUE"""),"")</f>
        <v/>
      </c>
      <c r="O9370" s="17" t="str">
        <f>IFERROR(__xludf.DUMMYFUNCTION("""COMPUTED_VALUE"""),"")</f>
        <v/>
      </c>
      <c r="P9370" s="17" t="str">
        <f>IFERROR(__xludf.DUMMYFUNCTION("""COMPUTED_VALUE"""),"")</f>
        <v/>
      </c>
      <c r="Q9370" s="17" t="str">
        <f>IFERROR(__xludf.DUMMYFUNCTION("""COMPUTED_VALUE"""),"")</f>
        <v/>
      </c>
      <c r="R9370" s="17" t="str">
        <f>IFERROR(__xludf.DUMMYFUNCTION("""COMPUTED_VALUE"""),"")</f>
        <v/>
      </c>
    </row>
    <row r="9371">
      <c r="A9371" s="15">
        <f>IFERROR(__xludf.DUMMYFUNCTION("""COMPUTED_VALUE"""),45266.0)</f>
        <v>45266</v>
      </c>
      <c r="B9371" s="16" t="str">
        <f>IFERROR(__xludf.DUMMYFUNCTION("""COMPUTED_VALUE"""),"Alvaro Chacón")</f>
        <v>Alvaro Chacón</v>
      </c>
      <c r="C9371" s="15" t="str">
        <f>IFERROR(__xludf.DUMMYFUNCTION("""COMPUTED_VALUE"""),"BOGOTÁ")</f>
        <v>BOGOTÁ</v>
      </c>
      <c r="D9371" s="15" t="str">
        <f>IFERROR(__xludf.DUMMYFUNCTION("""COMPUTED_VALUE"""),"BUCARAMANGA")</f>
        <v>BUCARAMANGA</v>
      </c>
      <c r="E9371" s="15" t="str">
        <f>IFERROR(__xludf.DUMMYFUNCTION("""COMPUTED_VALUE"""),"Yo Como Solito")</f>
        <v>Yo Como Solito</v>
      </c>
      <c r="F9371" s="17" t="str">
        <f>IFERROR(__xludf.DUMMYFUNCTION("""COMPUTED_VALUE"""),"CARRERA 45A #  128-62 / CARRERA 45A #  128-62 / CARRERA 45A #  128-62")</f>
        <v>CARRERA 45A #  128-62 / CARRERA 45A #  128-62 / CARRERA 45A #  128-62</v>
      </c>
      <c r="G9371" s="15" t="str">
        <f>IFERROR(__xludf.DUMMYFUNCTION("""COMPUTED_VALUE"""),"LINA PAOLA RAMIREZ")</f>
        <v>LINA PAOLA RAMIREZ</v>
      </c>
      <c r="H9371" s="16">
        <f>IFERROR(__xludf.DUMMYFUNCTION("""COMPUTED_VALUE"""),18013.0)</f>
        <v>18013</v>
      </c>
      <c r="I9371" s="18">
        <f>IFERROR(__xludf.DUMMYFUNCTION("""COMPUTED_VALUE"""),14.0)</f>
        <v>14</v>
      </c>
      <c r="J9371" s="18">
        <f>IFERROR(__xludf.DUMMYFUNCTION("""COMPUTED_VALUE"""),30.0)</f>
        <v>30</v>
      </c>
      <c r="K9371" s="18">
        <f>IFERROR(__xludf.DUMMYFUNCTION("""COMPUTED_VALUE"""),29.0)</f>
        <v>29</v>
      </c>
      <c r="L9371" s="17">
        <f>IFERROR(__xludf.DUMMYFUNCTION("""COMPUTED_VALUE"""),3.12327346E9)</f>
        <v>3123273460</v>
      </c>
      <c r="M9371" s="17"/>
      <c r="N9371" s="17"/>
      <c r="O9371" s="17"/>
      <c r="P9371" s="17" t="b">
        <f>IFERROR(__xludf.DUMMYFUNCTION("""COMPUTED_VALUE"""),FALSE)</f>
        <v>0</v>
      </c>
      <c r="Q9371" s="20" t="str">
        <f>IFERROR(__xludf.DUMMYFUNCTION("""COMPUTED_VALUE"""),"")</f>
        <v/>
      </c>
      <c r="R9371" s="21" t="str">
        <f>IFERROR(__xludf.DUMMYFUNCTION("""COMPUTED_VALUE"""),"https://drive.google.com/file/d/1egH0MUtKphzG1keDdi2f_oWdZK31VKO2/view?usp=drivesdk")</f>
        <v>https://drive.google.com/file/d/1egH0MUtKphzG1keDdi2f_oWdZK31VKO2/view?usp=drivesdk</v>
      </c>
    </row>
    <row r="9372">
      <c r="A9372" s="15">
        <f>IFERROR(__xludf.DUMMYFUNCTION("""COMPUTED_VALUE"""),45266.0)</f>
        <v>45266</v>
      </c>
      <c r="B9372" s="16" t="str">
        <f>IFERROR(__xludf.DUMMYFUNCTION("""COMPUTED_VALUE"""),"Alvaro Chacón")</f>
        <v>Alvaro Chacón</v>
      </c>
      <c r="C9372" s="15" t="str">
        <f>IFERROR(__xludf.DUMMYFUNCTION("""COMPUTED_VALUE"""),"BOGOTÁ")</f>
        <v>BOGOTÁ</v>
      </c>
      <c r="D9372" s="15" t="str">
        <f>IFERROR(__xludf.DUMMYFUNCTION("""COMPUTED_VALUE"""),"ENVIGADO")</f>
        <v>ENVIGADO</v>
      </c>
      <c r="E9372" s="15" t="str">
        <f>IFERROR(__xludf.DUMMYFUNCTION("""COMPUTED_VALUE"""),"RAMBLA")</f>
        <v>RAMBLA</v>
      </c>
      <c r="F9372" s="17" t="str">
        <f>IFERROR(__xludf.DUMMYFUNCTION("""COMPUTED_VALUE"""),"Carrera 15 # 116 -47 / Barrio Santa Barbara Bogota")</f>
        <v>Carrera 15 # 116 -47 / Barrio Santa Barbara Bogota</v>
      </c>
      <c r="G9372" s="15" t="str">
        <f>IFERROR(__xludf.DUMMYFUNCTION("""COMPUTED_VALUE"""),"Frutsec")</f>
        <v>Frutsec</v>
      </c>
      <c r="H9372" s="16">
        <f>IFERROR(__xludf.DUMMYFUNCTION("""COMPUTED_VALUE"""),18040.0)</f>
        <v>18040</v>
      </c>
      <c r="I9372" s="17"/>
      <c r="J9372" s="17"/>
      <c r="K9372" s="17"/>
      <c r="L9372" s="17">
        <f>IFERROR(__xludf.DUMMYFUNCTION("""COMPUTED_VALUE"""),3.00396388E9)</f>
        <v>3003963880</v>
      </c>
      <c r="M9372" s="17"/>
      <c r="N9372" s="17"/>
      <c r="O9372" s="17"/>
      <c r="P9372" s="17" t="b">
        <f>IFERROR(__xludf.DUMMYFUNCTION("""COMPUTED_VALUE"""),FALSE)</f>
        <v>0</v>
      </c>
      <c r="Q9372" s="20" t="str">
        <f>IFERROR(__xludf.DUMMYFUNCTION("""COMPUTED_VALUE"""),"")</f>
        <v/>
      </c>
      <c r="R9372" s="21" t="str">
        <f>IFERROR(__xludf.DUMMYFUNCTION("""COMPUTED_VALUE"""),"https://drive.google.com/file/d/1cf2-lQS8ZkSmPCL_VBCG-_SEEJkYYw-o/view?usp=drivesdk")</f>
        <v>https://drive.google.com/file/d/1cf2-lQS8ZkSmPCL_VBCG-_SEEJkYYw-o/view?usp=drivesdk</v>
      </c>
    </row>
    <row r="9373">
      <c r="A9373" s="15">
        <f>IFERROR(__xludf.DUMMYFUNCTION("""COMPUTED_VALUE"""),45266.0)</f>
        <v>45266</v>
      </c>
      <c r="B9373" s="16" t="str">
        <f>IFERROR(__xludf.DUMMYFUNCTION("""COMPUTED_VALUE"""),"Alvaro Chacón")</f>
        <v>Alvaro Chacón</v>
      </c>
      <c r="C9373" s="15" t="str">
        <f>IFERROR(__xludf.DUMMYFUNCTION("""COMPUTED_VALUE"""),"BOGOTÁ")</f>
        <v>BOGOTÁ</v>
      </c>
      <c r="D9373" s="15" t="str">
        <f>IFERROR(__xludf.DUMMYFUNCTION("""COMPUTED_VALUE"""),"ENVIGADO")</f>
        <v>ENVIGADO</v>
      </c>
      <c r="E9373" s="15" t="str">
        <f>IFERROR(__xludf.DUMMYFUNCTION("""COMPUTED_VALUE"""),"RAMBLA")</f>
        <v>RAMBLA</v>
      </c>
      <c r="F9373" s="17" t="str">
        <f>IFERROR(__xludf.DUMMYFUNCTION("""COMPUTED_VALUE"""),"CRA 3# 74-32 LOCAL EATS GASTRO MARKET / LOCAL EATS GASTRO MARKET")</f>
        <v>CRA 3# 74-32 LOCAL EATS GASTRO MARKET / LOCAL EATS GASTRO MARKET</v>
      </c>
      <c r="G9373" s="15" t="str">
        <f>IFERROR(__xludf.DUMMYFUNCTION("""COMPUTED_VALUE"""),"EATS GASTRO MARKET")</f>
        <v>EATS GASTRO MARKET</v>
      </c>
      <c r="H9373" s="16">
        <f>IFERROR(__xludf.DUMMYFUNCTION("""COMPUTED_VALUE"""),18036.0)</f>
        <v>18036</v>
      </c>
      <c r="I9373" s="17"/>
      <c r="J9373" s="17"/>
      <c r="K9373" s="17"/>
      <c r="L9373" s="17"/>
      <c r="M9373" s="17"/>
      <c r="N9373" s="17"/>
      <c r="O9373" s="17"/>
      <c r="P9373" s="17" t="b">
        <f>IFERROR(__xludf.DUMMYFUNCTION("""COMPUTED_VALUE"""),FALSE)</f>
        <v>0</v>
      </c>
      <c r="Q9373" s="20" t="str">
        <f>IFERROR(__xludf.DUMMYFUNCTION("""COMPUTED_VALUE"""),"")</f>
        <v/>
      </c>
      <c r="R9373" s="21" t="str">
        <f>IFERROR(__xludf.DUMMYFUNCTION("""COMPUTED_VALUE"""),"https://drive.google.com/file/d/19xC2D4xa78zS75TPW3hDaDCVChzq-moy/view?usp=drivesdk")</f>
        <v>https://drive.google.com/file/d/19xC2D4xa78zS75TPW3hDaDCVChzq-moy/view?usp=drivesdk</v>
      </c>
    </row>
    <row r="9374">
      <c r="A9374" s="15">
        <f>IFERROR(__xludf.DUMMYFUNCTION("""COMPUTED_VALUE"""),45266.0)</f>
        <v>45266</v>
      </c>
      <c r="B9374" s="16" t="str">
        <f>IFERROR(__xludf.DUMMYFUNCTION("""COMPUTED_VALUE"""),"Alvaro Chacón")</f>
        <v>Alvaro Chacón</v>
      </c>
      <c r="C9374" s="15" t="str">
        <f>IFERROR(__xludf.DUMMYFUNCTION("""COMPUTED_VALUE"""),"BOGOTÁ")</f>
        <v>BOGOTÁ</v>
      </c>
      <c r="D9374" s="15" t="str">
        <f>IFERROR(__xludf.DUMMYFUNCTION("""COMPUTED_VALUE"""),"ENVIGADO")</f>
        <v>ENVIGADO</v>
      </c>
      <c r="E9374" s="15" t="str">
        <f>IFERROR(__xludf.DUMMYFUNCTION("""COMPUTED_VALUE"""),"RAMBLA")</f>
        <v>RAMBLA</v>
      </c>
      <c r="F9374" s="17" t="str">
        <f>IFERROR(__xludf.DUMMYFUNCTION("""COMPUTED_VALUE"""),"CRA 3# 74-32 LOCAL EATS GASTRO MARKET / LOCAL EATS GASTRO MARKET")</f>
        <v>CRA 3# 74-32 LOCAL EATS GASTRO MARKET / LOCAL EATS GASTRO MARKET</v>
      </c>
      <c r="G9374" s="15" t="str">
        <f>IFERROR(__xludf.DUMMYFUNCTION("""COMPUTED_VALUE"""),"EATS GASTRO MARKET")</f>
        <v>EATS GASTRO MARKET</v>
      </c>
      <c r="H9374" s="16">
        <f>IFERROR(__xludf.DUMMYFUNCTION("""COMPUTED_VALUE"""),18037.0)</f>
        <v>18037</v>
      </c>
      <c r="I9374" s="17"/>
      <c r="J9374" s="17"/>
      <c r="K9374" s="17"/>
      <c r="L9374" s="17"/>
      <c r="M9374" s="17"/>
      <c r="N9374" s="17"/>
      <c r="O9374" s="17"/>
      <c r="P9374" s="17" t="b">
        <f>IFERROR(__xludf.DUMMYFUNCTION("""COMPUTED_VALUE"""),FALSE)</f>
        <v>0</v>
      </c>
      <c r="Q9374" s="20" t="str">
        <f>IFERROR(__xludf.DUMMYFUNCTION("""COMPUTED_VALUE"""),"")</f>
        <v/>
      </c>
      <c r="R9374" s="21" t="str">
        <f>IFERROR(__xludf.DUMMYFUNCTION("""COMPUTED_VALUE"""),"https://drive.google.com/file/d/1VX3ho3WHsH70AsFGhJZm6nNBkwWl35Uy/view?usp=drivesdk")</f>
        <v>https://drive.google.com/file/d/1VX3ho3WHsH70AsFGhJZm6nNBkwWl35Uy/view?usp=drivesdk</v>
      </c>
    </row>
    <row r="9375">
      <c r="A9375" s="15">
        <f>IFERROR(__xludf.DUMMYFUNCTION("""COMPUTED_VALUE"""),45266.0)</f>
        <v>45266</v>
      </c>
      <c r="B9375" s="16" t="str">
        <f>IFERROR(__xludf.DUMMYFUNCTION("""COMPUTED_VALUE"""),"Alvaro Chacón")</f>
        <v>Alvaro Chacón</v>
      </c>
      <c r="C9375" s="15" t="str">
        <f>IFERROR(__xludf.DUMMYFUNCTION("""COMPUTED_VALUE"""),"BOGOTÁ")</f>
        <v>BOGOTÁ</v>
      </c>
      <c r="D9375" s="15" t="str">
        <f>IFERROR(__xludf.DUMMYFUNCTION("""COMPUTED_VALUE"""),"MEDELLÍN")</f>
        <v>MEDELLÍN</v>
      </c>
      <c r="E9375" s="15" t="str">
        <f>IFERROR(__xludf.DUMMYFUNCTION("""COMPUTED_VALUE"""),"AREPAS LA MARY")</f>
        <v>AREPAS LA MARY</v>
      </c>
      <c r="F9375" s="17" t="str">
        <f>IFERROR(__xludf.DUMMYFUNCTION("""COMPUTED_VALUE"""),"Calle 150 # 48-12 / charlotte pasteria")</f>
        <v>Calle 150 # 48-12 / charlotte pasteria</v>
      </c>
      <c r="G9375" s="15" t="str">
        <f>IFERROR(__xludf.DUMMYFUNCTION("""COMPUTED_VALUE"""),"ALEJANDRA GIL")</f>
        <v>ALEJANDRA GIL</v>
      </c>
      <c r="H9375" s="16">
        <f>IFERROR(__xludf.DUMMYFUNCTION("""COMPUTED_VALUE"""),18004.0)</f>
        <v>18004</v>
      </c>
      <c r="I9375" s="17"/>
      <c r="J9375" s="17"/>
      <c r="K9375" s="17"/>
      <c r="L9375" s="17">
        <f>IFERROR(__xludf.DUMMYFUNCTION("""COMPUTED_VALUE"""),3.11452905E9)</f>
        <v>3114529050</v>
      </c>
      <c r="M9375" s="17"/>
      <c r="N9375" s="17"/>
      <c r="O9375" s="17"/>
      <c r="P9375" s="17" t="b">
        <f>IFERROR(__xludf.DUMMYFUNCTION("""COMPUTED_VALUE"""),FALSE)</f>
        <v>0</v>
      </c>
      <c r="Q9375" s="20" t="str">
        <f>IFERROR(__xludf.DUMMYFUNCTION("""COMPUTED_VALUE"""),"")</f>
        <v/>
      </c>
      <c r="R9375" s="21" t="str">
        <f>IFERROR(__xludf.DUMMYFUNCTION("""COMPUTED_VALUE"""),"https://drive.google.com/file/d/1Lku5WSg2GhLHjpsa2F0LTyR6kJ-sJcck/view?usp=drivesdk")</f>
        <v>https://drive.google.com/file/d/1Lku5WSg2GhLHjpsa2F0LTyR6kJ-sJcck/view?usp=drivesdk</v>
      </c>
    </row>
    <row r="9376">
      <c r="A9376" s="15">
        <f>IFERROR(__xludf.DUMMYFUNCTION("""COMPUTED_VALUE"""),45266.0)</f>
        <v>45266</v>
      </c>
      <c r="B9376" s="16" t="str">
        <f>IFERROR(__xludf.DUMMYFUNCTION("""COMPUTED_VALUE"""),"Alvaro Chacón")</f>
        <v>Alvaro Chacón</v>
      </c>
      <c r="C9376" s="15" t="str">
        <f>IFERROR(__xludf.DUMMYFUNCTION("""COMPUTED_VALUE"""),"BOGOTÁ")</f>
        <v>BOGOTÁ</v>
      </c>
      <c r="D9376" s="15" t="str">
        <f>IFERROR(__xludf.DUMMYFUNCTION("""COMPUTED_VALUE"""),"MEDELLÍN")</f>
        <v>MEDELLÍN</v>
      </c>
      <c r="E9376" s="15" t="str">
        <f>IFERROR(__xludf.DUMMYFUNCTION("""COMPUTED_VALUE"""),"AREPAS LA MARY")</f>
        <v>AREPAS LA MARY</v>
      </c>
      <c r="F9376" s="17" t="str">
        <f>IFERROR(__xludf.DUMMYFUNCTION("""COMPUTED_VALUE"""),"Calle 78b #116b-50 Torre 5 Apto 903 / Senderos de Granada")</f>
        <v>Calle 78b #116b-50 Torre 5 Apto 903 / Senderos de Granada</v>
      </c>
      <c r="G9376" s="15" t="str">
        <f>IFERROR(__xludf.DUMMYFUNCTION("""COMPUTED_VALUE"""),"VIVIANA HERNANDEZ")</f>
        <v>VIVIANA HERNANDEZ</v>
      </c>
      <c r="H9376" s="16">
        <f>IFERROR(__xludf.DUMMYFUNCTION("""COMPUTED_VALUE"""),18003.0)</f>
        <v>18003</v>
      </c>
      <c r="I9376" s="17"/>
      <c r="J9376" s="17"/>
      <c r="K9376" s="17"/>
      <c r="L9376" s="17">
        <f>IFERROR(__xludf.DUMMYFUNCTION("""COMPUTED_VALUE"""),3.124312912E9)</f>
        <v>3124312912</v>
      </c>
      <c r="M9376" s="17"/>
      <c r="N9376" s="17"/>
      <c r="O9376" s="17"/>
      <c r="P9376" s="17" t="b">
        <f>IFERROR(__xludf.DUMMYFUNCTION("""COMPUTED_VALUE"""),FALSE)</f>
        <v>0</v>
      </c>
      <c r="Q9376" s="20" t="str">
        <f>IFERROR(__xludf.DUMMYFUNCTION("""COMPUTED_VALUE"""),"")</f>
        <v/>
      </c>
      <c r="R9376" s="21" t="str">
        <f>IFERROR(__xludf.DUMMYFUNCTION("""COMPUTED_VALUE"""),"https://drive.google.com/file/d/1dDJnVapiEwU5fmCPjJ_me3mQgVAOE6gu/view?usp=drivesdk")</f>
        <v>https://drive.google.com/file/d/1dDJnVapiEwU5fmCPjJ_me3mQgVAOE6gu/view?usp=drivesdk</v>
      </c>
    </row>
    <row r="9377">
      <c r="A9377" s="15">
        <f>IFERROR(__xludf.DUMMYFUNCTION("""COMPUTED_VALUE"""),45266.0)</f>
        <v>45266</v>
      </c>
      <c r="B9377" s="16" t="str">
        <f>IFERROR(__xludf.DUMMYFUNCTION("""COMPUTED_VALUE"""),"Alvaro Chacón")</f>
        <v>Alvaro Chacón</v>
      </c>
      <c r="C9377" s="15" t="str">
        <f>IFERROR(__xludf.DUMMYFUNCTION("""COMPUTED_VALUE"""),"BOGOTÁ")</f>
        <v>BOGOTÁ</v>
      </c>
      <c r="D9377" s="15" t="str">
        <f>IFERROR(__xludf.DUMMYFUNCTION("""COMPUTED_VALUE"""),"MEDELLÍN")</f>
        <v>MEDELLÍN</v>
      </c>
      <c r="E9377" s="15" t="str">
        <f>IFERROR(__xludf.DUMMYFUNCTION("""COMPUTED_VALUE"""),"AREPAS LA MARY")</f>
        <v>AREPAS LA MARY</v>
      </c>
      <c r="F9377" s="17" t="str">
        <f>IFERROR(__xludf.DUMMYFUNCTION("""COMPUTED_VALUE"""),"CRA 24B N.20 04 SUR BL 12 APTO 101 / MULTIFAMILIARES ALONSO LOPEZ")</f>
        <v>CRA 24B N.20 04 SUR BL 12 APTO 101 / MULTIFAMILIARES ALONSO LOPEZ</v>
      </c>
      <c r="G9377" s="15" t="str">
        <f>IFERROR(__xludf.DUMMYFUNCTION("""COMPUTED_VALUE"""),"YENNY VERDUGO")</f>
        <v>YENNY VERDUGO</v>
      </c>
      <c r="H9377" s="16">
        <f>IFERROR(__xludf.DUMMYFUNCTION("""COMPUTED_VALUE"""),18006.0)</f>
        <v>18006</v>
      </c>
      <c r="I9377" s="17"/>
      <c r="J9377" s="17"/>
      <c r="K9377" s="17"/>
      <c r="L9377" s="17">
        <f>IFERROR(__xludf.DUMMYFUNCTION("""COMPUTED_VALUE"""),3.115046691E9)</f>
        <v>3115046691</v>
      </c>
      <c r="M9377" s="17"/>
      <c r="N9377" s="17"/>
      <c r="O9377" s="17"/>
      <c r="P9377" s="17" t="b">
        <f>IFERROR(__xludf.DUMMYFUNCTION("""COMPUTED_VALUE"""),FALSE)</f>
        <v>0</v>
      </c>
      <c r="Q9377" s="20" t="str">
        <f>IFERROR(__xludf.DUMMYFUNCTION("""COMPUTED_VALUE"""),"")</f>
        <v/>
      </c>
      <c r="R9377" s="21" t="str">
        <f>IFERROR(__xludf.DUMMYFUNCTION("""COMPUTED_VALUE"""),"https://drive.google.com/file/d/1pVtwPfpt9KQtSI1SbMf9k6CAqIFyjcv-/view?usp=drivesdk")</f>
        <v>https://drive.google.com/file/d/1pVtwPfpt9KQtSI1SbMf9k6CAqIFyjcv-/view?usp=drivesdk</v>
      </c>
    </row>
    <row r="9378">
      <c r="A9378" s="15">
        <f>IFERROR(__xludf.DUMMYFUNCTION("""COMPUTED_VALUE"""),45266.0)</f>
        <v>45266</v>
      </c>
      <c r="B9378" s="16" t="str">
        <f>IFERROR(__xludf.DUMMYFUNCTION("""COMPUTED_VALUE"""),"Alvaro Chacón")</f>
        <v>Alvaro Chacón</v>
      </c>
      <c r="C9378" s="15" t="str">
        <f>IFERROR(__xludf.DUMMYFUNCTION("""COMPUTED_VALUE"""),"BOGOTÁ")</f>
        <v>BOGOTÁ</v>
      </c>
      <c r="D9378" s="15" t="str">
        <f>IFERROR(__xludf.DUMMYFUNCTION("""COMPUTED_VALUE"""),"MEDELLÍN")</f>
        <v>MEDELLÍN</v>
      </c>
      <c r="E9378" s="15" t="str">
        <f>IFERROR(__xludf.DUMMYFUNCTION("""COMPUTED_VALUE"""),"Baby Chef")</f>
        <v>Baby Chef</v>
      </c>
      <c r="F9378" s="17" t="str">
        <f>IFERROR(__xludf.DUMMYFUNCTION("""COMPUTED_VALUE"""),"Bogota calle 151 n 11-32 conjunto Lombardía torre 4 apto 914 / . / .")</f>
        <v>Bogota calle 151 n 11-32 conjunto Lombardía torre 4 apto 914 / . / .</v>
      </c>
      <c r="G9378" s="15" t="str">
        <f>IFERROR(__xludf.DUMMYFUNCTION("""COMPUTED_VALUE"""),"Nathali Vargas")</f>
        <v>Nathali Vargas</v>
      </c>
      <c r="H9378" s="16">
        <f>IFERROR(__xludf.DUMMYFUNCTION("""COMPUTED_VALUE"""),18017.0)</f>
        <v>18017</v>
      </c>
      <c r="I9378" s="18">
        <f>IFERROR(__xludf.DUMMYFUNCTION("""COMPUTED_VALUE"""),12.0)</f>
        <v>12</v>
      </c>
      <c r="J9378" s="18">
        <f>IFERROR(__xludf.DUMMYFUNCTION("""COMPUTED_VALUE"""),19.0)</f>
        <v>19</v>
      </c>
      <c r="K9378" s="18">
        <f>IFERROR(__xludf.DUMMYFUNCTION("""COMPUTED_VALUE"""),34.0)</f>
        <v>34</v>
      </c>
      <c r="L9378" s="17">
        <f>IFERROR(__xludf.DUMMYFUNCTION("""COMPUTED_VALUE"""),3.233254363E9)</f>
        <v>3233254363</v>
      </c>
      <c r="M9378" s="17"/>
      <c r="N9378" s="17"/>
      <c r="O9378" s="17"/>
      <c r="P9378" s="17" t="b">
        <f>IFERROR(__xludf.DUMMYFUNCTION("""COMPUTED_VALUE"""),FALSE)</f>
        <v>0</v>
      </c>
      <c r="Q9378" s="20" t="str">
        <f>IFERROR(__xludf.DUMMYFUNCTION("""COMPUTED_VALUE"""),"")</f>
        <v/>
      </c>
      <c r="R9378" s="21" t="str">
        <f>IFERROR(__xludf.DUMMYFUNCTION("""COMPUTED_VALUE"""),"https://drive.google.com/file/d/1oQOgwrAuenZkE8Q41lR4o3VJ_umsLRAb/view?usp=drivesdk")</f>
        <v>https://drive.google.com/file/d/1oQOgwrAuenZkE8Q41lR4o3VJ_umsLRAb/view?usp=drivesdk</v>
      </c>
    </row>
    <row r="9379">
      <c r="A9379" s="15">
        <f>IFERROR(__xludf.DUMMYFUNCTION("""COMPUTED_VALUE"""),45266.0)</f>
        <v>45266</v>
      </c>
      <c r="B9379" s="16" t="str">
        <f>IFERROR(__xludf.DUMMYFUNCTION("""COMPUTED_VALUE"""),"Alvaro Chacón")</f>
        <v>Alvaro Chacón</v>
      </c>
      <c r="C9379" s="15" t="str">
        <f>IFERROR(__xludf.DUMMYFUNCTION("""COMPUTED_VALUE"""),"MONTERIA")</f>
        <v>MONTERIA</v>
      </c>
      <c r="D9379" s="15" t="str">
        <f>IFERROR(__xludf.DUMMYFUNCTION("""COMPUTED_VALUE"""),"BOGOTÁ")</f>
        <v>BOGOTÁ</v>
      </c>
      <c r="E9379" s="15" t="str">
        <f>IFERROR(__xludf.DUMMYFUNCTION("""COMPUTED_VALUE"""),"Lunchy Kids")</f>
        <v>Lunchy Kids</v>
      </c>
      <c r="F9379" s="17" t="str">
        <f>IFERROR(__xludf.DUMMYFUNCTION("""COMPUTED_VALUE"""),"Calle 69 #1c - 81  / Edificio Ebano Apto 402 / Monteria")</f>
        <v>Calle 69 #1c - 81  / Edificio Ebano Apto 402 / Monteria</v>
      </c>
      <c r="G9379" s="15" t="str">
        <f>IFERROR(__xludf.DUMMYFUNCTION("""COMPUTED_VALUE"""),"Lucia Cabrales")</f>
        <v>Lucia Cabrales</v>
      </c>
      <c r="H9379" s="16">
        <f>IFERROR(__xludf.DUMMYFUNCTION("""COMPUTED_VALUE"""),17938.0)</f>
        <v>17938</v>
      </c>
      <c r="I9379" s="18">
        <f>IFERROR(__xludf.DUMMYFUNCTION("""COMPUTED_VALUE"""),10.0)</f>
        <v>10</v>
      </c>
      <c r="J9379" s="18">
        <f>IFERROR(__xludf.DUMMYFUNCTION("""COMPUTED_VALUE"""),10.0)</f>
        <v>10</v>
      </c>
      <c r="K9379" s="18">
        <f>IFERROR(__xludf.DUMMYFUNCTION("""COMPUTED_VALUE"""),5.0)</f>
        <v>5</v>
      </c>
      <c r="L9379" s="17">
        <f>IFERROR(__xludf.DUMMYFUNCTION("""COMPUTED_VALUE"""),3.016420403E9)</f>
        <v>3016420403</v>
      </c>
      <c r="M9379" s="17"/>
      <c r="N9379" s="17"/>
      <c r="O9379" s="17"/>
      <c r="P9379" s="17" t="b">
        <f>IFERROR(__xludf.DUMMYFUNCTION("""COMPUTED_VALUE"""),FALSE)</f>
        <v>0</v>
      </c>
      <c r="Q9379" s="20" t="str">
        <f>IFERROR(__xludf.DUMMYFUNCTION("""COMPUTED_VALUE"""),"")</f>
        <v/>
      </c>
      <c r="R9379" s="21" t="str">
        <f>IFERROR(__xludf.DUMMYFUNCTION("""COMPUTED_VALUE"""),"https://drive.google.com/file/d/1mTlOfTTCeI80Lj8z0bRQQTb4ikSJPsXk/view?usp=drivesdk")</f>
        <v>https://drive.google.com/file/d/1mTlOfTTCeI80Lj8z0bRQQTb4ikSJPsXk/view?usp=drivesdk</v>
      </c>
    </row>
    <row r="9380">
      <c r="A9380" s="17" t="str">
        <f>IFERROR(__xludf.DUMMYFUNCTION("""COMPUTED_VALUE"""),"")</f>
        <v/>
      </c>
      <c r="B9380" s="17" t="str">
        <f>IFERROR(__xludf.DUMMYFUNCTION("""COMPUTED_VALUE"""),"")</f>
        <v/>
      </c>
      <c r="C9380" s="17" t="str">
        <f>IFERROR(__xludf.DUMMYFUNCTION("""COMPUTED_VALUE"""),"")</f>
        <v/>
      </c>
      <c r="D9380" s="17" t="str">
        <f>IFERROR(__xludf.DUMMYFUNCTION("""COMPUTED_VALUE"""),"")</f>
        <v/>
      </c>
      <c r="E9380" s="17" t="str">
        <f>IFERROR(__xludf.DUMMYFUNCTION("""COMPUTED_VALUE"""),"")</f>
        <v/>
      </c>
      <c r="F9380" s="17" t="str">
        <f>IFERROR(__xludf.DUMMYFUNCTION("""COMPUTED_VALUE"""),"")</f>
        <v/>
      </c>
      <c r="G9380" s="17" t="str">
        <f>IFERROR(__xludf.DUMMYFUNCTION("""COMPUTED_VALUE"""),"")</f>
        <v/>
      </c>
      <c r="H9380" s="17" t="str">
        <f>IFERROR(__xludf.DUMMYFUNCTION("""COMPUTED_VALUE"""),"")</f>
        <v/>
      </c>
      <c r="I9380" s="17" t="str">
        <f>IFERROR(__xludf.DUMMYFUNCTION("""COMPUTED_VALUE"""),"")</f>
        <v/>
      </c>
      <c r="J9380" s="17" t="str">
        <f>IFERROR(__xludf.DUMMYFUNCTION("""COMPUTED_VALUE"""),"")</f>
        <v/>
      </c>
      <c r="K9380" s="17" t="str">
        <f>IFERROR(__xludf.DUMMYFUNCTION("""COMPUTED_VALUE"""),"")</f>
        <v/>
      </c>
      <c r="L9380" s="17" t="str">
        <f>IFERROR(__xludf.DUMMYFUNCTION("""COMPUTED_VALUE"""),"")</f>
        <v/>
      </c>
      <c r="M9380" s="17" t="str">
        <f>IFERROR(__xludf.DUMMYFUNCTION("""COMPUTED_VALUE"""),"")</f>
        <v/>
      </c>
      <c r="N9380" s="17" t="str">
        <f>IFERROR(__xludf.DUMMYFUNCTION("""COMPUTED_VALUE"""),"")</f>
        <v/>
      </c>
      <c r="O9380" s="17" t="str">
        <f>IFERROR(__xludf.DUMMYFUNCTION("""COMPUTED_VALUE"""),"")</f>
        <v/>
      </c>
      <c r="P9380" s="17" t="str">
        <f>IFERROR(__xludf.DUMMYFUNCTION("""COMPUTED_VALUE"""),"")</f>
        <v/>
      </c>
      <c r="Q9380" s="17" t="str">
        <f>IFERROR(__xludf.DUMMYFUNCTION("""COMPUTED_VALUE"""),"")</f>
        <v/>
      </c>
      <c r="R9380" s="17" t="str">
        <f>IFERROR(__xludf.DUMMYFUNCTION("""COMPUTED_VALUE"""),"")</f>
        <v/>
      </c>
    </row>
    <row r="9381">
      <c r="A9381" s="15">
        <f>IFERROR(__xludf.DUMMYFUNCTION("""COMPUTED_VALUE"""),45266.0)</f>
        <v>45266</v>
      </c>
      <c r="B9381" s="16" t="str">
        <f>IFERROR(__xludf.DUMMYFUNCTION("""COMPUTED_VALUE"""),"Anuar suarez jimenez ")</f>
        <v>Anuar suarez jimenez </v>
      </c>
      <c r="C9381" s="15" t="str">
        <f>IFERROR(__xludf.DUMMYFUNCTION("""COMPUTED_VALUE"""),"MONTERIA")</f>
        <v>MONTERIA</v>
      </c>
      <c r="D9381" s="15" t="str">
        <f>IFERROR(__xludf.DUMMYFUNCTION("""COMPUTED_VALUE"""),"BOGOTÁ")</f>
        <v>BOGOTÁ</v>
      </c>
      <c r="E9381" s="15" t="str">
        <f>IFERROR(__xludf.DUMMYFUNCTION("""COMPUTED_VALUE"""),"Asociacion Agropecuaria Juana Maria")</f>
        <v>Asociacion Agropecuaria Juana Maria</v>
      </c>
      <c r="F9381" s="17" t="str">
        <f>IFERROR(__xludf.DUMMYFUNCTION("""COMPUTED_VALUE"""),"Carrera 12 # 53A-39 edificio alta vista torre 1 apto 603 / Carrera 12 # 53A-39 edificio alta vista torre 1 apto 603")</f>
        <v>Carrera 12 # 53A-39 edificio alta vista torre 1 apto 603 / Carrera 12 # 53A-39 edificio alta vista torre 1 apto 603</v>
      </c>
      <c r="G9381" s="15" t="str">
        <f>IFERROR(__xludf.DUMMYFUNCTION("""COMPUTED_VALUE"""),"Emilia Miranda")</f>
        <v>Emilia Miranda</v>
      </c>
      <c r="H9381" s="16">
        <f>IFERROR(__xludf.DUMMYFUNCTION("""COMPUTED_VALUE"""),17927.0)</f>
        <v>17927</v>
      </c>
      <c r="I9381" s="17"/>
      <c r="J9381" s="17"/>
      <c r="K9381" s="17"/>
      <c r="L9381" s="17">
        <f>IFERROR(__xludf.DUMMYFUNCTION("""COMPUTED_VALUE"""),3.113438505E9)</f>
        <v>3113438505</v>
      </c>
      <c r="M9381" s="17"/>
      <c r="N9381" s="17"/>
      <c r="O9381" s="17"/>
      <c r="P9381" s="17" t="b">
        <f>IFERROR(__xludf.DUMMYFUNCTION("""COMPUTED_VALUE"""),FALSE)</f>
        <v>0</v>
      </c>
      <c r="Q9381" s="20" t="str">
        <f>IFERROR(__xludf.DUMMYFUNCTION("""COMPUTED_VALUE"""),"")</f>
        <v/>
      </c>
      <c r="R9381" s="21" t="str">
        <f>IFERROR(__xludf.DUMMYFUNCTION("""COMPUTED_VALUE"""),"https://drive.google.com/file/d/1o6lhHzL_TEGsEOEADMALeanvG0YII-gI/view?usp=drivesdk")</f>
        <v>https://drive.google.com/file/d/1o6lhHzL_TEGsEOEADMALeanvG0YII-gI/view?usp=drivesdk</v>
      </c>
    </row>
    <row r="9382">
      <c r="A9382" s="15">
        <f>IFERROR(__xludf.DUMMYFUNCTION("""COMPUTED_VALUE"""),45266.0)</f>
        <v>45266</v>
      </c>
      <c r="B9382" s="16" t="str">
        <f>IFERROR(__xludf.DUMMYFUNCTION("""COMPUTED_VALUE"""),"Anuar suarez jimenez ")</f>
        <v>Anuar suarez jimenez </v>
      </c>
      <c r="C9382" s="15" t="str">
        <f>IFERROR(__xludf.DUMMYFUNCTION("""COMPUTED_VALUE"""),"MONTERIA")</f>
        <v>MONTERIA</v>
      </c>
      <c r="D9382" s="15" t="str">
        <f>IFERROR(__xludf.DUMMYFUNCTION("""COMPUTED_VALUE"""),"BOGOTÁ")</f>
        <v>BOGOTÁ</v>
      </c>
      <c r="E9382" s="15" t="str">
        <f>IFERROR(__xludf.DUMMYFUNCTION("""COMPUTED_VALUE"""),"LINA PAOLA RAMIREZ GOMEZ - EVA MAZZITA")</f>
        <v>LINA PAOLA RAMIREZ GOMEZ - EVA MAZZITA</v>
      </c>
      <c r="F9382" s="17" t="str">
        <f>IFERROR(__xludf.DUMMYFUNCTION("""COMPUTED_VALUE"""),"Carrera 12#53A-39 / edificio alta vista torre 1 apto 603")</f>
        <v>Carrera 12#53A-39 / edificio alta vista torre 1 apto 603</v>
      </c>
      <c r="G9382" s="15" t="str">
        <f>IFERROR(__xludf.DUMMYFUNCTION("""COMPUTED_VALUE"""),"EMILIA MIRANDA")</f>
        <v>EMILIA MIRANDA</v>
      </c>
      <c r="H9382" s="16">
        <f>IFERROR(__xludf.DUMMYFUNCTION("""COMPUTED_VALUE"""),17956.0)</f>
        <v>17956</v>
      </c>
      <c r="I9382" s="17"/>
      <c r="J9382" s="17"/>
      <c r="K9382" s="17"/>
      <c r="L9382" s="17">
        <f>IFERROR(__xludf.DUMMYFUNCTION("""COMPUTED_VALUE"""),3.113438505E9)</f>
        <v>3113438505</v>
      </c>
      <c r="M9382" s="17"/>
      <c r="N9382" s="17"/>
      <c r="O9382" s="17"/>
      <c r="P9382" s="17" t="b">
        <f>IFERROR(__xludf.DUMMYFUNCTION("""COMPUTED_VALUE"""),FALSE)</f>
        <v>0</v>
      </c>
      <c r="Q9382" s="20" t="str">
        <f>IFERROR(__xludf.DUMMYFUNCTION("""COMPUTED_VALUE"""),"")</f>
        <v/>
      </c>
      <c r="R9382" s="21" t="str">
        <f>IFERROR(__xludf.DUMMYFUNCTION("""COMPUTED_VALUE"""),"https://drive.google.com/file/d/1pQHsBwcx3lPYvhzyVauzgsw9bSx4yMVt/view?usp=drivesdk")</f>
        <v>https://drive.google.com/file/d/1pQHsBwcx3lPYvhzyVauzgsw9bSx4yMVt/view?usp=drivesdk</v>
      </c>
    </row>
    <row r="9383">
      <c r="A9383" s="17" t="str">
        <f>IFERROR(__xludf.DUMMYFUNCTION("""COMPUTED_VALUE"""),"")</f>
        <v/>
      </c>
      <c r="B9383" s="17" t="str">
        <f>IFERROR(__xludf.DUMMYFUNCTION("""COMPUTED_VALUE"""),"")</f>
        <v/>
      </c>
      <c r="C9383" s="17" t="str">
        <f>IFERROR(__xludf.DUMMYFUNCTION("""COMPUTED_VALUE"""),"")</f>
        <v/>
      </c>
      <c r="D9383" s="17" t="str">
        <f>IFERROR(__xludf.DUMMYFUNCTION("""COMPUTED_VALUE"""),"")</f>
        <v/>
      </c>
      <c r="E9383" s="17" t="str">
        <f>IFERROR(__xludf.DUMMYFUNCTION("""COMPUTED_VALUE"""),"")</f>
        <v/>
      </c>
      <c r="F9383" s="17" t="str">
        <f>IFERROR(__xludf.DUMMYFUNCTION("""COMPUTED_VALUE"""),"")</f>
        <v/>
      </c>
      <c r="G9383" s="17" t="str">
        <f>IFERROR(__xludf.DUMMYFUNCTION("""COMPUTED_VALUE"""),"")</f>
        <v/>
      </c>
      <c r="H9383" s="17" t="str">
        <f>IFERROR(__xludf.DUMMYFUNCTION("""COMPUTED_VALUE"""),"")</f>
        <v/>
      </c>
      <c r="I9383" s="17" t="str">
        <f>IFERROR(__xludf.DUMMYFUNCTION("""COMPUTED_VALUE"""),"")</f>
        <v/>
      </c>
      <c r="J9383" s="17" t="str">
        <f>IFERROR(__xludf.DUMMYFUNCTION("""COMPUTED_VALUE"""),"")</f>
        <v/>
      </c>
      <c r="K9383" s="17" t="str">
        <f>IFERROR(__xludf.DUMMYFUNCTION("""COMPUTED_VALUE"""),"")</f>
        <v/>
      </c>
      <c r="L9383" s="17" t="str">
        <f>IFERROR(__xludf.DUMMYFUNCTION("""COMPUTED_VALUE"""),"")</f>
        <v/>
      </c>
      <c r="M9383" s="17" t="str">
        <f>IFERROR(__xludf.DUMMYFUNCTION("""COMPUTED_VALUE"""),"")</f>
        <v/>
      </c>
      <c r="N9383" s="17" t="str">
        <f>IFERROR(__xludf.DUMMYFUNCTION("""COMPUTED_VALUE"""),"")</f>
        <v/>
      </c>
      <c r="O9383" s="17" t="str">
        <f>IFERROR(__xludf.DUMMYFUNCTION("""COMPUTED_VALUE"""),"")</f>
        <v/>
      </c>
      <c r="P9383" s="17" t="str">
        <f>IFERROR(__xludf.DUMMYFUNCTION("""COMPUTED_VALUE"""),"")</f>
        <v/>
      </c>
      <c r="Q9383" s="17" t="str">
        <f>IFERROR(__xludf.DUMMYFUNCTION("""COMPUTED_VALUE"""),"")</f>
        <v/>
      </c>
      <c r="R9383" s="17" t="str">
        <f>IFERROR(__xludf.DUMMYFUNCTION("""COMPUTED_VALUE"""),"")</f>
        <v/>
      </c>
    </row>
    <row r="9384">
      <c r="A9384" s="15">
        <f>IFERROR(__xludf.DUMMYFUNCTION("""COMPUTED_VALUE"""),45266.0)</f>
        <v>45266</v>
      </c>
      <c r="B9384" s="16" t="str">
        <f>IFERROR(__xludf.DUMMYFUNCTION("""COMPUTED_VALUE"""),"Envia")</f>
        <v>Envia</v>
      </c>
      <c r="C9384" s="15" t="str">
        <f>IFERROR(__xludf.DUMMYFUNCTION("""COMPUTED_VALUE"""),"BARRANQUILLA")</f>
        <v>BARRANQUILLA</v>
      </c>
      <c r="D9384" s="15" t="str">
        <f>IFERROR(__xludf.DUMMYFUNCTION("""COMPUTED_VALUE"""),"BOGOTÁ")</f>
        <v>BOGOTÁ</v>
      </c>
      <c r="E9384" s="15" t="str">
        <f>IFERROR(__xludf.DUMMYFUNCTION("""COMPUTED_VALUE"""),"Viral Brands")</f>
        <v>Viral Brands</v>
      </c>
      <c r="F9384" s="17" t="str">
        <f>IFERROR(__xludf.DUMMYFUNCTION("""COMPUTED_VALUE"""),"chuzales prado kra 49c n 75-47 lyd house prado  /  restaurante chuzales , reciben apartir de las 10 y 30am / prado")</f>
        <v>chuzales prado kra 49c n 75-47 lyd house prado  /  restaurante chuzales , reciben apartir de las 10 y 30am / prado</v>
      </c>
      <c r="G9384" s="15" t="str">
        <f>IFERROR(__xludf.DUMMYFUNCTION("""COMPUTED_VALUE"""),"restaurante chuzales")</f>
        <v>restaurante chuzales</v>
      </c>
      <c r="H9384" s="16">
        <f>IFERROR(__xludf.DUMMYFUNCTION("""COMPUTED_VALUE"""),18016.0)</f>
        <v>18016</v>
      </c>
      <c r="I9384" s="18">
        <f>IFERROR(__xludf.DUMMYFUNCTION("""COMPUTED_VALUE"""),30.0)</f>
        <v>30</v>
      </c>
      <c r="J9384" s="18">
        <f>IFERROR(__xludf.DUMMYFUNCTION("""COMPUTED_VALUE"""),50.0)</f>
        <v>50</v>
      </c>
      <c r="K9384" s="18">
        <f>IFERROR(__xludf.DUMMYFUNCTION("""COMPUTED_VALUE"""),21.0)</f>
        <v>21</v>
      </c>
      <c r="L9384" s="17">
        <f>IFERROR(__xludf.DUMMYFUNCTION("""COMPUTED_VALUE"""),3.017624858E9)</f>
        <v>3017624858</v>
      </c>
      <c r="M9384" s="17"/>
      <c r="N9384" s="17"/>
      <c r="O9384" s="17"/>
      <c r="P9384" s="17" t="b">
        <f>IFERROR(__xludf.DUMMYFUNCTION("""COMPUTED_VALUE"""),FALSE)</f>
        <v>0</v>
      </c>
      <c r="Q9384" s="20" t="str">
        <f>IFERROR(__xludf.DUMMYFUNCTION("""COMPUTED_VALUE"""),"")</f>
        <v/>
      </c>
      <c r="R9384" s="21" t="str">
        <f>IFERROR(__xludf.DUMMYFUNCTION("""COMPUTED_VALUE"""),"https://drive.google.com/file/d/12D2vhkxg8r39Sv2BtUUZbTN0ttQ6i2Dy/view?usp=drivesdk")</f>
        <v>https://drive.google.com/file/d/12D2vhkxg8r39Sv2BtUUZbTN0ttQ6i2Dy/view?usp=drivesdk</v>
      </c>
    </row>
    <row r="9385">
      <c r="A9385" s="15">
        <f>IFERROR(__xludf.DUMMYFUNCTION("""COMPUTED_VALUE"""),45266.0)</f>
        <v>45266</v>
      </c>
      <c r="B9385" s="16" t="str">
        <f>IFERROR(__xludf.DUMMYFUNCTION("""COMPUTED_VALUE"""),"Envia")</f>
        <v>Envia</v>
      </c>
      <c r="C9385" s="15" t="str">
        <f>IFERROR(__xludf.DUMMYFUNCTION("""COMPUTED_VALUE"""),"BARRANQUILLA")</f>
        <v>BARRANQUILLA</v>
      </c>
      <c r="D9385" s="15" t="str">
        <f>IFERROR(__xludf.DUMMYFUNCTION("""COMPUTED_VALUE"""),"BOGOTÁ")</f>
        <v>BOGOTÁ</v>
      </c>
      <c r="E9385" s="15" t="str">
        <f>IFERROR(__xludf.DUMMYFUNCTION("""COMPUTED_VALUE"""),"Viral Brands")</f>
        <v>Viral Brands</v>
      </c>
      <c r="F9385" s="17" t="str">
        <f>IFERROR(__xludf.DUMMYFUNCTION("""COMPUTED_VALUE"""),"kra 49c n 75-47 lyd house prado  /  restaurante chuzales , reciben apartir de las 10 y 30am / prado")</f>
        <v>kra 49c n 75-47 lyd house prado  /  restaurante chuzales , reciben apartir de las 10 y 30am / prado</v>
      </c>
      <c r="G9385" s="15" t="str">
        <f>IFERROR(__xludf.DUMMYFUNCTION("""COMPUTED_VALUE"""),"restaurante chuzales baq")</f>
        <v>restaurante chuzales baq</v>
      </c>
      <c r="H9385" s="16">
        <f>IFERROR(__xludf.DUMMYFUNCTION("""COMPUTED_VALUE"""),18015.0)</f>
        <v>18015</v>
      </c>
      <c r="I9385" s="18">
        <f>IFERROR(__xludf.DUMMYFUNCTION("""COMPUTED_VALUE"""),45.0)</f>
        <v>45</v>
      </c>
      <c r="J9385" s="18">
        <f>IFERROR(__xludf.DUMMYFUNCTION("""COMPUTED_VALUE"""),55.0)</f>
        <v>55</v>
      </c>
      <c r="K9385" s="18">
        <f>IFERROR(__xludf.DUMMYFUNCTION("""COMPUTED_VALUE"""),29.0)</f>
        <v>29</v>
      </c>
      <c r="L9385" s="17">
        <f>IFERROR(__xludf.DUMMYFUNCTION("""COMPUTED_VALUE"""),3.017624858E9)</f>
        <v>3017624858</v>
      </c>
      <c r="M9385" s="17"/>
      <c r="N9385" s="17"/>
      <c r="O9385" s="17"/>
      <c r="P9385" s="17" t="b">
        <f>IFERROR(__xludf.DUMMYFUNCTION("""COMPUTED_VALUE"""),FALSE)</f>
        <v>0</v>
      </c>
      <c r="Q9385" s="20" t="str">
        <f>IFERROR(__xludf.DUMMYFUNCTION("""COMPUTED_VALUE"""),"")</f>
        <v/>
      </c>
      <c r="R9385" s="21" t="str">
        <f>IFERROR(__xludf.DUMMYFUNCTION("""COMPUTED_VALUE"""),"https://drive.google.com/file/d/1JB1a78yGGujtJAxEwnSNSqh3quzXXYME/view?usp=drivesdk")</f>
        <v>https://drive.google.com/file/d/1JB1a78yGGujtJAxEwnSNSqh3quzXXYME/view?usp=drivesdk</v>
      </c>
    </row>
    <row r="9386">
      <c r="A9386" s="15">
        <f>IFERROR(__xludf.DUMMYFUNCTION("""COMPUTED_VALUE"""),45266.0)</f>
        <v>45266</v>
      </c>
      <c r="B9386" s="16" t="str">
        <f>IFERROR(__xludf.DUMMYFUNCTION("""COMPUTED_VALUE"""),"Envia")</f>
        <v>Envia</v>
      </c>
      <c r="C9386" s="15" t="str">
        <f>IFERROR(__xludf.DUMMYFUNCTION("""COMPUTED_VALUE"""),"BOGOTÁ")</f>
        <v>BOGOTÁ</v>
      </c>
      <c r="D9386" s="15" t="str">
        <f>IFERROR(__xludf.DUMMYFUNCTION("""COMPUTED_VALUE"""),"MEDELLÍN")</f>
        <v>MEDELLÍN</v>
      </c>
      <c r="E9386" s="15" t="str">
        <f>IFERROR(__xludf.DUMMYFUNCTION("""COMPUTED_VALUE"""),"Moloso S.A.S")</f>
        <v>Moloso S.A.S</v>
      </c>
      <c r="F9386" s="17" t="str">
        <f>IFERROR(__xludf.DUMMYFUNCTION("""COMPUTED_VALUE"""),"CR 70C 1 86SUR IN 17 AP  151 / IN 17 AP  151")</f>
        <v>CR 70C 1 86SUR IN 17 AP  151 / IN 17 AP  151</v>
      </c>
      <c r="G9386" s="15" t="str">
        <f>IFERROR(__xludf.DUMMYFUNCTION("""COMPUTED_VALUE"""),"LAURA TATIANA APONTE CARRANZA")</f>
        <v>LAURA TATIANA APONTE CARRANZA</v>
      </c>
      <c r="H9386" s="16">
        <f>IFERROR(__xludf.DUMMYFUNCTION("""COMPUTED_VALUE"""),18052.0)</f>
        <v>18052</v>
      </c>
      <c r="I9386" s="17"/>
      <c r="J9386" s="17"/>
      <c r="K9386" s="17"/>
      <c r="L9386" s="17"/>
      <c r="M9386" s="17"/>
      <c r="N9386" s="17"/>
      <c r="O9386" s="17"/>
      <c r="P9386" s="17" t="b">
        <f>IFERROR(__xludf.DUMMYFUNCTION("""COMPUTED_VALUE"""),FALSE)</f>
        <v>0</v>
      </c>
      <c r="Q9386" s="20" t="str">
        <f>IFERROR(__xludf.DUMMYFUNCTION("""COMPUTED_VALUE"""),"")</f>
        <v/>
      </c>
      <c r="R9386" s="21" t="str">
        <f>IFERROR(__xludf.DUMMYFUNCTION("""COMPUTED_VALUE"""),"https://drive.google.com/file/d/1eJZ30DE3XY66BJAXEkyu5kIyN1aHeJ5w/view?usp=drivesdk")</f>
        <v>https://drive.google.com/file/d/1eJZ30DE3XY66BJAXEkyu5kIyN1aHeJ5w/view?usp=drivesdk</v>
      </c>
    </row>
    <row r="9387">
      <c r="A9387" s="15">
        <f>IFERROR(__xludf.DUMMYFUNCTION("""COMPUTED_VALUE"""),45266.0)</f>
        <v>45266</v>
      </c>
      <c r="B9387" s="16" t="str">
        <f>IFERROR(__xludf.DUMMYFUNCTION("""COMPUTED_VALUE"""),"Envia")</f>
        <v>Envia</v>
      </c>
      <c r="C9387" s="15" t="str">
        <f>IFERROR(__xludf.DUMMYFUNCTION("""COMPUTED_VALUE"""),"BOGOTÁ")</f>
        <v>BOGOTÁ</v>
      </c>
      <c r="D9387" s="15" t="str">
        <f>IFERROR(__xludf.DUMMYFUNCTION("""COMPUTED_VALUE"""),"MEDELLÍN")</f>
        <v>MEDELLÍN</v>
      </c>
      <c r="E9387" s="15" t="str">
        <f>IFERROR(__xludf.DUMMYFUNCTION("""COMPUTED_VALUE"""),"Puro Verde")</f>
        <v>Puro Verde</v>
      </c>
      <c r="F9387" s="17" t="str">
        <f>IFERROR(__xludf.DUMMYFUNCTION("""COMPUTED_VALUE"""),"CRA 16A # 77-23.  / LOCAL 4 / BARRIO EL CHICO")</f>
        <v>CRA 16A # 77-23.  / LOCAL 4 / BARRIO EL CHICO</v>
      </c>
      <c r="G9387" s="15" t="str">
        <f>IFERROR(__xludf.DUMMYFUNCTION("""COMPUTED_VALUE"""),"DANDO CUERDA")</f>
        <v>DANDO CUERDA</v>
      </c>
      <c r="H9387" s="16">
        <f>IFERROR(__xludf.DUMMYFUNCTION("""COMPUTED_VALUE"""),17972.0)</f>
        <v>17972</v>
      </c>
      <c r="I9387" s="18">
        <f>IFERROR(__xludf.DUMMYFUNCTION("""COMPUTED_VALUE"""),45034.0)</f>
        <v>45034</v>
      </c>
      <c r="J9387" s="18" t="str">
        <f>IFERROR(__xludf.DUMMYFUNCTION("""COMPUTED_VALUE"""),"32.2")</f>
        <v>32.2</v>
      </c>
      <c r="K9387" s="18" t="str">
        <f>IFERROR(__xludf.DUMMYFUNCTION("""COMPUTED_VALUE"""),"39.4")</f>
        <v>39.4</v>
      </c>
      <c r="L9387" s="17">
        <f>IFERROR(__xludf.DUMMYFUNCTION("""COMPUTED_VALUE"""),3.163816691E9)</f>
        <v>3163816691</v>
      </c>
      <c r="M9387" s="17"/>
      <c r="N9387" s="17"/>
      <c r="O9387" s="17"/>
      <c r="P9387" s="17" t="b">
        <f>IFERROR(__xludf.DUMMYFUNCTION("""COMPUTED_VALUE"""),FALSE)</f>
        <v>0</v>
      </c>
      <c r="Q9387" s="20" t="str">
        <f>IFERROR(__xludf.DUMMYFUNCTION("""COMPUTED_VALUE"""),"")</f>
        <v/>
      </c>
      <c r="R9387" s="21" t="str">
        <f>IFERROR(__xludf.DUMMYFUNCTION("""COMPUTED_VALUE"""),"https://drive.google.com/file/d/1vuAxnqIJT6-h8cGw9-lGM3vBHePBN0d0/view?usp=drivesdk")</f>
        <v>https://drive.google.com/file/d/1vuAxnqIJT6-h8cGw9-lGM3vBHePBN0d0/view?usp=drivesdk</v>
      </c>
    </row>
    <row r="9388">
      <c r="A9388" s="15">
        <f>IFERROR(__xludf.DUMMYFUNCTION("""COMPUTED_VALUE"""),45266.0)</f>
        <v>45266</v>
      </c>
      <c r="B9388" s="16" t="str">
        <f>IFERROR(__xludf.DUMMYFUNCTION("""COMPUTED_VALUE"""),"Envia")</f>
        <v>Envia</v>
      </c>
      <c r="C9388" s="15" t="str">
        <f>IFERROR(__xludf.DUMMYFUNCTION("""COMPUTED_VALUE"""),"BOGOTÁ")</f>
        <v>BOGOTÁ</v>
      </c>
      <c r="D9388" s="15" t="str">
        <f>IFERROR(__xludf.DUMMYFUNCTION("""COMPUTED_VALUE"""),"MEDELLÍN")</f>
        <v>MEDELLÍN</v>
      </c>
      <c r="E9388" s="15" t="str">
        <f>IFERROR(__xludf.DUMMYFUNCTION("""COMPUTED_VALUE"""),"Terravocado")</f>
        <v>Terravocado</v>
      </c>
      <c r="F9388" s="17" t="str">
        <f>IFERROR(__xludf.DUMMYFUNCTION("""COMPUTED_VALUE"""),"CRA 13 # 42 - 44 / KOKORICO PARQUE 43 / BOGOTA")</f>
        <v>CRA 13 # 42 - 44 / KOKORICO PARQUE 43 / BOGOTA</v>
      </c>
      <c r="G9388" s="15" t="str">
        <f>IFERROR(__xludf.DUMMYFUNCTION("""COMPUTED_VALUE"""),"YESIKA JULIANA CASTRO")</f>
        <v>YESIKA JULIANA CASTRO</v>
      </c>
      <c r="H9388" s="16">
        <f>IFERROR(__xludf.DUMMYFUNCTION("""COMPUTED_VALUE"""),18010.0)</f>
        <v>18010</v>
      </c>
      <c r="I9388" s="18">
        <f>IFERROR(__xludf.DUMMYFUNCTION("""COMPUTED_VALUE"""),20.0)</f>
        <v>20</v>
      </c>
      <c r="J9388" s="18">
        <f>IFERROR(__xludf.DUMMYFUNCTION("""COMPUTED_VALUE"""),24.0)</f>
        <v>24</v>
      </c>
      <c r="K9388" s="18">
        <f>IFERROR(__xludf.DUMMYFUNCTION("""COMPUTED_VALUE"""),34.0)</f>
        <v>34</v>
      </c>
      <c r="L9388" s="17">
        <f>IFERROR(__xludf.DUMMYFUNCTION("""COMPUTED_VALUE"""),3.143239873E9)</f>
        <v>3143239873</v>
      </c>
      <c r="M9388" s="17"/>
      <c r="N9388" s="17"/>
      <c r="O9388" s="17"/>
      <c r="P9388" s="17" t="b">
        <f>IFERROR(__xludf.DUMMYFUNCTION("""COMPUTED_VALUE"""),FALSE)</f>
        <v>0</v>
      </c>
      <c r="Q9388" s="20" t="str">
        <f>IFERROR(__xludf.DUMMYFUNCTION("""COMPUTED_VALUE"""),"")</f>
        <v/>
      </c>
      <c r="R9388" s="21" t="str">
        <f>IFERROR(__xludf.DUMMYFUNCTION("""COMPUTED_VALUE"""),"https://drive.google.com/file/d/1AUUk36t7Frw3QhICQ62jLxOQAX7pjHuC/view?usp=drivesdk")</f>
        <v>https://drive.google.com/file/d/1AUUk36t7Frw3QhICQ62jLxOQAX7pjHuC/view?usp=drivesdk</v>
      </c>
    </row>
    <row r="9389">
      <c r="A9389" s="15">
        <f>IFERROR(__xludf.DUMMYFUNCTION("""COMPUTED_VALUE"""),45266.0)</f>
        <v>45266</v>
      </c>
      <c r="B9389" s="16" t="str">
        <f>IFERROR(__xludf.DUMMYFUNCTION("""COMPUTED_VALUE"""),"Envia")</f>
        <v>Envia</v>
      </c>
      <c r="C9389" s="15" t="str">
        <f>IFERROR(__xludf.DUMMYFUNCTION("""COMPUTED_VALUE"""),"CALI")</f>
        <v>CALI</v>
      </c>
      <c r="D9389" s="15" t="str">
        <f>IFERROR(__xludf.DUMMYFUNCTION("""COMPUTED_VALUE"""),"MEDELLÍN")</f>
        <v>MEDELLÍN</v>
      </c>
      <c r="E9389" s="15" t="str">
        <f>IFERROR(__xludf.DUMMYFUNCTION("""COMPUTED_VALUE"""),"Baby Chef")</f>
        <v>Baby Chef</v>
      </c>
      <c r="F9389" s="17" t="str">
        <f>IFERROR(__xludf.DUMMYFUNCTION("""COMPUTED_VALUE"""),"Dirección:  Av 3G norte # 62N-63 keretano del viento apto 203 torre 1 Barrio la flora  / . / .")</f>
        <v>Dirección:  Av 3G norte # 62N-63 keretano del viento apto 203 torre 1 Barrio la flora  / . / .</v>
      </c>
      <c r="G9389" s="15" t="str">
        <f>IFERROR(__xludf.DUMMYFUNCTION("""COMPUTED_VALUE"""),"Luz mariana gallego")</f>
        <v>Luz mariana gallego</v>
      </c>
      <c r="H9389" s="16">
        <f>IFERROR(__xludf.DUMMYFUNCTION("""COMPUTED_VALUE"""),18021.0)</f>
        <v>18021</v>
      </c>
      <c r="I9389" s="18">
        <f>IFERROR(__xludf.DUMMYFUNCTION("""COMPUTED_VALUE"""),6.0)</f>
        <v>6</v>
      </c>
      <c r="J9389" s="18">
        <f>IFERROR(__xludf.DUMMYFUNCTION("""COMPUTED_VALUE"""),23.0)</f>
        <v>23</v>
      </c>
      <c r="K9389" s="18">
        <f>IFERROR(__xludf.DUMMYFUNCTION("""COMPUTED_VALUE"""),21.0)</f>
        <v>21</v>
      </c>
      <c r="L9389" s="17">
        <f>IFERROR(__xludf.DUMMYFUNCTION("""COMPUTED_VALUE"""),3.508339471E9)</f>
        <v>3508339471</v>
      </c>
      <c r="M9389" s="17"/>
      <c r="N9389" s="17"/>
      <c r="O9389" s="17"/>
      <c r="P9389" s="17" t="b">
        <f>IFERROR(__xludf.DUMMYFUNCTION("""COMPUTED_VALUE"""),FALSE)</f>
        <v>0</v>
      </c>
      <c r="Q9389" s="20" t="str">
        <f>IFERROR(__xludf.DUMMYFUNCTION("""COMPUTED_VALUE"""),"")</f>
        <v/>
      </c>
      <c r="R9389" s="21" t="str">
        <f>IFERROR(__xludf.DUMMYFUNCTION("""COMPUTED_VALUE"""),"https://drive.google.com/file/d/1qB5CRbDRlmCp6mmvbVVzXsX95l84o6tL/view?usp=drivesdk")</f>
        <v>https://drive.google.com/file/d/1qB5CRbDRlmCp6mmvbVVzXsX95l84o6tL/view?usp=drivesdk</v>
      </c>
    </row>
    <row r="9390">
      <c r="A9390" s="15">
        <f>IFERROR(__xludf.DUMMYFUNCTION("""COMPUTED_VALUE"""),45266.0)</f>
        <v>45266</v>
      </c>
      <c r="B9390" s="16" t="str">
        <f>IFERROR(__xludf.DUMMYFUNCTION("""COMPUTED_VALUE"""),"Envia")</f>
        <v>Envia</v>
      </c>
      <c r="C9390" s="15" t="str">
        <f>IFERROR(__xludf.DUMMYFUNCTION("""COMPUTED_VALUE"""),"CALI")</f>
        <v>CALI</v>
      </c>
      <c r="D9390" s="15" t="str">
        <f>IFERROR(__xludf.DUMMYFUNCTION("""COMPUTED_VALUE"""),"MEDELLÍN")</f>
        <v>MEDELLÍN</v>
      </c>
      <c r="E9390" s="15" t="str">
        <f>IFERROR(__xludf.DUMMYFUNCTION("""COMPUTED_VALUE"""),"JdBufala")</f>
        <v>JdBufala</v>
      </c>
      <c r="F9390" s="17" t="str">
        <f>IFERROR(__xludf.DUMMYFUNCTION("""COMPUTED_VALUE"""),"Calle 51 norte # 4bn 72 / Delhuertopizzeria")</f>
        <v>Calle 51 norte # 4bn 72 / Delhuertopizzeria</v>
      </c>
      <c r="G9390" s="15" t="str">
        <f>IFERROR(__xludf.DUMMYFUNCTION("""COMPUTED_VALUE"""),"Javier")</f>
        <v>Javier</v>
      </c>
      <c r="H9390" s="16">
        <f>IFERROR(__xludf.DUMMYFUNCTION("""COMPUTED_VALUE"""),18034.0)</f>
        <v>18034</v>
      </c>
      <c r="I9390" s="17"/>
      <c r="J9390" s="17"/>
      <c r="K9390" s="17"/>
      <c r="L9390" s="17">
        <f>IFERROR(__xludf.DUMMYFUNCTION("""COMPUTED_VALUE"""),3.206763524E9)</f>
        <v>3206763524</v>
      </c>
      <c r="M9390" s="17"/>
      <c r="N9390" s="17"/>
      <c r="O9390" s="17"/>
      <c r="P9390" s="17" t="b">
        <f>IFERROR(__xludf.DUMMYFUNCTION("""COMPUTED_VALUE"""),FALSE)</f>
        <v>0</v>
      </c>
      <c r="Q9390" s="20" t="str">
        <f>IFERROR(__xludf.DUMMYFUNCTION("""COMPUTED_VALUE"""),"")</f>
        <v/>
      </c>
      <c r="R9390" s="21" t="str">
        <f>IFERROR(__xludf.DUMMYFUNCTION("""COMPUTED_VALUE"""),"https://drive.google.com/file/d/1_30oilVeAS1IifsoA4RLQcvbbjLXwp6W/view?usp=drivesdk")</f>
        <v>https://drive.google.com/file/d/1_30oilVeAS1IifsoA4RLQcvbbjLXwp6W/view?usp=drivesdk</v>
      </c>
    </row>
    <row r="9391">
      <c r="A9391" s="15">
        <f>IFERROR(__xludf.DUMMYFUNCTION("""COMPUTED_VALUE"""),45266.0)</f>
        <v>45266</v>
      </c>
      <c r="B9391" s="16" t="str">
        <f>IFERROR(__xludf.DUMMYFUNCTION("""COMPUTED_VALUE"""),"Envia")</f>
        <v>Envia</v>
      </c>
      <c r="C9391" s="15" t="str">
        <f>IFERROR(__xludf.DUMMYFUNCTION("""COMPUTED_VALUE"""),"MONTERIA")</f>
        <v>MONTERIA</v>
      </c>
      <c r="D9391" s="15" t="str">
        <f>IFERROR(__xludf.DUMMYFUNCTION("""COMPUTED_VALUE"""),"BOGOTÁ")</f>
        <v>BOGOTÁ</v>
      </c>
      <c r="E9391" s="15" t="str">
        <f>IFERROR(__xludf.DUMMYFUNCTION("""COMPUTED_VALUE"""),"Top Spun")</f>
        <v>Top Spun</v>
      </c>
      <c r="F9391" s="17" t="str">
        <f>IFERROR(__xludf.DUMMYFUNCTION("""COMPUTED_VALUE"""),"Calle 69 n 1c 147 / Apto 402  / edf los reyes")</f>
        <v>Calle 69 n 1c 147 / Apto 402  / edf los reyes</v>
      </c>
      <c r="G9391" s="15" t="str">
        <f>IFERROR(__xludf.DUMMYFUNCTION("""COMPUTED_VALUE"""),"Isabella Llanos")</f>
        <v>Isabella Llanos</v>
      </c>
      <c r="H9391" s="16">
        <f>IFERROR(__xludf.DUMMYFUNCTION("""COMPUTED_VALUE"""),17913.0)</f>
        <v>17913</v>
      </c>
      <c r="I9391" s="18">
        <f>IFERROR(__xludf.DUMMYFUNCTION("""COMPUTED_VALUE"""),20.0)</f>
        <v>20</v>
      </c>
      <c r="J9391" s="18">
        <f>IFERROR(__xludf.DUMMYFUNCTION("""COMPUTED_VALUE"""),10.0)</f>
        <v>10</v>
      </c>
      <c r="K9391" s="18">
        <f>IFERROR(__xludf.DUMMYFUNCTION("""COMPUTED_VALUE"""),40.0)</f>
        <v>40</v>
      </c>
      <c r="L9391" s="17">
        <f>IFERROR(__xludf.DUMMYFUNCTION("""COMPUTED_VALUE"""),3.015497983E9)</f>
        <v>3015497983</v>
      </c>
      <c r="M9391" s="17"/>
      <c r="N9391" s="17"/>
      <c r="O9391" s="17"/>
      <c r="P9391" s="17" t="b">
        <f>IFERROR(__xludf.DUMMYFUNCTION("""COMPUTED_VALUE"""),FALSE)</f>
        <v>0</v>
      </c>
      <c r="Q9391" s="20" t="str">
        <f>IFERROR(__xludf.DUMMYFUNCTION("""COMPUTED_VALUE"""),"")</f>
        <v/>
      </c>
      <c r="R9391" s="21" t="str">
        <f>IFERROR(__xludf.DUMMYFUNCTION("""COMPUTED_VALUE"""),"https://drive.google.com/file/d/1Z4zKBzOb0uWSS9z0nlTvVkvDeYRWE6hC/view?usp=drivesdk")</f>
        <v>https://drive.google.com/file/d/1Z4zKBzOb0uWSS9z0nlTvVkvDeYRWE6hC/view?usp=drivesdk</v>
      </c>
    </row>
    <row r="9392">
      <c r="A9392" s="17" t="str">
        <f>IFERROR(__xludf.DUMMYFUNCTION("""COMPUTED_VALUE"""),"")</f>
        <v/>
      </c>
      <c r="B9392" s="17" t="str">
        <f>IFERROR(__xludf.DUMMYFUNCTION("""COMPUTED_VALUE"""),"")</f>
        <v/>
      </c>
      <c r="C9392" s="17" t="str">
        <f>IFERROR(__xludf.DUMMYFUNCTION("""COMPUTED_VALUE"""),"")</f>
        <v/>
      </c>
      <c r="D9392" s="17" t="str">
        <f>IFERROR(__xludf.DUMMYFUNCTION("""COMPUTED_VALUE"""),"")</f>
        <v/>
      </c>
      <c r="E9392" s="17" t="str">
        <f>IFERROR(__xludf.DUMMYFUNCTION("""COMPUTED_VALUE"""),"")</f>
        <v/>
      </c>
      <c r="F9392" s="17" t="str">
        <f>IFERROR(__xludf.DUMMYFUNCTION("""COMPUTED_VALUE"""),"")</f>
        <v/>
      </c>
      <c r="G9392" s="17" t="str">
        <f>IFERROR(__xludf.DUMMYFUNCTION("""COMPUTED_VALUE"""),"")</f>
        <v/>
      </c>
      <c r="H9392" s="17" t="str">
        <f>IFERROR(__xludf.DUMMYFUNCTION("""COMPUTED_VALUE"""),"")</f>
        <v/>
      </c>
      <c r="I9392" s="17" t="str">
        <f>IFERROR(__xludf.DUMMYFUNCTION("""COMPUTED_VALUE"""),"")</f>
        <v/>
      </c>
      <c r="J9392" s="17" t="str">
        <f>IFERROR(__xludf.DUMMYFUNCTION("""COMPUTED_VALUE"""),"")</f>
        <v/>
      </c>
      <c r="K9392" s="17" t="str">
        <f>IFERROR(__xludf.DUMMYFUNCTION("""COMPUTED_VALUE"""),"")</f>
        <v/>
      </c>
      <c r="L9392" s="17" t="str">
        <f>IFERROR(__xludf.DUMMYFUNCTION("""COMPUTED_VALUE"""),"")</f>
        <v/>
      </c>
      <c r="M9392" s="17" t="str">
        <f>IFERROR(__xludf.DUMMYFUNCTION("""COMPUTED_VALUE"""),"")</f>
        <v/>
      </c>
      <c r="N9392" s="17" t="str">
        <f>IFERROR(__xludf.DUMMYFUNCTION("""COMPUTED_VALUE"""),"")</f>
        <v/>
      </c>
      <c r="O9392" s="17" t="str">
        <f>IFERROR(__xludf.DUMMYFUNCTION("""COMPUTED_VALUE"""),"")</f>
        <v/>
      </c>
      <c r="P9392" s="17" t="str">
        <f>IFERROR(__xludf.DUMMYFUNCTION("""COMPUTED_VALUE"""),"")</f>
        <v/>
      </c>
      <c r="Q9392" s="17" t="str">
        <f>IFERROR(__xludf.DUMMYFUNCTION("""COMPUTED_VALUE"""),"")</f>
        <v/>
      </c>
      <c r="R9392" s="17" t="str">
        <f>IFERROR(__xludf.DUMMYFUNCTION("""COMPUTED_VALUE"""),"")</f>
        <v/>
      </c>
    </row>
    <row r="9393">
      <c r="A9393" s="15">
        <f>IFERROR(__xludf.DUMMYFUNCTION("""COMPUTED_VALUE"""),45266.0)</f>
        <v>45266</v>
      </c>
      <c r="B9393" s="16" t="str">
        <f>IFERROR(__xludf.DUMMYFUNCTION("""COMPUTED_VALUE"""),"Johan Alexander Escobar Arroyo ")</f>
        <v>Johan Alexander Escobar Arroyo </v>
      </c>
      <c r="C9393" s="15" t="str">
        <f>IFERROR(__xludf.DUMMYFUNCTION("""COMPUTED_VALUE"""),"BOGOTÁ")</f>
        <v>BOGOTÁ</v>
      </c>
      <c r="D9393" s="15" t="str">
        <f>IFERROR(__xludf.DUMMYFUNCTION("""COMPUTED_VALUE"""),"MEDELLÍN")</f>
        <v>MEDELLÍN</v>
      </c>
      <c r="E9393" s="15" t="str">
        <f>IFERROR(__xludf.DUMMYFUNCTION("""COMPUTED_VALUE"""),"THE SMOKED HOUSE SAS")</f>
        <v>THE SMOKED HOUSE SAS</v>
      </c>
      <c r="F9393" s="17" t="str">
        <f>IFERROR(__xludf.DUMMYFUNCTION("""COMPUTED_VALUE"""),"Carrera 49 # 238 -60  Casa 10 Hacienda San Simón, El Alcaparro / Hacienda San Simón, El Alcaparro")</f>
        <v>Carrera 49 # 238 -60  Casa 10 Hacienda San Simón, El Alcaparro / Hacienda San Simón, El Alcaparro</v>
      </c>
      <c r="G9393" s="15" t="str">
        <f>IFERROR(__xludf.DUMMYFUNCTION("""COMPUTED_VALUE"""),"Sede Principal")</f>
        <v>Sede Principal</v>
      </c>
      <c r="H9393" s="16">
        <f>IFERROR(__xludf.DUMMYFUNCTION("""COMPUTED_VALUE"""),18060.0)</f>
        <v>18060</v>
      </c>
      <c r="I9393" s="17"/>
      <c r="J9393" s="17"/>
      <c r="K9393" s="17"/>
      <c r="L9393" s="17">
        <f>IFERROR(__xludf.DUMMYFUNCTION("""COMPUTED_VALUE"""),3.158825395E9)</f>
        <v>3158825395</v>
      </c>
      <c r="M9393" s="17"/>
      <c r="N9393" s="17"/>
      <c r="O9393" s="17"/>
      <c r="P9393" s="17" t="b">
        <f>IFERROR(__xludf.DUMMYFUNCTION("""COMPUTED_VALUE"""),FALSE)</f>
        <v>0</v>
      </c>
      <c r="Q9393" s="20" t="str">
        <f>IFERROR(__xludf.DUMMYFUNCTION("""COMPUTED_VALUE"""),"")</f>
        <v/>
      </c>
      <c r="R9393" s="21" t="str">
        <f>IFERROR(__xludf.DUMMYFUNCTION("""COMPUTED_VALUE"""),"https://drive.google.com/file/d/1BiPoHwUQtY2_diBk5f8oDBDNvublwDMH/view?usp=drivesdk")</f>
        <v>https://drive.google.com/file/d/1BiPoHwUQtY2_diBk5f8oDBDNvublwDMH/view?usp=drivesdk</v>
      </c>
    </row>
    <row r="9394">
      <c r="A9394" s="15">
        <f>IFERROR(__xludf.DUMMYFUNCTION("""COMPUTED_VALUE"""),45266.0)</f>
        <v>45266</v>
      </c>
      <c r="B9394" s="16" t="str">
        <f>IFERROR(__xludf.DUMMYFUNCTION("""COMPUTED_VALUE"""),"Johan Alexander Escobar Arroyo ")</f>
        <v>Johan Alexander Escobar Arroyo </v>
      </c>
      <c r="C9394" s="15" t="str">
        <f>IFERROR(__xludf.DUMMYFUNCTION("""COMPUTED_VALUE"""),"CALI")</f>
        <v>CALI</v>
      </c>
      <c r="D9394" s="15" t="str">
        <f>IFERROR(__xludf.DUMMYFUNCTION("""COMPUTED_VALUE"""),"ENVIGADO")</f>
        <v>ENVIGADO</v>
      </c>
      <c r="E9394" s="15" t="str">
        <f>IFERROR(__xludf.DUMMYFUNCTION("""COMPUTED_VALUE"""),"RAMBLA")</f>
        <v>RAMBLA</v>
      </c>
      <c r="F9394" s="17" t="str">
        <f>IFERROR(__xludf.DUMMYFUNCTION("""COMPUTED_VALUE"""),"Carrera 100 #15 a -61 / Local 104")</f>
        <v>Carrera 100 #15 a -61 / Local 104</v>
      </c>
      <c r="G9394" s="15" t="str">
        <f>IFERROR(__xludf.DUMMYFUNCTION("""COMPUTED_VALUE"""),"Nutrilight")</f>
        <v>Nutrilight</v>
      </c>
      <c r="H9394" s="16">
        <f>IFERROR(__xludf.DUMMYFUNCTION("""COMPUTED_VALUE"""),18046.0)</f>
        <v>18046</v>
      </c>
      <c r="I9394" s="17"/>
      <c r="J9394" s="17"/>
      <c r="K9394" s="17"/>
      <c r="L9394" s="17">
        <f>IFERROR(__xludf.DUMMYFUNCTION("""COMPUTED_VALUE"""),3.146112262E9)</f>
        <v>3146112262</v>
      </c>
      <c r="M9394" s="17"/>
      <c r="N9394" s="17"/>
      <c r="O9394" s="17"/>
      <c r="P9394" s="17" t="b">
        <f>IFERROR(__xludf.DUMMYFUNCTION("""COMPUTED_VALUE"""),FALSE)</f>
        <v>0</v>
      </c>
      <c r="Q9394" s="20" t="str">
        <f>IFERROR(__xludf.DUMMYFUNCTION("""COMPUTED_VALUE"""),"")</f>
        <v/>
      </c>
      <c r="R9394" s="21" t="str">
        <f>IFERROR(__xludf.DUMMYFUNCTION("""COMPUTED_VALUE"""),"https://drive.google.com/file/d/1qYbsgirHhMdKVTiw5JE9-Nv5pc4ocZVU/view?usp=drivesdk")</f>
        <v>https://drive.google.com/file/d/1qYbsgirHhMdKVTiw5JE9-Nv5pc4ocZVU/view?usp=drivesdk</v>
      </c>
    </row>
    <row r="9395">
      <c r="A9395" s="15">
        <f>IFERROR(__xludf.DUMMYFUNCTION("""COMPUTED_VALUE"""),45266.0)</f>
        <v>45266</v>
      </c>
      <c r="B9395" s="16" t="str">
        <f>IFERROR(__xludf.DUMMYFUNCTION("""COMPUTED_VALUE"""),"Johan Alexander Escobar Arroyo ")</f>
        <v>Johan Alexander Escobar Arroyo </v>
      </c>
      <c r="C9395" s="15" t="str">
        <f>IFERROR(__xludf.DUMMYFUNCTION("""COMPUTED_VALUE"""),"CALI")</f>
        <v>CALI</v>
      </c>
      <c r="D9395" s="15" t="str">
        <f>IFERROR(__xludf.DUMMYFUNCTION("""COMPUTED_VALUE"""),"ENVIGADO")</f>
        <v>ENVIGADO</v>
      </c>
      <c r="E9395" s="15" t="str">
        <f>IFERROR(__xludf.DUMMYFUNCTION("""COMPUTED_VALUE"""),"RAMBLA")</f>
        <v>RAMBLA</v>
      </c>
      <c r="F9395" s="17" t="str">
        <f>IFERROR(__xludf.DUMMYFUNCTION("""COMPUTED_VALUE"""),"Carrera 105 #15B45 / LOCAL 15 CENTRO COMERCIAL LAS VELAS")</f>
        <v>Carrera 105 #15B45 / LOCAL 15 CENTRO COMERCIAL LAS VELAS</v>
      </c>
      <c r="G9395" s="15" t="str">
        <f>IFERROR(__xludf.DUMMYFUNCTION("""COMPUTED_VALUE"""),"Wellthy market")</f>
        <v>Wellthy market</v>
      </c>
      <c r="H9395" s="16">
        <f>IFERROR(__xludf.DUMMYFUNCTION("""COMPUTED_VALUE"""),18047.0)</f>
        <v>18047</v>
      </c>
      <c r="I9395" s="17"/>
      <c r="J9395" s="17"/>
      <c r="K9395" s="17"/>
      <c r="L9395" s="17">
        <f>IFERROR(__xludf.DUMMYFUNCTION("""COMPUTED_VALUE"""),3.152542618E9)</f>
        <v>3152542618</v>
      </c>
      <c r="M9395" s="17"/>
      <c r="N9395" s="17"/>
      <c r="O9395" s="17"/>
      <c r="P9395" s="17" t="b">
        <f>IFERROR(__xludf.DUMMYFUNCTION("""COMPUTED_VALUE"""),FALSE)</f>
        <v>0</v>
      </c>
      <c r="Q9395" s="20" t="str">
        <f>IFERROR(__xludf.DUMMYFUNCTION("""COMPUTED_VALUE"""),"")</f>
        <v/>
      </c>
      <c r="R9395" s="21" t="str">
        <f>IFERROR(__xludf.DUMMYFUNCTION("""COMPUTED_VALUE"""),"https://drive.google.com/file/d/1Lu_mY839_k4SF4hysNowquqHh42zCpR_/view?usp=drivesdk")</f>
        <v>https://drive.google.com/file/d/1Lu_mY839_k4SF4hysNowquqHh42zCpR_/view?usp=drivesdk</v>
      </c>
    </row>
    <row r="9396">
      <c r="A9396" s="15">
        <f>IFERROR(__xludf.DUMMYFUNCTION("""COMPUTED_VALUE"""),45266.0)</f>
        <v>45266</v>
      </c>
      <c r="B9396" s="16" t="str">
        <f>IFERROR(__xludf.DUMMYFUNCTION("""COMPUTED_VALUE"""),"Johan Alexander Escobar Arroyo ")</f>
        <v>Johan Alexander Escobar Arroyo </v>
      </c>
      <c r="C9396" s="15" t="str">
        <f>IFERROR(__xludf.DUMMYFUNCTION("""COMPUTED_VALUE"""),"CALI")</f>
        <v>CALI</v>
      </c>
      <c r="D9396" s="15" t="str">
        <f>IFERROR(__xludf.DUMMYFUNCTION("""COMPUTED_VALUE"""),"ENVIGADO")</f>
        <v>ENVIGADO</v>
      </c>
      <c r="E9396" s="15" t="str">
        <f>IFERROR(__xludf.DUMMYFUNCTION("""COMPUTED_VALUE"""),"RAMBLA")</f>
        <v>RAMBLA</v>
      </c>
      <c r="F9396" s="17" t="str">
        <f>IFERROR(__xludf.DUMMYFUNCTION("""COMPUTED_VALUE"""),"Cra 81 # 13a-25 ciudadela Pasoancho casa 28 sector 1, / CASA 28 SECTOR 1")</f>
        <v>Cra 81 # 13a-25 ciudadela Pasoancho casa 28 sector 1, / CASA 28 SECTOR 1</v>
      </c>
      <c r="G9396" s="15" t="str">
        <f>IFERROR(__xludf.DUMMYFUNCTION("""COMPUTED_VALUE"""),"ANDREA ANGARITA")</f>
        <v>ANDREA ANGARITA</v>
      </c>
      <c r="H9396" s="16">
        <f>IFERROR(__xludf.DUMMYFUNCTION("""COMPUTED_VALUE"""),18048.0)</f>
        <v>18048</v>
      </c>
      <c r="I9396" s="17"/>
      <c r="J9396" s="17"/>
      <c r="K9396" s="17"/>
      <c r="L9396" s="17">
        <f>IFERROR(__xludf.DUMMYFUNCTION("""COMPUTED_VALUE"""),3.234835094E9)</f>
        <v>3234835094</v>
      </c>
      <c r="M9396" s="17"/>
      <c r="N9396" s="17"/>
      <c r="O9396" s="17"/>
      <c r="P9396" s="17" t="b">
        <f>IFERROR(__xludf.DUMMYFUNCTION("""COMPUTED_VALUE"""),FALSE)</f>
        <v>0</v>
      </c>
      <c r="Q9396" s="20" t="str">
        <f>IFERROR(__xludf.DUMMYFUNCTION("""COMPUTED_VALUE"""),"")</f>
        <v/>
      </c>
      <c r="R9396" s="21" t="str">
        <f>IFERROR(__xludf.DUMMYFUNCTION("""COMPUTED_VALUE"""),"https://drive.google.com/file/d/1rt-C9qjzIvaw5VAnv50Sp6nui6Qn6iZv/view?usp=drivesdk")</f>
        <v>https://drive.google.com/file/d/1rt-C9qjzIvaw5VAnv50Sp6nui6Qn6iZv/view?usp=drivesdk</v>
      </c>
    </row>
    <row r="9397">
      <c r="A9397" s="15">
        <f>IFERROR(__xludf.DUMMYFUNCTION("""COMPUTED_VALUE"""),45266.0)</f>
        <v>45266</v>
      </c>
      <c r="B9397" s="16" t="str">
        <f>IFERROR(__xludf.DUMMYFUNCTION("""COMPUTED_VALUE"""),"Johan Alexander Escobar Arroyo ")</f>
        <v>Johan Alexander Escobar Arroyo </v>
      </c>
      <c r="C9397" s="15" t="str">
        <f>IFERROR(__xludf.DUMMYFUNCTION("""COMPUTED_VALUE"""),"CALI")</f>
        <v>CALI</v>
      </c>
      <c r="D9397" s="15" t="str">
        <f>IFERROR(__xludf.DUMMYFUNCTION("""COMPUTED_VALUE"""),"MEDELLÍN")</f>
        <v>MEDELLÍN</v>
      </c>
      <c r="E9397" s="15" t="str">
        <f>IFERROR(__xludf.DUMMYFUNCTION("""COMPUTED_VALUE"""),"AREPAS LA MARY")</f>
        <v>AREPAS LA MARY</v>
      </c>
      <c r="F9397" s="17" t="str">
        <f>IFERROR(__xludf.DUMMYFUNCTION("""COMPUTED_VALUE"""),"Av 6D norte 38N-201 / Edificio reserva de chipichape")</f>
        <v>Av 6D norte 38N-201 / Edificio reserva de chipichape</v>
      </c>
      <c r="G9397" s="15" t="str">
        <f>IFERROR(__xludf.DUMMYFUNCTION("""COMPUTED_VALUE"""),"CAROLINA CHIVIRI")</f>
        <v>CAROLINA CHIVIRI</v>
      </c>
      <c r="H9397" s="16">
        <f>IFERROR(__xludf.DUMMYFUNCTION("""COMPUTED_VALUE"""),18002.0)</f>
        <v>18002</v>
      </c>
      <c r="I9397" s="17"/>
      <c r="J9397" s="17"/>
      <c r="K9397" s="17"/>
      <c r="L9397" s="17"/>
      <c r="M9397" s="17"/>
      <c r="N9397" s="17"/>
      <c r="O9397" s="17"/>
      <c r="P9397" s="17" t="b">
        <f>IFERROR(__xludf.DUMMYFUNCTION("""COMPUTED_VALUE"""),FALSE)</f>
        <v>0</v>
      </c>
      <c r="Q9397" s="20" t="str">
        <f>IFERROR(__xludf.DUMMYFUNCTION("""COMPUTED_VALUE"""),"")</f>
        <v/>
      </c>
      <c r="R9397" s="21" t="str">
        <f>IFERROR(__xludf.DUMMYFUNCTION("""COMPUTED_VALUE"""),"https://drive.google.com/file/d/1xq3Ky87bUbbWIqGLryaMCcVy7xSVszcz/view?usp=drivesdk")</f>
        <v>https://drive.google.com/file/d/1xq3Ky87bUbbWIqGLryaMCcVy7xSVszcz/view?usp=drivesdk</v>
      </c>
    </row>
    <row r="9398">
      <c r="A9398" s="15">
        <f>IFERROR(__xludf.DUMMYFUNCTION("""COMPUTED_VALUE"""),45266.0)</f>
        <v>45266</v>
      </c>
      <c r="B9398" s="16" t="str">
        <f>IFERROR(__xludf.DUMMYFUNCTION("""COMPUTED_VALUE"""),"Johan Alexander Escobar Arroyo ")</f>
        <v>Johan Alexander Escobar Arroyo </v>
      </c>
      <c r="C9398" s="15" t="str">
        <f>IFERROR(__xludf.DUMMYFUNCTION("""COMPUTED_VALUE"""),"CALI")</f>
        <v>CALI</v>
      </c>
      <c r="D9398" s="15" t="str">
        <f>IFERROR(__xludf.DUMMYFUNCTION("""COMPUTED_VALUE"""),"MEDELLÍN")</f>
        <v>MEDELLÍN</v>
      </c>
      <c r="E9398" s="15" t="str">
        <f>IFERROR(__xludf.DUMMYFUNCTION("""COMPUTED_VALUE"""),"Baby Chef")</f>
        <v>Baby Chef</v>
      </c>
      <c r="F9398" s="17" t="str">
        <f>IFERROR(__xludf.DUMMYFUNCTION("""COMPUTED_VALUE"""),". / . / .")</f>
        <v>. / . / .</v>
      </c>
      <c r="G9398" s="15" t="str">
        <f>IFERROR(__xludf.DUMMYFUNCTION("""COMPUTED_VALUE"""),"Johanna Rojas")</f>
        <v>Johanna Rojas</v>
      </c>
      <c r="H9398" s="16">
        <f>IFERROR(__xludf.DUMMYFUNCTION("""COMPUTED_VALUE"""),18022.0)</f>
        <v>18022</v>
      </c>
      <c r="I9398" s="18">
        <f>IFERROR(__xludf.DUMMYFUNCTION("""COMPUTED_VALUE"""),6.0)</f>
        <v>6</v>
      </c>
      <c r="J9398" s="18">
        <f>IFERROR(__xludf.DUMMYFUNCTION("""COMPUTED_VALUE"""),20.0)</f>
        <v>20</v>
      </c>
      <c r="K9398" s="18">
        <f>IFERROR(__xludf.DUMMYFUNCTION("""COMPUTED_VALUE"""),32.0)</f>
        <v>32</v>
      </c>
      <c r="L9398" s="17">
        <f>IFERROR(__xludf.DUMMYFUNCTION("""COMPUTED_VALUE"""),3.183307191E9)</f>
        <v>3183307191</v>
      </c>
      <c r="M9398" s="17"/>
      <c r="N9398" s="17"/>
      <c r="O9398" s="17"/>
      <c r="P9398" s="17" t="b">
        <f>IFERROR(__xludf.DUMMYFUNCTION("""COMPUTED_VALUE"""),FALSE)</f>
        <v>0</v>
      </c>
      <c r="Q9398" s="20" t="str">
        <f>IFERROR(__xludf.DUMMYFUNCTION("""COMPUTED_VALUE"""),"")</f>
        <v/>
      </c>
      <c r="R9398" s="21" t="str">
        <f>IFERROR(__xludf.DUMMYFUNCTION("""COMPUTED_VALUE"""),"https://drive.google.com/file/d/1Stxm_SdsWcj0pGekVwOkUZcQdTlPjZza/view?usp=drivesdk")</f>
        <v>https://drive.google.com/file/d/1Stxm_SdsWcj0pGekVwOkUZcQdTlPjZza/view?usp=drivesdk</v>
      </c>
    </row>
    <row r="9399">
      <c r="A9399" s="15">
        <f>IFERROR(__xludf.DUMMYFUNCTION("""COMPUTED_VALUE"""),45266.0)</f>
        <v>45266</v>
      </c>
      <c r="B9399" s="16" t="str">
        <f>IFERROR(__xludf.DUMMYFUNCTION("""COMPUTED_VALUE"""),"Johan Alexander Escobar Arroyo ")</f>
        <v>Johan Alexander Escobar Arroyo </v>
      </c>
      <c r="C9399" s="15" t="str">
        <f>IFERROR(__xludf.DUMMYFUNCTION("""COMPUTED_VALUE"""),"CALI")</f>
        <v>CALI</v>
      </c>
      <c r="D9399" s="15" t="str">
        <f>IFERROR(__xludf.DUMMYFUNCTION("""COMPUTED_VALUE"""),"MEDELLÍN")</f>
        <v>MEDELLÍN</v>
      </c>
      <c r="E9399" s="15" t="str">
        <f>IFERROR(__xludf.DUMMYFUNCTION("""COMPUTED_VALUE"""),"Baby Chef")</f>
        <v>Baby Chef</v>
      </c>
      <c r="F9399" s="17" t="str">
        <f>IFERROR(__xludf.DUMMYFUNCTION("""COMPUTED_VALUE"""),"Calle 9na #44-11 oficina 202  Barrio Cámbulos  Edificio La Fontaine / . / .")</f>
        <v>Calle 9na #44-11 oficina 202  Barrio Cámbulos  Edificio La Fontaine / . / .</v>
      </c>
      <c r="G9399" s="15" t="str">
        <f>IFERROR(__xludf.DUMMYFUNCTION("""COMPUTED_VALUE"""),"Maria Alejandra Lasso")</f>
        <v>Maria Alejandra Lasso</v>
      </c>
      <c r="H9399" s="16">
        <f>IFERROR(__xludf.DUMMYFUNCTION("""COMPUTED_VALUE"""),18020.0)</f>
        <v>18020</v>
      </c>
      <c r="I9399" s="18">
        <f>IFERROR(__xludf.DUMMYFUNCTION("""COMPUTED_VALUE"""),8.0)</f>
        <v>8</v>
      </c>
      <c r="J9399" s="18">
        <f>IFERROR(__xludf.DUMMYFUNCTION("""COMPUTED_VALUE"""),20.0)</f>
        <v>20</v>
      </c>
      <c r="K9399" s="18">
        <f>IFERROR(__xludf.DUMMYFUNCTION("""COMPUTED_VALUE"""),35.0)</f>
        <v>35</v>
      </c>
      <c r="L9399" s="17">
        <f>IFERROR(__xludf.DUMMYFUNCTION("""COMPUTED_VALUE"""),3.174294533E9)</f>
        <v>3174294533</v>
      </c>
      <c r="M9399" s="17"/>
      <c r="N9399" s="17"/>
      <c r="O9399" s="17"/>
      <c r="P9399" s="17" t="b">
        <f>IFERROR(__xludf.DUMMYFUNCTION("""COMPUTED_VALUE"""),FALSE)</f>
        <v>0</v>
      </c>
      <c r="Q9399" s="20" t="str">
        <f>IFERROR(__xludf.DUMMYFUNCTION("""COMPUTED_VALUE"""),"")</f>
        <v/>
      </c>
      <c r="R9399" s="21" t="str">
        <f>IFERROR(__xludf.DUMMYFUNCTION("""COMPUTED_VALUE"""),"https://drive.google.com/file/d/1O412koQ3FsuR5eGANkNYa3ssaxHmaCzD/view?usp=drivesdk")</f>
        <v>https://drive.google.com/file/d/1O412koQ3FsuR5eGANkNYa3ssaxHmaCzD/view?usp=drivesdk</v>
      </c>
    </row>
    <row r="9400">
      <c r="A9400" s="15">
        <f>IFERROR(__xludf.DUMMYFUNCTION("""COMPUTED_VALUE"""),45266.0)</f>
        <v>45266</v>
      </c>
      <c r="B9400" s="16" t="str">
        <f>IFERROR(__xludf.DUMMYFUNCTION("""COMPUTED_VALUE"""),"Johan Alexander Escobar Arroyo ")</f>
        <v>Johan Alexander Escobar Arroyo </v>
      </c>
      <c r="C9400" s="15" t="str">
        <f>IFERROR(__xludf.DUMMYFUNCTION("""COMPUTED_VALUE"""),"CÚCUTA")</f>
        <v>CÚCUTA</v>
      </c>
      <c r="D9400" s="15" t="str">
        <f>IFERROR(__xludf.DUMMYFUNCTION("""COMPUTED_VALUE"""),"BOGOTÁ")</f>
        <v>BOGOTÁ</v>
      </c>
      <c r="E9400" s="15" t="str">
        <f>IFERROR(__xludf.DUMMYFUNCTION("""COMPUTED_VALUE"""),"Athenas")</f>
        <v>Athenas</v>
      </c>
      <c r="F9400" s="17" t="str">
        <f>IFERROR(__xludf.DUMMYFUNCTION("""COMPUTED_VALUE"""),"CALLE 11 #2E-10 CENTRO COMERCIAL QUINTA VELEZ PISO3 LOCAL 301 / BODYTECH CAFETERIA / BARRIO CAOBOS")</f>
        <v>CALLE 11 #2E-10 CENTRO COMERCIAL QUINTA VELEZ PISO3 LOCAL 301 / BODYTECH CAFETERIA / BARRIO CAOBOS</v>
      </c>
      <c r="G9400" s="15" t="str">
        <f>IFERROR(__xludf.DUMMYFUNCTION("""COMPUTED_VALUE"""),"JENIFER RODRIGUEZ")</f>
        <v>JENIFER RODRIGUEZ</v>
      </c>
      <c r="H9400" s="16">
        <f>IFERROR(__xludf.DUMMYFUNCTION("""COMPUTED_VALUE"""),17941.0)</f>
        <v>17941</v>
      </c>
      <c r="I9400" s="18">
        <f>IFERROR(__xludf.DUMMYFUNCTION("""COMPUTED_VALUE"""),29.0)</f>
        <v>29</v>
      </c>
      <c r="J9400" s="18">
        <f>IFERROR(__xludf.DUMMYFUNCTION("""COMPUTED_VALUE"""),55.0)</f>
        <v>55</v>
      </c>
      <c r="K9400" s="18">
        <f>IFERROR(__xludf.DUMMYFUNCTION("""COMPUTED_VALUE"""),45.0)</f>
        <v>45</v>
      </c>
      <c r="L9400" s="17">
        <f>IFERROR(__xludf.DUMMYFUNCTION("""COMPUTED_VALUE"""),3.166748316E9)</f>
        <v>3166748316</v>
      </c>
      <c r="M9400" s="17"/>
      <c r="N9400" s="17"/>
      <c r="O9400" s="17"/>
      <c r="P9400" s="17" t="b">
        <f>IFERROR(__xludf.DUMMYFUNCTION("""COMPUTED_VALUE"""),FALSE)</f>
        <v>0</v>
      </c>
      <c r="Q9400" s="20" t="str">
        <f>IFERROR(__xludf.DUMMYFUNCTION("""COMPUTED_VALUE"""),"")</f>
        <v/>
      </c>
      <c r="R9400" s="21" t="str">
        <f>IFERROR(__xludf.DUMMYFUNCTION("""COMPUTED_VALUE"""),"https://drive.google.com/file/d/1ua5Mr6UartrkhjKEdmfsH2qiDY72i32O/view?usp=drivesdk")</f>
        <v>https://drive.google.com/file/d/1ua5Mr6UartrkhjKEdmfsH2qiDY72i32O/view?usp=drivesdk</v>
      </c>
    </row>
    <row r="9401">
      <c r="A9401" s="17" t="str">
        <f>IFERROR(__xludf.DUMMYFUNCTION("""COMPUTED_VALUE"""),"")</f>
        <v/>
      </c>
      <c r="B9401" s="17" t="str">
        <f>IFERROR(__xludf.DUMMYFUNCTION("""COMPUTED_VALUE"""),"")</f>
        <v/>
      </c>
      <c r="C9401" s="17" t="str">
        <f>IFERROR(__xludf.DUMMYFUNCTION("""COMPUTED_VALUE"""),"")</f>
        <v/>
      </c>
      <c r="D9401" s="17" t="str">
        <f>IFERROR(__xludf.DUMMYFUNCTION("""COMPUTED_VALUE"""),"")</f>
        <v/>
      </c>
      <c r="E9401" s="17" t="str">
        <f>IFERROR(__xludf.DUMMYFUNCTION("""COMPUTED_VALUE"""),"")</f>
        <v/>
      </c>
      <c r="F9401" s="17" t="str">
        <f>IFERROR(__xludf.DUMMYFUNCTION("""COMPUTED_VALUE"""),"")</f>
        <v/>
      </c>
      <c r="G9401" s="17" t="str">
        <f>IFERROR(__xludf.DUMMYFUNCTION("""COMPUTED_VALUE"""),"")</f>
        <v/>
      </c>
      <c r="H9401" s="17" t="str">
        <f>IFERROR(__xludf.DUMMYFUNCTION("""COMPUTED_VALUE"""),"")</f>
        <v/>
      </c>
      <c r="I9401" s="17" t="str">
        <f>IFERROR(__xludf.DUMMYFUNCTION("""COMPUTED_VALUE"""),"")</f>
        <v/>
      </c>
      <c r="J9401" s="17" t="str">
        <f>IFERROR(__xludf.DUMMYFUNCTION("""COMPUTED_VALUE"""),"")</f>
        <v/>
      </c>
      <c r="K9401" s="17" t="str">
        <f>IFERROR(__xludf.DUMMYFUNCTION("""COMPUTED_VALUE"""),"")</f>
        <v/>
      </c>
      <c r="L9401" s="17" t="str">
        <f>IFERROR(__xludf.DUMMYFUNCTION("""COMPUTED_VALUE"""),"")</f>
        <v/>
      </c>
      <c r="M9401" s="17" t="str">
        <f>IFERROR(__xludf.DUMMYFUNCTION("""COMPUTED_VALUE"""),"")</f>
        <v/>
      </c>
      <c r="N9401" s="17" t="str">
        <f>IFERROR(__xludf.DUMMYFUNCTION("""COMPUTED_VALUE"""),"")</f>
        <v/>
      </c>
      <c r="O9401" s="17" t="str">
        <f>IFERROR(__xludf.DUMMYFUNCTION("""COMPUTED_VALUE"""),"")</f>
        <v/>
      </c>
      <c r="P9401" s="17" t="str">
        <f>IFERROR(__xludf.DUMMYFUNCTION("""COMPUTED_VALUE"""),"")</f>
        <v/>
      </c>
      <c r="Q9401" s="17" t="str">
        <f>IFERROR(__xludf.DUMMYFUNCTION("""COMPUTED_VALUE"""),"")</f>
        <v/>
      </c>
      <c r="R9401" s="17" t="str">
        <f>IFERROR(__xludf.DUMMYFUNCTION("""COMPUTED_VALUE"""),"")</f>
        <v/>
      </c>
    </row>
    <row r="9402">
      <c r="A9402" s="15">
        <f>IFERROR(__xludf.DUMMYFUNCTION("""COMPUTED_VALUE"""),45266.0)</f>
        <v>45266</v>
      </c>
      <c r="B9402" s="16" t="str">
        <f>IFERROR(__xludf.DUMMYFUNCTION("""COMPUTED_VALUE"""),"JOSE ALFREDO RAMIREZ VERGARA ")</f>
        <v>JOSE ALFREDO RAMIREZ VERGARA </v>
      </c>
      <c r="C9402" s="15" t="str">
        <f>IFERROR(__xludf.DUMMYFUNCTION("""COMPUTED_VALUE"""),"BOGOTÁ")</f>
        <v>BOGOTÁ</v>
      </c>
      <c r="D9402" s="15" t="str">
        <f>IFERROR(__xludf.DUMMYFUNCTION("""COMPUTED_VALUE"""),"CALI")</f>
        <v>CALI</v>
      </c>
      <c r="E9402" s="15" t="str">
        <f>IFERROR(__xludf.DUMMYFUNCTION("""COMPUTED_VALUE"""),"Natalia Carreño")</f>
        <v>Natalia Carreño</v>
      </c>
      <c r="F9402" s="17" t="str">
        <f>IFERROR(__xludf.DUMMYFUNCTION("""COMPUTED_VALUE"""),"Carrera 27 #70-83 / Casa color curuba / Barrio Los Alcázares")</f>
        <v>Carrera 27 #70-83 / Casa color curuba / Barrio Los Alcázares</v>
      </c>
      <c r="G9402" s="15" t="str">
        <f>IFERROR(__xludf.DUMMYFUNCTION("""COMPUTED_VALUE"""),"Natalia Carreño")</f>
        <v>Natalia Carreño</v>
      </c>
      <c r="H9402" s="16">
        <f>IFERROR(__xludf.DUMMYFUNCTION("""COMPUTED_VALUE"""),18062.0)</f>
        <v>18062</v>
      </c>
      <c r="I9402" s="18">
        <f>IFERROR(__xludf.DUMMYFUNCTION("""COMPUTED_VALUE"""),60.0)</f>
        <v>60</v>
      </c>
      <c r="J9402" s="18">
        <f>IFERROR(__xludf.DUMMYFUNCTION("""COMPUTED_VALUE"""),60.0)</f>
        <v>60</v>
      </c>
      <c r="K9402" s="18">
        <f>IFERROR(__xludf.DUMMYFUNCTION("""COMPUTED_VALUE"""),60.0)</f>
        <v>60</v>
      </c>
      <c r="L9402" s="17">
        <f>IFERROR(__xludf.DUMMYFUNCTION("""COMPUTED_VALUE"""),3.11561131E9)</f>
        <v>3115611310</v>
      </c>
      <c r="M9402" s="17"/>
      <c r="N9402" s="17"/>
      <c r="O9402" s="17"/>
      <c r="P9402" s="17" t="b">
        <f>IFERROR(__xludf.DUMMYFUNCTION("""COMPUTED_VALUE"""),FALSE)</f>
        <v>0</v>
      </c>
      <c r="Q9402" s="20" t="str">
        <f>IFERROR(__xludf.DUMMYFUNCTION("""COMPUTED_VALUE"""),"")</f>
        <v/>
      </c>
      <c r="R9402" s="21" t="str">
        <f>IFERROR(__xludf.DUMMYFUNCTION("""COMPUTED_VALUE"""),"https://drive.google.com/file/d/12yL4aDvE8T5OOqtdTyeVYeTD0823dAci/view?usp=drivesdk")</f>
        <v>https://drive.google.com/file/d/12yL4aDvE8T5OOqtdTyeVYeTD0823dAci/view?usp=drivesdk</v>
      </c>
    </row>
    <row r="9403">
      <c r="A9403" s="15">
        <f>IFERROR(__xludf.DUMMYFUNCTION("""COMPUTED_VALUE"""),45266.0)</f>
        <v>45266</v>
      </c>
      <c r="B9403" s="16" t="str">
        <f>IFERROR(__xludf.DUMMYFUNCTION("""COMPUTED_VALUE"""),"JOSE ALFREDO RAMIREZ VERGARA ")</f>
        <v>JOSE ALFREDO RAMIREZ VERGARA </v>
      </c>
      <c r="C9403" s="15" t="str">
        <f>IFERROR(__xludf.DUMMYFUNCTION("""COMPUTED_VALUE"""),"BOGOTÁ")</f>
        <v>BOGOTÁ</v>
      </c>
      <c r="D9403" s="15" t="str">
        <f>IFERROR(__xludf.DUMMYFUNCTION("""COMPUTED_VALUE"""),"ENVIGADO")</f>
        <v>ENVIGADO</v>
      </c>
      <c r="E9403" s="15" t="str">
        <f>IFERROR(__xludf.DUMMYFUNCTION("""COMPUTED_VALUE"""),"kathe")</f>
        <v>kathe</v>
      </c>
      <c r="F9403" s="17" t="str">
        <f>IFERROR(__xludf.DUMMYFUNCTION("""COMPUTED_VALUE"""),"Calle 167 D #8-53 / Edificio íkona apt 1006 torre 2")</f>
        <v>Calle 167 D #8-53 / Edificio íkona apt 1006 torre 2</v>
      </c>
      <c r="G9403" s="15" t="str">
        <f>IFERROR(__xludf.DUMMYFUNCTION("""COMPUTED_VALUE"""),"Juliana Botero")</f>
        <v>Juliana Botero</v>
      </c>
      <c r="H9403" s="16">
        <f>IFERROR(__xludf.DUMMYFUNCTION("""COMPUTED_VALUE"""),17919.0)</f>
        <v>17919</v>
      </c>
      <c r="I9403" s="17"/>
      <c r="J9403" s="17"/>
      <c r="K9403" s="17"/>
      <c r="L9403" s="17">
        <f>IFERROR(__xludf.DUMMYFUNCTION("""COMPUTED_VALUE"""),3.186951151E9)</f>
        <v>3186951151</v>
      </c>
      <c r="M9403" s="17"/>
      <c r="N9403" s="17"/>
      <c r="O9403" s="17"/>
      <c r="P9403" s="17" t="b">
        <f>IFERROR(__xludf.DUMMYFUNCTION("""COMPUTED_VALUE"""),FALSE)</f>
        <v>0</v>
      </c>
      <c r="Q9403" s="20" t="str">
        <f>IFERROR(__xludf.DUMMYFUNCTION("""COMPUTED_VALUE"""),"")</f>
        <v/>
      </c>
      <c r="R9403" s="21" t="str">
        <f>IFERROR(__xludf.DUMMYFUNCTION("""COMPUTED_VALUE"""),"https://drive.google.com/file/d/1eHLPIoBPmTP40pcLTHuovFFRNHUDFYub/view?usp=drivesdk")</f>
        <v>https://drive.google.com/file/d/1eHLPIoBPmTP40pcLTHuovFFRNHUDFYub/view?usp=drivesdk</v>
      </c>
    </row>
    <row r="9404">
      <c r="A9404" s="15">
        <f>IFERROR(__xludf.DUMMYFUNCTION("""COMPUTED_VALUE"""),45266.0)</f>
        <v>45266</v>
      </c>
      <c r="B9404" s="16" t="str">
        <f>IFERROR(__xludf.DUMMYFUNCTION("""COMPUTED_VALUE"""),"JOSE ALFREDO RAMIREZ VERGARA ")</f>
        <v>JOSE ALFREDO RAMIREZ VERGARA </v>
      </c>
      <c r="C9404" s="15" t="str">
        <f>IFERROR(__xludf.DUMMYFUNCTION("""COMPUTED_VALUE"""),"BOGOTÁ")</f>
        <v>BOGOTÁ</v>
      </c>
      <c r="D9404" s="15" t="str">
        <f>IFERROR(__xludf.DUMMYFUNCTION("""COMPUTED_VALUE"""),"ENVIGADO")</f>
        <v>ENVIGADO</v>
      </c>
      <c r="E9404" s="15" t="str">
        <f>IFERROR(__xludf.DUMMYFUNCTION("""COMPUTED_VALUE"""),"RAMBLA")</f>
        <v>RAMBLA</v>
      </c>
      <c r="F9404" s="17" t="str">
        <f>IFERROR(__xludf.DUMMYFUNCTION("""COMPUTED_VALUE"""),"Calle 25B # 70B - 50 / Conjunto Gran reserva de Mallorca, Torre 3, Apto 1207")</f>
        <v>Calle 25B # 70B - 50 / Conjunto Gran reserva de Mallorca, Torre 3, Apto 1207</v>
      </c>
      <c r="G9404" s="15" t="str">
        <f>IFERROR(__xludf.DUMMYFUNCTION("""COMPUTED_VALUE"""),"Andrés Hamón Silva")</f>
        <v>Andrés Hamón Silva</v>
      </c>
      <c r="H9404" s="16">
        <f>IFERROR(__xludf.DUMMYFUNCTION("""COMPUTED_VALUE"""),18039.0)</f>
        <v>18039</v>
      </c>
      <c r="I9404" s="17"/>
      <c r="J9404" s="17"/>
      <c r="K9404" s="17"/>
      <c r="L9404" s="17">
        <f>IFERROR(__xludf.DUMMYFUNCTION("""COMPUTED_VALUE"""),3.014772992E9)</f>
        <v>3014772992</v>
      </c>
      <c r="M9404" s="17"/>
      <c r="N9404" s="17"/>
      <c r="O9404" s="17"/>
      <c r="P9404" s="17" t="b">
        <f>IFERROR(__xludf.DUMMYFUNCTION("""COMPUTED_VALUE"""),FALSE)</f>
        <v>0</v>
      </c>
      <c r="Q9404" s="20" t="str">
        <f>IFERROR(__xludf.DUMMYFUNCTION("""COMPUTED_VALUE"""),"")</f>
        <v/>
      </c>
      <c r="R9404" s="21" t="str">
        <f>IFERROR(__xludf.DUMMYFUNCTION("""COMPUTED_VALUE"""),"https://drive.google.com/file/d/1FnQmgMDagfjViI6ngAT9i0nhhtolctmD/view?usp=drivesdk")</f>
        <v>https://drive.google.com/file/d/1FnQmgMDagfjViI6ngAT9i0nhhtolctmD/view?usp=drivesdk</v>
      </c>
    </row>
    <row r="9405">
      <c r="A9405" s="15">
        <f>IFERROR(__xludf.DUMMYFUNCTION("""COMPUTED_VALUE"""),45266.0)</f>
        <v>45266</v>
      </c>
      <c r="B9405" s="16" t="str">
        <f>IFERROR(__xludf.DUMMYFUNCTION("""COMPUTED_VALUE"""),"JOSE ALFREDO RAMIREZ VERGARA ")</f>
        <v>JOSE ALFREDO RAMIREZ VERGARA </v>
      </c>
      <c r="C9405" s="15" t="str">
        <f>IFERROR(__xludf.DUMMYFUNCTION("""COMPUTED_VALUE"""),"BOGOTÁ")</f>
        <v>BOGOTÁ</v>
      </c>
      <c r="D9405" s="15" t="str">
        <f>IFERROR(__xludf.DUMMYFUNCTION("""COMPUTED_VALUE"""),"ENVIGADO")</f>
        <v>ENVIGADO</v>
      </c>
      <c r="E9405" s="15" t="str">
        <f>IFERROR(__xludf.DUMMYFUNCTION("""COMPUTED_VALUE"""),"RAMBLA")</f>
        <v>RAMBLA</v>
      </c>
      <c r="F9405" s="17" t="str">
        <f>IFERROR(__xludf.DUMMYFUNCTION("""COMPUTED_VALUE"""),"carrera 73 a # 135 -65 casa 8 / urbanizacion Grata Mira -")</f>
        <v>carrera 73 a # 135 -65 casa 8 / urbanizacion Grata Mira -</v>
      </c>
      <c r="G9405" s="15" t="str">
        <f>IFERROR(__xludf.DUMMYFUNCTION("""COMPUTED_VALUE"""),"Margari Gabriela")</f>
        <v>Margari Gabriela</v>
      </c>
      <c r="H9405" s="16">
        <f>IFERROR(__xludf.DUMMYFUNCTION("""COMPUTED_VALUE"""),18041.0)</f>
        <v>18041</v>
      </c>
      <c r="I9405" s="17"/>
      <c r="J9405" s="17"/>
      <c r="K9405" s="17"/>
      <c r="L9405" s="17">
        <f>IFERROR(__xludf.DUMMYFUNCTION("""COMPUTED_VALUE"""),3.165280629E9)</f>
        <v>3165280629</v>
      </c>
      <c r="M9405" s="17"/>
      <c r="N9405" s="17"/>
      <c r="O9405" s="17"/>
      <c r="P9405" s="17" t="b">
        <f>IFERROR(__xludf.DUMMYFUNCTION("""COMPUTED_VALUE"""),FALSE)</f>
        <v>0</v>
      </c>
      <c r="Q9405" s="20" t="str">
        <f>IFERROR(__xludf.DUMMYFUNCTION("""COMPUTED_VALUE"""),"")</f>
        <v/>
      </c>
      <c r="R9405" s="21" t="str">
        <f>IFERROR(__xludf.DUMMYFUNCTION("""COMPUTED_VALUE"""),"https://drive.google.com/file/d/1Ag9OuySCgQzUBeALk8E76ddKHs8mMHtK/view?usp=drivesdk")</f>
        <v>https://drive.google.com/file/d/1Ag9OuySCgQzUBeALk8E76ddKHs8mMHtK/view?usp=drivesdk</v>
      </c>
    </row>
    <row r="9406">
      <c r="A9406" s="15">
        <f>IFERROR(__xludf.DUMMYFUNCTION("""COMPUTED_VALUE"""),45266.0)</f>
        <v>45266</v>
      </c>
      <c r="B9406" s="16" t="str">
        <f>IFERROR(__xludf.DUMMYFUNCTION("""COMPUTED_VALUE"""),"JOSE ALFREDO RAMIREZ VERGARA ")</f>
        <v>JOSE ALFREDO RAMIREZ VERGARA </v>
      </c>
      <c r="C9406" s="15" t="str">
        <f>IFERROR(__xludf.DUMMYFUNCTION("""COMPUTED_VALUE"""),"BOGOTÁ")</f>
        <v>BOGOTÁ</v>
      </c>
      <c r="D9406" s="15" t="str">
        <f>IFERROR(__xludf.DUMMYFUNCTION("""COMPUTED_VALUE"""),"MEDELLÍN")</f>
        <v>MEDELLÍN</v>
      </c>
      <c r="E9406" s="15" t="str">
        <f>IFERROR(__xludf.DUMMYFUNCTION("""COMPUTED_VALUE"""),"AREPAS LA MARY")</f>
        <v>AREPAS LA MARY</v>
      </c>
      <c r="F9406" s="17" t="str">
        <f>IFERROR(__xludf.DUMMYFUNCTION("""COMPUTED_VALUE"""),"AV. ESPERANZA N.46 39 APTO 205 / ED. SCALA XI")</f>
        <v>AV. ESPERANZA N.46 39 APTO 205 / ED. SCALA XI</v>
      </c>
      <c r="G9406" s="15" t="str">
        <f>IFERROR(__xludf.DUMMYFUNCTION("""COMPUTED_VALUE"""),"ANDREA ARIAS")</f>
        <v>ANDREA ARIAS</v>
      </c>
      <c r="H9406" s="16">
        <f>IFERROR(__xludf.DUMMYFUNCTION("""COMPUTED_VALUE"""),18005.0)</f>
        <v>18005</v>
      </c>
      <c r="I9406" s="17"/>
      <c r="J9406" s="17"/>
      <c r="K9406" s="17"/>
      <c r="L9406" s="17">
        <f>IFERROR(__xludf.DUMMYFUNCTION("""COMPUTED_VALUE"""),3.504287479E9)</f>
        <v>3504287479</v>
      </c>
      <c r="M9406" s="17"/>
      <c r="N9406" s="17"/>
      <c r="O9406" s="17"/>
      <c r="P9406" s="17" t="b">
        <f>IFERROR(__xludf.DUMMYFUNCTION("""COMPUTED_VALUE"""),FALSE)</f>
        <v>0</v>
      </c>
      <c r="Q9406" s="20" t="str">
        <f>IFERROR(__xludf.DUMMYFUNCTION("""COMPUTED_VALUE"""),"")</f>
        <v/>
      </c>
      <c r="R9406" s="21" t="str">
        <f>IFERROR(__xludf.DUMMYFUNCTION("""COMPUTED_VALUE"""),"https://drive.google.com/file/d/12NxSHobYoCnXU5ooKVEgYXuZ_Jw0lAFL/view?usp=drivesdk")</f>
        <v>https://drive.google.com/file/d/12NxSHobYoCnXU5ooKVEgYXuZ_Jw0lAFL/view?usp=drivesdk</v>
      </c>
    </row>
    <row r="9407">
      <c r="A9407" s="15">
        <f>IFERROR(__xludf.DUMMYFUNCTION("""COMPUTED_VALUE"""),45266.0)</f>
        <v>45266</v>
      </c>
      <c r="B9407" s="16" t="str">
        <f>IFERROR(__xludf.DUMMYFUNCTION("""COMPUTED_VALUE"""),"JOSE ALFREDO RAMIREZ VERGARA ")</f>
        <v>JOSE ALFREDO RAMIREZ VERGARA </v>
      </c>
      <c r="C9407" s="15" t="str">
        <f>IFERROR(__xludf.DUMMYFUNCTION("""COMPUTED_VALUE"""),"BOGOTÁ")</f>
        <v>BOGOTÁ</v>
      </c>
      <c r="D9407" s="15" t="str">
        <f>IFERROR(__xludf.DUMMYFUNCTION("""COMPUTED_VALUE"""),"MEDELLÍN")</f>
        <v>MEDELLÍN</v>
      </c>
      <c r="E9407" s="15" t="str">
        <f>IFERROR(__xludf.DUMMYFUNCTION("""COMPUTED_VALUE"""),"AREPAS LA MARY")</f>
        <v>AREPAS LA MARY</v>
      </c>
      <c r="F9407" s="17" t="str">
        <f>IFERROR(__xludf.DUMMYFUNCTION("""COMPUTED_VALUE"""),"Calle 181#76-15 / CASA")</f>
        <v>Calle 181#76-15 / CASA</v>
      </c>
      <c r="G9407" s="15" t="str">
        <f>IFERROR(__xludf.DUMMYFUNCTION("""COMPUTED_VALUE"""),"Marysol petter")</f>
        <v>Marysol petter</v>
      </c>
      <c r="H9407" s="16">
        <f>IFERROR(__xludf.DUMMYFUNCTION("""COMPUTED_VALUE"""),18058.0)</f>
        <v>18058</v>
      </c>
      <c r="I9407" s="17"/>
      <c r="J9407" s="17"/>
      <c r="K9407" s="17"/>
      <c r="L9407" s="17">
        <f>IFERROR(__xludf.DUMMYFUNCTION("""COMPUTED_VALUE"""),3.204698073E9)</f>
        <v>3204698073</v>
      </c>
      <c r="M9407" s="17"/>
      <c r="N9407" s="17"/>
      <c r="O9407" s="17"/>
      <c r="P9407" s="17" t="b">
        <f>IFERROR(__xludf.DUMMYFUNCTION("""COMPUTED_VALUE"""),FALSE)</f>
        <v>0</v>
      </c>
      <c r="Q9407" s="20" t="str">
        <f>IFERROR(__xludf.DUMMYFUNCTION("""COMPUTED_VALUE"""),"")</f>
        <v/>
      </c>
      <c r="R9407" s="21" t="str">
        <f>IFERROR(__xludf.DUMMYFUNCTION("""COMPUTED_VALUE"""),"https://drive.google.com/file/d/1co6oGLqNqt1rhKxPFTib6Ht-0ltnuy0N/view?usp=drivesdk")</f>
        <v>https://drive.google.com/file/d/1co6oGLqNqt1rhKxPFTib6Ht-0ltnuy0N/view?usp=drivesdk</v>
      </c>
    </row>
    <row r="9408">
      <c r="A9408" s="15">
        <f>IFERROR(__xludf.DUMMYFUNCTION("""COMPUTED_VALUE"""),45266.0)</f>
        <v>45266</v>
      </c>
      <c r="B9408" s="16" t="str">
        <f>IFERROR(__xludf.DUMMYFUNCTION("""COMPUTED_VALUE"""),"JOSE ALFREDO RAMIREZ VERGARA ")</f>
        <v>JOSE ALFREDO RAMIREZ VERGARA </v>
      </c>
      <c r="C9408" s="15" t="str">
        <f>IFERROR(__xludf.DUMMYFUNCTION("""COMPUTED_VALUE"""),"BOGOTÁ")</f>
        <v>BOGOTÁ</v>
      </c>
      <c r="D9408" s="15" t="str">
        <f>IFERROR(__xludf.DUMMYFUNCTION("""COMPUTED_VALUE"""),"MEDELLÍN")</f>
        <v>MEDELLÍN</v>
      </c>
      <c r="E9408" s="15" t="str">
        <f>IFERROR(__xludf.DUMMYFUNCTION("""COMPUTED_VALUE"""),"Baby Chef")</f>
        <v>Baby Chef</v>
      </c>
      <c r="F9408" s="17" t="str">
        <f>IFERROR(__xludf.DUMMYFUNCTION("""COMPUTED_VALUE"""),"Carrera 69 N 12 70 Torre 2 apto 1909 / . / .")</f>
        <v>Carrera 69 N 12 70 Torre 2 apto 1909 / . / .</v>
      </c>
      <c r="G9408" s="15" t="str">
        <f>IFERROR(__xludf.DUMMYFUNCTION("""COMPUTED_VALUE"""),"Sandra Jysel Enciso")</f>
        <v>Sandra Jysel Enciso</v>
      </c>
      <c r="H9408" s="16">
        <f>IFERROR(__xludf.DUMMYFUNCTION("""COMPUTED_VALUE"""),18019.0)</f>
        <v>18019</v>
      </c>
      <c r="I9408" s="18">
        <f>IFERROR(__xludf.DUMMYFUNCTION("""COMPUTED_VALUE"""),23.0)</f>
        <v>23</v>
      </c>
      <c r="J9408" s="18">
        <f>IFERROR(__xludf.DUMMYFUNCTION("""COMPUTED_VALUE"""),24.0)</f>
        <v>24</v>
      </c>
      <c r="K9408" s="18">
        <f>IFERROR(__xludf.DUMMYFUNCTION("""COMPUTED_VALUE"""),39.0)</f>
        <v>39</v>
      </c>
      <c r="L9408" s="17">
        <f>IFERROR(__xludf.DUMMYFUNCTION("""COMPUTED_VALUE"""),3.003127802E9)</f>
        <v>3003127802</v>
      </c>
      <c r="M9408" s="17"/>
      <c r="N9408" s="17"/>
      <c r="O9408" s="17"/>
      <c r="P9408" s="17" t="b">
        <f>IFERROR(__xludf.DUMMYFUNCTION("""COMPUTED_VALUE"""),FALSE)</f>
        <v>0</v>
      </c>
      <c r="Q9408" s="20" t="str">
        <f>IFERROR(__xludf.DUMMYFUNCTION("""COMPUTED_VALUE"""),"")</f>
        <v/>
      </c>
      <c r="R9408" s="21" t="str">
        <f>IFERROR(__xludf.DUMMYFUNCTION("""COMPUTED_VALUE"""),"https://drive.google.com/file/d/10KGJYRcTTYSMHbPkEFXDYXyNuQ0P5ZWQ/view?usp=drivesdk")</f>
        <v>https://drive.google.com/file/d/10KGJYRcTTYSMHbPkEFXDYXyNuQ0P5ZWQ/view?usp=drivesdk</v>
      </c>
    </row>
    <row r="9409">
      <c r="A9409" s="15">
        <f>IFERROR(__xludf.DUMMYFUNCTION("""COMPUTED_VALUE"""),45266.0)</f>
        <v>45266</v>
      </c>
      <c r="B9409" s="16" t="str">
        <f>IFERROR(__xludf.DUMMYFUNCTION("""COMPUTED_VALUE"""),"JOSE ALFREDO RAMIREZ VERGARA ")</f>
        <v>JOSE ALFREDO RAMIREZ VERGARA </v>
      </c>
      <c r="C9409" s="15" t="str">
        <f>IFERROR(__xludf.DUMMYFUNCTION("""COMPUTED_VALUE"""),"BOGOTÁ")</f>
        <v>BOGOTÁ</v>
      </c>
      <c r="D9409" s="15" t="str">
        <f>IFERROR(__xludf.DUMMYFUNCTION("""COMPUTED_VALUE"""),"MEDELLÍN")</f>
        <v>MEDELLÍN</v>
      </c>
      <c r="E9409" s="15" t="str">
        <f>IFERROR(__xludf.DUMMYFUNCTION("""COMPUTED_VALUE"""),"Baby Chef")</f>
        <v>Baby Chef</v>
      </c>
      <c r="F9409" s="17" t="str">
        <f>IFERROR(__xludf.DUMMYFUNCTION("""COMPUTED_VALUE"""),"Diagonal 89A No. 117-50 Bogota, interior 8 Apartamento 501 / . / .")</f>
        <v>Diagonal 89A No. 117-50 Bogota, interior 8 Apartamento 501 / . / .</v>
      </c>
      <c r="G9409" s="15" t="str">
        <f>IFERROR(__xludf.DUMMYFUNCTION("""COMPUTED_VALUE"""),"Nataly Victoria Garzon Roa")</f>
        <v>Nataly Victoria Garzon Roa</v>
      </c>
      <c r="H9409" s="16">
        <f>IFERROR(__xludf.DUMMYFUNCTION("""COMPUTED_VALUE"""),18018.0)</f>
        <v>18018</v>
      </c>
      <c r="I9409" s="18">
        <f>IFERROR(__xludf.DUMMYFUNCTION("""COMPUTED_VALUE"""),12.0)</f>
        <v>12</v>
      </c>
      <c r="J9409" s="18">
        <f>IFERROR(__xludf.DUMMYFUNCTION("""COMPUTED_VALUE"""),20.0)</f>
        <v>20</v>
      </c>
      <c r="K9409" s="18">
        <f>IFERROR(__xludf.DUMMYFUNCTION("""COMPUTED_VALUE"""),38.0)</f>
        <v>38</v>
      </c>
      <c r="L9409" s="17">
        <f>IFERROR(__xludf.DUMMYFUNCTION("""COMPUTED_VALUE"""),3.152861102E9)</f>
        <v>3152861102</v>
      </c>
      <c r="M9409" s="17"/>
      <c r="N9409" s="17"/>
      <c r="O9409" s="17"/>
      <c r="P9409" s="17" t="b">
        <f>IFERROR(__xludf.DUMMYFUNCTION("""COMPUTED_VALUE"""),FALSE)</f>
        <v>0</v>
      </c>
      <c r="Q9409" s="20" t="str">
        <f>IFERROR(__xludf.DUMMYFUNCTION("""COMPUTED_VALUE"""),"")</f>
        <v/>
      </c>
      <c r="R9409" s="21" t="str">
        <f>IFERROR(__xludf.DUMMYFUNCTION("""COMPUTED_VALUE"""),"https://drive.google.com/file/d/1q_6wCG7I5Rm0YKpMrGilAIx7EgZIs_M9/view?usp=drivesdk")</f>
        <v>https://drive.google.com/file/d/1q_6wCG7I5Rm0YKpMrGilAIx7EgZIs_M9/view?usp=drivesdk</v>
      </c>
    </row>
    <row r="9410">
      <c r="A9410" s="15">
        <f>IFERROR(__xludf.DUMMYFUNCTION("""COMPUTED_VALUE"""),45266.0)</f>
        <v>45266</v>
      </c>
      <c r="B9410" s="16" t="str">
        <f>IFERROR(__xludf.DUMMYFUNCTION("""COMPUTED_VALUE"""),"JOSE ALFREDO RAMIREZ VERGARA ")</f>
        <v>JOSE ALFREDO RAMIREZ VERGARA </v>
      </c>
      <c r="C9410" s="15" t="str">
        <f>IFERROR(__xludf.DUMMYFUNCTION("""COMPUTED_VALUE"""),"BOGOTÁ")</f>
        <v>BOGOTÁ</v>
      </c>
      <c r="D9410" s="15" t="str">
        <f>IFERROR(__xludf.DUMMYFUNCTION("""COMPUTED_VALUE"""),"MEDELLÍN")</f>
        <v>MEDELLÍN</v>
      </c>
      <c r="E9410" s="15" t="str">
        <f>IFERROR(__xludf.DUMMYFUNCTION("""COMPUTED_VALUE"""),"Felicidad Bakery")</f>
        <v>Felicidad Bakery</v>
      </c>
      <c r="F9410" s="17" t="str">
        <f>IFERROR(__xludf.DUMMYFUNCTION("""COMPUTED_VALUE"""),"Calle 92 #15-62 / Edificio centro Chicó Local 103")</f>
        <v>Calle 92 #15-62 / Edificio centro Chicó Local 103</v>
      </c>
      <c r="G9410" s="15" t="str">
        <f>IFERROR(__xludf.DUMMYFUNCTION("""COMPUTED_VALUE"""),"Felicidad Bogota")</f>
        <v>Felicidad Bogota</v>
      </c>
      <c r="H9410" s="16">
        <f>IFERROR(__xludf.DUMMYFUNCTION("""COMPUTED_VALUE"""),17964.0)</f>
        <v>17964</v>
      </c>
      <c r="I9410" s="17"/>
      <c r="J9410" s="17"/>
      <c r="K9410" s="17"/>
      <c r="L9410" s="17">
        <f>IFERROR(__xludf.DUMMYFUNCTION("""COMPUTED_VALUE"""),3.013527163E9)</f>
        <v>3013527163</v>
      </c>
      <c r="M9410" s="17"/>
      <c r="N9410" s="17"/>
      <c r="O9410" s="17"/>
      <c r="P9410" s="17" t="b">
        <f>IFERROR(__xludf.DUMMYFUNCTION("""COMPUTED_VALUE"""),FALSE)</f>
        <v>0</v>
      </c>
      <c r="Q9410" s="20" t="str">
        <f>IFERROR(__xludf.DUMMYFUNCTION("""COMPUTED_VALUE"""),"")</f>
        <v/>
      </c>
      <c r="R9410" s="21" t="str">
        <f>IFERROR(__xludf.DUMMYFUNCTION("""COMPUTED_VALUE"""),"https://drive.google.com/file/d/1B435w1GohsU6gBapXvduVFDTL2U-G4rl/view?usp=drivesdk")</f>
        <v>https://drive.google.com/file/d/1B435w1GohsU6gBapXvduVFDTL2U-G4rl/view?usp=drivesdk</v>
      </c>
    </row>
    <row r="9411">
      <c r="A9411" s="15">
        <f>IFERROR(__xludf.DUMMYFUNCTION("""COMPUTED_VALUE"""),45266.0)</f>
        <v>45266</v>
      </c>
      <c r="B9411" s="16" t="str">
        <f>IFERROR(__xludf.DUMMYFUNCTION("""COMPUTED_VALUE"""),"JOSE ALFREDO RAMIREZ VERGARA ")</f>
        <v>JOSE ALFREDO RAMIREZ VERGARA </v>
      </c>
      <c r="C9411" s="15" t="str">
        <f>IFERROR(__xludf.DUMMYFUNCTION("""COMPUTED_VALUE"""),"BOGOTÁ")</f>
        <v>BOGOTÁ</v>
      </c>
      <c r="D9411" s="15" t="str">
        <f>IFERROR(__xludf.DUMMYFUNCTION("""COMPUTED_VALUE"""),"MEDELLÍN")</f>
        <v>MEDELLÍN</v>
      </c>
      <c r="E9411" s="15" t="str">
        <f>IFERROR(__xludf.DUMMYFUNCTION("""COMPUTED_VALUE"""),"Moloso S.A.S")</f>
        <v>Moloso S.A.S</v>
      </c>
      <c r="F9411" s="17" t="str">
        <f>IFERROR(__xludf.DUMMYFUNCTION("""COMPUTED_VALUE"""),"CR 10B 135A 20 / ED AGAVE  AP 301")</f>
        <v>CR 10B 135A 20 / ED AGAVE  AP 301</v>
      </c>
      <c r="G9411" s="15" t="str">
        <f>IFERROR(__xludf.DUMMYFUNCTION("""COMPUTED_VALUE"""),"ALEJANDRA MARIA QUIÑONES CEDEÑO")</f>
        <v>ALEJANDRA MARIA QUIÑONES CEDEÑO</v>
      </c>
      <c r="H9411" s="16">
        <f>IFERROR(__xludf.DUMMYFUNCTION("""COMPUTED_VALUE"""),18054.0)</f>
        <v>18054</v>
      </c>
      <c r="I9411" s="17"/>
      <c r="J9411" s="17"/>
      <c r="K9411" s="17"/>
      <c r="L9411" s="17"/>
      <c r="M9411" s="17"/>
      <c r="N9411" s="17"/>
      <c r="O9411" s="17"/>
      <c r="P9411" s="17" t="b">
        <f>IFERROR(__xludf.DUMMYFUNCTION("""COMPUTED_VALUE"""),FALSE)</f>
        <v>0</v>
      </c>
      <c r="Q9411" s="20" t="str">
        <f>IFERROR(__xludf.DUMMYFUNCTION("""COMPUTED_VALUE"""),"")</f>
        <v/>
      </c>
      <c r="R9411" s="22" t="str">
        <f>IFERROR(__xludf.DUMMYFUNCTION("""COMPUTED_VALUE"""),"")</f>
        <v/>
      </c>
    </row>
    <row r="9412">
      <c r="A9412" s="15">
        <f>IFERROR(__xludf.DUMMYFUNCTION("""COMPUTED_VALUE"""),45266.0)</f>
        <v>45266</v>
      </c>
      <c r="B9412" s="16" t="str">
        <f>IFERROR(__xludf.DUMMYFUNCTION("""COMPUTED_VALUE"""),"JOSE ALFREDO RAMIREZ VERGARA ")</f>
        <v>JOSE ALFREDO RAMIREZ VERGARA </v>
      </c>
      <c r="C9412" s="15" t="str">
        <f>IFERROR(__xludf.DUMMYFUNCTION("""COMPUTED_VALUE"""),"BOGOTÁ")</f>
        <v>BOGOTÁ</v>
      </c>
      <c r="D9412" s="15" t="str">
        <f>IFERROR(__xludf.DUMMYFUNCTION("""COMPUTED_VALUE"""),"MEDELLÍN")</f>
        <v>MEDELLÍN</v>
      </c>
      <c r="E9412" s="15" t="str">
        <f>IFERROR(__xludf.DUMMYFUNCTION("""COMPUTED_VALUE"""),"Moloso S.A.S")</f>
        <v>Moloso S.A.S</v>
      </c>
      <c r="F9412" s="17" t="str">
        <f>IFERROR(__xludf.DUMMYFUNCTION("""COMPUTED_VALUE"""),"CR 10B 135A 20 / ED AGAVE  AP 301")</f>
        <v>CR 10B 135A 20 / ED AGAVE  AP 301</v>
      </c>
      <c r="G9412" s="15" t="str">
        <f>IFERROR(__xludf.DUMMYFUNCTION("""COMPUTED_VALUE"""),"ALEJANDRA MARIA QUIÑONES CEDEÑO")</f>
        <v>ALEJANDRA MARIA QUIÑONES CEDEÑO</v>
      </c>
      <c r="H9412" s="16">
        <f>IFERROR(__xludf.DUMMYFUNCTION("""COMPUTED_VALUE"""),18056.0)</f>
        <v>18056</v>
      </c>
      <c r="I9412" s="17"/>
      <c r="J9412" s="17"/>
      <c r="K9412" s="17"/>
      <c r="L9412" s="17"/>
      <c r="M9412" s="17"/>
      <c r="N9412" s="17"/>
      <c r="O9412" s="17"/>
      <c r="P9412" s="17" t="b">
        <f>IFERROR(__xludf.DUMMYFUNCTION("""COMPUTED_VALUE"""),FALSE)</f>
        <v>0</v>
      </c>
      <c r="Q9412" s="20" t="str">
        <f>IFERROR(__xludf.DUMMYFUNCTION("""COMPUTED_VALUE"""),"")</f>
        <v/>
      </c>
      <c r="R9412" s="21" t="str">
        <f>IFERROR(__xludf.DUMMYFUNCTION("""COMPUTED_VALUE"""),"https://drive.google.com/file/d/1A1cbDzRURUdVQu3amFxDwIfzID3ErrZI/view?usp=drivesdk")</f>
        <v>https://drive.google.com/file/d/1A1cbDzRURUdVQu3amFxDwIfzID3ErrZI/view?usp=drivesdk</v>
      </c>
    </row>
    <row r="9413">
      <c r="A9413" s="15">
        <f>IFERROR(__xludf.DUMMYFUNCTION("""COMPUTED_VALUE"""),45266.0)</f>
        <v>45266</v>
      </c>
      <c r="B9413" s="16" t="str">
        <f>IFERROR(__xludf.DUMMYFUNCTION("""COMPUTED_VALUE"""),"JOSE ALFREDO RAMIREZ VERGARA ")</f>
        <v>JOSE ALFREDO RAMIREZ VERGARA </v>
      </c>
      <c r="C9413" s="15" t="str">
        <f>IFERROR(__xludf.DUMMYFUNCTION("""COMPUTED_VALUE"""),"BOGOTÁ")</f>
        <v>BOGOTÁ</v>
      </c>
      <c r="D9413" s="15" t="str">
        <f>IFERROR(__xludf.DUMMYFUNCTION("""COMPUTED_VALUE"""),"MEDELLÍN")</f>
        <v>MEDELLÍN</v>
      </c>
      <c r="E9413" s="15" t="str">
        <f>IFERROR(__xludf.DUMMYFUNCTION("""COMPUTED_VALUE"""),"Moloso S.A.S")</f>
        <v>Moloso S.A.S</v>
      </c>
      <c r="F9413" s="17" t="str">
        <f>IFERROR(__xludf.DUMMYFUNCTION("""COMPUTED_VALUE"""),"CR 78AN 58M 88 SUR / BOGOTA ANDALUCIA")</f>
        <v>CR 78AN 58M 88 SUR / BOGOTA ANDALUCIA</v>
      </c>
      <c r="G9413" s="15" t="str">
        <f>IFERROR(__xludf.DUMMYFUNCTION("""COMPUTED_VALUE"""),"VANESSA BELTRAN BUITRAGO")</f>
        <v>VANESSA BELTRAN BUITRAGO</v>
      </c>
      <c r="H9413" s="16">
        <f>IFERROR(__xludf.DUMMYFUNCTION("""COMPUTED_VALUE"""),18053.0)</f>
        <v>18053</v>
      </c>
      <c r="I9413" s="17"/>
      <c r="J9413" s="17"/>
      <c r="K9413" s="17"/>
      <c r="L9413" s="17"/>
      <c r="M9413" s="17"/>
      <c r="N9413" s="17"/>
      <c r="O9413" s="17"/>
      <c r="P9413" s="17" t="b">
        <f>IFERROR(__xludf.DUMMYFUNCTION("""COMPUTED_VALUE"""),FALSE)</f>
        <v>0</v>
      </c>
      <c r="Q9413" s="20" t="str">
        <f>IFERROR(__xludf.DUMMYFUNCTION("""COMPUTED_VALUE"""),"")</f>
        <v/>
      </c>
      <c r="R9413" s="21" t="str">
        <f>IFERROR(__xludf.DUMMYFUNCTION("""COMPUTED_VALUE"""),"https://drive.google.com/file/d/1rdgWXZ4JM8QEx1x_mEbP0aT7E7Kz5fEV/view?usp=drivesdk")</f>
        <v>https://drive.google.com/file/d/1rdgWXZ4JM8QEx1x_mEbP0aT7E7Kz5fEV/view?usp=drivesdk</v>
      </c>
    </row>
    <row r="9414">
      <c r="A9414" s="17" t="str">
        <f>IFERROR(__xludf.DUMMYFUNCTION("""COMPUTED_VALUE"""),"")</f>
        <v/>
      </c>
      <c r="B9414" s="17" t="str">
        <f>IFERROR(__xludf.DUMMYFUNCTION("""COMPUTED_VALUE"""),"")</f>
        <v/>
      </c>
      <c r="C9414" s="17" t="str">
        <f>IFERROR(__xludf.DUMMYFUNCTION("""COMPUTED_VALUE"""),"")</f>
        <v/>
      </c>
      <c r="D9414" s="17" t="str">
        <f>IFERROR(__xludf.DUMMYFUNCTION("""COMPUTED_VALUE"""),"")</f>
        <v/>
      </c>
      <c r="E9414" s="17" t="str">
        <f>IFERROR(__xludf.DUMMYFUNCTION("""COMPUTED_VALUE"""),"")</f>
        <v/>
      </c>
      <c r="F9414" s="17" t="str">
        <f>IFERROR(__xludf.DUMMYFUNCTION("""COMPUTED_VALUE"""),"")</f>
        <v/>
      </c>
      <c r="G9414" s="17" t="str">
        <f>IFERROR(__xludf.DUMMYFUNCTION("""COMPUTED_VALUE"""),"")</f>
        <v/>
      </c>
      <c r="H9414" s="17" t="str">
        <f>IFERROR(__xludf.DUMMYFUNCTION("""COMPUTED_VALUE"""),"")</f>
        <v/>
      </c>
      <c r="I9414" s="17" t="str">
        <f>IFERROR(__xludf.DUMMYFUNCTION("""COMPUTED_VALUE"""),"")</f>
        <v/>
      </c>
      <c r="J9414" s="17" t="str">
        <f>IFERROR(__xludf.DUMMYFUNCTION("""COMPUTED_VALUE"""),"")</f>
        <v/>
      </c>
      <c r="K9414" s="17" t="str">
        <f>IFERROR(__xludf.DUMMYFUNCTION("""COMPUTED_VALUE"""),"")</f>
        <v/>
      </c>
      <c r="L9414" s="17" t="str">
        <f>IFERROR(__xludf.DUMMYFUNCTION("""COMPUTED_VALUE"""),"")</f>
        <v/>
      </c>
      <c r="M9414" s="17" t="str">
        <f>IFERROR(__xludf.DUMMYFUNCTION("""COMPUTED_VALUE"""),"")</f>
        <v/>
      </c>
      <c r="N9414" s="17" t="str">
        <f>IFERROR(__xludf.DUMMYFUNCTION("""COMPUTED_VALUE"""),"")</f>
        <v/>
      </c>
      <c r="O9414" s="17" t="str">
        <f>IFERROR(__xludf.DUMMYFUNCTION("""COMPUTED_VALUE"""),"")</f>
        <v/>
      </c>
      <c r="P9414" s="17" t="str">
        <f>IFERROR(__xludf.DUMMYFUNCTION("""COMPUTED_VALUE"""),"")</f>
        <v/>
      </c>
      <c r="Q9414" s="17" t="str">
        <f>IFERROR(__xludf.DUMMYFUNCTION("""COMPUTED_VALUE"""),"")</f>
        <v/>
      </c>
      <c r="R9414" s="17" t="str">
        <f>IFERROR(__xludf.DUMMYFUNCTION("""COMPUTED_VALUE"""),"")</f>
        <v/>
      </c>
    </row>
    <row r="9415">
      <c r="A9415" s="15">
        <f>IFERROR(__xludf.DUMMYFUNCTION("""COMPUTED_VALUE"""),45266.0)</f>
        <v>45266</v>
      </c>
      <c r="B9415" s="16" t="str">
        <f>IFERROR(__xludf.DUMMYFUNCTION("""COMPUTED_VALUE"""),"Kevin Andrés puerta Jaramillo")</f>
        <v>Kevin Andrés puerta Jaramillo</v>
      </c>
      <c r="C9415" s="15" t="str">
        <f>IFERROR(__xludf.DUMMYFUNCTION("""COMPUTED_VALUE"""),"CALI")</f>
        <v>CALI</v>
      </c>
      <c r="D9415" s="15" t="str">
        <f>IFERROR(__xludf.DUMMYFUNCTION("""COMPUTED_VALUE"""),"MEDELLÍN")</f>
        <v>MEDELLÍN</v>
      </c>
      <c r="E9415" s="15" t="str">
        <f>IFERROR(__xludf.DUMMYFUNCTION("""COMPUTED_VALUE"""),"Moloso S.A.S")</f>
        <v>Moloso S.A.S</v>
      </c>
      <c r="F9415" s="17" t="str">
        <f>IFERROR(__xludf.DUMMYFUNCTION("""COMPUTED_VALUE"""),"AV 3 OESTE 13 94 / ED SOL DEL OESTE AP 702")</f>
        <v>AV 3 OESTE 13 94 / ED SOL DEL OESTE AP 702</v>
      </c>
      <c r="G9415" s="15" t="str">
        <f>IFERROR(__xludf.DUMMYFUNCTION("""COMPUTED_VALUE"""),"LAURA HERNÁNDEZ ALVIAR")</f>
        <v>LAURA HERNÁNDEZ ALVIAR</v>
      </c>
      <c r="H9415" s="16">
        <f>IFERROR(__xludf.DUMMYFUNCTION("""COMPUTED_VALUE"""),18057.0)</f>
        <v>18057</v>
      </c>
      <c r="I9415" s="17"/>
      <c r="J9415" s="17"/>
      <c r="K9415" s="17"/>
      <c r="L9415" s="17"/>
      <c r="M9415" s="17"/>
      <c r="N9415" s="17"/>
      <c r="O9415" s="17"/>
      <c r="P9415" s="17" t="b">
        <f>IFERROR(__xludf.DUMMYFUNCTION("""COMPUTED_VALUE"""),FALSE)</f>
        <v>0</v>
      </c>
      <c r="Q9415" s="20" t="str">
        <f>IFERROR(__xludf.DUMMYFUNCTION("""COMPUTED_VALUE"""),"")</f>
        <v/>
      </c>
      <c r="R9415" s="21" t="str">
        <f>IFERROR(__xludf.DUMMYFUNCTION("""COMPUTED_VALUE"""),"https://drive.google.com/file/d/1xibXSUjjjzLCsJL-SMPNZueLgGMeTUIy/view?usp=drivesdk")</f>
        <v>https://drive.google.com/file/d/1xibXSUjjjzLCsJL-SMPNZueLgGMeTUIy/view?usp=drivesdk</v>
      </c>
    </row>
    <row r="9416">
      <c r="A9416" s="15">
        <f>IFERROR(__xludf.DUMMYFUNCTION("""COMPUTED_VALUE"""),45266.0)</f>
        <v>45266</v>
      </c>
      <c r="B9416" s="16" t="str">
        <f>IFERROR(__xludf.DUMMYFUNCTION("""COMPUTED_VALUE"""),"Kevin Andrés puerta Jaramillo")</f>
        <v>Kevin Andrés puerta Jaramillo</v>
      </c>
      <c r="C9416" s="15" t="str">
        <f>IFERROR(__xludf.DUMMYFUNCTION("""COMPUTED_VALUE"""),"CALI")</f>
        <v>CALI</v>
      </c>
      <c r="D9416" s="15" t="str">
        <f>IFERROR(__xludf.DUMMYFUNCTION("""COMPUTED_VALUE"""),"MEDELLÍN")</f>
        <v>MEDELLÍN</v>
      </c>
      <c r="E9416" s="15" t="str">
        <f>IFERROR(__xludf.DUMMYFUNCTION("""COMPUTED_VALUE"""),"Todo Bufala")</f>
        <v>Todo Bufala</v>
      </c>
      <c r="F9416" s="17" t="str">
        <f>IFERROR(__xludf.DUMMYFUNCTION("""COMPUTED_VALUE"""),"Cle 51 Norte #4BN-72 / Cle 51 Norte #4BN-72")</f>
        <v>Cle 51 Norte #4BN-72 / Cle 51 Norte #4BN-72</v>
      </c>
      <c r="G9416" s="15" t="str">
        <f>IFERROR(__xludf.DUMMYFUNCTION("""COMPUTED_VALUE"""),"Jaiver Rodriguez")</f>
        <v>Jaiver Rodriguez</v>
      </c>
      <c r="H9416" s="16">
        <f>IFERROR(__xludf.DUMMYFUNCTION("""COMPUTED_VALUE"""),17933.0)</f>
        <v>17933</v>
      </c>
      <c r="I9416" s="17"/>
      <c r="J9416" s="17"/>
      <c r="K9416" s="17"/>
      <c r="L9416" s="17"/>
      <c r="M9416" s="17"/>
      <c r="N9416" s="17"/>
      <c r="O9416" s="17"/>
      <c r="P9416" s="17" t="b">
        <f>IFERROR(__xludf.DUMMYFUNCTION("""COMPUTED_VALUE"""),FALSE)</f>
        <v>0</v>
      </c>
      <c r="Q9416" s="20" t="str">
        <f>IFERROR(__xludf.DUMMYFUNCTION("""COMPUTED_VALUE"""),"")</f>
        <v/>
      </c>
      <c r="R9416" s="21" t="str">
        <f>IFERROR(__xludf.DUMMYFUNCTION("""COMPUTED_VALUE"""),"https://drive.google.com/file/d/1nGIFgw0tmJtpt6gdnZve9AsFYnUEUTlF/view?usp=drivesdk")</f>
        <v>https://drive.google.com/file/d/1nGIFgw0tmJtpt6gdnZve9AsFYnUEUTlF/view?usp=drivesdk</v>
      </c>
    </row>
    <row r="9417">
      <c r="A9417" s="17" t="str">
        <f>IFERROR(__xludf.DUMMYFUNCTION("""COMPUTED_VALUE"""),"")</f>
        <v/>
      </c>
      <c r="B9417" s="17" t="str">
        <f>IFERROR(__xludf.DUMMYFUNCTION("""COMPUTED_VALUE"""),"")</f>
        <v/>
      </c>
      <c r="C9417" s="17" t="str">
        <f>IFERROR(__xludf.DUMMYFUNCTION("""COMPUTED_VALUE"""),"")</f>
        <v/>
      </c>
      <c r="D9417" s="17" t="str">
        <f>IFERROR(__xludf.DUMMYFUNCTION("""COMPUTED_VALUE"""),"")</f>
        <v/>
      </c>
      <c r="E9417" s="17" t="str">
        <f>IFERROR(__xludf.DUMMYFUNCTION("""COMPUTED_VALUE"""),"")</f>
        <v/>
      </c>
      <c r="F9417" s="17" t="str">
        <f>IFERROR(__xludf.DUMMYFUNCTION("""COMPUTED_VALUE"""),"")</f>
        <v/>
      </c>
      <c r="G9417" s="17" t="str">
        <f>IFERROR(__xludf.DUMMYFUNCTION("""COMPUTED_VALUE"""),"")</f>
        <v/>
      </c>
      <c r="H9417" s="17" t="str">
        <f>IFERROR(__xludf.DUMMYFUNCTION("""COMPUTED_VALUE"""),"")</f>
        <v/>
      </c>
      <c r="I9417" s="17" t="str">
        <f>IFERROR(__xludf.DUMMYFUNCTION("""COMPUTED_VALUE"""),"")</f>
        <v/>
      </c>
      <c r="J9417" s="17" t="str">
        <f>IFERROR(__xludf.DUMMYFUNCTION("""COMPUTED_VALUE"""),"")</f>
        <v/>
      </c>
      <c r="K9417" s="17" t="str">
        <f>IFERROR(__xludf.DUMMYFUNCTION("""COMPUTED_VALUE"""),"")</f>
        <v/>
      </c>
      <c r="L9417" s="17" t="str">
        <f>IFERROR(__xludf.DUMMYFUNCTION("""COMPUTED_VALUE"""),"")</f>
        <v/>
      </c>
      <c r="M9417" s="17" t="str">
        <f>IFERROR(__xludf.DUMMYFUNCTION("""COMPUTED_VALUE"""),"")</f>
        <v/>
      </c>
      <c r="N9417" s="17" t="str">
        <f>IFERROR(__xludf.DUMMYFUNCTION("""COMPUTED_VALUE"""),"")</f>
        <v/>
      </c>
      <c r="O9417" s="17" t="str">
        <f>IFERROR(__xludf.DUMMYFUNCTION("""COMPUTED_VALUE"""),"")</f>
        <v/>
      </c>
      <c r="P9417" s="17" t="str">
        <f>IFERROR(__xludf.DUMMYFUNCTION("""COMPUTED_VALUE"""),"")</f>
        <v/>
      </c>
      <c r="Q9417" s="17" t="str">
        <f>IFERROR(__xludf.DUMMYFUNCTION("""COMPUTED_VALUE"""),"")</f>
        <v/>
      </c>
      <c r="R9417" s="17" t="str">
        <f>IFERROR(__xludf.DUMMYFUNCTION("""COMPUTED_VALUE"""),"")</f>
        <v/>
      </c>
    </row>
    <row r="9418">
      <c r="A9418" s="15">
        <f>IFERROR(__xludf.DUMMYFUNCTION("""COMPUTED_VALUE"""),45267.0)</f>
        <v>45267</v>
      </c>
      <c r="B9418" s="17"/>
      <c r="C9418" s="15" t="str">
        <f>IFERROR(__xludf.DUMMYFUNCTION("""COMPUTED_VALUE"""),"CARTAGENA")</f>
        <v>CARTAGENA</v>
      </c>
      <c r="D9418" s="15" t="str">
        <f>IFERROR(__xludf.DUMMYFUNCTION("""COMPUTED_VALUE"""),"BOGOTÁ")</f>
        <v>BOGOTÁ</v>
      </c>
      <c r="E9418" s="15" t="str">
        <f>IFERROR(__xludf.DUMMYFUNCTION("""COMPUTED_VALUE"""),"MAI ALIMENTOS REALES")</f>
        <v>MAI ALIMENTOS REALES</v>
      </c>
      <c r="F9418" s="17" t="str">
        <f>IFERROR(__xludf.DUMMYFUNCTION("""COMPUTED_VALUE"""),"Carrera 3 A # 31 - 23 / Plaza Santa teresa / Restaurante Harry Sasson")</f>
        <v>Carrera 3 A # 31 - 23 / Plaza Santa teresa / Restaurante Harry Sasson</v>
      </c>
      <c r="G9418" s="15" t="str">
        <f>IFERROR(__xludf.DUMMYFUNCTION("""COMPUTED_VALUE"""),"Hoteles Charleston SAS")</f>
        <v>Hoteles Charleston SAS</v>
      </c>
      <c r="H9418" s="16">
        <f>IFERROR(__xludf.DUMMYFUNCTION("""COMPUTED_VALUE"""),17883.0)</f>
        <v>17883</v>
      </c>
      <c r="I9418" s="17"/>
      <c r="J9418" s="17"/>
      <c r="K9418" s="17"/>
      <c r="L9418" s="17">
        <f>IFERROR(__xludf.DUMMYFUNCTION("""COMPUTED_VALUE"""),3.174374246E9)</f>
        <v>3174374246</v>
      </c>
      <c r="M9418" s="17"/>
      <c r="N9418" s="17"/>
      <c r="O9418" s="17"/>
      <c r="P9418" s="17" t="b">
        <f>IFERROR(__xludf.DUMMYFUNCTION("""COMPUTED_VALUE"""),FALSE)</f>
        <v>0</v>
      </c>
      <c r="Q9418" s="20" t="str">
        <f>IFERROR(__xludf.DUMMYFUNCTION("""COMPUTED_VALUE"""),"")</f>
        <v/>
      </c>
      <c r="R9418" s="21" t="str">
        <f>IFERROR(__xludf.DUMMYFUNCTION("""COMPUTED_VALUE"""),"https://drive.google.com/file/d/1A17zzrGL4iU4-pi87Q8_0WC2PUmiocmA/view?usp=drivesdk")</f>
        <v>https://drive.google.com/file/d/1A17zzrGL4iU4-pi87Q8_0WC2PUmiocmA/view?usp=drivesdk</v>
      </c>
    </row>
    <row r="9419">
      <c r="A9419" s="15">
        <f>IFERROR(__xludf.DUMMYFUNCTION("""COMPUTED_VALUE"""),45267.0)</f>
        <v>45267</v>
      </c>
      <c r="B9419" s="17"/>
      <c r="C9419" s="15" t="str">
        <f>IFERROR(__xludf.DUMMYFUNCTION("""COMPUTED_VALUE"""),"MEDELLÍN")</f>
        <v>MEDELLÍN</v>
      </c>
      <c r="D9419" s="15" t="str">
        <f>IFERROR(__xludf.DUMMYFUNCTION("""COMPUTED_VALUE"""),"BOGOTÁ")</f>
        <v>BOGOTÁ</v>
      </c>
      <c r="E9419" s="15" t="str">
        <f>IFERROR(__xludf.DUMMYFUNCTION("""COMPUTED_VALUE"""),"INVERSIONES MOCHI")</f>
        <v>INVERSIONES MOCHI</v>
      </c>
      <c r="F9419" s="17" t="str">
        <f>IFERROR(__xludf.DUMMYFUNCTION("""COMPUTED_VALUE"""),"CRA 48 #32B SUR-139 ZONA 1 / CENTRO COMERCIAL VIVA ENVIGADO")</f>
        <v>CRA 48 #32B SUR-139 ZONA 1 / CENTRO COMERCIAL VIVA ENVIGADO</v>
      </c>
      <c r="G9419" s="15" t="str">
        <f>IFERROR(__xludf.DUMMYFUNCTION("""COMPUTED_VALUE"""),"CENTRO COMERCIAL VIVA ENVIGADO")</f>
        <v>CENTRO COMERCIAL VIVA ENVIGADO</v>
      </c>
      <c r="H9419" s="16">
        <f>IFERROR(__xludf.DUMMYFUNCTION("""COMPUTED_VALUE"""),18091.0)</f>
        <v>18091</v>
      </c>
      <c r="I9419" s="17"/>
      <c r="J9419" s="17"/>
      <c r="K9419" s="17"/>
      <c r="L9419" s="17">
        <f>IFERROR(__xludf.DUMMYFUNCTION("""COMPUTED_VALUE"""),3.142587995E9)</f>
        <v>3142587995</v>
      </c>
      <c r="M9419" s="17"/>
      <c r="N9419" s="17"/>
      <c r="O9419" s="17"/>
      <c r="P9419" s="17" t="b">
        <f>IFERROR(__xludf.DUMMYFUNCTION("""COMPUTED_VALUE"""),FALSE)</f>
        <v>0</v>
      </c>
      <c r="Q9419" s="20" t="str">
        <f>IFERROR(__xludf.DUMMYFUNCTION("""COMPUTED_VALUE"""),"")</f>
        <v/>
      </c>
      <c r="R9419" s="21" t="str">
        <f>IFERROR(__xludf.DUMMYFUNCTION("""COMPUTED_VALUE"""),"https://drive.google.com/file/d/1woMnpx7m9CKfefqMvmGIah2Rm83M556B/view?usp=drivesdk")</f>
        <v>https://drive.google.com/file/d/1woMnpx7m9CKfefqMvmGIah2Rm83M556B/view?usp=drivesdk</v>
      </c>
    </row>
    <row r="9420">
      <c r="A9420" s="17" t="str">
        <f>IFERROR(__xludf.DUMMYFUNCTION("""COMPUTED_VALUE"""),"")</f>
        <v/>
      </c>
      <c r="B9420" s="17" t="str">
        <f>IFERROR(__xludf.DUMMYFUNCTION("""COMPUTED_VALUE"""),"")</f>
        <v/>
      </c>
      <c r="C9420" s="17" t="str">
        <f>IFERROR(__xludf.DUMMYFUNCTION("""COMPUTED_VALUE"""),"")</f>
        <v/>
      </c>
      <c r="D9420" s="17" t="str">
        <f>IFERROR(__xludf.DUMMYFUNCTION("""COMPUTED_VALUE"""),"")</f>
        <v/>
      </c>
      <c r="E9420" s="17" t="str">
        <f>IFERROR(__xludf.DUMMYFUNCTION("""COMPUTED_VALUE"""),"")</f>
        <v/>
      </c>
      <c r="F9420" s="17" t="str">
        <f>IFERROR(__xludf.DUMMYFUNCTION("""COMPUTED_VALUE"""),"")</f>
        <v/>
      </c>
      <c r="G9420" s="17" t="str">
        <f>IFERROR(__xludf.DUMMYFUNCTION("""COMPUTED_VALUE"""),"")</f>
        <v/>
      </c>
      <c r="H9420" s="17" t="str">
        <f>IFERROR(__xludf.DUMMYFUNCTION("""COMPUTED_VALUE"""),"")</f>
        <v/>
      </c>
      <c r="I9420" s="17" t="str">
        <f>IFERROR(__xludf.DUMMYFUNCTION("""COMPUTED_VALUE"""),"")</f>
        <v/>
      </c>
      <c r="J9420" s="17" t="str">
        <f>IFERROR(__xludf.DUMMYFUNCTION("""COMPUTED_VALUE"""),"")</f>
        <v/>
      </c>
      <c r="K9420" s="17" t="str">
        <f>IFERROR(__xludf.DUMMYFUNCTION("""COMPUTED_VALUE"""),"")</f>
        <v/>
      </c>
      <c r="L9420" s="17" t="str">
        <f>IFERROR(__xludf.DUMMYFUNCTION("""COMPUTED_VALUE"""),"")</f>
        <v/>
      </c>
      <c r="M9420" s="17" t="str">
        <f>IFERROR(__xludf.DUMMYFUNCTION("""COMPUTED_VALUE"""),"")</f>
        <v/>
      </c>
      <c r="N9420" s="17" t="str">
        <f>IFERROR(__xludf.DUMMYFUNCTION("""COMPUTED_VALUE"""),"")</f>
        <v/>
      </c>
      <c r="O9420" s="17" t="str">
        <f>IFERROR(__xludf.DUMMYFUNCTION("""COMPUTED_VALUE"""),"")</f>
        <v/>
      </c>
      <c r="P9420" s="17" t="str">
        <f>IFERROR(__xludf.DUMMYFUNCTION("""COMPUTED_VALUE"""),"")</f>
        <v/>
      </c>
      <c r="Q9420" s="17" t="str">
        <f>IFERROR(__xludf.DUMMYFUNCTION("""COMPUTED_VALUE"""),"")</f>
        <v/>
      </c>
      <c r="R9420" s="17" t="str">
        <f>IFERROR(__xludf.DUMMYFUNCTION("""COMPUTED_VALUE"""),"")</f>
        <v/>
      </c>
    </row>
    <row r="9421">
      <c r="A9421" s="15">
        <f>IFERROR(__xludf.DUMMYFUNCTION("""COMPUTED_VALUE"""),45267.0)</f>
        <v>45267</v>
      </c>
      <c r="B9421" s="16" t="str">
        <f>IFERROR(__xludf.DUMMYFUNCTION("""COMPUTED_VALUE"""),"Daniel José sandoval gonzalez")</f>
        <v>Daniel José sandoval gonzalez</v>
      </c>
      <c r="C9421" s="15" t="str">
        <f>IFERROR(__xludf.DUMMYFUNCTION("""COMPUTED_VALUE"""),"BARRANQUILLA")</f>
        <v>BARRANQUILLA</v>
      </c>
      <c r="D9421" s="15" t="str">
        <f>IFERROR(__xludf.DUMMYFUNCTION("""COMPUTED_VALUE"""),"BOGOTÁ")</f>
        <v>BOGOTÁ</v>
      </c>
      <c r="E9421" s="15" t="str">
        <f>IFERROR(__xludf.DUMMYFUNCTION("""COMPUTED_VALUE"""),"Asociacion Agropecuaria Juana Maria")</f>
        <v>Asociacion Agropecuaria Juana Maria</v>
      </c>
      <c r="F9421" s="17" t="str">
        <f>IFERROR(__xludf.DUMMYFUNCTION("""COMPUTED_VALUE"""),"Calle 1a #24-86 apto 1205. / BARRANQUILLA")</f>
        <v>Calle 1a #24-86 apto 1205. / BARRANQUILLA</v>
      </c>
      <c r="G9421" s="15" t="str">
        <f>IFERROR(__xludf.DUMMYFUNCTION("""COMPUTED_VALUE"""),"JUAN CAMILO RODRIGUEZ")</f>
        <v>JUAN CAMILO RODRIGUEZ</v>
      </c>
      <c r="H9421" s="16">
        <f>IFERROR(__xludf.DUMMYFUNCTION("""COMPUTED_VALUE"""),17926.0)</f>
        <v>17926</v>
      </c>
      <c r="I9421" s="17"/>
      <c r="J9421" s="17"/>
      <c r="K9421" s="17"/>
      <c r="L9421" s="17">
        <f>IFERROR(__xludf.DUMMYFUNCTION("""COMPUTED_VALUE"""),3.209074493E9)</f>
        <v>3209074493</v>
      </c>
      <c r="M9421" s="17"/>
      <c r="N9421" s="17"/>
      <c r="O9421" s="17"/>
      <c r="P9421" s="17" t="b">
        <f>IFERROR(__xludf.DUMMYFUNCTION("""COMPUTED_VALUE"""),FALSE)</f>
        <v>0</v>
      </c>
      <c r="Q9421" s="20" t="str">
        <f>IFERROR(__xludf.DUMMYFUNCTION("""COMPUTED_VALUE"""),"")</f>
        <v/>
      </c>
      <c r="R9421" s="21" t="str">
        <f>IFERROR(__xludf.DUMMYFUNCTION("""COMPUTED_VALUE"""),"https://drive.google.com/file/d/18zBcCyEYYm4PinCncDngAZYeHtf9_rN-/view?usp=drivesdk")</f>
        <v>https://drive.google.com/file/d/18zBcCyEYYm4PinCncDngAZYeHtf9_rN-/view?usp=drivesdk</v>
      </c>
    </row>
    <row r="9422">
      <c r="A9422" s="15">
        <f>IFERROR(__xludf.DUMMYFUNCTION("""COMPUTED_VALUE"""),45267.0)</f>
        <v>45267</v>
      </c>
      <c r="B9422" s="16" t="str">
        <f>IFERROR(__xludf.DUMMYFUNCTION("""COMPUTED_VALUE"""),"Daniel José sandoval gonzalez")</f>
        <v>Daniel José sandoval gonzalez</v>
      </c>
      <c r="C9422" s="15" t="str">
        <f>IFERROR(__xludf.DUMMYFUNCTION("""COMPUTED_VALUE"""),"BARRANQUILLA")</f>
        <v>BARRANQUILLA</v>
      </c>
      <c r="D9422" s="15" t="str">
        <f>IFERROR(__xludf.DUMMYFUNCTION("""COMPUTED_VALUE"""),"BOGOTÁ")</f>
        <v>BOGOTÁ</v>
      </c>
      <c r="E9422" s="15" t="str">
        <f>IFERROR(__xludf.DUMMYFUNCTION("""COMPUTED_VALUE"""),"PAN DE WAFFLE")</f>
        <v>PAN DE WAFFLE</v>
      </c>
      <c r="F9422" s="17" t="str">
        <f>IFERROR(__xludf.DUMMYFUNCTION("""COMPUTED_VALUE"""),"Calle 80 # 65 - 07 / Calle 80 # 65 - 07")</f>
        <v>Calle 80 # 65 - 07 / Calle 80 # 65 - 07</v>
      </c>
      <c r="G9422" s="15" t="str">
        <f>IFERROR(__xludf.DUMMYFUNCTION("""COMPUTED_VALUE"""),"RAPPI TURBO VILLA ANDA LUCIA BAQ")</f>
        <v>RAPPI TURBO VILLA ANDA LUCIA BAQ</v>
      </c>
      <c r="H9422" s="16">
        <f>IFERROR(__xludf.DUMMYFUNCTION("""COMPUTED_VALUE"""),18033.0)</f>
        <v>18033</v>
      </c>
      <c r="I9422" s="17"/>
      <c r="J9422" s="17"/>
      <c r="K9422" s="17"/>
      <c r="L9422" s="17">
        <f>IFERROR(__xludf.DUMMYFUNCTION("""COMPUTED_VALUE"""),3.017032143E9)</f>
        <v>3017032143</v>
      </c>
      <c r="M9422" s="17"/>
      <c r="N9422" s="17"/>
      <c r="O9422" s="17"/>
      <c r="P9422" s="17" t="b">
        <f>IFERROR(__xludf.DUMMYFUNCTION("""COMPUTED_VALUE"""),FALSE)</f>
        <v>0</v>
      </c>
      <c r="Q9422" s="20" t="str">
        <f>IFERROR(__xludf.DUMMYFUNCTION("""COMPUTED_VALUE"""),"")</f>
        <v/>
      </c>
      <c r="R9422" s="21" t="str">
        <f>IFERROR(__xludf.DUMMYFUNCTION("""COMPUTED_VALUE"""),"https://drive.google.com/file/d/1Qf0g8AwFr4L4Ujg0MCIzyEOZjbhnbrrM/view?usp=drivesdk")</f>
        <v>https://drive.google.com/file/d/1Qf0g8AwFr4L4Ujg0MCIzyEOZjbhnbrrM/view?usp=drivesdk</v>
      </c>
    </row>
    <row r="9423">
      <c r="A9423" s="15">
        <f>IFERROR(__xludf.DUMMYFUNCTION("""COMPUTED_VALUE"""),45267.0)</f>
        <v>45267</v>
      </c>
      <c r="B9423" s="16" t="str">
        <f>IFERROR(__xludf.DUMMYFUNCTION("""COMPUTED_VALUE"""),"Daniel José sandoval gonzalez")</f>
        <v>Daniel José sandoval gonzalez</v>
      </c>
      <c r="C9423" s="15" t="str">
        <f>IFERROR(__xludf.DUMMYFUNCTION("""COMPUTED_VALUE"""),"BARRANQUILLA")</f>
        <v>BARRANQUILLA</v>
      </c>
      <c r="D9423" s="15" t="str">
        <f>IFERROR(__xludf.DUMMYFUNCTION("""COMPUTED_VALUE"""),"BOGOTÁ")</f>
        <v>BOGOTÁ</v>
      </c>
      <c r="E9423" s="15" t="str">
        <f>IFERROR(__xludf.DUMMYFUNCTION("""COMPUTED_VALUE"""),"Premium Choice")</f>
        <v>Premium Choice</v>
      </c>
      <c r="F9423" s="17" t="str">
        <f>IFERROR(__xludf.DUMMYFUNCTION("""COMPUTED_VALUE"""),"Calle 1a # 25 - 40  / Hotel Marriot  / Barranquilla marriot")</f>
        <v>Calle 1a # 25 - 40  / Hotel Marriot  / Barranquilla marriot</v>
      </c>
      <c r="G9423" s="15" t="str">
        <f>IFERROR(__xludf.DUMMYFUNCTION("""COMPUTED_VALUE"""),"Luxury hotels international management")</f>
        <v>Luxury hotels international management</v>
      </c>
      <c r="H9423" s="16">
        <f>IFERROR(__xludf.DUMMYFUNCTION("""COMPUTED_VALUE"""),18067.0)</f>
        <v>18067</v>
      </c>
      <c r="I9423" s="18">
        <f>IFERROR(__xludf.DUMMYFUNCTION("""COMPUTED_VALUE"""),10.0)</f>
        <v>10</v>
      </c>
      <c r="J9423" s="18">
        <f>IFERROR(__xludf.DUMMYFUNCTION("""COMPUTED_VALUE"""),22.0)</f>
        <v>22</v>
      </c>
      <c r="K9423" s="18">
        <f>IFERROR(__xludf.DUMMYFUNCTION("""COMPUTED_VALUE"""),35.0)</f>
        <v>35</v>
      </c>
      <c r="L9423" s="17">
        <f>IFERROR(__xludf.DUMMYFUNCTION("""COMPUTED_VALUE"""),3.102170998E9)</f>
        <v>3102170998</v>
      </c>
      <c r="M9423" s="17"/>
      <c r="N9423" s="17"/>
      <c r="O9423" s="17"/>
      <c r="P9423" s="17" t="b">
        <f>IFERROR(__xludf.DUMMYFUNCTION("""COMPUTED_VALUE"""),FALSE)</f>
        <v>0</v>
      </c>
      <c r="Q9423" s="20" t="str">
        <f>IFERROR(__xludf.DUMMYFUNCTION("""COMPUTED_VALUE"""),"")</f>
        <v/>
      </c>
      <c r="R9423" s="21" t="str">
        <f>IFERROR(__xludf.DUMMYFUNCTION("""COMPUTED_VALUE"""),"https://drive.google.com/file/d/1yeS9T2WNdfvaQtrWi9vPTdIfjVCDBATR/view?usp=drivesdk")</f>
        <v>https://drive.google.com/file/d/1yeS9T2WNdfvaQtrWi9vPTdIfjVCDBATR/view?usp=drivesdk</v>
      </c>
    </row>
    <row r="9424">
      <c r="A9424" s="15">
        <f>IFERROR(__xludf.DUMMYFUNCTION("""COMPUTED_VALUE"""),45267.0)</f>
        <v>45267</v>
      </c>
      <c r="B9424" s="16" t="str">
        <f>IFERROR(__xludf.DUMMYFUNCTION("""COMPUTED_VALUE"""),"Daniel José sandoval gonzalez")</f>
        <v>Daniel José sandoval gonzalez</v>
      </c>
      <c r="C9424" s="15" t="str">
        <f>IFERROR(__xludf.DUMMYFUNCTION("""COMPUTED_VALUE"""),"BARRANQUILLA")</f>
        <v>BARRANQUILLA</v>
      </c>
      <c r="D9424" s="15" t="str">
        <f>IFERROR(__xludf.DUMMYFUNCTION("""COMPUTED_VALUE"""),"BOGOTÁ")</f>
        <v>BOGOTÁ</v>
      </c>
      <c r="E9424" s="15" t="str">
        <f>IFERROR(__xludf.DUMMYFUNCTION("""COMPUTED_VALUE"""),"Premium Choice")</f>
        <v>Premium Choice</v>
      </c>
      <c r="F9424" s="17" t="str">
        <f>IFERROR(__xludf.DUMMYFUNCTION("""COMPUTED_VALUE"""),"Cr 51b # 87 - 50  / Zona azul  / Barranquilla")</f>
        <v>Cr 51b # 87 - 50  / Zona azul  / Barranquilla</v>
      </c>
      <c r="G9424" s="15" t="str">
        <f>IFERROR(__xludf.DUMMYFUNCTION("""COMPUTED_VALUE"""),"Inversiones zona azul Barranquilla")</f>
        <v>Inversiones zona azul Barranquilla</v>
      </c>
      <c r="H9424" s="16">
        <f>IFERROR(__xludf.DUMMYFUNCTION("""COMPUTED_VALUE"""),18064.0)</f>
        <v>18064</v>
      </c>
      <c r="I9424" s="18">
        <f>IFERROR(__xludf.DUMMYFUNCTION("""COMPUTED_VALUE"""),17.0)</f>
        <v>17</v>
      </c>
      <c r="J9424" s="18">
        <f>IFERROR(__xludf.DUMMYFUNCTION("""COMPUTED_VALUE"""),20.0)</f>
        <v>20</v>
      </c>
      <c r="K9424" s="18">
        <f>IFERROR(__xludf.DUMMYFUNCTION("""COMPUTED_VALUE"""),30.0)</f>
        <v>30</v>
      </c>
      <c r="L9424" s="17">
        <f>IFERROR(__xludf.DUMMYFUNCTION("""COMPUTED_VALUE"""),3.102170999E9)</f>
        <v>3102170999</v>
      </c>
      <c r="M9424" s="17"/>
      <c r="N9424" s="17"/>
      <c r="O9424" s="17"/>
      <c r="P9424" s="17" t="b">
        <f>IFERROR(__xludf.DUMMYFUNCTION("""COMPUTED_VALUE"""),FALSE)</f>
        <v>0</v>
      </c>
      <c r="Q9424" s="20" t="str">
        <f>IFERROR(__xludf.DUMMYFUNCTION("""COMPUTED_VALUE"""),"")</f>
        <v/>
      </c>
      <c r="R9424" s="21" t="str">
        <f>IFERROR(__xludf.DUMMYFUNCTION("""COMPUTED_VALUE"""),"https://drive.google.com/file/d/1-niH3ftRtChgUBOP6RBi0hwLAjiyTDk3/view?usp=drivesdk")</f>
        <v>https://drive.google.com/file/d/1-niH3ftRtChgUBOP6RBi0hwLAjiyTDk3/view?usp=drivesdk</v>
      </c>
    </row>
    <row r="9425">
      <c r="A9425" s="15">
        <f>IFERROR(__xludf.DUMMYFUNCTION("""COMPUTED_VALUE"""),45267.0)</f>
        <v>45267</v>
      </c>
      <c r="B9425" s="16" t="str">
        <f>IFERROR(__xludf.DUMMYFUNCTION("""COMPUTED_VALUE"""),"Daniel José sandoval gonzalez")</f>
        <v>Daniel José sandoval gonzalez</v>
      </c>
      <c r="C9425" s="15" t="str">
        <f>IFERROR(__xludf.DUMMYFUNCTION("""COMPUTED_VALUE"""),"BARRANQUILLA")</f>
        <v>BARRANQUILLA</v>
      </c>
      <c r="D9425" s="15" t="str">
        <f>IFERROR(__xludf.DUMMYFUNCTION("""COMPUTED_VALUE"""),"BOGOTÁ")</f>
        <v>BOGOTÁ</v>
      </c>
      <c r="E9425" s="15" t="str">
        <f>IFERROR(__xludf.DUMMYFUNCTION("""COMPUTED_VALUE"""),"Ser Fit")</f>
        <v>Ser Fit</v>
      </c>
      <c r="F9425" s="17" t="str">
        <f>IFERROR(__xludf.DUMMYFUNCTION("""COMPUTED_VALUE"""),"Cra. 51 #82-223 / barranquilla / barranquilla")</f>
        <v>Cra. 51 #82-223 / barranquilla / barranquilla</v>
      </c>
      <c r="G9425" s="15" t="str">
        <f>IFERROR(__xludf.DUMMYFUNCTION("""COMPUTED_VALUE"""),"fit hub barranquilla")</f>
        <v>fit hub barranquilla</v>
      </c>
      <c r="H9425" s="16">
        <f>IFERROR(__xludf.DUMMYFUNCTION("""COMPUTED_VALUE"""),18074.0)</f>
        <v>18074</v>
      </c>
      <c r="I9425" s="18">
        <f>IFERROR(__xludf.DUMMYFUNCTION("""COMPUTED_VALUE"""),11.0)</f>
        <v>11</v>
      </c>
      <c r="J9425" s="18">
        <f>IFERROR(__xludf.DUMMYFUNCTION("""COMPUTED_VALUE"""),17.0)</f>
        <v>17</v>
      </c>
      <c r="K9425" s="18">
        <f>IFERROR(__xludf.DUMMYFUNCTION("""COMPUTED_VALUE"""),21.0)</f>
        <v>21</v>
      </c>
      <c r="L9425" s="17">
        <f>IFERROR(__xludf.DUMMYFUNCTION("""COMPUTED_VALUE"""),3.157237432E9)</f>
        <v>3157237432</v>
      </c>
      <c r="M9425" s="17"/>
      <c r="N9425" s="17"/>
      <c r="O9425" s="17"/>
      <c r="P9425" s="17" t="b">
        <f>IFERROR(__xludf.DUMMYFUNCTION("""COMPUTED_VALUE"""),FALSE)</f>
        <v>0</v>
      </c>
      <c r="Q9425" s="20" t="str">
        <f>IFERROR(__xludf.DUMMYFUNCTION("""COMPUTED_VALUE"""),"")</f>
        <v/>
      </c>
      <c r="R9425" s="21" t="str">
        <f>IFERROR(__xludf.DUMMYFUNCTION("""COMPUTED_VALUE"""),"https://drive.google.com/file/d/1K5wak5ymKrx8e5NCJamDBkc_al7kaoGf/view?usp=drivesdk")</f>
        <v>https://drive.google.com/file/d/1K5wak5ymKrx8e5NCJamDBkc_al7kaoGf/view?usp=drivesdk</v>
      </c>
    </row>
    <row r="9426">
      <c r="A9426" s="15">
        <f>IFERROR(__xludf.DUMMYFUNCTION("""COMPUTED_VALUE"""),45267.0)</f>
        <v>45267</v>
      </c>
      <c r="B9426" s="16" t="str">
        <f>IFERROR(__xludf.DUMMYFUNCTION("""COMPUTED_VALUE"""),"Daniel José sandoval gonzalez")</f>
        <v>Daniel José sandoval gonzalez</v>
      </c>
      <c r="C9426" s="15" t="str">
        <f>IFERROR(__xludf.DUMMYFUNCTION("""COMPUTED_VALUE"""),"BARRANQUILLA")</f>
        <v>BARRANQUILLA</v>
      </c>
      <c r="D9426" s="15" t="str">
        <f>IFERROR(__xludf.DUMMYFUNCTION("""COMPUTED_VALUE"""),"ENVIGADO")</f>
        <v>ENVIGADO</v>
      </c>
      <c r="E9426" s="15" t="str">
        <f>IFERROR(__xludf.DUMMYFUNCTION("""COMPUTED_VALUE"""),"RAMBLA")</f>
        <v>RAMBLA</v>
      </c>
      <c r="F9426" s="17" t="str">
        <f>IFERROR(__xludf.DUMMYFUNCTION("""COMPUTED_VALUE"""),"Carrera 67 no 81-95")</f>
        <v>Carrera 67 no 81-95</v>
      </c>
      <c r="G9426" s="15" t="str">
        <f>IFERROR(__xludf.DUMMYFUNCTION("""COMPUTED_VALUE"""),"Santiago Arbelaez")</f>
        <v>Santiago Arbelaez</v>
      </c>
      <c r="H9426" s="16">
        <f>IFERROR(__xludf.DUMMYFUNCTION("""COMPUTED_VALUE"""),18043.0)</f>
        <v>18043</v>
      </c>
      <c r="I9426" s="17"/>
      <c r="J9426" s="17"/>
      <c r="K9426" s="17"/>
      <c r="L9426" s="17">
        <f>IFERROR(__xludf.DUMMYFUNCTION("""COMPUTED_VALUE"""),3.204749856E9)</f>
        <v>3204749856</v>
      </c>
      <c r="M9426" s="17"/>
      <c r="N9426" s="17"/>
      <c r="O9426" s="17"/>
      <c r="P9426" s="17" t="b">
        <f>IFERROR(__xludf.DUMMYFUNCTION("""COMPUTED_VALUE"""),FALSE)</f>
        <v>0</v>
      </c>
      <c r="Q9426" s="20" t="str">
        <f>IFERROR(__xludf.DUMMYFUNCTION("""COMPUTED_VALUE"""),"")</f>
        <v/>
      </c>
      <c r="R9426" s="21" t="str">
        <f>IFERROR(__xludf.DUMMYFUNCTION("""COMPUTED_VALUE"""),"https://drive.google.com/file/d/1cPfvAzntzvh-UDhBd7V7SQf_3ZQ9SmRw/view?usp=drivesdk")</f>
        <v>https://drive.google.com/file/d/1cPfvAzntzvh-UDhBd7V7SQf_3ZQ9SmRw/view?usp=drivesdk</v>
      </c>
    </row>
    <row r="9427">
      <c r="A9427" s="15">
        <f>IFERROR(__xludf.DUMMYFUNCTION("""COMPUTED_VALUE"""),45267.0)</f>
        <v>45267</v>
      </c>
      <c r="B9427" s="16" t="str">
        <f>IFERROR(__xludf.DUMMYFUNCTION("""COMPUTED_VALUE"""),"Daniel José sandoval gonzalez")</f>
        <v>Daniel José sandoval gonzalez</v>
      </c>
      <c r="C9427" s="15" t="str">
        <f>IFERROR(__xludf.DUMMYFUNCTION("""COMPUTED_VALUE"""),"BARRANQUILLA")</f>
        <v>BARRANQUILLA</v>
      </c>
      <c r="D9427" s="15" t="str">
        <f>IFERROR(__xludf.DUMMYFUNCTION("""COMPUTED_VALUE"""),"MEDELLÍN")</f>
        <v>MEDELLÍN</v>
      </c>
      <c r="E9427" s="15" t="str">
        <f>IFERROR(__xludf.DUMMYFUNCTION("""COMPUTED_VALUE"""),"Baby Chef")</f>
        <v>Baby Chef</v>
      </c>
      <c r="F9427" s="17" t="str">
        <f>IFERROR(__xludf.DUMMYFUNCTION("""COMPUTED_VALUE"""),"Cra 57 # 82-52 edificio diplomat apto 10a barrio golf / . / .")</f>
        <v>Cra 57 # 82-52 edificio diplomat apto 10a barrio golf / . / .</v>
      </c>
      <c r="G9427" s="15" t="str">
        <f>IFERROR(__xludf.DUMMYFUNCTION("""COMPUTED_VALUE"""),"Andrea Valiente")</f>
        <v>Andrea Valiente</v>
      </c>
      <c r="H9427" s="16">
        <f>IFERROR(__xludf.DUMMYFUNCTION("""COMPUTED_VALUE"""),18024.0)</f>
        <v>18024</v>
      </c>
      <c r="I9427" s="18">
        <f>IFERROR(__xludf.DUMMYFUNCTION("""COMPUTED_VALUE"""),8.0)</f>
        <v>8</v>
      </c>
      <c r="J9427" s="18">
        <f>IFERROR(__xludf.DUMMYFUNCTION("""COMPUTED_VALUE"""),13.0)</f>
        <v>13</v>
      </c>
      <c r="K9427" s="18">
        <f>IFERROR(__xludf.DUMMYFUNCTION("""COMPUTED_VALUE"""),25.0)</f>
        <v>25</v>
      </c>
      <c r="L9427" s="17">
        <f>IFERROR(__xludf.DUMMYFUNCTION("""COMPUTED_VALUE"""),3.157605277E9)</f>
        <v>3157605277</v>
      </c>
      <c r="M9427" s="17"/>
      <c r="N9427" s="17"/>
      <c r="O9427" s="17"/>
      <c r="P9427" s="17" t="b">
        <f>IFERROR(__xludf.DUMMYFUNCTION("""COMPUTED_VALUE"""),FALSE)</f>
        <v>0</v>
      </c>
      <c r="Q9427" s="20" t="str">
        <f>IFERROR(__xludf.DUMMYFUNCTION("""COMPUTED_VALUE"""),"")</f>
        <v/>
      </c>
      <c r="R9427" s="21" t="str">
        <f>IFERROR(__xludf.DUMMYFUNCTION("""COMPUTED_VALUE"""),"https://drive.google.com/file/d/1mvqpArIlpBwjJay6DZFcfBB8j5lziUWU/view?usp=drivesdk")</f>
        <v>https://drive.google.com/file/d/1mvqpArIlpBwjJay6DZFcfBB8j5lziUWU/view?usp=drivesdk</v>
      </c>
    </row>
    <row r="9428">
      <c r="A9428" s="15">
        <f>IFERROR(__xludf.DUMMYFUNCTION("""COMPUTED_VALUE"""),45267.0)</f>
        <v>45267</v>
      </c>
      <c r="B9428" s="16" t="str">
        <f>IFERROR(__xludf.DUMMYFUNCTION("""COMPUTED_VALUE"""),"Daniel José sandoval gonzalez")</f>
        <v>Daniel José sandoval gonzalez</v>
      </c>
      <c r="C9428" s="15" t="str">
        <f>IFERROR(__xludf.DUMMYFUNCTION("""COMPUTED_VALUE"""),"MEDELLÍN")</f>
        <v>MEDELLÍN</v>
      </c>
      <c r="D9428" s="15" t="str">
        <f>IFERROR(__xludf.DUMMYFUNCTION("""COMPUTED_VALUE"""),"BOGOTÁ")</f>
        <v>BOGOTÁ</v>
      </c>
      <c r="E9428" s="15" t="str">
        <f>IFERROR(__xludf.DUMMYFUNCTION("""COMPUTED_VALUE"""),"Top Spun")</f>
        <v>Top Spun</v>
      </c>
      <c r="F9428" s="17" t="str">
        <f>IFERROR(__xludf.DUMMYFUNCTION("""COMPUTED_VALUE"""),"CIRCULAR 73 B # 76 E 45 / ED PLAZA DEL ZOCALO / APT 102")</f>
        <v>CIRCULAR 73 B # 76 E 45 / ED PLAZA DEL ZOCALO / APT 102</v>
      </c>
      <c r="G9428" s="15" t="str">
        <f>IFERROR(__xludf.DUMMYFUNCTION("""COMPUTED_VALUE"""),"JULIETA LOUIS")</f>
        <v>JULIETA LOUIS</v>
      </c>
      <c r="H9428" s="16">
        <f>IFERROR(__xludf.DUMMYFUNCTION("""COMPUTED_VALUE"""),18073.0)</f>
        <v>18073</v>
      </c>
      <c r="I9428" s="18">
        <f>IFERROR(__xludf.DUMMYFUNCTION("""COMPUTED_VALUE"""),20.0)</f>
        <v>20</v>
      </c>
      <c r="J9428" s="18">
        <f>IFERROR(__xludf.DUMMYFUNCTION("""COMPUTED_VALUE"""),10.0)</f>
        <v>10</v>
      </c>
      <c r="K9428" s="18">
        <f>IFERROR(__xludf.DUMMYFUNCTION("""COMPUTED_VALUE"""),40.0)</f>
        <v>40</v>
      </c>
      <c r="L9428" s="17">
        <f>IFERROR(__xludf.DUMMYFUNCTION("""COMPUTED_VALUE"""),3.045681606E9)</f>
        <v>3045681606</v>
      </c>
      <c r="M9428" s="17"/>
      <c r="N9428" s="17"/>
      <c r="O9428" s="17"/>
      <c r="P9428" s="17" t="b">
        <f>IFERROR(__xludf.DUMMYFUNCTION("""COMPUTED_VALUE"""),FALSE)</f>
        <v>0</v>
      </c>
      <c r="Q9428" s="20" t="str">
        <f>IFERROR(__xludf.DUMMYFUNCTION("""COMPUTED_VALUE"""),"")</f>
        <v/>
      </c>
      <c r="R9428" s="21" t="str">
        <f>IFERROR(__xludf.DUMMYFUNCTION("""COMPUTED_VALUE"""),"https://drive.google.com/file/d/1bM8mdrKPHD0iXuQ8iMkQ6gyjHlqgRXdq/view?usp=drivesdk")</f>
        <v>https://drive.google.com/file/d/1bM8mdrKPHD0iXuQ8iMkQ6gyjHlqgRXdq/view?usp=drivesdk</v>
      </c>
    </row>
    <row r="9429">
      <c r="A9429" s="17" t="str">
        <f>IFERROR(__xludf.DUMMYFUNCTION("""COMPUTED_VALUE"""),"")</f>
        <v/>
      </c>
      <c r="B9429" s="17" t="str">
        <f>IFERROR(__xludf.DUMMYFUNCTION("""COMPUTED_VALUE"""),"")</f>
        <v/>
      </c>
      <c r="C9429" s="17" t="str">
        <f>IFERROR(__xludf.DUMMYFUNCTION("""COMPUTED_VALUE"""),"")</f>
        <v/>
      </c>
      <c r="D9429" s="17" t="str">
        <f>IFERROR(__xludf.DUMMYFUNCTION("""COMPUTED_VALUE"""),"")</f>
        <v/>
      </c>
      <c r="E9429" s="17" t="str">
        <f>IFERROR(__xludf.DUMMYFUNCTION("""COMPUTED_VALUE"""),"")</f>
        <v/>
      </c>
      <c r="F9429" s="17" t="str">
        <f>IFERROR(__xludf.DUMMYFUNCTION("""COMPUTED_VALUE"""),"")</f>
        <v/>
      </c>
      <c r="G9429" s="17" t="str">
        <f>IFERROR(__xludf.DUMMYFUNCTION("""COMPUTED_VALUE"""),"")</f>
        <v/>
      </c>
      <c r="H9429" s="17" t="str">
        <f>IFERROR(__xludf.DUMMYFUNCTION("""COMPUTED_VALUE"""),"")</f>
        <v/>
      </c>
      <c r="I9429" s="17" t="str">
        <f>IFERROR(__xludf.DUMMYFUNCTION("""COMPUTED_VALUE"""),"")</f>
        <v/>
      </c>
      <c r="J9429" s="17" t="str">
        <f>IFERROR(__xludf.DUMMYFUNCTION("""COMPUTED_VALUE"""),"")</f>
        <v/>
      </c>
      <c r="K9429" s="17" t="str">
        <f>IFERROR(__xludf.DUMMYFUNCTION("""COMPUTED_VALUE"""),"")</f>
        <v/>
      </c>
      <c r="L9429" s="17" t="str">
        <f>IFERROR(__xludf.DUMMYFUNCTION("""COMPUTED_VALUE"""),"")</f>
        <v/>
      </c>
      <c r="M9429" s="17" t="str">
        <f>IFERROR(__xludf.DUMMYFUNCTION("""COMPUTED_VALUE"""),"")</f>
        <v/>
      </c>
      <c r="N9429" s="17" t="str">
        <f>IFERROR(__xludf.DUMMYFUNCTION("""COMPUTED_VALUE"""),"")</f>
        <v/>
      </c>
      <c r="O9429" s="17" t="str">
        <f>IFERROR(__xludf.DUMMYFUNCTION("""COMPUTED_VALUE"""),"")</f>
        <v/>
      </c>
      <c r="P9429" s="17" t="str">
        <f>IFERROR(__xludf.DUMMYFUNCTION("""COMPUTED_VALUE"""),"")</f>
        <v/>
      </c>
      <c r="Q9429" s="17" t="str">
        <f>IFERROR(__xludf.DUMMYFUNCTION("""COMPUTED_VALUE"""),"")</f>
        <v/>
      </c>
      <c r="R9429" s="17" t="str">
        <f>IFERROR(__xludf.DUMMYFUNCTION("""COMPUTED_VALUE"""),"")</f>
        <v/>
      </c>
    </row>
    <row r="9430">
      <c r="A9430" s="15">
        <f>IFERROR(__xludf.DUMMYFUNCTION("""COMPUTED_VALUE"""),45267.0)</f>
        <v>45267</v>
      </c>
      <c r="B9430" s="16" t="str">
        <f>IFERROR(__xludf.DUMMYFUNCTION("""COMPUTED_VALUE"""),"David Sanmartin Bello")</f>
        <v>David Sanmartin Bello</v>
      </c>
      <c r="C9430" s="15" t="str">
        <f>IFERROR(__xludf.DUMMYFUNCTION("""COMPUTED_VALUE"""),"BARRANQUILLA")</f>
        <v>BARRANQUILLA</v>
      </c>
      <c r="D9430" s="15" t="str">
        <f>IFERROR(__xludf.DUMMYFUNCTION("""COMPUTED_VALUE"""),"MEDELLÍN")</f>
        <v>MEDELLÍN</v>
      </c>
      <c r="E9430" s="15" t="str">
        <f>IFERROR(__xludf.DUMMYFUNCTION("""COMPUTED_VALUE"""),"HELADERIA MAGDA")</f>
        <v>HELADERIA MAGDA</v>
      </c>
      <c r="F9430" s="17" t="str">
        <f>IFERROR(__xludf.DUMMYFUNCTION("""COMPUTED_VALUE"""),"CALLE 93 #43-41 / COCINA OCULTA")</f>
        <v>CALLE 93 #43-41 / COCINA OCULTA</v>
      </c>
      <c r="G9430" s="15" t="str">
        <f>IFERROR(__xludf.DUMMYFUNCTION("""COMPUTED_VALUE"""),"CITY HUB")</f>
        <v>CITY HUB</v>
      </c>
      <c r="H9430" s="16">
        <f>IFERROR(__xludf.DUMMYFUNCTION("""COMPUTED_VALUE"""),18061.0)</f>
        <v>18061</v>
      </c>
      <c r="I9430" s="17"/>
      <c r="J9430" s="17"/>
      <c r="K9430" s="17"/>
      <c r="L9430" s="17">
        <f>IFERROR(__xludf.DUMMYFUNCTION("""COMPUTED_VALUE"""),3.235800359E9)</f>
        <v>3235800359</v>
      </c>
      <c r="M9430" s="17"/>
      <c r="N9430" s="17"/>
      <c r="O9430" s="17"/>
      <c r="P9430" s="17" t="b">
        <f>IFERROR(__xludf.DUMMYFUNCTION("""COMPUTED_VALUE"""),FALSE)</f>
        <v>0</v>
      </c>
      <c r="Q9430" s="20" t="str">
        <f>IFERROR(__xludf.DUMMYFUNCTION("""COMPUTED_VALUE"""),"")</f>
        <v/>
      </c>
      <c r="R9430" s="21" t="str">
        <f>IFERROR(__xludf.DUMMYFUNCTION("""COMPUTED_VALUE"""),"https://drive.google.com/file/d/1WX_XYbbi3KK0UbYhjL3z2XaQ7oIDfPEk/view?usp=drivesdk")</f>
        <v>https://drive.google.com/file/d/1WX_XYbbi3KK0UbYhjL3z2XaQ7oIDfPEk/view?usp=drivesdk</v>
      </c>
    </row>
    <row r="9431">
      <c r="A9431" s="15">
        <f>IFERROR(__xludf.DUMMYFUNCTION("""COMPUTED_VALUE"""),45267.0)</f>
        <v>45267</v>
      </c>
      <c r="B9431" s="16" t="str">
        <f>IFERROR(__xludf.DUMMYFUNCTION("""COMPUTED_VALUE"""),"David Sanmartin Bello")</f>
        <v>David Sanmartin Bello</v>
      </c>
      <c r="C9431" s="15" t="str">
        <f>IFERROR(__xludf.DUMMYFUNCTION("""COMPUTED_VALUE"""),"BARRANQUILLA")</f>
        <v>BARRANQUILLA</v>
      </c>
      <c r="D9431" s="15" t="str">
        <f>IFERROR(__xludf.DUMMYFUNCTION("""COMPUTED_VALUE"""),"MEDELLÍN")</f>
        <v>MEDELLÍN</v>
      </c>
      <c r="E9431" s="15" t="str">
        <f>IFERROR(__xludf.DUMMYFUNCTION("""COMPUTED_VALUE"""),"Moloso S.A.S")</f>
        <v>Moloso S.A.S</v>
      </c>
      <c r="F9431" s="17" t="str">
        <f>IFERROR(__xludf.DUMMYFUNCTION("""COMPUTED_VALUE"""),"CRA 65 99 109 / ED  CENTRAL GARDEN AP 919 T4")</f>
        <v>CRA 65 99 109 / ED  CENTRAL GARDEN AP 919 T4</v>
      </c>
      <c r="G9431" s="15" t="str">
        <f>IFERROR(__xludf.DUMMYFUNCTION("""COMPUTED_VALUE"""),"LOURDES ACOSTA")</f>
        <v>LOURDES ACOSTA</v>
      </c>
      <c r="H9431" s="16">
        <f>IFERROR(__xludf.DUMMYFUNCTION("""COMPUTED_VALUE"""),18055.0)</f>
        <v>18055</v>
      </c>
      <c r="I9431" s="17"/>
      <c r="J9431" s="17"/>
      <c r="K9431" s="17"/>
      <c r="L9431" s="17"/>
      <c r="M9431" s="17"/>
      <c r="N9431" s="17"/>
      <c r="O9431" s="17"/>
      <c r="P9431" s="17" t="b">
        <f>IFERROR(__xludf.DUMMYFUNCTION("""COMPUTED_VALUE"""),FALSE)</f>
        <v>0</v>
      </c>
      <c r="Q9431" s="20" t="str">
        <f>IFERROR(__xludf.DUMMYFUNCTION("""COMPUTED_VALUE"""),"")</f>
        <v/>
      </c>
      <c r="R9431" s="21" t="str">
        <f>IFERROR(__xludf.DUMMYFUNCTION("""COMPUTED_VALUE"""),"https://drive.google.com/file/d/1PEYr0j5CFtWG7VHX3UjVW81k_rlNjemr/view?usp=drivesdk")</f>
        <v>https://drive.google.com/file/d/1PEYr0j5CFtWG7VHX3UjVW81k_rlNjemr/view?usp=drivesdk</v>
      </c>
    </row>
    <row r="9432">
      <c r="A9432" s="15">
        <f>IFERROR(__xludf.DUMMYFUNCTION("""COMPUTED_VALUE"""),45267.0)</f>
        <v>45267</v>
      </c>
      <c r="B9432" s="16" t="str">
        <f>IFERROR(__xludf.DUMMYFUNCTION("""COMPUTED_VALUE"""),"David Sanmartin Bello")</f>
        <v>David Sanmartin Bello</v>
      </c>
      <c r="C9432" s="15" t="str">
        <f>IFERROR(__xludf.DUMMYFUNCTION("""COMPUTED_VALUE"""),"CARTAGENA")</f>
        <v>CARTAGENA</v>
      </c>
      <c r="D9432" s="15" t="str">
        <f>IFERROR(__xludf.DUMMYFUNCTION("""COMPUTED_VALUE"""),"BOGOTÁ")</f>
        <v>BOGOTÁ</v>
      </c>
      <c r="E9432" s="15" t="str">
        <f>IFERROR(__xludf.DUMMYFUNCTION("""COMPUTED_VALUE"""),"Frubits")</f>
        <v>Frubits</v>
      </c>
      <c r="F9432" s="17" t="str">
        <f>IFERROR(__xludf.DUMMYFUNCTION("""COMPUTED_VALUE"""),"Calle 5A # 13 - 19Edificio El Castillete. Barrio Castillogrande 2 frubitw / 4 / Calle 5A # 13 - 19Edificio El Castillete. Barrio Castillogrande")</f>
        <v>Calle 5A # 13 - 19Edificio El Castillete. Barrio Castillogrande 2 frubitw / 4 / Calle 5A # 13 - 19Edificio El Castillete. Barrio Castillogrande</v>
      </c>
      <c r="G9432" s="15" t="str">
        <f>IFERROR(__xludf.DUMMYFUNCTION("""COMPUTED_VALUE"""),"Angelica Sanchez")</f>
        <v>Angelica Sanchez</v>
      </c>
      <c r="H9432" s="16">
        <f>IFERROR(__xludf.DUMMYFUNCTION("""COMPUTED_VALUE"""),18103.0)</f>
        <v>18103</v>
      </c>
      <c r="I9432" s="18">
        <f>IFERROR(__xludf.DUMMYFUNCTION("""COMPUTED_VALUE"""),10.0)</f>
        <v>10</v>
      </c>
      <c r="J9432" s="18">
        <f>IFERROR(__xludf.DUMMYFUNCTION("""COMPUTED_VALUE"""),10.0)</f>
        <v>10</v>
      </c>
      <c r="K9432" s="18">
        <f>IFERROR(__xludf.DUMMYFUNCTION("""COMPUTED_VALUE"""),10.0)</f>
        <v>10</v>
      </c>
      <c r="L9432" s="17">
        <f>IFERROR(__xludf.DUMMYFUNCTION("""COMPUTED_VALUE"""),3.214265973E9)</f>
        <v>3214265973</v>
      </c>
      <c r="M9432" s="17"/>
      <c r="N9432" s="17"/>
      <c r="O9432" s="17"/>
      <c r="P9432" s="17" t="b">
        <f>IFERROR(__xludf.DUMMYFUNCTION("""COMPUTED_VALUE"""),FALSE)</f>
        <v>0</v>
      </c>
      <c r="Q9432" s="20" t="str">
        <f>IFERROR(__xludf.DUMMYFUNCTION("""COMPUTED_VALUE"""),"")</f>
        <v/>
      </c>
      <c r="R9432" s="21" t="str">
        <f>IFERROR(__xludf.DUMMYFUNCTION("""COMPUTED_VALUE"""),"https://drive.google.com/file/d/1ZWrVsWQUxjDjBQPzlyniZj-f7sdEJqAE/view?usp=drivesdk")</f>
        <v>https://drive.google.com/file/d/1ZWrVsWQUxjDjBQPzlyniZj-f7sdEJqAE/view?usp=drivesdk</v>
      </c>
    </row>
    <row r="9433">
      <c r="A9433" s="15">
        <f>IFERROR(__xludf.DUMMYFUNCTION("""COMPUTED_VALUE"""),45267.0)</f>
        <v>45267</v>
      </c>
      <c r="B9433" s="16" t="str">
        <f>IFERROR(__xludf.DUMMYFUNCTION("""COMPUTED_VALUE"""),"David Sanmartin Bello")</f>
        <v>David Sanmartin Bello</v>
      </c>
      <c r="C9433" s="15" t="str">
        <f>IFERROR(__xludf.DUMMYFUNCTION("""COMPUTED_VALUE"""),"CARTAGENA")</f>
        <v>CARTAGENA</v>
      </c>
      <c r="D9433" s="15" t="str">
        <f>IFERROR(__xludf.DUMMYFUNCTION("""COMPUTED_VALUE"""),"BOGOTÁ")</f>
        <v>BOGOTÁ</v>
      </c>
      <c r="E9433" s="15" t="str">
        <f>IFERROR(__xludf.DUMMYFUNCTION("""COMPUTED_VALUE"""),"Premium Choice")</f>
        <v>Premium Choice</v>
      </c>
      <c r="F9433" s="17" t="str">
        <f>IFERROR(__xludf.DUMMYFUNCTION("""COMPUTED_VALUE"""),"Calle 6 # 4 - 20  / Local  / Centro comercial la estación boca grande")</f>
        <v>Calle 6 # 4 - 20  / Local  / Centro comercial la estación boca grande</v>
      </c>
      <c r="G9433" s="15" t="str">
        <f>IFERROR(__xludf.DUMMYFUNCTION("""COMPUTED_VALUE"""),"Cocofit mercado saludable")</f>
        <v>Cocofit mercado saludable</v>
      </c>
      <c r="H9433" s="16">
        <f>IFERROR(__xludf.DUMMYFUNCTION("""COMPUTED_VALUE"""),17995.0)</f>
        <v>17995</v>
      </c>
      <c r="I9433" s="18">
        <f>IFERROR(__xludf.DUMMYFUNCTION("""COMPUTED_VALUE"""),16.0)</f>
        <v>16</v>
      </c>
      <c r="J9433" s="18">
        <f>IFERROR(__xludf.DUMMYFUNCTION("""COMPUTED_VALUE"""),25.0)</f>
        <v>25</v>
      </c>
      <c r="K9433" s="18">
        <f>IFERROR(__xludf.DUMMYFUNCTION("""COMPUTED_VALUE"""),36.0)</f>
        <v>36</v>
      </c>
      <c r="L9433" s="17">
        <f>IFERROR(__xludf.DUMMYFUNCTION("""COMPUTED_VALUE"""),3.102170999E9)</f>
        <v>3102170999</v>
      </c>
      <c r="M9433" s="17"/>
      <c r="N9433" s="17"/>
      <c r="O9433" s="17"/>
      <c r="P9433" s="17" t="b">
        <f>IFERROR(__xludf.DUMMYFUNCTION("""COMPUTED_VALUE"""),FALSE)</f>
        <v>0</v>
      </c>
      <c r="Q9433" s="20" t="str">
        <f>IFERROR(__xludf.DUMMYFUNCTION("""COMPUTED_VALUE"""),"")</f>
        <v/>
      </c>
      <c r="R9433" s="21" t="str">
        <f>IFERROR(__xludf.DUMMYFUNCTION("""COMPUTED_VALUE"""),"https://drive.google.com/file/d/133Wb4OmZ5lnQrk1Z83jJYf5NafewK58E/view?usp=drivesdk")</f>
        <v>https://drive.google.com/file/d/133Wb4OmZ5lnQrk1Z83jJYf5NafewK58E/view?usp=drivesdk</v>
      </c>
    </row>
    <row r="9434">
      <c r="A9434" s="15">
        <f>IFERROR(__xludf.DUMMYFUNCTION("""COMPUTED_VALUE"""),45267.0)</f>
        <v>45267</v>
      </c>
      <c r="B9434" s="16" t="str">
        <f>IFERROR(__xludf.DUMMYFUNCTION("""COMPUTED_VALUE"""),"David Sanmartin Bello")</f>
        <v>David Sanmartin Bello</v>
      </c>
      <c r="C9434" s="15" t="str">
        <f>IFERROR(__xludf.DUMMYFUNCTION("""COMPUTED_VALUE"""),"CARTAGENA")</f>
        <v>CARTAGENA</v>
      </c>
      <c r="D9434" s="15" t="str">
        <f>IFERROR(__xludf.DUMMYFUNCTION("""COMPUTED_VALUE"""),"BOGOTÁ")</f>
        <v>BOGOTÁ</v>
      </c>
      <c r="E9434" s="15" t="str">
        <f>IFERROR(__xludf.DUMMYFUNCTION("""COMPUTED_VALUE"""),"Premium Choice")</f>
        <v>Premium Choice</v>
      </c>
      <c r="F9434" s="17" t="str">
        <f>IFERROR(__xludf.DUMMYFUNCTION("""COMPUTED_VALUE"""),"Calle 6 # 4 - 20  / Local  / Centro comercial la estación boca grande")</f>
        <v>Calle 6 # 4 - 20  / Local  / Centro comercial la estación boca grande</v>
      </c>
      <c r="G9434" s="15" t="str">
        <f>IFERROR(__xludf.DUMMYFUNCTION("""COMPUTED_VALUE"""),"Cocofit mercado saludable")</f>
        <v>Cocofit mercado saludable</v>
      </c>
      <c r="H9434" s="16">
        <f>IFERROR(__xludf.DUMMYFUNCTION("""COMPUTED_VALUE"""),17996.0)</f>
        <v>17996</v>
      </c>
      <c r="I9434" s="18">
        <f>IFERROR(__xludf.DUMMYFUNCTION("""COMPUTED_VALUE"""),8.0)</f>
        <v>8</v>
      </c>
      <c r="J9434" s="18">
        <f>IFERROR(__xludf.DUMMYFUNCTION("""COMPUTED_VALUE"""),20.0)</f>
        <v>20</v>
      </c>
      <c r="K9434" s="18">
        <f>IFERROR(__xludf.DUMMYFUNCTION("""COMPUTED_VALUE"""),25.0)</f>
        <v>25</v>
      </c>
      <c r="L9434" s="17">
        <f>IFERROR(__xludf.DUMMYFUNCTION("""COMPUTED_VALUE"""),3.102170999E9)</f>
        <v>3102170999</v>
      </c>
      <c r="M9434" s="17"/>
      <c r="N9434" s="17"/>
      <c r="O9434" s="17"/>
      <c r="P9434" s="17" t="b">
        <f>IFERROR(__xludf.DUMMYFUNCTION("""COMPUTED_VALUE"""),FALSE)</f>
        <v>0</v>
      </c>
      <c r="Q9434" s="20" t="str">
        <f>IFERROR(__xludf.DUMMYFUNCTION("""COMPUTED_VALUE"""),"")</f>
        <v/>
      </c>
      <c r="R9434" s="22" t="str">
        <f>IFERROR(__xludf.DUMMYFUNCTION("""COMPUTED_VALUE"""),"")</f>
        <v/>
      </c>
    </row>
    <row r="9435">
      <c r="A9435" s="15">
        <f>IFERROR(__xludf.DUMMYFUNCTION("""COMPUTED_VALUE"""),45267.0)</f>
        <v>45267</v>
      </c>
      <c r="B9435" s="16" t="str">
        <f>IFERROR(__xludf.DUMMYFUNCTION("""COMPUTED_VALUE"""),"David Sanmartin Bello")</f>
        <v>David Sanmartin Bello</v>
      </c>
      <c r="C9435" s="15" t="str">
        <f>IFERROR(__xludf.DUMMYFUNCTION("""COMPUTED_VALUE"""),"CARTAGENA")</f>
        <v>CARTAGENA</v>
      </c>
      <c r="D9435" s="15" t="str">
        <f>IFERROR(__xludf.DUMMYFUNCTION("""COMPUTED_VALUE"""),"BOGOTÁ")</f>
        <v>BOGOTÁ</v>
      </c>
      <c r="E9435" s="15" t="str">
        <f>IFERROR(__xludf.DUMMYFUNCTION("""COMPUTED_VALUE"""),"Top Spun")</f>
        <v>Top Spun</v>
      </c>
      <c r="F9435" s="17" t="str">
        <f>IFERROR(__xludf.DUMMYFUNCTION("""COMPUTED_VALUE"""),"calle 6 #9-96 / edificio aquamarina / apto 1701")</f>
        <v>calle 6 #9-96 / edificio aquamarina / apto 1701</v>
      </c>
      <c r="G9435" s="15" t="str">
        <f>IFERROR(__xludf.DUMMYFUNCTION("""COMPUTED_VALUE"""),"Erika Von Sneidern")</f>
        <v>Erika Von Sneidern</v>
      </c>
      <c r="H9435" s="16">
        <f>IFERROR(__xludf.DUMMYFUNCTION("""COMPUTED_VALUE"""),18070.0)</f>
        <v>18070</v>
      </c>
      <c r="I9435" s="18">
        <f>IFERROR(__xludf.DUMMYFUNCTION("""COMPUTED_VALUE"""),20.0)</f>
        <v>20</v>
      </c>
      <c r="J9435" s="18">
        <f>IFERROR(__xludf.DUMMYFUNCTION("""COMPUTED_VALUE"""),10.0)</f>
        <v>10</v>
      </c>
      <c r="K9435" s="18">
        <f>IFERROR(__xludf.DUMMYFUNCTION("""COMPUTED_VALUE"""),40.0)</f>
        <v>40</v>
      </c>
      <c r="L9435" s="17">
        <f>IFERROR(__xludf.DUMMYFUNCTION("""COMPUTED_VALUE"""),3.168662687E9)</f>
        <v>3168662687</v>
      </c>
      <c r="M9435" s="17"/>
      <c r="N9435" s="17"/>
      <c r="O9435" s="17"/>
      <c r="P9435" s="17" t="b">
        <f>IFERROR(__xludf.DUMMYFUNCTION("""COMPUTED_VALUE"""),FALSE)</f>
        <v>0</v>
      </c>
      <c r="Q9435" s="20" t="str">
        <f>IFERROR(__xludf.DUMMYFUNCTION("""COMPUTED_VALUE"""),"")</f>
        <v/>
      </c>
      <c r="R9435" s="21" t="str">
        <f>IFERROR(__xludf.DUMMYFUNCTION("""COMPUTED_VALUE"""),"https://drive.google.com/file/d/1SqlI5SJegq3rwH7ijEw57yCNMkFPvNUi/view?usp=drivesdk")</f>
        <v>https://drive.google.com/file/d/1SqlI5SJegq3rwH7ijEw57yCNMkFPvNUi/view?usp=drivesdk</v>
      </c>
    </row>
    <row r="9436">
      <c r="A9436" s="17" t="str">
        <f>IFERROR(__xludf.DUMMYFUNCTION("""COMPUTED_VALUE"""),"")</f>
        <v/>
      </c>
      <c r="B9436" s="17" t="str">
        <f>IFERROR(__xludf.DUMMYFUNCTION("""COMPUTED_VALUE"""),"")</f>
        <v/>
      </c>
      <c r="C9436" s="17" t="str">
        <f>IFERROR(__xludf.DUMMYFUNCTION("""COMPUTED_VALUE"""),"")</f>
        <v/>
      </c>
      <c r="D9436" s="17" t="str">
        <f>IFERROR(__xludf.DUMMYFUNCTION("""COMPUTED_VALUE"""),"")</f>
        <v/>
      </c>
      <c r="E9436" s="17" t="str">
        <f>IFERROR(__xludf.DUMMYFUNCTION("""COMPUTED_VALUE"""),"")</f>
        <v/>
      </c>
      <c r="F9436" s="17" t="str">
        <f>IFERROR(__xludf.DUMMYFUNCTION("""COMPUTED_VALUE"""),"")</f>
        <v/>
      </c>
      <c r="G9436" s="17" t="str">
        <f>IFERROR(__xludf.DUMMYFUNCTION("""COMPUTED_VALUE"""),"")</f>
        <v/>
      </c>
      <c r="H9436" s="17" t="str">
        <f>IFERROR(__xludf.DUMMYFUNCTION("""COMPUTED_VALUE"""),"")</f>
        <v/>
      </c>
      <c r="I9436" s="17" t="str">
        <f>IFERROR(__xludf.DUMMYFUNCTION("""COMPUTED_VALUE"""),"")</f>
        <v/>
      </c>
      <c r="J9436" s="17" t="str">
        <f>IFERROR(__xludf.DUMMYFUNCTION("""COMPUTED_VALUE"""),"")</f>
        <v/>
      </c>
      <c r="K9436" s="17" t="str">
        <f>IFERROR(__xludf.DUMMYFUNCTION("""COMPUTED_VALUE"""),"")</f>
        <v/>
      </c>
      <c r="L9436" s="17" t="str">
        <f>IFERROR(__xludf.DUMMYFUNCTION("""COMPUTED_VALUE"""),"")</f>
        <v/>
      </c>
      <c r="M9436" s="17" t="str">
        <f>IFERROR(__xludf.DUMMYFUNCTION("""COMPUTED_VALUE"""),"")</f>
        <v/>
      </c>
      <c r="N9436" s="17" t="str">
        <f>IFERROR(__xludf.DUMMYFUNCTION("""COMPUTED_VALUE"""),"")</f>
        <v/>
      </c>
      <c r="O9436" s="17" t="str">
        <f>IFERROR(__xludf.DUMMYFUNCTION("""COMPUTED_VALUE"""),"")</f>
        <v/>
      </c>
      <c r="P9436" s="17" t="str">
        <f>IFERROR(__xludf.DUMMYFUNCTION("""COMPUTED_VALUE"""),"")</f>
        <v/>
      </c>
      <c r="Q9436" s="17" t="str">
        <f>IFERROR(__xludf.DUMMYFUNCTION("""COMPUTED_VALUE"""),"")</f>
        <v/>
      </c>
      <c r="R9436" s="17" t="str">
        <f>IFERROR(__xludf.DUMMYFUNCTION("""COMPUTED_VALUE"""),"")</f>
        <v/>
      </c>
    </row>
    <row r="9437">
      <c r="A9437" s="15">
        <f>IFERROR(__xludf.DUMMYFUNCTION("""COMPUTED_VALUE"""),45267.0)</f>
        <v>45267</v>
      </c>
      <c r="B9437" s="16" t="str">
        <f>IFERROR(__xludf.DUMMYFUNCTION("""COMPUTED_VALUE"""),"Envia")</f>
        <v>Envia</v>
      </c>
      <c r="C9437" s="15" t="str">
        <f>IFERROR(__xludf.DUMMYFUNCTION("""COMPUTED_VALUE"""),"BARRANQUILLA")</f>
        <v>BARRANQUILLA</v>
      </c>
      <c r="D9437" s="15" t="str">
        <f>IFERROR(__xludf.DUMMYFUNCTION("""COMPUTED_VALUE"""),"BOGOTÁ")</f>
        <v>BOGOTÁ</v>
      </c>
      <c r="E9437" s="15" t="str">
        <f>IFERROR(__xludf.DUMMYFUNCTION("""COMPUTED_VALUE"""),"Hiiva Fermentados SAS")</f>
        <v>Hiiva Fermentados SAS</v>
      </c>
      <c r="F9437" s="17" t="str">
        <f>IFERROR(__xludf.DUMMYFUNCTION("""COMPUTED_VALUE"""),"Carrera 58#96-74 / AP 202Edificio Torreladera")</f>
        <v>Carrera 58#96-74 / AP 202Edificio Torreladera</v>
      </c>
      <c r="G9437" s="15" t="str">
        <f>IFERROR(__xludf.DUMMYFUNCTION("""COMPUTED_VALUE"""),"BAQ - Hugo José Zuleta Angulo")</f>
        <v>BAQ - Hugo José Zuleta Angulo</v>
      </c>
      <c r="H9437" s="16">
        <f>IFERROR(__xludf.DUMMYFUNCTION("""COMPUTED_VALUE"""),18008.0)</f>
        <v>18008</v>
      </c>
      <c r="I9437" s="17"/>
      <c r="J9437" s="17"/>
      <c r="K9437" s="17"/>
      <c r="L9437" s="17">
        <f>IFERROR(__xludf.DUMMYFUNCTION("""COMPUTED_VALUE"""),3.1454107E9)</f>
        <v>3145410700</v>
      </c>
      <c r="M9437" s="17"/>
      <c r="N9437" s="17"/>
      <c r="O9437" s="17"/>
      <c r="P9437" s="17" t="b">
        <f>IFERROR(__xludf.DUMMYFUNCTION("""COMPUTED_VALUE"""),FALSE)</f>
        <v>0</v>
      </c>
      <c r="Q9437" s="20" t="str">
        <f>IFERROR(__xludf.DUMMYFUNCTION("""COMPUTED_VALUE"""),"")</f>
        <v/>
      </c>
      <c r="R9437" s="21" t="str">
        <f>IFERROR(__xludf.DUMMYFUNCTION("""COMPUTED_VALUE"""),"https://drive.google.com/file/d/142KqCMrrYzJnpxtvLagKnBvANMHhKYfu/view?usp=drivesdk")</f>
        <v>https://drive.google.com/file/d/142KqCMrrYzJnpxtvLagKnBvANMHhKYfu/view?usp=drivesdk</v>
      </c>
    </row>
    <row r="9438">
      <c r="A9438" s="15">
        <f>IFERROR(__xludf.DUMMYFUNCTION("""COMPUTED_VALUE"""),45267.0)</f>
        <v>45267</v>
      </c>
      <c r="B9438" s="16" t="str">
        <f>IFERROR(__xludf.DUMMYFUNCTION("""COMPUTED_VALUE"""),"Envia")</f>
        <v>Envia</v>
      </c>
      <c r="C9438" s="15" t="str">
        <f>IFERROR(__xludf.DUMMYFUNCTION("""COMPUTED_VALUE"""),"BARRANQUILLA")</f>
        <v>BARRANQUILLA</v>
      </c>
      <c r="D9438" s="15" t="str">
        <f>IFERROR(__xludf.DUMMYFUNCTION("""COMPUTED_VALUE"""),"BOGOTÁ")</f>
        <v>BOGOTÁ</v>
      </c>
      <c r="E9438" s="15" t="str">
        <f>IFERROR(__xludf.DUMMYFUNCTION("""COMPUTED_VALUE"""),"Premium Choice")</f>
        <v>Premium Choice</v>
      </c>
      <c r="F9438" s="17" t="str">
        <f>IFERROR(__xludf.DUMMYFUNCTION("""COMPUTED_VALUE"""),"Carrera 68 # 81 - 23  / Barrio paraíso  / Barrio paraíso")</f>
        <v>Carrera 68 # 81 - 23  / Barrio paraíso  / Barrio paraíso</v>
      </c>
      <c r="G9438" s="15" t="str">
        <f>IFERROR(__xludf.DUMMYFUNCTION("""COMPUTED_VALUE"""),"Distribuciones arpol")</f>
        <v>Distribuciones arpol</v>
      </c>
      <c r="H9438" s="16">
        <f>IFERROR(__xludf.DUMMYFUNCTION("""COMPUTED_VALUE"""),18066.0)</f>
        <v>18066</v>
      </c>
      <c r="I9438" s="18">
        <f>IFERROR(__xludf.DUMMYFUNCTION("""COMPUTED_VALUE"""),17.0)</f>
        <v>17</v>
      </c>
      <c r="J9438" s="18">
        <f>IFERROR(__xludf.DUMMYFUNCTION("""COMPUTED_VALUE"""),20.0)</f>
        <v>20</v>
      </c>
      <c r="K9438" s="18">
        <f>IFERROR(__xludf.DUMMYFUNCTION("""COMPUTED_VALUE"""),25.0)</f>
        <v>25</v>
      </c>
      <c r="L9438" s="17">
        <f>IFERROR(__xludf.DUMMYFUNCTION("""COMPUTED_VALUE"""),3.102170999E9)</f>
        <v>3102170999</v>
      </c>
      <c r="M9438" s="17"/>
      <c r="N9438" s="17"/>
      <c r="O9438" s="17"/>
      <c r="P9438" s="17" t="b">
        <f>IFERROR(__xludf.DUMMYFUNCTION("""COMPUTED_VALUE"""),FALSE)</f>
        <v>0</v>
      </c>
      <c r="Q9438" s="20" t="str">
        <f>IFERROR(__xludf.DUMMYFUNCTION("""COMPUTED_VALUE"""),"")</f>
        <v/>
      </c>
      <c r="R9438" s="21" t="str">
        <f>IFERROR(__xludf.DUMMYFUNCTION("""COMPUTED_VALUE"""),"https://drive.google.com/file/d/1xduFkBCsagcn82jrI2a19wQ2NEqYI3qL/view?usp=drivesdk")</f>
        <v>https://drive.google.com/file/d/1xduFkBCsagcn82jrI2a19wQ2NEqYI3qL/view?usp=drivesdk</v>
      </c>
    </row>
    <row r="9439">
      <c r="A9439" s="15">
        <f>IFERROR(__xludf.DUMMYFUNCTION("""COMPUTED_VALUE"""),45267.0)</f>
        <v>45267</v>
      </c>
      <c r="B9439" s="16" t="str">
        <f>IFERROR(__xludf.DUMMYFUNCTION("""COMPUTED_VALUE"""),"Envia")</f>
        <v>Envia</v>
      </c>
      <c r="C9439" s="15" t="str">
        <f>IFERROR(__xludf.DUMMYFUNCTION("""COMPUTED_VALUE"""),"BARRANQUILLA")</f>
        <v>BARRANQUILLA</v>
      </c>
      <c r="D9439" s="15" t="str">
        <f>IFERROR(__xludf.DUMMYFUNCTION("""COMPUTED_VALUE"""),"BOGOTÁ")</f>
        <v>BOGOTÁ</v>
      </c>
      <c r="E9439" s="15" t="str">
        <f>IFERROR(__xludf.DUMMYFUNCTION("""COMPUTED_VALUE"""),"Premium Choice")</f>
        <v>Premium Choice</v>
      </c>
      <c r="F9439" s="17" t="str">
        <f>IFERROR(__xludf.DUMMYFUNCTION("""COMPUTED_VALUE"""),"Cr 52 # 75 - 152  / Frigorífico  / Barranquilla")</f>
        <v>Cr 52 # 75 - 152  / Frigorífico  / Barranquilla</v>
      </c>
      <c r="G9439" s="15" t="str">
        <f>IFERROR(__xludf.DUMMYFUNCTION("""COMPUTED_VALUE"""),"Frigorífico la parisienne sa")</f>
        <v>Frigorífico la parisienne sa</v>
      </c>
      <c r="H9439" s="16">
        <f>IFERROR(__xludf.DUMMYFUNCTION("""COMPUTED_VALUE"""),18065.0)</f>
        <v>18065</v>
      </c>
      <c r="I9439" s="18">
        <f>IFERROR(__xludf.DUMMYFUNCTION("""COMPUTED_VALUE"""),15.0)</f>
        <v>15</v>
      </c>
      <c r="J9439" s="18">
        <f>IFERROR(__xludf.DUMMYFUNCTION("""COMPUTED_VALUE"""),18.0)</f>
        <v>18</v>
      </c>
      <c r="K9439" s="18">
        <f>IFERROR(__xludf.DUMMYFUNCTION("""COMPUTED_VALUE"""),20.0)</f>
        <v>20</v>
      </c>
      <c r="L9439" s="17">
        <f>IFERROR(__xludf.DUMMYFUNCTION("""COMPUTED_VALUE"""),3.102170999E9)</f>
        <v>3102170999</v>
      </c>
      <c r="M9439" s="17"/>
      <c r="N9439" s="17"/>
      <c r="O9439" s="17"/>
      <c r="P9439" s="17" t="b">
        <f>IFERROR(__xludf.DUMMYFUNCTION("""COMPUTED_VALUE"""),FALSE)</f>
        <v>0</v>
      </c>
      <c r="Q9439" s="20" t="str">
        <f>IFERROR(__xludf.DUMMYFUNCTION("""COMPUTED_VALUE"""),"")</f>
        <v/>
      </c>
      <c r="R9439" s="21" t="str">
        <f>IFERROR(__xludf.DUMMYFUNCTION("""COMPUTED_VALUE"""),"https://drive.google.com/file/d/1QM__cGdgDiq0ln8sCKk4KKzuuiASSl_Y/view?usp=drivesdk")</f>
        <v>https://drive.google.com/file/d/1QM__cGdgDiq0ln8sCKk4KKzuuiASSl_Y/view?usp=drivesdk</v>
      </c>
    </row>
    <row r="9440">
      <c r="A9440" s="15">
        <f>IFERROR(__xludf.DUMMYFUNCTION("""COMPUTED_VALUE"""),45267.0)</f>
        <v>45267</v>
      </c>
      <c r="B9440" s="16" t="str">
        <f>IFERROR(__xludf.DUMMYFUNCTION("""COMPUTED_VALUE"""),"Envia")</f>
        <v>Envia</v>
      </c>
      <c r="C9440" s="15" t="str">
        <f>IFERROR(__xludf.DUMMYFUNCTION("""COMPUTED_VALUE"""),"BARRANQUILLA")</f>
        <v>BARRANQUILLA</v>
      </c>
      <c r="D9440" s="15" t="str">
        <f>IFERROR(__xludf.DUMMYFUNCTION("""COMPUTED_VALUE"""),"ENVIGADO")</f>
        <v>ENVIGADO</v>
      </c>
      <c r="E9440" s="15" t="str">
        <f>IFERROR(__xludf.DUMMYFUNCTION("""COMPUTED_VALUE"""),"RAMBLA")</f>
        <v>RAMBLA</v>
      </c>
      <c r="F9440" s="17" t="str">
        <f>IFERROR(__xludf.DUMMYFUNCTION("""COMPUTED_VALUE"""),"Carrera 5187-50 / en el exito viva Barranquilla")</f>
        <v>Carrera 5187-50 / en el exito viva Barranquilla</v>
      </c>
      <c r="G9440" s="15" t="str">
        <f>IFERROR(__xludf.DUMMYFUNCTION("""COMPUTED_VALUE"""),"Zona azul")</f>
        <v>Zona azul</v>
      </c>
      <c r="H9440" s="16">
        <f>IFERROR(__xludf.DUMMYFUNCTION("""COMPUTED_VALUE"""),18042.0)</f>
        <v>18042</v>
      </c>
      <c r="I9440" s="17"/>
      <c r="J9440" s="17"/>
      <c r="K9440" s="17"/>
      <c r="L9440" s="17">
        <f>IFERROR(__xludf.DUMMYFUNCTION("""COMPUTED_VALUE"""),3.105626817E9)</f>
        <v>3105626817</v>
      </c>
      <c r="M9440" s="17"/>
      <c r="N9440" s="17"/>
      <c r="O9440" s="17"/>
      <c r="P9440" s="17" t="b">
        <f>IFERROR(__xludf.DUMMYFUNCTION("""COMPUTED_VALUE"""),FALSE)</f>
        <v>0</v>
      </c>
      <c r="Q9440" s="20" t="str">
        <f>IFERROR(__xludf.DUMMYFUNCTION("""COMPUTED_VALUE"""),"")</f>
        <v/>
      </c>
      <c r="R9440" s="21" t="str">
        <f>IFERROR(__xludf.DUMMYFUNCTION("""COMPUTED_VALUE"""),"https://drive.google.com/file/d/17kPbWxpPNzBm5viiXSsokELyLAXxr4O9/view?usp=drivesdk")</f>
        <v>https://drive.google.com/file/d/17kPbWxpPNzBm5viiXSsokELyLAXxr4O9/view?usp=drivesdk</v>
      </c>
    </row>
    <row r="9441">
      <c r="A9441" s="15">
        <f>IFERROR(__xludf.DUMMYFUNCTION("""COMPUTED_VALUE"""),45267.0)</f>
        <v>45267</v>
      </c>
      <c r="B9441" s="16" t="str">
        <f>IFERROR(__xludf.DUMMYFUNCTION("""COMPUTED_VALUE"""),"Envia")</f>
        <v>Envia</v>
      </c>
      <c r="C9441" s="15" t="str">
        <f>IFERROR(__xludf.DUMMYFUNCTION("""COMPUTED_VALUE"""),"BOGOTÁ")</f>
        <v>BOGOTÁ</v>
      </c>
      <c r="D9441" s="15" t="str">
        <f>IFERROR(__xludf.DUMMYFUNCTION("""COMPUTED_VALUE"""),"MEDELLÍN")</f>
        <v>MEDELLÍN</v>
      </c>
      <c r="E9441" s="15" t="str">
        <f>IFERROR(__xludf.DUMMYFUNCTION("""COMPUTED_VALUE"""),"Baby Chef")</f>
        <v>Baby Chef</v>
      </c>
      <c r="F9441" s="17" t="str">
        <f>IFERROR(__xludf.DUMMYFUNCTION("""COMPUTED_VALUE"""),"Calle 182 45 24 Torre 3 Apto 702 / . / .")</f>
        <v>Calle 182 45 24 Torre 3 Apto 702 / . / .</v>
      </c>
      <c r="G9441" s="15" t="str">
        <f>IFERROR(__xludf.DUMMYFUNCTION("""COMPUTED_VALUE"""),"Tatiana Olaya")</f>
        <v>Tatiana Olaya</v>
      </c>
      <c r="H9441" s="16">
        <f>IFERROR(__xludf.DUMMYFUNCTION("""COMPUTED_VALUE"""),18095.0)</f>
        <v>18095</v>
      </c>
      <c r="I9441" s="18">
        <f>IFERROR(__xludf.DUMMYFUNCTION("""COMPUTED_VALUE"""),11.0)</f>
        <v>11</v>
      </c>
      <c r="J9441" s="18">
        <f>IFERROR(__xludf.DUMMYFUNCTION("""COMPUTED_VALUE"""),21.0)</f>
        <v>21</v>
      </c>
      <c r="K9441" s="18">
        <f>IFERROR(__xludf.DUMMYFUNCTION("""COMPUTED_VALUE"""),20.0)</f>
        <v>20</v>
      </c>
      <c r="L9441" s="17">
        <f>IFERROR(__xludf.DUMMYFUNCTION("""COMPUTED_VALUE"""),3.11568834E9)</f>
        <v>3115688340</v>
      </c>
      <c r="M9441" s="17"/>
      <c r="N9441" s="17"/>
      <c r="O9441" s="17"/>
      <c r="P9441" s="17" t="b">
        <f>IFERROR(__xludf.DUMMYFUNCTION("""COMPUTED_VALUE"""),FALSE)</f>
        <v>0</v>
      </c>
      <c r="Q9441" s="20" t="str">
        <f>IFERROR(__xludf.DUMMYFUNCTION("""COMPUTED_VALUE"""),"")</f>
        <v/>
      </c>
      <c r="R9441" s="21" t="str">
        <f>IFERROR(__xludf.DUMMYFUNCTION("""COMPUTED_VALUE"""),"https://drive.google.com/file/d/1KUaLsKHVlaBxYOn3YEFqDwTx530h_CnC/view?usp=drivesdk")</f>
        <v>https://drive.google.com/file/d/1KUaLsKHVlaBxYOn3YEFqDwTx530h_CnC/view?usp=drivesdk</v>
      </c>
    </row>
    <row r="9442">
      <c r="A9442" s="15">
        <f>IFERROR(__xludf.DUMMYFUNCTION("""COMPUTED_VALUE"""),45267.0)</f>
        <v>45267</v>
      </c>
      <c r="B9442" s="16" t="str">
        <f>IFERROR(__xludf.DUMMYFUNCTION("""COMPUTED_VALUE"""),"Envia")</f>
        <v>Envia</v>
      </c>
      <c r="C9442" s="15" t="str">
        <f>IFERROR(__xludf.DUMMYFUNCTION("""COMPUTED_VALUE"""),"BOGOTÁ")</f>
        <v>BOGOTÁ</v>
      </c>
      <c r="D9442" s="15" t="str">
        <f>IFERROR(__xludf.DUMMYFUNCTION("""COMPUTED_VALUE"""),"MEDELLÍN")</f>
        <v>MEDELLÍN</v>
      </c>
      <c r="E9442" s="15" t="str">
        <f>IFERROR(__xludf.DUMMYFUNCTION("""COMPUTED_VALUE"""),"Baby Chef")</f>
        <v>Baby Chef</v>
      </c>
      <c r="F9442" s="17" t="str">
        <f>IFERROR(__xludf.DUMMYFUNCTION("""COMPUTED_VALUE"""),"Carrera 61A#90-19 casa barrio Los Andes / . / .")</f>
        <v>Carrera 61A#90-19 casa barrio Los Andes / . / .</v>
      </c>
      <c r="G9442" s="15" t="str">
        <f>IFERROR(__xludf.DUMMYFUNCTION("""COMPUTED_VALUE"""),"Marcela Perez Herrera")</f>
        <v>Marcela Perez Herrera</v>
      </c>
      <c r="H9442" s="16">
        <f>IFERROR(__xludf.DUMMYFUNCTION("""COMPUTED_VALUE"""),18097.0)</f>
        <v>18097</v>
      </c>
      <c r="I9442" s="18">
        <f>IFERROR(__xludf.DUMMYFUNCTION("""COMPUTED_VALUE"""),12.0)</f>
        <v>12</v>
      </c>
      <c r="J9442" s="18">
        <f>IFERROR(__xludf.DUMMYFUNCTION("""COMPUTED_VALUE"""),21.0)</f>
        <v>21</v>
      </c>
      <c r="K9442" s="18">
        <f>IFERROR(__xludf.DUMMYFUNCTION("""COMPUTED_VALUE"""),38.0)</f>
        <v>38</v>
      </c>
      <c r="L9442" s="17">
        <f>IFERROR(__xludf.DUMMYFUNCTION("""COMPUTED_VALUE"""),3.158755774E9)</f>
        <v>3158755774</v>
      </c>
      <c r="M9442" s="17"/>
      <c r="N9442" s="17"/>
      <c r="O9442" s="17"/>
      <c r="P9442" s="17" t="b">
        <f>IFERROR(__xludf.DUMMYFUNCTION("""COMPUTED_VALUE"""),FALSE)</f>
        <v>0</v>
      </c>
      <c r="Q9442" s="20" t="str">
        <f>IFERROR(__xludf.DUMMYFUNCTION("""COMPUTED_VALUE"""),"")</f>
        <v/>
      </c>
      <c r="R9442" s="21" t="str">
        <f>IFERROR(__xludf.DUMMYFUNCTION("""COMPUTED_VALUE"""),"https://drive.google.com/file/d/10hA2L2wN1TABlzb-4seha3tecFo-8WhM/view?usp=drivesdk")</f>
        <v>https://drive.google.com/file/d/10hA2L2wN1TABlzb-4seha3tecFo-8WhM/view?usp=drivesdk</v>
      </c>
    </row>
    <row r="9443">
      <c r="A9443" s="15">
        <f>IFERROR(__xludf.DUMMYFUNCTION("""COMPUTED_VALUE"""),45267.0)</f>
        <v>45267</v>
      </c>
      <c r="B9443" s="16" t="str">
        <f>IFERROR(__xludf.DUMMYFUNCTION("""COMPUTED_VALUE"""),"Envia")</f>
        <v>Envia</v>
      </c>
      <c r="C9443" s="15" t="str">
        <f>IFERROR(__xludf.DUMMYFUNCTION("""COMPUTED_VALUE"""),"BOGOTÁ")</f>
        <v>BOGOTÁ</v>
      </c>
      <c r="D9443" s="15" t="str">
        <f>IFERROR(__xludf.DUMMYFUNCTION("""COMPUTED_VALUE"""),"MEDELLÍN")</f>
        <v>MEDELLÍN</v>
      </c>
      <c r="E9443" s="15" t="str">
        <f>IFERROR(__xludf.DUMMYFUNCTION("""COMPUTED_VALUE"""),"Cocina Artesanal")</f>
        <v>Cocina Artesanal</v>
      </c>
      <c r="F9443" s="17" t="str">
        <f>IFERROR(__xludf.DUMMYFUNCTION("""COMPUTED_VALUE"""),"Calle 81 #13-5 Local 011A / Centro comercial Atlantis / Zona Rosa")</f>
        <v>Calle 81 #13-5 Local 011A / Centro comercial Atlantis / Zona Rosa</v>
      </c>
      <c r="G9443" s="15" t="str">
        <f>IFERROR(__xludf.DUMMYFUNCTION("""COMPUTED_VALUE"""),"Zulay Betancourt")</f>
        <v>Zulay Betancourt</v>
      </c>
      <c r="H9443" s="16">
        <f>IFERROR(__xludf.DUMMYFUNCTION("""COMPUTED_VALUE"""),18092.0)</f>
        <v>18092</v>
      </c>
      <c r="I9443" s="18">
        <f>IFERROR(__xludf.DUMMYFUNCTION("""COMPUTED_VALUE"""),26.0)</f>
        <v>26</v>
      </c>
      <c r="J9443" s="18">
        <f>IFERROR(__xludf.DUMMYFUNCTION("""COMPUTED_VALUE"""),20.0)</f>
        <v>20</v>
      </c>
      <c r="K9443" s="18">
        <f>IFERROR(__xludf.DUMMYFUNCTION("""COMPUTED_VALUE"""),44.0)</f>
        <v>44</v>
      </c>
      <c r="L9443" s="17">
        <f>IFERROR(__xludf.DUMMYFUNCTION("""COMPUTED_VALUE"""),3.046406412E9)</f>
        <v>3046406412</v>
      </c>
      <c r="M9443" s="17"/>
      <c r="N9443" s="17"/>
      <c r="O9443" s="17"/>
      <c r="P9443" s="17" t="b">
        <f>IFERROR(__xludf.DUMMYFUNCTION("""COMPUTED_VALUE"""),FALSE)</f>
        <v>0</v>
      </c>
      <c r="Q9443" s="20" t="str">
        <f>IFERROR(__xludf.DUMMYFUNCTION("""COMPUTED_VALUE"""),"")</f>
        <v/>
      </c>
      <c r="R9443" s="21" t="str">
        <f>IFERROR(__xludf.DUMMYFUNCTION("""COMPUTED_VALUE"""),"https://drive.google.com/file/d/11807ngZd5ErzBMzkCjFyp74LJZfOYwVC/view?usp=drivesdk")</f>
        <v>https://drive.google.com/file/d/11807ngZd5ErzBMzkCjFyp74LJZfOYwVC/view?usp=drivesdk</v>
      </c>
    </row>
    <row r="9444">
      <c r="A9444" s="15">
        <f>IFERROR(__xludf.DUMMYFUNCTION("""COMPUTED_VALUE"""),45267.0)</f>
        <v>45267</v>
      </c>
      <c r="B9444" s="16" t="str">
        <f>IFERROR(__xludf.DUMMYFUNCTION("""COMPUTED_VALUE"""),"Envia")</f>
        <v>Envia</v>
      </c>
      <c r="C9444" s="15" t="str">
        <f>IFERROR(__xludf.DUMMYFUNCTION("""COMPUTED_VALUE"""),"BOGOTÁ")</f>
        <v>BOGOTÁ</v>
      </c>
      <c r="D9444" s="15" t="str">
        <f>IFERROR(__xludf.DUMMYFUNCTION("""COMPUTED_VALUE"""),"MEDELLÍN")</f>
        <v>MEDELLÍN</v>
      </c>
      <c r="E9444" s="15" t="str">
        <f>IFERROR(__xludf.DUMMYFUNCTION("""COMPUTED_VALUE"""),"Puro Verde")</f>
        <v>Puro Verde</v>
      </c>
      <c r="F9444" s="17" t="str">
        <f>IFERROR(__xludf.DUMMYFUNCTION("""COMPUTED_VALUE"""),"CRA 16A # 77-23 / LOCAL 4 / BARRIO EL LAGO")</f>
        <v>CRA 16A # 77-23 / LOCAL 4 / BARRIO EL LAGO</v>
      </c>
      <c r="G9444" s="15" t="str">
        <f>IFERROR(__xludf.DUMMYFUNCTION("""COMPUTED_VALUE"""),"DANDO CUERDA")</f>
        <v>DANDO CUERDA</v>
      </c>
      <c r="H9444" s="16">
        <f>IFERROR(__xludf.DUMMYFUNCTION("""COMPUTED_VALUE"""),17973.0)</f>
        <v>17973</v>
      </c>
      <c r="I9444" s="18">
        <f>IFERROR(__xludf.DUMMYFUNCTION("""COMPUTED_VALUE"""),55.0)</f>
        <v>55</v>
      </c>
      <c r="J9444" s="18">
        <f>IFERROR(__xludf.DUMMYFUNCTION("""COMPUTED_VALUE"""),45.0)</f>
        <v>45</v>
      </c>
      <c r="K9444" s="18" t="str">
        <f>IFERROR(__xludf.DUMMYFUNCTION("""COMPUTED_VALUE"""),"52.5")</f>
        <v>52.5</v>
      </c>
      <c r="L9444" s="17">
        <f>IFERROR(__xludf.DUMMYFUNCTION("""COMPUTED_VALUE"""),3.163816691E9)</f>
        <v>3163816691</v>
      </c>
      <c r="M9444" s="17"/>
      <c r="N9444" s="17"/>
      <c r="O9444" s="17"/>
      <c r="P9444" s="17" t="b">
        <f>IFERROR(__xludf.DUMMYFUNCTION("""COMPUTED_VALUE"""),FALSE)</f>
        <v>0</v>
      </c>
      <c r="Q9444" s="20" t="str">
        <f>IFERROR(__xludf.DUMMYFUNCTION("""COMPUTED_VALUE"""),"")</f>
        <v/>
      </c>
      <c r="R9444" s="21" t="str">
        <f>IFERROR(__xludf.DUMMYFUNCTION("""COMPUTED_VALUE"""),"https://drive.google.com/file/d/14sfcamKL183xPIfGUngU8ZYU4o-he9b7/view?usp=drivesdk")</f>
        <v>https://drive.google.com/file/d/14sfcamKL183xPIfGUngU8ZYU4o-he9b7/view?usp=drivesdk</v>
      </c>
    </row>
    <row r="9445">
      <c r="A9445" s="15">
        <f>IFERROR(__xludf.DUMMYFUNCTION("""COMPUTED_VALUE"""),45267.0)</f>
        <v>45267</v>
      </c>
      <c r="B9445" s="16" t="str">
        <f>IFERROR(__xludf.DUMMYFUNCTION("""COMPUTED_VALUE"""),"Envia")</f>
        <v>Envia</v>
      </c>
      <c r="C9445" s="15" t="str">
        <f>IFERROR(__xludf.DUMMYFUNCTION("""COMPUTED_VALUE"""),"BUCARAMANGA")</f>
        <v>BUCARAMANGA</v>
      </c>
      <c r="D9445" s="15" t="str">
        <f>IFERROR(__xludf.DUMMYFUNCTION("""COMPUTED_VALUE"""),"BOGOTÁ")</f>
        <v>BOGOTÁ</v>
      </c>
      <c r="E9445" s="15" t="str">
        <f>IFERROR(__xludf.DUMMYFUNCTION("""COMPUTED_VALUE"""),"LINA PAOLA RAMIREZ GOMEZ - EVA MAZZITA")</f>
        <v>LINA PAOLA RAMIREZ GOMEZ - EVA MAZZITA</v>
      </c>
      <c r="F9445" s="17" t="str">
        <f>IFERROR(__xludf.DUMMYFUNCTION("""COMPUTED_VALUE"""),"cr 27 #84-18 / conjunto Terranova apto 804 torre 2 Diamante 2")</f>
        <v>cr 27 #84-18 / conjunto Terranova apto 804 torre 2 Diamante 2</v>
      </c>
      <c r="G9445" s="15" t="str">
        <f>IFERROR(__xludf.DUMMYFUNCTION("""COMPUTED_VALUE"""),"TATHIANA CAMACHO BECERRA")</f>
        <v>TATHIANA CAMACHO BECERRA</v>
      </c>
      <c r="H9445" s="16">
        <f>IFERROR(__xludf.DUMMYFUNCTION("""COMPUTED_VALUE"""),18081.0)</f>
        <v>18081</v>
      </c>
      <c r="I9445" s="17"/>
      <c r="J9445" s="17"/>
      <c r="K9445" s="17"/>
      <c r="L9445" s="17">
        <f>IFERROR(__xludf.DUMMYFUNCTION("""COMPUTED_VALUE"""),3.183934947E9)</f>
        <v>3183934947</v>
      </c>
      <c r="M9445" s="17"/>
      <c r="N9445" s="17"/>
      <c r="O9445" s="17"/>
      <c r="P9445" s="17" t="b">
        <f>IFERROR(__xludf.DUMMYFUNCTION("""COMPUTED_VALUE"""),FALSE)</f>
        <v>0</v>
      </c>
      <c r="Q9445" s="20" t="str">
        <f>IFERROR(__xludf.DUMMYFUNCTION("""COMPUTED_VALUE"""),"")</f>
        <v/>
      </c>
      <c r="R9445" s="21" t="str">
        <f>IFERROR(__xludf.DUMMYFUNCTION("""COMPUTED_VALUE"""),"https://drive.google.com/file/d/14gTgB5b3KT1Pb5B0qUrXDHwlU9AxpaH-/view?usp=drivesdk")</f>
        <v>https://drive.google.com/file/d/14gTgB5b3KT1Pb5B0qUrXDHwlU9AxpaH-/view?usp=drivesdk</v>
      </c>
    </row>
    <row r="9446">
      <c r="A9446" s="15">
        <f>IFERROR(__xludf.DUMMYFUNCTION("""COMPUTED_VALUE"""),45267.0)</f>
        <v>45267</v>
      </c>
      <c r="B9446" s="16" t="str">
        <f>IFERROR(__xludf.DUMMYFUNCTION("""COMPUTED_VALUE"""),"Envia")</f>
        <v>Envia</v>
      </c>
      <c r="C9446" s="15" t="str">
        <f>IFERROR(__xludf.DUMMYFUNCTION("""COMPUTED_VALUE"""),"CALI")</f>
        <v>CALI</v>
      </c>
      <c r="D9446" s="15" t="str">
        <f>IFERROR(__xludf.DUMMYFUNCTION("""COMPUTED_VALUE"""),"BOGOTÁ")</f>
        <v>BOGOTÁ</v>
      </c>
      <c r="E9446" s="15" t="str">
        <f>IFERROR(__xludf.DUMMYFUNCTION("""COMPUTED_VALUE"""),"Athenas")</f>
        <v>Athenas</v>
      </c>
      <c r="F9446" s="17" t="str">
        <f>IFERROR(__xludf.DUMMYFUNCTION("""COMPUTED_VALUE"""),"Calle 48# 85-54 / BODYTECH CAFETERIA / CANEY")</f>
        <v>Calle 48# 85-54 / BODYTECH CAFETERIA / CANEY</v>
      </c>
      <c r="G9446" s="15" t="str">
        <f>IFERROR(__xludf.DUMMYFUNCTION("""COMPUTED_VALUE"""),"JORGE PARRA")</f>
        <v>JORGE PARRA</v>
      </c>
      <c r="H9446" s="16">
        <f>IFERROR(__xludf.DUMMYFUNCTION("""COMPUTED_VALUE"""),17944.0)</f>
        <v>17944</v>
      </c>
      <c r="I9446" s="18">
        <f>IFERROR(__xludf.DUMMYFUNCTION("""COMPUTED_VALUE"""),29.0)</f>
        <v>29</v>
      </c>
      <c r="J9446" s="18">
        <f>IFERROR(__xludf.DUMMYFUNCTION("""COMPUTED_VALUE"""),55.0)</f>
        <v>55</v>
      </c>
      <c r="K9446" s="18">
        <f>IFERROR(__xludf.DUMMYFUNCTION("""COMPUTED_VALUE"""),45.0)</f>
        <v>45</v>
      </c>
      <c r="L9446" s="17">
        <f>IFERROR(__xludf.DUMMYFUNCTION("""COMPUTED_VALUE"""),3.246801614E9)</f>
        <v>3246801614</v>
      </c>
      <c r="M9446" s="17"/>
      <c r="N9446" s="17"/>
      <c r="O9446" s="17"/>
      <c r="P9446" s="17" t="b">
        <f>IFERROR(__xludf.DUMMYFUNCTION("""COMPUTED_VALUE"""),FALSE)</f>
        <v>0</v>
      </c>
      <c r="Q9446" s="20" t="str">
        <f>IFERROR(__xludf.DUMMYFUNCTION("""COMPUTED_VALUE"""),"")</f>
        <v/>
      </c>
      <c r="R9446" s="21" t="str">
        <f>IFERROR(__xludf.DUMMYFUNCTION("""COMPUTED_VALUE"""),"https://drive.google.com/file/d/1QQOPckdTgvuVvoQnywOQQo28PQTvxbN4/view?usp=drivesdk")</f>
        <v>https://drive.google.com/file/d/1QQOPckdTgvuVvoQnywOQQo28PQTvxbN4/view?usp=drivesdk</v>
      </c>
    </row>
    <row r="9447">
      <c r="A9447" s="15">
        <f>IFERROR(__xludf.DUMMYFUNCTION("""COMPUTED_VALUE"""),45267.0)</f>
        <v>45267</v>
      </c>
      <c r="B9447" s="16" t="str">
        <f>IFERROR(__xludf.DUMMYFUNCTION("""COMPUTED_VALUE"""),"Envia")</f>
        <v>Envia</v>
      </c>
      <c r="C9447" s="15" t="str">
        <f>IFERROR(__xludf.DUMMYFUNCTION("""COMPUTED_VALUE"""),"CALI")</f>
        <v>CALI</v>
      </c>
      <c r="D9447" s="15" t="str">
        <f>IFERROR(__xludf.DUMMYFUNCTION("""COMPUTED_VALUE"""),"BOGOTÁ")</f>
        <v>BOGOTÁ</v>
      </c>
      <c r="E9447" s="15" t="str">
        <f>IFERROR(__xludf.DUMMYFUNCTION("""COMPUTED_VALUE"""),"Grupo Hakim")</f>
        <v>Grupo Hakim</v>
      </c>
      <c r="F9447" s="17" t="str">
        <f>IFERROR(__xludf.DUMMYFUNCTION("""COMPUTED_VALUE"""),"CALLE 27 NORTE # 6AN - 20 / ALMACENES OLY / BARRIO SANTA MONICA")</f>
        <v>CALLE 27 NORTE # 6AN - 20 / ALMACENES OLY / BARRIO SANTA MONICA</v>
      </c>
      <c r="G9447" s="15" t="str">
        <f>IFERROR(__xludf.DUMMYFUNCTION("""COMPUTED_VALUE"""),"DENISE HAKIM")</f>
        <v>DENISE HAKIM</v>
      </c>
      <c r="H9447" s="16">
        <f>IFERROR(__xludf.DUMMYFUNCTION("""COMPUTED_VALUE"""),18069.0)</f>
        <v>18069</v>
      </c>
      <c r="I9447" s="18">
        <f>IFERROR(__xludf.DUMMYFUNCTION("""COMPUTED_VALUE"""),105.0)</f>
        <v>105</v>
      </c>
      <c r="J9447" s="18">
        <f>IFERROR(__xludf.DUMMYFUNCTION("""COMPUTED_VALUE"""),55.0)</f>
        <v>55</v>
      </c>
      <c r="K9447" s="18">
        <f>IFERROR(__xludf.DUMMYFUNCTION("""COMPUTED_VALUE"""),45.0)</f>
        <v>45</v>
      </c>
      <c r="L9447" s="17">
        <f>IFERROR(__xludf.DUMMYFUNCTION("""COMPUTED_VALUE"""),3.124797615E9)</f>
        <v>3124797615</v>
      </c>
      <c r="M9447" s="17"/>
      <c r="N9447" s="17"/>
      <c r="O9447" s="17"/>
      <c r="P9447" s="17" t="b">
        <f>IFERROR(__xludf.DUMMYFUNCTION("""COMPUTED_VALUE"""),FALSE)</f>
        <v>0</v>
      </c>
      <c r="Q9447" s="20" t="str">
        <f>IFERROR(__xludf.DUMMYFUNCTION("""COMPUTED_VALUE"""),"")</f>
        <v/>
      </c>
      <c r="R9447" s="21" t="str">
        <f>IFERROR(__xludf.DUMMYFUNCTION("""COMPUTED_VALUE"""),"https://drive.google.com/file/d/1as13wTG-ozri6nitH2MwTu-g4iWW9wq8/view?usp=drivesdk")</f>
        <v>https://drive.google.com/file/d/1as13wTG-ozri6nitH2MwTu-g4iWW9wq8/view?usp=drivesdk</v>
      </c>
    </row>
    <row r="9448">
      <c r="A9448" s="15">
        <f>IFERROR(__xludf.DUMMYFUNCTION("""COMPUTED_VALUE"""),45267.0)</f>
        <v>45267</v>
      </c>
      <c r="B9448" s="16" t="str">
        <f>IFERROR(__xludf.DUMMYFUNCTION("""COMPUTED_VALUE"""),"Envia")</f>
        <v>Envia</v>
      </c>
      <c r="C9448" s="15" t="str">
        <f>IFERROR(__xludf.DUMMYFUNCTION("""COMPUTED_VALUE"""),"CALI")</f>
        <v>CALI</v>
      </c>
      <c r="D9448" s="15" t="str">
        <f>IFERROR(__xludf.DUMMYFUNCTION("""COMPUTED_VALUE"""),"BOGOTÁ")</f>
        <v>BOGOTÁ</v>
      </c>
      <c r="E9448" s="15" t="str">
        <f>IFERROR(__xludf.DUMMYFUNCTION("""COMPUTED_VALUE"""),"Renata")</f>
        <v>Renata</v>
      </c>
      <c r="F9448" s="17" t="str">
        <f>IFERROR(__xludf.DUMMYFUNCTION("""COMPUTED_VALUE"""),"Carrera 3#3a-83 / Patio 34 food containers -restaurante  / San Fernando")</f>
        <v>Carrera 3#3a-83 / Patio 34 food containers -restaurante  / San Fernando</v>
      </c>
      <c r="G9448" s="15" t="str">
        <f>IFERROR(__xludf.DUMMYFUNCTION("""COMPUTED_VALUE"""),"Retaco sas")</f>
        <v>Retaco sas</v>
      </c>
      <c r="H9448" s="16">
        <f>IFERROR(__xludf.DUMMYFUNCTION("""COMPUTED_VALUE"""),18100.0)</f>
        <v>18100</v>
      </c>
      <c r="I9448" s="18">
        <f>IFERROR(__xludf.DUMMYFUNCTION("""COMPUTED_VALUE"""),90.0)</f>
        <v>90</v>
      </c>
      <c r="J9448" s="18">
        <f>IFERROR(__xludf.DUMMYFUNCTION("""COMPUTED_VALUE"""),70.0)</f>
        <v>70</v>
      </c>
      <c r="K9448" s="18">
        <f>IFERROR(__xludf.DUMMYFUNCTION("""COMPUTED_VALUE"""),60.0)</f>
        <v>60</v>
      </c>
      <c r="L9448" s="17">
        <f>IFERROR(__xludf.DUMMYFUNCTION("""COMPUTED_VALUE"""),3.134720976E9)</f>
        <v>3134720976</v>
      </c>
      <c r="M9448" s="17"/>
      <c r="N9448" s="17"/>
      <c r="O9448" s="17"/>
      <c r="P9448" s="17" t="b">
        <f>IFERROR(__xludf.DUMMYFUNCTION("""COMPUTED_VALUE"""),FALSE)</f>
        <v>0</v>
      </c>
      <c r="Q9448" s="20" t="str">
        <f>IFERROR(__xludf.DUMMYFUNCTION("""COMPUTED_VALUE"""),"")</f>
        <v/>
      </c>
      <c r="R9448" s="21" t="str">
        <f>IFERROR(__xludf.DUMMYFUNCTION("""COMPUTED_VALUE"""),"https://drive.google.com/file/d/1QFYwZK3AdGxbI6Ch5JLnVszzByRkNZ-s/view?usp=drivesdk")</f>
        <v>https://drive.google.com/file/d/1QFYwZK3AdGxbI6Ch5JLnVszzByRkNZ-s/view?usp=drivesdk</v>
      </c>
    </row>
    <row r="9449">
      <c r="A9449" s="15">
        <f>IFERROR(__xludf.DUMMYFUNCTION("""COMPUTED_VALUE"""),45267.0)</f>
        <v>45267</v>
      </c>
      <c r="B9449" s="16" t="str">
        <f>IFERROR(__xludf.DUMMYFUNCTION("""COMPUTED_VALUE"""),"Envia")</f>
        <v>Envia</v>
      </c>
      <c r="C9449" s="15" t="str">
        <f>IFERROR(__xludf.DUMMYFUNCTION("""COMPUTED_VALUE"""),"CALI")</f>
        <v>CALI</v>
      </c>
      <c r="D9449" s="15" t="str">
        <f>IFERROR(__xludf.DUMMYFUNCTION("""COMPUTED_VALUE"""),"PEREIRA")</f>
        <v>PEREIRA</v>
      </c>
      <c r="E9449" s="15" t="str">
        <f>IFERROR(__xludf.DUMMYFUNCTION("""COMPUTED_VALUE"""),"YULIED")</f>
        <v>YULIED</v>
      </c>
      <c r="F9449" s="17" t="str">
        <f>IFERROR(__xludf.DUMMYFUNCTION("""COMPUTED_VALUE"""),"CRA 105 B -15 B 45 CENTRO COMERCIAL LAS VELAS / LOCAL 7")</f>
        <v>CRA 105 B -15 B 45 CENTRO COMERCIAL LAS VELAS / LOCAL 7</v>
      </c>
      <c r="G9449" s="15" t="str">
        <f>IFERROR(__xludf.DUMMYFUNCTION("""COMPUTED_VALUE"""),"GRUPO EMPRESARIAL DIGITAL")</f>
        <v>GRUPO EMPRESARIAL DIGITAL</v>
      </c>
      <c r="H9449" s="16">
        <f>IFERROR(__xludf.DUMMYFUNCTION("""COMPUTED_VALUE"""),18049.0)</f>
        <v>18049</v>
      </c>
      <c r="I9449" s="17"/>
      <c r="J9449" s="17"/>
      <c r="K9449" s="17"/>
      <c r="L9449" s="17">
        <f>IFERROR(__xludf.DUMMYFUNCTION("""COMPUTED_VALUE"""),3.152542618E9)</f>
        <v>3152542618</v>
      </c>
      <c r="M9449" s="17"/>
      <c r="N9449" s="17"/>
      <c r="O9449" s="17"/>
      <c r="P9449" s="17" t="b">
        <f>IFERROR(__xludf.DUMMYFUNCTION("""COMPUTED_VALUE"""),FALSE)</f>
        <v>0</v>
      </c>
      <c r="Q9449" s="20" t="str">
        <f>IFERROR(__xludf.DUMMYFUNCTION("""COMPUTED_VALUE"""),"")</f>
        <v/>
      </c>
      <c r="R9449" s="21" t="str">
        <f>IFERROR(__xludf.DUMMYFUNCTION("""COMPUTED_VALUE"""),"https://drive.google.com/file/d/1z928VYPm-00lLYXig1q3sa_RdJItGafW/view?usp=drivesdk")</f>
        <v>https://drive.google.com/file/d/1z928VYPm-00lLYXig1q3sa_RdJItGafW/view?usp=drivesdk</v>
      </c>
    </row>
    <row r="9450">
      <c r="A9450" s="15">
        <f>IFERROR(__xludf.DUMMYFUNCTION("""COMPUTED_VALUE"""),45267.0)</f>
        <v>45267</v>
      </c>
      <c r="B9450" s="16" t="str">
        <f>IFERROR(__xludf.DUMMYFUNCTION("""COMPUTED_VALUE"""),"Envia")</f>
        <v>Envia</v>
      </c>
      <c r="C9450" s="15" t="str">
        <f>IFERROR(__xludf.DUMMYFUNCTION("""COMPUTED_VALUE"""),"CARTAGENA")</f>
        <v>CARTAGENA</v>
      </c>
      <c r="D9450" s="15" t="str">
        <f>IFERROR(__xludf.DUMMYFUNCTION("""COMPUTED_VALUE"""),"MEDELLÍN")</f>
        <v>MEDELLÍN</v>
      </c>
      <c r="E9450" s="15" t="str">
        <f>IFERROR(__xludf.DUMMYFUNCTION("""COMPUTED_VALUE"""),"Baby Chef")</f>
        <v>Baby Chef</v>
      </c>
      <c r="F9450" s="17" t="str">
        <f>IFERROR(__xludf.DUMMYFUNCTION("""COMPUTED_VALUE"""),"Castillogrande carrera 8 #5A-56 Edificio Positano Apto 2001 / . / .")</f>
        <v>Castillogrande carrera 8 #5A-56 Edificio Positano Apto 2001 / . / .</v>
      </c>
      <c r="G9450" s="15" t="str">
        <f>IFERROR(__xludf.DUMMYFUNCTION("""COMPUTED_VALUE"""),"Angelina Alvarez")</f>
        <v>Angelina Alvarez</v>
      </c>
      <c r="H9450" s="16">
        <f>IFERROR(__xludf.DUMMYFUNCTION("""COMPUTED_VALUE"""),18023.0)</f>
        <v>18023</v>
      </c>
      <c r="I9450" s="18">
        <f>IFERROR(__xludf.DUMMYFUNCTION("""COMPUTED_VALUE"""),8.0)</f>
        <v>8</v>
      </c>
      <c r="J9450" s="18">
        <f>IFERROR(__xludf.DUMMYFUNCTION("""COMPUTED_VALUE"""),21.0)</f>
        <v>21</v>
      </c>
      <c r="K9450" s="18">
        <f>IFERROR(__xludf.DUMMYFUNCTION("""COMPUTED_VALUE"""),25.0)</f>
        <v>25</v>
      </c>
      <c r="L9450" s="17">
        <f>IFERROR(__xludf.DUMMYFUNCTION("""COMPUTED_VALUE"""),3.116232344E9)</f>
        <v>3116232344</v>
      </c>
      <c r="M9450" s="17"/>
      <c r="N9450" s="17"/>
      <c r="O9450" s="17"/>
      <c r="P9450" s="17" t="b">
        <f>IFERROR(__xludf.DUMMYFUNCTION("""COMPUTED_VALUE"""),FALSE)</f>
        <v>0</v>
      </c>
      <c r="Q9450" s="20" t="str">
        <f>IFERROR(__xludf.DUMMYFUNCTION("""COMPUTED_VALUE"""),"")</f>
        <v/>
      </c>
      <c r="R9450" s="21" t="str">
        <f>IFERROR(__xludf.DUMMYFUNCTION("""COMPUTED_VALUE"""),"https://drive.google.com/file/d/1LmaGJ0ilPefZdC1aqJ9q5wb6UNp_HHun/view?usp=drivesdk")</f>
        <v>https://drive.google.com/file/d/1LmaGJ0ilPefZdC1aqJ9q5wb6UNp_HHun/view?usp=drivesdk</v>
      </c>
    </row>
    <row r="9451">
      <c r="A9451" s="15">
        <f>IFERROR(__xludf.DUMMYFUNCTION("""COMPUTED_VALUE"""),45267.0)</f>
        <v>45267</v>
      </c>
      <c r="B9451" s="16" t="str">
        <f>IFERROR(__xludf.DUMMYFUNCTION("""COMPUTED_VALUE"""),"Envia")</f>
        <v>Envia</v>
      </c>
      <c r="C9451" s="15" t="str">
        <f>IFERROR(__xludf.DUMMYFUNCTION("""COMPUTED_VALUE"""),"CARTAGENA")</f>
        <v>CARTAGENA</v>
      </c>
      <c r="D9451" s="15" t="str">
        <f>IFERROR(__xludf.DUMMYFUNCTION("""COMPUTED_VALUE"""),"MEDELLÍN")</f>
        <v>MEDELLÍN</v>
      </c>
      <c r="E9451" s="15" t="str">
        <f>IFERROR(__xludf.DUMMYFUNCTION("""COMPUTED_VALUE"""),"Todo Bufala")</f>
        <v>Todo Bufala</v>
      </c>
      <c r="F9451" s="17" t="str">
        <f>IFERROR(__xludf.DUMMYFUNCTION("""COMPUTED_VALUE"""),"Calle media luna #10-46 (Cra 30) / Pizzeria media luna - Cartagena de indias")</f>
        <v>Calle media luna #10-46 (Cra 30) / Pizzeria media luna - Cartagena de indias</v>
      </c>
      <c r="G9451" s="15" t="str">
        <f>IFERROR(__xludf.DUMMYFUNCTION("""COMPUTED_VALUE"""),"Media Luna Getsemani SAS")</f>
        <v>Media Luna Getsemani SAS</v>
      </c>
      <c r="H9451" s="16">
        <f>IFERROR(__xludf.DUMMYFUNCTION("""COMPUTED_VALUE"""),17932.0)</f>
        <v>17932</v>
      </c>
      <c r="I9451" s="17"/>
      <c r="J9451" s="17"/>
      <c r="K9451" s="17"/>
      <c r="L9451" s="17"/>
      <c r="M9451" s="17"/>
      <c r="N9451" s="17"/>
      <c r="O9451" s="17"/>
      <c r="P9451" s="17" t="b">
        <f>IFERROR(__xludf.DUMMYFUNCTION("""COMPUTED_VALUE"""),FALSE)</f>
        <v>0</v>
      </c>
      <c r="Q9451" s="20" t="str">
        <f>IFERROR(__xludf.DUMMYFUNCTION("""COMPUTED_VALUE"""),"")</f>
        <v/>
      </c>
      <c r="R9451" s="21" t="str">
        <f>IFERROR(__xludf.DUMMYFUNCTION("""COMPUTED_VALUE"""),"https://drive.google.com/file/d/1R6FYHsrPoZBC-cyR8LKM5L_J1ENb5syY/view?usp=drivesdk")</f>
        <v>https://drive.google.com/file/d/1R6FYHsrPoZBC-cyR8LKM5L_J1ENb5syY/view?usp=drivesdk</v>
      </c>
    </row>
    <row r="9452">
      <c r="A9452" s="15">
        <f>IFERROR(__xludf.DUMMYFUNCTION("""COMPUTED_VALUE"""),45267.0)</f>
        <v>45267</v>
      </c>
      <c r="B9452" s="16" t="str">
        <f>IFERROR(__xludf.DUMMYFUNCTION("""COMPUTED_VALUE"""),"Envia")</f>
        <v>Envia</v>
      </c>
      <c r="C9452" s="15" t="str">
        <f>IFERROR(__xludf.DUMMYFUNCTION("""COMPUTED_VALUE"""),"CÚCUTA")</f>
        <v>CÚCUTA</v>
      </c>
      <c r="D9452" s="15" t="str">
        <f>IFERROR(__xludf.DUMMYFUNCTION("""COMPUTED_VALUE"""),"BOGOTÁ")</f>
        <v>BOGOTÁ</v>
      </c>
      <c r="E9452" s="15" t="str">
        <f>IFERROR(__xludf.DUMMYFUNCTION("""COMPUTED_VALUE"""),"LINA PAOLA RAMIREZ GOMEZ - EVA MAZZITA")</f>
        <v>LINA PAOLA RAMIREZ GOMEZ - EVA MAZZITA</v>
      </c>
      <c r="F9452" s="17" t="str">
        <f>IFERROR(__xludf.DUMMYFUNCTION("""COMPUTED_VALUE"""),"Av 2E # 15A -17 Caobos / Caobos")</f>
        <v>Av 2E # 15A -17 Caobos / Caobos</v>
      </c>
      <c r="G9452" s="15" t="str">
        <f>IFERROR(__xludf.DUMMYFUNCTION("""COMPUTED_VALUE"""),"DACCY KARINA LOPEZ MORENO")</f>
        <v>DACCY KARINA LOPEZ MORENO</v>
      </c>
      <c r="H9452" s="16">
        <f>IFERROR(__xludf.DUMMYFUNCTION("""COMPUTED_VALUE"""),18050.0)</f>
        <v>18050</v>
      </c>
      <c r="I9452" s="17"/>
      <c r="J9452" s="17"/>
      <c r="K9452" s="17"/>
      <c r="L9452" s="17">
        <f>IFERROR(__xludf.DUMMYFUNCTION("""COMPUTED_VALUE"""),3.208615379E9)</f>
        <v>3208615379</v>
      </c>
      <c r="M9452" s="17"/>
      <c r="N9452" s="17"/>
      <c r="O9452" s="17"/>
      <c r="P9452" s="17" t="b">
        <f>IFERROR(__xludf.DUMMYFUNCTION("""COMPUTED_VALUE"""),FALSE)</f>
        <v>0</v>
      </c>
      <c r="Q9452" s="20" t="str">
        <f>IFERROR(__xludf.DUMMYFUNCTION("""COMPUTED_VALUE"""),"")</f>
        <v/>
      </c>
      <c r="R9452" s="21" t="str">
        <f>IFERROR(__xludf.DUMMYFUNCTION("""COMPUTED_VALUE"""),"https://drive.google.com/file/d/1Xl7rXpACeyRfP3l8T-L11t4hqgjZMrvJ/view?usp=drivesdk")</f>
        <v>https://drive.google.com/file/d/1Xl7rXpACeyRfP3l8T-L11t4hqgjZMrvJ/view?usp=drivesdk</v>
      </c>
    </row>
    <row r="9453">
      <c r="A9453" s="15">
        <f>IFERROR(__xludf.DUMMYFUNCTION("""COMPUTED_VALUE"""),45267.0)</f>
        <v>45267</v>
      </c>
      <c r="B9453" s="16" t="str">
        <f>IFERROR(__xludf.DUMMYFUNCTION("""COMPUTED_VALUE"""),"Envia")</f>
        <v>Envia</v>
      </c>
      <c r="C9453" s="15" t="str">
        <f>IFERROR(__xludf.DUMMYFUNCTION("""COMPUTED_VALUE"""),"CÚCUTA")</f>
        <v>CÚCUTA</v>
      </c>
      <c r="D9453" s="15" t="str">
        <f>IFERROR(__xludf.DUMMYFUNCTION("""COMPUTED_VALUE"""),"MEDELLÍN")</f>
        <v>MEDELLÍN</v>
      </c>
      <c r="E9453" s="15" t="str">
        <f>IFERROR(__xludf.DUMMYFUNCTION("""COMPUTED_VALUE"""),"AREPAS LA MARY")</f>
        <v>AREPAS LA MARY</v>
      </c>
      <c r="F9453" s="17" t="str">
        <f>IFERROR(__xludf.DUMMYFUNCTION("""COMPUTED_VALUE"""),"Calle 6N #1AE-161 apartamento 804 / Edificio Buenavista")</f>
        <v>Calle 6N #1AE-161 apartamento 804 / Edificio Buenavista</v>
      </c>
      <c r="G9453" s="15" t="str">
        <f>IFERROR(__xludf.DUMMYFUNCTION("""COMPUTED_VALUE"""),"EMPERATRIZ GUTIERREZ")</f>
        <v>EMPERATRIZ GUTIERREZ</v>
      </c>
      <c r="H9453" s="16">
        <f>IFERROR(__xludf.DUMMYFUNCTION("""COMPUTED_VALUE"""),18007.0)</f>
        <v>18007</v>
      </c>
      <c r="I9453" s="17"/>
      <c r="J9453" s="17"/>
      <c r="K9453" s="17"/>
      <c r="L9453" s="17">
        <f>IFERROR(__xludf.DUMMYFUNCTION("""COMPUTED_VALUE"""),3.172600718E9)</f>
        <v>3172600718</v>
      </c>
      <c r="M9453" s="17"/>
      <c r="N9453" s="17"/>
      <c r="O9453" s="17"/>
      <c r="P9453" s="17" t="b">
        <f>IFERROR(__xludf.DUMMYFUNCTION("""COMPUTED_VALUE"""),FALSE)</f>
        <v>0</v>
      </c>
      <c r="Q9453" s="20" t="str">
        <f>IFERROR(__xludf.DUMMYFUNCTION("""COMPUTED_VALUE"""),"")</f>
        <v/>
      </c>
      <c r="R9453" s="21" t="str">
        <f>IFERROR(__xludf.DUMMYFUNCTION("""COMPUTED_VALUE"""),"https://drive.google.com/file/d/1at7NtjIBcJiy_Kk4Bip3B-8NA2L2dYbN/view?usp=drivesdk")</f>
        <v>https://drive.google.com/file/d/1at7NtjIBcJiy_Kk4Bip3B-8NA2L2dYbN/view?usp=drivesdk</v>
      </c>
    </row>
    <row r="9454">
      <c r="A9454" s="15">
        <f>IFERROR(__xludf.DUMMYFUNCTION("""COMPUTED_VALUE"""),45267.0)</f>
        <v>45267</v>
      </c>
      <c r="B9454" s="16" t="str">
        <f>IFERROR(__xludf.DUMMYFUNCTION("""COMPUTED_VALUE"""),"Envia")</f>
        <v>Envia</v>
      </c>
      <c r="C9454" s="15" t="str">
        <f>IFERROR(__xludf.DUMMYFUNCTION("""COMPUTED_VALUE"""),"CÚCUTA")</f>
        <v>CÚCUTA</v>
      </c>
      <c r="D9454" s="15" t="str">
        <f>IFERROR(__xludf.DUMMYFUNCTION("""COMPUTED_VALUE"""),"MEDELLÍN")</f>
        <v>MEDELLÍN</v>
      </c>
      <c r="E9454" s="15" t="str">
        <f>IFERROR(__xludf.DUMMYFUNCTION("""COMPUTED_VALUE"""),"Momo Tea S.A.S Gabriel Echavarría")</f>
        <v>Momo Tea S.A.S Gabriel Echavarría</v>
      </c>
      <c r="F9454" s="17" t="str">
        <f>IFERROR(__xludf.DUMMYFUNCTION("""COMPUTED_VALUE"""),"CL 11 N 16 E 35 / CA B 1")</f>
        <v>CL 11 N 16 E 35 / CA B 1</v>
      </c>
      <c r="G9454" s="15" t="str">
        <f>IFERROR(__xludf.DUMMYFUNCTION("""COMPUTED_VALUE"""),"Gabriel Echavarría")</f>
        <v>Gabriel Echavarría</v>
      </c>
      <c r="H9454" s="16">
        <f>IFERROR(__xludf.DUMMYFUNCTION("""COMPUTED_VALUE"""),18026.0)</f>
        <v>18026</v>
      </c>
      <c r="I9454" s="18">
        <f>IFERROR(__xludf.DUMMYFUNCTION("""COMPUTED_VALUE"""),21.0)</f>
        <v>21</v>
      </c>
      <c r="J9454" s="18">
        <f>IFERROR(__xludf.DUMMYFUNCTION("""COMPUTED_VALUE"""),29.0)</f>
        <v>29</v>
      </c>
      <c r="K9454" s="18">
        <f>IFERROR(__xludf.DUMMYFUNCTION("""COMPUTED_VALUE"""),29.0)</f>
        <v>29</v>
      </c>
      <c r="L9454" s="17">
        <f>IFERROR(__xludf.DUMMYFUNCTION("""COMPUTED_VALUE"""),3.017909548E9)</f>
        <v>3017909548</v>
      </c>
      <c r="M9454" s="17"/>
      <c r="N9454" s="17"/>
      <c r="O9454" s="17"/>
      <c r="P9454" s="17" t="b">
        <f>IFERROR(__xludf.DUMMYFUNCTION("""COMPUTED_VALUE"""),FALSE)</f>
        <v>0</v>
      </c>
      <c r="Q9454" s="20" t="str">
        <f>IFERROR(__xludf.DUMMYFUNCTION("""COMPUTED_VALUE"""),"")</f>
        <v/>
      </c>
      <c r="R9454" s="21" t="str">
        <f>IFERROR(__xludf.DUMMYFUNCTION("""COMPUTED_VALUE"""),"https://drive.google.com/file/d/17ZgWlatfytAixBIpg8GnJyGUL4rT6vv1/view?usp=drivesdk")</f>
        <v>https://drive.google.com/file/d/17ZgWlatfytAixBIpg8GnJyGUL4rT6vv1/view?usp=drivesdk</v>
      </c>
    </row>
    <row r="9455">
      <c r="A9455" s="15">
        <f>IFERROR(__xludf.DUMMYFUNCTION("""COMPUTED_VALUE"""),45267.0)</f>
        <v>45267</v>
      </c>
      <c r="B9455" s="16" t="str">
        <f>IFERROR(__xludf.DUMMYFUNCTION("""COMPUTED_VALUE"""),"Envia")</f>
        <v>Envia</v>
      </c>
      <c r="C9455" s="15" t="str">
        <f>IFERROR(__xludf.DUMMYFUNCTION("""COMPUTED_VALUE"""),"FLORIDABLANCA")</f>
        <v>FLORIDABLANCA</v>
      </c>
      <c r="D9455" s="15" t="str">
        <f>IFERROR(__xludf.DUMMYFUNCTION("""COMPUTED_VALUE"""),"BOGOTÁ")</f>
        <v>BOGOTÁ</v>
      </c>
      <c r="E9455" s="15" t="str">
        <f>IFERROR(__xludf.DUMMYFUNCTION("""COMPUTED_VALUE"""),"LINA PAOLA RAMIREZ GOMEZ - EVA MAZZITA")</f>
        <v>LINA PAOLA RAMIREZ GOMEZ - EVA MAZZITA</v>
      </c>
      <c r="F9455" s="17" t="str">
        <f>IFERROR(__xludf.DUMMYFUNCTION("""COMPUTED_VALUE"""),"CRA 24 No. 35 - 198 / ALTOS DE CAÑAVERAL CAMPESTRE CASA 40")</f>
        <v>CRA 24 No. 35 - 198 / ALTOS DE CAÑAVERAL CAMPESTRE CASA 40</v>
      </c>
      <c r="G9455" s="15" t="str">
        <f>IFERROR(__xludf.DUMMYFUNCTION("""COMPUTED_VALUE"""),"LUISA FERNANDA FLOREZ")</f>
        <v>LUISA FERNANDA FLOREZ</v>
      </c>
      <c r="H9455" s="16">
        <f>IFERROR(__xludf.DUMMYFUNCTION("""COMPUTED_VALUE"""),18087.0)</f>
        <v>18087</v>
      </c>
      <c r="I9455" s="17"/>
      <c r="J9455" s="17"/>
      <c r="K9455" s="17"/>
      <c r="L9455" s="17">
        <f>IFERROR(__xludf.DUMMYFUNCTION("""COMPUTED_VALUE"""),3.013779778E9)</f>
        <v>3013779778</v>
      </c>
      <c r="M9455" s="17"/>
      <c r="N9455" s="17"/>
      <c r="O9455" s="17"/>
      <c r="P9455" s="17" t="b">
        <f>IFERROR(__xludf.DUMMYFUNCTION("""COMPUTED_VALUE"""),FALSE)</f>
        <v>0</v>
      </c>
      <c r="Q9455" s="20" t="str">
        <f>IFERROR(__xludf.DUMMYFUNCTION("""COMPUTED_VALUE"""),"")</f>
        <v/>
      </c>
      <c r="R9455" s="21" t="str">
        <f>IFERROR(__xludf.DUMMYFUNCTION("""COMPUTED_VALUE"""),"https://drive.google.com/file/d/1u_nu0Kt0SEttxUZOBcoy33JoI3dWv0zB/view?usp=drivesdk")</f>
        <v>https://drive.google.com/file/d/1u_nu0Kt0SEttxUZOBcoy33JoI3dWv0zB/view?usp=drivesdk</v>
      </c>
    </row>
    <row r="9456">
      <c r="A9456" s="15">
        <f>IFERROR(__xludf.DUMMYFUNCTION("""COMPUTED_VALUE"""),45267.0)</f>
        <v>45267</v>
      </c>
      <c r="B9456" s="16" t="str">
        <f>IFERROR(__xludf.DUMMYFUNCTION("""COMPUTED_VALUE"""),"Envia")</f>
        <v>Envia</v>
      </c>
      <c r="C9456" s="15" t="str">
        <f>IFERROR(__xludf.DUMMYFUNCTION("""COMPUTED_VALUE"""),"FLORIDABLANCA")</f>
        <v>FLORIDABLANCA</v>
      </c>
      <c r="D9456" s="15" t="str">
        <f>IFERROR(__xludf.DUMMYFUNCTION("""COMPUTED_VALUE"""),"BOGOTÁ")</f>
        <v>BOGOTÁ</v>
      </c>
      <c r="E9456" s="15" t="str">
        <f>IFERROR(__xludf.DUMMYFUNCTION("""COMPUTED_VALUE"""),"LINA PAOLA RAMIREZ GOMEZ - EVA MAZZITA")</f>
        <v>LINA PAOLA RAMIREZ GOMEZ - EVA MAZZITA</v>
      </c>
      <c r="F9456" s="17" t="str">
        <f>IFERROR(__xludf.DUMMYFUNCTION("""COMPUTED_VALUE"""),"Transversal 25No 1-92 / torres 1 apto 305 Colina Ruitoque Floridablanca")</f>
        <v>Transversal 25No 1-92 / torres 1 apto 305 Colina Ruitoque Floridablanca</v>
      </c>
      <c r="G9456" s="15" t="str">
        <f>IFERROR(__xludf.DUMMYFUNCTION("""COMPUTED_VALUE"""),"LILIANA VELASQUEZ TORRES")</f>
        <v>LILIANA VELASQUEZ TORRES</v>
      </c>
      <c r="H9456" s="16">
        <f>IFERROR(__xludf.DUMMYFUNCTION("""COMPUTED_VALUE"""),18088.0)</f>
        <v>18088</v>
      </c>
      <c r="I9456" s="17"/>
      <c r="J9456" s="17"/>
      <c r="K9456" s="17"/>
      <c r="L9456" s="17">
        <f>IFERROR(__xludf.DUMMYFUNCTION("""COMPUTED_VALUE"""),3.002651032E9)</f>
        <v>3002651032</v>
      </c>
      <c r="M9456" s="17"/>
      <c r="N9456" s="17"/>
      <c r="O9456" s="17"/>
      <c r="P9456" s="17" t="b">
        <f>IFERROR(__xludf.DUMMYFUNCTION("""COMPUTED_VALUE"""),FALSE)</f>
        <v>0</v>
      </c>
      <c r="Q9456" s="20" t="str">
        <f>IFERROR(__xludf.DUMMYFUNCTION("""COMPUTED_VALUE"""),"")</f>
        <v/>
      </c>
      <c r="R9456" s="21" t="str">
        <f>IFERROR(__xludf.DUMMYFUNCTION("""COMPUTED_VALUE"""),"https://drive.google.com/file/d/1yXQSqEK8fZmnydxroNI45gg6sIZPYz3w/view?usp=drivesdk")</f>
        <v>https://drive.google.com/file/d/1yXQSqEK8fZmnydxroNI45gg6sIZPYz3w/view?usp=drivesdk</v>
      </c>
    </row>
    <row r="9457">
      <c r="A9457" s="15">
        <f>IFERROR(__xludf.DUMMYFUNCTION("""COMPUTED_VALUE"""),45267.0)</f>
        <v>45267</v>
      </c>
      <c r="B9457" s="16" t="str">
        <f>IFERROR(__xludf.DUMMYFUNCTION("""COMPUTED_VALUE"""),"Envia")</f>
        <v>Envia</v>
      </c>
      <c r="C9457" s="15" t="str">
        <f>IFERROR(__xludf.DUMMYFUNCTION("""COMPUTED_VALUE"""),"MEDELLÍN")</f>
        <v>MEDELLÍN</v>
      </c>
      <c r="D9457" s="15" t="str">
        <f>IFERROR(__xludf.DUMMYFUNCTION("""COMPUTED_VALUE"""),"BOGOTÁ")</f>
        <v>BOGOTÁ</v>
      </c>
      <c r="E9457" s="15" t="str">
        <f>IFERROR(__xludf.DUMMYFUNCTION("""COMPUTED_VALUE"""),"FamiliaReal S.A.S")</f>
        <v>FamiliaReal S.A.S</v>
      </c>
      <c r="F9457" s="17" t="str">
        <f>IFERROR(__xludf.DUMMYFUNCTION("""COMPUTED_VALUE"""),"Calle 5 # 76A-150 / apartamento 1203 Loma de los Bernal Medellín")</f>
        <v>Calle 5 # 76A-150 / apartamento 1203 Loma de los Bernal Medellín</v>
      </c>
      <c r="G9457" s="15" t="str">
        <f>IFERROR(__xludf.DUMMYFUNCTION("""COMPUTED_VALUE"""),"Lucy Santamaría")</f>
        <v>Lucy Santamaría</v>
      </c>
      <c r="H9457" s="16">
        <f>IFERROR(__xludf.DUMMYFUNCTION("""COMPUTED_VALUE"""),18035.0)</f>
        <v>18035</v>
      </c>
      <c r="I9457" s="17"/>
      <c r="J9457" s="17"/>
      <c r="K9457" s="17"/>
      <c r="L9457" s="17">
        <f>IFERROR(__xludf.DUMMYFUNCTION("""COMPUTED_VALUE"""),3.00615077E9)</f>
        <v>3006150770</v>
      </c>
      <c r="M9457" s="17"/>
      <c r="N9457" s="17"/>
      <c r="O9457" s="17"/>
      <c r="P9457" s="17" t="b">
        <f>IFERROR(__xludf.DUMMYFUNCTION("""COMPUTED_VALUE"""),FALSE)</f>
        <v>0</v>
      </c>
      <c r="Q9457" s="20" t="str">
        <f>IFERROR(__xludf.DUMMYFUNCTION("""COMPUTED_VALUE"""),"")</f>
        <v/>
      </c>
      <c r="R9457" s="21" t="str">
        <f>IFERROR(__xludf.DUMMYFUNCTION("""COMPUTED_VALUE"""),"https://drive.google.com/file/d/13uSpbF7f1qORfkIaIElgjoPV3i311y4O/view?usp=drivesdk")</f>
        <v>https://drive.google.com/file/d/13uSpbF7f1qORfkIaIElgjoPV3i311y4O/view?usp=drivesdk</v>
      </c>
    </row>
    <row r="9458">
      <c r="A9458" s="15">
        <f>IFERROR(__xludf.DUMMYFUNCTION("""COMPUTED_VALUE"""),45267.0)</f>
        <v>45267</v>
      </c>
      <c r="B9458" s="16" t="str">
        <f>IFERROR(__xludf.DUMMYFUNCTION("""COMPUTED_VALUE"""),"Envia")</f>
        <v>Envia</v>
      </c>
      <c r="C9458" s="15" t="str">
        <f>IFERROR(__xludf.DUMMYFUNCTION("""COMPUTED_VALUE"""),"MEDELLÍN")</f>
        <v>MEDELLÍN</v>
      </c>
      <c r="D9458" s="15" t="str">
        <f>IFERROR(__xludf.DUMMYFUNCTION("""COMPUTED_VALUE"""),"BOGOTÁ")</f>
        <v>BOGOTÁ</v>
      </c>
      <c r="E9458" s="15" t="str">
        <f>IFERROR(__xludf.DUMMYFUNCTION("""COMPUTED_VALUE"""),"Natural Foodie")</f>
        <v>Natural Foodie</v>
      </c>
      <c r="F9458" s="17" t="str">
        <f>IFERROR(__xludf.DUMMYFUNCTION("""COMPUTED_VALUE"""),"Cra 46 75sur 150 torre 2 apto 2107 / Torre 2 apto 2107 / Sabaneta")</f>
        <v>Cra 46 75sur 150 torre 2 apto 2107 / Torre 2 apto 2107 / Sabaneta</v>
      </c>
      <c r="G9458" s="15" t="str">
        <f>IFERROR(__xludf.DUMMYFUNCTION("""COMPUTED_VALUE"""),"Victor David castaño")</f>
        <v>Victor David castaño</v>
      </c>
      <c r="H9458" s="16">
        <f>IFERROR(__xludf.DUMMYFUNCTION("""COMPUTED_VALUE"""),18099.0)</f>
        <v>18099</v>
      </c>
      <c r="I9458" s="18">
        <f>IFERROR(__xludf.DUMMYFUNCTION("""COMPUTED_VALUE"""),21.0)</f>
        <v>21</v>
      </c>
      <c r="J9458" s="18">
        <f>IFERROR(__xludf.DUMMYFUNCTION("""COMPUTED_VALUE"""),32.0)</f>
        <v>32</v>
      </c>
      <c r="K9458" s="18">
        <f>IFERROR(__xludf.DUMMYFUNCTION("""COMPUTED_VALUE"""),21.0)</f>
        <v>21</v>
      </c>
      <c r="L9458" s="17">
        <f>IFERROR(__xludf.DUMMYFUNCTION("""COMPUTED_VALUE"""),3.156749841E9)</f>
        <v>3156749841</v>
      </c>
      <c r="M9458" s="17"/>
      <c r="N9458" s="17"/>
      <c r="O9458" s="17"/>
      <c r="P9458" s="17" t="b">
        <f>IFERROR(__xludf.DUMMYFUNCTION("""COMPUTED_VALUE"""),FALSE)</f>
        <v>0</v>
      </c>
      <c r="Q9458" s="20" t="str">
        <f>IFERROR(__xludf.DUMMYFUNCTION("""COMPUTED_VALUE"""),"")</f>
        <v/>
      </c>
      <c r="R9458" s="21" t="str">
        <f>IFERROR(__xludf.DUMMYFUNCTION("""COMPUTED_VALUE"""),"https://drive.google.com/file/d/1EgCKv0UpL1LV-p0g15tyoTEIaUwKhf9d/view?usp=drivesdk")</f>
        <v>https://drive.google.com/file/d/1EgCKv0UpL1LV-p0g15tyoTEIaUwKhf9d/view?usp=drivesdk</v>
      </c>
    </row>
    <row r="9459">
      <c r="A9459" s="15">
        <f>IFERROR(__xludf.DUMMYFUNCTION("""COMPUTED_VALUE"""),45267.0)</f>
        <v>45267</v>
      </c>
      <c r="B9459" s="16" t="str">
        <f>IFERROR(__xludf.DUMMYFUNCTION("""COMPUTED_VALUE"""),"Envia")</f>
        <v>Envia</v>
      </c>
      <c r="C9459" s="15" t="str">
        <f>IFERROR(__xludf.DUMMYFUNCTION("""COMPUTED_VALUE"""),"MEDELLÍN")</f>
        <v>MEDELLÍN</v>
      </c>
      <c r="D9459" s="15" t="str">
        <f>IFERROR(__xludf.DUMMYFUNCTION("""COMPUTED_VALUE"""),"BOGOTÁ")</f>
        <v>BOGOTÁ</v>
      </c>
      <c r="E9459" s="15" t="str">
        <f>IFERROR(__xludf.DUMMYFUNCTION("""COMPUTED_VALUE"""),"Top Spun")</f>
        <v>Top Spun</v>
      </c>
      <c r="F9459" s="17" t="str">
        <f>IFERROR(__xludf.DUMMYFUNCTION("""COMPUTED_VALUE"""),"Calle 7 sur # 23-41 / Apartamento 101 / bosques de sierra alta")</f>
        <v>Calle 7 sur # 23-41 / Apartamento 101 / bosques de sierra alta</v>
      </c>
      <c r="G9459" s="15" t="str">
        <f>IFERROR(__xludf.DUMMYFUNCTION("""COMPUTED_VALUE"""),"Catalina Gomez Rengifo")</f>
        <v>Catalina Gomez Rengifo</v>
      </c>
      <c r="H9459" s="16">
        <f>IFERROR(__xludf.DUMMYFUNCTION("""COMPUTED_VALUE"""),18072.0)</f>
        <v>18072</v>
      </c>
      <c r="I9459" s="18">
        <f>IFERROR(__xludf.DUMMYFUNCTION("""COMPUTED_VALUE"""),30.0)</f>
        <v>30</v>
      </c>
      <c r="J9459" s="18">
        <f>IFERROR(__xludf.DUMMYFUNCTION("""COMPUTED_VALUE"""),40.0)</f>
        <v>40</v>
      </c>
      <c r="K9459" s="18">
        <f>IFERROR(__xludf.DUMMYFUNCTION("""COMPUTED_VALUE"""),15.0)</f>
        <v>15</v>
      </c>
      <c r="L9459" s="17">
        <f>IFERROR(__xludf.DUMMYFUNCTION("""COMPUTED_VALUE"""),3.205654689E9)</f>
        <v>3205654689</v>
      </c>
      <c r="M9459" s="17"/>
      <c r="N9459" s="17"/>
      <c r="O9459" s="17"/>
      <c r="P9459" s="17" t="b">
        <f>IFERROR(__xludf.DUMMYFUNCTION("""COMPUTED_VALUE"""),FALSE)</f>
        <v>0</v>
      </c>
      <c r="Q9459" s="20" t="str">
        <f>IFERROR(__xludf.DUMMYFUNCTION("""COMPUTED_VALUE"""),"")</f>
        <v/>
      </c>
      <c r="R9459" s="21" t="str">
        <f>IFERROR(__xludf.DUMMYFUNCTION("""COMPUTED_VALUE"""),"https://drive.google.com/file/d/1xzgeqX9E9OLisstFIGu_msg8UI0poBWW/view?usp=drivesdk")</f>
        <v>https://drive.google.com/file/d/1xzgeqX9E9OLisstFIGu_msg8UI0poBWW/view?usp=drivesdk</v>
      </c>
    </row>
    <row r="9460">
      <c r="A9460" s="15">
        <f>IFERROR(__xludf.DUMMYFUNCTION("""COMPUTED_VALUE"""),45267.0)</f>
        <v>45267</v>
      </c>
      <c r="B9460" s="16" t="str">
        <f>IFERROR(__xludf.DUMMYFUNCTION("""COMPUTED_VALUE"""),"Envia")</f>
        <v>Envia</v>
      </c>
      <c r="C9460" s="15" t="str">
        <f>IFERROR(__xludf.DUMMYFUNCTION("""COMPUTED_VALUE"""),"SANTA MARTA")</f>
        <v>SANTA MARTA</v>
      </c>
      <c r="D9460" s="15" t="str">
        <f>IFERROR(__xludf.DUMMYFUNCTION("""COMPUTED_VALUE"""),"BOGOTÁ")</f>
        <v>BOGOTÁ</v>
      </c>
      <c r="E9460" s="15" t="str">
        <f>IFERROR(__xludf.DUMMYFUNCTION("""COMPUTED_VALUE"""),"Premium Choice")</f>
        <v>Premium Choice</v>
      </c>
      <c r="F9460" s="17" t="str">
        <f>IFERROR(__xludf.DUMMYFUNCTION("""COMPUTED_VALUE"""),"Cr 4 # 26 - 40  / C . C prado plaza  local 113  / Santa Marta")</f>
        <v>Cr 4 # 26 - 40  / C . C prado plaza  local 113  / Santa Marta</v>
      </c>
      <c r="G9460" s="15" t="str">
        <f>IFERROR(__xludf.DUMMYFUNCTION("""COMPUTED_VALUE"""),"Makali")</f>
        <v>Makali</v>
      </c>
      <c r="H9460" s="16">
        <f>IFERROR(__xludf.DUMMYFUNCTION("""COMPUTED_VALUE"""),18063.0)</f>
        <v>18063</v>
      </c>
      <c r="I9460" s="18">
        <f>IFERROR(__xludf.DUMMYFUNCTION("""COMPUTED_VALUE"""),15.0)</f>
        <v>15</v>
      </c>
      <c r="J9460" s="18">
        <f>IFERROR(__xludf.DUMMYFUNCTION("""COMPUTED_VALUE"""),18.0)</f>
        <v>18</v>
      </c>
      <c r="K9460" s="18">
        <f>IFERROR(__xludf.DUMMYFUNCTION("""COMPUTED_VALUE"""),30.0)</f>
        <v>30</v>
      </c>
      <c r="L9460" s="17">
        <f>IFERROR(__xludf.DUMMYFUNCTION("""COMPUTED_VALUE"""),3.102170999E9)</f>
        <v>3102170999</v>
      </c>
      <c r="M9460" s="17"/>
      <c r="N9460" s="17"/>
      <c r="O9460" s="17"/>
      <c r="P9460" s="17" t="b">
        <f>IFERROR(__xludf.DUMMYFUNCTION("""COMPUTED_VALUE"""),FALSE)</f>
        <v>0</v>
      </c>
      <c r="Q9460" s="20" t="str">
        <f>IFERROR(__xludf.DUMMYFUNCTION("""COMPUTED_VALUE"""),"")</f>
        <v/>
      </c>
      <c r="R9460" s="21" t="str">
        <f>IFERROR(__xludf.DUMMYFUNCTION("""COMPUTED_VALUE"""),"https://drive.google.com/file/d/1DVqEmmD3GK7NduXzLqn4MKXhJ_npyHYp/view?usp=drivesdk")</f>
        <v>https://drive.google.com/file/d/1DVqEmmD3GK7NduXzLqn4MKXhJ_npyHYp/view?usp=drivesdk</v>
      </c>
    </row>
    <row r="9461">
      <c r="A9461" s="15">
        <f>IFERROR(__xludf.DUMMYFUNCTION("""COMPUTED_VALUE"""),45267.0)</f>
        <v>45267</v>
      </c>
      <c r="B9461" s="16" t="str">
        <f>IFERROR(__xludf.DUMMYFUNCTION("""COMPUTED_VALUE"""),"Envia")</f>
        <v>Envia</v>
      </c>
      <c r="C9461" s="15" t="str">
        <f>IFERROR(__xludf.DUMMYFUNCTION("""COMPUTED_VALUE"""),"SANTA MARTA")</f>
        <v>SANTA MARTA</v>
      </c>
      <c r="D9461" s="15" t="str">
        <f>IFERROR(__xludf.DUMMYFUNCTION("""COMPUTED_VALUE"""),"ENVIGADO")</f>
        <v>ENVIGADO</v>
      </c>
      <c r="E9461" s="15" t="str">
        <f>IFERROR(__xludf.DUMMYFUNCTION("""COMPUTED_VALUE"""),"RAMBLA")</f>
        <v>RAMBLA</v>
      </c>
      <c r="F9461" s="17" t="str">
        <f>IFERROR(__xludf.DUMMYFUNCTION("""COMPUTED_VALUE"""),"Calle 24a #2-39 / ed san marino lc 1")</f>
        <v>Calle 24a #2-39 / ed san marino lc 1</v>
      </c>
      <c r="G9461" s="15" t="str">
        <f>IFERROR(__xludf.DUMMYFUNCTION("""COMPUTED_VALUE"""),"Corozo")</f>
        <v>Corozo</v>
      </c>
      <c r="H9461" s="16">
        <f>IFERROR(__xludf.DUMMYFUNCTION("""COMPUTED_VALUE"""),18044.0)</f>
        <v>18044</v>
      </c>
      <c r="I9461" s="17"/>
      <c r="J9461" s="17"/>
      <c r="K9461" s="17"/>
      <c r="L9461" s="17">
        <f>IFERROR(__xludf.DUMMYFUNCTION("""COMPUTED_VALUE"""),3.206763524E9)</f>
        <v>3206763524</v>
      </c>
      <c r="M9461" s="17"/>
      <c r="N9461" s="17"/>
      <c r="O9461" s="17"/>
      <c r="P9461" s="17" t="b">
        <f>IFERROR(__xludf.DUMMYFUNCTION("""COMPUTED_VALUE"""),FALSE)</f>
        <v>0</v>
      </c>
      <c r="Q9461" s="20" t="str">
        <f>IFERROR(__xludf.DUMMYFUNCTION("""COMPUTED_VALUE"""),"")</f>
        <v/>
      </c>
      <c r="R9461" s="21" t="str">
        <f>IFERROR(__xludf.DUMMYFUNCTION("""COMPUTED_VALUE"""),"https://drive.google.com/file/d/1X9Eae-PB_na39d_EsAIhTf56OtnDd_4t/view?usp=drivesdk")</f>
        <v>https://drive.google.com/file/d/1X9Eae-PB_na39d_EsAIhTf56OtnDd_4t/view?usp=drivesdk</v>
      </c>
    </row>
    <row r="9462">
      <c r="A9462" s="15">
        <f>IFERROR(__xludf.DUMMYFUNCTION("""COMPUTED_VALUE"""),45267.0)</f>
        <v>45267</v>
      </c>
      <c r="B9462" s="16" t="str">
        <f>IFERROR(__xludf.DUMMYFUNCTION("""COMPUTED_VALUE"""),"Envia")</f>
        <v>Envia</v>
      </c>
      <c r="C9462" s="15" t="str">
        <f>IFERROR(__xludf.DUMMYFUNCTION("""COMPUTED_VALUE"""),"SANTA MARTA")</f>
        <v>SANTA MARTA</v>
      </c>
      <c r="D9462" s="15" t="str">
        <f>IFERROR(__xludf.DUMMYFUNCTION("""COMPUTED_VALUE"""),"MEDELLÍN")</f>
        <v>MEDELLÍN</v>
      </c>
      <c r="E9462" s="15" t="str">
        <f>IFERROR(__xludf.DUMMYFUNCTION("""COMPUTED_VALUE"""),"HELADERIA MAGDA")</f>
        <v>HELADERIA MAGDA</v>
      </c>
      <c r="F9462" s="17" t="str">
        <f>IFERROR(__xludf.DUMMYFUNCTION("""COMPUTED_VALUE"""),"CALLE 22 #6-82 / PLAZUELA 22 LOCAL 27")</f>
        <v>CALLE 22 #6-82 / PLAZUELA 22 LOCAL 27</v>
      </c>
      <c r="G9462" s="15" t="str">
        <f>IFERROR(__xludf.DUMMYFUNCTION("""COMPUTED_VALUE"""),"HELADERIA MAGDA SANTA MARTA")</f>
        <v>HELADERIA MAGDA SANTA MARTA</v>
      </c>
      <c r="H9462" s="16">
        <f>IFERROR(__xludf.DUMMYFUNCTION("""COMPUTED_VALUE"""),18059.0)</f>
        <v>18059</v>
      </c>
      <c r="I9462" s="17"/>
      <c r="J9462" s="17"/>
      <c r="K9462" s="17"/>
      <c r="L9462" s="17">
        <f>IFERROR(__xludf.DUMMYFUNCTION("""COMPUTED_VALUE"""),3.054269156E9)</f>
        <v>3054269156</v>
      </c>
      <c r="M9462" s="17"/>
      <c r="N9462" s="17"/>
      <c r="O9462" s="17"/>
      <c r="P9462" s="17" t="b">
        <f>IFERROR(__xludf.DUMMYFUNCTION("""COMPUTED_VALUE"""),FALSE)</f>
        <v>0</v>
      </c>
      <c r="Q9462" s="20" t="str">
        <f>IFERROR(__xludf.DUMMYFUNCTION("""COMPUTED_VALUE"""),"")</f>
        <v/>
      </c>
      <c r="R9462" s="21" t="str">
        <f>IFERROR(__xludf.DUMMYFUNCTION("""COMPUTED_VALUE"""),"https://drive.google.com/file/d/1VlipxQDR8ZvekbkNAvJVoSZN38bE0O5u/view?usp=drivesdk")</f>
        <v>https://drive.google.com/file/d/1VlipxQDR8ZvekbkNAvJVoSZN38bE0O5u/view?usp=drivesdk</v>
      </c>
    </row>
    <row r="9463">
      <c r="A9463" s="15">
        <f>IFERROR(__xludf.DUMMYFUNCTION("""COMPUTED_VALUE"""),45267.0)</f>
        <v>45267</v>
      </c>
      <c r="B9463" s="16" t="str">
        <f>IFERROR(__xludf.DUMMYFUNCTION("""COMPUTED_VALUE"""),"Envia")</f>
        <v>Envia</v>
      </c>
      <c r="C9463" s="15" t="str">
        <f>IFERROR(__xludf.DUMMYFUNCTION("""COMPUTED_VALUE"""),"SANTA MARTA")</f>
        <v>SANTA MARTA</v>
      </c>
      <c r="D9463" s="15" t="str">
        <f>IFERROR(__xludf.DUMMYFUNCTION("""COMPUTED_VALUE"""),"MEDELLÍN")</f>
        <v>MEDELLÍN</v>
      </c>
      <c r="E9463" s="15" t="str">
        <f>IFERROR(__xludf.DUMMYFUNCTION("""COMPUTED_VALUE"""),"Terravocado")</f>
        <v>Terravocado</v>
      </c>
      <c r="F9463" s="17" t="str">
        <f>IFERROR(__xludf.DUMMYFUNCTION("""COMPUTED_VALUE"""),"CL 18 # 4 05 / CENTRO  / CENTRO")</f>
        <v>CL 18 # 4 05 / CENTRO  / CENTRO</v>
      </c>
      <c r="G9463" s="15" t="str">
        <f>IFERROR(__xludf.DUMMYFUNCTION("""COMPUTED_VALUE"""),"GOOD FEAST SAS")</f>
        <v>GOOD FEAST SAS</v>
      </c>
      <c r="H9463" s="16">
        <f>IFERROR(__xludf.DUMMYFUNCTION("""COMPUTED_VALUE"""),18011.0)</f>
        <v>18011</v>
      </c>
      <c r="I9463" s="18">
        <f>IFERROR(__xludf.DUMMYFUNCTION("""COMPUTED_VALUE"""),20.0)</f>
        <v>20</v>
      </c>
      <c r="J9463" s="18">
        <f>IFERROR(__xludf.DUMMYFUNCTION("""COMPUTED_VALUE"""),24.0)</f>
        <v>24</v>
      </c>
      <c r="K9463" s="18">
        <f>IFERROR(__xludf.DUMMYFUNCTION("""COMPUTED_VALUE"""),34.0)</f>
        <v>34</v>
      </c>
      <c r="L9463" s="17">
        <f>IFERROR(__xludf.DUMMYFUNCTION("""COMPUTED_VALUE"""),3.003378725E9)</f>
        <v>3003378725</v>
      </c>
      <c r="M9463" s="17"/>
      <c r="N9463" s="17"/>
      <c r="O9463" s="17"/>
      <c r="P9463" s="17" t="b">
        <f>IFERROR(__xludf.DUMMYFUNCTION("""COMPUTED_VALUE"""),FALSE)</f>
        <v>0</v>
      </c>
      <c r="Q9463" s="20" t="str">
        <f>IFERROR(__xludf.DUMMYFUNCTION("""COMPUTED_VALUE"""),"")</f>
        <v/>
      </c>
      <c r="R9463" s="21" t="str">
        <f>IFERROR(__xludf.DUMMYFUNCTION("""COMPUTED_VALUE"""),"https://drive.google.com/file/d/1uaefKl5Uu1N04HYA4Laj8Hx3PtXbrrAh/view?usp=drivesdk")</f>
        <v>https://drive.google.com/file/d/1uaefKl5Uu1N04HYA4Laj8Hx3PtXbrrAh/view?usp=drivesdk</v>
      </c>
    </row>
    <row r="9464">
      <c r="A9464" s="15">
        <f>IFERROR(__xludf.DUMMYFUNCTION("""COMPUTED_VALUE"""),45267.0)</f>
        <v>45267</v>
      </c>
      <c r="B9464" s="16" t="str">
        <f>IFERROR(__xludf.DUMMYFUNCTION("""COMPUTED_VALUE"""),"Envia")</f>
        <v>Envia</v>
      </c>
      <c r="C9464" s="15" t="str">
        <f>IFERROR(__xludf.DUMMYFUNCTION("""COMPUTED_VALUE"""),"TUNJA")</f>
        <v>TUNJA</v>
      </c>
      <c r="D9464" s="15" t="str">
        <f>IFERROR(__xludf.DUMMYFUNCTION("""COMPUTED_VALUE"""),"BOGOTÁ")</f>
        <v>BOGOTÁ</v>
      </c>
      <c r="E9464" s="15" t="str">
        <f>IFERROR(__xludf.DUMMYFUNCTION("""COMPUTED_VALUE"""),"Top Spun")</f>
        <v>Top Spun</v>
      </c>
      <c r="F9464" s="17" t="str">
        <f>IFERROR(__xludf.DUMMYFUNCTION("""COMPUTED_VALUE"""),"Cra 1 F # 40 - 63 / Edificio Murano / Apto 204")</f>
        <v>Cra 1 F # 40 - 63 / Edificio Murano / Apto 204</v>
      </c>
      <c r="G9464" s="15" t="str">
        <f>IFERROR(__xludf.DUMMYFUNCTION("""COMPUTED_VALUE"""),"Sandra Grijalba")</f>
        <v>Sandra Grijalba</v>
      </c>
      <c r="H9464" s="16">
        <f>IFERROR(__xludf.DUMMYFUNCTION("""COMPUTED_VALUE"""),18014.0)</f>
        <v>18014</v>
      </c>
      <c r="I9464" s="18">
        <f>IFERROR(__xludf.DUMMYFUNCTION("""COMPUTED_VALUE"""),30.0)</f>
        <v>30</v>
      </c>
      <c r="J9464" s="18">
        <f>IFERROR(__xludf.DUMMYFUNCTION("""COMPUTED_VALUE"""),50.0)</f>
        <v>50</v>
      </c>
      <c r="K9464" s="18">
        <f>IFERROR(__xludf.DUMMYFUNCTION("""COMPUTED_VALUE"""),21.0)</f>
        <v>21</v>
      </c>
      <c r="L9464" s="17">
        <f>IFERROR(__xludf.DUMMYFUNCTION("""COMPUTED_VALUE"""),3.207676511E9)</f>
        <v>3207676511</v>
      </c>
      <c r="M9464" s="17"/>
      <c r="N9464" s="17"/>
      <c r="O9464" s="17"/>
      <c r="P9464" s="17" t="b">
        <f>IFERROR(__xludf.DUMMYFUNCTION("""COMPUTED_VALUE"""),FALSE)</f>
        <v>0</v>
      </c>
      <c r="Q9464" s="20" t="str">
        <f>IFERROR(__xludf.DUMMYFUNCTION("""COMPUTED_VALUE"""),"")</f>
        <v/>
      </c>
      <c r="R9464" s="21" t="str">
        <f>IFERROR(__xludf.DUMMYFUNCTION("""COMPUTED_VALUE"""),"https://drive.google.com/file/d/10e5GuwxRE2QDmy2ZMI_M7gG-_wXNRjDv/view?usp=drivesdk")</f>
        <v>https://drive.google.com/file/d/10e5GuwxRE2QDmy2ZMI_M7gG-_wXNRjDv/view?usp=drivesdk</v>
      </c>
    </row>
    <row r="9465">
      <c r="A9465" s="17" t="str">
        <f>IFERROR(__xludf.DUMMYFUNCTION("""COMPUTED_VALUE"""),"")</f>
        <v/>
      </c>
      <c r="B9465" s="17" t="str">
        <f>IFERROR(__xludf.DUMMYFUNCTION("""COMPUTED_VALUE"""),"")</f>
        <v/>
      </c>
      <c r="C9465" s="17" t="str">
        <f>IFERROR(__xludf.DUMMYFUNCTION("""COMPUTED_VALUE"""),"")</f>
        <v/>
      </c>
      <c r="D9465" s="17" t="str">
        <f>IFERROR(__xludf.DUMMYFUNCTION("""COMPUTED_VALUE"""),"")</f>
        <v/>
      </c>
      <c r="E9465" s="17" t="str">
        <f>IFERROR(__xludf.DUMMYFUNCTION("""COMPUTED_VALUE"""),"")</f>
        <v/>
      </c>
      <c r="F9465" s="17" t="str">
        <f>IFERROR(__xludf.DUMMYFUNCTION("""COMPUTED_VALUE"""),"")</f>
        <v/>
      </c>
      <c r="G9465" s="17" t="str">
        <f>IFERROR(__xludf.DUMMYFUNCTION("""COMPUTED_VALUE"""),"")</f>
        <v/>
      </c>
      <c r="H9465" s="17" t="str">
        <f>IFERROR(__xludf.DUMMYFUNCTION("""COMPUTED_VALUE"""),"")</f>
        <v/>
      </c>
      <c r="I9465" s="17" t="str">
        <f>IFERROR(__xludf.DUMMYFUNCTION("""COMPUTED_VALUE"""),"")</f>
        <v/>
      </c>
      <c r="J9465" s="17" t="str">
        <f>IFERROR(__xludf.DUMMYFUNCTION("""COMPUTED_VALUE"""),"")</f>
        <v/>
      </c>
      <c r="K9465" s="17" t="str">
        <f>IFERROR(__xludf.DUMMYFUNCTION("""COMPUTED_VALUE"""),"")</f>
        <v/>
      </c>
      <c r="L9465" s="17" t="str">
        <f>IFERROR(__xludf.DUMMYFUNCTION("""COMPUTED_VALUE"""),"")</f>
        <v/>
      </c>
      <c r="M9465" s="17" t="str">
        <f>IFERROR(__xludf.DUMMYFUNCTION("""COMPUTED_VALUE"""),"")</f>
        <v/>
      </c>
      <c r="N9465" s="17" t="str">
        <f>IFERROR(__xludf.DUMMYFUNCTION("""COMPUTED_VALUE"""),"")</f>
        <v/>
      </c>
      <c r="O9465" s="17" t="str">
        <f>IFERROR(__xludf.DUMMYFUNCTION("""COMPUTED_VALUE"""),"")</f>
        <v/>
      </c>
      <c r="P9465" s="17" t="str">
        <f>IFERROR(__xludf.DUMMYFUNCTION("""COMPUTED_VALUE"""),"")</f>
        <v/>
      </c>
      <c r="Q9465" s="17" t="str">
        <f>IFERROR(__xludf.DUMMYFUNCTION("""COMPUTED_VALUE"""),"")</f>
        <v/>
      </c>
      <c r="R9465" s="17" t="str">
        <f>IFERROR(__xludf.DUMMYFUNCTION("""COMPUTED_VALUE"""),"")</f>
        <v/>
      </c>
    </row>
    <row r="9466">
      <c r="A9466" s="15">
        <f>IFERROR(__xludf.DUMMYFUNCTION("""COMPUTED_VALUE"""),45267.0)</f>
        <v>45267</v>
      </c>
      <c r="B9466" s="16" t="str">
        <f>IFERROR(__xludf.DUMMYFUNCTION("""COMPUTED_VALUE"""),"Johanna Arango Barrera")</f>
        <v>Johanna Arango Barrera</v>
      </c>
      <c r="C9466" s="15" t="str">
        <f>IFERROR(__xludf.DUMMYFUNCTION("""COMPUTED_VALUE"""),"ARMENIA")</f>
        <v>ARMENIA</v>
      </c>
      <c r="D9466" s="15" t="str">
        <f>IFERROR(__xludf.DUMMYFUNCTION("""COMPUTED_VALUE"""),"MEDELLÍN")</f>
        <v>MEDELLÍN</v>
      </c>
      <c r="E9466" s="15" t="str">
        <f>IFERROR(__xludf.DUMMYFUNCTION("""COMPUTED_VALUE"""),"Helados swip")</f>
        <v>Helados swip</v>
      </c>
      <c r="F9466" s="17" t="str">
        <f>IFERROR(__xludf.DUMMYFUNCTION("""COMPUTED_VALUE"""),"CARRERA 15#22 NORTE 77 / EDIFCIO OASIS  / LOCAL 13")</f>
        <v>CARRERA 15#22 NORTE 77 / EDIFCIO OASIS  / LOCAL 13</v>
      </c>
      <c r="G9466" s="15" t="str">
        <f>IFERROR(__xludf.DUMMYFUNCTION("""COMPUTED_VALUE"""),"TIENDA FITNESS ECO")</f>
        <v>TIENDA FITNESS ECO</v>
      </c>
      <c r="H9466" s="16">
        <f>IFERROR(__xludf.DUMMYFUNCTION("""COMPUTED_VALUE"""),18094.0)</f>
        <v>18094</v>
      </c>
      <c r="I9466" s="18">
        <f>IFERROR(__xludf.DUMMYFUNCTION("""COMPUTED_VALUE"""),50.0)</f>
        <v>50</v>
      </c>
      <c r="J9466" s="18">
        <f>IFERROR(__xludf.DUMMYFUNCTION("""COMPUTED_VALUE"""),30.0)</f>
        <v>30</v>
      </c>
      <c r="K9466" s="18">
        <f>IFERROR(__xludf.DUMMYFUNCTION("""COMPUTED_VALUE"""),21.0)</f>
        <v>21</v>
      </c>
      <c r="L9466" s="17">
        <f>IFERROR(__xludf.DUMMYFUNCTION("""COMPUTED_VALUE"""),3.217007417E9)</f>
        <v>3217007417</v>
      </c>
      <c r="M9466" s="17"/>
      <c r="N9466" s="17"/>
      <c r="O9466" s="17"/>
      <c r="P9466" s="17" t="b">
        <f>IFERROR(__xludf.DUMMYFUNCTION("""COMPUTED_VALUE"""),FALSE)</f>
        <v>0</v>
      </c>
      <c r="Q9466" s="20" t="str">
        <f>IFERROR(__xludf.DUMMYFUNCTION("""COMPUTED_VALUE"""),"")</f>
        <v/>
      </c>
      <c r="R9466" s="21" t="str">
        <f>IFERROR(__xludf.DUMMYFUNCTION("""COMPUTED_VALUE"""),"https://drive.google.com/file/d/1ULbFS5qYvdiUsFGCtMdM72uVkFYDkz-V/view?usp=drivesdk")</f>
        <v>https://drive.google.com/file/d/1ULbFS5qYvdiUsFGCtMdM72uVkFYDkz-V/view?usp=drivesdk</v>
      </c>
    </row>
    <row r="9467">
      <c r="A9467" s="15">
        <f>IFERROR(__xludf.DUMMYFUNCTION("""COMPUTED_VALUE"""),45267.0)</f>
        <v>45267</v>
      </c>
      <c r="B9467" s="16" t="str">
        <f>IFERROR(__xludf.DUMMYFUNCTION("""COMPUTED_VALUE"""),"Johanna Arango Barrera")</f>
        <v>Johanna Arango Barrera</v>
      </c>
      <c r="C9467" s="15" t="str">
        <f>IFERROR(__xludf.DUMMYFUNCTION("""COMPUTED_VALUE"""),"ARMENIA")</f>
        <v>ARMENIA</v>
      </c>
      <c r="D9467" s="15" t="str">
        <f>IFERROR(__xludf.DUMMYFUNCTION("""COMPUTED_VALUE"""),"PEREIRA")</f>
        <v>PEREIRA</v>
      </c>
      <c r="E9467" s="15" t="str">
        <f>IFERROR(__xludf.DUMMYFUNCTION("""COMPUTED_VALUE"""),"YULIED")</f>
        <v>YULIED</v>
      </c>
      <c r="F9467" s="17" t="str">
        <f>IFERROR(__xludf.DUMMYFUNCTION("""COMPUTED_VALUE"""),"CALLE 25 NORTE # 13 -31 / LOCAL 7 MALL PROVILEGIO")</f>
        <v>CALLE 25 NORTE # 13 -31 / LOCAL 7 MALL PROVILEGIO</v>
      </c>
      <c r="G9467" s="15" t="str">
        <f>IFERROR(__xludf.DUMMYFUNCTION("""COMPUTED_VALUE"""),"FEEL FIT MARKET")</f>
        <v>FEEL FIT MARKET</v>
      </c>
      <c r="H9467" s="16">
        <f>IFERROR(__xludf.DUMMYFUNCTION("""COMPUTED_VALUE"""),18032.0)</f>
        <v>18032</v>
      </c>
      <c r="I9467" s="17"/>
      <c r="J9467" s="17"/>
      <c r="K9467" s="17"/>
      <c r="L9467" s="17">
        <f>IFERROR(__xludf.DUMMYFUNCTION("""COMPUTED_VALUE"""),3.113745588E9)</f>
        <v>3113745588</v>
      </c>
      <c r="M9467" s="17"/>
      <c r="N9467" s="17"/>
      <c r="O9467" s="17"/>
      <c r="P9467" s="17" t="b">
        <f>IFERROR(__xludf.DUMMYFUNCTION("""COMPUTED_VALUE"""),FALSE)</f>
        <v>0</v>
      </c>
      <c r="Q9467" s="20" t="str">
        <f>IFERROR(__xludf.DUMMYFUNCTION("""COMPUTED_VALUE"""),"")</f>
        <v/>
      </c>
      <c r="R9467" s="21" t="str">
        <f>IFERROR(__xludf.DUMMYFUNCTION("""COMPUTED_VALUE"""),"https://drive.google.com/file/d/1rSzr_AnlYIcunOQIkrjJWSSL69rL9yo1/view?usp=drivesdk")</f>
        <v>https://drive.google.com/file/d/1rSzr_AnlYIcunOQIkrjJWSSL69rL9yo1/view?usp=drivesdk</v>
      </c>
    </row>
    <row r="9468">
      <c r="A9468" s="15">
        <f>IFERROR(__xludf.DUMMYFUNCTION("""COMPUTED_VALUE"""),45267.0)</f>
        <v>45267</v>
      </c>
      <c r="B9468" s="16" t="str">
        <f>IFERROR(__xludf.DUMMYFUNCTION("""COMPUTED_VALUE"""),"Johanna Arango Barrera")</f>
        <v>Johanna Arango Barrera</v>
      </c>
      <c r="C9468" s="15" t="str">
        <f>IFERROR(__xludf.DUMMYFUNCTION("""COMPUTED_VALUE"""),"BUCARAMANGA")</f>
        <v>BUCARAMANGA</v>
      </c>
      <c r="D9468" s="15" t="str">
        <f>IFERROR(__xludf.DUMMYFUNCTION("""COMPUTED_VALUE"""),"BOGOTÁ")</f>
        <v>BOGOTÁ</v>
      </c>
      <c r="E9468" s="15" t="str">
        <f>IFERROR(__xludf.DUMMYFUNCTION("""COMPUTED_VALUE"""),"Instinto alimento vital")</f>
        <v>Instinto alimento vital</v>
      </c>
      <c r="F9468" s="17" t="str">
        <f>IFERROR(__xludf.DUMMYFUNCTION("""COMPUTED_VALUE"""),"CRA 48 N 30 21 / TORRE 1 APT 204")</f>
        <v>CRA 48 N 30 21 / TORRE 1 APT 204</v>
      </c>
      <c r="G9468" s="15" t="str">
        <f>IFERROR(__xludf.DUMMYFUNCTION("""COMPUTED_VALUE"""),"LEIDY CATERINE PATIÑO RODRIGUEZ")</f>
        <v>LEIDY CATERINE PATIÑO RODRIGUEZ</v>
      </c>
      <c r="H9468" s="16">
        <f>IFERROR(__xludf.DUMMYFUNCTION("""COMPUTED_VALUE"""),18076.0)</f>
        <v>18076</v>
      </c>
      <c r="I9468" s="17"/>
      <c r="J9468" s="17"/>
      <c r="K9468" s="17"/>
      <c r="L9468" s="17">
        <f>IFERROR(__xludf.DUMMYFUNCTION("""COMPUTED_VALUE"""),3.132936789E9)</f>
        <v>3132936789</v>
      </c>
      <c r="M9468" s="17"/>
      <c r="N9468" s="17"/>
      <c r="O9468" s="17"/>
      <c r="P9468" s="17" t="b">
        <f>IFERROR(__xludf.DUMMYFUNCTION("""COMPUTED_VALUE"""),FALSE)</f>
        <v>0</v>
      </c>
      <c r="Q9468" s="20" t="str">
        <f>IFERROR(__xludf.DUMMYFUNCTION("""COMPUTED_VALUE"""),"")</f>
        <v/>
      </c>
      <c r="R9468" s="21" t="str">
        <f>IFERROR(__xludf.DUMMYFUNCTION("""COMPUTED_VALUE"""),"https://drive.google.com/file/d/1T7c_H4E7WGiwQpnsqO983hmSNPUl2uVm/view?usp=drivesdk")</f>
        <v>https://drive.google.com/file/d/1T7c_H4E7WGiwQpnsqO983hmSNPUl2uVm/view?usp=drivesdk</v>
      </c>
    </row>
    <row r="9469">
      <c r="A9469" s="15">
        <f>IFERROR(__xludf.DUMMYFUNCTION("""COMPUTED_VALUE"""),45267.0)</f>
        <v>45267</v>
      </c>
      <c r="B9469" s="16" t="str">
        <f>IFERROR(__xludf.DUMMYFUNCTION("""COMPUTED_VALUE"""),"Johanna Arango Barrera")</f>
        <v>Johanna Arango Barrera</v>
      </c>
      <c r="C9469" s="15" t="str">
        <f>IFERROR(__xludf.DUMMYFUNCTION("""COMPUTED_VALUE"""),"BUCARAMANGA")</f>
        <v>BUCARAMANGA</v>
      </c>
      <c r="D9469" s="15" t="str">
        <f>IFERROR(__xludf.DUMMYFUNCTION("""COMPUTED_VALUE"""),"BOGOTÁ")</f>
        <v>BOGOTÁ</v>
      </c>
      <c r="E9469" s="15" t="str">
        <f>IFERROR(__xludf.DUMMYFUNCTION("""COMPUTED_VALUE"""),"LINA PAOLA RAMIREZ GOMEZ - EVA MAZZITA")</f>
        <v>LINA PAOLA RAMIREZ GOMEZ - EVA MAZZITA</v>
      </c>
      <c r="F9469" s="17" t="str">
        <f>IFERROR(__xludf.DUMMYFUNCTION("""COMPUTED_VALUE"""),"Calle 50 a # 15-99 / barrio san Miguel apto 202")</f>
        <v>Calle 50 a # 15-99 / barrio san Miguel apto 202</v>
      </c>
      <c r="G9469" s="15" t="str">
        <f>IFERROR(__xludf.DUMMYFUNCTION("""COMPUTED_VALUE"""),"AUDREY SMITH PEDROZA")</f>
        <v>AUDREY SMITH PEDROZA</v>
      </c>
      <c r="H9469" s="16">
        <f>IFERROR(__xludf.DUMMYFUNCTION("""COMPUTED_VALUE"""),18086.0)</f>
        <v>18086</v>
      </c>
      <c r="I9469" s="17"/>
      <c r="J9469" s="17"/>
      <c r="K9469" s="17"/>
      <c r="L9469" s="17">
        <f>IFERROR(__xludf.DUMMYFUNCTION("""COMPUTED_VALUE"""),3.183972236E9)</f>
        <v>3183972236</v>
      </c>
      <c r="M9469" s="17"/>
      <c r="N9469" s="17"/>
      <c r="O9469" s="17"/>
      <c r="P9469" s="17" t="b">
        <f>IFERROR(__xludf.DUMMYFUNCTION("""COMPUTED_VALUE"""),FALSE)</f>
        <v>0</v>
      </c>
      <c r="Q9469" s="20" t="str">
        <f>IFERROR(__xludf.DUMMYFUNCTION("""COMPUTED_VALUE"""),"")</f>
        <v/>
      </c>
      <c r="R9469" s="21" t="str">
        <f>IFERROR(__xludf.DUMMYFUNCTION("""COMPUTED_VALUE"""),"https://drive.google.com/file/d/1OjHp95-PfdFup6E7QpB_JfqrwY42LIh5/view?usp=drivesdk")</f>
        <v>https://drive.google.com/file/d/1OjHp95-PfdFup6E7QpB_JfqrwY42LIh5/view?usp=drivesdk</v>
      </c>
    </row>
    <row r="9470">
      <c r="A9470" s="15">
        <f>IFERROR(__xludf.DUMMYFUNCTION("""COMPUTED_VALUE"""),45267.0)</f>
        <v>45267</v>
      </c>
      <c r="B9470" s="16" t="str">
        <f>IFERROR(__xludf.DUMMYFUNCTION("""COMPUTED_VALUE"""),"Johanna Arango Barrera")</f>
        <v>Johanna Arango Barrera</v>
      </c>
      <c r="C9470" s="15" t="str">
        <f>IFERROR(__xludf.DUMMYFUNCTION("""COMPUTED_VALUE"""),"BUCARAMANGA")</f>
        <v>BUCARAMANGA</v>
      </c>
      <c r="D9470" s="15" t="str">
        <f>IFERROR(__xludf.DUMMYFUNCTION("""COMPUTED_VALUE"""),"BOGOTÁ")</f>
        <v>BOGOTÁ</v>
      </c>
      <c r="E9470" s="15" t="str">
        <f>IFERROR(__xludf.DUMMYFUNCTION("""COMPUTED_VALUE"""),"LINA PAOLA RAMIREZ GOMEZ - EVA MAZZITA")</f>
        <v>LINA PAOLA RAMIREZ GOMEZ - EVA MAZZITA</v>
      </c>
      <c r="F9470" s="17" t="str">
        <f>IFERROR(__xludf.DUMMYFUNCTION("""COMPUTED_VALUE"""),"Carrera 27 48-31 / apt 903 Edificio teusaca Sotomayor")</f>
        <v>Carrera 27 48-31 / apt 903 Edificio teusaca Sotomayor</v>
      </c>
      <c r="G9470" s="15" t="str">
        <f>IFERROR(__xludf.DUMMYFUNCTION("""COMPUTED_VALUE"""),"SONIA AMADO SILVA")</f>
        <v>SONIA AMADO SILVA</v>
      </c>
      <c r="H9470" s="16">
        <f>IFERROR(__xludf.DUMMYFUNCTION("""COMPUTED_VALUE"""),18085.0)</f>
        <v>18085</v>
      </c>
      <c r="I9470" s="17"/>
      <c r="J9470" s="17"/>
      <c r="K9470" s="17"/>
      <c r="L9470" s="17">
        <f>IFERROR(__xludf.DUMMYFUNCTION("""COMPUTED_VALUE"""),3.188292015E9)</f>
        <v>3188292015</v>
      </c>
      <c r="M9470" s="17"/>
      <c r="N9470" s="17"/>
      <c r="O9470" s="17"/>
      <c r="P9470" s="17" t="b">
        <f>IFERROR(__xludf.DUMMYFUNCTION("""COMPUTED_VALUE"""),FALSE)</f>
        <v>0</v>
      </c>
      <c r="Q9470" s="20" t="str">
        <f>IFERROR(__xludf.DUMMYFUNCTION("""COMPUTED_VALUE"""),"")</f>
        <v/>
      </c>
      <c r="R9470" s="21" t="str">
        <f>IFERROR(__xludf.DUMMYFUNCTION("""COMPUTED_VALUE"""),"https://drive.google.com/file/d/1-l7PuHLsgfJ_0S762xb6WrmykvqiD4m_/view?usp=drivesdk")</f>
        <v>https://drive.google.com/file/d/1-l7PuHLsgfJ_0S762xb6WrmykvqiD4m_/view?usp=drivesdk</v>
      </c>
    </row>
    <row r="9471">
      <c r="A9471" s="15">
        <f>IFERROR(__xludf.DUMMYFUNCTION("""COMPUTED_VALUE"""),45267.0)</f>
        <v>45267</v>
      </c>
      <c r="B9471" s="16" t="str">
        <f>IFERROR(__xludf.DUMMYFUNCTION("""COMPUTED_VALUE"""),"Johanna Arango Barrera")</f>
        <v>Johanna Arango Barrera</v>
      </c>
      <c r="C9471" s="15" t="str">
        <f>IFERROR(__xludf.DUMMYFUNCTION("""COMPUTED_VALUE"""),"BUCARAMANGA")</f>
        <v>BUCARAMANGA</v>
      </c>
      <c r="D9471" s="15" t="str">
        <f>IFERROR(__xludf.DUMMYFUNCTION("""COMPUTED_VALUE"""),"BOGOTÁ")</f>
        <v>BOGOTÁ</v>
      </c>
      <c r="E9471" s="15" t="str">
        <f>IFERROR(__xludf.DUMMYFUNCTION("""COMPUTED_VALUE"""),"LINA PAOLA RAMIREZ GOMEZ - EVA MAZZITA")</f>
        <v>LINA PAOLA RAMIREZ GOMEZ - EVA MAZZITA</v>
      </c>
      <c r="F9471" s="17" t="str">
        <f>IFERROR(__xludf.DUMMYFUNCTION("""COMPUTED_VALUE"""),"carrera 33 # 91-52 / torre 2 apartamento 1901 conjunto Monviso")</f>
        <v>carrera 33 # 91-52 / torre 2 apartamento 1901 conjunto Monviso</v>
      </c>
      <c r="G9471" s="15" t="str">
        <f>IFERROR(__xludf.DUMMYFUNCTION("""COMPUTED_VALUE"""),"JENNY KATTERINE ALVAREZ")</f>
        <v>JENNY KATTERINE ALVAREZ</v>
      </c>
      <c r="H9471" s="16">
        <f>IFERROR(__xludf.DUMMYFUNCTION("""COMPUTED_VALUE"""),18084.0)</f>
        <v>18084</v>
      </c>
      <c r="I9471" s="17"/>
      <c r="J9471" s="17"/>
      <c r="K9471" s="17"/>
      <c r="L9471" s="17">
        <f>IFERROR(__xludf.DUMMYFUNCTION("""COMPUTED_VALUE"""),3.182352632E9)</f>
        <v>3182352632</v>
      </c>
      <c r="M9471" s="17"/>
      <c r="N9471" s="17"/>
      <c r="O9471" s="17"/>
      <c r="P9471" s="17" t="b">
        <f>IFERROR(__xludf.DUMMYFUNCTION("""COMPUTED_VALUE"""),FALSE)</f>
        <v>0</v>
      </c>
      <c r="Q9471" s="20" t="str">
        <f>IFERROR(__xludf.DUMMYFUNCTION("""COMPUTED_VALUE"""),"")</f>
        <v/>
      </c>
      <c r="R9471" s="21" t="str">
        <f>IFERROR(__xludf.DUMMYFUNCTION("""COMPUTED_VALUE"""),"https://drive.google.com/file/d/1RrlHxqq8eu1_uHeKF5Kw4QOlsvFUmV0E/view?usp=drivesdk")</f>
        <v>https://drive.google.com/file/d/1RrlHxqq8eu1_uHeKF5Kw4QOlsvFUmV0E/view?usp=drivesdk</v>
      </c>
    </row>
    <row r="9472">
      <c r="A9472" s="15">
        <f>IFERROR(__xludf.DUMMYFUNCTION("""COMPUTED_VALUE"""),45267.0)</f>
        <v>45267</v>
      </c>
      <c r="B9472" s="16" t="str">
        <f>IFERROR(__xludf.DUMMYFUNCTION("""COMPUTED_VALUE"""),"Johanna Arango Barrera")</f>
        <v>Johanna Arango Barrera</v>
      </c>
      <c r="C9472" s="15" t="str">
        <f>IFERROR(__xludf.DUMMYFUNCTION("""COMPUTED_VALUE"""),"BUCARAMANGA")</f>
        <v>BUCARAMANGA</v>
      </c>
      <c r="D9472" s="15" t="str">
        <f>IFERROR(__xludf.DUMMYFUNCTION("""COMPUTED_VALUE"""),"BOGOTÁ")</f>
        <v>BOGOTÁ</v>
      </c>
      <c r="E9472" s="15" t="str">
        <f>IFERROR(__xludf.DUMMYFUNCTION("""COMPUTED_VALUE"""),"LINA PAOLA RAMIREZ GOMEZ - EVA MAZZITA")</f>
        <v>LINA PAOLA RAMIREZ GOMEZ - EVA MAZZITA</v>
      </c>
      <c r="F9472" s="17" t="str">
        <f>IFERROR(__xludf.DUMMYFUNCTION("""COMPUTED_VALUE"""),"Circunvalar 36a N. 104-25 / Conjunto residencial puerto varas Torre 3 apto 904 FATIMA")</f>
        <v>Circunvalar 36a N. 104-25 / Conjunto residencial puerto varas Torre 3 apto 904 FATIMA</v>
      </c>
      <c r="G9472" s="15" t="str">
        <f>IFERROR(__xludf.DUMMYFUNCTION("""COMPUTED_VALUE"""),"LAURA YANETH RUIZ PORRAS")</f>
        <v>LAURA YANETH RUIZ PORRAS</v>
      </c>
      <c r="H9472" s="16">
        <f>IFERROR(__xludf.DUMMYFUNCTION("""COMPUTED_VALUE"""),18079.0)</f>
        <v>18079</v>
      </c>
      <c r="I9472" s="17"/>
      <c r="J9472" s="17"/>
      <c r="K9472" s="17"/>
      <c r="L9472" s="17">
        <f>IFERROR(__xludf.DUMMYFUNCTION("""COMPUTED_VALUE"""),3.012006773E9)</f>
        <v>3012006773</v>
      </c>
      <c r="M9472" s="17"/>
      <c r="N9472" s="17"/>
      <c r="O9472" s="17"/>
      <c r="P9472" s="17" t="b">
        <f>IFERROR(__xludf.DUMMYFUNCTION("""COMPUTED_VALUE"""),FALSE)</f>
        <v>0</v>
      </c>
      <c r="Q9472" s="20" t="str">
        <f>IFERROR(__xludf.DUMMYFUNCTION("""COMPUTED_VALUE"""),"")</f>
        <v/>
      </c>
      <c r="R9472" s="21" t="str">
        <f>IFERROR(__xludf.DUMMYFUNCTION("""COMPUTED_VALUE"""),"https://drive.google.com/file/d/1He757CGWtkpnJkbsmgn-mCv8YJsw2l7X/view?usp=drivesdk")</f>
        <v>https://drive.google.com/file/d/1He757CGWtkpnJkbsmgn-mCv8YJsw2l7X/view?usp=drivesdk</v>
      </c>
    </row>
    <row r="9473">
      <c r="A9473" s="15">
        <f>IFERROR(__xludf.DUMMYFUNCTION("""COMPUTED_VALUE"""),45267.0)</f>
        <v>45267</v>
      </c>
      <c r="B9473" s="16" t="str">
        <f>IFERROR(__xludf.DUMMYFUNCTION("""COMPUTED_VALUE"""),"Johanna Arango Barrera")</f>
        <v>Johanna Arango Barrera</v>
      </c>
      <c r="C9473" s="15" t="str">
        <f>IFERROR(__xludf.DUMMYFUNCTION("""COMPUTED_VALUE"""),"BUCARAMANGA")</f>
        <v>BUCARAMANGA</v>
      </c>
      <c r="D9473" s="15" t="str">
        <f>IFERROR(__xludf.DUMMYFUNCTION("""COMPUTED_VALUE"""),"BOGOTÁ")</f>
        <v>BOGOTÁ</v>
      </c>
      <c r="E9473" s="15" t="str">
        <f>IFERROR(__xludf.DUMMYFUNCTION("""COMPUTED_VALUE"""),"LINA PAOLA RAMIREZ GOMEZ - EVA MAZZITA")</f>
        <v>LINA PAOLA RAMIREZ GOMEZ - EVA MAZZITA</v>
      </c>
      <c r="F9473" s="17" t="str">
        <f>IFERROR(__xludf.DUMMYFUNCTION("""COMPUTED_VALUE"""),"CRA 29 No. 32 - 47 / APTO 901 BARRIO LA AURORA")</f>
        <v>CRA 29 No. 32 - 47 / APTO 901 BARRIO LA AURORA</v>
      </c>
      <c r="G9473" s="15" t="str">
        <f>IFERROR(__xludf.DUMMYFUNCTION("""COMPUTED_VALUE"""),"JESSIKA CATHERINE TRIANA CASTELLANOS")</f>
        <v>JESSIKA CATHERINE TRIANA CASTELLANOS</v>
      </c>
      <c r="H9473" s="16">
        <f>IFERROR(__xludf.DUMMYFUNCTION("""COMPUTED_VALUE"""),18080.0)</f>
        <v>18080</v>
      </c>
      <c r="I9473" s="17"/>
      <c r="J9473" s="17"/>
      <c r="K9473" s="17"/>
      <c r="L9473" s="17">
        <f>IFERROR(__xludf.DUMMYFUNCTION("""COMPUTED_VALUE"""),3.142832696E9)</f>
        <v>3142832696</v>
      </c>
      <c r="M9473" s="17"/>
      <c r="N9473" s="17"/>
      <c r="O9473" s="17"/>
      <c r="P9473" s="17" t="b">
        <f>IFERROR(__xludf.DUMMYFUNCTION("""COMPUTED_VALUE"""),FALSE)</f>
        <v>0</v>
      </c>
      <c r="Q9473" s="20" t="str">
        <f>IFERROR(__xludf.DUMMYFUNCTION("""COMPUTED_VALUE"""),"")</f>
        <v/>
      </c>
      <c r="R9473" s="21" t="str">
        <f>IFERROR(__xludf.DUMMYFUNCTION("""COMPUTED_VALUE"""),"https://drive.google.com/file/d/19UVWHdUvnLNHpiBUvVljwkEZLGjdLKIC/view?usp=drivesdk")</f>
        <v>https://drive.google.com/file/d/19UVWHdUvnLNHpiBUvVljwkEZLGjdLKIC/view?usp=drivesdk</v>
      </c>
    </row>
    <row r="9474">
      <c r="A9474" s="15">
        <f>IFERROR(__xludf.DUMMYFUNCTION("""COMPUTED_VALUE"""),45267.0)</f>
        <v>45267</v>
      </c>
      <c r="B9474" s="16" t="str">
        <f>IFERROR(__xludf.DUMMYFUNCTION("""COMPUTED_VALUE"""),"Johanna Arango Barrera")</f>
        <v>Johanna Arango Barrera</v>
      </c>
      <c r="C9474" s="15" t="str">
        <f>IFERROR(__xludf.DUMMYFUNCTION("""COMPUTED_VALUE"""),"BUCARAMANGA")</f>
        <v>BUCARAMANGA</v>
      </c>
      <c r="D9474" s="15" t="str">
        <f>IFERROR(__xludf.DUMMYFUNCTION("""COMPUTED_VALUE"""),"BOGOTÁ")</f>
        <v>BOGOTÁ</v>
      </c>
      <c r="E9474" s="15" t="str">
        <f>IFERROR(__xludf.DUMMYFUNCTION("""COMPUTED_VALUE"""),"LINA PAOLA RAMIREZ GOMEZ - EVA MAZZITA")</f>
        <v>LINA PAOLA RAMIREZ GOMEZ - EVA MAZZITA</v>
      </c>
      <c r="F9474" s="17" t="str">
        <f>IFERROR(__xludf.DUMMYFUNCTION("""COMPUTED_VALUE"""),"cra 33 # 91 52 / torre 2 apto 1703 conjunto monviso Barrio El tejar")</f>
        <v>cra 33 # 91 52 / torre 2 apto 1703 conjunto monviso Barrio El tejar</v>
      </c>
      <c r="G9474" s="15" t="str">
        <f>IFERROR(__xludf.DUMMYFUNCTION("""COMPUTED_VALUE"""),"LAURA SILVA ARDILA")</f>
        <v>LAURA SILVA ARDILA</v>
      </c>
      <c r="H9474" s="16">
        <f>IFERROR(__xludf.DUMMYFUNCTION("""COMPUTED_VALUE"""),18083.0)</f>
        <v>18083</v>
      </c>
      <c r="I9474" s="17"/>
      <c r="J9474" s="17"/>
      <c r="K9474" s="17"/>
      <c r="L9474" s="17">
        <f>IFERROR(__xludf.DUMMYFUNCTION("""COMPUTED_VALUE"""),3.164970799E9)</f>
        <v>3164970799</v>
      </c>
      <c r="M9474" s="17"/>
      <c r="N9474" s="17"/>
      <c r="O9474" s="17"/>
      <c r="P9474" s="17" t="b">
        <f>IFERROR(__xludf.DUMMYFUNCTION("""COMPUTED_VALUE"""),FALSE)</f>
        <v>0</v>
      </c>
      <c r="Q9474" s="20" t="str">
        <f>IFERROR(__xludf.DUMMYFUNCTION("""COMPUTED_VALUE"""),"")</f>
        <v/>
      </c>
      <c r="R9474" s="21" t="str">
        <f>IFERROR(__xludf.DUMMYFUNCTION("""COMPUTED_VALUE"""),"https://drive.google.com/file/d/1e1oYWg9whMtC595V-Yyw3NLvvZCjgE3E/view?usp=drivesdk")</f>
        <v>https://drive.google.com/file/d/1e1oYWg9whMtC595V-Yyw3NLvvZCjgE3E/view?usp=drivesdk</v>
      </c>
    </row>
    <row r="9475">
      <c r="A9475" s="15">
        <f>IFERROR(__xludf.DUMMYFUNCTION("""COMPUTED_VALUE"""),45267.0)</f>
        <v>45267</v>
      </c>
      <c r="B9475" s="16" t="str">
        <f>IFERROR(__xludf.DUMMYFUNCTION("""COMPUTED_VALUE"""),"Johanna Arango Barrera")</f>
        <v>Johanna Arango Barrera</v>
      </c>
      <c r="C9475" s="15" t="str">
        <f>IFERROR(__xludf.DUMMYFUNCTION("""COMPUTED_VALUE"""),"BUCARAMANGA")</f>
        <v>BUCARAMANGA</v>
      </c>
      <c r="D9475" s="15" t="str">
        <f>IFERROR(__xludf.DUMMYFUNCTION("""COMPUTED_VALUE"""),"BOGOTÁ")</f>
        <v>BOGOTÁ</v>
      </c>
      <c r="E9475" s="15" t="str">
        <f>IFERROR(__xludf.DUMMYFUNCTION("""COMPUTED_VALUE"""),"LINA PAOLA RAMIREZ GOMEZ - EVA MAZZITA")</f>
        <v>LINA PAOLA RAMIREZ GOMEZ - EVA MAZZITA</v>
      </c>
      <c r="F9475" s="17" t="str">
        <f>IFERROR(__xludf.DUMMYFUNCTION("""COMPUTED_VALUE"""),"Es calle 44 nro 27a-14 / apto 702 Santiago de Compostela")</f>
        <v>Es calle 44 nro 27a-14 / apto 702 Santiago de Compostela</v>
      </c>
      <c r="G9475" s="15" t="str">
        <f>IFERROR(__xludf.DUMMYFUNCTION("""COMPUTED_VALUE"""),"YESENIA NEIRA")</f>
        <v>YESENIA NEIRA</v>
      </c>
      <c r="H9475" s="16">
        <f>IFERROR(__xludf.DUMMYFUNCTION("""COMPUTED_VALUE"""),18082.0)</f>
        <v>18082</v>
      </c>
      <c r="I9475" s="17"/>
      <c r="J9475" s="17"/>
      <c r="K9475" s="17"/>
      <c r="L9475" s="17">
        <f>IFERROR(__xludf.DUMMYFUNCTION("""COMPUTED_VALUE"""),3.107979618E9)</f>
        <v>3107979618</v>
      </c>
      <c r="M9475" s="17"/>
      <c r="N9475" s="17"/>
      <c r="O9475" s="17"/>
      <c r="P9475" s="17" t="b">
        <f>IFERROR(__xludf.DUMMYFUNCTION("""COMPUTED_VALUE"""),FALSE)</f>
        <v>0</v>
      </c>
      <c r="Q9475" s="20" t="str">
        <f>IFERROR(__xludf.DUMMYFUNCTION("""COMPUTED_VALUE"""),"")</f>
        <v/>
      </c>
      <c r="R9475" s="21" t="str">
        <f>IFERROR(__xludf.DUMMYFUNCTION("""COMPUTED_VALUE"""),"https://drive.google.com/file/d/1g7btY8_rsuGbcZVmRVOrsShS0TPxF02c/view?usp=drivesdk")</f>
        <v>https://drive.google.com/file/d/1g7btY8_rsuGbcZVmRVOrsShS0TPxF02c/view?usp=drivesdk</v>
      </c>
    </row>
    <row r="9476">
      <c r="A9476" s="15">
        <f>IFERROR(__xludf.DUMMYFUNCTION("""COMPUTED_VALUE"""),45267.0)</f>
        <v>45267</v>
      </c>
      <c r="B9476" s="16" t="str">
        <f>IFERROR(__xludf.DUMMYFUNCTION("""COMPUTED_VALUE"""),"Johanna Arango Barrera")</f>
        <v>Johanna Arango Barrera</v>
      </c>
      <c r="C9476" s="15" t="str">
        <f>IFERROR(__xludf.DUMMYFUNCTION("""COMPUTED_VALUE"""),"BUCARAMANGA")</f>
        <v>BUCARAMANGA</v>
      </c>
      <c r="D9476" s="15" t="str">
        <f>IFERROR(__xludf.DUMMYFUNCTION("""COMPUTED_VALUE"""),"MEDELLÍN")</f>
        <v>MEDELLÍN</v>
      </c>
      <c r="E9476" s="15" t="str">
        <f>IFERROR(__xludf.DUMMYFUNCTION("""COMPUTED_VALUE"""),"Terravocado")</f>
        <v>Terravocado</v>
      </c>
      <c r="F9476" s="17" t="str">
        <f>IFERROR(__xludf.DUMMYFUNCTION("""COMPUTED_VALUE"""),"call real # 6 - 74 / portal de san sebastian torre 4 apt 702 / bucaramanga")</f>
        <v>call real # 6 - 74 / portal de san sebastian torre 4 apt 702 / bucaramanga</v>
      </c>
      <c r="G9476" s="15" t="str">
        <f>IFERROR(__xludf.DUMMYFUNCTION("""COMPUTED_VALUE"""),"RAFAEL ESTEBAN CONTRERAS MURILLO")</f>
        <v>RAFAEL ESTEBAN CONTRERAS MURILLO</v>
      </c>
      <c r="H9476" s="16">
        <f>IFERROR(__xludf.DUMMYFUNCTION("""COMPUTED_VALUE"""),18012.0)</f>
        <v>18012</v>
      </c>
      <c r="I9476" s="18">
        <f>IFERROR(__xludf.DUMMYFUNCTION("""COMPUTED_VALUE"""),20.0)</f>
        <v>20</v>
      </c>
      <c r="J9476" s="18">
        <f>IFERROR(__xludf.DUMMYFUNCTION("""COMPUTED_VALUE"""),24.0)</f>
        <v>24</v>
      </c>
      <c r="K9476" s="18">
        <f>IFERROR(__xludf.DUMMYFUNCTION("""COMPUTED_VALUE"""),34.0)</f>
        <v>34</v>
      </c>
      <c r="L9476" s="17">
        <f>IFERROR(__xludf.DUMMYFUNCTION("""COMPUTED_VALUE"""),3.223626148E9)</f>
        <v>3223626148</v>
      </c>
      <c r="M9476" s="17"/>
      <c r="N9476" s="17"/>
      <c r="O9476" s="17"/>
      <c r="P9476" s="17" t="b">
        <f>IFERROR(__xludf.DUMMYFUNCTION("""COMPUTED_VALUE"""),FALSE)</f>
        <v>0</v>
      </c>
      <c r="Q9476" s="20" t="str">
        <f>IFERROR(__xludf.DUMMYFUNCTION("""COMPUTED_VALUE"""),"")</f>
        <v/>
      </c>
      <c r="R9476" s="21" t="str">
        <f>IFERROR(__xludf.DUMMYFUNCTION("""COMPUTED_VALUE"""),"https://drive.google.com/file/d/1ISrjDSjpW4n3-7Xtm70gJPEgWnv3iXMW/view?usp=drivesdk")</f>
        <v>https://drive.google.com/file/d/1ISrjDSjpW4n3-7Xtm70gJPEgWnv3iXMW/view?usp=drivesdk</v>
      </c>
    </row>
    <row r="9477">
      <c r="A9477" s="15">
        <f>IFERROR(__xludf.DUMMYFUNCTION("""COMPUTED_VALUE"""),45267.0)</f>
        <v>45267</v>
      </c>
      <c r="B9477" s="16" t="str">
        <f>IFERROR(__xludf.DUMMYFUNCTION("""COMPUTED_VALUE"""),"Johanna Arango Barrera")</f>
        <v>Johanna Arango Barrera</v>
      </c>
      <c r="C9477" s="15" t="str">
        <f>IFERROR(__xludf.DUMMYFUNCTION("""COMPUTED_VALUE"""),"FLORIDABLANCA")</f>
        <v>FLORIDABLANCA</v>
      </c>
      <c r="D9477" s="15" t="str">
        <f>IFERROR(__xludf.DUMMYFUNCTION("""COMPUTED_VALUE"""),"BOGOTÁ")</f>
        <v>BOGOTÁ</v>
      </c>
      <c r="E9477" s="15" t="str">
        <f>IFERROR(__xludf.DUMMYFUNCTION("""COMPUTED_VALUE"""),"LINA PAOLA RAMIREZ GOMEZ - EVA MAZZITA")</f>
        <v>LINA PAOLA RAMIREZ GOMEZ - EVA MAZZITA</v>
      </c>
      <c r="F9477" s="17" t="str">
        <f>IFERROR(__xludf.DUMMYFUNCTION("""COMPUTED_VALUE"""),"Carrera 8A#12-05 T-4 / Apto 1101 Conj Sacromonte Abadias Condominio Floridablanca Santander")</f>
        <v>Carrera 8A#12-05 T-4 / Apto 1101 Conj Sacromonte Abadias Condominio Floridablanca Santander</v>
      </c>
      <c r="G9477" s="15" t="str">
        <f>IFERROR(__xludf.DUMMYFUNCTION("""COMPUTED_VALUE"""),"CAROL MARCELA CADENA SANCHEZ")</f>
        <v>CAROL MARCELA CADENA SANCHEZ</v>
      </c>
      <c r="H9477" s="16">
        <f>IFERROR(__xludf.DUMMYFUNCTION("""COMPUTED_VALUE"""),18089.0)</f>
        <v>18089</v>
      </c>
      <c r="I9477" s="17"/>
      <c r="J9477" s="17"/>
      <c r="K9477" s="17"/>
      <c r="L9477" s="17">
        <f>IFERROR(__xludf.DUMMYFUNCTION("""COMPUTED_VALUE"""),3.003033942E9)</f>
        <v>3003033942</v>
      </c>
      <c r="M9477" s="17"/>
      <c r="N9477" s="17"/>
      <c r="O9477" s="17"/>
      <c r="P9477" s="17" t="b">
        <f>IFERROR(__xludf.DUMMYFUNCTION("""COMPUTED_VALUE"""),FALSE)</f>
        <v>0</v>
      </c>
      <c r="Q9477" s="20" t="str">
        <f>IFERROR(__xludf.DUMMYFUNCTION("""COMPUTED_VALUE"""),"")</f>
        <v/>
      </c>
      <c r="R9477" s="21" t="str">
        <f>IFERROR(__xludf.DUMMYFUNCTION("""COMPUTED_VALUE"""),"https://drive.google.com/file/d/1Xr7OkbtVTuZDypd9rUVZHQlgzziqoxaj/view?usp=drivesdk")</f>
        <v>https://drive.google.com/file/d/1Xr7OkbtVTuZDypd9rUVZHQlgzziqoxaj/view?usp=drivesdk</v>
      </c>
    </row>
    <row r="9478">
      <c r="A9478" s="17" t="str">
        <f>IFERROR(__xludf.DUMMYFUNCTION("""COMPUTED_VALUE"""),"")</f>
        <v/>
      </c>
      <c r="B9478" s="17" t="str">
        <f>IFERROR(__xludf.DUMMYFUNCTION("""COMPUTED_VALUE"""),"")</f>
        <v/>
      </c>
      <c r="C9478" s="17" t="str">
        <f>IFERROR(__xludf.DUMMYFUNCTION("""COMPUTED_VALUE"""),"")</f>
        <v/>
      </c>
      <c r="D9478" s="17" t="str">
        <f>IFERROR(__xludf.DUMMYFUNCTION("""COMPUTED_VALUE"""),"")</f>
        <v/>
      </c>
      <c r="E9478" s="17" t="str">
        <f>IFERROR(__xludf.DUMMYFUNCTION("""COMPUTED_VALUE"""),"")</f>
        <v/>
      </c>
      <c r="F9478" s="17" t="str">
        <f>IFERROR(__xludf.DUMMYFUNCTION("""COMPUTED_VALUE"""),"")</f>
        <v/>
      </c>
      <c r="G9478" s="17" t="str">
        <f>IFERROR(__xludf.DUMMYFUNCTION("""COMPUTED_VALUE"""),"")</f>
        <v/>
      </c>
      <c r="H9478" s="17" t="str">
        <f>IFERROR(__xludf.DUMMYFUNCTION("""COMPUTED_VALUE"""),"")</f>
        <v/>
      </c>
      <c r="I9478" s="17" t="str">
        <f>IFERROR(__xludf.DUMMYFUNCTION("""COMPUTED_VALUE"""),"")</f>
        <v/>
      </c>
      <c r="J9478" s="17" t="str">
        <f>IFERROR(__xludf.DUMMYFUNCTION("""COMPUTED_VALUE"""),"")</f>
        <v/>
      </c>
      <c r="K9478" s="17" t="str">
        <f>IFERROR(__xludf.DUMMYFUNCTION("""COMPUTED_VALUE"""),"")</f>
        <v/>
      </c>
      <c r="L9478" s="17" t="str">
        <f>IFERROR(__xludf.DUMMYFUNCTION("""COMPUTED_VALUE"""),"")</f>
        <v/>
      </c>
      <c r="M9478" s="17" t="str">
        <f>IFERROR(__xludf.DUMMYFUNCTION("""COMPUTED_VALUE"""),"")</f>
        <v/>
      </c>
      <c r="N9478" s="17" t="str">
        <f>IFERROR(__xludf.DUMMYFUNCTION("""COMPUTED_VALUE"""),"")</f>
        <v/>
      </c>
      <c r="O9478" s="17" t="str">
        <f>IFERROR(__xludf.DUMMYFUNCTION("""COMPUTED_VALUE"""),"")</f>
        <v/>
      </c>
      <c r="P9478" s="17" t="str">
        <f>IFERROR(__xludf.DUMMYFUNCTION("""COMPUTED_VALUE"""),"")</f>
        <v/>
      </c>
      <c r="Q9478" s="17" t="str">
        <f>IFERROR(__xludf.DUMMYFUNCTION("""COMPUTED_VALUE"""),"")</f>
        <v/>
      </c>
      <c r="R9478" s="17" t="str">
        <f>IFERROR(__xludf.DUMMYFUNCTION("""COMPUTED_VALUE"""),"")</f>
        <v/>
      </c>
    </row>
    <row r="9479">
      <c r="A9479" s="15">
        <f>IFERROR(__xludf.DUMMYFUNCTION("""COMPUTED_VALUE"""),45267.0)</f>
        <v>45267</v>
      </c>
      <c r="B9479" s="16" t="str">
        <f>IFERROR(__xludf.DUMMYFUNCTION("""COMPUTED_VALUE"""),"JOSE ALFREDO RAMIREZ VERGARA ")</f>
        <v>JOSE ALFREDO RAMIREZ VERGARA </v>
      </c>
      <c r="C9479" s="15" t="str">
        <f>IFERROR(__xludf.DUMMYFUNCTION("""COMPUTED_VALUE"""),"BOGOTÁ")</f>
        <v>BOGOTÁ</v>
      </c>
      <c r="D9479" s="15" t="str">
        <f>IFERROR(__xludf.DUMMYFUNCTION("""COMPUTED_VALUE"""),"ENVIGADO")</f>
        <v>ENVIGADO</v>
      </c>
      <c r="E9479" s="15" t="str">
        <f>IFERROR(__xludf.DUMMYFUNCTION("""COMPUTED_VALUE"""),"RAMBLA")</f>
        <v>RAMBLA</v>
      </c>
      <c r="F9479" s="17" t="str">
        <f>IFERROR(__xludf.DUMMYFUNCTION("""COMPUTED_VALUE"""),"CRA 16A # 77 - 23 / LOCAL 4")</f>
        <v>CRA 16A # 77 - 23 / LOCAL 4</v>
      </c>
      <c r="G9479" s="15" t="str">
        <f>IFERROR(__xludf.DUMMYFUNCTION("""COMPUTED_VALUE"""),"BODEGA DANDO CUERDA - RAMBLA")</f>
        <v>BODEGA DANDO CUERDA - RAMBLA</v>
      </c>
      <c r="H9479" s="16">
        <f>IFERROR(__xludf.DUMMYFUNCTION("""COMPUTED_VALUE"""),18090.0)</f>
        <v>18090</v>
      </c>
      <c r="I9479" s="17"/>
      <c r="J9479" s="17"/>
      <c r="K9479" s="17"/>
      <c r="L9479" s="17">
        <f>IFERROR(__xludf.DUMMYFUNCTION("""COMPUTED_VALUE"""),3.108664138E9)</f>
        <v>3108664138</v>
      </c>
      <c r="M9479" s="17"/>
      <c r="N9479" s="17"/>
      <c r="O9479" s="17"/>
      <c r="P9479" s="17" t="b">
        <f>IFERROR(__xludf.DUMMYFUNCTION("""COMPUTED_VALUE"""),FALSE)</f>
        <v>0</v>
      </c>
      <c r="Q9479" s="20" t="str">
        <f>IFERROR(__xludf.DUMMYFUNCTION("""COMPUTED_VALUE"""),"")</f>
        <v/>
      </c>
      <c r="R9479" s="21" t="str">
        <f>IFERROR(__xludf.DUMMYFUNCTION("""COMPUTED_VALUE"""),"https://drive.google.com/file/d/1GUX20T2kMwHIjrFPmi2Gsw7kNSsYeIoq/view?usp=drivesdk")</f>
        <v>https://drive.google.com/file/d/1GUX20T2kMwHIjrFPmi2Gsw7kNSsYeIoq/view?usp=drivesdk</v>
      </c>
    </row>
    <row r="9480">
      <c r="A9480" s="15">
        <f>IFERROR(__xludf.DUMMYFUNCTION("""COMPUTED_VALUE"""),45267.0)</f>
        <v>45267</v>
      </c>
      <c r="B9480" s="16" t="str">
        <f>IFERROR(__xludf.DUMMYFUNCTION("""COMPUTED_VALUE"""),"JOSE ALFREDO RAMIREZ VERGARA ")</f>
        <v>JOSE ALFREDO RAMIREZ VERGARA </v>
      </c>
      <c r="C9480" s="15" t="str">
        <f>IFERROR(__xludf.DUMMYFUNCTION("""COMPUTED_VALUE"""),"BOGOTÁ")</f>
        <v>BOGOTÁ</v>
      </c>
      <c r="D9480" s="15" t="str">
        <f>IFERROR(__xludf.DUMMYFUNCTION("""COMPUTED_VALUE"""),"MEDELLÍN")</f>
        <v>MEDELLÍN</v>
      </c>
      <c r="E9480" s="15" t="str">
        <f>IFERROR(__xludf.DUMMYFUNCTION("""COMPUTED_VALUE"""),"Baby Chef")</f>
        <v>Baby Chef</v>
      </c>
      <c r="F9480" s="17" t="str">
        <f>IFERROR(__xludf.DUMMYFUNCTION("""COMPUTED_VALUE"""),"Carrera 17 # 106-51 Apto 204 / . / .")</f>
        <v>Carrera 17 # 106-51 Apto 204 / . / .</v>
      </c>
      <c r="G9480" s="15" t="str">
        <f>IFERROR(__xludf.DUMMYFUNCTION("""COMPUTED_VALUE"""),"Estefanía Fonseca")</f>
        <v>Estefanía Fonseca</v>
      </c>
      <c r="H9480" s="16">
        <f>IFERROR(__xludf.DUMMYFUNCTION("""COMPUTED_VALUE"""),18096.0)</f>
        <v>18096</v>
      </c>
      <c r="I9480" s="18">
        <f>IFERROR(__xludf.DUMMYFUNCTION("""COMPUTED_VALUE"""),4.0)</f>
        <v>4</v>
      </c>
      <c r="J9480" s="18">
        <f>IFERROR(__xludf.DUMMYFUNCTION("""COMPUTED_VALUE"""),17.0)</f>
        <v>17</v>
      </c>
      <c r="K9480" s="18">
        <f>IFERROR(__xludf.DUMMYFUNCTION("""COMPUTED_VALUE"""),18.0)</f>
        <v>18</v>
      </c>
      <c r="L9480" s="17">
        <f>IFERROR(__xludf.DUMMYFUNCTION("""COMPUTED_VALUE"""),3.21232582E9)</f>
        <v>3212325820</v>
      </c>
      <c r="M9480" s="17"/>
      <c r="N9480" s="17"/>
      <c r="O9480" s="17"/>
      <c r="P9480" s="17" t="b">
        <f>IFERROR(__xludf.DUMMYFUNCTION("""COMPUTED_VALUE"""),FALSE)</f>
        <v>0</v>
      </c>
      <c r="Q9480" s="20" t="str">
        <f>IFERROR(__xludf.DUMMYFUNCTION("""COMPUTED_VALUE"""),"")</f>
        <v/>
      </c>
      <c r="R9480" s="21" t="str">
        <f>IFERROR(__xludf.DUMMYFUNCTION("""COMPUTED_VALUE"""),"https://drive.google.com/file/d/1CbtdHnj0UnhBEmTG0D007k3scXcaeCMM/view?usp=drivesdk")</f>
        <v>https://drive.google.com/file/d/1CbtdHnj0UnhBEmTG0D007k3scXcaeCMM/view?usp=drivesdk</v>
      </c>
    </row>
    <row r="9481">
      <c r="A9481" s="15">
        <f>IFERROR(__xludf.DUMMYFUNCTION("""COMPUTED_VALUE"""),45267.0)</f>
        <v>45267</v>
      </c>
      <c r="B9481" s="16" t="str">
        <f>IFERROR(__xludf.DUMMYFUNCTION("""COMPUTED_VALUE"""),"JOSE ALFREDO RAMIREZ VERGARA ")</f>
        <v>JOSE ALFREDO RAMIREZ VERGARA </v>
      </c>
      <c r="C9481" s="15" t="str">
        <f>IFERROR(__xludf.DUMMYFUNCTION("""COMPUTED_VALUE"""),"BOGOTÁ")</f>
        <v>BOGOTÁ</v>
      </c>
      <c r="D9481" s="15" t="str">
        <f>IFERROR(__xludf.DUMMYFUNCTION("""COMPUTED_VALUE"""),"MEDELLÍN")</f>
        <v>MEDELLÍN</v>
      </c>
      <c r="E9481" s="15" t="str">
        <f>IFERROR(__xludf.DUMMYFUNCTION("""COMPUTED_VALUE"""),"HELADERIA MAGDA")</f>
        <v>HELADERIA MAGDA</v>
      </c>
      <c r="F9481" s="17" t="str">
        <f>IFERROR(__xludf.DUMMYFUNCTION("""COMPUTED_VALUE"""),"Cra. 16A #77-23 / Bodega")</f>
        <v>Cra. 16A #77-23 / Bodega</v>
      </c>
      <c r="G9481" s="15" t="str">
        <f>IFERROR(__xludf.DUMMYFUNCTION("""COMPUTED_VALUE"""),"Dando Cuerda")</f>
        <v>Dando Cuerda</v>
      </c>
      <c r="H9481" s="16">
        <f>IFERROR(__xludf.DUMMYFUNCTION("""COMPUTED_VALUE"""),18102.0)</f>
        <v>18102</v>
      </c>
      <c r="I9481" s="17"/>
      <c r="J9481" s="17"/>
      <c r="K9481" s="17"/>
      <c r="L9481" s="17"/>
      <c r="M9481" s="17"/>
      <c r="N9481" s="17"/>
      <c r="O9481" s="17"/>
      <c r="P9481" s="17" t="b">
        <f>IFERROR(__xludf.DUMMYFUNCTION("""COMPUTED_VALUE"""),FALSE)</f>
        <v>0</v>
      </c>
      <c r="Q9481" s="20" t="str">
        <f>IFERROR(__xludf.DUMMYFUNCTION("""COMPUTED_VALUE"""),"")</f>
        <v/>
      </c>
      <c r="R9481" s="21" t="str">
        <f>IFERROR(__xludf.DUMMYFUNCTION("""COMPUTED_VALUE"""),"https://drive.google.com/file/d/1CrZlRwVzoTDNCg2EzGin549SD8Y8B_qy/view?usp=drivesdk")</f>
        <v>https://drive.google.com/file/d/1CrZlRwVzoTDNCg2EzGin549SD8Y8B_qy/view?usp=drivesdk</v>
      </c>
    </row>
    <row r="9482">
      <c r="A9482" s="15">
        <f>IFERROR(__xludf.DUMMYFUNCTION("""COMPUTED_VALUE"""),45267.0)</f>
        <v>45267</v>
      </c>
      <c r="B9482" s="16" t="str">
        <f>IFERROR(__xludf.DUMMYFUNCTION("""COMPUTED_VALUE"""),"JOSE ALFREDO RAMIREZ VERGARA ")</f>
        <v>JOSE ALFREDO RAMIREZ VERGARA </v>
      </c>
      <c r="C9482" s="15" t="str">
        <f>IFERROR(__xludf.DUMMYFUNCTION("""COMPUTED_VALUE"""),"CALI")</f>
        <v>CALI</v>
      </c>
      <c r="D9482" s="15" t="str">
        <f>IFERROR(__xludf.DUMMYFUNCTION("""COMPUTED_VALUE"""),"MEDELLÍN")</f>
        <v>MEDELLÍN</v>
      </c>
      <c r="E9482" s="15" t="str">
        <f>IFERROR(__xludf.DUMMYFUNCTION("""COMPUTED_VALUE"""),"Helados swip")</f>
        <v>Helados swip</v>
      </c>
      <c r="F9482" s="17" t="str">
        <f>IFERROR(__xludf.DUMMYFUNCTION("""COMPUTED_VALUE"""),"AV 4  NORTE # 7 N 46  / LOCAL 129 / C.C CENTENARIO")</f>
        <v>AV 4  NORTE # 7 N 46  / LOCAL 129 / C.C CENTENARIO</v>
      </c>
      <c r="G9482" s="15" t="str">
        <f>IFERROR(__xludf.DUMMYFUNCTION("""COMPUTED_VALUE"""),"VITAFITNESS S.A.S")</f>
        <v>VITAFITNESS S.A.S</v>
      </c>
      <c r="H9482" s="16">
        <f>IFERROR(__xludf.DUMMYFUNCTION("""COMPUTED_VALUE"""),18093.0)</f>
        <v>18093</v>
      </c>
      <c r="I9482" s="18">
        <f>IFERROR(__xludf.DUMMYFUNCTION("""COMPUTED_VALUE"""),29.0)</f>
        <v>29</v>
      </c>
      <c r="J9482" s="18">
        <f>IFERROR(__xludf.DUMMYFUNCTION("""COMPUTED_VALUE"""),55.0)</f>
        <v>55</v>
      </c>
      <c r="K9482" s="18">
        <f>IFERROR(__xludf.DUMMYFUNCTION("""COMPUTED_VALUE"""),45.0)</f>
        <v>45</v>
      </c>
      <c r="L9482" s="17">
        <f>IFERROR(__xludf.DUMMYFUNCTION("""COMPUTED_VALUE"""),3.10443232E9)</f>
        <v>3104432320</v>
      </c>
      <c r="M9482" s="17"/>
      <c r="N9482" s="17"/>
      <c r="O9482" s="17"/>
      <c r="P9482" s="17" t="b">
        <f>IFERROR(__xludf.DUMMYFUNCTION("""COMPUTED_VALUE"""),FALSE)</f>
        <v>0</v>
      </c>
      <c r="Q9482" s="20" t="str">
        <f>IFERROR(__xludf.DUMMYFUNCTION("""COMPUTED_VALUE"""),"")</f>
        <v/>
      </c>
      <c r="R9482" s="21" t="str">
        <f>IFERROR(__xludf.DUMMYFUNCTION("""COMPUTED_VALUE"""),"https://drive.google.com/file/d/1BDZ4At-u12Lc_c0sxIIPQYQePDZQcaDM/view?usp=drivesdk")</f>
        <v>https://drive.google.com/file/d/1BDZ4At-u12Lc_c0sxIIPQYQePDZQcaDM/view?usp=drivesdk</v>
      </c>
    </row>
    <row r="9483">
      <c r="A9483" s="15">
        <f>IFERROR(__xludf.DUMMYFUNCTION("""COMPUTED_VALUE"""),45267.0)</f>
        <v>45267</v>
      </c>
      <c r="B9483" s="16" t="str">
        <f>IFERROR(__xludf.DUMMYFUNCTION("""COMPUTED_VALUE"""),"JOSE ALFREDO RAMIREZ VERGARA ")</f>
        <v>JOSE ALFREDO RAMIREZ VERGARA </v>
      </c>
      <c r="C9483" s="15" t="str">
        <f>IFERROR(__xludf.DUMMYFUNCTION("""COMPUTED_VALUE"""),"POPAYAN")</f>
        <v>POPAYAN</v>
      </c>
      <c r="D9483" s="15" t="str">
        <f>IFERROR(__xludf.DUMMYFUNCTION("""COMPUTED_VALUE"""),"MEDELLÍN")</f>
        <v>MEDELLÍN</v>
      </c>
      <c r="E9483" s="15" t="str">
        <f>IFERROR(__xludf.DUMMYFUNCTION("""COMPUTED_VALUE"""),"Baby Chef")</f>
        <v>Baby Chef</v>
      </c>
      <c r="F9483" s="17" t="str">
        <f>IFERROR(__xludf.DUMMYFUNCTION("""COMPUTED_VALUE"""),"cra 2 # 27an21 Yanaconas (Pinar de la Vega) CASA16 Popayan / . / .")</f>
        <v>cra 2 # 27an21 Yanaconas (Pinar de la Vega) CASA16 Popayan / . / .</v>
      </c>
      <c r="G9483" s="15" t="str">
        <f>IFERROR(__xludf.DUMMYFUNCTION("""COMPUTED_VALUE"""),"Viviana millan")</f>
        <v>Viviana millan</v>
      </c>
      <c r="H9483" s="16">
        <f>IFERROR(__xludf.DUMMYFUNCTION("""COMPUTED_VALUE"""),18025.0)</f>
        <v>18025</v>
      </c>
      <c r="I9483" s="18">
        <f>IFERROR(__xludf.DUMMYFUNCTION("""COMPUTED_VALUE"""),8.0)</f>
        <v>8</v>
      </c>
      <c r="J9483" s="18">
        <f>IFERROR(__xludf.DUMMYFUNCTION("""COMPUTED_VALUE"""),21.0)</f>
        <v>21</v>
      </c>
      <c r="K9483" s="18">
        <f>IFERROR(__xludf.DUMMYFUNCTION("""COMPUTED_VALUE"""),25.0)</f>
        <v>25</v>
      </c>
      <c r="L9483" s="17">
        <f>IFERROR(__xludf.DUMMYFUNCTION("""COMPUTED_VALUE"""),3.227408431E9)</f>
        <v>3227408431</v>
      </c>
      <c r="M9483" s="17"/>
      <c r="N9483" s="17"/>
      <c r="O9483" s="17"/>
      <c r="P9483" s="17" t="b">
        <f>IFERROR(__xludf.DUMMYFUNCTION("""COMPUTED_VALUE"""),FALSE)</f>
        <v>0</v>
      </c>
      <c r="Q9483" s="20" t="str">
        <f>IFERROR(__xludf.DUMMYFUNCTION("""COMPUTED_VALUE"""),"")</f>
        <v/>
      </c>
      <c r="R9483" s="21" t="str">
        <f>IFERROR(__xludf.DUMMYFUNCTION("""COMPUTED_VALUE"""),"https://drive.google.com/file/d/1or0OaF4LfDrFQF0adMgi6FkMiPzrLk-w/view?usp=drivesdk")</f>
        <v>https://drive.google.com/file/d/1or0OaF4LfDrFQF0adMgi6FkMiPzrLk-w/view?usp=drivesdk</v>
      </c>
    </row>
    <row r="9484">
      <c r="A9484" s="17" t="str">
        <f>IFERROR(__xludf.DUMMYFUNCTION("""COMPUTED_VALUE"""),"")</f>
        <v/>
      </c>
      <c r="B9484" s="17" t="str">
        <f>IFERROR(__xludf.DUMMYFUNCTION("""COMPUTED_VALUE"""),"")</f>
        <v/>
      </c>
      <c r="C9484" s="17" t="str">
        <f>IFERROR(__xludf.DUMMYFUNCTION("""COMPUTED_VALUE"""),"")</f>
        <v/>
      </c>
      <c r="D9484" s="17" t="str">
        <f>IFERROR(__xludf.DUMMYFUNCTION("""COMPUTED_VALUE"""),"")</f>
        <v/>
      </c>
      <c r="E9484" s="17" t="str">
        <f>IFERROR(__xludf.DUMMYFUNCTION("""COMPUTED_VALUE"""),"")</f>
        <v/>
      </c>
      <c r="F9484" s="17" t="str">
        <f>IFERROR(__xludf.DUMMYFUNCTION("""COMPUTED_VALUE"""),"")</f>
        <v/>
      </c>
      <c r="G9484" s="17" t="str">
        <f>IFERROR(__xludf.DUMMYFUNCTION("""COMPUTED_VALUE"""),"")</f>
        <v/>
      </c>
      <c r="H9484" s="17" t="str">
        <f>IFERROR(__xludf.DUMMYFUNCTION("""COMPUTED_VALUE"""),"")</f>
        <v/>
      </c>
      <c r="I9484" s="17" t="str">
        <f>IFERROR(__xludf.DUMMYFUNCTION("""COMPUTED_VALUE"""),"")</f>
        <v/>
      </c>
      <c r="J9484" s="17" t="str">
        <f>IFERROR(__xludf.DUMMYFUNCTION("""COMPUTED_VALUE"""),"")</f>
        <v/>
      </c>
      <c r="K9484" s="17" t="str">
        <f>IFERROR(__xludf.DUMMYFUNCTION("""COMPUTED_VALUE"""),"")</f>
        <v/>
      </c>
      <c r="L9484" s="17" t="str">
        <f>IFERROR(__xludf.DUMMYFUNCTION("""COMPUTED_VALUE"""),"")</f>
        <v/>
      </c>
      <c r="M9484" s="17" t="str">
        <f>IFERROR(__xludf.DUMMYFUNCTION("""COMPUTED_VALUE"""),"")</f>
        <v/>
      </c>
      <c r="N9484" s="17" t="str">
        <f>IFERROR(__xludf.DUMMYFUNCTION("""COMPUTED_VALUE"""),"")</f>
        <v/>
      </c>
      <c r="O9484" s="17" t="str">
        <f>IFERROR(__xludf.DUMMYFUNCTION("""COMPUTED_VALUE"""),"")</f>
        <v/>
      </c>
      <c r="P9484" s="17" t="str">
        <f>IFERROR(__xludf.DUMMYFUNCTION("""COMPUTED_VALUE"""),"")</f>
        <v/>
      </c>
      <c r="Q9484" s="17" t="str">
        <f>IFERROR(__xludf.DUMMYFUNCTION("""COMPUTED_VALUE"""),"")</f>
        <v/>
      </c>
      <c r="R9484" s="17" t="str">
        <f>IFERROR(__xludf.DUMMYFUNCTION("""COMPUTED_VALUE"""),"")</f>
        <v/>
      </c>
    </row>
    <row r="9485">
      <c r="A9485" s="15">
        <f>IFERROR(__xludf.DUMMYFUNCTION("""COMPUTED_VALUE"""),45267.0)</f>
        <v>45267</v>
      </c>
      <c r="B9485" s="16" t="str">
        <f>IFERROR(__xludf.DUMMYFUNCTION("""COMPUTED_VALUE"""),"Kevin Andrés puerta Jaramillo")</f>
        <v>Kevin Andrés puerta Jaramillo</v>
      </c>
      <c r="C9485" s="15" t="str">
        <f>IFERROR(__xludf.DUMMYFUNCTION("""COMPUTED_VALUE"""),"MEDELLÍN")</f>
        <v>MEDELLÍN</v>
      </c>
      <c r="D9485" s="15" t="str">
        <f>IFERROR(__xludf.DUMMYFUNCTION("""COMPUTED_VALUE"""),"BOGOTÁ")</f>
        <v>BOGOTÁ</v>
      </c>
      <c r="E9485" s="15" t="str">
        <f>IFERROR(__xludf.DUMMYFUNCTION("""COMPUTED_VALUE"""),"FamiliaReal S.A.S")</f>
        <v>FamiliaReal S.A.S</v>
      </c>
      <c r="F9485" s="17" t="str">
        <f>IFERROR(__xludf.DUMMYFUNCTION("""COMPUTED_VALUE"""),"Carrera 72 #95 67 / tercer piso apto 302")</f>
        <v>Carrera 72 #95 67 / tercer piso apto 302</v>
      </c>
      <c r="G9485" s="15" t="str">
        <f>IFERROR(__xludf.DUMMYFUNCTION("""COMPUTED_VALUE"""),"Luz Adriana Posada Gómez")</f>
        <v>Luz Adriana Posada Gómez</v>
      </c>
      <c r="H9485" s="16">
        <f>IFERROR(__xludf.DUMMYFUNCTION("""COMPUTED_VALUE"""),18045.0)</f>
        <v>18045</v>
      </c>
      <c r="I9485" s="17"/>
      <c r="J9485" s="17"/>
      <c r="K9485" s="17"/>
      <c r="L9485" s="17">
        <f>IFERROR(__xludf.DUMMYFUNCTION("""COMPUTED_VALUE"""),3.006571416E9)</f>
        <v>3006571416</v>
      </c>
      <c r="M9485" s="17"/>
      <c r="N9485" s="17"/>
      <c r="O9485" s="17"/>
      <c r="P9485" s="17" t="b">
        <f>IFERROR(__xludf.DUMMYFUNCTION("""COMPUTED_VALUE"""),FALSE)</f>
        <v>0</v>
      </c>
      <c r="Q9485" s="20" t="str">
        <f>IFERROR(__xludf.DUMMYFUNCTION("""COMPUTED_VALUE"""),"")</f>
        <v/>
      </c>
      <c r="R9485" s="21" t="str">
        <f>IFERROR(__xludf.DUMMYFUNCTION("""COMPUTED_VALUE"""),"https://drive.google.com/file/d/1Ft7q8Q8kYBvCt05nfwAVo2RbSjDlMi2M/view?usp=drivesdk")</f>
        <v>https://drive.google.com/file/d/1Ft7q8Q8kYBvCt05nfwAVo2RbSjDlMi2M/view?usp=drivesdk</v>
      </c>
    </row>
    <row r="9486">
      <c r="A9486" s="15">
        <f>IFERROR(__xludf.DUMMYFUNCTION("""COMPUTED_VALUE"""),45267.0)</f>
        <v>45267</v>
      </c>
      <c r="B9486" s="16" t="str">
        <f>IFERROR(__xludf.DUMMYFUNCTION("""COMPUTED_VALUE"""),"Kevin Andrés puerta Jaramillo")</f>
        <v>Kevin Andrés puerta Jaramillo</v>
      </c>
      <c r="C9486" s="15" t="str">
        <f>IFERROR(__xludf.DUMMYFUNCTION("""COMPUTED_VALUE"""),"MEDELLÍN")</f>
        <v>MEDELLÍN</v>
      </c>
      <c r="D9486" s="15" t="str">
        <f>IFERROR(__xludf.DUMMYFUNCTION("""COMPUTED_VALUE"""),"BOGOTÁ")</f>
        <v>BOGOTÁ</v>
      </c>
      <c r="E9486" s="15" t="str">
        <f>IFERROR(__xludf.DUMMYFUNCTION("""COMPUTED_VALUE"""),"Koji")</f>
        <v>Koji</v>
      </c>
      <c r="F9486" s="17" t="str">
        <f>IFERROR(__xludf.DUMMYFUNCTION("""COMPUTED_VALUE"""),"Calle 65 # 55 - 30 / Apto 1718 Urb. Torres de la fuente")</f>
        <v>Calle 65 # 55 - 30 / Apto 1718 Urb. Torres de la fuente</v>
      </c>
      <c r="G9486" s="15" t="str">
        <f>IFERROR(__xludf.DUMMYFUNCTION("""COMPUTED_VALUE"""),"Quirimara el Cedro S.A.S")</f>
        <v>Quirimara el Cedro S.A.S</v>
      </c>
      <c r="H9486" s="16">
        <f>IFERROR(__xludf.DUMMYFUNCTION("""COMPUTED_VALUE"""),18075.0)</f>
        <v>18075</v>
      </c>
      <c r="I9486" s="17"/>
      <c r="J9486" s="17"/>
      <c r="K9486" s="17"/>
      <c r="L9486" s="17">
        <f>IFERROR(__xludf.DUMMYFUNCTION("""COMPUTED_VALUE"""),3.053116618E9)</f>
        <v>3053116618</v>
      </c>
      <c r="M9486" s="17"/>
      <c r="N9486" s="17"/>
      <c r="O9486" s="17"/>
      <c r="P9486" s="17" t="b">
        <f>IFERROR(__xludf.DUMMYFUNCTION("""COMPUTED_VALUE"""),FALSE)</f>
        <v>0</v>
      </c>
      <c r="Q9486" s="20" t="str">
        <f>IFERROR(__xludf.DUMMYFUNCTION("""COMPUTED_VALUE"""),"")</f>
        <v/>
      </c>
      <c r="R9486" s="21" t="str">
        <f>IFERROR(__xludf.DUMMYFUNCTION("""COMPUTED_VALUE"""),"https://drive.google.com/file/d/120Dwo7-NlIl6rg0fL3D8J_-8aQvkw9b9/view?usp=drivesdk")</f>
        <v>https://drive.google.com/file/d/120Dwo7-NlIl6rg0fL3D8J_-8aQvkw9b9/view?usp=drivesdk</v>
      </c>
    </row>
    <row r="9487">
      <c r="A9487" s="15">
        <f>IFERROR(__xludf.DUMMYFUNCTION("""COMPUTED_VALUE"""),45267.0)</f>
        <v>45267</v>
      </c>
      <c r="B9487" s="16" t="str">
        <f>IFERROR(__xludf.DUMMYFUNCTION("""COMPUTED_VALUE"""),"Kevin Andrés puerta Jaramillo")</f>
        <v>Kevin Andrés puerta Jaramillo</v>
      </c>
      <c r="C9487" s="15" t="str">
        <f>IFERROR(__xludf.DUMMYFUNCTION("""COMPUTED_VALUE"""),"MEDELLÍN")</f>
        <v>MEDELLÍN</v>
      </c>
      <c r="D9487" s="15" t="str">
        <f>IFERROR(__xludf.DUMMYFUNCTION("""COMPUTED_VALUE"""),"BOGOTÁ")</f>
        <v>BOGOTÁ</v>
      </c>
      <c r="E9487" s="15" t="str">
        <f>IFERROR(__xludf.DUMMYFUNCTION("""COMPUTED_VALUE"""),"Koji")</f>
        <v>Koji</v>
      </c>
      <c r="F9487" s="17" t="str">
        <f>IFERROR(__xludf.DUMMYFUNCTION("""COMPUTED_VALUE"""),"Calle 65 # 55 - 30 / Apto 1718 Urb. Torres de la fuente")</f>
        <v>Calle 65 # 55 - 30 / Apto 1718 Urb. Torres de la fuente</v>
      </c>
      <c r="G9487" s="15" t="str">
        <f>IFERROR(__xludf.DUMMYFUNCTION("""COMPUTED_VALUE"""),"Quirimara el Cedro S.A.S")</f>
        <v>Quirimara el Cedro S.A.S</v>
      </c>
      <c r="H9487" s="16">
        <f>IFERROR(__xludf.DUMMYFUNCTION("""COMPUTED_VALUE"""),18077.0)</f>
        <v>18077</v>
      </c>
      <c r="I9487" s="17"/>
      <c r="J9487" s="17"/>
      <c r="K9487" s="17"/>
      <c r="L9487" s="17">
        <f>IFERROR(__xludf.DUMMYFUNCTION("""COMPUTED_VALUE"""),3.053116618E9)</f>
        <v>3053116618</v>
      </c>
      <c r="M9487" s="17"/>
      <c r="N9487" s="17"/>
      <c r="O9487" s="17"/>
      <c r="P9487" s="17" t="b">
        <f>IFERROR(__xludf.DUMMYFUNCTION("""COMPUTED_VALUE"""),FALSE)</f>
        <v>0</v>
      </c>
      <c r="Q9487" s="20" t="str">
        <f>IFERROR(__xludf.DUMMYFUNCTION("""COMPUTED_VALUE"""),"")</f>
        <v/>
      </c>
      <c r="R9487" s="22" t="str">
        <f>IFERROR(__xludf.DUMMYFUNCTION("""COMPUTED_VALUE"""),"")</f>
        <v/>
      </c>
    </row>
    <row r="9488">
      <c r="A9488" s="15">
        <f>IFERROR(__xludf.DUMMYFUNCTION("""COMPUTED_VALUE"""),45267.0)</f>
        <v>45267</v>
      </c>
      <c r="B9488" s="16" t="str">
        <f>IFERROR(__xludf.DUMMYFUNCTION("""COMPUTED_VALUE"""),"Kevin Andrés puerta Jaramillo")</f>
        <v>Kevin Andrés puerta Jaramillo</v>
      </c>
      <c r="C9488" s="15" t="str">
        <f>IFERROR(__xludf.DUMMYFUNCTION("""COMPUTED_VALUE"""),"MEDELLÍN")</f>
        <v>MEDELLÍN</v>
      </c>
      <c r="D9488" s="15" t="str">
        <f>IFERROR(__xludf.DUMMYFUNCTION("""COMPUTED_VALUE"""),"BOGOTÁ")</f>
        <v>BOGOTÁ</v>
      </c>
      <c r="E9488" s="15" t="str">
        <f>IFERROR(__xludf.DUMMYFUNCTION("""COMPUTED_VALUE"""),"KÜKIDOW")</f>
        <v>KÜKIDOW</v>
      </c>
      <c r="F9488" s="17" t="str">
        <f>IFERROR(__xludf.DUMMYFUNCTION("""COMPUTED_VALUE"""),"CALLE 75D # 36A-10 / BARRIO MANRIQUE CASA PRIMER PISO")</f>
        <v>CALLE 75D # 36A-10 / BARRIO MANRIQUE CASA PRIMER PISO</v>
      </c>
      <c r="G9488" s="15" t="str">
        <f>IFERROR(__xludf.DUMMYFUNCTION("""COMPUTED_VALUE"""),"MEDELLÍN CAMILA RAMÍREZ")</f>
        <v>MEDELLÍN CAMILA RAMÍREZ</v>
      </c>
      <c r="H9488" s="16">
        <f>IFERROR(__xludf.DUMMYFUNCTION("""COMPUTED_VALUE"""),18038.0)</f>
        <v>18038</v>
      </c>
      <c r="I9488" s="17"/>
      <c r="J9488" s="17"/>
      <c r="K9488" s="17"/>
      <c r="L9488" s="17">
        <f>IFERROR(__xludf.DUMMYFUNCTION("""COMPUTED_VALUE"""),3.208486943E9)</f>
        <v>3208486943</v>
      </c>
      <c r="M9488" s="17"/>
      <c r="N9488" s="17"/>
      <c r="O9488" s="17"/>
      <c r="P9488" s="17" t="b">
        <f>IFERROR(__xludf.DUMMYFUNCTION("""COMPUTED_VALUE"""),FALSE)</f>
        <v>0</v>
      </c>
      <c r="Q9488" s="20" t="str">
        <f>IFERROR(__xludf.DUMMYFUNCTION("""COMPUTED_VALUE"""),"")</f>
        <v/>
      </c>
      <c r="R9488" s="21" t="str">
        <f>IFERROR(__xludf.DUMMYFUNCTION("""COMPUTED_VALUE"""),"https://drive.google.com/file/d/1ExXAjSg8UDw6UaHv_kkPhrkSkcRfGfX9/view?usp=drivesdk")</f>
        <v>https://drive.google.com/file/d/1ExXAjSg8UDw6UaHv_kkPhrkSkcRfGfX9/view?usp=drivesdk</v>
      </c>
    </row>
    <row r="9489">
      <c r="A9489" s="15">
        <f>IFERROR(__xludf.DUMMYFUNCTION("""COMPUTED_VALUE"""),45267.0)</f>
        <v>45267</v>
      </c>
      <c r="B9489" s="16" t="str">
        <f>IFERROR(__xludf.DUMMYFUNCTION("""COMPUTED_VALUE"""),"Kevin Andrés puerta Jaramillo")</f>
        <v>Kevin Andrés puerta Jaramillo</v>
      </c>
      <c r="C9489" s="15" t="str">
        <f>IFERROR(__xludf.DUMMYFUNCTION("""COMPUTED_VALUE"""),"MEDELLÍN")</f>
        <v>MEDELLÍN</v>
      </c>
      <c r="D9489" s="15" t="str">
        <f>IFERROR(__xludf.DUMMYFUNCTION("""COMPUTED_VALUE"""),"BOGOTÁ")</f>
        <v>BOGOTÁ</v>
      </c>
      <c r="E9489" s="15" t="str">
        <f>IFERROR(__xludf.DUMMYFUNCTION("""COMPUTED_VALUE"""),"PAN DE WAFFLE")</f>
        <v>PAN DE WAFFLE</v>
      </c>
      <c r="F9489" s="17" t="str">
        <f>IFERROR(__xludf.DUMMYFUNCTION("""COMPUTED_VALUE"""),"FOODOLOGY - MEDELLIN / Carrera 39 # 59 - 32")</f>
        <v>FOODOLOGY - MEDELLIN / Carrera 39 # 59 - 32</v>
      </c>
      <c r="G9489" s="15" t="str">
        <f>IFERROR(__xludf.DUMMYFUNCTION("""COMPUTED_VALUE"""),"FOODOLOGY - MEDELLIN")</f>
        <v>FOODOLOGY - MEDELLIN</v>
      </c>
      <c r="H9489" s="16">
        <f>IFERROR(__xludf.DUMMYFUNCTION("""COMPUTED_VALUE"""),18078.0)</f>
        <v>18078</v>
      </c>
      <c r="I9489" s="17"/>
      <c r="J9489" s="17"/>
      <c r="K9489" s="17"/>
      <c r="L9489" s="17">
        <f>IFERROR(__xludf.DUMMYFUNCTION("""COMPUTED_VALUE"""),3.123558292E9)</f>
        <v>3123558292</v>
      </c>
      <c r="M9489" s="17"/>
      <c r="N9489" s="17"/>
      <c r="O9489" s="17"/>
      <c r="P9489" s="17" t="b">
        <f>IFERROR(__xludf.DUMMYFUNCTION("""COMPUTED_VALUE"""),FALSE)</f>
        <v>0</v>
      </c>
      <c r="Q9489" s="20" t="str">
        <f>IFERROR(__xludf.DUMMYFUNCTION("""COMPUTED_VALUE"""),"")</f>
        <v/>
      </c>
      <c r="R9489" s="21" t="str">
        <f>IFERROR(__xludf.DUMMYFUNCTION("""COMPUTED_VALUE"""),"https://drive.google.com/file/d/1TcK-B7VJyhmkV7D1esrEP3zQMB2eGYT9/view?usp=drivesdk")</f>
        <v>https://drive.google.com/file/d/1TcK-B7VJyhmkV7D1esrEP3zQMB2eGYT9/view?usp=drivesdk</v>
      </c>
    </row>
    <row r="9490">
      <c r="A9490" s="15">
        <f>IFERROR(__xludf.DUMMYFUNCTION("""COMPUTED_VALUE"""),45267.0)</f>
        <v>45267</v>
      </c>
      <c r="B9490" s="16" t="str">
        <f>IFERROR(__xludf.DUMMYFUNCTION("""COMPUTED_VALUE"""),"Kevin Andrés puerta Jaramillo")</f>
        <v>Kevin Andrés puerta Jaramillo</v>
      </c>
      <c r="C9490" s="15" t="str">
        <f>IFERROR(__xludf.DUMMYFUNCTION("""COMPUTED_VALUE"""),"MEDELLÍN")</f>
        <v>MEDELLÍN</v>
      </c>
      <c r="D9490" s="15" t="str">
        <f>IFERROR(__xludf.DUMMYFUNCTION("""COMPUTED_VALUE"""),"BOGOTÁ")</f>
        <v>BOGOTÁ</v>
      </c>
      <c r="E9490" s="15" t="str">
        <f>IFERROR(__xludf.DUMMYFUNCTION("""COMPUTED_VALUE"""),"Renata")</f>
        <v>Renata</v>
      </c>
      <c r="F9490" s="17" t="str">
        <f>IFERROR(__xludf.DUMMYFUNCTION("""COMPUTED_VALUE"""),"Carrera 31d#9-43 / Seline y cowork -restaurante  / Provenza")</f>
        <v>Carrera 31d#9-43 / Seline y cowork -restaurante  / Provenza</v>
      </c>
      <c r="G9490" s="15" t="str">
        <f>IFERROR(__xludf.DUMMYFUNCTION("""COMPUTED_VALUE"""),"Front y back hospitality group")</f>
        <v>Front y back hospitality group</v>
      </c>
      <c r="H9490" s="16">
        <f>IFERROR(__xludf.DUMMYFUNCTION("""COMPUTED_VALUE"""),18101.0)</f>
        <v>18101</v>
      </c>
      <c r="I9490" s="18">
        <f>IFERROR(__xludf.DUMMYFUNCTION("""COMPUTED_VALUE"""),90.0)</f>
        <v>90</v>
      </c>
      <c r="J9490" s="18">
        <f>IFERROR(__xludf.DUMMYFUNCTION("""COMPUTED_VALUE"""),70.0)</f>
        <v>70</v>
      </c>
      <c r="K9490" s="18">
        <f>IFERROR(__xludf.DUMMYFUNCTION("""COMPUTED_VALUE"""),60.0)</f>
        <v>60</v>
      </c>
      <c r="L9490" s="17">
        <f>IFERROR(__xludf.DUMMYFUNCTION("""COMPUTED_VALUE"""),3.104047368E9)</f>
        <v>3104047368</v>
      </c>
      <c r="M9490" s="17"/>
      <c r="N9490" s="17"/>
      <c r="O9490" s="17"/>
      <c r="P9490" s="17" t="b">
        <f>IFERROR(__xludf.DUMMYFUNCTION("""COMPUTED_VALUE"""),FALSE)</f>
        <v>0</v>
      </c>
      <c r="Q9490" s="20" t="str">
        <f>IFERROR(__xludf.DUMMYFUNCTION("""COMPUTED_VALUE"""),"")</f>
        <v/>
      </c>
      <c r="R9490" s="21" t="str">
        <f>IFERROR(__xludf.DUMMYFUNCTION("""COMPUTED_VALUE"""),"https://drive.google.com/file/d/1H5ChyQhmMtG5WBIdIZajl-5S3f765l_w/view?usp=drivesdk")</f>
        <v>https://drive.google.com/file/d/1H5ChyQhmMtG5WBIdIZajl-5S3f765l_w/view?usp=drivesdk</v>
      </c>
    </row>
    <row r="9491">
      <c r="A9491" s="15">
        <f>IFERROR(__xludf.DUMMYFUNCTION("""COMPUTED_VALUE"""),45267.0)</f>
        <v>45267</v>
      </c>
      <c r="B9491" s="16" t="str">
        <f>IFERROR(__xludf.DUMMYFUNCTION("""COMPUTED_VALUE"""),"Kevin Andrés puerta Jaramillo")</f>
        <v>Kevin Andrés puerta Jaramillo</v>
      </c>
      <c r="C9491" s="15" t="str">
        <f>IFERROR(__xludf.DUMMYFUNCTION("""COMPUTED_VALUE"""),"MEDELLÍN")</f>
        <v>MEDELLÍN</v>
      </c>
      <c r="D9491" s="15" t="str">
        <f>IFERROR(__xludf.DUMMYFUNCTION("""COMPUTED_VALUE"""),"BOGOTÁ")</f>
        <v>BOGOTÁ</v>
      </c>
      <c r="E9491" s="15" t="str">
        <f>IFERROR(__xludf.DUMMYFUNCTION("""COMPUTED_VALUE"""),"Top Spun")</f>
        <v>Top Spun</v>
      </c>
      <c r="F9491" s="17" t="str">
        <f>IFERROR(__xludf.DUMMYFUNCTION("""COMPUTED_VALUE"""),"Cra 15 # 19 sur 200 / urbanización de apartamentos terrace Quinta esencia / apto 101 los balsos Poblado")</f>
        <v>Cra 15 # 19 sur 200 / urbanización de apartamentos terrace Quinta esencia / apto 101 los balsos Poblado</v>
      </c>
      <c r="G9491" s="15" t="str">
        <f>IFERROR(__xludf.DUMMYFUNCTION("""COMPUTED_VALUE"""),"Ana Galvis")</f>
        <v>Ana Galvis</v>
      </c>
      <c r="H9491" s="16">
        <f>IFERROR(__xludf.DUMMYFUNCTION("""COMPUTED_VALUE"""),18071.0)</f>
        <v>18071</v>
      </c>
      <c r="I9491" s="18">
        <f>IFERROR(__xludf.DUMMYFUNCTION("""COMPUTED_VALUE"""),20.0)</f>
        <v>20</v>
      </c>
      <c r="J9491" s="18">
        <f>IFERROR(__xludf.DUMMYFUNCTION("""COMPUTED_VALUE"""),10.0)</f>
        <v>10</v>
      </c>
      <c r="K9491" s="18">
        <f>IFERROR(__xludf.DUMMYFUNCTION("""COMPUTED_VALUE"""),40.0)</f>
        <v>40</v>
      </c>
      <c r="L9491" s="17">
        <f>IFERROR(__xludf.DUMMYFUNCTION("""COMPUTED_VALUE"""),3.183418618E9)</f>
        <v>3183418618</v>
      </c>
      <c r="M9491" s="17"/>
      <c r="N9491" s="17"/>
      <c r="O9491" s="17"/>
      <c r="P9491" s="17" t="b">
        <f>IFERROR(__xludf.DUMMYFUNCTION("""COMPUTED_VALUE"""),FALSE)</f>
        <v>0</v>
      </c>
      <c r="Q9491" s="20" t="str">
        <f>IFERROR(__xludf.DUMMYFUNCTION("""COMPUTED_VALUE"""),"")</f>
        <v/>
      </c>
      <c r="R9491" s="21" t="str">
        <f>IFERROR(__xludf.DUMMYFUNCTION("""COMPUTED_VALUE"""),"https://drive.google.com/file/d/1flWJ7bzBkrdw_i8hTkiHLXgW4gbBELwc/view?usp=drivesdk")</f>
        <v>https://drive.google.com/file/d/1flWJ7bzBkrdw_i8hTkiHLXgW4gbBELwc/view?usp=drivesdk</v>
      </c>
    </row>
    <row r="9492">
      <c r="A9492" s="17" t="str">
        <f>IFERROR(__xludf.DUMMYFUNCTION("""COMPUTED_VALUE"""),"")</f>
        <v/>
      </c>
      <c r="B9492" s="17" t="str">
        <f>IFERROR(__xludf.DUMMYFUNCTION("""COMPUTED_VALUE"""),"")</f>
        <v/>
      </c>
      <c r="C9492" s="17" t="str">
        <f>IFERROR(__xludf.DUMMYFUNCTION("""COMPUTED_VALUE"""),"")</f>
        <v/>
      </c>
      <c r="D9492" s="17" t="str">
        <f>IFERROR(__xludf.DUMMYFUNCTION("""COMPUTED_VALUE"""),"")</f>
        <v/>
      </c>
      <c r="E9492" s="17" t="str">
        <f>IFERROR(__xludf.DUMMYFUNCTION("""COMPUTED_VALUE"""),"")</f>
        <v/>
      </c>
      <c r="F9492" s="17" t="str">
        <f>IFERROR(__xludf.DUMMYFUNCTION("""COMPUTED_VALUE"""),"")</f>
        <v/>
      </c>
      <c r="G9492" s="17" t="str">
        <f>IFERROR(__xludf.DUMMYFUNCTION("""COMPUTED_VALUE"""),"")</f>
        <v/>
      </c>
      <c r="H9492" s="17" t="str">
        <f>IFERROR(__xludf.DUMMYFUNCTION("""COMPUTED_VALUE"""),"")</f>
        <v/>
      </c>
      <c r="I9492" s="17" t="str">
        <f>IFERROR(__xludf.DUMMYFUNCTION("""COMPUTED_VALUE"""),"")</f>
        <v/>
      </c>
      <c r="J9492" s="17" t="str">
        <f>IFERROR(__xludf.DUMMYFUNCTION("""COMPUTED_VALUE"""),"")</f>
        <v/>
      </c>
      <c r="K9492" s="17" t="str">
        <f>IFERROR(__xludf.DUMMYFUNCTION("""COMPUTED_VALUE"""),"")</f>
        <v/>
      </c>
      <c r="L9492" s="17" t="str">
        <f>IFERROR(__xludf.DUMMYFUNCTION("""COMPUTED_VALUE"""),"")</f>
        <v/>
      </c>
      <c r="M9492" s="17" t="str">
        <f>IFERROR(__xludf.DUMMYFUNCTION("""COMPUTED_VALUE"""),"")</f>
        <v/>
      </c>
      <c r="N9492" s="17" t="str">
        <f>IFERROR(__xludf.DUMMYFUNCTION("""COMPUTED_VALUE"""),"")</f>
        <v/>
      </c>
      <c r="O9492" s="17" t="str">
        <f>IFERROR(__xludf.DUMMYFUNCTION("""COMPUTED_VALUE"""),"")</f>
        <v/>
      </c>
      <c r="P9492" s="17" t="str">
        <f>IFERROR(__xludf.DUMMYFUNCTION("""COMPUTED_VALUE"""),"")</f>
        <v/>
      </c>
      <c r="Q9492" s="17" t="str">
        <f>IFERROR(__xludf.DUMMYFUNCTION("""COMPUTED_VALUE"""),"")</f>
        <v/>
      </c>
      <c r="R9492" s="17" t="str">
        <f>IFERROR(__xludf.DUMMYFUNCTION("""COMPUTED_VALUE"""),"")</f>
        <v/>
      </c>
    </row>
    <row r="9493">
      <c r="A9493" s="15">
        <f>IFERROR(__xludf.DUMMYFUNCTION("""COMPUTED_VALUE"""),45267.0)</f>
        <v>45267</v>
      </c>
      <c r="B9493" s="16" t="str">
        <f>IFERROR(__xludf.DUMMYFUNCTION("""COMPUTED_VALUE"""),"Orlando Urdaneta Rincon ")</f>
        <v>Orlando Urdaneta Rincon </v>
      </c>
      <c r="C9493" s="15" t="str">
        <f>IFERROR(__xludf.DUMMYFUNCTION("""COMPUTED_VALUE"""),"CHÍA")</f>
        <v>CHÍA</v>
      </c>
      <c r="D9493" s="15" t="str">
        <f>IFERROR(__xludf.DUMMYFUNCTION("""COMPUTED_VALUE"""),"MEDELLÍN")</f>
        <v>MEDELLÍN</v>
      </c>
      <c r="E9493" s="15" t="str">
        <f>IFERROR(__xludf.DUMMYFUNCTION("""COMPUTED_VALUE"""),"Baby Chef")</f>
        <v>Baby Chef</v>
      </c>
      <c r="F9493" s="17" t="str">
        <f>IFERROR(__xludf.DUMMYFUNCTION("""COMPUTED_VALUE"""),"Calle 3 sur # 6-56 Conjunto Robles de guaymaral Casa 7 / . / .")</f>
        <v>Calle 3 sur # 6-56 Conjunto Robles de guaymaral Casa 7 / . / .</v>
      </c>
      <c r="G9493" s="15" t="str">
        <f>IFERROR(__xludf.DUMMYFUNCTION("""COMPUTED_VALUE"""),"Nataly Trujillo")</f>
        <v>Nataly Trujillo</v>
      </c>
      <c r="H9493" s="16">
        <f>IFERROR(__xludf.DUMMYFUNCTION("""COMPUTED_VALUE"""),18098.0)</f>
        <v>18098</v>
      </c>
      <c r="I9493" s="18">
        <f>IFERROR(__xludf.DUMMYFUNCTION("""COMPUTED_VALUE"""),10.0)</f>
        <v>10</v>
      </c>
      <c r="J9493" s="18">
        <f>IFERROR(__xludf.DUMMYFUNCTION("""COMPUTED_VALUE"""),21.0)</f>
        <v>21</v>
      </c>
      <c r="K9493" s="18">
        <f>IFERROR(__xludf.DUMMYFUNCTION("""COMPUTED_VALUE"""),20.0)</f>
        <v>20</v>
      </c>
      <c r="L9493" s="17">
        <f>IFERROR(__xludf.DUMMYFUNCTION("""COMPUTED_VALUE"""),3.183851496E9)</f>
        <v>3183851496</v>
      </c>
      <c r="M9493" s="17"/>
      <c r="N9493" s="17"/>
      <c r="O9493" s="17"/>
      <c r="P9493" s="17" t="b">
        <f>IFERROR(__xludf.DUMMYFUNCTION("""COMPUTED_VALUE"""),FALSE)</f>
        <v>0</v>
      </c>
      <c r="Q9493" s="20" t="str">
        <f>IFERROR(__xludf.DUMMYFUNCTION("""COMPUTED_VALUE"""),"")</f>
        <v/>
      </c>
      <c r="R9493" s="21" t="str">
        <f>IFERROR(__xludf.DUMMYFUNCTION("""COMPUTED_VALUE"""),"https://drive.google.com/file/d/1Nhg3XpMLvDcfNPMtShImzMo7Q-YgbQEy/view?usp=drivesdk")</f>
        <v>https://drive.google.com/file/d/1Nhg3XpMLvDcfNPMtShImzMo7Q-YgbQEy/view?usp=drivesdk</v>
      </c>
    </row>
    <row r="9494">
      <c r="A9494" s="17" t="str">
        <f>IFERROR(__xludf.DUMMYFUNCTION("""COMPUTED_VALUE"""),"")</f>
        <v/>
      </c>
      <c r="B9494" s="17" t="str">
        <f>IFERROR(__xludf.DUMMYFUNCTION("""COMPUTED_VALUE"""),"")</f>
        <v/>
      </c>
      <c r="C9494" s="17" t="str">
        <f>IFERROR(__xludf.DUMMYFUNCTION("""COMPUTED_VALUE"""),"")</f>
        <v/>
      </c>
      <c r="D9494" s="17" t="str">
        <f>IFERROR(__xludf.DUMMYFUNCTION("""COMPUTED_VALUE"""),"")</f>
        <v/>
      </c>
      <c r="E9494" s="17" t="str">
        <f>IFERROR(__xludf.DUMMYFUNCTION("""COMPUTED_VALUE"""),"")</f>
        <v/>
      </c>
      <c r="F9494" s="17" t="str">
        <f>IFERROR(__xludf.DUMMYFUNCTION("""COMPUTED_VALUE"""),"")</f>
        <v/>
      </c>
      <c r="G9494" s="17" t="str">
        <f>IFERROR(__xludf.DUMMYFUNCTION("""COMPUTED_VALUE"""),"")</f>
        <v/>
      </c>
      <c r="H9494" s="17" t="str">
        <f>IFERROR(__xludf.DUMMYFUNCTION("""COMPUTED_VALUE"""),"")</f>
        <v/>
      </c>
      <c r="I9494" s="17" t="str">
        <f>IFERROR(__xludf.DUMMYFUNCTION("""COMPUTED_VALUE"""),"")</f>
        <v/>
      </c>
      <c r="J9494" s="17" t="str">
        <f>IFERROR(__xludf.DUMMYFUNCTION("""COMPUTED_VALUE"""),"")</f>
        <v/>
      </c>
      <c r="K9494" s="17" t="str">
        <f>IFERROR(__xludf.DUMMYFUNCTION("""COMPUTED_VALUE"""),"")</f>
        <v/>
      </c>
      <c r="L9494" s="17" t="str">
        <f>IFERROR(__xludf.DUMMYFUNCTION("""COMPUTED_VALUE"""),"")</f>
        <v/>
      </c>
      <c r="M9494" s="17" t="str">
        <f>IFERROR(__xludf.DUMMYFUNCTION("""COMPUTED_VALUE"""),"")</f>
        <v/>
      </c>
      <c r="N9494" s="17" t="str">
        <f>IFERROR(__xludf.DUMMYFUNCTION("""COMPUTED_VALUE"""),"")</f>
        <v/>
      </c>
      <c r="O9494" s="17" t="str">
        <f>IFERROR(__xludf.DUMMYFUNCTION("""COMPUTED_VALUE"""),"")</f>
        <v/>
      </c>
      <c r="P9494" s="17" t="str">
        <f>IFERROR(__xludf.DUMMYFUNCTION("""COMPUTED_VALUE"""),"")</f>
        <v/>
      </c>
      <c r="Q9494" s="17" t="str">
        <f>IFERROR(__xludf.DUMMYFUNCTION("""COMPUTED_VALUE"""),"")</f>
        <v/>
      </c>
      <c r="R9494" s="17" t="str">
        <f>IFERROR(__xludf.DUMMYFUNCTION("""COMPUTED_VALUE"""),"")</f>
        <v/>
      </c>
    </row>
    <row r="9495">
      <c r="A9495" s="15">
        <f>IFERROR(__xludf.DUMMYFUNCTION("""COMPUTED_VALUE"""),45271.0)</f>
        <v>45271</v>
      </c>
      <c r="B9495" s="16" t="str">
        <f>IFERROR(__xludf.DUMMYFUNCTION("""COMPUTED_VALUE"""),"Kevin Andrés puerta Jaramillo")</f>
        <v>Kevin Andrés puerta Jaramillo</v>
      </c>
      <c r="C9495" s="15" t="str">
        <f>IFERROR(__xludf.DUMMYFUNCTION("""COMPUTED_VALUE"""),"BOGOTÁ")</f>
        <v>BOGOTÁ</v>
      </c>
      <c r="D9495" s="15" t="str">
        <f>IFERROR(__xludf.DUMMYFUNCTION("""COMPUTED_VALUE"""),"BUCARAMANGA")</f>
        <v>BUCARAMANGA</v>
      </c>
      <c r="E9495" s="15" t="str">
        <f>IFERROR(__xludf.DUMMYFUNCTION("""COMPUTED_VALUE"""),"Yo Como Solito")</f>
        <v>Yo Como Solito</v>
      </c>
      <c r="F9495" s="17" t="str">
        <f>IFERROR(__xludf.DUMMYFUNCTION("""COMPUTED_VALUE"""),"CARRERA 2A SUR # 17A 34 CONJUNTO PARQUE METROPOLITANO ETAPA 2, INTERIOR 9, APTO 201 BARRIO VELODROMO / CARRERA 2A SUR # 17A 34 CONJUNTO PARQUE METROPOLITANO ETAPA 2, INTERIOR 9, APTO 201 BARRIO VELODROMO / CARRERA 2A SUR # 17A 34 CONJUNTO PARQUE METROPOLI"&amp;"TANO ETAPA 2, INTERIOR 9, APTO 201 BARRIO VELODROMO")</f>
        <v>CARRERA 2A SUR # 17A 34 CONJUNTO PARQUE METROPOLITANO ETAPA 2, INTERIOR 9, APTO 201 BARRIO VELODROMO / CARRERA 2A SUR # 17A 34 CONJUNTO PARQUE METROPOLITANO ETAPA 2, INTERIOR 9, APTO 201 BARRIO VELODROMO / CARRERA 2A SUR # 17A 34 CONJUNTO PARQUE METROPOLITANO ETAPA 2, INTERIOR 9, APTO 201 BARRIO VELODROMO</v>
      </c>
      <c r="G9495" s="15" t="str">
        <f>IFERROR(__xludf.DUMMYFUNCTION("""COMPUTED_VALUE"""),"ANGIE KATHERINE MARTINEZ PEREZ")</f>
        <v>ANGIE KATHERINE MARTINEZ PEREZ</v>
      </c>
      <c r="H9495" s="16">
        <f>IFERROR(__xludf.DUMMYFUNCTION("""COMPUTED_VALUE"""),18106.0)</f>
        <v>18106</v>
      </c>
      <c r="I9495" s="18">
        <f>IFERROR(__xludf.DUMMYFUNCTION("""COMPUTED_VALUE"""),35.0)</f>
        <v>35</v>
      </c>
      <c r="J9495" s="18">
        <f>IFERROR(__xludf.DUMMYFUNCTION("""COMPUTED_VALUE"""),35.0)</f>
        <v>35</v>
      </c>
      <c r="K9495" s="18">
        <f>IFERROR(__xludf.DUMMYFUNCTION("""COMPUTED_VALUE"""),24.0)</f>
        <v>24</v>
      </c>
      <c r="L9495" s="17">
        <f>IFERROR(__xludf.DUMMYFUNCTION("""COMPUTED_VALUE"""),3.228544719E9)</f>
        <v>3228544719</v>
      </c>
      <c r="M9495" s="17"/>
      <c r="N9495" s="17"/>
      <c r="O9495" s="17"/>
      <c r="P9495" s="17" t="b">
        <f>IFERROR(__xludf.DUMMYFUNCTION("""COMPUTED_VALUE"""),FALSE)</f>
        <v>0</v>
      </c>
      <c r="Q9495" s="20" t="str">
        <f>IFERROR(__xludf.DUMMYFUNCTION("""COMPUTED_VALUE"""),"")</f>
        <v/>
      </c>
      <c r="R9495" s="22" t="str">
        <f>IFERROR(__xludf.DUMMYFUNCTION("""COMPUTED_VALUE"""),"")</f>
        <v/>
      </c>
    </row>
    <row r="9496">
      <c r="A9496" s="15">
        <f>IFERROR(__xludf.DUMMYFUNCTION("""COMPUTED_VALUE"""),45271.0)</f>
        <v>45271</v>
      </c>
      <c r="B9496" s="16" t="str">
        <f>IFERROR(__xludf.DUMMYFUNCTION("""COMPUTED_VALUE"""),"Kevin Andrés puerta Jaramillo")</f>
        <v>Kevin Andrés puerta Jaramillo</v>
      </c>
      <c r="C9496" s="15" t="str">
        <f>IFERROR(__xludf.DUMMYFUNCTION("""COMPUTED_VALUE"""),"BOGOTÁ")</f>
        <v>BOGOTÁ</v>
      </c>
      <c r="D9496" s="15" t="str">
        <f>IFERROR(__xludf.DUMMYFUNCTION("""COMPUTED_VALUE"""),"BUCARAMANGA")</f>
        <v>BUCARAMANGA</v>
      </c>
      <c r="E9496" s="15" t="str">
        <f>IFERROR(__xludf.DUMMYFUNCTION("""COMPUTED_VALUE"""),"Yo Como Solito")</f>
        <v>Yo Como Solito</v>
      </c>
      <c r="F9496" s="17" t="str">
        <f>IFERROR(__xludf.DUMMYFUNCTION("""COMPUTED_VALUE"""),"CARRERA 45A # 128-62 / CARRERA 45A # 128-62 / CARRERA 45A # 128-62")</f>
        <v>CARRERA 45A # 128-62 / CARRERA 45A # 128-62 / CARRERA 45A # 128-62</v>
      </c>
      <c r="G9496" s="15" t="str">
        <f>IFERROR(__xludf.DUMMYFUNCTION("""COMPUTED_VALUE"""),"LINA PAOLA RAMIREZ")</f>
        <v>LINA PAOLA RAMIREZ</v>
      </c>
      <c r="H9496" s="16">
        <f>IFERROR(__xludf.DUMMYFUNCTION("""COMPUTED_VALUE"""),18108.0)</f>
        <v>18108</v>
      </c>
      <c r="I9496" s="18">
        <f>IFERROR(__xludf.DUMMYFUNCTION("""COMPUTED_VALUE"""),23.0)</f>
        <v>23</v>
      </c>
      <c r="J9496" s="18">
        <f>IFERROR(__xludf.DUMMYFUNCTION("""COMPUTED_VALUE"""),25.0)</f>
        <v>25</v>
      </c>
      <c r="K9496" s="18">
        <f>IFERROR(__xludf.DUMMYFUNCTION("""COMPUTED_VALUE"""),41.0)</f>
        <v>41</v>
      </c>
      <c r="L9496" s="17">
        <f>IFERROR(__xludf.DUMMYFUNCTION("""COMPUTED_VALUE"""),3.12327346E9)</f>
        <v>3123273460</v>
      </c>
      <c r="M9496" s="17"/>
      <c r="N9496" s="17"/>
      <c r="O9496" s="17"/>
      <c r="P9496" s="17" t="b">
        <f>IFERROR(__xludf.DUMMYFUNCTION("""COMPUTED_VALUE"""),FALSE)</f>
        <v>0</v>
      </c>
      <c r="Q9496" s="20" t="str">
        <f>IFERROR(__xludf.DUMMYFUNCTION("""COMPUTED_VALUE"""),"")</f>
        <v/>
      </c>
      <c r="R9496" s="21" t="str">
        <f>IFERROR(__xludf.DUMMYFUNCTION("""COMPUTED_VALUE"""),"https://drive.google.com/file/d/15DR1ALtDISXY_LC-Xb8W0k45YoMczsf0/view?usp=drivesdk")</f>
        <v>https://drive.google.com/file/d/15DR1ALtDISXY_LC-Xb8W0k45YoMczsf0/view?usp=drivesdk</v>
      </c>
    </row>
    <row r="9497">
      <c r="A9497" s="17" t="str">
        <f>IFERROR(__xludf.DUMMYFUNCTION("""COMPUTED_VALUE"""),"")</f>
        <v/>
      </c>
      <c r="B9497" s="17" t="str">
        <f>IFERROR(__xludf.DUMMYFUNCTION("""COMPUTED_VALUE"""),"")</f>
        <v/>
      </c>
      <c r="C9497" s="17" t="str">
        <f>IFERROR(__xludf.DUMMYFUNCTION("""COMPUTED_VALUE"""),"")</f>
        <v/>
      </c>
      <c r="D9497" s="17" t="str">
        <f>IFERROR(__xludf.DUMMYFUNCTION("""COMPUTED_VALUE"""),"")</f>
        <v/>
      </c>
      <c r="E9497" s="17" t="str">
        <f>IFERROR(__xludf.DUMMYFUNCTION("""COMPUTED_VALUE"""),"")</f>
        <v/>
      </c>
      <c r="F9497" s="17" t="str">
        <f>IFERROR(__xludf.DUMMYFUNCTION("""COMPUTED_VALUE"""),"")</f>
        <v/>
      </c>
      <c r="G9497" s="17" t="str">
        <f>IFERROR(__xludf.DUMMYFUNCTION("""COMPUTED_VALUE"""),"")</f>
        <v/>
      </c>
      <c r="H9497" s="17" t="str">
        <f>IFERROR(__xludf.DUMMYFUNCTION("""COMPUTED_VALUE"""),"")</f>
        <v/>
      </c>
      <c r="I9497" s="17" t="str">
        <f>IFERROR(__xludf.DUMMYFUNCTION("""COMPUTED_VALUE"""),"")</f>
        <v/>
      </c>
      <c r="J9497" s="17" t="str">
        <f>IFERROR(__xludf.DUMMYFUNCTION("""COMPUTED_VALUE"""),"")</f>
        <v/>
      </c>
      <c r="K9497" s="17" t="str">
        <f>IFERROR(__xludf.DUMMYFUNCTION("""COMPUTED_VALUE"""),"")</f>
        <v/>
      </c>
      <c r="L9497" s="17" t="str">
        <f>IFERROR(__xludf.DUMMYFUNCTION("""COMPUTED_VALUE"""),"")</f>
        <v/>
      </c>
      <c r="M9497" s="17" t="str">
        <f>IFERROR(__xludf.DUMMYFUNCTION("""COMPUTED_VALUE"""),"")</f>
        <v/>
      </c>
      <c r="N9497" s="17" t="str">
        <f>IFERROR(__xludf.DUMMYFUNCTION("""COMPUTED_VALUE"""),"")</f>
        <v/>
      </c>
      <c r="O9497" s="17" t="str">
        <f>IFERROR(__xludf.DUMMYFUNCTION("""COMPUTED_VALUE"""),"")</f>
        <v/>
      </c>
      <c r="P9497" s="17" t="str">
        <f>IFERROR(__xludf.DUMMYFUNCTION("""COMPUTED_VALUE"""),"")</f>
        <v/>
      </c>
      <c r="Q9497" s="17" t="str">
        <f>IFERROR(__xludf.DUMMYFUNCTION("""COMPUTED_VALUE"""),"")</f>
        <v/>
      </c>
      <c r="R9497" s="17" t="str">
        <f>IFERROR(__xludf.DUMMYFUNCTION("""COMPUTED_VALUE"""),"")</f>
        <v/>
      </c>
    </row>
    <row r="9498">
      <c r="A9498" s="15">
        <f>IFERROR(__xludf.DUMMYFUNCTION("""COMPUTED_VALUE"""),45272.0)</f>
        <v>45272</v>
      </c>
      <c r="B9498" s="16" t="str">
        <f>IFERROR(__xludf.DUMMYFUNCTION("""COMPUTED_VALUE"""),"Deivi Alejandro Quintero Corrales")</f>
        <v>Deivi Alejandro Quintero Corrales</v>
      </c>
      <c r="C9498" s="15" t="str">
        <f>IFERROR(__xludf.DUMMYFUNCTION("""COMPUTED_VALUE"""),"PEREIRA")</f>
        <v>PEREIRA</v>
      </c>
      <c r="D9498" s="15" t="str">
        <f>IFERROR(__xludf.DUMMYFUNCTION("""COMPUTED_VALUE"""),"BOGOTÁ")</f>
        <v>BOGOTÁ</v>
      </c>
      <c r="E9498" s="15" t="str">
        <f>IFERROR(__xludf.DUMMYFUNCTION("""COMPUTED_VALUE"""),"Instinto alimento vital")</f>
        <v>Instinto alimento vital</v>
      </c>
      <c r="F9498" s="17" t="str">
        <f>IFERROR(__xludf.DUMMYFUNCTION("""COMPUTED_VALUE"""),"CRA 5 # 18 - 43 / MERCANCIA REQUIERE CONGELACION - CONTACTO CON MOISES")</f>
        <v>CRA 5 # 18 - 43 / MERCANCIA REQUIERE CONGELACION - CONTACTO CON MOISES</v>
      </c>
      <c r="G9498" s="15" t="str">
        <f>IFERROR(__xludf.DUMMYFUNCTION("""COMPUTED_VALUE"""),"BODEGA PEREIRA")</f>
        <v>BODEGA PEREIRA</v>
      </c>
      <c r="H9498" s="16">
        <f>IFERROR(__xludf.DUMMYFUNCTION("""COMPUTED_VALUE"""),18130.0)</f>
        <v>18130</v>
      </c>
      <c r="I9498" s="17"/>
      <c r="J9498" s="17"/>
      <c r="K9498" s="17"/>
      <c r="L9498" s="17">
        <f>IFERROR(__xludf.DUMMYFUNCTION("""COMPUTED_VALUE"""),3.008252529E9)</f>
        <v>3008252529</v>
      </c>
      <c r="M9498" s="17"/>
      <c r="N9498" s="17"/>
      <c r="O9498" s="17"/>
      <c r="P9498" s="17" t="b">
        <f>IFERROR(__xludf.DUMMYFUNCTION("""COMPUTED_VALUE"""),FALSE)</f>
        <v>0</v>
      </c>
      <c r="Q9498" s="20" t="str">
        <f>IFERROR(__xludf.DUMMYFUNCTION("""COMPUTED_VALUE"""),"")</f>
        <v/>
      </c>
      <c r="R9498" s="21" t="str">
        <f>IFERROR(__xludf.DUMMYFUNCTION("""COMPUTED_VALUE"""),"https://drive.google.com/file/d/1LQFQwhEPfztDNojLeg_BuHXviQJwazf2/view?usp=drivesdk")</f>
        <v>https://drive.google.com/file/d/1LQFQwhEPfztDNojLeg_BuHXviQJwazf2/view?usp=drivesdk</v>
      </c>
    </row>
    <row r="9499">
      <c r="A9499" s="15">
        <f>IFERROR(__xludf.DUMMYFUNCTION("""COMPUTED_VALUE"""),45272.0)</f>
        <v>45272</v>
      </c>
      <c r="B9499" s="16" t="str">
        <f>IFERROR(__xludf.DUMMYFUNCTION("""COMPUTED_VALUE"""),"Deivi Alejandro Quintero Corrales")</f>
        <v>Deivi Alejandro Quintero Corrales</v>
      </c>
      <c r="C9499" s="15" t="str">
        <f>IFERROR(__xludf.DUMMYFUNCTION("""COMPUTED_VALUE"""),"PEREIRA")</f>
        <v>PEREIRA</v>
      </c>
      <c r="D9499" s="15" t="str">
        <f>IFERROR(__xludf.DUMMYFUNCTION("""COMPUTED_VALUE"""),"BOGOTÁ")</f>
        <v>BOGOTÁ</v>
      </c>
      <c r="E9499" s="15" t="str">
        <f>IFERROR(__xludf.DUMMYFUNCTION("""COMPUTED_VALUE"""),"MAI ALIMENTOS REALES")</f>
        <v>MAI ALIMENTOS REALES</v>
      </c>
      <c r="F9499" s="17" t="str">
        <f>IFERROR(__xludf.DUMMYFUNCTION("""COMPUTED_VALUE"""),"Carrera 8 #14-132 / Bodega 2 Multicentro Macarena, Dosquebrabas")</f>
        <v>Carrera 8 #14-132 / Bodega 2 Multicentro Macarena, Dosquebrabas</v>
      </c>
      <c r="G9499" s="15" t="str">
        <f>IFERROR(__xludf.DUMMYFUNCTION("""COMPUTED_VALUE"""),"NOVAVENTAS PERERIA")</f>
        <v>NOVAVENTAS PERERIA</v>
      </c>
      <c r="H9499" s="16">
        <f>IFERROR(__xludf.DUMMYFUNCTION("""COMPUTED_VALUE"""),18118.0)</f>
        <v>18118</v>
      </c>
      <c r="I9499" s="17"/>
      <c r="J9499" s="17"/>
      <c r="K9499" s="17"/>
      <c r="L9499" s="17">
        <f>IFERROR(__xludf.DUMMYFUNCTION("""COMPUTED_VALUE"""),3.136760965E9)</f>
        <v>3136760965</v>
      </c>
      <c r="M9499" s="17"/>
      <c r="N9499" s="17"/>
      <c r="O9499" s="17"/>
      <c r="P9499" s="17" t="b">
        <f>IFERROR(__xludf.DUMMYFUNCTION("""COMPUTED_VALUE"""),FALSE)</f>
        <v>0</v>
      </c>
      <c r="Q9499" s="20" t="str">
        <f>IFERROR(__xludf.DUMMYFUNCTION("""COMPUTED_VALUE"""),"")</f>
        <v/>
      </c>
      <c r="R9499" s="21" t="str">
        <f>IFERROR(__xludf.DUMMYFUNCTION("""COMPUTED_VALUE"""),"https://drive.google.com/file/d/1ylopsSxLQOgtMHL3ZtXX5k2aN067t7tK/view?usp=drivesdk")</f>
        <v>https://drive.google.com/file/d/1ylopsSxLQOgtMHL3ZtXX5k2aN067t7tK/view?usp=drivesdk</v>
      </c>
    </row>
    <row r="9500">
      <c r="A9500" s="15">
        <f>IFERROR(__xludf.DUMMYFUNCTION("""COMPUTED_VALUE"""),45272.0)</f>
        <v>45272</v>
      </c>
      <c r="B9500" s="16" t="str">
        <f>IFERROR(__xludf.DUMMYFUNCTION("""COMPUTED_VALUE"""),"Deivi Alejandro Quintero Corrales")</f>
        <v>Deivi Alejandro Quintero Corrales</v>
      </c>
      <c r="C9500" s="15" t="str">
        <f>IFERROR(__xludf.DUMMYFUNCTION("""COMPUTED_VALUE"""),"PEREIRA")</f>
        <v>PEREIRA</v>
      </c>
      <c r="D9500" s="15" t="str">
        <f>IFERROR(__xludf.DUMMYFUNCTION("""COMPUTED_VALUE"""),"ENVIGADO")</f>
        <v>ENVIGADO</v>
      </c>
      <c r="E9500" s="15" t="str">
        <f>IFERROR(__xludf.DUMMYFUNCTION("""COMPUTED_VALUE"""),"RAMBLA")</f>
        <v>RAMBLA</v>
      </c>
      <c r="F9500" s="17" t="str">
        <f>IFERROR(__xludf.DUMMYFUNCTION("""COMPUTED_VALUE"""),"Carrera 14 -12-55")</f>
        <v>Carrera 14 -12-55</v>
      </c>
      <c r="G9500" s="15" t="str">
        <f>IFERROR(__xludf.DUMMYFUNCTION("""COMPUTED_VALUE"""),"Vita Eco")</f>
        <v>Vita Eco</v>
      </c>
      <c r="H9500" s="16">
        <f>IFERROR(__xludf.DUMMYFUNCTION("""COMPUTED_VALUE"""),18170.0)</f>
        <v>18170</v>
      </c>
      <c r="I9500" s="17"/>
      <c r="J9500" s="17"/>
      <c r="K9500" s="17"/>
      <c r="L9500" s="17">
        <f>IFERROR(__xludf.DUMMYFUNCTION("""COMPUTED_VALUE"""),3.215501948E9)</f>
        <v>3215501948</v>
      </c>
      <c r="M9500" s="17"/>
      <c r="N9500" s="17"/>
      <c r="O9500" s="17"/>
      <c r="P9500" s="17" t="b">
        <f>IFERROR(__xludf.DUMMYFUNCTION("""COMPUTED_VALUE"""),FALSE)</f>
        <v>0</v>
      </c>
      <c r="Q9500" s="20" t="str">
        <f>IFERROR(__xludf.DUMMYFUNCTION("""COMPUTED_VALUE"""),"")</f>
        <v/>
      </c>
      <c r="R9500" s="21" t="str">
        <f>IFERROR(__xludf.DUMMYFUNCTION("""COMPUTED_VALUE"""),"https://drive.google.com/file/d/1c1XhuXaXAuWSh6VSJJIITeui1oVjD1Dv/view?usp=drivesdk")</f>
        <v>https://drive.google.com/file/d/1c1XhuXaXAuWSh6VSJJIITeui1oVjD1Dv/view?usp=drivesdk</v>
      </c>
    </row>
    <row r="9501">
      <c r="A9501" s="15">
        <f>IFERROR(__xludf.DUMMYFUNCTION("""COMPUTED_VALUE"""),45272.0)</f>
        <v>45272</v>
      </c>
      <c r="B9501" s="16" t="str">
        <f>IFERROR(__xludf.DUMMYFUNCTION("""COMPUTED_VALUE"""),"Deivi Alejandro Quintero Corrales")</f>
        <v>Deivi Alejandro Quintero Corrales</v>
      </c>
      <c r="C9501" s="15" t="str">
        <f>IFERROR(__xludf.DUMMYFUNCTION("""COMPUTED_VALUE"""),"PEREIRA")</f>
        <v>PEREIRA</v>
      </c>
      <c r="D9501" s="15" t="str">
        <f>IFERROR(__xludf.DUMMYFUNCTION("""COMPUTED_VALUE"""),"MEDELLÍN")</f>
        <v>MEDELLÍN</v>
      </c>
      <c r="E9501" s="15" t="str">
        <f>IFERROR(__xludf.DUMMYFUNCTION("""COMPUTED_VALUE"""),"AREPAS LA MARY")</f>
        <v>AREPAS LA MARY</v>
      </c>
      <c r="F9501" s="17" t="str">
        <f>IFERROR(__xludf.DUMMYFUNCTION("""COMPUTED_VALUE"""),"CRA 14 N.12 55 / LOCAL")</f>
        <v>CRA 14 N.12 55 / LOCAL</v>
      </c>
      <c r="G9501" s="15" t="str">
        <f>IFERROR(__xludf.DUMMYFUNCTION("""COMPUTED_VALUE"""),"VITAECO MARKET")</f>
        <v>VITAECO MARKET</v>
      </c>
      <c r="H9501" s="16">
        <f>IFERROR(__xludf.DUMMYFUNCTION("""COMPUTED_VALUE"""),18190.0)</f>
        <v>18190</v>
      </c>
      <c r="I9501" s="17"/>
      <c r="J9501" s="17"/>
      <c r="K9501" s="17"/>
      <c r="L9501" s="17">
        <f>IFERROR(__xludf.DUMMYFUNCTION("""COMPUTED_VALUE"""),3.14645528E9)</f>
        <v>3146455280</v>
      </c>
      <c r="M9501" s="17"/>
      <c r="N9501" s="17"/>
      <c r="O9501" s="17"/>
      <c r="P9501" s="17" t="b">
        <f>IFERROR(__xludf.DUMMYFUNCTION("""COMPUTED_VALUE"""),FALSE)</f>
        <v>0</v>
      </c>
      <c r="Q9501" s="20" t="str">
        <f>IFERROR(__xludf.DUMMYFUNCTION("""COMPUTED_VALUE"""),"")</f>
        <v/>
      </c>
      <c r="R9501" s="21" t="str">
        <f>IFERROR(__xludf.DUMMYFUNCTION("""COMPUTED_VALUE"""),"https://drive.google.com/file/d/1eomn6qtZXIY090oH25h3V1z1q2_Oka9B/view?usp=drivesdk")</f>
        <v>https://drive.google.com/file/d/1eomn6qtZXIY090oH25h3V1z1q2_Oka9B/view?usp=drivesdk</v>
      </c>
    </row>
    <row r="9502">
      <c r="A9502" s="15">
        <f>IFERROR(__xludf.DUMMYFUNCTION("""COMPUTED_VALUE"""),45272.0)</f>
        <v>45272</v>
      </c>
      <c r="B9502" s="16" t="str">
        <f>IFERROR(__xludf.DUMMYFUNCTION("""COMPUTED_VALUE"""),"Deivi Alejandro Quintero Corrales")</f>
        <v>Deivi Alejandro Quintero Corrales</v>
      </c>
      <c r="C9502" s="15" t="str">
        <f>IFERROR(__xludf.DUMMYFUNCTION("""COMPUTED_VALUE"""),"PEREIRA")</f>
        <v>PEREIRA</v>
      </c>
      <c r="D9502" s="15" t="str">
        <f>IFERROR(__xludf.DUMMYFUNCTION("""COMPUTED_VALUE"""),"MEDELLÍN")</f>
        <v>MEDELLÍN</v>
      </c>
      <c r="E9502" s="15" t="str">
        <f>IFERROR(__xludf.DUMMYFUNCTION("""COMPUTED_VALUE"""),"AREPAS LA MARY")</f>
        <v>AREPAS LA MARY</v>
      </c>
      <c r="F9502" s="17" t="str">
        <f>IFERROR(__xludf.DUMMYFUNCTION("""COMPUTED_VALUE"""),"Cra 31 # 84-20 local 1502 / Club residencial el noga. panadería las delicias")</f>
        <v>Cra 31 # 84-20 local 1502 / Club residencial el noga. panadería las delicias</v>
      </c>
      <c r="G9502" s="15" t="str">
        <f>IFERROR(__xludf.DUMMYFUNCTION("""COMPUTED_VALUE"""),"ANDRES CAMILO GIRALDO")</f>
        <v>ANDRES CAMILO GIRALDO</v>
      </c>
      <c r="H9502" s="16">
        <f>IFERROR(__xludf.DUMMYFUNCTION("""COMPUTED_VALUE"""),18166.0)</f>
        <v>18166</v>
      </c>
      <c r="I9502" s="17"/>
      <c r="J9502" s="17"/>
      <c r="K9502" s="17"/>
      <c r="L9502" s="17">
        <f>IFERROR(__xludf.DUMMYFUNCTION("""COMPUTED_VALUE"""),3.117588484E9)</f>
        <v>3117588484</v>
      </c>
      <c r="M9502" s="17"/>
      <c r="N9502" s="17"/>
      <c r="O9502" s="17"/>
      <c r="P9502" s="17" t="b">
        <f>IFERROR(__xludf.DUMMYFUNCTION("""COMPUTED_VALUE"""),FALSE)</f>
        <v>0</v>
      </c>
      <c r="Q9502" s="20" t="str">
        <f>IFERROR(__xludf.DUMMYFUNCTION("""COMPUTED_VALUE"""),"")</f>
        <v/>
      </c>
      <c r="R9502" s="21" t="str">
        <f>IFERROR(__xludf.DUMMYFUNCTION("""COMPUTED_VALUE"""),"https://drive.google.com/file/d/1jtzVlT8mkayq3HohtFlxF0CKh23mWHGq/view?usp=drivesdk")</f>
        <v>https://drive.google.com/file/d/1jtzVlT8mkayq3HohtFlxF0CKh23mWHGq/view?usp=drivesdk</v>
      </c>
    </row>
    <row r="9503">
      <c r="A9503" s="15">
        <f>IFERROR(__xludf.DUMMYFUNCTION("""COMPUTED_VALUE"""),45272.0)</f>
        <v>45272</v>
      </c>
      <c r="B9503" s="16" t="str">
        <f>IFERROR(__xludf.DUMMYFUNCTION("""COMPUTED_VALUE"""),"Deivi Alejandro Quintero Corrales")</f>
        <v>Deivi Alejandro Quintero Corrales</v>
      </c>
      <c r="C9503" s="15" t="str">
        <f>IFERROR(__xludf.DUMMYFUNCTION("""COMPUTED_VALUE"""),"PEREIRA")</f>
        <v>PEREIRA</v>
      </c>
      <c r="D9503" s="15" t="str">
        <f>IFERROR(__xludf.DUMMYFUNCTION("""COMPUTED_VALUE"""),"MEDELLÍN")</f>
        <v>MEDELLÍN</v>
      </c>
      <c r="E9503" s="15" t="str">
        <f>IFERROR(__xludf.DUMMYFUNCTION("""COMPUTED_VALUE"""),"Goyo Todo por ellos")</f>
        <v>Goyo Todo por ellos</v>
      </c>
      <c r="F9503" s="17" t="str">
        <f>IFERROR(__xludf.DUMMYFUNCTION("""COMPUTED_VALUE"""),"Calle 12 Bis #16 18  / Casa hoja Comunidad Consciente  / Barrio Pinares")</f>
        <v>Calle 12 Bis #16 18  / Casa hoja Comunidad Consciente  / Barrio Pinares</v>
      </c>
      <c r="G9503" s="15" t="str">
        <f>IFERROR(__xludf.DUMMYFUNCTION("""COMPUTED_VALUE"""),"Hector Hernandez")</f>
        <v>Hector Hernandez</v>
      </c>
      <c r="H9503" s="16">
        <f>IFERROR(__xludf.DUMMYFUNCTION("""COMPUTED_VALUE"""),18154.0)</f>
        <v>18154</v>
      </c>
      <c r="I9503" s="18">
        <f>IFERROR(__xludf.DUMMYFUNCTION("""COMPUTED_VALUE"""),19.0)</f>
        <v>19</v>
      </c>
      <c r="J9503" s="18">
        <f>IFERROR(__xludf.DUMMYFUNCTION("""COMPUTED_VALUE"""),22.0)</f>
        <v>22</v>
      </c>
      <c r="K9503" s="18">
        <f>IFERROR(__xludf.DUMMYFUNCTION("""COMPUTED_VALUE"""),19.0)</f>
        <v>19</v>
      </c>
      <c r="L9503" s="17">
        <f>IFERROR(__xludf.DUMMYFUNCTION("""COMPUTED_VALUE"""),3.18591145E9)</f>
        <v>3185911450</v>
      </c>
      <c r="M9503" s="17"/>
      <c r="N9503" s="17"/>
      <c r="O9503" s="17"/>
      <c r="P9503" s="17" t="b">
        <f>IFERROR(__xludf.DUMMYFUNCTION("""COMPUTED_VALUE"""),FALSE)</f>
        <v>0</v>
      </c>
      <c r="Q9503" s="20" t="str">
        <f>IFERROR(__xludf.DUMMYFUNCTION("""COMPUTED_VALUE"""),"")</f>
        <v/>
      </c>
      <c r="R9503" s="21" t="str">
        <f>IFERROR(__xludf.DUMMYFUNCTION("""COMPUTED_VALUE"""),"https://drive.google.com/file/d/1zMdzVwrGyVRBK7hPhYR81lynSxhyrSpM/view?usp=drivesdk")</f>
        <v>https://drive.google.com/file/d/1zMdzVwrGyVRBK7hPhYR81lynSxhyrSpM/view?usp=drivesdk</v>
      </c>
    </row>
    <row r="9504">
      <c r="A9504" s="15">
        <f>IFERROR(__xludf.DUMMYFUNCTION("""COMPUTED_VALUE"""),45272.0)</f>
        <v>45272</v>
      </c>
      <c r="B9504" s="16" t="str">
        <f>IFERROR(__xludf.DUMMYFUNCTION("""COMPUTED_VALUE"""),"Deivi Alejandro Quintero Corrales")</f>
        <v>Deivi Alejandro Quintero Corrales</v>
      </c>
      <c r="C9504" s="15" t="str">
        <f>IFERROR(__xludf.DUMMYFUNCTION("""COMPUTED_VALUE"""),"PEREIRA")</f>
        <v>PEREIRA</v>
      </c>
      <c r="D9504" s="15" t="str">
        <f>IFERROR(__xludf.DUMMYFUNCTION("""COMPUTED_VALUE"""),"MEDELLÍN")</f>
        <v>MEDELLÍN</v>
      </c>
      <c r="E9504" s="15" t="str">
        <f>IFERROR(__xludf.DUMMYFUNCTION("""COMPUTED_VALUE"""),"Selva")</f>
        <v>Selva</v>
      </c>
      <c r="F9504" s="17" t="str">
        <f>IFERROR(__xludf.DUMMYFUNCTION("""COMPUTED_VALUE"""),"Cra 18 # 1- 60 / Edificio la arboleda torre 2, apartamento 101")</f>
        <v>Cra 18 # 1- 60 / Edificio la arboleda torre 2, apartamento 101</v>
      </c>
      <c r="G9504" s="15" t="str">
        <f>IFERROR(__xludf.DUMMYFUNCTION("""COMPUTED_VALUE"""),"Maria Antonia Angel Henao")</f>
        <v>Maria Antonia Angel Henao</v>
      </c>
      <c r="H9504" s="16">
        <f>IFERROR(__xludf.DUMMYFUNCTION("""COMPUTED_VALUE"""),18051.0)</f>
        <v>18051</v>
      </c>
      <c r="I9504" s="17"/>
      <c r="J9504" s="17"/>
      <c r="K9504" s="17"/>
      <c r="L9504" s="17">
        <f>IFERROR(__xludf.DUMMYFUNCTION("""COMPUTED_VALUE"""),3.136613832E9)</f>
        <v>3136613832</v>
      </c>
      <c r="M9504" s="17"/>
      <c r="N9504" s="17"/>
      <c r="O9504" s="17"/>
      <c r="P9504" s="17" t="b">
        <f>IFERROR(__xludf.DUMMYFUNCTION("""COMPUTED_VALUE"""),FALSE)</f>
        <v>0</v>
      </c>
      <c r="Q9504" s="20" t="str">
        <f>IFERROR(__xludf.DUMMYFUNCTION("""COMPUTED_VALUE"""),"")</f>
        <v/>
      </c>
      <c r="R9504" s="21" t="str">
        <f>IFERROR(__xludf.DUMMYFUNCTION("""COMPUTED_VALUE"""),"https://drive.google.com/file/d/1JnvtQJoZkClcbcxPB8P_28FflYh38gls/view?usp=drivesdk")</f>
        <v>https://drive.google.com/file/d/1JnvtQJoZkClcbcxPB8P_28FflYh38gls/view?usp=drivesdk</v>
      </c>
    </row>
    <row r="9505">
      <c r="A9505" s="15">
        <f>IFERROR(__xludf.DUMMYFUNCTION("""COMPUTED_VALUE"""),45272.0)</f>
        <v>45272</v>
      </c>
      <c r="B9505" s="16" t="str">
        <f>IFERROR(__xludf.DUMMYFUNCTION("""COMPUTED_VALUE"""),"Deivi Alejandro Quintero Corrales")</f>
        <v>Deivi Alejandro Quintero Corrales</v>
      </c>
      <c r="C9505" s="15" t="str">
        <f>IFERROR(__xludf.DUMMYFUNCTION("""COMPUTED_VALUE"""),"PEREIRA")</f>
        <v>PEREIRA</v>
      </c>
      <c r="D9505" s="15" t="str">
        <f>IFERROR(__xludf.DUMMYFUNCTION("""COMPUTED_VALUE"""),"MEDELLÍN")</f>
        <v>MEDELLÍN</v>
      </c>
      <c r="E9505" s="15" t="str">
        <f>IFERROR(__xludf.DUMMYFUNCTION("""COMPUTED_VALUE"""),"Todo Bufala")</f>
        <v>Todo Bufala</v>
      </c>
      <c r="F9505" s="17" t="str">
        <f>IFERROR(__xludf.DUMMYFUNCTION("""COMPUTED_VALUE"""),"Cra 14 N 12-55 Circunvalar / Cra 14 N 12-55 Circunvalar")</f>
        <v>Cra 14 N 12-55 Circunvalar / Cra 14 N 12-55 Circunvalar</v>
      </c>
      <c r="G9505" s="15" t="str">
        <f>IFERROR(__xludf.DUMMYFUNCTION("""COMPUTED_VALUE"""),"Jeimy Jaramillo-Inversiones saludables vita SAS")</f>
        <v>Jeimy Jaramillo-Inversiones saludables vita SAS</v>
      </c>
      <c r="H9505" s="16">
        <f>IFERROR(__xludf.DUMMYFUNCTION("""COMPUTED_VALUE"""),18195.0)</f>
        <v>18195</v>
      </c>
      <c r="I9505" s="17"/>
      <c r="J9505" s="17"/>
      <c r="K9505" s="17"/>
      <c r="L9505" s="17">
        <f>IFERROR(__xludf.DUMMYFUNCTION("""COMPUTED_VALUE"""),3.14645528E9)</f>
        <v>3146455280</v>
      </c>
      <c r="M9505" s="17"/>
      <c r="N9505" s="17"/>
      <c r="O9505" s="17"/>
      <c r="P9505" s="17" t="b">
        <f>IFERROR(__xludf.DUMMYFUNCTION("""COMPUTED_VALUE"""),FALSE)</f>
        <v>0</v>
      </c>
      <c r="Q9505" s="20" t="str">
        <f>IFERROR(__xludf.DUMMYFUNCTION("""COMPUTED_VALUE"""),"")</f>
        <v/>
      </c>
      <c r="R9505" s="21" t="str">
        <f>IFERROR(__xludf.DUMMYFUNCTION("""COMPUTED_VALUE"""),"https://drive.google.com/file/d/1KThnwCQS-jnb9nZ1JmB2va5_8yQHSBSX/view?usp=drivesdk")</f>
        <v>https://drive.google.com/file/d/1KThnwCQS-jnb9nZ1JmB2va5_8yQHSBSX/view?usp=drivesdk</v>
      </c>
    </row>
    <row r="9506">
      <c r="A9506" s="17" t="str">
        <f>IFERROR(__xludf.DUMMYFUNCTION("""COMPUTED_VALUE"""),"")</f>
        <v/>
      </c>
      <c r="B9506" s="17" t="str">
        <f>IFERROR(__xludf.DUMMYFUNCTION("""COMPUTED_VALUE"""),"")</f>
        <v/>
      </c>
      <c r="C9506" s="17" t="str">
        <f>IFERROR(__xludf.DUMMYFUNCTION("""COMPUTED_VALUE"""),"")</f>
        <v/>
      </c>
      <c r="D9506" s="17" t="str">
        <f>IFERROR(__xludf.DUMMYFUNCTION("""COMPUTED_VALUE"""),"")</f>
        <v/>
      </c>
      <c r="E9506" s="17" t="str">
        <f>IFERROR(__xludf.DUMMYFUNCTION("""COMPUTED_VALUE"""),"")</f>
        <v/>
      </c>
      <c r="F9506" s="17" t="str">
        <f>IFERROR(__xludf.DUMMYFUNCTION("""COMPUTED_VALUE"""),"")</f>
        <v/>
      </c>
      <c r="G9506" s="17" t="str">
        <f>IFERROR(__xludf.DUMMYFUNCTION("""COMPUTED_VALUE"""),"")</f>
        <v/>
      </c>
      <c r="H9506" s="17" t="str">
        <f>IFERROR(__xludf.DUMMYFUNCTION("""COMPUTED_VALUE"""),"")</f>
        <v/>
      </c>
      <c r="I9506" s="17" t="str">
        <f>IFERROR(__xludf.DUMMYFUNCTION("""COMPUTED_VALUE"""),"")</f>
        <v/>
      </c>
      <c r="J9506" s="17" t="str">
        <f>IFERROR(__xludf.DUMMYFUNCTION("""COMPUTED_VALUE"""),"")</f>
        <v/>
      </c>
      <c r="K9506" s="17" t="str">
        <f>IFERROR(__xludf.DUMMYFUNCTION("""COMPUTED_VALUE"""),"")</f>
        <v/>
      </c>
      <c r="L9506" s="17" t="str">
        <f>IFERROR(__xludf.DUMMYFUNCTION("""COMPUTED_VALUE"""),"")</f>
        <v/>
      </c>
      <c r="M9506" s="17" t="str">
        <f>IFERROR(__xludf.DUMMYFUNCTION("""COMPUTED_VALUE"""),"")</f>
        <v/>
      </c>
      <c r="N9506" s="17" t="str">
        <f>IFERROR(__xludf.DUMMYFUNCTION("""COMPUTED_VALUE"""),"")</f>
        <v/>
      </c>
      <c r="O9506" s="17" t="str">
        <f>IFERROR(__xludf.DUMMYFUNCTION("""COMPUTED_VALUE"""),"")</f>
        <v/>
      </c>
      <c r="P9506" s="17" t="str">
        <f>IFERROR(__xludf.DUMMYFUNCTION("""COMPUTED_VALUE"""),"")</f>
        <v/>
      </c>
      <c r="Q9506" s="17" t="str">
        <f>IFERROR(__xludf.DUMMYFUNCTION("""COMPUTED_VALUE"""),"")</f>
        <v/>
      </c>
      <c r="R9506" s="17" t="str">
        <f>IFERROR(__xludf.DUMMYFUNCTION("""COMPUTED_VALUE"""),"")</f>
        <v/>
      </c>
    </row>
    <row r="9507">
      <c r="A9507" s="15">
        <f>IFERROR(__xludf.DUMMYFUNCTION("""COMPUTED_VALUE"""),45272.0)</f>
        <v>45272</v>
      </c>
      <c r="B9507" s="16" t="str">
        <f>IFERROR(__xludf.DUMMYFUNCTION("""COMPUTED_VALUE"""),"Duvan Gabriel Alvarez Giron")</f>
        <v>Duvan Gabriel Alvarez Giron</v>
      </c>
      <c r="C9507" s="15" t="str">
        <f>IFERROR(__xludf.DUMMYFUNCTION("""COMPUTED_VALUE"""),"IBAGUÉ")</f>
        <v>IBAGUÉ</v>
      </c>
      <c r="D9507" s="15" t="str">
        <f>IFERROR(__xludf.DUMMYFUNCTION("""COMPUTED_VALUE"""),"BOGOTÁ")</f>
        <v>BOGOTÁ</v>
      </c>
      <c r="E9507" s="15" t="str">
        <f>IFERROR(__xludf.DUMMYFUNCTION("""COMPUTED_VALUE"""),"Frambascolombia sas")</f>
        <v>Frambascolombia sas</v>
      </c>
      <c r="F9507" s="17" t="str">
        <f>IFERROR(__xludf.DUMMYFUNCTION("""COMPUTED_VALUE"""),"CRA 12 SUR # 93-134 / Local 5")</f>
        <v>CRA 12 SUR # 93-134 / Local 5</v>
      </c>
      <c r="G9507" s="15" t="str">
        <f>IFERROR(__xludf.DUMMYFUNCTION("""COMPUTED_VALUE"""),"FARMACADIZ IBAGUE")</f>
        <v>FARMACADIZ IBAGUE</v>
      </c>
      <c r="H9507" s="16">
        <f>IFERROR(__xludf.DUMMYFUNCTION("""COMPUTED_VALUE"""),18214.0)</f>
        <v>18214</v>
      </c>
      <c r="I9507" s="17"/>
      <c r="J9507" s="17"/>
      <c r="K9507" s="17"/>
      <c r="L9507" s="17">
        <f>IFERROR(__xludf.DUMMYFUNCTION("""COMPUTED_VALUE"""),3.005210998E9)</f>
        <v>3005210998</v>
      </c>
      <c r="M9507" s="17"/>
      <c r="N9507" s="17"/>
      <c r="O9507" s="17"/>
      <c r="P9507" s="17" t="b">
        <f>IFERROR(__xludf.DUMMYFUNCTION("""COMPUTED_VALUE"""),FALSE)</f>
        <v>0</v>
      </c>
      <c r="Q9507" s="20" t="str">
        <f>IFERROR(__xludf.DUMMYFUNCTION("""COMPUTED_VALUE"""),"")</f>
        <v/>
      </c>
      <c r="R9507" s="21" t="str">
        <f>IFERROR(__xludf.DUMMYFUNCTION("""COMPUTED_VALUE"""),"https://drive.google.com/file/d/1_GLlPkZel7z_x4Ux43LMHpYjjAFcmEU7/view?usp=drivesdk")</f>
        <v>https://drive.google.com/file/d/1_GLlPkZel7z_x4Ux43LMHpYjjAFcmEU7/view?usp=drivesdk</v>
      </c>
    </row>
    <row r="9508">
      <c r="A9508" s="15">
        <f>IFERROR(__xludf.DUMMYFUNCTION("""COMPUTED_VALUE"""),45272.0)</f>
        <v>45272</v>
      </c>
      <c r="B9508" s="16" t="str">
        <f>IFERROR(__xludf.DUMMYFUNCTION("""COMPUTED_VALUE"""),"Duvan Gabriel Alvarez Giron")</f>
        <v>Duvan Gabriel Alvarez Giron</v>
      </c>
      <c r="C9508" s="15" t="str">
        <f>IFERROR(__xludf.DUMMYFUNCTION("""COMPUTED_VALUE"""),"IBAGUÉ")</f>
        <v>IBAGUÉ</v>
      </c>
      <c r="D9508" s="15" t="str">
        <f>IFERROR(__xludf.DUMMYFUNCTION("""COMPUTED_VALUE"""),"BOGOTÁ")</f>
        <v>BOGOTÁ</v>
      </c>
      <c r="E9508" s="15" t="str">
        <f>IFERROR(__xludf.DUMMYFUNCTION("""COMPUTED_VALUE"""),"Instinto alimento vital")</f>
        <v>Instinto alimento vital</v>
      </c>
      <c r="F9508" s="17" t="str">
        <f>IFERROR(__xludf.DUMMYFUNCTION("""COMPUTED_VALUE"""),"MANZANA M CASA 2B / BARRIO ARKALA")</f>
        <v>MANZANA M CASA 2B / BARRIO ARKALA</v>
      </c>
      <c r="G9508" s="15" t="str">
        <f>IFERROR(__xludf.DUMMYFUNCTION("""COMPUTED_VALUE"""),"YINA LISETH DIAZ TORRES")</f>
        <v>YINA LISETH DIAZ TORRES</v>
      </c>
      <c r="H9508" s="16">
        <f>IFERROR(__xludf.DUMMYFUNCTION("""COMPUTED_VALUE"""),18126.0)</f>
        <v>18126</v>
      </c>
      <c r="I9508" s="17"/>
      <c r="J9508" s="17"/>
      <c r="K9508" s="17"/>
      <c r="L9508" s="17">
        <f>IFERROR(__xludf.DUMMYFUNCTION("""COMPUTED_VALUE"""),3.134502277E9)</f>
        <v>3134502277</v>
      </c>
      <c r="M9508" s="17"/>
      <c r="N9508" s="17"/>
      <c r="O9508" s="17"/>
      <c r="P9508" s="17" t="b">
        <f>IFERROR(__xludf.DUMMYFUNCTION("""COMPUTED_VALUE"""),FALSE)</f>
        <v>0</v>
      </c>
      <c r="Q9508" s="20" t="str">
        <f>IFERROR(__xludf.DUMMYFUNCTION("""COMPUTED_VALUE"""),"")</f>
        <v/>
      </c>
      <c r="R9508" s="21" t="str">
        <f>IFERROR(__xludf.DUMMYFUNCTION("""COMPUTED_VALUE"""),"https://drive.google.com/file/d/10oY6PYl27xXhIPDBs1ekyvGoA5XHu8UU/view?usp=drivesdk")</f>
        <v>https://drive.google.com/file/d/10oY6PYl27xXhIPDBs1ekyvGoA5XHu8UU/view?usp=drivesdk</v>
      </c>
    </row>
    <row r="9509">
      <c r="A9509" s="15">
        <f>IFERROR(__xludf.DUMMYFUNCTION("""COMPUTED_VALUE"""),45272.0)</f>
        <v>45272</v>
      </c>
      <c r="B9509" s="16" t="str">
        <f>IFERROR(__xludf.DUMMYFUNCTION("""COMPUTED_VALUE"""),"Duvan Gabriel Alvarez Giron")</f>
        <v>Duvan Gabriel Alvarez Giron</v>
      </c>
      <c r="C9509" s="15" t="str">
        <f>IFERROR(__xludf.DUMMYFUNCTION("""COMPUTED_VALUE"""),"IBAGUÉ")</f>
        <v>IBAGUÉ</v>
      </c>
      <c r="D9509" s="15" t="str">
        <f>IFERROR(__xludf.DUMMYFUNCTION("""COMPUTED_VALUE"""),"BOGOTÁ")</f>
        <v>BOGOTÁ</v>
      </c>
      <c r="E9509" s="15" t="str">
        <f>IFERROR(__xludf.DUMMYFUNCTION("""COMPUTED_VALUE"""),"LINA PAOLA RAMIREZ GOMEZ - EVA MAZZITA")</f>
        <v>LINA PAOLA RAMIREZ GOMEZ - EVA MAZZITA</v>
      </c>
      <c r="F9509" s="17" t="str">
        <f>IFERROR(__xludf.DUMMYFUNCTION("""COMPUTED_VALUE"""),"Mz 25 Casa 3 / Detrás de la iglesia del topacio")</f>
        <v>Mz 25 Casa 3 / Detrás de la iglesia del topacio</v>
      </c>
      <c r="G9509" s="15" t="str">
        <f>IFERROR(__xludf.DUMMYFUNCTION("""COMPUTED_VALUE"""),"CAROL FAJARDO GARCIA")</f>
        <v>CAROL FAJARDO GARCIA</v>
      </c>
      <c r="H9509" s="16">
        <f>IFERROR(__xludf.DUMMYFUNCTION("""COMPUTED_VALUE"""),18183.0)</f>
        <v>18183</v>
      </c>
      <c r="I9509" s="17"/>
      <c r="J9509" s="17"/>
      <c r="K9509" s="17"/>
      <c r="L9509" s="17">
        <f>IFERROR(__xludf.DUMMYFUNCTION("""COMPUTED_VALUE"""),3.183624448E9)</f>
        <v>3183624448</v>
      </c>
      <c r="M9509" s="17"/>
      <c r="N9509" s="17"/>
      <c r="O9509" s="17"/>
      <c r="P9509" s="17" t="b">
        <f>IFERROR(__xludf.DUMMYFUNCTION("""COMPUTED_VALUE"""),FALSE)</f>
        <v>0</v>
      </c>
      <c r="Q9509" s="20" t="str">
        <f>IFERROR(__xludf.DUMMYFUNCTION("""COMPUTED_VALUE"""),"")</f>
        <v/>
      </c>
      <c r="R9509" s="21" t="str">
        <f>IFERROR(__xludf.DUMMYFUNCTION("""COMPUTED_VALUE"""),"https://drive.google.com/file/d/1-Je_6T4V_ABq1QCemMco7GZ8mdP0P_Yf/view?usp=drivesdk")</f>
        <v>https://drive.google.com/file/d/1-Je_6T4V_ABq1QCemMco7GZ8mdP0P_Yf/view?usp=drivesdk</v>
      </c>
    </row>
    <row r="9510">
      <c r="A9510" s="15">
        <f>IFERROR(__xludf.DUMMYFUNCTION("""COMPUTED_VALUE"""),45272.0)</f>
        <v>45272</v>
      </c>
      <c r="B9510" s="16" t="str">
        <f>IFERROR(__xludf.DUMMYFUNCTION("""COMPUTED_VALUE"""),"Duvan Gabriel Alvarez Giron")</f>
        <v>Duvan Gabriel Alvarez Giron</v>
      </c>
      <c r="C9510" s="15" t="str">
        <f>IFERROR(__xludf.DUMMYFUNCTION("""COMPUTED_VALUE"""),"IBAGUÉ")</f>
        <v>IBAGUÉ</v>
      </c>
      <c r="D9510" s="15" t="str">
        <f>IFERROR(__xludf.DUMMYFUNCTION("""COMPUTED_VALUE"""),"BOGOTÁ")</f>
        <v>BOGOTÁ</v>
      </c>
      <c r="E9510" s="15" t="str">
        <f>IFERROR(__xludf.DUMMYFUNCTION("""COMPUTED_VALUE"""),"PAN DE WAFFLE")</f>
        <v>PAN DE WAFFLE</v>
      </c>
      <c r="F9510" s="17" t="str">
        <f>IFERROR(__xludf.DUMMYFUNCTION("""COMPUTED_VALUE"""),"Calle 10 # 3 - 01 local 2 / Calle 10 # 3 - 01 local 2")</f>
        <v>Calle 10 # 3 - 01 local 2 / Calle 10 # 3 - 01 local 2</v>
      </c>
      <c r="G9510" s="15" t="str">
        <f>IFERROR(__xludf.DUMMYFUNCTION("""COMPUTED_VALUE"""),"SOY NATURAL SEDE PLAZA BOLIVAR")</f>
        <v>SOY NATURAL SEDE PLAZA BOLIVAR</v>
      </c>
      <c r="H9510" s="16">
        <f>IFERROR(__xludf.DUMMYFUNCTION("""COMPUTED_VALUE"""),18119.0)</f>
        <v>18119</v>
      </c>
      <c r="I9510" s="17"/>
      <c r="J9510" s="17"/>
      <c r="K9510" s="17"/>
      <c r="L9510" s="17">
        <f>IFERROR(__xludf.DUMMYFUNCTION("""COMPUTED_VALUE"""),3.04665347E9)</f>
        <v>3046653470</v>
      </c>
      <c r="M9510" s="17"/>
      <c r="N9510" s="17"/>
      <c r="O9510" s="17"/>
      <c r="P9510" s="17" t="b">
        <f>IFERROR(__xludf.DUMMYFUNCTION("""COMPUTED_VALUE"""),FALSE)</f>
        <v>0</v>
      </c>
      <c r="Q9510" s="20" t="str">
        <f>IFERROR(__xludf.DUMMYFUNCTION("""COMPUTED_VALUE"""),"")</f>
        <v/>
      </c>
      <c r="R9510" s="21" t="str">
        <f>IFERROR(__xludf.DUMMYFUNCTION("""COMPUTED_VALUE"""),"https://drive.google.com/file/d/1QYC78haFGlIO1tDW_y8X5YGNnhRzjenP/view?usp=drivesdk")</f>
        <v>https://drive.google.com/file/d/1QYC78haFGlIO1tDW_y8X5YGNnhRzjenP/view?usp=drivesdk</v>
      </c>
    </row>
    <row r="9511">
      <c r="A9511" s="15">
        <f>IFERROR(__xludf.DUMMYFUNCTION("""COMPUTED_VALUE"""),45272.0)</f>
        <v>45272</v>
      </c>
      <c r="B9511" s="16" t="str">
        <f>IFERROR(__xludf.DUMMYFUNCTION("""COMPUTED_VALUE"""),"Duvan Gabriel Alvarez Giron")</f>
        <v>Duvan Gabriel Alvarez Giron</v>
      </c>
      <c r="C9511" s="15" t="str">
        <f>IFERROR(__xludf.DUMMYFUNCTION("""COMPUTED_VALUE"""),"IBAGUÉ")</f>
        <v>IBAGUÉ</v>
      </c>
      <c r="D9511" s="15" t="str">
        <f>IFERROR(__xludf.DUMMYFUNCTION("""COMPUTED_VALUE"""),"BOGOTÁ")</f>
        <v>BOGOTÁ</v>
      </c>
      <c r="E9511" s="15" t="str">
        <f>IFERROR(__xludf.DUMMYFUNCTION("""COMPUTED_VALUE"""),"Premium Choice")</f>
        <v>Premium Choice</v>
      </c>
      <c r="F9511" s="17" t="str">
        <f>IFERROR(__xludf.DUMMYFUNCTION("""COMPUTED_VALUE"""),"Carrera 14 # 75a - 29  / Local 5  / Estancia del vergel")</f>
        <v>Carrera 14 # 75a - 29  / Local 5  / Estancia del vergel</v>
      </c>
      <c r="G9511" s="15" t="str">
        <f>IFERROR(__xludf.DUMMYFUNCTION("""COMPUTED_VALUE"""),"Arbeláez lopera Daniela Tatiana")</f>
        <v>Arbeláez lopera Daniela Tatiana</v>
      </c>
      <c r="H9511" s="16">
        <f>IFERROR(__xludf.DUMMYFUNCTION("""COMPUTED_VALUE"""),18149.0)</f>
        <v>18149</v>
      </c>
      <c r="I9511" s="18">
        <f>IFERROR(__xludf.DUMMYFUNCTION("""COMPUTED_VALUE"""),16.0)</f>
        <v>16</v>
      </c>
      <c r="J9511" s="18">
        <f>IFERROR(__xludf.DUMMYFUNCTION("""COMPUTED_VALUE"""),37.0)</f>
        <v>37</v>
      </c>
      <c r="K9511" s="18">
        <f>IFERROR(__xludf.DUMMYFUNCTION("""COMPUTED_VALUE"""),25.0)</f>
        <v>25</v>
      </c>
      <c r="L9511" s="17">
        <f>IFERROR(__xludf.DUMMYFUNCTION("""COMPUTED_VALUE"""),3.102170999E9)</f>
        <v>3102170999</v>
      </c>
      <c r="M9511" s="17"/>
      <c r="N9511" s="17"/>
      <c r="O9511" s="17"/>
      <c r="P9511" s="17" t="b">
        <f>IFERROR(__xludf.DUMMYFUNCTION("""COMPUTED_VALUE"""),FALSE)</f>
        <v>0</v>
      </c>
      <c r="Q9511" s="20" t="str">
        <f>IFERROR(__xludf.DUMMYFUNCTION("""COMPUTED_VALUE"""),"")</f>
        <v/>
      </c>
      <c r="R9511" s="21" t="str">
        <f>IFERROR(__xludf.DUMMYFUNCTION("""COMPUTED_VALUE"""),"https://drive.google.com/file/d/1CWcP6ZDoeFyiHe8teo3gYLn_vAGdH6lv/view?usp=drivesdk")</f>
        <v>https://drive.google.com/file/d/1CWcP6ZDoeFyiHe8teo3gYLn_vAGdH6lv/view?usp=drivesdk</v>
      </c>
    </row>
    <row r="9512">
      <c r="A9512" s="15">
        <f>IFERROR(__xludf.DUMMYFUNCTION("""COMPUTED_VALUE"""),45272.0)</f>
        <v>45272</v>
      </c>
      <c r="B9512" s="16" t="str">
        <f>IFERROR(__xludf.DUMMYFUNCTION("""COMPUTED_VALUE"""),"Duvan Gabriel Alvarez Giron")</f>
        <v>Duvan Gabriel Alvarez Giron</v>
      </c>
      <c r="C9512" s="15" t="str">
        <f>IFERROR(__xludf.DUMMYFUNCTION("""COMPUTED_VALUE"""),"IBAGUÉ")</f>
        <v>IBAGUÉ</v>
      </c>
      <c r="D9512" s="15" t="str">
        <f>IFERROR(__xludf.DUMMYFUNCTION("""COMPUTED_VALUE"""),"BOGOTÁ")</f>
        <v>BOGOTÁ</v>
      </c>
      <c r="E9512" s="15" t="str">
        <f>IFERROR(__xludf.DUMMYFUNCTION("""COMPUTED_VALUE"""),"Ventura Productos Arg")</f>
        <v>Ventura Productos Arg</v>
      </c>
      <c r="F9512" s="17" t="str">
        <f>IFERROR(__xludf.DUMMYFUNCTION("""COMPUTED_VALUE"""),"cra 8 sur #48-40 apto 1802 Solarium del Cañon / apto 1802 Solarium del Cañon")</f>
        <v>cra 8 sur #48-40 apto 1802 Solarium del Cañon / apto 1802 Solarium del Cañon</v>
      </c>
      <c r="G9512" s="15" t="str">
        <f>IFERROR(__xludf.DUMMYFUNCTION("""COMPUTED_VALUE"""),"Claudia Restrepo")</f>
        <v>Claudia Restrepo</v>
      </c>
      <c r="H9512" s="16">
        <f>IFERROR(__xludf.DUMMYFUNCTION("""COMPUTED_VALUE"""),18133.0)</f>
        <v>18133</v>
      </c>
      <c r="I9512" s="17"/>
      <c r="J9512" s="17"/>
      <c r="K9512" s="17"/>
      <c r="L9512" s="17"/>
      <c r="M9512" s="17"/>
      <c r="N9512" s="17"/>
      <c r="O9512" s="17"/>
      <c r="P9512" s="17" t="b">
        <f>IFERROR(__xludf.DUMMYFUNCTION("""COMPUTED_VALUE"""),FALSE)</f>
        <v>0</v>
      </c>
      <c r="Q9512" s="20" t="str">
        <f>IFERROR(__xludf.DUMMYFUNCTION("""COMPUTED_VALUE"""),"")</f>
        <v/>
      </c>
      <c r="R9512" s="21" t="str">
        <f>IFERROR(__xludf.DUMMYFUNCTION("""COMPUTED_VALUE"""),"https://drive.google.com/file/d/1Wqw9yYRh__OFX4z2ChZsl_QqtT4S7eCy/view?usp=drivesdk")</f>
        <v>https://drive.google.com/file/d/1Wqw9yYRh__OFX4z2ChZsl_QqtT4S7eCy/view?usp=drivesdk</v>
      </c>
    </row>
    <row r="9513">
      <c r="A9513" s="15">
        <f>IFERROR(__xludf.DUMMYFUNCTION("""COMPUTED_VALUE"""),45272.0)</f>
        <v>45272</v>
      </c>
      <c r="B9513" s="16" t="str">
        <f>IFERROR(__xludf.DUMMYFUNCTION("""COMPUTED_VALUE"""),"Duvan Gabriel Alvarez Giron")</f>
        <v>Duvan Gabriel Alvarez Giron</v>
      </c>
      <c r="C9513" s="15" t="str">
        <f>IFERROR(__xludf.DUMMYFUNCTION("""COMPUTED_VALUE"""),"IBAGUÉ")</f>
        <v>IBAGUÉ</v>
      </c>
      <c r="D9513" s="15" t="str">
        <f>IFERROR(__xludf.DUMMYFUNCTION("""COMPUTED_VALUE"""),"MEDELLÍN")</f>
        <v>MEDELLÍN</v>
      </c>
      <c r="E9513" s="15" t="str">
        <f>IFERROR(__xludf.DUMMYFUNCTION("""COMPUTED_VALUE"""),"Moloso S.A.S")</f>
        <v>Moloso S.A.S</v>
      </c>
      <c r="F9513" s="17" t="str">
        <f>IFERROR(__xludf.DUMMYFUNCTION("""COMPUTED_VALUE"""),"TRANSVERSAL 19 A SUR 125 134 / RESERVAS DEL CAMPESTRE CS 32 ZONA 3")</f>
        <v>TRANSVERSAL 19 A SUR 125 134 / RESERVAS DEL CAMPESTRE CS 32 ZONA 3</v>
      </c>
      <c r="G9513" s="15" t="str">
        <f>IFERROR(__xludf.DUMMYFUNCTION("""COMPUTED_VALUE"""),"LUIS FELIPE ESPINOSA CASTRO")</f>
        <v>LUIS FELIPE ESPINOSA CASTRO</v>
      </c>
      <c r="H9513" s="16">
        <f>IFERROR(__xludf.DUMMYFUNCTION("""COMPUTED_VALUE"""),18201.0)</f>
        <v>18201</v>
      </c>
      <c r="I9513" s="17"/>
      <c r="J9513" s="17"/>
      <c r="K9513" s="17"/>
      <c r="L9513" s="17"/>
      <c r="M9513" s="17"/>
      <c r="N9513" s="17"/>
      <c r="O9513" s="17"/>
      <c r="P9513" s="17" t="b">
        <f>IFERROR(__xludf.DUMMYFUNCTION("""COMPUTED_VALUE"""),FALSE)</f>
        <v>0</v>
      </c>
      <c r="Q9513" s="20" t="str">
        <f>IFERROR(__xludf.DUMMYFUNCTION("""COMPUTED_VALUE"""),"")</f>
        <v/>
      </c>
      <c r="R9513" s="22" t="str">
        <f>IFERROR(__xludf.DUMMYFUNCTION("""COMPUTED_VALUE"""),"")</f>
        <v/>
      </c>
    </row>
    <row r="9514">
      <c r="A9514" s="17" t="str">
        <f>IFERROR(__xludf.DUMMYFUNCTION("""COMPUTED_VALUE"""),"")</f>
        <v/>
      </c>
      <c r="B9514" s="17" t="str">
        <f>IFERROR(__xludf.DUMMYFUNCTION("""COMPUTED_VALUE"""),"")</f>
        <v/>
      </c>
      <c r="C9514" s="17" t="str">
        <f>IFERROR(__xludf.DUMMYFUNCTION("""COMPUTED_VALUE"""),"")</f>
        <v/>
      </c>
      <c r="D9514" s="17" t="str">
        <f>IFERROR(__xludf.DUMMYFUNCTION("""COMPUTED_VALUE"""),"")</f>
        <v/>
      </c>
      <c r="E9514" s="17" t="str">
        <f>IFERROR(__xludf.DUMMYFUNCTION("""COMPUTED_VALUE"""),"")</f>
        <v/>
      </c>
      <c r="F9514" s="17" t="str">
        <f>IFERROR(__xludf.DUMMYFUNCTION("""COMPUTED_VALUE"""),"")</f>
        <v/>
      </c>
      <c r="G9514" s="17" t="str">
        <f>IFERROR(__xludf.DUMMYFUNCTION("""COMPUTED_VALUE"""),"")</f>
        <v/>
      </c>
      <c r="H9514" s="17" t="str">
        <f>IFERROR(__xludf.DUMMYFUNCTION("""COMPUTED_VALUE"""),"")</f>
        <v/>
      </c>
      <c r="I9514" s="17" t="str">
        <f>IFERROR(__xludf.DUMMYFUNCTION("""COMPUTED_VALUE"""),"")</f>
        <v/>
      </c>
      <c r="J9514" s="17" t="str">
        <f>IFERROR(__xludf.DUMMYFUNCTION("""COMPUTED_VALUE"""),"")</f>
        <v/>
      </c>
      <c r="K9514" s="17" t="str">
        <f>IFERROR(__xludf.DUMMYFUNCTION("""COMPUTED_VALUE"""),"")</f>
        <v/>
      </c>
      <c r="L9514" s="17" t="str">
        <f>IFERROR(__xludf.DUMMYFUNCTION("""COMPUTED_VALUE"""),"")</f>
        <v/>
      </c>
      <c r="M9514" s="17" t="str">
        <f>IFERROR(__xludf.DUMMYFUNCTION("""COMPUTED_VALUE"""),"")</f>
        <v/>
      </c>
      <c r="N9514" s="17" t="str">
        <f>IFERROR(__xludf.DUMMYFUNCTION("""COMPUTED_VALUE"""),"")</f>
        <v/>
      </c>
      <c r="O9514" s="17" t="str">
        <f>IFERROR(__xludf.DUMMYFUNCTION("""COMPUTED_VALUE"""),"")</f>
        <v/>
      </c>
      <c r="P9514" s="17" t="str">
        <f>IFERROR(__xludf.DUMMYFUNCTION("""COMPUTED_VALUE"""),"")</f>
        <v/>
      </c>
      <c r="Q9514" s="17" t="str">
        <f>IFERROR(__xludf.DUMMYFUNCTION("""COMPUTED_VALUE"""),"")</f>
        <v/>
      </c>
      <c r="R9514" s="17" t="str">
        <f>IFERROR(__xludf.DUMMYFUNCTION("""COMPUTED_VALUE"""),"")</f>
        <v/>
      </c>
    </row>
    <row r="9515">
      <c r="A9515" s="15">
        <f>IFERROR(__xludf.DUMMYFUNCTION("""COMPUTED_VALUE"""),45272.0)</f>
        <v>45272</v>
      </c>
      <c r="B9515" s="16" t="str">
        <f>IFERROR(__xludf.DUMMYFUNCTION("""COMPUTED_VALUE"""),"Envia")</f>
        <v>Envia</v>
      </c>
      <c r="C9515" s="15" t="str">
        <f>IFERROR(__xludf.DUMMYFUNCTION("""COMPUTED_VALUE"""),"ARMENIA")</f>
        <v>ARMENIA</v>
      </c>
      <c r="D9515" s="15" t="str">
        <f>IFERROR(__xludf.DUMMYFUNCTION("""COMPUTED_VALUE"""),"MEDELLÍN")</f>
        <v>MEDELLÍN</v>
      </c>
      <c r="E9515" s="15" t="str">
        <f>IFERROR(__xludf.DUMMYFUNCTION("""COMPUTED_VALUE"""),"AREPAS LA MARY")</f>
        <v>AREPAS LA MARY</v>
      </c>
      <c r="F9515" s="17" t="str">
        <f>IFERROR(__xludf.DUMMYFUNCTION("""COMPUTED_VALUE"""),"Cll 1 Norte # 13-43 / Edificio plazuela fundadores")</f>
        <v>Cll 1 Norte # 13-43 / Edificio plazuela fundadores</v>
      </c>
      <c r="G9515" s="15" t="str">
        <f>IFERROR(__xludf.DUMMYFUNCTION("""COMPUTED_VALUE"""),"LAURA TRUJILLO")</f>
        <v>LAURA TRUJILLO</v>
      </c>
      <c r="H9515" s="16">
        <f>IFERROR(__xludf.DUMMYFUNCTION("""COMPUTED_VALUE"""),18165.0)</f>
        <v>18165</v>
      </c>
      <c r="I9515" s="17"/>
      <c r="J9515" s="17"/>
      <c r="K9515" s="17"/>
      <c r="L9515" s="17"/>
      <c r="M9515" s="17"/>
      <c r="N9515" s="17"/>
      <c r="O9515" s="17"/>
      <c r="P9515" s="17" t="b">
        <f>IFERROR(__xludf.DUMMYFUNCTION("""COMPUTED_VALUE"""),FALSE)</f>
        <v>0</v>
      </c>
      <c r="Q9515" s="20" t="str">
        <f>IFERROR(__xludf.DUMMYFUNCTION("""COMPUTED_VALUE"""),"")</f>
        <v/>
      </c>
      <c r="R9515" s="22" t="str">
        <f>IFERROR(__xludf.DUMMYFUNCTION("""COMPUTED_VALUE"""),"")</f>
        <v/>
      </c>
    </row>
    <row r="9516">
      <c r="A9516" s="15">
        <f>IFERROR(__xludf.DUMMYFUNCTION("""COMPUTED_VALUE"""),45272.0)</f>
        <v>45272</v>
      </c>
      <c r="B9516" s="16" t="str">
        <f>IFERROR(__xludf.DUMMYFUNCTION("""COMPUTED_VALUE"""),"Envia")</f>
        <v>Envia</v>
      </c>
      <c r="C9516" s="15" t="str">
        <f>IFERROR(__xludf.DUMMYFUNCTION("""COMPUTED_VALUE"""),"ARMENIA")</f>
        <v>ARMENIA</v>
      </c>
      <c r="D9516" s="15" t="str">
        <f>IFERROR(__xludf.DUMMYFUNCTION("""COMPUTED_VALUE"""),"MEDELLÍN")</f>
        <v>MEDELLÍN</v>
      </c>
      <c r="E9516" s="15" t="str">
        <f>IFERROR(__xludf.DUMMYFUNCTION("""COMPUTED_VALUE"""),"AREPAS LA MARY")</f>
        <v>AREPAS LA MARY</v>
      </c>
      <c r="F9516" s="17" t="str">
        <f>IFERROR(__xludf.DUMMYFUNCTION("""COMPUTED_VALUE"""),"CRA 29D #07A 140 / LOCAL")</f>
        <v>CRA 29D #07A 140 / LOCAL</v>
      </c>
      <c r="G9516" s="15" t="str">
        <f>IFERROR(__xludf.DUMMYFUNCTION("""COMPUTED_VALUE"""),"ANYI DISEÑO ARTE Y CAFE")</f>
        <v>ANYI DISEÑO ARTE Y CAFE</v>
      </c>
      <c r="H9516" s="16">
        <f>IFERROR(__xludf.DUMMYFUNCTION("""COMPUTED_VALUE"""),18164.0)</f>
        <v>18164</v>
      </c>
      <c r="I9516" s="17"/>
      <c r="J9516" s="17"/>
      <c r="K9516" s="17"/>
      <c r="L9516" s="17">
        <f>IFERROR(__xludf.DUMMYFUNCTION("""COMPUTED_VALUE"""),3.208403116E9)</f>
        <v>3208403116</v>
      </c>
      <c r="M9516" s="17"/>
      <c r="N9516" s="17"/>
      <c r="O9516" s="17"/>
      <c r="P9516" s="17" t="b">
        <f>IFERROR(__xludf.DUMMYFUNCTION("""COMPUTED_VALUE"""),FALSE)</f>
        <v>0</v>
      </c>
      <c r="Q9516" s="20" t="str">
        <f>IFERROR(__xludf.DUMMYFUNCTION("""COMPUTED_VALUE"""),"")</f>
        <v/>
      </c>
      <c r="R9516" s="22" t="str">
        <f>IFERROR(__xludf.DUMMYFUNCTION("""COMPUTED_VALUE"""),"")</f>
        <v/>
      </c>
    </row>
    <row r="9517">
      <c r="A9517" s="15">
        <f>IFERROR(__xludf.DUMMYFUNCTION("""COMPUTED_VALUE"""),45272.0)</f>
        <v>45272</v>
      </c>
      <c r="B9517" s="16" t="str">
        <f>IFERROR(__xludf.DUMMYFUNCTION("""COMPUTED_VALUE"""),"Envia")</f>
        <v>Envia</v>
      </c>
      <c r="C9517" s="15" t="str">
        <f>IFERROR(__xludf.DUMMYFUNCTION("""COMPUTED_VALUE"""),"BARRANQUILLA")</f>
        <v>BARRANQUILLA</v>
      </c>
      <c r="D9517" s="15" t="str">
        <f>IFERROR(__xludf.DUMMYFUNCTION("""COMPUTED_VALUE"""),"BOGOTÁ")</f>
        <v>BOGOTÁ</v>
      </c>
      <c r="E9517" s="15" t="str">
        <f>IFERROR(__xludf.DUMMYFUNCTION("""COMPUTED_VALUE"""),"INVERSIONES MOCHI")</f>
        <v>INVERSIONES MOCHI</v>
      </c>
      <c r="F9517" s="17" t="str">
        <f>IFERROR(__xludf.DUMMYFUNCTION("""COMPUTED_VALUE"""),"cra 51b #87-50 / centro comercial viva barranquilla")</f>
        <v>cra 51b #87-50 / centro comercial viva barranquilla</v>
      </c>
      <c r="G9517" s="15" t="str">
        <f>IFERROR(__xludf.DUMMYFUNCTION("""COMPUTED_VALUE"""),"centro comercial viva Barranquilla")</f>
        <v>centro comercial viva Barranquilla</v>
      </c>
      <c r="H9517" s="16">
        <f>IFERROR(__xludf.DUMMYFUNCTION("""COMPUTED_VALUE"""),18185.0)</f>
        <v>18185</v>
      </c>
      <c r="I9517" s="17"/>
      <c r="J9517" s="17"/>
      <c r="K9517" s="17"/>
      <c r="L9517" s="17">
        <f>IFERROR(__xludf.DUMMYFUNCTION("""COMPUTED_VALUE"""),3.116026252E9)</f>
        <v>3116026252</v>
      </c>
      <c r="M9517" s="17"/>
      <c r="N9517" s="17"/>
      <c r="O9517" s="17"/>
      <c r="P9517" s="17" t="b">
        <f>IFERROR(__xludf.DUMMYFUNCTION("""COMPUTED_VALUE"""),FALSE)</f>
        <v>0</v>
      </c>
      <c r="Q9517" s="20" t="str">
        <f>IFERROR(__xludf.DUMMYFUNCTION("""COMPUTED_VALUE"""),"")</f>
        <v/>
      </c>
      <c r="R9517" s="21" t="str">
        <f>IFERROR(__xludf.DUMMYFUNCTION("""COMPUTED_VALUE"""),"https://drive.google.com/file/d/16-NIkkc_ULBYlhey0FBzpPjr61L1o5Kx/view?usp=drivesdk")</f>
        <v>https://drive.google.com/file/d/16-NIkkc_ULBYlhey0FBzpPjr61L1o5Kx/view?usp=drivesdk</v>
      </c>
    </row>
    <row r="9518">
      <c r="A9518" s="15">
        <f>IFERROR(__xludf.DUMMYFUNCTION("""COMPUTED_VALUE"""),45272.0)</f>
        <v>45272</v>
      </c>
      <c r="B9518" s="16" t="str">
        <f>IFERROR(__xludf.DUMMYFUNCTION("""COMPUTED_VALUE"""),"Envia")</f>
        <v>Envia</v>
      </c>
      <c r="C9518" s="15" t="str">
        <f>IFERROR(__xludf.DUMMYFUNCTION("""COMPUTED_VALUE"""),"BUCARAMANGA")</f>
        <v>BUCARAMANGA</v>
      </c>
      <c r="D9518" s="15" t="str">
        <f>IFERROR(__xludf.DUMMYFUNCTION("""COMPUTED_VALUE"""),"BOGOTÁ")</f>
        <v>BOGOTÁ</v>
      </c>
      <c r="E9518" s="15" t="str">
        <f>IFERROR(__xludf.DUMMYFUNCTION("""COMPUTED_VALUE"""),"Olü")</f>
        <v>Olü</v>
      </c>
      <c r="F9518" s="17" t="str">
        <f>IFERROR(__xludf.DUMMYFUNCTION("""COMPUTED_VALUE"""),"Cra 50 # 72 - 19 / Casa 3 / Barrios del cacique")</f>
        <v>Cra 50 # 72 - 19 / Casa 3 / Barrios del cacique</v>
      </c>
      <c r="G9518" s="15" t="str">
        <f>IFERROR(__xludf.DUMMYFUNCTION("""COMPUTED_VALUE"""),"Guadalupe Orjuela")</f>
        <v>Guadalupe Orjuela</v>
      </c>
      <c r="H9518" s="16">
        <f>IFERROR(__xludf.DUMMYFUNCTION("""COMPUTED_VALUE"""),18152.0)</f>
        <v>18152</v>
      </c>
      <c r="I9518" s="18">
        <f>IFERROR(__xludf.DUMMYFUNCTION("""COMPUTED_VALUE"""),1.0)</f>
        <v>1</v>
      </c>
      <c r="J9518" s="18">
        <f>IFERROR(__xludf.DUMMYFUNCTION("""COMPUTED_VALUE"""),1.0)</f>
        <v>1</v>
      </c>
      <c r="K9518" s="18">
        <f>IFERROR(__xludf.DUMMYFUNCTION("""COMPUTED_VALUE"""),1.0)</f>
        <v>1</v>
      </c>
      <c r="L9518" s="17">
        <f>IFERROR(__xludf.DUMMYFUNCTION("""COMPUTED_VALUE"""),3.176676101E9)</f>
        <v>3176676101</v>
      </c>
      <c r="M9518" s="17"/>
      <c r="N9518" s="17"/>
      <c r="O9518" s="17"/>
      <c r="P9518" s="17" t="b">
        <f>IFERROR(__xludf.DUMMYFUNCTION("""COMPUTED_VALUE"""),FALSE)</f>
        <v>0</v>
      </c>
      <c r="Q9518" s="20" t="str">
        <f>IFERROR(__xludf.DUMMYFUNCTION("""COMPUTED_VALUE"""),"")</f>
        <v/>
      </c>
      <c r="R9518" s="21" t="str">
        <f>IFERROR(__xludf.DUMMYFUNCTION("""COMPUTED_VALUE"""),"https://drive.google.com/file/d/1ES3XryRZknDg4P0QbRYaThG2mzgq7XZN/view?usp=drivesdk")</f>
        <v>https://drive.google.com/file/d/1ES3XryRZknDg4P0QbRYaThG2mzgq7XZN/view?usp=drivesdk</v>
      </c>
    </row>
    <row r="9519">
      <c r="A9519" s="15">
        <f>IFERROR(__xludf.DUMMYFUNCTION("""COMPUTED_VALUE"""),45272.0)</f>
        <v>45272</v>
      </c>
      <c r="B9519" s="16" t="str">
        <f>IFERROR(__xludf.DUMMYFUNCTION("""COMPUTED_VALUE"""),"Envia")</f>
        <v>Envia</v>
      </c>
      <c r="C9519" s="15" t="str">
        <f>IFERROR(__xludf.DUMMYFUNCTION("""COMPUTED_VALUE"""),"BUCARAMANGA")</f>
        <v>BUCARAMANGA</v>
      </c>
      <c r="D9519" s="15" t="str">
        <f>IFERROR(__xludf.DUMMYFUNCTION("""COMPUTED_VALUE"""),"MEDELLÍN")</f>
        <v>MEDELLÍN</v>
      </c>
      <c r="E9519" s="15" t="str">
        <f>IFERROR(__xludf.DUMMYFUNCTION("""COMPUTED_VALUE"""),"Baby Chef")</f>
        <v>Baby Chef</v>
      </c>
      <c r="F9519" s="17" t="str">
        <f>IFERROR(__xludf.DUMMYFUNCTION("""COMPUTED_VALUE"""),"calle 71 no 53- 96 / apto 204, lagos club house lagos del cacique  / bucaramanga")</f>
        <v>calle 71 no 53- 96 / apto 204, lagos club house lagos del cacique  / bucaramanga</v>
      </c>
      <c r="G9519" s="15" t="str">
        <f>IFERROR(__xludf.DUMMYFUNCTION("""COMPUTED_VALUE"""),"Silvia Martinez")</f>
        <v>Silvia Martinez</v>
      </c>
      <c r="H9519" s="16">
        <f>IFERROR(__xludf.DUMMYFUNCTION("""COMPUTED_VALUE"""),18218.0)</f>
        <v>18218</v>
      </c>
      <c r="I9519" s="18">
        <f>IFERROR(__xludf.DUMMYFUNCTION("""COMPUTED_VALUE"""),6.0)</f>
        <v>6</v>
      </c>
      <c r="J9519" s="18">
        <f>IFERROR(__xludf.DUMMYFUNCTION("""COMPUTED_VALUE"""),21.0)</f>
        <v>21</v>
      </c>
      <c r="K9519" s="18">
        <f>IFERROR(__xludf.DUMMYFUNCTION("""COMPUTED_VALUE"""),23.0)</f>
        <v>23</v>
      </c>
      <c r="L9519" s="17">
        <f>IFERROR(__xludf.DUMMYFUNCTION("""COMPUTED_VALUE"""),3.175954971E9)</f>
        <v>3175954971</v>
      </c>
      <c r="M9519" s="17"/>
      <c r="N9519" s="17"/>
      <c r="O9519" s="17"/>
      <c r="P9519" s="17" t="b">
        <f>IFERROR(__xludf.DUMMYFUNCTION("""COMPUTED_VALUE"""),FALSE)</f>
        <v>0</v>
      </c>
      <c r="Q9519" s="20" t="str">
        <f>IFERROR(__xludf.DUMMYFUNCTION("""COMPUTED_VALUE"""),"")</f>
        <v/>
      </c>
      <c r="R9519" s="21" t="str">
        <f>IFERROR(__xludf.DUMMYFUNCTION("""COMPUTED_VALUE"""),"https://drive.google.com/file/d/1gdY3qh26E-Xof3ZuOTJAvJx1y-_Fm-OJ/view?usp=drivesdk")</f>
        <v>https://drive.google.com/file/d/1gdY3qh26E-Xof3ZuOTJAvJx1y-_Fm-OJ/view?usp=drivesdk</v>
      </c>
    </row>
    <row r="9520">
      <c r="A9520" s="15">
        <f>IFERROR(__xludf.DUMMYFUNCTION("""COMPUTED_VALUE"""),45272.0)</f>
        <v>45272</v>
      </c>
      <c r="B9520" s="16" t="str">
        <f>IFERROR(__xludf.DUMMYFUNCTION("""COMPUTED_VALUE"""),"Envia")</f>
        <v>Envia</v>
      </c>
      <c r="C9520" s="15" t="str">
        <f>IFERROR(__xludf.DUMMYFUNCTION("""COMPUTED_VALUE"""),"CALI")</f>
        <v>CALI</v>
      </c>
      <c r="D9520" s="15" t="str">
        <f>IFERROR(__xludf.DUMMYFUNCTION("""COMPUTED_VALUE"""),"BOGOTÁ")</f>
        <v>BOGOTÁ</v>
      </c>
      <c r="E9520" s="15" t="str">
        <f>IFERROR(__xludf.DUMMYFUNCTION("""COMPUTED_VALUE"""),"Instinto alimento vital")</f>
        <v>Instinto alimento vital</v>
      </c>
      <c r="F9520" s="17" t="str">
        <f>IFERROR(__xludf.DUMMYFUNCTION("""COMPUTED_VALUE"""),"CALLE 34 N # 2B N 33 / MERCANCIA REQUIERE REFRIGERACION")</f>
        <v>CALLE 34 N # 2B N 33 / MERCANCIA REQUIERE REFRIGERACION</v>
      </c>
      <c r="G9520" s="15" t="str">
        <f>IFERROR(__xludf.DUMMYFUNCTION("""COMPUTED_VALUE"""),"BODEGA VELOCITY CALI")</f>
        <v>BODEGA VELOCITY CALI</v>
      </c>
      <c r="H9520" s="16">
        <f>IFERROR(__xludf.DUMMYFUNCTION("""COMPUTED_VALUE"""),18129.0)</f>
        <v>18129</v>
      </c>
      <c r="I9520" s="17"/>
      <c r="J9520" s="17"/>
      <c r="K9520" s="17"/>
      <c r="L9520" s="17">
        <f>IFERROR(__xludf.DUMMYFUNCTION("""COMPUTED_VALUE"""),3.15586906E9)</f>
        <v>3155869060</v>
      </c>
      <c r="M9520" s="17"/>
      <c r="N9520" s="17"/>
      <c r="O9520" s="17"/>
      <c r="P9520" s="17" t="b">
        <f>IFERROR(__xludf.DUMMYFUNCTION("""COMPUTED_VALUE"""),FALSE)</f>
        <v>0</v>
      </c>
      <c r="Q9520" s="20" t="str">
        <f>IFERROR(__xludf.DUMMYFUNCTION("""COMPUTED_VALUE"""),"")</f>
        <v/>
      </c>
      <c r="R9520" s="21" t="str">
        <f>IFERROR(__xludf.DUMMYFUNCTION("""COMPUTED_VALUE"""),"https://drive.google.com/file/d/1WO5GXV-or-HNblU36SnvZ7HE8Ly8wKyG/view?usp=drivesdk")</f>
        <v>https://drive.google.com/file/d/1WO5GXV-or-HNblU36SnvZ7HE8Ly8wKyG/view?usp=drivesdk</v>
      </c>
    </row>
    <row r="9521">
      <c r="A9521" s="15">
        <f>IFERROR(__xludf.DUMMYFUNCTION("""COMPUTED_VALUE"""),45272.0)</f>
        <v>45272</v>
      </c>
      <c r="B9521" s="16" t="str">
        <f>IFERROR(__xludf.DUMMYFUNCTION("""COMPUTED_VALUE"""),"Envia")</f>
        <v>Envia</v>
      </c>
      <c r="C9521" s="15" t="str">
        <f>IFERROR(__xludf.DUMMYFUNCTION("""COMPUTED_VALUE"""),"CALI")</f>
        <v>CALI</v>
      </c>
      <c r="D9521" s="15" t="str">
        <f>IFERROR(__xludf.DUMMYFUNCTION("""COMPUTED_VALUE"""),"BOGOTÁ")</f>
        <v>BOGOTÁ</v>
      </c>
      <c r="E9521" s="15" t="str">
        <f>IFERROR(__xludf.DUMMYFUNCTION("""COMPUTED_VALUE"""),"Lykke")</f>
        <v>Lykke</v>
      </c>
      <c r="F9521" s="17" t="str">
        <f>IFERROR(__xludf.DUMMYFUNCTION("""COMPUTED_VALUE"""),"Avenida 2 norte # 7 - 25 / 760045 Cali, Colombia / HOTEL NH BOULEVARD DEL RIO")</f>
        <v>Avenida 2 norte # 7 - 25 / 760045 Cali, Colombia / HOTEL NH BOULEVARD DEL RIO</v>
      </c>
      <c r="G9521" s="15" t="str">
        <f>IFERROR(__xludf.DUMMYFUNCTION("""COMPUTED_VALUE"""),"HOTEL NH BOULEVARD DEL RIO")</f>
        <v>HOTEL NH BOULEVARD DEL RIO</v>
      </c>
      <c r="H9521" s="16">
        <f>IFERROR(__xludf.DUMMYFUNCTION("""COMPUTED_VALUE"""),18146.0)</f>
        <v>18146</v>
      </c>
      <c r="I9521" s="17"/>
      <c r="J9521" s="17"/>
      <c r="K9521" s="17"/>
      <c r="L9521" s="17"/>
      <c r="M9521" s="17"/>
      <c r="N9521" s="17"/>
      <c r="O9521" s="17"/>
      <c r="P9521" s="17" t="b">
        <f>IFERROR(__xludf.DUMMYFUNCTION("""COMPUTED_VALUE"""),FALSE)</f>
        <v>0</v>
      </c>
      <c r="Q9521" s="20" t="str">
        <f>IFERROR(__xludf.DUMMYFUNCTION("""COMPUTED_VALUE"""),"")</f>
        <v/>
      </c>
      <c r="R9521" s="21" t="str">
        <f>IFERROR(__xludf.DUMMYFUNCTION("""COMPUTED_VALUE"""),"https://drive.google.com/file/d/1bqpO_uMMgbzWf3wnwwPQuGPwxfGzuP5F/view?usp=drivesdk")</f>
        <v>https://drive.google.com/file/d/1bqpO_uMMgbzWf3wnwwPQuGPwxfGzuP5F/view?usp=drivesdk</v>
      </c>
    </row>
    <row r="9522">
      <c r="A9522" s="15">
        <f>IFERROR(__xludf.DUMMYFUNCTION("""COMPUTED_VALUE"""),45272.0)</f>
        <v>45272</v>
      </c>
      <c r="B9522" s="16" t="str">
        <f>IFERROR(__xludf.DUMMYFUNCTION("""COMPUTED_VALUE"""),"Envia")</f>
        <v>Envia</v>
      </c>
      <c r="C9522" s="15" t="str">
        <f>IFERROR(__xludf.DUMMYFUNCTION("""COMPUTED_VALUE"""),"ENVIGADO")</f>
        <v>ENVIGADO</v>
      </c>
      <c r="D9522" s="15" t="str">
        <f>IFERROR(__xludf.DUMMYFUNCTION("""COMPUTED_VALUE"""),"BOGOTÁ")</f>
        <v>BOGOTÁ</v>
      </c>
      <c r="E9522" s="15" t="str">
        <f>IFERROR(__xludf.DUMMYFUNCTION("""COMPUTED_VALUE"""),"Cakelab")</f>
        <v>Cakelab</v>
      </c>
      <c r="F9522" s="17" t="str">
        <f>IFERROR(__xludf.DUMMYFUNCTION("""COMPUTED_VALUE"""),"calle 20 B sur #2A 385. / Es una casa finca. tocar timbre de la puerta. primera casa a mano derecha")</f>
        <v>calle 20 B sur #2A 385. / Es una casa finca. tocar timbre de la puerta. primera casa a mano derecha</v>
      </c>
      <c r="G9522" s="15" t="str">
        <f>IFERROR(__xludf.DUMMYFUNCTION("""COMPUTED_VALUE"""),"CASA")</f>
        <v>CASA</v>
      </c>
      <c r="H9522" s="16">
        <f>IFERROR(__xludf.DUMMYFUNCTION("""COMPUTED_VALUE"""),18172.0)</f>
        <v>18172</v>
      </c>
      <c r="I9522" s="17"/>
      <c r="J9522" s="17"/>
      <c r="K9522" s="17"/>
      <c r="L9522" s="17">
        <f>IFERROR(__xludf.DUMMYFUNCTION("""COMPUTED_VALUE"""),3.155181477E9)</f>
        <v>3155181477</v>
      </c>
      <c r="M9522" s="17"/>
      <c r="N9522" s="17"/>
      <c r="O9522" s="17"/>
      <c r="P9522" s="17" t="b">
        <f>IFERROR(__xludf.DUMMYFUNCTION("""COMPUTED_VALUE"""),FALSE)</f>
        <v>0</v>
      </c>
      <c r="Q9522" s="20" t="str">
        <f>IFERROR(__xludf.DUMMYFUNCTION("""COMPUTED_VALUE"""),"")</f>
        <v/>
      </c>
      <c r="R9522" s="22" t="str">
        <f>IFERROR(__xludf.DUMMYFUNCTION("""COMPUTED_VALUE"""),"")</f>
        <v/>
      </c>
    </row>
    <row r="9523">
      <c r="A9523" s="15">
        <f>IFERROR(__xludf.DUMMYFUNCTION("""COMPUTED_VALUE"""),45272.0)</f>
        <v>45272</v>
      </c>
      <c r="B9523" s="16" t="str">
        <f>IFERROR(__xludf.DUMMYFUNCTION("""COMPUTED_VALUE"""),"Envia")</f>
        <v>Envia</v>
      </c>
      <c r="C9523" s="15" t="str">
        <f>IFERROR(__xludf.DUMMYFUNCTION("""COMPUTED_VALUE"""),"FLORIDABLANCA")</f>
        <v>FLORIDABLANCA</v>
      </c>
      <c r="D9523" s="15" t="str">
        <f>IFERROR(__xludf.DUMMYFUNCTION("""COMPUTED_VALUE"""),"BOGOTÁ")</f>
        <v>BOGOTÁ</v>
      </c>
      <c r="E9523" s="15" t="str">
        <f>IFERROR(__xludf.DUMMYFUNCTION("""COMPUTED_VALUE"""),"Asociacion Agropecuaria Juana Maria")</f>
        <v>Asociacion Agropecuaria Juana Maria</v>
      </c>
      <c r="F9523" s="17" t="str">
        <f>IFERROR(__xludf.DUMMYFUNCTION("""COMPUTED_VALUE"""),"Calle 19 #11-37 / Guanatá FLORIDABLANCA")</f>
        <v>Calle 19 #11-37 / Guanatá FLORIDABLANCA</v>
      </c>
      <c r="G9523" s="15" t="str">
        <f>IFERROR(__xludf.DUMMYFUNCTION("""COMPUTED_VALUE"""),"Claudia Gonzalez")</f>
        <v>Claudia Gonzalez</v>
      </c>
      <c r="H9523" s="16">
        <f>IFERROR(__xludf.DUMMYFUNCTION("""COMPUTED_VALUE"""),18135.0)</f>
        <v>18135</v>
      </c>
      <c r="I9523" s="17"/>
      <c r="J9523" s="17"/>
      <c r="K9523" s="17"/>
      <c r="L9523" s="17">
        <f>IFERROR(__xludf.DUMMYFUNCTION("""COMPUTED_VALUE"""),3.002802001E9)</f>
        <v>3002802001</v>
      </c>
      <c r="M9523" s="17"/>
      <c r="N9523" s="17"/>
      <c r="O9523" s="17"/>
      <c r="P9523" s="17" t="b">
        <f>IFERROR(__xludf.DUMMYFUNCTION("""COMPUTED_VALUE"""),FALSE)</f>
        <v>0</v>
      </c>
      <c r="Q9523" s="20" t="str">
        <f>IFERROR(__xludf.DUMMYFUNCTION("""COMPUTED_VALUE"""),"")</f>
        <v/>
      </c>
      <c r="R9523" s="21" t="str">
        <f>IFERROR(__xludf.DUMMYFUNCTION("""COMPUTED_VALUE"""),"https://drive.google.com/file/d/1ogRXwXMYHJkp2vc7N0R0ZWVbBvXW2_5I/view?usp=drivesdk")</f>
        <v>https://drive.google.com/file/d/1ogRXwXMYHJkp2vc7N0R0ZWVbBvXW2_5I/view?usp=drivesdk</v>
      </c>
    </row>
    <row r="9524">
      <c r="A9524" s="15">
        <f>IFERROR(__xludf.DUMMYFUNCTION("""COMPUTED_VALUE"""),45272.0)</f>
        <v>45272</v>
      </c>
      <c r="B9524" s="16" t="str">
        <f>IFERROR(__xludf.DUMMYFUNCTION("""COMPUTED_VALUE"""),"Envia")</f>
        <v>Envia</v>
      </c>
      <c r="C9524" s="15" t="str">
        <f>IFERROR(__xludf.DUMMYFUNCTION("""COMPUTED_VALUE"""),"IBAGUÉ")</f>
        <v>IBAGUÉ</v>
      </c>
      <c r="D9524" s="15" t="str">
        <f>IFERROR(__xludf.DUMMYFUNCTION("""COMPUTED_VALUE"""),"BOGOTÁ")</f>
        <v>BOGOTÁ</v>
      </c>
      <c r="E9524" s="15" t="str">
        <f>IFERROR(__xludf.DUMMYFUNCTION("""COMPUTED_VALUE"""),"Premium Choice")</f>
        <v>Premium Choice</v>
      </c>
      <c r="F9524" s="17" t="str">
        <f>IFERROR(__xludf.DUMMYFUNCTION("""COMPUTED_VALUE"""),"Carrera 1 # 45 - 50 / Hotel estelar  / Ibague")</f>
        <v>Carrera 1 # 45 - 50 / Hotel estelar  / Ibague</v>
      </c>
      <c r="G9524" s="15" t="str">
        <f>IFERROR(__xludf.DUMMYFUNCTION("""COMPUTED_VALUE"""),"Hoteles estelar Ibague")</f>
        <v>Hoteles estelar Ibague</v>
      </c>
      <c r="H9524" s="16">
        <f>IFERROR(__xludf.DUMMYFUNCTION("""COMPUTED_VALUE"""),18150.0)</f>
        <v>18150</v>
      </c>
      <c r="I9524" s="18">
        <f>IFERROR(__xludf.DUMMYFUNCTION("""COMPUTED_VALUE"""),12.0)</f>
        <v>12</v>
      </c>
      <c r="J9524" s="18">
        <f>IFERROR(__xludf.DUMMYFUNCTION("""COMPUTED_VALUE"""),50.0)</f>
        <v>50</v>
      </c>
      <c r="K9524" s="18">
        <f>IFERROR(__xludf.DUMMYFUNCTION("""COMPUTED_VALUE"""),31.0)</f>
        <v>31</v>
      </c>
      <c r="L9524" s="17">
        <f>IFERROR(__xludf.DUMMYFUNCTION("""COMPUTED_VALUE"""),3.102170999E9)</f>
        <v>3102170999</v>
      </c>
      <c r="M9524" s="17"/>
      <c r="N9524" s="17"/>
      <c r="O9524" s="17"/>
      <c r="P9524" s="17" t="b">
        <f>IFERROR(__xludf.DUMMYFUNCTION("""COMPUTED_VALUE"""),FALSE)</f>
        <v>0</v>
      </c>
      <c r="Q9524" s="20" t="str">
        <f>IFERROR(__xludf.DUMMYFUNCTION("""COMPUTED_VALUE"""),"")</f>
        <v/>
      </c>
      <c r="R9524" s="21" t="str">
        <f>IFERROR(__xludf.DUMMYFUNCTION("""COMPUTED_VALUE"""),"https://drive.google.com/file/d/1dmzXN9Jjnsn1qJdVMWTlsC1R0BUS0H-5/view?usp=drivesdk")</f>
        <v>https://drive.google.com/file/d/1dmzXN9Jjnsn1qJdVMWTlsC1R0BUS0H-5/view?usp=drivesdk</v>
      </c>
    </row>
    <row r="9525">
      <c r="A9525" s="15">
        <f>IFERROR(__xludf.DUMMYFUNCTION("""COMPUTED_VALUE"""),45272.0)</f>
        <v>45272</v>
      </c>
      <c r="B9525" s="16" t="str">
        <f>IFERROR(__xludf.DUMMYFUNCTION("""COMPUTED_VALUE"""),"Envia")</f>
        <v>Envia</v>
      </c>
      <c r="C9525" s="15" t="str">
        <f>IFERROR(__xludf.DUMMYFUNCTION("""COMPUTED_VALUE"""),"LA DORADA")</f>
        <v>LA DORADA</v>
      </c>
      <c r="D9525" s="15" t="str">
        <f>IFERROR(__xludf.DUMMYFUNCTION("""COMPUTED_VALUE"""),"BOGOTÁ")</f>
        <v>BOGOTÁ</v>
      </c>
      <c r="E9525" s="15" t="str">
        <f>IFERROR(__xludf.DUMMYFUNCTION("""COMPUTED_VALUE"""),"LINA PAOLA RAMIREZ GOMEZ - EVA MAZZITA")</f>
        <v>LINA PAOLA RAMIREZ GOMEZ - EVA MAZZITA</v>
      </c>
      <c r="F9525" s="17" t="str">
        <f>IFERROR(__xludf.DUMMYFUNCTION("""COMPUTED_VALUE"""),"CALLE 10 # 4 - 56 / CALLE 10 # 4 - 56")</f>
        <v>CALLE 10 # 4 - 56 / CALLE 10 # 4 - 56</v>
      </c>
      <c r="G9525" s="15" t="str">
        <f>IFERROR(__xludf.DUMMYFUNCTION("""COMPUTED_VALUE"""),"LUZ VIANEY MONTOYA GOMEZ")</f>
        <v>LUZ VIANEY MONTOYA GOMEZ</v>
      </c>
      <c r="H9525" s="16">
        <f>IFERROR(__xludf.DUMMYFUNCTION("""COMPUTED_VALUE"""),18186.0)</f>
        <v>18186</v>
      </c>
      <c r="I9525" s="17"/>
      <c r="J9525" s="17"/>
      <c r="K9525" s="17"/>
      <c r="L9525" s="17">
        <f>IFERROR(__xludf.DUMMYFUNCTION("""COMPUTED_VALUE"""),3.127756092E9)</f>
        <v>3127756092</v>
      </c>
      <c r="M9525" s="17"/>
      <c r="N9525" s="17"/>
      <c r="O9525" s="17"/>
      <c r="P9525" s="17" t="b">
        <f>IFERROR(__xludf.DUMMYFUNCTION("""COMPUTED_VALUE"""),FALSE)</f>
        <v>0</v>
      </c>
      <c r="Q9525" s="20" t="str">
        <f>IFERROR(__xludf.DUMMYFUNCTION("""COMPUTED_VALUE"""),"")</f>
        <v/>
      </c>
      <c r="R9525" s="21" t="str">
        <f>IFERROR(__xludf.DUMMYFUNCTION("""COMPUTED_VALUE"""),"https://drive.google.com/file/d/1CB4iYf47xp8Hod3LaWxywFmraFjdUt9l/view?usp=drivesdk")</f>
        <v>https://drive.google.com/file/d/1CB4iYf47xp8Hod3LaWxywFmraFjdUt9l/view?usp=drivesdk</v>
      </c>
    </row>
    <row r="9526">
      <c r="A9526" s="15">
        <f>IFERROR(__xludf.DUMMYFUNCTION("""COMPUTED_VALUE"""),45272.0)</f>
        <v>45272</v>
      </c>
      <c r="B9526" s="16" t="str">
        <f>IFERROR(__xludf.DUMMYFUNCTION("""COMPUTED_VALUE"""),"Envia")</f>
        <v>Envia</v>
      </c>
      <c r="C9526" s="15" t="str">
        <f>IFERROR(__xludf.DUMMYFUNCTION("""COMPUTED_VALUE"""),"MANIZALES")</f>
        <v>MANIZALES</v>
      </c>
      <c r="D9526" s="15" t="str">
        <f>IFERROR(__xludf.DUMMYFUNCTION("""COMPUTED_VALUE"""),"BOGOTÁ")</f>
        <v>BOGOTÁ</v>
      </c>
      <c r="E9526" s="15" t="str">
        <f>IFERROR(__xludf.DUMMYFUNCTION("""COMPUTED_VALUE"""),"LINA PAOLA RAMIREZ GOMEZ - EVA MAZZITA")</f>
        <v>LINA PAOLA RAMIREZ GOMEZ - EVA MAZZITA</v>
      </c>
      <c r="F9526" s="17" t="str">
        <f>IFERROR(__xludf.DUMMYFUNCTION("""COMPUTED_VALUE"""),"calle 43 # 5 - 110 / Paisajes del cerro, Torre A apto 1304 Palo negro")</f>
        <v>calle 43 # 5 - 110 / Paisajes del cerro, Torre A apto 1304 Palo negro</v>
      </c>
      <c r="G9526" s="15" t="str">
        <f>IFERROR(__xludf.DUMMYFUNCTION("""COMPUTED_VALUE"""),"JULIANA RAMIREZ")</f>
        <v>JULIANA RAMIREZ</v>
      </c>
      <c r="H9526" s="16">
        <f>IFERROR(__xludf.DUMMYFUNCTION("""COMPUTED_VALUE"""),18182.0)</f>
        <v>18182</v>
      </c>
      <c r="I9526" s="17"/>
      <c r="J9526" s="17"/>
      <c r="K9526" s="17"/>
      <c r="L9526" s="17">
        <f>IFERROR(__xludf.DUMMYFUNCTION("""COMPUTED_VALUE"""),3.135633532E9)</f>
        <v>3135633532</v>
      </c>
      <c r="M9526" s="17"/>
      <c r="N9526" s="17"/>
      <c r="O9526" s="17"/>
      <c r="P9526" s="17" t="b">
        <f>IFERROR(__xludf.DUMMYFUNCTION("""COMPUTED_VALUE"""),TRUE)</f>
        <v>1</v>
      </c>
      <c r="Q9526" s="20">
        <f>IFERROR(__xludf.DUMMYFUNCTION("""COMPUTED_VALUE"""),45272.72204789352)</f>
        <v>45272.72205</v>
      </c>
      <c r="R9526" s="21" t="str">
        <f>IFERROR(__xludf.DUMMYFUNCTION("""COMPUTED_VALUE"""),"https://drive.google.com/file/d/14CLV-8gSDF1i1ggDeRWEnee7zuWM-pVZ/view?usp=drivesdk")</f>
        <v>https://drive.google.com/file/d/14CLV-8gSDF1i1ggDeRWEnee7zuWM-pVZ/view?usp=drivesdk</v>
      </c>
    </row>
    <row r="9527">
      <c r="A9527" s="15">
        <f>IFERROR(__xludf.DUMMYFUNCTION("""COMPUTED_VALUE"""),45272.0)</f>
        <v>45272</v>
      </c>
      <c r="B9527" s="16" t="str">
        <f>IFERROR(__xludf.DUMMYFUNCTION("""COMPUTED_VALUE"""),"Envia")</f>
        <v>Envia</v>
      </c>
      <c r="C9527" s="15" t="str">
        <f>IFERROR(__xludf.DUMMYFUNCTION("""COMPUTED_VALUE"""),"MANIZALES")</f>
        <v>MANIZALES</v>
      </c>
      <c r="D9527" s="15" t="str">
        <f>IFERROR(__xludf.DUMMYFUNCTION("""COMPUTED_VALUE"""),"ENVIGADO")</f>
        <v>ENVIGADO</v>
      </c>
      <c r="E9527" s="15" t="str">
        <f>IFERROR(__xludf.DUMMYFUNCTION("""COMPUTED_VALUE"""),"RAMBLA")</f>
        <v>RAMBLA</v>
      </c>
      <c r="F9527" s="17" t="str">
        <f>IFERROR(__xludf.DUMMYFUNCTION("""COMPUTED_VALUE"""),"Calle 66 a 26 a 51 / En el parqueadero del supermercado el ahorro vienssano")</f>
        <v>Calle 66 a 26 a 51 / En el parqueadero del supermercado el ahorro vienssano</v>
      </c>
      <c r="G9527" s="15" t="str">
        <f>IFERROR(__xludf.DUMMYFUNCTION("""COMPUTED_VALUE"""),"Vienssano")</f>
        <v>Vienssano</v>
      </c>
      <c r="H9527" s="16">
        <f>IFERROR(__xludf.DUMMYFUNCTION("""COMPUTED_VALUE"""),18169.0)</f>
        <v>18169</v>
      </c>
      <c r="I9527" s="17"/>
      <c r="J9527" s="17"/>
      <c r="K9527" s="17"/>
      <c r="L9527" s="17">
        <f>IFERROR(__xludf.DUMMYFUNCTION("""COMPUTED_VALUE"""),3.136077653E9)</f>
        <v>3136077653</v>
      </c>
      <c r="M9527" s="17"/>
      <c r="N9527" s="17"/>
      <c r="O9527" s="17"/>
      <c r="P9527" s="17" t="b">
        <f>IFERROR(__xludf.DUMMYFUNCTION("""COMPUTED_VALUE"""),TRUE)</f>
        <v>1</v>
      </c>
      <c r="Q9527" s="20">
        <f>IFERROR(__xludf.DUMMYFUNCTION("""COMPUTED_VALUE"""),45272.72204790509)</f>
        <v>45272.72205</v>
      </c>
      <c r="R9527" s="21" t="str">
        <f>IFERROR(__xludf.DUMMYFUNCTION("""COMPUTED_VALUE"""),"https://drive.google.com/file/d/1HTI6t-WJRPDil5pVpRUOwkPYbPVT_bMd/view?usp=drivesdk")</f>
        <v>https://drive.google.com/file/d/1HTI6t-WJRPDil5pVpRUOwkPYbPVT_bMd/view?usp=drivesdk</v>
      </c>
    </row>
    <row r="9528">
      <c r="A9528" s="15">
        <f>IFERROR(__xludf.DUMMYFUNCTION("""COMPUTED_VALUE"""),45272.0)</f>
        <v>45272</v>
      </c>
      <c r="B9528" s="16" t="str">
        <f>IFERROR(__xludf.DUMMYFUNCTION("""COMPUTED_VALUE"""),"Envia")</f>
        <v>Envia</v>
      </c>
      <c r="C9528" s="15" t="str">
        <f>IFERROR(__xludf.DUMMYFUNCTION("""COMPUTED_VALUE"""),"MEDELLÍN")</f>
        <v>MEDELLÍN</v>
      </c>
      <c r="D9528" s="15" t="str">
        <f>IFERROR(__xludf.DUMMYFUNCTION("""COMPUTED_VALUE"""),"BOGOTÁ")</f>
        <v>BOGOTÁ</v>
      </c>
      <c r="E9528" s="15" t="str">
        <f>IFERROR(__xludf.DUMMYFUNCTION("""COMPUTED_VALUE"""),"Hiiva Fermentados SAS")</f>
        <v>Hiiva Fermentados SAS</v>
      </c>
      <c r="F9528" s="17" t="str">
        <f>IFERROR(__xludf.DUMMYFUNCTION("""COMPUTED_VALUE"""),"Calle 98 #50b-19 primer piso / Preguntar por Doña Fabiola")</f>
        <v>Calle 98 #50b-19 primer piso / Preguntar por Doña Fabiola</v>
      </c>
      <c r="G9528" s="15" t="str">
        <f>IFERROR(__xludf.DUMMYFUNCTION("""COMPUTED_VALUE"""),"Bayron")</f>
        <v>Bayron</v>
      </c>
      <c r="H9528" s="16">
        <f>IFERROR(__xludf.DUMMYFUNCTION("""COMPUTED_VALUE"""),18143.0)</f>
        <v>18143</v>
      </c>
      <c r="I9528" s="17"/>
      <c r="J9528" s="17"/>
      <c r="K9528" s="17"/>
      <c r="L9528" s="17">
        <f>IFERROR(__xludf.DUMMYFUNCTION("""COMPUTED_VALUE"""),3.166261966E9)</f>
        <v>3166261966</v>
      </c>
      <c r="M9528" s="17"/>
      <c r="N9528" s="17"/>
      <c r="O9528" s="17"/>
      <c r="P9528" s="17" t="b">
        <f>IFERROR(__xludf.DUMMYFUNCTION("""COMPUTED_VALUE"""),TRUE)</f>
        <v>1</v>
      </c>
      <c r="Q9528" s="20">
        <f>IFERROR(__xludf.DUMMYFUNCTION("""COMPUTED_VALUE"""),45272.72204790509)</f>
        <v>45272.72205</v>
      </c>
      <c r="R9528" s="21" t="str">
        <f>IFERROR(__xludf.DUMMYFUNCTION("""COMPUTED_VALUE"""),"https://drive.google.com/file/d/1JP2AM43T5Z_Y0Wfs4aUNDPAnwAGmK5vt/view?usp=drivesdk")</f>
        <v>https://drive.google.com/file/d/1JP2AM43T5Z_Y0Wfs4aUNDPAnwAGmK5vt/view?usp=drivesdk</v>
      </c>
    </row>
    <row r="9529">
      <c r="A9529" s="15">
        <f>IFERROR(__xludf.DUMMYFUNCTION("""COMPUTED_VALUE"""),45272.0)</f>
        <v>45272</v>
      </c>
      <c r="B9529" s="16" t="str">
        <f>IFERROR(__xludf.DUMMYFUNCTION("""COMPUTED_VALUE"""),"Envia")</f>
        <v>Envia</v>
      </c>
      <c r="C9529" s="15" t="str">
        <f>IFERROR(__xludf.DUMMYFUNCTION("""COMPUTED_VALUE"""),"MEDELLÍN")</f>
        <v>MEDELLÍN</v>
      </c>
      <c r="D9529" s="15" t="str">
        <f>IFERROR(__xludf.DUMMYFUNCTION("""COMPUTED_VALUE"""),"BOGOTÁ")</f>
        <v>BOGOTÁ</v>
      </c>
      <c r="E9529" s="15" t="str">
        <f>IFERROR(__xludf.DUMMYFUNCTION("""COMPUTED_VALUE"""),"Karem foods")</f>
        <v>Karem foods</v>
      </c>
      <c r="F9529" s="17" t="str">
        <f>IFERROR(__xludf.DUMMYFUNCTION("""COMPUTED_VALUE"""),"Diagonal 47A, sobre la, Av. Las Vegas #16a Sur-04 /  Av. Las Vegas, Sector, Aguacatala / -")</f>
        <v>Diagonal 47A, sobre la, Av. Las Vegas #16a Sur-04 /  Av. Las Vegas, Sector, Aguacatala / -</v>
      </c>
      <c r="G9529" s="15" t="str">
        <f>IFERROR(__xludf.DUMMYFUNCTION("""COMPUTED_VALUE"""),"LIBERTINA panaderia")</f>
        <v>LIBERTINA panaderia</v>
      </c>
      <c r="H9529" s="16">
        <f>IFERROR(__xludf.DUMMYFUNCTION("""COMPUTED_VALUE"""),18204.0)</f>
        <v>18204</v>
      </c>
      <c r="I9529" s="18">
        <f>IFERROR(__xludf.DUMMYFUNCTION("""COMPUTED_VALUE"""),25.0)</f>
        <v>25</v>
      </c>
      <c r="J9529" s="18">
        <f>IFERROR(__xludf.DUMMYFUNCTION("""COMPUTED_VALUE"""),20.0)</f>
        <v>20</v>
      </c>
      <c r="K9529" s="18">
        <f>IFERROR(__xludf.DUMMYFUNCTION("""COMPUTED_VALUE"""),20.0)</f>
        <v>20</v>
      </c>
      <c r="L9529" s="17">
        <f>IFERROR(__xludf.DUMMYFUNCTION("""COMPUTED_VALUE"""),3.1174961E9)</f>
        <v>3117496100</v>
      </c>
      <c r="M9529" s="17"/>
      <c r="N9529" s="17"/>
      <c r="O9529" s="17"/>
      <c r="P9529" s="17" t="b">
        <f>IFERROR(__xludf.DUMMYFUNCTION("""COMPUTED_VALUE"""),FALSE)</f>
        <v>0</v>
      </c>
      <c r="Q9529" s="20" t="str">
        <f>IFERROR(__xludf.DUMMYFUNCTION("""COMPUTED_VALUE"""),"")</f>
        <v/>
      </c>
      <c r="R9529" s="21" t="str">
        <f>IFERROR(__xludf.DUMMYFUNCTION("""COMPUTED_VALUE"""),"https://drive.google.com/file/d/1KrQ3lrpKAG55Q3UBfg9s9CI5CkOsmnk2/view?usp=drivesdk")</f>
        <v>https://drive.google.com/file/d/1KrQ3lrpKAG55Q3UBfg9s9CI5CkOsmnk2/view?usp=drivesdk</v>
      </c>
    </row>
    <row r="9530">
      <c r="A9530" s="15">
        <f>IFERROR(__xludf.DUMMYFUNCTION("""COMPUTED_VALUE"""),45272.0)</f>
        <v>45272</v>
      </c>
      <c r="B9530" s="16" t="str">
        <f>IFERROR(__xludf.DUMMYFUNCTION("""COMPUTED_VALUE"""),"Envia")</f>
        <v>Envia</v>
      </c>
      <c r="C9530" s="15" t="str">
        <f>IFERROR(__xludf.DUMMYFUNCTION("""COMPUTED_VALUE"""),"MEDELLÍN")</f>
        <v>MEDELLÍN</v>
      </c>
      <c r="D9530" s="15" t="str">
        <f>IFERROR(__xludf.DUMMYFUNCTION("""COMPUTED_VALUE"""),"BOGOTÁ")</f>
        <v>BOGOTÁ</v>
      </c>
      <c r="E9530" s="15" t="str">
        <f>IFERROR(__xludf.DUMMYFUNCTION("""COMPUTED_VALUE"""),"LINA PAOLA RAMIREZ GOMEZ - EVA MAZZITA")</f>
        <v>LINA PAOLA RAMIREZ GOMEZ - EVA MAZZITA</v>
      </c>
      <c r="F9530" s="17" t="str">
        <f>IFERROR(__xludf.DUMMYFUNCTION("""COMPUTED_VALUE"""),"Crr 20 n 12 sur 424 / DuVille 805 Poblado")</f>
        <v>Crr 20 n 12 sur 424 / DuVille 805 Poblado</v>
      </c>
      <c r="G9530" s="15" t="str">
        <f>IFERROR(__xludf.DUMMYFUNCTION("""COMPUTED_VALUE"""),"MANUELA MONSALVE")</f>
        <v>MANUELA MONSALVE</v>
      </c>
      <c r="H9530" s="16">
        <f>IFERROR(__xludf.DUMMYFUNCTION("""COMPUTED_VALUE"""),18177.0)</f>
        <v>18177</v>
      </c>
      <c r="I9530" s="17"/>
      <c r="J9530" s="17"/>
      <c r="K9530" s="17"/>
      <c r="L9530" s="17">
        <f>IFERROR(__xludf.DUMMYFUNCTION("""COMPUTED_VALUE"""),3.18649839E9)</f>
        <v>3186498390</v>
      </c>
      <c r="M9530" s="17"/>
      <c r="N9530" s="17"/>
      <c r="O9530" s="17"/>
      <c r="P9530" s="17" t="b">
        <f>IFERROR(__xludf.DUMMYFUNCTION("""COMPUTED_VALUE"""),FALSE)</f>
        <v>0</v>
      </c>
      <c r="Q9530" s="20" t="str">
        <f>IFERROR(__xludf.DUMMYFUNCTION("""COMPUTED_VALUE"""),"")</f>
        <v/>
      </c>
      <c r="R9530" s="21" t="str">
        <f>IFERROR(__xludf.DUMMYFUNCTION("""COMPUTED_VALUE"""),"https://drive.google.com/file/d/1iWdmPQjUyGl4QZYhIehSlazHH3-_F06v/view?usp=drivesdk")</f>
        <v>https://drive.google.com/file/d/1iWdmPQjUyGl4QZYhIehSlazHH3-_F06v/view?usp=drivesdk</v>
      </c>
    </row>
    <row r="9531">
      <c r="A9531" s="15">
        <f>IFERROR(__xludf.DUMMYFUNCTION("""COMPUTED_VALUE"""),45272.0)</f>
        <v>45272</v>
      </c>
      <c r="B9531" s="16" t="str">
        <f>IFERROR(__xludf.DUMMYFUNCTION("""COMPUTED_VALUE"""),"Envia")</f>
        <v>Envia</v>
      </c>
      <c r="C9531" s="15" t="str">
        <f>IFERROR(__xludf.DUMMYFUNCTION("""COMPUTED_VALUE"""),"MEDELLÍN")</f>
        <v>MEDELLÍN</v>
      </c>
      <c r="D9531" s="15" t="str">
        <f>IFERROR(__xludf.DUMMYFUNCTION("""COMPUTED_VALUE"""),"BOGOTÁ")</f>
        <v>BOGOTÁ</v>
      </c>
      <c r="E9531" s="15" t="str">
        <f>IFERROR(__xludf.DUMMYFUNCTION("""COMPUTED_VALUE"""),"Top Spun")</f>
        <v>Top Spun</v>
      </c>
      <c r="F9531" s="17" t="str">
        <f>IFERROR(__xludf.DUMMYFUNCTION("""COMPUTED_VALUE"""),"Carrera 52 C # 75-73 casa 2 piso / Itagui / Antioquia")</f>
        <v>Carrera 52 C # 75-73 casa 2 piso / Itagui / Antioquia</v>
      </c>
      <c r="G9531" s="15" t="str">
        <f>IFERROR(__xludf.DUMMYFUNCTION("""COMPUTED_VALUE"""),"Melissa Romero Vicioso")</f>
        <v>Melissa Romero Vicioso</v>
      </c>
      <c r="H9531" s="16">
        <f>IFERROR(__xludf.DUMMYFUNCTION("""COMPUTED_VALUE"""),18111.0)</f>
        <v>18111</v>
      </c>
      <c r="I9531" s="18">
        <f>IFERROR(__xludf.DUMMYFUNCTION("""COMPUTED_VALUE"""),20.0)</f>
        <v>20</v>
      </c>
      <c r="J9531" s="18">
        <f>IFERROR(__xludf.DUMMYFUNCTION("""COMPUTED_VALUE"""),10.0)</f>
        <v>10</v>
      </c>
      <c r="K9531" s="18">
        <f>IFERROR(__xludf.DUMMYFUNCTION("""COMPUTED_VALUE"""),40.0)</f>
        <v>40</v>
      </c>
      <c r="L9531" s="17">
        <f>IFERROR(__xludf.DUMMYFUNCTION("""COMPUTED_VALUE"""),3.148608827E9)</f>
        <v>3148608827</v>
      </c>
      <c r="M9531" s="17"/>
      <c r="N9531" s="17"/>
      <c r="O9531" s="17"/>
      <c r="P9531" s="17" t="b">
        <f>IFERROR(__xludf.DUMMYFUNCTION("""COMPUTED_VALUE"""),FALSE)</f>
        <v>0</v>
      </c>
      <c r="Q9531" s="20" t="str">
        <f>IFERROR(__xludf.DUMMYFUNCTION("""COMPUTED_VALUE"""),"")</f>
        <v/>
      </c>
      <c r="R9531" s="21" t="str">
        <f>IFERROR(__xludf.DUMMYFUNCTION("""COMPUTED_VALUE"""),"https://drive.google.com/file/d/1Om11Y-IEyPM0lkCGGrrsAcI7lffKt9Pu/view?usp=drivesdk")</f>
        <v>https://drive.google.com/file/d/1Om11Y-IEyPM0lkCGGrrsAcI7lffKt9Pu/view?usp=drivesdk</v>
      </c>
    </row>
    <row r="9532">
      <c r="A9532" s="15">
        <f>IFERROR(__xludf.DUMMYFUNCTION("""COMPUTED_VALUE"""),45272.0)</f>
        <v>45272</v>
      </c>
      <c r="B9532" s="16" t="str">
        <f>IFERROR(__xludf.DUMMYFUNCTION("""COMPUTED_VALUE"""),"Envia")</f>
        <v>Envia</v>
      </c>
      <c r="C9532" s="15" t="str">
        <f>IFERROR(__xludf.DUMMYFUNCTION("""COMPUTED_VALUE"""),"VILLAMARÍA")</f>
        <v>VILLAMARÍA</v>
      </c>
      <c r="D9532" s="15" t="str">
        <f>IFERROR(__xludf.DUMMYFUNCTION("""COMPUTED_VALUE"""),"BOGOTÁ")</f>
        <v>BOGOTÁ</v>
      </c>
      <c r="E9532" s="15" t="str">
        <f>IFERROR(__xludf.DUMMYFUNCTION("""COMPUTED_VALUE"""),"LINA PAOLA RAMIREZ GOMEZ - EVA MAZZITA")</f>
        <v>LINA PAOLA RAMIREZ GOMEZ - EVA MAZZITA</v>
      </c>
      <c r="F9532" s="17" t="str">
        <f>IFERROR(__xludf.DUMMYFUNCTION("""COMPUTED_VALUE"""),"CRA 9 CALLE 16 - 9 Mz 31 casa 30 / CRA 9 CALLE 16 - 9 Mz 31 casa 30")</f>
        <v>CRA 9 CALLE 16 - 9 Mz 31 casa 30 / CRA 9 CALLE 16 - 9 Mz 31 casa 30</v>
      </c>
      <c r="G9532" s="15" t="str">
        <f>IFERROR(__xludf.DUMMYFUNCTION("""COMPUTED_VALUE"""),"ANA MARIA GARZON")</f>
        <v>ANA MARIA GARZON</v>
      </c>
      <c r="H9532" s="16">
        <f>IFERROR(__xludf.DUMMYFUNCTION("""COMPUTED_VALUE"""),18180.0)</f>
        <v>18180</v>
      </c>
      <c r="I9532" s="17"/>
      <c r="J9532" s="17"/>
      <c r="K9532" s="17"/>
      <c r="L9532" s="17">
        <f>IFERROR(__xludf.DUMMYFUNCTION("""COMPUTED_VALUE"""),3.21566191E9)</f>
        <v>3215661910</v>
      </c>
      <c r="M9532" s="17"/>
      <c r="N9532" s="17"/>
      <c r="O9532" s="17"/>
      <c r="P9532" s="17" t="b">
        <f>IFERROR(__xludf.DUMMYFUNCTION("""COMPUTED_VALUE"""),FALSE)</f>
        <v>0</v>
      </c>
      <c r="Q9532" s="20" t="str">
        <f>IFERROR(__xludf.DUMMYFUNCTION("""COMPUTED_VALUE"""),"")</f>
        <v/>
      </c>
      <c r="R9532" s="21" t="str">
        <f>IFERROR(__xludf.DUMMYFUNCTION("""COMPUTED_VALUE"""),"https://drive.google.com/file/d/1-AwySwgn_-9fr4GelEaz8TWmzwdbsr4q/view?usp=drivesdk")</f>
        <v>https://drive.google.com/file/d/1-AwySwgn_-9fr4GelEaz8TWmzwdbsr4q/view?usp=drivesdk</v>
      </c>
    </row>
    <row r="9533">
      <c r="A9533" s="15">
        <f>IFERROR(__xludf.DUMMYFUNCTION("""COMPUTED_VALUE"""),45272.0)</f>
        <v>45272</v>
      </c>
      <c r="B9533" s="16" t="str">
        <f>IFERROR(__xludf.DUMMYFUNCTION("""COMPUTED_VALUE"""),"Envia")</f>
        <v>Envia</v>
      </c>
      <c r="C9533" s="15" t="str">
        <f>IFERROR(__xludf.DUMMYFUNCTION("""COMPUTED_VALUE"""),"VILLAVICENCIO")</f>
        <v>VILLAVICENCIO</v>
      </c>
      <c r="D9533" s="15" t="str">
        <f>IFERROR(__xludf.DUMMYFUNCTION("""COMPUTED_VALUE"""),"BOGOTÁ")</f>
        <v>BOGOTÁ</v>
      </c>
      <c r="E9533" s="15" t="str">
        <f>IFERROR(__xludf.DUMMYFUNCTION("""COMPUTED_VALUE"""),"INVERSIONES MOCHI")</f>
        <v>INVERSIONES MOCHI</v>
      </c>
      <c r="F9533" s="17" t="str">
        <f>IFERROR(__xludf.DUMMYFUNCTION("""COMPUTED_VALUE"""),"CALLE 7 #45-18 5 ETAPA / CENTRO COMERCIAL VIVA VILLAVICENCIO")</f>
        <v>CALLE 7 #45-18 5 ETAPA / CENTRO COMERCIAL VIVA VILLAVICENCIO</v>
      </c>
      <c r="G9533" s="15" t="str">
        <f>IFERROR(__xludf.DUMMYFUNCTION("""COMPUTED_VALUE"""),"CENTRO COMERCIAL VIVA VILLAVICENCIO")</f>
        <v>CENTRO COMERCIAL VIVA VILLAVICENCIO</v>
      </c>
      <c r="H9533" s="16">
        <f>IFERROR(__xludf.DUMMYFUNCTION("""COMPUTED_VALUE"""),18181.0)</f>
        <v>18181</v>
      </c>
      <c r="I9533" s="17"/>
      <c r="J9533" s="17"/>
      <c r="K9533" s="17"/>
      <c r="L9533" s="17">
        <f>IFERROR(__xludf.DUMMYFUNCTION("""COMPUTED_VALUE"""),3.134100428E9)</f>
        <v>3134100428</v>
      </c>
      <c r="M9533" s="17"/>
      <c r="N9533" s="17"/>
      <c r="O9533" s="17"/>
      <c r="P9533" s="17" t="b">
        <f>IFERROR(__xludf.DUMMYFUNCTION("""COMPUTED_VALUE"""),FALSE)</f>
        <v>0</v>
      </c>
      <c r="Q9533" s="20" t="str">
        <f>IFERROR(__xludf.DUMMYFUNCTION("""COMPUTED_VALUE"""),"")</f>
        <v/>
      </c>
      <c r="R9533" s="21" t="str">
        <f>IFERROR(__xludf.DUMMYFUNCTION("""COMPUTED_VALUE"""),"https://drive.google.com/file/d/1iu9Eqbf1EoK2OSyAS9usRms4SJ2w53wQ/view?usp=drivesdk")</f>
        <v>https://drive.google.com/file/d/1iu9Eqbf1EoK2OSyAS9usRms4SJ2w53wQ/view?usp=drivesdk</v>
      </c>
    </row>
    <row r="9534">
      <c r="A9534" s="15">
        <f>IFERROR(__xludf.DUMMYFUNCTION("""COMPUTED_VALUE"""),45272.0)</f>
        <v>45272</v>
      </c>
      <c r="B9534" s="16" t="str">
        <f>IFERROR(__xludf.DUMMYFUNCTION("""COMPUTED_VALUE"""),"Envia")</f>
        <v>Envia</v>
      </c>
      <c r="C9534" s="15" t="str">
        <f>IFERROR(__xludf.DUMMYFUNCTION("""COMPUTED_VALUE"""),"YUMBO")</f>
        <v>YUMBO</v>
      </c>
      <c r="D9534" s="15" t="str">
        <f>IFERROR(__xludf.DUMMYFUNCTION("""COMPUTED_VALUE"""),"BOGOTÁ")</f>
        <v>BOGOTÁ</v>
      </c>
      <c r="E9534" s="15" t="str">
        <f>IFERROR(__xludf.DUMMYFUNCTION("""COMPUTED_VALUE"""),"MAI ALIMENTOS REALES")</f>
        <v>MAI ALIMENTOS REALES</v>
      </c>
      <c r="F9534" s="17" t="str">
        <f>IFERROR(__xludf.DUMMYFUNCTION("""COMPUTED_VALUE"""),"Carrera 35 # 10 – 592 / Bodega 6 , Conjunto Industrial Nueva Era")</f>
        <v>Carrera 35 # 10 – 592 / Bodega 6 , Conjunto Industrial Nueva Era</v>
      </c>
      <c r="G9534" s="15" t="str">
        <f>IFERROR(__xludf.DUMMYFUNCTION("""COMPUTED_VALUE"""),"NOVAVENTAS CALI")</f>
        <v>NOVAVENTAS CALI</v>
      </c>
      <c r="H9534" s="16">
        <f>IFERROR(__xludf.DUMMYFUNCTION("""COMPUTED_VALUE"""),18117.0)</f>
        <v>18117</v>
      </c>
      <c r="I9534" s="17"/>
      <c r="J9534" s="17"/>
      <c r="K9534" s="17"/>
      <c r="L9534" s="17">
        <f>IFERROR(__xludf.DUMMYFUNCTION("""COMPUTED_VALUE"""),3.146714539E9)</f>
        <v>3146714539</v>
      </c>
      <c r="M9534" s="17"/>
      <c r="N9534" s="17"/>
      <c r="O9534" s="17"/>
      <c r="P9534" s="17" t="b">
        <f>IFERROR(__xludf.DUMMYFUNCTION("""COMPUTED_VALUE"""),FALSE)</f>
        <v>0</v>
      </c>
      <c r="Q9534" s="20" t="str">
        <f>IFERROR(__xludf.DUMMYFUNCTION("""COMPUTED_VALUE"""),"")</f>
        <v/>
      </c>
      <c r="R9534" s="21" t="str">
        <f>IFERROR(__xludf.DUMMYFUNCTION("""COMPUTED_VALUE"""),"https://drive.google.com/file/d/1IYytrWVxY_eZosrZaOpjxAa6fGVzh9zz/view?usp=drivesdk")</f>
        <v>https://drive.google.com/file/d/1IYytrWVxY_eZosrZaOpjxAa6fGVzh9zz/view?usp=drivesdk</v>
      </c>
    </row>
    <row r="9535">
      <c r="A9535" s="17" t="str">
        <f>IFERROR(__xludf.DUMMYFUNCTION("""COMPUTED_VALUE"""),"")</f>
        <v/>
      </c>
      <c r="B9535" s="17" t="str">
        <f>IFERROR(__xludf.DUMMYFUNCTION("""COMPUTED_VALUE"""),"")</f>
        <v/>
      </c>
      <c r="C9535" s="17" t="str">
        <f>IFERROR(__xludf.DUMMYFUNCTION("""COMPUTED_VALUE"""),"")</f>
        <v/>
      </c>
      <c r="D9535" s="17" t="str">
        <f>IFERROR(__xludf.DUMMYFUNCTION("""COMPUTED_VALUE"""),"")</f>
        <v/>
      </c>
      <c r="E9535" s="17" t="str">
        <f>IFERROR(__xludf.DUMMYFUNCTION("""COMPUTED_VALUE"""),"")</f>
        <v/>
      </c>
      <c r="F9535" s="17" t="str">
        <f>IFERROR(__xludf.DUMMYFUNCTION("""COMPUTED_VALUE"""),"")</f>
        <v/>
      </c>
      <c r="G9535" s="17" t="str">
        <f>IFERROR(__xludf.DUMMYFUNCTION("""COMPUTED_VALUE"""),"")</f>
        <v/>
      </c>
      <c r="H9535" s="17" t="str">
        <f>IFERROR(__xludf.DUMMYFUNCTION("""COMPUTED_VALUE"""),"")</f>
        <v/>
      </c>
      <c r="I9535" s="17" t="str">
        <f>IFERROR(__xludf.DUMMYFUNCTION("""COMPUTED_VALUE"""),"")</f>
        <v/>
      </c>
      <c r="J9535" s="17" t="str">
        <f>IFERROR(__xludf.DUMMYFUNCTION("""COMPUTED_VALUE"""),"")</f>
        <v/>
      </c>
      <c r="K9535" s="17" t="str">
        <f>IFERROR(__xludf.DUMMYFUNCTION("""COMPUTED_VALUE"""),"")</f>
        <v/>
      </c>
      <c r="L9535" s="17" t="str">
        <f>IFERROR(__xludf.DUMMYFUNCTION("""COMPUTED_VALUE"""),"")</f>
        <v/>
      </c>
      <c r="M9535" s="17" t="str">
        <f>IFERROR(__xludf.DUMMYFUNCTION("""COMPUTED_VALUE"""),"")</f>
        <v/>
      </c>
      <c r="N9535" s="17" t="str">
        <f>IFERROR(__xludf.DUMMYFUNCTION("""COMPUTED_VALUE"""),"")</f>
        <v/>
      </c>
      <c r="O9535" s="17" t="str">
        <f>IFERROR(__xludf.DUMMYFUNCTION("""COMPUTED_VALUE"""),"")</f>
        <v/>
      </c>
      <c r="P9535" s="17" t="str">
        <f>IFERROR(__xludf.DUMMYFUNCTION("""COMPUTED_VALUE"""),"")</f>
        <v/>
      </c>
      <c r="Q9535" s="17" t="str">
        <f>IFERROR(__xludf.DUMMYFUNCTION("""COMPUTED_VALUE"""),"")</f>
        <v/>
      </c>
      <c r="R9535" s="17" t="str">
        <f>IFERROR(__xludf.DUMMYFUNCTION("""COMPUTED_VALUE"""),"")</f>
        <v/>
      </c>
    </row>
    <row r="9536">
      <c r="A9536" s="15">
        <f>IFERROR(__xludf.DUMMYFUNCTION("""COMPUTED_VALUE"""),45272.0)</f>
        <v>45272</v>
      </c>
      <c r="B9536" s="16" t="str">
        <f>IFERROR(__xludf.DUMMYFUNCTION("""COMPUTED_VALUE"""),"Jhon Anderson Ceballos Hernandez")</f>
        <v>Jhon Anderson Ceballos Hernandez</v>
      </c>
      <c r="C9536" s="15" t="str">
        <f>IFERROR(__xludf.DUMMYFUNCTION("""COMPUTED_VALUE"""),"MANIZALES")</f>
        <v>MANIZALES</v>
      </c>
      <c r="D9536" s="15" t="str">
        <f>IFERROR(__xludf.DUMMYFUNCTION("""COMPUTED_VALUE"""),"BOGOTÁ")</f>
        <v>BOGOTÁ</v>
      </c>
      <c r="E9536" s="15" t="str">
        <f>IFERROR(__xludf.DUMMYFUNCTION("""COMPUTED_VALUE"""),"Hiiva Fermentados SAS")</f>
        <v>Hiiva Fermentados SAS</v>
      </c>
      <c r="F9536" s="17" t="str">
        <f>IFERROR(__xludf.DUMMYFUNCTION("""COMPUTED_VALUE"""),"Cra 23 65a 41 / local P212")</f>
        <v>Cra 23 65a 41 / local P212</v>
      </c>
      <c r="G9536" s="15" t="str">
        <f>IFERROR(__xludf.DUMMYFUNCTION("""COMPUTED_VALUE"""),"Droguería Bienestar")</f>
        <v>Droguería Bienestar</v>
      </c>
      <c r="H9536" s="16">
        <f>IFERROR(__xludf.DUMMYFUNCTION("""COMPUTED_VALUE"""),18145.0)</f>
        <v>18145</v>
      </c>
      <c r="I9536" s="17"/>
      <c r="J9536" s="17"/>
      <c r="K9536" s="17"/>
      <c r="L9536" s="17">
        <f>IFERROR(__xludf.DUMMYFUNCTION("""COMPUTED_VALUE"""),3.217183658E9)</f>
        <v>3217183658</v>
      </c>
      <c r="M9536" s="17"/>
      <c r="N9536" s="17"/>
      <c r="O9536" s="17"/>
      <c r="P9536" s="17" t="b">
        <f>IFERROR(__xludf.DUMMYFUNCTION("""COMPUTED_VALUE"""),FALSE)</f>
        <v>0</v>
      </c>
      <c r="Q9536" s="20" t="str">
        <f>IFERROR(__xludf.DUMMYFUNCTION("""COMPUTED_VALUE"""),"")</f>
        <v/>
      </c>
      <c r="R9536" s="21" t="str">
        <f>IFERROR(__xludf.DUMMYFUNCTION("""COMPUTED_VALUE"""),"https://drive.google.com/file/d/1J-gBQ73oD_miLr752-uqCHQsXELidNIp/view?usp=drivesdk")</f>
        <v>https://drive.google.com/file/d/1J-gBQ73oD_miLr752-uqCHQsXELidNIp/view?usp=drivesdk</v>
      </c>
    </row>
    <row r="9537">
      <c r="A9537" s="15">
        <f>IFERROR(__xludf.DUMMYFUNCTION("""COMPUTED_VALUE"""),45272.0)</f>
        <v>45272</v>
      </c>
      <c r="B9537" s="16" t="str">
        <f>IFERROR(__xludf.DUMMYFUNCTION("""COMPUTED_VALUE"""),"Jhon Anderson Ceballos Hernandez")</f>
        <v>Jhon Anderson Ceballos Hernandez</v>
      </c>
      <c r="C9537" s="15" t="str">
        <f>IFERROR(__xludf.DUMMYFUNCTION("""COMPUTED_VALUE"""),"MANIZALES")</f>
        <v>MANIZALES</v>
      </c>
      <c r="D9537" s="15" t="str">
        <f>IFERROR(__xludf.DUMMYFUNCTION("""COMPUTED_VALUE"""),"BUCARAMANGA")</f>
        <v>BUCARAMANGA</v>
      </c>
      <c r="E9537" s="15" t="str">
        <f>IFERROR(__xludf.DUMMYFUNCTION("""COMPUTED_VALUE"""),"Yo Como Solito")</f>
        <v>Yo Como Solito</v>
      </c>
      <c r="F9537" s="17" t="str">
        <f>IFERROR(__xludf.DUMMYFUNCTION("""COMPUTED_VALUE"""),"CARRERA 23 # 75 A -140 CONJUNTO TORRES DE MILAN, TORRE A APTO 402 ( BARRIO MILAN) / CARRERA 23 # 75 A -140 CONJUNTO TORRES DE MILAN, TORRE A APTO 402 ( BARRIO MILAN) / CARRERA 23 # 75 A -140 CONJUNTO TORRES DE MILAN, TORRE A APTO 402 ( BARRIO MILAN)")</f>
        <v>CARRERA 23 # 75 A -140 CONJUNTO TORRES DE MILAN, TORRE A APTO 402 ( BARRIO MILAN) / CARRERA 23 # 75 A -140 CONJUNTO TORRES DE MILAN, TORRE A APTO 402 ( BARRIO MILAN) / CARRERA 23 # 75 A -140 CONJUNTO TORRES DE MILAN, TORRE A APTO 402 ( BARRIO MILAN)</v>
      </c>
      <c r="G9537" s="15" t="str">
        <f>IFERROR(__xludf.DUMMYFUNCTION("""COMPUTED_VALUE"""),"JULIANA HINCAPIE GIRALKDO")</f>
        <v>JULIANA HINCAPIE GIRALKDO</v>
      </c>
      <c r="H9537" s="16">
        <f>IFERROR(__xludf.DUMMYFUNCTION("""COMPUTED_VALUE"""),18104.0)</f>
        <v>18104</v>
      </c>
      <c r="I9537" s="18">
        <f>IFERROR(__xludf.DUMMYFUNCTION("""COMPUTED_VALUE"""),22.0)</f>
        <v>22</v>
      </c>
      <c r="J9537" s="18">
        <f>IFERROR(__xludf.DUMMYFUNCTION("""COMPUTED_VALUE"""),31.0)</f>
        <v>31</v>
      </c>
      <c r="K9537" s="18">
        <f>IFERROR(__xludf.DUMMYFUNCTION("""COMPUTED_VALUE"""),40.0)</f>
        <v>40</v>
      </c>
      <c r="L9537" s="17">
        <f>IFERROR(__xludf.DUMMYFUNCTION("""COMPUTED_VALUE"""),3.104373701E9)</f>
        <v>3104373701</v>
      </c>
      <c r="M9537" s="17"/>
      <c r="N9537" s="17"/>
      <c r="O9537" s="17"/>
      <c r="P9537" s="17" t="b">
        <f>IFERROR(__xludf.DUMMYFUNCTION("""COMPUTED_VALUE"""),FALSE)</f>
        <v>0</v>
      </c>
      <c r="Q9537" s="20" t="str">
        <f>IFERROR(__xludf.DUMMYFUNCTION("""COMPUTED_VALUE"""),"")</f>
        <v/>
      </c>
      <c r="R9537" s="21" t="str">
        <f>IFERROR(__xludf.DUMMYFUNCTION("""COMPUTED_VALUE"""),"https://drive.google.com/file/d/1XIPuoMQW0ZNSz2rLLBhoVTLo3Hfb9KZY/view?usp=drivesdk")</f>
        <v>https://drive.google.com/file/d/1XIPuoMQW0ZNSz2rLLBhoVTLo3Hfb9KZY/view?usp=drivesdk</v>
      </c>
    </row>
    <row r="9538">
      <c r="A9538" s="15">
        <f>IFERROR(__xludf.DUMMYFUNCTION("""COMPUTED_VALUE"""),45272.0)</f>
        <v>45272</v>
      </c>
      <c r="B9538" s="16" t="str">
        <f>IFERROR(__xludf.DUMMYFUNCTION("""COMPUTED_VALUE"""),"Jhon Anderson Ceballos Hernandez")</f>
        <v>Jhon Anderson Ceballos Hernandez</v>
      </c>
      <c r="C9538" s="15" t="str">
        <f>IFERROR(__xludf.DUMMYFUNCTION("""COMPUTED_VALUE"""),"MANIZALES")</f>
        <v>MANIZALES</v>
      </c>
      <c r="D9538" s="15" t="str">
        <f>IFERROR(__xludf.DUMMYFUNCTION("""COMPUTED_VALUE"""),"BUCARAMANGA")</f>
        <v>BUCARAMANGA</v>
      </c>
      <c r="E9538" s="15" t="str">
        <f>IFERROR(__xludf.DUMMYFUNCTION("""COMPUTED_VALUE"""),"Yo Como Solito")</f>
        <v>Yo Como Solito</v>
      </c>
      <c r="F9538" s="17" t="str">
        <f>IFERROR(__xludf.DUMMYFUNCTION("""COMPUTED_VALUE"""),"CARRERA 28 D # 70-46 BARRIO PALERMO CASA / CARRERA 28 D # 70-46 BARRIO PALERMO CASA / CARRERA 28 D # 70-46 BARRIO PALERMO CASA")</f>
        <v>CARRERA 28 D # 70-46 BARRIO PALERMO CASA / CARRERA 28 D # 70-46 BARRIO PALERMO CASA / CARRERA 28 D # 70-46 BARRIO PALERMO CASA</v>
      </c>
      <c r="G9538" s="15" t="str">
        <f>IFERROR(__xludf.DUMMYFUNCTION("""COMPUTED_VALUE"""),"PAULA XIMENA BOLAÑOS")</f>
        <v>PAULA XIMENA BOLAÑOS</v>
      </c>
      <c r="H9538" s="16">
        <f>IFERROR(__xludf.DUMMYFUNCTION("""COMPUTED_VALUE"""),18107.0)</f>
        <v>18107</v>
      </c>
      <c r="I9538" s="18">
        <f>IFERROR(__xludf.DUMMYFUNCTION("""COMPUTED_VALUE"""),24.0)</f>
        <v>24</v>
      </c>
      <c r="J9538" s="18">
        <f>IFERROR(__xludf.DUMMYFUNCTION("""COMPUTED_VALUE"""),36.0)</f>
        <v>36</v>
      </c>
      <c r="K9538" s="18">
        <f>IFERROR(__xludf.DUMMYFUNCTION("""COMPUTED_VALUE"""),38.0)</f>
        <v>38</v>
      </c>
      <c r="L9538" s="17">
        <f>IFERROR(__xludf.DUMMYFUNCTION("""COMPUTED_VALUE"""),3.10398467E9)</f>
        <v>3103984670</v>
      </c>
      <c r="M9538" s="17"/>
      <c r="N9538" s="17"/>
      <c r="O9538" s="17"/>
      <c r="P9538" s="17" t="b">
        <f>IFERROR(__xludf.DUMMYFUNCTION("""COMPUTED_VALUE"""),FALSE)</f>
        <v>0</v>
      </c>
      <c r="Q9538" s="20" t="str">
        <f>IFERROR(__xludf.DUMMYFUNCTION("""COMPUTED_VALUE"""),"")</f>
        <v/>
      </c>
      <c r="R9538" s="21" t="str">
        <f>IFERROR(__xludf.DUMMYFUNCTION("""COMPUTED_VALUE"""),"https://drive.google.com/file/d/1pxwoidSPjNvt7XgGPujfIYPv7fjpDrSf/view?usp=drivesdk")</f>
        <v>https://drive.google.com/file/d/1pxwoidSPjNvt7XgGPujfIYPv7fjpDrSf/view?usp=drivesdk</v>
      </c>
    </row>
    <row r="9539">
      <c r="A9539" s="15">
        <f>IFERROR(__xludf.DUMMYFUNCTION("""COMPUTED_VALUE"""),45272.0)</f>
        <v>45272</v>
      </c>
      <c r="B9539" s="16" t="str">
        <f>IFERROR(__xludf.DUMMYFUNCTION("""COMPUTED_VALUE"""),"Jhon Anderson Ceballos Hernandez")</f>
        <v>Jhon Anderson Ceballos Hernandez</v>
      </c>
      <c r="C9539" s="15" t="str">
        <f>IFERROR(__xludf.DUMMYFUNCTION("""COMPUTED_VALUE"""),"MANIZALES")</f>
        <v>MANIZALES</v>
      </c>
      <c r="D9539" s="15" t="str">
        <f>IFERROR(__xludf.DUMMYFUNCTION("""COMPUTED_VALUE"""),"ENVIGADO")</f>
        <v>ENVIGADO</v>
      </c>
      <c r="E9539" s="15" t="str">
        <f>IFERROR(__xludf.DUMMYFUNCTION("""COMPUTED_VALUE"""),"RAMBLA")</f>
        <v>RAMBLA</v>
      </c>
      <c r="F9539" s="17" t="str">
        <f>IFERROR(__xludf.DUMMYFUNCTION("""COMPUTED_VALUE"""),"Carrera 21 #65c - 37 Primer piso, Local 03, Ed, Venneto sector Cable / Primer piso, Local 03, Ed, Venneto sector Cable")</f>
        <v>Carrera 21 #65c - 37 Primer piso, Local 03, Ed, Venneto sector Cable / Primer piso, Local 03, Ed, Venneto sector Cable</v>
      </c>
      <c r="G9539" s="15" t="str">
        <f>IFERROR(__xludf.DUMMYFUNCTION("""COMPUTED_VALUE"""),"ESENTIONAL SAS")</f>
        <v>ESENTIONAL SAS</v>
      </c>
      <c r="H9539" s="16">
        <f>IFERROR(__xludf.DUMMYFUNCTION("""COMPUTED_VALUE"""),18168.0)</f>
        <v>18168</v>
      </c>
      <c r="I9539" s="17"/>
      <c r="J9539" s="17"/>
      <c r="K9539" s="17"/>
      <c r="L9539" s="17">
        <f>IFERROR(__xludf.DUMMYFUNCTION("""COMPUTED_VALUE"""),3.043760201E9)</f>
        <v>3043760201</v>
      </c>
      <c r="M9539" s="17"/>
      <c r="N9539" s="17"/>
      <c r="O9539" s="17"/>
      <c r="P9539" s="17" t="b">
        <f>IFERROR(__xludf.DUMMYFUNCTION("""COMPUTED_VALUE"""),FALSE)</f>
        <v>0</v>
      </c>
      <c r="Q9539" s="20" t="str">
        <f>IFERROR(__xludf.DUMMYFUNCTION("""COMPUTED_VALUE"""),"")</f>
        <v/>
      </c>
      <c r="R9539" s="21" t="str">
        <f>IFERROR(__xludf.DUMMYFUNCTION("""COMPUTED_VALUE"""),"https://drive.google.com/file/d/1xCKNCNUnddJPh8UegzDxCWJpvLDw6Dww/view?usp=drivesdk")</f>
        <v>https://drive.google.com/file/d/1xCKNCNUnddJPh8UegzDxCWJpvLDw6Dww/view?usp=drivesdk</v>
      </c>
    </row>
    <row r="9540">
      <c r="A9540" s="15">
        <f>IFERROR(__xludf.DUMMYFUNCTION("""COMPUTED_VALUE"""),45272.0)</f>
        <v>45272</v>
      </c>
      <c r="B9540" s="16" t="str">
        <f>IFERROR(__xludf.DUMMYFUNCTION("""COMPUTED_VALUE"""),"Jhon Anderson Ceballos Hernandez")</f>
        <v>Jhon Anderson Ceballos Hernandez</v>
      </c>
      <c r="C9540" s="15" t="str">
        <f>IFERROR(__xludf.DUMMYFUNCTION("""COMPUTED_VALUE"""),"MANIZALES")</f>
        <v>MANIZALES</v>
      </c>
      <c r="D9540" s="15" t="str">
        <f>IFERROR(__xludf.DUMMYFUNCTION("""COMPUTED_VALUE"""),"ENVIGADO")</f>
        <v>ENVIGADO</v>
      </c>
      <c r="E9540" s="15" t="str">
        <f>IFERROR(__xludf.DUMMYFUNCTION("""COMPUTED_VALUE"""),"RAMBLA")</f>
        <v>RAMBLA</v>
      </c>
      <c r="F9540" s="17" t="str">
        <f>IFERROR(__xludf.DUMMYFUNCTION("""COMPUTED_VALUE"""),"carrera 27a # 66-30 / local 819 centro comercial sancancio")</f>
        <v>carrera 27a # 66-30 / local 819 centro comercial sancancio</v>
      </c>
      <c r="G9540" s="15" t="str">
        <f>IFERROR(__xludf.DUMMYFUNCTION("""COMPUTED_VALUE"""),"Atipiko")</f>
        <v>Atipiko</v>
      </c>
      <c r="H9540" s="16">
        <f>IFERROR(__xludf.DUMMYFUNCTION("""COMPUTED_VALUE"""),18167.0)</f>
        <v>18167</v>
      </c>
      <c r="I9540" s="17"/>
      <c r="J9540" s="17"/>
      <c r="K9540" s="17"/>
      <c r="L9540" s="17">
        <f>IFERROR(__xludf.DUMMYFUNCTION("""COMPUTED_VALUE"""),3.113499778E9)</f>
        <v>3113499778</v>
      </c>
      <c r="M9540" s="17"/>
      <c r="N9540" s="17"/>
      <c r="O9540" s="17"/>
      <c r="P9540" s="17" t="b">
        <f>IFERROR(__xludf.DUMMYFUNCTION("""COMPUTED_VALUE"""),FALSE)</f>
        <v>0</v>
      </c>
      <c r="Q9540" s="20" t="str">
        <f>IFERROR(__xludf.DUMMYFUNCTION("""COMPUTED_VALUE"""),"")</f>
        <v/>
      </c>
      <c r="R9540" s="21" t="str">
        <f>IFERROR(__xludf.DUMMYFUNCTION("""COMPUTED_VALUE"""),"https://drive.google.com/file/d/1ZaZRpphlQ4s9BWaEsjpmFP47Gsdovi0P/view?usp=drivesdk")</f>
        <v>https://drive.google.com/file/d/1ZaZRpphlQ4s9BWaEsjpmFP47Gsdovi0P/view?usp=drivesdk</v>
      </c>
    </row>
    <row r="9541">
      <c r="A9541" s="15">
        <f>IFERROR(__xludf.DUMMYFUNCTION("""COMPUTED_VALUE"""),45272.0)</f>
        <v>45272</v>
      </c>
      <c r="B9541" s="16" t="str">
        <f>IFERROR(__xludf.DUMMYFUNCTION("""COMPUTED_VALUE"""),"Jhon Anderson Ceballos Hernandez")</f>
        <v>Jhon Anderson Ceballos Hernandez</v>
      </c>
      <c r="C9541" s="15" t="str">
        <f>IFERROR(__xludf.DUMMYFUNCTION("""COMPUTED_VALUE"""),"MANIZALES")</f>
        <v>MANIZALES</v>
      </c>
      <c r="D9541" s="15" t="str">
        <f>IFERROR(__xludf.DUMMYFUNCTION("""COMPUTED_VALUE"""),"MEDELLÍN")</f>
        <v>MEDELLÍN</v>
      </c>
      <c r="E9541" s="15" t="str">
        <f>IFERROR(__xludf.DUMMYFUNCTION("""COMPUTED_VALUE"""),"Todo Bufala")</f>
        <v>Todo Bufala</v>
      </c>
      <c r="F9541" s="17" t="str">
        <f>IFERROR(__xludf.DUMMYFUNCTION("""COMPUTED_VALUE"""),"Calle 66 #23B - 211 / Edifico calle larga, local 5c")</f>
        <v>Calle 66 #23B - 211 / Edifico calle larga, local 5c</v>
      </c>
      <c r="G9541" s="15" t="str">
        <f>IFERROR(__xludf.DUMMYFUNCTION("""COMPUTED_VALUE"""),"Sebastian Perez Pineda")</f>
        <v>Sebastian Perez Pineda</v>
      </c>
      <c r="H9541" s="16">
        <f>IFERROR(__xludf.DUMMYFUNCTION("""COMPUTED_VALUE"""),18131.0)</f>
        <v>18131</v>
      </c>
      <c r="I9541" s="17"/>
      <c r="J9541" s="17"/>
      <c r="K9541" s="17"/>
      <c r="L9541" s="17">
        <f>IFERROR(__xludf.DUMMYFUNCTION("""COMPUTED_VALUE"""),3.106974621E9)</f>
        <v>3106974621</v>
      </c>
      <c r="M9541" s="17"/>
      <c r="N9541" s="17"/>
      <c r="O9541" s="17"/>
      <c r="P9541" s="17" t="b">
        <f>IFERROR(__xludf.DUMMYFUNCTION("""COMPUTED_VALUE"""),FALSE)</f>
        <v>0</v>
      </c>
      <c r="Q9541" s="20" t="str">
        <f>IFERROR(__xludf.DUMMYFUNCTION("""COMPUTED_VALUE"""),"")</f>
        <v/>
      </c>
      <c r="R9541" s="21" t="str">
        <f>IFERROR(__xludf.DUMMYFUNCTION("""COMPUTED_VALUE"""),"https://drive.google.com/file/d/19BLL9i_FGJutoUXAjH4hyW3Vf-ma8cQL/view?usp=drivesdk")</f>
        <v>https://drive.google.com/file/d/19BLL9i_FGJutoUXAjH4hyW3Vf-ma8cQL/view?usp=drivesdk</v>
      </c>
    </row>
    <row r="9542">
      <c r="A9542" s="15">
        <f>IFERROR(__xludf.DUMMYFUNCTION("""COMPUTED_VALUE"""),45272.0)</f>
        <v>45272</v>
      </c>
      <c r="B9542" s="16" t="str">
        <f>IFERROR(__xludf.DUMMYFUNCTION("""COMPUTED_VALUE"""),"Jhon Anderson Ceballos Hernandez")</f>
        <v>Jhon Anderson Ceballos Hernandez</v>
      </c>
      <c r="C9542" s="15" t="str">
        <f>IFERROR(__xludf.DUMMYFUNCTION("""COMPUTED_VALUE"""),"VILLAMARÍA")</f>
        <v>VILLAMARÍA</v>
      </c>
      <c r="D9542" s="15" t="str">
        <f>IFERROR(__xludf.DUMMYFUNCTION("""COMPUTED_VALUE"""),"BOGOTÁ")</f>
        <v>BOGOTÁ</v>
      </c>
      <c r="E9542" s="15" t="str">
        <f>IFERROR(__xludf.DUMMYFUNCTION("""COMPUTED_VALUE"""),"Asociacion Agropecuaria Juana Maria")</f>
        <v>Asociacion Agropecuaria Juana Maria</v>
      </c>
      <c r="F9542" s="17" t="str">
        <f>IFERROR(__xludf.DUMMYFUNCTION("""COMPUTED_VALUE"""),"Calle 17 A 9-10 / Manzana 31 casa 30 conjunto mirador de las lomas")</f>
        <v>Calle 17 A 9-10 / Manzana 31 casa 30 conjunto mirador de las lomas</v>
      </c>
      <c r="G9542" s="15" t="str">
        <f>IFERROR(__xludf.DUMMYFUNCTION("""COMPUTED_VALUE"""),"Ana Maria Garzon")</f>
        <v>Ana Maria Garzon</v>
      </c>
      <c r="H9542" s="16">
        <f>IFERROR(__xludf.DUMMYFUNCTION("""COMPUTED_VALUE"""),18138.0)</f>
        <v>18138</v>
      </c>
      <c r="I9542" s="17"/>
      <c r="J9542" s="17"/>
      <c r="K9542" s="17"/>
      <c r="L9542" s="17"/>
      <c r="M9542" s="17"/>
      <c r="N9542" s="17"/>
      <c r="O9542" s="17"/>
      <c r="P9542" s="17" t="b">
        <f>IFERROR(__xludf.DUMMYFUNCTION("""COMPUTED_VALUE"""),FALSE)</f>
        <v>0</v>
      </c>
      <c r="Q9542" s="20" t="str">
        <f>IFERROR(__xludf.DUMMYFUNCTION("""COMPUTED_VALUE"""),"")</f>
        <v/>
      </c>
      <c r="R9542" s="21" t="str">
        <f>IFERROR(__xludf.DUMMYFUNCTION("""COMPUTED_VALUE"""),"https://drive.google.com/file/d/1gut5hvoDrYClDxuLyJJ9zjwiyWnT87Ds/view?usp=drivesdk")</f>
        <v>https://drive.google.com/file/d/1gut5hvoDrYClDxuLyJJ9zjwiyWnT87Ds/view?usp=drivesdk</v>
      </c>
    </row>
    <row r="9543">
      <c r="A9543" s="17" t="str">
        <f>IFERROR(__xludf.DUMMYFUNCTION("""COMPUTED_VALUE"""),"")</f>
        <v/>
      </c>
      <c r="B9543" s="17" t="str">
        <f>IFERROR(__xludf.DUMMYFUNCTION("""COMPUTED_VALUE"""),"")</f>
        <v/>
      </c>
      <c r="C9543" s="17" t="str">
        <f>IFERROR(__xludf.DUMMYFUNCTION("""COMPUTED_VALUE"""),"")</f>
        <v/>
      </c>
      <c r="D9543" s="17" t="str">
        <f>IFERROR(__xludf.DUMMYFUNCTION("""COMPUTED_VALUE"""),"")</f>
        <v/>
      </c>
      <c r="E9543" s="17" t="str">
        <f>IFERROR(__xludf.DUMMYFUNCTION("""COMPUTED_VALUE"""),"")</f>
        <v/>
      </c>
      <c r="F9543" s="17" t="str">
        <f>IFERROR(__xludf.DUMMYFUNCTION("""COMPUTED_VALUE"""),"")</f>
        <v/>
      </c>
      <c r="G9543" s="17" t="str">
        <f>IFERROR(__xludf.DUMMYFUNCTION("""COMPUTED_VALUE"""),"")</f>
        <v/>
      </c>
      <c r="H9543" s="17" t="str">
        <f>IFERROR(__xludf.DUMMYFUNCTION("""COMPUTED_VALUE"""),"")</f>
        <v/>
      </c>
      <c r="I9543" s="17" t="str">
        <f>IFERROR(__xludf.DUMMYFUNCTION("""COMPUTED_VALUE"""),"")</f>
        <v/>
      </c>
      <c r="J9543" s="17" t="str">
        <f>IFERROR(__xludf.DUMMYFUNCTION("""COMPUTED_VALUE"""),"")</f>
        <v/>
      </c>
      <c r="K9543" s="17" t="str">
        <f>IFERROR(__xludf.DUMMYFUNCTION("""COMPUTED_VALUE"""),"")</f>
        <v/>
      </c>
      <c r="L9543" s="17" t="str">
        <f>IFERROR(__xludf.DUMMYFUNCTION("""COMPUTED_VALUE"""),"")</f>
        <v/>
      </c>
      <c r="M9543" s="17" t="str">
        <f>IFERROR(__xludf.DUMMYFUNCTION("""COMPUTED_VALUE"""),"")</f>
        <v/>
      </c>
      <c r="N9543" s="17" t="str">
        <f>IFERROR(__xludf.DUMMYFUNCTION("""COMPUTED_VALUE"""),"")</f>
        <v/>
      </c>
      <c r="O9543" s="17" t="str">
        <f>IFERROR(__xludf.DUMMYFUNCTION("""COMPUTED_VALUE"""),"")</f>
        <v/>
      </c>
      <c r="P9543" s="17" t="str">
        <f>IFERROR(__xludf.DUMMYFUNCTION("""COMPUTED_VALUE"""),"")</f>
        <v/>
      </c>
      <c r="Q9543" s="17" t="str">
        <f>IFERROR(__xludf.DUMMYFUNCTION("""COMPUTED_VALUE"""),"")</f>
        <v/>
      </c>
      <c r="R9543" s="17" t="str">
        <f>IFERROR(__xludf.DUMMYFUNCTION("""COMPUTED_VALUE"""),"")</f>
        <v/>
      </c>
    </row>
    <row r="9544">
      <c r="A9544" s="15">
        <f>IFERROR(__xludf.DUMMYFUNCTION("""COMPUTED_VALUE"""),45272.0)</f>
        <v>45272</v>
      </c>
      <c r="B9544" s="16" t="str">
        <f>IFERROR(__xludf.DUMMYFUNCTION("""COMPUTED_VALUE"""),"Johan Alexander Escobar Arroyo ")</f>
        <v>Johan Alexander Escobar Arroyo </v>
      </c>
      <c r="C9544" s="15" t="str">
        <f>IFERROR(__xludf.DUMMYFUNCTION("""COMPUTED_VALUE"""),"CALI")</f>
        <v>CALI</v>
      </c>
      <c r="D9544" s="15" t="str">
        <f>IFERROR(__xludf.DUMMYFUNCTION("""COMPUTED_VALUE"""),"BOGOTÁ")</f>
        <v>BOGOTÁ</v>
      </c>
      <c r="E9544" s="15" t="str">
        <f>IFERROR(__xludf.DUMMYFUNCTION("""COMPUTED_VALUE"""),"Asociacion Agropecuaria Juana Maria")</f>
        <v>Asociacion Agropecuaria Juana Maria</v>
      </c>
      <c r="F9544" s="17" t="str">
        <f>IFERROR(__xludf.DUMMYFUNCTION("""COMPUTED_VALUE"""),"Carrera 17B # 33E-33 / La Floresta vieja")</f>
        <v>Carrera 17B # 33E-33 / La Floresta vieja</v>
      </c>
      <c r="G9544" s="15" t="str">
        <f>IFERROR(__xludf.DUMMYFUNCTION("""COMPUTED_VALUE"""),"Johanna acuña Molina")</f>
        <v>Johanna acuña Molina</v>
      </c>
      <c r="H9544" s="16">
        <f>IFERROR(__xludf.DUMMYFUNCTION("""COMPUTED_VALUE"""),18137.0)</f>
        <v>18137</v>
      </c>
      <c r="I9544" s="17"/>
      <c r="J9544" s="17"/>
      <c r="K9544" s="17"/>
      <c r="L9544" s="17">
        <f>IFERROR(__xludf.DUMMYFUNCTION("""COMPUTED_VALUE"""),3.218700343E9)</f>
        <v>3218700343</v>
      </c>
      <c r="M9544" s="17"/>
      <c r="N9544" s="17"/>
      <c r="O9544" s="17"/>
      <c r="P9544" s="17" t="b">
        <f>IFERROR(__xludf.DUMMYFUNCTION("""COMPUTED_VALUE"""),FALSE)</f>
        <v>0</v>
      </c>
      <c r="Q9544" s="20" t="str">
        <f>IFERROR(__xludf.DUMMYFUNCTION("""COMPUTED_VALUE"""),"")</f>
        <v/>
      </c>
      <c r="R9544" s="21" t="str">
        <f>IFERROR(__xludf.DUMMYFUNCTION("""COMPUTED_VALUE"""),"https://drive.google.com/file/d/1l9uefwrIjrXMOX47PTPGVqoApy-22a_r/view?usp=drivesdk")</f>
        <v>https://drive.google.com/file/d/1l9uefwrIjrXMOX47PTPGVqoApy-22a_r/view?usp=drivesdk</v>
      </c>
    </row>
    <row r="9545">
      <c r="A9545" s="15">
        <f>IFERROR(__xludf.DUMMYFUNCTION("""COMPUTED_VALUE"""),45272.0)</f>
        <v>45272</v>
      </c>
      <c r="B9545" s="16" t="str">
        <f>IFERROR(__xludf.DUMMYFUNCTION("""COMPUTED_VALUE"""),"Johan Alexander Escobar Arroyo ")</f>
        <v>Johan Alexander Escobar Arroyo </v>
      </c>
      <c r="C9545" s="15" t="str">
        <f>IFERROR(__xludf.DUMMYFUNCTION("""COMPUTED_VALUE"""),"CALI")</f>
        <v>CALI</v>
      </c>
      <c r="D9545" s="15" t="str">
        <f>IFERROR(__xludf.DUMMYFUNCTION("""COMPUTED_VALUE"""),"BOGOTÁ")</f>
        <v>BOGOTÁ</v>
      </c>
      <c r="E9545" s="15" t="str">
        <f>IFERROR(__xludf.DUMMYFUNCTION("""COMPUTED_VALUE"""),"Karem foods")</f>
        <v>Karem foods</v>
      </c>
      <c r="F9545" s="17" t="str">
        <f>IFERROR(__xludf.DUMMYFUNCTION("""COMPUTED_VALUE"""),"Calle 2#116-750  / Casa 26 / -")</f>
        <v>Calle 2#116-750  / Casa 26 / -</v>
      </c>
      <c r="G9545" s="15" t="str">
        <f>IFERROR(__xludf.DUMMYFUNCTION("""COMPUTED_VALUE"""),"Angela Botero")</f>
        <v>Angela Botero</v>
      </c>
      <c r="H9545" s="16">
        <f>IFERROR(__xludf.DUMMYFUNCTION("""COMPUTED_VALUE"""),18202.0)</f>
        <v>18202</v>
      </c>
      <c r="I9545" s="18">
        <f>IFERROR(__xludf.DUMMYFUNCTION("""COMPUTED_VALUE"""),12.0)</f>
        <v>12</v>
      </c>
      <c r="J9545" s="18">
        <f>IFERROR(__xludf.DUMMYFUNCTION("""COMPUTED_VALUE"""),20.0)</f>
        <v>20</v>
      </c>
      <c r="K9545" s="18">
        <f>IFERROR(__xludf.DUMMYFUNCTION("""COMPUTED_VALUE"""),20.0)</f>
        <v>20</v>
      </c>
      <c r="L9545" s="17">
        <f>IFERROR(__xludf.DUMMYFUNCTION("""COMPUTED_VALUE"""),3.146312742E9)</f>
        <v>3146312742</v>
      </c>
      <c r="M9545" s="17"/>
      <c r="N9545" s="17"/>
      <c r="O9545" s="17"/>
      <c r="P9545" s="17" t="b">
        <f>IFERROR(__xludf.DUMMYFUNCTION("""COMPUTED_VALUE"""),FALSE)</f>
        <v>0</v>
      </c>
      <c r="Q9545" s="20" t="str">
        <f>IFERROR(__xludf.DUMMYFUNCTION("""COMPUTED_VALUE"""),"")</f>
        <v/>
      </c>
      <c r="R9545" s="21" t="str">
        <f>IFERROR(__xludf.DUMMYFUNCTION("""COMPUTED_VALUE"""),"https://drive.google.com/file/d/1OA5xxufojPQecRQGuOg2Nsz04IHn7oBt/view?usp=drivesdk")</f>
        <v>https://drive.google.com/file/d/1OA5xxufojPQecRQGuOg2Nsz04IHn7oBt/view?usp=drivesdk</v>
      </c>
    </row>
    <row r="9546">
      <c r="A9546" s="15">
        <f>IFERROR(__xludf.DUMMYFUNCTION("""COMPUTED_VALUE"""),45272.0)</f>
        <v>45272</v>
      </c>
      <c r="B9546" s="16" t="str">
        <f>IFERROR(__xludf.DUMMYFUNCTION("""COMPUTED_VALUE"""),"Johan Alexander Escobar Arroyo ")</f>
        <v>Johan Alexander Escobar Arroyo </v>
      </c>
      <c r="C9546" s="15" t="str">
        <f>IFERROR(__xludf.DUMMYFUNCTION("""COMPUTED_VALUE"""),"CALI")</f>
        <v>CALI</v>
      </c>
      <c r="D9546" s="15" t="str">
        <f>IFERROR(__xludf.DUMMYFUNCTION("""COMPUTED_VALUE"""),"BOGOTÁ")</f>
        <v>BOGOTÁ</v>
      </c>
      <c r="E9546" s="15" t="str">
        <f>IFERROR(__xludf.DUMMYFUNCTION("""COMPUTED_VALUE"""),"Koji")</f>
        <v>Koji</v>
      </c>
      <c r="F9546" s="17" t="str">
        <f>IFERROR(__xludf.DUMMYFUNCTION("""COMPUTED_VALUE"""),"Cra 1 oeste #1-109 piso 2 / Baraka")</f>
        <v>Cra 1 oeste #1-109 piso 2 / Baraka</v>
      </c>
      <c r="G9546" s="15" t="str">
        <f>IFERROR(__xludf.DUMMYFUNCTION("""COMPUTED_VALUE"""),"Bismila S.A.S BIC")</f>
        <v>Bismila S.A.S BIC</v>
      </c>
      <c r="H9546" s="16">
        <f>IFERROR(__xludf.DUMMYFUNCTION("""COMPUTED_VALUE"""),18132.0)</f>
        <v>18132</v>
      </c>
      <c r="I9546" s="17"/>
      <c r="J9546" s="17"/>
      <c r="K9546" s="17"/>
      <c r="L9546" s="17">
        <f>IFERROR(__xludf.DUMMYFUNCTION("""COMPUTED_VALUE"""),3.155838531E9)</f>
        <v>3155838531</v>
      </c>
      <c r="M9546" s="17"/>
      <c r="N9546" s="17"/>
      <c r="O9546" s="17"/>
      <c r="P9546" s="17" t="b">
        <f>IFERROR(__xludf.DUMMYFUNCTION("""COMPUTED_VALUE"""),FALSE)</f>
        <v>0</v>
      </c>
      <c r="Q9546" s="20" t="str">
        <f>IFERROR(__xludf.DUMMYFUNCTION("""COMPUTED_VALUE"""),"")</f>
        <v/>
      </c>
      <c r="R9546" s="21" t="str">
        <f>IFERROR(__xludf.DUMMYFUNCTION("""COMPUTED_VALUE"""),"https://drive.google.com/file/d/1u5LqqQaXf_OHEuasNLUZk83Cj9ruApig/view?usp=drivesdk")</f>
        <v>https://drive.google.com/file/d/1u5LqqQaXf_OHEuasNLUZk83Cj9ruApig/view?usp=drivesdk</v>
      </c>
    </row>
    <row r="9547">
      <c r="A9547" s="15">
        <f>IFERROR(__xludf.DUMMYFUNCTION("""COMPUTED_VALUE"""),45272.0)</f>
        <v>45272</v>
      </c>
      <c r="B9547" s="16" t="str">
        <f>IFERROR(__xludf.DUMMYFUNCTION("""COMPUTED_VALUE"""),"Johan Alexander Escobar Arroyo ")</f>
        <v>Johan Alexander Escobar Arroyo </v>
      </c>
      <c r="C9547" s="15" t="str">
        <f>IFERROR(__xludf.DUMMYFUNCTION("""COMPUTED_VALUE"""),"CALI")</f>
        <v>CALI</v>
      </c>
      <c r="D9547" s="15" t="str">
        <f>IFERROR(__xludf.DUMMYFUNCTION("""COMPUTED_VALUE"""),"BOGOTÁ")</f>
        <v>BOGOTÁ</v>
      </c>
      <c r="E9547" s="15" t="str">
        <f>IFERROR(__xludf.DUMMYFUNCTION("""COMPUTED_VALUE"""),"LINA PAOLA RAMIREZ GOMEZ - EVA MAZZITA")</f>
        <v>LINA PAOLA RAMIREZ GOMEZ - EVA MAZZITA</v>
      </c>
      <c r="F9547" s="17" t="str">
        <f>IFERROR(__xludf.DUMMYFUNCTION("""COMPUTED_VALUE"""),"Avenida Roosevelt # 38 - 05 / Tercer piso (Arriba del Mundo de Los Pastel")</f>
        <v>Avenida Roosevelt # 38 - 05 / Tercer piso (Arriba del Mundo de Los Pastel</v>
      </c>
      <c r="G9547" s="15" t="str">
        <f>IFERROR(__xludf.DUMMYFUNCTION("""COMPUTED_VALUE"""),"MARIA FERNANDA MERA GONZALEZ")</f>
        <v>MARIA FERNANDA MERA GONZALEZ</v>
      </c>
      <c r="H9547" s="16">
        <f>IFERROR(__xludf.DUMMYFUNCTION("""COMPUTED_VALUE"""),18173.0)</f>
        <v>18173</v>
      </c>
      <c r="I9547" s="17"/>
      <c r="J9547" s="17"/>
      <c r="K9547" s="17"/>
      <c r="L9547" s="17">
        <f>IFERROR(__xludf.DUMMYFUNCTION("""COMPUTED_VALUE"""),3.155178529E9)</f>
        <v>3155178529</v>
      </c>
      <c r="M9547" s="17"/>
      <c r="N9547" s="17"/>
      <c r="O9547" s="17"/>
      <c r="P9547" s="17" t="b">
        <f>IFERROR(__xludf.DUMMYFUNCTION("""COMPUTED_VALUE"""),FALSE)</f>
        <v>0</v>
      </c>
      <c r="Q9547" s="20" t="str">
        <f>IFERROR(__xludf.DUMMYFUNCTION("""COMPUTED_VALUE"""),"")</f>
        <v/>
      </c>
      <c r="R9547" s="21" t="str">
        <f>IFERROR(__xludf.DUMMYFUNCTION("""COMPUTED_VALUE"""),"https://drive.google.com/file/d/1dVfqZvVRT0heVQNJzP8pkKhRO3VR1ZEV/view?usp=drivesdk")</f>
        <v>https://drive.google.com/file/d/1dVfqZvVRT0heVQNJzP8pkKhRO3VR1ZEV/view?usp=drivesdk</v>
      </c>
    </row>
    <row r="9548">
      <c r="A9548" s="15">
        <f>IFERROR(__xludf.DUMMYFUNCTION("""COMPUTED_VALUE"""),45272.0)</f>
        <v>45272</v>
      </c>
      <c r="B9548" s="16" t="str">
        <f>IFERROR(__xludf.DUMMYFUNCTION("""COMPUTED_VALUE"""),"Johan Alexander Escobar Arroyo ")</f>
        <v>Johan Alexander Escobar Arroyo </v>
      </c>
      <c r="C9548" s="15" t="str">
        <f>IFERROR(__xludf.DUMMYFUNCTION("""COMPUTED_VALUE"""),"CALI")</f>
        <v>CALI</v>
      </c>
      <c r="D9548" s="15" t="str">
        <f>IFERROR(__xludf.DUMMYFUNCTION("""COMPUTED_VALUE"""),"BOGOTÁ")</f>
        <v>BOGOTÁ</v>
      </c>
      <c r="E9548" s="15" t="str">
        <f>IFERROR(__xludf.DUMMYFUNCTION("""COMPUTED_VALUE"""),"LINA PAOLA RAMIREZ GOMEZ - EVA MAZZITA")</f>
        <v>LINA PAOLA RAMIREZ GOMEZ - EVA MAZZITA</v>
      </c>
      <c r="F9548" s="17" t="str">
        <f>IFERROR(__xludf.DUMMYFUNCTION("""COMPUTED_VALUE"""),"Calle 18 #85b-15 / Apto505/ edificio talinn")</f>
        <v>Calle 18 #85b-15 / Apto505/ edificio talinn</v>
      </c>
      <c r="G9548" s="15" t="str">
        <f>IFERROR(__xludf.DUMMYFUNCTION("""COMPUTED_VALUE"""),"LEIDY VANESSA GUTIERREZ")</f>
        <v>LEIDY VANESSA GUTIERREZ</v>
      </c>
      <c r="H9548" s="16">
        <f>IFERROR(__xludf.DUMMYFUNCTION("""COMPUTED_VALUE"""),18175.0)</f>
        <v>18175</v>
      </c>
      <c r="I9548" s="17"/>
      <c r="J9548" s="17"/>
      <c r="K9548" s="17"/>
      <c r="L9548" s="17">
        <f>IFERROR(__xludf.DUMMYFUNCTION("""COMPUTED_VALUE"""),3.178873686E9)</f>
        <v>3178873686</v>
      </c>
      <c r="M9548" s="17"/>
      <c r="N9548" s="17"/>
      <c r="O9548" s="17"/>
      <c r="P9548" s="17" t="b">
        <f>IFERROR(__xludf.DUMMYFUNCTION("""COMPUTED_VALUE"""),FALSE)</f>
        <v>0</v>
      </c>
      <c r="Q9548" s="20" t="str">
        <f>IFERROR(__xludf.DUMMYFUNCTION("""COMPUTED_VALUE"""),"")</f>
        <v/>
      </c>
      <c r="R9548" s="21" t="str">
        <f>IFERROR(__xludf.DUMMYFUNCTION("""COMPUTED_VALUE"""),"https://drive.google.com/file/d/1xEbVg-5pz15VBGzIosblhsdJyyKuvmYa/view?usp=drivesdk")</f>
        <v>https://drive.google.com/file/d/1xEbVg-5pz15VBGzIosblhsdJyyKuvmYa/view?usp=drivesdk</v>
      </c>
    </row>
    <row r="9549">
      <c r="A9549" s="15">
        <f>IFERROR(__xludf.DUMMYFUNCTION("""COMPUTED_VALUE"""),45272.0)</f>
        <v>45272</v>
      </c>
      <c r="B9549" s="16" t="str">
        <f>IFERROR(__xludf.DUMMYFUNCTION("""COMPUTED_VALUE"""),"Johan Alexander Escobar Arroyo ")</f>
        <v>Johan Alexander Escobar Arroyo </v>
      </c>
      <c r="C9549" s="15" t="str">
        <f>IFERROR(__xludf.DUMMYFUNCTION("""COMPUTED_VALUE"""),"CALI")</f>
        <v>CALI</v>
      </c>
      <c r="D9549" s="15" t="str">
        <f>IFERROR(__xludf.DUMMYFUNCTION("""COMPUTED_VALUE"""),"BOGOTÁ")</f>
        <v>BOGOTÁ</v>
      </c>
      <c r="E9549" s="15" t="str">
        <f>IFERROR(__xludf.DUMMYFUNCTION("""COMPUTED_VALUE"""),"LINA PAOLA RAMIREZ GOMEZ - EVA MAZZITA")</f>
        <v>LINA PAOLA RAMIREZ GOMEZ - EVA MAZZITA</v>
      </c>
      <c r="F9549" s="17" t="str">
        <f>IFERROR(__xludf.DUMMYFUNCTION("""COMPUTED_VALUE"""),"Calle 59 #93-130 / Unidad terracota/apto 604/torre 2A")</f>
        <v>Calle 59 #93-130 / Unidad terracota/apto 604/torre 2A</v>
      </c>
      <c r="G9549" s="15" t="str">
        <f>IFERROR(__xludf.DUMMYFUNCTION("""COMPUTED_VALUE"""),"JIREH RAMOS")</f>
        <v>JIREH RAMOS</v>
      </c>
      <c r="H9549" s="16">
        <f>IFERROR(__xludf.DUMMYFUNCTION("""COMPUTED_VALUE"""),18187.0)</f>
        <v>18187</v>
      </c>
      <c r="I9549" s="17"/>
      <c r="J9549" s="17"/>
      <c r="K9549" s="17"/>
      <c r="L9549" s="17">
        <f>IFERROR(__xludf.DUMMYFUNCTION("""COMPUTED_VALUE"""),3.175170844E9)</f>
        <v>3175170844</v>
      </c>
      <c r="M9549" s="17"/>
      <c r="N9549" s="17"/>
      <c r="O9549" s="17"/>
      <c r="P9549" s="17" t="b">
        <f>IFERROR(__xludf.DUMMYFUNCTION("""COMPUTED_VALUE"""),FALSE)</f>
        <v>0</v>
      </c>
      <c r="Q9549" s="20" t="str">
        <f>IFERROR(__xludf.DUMMYFUNCTION("""COMPUTED_VALUE"""),"")</f>
        <v/>
      </c>
      <c r="R9549" s="21" t="str">
        <f>IFERROR(__xludf.DUMMYFUNCTION("""COMPUTED_VALUE"""),"https://drive.google.com/file/d/1jZ3RckCfwryCS05X1E4uZyOD4k5I5Jly/view?usp=drivesdk")</f>
        <v>https://drive.google.com/file/d/1jZ3RckCfwryCS05X1E4uZyOD4k5I5Jly/view?usp=drivesdk</v>
      </c>
    </row>
    <row r="9550">
      <c r="A9550" s="15">
        <f>IFERROR(__xludf.DUMMYFUNCTION("""COMPUTED_VALUE"""),45272.0)</f>
        <v>45272</v>
      </c>
      <c r="B9550" s="16" t="str">
        <f>IFERROR(__xludf.DUMMYFUNCTION("""COMPUTED_VALUE"""),"Johan Alexander Escobar Arroyo ")</f>
        <v>Johan Alexander Escobar Arroyo </v>
      </c>
      <c r="C9550" s="15" t="str">
        <f>IFERROR(__xludf.DUMMYFUNCTION("""COMPUTED_VALUE"""),"CALI")</f>
        <v>CALI</v>
      </c>
      <c r="D9550" s="15" t="str">
        <f>IFERROR(__xludf.DUMMYFUNCTION("""COMPUTED_VALUE"""),"BOGOTÁ")</f>
        <v>BOGOTÁ</v>
      </c>
      <c r="E9550" s="15" t="str">
        <f>IFERROR(__xludf.DUMMYFUNCTION("""COMPUTED_VALUE"""),"LINA PAOLA RAMIREZ GOMEZ - EVA MAZZITA")</f>
        <v>LINA PAOLA RAMIREZ GOMEZ - EVA MAZZITA</v>
      </c>
      <c r="F9550" s="17" t="str">
        <f>IFERROR(__xludf.DUMMYFUNCTION("""COMPUTED_VALUE"""),"CRA 46C No. 55A - 15 / BARRIO CIUDAD CORDOBA")</f>
        <v>CRA 46C No. 55A - 15 / BARRIO CIUDAD CORDOBA</v>
      </c>
      <c r="G9550" s="15" t="str">
        <f>IFERROR(__xludf.DUMMYFUNCTION("""COMPUTED_VALUE"""),"CLAUDIA CANTERO")</f>
        <v>CLAUDIA CANTERO</v>
      </c>
      <c r="H9550" s="16">
        <f>IFERROR(__xludf.DUMMYFUNCTION("""COMPUTED_VALUE"""),18174.0)</f>
        <v>18174</v>
      </c>
      <c r="I9550" s="17"/>
      <c r="J9550" s="17"/>
      <c r="K9550" s="17"/>
      <c r="L9550" s="17">
        <f>IFERROR(__xludf.DUMMYFUNCTION("""COMPUTED_VALUE"""),3.176248548E9)</f>
        <v>3176248548</v>
      </c>
      <c r="M9550" s="17"/>
      <c r="N9550" s="17"/>
      <c r="O9550" s="17"/>
      <c r="P9550" s="17" t="b">
        <f>IFERROR(__xludf.DUMMYFUNCTION("""COMPUTED_VALUE"""),FALSE)</f>
        <v>0</v>
      </c>
      <c r="Q9550" s="20" t="str">
        <f>IFERROR(__xludf.DUMMYFUNCTION("""COMPUTED_VALUE"""),"")</f>
        <v/>
      </c>
      <c r="R9550" s="21" t="str">
        <f>IFERROR(__xludf.DUMMYFUNCTION("""COMPUTED_VALUE"""),"https://drive.google.com/file/d/10Yl912_bXZ3imryjqxG0mkG5TpzDJiTj/view?usp=drivesdk")</f>
        <v>https://drive.google.com/file/d/10Yl912_bXZ3imryjqxG0mkG5TpzDJiTj/view?usp=drivesdk</v>
      </c>
    </row>
    <row r="9551">
      <c r="A9551" s="15">
        <f>IFERROR(__xludf.DUMMYFUNCTION("""COMPUTED_VALUE"""),45272.0)</f>
        <v>45272</v>
      </c>
      <c r="B9551" s="16" t="str">
        <f>IFERROR(__xludf.DUMMYFUNCTION("""COMPUTED_VALUE"""),"Johan Alexander Escobar Arroyo ")</f>
        <v>Johan Alexander Escobar Arroyo </v>
      </c>
      <c r="C9551" s="15" t="str">
        <f>IFERROR(__xludf.DUMMYFUNCTION("""COMPUTED_VALUE"""),"CALI")</f>
        <v>CALI</v>
      </c>
      <c r="D9551" s="15" t="str">
        <f>IFERROR(__xludf.DUMMYFUNCTION("""COMPUTED_VALUE"""),"BOGOTÁ")</f>
        <v>BOGOTÁ</v>
      </c>
      <c r="E9551" s="15" t="str">
        <f>IFERROR(__xludf.DUMMYFUNCTION("""COMPUTED_VALUE"""),"Loomifoods")</f>
        <v>Loomifoods</v>
      </c>
      <c r="F9551" s="17" t="str">
        <f>IFERROR(__xludf.DUMMYFUNCTION("""COMPUTED_VALUE"""),"Carrera 103 # 11-40,  / casa P1 / Sendero del Polo Club")</f>
        <v>Carrera 103 # 11-40,  / casa P1 / Sendero del Polo Club</v>
      </c>
      <c r="G9551" s="15" t="str">
        <f>IFERROR(__xludf.DUMMYFUNCTION("""COMPUTED_VALUE"""),"Johanna Rojas")</f>
        <v>Johanna Rojas</v>
      </c>
      <c r="H9551" s="16">
        <f>IFERROR(__xludf.DUMMYFUNCTION("""COMPUTED_VALUE"""),18159.0)</f>
        <v>18159</v>
      </c>
      <c r="I9551" s="18">
        <f>IFERROR(__xludf.DUMMYFUNCTION("""COMPUTED_VALUE"""),10.0)</f>
        <v>10</v>
      </c>
      <c r="J9551" s="18">
        <f>IFERROR(__xludf.DUMMYFUNCTION("""COMPUTED_VALUE"""),15.0)</f>
        <v>15</v>
      </c>
      <c r="K9551" s="18">
        <f>IFERROR(__xludf.DUMMYFUNCTION("""COMPUTED_VALUE"""),19.0)</f>
        <v>19</v>
      </c>
      <c r="L9551" s="17">
        <f>IFERROR(__xludf.DUMMYFUNCTION("""COMPUTED_VALUE"""),3.183307191E9)</f>
        <v>3183307191</v>
      </c>
      <c r="M9551" s="17"/>
      <c r="N9551" s="17"/>
      <c r="O9551" s="17"/>
      <c r="P9551" s="17" t="b">
        <f>IFERROR(__xludf.DUMMYFUNCTION("""COMPUTED_VALUE"""),FALSE)</f>
        <v>0</v>
      </c>
      <c r="Q9551" s="20" t="str">
        <f>IFERROR(__xludf.DUMMYFUNCTION("""COMPUTED_VALUE"""),"")</f>
        <v/>
      </c>
      <c r="R9551" s="21" t="str">
        <f>IFERROR(__xludf.DUMMYFUNCTION("""COMPUTED_VALUE"""),"https://drive.google.com/file/d/1q-onPEX_Hh4tfxEX6dHCa9zWpCtho3VA/view?usp=drivesdk")</f>
        <v>https://drive.google.com/file/d/1q-onPEX_Hh4tfxEX6dHCa9zWpCtho3VA/view?usp=drivesdk</v>
      </c>
    </row>
    <row r="9552">
      <c r="A9552" s="15">
        <f>IFERROR(__xludf.DUMMYFUNCTION("""COMPUTED_VALUE"""),45272.0)</f>
        <v>45272</v>
      </c>
      <c r="B9552" s="16" t="str">
        <f>IFERROR(__xludf.DUMMYFUNCTION("""COMPUTED_VALUE"""),"Johan Alexander Escobar Arroyo ")</f>
        <v>Johan Alexander Escobar Arroyo </v>
      </c>
      <c r="C9552" s="15" t="str">
        <f>IFERROR(__xludf.DUMMYFUNCTION("""COMPUTED_VALUE"""),"CALI")</f>
        <v>CALI</v>
      </c>
      <c r="D9552" s="15" t="str">
        <f>IFERROR(__xludf.DUMMYFUNCTION("""COMPUTED_VALUE"""),"BOGOTÁ")</f>
        <v>BOGOTÁ</v>
      </c>
      <c r="E9552" s="15" t="str">
        <f>IFERROR(__xludf.DUMMYFUNCTION("""COMPUTED_VALUE"""),"Olü")</f>
        <v>Olü</v>
      </c>
      <c r="F9552" s="17" t="str">
        <f>IFERROR(__xludf.DUMMYFUNCTION("""COMPUTED_VALUE"""),"Cra 48 # 11-49 / Tercer piso / Barrio departamental")</f>
        <v>Cra 48 # 11-49 / Tercer piso / Barrio departamental</v>
      </c>
      <c r="G9552" s="15" t="str">
        <f>IFERROR(__xludf.DUMMYFUNCTION("""COMPUTED_VALUE"""),"Liliana Garcia")</f>
        <v>Liliana Garcia</v>
      </c>
      <c r="H9552" s="16">
        <f>IFERROR(__xludf.DUMMYFUNCTION("""COMPUTED_VALUE"""),18151.0)</f>
        <v>18151</v>
      </c>
      <c r="I9552" s="18">
        <f>IFERROR(__xludf.DUMMYFUNCTION("""COMPUTED_VALUE"""),25.0)</f>
        <v>25</v>
      </c>
      <c r="J9552" s="18">
        <f>IFERROR(__xludf.DUMMYFUNCTION("""COMPUTED_VALUE"""),25.0)</f>
        <v>25</v>
      </c>
      <c r="K9552" s="18">
        <f>IFERROR(__xludf.DUMMYFUNCTION("""COMPUTED_VALUE"""),30.0)</f>
        <v>30</v>
      </c>
      <c r="L9552" s="17">
        <f>IFERROR(__xludf.DUMMYFUNCTION("""COMPUTED_VALUE"""),3.166861478E9)</f>
        <v>3166861478</v>
      </c>
      <c r="M9552" s="17"/>
      <c r="N9552" s="17"/>
      <c r="O9552" s="17"/>
      <c r="P9552" s="17" t="b">
        <f>IFERROR(__xludf.DUMMYFUNCTION("""COMPUTED_VALUE"""),FALSE)</f>
        <v>0</v>
      </c>
      <c r="Q9552" s="20" t="str">
        <f>IFERROR(__xludf.DUMMYFUNCTION("""COMPUTED_VALUE"""),"")</f>
        <v/>
      </c>
      <c r="R9552" s="21" t="str">
        <f>IFERROR(__xludf.DUMMYFUNCTION("""COMPUTED_VALUE"""),"https://drive.google.com/file/d/1-9FndRIu5gr0NBouImAmeWSmkwQjtOs5/view?usp=drivesdk")</f>
        <v>https://drive.google.com/file/d/1-9FndRIu5gr0NBouImAmeWSmkwQjtOs5/view?usp=drivesdk</v>
      </c>
    </row>
    <row r="9553">
      <c r="A9553" s="15">
        <f>IFERROR(__xludf.DUMMYFUNCTION("""COMPUTED_VALUE"""),45272.0)</f>
        <v>45272</v>
      </c>
      <c r="B9553" s="16" t="str">
        <f>IFERROR(__xludf.DUMMYFUNCTION("""COMPUTED_VALUE"""),"Johan Alexander Escobar Arroyo ")</f>
        <v>Johan Alexander Escobar Arroyo </v>
      </c>
      <c r="C9553" s="15" t="str">
        <f>IFERROR(__xludf.DUMMYFUNCTION("""COMPUTED_VALUE"""),"CALI")</f>
        <v>CALI</v>
      </c>
      <c r="D9553" s="15" t="str">
        <f>IFERROR(__xludf.DUMMYFUNCTION("""COMPUTED_VALUE"""),"BOGOTÁ")</f>
        <v>BOGOTÁ</v>
      </c>
      <c r="E9553" s="15" t="str">
        <f>IFERROR(__xludf.DUMMYFUNCTION("""COMPUTED_VALUE"""),"Top Spun")</f>
        <v>Top Spun</v>
      </c>
      <c r="F9553" s="17" t="str">
        <f>IFERROR(__xludf.DUMMYFUNCTION("""COMPUTED_VALUE"""),"Av 9 Norte # 7 - 27 / Apto 501 / Edificio Altos de la Plazuela Barrio Juanambú")</f>
        <v>Av 9 Norte # 7 - 27 / Apto 501 / Edificio Altos de la Plazuela Barrio Juanambú</v>
      </c>
      <c r="G9553" s="15" t="str">
        <f>IFERROR(__xludf.DUMMYFUNCTION("""COMPUTED_VALUE"""),"Maria Victoria Saavedra")</f>
        <v>Maria Victoria Saavedra</v>
      </c>
      <c r="H9553" s="16">
        <f>IFERROR(__xludf.DUMMYFUNCTION("""COMPUTED_VALUE"""),18109.0)</f>
        <v>18109</v>
      </c>
      <c r="I9553" s="18">
        <f>IFERROR(__xludf.DUMMYFUNCTION("""COMPUTED_VALUE"""),20.0)</f>
        <v>20</v>
      </c>
      <c r="J9553" s="18">
        <f>IFERROR(__xludf.DUMMYFUNCTION("""COMPUTED_VALUE"""),10.0)</f>
        <v>10</v>
      </c>
      <c r="K9553" s="18">
        <f>IFERROR(__xludf.DUMMYFUNCTION("""COMPUTED_VALUE"""),40.0)</f>
        <v>40</v>
      </c>
      <c r="L9553" s="17">
        <f>IFERROR(__xludf.DUMMYFUNCTION("""COMPUTED_VALUE"""),3.155620778E9)</f>
        <v>3155620778</v>
      </c>
      <c r="M9553" s="17"/>
      <c r="N9553" s="17"/>
      <c r="O9553" s="17"/>
      <c r="P9553" s="17" t="b">
        <f>IFERROR(__xludf.DUMMYFUNCTION("""COMPUTED_VALUE"""),FALSE)</f>
        <v>0</v>
      </c>
      <c r="Q9553" s="20" t="str">
        <f>IFERROR(__xludf.DUMMYFUNCTION("""COMPUTED_VALUE"""),"")</f>
        <v/>
      </c>
      <c r="R9553" s="21" t="str">
        <f>IFERROR(__xludf.DUMMYFUNCTION("""COMPUTED_VALUE"""),"https://drive.google.com/file/d/1cOHaevIflhCujrRAt6DaiCp3n9Q6e5H3/view?usp=drivesdk")</f>
        <v>https://drive.google.com/file/d/1cOHaevIflhCujrRAt6DaiCp3n9Q6e5H3/view?usp=drivesdk</v>
      </c>
    </row>
    <row r="9554">
      <c r="A9554" s="15">
        <f>IFERROR(__xludf.DUMMYFUNCTION("""COMPUTED_VALUE"""),45272.0)</f>
        <v>45272</v>
      </c>
      <c r="B9554" s="16" t="str">
        <f>IFERROR(__xludf.DUMMYFUNCTION("""COMPUTED_VALUE"""),"Johan Alexander Escobar Arroyo ")</f>
        <v>Johan Alexander Escobar Arroyo </v>
      </c>
      <c r="C9554" s="15" t="str">
        <f>IFERROR(__xludf.DUMMYFUNCTION("""COMPUTED_VALUE"""),"CALI")</f>
        <v>CALI</v>
      </c>
      <c r="D9554" s="15" t="str">
        <f>IFERROR(__xludf.DUMMYFUNCTION("""COMPUTED_VALUE"""),"BUCARAMANGA")</f>
        <v>BUCARAMANGA</v>
      </c>
      <c r="E9554" s="15" t="str">
        <f>IFERROR(__xludf.DUMMYFUNCTION("""COMPUTED_VALUE"""),"Yo Como Solito")</f>
        <v>Yo Como Solito</v>
      </c>
      <c r="F9554" s="17" t="str">
        <f>IFERROR(__xludf.DUMMYFUNCTION("""COMPUTED_VALUE"""),"CALLE 59 # 93-130 APARTAMENTO 604 TORRE 2 UNIDAD TERRACOTA A BARRIO CIUDAD MELENDEZ / VALLE DEK LILI / CALLE 59 # 93-130 APARTAMENTO 604 TORRE 2 UNIDAD TERRACOTA A BARRIO CIUDAD MELENDEZ / VALLE DEK LILI / CALLE 59 # 93-130 APARTAMENTO 604 TORRE 2 UNIDAD "&amp;"TERRACOTA A BARRIO CIUDAD MELENDEZ / VALLE DEK LILI")</f>
        <v>CALLE 59 # 93-130 APARTAMENTO 604 TORRE 2 UNIDAD TERRACOTA A BARRIO CIUDAD MELENDEZ / VALLE DEK LILI / CALLE 59 # 93-130 APARTAMENTO 604 TORRE 2 UNIDAD TERRACOTA A BARRIO CIUDAD MELENDEZ / VALLE DEK LILI / CALLE 59 # 93-130 APARTAMENTO 604 TORRE 2 UNIDAD TERRACOTA A BARRIO CIUDAD MELENDEZ / VALLE DEK LILI</v>
      </c>
      <c r="G9554" s="15" t="str">
        <f>IFERROR(__xludf.DUMMYFUNCTION("""COMPUTED_VALUE"""),"JIREH PAULINE RAMOS")</f>
        <v>JIREH PAULINE RAMOS</v>
      </c>
      <c r="H9554" s="16">
        <f>IFERROR(__xludf.DUMMYFUNCTION("""COMPUTED_VALUE"""),18105.0)</f>
        <v>18105</v>
      </c>
      <c r="I9554" s="18">
        <f>IFERROR(__xludf.DUMMYFUNCTION("""COMPUTED_VALUE"""),26.0)</f>
        <v>26</v>
      </c>
      <c r="J9554" s="18">
        <f>IFERROR(__xludf.DUMMYFUNCTION("""COMPUTED_VALUE"""),38.0)</f>
        <v>38</v>
      </c>
      <c r="K9554" s="18">
        <f>IFERROR(__xludf.DUMMYFUNCTION("""COMPUTED_VALUE"""),38.0)</f>
        <v>38</v>
      </c>
      <c r="L9554" s="17">
        <f>IFERROR(__xludf.DUMMYFUNCTION("""COMPUTED_VALUE"""),3.175170844E9)</f>
        <v>3175170844</v>
      </c>
      <c r="M9554" s="17"/>
      <c r="N9554" s="17"/>
      <c r="O9554" s="17"/>
      <c r="P9554" s="17" t="b">
        <f>IFERROR(__xludf.DUMMYFUNCTION("""COMPUTED_VALUE"""),FALSE)</f>
        <v>0</v>
      </c>
      <c r="Q9554" s="20" t="str">
        <f>IFERROR(__xludf.DUMMYFUNCTION("""COMPUTED_VALUE"""),"")</f>
        <v/>
      </c>
      <c r="R9554" s="21" t="str">
        <f>IFERROR(__xludf.DUMMYFUNCTION("""COMPUTED_VALUE"""),"https://drive.google.com/file/d/1kv-V4tCayMH3eRGyXap4aT8iKNtAYCIP/view?usp=drivesdk")</f>
        <v>https://drive.google.com/file/d/1kv-V4tCayMH3eRGyXap4aT8iKNtAYCIP/view?usp=drivesdk</v>
      </c>
    </row>
    <row r="9555">
      <c r="A9555" s="17" t="str">
        <f>IFERROR(__xludf.DUMMYFUNCTION("""COMPUTED_VALUE"""),"")</f>
        <v/>
      </c>
      <c r="B9555" s="17" t="str">
        <f>IFERROR(__xludf.DUMMYFUNCTION("""COMPUTED_VALUE"""),"")</f>
        <v/>
      </c>
      <c r="C9555" s="17" t="str">
        <f>IFERROR(__xludf.DUMMYFUNCTION("""COMPUTED_VALUE"""),"")</f>
        <v/>
      </c>
      <c r="D9555" s="17" t="str">
        <f>IFERROR(__xludf.DUMMYFUNCTION("""COMPUTED_VALUE"""),"")</f>
        <v/>
      </c>
      <c r="E9555" s="17" t="str">
        <f>IFERROR(__xludf.DUMMYFUNCTION("""COMPUTED_VALUE"""),"")</f>
        <v/>
      </c>
      <c r="F9555" s="17" t="str">
        <f>IFERROR(__xludf.DUMMYFUNCTION("""COMPUTED_VALUE"""),"")</f>
        <v/>
      </c>
      <c r="G9555" s="17" t="str">
        <f>IFERROR(__xludf.DUMMYFUNCTION("""COMPUTED_VALUE"""),"")</f>
        <v/>
      </c>
      <c r="H9555" s="17" t="str">
        <f>IFERROR(__xludf.DUMMYFUNCTION("""COMPUTED_VALUE"""),"")</f>
        <v/>
      </c>
      <c r="I9555" s="17" t="str">
        <f>IFERROR(__xludf.DUMMYFUNCTION("""COMPUTED_VALUE"""),"")</f>
        <v/>
      </c>
      <c r="J9555" s="17" t="str">
        <f>IFERROR(__xludf.DUMMYFUNCTION("""COMPUTED_VALUE"""),"")</f>
        <v/>
      </c>
      <c r="K9555" s="17" t="str">
        <f>IFERROR(__xludf.DUMMYFUNCTION("""COMPUTED_VALUE"""),"")</f>
        <v/>
      </c>
      <c r="L9555" s="17" t="str">
        <f>IFERROR(__xludf.DUMMYFUNCTION("""COMPUTED_VALUE"""),"")</f>
        <v/>
      </c>
      <c r="M9555" s="17" t="str">
        <f>IFERROR(__xludf.DUMMYFUNCTION("""COMPUTED_VALUE"""),"")</f>
        <v/>
      </c>
      <c r="N9555" s="17" t="str">
        <f>IFERROR(__xludf.DUMMYFUNCTION("""COMPUTED_VALUE"""),"")</f>
        <v/>
      </c>
      <c r="O9555" s="17" t="str">
        <f>IFERROR(__xludf.DUMMYFUNCTION("""COMPUTED_VALUE"""),"")</f>
        <v/>
      </c>
      <c r="P9555" s="17" t="str">
        <f>IFERROR(__xludf.DUMMYFUNCTION("""COMPUTED_VALUE"""),"")</f>
        <v/>
      </c>
      <c r="Q9555" s="17" t="str">
        <f>IFERROR(__xludf.DUMMYFUNCTION("""COMPUTED_VALUE"""),"")</f>
        <v/>
      </c>
      <c r="R9555" s="17" t="str">
        <f>IFERROR(__xludf.DUMMYFUNCTION("""COMPUTED_VALUE"""),"")</f>
        <v/>
      </c>
    </row>
    <row r="9556">
      <c r="A9556" s="15">
        <f>IFERROR(__xludf.DUMMYFUNCTION("""COMPUTED_VALUE"""),45272.0)</f>
        <v>45272</v>
      </c>
      <c r="B9556" s="16" t="str">
        <f>IFERROR(__xludf.DUMMYFUNCTION("""COMPUTED_VALUE"""),"Johanna Arango Barrera")</f>
        <v>Johanna Arango Barrera</v>
      </c>
      <c r="C9556" s="15" t="str">
        <f>IFERROR(__xludf.DUMMYFUNCTION("""COMPUTED_VALUE"""),"BUCARAMANGA")</f>
        <v>BUCARAMANGA</v>
      </c>
      <c r="D9556" s="15" t="str">
        <f>IFERROR(__xludf.DUMMYFUNCTION("""COMPUTED_VALUE"""),"BOGOTÁ")</f>
        <v>BOGOTÁ</v>
      </c>
      <c r="E9556" s="15" t="str">
        <f>IFERROR(__xludf.DUMMYFUNCTION("""COMPUTED_VALUE"""),"Loomifoods")</f>
        <v>Loomifoods</v>
      </c>
      <c r="F9556" s="17" t="str">
        <f>IFERROR(__xludf.DUMMYFUNCTION("""COMPUTED_VALUE"""),"Calle 74a no. 49 - 63 / Casa 98 / Palmeras del Cacique 1")</f>
        <v>Calle 74a no. 49 - 63 / Casa 98 / Palmeras del Cacique 1</v>
      </c>
      <c r="G9556" s="15" t="str">
        <f>IFERROR(__xludf.DUMMYFUNCTION("""COMPUTED_VALUE"""),"Lina Osorio")</f>
        <v>Lina Osorio</v>
      </c>
      <c r="H9556" s="16">
        <f>IFERROR(__xludf.DUMMYFUNCTION("""COMPUTED_VALUE"""),18158.0)</f>
        <v>18158</v>
      </c>
      <c r="I9556" s="18">
        <f>IFERROR(__xludf.DUMMYFUNCTION("""COMPUTED_VALUE"""),19.0)</f>
        <v>19</v>
      </c>
      <c r="J9556" s="18">
        <f>IFERROR(__xludf.DUMMYFUNCTION("""COMPUTED_VALUE"""),10.0)</f>
        <v>10</v>
      </c>
      <c r="K9556" s="18">
        <f>IFERROR(__xludf.DUMMYFUNCTION("""COMPUTED_VALUE"""),16.0)</f>
        <v>16</v>
      </c>
      <c r="L9556" s="17">
        <f>IFERROR(__xludf.DUMMYFUNCTION("""COMPUTED_VALUE"""),3.168658753E9)</f>
        <v>3168658753</v>
      </c>
      <c r="M9556" s="17"/>
      <c r="N9556" s="17"/>
      <c r="O9556" s="17"/>
      <c r="P9556" s="17" t="b">
        <f>IFERROR(__xludf.DUMMYFUNCTION("""COMPUTED_VALUE"""),FALSE)</f>
        <v>0</v>
      </c>
      <c r="Q9556" s="20" t="str">
        <f>IFERROR(__xludf.DUMMYFUNCTION("""COMPUTED_VALUE"""),"")</f>
        <v/>
      </c>
      <c r="R9556" s="21" t="str">
        <f>IFERROR(__xludf.DUMMYFUNCTION("""COMPUTED_VALUE"""),"https://drive.google.com/file/d/1TQPz-vyZKAIXDSrLEMdBBRW-O2GWANtV/view?usp=drivesdk")</f>
        <v>https://drive.google.com/file/d/1TQPz-vyZKAIXDSrLEMdBBRW-O2GWANtV/view?usp=drivesdk</v>
      </c>
    </row>
    <row r="9557">
      <c r="A9557" s="15">
        <f>IFERROR(__xludf.DUMMYFUNCTION("""COMPUTED_VALUE"""),45272.0)</f>
        <v>45272</v>
      </c>
      <c r="B9557" s="16" t="str">
        <f>IFERROR(__xludf.DUMMYFUNCTION("""COMPUTED_VALUE"""),"Johanna Arango Barrera")</f>
        <v>Johanna Arango Barrera</v>
      </c>
      <c r="C9557" s="15" t="str">
        <f>IFERROR(__xludf.DUMMYFUNCTION("""COMPUTED_VALUE"""),"BUCARAMANGA")</f>
        <v>BUCARAMANGA</v>
      </c>
      <c r="D9557" s="15" t="str">
        <f>IFERROR(__xludf.DUMMYFUNCTION("""COMPUTED_VALUE"""),"BOGOTÁ")</f>
        <v>BOGOTÁ</v>
      </c>
      <c r="E9557" s="15" t="str">
        <f>IFERROR(__xludf.DUMMYFUNCTION("""COMPUTED_VALUE"""),"MAI ALIMENTOS REALES")</f>
        <v>MAI ALIMENTOS REALES</v>
      </c>
      <c r="F9557" s="17" t="str">
        <f>IFERROR(__xludf.DUMMYFUNCTION("""COMPUTED_VALUE"""),"Carrera 36#41-59 Local 5 / Local 5 - Fit Store Express")</f>
        <v>Carrera 36#41-59 Local 5 / Local 5 - Fit Store Express</v>
      </c>
      <c r="G9557" s="15" t="str">
        <f>IFERROR(__xludf.DUMMYFUNCTION("""COMPUTED_VALUE"""),"Fit Store Express")</f>
        <v>Fit Store Express</v>
      </c>
      <c r="H9557" s="16">
        <f>IFERROR(__xludf.DUMMYFUNCTION("""COMPUTED_VALUE"""),18122.0)</f>
        <v>18122</v>
      </c>
      <c r="I9557" s="17"/>
      <c r="J9557" s="17"/>
      <c r="K9557" s="17"/>
      <c r="L9557" s="17">
        <f>IFERROR(__xludf.DUMMYFUNCTION("""COMPUTED_VALUE"""),3.005711168E9)</f>
        <v>3005711168</v>
      </c>
      <c r="M9557" s="17"/>
      <c r="N9557" s="17"/>
      <c r="O9557" s="17"/>
      <c r="P9557" s="17" t="b">
        <f>IFERROR(__xludf.DUMMYFUNCTION("""COMPUTED_VALUE"""),FALSE)</f>
        <v>0</v>
      </c>
      <c r="Q9557" s="20" t="str">
        <f>IFERROR(__xludf.DUMMYFUNCTION("""COMPUTED_VALUE"""),"")</f>
        <v/>
      </c>
      <c r="R9557" s="21" t="str">
        <f>IFERROR(__xludf.DUMMYFUNCTION("""COMPUTED_VALUE"""),"https://drive.google.com/file/d/1y71pPQmIQ41eUQBE7pnayHqYGz5PPhZw/view?usp=drivesdk")</f>
        <v>https://drive.google.com/file/d/1y71pPQmIQ41eUQBE7pnayHqYGz5PPhZw/view?usp=drivesdk</v>
      </c>
    </row>
    <row r="9558">
      <c r="A9558" s="15">
        <f>IFERROR(__xludf.DUMMYFUNCTION("""COMPUTED_VALUE"""),45272.0)</f>
        <v>45272</v>
      </c>
      <c r="B9558" s="16" t="str">
        <f>IFERROR(__xludf.DUMMYFUNCTION("""COMPUTED_VALUE"""),"Johanna Arango Barrera")</f>
        <v>Johanna Arango Barrera</v>
      </c>
      <c r="C9558" s="15" t="str">
        <f>IFERROR(__xludf.DUMMYFUNCTION("""COMPUTED_VALUE"""),"BUCARAMANGA")</f>
        <v>BUCARAMANGA</v>
      </c>
      <c r="D9558" s="15" t="str">
        <f>IFERROR(__xludf.DUMMYFUNCTION("""COMPUTED_VALUE"""),"BOGOTÁ")</f>
        <v>BOGOTÁ</v>
      </c>
      <c r="E9558" s="15" t="str">
        <f>IFERROR(__xludf.DUMMYFUNCTION("""COMPUTED_VALUE"""),"Spirulina Fresca")</f>
        <v>Spirulina Fresca</v>
      </c>
      <c r="F9558" s="17" t="str">
        <f>IFERROR(__xludf.DUMMYFUNCTION("""COMPUTED_VALUE"""),"Calle 44 # 36-30  / portal de la sierra apto 1303  / Bucaramanga")</f>
        <v>Calle 44 # 36-30  / portal de la sierra apto 1303  / Bucaramanga</v>
      </c>
      <c r="G9558" s="15" t="str">
        <f>IFERROR(__xludf.DUMMYFUNCTION("""COMPUTED_VALUE"""),"Fernando Mier")</f>
        <v>Fernando Mier</v>
      </c>
      <c r="H9558" s="16">
        <f>IFERROR(__xludf.DUMMYFUNCTION("""COMPUTED_VALUE"""),18216.0)</f>
        <v>18216</v>
      </c>
      <c r="I9558" s="18">
        <f>IFERROR(__xludf.DUMMYFUNCTION("""COMPUTED_VALUE"""),5.0)</f>
        <v>5</v>
      </c>
      <c r="J9558" s="18">
        <f>IFERROR(__xludf.DUMMYFUNCTION("""COMPUTED_VALUE"""),5.0)</f>
        <v>5</v>
      </c>
      <c r="K9558" s="18">
        <f>IFERROR(__xludf.DUMMYFUNCTION("""COMPUTED_VALUE"""),22.0)</f>
        <v>22</v>
      </c>
      <c r="L9558" s="17">
        <f>IFERROR(__xludf.DUMMYFUNCTION("""COMPUTED_VALUE"""),3.012789719E9)</f>
        <v>3012789719</v>
      </c>
      <c r="M9558" s="17"/>
      <c r="N9558" s="17"/>
      <c r="O9558" s="17"/>
      <c r="P9558" s="17" t="b">
        <f>IFERROR(__xludf.DUMMYFUNCTION("""COMPUTED_VALUE"""),FALSE)</f>
        <v>0</v>
      </c>
      <c r="Q9558" s="20" t="str">
        <f>IFERROR(__xludf.DUMMYFUNCTION("""COMPUTED_VALUE"""),"")</f>
        <v/>
      </c>
      <c r="R9558" s="21" t="str">
        <f>IFERROR(__xludf.DUMMYFUNCTION("""COMPUTED_VALUE"""),"https://drive.google.com/file/d/1RNQcGgGWjZwFQngl107eeBi45Dy_YwGw/view?usp=drivesdk")</f>
        <v>https://drive.google.com/file/d/1RNQcGgGWjZwFQngl107eeBi45Dy_YwGw/view?usp=drivesdk</v>
      </c>
    </row>
    <row r="9559">
      <c r="A9559" s="15">
        <f>IFERROR(__xludf.DUMMYFUNCTION("""COMPUTED_VALUE"""),45272.0)</f>
        <v>45272</v>
      </c>
      <c r="B9559" s="16" t="str">
        <f>IFERROR(__xludf.DUMMYFUNCTION("""COMPUTED_VALUE"""),"Johanna Arango Barrera")</f>
        <v>Johanna Arango Barrera</v>
      </c>
      <c r="C9559" s="15" t="str">
        <f>IFERROR(__xludf.DUMMYFUNCTION("""COMPUTED_VALUE"""),"FLORIDABLANCA")</f>
        <v>FLORIDABLANCA</v>
      </c>
      <c r="D9559" s="15" t="str">
        <f>IFERROR(__xludf.DUMMYFUNCTION("""COMPUTED_VALUE"""),"BOGOTÁ")</f>
        <v>BOGOTÁ</v>
      </c>
      <c r="E9559" s="15" t="str">
        <f>IFERROR(__xludf.DUMMYFUNCTION("""COMPUTED_VALUE"""),"Cakelab")</f>
        <v>Cakelab</v>
      </c>
      <c r="F9559" s="17" t="str">
        <f>IFERROR(__xludf.DUMMYFUNCTION("""COMPUTED_VALUE"""),"Km 2.7 vía ruitoque bajo. / Conjunto portal de trinitarios. Casa 1")</f>
        <v>Km 2.7 vía ruitoque bajo. / Conjunto portal de trinitarios. Casa 1</v>
      </c>
      <c r="G9559" s="15" t="str">
        <f>IFERROR(__xludf.DUMMYFUNCTION("""COMPUTED_VALUE"""),"Natalia rey")</f>
        <v>Natalia rey</v>
      </c>
      <c r="H9559" s="16">
        <f>IFERROR(__xludf.DUMMYFUNCTION("""COMPUTED_VALUE"""),18142.0)</f>
        <v>18142</v>
      </c>
      <c r="I9559" s="17"/>
      <c r="J9559" s="17"/>
      <c r="K9559" s="17"/>
      <c r="L9559" s="17">
        <f>IFERROR(__xludf.DUMMYFUNCTION("""COMPUTED_VALUE"""),3.114805642E9)</f>
        <v>3114805642</v>
      </c>
      <c r="M9559" s="17"/>
      <c r="N9559" s="17"/>
      <c r="O9559" s="17"/>
      <c r="P9559" s="17" t="b">
        <f>IFERROR(__xludf.DUMMYFUNCTION("""COMPUTED_VALUE"""),FALSE)</f>
        <v>0</v>
      </c>
      <c r="Q9559" s="20" t="str">
        <f>IFERROR(__xludf.DUMMYFUNCTION("""COMPUTED_VALUE"""),"")</f>
        <v/>
      </c>
      <c r="R9559" s="21" t="str">
        <f>IFERROR(__xludf.DUMMYFUNCTION("""COMPUTED_VALUE"""),"https://drive.google.com/file/d/1ukAKK5r9mARIXLeJeITXJVMnIIxKfM8w/view?usp=drivesdk")</f>
        <v>https://drive.google.com/file/d/1ukAKK5r9mARIXLeJeITXJVMnIIxKfM8w/view?usp=drivesdk</v>
      </c>
    </row>
    <row r="9560">
      <c r="A9560" s="15">
        <f>IFERROR(__xludf.DUMMYFUNCTION("""COMPUTED_VALUE"""),45272.0)</f>
        <v>45272</v>
      </c>
      <c r="B9560" s="16" t="str">
        <f>IFERROR(__xludf.DUMMYFUNCTION("""COMPUTED_VALUE"""),"Johanna Arango Barrera")</f>
        <v>Johanna Arango Barrera</v>
      </c>
      <c r="C9560" s="15" t="str">
        <f>IFERROR(__xludf.DUMMYFUNCTION("""COMPUTED_VALUE"""),"FLORIDABLANCA")</f>
        <v>FLORIDABLANCA</v>
      </c>
      <c r="D9560" s="15" t="str">
        <f>IFERROR(__xludf.DUMMYFUNCTION("""COMPUTED_VALUE"""),"BOGOTÁ")</f>
        <v>BOGOTÁ</v>
      </c>
      <c r="E9560" s="15" t="str">
        <f>IFERROR(__xludf.DUMMYFUNCTION("""COMPUTED_VALUE"""),"Instinto alimento vital")</f>
        <v>Instinto alimento vital</v>
      </c>
      <c r="F9560" s="17" t="str">
        <f>IFERROR(__xludf.DUMMYFUNCTION("""COMPUTED_VALUE"""),"CALLE 119 # 36-20 / ZAPAMANGA 3 ETAPA FLORIDABLANCA - SANTANDER")</f>
        <v>CALLE 119 # 36-20 / ZAPAMANGA 3 ETAPA FLORIDABLANCA - SANTANDER</v>
      </c>
      <c r="G9560" s="15" t="str">
        <f>IFERROR(__xludf.DUMMYFUNCTION("""COMPUTED_VALUE"""),"JONNY ALBERTO LOPEZ MACANA")</f>
        <v>JONNY ALBERTO LOPEZ MACANA</v>
      </c>
      <c r="H9560" s="16">
        <f>IFERROR(__xludf.DUMMYFUNCTION("""COMPUTED_VALUE"""),18125.0)</f>
        <v>18125</v>
      </c>
      <c r="I9560" s="17"/>
      <c r="J9560" s="17"/>
      <c r="K9560" s="17"/>
      <c r="L9560" s="17">
        <f>IFERROR(__xludf.DUMMYFUNCTION("""COMPUTED_VALUE"""),3.165331773E9)</f>
        <v>3165331773</v>
      </c>
      <c r="M9560" s="17"/>
      <c r="N9560" s="17"/>
      <c r="O9560" s="17"/>
      <c r="P9560" s="17" t="b">
        <f>IFERROR(__xludf.DUMMYFUNCTION("""COMPUTED_VALUE"""),FALSE)</f>
        <v>0</v>
      </c>
      <c r="Q9560" s="20" t="str">
        <f>IFERROR(__xludf.DUMMYFUNCTION("""COMPUTED_VALUE"""),"")</f>
        <v/>
      </c>
      <c r="R9560" s="21" t="str">
        <f>IFERROR(__xludf.DUMMYFUNCTION("""COMPUTED_VALUE"""),"https://drive.google.com/file/d/1wZF9bcek1tnKQlQYdkh3ArjRN9UeINFy/view?usp=drivesdk")</f>
        <v>https://drive.google.com/file/d/1wZF9bcek1tnKQlQYdkh3ArjRN9UeINFy/view?usp=drivesdk</v>
      </c>
    </row>
    <row r="9561">
      <c r="A9561" s="15">
        <f>IFERROR(__xludf.DUMMYFUNCTION("""COMPUTED_VALUE"""),45272.0)</f>
        <v>45272</v>
      </c>
      <c r="B9561" s="16" t="str">
        <f>IFERROR(__xludf.DUMMYFUNCTION("""COMPUTED_VALUE"""),"Johanna Arango Barrera")</f>
        <v>Johanna Arango Barrera</v>
      </c>
      <c r="C9561" s="15" t="str">
        <f>IFERROR(__xludf.DUMMYFUNCTION("""COMPUTED_VALUE"""),"FLORIDABLANCA")</f>
        <v>FLORIDABLANCA</v>
      </c>
      <c r="D9561" s="15" t="str">
        <f>IFERROR(__xludf.DUMMYFUNCTION("""COMPUTED_VALUE"""),"BOGOTÁ")</f>
        <v>BOGOTÁ</v>
      </c>
      <c r="E9561" s="15" t="str">
        <f>IFERROR(__xludf.DUMMYFUNCTION("""COMPUTED_VALUE"""),"Instinto alimento vital")</f>
        <v>Instinto alimento vital</v>
      </c>
      <c r="F9561" s="17" t="str">
        <f>IFERROR(__xludf.DUMMYFUNCTION("""COMPUTED_VALUE"""),"CLL 200 #13-200 / TR 2 APTO 1504")</f>
        <v>CLL 200 #13-200 / TR 2 APTO 1504</v>
      </c>
      <c r="G9561" s="15" t="str">
        <f>IFERROR(__xludf.DUMMYFUNCTION("""COMPUTED_VALUE"""),"VIVIANA CECILIA GUZMAN GHISSAYS")</f>
        <v>VIVIANA CECILIA GUZMAN GHISSAYS</v>
      </c>
      <c r="H9561" s="16">
        <f>IFERROR(__xludf.DUMMYFUNCTION("""COMPUTED_VALUE"""),18191.0)</f>
        <v>18191</v>
      </c>
      <c r="I9561" s="17"/>
      <c r="J9561" s="17"/>
      <c r="K9561" s="17"/>
      <c r="L9561" s="17">
        <f>IFERROR(__xludf.DUMMYFUNCTION("""COMPUTED_VALUE"""),3.183879871E9)</f>
        <v>3183879871</v>
      </c>
      <c r="M9561" s="17"/>
      <c r="N9561" s="17"/>
      <c r="O9561" s="17"/>
      <c r="P9561" s="17" t="b">
        <f>IFERROR(__xludf.DUMMYFUNCTION("""COMPUTED_VALUE"""),FALSE)</f>
        <v>0</v>
      </c>
      <c r="Q9561" s="20" t="str">
        <f>IFERROR(__xludf.DUMMYFUNCTION("""COMPUTED_VALUE"""),"")</f>
        <v/>
      </c>
      <c r="R9561" s="21" t="str">
        <f>IFERROR(__xludf.DUMMYFUNCTION("""COMPUTED_VALUE"""),"https://drive.google.com/file/d/1-RD0n4R7XypmbradBAmJRfIy_NOD3B64/view?usp=drivesdk")</f>
        <v>https://drive.google.com/file/d/1-RD0n4R7XypmbradBAmJRfIy_NOD3B64/view?usp=drivesdk</v>
      </c>
    </row>
    <row r="9562">
      <c r="A9562" s="15">
        <f>IFERROR(__xludf.DUMMYFUNCTION("""COMPUTED_VALUE"""),45272.0)</f>
        <v>45272</v>
      </c>
      <c r="B9562" s="16" t="str">
        <f>IFERROR(__xludf.DUMMYFUNCTION("""COMPUTED_VALUE"""),"Johanna Arango Barrera")</f>
        <v>Johanna Arango Barrera</v>
      </c>
      <c r="C9562" s="15" t="str">
        <f>IFERROR(__xludf.DUMMYFUNCTION("""COMPUTED_VALUE"""),"FLORIDABLANCA")</f>
        <v>FLORIDABLANCA</v>
      </c>
      <c r="D9562" s="15" t="str">
        <f>IFERROR(__xludf.DUMMYFUNCTION("""COMPUTED_VALUE"""),"BOGOTÁ")</f>
        <v>BOGOTÁ</v>
      </c>
      <c r="E9562" s="15" t="str">
        <f>IFERROR(__xludf.DUMMYFUNCTION("""COMPUTED_VALUE"""),"Instinto alimento vital")</f>
        <v>Instinto alimento vital</v>
      </c>
      <c r="F9562" s="17" t="str">
        <f>IFERROR(__xludf.DUMMYFUNCTION("""COMPUTED_VALUE"""),"CRA 21 # 35-264 / CASA 47 QUINTAS CAMPESTRES")</f>
        <v>CRA 21 # 35-264 / CASA 47 QUINTAS CAMPESTRES</v>
      </c>
      <c r="G9562" s="15" t="str">
        <f>IFERROR(__xludf.DUMMYFUNCTION("""COMPUTED_VALUE"""),"KAROL JAMES LEMUS")</f>
        <v>KAROL JAMES LEMUS</v>
      </c>
      <c r="H9562" s="16">
        <f>IFERROR(__xludf.DUMMYFUNCTION("""COMPUTED_VALUE"""),18127.0)</f>
        <v>18127</v>
      </c>
      <c r="I9562" s="17"/>
      <c r="J9562" s="17"/>
      <c r="K9562" s="17"/>
      <c r="L9562" s="17">
        <f>IFERROR(__xludf.DUMMYFUNCTION("""COMPUTED_VALUE"""),3.11228878E9)</f>
        <v>3112288780</v>
      </c>
      <c r="M9562" s="17"/>
      <c r="N9562" s="17"/>
      <c r="O9562" s="17"/>
      <c r="P9562" s="17" t="b">
        <f>IFERROR(__xludf.DUMMYFUNCTION("""COMPUTED_VALUE"""),FALSE)</f>
        <v>0</v>
      </c>
      <c r="Q9562" s="20" t="str">
        <f>IFERROR(__xludf.DUMMYFUNCTION("""COMPUTED_VALUE"""),"")</f>
        <v/>
      </c>
      <c r="R9562" s="21" t="str">
        <f>IFERROR(__xludf.DUMMYFUNCTION("""COMPUTED_VALUE"""),"https://drive.google.com/file/d/12vipdT8Gz3w94Pg5dhCdHHX4VLtopeFG/view?usp=drivesdk")</f>
        <v>https://drive.google.com/file/d/12vipdT8Gz3w94Pg5dhCdHHX4VLtopeFG/view?usp=drivesdk</v>
      </c>
    </row>
    <row r="9563">
      <c r="A9563" s="15">
        <f>IFERROR(__xludf.DUMMYFUNCTION("""COMPUTED_VALUE"""),45272.0)</f>
        <v>45272</v>
      </c>
      <c r="B9563" s="16" t="str">
        <f>IFERROR(__xludf.DUMMYFUNCTION("""COMPUTED_VALUE"""),"Johanna Arango Barrera")</f>
        <v>Johanna Arango Barrera</v>
      </c>
      <c r="C9563" s="15" t="str">
        <f>IFERROR(__xludf.DUMMYFUNCTION("""COMPUTED_VALUE"""),"FLORIDABLANCA")</f>
        <v>FLORIDABLANCA</v>
      </c>
      <c r="D9563" s="15" t="str">
        <f>IFERROR(__xludf.DUMMYFUNCTION("""COMPUTED_VALUE"""),"BOGOTÁ")</f>
        <v>BOGOTÁ</v>
      </c>
      <c r="E9563" s="15" t="str">
        <f>IFERROR(__xludf.DUMMYFUNCTION("""COMPUTED_VALUE"""),"Top Spun")</f>
        <v>Top Spun</v>
      </c>
      <c r="F9563" s="17" t="str">
        <f>IFERROR(__xludf.DUMMYFUNCTION("""COMPUTED_VALUE"""),"Km 7 vía Piedecuesta Ruitoque Condominio / Conjunto valle de rocas / casa 42")</f>
        <v>Km 7 vía Piedecuesta Ruitoque Condominio / Conjunto valle de rocas / casa 42</v>
      </c>
      <c r="G9563" s="15" t="str">
        <f>IFERROR(__xludf.DUMMYFUNCTION("""COMPUTED_VALUE"""),"Claudia Florez")</f>
        <v>Claudia Florez</v>
      </c>
      <c r="H9563" s="16">
        <f>IFERROR(__xludf.DUMMYFUNCTION("""COMPUTED_VALUE"""),18153.0)</f>
        <v>18153</v>
      </c>
      <c r="I9563" s="18">
        <f>IFERROR(__xludf.DUMMYFUNCTION("""COMPUTED_VALUE"""),20.0)</f>
        <v>20</v>
      </c>
      <c r="J9563" s="18">
        <f>IFERROR(__xludf.DUMMYFUNCTION("""COMPUTED_VALUE"""),10.0)</f>
        <v>10</v>
      </c>
      <c r="K9563" s="18">
        <f>IFERROR(__xludf.DUMMYFUNCTION("""COMPUTED_VALUE"""),40.0)</f>
        <v>40</v>
      </c>
      <c r="L9563" s="17">
        <f>IFERROR(__xludf.DUMMYFUNCTION("""COMPUTED_VALUE"""),3.17646228E9)</f>
        <v>3176462280</v>
      </c>
      <c r="M9563" s="17"/>
      <c r="N9563" s="17"/>
      <c r="O9563" s="17"/>
      <c r="P9563" s="17" t="b">
        <f>IFERROR(__xludf.DUMMYFUNCTION("""COMPUTED_VALUE"""),FALSE)</f>
        <v>0</v>
      </c>
      <c r="Q9563" s="20" t="str">
        <f>IFERROR(__xludf.DUMMYFUNCTION("""COMPUTED_VALUE"""),"")</f>
        <v/>
      </c>
      <c r="R9563" s="21" t="str">
        <f>IFERROR(__xludf.DUMMYFUNCTION("""COMPUTED_VALUE"""),"https://drive.google.com/file/d/1E5soWMg2soqfL1eAcEykkpPk5m6Awl9Y/view?usp=drivesdk")</f>
        <v>https://drive.google.com/file/d/1E5soWMg2soqfL1eAcEykkpPk5m6Awl9Y/view?usp=drivesdk</v>
      </c>
    </row>
    <row r="9564">
      <c r="A9564" s="17" t="str">
        <f>IFERROR(__xludf.DUMMYFUNCTION("""COMPUTED_VALUE"""),"")</f>
        <v/>
      </c>
      <c r="B9564" s="17" t="str">
        <f>IFERROR(__xludf.DUMMYFUNCTION("""COMPUTED_VALUE"""),"")</f>
        <v/>
      </c>
      <c r="C9564" s="17" t="str">
        <f>IFERROR(__xludf.DUMMYFUNCTION("""COMPUTED_VALUE"""),"")</f>
        <v/>
      </c>
      <c r="D9564" s="17" t="str">
        <f>IFERROR(__xludf.DUMMYFUNCTION("""COMPUTED_VALUE"""),"")</f>
        <v/>
      </c>
      <c r="E9564" s="17" t="str">
        <f>IFERROR(__xludf.DUMMYFUNCTION("""COMPUTED_VALUE"""),"")</f>
        <v/>
      </c>
      <c r="F9564" s="17" t="str">
        <f>IFERROR(__xludf.DUMMYFUNCTION("""COMPUTED_VALUE"""),"")</f>
        <v/>
      </c>
      <c r="G9564" s="17" t="str">
        <f>IFERROR(__xludf.DUMMYFUNCTION("""COMPUTED_VALUE"""),"")</f>
        <v/>
      </c>
      <c r="H9564" s="17" t="str">
        <f>IFERROR(__xludf.DUMMYFUNCTION("""COMPUTED_VALUE"""),"")</f>
        <v/>
      </c>
      <c r="I9564" s="17" t="str">
        <f>IFERROR(__xludf.DUMMYFUNCTION("""COMPUTED_VALUE"""),"")</f>
        <v/>
      </c>
      <c r="J9564" s="17" t="str">
        <f>IFERROR(__xludf.DUMMYFUNCTION("""COMPUTED_VALUE"""),"")</f>
        <v/>
      </c>
      <c r="K9564" s="17" t="str">
        <f>IFERROR(__xludf.DUMMYFUNCTION("""COMPUTED_VALUE"""),"")</f>
        <v/>
      </c>
      <c r="L9564" s="17" t="str">
        <f>IFERROR(__xludf.DUMMYFUNCTION("""COMPUTED_VALUE"""),"")</f>
        <v/>
      </c>
      <c r="M9564" s="17" t="str">
        <f>IFERROR(__xludf.DUMMYFUNCTION("""COMPUTED_VALUE"""),"")</f>
        <v/>
      </c>
      <c r="N9564" s="17" t="str">
        <f>IFERROR(__xludf.DUMMYFUNCTION("""COMPUTED_VALUE"""),"")</f>
        <v/>
      </c>
      <c r="O9564" s="17" t="str">
        <f>IFERROR(__xludf.DUMMYFUNCTION("""COMPUTED_VALUE"""),"")</f>
        <v/>
      </c>
      <c r="P9564" s="17" t="str">
        <f>IFERROR(__xludf.DUMMYFUNCTION("""COMPUTED_VALUE"""),"")</f>
        <v/>
      </c>
      <c r="Q9564" s="17" t="str">
        <f>IFERROR(__xludf.DUMMYFUNCTION("""COMPUTED_VALUE"""),"")</f>
        <v/>
      </c>
      <c r="R9564" s="17" t="str">
        <f>IFERROR(__xludf.DUMMYFUNCTION("""COMPUTED_VALUE"""),"")</f>
        <v/>
      </c>
    </row>
    <row r="9565">
      <c r="A9565" s="15">
        <f>IFERROR(__xludf.DUMMYFUNCTION("""COMPUTED_VALUE"""),45272.0)</f>
        <v>45272</v>
      </c>
      <c r="B9565" s="16" t="str">
        <f>IFERROR(__xludf.DUMMYFUNCTION("""COMPUTED_VALUE"""),"Julián Alexis salazar Anaya ")</f>
        <v>Julián Alexis salazar Anaya </v>
      </c>
      <c r="C9565" s="15" t="str">
        <f>IFERROR(__xludf.DUMMYFUNCTION("""COMPUTED_VALUE"""),"ARMENIA")</f>
        <v>ARMENIA</v>
      </c>
      <c r="D9565" s="15" t="str">
        <f>IFERROR(__xludf.DUMMYFUNCTION("""COMPUTED_VALUE"""),"BOGOTÁ")</f>
        <v>BOGOTÁ</v>
      </c>
      <c r="E9565" s="15" t="str">
        <f>IFERROR(__xludf.DUMMYFUNCTION("""COMPUTED_VALUE"""),"Premium Choice")</f>
        <v>Premium Choice</v>
      </c>
      <c r="F9565" s="17" t="str">
        <f>IFERROR(__xludf.DUMMYFUNCTION("""COMPUTED_VALUE"""),"Av centenario # 3 - 180  / Local 1 - 14  / La 14 armenia")</f>
        <v>Av centenario # 3 - 180  / Local 1 - 14  / La 14 armenia</v>
      </c>
      <c r="G9565" s="15" t="str">
        <f>IFERROR(__xludf.DUMMYFUNCTION("""COMPUTED_VALUE"""),"Migan capital")</f>
        <v>Migan capital</v>
      </c>
      <c r="H9565" s="16">
        <f>IFERROR(__xludf.DUMMYFUNCTION("""COMPUTED_VALUE"""),18148.0)</f>
        <v>18148</v>
      </c>
      <c r="I9565" s="18">
        <f>IFERROR(__xludf.DUMMYFUNCTION("""COMPUTED_VALUE"""),19.0)</f>
        <v>19</v>
      </c>
      <c r="J9565" s="18">
        <f>IFERROR(__xludf.DUMMYFUNCTION("""COMPUTED_VALUE"""),26.0)</f>
        <v>26</v>
      </c>
      <c r="K9565" s="18">
        <f>IFERROR(__xludf.DUMMYFUNCTION("""COMPUTED_VALUE"""),30.0)</f>
        <v>30</v>
      </c>
      <c r="L9565" s="17">
        <f>IFERROR(__xludf.DUMMYFUNCTION("""COMPUTED_VALUE"""),3.102170998E9)</f>
        <v>3102170998</v>
      </c>
      <c r="M9565" s="17"/>
      <c r="N9565" s="17"/>
      <c r="O9565" s="17"/>
      <c r="P9565" s="17" t="b">
        <f>IFERROR(__xludf.DUMMYFUNCTION("""COMPUTED_VALUE"""),FALSE)</f>
        <v>0</v>
      </c>
      <c r="Q9565" s="20" t="str">
        <f>IFERROR(__xludf.DUMMYFUNCTION("""COMPUTED_VALUE"""),"")</f>
        <v/>
      </c>
      <c r="R9565" s="21" t="str">
        <f>IFERROR(__xludf.DUMMYFUNCTION("""COMPUTED_VALUE"""),"https://drive.google.com/file/d/1G2v_rLZ5TqJE1162L3_ZmlQO0fTpBRUP/view?usp=drivesdk")</f>
        <v>https://drive.google.com/file/d/1G2v_rLZ5TqJE1162L3_ZmlQO0fTpBRUP/view?usp=drivesdk</v>
      </c>
    </row>
    <row r="9566">
      <c r="A9566" s="15">
        <f>IFERROR(__xludf.DUMMYFUNCTION("""COMPUTED_VALUE"""),45272.0)</f>
        <v>45272</v>
      </c>
      <c r="B9566" s="16" t="str">
        <f>IFERROR(__xludf.DUMMYFUNCTION("""COMPUTED_VALUE"""),"Julián Alexis salazar Anaya ")</f>
        <v>Julián Alexis salazar Anaya </v>
      </c>
      <c r="C9566" s="15" t="str">
        <f>IFERROR(__xludf.DUMMYFUNCTION("""COMPUTED_VALUE"""),"ARMENIA")</f>
        <v>ARMENIA</v>
      </c>
      <c r="D9566" s="15" t="str">
        <f>IFERROR(__xludf.DUMMYFUNCTION("""COMPUTED_VALUE"""),"BOGOTÁ")</f>
        <v>BOGOTÁ</v>
      </c>
      <c r="E9566" s="15" t="str">
        <f>IFERROR(__xludf.DUMMYFUNCTION("""COMPUTED_VALUE"""),"Ventura Productos Arg")</f>
        <v>Ventura Productos Arg</v>
      </c>
      <c r="F9566" s="17" t="str">
        <f>IFERROR(__xludf.DUMMYFUNCTION("""COMPUTED_VALUE"""),"Calle 23 norte #14-55 / centro radiológico del quindío, edificio Barichara")</f>
        <v>Calle 23 norte #14-55 / centro radiológico del quindío, edificio Barichara</v>
      </c>
      <c r="G9566" s="15" t="str">
        <f>IFERROR(__xludf.DUMMYFUNCTION("""COMPUTED_VALUE"""),"María Cristina Zuluaga")</f>
        <v>María Cristina Zuluaga</v>
      </c>
      <c r="H9566" s="16">
        <f>IFERROR(__xludf.DUMMYFUNCTION("""COMPUTED_VALUE"""),18141.0)</f>
        <v>18141</v>
      </c>
      <c r="I9566" s="17"/>
      <c r="J9566" s="17"/>
      <c r="K9566" s="17"/>
      <c r="L9566" s="17">
        <f>IFERROR(__xludf.DUMMYFUNCTION("""COMPUTED_VALUE"""),3.155929262E9)</f>
        <v>3155929262</v>
      </c>
      <c r="M9566" s="17"/>
      <c r="N9566" s="17"/>
      <c r="O9566" s="17"/>
      <c r="P9566" s="17" t="b">
        <f>IFERROR(__xludf.DUMMYFUNCTION("""COMPUTED_VALUE"""),FALSE)</f>
        <v>0</v>
      </c>
      <c r="Q9566" s="20" t="str">
        <f>IFERROR(__xludf.DUMMYFUNCTION("""COMPUTED_VALUE"""),"")</f>
        <v/>
      </c>
      <c r="R9566" s="22" t="str">
        <f>IFERROR(__xludf.DUMMYFUNCTION("""COMPUTED_VALUE"""),"")</f>
        <v/>
      </c>
    </row>
    <row r="9567">
      <c r="A9567" s="15">
        <f>IFERROR(__xludf.DUMMYFUNCTION("""COMPUTED_VALUE"""),45272.0)</f>
        <v>45272</v>
      </c>
      <c r="B9567" s="16" t="str">
        <f>IFERROR(__xludf.DUMMYFUNCTION("""COMPUTED_VALUE"""),"Julián Alexis salazar Anaya ")</f>
        <v>Julián Alexis salazar Anaya </v>
      </c>
      <c r="C9567" s="15" t="str">
        <f>IFERROR(__xludf.DUMMYFUNCTION("""COMPUTED_VALUE"""),"LA ESTRELLA")</f>
        <v>LA ESTRELLA</v>
      </c>
      <c r="D9567" s="15" t="str">
        <f>IFERROR(__xludf.DUMMYFUNCTION("""COMPUTED_VALUE"""),"BOGOTÁ")</f>
        <v>BOGOTÁ</v>
      </c>
      <c r="E9567" s="15" t="str">
        <f>IFERROR(__xludf.DUMMYFUNCTION("""COMPUTED_VALUE"""),"LINA PAOLA RAMIREZ GOMEZ - EVA MAZZITA")</f>
        <v>LINA PAOLA RAMIREZ GOMEZ - EVA MAZZITA</v>
      </c>
      <c r="F9567" s="17" t="str">
        <f>IFERROR(__xludf.DUMMYFUNCTION("""COMPUTED_VALUE"""),"Direccion Cr 52 99 sur 96 torre 5 apto 617 unidad panorama aural Barrio tablaza, la estrella ant / torre 5 apto 617 unidad panorama aural Barrio tablaza, la estrella ant")</f>
        <v>Direccion Cr 52 99 sur 96 torre 5 apto 617 unidad panorama aural Barrio tablaza, la estrella ant / torre 5 apto 617 unidad panorama aural Barrio tablaza, la estrella ant</v>
      </c>
      <c r="G9567" s="15" t="str">
        <f>IFERROR(__xludf.DUMMYFUNCTION("""COMPUTED_VALUE"""),"KELLY BAENA GONZALEZ")</f>
        <v>KELLY BAENA GONZALEZ</v>
      </c>
      <c r="H9567" s="16">
        <f>IFERROR(__xludf.DUMMYFUNCTION("""COMPUTED_VALUE"""),18179.0)</f>
        <v>18179</v>
      </c>
      <c r="I9567" s="17"/>
      <c r="J9567" s="17"/>
      <c r="K9567" s="17"/>
      <c r="L9567" s="17">
        <f>IFERROR(__xludf.DUMMYFUNCTION("""COMPUTED_VALUE"""),3.023420624E9)</f>
        <v>3023420624</v>
      </c>
      <c r="M9567" s="17"/>
      <c r="N9567" s="17"/>
      <c r="O9567" s="17"/>
      <c r="P9567" s="17" t="b">
        <f>IFERROR(__xludf.DUMMYFUNCTION("""COMPUTED_VALUE"""),FALSE)</f>
        <v>0</v>
      </c>
      <c r="Q9567" s="20" t="str">
        <f>IFERROR(__xludf.DUMMYFUNCTION("""COMPUTED_VALUE"""),"")</f>
        <v/>
      </c>
      <c r="R9567" s="21" t="str">
        <f>IFERROR(__xludf.DUMMYFUNCTION("""COMPUTED_VALUE"""),"https://drive.google.com/file/d/1RhWryAxdqRlXf54CXaPvVnomj6DXAA5T/view?usp=drivesdk")</f>
        <v>https://drive.google.com/file/d/1RhWryAxdqRlXf54CXaPvVnomj6DXAA5T/view?usp=drivesdk</v>
      </c>
    </row>
    <row r="9568">
      <c r="A9568" s="17" t="str">
        <f>IFERROR(__xludf.DUMMYFUNCTION("""COMPUTED_VALUE"""),"")</f>
        <v/>
      </c>
      <c r="B9568" s="17" t="str">
        <f>IFERROR(__xludf.DUMMYFUNCTION("""COMPUTED_VALUE"""),"")</f>
        <v/>
      </c>
      <c r="C9568" s="17" t="str">
        <f>IFERROR(__xludf.DUMMYFUNCTION("""COMPUTED_VALUE"""),"")</f>
        <v/>
      </c>
      <c r="D9568" s="17" t="str">
        <f>IFERROR(__xludf.DUMMYFUNCTION("""COMPUTED_VALUE"""),"")</f>
        <v/>
      </c>
      <c r="E9568" s="17" t="str">
        <f>IFERROR(__xludf.DUMMYFUNCTION("""COMPUTED_VALUE"""),"")</f>
        <v/>
      </c>
      <c r="F9568" s="17" t="str">
        <f>IFERROR(__xludf.DUMMYFUNCTION("""COMPUTED_VALUE"""),"")</f>
        <v/>
      </c>
      <c r="G9568" s="17" t="str">
        <f>IFERROR(__xludf.DUMMYFUNCTION("""COMPUTED_VALUE"""),"")</f>
        <v/>
      </c>
      <c r="H9568" s="17" t="str">
        <f>IFERROR(__xludf.DUMMYFUNCTION("""COMPUTED_VALUE"""),"")</f>
        <v/>
      </c>
      <c r="I9568" s="17" t="str">
        <f>IFERROR(__xludf.DUMMYFUNCTION("""COMPUTED_VALUE"""),"")</f>
        <v/>
      </c>
      <c r="J9568" s="17" t="str">
        <f>IFERROR(__xludf.DUMMYFUNCTION("""COMPUTED_VALUE"""),"")</f>
        <v/>
      </c>
      <c r="K9568" s="17" t="str">
        <f>IFERROR(__xludf.DUMMYFUNCTION("""COMPUTED_VALUE"""),"")</f>
        <v/>
      </c>
      <c r="L9568" s="17" t="str">
        <f>IFERROR(__xludf.DUMMYFUNCTION("""COMPUTED_VALUE"""),"")</f>
        <v/>
      </c>
      <c r="M9568" s="17" t="str">
        <f>IFERROR(__xludf.DUMMYFUNCTION("""COMPUTED_VALUE"""),"")</f>
        <v/>
      </c>
      <c r="N9568" s="17" t="str">
        <f>IFERROR(__xludf.DUMMYFUNCTION("""COMPUTED_VALUE"""),"")</f>
        <v/>
      </c>
      <c r="O9568" s="17" t="str">
        <f>IFERROR(__xludf.DUMMYFUNCTION("""COMPUTED_VALUE"""),"")</f>
        <v/>
      </c>
      <c r="P9568" s="17" t="str">
        <f>IFERROR(__xludf.DUMMYFUNCTION("""COMPUTED_VALUE"""),"")</f>
        <v/>
      </c>
      <c r="Q9568" s="17" t="str">
        <f>IFERROR(__xludf.DUMMYFUNCTION("""COMPUTED_VALUE"""),"")</f>
        <v/>
      </c>
      <c r="R9568" s="17" t="str">
        <f>IFERROR(__xludf.DUMMYFUNCTION("""COMPUTED_VALUE"""),"")</f>
        <v/>
      </c>
    </row>
    <row r="9569">
      <c r="A9569" s="15">
        <f>IFERROR(__xludf.DUMMYFUNCTION("""COMPUTED_VALUE"""),45272.0)</f>
        <v>45272</v>
      </c>
      <c r="B9569" s="16" t="str">
        <f>IFERROR(__xludf.DUMMYFUNCTION("""COMPUTED_VALUE"""),"Kevin Andrés puerta Jaramillo")</f>
        <v>Kevin Andrés puerta Jaramillo</v>
      </c>
      <c r="C9569" s="15" t="str">
        <f>IFERROR(__xludf.DUMMYFUNCTION("""COMPUTED_VALUE"""),"MEDELLÍN")</f>
        <v>MEDELLÍN</v>
      </c>
      <c r="D9569" s="15" t="str">
        <f>IFERROR(__xludf.DUMMYFUNCTION("""COMPUTED_VALUE"""),"BOGOTÁ")</f>
        <v>BOGOTÁ</v>
      </c>
      <c r="E9569" s="15" t="str">
        <f>IFERROR(__xludf.DUMMYFUNCTION("""COMPUTED_VALUE"""),"Asociacion Agropecuaria Juana Maria")</f>
        <v>Asociacion Agropecuaria Juana Maria</v>
      </c>
      <c r="F9569" s="17" t="str">
        <f>IFERROR(__xludf.DUMMYFUNCTION("""COMPUTED_VALUE"""),"Carrera 15 BA # 30D-44 / int 201")</f>
        <v>Carrera 15 BA # 30D-44 / int 201</v>
      </c>
      <c r="G9569" s="15" t="str">
        <f>IFERROR(__xludf.DUMMYFUNCTION("""COMPUTED_VALUE"""),"Daniela Bedoya Blandon")</f>
        <v>Daniela Bedoya Blandon</v>
      </c>
      <c r="H9569" s="16">
        <f>IFERROR(__xludf.DUMMYFUNCTION("""COMPUTED_VALUE"""),18134.0)</f>
        <v>18134</v>
      </c>
      <c r="I9569" s="17"/>
      <c r="J9569" s="17"/>
      <c r="K9569" s="17"/>
      <c r="L9569" s="17">
        <f>IFERROR(__xludf.DUMMYFUNCTION("""COMPUTED_VALUE"""),3.14672822E9)</f>
        <v>3146728220</v>
      </c>
      <c r="M9569" s="17"/>
      <c r="N9569" s="17"/>
      <c r="O9569" s="17"/>
      <c r="P9569" s="17" t="b">
        <f>IFERROR(__xludf.DUMMYFUNCTION("""COMPUTED_VALUE"""),FALSE)</f>
        <v>0</v>
      </c>
      <c r="Q9569" s="20" t="str">
        <f>IFERROR(__xludf.DUMMYFUNCTION("""COMPUTED_VALUE"""),"")</f>
        <v/>
      </c>
      <c r="R9569" s="21" t="str">
        <f>IFERROR(__xludf.DUMMYFUNCTION("""COMPUTED_VALUE"""),"https://drive.google.com/file/d/1Hj4VmE-nlSPkbDWFCZcbPLiLHhhDSnRJ/view?usp=drivesdk")</f>
        <v>https://drive.google.com/file/d/1Hj4VmE-nlSPkbDWFCZcbPLiLHhhDSnRJ/view?usp=drivesdk</v>
      </c>
    </row>
    <row r="9570">
      <c r="A9570" s="15">
        <f>IFERROR(__xludf.DUMMYFUNCTION("""COMPUTED_VALUE"""),45272.0)</f>
        <v>45272</v>
      </c>
      <c r="B9570" s="16" t="str">
        <f>IFERROR(__xludf.DUMMYFUNCTION("""COMPUTED_VALUE"""),"Kevin Andrés puerta Jaramillo")</f>
        <v>Kevin Andrés puerta Jaramillo</v>
      </c>
      <c r="C9570" s="15" t="str">
        <f>IFERROR(__xludf.DUMMYFUNCTION("""COMPUTED_VALUE"""),"MEDELLÍN")</f>
        <v>MEDELLÍN</v>
      </c>
      <c r="D9570" s="15" t="str">
        <f>IFERROR(__xludf.DUMMYFUNCTION("""COMPUTED_VALUE"""),"BOGOTÁ")</f>
        <v>BOGOTÁ</v>
      </c>
      <c r="E9570" s="15" t="str">
        <f>IFERROR(__xludf.DUMMYFUNCTION("""COMPUTED_VALUE"""),"Asociacion Agropecuaria Juana Maria")</f>
        <v>Asociacion Agropecuaria Juana Maria</v>
      </c>
      <c r="F9570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9570" s="15" t="str">
        <f>IFERROR(__xludf.DUMMYFUNCTION("""COMPUTED_VALUE"""),"Jennifer Sanchez Blandon")</f>
        <v>Jennifer Sanchez Blandon</v>
      </c>
      <c r="H9570" s="16">
        <f>IFERROR(__xludf.DUMMYFUNCTION("""COMPUTED_VALUE"""),18140.0)</f>
        <v>18140</v>
      </c>
      <c r="I9570" s="17"/>
      <c r="J9570" s="17"/>
      <c r="K9570" s="17"/>
      <c r="L9570" s="17">
        <f>IFERROR(__xludf.DUMMYFUNCTION("""COMPUTED_VALUE"""),3.016937674E9)</f>
        <v>3016937674</v>
      </c>
      <c r="M9570" s="17"/>
      <c r="N9570" s="17"/>
      <c r="O9570" s="17"/>
      <c r="P9570" s="17" t="b">
        <f>IFERROR(__xludf.DUMMYFUNCTION("""COMPUTED_VALUE"""),FALSE)</f>
        <v>0</v>
      </c>
      <c r="Q9570" s="20" t="str">
        <f>IFERROR(__xludf.DUMMYFUNCTION("""COMPUTED_VALUE"""),"")</f>
        <v/>
      </c>
      <c r="R9570" s="21" t="str">
        <f>IFERROR(__xludf.DUMMYFUNCTION("""COMPUTED_VALUE"""),"https://drive.google.com/file/d/1HKmjm4GCLm0GHHISbhQ2ozKSn5i-Z7sA/view?usp=drivesdk")</f>
        <v>https://drive.google.com/file/d/1HKmjm4GCLm0GHHISbhQ2ozKSn5i-Z7sA/view?usp=drivesdk</v>
      </c>
    </row>
    <row r="9571">
      <c r="A9571" s="15">
        <f>IFERROR(__xludf.DUMMYFUNCTION("""COMPUTED_VALUE"""),45272.0)</f>
        <v>45272</v>
      </c>
      <c r="B9571" s="16" t="str">
        <f>IFERROR(__xludf.DUMMYFUNCTION("""COMPUTED_VALUE"""),"Kevin Andrés puerta Jaramillo")</f>
        <v>Kevin Andrés puerta Jaramillo</v>
      </c>
      <c r="C9571" s="15" t="str">
        <f>IFERROR(__xludf.DUMMYFUNCTION("""COMPUTED_VALUE"""),"MEDELLÍN")</f>
        <v>MEDELLÍN</v>
      </c>
      <c r="D9571" s="15" t="str">
        <f>IFERROR(__xludf.DUMMYFUNCTION("""COMPUTED_VALUE"""),"BOGOTÁ")</f>
        <v>BOGOTÁ</v>
      </c>
      <c r="E9571" s="15" t="str">
        <f>IFERROR(__xludf.DUMMYFUNCTION("""COMPUTED_VALUE"""),"Asociacion Agropecuaria Juana Maria")</f>
        <v>Asociacion Agropecuaria Juana Maria</v>
      </c>
      <c r="F9571" s="17" t="str">
        <f>IFERROR(__xludf.DUMMYFUNCTION("""COMPUTED_VALUE"""),"Cra 82C # 30A-100 / apto 1202 urbanizacion Torres de Vicuña Belen los Alpes")</f>
        <v>Cra 82C # 30A-100 / apto 1202 urbanizacion Torres de Vicuña Belen los Alpes</v>
      </c>
      <c r="G9571" s="15" t="str">
        <f>IFERROR(__xludf.DUMMYFUNCTION("""COMPUTED_VALUE"""),"Gloria Moreno")</f>
        <v>Gloria Moreno</v>
      </c>
      <c r="H9571" s="16">
        <f>IFERROR(__xludf.DUMMYFUNCTION("""COMPUTED_VALUE"""),18136.0)</f>
        <v>18136</v>
      </c>
      <c r="I9571" s="17"/>
      <c r="J9571" s="17"/>
      <c r="K9571" s="17"/>
      <c r="L9571" s="17">
        <f>IFERROR(__xludf.DUMMYFUNCTION("""COMPUTED_VALUE"""),3.162544201E9)</f>
        <v>3162544201</v>
      </c>
      <c r="M9571" s="17"/>
      <c r="N9571" s="17"/>
      <c r="O9571" s="17"/>
      <c r="P9571" s="17" t="b">
        <f>IFERROR(__xludf.DUMMYFUNCTION("""COMPUTED_VALUE"""),FALSE)</f>
        <v>0</v>
      </c>
      <c r="Q9571" s="20" t="str">
        <f>IFERROR(__xludf.DUMMYFUNCTION("""COMPUTED_VALUE"""),"")</f>
        <v/>
      </c>
      <c r="R9571" s="21" t="str">
        <f>IFERROR(__xludf.DUMMYFUNCTION("""COMPUTED_VALUE"""),"https://drive.google.com/file/d/1pEMk8DVZEkht_YiKJdywmtwqe5vifqDa/view?usp=drivesdk")</f>
        <v>https://drive.google.com/file/d/1pEMk8DVZEkht_YiKJdywmtwqe5vifqDa/view?usp=drivesdk</v>
      </c>
    </row>
    <row r="9572">
      <c r="A9572" s="15">
        <f>IFERROR(__xludf.DUMMYFUNCTION("""COMPUTED_VALUE"""),45272.0)</f>
        <v>45272</v>
      </c>
      <c r="B9572" s="16" t="str">
        <f>IFERROR(__xludf.DUMMYFUNCTION("""COMPUTED_VALUE"""),"Kevin Andrés puerta Jaramillo")</f>
        <v>Kevin Andrés puerta Jaramillo</v>
      </c>
      <c r="C9572" s="15" t="str">
        <f>IFERROR(__xludf.DUMMYFUNCTION("""COMPUTED_VALUE"""),"MEDELLÍN")</f>
        <v>MEDELLÍN</v>
      </c>
      <c r="D9572" s="15" t="str">
        <f>IFERROR(__xludf.DUMMYFUNCTION("""COMPUTED_VALUE"""),"BOGOTÁ")</f>
        <v>BOGOTÁ</v>
      </c>
      <c r="E9572" s="15" t="str">
        <f>IFERROR(__xludf.DUMMYFUNCTION("""COMPUTED_VALUE"""),"Instinto alimento vital")</f>
        <v>Instinto alimento vital</v>
      </c>
      <c r="F9572" s="17" t="str">
        <f>IFERROR(__xludf.DUMMYFUNCTION("""COMPUTED_VALUE"""),"Calle 45 # 79-26 / Dos cuadras abajo de la Lázaro de la América")</f>
        <v>Calle 45 # 79-26 / Dos cuadras abajo de la Lázaro de la América</v>
      </c>
      <c r="G9572" s="15" t="str">
        <f>IFERROR(__xludf.DUMMYFUNCTION("""COMPUTED_VALUE"""),"MADO EXPRESS // JAIME ANDRES BLANDON LOPEZ,")</f>
        <v>MADO EXPRESS // JAIME ANDRES BLANDON LOPEZ,</v>
      </c>
      <c r="H9572" s="16">
        <f>IFERROR(__xludf.DUMMYFUNCTION("""COMPUTED_VALUE"""),18128.0)</f>
        <v>18128</v>
      </c>
      <c r="I9572" s="17"/>
      <c r="J9572" s="17"/>
      <c r="K9572" s="17"/>
      <c r="L9572" s="17">
        <f>IFERROR(__xludf.DUMMYFUNCTION("""COMPUTED_VALUE"""),3.002842264E9)</f>
        <v>3002842264</v>
      </c>
      <c r="M9572" s="17"/>
      <c r="N9572" s="17"/>
      <c r="O9572" s="17"/>
      <c r="P9572" s="17" t="b">
        <f>IFERROR(__xludf.DUMMYFUNCTION("""COMPUTED_VALUE"""),FALSE)</f>
        <v>0</v>
      </c>
      <c r="Q9572" s="20" t="str">
        <f>IFERROR(__xludf.DUMMYFUNCTION("""COMPUTED_VALUE"""),"")</f>
        <v/>
      </c>
      <c r="R9572" s="21" t="str">
        <f>IFERROR(__xludf.DUMMYFUNCTION("""COMPUTED_VALUE"""),"https://drive.google.com/file/d/1OY6fpvpSt8_etrkc-UZtis0X19MlztdC/view?usp=drivesdk")</f>
        <v>https://drive.google.com/file/d/1OY6fpvpSt8_etrkc-UZtis0X19MlztdC/view?usp=drivesdk</v>
      </c>
    </row>
    <row r="9573">
      <c r="A9573" s="15">
        <f>IFERROR(__xludf.DUMMYFUNCTION("""COMPUTED_VALUE"""),45272.0)</f>
        <v>45272</v>
      </c>
      <c r="B9573" s="16" t="str">
        <f>IFERROR(__xludf.DUMMYFUNCTION("""COMPUTED_VALUE"""),"Kevin Andrés puerta Jaramillo")</f>
        <v>Kevin Andrés puerta Jaramillo</v>
      </c>
      <c r="C9573" s="15" t="str">
        <f>IFERROR(__xludf.DUMMYFUNCTION("""COMPUTED_VALUE"""),"MEDELLÍN")</f>
        <v>MEDELLÍN</v>
      </c>
      <c r="D9573" s="15" t="str">
        <f>IFERROR(__xludf.DUMMYFUNCTION("""COMPUTED_VALUE"""),"BOGOTÁ")</f>
        <v>BOGOTÁ</v>
      </c>
      <c r="E9573" s="15" t="str">
        <f>IFERROR(__xludf.DUMMYFUNCTION("""COMPUTED_VALUE"""),"Karem foods")</f>
        <v>Karem foods</v>
      </c>
      <c r="F9573" s="17" t="str">
        <f>IFERROR(__xludf.DUMMYFUNCTION("""COMPUTED_VALUE"""),"Calle 4g # 81a 105  / Apto 2204 / -")</f>
        <v>Calle 4g # 81a 105  / Apto 2204 / -</v>
      </c>
      <c r="G9573" s="15" t="str">
        <f>IFERROR(__xludf.DUMMYFUNCTION("""COMPUTED_VALUE"""),"Alejandro castaño")</f>
        <v>Alejandro castaño</v>
      </c>
      <c r="H9573" s="16">
        <f>IFERROR(__xludf.DUMMYFUNCTION("""COMPUTED_VALUE"""),18203.0)</f>
        <v>18203</v>
      </c>
      <c r="I9573" s="18">
        <f>IFERROR(__xludf.DUMMYFUNCTION("""COMPUTED_VALUE"""),7.0)</f>
        <v>7</v>
      </c>
      <c r="J9573" s="18">
        <f>IFERROR(__xludf.DUMMYFUNCTION("""COMPUTED_VALUE"""),20.0)</f>
        <v>20</v>
      </c>
      <c r="K9573" s="18">
        <f>IFERROR(__xludf.DUMMYFUNCTION("""COMPUTED_VALUE"""),20.0)</f>
        <v>20</v>
      </c>
      <c r="L9573" s="17">
        <f>IFERROR(__xludf.DUMMYFUNCTION("""COMPUTED_VALUE"""),3.106293904E9)</f>
        <v>3106293904</v>
      </c>
      <c r="M9573" s="17"/>
      <c r="N9573" s="17"/>
      <c r="O9573" s="17"/>
      <c r="P9573" s="17" t="b">
        <f>IFERROR(__xludf.DUMMYFUNCTION("""COMPUTED_VALUE"""),FALSE)</f>
        <v>0</v>
      </c>
      <c r="Q9573" s="20" t="str">
        <f>IFERROR(__xludf.DUMMYFUNCTION("""COMPUTED_VALUE"""),"")</f>
        <v/>
      </c>
      <c r="R9573" s="21" t="str">
        <f>IFERROR(__xludf.DUMMYFUNCTION("""COMPUTED_VALUE"""),"https://drive.google.com/file/d/1dzJMLIM54_jHMYkNDbaMKt-bHh83nOPn/view?usp=drivesdk")</f>
        <v>https://drive.google.com/file/d/1dzJMLIM54_jHMYkNDbaMKt-bHh83nOPn/view?usp=drivesdk</v>
      </c>
    </row>
    <row r="9574">
      <c r="A9574" s="15">
        <f>IFERROR(__xludf.DUMMYFUNCTION("""COMPUTED_VALUE"""),45272.0)</f>
        <v>45272</v>
      </c>
      <c r="B9574" s="16" t="str">
        <f>IFERROR(__xludf.DUMMYFUNCTION("""COMPUTED_VALUE"""),"Kevin Andrés puerta Jaramillo")</f>
        <v>Kevin Andrés puerta Jaramillo</v>
      </c>
      <c r="C9574" s="15" t="str">
        <f>IFERROR(__xludf.DUMMYFUNCTION("""COMPUTED_VALUE"""),"MEDELLÍN")</f>
        <v>MEDELLÍN</v>
      </c>
      <c r="D9574" s="15" t="str">
        <f>IFERROR(__xludf.DUMMYFUNCTION("""COMPUTED_VALUE"""),"BOGOTÁ")</f>
        <v>BOGOTÁ</v>
      </c>
      <c r="E9574" s="15" t="str">
        <f>IFERROR(__xludf.DUMMYFUNCTION("""COMPUTED_VALUE"""),"LINA PAOLA RAMIREZ GOMEZ - EVA MAZZITA")</f>
        <v>LINA PAOLA RAMIREZ GOMEZ - EVA MAZZITA</v>
      </c>
      <c r="F9574" s="17" t="str">
        <f>IFERROR(__xludf.DUMMYFUNCTION("""COMPUTED_VALUE"""),"CARRERA 47 B # 17 A SUR - 35 / EDIFICIO PORTONES DE SANTA MARÍA APTO. 409")</f>
        <v>CARRERA 47 B # 17 A SUR - 35 / EDIFICIO PORTONES DE SANTA MARÍA APTO. 409</v>
      </c>
      <c r="G9574" s="15" t="str">
        <f>IFERROR(__xludf.DUMMYFUNCTION("""COMPUTED_VALUE"""),"JULIANA GARCIA")</f>
        <v>JULIANA GARCIA</v>
      </c>
      <c r="H9574" s="16">
        <f>IFERROR(__xludf.DUMMYFUNCTION("""COMPUTED_VALUE"""),18176.0)</f>
        <v>18176</v>
      </c>
      <c r="I9574" s="17"/>
      <c r="J9574" s="17"/>
      <c r="K9574" s="17"/>
      <c r="L9574" s="17">
        <f>IFERROR(__xludf.DUMMYFUNCTION("""COMPUTED_VALUE"""),3.104017541E9)</f>
        <v>3104017541</v>
      </c>
      <c r="M9574" s="17"/>
      <c r="N9574" s="17"/>
      <c r="O9574" s="17"/>
      <c r="P9574" s="17" t="b">
        <f>IFERROR(__xludf.DUMMYFUNCTION("""COMPUTED_VALUE"""),FALSE)</f>
        <v>0</v>
      </c>
      <c r="Q9574" s="20" t="str">
        <f>IFERROR(__xludf.DUMMYFUNCTION("""COMPUTED_VALUE"""),"")</f>
        <v/>
      </c>
      <c r="R9574" s="21" t="str">
        <f>IFERROR(__xludf.DUMMYFUNCTION("""COMPUTED_VALUE"""),"https://drive.google.com/file/d/1ZGm8Ub8vSDEMl2To6MF_QU2AfTSXU5ME/view?usp=drivesdk")</f>
        <v>https://drive.google.com/file/d/1ZGm8Ub8vSDEMl2To6MF_QU2AfTSXU5ME/view?usp=drivesdk</v>
      </c>
    </row>
    <row r="9575">
      <c r="A9575" s="15">
        <f>IFERROR(__xludf.DUMMYFUNCTION("""COMPUTED_VALUE"""),45272.0)</f>
        <v>45272</v>
      </c>
      <c r="B9575" s="16" t="str">
        <f>IFERROR(__xludf.DUMMYFUNCTION("""COMPUTED_VALUE"""),"Kevin Andrés puerta Jaramillo")</f>
        <v>Kevin Andrés puerta Jaramillo</v>
      </c>
      <c r="C9575" s="15" t="str">
        <f>IFERROR(__xludf.DUMMYFUNCTION("""COMPUTED_VALUE"""),"MEDELLÍN")</f>
        <v>MEDELLÍN</v>
      </c>
      <c r="D9575" s="15" t="str">
        <f>IFERROR(__xludf.DUMMYFUNCTION("""COMPUTED_VALUE"""),"BOGOTÁ")</f>
        <v>BOGOTÁ</v>
      </c>
      <c r="E9575" s="15" t="str">
        <f>IFERROR(__xludf.DUMMYFUNCTION("""COMPUTED_VALUE"""),"LINA PAOLA RAMIREZ GOMEZ - EVA MAZZITA")</f>
        <v>LINA PAOLA RAMIREZ GOMEZ - EVA MAZZITA</v>
      </c>
      <c r="F9575" s="17" t="str">
        <f>IFERROR(__xludf.DUMMYFUNCTION("""COMPUTED_VALUE"""),"Carrera 69 A # 46 B 26 / Florida nueva Estadio")</f>
        <v>Carrera 69 A # 46 B 26 / Florida nueva Estadio</v>
      </c>
      <c r="G9575" s="15" t="str">
        <f>IFERROR(__xludf.DUMMYFUNCTION("""COMPUTED_VALUE"""),"LORENA PRECIADO")</f>
        <v>LORENA PRECIADO</v>
      </c>
      <c r="H9575" s="16">
        <f>IFERROR(__xludf.DUMMYFUNCTION("""COMPUTED_VALUE"""),18178.0)</f>
        <v>18178</v>
      </c>
      <c r="I9575" s="17"/>
      <c r="J9575" s="17"/>
      <c r="K9575" s="17"/>
      <c r="L9575" s="17">
        <f>IFERROR(__xludf.DUMMYFUNCTION("""COMPUTED_VALUE"""),3.014745158E9)</f>
        <v>3014745158</v>
      </c>
      <c r="M9575" s="17"/>
      <c r="N9575" s="17"/>
      <c r="O9575" s="17"/>
      <c r="P9575" s="17" t="b">
        <f>IFERROR(__xludf.DUMMYFUNCTION("""COMPUTED_VALUE"""),FALSE)</f>
        <v>0</v>
      </c>
      <c r="Q9575" s="20" t="str">
        <f>IFERROR(__xludf.DUMMYFUNCTION("""COMPUTED_VALUE"""),"")</f>
        <v/>
      </c>
      <c r="R9575" s="21" t="str">
        <f>IFERROR(__xludf.DUMMYFUNCTION("""COMPUTED_VALUE"""),"https://drive.google.com/file/d/10xhp3WlrXtyfTGZY1k4TGQTmF4fvggMl/view?usp=drivesdk")</f>
        <v>https://drive.google.com/file/d/10xhp3WlrXtyfTGZY1k4TGQTmF4fvggMl/view?usp=drivesdk</v>
      </c>
    </row>
    <row r="9576">
      <c r="A9576" s="15">
        <f>IFERROR(__xludf.DUMMYFUNCTION("""COMPUTED_VALUE"""),45272.0)</f>
        <v>45272</v>
      </c>
      <c r="B9576" s="16" t="str">
        <f>IFERROR(__xludf.DUMMYFUNCTION("""COMPUTED_VALUE"""),"Kevin Andrés puerta Jaramillo")</f>
        <v>Kevin Andrés puerta Jaramillo</v>
      </c>
      <c r="C9576" s="15" t="str">
        <f>IFERROR(__xludf.DUMMYFUNCTION("""COMPUTED_VALUE"""),"MEDELLÍN")</f>
        <v>MEDELLÍN</v>
      </c>
      <c r="D9576" s="15" t="str">
        <f>IFERROR(__xludf.DUMMYFUNCTION("""COMPUTED_VALUE"""),"BOGOTÁ")</f>
        <v>BOGOTÁ</v>
      </c>
      <c r="E9576" s="15" t="str">
        <f>IFERROR(__xludf.DUMMYFUNCTION("""COMPUTED_VALUE"""),"LINA PAOLA RAMIREZ GOMEZ - EVA MAZZITA")</f>
        <v>LINA PAOLA RAMIREZ GOMEZ - EVA MAZZITA</v>
      </c>
      <c r="F9576" s="17" t="str">
        <f>IFERROR(__xludf.DUMMYFUNCTION("""COMPUTED_VALUE"""),"CRA 15 BA No. 34D - 44 / INT 201")</f>
        <v>CRA 15 BA No. 34D - 44 / INT 201</v>
      </c>
      <c r="G9576" s="15" t="str">
        <f>IFERROR(__xludf.DUMMYFUNCTION("""COMPUTED_VALUE"""),"DANIELA BEDOYA BLANDON")</f>
        <v>DANIELA BEDOYA BLANDON</v>
      </c>
      <c r="H9576" s="16">
        <f>IFERROR(__xludf.DUMMYFUNCTION("""COMPUTED_VALUE"""),18184.0)</f>
        <v>18184</v>
      </c>
      <c r="I9576" s="17"/>
      <c r="J9576" s="17"/>
      <c r="K9576" s="17"/>
      <c r="L9576" s="17">
        <f>IFERROR(__xludf.DUMMYFUNCTION("""COMPUTED_VALUE"""),3.14672822E9)</f>
        <v>3146728220</v>
      </c>
      <c r="M9576" s="17"/>
      <c r="N9576" s="17"/>
      <c r="O9576" s="17"/>
      <c r="P9576" s="17" t="b">
        <f>IFERROR(__xludf.DUMMYFUNCTION("""COMPUTED_VALUE"""),FALSE)</f>
        <v>0</v>
      </c>
      <c r="Q9576" s="20" t="str">
        <f>IFERROR(__xludf.DUMMYFUNCTION("""COMPUTED_VALUE"""),"")</f>
        <v/>
      </c>
      <c r="R9576" s="21" t="str">
        <f>IFERROR(__xludf.DUMMYFUNCTION("""COMPUTED_VALUE"""),"https://drive.google.com/file/d/1VY3cltorkKebVBHh4-m2QOFIU1cl3UEP/view?usp=drivesdk")</f>
        <v>https://drive.google.com/file/d/1VY3cltorkKebVBHh4-m2QOFIU1cl3UEP/view?usp=drivesdk</v>
      </c>
    </row>
    <row r="9577">
      <c r="A9577" s="15">
        <f>IFERROR(__xludf.DUMMYFUNCTION("""COMPUTED_VALUE"""),45272.0)</f>
        <v>45272</v>
      </c>
      <c r="B9577" s="16" t="str">
        <f>IFERROR(__xludf.DUMMYFUNCTION("""COMPUTED_VALUE"""),"Kevin Andrés puerta Jaramillo")</f>
        <v>Kevin Andrés puerta Jaramillo</v>
      </c>
      <c r="C9577" s="15" t="str">
        <f>IFERROR(__xludf.DUMMYFUNCTION("""COMPUTED_VALUE"""),"MEDELLÍN")</f>
        <v>MEDELLÍN</v>
      </c>
      <c r="D9577" s="15" t="str">
        <f>IFERROR(__xludf.DUMMYFUNCTION("""COMPUTED_VALUE"""),"BOGOTÁ")</f>
        <v>BOGOTÁ</v>
      </c>
      <c r="E9577" s="15" t="str">
        <f>IFERROR(__xludf.DUMMYFUNCTION("""COMPUTED_VALUE"""),"MAI ALIMENTOS REALES")</f>
        <v>MAI ALIMENTOS REALES</v>
      </c>
      <c r="F9577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9577" s="15" t="str">
        <f>IFERROR(__xludf.DUMMYFUNCTION("""COMPUTED_VALUE"""),"Novaventas")</f>
        <v>Novaventas</v>
      </c>
      <c r="H9577" s="16">
        <f>IFERROR(__xludf.DUMMYFUNCTION("""COMPUTED_VALUE"""),18116.0)</f>
        <v>18116</v>
      </c>
      <c r="I9577" s="17"/>
      <c r="J9577" s="17"/>
      <c r="K9577" s="17"/>
      <c r="L9577" s="17">
        <f>IFERROR(__xludf.DUMMYFUNCTION("""COMPUTED_VALUE"""),3.187351593E9)</f>
        <v>3187351593</v>
      </c>
      <c r="M9577" s="17"/>
      <c r="N9577" s="17"/>
      <c r="O9577" s="17"/>
      <c r="P9577" s="17" t="b">
        <f>IFERROR(__xludf.DUMMYFUNCTION("""COMPUTED_VALUE"""),FALSE)</f>
        <v>0</v>
      </c>
      <c r="Q9577" s="20" t="str">
        <f>IFERROR(__xludf.DUMMYFUNCTION("""COMPUTED_VALUE"""),"")</f>
        <v/>
      </c>
      <c r="R9577" s="21" t="str">
        <f>IFERROR(__xludf.DUMMYFUNCTION("""COMPUTED_VALUE"""),"https://drive.google.com/file/d/1w-GPjhx4AlKD9Le3XHo_KTH4rVjQc6Z_/view?usp=drivesdk")</f>
        <v>https://drive.google.com/file/d/1w-GPjhx4AlKD9Le3XHo_KTH4rVjQc6Z_/view?usp=drivesdk</v>
      </c>
    </row>
    <row r="9578">
      <c r="A9578" s="15">
        <f>IFERROR(__xludf.DUMMYFUNCTION("""COMPUTED_VALUE"""),45272.0)</f>
        <v>45272</v>
      </c>
      <c r="B9578" s="16" t="str">
        <f>IFERROR(__xludf.DUMMYFUNCTION("""COMPUTED_VALUE"""),"Kevin Andrés puerta Jaramillo")</f>
        <v>Kevin Andrés puerta Jaramillo</v>
      </c>
      <c r="C9578" s="15" t="str">
        <f>IFERROR(__xludf.DUMMYFUNCTION("""COMPUTED_VALUE"""),"MEDELLÍN")</f>
        <v>MEDELLÍN</v>
      </c>
      <c r="D9578" s="15" t="str">
        <f>IFERROR(__xludf.DUMMYFUNCTION("""COMPUTED_VALUE"""),"BOGOTÁ")</f>
        <v>BOGOTÁ</v>
      </c>
      <c r="E9578" s="15" t="str">
        <f>IFERROR(__xludf.DUMMYFUNCTION("""COMPUTED_VALUE"""),"PAN DE WAFFLE")</f>
        <v>PAN DE WAFFLE</v>
      </c>
      <c r="F9578" s="17" t="str">
        <f>IFERROR(__xludf.DUMMYFUNCTION("""COMPUTED_VALUE"""),"CALLE 49B # 64C - 54 APTO 801 / CALLE 49B # 64C - 54 APTO 801")</f>
        <v>CALLE 49B # 64C - 54 APTO 801 / CALLE 49B # 64C - 54 APTO 801</v>
      </c>
      <c r="G9578" s="15" t="str">
        <f>IFERROR(__xludf.DUMMYFUNCTION("""COMPUTED_VALUE"""),"CLAUDIA PALOMINO")</f>
        <v>CLAUDIA PALOMINO</v>
      </c>
      <c r="H9578" s="16">
        <f>IFERROR(__xludf.DUMMYFUNCTION("""COMPUTED_VALUE"""),18171.0)</f>
        <v>18171</v>
      </c>
      <c r="I9578" s="17"/>
      <c r="J9578" s="17"/>
      <c r="K9578" s="17"/>
      <c r="L9578" s="17">
        <f>IFERROR(__xludf.DUMMYFUNCTION("""COMPUTED_VALUE"""),3.138536698E9)</f>
        <v>3138536698</v>
      </c>
      <c r="M9578" s="17"/>
      <c r="N9578" s="17"/>
      <c r="O9578" s="17"/>
      <c r="P9578" s="17" t="b">
        <f>IFERROR(__xludf.DUMMYFUNCTION("""COMPUTED_VALUE"""),FALSE)</f>
        <v>0</v>
      </c>
      <c r="Q9578" s="20" t="str">
        <f>IFERROR(__xludf.DUMMYFUNCTION("""COMPUTED_VALUE"""),"")</f>
        <v/>
      </c>
      <c r="R9578" s="21" t="str">
        <f>IFERROR(__xludf.DUMMYFUNCTION("""COMPUTED_VALUE"""),"https://drive.google.com/file/d/1THGAsWPPNdb9oEfK4cPE1HYq3vuEl9fb/view?usp=drivesdk")</f>
        <v>https://drive.google.com/file/d/1THGAsWPPNdb9oEfK4cPE1HYq3vuEl9fb/view?usp=drivesdk</v>
      </c>
    </row>
    <row r="9579">
      <c r="A9579" s="15">
        <f>IFERROR(__xludf.DUMMYFUNCTION("""COMPUTED_VALUE"""),45272.0)</f>
        <v>45272</v>
      </c>
      <c r="B9579" s="16" t="str">
        <f>IFERROR(__xludf.DUMMYFUNCTION("""COMPUTED_VALUE"""),"Kevin Andrés puerta Jaramillo")</f>
        <v>Kevin Andrés puerta Jaramillo</v>
      </c>
      <c r="C9579" s="15" t="str">
        <f>IFERROR(__xludf.DUMMYFUNCTION("""COMPUTED_VALUE"""),"MEDELLÍN")</f>
        <v>MEDELLÍN</v>
      </c>
      <c r="D9579" s="15" t="str">
        <f>IFERROR(__xludf.DUMMYFUNCTION("""COMPUTED_VALUE"""),"BOGOTÁ")</f>
        <v>BOGOTÁ</v>
      </c>
      <c r="E9579" s="15" t="str">
        <f>IFERROR(__xludf.DUMMYFUNCTION("""COMPUTED_VALUE"""),"Premium Choice")</f>
        <v>Premium Choice</v>
      </c>
      <c r="F9579" s="17" t="str">
        <f>IFERROR(__xludf.DUMMYFUNCTION("""COMPUTED_VALUE"""),"Calle 43a # 6 sur - 15  / CC Oviedo local 153  / Local 153")</f>
        <v>Calle 43a # 6 sur - 15  / CC Oviedo local 153  / Local 153</v>
      </c>
      <c r="G9579" s="15" t="str">
        <f>IFERROR(__xludf.DUMMYFUNCTION("""COMPUTED_VALUE"""),"Unicambios")</f>
        <v>Unicambios</v>
      </c>
      <c r="H9579" s="16">
        <f>IFERROR(__xludf.DUMMYFUNCTION("""COMPUTED_VALUE"""),18160.0)</f>
        <v>18160</v>
      </c>
      <c r="I9579" s="18">
        <f>IFERROR(__xludf.DUMMYFUNCTION("""COMPUTED_VALUE"""),30.0)</f>
        <v>30</v>
      </c>
      <c r="J9579" s="18">
        <f>IFERROR(__xludf.DUMMYFUNCTION("""COMPUTED_VALUE"""),30.0)</f>
        <v>30</v>
      </c>
      <c r="K9579" s="18">
        <f>IFERROR(__xludf.DUMMYFUNCTION("""COMPUTED_VALUE"""),30.0)</f>
        <v>30</v>
      </c>
      <c r="L9579" s="17">
        <f>IFERROR(__xludf.DUMMYFUNCTION("""COMPUTED_VALUE"""),3.00797395E9)</f>
        <v>3007973950</v>
      </c>
      <c r="M9579" s="17"/>
      <c r="N9579" s="17"/>
      <c r="O9579" s="17"/>
      <c r="P9579" s="17" t="b">
        <f>IFERROR(__xludf.DUMMYFUNCTION("""COMPUTED_VALUE"""),FALSE)</f>
        <v>0</v>
      </c>
      <c r="Q9579" s="20" t="str">
        <f>IFERROR(__xludf.DUMMYFUNCTION("""COMPUTED_VALUE"""),"")</f>
        <v/>
      </c>
      <c r="R9579" s="21" t="str">
        <f>IFERROR(__xludf.DUMMYFUNCTION("""COMPUTED_VALUE"""),"https://drive.google.com/file/d/1hXUGC1LpU-EMqEPnBrBmJnk2N70LCIfD/view?usp=drivesdk")</f>
        <v>https://drive.google.com/file/d/1hXUGC1LpU-EMqEPnBrBmJnk2N70LCIfD/view?usp=drivesdk</v>
      </c>
    </row>
    <row r="9580">
      <c r="A9580" s="15">
        <f>IFERROR(__xludf.DUMMYFUNCTION("""COMPUTED_VALUE"""),45272.0)</f>
        <v>45272</v>
      </c>
      <c r="B9580" s="16" t="str">
        <f>IFERROR(__xludf.DUMMYFUNCTION("""COMPUTED_VALUE"""),"Kevin Andrés puerta Jaramillo")</f>
        <v>Kevin Andrés puerta Jaramillo</v>
      </c>
      <c r="C9580" s="15" t="str">
        <f>IFERROR(__xludf.DUMMYFUNCTION("""COMPUTED_VALUE"""),"MEDELLÍN")</f>
        <v>MEDELLÍN</v>
      </c>
      <c r="D9580" s="15" t="str">
        <f>IFERROR(__xludf.DUMMYFUNCTION("""COMPUTED_VALUE"""),"BOGOTÁ")</f>
        <v>BOGOTÁ</v>
      </c>
      <c r="E9580" s="15" t="str">
        <f>IFERROR(__xludf.DUMMYFUNCTION("""COMPUTED_VALUE"""),"Spirulina Fresca")</f>
        <v>Spirulina Fresca</v>
      </c>
      <c r="F9580" s="17" t="str">
        <f>IFERROR(__xludf.DUMMYFUNCTION("""COMPUTED_VALUE"""),"Apt 1001  Sector poblado - Santa  María Edificio Torres de San Marino / Pablado / Medellin")</f>
        <v>Apt 1001  Sector poblado - Santa  María Edificio Torres de San Marino / Pablado / Medellin</v>
      </c>
      <c r="G9580" s="15" t="str">
        <f>IFERROR(__xludf.DUMMYFUNCTION("""COMPUTED_VALUE"""),"Augusto Escobar")</f>
        <v>Augusto Escobar</v>
      </c>
      <c r="H9580" s="16">
        <f>IFERROR(__xludf.DUMMYFUNCTION("""COMPUTED_VALUE"""),18217.0)</f>
        <v>18217</v>
      </c>
      <c r="I9580" s="18">
        <f>IFERROR(__xludf.DUMMYFUNCTION("""COMPUTED_VALUE"""),5.0)</f>
        <v>5</v>
      </c>
      <c r="J9580" s="18">
        <f>IFERROR(__xludf.DUMMYFUNCTION("""COMPUTED_VALUE"""),10.0)</f>
        <v>10</v>
      </c>
      <c r="K9580" s="18">
        <f>IFERROR(__xludf.DUMMYFUNCTION("""COMPUTED_VALUE"""),22.0)</f>
        <v>22</v>
      </c>
      <c r="L9580" s="17">
        <f>IFERROR(__xludf.DUMMYFUNCTION("""COMPUTED_VALUE"""),3.146313929E9)</f>
        <v>3146313929</v>
      </c>
      <c r="M9580" s="17"/>
      <c r="N9580" s="17"/>
      <c r="O9580" s="17"/>
      <c r="P9580" s="17" t="b">
        <f>IFERROR(__xludf.DUMMYFUNCTION("""COMPUTED_VALUE"""),FALSE)</f>
        <v>0</v>
      </c>
      <c r="Q9580" s="20" t="str">
        <f>IFERROR(__xludf.DUMMYFUNCTION("""COMPUTED_VALUE"""),"")</f>
        <v/>
      </c>
      <c r="R9580" s="21" t="str">
        <f>IFERROR(__xludf.DUMMYFUNCTION("""COMPUTED_VALUE"""),"https://drive.google.com/file/d/1sNAly-z9xUCB6fwlRTd1wBFGgkQErMg0/view?usp=drivesdk")</f>
        <v>https://drive.google.com/file/d/1sNAly-z9xUCB6fwlRTd1wBFGgkQErMg0/view?usp=drivesdk</v>
      </c>
    </row>
    <row r="9581">
      <c r="A9581" s="15">
        <f>IFERROR(__xludf.DUMMYFUNCTION("""COMPUTED_VALUE"""),45272.0)</f>
        <v>45272</v>
      </c>
      <c r="B9581" s="16" t="str">
        <f>IFERROR(__xludf.DUMMYFUNCTION("""COMPUTED_VALUE"""),"Kevin Andrés puerta Jaramillo")</f>
        <v>Kevin Andrés puerta Jaramillo</v>
      </c>
      <c r="C9581" s="15" t="str">
        <f>IFERROR(__xludf.DUMMYFUNCTION("""COMPUTED_VALUE"""),"MEDELLÍN")</f>
        <v>MEDELLÍN</v>
      </c>
      <c r="D9581" s="15" t="str">
        <f>IFERROR(__xludf.DUMMYFUNCTION("""COMPUTED_VALUE"""),"BOGOTÁ")</f>
        <v>BOGOTÁ</v>
      </c>
      <c r="E9581" s="15" t="str">
        <f>IFERROR(__xludf.DUMMYFUNCTION("""COMPUTED_VALUE"""),"Top Spun")</f>
        <v>Top Spun</v>
      </c>
      <c r="F9581" s="17" t="str">
        <f>IFERROR(__xludf.DUMMYFUNCTION("""COMPUTED_VALUE"""),"Calle 26 sur 43 a 41 / CR villa de santa teresa  / apto 1406 torre 13-14")</f>
        <v>Calle 26 sur 43 a 41 / CR villa de santa teresa  / apto 1406 torre 13-14</v>
      </c>
      <c r="G9581" s="15" t="str">
        <f>IFERROR(__xludf.DUMMYFUNCTION("""COMPUTED_VALUE"""),"Diana Carolina Gomez Hernandez")</f>
        <v>Diana Carolina Gomez Hernandez</v>
      </c>
      <c r="H9581" s="16">
        <f>IFERROR(__xludf.DUMMYFUNCTION("""COMPUTED_VALUE"""),18113.0)</f>
        <v>18113</v>
      </c>
      <c r="I9581" s="18">
        <f>IFERROR(__xludf.DUMMYFUNCTION("""COMPUTED_VALUE"""),20.0)</f>
        <v>20</v>
      </c>
      <c r="J9581" s="18">
        <f>IFERROR(__xludf.DUMMYFUNCTION("""COMPUTED_VALUE"""),10.0)</f>
        <v>10</v>
      </c>
      <c r="K9581" s="18">
        <f>IFERROR(__xludf.DUMMYFUNCTION("""COMPUTED_VALUE"""),40.0)</f>
        <v>40</v>
      </c>
      <c r="L9581" s="17">
        <f>IFERROR(__xludf.DUMMYFUNCTION("""COMPUTED_VALUE"""),3.007747691E9)</f>
        <v>3007747691</v>
      </c>
      <c r="M9581" s="17"/>
      <c r="N9581" s="17"/>
      <c r="O9581" s="17"/>
      <c r="P9581" s="17" t="b">
        <f>IFERROR(__xludf.DUMMYFUNCTION("""COMPUTED_VALUE"""),FALSE)</f>
        <v>0</v>
      </c>
      <c r="Q9581" s="20" t="str">
        <f>IFERROR(__xludf.DUMMYFUNCTION("""COMPUTED_VALUE"""),"")</f>
        <v/>
      </c>
      <c r="R9581" s="21" t="str">
        <f>IFERROR(__xludf.DUMMYFUNCTION("""COMPUTED_VALUE"""),"https://drive.google.com/file/d/1vLFBPr0eU8gTMUXZVJ6HUf7MGX92O51E/view?usp=drivesdk")</f>
        <v>https://drive.google.com/file/d/1vLFBPr0eU8gTMUXZVJ6HUf7MGX92O51E/view?usp=drivesdk</v>
      </c>
    </row>
    <row r="9582">
      <c r="A9582" s="15">
        <f>IFERROR(__xludf.DUMMYFUNCTION("""COMPUTED_VALUE"""),45272.0)</f>
        <v>45272</v>
      </c>
      <c r="B9582" s="16" t="str">
        <f>IFERROR(__xludf.DUMMYFUNCTION("""COMPUTED_VALUE"""),"Kevin Andrés puerta Jaramillo")</f>
        <v>Kevin Andrés puerta Jaramillo</v>
      </c>
      <c r="C9582" s="15" t="str">
        <f>IFERROR(__xludf.DUMMYFUNCTION("""COMPUTED_VALUE"""),"MEDELLÍN")</f>
        <v>MEDELLÍN</v>
      </c>
      <c r="D9582" s="15" t="str">
        <f>IFERROR(__xludf.DUMMYFUNCTION("""COMPUTED_VALUE"""),"BOGOTÁ")</f>
        <v>BOGOTÁ</v>
      </c>
      <c r="E9582" s="15" t="str">
        <f>IFERROR(__xludf.DUMMYFUNCTION("""COMPUTED_VALUE"""),"Top Spun")</f>
        <v>Top Spun</v>
      </c>
      <c r="F9582" s="17" t="str">
        <f>IFERROR(__xludf.DUMMYFUNCTION("""COMPUTED_VALUE"""),"Calle 5 B # 36 B - 51 / Apto 404. Torre 2 /  Unidad rincon de Castilla 2 , poblado")</f>
        <v>Calle 5 B # 36 B - 51 / Apto 404. Torre 2 /  Unidad rincon de Castilla 2 , poblado</v>
      </c>
      <c r="G9582" s="15" t="str">
        <f>IFERROR(__xludf.DUMMYFUNCTION("""COMPUTED_VALUE"""),"Adriana Mejía Anderson")</f>
        <v>Adriana Mejía Anderson</v>
      </c>
      <c r="H9582" s="16">
        <f>IFERROR(__xludf.DUMMYFUNCTION("""COMPUTED_VALUE"""),18112.0)</f>
        <v>18112</v>
      </c>
      <c r="I9582" s="18">
        <f>IFERROR(__xludf.DUMMYFUNCTION("""COMPUTED_VALUE"""),20.0)</f>
        <v>20</v>
      </c>
      <c r="J9582" s="18">
        <f>IFERROR(__xludf.DUMMYFUNCTION("""COMPUTED_VALUE"""),10.0)</f>
        <v>10</v>
      </c>
      <c r="K9582" s="18">
        <f>IFERROR(__xludf.DUMMYFUNCTION("""COMPUTED_VALUE"""),40.0)</f>
        <v>40</v>
      </c>
      <c r="L9582" s="17">
        <f>IFERROR(__xludf.DUMMYFUNCTION("""COMPUTED_VALUE"""),3.122977246E9)</f>
        <v>3122977246</v>
      </c>
      <c r="M9582" s="17"/>
      <c r="N9582" s="17"/>
      <c r="O9582" s="17"/>
      <c r="P9582" s="17" t="b">
        <f>IFERROR(__xludf.DUMMYFUNCTION("""COMPUTED_VALUE"""),FALSE)</f>
        <v>0</v>
      </c>
      <c r="Q9582" s="20" t="str">
        <f>IFERROR(__xludf.DUMMYFUNCTION("""COMPUTED_VALUE"""),"")</f>
        <v/>
      </c>
      <c r="R9582" s="21" t="str">
        <f>IFERROR(__xludf.DUMMYFUNCTION("""COMPUTED_VALUE"""),"https://drive.google.com/file/d/1OFrs8kLfQWgPp_B_BPuXIIi7Avisa5Zi/view?usp=drivesdk")</f>
        <v>https://drive.google.com/file/d/1OFrs8kLfQWgPp_B_BPuXIIi7Avisa5Zi/view?usp=drivesdk</v>
      </c>
    </row>
    <row r="9583">
      <c r="A9583" s="15">
        <f>IFERROR(__xludf.DUMMYFUNCTION("""COMPUTED_VALUE"""),45272.0)</f>
        <v>45272</v>
      </c>
      <c r="B9583" s="16" t="str">
        <f>IFERROR(__xludf.DUMMYFUNCTION("""COMPUTED_VALUE"""),"Kevin Andrés puerta Jaramillo")</f>
        <v>Kevin Andrés puerta Jaramillo</v>
      </c>
      <c r="C9583" s="15" t="str">
        <f>IFERROR(__xludf.DUMMYFUNCTION("""COMPUTED_VALUE"""),"MEDELLÍN")</f>
        <v>MEDELLÍN</v>
      </c>
      <c r="D9583" s="15" t="str">
        <f>IFERROR(__xludf.DUMMYFUNCTION("""COMPUTED_VALUE"""),"BOGOTÁ")</f>
        <v>BOGOTÁ</v>
      </c>
      <c r="E9583" s="15" t="str">
        <f>IFERROR(__xludf.DUMMYFUNCTION("""COMPUTED_VALUE"""),"Top Spun")</f>
        <v>Top Spun</v>
      </c>
      <c r="F9583" s="17" t="str">
        <f>IFERROR(__xludf.DUMMYFUNCTION("""COMPUTED_VALUE"""),"Cra 16 nro 11 sur 110 / Apto 502 edificio papyrus deluxe /  loma los balsos")</f>
        <v>Cra 16 nro 11 sur 110 / Apto 502 edificio papyrus deluxe /  loma los balsos</v>
      </c>
      <c r="G9583" s="15" t="str">
        <f>IFERROR(__xludf.DUMMYFUNCTION("""COMPUTED_VALUE"""),"María del mar Ibarra")</f>
        <v>María del mar Ibarra</v>
      </c>
      <c r="H9583" s="16">
        <f>IFERROR(__xludf.DUMMYFUNCTION("""COMPUTED_VALUE"""),18110.0)</f>
        <v>18110</v>
      </c>
      <c r="I9583" s="18">
        <f>IFERROR(__xludf.DUMMYFUNCTION("""COMPUTED_VALUE"""),20.0)</f>
        <v>20</v>
      </c>
      <c r="J9583" s="18">
        <f>IFERROR(__xludf.DUMMYFUNCTION("""COMPUTED_VALUE"""),10.0)</f>
        <v>10</v>
      </c>
      <c r="K9583" s="18">
        <f>IFERROR(__xludf.DUMMYFUNCTION("""COMPUTED_VALUE"""),40.0)</f>
        <v>40</v>
      </c>
      <c r="L9583" s="17">
        <f>IFERROR(__xludf.DUMMYFUNCTION("""COMPUTED_VALUE"""),3.16421557E9)</f>
        <v>3164215570</v>
      </c>
      <c r="M9583" s="17"/>
      <c r="N9583" s="17"/>
      <c r="O9583" s="17"/>
      <c r="P9583" s="17" t="b">
        <f>IFERROR(__xludf.DUMMYFUNCTION("""COMPUTED_VALUE"""),FALSE)</f>
        <v>0</v>
      </c>
      <c r="Q9583" s="20" t="str">
        <f>IFERROR(__xludf.DUMMYFUNCTION("""COMPUTED_VALUE"""),"")</f>
        <v/>
      </c>
      <c r="R9583" s="21" t="str">
        <f>IFERROR(__xludf.DUMMYFUNCTION("""COMPUTED_VALUE"""),"https://drive.google.com/file/d/1pWZaFYsWE0jjM_QKaXe3m2WSifpJbeDt/view?usp=drivesdk")</f>
        <v>https://drive.google.com/file/d/1pWZaFYsWE0jjM_QKaXe3m2WSifpJbeDt/view?usp=drivesdk</v>
      </c>
    </row>
    <row r="9584">
      <c r="A9584" s="17" t="str">
        <f>IFERROR(__xludf.DUMMYFUNCTION("""COMPUTED_VALUE"""),"")</f>
        <v/>
      </c>
      <c r="B9584" s="17" t="str">
        <f>IFERROR(__xludf.DUMMYFUNCTION("""COMPUTED_VALUE"""),"")</f>
        <v/>
      </c>
      <c r="C9584" s="17" t="str">
        <f>IFERROR(__xludf.DUMMYFUNCTION("""COMPUTED_VALUE"""),"")</f>
        <v/>
      </c>
      <c r="D9584" s="17" t="str">
        <f>IFERROR(__xludf.DUMMYFUNCTION("""COMPUTED_VALUE"""),"")</f>
        <v/>
      </c>
      <c r="E9584" s="17" t="str">
        <f>IFERROR(__xludf.DUMMYFUNCTION("""COMPUTED_VALUE"""),"")</f>
        <v/>
      </c>
      <c r="F9584" s="17" t="str">
        <f>IFERROR(__xludf.DUMMYFUNCTION("""COMPUTED_VALUE"""),"")</f>
        <v/>
      </c>
      <c r="G9584" s="17" t="str">
        <f>IFERROR(__xludf.DUMMYFUNCTION("""COMPUTED_VALUE"""),"")</f>
        <v/>
      </c>
      <c r="H9584" s="17" t="str">
        <f>IFERROR(__xludf.DUMMYFUNCTION("""COMPUTED_VALUE"""),"")</f>
        <v/>
      </c>
      <c r="I9584" s="17" t="str">
        <f>IFERROR(__xludf.DUMMYFUNCTION("""COMPUTED_VALUE"""),"")</f>
        <v/>
      </c>
      <c r="J9584" s="17" t="str">
        <f>IFERROR(__xludf.DUMMYFUNCTION("""COMPUTED_VALUE"""),"")</f>
        <v/>
      </c>
      <c r="K9584" s="17" t="str">
        <f>IFERROR(__xludf.DUMMYFUNCTION("""COMPUTED_VALUE"""),"")</f>
        <v/>
      </c>
      <c r="L9584" s="17" t="str">
        <f>IFERROR(__xludf.DUMMYFUNCTION("""COMPUTED_VALUE"""),"")</f>
        <v/>
      </c>
      <c r="M9584" s="17" t="str">
        <f>IFERROR(__xludf.DUMMYFUNCTION("""COMPUTED_VALUE"""),"")</f>
        <v/>
      </c>
      <c r="N9584" s="17" t="str">
        <f>IFERROR(__xludf.DUMMYFUNCTION("""COMPUTED_VALUE"""),"")</f>
        <v/>
      </c>
      <c r="O9584" s="17" t="str">
        <f>IFERROR(__xludf.DUMMYFUNCTION("""COMPUTED_VALUE"""),"")</f>
        <v/>
      </c>
      <c r="P9584" s="17" t="str">
        <f>IFERROR(__xludf.DUMMYFUNCTION("""COMPUTED_VALUE"""),"")</f>
        <v/>
      </c>
      <c r="Q9584" s="17" t="str">
        <f>IFERROR(__xludf.DUMMYFUNCTION("""COMPUTED_VALUE"""),"")</f>
        <v/>
      </c>
      <c r="R9584" s="17" t="str">
        <f>IFERROR(__xludf.DUMMYFUNCTION("""COMPUTED_VALUE"""),"")</f>
        <v/>
      </c>
    </row>
    <row r="9585">
      <c r="A9585" s="15">
        <f>IFERROR(__xludf.DUMMYFUNCTION("""COMPUTED_VALUE"""),45273.0)</f>
        <v>45273</v>
      </c>
      <c r="B9585" s="17"/>
      <c r="C9585" s="15" t="str">
        <f>IFERROR(__xludf.DUMMYFUNCTION("""COMPUTED_VALUE"""),"BOGOTÁ")</f>
        <v>BOGOTÁ</v>
      </c>
      <c r="D9585" s="15" t="str">
        <f>IFERROR(__xludf.DUMMYFUNCTION("""COMPUTED_VALUE"""),"ENVIGADO")</f>
        <v>ENVIGADO</v>
      </c>
      <c r="E9585" s="15" t="str">
        <f>IFERROR(__xludf.DUMMYFUNCTION("""COMPUTED_VALUE"""),"RAMBLA")</f>
        <v>RAMBLA</v>
      </c>
      <c r="F9585" s="17" t="str">
        <f>IFERROR(__xludf.DUMMYFUNCTION("""COMPUTED_VALUE"""),"Avenida Carrera 9 # 113-52 / local 306")</f>
        <v>Avenida Carrera 9 # 113-52 / local 306</v>
      </c>
      <c r="G9585" s="15" t="str">
        <f>IFERROR(__xludf.DUMMYFUNCTION("""COMPUTED_VALUE"""),"Fresh Co")</f>
        <v>Fresh Co</v>
      </c>
      <c r="H9585" s="16">
        <f>IFERROR(__xludf.DUMMYFUNCTION("""COMPUTED_VALUE"""),18259.0)</f>
        <v>18259</v>
      </c>
      <c r="I9585" s="17"/>
      <c r="J9585" s="17"/>
      <c r="K9585" s="17"/>
      <c r="L9585" s="17">
        <f>IFERROR(__xludf.DUMMYFUNCTION("""COMPUTED_VALUE"""),3.229417869E9)</f>
        <v>3229417869</v>
      </c>
      <c r="M9585" s="17"/>
      <c r="N9585" s="17"/>
      <c r="O9585" s="17"/>
      <c r="P9585" s="17" t="b">
        <f>IFERROR(__xludf.DUMMYFUNCTION("""COMPUTED_VALUE"""),FALSE)</f>
        <v>0</v>
      </c>
      <c r="Q9585" s="20" t="str">
        <f>IFERROR(__xludf.DUMMYFUNCTION("""COMPUTED_VALUE"""),"")</f>
        <v/>
      </c>
      <c r="R9585" s="22" t="str">
        <f>IFERROR(__xludf.DUMMYFUNCTION("""COMPUTED_VALUE"""),"")</f>
        <v/>
      </c>
    </row>
    <row r="9586">
      <c r="A9586" s="15">
        <f>IFERROR(__xludf.DUMMYFUNCTION("""COMPUTED_VALUE"""),45273.0)</f>
        <v>45273</v>
      </c>
      <c r="B9586" s="17"/>
      <c r="C9586" s="15" t="str">
        <f>IFERROR(__xludf.DUMMYFUNCTION("""COMPUTED_VALUE"""),"BOGOTÁ")</f>
        <v>BOGOTÁ</v>
      </c>
      <c r="D9586" s="15" t="str">
        <f>IFERROR(__xludf.DUMMYFUNCTION("""COMPUTED_VALUE"""),"MEDELLÍN")</f>
        <v>MEDELLÍN</v>
      </c>
      <c r="E9586" s="15" t="str">
        <f>IFERROR(__xludf.DUMMYFUNCTION("""COMPUTED_VALUE"""),"Felicidad Bakery")</f>
        <v>Felicidad Bakery</v>
      </c>
      <c r="F9586" s="17" t="str">
        <f>IFERROR(__xludf.DUMMYFUNCTION("""COMPUTED_VALUE"""),"Calle 92 #15-62 / Edificio centro Chicó Local 103")</f>
        <v>Calle 92 #15-62 / Edificio centro Chicó Local 103</v>
      </c>
      <c r="G9586" s="15" t="str">
        <f>IFERROR(__xludf.DUMMYFUNCTION("""COMPUTED_VALUE"""),"Felicidad Bogota")</f>
        <v>Felicidad Bogota</v>
      </c>
      <c r="H9586" s="16">
        <f>IFERROR(__xludf.DUMMYFUNCTION("""COMPUTED_VALUE"""),18192.0)</f>
        <v>18192</v>
      </c>
      <c r="I9586" s="17"/>
      <c r="J9586" s="17"/>
      <c r="K9586" s="17"/>
      <c r="L9586" s="17">
        <f>IFERROR(__xludf.DUMMYFUNCTION("""COMPUTED_VALUE"""),3.013527163E9)</f>
        <v>3013527163</v>
      </c>
      <c r="M9586" s="17"/>
      <c r="N9586" s="17"/>
      <c r="O9586" s="17"/>
      <c r="P9586" s="17" t="b">
        <f>IFERROR(__xludf.DUMMYFUNCTION("""COMPUTED_VALUE"""),FALSE)</f>
        <v>0</v>
      </c>
      <c r="Q9586" s="20" t="str">
        <f>IFERROR(__xludf.DUMMYFUNCTION("""COMPUTED_VALUE"""),"")</f>
        <v/>
      </c>
      <c r="R9586" s="22" t="str">
        <f>IFERROR(__xludf.DUMMYFUNCTION("""COMPUTED_VALUE"""),"")</f>
        <v/>
      </c>
    </row>
    <row r="9587">
      <c r="A9587" s="17" t="str">
        <f>IFERROR(__xludf.DUMMYFUNCTION("""COMPUTED_VALUE"""),"")</f>
        <v/>
      </c>
      <c r="B9587" s="17" t="str">
        <f>IFERROR(__xludf.DUMMYFUNCTION("""COMPUTED_VALUE"""),"")</f>
        <v/>
      </c>
      <c r="C9587" s="17" t="str">
        <f>IFERROR(__xludf.DUMMYFUNCTION("""COMPUTED_VALUE"""),"")</f>
        <v/>
      </c>
      <c r="D9587" s="17" t="str">
        <f>IFERROR(__xludf.DUMMYFUNCTION("""COMPUTED_VALUE"""),"")</f>
        <v/>
      </c>
      <c r="E9587" s="17" t="str">
        <f>IFERROR(__xludf.DUMMYFUNCTION("""COMPUTED_VALUE"""),"")</f>
        <v/>
      </c>
      <c r="F9587" s="17" t="str">
        <f>IFERROR(__xludf.DUMMYFUNCTION("""COMPUTED_VALUE"""),"")</f>
        <v/>
      </c>
      <c r="G9587" s="17" t="str">
        <f>IFERROR(__xludf.DUMMYFUNCTION("""COMPUTED_VALUE"""),"")</f>
        <v/>
      </c>
      <c r="H9587" s="17" t="str">
        <f>IFERROR(__xludf.DUMMYFUNCTION("""COMPUTED_VALUE"""),"")</f>
        <v/>
      </c>
      <c r="I9587" s="17" t="str">
        <f>IFERROR(__xludf.DUMMYFUNCTION("""COMPUTED_VALUE"""),"")</f>
        <v/>
      </c>
      <c r="J9587" s="17" t="str">
        <f>IFERROR(__xludf.DUMMYFUNCTION("""COMPUTED_VALUE"""),"")</f>
        <v/>
      </c>
      <c r="K9587" s="17" t="str">
        <f>IFERROR(__xludf.DUMMYFUNCTION("""COMPUTED_VALUE"""),"")</f>
        <v/>
      </c>
      <c r="L9587" s="17" t="str">
        <f>IFERROR(__xludf.DUMMYFUNCTION("""COMPUTED_VALUE"""),"")</f>
        <v/>
      </c>
      <c r="M9587" s="17" t="str">
        <f>IFERROR(__xludf.DUMMYFUNCTION("""COMPUTED_VALUE"""),"")</f>
        <v/>
      </c>
      <c r="N9587" s="17" t="str">
        <f>IFERROR(__xludf.DUMMYFUNCTION("""COMPUTED_VALUE"""),"")</f>
        <v/>
      </c>
      <c r="O9587" s="17" t="str">
        <f>IFERROR(__xludf.DUMMYFUNCTION("""COMPUTED_VALUE"""),"")</f>
        <v/>
      </c>
      <c r="P9587" s="17" t="str">
        <f>IFERROR(__xludf.DUMMYFUNCTION("""COMPUTED_VALUE"""),"")</f>
        <v/>
      </c>
      <c r="Q9587" s="17" t="str">
        <f>IFERROR(__xludf.DUMMYFUNCTION("""COMPUTED_VALUE"""),"")</f>
        <v/>
      </c>
      <c r="R9587" s="17" t="str">
        <f>IFERROR(__xludf.DUMMYFUNCTION("""COMPUTED_VALUE"""),"")</f>
        <v/>
      </c>
    </row>
    <row r="9588">
      <c r="A9588" s="15">
        <f>IFERROR(__xludf.DUMMYFUNCTION("""COMPUTED_VALUE"""),45273.0)</f>
        <v>45273</v>
      </c>
      <c r="B9588" s="16" t="str">
        <f>IFERROR(__xludf.DUMMYFUNCTION("""COMPUTED_VALUE"""),"Alvaro Chacón")</f>
        <v>Alvaro Chacón</v>
      </c>
      <c r="C9588" s="15" t="str">
        <f>IFERROR(__xludf.DUMMYFUNCTION("""COMPUTED_VALUE"""),"BOGOTÁ")</f>
        <v>BOGOTÁ</v>
      </c>
      <c r="D9588" s="15" t="str">
        <f>IFERROR(__xludf.DUMMYFUNCTION("""COMPUTED_VALUE"""),"ENVIGADO")</f>
        <v>ENVIGADO</v>
      </c>
      <c r="E9588" s="15" t="str">
        <f>IFERROR(__xludf.DUMMYFUNCTION("""COMPUTED_VALUE"""),"RAMBLA")</f>
        <v>RAMBLA</v>
      </c>
      <c r="F9588" s="17" t="str">
        <f>IFERROR(__xludf.DUMMYFUNCTION("""COMPUTED_VALUE"""),"Calle 94 no 15 28 / local 3")</f>
        <v>Calle 94 no 15 28 / local 3</v>
      </c>
      <c r="G9588" s="15" t="str">
        <f>IFERROR(__xludf.DUMMYFUNCTION("""COMPUTED_VALUE"""),"Brunch Market")</f>
        <v>Brunch Market</v>
      </c>
      <c r="H9588" s="16">
        <f>IFERROR(__xludf.DUMMYFUNCTION("""COMPUTED_VALUE"""),18262.0)</f>
        <v>18262</v>
      </c>
      <c r="I9588" s="17"/>
      <c r="J9588" s="17"/>
      <c r="K9588" s="17"/>
      <c r="L9588" s="17">
        <f>IFERROR(__xludf.DUMMYFUNCTION("""COMPUTED_VALUE"""),3.10565416E9)</f>
        <v>3105654160</v>
      </c>
      <c r="M9588" s="17"/>
      <c r="N9588" s="17"/>
      <c r="O9588" s="17"/>
      <c r="P9588" s="17" t="b">
        <f>IFERROR(__xludf.DUMMYFUNCTION("""COMPUTED_VALUE"""),FALSE)</f>
        <v>0</v>
      </c>
      <c r="Q9588" s="20" t="str">
        <f>IFERROR(__xludf.DUMMYFUNCTION("""COMPUTED_VALUE"""),"")</f>
        <v/>
      </c>
      <c r="R9588" s="21" t="str">
        <f>IFERROR(__xludf.DUMMYFUNCTION("""COMPUTED_VALUE"""),"https://drive.google.com/file/d/1l84HSgUVTJp727xs4gNSEPTJFMQbzB2p/view?usp=drivesdk")</f>
        <v>https://drive.google.com/file/d/1l84HSgUVTJp727xs4gNSEPTJFMQbzB2p/view?usp=drivesdk</v>
      </c>
    </row>
    <row r="9589">
      <c r="A9589" s="15">
        <f>IFERROR(__xludf.DUMMYFUNCTION("""COMPUTED_VALUE"""),45273.0)</f>
        <v>45273</v>
      </c>
      <c r="B9589" s="16" t="str">
        <f>IFERROR(__xludf.DUMMYFUNCTION("""COMPUTED_VALUE"""),"Alvaro Chacón")</f>
        <v>Alvaro Chacón</v>
      </c>
      <c r="C9589" s="15" t="str">
        <f>IFERROR(__xludf.DUMMYFUNCTION("""COMPUTED_VALUE"""),"BOGOTÁ")</f>
        <v>BOGOTÁ</v>
      </c>
      <c r="D9589" s="15" t="str">
        <f>IFERROR(__xludf.DUMMYFUNCTION("""COMPUTED_VALUE"""),"MEDELLÍN")</f>
        <v>MEDELLÍN</v>
      </c>
      <c r="E9589" s="15" t="str">
        <f>IFERROR(__xludf.DUMMYFUNCTION("""COMPUTED_VALUE"""),"AREPAS LA MARY")</f>
        <v>AREPAS LA MARY</v>
      </c>
      <c r="F9589" s="17" t="str">
        <f>IFERROR(__xludf.DUMMYFUNCTION("""COMPUTED_VALUE"""),"CALLE 113 # 17-56 apto 401 / Edificio Altamarea")</f>
        <v>CALLE 113 # 17-56 apto 401 / Edificio Altamarea</v>
      </c>
      <c r="G9589" s="15" t="str">
        <f>IFERROR(__xludf.DUMMYFUNCTION("""COMPUTED_VALUE"""),"DIANA FAJARDO")</f>
        <v>DIANA FAJARDO</v>
      </c>
      <c r="H9589" s="16">
        <f>IFERROR(__xludf.DUMMYFUNCTION("""COMPUTED_VALUE"""),18273.0)</f>
        <v>18273</v>
      </c>
      <c r="I9589" s="17"/>
      <c r="J9589" s="17"/>
      <c r="K9589" s="17"/>
      <c r="L9589" s="17">
        <f>IFERROR(__xludf.DUMMYFUNCTION("""COMPUTED_VALUE"""),3.102322793E9)</f>
        <v>3102322793</v>
      </c>
      <c r="M9589" s="17"/>
      <c r="N9589" s="17"/>
      <c r="O9589" s="17"/>
      <c r="P9589" s="17" t="b">
        <f>IFERROR(__xludf.DUMMYFUNCTION("""COMPUTED_VALUE"""),FALSE)</f>
        <v>0</v>
      </c>
      <c r="Q9589" s="20" t="str">
        <f>IFERROR(__xludf.DUMMYFUNCTION("""COMPUTED_VALUE"""),"")</f>
        <v/>
      </c>
      <c r="R9589" s="21" t="str">
        <f>IFERROR(__xludf.DUMMYFUNCTION("""COMPUTED_VALUE"""),"https://drive.google.com/file/d/1KBFM1vZ5i0HT_r_GQnOKwcLknCWHCi2q/view?usp=drivesdk")</f>
        <v>https://drive.google.com/file/d/1KBFM1vZ5i0HT_r_GQnOKwcLknCWHCi2q/view?usp=drivesdk</v>
      </c>
    </row>
    <row r="9590">
      <c r="A9590" s="15">
        <f>IFERROR(__xludf.DUMMYFUNCTION("""COMPUTED_VALUE"""),45273.0)</f>
        <v>45273</v>
      </c>
      <c r="B9590" s="16" t="str">
        <f>IFERROR(__xludf.DUMMYFUNCTION("""COMPUTED_VALUE"""),"Alvaro Chacón")</f>
        <v>Alvaro Chacón</v>
      </c>
      <c r="C9590" s="15" t="str">
        <f>IFERROR(__xludf.DUMMYFUNCTION("""COMPUTED_VALUE"""),"BOGOTÁ")</f>
        <v>BOGOTÁ</v>
      </c>
      <c r="D9590" s="15" t="str">
        <f>IFERROR(__xludf.DUMMYFUNCTION("""COMPUTED_VALUE"""),"MEDELLÍN")</f>
        <v>MEDELLÍN</v>
      </c>
      <c r="E9590" s="15" t="str">
        <f>IFERROR(__xludf.DUMMYFUNCTION("""COMPUTED_VALUE"""),"AREPAS LA MARY")</f>
        <v>AREPAS LA MARY</v>
      </c>
      <c r="F9590" s="17" t="str">
        <f>IFERROR(__xludf.DUMMYFUNCTION("""COMPUTED_VALUE"""),"Calle 96 # 21-33 apto 610 / Goa Lounge")</f>
        <v>Calle 96 # 21-33 apto 610 / Goa Lounge</v>
      </c>
      <c r="G9590" s="15" t="str">
        <f>IFERROR(__xludf.DUMMYFUNCTION("""COMPUTED_VALUE"""),"GARCIA CALDERON")</f>
        <v>GARCIA CALDERON</v>
      </c>
      <c r="H9590" s="16">
        <f>IFERROR(__xludf.DUMMYFUNCTION("""COMPUTED_VALUE"""),18269.0)</f>
        <v>18269</v>
      </c>
      <c r="I9590" s="17"/>
      <c r="J9590" s="17"/>
      <c r="K9590" s="17"/>
      <c r="L9590" s="17">
        <f>IFERROR(__xludf.DUMMYFUNCTION("""COMPUTED_VALUE"""),3.133823557E9)</f>
        <v>3133823557</v>
      </c>
      <c r="M9590" s="17"/>
      <c r="N9590" s="17"/>
      <c r="O9590" s="17"/>
      <c r="P9590" s="17" t="b">
        <f>IFERROR(__xludf.DUMMYFUNCTION("""COMPUTED_VALUE"""),FALSE)</f>
        <v>0</v>
      </c>
      <c r="Q9590" s="20" t="str">
        <f>IFERROR(__xludf.DUMMYFUNCTION("""COMPUTED_VALUE"""),"")</f>
        <v/>
      </c>
      <c r="R9590" s="21" t="str">
        <f>IFERROR(__xludf.DUMMYFUNCTION("""COMPUTED_VALUE"""),"https://drive.google.com/file/d/1-xNO-Iq7GucXKk895LLb0RlgvIU45J1-/view?usp=drivesdk")</f>
        <v>https://drive.google.com/file/d/1-xNO-Iq7GucXKk895LLb0RlgvIU45J1-/view?usp=drivesdk</v>
      </c>
    </row>
    <row r="9591">
      <c r="A9591" s="15">
        <f>IFERROR(__xludf.DUMMYFUNCTION("""COMPUTED_VALUE"""),45273.0)</f>
        <v>45273</v>
      </c>
      <c r="B9591" s="16" t="str">
        <f>IFERROR(__xludf.DUMMYFUNCTION("""COMPUTED_VALUE"""),"Alvaro Chacón")</f>
        <v>Alvaro Chacón</v>
      </c>
      <c r="C9591" s="15" t="str">
        <f>IFERROR(__xludf.DUMMYFUNCTION("""COMPUTED_VALUE"""),"BOGOTÁ")</f>
        <v>BOGOTÁ</v>
      </c>
      <c r="D9591" s="15" t="str">
        <f>IFERROR(__xludf.DUMMYFUNCTION("""COMPUTED_VALUE"""),"MEDELLÍN")</f>
        <v>MEDELLÍN</v>
      </c>
      <c r="E9591" s="15" t="str">
        <f>IFERROR(__xludf.DUMMYFUNCTION("""COMPUTED_VALUE"""),"AREPAS LA MARY")</f>
        <v>AREPAS LA MARY</v>
      </c>
      <c r="F9591" s="17" t="str">
        <f>IFERROR(__xludf.DUMMYFUNCTION("""COMPUTED_VALUE"""),"CRA 13 N.93 13 LOCAL 103 / LOCAL HEALING FOODS")</f>
        <v>CRA 13 N.93 13 LOCAL 103 / LOCAL HEALING FOODS</v>
      </c>
      <c r="G9591" s="15" t="str">
        <f>IFERROR(__xludf.DUMMYFUNCTION("""COMPUTED_VALUE"""),"HEALING FOODS")</f>
        <v>HEALING FOODS</v>
      </c>
      <c r="H9591" s="16">
        <f>IFERROR(__xludf.DUMMYFUNCTION("""COMPUTED_VALUE"""),18267.0)</f>
        <v>18267</v>
      </c>
      <c r="I9591" s="17"/>
      <c r="J9591" s="17"/>
      <c r="K9591" s="17"/>
      <c r="L9591" s="17">
        <f>IFERROR(__xludf.DUMMYFUNCTION("""COMPUTED_VALUE"""),3.142647408E9)</f>
        <v>3142647408</v>
      </c>
      <c r="M9591" s="17"/>
      <c r="N9591" s="17"/>
      <c r="O9591" s="17"/>
      <c r="P9591" s="17" t="b">
        <f>IFERROR(__xludf.DUMMYFUNCTION("""COMPUTED_VALUE"""),FALSE)</f>
        <v>0</v>
      </c>
      <c r="Q9591" s="20" t="str">
        <f>IFERROR(__xludf.DUMMYFUNCTION("""COMPUTED_VALUE"""),"")</f>
        <v/>
      </c>
      <c r="R9591" s="21" t="str">
        <f>IFERROR(__xludf.DUMMYFUNCTION("""COMPUTED_VALUE"""),"https://drive.google.com/file/d/1TABB-c5gNPdun-NmDQlQ0BLnKGx7PcfW/view?usp=drivesdk")</f>
        <v>https://drive.google.com/file/d/1TABB-c5gNPdun-NmDQlQ0BLnKGx7PcfW/view?usp=drivesdk</v>
      </c>
    </row>
    <row r="9592">
      <c r="A9592" s="15">
        <f>IFERROR(__xludf.DUMMYFUNCTION("""COMPUTED_VALUE"""),45273.0)</f>
        <v>45273</v>
      </c>
      <c r="B9592" s="16" t="str">
        <f>IFERROR(__xludf.DUMMYFUNCTION("""COMPUTED_VALUE"""),"Alvaro Chacón")</f>
        <v>Alvaro Chacón</v>
      </c>
      <c r="C9592" s="15" t="str">
        <f>IFERROR(__xludf.DUMMYFUNCTION("""COMPUTED_VALUE"""),"BOGOTÁ")</f>
        <v>BOGOTÁ</v>
      </c>
      <c r="D9592" s="15" t="str">
        <f>IFERROR(__xludf.DUMMYFUNCTION("""COMPUTED_VALUE"""),"MEDELLÍN")</f>
        <v>MEDELLÍN</v>
      </c>
      <c r="E9592" s="15" t="str">
        <f>IFERROR(__xludf.DUMMYFUNCTION("""COMPUTED_VALUE"""),"AREPAS LA MARY")</f>
        <v>AREPAS LA MARY</v>
      </c>
      <c r="F9592" s="17" t="str">
        <f>IFERROR(__xludf.DUMMYFUNCTION("""COMPUTED_VALUE"""),"Cra. 23 #122-29 Apto.202 / Ed. canelo")</f>
        <v>Cra. 23 #122-29 Apto.202 / Ed. canelo</v>
      </c>
      <c r="G9592" s="15" t="str">
        <f>IFERROR(__xludf.DUMMYFUNCTION("""COMPUTED_VALUE"""),"LUISA TELLEZ")</f>
        <v>LUISA TELLEZ</v>
      </c>
      <c r="H9592" s="16">
        <f>IFERROR(__xludf.DUMMYFUNCTION("""COMPUTED_VALUE"""),18270.0)</f>
        <v>18270</v>
      </c>
      <c r="I9592" s="17"/>
      <c r="J9592" s="17"/>
      <c r="K9592" s="17"/>
      <c r="L9592" s="17"/>
      <c r="M9592" s="17"/>
      <c r="N9592" s="17"/>
      <c r="O9592" s="17"/>
      <c r="P9592" s="17" t="b">
        <f>IFERROR(__xludf.DUMMYFUNCTION("""COMPUTED_VALUE"""),FALSE)</f>
        <v>0</v>
      </c>
      <c r="Q9592" s="20" t="str">
        <f>IFERROR(__xludf.DUMMYFUNCTION("""COMPUTED_VALUE"""),"")</f>
        <v/>
      </c>
      <c r="R9592" s="21" t="str">
        <f>IFERROR(__xludf.DUMMYFUNCTION("""COMPUTED_VALUE"""),"https://drive.google.com/file/d/1K2g0CqagCCRijiBofO2Met2MlLpQgG2B/view?usp=drivesdk")</f>
        <v>https://drive.google.com/file/d/1K2g0CqagCCRijiBofO2Met2MlLpQgG2B/view?usp=drivesdk</v>
      </c>
    </row>
    <row r="9593">
      <c r="A9593" s="15">
        <f>IFERROR(__xludf.DUMMYFUNCTION("""COMPUTED_VALUE"""),45273.0)</f>
        <v>45273</v>
      </c>
      <c r="B9593" s="16" t="str">
        <f>IFERROR(__xludf.DUMMYFUNCTION("""COMPUTED_VALUE"""),"Alvaro Chacón")</f>
        <v>Alvaro Chacón</v>
      </c>
      <c r="C9593" s="15" t="str">
        <f>IFERROR(__xludf.DUMMYFUNCTION("""COMPUTED_VALUE"""),"BOGOTÁ")</f>
        <v>BOGOTÁ</v>
      </c>
      <c r="D9593" s="15" t="str">
        <f>IFERROR(__xludf.DUMMYFUNCTION("""COMPUTED_VALUE"""),"MEDELLÍN")</f>
        <v>MEDELLÍN</v>
      </c>
      <c r="E9593" s="15" t="str">
        <f>IFERROR(__xludf.DUMMYFUNCTION("""COMPUTED_VALUE"""),"Baby Chef")</f>
        <v>Baby Chef</v>
      </c>
      <c r="F9593" s="17" t="str">
        <f>IFERROR(__xludf.DUMMYFUNCTION("""COMPUTED_VALUE"""),"Calle 127 D # 19-18 Apto 402 Edificio Tupai Bogotá  Barrio La Calleja / . / .")</f>
        <v>Calle 127 D # 19-18 Apto 402 Edificio Tupai Bogotá  Barrio La Calleja / . / .</v>
      </c>
      <c r="G9593" s="15" t="str">
        <f>IFERROR(__xludf.DUMMYFUNCTION("""COMPUTED_VALUE"""),"Sandra Escobar Castilla")</f>
        <v>Sandra Escobar Castilla</v>
      </c>
      <c r="H9593" s="16">
        <f>IFERROR(__xludf.DUMMYFUNCTION("""COMPUTED_VALUE"""),18247.0)</f>
        <v>18247</v>
      </c>
      <c r="I9593" s="18">
        <f>IFERROR(__xludf.DUMMYFUNCTION("""COMPUTED_VALUE"""),10.0)</f>
        <v>10</v>
      </c>
      <c r="J9593" s="18">
        <f>IFERROR(__xludf.DUMMYFUNCTION("""COMPUTED_VALUE"""),21.0)</f>
        <v>21</v>
      </c>
      <c r="K9593" s="18">
        <f>IFERROR(__xludf.DUMMYFUNCTION("""COMPUTED_VALUE"""),36.0)</f>
        <v>36</v>
      </c>
      <c r="L9593" s="17">
        <f>IFERROR(__xludf.DUMMYFUNCTION("""COMPUTED_VALUE"""),3.166989618E9)</f>
        <v>3166989618</v>
      </c>
      <c r="M9593" s="17"/>
      <c r="N9593" s="17"/>
      <c r="O9593" s="17"/>
      <c r="P9593" s="17" t="b">
        <f>IFERROR(__xludf.DUMMYFUNCTION("""COMPUTED_VALUE"""),FALSE)</f>
        <v>0</v>
      </c>
      <c r="Q9593" s="20" t="str">
        <f>IFERROR(__xludf.DUMMYFUNCTION("""COMPUTED_VALUE"""),"")</f>
        <v/>
      </c>
      <c r="R9593" s="21" t="str">
        <f>IFERROR(__xludf.DUMMYFUNCTION("""COMPUTED_VALUE"""),"https://drive.google.com/file/d/1PuXE2oI06E0ooD21vNiOUq_nPnZtC0U1/view?usp=drivesdk")</f>
        <v>https://drive.google.com/file/d/1PuXE2oI06E0ooD21vNiOUq_nPnZtC0U1/view?usp=drivesdk</v>
      </c>
    </row>
    <row r="9594">
      <c r="A9594" s="15">
        <f>IFERROR(__xludf.DUMMYFUNCTION("""COMPUTED_VALUE"""),45273.0)</f>
        <v>45273</v>
      </c>
      <c r="B9594" s="16" t="str">
        <f>IFERROR(__xludf.DUMMYFUNCTION("""COMPUTED_VALUE"""),"Alvaro Chacón")</f>
        <v>Alvaro Chacón</v>
      </c>
      <c r="C9594" s="15" t="str">
        <f>IFERROR(__xludf.DUMMYFUNCTION("""COMPUTED_VALUE"""),"BOGOTÁ")</f>
        <v>BOGOTÁ</v>
      </c>
      <c r="D9594" s="15" t="str">
        <f>IFERROR(__xludf.DUMMYFUNCTION("""COMPUTED_VALUE"""),"MEDELLÍN")</f>
        <v>MEDELLÍN</v>
      </c>
      <c r="E9594" s="15" t="str">
        <f>IFERROR(__xludf.DUMMYFUNCTION("""COMPUTED_VALUE"""),"Baby Chef")</f>
        <v>Baby Chef</v>
      </c>
      <c r="F9594" s="17" t="str">
        <f>IFERROR(__xludf.DUMMYFUNCTION("""COMPUTED_VALUE"""),"Calle 136#56a-18 Casa 13 Rincón de aticos 3 / colina campestre/ bog / . / .")</f>
        <v>Calle 136#56a-18 Casa 13 Rincón de aticos 3 / colina campestre/ bog / . / .</v>
      </c>
      <c r="G9594" s="15" t="str">
        <f>IFERROR(__xludf.DUMMYFUNCTION("""COMPUTED_VALUE"""),"Lissa Fajardo")</f>
        <v>Lissa Fajardo</v>
      </c>
      <c r="H9594" s="16">
        <f>IFERROR(__xludf.DUMMYFUNCTION("""COMPUTED_VALUE"""),18249.0)</f>
        <v>18249</v>
      </c>
      <c r="I9594" s="18">
        <f>IFERROR(__xludf.DUMMYFUNCTION("""COMPUTED_VALUE"""),14.0)</f>
        <v>14</v>
      </c>
      <c r="J9594" s="18">
        <f>IFERROR(__xludf.DUMMYFUNCTION("""COMPUTED_VALUE"""),25.0)</f>
        <v>25</v>
      </c>
      <c r="K9594" s="18">
        <f>IFERROR(__xludf.DUMMYFUNCTION("""COMPUTED_VALUE"""),39.0)</f>
        <v>39</v>
      </c>
      <c r="L9594" s="17">
        <f>IFERROR(__xludf.DUMMYFUNCTION("""COMPUTED_VALUE"""),3.105616953E9)</f>
        <v>3105616953</v>
      </c>
      <c r="M9594" s="17"/>
      <c r="N9594" s="17"/>
      <c r="O9594" s="17"/>
      <c r="P9594" s="17" t="b">
        <f>IFERROR(__xludf.DUMMYFUNCTION("""COMPUTED_VALUE"""),FALSE)</f>
        <v>0</v>
      </c>
      <c r="Q9594" s="20" t="str">
        <f>IFERROR(__xludf.DUMMYFUNCTION("""COMPUTED_VALUE"""),"")</f>
        <v/>
      </c>
      <c r="R9594" s="21" t="str">
        <f>IFERROR(__xludf.DUMMYFUNCTION("""COMPUTED_VALUE"""),"https://drive.google.com/file/d/1hlscITv5hQBxqPxKV4te_T7uG838zEGC/view?usp=drivesdk")</f>
        <v>https://drive.google.com/file/d/1hlscITv5hQBxqPxKV4te_T7uG838zEGC/view?usp=drivesdk</v>
      </c>
    </row>
    <row r="9595">
      <c r="A9595" s="15">
        <f>IFERROR(__xludf.DUMMYFUNCTION("""COMPUTED_VALUE"""),45273.0)</f>
        <v>45273</v>
      </c>
      <c r="B9595" s="16" t="str">
        <f>IFERROR(__xludf.DUMMYFUNCTION("""COMPUTED_VALUE"""),"Alvaro Chacón")</f>
        <v>Alvaro Chacón</v>
      </c>
      <c r="C9595" s="15" t="str">
        <f>IFERROR(__xludf.DUMMYFUNCTION("""COMPUTED_VALUE"""),"BOGOTÁ")</f>
        <v>BOGOTÁ</v>
      </c>
      <c r="D9595" s="15" t="str">
        <f>IFERROR(__xludf.DUMMYFUNCTION("""COMPUTED_VALUE"""),"MEDELLÍN")</f>
        <v>MEDELLÍN</v>
      </c>
      <c r="E9595" s="15" t="str">
        <f>IFERROR(__xludf.DUMMYFUNCTION("""COMPUTED_VALUE"""),"Baby Chef")</f>
        <v>Baby Chef</v>
      </c>
      <c r="F9595" s="17" t="str">
        <f>IFERROR(__xludf.DUMMYFUNCTION("""COMPUTED_VALUE"""),"Carrera 21 114-20 apto 101 edificio Cerezo  Bogotá / . / .")</f>
        <v>Carrera 21 114-20 apto 101 edificio Cerezo  Bogotá / . / .</v>
      </c>
      <c r="G9595" s="15" t="str">
        <f>IFERROR(__xludf.DUMMYFUNCTION("""COMPUTED_VALUE"""),"Laura Martínez")</f>
        <v>Laura Martínez</v>
      </c>
      <c r="H9595" s="16">
        <f>IFERROR(__xludf.DUMMYFUNCTION("""COMPUTED_VALUE"""),18251.0)</f>
        <v>18251</v>
      </c>
      <c r="I9595" s="18">
        <f>IFERROR(__xludf.DUMMYFUNCTION("""COMPUTED_VALUE"""),10.0)</f>
        <v>10</v>
      </c>
      <c r="J9595" s="18">
        <f>IFERROR(__xludf.DUMMYFUNCTION("""COMPUTED_VALUE"""),24.0)</f>
        <v>24</v>
      </c>
      <c r="K9595" s="18">
        <f>IFERROR(__xludf.DUMMYFUNCTION("""COMPUTED_VALUE"""),35.0)</f>
        <v>35</v>
      </c>
      <c r="L9595" s="17">
        <f>IFERROR(__xludf.DUMMYFUNCTION("""COMPUTED_VALUE"""),3.152629963E9)</f>
        <v>3152629963</v>
      </c>
      <c r="M9595" s="17"/>
      <c r="N9595" s="17"/>
      <c r="O9595" s="17"/>
      <c r="P9595" s="17" t="b">
        <f>IFERROR(__xludf.DUMMYFUNCTION("""COMPUTED_VALUE"""),FALSE)</f>
        <v>0</v>
      </c>
      <c r="Q9595" s="20" t="str">
        <f>IFERROR(__xludf.DUMMYFUNCTION("""COMPUTED_VALUE"""),"")</f>
        <v/>
      </c>
      <c r="R9595" s="21" t="str">
        <f>IFERROR(__xludf.DUMMYFUNCTION("""COMPUTED_VALUE"""),"https://drive.google.com/file/d/1ud9WGu2sX5rWJ-_59K4p3d6wiOOeKD7_/view?usp=drivesdk")</f>
        <v>https://drive.google.com/file/d/1ud9WGu2sX5rWJ-_59K4p3d6wiOOeKD7_/view?usp=drivesdk</v>
      </c>
    </row>
    <row r="9596">
      <c r="A9596" s="15">
        <f>IFERROR(__xludf.DUMMYFUNCTION("""COMPUTED_VALUE"""),45273.0)</f>
        <v>45273</v>
      </c>
      <c r="B9596" s="16" t="str">
        <f>IFERROR(__xludf.DUMMYFUNCTION("""COMPUTED_VALUE"""),"Alvaro Chacón")</f>
        <v>Alvaro Chacón</v>
      </c>
      <c r="C9596" s="15" t="str">
        <f>IFERROR(__xludf.DUMMYFUNCTION("""COMPUTED_VALUE"""),"BOGOTÁ")</f>
        <v>BOGOTÁ</v>
      </c>
      <c r="D9596" s="15" t="str">
        <f>IFERROR(__xludf.DUMMYFUNCTION("""COMPUTED_VALUE"""),"MEDELLÍN")</f>
        <v>MEDELLÍN</v>
      </c>
      <c r="E9596" s="15" t="str">
        <f>IFERROR(__xludf.DUMMYFUNCTION("""COMPUTED_VALUE"""),"Baby Chef")</f>
        <v>Baby Chef</v>
      </c>
      <c r="F9596" s="17" t="str">
        <f>IFERROR(__xludf.DUMMYFUNCTION("""COMPUTED_VALUE"""),"Cll 127b #19-60 apto 208, edificio azafran, barrio la calleja / . / .")</f>
        <v>Cll 127b #19-60 apto 208, edificio azafran, barrio la calleja / . / .</v>
      </c>
      <c r="G9596" s="15" t="str">
        <f>IFERROR(__xludf.DUMMYFUNCTION("""COMPUTED_VALUE"""),"Andrea Perez")</f>
        <v>Andrea Perez</v>
      </c>
      <c r="H9596" s="16">
        <f>IFERROR(__xludf.DUMMYFUNCTION("""COMPUTED_VALUE"""),18248.0)</f>
        <v>18248</v>
      </c>
      <c r="I9596" s="18">
        <f>IFERROR(__xludf.DUMMYFUNCTION("""COMPUTED_VALUE"""),8.0)</f>
        <v>8</v>
      </c>
      <c r="J9596" s="18">
        <f>IFERROR(__xludf.DUMMYFUNCTION("""COMPUTED_VALUE"""),22.0)</f>
        <v>22</v>
      </c>
      <c r="K9596" s="18">
        <f>IFERROR(__xludf.DUMMYFUNCTION("""COMPUTED_VALUE"""),35.0)</f>
        <v>35</v>
      </c>
      <c r="L9596" s="17">
        <f>IFERROR(__xludf.DUMMYFUNCTION("""COMPUTED_VALUE"""),3.007929985E9)</f>
        <v>3007929985</v>
      </c>
      <c r="M9596" s="17"/>
      <c r="N9596" s="17"/>
      <c r="O9596" s="17"/>
      <c r="P9596" s="17" t="b">
        <f>IFERROR(__xludf.DUMMYFUNCTION("""COMPUTED_VALUE"""),FALSE)</f>
        <v>0</v>
      </c>
      <c r="Q9596" s="20" t="str">
        <f>IFERROR(__xludf.DUMMYFUNCTION("""COMPUTED_VALUE"""),"")</f>
        <v/>
      </c>
      <c r="R9596" s="21" t="str">
        <f>IFERROR(__xludf.DUMMYFUNCTION("""COMPUTED_VALUE"""),"https://drive.google.com/file/d/1jGQo42lA6YPVcBH-PdZmiAmyaYCpyHqQ/view?usp=drivesdk")</f>
        <v>https://drive.google.com/file/d/1jGQo42lA6YPVcBH-PdZmiAmyaYCpyHqQ/view?usp=drivesdk</v>
      </c>
    </row>
    <row r="9597">
      <c r="A9597" s="15">
        <f>IFERROR(__xludf.DUMMYFUNCTION("""COMPUTED_VALUE"""),45273.0)</f>
        <v>45273</v>
      </c>
      <c r="B9597" s="16" t="str">
        <f>IFERROR(__xludf.DUMMYFUNCTION("""COMPUTED_VALUE"""),"Alvaro Chacón")</f>
        <v>Alvaro Chacón</v>
      </c>
      <c r="C9597" s="15" t="str">
        <f>IFERROR(__xludf.DUMMYFUNCTION("""COMPUTED_VALUE"""),"BOGOTÁ")</f>
        <v>BOGOTÁ</v>
      </c>
      <c r="D9597" s="15" t="str">
        <f>IFERROR(__xludf.DUMMYFUNCTION("""COMPUTED_VALUE"""),"MEDELLÍN")</f>
        <v>MEDELLÍN</v>
      </c>
      <c r="E9597" s="15" t="str">
        <f>IFERROR(__xludf.DUMMYFUNCTION("""COMPUTED_VALUE"""),"Salón Ahumado")</f>
        <v>Salón Ahumado</v>
      </c>
      <c r="F9597" s="17" t="str">
        <f>IFERROR(__xludf.DUMMYFUNCTION("""COMPUTED_VALUE"""),"CALLE 87 #7 16 / Torre C apto 606 / Bogotá")</f>
        <v>CALLE 87 #7 16 / Torre C apto 606 / Bogotá</v>
      </c>
      <c r="G9597" s="15" t="str">
        <f>IFERROR(__xludf.DUMMYFUNCTION("""COMPUTED_VALUE"""),"Ana Maria Sanchez")</f>
        <v>Ana Maria Sanchez</v>
      </c>
      <c r="H9597" s="16">
        <f>IFERROR(__xludf.DUMMYFUNCTION("""COMPUTED_VALUE"""),18240.0)</f>
        <v>18240</v>
      </c>
      <c r="I9597" s="18">
        <f>IFERROR(__xludf.DUMMYFUNCTION("""COMPUTED_VALUE"""),10.0)</f>
        <v>10</v>
      </c>
      <c r="J9597" s="18">
        <f>IFERROR(__xludf.DUMMYFUNCTION("""COMPUTED_VALUE"""),15.0)</f>
        <v>15</v>
      </c>
      <c r="K9597" s="18">
        <f>IFERROR(__xludf.DUMMYFUNCTION("""COMPUTED_VALUE"""),25.0)</f>
        <v>25</v>
      </c>
      <c r="L9597" s="17">
        <f>IFERROR(__xludf.DUMMYFUNCTION("""COMPUTED_VALUE"""),3.156693671E9)</f>
        <v>3156693671</v>
      </c>
      <c r="M9597" s="17"/>
      <c r="N9597" s="17"/>
      <c r="O9597" s="17"/>
      <c r="P9597" s="17" t="b">
        <f>IFERROR(__xludf.DUMMYFUNCTION("""COMPUTED_VALUE"""),FALSE)</f>
        <v>0</v>
      </c>
      <c r="Q9597" s="20" t="str">
        <f>IFERROR(__xludf.DUMMYFUNCTION("""COMPUTED_VALUE"""),"")</f>
        <v/>
      </c>
      <c r="R9597" s="21" t="str">
        <f>IFERROR(__xludf.DUMMYFUNCTION("""COMPUTED_VALUE"""),"https://drive.google.com/file/d/1p5-U86I9gZ0oVw4unKqQUuIUf0LWo6Gl/view?usp=drivesdk")</f>
        <v>https://drive.google.com/file/d/1p5-U86I9gZ0oVw4unKqQUuIUf0LWo6Gl/view?usp=drivesdk</v>
      </c>
    </row>
    <row r="9598">
      <c r="A9598" s="15">
        <f>IFERROR(__xludf.DUMMYFUNCTION("""COMPUTED_VALUE"""),45273.0)</f>
        <v>45273</v>
      </c>
      <c r="B9598" s="16" t="str">
        <f>IFERROR(__xludf.DUMMYFUNCTION("""COMPUTED_VALUE"""),"Alvaro Chacón")</f>
        <v>Alvaro Chacón</v>
      </c>
      <c r="C9598" s="15" t="str">
        <f>IFERROR(__xludf.DUMMYFUNCTION("""COMPUTED_VALUE"""),"BOGOTÁ")</f>
        <v>BOGOTÁ</v>
      </c>
      <c r="D9598" s="15" t="str">
        <f>IFERROR(__xludf.DUMMYFUNCTION("""COMPUTED_VALUE"""),"MEDELLÍN")</f>
        <v>MEDELLÍN</v>
      </c>
      <c r="E9598" s="15" t="str">
        <f>IFERROR(__xludf.DUMMYFUNCTION("""COMPUTED_VALUE"""),"Selva")</f>
        <v>Selva</v>
      </c>
      <c r="F9598" s="17" t="str">
        <f>IFERROR(__xludf.DUMMYFUNCTION("""COMPUTED_VALUE"""),"Carrea 12 #78-30 / Edificio Marbella Real apartamento 203")</f>
        <v>Carrea 12 #78-30 / Edificio Marbella Real apartamento 203</v>
      </c>
      <c r="G9598" s="15" t="str">
        <f>IFERROR(__xludf.DUMMYFUNCTION("""COMPUTED_VALUE"""),"Clemencia Medrano")</f>
        <v>Clemencia Medrano</v>
      </c>
      <c r="H9598" s="16">
        <f>IFERROR(__xludf.DUMMYFUNCTION("""COMPUTED_VALUE"""),18124.0)</f>
        <v>18124</v>
      </c>
      <c r="I9598" s="17"/>
      <c r="J9598" s="17"/>
      <c r="K9598" s="17"/>
      <c r="L9598" s="17">
        <f>IFERROR(__xludf.DUMMYFUNCTION("""COMPUTED_VALUE"""),3.17855496E9)</f>
        <v>3178554960</v>
      </c>
      <c r="M9598" s="17"/>
      <c r="N9598" s="17"/>
      <c r="O9598" s="17"/>
      <c r="P9598" s="17" t="b">
        <f>IFERROR(__xludf.DUMMYFUNCTION("""COMPUTED_VALUE"""),FALSE)</f>
        <v>0</v>
      </c>
      <c r="Q9598" s="20" t="str">
        <f>IFERROR(__xludf.DUMMYFUNCTION("""COMPUTED_VALUE"""),"")</f>
        <v/>
      </c>
      <c r="R9598" s="21" t="str">
        <f>IFERROR(__xludf.DUMMYFUNCTION("""COMPUTED_VALUE"""),"https://drive.google.com/file/d/1Yrbjt2baL72IGCN2kgYmjjo1OEy5KfqF/view?usp=drivesdk")</f>
        <v>https://drive.google.com/file/d/1Yrbjt2baL72IGCN2kgYmjjo1OEy5KfqF/view?usp=drivesdk</v>
      </c>
    </row>
    <row r="9599">
      <c r="A9599" s="17" t="str">
        <f>IFERROR(__xludf.DUMMYFUNCTION("""COMPUTED_VALUE"""),"")</f>
        <v/>
      </c>
      <c r="B9599" s="17" t="str">
        <f>IFERROR(__xludf.DUMMYFUNCTION("""COMPUTED_VALUE"""),"")</f>
        <v/>
      </c>
      <c r="C9599" s="17" t="str">
        <f>IFERROR(__xludf.DUMMYFUNCTION("""COMPUTED_VALUE"""),"")</f>
        <v/>
      </c>
      <c r="D9599" s="17" t="str">
        <f>IFERROR(__xludf.DUMMYFUNCTION("""COMPUTED_VALUE"""),"")</f>
        <v/>
      </c>
      <c r="E9599" s="17" t="str">
        <f>IFERROR(__xludf.DUMMYFUNCTION("""COMPUTED_VALUE"""),"")</f>
        <v/>
      </c>
      <c r="F9599" s="17" t="str">
        <f>IFERROR(__xludf.DUMMYFUNCTION("""COMPUTED_VALUE"""),"")</f>
        <v/>
      </c>
      <c r="G9599" s="17" t="str">
        <f>IFERROR(__xludf.DUMMYFUNCTION("""COMPUTED_VALUE"""),"")</f>
        <v/>
      </c>
      <c r="H9599" s="17" t="str">
        <f>IFERROR(__xludf.DUMMYFUNCTION("""COMPUTED_VALUE"""),"")</f>
        <v/>
      </c>
      <c r="I9599" s="17" t="str">
        <f>IFERROR(__xludf.DUMMYFUNCTION("""COMPUTED_VALUE"""),"")</f>
        <v/>
      </c>
      <c r="J9599" s="17" t="str">
        <f>IFERROR(__xludf.DUMMYFUNCTION("""COMPUTED_VALUE"""),"")</f>
        <v/>
      </c>
      <c r="K9599" s="17" t="str">
        <f>IFERROR(__xludf.DUMMYFUNCTION("""COMPUTED_VALUE"""),"")</f>
        <v/>
      </c>
      <c r="L9599" s="17" t="str">
        <f>IFERROR(__xludf.DUMMYFUNCTION("""COMPUTED_VALUE"""),"")</f>
        <v/>
      </c>
      <c r="M9599" s="17" t="str">
        <f>IFERROR(__xludf.DUMMYFUNCTION("""COMPUTED_VALUE"""),"")</f>
        <v/>
      </c>
      <c r="N9599" s="17" t="str">
        <f>IFERROR(__xludf.DUMMYFUNCTION("""COMPUTED_VALUE"""),"")</f>
        <v/>
      </c>
      <c r="O9599" s="17" t="str">
        <f>IFERROR(__xludf.DUMMYFUNCTION("""COMPUTED_VALUE"""),"")</f>
        <v/>
      </c>
      <c r="P9599" s="17" t="str">
        <f>IFERROR(__xludf.DUMMYFUNCTION("""COMPUTED_VALUE"""),"")</f>
        <v/>
      </c>
      <c r="Q9599" s="17" t="str">
        <f>IFERROR(__xludf.DUMMYFUNCTION("""COMPUTED_VALUE"""),"")</f>
        <v/>
      </c>
      <c r="R9599" s="17" t="str">
        <f>IFERROR(__xludf.DUMMYFUNCTION("""COMPUTED_VALUE"""),"")</f>
        <v/>
      </c>
    </row>
    <row r="9600">
      <c r="A9600" s="15">
        <f>IFERROR(__xludf.DUMMYFUNCTION("""COMPUTED_VALUE"""),45273.0)</f>
        <v>45273</v>
      </c>
      <c r="B9600" s="16" t="str">
        <f>IFERROR(__xludf.DUMMYFUNCTION("""COMPUTED_VALUE"""),"Anuar suarez jimenez ")</f>
        <v>Anuar suarez jimenez </v>
      </c>
      <c r="C9600" s="15" t="str">
        <f>IFERROR(__xludf.DUMMYFUNCTION("""COMPUTED_VALUE"""),"MONTERIA")</f>
        <v>MONTERIA</v>
      </c>
      <c r="D9600" s="15" t="str">
        <f>IFERROR(__xludf.DUMMYFUNCTION("""COMPUTED_VALUE"""),"BOGOTÁ")</f>
        <v>BOGOTÁ</v>
      </c>
      <c r="E9600" s="15" t="str">
        <f>IFERROR(__xludf.DUMMYFUNCTION("""COMPUTED_VALUE"""),"Premium Choice")</f>
        <v>Premium Choice</v>
      </c>
      <c r="F9600" s="17" t="str">
        <f>IFERROR(__xludf.DUMMYFUNCTION("""COMPUTED_VALUE"""),"Calle 62 # 6 - 45  / Local 2  / Montería")</f>
        <v>Calle 62 # 6 - 45  / Local 2  / Montería</v>
      </c>
      <c r="G9600" s="15" t="str">
        <f>IFERROR(__xludf.DUMMYFUNCTION("""COMPUTED_VALUE"""),"Mejía Martínez Carolina")</f>
        <v>Mejía Martínez Carolina</v>
      </c>
      <c r="H9600" s="16">
        <f>IFERROR(__xludf.DUMMYFUNCTION("""COMPUTED_VALUE"""),18147.0)</f>
        <v>18147</v>
      </c>
      <c r="I9600" s="18">
        <f>IFERROR(__xludf.DUMMYFUNCTION("""COMPUTED_VALUE"""),16.0)</f>
        <v>16</v>
      </c>
      <c r="J9600" s="18">
        <f>IFERROR(__xludf.DUMMYFUNCTION("""COMPUTED_VALUE"""),37.0)</f>
        <v>37</v>
      </c>
      <c r="K9600" s="18">
        <f>IFERROR(__xludf.DUMMYFUNCTION("""COMPUTED_VALUE"""),25.0)</f>
        <v>25</v>
      </c>
      <c r="L9600" s="17">
        <f>IFERROR(__xludf.DUMMYFUNCTION("""COMPUTED_VALUE"""),3.102170999E9)</f>
        <v>3102170999</v>
      </c>
      <c r="M9600" s="17"/>
      <c r="N9600" s="17"/>
      <c r="O9600" s="17"/>
      <c r="P9600" s="17" t="b">
        <f>IFERROR(__xludf.DUMMYFUNCTION("""COMPUTED_VALUE"""),FALSE)</f>
        <v>0</v>
      </c>
      <c r="Q9600" s="20" t="str">
        <f>IFERROR(__xludf.DUMMYFUNCTION("""COMPUTED_VALUE"""),"")</f>
        <v/>
      </c>
      <c r="R9600" s="21" t="str">
        <f>IFERROR(__xludf.DUMMYFUNCTION("""COMPUTED_VALUE"""),"https://drive.google.com/file/d/1EO1j572t7BAa3_qrU5Bp56GCps5O7ZhB/view?usp=drivesdk")</f>
        <v>https://drive.google.com/file/d/1EO1j572t7BAa3_qrU5Bp56GCps5O7ZhB/view?usp=drivesdk</v>
      </c>
    </row>
    <row r="9601">
      <c r="A9601" s="15">
        <f>IFERROR(__xludf.DUMMYFUNCTION("""COMPUTED_VALUE"""),45273.0)</f>
        <v>45273</v>
      </c>
      <c r="B9601" s="16" t="str">
        <f>IFERROR(__xludf.DUMMYFUNCTION("""COMPUTED_VALUE"""),"Anuar suarez jimenez ")</f>
        <v>Anuar suarez jimenez </v>
      </c>
      <c r="C9601" s="15" t="str">
        <f>IFERROR(__xludf.DUMMYFUNCTION("""COMPUTED_VALUE"""),"MONTERIA")</f>
        <v>MONTERIA</v>
      </c>
      <c r="D9601" s="15" t="str">
        <f>IFERROR(__xludf.DUMMYFUNCTION("""COMPUTED_VALUE"""),"BOGOTÁ")</f>
        <v>BOGOTÁ</v>
      </c>
      <c r="E9601" s="15" t="str">
        <f>IFERROR(__xludf.DUMMYFUNCTION("""COMPUTED_VALUE"""),"Top Spun")</f>
        <v>Top Spun</v>
      </c>
      <c r="F9601" s="17" t="str">
        <f>IFERROR(__xludf.DUMMYFUNCTION("""COMPUTED_VALUE"""),"Cll 62b # 13-39 / Casa / Monteria")</f>
        <v>Cll 62b # 13-39 / Casa / Monteria</v>
      </c>
      <c r="G9601" s="15" t="str">
        <f>IFERROR(__xludf.DUMMYFUNCTION("""COMPUTED_VALUE"""),"Diana Diaz")</f>
        <v>Diana Diaz</v>
      </c>
      <c r="H9601" s="16">
        <f>IFERROR(__xludf.DUMMYFUNCTION("""COMPUTED_VALUE"""),18114.0)</f>
        <v>18114</v>
      </c>
      <c r="I9601" s="18">
        <f>IFERROR(__xludf.DUMMYFUNCTION("""COMPUTED_VALUE"""),20.0)</f>
        <v>20</v>
      </c>
      <c r="J9601" s="18">
        <f>IFERROR(__xludf.DUMMYFUNCTION("""COMPUTED_VALUE"""),10.0)</f>
        <v>10</v>
      </c>
      <c r="K9601" s="18">
        <f>IFERROR(__xludf.DUMMYFUNCTION("""COMPUTED_VALUE"""),40.0)</f>
        <v>40</v>
      </c>
      <c r="L9601" s="17">
        <f>IFERROR(__xludf.DUMMYFUNCTION("""COMPUTED_VALUE"""),3.017909981E9)</f>
        <v>3017909981</v>
      </c>
      <c r="M9601" s="17"/>
      <c r="N9601" s="17"/>
      <c r="O9601" s="17"/>
      <c r="P9601" s="17" t="b">
        <f>IFERROR(__xludf.DUMMYFUNCTION("""COMPUTED_VALUE"""),FALSE)</f>
        <v>0</v>
      </c>
      <c r="Q9601" s="20" t="str">
        <f>IFERROR(__xludf.DUMMYFUNCTION("""COMPUTED_VALUE"""),"")</f>
        <v/>
      </c>
      <c r="R9601" s="21" t="str">
        <f>IFERROR(__xludf.DUMMYFUNCTION("""COMPUTED_VALUE"""),"https://drive.google.com/file/d/1Y_czfIRgF5xx0fluwrrY7eMSPxmIDFBS/view?usp=drivesdk")</f>
        <v>https://drive.google.com/file/d/1Y_czfIRgF5xx0fluwrrY7eMSPxmIDFBS/view?usp=drivesdk</v>
      </c>
    </row>
    <row r="9602">
      <c r="A9602" s="15">
        <f>IFERROR(__xludf.DUMMYFUNCTION("""COMPUTED_VALUE"""),45273.0)</f>
        <v>45273</v>
      </c>
      <c r="B9602" s="16" t="str">
        <f>IFERROR(__xludf.DUMMYFUNCTION("""COMPUTED_VALUE"""),"Anuar suarez jimenez ")</f>
        <v>Anuar suarez jimenez </v>
      </c>
      <c r="C9602" s="15" t="str">
        <f>IFERROR(__xludf.DUMMYFUNCTION("""COMPUTED_VALUE"""),"MONTERIA")</f>
        <v>MONTERIA</v>
      </c>
      <c r="D9602" s="15" t="str">
        <f>IFERROR(__xludf.DUMMYFUNCTION("""COMPUTED_VALUE"""),"ENVIGADO")</f>
        <v>ENVIGADO</v>
      </c>
      <c r="E9602" s="15" t="str">
        <f>IFERROR(__xludf.DUMMYFUNCTION("""COMPUTED_VALUE"""),"RAMBLA")</f>
        <v>RAMBLA</v>
      </c>
      <c r="F9602" s="17" t="str">
        <f>IFERROR(__xludf.DUMMYFUNCTION("""COMPUTED_VALUE"""),"Calle 62 #6 45 / lc 2")</f>
        <v>Calle 62 #6 45 / lc 2</v>
      </c>
      <c r="G9602" s="15" t="str">
        <f>IFERROR(__xludf.DUMMYFUNCTION("""COMPUTED_VALUE"""),"Felii Restaurante")</f>
        <v>Felii Restaurante</v>
      </c>
      <c r="H9602" s="16">
        <f>IFERROR(__xludf.DUMMYFUNCTION("""COMPUTED_VALUE"""),18264.0)</f>
        <v>18264</v>
      </c>
      <c r="I9602" s="17"/>
      <c r="J9602" s="17"/>
      <c r="K9602" s="17"/>
      <c r="L9602" s="17">
        <f>IFERROR(__xludf.DUMMYFUNCTION("""COMPUTED_VALUE"""),3.052261719E9)</f>
        <v>3052261719</v>
      </c>
      <c r="M9602" s="17"/>
      <c r="N9602" s="17"/>
      <c r="O9602" s="17"/>
      <c r="P9602" s="17" t="b">
        <f>IFERROR(__xludf.DUMMYFUNCTION("""COMPUTED_VALUE"""),FALSE)</f>
        <v>0</v>
      </c>
      <c r="Q9602" s="20" t="str">
        <f>IFERROR(__xludf.DUMMYFUNCTION("""COMPUTED_VALUE"""),"")</f>
        <v/>
      </c>
      <c r="R9602" s="21" t="str">
        <f>IFERROR(__xludf.DUMMYFUNCTION("""COMPUTED_VALUE"""),"https://drive.google.com/file/d/1mjSq9WrZpmvHAO5V1_CjnAUKVkAvQX6y/view?usp=drivesdk")</f>
        <v>https://drive.google.com/file/d/1mjSq9WrZpmvHAO5V1_CjnAUKVkAvQX6y/view?usp=drivesdk</v>
      </c>
    </row>
    <row r="9603">
      <c r="A9603" s="17" t="str">
        <f>IFERROR(__xludf.DUMMYFUNCTION("""COMPUTED_VALUE"""),"")</f>
        <v/>
      </c>
      <c r="B9603" s="17" t="str">
        <f>IFERROR(__xludf.DUMMYFUNCTION("""COMPUTED_VALUE"""),"")</f>
        <v/>
      </c>
      <c r="C9603" s="17" t="str">
        <f>IFERROR(__xludf.DUMMYFUNCTION("""COMPUTED_VALUE"""),"")</f>
        <v/>
      </c>
      <c r="D9603" s="17" t="str">
        <f>IFERROR(__xludf.DUMMYFUNCTION("""COMPUTED_VALUE"""),"")</f>
        <v/>
      </c>
      <c r="E9603" s="17" t="str">
        <f>IFERROR(__xludf.DUMMYFUNCTION("""COMPUTED_VALUE"""),"")</f>
        <v/>
      </c>
      <c r="F9603" s="17" t="str">
        <f>IFERROR(__xludf.DUMMYFUNCTION("""COMPUTED_VALUE"""),"")</f>
        <v/>
      </c>
      <c r="G9603" s="17" t="str">
        <f>IFERROR(__xludf.DUMMYFUNCTION("""COMPUTED_VALUE"""),"")</f>
        <v/>
      </c>
      <c r="H9603" s="17" t="str">
        <f>IFERROR(__xludf.DUMMYFUNCTION("""COMPUTED_VALUE"""),"")</f>
        <v/>
      </c>
      <c r="I9603" s="17" t="str">
        <f>IFERROR(__xludf.DUMMYFUNCTION("""COMPUTED_VALUE"""),"")</f>
        <v/>
      </c>
      <c r="J9603" s="17" t="str">
        <f>IFERROR(__xludf.DUMMYFUNCTION("""COMPUTED_VALUE"""),"")</f>
        <v/>
      </c>
      <c r="K9603" s="17" t="str">
        <f>IFERROR(__xludf.DUMMYFUNCTION("""COMPUTED_VALUE"""),"")</f>
        <v/>
      </c>
      <c r="L9603" s="17" t="str">
        <f>IFERROR(__xludf.DUMMYFUNCTION("""COMPUTED_VALUE"""),"")</f>
        <v/>
      </c>
      <c r="M9603" s="17" t="str">
        <f>IFERROR(__xludf.DUMMYFUNCTION("""COMPUTED_VALUE"""),"")</f>
        <v/>
      </c>
      <c r="N9603" s="17" t="str">
        <f>IFERROR(__xludf.DUMMYFUNCTION("""COMPUTED_VALUE"""),"")</f>
        <v/>
      </c>
      <c r="O9603" s="17" t="str">
        <f>IFERROR(__xludf.DUMMYFUNCTION("""COMPUTED_VALUE"""),"")</f>
        <v/>
      </c>
      <c r="P9603" s="17" t="str">
        <f>IFERROR(__xludf.DUMMYFUNCTION("""COMPUTED_VALUE"""),"")</f>
        <v/>
      </c>
      <c r="Q9603" s="17" t="str">
        <f>IFERROR(__xludf.DUMMYFUNCTION("""COMPUTED_VALUE"""),"")</f>
        <v/>
      </c>
      <c r="R9603" s="17" t="str">
        <f>IFERROR(__xludf.DUMMYFUNCTION("""COMPUTED_VALUE"""),"")</f>
        <v/>
      </c>
    </row>
    <row r="9604">
      <c r="A9604" s="15">
        <f>IFERROR(__xludf.DUMMYFUNCTION("""COMPUTED_VALUE"""),45273.0)</f>
        <v>45273</v>
      </c>
      <c r="B9604" s="16" t="str">
        <f>IFERROR(__xludf.DUMMYFUNCTION("""COMPUTED_VALUE"""),"Envia")</f>
        <v>Envia</v>
      </c>
      <c r="C9604" s="15" t="str">
        <f>IFERROR(__xludf.DUMMYFUNCTION("""COMPUTED_VALUE"""),"BOGOTÁ")</f>
        <v>BOGOTÁ</v>
      </c>
      <c r="D9604" s="15" t="str">
        <f>IFERROR(__xludf.DUMMYFUNCTION("""COMPUTED_VALUE"""),"CALI")</f>
        <v>CALI</v>
      </c>
      <c r="E9604" s="15" t="str">
        <f>IFERROR(__xludf.DUMMYFUNCTION("""COMPUTED_VALUE"""),"Natalia Carreño")</f>
        <v>Natalia Carreño</v>
      </c>
      <c r="F9604" s="17" t="str">
        <f>IFERROR(__xludf.DUMMYFUNCTION("""COMPUTED_VALUE"""),"Carrera 27 #70-83 / Casa color curuba  / Los Alcázares")</f>
        <v>Carrera 27 #70-83 / Casa color curuba  / Los Alcázares</v>
      </c>
      <c r="G9604" s="15" t="str">
        <f>IFERROR(__xludf.DUMMYFUNCTION("""COMPUTED_VALUE"""),"Natalia Carreño")</f>
        <v>Natalia Carreño</v>
      </c>
      <c r="H9604" s="16">
        <f>IFERROR(__xludf.DUMMYFUNCTION("""COMPUTED_VALUE"""),18219.0)</f>
        <v>18219</v>
      </c>
      <c r="I9604" s="18">
        <f>IFERROR(__xludf.DUMMYFUNCTION("""COMPUTED_VALUE"""),60.0)</f>
        <v>60</v>
      </c>
      <c r="J9604" s="18">
        <f>IFERROR(__xludf.DUMMYFUNCTION("""COMPUTED_VALUE"""),60.0)</f>
        <v>60</v>
      </c>
      <c r="K9604" s="18">
        <f>IFERROR(__xludf.DUMMYFUNCTION("""COMPUTED_VALUE"""),60.0)</f>
        <v>60</v>
      </c>
      <c r="L9604" s="17">
        <f>IFERROR(__xludf.DUMMYFUNCTION("""COMPUTED_VALUE"""),3.11561131E9)</f>
        <v>3115611310</v>
      </c>
      <c r="M9604" s="17"/>
      <c r="N9604" s="17"/>
      <c r="O9604" s="17"/>
      <c r="P9604" s="17" t="b">
        <f>IFERROR(__xludf.DUMMYFUNCTION("""COMPUTED_VALUE"""),FALSE)</f>
        <v>0</v>
      </c>
      <c r="Q9604" s="20" t="str">
        <f>IFERROR(__xludf.DUMMYFUNCTION("""COMPUTED_VALUE"""),"")</f>
        <v/>
      </c>
      <c r="R9604" s="21" t="str">
        <f>IFERROR(__xludf.DUMMYFUNCTION("""COMPUTED_VALUE"""),"https://drive.google.com/file/d/1QoLhDV85Hny15xEw5i42nl2_T11eTWA1/view?usp=drivesdk")</f>
        <v>https://drive.google.com/file/d/1QoLhDV85Hny15xEw5i42nl2_T11eTWA1/view?usp=drivesdk</v>
      </c>
    </row>
    <row r="9605">
      <c r="A9605" s="15">
        <f>IFERROR(__xludf.DUMMYFUNCTION("""COMPUTED_VALUE"""),45273.0)</f>
        <v>45273</v>
      </c>
      <c r="B9605" s="16" t="str">
        <f>IFERROR(__xludf.DUMMYFUNCTION("""COMPUTED_VALUE"""),"Envia")</f>
        <v>Envia</v>
      </c>
      <c r="C9605" s="15" t="str">
        <f>IFERROR(__xludf.DUMMYFUNCTION("""COMPUTED_VALUE"""),"BOGOTÁ")</f>
        <v>BOGOTÁ</v>
      </c>
      <c r="D9605" s="15" t="str">
        <f>IFERROR(__xludf.DUMMYFUNCTION("""COMPUTED_VALUE"""),"MEDELLÍN")</f>
        <v>MEDELLÍN</v>
      </c>
      <c r="E9605" s="15" t="str">
        <f>IFERROR(__xludf.DUMMYFUNCTION("""COMPUTED_VALUE"""),"Helados Artesanos")</f>
        <v>Helados Artesanos</v>
      </c>
      <c r="F9605" s="17" t="str">
        <f>IFERROR(__xludf.DUMMYFUNCTION("""COMPUTED_VALUE"""),"Cedi Bogotá  / Reclaman en ENVIA BOGOTA / Reclaman en ENVIA BOGOTA")</f>
        <v>Cedi Bogotá  / Reclaman en ENVIA BOGOTA / Reclaman en ENVIA BOGOTA</v>
      </c>
      <c r="G9605" s="15" t="str">
        <f>IFERROR(__xludf.DUMMYFUNCTION("""COMPUTED_VALUE"""),"María Daza")</f>
        <v>María Daza</v>
      </c>
      <c r="H9605" s="16">
        <f>IFERROR(__xludf.DUMMYFUNCTION("""COMPUTED_VALUE"""),18229.0)</f>
        <v>18229</v>
      </c>
      <c r="I9605" s="18">
        <f>IFERROR(__xludf.DUMMYFUNCTION("""COMPUTED_VALUE"""),17.0)</f>
        <v>17</v>
      </c>
      <c r="J9605" s="18">
        <f>IFERROR(__xludf.DUMMYFUNCTION("""COMPUTED_VALUE"""),24.0)</f>
        <v>24</v>
      </c>
      <c r="K9605" s="18">
        <f>IFERROR(__xludf.DUMMYFUNCTION("""COMPUTED_VALUE"""),16.0)</f>
        <v>16</v>
      </c>
      <c r="L9605" s="17">
        <f>IFERROR(__xludf.DUMMYFUNCTION("""COMPUTED_VALUE"""),3.204543715E9)</f>
        <v>3204543715</v>
      </c>
      <c r="M9605" s="17"/>
      <c r="N9605" s="17"/>
      <c r="O9605" s="17"/>
      <c r="P9605" s="17" t="b">
        <f>IFERROR(__xludf.DUMMYFUNCTION("""COMPUTED_VALUE"""),FALSE)</f>
        <v>0</v>
      </c>
      <c r="Q9605" s="20" t="str">
        <f>IFERROR(__xludf.DUMMYFUNCTION("""COMPUTED_VALUE"""),"")</f>
        <v/>
      </c>
      <c r="R9605" s="21" t="str">
        <f>IFERROR(__xludf.DUMMYFUNCTION("""COMPUTED_VALUE"""),"https://drive.google.com/file/d/1de3iqyQhCWkBNBx4STGDzMV3eoqDm93k/view?usp=drivesdk")</f>
        <v>https://drive.google.com/file/d/1de3iqyQhCWkBNBx4STGDzMV3eoqDm93k/view?usp=drivesdk</v>
      </c>
    </row>
    <row r="9606">
      <c r="A9606" s="15">
        <f>IFERROR(__xludf.DUMMYFUNCTION("""COMPUTED_VALUE"""),45273.0)</f>
        <v>45273</v>
      </c>
      <c r="B9606" s="16" t="str">
        <f>IFERROR(__xludf.DUMMYFUNCTION("""COMPUTED_VALUE"""),"Envia")</f>
        <v>Envia</v>
      </c>
      <c r="C9606" s="15" t="str">
        <f>IFERROR(__xludf.DUMMYFUNCTION("""COMPUTED_VALUE"""),"BOGOTÁ")</f>
        <v>BOGOTÁ</v>
      </c>
      <c r="D9606" s="15" t="str">
        <f>IFERROR(__xludf.DUMMYFUNCTION("""COMPUTED_VALUE"""),"MEDELLÍN")</f>
        <v>MEDELLÍN</v>
      </c>
      <c r="E9606" s="15" t="str">
        <f>IFERROR(__xludf.DUMMYFUNCTION("""COMPUTED_VALUE"""),"Helados Artesanos")</f>
        <v>Helados Artesanos</v>
      </c>
      <c r="F9606" s="17" t="str">
        <f>IFERROR(__xludf.DUMMYFUNCTION("""COMPUTED_VALUE"""),"Reclaman en Cedi Bogotá  / Reclaman en ENVIA BOGOTA / Cedi Bogotá")</f>
        <v>Reclaman en Cedi Bogotá  / Reclaman en ENVIA BOGOTA / Cedi Bogotá</v>
      </c>
      <c r="G9606" s="15" t="str">
        <f>IFERROR(__xludf.DUMMYFUNCTION("""COMPUTED_VALUE"""),"Sebastián Buendia Schumacher")</f>
        <v>Sebastián Buendia Schumacher</v>
      </c>
      <c r="H9606" s="16">
        <f>IFERROR(__xludf.DUMMYFUNCTION("""COMPUTED_VALUE"""),18228.0)</f>
        <v>18228</v>
      </c>
      <c r="I9606" s="18">
        <f>IFERROR(__xludf.DUMMYFUNCTION("""COMPUTED_VALUE"""),9.0)</f>
        <v>9</v>
      </c>
      <c r="J9606" s="18">
        <f>IFERROR(__xludf.DUMMYFUNCTION("""COMPUTED_VALUE"""),8.0)</f>
        <v>8</v>
      </c>
      <c r="K9606" s="18">
        <f>IFERROR(__xludf.DUMMYFUNCTION("""COMPUTED_VALUE"""),15.0)</f>
        <v>15</v>
      </c>
      <c r="L9606" s="17">
        <f>IFERROR(__xludf.DUMMYFUNCTION("""COMPUTED_VALUE"""),3.167567914E9)</f>
        <v>3167567914</v>
      </c>
      <c r="M9606" s="17"/>
      <c r="N9606" s="17"/>
      <c r="O9606" s="17"/>
      <c r="P9606" s="17" t="b">
        <f>IFERROR(__xludf.DUMMYFUNCTION("""COMPUTED_VALUE"""),FALSE)</f>
        <v>0</v>
      </c>
      <c r="Q9606" s="20" t="str">
        <f>IFERROR(__xludf.DUMMYFUNCTION("""COMPUTED_VALUE"""),"")</f>
        <v/>
      </c>
      <c r="R9606" s="21" t="str">
        <f>IFERROR(__xludf.DUMMYFUNCTION("""COMPUTED_VALUE"""),"https://drive.google.com/file/d/1uONmyyIr5sKYb5w4K9aU18LmtLx6djfv/view?usp=drivesdk")</f>
        <v>https://drive.google.com/file/d/1uONmyyIr5sKYb5w4K9aU18LmtLx6djfv/view?usp=drivesdk</v>
      </c>
    </row>
    <row r="9607">
      <c r="A9607" s="15">
        <f>IFERROR(__xludf.DUMMYFUNCTION("""COMPUTED_VALUE"""),45273.0)</f>
        <v>45273</v>
      </c>
      <c r="B9607" s="16" t="str">
        <f>IFERROR(__xludf.DUMMYFUNCTION("""COMPUTED_VALUE"""),"Envia")</f>
        <v>Envia</v>
      </c>
      <c r="C9607" s="15" t="str">
        <f>IFERROR(__xludf.DUMMYFUNCTION("""COMPUTED_VALUE"""),"BOGOTÁ")</f>
        <v>BOGOTÁ</v>
      </c>
      <c r="D9607" s="15" t="str">
        <f>IFERROR(__xludf.DUMMYFUNCTION("""COMPUTED_VALUE"""),"MEDELLÍN")</f>
        <v>MEDELLÍN</v>
      </c>
      <c r="E9607" s="15" t="str">
        <f>IFERROR(__xludf.DUMMYFUNCTION("""COMPUTED_VALUE"""),"Lácteos El Pino SAS")</f>
        <v>Lácteos El Pino SAS</v>
      </c>
      <c r="F9607" s="17" t="str">
        <f>IFERROR(__xludf.DUMMYFUNCTION("""COMPUTED_VALUE"""),"CALLE 24A #57-60 / RECIBO EN ZONA DE CARGA POR EL DEPRIMIDO- COMPRAS")</f>
        <v>CALLE 24A #57-60 / RECIBO EN ZONA DE CARGA POR EL DEPRIMIDO- COMPRAS</v>
      </c>
      <c r="G9607" s="15" t="str">
        <f>IFERROR(__xludf.DUMMYFUNCTION("""COMPUTED_VALUE"""),"HOTEL GRAND HYATT BOGOTA")</f>
        <v>HOTEL GRAND HYATT BOGOTA</v>
      </c>
      <c r="H9607" s="16">
        <f>IFERROR(__xludf.DUMMYFUNCTION("""COMPUTED_VALUE"""),18199.0)</f>
        <v>18199</v>
      </c>
      <c r="I9607" s="17"/>
      <c r="J9607" s="17"/>
      <c r="K9607" s="17"/>
      <c r="L9607" s="17">
        <f>IFERROR(__xludf.DUMMYFUNCTION("""COMPUTED_VALUE"""),3.203093705E9)</f>
        <v>3203093705</v>
      </c>
      <c r="M9607" s="17"/>
      <c r="N9607" s="17"/>
      <c r="O9607" s="17"/>
      <c r="P9607" s="17" t="b">
        <f>IFERROR(__xludf.DUMMYFUNCTION("""COMPUTED_VALUE"""),FALSE)</f>
        <v>0</v>
      </c>
      <c r="Q9607" s="20" t="str">
        <f>IFERROR(__xludf.DUMMYFUNCTION("""COMPUTED_VALUE"""),"")</f>
        <v/>
      </c>
      <c r="R9607" s="21" t="str">
        <f>IFERROR(__xludf.DUMMYFUNCTION("""COMPUTED_VALUE"""),"https://drive.google.com/file/d/1-gZVfrEl5WQzwFXChC3EolYeJiJiFdWV/view?usp=drivesdk")</f>
        <v>https://drive.google.com/file/d/1-gZVfrEl5WQzwFXChC3EolYeJiJiFdWV/view?usp=drivesdk</v>
      </c>
    </row>
    <row r="9608">
      <c r="A9608" s="15">
        <f>IFERROR(__xludf.DUMMYFUNCTION("""COMPUTED_VALUE"""),45273.0)</f>
        <v>45273</v>
      </c>
      <c r="B9608" s="16" t="str">
        <f>IFERROR(__xludf.DUMMYFUNCTION("""COMPUTED_VALUE"""),"Envia")</f>
        <v>Envia</v>
      </c>
      <c r="C9608" s="15" t="str">
        <f>IFERROR(__xludf.DUMMYFUNCTION("""COMPUTED_VALUE"""),"BOGOTÁ")</f>
        <v>BOGOTÁ</v>
      </c>
      <c r="D9608" s="15" t="str">
        <f>IFERROR(__xludf.DUMMYFUNCTION("""COMPUTED_VALUE"""),"MEDELLÍN")</f>
        <v>MEDELLÍN</v>
      </c>
      <c r="E9608" s="15" t="str">
        <f>IFERROR(__xludf.DUMMYFUNCTION("""COMPUTED_VALUE"""),"Lácteos El Pino SAS")</f>
        <v>Lácteos El Pino SAS</v>
      </c>
      <c r="F9608" s="17" t="str">
        <f>IFERROR(__xludf.DUMMYFUNCTION("""COMPUTED_VALUE"""),"CALLE 93 #18 - 81 / ENTREGAR EN EL LOCAL")</f>
        <v>CALLE 93 #18 - 81 / ENTREGAR EN EL LOCAL</v>
      </c>
      <c r="G9608" s="15" t="str">
        <f>IFERROR(__xludf.DUMMYFUNCTION("""COMPUTED_VALUE"""),"KIM")</f>
        <v>KIM</v>
      </c>
      <c r="H9608" s="16">
        <f>IFERROR(__xludf.DUMMYFUNCTION("""COMPUTED_VALUE"""),18197.0)</f>
        <v>18197</v>
      </c>
      <c r="I9608" s="17"/>
      <c r="J9608" s="17"/>
      <c r="K9608" s="17"/>
      <c r="L9608" s="17">
        <f>IFERROR(__xludf.DUMMYFUNCTION("""COMPUTED_VALUE"""),3.24566062E9)</f>
        <v>3245660620</v>
      </c>
      <c r="M9608" s="17"/>
      <c r="N9608" s="17"/>
      <c r="O9608" s="17"/>
      <c r="P9608" s="17" t="b">
        <f>IFERROR(__xludf.DUMMYFUNCTION("""COMPUTED_VALUE"""),FALSE)</f>
        <v>0</v>
      </c>
      <c r="Q9608" s="20" t="str">
        <f>IFERROR(__xludf.DUMMYFUNCTION("""COMPUTED_VALUE"""),"")</f>
        <v/>
      </c>
      <c r="R9608" s="21" t="str">
        <f>IFERROR(__xludf.DUMMYFUNCTION("""COMPUTED_VALUE"""),"https://drive.google.com/file/d/12iV6p3xcyRUGgGf5KyBoE-r9EPTyBVZu/view?usp=drivesdk")</f>
        <v>https://drive.google.com/file/d/12iV6p3xcyRUGgGf5KyBoE-r9EPTyBVZu/view?usp=drivesdk</v>
      </c>
    </row>
    <row r="9609">
      <c r="A9609" s="15">
        <f>IFERROR(__xludf.DUMMYFUNCTION("""COMPUTED_VALUE"""),45273.0)</f>
        <v>45273</v>
      </c>
      <c r="B9609" s="16" t="str">
        <f>IFERROR(__xludf.DUMMYFUNCTION("""COMPUTED_VALUE"""),"Envia")</f>
        <v>Envia</v>
      </c>
      <c r="C9609" s="15" t="str">
        <f>IFERROR(__xludf.DUMMYFUNCTION("""COMPUTED_VALUE"""),"BOGOTÁ")</f>
        <v>BOGOTÁ</v>
      </c>
      <c r="D9609" s="15" t="str">
        <f>IFERROR(__xludf.DUMMYFUNCTION("""COMPUTED_VALUE"""),"MEDELLÍN")</f>
        <v>MEDELLÍN</v>
      </c>
      <c r="E9609" s="15" t="str">
        <f>IFERROR(__xludf.DUMMYFUNCTION("""COMPUTED_VALUE"""),"THE SMOKED HOUSE SAS")</f>
        <v>THE SMOKED HOUSE SAS</v>
      </c>
      <c r="F9609" s="17" t="str">
        <f>IFERROR(__xludf.DUMMYFUNCTION("""COMPUTED_VALUE"""),"Carrera 49 # 238 -60 Casa 10 Hacienda San Simón, El Alcaparro / Hacienda San Simón, El Alcaparro")</f>
        <v>Carrera 49 # 238 -60 Casa 10 Hacienda San Simón, El Alcaparro / Hacienda San Simón, El Alcaparro</v>
      </c>
      <c r="G9609" s="15" t="str">
        <f>IFERROR(__xludf.DUMMYFUNCTION("""COMPUTED_VALUE"""),"Sede Smoked House")</f>
        <v>Sede Smoked House</v>
      </c>
      <c r="H9609" s="16">
        <f>IFERROR(__xludf.DUMMYFUNCTION("""COMPUTED_VALUE"""),18274.0)</f>
        <v>18274</v>
      </c>
      <c r="I9609" s="17"/>
      <c r="J9609" s="17"/>
      <c r="K9609" s="17"/>
      <c r="L9609" s="17">
        <f>IFERROR(__xludf.DUMMYFUNCTION("""COMPUTED_VALUE"""),3.158825395E9)</f>
        <v>3158825395</v>
      </c>
      <c r="M9609" s="17"/>
      <c r="N9609" s="17"/>
      <c r="O9609" s="17"/>
      <c r="P9609" s="17" t="b">
        <f>IFERROR(__xludf.DUMMYFUNCTION("""COMPUTED_VALUE"""),FALSE)</f>
        <v>0</v>
      </c>
      <c r="Q9609" s="20" t="str">
        <f>IFERROR(__xludf.DUMMYFUNCTION("""COMPUTED_VALUE"""),"")</f>
        <v/>
      </c>
      <c r="R9609" s="22" t="str">
        <f>IFERROR(__xludf.DUMMYFUNCTION("""COMPUTED_VALUE"""),"")</f>
        <v/>
      </c>
    </row>
    <row r="9610">
      <c r="A9610" s="15">
        <f>IFERROR(__xludf.DUMMYFUNCTION("""COMPUTED_VALUE"""),45273.0)</f>
        <v>45273</v>
      </c>
      <c r="B9610" s="16" t="str">
        <f>IFERROR(__xludf.DUMMYFUNCTION("""COMPUTED_VALUE"""),"Envia")</f>
        <v>Envia</v>
      </c>
      <c r="C9610" s="15" t="str">
        <f>IFERROR(__xludf.DUMMYFUNCTION("""COMPUTED_VALUE"""),"CALI")</f>
        <v>CALI</v>
      </c>
      <c r="D9610" s="15" t="str">
        <f>IFERROR(__xludf.DUMMYFUNCTION("""COMPUTED_VALUE"""),"BOGOTÁ")</f>
        <v>BOGOTÁ</v>
      </c>
      <c r="E9610" s="15" t="str">
        <f>IFERROR(__xludf.DUMMYFUNCTION("""COMPUTED_VALUE"""),"Grupo Hakim")</f>
        <v>Grupo Hakim</v>
      </c>
      <c r="F9610" s="17" t="str">
        <f>IFERROR(__xludf.DUMMYFUNCTION("""COMPUTED_VALUE"""),"CALLE 27 NORTE # 6AN-20 / DECORACIONES OLY / SANTA MONICA")</f>
        <v>CALLE 27 NORTE # 6AN-20 / DECORACIONES OLY / SANTA MONICA</v>
      </c>
      <c r="G9610" s="15" t="str">
        <f>IFERROR(__xludf.DUMMYFUNCTION("""COMPUTED_VALUE"""),"DENISE HAKIM")</f>
        <v>DENISE HAKIM</v>
      </c>
      <c r="H9610" s="16">
        <f>IFERROR(__xludf.DUMMYFUNCTION("""COMPUTED_VALUE"""),18242.0)</f>
        <v>18242</v>
      </c>
      <c r="I9610" s="18">
        <f>IFERROR(__xludf.DUMMYFUNCTION("""COMPUTED_VALUE"""),50.0)</f>
        <v>50</v>
      </c>
      <c r="J9610" s="18">
        <f>IFERROR(__xludf.DUMMYFUNCTION("""COMPUTED_VALUE"""),55.0)</f>
        <v>55</v>
      </c>
      <c r="K9610" s="18">
        <f>IFERROR(__xludf.DUMMYFUNCTION("""COMPUTED_VALUE"""),45.0)</f>
        <v>45</v>
      </c>
      <c r="L9610" s="17">
        <f>IFERROR(__xludf.DUMMYFUNCTION("""COMPUTED_VALUE"""),3.134992746E9)</f>
        <v>3134992746</v>
      </c>
      <c r="M9610" s="17"/>
      <c r="N9610" s="17"/>
      <c r="O9610" s="17"/>
      <c r="P9610" s="17" t="b">
        <f>IFERROR(__xludf.DUMMYFUNCTION("""COMPUTED_VALUE"""),FALSE)</f>
        <v>0</v>
      </c>
      <c r="Q9610" s="20" t="str">
        <f>IFERROR(__xludf.DUMMYFUNCTION("""COMPUTED_VALUE"""),"")</f>
        <v/>
      </c>
      <c r="R9610" s="21" t="str">
        <f>IFERROR(__xludf.DUMMYFUNCTION("""COMPUTED_VALUE"""),"https://drive.google.com/file/d/1h25Ldjc_-SYXJY6HImJNGZn4EdpNCa0k/view?usp=drivesdk")</f>
        <v>https://drive.google.com/file/d/1h25Ldjc_-SYXJY6HImJNGZn4EdpNCa0k/view?usp=drivesdk</v>
      </c>
    </row>
    <row r="9611">
      <c r="A9611" s="15">
        <f>IFERROR(__xludf.DUMMYFUNCTION("""COMPUTED_VALUE"""),45273.0)</f>
        <v>45273</v>
      </c>
      <c r="B9611" s="16" t="str">
        <f>IFERROR(__xludf.DUMMYFUNCTION("""COMPUTED_VALUE"""),"Envia")</f>
        <v>Envia</v>
      </c>
      <c r="C9611" s="15" t="str">
        <f>IFERROR(__xludf.DUMMYFUNCTION("""COMPUTED_VALUE"""),"CALI")</f>
        <v>CALI</v>
      </c>
      <c r="D9611" s="15" t="str">
        <f>IFERROR(__xludf.DUMMYFUNCTION("""COMPUTED_VALUE"""),"MEDELLÍN")</f>
        <v>MEDELLÍN</v>
      </c>
      <c r="E9611" s="15" t="str">
        <f>IFERROR(__xludf.DUMMYFUNCTION("""COMPUTED_VALUE"""),"JdBufala")</f>
        <v>JdBufala</v>
      </c>
      <c r="F9611" s="17" t="str">
        <f>IFERROR(__xludf.DUMMYFUNCTION("""COMPUTED_VALUE"""),"Calle 51 norte # 4bn 72 / Delhuertopizzeria")</f>
        <v>Calle 51 norte # 4bn 72 / Delhuertopizzeria</v>
      </c>
      <c r="G9611" s="15" t="str">
        <f>IFERROR(__xludf.DUMMYFUNCTION("""COMPUTED_VALUE"""),"Javier")</f>
        <v>Javier</v>
      </c>
      <c r="H9611" s="16">
        <f>IFERROR(__xludf.DUMMYFUNCTION("""COMPUTED_VALUE"""),18266.0)</f>
        <v>18266</v>
      </c>
      <c r="I9611" s="17"/>
      <c r="J9611" s="17"/>
      <c r="K9611" s="17"/>
      <c r="L9611" s="17">
        <f>IFERROR(__xludf.DUMMYFUNCTION("""COMPUTED_VALUE"""),3.206763524E9)</f>
        <v>3206763524</v>
      </c>
      <c r="M9611" s="17"/>
      <c r="N9611" s="17"/>
      <c r="O9611" s="17"/>
      <c r="P9611" s="17" t="b">
        <f>IFERROR(__xludf.DUMMYFUNCTION("""COMPUTED_VALUE"""),FALSE)</f>
        <v>0</v>
      </c>
      <c r="Q9611" s="20" t="str">
        <f>IFERROR(__xludf.DUMMYFUNCTION("""COMPUTED_VALUE"""),"")</f>
        <v/>
      </c>
      <c r="R9611" s="21" t="str">
        <f>IFERROR(__xludf.DUMMYFUNCTION("""COMPUTED_VALUE"""),"https://drive.google.com/file/d/11qLU14XW4zuoVzJ0KJ95ag-H5O0nptvZ/view?usp=drivesdk")</f>
        <v>https://drive.google.com/file/d/11qLU14XW4zuoVzJ0KJ95ag-H5O0nptvZ/view?usp=drivesdk</v>
      </c>
    </row>
    <row r="9612">
      <c r="A9612" s="15">
        <f>IFERROR(__xludf.DUMMYFUNCTION("""COMPUTED_VALUE"""),45273.0)</f>
        <v>45273</v>
      </c>
      <c r="B9612" s="16" t="str">
        <f>IFERROR(__xludf.DUMMYFUNCTION("""COMPUTED_VALUE"""),"Envia")</f>
        <v>Envia</v>
      </c>
      <c r="C9612" s="15" t="str">
        <f>IFERROR(__xludf.DUMMYFUNCTION("""COMPUTED_VALUE"""),"CALI")</f>
        <v>CALI</v>
      </c>
      <c r="D9612" s="15" t="str">
        <f>IFERROR(__xludf.DUMMYFUNCTION("""COMPUTED_VALUE"""),"MEDELLÍN")</f>
        <v>MEDELLÍN</v>
      </c>
      <c r="E9612" s="15" t="str">
        <f>IFERROR(__xludf.DUMMYFUNCTION("""COMPUTED_VALUE"""),"Salón Ahumado")</f>
        <v>Salón Ahumado</v>
      </c>
      <c r="F9612" s="17" t="str">
        <f>IFERROR(__xludf.DUMMYFUNCTION("""COMPUTED_VALUE"""),"Avda Oeste #11-60 / Edificio Hábitat, apto 801 / Barrio Santa Rita")</f>
        <v>Avda Oeste #11-60 / Edificio Hábitat, apto 801 / Barrio Santa Rita</v>
      </c>
      <c r="G9612" s="15" t="str">
        <f>IFERROR(__xludf.DUMMYFUNCTION("""COMPUTED_VALUE"""),"Marino Ospina")</f>
        <v>Marino Ospina</v>
      </c>
      <c r="H9612" s="16">
        <f>IFERROR(__xludf.DUMMYFUNCTION("""COMPUTED_VALUE"""),18241.0)</f>
        <v>18241</v>
      </c>
      <c r="I9612" s="18">
        <f>IFERROR(__xludf.DUMMYFUNCTION("""COMPUTED_VALUE"""),18.0)</f>
        <v>18</v>
      </c>
      <c r="J9612" s="18">
        <f>IFERROR(__xludf.DUMMYFUNCTION("""COMPUTED_VALUE"""),18.0)</f>
        <v>18</v>
      </c>
      <c r="K9612" s="18">
        <f>IFERROR(__xludf.DUMMYFUNCTION("""COMPUTED_VALUE"""),30.0)</f>
        <v>30</v>
      </c>
      <c r="L9612" s="17">
        <f>IFERROR(__xludf.DUMMYFUNCTION("""COMPUTED_VALUE"""),3.162784254E9)</f>
        <v>3162784254</v>
      </c>
      <c r="M9612" s="17"/>
      <c r="N9612" s="17"/>
      <c r="O9612" s="17"/>
      <c r="P9612" s="17" t="b">
        <f>IFERROR(__xludf.DUMMYFUNCTION("""COMPUTED_VALUE"""),FALSE)</f>
        <v>0</v>
      </c>
      <c r="Q9612" s="20" t="str">
        <f>IFERROR(__xludf.DUMMYFUNCTION("""COMPUTED_VALUE"""),"")</f>
        <v/>
      </c>
      <c r="R9612" s="21" t="str">
        <f>IFERROR(__xludf.DUMMYFUNCTION("""COMPUTED_VALUE"""),"https://drive.google.com/file/d/18v34Lzc_O8l9TLJ9RDvd9tj6hCXP0ELw/view?usp=drivesdk")</f>
        <v>https://drive.google.com/file/d/18v34Lzc_O8l9TLJ9RDvd9tj6hCXP0ELw/view?usp=drivesdk</v>
      </c>
    </row>
    <row r="9613">
      <c r="A9613" s="15">
        <f>IFERROR(__xludf.DUMMYFUNCTION("""COMPUTED_VALUE"""),45273.0)</f>
        <v>45273</v>
      </c>
      <c r="B9613" s="16" t="str">
        <f>IFERROR(__xludf.DUMMYFUNCTION("""COMPUTED_VALUE"""),"Envia")</f>
        <v>Envia</v>
      </c>
      <c r="C9613" s="15" t="str">
        <f>IFERROR(__xludf.DUMMYFUNCTION("""COMPUTED_VALUE"""),"MEDELLÍN")</f>
        <v>MEDELLÍN</v>
      </c>
      <c r="D9613" s="15" t="str">
        <f>IFERROR(__xludf.DUMMYFUNCTION("""COMPUTED_VALUE"""),"CALI")</f>
        <v>CALI</v>
      </c>
      <c r="E9613" s="15" t="str">
        <f>IFERROR(__xludf.DUMMYFUNCTION("""COMPUTED_VALUE"""),"My Choice")</f>
        <v>My Choice</v>
      </c>
      <c r="F9613" s="17" t="str">
        <f>IFERROR(__xludf.DUMMYFUNCTION("""COMPUTED_VALUE"""),"Cra. 22a ##20a Sur-19 Apto 303  Puente Aviñon- Por san lucas / Puente Aviñón apto 303 / San Lucas")</f>
        <v>Cra. 22a ##20a Sur-19 Apto 303  Puente Aviñon- Por san lucas / Puente Aviñón apto 303 / San Lucas</v>
      </c>
      <c r="G9613" s="15" t="str">
        <f>IFERROR(__xludf.DUMMYFUNCTION("""COMPUTED_VALUE"""),"Juanita Mesa")</f>
        <v>Juanita Mesa</v>
      </c>
      <c r="H9613" s="16">
        <f>IFERROR(__xludf.DUMMYFUNCTION("""COMPUTED_VALUE"""),18220.0)</f>
        <v>18220</v>
      </c>
      <c r="I9613" s="18">
        <f>IFERROR(__xludf.DUMMYFUNCTION("""COMPUTED_VALUE"""),23.0)</f>
        <v>23</v>
      </c>
      <c r="J9613" s="18">
        <f>IFERROR(__xludf.DUMMYFUNCTION("""COMPUTED_VALUE"""),29.0)</f>
        <v>29</v>
      </c>
      <c r="K9613" s="18">
        <f>IFERROR(__xludf.DUMMYFUNCTION("""COMPUTED_VALUE"""),19.0)</f>
        <v>19</v>
      </c>
      <c r="L9613" s="17">
        <f>IFERROR(__xludf.DUMMYFUNCTION("""COMPUTED_VALUE"""),3.008534213E9)</f>
        <v>3008534213</v>
      </c>
      <c r="M9613" s="17"/>
      <c r="N9613" s="17"/>
      <c r="O9613" s="17"/>
      <c r="P9613" s="17" t="b">
        <f>IFERROR(__xludf.DUMMYFUNCTION("""COMPUTED_VALUE"""),FALSE)</f>
        <v>0</v>
      </c>
      <c r="Q9613" s="20" t="str">
        <f>IFERROR(__xludf.DUMMYFUNCTION("""COMPUTED_VALUE"""),"")</f>
        <v/>
      </c>
      <c r="R9613" s="22" t="str">
        <f>IFERROR(__xludf.DUMMYFUNCTION("""COMPUTED_VALUE"""),"")</f>
        <v/>
      </c>
    </row>
    <row r="9614">
      <c r="A9614" s="17" t="str">
        <f>IFERROR(__xludf.DUMMYFUNCTION("""COMPUTED_VALUE"""),"")</f>
        <v/>
      </c>
      <c r="B9614" s="17" t="str">
        <f>IFERROR(__xludf.DUMMYFUNCTION("""COMPUTED_VALUE"""),"")</f>
        <v/>
      </c>
      <c r="C9614" s="17" t="str">
        <f>IFERROR(__xludf.DUMMYFUNCTION("""COMPUTED_VALUE"""),"")</f>
        <v/>
      </c>
      <c r="D9614" s="17" t="str">
        <f>IFERROR(__xludf.DUMMYFUNCTION("""COMPUTED_VALUE"""),"")</f>
        <v/>
      </c>
      <c r="E9614" s="17" t="str">
        <f>IFERROR(__xludf.DUMMYFUNCTION("""COMPUTED_VALUE"""),"")</f>
        <v/>
      </c>
      <c r="F9614" s="17" t="str">
        <f>IFERROR(__xludf.DUMMYFUNCTION("""COMPUTED_VALUE"""),"")</f>
        <v/>
      </c>
      <c r="G9614" s="17" t="str">
        <f>IFERROR(__xludf.DUMMYFUNCTION("""COMPUTED_VALUE"""),"")</f>
        <v/>
      </c>
      <c r="H9614" s="17" t="str">
        <f>IFERROR(__xludf.DUMMYFUNCTION("""COMPUTED_VALUE"""),"")</f>
        <v/>
      </c>
      <c r="I9614" s="17" t="str">
        <f>IFERROR(__xludf.DUMMYFUNCTION("""COMPUTED_VALUE"""),"")</f>
        <v/>
      </c>
      <c r="J9614" s="17" t="str">
        <f>IFERROR(__xludf.DUMMYFUNCTION("""COMPUTED_VALUE"""),"")</f>
        <v/>
      </c>
      <c r="K9614" s="17" t="str">
        <f>IFERROR(__xludf.DUMMYFUNCTION("""COMPUTED_VALUE"""),"")</f>
        <v/>
      </c>
      <c r="L9614" s="17" t="str">
        <f>IFERROR(__xludf.DUMMYFUNCTION("""COMPUTED_VALUE"""),"")</f>
        <v/>
      </c>
      <c r="M9614" s="17" t="str">
        <f>IFERROR(__xludf.DUMMYFUNCTION("""COMPUTED_VALUE"""),"")</f>
        <v/>
      </c>
      <c r="N9614" s="17" t="str">
        <f>IFERROR(__xludf.DUMMYFUNCTION("""COMPUTED_VALUE"""),"")</f>
        <v/>
      </c>
      <c r="O9614" s="17" t="str">
        <f>IFERROR(__xludf.DUMMYFUNCTION("""COMPUTED_VALUE"""),"")</f>
        <v/>
      </c>
      <c r="P9614" s="17" t="str">
        <f>IFERROR(__xludf.DUMMYFUNCTION("""COMPUTED_VALUE"""),"")</f>
        <v/>
      </c>
      <c r="Q9614" s="17" t="str">
        <f>IFERROR(__xludf.DUMMYFUNCTION("""COMPUTED_VALUE"""),"")</f>
        <v/>
      </c>
      <c r="R9614" s="17" t="str">
        <f>IFERROR(__xludf.DUMMYFUNCTION("""COMPUTED_VALUE"""),"")</f>
        <v/>
      </c>
    </row>
    <row r="9615">
      <c r="A9615" s="15">
        <f>IFERROR(__xludf.DUMMYFUNCTION("""COMPUTED_VALUE"""),45273.0)</f>
        <v>45273</v>
      </c>
      <c r="B9615" s="16" t="str">
        <f>IFERROR(__xludf.DUMMYFUNCTION("""COMPUTED_VALUE"""),"Johan Alexander Escobar Arroyo ")</f>
        <v>Johan Alexander Escobar Arroyo </v>
      </c>
      <c r="C9615" s="15" t="str">
        <f>IFERROR(__xludf.DUMMYFUNCTION("""COMPUTED_VALUE"""),"CALI")</f>
        <v>CALI</v>
      </c>
      <c r="D9615" s="15" t="str">
        <f>IFERROR(__xludf.DUMMYFUNCTION("""COMPUTED_VALUE"""),"ENVIGADO")</f>
        <v>ENVIGADO</v>
      </c>
      <c r="E9615" s="15" t="str">
        <f>IFERROR(__xludf.DUMMYFUNCTION("""COMPUTED_VALUE"""),"RAMBLA")</f>
        <v>RAMBLA</v>
      </c>
      <c r="F9615" s="17" t="str">
        <f>IFERROR(__xludf.DUMMYFUNCTION("""COMPUTED_VALUE"""),"calle 16 #85-10 / local 102")</f>
        <v>calle 16 #85-10 / local 102</v>
      </c>
      <c r="G9615" s="15" t="str">
        <f>IFERROR(__xludf.DUMMYFUNCTION("""COMPUTED_VALUE"""),"Saludable tentación")</f>
        <v>Saludable tentación</v>
      </c>
      <c r="H9615" s="16">
        <f>IFERROR(__xludf.DUMMYFUNCTION("""COMPUTED_VALUE"""),18261.0)</f>
        <v>18261</v>
      </c>
      <c r="I9615" s="17"/>
      <c r="J9615" s="17"/>
      <c r="K9615" s="17"/>
      <c r="L9615" s="17">
        <f>IFERROR(__xludf.DUMMYFUNCTION("""COMPUTED_VALUE"""),3.112664694E9)</f>
        <v>3112664694</v>
      </c>
      <c r="M9615" s="17"/>
      <c r="N9615" s="17"/>
      <c r="O9615" s="17"/>
      <c r="P9615" s="17" t="b">
        <f>IFERROR(__xludf.DUMMYFUNCTION("""COMPUTED_VALUE"""),FALSE)</f>
        <v>0</v>
      </c>
      <c r="Q9615" s="20" t="str">
        <f>IFERROR(__xludf.DUMMYFUNCTION("""COMPUTED_VALUE"""),"")</f>
        <v/>
      </c>
      <c r="R9615" s="21" t="str">
        <f>IFERROR(__xludf.DUMMYFUNCTION("""COMPUTED_VALUE"""),"https://drive.google.com/file/d/1iKc7CRT5wh_uHHE8BlHk0mEo65y7pqzs/view?usp=drivesdk")</f>
        <v>https://drive.google.com/file/d/1iKc7CRT5wh_uHHE8BlHk0mEo65y7pqzs/view?usp=drivesdk</v>
      </c>
    </row>
    <row r="9616">
      <c r="A9616" s="15">
        <f>IFERROR(__xludf.DUMMYFUNCTION("""COMPUTED_VALUE"""),45273.0)</f>
        <v>45273</v>
      </c>
      <c r="B9616" s="16" t="str">
        <f>IFERROR(__xludf.DUMMYFUNCTION("""COMPUTED_VALUE"""),"Johan Alexander Escobar Arroyo ")</f>
        <v>Johan Alexander Escobar Arroyo </v>
      </c>
      <c r="C9616" s="15" t="str">
        <f>IFERROR(__xludf.DUMMYFUNCTION("""COMPUTED_VALUE"""),"CALI")</f>
        <v>CALI</v>
      </c>
      <c r="D9616" s="15" t="str">
        <f>IFERROR(__xludf.DUMMYFUNCTION("""COMPUTED_VALUE"""),"ENVIGADO")</f>
        <v>ENVIGADO</v>
      </c>
      <c r="E9616" s="15" t="str">
        <f>IFERROR(__xludf.DUMMYFUNCTION("""COMPUTED_VALUE"""),"RAMBLA")</f>
        <v>RAMBLA</v>
      </c>
      <c r="F9616" s="17" t="str">
        <f>IFERROR(__xludf.DUMMYFUNCTION("""COMPUTED_VALUE"""),"Cra 1 oeste #1b 30 / -")</f>
        <v>Cra 1 oeste #1b 30 / -</v>
      </c>
      <c r="G9616" s="15" t="str">
        <f>IFERROR(__xludf.DUMMYFUNCTION("""COMPUTED_VALUE"""),"HOM")</f>
        <v>HOM</v>
      </c>
      <c r="H9616" s="16">
        <f>IFERROR(__xludf.DUMMYFUNCTION("""COMPUTED_VALUE"""),18260.0)</f>
        <v>18260</v>
      </c>
      <c r="I9616" s="17"/>
      <c r="J9616" s="17"/>
      <c r="K9616" s="17"/>
      <c r="L9616" s="17">
        <f>IFERROR(__xludf.DUMMYFUNCTION("""COMPUTED_VALUE"""),3.246204272E9)</f>
        <v>3246204272</v>
      </c>
      <c r="M9616" s="17"/>
      <c r="N9616" s="17"/>
      <c r="O9616" s="17"/>
      <c r="P9616" s="17" t="b">
        <f>IFERROR(__xludf.DUMMYFUNCTION("""COMPUTED_VALUE"""),FALSE)</f>
        <v>0</v>
      </c>
      <c r="Q9616" s="20" t="str">
        <f>IFERROR(__xludf.DUMMYFUNCTION("""COMPUTED_VALUE"""),"")</f>
        <v/>
      </c>
      <c r="R9616" s="21" t="str">
        <f>IFERROR(__xludf.DUMMYFUNCTION("""COMPUTED_VALUE"""),"https://drive.google.com/file/d/1KOmW1egPtgN5HK16zJdMvmfQtohKTc8t/view?usp=drivesdk")</f>
        <v>https://drive.google.com/file/d/1KOmW1egPtgN5HK16zJdMvmfQtohKTc8t/view?usp=drivesdk</v>
      </c>
    </row>
    <row r="9617">
      <c r="A9617" s="15">
        <f>IFERROR(__xludf.DUMMYFUNCTION("""COMPUTED_VALUE"""),45273.0)</f>
        <v>45273</v>
      </c>
      <c r="B9617" s="16" t="str">
        <f>IFERROR(__xludf.DUMMYFUNCTION("""COMPUTED_VALUE"""),"Johan Alexander Escobar Arroyo ")</f>
        <v>Johan Alexander Escobar Arroyo </v>
      </c>
      <c r="C9617" s="15" t="str">
        <f>IFERROR(__xludf.DUMMYFUNCTION("""COMPUTED_VALUE"""),"CALI")</f>
        <v>CALI</v>
      </c>
      <c r="D9617" s="15" t="str">
        <f>IFERROR(__xludf.DUMMYFUNCTION("""COMPUTED_VALUE"""),"MEDELLÍN")</f>
        <v>MEDELLÍN</v>
      </c>
      <c r="E9617" s="15" t="str">
        <f>IFERROR(__xludf.DUMMYFUNCTION("""COMPUTED_VALUE"""),"AREPAS LA MARY")</f>
        <v>AREPAS LA MARY</v>
      </c>
      <c r="F9617" s="17" t="str">
        <f>IFERROR(__xludf.DUMMYFUNCTION("""COMPUTED_VALUE"""),"AVENIDA 4 NORTE # 7 N 46 / LOCAL 129 CENTRO COMERCIAL CENTENARIO PRIMER PISO")</f>
        <v>AVENIDA 4 NORTE # 7 N 46 / LOCAL 129 CENTRO COMERCIAL CENTENARIO PRIMER PISO</v>
      </c>
      <c r="G9617" s="15" t="str">
        <f>IFERROR(__xludf.DUMMYFUNCTION("""COMPUTED_VALUE"""),"VITALFINESS CALI")</f>
        <v>VITALFINESS CALI</v>
      </c>
      <c r="H9617" s="16">
        <f>IFERROR(__xludf.DUMMYFUNCTION("""COMPUTED_VALUE"""),18268.0)</f>
        <v>18268</v>
      </c>
      <c r="I9617" s="17"/>
      <c r="J9617" s="17"/>
      <c r="K9617" s="17"/>
      <c r="L9617" s="17">
        <f>IFERROR(__xludf.DUMMYFUNCTION("""COMPUTED_VALUE"""),3.226925759E9)</f>
        <v>3226925759</v>
      </c>
      <c r="M9617" s="17"/>
      <c r="N9617" s="17"/>
      <c r="O9617" s="17"/>
      <c r="P9617" s="17" t="b">
        <f>IFERROR(__xludf.DUMMYFUNCTION("""COMPUTED_VALUE"""),FALSE)</f>
        <v>0</v>
      </c>
      <c r="Q9617" s="20" t="str">
        <f>IFERROR(__xludf.DUMMYFUNCTION("""COMPUTED_VALUE"""),"")</f>
        <v/>
      </c>
      <c r="R9617" s="21" t="str">
        <f>IFERROR(__xludf.DUMMYFUNCTION("""COMPUTED_VALUE"""),"https://drive.google.com/file/d/1BNiYfCKGrwjhx4UFMNBHCHtA-mnH7yF-/view?usp=drivesdk")</f>
        <v>https://drive.google.com/file/d/1BNiYfCKGrwjhx4UFMNBHCHtA-mnH7yF-/view?usp=drivesdk</v>
      </c>
    </row>
    <row r="9618">
      <c r="A9618" s="15">
        <f>IFERROR(__xludf.DUMMYFUNCTION("""COMPUTED_VALUE"""),45273.0)</f>
        <v>45273</v>
      </c>
      <c r="B9618" s="16" t="str">
        <f>IFERROR(__xludf.DUMMYFUNCTION("""COMPUTED_VALUE"""),"Johan Alexander Escobar Arroyo ")</f>
        <v>Johan Alexander Escobar Arroyo </v>
      </c>
      <c r="C9618" s="15" t="str">
        <f>IFERROR(__xludf.DUMMYFUNCTION("""COMPUTED_VALUE"""),"CALI")</f>
        <v>CALI</v>
      </c>
      <c r="D9618" s="15" t="str">
        <f>IFERROR(__xludf.DUMMYFUNCTION("""COMPUTED_VALUE"""),"MEDELLÍN")</f>
        <v>MEDELLÍN</v>
      </c>
      <c r="E9618" s="15" t="str">
        <f>IFERROR(__xludf.DUMMYFUNCTION("""COMPUTED_VALUE"""),"Baby Chef")</f>
        <v>Baby Chef</v>
      </c>
      <c r="F9618" s="17" t="str">
        <f>IFERROR(__xludf.DUMMYFUNCTION("""COMPUTED_VALUE"""),"Calle 60Norte #3BN-14 Rincón de la Flora.  / . / .")</f>
        <v>Calle 60Norte #3BN-14 Rincón de la Flora.  / . / .</v>
      </c>
      <c r="G9618" s="15" t="str">
        <f>IFERROR(__xludf.DUMMYFUNCTION("""COMPUTED_VALUE"""),"Luz Karim Millán (Preguntar por: Rodrigo Satizábal Muñoz.)")</f>
        <v>Luz Karim Millán (Preguntar por: Rodrigo Satizábal Muñoz.)</v>
      </c>
      <c r="H9618" s="16">
        <f>IFERROR(__xludf.DUMMYFUNCTION("""COMPUTED_VALUE"""),18275.0)</f>
        <v>18275</v>
      </c>
      <c r="I9618" s="18">
        <f>IFERROR(__xludf.DUMMYFUNCTION("""COMPUTED_VALUE"""),11.0)</f>
        <v>11</v>
      </c>
      <c r="J9618" s="18">
        <f>IFERROR(__xludf.DUMMYFUNCTION("""COMPUTED_VALUE"""),20.0)</f>
        <v>20</v>
      </c>
      <c r="K9618" s="18">
        <f>IFERROR(__xludf.DUMMYFUNCTION("""COMPUTED_VALUE"""),26.0)</f>
        <v>26</v>
      </c>
      <c r="L9618" s="17">
        <f>IFERROR(__xludf.DUMMYFUNCTION("""COMPUTED_VALUE"""),3.104213831E9)</f>
        <v>3104213831</v>
      </c>
      <c r="M9618" s="17"/>
      <c r="N9618" s="17"/>
      <c r="O9618" s="17"/>
      <c r="P9618" s="17" t="b">
        <f>IFERROR(__xludf.DUMMYFUNCTION("""COMPUTED_VALUE"""),FALSE)</f>
        <v>0</v>
      </c>
      <c r="Q9618" s="20" t="str">
        <f>IFERROR(__xludf.DUMMYFUNCTION("""COMPUTED_VALUE"""),"")</f>
        <v/>
      </c>
      <c r="R9618" s="21" t="str">
        <f>IFERROR(__xludf.DUMMYFUNCTION("""COMPUTED_VALUE"""),"https://drive.google.com/file/d/1DqMvArvkC956dXxj2_LTxRC_wgiM3ysE/view?usp=drivesdk")</f>
        <v>https://drive.google.com/file/d/1DqMvArvkC956dXxj2_LTxRC_wgiM3ysE/view?usp=drivesdk</v>
      </c>
    </row>
    <row r="9619">
      <c r="A9619" s="15">
        <f>IFERROR(__xludf.DUMMYFUNCTION("""COMPUTED_VALUE"""),45273.0)</f>
        <v>45273</v>
      </c>
      <c r="B9619" s="16" t="str">
        <f>IFERROR(__xludf.DUMMYFUNCTION("""COMPUTED_VALUE"""),"Johan Alexander Escobar Arroyo ")</f>
        <v>Johan Alexander Escobar Arroyo </v>
      </c>
      <c r="C9619" s="15" t="str">
        <f>IFERROR(__xludf.DUMMYFUNCTION("""COMPUTED_VALUE"""),"CALI")</f>
        <v>CALI</v>
      </c>
      <c r="D9619" s="15" t="str">
        <f>IFERROR(__xludf.DUMMYFUNCTION("""COMPUTED_VALUE"""),"MEDELLÍN")</f>
        <v>MEDELLÍN</v>
      </c>
      <c r="E9619" s="15" t="str">
        <f>IFERROR(__xludf.DUMMYFUNCTION("""COMPUTED_VALUE"""),"Baby Chef")</f>
        <v>Baby Chef</v>
      </c>
      <c r="F9619" s="17" t="str">
        <f>IFERROR(__xludf.DUMMYFUNCTION("""COMPUTED_VALUE"""),"Calle 8 #39-79 Apto 106 edificio calle octava barrio los cambulos / . / .")</f>
        <v>Calle 8 #39-79 Apto 106 edificio calle octava barrio los cambulos / . / .</v>
      </c>
      <c r="G9619" s="15" t="str">
        <f>IFERROR(__xludf.DUMMYFUNCTION("""COMPUTED_VALUE"""),"Jackeline Rengifo")</f>
        <v>Jackeline Rengifo</v>
      </c>
      <c r="H9619" s="16">
        <f>IFERROR(__xludf.DUMMYFUNCTION("""COMPUTED_VALUE"""),18277.0)</f>
        <v>18277</v>
      </c>
      <c r="I9619" s="18">
        <f>IFERROR(__xludf.DUMMYFUNCTION("""COMPUTED_VALUE"""),8.0)</f>
        <v>8</v>
      </c>
      <c r="J9619" s="18">
        <f>IFERROR(__xludf.DUMMYFUNCTION("""COMPUTED_VALUE"""),22.0)</f>
        <v>22</v>
      </c>
      <c r="K9619" s="18">
        <f>IFERROR(__xludf.DUMMYFUNCTION("""COMPUTED_VALUE"""),32.0)</f>
        <v>32</v>
      </c>
      <c r="L9619" s="17">
        <f>IFERROR(__xludf.DUMMYFUNCTION("""COMPUTED_VALUE"""),3.104449209E9)</f>
        <v>3104449209</v>
      </c>
      <c r="M9619" s="17"/>
      <c r="N9619" s="17"/>
      <c r="O9619" s="17"/>
      <c r="P9619" s="17" t="b">
        <f>IFERROR(__xludf.DUMMYFUNCTION("""COMPUTED_VALUE"""),FALSE)</f>
        <v>0</v>
      </c>
      <c r="Q9619" s="20" t="str">
        <f>IFERROR(__xludf.DUMMYFUNCTION("""COMPUTED_VALUE"""),"")</f>
        <v/>
      </c>
      <c r="R9619" s="21" t="str">
        <f>IFERROR(__xludf.DUMMYFUNCTION("""COMPUTED_VALUE"""),"https://drive.google.com/file/d/14c10VuMChoXgdj4xgQfP_mvwI98c_IOa/view?usp=drivesdk")</f>
        <v>https://drive.google.com/file/d/14c10VuMChoXgdj4xgQfP_mvwI98c_IOa/view?usp=drivesdk</v>
      </c>
    </row>
    <row r="9620">
      <c r="A9620" s="15">
        <f>IFERROR(__xludf.DUMMYFUNCTION("""COMPUTED_VALUE"""),45273.0)</f>
        <v>45273</v>
      </c>
      <c r="B9620" s="16" t="str">
        <f>IFERROR(__xludf.DUMMYFUNCTION("""COMPUTED_VALUE"""),"Johan Alexander Escobar Arroyo ")</f>
        <v>Johan Alexander Escobar Arroyo </v>
      </c>
      <c r="C9620" s="15" t="str">
        <f>IFERROR(__xludf.DUMMYFUNCTION("""COMPUTED_VALUE"""),"CALI")</f>
        <v>CALI</v>
      </c>
      <c r="D9620" s="15" t="str">
        <f>IFERROR(__xludf.DUMMYFUNCTION("""COMPUTED_VALUE"""),"MEDELLÍN")</f>
        <v>MEDELLÍN</v>
      </c>
      <c r="E9620" s="15" t="str">
        <f>IFERROR(__xludf.DUMMYFUNCTION("""COMPUTED_VALUE"""),"Baby Chef")</f>
        <v>Baby Chef</v>
      </c>
      <c r="F9620" s="17" t="str">
        <f>IFERROR(__xludf.DUMMYFUNCTION("""COMPUTED_VALUE"""),"Carrera 1 c 3 bis #54-64 barrio palmeras del norte / . / .")</f>
        <v>Carrera 1 c 3 bis #54-64 barrio palmeras del norte / . / .</v>
      </c>
      <c r="G9620" s="15" t="str">
        <f>IFERROR(__xludf.DUMMYFUNCTION("""COMPUTED_VALUE"""),"Alejandra Buriticá")</f>
        <v>Alejandra Buriticá</v>
      </c>
      <c r="H9620" s="16">
        <f>IFERROR(__xludf.DUMMYFUNCTION("""COMPUTED_VALUE"""),18276.0)</f>
        <v>18276</v>
      </c>
      <c r="I9620" s="18">
        <f>IFERROR(__xludf.DUMMYFUNCTION("""COMPUTED_VALUE"""),9.0)</f>
        <v>9</v>
      </c>
      <c r="J9620" s="18">
        <f>IFERROR(__xludf.DUMMYFUNCTION("""COMPUTED_VALUE"""),21.0)</f>
        <v>21</v>
      </c>
      <c r="K9620" s="18">
        <f>IFERROR(__xludf.DUMMYFUNCTION("""COMPUTED_VALUE"""),22.0)</f>
        <v>22</v>
      </c>
      <c r="L9620" s="17">
        <f>IFERROR(__xludf.DUMMYFUNCTION("""COMPUTED_VALUE"""),3.128292639E9)</f>
        <v>3128292639</v>
      </c>
      <c r="M9620" s="17"/>
      <c r="N9620" s="17"/>
      <c r="O9620" s="17"/>
      <c r="P9620" s="17" t="b">
        <f>IFERROR(__xludf.DUMMYFUNCTION("""COMPUTED_VALUE"""),FALSE)</f>
        <v>0</v>
      </c>
      <c r="Q9620" s="20" t="str">
        <f>IFERROR(__xludf.DUMMYFUNCTION("""COMPUTED_VALUE"""),"")</f>
        <v/>
      </c>
      <c r="R9620" s="21" t="str">
        <f>IFERROR(__xludf.DUMMYFUNCTION("""COMPUTED_VALUE"""),"https://drive.google.com/file/d/1BqdICdUcjFd0xHx_q15SUBHfd-QNoVMg/view?usp=drivesdk")</f>
        <v>https://drive.google.com/file/d/1BqdICdUcjFd0xHx_q15SUBHfd-QNoVMg/view?usp=drivesdk</v>
      </c>
    </row>
    <row r="9621">
      <c r="A9621" s="17" t="str">
        <f>IFERROR(__xludf.DUMMYFUNCTION("""COMPUTED_VALUE"""),"")</f>
        <v/>
      </c>
      <c r="B9621" s="17" t="str">
        <f>IFERROR(__xludf.DUMMYFUNCTION("""COMPUTED_VALUE"""),"")</f>
        <v/>
      </c>
      <c r="C9621" s="17" t="str">
        <f>IFERROR(__xludf.DUMMYFUNCTION("""COMPUTED_VALUE"""),"")</f>
        <v/>
      </c>
      <c r="D9621" s="17" t="str">
        <f>IFERROR(__xludf.DUMMYFUNCTION("""COMPUTED_VALUE"""),"")</f>
        <v/>
      </c>
      <c r="E9621" s="17" t="str">
        <f>IFERROR(__xludf.DUMMYFUNCTION("""COMPUTED_VALUE"""),"")</f>
        <v/>
      </c>
      <c r="F9621" s="17" t="str">
        <f>IFERROR(__xludf.DUMMYFUNCTION("""COMPUTED_VALUE"""),"")</f>
        <v/>
      </c>
      <c r="G9621" s="17" t="str">
        <f>IFERROR(__xludf.DUMMYFUNCTION("""COMPUTED_VALUE"""),"")</f>
        <v/>
      </c>
      <c r="H9621" s="17" t="str">
        <f>IFERROR(__xludf.DUMMYFUNCTION("""COMPUTED_VALUE"""),"")</f>
        <v/>
      </c>
      <c r="I9621" s="17" t="str">
        <f>IFERROR(__xludf.DUMMYFUNCTION("""COMPUTED_VALUE"""),"")</f>
        <v/>
      </c>
      <c r="J9621" s="17" t="str">
        <f>IFERROR(__xludf.DUMMYFUNCTION("""COMPUTED_VALUE"""),"")</f>
        <v/>
      </c>
      <c r="K9621" s="17" t="str">
        <f>IFERROR(__xludf.DUMMYFUNCTION("""COMPUTED_VALUE"""),"")</f>
        <v/>
      </c>
      <c r="L9621" s="17" t="str">
        <f>IFERROR(__xludf.DUMMYFUNCTION("""COMPUTED_VALUE"""),"")</f>
        <v/>
      </c>
      <c r="M9621" s="17" t="str">
        <f>IFERROR(__xludf.DUMMYFUNCTION("""COMPUTED_VALUE"""),"")</f>
        <v/>
      </c>
      <c r="N9621" s="17" t="str">
        <f>IFERROR(__xludf.DUMMYFUNCTION("""COMPUTED_VALUE"""),"")</f>
        <v/>
      </c>
      <c r="O9621" s="17" t="str">
        <f>IFERROR(__xludf.DUMMYFUNCTION("""COMPUTED_VALUE"""),"")</f>
        <v/>
      </c>
      <c r="P9621" s="17" t="str">
        <f>IFERROR(__xludf.DUMMYFUNCTION("""COMPUTED_VALUE"""),"")</f>
        <v/>
      </c>
      <c r="Q9621" s="17" t="str">
        <f>IFERROR(__xludf.DUMMYFUNCTION("""COMPUTED_VALUE"""),"")</f>
        <v/>
      </c>
      <c r="R9621" s="17" t="str">
        <f>IFERROR(__xludf.DUMMYFUNCTION("""COMPUTED_VALUE"""),"")</f>
        <v/>
      </c>
    </row>
    <row r="9622">
      <c r="A9622" s="15">
        <f>IFERROR(__xludf.DUMMYFUNCTION("""COMPUTED_VALUE"""),45273.0)</f>
        <v>45273</v>
      </c>
      <c r="B9622" s="16" t="str">
        <f>IFERROR(__xludf.DUMMYFUNCTION("""COMPUTED_VALUE"""),"JOSE ALFREDO RAMIREZ VERGARA ")</f>
        <v>JOSE ALFREDO RAMIREZ VERGARA </v>
      </c>
      <c r="C9622" s="15" t="str">
        <f>IFERROR(__xludf.DUMMYFUNCTION("""COMPUTED_VALUE"""),"BOGOTÁ")</f>
        <v>BOGOTÁ</v>
      </c>
      <c r="D9622" s="15" t="str">
        <f>IFERROR(__xludf.DUMMYFUNCTION("""COMPUTED_VALUE"""),"ENVIGADO")</f>
        <v>ENVIGADO</v>
      </c>
      <c r="E9622" s="15" t="str">
        <f>IFERROR(__xludf.DUMMYFUNCTION("""COMPUTED_VALUE"""),"RAMBLA")</f>
        <v>RAMBLA</v>
      </c>
      <c r="F9622" s="17" t="str">
        <f>IFERROR(__xludf.DUMMYFUNCTION("""COMPUTED_VALUE"""),"Calle 29 6 54 / Apto 201. Torre 2 Chia Cundinamarca")</f>
        <v>Calle 29 6 54 / Apto 201. Torre 2 Chia Cundinamarca</v>
      </c>
      <c r="G9622" s="15" t="str">
        <f>IFERROR(__xludf.DUMMYFUNCTION("""COMPUTED_VALUE"""),"Salama")</f>
        <v>Salama</v>
      </c>
      <c r="H9622" s="16">
        <f>IFERROR(__xludf.DUMMYFUNCTION("""COMPUTED_VALUE"""),18258.0)</f>
        <v>18258</v>
      </c>
      <c r="I9622" s="17"/>
      <c r="J9622" s="17"/>
      <c r="K9622" s="17"/>
      <c r="L9622" s="17">
        <f>IFERROR(__xludf.DUMMYFUNCTION("""COMPUTED_VALUE"""),3.183745233E9)</f>
        <v>3183745233</v>
      </c>
      <c r="M9622" s="17"/>
      <c r="N9622" s="17"/>
      <c r="O9622" s="17"/>
      <c r="P9622" s="17" t="b">
        <f>IFERROR(__xludf.DUMMYFUNCTION("""COMPUTED_VALUE"""),FALSE)</f>
        <v>0</v>
      </c>
      <c r="Q9622" s="20" t="str">
        <f>IFERROR(__xludf.DUMMYFUNCTION("""COMPUTED_VALUE"""),"")</f>
        <v/>
      </c>
      <c r="R9622" s="21" t="str">
        <f>IFERROR(__xludf.DUMMYFUNCTION("""COMPUTED_VALUE"""),"https://drive.google.com/file/d/1FZ_axrf8pgmhgjn0xIXxl2Z-lHtU_p4Q/view?usp=drivesdk")</f>
        <v>https://drive.google.com/file/d/1FZ_axrf8pgmhgjn0xIXxl2Z-lHtU_p4Q/view?usp=drivesdk</v>
      </c>
    </row>
    <row r="9623">
      <c r="A9623" s="15">
        <f>IFERROR(__xludf.DUMMYFUNCTION("""COMPUTED_VALUE"""),45273.0)</f>
        <v>45273</v>
      </c>
      <c r="B9623" s="16" t="str">
        <f>IFERROR(__xludf.DUMMYFUNCTION("""COMPUTED_VALUE"""),"JOSE ALFREDO RAMIREZ VERGARA ")</f>
        <v>JOSE ALFREDO RAMIREZ VERGARA </v>
      </c>
      <c r="C9623" s="15" t="str">
        <f>IFERROR(__xludf.DUMMYFUNCTION("""COMPUTED_VALUE"""),"BOGOTÁ")</f>
        <v>BOGOTÁ</v>
      </c>
      <c r="D9623" s="15" t="str">
        <f>IFERROR(__xludf.DUMMYFUNCTION("""COMPUTED_VALUE"""),"ENVIGADO")</f>
        <v>ENVIGADO</v>
      </c>
      <c r="E9623" s="15" t="str">
        <f>IFERROR(__xludf.DUMMYFUNCTION("""COMPUTED_VALUE"""),"RAMBLA")</f>
        <v>RAMBLA</v>
      </c>
      <c r="F9623" s="17" t="str">
        <f>IFERROR(__xludf.DUMMYFUNCTION("""COMPUTED_VALUE"""),"Calle 72 A Bis # 1B - 52 Este. / Edificio Lumini Apto 403.")</f>
        <v>Calle 72 A Bis # 1B - 52 Este. / Edificio Lumini Apto 403.</v>
      </c>
      <c r="G9623" s="15" t="str">
        <f>IFERROR(__xludf.DUMMYFUNCTION("""COMPUTED_VALUE"""),"Johanna Contreras Romero")</f>
        <v>Johanna Contreras Romero</v>
      </c>
      <c r="H9623" s="16">
        <f>IFERROR(__xludf.DUMMYFUNCTION("""COMPUTED_VALUE"""),18263.0)</f>
        <v>18263</v>
      </c>
      <c r="I9623" s="17"/>
      <c r="J9623" s="17"/>
      <c r="K9623" s="17"/>
      <c r="L9623" s="17">
        <f>IFERROR(__xludf.DUMMYFUNCTION("""COMPUTED_VALUE"""),3.176419243E9)</f>
        <v>3176419243</v>
      </c>
      <c r="M9623" s="17"/>
      <c r="N9623" s="17"/>
      <c r="O9623" s="17"/>
      <c r="P9623" s="17" t="b">
        <f>IFERROR(__xludf.DUMMYFUNCTION("""COMPUTED_VALUE"""),FALSE)</f>
        <v>0</v>
      </c>
      <c r="Q9623" s="20" t="str">
        <f>IFERROR(__xludf.DUMMYFUNCTION("""COMPUTED_VALUE"""),"")</f>
        <v/>
      </c>
      <c r="R9623" s="21" t="str">
        <f>IFERROR(__xludf.DUMMYFUNCTION("""COMPUTED_VALUE"""),"https://drive.google.com/file/d/1MVIECRfuZ1PtXyTTwLvDiJzC-RrdHdSg/view?usp=drivesdk")</f>
        <v>https://drive.google.com/file/d/1MVIECRfuZ1PtXyTTwLvDiJzC-RrdHdSg/view?usp=drivesdk</v>
      </c>
    </row>
    <row r="9624">
      <c r="A9624" s="15">
        <f>IFERROR(__xludf.DUMMYFUNCTION("""COMPUTED_VALUE"""),45273.0)</f>
        <v>45273</v>
      </c>
      <c r="B9624" s="16" t="str">
        <f>IFERROR(__xludf.DUMMYFUNCTION("""COMPUTED_VALUE"""),"JOSE ALFREDO RAMIREZ VERGARA ")</f>
        <v>JOSE ALFREDO RAMIREZ VERGARA </v>
      </c>
      <c r="C9624" s="15" t="str">
        <f>IFERROR(__xludf.DUMMYFUNCTION("""COMPUTED_VALUE"""),"BOGOTÁ")</f>
        <v>BOGOTÁ</v>
      </c>
      <c r="D9624" s="15" t="str">
        <f>IFERROR(__xludf.DUMMYFUNCTION("""COMPUTED_VALUE"""),"MEDELLÍN")</f>
        <v>MEDELLÍN</v>
      </c>
      <c r="E9624" s="15" t="str">
        <f>IFERROR(__xludf.DUMMYFUNCTION("""COMPUTED_VALUE"""),"AREPAS LA MARY")</f>
        <v>AREPAS LA MARY</v>
      </c>
      <c r="F9624" s="17" t="str">
        <f>IFERROR(__xludf.DUMMYFUNCTION("""COMPUTED_VALUE"""),"calle 83 #95-34 / Bochica 1 sector")</f>
        <v>calle 83 #95-34 / Bochica 1 sector</v>
      </c>
      <c r="G9624" s="15" t="str">
        <f>IFERROR(__xludf.DUMMYFUNCTION("""COMPUTED_VALUE"""),"DANIELA CASTILLO")</f>
        <v>DANIELA CASTILLO</v>
      </c>
      <c r="H9624" s="16">
        <f>IFERROR(__xludf.DUMMYFUNCTION("""COMPUTED_VALUE"""),18271.0)</f>
        <v>18271</v>
      </c>
      <c r="I9624" s="17"/>
      <c r="J9624" s="17"/>
      <c r="K9624" s="17"/>
      <c r="L9624" s="17">
        <f>IFERROR(__xludf.DUMMYFUNCTION("""COMPUTED_VALUE"""),3.133264482E9)</f>
        <v>3133264482</v>
      </c>
      <c r="M9624" s="17"/>
      <c r="N9624" s="17"/>
      <c r="O9624" s="17"/>
      <c r="P9624" s="17" t="b">
        <f>IFERROR(__xludf.DUMMYFUNCTION("""COMPUTED_VALUE"""),FALSE)</f>
        <v>0</v>
      </c>
      <c r="Q9624" s="20" t="str">
        <f>IFERROR(__xludf.DUMMYFUNCTION("""COMPUTED_VALUE"""),"")</f>
        <v/>
      </c>
      <c r="R9624" s="21" t="str">
        <f>IFERROR(__xludf.DUMMYFUNCTION("""COMPUTED_VALUE"""),"https://drive.google.com/file/d/1eIcU596l1s0U54nBnjOmQzPsYZJsFvMs/view?usp=drivesdk")</f>
        <v>https://drive.google.com/file/d/1eIcU596l1s0U54nBnjOmQzPsYZJsFvMs/view?usp=drivesdk</v>
      </c>
    </row>
    <row r="9625">
      <c r="A9625" s="15">
        <f>IFERROR(__xludf.DUMMYFUNCTION("""COMPUTED_VALUE"""),45273.0)</f>
        <v>45273</v>
      </c>
      <c r="B9625" s="16" t="str">
        <f>IFERROR(__xludf.DUMMYFUNCTION("""COMPUTED_VALUE"""),"JOSE ALFREDO RAMIREZ VERGARA ")</f>
        <v>JOSE ALFREDO RAMIREZ VERGARA </v>
      </c>
      <c r="C9625" s="15" t="str">
        <f>IFERROR(__xludf.DUMMYFUNCTION("""COMPUTED_VALUE"""),"BOGOTÁ")</f>
        <v>BOGOTÁ</v>
      </c>
      <c r="D9625" s="15" t="str">
        <f>IFERROR(__xludf.DUMMYFUNCTION("""COMPUTED_VALUE"""),"MEDELLÍN")</f>
        <v>MEDELLÍN</v>
      </c>
      <c r="E9625" s="15" t="str">
        <f>IFERROR(__xludf.DUMMYFUNCTION("""COMPUTED_VALUE"""),"AREPAS LA MARY")</f>
        <v>AREPAS LA MARY</v>
      </c>
      <c r="F9625" s="17" t="str">
        <f>IFERROR(__xludf.DUMMYFUNCTION("""COMPUTED_VALUE"""),"Carrera 77 # 19-87 APTO 706 / CONJUNTO RESIDENCIAL EL REFUGIO")</f>
        <v>Carrera 77 # 19-87 APTO 706 / CONJUNTO RESIDENCIAL EL REFUGIO</v>
      </c>
      <c r="G9625" s="15" t="str">
        <f>IFERROR(__xludf.DUMMYFUNCTION("""COMPUTED_VALUE"""),"JUAN PABLO RATIVA")</f>
        <v>JUAN PABLO RATIVA</v>
      </c>
      <c r="H9625" s="16">
        <f>IFERROR(__xludf.DUMMYFUNCTION("""COMPUTED_VALUE"""),18272.0)</f>
        <v>18272</v>
      </c>
      <c r="I9625" s="17"/>
      <c r="J9625" s="17"/>
      <c r="K9625" s="17"/>
      <c r="L9625" s="17"/>
      <c r="M9625" s="17"/>
      <c r="N9625" s="17"/>
      <c r="O9625" s="17"/>
      <c r="P9625" s="17" t="b">
        <f>IFERROR(__xludf.DUMMYFUNCTION("""COMPUTED_VALUE"""),FALSE)</f>
        <v>0</v>
      </c>
      <c r="Q9625" s="20" t="str">
        <f>IFERROR(__xludf.DUMMYFUNCTION("""COMPUTED_VALUE"""),"")</f>
        <v/>
      </c>
      <c r="R9625" s="21" t="str">
        <f>IFERROR(__xludf.DUMMYFUNCTION("""COMPUTED_VALUE"""),"https://drive.google.com/file/d/1yKDSzFCGrA7FpILllBPLGwgw753S8V9z/view?usp=drivesdk")</f>
        <v>https://drive.google.com/file/d/1yKDSzFCGrA7FpILllBPLGwgw753S8V9z/view?usp=drivesdk</v>
      </c>
    </row>
    <row r="9626">
      <c r="A9626" s="15">
        <f>IFERROR(__xludf.DUMMYFUNCTION("""COMPUTED_VALUE"""),45273.0)</f>
        <v>45273</v>
      </c>
      <c r="B9626" s="16" t="str">
        <f>IFERROR(__xludf.DUMMYFUNCTION("""COMPUTED_VALUE"""),"JOSE ALFREDO RAMIREZ VERGARA ")</f>
        <v>JOSE ALFREDO RAMIREZ VERGARA </v>
      </c>
      <c r="C9626" s="15" t="str">
        <f>IFERROR(__xludf.DUMMYFUNCTION("""COMPUTED_VALUE"""),"BOGOTÁ")</f>
        <v>BOGOTÁ</v>
      </c>
      <c r="D9626" s="15" t="str">
        <f>IFERROR(__xludf.DUMMYFUNCTION("""COMPUTED_VALUE"""),"MEDELLÍN")</f>
        <v>MEDELLÍN</v>
      </c>
      <c r="E9626" s="15" t="str">
        <f>IFERROR(__xludf.DUMMYFUNCTION("""COMPUTED_VALUE"""),"Baby Chef")</f>
        <v>Baby Chef</v>
      </c>
      <c r="F9626" s="17" t="str">
        <f>IFERROR(__xludf.DUMMYFUNCTION("""COMPUTED_VALUE"""),"Calle 10 # 80-41 torre 5 apto 920 conjunto Oasis de Castilla, barrio Castilla / . / .")</f>
        <v>Calle 10 # 80-41 torre 5 apto 920 conjunto Oasis de Castilla, barrio Castilla / . / .</v>
      </c>
      <c r="G9626" s="15" t="str">
        <f>IFERROR(__xludf.DUMMYFUNCTION("""COMPUTED_VALUE"""),"Katherine Castro")</f>
        <v>Katherine Castro</v>
      </c>
      <c r="H9626" s="16">
        <f>IFERROR(__xludf.DUMMYFUNCTION("""COMPUTED_VALUE"""),18244.0)</f>
        <v>18244</v>
      </c>
      <c r="I9626" s="18">
        <f>IFERROR(__xludf.DUMMYFUNCTION("""COMPUTED_VALUE"""),11.0)</f>
        <v>11</v>
      </c>
      <c r="J9626" s="18">
        <f>IFERROR(__xludf.DUMMYFUNCTION("""COMPUTED_VALUE"""),21.0)</f>
        <v>21</v>
      </c>
      <c r="K9626" s="18">
        <f>IFERROR(__xludf.DUMMYFUNCTION("""COMPUTED_VALUE"""),20.0)</f>
        <v>20</v>
      </c>
      <c r="L9626" s="17">
        <f>IFERROR(__xludf.DUMMYFUNCTION("""COMPUTED_VALUE"""),3.005931932E9)</f>
        <v>3005931932</v>
      </c>
      <c r="M9626" s="17"/>
      <c r="N9626" s="17"/>
      <c r="O9626" s="17"/>
      <c r="P9626" s="17" t="b">
        <f>IFERROR(__xludf.DUMMYFUNCTION("""COMPUTED_VALUE"""),FALSE)</f>
        <v>0</v>
      </c>
      <c r="Q9626" s="20" t="str">
        <f>IFERROR(__xludf.DUMMYFUNCTION("""COMPUTED_VALUE"""),"")</f>
        <v/>
      </c>
      <c r="R9626" s="21" t="str">
        <f>IFERROR(__xludf.DUMMYFUNCTION("""COMPUTED_VALUE"""),"https://drive.google.com/file/d/1Z7AGsbTwCPf8_M5pbrTny89KogbqUN58/view?usp=drivesdk")</f>
        <v>https://drive.google.com/file/d/1Z7AGsbTwCPf8_M5pbrTny89KogbqUN58/view?usp=drivesdk</v>
      </c>
    </row>
    <row r="9627">
      <c r="A9627" s="15">
        <f>IFERROR(__xludf.DUMMYFUNCTION("""COMPUTED_VALUE"""),45273.0)</f>
        <v>45273</v>
      </c>
      <c r="B9627" s="16" t="str">
        <f>IFERROR(__xludf.DUMMYFUNCTION("""COMPUTED_VALUE"""),"JOSE ALFREDO RAMIREZ VERGARA ")</f>
        <v>JOSE ALFREDO RAMIREZ VERGARA </v>
      </c>
      <c r="C9627" s="15" t="str">
        <f>IFERROR(__xludf.DUMMYFUNCTION("""COMPUTED_VALUE"""),"BOGOTÁ")</f>
        <v>BOGOTÁ</v>
      </c>
      <c r="D9627" s="15" t="str">
        <f>IFERROR(__xludf.DUMMYFUNCTION("""COMPUTED_VALUE"""),"MEDELLÍN")</f>
        <v>MEDELLÍN</v>
      </c>
      <c r="E9627" s="15" t="str">
        <f>IFERROR(__xludf.DUMMYFUNCTION("""COMPUTED_VALUE"""),"Baby Chef")</f>
        <v>Baby Chef</v>
      </c>
      <c r="F9627" s="17" t="str">
        <f>IFERROR(__xludf.DUMMYFUNCTION("""COMPUTED_VALUE"""),"Calle 123a # 77b-85 Bloque 2 apto 208 apartamentos Tinguazul / . / .")</f>
        <v>Calle 123a # 77b-85 Bloque 2 apto 208 apartamentos Tinguazul / . / .</v>
      </c>
      <c r="G9627" s="15" t="str">
        <f>IFERROR(__xludf.DUMMYFUNCTION("""COMPUTED_VALUE"""),"Lizzette Sanchez")</f>
        <v>Lizzette Sanchez</v>
      </c>
      <c r="H9627" s="16">
        <f>IFERROR(__xludf.DUMMYFUNCTION("""COMPUTED_VALUE"""),18245.0)</f>
        <v>18245</v>
      </c>
      <c r="I9627" s="18">
        <f>IFERROR(__xludf.DUMMYFUNCTION("""COMPUTED_VALUE"""),10.0)</f>
        <v>10</v>
      </c>
      <c r="J9627" s="18">
        <f>IFERROR(__xludf.DUMMYFUNCTION("""COMPUTED_VALUE"""),22.0)</f>
        <v>22</v>
      </c>
      <c r="K9627" s="18">
        <f>IFERROR(__xludf.DUMMYFUNCTION("""COMPUTED_VALUE"""),28.0)</f>
        <v>28</v>
      </c>
      <c r="L9627" s="17">
        <f>IFERROR(__xludf.DUMMYFUNCTION("""COMPUTED_VALUE"""),3.213610633E9)</f>
        <v>3213610633</v>
      </c>
      <c r="M9627" s="17"/>
      <c r="N9627" s="17"/>
      <c r="O9627" s="17"/>
      <c r="P9627" s="17" t="b">
        <f>IFERROR(__xludf.DUMMYFUNCTION("""COMPUTED_VALUE"""),FALSE)</f>
        <v>0</v>
      </c>
      <c r="Q9627" s="20" t="str">
        <f>IFERROR(__xludf.DUMMYFUNCTION("""COMPUTED_VALUE"""),"")</f>
        <v/>
      </c>
      <c r="R9627" s="21" t="str">
        <f>IFERROR(__xludf.DUMMYFUNCTION("""COMPUTED_VALUE"""),"https://drive.google.com/file/d/1sYz6yhOkJ5gaKKigd4eeoiVInz4Zjxp3/view?usp=drivesdk")</f>
        <v>https://drive.google.com/file/d/1sYz6yhOkJ5gaKKigd4eeoiVInz4Zjxp3/view?usp=drivesdk</v>
      </c>
    </row>
    <row r="9628">
      <c r="A9628" s="15">
        <f>IFERROR(__xludf.DUMMYFUNCTION("""COMPUTED_VALUE"""),45273.0)</f>
        <v>45273</v>
      </c>
      <c r="B9628" s="16" t="str">
        <f>IFERROR(__xludf.DUMMYFUNCTION("""COMPUTED_VALUE"""),"JOSE ALFREDO RAMIREZ VERGARA ")</f>
        <v>JOSE ALFREDO RAMIREZ VERGARA </v>
      </c>
      <c r="C9628" s="15" t="str">
        <f>IFERROR(__xludf.DUMMYFUNCTION("""COMPUTED_VALUE"""),"BOGOTÁ")</f>
        <v>BOGOTÁ</v>
      </c>
      <c r="D9628" s="15" t="str">
        <f>IFERROR(__xludf.DUMMYFUNCTION("""COMPUTED_VALUE"""),"MEDELLÍN")</f>
        <v>MEDELLÍN</v>
      </c>
      <c r="E9628" s="15" t="str">
        <f>IFERROR(__xludf.DUMMYFUNCTION("""COMPUTED_VALUE"""),"Baby Chef")</f>
        <v>Baby Chef</v>
      </c>
      <c r="F9628" s="17" t="str">
        <f>IFERROR(__xludf.DUMMYFUNCTION("""COMPUTED_VALUE"""),"Calle 54 C Sur#77 I 14 barrio catalina 2 / . / .")</f>
        <v>Calle 54 C Sur#77 I 14 barrio catalina 2 / . / .</v>
      </c>
      <c r="G9628" s="15" t="str">
        <f>IFERROR(__xludf.DUMMYFUNCTION("""COMPUTED_VALUE"""),"Semlly Moreno")</f>
        <v>Semlly Moreno</v>
      </c>
      <c r="H9628" s="16">
        <f>IFERROR(__xludf.DUMMYFUNCTION("""COMPUTED_VALUE"""),18250.0)</f>
        <v>18250</v>
      </c>
      <c r="I9628" s="18">
        <f>IFERROR(__xludf.DUMMYFUNCTION("""COMPUTED_VALUE"""),9.0)</f>
        <v>9</v>
      </c>
      <c r="J9628" s="18">
        <f>IFERROR(__xludf.DUMMYFUNCTION("""COMPUTED_VALUE"""),23.0)</f>
        <v>23</v>
      </c>
      <c r="K9628" s="18">
        <f>IFERROR(__xludf.DUMMYFUNCTION("""COMPUTED_VALUE"""),22.0)</f>
        <v>22</v>
      </c>
      <c r="L9628" s="17">
        <f>IFERROR(__xludf.DUMMYFUNCTION("""COMPUTED_VALUE"""),3.103069398E9)</f>
        <v>3103069398</v>
      </c>
      <c r="M9628" s="17"/>
      <c r="N9628" s="17"/>
      <c r="O9628" s="17"/>
      <c r="P9628" s="17" t="b">
        <f>IFERROR(__xludf.DUMMYFUNCTION("""COMPUTED_VALUE"""),FALSE)</f>
        <v>0</v>
      </c>
      <c r="Q9628" s="20" t="str">
        <f>IFERROR(__xludf.DUMMYFUNCTION("""COMPUTED_VALUE"""),"")</f>
        <v/>
      </c>
      <c r="R9628" s="21" t="str">
        <f>IFERROR(__xludf.DUMMYFUNCTION("""COMPUTED_VALUE"""),"https://drive.google.com/file/d/1cmUnqNWHryZptQfG2e0eN9Cs5FP7_0k-/view?usp=drivesdk")</f>
        <v>https://drive.google.com/file/d/1cmUnqNWHryZptQfG2e0eN9Cs5FP7_0k-/view?usp=drivesdk</v>
      </c>
    </row>
    <row r="9629">
      <c r="A9629" s="15">
        <f>IFERROR(__xludf.DUMMYFUNCTION("""COMPUTED_VALUE"""),45273.0)</f>
        <v>45273</v>
      </c>
      <c r="B9629" s="16" t="str">
        <f>IFERROR(__xludf.DUMMYFUNCTION("""COMPUTED_VALUE"""),"JOSE ALFREDO RAMIREZ VERGARA ")</f>
        <v>JOSE ALFREDO RAMIREZ VERGARA </v>
      </c>
      <c r="C9629" s="15" t="str">
        <f>IFERROR(__xludf.DUMMYFUNCTION("""COMPUTED_VALUE"""),"BOGOTÁ")</f>
        <v>BOGOTÁ</v>
      </c>
      <c r="D9629" s="15" t="str">
        <f>IFERROR(__xludf.DUMMYFUNCTION("""COMPUTED_VALUE"""),"MEDELLÍN")</f>
        <v>MEDELLÍN</v>
      </c>
      <c r="E9629" s="15" t="str">
        <f>IFERROR(__xludf.DUMMYFUNCTION("""COMPUTED_VALUE"""),"Baby Chef")</f>
        <v>Baby Chef</v>
      </c>
      <c r="F9629" s="17" t="str">
        <f>IFERROR(__xludf.DUMMYFUNCTION("""COMPUTED_VALUE"""),"Carrera 45 # 56-07 apto 404 barrio Nicolás de federman  Bogota  Localidad teusaquillo / . / .")</f>
        <v>Carrera 45 # 56-07 apto 404 barrio Nicolás de federman  Bogota  Localidad teusaquillo / . / .</v>
      </c>
      <c r="G9629" s="15" t="str">
        <f>IFERROR(__xludf.DUMMYFUNCTION("""COMPUTED_VALUE"""),"Jennifer yepes cortes")</f>
        <v>Jennifer yepes cortes</v>
      </c>
      <c r="H9629" s="16">
        <f>IFERROR(__xludf.DUMMYFUNCTION("""COMPUTED_VALUE"""),18243.0)</f>
        <v>18243</v>
      </c>
      <c r="I9629" s="18">
        <f>IFERROR(__xludf.DUMMYFUNCTION("""COMPUTED_VALUE"""),13.0)</f>
        <v>13</v>
      </c>
      <c r="J9629" s="18">
        <f>IFERROR(__xludf.DUMMYFUNCTION("""COMPUTED_VALUE"""),22.0)</f>
        <v>22</v>
      </c>
      <c r="K9629" s="18">
        <f>IFERROR(__xludf.DUMMYFUNCTION("""COMPUTED_VALUE"""),32.0)</f>
        <v>32</v>
      </c>
      <c r="L9629" s="17">
        <f>IFERROR(__xludf.DUMMYFUNCTION("""COMPUTED_VALUE"""),3.043771585E9)</f>
        <v>3043771585</v>
      </c>
      <c r="M9629" s="17"/>
      <c r="N9629" s="17"/>
      <c r="O9629" s="17"/>
      <c r="P9629" s="17" t="b">
        <f>IFERROR(__xludf.DUMMYFUNCTION("""COMPUTED_VALUE"""),FALSE)</f>
        <v>0</v>
      </c>
      <c r="Q9629" s="20" t="str">
        <f>IFERROR(__xludf.DUMMYFUNCTION("""COMPUTED_VALUE"""),"")</f>
        <v/>
      </c>
      <c r="R9629" s="21" t="str">
        <f>IFERROR(__xludf.DUMMYFUNCTION("""COMPUTED_VALUE"""),"https://drive.google.com/file/d/1XHnk7szU1GQIk17tn0hAGGemo6k0lbmv/view?usp=drivesdk")</f>
        <v>https://drive.google.com/file/d/1XHnk7szU1GQIk17tn0hAGGemo6k0lbmv/view?usp=drivesdk</v>
      </c>
    </row>
    <row r="9630">
      <c r="A9630" s="15">
        <f>IFERROR(__xludf.DUMMYFUNCTION("""COMPUTED_VALUE"""),45273.0)</f>
        <v>45273</v>
      </c>
      <c r="B9630" s="16" t="str">
        <f>IFERROR(__xludf.DUMMYFUNCTION("""COMPUTED_VALUE"""),"JOSE ALFREDO RAMIREZ VERGARA ")</f>
        <v>JOSE ALFREDO RAMIREZ VERGARA </v>
      </c>
      <c r="C9630" s="15" t="str">
        <f>IFERROR(__xludf.DUMMYFUNCTION("""COMPUTED_VALUE"""),"BOGOTÁ")</f>
        <v>BOGOTÁ</v>
      </c>
      <c r="D9630" s="15" t="str">
        <f>IFERROR(__xludf.DUMMYFUNCTION("""COMPUTED_VALUE"""),"MEDELLÍN")</f>
        <v>MEDELLÍN</v>
      </c>
      <c r="E9630" s="15" t="str">
        <f>IFERROR(__xludf.DUMMYFUNCTION("""COMPUTED_VALUE"""),"Baby Chef")</f>
        <v>Baby Chef</v>
      </c>
      <c r="F9630" s="17" t="str">
        <f>IFERROR(__xludf.DUMMYFUNCTION("""COMPUTED_VALUE"""),"Cra 118 86 20 Conjunto los almendros Int 30 apto 103 / . / .")</f>
        <v>Cra 118 86 20 Conjunto los almendros Int 30 apto 103 / . / .</v>
      </c>
      <c r="G9630" s="15" t="str">
        <f>IFERROR(__xludf.DUMMYFUNCTION("""COMPUTED_VALUE"""),"Shirley Roldán")</f>
        <v>Shirley Roldán</v>
      </c>
      <c r="H9630" s="16">
        <f>IFERROR(__xludf.DUMMYFUNCTION("""COMPUTED_VALUE"""),18246.0)</f>
        <v>18246</v>
      </c>
      <c r="I9630" s="18">
        <f>IFERROR(__xludf.DUMMYFUNCTION("""COMPUTED_VALUE"""),12.0)</f>
        <v>12</v>
      </c>
      <c r="J9630" s="18">
        <f>IFERROR(__xludf.DUMMYFUNCTION("""COMPUTED_VALUE"""),20.0)</f>
        <v>20</v>
      </c>
      <c r="K9630" s="18">
        <f>IFERROR(__xludf.DUMMYFUNCTION("""COMPUTED_VALUE"""),34.0)</f>
        <v>34</v>
      </c>
      <c r="L9630" s="17">
        <f>IFERROR(__xludf.DUMMYFUNCTION("""COMPUTED_VALUE"""),3.016725674E9)</f>
        <v>3016725674</v>
      </c>
      <c r="M9630" s="17"/>
      <c r="N9630" s="17"/>
      <c r="O9630" s="17"/>
      <c r="P9630" s="17" t="b">
        <f>IFERROR(__xludf.DUMMYFUNCTION("""COMPUTED_VALUE"""),FALSE)</f>
        <v>0</v>
      </c>
      <c r="Q9630" s="20" t="str">
        <f>IFERROR(__xludf.DUMMYFUNCTION("""COMPUTED_VALUE"""),"")</f>
        <v/>
      </c>
      <c r="R9630" s="21" t="str">
        <f>IFERROR(__xludf.DUMMYFUNCTION("""COMPUTED_VALUE"""),"https://drive.google.com/file/d/1zlRH0hed8sjfLxY15Vo9c46xHiicpQN1/view?usp=drivesdk")</f>
        <v>https://drive.google.com/file/d/1zlRH0hed8sjfLxY15Vo9c46xHiicpQN1/view?usp=drivesdk</v>
      </c>
    </row>
    <row r="9631">
      <c r="A9631" s="15">
        <f>IFERROR(__xludf.DUMMYFUNCTION("""COMPUTED_VALUE"""),45273.0)</f>
        <v>45273</v>
      </c>
      <c r="B9631" s="16" t="str">
        <f>IFERROR(__xludf.DUMMYFUNCTION("""COMPUTED_VALUE"""),"JOSE ALFREDO RAMIREZ VERGARA ")</f>
        <v>JOSE ALFREDO RAMIREZ VERGARA </v>
      </c>
      <c r="C9631" s="15" t="str">
        <f>IFERROR(__xludf.DUMMYFUNCTION("""COMPUTED_VALUE"""),"BOGOTÁ")</f>
        <v>BOGOTÁ</v>
      </c>
      <c r="D9631" s="15" t="str">
        <f>IFERROR(__xludf.DUMMYFUNCTION("""COMPUTED_VALUE"""),"MEDELLÍN")</f>
        <v>MEDELLÍN</v>
      </c>
      <c r="E9631" s="15" t="str">
        <f>IFERROR(__xludf.DUMMYFUNCTION("""COMPUTED_VALUE"""),"Carnicos Fricar")</f>
        <v>Carnicos Fricar</v>
      </c>
      <c r="F9631" s="17" t="str">
        <f>IFERROR(__xludf.DUMMYFUNCTION("""COMPUTED_VALUE"""),"Calle 77B # 129 - 70 BQ 2  / BQ 2 Apto 903 Ciudadela Parque Central de Occidente 1 / Gran granada localidad Engativa")</f>
        <v>Calle 77B # 129 - 70 BQ 2  / BQ 2 Apto 903 Ciudadela Parque Central de Occidente 1 / Gran granada localidad Engativa</v>
      </c>
      <c r="G9631" s="15" t="str">
        <f>IFERROR(__xludf.DUMMYFUNCTION("""COMPUTED_VALUE"""),"Cesar Landa")</f>
        <v>Cesar Landa</v>
      </c>
      <c r="H9631" s="16">
        <f>IFERROR(__xludf.DUMMYFUNCTION("""COMPUTED_VALUE"""),18161.0)</f>
        <v>18161</v>
      </c>
      <c r="I9631" s="18">
        <f>IFERROR(__xludf.DUMMYFUNCTION("""COMPUTED_VALUE"""),35.0)</f>
        <v>35</v>
      </c>
      <c r="J9631" s="18">
        <f>IFERROR(__xludf.DUMMYFUNCTION("""COMPUTED_VALUE"""),40.0)</f>
        <v>40</v>
      </c>
      <c r="K9631" s="18">
        <f>IFERROR(__xludf.DUMMYFUNCTION("""COMPUTED_VALUE"""),50.0)</f>
        <v>50</v>
      </c>
      <c r="L9631" s="17">
        <f>IFERROR(__xludf.DUMMYFUNCTION("""COMPUTED_VALUE"""),3.143424627E9)</f>
        <v>3143424627</v>
      </c>
      <c r="M9631" s="17"/>
      <c r="N9631" s="17"/>
      <c r="O9631" s="17"/>
      <c r="P9631" s="17" t="b">
        <f>IFERROR(__xludf.DUMMYFUNCTION("""COMPUTED_VALUE"""),FALSE)</f>
        <v>0</v>
      </c>
      <c r="Q9631" s="20" t="str">
        <f>IFERROR(__xludf.DUMMYFUNCTION("""COMPUTED_VALUE"""),"")</f>
        <v/>
      </c>
      <c r="R9631" s="21" t="str">
        <f>IFERROR(__xludf.DUMMYFUNCTION("""COMPUTED_VALUE"""),"https://drive.google.com/file/d/1uiwr51y1Ft-_ewJ0Na2yeNRm2ydDjP5K/view?usp=drivesdk")</f>
        <v>https://drive.google.com/file/d/1uiwr51y1Ft-_ewJ0Na2yeNRm2ydDjP5K/view?usp=drivesdk</v>
      </c>
    </row>
    <row r="9632">
      <c r="A9632" s="15">
        <f>IFERROR(__xludf.DUMMYFUNCTION("""COMPUTED_VALUE"""),45273.0)</f>
        <v>45273</v>
      </c>
      <c r="B9632" s="16" t="str">
        <f>IFERROR(__xludf.DUMMYFUNCTION("""COMPUTED_VALUE"""),"JOSE ALFREDO RAMIREZ VERGARA ")</f>
        <v>JOSE ALFREDO RAMIREZ VERGARA </v>
      </c>
      <c r="C9632" s="15" t="str">
        <f>IFERROR(__xludf.DUMMYFUNCTION("""COMPUTED_VALUE"""),"BOGOTÁ")</f>
        <v>BOGOTÁ</v>
      </c>
      <c r="D9632" s="15" t="str">
        <f>IFERROR(__xludf.DUMMYFUNCTION("""COMPUTED_VALUE"""),"MEDELLÍN")</f>
        <v>MEDELLÍN</v>
      </c>
      <c r="E9632" s="15" t="str">
        <f>IFERROR(__xludf.DUMMYFUNCTION("""COMPUTED_VALUE"""),"El Molde")</f>
        <v>El Molde</v>
      </c>
      <c r="F9632" s="17" t="str">
        <f>IFERROR(__xludf.DUMMYFUNCTION("""COMPUTED_VALUE"""),"Calle 22d #72-41 / Apto 1402")</f>
        <v>Calle 22d #72-41 / Apto 1402</v>
      </c>
      <c r="G9632" s="15" t="str">
        <f>IFERROR(__xludf.DUMMYFUNCTION("""COMPUTED_VALUE"""),"Sabrina Salim")</f>
        <v>Sabrina Salim</v>
      </c>
      <c r="H9632" s="16">
        <f>IFERROR(__xludf.DUMMYFUNCTION("""COMPUTED_VALUE"""),18215.0)</f>
        <v>18215</v>
      </c>
      <c r="I9632" s="17"/>
      <c r="J9632" s="17"/>
      <c r="K9632" s="17"/>
      <c r="L9632" s="17">
        <f>IFERROR(__xludf.DUMMYFUNCTION("""COMPUTED_VALUE"""),3.11206255E9)</f>
        <v>3112062550</v>
      </c>
      <c r="M9632" s="17"/>
      <c r="N9632" s="17"/>
      <c r="O9632" s="17"/>
      <c r="P9632" s="17" t="b">
        <f>IFERROR(__xludf.DUMMYFUNCTION("""COMPUTED_VALUE"""),FALSE)</f>
        <v>0</v>
      </c>
      <c r="Q9632" s="20" t="str">
        <f>IFERROR(__xludf.DUMMYFUNCTION("""COMPUTED_VALUE"""),"")</f>
        <v/>
      </c>
      <c r="R9632" s="21" t="str">
        <f>IFERROR(__xludf.DUMMYFUNCTION("""COMPUTED_VALUE"""),"https://drive.google.com/file/d/1lvMcKVfIa1j72jdZbkqJ7Ci-M7u_jrQu/view?usp=drivesdk")</f>
        <v>https://drive.google.com/file/d/1lvMcKVfIa1j72jdZbkqJ7Ci-M7u_jrQu/view?usp=drivesdk</v>
      </c>
    </row>
    <row r="9633">
      <c r="A9633" s="15">
        <f>IFERROR(__xludf.DUMMYFUNCTION("""COMPUTED_VALUE"""),45273.0)</f>
        <v>45273</v>
      </c>
      <c r="B9633" s="16" t="str">
        <f>IFERROR(__xludf.DUMMYFUNCTION("""COMPUTED_VALUE"""),"JOSE ALFREDO RAMIREZ VERGARA ")</f>
        <v>JOSE ALFREDO RAMIREZ VERGARA </v>
      </c>
      <c r="C9633" s="15" t="str">
        <f>IFERROR(__xludf.DUMMYFUNCTION("""COMPUTED_VALUE"""),"BOGOTÁ")</f>
        <v>BOGOTÁ</v>
      </c>
      <c r="D9633" s="15" t="str">
        <f>IFERROR(__xludf.DUMMYFUNCTION("""COMPUTED_VALUE"""),"MEDELLÍN")</f>
        <v>MEDELLÍN</v>
      </c>
      <c r="E9633" s="15" t="str">
        <f>IFERROR(__xludf.DUMMYFUNCTION("""COMPUTED_VALUE"""),"Moloso S.A.S")</f>
        <v>Moloso S.A.S</v>
      </c>
      <c r="F9633" s="17" t="str">
        <f>IFERROR(__xludf.DUMMYFUNCTION("""COMPUTED_VALUE"""),"CL 151 13A 50 / INT 3 AP 1102")</f>
        <v>CL 151 13A 50 / INT 3 AP 1102</v>
      </c>
      <c r="G9633" s="15" t="str">
        <f>IFERROR(__xludf.DUMMYFUNCTION("""COMPUTED_VALUE"""),"MARIA XIMENA GUZMAN DEL CASTILLO")</f>
        <v>MARIA XIMENA GUZMAN DEL CASTILLO</v>
      </c>
      <c r="H9633" s="16">
        <f>IFERROR(__xludf.DUMMYFUNCTION("""COMPUTED_VALUE"""),18334.0)</f>
        <v>18334</v>
      </c>
      <c r="I9633" s="17"/>
      <c r="J9633" s="17"/>
      <c r="K9633" s="17"/>
      <c r="L9633" s="17"/>
      <c r="M9633" s="17"/>
      <c r="N9633" s="17"/>
      <c r="O9633" s="17"/>
      <c r="P9633" s="17" t="b">
        <f>IFERROR(__xludf.DUMMYFUNCTION("""COMPUTED_VALUE"""),FALSE)</f>
        <v>0</v>
      </c>
      <c r="Q9633" s="20" t="str">
        <f>IFERROR(__xludf.DUMMYFUNCTION("""COMPUTED_VALUE"""),"")</f>
        <v/>
      </c>
      <c r="R9633" s="21" t="str">
        <f>IFERROR(__xludf.DUMMYFUNCTION("""COMPUTED_VALUE"""),"https://drive.google.com/file/d/11iCadIxLv-XNr4zvYtQLU2ussGqcmHAx/view?usp=drivesdk")</f>
        <v>https://drive.google.com/file/d/11iCadIxLv-XNr4zvYtQLU2ussGqcmHAx/view?usp=drivesdk</v>
      </c>
    </row>
    <row r="9634">
      <c r="A9634" s="15">
        <f>IFERROR(__xludf.DUMMYFUNCTION("""COMPUTED_VALUE"""),45273.0)</f>
        <v>45273</v>
      </c>
      <c r="B9634" s="16" t="str">
        <f>IFERROR(__xludf.DUMMYFUNCTION("""COMPUTED_VALUE"""),"JOSE ALFREDO RAMIREZ VERGARA ")</f>
        <v>JOSE ALFREDO RAMIREZ VERGARA </v>
      </c>
      <c r="C9634" s="15" t="str">
        <f>IFERROR(__xludf.DUMMYFUNCTION("""COMPUTED_VALUE"""),"BOGOTÁ")</f>
        <v>BOGOTÁ</v>
      </c>
      <c r="D9634" s="15" t="str">
        <f>IFERROR(__xludf.DUMMYFUNCTION("""COMPUTED_VALUE"""),"MEDELLÍN")</f>
        <v>MEDELLÍN</v>
      </c>
      <c r="E9634" s="15" t="str">
        <f>IFERROR(__xludf.DUMMYFUNCTION("""COMPUTED_VALUE"""),"Moloso S.A.S")</f>
        <v>Moloso S.A.S</v>
      </c>
      <c r="F9634" s="17" t="str">
        <f>IFERROR(__xludf.DUMMYFUNCTION("""COMPUTED_VALUE"""),"CR 14B 161 49 / ED  TRINITARIOS  AP 103")</f>
        <v>CR 14B 161 49 / ED  TRINITARIOS  AP 103</v>
      </c>
      <c r="G9634" s="15" t="str">
        <f>IFERROR(__xludf.DUMMYFUNCTION("""COMPUTED_VALUE"""),"MANUEL LEAL CASTELLANOS")</f>
        <v>MANUEL LEAL CASTELLANOS</v>
      </c>
      <c r="H9634" s="16">
        <f>IFERROR(__xludf.DUMMYFUNCTION("""COMPUTED_VALUE"""),18335.0)</f>
        <v>18335</v>
      </c>
      <c r="I9634" s="17"/>
      <c r="J9634" s="17"/>
      <c r="K9634" s="17"/>
      <c r="L9634" s="17"/>
      <c r="M9634" s="17"/>
      <c r="N9634" s="17"/>
      <c r="O9634" s="17"/>
      <c r="P9634" s="17" t="b">
        <f>IFERROR(__xludf.DUMMYFUNCTION("""COMPUTED_VALUE"""),FALSE)</f>
        <v>0</v>
      </c>
      <c r="Q9634" s="20" t="str">
        <f>IFERROR(__xludf.DUMMYFUNCTION("""COMPUTED_VALUE"""),"")</f>
        <v/>
      </c>
      <c r="R9634" s="21" t="str">
        <f>IFERROR(__xludf.DUMMYFUNCTION("""COMPUTED_VALUE"""),"https://drive.google.com/file/d/1kS5fWDTHi3c-ZfS1wEY6i4c6Oo-9uu36/view?usp=drivesdk")</f>
        <v>https://drive.google.com/file/d/1kS5fWDTHi3c-ZfS1wEY6i4c6Oo-9uu36/view?usp=drivesdk</v>
      </c>
    </row>
    <row r="9635">
      <c r="A9635" s="15">
        <f>IFERROR(__xludf.DUMMYFUNCTION("""COMPUTED_VALUE"""),45273.0)</f>
        <v>45273</v>
      </c>
      <c r="B9635" s="16" t="str">
        <f>IFERROR(__xludf.DUMMYFUNCTION("""COMPUTED_VALUE"""),"JOSE ALFREDO RAMIREZ VERGARA ")</f>
        <v>JOSE ALFREDO RAMIREZ VERGARA </v>
      </c>
      <c r="C9635" s="15" t="str">
        <f>IFERROR(__xludf.DUMMYFUNCTION("""COMPUTED_VALUE"""),"BOGOTÁ")</f>
        <v>BOGOTÁ</v>
      </c>
      <c r="D9635" s="15" t="str">
        <f>IFERROR(__xludf.DUMMYFUNCTION("""COMPUTED_VALUE"""),"MEDELLÍN")</f>
        <v>MEDELLÍN</v>
      </c>
      <c r="E9635" s="15" t="str">
        <f>IFERROR(__xludf.DUMMYFUNCTION("""COMPUTED_VALUE"""),"Moloso S.A.S")</f>
        <v>Moloso S.A.S</v>
      </c>
      <c r="F9635" s="17" t="str">
        <f>IFERROR(__xludf.DUMMYFUNCTION("""COMPUTED_VALUE"""),"CR 55 149 09 / CONJUNTO MONTECARLO 3 CA 16")</f>
        <v>CR 55 149 09 / CONJUNTO MONTECARLO 3 CA 16</v>
      </c>
      <c r="G9635" s="15" t="str">
        <f>IFERROR(__xludf.DUMMYFUNCTION("""COMPUTED_VALUE"""),"CLAUDIA ADRIANA GARCÍA FINO")</f>
        <v>CLAUDIA ADRIANA GARCÍA FINO</v>
      </c>
      <c r="H9635" s="16">
        <f>IFERROR(__xludf.DUMMYFUNCTION("""COMPUTED_VALUE"""),18327.0)</f>
        <v>18327</v>
      </c>
      <c r="I9635" s="17"/>
      <c r="J9635" s="17"/>
      <c r="K9635" s="17"/>
      <c r="L9635" s="17"/>
      <c r="M9635" s="17"/>
      <c r="N9635" s="17"/>
      <c r="O9635" s="17"/>
      <c r="P9635" s="17" t="b">
        <f>IFERROR(__xludf.DUMMYFUNCTION("""COMPUTED_VALUE"""),FALSE)</f>
        <v>0</v>
      </c>
      <c r="Q9635" s="20" t="str">
        <f>IFERROR(__xludf.DUMMYFUNCTION("""COMPUTED_VALUE"""),"")</f>
        <v/>
      </c>
      <c r="R9635" s="21" t="str">
        <f>IFERROR(__xludf.DUMMYFUNCTION("""COMPUTED_VALUE"""),"https://drive.google.com/file/d/1tpUlA4Kl83WWrbfOzd3Tpu6iEj1d_npS/view?usp=drivesdk")</f>
        <v>https://drive.google.com/file/d/1tpUlA4Kl83WWrbfOzd3Tpu6iEj1d_npS/view?usp=drivesdk</v>
      </c>
    </row>
    <row r="9636">
      <c r="A9636" s="15">
        <f>IFERROR(__xludf.DUMMYFUNCTION("""COMPUTED_VALUE"""),45273.0)</f>
        <v>45273</v>
      </c>
      <c r="B9636" s="16" t="str">
        <f>IFERROR(__xludf.DUMMYFUNCTION("""COMPUTED_VALUE"""),"JOSE ALFREDO RAMIREZ VERGARA ")</f>
        <v>JOSE ALFREDO RAMIREZ VERGARA </v>
      </c>
      <c r="C9636" s="15" t="str">
        <f>IFERROR(__xludf.DUMMYFUNCTION("""COMPUTED_VALUE"""),"BOGOTÁ")</f>
        <v>BOGOTÁ</v>
      </c>
      <c r="D9636" s="15" t="str">
        <f>IFERROR(__xludf.DUMMYFUNCTION("""COMPUTED_VALUE"""),"MEDELLÍN")</f>
        <v>MEDELLÍN</v>
      </c>
      <c r="E9636" s="15" t="str">
        <f>IFERROR(__xludf.DUMMYFUNCTION("""COMPUTED_VALUE"""),"Orobroy")</f>
        <v>Orobroy</v>
      </c>
      <c r="F9636" s="17" t="str">
        <f>IFERROR(__xludf.DUMMYFUNCTION("""COMPUTED_VALUE"""),"Call 24a n 56 35 in 4 apto 707 / Salitre")</f>
        <v>Call 24a n 56 35 in 4 apto 707 / Salitre</v>
      </c>
      <c r="G9636" s="15" t="str">
        <f>IFERROR(__xludf.DUMMYFUNCTION("""COMPUTED_VALUE"""),"JYM SERVICIOS LOGISTICOS")</f>
        <v>JYM SERVICIOS LOGISTICOS</v>
      </c>
      <c r="H9636" s="16">
        <f>IFERROR(__xludf.DUMMYFUNCTION("""COMPUTED_VALUE"""),18188.0)</f>
        <v>18188</v>
      </c>
      <c r="I9636" s="17"/>
      <c r="J9636" s="17"/>
      <c r="K9636" s="17"/>
      <c r="L9636" s="17">
        <f>IFERROR(__xludf.DUMMYFUNCTION("""COMPUTED_VALUE"""),3.152546862E9)</f>
        <v>3152546862</v>
      </c>
      <c r="M9636" s="17"/>
      <c r="N9636" s="17"/>
      <c r="O9636" s="17"/>
      <c r="P9636" s="17" t="b">
        <f>IFERROR(__xludf.DUMMYFUNCTION("""COMPUTED_VALUE"""),FALSE)</f>
        <v>0</v>
      </c>
      <c r="Q9636" s="20" t="str">
        <f>IFERROR(__xludf.DUMMYFUNCTION("""COMPUTED_VALUE"""),"")</f>
        <v/>
      </c>
      <c r="R9636" s="22" t="str">
        <f>IFERROR(__xludf.DUMMYFUNCTION("""COMPUTED_VALUE"""),"")</f>
        <v/>
      </c>
    </row>
    <row r="9637">
      <c r="A9637" s="17" t="str">
        <f>IFERROR(__xludf.DUMMYFUNCTION("""COMPUTED_VALUE"""),"")</f>
        <v/>
      </c>
      <c r="B9637" s="17" t="str">
        <f>IFERROR(__xludf.DUMMYFUNCTION("""COMPUTED_VALUE"""),"")</f>
        <v/>
      </c>
      <c r="C9637" s="17" t="str">
        <f>IFERROR(__xludf.DUMMYFUNCTION("""COMPUTED_VALUE"""),"")</f>
        <v/>
      </c>
      <c r="D9637" s="17" t="str">
        <f>IFERROR(__xludf.DUMMYFUNCTION("""COMPUTED_VALUE"""),"")</f>
        <v/>
      </c>
      <c r="E9637" s="17" t="str">
        <f>IFERROR(__xludf.DUMMYFUNCTION("""COMPUTED_VALUE"""),"")</f>
        <v/>
      </c>
      <c r="F9637" s="17" t="str">
        <f>IFERROR(__xludf.DUMMYFUNCTION("""COMPUTED_VALUE"""),"")</f>
        <v/>
      </c>
      <c r="G9637" s="17" t="str">
        <f>IFERROR(__xludf.DUMMYFUNCTION("""COMPUTED_VALUE"""),"")</f>
        <v/>
      </c>
      <c r="H9637" s="17" t="str">
        <f>IFERROR(__xludf.DUMMYFUNCTION("""COMPUTED_VALUE"""),"")</f>
        <v/>
      </c>
      <c r="I9637" s="17" t="str">
        <f>IFERROR(__xludf.DUMMYFUNCTION("""COMPUTED_VALUE"""),"")</f>
        <v/>
      </c>
      <c r="J9637" s="17" t="str">
        <f>IFERROR(__xludf.DUMMYFUNCTION("""COMPUTED_VALUE"""),"")</f>
        <v/>
      </c>
      <c r="K9637" s="17" t="str">
        <f>IFERROR(__xludf.DUMMYFUNCTION("""COMPUTED_VALUE"""),"")</f>
        <v/>
      </c>
      <c r="L9637" s="17" t="str">
        <f>IFERROR(__xludf.DUMMYFUNCTION("""COMPUTED_VALUE"""),"")</f>
        <v/>
      </c>
      <c r="M9637" s="17" t="str">
        <f>IFERROR(__xludf.DUMMYFUNCTION("""COMPUTED_VALUE"""),"")</f>
        <v/>
      </c>
      <c r="N9637" s="17" t="str">
        <f>IFERROR(__xludf.DUMMYFUNCTION("""COMPUTED_VALUE"""),"")</f>
        <v/>
      </c>
      <c r="O9637" s="17" t="str">
        <f>IFERROR(__xludf.DUMMYFUNCTION("""COMPUTED_VALUE"""),"")</f>
        <v/>
      </c>
      <c r="P9637" s="17" t="str">
        <f>IFERROR(__xludf.DUMMYFUNCTION("""COMPUTED_VALUE"""),"")</f>
        <v/>
      </c>
      <c r="Q9637" s="17" t="str">
        <f>IFERROR(__xludf.DUMMYFUNCTION("""COMPUTED_VALUE"""),"")</f>
        <v/>
      </c>
      <c r="R9637" s="17" t="str">
        <f>IFERROR(__xludf.DUMMYFUNCTION("""COMPUTED_VALUE"""),"")</f>
        <v/>
      </c>
    </row>
    <row r="9638">
      <c r="A9638" s="15">
        <f>IFERROR(__xludf.DUMMYFUNCTION("""COMPUTED_VALUE"""),45274.0)</f>
        <v>45274</v>
      </c>
      <c r="B9638" s="16" t="str">
        <f>IFERROR(__xludf.DUMMYFUNCTION("""COMPUTED_VALUE"""),"David Sanmartin Bello")</f>
        <v>David Sanmartin Bello</v>
      </c>
      <c r="C9638" s="15" t="str">
        <f>IFERROR(__xludf.DUMMYFUNCTION("""COMPUTED_VALUE"""),"CARTAGENA")</f>
        <v>CARTAGENA</v>
      </c>
      <c r="D9638" s="15" t="str">
        <f>IFERROR(__xludf.DUMMYFUNCTION("""COMPUTED_VALUE"""),"BOGOTÁ")</f>
        <v>BOGOTÁ</v>
      </c>
      <c r="E9638" s="15" t="str">
        <f>IFERROR(__xludf.DUMMYFUNCTION("""COMPUTED_VALUE"""),"Hiiva Fermentados SAS")</f>
        <v>Hiiva Fermentados SAS</v>
      </c>
      <c r="F9638" s="17" t="str">
        <f>IFERROR(__xludf.DUMMYFUNCTION("""COMPUTED_VALUE"""),"Carrera 2 #9-161 / Salute Mercado Angélica Amaris")</f>
        <v>Carrera 2 #9-161 / Salute Mercado Angélica Amaris</v>
      </c>
      <c r="G9638" s="15" t="str">
        <f>IFERROR(__xludf.DUMMYFUNCTION("""COMPUTED_VALUE"""),"Cartagena - Salute")</f>
        <v>Cartagena - Salute</v>
      </c>
      <c r="H9638" s="16">
        <f>IFERROR(__xludf.DUMMYFUNCTION("""COMPUTED_VALUE"""),18367.0)</f>
        <v>18367</v>
      </c>
      <c r="I9638" s="17"/>
      <c r="J9638" s="17"/>
      <c r="K9638" s="17"/>
      <c r="L9638" s="17"/>
      <c r="M9638" s="17"/>
      <c r="N9638" s="17"/>
      <c r="O9638" s="17"/>
      <c r="P9638" s="17" t="b">
        <f>IFERROR(__xludf.DUMMYFUNCTION("""COMPUTED_VALUE"""),FALSE)</f>
        <v>0</v>
      </c>
      <c r="Q9638" s="20" t="str">
        <f>IFERROR(__xludf.DUMMYFUNCTION("""COMPUTED_VALUE"""),"")</f>
        <v/>
      </c>
      <c r="R9638" s="21" t="str">
        <f>IFERROR(__xludf.DUMMYFUNCTION("""COMPUTED_VALUE"""),"https://drive.google.com/file/d/1GWDZORefSw5jHlptDrQyROaut6G9iIH5/view?usp=drivesdk")</f>
        <v>https://drive.google.com/file/d/1GWDZORefSw5jHlptDrQyROaut6G9iIH5/view?usp=drivesdk</v>
      </c>
    </row>
    <row r="9639">
      <c r="A9639" s="15">
        <f>IFERROR(__xludf.DUMMYFUNCTION("""COMPUTED_VALUE"""),45274.0)</f>
        <v>45274</v>
      </c>
      <c r="B9639" s="16" t="str">
        <f>IFERROR(__xludf.DUMMYFUNCTION("""COMPUTED_VALUE"""),"David Sanmartin Bello")</f>
        <v>David Sanmartin Bello</v>
      </c>
      <c r="C9639" s="15" t="str">
        <f>IFERROR(__xludf.DUMMYFUNCTION("""COMPUTED_VALUE"""),"CARTAGENA")</f>
        <v>CARTAGENA</v>
      </c>
      <c r="D9639" s="15" t="str">
        <f>IFERROR(__xludf.DUMMYFUNCTION("""COMPUTED_VALUE"""),"BOGOTÁ")</f>
        <v>BOGOTÁ</v>
      </c>
      <c r="E9639" s="15" t="str">
        <f>IFERROR(__xludf.DUMMYFUNCTION("""COMPUTED_VALUE"""),"Karem foods")</f>
        <v>Karem foods</v>
      </c>
      <c r="F9639" s="17" t="str">
        <f>IFERROR(__xludf.DUMMYFUNCTION("""COMPUTED_VALUE"""),"Calle 6 # 4 20 CC la estacion local 1 barrio castillo grande, / - / -")</f>
        <v>Calle 6 # 4 20 CC la estacion local 1 barrio castillo grande, / - / -</v>
      </c>
      <c r="G9639" s="15" t="str">
        <f>IFERROR(__xludf.DUMMYFUNCTION("""COMPUTED_VALUE"""),"Cocofit")</f>
        <v>Cocofit</v>
      </c>
      <c r="H9639" s="16">
        <f>IFERROR(__xludf.DUMMYFUNCTION("""COMPUTED_VALUE"""),18409.0)</f>
        <v>18409</v>
      </c>
      <c r="I9639" s="18">
        <f>IFERROR(__xludf.DUMMYFUNCTION("""COMPUTED_VALUE"""),32.0)</f>
        <v>32</v>
      </c>
      <c r="J9639" s="18">
        <f>IFERROR(__xludf.DUMMYFUNCTION("""COMPUTED_VALUE"""),30.0)</f>
        <v>30</v>
      </c>
      <c r="K9639" s="18">
        <f>IFERROR(__xludf.DUMMYFUNCTION("""COMPUTED_VALUE"""),20.0)</f>
        <v>20</v>
      </c>
      <c r="L9639" s="17">
        <f>IFERROR(__xludf.DUMMYFUNCTION("""COMPUTED_VALUE"""),3.105318059E9)</f>
        <v>3105318059</v>
      </c>
      <c r="M9639" s="17"/>
      <c r="N9639" s="17"/>
      <c r="O9639" s="17"/>
      <c r="P9639" s="17" t="b">
        <f>IFERROR(__xludf.DUMMYFUNCTION("""COMPUTED_VALUE"""),FALSE)</f>
        <v>0</v>
      </c>
      <c r="Q9639" s="20" t="str">
        <f>IFERROR(__xludf.DUMMYFUNCTION("""COMPUTED_VALUE"""),"")</f>
        <v/>
      </c>
      <c r="R9639" s="21" t="str">
        <f>IFERROR(__xludf.DUMMYFUNCTION("""COMPUTED_VALUE"""),"https://drive.google.com/file/d/1uGIKAt8yF2_qN8aSs7LujAKS2BcXy8kw/view?usp=drivesdk")</f>
        <v>https://drive.google.com/file/d/1uGIKAt8yF2_qN8aSs7LujAKS2BcXy8kw/view?usp=drivesdk</v>
      </c>
    </row>
    <row r="9640">
      <c r="A9640" s="15">
        <f>IFERROR(__xludf.DUMMYFUNCTION("""COMPUTED_VALUE"""),45274.0)</f>
        <v>45274</v>
      </c>
      <c r="B9640" s="16" t="str">
        <f>IFERROR(__xludf.DUMMYFUNCTION("""COMPUTED_VALUE"""),"David Sanmartin Bello")</f>
        <v>David Sanmartin Bello</v>
      </c>
      <c r="C9640" s="15" t="str">
        <f>IFERROR(__xludf.DUMMYFUNCTION("""COMPUTED_VALUE"""),"CARTAGENA")</f>
        <v>CARTAGENA</v>
      </c>
      <c r="D9640" s="15" t="str">
        <f>IFERROR(__xludf.DUMMYFUNCTION("""COMPUTED_VALUE"""),"BOGOTÁ")</f>
        <v>BOGOTÁ</v>
      </c>
      <c r="E9640" s="15" t="str">
        <f>IFERROR(__xludf.DUMMYFUNCTION("""COMPUTED_VALUE"""),"LINA PAOLA RAMIREZ GOMEZ - EVA MAZZITA")</f>
        <v>LINA PAOLA RAMIREZ GOMEZ - EVA MAZZITA</v>
      </c>
      <c r="F9640" s="17" t="str">
        <f>IFERROR(__xludf.DUMMYFUNCTION("""COMPUTED_VALUE"""),"Calle 68 N 15 73 / Segundo Piso/ Referencia entrando por el parque de Daniel Lemaitre")</f>
        <v>Calle 68 N 15 73 / Segundo Piso/ Referencia entrando por el parque de Daniel Lemaitre</v>
      </c>
      <c r="G9640" s="15" t="str">
        <f>IFERROR(__xludf.DUMMYFUNCTION("""COMPUTED_VALUE"""),"KATERIN ALIES ALVAREZ")</f>
        <v>KATERIN ALIES ALVAREZ</v>
      </c>
      <c r="H9640" s="16">
        <f>IFERROR(__xludf.DUMMYFUNCTION("""COMPUTED_VALUE"""),18255.0)</f>
        <v>18255</v>
      </c>
      <c r="I9640" s="17"/>
      <c r="J9640" s="17"/>
      <c r="K9640" s="17"/>
      <c r="L9640" s="17">
        <f>IFERROR(__xludf.DUMMYFUNCTION("""COMPUTED_VALUE"""),3.157537911E9)</f>
        <v>3157537911</v>
      </c>
      <c r="M9640" s="17"/>
      <c r="N9640" s="17"/>
      <c r="O9640" s="17"/>
      <c r="P9640" s="17" t="b">
        <f>IFERROR(__xludf.DUMMYFUNCTION("""COMPUTED_VALUE"""),FALSE)</f>
        <v>0</v>
      </c>
      <c r="Q9640" s="20" t="str">
        <f>IFERROR(__xludf.DUMMYFUNCTION("""COMPUTED_VALUE"""),"")</f>
        <v/>
      </c>
      <c r="R9640" s="21" t="str">
        <f>IFERROR(__xludf.DUMMYFUNCTION("""COMPUTED_VALUE"""),"https://drive.google.com/file/d/1BELguQiTiV-1nYdENLpFaNi3XncxIl9Z/view?usp=drivesdk")</f>
        <v>https://drive.google.com/file/d/1BELguQiTiV-1nYdENLpFaNi3XncxIl9Z/view?usp=drivesdk</v>
      </c>
    </row>
    <row r="9641">
      <c r="A9641" s="15">
        <f>IFERROR(__xludf.DUMMYFUNCTION("""COMPUTED_VALUE"""),45274.0)</f>
        <v>45274</v>
      </c>
      <c r="B9641" s="16" t="str">
        <f>IFERROR(__xludf.DUMMYFUNCTION("""COMPUTED_VALUE"""),"David Sanmartin Bello")</f>
        <v>David Sanmartin Bello</v>
      </c>
      <c r="C9641" s="15" t="str">
        <f>IFERROR(__xludf.DUMMYFUNCTION("""COMPUTED_VALUE"""),"CARTAGENA")</f>
        <v>CARTAGENA</v>
      </c>
      <c r="D9641" s="15" t="str">
        <f>IFERROR(__xludf.DUMMYFUNCTION("""COMPUTED_VALUE"""),"BOGOTÁ")</f>
        <v>BOGOTÁ</v>
      </c>
      <c r="E9641" s="15" t="str">
        <f>IFERROR(__xludf.DUMMYFUNCTION("""COMPUTED_VALUE"""),"LINA PAOLA RAMIREZ GOMEZ - EVA MAZZITA")</f>
        <v>LINA PAOLA RAMIREZ GOMEZ - EVA MAZZITA</v>
      </c>
      <c r="F9641" s="17" t="str">
        <f>IFERROR(__xludf.DUMMYFUNCTION("""COMPUTED_VALUE"""),"Carrera 21 #28-83 / edificio la isla - apartamento 301")</f>
        <v>Carrera 21 #28-83 / edificio la isla - apartamento 301</v>
      </c>
      <c r="G9641" s="15" t="str">
        <f>IFERROR(__xludf.DUMMYFUNCTION("""COMPUTED_VALUE"""),"ALISON PEÑALOZA")</f>
        <v>ALISON PEÑALOZA</v>
      </c>
      <c r="H9641" s="16">
        <f>IFERROR(__xludf.DUMMYFUNCTION("""COMPUTED_VALUE"""),18254.0)</f>
        <v>18254</v>
      </c>
      <c r="I9641" s="17"/>
      <c r="J9641" s="17"/>
      <c r="K9641" s="17"/>
      <c r="L9641" s="17">
        <f>IFERROR(__xludf.DUMMYFUNCTION("""COMPUTED_VALUE"""),3.105853274E9)</f>
        <v>3105853274</v>
      </c>
      <c r="M9641" s="17"/>
      <c r="N9641" s="17"/>
      <c r="O9641" s="17"/>
      <c r="P9641" s="17" t="b">
        <f>IFERROR(__xludf.DUMMYFUNCTION("""COMPUTED_VALUE"""),FALSE)</f>
        <v>0</v>
      </c>
      <c r="Q9641" s="20" t="str">
        <f>IFERROR(__xludf.DUMMYFUNCTION("""COMPUTED_VALUE"""),"")</f>
        <v/>
      </c>
      <c r="R9641" s="21" t="str">
        <f>IFERROR(__xludf.DUMMYFUNCTION("""COMPUTED_VALUE"""),"https://drive.google.com/file/d/1d0YXcELE4tc6xWjKdLR6JdRiXU8m6LaO/view?usp=drivesdk")</f>
        <v>https://drive.google.com/file/d/1d0YXcELE4tc6xWjKdLR6JdRiXU8m6LaO/view?usp=drivesdk</v>
      </c>
    </row>
    <row r="9642">
      <c r="A9642" s="15">
        <f>IFERROR(__xludf.DUMMYFUNCTION("""COMPUTED_VALUE"""),45274.0)</f>
        <v>45274</v>
      </c>
      <c r="B9642" s="16" t="str">
        <f>IFERROR(__xludf.DUMMYFUNCTION("""COMPUTED_VALUE"""),"David Sanmartin Bello")</f>
        <v>David Sanmartin Bello</v>
      </c>
      <c r="C9642" s="15" t="str">
        <f>IFERROR(__xludf.DUMMYFUNCTION("""COMPUTED_VALUE"""),"CARTAGENA")</f>
        <v>CARTAGENA</v>
      </c>
      <c r="D9642" s="15" t="str">
        <f>IFERROR(__xludf.DUMMYFUNCTION("""COMPUTED_VALUE"""),"BOGOTÁ")</f>
        <v>BOGOTÁ</v>
      </c>
      <c r="E9642" s="15" t="str">
        <f>IFERROR(__xludf.DUMMYFUNCTION("""COMPUTED_VALUE"""),"LINA PAOLA RAMIREZ GOMEZ - EVA MAZZITA")</f>
        <v>LINA PAOLA RAMIREZ GOMEZ - EVA MAZZITA</v>
      </c>
      <c r="F9642" s="17" t="str">
        <f>IFERROR(__xludf.DUMMYFUNCTION("""COMPUTED_VALUE"""),"Etapa 7 Mz52 Lt 3 Nuevo Bosque / Etapa 7 Mz52 Lt 3 Nuevo Bosque")</f>
        <v>Etapa 7 Mz52 Lt 3 Nuevo Bosque / Etapa 7 Mz52 Lt 3 Nuevo Bosque</v>
      </c>
      <c r="G9642" s="15" t="str">
        <f>IFERROR(__xludf.DUMMYFUNCTION("""COMPUTED_VALUE"""),"DIANA CAROLINA MARSIGLIA LOPEZ")</f>
        <v>DIANA CAROLINA MARSIGLIA LOPEZ</v>
      </c>
      <c r="H9642" s="16">
        <f>IFERROR(__xludf.DUMMYFUNCTION("""COMPUTED_VALUE"""),18253.0)</f>
        <v>18253</v>
      </c>
      <c r="I9642" s="17"/>
      <c r="J9642" s="17"/>
      <c r="K9642" s="17"/>
      <c r="L9642" s="17">
        <f>IFERROR(__xludf.DUMMYFUNCTION("""COMPUTED_VALUE"""),3.012127022E9)</f>
        <v>3012127022</v>
      </c>
      <c r="M9642" s="17"/>
      <c r="N9642" s="17"/>
      <c r="O9642" s="17"/>
      <c r="P9642" s="17" t="b">
        <f>IFERROR(__xludf.DUMMYFUNCTION("""COMPUTED_VALUE"""),FALSE)</f>
        <v>0</v>
      </c>
      <c r="Q9642" s="20" t="str">
        <f>IFERROR(__xludf.DUMMYFUNCTION("""COMPUTED_VALUE"""),"")</f>
        <v/>
      </c>
      <c r="R9642" s="21" t="str">
        <f>IFERROR(__xludf.DUMMYFUNCTION("""COMPUTED_VALUE"""),"https://drive.google.com/file/d/1fMPqJAt9COMNBDII9TSQT_4cUwnKeMRb/view?usp=drivesdk")</f>
        <v>https://drive.google.com/file/d/1fMPqJAt9COMNBDII9TSQT_4cUwnKeMRb/view?usp=drivesdk</v>
      </c>
    </row>
    <row r="9643">
      <c r="A9643" s="15">
        <f>IFERROR(__xludf.DUMMYFUNCTION("""COMPUTED_VALUE"""),45274.0)</f>
        <v>45274</v>
      </c>
      <c r="B9643" s="16" t="str">
        <f>IFERROR(__xludf.DUMMYFUNCTION("""COMPUTED_VALUE"""),"David Sanmartin Bello")</f>
        <v>David Sanmartin Bello</v>
      </c>
      <c r="C9643" s="15" t="str">
        <f>IFERROR(__xludf.DUMMYFUNCTION("""COMPUTED_VALUE"""),"CARTAGENA")</f>
        <v>CARTAGENA</v>
      </c>
      <c r="D9643" s="15" t="str">
        <f>IFERROR(__xludf.DUMMYFUNCTION("""COMPUTED_VALUE"""),"BOGOTÁ")</f>
        <v>BOGOTÁ</v>
      </c>
      <c r="E9643" s="15" t="str">
        <f>IFERROR(__xludf.DUMMYFUNCTION("""COMPUTED_VALUE"""),"MAI ALIMENTOS REALES")</f>
        <v>MAI ALIMENTOS REALES</v>
      </c>
      <c r="F9643" s="17" t="str">
        <f>IFERROR(__xludf.DUMMYFUNCTION("""COMPUTED_VALUE"""),"Carrera 3 A # 31 - 23 / Plaza Santa teresa / Restaurante Harry Sasson")</f>
        <v>Carrera 3 A # 31 - 23 / Plaza Santa teresa / Restaurante Harry Sasson</v>
      </c>
      <c r="G9643" s="15" t="str">
        <f>IFERROR(__xludf.DUMMYFUNCTION("""COMPUTED_VALUE"""),"Hoteles Charleston SAS")</f>
        <v>Hoteles Charleston SAS</v>
      </c>
      <c r="H9643" s="16">
        <f>IFERROR(__xludf.DUMMYFUNCTION("""COMPUTED_VALUE"""),18115.0)</f>
        <v>18115</v>
      </c>
      <c r="I9643" s="17"/>
      <c r="J9643" s="17"/>
      <c r="K9643" s="17"/>
      <c r="L9643" s="17">
        <f>IFERROR(__xludf.DUMMYFUNCTION("""COMPUTED_VALUE"""),3.174374246E9)</f>
        <v>3174374246</v>
      </c>
      <c r="M9643" s="17"/>
      <c r="N9643" s="17"/>
      <c r="O9643" s="17"/>
      <c r="P9643" s="17" t="b">
        <f>IFERROR(__xludf.DUMMYFUNCTION("""COMPUTED_VALUE"""),FALSE)</f>
        <v>0</v>
      </c>
      <c r="Q9643" s="20" t="str">
        <f>IFERROR(__xludf.DUMMYFUNCTION("""COMPUTED_VALUE"""),"")</f>
        <v/>
      </c>
      <c r="R9643" s="21" t="str">
        <f>IFERROR(__xludf.DUMMYFUNCTION("""COMPUTED_VALUE"""),"https://drive.google.com/file/d/1ReJbtr4XRV6owfyBb_A0-tZpt74f2ohu/view?usp=drivesdk")</f>
        <v>https://drive.google.com/file/d/1ReJbtr4XRV6owfyBb_A0-tZpt74f2ohu/view?usp=drivesdk</v>
      </c>
    </row>
    <row r="9644">
      <c r="A9644" s="15">
        <f>IFERROR(__xludf.DUMMYFUNCTION("""COMPUTED_VALUE"""),45274.0)</f>
        <v>45274</v>
      </c>
      <c r="B9644" s="16" t="str">
        <f>IFERROR(__xludf.DUMMYFUNCTION("""COMPUTED_VALUE"""),"David Sanmartin Bello")</f>
        <v>David Sanmartin Bello</v>
      </c>
      <c r="C9644" s="15" t="str">
        <f>IFERROR(__xludf.DUMMYFUNCTION("""COMPUTED_VALUE"""),"CARTAGENA")</f>
        <v>CARTAGENA</v>
      </c>
      <c r="D9644" s="15" t="str">
        <f>IFERROR(__xludf.DUMMYFUNCTION("""COMPUTED_VALUE"""),"BOGOTÁ")</f>
        <v>BOGOTÁ</v>
      </c>
      <c r="E9644" s="15" t="str">
        <f>IFERROR(__xludf.DUMMYFUNCTION("""COMPUTED_VALUE"""),"PAN DE WAFFLE")</f>
        <v>PAN DE WAFFLE</v>
      </c>
      <c r="F9644" s="17" t="str">
        <f>IFERROR(__xludf.DUMMYFUNCTION("""COMPUTED_VALUE"""),"Carrera 1 # 46b - 6 Edif. Mar del Norte Local 3 / Carrera 1 # 46b - 6 Edif. Mar del Norte Local 3")</f>
        <v>Carrera 1 # 46b - 6 Edif. Mar del Norte Local 3 / Carrera 1 # 46b - 6 Edif. Mar del Norte Local 3</v>
      </c>
      <c r="G9644" s="15" t="str">
        <f>IFERROR(__xludf.DUMMYFUNCTION("""COMPUTED_VALUE"""),"RAPPI TURBO MAR DEL NORTE")</f>
        <v>RAPPI TURBO MAR DEL NORTE</v>
      </c>
      <c r="H9644" s="16">
        <f>IFERROR(__xludf.DUMMYFUNCTION("""COMPUTED_VALUE"""),18121.0)</f>
        <v>18121</v>
      </c>
      <c r="I9644" s="17"/>
      <c r="J9644" s="17"/>
      <c r="K9644" s="17"/>
      <c r="L9644" s="17">
        <f>IFERROR(__xludf.DUMMYFUNCTION("""COMPUTED_VALUE"""),3.05336397E9)</f>
        <v>3053363970</v>
      </c>
      <c r="M9644" s="17"/>
      <c r="N9644" s="17"/>
      <c r="O9644" s="17"/>
      <c r="P9644" s="17" t="b">
        <f>IFERROR(__xludf.DUMMYFUNCTION("""COMPUTED_VALUE"""),FALSE)</f>
        <v>0</v>
      </c>
      <c r="Q9644" s="20" t="str">
        <f>IFERROR(__xludf.DUMMYFUNCTION("""COMPUTED_VALUE"""),"")</f>
        <v/>
      </c>
      <c r="R9644" s="21" t="str">
        <f>IFERROR(__xludf.DUMMYFUNCTION("""COMPUTED_VALUE"""),"https://drive.google.com/file/d/1ViZr0CMBJrZwzq2aNVBKwxVa4XbTBWXQ/view?usp=drivesdk")</f>
        <v>https://drive.google.com/file/d/1ViZr0CMBJrZwzq2aNVBKwxVa4XbTBWXQ/view?usp=drivesdk</v>
      </c>
    </row>
    <row r="9645">
      <c r="A9645" s="15">
        <f>IFERROR(__xludf.DUMMYFUNCTION("""COMPUTED_VALUE"""),45274.0)</f>
        <v>45274</v>
      </c>
      <c r="B9645" s="16" t="str">
        <f>IFERROR(__xludf.DUMMYFUNCTION("""COMPUTED_VALUE"""),"David Sanmartin Bello")</f>
        <v>David Sanmartin Bello</v>
      </c>
      <c r="C9645" s="15" t="str">
        <f>IFERROR(__xludf.DUMMYFUNCTION("""COMPUTED_VALUE"""),"CARTAGENA")</f>
        <v>CARTAGENA</v>
      </c>
      <c r="D9645" s="15" t="str">
        <f>IFERROR(__xludf.DUMMYFUNCTION("""COMPUTED_VALUE"""),"BOGOTÁ")</f>
        <v>BOGOTÁ</v>
      </c>
      <c r="E9645" s="15" t="str">
        <f>IFERROR(__xludf.DUMMYFUNCTION("""COMPUTED_VALUE"""),"PAN DE WAFFLE")</f>
        <v>PAN DE WAFFLE</v>
      </c>
      <c r="F9645" s="17" t="str">
        <f>IFERROR(__xludf.DUMMYFUNCTION("""COMPUTED_VALUE"""),"Carrera 2 # 10 - 175 / Carrera 2 # 10 - 175")</f>
        <v>Carrera 2 # 10 - 175 / Carrera 2 # 10 - 175</v>
      </c>
      <c r="G9645" s="15" t="str">
        <f>IFERROR(__xludf.DUMMYFUNCTION("""COMPUTED_VALUE"""),"RAPPI TURBO BOCAGRANDE")</f>
        <v>RAPPI TURBO BOCAGRANDE</v>
      </c>
      <c r="H9645" s="16">
        <f>IFERROR(__xludf.DUMMYFUNCTION("""COMPUTED_VALUE"""),18120.0)</f>
        <v>18120</v>
      </c>
      <c r="I9645" s="17"/>
      <c r="J9645" s="17"/>
      <c r="K9645" s="17"/>
      <c r="L9645" s="17">
        <f>IFERROR(__xludf.DUMMYFUNCTION("""COMPUTED_VALUE"""),3.214609635E9)</f>
        <v>3214609635</v>
      </c>
      <c r="M9645" s="17"/>
      <c r="N9645" s="17"/>
      <c r="O9645" s="17"/>
      <c r="P9645" s="17" t="b">
        <f>IFERROR(__xludf.DUMMYFUNCTION("""COMPUTED_VALUE"""),FALSE)</f>
        <v>0</v>
      </c>
      <c r="Q9645" s="20" t="str">
        <f>IFERROR(__xludf.DUMMYFUNCTION("""COMPUTED_VALUE"""),"")</f>
        <v/>
      </c>
      <c r="R9645" s="21" t="str">
        <f>IFERROR(__xludf.DUMMYFUNCTION("""COMPUTED_VALUE"""),"https://drive.google.com/file/d/1jZojH8H7IkscAdOqKw_4kq9TTpbwDgrV/view?usp=drivesdk")</f>
        <v>https://drive.google.com/file/d/1jZojH8H7IkscAdOqKw_4kq9TTpbwDgrV/view?usp=drivesdk</v>
      </c>
    </row>
    <row r="9646">
      <c r="A9646" s="15">
        <f>IFERROR(__xludf.DUMMYFUNCTION("""COMPUTED_VALUE"""),45274.0)</f>
        <v>45274</v>
      </c>
      <c r="B9646" s="16" t="str">
        <f>IFERROR(__xludf.DUMMYFUNCTION("""COMPUTED_VALUE"""),"David Sanmartin Bello")</f>
        <v>David Sanmartin Bello</v>
      </c>
      <c r="C9646" s="15" t="str">
        <f>IFERROR(__xludf.DUMMYFUNCTION("""COMPUTED_VALUE"""),"CARTAGENA")</f>
        <v>CARTAGENA</v>
      </c>
      <c r="D9646" s="15" t="str">
        <f>IFERROR(__xludf.DUMMYFUNCTION("""COMPUTED_VALUE"""),"BOGOTÁ")</f>
        <v>BOGOTÁ</v>
      </c>
      <c r="E9646" s="15" t="str">
        <f>IFERROR(__xludf.DUMMYFUNCTION("""COMPUTED_VALUE"""),"Top Spun")</f>
        <v>Top Spun</v>
      </c>
      <c r="F9646" s="17" t="str">
        <f>IFERROR(__xludf.DUMMYFUNCTION("""COMPUTED_VALUE"""),"Barrio Junín calle primera mayo m.e.lte.17  / Casa  / Cartagena")</f>
        <v>Barrio Junín calle primera mayo m.e.lte.17  / Casa  / Cartagena</v>
      </c>
      <c r="G9646" s="15" t="str">
        <f>IFERROR(__xludf.DUMMYFUNCTION("""COMPUTED_VALUE"""),"Yeimi Lara")</f>
        <v>Yeimi Lara</v>
      </c>
      <c r="H9646" s="16">
        <f>IFERROR(__xludf.DUMMYFUNCTION("""COMPUTED_VALUE"""),18225.0)</f>
        <v>18225</v>
      </c>
      <c r="I9646" s="18">
        <f>IFERROR(__xludf.DUMMYFUNCTION("""COMPUTED_VALUE"""),20.0)</f>
        <v>20</v>
      </c>
      <c r="J9646" s="18">
        <f>IFERROR(__xludf.DUMMYFUNCTION("""COMPUTED_VALUE"""),10.0)</f>
        <v>10</v>
      </c>
      <c r="K9646" s="18">
        <f>IFERROR(__xludf.DUMMYFUNCTION("""COMPUTED_VALUE"""),40.0)</f>
        <v>40</v>
      </c>
      <c r="L9646" s="17">
        <f>IFERROR(__xludf.DUMMYFUNCTION("""COMPUTED_VALUE"""),3.003957302E9)</f>
        <v>3003957302</v>
      </c>
      <c r="M9646" s="17"/>
      <c r="N9646" s="17"/>
      <c r="O9646" s="17"/>
      <c r="P9646" s="17" t="b">
        <f>IFERROR(__xludf.DUMMYFUNCTION("""COMPUTED_VALUE"""),FALSE)</f>
        <v>0</v>
      </c>
      <c r="Q9646" s="20" t="str">
        <f>IFERROR(__xludf.DUMMYFUNCTION("""COMPUTED_VALUE"""),"")</f>
        <v/>
      </c>
      <c r="R9646" s="21" t="str">
        <f>IFERROR(__xludf.DUMMYFUNCTION("""COMPUTED_VALUE"""),"https://drive.google.com/file/d/1_qJTDV8h1E4BtWf7uBH0K7RLs6coK6HA/view?usp=drivesdk")</f>
        <v>https://drive.google.com/file/d/1_qJTDV8h1E4BtWf7uBH0K7RLs6coK6HA/view?usp=drivesdk</v>
      </c>
    </row>
    <row r="9647">
      <c r="A9647" s="15">
        <f>IFERROR(__xludf.DUMMYFUNCTION("""COMPUTED_VALUE"""),45274.0)</f>
        <v>45274</v>
      </c>
      <c r="B9647" s="16" t="str">
        <f>IFERROR(__xludf.DUMMYFUNCTION("""COMPUTED_VALUE"""),"David Sanmartin Bello")</f>
        <v>David Sanmartin Bello</v>
      </c>
      <c r="C9647" s="15" t="str">
        <f>IFERROR(__xludf.DUMMYFUNCTION("""COMPUTED_VALUE"""),"CARTAGENA")</f>
        <v>CARTAGENA</v>
      </c>
      <c r="D9647" s="15" t="str">
        <f>IFERROR(__xludf.DUMMYFUNCTION("""COMPUTED_VALUE"""),"BOGOTÁ")</f>
        <v>BOGOTÁ</v>
      </c>
      <c r="E9647" s="15" t="str">
        <f>IFERROR(__xludf.DUMMYFUNCTION("""COMPUTED_VALUE"""),"Top Spun")</f>
        <v>Top Spun</v>
      </c>
      <c r="F9647" s="17" t="str">
        <f>IFERROR(__xludf.DUMMYFUNCTION("""COMPUTED_VALUE"""),"Crespo calle 72 # 10-45 / Edif Ocean Drive / Apto 413")</f>
        <v>Crespo calle 72 # 10-45 / Edif Ocean Drive / Apto 413</v>
      </c>
      <c r="G9647" s="15" t="str">
        <f>IFERROR(__xludf.DUMMYFUNCTION("""COMPUTED_VALUE"""),"Paula Mejia")</f>
        <v>Paula Mejia</v>
      </c>
      <c r="H9647" s="16">
        <f>IFERROR(__xludf.DUMMYFUNCTION("""COMPUTED_VALUE"""),18227.0)</f>
        <v>18227</v>
      </c>
      <c r="I9647" s="18">
        <f>IFERROR(__xludf.DUMMYFUNCTION("""COMPUTED_VALUE"""),20.0)</f>
        <v>20</v>
      </c>
      <c r="J9647" s="18">
        <f>IFERROR(__xludf.DUMMYFUNCTION("""COMPUTED_VALUE"""),10.0)</f>
        <v>10</v>
      </c>
      <c r="K9647" s="18">
        <f>IFERROR(__xludf.DUMMYFUNCTION("""COMPUTED_VALUE"""),40.0)</f>
        <v>40</v>
      </c>
      <c r="L9647" s="17">
        <f>IFERROR(__xludf.DUMMYFUNCTION("""COMPUTED_VALUE"""),3.16231055E9)</f>
        <v>3162310550</v>
      </c>
      <c r="M9647" s="17"/>
      <c r="N9647" s="17"/>
      <c r="O9647" s="17"/>
      <c r="P9647" s="17" t="b">
        <f>IFERROR(__xludf.DUMMYFUNCTION("""COMPUTED_VALUE"""),FALSE)</f>
        <v>0</v>
      </c>
      <c r="Q9647" s="20" t="str">
        <f>IFERROR(__xludf.DUMMYFUNCTION("""COMPUTED_VALUE"""),"")</f>
        <v/>
      </c>
      <c r="R9647" s="21" t="str">
        <f>IFERROR(__xludf.DUMMYFUNCTION("""COMPUTED_VALUE"""),"https://drive.google.com/file/d/1hcDRT-aidS6LvmkRGqs7JzHqXiW4Kyoo/view?usp=drivesdk")</f>
        <v>https://drive.google.com/file/d/1hcDRT-aidS6LvmkRGqs7JzHqXiW4Kyoo/view?usp=drivesdk</v>
      </c>
    </row>
    <row r="9648">
      <c r="A9648" s="15">
        <f>IFERROR(__xludf.DUMMYFUNCTION("""COMPUTED_VALUE"""),45274.0)</f>
        <v>45274</v>
      </c>
      <c r="B9648" s="16" t="str">
        <f>IFERROR(__xludf.DUMMYFUNCTION("""COMPUTED_VALUE"""),"David Sanmartin Bello")</f>
        <v>David Sanmartin Bello</v>
      </c>
      <c r="C9648" s="15" t="str">
        <f>IFERROR(__xludf.DUMMYFUNCTION("""COMPUTED_VALUE"""),"CARTAGENA")</f>
        <v>CARTAGENA</v>
      </c>
      <c r="D9648" s="15" t="str">
        <f>IFERROR(__xludf.DUMMYFUNCTION("""COMPUTED_VALUE"""),"BOGOTÁ")</f>
        <v>BOGOTÁ</v>
      </c>
      <c r="E9648" s="15" t="str">
        <f>IFERROR(__xludf.DUMMYFUNCTION("""COMPUTED_VALUE"""),"Top Spun")</f>
        <v>Top Spun</v>
      </c>
      <c r="F9648" s="17" t="str">
        <f>IFERROR(__xludf.DUMMYFUNCTION("""COMPUTED_VALUE"""),"KM 12 Del anillo Via a Barranquilla / Karibana Torre 2  / Apto 402")</f>
        <v>KM 12 Del anillo Via a Barranquilla / Karibana Torre 2  / Apto 402</v>
      </c>
      <c r="G9648" s="15" t="str">
        <f>IFERROR(__xludf.DUMMYFUNCTION("""COMPUTED_VALUE"""),"Diego Prada")</f>
        <v>Diego Prada</v>
      </c>
      <c r="H9648" s="16">
        <f>IFERROR(__xludf.DUMMYFUNCTION("""COMPUTED_VALUE"""),18226.0)</f>
        <v>18226</v>
      </c>
      <c r="I9648" s="18">
        <f>IFERROR(__xludf.DUMMYFUNCTION("""COMPUTED_VALUE"""),20.0)</f>
        <v>20</v>
      </c>
      <c r="J9648" s="18">
        <f>IFERROR(__xludf.DUMMYFUNCTION("""COMPUTED_VALUE"""),10.0)</f>
        <v>10</v>
      </c>
      <c r="K9648" s="18">
        <f>IFERROR(__xludf.DUMMYFUNCTION("""COMPUTED_VALUE"""),40.0)</f>
        <v>40</v>
      </c>
      <c r="L9648" s="17">
        <f>IFERROR(__xludf.DUMMYFUNCTION("""COMPUTED_VALUE"""),3.223663429E9)</f>
        <v>3223663429</v>
      </c>
      <c r="M9648" s="17"/>
      <c r="N9648" s="17"/>
      <c r="O9648" s="17"/>
      <c r="P9648" s="17" t="b">
        <f>IFERROR(__xludf.DUMMYFUNCTION("""COMPUTED_VALUE"""),FALSE)</f>
        <v>0</v>
      </c>
      <c r="Q9648" s="20" t="str">
        <f>IFERROR(__xludf.DUMMYFUNCTION("""COMPUTED_VALUE"""),"")</f>
        <v/>
      </c>
      <c r="R9648" s="21" t="str">
        <f>IFERROR(__xludf.DUMMYFUNCTION("""COMPUTED_VALUE"""),"https://drive.google.com/file/d/1VqYaxqkn-GA6FzDsKz6oNpQfxFgZnPGN/view?usp=drivesdk")</f>
        <v>https://drive.google.com/file/d/1VqYaxqkn-GA6FzDsKz6oNpQfxFgZnPGN/view?usp=drivesdk</v>
      </c>
    </row>
    <row r="9649">
      <c r="A9649" s="15">
        <f>IFERROR(__xludf.DUMMYFUNCTION("""COMPUTED_VALUE"""),45274.0)</f>
        <v>45274</v>
      </c>
      <c r="B9649" s="16" t="str">
        <f>IFERROR(__xludf.DUMMYFUNCTION("""COMPUTED_VALUE"""),"David Sanmartin Bello")</f>
        <v>David Sanmartin Bello</v>
      </c>
      <c r="C9649" s="15" t="str">
        <f>IFERROR(__xludf.DUMMYFUNCTION("""COMPUTED_VALUE"""),"CARTAGENA")</f>
        <v>CARTAGENA</v>
      </c>
      <c r="D9649" s="15" t="str">
        <f>IFERROR(__xludf.DUMMYFUNCTION("""COMPUTED_VALUE"""),"MEDELLÍN")</f>
        <v>MEDELLÍN</v>
      </c>
      <c r="E9649" s="15" t="str">
        <f>IFERROR(__xludf.DUMMYFUNCTION("""COMPUTED_VALUE"""),"Gastro INC")</f>
        <v>Gastro INC</v>
      </c>
      <c r="F9649" s="17" t="str">
        <f>IFERROR(__xludf.DUMMYFUNCTION("""COMPUTED_VALUE"""),"Calle 38 # 8-19, Calle del Santísimo /  Restaurante Carmen / Ciudad Vieja")</f>
        <v>Calle 38 # 8-19, Calle del Santísimo /  Restaurante Carmen / Ciudad Vieja</v>
      </c>
      <c r="G9649" s="15" t="str">
        <f>IFERROR(__xludf.DUMMYFUNCTION("""COMPUTED_VALUE"""),"Restaurante Carmen Cartagena, Angelica Herrera")</f>
        <v>Restaurante Carmen Cartagena, Angelica Herrera</v>
      </c>
      <c r="H9649" s="16">
        <f>IFERROR(__xludf.DUMMYFUNCTION("""COMPUTED_VALUE"""),18285.0)</f>
        <v>18285</v>
      </c>
      <c r="I9649" s="18">
        <f>IFERROR(__xludf.DUMMYFUNCTION("""COMPUTED_VALUE"""),18.0)</f>
        <v>18</v>
      </c>
      <c r="J9649" s="18">
        <f>IFERROR(__xludf.DUMMYFUNCTION("""COMPUTED_VALUE"""),20.0)</f>
        <v>20</v>
      </c>
      <c r="K9649" s="18">
        <f>IFERROR(__xludf.DUMMYFUNCTION("""COMPUTED_VALUE"""),38.0)</f>
        <v>38</v>
      </c>
      <c r="L9649" s="17">
        <f>IFERROR(__xludf.DUMMYFUNCTION("""COMPUTED_VALUE"""),3.219791983E9)</f>
        <v>3219791983</v>
      </c>
      <c r="M9649" s="17"/>
      <c r="N9649" s="17"/>
      <c r="O9649" s="17"/>
      <c r="P9649" s="17" t="b">
        <f>IFERROR(__xludf.DUMMYFUNCTION("""COMPUTED_VALUE"""),FALSE)</f>
        <v>0</v>
      </c>
      <c r="Q9649" s="20" t="str">
        <f>IFERROR(__xludf.DUMMYFUNCTION("""COMPUTED_VALUE"""),"")</f>
        <v/>
      </c>
      <c r="R9649" s="21" t="str">
        <f>IFERROR(__xludf.DUMMYFUNCTION("""COMPUTED_VALUE"""),"https://drive.google.com/file/d/15YlRfNH4i8CrMMuVZ68Ud8Ya0OR0zkjL/view?usp=drivesdk")</f>
        <v>https://drive.google.com/file/d/15YlRfNH4i8CrMMuVZ68Ud8Ya0OR0zkjL/view?usp=drivesdk</v>
      </c>
    </row>
    <row r="9650">
      <c r="A9650" s="15">
        <f>IFERROR(__xludf.DUMMYFUNCTION("""COMPUTED_VALUE"""),45274.0)</f>
        <v>45274</v>
      </c>
      <c r="B9650" s="16" t="str">
        <f>IFERROR(__xludf.DUMMYFUNCTION("""COMPUTED_VALUE"""),"David Sanmartin Bello")</f>
        <v>David Sanmartin Bello</v>
      </c>
      <c r="C9650" s="15" t="str">
        <f>IFERROR(__xludf.DUMMYFUNCTION("""COMPUTED_VALUE"""),"CARTAGENA")</f>
        <v>CARTAGENA</v>
      </c>
      <c r="D9650" s="15" t="str">
        <f>IFERROR(__xludf.DUMMYFUNCTION("""COMPUTED_VALUE"""),"MEDELLÍN")</f>
        <v>MEDELLÍN</v>
      </c>
      <c r="E9650" s="15" t="str">
        <f>IFERROR(__xludf.DUMMYFUNCTION("""COMPUTED_VALUE"""),"Gastro INC")</f>
        <v>Gastro INC</v>
      </c>
      <c r="F9650" s="17" t="str">
        <f>IFERROR(__xludf.DUMMYFUNCTION("""COMPUTED_VALUE"""),"Calle 38 # 8-19, Calle del Santísimo, / restaurante carmen cartagena / ciudad vieja")</f>
        <v>Calle 38 # 8-19, Calle del Santísimo, / restaurante carmen cartagena / ciudad vieja</v>
      </c>
      <c r="G9650" s="15" t="str">
        <f>IFERROR(__xludf.DUMMYFUNCTION("""COMPUTED_VALUE"""),"angelica herrera, restaurante carmen cartagena")</f>
        <v>angelica herrera, restaurante carmen cartagena</v>
      </c>
      <c r="H9650" s="16">
        <f>IFERROR(__xludf.DUMMYFUNCTION("""COMPUTED_VALUE"""),18286.0)</f>
        <v>18286</v>
      </c>
      <c r="I9650" s="18">
        <f>IFERROR(__xludf.DUMMYFUNCTION("""COMPUTED_VALUE"""),12.0)</f>
        <v>12</v>
      </c>
      <c r="J9650" s="18">
        <f>IFERROR(__xludf.DUMMYFUNCTION("""COMPUTED_VALUE"""),33.0)</f>
        <v>33</v>
      </c>
      <c r="K9650" s="18">
        <f>IFERROR(__xludf.DUMMYFUNCTION("""COMPUTED_VALUE"""),44.0)</f>
        <v>44</v>
      </c>
      <c r="L9650" s="17">
        <f>IFERROR(__xludf.DUMMYFUNCTION("""COMPUTED_VALUE"""),3.219791983E9)</f>
        <v>3219791983</v>
      </c>
      <c r="M9650" s="17"/>
      <c r="N9650" s="17"/>
      <c r="O9650" s="17"/>
      <c r="P9650" s="17" t="b">
        <f>IFERROR(__xludf.DUMMYFUNCTION("""COMPUTED_VALUE"""),FALSE)</f>
        <v>0</v>
      </c>
      <c r="Q9650" s="20" t="str">
        <f>IFERROR(__xludf.DUMMYFUNCTION("""COMPUTED_VALUE"""),"")</f>
        <v/>
      </c>
      <c r="R9650" s="21" t="str">
        <f>IFERROR(__xludf.DUMMYFUNCTION("""COMPUTED_VALUE"""),"https://drive.google.com/file/d/19v7r-maV4Hls42ppgkURjrYxmPPo7hrE/view?usp=drivesdk")</f>
        <v>https://drive.google.com/file/d/19v7r-maV4Hls42ppgkURjrYxmPPo7hrE/view?usp=drivesdk</v>
      </c>
    </row>
    <row r="9651">
      <c r="A9651" s="17" t="str">
        <f>IFERROR(__xludf.DUMMYFUNCTION("""COMPUTED_VALUE"""),"")</f>
        <v/>
      </c>
      <c r="B9651" s="17" t="str">
        <f>IFERROR(__xludf.DUMMYFUNCTION("""COMPUTED_VALUE"""),"")</f>
        <v/>
      </c>
      <c r="C9651" s="17" t="str">
        <f>IFERROR(__xludf.DUMMYFUNCTION("""COMPUTED_VALUE"""),"")</f>
        <v/>
      </c>
      <c r="D9651" s="17" t="str">
        <f>IFERROR(__xludf.DUMMYFUNCTION("""COMPUTED_VALUE"""),"")</f>
        <v/>
      </c>
      <c r="E9651" s="17" t="str">
        <f>IFERROR(__xludf.DUMMYFUNCTION("""COMPUTED_VALUE"""),"")</f>
        <v/>
      </c>
      <c r="F9651" s="17" t="str">
        <f>IFERROR(__xludf.DUMMYFUNCTION("""COMPUTED_VALUE"""),"")</f>
        <v/>
      </c>
      <c r="G9651" s="17" t="str">
        <f>IFERROR(__xludf.DUMMYFUNCTION("""COMPUTED_VALUE"""),"")</f>
        <v/>
      </c>
      <c r="H9651" s="17" t="str">
        <f>IFERROR(__xludf.DUMMYFUNCTION("""COMPUTED_VALUE"""),"")</f>
        <v/>
      </c>
      <c r="I9651" s="17" t="str">
        <f>IFERROR(__xludf.DUMMYFUNCTION("""COMPUTED_VALUE"""),"")</f>
        <v/>
      </c>
      <c r="J9651" s="17" t="str">
        <f>IFERROR(__xludf.DUMMYFUNCTION("""COMPUTED_VALUE"""),"")</f>
        <v/>
      </c>
      <c r="K9651" s="17" t="str">
        <f>IFERROR(__xludf.DUMMYFUNCTION("""COMPUTED_VALUE"""),"")</f>
        <v/>
      </c>
      <c r="L9651" s="17" t="str">
        <f>IFERROR(__xludf.DUMMYFUNCTION("""COMPUTED_VALUE"""),"")</f>
        <v/>
      </c>
      <c r="M9651" s="17" t="str">
        <f>IFERROR(__xludf.DUMMYFUNCTION("""COMPUTED_VALUE"""),"")</f>
        <v/>
      </c>
      <c r="N9651" s="17" t="str">
        <f>IFERROR(__xludf.DUMMYFUNCTION("""COMPUTED_VALUE"""),"")</f>
        <v/>
      </c>
      <c r="O9651" s="17" t="str">
        <f>IFERROR(__xludf.DUMMYFUNCTION("""COMPUTED_VALUE"""),"")</f>
        <v/>
      </c>
      <c r="P9651" s="17" t="str">
        <f>IFERROR(__xludf.DUMMYFUNCTION("""COMPUTED_VALUE"""),"")</f>
        <v/>
      </c>
      <c r="Q9651" s="17" t="str">
        <f>IFERROR(__xludf.DUMMYFUNCTION("""COMPUTED_VALUE"""),"")</f>
        <v/>
      </c>
      <c r="R9651" s="17" t="str">
        <f>IFERROR(__xludf.DUMMYFUNCTION("""COMPUTED_VALUE"""),"")</f>
        <v/>
      </c>
    </row>
    <row r="9652">
      <c r="A9652" s="15">
        <f>IFERROR(__xludf.DUMMYFUNCTION("""COMPUTED_VALUE"""),45274.0)</f>
        <v>45274</v>
      </c>
      <c r="B9652" s="16" t="str">
        <f>IFERROR(__xludf.DUMMYFUNCTION("""COMPUTED_VALUE"""),"Deivi Alejandro Quintero Corrales")</f>
        <v>Deivi Alejandro Quintero Corrales</v>
      </c>
      <c r="C9652" s="15" t="str">
        <f>IFERROR(__xludf.DUMMYFUNCTION("""COMPUTED_VALUE"""),"PEREIRA")</f>
        <v>PEREIRA</v>
      </c>
      <c r="D9652" s="15" t="str">
        <f>IFERROR(__xludf.DUMMYFUNCTION("""COMPUTED_VALUE"""),"MEDELLÍN")</f>
        <v>MEDELLÍN</v>
      </c>
      <c r="E9652" s="15" t="str">
        <f>IFERROR(__xludf.DUMMYFUNCTION("""COMPUTED_VALUE"""),"102 Alimentos")</f>
        <v>102 Alimentos</v>
      </c>
      <c r="F9652" s="17" t="str">
        <f>IFERROR(__xludf.DUMMYFUNCTION("""COMPUTED_VALUE"""),"Carrera 37 #30-51 Apto 301 Ciudadela villa verde / Caja")</f>
        <v>Carrera 37 #30-51 Apto 301 Ciudadela villa verde / Caja</v>
      </c>
      <c r="G9652" s="15" t="str">
        <f>IFERROR(__xludf.DUMMYFUNCTION("""COMPUTED_VALUE"""),"Blanca Lesbia Ocampo de Fernandez")</f>
        <v>Blanca Lesbia Ocampo de Fernandez</v>
      </c>
      <c r="H9652" s="16">
        <f>IFERROR(__xludf.DUMMYFUNCTION("""COMPUTED_VALUE"""),18162.0)</f>
        <v>18162</v>
      </c>
      <c r="I9652" s="17"/>
      <c r="J9652" s="17"/>
      <c r="K9652" s="17"/>
      <c r="L9652" s="17">
        <f>IFERROR(__xludf.DUMMYFUNCTION("""COMPUTED_VALUE"""),3.206575008E9)</f>
        <v>3206575008</v>
      </c>
      <c r="M9652" s="17"/>
      <c r="N9652" s="17"/>
      <c r="O9652" s="17"/>
      <c r="P9652" s="17" t="b">
        <f>IFERROR(__xludf.DUMMYFUNCTION("""COMPUTED_VALUE"""),FALSE)</f>
        <v>0</v>
      </c>
      <c r="Q9652" s="20" t="str">
        <f>IFERROR(__xludf.DUMMYFUNCTION("""COMPUTED_VALUE"""),"")</f>
        <v/>
      </c>
      <c r="R9652" s="21" t="str">
        <f>IFERROR(__xludf.DUMMYFUNCTION("""COMPUTED_VALUE"""),"https://drive.google.com/file/d/1thPhWQ3bNEJQ9Ij-rEpX-PpLoCD-rmuK/view?usp=drivesdk")</f>
        <v>https://drive.google.com/file/d/1thPhWQ3bNEJQ9Ij-rEpX-PpLoCD-rmuK/view?usp=drivesdk</v>
      </c>
    </row>
    <row r="9653">
      <c r="A9653" s="15">
        <f>IFERROR(__xludf.DUMMYFUNCTION("""COMPUTED_VALUE"""),45274.0)</f>
        <v>45274</v>
      </c>
      <c r="B9653" s="16" t="str">
        <f>IFERROR(__xludf.DUMMYFUNCTION("""COMPUTED_VALUE"""),"Deivi Alejandro Quintero Corrales")</f>
        <v>Deivi Alejandro Quintero Corrales</v>
      </c>
      <c r="C9653" s="15" t="str">
        <f>IFERROR(__xludf.DUMMYFUNCTION("""COMPUTED_VALUE"""),"PEREIRA")</f>
        <v>PEREIRA</v>
      </c>
      <c r="D9653" s="15" t="str">
        <f>IFERROR(__xludf.DUMMYFUNCTION("""COMPUTED_VALUE"""),"MEDELLÍN")</f>
        <v>MEDELLÍN</v>
      </c>
      <c r="E9653" s="15" t="str">
        <f>IFERROR(__xludf.DUMMYFUNCTION("""COMPUTED_VALUE"""),"102 Alimentos")</f>
        <v>102 Alimentos</v>
      </c>
      <c r="F9653" s="17" t="str">
        <f>IFERROR(__xludf.DUMMYFUNCTION("""COMPUTED_VALUE"""),"Manzana 12 casa 13 samaria 1 piso 2 / Manzana 12 casa 13 samaria 1 piso 2")</f>
        <v>Manzana 12 casa 13 samaria 1 piso 2 / Manzana 12 casa 13 samaria 1 piso 2</v>
      </c>
      <c r="G9653" s="15" t="str">
        <f>IFERROR(__xludf.DUMMYFUNCTION("""COMPUTED_VALUE"""),"Luz Omaida Jiménez Gallego")</f>
        <v>Luz Omaida Jiménez Gallego</v>
      </c>
      <c r="H9653" s="16">
        <f>IFERROR(__xludf.DUMMYFUNCTION("""COMPUTED_VALUE"""),18163.0)</f>
        <v>18163</v>
      </c>
      <c r="I9653" s="17"/>
      <c r="J9653" s="17"/>
      <c r="K9653" s="17"/>
      <c r="L9653" s="17">
        <f>IFERROR(__xludf.DUMMYFUNCTION("""COMPUTED_VALUE"""),3.14562573E9)</f>
        <v>3145625730</v>
      </c>
      <c r="M9653" s="17"/>
      <c r="N9653" s="17"/>
      <c r="O9653" s="17"/>
      <c r="P9653" s="17" t="b">
        <f>IFERROR(__xludf.DUMMYFUNCTION("""COMPUTED_VALUE"""),FALSE)</f>
        <v>0</v>
      </c>
      <c r="Q9653" s="20" t="str">
        <f>IFERROR(__xludf.DUMMYFUNCTION("""COMPUTED_VALUE"""),"")</f>
        <v/>
      </c>
      <c r="R9653" s="22" t="str">
        <f>IFERROR(__xludf.DUMMYFUNCTION("""COMPUTED_VALUE"""),"")</f>
        <v/>
      </c>
    </row>
    <row r="9654">
      <c r="A9654" s="15">
        <f>IFERROR(__xludf.DUMMYFUNCTION("""COMPUTED_VALUE"""),45274.0)</f>
        <v>45274</v>
      </c>
      <c r="B9654" s="16" t="str">
        <f>IFERROR(__xludf.DUMMYFUNCTION("""COMPUTED_VALUE"""),"Deivi Alejandro Quintero Corrales")</f>
        <v>Deivi Alejandro Quintero Corrales</v>
      </c>
      <c r="C9654" s="15" t="str">
        <f>IFERROR(__xludf.DUMMYFUNCTION("""COMPUTED_VALUE"""),"PEREIRA")</f>
        <v>PEREIRA</v>
      </c>
      <c r="D9654" s="15" t="str">
        <f>IFERROR(__xludf.DUMMYFUNCTION("""COMPUTED_VALUE"""),"MEDELLÍN")</f>
        <v>MEDELLÍN</v>
      </c>
      <c r="E9654" s="15" t="str">
        <f>IFERROR(__xludf.DUMMYFUNCTION("""COMPUTED_VALUE"""),"TOLEDALES S.A.S")</f>
        <v>TOLEDALES S.A.S</v>
      </c>
      <c r="F9654" s="17" t="str">
        <f>IFERROR(__xludf.DUMMYFUNCTION("""COMPUTED_VALUE"""),"Manzana 42 casa 13 piso 2 Samaria 1 / casa 13 piso 2 Samaria 1")</f>
        <v>Manzana 42 casa 13 piso 2 Samaria 1 / casa 13 piso 2 Samaria 1</v>
      </c>
      <c r="G9654" s="15" t="str">
        <f>IFERROR(__xludf.DUMMYFUNCTION("""COMPUTED_VALUE"""),"luz omaida jimenez")</f>
        <v>luz omaida jimenez</v>
      </c>
      <c r="H9654" s="16">
        <f>IFERROR(__xludf.DUMMYFUNCTION("""COMPUTED_VALUE"""),18194.0)</f>
        <v>18194</v>
      </c>
      <c r="I9654" s="17"/>
      <c r="J9654" s="17"/>
      <c r="K9654" s="17"/>
      <c r="L9654" s="17">
        <f>IFERROR(__xludf.DUMMYFUNCTION("""COMPUTED_VALUE"""),3.14562573E9)</f>
        <v>3145625730</v>
      </c>
      <c r="M9654" s="17"/>
      <c r="N9654" s="17"/>
      <c r="O9654" s="17"/>
      <c r="P9654" s="17" t="b">
        <f>IFERROR(__xludf.DUMMYFUNCTION("""COMPUTED_VALUE"""),FALSE)</f>
        <v>0</v>
      </c>
      <c r="Q9654" s="20" t="str">
        <f>IFERROR(__xludf.DUMMYFUNCTION("""COMPUTED_VALUE"""),"")</f>
        <v/>
      </c>
      <c r="R9654" s="22" t="str">
        <f>IFERROR(__xludf.DUMMYFUNCTION("""COMPUTED_VALUE"""),"")</f>
        <v/>
      </c>
    </row>
    <row r="9655">
      <c r="A9655" s="17" t="str">
        <f>IFERROR(__xludf.DUMMYFUNCTION("""COMPUTED_VALUE"""),"")</f>
        <v/>
      </c>
      <c r="B9655" s="17" t="str">
        <f>IFERROR(__xludf.DUMMYFUNCTION("""COMPUTED_VALUE"""),"")</f>
        <v/>
      </c>
      <c r="C9655" s="17" t="str">
        <f>IFERROR(__xludf.DUMMYFUNCTION("""COMPUTED_VALUE"""),"")</f>
        <v/>
      </c>
      <c r="D9655" s="17" t="str">
        <f>IFERROR(__xludf.DUMMYFUNCTION("""COMPUTED_VALUE"""),"")</f>
        <v/>
      </c>
      <c r="E9655" s="17" t="str">
        <f>IFERROR(__xludf.DUMMYFUNCTION("""COMPUTED_VALUE"""),"")</f>
        <v/>
      </c>
      <c r="F9655" s="17" t="str">
        <f>IFERROR(__xludf.DUMMYFUNCTION("""COMPUTED_VALUE"""),"")</f>
        <v/>
      </c>
      <c r="G9655" s="17" t="str">
        <f>IFERROR(__xludf.DUMMYFUNCTION("""COMPUTED_VALUE"""),"")</f>
        <v/>
      </c>
      <c r="H9655" s="17" t="str">
        <f>IFERROR(__xludf.DUMMYFUNCTION("""COMPUTED_VALUE"""),"")</f>
        <v/>
      </c>
      <c r="I9655" s="17" t="str">
        <f>IFERROR(__xludf.DUMMYFUNCTION("""COMPUTED_VALUE"""),"")</f>
        <v/>
      </c>
      <c r="J9655" s="17" t="str">
        <f>IFERROR(__xludf.DUMMYFUNCTION("""COMPUTED_VALUE"""),"")</f>
        <v/>
      </c>
      <c r="K9655" s="17" t="str">
        <f>IFERROR(__xludf.DUMMYFUNCTION("""COMPUTED_VALUE"""),"")</f>
        <v/>
      </c>
      <c r="L9655" s="17" t="str">
        <f>IFERROR(__xludf.DUMMYFUNCTION("""COMPUTED_VALUE"""),"")</f>
        <v/>
      </c>
      <c r="M9655" s="17" t="str">
        <f>IFERROR(__xludf.DUMMYFUNCTION("""COMPUTED_VALUE"""),"")</f>
        <v/>
      </c>
      <c r="N9655" s="17" t="str">
        <f>IFERROR(__xludf.DUMMYFUNCTION("""COMPUTED_VALUE"""),"")</f>
        <v/>
      </c>
      <c r="O9655" s="17" t="str">
        <f>IFERROR(__xludf.DUMMYFUNCTION("""COMPUTED_VALUE"""),"")</f>
        <v/>
      </c>
      <c r="P9655" s="17" t="str">
        <f>IFERROR(__xludf.DUMMYFUNCTION("""COMPUTED_VALUE"""),"")</f>
        <v/>
      </c>
      <c r="Q9655" s="17" t="str">
        <f>IFERROR(__xludf.DUMMYFUNCTION("""COMPUTED_VALUE"""),"")</f>
        <v/>
      </c>
      <c r="R9655" s="17" t="str">
        <f>IFERROR(__xludf.DUMMYFUNCTION("""COMPUTED_VALUE"""),"")</f>
        <v/>
      </c>
    </row>
    <row r="9656">
      <c r="A9656" s="15">
        <f>IFERROR(__xludf.DUMMYFUNCTION("""COMPUTED_VALUE"""),45274.0)</f>
        <v>45274</v>
      </c>
      <c r="B9656" s="16" t="str">
        <f>IFERROR(__xludf.DUMMYFUNCTION("""COMPUTED_VALUE"""),"Envia")</f>
        <v>Envia</v>
      </c>
      <c r="C9656" s="15" t="str">
        <f>IFERROR(__xludf.DUMMYFUNCTION("""COMPUTED_VALUE"""),"BARRANQUILLA")</f>
        <v>BARRANQUILLA</v>
      </c>
      <c r="D9656" s="15" t="str">
        <f>IFERROR(__xludf.DUMMYFUNCTION("""COMPUTED_VALUE"""),"BOGOTÁ")</f>
        <v>BOGOTÁ</v>
      </c>
      <c r="E9656" s="15" t="str">
        <f>IFERROR(__xludf.DUMMYFUNCTION("""COMPUTED_VALUE"""),"Athenas")</f>
        <v>Athenas</v>
      </c>
      <c r="F9656" s="17" t="str">
        <f>IFERROR(__xludf.DUMMYFUNCTION("""COMPUTED_VALUE"""),"CARRERA 43 # 60-25 / BODYTECH CAFETERIA / RECREO")</f>
        <v>CARRERA 43 # 60-25 / BODYTECH CAFETERIA / RECREO</v>
      </c>
      <c r="G9656" s="15" t="str">
        <f>IFERROR(__xludf.DUMMYFUNCTION("""COMPUTED_VALUE"""),"ADRIANA CASTRO")</f>
        <v>ADRIANA CASTRO</v>
      </c>
      <c r="H9656" s="16">
        <f>IFERROR(__xludf.DUMMYFUNCTION("""COMPUTED_VALUE"""),18280.0)</f>
        <v>18280</v>
      </c>
      <c r="I9656" s="18">
        <f>IFERROR(__xludf.DUMMYFUNCTION("""COMPUTED_VALUE"""),29.0)</f>
        <v>29</v>
      </c>
      <c r="J9656" s="18">
        <f>IFERROR(__xludf.DUMMYFUNCTION("""COMPUTED_VALUE"""),55.0)</f>
        <v>55</v>
      </c>
      <c r="K9656" s="18">
        <f>IFERROR(__xludf.DUMMYFUNCTION("""COMPUTED_VALUE"""),45.0)</f>
        <v>45</v>
      </c>
      <c r="L9656" s="17">
        <f>IFERROR(__xludf.DUMMYFUNCTION("""COMPUTED_VALUE"""),3.104011367E9)</f>
        <v>3104011367</v>
      </c>
      <c r="M9656" s="17"/>
      <c r="N9656" s="17"/>
      <c r="O9656" s="17"/>
      <c r="P9656" s="17" t="b">
        <f>IFERROR(__xludf.DUMMYFUNCTION("""COMPUTED_VALUE"""),FALSE)</f>
        <v>0</v>
      </c>
      <c r="Q9656" s="20" t="str">
        <f>IFERROR(__xludf.DUMMYFUNCTION("""COMPUTED_VALUE"""),"")</f>
        <v/>
      </c>
      <c r="R9656" s="21" t="str">
        <f>IFERROR(__xludf.DUMMYFUNCTION("""COMPUTED_VALUE"""),"https://drive.google.com/file/d/18BnuOwuJym0H3pY79--AGJXwwnVFEiuX/view?usp=drivesdk")</f>
        <v>https://drive.google.com/file/d/18BnuOwuJym0H3pY79--AGJXwwnVFEiuX/view?usp=drivesdk</v>
      </c>
    </row>
    <row r="9657">
      <c r="A9657" s="15">
        <f>IFERROR(__xludf.DUMMYFUNCTION("""COMPUTED_VALUE"""),45274.0)</f>
        <v>45274</v>
      </c>
      <c r="B9657" s="16" t="str">
        <f>IFERROR(__xludf.DUMMYFUNCTION("""COMPUTED_VALUE"""),"Envia")</f>
        <v>Envia</v>
      </c>
      <c r="C9657" s="15" t="str">
        <f>IFERROR(__xludf.DUMMYFUNCTION("""COMPUTED_VALUE"""),"BARRANQUILLA")</f>
        <v>BARRANQUILLA</v>
      </c>
      <c r="D9657" s="15" t="str">
        <f>IFERROR(__xludf.DUMMYFUNCTION("""COMPUTED_VALUE"""),"BOGOTÁ")</f>
        <v>BOGOTÁ</v>
      </c>
      <c r="E9657" s="15" t="str">
        <f>IFERROR(__xludf.DUMMYFUNCTION("""COMPUTED_VALUE"""),"Viral Brands")</f>
        <v>Viral Brands</v>
      </c>
      <c r="F9657" s="17" t="str">
        <f>IFERROR(__xludf.DUMMYFUNCTION("""COMPUTED_VALUE"""),"kra 49c 75 47  / lyd house prado chuzales  / prado")</f>
        <v>kra 49c 75 47  / lyd house prado chuzales  / prado</v>
      </c>
      <c r="G9657" s="15" t="str">
        <f>IFERROR(__xludf.DUMMYFUNCTION("""COMPUTED_VALUE"""),"chuzales prado")</f>
        <v>chuzales prado</v>
      </c>
      <c r="H9657" s="16">
        <f>IFERROR(__xludf.DUMMYFUNCTION("""COMPUTED_VALUE"""),18408.0)</f>
        <v>18408</v>
      </c>
      <c r="I9657" s="18">
        <f>IFERROR(__xludf.DUMMYFUNCTION("""COMPUTED_VALUE"""),30.0)</f>
        <v>30</v>
      </c>
      <c r="J9657" s="18">
        <f>IFERROR(__xludf.DUMMYFUNCTION("""COMPUTED_VALUE"""),50.0)</f>
        <v>50</v>
      </c>
      <c r="K9657" s="18">
        <f>IFERROR(__xludf.DUMMYFUNCTION("""COMPUTED_VALUE"""),21.0)</f>
        <v>21</v>
      </c>
      <c r="L9657" s="17">
        <f>IFERROR(__xludf.DUMMYFUNCTION("""COMPUTED_VALUE"""),3.017624858E9)</f>
        <v>3017624858</v>
      </c>
      <c r="M9657" s="17"/>
      <c r="N9657" s="17"/>
      <c r="O9657" s="17"/>
      <c r="P9657" s="17" t="b">
        <f>IFERROR(__xludf.DUMMYFUNCTION("""COMPUTED_VALUE"""),FALSE)</f>
        <v>0</v>
      </c>
      <c r="Q9657" s="20" t="str">
        <f>IFERROR(__xludf.DUMMYFUNCTION("""COMPUTED_VALUE"""),"")</f>
        <v/>
      </c>
      <c r="R9657" s="21" t="str">
        <f>IFERROR(__xludf.DUMMYFUNCTION("""COMPUTED_VALUE"""),"https://drive.google.com/file/d/1wdE94bhzJrAEStqT1F8Ae1_4REz36326/view?usp=drivesdk")</f>
        <v>https://drive.google.com/file/d/1wdE94bhzJrAEStqT1F8Ae1_4REz36326/view?usp=drivesdk</v>
      </c>
    </row>
    <row r="9658">
      <c r="A9658" s="15">
        <f>IFERROR(__xludf.DUMMYFUNCTION("""COMPUTED_VALUE"""),45274.0)</f>
        <v>45274</v>
      </c>
      <c r="B9658" s="16" t="str">
        <f>IFERROR(__xludf.DUMMYFUNCTION("""COMPUTED_VALUE"""),"Envia")</f>
        <v>Envia</v>
      </c>
      <c r="C9658" s="15" t="str">
        <f>IFERROR(__xludf.DUMMYFUNCTION("""COMPUTED_VALUE"""),"BARRANQUILLA")</f>
        <v>BARRANQUILLA</v>
      </c>
      <c r="D9658" s="15" t="str">
        <f>IFERROR(__xludf.DUMMYFUNCTION("""COMPUTED_VALUE"""),"BOGOTÁ")</f>
        <v>BOGOTÁ</v>
      </c>
      <c r="E9658" s="15" t="str">
        <f>IFERROR(__xludf.DUMMYFUNCTION("""COMPUTED_VALUE"""),"Viral Brands")</f>
        <v>Viral Brands</v>
      </c>
      <c r="F9658" s="17" t="str">
        <f>IFERROR(__xludf.DUMMYFUNCTION("""COMPUTED_VALUE"""),"kra 49c 75 47 / lyd house 98 restaurante chuzales / prado")</f>
        <v>kra 49c 75 47 / lyd house 98 restaurante chuzales / prado</v>
      </c>
      <c r="G9658" s="15" t="str">
        <f>IFERROR(__xludf.DUMMYFUNCTION("""COMPUTED_VALUE"""),"chuzales prado")</f>
        <v>chuzales prado</v>
      </c>
      <c r="H9658" s="16">
        <f>IFERROR(__xludf.DUMMYFUNCTION("""COMPUTED_VALUE"""),18407.0)</f>
        <v>18407</v>
      </c>
      <c r="I9658" s="18">
        <f>IFERROR(__xludf.DUMMYFUNCTION("""COMPUTED_VALUE"""),45.0)</f>
        <v>45</v>
      </c>
      <c r="J9658" s="18">
        <f>IFERROR(__xludf.DUMMYFUNCTION("""COMPUTED_VALUE"""),55.0)</f>
        <v>55</v>
      </c>
      <c r="K9658" s="18">
        <f>IFERROR(__xludf.DUMMYFUNCTION("""COMPUTED_VALUE"""),29.0)</f>
        <v>29</v>
      </c>
      <c r="L9658" s="17">
        <f>IFERROR(__xludf.DUMMYFUNCTION("""COMPUTED_VALUE"""),3.017624858E9)</f>
        <v>3017624858</v>
      </c>
      <c r="M9658" s="17"/>
      <c r="N9658" s="17"/>
      <c r="O9658" s="17"/>
      <c r="P9658" s="17" t="b">
        <f>IFERROR(__xludf.DUMMYFUNCTION("""COMPUTED_VALUE"""),FALSE)</f>
        <v>0</v>
      </c>
      <c r="Q9658" s="20" t="str">
        <f>IFERROR(__xludf.DUMMYFUNCTION("""COMPUTED_VALUE"""),"")</f>
        <v/>
      </c>
      <c r="R9658" s="21" t="str">
        <f>IFERROR(__xludf.DUMMYFUNCTION("""COMPUTED_VALUE"""),"https://drive.google.com/file/d/1oyI2hlDjd2uSoKSX6mHpyRVlTRjsWBLq/view?usp=drivesdk")</f>
        <v>https://drive.google.com/file/d/1oyI2hlDjd2uSoKSX6mHpyRVlTRjsWBLq/view?usp=drivesdk</v>
      </c>
    </row>
    <row r="9659">
      <c r="A9659" s="15">
        <f>IFERROR(__xludf.DUMMYFUNCTION("""COMPUTED_VALUE"""),45274.0)</f>
        <v>45274</v>
      </c>
      <c r="B9659" s="16" t="str">
        <f>IFERROR(__xludf.DUMMYFUNCTION("""COMPUTED_VALUE"""),"Envia")</f>
        <v>Envia</v>
      </c>
      <c r="C9659" s="15" t="str">
        <f>IFERROR(__xludf.DUMMYFUNCTION("""COMPUTED_VALUE"""),"BOGOTÁ")</f>
        <v>BOGOTÁ</v>
      </c>
      <c r="D9659" s="15" t="str">
        <f>IFERROR(__xludf.DUMMYFUNCTION("""COMPUTED_VALUE"""),"MEDELLÍN")</f>
        <v>MEDELLÍN</v>
      </c>
      <c r="E9659" s="15" t="str">
        <f>IFERROR(__xludf.DUMMYFUNCTION("""COMPUTED_VALUE"""),"Puro Verde")</f>
        <v>Puro Verde</v>
      </c>
      <c r="F9659" s="17" t="str">
        <f>IFERROR(__xludf.DUMMYFUNCTION("""COMPUTED_VALUE"""),"CRA 16A # 77-23.  / LOCAL 4 / BARRIO EL LAGO")</f>
        <v>CRA 16A # 77-23.  / LOCAL 4 / BARRIO EL LAGO</v>
      </c>
      <c r="G9659" s="15" t="str">
        <f>IFERROR(__xludf.DUMMYFUNCTION("""COMPUTED_VALUE"""),"DANDO CUERDA")</f>
        <v>DANDO CUERDA</v>
      </c>
      <c r="H9659" s="16">
        <f>IFERROR(__xludf.DUMMYFUNCTION("""COMPUTED_VALUE"""),18224.0)</f>
        <v>18224</v>
      </c>
      <c r="I9659" s="18">
        <f>IFERROR(__xludf.DUMMYFUNCTION("""COMPUTED_VALUE"""),55.0)</f>
        <v>55</v>
      </c>
      <c r="J9659" s="18">
        <f>IFERROR(__xludf.DUMMYFUNCTION("""COMPUTED_VALUE"""),45.0)</f>
        <v>45</v>
      </c>
      <c r="K9659" s="18" t="str">
        <f>IFERROR(__xludf.DUMMYFUNCTION("""COMPUTED_VALUE"""),"52.5")</f>
        <v>52.5</v>
      </c>
      <c r="L9659" s="17">
        <f>IFERROR(__xludf.DUMMYFUNCTION("""COMPUTED_VALUE"""),3.163816691E9)</f>
        <v>3163816691</v>
      </c>
      <c r="M9659" s="17"/>
      <c r="N9659" s="17"/>
      <c r="O9659" s="17"/>
      <c r="P9659" s="17" t="b">
        <f>IFERROR(__xludf.DUMMYFUNCTION("""COMPUTED_VALUE"""),FALSE)</f>
        <v>0</v>
      </c>
      <c r="Q9659" s="20" t="str">
        <f>IFERROR(__xludf.DUMMYFUNCTION("""COMPUTED_VALUE"""),"")</f>
        <v/>
      </c>
      <c r="R9659" s="21" t="str">
        <f>IFERROR(__xludf.DUMMYFUNCTION("""COMPUTED_VALUE"""),"https://drive.google.com/file/d/1ovTHGQIihgVK5u9TsISBAwFGf1d3a7lU/view?usp=drivesdk")</f>
        <v>https://drive.google.com/file/d/1ovTHGQIihgVK5u9TsISBAwFGf1d3a7lU/view?usp=drivesdk</v>
      </c>
    </row>
    <row r="9660">
      <c r="A9660" s="15">
        <f>IFERROR(__xludf.DUMMYFUNCTION("""COMPUTED_VALUE"""),45274.0)</f>
        <v>45274</v>
      </c>
      <c r="B9660" s="16" t="str">
        <f>IFERROR(__xludf.DUMMYFUNCTION("""COMPUTED_VALUE"""),"Envia")</f>
        <v>Envia</v>
      </c>
      <c r="C9660" s="15" t="str">
        <f>IFERROR(__xludf.DUMMYFUNCTION("""COMPUTED_VALUE"""),"CARTAGENA")</f>
        <v>CARTAGENA</v>
      </c>
      <c r="D9660" s="15" t="str">
        <f>IFERROR(__xludf.DUMMYFUNCTION("""COMPUTED_VALUE"""),"BOGOTÁ")</f>
        <v>BOGOTÁ</v>
      </c>
      <c r="E9660" s="15" t="str">
        <f>IFERROR(__xludf.DUMMYFUNCTION("""COMPUTED_VALUE"""),"INVERSIONES MOCHI")</f>
        <v>INVERSIONES MOCHI</v>
      </c>
      <c r="F9660" s="17" t="str">
        <f>IFERROR(__xludf.DUMMYFUNCTION("""COMPUTED_VALUE"""),"Cra 11 #39-21 / centro comercial la serrezuela")</f>
        <v>Cra 11 #39-21 / centro comercial la serrezuela</v>
      </c>
      <c r="G9660" s="15" t="str">
        <f>IFERROR(__xludf.DUMMYFUNCTION("""COMPUTED_VALUE"""),"Centro comercial la Serrezuela")</f>
        <v>Centro comercial la Serrezuela</v>
      </c>
      <c r="H9660" s="16">
        <f>IFERROR(__xludf.DUMMYFUNCTION("""COMPUTED_VALUE"""),18398.0)</f>
        <v>18398</v>
      </c>
      <c r="I9660" s="17"/>
      <c r="J9660" s="17"/>
      <c r="K9660" s="17"/>
      <c r="L9660" s="17">
        <f>IFERROR(__xludf.DUMMYFUNCTION("""COMPUTED_VALUE"""),3.116026252E9)</f>
        <v>3116026252</v>
      </c>
      <c r="M9660" s="17"/>
      <c r="N9660" s="17"/>
      <c r="O9660" s="17"/>
      <c r="P9660" s="17" t="b">
        <f>IFERROR(__xludf.DUMMYFUNCTION("""COMPUTED_VALUE"""),FALSE)</f>
        <v>0</v>
      </c>
      <c r="Q9660" s="20" t="str">
        <f>IFERROR(__xludf.DUMMYFUNCTION("""COMPUTED_VALUE"""),"")</f>
        <v/>
      </c>
      <c r="R9660" s="21" t="str">
        <f>IFERROR(__xludf.DUMMYFUNCTION("""COMPUTED_VALUE"""),"https://drive.google.com/file/d/1tTM0cIPYmkV0iwfS0jLh2TeqQnJBGsw3/view?usp=drivesdk")</f>
        <v>https://drive.google.com/file/d/1tTM0cIPYmkV0iwfS0jLh2TeqQnJBGsw3/view?usp=drivesdk</v>
      </c>
    </row>
    <row r="9661">
      <c r="A9661" s="15">
        <f>IFERROR(__xludf.DUMMYFUNCTION("""COMPUTED_VALUE"""),45274.0)</f>
        <v>45274</v>
      </c>
      <c r="B9661" s="16" t="str">
        <f>IFERROR(__xludf.DUMMYFUNCTION("""COMPUTED_VALUE"""),"Envia")</f>
        <v>Envia</v>
      </c>
      <c r="C9661" s="15" t="str">
        <f>IFERROR(__xludf.DUMMYFUNCTION("""COMPUTED_VALUE"""),"CARTAGENA")</f>
        <v>CARTAGENA</v>
      </c>
      <c r="D9661" s="15" t="str">
        <f>IFERROR(__xludf.DUMMYFUNCTION("""COMPUTED_VALUE"""),"ENVIGADO")</f>
        <v>ENVIGADO</v>
      </c>
      <c r="E9661" s="15" t="str">
        <f>IFERROR(__xludf.DUMMYFUNCTION("""COMPUTED_VALUE"""),"RAMBLA")</f>
        <v>RAMBLA</v>
      </c>
      <c r="F9661" s="17" t="str">
        <f>IFERROR(__xludf.DUMMYFUNCTION("""COMPUTED_VALUE"""),"Calle 6 #20 / CC LA ESTANCIA LC 1 10")</f>
        <v>Calle 6 #20 / CC LA ESTANCIA LC 1 10</v>
      </c>
      <c r="G9661" s="15" t="str">
        <f>IFERROR(__xludf.DUMMYFUNCTION("""COMPUTED_VALUE"""),"Cocofit Mercado Saludable S.A.S")</f>
        <v>Cocofit Mercado Saludable S.A.S</v>
      </c>
      <c r="H9661" s="16">
        <f>IFERROR(__xludf.DUMMYFUNCTION("""COMPUTED_VALUE"""),18257.0)</f>
        <v>18257</v>
      </c>
      <c r="I9661" s="17"/>
      <c r="J9661" s="17"/>
      <c r="K9661" s="17"/>
      <c r="L9661" s="17">
        <f>IFERROR(__xludf.DUMMYFUNCTION("""COMPUTED_VALUE"""),3.135781119E9)</f>
        <v>3135781119</v>
      </c>
      <c r="M9661" s="17"/>
      <c r="N9661" s="17"/>
      <c r="O9661" s="17"/>
      <c r="P9661" s="17" t="b">
        <f>IFERROR(__xludf.DUMMYFUNCTION("""COMPUTED_VALUE"""),FALSE)</f>
        <v>0</v>
      </c>
      <c r="Q9661" s="20" t="str">
        <f>IFERROR(__xludf.DUMMYFUNCTION("""COMPUTED_VALUE"""),"")</f>
        <v/>
      </c>
      <c r="R9661" s="21" t="str">
        <f>IFERROR(__xludf.DUMMYFUNCTION("""COMPUTED_VALUE"""),"https://drive.google.com/file/d/16WdT5ywrNh91txxYM-sk-ZUDZKQ8NhD-/view?usp=drivesdk")</f>
        <v>https://drive.google.com/file/d/16WdT5ywrNh91txxYM-sk-ZUDZKQ8NhD-/view?usp=drivesdk</v>
      </c>
    </row>
    <row r="9662">
      <c r="A9662" s="15">
        <f>IFERROR(__xludf.DUMMYFUNCTION("""COMPUTED_VALUE"""),45274.0)</f>
        <v>45274</v>
      </c>
      <c r="B9662" s="16" t="str">
        <f>IFERROR(__xludf.DUMMYFUNCTION("""COMPUTED_VALUE"""),"Envia")</f>
        <v>Envia</v>
      </c>
      <c r="C9662" s="15" t="str">
        <f>IFERROR(__xludf.DUMMYFUNCTION("""COMPUTED_VALUE"""),"CÚCUTA")</f>
        <v>CÚCUTA</v>
      </c>
      <c r="D9662" s="15" t="str">
        <f>IFERROR(__xludf.DUMMYFUNCTION("""COMPUTED_VALUE"""),"MEDELLÍN")</f>
        <v>MEDELLÍN</v>
      </c>
      <c r="E9662" s="15" t="str">
        <f>IFERROR(__xludf.DUMMYFUNCTION("""COMPUTED_VALUE"""),"Momo Tea S.A.S Gabriel Echavarría")</f>
        <v>Momo Tea S.A.S Gabriel Echavarría</v>
      </c>
      <c r="F9662" s="17" t="str">
        <f>IFERROR(__xludf.DUMMYFUNCTION("""COMPUTED_VALUE"""),"CL 11 N 16 E 35 / CA B 1")</f>
        <v>CL 11 N 16 E 35 / CA B 1</v>
      </c>
      <c r="G9662" s="15" t="str">
        <f>IFERROR(__xludf.DUMMYFUNCTION("""COMPUTED_VALUE"""),"Gabriel Echavarría")</f>
        <v>Gabriel Echavarría</v>
      </c>
      <c r="H9662" s="16">
        <f>IFERROR(__xludf.DUMMYFUNCTION("""COMPUTED_VALUE"""),18232.0)</f>
        <v>18232</v>
      </c>
      <c r="I9662" s="18">
        <f>IFERROR(__xludf.DUMMYFUNCTION("""COMPUTED_VALUE"""),21.0)</f>
        <v>21</v>
      </c>
      <c r="J9662" s="18">
        <f>IFERROR(__xludf.DUMMYFUNCTION("""COMPUTED_VALUE"""),29.0)</f>
        <v>29</v>
      </c>
      <c r="K9662" s="18">
        <f>IFERROR(__xludf.DUMMYFUNCTION("""COMPUTED_VALUE"""),29.0)</f>
        <v>29</v>
      </c>
      <c r="L9662" s="17">
        <f>IFERROR(__xludf.DUMMYFUNCTION("""COMPUTED_VALUE"""),3.017909548E9)</f>
        <v>3017909548</v>
      </c>
      <c r="M9662" s="17"/>
      <c r="N9662" s="17"/>
      <c r="O9662" s="17"/>
      <c r="P9662" s="17" t="b">
        <f>IFERROR(__xludf.DUMMYFUNCTION("""COMPUTED_VALUE"""),FALSE)</f>
        <v>0</v>
      </c>
      <c r="Q9662" s="20" t="str">
        <f>IFERROR(__xludf.DUMMYFUNCTION("""COMPUTED_VALUE"""),"")</f>
        <v/>
      </c>
      <c r="R9662" s="21" t="str">
        <f>IFERROR(__xludf.DUMMYFUNCTION("""COMPUTED_VALUE"""),"https://drive.google.com/file/d/1fsbOpZtMOPOvY4ZhSOT8mpiH3aB7RvVn/view?usp=drivesdk")</f>
        <v>https://drive.google.com/file/d/1fsbOpZtMOPOvY4ZhSOT8mpiH3aB7RvVn/view?usp=drivesdk</v>
      </c>
    </row>
    <row r="9663">
      <c r="A9663" s="15">
        <f>IFERROR(__xludf.DUMMYFUNCTION("""COMPUTED_VALUE"""),45274.0)</f>
        <v>45274</v>
      </c>
      <c r="B9663" s="16" t="str">
        <f>IFERROR(__xludf.DUMMYFUNCTION("""COMPUTED_VALUE"""),"Envia")</f>
        <v>Envia</v>
      </c>
      <c r="C9663" s="15" t="str">
        <f>IFERROR(__xludf.DUMMYFUNCTION("""COMPUTED_VALUE"""),"MEDELLÍN")</f>
        <v>MEDELLÍN</v>
      </c>
      <c r="D9663" s="15" t="str">
        <f>IFERROR(__xludf.DUMMYFUNCTION("""COMPUTED_VALUE"""),"BOGOTÁ")</f>
        <v>BOGOTÁ</v>
      </c>
      <c r="E9663" s="15" t="str">
        <f>IFERROR(__xludf.DUMMYFUNCTION("""COMPUTED_VALUE"""),"INVERSIONES MOCHI")</f>
        <v>INVERSIONES MOCHI</v>
      </c>
      <c r="F9663" s="17" t="str">
        <f>IFERROR(__xludf.DUMMYFUNCTION("""COMPUTED_VALUE"""),"CRA 48 #32B SUR-139 ZONA 1 / CENTRO COMERCIAL VIVA ENVIGADO")</f>
        <v>CRA 48 #32B SUR-139 ZONA 1 / CENTRO COMERCIAL VIVA ENVIGADO</v>
      </c>
      <c r="G9663" s="15" t="str">
        <f>IFERROR(__xludf.DUMMYFUNCTION("""COMPUTED_VALUE"""),"CENTRO COMERCIAL VIVA ENVIGADO")</f>
        <v>CENTRO COMERCIAL VIVA ENVIGADO</v>
      </c>
      <c r="H9663" s="16">
        <f>IFERROR(__xludf.DUMMYFUNCTION("""COMPUTED_VALUE"""),18397.0)</f>
        <v>18397</v>
      </c>
      <c r="I9663" s="17"/>
      <c r="J9663" s="17"/>
      <c r="K9663" s="17"/>
      <c r="L9663" s="17">
        <f>IFERROR(__xludf.DUMMYFUNCTION("""COMPUTED_VALUE"""),3.142587995E9)</f>
        <v>3142587995</v>
      </c>
      <c r="M9663" s="17"/>
      <c r="N9663" s="17"/>
      <c r="O9663" s="17"/>
      <c r="P9663" s="17" t="b">
        <f>IFERROR(__xludf.DUMMYFUNCTION("""COMPUTED_VALUE"""),FALSE)</f>
        <v>0</v>
      </c>
      <c r="Q9663" s="20" t="str">
        <f>IFERROR(__xludf.DUMMYFUNCTION("""COMPUTED_VALUE"""),"")</f>
        <v/>
      </c>
      <c r="R9663" s="21" t="str">
        <f>IFERROR(__xludf.DUMMYFUNCTION("""COMPUTED_VALUE"""),"https://drive.google.com/file/d/1a4kPjqBbp2f0mO0AUqjas4pA8EghR807/view?usp=drivesdk")</f>
        <v>https://drive.google.com/file/d/1a4kPjqBbp2f0mO0AUqjas4pA8EghR807/view?usp=drivesdk</v>
      </c>
    </row>
    <row r="9664">
      <c r="A9664" s="15">
        <f>IFERROR(__xludf.DUMMYFUNCTION("""COMPUTED_VALUE"""),45274.0)</f>
        <v>45274</v>
      </c>
      <c r="B9664" s="16" t="str">
        <f>IFERROR(__xludf.DUMMYFUNCTION("""COMPUTED_VALUE"""),"Envia")</f>
        <v>Envia</v>
      </c>
      <c r="C9664" s="15" t="str">
        <f>IFERROR(__xludf.DUMMYFUNCTION("""COMPUTED_VALUE"""),"MEDELLÍN")</f>
        <v>MEDELLÍN</v>
      </c>
      <c r="D9664" s="15" t="str">
        <f>IFERROR(__xludf.DUMMYFUNCTION("""COMPUTED_VALUE"""),"BOGOTÁ")</f>
        <v>BOGOTÁ</v>
      </c>
      <c r="E9664" s="15" t="str">
        <f>IFERROR(__xludf.DUMMYFUNCTION("""COMPUTED_VALUE"""),"Renata")</f>
        <v>Renata</v>
      </c>
      <c r="F9664" s="17" t="str">
        <f>IFERROR(__xludf.DUMMYFUNCTION("""COMPUTED_VALUE"""),"Carrera 32 d #9-43 / Seline y cowork -restaurante  / Provenza")</f>
        <v>Carrera 32 d #9-43 / Seline y cowork -restaurante  / Provenza</v>
      </c>
      <c r="G9664" s="15" t="str">
        <f>IFERROR(__xludf.DUMMYFUNCTION("""COMPUTED_VALUE"""),"Front y back hospitality group")</f>
        <v>Front y back hospitality group</v>
      </c>
      <c r="H9664" s="16">
        <f>IFERROR(__xludf.DUMMYFUNCTION("""COMPUTED_VALUE"""),18361.0)</f>
        <v>18361</v>
      </c>
      <c r="I9664" s="18">
        <f>IFERROR(__xludf.DUMMYFUNCTION("""COMPUTED_VALUE"""),60.0)</f>
        <v>60</v>
      </c>
      <c r="J9664" s="18">
        <f>IFERROR(__xludf.DUMMYFUNCTION("""COMPUTED_VALUE"""),60.0)</f>
        <v>60</v>
      </c>
      <c r="K9664" s="18">
        <f>IFERROR(__xludf.DUMMYFUNCTION("""COMPUTED_VALUE"""),60.0)</f>
        <v>60</v>
      </c>
      <c r="L9664" s="17">
        <f>IFERROR(__xludf.DUMMYFUNCTION("""COMPUTED_VALUE"""),3.104047368E9)</f>
        <v>3104047368</v>
      </c>
      <c r="M9664" s="17"/>
      <c r="N9664" s="17"/>
      <c r="O9664" s="17"/>
      <c r="P9664" s="17" t="b">
        <f>IFERROR(__xludf.DUMMYFUNCTION("""COMPUTED_VALUE"""),FALSE)</f>
        <v>0</v>
      </c>
      <c r="Q9664" s="20" t="str">
        <f>IFERROR(__xludf.DUMMYFUNCTION("""COMPUTED_VALUE"""),"")</f>
        <v/>
      </c>
      <c r="R9664" s="22" t="str">
        <f>IFERROR(__xludf.DUMMYFUNCTION("""COMPUTED_VALUE"""),"")</f>
        <v/>
      </c>
    </row>
    <row r="9665">
      <c r="A9665" s="15">
        <f>IFERROR(__xludf.DUMMYFUNCTION("""COMPUTED_VALUE"""),45274.0)</f>
        <v>45274</v>
      </c>
      <c r="B9665" s="16" t="str">
        <f>IFERROR(__xludf.DUMMYFUNCTION("""COMPUTED_VALUE"""),"Envia")</f>
        <v>Envia</v>
      </c>
      <c r="C9665" s="15" t="str">
        <f>IFERROR(__xludf.DUMMYFUNCTION("""COMPUTED_VALUE"""),"MEDELLÍN")</f>
        <v>MEDELLÍN</v>
      </c>
      <c r="D9665" s="15" t="str">
        <f>IFERROR(__xludf.DUMMYFUNCTION("""COMPUTED_VALUE"""),"CALI")</f>
        <v>CALI</v>
      </c>
      <c r="E9665" s="15" t="str">
        <f>IFERROR(__xludf.DUMMYFUNCTION("""COMPUTED_VALUE"""),"Cliente Nuevo")</f>
        <v>Cliente Nuevo</v>
      </c>
      <c r="F9665" s="17" t="str">
        <f>IFERROR(__xludf.DUMMYFUNCTION("""COMPUTED_VALUE"""),"Cra 52 #11 sur 02  / Interior 302 / Guayabal")</f>
        <v>Cra 52 #11 sur 02  / Interior 302 / Guayabal</v>
      </c>
      <c r="G9665" s="15" t="str">
        <f>IFERROR(__xludf.DUMMYFUNCTION("""COMPUTED_VALUE"""),"Sebastián Gil")</f>
        <v>Sebastián Gil</v>
      </c>
      <c r="H9665" s="16">
        <f>IFERROR(__xludf.DUMMYFUNCTION("""COMPUTED_VALUE"""),18155.0)</f>
        <v>18155</v>
      </c>
      <c r="I9665" s="18">
        <f>IFERROR(__xludf.DUMMYFUNCTION("""COMPUTED_VALUE"""),50.0)</f>
        <v>50</v>
      </c>
      <c r="J9665" s="18">
        <f>IFERROR(__xludf.DUMMYFUNCTION("""COMPUTED_VALUE"""),30.0)</f>
        <v>30</v>
      </c>
      <c r="K9665" s="18">
        <f>IFERROR(__xludf.DUMMYFUNCTION("""COMPUTED_VALUE"""),45.0)</f>
        <v>45</v>
      </c>
      <c r="L9665" s="17">
        <f>IFERROR(__xludf.DUMMYFUNCTION("""COMPUTED_VALUE"""),3.012643183E9)</f>
        <v>3012643183</v>
      </c>
      <c r="M9665" s="17"/>
      <c r="N9665" s="17"/>
      <c r="O9665" s="17"/>
      <c r="P9665" s="17" t="b">
        <f>IFERROR(__xludf.DUMMYFUNCTION("""COMPUTED_VALUE"""),FALSE)</f>
        <v>0</v>
      </c>
      <c r="Q9665" s="20" t="str">
        <f>IFERROR(__xludf.DUMMYFUNCTION("""COMPUTED_VALUE"""),"")</f>
        <v/>
      </c>
      <c r="R9665" s="21" t="str">
        <f>IFERROR(__xludf.DUMMYFUNCTION("""COMPUTED_VALUE"""),"https://drive.google.com/file/d/1Ayr75BFKyO1WArwrES2WIiVE7LKaW1Ed/view?usp=drivesdk")</f>
        <v>https://drive.google.com/file/d/1Ayr75BFKyO1WArwrES2WIiVE7LKaW1Ed/view?usp=drivesdk</v>
      </c>
    </row>
    <row r="9666">
      <c r="A9666" s="15">
        <f>IFERROR(__xludf.DUMMYFUNCTION("""COMPUTED_VALUE"""),45274.0)</f>
        <v>45274</v>
      </c>
      <c r="B9666" s="16" t="str">
        <f>IFERROR(__xludf.DUMMYFUNCTION("""COMPUTED_VALUE"""),"Envia")</f>
        <v>Envia</v>
      </c>
      <c r="C9666" s="15" t="str">
        <f>IFERROR(__xludf.DUMMYFUNCTION("""COMPUTED_VALUE"""),"MEDELLÍN")</f>
        <v>MEDELLÍN</v>
      </c>
      <c r="D9666" s="15" t="str">
        <f>IFERROR(__xludf.DUMMYFUNCTION("""COMPUTED_VALUE"""),"CALI")</f>
        <v>CALI</v>
      </c>
      <c r="E9666" s="15" t="str">
        <f>IFERROR(__xludf.DUMMYFUNCTION("""COMPUTED_VALUE"""),"Shottas")</f>
        <v>Shottas</v>
      </c>
      <c r="F9666" s="17" t="str">
        <f>IFERROR(__xludf.DUMMYFUNCTION("""COMPUTED_VALUE"""),"Cra 52 #11 sur 02  / Interior 302 / Guayabal")</f>
        <v>Cra 52 #11 sur 02  / Interior 302 / Guayabal</v>
      </c>
      <c r="G9666" s="15" t="str">
        <f>IFERROR(__xludf.DUMMYFUNCTION("""COMPUTED_VALUE"""),"Sebastián Gil")</f>
        <v>Sebastián Gil</v>
      </c>
      <c r="H9666" s="16">
        <f>IFERROR(__xludf.DUMMYFUNCTION("""COMPUTED_VALUE"""),18157.0)</f>
        <v>18157</v>
      </c>
      <c r="I9666" s="18">
        <f>IFERROR(__xludf.DUMMYFUNCTION("""COMPUTED_VALUE"""),50.0)</f>
        <v>50</v>
      </c>
      <c r="J9666" s="18">
        <f>IFERROR(__xludf.DUMMYFUNCTION("""COMPUTED_VALUE"""),30.0)</f>
        <v>30</v>
      </c>
      <c r="K9666" s="18">
        <f>IFERROR(__xludf.DUMMYFUNCTION("""COMPUTED_VALUE"""),45.0)</f>
        <v>45</v>
      </c>
      <c r="L9666" s="17">
        <f>IFERROR(__xludf.DUMMYFUNCTION("""COMPUTED_VALUE"""),3.012643183E9)</f>
        <v>3012643183</v>
      </c>
      <c r="M9666" s="17"/>
      <c r="N9666" s="17"/>
      <c r="O9666" s="17"/>
      <c r="P9666" s="17" t="b">
        <f>IFERROR(__xludf.DUMMYFUNCTION("""COMPUTED_VALUE"""),FALSE)</f>
        <v>0</v>
      </c>
      <c r="Q9666" s="20" t="str">
        <f>IFERROR(__xludf.DUMMYFUNCTION("""COMPUTED_VALUE"""),"")</f>
        <v/>
      </c>
      <c r="R9666" s="21" t="str">
        <f>IFERROR(__xludf.DUMMYFUNCTION("""COMPUTED_VALUE"""),"https://drive.google.com/file/d/1pw011-fjRayCiezWL-frMjo4A8FS1RKe/view?usp=drivesdk")</f>
        <v>https://drive.google.com/file/d/1pw011-fjRayCiezWL-frMjo4A8FS1RKe/view?usp=drivesdk</v>
      </c>
    </row>
    <row r="9667">
      <c r="A9667" s="15">
        <f>IFERROR(__xludf.DUMMYFUNCTION("""COMPUTED_VALUE"""),45274.0)</f>
        <v>45274</v>
      </c>
      <c r="B9667" s="16" t="str">
        <f>IFERROR(__xludf.DUMMYFUNCTION("""COMPUTED_VALUE"""),"Envia")</f>
        <v>Envia</v>
      </c>
      <c r="C9667" s="15" t="str">
        <f>IFERROR(__xludf.DUMMYFUNCTION("""COMPUTED_VALUE"""),"NEIVA")</f>
        <v>NEIVA</v>
      </c>
      <c r="D9667" s="15" t="str">
        <f>IFERROR(__xludf.DUMMYFUNCTION("""COMPUTED_VALUE"""),"MEDELLÍN")</f>
        <v>MEDELLÍN</v>
      </c>
      <c r="E9667" s="15" t="str">
        <f>IFERROR(__xludf.DUMMYFUNCTION("""COMPUTED_VALUE"""),"Baby Chef")</f>
        <v>Baby Chef</v>
      </c>
      <c r="F9667" s="17" t="str">
        <f>IFERROR(__xludf.DUMMYFUNCTION("""COMPUTED_VALUE"""),"Avenida 26 # 31 - 68 bloque 6 apto 301 conjunto santa clara barrio cambulos Neiva Huila   / . / .")</f>
        <v>Avenida 26 # 31 - 68 bloque 6 apto 301 conjunto santa clara barrio cambulos Neiva Huila   / . / .</v>
      </c>
      <c r="G9667" s="15" t="str">
        <f>IFERROR(__xludf.DUMMYFUNCTION("""COMPUTED_VALUE"""),"Diana Torres")</f>
        <v>Diana Torres</v>
      </c>
      <c r="H9667" s="16">
        <f>IFERROR(__xludf.DUMMYFUNCTION("""COMPUTED_VALUE"""),18252.0)</f>
        <v>18252</v>
      </c>
      <c r="I9667" s="18">
        <f>IFERROR(__xludf.DUMMYFUNCTION("""COMPUTED_VALUE"""),11.0)</f>
        <v>11</v>
      </c>
      <c r="J9667" s="18">
        <f>IFERROR(__xludf.DUMMYFUNCTION("""COMPUTED_VALUE"""),21.0)</f>
        <v>21</v>
      </c>
      <c r="K9667" s="18">
        <f>IFERROR(__xludf.DUMMYFUNCTION("""COMPUTED_VALUE"""),37.0)</f>
        <v>37</v>
      </c>
      <c r="L9667" s="17">
        <f>IFERROR(__xludf.DUMMYFUNCTION("""COMPUTED_VALUE"""),3.186937781E9)</f>
        <v>3186937781</v>
      </c>
      <c r="M9667" s="17"/>
      <c r="N9667" s="17"/>
      <c r="O9667" s="17"/>
      <c r="P9667" s="17" t="b">
        <f>IFERROR(__xludf.DUMMYFUNCTION("""COMPUTED_VALUE"""),FALSE)</f>
        <v>0</v>
      </c>
      <c r="Q9667" s="20" t="str">
        <f>IFERROR(__xludf.DUMMYFUNCTION("""COMPUTED_VALUE"""),"")</f>
        <v/>
      </c>
      <c r="R9667" s="21" t="str">
        <f>IFERROR(__xludf.DUMMYFUNCTION("""COMPUTED_VALUE"""),"https://drive.google.com/file/d/1yLNBYRSgr_gtsFn-S7Fk6vCuUO8GBguX/view?usp=drivesdk")</f>
        <v>https://drive.google.com/file/d/1yLNBYRSgr_gtsFn-S7Fk6vCuUO8GBguX/view?usp=drivesdk</v>
      </c>
    </row>
    <row r="9668">
      <c r="A9668" s="17" t="str">
        <f>IFERROR(__xludf.DUMMYFUNCTION("""COMPUTED_VALUE"""),"")</f>
        <v/>
      </c>
      <c r="B9668" s="17" t="str">
        <f>IFERROR(__xludf.DUMMYFUNCTION("""COMPUTED_VALUE"""),"")</f>
        <v/>
      </c>
      <c r="C9668" s="17" t="str">
        <f>IFERROR(__xludf.DUMMYFUNCTION("""COMPUTED_VALUE"""),"")</f>
        <v/>
      </c>
      <c r="D9668" s="17" t="str">
        <f>IFERROR(__xludf.DUMMYFUNCTION("""COMPUTED_VALUE"""),"")</f>
        <v/>
      </c>
      <c r="E9668" s="17" t="str">
        <f>IFERROR(__xludf.DUMMYFUNCTION("""COMPUTED_VALUE"""),"")</f>
        <v/>
      </c>
      <c r="F9668" s="17" t="str">
        <f>IFERROR(__xludf.DUMMYFUNCTION("""COMPUTED_VALUE"""),"")</f>
        <v/>
      </c>
      <c r="G9668" s="17" t="str">
        <f>IFERROR(__xludf.DUMMYFUNCTION("""COMPUTED_VALUE"""),"")</f>
        <v/>
      </c>
      <c r="H9668" s="17" t="str">
        <f>IFERROR(__xludf.DUMMYFUNCTION("""COMPUTED_VALUE"""),"")</f>
        <v/>
      </c>
      <c r="I9668" s="17" t="str">
        <f>IFERROR(__xludf.DUMMYFUNCTION("""COMPUTED_VALUE"""),"")</f>
        <v/>
      </c>
      <c r="J9668" s="17" t="str">
        <f>IFERROR(__xludf.DUMMYFUNCTION("""COMPUTED_VALUE"""),"")</f>
        <v/>
      </c>
      <c r="K9668" s="17" t="str">
        <f>IFERROR(__xludf.DUMMYFUNCTION("""COMPUTED_VALUE"""),"")</f>
        <v/>
      </c>
      <c r="L9668" s="17" t="str">
        <f>IFERROR(__xludf.DUMMYFUNCTION("""COMPUTED_VALUE"""),"")</f>
        <v/>
      </c>
      <c r="M9668" s="17" t="str">
        <f>IFERROR(__xludf.DUMMYFUNCTION("""COMPUTED_VALUE"""),"")</f>
        <v/>
      </c>
      <c r="N9668" s="17" t="str">
        <f>IFERROR(__xludf.DUMMYFUNCTION("""COMPUTED_VALUE"""),"")</f>
        <v/>
      </c>
      <c r="O9668" s="17" t="str">
        <f>IFERROR(__xludf.DUMMYFUNCTION("""COMPUTED_VALUE"""),"")</f>
        <v/>
      </c>
      <c r="P9668" s="17" t="str">
        <f>IFERROR(__xludf.DUMMYFUNCTION("""COMPUTED_VALUE"""),"")</f>
        <v/>
      </c>
      <c r="Q9668" s="17" t="str">
        <f>IFERROR(__xludf.DUMMYFUNCTION("""COMPUTED_VALUE"""),"")</f>
        <v/>
      </c>
      <c r="R9668" s="17" t="str">
        <f>IFERROR(__xludf.DUMMYFUNCTION("""COMPUTED_VALUE"""),"")</f>
        <v/>
      </c>
    </row>
    <row r="9669">
      <c r="A9669" s="15">
        <f>IFERROR(__xludf.DUMMYFUNCTION("""COMPUTED_VALUE"""),45274.0)</f>
        <v>45274</v>
      </c>
      <c r="B9669" s="16" t="str">
        <f>IFERROR(__xludf.DUMMYFUNCTION("""COMPUTED_VALUE"""),"Gustavo Medina Ibañez")</f>
        <v>Gustavo Medina Ibañez</v>
      </c>
      <c r="C9669" s="15" t="str">
        <f>IFERROR(__xludf.DUMMYFUNCTION("""COMPUTED_VALUE"""),"YOPAL")</f>
        <v>YOPAL</v>
      </c>
      <c r="D9669" s="15" t="str">
        <f>IFERROR(__xludf.DUMMYFUNCTION("""COMPUTED_VALUE"""),"BOGOTÁ")</f>
        <v>BOGOTÁ</v>
      </c>
      <c r="E9669" s="15" t="str">
        <f>IFERROR(__xludf.DUMMYFUNCTION("""COMPUTED_VALUE"""),"Top Spun")</f>
        <v>Top Spun</v>
      </c>
      <c r="F9669" s="17" t="str">
        <f>IFERROR(__xludf.DUMMYFUNCTION("""COMPUTED_VALUE"""),"CALLE 20 # 10A-47 / CASA / YOPAL CASANARE")</f>
        <v>CALLE 20 # 10A-47 / CASA / YOPAL CASANARE</v>
      </c>
      <c r="G9669" s="15" t="str">
        <f>IFERROR(__xludf.DUMMYFUNCTION("""COMPUTED_VALUE"""),"SANDRA GUZMAN")</f>
        <v>SANDRA GUZMAN</v>
      </c>
      <c r="H9669" s="16">
        <f>IFERROR(__xludf.DUMMYFUNCTION("""COMPUTED_VALUE"""),18354.0)</f>
        <v>18354</v>
      </c>
      <c r="I9669" s="18">
        <f>IFERROR(__xludf.DUMMYFUNCTION("""COMPUTED_VALUE"""),30.0)</f>
        <v>30</v>
      </c>
      <c r="J9669" s="18">
        <f>IFERROR(__xludf.DUMMYFUNCTION("""COMPUTED_VALUE"""),50.0)</f>
        <v>50</v>
      </c>
      <c r="K9669" s="18">
        <f>IFERROR(__xludf.DUMMYFUNCTION("""COMPUTED_VALUE"""),21.0)</f>
        <v>21</v>
      </c>
      <c r="L9669" s="17">
        <f>IFERROR(__xludf.DUMMYFUNCTION("""COMPUTED_VALUE"""),3.004863383E9)</f>
        <v>3004863383</v>
      </c>
      <c r="M9669" s="17"/>
      <c r="N9669" s="17"/>
      <c r="O9669" s="17"/>
      <c r="P9669" s="17" t="b">
        <f>IFERROR(__xludf.DUMMYFUNCTION("""COMPUTED_VALUE"""),FALSE)</f>
        <v>0</v>
      </c>
      <c r="Q9669" s="20" t="str">
        <f>IFERROR(__xludf.DUMMYFUNCTION("""COMPUTED_VALUE"""),"")</f>
        <v/>
      </c>
      <c r="R9669" s="22" t="str">
        <f>IFERROR(__xludf.DUMMYFUNCTION("""COMPUTED_VALUE"""),"")</f>
        <v/>
      </c>
    </row>
    <row r="9670">
      <c r="A9670" s="15">
        <f>IFERROR(__xludf.DUMMYFUNCTION("""COMPUTED_VALUE"""),45274.0)</f>
        <v>45274</v>
      </c>
      <c r="B9670" s="16" t="str">
        <f>IFERROR(__xludf.DUMMYFUNCTION("""COMPUTED_VALUE"""),"Gustavo Medina Ibañez")</f>
        <v>Gustavo Medina Ibañez</v>
      </c>
      <c r="C9670" s="15" t="str">
        <f>IFERROR(__xludf.DUMMYFUNCTION("""COMPUTED_VALUE"""),"YOPAL")</f>
        <v>YOPAL</v>
      </c>
      <c r="D9670" s="15" t="str">
        <f>IFERROR(__xludf.DUMMYFUNCTION("""COMPUTED_VALUE"""),"MEDELLÍN")</f>
        <v>MEDELLÍN</v>
      </c>
      <c r="E9670" s="15" t="str">
        <f>IFERROR(__xludf.DUMMYFUNCTION("""COMPUTED_VALUE"""),"Baby Chef")</f>
        <v>Baby Chef</v>
      </c>
      <c r="F9670" s="17" t="str">
        <f>IFERROR(__xludf.DUMMYFUNCTION("""COMPUTED_VALUE"""),"Calle 10-19-29 Centro Yopal Casanare / . / .")</f>
        <v>Calle 10-19-29 Centro Yopal Casanare / . / .</v>
      </c>
      <c r="G9670" s="15" t="str">
        <f>IFERROR(__xludf.DUMMYFUNCTION("""COMPUTED_VALUE"""),"Erika castro")</f>
        <v>Erika castro</v>
      </c>
      <c r="H9670" s="16">
        <f>IFERROR(__xludf.DUMMYFUNCTION("""COMPUTED_VALUE"""),18278.0)</f>
        <v>18278</v>
      </c>
      <c r="I9670" s="18">
        <f>IFERROR(__xludf.DUMMYFUNCTION("""COMPUTED_VALUE"""),8.0)</f>
        <v>8</v>
      </c>
      <c r="J9670" s="18">
        <f>IFERROR(__xludf.DUMMYFUNCTION("""COMPUTED_VALUE"""),23.0)</f>
        <v>23</v>
      </c>
      <c r="K9670" s="18">
        <f>IFERROR(__xludf.DUMMYFUNCTION("""COMPUTED_VALUE"""),26.0)</f>
        <v>26</v>
      </c>
      <c r="L9670" s="17">
        <f>IFERROR(__xludf.DUMMYFUNCTION("""COMPUTED_VALUE"""),3.212127574E9)</f>
        <v>3212127574</v>
      </c>
      <c r="M9670" s="17"/>
      <c r="N9670" s="17"/>
      <c r="O9670" s="17"/>
      <c r="P9670" s="17" t="b">
        <f>IFERROR(__xludf.DUMMYFUNCTION("""COMPUTED_VALUE"""),FALSE)</f>
        <v>0</v>
      </c>
      <c r="Q9670" s="20" t="str">
        <f>IFERROR(__xludf.DUMMYFUNCTION("""COMPUTED_VALUE"""),"")</f>
        <v/>
      </c>
      <c r="R9670" s="22" t="str">
        <f>IFERROR(__xludf.DUMMYFUNCTION("""COMPUTED_VALUE"""),"")</f>
        <v/>
      </c>
    </row>
    <row r="9671">
      <c r="A9671" s="17" t="str">
        <f>IFERROR(__xludf.DUMMYFUNCTION("""COMPUTED_VALUE"""),"")</f>
        <v/>
      </c>
      <c r="B9671" s="17" t="str">
        <f>IFERROR(__xludf.DUMMYFUNCTION("""COMPUTED_VALUE"""),"")</f>
        <v/>
      </c>
      <c r="C9671" s="17" t="str">
        <f>IFERROR(__xludf.DUMMYFUNCTION("""COMPUTED_VALUE"""),"")</f>
        <v/>
      </c>
      <c r="D9671" s="17" t="str">
        <f>IFERROR(__xludf.DUMMYFUNCTION("""COMPUTED_VALUE"""),"")</f>
        <v/>
      </c>
      <c r="E9671" s="17" t="str">
        <f>IFERROR(__xludf.DUMMYFUNCTION("""COMPUTED_VALUE"""),"")</f>
        <v/>
      </c>
      <c r="F9671" s="17" t="str">
        <f>IFERROR(__xludf.DUMMYFUNCTION("""COMPUTED_VALUE"""),"")</f>
        <v/>
      </c>
      <c r="G9671" s="17" t="str">
        <f>IFERROR(__xludf.DUMMYFUNCTION("""COMPUTED_VALUE"""),"")</f>
        <v/>
      </c>
      <c r="H9671" s="17" t="str">
        <f>IFERROR(__xludf.DUMMYFUNCTION("""COMPUTED_VALUE"""),"")</f>
        <v/>
      </c>
      <c r="I9671" s="17" t="str">
        <f>IFERROR(__xludf.DUMMYFUNCTION("""COMPUTED_VALUE"""),"")</f>
        <v/>
      </c>
      <c r="J9671" s="17" t="str">
        <f>IFERROR(__xludf.DUMMYFUNCTION("""COMPUTED_VALUE"""),"")</f>
        <v/>
      </c>
      <c r="K9671" s="17" t="str">
        <f>IFERROR(__xludf.DUMMYFUNCTION("""COMPUTED_VALUE"""),"")</f>
        <v/>
      </c>
      <c r="L9671" s="17" t="str">
        <f>IFERROR(__xludf.DUMMYFUNCTION("""COMPUTED_VALUE"""),"")</f>
        <v/>
      </c>
      <c r="M9671" s="17" t="str">
        <f>IFERROR(__xludf.DUMMYFUNCTION("""COMPUTED_VALUE"""),"")</f>
        <v/>
      </c>
      <c r="N9671" s="17" t="str">
        <f>IFERROR(__xludf.DUMMYFUNCTION("""COMPUTED_VALUE"""),"")</f>
        <v/>
      </c>
      <c r="O9671" s="17" t="str">
        <f>IFERROR(__xludf.DUMMYFUNCTION("""COMPUTED_VALUE"""),"")</f>
        <v/>
      </c>
      <c r="P9671" s="17" t="str">
        <f>IFERROR(__xludf.DUMMYFUNCTION("""COMPUTED_VALUE"""),"")</f>
        <v/>
      </c>
      <c r="Q9671" s="17" t="str">
        <f>IFERROR(__xludf.DUMMYFUNCTION("""COMPUTED_VALUE"""),"")</f>
        <v/>
      </c>
      <c r="R9671" s="17" t="str">
        <f>IFERROR(__xludf.DUMMYFUNCTION("""COMPUTED_VALUE"""),"")</f>
        <v/>
      </c>
    </row>
    <row r="9672">
      <c r="A9672" s="15">
        <f>IFERROR(__xludf.DUMMYFUNCTION("""COMPUTED_VALUE"""),45274.0)</f>
        <v>45274</v>
      </c>
      <c r="B9672" s="16" t="str">
        <f>IFERROR(__xludf.DUMMYFUNCTION("""COMPUTED_VALUE"""),"Johan Alexander Escobar Arroyo ")</f>
        <v>Johan Alexander Escobar Arroyo </v>
      </c>
      <c r="C9672" s="15" t="str">
        <f>IFERROR(__xludf.DUMMYFUNCTION("""COMPUTED_VALUE"""),"CALI")</f>
        <v>CALI</v>
      </c>
      <c r="D9672" s="15" t="str">
        <f>IFERROR(__xludf.DUMMYFUNCTION("""COMPUTED_VALUE"""),"MEDELLÍN")</f>
        <v>MEDELLÍN</v>
      </c>
      <c r="E9672" s="15" t="str">
        <f>IFERROR(__xludf.DUMMYFUNCTION("""COMPUTED_VALUE"""),"Moloso S.A.S")</f>
        <v>Moloso S.A.S</v>
      </c>
      <c r="F9672" s="17" t="str">
        <f>IFERROR(__xludf.DUMMYFUNCTION("""COMPUTED_VALUE"""),"CL 14 NORTE 9N 25 / ED MULTIFAMILIAR GRANADA AP 302")</f>
        <v>CL 14 NORTE 9N 25 / ED MULTIFAMILIAR GRANADA AP 302</v>
      </c>
      <c r="G9672" s="15" t="str">
        <f>IFERROR(__xludf.DUMMYFUNCTION("""COMPUTED_VALUE"""),"LAURA MURILLO QUIROGA")</f>
        <v>LAURA MURILLO QUIROGA</v>
      </c>
      <c r="H9672" s="16">
        <f>IFERROR(__xludf.DUMMYFUNCTION("""COMPUTED_VALUE"""),18336.0)</f>
        <v>18336</v>
      </c>
      <c r="I9672" s="17"/>
      <c r="J9672" s="17"/>
      <c r="K9672" s="17"/>
      <c r="L9672" s="17"/>
      <c r="M9672" s="17"/>
      <c r="N9672" s="17"/>
      <c r="O9672" s="17"/>
      <c r="P9672" s="17" t="b">
        <f>IFERROR(__xludf.DUMMYFUNCTION("""COMPUTED_VALUE"""),FALSE)</f>
        <v>0</v>
      </c>
      <c r="Q9672" s="20" t="str">
        <f>IFERROR(__xludf.DUMMYFUNCTION("""COMPUTED_VALUE"""),"")</f>
        <v/>
      </c>
      <c r="R9672" s="21" t="str">
        <f>IFERROR(__xludf.DUMMYFUNCTION("""COMPUTED_VALUE"""),"https://drive.google.com/file/d/1P_4ybCKfvInECymt2DLwTNSMDV9jNwOp/view?usp=drivesdk")</f>
        <v>https://drive.google.com/file/d/1P_4ybCKfvInECymt2DLwTNSMDV9jNwOp/view?usp=drivesdk</v>
      </c>
    </row>
    <row r="9673">
      <c r="A9673" s="15">
        <f>IFERROR(__xludf.DUMMYFUNCTION("""COMPUTED_VALUE"""),45274.0)</f>
        <v>45274</v>
      </c>
      <c r="B9673" s="16" t="str">
        <f>IFERROR(__xludf.DUMMYFUNCTION("""COMPUTED_VALUE"""),"Johan Alexander Escobar Arroyo ")</f>
        <v>Johan Alexander Escobar Arroyo </v>
      </c>
      <c r="C9673" s="15" t="str">
        <f>IFERROR(__xludf.DUMMYFUNCTION("""COMPUTED_VALUE"""),"CALI")</f>
        <v>CALI</v>
      </c>
      <c r="D9673" s="15" t="str">
        <f>IFERROR(__xludf.DUMMYFUNCTION("""COMPUTED_VALUE"""),"MEDELLÍN")</f>
        <v>MEDELLÍN</v>
      </c>
      <c r="E9673" s="15" t="str">
        <f>IFERROR(__xludf.DUMMYFUNCTION("""COMPUTED_VALUE"""),"Terravocado")</f>
        <v>Terravocado</v>
      </c>
      <c r="F9673" s="17" t="str">
        <f>IFERROR(__xludf.DUMMYFUNCTION("""COMPUTED_VALUE"""),"CLL 4 # 26 - 13 / CLL 4 # 26 - 13 / SAN FERNANDO")</f>
        <v>CLL 4 # 26 - 13 / CLL 4 # 26 - 13 / SAN FERNANDO</v>
      </c>
      <c r="G9673" s="15" t="str">
        <f>IFERROR(__xludf.DUMMYFUNCTION("""COMPUTED_VALUE"""),"LA RUTA HAMBURGUESERIA")</f>
        <v>LA RUTA HAMBURGUESERIA</v>
      </c>
      <c r="H9673" s="16">
        <f>IFERROR(__xludf.DUMMYFUNCTION("""COMPUTED_VALUE"""),18156.0)</f>
        <v>18156</v>
      </c>
      <c r="I9673" s="18">
        <f>IFERROR(__xludf.DUMMYFUNCTION("""COMPUTED_VALUE"""),20.0)</f>
        <v>20</v>
      </c>
      <c r="J9673" s="18">
        <f>IFERROR(__xludf.DUMMYFUNCTION("""COMPUTED_VALUE"""),24.0)</f>
        <v>24</v>
      </c>
      <c r="K9673" s="18">
        <f>IFERROR(__xludf.DUMMYFUNCTION("""COMPUTED_VALUE"""),34.0)</f>
        <v>34</v>
      </c>
      <c r="L9673" s="17">
        <f>IFERROR(__xludf.DUMMYFUNCTION("""COMPUTED_VALUE"""),3.155804277E9)</f>
        <v>3155804277</v>
      </c>
      <c r="M9673" s="17"/>
      <c r="N9673" s="17"/>
      <c r="O9673" s="17"/>
      <c r="P9673" s="17" t="b">
        <f>IFERROR(__xludf.DUMMYFUNCTION("""COMPUTED_VALUE"""),FALSE)</f>
        <v>0</v>
      </c>
      <c r="Q9673" s="20" t="str">
        <f>IFERROR(__xludf.DUMMYFUNCTION("""COMPUTED_VALUE"""),"")</f>
        <v/>
      </c>
      <c r="R9673" s="21" t="str">
        <f>IFERROR(__xludf.DUMMYFUNCTION("""COMPUTED_VALUE"""),"https://drive.google.com/file/d/1J5sBAWqq567fYAYLFl9xUxslf2GOiWyA/view?usp=drivesdk")</f>
        <v>https://drive.google.com/file/d/1J5sBAWqq567fYAYLFl9xUxslf2GOiWyA/view?usp=drivesdk</v>
      </c>
    </row>
    <row r="9674">
      <c r="A9674" s="17" t="str">
        <f>IFERROR(__xludf.DUMMYFUNCTION("""COMPUTED_VALUE"""),"")</f>
        <v/>
      </c>
      <c r="B9674" s="17" t="str">
        <f>IFERROR(__xludf.DUMMYFUNCTION("""COMPUTED_VALUE"""),"")</f>
        <v/>
      </c>
      <c r="C9674" s="17" t="str">
        <f>IFERROR(__xludf.DUMMYFUNCTION("""COMPUTED_VALUE"""),"")</f>
        <v/>
      </c>
      <c r="D9674" s="17" t="str">
        <f>IFERROR(__xludf.DUMMYFUNCTION("""COMPUTED_VALUE"""),"")</f>
        <v/>
      </c>
      <c r="E9674" s="17" t="str">
        <f>IFERROR(__xludf.DUMMYFUNCTION("""COMPUTED_VALUE"""),"")</f>
        <v/>
      </c>
      <c r="F9674" s="17" t="str">
        <f>IFERROR(__xludf.DUMMYFUNCTION("""COMPUTED_VALUE"""),"")</f>
        <v/>
      </c>
      <c r="G9674" s="17" t="str">
        <f>IFERROR(__xludf.DUMMYFUNCTION("""COMPUTED_VALUE"""),"")</f>
        <v/>
      </c>
      <c r="H9674" s="17" t="str">
        <f>IFERROR(__xludf.DUMMYFUNCTION("""COMPUTED_VALUE"""),"")</f>
        <v/>
      </c>
      <c r="I9674" s="17" t="str">
        <f>IFERROR(__xludf.DUMMYFUNCTION("""COMPUTED_VALUE"""),"")</f>
        <v/>
      </c>
      <c r="J9674" s="17" t="str">
        <f>IFERROR(__xludf.DUMMYFUNCTION("""COMPUTED_VALUE"""),"")</f>
        <v/>
      </c>
      <c r="K9674" s="17" t="str">
        <f>IFERROR(__xludf.DUMMYFUNCTION("""COMPUTED_VALUE"""),"")</f>
        <v/>
      </c>
      <c r="L9674" s="17" t="str">
        <f>IFERROR(__xludf.DUMMYFUNCTION("""COMPUTED_VALUE"""),"")</f>
        <v/>
      </c>
      <c r="M9674" s="17" t="str">
        <f>IFERROR(__xludf.DUMMYFUNCTION("""COMPUTED_VALUE"""),"")</f>
        <v/>
      </c>
      <c r="N9674" s="17" t="str">
        <f>IFERROR(__xludf.DUMMYFUNCTION("""COMPUTED_VALUE"""),"")</f>
        <v/>
      </c>
      <c r="O9674" s="17" t="str">
        <f>IFERROR(__xludf.DUMMYFUNCTION("""COMPUTED_VALUE"""),"")</f>
        <v/>
      </c>
      <c r="P9674" s="17" t="str">
        <f>IFERROR(__xludf.DUMMYFUNCTION("""COMPUTED_VALUE"""),"")</f>
        <v/>
      </c>
      <c r="Q9674" s="17" t="str">
        <f>IFERROR(__xludf.DUMMYFUNCTION("""COMPUTED_VALUE"""),"")</f>
        <v/>
      </c>
      <c r="R9674" s="17" t="str">
        <f>IFERROR(__xludf.DUMMYFUNCTION("""COMPUTED_VALUE"""),"")</f>
        <v/>
      </c>
    </row>
    <row r="9675">
      <c r="A9675" s="15">
        <f>IFERROR(__xludf.DUMMYFUNCTION("""COMPUTED_VALUE"""),45274.0)</f>
        <v>45274</v>
      </c>
      <c r="B9675" s="16" t="str">
        <f>IFERROR(__xludf.DUMMYFUNCTION("""COMPUTED_VALUE"""),"Johanna Arango Barrera")</f>
        <v>Johanna Arango Barrera</v>
      </c>
      <c r="C9675" s="15" t="str">
        <f>IFERROR(__xludf.DUMMYFUNCTION("""COMPUTED_VALUE"""),"BUCARAMANGA")</f>
        <v>BUCARAMANGA</v>
      </c>
      <c r="D9675" s="15" t="str">
        <f>IFERROR(__xludf.DUMMYFUNCTION("""COMPUTED_VALUE"""),"BOGOTÁ")</f>
        <v>BOGOTÁ</v>
      </c>
      <c r="E9675" s="15" t="str">
        <f>IFERROR(__xludf.DUMMYFUNCTION("""COMPUTED_VALUE"""),"50 Gr Alfajores")</f>
        <v>50 Gr Alfajores</v>
      </c>
      <c r="F9675" s="17" t="str">
        <f>IFERROR(__xludf.DUMMYFUNCTION("""COMPUTED_VALUE"""),"Carrera 29 # 92-49 / Torre 7 - apto -401 - portería 2 / Torres de Alejandría")</f>
        <v>Carrera 29 # 92-49 / Torre 7 - apto -401 - portería 2 / Torres de Alejandría</v>
      </c>
      <c r="G9675" s="15" t="str">
        <f>IFERROR(__xludf.DUMMYFUNCTION("""COMPUTED_VALUE"""),"Fanny Barajas")</f>
        <v>Fanny Barajas</v>
      </c>
      <c r="H9675" s="16">
        <f>IFERROR(__xludf.DUMMYFUNCTION("""COMPUTED_VALUE"""),18366.0)</f>
        <v>18366</v>
      </c>
      <c r="I9675" s="18">
        <f>IFERROR(__xludf.DUMMYFUNCTION("""COMPUTED_VALUE"""),6.0)</f>
        <v>6</v>
      </c>
      <c r="J9675" s="18">
        <f>IFERROR(__xludf.DUMMYFUNCTION("""COMPUTED_VALUE"""),6.0)</f>
        <v>6</v>
      </c>
      <c r="K9675" s="18">
        <f>IFERROR(__xludf.DUMMYFUNCTION("""COMPUTED_VALUE"""),17.0)</f>
        <v>17</v>
      </c>
      <c r="L9675" s="17">
        <f>IFERROR(__xludf.DUMMYFUNCTION("""COMPUTED_VALUE"""),3.182801151E9)</f>
        <v>3182801151</v>
      </c>
      <c r="M9675" s="17"/>
      <c r="N9675" s="17"/>
      <c r="O9675" s="17"/>
      <c r="P9675" s="17" t="b">
        <f>IFERROR(__xludf.DUMMYFUNCTION("""COMPUTED_VALUE"""),FALSE)</f>
        <v>0</v>
      </c>
      <c r="Q9675" s="20" t="str">
        <f>IFERROR(__xludf.DUMMYFUNCTION("""COMPUTED_VALUE"""),"")</f>
        <v/>
      </c>
      <c r="R9675" s="21" t="str">
        <f>IFERROR(__xludf.DUMMYFUNCTION("""COMPUTED_VALUE"""),"https://drive.google.com/file/d/1Az6FReBt5OGz6qQPDERivO3Y1ru0hYLi/view?usp=drivesdk")</f>
        <v>https://drive.google.com/file/d/1Az6FReBt5OGz6qQPDERivO3Y1ru0hYLi/view?usp=drivesdk</v>
      </c>
    </row>
    <row r="9676">
      <c r="A9676" s="15">
        <f>IFERROR(__xludf.DUMMYFUNCTION("""COMPUTED_VALUE"""),45274.0)</f>
        <v>45274</v>
      </c>
      <c r="B9676" s="16" t="str">
        <f>IFERROR(__xludf.DUMMYFUNCTION("""COMPUTED_VALUE"""),"Johanna Arango Barrera")</f>
        <v>Johanna Arango Barrera</v>
      </c>
      <c r="C9676" s="15" t="str">
        <f>IFERROR(__xludf.DUMMYFUNCTION("""COMPUTED_VALUE"""),"BUCARAMANGA")</f>
        <v>BUCARAMANGA</v>
      </c>
      <c r="D9676" s="15" t="str">
        <f>IFERROR(__xludf.DUMMYFUNCTION("""COMPUTED_VALUE"""),"BOGOTÁ")</f>
        <v>BOGOTÁ</v>
      </c>
      <c r="E9676" s="15" t="str">
        <f>IFERROR(__xludf.DUMMYFUNCTION("""COMPUTED_VALUE"""),"Instinto alimento vital")</f>
        <v>Instinto alimento vital</v>
      </c>
      <c r="F9676" s="17" t="str">
        <f>IFERROR(__xludf.DUMMYFUNCTION("""COMPUTED_VALUE"""),"CL 31 30 08 / AP 501")</f>
        <v>CL 31 30 08 / AP 501</v>
      </c>
      <c r="G9676" s="15" t="str">
        <f>IFERROR(__xludf.DUMMYFUNCTION("""COMPUTED_VALUE"""),"LARRY ALBERTO LOPEZ MACANA")</f>
        <v>LARRY ALBERTO LOPEZ MACANA</v>
      </c>
      <c r="H9676" s="16">
        <f>IFERROR(__xludf.DUMMYFUNCTION("""COMPUTED_VALUE"""),18372.0)</f>
        <v>18372</v>
      </c>
      <c r="I9676" s="17"/>
      <c r="J9676" s="17"/>
      <c r="K9676" s="17"/>
      <c r="L9676" s="17">
        <f>IFERROR(__xludf.DUMMYFUNCTION("""COMPUTED_VALUE"""),3.185709801E9)</f>
        <v>3185709801</v>
      </c>
      <c r="M9676" s="17"/>
      <c r="N9676" s="17"/>
      <c r="O9676" s="17"/>
      <c r="P9676" s="17" t="b">
        <f>IFERROR(__xludf.DUMMYFUNCTION("""COMPUTED_VALUE"""),FALSE)</f>
        <v>0</v>
      </c>
      <c r="Q9676" s="20" t="str">
        <f>IFERROR(__xludf.DUMMYFUNCTION("""COMPUTED_VALUE"""),"")</f>
        <v/>
      </c>
      <c r="R9676" s="21" t="str">
        <f>IFERROR(__xludf.DUMMYFUNCTION("""COMPUTED_VALUE"""),"https://drive.google.com/file/d/1Ctehw24FJIMzvpK4KKv0y0t3okkxpinE/view?usp=drivesdk")</f>
        <v>https://drive.google.com/file/d/1Ctehw24FJIMzvpK4KKv0y0t3okkxpinE/view?usp=drivesdk</v>
      </c>
    </row>
    <row r="9677">
      <c r="A9677" s="15">
        <f>IFERROR(__xludf.DUMMYFUNCTION("""COMPUTED_VALUE"""),45274.0)</f>
        <v>45274</v>
      </c>
      <c r="B9677" s="16" t="str">
        <f>IFERROR(__xludf.DUMMYFUNCTION("""COMPUTED_VALUE"""),"Johanna Arango Barrera")</f>
        <v>Johanna Arango Barrera</v>
      </c>
      <c r="C9677" s="15" t="str">
        <f>IFERROR(__xludf.DUMMYFUNCTION("""COMPUTED_VALUE"""),"BUCARAMANGA")</f>
        <v>BUCARAMANGA</v>
      </c>
      <c r="D9677" s="15" t="str">
        <f>IFERROR(__xludf.DUMMYFUNCTION("""COMPUTED_VALUE"""),"BOGOTÁ")</f>
        <v>BOGOTÁ</v>
      </c>
      <c r="E9677" s="15" t="str">
        <f>IFERROR(__xludf.DUMMYFUNCTION("""COMPUTED_VALUE"""),"LINA PAOLA RAMIREZ GOMEZ - EVA MAZZITA")</f>
        <v>LINA PAOLA RAMIREZ GOMEZ - EVA MAZZITA</v>
      </c>
      <c r="F9677" s="17" t="str">
        <f>IFERROR(__xludf.DUMMYFUNCTION("""COMPUTED_VALUE"""),"AVDA. 87 No. 24 - 09 / TORRE 1 APTO 2007 CONJUNTO DIMANTI BARRIO DIAMANTE 2")</f>
        <v>AVDA. 87 No. 24 - 09 / TORRE 1 APTO 2007 CONJUNTO DIMANTI BARRIO DIAMANTE 2</v>
      </c>
      <c r="G9677" s="15" t="str">
        <f>IFERROR(__xludf.DUMMYFUNCTION("""COMPUTED_VALUE"""),"ADRIANA TRUJILLO")</f>
        <v>ADRIANA TRUJILLO</v>
      </c>
      <c r="H9677" s="16">
        <f>IFERROR(__xludf.DUMMYFUNCTION("""COMPUTED_VALUE"""),18382.0)</f>
        <v>18382</v>
      </c>
      <c r="I9677" s="17"/>
      <c r="J9677" s="17"/>
      <c r="K9677" s="17"/>
      <c r="L9677" s="17">
        <f>IFERROR(__xludf.DUMMYFUNCTION("""COMPUTED_VALUE"""),3.125405063E9)</f>
        <v>3125405063</v>
      </c>
      <c r="M9677" s="17"/>
      <c r="N9677" s="17"/>
      <c r="O9677" s="17"/>
      <c r="P9677" s="17" t="b">
        <f>IFERROR(__xludf.DUMMYFUNCTION("""COMPUTED_VALUE"""),FALSE)</f>
        <v>0</v>
      </c>
      <c r="Q9677" s="20" t="str">
        <f>IFERROR(__xludf.DUMMYFUNCTION("""COMPUTED_VALUE"""),"")</f>
        <v/>
      </c>
      <c r="R9677" s="21" t="str">
        <f>IFERROR(__xludf.DUMMYFUNCTION("""COMPUTED_VALUE"""),"https://drive.google.com/file/d/1F2-WSGSVi_-LMhY_ZJXgzTYU5HmTfeGG/view?usp=drivesdk")</f>
        <v>https://drive.google.com/file/d/1F2-WSGSVi_-LMhY_ZJXgzTYU5HmTfeGG/view?usp=drivesdk</v>
      </c>
    </row>
    <row r="9678">
      <c r="A9678" s="15">
        <f>IFERROR(__xludf.DUMMYFUNCTION("""COMPUTED_VALUE"""),45274.0)</f>
        <v>45274</v>
      </c>
      <c r="B9678" s="16" t="str">
        <f>IFERROR(__xludf.DUMMYFUNCTION("""COMPUTED_VALUE"""),"Johanna Arango Barrera")</f>
        <v>Johanna Arango Barrera</v>
      </c>
      <c r="C9678" s="15" t="str">
        <f>IFERROR(__xludf.DUMMYFUNCTION("""COMPUTED_VALUE"""),"BUCARAMANGA")</f>
        <v>BUCARAMANGA</v>
      </c>
      <c r="D9678" s="15" t="str">
        <f>IFERROR(__xludf.DUMMYFUNCTION("""COMPUTED_VALUE"""),"BOGOTÁ")</f>
        <v>BOGOTÁ</v>
      </c>
      <c r="E9678" s="15" t="str">
        <f>IFERROR(__xludf.DUMMYFUNCTION("""COMPUTED_VALUE"""),"LINA PAOLA RAMIREZ GOMEZ - EVA MAZZITA")</f>
        <v>LINA PAOLA RAMIREZ GOMEZ - EVA MAZZITA</v>
      </c>
      <c r="F9678" s="17" t="str">
        <f>IFERROR(__xludf.DUMMYFUNCTION("""COMPUTED_VALUE"""),"carrera 35 a # 51-82 / apt 201 Edf cabecera tercera etapa B. CABECERA DEL LLANO")</f>
        <v>carrera 35 a # 51-82 / apt 201 Edf cabecera tercera etapa B. CABECERA DEL LLANO</v>
      </c>
      <c r="G9678" s="15" t="str">
        <f>IFERROR(__xludf.DUMMYFUNCTION("""COMPUTED_VALUE"""),"ADRIANA MARIA ACEVEDO")</f>
        <v>ADRIANA MARIA ACEVEDO</v>
      </c>
      <c r="H9678" s="16">
        <f>IFERROR(__xludf.DUMMYFUNCTION("""COMPUTED_VALUE"""),18381.0)</f>
        <v>18381</v>
      </c>
      <c r="I9678" s="17"/>
      <c r="J9678" s="17"/>
      <c r="K9678" s="17"/>
      <c r="L9678" s="17">
        <f>IFERROR(__xludf.DUMMYFUNCTION("""COMPUTED_VALUE"""),3.022929301E9)</f>
        <v>3022929301</v>
      </c>
      <c r="M9678" s="17"/>
      <c r="N9678" s="17"/>
      <c r="O9678" s="17"/>
      <c r="P9678" s="17" t="b">
        <f>IFERROR(__xludf.DUMMYFUNCTION("""COMPUTED_VALUE"""),FALSE)</f>
        <v>0</v>
      </c>
      <c r="Q9678" s="20" t="str">
        <f>IFERROR(__xludf.DUMMYFUNCTION("""COMPUTED_VALUE"""),"")</f>
        <v/>
      </c>
      <c r="R9678" s="21" t="str">
        <f>IFERROR(__xludf.DUMMYFUNCTION("""COMPUTED_VALUE"""),"https://drive.google.com/file/d/10KgtjimllKqlhPX1a9ZsJZ_PNvyCCmZL/view?usp=drivesdk")</f>
        <v>https://drive.google.com/file/d/10KgtjimllKqlhPX1a9ZsJZ_PNvyCCmZL/view?usp=drivesdk</v>
      </c>
    </row>
    <row r="9679">
      <c r="A9679" s="15">
        <f>IFERROR(__xludf.DUMMYFUNCTION("""COMPUTED_VALUE"""),45274.0)</f>
        <v>45274</v>
      </c>
      <c r="B9679" s="16" t="str">
        <f>IFERROR(__xludf.DUMMYFUNCTION("""COMPUTED_VALUE"""),"Johanna Arango Barrera")</f>
        <v>Johanna Arango Barrera</v>
      </c>
      <c r="C9679" s="15" t="str">
        <f>IFERROR(__xludf.DUMMYFUNCTION("""COMPUTED_VALUE"""),"BUCARAMANGA")</f>
        <v>BUCARAMANGA</v>
      </c>
      <c r="D9679" s="15" t="str">
        <f>IFERROR(__xludf.DUMMYFUNCTION("""COMPUTED_VALUE"""),"BOGOTÁ")</f>
        <v>BOGOTÁ</v>
      </c>
      <c r="E9679" s="15" t="str">
        <f>IFERROR(__xludf.DUMMYFUNCTION("""COMPUTED_VALUE"""),"LINA PAOLA RAMIREZ GOMEZ - EVA MAZZITA")</f>
        <v>LINA PAOLA RAMIREZ GOMEZ - EVA MAZZITA</v>
      </c>
      <c r="F9679" s="17" t="str">
        <f>IFERROR(__xludf.DUMMYFUNCTION("""COMPUTED_VALUE"""),"CR 55 #51 87 AP 102 / Bajos de Pan de Azucar")</f>
        <v>CR 55 #51 87 AP 102 / Bajos de Pan de Azucar</v>
      </c>
      <c r="G9679" s="15" t="str">
        <f>IFERROR(__xludf.DUMMYFUNCTION("""COMPUTED_VALUE"""),"ANGIE CAROLINA ACUÑA VIGGIANI")</f>
        <v>ANGIE CAROLINA ACUÑA VIGGIANI</v>
      </c>
      <c r="H9679" s="16">
        <f>IFERROR(__xludf.DUMMYFUNCTION("""COMPUTED_VALUE"""),18383.0)</f>
        <v>18383</v>
      </c>
      <c r="I9679" s="17"/>
      <c r="J9679" s="17"/>
      <c r="K9679" s="17"/>
      <c r="L9679" s="17">
        <f>IFERROR(__xludf.DUMMYFUNCTION("""COMPUTED_VALUE"""),3.152481373E9)</f>
        <v>3152481373</v>
      </c>
      <c r="M9679" s="17"/>
      <c r="N9679" s="17"/>
      <c r="O9679" s="17"/>
      <c r="P9679" s="17" t="b">
        <f>IFERROR(__xludf.DUMMYFUNCTION("""COMPUTED_VALUE"""),FALSE)</f>
        <v>0</v>
      </c>
      <c r="Q9679" s="20" t="str">
        <f>IFERROR(__xludf.DUMMYFUNCTION("""COMPUTED_VALUE"""),"")</f>
        <v/>
      </c>
      <c r="R9679" s="21" t="str">
        <f>IFERROR(__xludf.DUMMYFUNCTION("""COMPUTED_VALUE"""),"https://drive.google.com/file/d/119myznUWb9wmKNg9oDjfA04QSUkI2q5k/view?usp=drivesdk")</f>
        <v>https://drive.google.com/file/d/119myznUWb9wmKNg9oDjfA04QSUkI2q5k/view?usp=drivesdk</v>
      </c>
    </row>
    <row r="9680">
      <c r="A9680" s="15">
        <f>IFERROR(__xludf.DUMMYFUNCTION("""COMPUTED_VALUE"""),45274.0)</f>
        <v>45274</v>
      </c>
      <c r="B9680" s="16" t="str">
        <f>IFERROR(__xludf.DUMMYFUNCTION("""COMPUTED_VALUE"""),"Johanna Arango Barrera")</f>
        <v>Johanna Arango Barrera</v>
      </c>
      <c r="C9680" s="15" t="str">
        <f>IFERROR(__xludf.DUMMYFUNCTION("""COMPUTED_VALUE"""),"FLORIDABLANCA")</f>
        <v>FLORIDABLANCA</v>
      </c>
      <c r="D9680" s="15" t="str">
        <f>IFERROR(__xludf.DUMMYFUNCTION("""COMPUTED_VALUE"""),"BOGOTÁ")</f>
        <v>BOGOTÁ</v>
      </c>
      <c r="E9680" s="15" t="str">
        <f>IFERROR(__xludf.DUMMYFUNCTION("""COMPUTED_VALUE"""),"Karem foods")</f>
        <v>Karem foods</v>
      </c>
      <c r="F9680" s="17" t="str">
        <f>IFERROR(__xludf.DUMMYFUNCTION("""COMPUTED_VALUE"""),"Tv 154 # 150-26 / Edf Torres del bosque  apto 106 torre 1  / Florida blanca")</f>
        <v>Tv 154 # 150-26 / Edf Torres del bosque  apto 106 torre 1  / Florida blanca</v>
      </c>
      <c r="G9680" s="15" t="str">
        <f>IFERROR(__xludf.DUMMYFUNCTION("""COMPUTED_VALUE"""),"Helena franco")</f>
        <v>Helena franco</v>
      </c>
      <c r="H9680" s="16">
        <f>IFERROR(__xludf.DUMMYFUNCTION("""COMPUTED_VALUE"""),18365.0)</f>
        <v>18365</v>
      </c>
      <c r="I9680" s="18">
        <f>IFERROR(__xludf.DUMMYFUNCTION("""COMPUTED_VALUE"""),7.0)</f>
        <v>7</v>
      </c>
      <c r="J9680" s="18">
        <f>IFERROR(__xludf.DUMMYFUNCTION("""COMPUTED_VALUE"""),20.0)</f>
        <v>20</v>
      </c>
      <c r="K9680" s="18">
        <f>IFERROR(__xludf.DUMMYFUNCTION("""COMPUTED_VALUE"""),20.0)</f>
        <v>20</v>
      </c>
      <c r="L9680" s="17">
        <f>IFERROR(__xludf.DUMMYFUNCTION("""COMPUTED_VALUE"""),3.185571765E9)</f>
        <v>3185571765</v>
      </c>
      <c r="M9680" s="17"/>
      <c r="N9680" s="17"/>
      <c r="O9680" s="17"/>
      <c r="P9680" s="17" t="b">
        <f>IFERROR(__xludf.DUMMYFUNCTION("""COMPUTED_VALUE"""),FALSE)</f>
        <v>0</v>
      </c>
      <c r="Q9680" s="20" t="str">
        <f>IFERROR(__xludf.DUMMYFUNCTION("""COMPUTED_VALUE"""),"")</f>
        <v/>
      </c>
      <c r="R9680" s="21" t="str">
        <f>IFERROR(__xludf.DUMMYFUNCTION("""COMPUTED_VALUE"""),"https://drive.google.com/file/d/1b4h0NQF_b9sP0c7H6zLNb5W4r4XPoRgM/view?usp=drivesdk")</f>
        <v>https://drive.google.com/file/d/1b4h0NQF_b9sP0c7H6zLNb5W4r4XPoRgM/view?usp=drivesdk</v>
      </c>
    </row>
    <row r="9681">
      <c r="A9681" s="15">
        <f>IFERROR(__xludf.DUMMYFUNCTION("""COMPUTED_VALUE"""),45274.0)</f>
        <v>45274</v>
      </c>
      <c r="B9681" s="16" t="str">
        <f>IFERROR(__xludf.DUMMYFUNCTION("""COMPUTED_VALUE"""),"Johanna Arango Barrera")</f>
        <v>Johanna Arango Barrera</v>
      </c>
      <c r="C9681" s="15" t="str">
        <f>IFERROR(__xludf.DUMMYFUNCTION("""COMPUTED_VALUE"""),"FLORIDABLANCA")</f>
        <v>FLORIDABLANCA</v>
      </c>
      <c r="D9681" s="15" t="str">
        <f>IFERROR(__xludf.DUMMYFUNCTION("""COMPUTED_VALUE"""),"BOGOTÁ")</f>
        <v>BOGOTÁ</v>
      </c>
      <c r="E9681" s="15" t="str">
        <f>IFERROR(__xludf.DUMMYFUNCTION("""COMPUTED_VALUE"""),"LINA PAOLA RAMIREZ GOMEZ - EVA MAZZITA")</f>
        <v>LINA PAOLA RAMIREZ GOMEZ - EVA MAZZITA</v>
      </c>
      <c r="F9681" s="17" t="str">
        <f>IFERROR(__xludf.DUMMYFUNCTION("""COMPUTED_VALUE"""),"Cra 28 #19-53 / Urbanización Colon, Bloque 9, apartamento 101")</f>
        <v>Cra 28 #19-53 / Urbanización Colon, Bloque 9, apartamento 101</v>
      </c>
      <c r="G9681" s="15" t="str">
        <f>IFERROR(__xludf.DUMMYFUNCTION("""COMPUTED_VALUE"""),"SILVIA JULIANA PINTO HERNANDEZ")</f>
        <v>SILVIA JULIANA PINTO HERNANDEZ</v>
      </c>
      <c r="H9681" s="16">
        <f>IFERROR(__xludf.DUMMYFUNCTION("""COMPUTED_VALUE"""),18384.0)</f>
        <v>18384</v>
      </c>
      <c r="I9681" s="17"/>
      <c r="J9681" s="17"/>
      <c r="K9681" s="17"/>
      <c r="L9681" s="17">
        <f>IFERROR(__xludf.DUMMYFUNCTION("""COMPUTED_VALUE"""),3.0129633E9)</f>
        <v>3012963300</v>
      </c>
      <c r="M9681" s="17"/>
      <c r="N9681" s="17"/>
      <c r="O9681" s="17"/>
      <c r="P9681" s="17" t="b">
        <f>IFERROR(__xludf.DUMMYFUNCTION("""COMPUTED_VALUE"""),FALSE)</f>
        <v>0</v>
      </c>
      <c r="Q9681" s="20" t="str">
        <f>IFERROR(__xludf.DUMMYFUNCTION("""COMPUTED_VALUE"""),"")</f>
        <v/>
      </c>
      <c r="R9681" s="21" t="str">
        <f>IFERROR(__xludf.DUMMYFUNCTION("""COMPUTED_VALUE"""),"https://drive.google.com/file/d/1r-0cfjytrqr4wIBHUy_moii7PL8w6rI4/view?usp=drivesdk")</f>
        <v>https://drive.google.com/file/d/1r-0cfjytrqr4wIBHUy_moii7PL8w6rI4/view?usp=drivesdk</v>
      </c>
    </row>
    <row r="9682">
      <c r="A9682" s="15">
        <f>IFERROR(__xludf.DUMMYFUNCTION("""COMPUTED_VALUE"""),45274.0)</f>
        <v>45274</v>
      </c>
      <c r="B9682" s="16" t="str">
        <f>IFERROR(__xludf.DUMMYFUNCTION("""COMPUTED_VALUE"""),"Johanna Arango Barrera")</f>
        <v>Johanna Arango Barrera</v>
      </c>
      <c r="C9682" s="15" t="str">
        <f>IFERROR(__xludf.DUMMYFUNCTION("""COMPUTED_VALUE"""),"GIRÓN")</f>
        <v>GIRÓN</v>
      </c>
      <c r="D9682" s="15" t="str">
        <f>IFERROR(__xludf.DUMMYFUNCTION("""COMPUTED_VALUE"""),"BOGOTÁ")</f>
        <v>BOGOTÁ</v>
      </c>
      <c r="E9682" s="15" t="str">
        <f>IFERROR(__xludf.DUMMYFUNCTION("""COMPUTED_VALUE"""),"LINA PAOLA RAMIREZ GOMEZ - EVA MAZZITA")</f>
        <v>LINA PAOLA RAMIREZ GOMEZ - EVA MAZZITA</v>
      </c>
      <c r="F9682" s="17" t="str">
        <f>IFERROR(__xludf.DUMMYFUNCTION("""COMPUTED_VALUE"""),"CALLE 22 # 15 - 71 / LOS CEDROS TORRE 4 APTO. 1026")</f>
        <v>CALLE 22 # 15 - 71 / LOS CEDROS TORRE 4 APTO. 1026</v>
      </c>
      <c r="G9682" s="15" t="str">
        <f>IFERROR(__xludf.DUMMYFUNCTION("""COMPUTED_VALUE"""),"ERIKA LORENA HERNANDEZ SARMIENTO")</f>
        <v>ERIKA LORENA HERNANDEZ SARMIENTO</v>
      </c>
      <c r="H9682" s="16">
        <f>IFERROR(__xludf.DUMMYFUNCTION("""COMPUTED_VALUE"""),18385.0)</f>
        <v>18385</v>
      </c>
      <c r="I9682" s="17"/>
      <c r="J9682" s="17"/>
      <c r="K9682" s="17"/>
      <c r="L9682" s="17">
        <f>IFERROR(__xludf.DUMMYFUNCTION("""COMPUTED_VALUE"""),3.223421467E9)</f>
        <v>3223421467</v>
      </c>
      <c r="M9682" s="17"/>
      <c r="N9682" s="17"/>
      <c r="O9682" s="17"/>
      <c r="P9682" s="17" t="b">
        <f>IFERROR(__xludf.DUMMYFUNCTION("""COMPUTED_VALUE"""),FALSE)</f>
        <v>0</v>
      </c>
      <c r="Q9682" s="20" t="str">
        <f>IFERROR(__xludf.DUMMYFUNCTION("""COMPUTED_VALUE"""),"")</f>
        <v/>
      </c>
      <c r="R9682" s="21" t="str">
        <f>IFERROR(__xludf.DUMMYFUNCTION("""COMPUTED_VALUE"""),"https://drive.google.com/file/d/1TCjXyHJH2hINgA82QZ2696iQJUAW1YW7/view?usp=drivesdk")</f>
        <v>https://drive.google.com/file/d/1TCjXyHJH2hINgA82QZ2696iQJUAW1YW7/view?usp=drivesdk</v>
      </c>
    </row>
    <row r="9683">
      <c r="A9683" s="17" t="str">
        <f>IFERROR(__xludf.DUMMYFUNCTION("""COMPUTED_VALUE"""),"")</f>
        <v/>
      </c>
      <c r="B9683" s="17" t="str">
        <f>IFERROR(__xludf.DUMMYFUNCTION("""COMPUTED_VALUE"""),"")</f>
        <v/>
      </c>
      <c r="C9683" s="17" t="str">
        <f>IFERROR(__xludf.DUMMYFUNCTION("""COMPUTED_VALUE"""),"")</f>
        <v/>
      </c>
      <c r="D9683" s="17" t="str">
        <f>IFERROR(__xludf.DUMMYFUNCTION("""COMPUTED_VALUE"""),"")</f>
        <v/>
      </c>
      <c r="E9683" s="17" t="str">
        <f>IFERROR(__xludf.DUMMYFUNCTION("""COMPUTED_VALUE"""),"")</f>
        <v/>
      </c>
      <c r="F9683" s="17" t="str">
        <f>IFERROR(__xludf.DUMMYFUNCTION("""COMPUTED_VALUE"""),"")</f>
        <v/>
      </c>
      <c r="G9683" s="17" t="str">
        <f>IFERROR(__xludf.DUMMYFUNCTION("""COMPUTED_VALUE"""),"")</f>
        <v/>
      </c>
      <c r="H9683" s="17" t="str">
        <f>IFERROR(__xludf.DUMMYFUNCTION("""COMPUTED_VALUE"""),"")</f>
        <v/>
      </c>
      <c r="I9683" s="17" t="str">
        <f>IFERROR(__xludf.DUMMYFUNCTION("""COMPUTED_VALUE"""),"")</f>
        <v/>
      </c>
      <c r="J9683" s="17" t="str">
        <f>IFERROR(__xludf.DUMMYFUNCTION("""COMPUTED_VALUE"""),"")</f>
        <v/>
      </c>
      <c r="K9683" s="17" t="str">
        <f>IFERROR(__xludf.DUMMYFUNCTION("""COMPUTED_VALUE"""),"")</f>
        <v/>
      </c>
      <c r="L9683" s="17" t="str">
        <f>IFERROR(__xludf.DUMMYFUNCTION("""COMPUTED_VALUE"""),"")</f>
        <v/>
      </c>
      <c r="M9683" s="17" t="str">
        <f>IFERROR(__xludf.DUMMYFUNCTION("""COMPUTED_VALUE"""),"")</f>
        <v/>
      </c>
      <c r="N9683" s="17" t="str">
        <f>IFERROR(__xludf.DUMMYFUNCTION("""COMPUTED_VALUE"""),"")</f>
        <v/>
      </c>
      <c r="O9683" s="17" t="str">
        <f>IFERROR(__xludf.DUMMYFUNCTION("""COMPUTED_VALUE"""),"")</f>
        <v/>
      </c>
      <c r="P9683" s="17" t="str">
        <f>IFERROR(__xludf.DUMMYFUNCTION("""COMPUTED_VALUE"""),"")</f>
        <v/>
      </c>
      <c r="Q9683" s="17" t="str">
        <f>IFERROR(__xludf.DUMMYFUNCTION("""COMPUTED_VALUE"""),"")</f>
        <v/>
      </c>
      <c r="R9683" s="17" t="str">
        <f>IFERROR(__xludf.DUMMYFUNCTION("""COMPUTED_VALUE"""),"")</f>
        <v/>
      </c>
    </row>
    <row r="9684">
      <c r="A9684" s="15">
        <f>IFERROR(__xludf.DUMMYFUNCTION("""COMPUTED_VALUE"""),45274.0)</f>
        <v>45274</v>
      </c>
      <c r="B9684" s="16" t="str">
        <f>IFERROR(__xludf.DUMMYFUNCTION("""COMPUTED_VALUE"""),"JOSE ALFREDO RAMIREZ VERGARA ")</f>
        <v>JOSE ALFREDO RAMIREZ VERGARA </v>
      </c>
      <c r="C9684" s="15" t="str">
        <f>IFERROR(__xludf.DUMMYFUNCTION("""COMPUTED_VALUE"""),"BOGOTÁ")</f>
        <v>BOGOTÁ</v>
      </c>
      <c r="D9684" s="15" t="str">
        <f>IFERROR(__xludf.DUMMYFUNCTION("""COMPUTED_VALUE"""),"BARRANQUILLA")</f>
        <v>BARRANQUILLA</v>
      </c>
      <c r="E9684" s="15" t="str">
        <f>IFERROR(__xludf.DUMMYFUNCTION("""COMPUTED_VALUE"""),"Paketto")</f>
        <v>Paketto</v>
      </c>
      <c r="F9684" s="17" t="str">
        <f>IFERROR(__xludf.DUMMYFUNCTION("""COMPUTED_VALUE"""),"Calle 93A # 11-46 Fithub / Fithub / Na")</f>
        <v>Calle 93A # 11-46 Fithub / Fithub / Na</v>
      </c>
      <c r="G9684" s="15" t="str">
        <f>IFERROR(__xludf.DUMMYFUNCTION("""COMPUTED_VALUE"""),"Adwell sas")</f>
        <v>Adwell sas</v>
      </c>
      <c r="H9684" s="16">
        <f>IFERROR(__xludf.DUMMYFUNCTION("""COMPUTED_VALUE"""),18284.0)</f>
        <v>18284</v>
      </c>
      <c r="I9684" s="18" t="str">
        <f>IFERROR(__xludf.DUMMYFUNCTION("""COMPUTED_VALUE"""),"6.87")</f>
        <v>6.87</v>
      </c>
      <c r="J9684" s="18">
        <f>IFERROR(__xludf.DUMMYFUNCTION("""COMPUTED_VALUE"""),45.0)</f>
        <v>45</v>
      </c>
      <c r="K9684" s="18">
        <f>IFERROR(__xludf.DUMMYFUNCTION("""COMPUTED_VALUE"""),55.0)</f>
        <v>55</v>
      </c>
      <c r="L9684" s="17">
        <f>IFERROR(__xludf.DUMMYFUNCTION("""COMPUTED_VALUE"""),5.73114258595E11)</f>
        <v>573114258595</v>
      </c>
      <c r="M9684" s="17"/>
      <c r="N9684" s="17"/>
      <c r="O9684" s="17"/>
      <c r="P9684" s="17" t="b">
        <f>IFERROR(__xludf.DUMMYFUNCTION("""COMPUTED_VALUE"""),FALSE)</f>
        <v>0</v>
      </c>
      <c r="Q9684" s="20" t="str">
        <f>IFERROR(__xludf.DUMMYFUNCTION("""COMPUTED_VALUE"""),"")</f>
        <v/>
      </c>
      <c r="R9684" s="21" t="str">
        <f>IFERROR(__xludf.DUMMYFUNCTION("""COMPUTED_VALUE"""),"https://drive.google.com/file/d/1mtv_U12qEwDYZP1wDLc85ZEWjmVywKcy/view?usp=drivesdk")</f>
        <v>https://drive.google.com/file/d/1mtv_U12qEwDYZP1wDLc85ZEWjmVywKcy/view?usp=drivesdk</v>
      </c>
    </row>
    <row r="9685">
      <c r="A9685" s="15">
        <f>IFERROR(__xludf.DUMMYFUNCTION("""COMPUTED_VALUE"""),45274.0)</f>
        <v>45274</v>
      </c>
      <c r="B9685" s="16" t="str">
        <f>IFERROR(__xludf.DUMMYFUNCTION("""COMPUTED_VALUE"""),"JOSE ALFREDO RAMIREZ VERGARA ")</f>
        <v>JOSE ALFREDO RAMIREZ VERGARA </v>
      </c>
      <c r="C9685" s="15" t="str">
        <f>IFERROR(__xludf.DUMMYFUNCTION("""COMPUTED_VALUE"""),"BOGOTÁ")</f>
        <v>BOGOTÁ</v>
      </c>
      <c r="D9685" s="15" t="str">
        <f>IFERROR(__xludf.DUMMYFUNCTION("""COMPUTED_VALUE"""),"BUCARAMANGA")</f>
        <v>BUCARAMANGA</v>
      </c>
      <c r="E9685" s="15" t="str">
        <f>IFERROR(__xludf.DUMMYFUNCTION("""COMPUTED_VALUE"""),"Yo Como Solito")</f>
        <v>Yo Como Solito</v>
      </c>
      <c r="F9685" s="17" t="str">
        <f>IFERROR(__xludf.DUMMYFUNCTION("""COMPUTED_VALUE"""),"CARRERA 45A # 128-62 / CARRERA 45A # 128-62 / CARRERA 45A # 128-62")</f>
        <v>CARRERA 45A # 128-62 / CARRERA 45A # 128-62 / CARRERA 45A # 128-62</v>
      </c>
      <c r="G9685" s="15" t="str">
        <f>IFERROR(__xludf.DUMMYFUNCTION("""COMPUTED_VALUE"""),"LINA PAOLA RAMIREZ")</f>
        <v>LINA PAOLA RAMIREZ</v>
      </c>
      <c r="H9685" s="16">
        <f>IFERROR(__xludf.DUMMYFUNCTION("""COMPUTED_VALUE"""),18223.0)</f>
        <v>18223</v>
      </c>
      <c r="I9685" s="18">
        <f>IFERROR(__xludf.DUMMYFUNCTION("""COMPUTED_VALUE"""),16.0)</f>
        <v>16</v>
      </c>
      <c r="J9685" s="18">
        <f>IFERROR(__xludf.DUMMYFUNCTION("""COMPUTED_VALUE"""),26.0)</f>
        <v>26</v>
      </c>
      <c r="K9685" s="18">
        <f>IFERROR(__xludf.DUMMYFUNCTION("""COMPUTED_VALUE"""),25.0)</f>
        <v>25</v>
      </c>
      <c r="L9685" s="17">
        <f>IFERROR(__xludf.DUMMYFUNCTION("""COMPUTED_VALUE"""),3.12327346E9)</f>
        <v>3123273460</v>
      </c>
      <c r="M9685" s="17"/>
      <c r="N9685" s="17"/>
      <c r="O9685" s="17"/>
      <c r="P9685" s="17" t="b">
        <f>IFERROR(__xludf.DUMMYFUNCTION("""COMPUTED_VALUE"""),FALSE)</f>
        <v>0</v>
      </c>
      <c r="Q9685" s="20" t="str">
        <f>IFERROR(__xludf.DUMMYFUNCTION("""COMPUTED_VALUE"""),"")</f>
        <v/>
      </c>
      <c r="R9685" s="21" t="str">
        <f>IFERROR(__xludf.DUMMYFUNCTION("""COMPUTED_VALUE"""),"https://drive.google.com/file/d/1rMcEqupM7vHZP1kWzOTcBjPISpzad07a/view?usp=drivesdk")</f>
        <v>https://drive.google.com/file/d/1rMcEqupM7vHZP1kWzOTcBjPISpzad07a/view?usp=drivesdk</v>
      </c>
    </row>
    <row r="9686">
      <c r="A9686" s="17" t="str">
        <f>IFERROR(__xludf.DUMMYFUNCTION("""COMPUTED_VALUE"""),"")</f>
        <v/>
      </c>
      <c r="B9686" s="17" t="str">
        <f>IFERROR(__xludf.DUMMYFUNCTION("""COMPUTED_VALUE"""),"")</f>
        <v/>
      </c>
      <c r="C9686" s="17" t="str">
        <f>IFERROR(__xludf.DUMMYFUNCTION("""COMPUTED_VALUE"""),"")</f>
        <v/>
      </c>
      <c r="D9686" s="17" t="str">
        <f>IFERROR(__xludf.DUMMYFUNCTION("""COMPUTED_VALUE"""),"")</f>
        <v/>
      </c>
      <c r="E9686" s="17" t="str">
        <f>IFERROR(__xludf.DUMMYFUNCTION("""COMPUTED_VALUE"""),"")</f>
        <v/>
      </c>
      <c r="F9686" s="17" t="str">
        <f>IFERROR(__xludf.DUMMYFUNCTION("""COMPUTED_VALUE"""),"")</f>
        <v/>
      </c>
      <c r="G9686" s="17" t="str">
        <f>IFERROR(__xludf.DUMMYFUNCTION("""COMPUTED_VALUE"""),"")</f>
        <v/>
      </c>
      <c r="H9686" s="17" t="str">
        <f>IFERROR(__xludf.DUMMYFUNCTION("""COMPUTED_VALUE"""),"")</f>
        <v/>
      </c>
      <c r="I9686" s="17" t="str">
        <f>IFERROR(__xludf.DUMMYFUNCTION("""COMPUTED_VALUE"""),"")</f>
        <v/>
      </c>
      <c r="J9686" s="17" t="str">
        <f>IFERROR(__xludf.DUMMYFUNCTION("""COMPUTED_VALUE"""),"")</f>
        <v/>
      </c>
      <c r="K9686" s="17" t="str">
        <f>IFERROR(__xludf.DUMMYFUNCTION("""COMPUTED_VALUE"""),"")</f>
        <v/>
      </c>
      <c r="L9686" s="17" t="str">
        <f>IFERROR(__xludf.DUMMYFUNCTION("""COMPUTED_VALUE"""),"")</f>
        <v/>
      </c>
      <c r="M9686" s="17" t="str">
        <f>IFERROR(__xludf.DUMMYFUNCTION("""COMPUTED_VALUE"""),"")</f>
        <v/>
      </c>
      <c r="N9686" s="17" t="str">
        <f>IFERROR(__xludf.DUMMYFUNCTION("""COMPUTED_VALUE"""),"")</f>
        <v/>
      </c>
      <c r="O9686" s="17" t="str">
        <f>IFERROR(__xludf.DUMMYFUNCTION("""COMPUTED_VALUE"""),"")</f>
        <v/>
      </c>
      <c r="P9686" s="17" t="str">
        <f>IFERROR(__xludf.DUMMYFUNCTION("""COMPUTED_VALUE"""),"")</f>
        <v/>
      </c>
      <c r="Q9686" s="17" t="str">
        <f>IFERROR(__xludf.DUMMYFUNCTION("""COMPUTED_VALUE"""),"")</f>
        <v/>
      </c>
      <c r="R9686" s="17" t="str">
        <f>IFERROR(__xludf.DUMMYFUNCTION("""COMPUTED_VALUE"""),"")</f>
        <v/>
      </c>
    </row>
    <row r="9687">
      <c r="A9687" s="15">
        <f>IFERROR(__xludf.DUMMYFUNCTION("""COMPUTED_VALUE"""),45274.0)</f>
        <v>45274</v>
      </c>
      <c r="B9687" s="16" t="str">
        <f>IFERROR(__xludf.DUMMYFUNCTION("""COMPUTED_VALUE"""),"Julian Calderon Rodriguez ")</f>
        <v>Julian Calderon Rodriguez </v>
      </c>
      <c r="C9687" s="15" t="str">
        <f>IFERROR(__xludf.DUMMYFUNCTION("""COMPUTED_VALUE"""),"VILLAVICENCIO")</f>
        <v>VILLAVICENCIO</v>
      </c>
      <c r="D9687" s="15" t="str">
        <f>IFERROR(__xludf.DUMMYFUNCTION("""COMPUTED_VALUE"""),"BOGOTÁ")</f>
        <v>BOGOTÁ</v>
      </c>
      <c r="E9687" s="15" t="str">
        <f>IFERROR(__xludf.DUMMYFUNCTION("""COMPUTED_VALUE"""),"Instinto alimento vital")</f>
        <v>Instinto alimento vital</v>
      </c>
      <c r="F9687" s="17" t="str">
        <f>IFERROR(__xludf.DUMMYFUNCTION("""COMPUTED_VALUE"""),"CRA 30 48 21 / TR LE CLUB APT 1103")</f>
        <v>CRA 30 48 21 / TR LE CLUB APT 1103</v>
      </c>
      <c r="G9687" s="15" t="str">
        <f>IFERROR(__xludf.DUMMYFUNCTION("""COMPUTED_VALUE"""),"LYDA MARCELA TIRIA MEDINA")</f>
        <v>LYDA MARCELA TIRIA MEDINA</v>
      </c>
      <c r="H9687" s="16">
        <f>IFERROR(__xludf.DUMMYFUNCTION("""COMPUTED_VALUE"""),18371.0)</f>
        <v>18371</v>
      </c>
      <c r="I9687" s="17"/>
      <c r="J9687" s="17"/>
      <c r="K9687" s="17"/>
      <c r="L9687" s="17">
        <f>IFERROR(__xludf.DUMMYFUNCTION("""COMPUTED_VALUE"""),3.21217236E9)</f>
        <v>3212172360</v>
      </c>
      <c r="M9687" s="17"/>
      <c r="N9687" s="17"/>
      <c r="O9687" s="17"/>
      <c r="P9687" s="17" t="b">
        <f>IFERROR(__xludf.DUMMYFUNCTION("""COMPUTED_VALUE"""),FALSE)</f>
        <v>0</v>
      </c>
      <c r="Q9687" s="20" t="str">
        <f>IFERROR(__xludf.DUMMYFUNCTION("""COMPUTED_VALUE"""),"")</f>
        <v/>
      </c>
      <c r="R9687" s="21" t="str">
        <f>IFERROR(__xludf.DUMMYFUNCTION("""COMPUTED_VALUE"""),"https://drive.google.com/file/d/11R1KA2gUDzZvAOLQrBJQTV96hC-xZE4U/view?usp=drivesdk")</f>
        <v>https://drive.google.com/file/d/11R1KA2gUDzZvAOLQrBJQTV96hC-xZE4U/view?usp=drivesdk</v>
      </c>
    </row>
    <row r="9688">
      <c r="A9688" s="15">
        <f>IFERROR(__xludf.DUMMYFUNCTION("""COMPUTED_VALUE"""),45274.0)</f>
        <v>45274</v>
      </c>
      <c r="B9688" s="16" t="str">
        <f>IFERROR(__xludf.DUMMYFUNCTION("""COMPUTED_VALUE"""),"Julian Calderon Rodriguez ")</f>
        <v>Julian Calderon Rodriguez </v>
      </c>
      <c r="C9688" s="15" t="str">
        <f>IFERROR(__xludf.DUMMYFUNCTION("""COMPUTED_VALUE"""),"VILLAVICENCIO")</f>
        <v>VILLAVICENCIO</v>
      </c>
      <c r="D9688" s="15" t="str">
        <f>IFERROR(__xludf.DUMMYFUNCTION("""COMPUTED_VALUE"""),"BOGOTÁ")</f>
        <v>BOGOTÁ</v>
      </c>
      <c r="E9688" s="15" t="str">
        <f>IFERROR(__xludf.DUMMYFUNCTION("""COMPUTED_VALUE"""),"LINA PAOLA RAMIREZ GOMEZ - EVA MAZZITA")</f>
        <v>LINA PAOLA RAMIREZ GOMEZ - EVA MAZZITA</v>
      </c>
      <c r="F9688" s="17" t="str">
        <f>IFERROR(__xludf.DUMMYFUNCTION("""COMPUTED_VALUE"""),"CLL 5 SUR # 26 26 / CONDOMINIO CASIBARE 2 MULTIFAMILIAR 7 CASA 18 VILLAVICENCIO")</f>
        <v>CLL 5 SUR # 26 26 / CONDOMINIO CASIBARE 2 MULTIFAMILIAR 7 CASA 18 VILLAVICENCIO</v>
      </c>
      <c r="G9688" s="15" t="str">
        <f>IFERROR(__xludf.DUMMYFUNCTION("""COMPUTED_VALUE"""),"JISEL BEDOYA TRIVIÑO")</f>
        <v>JISEL BEDOYA TRIVIÑO</v>
      </c>
      <c r="H9688" s="16">
        <f>IFERROR(__xludf.DUMMYFUNCTION("""COMPUTED_VALUE"""),18390.0)</f>
        <v>18390</v>
      </c>
      <c r="I9688" s="17"/>
      <c r="J9688" s="17"/>
      <c r="K9688" s="17"/>
      <c r="L9688" s="17">
        <f>IFERROR(__xludf.DUMMYFUNCTION("""COMPUTED_VALUE"""),3.134725406E9)</f>
        <v>3134725406</v>
      </c>
      <c r="M9688" s="17"/>
      <c r="N9688" s="17"/>
      <c r="O9688" s="17"/>
      <c r="P9688" s="17" t="b">
        <f>IFERROR(__xludf.DUMMYFUNCTION("""COMPUTED_VALUE"""),FALSE)</f>
        <v>0</v>
      </c>
      <c r="Q9688" s="20" t="str">
        <f>IFERROR(__xludf.DUMMYFUNCTION("""COMPUTED_VALUE"""),"")</f>
        <v/>
      </c>
      <c r="R9688" s="21" t="str">
        <f>IFERROR(__xludf.DUMMYFUNCTION("""COMPUTED_VALUE"""),"https://drive.google.com/file/d/1v-tCj6AfRGuokIpHdXZzY1372C8z4n67/view?usp=drivesdk")</f>
        <v>https://drive.google.com/file/d/1v-tCj6AfRGuokIpHdXZzY1372C8z4n67/view?usp=drivesdk</v>
      </c>
    </row>
    <row r="9689">
      <c r="A9689" s="15">
        <f>IFERROR(__xludf.DUMMYFUNCTION("""COMPUTED_VALUE"""),45274.0)</f>
        <v>45274</v>
      </c>
      <c r="B9689" s="16" t="str">
        <f>IFERROR(__xludf.DUMMYFUNCTION("""COMPUTED_VALUE"""),"Julian Calderon Rodriguez ")</f>
        <v>Julian Calderon Rodriguez </v>
      </c>
      <c r="C9689" s="15" t="str">
        <f>IFERROR(__xludf.DUMMYFUNCTION("""COMPUTED_VALUE"""),"VILLAVICENCIO")</f>
        <v>VILLAVICENCIO</v>
      </c>
      <c r="D9689" s="15" t="str">
        <f>IFERROR(__xludf.DUMMYFUNCTION("""COMPUTED_VALUE"""),"MEDELLÍN")</f>
        <v>MEDELLÍN</v>
      </c>
      <c r="E9689" s="15" t="str">
        <f>IFERROR(__xludf.DUMMYFUNCTION("""COMPUTED_VALUE"""),"Lácteos El Pino SAS")</f>
        <v>Lácteos El Pino SAS</v>
      </c>
      <c r="F9689" s="17" t="str">
        <f>IFERROR(__xludf.DUMMYFUNCTION("""COMPUTED_VALUE"""),"Cra. 32 #39-14 / CAFE BRA KAFFE")</f>
        <v>Cra. 32 #39-14 / CAFE BRA KAFFE</v>
      </c>
      <c r="G9689" s="15" t="str">
        <f>IFERROR(__xludf.DUMMYFUNCTION("""COMPUTED_VALUE"""),"BRA KAFFE SAS")</f>
        <v>BRA KAFFE SAS</v>
      </c>
      <c r="H9689" s="16">
        <f>IFERROR(__xludf.DUMMYFUNCTION("""COMPUTED_VALUE"""),18200.0)</f>
        <v>18200</v>
      </c>
      <c r="I9689" s="17"/>
      <c r="J9689" s="17"/>
      <c r="K9689" s="17"/>
      <c r="L9689" s="17">
        <f>IFERROR(__xludf.DUMMYFUNCTION("""COMPUTED_VALUE"""),3.188882386E9)</f>
        <v>3188882386</v>
      </c>
      <c r="M9689" s="17"/>
      <c r="N9689" s="17"/>
      <c r="O9689" s="17"/>
      <c r="P9689" s="17" t="b">
        <f>IFERROR(__xludf.DUMMYFUNCTION("""COMPUTED_VALUE"""),FALSE)</f>
        <v>0</v>
      </c>
      <c r="Q9689" s="20" t="str">
        <f>IFERROR(__xludf.DUMMYFUNCTION("""COMPUTED_VALUE"""),"")</f>
        <v/>
      </c>
      <c r="R9689" s="22" t="str">
        <f>IFERROR(__xludf.DUMMYFUNCTION("""COMPUTED_VALUE"""),"")</f>
        <v/>
      </c>
    </row>
    <row r="9690">
      <c r="A9690" s="15">
        <f>IFERROR(__xludf.DUMMYFUNCTION("""COMPUTED_VALUE"""),45274.0)</f>
        <v>45274</v>
      </c>
      <c r="B9690" s="16" t="str">
        <f>IFERROR(__xludf.DUMMYFUNCTION("""COMPUTED_VALUE"""),"Julian Calderon Rodriguez ")</f>
        <v>Julian Calderon Rodriguez </v>
      </c>
      <c r="C9690" s="15" t="str">
        <f>IFERROR(__xludf.DUMMYFUNCTION("""COMPUTED_VALUE"""),"VILLAVICENCIO")</f>
        <v>VILLAVICENCIO</v>
      </c>
      <c r="D9690" s="15" t="str">
        <f>IFERROR(__xludf.DUMMYFUNCTION("""COMPUTED_VALUE"""),"MEDELLÍN")</f>
        <v>MEDELLÍN</v>
      </c>
      <c r="E9690" s="15" t="str">
        <f>IFERROR(__xludf.DUMMYFUNCTION("""COMPUTED_VALUE"""),"Moloso S.A.S")</f>
        <v>Moloso S.A.S</v>
      </c>
      <c r="F9690" s="17" t="str">
        <f>IFERROR(__xludf.DUMMYFUNCTION("""COMPUTED_VALUE"""),"DG 6SUR 42 136 / AMARILLO PASO LLANO TO 24 AP 501")</f>
        <v>DG 6SUR 42 136 / AMARILLO PASO LLANO TO 24 AP 501</v>
      </c>
      <c r="G9690" s="15" t="str">
        <f>IFERROR(__xludf.DUMMYFUNCTION("""COMPUTED_VALUE"""),"MARIA FERNANDA GUTIERREZ")</f>
        <v>MARIA FERNANDA GUTIERREZ</v>
      </c>
      <c r="H9690" s="16">
        <f>IFERROR(__xludf.DUMMYFUNCTION("""COMPUTED_VALUE"""),18328.0)</f>
        <v>18328</v>
      </c>
      <c r="I9690" s="17"/>
      <c r="J9690" s="17"/>
      <c r="K9690" s="17"/>
      <c r="L9690" s="17"/>
      <c r="M9690" s="17"/>
      <c r="N9690" s="17"/>
      <c r="O9690" s="17"/>
      <c r="P9690" s="17" t="b">
        <f>IFERROR(__xludf.DUMMYFUNCTION("""COMPUTED_VALUE"""),FALSE)</f>
        <v>0</v>
      </c>
      <c r="Q9690" s="20" t="str">
        <f>IFERROR(__xludf.DUMMYFUNCTION("""COMPUTED_VALUE"""),"")</f>
        <v/>
      </c>
      <c r="R9690" s="21" t="str">
        <f>IFERROR(__xludf.DUMMYFUNCTION("""COMPUTED_VALUE"""),"https://drive.google.com/file/d/1-Mlziwy-0ZGefHzHLfBTGdXu6E2KW5yc/view?usp=drivesdk")</f>
        <v>https://drive.google.com/file/d/1-Mlziwy-0ZGefHzHLfBTGdXu6E2KW5yc/view?usp=drivesdk</v>
      </c>
    </row>
    <row r="9691">
      <c r="A9691" s="17" t="str">
        <f>IFERROR(__xludf.DUMMYFUNCTION("""COMPUTED_VALUE"""),"")</f>
        <v/>
      </c>
      <c r="B9691" s="17" t="str">
        <f>IFERROR(__xludf.DUMMYFUNCTION("""COMPUTED_VALUE"""),"")</f>
        <v/>
      </c>
      <c r="C9691" s="17" t="str">
        <f>IFERROR(__xludf.DUMMYFUNCTION("""COMPUTED_VALUE"""),"")</f>
        <v/>
      </c>
      <c r="D9691" s="17" t="str">
        <f>IFERROR(__xludf.DUMMYFUNCTION("""COMPUTED_VALUE"""),"")</f>
        <v/>
      </c>
      <c r="E9691" s="17" t="str">
        <f>IFERROR(__xludf.DUMMYFUNCTION("""COMPUTED_VALUE"""),"")</f>
        <v/>
      </c>
      <c r="F9691" s="17" t="str">
        <f>IFERROR(__xludf.DUMMYFUNCTION("""COMPUTED_VALUE"""),"")</f>
        <v/>
      </c>
      <c r="G9691" s="17" t="str">
        <f>IFERROR(__xludf.DUMMYFUNCTION("""COMPUTED_VALUE"""),"")</f>
        <v/>
      </c>
      <c r="H9691" s="17" t="str">
        <f>IFERROR(__xludf.DUMMYFUNCTION("""COMPUTED_VALUE"""),"")</f>
        <v/>
      </c>
      <c r="I9691" s="17" t="str">
        <f>IFERROR(__xludf.DUMMYFUNCTION("""COMPUTED_VALUE"""),"")</f>
        <v/>
      </c>
      <c r="J9691" s="17" t="str">
        <f>IFERROR(__xludf.DUMMYFUNCTION("""COMPUTED_VALUE"""),"")</f>
        <v/>
      </c>
      <c r="K9691" s="17" t="str">
        <f>IFERROR(__xludf.DUMMYFUNCTION("""COMPUTED_VALUE"""),"")</f>
        <v/>
      </c>
      <c r="L9691" s="17" t="str">
        <f>IFERROR(__xludf.DUMMYFUNCTION("""COMPUTED_VALUE"""),"")</f>
        <v/>
      </c>
      <c r="M9691" s="17" t="str">
        <f>IFERROR(__xludf.DUMMYFUNCTION("""COMPUTED_VALUE"""),"")</f>
        <v/>
      </c>
      <c r="N9691" s="17" t="str">
        <f>IFERROR(__xludf.DUMMYFUNCTION("""COMPUTED_VALUE"""),"")</f>
        <v/>
      </c>
      <c r="O9691" s="17" t="str">
        <f>IFERROR(__xludf.DUMMYFUNCTION("""COMPUTED_VALUE"""),"")</f>
        <v/>
      </c>
      <c r="P9691" s="17" t="str">
        <f>IFERROR(__xludf.DUMMYFUNCTION("""COMPUTED_VALUE"""),"")</f>
        <v/>
      </c>
      <c r="Q9691" s="17" t="str">
        <f>IFERROR(__xludf.DUMMYFUNCTION("""COMPUTED_VALUE"""),"")</f>
        <v/>
      </c>
      <c r="R9691" s="17" t="str">
        <f>IFERROR(__xludf.DUMMYFUNCTION("""COMPUTED_VALUE"""),"")</f>
        <v/>
      </c>
    </row>
    <row r="9692">
      <c r="A9692" s="15">
        <f>IFERROR(__xludf.DUMMYFUNCTION("""COMPUTED_VALUE"""),45275.0)</f>
        <v>45275</v>
      </c>
      <c r="B9692" s="17"/>
      <c r="C9692" s="15" t="str">
        <f>IFERROR(__xludf.DUMMYFUNCTION("""COMPUTED_VALUE"""),"BUCARAMANGA")</f>
        <v>BUCARAMANGA</v>
      </c>
      <c r="D9692" s="15" t="str">
        <f>IFERROR(__xludf.DUMMYFUNCTION("""COMPUTED_VALUE"""),"BOGOTÁ")</f>
        <v>BOGOTÁ</v>
      </c>
      <c r="E9692" s="15" t="str">
        <f>IFERROR(__xludf.DUMMYFUNCTION("""COMPUTED_VALUE"""),"Athenas")</f>
        <v>Athenas</v>
      </c>
      <c r="F9692" s="17" t="str">
        <f>IFERROR(__xludf.DUMMYFUNCTION("""COMPUTED_VALUE"""),"Transversal 93 #34 99 Centro Comercial Cacique Local 420 / BODYTECH CAFETERIA / CACIQUE")</f>
        <v>Transversal 93 #34 99 Centro Comercial Cacique Local 420 / BODYTECH CAFETERIA / CACIQUE</v>
      </c>
      <c r="G9692" s="15" t="str">
        <f>IFERROR(__xludf.DUMMYFUNCTION("""COMPUTED_VALUE"""),"MONICA NUÑEZ")</f>
        <v>MONICA NUÑEZ</v>
      </c>
      <c r="H9692" s="16">
        <f>IFERROR(__xludf.DUMMYFUNCTION("""COMPUTED_VALUE"""),18282.0)</f>
        <v>18282</v>
      </c>
      <c r="I9692" s="18" t="str">
        <f>IFERROR(__xludf.DUMMYFUNCTION("""COMPUTED_VALUE"""),"52.5")</f>
        <v>52.5</v>
      </c>
      <c r="J9692" s="18">
        <f>IFERROR(__xludf.DUMMYFUNCTION("""COMPUTED_VALUE"""),55.0)</f>
        <v>55</v>
      </c>
      <c r="K9692" s="18">
        <f>IFERROR(__xludf.DUMMYFUNCTION("""COMPUTED_VALUE"""),45.0)</f>
        <v>45</v>
      </c>
      <c r="L9692" s="17">
        <f>IFERROR(__xludf.DUMMYFUNCTION("""COMPUTED_VALUE"""),3.505619832E9)</f>
        <v>3505619832</v>
      </c>
      <c r="M9692" s="17"/>
      <c r="N9692" s="17"/>
      <c r="O9692" s="17"/>
      <c r="P9692" s="17" t="b">
        <f>IFERROR(__xludf.DUMMYFUNCTION("""COMPUTED_VALUE"""),FALSE)</f>
        <v>0</v>
      </c>
      <c r="Q9692" s="20" t="str">
        <f>IFERROR(__xludf.DUMMYFUNCTION("""COMPUTED_VALUE"""),"")</f>
        <v/>
      </c>
      <c r="R9692" s="22" t="str">
        <f>IFERROR(__xludf.DUMMYFUNCTION("""COMPUTED_VALUE"""),"")</f>
        <v/>
      </c>
    </row>
    <row r="9693">
      <c r="A9693" s="17" t="str">
        <f>IFERROR(__xludf.DUMMYFUNCTION("""COMPUTED_VALUE"""),"")</f>
        <v/>
      </c>
      <c r="B9693" s="17" t="str">
        <f>IFERROR(__xludf.DUMMYFUNCTION("""COMPUTED_VALUE"""),"")</f>
        <v/>
      </c>
      <c r="C9693" s="17" t="str">
        <f>IFERROR(__xludf.DUMMYFUNCTION("""COMPUTED_VALUE"""),"")</f>
        <v/>
      </c>
      <c r="D9693" s="17" t="str">
        <f>IFERROR(__xludf.DUMMYFUNCTION("""COMPUTED_VALUE"""),"")</f>
        <v/>
      </c>
      <c r="E9693" s="17" t="str">
        <f>IFERROR(__xludf.DUMMYFUNCTION("""COMPUTED_VALUE"""),"")</f>
        <v/>
      </c>
      <c r="F9693" s="17" t="str">
        <f>IFERROR(__xludf.DUMMYFUNCTION("""COMPUTED_VALUE"""),"")</f>
        <v/>
      </c>
      <c r="G9693" s="17" t="str">
        <f>IFERROR(__xludf.DUMMYFUNCTION("""COMPUTED_VALUE"""),"")</f>
        <v/>
      </c>
      <c r="H9693" s="17" t="str">
        <f>IFERROR(__xludf.DUMMYFUNCTION("""COMPUTED_VALUE"""),"")</f>
        <v/>
      </c>
      <c r="I9693" s="17" t="str">
        <f>IFERROR(__xludf.DUMMYFUNCTION("""COMPUTED_VALUE"""),"")</f>
        <v/>
      </c>
      <c r="J9693" s="17" t="str">
        <f>IFERROR(__xludf.DUMMYFUNCTION("""COMPUTED_VALUE"""),"")</f>
        <v/>
      </c>
      <c r="K9693" s="17" t="str">
        <f>IFERROR(__xludf.DUMMYFUNCTION("""COMPUTED_VALUE"""),"")</f>
        <v/>
      </c>
      <c r="L9693" s="17" t="str">
        <f>IFERROR(__xludf.DUMMYFUNCTION("""COMPUTED_VALUE"""),"")</f>
        <v/>
      </c>
      <c r="M9693" s="17" t="str">
        <f>IFERROR(__xludf.DUMMYFUNCTION("""COMPUTED_VALUE"""),"")</f>
        <v/>
      </c>
      <c r="N9693" s="17" t="str">
        <f>IFERROR(__xludf.DUMMYFUNCTION("""COMPUTED_VALUE"""),"")</f>
        <v/>
      </c>
      <c r="O9693" s="17" t="str">
        <f>IFERROR(__xludf.DUMMYFUNCTION("""COMPUTED_VALUE"""),"")</f>
        <v/>
      </c>
      <c r="P9693" s="17" t="str">
        <f>IFERROR(__xludf.DUMMYFUNCTION("""COMPUTED_VALUE"""),"")</f>
        <v/>
      </c>
      <c r="Q9693" s="17" t="str">
        <f>IFERROR(__xludf.DUMMYFUNCTION("""COMPUTED_VALUE"""),"")</f>
        <v/>
      </c>
      <c r="R9693" s="17" t="str">
        <f>IFERROR(__xludf.DUMMYFUNCTION("""COMPUTED_VALUE"""),"")</f>
        <v/>
      </c>
    </row>
    <row r="9694">
      <c r="A9694" s="15">
        <f>IFERROR(__xludf.DUMMYFUNCTION("""COMPUTED_VALUE"""),45275.0)</f>
        <v>45275</v>
      </c>
      <c r="B9694" s="16" t="str">
        <f>IFERROR(__xludf.DUMMYFUNCTION("""COMPUTED_VALUE"""),"Alvaro Chacón")</f>
        <v>Alvaro Chacón</v>
      </c>
      <c r="C9694" s="15" t="str">
        <f>IFERROR(__xludf.DUMMYFUNCTION("""COMPUTED_VALUE"""),"BOGOTÁ")</f>
        <v>BOGOTÁ</v>
      </c>
      <c r="D9694" s="15" t="str">
        <f>IFERROR(__xludf.DUMMYFUNCTION("""COMPUTED_VALUE"""),"ENVIGADO")</f>
        <v>ENVIGADO</v>
      </c>
      <c r="E9694" s="15" t="str">
        <f>IFERROR(__xludf.DUMMYFUNCTION("""COMPUTED_VALUE"""),"RAMBLA")</f>
        <v>RAMBLA</v>
      </c>
      <c r="F9694" s="17" t="str">
        <f>IFERROR(__xludf.DUMMYFUNCTION("""COMPUTED_VALUE"""),"Avenida Carrera 9 # 113-52 / local 306")</f>
        <v>Avenida Carrera 9 # 113-52 / local 306</v>
      </c>
      <c r="G9694" s="15" t="str">
        <f>IFERROR(__xludf.DUMMYFUNCTION("""COMPUTED_VALUE"""),"Fresh Co")</f>
        <v>Fresh Co</v>
      </c>
      <c r="H9694" s="16">
        <f>IFERROR(__xludf.DUMMYFUNCTION("""COMPUTED_VALUE"""),18433.0)</f>
        <v>18433</v>
      </c>
      <c r="I9694" s="17"/>
      <c r="J9694" s="17"/>
      <c r="K9694" s="17"/>
      <c r="L9694" s="17">
        <f>IFERROR(__xludf.DUMMYFUNCTION("""COMPUTED_VALUE"""),3.229417869E9)</f>
        <v>3229417869</v>
      </c>
      <c r="M9694" s="17"/>
      <c r="N9694" s="17"/>
      <c r="O9694" s="17"/>
      <c r="P9694" s="17" t="b">
        <f>IFERROR(__xludf.DUMMYFUNCTION("""COMPUTED_VALUE"""),FALSE)</f>
        <v>0</v>
      </c>
      <c r="Q9694" s="20" t="str">
        <f>IFERROR(__xludf.DUMMYFUNCTION("""COMPUTED_VALUE"""),"")</f>
        <v/>
      </c>
      <c r="R9694" s="21" t="str">
        <f>IFERROR(__xludf.DUMMYFUNCTION("""COMPUTED_VALUE"""),"https://drive.google.com/file/d/1yQYN5s41VLSEdkLkXi6iOCj08y3MrujK/view?usp=drivesdk")</f>
        <v>https://drive.google.com/file/d/1yQYN5s41VLSEdkLkXi6iOCj08y3MrujK/view?usp=drivesdk</v>
      </c>
    </row>
    <row r="9695">
      <c r="A9695" s="15">
        <f>IFERROR(__xludf.DUMMYFUNCTION("""COMPUTED_VALUE"""),45275.0)</f>
        <v>45275</v>
      </c>
      <c r="B9695" s="16" t="str">
        <f>IFERROR(__xludf.DUMMYFUNCTION("""COMPUTED_VALUE"""),"Alvaro Chacón")</f>
        <v>Alvaro Chacón</v>
      </c>
      <c r="C9695" s="15" t="str">
        <f>IFERROR(__xludf.DUMMYFUNCTION("""COMPUTED_VALUE"""),"BOGOTÁ")</f>
        <v>BOGOTÁ</v>
      </c>
      <c r="D9695" s="15" t="str">
        <f>IFERROR(__xludf.DUMMYFUNCTION("""COMPUTED_VALUE"""),"ENVIGADO")</f>
        <v>ENVIGADO</v>
      </c>
      <c r="E9695" s="15" t="str">
        <f>IFERROR(__xludf.DUMMYFUNCTION("""COMPUTED_VALUE"""),"RAMBLA")</f>
        <v>RAMBLA</v>
      </c>
      <c r="F9695" s="17" t="str">
        <f>IFERROR(__xludf.DUMMYFUNCTION("""COMPUTED_VALUE"""),"Cll 123a # 53a-11 / Local esquina")</f>
        <v>Cll 123a # 53a-11 / Local esquina</v>
      </c>
      <c r="G9695" s="15" t="str">
        <f>IFERROR(__xludf.DUMMYFUNCTION("""COMPUTED_VALUE"""),"Sweet &amp; Fit Life")</f>
        <v>Sweet &amp; Fit Life</v>
      </c>
      <c r="H9695" s="16">
        <f>IFERROR(__xludf.DUMMYFUNCTION("""COMPUTED_VALUE"""),18434.0)</f>
        <v>18434</v>
      </c>
      <c r="I9695" s="17"/>
      <c r="J9695" s="17"/>
      <c r="K9695" s="17"/>
      <c r="L9695" s="17">
        <f>IFERROR(__xludf.DUMMYFUNCTION("""COMPUTED_VALUE"""),3.207201556E9)</f>
        <v>3207201556</v>
      </c>
      <c r="M9695" s="17"/>
      <c r="N9695" s="17"/>
      <c r="O9695" s="17"/>
      <c r="P9695" s="17" t="b">
        <f>IFERROR(__xludf.DUMMYFUNCTION("""COMPUTED_VALUE"""),FALSE)</f>
        <v>0</v>
      </c>
      <c r="Q9695" s="20" t="str">
        <f>IFERROR(__xludf.DUMMYFUNCTION("""COMPUTED_VALUE"""),"")</f>
        <v/>
      </c>
      <c r="R9695" s="21" t="str">
        <f>IFERROR(__xludf.DUMMYFUNCTION("""COMPUTED_VALUE"""),"https://drive.google.com/file/d/1W5wLEZTeel2vIXSLMX5XQUYdQGDMkfSD/view?usp=drivesdk")</f>
        <v>https://drive.google.com/file/d/1W5wLEZTeel2vIXSLMX5XQUYdQGDMkfSD/view?usp=drivesdk</v>
      </c>
    </row>
    <row r="9696">
      <c r="A9696" s="15">
        <f>IFERROR(__xludf.DUMMYFUNCTION("""COMPUTED_VALUE"""),45275.0)</f>
        <v>45275</v>
      </c>
      <c r="B9696" s="16" t="str">
        <f>IFERROR(__xludf.DUMMYFUNCTION("""COMPUTED_VALUE"""),"Alvaro Chacón")</f>
        <v>Alvaro Chacón</v>
      </c>
      <c r="C9696" s="15" t="str">
        <f>IFERROR(__xludf.DUMMYFUNCTION("""COMPUTED_VALUE"""),"BOGOTÁ")</f>
        <v>BOGOTÁ</v>
      </c>
      <c r="D9696" s="15" t="str">
        <f>IFERROR(__xludf.DUMMYFUNCTION("""COMPUTED_VALUE"""),"MEDELLÍN")</f>
        <v>MEDELLÍN</v>
      </c>
      <c r="E9696" s="15" t="str">
        <f>IFERROR(__xludf.DUMMYFUNCTION("""COMPUTED_VALUE"""),"Baby Chef")</f>
        <v>Baby Chef</v>
      </c>
      <c r="F9696" s="17" t="str">
        <f>IFERROR(__xludf.DUMMYFUNCTION("""COMPUTED_VALUE"""),"Carrera 12 # 145 a 39 / . / .")</f>
        <v>Carrera 12 # 145 a 39 / . / .</v>
      </c>
      <c r="G9696" s="15" t="str">
        <f>IFERROR(__xludf.DUMMYFUNCTION("""COMPUTED_VALUE"""),"Leidy Guavita")</f>
        <v>Leidy Guavita</v>
      </c>
      <c r="H9696" s="16">
        <f>IFERROR(__xludf.DUMMYFUNCTION("""COMPUTED_VALUE"""),18437.0)</f>
        <v>18437</v>
      </c>
      <c r="I9696" s="18">
        <f>IFERROR(__xludf.DUMMYFUNCTION("""COMPUTED_VALUE"""),5.0)</f>
        <v>5</v>
      </c>
      <c r="J9696" s="18">
        <f>IFERROR(__xludf.DUMMYFUNCTION("""COMPUTED_VALUE"""),9.0)</f>
        <v>9</v>
      </c>
      <c r="K9696" s="18">
        <f>IFERROR(__xludf.DUMMYFUNCTION("""COMPUTED_VALUE"""),10.0)</f>
        <v>10</v>
      </c>
      <c r="L9696" s="17">
        <f>IFERROR(__xludf.DUMMYFUNCTION("""COMPUTED_VALUE"""),3.134011616E9)</f>
        <v>3134011616</v>
      </c>
      <c r="M9696" s="17"/>
      <c r="N9696" s="17"/>
      <c r="O9696" s="17"/>
      <c r="P9696" s="17" t="b">
        <f>IFERROR(__xludf.DUMMYFUNCTION("""COMPUTED_VALUE"""),FALSE)</f>
        <v>0</v>
      </c>
      <c r="Q9696" s="20" t="str">
        <f>IFERROR(__xludf.DUMMYFUNCTION("""COMPUTED_VALUE"""),"")</f>
        <v/>
      </c>
      <c r="R9696" s="21" t="str">
        <f>IFERROR(__xludf.DUMMYFUNCTION("""COMPUTED_VALUE"""),"https://drive.google.com/file/d/16whX8BOz0laIuGWxA41IPHmHuZjXUgAq/view?usp=drivesdk")</f>
        <v>https://drive.google.com/file/d/16whX8BOz0laIuGWxA41IPHmHuZjXUgAq/view?usp=drivesdk</v>
      </c>
    </row>
    <row r="9697">
      <c r="A9697" s="15">
        <f>IFERROR(__xludf.DUMMYFUNCTION("""COMPUTED_VALUE"""),45275.0)</f>
        <v>45275</v>
      </c>
      <c r="B9697" s="16" t="str">
        <f>IFERROR(__xludf.DUMMYFUNCTION("""COMPUTED_VALUE"""),"Alvaro Chacón")</f>
        <v>Alvaro Chacón</v>
      </c>
      <c r="C9697" s="15" t="str">
        <f>IFERROR(__xludf.DUMMYFUNCTION("""COMPUTED_VALUE"""),"BOGOTÁ")</f>
        <v>BOGOTÁ</v>
      </c>
      <c r="D9697" s="15" t="str">
        <f>IFERROR(__xludf.DUMMYFUNCTION("""COMPUTED_VALUE"""),"MEDELLÍN")</f>
        <v>MEDELLÍN</v>
      </c>
      <c r="E9697" s="15" t="str">
        <f>IFERROR(__xludf.DUMMYFUNCTION("""COMPUTED_VALUE"""),"Moloso S.A.S")</f>
        <v>Moloso S.A.S</v>
      </c>
      <c r="F9697" s="17" t="str">
        <f>IFERROR(__xludf.DUMMYFUNCTION("""COMPUTED_VALUE"""),"CR 10B 135A 20 / ED AGAVE AP 301")</f>
        <v>CR 10B 135A 20 / ED AGAVE AP 301</v>
      </c>
      <c r="G9697" s="15" t="str">
        <f>IFERROR(__xludf.DUMMYFUNCTION("""COMPUTED_VALUE"""),"ALEJANDRA MARIA QUIÑONES CEDEÑO")</f>
        <v>ALEJANDRA MARIA QUIÑONES CEDEÑO</v>
      </c>
      <c r="H9697" s="16">
        <f>IFERROR(__xludf.DUMMYFUNCTION("""COMPUTED_VALUE"""),18431.0)</f>
        <v>18431</v>
      </c>
      <c r="I9697" s="17"/>
      <c r="J9697" s="17"/>
      <c r="K9697" s="17"/>
      <c r="L9697" s="17"/>
      <c r="M9697" s="17"/>
      <c r="N9697" s="17"/>
      <c r="O9697" s="17"/>
      <c r="P9697" s="17" t="b">
        <f>IFERROR(__xludf.DUMMYFUNCTION("""COMPUTED_VALUE"""),FALSE)</f>
        <v>0</v>
      </c>
      <c r="Q9697" s="20" t="str">
        <f>IFERROR(__xludf.DUMMYFUNCTION("""COMPUTED_VALUE"""),"")</f>
        <v/>
      </c>
      <c r="R9697" s="21" t="str">
        <f>IFERROR(__xludf.DUMMYFUNCTION("""COMPUTED_VALUE"""),"https://drive.google.com/file/d/1GFkqOu01If7_Fcje-t6Y_SFOMxPRnHfP/view?usp=drivesdk")</f>
        <v>https://drive.google.com/file/d/1GFkqOu01If7_Fcje-t6Y_SFOMxPRnHfP/view?usp=drivesdk</v>
      </c>
    </row>
    <row r="9698">
      <c r="A9698" s="17" t="str">
        <f>IFERROR(__xludf.DUMMYFUNCTION("""COMPUTED_VALUE"""),"")</f>
        <v/>
      </c>
      <c r="B9698" s="17" t="str">
        <f>IFERROR(__xludf.DUMMYFUNCTION("""COMPUTED_VALUE"""),"")</f>
        <v/>
      </c>
      <c r="C9698" s="17" t="str">
        <f>IFERROR(__xludf.DUMMYFUNCTION("""COMPUTED_VALUE"""),"")</f>
        <v/>
      </c>
      <c r="D9698" s="17" t="str">
        <f>IFERROR(__xludf.DUMMYFUNCTION("""COMPUTED_VALUE"""),"")</f>
        <v/>
      </c>
      <c r="E9698" s="17" t="str">
        <f>IFERROR(__xludf.DUMMYFUNCTION("""COMPUTED_VALUE"""),"")</f>
        <v/>
      </c>
      <c r="F9698" s="17" t="str">
        <f>IFERROR(__xludf.DUMMYFUNCTION("""COMPUTED_VALUE"""),"")</f>
        <v/>
      </c>
      <c r="G9698" s="17" t="str">
        <f>IFERROR(__xludf.DUMMYFUNCTION("""COMPUTED_VALUE"""),"")</f>
        <v/>
      </c>
      <c r="H9698" s="17" t="str">
        <f>IFERROR(__xludf.DUMMYFUNCTION("""COMPUTED_VALUE"""),"")</f>
        <v/>
      </c>
      <c r="I9698" s="17" t="str">
        <f>IFERROR(__xludf.DUMMYFUNCTION("""COMPUTED_VALUE"""),"")</f>
        <v/>
      </c>
      <c r="J9698" s="17" t="str">
        <f>IFERROR(__xludf.DUMMYFUNCTION("""COMPUTED_VALUE"""),"")</f>
        <v/>
      </c>
      <c r="K9698" s="17" t="str">
        <f>IFERROR(__xludf.DUMMYFUNCTION("""COMPUTED_VALUE"""),"")</f>
        <v/>
      </c>
      <c r="L9698" s="17" t="str">
        <f>IFERROR(__xludf.DUMMYFUNCTION("""COMPUTED_VALUE"""),"")</f>
        <v/>
      </c>
      <c r="M9698" s="17" t="str">
        <f>IFERROR(__xludf.DUMMYFUNCTION("""COMPUTED_VALUE"""),"")</f>
        <v/>
      </c>
      <c r="N9698" s="17" t="str">
        <f>IFERROR(__xludf.DUMMYFUNCTION("""COMPUTED_VALUE"""),"")</f>
        <v/>
      </c>
      <c r="O9698" s="17" t="str">
        <f>IFERROR(__xludf.DUMMYFUNCTION("""COMPUTED_VALUE"""),"")</f>
        <v/>
      </c>
      <c r="P9698" s="17" t="str">
        <f>IFERROR(__xludf.DUMMYFUNCTION("""COMPUTED_VALUE"""),"")</f>
        <v/>
      </c>
      <c r="Q9698" s="17" t="str">
        <f>IFERROR(__xludf.DUMMYFUNCTION("""COMPUTED_VALUE"""),"")</f>
        <v/>
      </c>
      <c r="R9698" s="17" t="str">
        <f>IFERROR(__xludf.DUMMYFUNCTION("""COMPUTED_VALUE"""),"")</f>
        <v/>
      </c>
    </row>
    <row r="9699">
      <c r="A9699" s="15">
        <f>IFERROR(__xludf.DUMMYFUNCTION("""COMPUTED_VALUE"""),45275.0)</f>
        <v>45275</v>
      </c>
      <c r="B9699" s="16" t="str">
        <f>IFERROR(__xludf.DUMMYFUNCTION("""COMPUTED_VALUE"""),"Angie Daniela Meneses ")</f>
        <v>Angie Daniela Meneses </v>
      </c>
      <c r="C9699" s="15" t="str">
        <f>IFERROR(__xludf.DUMMYFUNCTION("""COMPUTED_VALUE"""),"POPAYAN")</f>
        <v>POPAYAN</v>
      </c>
      <c r="D9699" s="15" t="str">
        <f>IFERROR(__xludf.DUMMYFUNCTION("""COMPUTED_VALUE"""),"BOGOTÁ")</f>
        <v>BOGOTÁ</v>
      </c>
      <c r="E9699" s="15" t="str">
        <f>IFERROR(__xludf.DUMMYFUNCTION("""COMPUTED_VALUE"""),"Hiiva Fermentados SAS")</f>
        <v>Hiiva Fermentados SAS</v>
      </c>
      <c r="F9699" s="17" t="str">
        <f>IFERROR(__xludf.DUMMYFUNCTION("""COMPUTED_VALUE"""),"Calle 27 BN 7 34 / palace II etapa")</f>
        <v>Calle 27 BN 7 34 / palace II etapa</v>
      </c>
      <c r="G9699" s="15" t="str">
        <f>IFERROR(__xludf.DUMMYFUNCTION("""COMPUTED_VALUE"""),"Diana Ruiz")</f>
        <v>Diana Ruiz</v>
      </c>
      <c r="H9699" s="16">
        <f>IFERROR(__xludf.DUMMYFUNCTION("""COMPUTED_VALUE"""),18144.0)</f>
        <v>18144</v>
      </c>
      <c r="I9699" s="17"/>
      <c r="J9699" s="17"/>
      <c r="K9699" s="17"/>
      <c r="L9699" s="17">
        <f>IFERROR(__xludf.DUMMYFUNCTION("""COMPUTED_VALUE"""),3.217183658E9)</f>
        <v>3217183658</v>
      </c>
      <c r="M9699" s="17"/>
      <c r="N9699" s="17"/>
      <c r="O9699" s="17"/>
      <c r="P9699" s="17" t="b">
        <f>IFERROR(__xludf.DUMMYFUNCTION("""COMPUTED_VALUE"""),TRUE)</f>
        <v>1</v>
      </c>
      <c r="Q9699" s="20">
        <f>IFERROR(__xludf.DUMMYFUNCTION("""COMPUTED_VALUE"""),45278.442693703706)</f>
        <v>45278.44269</v>
      </c>
      <c r="R9699" s="22" t="str">
        <f>IFERROR(__xludf.DUMMYFUNCTION("""COMPUTED_VALUE"""),"")</f>
        <v/>
      </c>
    </row>
    <row r="9700">
      <c r="A9700" s="15">
        <f>IFERROR(__xludf.DUMMYFUNCTION("""COMPUTED_VALUE"""),45275.0)</f>
        <v>45275</v>
      </c>
      <c r="B9700" s="16" t="str">
        <f>IFERROR(__xludf.DUMMYFUNCTION("""COMPUTED_VALUE"""),"Angie Daniela Meneses ")</f>
        <v>Angie Daniela Meneses </v>
      </c>
      <c r="C9700" s="15" t="str">
        <f>IFERROR(__xludf.DUMMYFUNCTION("""COMPUTED_VALUE"""),"POPAYAN")</f>
        <v>POPAYAN</v>
      </c>
      <c r="D9700" s="15" t="str">
        <f>IFERROR(__xludf.DUMMYFUNCTION("""COMPUTED_VALUE"""),"BOGOTÁ")</f>
        <v>BOGOTÁ</v>
      </c>
      <c r="E9700" s="15" t="str">
        <f>IFERROR(__xludf.DUMMYFUNCTION("""COMPUTED_VALUE"""),"Instinto alimento vital")</f>
        <v>Instinto alimento vital</v>
      </c>
      <c r="F9700" s="17" t="str">
        <f>IFERROR(__xludf.DUMMYFUNCTION("""COMPUTED_VALUE"""),"CRA 17 # 15 - 40 / CAS A")</f>
        <v>CRA 17 # 15 - 40 / CAS A</v>
      </c>
      <c r="G9700" s="15" t="str">
        <f>IFERROR(__xludf.DUMMYFUNCTION("""COMPUTED_VALUE"""),"MARCELA GAVIRIA PAZ")</f>
        <v>MARCELA GAVIRIA PAZ</v>
      </c>
      <c r="H9700" s="16">
        <f>IFERROR(__xludf.DUMMYFUNCTION("""COMPUTED_VALUE"""),18370.0)</f>
        <v>18370</v>
      </c>
      <c r="I9700" s="17"/>
      <c r="J9700" s="17"/>
      <c r="K9700" s="17"/>
      <c r="L9700" s="17">
        <f>IFERROR(__xludf.DUMMYFUNCTION("""COMPUTED_VALUE"""),3.117038837E9)</f>
        <v>3117038837</v>
      </c>
      <c r="M9700" s="17"/>
      <c r="N9700" s="17"/>
      <c r="O9700" s="17"/>
      <c r="P9700" s="17" t="b">
        <f>IFERROR(__xludf.DUMMYFUNCTION("""COMPUTED_VALUE"""),TRUE)</f>
        <v>1</v>
      </c>
      <c r="Q9700" s="20">
        <f>IFERROR(__xludf.DUMMYFUNCTION("""COMPUTED_VALUE"""),45275.52878327546)</f>
        <v>45275.52878</v>
      </c>
      <c r="R9700" s="22" t="str">
        <f>IFERROR(__xludf.DUMMYFUNCTION("""COMPUTED_VALUE"""),"")</f>
        <v/>
      </c>
    </row>
    <row r="9701">
      <c r="A9701" s="15">
        <f>IFERROR(__xludf.DUMMYFUNCTION("""COMPUTED_VALUE"""),45275.0)</f>
        <v>45275</v>
      </c>
      <c r="B9701" s="16" t="str">
        <f>IFERROR(__xludf.DUMMYFUNCTION("""COMPUTED_VALUE"""),"Angie Daniela Meneses ")</f>
        <v>Angie Daniela Meneses </v>
      </c>
      <c r="C9701" s="15" t="str">
        <f>IFERROR(__xludf.DUMMYFUNCTION("""COMPUTED_VALUE"""),"POPAYAN")</f>
        <v>POPAYAN</v>
      </c>
      <c r="D9701" s="15" t="str">
        <f>IFERROR(__xludf.DUMMYFUNCTION("""COMPUTED_VALUE"""),"BOGOTÁ")</f>
        <v>BOGOTÁ</v>
      </c>
      <c r="E9701" s="15" t="str">
        <f>IFERROR(__xludf.DUMMYFUNCTION("""COMPUTED_VALUE"""),"LINA PAOLA RAMIREZ GOMEZ - EVA MAZZITA")</f>
        <v>LINA PAOLA RAMIREZ GOMEZ - EVA MAZZITA</v>
      </c>
      <c r="F9701" s="17" t="str">
        <f>IFERROR(__xludf.DUMMYFUNCTION("""COMPUTED_VALUE"""),"CRA 6 # 27N - 58 / LOCAL 1 BARRIO LOS HOYOS - VIVEA MERCADO SALUDABLE")</f>
        <v>CRA 6 # 27N - 58 / LOCAL 1 BARRIO LOS HOYOS - VIVEA MERCADO SALUDABLE</v>
      </c>
      <c r="G9701" s="15" t="str">
        <f>IFERROR(__xludf.DUMMYFUNCTION("""COMPUTED_VALUE"""),"VIVIANA ANDREA CHAMORRO YANZA")</f>
        <v>VIVIANA ANDREA CHAMORRO YANZA</v>
      </c>
      <c r="H9701" s="16">
        <f>IFERROR(__xludf.DUMMYFUNCTION("""COMPUTED_VALUE"""),18386.0)</f>
        <v>18386</v>
      </c>
      <c r="I9701" s="17"/>
      <c r="J9701" s="17"/>
      <c r="K9701" s="17"/>
      <c r="L9701" s="17">
        <f>IFERROR(__xludf.DUMMYFUNCTION("""COMPUTED_VALUE"""),3.122971002E9)</f>
        <v>3122971002</v>
      </c>
      <c r="M9701" s="17"/>
      <c r="N9701" s="17"/>
      <c r="O9701" s="17"/>
      <c r="P9701" s="17" t="b">
        <f>IFERROR(__xludf.DUMMYFUNCTION("""COMPUTED_VALUE"""),TRUE)</f>
        <v>1</v>
      </c>
      <c r="Q9701" s="20">
        <f>IFERROR(__xludf.DUMMYFUNCTION("""COMPUTED_VALUE"""),45275.528873773146)</f>
        <v>45275.52887</v>
      </c>
      <c r="R9701" s="22" t="str">
        <f>IFERROR(__xludf.DUMMYFUNCTION("""COMPUTED_VALUE"""),"")</f>
        <v/>
      </c>
    </row>
    <row r="9702">
      <c r="A9702" s="15">
        <f>IFERROR(__xludf.DUMMYFUNCTION("""COMPUTED_VALUE"""),45275.0)</f>
        <v>45275</v>
      </c>
      <c r="B9702" s="16" t="str">
        <f>IFERROR(__xludf.DUMMYFUNCTION("""COMPUTED_VALUE"""),"Angie Daniela Meneses ")</f>
        <v>Angie Daniela Meneses </v>
      </c>
      <c r="C9702" s="15" t="str">
        <f>IFERROR(__xludf.DUMMYFUNCTION("""COMPUTED_VALUE"""),"POPAYAN")</f>
        <v>POPAYAN</v>
      </c>
      <c r="D9702" s="15" t="str">
        <f>IFERROR(__xludf.DUMMYFUNCTION("""COMPUTED_VALUE"""),"ENVIGADO")</f>
        <v>ENVIGADO</v>
      </c>
      <c r="E9702" s="15" t="str">
        <f>IFERROR(__xludf.DUMMYFUNCTION("""COMPUTED_VALUE"""),"RAMBLA")</f>
        <v>RAMBLA</v>
      </c>
      <c r="F9702" s="17" t="str">
        <f>IFERROR(__xludf.DUMMYFUNCTION("""COMPUTED_VALUE"""),"Carrera 9 # 18N - 239 / Local 4 Terrazas del norte")</f>
        <v>Carrera 9 # 18N - 239 / Local 4 Terrazas del norte</v>
      </c>
      <c r="G9702" s="15" t="str">
        <f>IFERROR(__xludf.DUMMYFUNCTION("""COMPUTED_VALUE"""),"Vitafit")</f>
        <v>Vitafit</v>
      </c>
      <c r="H9702" s="16">
        <f>IFERROR(__xludf.DUMMYFUNCTION("""COMPUTED_VALUE"""),18377.0)</f>
        <v>18377</v>
      </c>
      <c r="I9702" s="17"/>
      <c r="J9702" s="17"/>
      <c r="K9702" s="17"/>
      <c r="L9702" s="17">
        <f>IFERROR(__xludf.DUMMYFUNCTION("""COMPUTED_VALUE"""),3.017324093E9)</f>
        <v>3017324093</v>
      </c>
      <c r="M9702" s="17"/>
      <c r="N9702" s="17"/>
      <c r="O9702" s="17"/>
      <c r="P9702" s="17" t="b">
        <f>IFERROR(__xludf.DUMMYFUNCTION("""COMPUTED_VALUE"""),TRUE)</f>
        <v>1</v>
      </c>
      <c r="Q9702" s="20">
        <f>IFERROR(__xludf.DUMMYFUNCTION("""COMPUTED_VALUE"""),45275.528873773146)</f>
        <v>45275.52887</v>
      </c>
      <c r="R9702" s="22" t="str">
        <f>IFERROR(__xludf.DUMMYFUNCTION("""COMPUTED_VALUE"""),"")</f>
        <v/>
      </c>
    </row>
    <row r="9703">
      <c r="A9703" s="15">
        <f>IFERROR(__xludf.DUMMYFUNCTION("""COMPUTED_VALUE"""),45275.0)</f>
        <v>45275</v>
      </c>
      <c r="B9703" s="16" t="str">
        <f>IFERROR(__xludf.DUMMYFUNCTION("""COMPUTED_VALUE"""),"Angie Daniela Meneses ")</f>
        <v>Angie Daniela Meneses </v>
      </c>
      <c r="C9703" s="15" t="str">
        <f>IFERROR(__xludf.DUMMYFUNCTION("""COMPUTED_VALUE"""),"POPAYAN")</f>
        <v>POPAYAN</v>
      </c>
      <c r="D9703" s="15" t="str">
        <f>IFERROR(__xludf.DUMMYFUNCTION("""COMPUTED_VALUE"""),"MEDELLÍN")</f>
        <v>MEDELLÍN</v>
      </c>
      <c r="E9703" s="15" t="str">
        <f>IFERROR(__xludf.DUMMYFUNCTION("""COMPUTED_VALUE"""),"Baby Chef")</f>
        <v>Baby Chef</v>
      </c>
      <c r="F9703" s="17" t="str">
        <f>IFERROR(__xludf.DUMMYFUNCTION("""COMPUTED_VALUE"""),"Calle 80 norte No. 7 - 76 casa 38 Conjunto Sendero de Eucaliptos  Popayán, Cauca / . / .")</f>
        <v>Calle 80 norte No. 7 - 76 casa 38 Conjunto Sendero de Eucaliptos  Popayán, Cauca / . / .</v>
      </c>
      <c r="G9703" s="15" t="str">
        <f>IFERROR(__xludf.DUMMYFUNCTION("""COMPUTED_VALUE"""),"María del Rosario Garzón Calderón")</f>
        <v>María del Rosario Garzón Calderón</v>
      </c>
      <c r="H9703" s="16">
        <f>IFERROR(__xludf.DUMMYFUNCTION("""COMPUTED_VALUE"""),18401.0)</f>
        <v>18401</v>
      </c>
      <c r="I9703" s="18">
        <f>IFERROR(__xludf.DUMMYFUNCTION("""COMPUTED_VALUE"""),10.0)</f>
        <v>10</v>
      </c>
      <c r="J9703" s="18">
        <f>IFERROR(__xludf.DUMMYFUNCTION("""COMPUTED_VALUE"""),21.0)</f>
        <v>21</v>
      </c>
      <c r="K9703" s="18">
        <f>IFERROR(__xludf.DUMMYFUNCTION("""COMPUTED_VALUE"""),33.0)</f>
        <v>33</v>
      </c>
      <c r="L9703" s="17">
        <f>IFERROR(__xludf.DUMMYFUNCTION("""COMPUTED_VALUE"""),3.017486069E9)</f>
        <v>3017486069</v>
      </c>
      <c r="M9703" s="17"/>
      <c r="N9703" s="17"/>
      <c r="O9703" s="17"/>
      <c r="P9703" s="17" t="b">
        <f>IFERROR(__xludf.DUMMYFUNCTION("""COMPUTED_VALUE"""),TRUE)</f>
        <v>1</v>
      </c>
      <c r="Q9703" s="20">
        <f>IFERROR(__xludf.DUMMYFUNCTION("""COMPUTED_VALUE"""),45275.528873773146)</f>
        <v>45275.52887</v>
      </c>
      <c r="R9703" s="22" t="str">
        <f>IFERROR(__xludf.DUMMYFUNCTION("""COMPUTED_VALUE"""),"")</f>
        <v/>
      </c>
    </row>
    <row r="9704">
      <c r="A9704" s="17" t="str">
        <f>IFERROR(__xludf.DUMMYFUNCTION("""COMPUTED_VALUE"""),"")</f>
        <v/>
      </c>
      <c r="B9704" s="17" t="str">
        <f>IFERROR(__xludf.DUMMYFUNCTION("""COMPUTED_VALUE"""),"")</f>
        <v/>
      </c>
      <c r="C9704" s="17" t="str">
        <f>IFERROR(__xludf.DUMMYFUNCTION("""COMPUTED_VALUE"""),"")</f>
        <v/>
      </c>
      <c r="D9704" s="17" t="str">
        <f>IFERROR(__xludf.DUMMYFUNCTION("""COMPUTED_VALUE"""),"")</f>
        <v/>
      </c>
      <c r="E9704" s="17" t="str">
        <f>IFERROR(__xludf.DUMMYFUNCTION("""COMPUTED_VALUE"""),"")</f>
        <v/>
      </c>
      <c r="F9704" s="17" t="str">
        <f>IFERROR(__xludf.DUMMYFUNCTION("""COMPUTED_VALUE"""),"")</f>
        <v/>
      </c>
      <c r="G9704" s="17" t="str">
        <f>IFERROR(__xludf.DUMMYFUNCTION("""COMPUTED_VALUE"""),"")</f>
        <v/>
      </c>
      <c r="H9704" s="17" t="str">
        <f>IFERROR(__xludf.DUMMYFUNCTION("""COMPUTED_VALUE"""),"")</f>
        <v/>
      </c>
      <c r="I9704" s="17" t="str">
        <f>IFERROR(__xludf.DUMMYFUNCTION("""COMPUTED_VALUE"""),"")</f>
        <v/>
      </c>
      <c r="J9704" s="17" t="str">
        <f>IFERROR(__xludf.DUMMYFUNCTION("""COMPUTED_VALUE"""),"")</f>
        <v/>
      </c>
      <c r="K9704" s="17" t="str">
        <f>IFERROR(__xludf.DUMMYFUNCTION("""COMPUTED_VALUE"""),"")</f>
        <v/>
      </c>
      <c r="L9704" s="17" t="str">
        <f>IFERROR(__xludf.DUMMYFUNCTION("""COMPUTED_VALUE"""),"")</f>
        <v/>
      </c>
      <c r="M9704" s="17" t="str">
        <f>IFERROR(__xludf.DUMMYFUNCTION("""COMPUTED_VALUE"""),"")</f>
        <v/>
      </c>
      <c r="N9704" s="17" t="str">
        <f>IFERROR(__xludf.DUMMYFUNCTION("""COMPUTED_VALUE"""),"")</f>
        <v/>
      </c>
      <c r="O9704" s="17" t="str">
        <f>IFERROR(__xludf.DUMMYFUNCTION("""COMPUTED_VALUE"""),"")</f>
        <v/>
      </c>
      <c r="P9704" s="17" t="str">
        <f>IFERROR(__xludf.DUMMYFUNCTION("""COMPUTED_VALUE"""),"")</f>
        <v/>
      </c>
      <c r="Q9704" s="17" t="str">
        <f>IFERROR(__xludf.DUMMYFUNCTION("""COMPUTED_VALUE"""),"")</f>
        <v/>
      </c>
      <c r="R9704" s="17" t="str">
        <f>IFERROR(__xludf.DUMMYFUNCTION("""COMPUTED_VALUE"""),"")</f>
        <v/>
      </c>
    </row>
    <row r="9705">
      <c r="A9705" s="15">
        <f>IFERROR(__xludf.DUMMYFUNCTION("""COMPUTED_VALUE"""),45275.0)</f>
        <v>45275</v>
      </c>
      <c r="B9705" s="16" t="str">
        <f>IFERROR(__xludf.DUMMYFUNCTION("""COMPUTED_VALUE"""),"Daniel José sandoval gonzalez")</f>
        <v>Daniel José sandoval gonzalez</v>
      </c>
      <c r="C9705" s="15" t="str">
        <f>IFERROR(__xludf.DUMMYFUNCTION("""COMPUTED_VALUE"""),"BARRANQUILLA")</f>
        <v>BARRANQUILLA</v>
      </c>
      <c r="D9705" s="15" t="str">
        <f>IFERROR(__xludf.DUMMYFUNCTION("""COMPUTED_VALUE"""),"BOGOTÁ")</f>
        <v>BOGOTÁ</v>
      </c>
      <c r="E9705" s="15" t="str">
        <f>IFERROR(__xludf.DUMMYFUNCTION("""COMPUTED_VALUE"""),"LINA PAOLA RAMIREZ GOMEZ - EVA MAZZITA")</f>
        <v>LINA PAOLA RAMIREZ GOMEZ - EVA MAZZITA</v>
      </c>
      <c r="F9705" s="17" t="str">
        <f>IFERROR(__xludf.DUMMYFUNCTION("""COMPUTED_VALUE"""),"carrera 50 # 46-93 / piso 2 apto 1 entrada principal por la calle 47")</f>
        <v>carrera 50 # 46-93 / piso 2 apto 1 entrada principal por la calle 47</v>
      </c>
      <c r="G9705" s="15" t="str">
        <f>IFERROR(__xludf.DUMMYFUNCTION("""COMPUTED_VALUE"""),"IVETH BARRERA REINA")</f>
        <v>IVETH BARRERA REINA</v>
      </c>
      <c r="H9705" s="16">
        <f>IFERROR(__xludf.DUMMYFUNCTION("""COMPUTED_VALUE"""),18380.0)</f>
        <v>18380</v>
      </c>
      <c r="I9705" s="17"/>
      <c r="J9705" s="17"/>
      <c r="K9705" s="17"/>
      <c r="L9705" s="17">
        <f>IFERROR(__xludf.DUMMYFUNCTION("""COMPUTED_VALUE"""),3.013669213E9)</f>
        <v>3013669213</v>
      </c>
      <c r="M9705" s="17"/>
      <c r="N9705" s="17"/>
      <c r="O9705" s="17"/>
      <c r="P9705" s="17" t="b">
        <f>IFERROR(__xludf.DUMMYFUNCTION("""COMPUTED_VALUE"""),FALSE)</f>
        <v>0</v>
      </c>
      <c r="Q9705" s="20" t="str">
        <f>IFERROR(__xludf.DUMMYFUNCTION("""COMPUTED_VALUE"""),"")</f>
        <v/>
      </c>
      <c r="R9705" s="21" t="str">
        <f>IFERROR(__xludf.DUMMYFUNCTION("""COMPUTED_VALUE"""),"https://drive.google.com/file/d/1DHneFFHQMrT3tvBZg8RQ6naTdJD-lk6R/view?usp=drivesdk")</f>
        <v>https://drive.google.com/file/d/1DHneFFHQMrT3tvBZg8RQ6naTdJD-lk6R/view?usp=drivesdk</v>
      </c>
    </row>
    <row r="9706">
      <c r="A9706" s="15">
        <f>IFERROR(__xludf.DUMMYFUNCTION("""COMPUTED_VALUE"""),45275.0)</f>
        <v>45275</v>
      </c>
      <c r="B9706" s="16" t="str">
        <f>IFERROR(__xludf.DUMMYFUNCTION("""COMPUTED_VALUE"""),"Daniel José sandoval gonzalez")</f>
        <v>Daniel José sandoval gonzalez</v>
      </c>
      <c r="C9706" s="15" t="str">
        <f>IFERROR(__xludf.DUMMYFUNCTION("""COMPUTED_VALUE"""),"BARRANQUILLA")</f>
        <v>BARRANQUILLA</v>
      </c>
      <c r="D9706" s="15" t="str">
        <f>IFERROR(__xludf.DUMMYFUNCTION("""COMPUTED_VALUE"""),"BOGOTÁ")</f>
        <v>BOGOTÁ</v>
      </c>
      <c r="E9706" s="15" t="str">
        <f>IFERROR(__xludf.DUMMYFUNCTION("""COMPUTED_VALUE"""),"LINA PAOLA RAMIREZ GOMEZ - EVA MAZZITA")</f>
        <v>LINA PAOLA RAMIREZ GOMEZ - EVA MAZZITA</v>
      </c>
      <c r="F9706" s="17" t="str">
        <f>IFERROR(__xludf.DUMMYFUNCTION("""COMPUTED_VALUE"""),"cra 44 # 85 - 130, apto 701 / edificio Évora 85 Barrio La campiña")</f>
        <v>cra 44 # 85 - 130, apto 701 / edificio Évora 85 Barrio La campiña</v>
      </c>
      <c r="G9706" s="15" t="str">
        <f>IFERROR(__xludf.DUMMYFUNCTION("""COMPUTED_VALUE"""),"SANDRA HAMBURGER ACOSTA")</f>
        <v>SANDRA HAMBURGER ACOSTA</v>
      </c>
      <c r="H9706" s="16">
        <f>IFERROR(__xludf.DUMMYFUNCTION("""COMPUTED_VALUE"""),18369.0)</f>
        <v>18369</v>
      </c>
      <c r="I9706" s="17"/>
      <c r="J9706" s="17"/>
      <c r="K9706" s="17"/>
      <c r="L9706" s="17">
        <f>IFERROR(__xludf.DUMMYFUNCTION("""COMPUTED_VALUE"""),3.00893007E9)</f>
        <v>3008930070</v>
      </c>
      <c r="M9706" s="17"/>
      <c r="N9706" s="17"/>
      <c r="O9706" s="17"/>
      <c r="P9706" s="17" t="b">
        <f>IFERROR(__xludf.DUMMYFUNCTION("""COMPUTED_VALUE"""),FALSE)</f>
        <v>0</v>
      </c>
      <c r="Q9706" s="20" t="str">
        <f>IFERROR(__xludf.DUMMYFUNCTION("""COMPUTED_VALUE"""),"")</f>
        <v/>
      </c>
      <c r="R9706" s="21" t="str">
        <f>IFERROR(__xludf.DUMMYFUNCTION("""COMPUTED_VALUE"""),"https://drive.google.com/file/d/15tTn5j86aa8BpA1bB0EAjQzz7rqatyEx/view?usp=drivesdk")</f>
        <v>https://drive.google.com/file/d/15tTn5j86aa8BpA1bB0EAjQzz7rqatyEx/view?usp=drivesdk</v>
      </c>
    </row>
    <row r="9707">
      <c r="A9707" s="15">
        <f>IFERROR(__xludf.DUMMYFUNCTION("""COMPUTED_VALUE"""),45275.0)</f>
        <v>45275</v>
      </c>
      <c r="B9707" s="16" t="str">
        <f>IFERROR(__xludf.DUMMYFUNCTION("""COMPUTED_VALUE"""),"Daniel José sandoval gonzalez")</f>
        <v>Daniel José sandoval gonzalez</v>
      </c>
      <c r="C9707" s="15" t="str">
        <f>IFERROR(__xludf.DUMMYFUNCTION("""COMPUTED_VALUE"""),"BARRANQUILLA")</f>
        <v>BARRANQUILLA</v>
      </c>
      <c r="D9707" s="15" t="str">
        <f>IFERROR(__xludf.DUMMYFUNCTION("""COMPUTED_VALUE"""),"BOGOTÁ")</f>
        <v>BOGOTÁ</v>
      </c>
      <c r="E9707" s="15" t="str">
        <f>IFERROR(__xludf.DUMMYFUNCTION("""COMPUTED_VALUE"""),"Lunchy Kids")</f>
        <v>Lunchy Kids</v>
      </c>
      <c r="F9707" s="17" t="str">
        <f>IFERROR(__xludf.DUMMYFUNCTION("""COMPUTED_VALUE"""),"Cra 70 # 91-35  / Torre 1. Apto 304. Parques del Tivoly / Villacarolina")</f>
        <v>Cra 70 # 91-35  / Torre 1. Apto 304. Parques del Tivoly / Villacarolina</v>
      </c>
      <c r="G9707" s="15" t="str">
        <f>IFERROR(__xludf.DUMMYFUNCTION("""COMPUTED_VALUE"""),"Yoleinis Jinete")</f>
        <v>Yoleinis Jinete</v>
      </c>
      <c r="H9707" s="16">
        <f>IFERROR(__xludf.DUMMYFUNCTION("""COMPUTED_VALUE"""),18230.0)</f>
        <v>18230</v>
      </c>
      <c r="I9707" s="18">
        <f>IFERROR(__xludf.DUMMYFUNCTION("""COMPUTED_VALUE"""),21.0)</f>
        <v>21</v>
      </c>
      <c r="J9707" s="18">
        <f>IFERROR(__xludf.DUMMYFUNCTION("""COMPUTED_VALUE"""),33.0)</f>
        <v>33</v>
      </c>
      <c r="K9707" s="18">
        <f>IFERROR(__xludf.DUMMYFUNCTION("""COMPUTED_VALUE"""),24.0)</f>
        <v>24</v>
      </c>
      <c r="L9707" s="17">
        <f>IFERROR(__xludf.DUMMYFUNCTION("""COMPUTED_VALUE"""),3.007943686E9)</f>
        <v>3007943686</v>
      </c>
      <c r="M9707" s="17"/>
      <c r="N9707" s="17"/>
      <c r="O9707" s="17"/>
      <c r="P9707" s="17" t="b">
        <f>IFERROR(__xludf.DUMMYFUNCTION("""COMPUTED_VALUE"""),FALSE)</f>
        <v>0</v>
      </c>
      <c r="Q9707" s="20" t="str">
        <f>IFERROR(__xludf.DUMMYFUNCTION("""COMPUTED_VALUE"""),"")</f>
        <v/>
      </c>
      <c r="R9707" s="21" t="str">
        <f>IFERROR(__xludf.DUMMYFUNCTION("""COMPUTED_VALUE"""),"https://drive.google.com/file/d/1-VicZf4b2QWrPUIk772aanGzPq5j1daN/view?usp=drivesdk")</f>
        <v>https://drive.google.com/file/d/1-VicZf4b2QWrPUIk772aanGzPq5j1daN/view?usp=drivesdk</v>
      </c>
    </row>
    <row r="9708">
      <c r="A9708" s="15">
        <f>IFERROR(__xludf.DUMMYFUNCTION("""COMPUTED_VALUE"""),45275.0)</f>
        <v>45275</v>
      </c>
      <c r="B9708" s="16" t="str">
        <f>IFERROR(__xludf.DUMMYFUNCTION("""COMPUTED_VALUE"""),"Daniel José sandoval gonzalez")</f>
        <v>Daniel José sandoval gonzalez</v>
      </c>
      <c r="C9708" s="15" t="str">
        <f>IFERROR(__xludf.DUMMYFUNCTION("""COMPUTED_VALUE"""),"BARRANQUILLA")</f>
        <v>BARRANQUILLA</v>
      </c>
      <c r="D9708" s="15" t="str">
        <f>IFERROR(__xludf.DUMMYFUNCTION("""COMPUTED_VALUE"""),"BOGOTÁ")</f>
        <v>BOGOTÁ</v>
      </c>
      <c r="E9708" s="15" t="str">
        <f>IFERROR(__xludf.DUMMYFUNCTION("""COMPUTED_VALUE"""),"PAN DE WAFFLE")</f>
        <v>PAN DE WAFFLE</v>
      </c>
      <c r="F9708" s="17" t="str">
        <f>IFERROR(__xludf.DUMMYFUNCTION("""COMPUTED_VALUE"""),"Calle 93 # 43 - 138 / Calle 93 # 43 - 138")</f>
        <v>Calle 93 # 43 - 138 / Calle 93 # 43 - 138</v>
      </c>
      <c r="G9708" s="15" t="str">
        <f>IFERROR(__xludf.DUMMYFUNCTION("""COMPUTED_VALUE"""),"RAPPI TURBO SEDE EL POBLADO")</f>
        <v>RAPPI TURBO SEDE EL POBLADO</v>
      </c>
      <c r="H9708" s="16">
        <f>IFERROR(__xludf.DUMMYFUNCTION("""COMPUTED_VALUE"""),18123.0)</f>
        <v>18123</v>
      </c>
      <c r="I9708" s="17"/>
      <c r="J9708" s="17"/>
      <c r="K9708" s="17"/>
      <c r="L9708" s="17">
        <f>IFERROR(__xludf.DUMMYFUNCTION("""COMPUTED_VALUE"""),3.017032143E9)</f>
        <v>3017032143</v>
      </c>
      <c r="M9708" s="17"/>
      <c r="N9708" s="17"/>
      <c r="O9708" s="17"/>
      <c r="P9708" s="17" t="b">
        <f>IFERROR(__xludf.DUMMYFUNCTION("""COMPUTED_VALUE"""),FALSE)</f>
        <v>0</v>
      </c>
      <c r="Q9708" s="20" t="str">
        <f>IFERROR(__xludf.DUMMYFUNCTION("""COMPUTED_VALUE"""),"")</f>
        <v/>
      </c>
      <c r="R9708" s="21" t="str">
        <f>IFERROR(__xludf.DUMMYFUNCTION("""COMPUTED_VALUE"""),"https://drive.google.com/file/d/1HkJl5LpshQUs512KGpp-I7AtLC7NWS7X/view?usp=drivesdk")</f>
        <v>https://drive.google.com/file/d/1HkJl5LpshQUs512KGpp-I7AtLC7NWS7X/view?usp=drivesdk</v>
      </c>
    </row>
    <row r="9709">
      <c r="A9709" s="15">
        <f>IFERROR(__xludf.DUMMYFUNCTION("""COMPUTED_VALUE"""),45275.0)</f>
        <v>45275</v>
      </c>
      <c r="B9709" s="16" t="str">
        <f>IFERROR(__xludf.DUMMYFUNCTION("""COMPUTED_VALUE"""),"Daniel José sandoval gonzalez")</f>
        <v>Daniel José sandoval gonzalez</v>
      </c>
      <c r="C9709" s="15" t="str">
        <f>IFERROR(__xludf.DUMMYFUNCTION("""COMPUTED_VALUE"""),"BARRANQUILLA")</f>
        <v>BARRANQUILLA</v>
      </c>
      <c r="D9709" s="15" t="str">
        <f>IFERROR(__xludf.DUMMYFUNCTION("""COMPUTED_VALUE"""),"BOGOTÁ")</f>
        <v>BOGOTÁ</v>
      </c>
      <c r="E9709" s="15" t="str">
        <f>IFERROR(__xludf.DUMMYFUNCTION("""COMPUTED_VALUE"""),"Premium Choice")</f>
        <v>Premium Choice</v>
      </c>
      <c r="F9709" s="17" t="str">
        <f>IFERROR(__xludf.DUMMYFUNCTION("""COMPUTED_VALUE"""),"Calle 1a # 25 - 40  / Barranquilla marriott / Marriot")</f>
        <v>Calle 1a # 25 - 40  / Barranquilla marriott / Marriot</v>
      </c>
      <c r="G9709" s="15" t="str">
        <f>IFERROR(__xludf.DUMMYFUNCTION("""COMPUTED_VALUE"""),"Luxury hotels international managent")</f>
        <v>Luxury hotels international managent</v>
      </c>
      <c r="H9709" s="16">
        <f>IFERROR(__xludf.DUMMYFUNCTION("""COMPUTED_VALUE"""),18364.0)</f>
        <v>18364</v>
      </c>
      <c r="I9709" s="18">
        <f>IFERROR(__xludf.DUMMYFUNCTION("""COMPUTED_VALUE"""),17.0)</f>
        <v>17</v>
      </c>
      <c r="J9709" s="18">
        <f>IFERROR(__xludf.DUMMYFUNCTION("""COMPUTED_VALUE"""),22.0)</f>
        <v>22</v>
      </c>
      <c r="K9709" s="18">
        <f>IFERROR(__xludf.DUMMYFUNCTION("""COMPUTED_VALUE"""),30.0)</f>
        <v>30</v>
      </c>
      <c r="L9709" s="17">
        <f>IFERROR(__xludf.DUMMYFUNCTION("""COMPUTED_VALUE"""),3.102170998E9)</f>
        <v>3102170998</v>
      </c>
      <c r="M9709" s="17"/>
      <c r="N9709" s="17"/>
      <c r="O9709" s="17"/>
      <c r="P9709" s="17" t="b">
        <f>IFERROR(__xludf.DUMMYFUNCTION("""COMPUTED_VALUE"""),FALSE)</f>
        <v>0</v>
      </c>
      <c r="Q9709" s="20" t="str">
        <f>IFERROR(__xludf.DUMMYFUNCTION("""COMPUTED_VALUE"""),"")</f>
        <v/>
      </c>
      <c r="R9709" s="21" t="str">
        <f>IFERROR(__xludf.DUMMYFUNCTION("""COMPUTED_VALUE"""),"https://drive.google.com/file/d/1ZrO8BBMt8SB0tcnd1JA0NY3Mt_W3mw4z/view?usp=drivesdk")</f>
        <v>https://drive.google.com/file/d/1ZrO8BBMt8SB0tcnd1JA0NY3Mt_W3mw4z/view?usp=drivesdk</v>
      </c>
    </row>
    <row r="9710">
      <c r="A9710" s="15">
        <f>IFERROR(__xludf.DUMMYFUNCTION("""COMPUTED_VALUE"""),45275.0)</f>
        <v>45275</v>
      </c>
      <c r="B9710" s="16" t="str">
        <f>IFERROR(__xludf.DUMMYFUNCTION("""COMPUTED_VALUE"""),"Daniel José sandoval gonzalez")</f>
        <v>Daniel José sandoval gonzalez</v>
      </c>
      <c r="C9710" s="15" t="str">
        <f>IFERROR(__xludf.DUMMYFUNCTION("""COMPUTED_VALUE"""),"BARRANQUILLA")</f>
        <v>BARRANQUILLA</v>
      </c>
      <c r="D9710" s="15" t="str">
        <f>IFERROR(__xludf.DUMMYFUNCTION("""COMPUTED_VALUE"""),"ENVIGADO")</f>
        <v>ENVIGADO</v>
      </c>
      <c r="E9710" s="15" t="str">
        <f>IFERROR(__xludf.DUMMYFUNCTION("""COMPUTED_VALUE"""),"RAMBLA")</f>
        <v>RAMBLA</v>
      </c>
      <c r="F9710" s="17" t="str">
        <f>IFERROR(__xludf.DUMMYFUNCTION("""COMPUTED_VALUE"""),"Carrera 53 80 284 / LC 8")</f>
        <v>Carrera 53 80 284 / LC 8</v>
      </c>
      <c r="G9710" s="15" t="str">
        <f>IFERROR(__xludf.DUMMYFUNCTION("""COMPUTED_VALUE"""),"Corpofit")</f>
        <v>Corpofit</v>
      </c>
      <c r="H9710" s="16">
        <f>IFERROR(__xludf.DUMMYFUNCTION("""COMPUTED_VALUE"""),18375.0)</f>
        <v>18375</v>
      </c>
      <c r="I9710" s="17"/>
      <c r="J9710" s="17"/>
      <c r="K9710" s="17"/>
      <c r="L9710" s="17">
        <f>IFERROR(__xludf.DUMMYFUNCTION("""COMPUTED_VALUE"""),3.162889776E9)</f>
        <v>3162889776</v>
      </c>
      <c r="M9710" s="17"/>
      <c r="N9710" s="17"/>
      <c r="O9710" s="17"/>
      <c r="P9710" s="17" t="b">
        <f>IFERROR(__xludf.DUMMYFUNCTION("""COMPUTED_VALUE"""),FALSE)</f>
        <v>0</v>
      </c>
      <c r="Q9710" s="20" t="str">
        <f>IFERROR(__xludf.DUMMYFUNCTION("""COMPUTED_VALUE"""),"")</f>
        <v/>
      </c>
      <c r="R9710" s="21" t="str">
        <f>IFERROR(__xludf.DUMMYFUNCTION("""COMPUTED_VALUE"""),"https://drive.google.com/file/d/1CSk95HZKnS02i75tdLtReA5fLMYLphtb/view?usp=drivesdk")</f>
        <v>https://drive.google.com/file/d/1CSk95HZKnS02i75tdLtReA5fLMYLphtb/view?usp=drivesdk</v>
      </c>
    </row>
    <row r="9711">
      <c r="A9711" s="15">
        <f>IFERROR(__xludf.DUMMYFUNCTION("""COMPUTED_VALUE"""),45275.0)</f>
        <v>45275</v>
      </c>
      <c r="B9711" s="16" t="str">
        <f>IFERROR(__xludf.DUMMYFUNCTION("""COMPUTED_VALUE"""),"Daniel José sandoval gonzalez")</f>
        <v>Daniel José sandoval gonzalez</v>
      </c>
      <c r="C9711" s="15" t="str">
        <f>IFERROR(__xludf.DUMMYFUNCTION("""COMPUTED_VALUE"""),"BARRANQUILLA")</f>
        <v>BARRANQUILLA</v>
      </c>
      <c r="D9711" s="15" t="str">
        <f>IFERROR(__xludf.DUMMYFUNCTION("""COMPUTED_VALUE"""),"ENVIGADO")</f>
        <v>ENVIGADO</v>
      </c>
      <c r="E9711" s="15" t="str">
        <f>IFERROR(__xludf.DUMMYFUNCTION("""COMPUTED_VALUE"""),"RAMBLA")</f>
        <v>RAMBLA</v>
      </c>
      <c r="F9711" s="17" t="str">
        <f>IFERROR(__xludf.DUMMYFUNCTION("""COMPUTED_VALUE"""),"Carrera 67 no 81-95")</f>
        <v>Carrera 67 no 81-95</v>
      </c>
      <c r="G9711" s="15" t="str">
        <f>IFERROR(__xludf.DUMMYFUNCTION("""COMPUTED_VALUE"""),"Santiago Arbelaez")</f>
        <v>Santiago Arbelaez</v>
      </c>
      <c r="H9711" s="16">
        <f>IFERROR(__xludf.DUMMYFUNCTION("""COMPUTED_VALUE"""),18378.0)</f>
        <v>18378</v>
      </c>
      <c r="I9711" s="17"/>
      <c r="J9711" s="17"/>
      <c r="K9711" s="17"/>
      <c r="L9711" s="17">
        <f>IFERROR(__xludf.DUMMYFUNCTION("""COMPUTED_VALUE"""),3.204749856E9)</f>
        <v>3204749856</v>
      </c>
      <c r="M9711" s="17"/>
      <c r="N9711" s="17"/>
      <c r="O9711" s="17"/>
      <c r="P9711" s="17" t="b">
        <f>IFERROR(__xludf.DUMMYFUNCTION("""COMPUTED_VALUE"""),FALSE)</f>
        <v>0</v>
      </c>
      <c r="Q9711" s="20" t="str">
        <f>IFERROR(__xludf.DUMMYFUNCTION("""COMPUTED_VALUE"""),"")</f>
        <v/>
      </c>
      <c r="R9711" s="21" t="str">
        <f>IFERROR(__xludf.DUMMYFUNCTION("""COMPUTED_VALUE"""),"https://drive.google.com/file/d/1TCRqQ1oNitAQcStUtW6rGM_CGlY9e5D5/view?usp=drivesdk")</f>
        <v>https://drive.google.com/file/d/1TCRqQ1oNitAQcStUtW6rGM_CGlY9e5D5/view?usp=drivesdk</v>
      </c>
    </row>
    <row r="9712">
      <c r="A9712" s="15">
        <f>IFERROR(__xludf.DUMMYFUNCTION("""COMPUTED_VALUE"""),45275.0)</f>
        <v>45275</v>
      </c>
      <c r="B9712" s="16" t="str">
        <f>IFERROR(__xludf.DUMMYFUNCTION("""COMPUTED_VALUE"""),"Daniel José sandoval gonzalez")</f>
        <v>Daniel José sandoval gonzalez</v>
      </c>
      <c r="C9712" s="15" t="str">
        <f>IFERROR(__xludf.DUMMYFUNCTION("""COMPUTED_VALUE"""),"BARRANQUILLA")</f>
        <v>BARRANQUILLA</v>
      </c>
      <c r="D9712" s="15" t="str">
        <f>IFERROR(__xludf.DUMMYFUNCTION("""COMPUTED_VALUE"""),"MEDELLÍN")</f>
        <v>MEDELLÍN</v>
      </c>
      <c r="E9712" s="15" t="str">
        <f>IFERROR(__xludf.DUMMYFUNCTION("""COMPUTED_VALUE"""),"AREPAS LA MARY")</f>
        <v>AREPAS LA MARY</v>
      </c>
      <c r="F9712" s="17" t="str">
        <f>IFERROR(__xludf.DUMMYFUNCTION("""COMPUTED_VALUE"""),"Cra 30A # 1B-215 Apto 41 / Green Park")</f>
        <v>Cra 30A # 1B-215 Apto 41 / Green Park</v>
      </c>
      <c r="G9712" s="15" t="str">
        <f>IFERROR(__xludf.DUMMYFUNCTION("""COMPUTED_VALUE"""),"BELKYS COLL")</f>
        <v>BELKYS COLL</v>
      </c>
      <c r="H9712" s="16">
        <f>IFERROR(__xludf.DUMMYFUNCTION("""COMPUTED_VALUE"""),18396.0)</f>
        <v>18396</v>
      </c>
      <c r="I9712" s="17"/>
      <c r="J9712" s="17"/>
      <c r="K9712" s="17"/>
      <c r="L9712" s="17">
        <f>IFERROR(__xludf.DUMMYFUNCTION("""COMPUTED_VALUE"""),3.187164567E9)</f>
        <v>3187164567</v>
      </c>
      <c r="M9712" s="17"/>
      <c r="N9712" s="17"/>
      <c r="O9712" s="17"/>
      <c r="P9712" s="17" t="b">
        <f>IFERROR(__xludf.DUMMYFUNCTION("""COMPUTED_VALUE"""),FALSE)</f>
        <v>0</v>
      </c>
      <c r="Q9712" s="20" t="str">
        <f>IFERROR(__xludf.DUMMYFUNCTION("""COMPUTED_VALUE"""),"")</f>
        <v/>
      </c>
      <c r="R9712" s="21" t="str">
        <f>IFERROR(__xludf.DUMMYFUNCTION("""COMPUTED_VALUE"""),"https://drive.google.com/file/d/1MWUQ8i3NaGjZV0klEvpl2e2gr594KMbm/view?usp=drivesdk")</f>
        <v>https://drive.google.com/file/d/1MWUQ8i3NaGjZV0klEvpl2e2gr594KMbm/view?usp=drivesdk</v>
      </c>
    </row>
    <row r="9713">
      <c r="A9713" s="15">
        <f>IFERROR(__xludf.DUMMYFUNCTION("""COMPUTED_VALUE"""),45275.0)</f>
        <v>45275</v>
      </c>
      <c r="B9713" s="16" t="str">
        <f>IFERROR(__xludf.DUMMYFUNCTION("""COMPUTED_VALUE"""),"Daniel José sandoval gonzalez")</f>
        <v>Daniel José sandoval gonzalez</v>
      </c>
      <c r="C9713" s="15" t="str">
        <f>IFERROR(__xludf.DUMMYFUNCTION("""COMPUTED_VALUE"""),"BARRANQUILLA")</f>
        <v>BARRANQUILLA</v>
      </c>
      <c r="D9713" s="15" t="str">
        <f>IFERROR(__xludf.DUMMYFUNCTION("""COMPUTED_VALUE"""),"MEDELLÍN")</f>
        <v>MEDELLÍN</v>
      </c>
      <c r="E9713" s="15" t="str">
        <f>IFERROR(__xludf.DUMMYFUNCTION("""COMPUTED_VALUE"""),"Baby Chef")</f>
        <v>Baby Chef</v>
      </c>
      <c r="F9713" s="17" t="str">
        <f>IFERROR(__xludf.DUMMYFUNCTION("""COMPUTED_VALUE"""),"carrera 18 #26-118 Barrio Las Nieves / . / .")</f>
        <v>carrera 18 #26-118 Barrio Las Nieves / . / .</v>
      </c>
      <c r="G9713" s="15" t="str">
        <f>IFERROR(__xludf.DUMMYFUNCTION("""COMPUTED_VALUE"""),"Karen Madrid Vélez")</f>
        <v>Karen Madrid Vélez</v>
      </c>
      <c r="H9713" s="16">
        <f>IFERROR(__xludf.DUMMYFUNCTION("""COMPUTED_VALUE"""),18400.0)</f>
        <v>18400</v>
      </c>
      <c r="I9713" s="18">
        <f>IFERROR(__xludf.DUMMYFUNCTION("""COMPUTED_VALUE"""),10.0)</f>
        <v>10</v>
      </c>
      <c r="J9713" s="18">
        <f>IFERROR(__xludf.DUMMYFUNCTION("""COMPUTED_VALUE"""),21.0)</f>
        <v>21</v>
      </c>
      <c r="K9713" s="18">
        <f>IFERROR(__xludf.DUMMYFUNCTION("""COMPUTED_VALUE"""),36.0)</f>
        <v>36</v>
      </c>
      <c r="L9713" s="17">
        <f>IFERROR(__xludf.DUMMYFUNCTION("""COMPUTED_VALUE"""),3.00735457E9)</f>
        <v>3007354570</v>
      </c>
      <c r="M9713" s="17"/>
      <c r="N9713" s="17"/>
      <c r="O9713" s="17"/>
      <c r="P9713" s="17" t="b">
        <f>IFERROR(__xludf.DUMMYFUNCTION("""COMPUTED_VALUE"""),FALSE)</f>
        <v>0</v>
      </c>
      <c r="Q9713" s="20" t="str">
        <f>IFERROR(__xludf.DUMMYFUNCTION("""COMPUTED_VALUE"""),"")</f>
        <v/>
      </c>
      <c r="R9713" s="21" t="str">
        <f>IFERROR(__xludf.DUMMYFUNCTION("""COMPUTED_VALUE"""),"https://drive.google.com/file/d/1TOgEBDFAcRW9CiPqqYNZRiEwNEzdIn28/view?usp=drivesdk")</f>
        <v>https://drive.google.com/file/d/1TOgEBDFAcRW9CiPqqYNZRiEwNEzdIn28/view?usp=drivesdk</v>
      </c>
    </row>
    <row r="9714">
      <c r="A9714" s="15">
        <f>IFERROR(__xludf.DUMMYFUNCTION("""COMPUTED_VALUE"""),45275.0)</f>
        <v>45275</v>
      </c>
      <c r="B9714" s="16" t="str">
        <f>IFERROR(__xludf.DUMMYFUNCTION("""COMPUTED_VALUE"""),"Daniel José sandoval gonzalez")</f>
        <v>Daniel José sandoval gonzalez</v>
      </c>
      <c r="C9714" s="15" t="str">
        <f>IFERROR(__xludf.DUMMYFUNCTION("""COMPUTED_VALUE"""),"BARRANQUILLA")</f>
        <v>BARRANQUILLA</v>
      </c>
      <c r="D9714" s="15" t="str">
        <f>IFERROR(__xludf.DUMMYFUNCTION("""COMPUTED_VALUE"""),"MEDELLÍN")</f>
        <v>MEDELLÍN</v>
      </c>
      <c r="E9714" s="15" t="str">
        <f>IFERROR(__xludf.DUMMYFUNCTION("""COMPUTED_VALUE"""),"Felicidad Bakery")</f>
        <v>Felicidad Bakery</v>
      </c>
      <c r="F9714" s="17" t="str">
        <f>IFERROR(__xludf.DUMMYFUNCTION("""COMPUTED_VALUE"""),"Calle 117 No. 42b - 25 / Apto 802 Torre 4, conj. resid. Turpial alameda del rio")</f>
        <v>Calle 117 No. 42b - 25 / Apto 802 Torre 4, conj. resid. Turpial alameda del rio</v>
      </c>
      <c r="G9714" s="15" t="str">
        <f>IFERROR(__xludf.DUMMYFUNCTION("""COMPUTED_VALUE"""),"Maria Alejandra Griego")</f>
        <v>Maria Alejandra Griego</v>
      </c>
      <c r="H9714" s="16">
        <f>IFERROR(__xludf.DUMMYFUNCTION("""COMPUTED_VALUE"""),18412.0)</f>
        <v>18412</v>
      </c>
      <c r="I9714" s="17"/>
      <c r="J9714" s="17"/>
      <c r="K9714" s="17"/>
      <c r="L9714" s="17">
        <f>IFERROR(__xludf.DUMMYFUNCTION("""COMPUTED_VALUE"""),3.242890822E9)</f>
        <v>3242890822</v>
      </c>
      <c r="M9714" s="17"/>
      <c r="N9714" s="17"/>
      <c r="O9714" s="17"/>
      <c r="P9714" s="17" t="b">
        <f>IFERROR(__xludf.DUMMYFUNCTION("""COMPUTED_VALUE"""),FALSE)</f>
        <v>0</v>
      </c>
      <c r="Q9714" s="20" t="str">
        <f>IFERROR(__xludf.DUMMYFUNCTION("""COMPUTED_VALUE"""),"")</f>
        <v/>
      </c>
      <c r="R9714" s="21" t="str">
        <f>IFERROR(__xludf.DUMMYFUNCTION("""COMPUTED_VALUE"""),"https://drive.google.com/file/d/1pW63j6asPI9f3NmGgrIf1cJM55GwmelP/view?usp=drivesdk")</f>
        <v>https://drive.google.com/file/d/1pW63j6asPI9f3NmGgrIf1cJM55GwmelP/view?usp=drivesdk</v>
      </c>
    </row>
    <row r="9715">
      <c r="A9715" s="15">
        <f>IFERROR(__xludf.DUMMYFUNCTION("""COMPUTED_VALUE"""),45275.0)</f>
        <v>45275</v>
      </c>
      <c r="B9715" s="16" t="str">
        <f>IFERROR(__xludf.DUMMYFUNCTION("""COMPUTED_VALUE"""),"Daniel José sandoval gonzalez")</f>
        <v>Daniel José sandoval gonzalez</v>
      </c>
      <c r="C9715" s="15" t="str">
        <f>IFERROR(__xludf.DUMMYFUNCTION("""COMPUTED_VALUE"""),"BARRANQUILLA")</f>
        <v>BARRANQUILLA</v>
      </c>
      <c r="D9715" s="15" t="str">
        <f>IFERROR(__xludf.DUMMYFUNCTION("""COMPUTED_VALUE"""),"MEDELLÍN")</f>
        <v>MEDELLÍN</v>
      </c>
      <c r="E9715" s="15" t="str">
        <f>IFERROR(__xludf.DUMMYFUNCTION("""COMPUTED_VALUE"""),"Felicidad Bakery")</f>
        <v>Felicidad Bakery</v>
      </c>
      <c r="F9715" s="17" t="str">
        <f>IFERROR(__xludf.DUMMYFUNCTION("""COMPUTED_VALUE"""),"Cra 64b No. 91 - 77 / Apto 304b, Ed Monterrey, Altos de Riomar")</f>
        <v>Cra 64b No. 91 - 77 / Apto 304b, Ed Monterrey, Altos de Riomar</v>
      </c>
      <c r="G9715" s="15" t="str">
        <f>IFERROR(__xludf.DUMMYFUNCTION("""COMPUTED_VALUE"""),"Adriana Manotas")</f>
        <v>Adriana Manotas</v>
      </c>
      <c r="H9715" s="16">
        <f>IFERROR(__xludf.DUMMYFUNCTION("""COMPUTED_VALUE"""),18410.0)</f>
        <v>18410</v>
      </c>
      <c r="I9715" s="17"/>
      <c r="J9715" s="17"/>
      <c r="K9715" s="17"/>
      <c r="L9715" s="17">
        <f>IFERROR(__xludf.DUMMYFUNCTION("""COMPUTED_VALUE"""),3.014262112E9)</f>
        <v>3014262112</v>
      </c>
      <c r="M9715" s="17"/>
      <c r="N9715" s="17"/>
      <c r="O9715" s="17"/>
      <c r="P9715" s="17" t="b">
        <f>IFERROR(__xludf.DUMMYFUNCTION("""COMPUTED_VALUE"""),FALSE)</f>
        <v>0</v>
      </c>
      <c r="Q9715" s="20" t="str">
        <f>IFERROR(__xludf.DUMMYFUNCTION("""COMPUTED_VALUE"""),"")</f>
        <v/>
      </c>
      <c r="R9715" s="21" t="str">
        <f>IFERROR(__xludf.DUMMYFUNCTION("""COMPUTED_VALUE"""),"https://drive.google.com/file/d/1aK_F_OkzdGG5TskbRz5WogjRg9OP4xAb/view?usp=drivesdk")</f>
        <v>https://drive.google.com/file/d/1aK_F_OkzdGG5TskbRz5WogjRg9OP4xAb/view?usp=drivesdk</v>
      </c>
    </row>
    <row r="9716">
      <c r="A9716" s="15">
        <f>IFERROR(__xludf.DUMMYFUNCTION("""COMPUTED_VALUE"""),45275.0)</f>
        <v>45275</v>
      </c>
      <c r="B9716" s="16" t="str">
        <f>IFERROR(__xludf.DUMMYFUNCTION("""COMPUTED_VALUE"""),"Daniel José sandoval gonzalez")</f>
        <v>Daniel José sandoval gonzalez</v>
      </c>
      <c r="C9716" s="15" t="str">
        <f>IFERROR(__xludf.DUMMYFUNCTION("""COMPUTED_VALUE"""),"BARRANQUILLA")</f>
        <v>BARRANQUILLA</v>
      </c>
      <c r="D9716" s="15" t="str">
        <f>IFERROR(__xludf.DUMMYFUNCTION("""COMPUTED_VALUE"""),"MEDELLÍN")</f>
        <v>MEDELLÍN</v>
      </c>
      <c r="E9716" s="15" t="str">
        <f>IFERROR(__xludf.DUMMYFUNCTION("""COMPUTED_VALUE"""),"Felicidad Bakery")</f>
        <v>Felicidad Bakery</v>
      </c>
      <c r="F9716" s="17" t="str">
        <f>IFERROR(__xludf.DUMMYFUNCTION("""COMPUTED_VALUE"""),"Cra 75 No 78 - 75 / Apto 708, Torre 2, Conjunto res Madeira,")</f>
        <v>Cra 75 No 78 - 75 / Apto 708, Torre 2, Conjunto res Madeira,</v>
      </c>
      <c r="G9716" s="15" t="str">
        <f>IFERROR(__xludf.DUMMYFUNCTION("""COMPUTED_VALUE"""),"Danesha Arteta")</f>
        <v>Danesha Arteta</v>
      </c>
      <c r="H9716" s="16">
        <f>IFERROR(__xludf.DUMMYFUNCTION("""COMPUTED_VALUE"""),18411.0)</f>
        <v>18411</v>
      </c>
      <c r="I9716" s="17"/>
      <c r="J9716" s="17"/>
      <c r="K9716" s="17"/>
      <c r="L9716" s="17">
        <f>IFERROR(__xludf.DUMMYFUNCTION("""COMPUTED_VALUE"""),3.024474755E9)</f>
        <v>3024474755</v>
      </c>
      <c r="M9716" s="17"/>
      <c r="N9716" s="17"/>
      <c r="O9716" s="17"/>
      <c r="P9716" s="17" t="b">
        <f>IFERROR(__xludf.DUMMYFUNCTION("""COMPUTED_VALUE"""),FALSE)</f>
        <v>0</v>
      </c>
      <c r="Q9716" s="20" t="str">
        <f>IFERROR(__xludf.DUMMYFUNCTION("""COMPUTED_VALUE"""),"")</f>
        <v/>
      </c>
      <c r="R9716" s="21" t="str">
        <f>IFERROR(__xludf.DUMMYFUNCTION("""COMPUTED_VALUE"""),"https://drive.google.com/file/d/14a9q_5Y2V3FZ9haoSnbv_lvqWK4hTvGA/view?usp=drivesdk")</f>
        <v>https://drive.google.com/file/d/14a9q_5Y2V3FZ9haoSnbv_lvqWK4hTvGA/view?usp=drivesdk</v>
      </c>
    </row>
    <row r="9717">
      <c r="A9717" s="15">
        <f>IFERROR(__xludf.DUMMYFUNCTION("""COMPUTED_VALUE"""),45275.0)</f>
        <v>45275</v>
      </c>
      <c r="B9717" s="16" t="str">
        <f>IFERROR(__xludf.DUMMYFUNCTION("""COMPUTED_VALUE"""),"Daniel José sandoval gonzalez")</f>
        <v>Daniel José sandoval gonzalez</v>
      </c>
      <c r="C9717" s="15" t="str">
        <f>IFERROR(__xludf.DUMMYFUNCTION("""COMPUTED_VALUE"""),"BARRANQUILLA")</f>
        <v>BARRANQUILLA</v>
      </c>
      <c r="D9717" s="15" t="str">
        <f>IFERROR(__xludf.DUMMYFUNCTION("""COMPUTED_VALUE"""),"MEDELLÍN")</f>
        <v>MEDELLÍN</v>
      </c>
      <c r="E9717" s="15" t="str">
        <f>IFERROR(__xludf.DUMMYFUNCTION("""COMPUTED_VALUE"""),"Moloso S.A.S")</f>
        <v>Moloso S.A.S</v>
      </c>
      <c r="F9717" s="17" t="str">
        <f>IFERROR(__xludf.DUMMYFUNCTION("""COMPUTED_VALUE"""),"CR 47 100 14 / ED ALAMEDA 100 - 46 TORRE B AP1304")</f>
        <v>CR 47 100 14 / ED ALAMEDA 100 - 46 TORRE B AP1304</v>
      </c>
      <c r="G9717" s="15" t="str">
        <f>IFERROR(__xludf.DUMMYFUNCTION("""COMPUTED_VALUE"""),"GRACIELA COHEN")</f>
        <v>GRACIELA COHEN</v>
      </c>
      <c r="H9717" s="16">
        <f>IFERROR(__xludf.DUMMYFUNCTION("""COMPUTED_VALUE"""),18403.0)</f>
        <v>18403</v>
      </c>
      <c r="I9717" s="17"/>
      <c r="J9717" s="17"/>
      <c r="K9717" s="17"/>
      <c r="L9717" s="17">
        <f>IFERROR(__xludf.DUMMYFUNCTION("""COMPUTED_VALUE"""),3.167401158E9)</f>
        <v>3167401158</v>
      </c>
      <c r="M9717" s="17"/>
      <c r="N9717" s="17"/>
      <c r="O9717" s="17"/>
      <c r="P9717" s="17" t="b">
        <f>IFERROR(__xludf.DUMMYFUNCTION("""COMPUTED_VALUE"""),FALSE)</f>
        <v>0</v>
      </c>
      <c r="Q9717" s="20" t="str">
        <f>IFERROR(__xludf.DUMMYFUNCTION("""COMPUTED_VALUE"""),"")</f>
        <v/>
      </c>
      <c r="R9717" s="21" t="str">
        <f>IFERROR(__xludf.DUMMYFUNCTION("""COMPUTED_VALUE"""),"https://drive.google.com/file/d/1o8OD1Ox2GZMxEaGfsR13lMa_acLpq4C0/view?usp=drivesdk")</f>
        <v>https://drive.google.com/file/d/1o8OD1Ox2GZMxEaGfsR13lMa_acLpq4C0/view?usp=drivesdk</v>
      </c>
    </row>
    <row r="9718">
      <c r="A9718" s="15">
        <f>IFERROR(__xludf.DUMMYFUNCTION("""COMPUTED_VALUE"""),45275.0)</f>
        <v>45275</v>
      </c>
      <c r="B9718" s="16" t="str">
        <f>IFERROR(__xludf.DUMMYFUNCTION("""COMPUTED_VALUE"""),"Daniel José sandoval gonzalez")</f>
        <v>Daniel José sandoval gonzalez</v>
      </c>
      <c r="C9718" s="15" t="str">
        <f>IFERROR(__xludf.DUMMYFUNCTION("""COMPUTED_VALUE"""),"BARRANQUILLA")</f>
        <v>BARRANQUILLA</v>
      </c>
      <c r="D9718" s="15" t="str">
        <f>IFERROR(__xludf.DUMMYFUNCTION("""COMPUTED_VALUE"""),"MEDELLÍN")</f>
        <v>MEDELLÍN</v>
      </c>
      <c r="E9718" s="15" t="str">
        <f>IFERROR(__xludf.DUMMYFUNCTION("""COMPUTED_VALUE"""),"Orobroy")</f>
        <v>Orobroy</v>
      </c>
      <c r="F9718" s="17" t="str">
        <f>IFERROR(__xludf.DUMMYFUNCTION("""COMPUTED_VALUE"""),"Cra 43 n 85 18 apto 4c edificio sharon / Edificio sharon barranquilla")</f>
        <v>Cra 43 n 85 18 apto 4c edificio sharon / Edificio sharon barranquilla</v>
      </c>
      <c r="G9718" s="15" t="str">
        <f>IFERROR(__xludf.DUMMYFUNCTION("""COMPUTED_VALUE"""),"JYM SERVICIOS LOGISTICOS")</f>
        <v>JYM SERVICIOS LOGISTICOS</v>
      </c>
      <c r="H9718" s="16">
        <f>IFERROR(__xludf.DUMMYFUNCTION("""COMPUTED_VALUE"""),18189.0)</f>
        <v>18189</v>
      </c>
      <c r="I9718" s="17"/>
      <c r="J9718" s="17"/>
      <c r="K9718" s="17"/>
      <c r="L9718" s="17"/>
      <c r="M9718" s="17"/>
      <c r="N9718" s="17"/>
      <c r="O9718" s="17"/>
      <c r="P9718" s="17" t="b">
        <f>IFERROR(__xludf.DUMMYFUNCTION("""COMPUTED_VALUE"""),FALSE)</f>
        <v>0</v>
      </c>
      <c r="Q9718" s="20" t="str">
        <f>IFERROR(__xludf.DUMMYFUNCTION("""COMPUTED_VALUE"""),"")</f>
        <v/>
      </c>
      <c r="R9718" s="21" t="str">
        <f>IFERROR(__xludf.DUMMYFUNCTION("""COMPUTED_VALUE"""),"https://drive.google.com/file/d/1xTdoUylERLwUVDuuMpeFtp3t7xPHrIbO/view?usp=drivesdk")</f>
        <v>https://drive.google.com/file/d/1xTdoUylERLwUVDuuMpeFtp3t7xPHrIbO/view?usp=drivesdk</v>
      </c>
    </row>
    <row r="9719">
      <c r="A9719" s="17" t="str">
        <f>IFERROR(__xludf.DUMMYFUNCTION("""COMPUTED_VALUE"""),"")</f>
        <v/>
      </c>
      <c r="B9719" s="17" t="str">
        <f>IFERROR(__xludf.DUMMYFUNCTION("""COMPUTED_VALUE"""),"")</f>
        <v/>
      </c>
      <c r="C9719" s="17" t="str">
        <f>IFERROR(__xludf.DUMMYFUNCTION("""COMPUTED_VALUE"""),"")</f>
        <v/>
      </c>
      <c r="D9719" s="17" t="str">
        <f>IFERROR(__xludf.DUMMYFUNCTION("""COMPUTED_VALUE"""),"")</f>
        <v/>
      </c>
      <c r="E9719" s="17" t="str">
        <f>IFERROR(__xludf.DUMMYFUNCTION("""COMPUTED_VALUE"""),"")</f>
        <v/>
      </c>
      <c r="F9719" s="17" t="str">
        <f>IFERROR(__xludf.DUMMYFUNCTION("""COMPUTED_VALUE"""),"")</f>
        <v/>
      </c>
      <c r="G9719" s="17" t="str">
        <f>IFERROR(__xludf.DUMMYFUNCTION("""COMPUTED_VALUE"""),"")</f>
        <v/>
      </c>
      <c r="H9719" s="17" t="str">
        <f>IFERROR(__xludf.DUMMYFUNCTION("""COMPUTED_VALUE"""),"")</f>
        <v/>
      </c>
      <c r="I9719" s="17" t="str">
        <f>IFERROR(__xludf.DUMMYFUNCTION("""COMPUTED_VALUE"""),"")</f>
        <v/>
      </c>
      <c r="J9719" s="17" t="str">
        <f>IFERROR(__xludf.DUMMYFUNCTION("""COMPUTED_VALUE"""),"")</f>
        <v/>
      </c>
      <c r="K9719" s="17" t="str">
        <f>IFERROR(__xludf.DUMMYFUNCTION("""COMPUTED_VALUE"""),"")</f>
        <v/>
      </c>
      <c r="L9719" s="17" t="str">
        <f>IFERROR(__xludf.DUMMYFUNCTION("""COMPUTED_VALUE"""),"")</f>
        <v/>
      </c>
      <c r="M9719" s="17" t="str">
        <f>IFERROR(__xludf.DUMMYFUNCTION("""COMPUTED_VALUE"""),"")</f>
        <v/>
      </c>
      <c r="N9719" s="17" t="str">
        <f>IFERROR(__xludf.DUMMYFUNCTION("""COMPUTED_VALUE"""),"")</f>
        <v/>
      </c>
      <c r="O9719" s="17" t="str">
        <f>IFERROR(__xludf.DUMMYFUNCTION("""COMPUTED_VALUE"""),"")</f>
        <v/>
      </c>
      <c r="P9719" s="17" t="str">
        <f>IFERROR(__xludf.DUMMYFUNCTION("""COMPUTED_VALUE"""),"")</f>
        <v/>
      </c>
      <c r="Q9719" s="17" t="str">
        <f>IFERROR(__xludf.DUMMYFUNCTION("""COMPUTED_VALUE"""),"")</f>
        <v/>
      </c>
      <c r="R9719" s="17" t="str">
        <f>IFERROR(__xludf.DUMMYFUNCTION("""COMPUTED_VALUE"""),"")</f>
        <v/>
      </c>
    </row>
    <row r="9720">
      <c r="A9720" s="15">
        <f>IFERROR(__xludf.DUMMYFUNCTION("""COMPUTED_VALUE"""),45275.0)</f>
        <v>45275</v>
      </c>
      <c r="B9720" s="16" t="str">
        <f>IFERROR(__xludf.DUMMYFUNCTION("""COMPUTED_VALUE"""),"Envia")</f>
        <v>Envia</v>
      </c>
      <c r="C9720" s="15" t="str">
        <f>IFERROR(__xludf.DUMMYFUNCTION("""COMPUTED_VALUE"""),"BARRANQUILLA")</f>
        <v>BARRANQUILLA</v>
      </c>
      <c r="D9720" s="15" t="str">
        <f>IFERROR(__xludf.DUMMYFUNCTION("""COMPUTED_VALUE"""),"BOGOTÁ")</f>
        <v>BOGOTÁ</v>
      </c>
      <c r="E9720" s="15" t="str">
        <f>IFERROR(__xludf.DUMMYFUNCTION("""COMPUTED_VALUE"""),"Athenas")</f>
        <v>Athenas</v>
      </c>
      <c r="F9720" s="17" t="str">
        <f>IFERROR(__xludf.DUMMYFUNCTION("""COMPUTED_VALUE"""),"CARRERA 43 #99-50 CENTRO COMERCIAL MIRAMAR PISO 3 / BODYTECH CAFETERIA / MIRAMAR")</f>
        <v>CARRERA 43 #99-50 CENTRO COMERCIAL MIRAMAR PISO 3 / BODYTECH CAFETERIA / MIRAMAR</v>
      </c>
      <c r="G9720" s="15" t="str">
        <f>IFERROR(__xludf.DUMMYFUNCTION("""COMPUTED_VALUE"""),"ZOBEIDA JIMENEZ")</f>
        <v>ZOBEIDA JIMENEZ</v>
      </c>
      <c r="H9720" s="16">
        <f>IFERROR(__xludf.DUMMYFUNCTION("""COMPUTED_VALUE"""),18279.0)</f>
        <v>18279</v>
      </c>
      <c r="I9720" s="18" t="str">
        <f>IFERROR(__xludf.DUMMYFUNCTION("""COMPUTED_VALUE"""),"52.5")</f>
        <v>52.5</v>
      </c>
      <c r="J9720" s="18">
        <f>IFERROR(__xludf.DUMMYFUNCTION("""COMPUTED_VALUE"""),55.0)</f>
        <v>55</v>
      </c>
      <c r="K9720" s="18">
        <f>IFERROR(__xludf.DUMMYFUNCTION("""COMPUTED_VALUE"""),45.0)</f>
        <v>45</v>
      </c>
      <c r="L9720" s="17">
        <f>IFERROR(__xludf.DUMMYFUNCTION("""COMPUTED_VALUE"""),3.016374746E9)</f>
        <v>3016374746</v>
      </c>
      <c r="M9720" s="17"/>
      <c r="N9720" s="17"/>
      <c r="O9720" s="17"/>
      <c r="P9720" s="17" t="b">
        <f>IFERROR(__xludf.DUMMYFUNCTION("""COMPUTED_VALUE"""),FALSE)</f>
        <v>0</v>
      </c>
      <c r="Q9720" s="20" t="str">
        <f>IFERROR(__xludf.DUMMYFUNCTION("""COMPUTED_VALUE"""),"")</f>
        <v/>
      </c>
      <c r="R9720" s="21" t="str">
        <f>IFERROR(__xludf.DUMMYFUNCTION("""COMPUTED_VALUE"""),"https://drive.google.com/file/d/1eWMZM9yaoLzsjfobGjhgq4Wd5UmIXPq7/view?usp=drivesdk")</f>
        <v>https://drive.google.com/file/d/1eWMZM9yaoLzsjfobGjhgq4Wd5UmIXPq7/view?usp=drivesdk</v>
      </c>
    </row>
    <row r="9721">
      <c r="A9721" s="15">
        <f>IFERROR(__xludf.DUMMYFUNCTION("""COMPUTED_VALUE"""),45275.0)</f>
        <v>45275</v>
      </c>
      <c r="B9721" s="16" t="str">
        <f>IFERROR(__xludf.DUMMYFUNCTION("""COMPUTED_VALUE"""),"Envia")</f>
        <v>Envia</v>
      </c>
      <c r="C9721" s="15" t="str">
        <f>IFERROR(__xludf.DUMMYFUNCTION("""COMPUTED_VALUE"""),"BARRANQUILLA")</f>
        <v>BARRANQUILLA</v>
      </c>
      <c r="D9721" s="15" t="str">
        <f>IFERROR(__xludf.DUMMYFUNCTION("""COMPUTED_VALUE"""),"BOGOTÁ")</f>
        <v>BOGOTÁ</v>
      </c>
      <c r="E9721" s="15" t="str">
        <f>IFERROR(__xludf.DUMMYFUNCTION("""COMPUTED_VALUE"""),"MAI ALIMENTOS REALES")</f>
        <v>MAI ALIMENTOS REALES</v>
      </c>
      <c r="F9721" s="17" t="str">
        <f>IFERROR(__xludf.DUMMYFUNCTION("""COMPUTED_VALUE"""),"Calle 110 # 6 – 335 / Bod. M10 - M11 Centro Industrial Metroparque")</f>
        <v>Calle 110 # 6 – 335 / Bod. M10 - M11 Centro Industrial Metroparque</v>
      </c>
      <c r="G9721" s="15" t="str">
        <f>IFERROR(__xludf.DUMMYFUNCTION("""COMPUTED_VALUE"""),"NOVAVENTAS BARRANQUILLA")</f>
        <v>NOVAVENTAS BARRANQUILLA</v>
      </c>
      <c r="H9721" s="16">
        <f>IFERROR(__xludf.DUMMYFUNCTION("""COMPUTED_VALUE"""),18193.0)</f>
        <v>18193</v>
      </c>
      <c r="I9721" s="17"/>
      <c r="J9721" s="17"/>
      <c r="K9721" s="17"/>
      <c r="L9721" s="17"/>
      <c r="M9721" s="17"/>
      <c r="N9721" s="17"/>
      <c r="O9721" s="17"/>
      <c r="P9721" s="17" t="b">
        <f>IFERROR(__xludf.DUMMYFUNCTION("""COMPUTED_VALUE"""),FALSE)</f>
        <v>0</v>
      </c>
      <c r="Q9721" s="20" t="str">
        <f>IFERROR(__xludf.DUMMYFUNCTION("""COMPUTED_VALUE"""),"")</f>
        <v/>
      </c>
      <c r="R9721" s="21" t="str">
        <f>IFERROR(__xludf.DUMMYFUNCTION("""COMPUTED_VALUE"""),"https://drive.google.com/file/d/19SEOKczyB27bRiEKr4gDkEhcuINnnvoY/view?usp=drivesdk")</f>
        <v>https://drive.google.com/file/d/19SEOKczyB27bRiEKr4gDkEhcuINnnvoY/view?usp=drivesdk</v>
      </c>
    </row>
    <row r="9722">
      <c r="A9722" s="15">
        <f>IFERROR(__xludf.DUMMYFUNCTION("""COMPUTED_VALUE"""),45275.0)</f>
        <v>45275</v>
      </c>
      <c r="B9722" s="16" t="str">
        <f>IFERROR(__xludf.DUMMYFUNCTION("""COMPUTED_VALUE"""),"Envia")</f>
        <v>Envia</v>
      </c>
      <c r="C9722" s="15" t="str">
        <f>IFERROR(__xludf.DUMMYFUNCTION("""COMPUTED_VALUE"""),"BARRANQUILLA")</f>
        <v>BARRANQUILLA</v>
      </c>
      <c r="D9722" s="15" t="str">
        <f>IFERROR(__xludf.DUMMYFUNCTION("""COMPUTED_VALUE"""),"BOGOTÁ")</f>
        <v>BOGOTÁ</v>
      </c>
      <c r="E9722" s="15" t="str">
        <f>IFERROR(__xludf.DUMMYFUNCTION("""COMPUTED_VALUE"""),"PAN DE WAFFLE")</f>
        <v>PAN DE WAFFLE</v>
      </c>
      <c r="F9722" s="17" t="str">
        <f>IFERROR(__xludf.DUMMYFUNCTION("""COMPUTED_VALUE"""),"CR 53 80 284 LC 8 / CR 53 80 284 LC 8")</f>
        <v>CR 53 80 284 LC 8 / CR 53 80 284 LC 8</v>
      </c>
      <c r="G9722" s="15" t="str">
        <f>IFERROR(__xludf.DUMMYFUNCTION("""COMPUTED_VALUE"""),"CORPOFIT")</f>
        <v>CORPOFIT</v>
      </c>
      <c r="H9722" s="16">
        <f>IFERROR(__xludf.DUMMYFUNCTION("""COMPUTED_VALUE"""),18265.0)</f>
        <v>18265</v>
      </c>
      <c r="I9722" s="17"/>
      <c r="J9722" s="17"/>
      <c r="K9722" s="17"/>
      <c r="L9722" s="17">
        <f>IFERROR(__xludf.DUMMYFUNCTION("""COMPUTED_VALUE"""),3.006125263E9)</f>
        <v>3006125263</v>
      </c>
      <c r="M9722" s="17"/>
      <c r="N9722" s="17"/>
      <c r="O9722" s="17"/>
      <c r="P9722" s="17" t="b">
        <f>IFERROR(__xludf.DUMMYFUNCTION("""COMPUTED_VALUE"""),FALSE)</f>
        <v>0</v>
      </c>
      <c r="Q9722" s="20" t="str">
        <f>IFERROR(__xludf.DUMMYFUNCTION("""COMPUTED_VALUE"""),"")</f>
        <v/>
      </c>
      <c r="R9722" s="21" t="str">
        <f>IFERROR(__xludf.DUMMYFUNCTION("""COMPUTED_VALUE"""),"https://drive.google.com/file/d/1SLz_Bqoo7WaFjs6uzSwAi5BDla7lrU9M/view?usp=drivesdk")</f>
        <v>https://drive.google.com/file/d/1SLz_Bqoo7WaFjs6uzSwAi5BDla7lrU9M/view?usp=drivesdk</v>
      </c>
    </row>
    <row r="9723">
      <c r="A9723" s="15">
        <f>IFERROR(__xludf.DUMMYFUNCTION("""COMPUTED_VALUE"""),45275.0)</f>
        <v>45275</v>
      </c>
      <c r="B9723" s="16" t="str">
        <f>IFERROR(__xludf.DUMMYFUNCTION("""COMPUTED_VALUE"""),"Envia")</f>
        <v>Envia</v>
      </c>
      <c r="C9723" s="15" t="str">
        <f>IFERROR(__xludf.DUMMYFUNCTION("""COMPUTED_VALUE"""),"BARRANQUILLA")</f>
        <v>BARRANQUILLA</v>
      </c>
      <c r="D9723" s="15" t="str">
        <f>IFERROR(__xludf.DUMMYFUNCTION("""COMPUTED_VALUE"""),"BOGOTÁ")</f>
        <v>BOGOTÁ</v>
      </c>
      <c r="E9723" s="15" t="str">
        <f>IFERROR(__xludf.DUMMYFUNCTION("""COMPUTED_VALUE"""),"Premium Choice")</f>
        <v>Premium Choice</v>
      </c>
      <c r="F9723" s="17" t="str">
        <f>IFERROR(__xludf.DUMMYFUNCTION("""COMPUTED_VALUE"""),"Cr 52 # 80 - 43  / Restaurante  / Storia d’amore")</f>
        <v>Cr 52 # 80 - 43  / Restaurante  / Storia d’amore</v>
      </c>
      <c r="G9723" s="15" t="str">
        <f>IFERROR(__xludf.DUMMYFUNCTION("""COMPUTED_VALUE"""),"Amore GROUP")</f>
        <v>Amore GROUP</v>
      </c>
      <c r="H9723" s="16">
        <f>IFERROR(__xludf.DUMMYFUNCTION("""COMPUTED_VALUE"""),18362.0)</f>
        <v>18362</v>
      </c>
      <c r="I9723" s="18">
        <f>IFERROR(__xludf.DUMMYFUNCTION("""COMPUTED_VALUE"""),16.0)</f>
        <v>16</v>
      </c>
      <c r="J9723" s="18">
        <f>IFERROR(__xludf.DUMMYFUNCTION("""COMPUTED_VALUE"""),50.0)</f>
        <v>50</v>
      </c>
      <c r="K9723" s="18">
        <f>IFERROR(__xludf.DUMMYFUNCTION("""COMPUTED_VALUE"""),50.0)</f>
        <v>50</v>
      </c>
      <c r="L9723" s="17">
        <f>IFERROR(__xludf.DUMMYFUNCTION("""COMPUTED_VALUE"""),3.102170999E9)</f>
        <v>3102170999</v>
      </c>
      <c r="M9723" s="17"/>
      <c r="N9723" s="17"/>
      <c r="O9723" s="17"/>
      <c r="P9723" s="17" t="b">
        <f>IFERROR(__xludf.DUMMYFUNCTION("""COMPUTED_VALUE"""),FALSE)</f>
        <v>0</v>
      </c>
      <c r="Q9723" s="20" t="str">
        <f>IFERROR(__xludf.DUMMYFUNCTION("""COMPUTED_VALUE"""),"")</f>
        <v/>
      </c>
      <c r="R9723" s="21" t="str">
        <f>IFERROR(__xludf.DUMMYFUNCTION("""COMPUTED_VALUE"""),"https://drive.google.com/file/d/1RsiRYXbHyKrNmSfm2YrFDu-_z9IiAs90/view?usp=drivesdk")</f>
        <v>https://drive.google.com/file/d/1RsiRYXbHyKrNmSfm2YrFDu-_z9IiAs90/view?usp=drivesdk</v>
      </c>
    </row>
    <row r="9724">
      <c r="A9724" s="15">
        <f>IFERROR(__xludf.DUMMYFUNCTION("""COMPUTED_VALUE"""),45275.0)</f>
        <v>45275</v>
      </c>
      <c r="B9724" s="16" t="str">
        <f>IFERROR(__xludf.DUMMYFUNCTION("""COMPUTED_VALUE"""),"Envia")</f>
        <v>Envia</v>
      </c>
      <c r="C9724" s="15" t="str">
        <f>IFERROR(__xludf.DUMMYFUNCTION("""COMPUTED_VALUE"""),"BARRANQUILLA")</f>
        <v>BARRANQUILLA</v>
      </c>
      <c r="D9724" s="15" t="str">
        <f>IFERROR(__xludf.DUMMYFUNCTION("""COMPUTED_VALUE"""),"BOGOTÁ")</f>
        <v>BOGOTÁ</v>
      </c>
      <c r="E9724" s="15" t="str">
        <f>IFERROR(__xludf.DUMMYFUNCTION("""COMPUTED_VALUE"""),"Premium Choice")</f>
        <v>Premium Choice</v>
      </c>
      <c r="F9724" s="17" t="str">
        <f>IFERROR(__xludf.DUMMYFUNCTION("""COMPUTED_VALUE"""),"Cr 74 # 76 - 74  / Fithub / Barranquilla")</f>
        <v>Cr 74 # 76 - 74  / Fithub / Barranquilla</v>
      </c>
      <c r="G9724" s="15" t="str">
        <f>IFERROR(__xludf.DUMMYFUNCTION("""COMPUTED_VALUE"""),"Adwellch sas")</f>
        <v>Adwellch sas</v>
      </c>
      <c r="H9724" s="16">
        <f>IFERROR(__xludf.DUMMYFUNCTION("""COMPUTED_VALUE"""),18363.0)</f>
        <v>18363</v>
      </c>
      <c r="I9724" s="18">
        <f>IFERROR(__xludf.DUMMYFUNCTION("""COMPUTED_VALUE"""),17.0)</f>
        <v>17</v>
      </c>
      <c r="J9724" s="18">
        <f>IFERROR(__xludf.DUMMYFUNCTION("""COMPUTED_VALUE"""),22.0)</f>
        <v>22</v>
      </c>
      <c r="K9724" s="18">
        <f>IFERROR(__xludf.DUMMYFUNCTION("""COMPUTED_VALUE"""),30.0)</f>
        <v>30</v>
      </c>
      <c r="L9724" s="17">
        <f>IFERROR(__xludf.DUMMYFUNCTION("""COMPUTED_VALUE"""),3.102170999E9)</f>
        <v>3102170999</v>
      </c>
      <c r="M9724" s="17"/>
      <c r="N9724" s="17"/>
      <c r="O9724" s="17"/>
      <c r="P9724" s="17" t="b">
        <f>IFERROR(__xludf.DUMMYFUNCTION("""COMPUTED_VALUE"""),FALSE)</f>
        <v>0</v>
      </c>
      <c r="Q9724" s="20" t="str">
        <f>IFERROR(__xludf.DUMMYFUNCTION("""COMPUTED_VALUE"""),"")</f>
        <v/>
      </c>
      <c r="R9724" s="21" t="str">
        <f>IFERROR(__xludf.DUMMYFUNCTION("""COMPUTED_VALUE"""),"https://drive.google.com/file/d/1vMdrTov_e0EV7cWSTilNanaj38eubPo0/view?usp=drivesdk")</f>
        <v>https://drive.google.com/file/d/1vMdrTov_e0EV7cWSTilNanaj38eubPo0/view?usp=drivesdk</v>
      </c>
    </row>
    <row r="9725">
      <c r="A9725" s="15">
        <f>IFERROR(__xludf.DUMMYFUNCTION("""COMPUTED_VALUE"""),45275.0)</f>
        <v>45275</v>
      </c>
      <c r="B9725" s="16" t="str">
        <f>IFERROR(__xludf.DUMMYFUNCTION("""COMPUTED_VALUE"""),"Envia")</f>
        <v>Envia</v>
      </c>
      <c r="C9725" s="15" t="str">
        <f>IFERROR(__xludf.DUMMYFUNCTION("""COMPUTED_VALUE"""),"BARRANQUILLA")</f>
        <v>BARRANQUILLA</v>
      </c>
      <c r="D9725" s="15" t="str">
        <f>IFERROR(__xludf.DUMMYFUNCTION("""COMPUTED_VALUE"""),"MEDELLÍN")</f>
        <v>MEDELLÍN</v>
      </c>
      <c r="E9725" s="15" t="str">
        <f>IFERROR(__xludf.DUMMYFUNCTION("""COMPUTED_VALUE"""),"HELADERIA MAGDA")</f>
        <v>HELADERIA MAGDA</v>
      </c>
      <c r="F9725" s="17" t="str">
        <f>IFERROR(__xludf.DUMMYFUNCTION("""COMPUTED_VALUE"""),"CALLE 93 #43-41 / COCINA OCULTA")</f>
        <v>CALLE 93 #43-41 / COCINA OCULTA</v>
      </c>
      <c r="G9725" s="15" t="str">
        <f>IFERROR(__xludf.DUMMYFUNCTION("""COMPUTED_VALUE"""),"CITY HUB")</f>
        <v>CITY HUB</v>
      </c>
      <c r="H9725" s="16">
        <f>IFERROR(__xludf.DUMMYFUNCTION("""COMPUTED_VALUE"""),18405.0)</f>
        <v>18405</v>
      </c>
      <c r="I9725" s="17"/>
      <c r="J9725" s="17"/>
      <c r="K9725" s="17"/>
      <c r="L9725" s="17">
        <f>IFERROR(__xludf.DUMMYFUNCTION("""COMPUTED_VALUE"""),3.235800359E9)</f>
        <v>3235800359</v>
      </c>
      <c r="M9725" s="17"/>
      <c r="N9725" s="17"/>
      <c r="O9725" s="17"/>
      <c r="P9725" s="17" t="b">
        <f>IFERROR(__xludf.DUMMYFUNCTION("""COMPUTED_VALUE"""),FALSE)</f>
        <v>0</v>
      </c>
      <c r="Q9725" s="20" t="str">
        <f>IFERROR(__xludf.DUMMYFUNCTION("""COMPUTED_VALUE"""),"")</f>
        <v/>
      </c>
      <c r="R9725" s="21" t="str">
        <f>IFERROR(__xludf.DUMMYFUNCTION("""COMPUTED_VALUE"""),"https://drive.google.com/file/d/1vO9ncEi7JvJHJqgVnNJtc8Xh0Opom7BR/view?usp=drivesdk")</f>
        <v>https://drive.google.com/file/d/1vO9ncEi7JvJHJqgVnNJtc8Xh0Opom7BR/view?usp=drivesdk</v>
      </c>
    </row>
    <row r="9726">
      <c r="A9726" s="15">
        <f>IFERROR(__xludf.DUMMYFUNCTION("""COMPUTED_VALUE"""),45275.0)</f>
        <v>45275</v>
      </c>
      <c r="B9726" s="16" t="str">
        <f>IFERROR(__xludf.DUMMYFUNCTION("""COMPUTED_VALUE"""),"Envia")</f>
        <v>Envia</v>
      </c>
      <c r="C9726" s="15" t="str">
        <f>IFERROR(__xludf.DUMMYFUNCTION("""COMPUTED_VALUE"""),"BOGOTÁ")</f>
        <v>BOGOTÁ</v>
      </c>
      <c r="D9726" s="15" t="str">
        <f>IFERROR(__xludf.DUMMYFUNCTION("""COMPUTED_VALUE"""),"MEDELLÍN")</f>
        <v>MEDELLÍN</v>
      </c>
      <c r="E9726" s="15" t="str">
        <f>IFERROR(__xludf.DUMMYFUNCTION("""COMPUTED_VALUE"""),"HELADERIA MAGDA")</f>
        <v>HELADERIA MAGDA</v>
      </c>
      <c r="F9726" s="17" t="str">
        <f>IFERROR(__xludf.DUMMYFUNCTION("""COMPUTED_VALUE"""),"Cra. 16A #77-23 / Bodega")</f>
        <v>Cra. 16A #77-23 / Bodega</v>
      </c>
      <c r="G9726" s="15" t="str">
        <f>IFERROR(__xludf.DUMMYFUNCTION("""COMPUTED_VALUE"""),"Dando Cuerda")</f>
        <v>Dando Cuerda</v>
      </c>
      <c r="H9726" s="16">
        <f>IFERROR(__xludf.DUMMYFUNCTION("""COMPUTED_VALUE"""),18441.0)</f>
        <v>18441</v>
      </c>
      <c r="I9726" s="17"/>
      <c r="J9726" s="17"/>
      <c r="K9726" s="17"/>
      <c r="L9726" s="17"/>
      <c r="M9726" s="17"/>
      <c r="N9726" s="17"/>
      <c r="O9726" s="17"/>
      <c r="P9726" s="17" t="b">
        <f>IFERROR(__xludf.DUMMYFUNCTION("""COMPUTED_VALUE"""),FALSE)</f>
        <v>0</v>
      </c>
      <c r="Q9726" s="20" t="str">
        <f>IFERROR(__xludf.DUMMYFUNCTION("""COMPUTED_VALUE"""),"")</f>
        <v/>
      </c>
      <c r="R9726" s="21" t="str">
        <f>IFERROR(__xludf.DUMMYFUNCTION("""COMPUTED_VALUE"""),"https://drive.google.com/file/d/1X4rDrohFJlVfdpmXjHgb0ipgq3KlYs4q/view?usp=drivesdk")</f>
        <v>https://drive.google.com/file/d/1X4rDrohFJlVfdpmXjHgb0ipgq3KlYs4q/view?usp=drivesdk</v>
      </c>
    </row>
    <row r="9727">
      <c r="A9727" s="15">
        <f>IFERROR(__xludf.DUMMYFUNCTION("""COMPUTED_VALUE"""),45275.0)</f>
        <v>45275</v>
      </c>
      <c r="B9727" s="16" t="str">
        <f>IFERROR(__xludf.DUMMYFUNCTION("""COMPUTED_VALUE"""),"Envia")</f>
        <v>Envia</v>
      </c>
      <c r="C9727" s="15" t="str">
        <f>IFERROR(__xludf.DUMMYFUNCTION("""COMPUTED_VALUE"""),"BOGOTÁ")</f>
        <v>BOGOTÁ</v>
      </c>
      <c r="D9727" s="15" t="str">
        <f>IFERROR(__xludf.DUMMYFUNCTION("""COMPUTED_VALUE"""),"MEDELLÍN")</f>
        <v>MEDELLÍN</v>
      </c>
      <c r="E9727" s="15" t="str">
        <f>IFERROR(__xludf.DUMMYFUNCTION("""COMPUTED_VALUE"""),"Orobroy")</f>
        <v>Orobroy</v>
      </c>
      <c r="F9727" s="17" t="str">
        <f>IFERROR(__xludf.DUMMYFUNCTION("""COMPUTED_VALUE"""),"Call 24a n 56 35 in 4 apto 707 / Salitre")</f>
        <v>Call 24a n 56 35 in 4 apto 707 / Salitre</v>
      </c>
      <c r="G9727" s="15" t="str">
        <f>IFERROR(__xludf.DUMMYFUNCTION("""COMPUTED_VALUE"""),"JYM SERVICIOS LOGISTICOS")</f>
        <v>JYM SERVICIOS LOGISTICOS</v>
      </c>
      <c r="H9727" s="16">
        <f>IFERROR(__xludf.DUMMYFUNCTION("""COMPUTED_VALUE"""),18438.0)</f>
        <v>18438</v>
      </c>
      <c r="I9727" s="17"/>
      <c r="J9727" s="17"/>
      <c r="K9727" s="17"/>
      <c r="L9727" s="17">
        <f>IFERROR(__xludf.DUMMYFUNCTION("""COMPUTED_VALUE"""),3.152546862E9)</f>
        <v>3152546862</v>
      </c>
      <c r="M9727" s="17"/>
      <c r="N9727" s="17"/>
      <c r="O9727" s="17"/>
      <c r="P9727" s="17" t="b">
        <f>IFERROR(__xludf.DUMMYFUNCTION("""COMPUTED_VALUE"""),FALSE)</f>
        <v>0</v>
      </c>
      <c r="Q9727" s="20" t="str">
        <f>IFERROR(__xludf.DUMMYFUNCTION("""COMPUTED_VALUE"""),"")</f>
        <v/>
      </c>
      <c r="R9727" s="21" t="str">
        <f>IFERROR(__xludf.DUMMYFUNCTION("""COMPUTED_VALUE"""),"https://drive.google.com/file/d/1Eqi4Lmi3XwWBF5bVq4WBf8sMUIGqbWDt/view?usp=drivesdk")</f>
        <v>https://drive.google.com/file/d/1Eqi4Lmi3XwWBF5bVq4WBf8sMUIGqbWDt/view?usp=drivesdk</v>
      </c>
    </row>
    <row r="9728">
      <c r="A9728" s="15">
        <f>IFERROR(__xludf.DUMMYFUNCTION("""COMPUTED_VALUE"""),45275.0)</f>
        <v>45275</v>
      </c>
      <c r="B9728" s="16" t="str">
        <f>IFERROR(__xludf.DUMMYFUNCTION("""COMPUTED_VALUE"""),"Envia")</f>
        <v>Envia</v>
      </c>
      <c r="C9728" s="15" t="str">
        <f>IFERROR(__xludf.DUMMYFUNCTION("""COMPUTED_VALUE"""),"BUCARAMANGA")</f>
        <v>BUCARAMANGA</v>
      </c>
      <c r="D9728" s="15" t="str">
        <f>IFERROR(__xludf.DUMMYFUNCTION("""COMPUTED_VALUE"""),"BOGOTÁ")</f>
        <v>BOGOTÁ</v>
      </c>
      <c r="E9728" s="15" t="str">
        <f>IFERROR(__xludf.DUMMYFUNCTION("""COMPUTED_VALUE"""),"Athenas")</f>
        <v>Athenas</v>
      </c>
      <c r="F9728" s="17" t="str">
        <f>IFERROR(__xludf.DUMMYFUNCTION("""COMPUTED_VALUE"""),"Transversal 93 #34 99 Centro Comercial Cacique Local 420 / BODYTECH CAFETERIA / CACIQUE")</f>
        <v>Transversal 93 #34 99 Centro Comercial Cacique Local 420 / BODYTECH CAFETERIA / CACIQUE</v>
      </c>
      <c r="G9728" s="15" t="str">
        <f>IFERROR(__xludf.DUMMYFUNCTION("""COMPUTED_VALUE"""),"MONICA NUÑEZ")</f>
        <v>MONICA NUÑEZ</v>
      </c>
      <c r="H9728" s="16">
        <f>IFERROR(__xludf.DUMMYFUNCTION("""COMPUTED_VALUE"""),18281.0)</f>
        <v>18281</v>
      </c>
      <c r="I9728" s="18">
        <f>IFERROR(__xludf.DUMMYFUNCTION("""COMPUTED_VALUE"""),29.0)</f>
        <v>29</v>
      </c>
      <c r="J9728" s="18">
        <f>IFERROR(__xludf.DUMMYFUNCTION("""COMPUTED_VALUE"""),55.0)</f>
        <v>55</v>
      </c>
      <c r="K9728" s="18">
        <f>IFERROR(__xludf.DUMMYFUNCTION("""COMPUTED_VALUE"""),45.0)</f>
        <v>45</v>
      </c>
      <c r="L9728" s="17">
        <f>IFERROR(__xludf.DUMMYFUNCTION("""COMPUTED_VALUE"""),3.505619832E9)</f>
        <v>3505619832</v>
      </c>
      <c r="M9728" s="17"/>
      <c r="N9728" s="17"/>
      <c r="O9728" s="17"/>
      <c r="P9728" s="17" t="b">
        <f>IFERROR(__xludf.DUMMYFUNCTION("""COMPUTED_VALUE"""),FALSE)</f>
        <v>0</v>
      </c>
      <c r="Q9728" s="20" t="str">
        <f>IFERROR(__xludf.DUMMYFUNCTION("""COMPUTED_VALUE"""),"")</f>
        <v/>
      </c>
      <c r="R9728" s="21" t="str">
        <f>IFERROR(__xludf.DUMMYFUNCTION("""COMPUTED_VALUE"""),"https://drive.google.com/file/d/1bn1FaBzYNutFCVgjV2PQ0lu_k8WdWSSR/view?usp=drivesdk")</f>
        <v>https://drive.google.com/file/d/1bn1FaBzYNutFCVgjV2PQ0lu_k8WdWSSR/view?usp=drivesdk</v>
      </c>
    </row>
    <row r="9729">
      <c r="A9729" s="15">
        <f>IFERROR(__xludf.DUMMYFUNCTION("""COMPUTED_VALUE"""),45275.0)</f>
        <v>45275</v>
      </c>
      <c r="B9729" s="16" t="str">
        <f>IFERROR(__xludf.DUMMYFUNCTION("""COMPUTED_VALUE"""),"Envia")</f>
        <v>Envia</v>
      </c>
      <c r="C9729" s="15" t="str">
        <f>IFERROR(__xludf.DUMMYFUNCTION("""COMPUTED_VALUE"""),"CALI")</f>
        <v>CALI</v>
      </c>
      <c r="D9729" s="15" t="str">
        <f>IFERROR(__xludf.DUMMYFUNCTION("""COMPUTED_VALUE"""),"BOGOTÁ")</f>
        <v>BOGOTÁ</v>
      </c>
      <c r="E9729" s="15" t="str">
        <f>IFERROR(__xludf.DUMMYFUNCTION("""COMPUTED_VALUE"""),"Forever Dog")</f>
        <v>Forever Dog</v>
      </c>
      <c r="F9729" s="17" t="str">
        <f>IFERROR(__xludf.DUMMYFUNCTION("""COMPUTED_VALUE"""),"Calle 14A #85B-36  / apto 401 Edificio Sindamanoy / Ingenio II")</f>
        <v>Calle 14A #85B-36  / apto 401 Edificio Sindamanoy / Ingenio II</v>
      </c>
      <c r="G9729" s="15" t="str">
        <f>IFERROR(__xludf.DUMMYFUNCTION("""COMPUTED_VALUE"""),"Marcela Bahamón")</f>
        <v>Marcela Bahamón</v>
      </c>
      <c r="H9729" s="16">
        <f>IFERROR(__xludf.DUMMYFUNCTION("""COMPUTED_VALUE"""),18420.0)</f>
        <v>18420</v>
      </c>
      <c r="I9729" s="18">
        <f>IFERROR(__xludf.DUMMYFUNCTION("""COMPUTED_VALUE"""),51.0)</f>
        <v>51</v>
      </c>
      <c r="J9729" s="18">
        <f>IFERROR(__xludf.DUMMYFUNCTION("""COMPUTED_VALUE"""),30.0)</f>
        <v>30</v>
      </c>
      <c r="K9729" s="18">
        <f>IFERROR(__xludf.DUMMYFUNCTION("""COMPUTED_VALUE"""),20.0)</f>
        <v>20</v>
      </c>
      <c r="L9729" s="17">
        <f>IFERROR(__xludf.DUMMYFUNCTION("""COMPUTED_VALUE"""),3.162507455E9)</f>
        <v>3162507455</v>
      </c>
      <c r="M9729" s="17"/>
      <c r="N9729" s="17"/>
      <c r="O9729" s="17"/>
      <c r="P9729" s="17" t="b">
        <f>IFERROR(__xludf.DUMMYFUNCTION("""COMPUTED_VALUE"""),FALSE)</f>
        <v>0</v>
      </c>
      <c r="Q9729" s="20" t="str">
        <f>IFERROR(__xludf.DUMMYFUNCTION("""COMPUTED_VALUE"""),"")</f>
        <v/>
      </c>
      <c r="R9729" s="21" t="str">
        <f>IFERROR(__xludf.DUMMYFUNCTION("""COMPUTED_VALUE"""),"https://drive.google.com/file/d/1RkquQf9iRLL7dpVwmOGufvJ1VQT2POYa/view?usp=drivesdk")</f>
        <v>https://drive.google.com/file/d/1RkquQf9iRLL7dpVwmOGufvJ1VQT2POYa/view?usp=drivesdk</v>
      </c>
    </row>
    <row r="9730">
      <c r="A9730" s="15">
        <f>IFERROR(__xludf.DUMMYFUNCTION("""COMPUTED_VALUE"""),45275.0)</f>
        <v>45275</v>
      </c>
      <c r="B9730" s="16" t="str">
        <f>IFERROR(__xludf.DUMMYFUNCTION("""COMPUTED_VALUE"""),"Envia")</f>
        <v>Envia</v>
      </c>
      <c r="C9730" s="15" t="str">
        <f>IFERROR(__xludf.DUMMYFUNCTION("""COMPUTED_VALUE"""),"CALI")</f>
        <v>CALI</v>
      </c>
      <c r="D9730" s="15" t="str">
        <f>IFERROR(__xludf.DUMMYFUNCTION("""COMPUTED_VALUE"""),"BOGOTÁ")</f>
        <v>BOGOTÁ</v>
      </c>
      <c r="E9730" s="15" t="str">
        <f>IFERROR(__xludf.DUMMYFUNCTION("""COMPUTED_VALUE"""),"Renata")</f>
        <v>Renata</v>
      </c>
      <c r="F9730" s="17" t="str">
        <f>IFERROR(__xludf.DUMMYFUNCTION("""COMPUTED_VALUE"""),"Carrera 3#3a-83 / Patio 34 food containers -restaurante  / San Fernando")</f>
        <v>Carrera 3#3a-83 / Patio 34 food containers -restaurante  / San Fernando</v>
      </c>
      <c r="G9730" s="15" t="str">
        <f>IFERROR(__xludf.DUMMYFUNCTION("""COMPUTED_VALUE"""),"Retaco sas")</f>
        <v>Retaco sas</v>
      </c>
      <c r="H9730" s="16">
        <f>IFERROR(__xludf.DUMMYFUNCTION("""COMPUTED_VALUE"""),18423.0)</f>
        <v>18423</v>
      </c>
      <c r="I9730" s="18">
        <f>IFERROR(__xludf.DUMMYFUNCTION("""COMPUTED_VALUE"""),90.0)</f>
        <v>90</v>
      </c>
      <c r="J9730" s="18">
        <f>IFERROR(__xludf.DUMMYFUNCTION("""COMPUTED_VALUE"""),70.0)</f>
        <v>70</v>
      </c>
      <c r="K9730" s="18">
        <f>IFERROR(__xludf.DUMMYFUNCTION("""COMPUTED_VALUE"""),60.0)</f>
        <v>60</v>
      </c>
      <c r="L9730" s="17">
        <f>IFERROR(__xludf.DUMMYFUNCTION("""COMPUTED_VALUE"""),3.134720976E9)</f>
        <v>3134720976</v>
      </c>
      <c r="M9730" s="17"/>
      <c r="N9730" s="17"/>
      <c r="O9730" s="17"/>
      <c r="P9730" s="17" t="b">
        <f>IFERROR(__xludf.DUMMYFUNCTION("""COMPUTED_VALUE"""),FALSE)</f>
        <v>0</v>
      </c>
      <c r="Q9730" s="20" t="str">
        <f>IFERROR(__xludf.DUMMYFUNCTION("""COMPUTED_VALUE"""),"")</f>
        <v/>
      </c>
      <c r="R9730" s="21" t="str">
        <f>IFERROR(__xludf.DUMMYFUNCTION("""COMPUTED_VALUE"""),"https://drive.google.com/file/d/1LKbD3PQFGfu8HItr2D4pvxlxfaFJThj2/view?usp=drivesdk")</f>
        <v>https://drive.google.com/file/d/1LKbD3PQFGfu8HItr2D4pvxlxfaFJThj2/view?usp=drivesdk</v>
      </c>
    </row>
    <row r="9731">
      <c r="A9731" s="15">
        <f>IFERROR(__xludf.DUMMYFUNCTION("""COMPUTED_VALUE"""),45275.0)</f>
        <v>45275</v>
      </c>
      <c r="B9731" s="16" t="str">
        <f>IFERROR(__xludf.DUMMYFUNCTION("""COMPUTED_VALUE"""),"Envia")</f>
        <v>Envia</v>
      </c>
      <c r="C9731" s="15" t="str">
        <f>IFERROR(__xludf.DUMMYFUNCTION("""COMPUTED_VALUE"""),"CARTAGENA")</f>
        <v>CARTAGENA</v>
      </c>
      <c r="D9731" s="15" t="str">
        <f>IFERROR(__xludf.DUMMYFUNCTION("""COMPUTED_VALUE"""),"BUCARAMANGA")</f>
        <v>BUCARAMANGA</v>
      </c>
      <c r="E9731" s="15" t="str">
        <f>IFERROR(__xludf.DUMMYFUNCTION("""COMPUTED_VALUE"""),"Yo Como Solito")</f>
        <v>Yo Como Solito</v>
      </c>
      <c r="F9731" s="17" t="str">
        <f>IFERROR(__xludf.DUMMYFUNCTION("""COMPUTED_VALUE"""),"URBANIZACIÓN VILLA DEL SOL MANZANA E LOTE 4 SEGUNDO PISO VIA TERNERA / URBANIZACIÓN VILLA DEL SOL MANZANA E LOTE 4 SEGUNDO PISO VIA TERNERA / URBANIZACIÓN VILLA DEL SOL MANZANA E LOTE 4 SEGUNDO PISO VIA TERNERA")</f>
        <v>URBANIZACIÓN VILLA DEL SOL MANZANA E LOTE 4 SEGUNDO PISO VIA TERNERA / URBANIZACIÓN VILLA DEL SOL MANZANA E LOTE 4 SEGUNDO PISO VIA TERNERA / URBANIZACIÓN VILLA DEL SOL MANZANA E LOTE 4 SEGUNDO PISO VIA TERNERA</v>
      </c>
      <c r="G9731" s="15" t="str">
        <f>IFERROR(__xludf.DUMMYFUNCTION("""COMPUTED_VALUE"""),"VANESSA ELENA CARABALLO")</f>
        <v>VANESSA ELENA CARABALLO</v>
      </c>
      <c r="H9731" s="16">
        <f>IFERROR(__xludf.DUMMYFUNCTION("""COMPUTED_VALUE"""),18221.0)</f>
        <v>18221</v>
      </c>
      <c r="I9731" s="18">
        <f>IFERROR(__xludf.DUMMYFUNCTION("""COMPUTED_VALUE"""),14.0)</f>
        <v>14</v>
      </c>
      <c r="J9731" s="18">
        <f>IFERROR(__xludf.DUMMYFUNCTION("""COMPUTED_VALUE"""),22.0)</f>
        <v>22</v>
      </c>
      <c r="K9731" s="18">
        <f>IFERROR(__xludf.DUMMYFUNCTION("""COMPUTED_VALUE"""),26.0)</f>
        <v>26</v>
      </c>
      <c r="L9731" s="17">
        <f>IFERROR(__xludf.DUMMYFUNCTION("""COMPUTED_VALUE"""),3.163391533E9)</f>
        <v>3163391533</v>
      </c>
      <c r="M9731" s="17"/>
      <c r="N9731" s="17"/>
      <c r="O9731" s="17"/>
      <c r="P9731" s="17" t="b">
        <f>IFERROR(__xludf.DUMMYFUNCTION("""COMPUTED_VALUE"""),FALSE)</f>
        <v>0</v>
      </c>
      <c r="Q9731" s="20" t="str">
        <f>IFERROR(__xludf.DUMMYFUNCTION("""COMPUTED_VALUE"""),"")</f>
        <v/>
      </c>
      <c r="R9731" s="21" t="str">
        <f>IFERROR(__xludf.DUMMYFUNCTION("""COMPUTED_VALUE"""),"https://drive.google.com/file/d/1gileLd_lzctXXWslanRWL73axSc4_PWu/view?usp=drivesdk")</f>
        <v>https://drive.google.com/file/d/1gileLd_lzctXXWslanRWL73axSc4_PWu/view?usp=drivesdk</v>
      </c>
    </row>
    <row r="9732">
      <c r="A9732" s="15">
        <f>IFERROR(__xludf.DUMMYFUNCTION("""COMPUTED_VALUE"""),45275.0)</f>
        <v>45275</v>
      </c>
      <c r="B9732" s="16" t="str">
        <f>IFERROR(__xludf.DUMMYFUNCTION("""COMPUTED_VALUE"""),"Envia")</f>
        <v>Envia</v>
      </c>
      <c r="C9732" s="15" t="str">
        <f>IFERROR(__xludf.DUMMYFUNCTION("""COMPUTED_VALUE"""),"IBAGUÉ")</f>
        <v>IBAGUÉ</v>
      </c>
      <c r="D9732" s="15" t="str">
        <f>IFERROR(__xludf.DUMMYFUNCTION("""COMPUTED_VALUE"""),"BUCARAMANGA")</f>
        <v>BUCARAMANGA</v>
      </c>
      <c r="E9732" s="15" t="str">
        <f>IFERROR(__xludf.DUMMYFUNCTION("""COMPUTED_VALUE"""),"Yo Como Solito")</f>
        <v>Yo Como Solito</v>
      </c>
      <c r="F9732" s="17" t="str">
        <f>IFERROR(__xludf.DUMMYFUNCTION("""COMPUTED_VALUE"""),"CALLE 10 # 10-45 EDIFICIO ONIX APARTAMENTO 401A  / CALLE 10 # 10-45 EDIFICIO ONIX APARTAMENTO 401A / CALLE 10 # 10-45 EDIFICIO ONIX APARTAMENTO 401A")</f>
        <v>CALLE 10 # 10-45 EDIFICIO ONIX APARTAMENTO 401A  / CALLE 10 # 10-45 EDIFICIO ONIX APARTAMENTO 401A / CALLE 10 # 10-45 EDIFICIO ONIX APARTAMENTO 401A</v>
      </c>
      <c r="G9732" s="15" t="str">
        <f>IFERROR(__xludf.DUMMYFUNCTION("""COMPUTED_VALUE"""),"ALIX JAZMIN NARVAEZ")</f>
        <v>ALIX JAZMIN NARVAEZ</v>
      </c>
      <c r="H9732" s="16">
        <f>IFERROR(__xludf.DUMMYFUNCTION("""COMPUTED_VALUE"""),18222.0)</f>
        <v>18222</v>
      </c>
      <c r="I9732" s="18">
        <f>IFERROR(__xludf.DUMMYFUNCTION("""COMPUTED_VALUE"""),31.0)</f>
        <v>31</v>
      </c>
      <c r="J9732" s="18">
        <f>IFERROR(__xludf.DUMMYFUNCTION("""COMPUTED_VALUE"""),30.0)</f>
        <v>30</v>
      </c>
      <c r="K9732" s="18">
        <f>IFERROR(__xludf.DUMMYFUNCTION("""COMPUTED_VALUE"""),32.0)</f>
        <v>32</v>
      </c>
      <c r="L9732" s="17">
        <f>IFERROR(__xludf.DUMMYFUNCTION("""COMPUTED_VALUE"""),3.216098916E9)</f>
        <v>3216098916</v>
      </c>
      <c r="M9732" s="17"/>
      <c r="N9732" s="17"/>
      <c r="O9732" s="17"/>
      <c r="P9732" s="17" t="b">
        <f>IFERROR(__xludf.DUMMYFUNCTION("""COMPUTED_VALUE"""),FALSE)</f>
        <v>0</v>
      </c>
      <c r="Q9732" s="20" t="str">
        <f>IFERROR(__xludf.DUMMYFUNCTION("""COMPUTED_VALUE"""),"")</f>
        <v/>
      </c>
      <c r="R9732" s="21" t="str">
        <f>IFERROR(__xludf.DUMMYFUNCTION("""COMPUTED_VALUE"""),"https://drive.google.com/file/d/1ArfswNbRBw1gmZYk5VcxqVv6GCgxfNCn/view?usp=drivesdk")</f>
        <v>https://drive.google.com/file/d/1ArfswNbRBw1gmZYk5VcxqVv6GCgxfNCn/view?usp=drivesdk</v>
      </c>
    </row>
    <row r="9733">
      <c r="A9733" s="15">
        <f>IFERROR(__xludf.DUMMYFUNCTION("""COMPUTED_VALUE"""),45275.0)</f>
        <v>45275</v>
      </c>
      <c r="B9733" s="16" t="str">
        <f>IFERROR(__xludf.DUMMYFUNCTION("""COMPUTED_VALUE"""),"Envia")</f>
        <v>Envia</v>
      </c>
      <c r="C9733" s="15" t="str">
        <f>IFERROR(__xludf.DUMMYFUNCTION("""COMPUTED_VALUE"""),"MEDELLÍN")</f>
        <v>MEDELLÍN</v>
      </c>
      <c r="D9733" s="15" t="str">
        <f>IFERROR(__xludf.DUMMYFUNCTION("""COMPUTED_VALUE"""),"BARRANQUILLA")</f>
        <v>BARRANQUILLA</v>
      </c>
      <c r="E9733" s="15" t="str">
        <f>IFERROR(__xludf.DUMMYFUNCTION("""COMPUTED_VALUE"""),"Lorenna Chaid")</f>
        <v>Lorenna Chaid</v>
      </c>
      <c r="F9733" s="17" t="str">
        <f>IFERROR(__xludf.DUMMYFUNCTION("""COMPUTED_VALUE"""),"Calle 27A SUR # 47 - 50 / Interior 403-404 Conjunto Residencial Las Vegas")</f>
        <v>Calle 27A SUR # 47 - 50 / Interior 403-404 Conjunto Residencial Las Vegas</v>
      </c>
      <c r="G9733" s="15" t="str">
        <f>IFERROR(__xludf.DUMMYFUNCTION("""COMPUTED_VALUE"""),"Eduardo Chadid Garrido")</f>
        <v>Eduardo Chadid Garrido</v>
      </c>
      <c r="H9733" s="16">
        <f>IFERROR(__xludf.DUMMYFUNCTION("""COMPUTED_VALUE"""),18406.0)</f>
        <v>18406</v>
      </c>
      <c r="I9733" s="17"/>
      <c r="J9733" s="17"/>
      <c r="K9733" s="17"/>
      <c r="L9733" s="17">
        <f>IFERROR(__xludf.DUMMYFUNCTION("""COMPUTED_VALUE"""),3.16279944E9)</f>
        <v>3162799440</v>
      </c>
      <c r="M9733" s="17"/>
      <c r="N9733" s="17"/>
      <c r="O9733" s="17"/>
      <c r="P9733" s="17" t="b">
        <f>IFERROR(__xludf.DUMMYFUNCTION("""COMPUTED_VALUE"""),FALSE)</f>
        <v>0</v>
      </c>
      <c r="Q9733" s="20" t="str">
        <f>IFERROR(__xludf.DUMMYFUNCTION("""COMPUTED_VALUE"""),"")</f>
        <v/>
      </c>
      <c r="R9733" s="21" t="str">
        <f>IFERROR(__xludf.DUMMYFUNCTION("""COMPUTED_VALUE"""),"https://drive.google.com/file/d/1NYpVVFlxEbqfR7iaIDNrfJE6X5fefJEt/view?usp=drivesdk")</f>
        <v>https://drive.google.com/file/d/1NYpVVFlxEbqfR7iaIDNrfJE6X5fefJEt/view?usp=drivesdk</v>
      </c>
    </row>
    <row r="9734">
      <c r="A9734" s="15">
        <f>IFERROR(__xludf.DUMMYFUNCTION("""COMPUTED_VALUE"""),45275.0)</f>
        <v>45275</v>
      </c>
      <c r="B9734" s="16" t="str">
        <f>IFERROR(__xludf.DUMMYFUNCTION("""COMPUTED_VALUE"""),"Envia")</f>
        <v>Envia</v>
      </c>
      <c r="C9734" s="15" t="str">
        <f>IFERROR(__xludf.DUMMYFUNCTION("""COMPUTED_VALUE"""),"MEDELLÍN")</f>
        <v>MEDELLÍN</v>
      </c>
      <c r="D9734" s="15" t="str">
        <f>IFERROR(__xludf.DUMMYFUNCTION("""COMPUTED_VALUE"""),"BOGOTÁ")</f>
        <v>BOGOTÁ</v>
      </c>
      <c r="E9734" s="15" t="str">
        <f>IFERROR(__xludf.DUMMYFUNCTION("""COMPUTED_VALUE"""),"Forever Dog")</f>
        <v>Forever Dog</v>
      </c>
      <c r="F9734" s="17" t="str">
        <f>IFERROR(__xludf.DUMMYFUNCTION("""COMPUTED_VALUE"""),"Cra 28# 37b sur / Edf. Torre san miguel apto 501 / Envigado, Barrio Loma de las Brujas")</f>
        <v>Cra 28# 37b sur / Edf. Torre san miguel apto 501 / Envigado, Barrio Loma de las Brujas</v>
      </c>
      <c r="G9734" s="15" t="str">
        <f>IFERROR(__xludf.DUMMYFUNCTION("""COMPUTED_VALUE"""),"Dustin Torres")</f>
        <v>Dustin Torres</v>
      </c>
      <c r="H9734" s="16">
        <f>IFERROR(__xludf.DUMMYFUNCTION("""COMPUTED_VALUE"""),18421.0)</f>
        <v>18421</v>
      </c>
      <c r="I9734" s="18">
        <f>IFERROR(__xludf.DUMMYFUNCTION("""COMPUTED_VALUE"""),21.0)</f>
        <v>21</v>
      </c>
      <c r="J9734" s="18">
        <f>IFERROR(__xludf.DUMMYFUNCTION("""COMPUTED_VALUE"""),30.0)</f>
        <v>30</v>
      </c>
      <c r="K9734" s="18">
        <f>IFERROR(__xludf.DUMMYFUNCTION("""COMPUTED_VALUE"""),50.0)</f>
        <v>50</v>
      </c>
      <c r="L9734" s="17">
        <f>IFERROR(__xludf.DUMMYFUNCTION("""COMPUTED_VALUE"""),3.013390836E9)</f>
        <v>3013390836</v>
      </c>
      <c r="M9734" s="17"/>
      <c r="N9734" s="17"/>
      <c r="O9734" s="17"/>
      <c r="P9734" s="17" t="b">
        <f>IFERROR(__xludf.DUMMYFUNCTION("""COMPUTED_VALUE"""),FALSE)</f>
        <v>0</v>
      </c>
      <c r="Q9734" s="20" t="str">
        <f>IFERROR(__xludf.DUMMYFUNCTION("""COMPUTED_VALUE"""),"")</f>
        <v/>
      </c>
      <c r="R9734" s="21" t="str">
        <f>IFERROR(__xludf.DUMMYFUNCTION("""COMPUTED_VALUE"""),"https://drive.google.com/file/d/1Do9uV_vTWBcTuud13X9uwuuqggnP5WYo/view?usp=drivesdk")</f>
        <v>https://drive.google.com/file/d/1Do9uV_vTWBcTuud13X9uwuuqggnP5WYo/view?usp=drivesdk</v>
      </c>
    </row>
    <row r="9735">
      <c r="A9735" s="15">
        <f>IFERROR(__xludf.DUMMYFUNCTION("""COMPUTED_VALUE"""),45275.0)</f>
        <v>45275</v>
      </c>
      <c r="B9735" s="16" t="str">
        <f>IFERROR(__xludf.DUMMYFUNCTION("""COMPUTED_VALUE"""),"Envia")</f>
        <v>Envia</v>
      </c>
      <c r="C9735" s="15" t="str">
        <f>IFERROR(__xludf.DUMMYFUNCTION("""COMPUTED_VALUE"""),"MEDELLÍN")</f>
        <v>MEDELLÍN</v>
      </c>
      <c r="D9735" s="15" t="str">
        <f>IFERROR(__xludf.DUMMYFUNCTION("""COMPUTED_VALUE"""),"BOGOTÁ")</f>
        <v>BOGOTÁ</v>
      </c>
      <c r="E9735" s="15" t="str">
        <f>IFERROR(__xludf.DUMMYFUNCTION("""COMPUTED_VALUE"""),"MAI ALIMENTOS REALES")</f>
        <v>MAI ALIMENTOS REALES</v>
      </c>
      <c r="F9735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9735" s="15" t="str">
        <f>IFERROR(__xludf.DUMMYFUNCTION("""COMPUTED_VALUE"""),"Novaventas")</f>
        <v>Novaventas</v>
      </c>
      <c r="H9735" s="16">
        <f>IFERROR(__xludf.DUMMYFUNCTION("""COMPUTED_VALUE"""),18440.0)</f>
        <v>18440</v>
      </c>
      <c r="I9735" s="17"/>
      <c r="J9735" s="17"/>
      <c r="K9735" s="17"/>
      <c r="L9735" s="17">
        <f>IFERROR(__xludf.DUMMYFUNCTION("""COMPUTED_VALUE"""),3.187351593E9)</f>
        <v>3187351593</v>
      </c>
      <c r="M9735" s="17"/>
      <c r="N9735" s="17"/>
      <c r="O9735" s="17"/>
      <c r="P9735" s="17" t="b">
        <f>IFERROR(__xludf.DUMMYFUNCTION("""COMPUTED_VALUE"""),FALSE)</f>
        <v>0</v>
      </c>
      <c r="Q9735" s="20" t="str">
        <f>IFERROR(__xludf.DUMMYFUNCTION("""COMPUTED_VALUE"""),"")</f>
        <v/>
      </c>
      <c r="R9735" s="21" t="str">
        <f>IFERROR(__xludf.DUMMYFUNCTION("""COMPUTED_VALUE"""),"https://drive.google.com/file/d/1iYYiHWPfQJvTY1QY4CVLSvrowXepKy9q/view?usp=drivesdk")</f>
        <v>https://drive.google.com/file/d/1iYYiHWPfQJvTY1QY4CVLSvrowXepKy9q/view?usp=drivesdk</v>
      </c>
    </row>
    <row r="9736">
      <c r="A9736" s="15">
        <f>IFERROR(__xludf.DUMMYFUNCTION("""COMPUTED_VALUE"""),45275.0)</f>
        <v>45275</v>
      </c>
      <c r="B9736" s="16" t="str">
        <f>IFERROR(__xludf.DUMMYFUNCTION("""COMPUTED_VALUE"""),"Envia")</f>
        <v>Envia</v>
      </c>
      <c r="C9736" s="15" t="str">
        <f>IFERROR(__xludf.DUMMYFUNCTION("""COMPUTED_VALUE"""),"NEIVA")</f>
        <v>NEIVA</v>
      </c>
      <c r="D9736" s="15" t="str">
        <f>IFERROR(__xludf.DUMMYFUNCTION("""COMPUTED_VALUE"""),"BOGOTÁ")</f>
        <v>BOGOTÁ</v>
      </c>
      <c r="E9736" s="15" t="str">
        <f>IFERROR(__xludf.DUMMYFUNCTION("""COMPUTED_VALUE"""),"Verde Mango")</f>
        <v>Verde Mango</v>
      </c>
      <c r="F9736" s="17" t="str">
        <f>IFERROR(__xludf.DUMMYFUNCTION("""COMPUTED_VALUE"""),"calle 10 # 3-34 centro / Prashanti - la tienda / Centro")</f>
        <v>calle 10 # 3-34 centro / Prashanti - la tienda / Centro</v>
      </c>
      <c r="G9736" s="15" t="str">
        <f>IFERROR(__xludf.DUMMYFUNCTION("""COMPUTED_VALUE"""),"PRASHANTI")</f>
        <v>PRASHANTI</v>
      </c>
      <c r="H9736" s="16">
        <f>IFERROR(__xludf.DUMMYFUNCTION("""COMPUTED_VALUE"""),18418.0)</f>
        <v>18418</v>
      </c>
      <c r="I9736" s="18">
        <f>IFERROR(__xludf.DUMMYFUNCTION("""COMPUTED_VALUE"""),45.0)</f>
        <v>45</v>
      </c>
      <c r="J9736" s="18">
        <f>IFERROR(__xludf.DUMMYFUNCTION("""COMPUTED_VALUE"""),29.0)</f>
        <v>29</v>
      </c>
      <c r="K9736" s="18">
        <f>IFERROR(__xludf.DUMMYFUNCTION("""COMPUTED_VALUE"""),55.0)</f>
        <v>55</v>
      </c>
      <c r="L9736" s="17">
        <f>IFERROR(__xludf.DUMMYFUNCTION("""COMPUTED_VALUE"""),3.185044591E9)</f>
        <v>3185044591</v>
      </c>
      <c r="M9736" s="17"/>
      <c r="N9736" s="17"/>
      <c r="O9736" s="17"/>
      <c r="P9736" s="17" t="b">
        <f>IFERROR(__xludf.DUMMYFUNCTION("""COMPUTED_VALUE"""),FALSE)</f>
        <v>0</v>
      </c>
      <c r="Q9736" s="20" t="str">
        <f>IFERROR(__xludf.DUMMYFUNCTION("""COMPUTED_VALUE"""),"")</f>
        <v/>
      </c>
      <c r="R9736" s="21" t="str">
        <f>IFERROR(__xludf.DUMMYFUNCTION("""COMPUTED_VALUE"""),"https://drive.google.com/file/d/1_F4fQ0w27J1GXRUYnK89QW3UD7fsCRDE/view?usp=drivesdk")</f>
        <v>https://drive.google.com/file/d/1_F4fQ0w27J1GXRUYnK89QW3UD7fsCRDE/view?usp=drivesdk</v>
      </c>
    </row>
    <row r="9737">
      <c r="A9737" s="15">
        <f>IFERROR(__xludf.DUMMYFUNCTION("""COMPUTED_VALUE"""),45275.0)</f>
        <v>45275</v>
      </c>
      <c r="B9737" s="16" t="str">
        <f>IFERROR(__xludf.DUMMYFUNCTION("""COMPUTED_VALUE"""),"Envia")</f>
        <v>Envia</v>
      </c>
      <c r="C9737" s="15" t="str">
        <f>IFERROR(__xludf.DUMMYFUNCTION("""COMPUTED_VALUE"""),"NEIVA")</f>
        <v>NEIVA</v>
      </c>
      <c r="D9737" s="15" t="str">
        <f>IFERROR(__xludf.DUMMYFUNCTION("""COMPUTED_VALUE"""),"BOGOTÁ")</f>
        <v>BOGOTÁ</v>
      </c>
      <c r="E9737" s="15" t="str">
        <f>IFERROR(__xludf.DUMMYFUNCTION("""COMPUTED_VALUE"""),"Verde Mango")</f>
        <v>Verde Mango</v>
      </c>
      <c r="F9737" s="17" t="str">
        <f>IFERROR(__xludf.DUMMYFUNCTION("""COMPUTED_VALUE"""),"calle 12 # 6-35 centro / La tienda La gramera / Centro")</f>
        <v>calle 12 # 6-35 centro / La tienda La gramera / Centro</v>
      </c>
      <c r="G9737" s="15" t="str">
        <f>IFERROR(__xludf.DUMMYFUNCTION("""COMPUTED_VALUE"""),"ruby garcia")</f>
        <v>ruby garcia</v>
      </c>
      <c r="H9737" s="16">
        <f>IFERROR(__xludf.DUMMYFUNCTION("""COMPUTED_VALUE"""),18419.0)</f>
        <v>18419</v>
      </c>
      <c r="I9737" s="18">
        <f>IFERROR(__xludf.DUMMYFUNCTION("""COMPUTED_VALUE"""),29.0)</f>
        <v>29</v>
      </c>
      <c r="J9737" s="18">
        <f>IFERROR(__xludf.DUMMYFUNCTION("""COMPUTED_VALUE"""),45.0)</f>
        <v>45</v>
      </c>
      <c r="K9737" s="18">
        <f>IFERROR(__xludf.DUMMYFUNCTION("""COMPUTED_VALUE"""),55.0)</f>
        <v>55</v>
      </c>
      <c r="L9737" s="17">
        <f>IFERROR(__xludf.DUMMYFUNCTION("""COMPUTED_VALUE"""),3.156979321E9)</f>
        <v>3156979321</v>
      </c>
      <c r="M9737" s="17"/>
      <c r="N9737" s="17"/>
      <c r="O9737" s="17"/>
      <c r="P9737" s="17" t="b">
        <f>IFERROR(__xludf.DUMMYFUNCTION("""COMPUTED_VALUE"""),FALSE)</f>
        <v>0</v>
      </c>
      <c r="Q9737" s="20" t="str">
        <f>IFERROR(__xludf.DUMMYFUNCTION("""COMPUTED_VALUE"""),"")</f>
        <v/>
      </c>
      <c r="R9737" s="21" t="str">
        <f>IFERROR(__xludf.DUMMYFUNCTION("""COMPUTED_VALUE"""),"https://drive.google.com/file/d/10N4kW2UHAWa83HxQfyQ9ogqWRDFUntNt/view?usp=drivesdk")</f>
        <v>https://drive.google.com/file/d/10N4kW2UHAWa83HxQfyQ9ogqWRDFUntNt/view?usp=drivesdk</v>
      </c>
    </row>
    <row r="9738">
      <c r="A9738" s="15">
        <f>IFERROR(__xludf.DUMMYFUNCTION("""COMPUTED_VALUE"""),45275.0)</f>
        <v>45275</v>
      </c>
      <c r="B9738" s="16" t="str">
        <f>IFERROR(__xludf.DUMMYFUNCTION("""COMPUTED_VALUE"""),"Envia")</f>
        <v>Envia</v>
      </c>
      <c r="C9738" s="15" t="str">
        <f>IFERROR(__xludf.DUMMYFUNCTION("""COMPUTED_VALUE"""),"SANTA MARTA")</f>
        <v>SANTA MARTA</v>
      </c>
      <c r="D9738" s="15" t="str">
        <f>IFERROR(__xludf.DUMMYFUNCTION("""COMPUTED_VALUE"""),"MEDELLÍN")</f>
        <v>MEDELLÍN</v>
      </c>
      <c r="E9738" s="15" t="str">
        <f>IFERROR(__xludf.DUMMYFUNCTION("""COMPUTED_VALUE"""),"HELADERIA MAGDA")</f>
        <v>HELADERIA MAGDA</v>
      </c>
      <c r="F9738" s="17" t="str">
        <f>IFERROR(__xludf.DUMMYFUNCTION("""COMPUTED_VALUE"""),"CALLE 22 #6-82 / PLAZUELA 22 LOCAL 27")</f>
        <v>CALLE 22 #6-82 / PLAZUELA 22 LOCAL 27</v>
      </c>
      <c r="G9738" s="15" t="str">
        <f>IFERROR(__xludf.DUMMYFUNCTION("""COMPUTED_VALUE"""),"HELADERIA MAGDA SANTA MARTA")</f>
        <v>HELADERIA MAGDA SANTA MARTA</v>
      </c>
      <c r="H9738" s="16">
        <f>IFERROR(__xludf.DUMMYFUNCTION("""COMPUTED_VALUE"""),18404.0)</f>
        <v>18404</v>
      </c>
      <c r="I9738" s="17"/>
      <c r="J9738" s="17"/>
      <c r="K9738" s="17"/>
      <c r="L9738" s="17">
        <f>IFERROR(__xludf.DUMMYFUNCTION("""COMPUTED_VALUE"""),3.054269156E9)</f>
        <v>3054269156</v>
      </c>
      <c r="M9738" s="17"/>
      <c r="N9738" s="17"/>
      <c r="O9738" s="17"/>
      <c r="P9738" s="17" t="b">
        <f>IFERROR(__xludf.DUMMYFUNCTION("""COMPUTED_VALUE"""),FALSE)</f>
        <v>0</v>
      </c>
      <c r="Q9738" s="20" t="str">
        <f>IFERROR(__xludf.DUMMYFUNCTION("""COMPUTED_VALUE"""),"")</f>
        <v/>
      </c>
      <c r="R9738" s="21" t="str">
        <f>IFERROR(__xludf.DUMMYFUNCTION("""COMPUTED_VALUE"""),"https://drive.google.com/file/d/1cdLvoJSErwU-8dzdpKCPA4_W3ewuP-xH/view?usp=drivesdk")</f>
        <v>https://drive.google.com/file/d/1cdLvoJSErwU-8dzdpKCPA4_W3ewuP-xH/view?usp=drivesdk</v>
      </c>
    </row>
    <row r="9739">
      <c r="A9739" s="15">
        <f>IFERROR(__xludf.DUMMYFUNCTION("""COMPUTED_VALUE"""),45275.0)</f>
        <v>45275</v>
      </c>
      <c r="B9739" s="16" t="str">
        <f>IFERROR(__xludf.DUMMYFUNCTION("""COMPUTED_VALUE"""),"Envia")</f>
        <v>Envia</v>
      </c>
      <c r="C9739" s="15" t="str">
        <f>IFERROR(__xludf.DUMMYFUNCTION("""COMPUTED_VALUE"""),"SINCELEJO")</f>
        <v>SINCELEJO</v>
      </c>
      <c r="D9739" s="15" t="str">
        <f>IFERROR(__xludf.DUMMYFUNCTION("""COMPUTED_VALUE"""),"MEDELLÍN")</f>
        <v>MEDELLÍN</v>
      </c>
      <c r="E9739" s="15" t="str">
        <f>IFERROR(__xludf.DUMMYFUNCTION("""COMPUTED_VALUE"""),"Baby Chef")</f>
        <v>Baby Chef</v>
      </c>
      <c r="F9739" s="17" t="str">
        <f>IFERROR(__xludf.DUMMYFUNCTION("""COMPUTED_VALUE"""),"Cra 36 número 13-51 piso 1 barrio porvenir Sincelejo / . / .")</f>
        <v>Cra 36 número 13-51 piso 1 barrio porvenir Sincelejo / . / .</v>
      </c>
      <c r="G9739" s="15" t="str">
        <f>IFERROR(__xludf.DUMMYFUNCTION("""COMPUTED_VALUE"""),"Hania Rodríguez")</f>
        <v>Hania Rodríguez</v>
      </c>
      <c r="H9739" s="16">
        <f>IFERROR(__xludf.DUMMYFUNCTION("""COMPUTED_VALUE"""),18402.0)</f>
        <v>18402</v>
      </c>
      <c r="I9739" s="18">
        <f>IFERROR(__xludf.DUMMYFUNCTION("""COMPUTED_VALUE"""),7.0)</f>
        <v>7</v>
      </c>
      <c r="J9739" s="18">
        <f>IFERROR(__xludf.DUMMYFUNCTION("""COMPUTED_VALUE"""),21.0)</f>
        <v>21</v>
      </c>
      <c r="K9739" s="18">
        <f>IFERROR(__xludf.DUMMYFUNCTION("""COMPUTED_VALUE"""),35.0)</f>
        <v>35</v>
      </c>
      <c r="L9739" s="17">
        <f>IFERROR(__xludf.DUMMYFUNCTION("""COMPUTED_VALUE"""),3.005200997E9)</f>
        <v>3005200997</v>
      </c>
      <c r="M9739" s="17"/>
      <c r="N9739" s="17"/>
      <c r="O9739" s="17"/>
      <c r="P9739" s="17" t="b">
        <f>IFERROR(__xludf.DUMMYFUNCTION("""COMPUTED_VALUE"""),FALSE)</f>
        <v>0</v>
      </c>
      <c r="Q9739" s="20" t="str">
        <f>IFERROR(__xludf.DUMMYFUNCTION("""COMPUTED_VALUE"""),"")</f>
        <v/>
      </c>
      <c r="R9739" s="21" t="str">
        <f>IFERROR(__xludf.DUMMYFUNCTION("""COMPUTED_VALUE"""),"https://drive.google.com/file/d/1Qyb5ZRQGjdtTWDnQlhxQ2tcTYe5Roh5A/view?usp=drivesdk")</f>
        <v>https://drive.google.com/file/d/1Qyb5ZRQGjdtTWDnQlhxQ2tcTYe5Roh5A/view?usp=drivesdk</v>
      </c>
    </row>
    <row r="9740">
      <c r="A9740" s="17" t="str">
        <f>IFERROR(__xludf.DUMMYFUNCTION("""COMPUTED_VALUE"""),"")</f>
        <v/>
      </c>
      <c r="B9740" s="17" t="str">
        <f>IFERROR(__xludf.DUMMYFUNCTION("""COMPUTED_VALUE"""),"")</f>
        <v/>
      </c>
      <c r="C9740" s="17" t="str">
        <f>IFERROR(__xludf.DUMMYFUNCTION("""COMPUTED_VALUE"""),"")</f>
        <v/>
      </c>
      <c r="D9740" s="17" t="str">
        <f>IFERROR(__xludf.DUMMYFUNCTION("""COMPUTED_VALUE"""),"")</f>
        <v/>
      </c>
      <c r="E9740" s="17" t="str">
        <f>IFERROR(__xludf.DUMMYFUNCTION("""COMPUTED_VALUE"""),"")</f>
        <v/>
      </c>
      <c r="F9740" s="17" t="str">
        <f>IFERROR(__xludf.DUMMYFUNCTION("""COMPUTED_VALUE"""),"")</f>
        <v/>
      </c>
      <c r="G9740" s="17" t="str">
        <f>IFERROR(__xludf.DUMMYFUNCTION("""COMPUTED_VALUE"""),"")</f>
        <v/>
      </c>
      <c r="H9740" s="17" t="str">
        <f>IFERROR(__xludf.DUMMYFUNCTION("""COMPUTED_VALUE"""),"")</f>
        <v/>
      </c>
      <c r="I9740" s="17" t="str">
        <f>IFERROR(__xludf.DUMMYFUNCTION("""COMPUTED_VALUE"""),"")</f>
        <v/>
      </c>
      <c r="J9740" s="17" t="str">
        <f>IFERROR(__xludf.DUMMYFUNCTION("""COMPUTED_VALUE"""),"")</f>
        <v/>
      </c>
      <c r="K9740" s="17" t="str">
        <f>IFERROR(__xludf.DUMMYFUNCTION("""COMPUTED_VALUE"""),"")</f>
        <v/>
      </c>
      <c r="L9740" s="17" t="str">
        <f>IFERROR(__xludf.DUMMYFUNCTION("""COMPUTED_VALUE"""),"")</f>
        <v/>
      </c>
      <c r="M9740" s="17" t="str">
        <f>IFERROR(__xludf.DUMMYFUNCTION("""COMPUTED_VALUE"""),"")</f>
        <v/>
      </c>
      <c r="N9740" s="17" t="str">
        <f>IFERROR(__xludf.DUMMYFUNCTION("""COMPUTED_VALUE"""),"")</f>
        <v/>
      </c>
      <c r="O9740" s="17" t="str">
        <f>IFERROR(__xludf.DUMMYFUNCTION("""COMPUTED_VALUE"""),"")</f>
        <v/>
      </c>
      <c r="P9740" s="17" t="str">
        <f>IFERROR(__xludf.DUMMYFUNCTION("""COMPUTED_VALUE"""),"")</f>
        <v/>
      </c>
      <c r="Q9740" s="17" t="str">
        <f>IFERROR(__xludf.DUMMYFUNCTION("""COMPUTED_VALUE"""),"")</f>
        <v/>
      </c>
      <c r="R9740" s="17" t="str">
        <f>IFERROR(__xludf.DUMMYFUNCTION("""COMPUTED_VALUE"""),"")</f>
        <v/>
      </c>
    </row>
    <row r="9741">
      <c r="A9741" s="15">
        <f>IFERROR(__xludf.DUMMYFUNCTION("""COMPUTED_VALUE"""),45275.0)</f>
        <v>45275</v>
      </c>
      <c r="B9741" s="16" t="str">
        <f>IFERROR(__xludf.DUMMYFUNCTION("""COMPUTED_VALUE"""),"JOSE ALFREDO RAMIREZ VERGARA ")</f>
        <v>JOSE ALFREDO RAMIREZ VERGARA </v>
      </c>
      <c r="C9741" s="15" t="str">
        <f>IFERROR(__xludf.DUMMYFUNCTION("""COMPUTED_VALUE"""),"BOGOTÁ")</f>
        <v>BOGOTÁ</v>
      </c>
      <c r="D9741" s="15" t="str">
        <f>IFERROR(__xludf.DUMMYFUNCTION("""COMPUTED_VALUE"""),"CALI")</f>
        <v>CALI</v>
      </c>
      <c r="E9741" s="15" t="str">
        <f>IFERROR(__xludf.DUMMYFUNCTION("""COMPUTED_VALUE"""),"LINA PAOLA RAMIREZ GOMEZ - EVA MAZZITA")</f>
        <v>LINA PAOLA RAMIREZ GOMEZ - EVA MAZZITA</v>
      </c>
      <c r="F9741" s="17" t="str">
        <f>IFERROR(__xludf.DUMMYFUNCTION("""COMPUTED_VALUE"""),"CALLE 145 #57 36 / INT 12 AP 102")</f>
        <v>CALLE 145 #57 36 / INT 12 AP 102</v>
      </c>
      <c r="G9741" s="15" t="str">
        <f>IFERROR(__xludf.DUMMYFUNCTION("""COMPUTED_VALUE"""),"LINA PAOLA RAMIREZ")</f>
        <v>LINA PAOLA RAMIREZ</v>
      </c>
      <c r="H9741" s="16">
        <f>IFERROR(__xludf.DUMMYFUNCTION("""COMPUTED_VALUE"""),18430.0)</f>
        <v>18430</v>
      </c>
      <c r="I9741" s="17"/>
      <c r="J9741" s="17"/>
      <c r="K9741" s="17"/>
      <c r="L9741" s="17">
        <f>IFERROR(__xludf.DUMMYFUNCTION("""COMPUTED_VALUE"""),3.12327346E9)</f>
        <v>3123273460</v>
      </c>
      <c r="M9741" s="17"/>
      <c r="N9741" s="17"/>
      <c r="O9741" s="17"/>
      <c r="P9741" s="17" t="b">
        <f>IFERROR(__xludf.DUMMYFUNCTION("""COMPUTED_VALUE"""),FALSE)</f>
        <v>0</v>
      </c>
      <c r="Q9741" s="20" t="str">
        <f>IFERROR(__xludf.DUMMYFUNCTION("""COMPUTED_VALUE"""),"")</f>
        <v/>
      </c>
      <c r="R9741" s="21" t="str">
        <f>IFERROR(__xludf.DUMMYFUNCTION("""COMPUTED_VALUE"""),"https://drive.google.com/file/d/1O6ev4z56y2t2hNG76hKHFt0eHfGZtkPN/view?usp=drivesdk")</f>
        <v>https://drive.google.com/file/d/1O6ev4z56y2t2hNG76hKHFt0eHfGZtkPN/view?usp=drivesdk</v>
      </c>
    </row>
    <row r="9742">
      <c r="A9742" s="15">
        <f>IFERROR(__xludf.DUMMYFUNCTION("""COMPUTED_VALUE"""),45275.0)</f>
        <v>45275</v>
      </c>
      <c r="B9742" s="16" t="str">
        <f>IFERROR(__xludf.DUMMYFUNCTION("""COMPUTED_VALUE"""),"JOSE ALFREDO RAMIREZ VERGARA ")</f>
        <v>JOSE ALFREDO RAMIREZ VERGARA </v>
      </c>
      <c r="C9742" s="15" t="str">
        <f>IFERROR(__xludf.DUMMYFUNCTION("""COMPUTED_VALUE"""),"BOGOTÁ")</f>
        <v>BOGOTÁ</v>
      </c>
      <c r="D9742" s="15" t="str">
        <f>IFERROR(__xludf.DUMMYFUNCTION("""COMPUTED_VALUE"""),"ENVIGADO")</f>
        <v>ENVIGADO</v>
      </c>
      <c r="E9742" s="15" t="str">
        <f>IFERROR(__xludf.DUMMYFUNCTION("""COMPUTED_VALUE"""),"RAMBLA")</f>
        <v>RAMBLA</v>
      </c>
      <c r="F9742" s="17" t="str">
        <f>IFERROR(__xludf.DUMMYFUNCTION("""COMPUTED_VALUE"""),"Calle 24 80b 82")</f>
        <v>Calle 24 80b 82</v>
      </c>
      <c r="G9742" s="15" t="str">
        <f>IFERROR(__xludf.DUMMYFUNCTION("""COMPUTED_VALUE"""),"Mercado Origenes")</f>
        <v>Mercado Origenes</v>
      </c>
      <c r="H9742" s="16">
        <f>IFERROR(__xludf.DUMMYFUNCTION("""COMPUTED_VALUE"""),18436.0)</f>
        <v>18436</v>
      </c>
      <c r="I9742" s="17"/>
      <c r="J9742" s="17"/>
      <c r="K9742" s="17"/>
      <c r="L9742" s="17">
        <f>IFERROR(__xludf.DUMMYFUNCTION("""COMPUTED_VALUE"""),3.136299043E9)</f>
        <v>3136299043</v>
      </c>
      <c r="M9742" s="17"/>
      <c r="N9742" s="17"/>
      <c r="O9742" s="17"/>
      <c r="P9742" s="17" t="b">
        <f>IFERROR(__xludf.DUMMYFUNCTION("""COMPUTED_VALUE"""),FALSE)</f>
        <v>0</v>
      </c>
      <c r="Q9742" s="20" t="str">
        <f>IFERROR(__xludf.DUMMYFUNCTION("""COMPUTED_VALUE"""),"")</f>
        <v/>
      </c>
      <c r="R9742" s="21" t="str">
        <f>IFERROR(__xludf.DUMMYFUNCTION("""COMPUTED_VALUE"""),"https://drive.google.com/file/d/1aKxx8RPZO3R1iNI3r5GA4oWOnmlssm6s/view?usp=drivesdk")</f>
        <v>https://drive.google.com/file/d/1aKxx8RPZO3R1iNI3r5GA4oWOnmlssm6s/view?usp=drivesdk</v>
      </c>
    </row>
    <row r="9743">
      <c r="A9743" s="15">
        <f>IFERROR(__xludf.DUMMYFUNCTION("""COMPUTED_VALUE"""),45275.0)</f>
        <v>45275</v>
      </c>
      <c r="B9743" s="16" t="str">
        <f>IFERROR(__xludf.DUMMYFUNCTION("""COMPUTED_VALUE"""),"JOSE ALFREDO RAMIREZ VERGARA ")</f>
        <v>JOSE ALFREDO RAMIREZ VERGARA </v>
      </c>
      <c r="C9743" s="15" t="str">
        <f>IFERROR(__xludf.DUMMYFUNCTION("""COMPUTED_VALUE"""),"BOGOTÁ")</f>
        <v>BOGOTÁ</v>
      </c>
      <c r="D9743" s="15" t="str">
        <f>IFERROR(__xludf.DUMMYFUNCTION("""COMPUTED_VALUE"""),"ENVIGADO")</f>
        <v>ENVIGADO</v>
      </c>
      <c r="E9743" s="15" t="str">
        <f>IFERROR(__xludf.DUMMYFUNCTION("""COMPUTED_VALUE"""),"RAMBLA")</f>
        <v>RAMBLA</v>
      </c>
      <c r="F9743" s="17" t="str">
        <f>IFERROR(__xludf.DUMMYFUNCTION("""COMPUTED_VALUE"""),"Calle 77 # 9-20 apto 204 / Calle 77 # 9-20 apto 204")</f>
        <v>Calle 77 # 9-20 apto 204 / Calle 77 # 9-20 apto 204</v>
      </c>
      <c r="G9743" s="15" t="str">
        <f>IFERROR(__xludf.DUMMYFUNCTION("""COMPUTED_VALUE"""),"Carolina León")</f>
        <v>Carolina León</v>
      </c>
      <c r="H9743" s="16">
        <f>IFERROR(__xludf.DUMMYFUNCTION("""COMPUTED_VALUE"""),18435.0)</f>
        <v>18435</v>
      </c>
      <c r="I9743" s="17"/>
      <c r="J9743" s="17"/>
      <c r="K9743" s="17"/>
      <c r="L9743" s="17">
        <f>IFERROR(__xludf.DUMMYFUNCTION("""COMPUTED_VALUE"""),3.164698482E9)</f>
        <v>3164698482</v>
      </c>
      <c r="M9743" s="17"/>
      <c r="N9743" s="17"/>
      <c r="O9743" s="17"/>
      <c r="P9743" s="17" t="b">
        <f>IFERROR(__xludf.DUMMYFUNCTION("""COMPUTED_VALUE"""),FALSE)</f>
        <v>0</v>
      </c>
      <c r="Q9743" s="20" t="str">
        <f>IFERROR(__xludf.DUMMYFUNCTION("""COMPUTED_VALUE"""),"")</f>
        <v/>
      </c>
      <c r="R9743" s="21" t="str">
        <f>IFERROR(__xludf.DUMMYFUNCTION("""COMPUTED_VALUE"""),"https://drive.google.com/file/d/1mqg6M45_jJ91vJfXIqvRYpdLu0K1AfUc/view?usp=drivesdk")</f>
        <v>https://drive.google.com/file/d/1mqg6M45_jJ91vJfXIqvRYpdLu0K1AfUc/view?usp=drivesdk</v>
      </c>
    </row>
    <row r="9744">
      <c r="A9744" s="15">
        <f>IFERROR(__xludf.DUMMYFUNCTION("""COMPUTED_VALUE"""),45275.0)</f>
        <v>45275</v>
      </c>
      <c r="B9744" s="16" t="str">
        <f>IFERROR(__xludf.DUMMYFUNCTION("""COMPUTED_VALUE"""),"JOSE ALFREDO RAMIREZ VERGARA ")</f>
        <v>JOSE ALFREDO RAMIREZ VERGARA </v>
      </c>
      <c r="C9744" s="15" t="str">
        <f>IFERROR(__xludf.DUMMYFUNCTION("""COMPUTED_VALUE"""),"BOGOTÁ")</f>
        <v>BOGOTÁ</v>
      </c>
      <c r="D9744" s="15" t="str">
        <f>IFERROR(__xludf.DUMMYFUNCTION("""COMPUTED_VALUE"""),"MEDELLÍN")</f>
        <v>MEDELLÍN</v>
      </c>
      <c r="E9744" s="15" t="str">
        <f>IFERROR(__xludf.DUMMYFUNCTION("""COMPUTED_VALUE"""),"Goyo Todo por ellos")</f>
        <v>Goyo Todo por ellos</v>
      </c>
      <c r="F9744" s="17" t="str">
        <f>IFERROR(__xludf.DUMMYFUNCTION("""COMPUTED_VALUE"""),"Transversal 60 #104-94 / Clinica Veterinaria Morada / Puente largo Suba. Estación de transmilenio")</f>
        <v>Transversal 60 #104-94 / Clinica Veterinaria Morada / Puente largo Suba. Estación de transmilenio</v>
      </c>
      <c r="G9744" s="15" t="str">
        <f>IFERROR(__xludf.DUMMYFUNCTION("""COMPUTED_VALUE"""),"Valentína Martinez")</f>
        <v>Valentína Martinez</v>
      </c>
      <c r="H9744" s="16">
        <f>IFERROR(__xludf.DUMMYFUNCTION("""COMPUTED_VALUE"""),18422.0)</f>
        <v>18422</v>
      </c>
      <c r="I9744" s="18">
        <f>IFERROR(__xludf.DUMMYFUNCTION("""COMPUTED_VALUE"""),15.0)</f>
        <v>15</v>
      </c>
      <c r="J9744" s="18">
        <f>IFERROR(__xludf.DUMMYFUNCTION("""COMPUTED_VALUE"""),23.0)</f>
        <v>23</v>
      </c>
      <c r="K9744" s="18">
        <f>IFERROR(__xludf.DUMMYFUNCTION("""COMPUTED_VALUE"""),17.0)</f>
        <v>17</v>
      </c>
      <c r="L9744" s="17">
        <f>IFERROR(__xludf.DUMMYFUNCTION("""COMPUTED_VALUE"""),3.05801839E9)</f>
        <v>3058018390</v>
      </c>
      <c r="M9744" s="17"/>
      <c r="N9744" s="17"/>
      <c r="O9744" s="17"/>
      <c r="P9744" s="17" t="b">
        <f>IFERROR(__xludf.DUMMYFUNCTION("""COMPUTED_VALUE"""),FALSE)</f>
        <v>0</v>
      </c>
      <c r="Q9744" s="20" t="str">
        <f>IFERROR(__xludf.DUMMYFUNCTION("""COMPUTED_VALUE"""),"")</f>
        <v/>
      </c>
      <c r="R9744" s="21" t="str">
        <f>IFERROR(__xludf.DUMMYFUNCTION("""COMPUTED_VALUE"""),"https://drive.google.com/file/d/1Y31255BBzoP2QIoMwYw-Dp4F9WY5fztU/view?usp=drivesdk")</f>
        <v>https://drive.google.com/file/d/1Y31255BBzoP2QIoMwYw-Dp4F9WY5fztU/view?usp=drivesdk</v>
      </c>
    </row>
    <row r="9745">
      <c r="A9745" s="15">
        <f>IFERROR(__xludf.DUMMYFUNCTION("""COMPUTED_VALUE"""),45275.0)</f>
        <v>45275</v>
      </c>
      <c r="B9745" s="16" t="str">
        <f>IFERROR(__xludf.DUMMYFUNCTION("""COMPUTED_VALUE"""),"JOSE ALFREDO RAMIREZ VERGARA ")</f>
        <v>JOSE ALFREDO RAMIREZ VERGARA </v>
      </c>
      <c r="C9745" s="15" t="str">
        <f>IFERROR(__xludf.DUMMYFUNCTION("""COMPUTED_VALUE"""),"BOGOTÁ")</f>
        <v>BOGOTÁ</v>
      </c>
      <c r="D9745" s="15" t="str">
        <f>IFERROR(__xludf.DUMMYFUNCTION("""COMPUTED_VALUE"""),"MEDELLÍN")</f>
        <v>MEDELLÍN</v>
      </c>
      <c r="E9745" s="15" t="str">
        <f>IFERROR(__xludf.DUMMYFUNCTION("""COMPUTED_VALUE"""),"Moloso S.A.S")</f>
        <v>Moloso S.A.S</v>
      </c>
      <c r="F9745" s="17" t="str">
        <f>IFERROR(__xludf.DUMMYFUNCTION("""COMPUTED_VALUE"""),"CR 78AN 58M 88 SUR / BOGOTA ANDALUCIA")</f>
        <v>CR 78AN 58M 88 SUR / BOGOTA ANDALUCIA</v>
      </c>
      <c r="G9745" s="15" t="str">
        <f>IFERROR(__xludf.DUMMYFUNCTION("""COMPUTED_VALUE"""),"VANESSA BELTRAN BUITRAGO")</f>
        <v>VANESSA BELTRAN BUITRAGO</v>
      </c>
      <c r="H9745" s="16">
        <f>IFERROR(__xludf.DUMMYFUNCTION("""COMPUTED_VALUE"""),18432.0)</f>
        <v>18432</v>
      </c>
      <c r="I9745" s="17"/>
      <c r="J9745" s="17"/>
      <c r="K9745" s="17"/>
      <c r="L9745" s="17"/>
      <c r="M9745" s="17"/>
      <c r="N9745" s="17"/>
      <c r="O9745" s="17"/>
      <c r="P9745" s="17" t="b">
        <f>IFERROR(__xludf.DUMMYFUNCTION("""COMPUTED_VALUE"""),FALSE)</f>
        <v>0</v>
      </c>
      <c r="Q9745" s="20" t="str">
        <f>IFERROR(__xludf.DUMMYFUNCTION("""COMPUTED_VALUE"""),"")</f>
        <v/>
      </c>
      <c r="R9745" s="21" t="str">
        <f>IFERROR(__xludf.DUMMYFUNCTION("""COMPUTED_VALUE"""),"https://drive.google.com/file/d/12JgbFs3RmWf6VRTcSLCOqitEqLQwpQTp/view?usp=drivesdk")</f>
        <v>https://drive.google.com/file/d/12JgbFs3RmWf6VRTcSLCOqitEqLQwpQTp/view?usp=drivesdk</v>
      </c>
    </row>
    <row r="9746">
      <c r="A9746" s="17" t="str">
        <f>IFERROR(__xludf.DUMMYFUNCTION("""COMPUTED_VALUE"""),"")</f>
        <v/>
      </c>
      <c r="B9746" s="17" t="str">
        <f>IFERROR(__xludf.DUMMYFUNCTION("""COMPUTED_VALUE"""),"")</f>
        <v/>
      </c>
      <c r="C9746" s="17" t="str">
        <f>IFERROR(__xludf.DUMMYFUNCTION("""COMPUTED_VALUE"""),"")</f>
        <v/>
      </c>
      <c r="D9746" s="17" t="str">
        <f>IFERROR(__xludf.DUMMYFUNCTION("""COMPUTED_VALUE"""),"")</f>
        <v/>
      </c>
      <c r="E9746" s="17" t="str">
        <f>IFERROR(__xludf.DUMMYFUNCTION("""COMPUTED_VALUE"""),"")</f>
        <v/>
      </c>
      <c r="F9746" s="17" t="str">
        <f>IFERROR(__xludf.DUMMYFUNCTION("""COMPUTED_VALUE"""),"")</f>
        <v/>
      </c>
      <c r="G9746" s="17" t="str">
        <f>IFERROR(__xludf.DUMMYFUNCTION("""COMPUTED_VALUE"""),"")</f>
        <v/>
      </c>
      <c r="H9746" s="17" t="str">
        <f>IFERROR(__xludf.DUMMYFUNCTION("""COMPUTED_VALUE"""),"")</f>
        <v/>
      </c>
      <c r="I9746" s="17" t="str">
        <f>IFERROR(__xludf.DUMMYFUNCTION("""COMPUTED_VALUE"""),"")</f>
        <v/>
      </c>
      <c r="J9746" s="17" t="str">
        <f>IFERROR(__xludf.DUMMYFUNCTION("""COMPUTED_VALUE"""),"")</f>
        <v/>
      </c>
      <c r="K9746" s="17" t="str">
        <f>IFERROR(__xludf.DUMMYFUNCTION("""COMPUTED_VALUE"""),"")</f>
        <v/>
      </c>
      <c r="L9746" s="17" t="str">
        <f>IFERROR(__xludf.DUMMYFUNCTION("""COMPUTED_VALUE"""),"")</f>
        <v/>
      </c>
      <c r="M9746" s="17" t="str">
        <f>IFERROR(__xludf.DUMMYFUNCTION("""COMPUTED_VALUE"""),"")</f>
        <v/>
      </c>
      <c r="N9746" s="17" t="str">
        <f>IFERROR(__xludf.DUMMYFUNCTION("""COMPUTED_VALUE"""),"")</f>
        <v/>
      </c>
      <c r="O9746" s="17" t="str">
        <f>IFERROR(__xludf.DUMMYFUNCTION("""COMPUTED_VALUE"""),"")</f>
        <v/>
      </c>
      <c r="P9746" s="17" t="str">
        <f>IFERROR(__xludf.DUMMYFUNCTION("""COMPUTED_VALUE"""),"")</f>
        <v/>
      </c>
      <c r="Q9746" s="17" t="str">
        <f>IFERROR(__xludf.DUMMYFUNCTION("""COMPUTED_VALUE"""),"")</f>
        <v/>
      </c>
      <c r="R9746" s="17" t="str">
        <f>IFERROR(__xludf.DUMMYFUNCTION("""COMPUTED_VALUE"""),"")</f>
        <v/>
      </c>
    </row>
    <row r="9747">
      <c r="A9747" s="15">
        <f>IFERROR(__xludf.DUMMYFUNCTION("""COMPUTED_VALUE"""),45275.0)</f>
        <v>45275</v>
      </c>
      <c r="B9747" s="16" t="str">
        <f>IFERROR(__xludf.DUMMYFUNCTION("""COMPUTED_VALUE"""),"Kevin Andrés puerta Jaramillo")</f>
        <v>Kevin Andrés puerta Jaramillo</v>
      </c>
      <c r="C9747" s="15" t="str">
        <f>IFERROR(__xludf.DUMMYFUNCTION("""COMPUTED_VALUE"""),"MEDELLÍN")</f>
        <v>MEDELLÍN</v>
      </c>
      <c r="D9747" s="15" t="str">
        <f>IFERROR(__xludf.DUMMYFUNCTION("""COMPUTED_VALUE"""),"BOGOTÁ")</f>
        <v>BOGOTÁ</v>
      </c>
      <c r="E9747" s="15" t="str">
        <f>IFERROR(__xludf.DUMMYFUNCTION("""COMPUTED_VALUE"""),"FamiliaReal S.A.S")</f>
        <v>FamiliaReal S.A.S</v>
      </c>
      <c r="F9747" s="17" t="str">
        <f>IFERROR(__xludf.DUMMYFUNCTION("""COMPUTED_VALUE"""),"Carrera 41 # 57 sur 60 Urbanización Laurel apto 1205 / Urbanización Laurel apto 1205")</f>
        <v>Carrera 41 # 57 sur 60 Urbanización Laurel apto 1205 / Urbanización Laurel apto 1205</v>
      </c>
      <c r="G9747" s="15" t="str">
        <f>IFERROR(__xludf.DUMMYFUNCTION("""COMPUTED_VALUE"""),"Alejandra Bastidas")</f>
        <v>Alejandra Bastidas</v>
      </c>
      <c r="H9747" s="16">
        <f>IFERROR(__xludf.DUMMYFUNCTION("""COMPUTED_VALUE"""),18196.0)</f>
        <v>18196</v>
      </c>
      <c r="I9747" s="17"/>
      <c r="J9747" s="17"/>
      <c r="K9747" s="17"/>
      <c r="L9747" s="17">
        <f>IFERROR(__xludf.DUMMYFUNCTION("""COMPUTED_VALUE"""),3.107761095E9)</f>
        <v>3107761095</v>
      </c>
      <c r="M9747" s="17"/>
      <c r="N9747" s="17"/>
      <c r="O9747" s="17"/>
      <c r="P9747" s="17" t="b">
        <f>IFERROR(__xludf.DUMMYFUNCTION("""COMPUTED_VALUE"""),FALSE)</f>
        <v>0</v>
      </c>
      <c r="Q9747" s="20" t="str">
        <f>IFERROR(__xludf.DUMMYFUNCTION("""COMPUTED_VALUE"""),"")</f>
        <v/>
      </c>
      <c r="R9747" s="21" t="str">
        <f>IFERROR(__xludf.DUMMYFUNCTION("""COMPUTED_VALUE"""),"https://drive.google.com/file/d/1vLENi7SBD7Rh8JJmRqvIM0KNjA9GmD7o/view?usp=drivesdk")</f>
        <v>https://drive.google.com/file/d/1vLENi7SBD7Rh8JJmRqvIM0KNjA9GmD7o/view?usp=drivesdk</v>
      </c>
    </row>
    <row r="9748">
      <c r="A9748" s="15">
        <f>IFERROR(__xludf.DUMMYFUNCTION("""COMPUTED_VALUE"""),45275.0)</f>
        <v>45275</v>
      </c>
      <c r="B9748" s="16" t="str">
        <f>IFERROR(__xludf.DUMMYFUNCTION("""COMPUTED_VALUE"""),"Kevin Andrés puerta Jaramillo")</f>
        <v>Kevin Andrés puerta Jaramillo</v>
      </c>
      <c r="C9748" s="15" t="str">
        <f>IFERROR(__xludf.DUMMYFUNCTION("""COMPUTED_VALUE"""),"MEDELLÍN")</f>
        <v>MEDELLÍN</v>
      </c>
      <c r="D9748" s="15" t="str">
        <f>IFERROR(__xludf.DUMMYFUNCTION("""COMPUTED_VALUE"""),"BOGOTÁ")</f>
        <v>BOGOTÁ</v>
      </c>
      <c r="E9748" s="15" t="str">
        <f>IFERROR(__xludf.DUMMYFUNCTION("""COMPUTED_VALUE"""),"FamiliaReal S.A.S")</f>
        <v>FamiliaReal S.A.S</v>
      </c>
      <c r="F9748" s="17" t="str">
        <f>IFERROR(__xludf.DUMMYFUNCTION("""COMPUTED_VALUE"""),"Transversal 27A Sur #42-46 Torre 2 Apto 604 / Conjunto Residencial Villa Real.")</f>
        <v>Transversal 27A Sur #42-46 Torre 2 Apto 604 / Conjunto Residencial Villa Real.</v>
      </c>
      <c r="G9748" s="15" t="str">
        <f>IFERROR(__xludf.DUMMYFUNCTION("""COMPUTED_VALUE"""),"Clara Ines Bustamante Duque")</f>
        <v>Clara Ines Bustamante Duque</v>
      </c>
      <c r="H9748" s="16">
        <f>IFERROR(__xludf.DUMMYFUNCTION("""COMPUTED_VALUE"""),18198.0)</f>
        <v>18198</v>
      </c>
      <c r="I9748" s="17"/>
      <c r="J9748" s="17"/>
      <c r="K9748" s="17"/>
      <c r="L9748" s="17">
        <f>IFERROR(__xludf.DUMMYFUNCTION("""COMPUTED_VALUE"""),3.173660782E9)</f>
        <v>3173660782</v>
      </c>
      <c r="M9748" s="17"/>
      <c r="N9748" s="17"/>
      <c r="O9748" s="17"/>
      <c r="P9748" s="17" t="b">
        <f>IFERROR(__xludf.DUMMYFUNCTION("""COMPUTED_VALUE"""),FALSE)</f>
        <v>0</v>
      </c>
      <c r="Q9748" s="20" t="str">
        <f>IFERROR(__xludf.DUMMYFUNCTION("""COMPUTED_VALUE"""),"")</f>
        <v/>
      </c>
      <c r="R9748" s="21" t="str">
        <f>IFERROR(__xludf.DUMMYFUNCTION("""COMPUTED_VALUE"""),"https://drive.google.com/file/d/1tBonsed1mka_xS6ojgSD8qDAiitGSVU4/view?usp=drivesdk")</f>
        <v>https://drive.google.com/file/d/1tBonsed1mka_xS6ojgSD8qDAiitGSVU4/view?usp=drivesdk</v>
      </c>
    </row>
    <row r="9749">
      <c r="A9749" s="15">
        <f>IFERROR(__xludf.DUMMYFUNCTION("""COMPUTED_VALUE"""),45275.0)</f>
        <v>45275</v>
      </c>
      <c r="B9749" s="16" t="str">
        <f>IFERROR(__xludf.DUMMYFUNCTION("""COMPUTED_VALUE"""),"Kevin Andrés puerta Jaramillo")</f>
        <v>Kevin Andrés puerta Jaramillo</v>
      </c>
      <c r="C9749" s="15" t="str">
        <f>IFERROR(__xludf.DUMMYFUNCTION("""COMPUTED_VALUE"""),"MEDELLÍN")</f>
        <v>MEDELLÍN</v>
      </c>
      <c r="D9749" s="15" t="str">
        <f>IFERROR(__xludf.DUMMYFUNCTION("""COMPUTED_VALUE"""),"BOGOTÁ")</f>
        <v>BOGOTÁ</v>
      </c>
      <c r="E9749" s="15" t="str">
        <f>IFERROR(__xludf.DUMMYFUNCTION("""COMPUTED_VALUE"""),"Hiiva Fermentados SAS")</f>
        <v>Hiiva Fermentados SAS</v>
      </c>
      <c r="F9749" s="17" t="str">
        <f>IFERROR(__xludf.DUMMYFUNCTION("""COMPUTED_VALUE"""),"Transversal 39b#77-48 / int 302")</f>
        <v>Transversal 39b#77-48 / int 302</v>
      </c>
      <c r="G9749" s="15" t="str">
        <f>IFERROR(__xludf.DUMMYFUNCTION("""COMPUTED_VALUE"""),"Medellín - Vita Integral")</f>
        <v>Medellín - Vita Integral</v>
      </c>
      <c r="H9749" s="16">
        <f>IFERROR(__xludf.DUMMYFUNCTION("""COMPUTED_VALUE"""),18425.0)</f>
        <v>18425</v>
      </c>
      <c r="I9749" s="17"/>
      <c r="J9749" s="17"/>
      <c r="K9749" s="17"/>
      <c r="L9749" s="17">
        <f>IFERROR(__xludf.DUMMYFUNCTION("""COMPUTED_VALUE"""),3.188473468E9)</f>
        <v>3188473468</v>
      </c>
      <c r="M9749" s="17"/>
      <c r="N9749" s="17"/>
      <c r="O9749" s="17"/>
      <c r="P9749" s="17" t="b">
        <f>IFERROR(__xludf.DUMMYFUNCTION("""COMPUTED_VALUE"""),FALSE)</f>
        <v>0</v>
      </c>
      <c r="Q9749" s="20" t="str">
        <f>IFERROR(__xludf.DUMMYFUNCTION("""COMPUTED_VALUE"""),"")</f>
        <v/>
      </c>
      <c r="R9749" s="21" t="str">
        <f>IFERROR(__xludf.DUMMYFUNCTION("""COMPUTED_VALUE"""),"https://drive.google.com/file/d/1wPyrww6xo-lAF1ZSzDhU8Cy17sulam9Y/view?usp=drivesdk")</f>
        <v>https://drive.google.com/file/d/1wPyrww6xo-lAF1ZSzDhU8Cy17sulam9Y/view?usp=drivesdk</v>
      </c>
    </row>
    <row r="9750">
      <c r="A9750" s="15">
        <f>IFERROR(__xludf.DUMMYFUNCTION("""COMPUTED_VALUE"""),45275.0)</f>
        <v>45275</v>
      </c>
      <c r="B9750" s="16" t="str">
        <f>IFERROR(__xludf.DUMMYFUNCTION("""COMPUTED_VALUE"""),"Kevin Andrés puerta Jaramillo")</f>
        <v>Kevin Andrés puerta Jaramillo</v>
      </c>
      <c r="C9750" s="15" t="str">
        <f>IFERROR(__xludf.DUMMYFUNCTION("""COMPUTED_VALUE"""),"MEDELLÍN")</f>
        <v>MEDELLÍN</v>
      </c>
      <c r="D9750" s="15" t="str">
        <f>IFERROR(__xludf.DUMMYFUNCTION("""COMPUTED_VALUE"""),"BOGOTÁ")</f>
        <v>BOGOTÁ</v>
      </c>
      <c r="E9750" s="15" t="str">
        <f>IFERROR(__xludf.DUMMYFUNCTION("""COMPUTED_VALUE"""),"Lunchy Kids")</f>
        <v>Lunchy Kids</v>
      </c>
      <c r="F9750" s="17" t="str">
        <f>IFERROR(__xludf.DUMMYFUNCTION("""COMPUTED_VALUE"""),"Cra 47 # 27 sur - 59  / Unidad Jardines de Otraparte 2. Apto 606 / Jardines - Envigado")</f>
        <v>Cra 47 # 27 sur - 59  / Unidad Jardines de Otraparte 2. Apto 606 / Jardines - Envigado</v>
      </c>
      <c r="G9750" s="15" t="str">
        <f>IFERROR(__xludf.DUMMYFUNCTION("""COMPUTED_VALUE"""),"Natalia Goez")</f>
        <v>Natalia Goez</v>
      </c>
      <c r="H9750" s="16">
        <f>IFERROR(__xludf.DUMMYFUNCTION("""COMPUTED_VALUE"""),18231.0)</f>
        <v>18231</v>
      </c>
      <c r="I9750" s="18">
        <f>IFERROR(__xludf.DUMMYFUNCTION("""COMPUTED_VALUE"""),24.0)</f>
        <v>24</v>
      </c>
      <c r="J9750" s="18">
        <f>IFERROR(__xludf.DUMMYFUNCTION("""COMPUTED_VALUE"""),27.0)</f>
        <v>27</v>
      </c>
      <c r="K9750" s="18">
        <f>IFERROR(__xludf.DUMMYFUNCTION("""COMPUTED_VALUE"""),20.0)</f>
        <v>20</v>
      </c>
      <c r="L9750" s="17">
        <f>IFERROR(__xludf.DUMMYFUNCTION("""COMPUTED_VALUE"""),3.004638651E9)</f>
        <v>3004638651</v>
      </c>
      <c r="M9750" s="17"/>
      <c r="N9750" s="17"/>
      <c r="O9750" s="17"/>
      <c r="P9750" s="17" t="b">
        <f>IFERROR(__xludf.DUMMYFUNCTION("""COMPUTED_VALUE"""),FALSE)</f>
        <v>0</v>
      </c>
      <c r="Q9750" s="20" t="str">
        <f>IFERROR(__xludf.DUMMYFUNCTION("""COMPUTED_VALUE"""),"")</f>
        <v/>
      </c>
      <c r="R9750" s="21" t="str">
        <f>IFERROR(__xludf.DUMMYFUNCTION("""COMPUTED_VALUE"""),"https://drive.google.com/file/d/1CPYBCqxbfyiOfFnXtINNATnuIhwoSCu6/view?usp=drivesdk")</f>
        <v>https://drive.google.com/file/d/1CPYBCqxbfyiOfFnXtINNATnuIhwoSCu6/view?usp=drivesdk</v>
      </c>
    </row>
    <row r="9751">
      <c r="A9751" s="15">
        <f>IFERROR(__xludf.DUMMYFUNCTION("""COMPUTED_VALUE"""),45275.0)</f>
        <v>45275</v>
      </c>
      <c r="B9751" s="16" t="str">
        <f>IFERROR(__xludf.DUMMYFUNCTION("""COMPUTED_VALUE"""),"Kevin Andrés puerta Jaramillo")</f>
        <v>Kevin Andrés puerta Jaramillo</v>
      </c>
      <c r="C9751" s="15" t="str">
        <f>IFERROR(__xludf.DUMMYFUNCTION("""COMPUTED_VALUE"""),"MEDELLÍN")</f>
        <v>MEDELLÍN</v>
      </c>
      <c r="D9751" s="15" t="str">
        <f>IFERROR(__xludf.DUMMYFUNCTION("""COMPUTED_VALUE"""),"BOGOTÁ")</f>
        <v>BOGOTÁ</v>
      </c>
      <c r="E9751" s="15" t="str">
        <f>IFERROR(__xludf.DUMMYFUNCTION("""COMPUTED_VALUE"""),"Top Spun")</f>
        <v>Top Spun</v>
      </c>
      <c r="F9751" s="17" t="str">
        <f>IFERROR(__xludf.DUMMYFUNCTION("""COMPUTED_VALUE"""),"Calle 5 sur # 22-290 / Torre 1. 726 / Aguas del bosque")</f>
        <v>Calle 5 sur # 22-290 / Torre 1. 726 / Aguas del bosque</v>
      </c>
      <c r="G9751" s="15" t="str">
        <f>IFERROR(__xludf.DUMMYFUNCTION("""COMPUTED_VALUE"""),"Ana Catalina Mesa correa")</f>
        <v>Ana Catalina Mesa correa</v>
      </c>
      <c r="H9751" s="16">
        <f>IFERROR(__xludf.DUMMYFUNCTION("""COMPUTED_VALUE"""),18413.0)</f>
        <v>18413</v>
      </c>
      <c r="I9751" s="18">
        <f>IFERROR(__xludf.DUMMYFUNCTION("""COMPUTED_VALUE"""),20.0)</f>
        <v>20</v>
      </c>
      <c r="J9751" s="18">
        <f>IFERROR(__xludf.DUMMYFUNCTION("""COMPUTED_VALUE"""),10.0)</f>
        <v>10</v>
      </c>
      <c r="K9751" s="18">
        <f>IFERROR(__xludf.DUMMYFUNCTION("""COMPUTED_VALUE"""),40.0)</f>
        <v>40</v>
      </c>
      <c r="L9751" s="17">
        <f>IFERROR(__xludf.DUMMYFUNCTION("""COMPUTED_VALUE"""),3.176470162E9)</f>
        <v>3176470162</v>
      </c>
      <c r="M9751" s="17"/>
      <c r="N9751" s="17"/>
      <c r="O9751" s="17"/>
      <c r="P9751" s="17" t="b">
        <f>IFERROR(__xludf.DUMMYFUNCTION("""COMPUTED_VALUE"""),FALSE)</f>
        <v>0</v>
      </c>
      <c r="Q9751" s="20" t="str">
        <f>IFERROR(__xludf.DUMMYFUNCTION("""COMPUTED_VALUE"""),"")</f>
        <v/>
      </c>
      <c r="R9751" s="21" t="str">
        <f>IFERROR(__xludf.DUMMYFUNCTION("""COMPUTED_VALUE"""),"https://drive.google.com/file/d/12qWzHZUu_2jxdgMCdDoT4XlLYXEy6E6S/view?usp=drivesdk")</f>
        <v>https://drive.google.com/file/d/12qWzHZUu_2jxdgMCdDoT4XlLYXEy6E6S/view?usp=drivesdk</v>
      </c>
    </row>
    <row r="9752">
      <c r="A9752" s="15">
        <f>IFERROR(__xludf.DUMMYFUNCTION("""COMPUTED_VALUE"""),45275.0)</f>
        <v>45275</v>
      </c>
      <c r="B9752" s="16" t="str">
        <f>IFERROR(__xludf.DUMMYFUNCTION("""COMPUTED_VALUE"""),"Kevin Andrés puerta Jaramillo")</f>
        <v>Kevin Andrés puerta Jaramillo</v>
      </c>
      <c r="C9752" s="15" t="str">
        <f>IFERROR(__xludf.DUMMYFUNCTION("""COMPUTED_VALUE"""),"MEDELLÍN")</f>
        <v>MEDELLÍN</v>
      </c>
      <c r="D9752" s="15" t="str">
        <f>IFERROR(__xludf.DUMMYFUNCTION("""COMPUTED_VALUE"""),"BOGOTÁ")</f>
        <v>BOGOTÁ</v>
      </c>
      <c r="E9752" s="15" t="str">
        <f>IFERROR(__xludf.DUMMYFUNCTION("""COMPUTED_VALUE"""),"Top Spun")</f>
        <v>Top Spun</v>
      </c>
      <c r="F9752" s="17" t="str">
        <f>IFERROR(__xludf.DUMMYFUNCTION("""COMPUTED_VALUE"""),"Calle 54 # 81-48 / Ed Nogales, apto 601 / Barrio Calasanz")</f>
        <v>Calle 54 # 81-48 / Ed Nogales, apto 601 / Barrio Calasanz</v>
      </c>
      <c r="G9752" s="15" t="str">
        <f>IFERROR(__xludf.DUMMYFUNCTION("""COMPUTED_VALUE"""),"Natasha Mejia García")</f>
        <v>Natasha Mejia García</v>
      </c>
      <c r="H9752" s="16">
        <f>IFERROR(__xludf.DUMMYFUNCTION("""COMPUTED_VALUE"""),18414.0)</f>
        <v>18414</v>
      </c>
      <c r="I9752" s="18">
        <f>IFERROR(__xludf.DUMMYFUNCTION("""COMPUTED_VALUE"""),20.0)</f>
        <v>20</v>
      </c>
      <c r="J9752" s="18">
        <f>IFERROR(__xludf.DUMMYFUNCTION("""COMPUTED_VALUE"""),10.0)</f>
        <v>10</v>
      </c>
      <c r="K9752" s="18">
        <f>IFERROR(__xludf.DUMMYFUNCTION("""COMPUTED_VALUE"""),40.0)</f>
        <v>40</v>
      </c>
      <c r="L9752" s="17">
        <f>IFERROR(__xludf.DUMMYFUNCTION("""COMPUTED_VALUE"""),3.104000674E9)</f>
        <v>3104000674</v>
      </c>
      <c r="M9752" s="17"/>
      <c r="N9752" s="17"/>
      <c r="O9752" s="17"/>
      <c r="P9752" s="17" t="b">
        <f>IFERROR(__xludf.DUMMYFUNCTION("""COMPUTED_VALUE"""),FALSE)</f>
        <v>0</v>
      </c>
      <c r="Q9752" s="20" t="str">
        <f>IFERROR(__xludf.DUMMYFUNCTION("""COMPUTED_VALUE"""),"")</f>
        <v/>
      </c>
      <c r="R9752" s="21" t="str">
        <f>IFERROR(__xludf.DUMMYFUNCTION("""COMPUTED_VALUE"""),"https://drive.google.com/file/d/1KNiA0yy4UKNi48dAPkEWYc8kzN3ro614/view?usp=drivesdk")</f>
        <v>https://drive.google.com/file/d/1KNiA0yy4UKNi48dAPkEWYc8kzN3ro614/view?usp=drivesdk</v>
      </c>
    </row>
    <row r="9753">
      <c r="A9753" s="15">
        <f>IFERROR(__xludf.DUMMYFUNCTION("""COMPUTED_VALUE"""),45275.0)</f>
        <v>45275</v>
      </c>
      <c r="B9753" s="16" t="str">
        <f>IFERROR(__xludf.DUMMYFUNCTION("""COMPUTED_VALUE"""),"Kevin Andrés puerta Jaramillo")</f>
        <v>Kevin Andrés puerta Jaramillo</v>
      </c>
      <c r="C9753" s="15" t="str">
        <f>IFERROR(__xludf.DUMMYFUNCTION("""COMPUTED_VALUE"""),"MEDELLÍN")</f>
        <v>MEDELLÍN</v>
      </c>
      <c r="D9753" s="15" t="str">
        <f>IFERROR(__xludf.DUMMYFUNCTION("""COMPUTED_VALUE"""),"BOGOTÁ")</f>
        <v>BOGOTÁ</v>
      </c>
      <c r="E9753" s="15" t="str">
        <f>IFERROR(__xludf.DUMMYFUNCTION("""COMPUTED_VALUE"""),"Top Spun")</f>
        <v>Top Spun</v>
      </c>
      <c r="F9753" s="17" t="str">
        <f>IFERROR(__xludf.DUMMYFUNCTION("""COMPUTED_VALUE"""),"Carrera 29 C número 16 c sur 55 / Apto 802 /  edificio Cabo San Lucas")</f>
        <v>Carrera 29 C número 16 c sur 55 / Apto 802 /  edificio Cabo San Lucas</v>
      </c>
      <c r="G9753" s="15" t="str">
        <f>IFERROR(__xludf.DUMMYFUNCTION("""COMPUTED_VALUE"""),"Sara Sierra")</f>
        <v>Sara Sierra</v>
      </c>
      <c r="H9753" s="16">
        <f>IFERROR(__xludf.DUMMYFUNCTION("""COMPUTED_VALUE"""),18417.0)</f>
        <v>18417</v>
      </c>
      <c r="I9753" s="18">
        <f>IFERROR(__xludf.DUMMYFUNCTION("""COMPUTED_VALUE"""),20.0)</f>
        <v>20</v>
      </c>
      <c r="J9753" s="18">
        <f>IFERROR(__xludf.DUMMYFUNCTION("""COMPUTED_VALUE"""),10.0)</f>
        <v>10</v>
      </c>
      <c r="K9753" s="18">
        <f>IFERROR(__xludf.DUMMYFUNCTION("""COMPUTED_VALUE"""),40.0)</f>
        <v>40</v>
      </c>
      <c r="L9753" s="17">
        <f>IFERROR(__xludf.DUMMYFUNCTION("""COMPUTED_VALUE"""),3.166934794E9)</f>
        <v>3166934794</v>
      </c>
      <c r="M9753" s="17"/>
      <c r="N9753" s="17"/>
      <c r="O9753" s="17"/>
      <c r="P9753" s="17" t="b">
        <f>IFERROR(__xludf.DUMMYFUNCTION("""COMPUTED_VALUE"""),FALSE)</f>
        <v>0</v>
      </c>
      <c r="Q9753" s="20" t="str">
        <f>IFERROR(__xludf.DUMMYFUNCTION("""COMPUTED_VALUE"""),"")</f>
        <v/>
      </c>
      <c r="R9753" s="21" t="str">
        <f>IFERROR(__xludf.DUMMYFUNCTION("""COMPUTED_VALUE"""),"https://drive.google.com/file/d/1jblBCBBansouWLMb5461k2HFt-aZv9K2/view?usp=drivesdk")</f>
        <v>https://drive.google.com/file/d/1jblBCBBansouWLMb5461k2HFt-aZv9K2/view?usp=drivesdk</v>
      </c>
    </row>
    <row r="9754">
      <c r="A9754" s="15">
        <f>IFERROR(__xludf.DUMMYFUNCTION("""COMPUTED_VALUE"""),45275.0)</f>
        <v>45275</v>
      </c>
      <c r="B9754" s="16" t="str">
        <f>IFERROR(__xludf.DUMMYFUNCTION("""COMPUTED_VALUE"""),"Kevin Andrés puerta Jaramillo")</f>
        <v>Kevin Andrés puerta Jaramillo</v>
      </c>
      <c r="C9754" s="15" t="str">
        <f>IFERROR(__xludf.DUMMYFUNCTION("""COMPUTED_VALUE"""),"MEDELLÍN")</f>
        <v>MEDELLÍN</v>
      </c>
      <c r="D9754" s="15" t="str">
        <f>IFERROR(__xludf.DUMMYFUNCTION("""COMPUTED_VALUE"""),"BOGOTÁ")</f>
        <v>BOGOTÁ</v>
      </c>
      <c r="E9754" s="15" t="str">
        <f>IFERROR(__xludf.DUMMYFUNCTION("""COMPUTED_VALUE"""),"Top Spun")</f>
        <v>Top Spun</v>
      </c>
      <c r="F9754" s="17" t="str">
        <f>IFERROR(__xludf.DUMMYFUNCTION("""COMPUTED_VALUE"""),"Cra 20 #22sur -30 / Urb hacienda San José casa 131 / Envigado Antioquia")</f>
        <v>Cra 20 #22sur -30 / Urb hacienda San José casa 131 / Envigado Antioquia</v>
      </c>
      <c r="G9754" s="15" t="str">
        <f>IFERROR(__xludf.DUMMYFUNCTION("""COMPUTED_VALUE"""),"Natalia Salazar cadavid")</f>
        <v>Natalia Salazar cadavid</v>
      </c>
      <c r="H9754" s="16">
        <f>IFERROR(__xludf.DUMMYFUNCTION("""COMPUTED_VALUE"""),18415.0)</f>
        <v>18415</v>
      </c>
      <c r="I9754" s="18">
        <f>IFERROR(__xludf.DUMMYFUNCTION("""COMPUTED_VALUE"""),20.0)</f>
        <v>20</v>
      </c>
      <c r="J9754" s="18">
        <f>IFERROR(__xludf.DUMMYFUNCTION("""COMPUTED_VALUE"""),10.0)</f>
        <v>10</v>
      </c>
      <c r="K9754" s="18">
        <f>IFERROR(__xludf.DUMMYFUNCTION("""COMPUTED_VALUE"""),40.0)</f>
        <v>40</v>
      </c>
      <c r="L9754" s="17">
        <f>IFERROR(__xludf.DUMMYFUNCTION("""COMPUTED_VALUE"""),3.103595381E9)</f>
        <v>3103595381</v>
      </c>
      <c r="M9754" s="17"/>
      <c r="N9754" s="17"/>
      <c r="O9754" s="17"/>
      <c r="P9754" s="17" t="b">
        <f>IFERROR(__xludf.DUMMYFUNCTION("""COMPUTED_VALUE"""),FALSE)</f>
        <v>0</v>
      </c>
      <c r="Q9754" s="20" t="str">
        <f>IFERROR(__xludf.DUMMYFUNCTION("""COMPUTED_VALUE"""),"")</f>
        <v/>
      </c>
      <c r="R9754" s="21" t="str">
        <f>IFERROR(__xludf.DUMMYFUNCTION("""COMPUTED_VALUE"""),"https://drive.google.com/file/d/12JbXSjqT6iihvbenOCTtomSFnCipTo-U/view?usp=drivesdk")</f>
        <v>https://drive.google.com/file/d/12JbXSjqT6iihvbenOCTtomSFnCipTo-U/view?usp=drivesdk</v>
      </c>
    </row>
    <row r="9755">
      <c r="A9755" s="15">
        <f>IFERROR(__xludf.DUMMYFUNCTION("""COMPUTED_VALUE"""),45275.0)</f>
        <v>45275</v>
      </c>
      <c r="B9755" s="16" t="str">
        <f>IFERROR(__xludf.DUMMYFUNCTION("""COMPUTED_VALUE"""),"Kevin Andrés puerta Jaramillo")</f>
        <v>Kevin Andrés puerta Jaramillo</v>
      </c>
      <c r="C9755" s="15" t="str">
        <f>IFERROR(__xludf.DUMMYFUNCTION("""COMPUTED_VALUE"""),"MEDELLÍN")</f>
        <v>MEDELLÍN</v>
      </c>
      <c r="D9755" s="15" t="str">
        <f>IFERROR(__xludf.DUMMYFUNCTION("""COMPUTED_VALUE"""),"BOGOTÁ")</f>
        <v>BOGOTÁ</v>
      </c>
      <c r="E9755" s="15" t="str">
        <f>IFERROR(__xludf.DUMMYFUNCTION("""COMPUTED_VALUE"""),"Top Spun")</f>
        <v>Top Spun</v>
      </c>
      <c r="F9755" s="17" t="str">
        <f>IFERROR(__xludf.DUMMYFUNCTION("""COMPUTED_VALUE"""),"Cra 81b #7a - 40 / Urbanización villa Verde 1 / casa 21")</f>
        <v>Cra 81b #7a - 40 / Urbanización villa Verde 1 / casa 21</v>
      </c>
      <c r="G9755" s="15" t="str">
        <f>IFERROR(__xludf.DUMMYFUNCTION("""COMPUTED_VALUE"""),"Lina Martinez")</f>
        <v>Lina Martinez</v>
      </c>
      <c r="H9755" s="16">
        <f>IFERROR(__xludf.DUMMYFUNCTION("""COMPUTED_VALUE"""),18416.0)</f>
        <v>18416</v>
      </c>
      <c r="I9755" s="18">
        <f>IFERROR(__xludf.DUMMYFUNCTION("""COMPUTED_VALUE"""),20.0)</f>
        <v>20</v>
      </c>
      <c r="J9755" s="18">
        <f>IFERROR(__xludf.DUMMYFUNCTION("""COMPUTED_VALUE"""),10.0)</f>
        <v>10</v>
      </c>
      <c r="K9755" s="18">
        <f>IFERROR(__xludf.DUMMYFUNCTION("""COMPUTED_VALUE"""),40.0)</f>
        <v>40</v>
      </c>
      <c r="L9755" s="17">
        <f>IFERROR(__xludf.DUMMYFUNCTION("""COMPUTED_VALUE"""),3.007769222E9)</f>
        <v>3007769222</v>
      </c>
      <c r="M9755" s="17"/>
      <c r="N9755" s="17"/>
      <c r="O9755" s="17"/>
      <c r="P9755" s="17" t="b">
        <f>IFERROR(__xludf.DUMMYFUNCTION("""COMPUTED_VALUE"""),FALSE)</f>
        <v>0</v>
      </c>
      <c r="Q9755" s="20" t="str">
        <f>IFERROR(__xludf.DUMMYFUNCTION("""COMPUTED_VALUE"""),"")</f>
        <v/>
      </c>
      <c r="R9755" s="21" t="str">
        <f>IFERROR(__xludf.DUMMYFUNCTION("""COMPUTED_VALUE"""),"https://drive.google.com/file/d/1wPD7IUpGoXKZxSTu6UPDPCX1rKO3uKr8/view?usp=drivesdk")</f>
        <v>https://drive.google.com/file/d/1wPD7IUpGoXKZxSTu6UPDPCX1rKO3uKr8/view?usp=drivesdk</v>
      </c>
    </row>
    <row r="9756">
      <c r="A9756" s="15">
        <f>IFERROR(__xludf.DUMMYFUNCTION("""COMPUTED_VALUE"""),45275.0)</f>
        <v>45275</v>
      </c>
      <c r="B9756" s="16" t="str">
        <f>IFERROR(__xludf.DUMMYFUNCTION("""COMPUTED_VALUE"""),"Kevin Andrés puerta Jaramillo")</f>
        <v>Kevin Andrés puerta Jaramillo</v>
      </c>
      <c r="C9756" s="15" t="str">
        <f>IFERROR(__xludf.DUMMYFUNCTION("""COMPUTED_VALUE"""),"MEDELLÍN")</f>
        <v>MEDELLÍN</v>
      </c>
      <c r="D9756" s="15" t="str">
        <f>IFERROR(__xludf.DUMMYFUNCTION("""COMPUTED_VALUE"""),"BOGOTÁ")</f>
        <v>BOGOTÁ</v>
      </c>
      <c r="E9756" s="15" t="str">
        <f>IFERROR(__xludf.DUMMYFUNCTION("""COMPUTED_VALUE"""),"Ventura Productos Arg")</f>
        <v>Ventura Productos Arg</v>
      </c>
      <c r="F9756" s="17" t="str">
        <f>IFERROR(__xludf.DUMMYFUNCTION("""COMPUTED_VALUE"""),"Cra 54# 4-36 / Cra 54# 4-36 casa, piso 2")</f>
        <v>Cra 54# 4-36 / Cra 54# 4-36 casa, piso 2</v>
      </c>
      <c r="G9756" s="15" t="str">
        <f>IFERROR(__xludf.DUMMYFUNCTION("""COMPUTED_VALUE"""),"Andrea Moreno")</f>
        <v>Andrea Moreno</v>
      </c>
      <c r="H9756" s="16">
        <f>IFERROR(__xludf.DUMMYFUNCTION("""COMPUTED_VALUE"""),18399.0)</f>
        <v>18399</v>
      </c>
      <c r="I9756" s="17"/>
      <c r="J9756" s="17"/>
      <c r="K9756" s="17"/>
      <c r="L9756" s="17">
        <f>IFERROR(__xludf.DUMMYFUNCTION("""COMPUTED_VALUE"""),3.043734247E9)</f>
        <v>3043734247</v>
      </c>
      <c r="M9756" s="17"/>
      <c r="N9756" s="17"/>
      <c r="O9756" s="17"/>
      <c r="P9756" s="17" t="b">
        <f>IFERROR(__xludf.DUMMYFUNCTION("""COMPUTED_VALUE"""),FALSE)</f>
        <v>0</v>
      </c>
      <c r="Q9756" s="20" t="str">
        <f>IFERROR(__xludf.DUMMYFUNCTION("""COMPUTED_VALUE"""),"")</f>
        <v/>
      </c>
      <c r="R9756" s="21" t="str">
        <f>IFERROR(__xludf.DUMMYFUNCTION("""COMPUTED_VALUE"""),"https://drive.google.com/file/d/1MRtpzQptm416FG-vtjvMtGj8xXZHaq8U/view?usp=drivesdk")</f>
        <v>https://drive.google.com/file/d/1MRtpzQptm416FG-vtjvMtGj8xXZHaq8U/view?usp=drivesdk</v>
      </c>
    </row>
    <row r="9757">
      <c r="A9757" s="17" t="str">
        <f>IFERROR(__xludf.DUMMYFUNCTION("""COMPUTED_VALUE"""),"")</f>
        <v/>
      </c>
      <c r="B9757" s="17" t="str">
        <f>IFERROR(__xludf.DUMMYFUNCTION("""COMPUTED_VALUE"""),"")</f>
        <v/>
      </c>
      <c r="C9757" s="17" t="str">
        <f>IFERROR(__xludf.DUMMYFUNCTION("""COMPUTED_VALUE"""),"")</f>
        <v/>
      </c>
      <c r="D9757" s="17" t="str">
        <f>IFERROR(__xludf.DUMMYFUNCTION("""COMPUTED_VALUE"""),"")</f>
        <v/>
      </c>
      <c r="E9757" s="17" t="str">
        <f>IFERROR(__xludf.DUMMYFUNCTION("""COMPUTED_VALUE"""),"")</f>
        <v/>
      </c>
      <c r="F9757" s="17" t="str">
        <f>IFERROR(__xludf.DUMMYFUNCTION("""COMPUTED_VALUE"""),"")</f>
        <v/>
      </c>
      <c r="G9757" s="17" t="str">
        <f>IFERROR(__xludf.DUMMYFUNCTION("""COMPUTED_VALUE"""),"")</f>
        <v/>
      </c>
      <c r="H9757" s="17" t="str">
        <f>IFERROR(__xludf.DUMMYFUNCTION("""COMPUTED_VALUE"""),"")</f>
        <v/>
      </c>
      <c r="I9757" s="17" t="str">
        <f>IFERROR(__xludf.DUMMYFUNCTION("""COMPUTED_VALUE"""),"")</f>
        <v/>
      </c>
      <c r="J9757" s="17" t="str">
        <f>IFERROR(__xludf.DUMMYFUNCTION("""COMPUTED_VALUE"""),"")</f>
        <v/>
      </c>
      <c r="K9757" s="17" t="str">
        <f>IFERROR(__xludf.DUMMYFUNCTION("""COMPUTED_VALUE"""),"")</f>
        <v/>
      </c>
      <c r="L9757" s="17" t="str">
        <f>IFERROR(__xludf.DUMMYFUNCTION("""COMPUTED_VALUE"""),"")</f>
        <v/>
      </c>
      <c r="M9757" s="17" t="str">
        <f>IFERROR(__xludf.DUMMYFUNCTION("""COMPUTED_VALUE"""),"")</f>
        <v/>
      </c>
      <c r="N9757" s="17" t="str">
        <f>IFERROR(__xludf.DUMMYFUNCTION("""COMPUTED_VALUE"""),"")</f>
        <v/>
      </c>
      <c r="O9757" s="17" t="str">
        <f>IFERROR(__xludf.DUMMYFUNCTION("""COMPUTED_VALUE"""),"")</f>
        <v/>
      </c>
      <c r="P9757" s="17" t="str">
        <f>IFERROR(__xludf.DUMMYFUNCTION("""COMPUTED_VALUE"""),"")</f>
        <v/>
      </c>
      <c r="Q9757" s="17" t="str">
        <f>IFERROR(__xludf.DUMMYFUNCTION("""COMPUTED_VALUE"""),"")</f>
        <v/>
      </c>
      <c r="R9757" s="17" t="str">
        <f>IFERROR(__xludf.DUMMYFUNCTION("""COMPUTED_VALUE"""),"")</f>
        <v/>
      </c>
    </row>
    <row r="9758">
      <c r="A9758" s="15">
        <f>IFERROR(__xludf.DUMMYFUNCTION("""COMPUTED_VALUE"""),45275.0)</f>
        <v>45275</v>
      </c>
      <c r="B9758" s="16" t="str">
        <f>IFERROR(__xludf.DUMMYFUNCTION("""COMPUTED_VALUE"""),"Lina Gaona")</f>
        <v>Lina Gaona</v>
      </c>
      <c r="C9758" s="15" t="str">
        <f>IFERROR(__xludf.DUMMYFUNCTION("""COMPUTED_VALUE"""),"CÚCUTA")</f>
        <v>CÚCUTA</v>
      </c>
      <c r="D9758" s="15" t="str">
        <f>IFERROR(__xludf.DUMMYFUNCTION("""COMPUTED_VALUE"""),"BOGOTÁ")</f>
        <v>BOGOTÁ</v>
      </c>
      <c r="E9758" s="15" t="str">
        <f>IFERROR(__xludf.DUMMYFUNCTION("""COMPUTED_VALUE"""),"LINA PAOLA RAMIREZ GOMEZ - EVA MAZZITA")</f>
        <v>LINA PAOLA RAMIREZ GOMEZ - EVA MAZZITA</v>
      </c>
      <c r="F9758" s="17" t="str">
        <f>IFERROR(__xludf.DUMMYFUNCTION("""COMPUTED_VALUE"""),"Av 2E # 15A -17 Caobos / Caobos")</f>
        <v>Av 2E # 15A -17 Caobos / Caobos</v>
      </c>
      <c r="G9758" s="15" t="str">
        <f>IFERROR(__xludf.DUMMYFUNCTION("""COMPUTED_VALUE"""),"DACCY KARINA LOPEZ MORENO")</f>
        <v>DACCY KARINA LOPEZ MORENO</v>
      </c>
      <c r="H9758" s="16">
        <f>IFERROR(__xludf.DUMMYFUNCTION("""COMPUTED_VALUE"""),18391.0)</f>
        <v>18391</v>
      </c>
      <c r="I9758" s="17"/>
      <c r="J9758" s="17"/>
      <c r="K9758" s="17"/>
      <c r="L9758" s="17">
        <f>IFERROR(__xludf.DUMMYFUNCTION("""COMPUTED_VALUE"""),3.208615379E9)</f>
        <v>3208615379</v>
      </c>
      <c r="M9758" s="17"/>
      <c r="N9758" s="17"/>
      <c r="O9758" s="17"/>
      <c r="P9758" s="17" t="b">
        <f>IFERROR(__xludf.DUMMYFUNCTION("""COMPUTED_VALUE"""),FALSE)</f>
        <v>0</v>
      </c>
      <c r="Q9758" s="20" t="str">
        <f>IFERROR(__xludf.DUMMYFUNCTION("""COMPUTED_VALUE"""),"")</f>
        <v/>
      </c>
      <c r="R9758" s="21" t="str">
        <f>IFERROR(__xludf.DUMMYFUNCTION("""COMPUTED_VALUE"""),"https://drive.google.com/file/d/1X6QQb-2M9-GmNaJytDQk11K2WeHXLfVh/view?usp=drivesdk")</f>
        <v>https://drive.google.com/file/d/1X6QQb-2M9-GmNaJytDQk11K2WeHXLfVh/view?usp=drivesdk</v>
      </c>
    </row>
    <row r="9759">
      <c r="A9759" s="15">
        <f>IFERROR(__xludf.DUMMYFUNCTION("""COMPUTED_VALUE"""),45275.0)</f>
        <v>45275</v>
      </c>
      <c r="B9759" s="16" t="str">
        <f>IFERROR(__xludf.DUMMYFUNCTION("""COMPUTED_VALUE"""),"Lina Gaona")</f>
        <v>Lina Gaona</v>
      </c>
      <c r="C9759" s="15" t="str">
        <f>IFERROR(__xludf.DUMMYFUNCTION("""COMPUTED_VALUE"""),"CÚCUTA")</f>
        <v>CÚCUTA</v>
      </c>
      <c r="D9759" s="15" t="str">
        <f>IFERROR(__xludf.DUMMYFUNCTION("""COMPUTED_VALUE"""),"BOGOTÁ")</f>
        <v>BOGOTÁ</v>
      </c>
      <c r="E9759" s="15" t="str">
        <f>IFERROR(__xludf.DUMMYFUNCTION("""COMPUTED_VALUE"""),"PAN DE WAFFLE")</f>
        <v>PAN DE WAFFLE</v>
      </c>
      <c r="F9759" s="17" t="str">
        <f>IFERROR(__xludf.DUMMYFUNCTION("""COMPUTED_VALUE"""),"Avenida 3e # 6cn - 12 Ceiba 2 / Avenida 3e # 6cn - 12 Ceiba 2")</f>
        <v>Avenida 3e # 6cn - 12 Ceiba 2 / Avenida 3e # 6cn - 12 Ceiba 2</v>
      </c>
      <c r="G9759" s="15" t="str">
        <f>IFERROR(__xludf.DUMMYFUNCTION("""COMPUTED_VALUE"""),"LA BODEGUITA MARKET FIT")</f>
        <v>LA BODEGUITA MARKET FIT</v>
      </c>
      <c r="H9759" s="16">
        <f>IFERROR(__xludf.DUMMYFUNCTION("""COMPUTED_VALUE"""),18256.0)</f>
        <v>18256</v>
      </c>
      <c r="I9759" s="17"/>
      <c r="J9759" s="17"/>
      <c r="K9759" s="17"/>
      <c r="L9759" s="17"/>
      <c r="M9759" s="17"/>
      <c r="N9759" s="17"/>
      <c r="O9759" s="17"/>
      <c r="P9759" s="17" t="b">
        <f>IFERROR(__xludf.DUMMYFUNCTION("""COMPUTED_VALUE"""),FALSE)</f>
        <v>0</v>
      </c>
      <c r="Q9759" s="20" t="str">
        <f>IFERROR(__xludf.DUMMYFUNCTION("""COMPUTED_VALUE"""),"")</f>
        <v/>
      </c>
      <c r="R9759" s="21" t="str">
        <f>IFERROR(__xludf.DUMMYFUNCTION("""COMPUTED_VALUE"""),"https://drive.google.com/file/d/1q2GFUMy-cSpmVcLz00ojKeHZelQScg3E/view?usp=drivesdk")</f>
        <v>https://drive.google.com/file/d/1q2GFUMy-cSpmVcLz00ojKeHZelQScg3E/view?usp=drivesdk</v>
      </c>
    </row>
    <row r="9760">
      <c r="A9760" s="15">
        <f>IFERROR(__xludf.DUMMYFUNCTION("""COMPUTED_VALUE"""),45275.0)</f>
        <v>45275</v>
      </c>
      <c r="B9760" s="16" t="str">
        <f>IFERROR(__xludf.DUMMYFUNCTION("""COMPUTED_VALUE"""),"Lina Gaona")</f>
        <v>Lina Gaona</v>
      </c>
      <c r="C9760" s="15" t="str">
        <f>IFERROR(__xludf.DUMMYFUNCTION("""COMPUTED_VALUE"""),"CÚCUTA")</f>
        <v>CÚCUTA</v>
      </c>
      <c r="D9760" s="15" t="str">
        <f>IFERROR(__xludf.DUMMYFUNCTION("""COMPUTED_VALUE"""),"ENVIGADO")</f>
        <v>ENVIGADO</v>
      </c>
      <c r="E9760" s="15" t="str">
        <f>IFERROR(__xludf.DUMMYFUNCTION("""COMPUTED_VALUE"""),"RAMBLA")</f>
        <v>RAMBLA</v>
      </c>
      <c r="F9760" s="17" t="str">
        <f>IFERROR(__xludf.DUMMYFUNCTION("""COMPUTED_VALUE"""),"Avenida 2e con 14a-32")</f>
        <v>Avenida 2e con 14a-32</v>
      </c>
      <c r="G9760" s="15" t="str">
        <f>IFERROR(__xludf.DUMMYFUNCTION("""COMPUTED_VALUE"""),"Jengibre")</f>
        <v>Jengibre</v>
      </c>
      <c r="H9760" s="16">
        <f>IFERROR(__xludf.DUMMYFUNCTION("""COMPUTED_VALUE"""),18373.0)</f>
        <v>18373</v>
      </c>
      <c r="I9760" s="17"/>
      <c r="J9760" s="17"/>
      <c r="K9760" s="17"/>
      <c r="L9760" s="17">
        <f>IFERROR(__xludf.DUMMYFUNCTION("""COMPUTED_VALUE"""),3.005618715E9)</f>
        <v>3005618715</v>
      </c>
      <c r="M9760" s="17"/>
      <c r="N9760" s="17"/>
      <c r="O9760" s="17"/>
      <c r="P9760" s="17" t="b">
        <f>IFERROR(__xludf.DUMMYFUNCTION("""COMPUTED_VALUE"""),FALSE)</f>
        <v>0</v>
      </c>
      <c r="Q9760" s="20" t="str">
        <f>IFERROR(__xludf.DUMMYFUNCTION("""COMPUTED_VALUE"""),"")</f>
        <v/>
      </c>
      <c r="R9760" s="21" t="str">
        <f>IFERROR(__xludf.DUMMYFUNCTION("""COMPUTED_VALUE"""),"https://drive.google.com/file/d/1h4G02WgEAywTvwKjIvtxfg5WoQvCXLm2/view?usp=drivesdk")</f>
        <v>https://drive.google.com/file/d/1h4G02WgEAywTvwKjIvtxfg5WoQvCXLm2/view?usp=drivesdk</v>
      </c>
    </row>
    <row r="9761">
      <c r="A9761" s="15">
        <f>IFERROR(__xludf.DUMMYFUNCTION("""COMPUTED_VALUE"""),45275.0)</f>
        <v>45275</v>
      </c>
      <c r="B9761" s="16" t="str">
        <f>IFERROR(__xludf.DUMMYFUNCTION("""COMPUTED_VALUE"""),"Lina Gaona")</f>
        <v>Lina Gaona</v>
      </c>
      <c r="C9761" s="15" t="str">
        <f>IFERROR(__xludf.DUMMYFUNCTION("""COMPUTED_VALUE"""),"CÚCUTA")</f>
        <v>CÚCUTA</v>
      </c>
      <c r="D9761" s="15" t="str">
        <f>IFERROR(__xludf.DUMMYFUNCTION("""COMPUTED_VALUE"""),"ENVIGADO")</f>
        <v>ENVIGADO</v>
      </c>
      <c r="E9761" s="15" t="str">
        <f>IFERROR(__xludf.DUMMYFUNCTION("""COMPUTED_VALUE"""),"RAMBLA")</f>
        <v>RAMBLA</v>
      </c>
      <c r="F9761" s="17" t="str">
        <f>IFERROR(__xludf.DUMMYFUNCTION("""COMPUTED_VALUE"""),"Avenida 9e # 7-12")</f>
        <v>Avenida 9e # 7-12</v>
      </c>
      <c r="G9761" s="15" t="str">
        <f>IFERROR(__xludf.DUMMYFUNCTION("""COMPUTED_VALUE"""),"Sexto sentido")</f>
        <v>Sexto sentido</v>
      </c>
      <c r="H9761" s="16">
        <f>IFERROR(__xludf.DUMMYFUNCTION("""COMPUTED_VALUE"""),18374.0)</f>
        <v>18374</v>
      </c>
      <c r="I9761" s="17"/>
      <c r="J9761" s="17"/>
      <c r="K9761" s="17"/>
      <c r="L9761" s="17">
        <f>IFERROR(__xludf.DUMMYFUNCTION("""COMPUTED_VALUE"""),3.154996494E9)</f>
        <v>3154996494</v>
      </c>
      <c r="M9761" s="17"/>
      <c r="N9761" s="17"/>
      <c r="O9761" s="17"/>
      <c r="P9761" s="17" t="b">
        <f>IFERROR(__xludf.DUMMYFUNCTION("""COMPUTED_VALUE"""),FALSE)</f>
        <v>0</v>
      </c>
      <c r="Q9761" s="20" t="str">
        <f>IFERROR(__xludf.DUMMYFUNCTION("""COMPUTED_VALUE"""),"")</f>
        <v/>
      </c>
      <c r="R9761" s="21" t="str">
        <f>IFERROR(__xludf.DUMMYFUNCTION("""COMPUTED_VALUE"""),"https://drive.google.com/file/d/1b0geamHSvxAK16MmDL8K4k4wwHxSXKfx/view?usp=drivesdk")</f>
        <v>https://drive.google.com/file/d/1b0geamHSvxAK16MmDL8K4k4wwHxSXKfx/view?usp=drivesdk</v>
      </c>
    </row>
    <row r="9762">
      <c r="A9762" s="15">
        <f>IFERROR(__xludf.DUMMYFUNCTION("""COMPUTED_VALUE"""),45275.0)</f>
        <v>45275</v>
      </c>
      <c r="B9762" s="16" t="str">
        <f>IFERROR(__xludf.DUMMYFUNCTION("""COMPUTED_VALUE"""),"Lina Gaona")</f>
        <v>Lina Gaona</v>
      </c>
      <c r="C9762" s="15" t="str">
        <f>IFERROR(__xludf.DUMMYFUNCTION("""COMPUTED_VALUE"""),"CÚCUTA")</f>
        <v>CÚCUTA</v>
      </c>
      <c r="D9762" s="15" t="str">
        <f>IFERROR(__xludf.DUMMYFUNCTION("""COMPUTED_VALUE"""),"ENVIGADO")</f>
        <v>ENVIGADO</v>
      </c>
      <c r="E9762" s="15" t="str">
        <f>IFERROR(__xludf.DUMMYFUNCTION("""COMPUTED_VALUE"""),"RAMBLA")</f>
        <v>RAMBLA</v>
      </c>
      <c r="F9762" s="17" t="str">
        <f>IFERROR(__xludf.DUMMYFUNCTION("""COMPUTED_VALUE"""),"Centro comercial bolívar local I-1 / Al lado del tizón del gordo")</f>
        <v>Centro comercial bolívar local I-1 / Al lado del tizón del gordo</v>
      </c>
      <c r="G9762" s="15" t="str">
        <f>IFERROR(__xludf.DUMMYFUNCTION("""COMPUTED_VALUE"""),"ARKHE COWORKING")</f>
        <v>ARKHE COWORKING</v>
      </c>
      <c r="H9762" s="16">
        <f>IFERROR(__xludf.DUMMYFUNCTION("""COMPUTED_VALUE"""),18379.0)</f>
        <v>18379</v>
      </c>
      <c r="I9762" s="17"/>
      <c r="J9762" s="17"/>
      <c r="K9762" s="17"/>
      <c r="L9762" s="17">
        <f>IFERROR(__xludf.DUMMYFUNCTION("""COMPUTED_VALUE"""),3.183773388E9)</f>
        <v>3183773388</v>
      </c>
      <c r="M9762" s="17"/>
      <c r="N9762" s="17"/>
      <c r="O9762" s="17"/>
      <c r="P9762" s="17" t="b">
        <f>IFERROR(__xludf.DUMMYFUNCTION("""COMPUTED_VALUE"""),FALSE)</f>
        <v>0</v>
      </c>
      <c r="Q9762" s="20" t="str">
        <f>IFERROR(__xludf.DUMMYFUNCTION("""COMPUTED_VALUE"""),"")</f>
        <v/>
      </c>
      <c r="R9762" s="21" t="str">
        <f>IFERROR(__xludf.DUMMYFUNCTION("""COMPUTED_VALUE"""),"https://drive.google.com/file/d/1b82GnHzj0am5nQ4D9rFlqkou6XLsPJ64/view?usp=drivesdk")</f>
        <v>https://drive.google.com/file/d/1b82GnHzj0am5nQ4D9rFlqkou6XLsPJ64/view?usp=drivesdk</v>
      </c>
    </row>
    <row r="9763">
      <c r="A9763" s="15">
        <f>IFERROR(__xludf.DUMMYFUNCTION("""COMPUTED_VALUE"""),45275.0)</f>
        <v>45275</v>
      </c>
      <c r="B9763" s="16" t="str">
        <f>IFERROR(__xludf.DUMMYFUNCTION("""COMPUTED_VALUE"""),"Lina Gaona")</f>
        <v>Lina Gaona</v>
      </c>
      <c r="C9763" s="15" t="str">
        <f>IFERROR(__xludf.DUMMYFUNCTION("""COMPUTED_VALUE"""),"CÚCUTA")</f>
        <v>CÚCUTA</v>
      </c>
      <c r="D9763" s="15" t="str">
        <f>IFERROR(__xludf.DUMMYFUNCTION("""COMPUTED_VALUE"""),"MEDELLÍN")</f>
        <v>MEDELLÍN</v>
      </c>
      <c r="E9763" s="15" t="str">
        <f>IFERROR(__xludf.DUMMYFUNCTION("""COMPUTED_VALUE"""),"AREPAS LA MARY")</f>
        <v>AREPAS LA MARY</v>
      </c>
      <c r="F9763" s="17" t="str">
        <f>IFERROR(__xludf.DUMMYFUNCTION("""COMPUTED_VALUE"""),"Calle 6N #1AE-161 apartamento 804 / Edificio Buenavista")</f>
        <v>Calle 6N #1AE-161 apartamento 804 / Edificio Buenavista</v>
      </c>
      <c r="G9763" s="15" t="str">
        <f>IFERROR(__xludf.DUMMYFUNCTION("""COMPUTED_VALUE"""),"EMPERATRIZ GUTIERREZ")</f>
        <v>EMPERATRIZ GUTIERREZ</v>
      </c>
      <c r="H9763" s="16">
        <f>IFERROR(__xludf.DUMMYFUNCTION("""COMPUTED_VALUE"""),18395.0)</f>
        <v>18395</v>
      </c>
      <c r="I9763" s="17"/>
      <c r="J9763" s="17"/>
      <c r="K9763" s="17"/>
      <c r="L9763" s="17">
        <f>IFERROR(__xludf.DUMMYFUNCTION("""COMPUTED_VALUE"""),3.172600718E9)</f>
        <v>3172600718</v>
      </c>
      <c r="M9763" s="17"/>
      <c r="N9763" s="17"/>
      <c r="O9763" s="17"/>
      <c r="P9763" s="17" t="b">
        <f>IFERROR(__xludf.DUMMYFUNCTION("""COMPUTED_VALUE"""),FALSE)</f>
        <v>0</v>
      </c>
      <c r="Q9763" s="20" t="str">
        <f>IFERROR(__xludf.DUMMYFUNCTION("""COMPUTED_VALUE"""),"")</f>
        <v/>
      </c>
      <c r="R9763" s="21" t="str">
        <f>IFERROR(__xludf.DUMMYFUNCTION("""COMPUTED_VALUE"""),"https://drive.google.com/file/d/198ruDdjEIX0iW-_sVuTgkn-mP_GFTCQu/view?usp=drivesdk")</f>
        <v>https://drive.google.com/file/d/198ruDdjEIX0iW-_sVuTgkn-mP_GFTCQu/view?usp=drivesdk</v>
      </c>
    </row>
    <row r="9764">
      <c r="A9764" s="17" t="str">
        <f>IFERROR(__xludf.DUMMYFUNCTION("""COMPUTED_VALUE"""),"")</f>
        <v/>
      </c>
      <c r="B9764" s="17" t="str">
        <f>IFERROR(__xludf.DUMMYFUNCTION("""COMPUTED_VALUE"""),"")</f>
        <v/>
      </c>
      <c r="C9764" s="17" t="str">
        <f>IFERROR(__xludf.DUMMYFUNCTION("""COMPUTED_VALUE"""),"")</f>
        <v/>
      </c>
      <c r="D9764" s="17" t="str">
        <f>IFERROR(__xludf.DUMMYFUNCTION("""COMPUTED_VALUE"""),"")</f>
        <v/>
      </c>
      <c r="E9764" s="17" t="str">
        <f>IFERROR(__xludf.DUMMYFUNCTION("""COMPUTED_VALUE"""),"")</f>
        <v/>
      </c>
      <c r="F9764" s="17" t="str">
        <f>IFERROR(__xludf.DUMMYFUNCTION("""COMPUTED_VALUE"""),"")</f>
        <v/>
      </c>
      <c r="G9764" s="17" t="str">
        <f>IFERROR(__xludf.DUMMYFUNCTION("""COMPUTED_VALUE"""),"")</f>
        <v/>
      </c>
      <c r="H9764" s="17" t="str">
        <f>IFERROR(__xludf.DUMMYFUNCTION("""COMPUTED_VALUE"""),"")</f>
        <v/>
      </c>
      <c r="I9764" s="17" t="str">
        <f>IFERROR(__xludf.DUMMYFUNCTION("""COMPUTED_VALUE"""),"")</f>
        <v/>
      </c>
      <c r="J9764" s="17" t="str">
        <f>IFERROR(__xludf.DUMMYFUNCTION("""COMPUTED_VALUE"""),"")</f>
        <v/>
      </c>
      <c r="K9764" s="17" t="str">
        <f>IFERROR(__xludf.DUMMYFUNCTION("""COMPUTED_VALUE"""),"")</f>
        <v/>
      </c>
      <c r="L9764" s="17" t="str">
        <f>IFERROR(__xludf.DUMMYFUNCTION("""COMPUTED_VALUE"""),"")</f>
        <v/>
      </c>
      <c r="M9764" s="17" t="str">
        <f>IFERROR(__xludf.DUMMYFUNCTION("""COMPUTED_VALUE"""),"")</f>
        <v/>
      </c>
      <c r="N9764" s="17" t="str">
        <f>IFERROR(__xludf.DUMMYFUNCTION("""COMPUTED_VALUE"""),"")</f>
        <v/>
      </c>
      <c r="O9764" s="17" t="str">
        <f>IFERROR(__xludf.DUMMYFUNCTION("""COMPUTED_VALUE"""),"")</f>
        <v/>
      </c>
      <c r="P9764" s="17" t="str">
        <f>IFERROR(__xludf.DUMMYFUNCTION("""COMPUTED_VALUE"""),"")</f>
        <v/>
      </c>
      <c r="Q9764" s="17" t="str">
        <f>IFERROR(__xludf.DUMMYFUNCTION("""COMPUTED_VALUE"""),"")</f>
        <v/>
      </c>
      <c r="R9764" s="17" t="str">
        <f>IFERROR(__xludf.DUMMYFUNCTION("""COMPUTED_VALUE"""),"")</f>
        <v/>
      </c>
    </row>
    <row r="9765">
      <c r="A9765" s="15">
        <f>IFERROR(__xludf.DUMMYFUNCTION("""COMPUTED_VALUE"""),45275.0)</f>
        <v>45275</v>
      </c>
      <c r="B9765" s="16" t="str">
        <f>IFERROR(__xludf.DUMMYFUNCTION("""COMPUTED_VALUE"""),"Orlando Urdaneta Rincon ")</f>
        <v>Orlando Urdaneta Rincon </v>
      </c>
      <c r="C9765" s="15" t="str">
        <f>IFERROR(__xludf.DUMMYFUNCTION("""COMPUTED_VALUE"""),"SANTA MARTA")</f>
        <v>SANTA MARTA</v>
      </c>
      <c r="D9765" s="15" t="str">
        <f>IFERROR(__xludf.DUMMYFUNCTION("""COMPUTED_VALUE"""),"BOGOTÁ")</f>
        <v>BOGOTÁ</v>
      </c>
      <c r="E9765" s="15" t="str">
        <f>IFERROR(__xludf.DUMMYFUNCTION("""COMPUTED_VALUE"""),"LINA PAOLA RAMIREZ GOMEZ - EVA MAZZITA")</f>
        <v>LINA PAOLA RAMIREZ GOMEZ - EVA MAZZITA</v>
      </c>
      <c r="F9765" s="17" t="str">
        <f>IFERROR(__xludf.DUMMYFUNCTION("""COMPUTED_VALUE"""),"Calle 22 #17-10 apto 202 / apto 202 Al lado de Envia Barrio alcázares""")</f>
        <v>Calle 22 #17-10 apto 202 / apto 202 Al lado de Envia Barrio alcázares"</v>
      </c>
      <c r="G9765" s="15" t="str">
        <f>IFERROR(__xludf.DUMMYFUNCTION("""COMPUTED_VALUE"""),"MARIA ANGELICA RINCON")</f>
        <v>MARIA ANGELICA RINCON</v>
      </c>
      <c r="H9765" s="16">
        <f>IFERROR(__xludf.DUMMYFUNCTION("""COMPUTED_VALUE"""),18392.0)</f>
        <v>18392</v>
      </c>
      <c r="I9765" s="17"/>
      <c r="J9765" s="17"/>
      <c r="K9765" s="17"/>
      <c r="L9765" s="17"/>
      <c r="M9765" s="17"/>
      <c r="N9765" s="17"/>
      <c r="O9765" s="17"/>
      <c r="P9765" s="17" t="b">
        <f>IFERROR(__xludf.DUMMYFUNCTION("""COMPUTED_VALUE"""),FALSE)</f>
        <v>0</v>
      </c>
      <c r="Q9765" s="20" t="str">
        <f>IFERROR(__xludf.DUMMYFUNCTION("""COMPUTED_VALUE"""),"")</f>
        <v/>
      </c>
      <c r="R9765" s="21" t="str">
        <f>IFERROR(__xludf.DUMMYFUNCTION("""COMPUTED_VALUE"""),"https://drive.google.com/file/d/1zHKzHzuWQ60B1NQRxWy2CLJe9sHqHSNW/view?usp=drivesdk")</f>
        <v>https://drive.google.com/file/d/1zHKzHzuWQ60B1NQRxWy2CLJe9sHqHSNW/view?usp=drivesdk</v>
      </c>
    </row>
    <row r="9766">
      <c r="A9766" s="15">
        <f>IFERROR(__xludf.DUMMYFUNCTION("""COMPUTED_VALUE"""),45275.0)</f>
        <v>45275</v>
      </c>
      <c r="B9766" s="16" t="str">
        <f>IFERROR(__xludf.DUMMYFUNCTION("""COMPUTED_VALUE"""),"Orlando Urdaneta Rincon ")</f>
        <v>Orlando Urdaneta Rincon </v>
      </c>
      <c r="C9766" s="15" t="str">
        <f>IFERROR(__xludf.DUMMYFUNCTION("""COMPUTED_VALUE"""),"SANTA MARTA")</f>
        <v>SANTA MARTA</v>
      </c>
      <c r="D9766" s="15" t="str">
        <f>IFERROR(__xludf.DUMMYFUNCTION("""COMPUTED_VALUE"""),"BOGOTÁ")</f>
        <v>BOGOTÁ</v>
      </c>
      <c r="E9766" s="15" t="str">
        <f>IFERROR(__xludf.DUMMYFUNCTION("""COMPUTED_VALUE"""),"LINA PAOLA RAMIREZ GOMEZ - EVA MAZZITA")</f>
        <v>LINA PAOLA RAMIREZ GOMEZ - EVA MAZZITA</v>
      </c>
      <c r="F9766" s="17" t="str">
        <f>IFERROR(__xludf.DUMMYFUNCTION("""COMPUTED_VALUE"""),"CRA 1B No. 26A - 109 / EDIFICIO ALMIRANTE PATO 1004 BARRIO BELLAVISTA SECTOR LOS COCOS")</f>
        <v>CRA 1B No. 26A - 109 / EDIFICIO ALMIRANTE PATO 1004 BARRIO BELLAVISTA SECTOR LOS COCOS</v>
      </c>
      <c r="G9766" s="15" t="str">
        <f>IFERROR(__xludf.DUMMYFUNCTION("""COMPUTED_VALUE"""),"MARIA DEL CARMEN CAMPO")</f>
        <v>MARIA DEL CARMEN CAMPO</v>
      </c>
      <c r="H9766" s="16">
        <f>IFERROR(__xludf.DUMMYFUNCTION("""COMPUTED_VALUE"""),18387.0)</f>
        <v>18387</v>
      </c>
      <c r="I9766" s="17"/>
      <c r="J9766" s="17"/>
      <c r="K9766" s="17"/>
      <c r="L9766" s="17">
        <f>IFERROR(__xludf.DUMMYFUNCTION("""COMPUTED_VALUE"""),3.157049736E9)</f>
        <v>3157049736</v>
      </c>
      <c r="M9766" s="17"/>
      <c r="N9766" s="17"/>
      <c r="O9766" s="17"/>
      <c r="P9766" s="17" t="b">
        <f>IFERROR(__xludf.DUMMYFUNCTION("""COMPUTED_VALUE"""),FALSE)</f>
        <v>0</v>
      </c>
      <c r="Q9766" s="20" t="str">
        <f>IFERROR(__xludf.DUMMYFUNCTION("""COMPUTED_VALUE"""),"")</f>
        <v/>
      </c>
      <c r="R9766" s="22" t="str">
        <f>IFERROR(__xludf.DUMMYFUNCTION("""COMPUTED_VALUE"""),"")</f>
        <v/>
      </c>
    </row>
    <row r="9767">
      <c r="A9767" s="15">
        <f>IFERROR(__xludf.DUMMYFUNCTION("""COMPUTED_VALUE"""),45275.0)</f>
        <v>45275</v>
      </c>
      <c r="B9767" s="16" t="str">
        <f>IFERROR(__xludf.DUMMYFUNCTION("""COMPUTED_VALUE"""),"Orlando Urdaneta Rincon ")</f>
        <v>Orlando Urdaneta Rincon </v>
      </c>
      <c r="C9767" s="15" t="str">
        <f>IFERROR(__xludf.DUMMYFUNCTION("""COMPUTED_VALUE"""),"SANTA MARTA")</f>
        <v>SANTA MARTA</v>
      </c>
      <c r="D9767" s="15" t="str">
        <f>IFERROR(__xludf.DUMMYFUNCTION("""COMPUTED_VALUE"""),"BOGOTÁ")</f>
        <v>BOGOTÁ</v>
      </c>
      <c r="E9767" s="15" t="str">
        <f>IFERROR(__xludf.DUMMYFUNCTION("""COMPUTED_VALUE"""),"Loomifoods")</f>
        <v>Loomifoods</v>
      </c>
      <c r="F9767" s="17" t="str">
        <f>IFERROR(__xludf.DUMMYFUNCTION("""COMPUTED_VALUE"""),"Carrera 7c #29-114 /  Santa Marta /  Santa Marta")</f>
        <v>Carrera 7c #29-114 /  Santa Marta /  Santa Marta</v>
      </c>
      <c r="G9767" s="15" t="str">
        <f>IFERROR(__xludf.DUMMYFUNCTION("""COMPUTED_VALUE"""),"Carolina Thevenet")</f>
        <v>Carolina Thevenet</v>
      </c>
      <c r="H9767" s="16">
        <f>IFERROR(__xludf.DUMMYFUNCTION("""COMPUTED_VALUE"""),18355.0)</f>
        <v>18355</v>
      </c>
      <c r="I9767" s="18">
        <f>IFERROR(__xludf.DUMMYFUNCTION("""COMPUTED_VALUE"""),19.0)</f>
        <v>19</v>
      </c>
      <c r="J9767" s="18">
        <f>IFERROR(__xludf.DUMMYFUNCTION("""COMPUTED_VALUE"""),10.0)</f>
        <v>10</v>
      </c>
      <c r="K9767" s="18">
        <f>IFERROR(__xludf.DUMMYFUNCTION("""COMPUTED_VALUE"""),16.0)</f>
        <v>16</v>
      </c>
      <c r="L9767" s="17">
        <f>IFERROR(__xludf.DUMMYFUNCTION("""COMPUTED_VALUE"""),3.103051294E9)</f>
        <v>3103051294</v>
      </c>
      <c r="M9767" s="17"/>
      <c r="N9767" s="17"/>
      <c r="O9767" s="17"/>
      <c r="P9767" s="17" t="b">
        <f>IFERROR(__xludf.DUMMYFUNCTION("""COMPUTED_VALUE"""),FALSE)</f>
        <v>0</v>
      </c>
      <c r="Q9767" s="20" t="str">
        <f>IFERROR(__xludf.DUMMYFUNCTION("""COMPUTED_VALUE"""),"")</f>
        <v/>
      </c>
      <c r="R9767" s="21" t="str">
        <f>IFERROR(__xludf.DUMMYFUNCTION("""COMPUTED_VALUE"""),"https://drive.google.com/file/d/1rKW_cv1fvwe0cZXCs1r2ert6RYpvPCuT/view?usp=drivesdk")</f>
        <v>https://drive.google.com/file/d/1rKW_cv1fvwe0cZXCs1r2ert6RYpvPCuT/view?usp=drivesdk</v>
      </c>
    </row>
    <row r="9768">
      <c r="A9768" s="15">
        <f>IFERROR(__xludf.DUMMYFUNCTION("""COMPUTED_VALUE"""),45275.0)</f>
        <v>45275</v>
      </c>
      <c r="B9768" s="16" t="str">
        <f>IFERROR(__xludf.DUMMYFUNCTION("""COMPUTED_VALUE"""),"Orlando Urdaneta Rincon ")</f>
        <v>Orlando Urdaneta Rincon </v>
      </c>
      <c r="C9768" s="15" t="str">
        <f>IFERROR(__xludf.DUMMYFUNCTION("""COMPUTED_VALUE"""),"SANTA MARTA")</f>
        <v>SANTA MARTA</v>
      </c>
      <c r="D9768" s="15" t="str">
        <f>IFERROR(__xludf.DUMMYFUNCTION("""COMPUTED_VALUE"""),"BOGOTÁ")</f>
        <v>BOGOTÁ</v>
      </c>
      <c r="E9768" s="15" t="str">
        <f>IFERROR(__xludf.DUMMYFUNCTION("""COMPUTED_VALUE"""),"Top Spun")</f>
        <v>Top Spun</v>
      </c>
      <c r="F9768" s="17" t="str">
        <f>IFERROR(__xludf.DUMMYFUNCTION("""COMPUTED_VALUE"""),"Carrera 7A # 29-114 / CASA / SANTA MARTA")</f>
        <v>Carrera 7A # 29-114 / CASA / SANTA MARTA</v>
      </c>
      <c r="G9768" s="15" t="str">
        <f>IFERROR(__xludf.DUMMYFUNCTION("""COMPUTED_VALUE"""),"Caroline Thevenet")</f>
        <v>Caroline Thevenet</v>
      </c>
      <c r="H9768" s="16">
        <f>IFERROR(__xludf.DUMMYFUNCTION("""COMPUTED_VALUE"""),18353.0)</f>
        <v>18353</v>
      </c>
      <c r="I9768" s="18">
        <f>IFERROR(__xludf.DUMMYFUNCTION("""COMPUTED_VALUE"""),20.0)</f>
        <v>20</v>
      </c>
      <c r="J9768" s="18">
        <f>IFERROR(__xludf.DUMMYFUNCTION("""COMPUTED_VALUE"""),10.0)</f>
        <v>10</v>
      </c>
      <c r="K9768" s="18">
        <f>IFERROR(__xludf.DUMMYFUNCTION("""COMPUTED_VALUE"""),40.0)</f>
        <v>40</v>
      </c>
      <c r="L9768" s="17">
        <f>IFERROR(__xludf.DUMMYFUNCTION("""COMPUTED_VALUE"""),3.103051294E9)</f>
        <v>3103051294</v>
      </c>
      <c r="M9768" s="17"/>
      <c r="N9768" s="17"/>
      <c r="O9768" s="17"/>
      <c r="P9768" s="17" t="b">
        <f>IFERROR(__xludf.DUMMYFUNCTION("""COMPUTED_VALUE"""),FALSE)</f>
        <v>0</v>
      </c>
      <c r="Q9768" s="20" t="str">
        <f>IFERROR(__xludf.DUMMYFUNCTION("""COMPUTED_VALUE"""),"")</f>
        <v/>
      </c>
      <c r="R9768" s="21" t="str">
        <f>IFERROR(__xludf.DUMMYFUNCTION("""COMPUTED_VALUE"""),"https://drive.google.com/file/d/1xYx4CGIKep2j4tMLTgY0f40X9K_pUeZ0/view?usp=drivesdk")</f>
        <v>https://drive.google.com/file/d/1xYx4CGIKep2j4tMLTgY0f40X9K_pUeZ0/view?usp=drivesdk</v>
      </c>
    </row>
    <row r="9769">
      <c r="A9769" s="15">
        <f>IFERROR(__xludf.DUMMYFUNCTION("""COMPUTED_VALUE"""),45275.0)</f>
        <v>45275</v>
      </c>
      <c r="B9769" s="16" t="str">
        <f>IFERROR(__xludf.DUMMYFUNCTION("""COMPUTED_VALUE"""),"Orlando Urdaneta Rincon ")</f>
        <v>Orlando Urdaneta Rincon </v>
      </c>
      <c r="C9769" s="15" t="str">
        <f>IFERROR(__xludf.DUMMYFUNCTION("""COMPUTED_VALUE"""),"SANTA MARTA")</f>
        <v>SANTA MARTA</v>
      </c>
      <c r="D9769" s="15" t="str">
        <f>IFERROR(__xludf.DUMMYFUNCTION("""COMPUTED_VALUE"""),"ENVIGADO")</f>
        <v>ENVIGADO</v>
      </c>
      <c r="E9769" s="15" t="str">
        <f>IFERROR(__xludf.DUMMYFUNCTION("""COMPUTED_VALUE"""),"RAMBLA")</f>
        <v>RAMBLA</v>
      </c>
      <c r="F9769" s="17" t="str">
        <f>IFERROR(__xludf.DUMMYFUNCTION("""COMPUTED_VALUE"""),"Carrera 4 26 40 / CC PRADO PLAZA LC 117")</f>
        <v>Carrera 4 26 40 / CC PRADO PLAZA LC 117</v>
      </c>
      <c r="G9769" s="15" t="str">
        <f>IFERROR(__xludf.DUMMYFUNCTION("""COMPUTED_VALUE"""),"Hecho en casa")</f>
        <v>Hecho en casa</v>
      </c>
      <c r="H9769" s="16">
        <f>IFERROR(__xludf.DUMMYFUNCTION("""COMPUTED_VALUE"""),18376.0)</f>
        <v>18376</v>
      </c>
      <c r="I9769" s="17"/>
      <c r="J9769" s="17"/>
      <c r="K9769" s="17"/>
      <c r="L9769" s="17">
        <f>IFERROR(__xludf.DUMMYFUNCTION("""COMPUTED_VALUE"""),3.176455877E9)</f>
        <v>3176455877</v>
      </c>
      <c r="M9769" s="17"/>
      <c r="N9769" s="17"/>
      <c r="O9769" s="17"/>
      <c r="P9769" s="17" t="b">
        <f>IFERROR(__xludf.DUMMYFUNCTION("""COMPUTED_VALUE"""),FALSE)</f>
        <v>0</v>
      </c>
      <c r="Q9769" s="20" t="str">
        <f>IFERROR(__xludf.DUMMYFUNCTION("""COMPUTED_VALUE"""),"")</f>
        <v/>
      </c>
      <c r="R9769" s="22" t="str">
        <f>IFERROR(__xludf.DUMMYFUNCTION("""COMPUTED_VALUE"""),"")</f>
        <v/>
      </c>
    </row>
    <row r="9770">
      <c r="A9770" s="17" t="str">
        <f>IFERROR(__xludf.DUMMYFUNCTION("""COMPUTED_VALUE"""),"")</f>
        <v/>
      </c>
      <c r="B9770" s="17" t="str">
        <f>IFERROR(__xludf.DUMMYFUNCTION("""COMPUTED_VALUE"""),"")</f>
        <v/>
      </c>
      <c r="C9770" s="17" t="str">
        <f>IFERROR(__xludf.DUMMYFUNCTION("""COMPUTED_VALUE"""),"")</f>
        <v/>
      </c>
      <c r="D9770" s="17" t="str">
        <f>IFERROR(__xludf.DUMMYFUNCTION("""COMPUTED_VALUE"""),"")</f>
        <v/>
      </c>
      <c r="E9770" s="17" t="str">
        <f>IFERROR(__xludf.DUMMYFUNCTION("""COMPUTED_VALUE"""),"")</f>
        <v/>
      </c>
      <c r="F9770" s="17" t="str">
        <f>IFERROR(__xludf.DUMMYFUNCTION("""COMPUTED_VALUE"""),"")</f>
        <v/>
      </c>
      <c r="G9770" s="17" t="str">
        <f>IFERROR(__xludf.DUMMYFUNCTION("""COMPUTED_VALUE"""),"")</f>
        <v/>
      </c>
      <c r="H9770" s="17" t="str">
        <f>IFERROR(__xludf.DUMMYFUNCTION("""COMPUTED_VALUE"""),"")</f>
        <v/>
      </c>
      <c r="I9770" s="17" t="str">
        <f>IFERROR(__xludf.DUMMYFUNCTION("""COMPUTED_VALUE"""),"")</f>
        <v/>
      </c>
      <c r="J9770" s="17" t="str">
        <f>IFERROR(__xludf.DUMMYFUNCTION("""COMPUTED_VALUE"""),"")</f>
        <v/>
      </c>
      <c r="K9770" s="17" t="str">
        <f>IFERROR(__xludf.DUMMYFUNCTION("""COMPUTED_VALUE"""),"")</f>
        <v/>
      </c>
      <c r="L9770" s="17" t="str">
        <f>IFERROR(__xludf.DUMMYFUNCTION("""COMPUTED_VALUE"""),"")</f>
        <v/>
      </c>
      <c r="M9770" s="17" t="str">
        <f>IFERROR(__xludf.DUMMYFUNCTION("""COMPUTED_VALUE"""),"")</f>
        <v/>
      </c>
      <c r="N9770" s="17" t="str">
        <f>IFERROR(__xludf.DUMMYFUNCTION("""COMPUTED_VALUE"""),"")</f>
        <v/>
      </c>
      <c r="O9770" s="17" t="str">
        <f>IFERROR(__xludf.DUMMYFUNCTION("""COMPUTED_VALUE"""),"")</f>
        <v/>
      </c>
      <c r="P9770" s="17" t="str">
        <f>IFERROR(__xludf.DUMMYFUNCTION("""COMPUTED_VALUE"""),"")</f>
        <v/>
      </c>
      <c r="Q9770" s="17" t="str">
        <f>IFERROR(__xludf.DUMMYFUNCTION("""COMPUTED_VALUE"""),"")</f>
        <v/>
      </c>
      <c r="R9770" s="17" t="str">
        <f>IFERROR(__xludf.DUMMYFUNCTION("""COMPUTED_VALUE"""),"")</f>
        <v/>
      </c>
    </row>
    <row r="9771">
      <c r="A9771" s="15">
        <f>IFERROR(__xludf.DUMMYFUNCTION("""COMPUTED_VALUE"""),45275.0)</f>
        <v>45275</v>
      </c>
      <c r="B9771" s="16" t="str">
        <f>IFERROR(__xludf.DUMMYFUNCTION("""COMPUTED_VALUE"""),"Yenis Carolina sicuamia montaño")</f>
        <v>Yenis Carolina sicuamia montaño</v>
      </c>
      <c r="C9771" s="15" t="str">
        <f>IFERROR(__xludf.DUMMYFUNCTION("""COMPUTED_VALUE"""),"VALLEDUPAR")</f>
        <v>VALLEDUPAR</v>
      </c>
      <c r="D9771" s="15" t="str">
        <f>IFERROR(__xludf.DUMMYFUNCTION("""COMPUTED_VALUE"""),"BOGOTÁ")</f>
        <v>BOGOTÁ</v>
      </c>
      <c r="E9771" s="15" t="str">
        <f>IFERROR(__xludf.DUMMYFUNCTION("""COMPUTED_VALUE"""),"LINA PAOLA RAMIREZ GOMEZ - EVA MAZZITA")</f>
        <v>LINA PAOLA RAMIREZ GOMEZ - EVA MAZZITA</v>
      </c>
      <c r="F9771" s="17" t="str">
        <f>IFERROR(__xludf.DUMMYFUNCTION("""COMPUTED_VALUE"""),"CONDOMINIO PALMETTO / TORRE 8 APTO. 601")</f>
        <v>CONDOMINIO PALMETTO / TORRE 8 APTO. 601</v>
      </c>
      <c r="G9771" s="15" t="str">
        <f>IFERROR(__xludf.DUMMYFUNCTION("""COMPUTED_VALUE"""),"KAREN LORENA ESCALANTE JACOME")</f>
        <v>KAREN LORENA ESCALANTE JACOME</v>
      </c>
      <c r="H9771" s="16">
        <f>IFERROR(__xludf.DUMMYFUNCTION("""COMPUTED_VALUE"""),18389.0)</f>
        <v>18389</v>
      </c>
      <c r="I9771" s="17"/>
      <c r="J9771" s="17"/>
      <c r="K9771" s="17"/>
      <c r="L9771" s="17">
        <f>IFERROR(__xludf.DUMMYFUNCTION("""COMPUTED_VALUE"""),3.114684116E9)</f>
        <v>3114684116</v>
      </c>
      <c r="M9771" s="17"/>
      <c r="N9771" s="17"/>
      <c r="O9771" s="17"/>
      <c r="P9771" s="17" t="b">
        <f>IFERROR(__xludf.DUMMYFUNCTION("""COMPUTED_VALUE"""),TRUE)</f>
        <v>1</v>
      </c>
      <c r="Q9771" s="20">
        <f>IFERROR(__xludf.DUMMYFUNCTION("""COMPUTED_VALUE"""),45275.52895987268)</f>
        <v>45275.52896</v>
      </c>
      <c r="R9771" s="22" t="str">
        <f>IFERROR(__xludf.DUMMYFUNCTION("""COMPUTED_VALUE"""),"")</f>
        <v/>
      </c>
    </row>
    <row r="9772">
      <c r="A9772" s="15">
        <f>IFERROR(__xludf.DUMMYFUNCTION("""COMPUTED_VALUE"""),45275.0)</f>
        <v>45275</v>
      </c>
      <c r="B9772" s="16" t="str">
        <f>IFERROR(__xludf.DUMMYFUNCTION("""COMPUTED_VALUE"""),"Yenis Carolina sicuamia montaño")</f>
        <v>Yenis Carolina sicuamia montaño</v>
      </c>
      <c r="C9772" s="15" t="str">
        <f>IFERROR(__xludf.DUMMYFUNCTION("""COMPUTED_VALUE"""),"VALLEDUPAR")</f>
        <v>VALLEDUPAR</v>
      </c>
      <c r="D9772" s="15" t="str">
        <f>IFERROR(__xludf.DUMMYFUNCTION("""COMPUTED_VALUE"""),"BOGOTÁ")</f>
        <v>BOGOTÁ</v>
      </c>
      <c r="E9772" s="15" t="str">
        <f>IFERROR(__xludf.DUMMYFUNCTION("""COMPUTED_VALUE"""),"LINA PAOLA RAMIREZ GOMEZ - EVA MAZZITA")</f>
        <v>LINA PAOLA RAMIREZ GOMEZ - EVA MAZZITA</v>
      </c>
      <c r="F9772" s="17" t="str">
        <f>IFERROR(__xludf.DUMMYFUNCTION("""COMPUTED_VALUE"""),"Manzana G casa 16 barrio alamos 3 Valledupar cesar / Manzana G casa 16 barrio alamos 3 Valledupar cesar")</f>
        <v>Manzana G casa 16 barrio alamos 3 Valledupar cesar / Manzana G casa 16 barrio alamos 3 Valledupar cesar</v>
      </c>
      <c r="G9772" s="15" t="str">
        <f>IFERROR(__xludf.DUMMYFUNCTION("""COMPUTED_VALUE"""),"STEFANY REALES")</f>
        <v>STEFANY REALES</v>
      </c>
      <c r="H9772" s="16">
        <f>IFERROR(__xludf.DUMMYFUNCTION("""COMPUTED_VALUE"""),18388.0)</f>
        <v>18388</v>
      </c>
      <c r="I9772" s="17"/>
      <c r="J9772" s="17"/>
      <c r="K9772" s="17"/>
      <c r="L9772" s="17">
        <f>IFERROR(__xludf.DUMMYFUNCTION("""COMPUTED_VALUE"""),3.003325186E9)</f>
        <v>3003325186</v>
      </c>
      <c r="M9772" s="17"/>
      <c r="N9772" s="17"/>
      <c r="O9772" s="17"/>
      <c r="P9772" s="17" t="b">
        <f>IFERROR(__xludf.DUMMYFUNCTION("""COMPUTED_VALUE"""),TRUE)</f>
        <v>1</v>
      </c>
      <c r="Q9772" s="20">
        <f>IFERROR(__xludf.DUMMYFUNCTION("""COMPUTED_VALUE"""),45275.52895987268)</f>
        <v>45275.52896</v>
      </c>
      <c r="R9772" s="22" t="str">
        <f>IFERROR(__xludf.DUMMYFUNCTION("""COMPUTED_VALUE"""),"")</f>
        <v/>
      </c>
    </row>
    <row r="9773">
      <c r="A9773" s="17" t="str">
        <f>IFERROR(__xludf.DUMMYFUNCTION("""COMPUTED_VALUE"""),"")</f>
        <v/>
      </c>
      <c r="B9773" s="17" t="str">
        <f>IFERROR(__xludf.DUMMYFUNCTION("""COMPUTED_VALUE"""),"")</f>
        <v/>
      </c>
      <c r="C9773" s="17" t="str">
        <f>IFERROR(__xludf.DUMMYFUNCTION("""COMPUTED_VALUE"""),"")</f>
        <v/>
      </c>
      <c r="D9773" s="17" t="str">
        <f>IFERROR(__xludf.DUMMYFUNCTION("""COMPUTED_VALUE"""),"")</f>
        <v/>
      </c>
      <c r="E9773" s="17" t="str">
        <f>IFERROR(__xludf.DUMMYFUNCTION("""COMPUTED_VALUE"""),"")</f>
        <v/>
      </c>
      <c r="F9773" s="17" t="str">
        <f>IFERROR(__xludf.DUMMYFUNCTION("""COMPUTED_VALUE"""),"")</f>
        <v/>
      </c>
      <c r="G9773" s="17" t="str">
        <f>IFERROR(__xludf.DUMMYFUNCTION("""COMPUTED_VALUE"""),"")</f>
        <v/>
      </c>
      <c r="H9773" s="17" t="str">
        <f>IFERROR(__xludf.DUMMYFUNCTION("""COMPUTED_VALUE"""),"")</f>
        <v/>
      </c>
      <c r="I9773" s="17" t="str">
        <f>IFERROR(__xludf.DUMMYFUNCTION("""COMPUTED_VALUE"""),"")</f>
        <v/>
      </c>
      <c r="J9773" s="17" t="str">
        <f>IFERROR(__xludf.DUMMYFUNCTION("""COMPUTED_VALUE"""),"")</f>
        <v/>
      </c>
      <c r="K9773" s="17" t="str">
        <f>IFERROR(__xludf.DUMMYFUNCTION("""COMPUTED_VALUE"""),"")</f>
        <v/>
      </c>
      <c r="L9773" s="17" t="str">
        <f>IFERROR(__xludf.DUMMYFUNCTION("""COMPUTED_VALUE"""),"")</f>
        <v/>
      </c>
      <c r="M9773" s="17" t="str">
        <f>IFERROR(__xludf.DUMMYFUNCTION("""COMPUTED_VALUE"""),"")</f>
        <v/>
      </c>
      <c r="N9773" s="17" t="str">
        <f>IFERROR(__xludf.DUMMYFUNCTION("""COMPUTED_VALUE"""),"")</f>
        <v/>
      </c>
      <c r="O9773" s="17" t="str">
        <f>IFERROR(__xludf.DUMMYFUNCTION("""COMPUTED_VALUE"""),"")</f>
        <v/>
      </c>
      <c r="P9773" s="17" t="str">
        <f>IFERROR(__xludf.DUMMYFUNCTION("""COMPUTED_VALUE"""),"")</f>
        <v/>
      </c>
      <c r="Q9773" s="17" t="str">
        <f>IFERROR(__xludf.DUMMYFUNCTION("""COMPUTED_VALUE"""),"")</f>
        <v/>
      </c>
      <c r="R9773" s="17" t="str">
        <f>IFERROR(__xludf.DUMMYFUNCTION("""COMPUTED_VALUE"""),"")</f>
        <v/>
      </c>
    </row>
    <row r="9774">
      <c r="A9774" s="15">
        <f>IFERROR(__xludf.DUMMYFUNCTION("""COMPUTED_VALUE"""),45279.0)</f>
        <v>45279</v>
      </c>
      <c r="B9774" s="17"/>
      <c r="C9774" s="15" t="str">
        <f>IFERROR(__xludf.DUMMYFUNCTION("""COMPUTED_VALUE"""),"BUCARAMANGA")</f>
        <v>BUCARAMANGA</v>
      </c>
      <c r="D9774" s="15" t="str">
        <f>IFERROR(__xludf.DUMMYFUNCTION("""COMPUTED_VALUE"""),"MEDELLÍN")</f>
        <v>MEDELLÍN</v>
      </c>
      <c r="E9774" s="15" t="str">
        <f>IFERROR(__xludf.DUMMYFUNCTION("""COMPUTED_VALUE"""),"TOLEDALES S.A.S")</f>
        <v>TOLEDALES S.A.S</v>
      </c>
      <c r="F9774" s="17" t="str">
        <f>IFERROR(__xludf.DUMMYFUNCTION("""COMPUTED_VALUE"""),"cra 43 a #sur / .")</f>
        <v>cra 43 a #sur / .</v>
      </c>
      <c r="G9774" s="15" t="str">
        <f>IFERROR(__xludf.DUMMYFUNCTION("""COMPUTED_VALUE"""),"Alvaro Escobar")</f>
        <v>Alvaro Escobar</v>
      </c>
      <c r="H9774" s="16">
        <f>IFERROR(__xludf.DUMMYFUNCTION("""COMPUTED_VALUE"""),18329.0)</f>
        <v>18329</v>
      </c>
      <c r="I9774" s="17"/>
      <c r="J9774" s="17"/>
      <c r="K9774" s="17"/>
      <c r="L9774" s="17">
        <f>IFERROR(__xludf.DUMMYFUNCTION("""COMPUTED_VALUE"""),3.122891226E9)</f>
        <v>3122891226</v>
      </c>
      <c r="M9774" s="17"/>
      <c r="N9774" s="17"/>
      <c r="O9774" s="17"/>
      <c r="P9774" s="17" t="b">
        <f>IFERROR(__xludf.DUMMYFUNCTION("""COMPUTED_VALUE"""),FALSE)</f>
        <v>0</v>
      </c>
      <c r="Q9774" s="20" t="str">
        <f>IFERROR(__xludf.DUMMYFUNCTION("""COMPUTED_VALUE"""),"")</f>
        <v/>
      </c>
      <c r="R9774" s="22" t="str">
        <f>IFERROR(__xludf.DUMMYFUNCTION("""COMPUTED_VALUE"""),"")</f>
        <v/>
      </c>
    </row>
    <row r="9775">
      <c r="A9775" s="15">
        <f>IFERROR(__xludf.DUMMYFUNCTION("""COMPUTED_VALUE"""),45279.0)</f>
        <v>45279</v>
      </c>
      <c r="B9775" s="17"/>
      <c r="C9775" s="15" t="str">
        <f>IFERROR(__xludf.DUMMYFUNCTION("""COMPUTED_VALUE"""),"MEDELLÍN")</f>
        <v>MEDELLÍN</v>
      </c>
      <c r="D9775" s="15" t="str">
        <f>IFERROR(__xludf.DUMMYFUNCTION("""COMPUTED_VALUE"""),"BOGOTÁ")</f>
        <v>BOGOTÁ</v>
      </c>
      <c r="E9775" s="15" t="str">
        <f>IFERROR(__xludf.DUMMYFUNCTION("""COMPUTED_VALUE"""),"MAI ALIMENTOS REALES")</f>
        <v>MAI ALIMENTOS REALES</v>
      </c>
      <c r="F9775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9775" s="15" t="str">
        <f>IFERROR(__xludf.DUMMYFUNCTION("""COMPUTED_VALUE"""),"Novaventas")</f>
        <v>Novaventas</v>
      </c>
      <c r="H9775" s="16">
        <f>IFERROR(__xludf.DUMMYFUNCTION("""COMPUTED_VALUE"""),18548.0)</f>
        <v>18548</v>
      </c>
      <c r="I9775" s="17"/>
      <c r="J9775" s="17"/>
      <c r="K9775" s="17"/>
      <c r="L9775" s="17">
        <f>IFERROR(__xludf.DUMMYFUNCTION("""COMPUTED_VALUE"""),3.187351593E9)</f>
        <v>3187351593</v>
      </c>
      <c r="M9775" s="17"/>
      <c r="N9775" s="17"/>
      <c r="O9775" s="17"/>
      <c r="P9775" s="17" t="b">
        <f>IFERROR(__xludf.DUMMYFUNCTION("""COMPUTED_VALUE"""),FALSE)</f>
        <v>0</v>
      </c>
      <c r="Q9775" s="20" t="str">
        <f>IFERROR(__xludf.DUMMYFUNCTION("""COMPUTED_VALUE"""),"")</f>
        <v/>
      </c>
      <c r="R9775" s="22" t="str">
        <f>IFERROR(__xludf.DUMMYFUNCTION("""COMPUTED_VALUE"""),"")</f>
        <v/>
      </c>
    </row>
    <row r="9776">
      <c r="A9776" s="17" t="str">
        <f>IFERROR(__xludf.DUMMYFUNCTION("""COMPUTED_VALUE"""),"")</f>
        <v/>
      </c>
      <c r="B9776" s="17" t="str">
        <f>IFERROR(__xludf.DUMMYFUNCTION("""COMPUTED_VALUE"""),"")</f>
        <v/>
      </c>
      <c r="C9776" s="17" t="str">
        <f>IFERROR(__xludf.DUMMYFUNCTION("""COMPUTED_VALUE"""),"")</f>
        <v/>
      </c>
      <c r="D9776" s="17" t="str">
        <f>IFERROR(__xludf.DUMMYFUNCTION("""COMPUTED_VALUE"""),"")</f>
        <v/>
      </c>
      <c r="E9776" s="17" t="str">
        <f>IFERROR(__xludf.DUMMYFUNCTION("""COMPUTED_VALUE"""),"")</f>
        <v/>
      </c>
      <c r="F9776" s="17" t="str">
        <f>IFERROR(__xludf.DUMMYFUNCTION("""COMPUTED_VALUE"""),"")</f>
        <v/>
      </c>
      <c r="G9776" s="17" t="str">
        <f>IFERROR(__xludf.DUMMYFUNCTION("""COMPUTED_VALUE"""),"")</f>
        <v/>
      </c>
      <c r="H9776" s="17" t="str">
        <f>IFERROR(__xludf.DUMMYFUNCTION("""COMPUTED_VALUE"""),"")</f>
        <v/>
      </c>
      <c r="I9776" s="17" t="str">
        <f>IFERROR(__xludf.DUMMYFUNCTION("""COMPUTED_VALUE"""),"")</f>
        <v/>
      </c>
      <c r="J9776" s="17" t="str">
        <f>IFERROR(__xludf.DUMMYFUNCTION("""COMPUTED_VALUE"""),"")</f>
        <v/>
      </c>
      <c r="K9776" s="17" t="str">
        <f>IFERROR(__xludf.DUMMYFUNCTION("""COMPUTED_VALUE"""),"")</f>
        <v/>
      </c>
      <c r="L9776" s="17" t="str">
        <f>IFERROR(__xludf.DUMMYFUNCTION("""COMPUTED_VALUE"""),"")</f>
        <v/>
      </c>
      <c r="M9776" s="17" t="str">
        <f>IFERROR(__xludf.DUMMYFUNCTION("""COMPUTED_VALUE"""),"")</f>
        <v/>
      </c>
      <c r="N9776" s="17" t="str">
        <f>IFERROR(__xludf.DUMMYFUNCTION("""COMPUTED_VALUE"""),"")</f>
        <v/>
      </c>
      <c r="O9776" s="17" t="str">
        <f>IFERROR(__xludf.DUMMYFUNCTION("""COMPUTED_VALUE"""),"")</f>
        <v/>
      </c>
      <c r="P9776" s="17" t="str">
        <f>IFERROR(__xludf.DUMMYFUNCTION("""COMPUTED_VALUE"""),"")</f>
        <v/>
      </c>
      <c r="Q9776" s="17" t="str">
        <f>IFERROR(__xludf.DUMMYFUNCTION("""COMPUTED_VALUE"""),"")</f>
        <v/>
      </c>
      <c r="R9776" s="17" t="str">
        <f>IFERROR(__xludf.DUMMYFUNCTION("""COMPUTED_VALUE"""),"")</f>
        <v/>
      </c>
    </row>
    <row r="9777">
      <c r="A9777" s="15">
        <f>IFERROR(__xludf.DUMMYFUNCTION("""COMPUTED_VALUE"""),45279.0)</f>
        <v>45279</v>
      </c>
      <c r="B9777" s="16" t="str">
        <f>IFERROR(__xludf.DUMMYFUNCTION("""COMPUTED_VALUE"""),"Carlos Andres Pirachican Numpaque (Mayerli)")</f>
        <v>Carlos Andres Pirachican Numpaque (Mayerli)</v>
      </c>
      <c r="C9777" s="15" t="str">
        <f>IFERROR(__xludf.DUMMYFUNCTION("""COMPUTED_VALUE"""),"TUNJA")</f>
        <v>TUNJA</v>
      </c>
      <c r="D9777" s="15" t="str">
        <f>IFERROR(__xludf.DUMMYFUNCTION("""COMPUTED_VALUE"""),"BOGOTÁ")</f>
        <v>BOGOTÁ</v>
      </c>
      <c r="E9777" s="15" t="str">
        <f>IFERROR(__xludf.DUMMYFUNCTION("""COMPUTED_VALUE"""),"Asociacion Agropecuaria Juana Maria")</f>
        <v>Asociacion Agropecuaria Juana Maria</v>
      </c>
      <c r="F9777" s="17" t="str">
        <f>IFERROR(__xludf.DUMMYFUNCTION("""COMPUTED_VALUE"""),"Carrera 2 A # 45b-03 / Tunja")</f>
        <v>Carrera 2 A # 45b-03 / Tunja</v>
      </c>
      <c r="G9777" s="15" t="str">
        <f>IFERROR(__xludf.DUMMYFUNCTION("""COMPUTED_VALUE"""),"Adriana Paola Hernandez Sarmiento")</f>
        <v>Adriana Paola Hernandez Sarmiento</v>
      </c>
      <c r="H9777" s="16">
        <f>IFERROR(__xludf.DUMMYFUNCTION("""COMPUTED_VALUE"""),18501.0)</f>
        <v>18501</v>
      </c>
      <c r="I9777" s="17"/>
      <c r="J9777" s="17"/>
      <c r="K9777" s="17"/>
      <c r="L9777" s="17">
        <f>IFERROR(__xludf.DUMMYFUNCTION("""COMPUTED_VALUE"""),3.223853604E9)</f>
        <v>3223853604</v>
      </c>
      <c r="M9777" s="17"/>
      <c r="N9777" s="17"/>
      <c r="O9777" s="17"/>
      <c r="P9777" s="17" t="b">
        <f>IFERROR(__xludf.DUMMYFUNCTION("""COMPUTED_VALUE"""),FALSE)</f>
        <v>0</v>
      </c>
      <c r="Q9777" s="20" t="str">
        <f>IFERROR(__xludf.DUMMYFUNCTION("""COMPUTED_VALUE"""),"")</f>
        <v/>
      </c>
      <c r="R9777" s="22" t="str">
        <f>IFERROR(__xludf.DUMMYFUNCTION("""COMPUTED_VALUE"""),"")</f>
        <v/>
      </c>
    </row>
    <row r="9778">
      <c r="A9778" s="15">
        <f>IFERROR(__xludf.DUMMYFUNCTION("""COMPUTED_VALUE"""),45279.0)</f>
        <v>45279</v>
      </c>
      <c r="B9778" s="16" t="str">
        <f>IFERROR(__xludf.DUMMYFUNCTION("""COMPUTED_VALUE"""),"Carlos Andres Pirachican Numpaque (Mayerli)")</f>
        <v>Carlos Andres Pirachican Numpaque (Mayerli)</v>
      </c>
      <c r="C9778" s="15" t="str">
        <f>IFERROR(__xludf.DUMMYFUNCTION("""COMPUTED_VALUE"""),"TUNJA")</f>
        <v>TUNJA</v>
      </c>
      <c r="D9778" s="15" t="str">
        <f>IFERROR(__xludf.DUMMYFUNCTION("""COMPUTED_VALUE"""),"BOGOTÁ")</f>
        <v>BOGOTÁ</v>
      </c>
      <c r="E9778" s="15" t="str">
        <f>IFERROR(__xludf.DUMMYFUNCTION("""COMPUTED_VALUE"""),"LINA PAOLA RAMIREZ GOMEZ - EVA MAZZITA")</f>
        <v>LINA PAOLA RAMIREZ GOMEZ - EVA MAZZITA</v>
      </c>
      <c r="F9778" s="17" t="str">
        <f>IFERROR(__xludf.DUMMYFUNCTION("""COMPUTED_VALUE"""),"carrera 2A# 45b -03 / carrera 2A# 45b -03")</f>
        <v>carrera 2A# 45b -03 / carrera 2A# 45b -03</v>
      </c>
      <c r="G9778" s="15" t="str">
        <f>IFERROR(__xludf.DUMMYFUNCTION("""COMPUTED_VALUE"""),"ADRIANA PAOLA HERNANDEZ SARMIENTO")</f>
        <v>ADRIANA PAOLA HERNANDEZ SARMIENTO</v>
      </c>
      <c r="H9778" s="16">
        <f>IFERROR(__xludf.DUMMYFUNCTION("""COMPUTED_VALUE"""),18536.0)</f>
        <v>18536</v>
      </c>
      <c r="I9778" s="17"/>
      <c r="J9778" s="17"/>
      <c r="K9778" s="17"/>
      <c r="L9778" s="17">
        <f>IFERROR(__xludf.DUMMYFUNCTION("""COMPUTED_VALUE"""),3.223853604E9)</f>
        <v>3223853604</v>
      </c>
      <c r="M9778" s="17"/>
      <c r="N9778" s="17"/>
      <c r="O9778" s="17"/>
      <c r="P9778" s="17" t="b">
        <f>IFERROR(__xludf.DUMMYFUNCTION("""COMPUTED_VALUE"""),FALSE)</f>
        <v>0</v>
      </c>
      <c r="Q9778" s="20" t="str">
        <f>IFERROR(__xludf.DUMMYFUNCTION("""COMPUTED_VALUE"""),"")</f>
        <v/>
      </c>
      <c r="R9778" s="22" t="str">
        <f>IFERROR(__xludf.DUMMYFUNCTION("""COMPUTED_VALUE"""),"")</f>
        <v/>
      </c>
    </row>
    <row r="9779">
      <c r="A9779" s="15">
        <f>IFERROR(__xludf.DUMMYFUNCTION("""COMPUTED_VALUE"""),45279.0)</f>
        <v>45279</v>
      </c>
      <c r="B9779" s="16" t="str">
        <f>IFERROR(__xludf.DUMMYFUNCTION("""COMPUTED_VALUE"""),"Carlos Andres Pirachican Numpaque (Mayerli)")</f>
        <v>Carlos Andres Pirachican Numpaque (Mayerli)</v>
      </c>
      <c r="C9779" s="15" t="str">
        <f>IFERROR(__xludf.DUMMYFUNCTION("""COMPUTED_VALUE"""),"TUNJA")</f>
        <v>TUNJA</v>
      </c>
      <c r="D9779" s="15" t="str">
        <f>IFERROR(__xludf.DUMMYFUNCTION("""COMPUTED_VALUE"""),"BOGOTÁ")</f>
        <v>BOGOTÁ</v>
      </c>
      <c r="E9779" s="15" t="str">
        <f>IFERROR(__xludf.DUMMYFUNCTION("""COMPUTED_VALUE"""),"Loomifoods")</f>
        <v>Loomifoods</v>
      </c>
      <c r="F9779" s="17" t="str">
        <f>IFERROR(__xludf.DUMMYFUNCTION("""COMPUTED_VALUE"""),"Calle 19#9-39  / edificio lotería de Boyacá  / primer piso local foto digital Tunja centro")</f>
        <v>Calle 19#9-39  / edificio lotería de Boyacá  / primer piso local foto digital Tunja centro</v>
      </c>
      <c r="G9779" s="15" t="str">
        <f>IFERROR(__xludf.DUMMYFUNCTION("""COMPUTED_VALUE"""),"Yenny Parada")</f>
        <v>Yenny Parada</v>
      </c>
      <c r="H9779" s="16">
        <f>IFERROR(__xludf.DUMMYFUNCTION("""COMPUTED_VALUE"""),18555.0)</f>
        <v>18555</v>
      </c>
      <c r="I9779" s="18">
        <f>IFERROR(__xludf.DUMMYFUNCTION("""COMPUTED_VALUE"""),19.0)</f>
        <v>19</v>
      </c>
      <c r="J9779" s="18">
        <f>IFERROR(__xludf.DUMMYFUNCTION("""COMPUTED_VALUE"""),10.0)</f>
        <v>10</v>
      </c>
      <c r="K9779" s="18">
        <f>IFERROR(__xludf.DUMMYFUNCTION("""COMPUTED_VALUE"""),16.0)</f>
        <v>16</v>
      </c>
      <c r="L9779" s="17">
        <f>IFERROR(__xludf.DUMMYFUNCTION("""COMPUTED_VALUE"""),3.106729313E9)</f>
        <v>3106729313</v>
      </c>
      <c r="M9779" s="17"/>
      <c r="N9779" s="17"/>
      <c r="O9779" s="17"/>
      <c r="P9779" s="17" t="b">
        <f>IFERROR(__xludf.DUMMYFUNCTION("""COMPUTED_VALUE"""),TRUE)</f>
        <v>1</v>
      </c>
      <c r="Q9779" s="20">
        <f>IFERROR(__xludf.DUMMYFUNCTION("""COMPUTED_VALUE"""),45279.427441886575)</f>
        <v>45279.42744</v>
      </c>
      <c r="R9779" s="22" t="str">
        <f>IFERROR(__xludf.DUMMYFUNCTION("""COMPUTED_VALUE"""),"")</f>
        <v/>
      </c>
    </row>
    <row r="9780">
      <c r="A9780" s="17" t="str">
        <f>IFERROR(__xludf.DUMMYFUNCTION("""COMPUTED_VALUE"""),"")</f>
        <v/>
      </c>
      <c r="B9780" s="17" t="str">
        <f>IFERROR(__xludf.DUMMYFUNCTION("""COMPUTED_VALUE"""),"")</f>
        <v/>
      </c>
      <c r="C9780" s="17" t="str">
        <f>IFERROR(__xludf.DUMMYFUNCTION("""COMPUTED_VALUE"""),"")</f>
        <v/>
      </c>
      <c r="D9780" s="17" t="str">
        <f>IFERROR(__xludf.DUMMYFUNCTION("""COMPUTED_VALUE"""),"")</f>
        <v/>
      </c>
      <c r="E9780" s="17" t="str">
        <f>IFERROR(__xludf.DUMMYFUNCTION("""COMPUTED_VALUE"""),"")</f>
        <v/>
      </c>
      <c r="F9780" s="17" t="str">
        <f>IFERROR(__xludf.DUMMYFUNCTION("""COMPUTED_VALUE"""),"")</f>
        <v/>
      </c>
      <c r="G9780" s="17" t="str">
        <f>IFERROR(__xludf.DUMMYFUNCTION("""COMPUTED_VALUE"""),"")</f>
        <v/>
      </c>
      <c r="H9780" s="17" t="str">
        <f>IFERROR(__xludf.DUMMYFUNCTION("""COMPUTED_VALUE"""),"")</f>
        <v/>
      </c>
      <c r="I9780" s="17" t="str">
        <f>IFERROR(__xludf.DUMMYFUNCTION("""COMPUTED_VALUE"""),"")</f>
        <v/>
      </c>
      <c r="J9780" s="17" t="str">
        <f>IFERROR(__xludf.DUMMYFUNCTION("""COMPUTED_VALUE"""),"")</f>
        <v/>
      </c>
      <c r="K9780" s="17" t="str">
        <f>IFERROR(__xludf.DUMMYFUNCTION("""COMPUTED_VALUE"""),"")</f>
        <v/>
      </c>
      <c r="L9780" s="17" t="str">
        <f>IFERROR(__xludf.DUMMYFUNCTION("""COMPUTED_VALUE"""),"")</f>
        <v/>
      </c>
      <c r="M9780" s="17" t="str">
        <f>IFERROR(__xludf.DUMMYFUNCTION("""COMPUTED_VALUE"""),"")</f>
        <v/>
      </c>
      <c r="N9780" s="17" t="str">
        <f>IFERROR(__xludf.DUMMYFUNCTION("""COMPUTED_VALUE"""),"")</f>
        <v/>
      </c>
      <c r="O9780" s="17" t="str">
        <f>IFERROR(__xludf.DUMMYFUNCTION("""COMPUTED_VALUE"""),"")</f>
        <v/>
      </c>
      <c r="P9780" s="17" t="str">
        <f>IFERROR(__xludf.DUMMYFUNCTION("""COMPUTED_VALUE"""),"")</f>
        <v/>
      </c>
      <c r="Q9780" s="17" t="str">
        <f>IFERROR(__xludf.DUMMYFUNCTION("""COMPUTED_VALUE"""),"")</f>
        <v/>
      </c>
      <c r="R9780" s="17" t="str">
        <f>IFERROR(__xludf.DUMMYFUNCTION("""COMPUTED_VALUE"""),"")</f>
        <v/>
      </c>
    </row>
    <row r="9781">
      <c r="A9781" s="15">
        <f>IFERROR(__xludf.DUMMYFUNCTION("""COMPUTED_VALUE"""),45279.0)</f>
        <v>45279</v>
      </c>
      <c r="B9781" s="16" t="str">
        <f>IFERROR(__xludf.DUMMYFUNCTION("""COMPUTED_VALUE"""),"Daniel José sandoval gonzalez")</f>
        <v>Daniel José sandoval gonzalez</v>
      </c>
      <c r="C9781" s="15" t="str">
        <f>IFERROR(__xludf.DUMMYFUNCTION("""COMPUTED_VALUE"""),"BARRANQUILLA")</f>
        <v>BARRANQUILLA</v>
      </c>
      <c r="D9781" s="15" t="str">
        <f>IFERROR(__xludf.DUMMYFUNCTION("""COMPUTED_VALUE"""),"BOGOTÁ")</f>
        <v>BOGOTÁ</v>
      </c>
      <c r="E9781" s="15" t="str">
        <f>IFERROR(__xludf.DUMMYFUNCTION("""COMPUTED_VALUE"""),"Orso")</f>
        <v>Orso</v>
      </c>
      <c r="F9781" s="17" t="str">
        <f>IFERROR(__xludf.DUMMYFUNCTION("""COMPUTED_VALUE"""),"Calle 80 #65-07 / RAPPI TUBRO BARRANQUILLA / Villa Andalucía BAQ")</f>
        <v>Calle 80 #65-07 / RAPPI TUBRO BARRANQUILLA / Villa Andalucía BAQ</v>
      </c>
      <c r="G9781" s="15" t="str">
        <f>IFERROR(__xludf.DUMMYFUNCTION("""COMPUTED_VALUE"""),"RAPPI TURBO BARRANQUILLA")</f>
        <v>RAPPI TURBO BARRANQUILLA</v>
      </c>
      <c r="H9781" s="16">
        <f>IFERROR(__xludf.DUMMYFUNCTION("""COMPUTED_VALUE"""),18357.0)</f>
        <v>18357</v>
      </c>
      <c r="I9781" s="18">
        <f>IFERROR(__xludf.DUMMYFUNCTION("""COMPUTED_VALUE"""),1.0)</f>
        <v>1</v>
      </c>
      <c r="J9781" s="18">
        <f>IFERROR(__xludf.DUMMYFUNCTION("""COMPUTED_VALUE"""),1.0)</f>
        <v>1</v>
      </c>
      <c r="K9781" s="18">
        <f>IFERROR(__xludf.DUMMYFUNCTION("""COMPUTED_VALUE"""),1.0)</f>
        <v>1</v>
      </c>
      <c r="L9781" s="17">
        <f>IFERROR(__xludf.DUMMYFUNCTION("""COMPUTED_VALUE"""),3.017032143E9)</f>
        <v>3017032143</v>
      </c>
      <c r="M9781" s="17"/>
      <c r="N9781" s="17"/>
      <c r="O9781" s="17"/>
      <c r="P9781" s="17" t="b">
        <f>IFERROR(__xludf.DUMMYFUNCTION("""COMPUTED_VALUE"""),TRUE)</f>
        <v>1</v>
      </c>
      <c r="Q9781" s="20">
        <f>IFERROR(__xludf.DUMMYFUNCTION("""COMPUTED_VALUE"""),45279.427557766205)</f>
        <v>45279.42756</v>
      </c>
      <c r="R9781" s="22" t="str">
        <f>IFERROR(__xludf.DUMMYFUNCTION("""COMPUTED_VALUE"""),"")</f>
        <v/>
      </c>
    </row>
    <row r="9782">
      <c r="A9782" s="15">
        <f>IFERROR(__xludf.DUMMYFUNCTION("""COMPUTED_VALUE"""),45279.0)</f>
        <v>45279</v>
      </c>
      <c r="B9782" s="16" t="str">
        <f>IFERROR(__xludf.DUMMYFUNCTION("""COMPUTED_VALUE"""),"Daniel José sandoval gonzalez")</f>
        <v>Daniel José sandoval gonzalez</v>
      </c>
      <c r="C9782" s="15" t="str">
        <f>IFERROR(__xludf.DUMMYFUNCTION("""COMPUTED_VALUE"""),"BARRANQUILLA")</f>
        <v>BARRANQUILLA</v>
      </c>
      <c r="D9782" s="15" t="str">
        <f>IFERROR(__xludf.DUMMYFUNCTION("""COMPUTED_VALUE"""),"BOGOTÁ")</f>
        <v>BOGOTÁ</v>
      </c>
      <c r="E9782" s="15" t="str">
        <f>IFERROR(__xludf.DUMMYFUNCTION("""COMPUTED_VALUE"""),"Orso")</f>
        <v>Orso</v>
      </c>
      <c r="F9782" s="17" t="str">
        <f>IFERROR(__xludf.DUMMYFUNCTION("""COMPUTED_VALUE"""),"Calle 93 # 43-138 / RAPPI TUBRO BARRANQUILLA  / El Poblado Baq")</f>
        <v>Calle 93 # 43-138 / RAPPI TUBRO BARRANQUILLA  / El Poblado Baq</v>
      </c>
      <c r="G9782" s="15" t="str">
        <f>IFERROR(__xludf.DUMMYFUNCTION("""COMPUTED_VALUE"""),"RAPPI TURBO BARRANQUILLA")</f>
        <v>RAPPI TURBO BARRANQUILLA</v>
      </c>
      <c r="H9782" s="16">
        <f>IFERROR(__xludf.DUMMYFUNCTION("""COMPUTED_VALUE"""),18358.0)</f>
        <v>18358</v>
      </c>
      <c r="I9782" s="18">
        <f>IFERROR(__xludf.DUMMYFUNCTION("""COMPUTED_VALUE"""),1.0)</f>
        <v>1</v>
      </c>
      <c r="J9782" s="18">
        <f>IFERROR(__xludf.DUMMYFUNCTION("""COMPUTED_VALUE"""),1.0)</f>
        <v>1</v>
      </c>
      <c r="K9782" s="18">
        <f>IFERROR(__xludf.DUMMYFUNCTION("""COMPUTED_VALUE"""),1.0)</f>
        <v>1</v>
      </c>
      <c r="L9782" s="17">
        <f>IFERROR(__xludf.DUMMYFUNCTION("""COMPUTED_VALUE"""),3.017032143E9)</f>
        <v>3017032143</v>
      </c>
      <c r="M9782" s="17"/>
      <c r="N9782" s="17"/>
      <c r="O9782" s="17"/>
      <c r="P9782" s="17" t="b">
        <f>IFERROR(__xludf.DUMMYFUNCTION("""COMPUTED_VALUE"""),FALSE)</f>
        <v>0</v>
      </c>
      <c r="Q9782" s="20" t="str">
        <f>IFERROR(__xludf.DUMMYFUNCTION("""COMPUTED_VALUE"""),"")</f>
        <v/>
      </c>
      <c r="R9782" s="22" t="str">
        <f>IFERROR(__xludf.DUMMYFUNCTION("""COMPUTED_VALUE"""),"")</f>
        <v/>
      </c>
    </row>
    <row r="9783">
      <c r="A9783" s="15">
        <f>IFERROR(__xludf.DUMMYFUNCTION("""COMPUTED_VALUE"""),45279.0)</f>
        <v>45279</v>
      </c>
      <c r="B9783" s="16" t="str">
        <f>IFERROR(__xludf.DUMMYFUNCTION("""COMPUTED_VALUE"""),"Daniel José sandoval gonzalez")</f>
        <v>Daniel José sandoval gonzalez</v>
      </c>
      <c r="C9783" s="15" t="str">
        <f>IFERROR(__xludf.DUMMYFUNCTION("""COMPUTED_VALUE"""),"BARRANQUILLA")</f>
        <v>BARRANQUILLA</v>
      </c>
      <c r="D9783" s="15" t="str">
        <f>IFERROR(__xludf.DUMMYFUNCTION("""COMPUTED_VALUE"""),"BOGOTÁ")</f>
        <v>BOGOTÁ</v>
      </c>
      <c r="E9783" s="15" t="str">
        <f>IFERROR(__xludf.DUMMYFUNCTION("""COMPUTED_VALUE"""),"Orso")</f>
        <v>Orso</v>
      </c>
      <c r="F9783" s="17" t="str">
        <f>IFERROR(__xludf.DUMMYFUNCTION("""COMPUTED_VALUE"""),"Carrera 38 # 76 - 50 / RAPPI TURBO BARRANQUILLA / Las Colinas")</f>
        <v>Carrera 38 # 76 - 50 / RAPPI TURBO BARRANQUILLA / Las Colinas</v>
      </c>
      <c r="G9783" s="15" t="str">
        <f>IFERROR(__xludf.DUMMYFUNCTION("""COMPUTED_VALUE"""),"RAPPI TURBO BARRANQUILLA")</f>
        <v>RAPPI TURBO BARRANQUILLA</v>
      </c>
      <c r="H9783" s="16">
        <f>IFERROR(__xludf.DUMMYFUNCTION("""COMPUTED_VALUE"""),18359.0)</f>
        <v>18359</v>
      </c>
      <c r="I9783" s="18">
        <f>IFERROR(__xludf.DUMMYFUNCTION("""COMPUTED_VALUE"""),1.0)</f>
        <v>1</v>
      </c>
      <c r="J9783" s="18">
        <f>IFERROR(__xludf.DUMMYFUNCTION("""COMPUTED_VALUE"""),1.0)</f>
        <v>1</v>
      </c>
      <c r="K9783" s="18">
        <f>IFERROR(__xludf.DUMMYFUNCTION("""COMPUTED_VALUE"""),1.0)</f>
        <v>1</v>
      </c>
      <c r="L9783" s="17">
        <f>IFERROR(__xludf.DUMMYFUNCTION("""COMPUTED_VALUE"""),3.017032143E9)</f>
        <v>3017032143</v>
      </c>
      <c r="M9783" s="17"/>
      <c r="N9783" s="17"/>
      <c r="O9783" s="17"/>
      <c r="P9783" s="17" t="b">
        <f>IFERROR(__xludf.DUMMYFUNCTION("""COMPUTED_VALUE"""),FALSE)</f>
        <v>0</v>
      </c>
      <c r="Q9783" s="20" t="str">
        <f>IFERROR(__xludf.DUMMYFUNCTION("""COMPUTED_VALUE"""),"")</f>
        <v/>
      </c>
      <c r="R9783" s="22" t="str">
        <f>IFERROR(__xludf.DUMMYFUNCTION("""COMPUTED_VALUE"""),"")</f>
        <v/>
      </c>
    </row>
    <row r="9784">
      <c r="A9784" s="15">
        <f>IFERROR(__xludf.DUMMYFUNCTION("""COMPUTED_VALUE"""),45279.0)</f>
        <v>45279</v>
      </c>
      <c r="B9784" s="16" t="str">
        <f>IFERROR(__xludf.DUMMYFUNCTION("""COMPUTED_VALUE"""),"Daniel José sandoval gonzalez")</f>
        <v>Daniel José sandoval gonzalez</v>
      </c>
      <c r="C9784" s="15" t="str">
        <f>IFERROR(__xludf.DUMMYFUNCTION("""COMPUTED_VALUE"""),"BARRANQUILLA")</f>
        <v>BARRANQUILLA</v>
      </c>
      <c r="D9784" s="15" t="str">
        <f>IFERROR(__xludf.DUMMYFUNCTION("""COMPUTED_VALUE"""),"BOGOTÁ")</f>
        <v>BOGOTÁ</v>
      </c>
      <c r="E9784" s="15" t="str">
        <f>IFERROR(__xludf.DUMMYFUNCTION("""COMPUTED_VALUE"""),"Orso")</f>
        <v>Orso</v>
      </c>
      <c r="F9784" s="17" t="str">
        <f>IFERROR(__xludf.DUMMYFUNCTION("""COMPUTED_VALUE"""),"Cra 60 # 70-31 BARRANQUILLA / RAPPI TURBO BARRANQUILLA  / El Prado BAQ")</f>
        <v>Cra 60 # 70-31 BARRANQUILLA / RAPPI TURBO BARRANQUILLA  / El Prado BAQ</v>
      </c>
      <c r="G9784" s="15" t="str">
        <f>IFERROR(__xludf.DUMMYFUNCTION("""COMPUTED_VALUE"""),"RAPPI TURBO BARRANQUILLA")</f>
        <v>RAPPI TURBO BARRANQUILLA</v>
      </c>
      <c r="H9784" s="16">
        <f>IFERROR(__xludf.DUMMYFUNCTION("""COMPUTED_VALUE"""),18360.0)</f>
        <v>18360</v>
      </c>
      <c r="I9784" s="18">
        <f>IFERROR(__xludf.DUMMYFUNCTION("""COMPUTED_VALUE"""),1.0)</f>
        <v>1</v>
      </c>
      <c r="J9784" s="18">
        <f>IFERROR(__xludf.DUMMYFUNCTION("""COMPUTED_VALUE"""),1.0)</f>
        <v>1</v>
      </c>
      <c r="K9784" s="18">
        <f>IFERROR(__xludf.DUMMYFUNCTION("""COMPUTED_VALUE"""),1.0)</f>
        <v>1</v>
      </c>
      <c r="L9784" s="17">
        <f>IFERROR(__xludf.DUMMYFUNCTION("""COMPUTED_VALUE"""),3.017032143E9)</f>
        <v>3017032143</v>
      </c>
      <c r="M9784" s="17"/>
      <c r="N9784" s="17"/>
      <c r="O9784" s="17"/>
      <c r="P9784" s="17" t="b">
        <f>IFERROR(__xludf.DUMMYFUNCTION("""COMPUTED_VALUE"""),FALSE)</f>
        <v>0</v>
      </c>
      <c r="Q9784" s="20" t="str">
        <f>IFERROR(__xludf.DUMMYFUNCTION("""COMPUTED_VALUE"""),"")</f>
        <v/>
      </c>
      <c r="R9784" s="22" t="str">
        <f>IFERROR(__xludf.DUMMYFUNCTION("""COMPUTED_VALUE"""),"")</f>
        <v/>
      </c>
    </row>
    <row r="9785">
      <c r="A9785" s="17" t="str">
        <f>IFERROR(__xludf.DUMMYFUNCTION("""COMPUTED_VALUE"""),"")</f>
        <v/>
      </c>
      <c r="B9785" s="17" t="str">
        <f>IFERROR(__xludf.DUMMYFUNCTION("""COMPUTED_VALUE"""),"")</f>
        <v/>
      </c>
      <c r="C9785" s="17" t="str">
        <f>IFERROR(__xludf.DUMMYFUNCTION("""COMPUTED_VALUE"""),"")</f>
        <v/>
      </c>
      <c r="D9785" s="17" t="str">
        <f>IFERROR(__xludf.DUMMYFUNCTION("""COMPUTED_VALUE"""),"")</f>
        <v/>
      </c>
      <c r="E9785" s="17" t="str">
        <f>IFERROR(__xludf.DUMMYFUNCTION("""COMPUTED_VALUE"""),"")</f>
        <v/>
      </c>
      <c r="F9785" s="17" t="str">
        <f>IFERROR(__xludf.DUMMYFUNCTION("""COMPUTED_VALUE"""),"")</f>
        <v/>
      </c>
      <c r="G9785" s="17" t="str">
        <f>IFERROR(__xludf.DUMMYFUNCTION("""COMPUTED_VALUE"""),"")</f>
        <v/>
      </c>
      <c r="H9785" s="17" t="str">
        <f>IFERROR(__xludf.DUMMYFUNCTION("""COMPUTED_VALUE"""),"")</f>
        <v/>
      </c>
      <c r="I9785" s="17" t="str">
        <f>IFERROR(__xludf.DUMMYFUNCTION("""COMPUTED_VALUE"""),"")</f>
        <v/>
      </c>
      <c r="J9785" s="17" t="str">
        <f>IFERROR(__xludf.DUMMYFUNCTION("""COMPUTED_VALUE"""),"")</f>
        <v/>
      </c>
      <c r="K9785" s="17" t="str">
        <f>IFERROR(__xludf.DUMMYFUNCTION("""COMPUTED_VALUE"""),"")</f>
        <v/>
      </c>
      <c r="L9785" s="17" t="str">
        <f>IFERROR(__xludf.DUMMYFUNCTION("""COMPUTED_VALUE"""),"")</f>
        <v/>
      </c>
      <c r="M9785" s="17" t="str">
        <f>IFERROR(__xludf.DUMMYFUNCTION("""COMPUTED_VALUE"""),"")</f>
        <v/>
      </c>
      <c r="N9785" s="17" t="str">
        <f>IFERROR(__xludf.DUMMYFUNCTION("""COMPUTED_VALUE"""),"")</f>
        <v/>
      </c>
      <c r="O9785" s="17" t="str">
        <f>IFERROR(__xludf.DUMMYFUNCTION("""COMPUTED_VALUE"""),"")</f>
        <v/>
      </c>
      <c r="P9785" s="17" t="str">
        <f>IFERROR(__xludf.DUMMYFUNCTION("""COMPUTED_VALUE"""),"")</f>
        <v/>
      </c>
      <c r="Q9785" s="17" t="str">
        <f>IFERROR(__xludf.DUMMYFUNCTION("""COMPUTED_VALUE"""),"")</f>
        <v/>
      </c>
      <c r="R9785" s="17" t="str">
        <f>IFERROR(__xludf.DUMMYFUNCTION("""COMPUTED_VALUE"""),"")</f>
        <v/>
      </c>
    </row>
    <row r="9786">
      <c r="A9786" s="15">
        <f>IFERROR(__xludf.DUMMYFUNCTION("""COMPUTED_VALUE"""),45279.0)</f>
        <v>45279</v>
      </c>
      <c r="B9786" s="16" t="str">
        <f>IFERROR(__xludf.DUMMYFUNCTION("""COMPUTED_VALUE"""),"Deivi Alejandro Quintero Corrales")</f>
        <v>Deivi Alejandro Quintero Corrales</v>
      </c>
      <c r="C9786" s="15" t="str">
        <f>IFERROR(__xludf.DUMMYFUNCTION("""COMPUTED_VALUE"""),"PEREIRA")</f>
        <v>PEREIRA</v>
      </c>
      <c r="D9786" s="15" t="str">
        <f>IFERROR(__xludf.DUMMYFUNCTION("""COMPUTED_VALUE"""),"BOGOTÁ")</f>
        <v>BOGOTÁ</v>
      </c>
      <c r="E9786" s="15" t="str">
        <f>IFERROR(__xludf.DUMMYFUNCTION("""COMPUTED_VALUE"""),"Karem foods")</f>
        <v>Karem foods</v>
      </c>
      <c r="F9786" s="17" t="str">
        <f>IFERROR(__xludf.DUMMYFUNCTION("""COMPUTED_VALUE"""),"Conjunto San José De Las Villas 3 / Casa 173 Pueblito cafetero / -")</f>
        <v>Conjunto San José De Las Villas 3 / Casa 173 Pueblito cafetero / -</v>
      </c>
      <c r="G9786" s="15" t="str">
        <f>IFERROR(__xludf.DUMMYFUNCTION("""COMPUTED_VALUE"""),"Jessica Chevalier maya")</f>
        <v>Jessica Chevalier maya</v>
      </c>
      <c r="H9786" s="16">
        <f>IFERROR(__xludf.DUMMYFUNCTION("""COMPUTED_VALUE"""),18518.0)</f>
        <v>18518</v>
      </c>
      <c r="I9786" s="18">
        <f>IFERROR(__xludf.DUMMYFUNCTION("""COMPUTED_VALUE"""),7.0)</f>
        <v>7</v>
      </c>
      <c r="J9786" s="18">
        <f>IFERROR(__xludf.DUMMYFUNCTION("""COMPUTED_VALUE"""),20.0)</f>
        <v>20</v>
      </c>
      <c r="K9786" s="18">
        <f>IFERROR(__xludf.DUMMYFUNCTION("""COMPUTED_VALUE"""),20.0)</f>
        <v>20</v>
      </c>
      <c r="L9786" s="17">
        <f>IFERROR(__xludf.DUMMYFUNCTION("""COMPUTED_VALUE"""),3.195968178E9)</f>
        <v>3195968178</v>
      </c>
      <c r="M9786" s="17"/>
      <c r="N9786" s="17"/>
      <c r="O9786" s="17"/>
      <c r="P9786" s="17" t="b">
        <f>IFERROR(__xludf.DUMMYFUNCTION("""COMPUTED_VALUE"""),FALSE)</f>
        <v>0</v>
      </c>
      <c r="Q9786" s="20" t="str">
        <f>IFERROR(__xludf.DUMMYFUNCTION("""COMPUTED_VALUE"""),"")</f>
        <v/>
      </c>
      <c r="R9786" s="21" t="str">
        <f>IFERROR(__xludf.DUMMYFUNCTION("""COMPUTED_VALUE"""),"https://drive.google.com/file/d/1ZBBu807DnsLSr5O4uhNiYd8RGLrWSn6e/view?usp=drivesdk")</f>
        <v>https://drive.google.com/file/d/1ZBBu807DnsLSr5O4uhNiYd8RGLrWSn6e/view?usp=drivesdk</v>
      </c>
    </row>
    <row r="9787">
      <c r="A9787" s="15">
        <f>IFERROR(__xludf.DUMMYFUNCTION("""COMPUTED_VALUE"""),45279.0)</f>
        <v>45279</v>
      </c>
      <c r="B9787" s="16" t="str">
        <f>IFERROR(__xludf.DUMMYFUNCTION("""COMPUTED_VALUE"""),"Deivi Alejandro Quintero Corrales")</f>
        <v>Deivi Alejandro Quintero Corrales</v>
      </c>
      <c r="C9787" s="15" t="str">
        <f>IFERROR(__xludf.DUMMYFUNCTION("""COMPUTED_VALUE"""),"PEREIRA")</f>
        <v>PEREIRA</v>
      </c>
      <c r="D9787" s="15" t="str">
        <f>IFERROR(__xludf.DUMMYFUNCTION("""COMPUTED_VALUE"""),"BOGOTÁ")</f>
        <v>BOGOTÁ</v>
      </c>
      <c r="E9787" s="15" t="str">
        <f>IFERROR(__xludf.DUMMYFUNCTION("""COMPUTED_VALUE"""),"PAN DE WAFFLE")</f>
        <v>PAN DE WAFFLE</v>
      </c>
      <c r="F9787" s="17" t="str">
        <f>IFERROR(__xludf.DUMMYFUNCTION("""COMPUTED_VALUE"""),"Megacentro Pinares Piso 0 Local 019 / Megacentro Pinares Piso 0 Local 019")</f>
        <v>Megacentro Pinares Piso 0 Local 019 / Megacentro Pinares Piso 0 Local 019</v>
      </c>
      <c r="G9787" s="15" t="str">
        <f>IFERROR(__xludf.DUMMYFUNCTION("""COMPUTED_VALUE"""),"TERRASANO MEGACENTRO")</f>
        <v>TERRASANO MEGACENTRO</v>
      </c>
      <c r="H9787" s="16">
        <f>IFERROR(__xludf.DUMMYFUNCTION("""COMPUTED_VALUE"""),18528.0)</f>
        <v>18528</v>
      </c>
      <c r="I9787" s="17"/>
      <c r="J9787" s="17"/>
      <c r="K9787" s="17"/>
      <c r="L9787" s="17">
        <f>IFERROR(__xludf.DUMMYFUNCTION("""COMPUTED_VALUE"""),3.13703624E9)</f>
        <v>3137036240</v>
      </c>
      <c r="M9787" s="17"/>
      <c r="N9787" s="17"/>
      <c r="O9787" s="17"/>
      <c r="P9787" s="17" t="b">
        <f>IFERROR(__xludf.DUMMYFUNCTION("""COMPUTED_VALUE"""),FALSE)</f>
        <v>0</v>
      </c>
      <c r="Q9787" s="20" t="str">
        <f>IFERROR(__xludf.DUMMYFUNCTION("""COMPUTED_VALUE"""),"")</f>
        <v/>
      </c>
      <c r="R9787" s="22" t="str">
        <f>IFERROR(__xludf.DUMMYFUNCTION("""COMPUTED_VALUE"""),"")</f>
        <v/>
      </c>
    </row>
    <row r="9788">
      <c r="A9788" s="15">
        <f>IFERROR(__xludf.DUMMYFUNCTION("""COMPUTED_VALUE"""),45279.0)</f>
        <v>45279</v>
      </c>
      <c r="B9788" s="16" t="str">
        <f>IFERROR(__xludf.DUMMYFUNCTION("""COMPUTED_VALUE"""),"Deivi Alejandro Quintero Corrales")</f>
        <v>Deivi Alejandro Quintero Corrales</v>
      </c>
      <c r="C9788" s="15" t="str">
        <f>IFERROR(__xludf.DUMMYFUNCTION("""COMPUTED_VALUE"""),"PEREIRA")</f>
        <v>PEREIRA</v>
      </c>
      <c r="D9788" s="15" t="str">
        <f>IFERROR(__xludf.DUMMYFUNCTION("""COMPUTED_VALUE"""),"BOGOTÁ")</f>
        <v>BOGOTÁ</v>
      </c>
      <c r="E9788" s="15" t="str">
        <f>IFERROR(__xludf.DUMMYFUNCTION("""COMPUTED_VALUE"""),"THE SMOKED HOUSE SAS")</f>
        <v>THE SMOKED HOUSE SAS</v>
      </c>
      <c r="F9788" s="17" t="str">
        <f>IFERROR(__xludf.DUMMYFUNCTION("""COMPUTED_VALUE"""),"Calle 21 # 28 B - 16 / Barrio Las Gaviotas")</f>
        <v>Calle 21 # 28 B - 16 / Barrio Las Gaviotas</v>
      </c>
      <c r="G9788" s="15" t="str">
        <f>IFERROR(__xludf.DUMMYFUNCTION("""COMPUTED_VALUE"""),"Laura Holguín")</f>
        <v>Laura Holguín</v>
      </c>
      <c r="H9788" s="16">
        <f>IFERROR(__xludf.DUMMYFUNCTION("""COMPUTED_VALUE"""),18490.0)</f>
        <v>18490</v>
      </c>
      <c r="I9788" s="17"/>
      <c r="J9788" s="17"/>
      <c r="K9788" s="17"/>
      <c r="L9788" s="17">
        <f>IFERROR(__xludf.DUMMYFUNCTION("""COMPUTED_VALUE"""),3.177032036E9)</f>
        <v>3177032036</v>
      </c>
      <c r="M9788" s="17"/>
      <c r="N9788" s="17"/>
      <c r="O9788" s="17"/>
      <c r="P9788" s="17" t="b">
        <f>IFERROR(__xludf.DUMMYFUNCTION("""COMPUTED_VALUE"""),FALSE)</f>
        <v>0</v>
      </c>
      <c r="Q9788" s="20" t="str">
        <f>IFERROR(__xludf.DUMMYFUNCTION("""COMPUTED_VALUE"""),"")</f>
        <v/>
      </c>
      <c r="R9788" s="21" t="str">
        <f>IFERROR(__xludf.DUMMYFUNCTION("""COMPUTED_VALUE"""),"https://drive.google.com/file/d/18FE92J_j-LT5HIG0m1PdbKpLtXcRO6_U/view?usp=drivesdk")</f>
        <v>https://drive.google.com/file/d/18FE92J_j-LT5HIG0m1PdbKpLtXcRO6_U/view?usp=drivesdk</v>
      </c>
    </row>
    <row r="9789">
      <c r="A9789" s="15">
        <f>IFERROR(__xludf.DUMMYFUNCTION("""COMPUTED_VALUE"""),45279.0)</f>
        <v>45279</v>
      </c>
      <c r="B9789" s="16" t="str">
        <f>IFERROR(__xludf.DUMMYFUNCTION("""COMPUTED_VALUE"""),"Deivi Alejandro Quintero Corrales")</f>
        <v>Deivi Alejandro Quintero Corrales</v>
      </c>
      <c r="C9789" s="15" t="str">
        <f>IFERROR(__xludf.DUMMYFUNCTION("""COMPUTED_VALUE"""),"PEREIRA")</f>
        <v>PEREIRA</v>
      </c>
      <c r="D9789" s="15" t="str">
        <f>IFERROR(__xludf.DUMMYFUNCTION("""COMPUTED_VALUE"""),"BOGOTÁ")</f>
        <v>BOGOTÁ</v>
      </c>
      <c r="E9789" s="15" t="str">
        <f>IFERROR(__xludf.DUMMYFUNCTION("""COMPUTED_VALUE"""),"THE SMOKED HOUSE SAS")</f>
        <v>THE SMOKED HOUSE SAS</v>
      </c>
      <c r="F9789" s="17" t="str">
        <f>IFERROR(__xludf.DUMMYFUNCTION("""COMPUTED_VALUE"""),"Carrera 7 # 28 - 37 / Al lado de la Iglesia Bautista Berea")</f>
        <v>Carrera 7 # 28 - 37 / Al lado de la Iglesia Bautista Berea</v>
      </c>
      <c r="G9789" s="15" t="str">
        <f>IFERROR(__xludf.DUMMYFUNCTION("""COMPUTED_VALUE"""),"Maria José Mejía")</f>
        <v>Maria José Mejía</v>
      </c>
      <c r="H9789" s="16">
        <f>IFERROR(__xludf.DUMMYFUNCTION("""COMPUTED_VALUE"""),18489.0)</f>
        <v>18489</v>
      </c>
      <c r="I9789" s="17"/>
      <c r="J9789" s="17"/>
      <c r="K9789" s="17"/>
      <c r="L9789" s="17">
        <f>IFERROR(__xludf.DUMMYFUNCTION("""COMPUTED_VALUE"""),3.013891783E9)</f>
        <v>3013891783</v>
      </c>
      <c r="M9789" s="17"/>
      <c r="N9789" s="17"/>
      <c r="O9789" s="17"/>
      <c r="P9789" s="17" t="b">
        <f>IFERROR(__xludf.DUMMYFUNCTION("""COMPUTED_VALUE"""),TRUE)</f>
        <v>1</v>
      </c>
      <c r="Q9789" s="20">
        <f>IFERROR(__xludf.DUMMYFUNCTION("""COMPUTED_VALUE"""),45279.73509210648)</f>
        <v>45279.73509</v>
      </c>
      <c r="R9789" s="21" t="str">
        <f>IFERROR(__xludf.DUMMYFUNCTION("""COMPUTED_VALUE"""),"https://drive.google.com/file/d/18XoB9BFdJoKtZ8NFrFfGyXaXwD6DpD03/view?usp=drivesdk")</f>
        <v>https://drive.google.com/file/d/18XoB9BFdJoKtZ8NFrFfGyXaXwD6DpD03/view?usp=drivesdk</v>
      </c>
    </row>
    <row r="9790">
      <c r="A9790" s="15">
        <f>IFERROR(__xludf.DUMMYFUNCTION("""COMPUTED_VALUE"""),45279.0)</f>
        <v>45279</v>
      </c>
      <c r="B9790" s="16" t="str">
        <f>IFERROR(__xludf.DUMMYFUNCTION("""COMPUTED_VALUE"""),"Deivi Alejandro Quintero Corrales")</f>
        <v>Deivi Alejandro Quintero Corrales</v>
      </c>
      <c r="C9790" s="15" t="str">
        <f>IFERROR(__xludf.DUMMYFUNCTION("""COMPUTED_VALUE"""),"PEREIRA")</f>
        <v>PEREIRA</v>
      </c>
      <c r="D9790" s="15" t="str">
        <f>IFERROR(__xludf.DUMMYFUNCTION("""COMPUTED_VALUE"""),"MEDELLÍN")</f>
        <v>MEDELLÍN</v>
      </c>
      <c r="E9790" s="15" t="str">
        <f>IFERROR(__xludf.DUMMYFUNCTION("""COMPUTED_VALUE"""),"AREPAS LA MARY")</f>
        <v>AREPAS LA MARY</v>
      </c>
      <c r="F9790" s="17" t="str">
        <f>IFERROR(__xludf.DUMMYFUNCTION("""COMPUTED_VALUE"""),"CALLE 14 # 14-15 / LOCAL")</f>
        <v>CALLE 14 # 14-15 / LOCAL</v>
      </c>
      <c r="G9790" s="15" t="str">
        <f>IFERROR(__xludf.DUMMYFUNCTION("""COMPUTED_VALUE"""),"MAJANA FIT")</f>
        <v>MAJANA FIT</v>
      </c>
      <c r="H9790" s="16">
        <f>IFERROR(__xludf.DUMMYFUNCTION("""COMPUTED_VALUE"""),18526.0)</f>
        <v>18526</v>
      </c>
      <c r="I9790" s="17"/>
      <c r="J9790" s="17"/>
      <c r="K9790" s="17"/>
      <c r="L9790" s="17">
        <f>IFERROR(__xludf.DUMMYFUNCTION("""COMPUTED_VALUE"""),3.016794068E9)</f>
        <v>3016794068</v>
      </c>
      <c r="M9790" s="17"/>
      <c r="N9790" s="17"/>
      <c r="O9790" s="17"/>
      <c r="P9790" s="17" t="b">
        <f>IFERROR(__xludf.DUMMYFUNCTION("""COMPUTED_VALUE"""),FALSE)</f>
        <v>0</v>
      </c>
      <c r="Q9790" s="20" t="str">
        <f>IFERROR(__xludf.DUMMYFUNCTION("""COMPUTED_VALUE"""),"")</f>
        <v/>
      </c>
      <c r="R9790" s="22" t="str">
        <f>IFERROR(__xludf.DUMMYFUNCTION("""COMPUTED_VALUE"""),"")</f>
        <v/>
      </c>
    </row>
    <row r="9791">
      <c r="A9791" s="15">
        <f>IFERROR(__xludf.DUMMYFUNCTION("""COMPUTED_VALUE"""),45279.0)</f>
        <v>45279</v>
      </c>
      <c r="B9791" s="16" t="str">
        <f>IFERROR(__xludf.DUMMYFUNCTION("""COMPUTED_VALUE"""),"Deivi Alejandro Quintero Corrales")</f>
        <v>Deivi Alejandro Quintero Corrales</v>
      </c>
      <c r="C9791" s="15" t="str">
        <f>IFERROR(__xludf.DUMMYFUNCTION("""COMPUTED_VALUE"""),"PEREIRA")</f>
        <v>PEREIRA</v>
      </c>
      <c r="D9791" s="15" t="str">
        <f>IFERROR(__xludf.DUMMYFUNCTION("""COMPUTED_VALUE"""),"MEDELLÍN")</f>
        <v>MEDELLÍN</v>
      </c>
      <c r="E9791" s="15" t="str">
        <f>IFERROR(__xludf.DUMMYFUNCTION("""COMPUTED_VALUE"""),"Goyo Todo por ellos")</f>
        <v>Goyo Todo por ellos</v>
      </c>
      <c r="F9791" s="17" t="str">
        <f>IFERROR(__xludf.DUMMYFUNCTION("""COMPUTED_VALUE"""),"Calle 12 bis #16 18 / Casa Hoja Comunidad Consciente  / Barrio Pinares")</f>
        <v>Calle 12 bis #16 18 / Casa Hoja Comunidad Consciente  / Barrio Pinares</v>
      </c>
      <c r="G9791" s="15" t="str">
        <f>IFERROR(__xludf.DUMMYFUNCTION("""COMPUTED_VALUE"""),"Hector Hernandez")</f>
        <v>Hector Hernandez</v>
      </c>
      <c r="H9791" s="16">
        <f>IFERROR(__xludf.DUMMYFUNCTION("""COMPUTED_VALUE"""),18516.0)</f>
        <v>18516</v>
      </c>
      <c r="I9791" s="18">
        <f>IFERROR(__xludf.DUMMYFUNCTION("""COMPUTED_VALUE"""),14.0)</f>
        <v>14</v>
      </c>
      <c r="J9791" s="18">
        <f>IFERROR(__xludf.DUMMYFUNCTION("""COMPUTED_VALUE"""),26.0)</f>
        <v>26</v>
      </c>
      <c r="K9791" s="18">
        <f>IFERROR(__xludf.DUMMYFUNCTION("""COMPUTED_VALUE"""),28.0)</f>
        <v>28</v>
      </c>
      <c r="L9791" s="17">
        <f>IFERROR(__xludf.DUMMYFUNCTION("""COMPUTED_VALUE"""),3.14591145E9)</f>
        <v>3145911450</v>
      </c>
      <c r="M9791" s="17"/>
      <c r="N9791" s="17"/>
      <c r="O9791" s="17"/>
      <c r="P9791" s="17" t="b">
        <f>IFERROR(__xludf.DUMMYFUNCTION("""COMPUTED_VALUE"""),FALSE)</f>
        <v>0</v>
      </c>
      <c r="Q9791" s="20" t="str">
        <f>IFERROR(__xludf.DUMMYFUNCTION("""COMPUTED_VALUE"""),"")</f>
        <v/>
      </c>
      <c r="R9791" s="21" t="str">
        <f>IFERROR(__xludf.DUMMYFUNCTION("""COMPUTED_VALUE"""),"https://drive.google.com/file/d/1TetoK-EpOy2kE8oarLHdCPwfpO12xLrx/view?usp=drivesdk")</f>
        <v>https://drive.google.com/file/d/1TetoK-EpOy2kE8oarLHdCPwfpO12xLrx/view?usp=drivesdk</v>
      </c>
    </row>
    <row r="9792">
      <c r="A9792" s="15">
        <f>IFERROR(__xludf.DUMMYFUNCTION("""COMPUTED_VALUE"""),45279.0)</f>
        <v>45279</v>
      </c>
      <c r="B9792" s="16" t="str">
        <f>IFERROR(__xludf.DUMMYFUNCTION("""COMPUTED_VALUE"""),"Deivi Alejandro Quintero Corrales")</f>
        <v>Deivi Alejandro Quintero Corrales</v>
      </c>
      <c r="C9792" s="15" t="str">
        <f>IFERROR(__xludf.DUMMYFUNCTION("""COMPUTED_VALUE"""),"PEREIRA")</f>
        <v>PEREIRA</v>
      </c>
      <c r="D9792" s="15" t="str">
        <f>IFERROR(__xludf.DUMMYFUNCTION("""COMPUTED_VALUE"""),"MEDELLÍN")</f>
        <v>MEDELLÍN</v>
      </c>
      <c r="E9792" s="15" t="str">
        <f>IFERROR(__xludf.DUMMYFUNCTION("""COMPUTED_VALUE"""),"Salón Ahumado")</f>
        <v>Salón Ahumado</v>
      </c>
      <c r="F9792" s="17" t="str">
        <f>IFERROR(__xludf.DUMMYFUNCTION("""COMPUTED_VALUE"""),"Via pereira cerritos CC cerritos del mar local 27 restaurante el correo / Restaurante  el correo / Cerritos")</f>
        <v>Via pereira cerritos CC cerritos del mar local 27 restaurante el correo / Restaurante  el correo / Cerritos</v>
      </c>
      <c r="G9792" s="15" t="str">
        <f>IFERROR(__xludf.DUMMYFUNCTION("""COMPUTED_VALUE"""),"Restaurante el Correo")</f>
        <v>Restaurante el Correo</v>
      </c>
      <c r="H9792" s="16">
        <f>IFERROR(__xludf.DUMMYFUNCTION("""COMPUTED_VALUE"""),18504.0)</f>
        <v>18504</v>
      </c>
      <c r="I9792" s="18">
        <f>IFERROR(__xludf.DUMMYFUNCTION("""COMPUTED_VALUE"""),17.0)</f>
        <v>17</v>
      </c>
      <c r="J9792" s="18">
        <f>IFERROR(__xludf.DUMMYFUNCTION("""COMPUTED_VALUE"""),50.0)</f>
        <v>50</v>
      </c>
      <c r="K9792" s="18">
        <f>IFERROR(__xludf.DUMMYFUNCTION("""COMPUTED_VALUE"""),50.0)</f>
        <v>50</v>
      </c>
      <c r="L9792" s="17">
        <f>IFERROR(__xludf.DUMMYFUNCTION("""COMPUTED_VALUE"""),3.008647316E9)</f>
        <v>3008647316</v>
      </c>
      <c r="M9792" s="17"/>
      <c r="N9792" s="17"/>
      <c r="O9792" s="17"/>
      <c r="P9792" s="17" t="b">
        <f>IFERROR(__xludf.DUMMYFUNCTION("""COMPUTED_VALUE"""),TRUE)</f>
        <v>1</v>
      </c>
      <c r="Q9792" s="20">
        <f>IFERROR(__xludf.DUMMYFUNCTION("""COMPUTED_VALUE"""),45279.73687920139)</f>
        <v>45279.73688</v>
      </c>
      <c r="R9792" s="21" t="str">
        <f>IFERROR(__xludf.DUMMYFUNCTION("""COMPUTED_VALUE"""),"https://drive.google.com/file/d/1NfzmiEoz6dIpstu-k1j6YsJ_CzjeNl8m/view?usp=drivesdk")</f>
        <v>https://drive.google.com/file/d/1NfzmiEoz6dIpstu-k1j6YsJ_CzjeNl8m/view?usp=drivesdk</v>
      </c>
    </row>
    <row r="9793">
      <c r="A9793" s="15">
        <f>IFERROR(__xludf.DUMMYFUNCTION("""COMPUTED_VALUE"""),45279.0)</f>
        <v>45279</v>
      </c>
      <c r="B9793" s="16" t="str">
        <f>IFERROR(__xludf.DUMMYFUNCTION("""COMPUTED_VALUE"""),"Deivi Alejandro Quintero Corrales")</f>
        <v>Deivi Alejandro Quintero Corrales</v>
      </c>
      <c r="C9793" s="15" t="str">
        <f>IFERROR(__xludf.DUMMYFUNCTION("""COMPUTED_VALUE"""),"PEREIRA")</f>
        <v>PEREIRA</v>
      </c>
      <c r="D9793" s="15" t="str">
        <f>IFERROR(__xludf.DUMMYFUNCTION("""COMPUTED_VALUE"""),"MEDELLÍN")</f>
        <v>MEDELLÍN</v>
      </c>
      <c r="E9793" s="15" t="str">
        <f>IFERROR(__xludf.DUMMYFUNCTION("""COMPUTED_VALUE"""),"Todo Bufala")</f>
        <v>Todo Bufala</v>
      </c>
      <c r="F9793" s="17" t="str">
        <f>IFERROR(__xludf.DUMMYFUNCTION("""COMPUTED_VALUE"""),"Cra 14 N 12-55 Circunvalar / Cra 14 N 12-55 Circunvalar")</f>
        <v>Cra 14 N 12-55 Circunvalar / Cra 14 N 12-55 Circunvalar</v>
      </c>
      <c r="G9793" s="15" t="str">
        <f>IFERROR(__xludf.DUMMYFUNCTION("""COMPUTED_VALUE"""),"Jeimy Jaramillo-Inversiones saludables vita SAS")</f>
        <v>Jeimy Jaramillo-Inversiones saludables vita SAS</v>
      </c>
      <c r="H9793" s="16">
        <f>IFERROR(__xludf.DUMMYFUNCTION("""COMPUTED_VALUE"""),18507.0)</f>
        <v>18507</v>
      </c>
      <c r="I9793" s="17"/>
      <c r="J9793" s="17"/>
      <c r="K9793" s="17"/>
      <c r="L9793" s="17">
        <f>IFERROR(__xludf.DUMMYFUNCTION("""COMPUTED_VALUE"""),3.14645528E9)</f>
        <v>3146455280</v>
      </c>
      <c r="M9793" s="17"/>
      <c r="N9793" s="17"/>
      <c r="O9793" s="17"/>
      <c r="P9793" s="17" t="b">
        <f>IFERROR(__xludf.DUMMYFUNCTION("""COMPUTED_VALUE"""),FALSE)</f>
        <v>0</v>
      </c>
      <c r="Q9793" s="20" t="str">
        <f>IFERROR(__xludf.DUMMYFUNCTION("""COMPUTED_VALUE"""),"")</f>
        <v/>
      </c>
      <c r="R9793" s="21" t="str">
        <f>IFERROR(__xludf.DUMMYFUNCTION("""COMPUTED_VALUE"""),"https://drive.google.com/file/d/1aV_N86RQuhrge0wT0oOpPsZeXedCWL1E/view?usp=drivesdk")</f>
        <v>https://drive.google.com/file/d/1aV_N86RQuhrge0wT0oOpPsZeXedCWL1E/view?usp=drivesdk</v>
      </c>
    </row>
    <row r="9794">
      <c r="A9794" s="15">
        <f>IFERROR(__xludf.DUMMYFUNCTION("""COMPUTED_VALUE"""),45279.0)</f>
        <v>45279</v>
      </c>
      <c r="B9794" s="16" t="str">
        <f>IFERROR(__xludf.DUMMYFUNCTION("""COMPUTED_VALUE"""),"Deivi Alejandro Quintero Corrales")</f>
        <v>Deivi Alejandro Quintero Corrales</v>
      </c>
      <c r="C9794" s="15" t="str">
        <f>IFERROR(__xludf.DUMMYFUNCTION("""COMPUTED_VALUE"""),"PEREIRA")</f>
        <v>PEREIRA</v>
      </c>
      <c r="D9794" s="15" t="str">
        <f>IFERROR(__xludf.DUMMYFUNCTION("""COMPUTED_VALUE"""),"MEDELLÍN")</f>
        <v>MEDELLÍN</v>
      </c>
      <c r="E9794" s="15" t="str">
        <f>IFERROR(__xludf.DUMMYFUNCTION("""COMPUTED_VALUE"""),"TOLEDALES S.A.S")</f>
        <v>TOLEDALES S.A.S</v>
      </c>
      <c r="F9794" s="17" t="str">
        <f>IFERROR(__xludf.DUMMYFUNCTION("""COMPUTED_VALUE"""),"carrera 26 no 82-69 / casa 32 mz 34")</f>
        <v>carrera 26 no 82-69 / casa 32 mz 34</v>
      </c>
      <c r="G9794" s="15" t="str">
        <f>IFERROR(__xludf.DUMMYFUNCTION("""COMPUTED_VALUE"""),"BAMBUSA")</f>
        <v>BAMBUSA</v>
      </c>
      <c r="H9794" s="16">
        <f>IFERROR(__xludf.DUMMYFUNCTION("""COMPUTED_VALUE"""),18333.0)</f>
        <v>18333</v>
      </c>
      <c r="I9794" s="17"/>
      <c r="J9794" s="17"/>
      <c r="K9794" s="17"/>
      <c r="L9794" s="17">
        <f>IFERROR(__xludf.DUMMYFUNCTION("""COMPUTED_VALUE"""),3.122891226E9)</f>
        <v>3122891226</v>
      </c>
      <c r="M9794" s="17"/>
      <c r="N9794" s="17"/>
      <c r="O9794" s="17"/>
      <c r="P9794" s="17" t="b">
        <f>IFERROR(__xludf.DUMMYFUNCTION("""COMPUTED_VALUE"""),FALSE)</f>
        <v>0</v>
      </c>
      <c r="Q9794" s="20" t="str">
        <f>IFERROR(__xludf.DUMMYFUNCTION("""COMPUTED_VALUE"""),"")</f>
        <v/>
      </c>
      <c r="R9794" s="21" t="str">
        <f>IFERROR(__xludf.DUMMYFUNCTION("""COMPUTED_VALUE"""),"https://drive.google.com/file/d/1AIxi6F6hE07MR5nhldoQmrE7zr1TIbD2/view?usp=drivesdk")</f>
        <v>https://drive.google.com/file/d/1AIxi6F6hE07MR5nhldoQmrE7zr1TIbD2/view?usp=drivesdk</v>
      </c>
    </row>
    <row r="9795">
      <c r="A9795" s="17" t="str">
        <f>IFERROR(__xludf.DUMMYFUNCTION("""COMPUTED_VALUE"""),"")</f>
        <v/>
      </c>
      <c r="B9795" s="17" t="str">
        <f>IFERROR(__xludf.DUMMYFUNCTION("""COMPUTED_VALUE"""),"")</f>
        <v/>
      </c>
      <c r="C9795" s="17" t="str">
        <f>IFERROR(__xludf.DUMMYFUNCTION("""COMPUTED_VALUE"""),"")</f>
        <v/>
      </c>
      <c r="D9795" s="17" t="str">
        <f>IFERROR(__xludf.DUMMYFUNCTION("""COMPUTED_VALUE"""),"")</f>
        <v/>
      </c>
      <c r="E9795" s="17" t="str">
        <f>IFERROR(__xludf.DUMMYFUNCTION("""COMPUTED_VALUE"""),"")</f>
        <v/>
      </c>
      <c r="F9795" s="17" t="str">
        <f>IFERROR(__xludf.DUMMYFUNCTION("""COMPUTED_VALUE"""),"")</f>
        <v/>
      </c>
      <c r="G9795" s="17" t="str">
        <f>IFERROR(__xludf.DUMMYFUNCTION("""COMPUTED_VALUE"""),"")</f>
        <v/>
      </c>
      <c r="H9795" s="17" t="str">
        <f>IFERROR(__xludf.DUMMYFUNCTION("""COMPUTED_VALUE"""),"")</f>
        <v/>
      </c>
      <c r="I9795" s="17" t="str">
        <f>IFERROR(__xludf.DUMMYFUNCTION("""COMPUTED_VALUE"""),"")</f>
        <v/>
      </c>
      <c r="J9795" s="17" t="str">
        <f>IFERROR(__xludf.DUMMYFUNCTION("""COMPUTED_VALUE"""),"")</f>
        <v/>
      </c>
      <c r="K9795" s="17" t="str">
        <f>IFERROR(__xludf.DUMMYFUNCTION("""COMPUTED_VALUE"""),"")</f>
        <v/>
      </c>
      <c r="L9795" s="17" t="str">
        <f>IFERROR(__xludf.DUMMYFUNCTION("""COMPUTED_VALUE"""),"")</f>
        <v/>
      </c>
      <c r="M9795" s="17" t="str">
        <f>IFERROR(__xludf.DUMMYFUNCTION("""COMPUTED_VALUE"""),"")</f>
        <v/>
      </c>
      <c r="N9795" s="17" t="str">
        <f>IFERROR(__xludf.DUMMYFUNCTION("""COMPUTED_VALUE"""),"")</f>
        <v/>
      </c>
      <c r="O9795" s="17" t="str">
        <f>IFERROR(__xludf.DUMMYFUNCTION("""COMPUTED_VALUE"""),"")</f>
        <v/>
      </c>
      <c r="P9795" s="17" t="str">
        <f>IFERROR(__xludf.DUMMYFUNCTION("""COMPUTED_VALUE"""),"")</f>
        <v/>
      </c>
      <c r="Q9795" s="17" t="str">
        <f>IFERROR(__xludf.DUMMYFUNCTION("""COMPUTED_VALUE"""),"")</f>
        <v/>
      </c>
      <c r="R9795" s="17" t="str">
        <f>IFERROR(__xludf.DUMMYFUNCTION("""COMPUTED_VALUE"""),"")</f>
        <v/>
      </c>
    </row>
    <row r="9796">
      <c r="A9796" s="15">
        <f>IFERROR(__xludf.DUMMYFUNCTION("""COMPUTED_VALUE"""),45279.0)</f>
        <v>45279</v>
      </c>
      <c r="B9796" s="16" t="str">
        <f>IFERROR(__xludf.DUMMYFUNCTION("""COMPUTED_VALUE"""),"Diego Alexis Ramirez Zamora ")</f>
        <v>Diego Alexis Ramirez Zamora </v>
      </c>
      <c r="C9796" s="15" t="str">
        <f>IFERROR(__xludf.DUMMYFUNCTION("""COMPUTED_VALUE"""),"ARMENIA")</f>
        <v>ARMENIA</v>
      </c>
      <c r="D9796" s="15" t="str">
        <f>IFERROR(__xludf.DUMMYFUNCTION("""COMPUTED_VALUE"""),"BOGOTÁ")</f>
        <v>BOGOTÁ</v>
      </c>
      <c r="E9796" s="15" t="str">
        <f>IFERROR(__xludf.DUMMYFUNCTION("""COMPUTED_VALUE"""),"Hiiva Fermentados SAS")</f>
        <v>Hiiva Fermentados SAS</v>
      </c>
      <c r="F9796" s="17" t="str">
        <f>IFERROR(__xludf.DUMMYFUNCTION("""COMPUTED_VALUE"""),"Cra 15#22 norte -77 / local 13")</f>
        <v>Cra 15#22 norte -77 / local 13</v>
      </c>
      <c r="G9796" s="15" t="str">
        <f>IFERROR(__xludf.DUMMYFUNCTION("""COMPUTED_VALUE"""),"Tienda Fitness Armenia")</f>
        <v>Tienda Fitness Armenia</v>
      </c>
      <c r="H9796" s="16">
        <f>IFERROR(__xludf.DUMMYFUNCTION("""COMPUTED_VALUE"""),18554.0)</f>
        <v>18554</v>
      </c>
      <c r="I9796" s="17"/>
      <c r="J9796" s="17"/>
      <c r="K9796" s="17"/>
      <c r="L9796" s="17">
        <f>IFERROR(__xludf.DUMMYFUNCTION("""COMPUTED_VALUE"""),3.217007417E9)</f>
        <v>3217007417</v>
      </c>
      <c r="M9796" s="17"/>
      <c r="N9796" s="17"/>
      <c r="O9796" s="17"/>
      <c r="P9796" s="17" t="b">
        <f>IFERROR(__xludf.DUMMYFUNCTION("""COMPUTED_VALUE"""),FALSE)</f>
        <v>0</v>
      </c>
      <c r="Q9796" s="20" t="str">
        <f>IFERROR(__xludf.DUMMYFUNCTION("""COMPUTED_VALUE"""),"")</f>
        <v/>
      </c>
      <c r="R9796" s="21" t="str">
        <f>IFERROR(__xludf.DUMMYFUNCTION("""COMPUTED_VALUE"""),"https://drive.google.com/file/d/1Xnp-BTRjISPbxQkQickWv3CeJAqK1WMw/view?usp=drivesdk")</f>
        <v>https://drive.google.com/file/d/1Xnp-BTRjISPbxQkQickWv3CeJAqK1WMw/view?usp=drivesdk</v>
      </c>
    </row>
    <row r="9797">
      <c r="A9797" s="15">
        <f>IFERROR(__xludf.DUMMYFUNCTION("""COMPUTED_VALUE"""),45279.0)</f>
        <v>45279</v>
      </c>
      <c r="B9797" s="16" t="str">
        <f>IFERROR(__xludf.DUMMYFUNCTION("""COMPUTED_VALUE"""),"Diego Alexis Ramirez Zamora ")</f>
        <v>Diego Alexis Ramirez Zamora </v>
      </c>
      <c r="C9797" s="15" t="str">
        <f>IFERROR(__xludf.DUMMYFUNCTION("""COMPUTED_VALUE"""),"ARMENIA")</f>
        <v>ARMENIA</v>
      </c>
      <c r="D9797" s="15" t="str">
        <f>IFERROR(__xludf.DUMMYFUNCTION("""COMPUTED_VALUE"""),"BOGOTÁ")</f>
        <v>BOGOTÁ</v>
      </c>
      <c r="E9797" s="15" t="str">
        <f>IFERROR(__xludf.DUMMYFUNCTION("""COMPUTED_VALUE"""),"PAN DE WAFFLE")</f>
        <v>PAN DE WAFFLE</v>
      </c>
      <c r="F9797" s="17" t="str">
        <f>IFERROR(__xludf.DUMMYFUNCTION("""COMPUTED_VALUE"""),"Calle 25 NORTE 13 - 31 Local 7 Privilegio Mall / Calle 25 NORTE 13 - 31 Local 7 Privilegio Mall")</f>
        <v>Calle 25 NORTE 13 - 31 Local 7 Privilegio Mall / Calle 25 NORTE 13 - 31 Local 7 Privilegio Mall</v>
      </c>
      <c r="G9797" s="15" t="str">
        <f>IFERROR(__xludf.DUMMYFUNCTION("""COMPUTED_VALUE"""),"FEEL FIT")</f>
        <v>FEEL FIT</v>
      </c>
      <c r="H9797" s="16">
        <f>IFERROR(__xludf.DUMMYFUNCTION("""COMPUTED_VALUE"""),18545.0)</f>
        <v>18545</v>
      </c>
      <c r="I9797" s="17"/>
      <c r="J9797" s="17"/>
      <c r="K9797" s="17"/>
      <c r="L9797" s="17">
        <f>IFERROR(__xludf.DUMMYFUNCTION("""COMPUTED_VALUE"""),3.113745588E9)</f>
        <v>3113745588</v>
      </c>
      <c r="M9797" s="17"/>
      <c r="N9797" s="17"/>
      <c r="O9797" s="17"/>
      <c r="P9797" s="17" t="b">
        <f>IFERROR(__xludf.DUMMYFUNCTION("""COMPUTED_VALUE"""),FALSE)</f>
        <v>0</v>
      </c>
      <c r="Q9797" s="20" t="str">
        <f>IFERROR(__xludf.DUMMYFUNCTION("""COMPUTED_VALUE"""),"")</f>
        <v/>
      </c>
      <c r="R9797" s="21" t="str">
        <f>IFERROR(__xludf.DUMMYFUNCTION("""COMPUTED_VALUE"""),"https://drive.google.com/file/d/17DzMTE-L3XWnfo1pYic4YdsEsOaahCkA/view?usp=drivesdk")</f>
        <v>https://drive.google.com/file/d/17DzMTE-L3XWnfo1pYic4YdsEsOaahCkA/view?usp=drivesdk</v>
      </c>
    </row>
    <row r="9798">
      <c r="A9798" s="15">
        <f>IFERROR(__xludf.DUMMYFUNCTION("""COMPUTED_VALUE"""),45279.0)</f>
        <v>45279</v>
      </c>
      <c r="B9798" s="16" t="str">
        <f>IFERROR(__xludf.DUMMYFUNCTION("""COMPUTED_VALUE"""),"Diego Alexis Ramirez Zamora ")</f>
        <v>Diego Alexis Ramirez Zamora </v>
      </c>
      <c r="C9798" s="15" t="str">
        <f>IFERROR(__xludf.DUMMYFUNCTION("""COMPUTED_VALUE"""),"ARMENIA")</f>
        <v>ARMENIA</v>
      </c>
      <c r="D9798" s="15" t="str">
        <f>IFERROR(__xludf.DUMMYFUNCTION("""COMPUTED_VALUE"""),"BOGOTÁ")</f>
        <v>BOGOTÁ</v>
      </c>
      <c r="E9798" s="15" t="str">
        <f>IFERROR(__xludf.DUMMYFUNCTION("""COMPUTED_VALUE"""),"PAN DE WAFFLE")</f>
        <v>PAN DE WAFFLE</v>
      </c>
      <c r="F9798" s="17" t="str">
        <f>IFERROR(__xludf.DUMMYFUNCTION("""COMPUTED_VALUE"""),"carrera 13 # 9a - 58, local 5, con la castellana / carrera 13 # 9a - 58, local 5, con la castellana")</f>
        <v>carrera 13 # 9a - 58, local 5, con la castellana / carrera 13 # 9a - 58, local 5, con la castellana</v>
      </c>
      <c r="G9798" s="15" t="str">
        <f>IFERROR(__xludf.DUMMYFUNCTION("""COMPUTED_VALUE"""),"TIENDA FITNESS ECO")</f>
        <v>TIENDA FITNESS ECO</v>
      </c>
      <c r="H9798" s="16">
        <f>IFERROR(__xludf.DUMMYFUNCTION("""COMPUTED_VALUE"""),18496.0)</f>
        <v>18496</v>
      </c>
      <c r="I9798" s="17"/>
      <c r="J9798" s="17"/>
      <c r="K9798" s="17"/>
      <c r="L9798" s="17"/>
      <c r="M9798" s="17"/>
      <c r="N9798" s="17"/>
      <c r="O9798" s="17"/>
      <c r="P9798" s="17" t="b">
        <f>IFERROR(__xludf.DUMMYFUNCTION("""COMPUTED_VALUE"""),FALSE)</f>
        <v>0</v>
      </c>
      <c r="Q9798" s="20" t="str">
        <f>IFERROR(__xludf.DUMMYFUNCTION("""COMPUTED_VALUE"""),"")</f>
        <v/>
      </c>
      <c r="R9798" s="21" t="str">
        <f>IFERROR(__xludf.DUMMYFUNCTION("""COMPUTED_VALUE"""),"https://drive.google.com/file/d/1V9f1HKEl2Muh5j9vm5w1Ze_4wwba3MlB/view?usp=drivesdk")</f>
        <v>https://drive.google.com/file/d/1V9f1HKEl2Muh5j9vm5w1Ze_4wwba3MlB/view?usp=drivesdk</v>
      </c>
    </row>
    <row r="9799">
      <c r="A9799" s="15">
        <f>IFERROR(__xludf.DUMMYFUNCTION("""COMPUTED_VALUE"""),45279.0)</f>
        <v>45279</v>
      </c>
      <c r="B9799" s="16" t="str">
        <f>IFERROR(__xludf.DUMMYFUNCTION("""COMPUTED_VALUE"""),"Diego Alexis Ramirez Zamora ")</f>
        <v>Diego Alexis Ramirez Zamora </v>
      </c>
      <c r="C9799" s="15" t="str">
        <f>IFERROR(__xludf.DUMMYFUNCTION("""COMPUTED_VALUE"""),"ARMENIA")</f>
        <v>ARMENIA</v>
      </c>
      <c r="D9799" s="15" t="str">
        <f>IFERROR(__xludf.DUMMYFUNCTION("""COMPUTED_VALUE"""),"BOGOTÁ")</f>
        <v>BOGOTÁ</v>
      </c>
      <c r="E9799" s="15" t="str">
        <f>IFERROR(__xludf.DUMMYFUNCTION("""COMPUTED_VALUE"""),"Top Spun")</f>
        <v>Top Spun</v>
      </c>
      <c r="F9799" s="17" t="str">
        <f>IFERROR(__xludf.DUMMYFUNCTION("""COMPUTED_VALUE"""),"Calle 19N # 10-41 Castellon j16 / Castellon Manzana J Casa 16 / Armenia Quindío")</f>
        <v>Calle 19N # 10-41 Castellon j16 / Castellon Manzana J Casa 16 / Armenia Quindío</v>
      </c>
      <c r="G9799" s="15" t="str">
        <f>IFERROR(__xludf.DUMMYFUNCTION("""COMPUTED_VALUE"""),"Laura Mireya Cardona Tamayo")</f>
        <v>Laura Mireya Cardona Tamayo</v>
      </c>
      <c r="H9799" s="16">
        <f>IFERROR(__xludf.DUMMYFUNCTION("""COMPUTED_VALUE"""),18469.0)</f>
        <v>18469</v>
      </c>
      <c r="I9799" s="18">
        <f>IFERROR(__xludf.DUMMYFUNCTION("""COMPUTED_VALUE"""),10.0)</f>
        <v>10</v>
      </c>
      <c r="J9799" s="18">
        <f>IFERROR(__xludf.DUMMYFUNCTION("""COMPUTED_VALUE"""),20.0)</f>
        <v>20</v>
      </c>
      <c r="K9799" s="18">
        <f>IFERROR(__xludf.DUMMYFUNCTION("""COMPUTED_VALUE"""),40.0)</f>
        <v>40</v>
      </c>
      <c r="L9799" s="17">
        <f>IFERROR(__xludf.DUMMYFUNCTION("""COMPUTED_VALUE"""),3.01435952E9)</f>
        <v>3014359520</v>
      </c>
      <c r="M9799" s="17"/>
      <c r="N9799" s="17"/>
      <c r="O9799" s="17"/>
      <c r="P9799" s="17" t="b">
        <f>IFERROR(__xludf.DUMMYFUNCTION("""COMPUTED_VALUE"""),FALSE)</f>
        <v>0</v>
      </c>
      <c r="Q9799" s="20" t="str">
        <f>IFERROR(__xludf.DUMMYFUNCTION("""COMPUTED_VALUE"""),"")</f>
        <v/>
      </c>
      <c r="R9799" s="21" t="str">
        <f>IFERROR(__xludf.DUMMYFUNCTION("""COMPUTED_VALUE"""),"https://drive.google.com/file/d/1hmS2O8ke6TkPyKTo1mgz1d2R4IgoLhQ6/view?usp=drivesdk")</f>
        <v>https://drive.google.com/file/d/1hmS2O8ke6TkPyKTo1mgz1d2R4IgoLhQ6/view?usp=drivesdk</v>
      </c>
    </row>
    <row r="9800">
      <c r="A9800" s="15">
        <f>IFERROR(__xludf.DUMMYFUNCTION("""COMPUTED_VALUE"""),45279.0)</f>
        <v>45279</v>
      </c>
      <c r="B9800" s="16" t="str">
        <f>IFERROR(__xludf.DUMMYFUNCTION("""COMPUTED_VALUE"""),"Diego Alexis Ramirez Zamora ")</f>
        <v>Diego Alexis Ramirez Zamora </v>
      </c>
      <c r="C9800" s="15" t="str">
        <f>IFERROR(__xludf.DUMMYFUNCTION("""COMPUTED_VALUE"""),"ARMENIA")</f>
        <v>ARMENIA</v>
      </c>
      <c r="D9800" s="15" t="str">
        <f>IFERROR(__xludf.DUMMYFUNCTION("""COMPUTED_VALUE"""),"ENVIGADO")</f>
        <v>ENVIGADO</v>
      </c>
      <c r="E9800" s="15" t="str">
        <f>IFERROR(__xludf.DUMMYFUNCTION("""COMPUTED_VALUE"""),"RAMBLA")</f>
        <v>RAMBLA</v>
      </c>
      <c r="F9800" s="17" t="str">
        <f>IFERROR(__xludf.DUMMYFUNCTION("""COMPUTED_VALUE"""),"Carrera 15 #22 norte 77 / ed. Oasis de laureles local 1316 deagonal al teatro de la Carrerauz roja Armenia")</f>
        <v>Carrera 15 #22 norte 77 / ed. Oasis de laureles local 1316 deagonal al teatro de la Carrerauz roja Armenia</v>
      </c>
      <c r="G9800" s="15" t="str">
        <f>IFERROR(__xludf.DUMMYFUNCTION("""COMPUTED_VALUE"""),"Fitness Eco")</f>
        <v>Fitness Eco</v>
      </c>
      <c r="H9800" s="16">
        <f>IFERROR(__xludf.DUMMYFUNCTION("""COMPUTED_VALUE"""),18544.0)</f>
        <v>18544</v>
      </c>
      <c r="I9800" s="17"/>
      <c r="J9800" s="17"/>
      <c r="K9800" s="17"/>
      <c r="L9800" s="17">
        <f>IFERROR(__xludf.DUMMYFUNCTION("""COMPUTED_VALUE"""),3.217007417E9)</f>
        <v>3217007417</v>
      </c>
      <c r="M9800" s="17"/>
      <c r="N9800" s="17"/>
      <c r="O9800" s="17"/>
      <c r="P9800" s="17" t="b">
        <f>IFERROR(__xludf.DUMMYFUNCTION("""COMPUTED_VALUE"""),FALSE)</f>
        <v>0</v>
      </c>
      <c r="Q9800" s="20" t="str">
        <f>IFERROR(__xludf.DUMMYFUNCTION("""COMPUTED_VALUE"""),"")</f>
        <v/>
      </c>
      <c r="R9800" s="22" t="str">
        <f>IFERROR(__xludf.DUMMYFUNCTION("""COMPUTED_VALUE"""),"")</f>
        <v/>
      </c>
    </row>
    <row r="9801">
      <c r="A9801" s="15">
        <f>IFERROR(__xludf.DUMMYFUNCTION("""COMPUTED_VALUE"""),45279.0)</f>
        <v>45279</v>
      </c>
      <c r="B9801" s="16" t="str">
        <f>IFERROR(__xludf.DUMMYFUNCTION("""COMPUTED_VALUE"""),"Diego Alexis Ramirez Zamora ")</f>
        <v>Diego Alexis Ramirez Zamora </v>
      </c>
      <c r="C9801" s="15" t="str">
        <f>IFERROR(__xludf.DUMMYFUNCTION("""COMPUTED_VALUE"""),"ARMENIA")</f>
        <v>ARMENIA</v>
      </c>
      <c r="D9801" s="15" t="str">
        <f>IFERROR(__xludf.DUMMYFUNCTION("""COMPUTED_VALUE"""),"MEDELLÍN")</f>
        <v>MEDELLÍN</v>
      </c>
      <c r="E9801" s="15" t="str">
        <f>IFERROR(__xludf.DUMMYFUNCTION("""COMPUTED_VALUE"""),"Baby Chef")</f>
        <v>Baby Chef</v>
      </c>
      <c r="F9801" s="17" t="str">
        <f>IFERROR(__xludf.DUMMYFUNCTION("""COMPUTED_VALUE"""),"Calle 19 Norte #10-41 Castellon Manzana J Casa 16 / . / .")</f>
        <v>Calle 19 Norte #10-41 Castellon Manzana J Casa 16 / . / .</v>
      </c>
      <c r="G9801" s="15" t="str">
        <f>IFERROR(__xludf.DUMMYFUNCTION("""COMPUTED_VALUE"""),"Laura Mireya Cardona Tamayo")</f>
        <v>Laura Mireya Cardona Tamayo</v>
      </c>
      <c r="H9801" s="16">
        <f>IFERROR(__xludf.DUMMYFUNCTION("""COMPUTED_VALUE"""),18569.0)</f>
        <v>18569</v>
      </c>
      <c r="I9801" s="18">
        <f>IFERROR(__xludf.DUMMYFUNCTION("""COMPUTED_VALUE"""),10.0)</f>
        <v>10</v>
      </c>
      <c r="J9801" s="18">
        <f>IFERROR(__xludf.DUMMYFUNCTION("""COMPUTED_VALUE"""),21.0)</f>
        <v>21</v>
      </c>
      <c r="K9801" s="18">
        <f>IFERROR(__xludf.DUMMYFUNCTION("""COMPUTED_VALUE"""),36.0)</f>
        <v>36</v>
      </c>
      <c r="L9801" s="17">
        <f>IFERROR(__xludf.DUMMYFUNCTION("""COMPUTED_VALUE"""),3.01435952E9)</f>
        <v>3014359520</v>
      </c>
      <c r="M9801" s="17"/>
      <c r="N9801" s="17"/>
      <c r="O9801" s="17"/>
      <c r="P9801" s="17" t="b">
        <f>IFERROR(__xludf.DUMMYFUNCTION("""COMPUTED_VALUE"""),FALSE)</f>
        <v>0</v>
      </c>
      <c r="Q9801" s="20" t="str">
        <f>IFERROR(__xludf.DUMMYFUNCTION("""COMPUTED_VALUE"""),"")</f>
        <v/>
      </c>
      <c r="R9801" s="21" t="str">
        <f>IFERROR(__xludf.DUMMYFUNCTION("""COMPUTED_VALUE"""),"https://drive.google.com/file/d/1qbCom99E1I8V6ZZdPZSE8Mx1SroroTQk/view?usp=drivesdk")</f>
        <v>https://drive.google.com/file/d/1qbCom99E1I8V6ZZdPZSE8Mx1SroroTQk/view?usp=drivesdk</v>
      </c>
    </row>
    <row r="9802">
      <c r="A9802" s="15">
        <f>IFERROR(__xludf.DUMMYFUNCTION("""COMPUTED_VALUE"""),45279.0)</f>
        <v>45279</v>
      </c>
      <c r="B9802" s="16" t="str">
        <f>IFERROR(__xludf.DUMMYFUNCTION("""COMPUTED_VALUE"""),"Diego Alexis Ramirez Zamora ")</f>
        <v>Diego Alexis Ramirez Zamora </v>
      </c>
      <c r="C9802" s="15" t="str">
        <f>IFERROR(__xludf.DUMMYFUNCTION("""COMPUTED_VALUE"""),"ARMENIA")</f>
        <v>ARMENIA</v>
      </c>
      <c r="D9802" s="15" t="str">
        <f>IFERROR(__xludf.DUMMYFUNCTION("""COMPUTED_VALUE"""),"MEDELLÍN")</f>
        <v>MEDELLÍN</v>
      </c>
      <c r="E9802" s="15" t="str">
        <f>IFERROR(__xludf.DUMMYFUNCTION("""COMPUTED_VALUE"""),"TOLEDALES S.A.S")</f>
        <v>TOLEDALES S.A.S</v>
      </c>
      <c r="F9802" s="17" t="str">
        <f>IFERROR(__xludf.DUMMYFUNCTION("""COMPUTED_VALUE"""),"Cra 14 # 46 norte -41 mall zona de oro / oro negro")</f>
        <v>Cra 14 # 46 norte -41 mall zona de oro / oro negro</v>
      </c>
      <c r="G9802" s="15" t="str">
        <f>IFERROR(__xludf.DUMMYFUNCTION("""COMPUTED_VALUE"""),"paola andrea gomez")</f>
        <v>paola andrea gomez</v>
      </c>
      <c r="H9802" s="16">
        <f>IFERROR(__xludf.DUMMYFUNCTION("""COMPUTED_VALUE"""),18505.0)</f>
        <v>18505</v>
      </c>
      <c r="I9802" s="17"/>
      <c r="J9802" s="17"/>
      <c r="K9802" s="17"/>
      <c r="L9802" s="17">
        <f>IFERROR(__xludf.DUMMYFUNCTION("""COMPUTED_VALUE"""),3.003222972E9)</f>
        <v>3003222972</v>
      </c>
      <c r="M9802" s="17"/>
      <c r="N9802" s="17"/>
      <c r="O9802" s="17"/>
      <c r="P9802" s="17" t="b">
        <f>IFERROR(__xludf.DUMMYFUNCTION("""COMPUTED_VALUE"""),FALSE)</f>
        <v>0</v>
      </c>
      <c r="Q9802" s="20" t="str">
        <f>IFERROR(__xludf.DUMMYFUNCTION("""COMPUTED_VALUE"""),"")</f>
        <v/>
      </c>
      <c r="R9802" s="21" t="str">
        <f>IFERROR(__xludf.DUMMYFUNCTION("""COMPUTED_VALUE"""),"https://drive.google.com/file/d/1AQmcwcgj0XKDjjzYRdwDOTsh9FZYDMK5/view?usp=drivesdk")</f>
        <v>https://drive.google.com/file/d/1AQmcwcgj0XKDjjzYRdwDOTsh9FZYDMK5/view?usp=drivesdk</v>
      </c>
    </row>
    <row r="9803">
      <c r="A9803" s="15">
        <f>IFERROR(__xludf.DUMMYFUNCTION("""COMPUTED_VALUE"""),45279.0)</f>
        <v>45279</v>
      </c>
      <c r="B9803" s="16" t="str">
        <f>IFERROR(__xludf.DUMMYFUNCTION("""COMPUTED_VALUE"""),"Diego Alexis Ramirez Zamora ")</f>
        <v>Diego Alexis Ramirez Zamora </v>
      </c>
      <c r="C9803" s="15" t="str">
        <f>IFERROR(__xludf.DUMMYFUNCTION("""COMPUTED_VALUE"""),"LA VIRGINIA")</f>
        <v>LA VIRGINIA</v>
      </c>
      <c r="D9803" s="15" t="str">
        <f>IFERROR(__xludf.DUMMYFUNCTION("""COMPUTED_VALUE"""),"MEDELLÍN")</f>
        <v>MEDELLÍN</v>
      </c>
      <c r="E9803" s="15" t="str">
        <f>IFERROR(__xludf.DUMMYFUNCTION("""COMPUTED_VALUE"""),"Goyo Todo por ellos")</f>
        <v>Goyo Todo por ellos</v>
      </c>
      <c r="F9803" s="17" t="str">
        <f>IFERROR(__xludf.DUMMYFUNCTION("""COMPUTED_VALUE"""),"Transversal 7 # 7-51  / Local de Electrodomesticos  / Barrio Centro")</f>
        <v>Transversal 7 # 7-51  / Local de Electrodomesticos  / Barrio Centro</v>
      </c>
      <c r="G9803" s="15" t="str">
        <f>IFERROR(__xludf.DUMMYFUNCTION("""COMPUTED_VALUE"""),"Julied Viviana Gomez Florez")</f>
        <v>Julied Viviana Gomez Florez</v>
      </c>
      <c r="H9803" s="16">
        <f>IFERROR(__xludf.DUMMYFUNCTION("""COMPUTED_VALUE"""),18515.0)</f>
        <v>18515</v>
      </c>
      <c r="I9803" s="18">
        <f>IFERROR(__xludf.DUMMYFUNCTION("""COMPUTED_VALUE"""),24.0)</f>
        <v>24</v>
      </c>
      <c r="J9803" s="18">
        <f>IFERROR(__xludf.DUMMYFUNCTION("""COMPUTED_VALUE"""),30.0)</f>
        <v>30</v>
      </c>
      <c r="K9803" s="18">
        <f>IFERROR(__xludf.DUMMYFUNCTION("""COMPUTED_VALUE"""),15.0)</f>
        <v>15</v>
      </c>
      <c r="L9803" s="17">
        <f>IFERROR(__xludf.DUMMYFUNCTION("""COMPUTED_VALUE"""),3.102938777E9)</f>
        <v>3102938777</v>
      </c>
      <c r="M9803" s="17"/>
      <c r="N9803" s="17"/>
      <c r="O9803" s="17"/>
      <c r="P9803" s="17" t="b">
        <f>IFERROR(__xludf.DUMMYFUNCTION("""COMPUTED_VALUE"""),FALSE)</f>
        <v>0</v>
      </c>
      <c r="Q9803" s="20" t="str">
        <f>IFERROR(__xludf.DUMMYFUNCTION("""COMPUTED_VALUE"""),"")</f>
        <v/>
      </c>
      <c r="R9803" s="21" t="str">
        <f>IFERROR(__xludf.DUMMYFUNCTION("""COMPUTED_VALUE"""),"https://drive.google.com/file/d/1n5JucsDgtwsh-wa_IMO9dtir4xkAa6Gy/view?usp=drivesdk")</f>
        <v>https://drive.google.com/file/d/1n5JucsDgtwsh-wa_IMO9dtir4xkAa6Gy/view?usp=drivesdk</v>
      </c>
    </row>
    <row r="9804">
      <c r="A9804" s="17" t="str">
        <f>IFERROR(__xludf.DUMMYFUNCTION("""COMPUTED_VALUE"""),"")</f>
        <v/>
      </c>
      <c r="B9804" s="17" t="str">
        <f>IFERROR(__xludf.DUMMYFUNCTION("""COMPUTED_VALUE"""),"")</f>
        <v/>
      </c>
      <c r="C9804" s="17" t="str">
        <f>IFERROR(__xludf.DUMMYFUNCTION("""COMPUTED_VALUE"""),"")</f>
        <v/>
      </c>
      <c r="D9804" s="17" t="str">
        <f>IFERROR(__xludf.DUMMYFUNCTION("""COMPUTED_VALUE"""),"")</f>
        <v/>
      </c>
      <c r="E9804" s="17" t="str">
        <f>IFERROR(__xludf.DUMMYFUNCTION("""COMPUTED_VALUE"""),"")</f>
        <v/>
      </c>
      <c r="F9804" s="17" t="str">
        <f>IFERROR(__xludf.DUMMYFUNCTION("""COMPUTED_VALUE"""),"")</f>
        <v/>
      </c>
      <c r="G9804" s="17" t="str">
        <f>IFERROR(__xludf.DUMMYFUNCTION("""COMPUTED_VALUE"""),"")</f>
        <v/>
      </c>
      <c r="H9804" s="17" t="str">
        <f>IFERROR(__xludf.DUMMYFUNCTION("""COMPUTED_VALUE"""),"")</f>
        <v/>
      </c>
      <c r="I9804" s="17" t="str">
        <f>IFERROR(__xludf.DUMMYFUNCTION("""COMPUTED_VALUE"""),"")</f>
        <v/>
      </c>
      <c r="J9804" s="17" t="str">
        <f>IFERROR(__xludf.DUMMYFUNCTION("""COMPUTED_VALUE"""),"")</f>
        <v/>
      </c>
      <c r="K9804" s="17" t="str">
        <f>IFERROR(__xludf.DUMMYFUNCTION("""COMPUTED_VALUE"""),"")</f>
        <v/>
      </c>
      <c r="L9804" s="17" t="str">
        <f>IFERROR(__xludf.DUMMYFUNCTION("""COMPUTED_VALUE"""),"")</f>
        <v/>
      </c>
      <c r="M9804" s="17" t="str">
        <f>IFERROR(__xludf.DUMMYFUNCTION("""COMPUTED_VALUE"""),"")</f>
        <v/>
      </c>
      <c r="N9804" s="17" t="str">
        <f>IFERROR(__xludf.DUMMYFUNCTION("""COMPUTED_VALUE"""),"")</f>
        <v/>
      </c>
      <c r="O9804" s="17" t="str">
        <f>IFERROR(__xludf.DUMMYFUNCTION("""COMPUTED_VALUE"""),"")</f>
        <v/>
      </c>
      <c r="P9804" s="17" t="str">
        <f>IFERROR(__xludf.DUMMYFUNCTION("""COMPUTED_VALUE"""),"")</f>
        <v/>
      </c>
      <c r="Q9804" s="17" t="str">
        <f>IFERROR(__xludf.DUMMYFUNCTION("""COMPUTED_VALUE"""),"")</f>
        <v/>
      </c>
      <c r="R9804" s="17" t="str">
        <f>IFERROR(__xludf.DUMMYFUNCTION("""COMPUTED_VALUE"""),"")</f>
        <v/>
      </c>
    </row>
    <row r="9805">
      <c r="A9805" s="15">
        <f>IFERROR(__xludf.DUMMYFUNCTION("""COMPUTED_VALUE"""),45279.0)</f>
        <v>45279</v>
      </c>
      <c r="B9805" s="16" t="str">
        <f>IFERROR(__xludf.DUMMYFUNCTION("""COMPUTED_VALUE"""),"Duvan Gabriel Alvarez Giron")</f>
        <v>Duvan Gabriel Alvarez Giron</v>
      </c>
      <c r="C9805" s="15" t="str">
        <f>IFERROR(__xludf.DUMMYFUNCTION("""COMPUTED_VALUE"""),"IBAGUÉ")</f>
        <v>IBAGUÉ</v>
      </c>
      <c r="D9805" s="15" t="str">
        <f>IFERROR(__xludf.DUMMYFUNCTION("""COMPUTED_VALUE"""),"ENVIGADO")</f>
        <v>ENVIGADO</v>
      </c>
      <c r="E9805" s="15" t="str">
        <f>IFERROR(__xludf.DUMMYFUNCTION("""COMPUTED_VALUE"""),"RAMBLA")</f>
        <v>RAMBLA</v>
      </c>
      <c r="F9805" s="17" t="str">
        <f>IFERROR(__xludf.DUMMYFUNCTION("""COMPUTED_VALUE"""),"Cra 14 #75A-29 / local 5 estancia del vergel")</f>
        <v>Cra 14 #75A-29 / local 5 estancia del vergel</v>
      </c>
      <c r="G9805" s="15" t="str">
        <f>IFERROR(__xludf.DUMMYFUNCTION("""COMPUTED_VALUE"""),"Soy Natural")</f>
        <v>Soy Natural</v>
      </c>
      <c r="H9805" s="16">
        <f>IFERROR(__xludf.DUMMYFUNCTION("""COMPUTED_VALUE"""),18543.0)</f>
        <v>18543</v>
      </c>
      <c r="I9805" s="17"/>
      <c r="J9805" s="17"/>
      <c r="K9805" s="17"/>
      <c r="L9805" s="17">
        <f>IFERROR(__xludf.DUMMYFUNCTION("""COMPUTED_VALUE"""),3.177002909E9)</f>
        <v>3177002909</v>
      </c>
      <c r="M9805" s="17"/>
      <c r="N9805" s="17"/>
      <c r="O9805" s="17"/>
      <c r="P9805" s="17" t="b">
        <f>IFERROR(__xludf.DUMMYFUNCTION("""COMPUTED_VALUE"""),FALSE)</f>
        <v>0</v>
      </c>
      <c r="Q9805" s="20" t="str">
        <f>IFERROR(__xludf.DUMMYFUNCTION("""COMPUTED_VALUE"""),"")</f>
        <v/>
      </c>
      <c r="R9805" s="21" t="str">
        <f>IFERROR(__xludf.DUMMYFUNCTION("""COMPUTED_VALUE"""),"https://drive.google.com/file/d/1xQhfEbhDoAt3bhOQtQ0Blayy8ZiHrc3q/view?usp=drivesdk")</f>
        <v>https://drive.google.com/file/d/1xQhfEbhDoAt3bhOQtQ0Blayy8ZiHrc3q/view?usp=drivesdk</v>
      </c>
    </row>
    <row r="9806">
      <c r="A9806" s="15">
        <f>IFERROR(__xludf.DUMMYFUNCTION("""COMPUTED_VALUE"""),45279.0)</f>
        <v>45279</v>
      </c>
      <c r="B9806" s="16" t="str">
        <f>IFERROR(__xludf.DUMMYFUNCTION("""COMPUTED_VALUE"""),"Duvan Gabriel Alvarez Giron")</f>
        <v>Duvan Gabriel Alvarez Giron</v>
      </c>
      <c r="C9806" s="15" t="str">
        <f>IFERROR(__xludf.DUMMYFUNCTION("""COMPUTED_VALUE"""),"IBAGUÉ")</f>
        <v>IBAGUÉ</v>
      </c>
      <c r="D9806" s="15" t="str">
        <f>IFERROR(__xludf.DUMMYFUNCTION("""COMPUTED_VALUE"""),"MEDELLÍN")</f>
        <v>MEDELLÍN</v>
      </c>
      <c r="E9806" s="15" t="str">
        <f>IFERROR(__xludf.DUMMYFUNCTION("""COMPUTED_VALUE"""),"TOLEDALES S.A.S")</f>
        <v>TOLEDALES S.A.S</v>
      </c>
      <c r="F9806" s="17" t="str">
        <f>IFERROR(__xludf.DUMMYFUNCTION("""COMPUTED_VALUE"""),"Terraza del campestre / Apto402")</f>
        <v>Terraza del campestre / Apto402</v>
      </c>
      <c r="G9806" s="15" t="str">
        <f>IFERROR(__xludf.DUMMYFUNCTION("""COMPUTED_VALUE"""),"Potrerito")</f>
        <v>Potrerito</v>
      </c>
      <c r="H9806" s="16">
        <f>IFERROR(__xludf.DUMMYFUNCTION("""COMPUTED_VALUE"""),18332.0)</f>
        <v>18332</v>
      </c>
      <c r="I9806" s="17"/>
      <c r="J9806" s="17"/>
      <c r="K9806" s="17"/>
      <c r="L9806" s="17">
        <f>IFERROR(__xludf.DUMMYFUNCTION("""COMPUTED_VALUE"""),3.122891226E9)</f>
        <v>3122891226</v>
      </c>
      <c r="M9806" s="17"/>
      <c r="N9806" s="17"/>
      <c r="O9806" s="17"/>
      <c r="P9806" s="17" t="b">
        <f>IFERROR(__xludf.DUMMYFUNCTION("""COMPUTED_VALUE"""),FALSE)</f>
        <v>0</v>
      </c>
      <c r="Q9806" s="20" t="str">
        <f>IFERROR(__xludf.DUMMYFUNCTION("""COMPUTED_VALUE"""),"")</f>
        <v/>
      </c>
      <c r="R9806" s="22" t="str">
        <f>IFERROR(__xludf.DUMMYFUNCTION("""COMPUTED_VALUE"""),"")</f>
        <v/>
      </c>
    </row>
    <row r="9807">
      <c r="A9807" s="17" t="str">
        <f>IFERROR(__xludf.DUMMYFUNCTION("""COMPUTED_VALUE"""),"")</f>
        <v/>
      </c>
      <c r="B9807" s="17" t="str">
        <f>IFERROR(__xludf.DUMMYFUNCTION("""COMPUTED_VALUE"""),"")</f>
        <v/>
      </c>
      <c r="C9807" s="17" t="str">
        <f>IFERROR(__xludf.DUMMYFUNCTION("""COMPUTED_VALUE"""),"")</f>
        <v/>
      </c>
      <c r="D9807" s="17" t="str">
        <f>IFERROR(__xludf.DUMMYFUNCTION("""COMPUTED_VALUE"""),"")</f>
        <v/>
      </c>
      <c r="E9807" s="17" t="str">
        <f>IFERROR(__xludf.DUMMYFUNCTION("""COMPUTED_VALUE"""),"")</f>
        <v/>
      </c>
      <c r="F9807" s="17" t="str">
        <f>IFERROR(__xludf.DUMMYFUNCTION("""COMPUTED_VALUE"""),"")</f>
        <v/>
      </c>
      <c r="G9807" s="17" t="str">
        <f>IFERROR(__xludf.DUMMYFUNCTION("""COMPUTED_VALUE"""),"")</f>
        <v/>
      </c>
      <c r="H9807" s="17" t="str">
        <f>IFERROR(__xludf.DUMMYFUNCTION("""COMPUTED_VALUE"""),"")</f>
        <v/>
      </c>
      <c r="I9807" s="17" t="str">
        <f>IFERROR(__xludf.DUMMYFUNCTION("""COMPUTED_VALUE"""),"")</f>
        <v/>
      </c>
      <c r="J9807" s="17" t="str">
        <f>IFERROR(__xludf.DUMMYFUNCTION("""COMPUTED_VALUE"""),"")</f>
        <v/>
      </c>
      <c r="K9807" s="17" t="str">
        <f>IFERROR(__xludf.DUMMYFUNCTION("""COMPUTED_VALUE"""),"")</f>
        <v/>
      </c>
      <c r="L9807" s="17" t="str">
        <f>IFERROR(__xludf.DUMMYFUNCTION("""COMPUTED_VALUE"""),"")</f>
        <v/>
      </c>
      <c r="M9807" s="17" t="str">
        <f>IFERROR(__xludf.DUMMYFUNCTION("""COMPUTED_VALUE"""),"")</f>
        <v/>
      </c>
      <c r="N9807" s="17" t="str">
        <f>IFERROR(__xludf.DUMMYFUNCTION("""COMPUTED_VALUE"""),"")</f>
        <v/>
      </c>
      <c r="O9807" s="17" t="str">
        <f>IFERROR(__xludf.DUMMYFUNCTION("""COMPUTED_VALUE"""),"")</f>
        <v/>
      </c>
      <c r="P9807" s="17" t="str">
        <f>IFERROR(__xludf.DUMMYFUNCTION("""COMPUTED_VALUE"""),"")</f>
        <v/>
      </c>
      <c r="Q9807" s="17" t="str">
        <f>IFERROR(__xludf.DUMMYFUNCTION("""COMPUTED_VALUE"""),"")</f>
        <v/>
      </c>
      <c r="R9807" s="17" t="str">
        <f>IFERROR(__xludf.DUMMYFUNCTION("""COMPUTED_VALUE"""),"")</f>
        <v/>
      </c>
    </row>
    <row r="9808">
      <c r="A9808" s="15">
        <f>IFERROR(__xludf.DUMMYFUNCTION("""COMPUTED_VALUE"""),45279.0)</f>
        <v>45279</v>
      </c>
      <c r="B9808" s="16" t="str">
        <f>IFERROR(__xludf.DUMMYFUNCTION("""COMPUTED_VALUE"""),"Envia")</f>
        <v>Envia</v>
      </c>
      <c r="C9808" s="15" t="str">
        <f>IFERROR(__xludf.DUMMYFUNCTION("""COMPUTED_VALUE"""),"ARMENIA")</f>
        <v>ARMENIA</v>
      </c>
      <c r="D9808" s="15" t="str">
        <f>IFERROR(__xludf.DUMMYFUNCTION("""COMPUTED_VALUE"""),"BOGOTÁ")</f>
        <v>BOGOTÁ</v>
      </c>
      <c r="E9808" s="15" t="str">
        <f>IFERROR(__xludf.DUMMYFUNCTION("""COMPUTED_VALUE"""),"Asociacion Agropecuaria Juana Maria")</f>
        <v>Asociacion Agropecuaria Juana Maria</v>
      </c>
      <c r="F9808" s="17" t="str">
        <f>IFERROR(__xludf.DUMMYFUNCTION("""COMPUTED_VALUE"""),"calle 45 # 42 - 10 mz 7 cs 39 / caminos del bosque")</f>
        <v>calle 45 # 42 - 10 mz 7 cs 39 / caminos del bosque</v>
      </c>
      <c r="G9808" s="15" t="str">
        <f>IFERROR(__xludf.DUMMYFUNCTION("""COMPUTED_VALUE"""),"Sandra Maritza Lizarazo Bejarano")</f>
        <v>Sandra Maritza Lizarazo Bejarano</v>
      </c>
      <c r="H9808" s="16">
        <f>IFERROR(__xludf.DUMMYFUNCTION("""COMPUTED_VALUE"""),18502.0)</f>
        <v>18502</v>
      </c>
      <c r="I9808" s="17"/>
      <c r="J9808" s="17"/>
      <c r="K9808" s="17"/>
      <c r="L9808" s="17">
        <f>IFERROR(__xludf.DUMMYFUNCTION("""COMPUTED_VALUE"""),3.163412536E9)</f>
        <v>3163412536</v>
      </c>
      <c r="M9808" s="17"/>
      <c r="N9808" s="17"/>
      <c r="O9808" s="17"/>
      <c r="P9808" s="17" t="b">
        <f>IFERROR(__xludf.DUMMYFUNCTION("""COMPUTED_VALUE"""),FALSE)</f>
        <v>0</v>
      </c>
      <c r="Q9808" s="20" t="str">
        <f>IFERROR(__xludf.DUMMYFUNCTION("""COMPUTED_VALUE"""),"")</f>
        <v/>
      </c>
      <c r="R9808" s="21" t="str">
        <f>IFERROR(__xludf.DUMMYFUNCTION("""COMPUTED_VALUE"""),"https://drive.google.com/file/d/1xdRHFyEICxrmjynMQutiQiQtlqdpLOrv/view?usp=drivesdk")</f>
        <v>https://drive.google.com/file/d/1xdRHFyEICxrmjynMQutiQiQtlqdpLOrv/view?usp=drivesdk</v>
      </c>
    </row>
    <row r="9809">
      <c r="A9809" s="15">
        <f>IFERROR(__xludf.DUMMYFUNCTION("""COMPUTED_VALUE"""),45279.0)</f>
        <v>45279</v>
      </c>
      <c r="B9809" s="16" t="str">
        <f>IFERROR(__xludf.DUMMYFUNCTION("""COMPUTED_VALUE"""),"Envia")</f>
        <v>Envia</v>
      </c>
      <c r="C9809" s="15" t="str">
        <f>IFERROR(__xludf.DUMMYFUNCTION("""COMPUTED_VALUE"""),"ARMENIA")</f>
        <v>ARMENIA</v>
      </c>
      <c r="D9809" s="15" t="str">
        <f>IFERROR(__xludf.DUMMYFUNCTION("""COMPUTED_VALUE"""),"BOGOTÁ")</f>
        <v>BOGOTÁ</v>
      </c>
      <c r="E9809" s="15" t="str">
        <f>IFERROR(__xludf.DUMMYFUNCTION("""COMPUTED_VALUE"""),"Mix Bakery")</f>
        <v>Mix Bakery</v>
      </c>
      <c r="F9809" s="17" t="str">
        <f>IFERROR(__xludf.DUMMYFUNCTION("""COMPUTED_VALUE"""),"Cra 18 # 59-40  Armenia Quindio / Cra 18 # 59-40  ( oficina) Armenia Quindio / No hay")</f>
        <v>Cra 18 # 59-40  Armenia Quindio / Cra 18 # 59-40  ( oficina) Armenia Quindio / No hay</v>
      </c>
      <c r="G9809" s="15" t="str">
        <f>IFERROR(__xludf.DUMMYFUNCTION("""COMPUTED_VALUE"""),"Alfonso Amaya / Armo Más Diseñó sas")</f>
        <v>Alfonso Amaya / Armo Más Diseñó sas</v>
      </c>
      <c r="H9809" s="16">
        <f>IFERROR(__xludf.DUMMYFUNCTION("""COMPUTED_VALUE"""),18467.0)</f>
        <v>18467</v>
      </c>
      <c r="I9809" s="18">
        <f>IFERROR(__xludf.DUMMYFUNCTION("""COMPUTED_VALUE"""),51.0)</f>
        <v>51</v>
      </c>
      <c r="J9809" s="18">
        <f>IFERROR(__xludf.DUMMYFUNCTION("""COMPUTED_VALUE"""),22.0)</f>
        <v>22</v>
      </c>
      <c r="K9809" s="18">
        <f>IFERROR(__xludf.DUMMYFUNCTION("""COMPUTED_VALUE"""),22.0)</f>
        <v>22</v>
      </c>
      <c r="L9809" s="17">
        <f>IFERROR(__xludf.DUMMYFUNCTION("""COMPUTED_VALUE"""),3.172854311E9)</f>
        <v>3172854311</v>
      </c>
      <c r="M9809" s="17"/>
      <c r="N9809" s="17"/>
      <c r="O9809" s="17"/>
      <c r="P9809" s="17" t="b">
        <f>IFERROR(__xludf.DUMMYFUNCTION("""COMPUTED_VALUE"""),FALSE)</f>
        <v>0</v>
      </c>
      <c r="Q9809" s="20" t="str">
        <f>IFERROR(__xludf.DUMMYFUNCTION("""COMPUTED_VALUE"""),"")</f>
        <v/>
      </c>
      <c r="R9809" s="21" t="str">
        <f>IFERROR(__xludf.DUMMYFUNCTION("""COMPUTED_VALUE"""),"https://drive.google.com/file/d/1f4uuB45ZempLhH4DkMsCwXfextsu-EC5/view?usp=drivesdk")</f>
        <v>https://drive.google.com/file/d/1f4uuB45ZempLhH4DkMsCwXfextsu-EC5/view?usp=drivesdk</v>
      </c>
    </row>
    <row r="9810">
      <c r="A9810" s="15">
        <f>IFERROR(__xludf.DUMMYFUNCTION("""COMPUTED_VALUE"""),45279.0)</f>
        <v>45279</v>
      </c>
      <c r="B9810" s="16" t="str">
        <f>IFERROR(__xludf.DUMMYFUNCTION("""COMPUTED_VALUE"""),"Envia")</f>
        <v>Envia</v>
      </c>
      <c r="C9810" s="15" t="str">
        <f>IFERROR(__xludf.DUMMYFUNCTION("""COMPUTED_VALUE"""),"ARMENIA")</f>
        <v>ARMENIA</v>
      </c>
      <c r="D9810" s="15" t="str">
        <f>IFERROR(__xludf.DUMMYFUNCTION("""COMPUTED_VALUE"""),"MEDELLÍN")</f>
        <v>MEDELLÍN</v>
      </c>
      <c r="E9810" s="15" t="str">
        <f>IFERROR(__xludf.DUMMYFUNCTION("""COMPUTED_VALUE"""),"TOLEDALES S.A.S")</f>
        <v>TOLEDALES S.A.S</v>
      </c>
      <c r="F9810" s="17" t="str">
        <f>IFERROR(__xludf.DUMMYFUNCTION("""COMPUTED_VALUE"""),"Cll 23 A norte 19 47 / casa 2")</f>
        <v>Cll 23 A norte 19 47 / casa 2</v>
      </c>
      <c r="G9810" s="15" t="str">
        <f>IFERROR(__xludf.DUMMYFUNCTION("""COMPUTED_VALUE"""),"sandra salas")</f>
        <v>sandra salas</v>
      </c>
      <c r="H9810" s="16">
        <f>IFERROR(__xludf.DUMMYFUNCTION("""COMPUTED_VALUE"""),18531.0)</f>
        <v>18531</v>
      </c>
      <c r="I9810" s="17"/>
      <c r="J9810" s="17"/>
      <c r="K9810" s="17"/>
      <c r="L9810" s="17">
        <f>IFERROR(__xludf.DUMMYFUNCTION("""COMPUTED_VALUE"""),3.176643506E9)</f>
        <v>3176643506</v>
      </c>
      <c r="M9810" s="17"/>
      <c r="N9810" s="17"/>
      <c r="O9810" s="17"/>
      <c r="P9810" s="17" t="b">
        <f>IFERROR(__xludf.DUMMYFUNCTION("""COMPUTED_VALUE"""),FALSE)</f>
        <v>0</v>
      </c>
      <c r="Q9810" s="20" t="str">
        <f>IFERROR(__xludf.DUMMYFUNCTION("""COMPUTED_VALUE"""),"")</f>
        <v/>
      </c>
      <c r="R9810" s="21" t="str">
        <f>IFERROR(__xludf.DUMMYFUNCTION("""COMPUTED_VALUE"""),"https://drive.google.com/file/d/1Yhpkd2TCojXz6N4n3QHOwOGeIj05dhr1/view?usp=drivesdk")</f>
        <v>https://drive.google.com/file/d/1Yhpkd2TCojXz6N4n3QHOwOGeIj05dhr1/view?usp=drivesdk</v>
      </c>
    </row>
    <row r="9811">
      <c r="A9811" s="15">
        <f>IFERROR(__xludf.DUMMYFUNCTION("""COMPUTED_VALUE"""),45279.0)</f>
        <v>45279</v>
      </c>
      <c r="B9811" s="16" t="str">
        <f>IFERROR(__xludf.DUMMYFUNCTION("""COMPUTED_VALUE"""),"Envia")</f>
        <v>Envia</v>
      </c>
      <c r="C9811" s="15" t="str">
        <f>IFERROR(__xludf.DUMMYFUNCTION("""COMPUTED_VALUE"""),"BARRANQUILLA")</f>
        <v>BARRANQUILLA</v>
      </c>
      <c r="D9811" s="15" t="str">
        <f>IFERROR(__xludf.DUMMYFUNCTION("""COMPUTED_VALUE"""),"BOGOTÁ")</f>
        <v>BOGOTÁ</v>
      </c>
      <c r="E9811" s="15" t="str">
        <f>IFERROR(__xludf.DUMMYFUNCTION("""COMPUTED_VALUE"""),"INVERSIONES MOCHI")</f>
        <v>INVERSIONES MOCHI</v>
      </c>
      <c r="F9811" s="17" t="str">
        <f>IFERROR(__xludf.DUMMYFUNCTION("""COMPUTED_VALUE"""),"cra 51b #87-50 / centro comercial viva barranquilla")</f>
        <v>cra 51b #87-50 / centro comercial viva barranquilla</v>
      </c>
      <c r="G9811" s="15" t="str">
        <f>IFERROR(__xludf.DUMMYFUNCTION("""COMPUTED_VALUE"""),"centro comercial viva Barranquilla")</f>
        <v>centro comercial viva Barranquilla</v>
      </c>
      <c r="H9811" s="16">
        <f>IFERROR(__xludf.DUMMYFUNCTION("""COMPUTED_VALUE"""),18532.0)</f>
        <v>18532</v>
      </c>
      <c r="I9811" s="17"/>
      <c r="J9811" s="17"/>
      <c r="K9811" s="17"/>
      <c r="L9811" s="17">
        <f>IFERROR(__xludf.DUMMYFUNCTION("""COMPUTED_VALUE"""),3.116026252E9)</f>
        <v>3116026252</v>
      </c>
      <c r="M9811" s="17"/>
      <c r="N9811" s="17"/>
      <c r="O9811" s="17"/>
      <c r="P9811" s="17" t="b">
        <f>IFERROR(__xludf.DUMMYFUNCTION("""COMPUTED_VALUE"""),FALSE)</f>
        <v>0</v>
      </c>
      <c r="Q9811" s="20" t="str">
        <f>IFERROR(__xludf.DUMMYFUNCTION("""COMPUTED_VALUE"""),"")</f>
        <v/>
      </c>
      <c r="R9811" s="21" t="str">
        <f>IFERROR(__xludf.DUMMYFUNCTION("""COMPUTED_VALUE"""),"https://drive.google.com/file/d/1hAd1b8gSxilyNZQeXaQOGnT8PtCej6Z8/view?usp=drivesdk")</f>
        <v>https://drive.google.com/file/d/1hAd1b8gSxilyNZQeXaQOGnT8PtCej6Z8/view?usp=drivesdk</v>
      </c>
    </row>
    <row r="9812">
      <c r="A9812" s="15">
        <f>IFERROR(__xludf.DUMMYFUNCTION("""COMPUTED_VALUE"""),45279.0)</f>
        <v>45279</v>
      </c>
      <c r="B9812" s="16" t="str">
        <f>IFERROR(__xludf.DUMMYFUNCTION("""COMPUTED_VALUE"""),"Envia")</f>
        <v>Envia</v>
      </c>
      <c r="C9812" s="15" t="str">
        <f>IFERROR(__xludf.DUMMYFUNCTION("""COMPUTED_VALUE"""),"BOGOTÁ")</f>
        <v>BOGOTÁ</v>
      </c>
      <c r="D9812" s="15" t="str">
        <f>IFERROR(__xludf.DUMMYFUNCTION("""COMPUTED_VALUE"""),"BARRANQUILLA")</f>
        <v>BARRANQUILLA</v>
      </c>
      <c r="E9812" s="15" t="str">
        <f>IFERROR(__xludf.DUMMYFUNCTION("""COMPUTED_VALUE"""),"Yelii")</f>
        <v>Yelii</v>
      </c>
      <c r="F9812" s="17" t="str">
        <f>IFERROR(__xludf.DUMMYFUNCTION("""COMPUTED_VALUE"""),"CRA 7D BIS #129-40  APTO 508 / EDIF VALSESIA / NA")</f>
        <v>CRA 7D BIS #129-40  APTO 508 / EDIF VALSESIA / NA</v>
      </c>
      <c r="G9812" s="15" t="str">
        <f>IFERROR(__xludf.DUMMYFUNCTION("""COMPUTED_VALUE"""),"ALEJANDRA LONDOÑO NAVARRI")</f>
        <v>ALEJANDRA LONDOÑO NAVARRI</v>
      </c>
      <c r="H9812" s="16">
        <f>IFERROR(__xludf.DUMMYFUNCTION("""COMPUTED_VALUE"""),18513.0)</f>
        <v>18513</v>
      </c>
      <c r="I9812" s="18">
        <f>IFERROR(__xludf.DUMMYFUNCTION("""COMPUTED_VALUE"""),21.0)</f>
        <v>21</v>
      </c>
      <c r="J9812" s="18">
        <f>IFERROR(__xludf.DUMMYFUNCTION("""COMPUTED_VALUE"""),30.0)</f>
        <v>30</v>
      </c>
      <c r="K9812" s="18">
        <f>IFERROR(__xludf.DUMMYFUNCTION("""COMPUTED_VALUE"""),50.0)</f>
        <v>50</v>
      </c>
      <c r="L9812" s="17">
        <f>IFERROR(__xludf.DUMMYFUNCTION("""COMPUTED_VALUE"""),3.212645523E9)</f>
        <v>3212645523</v>
      </c>
      <c r="M9812" s="17"/>
      <c r="N9812" s="17"/>
      <c r="O9812" s="17"/>
      <c r="P9812" s="17" t="b">
        <f>IFERROR(__xludf.DUMMYFUNCTION("""COMPUTED_VALUE"""),FALSE)</f>
        <v>0</v>
      </c>
      <c r="Q9812" s="20" t="str">
        <f>IFERROR(__xludf.DUMMYFUNCTION("""COMPUTED_VALUE"""),"")</f>
        <v/>
      </c>
      <c r="R9812" s="21" t="str">
        <f>IFERROR(__xludf.DUMMYFUNCTION("""COMPUTED_VALUE"""),"https://drive.google.com/file/d/1lITk4dnc_le437pS1-Vau15y4QhEOysB/view?usp=drivesdk")</f>
        <v>https://drive.google.com/file/d/1lITk4dnc_le437pS1-Vau15y4QhEOysB/view?usp=drivesdk</v>
      </c>
    </row>
    <row r="9813">
      <c r="A9813" s="15">
        <f>IFERROR(__xludf.DUMMYFUNCTION("""COMPUTED_VALUE"""),45279.0)</f>
        <v>45279</v>
      </c>
      <c r="B9813" s="16" t="str">
        <f>IFERROR(__xludf.DUMMYFUNCTION("""COMPUTED_VALUE"""),"Envia")</f>
        <v>Envia</v>
      </c>
      <c r="C9813" s="15" t="str">
        <f>IFERROR(__xludf.DUMMYFUNCTION("""COMPUTED_VALUE"""),"BOGOTÁ")</f>
        <v>BOGOTÁ</v>
      </c>
      <c r="D9813" s="15" t="str">
        <f>IFERROR(__xludf.DUMMYFUNCTION("""COMPUTED_VALUE"""),"MEDELLÍN")</f>
        <v>MEDELLÍN</v>
      </c>
      <c r="E9813" s="15" t="str">
        <f>IFERROR(__xludf.DUMMYFUNCTION("""COMPUTED_VALUE"""),"Puro Verde")</f>
        <v>Puro Verde</v>
      </c>
      <c r="F9813" s="17" t="str">
        <f>IFERROR(__xludf.DUMMYFUNCTION("""COMPUTED_VALUE"""),"CRA 16A #77-23 / LOCAL 4 / BARRIO EL LAGO")</f>
        <v>CRA 16A #77-23 / LOCAL 4 / BARRIO EL LAGO</v>
      </c>
      <c r="G9813" s="15" t="str">
        <f>IFERROR(__xludf.DUMMYFUNCTION("""COMPUTED_VALUE"""),"DANDO CUERDA")</f>
        <v>DANDO CUERDA</v>
      </c>
      <c r="H9813" s="16">
        <f>IFERROR(__xludf.DUMMYFUNCTION("""COMPUTED_VALUE"""),18465.0)</f>
        <v>18465</v>
      </c>
      <c r="I9813" s="18">
        <f>IFERROR(__xludf.DUMMYFUNCTION("""COMPUTED_VALUE"""),55.0)</f>
        <v>55</v>
      </c>
      <c r="J9813" s="18">
        <f>IFERROR(__xludf.DUMMYFUNCTION("""COMPUTED_VALUE"""),45.0)</f>
        <v>45</v>
      </c>
      <c r="K9813" s="18" t="str">
        <f>IFERROR(__xludf.DUMMYFUNCTION("""COMPUTED_VALUE"""),"52.5")</f>
        <v>52.5</v>
      </c>
      <c r="L9813" s="17">
        <f>IFERROR(__xludf.DUMMYFUNCTION("""COMPUTED_VALUE"""),3.163816691E9)</f>
        <v>3163816691</v>
      </c>
      <c r="M9813" s="17"/>
      <c r="N9813" s="17"/>
      <c r="O9813" s="17"/>
      <c r="P9813" s="17" t="b">
        <f>IFERROR(__xludf.DUMMYFUNCTION("""COMPUTED_VALUE"""),FALSE)</f>
        <v>0</v>
      </c>
      <c r="Q9813" s="20" t="str">
        <f>IFERROR(__xludf.DUMMYFUNCTION("""COMPUTED_VALUE"""),"")</f>
        <v/>
      </c>
      <c r="R9813" s="21" t="str">
        <f>IFERROR(__xludf.DUMMYFUNCTION("""COMPUTED_VALUE"""),"https://drive.google.com/file/d/1zSWbFOrH6l05VbYTSTM1lnkbid4B9MeS/view?usp=drivesdk")</f>
        <v>https://drive.google.com/file/d/1zSWbFOrH6l05VbYTSTM1lnkbid4B9MeS/view?usp=drivesdk</v>
      </c>
    </row>
    <row r="9814">
      <c r="A9814" s="15">
        <f>IFERROR(__xludf.DUMMYFUNCTION("""COMPUTED_VALUE"""),45279.0)</f>
        <v>45279</v>
      </c>
      <c r="B9814" s="16" t="str">
        <f>IFERROR(__xludf.DUMMYFUNCTION("""COMPUTED_VALUE"""),"Envia")</f>
        <v>Envia</v>
      </c>
      <c r="C9814" s="15" t="str">
        <f>IFERROR(__xludf.DUMMYFUNCTION("""COMPUTED_VALUE"""),"CALI")</f>
        <v>CALI</v>
      </c>
      <c r="D9814" s="15" t="str">
        <f>IFERROR(__xludf.DUMMYFUNCTION("""COMPUTED_VALUE"""),"BOGOTÁ")</f>
        <v>BOGOTÁ</v>
      </c>
      <c r="E9814" s="15" t="str">
        <f>IFERROR(__xludf.DUMMYFUNCTION("""COMPUTED_VALUE"""),"Instinto alimento vital")</f>
        <v>Instinto alimento vital</v>
      </c>
      <c r="F9814" s="17" t="str">
        <f>IFERROR(__xludf.DUMMYFUNCTION("""COMPUTED_VALUE"""),"CALLE 34 N # 2B N 33 / MERCANCIA REQUIERE REFRIGERACION")</f>
        <v>CALLE 34 N # 2B N 33 / MERCANCIA REQUIERE REFRIGERACION</v>
      </c>
      <c r="G9814" s="15" t="str">
        <f>IFERROR(__xludf.DUMMYFUNCTION("""COMPUTED_VALUE"""),"BODEGA VELOCITY CALI")</f>
        <v>BODEGA VELOCITY CALI</v>
      </c>
      <c r="H9814" s="16">
        <f>IFERROR(__xludf.DUMMYFUNCTION("""COMPUTED_VALUE"""),18568.0)</f>
        <v>18568</v>
      </c>
      <c r="I9814" s="17"/>
      <c r="J9814" s="17"/>
      <c r="K9814" s="17"/>
      <c r="L9814" s="17">
        <f>IFERROR(__xludf.DUMMYFUNCTION("""COMPUTED_VALUE"""),3.15586906E9)</f>
        <v>3155869060</v>
      </c>
      <c r="M9814" s="17"/>
      <c r="N9814" s="17"/>
      <c r="O9814" s="17"/>
      <c r="P9814" s="17" t="b">
        <f>IFERROR(__xludf.DUMMYFUNCTION("""COMPUTED_VALUE"""),FALSE)</f>
        <v>0</v>
      </c>
      <c r="Q9814" s="20" t="str">
        <f>IFERROR(__xludf.DUMMYFUNCTION("""COMPUTED_VALUE"""),"")</f>
        <v/>
      </c>
      <c r="R9814" s="21" t="str">
        <f>IFERROR(__xludf.DUMMYFUNCTION("""COMPUTED_VALUE"""),"https://drive.google.com/file/d/1NzsLiMRgiRGH5z6LMXtn71deXxcctglb/view?usp=drivesdk")</f>
        <v>https://drive.google.com/file/d/1NzsLiMRgiRGH5z6LMXtn71deXxcctglb/view?usp=drivesdk</v>
      </c>
    </row>
    <row r="9815">
      <c r="A9815" s="15">
        <f>IFERROR(__xludf.DUMMYFUNCTION("""COMPUTED_VALUE"""),45279.0)</f>
        <v>45279</v>
      </c>
      <c r="B9815" s="16" t="str">
        <f>IFERROR(__xludf.DUMMYFUNCTION("""COMPUTED_VALUE"""),"Envia")</f>
        <v>Envia</v>
      </c>
      <c r="C9815" s="15" t="str">
        <f>IFERROR(__xludf.DUMMYFUNCTION("""COMPUTED_VALUE"""),"CALI")</f>
        <v>CALI</v>
      </c>
      <c r="D9815" s="15" t="str">
        <f>IFERROR(__xludf.DUMMYFUNCTION("""COMPUTED_VALUE"""),"BOGOTÁ")</f>
        <v>BOGOTÁ</v>
      </c>
      <c r="E9815" s="15" t="str">
        <f>IFERROR(__xludf.DUMMYFUNCTION("""COMPUTED_VALUE"""),"Olü")</f>
        <v>Olü</v>
      </c>
      <c r="F9815" s="17" t="str">
        <f>IFERROR(__xludf.DUMMYFUNCTION("""COMPUTED_VALUE"""),"Calle 16 # 85-10  / Local 102 / Barrio Ingenio")</f>
        <v>Calle 16 # 85-10  / Local 102 / Barrio Ingenio</v>
      </c>
      <c r="G9815" s="15" t="str">
        <f>IFERROR(__xludf.DUMMYFUNCTION("""COMPUTED_VALUE"""),"Jessica Guerrero")</f>
        <v>Jessica Guerrero</v>
      </c>
      <c r="H9815" s="16">
        <f>IFERROR(__xludf.DUMMYFUNCTION("""COMPUTED_VALUE"""),18522.0)</f>
        <v>18522</v>
      </c>
      <c r="I9815" s="18">
        <f>IFERROR(__xludf.DUMMYFUNCTION("""COMPUTED_VALUE"""),1.0)</f>
        <v>1</v>
      </c>
      <c r="J9815" s="18">
        <f>IFERROR(__xludf.DUMMYFUNCTION("""COMPUTED_VALUE"""),1.0)</f>
        <v>1</v>
      </c>
      <c r="K9815" s="18">
        <f>IFERROR(__xludf.DUMMYFUNCTION("""COMPUTED_VALUE"""),1.0)</f>
        <v>1</v>
      </c>
      <c r="L9815" s="17">
        <f>IFERROR(__xludf.DUMMYFUNCTION("""COMPUTED_VALUE"""),3.112664694E9)</f>
        <v>3112664694</v>
      </c>
      <c r="M9815" s="17"/>
      <c r="N9815" s="17"/>
      <c r="O9815" s="17"/>
      <c r="P9815" s="17" t="b">
        <f>IFERROR(__xludf.DUMMYFUNCTION("""COMPUTED_VALUE"""),FALSE)</f>
        <v>0</v>
      </c>
      <c r="Q9815" s="20" t="str">
        <f>IFERROR(__xludf.DUMMYFUNCTION("""COMPUTED_VALUE"""),"")</f>
        <v/>
      </c>
      <c r="R9815" s="21" t="str">
        <f>IFERROR(__xludf.DUMMYFUNCTION("""COMPUTED_VALUE"""),"https://drive.google.com/file/d/1nuVGCoIriNMR6q8K4IrhGJDm9Hcj8Ex5/view?usp=drivesdk")</f>
        <v>https://drive.google.com/file/d/1nuVGCoIriNMR6q8K4IrhGJDm9Hcj8Ex5/view?usp=drivesdk</v>
      </c>
    </row>
    <row r="9816">
      <c r="A9816" s="15">
        <f>IFERROR(__xludf.DUMMYFUNCTION("""COMPUTED_VALUE"""),45279.0)</f>
        <v>45279</v>
      </c>
      <c r="B9816" s="16" t="str">
        <f>IFERROR(__xludf.DUMMYFUNCTION("""COMPUTED_VALUE"""),"Envia")</f>
        <v>Envia</v>
      </c>
      <c r="C9816" s="15" t="str">
        <f>IFERROR(__xludf.DUMMYFUNCTION("""COMPUTED_VALUE"""),"CARTAGENA")</f>
        <v>CARTAGENA</v>
      </c>
      <c r="D9816" s="15" t="str">
        <f>IFERROR(__xludf.DUMMYFUNCTION("""COMPUTED_VALUE"""),"BOGOTÁ")</f>
        <v>BOGOTÁ</v>
      </c>
      <c r="E9816" s="15" t="str">
        <f>IFERROR(__xludf.DUMMYFUNCTION("""COMPUTED_VALUE"""),"INVERSIONES MOCHI")</f>
        <v>INVERSIONES MOCHI</v>
      </c>
      <c r="F9816" s="17" t="str">
        <f>IFERROR(__xludf.DUMMYFUNCTION("""COMPUTED_VALUE"""),"Cra 11 #39-21 / centro comercial la serrezuela")</f>
        <v>Cra 11 #39-21 / centro comercial la serrezuela</v>
      </c>
      <c r="G9816" s="15" t="str">
        <f>IFERROR(__xludf.DUMMYFUNCTION("""COMPUTED_VALUE"""),"Centro comercial la Serrezuela")</f>
        <v>Centro comercial la Serrezuela</v>
      </c>
      <c r="H9816" s="16">
        <f>IFERROR(__xludf.DUMMYFUNCTION("""COMPUTED_VALUE"""),18533.0)</f>
        <v>18533</v>
      </c>
      <c r="I9816" s="17"/>
      <c r="J9816" s="17"/>
      <c r="K9816" s="17"/>
      <c r="L9816" s="17">
        <f>IFERROR(__xludf.DUMMYFUNCTION("""COMPUTED_VALUE"""),3.116026252E9)</f>
        <v>3116026252</v>
      </c>
      <c r="M9816" s="17"/>
      <c r="N9816" s="17"/>
      <c r="O9816" s="17"/>
      <c r="P9816" s="17" t="b">
        <f>IFERROR(__xludf.DUMMYFUNCTION("""COMPUTED_VALUE"""),FALSE)</f>
        <v>0</v>
      </c>
      <c r="Q9816" s="20" t="str">
        <f>IFERROR(__xludf.DUMMYFUNCTION("""COMPUTED_VALUE"""),"")</f>
        <v/>
      </c>
      <c r="R9816" s="21" t="str">
        <f>IFERROR(__xludf.DUMMYFUNCTION("""COMPUTED_VALUE"""),"https://drive.google.com/file/d/1tcA0FSmVWTxLckB2D_0gK_HKdDNORoKk/view?usp=drivesdk")</f>
        <v>https://drive.google.com/file/d/1tcA0FSmVWTxLckB2D_0gK_HKdDNORoKk/view?usp=drivesdk</v>
      </c>
    </row>
    <row r="9817">
      <c r="A9817" s="15">
        <f>IFERROR(__xludf.DUMMYFUNCTION("""COMPUTED_VALUE"""),45279.0)</f>
        <v>45279</v>
      </c>
      <c r="B9817" s="16" t="str">
        <f>IFERROR(__xludf.DUMMYFUNCTION("""COMPUTED_VALUE"""),"Envia")</f>
        <v>Envia</v>
      </c>
      <c r="C9817" s="15" t="str">
        <f>IFERROR(__xludf.DUMMYFUNCTION("""COMPUTED_VALUE"""),"FLORIDABLANCA")</f>
        <v>FLORIDABLANCA</v>
      </c>
      <c r="D9817" s="15" t="str">
        <f>IFERROR(__xludf.DUMMYFUNCTION("""COMPUTED_VALUE"""),"BOGOTÁ")</f>
        <v>BOGOTÁ</v>
      </c>
      <c r="E9817" s="15" t="str">
        <f>IFERROR(__xludf.DUMMYFUNCTION("""COMPUTED_VALUE"""),"Asociacion Agropecuaria Juana Maria")</f>
        <v>Asociacion Agropecuaria Juana Maria</v>
      </c>
      <c r="F9817" s="17" t="str">
        <f>IFERROR(__xludf.DUMMYFUNCTION("""COMPUTED_VALUE"""),"Calle 19 #11-37 / Guanatá FLORIDABLANCA")</f>
        <v>Calle 19 #11-37 / Guanatá FLORIDABLANCA</v>
      </c>
      <c r="G9817" s="15" t="str">
        <f>IFERROR(__xludf.DUMMYFUNCTION("""COMPUTED_VALUE"""),"Claudia Gonzalez")</f>
        <v>Claudia Gonzalez</v>
      </c>
      <c r="H9817" s="16">
        <f>IFERROR(__xludf.DUMMYFUNCTION("""COMPUTED_VALUE"""),18499.0)</f>
        <v>18499</v>
      </c>
      <c r="I9817" s="17"/>
      <c r="J9817" s="17"/>
      <c r="K9817" s="17"/>
      <c r="L9817" s="17">
        <f>IFERROR(__xludf.DUMMYFUNCTION("""COMPUTED_VALUE"""),3.002802001E9)</f>
        <v>3002802001</v>
      </c>
      <c r="M9817" s="17"/>
      <c r="N9817" s="17"/>
      <c r="O9817" s="17"/>
      <c r="P9817" s="17" t="b">
        <f>IFERROR(__xludf.DUMMYFUNCTION("""COMPUTED_VALUE"""),FALSE)</f>
        <v>0</v>
      </c>
      <c r="Q9817" s="20" t="str">
        <f>IFERROR(__xludf.DUMMYFUNCTION("""COMPUTED_VALUE"""),"")</f>
        <v/>
      </c>
      <c r="R9817" s="21" t="str">
        <f>IFERROR(__xludf.DUMMYFUNCTION("""COMPUTED_VALUE"""),"https://drive.google.com/file/d/1iyP-KlpgHSIUgX_4sDj5P6cKim1sQow6/view?usp=drivesdk")</f>
        <v>https://drive.google.com/file/d/1iyP-KlpgHSIUgX_4sDj5P6cKim1sQow6/view?usp=drivesdk</v>
      </c>
    </row>
    <row r="9818">
      <c r="A9818" s="15">
        <f>IFERROR(__xludf.DUMMYFUNCTION("""COMPUTED_VALUE"""),45279.0)</f>
        <v>45279</v>
      </c>
      <c r="B9818" s="16" t="str">
        <f>IFERROR(__xludf.DUMMYFUNCTION("""COMPUTED_VALUE"""),"Envia")</f>
        <v>Envia</v>
      </c>
      <c r="C9818" s="15" t="str">
        <f>IFERROR(__xludf.DUMMYFUNCTION("""COMPUTED_VALUE"""),"IBAGUÉ")</f>
        <v>IBAGUÉ</v>
      </c>
      <c r="D9818" s="15" t="str">
        <f>IFERROR(__xludf.DUMMYFUNCTION("""COMPUTED_VALUE"""),"BOGOTÁ")</f>
        <v>BOGOTÁ</v>
      </c>
      <c r="E9818" s="15" t="str">
        <f>IFERROR(__xludf.DUMMYFUNCTION("""COMPUTED_VALUE"""),"Premium Choice")</f>
        <v>Premium Choice</v>
      </c>
      <c r="F9818" s="17" t="str">
        <f>IFERROR(__xludf.DUMMYFUNCTION("""COMPUTED_VALUE"""),"Carrera 1 # 45 - 50  / Hotel  / Ibague")</f>
        <v>Carrera 1 # 45 - 50  / Hotel  / Ibague</v>
      </c>
      <c r="G9818" s="15" t="str">
        <f>IFERROR(__xludf.DUMMYFUNCTION("""COMPUTED_VALUE"""),"Hoteles estelar Ibague")</f>
        <v>Hoteles estelar Ibague</v>
      </c>
      <c r="H9818" s="16">
        <f>IFERROR(__xludf.DUMMYFUNCTION("""COMPUTED_VALUE"""),18511.0)</f>
        <v>18511</v>
      </c>
      <c r="I9818" s="18">
        <f>IFERROR(__xludf.DUMMYFUNCTION("""COMPUTED_VALUE"""),17.0)</f>
        <v>17</v>
      </c>
      <c r="J9818" s="18">
        <f>IFERROR(__xludf.DUMMYFUNCTION("""COMPUTED_VALUE"""),40.0)</f>
        <v>40</v>
      </c>
      <c r="K9818" s="18">
        <f>IFERROR(__xludf.DUMMYFUNCTION("""COMPUTED_VALUE"""),30.0)</f>
        <v>30</v>
      </c>
      <c r="L9818" s="17">
        <f>IFERROR(__xludf.DUMMYFUNCTION("""COMPUTED_VALUE"""),3.102170999E9)</f>
        <v>3102170999</v>
      </c>
      <c r="M9818" s="17"/>
      <c r="N9818" s="17"/>
      <c r="O9818" s="17"/>
      <c r="P9818" s="17" t="b">
        <f>IFERROR(__xludf.DUMMYFUNCTION("""COMPUTED_VALUE"""),FALSE)</f>
        <v>0</v>
      </c>
      <c r="Q9818" s="20" t="str">
        <f>IFERROR(__xludf.DUMMYFUNCTION("""COMPUTED_VALUE"""),"")</f>
        <v/>
      </c>
      <c r="R9818" s="21" t="str">
        <f>IFERROR(__xludf.DUMMYFUNCTION("""COMPUTED_VALUE"""),"https://drive.google.com/file/d/1hG_FNGt8Vb0xey4so1M6AO3_yOHM1wj2/view?usp=drivesdk")</f>
        <v>https://drive.google.com/file/d/1hG_FNGt8Vb0xey4so1M6AO3_yOHM1wj2/view?usp=drivesdk</v>
      </c>
    </row>
    <row r="9819">
      <c r="A9819" s="15">
        <f>IFERROR(__xludf.DUMMYFUNCTION("""COMPUTED_VALUE"""),45279.0)</f>
        <v>45279</v>
      </c>
      <c r="B9819" s="16" t="str">
        <f>IFERROR(__xludf.DUMMYFUNCTION("""COMPUTED_VALUE"""),"Envia")</f>
        <v>Envia</v>
      </c>
      <c r="C9819" s="15" t="str">
        <f>IFERROR(__xludf.DUMMYFUNCTION("""COMPUTED_VALUE"""),"MEDELLÍN")</f>
        <v>MEDELLÍN</v>
      </c>
      <c r="D9819" s="15" t="str">
        <f>IFERROR(__xludf.DUMMYFUNCTION("""COMPUTED_VALUE"""),"BOGOTÁ")</f>
        <v>BOGOTÁ</v>
      </c>
      <c r="E9819" s="15" t="str">
        <f>IFERROR(__xludf.DUMMYFUNCTION("""COMPUTED_VALUE"""),"Asociacion Agropecuaria Juana Maria")</f>
        <v>Asociacion Agropecuaria Juana Maria</v>
      </c>
      <c r="F9819" s="17" t="str">
        <f>IFERROR(__xludf.DUMMYFUNCTION("""COMPUTED_VALUE"""),"Carrera 15 BA # 30D-44 / int 201")</f>
        <v>Carrera 15 BA # 30D-44 / int 201</v>
      </c>
      <c r="G9819" s="15" t="str">
        <f>IFERROR(__xludf.DUMMYFUNCTION("""COMPUTED_VALUE"""),"Daniela Bedoya Blandon")</f>
        <v>Daniela Bedoya Blandon</v>
      </c>
      <c r="H9819" s="16">
        <f>IFERROR(__xludf.DUMMYFUNCTION("""COMPUTED_VALUE"""),18497.0)</f>
        <v>18497</v>
      </c>
      <c r="I9819" s="17"/>
      <c r="J9819" s="17"/>
      <c r="K9819" s="17"/>
      <c r="L9819" s="17">
        <f>IFERROR(__xludf.DUMMYFUNCTION("""COMPUTED_VALUE"""),3.14672822E9)</f>
        <v>3146728220</v>
      </c>
      <c r="M9819" s="17"/>
      <c r="N9819" s="17"/>
      <c r="O9819" s="17"/>
      <c r="P9819" s="17" t="b">
        <f>IFERROR(__xludf.DUMMYFUNCTION("""COMPUTED_VALUE"""),FALSE)</f>
        <v>0</v>
      </c>
      <c r="Q9819" s="20" t="str">
        <f>IFERROR(__xludf.DUMMYFUNCTION("""COMPUTED_VALUE"""),"")</f>
        <v/>
      </c>
      <c r="R9819" s="21" t="str">
        <f>IFERROR(__xludf.DUMMYFUNCTION("""COMPUTED_VALUE"""),"https://drive.google.com/file/d/1v8mLrPxvWBBKtvSBiB-lV6jiPbnJNXaI/view?usp=drivesdk")</f>
        <v>https://drive.google.com/file/d/1v8mLrPxvWBBKtvSBiB-lV6jiPbnJNXaI/view?usp=drivesdk</v>
      </c>
    </row>
    <row r="9820">
      <c r="A9820" s="15">
        <f>IFERROR(__xludf.DUMMYFUNCTION("""COMPUTED_VALUE"""),45279.0)</f>
        <v>45279</v>
      </c>
      <c r="B9820" s="16" t="str">
        <f>IFERROR(__xludf.DUMMYFUNCTION("""COMPUTED_VALUE"""),"Envia")</f>
        <v>Envia</v>
      </c>
      <c r="C9820" s="15" t="str">
        <f>IFERROR(__xludf.DUMMYFUNCTION("""COMPUTED_VALUE"""),"MEDELLÍN")</f>
        <v>MEDELLÍN</v>
      </c>
      <c r="D9820" s="15" t="str">
        <f>IFERROR(__xludf.DUMMYFUNCTION("""COMPUTED_VALUE"""),"BOGOTÁ")</f>
        <v>BOGOTÁ</v>
      </c>
      <c r="E9820" s="15" t="str">
        <f>IFERROR(__xludf.DUMMYFUNCTION("""COMPUTED_VALUE"""),"Asociacion Agropecuaria Juana Maria")</f>
        <v>Asociacion Agropecuaria Juana Maria</v>
      </c>
      <c r="F9820" s="17" t="str">
        <f>IFERROR(__xludf.DUMMYFUNCTION("""COMPUTED_VALUE"""),"Carrera 52 # 74 -85 / Casa Segundo Piso Avenida Santa Maria Carril izquierdo Itagui")</f>
        <v>Carrera 52 # 74 -85 / Casa Segundo Piso Avenida Santa Maria Carril izquierdo Itagui</v>
      </c>
      <c r="G9820" s="15" t="str">
        <f>IFERROR(__xludf.DUMMYFUNCTION("""COMPUTED_VALUE"""),"Jennifer Sanchez Blandon")</f>
        <v>Jennifer Sanchez Blandon</v>
      </c>
      <c r="H9820" s="16">
        <f>IFERROR(__xludf.DUMMYFUNCTION("""COMPUTED_VALUE"""),18498.0)</f>
        <v>18498</v>
      </c>
      <c r="I9820" s="17"/>
      <c r="J9820" s="17"/>
      <c r="K9820" s="17"/>
      <c r="L9820" s="17">
        <f>IFERROR(__xludf.DUMMYFUNCTION("""COMPUTED_VALUE"""),3.016937674E9)</f>
        <v>3016937674</v>
      </c>
      <c r="M9820" s="17"/>
      <c r="N9820" s="17"/>
      <c r="O9820" s="17"/>
      <c r="P9820" s="17" t="b">
        <f>IFERROR(__xludf.DUMMYFUNCTION("""COMPUTED_VALUE"""),FALSE)</f>
        <v>0</v>
      </c>
      <c r="Q9820" s="20" t="str">
        <f>IFERROR(__xludf.DUMMYFUNCTION("""COMPUTED_VALUE"""),"")</f>
        <v/>
      </c>
      <c r="R9820" s="21" t="str">
        <f>IFERROR(__xludf.DUMMYFUNCTION("""COMPUTED_VALUE"""),"https://drive.google.com/file/d/1TEXenV_i3IwIA_kVYfvBquhzPrE0nmqE/view?usp=drivesdk")</f>
        <v>https://drive.google.com/file/d/1TEXenV_i3IwIA_kVYfvBquhzPrE0nmqE/view?usp=drivesdk</v>
      </c>
    </row>
    <row r="9821">
      <c r="A9821" s="15">
        <f>IFERROR(__xludf.DUMMYFUNCTION("""COMPUTED_VALUE"""),45279.0)</f>
        <v>45279</v>
      </c>
      <c r="B9821" s="16" t="str">
        <f>IFERROR(__xludf.DUMMYFUNCTION("""COMPUTED_VALUE"""),"Envia")</f>
        <v>Envia</v>
      </c>
      <c r="C9821" s="15" t="str">
        <f>IFERROR(__xludf.DUMMYFUNCTION("""COMPUTED_VALUE"""),"MEDELLÍN")</f>
        <v>MEDELLÍN</v>
      </c>
      <c r="D9821" s="15" t="str">
        <f>IFERROR(__xludf.DUMMYFUNCTION("""COMPUTED_VALUE"""),"BOGOTÁ")</f>
        <v>BOGOTÁ</v>
      </c>
      <c r="E9821" s="15" t="str">
        <f>IFERROR(__xludf.DUMMYFUNCTION("""COMPUTED_VALUE"""),"Instinto alimento vital")</f>
        <v>Instinto alimento vital</v>
      </c>
      <c r="F9821" s="17" t="str">
        <f>IFERROR(__xludf.DUMMYFUNCTION("""COMPUTED_VALUE"""),"Calle 45 # 79-26 / Dos cuadras abajo de la Lázaro de la América")</f>
        <v>Calle 45 # 79-26 / Dos cuadras abajo de la Lázaro de la América</v>
      </c>
      <c r="G9821" s="15" t="str">
        <f>IFERROR(__xludf.DUMMYFUNCTION("""COMPUTED_VALUE"""),"MADO EXPRESS // JAIME ANDRES BLANDON LOPEZ,")</f>
        <v>MADO EXPRESS // JAIME ANDRES BLANDON LOPEZ,</v>
      </c>
      <c r="H9821" s="16">
        <f>IFERROR(__xludf.DUMMYFUNCTION("""COMPUTED_VALUE"""),18566.0)</f>
        <v>18566</v>
      </c>
      <c r="I9821" s="17"/>
      <c r="J9821" s="17"/>
      <c r="K9821" s="17"/>
      <c r="L9821" s="17">
        <f>IFERROR(__xludf.DUMMYFUNCTION("""COMPUTED_VALUE"""),3.002842264E9)</f>
        <v>3002842264</v>
      </c>
      <c r="M9821" s="17"/>
      <c r="N9821" s="17"/>
      <c r="O9821" s="17"/>
      <c r="P9821" s="17" t="b">
        <f>IFERROR(__xludf.DUMMYFUNCTION("""COMPUTED_VALUE"""),FALSE)</f>
        <v>0</v>
      </c>
      <c r="Q9821" s="20" t="str">
        <f>IFERROR(__xludf.DUMMYFUNCTION("""COMPUTED_VALUE"""),"")</f>
        <v/>
      </c>
      <c r="R9821" s="21" t="str">
        <f>IFERROR(__xludf.DUMMYFUNCTION("""COMPUTED_VALUE"""),"https://drive.google.com/file/d/1k4l-sNSz76pAZsm9kUtYCoD5oSQRlsbR/view?usp=drivesdk")</f>
        <v>https://drive.google.com/file/d/1k4l-sNSz76pAZsm9kUtYCoD5oSQRlsbR/view?usp=drivesdk</v>
      </c>
    </row>
    <row r="9822">
      <c r="A9822" s="15">
        <f>IFERROR(__xludf.DUMMYFUNCTION("""COMPUTED_VALUE"""),45279.0)</f>
        <v>45279</v>
      </c>
      <c r="B9822" s="16" t="str">
        <f>IFERROR(__xludf.DUMMYFUNCTION("""COMPUTED_VALUE"""),"Envia")</f>
        <v>Envia</v>
      </c>
      <c r="C9822" s="15" t="str">
        <f>IFERROR(__xludf.DUMMYFUNCTION("""COMPUTED_VALUE"""),"MEDELLÍN")</f>
        <v>MEDELLÍN</v>
      </c>
      <c r="D9822" s="15" t="str">
        <f>IFERROR(__xludf.DUMMYFUNCTION("""COMPUTED_VALUE"""),"BOGOTÁ")</f>
        <v>BOGOTÁ</v>
      </c>
      <c r="E9822" s="15" t="str">
        <f>IFERROR(__xludf.DUMMYFUNCTION("""COMPUTED_VALUE"""),"INVERSIONES MOCHI")</f>
        <v>INVERSIONES MOCHI</v>
      </c>
      <c r="F9822" s="17" t="str">
        <f>IFERROR(__xludf.DUMMYFUNCTION("""COMPUTED_VALUE"""),"CRA 48 #32B SUR-139 ZONA 1 / CENTRO COMERCIAL VIVA ENVIGADO")</f>
        <v>CRA 48 #32B SUR-139 ZONA 1 / CENTRO COMERCIAL VIVA ENVIGADO</v>
      </c>
      <c r="G9822" s="15" t="str">
        <f>IFERROR(__xludf.DUMMYFUNCTION("""COMPUTED_VALUE"""),"CENTRO COMERCIAL VIVA ENVIGADO")</f>
        <v>CENTRO COMERCIAL VIVA ENVIGADO</v>
      </c>
      <c r="H9822" s="16">
        <f>IFERROR(__xludf.DUMMYFUNCTION("""COMPUTED_VALUE"""),18534.0)</f>
        <v>18534</v>
      </c>
      <c r="I9822" s="17"/>
      <c r="J9822" s="17"/>
      <c r="K9822" s="17"/>
      <c r="L9822" s="17">
        <f>IFERROR(__xludf.DUMMYFUNCTION("""COMPUTED_VALUE"""),3.142587995E9)</f>
        <v>3142587995</v>
      </c>
      <c r="M9822" s="17"/>
      <c r="N9822" s="17"/>
      <c r="O9822" s="17"/>
      <c r="P9822" s="17" t="b">
        <f>IFERROR(__xludf.DUMMYFUNCTION("""COMPUTED_VALUE"""),FALSE)</f>
        <v>0</v>
      </c>
      <c r="Q9822" s="20" t="str">
        <f>IFERROR(__xludf.DUMMYFUNCTION("""COMPUTED_VALUE"""),"")</f>
        <v/>
      </c>
      <c r="R9822" s="21" t="str">
        <f>IFERROR(__xludf.DUMMYFUNCTION("""COMPUTED_VALUE"""),"https://drive.google.com/file/d/1mpjtIhgex3lOpXc80mGQLx0F_1PP1UyJ/view?usp=drivesdk")</f>
        <v>https://drive.google.com/file/d/1mpjtIhgex3lOpXc80mGQLx0F_1PP1UyJ/view?usp=drivesdk</v>
      </c>
    </row>
    <row r="9823">
      <c r="A9823" s="15">
        <f>IFERROR(__xludf.DUMMYFUNCTION("""COMPUTED_VALUE"""),45279.0)</f>
        <v>45279</v>
      </c>
      <c r="B9823" s="16" t="str">
        <f>IFERROR(__xludf.DUMMYFUNCTION("""COMPUTED_VALUE"""),"Envia")</f>
        <v>Envia</v>
      </c>
      <c r="C9823" s="15" t="str">
        <f>IFERROR(__xludf.DUMMYFUNCTION("""COMPUTED_VALUE"""),"MEDELLÍN")</f>
        <v>MEDELLÍN</v>
      </c>
      <c r="D9823" s="15" t="str">
        <f>IFERROR(__xludf.DUMMYFUNCTION("""COMPUTED_VALUE"""),"BOGOTÁ")</f>
        <v>BOGOTÁ</v>
      </c>
      <c r="E9823" s="15" t="str">
        <f>IFERROR(__xludf.DUMMYFUNCTION("""COMPUTED_VALUE"""),"Loomifoods")</f>
        <v>Loomifoods</v>
      </c>
      <c r="F9823" s="17" t="str">
        <f>IFERROR(__xludf.DUMMYFUNCTION("""COMPUTED_VALUE"""),"Parque Comercial El Tesoro.  / Bodega N° 3NP-B-02  / Sótano S4 Rojo")</f>
        <v>Parque Comercial El Tesoro.  / Bodega N° 3NP-B-02  / Sótano S4 Rojo</v>
      </c>
      <c r="G9823" s="15" t="str">
        <f>IFERROR(__xludf.DUMMYFUNCTION("""COMPUTED_VALUE"""),"Merkaorganico Medellin")</f>
        <v>Merkaorganico Medellin</v>
      </c>
      <c r="H9823" s="16">
        <f>IFERROR(__xludf.DUMMYFUNCTION("""COMPUTED_VALUE"""),18557.0)</f>
        <v>18557</v>
      </c>
      <c r="I9823" s="18">
        <f>IFERROR(__xludf.DUMMYFUNCTION("""COMPUTED_VALUE"""),50.0)</f>
        <v>50</v>
      </c>
      <c r="J9823" s="18">
        <f>IFERROR(__xludf.DUMMYFUNCTION("""COMPUTED_VALUE"""),30.0)</f>
        <v>30</v>
      </c>
      <c r="K9823" s="18">
        <f>IFERROR(__xludf.DUMMYFUNCTION("""COMPUTED_VALUE"""),21.0)</f>
        <v>21</v>
      </c>
      <c r="L9823" s="17">
        <f>IFERROR(__xludf.DUMMYFUNCTION("""COMPUTED_VALUE"""),3.214690579E9)</f>
        <v>3214690579</v>
      </c>
      <c r="M9823" s="17"/>
      <c r="N9823" s="17"/>
      <c r="O9823" s="17"/>
      <c r="P9823" s="17" t="b">
        <f>IFERROR(__xludf.DUMMYFUNCTION("""COMPUTED_VALUE"""),FALSE)</f>
        <v>0</v>
      </c>
      <c r="Q9823" s="20" t="str">
        <f>IFERROR(__xludf.DUMMYFUNCTION("""COMPUTED_VALUE"""),"")</f>
        <v/>
      </c>
      <c r="R9823" s="21" t="str">
        <f>IFERROR(__xludf.DUMMYFUNCTION("""COMPUTED_VALUE"""),"https://drive.google.com/file/d/1gdMn-Au03ibLlnbwlX-ZxHJ8_-p_KrSb/view?usp=drivesdk")</f>
        <v>https://drive.google.com/file/d/1gdMn-Au03ibLlnbwlX-ZxHJ8_-p_KrSb/view?usp=drivesdk</v>
      </c>
    </row>
    <row r="9824">
      <c r="A9824" s="15">
        <f>IFERROR(__xludf.DUMMYFUNCTION("""COMPUTED_VALUE"""),45279.0)</f>
        <v>45279</v>
      </c>
      <c r="B9824" s="16" t="str">
        <f>IFERROR(__xludf.DUMMYFUNCTION("""COMPUTED_VALUE"""),"Envia")</f>
        <v>Envia</v>
      </c>
      <c r="C9824" s="15" t="str">
        <f>IFERROR(__xludf.DUMMYFUNCTION("""COMPUTED_VALUE"""),"MEDELLÍN")</f>
        <v>MEDELLÍN</v>
      </c>
      <c r="D9824" s="15" t="str">
        <f>IFERROR(__xludf.DUMMYFUNCTION("""COMPUTED_VALUE"""),"BOGOTÁ")</f>
        <v>BOGOTÁ</v>
      </c>
      <c r="E9824" s="15" t="str">
        <f>IFERROR(__xludf.DUMMYFUNCTION("""COMPUTED_VALUE"""),"MAI ALIMENTOS REALES")</f>
        <v>MAI ALIMENTOS REALES</v>
      </c>
      <c r="F9824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9824" s="15" t="str">
        <f>IFERROR(__xludf.DUMMYFUNCTION("""COMPUTED_VALUE"""),"Novaventas")</f>
        <v>Novaventas</v>
      </c>
      <c r="H9824" s="16">
        <f>IFERROR(__xludf.DUMMYFUNCTION("""COMPUTED_VALUE"""),18427.0)</f>
        <v>18427</v>
      </c>
      <c r="I9824" s="17"/>
      <c r="J9824" s="17"/>
      <c r="K9824" s="17"/>
      <c r="L9824" s="17">
        <f>IFERROR(__xludf.DUMMYFUNCTION("""COMPUTED_VALUE"""),3.187351593E9)</f>
        <v>3187351593</v>
      </c>
      <c r="M9824" s="17"/>
      <c r="N9824" s="17"/>
      <c r="O9824" s="17"/>
      <c r="P9824" s="17" t="b">
        <f>IFERROR(__xludf.DUMMYFUNCTION("""COMPUTED_VALUE"""),FALSE)</f>
        <v>0</v>
      </c>
      <c r="Q9824" s="20" t="str">
        <f>IFERROR(__xludf.DUMMYFUNCTION("""COMPUTED_VALUE"""),"")</f>
        <v/>
      </c>
      <c r="R9824" s="21" t="str">
        <f>IFERROR(__xludf.DUMMYFUNCTION("""COMPUTED_VALUE"""),"https://drive.google.com/file/d/1UQ7yFMVHR_lxod-lLpSkQOnQZXXhiJAe/view?usp=drivesdk")</f>
        <v>https://drive.google.com/file/d/1UQ7yFMVHR_lxod-lLpSkQOnQZXXhiJAe/view?usp=drivesdk</v>
      </c>
    </row>
    <row r="9825">
      <c r="A9825" s="15">
        <f>IFERROR(__xludf.DUMMYFUNCTION("""COMPUTED_VALUE"""),45279.0)</f>
        <v>45279</v>
      </c>
      <c r="B9825" s="16" t="str">
        <f>IFERROR(__xludf.DUMMYFUNCTION("""COMPUTED_VALUE"""),"Envia")</f>
        <v>Envia</v>
      </c>
      <c r="C9825" s="15" t="str">
        <f>IFERROR(__xludf.DUMMYFUNCTION("""COMPUTED_VALUE"""),"PEREIRA")</f>
        <v>PEREIRA</v>
      </c>
      <c r="D9825" s="15" t="str">
        <f>IFERROR(__xludf.DUMMYFUNCTION("""COMPUTED_VALUE"""),"BOGOTÁ")</f>
        <v>BOGOTÁ</v>
      </c>
      <c r="E9825" s="15" t="str">
        <f>IFERROR(__xludf.DUMMYFUNCTION("""COMPUTED_VALUE"""),"Instinto alimento vital")</f>
        <v>Instinto alimento vital</v>
      </c>
      <c r="F9825" s="17" t="str">
        <f>IFERROR(__xludf.DUMMYFUNCTION("""COMPUTED_VALUE"""),"CRA 5 # 18  - 43 / MERCANCIA REQUIERE CONGELACION - CONTACTO CON MOISES")</f>
        <v>CRA 5 # 18  - 43 / MERCANCIA REQUIERE CONGELACION - CONTACTO CON MOISES</v>
      </c>
      <c r="G9825" s="15" t="str">
        <f>IFERROR(__xludf.DUMMYFUNCTION("""COMPUTED_VALUE"""),"BODEGA PEREIRA")</f>
        <v>BODEGA PEREIRA</v>
      </c>
      <c r="H9825" s="16">
        <f>IFERROR(__xludf.DUMMYFUNCTION("""COMPUTED_VALUE"""),18567.0)</f>
        <v>18567</v>
      </c>
      <c r="I9825" s="17"/>
      <c r="J9825" s="17"/>
      <c r="K9825" s="17"/>
      <c r="L9825" s="17">
        <f>IFERROR(__xludf.DUMMYFUNCTION("""COMPUTED_VALUE"""),3.008252529E9)</f>
        <v>3008252529</v>
      </c>
      <c r="M9825" s="17"/>
      <c r="N9825" s="17"/>
      <c r="O9825" s="17"/>
      <c r="P9825" s="17" t="b">
        <f>IFERROR(__xludf.DUMMYFUNCTION("""COMPUTED_VALUE"""),FALSE)</f>
        <v>0</v>
      </c>
      <c r="Q9825" s="20" t="str">
        <f>IFERROR(__xludf.DUMMYFUNCTION("""COMPUTED_VALUE"""),"")</f>
        <v/>
      </c>
      <c r="R9825" s="21" t="str">
        <f>IFERROR(__xludf.DUMMYFUNCTION("""COMPUTED_VALUE"""),"https://drive.google.com/file/d/13X1810DyRemkN8dFP3rvAcbLkSeadqKx/view?usp=drivesdk")</f>
        <v>https://drive.google.com/file/d/13X1810DyRemkN8dFP3rvAcbLkSeadqKx/view?usp=drivesdk</v>
      </c>
    </row>
    <row r="9826">
      <c r="A9826" s="15">
        <f>IFERROR(__xludf.DUMMYFUNCTION("""COMPUTED_VALUE"""),45279.0)</f>
        <v>45279</v>
      </c>
      <c r="B9826" s="16" t="str">
        <f>IFERROR(__xludf.DUMMYFUNCTION("""COMPUTED_VALUE"""),"Envia")</f>
        <v>Envia</v>
      </c>
      <c r="C9826" s="15" t="str">
        <f>IFERROR(__xludf.DUMMYFUNCTION("""COMPUTED_VALUE"""),"PEREIRA")</f>
        <v>PEREIRA</v>
      </c>
      <c r="D9826" s="15" t="str">
        <f>IFERROR(__xludf.DUMMYFUNCTION("""COMPUTED_VALUE"""),"BOGOTÁ")</f>
        <v>BOGOTÁ</v>
      </c>
      <c r="E9826" s="15" t="str">
        <f>IFERROR(__xludf.DUMMYFUNCTION("""COMPUTED_VALUE"""),"MAI ALIMENTOS REALES")</f>
        <v>MAI ALIMENTOS REALES</v>
      </c>
      <c r="F9826" s="17" t="str">
        <f>IFERROR(__xludf.DUMMYFUNCTION("""COMPUTED_VALUE"""),"Carrera 8 #14-132 / Bodega 2 Multicentro Macarena, Dosquebrabas")</f>
        <v>Carrera 8 #14-132 / Bodega 2 Multicentro Macarena, Dosquebrabas</v>
      </c>
      <c r="G9826" s="15" t="str">
        <f>IFERROR(__xludf.DUMMYFUNCTION("""COMPUTED_VALUE"""),"NOVAVENTAS PERERIA")</f>
        <v>NOVAVENTAS PERERIA</v>
      </c>
      <c r="H9826" s="16">
        <f>IFERROR(__xludf.DUMMYFUNCTION("""COMPUTED_VALUE"""),18428.0)</f>
        <v>18428</v>
      </c>
      <c r="I9826" s="17"/>
      <c r="J9826" s="17"/>
      <c r="K9826" s="17"/>
      <c r="L9826" s="17">
        <f>IFERROR(__xludf.DUMMYFUNCTION("""COMPUTED_VALUE"""),3.136760965E9)</f>
        <v>3136760965</v>
      </c>
      <c r="M9826" s="17"/>
      <c r="N9826" s="17"/>
      <c r="O9826" s="17"/>
      <c r="P9826" s="17" t="b">
        <f>IFERROR(__xludf.DUMMYFUNCTION("""COMPUTED_VALUE"""),FALSE)</f>
        <v>0</v>
      </c>
      <c r="Q9826" s="20" t="str">
        <f>IFERROR(__xludf.DUMMYFUNCTION("""COMPUTED_VALUE"""),"")</f>
        <v/>
      </c>
      <c r="R9826" s="21" t="str">
        <f>IFERROR(__xludf.DUMMYFUNCTION("""COMPUTED_VALUE"""),"https://drive.google.com/file/d/1YoUZ7jRfohjWCtyosd4Y8HJXMI0LH9hK/view?usp=drivesdk")</f>
        <v>https://drive.google.com/file/d/1YoUZ7jRfohjWCtyosd4Y8HJXMI0LH9hK/view?usp=drivesdk</v>
      </c>
    </row>
    <row r="9827">
      <c r="A9827" s="15">
        <f>IFERROR(__xludf.DUMMYFUNCTION("""COMPUTED_VALUE"""),45279.0)</f>
        <v>45279</v>
      </c>
      <c r="B9827" s="16" t="str">
        <f>IFERROR(__xludf.DUMMYFUNCTION("""COMPUTED_VALUE"""),"Envia")</f>
        <v>Envia</v>
      </c>
      <c r="C9827" s="15" t="str">
        <f>IFERROR(__xludf.DUMMYFUNCTION("""COMPUTED_VALUE"""),"YUMBO")</f>
        <v>YUMBO</v>
      </c>
      <c r="D9827" s="15" t="str">
        <f>IFERROR(__xludf.DUMMYFUNCTION("""COMPUTED_VALUE"""),"BOGOTÁ")</f>
        <v>BOGOTÁ</v>
      </c>
      <c r="E9827" s="15" t="str">
        <f>IFERROR(__xludf.DUMMYFUNCTION("""COMPUTED_VALUE"""),"MAI ALIMENTOS REALES")</f>
        <v>MAI ALIMENTOS REALES</v>
      </c>
      <c r="F9827" s="17" t="str">
        <f>IFERROR(__xludf.DUMMYFUNCTION("""COMPUTED_VALUE"""),"Carrera 35 # 10 – 592 / Bodega 6 , Conjunto Industrial Nueva Era")</f>
        <v>Carrera 35 # 10 – 592 / Bodega 6 , Conjunto Industrial Nueva Era</v>
      </c>
      <c r="G9827" s="15" t="str">
        <f>IFERROR(__xludf.DUMMYFUNCTION("""COMPUTED_VALUE"""),"NOVAVENTAS CALI")</f>
        <v>NOVAVENTAS CALI</v>
      </c>
      <c r="H9827" s="16">
        <f>IFERROR(__xludf.DUMMYFUNCTION("""COMPUTED_VALUE"""),18429.0)</f>
        <v>18429</v>
      </c>
      <c r="I9827" s="17"/>
      <c r="J9827" s="17"/>
      <c r="K9827" s="17"/>
      <c r="L9827" s="17">
        <f>IFERROR(__xludf.DUMMYFUNCTION("""COMPUTED_VALUE"""),3.146714539E9)</f>
        <v>3146714539</v>
      </c>
      <c r="M9827" s="17"/>
      <c r="N9827" s="17"/>
      <c r="O9827" s="17"/>
      <c r="P9827" s="17" t="b">
        <f>IFERROR(__xludf.DUMMYFUNCTION("""COMPUTED_VALUE"""),FALSE)</f>
        <v>0</v>
      </c>
      <c r="Q9827" s="20" t="str">
        <f>IFERROR(__xludf.DUMMYFUNCTION("""COMPUTED_VALUE"""),"")</f>
        <v/>
      </c>
      <c r="R9827" s="21" t="str">
        <f>IFERROR(__xludf.DUMMYFUNCTION("""COMPUTED_VALUE"""),"https://drive.google.com/file/d/1cAiDI9CH2NsQcrfPXfXJuuyegunnedas/view?usp=drivesdk")</f>
        <v>https://drive.google.com/file/d/1cAiDI9CH2NsQcrfPXfXJuuyegunnedas/view?usp=drivesdk</v>
      </c>
    </row>
    <row r="9828">
      <c r="A9828" s="17" t="str">
        <f>IFERROR(__xludf.DUMMYFUNCTION("""COMPUTED_VALUE"""),"")</f>
        <v/>
      </c>
      <c r="B9828" s="17" t="str">
        <f>IFERROR(__xludf.DUMMYFUNCTION("""COMPUTED_VALUE"""),"")</f>
        <v/>
      </c>
      <c r="C9828" s="17" t="str">
        <f>IFERROR(__xludf.DUMMYFUNCTION("""COMPUTED_VALUE"""),"")</f>
        <v/>
      </c>
      <c r="D9828" s="17" t="str">
        <f>IFERROR(__xludf.DUMMYFUNCTION("""COMPUTED_VALUE"""),"")</f>
        <v/>
      </c>
      <c r="E9828" s="17" t="str">
        <f>IFERROR(__xludf.DUMMYFUNCTION("""COMPUTED_VALUE"""),"")</f>
        <v/>
      </c>
      <c r="F9828" s="17" t="str">
        <f>IFERROR(__xludf.DUMMYFUNCTION("""COMPUTED_VALUE"""),"")</f>
        <v/>
      </c>
      <c r="G9828" s="17" t="str">
        <f>IFERROR(__xludf.DUMMYFUNCTION("""COMPUTED_VALUE"""),"")</f>
        <v/>
      </c>
      <c r="H9828" s="17" t="str">
        <f>IFERROR(__xludf.DUMMYFUNCTION("""COMPUTED_VALUE"""),"")</f>
        <v/>
      </c>
      <c r="I9828" s="17" t="str">
        <f>IFERROR(__xludf.DUMMYFUNCTION("""COMPUTED_VALUE"""),"")</f>
        <v/>
      </c>
      <c r="J9828" s="17" t="str">
        <f>IFERROR(__xludf.DUMMYFUNCTION("""COMPUTED_VALUE"""),"")</f>
        <v/>
      </c>
      <c r="K9828" s="17" t="str">
        <f>IFERROR(__xludf.DUMMYFUNCTION("""COMPUTED_VALUE"""),"")</f>
        <v/>
      </c>
      <c r="L9828" s="17" t="str">
        <f>IFERROR(__xludf.DUMMYFUNCTION("""COMPUTED_VALUE"""),"")</f>
        <v/>
      </c>
      <c r="M9828" s="17" t="str">
        <f>IFERROR(__xludf.DUMMYFUNCTION("""COMPUTED_VALUE"""),"")</f>
        <v/>
      </c>
      <c r="N9828" s="17" t="str">
        <f>IFERROR(__xludf.DUMMYFUNCTION("""COMPUTED_VALUE"""),"")</f>
        <v/>
      </c>
      <c r="O9828" s="17" t="str">
        <f>IFERROR(__xludf.DUMMYFUNCTION("""COMPUTED_VALUE"""),"")</f>
        <v/>
      </c>
      <c r="P9828" s="17" t="str">
        <f>IFERROR(__xludf.DUMMYFUNCTION("""COMPUTED_VALUE"""),"")</f>
        <v/>
      </c>
      <c r="Q9828" s="17" t="str">
        <f>IFERROR(__xludf.DUMMYFUNCTION("""COMPUTED_VALUE"""),"")</f>
        <v/>
      </c>
      <c r="R9828" s="17" t="str">
        <f>IFERROR(__xludf.DUMMYFUNCTION("""COMPUTED_VALUE"""),"")</f>
        <v/>
      </c>
    </row>
    <row r="9829">
      <c r="A9829" s="15">
        <f>IFERROR(__xludf.DUMMYFUNCTION("""COMPUTED_VALUE"""),45279.0)</f>
        <v>45279</v>
      </c>
      <c r="B9829" s="16" t="str">
        <f>IFERROR(__xludf.DUMMYFUNCTION("""COMPUTED_VALUE"""),"Jhon Anderson Ceballos Hernandez")</f>
        <v>Jhon Anderson Ceballos Hernandez</v>
      </c>
      <c r="C9829" s="15" t="str">
        <f>IFERROR(__xludf.DUMMYFUNCTION("""COMPUTED_VALUE"""),"MANIZALES")</f>
        <v>MANIZALES</v>
      </c>
      <c r="D9829" s="15" t="str">
        <f>IFERROR(__xludf.DUMMYFUNCTION("""COMPUTED_VALUE"""),"BOGOTÁ")</f>
        <v>BOGOTÁ</v>
      </c>
      <c r="E9829" s="15" t="str">
        <f>IFERROR(__xludf.DUMMYFUNCTION("""COMPUTED_VALUE"""),"LINA PAOLA RAMIREZ GOMEZ - EVA MAZZITA")</f>
        <v>LINA PAOLA RAMIREZ GOMEZ - EVA MAZZITA</v>
      </c>
      <c r="F9829" s="17" t="str">
        <f>IFERROR(__xludf.DUMMYFUNCTION("""COMPUTED_VALUE"""),"Calle 11 #7b-39 / apto 401. Edificio Santa Maria")</f>
        <v>Calle 11 #7b-39 / apto 401. Edificio Santa Maria</v>
      </c>
      <c r="G9829" s="15" t="str">
        <f>IFERROR(__xludf.DUMMYFUNCTION("""COMPUTED_VALUE"""),"DIANA LONDOÑO")</f>
        <v>DIANA LONDOÑO</v>
      </c>
      <c r="H9829" s="16">
        <f>IFERROR(__xludf.DUMMYFUNCTION("""COMPUTED_VALUE"""),18537.0)</f>
        <v>18537</v>
      </c>
      <c r="I9829" s="17"/>
      <c r="J9829" s="17"/>
      <c r="K9829" s="17"/>
      <c r="L9829" s="17">
        <f>IFERROR(__xludf.DUMMYFUNCTION("""COMPUTED_VALUE"""),3.208553721E9)</f>
        <v>3208553721</v>
      </c>
      <c r="M9829" s="17"/>
      <c r="N9829" s="17"/>
      <c r="O9829" s="17"/>
      <c r="P9829" s="17" t="b">
        <f>IFERROR(__xludf.DUMMYFUNCTION("""COMPUTED_VALUE"""),FALSE)</f>
        <v>0</v>
      </c>
      <c r="Q9829" s="20" t="str">
        <f>IFERROR(__xludf.DUMMYFUNCTION("""COMPUTED_VALUE"""),"")</f>
        <v/>
      </c>
      <c r="R9829" s="21" t="str">
        <f>IFERROR(__xludf.DUMMYFUNCTION("""COMPUTED_VALUE"""),"https://drive.google.com/file/d/1N7KyCd6r-gv6gPQ8toni_jsUuqea_J7e/view?usp=drivesdk")</f>
        <v>https://drive.google.com/file/d/1N7KyCd6r-gv6gPQ8toni_jsUuqea_J7e/view?usp=drivesdk</v>
      </c>
    </row>
    <row r="9830">
      <c r="A9830" s="15">
        <f>IFERROR(__xludf.DUMMYFUNCTION("""COMPUTED_VALUE"""),45279.0)</f>
        <v>45279</v>
      </c>
      <c r="B9830" s="16" t="str">
        <f>IFERROR(__xludf.DUMMYFUNCTION("""COMPUTED_VALUE"""),"Jhon Anderson Ceballos Hernandez")</f>
        <v>Jhon Anderson Ceballos Hernandez</v>
      </c>
      <c r="C9830" s="15" t="str">
        <f>IFERROR(__xludf.DUMMYFUNCTION("""COMPUTED_VALUE"""),"MANIZALES")</f>
        <v>MANIZALES</v>
      </c>
      <c r="D9830" s="15" t="str">
        <f>IFERROR(__xludf.DUMMYFUNCTION("""COMPUTED_VALUE"""),"BOGOTÁ")</f>
        <v>BOGOTÁ</v>
      </c>
      <c r="E9830" s="15" t="str">
        <f>IFERROR(__xludf.DUMMYFUNCTION("""COMPUTED_VALUE"""),"LINA PAOLA RAMIREZ GOMEZ - EVA MAZZITA")</f>
        <v>LINA PAOLA RAMIREZ GOMEZ - EVA MAZZITA</v>
      </c>
      <c r="F9830" s="17" t="str">
        <f>IFERROR(__xludf.DUMMYFUNCTION("""COMPUTED_VALUE"""),"Carrera 20 bis #65A-101 / Apto 902 A")</f>
        <v>Carrera 20 bis #65A-101 / Apto 902 A</v>
      </c>
      <c r="G9830" s="15" t="str">
        <f>IFERROR(__xludf.DUMMYFUNCTION("""COMPUTED_VALUE"""),"CAROLINA RAMOS GAVIRIA")</f>
        <v>CAROLINA RAMOS GAVIRIA</v>
      </c>
      <c r="H9830" s="16">
        <f>IFERROR(__xludf.DUMMYFUNCTION("""COMPUTED_VALUE"""),18538.0)</f>
        <v>18538</v>
      </c>
      <c r="I9830" s="17"/>
      <c r="J9830" s="17"/>
      <c r="K9830" s="17"/>
      <c r="L9830" s="17">
        <f>IFERROR(__xludf.DUMMYFUNCTION("""COMPUTED_VALUE"""),3.104940047E9)</f>
        <v>3104940047</v>
      </c>
      <c r="M9830" s="17"/>
      <c r="N9830" s="17"/>
      <c r="O9830" s="17"/>
      <c r="P9830" s="17" t="b">
        <f>IFERROR(__xludf.DUMMYFUNCTION("""COMPUTED_VALUE"""),FALSE)</f>
        <v>0</v>
      </c>
      <c r="Q9830" s="20" t="str">
        <f>IFERROR(__xludf.DUMMYFUNCTION("""COMPUTED_VALUE"""),"")</f>
        <v/>
      </c>
      <c r="R9830" s="21" t="str">
        <f>IFERROR(__xludf.DUMMYFUNCTION("""COMPUTED_VALUE"""),"https://drive.google.com/file/d/18SodNO6tvWimucesacjkXKlihl2lVwro/view?usp=drivesdk")</f>
        <v>https://drive.google.com/file/d/18SodNO6tvWimucesacjkXKlihl2lVwro/view?usp=drivesdk</v>
      </c>
    </row>
    <row r="9831">
      <c r="A9831" s="15">
        <f>IFERROR(__xludf.DUMMYFUNCTION("""COMPUTED_VALUE"""),45279.0)</f>
        <v>45279</v>
      </c>
      <c r="B9831" s="16" t="str">
        <f>IFERROR(__xludf.DUMMYFUNCTION("""COMPUTED_VALUE"""),"Jhon Anderson Ceballos Hernandez")</f>
        <v>Jhon Anderson Ceballos Hernandez</v>
      </c>
      <c r="C9831" s="15" t="str">
        <f>IFERROR(__xludf.DUMMYFUNCTION("""COMPUTED_VALUE"""),"MANIZALES")</f>
        <v>MANIZALES</v>
      </c>
      <c r="D9831" s="15" t="str">
        <f>IFERROR(__xludf.DUMMYFUNCTION("""COMPUTED_VALUE"""),"BOGOTÁ")</f>
        <v>BOGOTÁ</v>
      </c>
      <c r="E9831" s="15" t="str">
        <f>IFERROR(__xludf.DUMMYFUNCTION("""COMPUTED_VALUE"""),"THE SMOKED HOUSE SAS")</f>
        <v>THE SMOKED HOUSE SAS</v>
      </c>
      <c r="F9831" s="17" t="str">
        <f>IFERROR(__xludf.DUMMYFUNCTION("""COMPUTED_VALUE"""),"Avenida Kevin Angel # 56 - 120 / Concentrados del Centro")</f>
        <v>Avenida Kevin Angel # 56 - 120 / Concentrados del Centro</v>
      </c>
      <c r="G9831" s="15" t="str">
        <f>IFERROR(__xludf.DUMMYFUNCTION("""COMPUTED_VALUE"""),"Enrique Jaramillo Villegas")</f>
        <v>Enrique Jaramillo Villegas</v>
      </c>
      <c r="H9831" s="16">
        <f>IFERROR(__xludf.DUMMYFUNCTION("""COMPUTED_VALUE"""),18492.0)</f>
        <v>18492</v>
      </c>
      <c r="I9831" s="17"/>
      <c r="J9831" s="17"/>
      <c r="K9831" s="17"/>
      <c r="L9831" s="17"/>
      <c r="M9831" s="17"/>
      <c r="N9831" s="17"/>
      <c r="O9831" s="17"/>
      <c r="P9831" s="17" t="b">
        <f>IFERROR(__xludf.DUMMYFUNCTION("""COMPUTED_VALUE"""),FALSE)</f>
        <v>0</v>
      </c>
      <c r="Q9831" s="20" t="str">
        <f>IFERROR(__xludf.DUMMYFUNCTION("""COMPUTED_VALUE"""),"")</f>
        <v/>
      </c>
      <c r="R9831" s="21" t="str">
        <f>IFERROR(__xludf.DUMMYFUNCTION("""COMPUTED_VALUE"""),"https://drive.google.com/file/d/13huihQSD9NRYC_8wJrlj2POZuq8DjtJ0/view?usp=drivesdk")</f>
        <v>https://drive.google.com/file/d/13huihQSD9NRYC_8wJrlj2POZuq8DjtJ0/view?usp=drivesdk</v>
      </c>
    </row>
    <row r="9832">
      <c r="A9832" s="15">
        <f>IFERROR(__xludf.DUMMYFUNCTION("""COMPUTED_VALUE"""),45279.0)</f>
        <v>45279</v>
      </c>
      <c r="B9832" s="16" t="str">
        <f>IFERROR(__xludf.DUMMYFUNCTION("""COMPUTED_VALUE"""),"Jhon Anderson Ceballos Hernandez")</f>
        <v>Jhon Anderson Ceballos Hernandez</v>
      </c>
      <c r="C9832" s="15" t="str">
        <f>IFERROR(__xludf.DUMMYFUNCTION("""COMPUTED_VALUE"""),"MANIZALES")</f>
        <v>MANIZALES</v>
      </c>
      <c r="D9832" s="15" t="str">
        <f>IFERROR(__xludf.DUMMYFUNCTION("""COMPUTED_VALUE"""),"MEDELLÍN")</f>
        <v>MEDELLÍN</v>
      </c>
      <c r="E9832" s="15" t="str">
        <f>IFERROR(__xludf.DUMMYFUNCTION("""COMPUTED_VALUE"""),"Moloso S.A.S")</f>
        <v>Moloso S.A.S</v>
      </c>
      <c r="F9832" s="17" t="str">
        <f>IFERROR(__xludf.DUMMYFUNCTION("""COMPUTED_VALUE"""),"CR 17 1B 35 / CASA BR LA FRANCIA")</f>
        <v>CR 17 1B 35 / CASA BR LA FRANCIA</v>
      </c>
      <c r="G9832" s="15" t="str">
        <f>IFERROR(__xludf.DUMMYFUNCTION("""COMPUTED_VALUE"""),"MARIA ISABEL VILLEGAS")</f>
        <v>MARIA ISABEL VILLEGAS</v>
      </c>
      <c r="H9832" s="16">
        <f>IFERROR(__xludf.DUMMYFUNCTION("""COMPUTED_VALUE"""),18565.0)</f>
        <v>18565</v>
      </c>
      <c r="I9832" s="17"/>
      <c r="J9832" s="17"/>
      <c r="K9832" s="17"/>
      <c r="L9832" s="17"/>
      <c r="M9832" s="17"/>
      <c r="N9832" s="17"/>
      <c r="O9832" s="17"/>
      <c r="P9832" s="17" t="b">
        <f>IFERROR(__xludf.DUMMYFUNCTION("""COMPUTED_VALUE"""),FALSE)</f>
        <v>0</v>
      </c>
      <c r="Q9832" s="20" t="str">
        <f>IFERROR(__xludf.DUMMYFUNCTION("""COMPUTED_VALUE"""),"")</f>
        <v/>
      </c>
      <c r="R9832" s="21" t="str">
        <f>IFERROR(__xludf.DUMMYFUNCTION("""COMPUTED_VALUE"""),"https://drive.google.com/file/d/1_StVQypUs3VZ_76YUq6v80g5X2Xs6zFe/view?usp=drivesdk")</f>
        <v>https://drive.google.com/file/d/1_StVQypUs3VZ_76YUq6v80g5X2Xs6zFe/view?usp=drivesdk</v>
      </c>
    </row>
    <row r="9833">
      <c r="A9833" s="15">
        <f>IFERROR(__xludf.DUMMYFUNCTION("""COMPUTED_VALUE"""),45279.0)</f>
        <v>45279</v>
      </c>
      <c r="B9833" s="16" t="str">
        <f>IFERROR(__xludf.DUMMYFUNCTION("""COMPUTED_VALUE"""),"Jhon Anderson Ceballos Hernandez")</f>
        <v>Jhon Anderson Ceballos Hernandez</v>
      </c>
      <c r="C9833" s="15" t="str">
        <f>IFERROR(__xludf.DUMMYFUNCTION("""COMPUTED_VALUE"""),"MANIZALES")</f>
        <v>MANIZALES</v>
      </c>
      <c r="D9833" s="15" t="str">
        <f>IFERROR(__xludf.DUMMYFUNCTION("""COMPUTED_VALUE"""),"MEDELLÍN")</f>
        <v>MEDELLÍN</v>
      </c>
      <c r="E9833" s="15" t="str">
        <f>IFERROR(__xludf.DUMMYFUNCTION("""COMPUTED_VALUE"""),"Todo Bufala")</f>
        <v>Todo Bufala</v>
      </c>
      <c r="F9833" s="17" t="str">
        <f>IFERROR(__xludf.DUMMYFUNCTION("""COMPUTED_VALUE"""),"Calle 66 #23B - 211 / Edifico calle larga, local 5c")</f>
        <v>Calle 66 #23B - 211 / Edifico calle larga, local 5c</v>
      </c>
      <c r="G9833" s="15" t="str">
        <f>IFERROR(__xludf.DUMMYFUNCTION("""COMPUTED_VALUE"""),"Sebastian Perez Pineda")</f>
        <v>Sebastian Perez Pineda</v>
      </c>
      <c r="H9833" s="16">
        <f>IFERROR(__xludf.DUMMYFUNCTION("""COMPUTED_VALUE"""),18506.0)</f>
        <v>18506</v>
      </c>
      <c r="I9833" s="17"/>
      <c r="J9833" s="17"/>
      <c r="K9833" s="17"/>
      <c r="L9833" s="17">
        <f>IFERROR(__xludf.DUMMYFUNCTION("""COMPUTED_VALUE"""),3.106974621E9)</f>
        <v>3106974621</v>
      </c>
      <c r="M9833" s="17"/>
      <c r="N9833" s="17"/>
      <c r="O9833" s="17"/>
      <c r="P9833" s="17" t="b">
        <f>IFERROR(__xludf.DUMMYFUNCTION("""COMPUTED_VALUE"""),FALSE)</f>
        <v>0</v>
      </c>
      <c r="Q9833" s="20" t="str">
        <f>IFERROR(__xludf.DUMMYFUNCTION("""COMPUTED_VALUE"""),"")</f>
        <v/>
      </c>
      <c r="R9833" s="21" t="str">
        <f>IFERROR(__xludf.DUMMYFUNCTION("""COMPUTED_VALUE"""),"https://drive.google.com/file/d/1sTGxyjYPmAqiFgmGr7e6I5iiJ2O5kmeM/view?usp=drivesdk")</f>
        <v>https://drive.google.com/file/d/1sTGxyjYPmAqiFgmGr7e6I5iiJ2O5kmeM/view?usp=drivesdk</v>
      </c>
    </row>
    <row r="9834">
      <c r="A9834" s="15">
        <f>IFERROR(__xludf.DUMMYFUNCTION("""COMPUTED_VALUE"""),45279.0)</f>
        <v>45279</v>
      </c>
      <c r="B9834" s="16" t="str">
        <f>IFERROR(__xludf.DUMMYFUNCTION("""COMPUTED_VALUE"""),"Jhon Anderson Ceballos Hernandez")</f>
        <v>Jhon Anderson Ceballos Hernandez</v>
      </c>
      <c r="C9834" s="15" t="str">
        <f>IFERROR(__xludf.DUMMYFUNCTION("""COMPUTED_VALUE"""),"MANIZALES")</f>
        <v>MANIZALES</v>
      </c>
      <c r="D9834" s="15" t="str">
        <f>IFERROR(__xludf.DUMMYFUNCTION("""COMPUTED_VALUE"""),"MEDELLÍN")</f>
        <v>MEDELLÍN</v>
      </c>
      <c r="E9834" s="15" t="str">
        <f>IFERROR(__xludf.DUMMYFUNCTION("""COMPUTED_VALUE"""),"TOLEDALES S.A.S")</f>
        <v>TOLEDALES S.A.S</v>
      </c>
      <c r="F9834" s="17" t="str">
        <f>IFERROR(__xludf.DUMMYFUNCTION("""COMPUTED_VALUE"""),"calle 54 25 89 / .")</f>
        <v>calle 54 25 89 / .</v>
      </c>
      <c r="G9834" s="15" t="str">
        <f>IFERROR(__xludf.DUMMYFUNCTION("""COMPUTED_VALUE"""),"Francisco Zuluaga")</f>
        <v>Francisco Zuluaga</v>
      </c>
      <c r="H9834" s="16">
        <f>IFERROR(__xludf.DUMMYFUNCTION("""COMPUTED_VALUE"""),18331.0)</f>
        <v>18331</v>
      </c>
      <c r="I9834" s="17"/>
      <c r="J9834" s="17"/>
      <c r="K9834" s="17"/>
      <c r="L9834" s="17">
        <f>IFERROR(__xludf.DUMMYFUNCTION("""COMPUTED_VALUE"""),3.122891226E9)</f>
        <v>3122891226</v>
      </c>
      <c r="M9834" s="17"/>
      <c r="N9834" s="17"/>
      <c r="O9834" s="17"/>
      <c r="P9834" s="17" t="b">
        <f>IFERROR(__xludf.DUMMYFUNCTION("""COMPUTED_VALUE"""),FALSE)</f>
        <v>0</v>
      </c>
      <c r="Q9834" s="20" t="str">
        <f>IFERROR(__xludf.DUMMYFUNCTION("""COMPUTED_VALUE"""),"")</f>
        <v/>
      </c>
      <c r="R9834" s="21" t="str">
        <f>IFERROR(__xludf.DUMMYFUNCTION("""COMPUTED_VALUE"""),"https://drive.google.com/file/d/1PKbF2ez_EA7yCrN1r_OK1iHsBx1_A1qD/view?usp=drivesdk")</f>
        <v>https://drive.google.com/file/d/1PKbF2ez_EA7yCrN1r_OK1iHsBx1_A1qD/view?usp=drivesdk</v>
      </c>
    </row>
    <row r="9835">
      <c r="A9835" s="17" t="str">
        <f>IFERROR(__xludf.DUMMYFUNCTION("""COMPUTED_VALUE"""),"")</f>
        <v/>
      </c>
      <c r="B9835" s="17" t="str">
        <f>IFERROR(__xludf.DUMMYFUNCTION("""COMPUTED_VALUE"""),"")</f>
        <v/>
      </c>
      <c r="C9835" s="17" t="str">
        <f>IFERROR(__xludf.DUMMYFUNCTION("""COMPUTED_VALUE"""),"")</f>
        <v/>
      </c>
      <c r="D9835" s="17" t="str">
        <f>IFERROR(__xludf.DUMMYFUNCTION("""COMPUTED_VALUE"""),"")</f>
        <v/>
      </c>
      <c r="E9835" s="17" t="str">
        <f>IFERROR(__xludf.DUMMYFUNCTION("""COMPUTED_VALUE"""),"")</f>
        <v/>
      </c>
      <c r="F9835" s="17" t="str">
        <f>IFERROR(__xludf.DUMMYFUNCTION("""COMPUTED_VALUE"""),"")</f>
        <v/>
      </c>
      <c r="G9835" s="17" t="str">
        <f>IFERROR(__xludf.DUMMYFUNCTION("""COMPUTED_VALUE"""),"")</f>
        <v/>
      </c>
      <c r="H9835" s="17" t="str">
        <f>IFERROR(__xludf.DUMMYFUNCTION("""COMPUTED_VALUE"""),"")</f>
        <v/>
      </c>
      <c r="I9835" s="17" t="str">
        <f>IFERROR(__xludf.DUMMYFUNCTION("""COMPUTED_VALUE"""),"")</f>
        <v/>
      </c>
      <c r="J9835" s="17" t="str">
        <f>IFERROR(__xludf.DUMMYFUNCTION("""COMPUTED_VALUE"""),"")</f>
        <v/>
      </c>
      <c r="K9835" s="17" t="str">
        <f>IFERROR(__xludf.DUMMYFUNCTION("""COMPUTED_VALUE"""),"")</f>
        <v/>
      </c>
      <c r="L9835" s="17" t="str">
        <f>IFERROR(__xludf.DUMMYFUNCTION("""COMPUTED_VALUE"""),"")</f>
        <v/>
      </c>
      <c r="M9835" s="17" t="str">
        <f>IFERROR(__xludf.DUMMYFUNCTION("""COMPUTED_VALUE"""),"")</f>
        <v/>
      </c>
      <c r="N9835" s="17" t="str">
        <f>IFERROR(__xludf.DUMMYFUNCTION("""COMPUTED_VALUE"""),"")</f>
        <v/>
      </c>
      <c r="O9835" s="17" t="str">
        <f>IFERROR(__xludf.DUMMYFUNCTION("""COMPUTED_VALUE"""),"")</f>
        <v/>
      </c>
      <c r="P9835" s="17" t="str">
        <f>IFERROR(__xludf.DUMMYFUNCTION("""COMPUTED_VALUE"""),"")</f>
        <v/>
      </c>
      <c r="Q9835" s="17" t="str">
        <f>IFERROR(__xludf.DUMMYFUNCTION("""COMPUTED_VALUE"""),"")</f>
        <v/>
      </c>
      <c r="R9835" s="17" t="str">
        <f>IFERROR(__xludf.DUMMYFUNCTION("""COMPUTED_VALUE"""),"")</f>
        <v/>
      </c>
    </row>
    <row r="9836">
      <c r="A9836" s="15">
        <f>IFERROR(__xludf.DUMMYFUNCTION("""COMPUTED_VALUE"""),45279.0)</f>
        <v>45279</v>
      </c>
      <c r="B9836" s="16" t="str">
        <f>IFERROR(__xludf.DUMMYFUNCTION("""COMPUTED_VALUE"""),"Johan Alexander Escobar Arroyo ")</f>
        <v>Johan Alexander Escobar Arroyo </v>
      </c>
      <c r="C9836" s="15" t="str">
        <f>IFERROR(__xludf.DUMMYFUNCTION("""COMPUTED_VALUE"""),"CALI")</f>
        <v>CALI</v>
      </c>
      <c r="D9836" s="15" t="str">
        <f>IFERROR(__xludf.DUMMYFUNCTION("""COMPUTED_VALUE"""),"BOGOTÁ")</f>
        <v>BOGOTÁ</v>
      </c>
      <c r="E9836" s="15" t="str">
        <f>IFERROR(__xludf.DUMMYFUNCTION("""COMPUTED_VALUE"""),"Karem foods")</f>
        <v>Karem foods</v>
      </c>
      <c r="F9836" s="17" t="str">
        <f>IFERROR(__xludf.DUMMYFUNCTION("""COMPUTED_VALUE"""),"Calle 15 # 67-51 / Torreón de Alicante torre B apto 502 / -")</f>
        <v>Calle 15 # 67-51 / Torreón de Alicante torre B apto 502 / -</v>
      </c>
      <c r="G9836" s="15" t="str">
        <f>IFERROR(__xludf.DUMMYFUNCTION("""COMPUTED_VALUE"""),"Daniela Negret")</f>
        <v>Daniela Negret</v>
      </c>
      <c r="H9836" s="16">
        <f>IFERROR(__xludf.DUMMYFUNCTION("""COMPUTED_VALUE"""),18517.0)</f>
        <v>18517</v>
      </c>
      <c r="I9836" s="18">
        <f>IFERROR(__xludf.DUMMYFUNCTION("""COMPUTED_VALUE"""),7.0)</f>
        <v>7</v>
      </c>
      <c r="J9836" s="18">
        <f>IFERROR(__xludf.DUMMYFUNCTION("""COMPUTED_VALUE"""),20.0)</f>
        <v>20</v>
      </c>
      <c r="K9836" s="18">
        <f>IFERROR(__xludf.DUMMYFUNCTION("""COMPUTED_VALUE"""),20.0)</f>
        <v>20</v>
      </c>
      <c r="L9836" s="17">
        <f>IFERROR(__xludf.DUMMYFUNCTION("""COMPUTED_VALUE"""),3.108061202E9)</f>
        <v>3108061202</v>
      </c>
      <c r="M9836" s="17"/>
      <c r="N9836" s="17"/>
      <c r="O9836" s="17"/>
      <c r="P9836" s="17" t="b">
        <f>IFERROR(__xludf.DUMMYFUNCTION("""COMPUTED_VALUE"""),FALSE)</f>
        <v>0</v>
      </c>
      <c r="Q9836" s="20" t="str">
        <f>IFERROR(__xludf.DUMMYFUNCTION("""COMPUTED_VALUE"""),"")</f>
        <v/>
      </c>
      <c r="R9836" s="21" t="str">
        <f>IFERROR(__xludf.DUMMYFUNCTION("""COMPUTED_VALUE"""),"https://drive.google.com/file/d/1hDM49cWY-mJMzoM7VXt1nympVesAdAqA/view?usp=drivesdk")</f>
        <v>https://drive.google.com/file/d/1hDM49cWY-mJMzoM7VXt1nympVesAdAqA/view?usp=drivesdk</v>
      </c>
    </row>
    <row r="9837">
      <c r="A9837" s="15">
        <f>IFERROR(__xludf.DUMMYFUNCTION("""COMPUTED_VALUE"""),45279.0)</f>
        <v>45279</v>
      </c>
      <c r="B9837" s="16" t="str">
        <f>IFERROR(__xludf.DUMMYFUNCTION("""COMPUTED_VALUE"""),"Johan Alexander Escobar Arroyo ")</f>
        <v>Johan Alexander Escobar Arroyo </v>
      </c>
      <c r="C9837" s="15" t="str">
        <f>IFERROR(__xludf.DUMMYFUNCTION("""COMPUTED_VALUE"""),"CALI")</f>
        <v>CALI</v>
      </c>
      <c r="D9837" s="15" t="str">
        <f>IFERROR(__xludf.DUMMYFUNCTION("""COMPUTED_VALUE"""),"BOGOTÁ")</f>
        <v>BOGOTÁ</v>
      </c>
      <c r="E9837" s="15" t="str">
        <f>IFERROR(__xludf.DUMMYFUNCTION("""COMPUTED_VALUE"""),"LINA PAOLA RAMIREZ GOMEZ - EVA MAZZITA")</f>
        <v>LINA PAOLA RAMIREZ GOMEZ - EVA MAZZITA</v>
      </c>
      <c r="F9837" s="17" t="str">
        <f>IFERROR(__xludf.DUMMYFUNCTION("""COMPUTED_VALUE"""),"Cra 79 #13b-110 / apto 203C Torres de santorino Barrio quintas de don Simón")</f>
        <v>Cra 79 #13b-110 / apto 203C Torres de santorino Barrio quintas de don Simón</v>
      </c>
      <c r="G9837" s="15" t="str">
        <f>IFERROR(__xludf.DUMMYFUNCTION("""COMPUTED_VALUE"""),"CAROLINA RUBIANO ARANGO")</f>
        <v>CAROLINA RUBIANO ARANGO</v>
      </c>
      <c r="H9837" s="16">
        <f>IFERROR(__xludf.DUMMYFUNCTION("""COMPUTED_VALUE"""),18539.0)</f>
        <v>18539</v>
      </c>
      <c r="I9837" s="17"/>
      <c r="J9837" s="17"/>
      <c r="K9837" s="17"/>
      <c r="L9837" s="17">
        <f>IFERROR(__xludf.DUMMYFUNCTION("""COMPUTED_VALUE"""),3.113311218E9)</f>
        <v>3113311218</v>
      </c>
      <c r="M9837" s="17"/>
      <c r="N9837" s="17"/>
      <c r="O9837" s="17"/>
      <c r="P9837" s="17" t="b">
        <f>IFERROR(__xludf.DUMMYFUNCTION("""COMPUTED_VALUE"""),FALSE)</f>
        <v>0</v>
      </c>
      <c r="Q9837" s="20" t="str">
        <f>IFERROR(__xludf.DUMMYFUNCTION("""COMPUTED_VALUE"""),"")</f>
        <v/>
      </c>
      <c r="R9837" s="21" t="str">
        <f>IFERROR(__xludf.DUMMYFUNCTION("""COMPUTED_VALUE"""),"https://drive.google.com/file/d/1iVB0bcWXod4Hfa2FxGRJGtKwCxENLTDn/view?usp=drivesdk")</f>
        <v>https://drive.google.com/file/d/1iVB0bcWXod4Hfa2FxGRJGtKwCxENLTDn/view?usp=drivesdk</v>
      </c>
    </row>
    <row r="9838">
      <c r="A9838" s="15">
        <f>IFERROR(__xludf.DUMMYFUNCTION("""COMPUTED_VALUE"""),45279.0)</f>
        <v>45279</v>
      </c>
      <c r="B9838" s="16" t="str">
        <f>IFERROR(__xludf.DUMMYFUNCTION("""COMPUTED_VALUE"""),"Johan Alexander Escobar Arroyo ")</f>
        <v>Johan Alexander Escobar Arroyo </v>
      </c>
      <c r="C9838" s="15" t="str">
        <f>IFERROR(__xludf.DUMMYFUNCTION("""COMPUTED_VALUE"""),"CALI")</f>
        <v>CALI</v>
      </c>
      <c r="D9838" s="15" t="str">
        <f>IFERROR(__xludf.DUMMYFUNCTION("""COMPUTED_VALUE"""),"BOGOTÁ")</f>
        <v>BOGOTÁ</v>
      </c>
      <c r="E9838" s="15" t="str">
        <f>IFERROR(__xludf.DUMMYFUNCTION("""COMPUTED_VALUE"""),"PAN DE WAFFLE")</f>
        <v>PAN DE WAFFLE</v>
      </c>
      <c r="F9838" s="17" t="str">
        <f>IFERROR(__xludf.DUMMYFUNCTION("""COMPUTED_VALUE"""),"Calle 34 Norte # 2bn - 33 / Foodology")</f>
        <v>Calle 34 Norte # 2bn - 33 / Foodology</v>
      </c>
      <c r="G9838" s="15" t="str">
        <f>IFERROR(__xludf.DUMMYFUNCTION("""COMPUTED_VALUE"""),"FOODOLOGY - CALI")</f>
        <v>FOODOLOGY - CALI</v>
      </c>
      <c r="H9838" s="16">
        <f>IFERROR(__xludf.DUMMYFUNCTION("""COMPUTED_VALUE"""),18530.0)</f>
        <v>18530</v>
      </c>
      <c r="I9838" s="17"/>
      <c r="J9838" s="17"/>
      <c r="K9838" s="17"/>
      <c r="L9838" s="17">
        <f>IFERROR(__xludf.DUMMYFUNCTION("""COMPUTED_VALUE"""),3.158323233E9)</f>
        <v>3158323233</v>
      </c>
      <c r="M9838" s="17"/>
      <c r="N9838" s="17"/>
      <c r="O9838" s="17"/>
      <c r="P9838" s="17" t="b">
        <f>IFERROR(__xludf.DUMMYFUNCTION("""COMPUTED_VALUE"""),FALSE)</f>
        <v>0</v>
      </c>
      <c r="Q9838" s="20" t="str">
        <f>IFERROR(__xludf.DUMMYFUNCTION("""COMPUTED_VALUE"""),"")</f>
        <v/>
      </c>
      <c r="R9838" s="21" t="str">
        <f>IFERROR(__xludf.DUMMYFUNCTION("""COMPUTED_VALUE"""),"https://drive.google.com/file/d/1Ci6LymTap8vZ8LjAJuWjWweI4MnkA1Ps/view?usp=drivesdk")</f>
        <v>https://drive.google.com/file/d/1Ci6LymTap8vZ8LjAJuWjWweI4MnkA1Ps/view?usp=drivesdk</v>
      </c>
    </row>
    <row r="9839">
      <c r="A9839" s="15">
        <f>IFERROR(__xludf.DUMMYFUNCTION("""COMPUTED_VALUE"""),45279.0)</f>
        <v>45279</v>
      </c>
      <c r="B9839" s="16" t="str">
        <f>IFERROR(__xludf.DUMMYFUNCTION("""COMPUTED_VALUE"""),"Johan Alexander Escobar Arroyo ")</f>
        <v>Johan Alexander Escobar Arroyo </v>
      </c>
      <c r="C9839" s="15" t="str">
        <f>IFERROR(__xludf.DUMMYFUNCTION("""COMPUTED_VALUE"""),"CALI")</f>
        <v>CALI</v>
      </c>
      <c r="D9839" s="15" t="str">
        <f>IFERROR(__xludf.DUMMYFUNCTION("""COMPUTED_VALUE"""),"BOGOTÁ")</f>
        <v>BOGOTÁ</v>
      </c>
      <c r="E9839" s="15" t="str">
        <f>IFERROR(__xludf.DUMMYFUNCTION("""COMPUTED_VALUE"""),"THE SMOKED HOUSE SAS")</f>
        <v>THE SMOKED HOUSE SAS</v>
      </c>
      <c r="F9839" s="17" t="str">
        <f>IFERROR(__xludf.DUMMYFUNCTION("""COMPUTED_VALUE"""),"Carrera 28 # 7 Oeste - 54 Apto 303 / Barrio Los Cristales")</f>
        <v>Carrera 28 # 7 Oeste - 54 Apto 303 / Barrio Los Cristales</v>
      </c>
      <c r="G9839" s="15" t="str">
        <f>IFERROR(__xludf.DUMMYFUNCTION("""COMPUTED_VALUE"""),"Gustavo García")</f>
        <v>Gustavo García</v>
      </c>
      <c r="H9839" s="16">
        <f>IFERROR(__xludf.DUMMYFUNCTION("""COMPUTED_VALUE"""),18491.0)</f>
        <v>18491</v>
      </c>
      <c r="I9839" s="17"/>
      <c r="J9839" s="17"/>
      <c r="K9839" s="17"/>
      <c r="L9839" s="17">
        <f>IFERROR(__xludf.DUMMYFUNCTION("""COMPUTED_VALUE"""),3.172576561E9)</f>
        <v>3172576561</v>
      </c>
      <c r="M9839" s="17"/>
      <c r="N9839" s="17"/>
      <c r="O9839" s="17"/>
      <c r="P9839" s="17" t="b">
        <f>IFERROR(__xludf.DUMMYFUNCTION("""COMPUTED_VALUE"""),FALSE)</f>
        <v>0</v>
      </c>
      <c r="Q9839" s="20" t="str">
        <f>IFERROR(__xludf.DUMMYFUNCTION("""COMPUTED_VALUE"""),"")</f>
        <v/>
      </c>
      <c r="R9839" s="21" t="str">
        <f>IFERROR(__xludf.DUMMYFUNCTION("""COMPUTED_VALUE"""),"https://drive.google.com/file/d/1k24M1T_s1PV_nnWM9IG-aJPkEIDOqA3p/view?usp=drivesdk")</f>
        <v>https://drive.google.com/file/d/1k24M1T_s1PV_nnWM9IG-aJPkEIDOqA3p/view?usp=drivesdk</v>
      </c>
    </row>
    <row r="9840">
      <c r="A9840" s="15">
        <f>IFERROR(__xludf.DUMMYFUNCTION("""COMPUTED_VALUE"""),45279.0)</f>
        <v>45279</v>
      </c>
      <c r="B9840" s="16" t="str">
        <f>IFERROR(__xludf.DUMMYFUNCTION("""COMPUTED_VALUE"""),"Johan Alexander Escobar Arroyo ")</f>
        <v>Johan Alexander Escobar Arroyo </v>
      </c>
      <c r="C9840" s="15" t="str">
        <f>IFERROR(__xludf.DUMMYFUNCTION("""COMPUTED_VALUE"""),"CALI")</f>
        <v>CALI</v>
      </c>
      <c r="D9840" s="15" t="str">
        <f>IFERROR(__xludf.DUMMYFUNCTION("""COMPUTED_VALUE"""),"BOGOTÁ")</f>
        <v>BOGOTÁ</v>
      </c>
      <c r="E9840" s="15" t="str">
        <f>IFERROR(__xludf.DUMMYFUNCTION("""COMPUTED_VALUE"""),"Top Spun")</f>
        <v>Top Spun</v>
      </c>
      <c r="F9840" s="17" t="str">
        <f>IFERROR(__xludf.DUMMYFUNCTION("""COMPUTED_VALUE"""),"CALLE 5 B # 141-156 / CASA 17, RESERVA DE PANCE / Cali Valle del Cauca")</f>
        <v>CALLE 5 B # 141-156 / CASA 17, RESERVA DE PANCE / Cali Valle del Cauca</v>
      </c>
      <c r="G9840" s="15" t="str">
        <f>IFERROR(__xludf.DUMMYFUNCTION("""COMPUTED_VALUE"""),"Carolina Arboleda")</f>
        <v>Carolina Arboleda</v>
      </c>
      <c r="H9840" s="16">
        <f>IFERROR(__xludf.DUMMYFUNCTION("""COMPUTED_VALUE"""),18471.0)</f>
        <v>18471</v>
      </c>
      <c r="I9840" s="18">
        <f>IFERROR(__xludf.DUMMYFUNCTION("""COMPUTED_VALUE"""),10.0)</f>
        <v>10</v>
      </c>
      <c r="J9840" s="18">
        <f>IFERROR(__xludf.DUMMYFUNCTION("""COMPUTED_VALUE"""),20.0)</f>
        <v>20</v>
      </c>
      <c r="K9840" s="18">
        <f>IFERROR(__xludf.DUMMYFUNCTION("""COMPUTED_VALUE"""),40.0)</f>
        <v>40</v>
      </c>
      <c r="L9840" s="17">
        <f>IFERROR(__xludf.DUMMYFUNCTION("""COMPUTED_VALUE"""),3.155358007E9)</f>
        <v>3155358007</v>
      </c>
      <c r="M9840" s="17"/>
      <c r="N9840" s="17"/>
      <c r="O9840" s="17"/>
      <c r="P9840" s="17" t="b">
        <f>IFERROR(__xludf.DUMMYFUNCTION("""COMPUTED_VALUE"""),FALSE)</f>
        <v>0</v>
      </c>
      <c r="Q9840" s="20" t="str">
        <f>IFERROR(__xludf.DUMMYFUNCTION("""COMPUTED_VALUE"""),"")</f>
        <v/>
      </c>
      <c r="R9840" s="21" t="str">
        <f>IFERROR(__xludf.DUMMYFUNCTION("""COMPUTED_VALUE"""),"https://drive.google.com/file/d/1jLBi7P4bgyBG1OLPN5E1vtKQgL5KE33Y/view?usp=drivesdk")</f>
        <v>https://drive.google.com/file/d/1jLBi7P4bgyBG1OLPN5E1vtKQgL5KE33Y/view?usp=drivesdk</v>
      </c>
    </row>
    <row r="9841">
      <c r="A9841" s="15">
        <f>IFERROR(__xludf.DUMMYFUNCTION("""COMPUTED_VALUE"""),45279.0)</f>
        <v>45279</v>
      </c>
      <c r="B9841" s="16" t="str">
        <f>IFERROR(__xludf.DUMMYFUNCTION("""COMPUTED_VALUE"""),"Johan Alexander Escobar Arroyo ")</f>
        <v>Johan Alexander Escobar Arroyo </v>
      </c>
      <c r="C9841" s="15" t="str">
        <f>IFERROR(__xludf.DUMMYFUNCTION("""COMPUTED_VALUE"""),"CALI")</f>
        <v>CALI</v>
      </c>
      <c r="D9841" s="15" t="str">
        <f>IFERROR(__xludf.DUMMYFUNCTION("""COMPUTED_VALUE"""),"BOGOTÁ")</f>
        <v>BOGOTÁ</v>
      </c>
      <c r="E9841" s="15" t="str">
        <f>IFERROR(__xludf.DUMMYFUNCTION("""COMPUTED_VALUE"""),"Top Spun")</f>
        <v>Top Spun</v>
      </c>
      <c r="F9841" s="17" t="str">
        <f>IFERROR(__xludf.DUMMYFUNCTION("""COMPUTED_VALUE"""),"Calle 62 B número  1 a 9-75 agrupación 1 sector 5  /  torre D  apto   1D 21.  Barrio  /  Barrio Chimangos 2")</f>
        <v>Calle 62 B número  1 a 9-75 agrupación 1 sector 5  /  torre D  apto   1D 21.  Barrio  /  Barrio Chimangos 2</v>
      </c>
      <c r="G9841" s="15" t="str">
        <f>IFERROR(__xludf.DUMMYFUNCTION("""COMPUTED_VALUE"""),"Karen Martinez Villa")</f>
        <v>Karen Martinez Villa</v>
      </c>
      <c r="H9841" s="16">
        <f>IFERROR(__xludf.DUMMYFUNCTION("""COMPUTED_VALUE"""),18473.0)</f>
        <v>18473</v>
      </c>
      <c r="I9841" s="18">
        <f>IFERROR(__xludf.DUMMYFUNCTION("""COMPUTED_VALUE"""),20.0)</f>
        <v>20</v>
      </c>
      <c r="J9841" s="18">
        <f>IFERROR(__xludf.DUMMYFUNCTION("""COMPUTED_VALUE"""),10.0)</f>
        <v>10</v>
      </c>
      <c r="K9841" s="18">
        <f>IFERROR(__xludf.DUMMYFUNCTION("""COMPUTED_VALUE"""),40.0)</f>
        <v>40</v>
      </c>
      <c r="L9841" s="17">
        <f>IFERROR(__xludf.DUMMYFUNCTION("""COMPUTED_VALUE"""),3.00547152E9)</f>
        <v>3005471520</v>
      </c>
      <c r="M9841" s="17"/>
      <c r="N9841" s="17"/>
      <c r="O9841" s="17"/>
      <c r="P9841" s="17" t="b">
        <f>IFERROR(__xludf.DUMMYFUNCTION("""COMPUTED_VALUE"""),FALSE)</f>
        <v>0</v>
      </c>
      <c r="Q9841" s="20" t="str">
        <f>IFERROR(__xludf.DUMMYFUNCTION("""COMPUTED_VALUE"""),"")</f>
        <v/>
      </c>
      <c r="R9841" s="21" t="str">
        <f>IFERROR(__xludf.DUMMYFUNCTION("""COMPUTED_VALUE"""),"https://drive.google.com/file/d/1aG73PL6s3t31-AH5mLokw3P6q4DkyLIn/view?usp=drivesdk")</f>
        <v>https://drive.google.com/file/d/1aG73PL6s3t31-AH5mLokw3P6q4DkyLIn/view?usp=drivesdk</v>
      </c>
    </row>
    <row r="9842">
      <c r="A9842" s="15">
        <f>IFERROR(__xludf.DUMMYFUNCTION("""COMPUTED_VALUE"""),45279.0)</f>
        <v>45279</v>
      </c>
      <c r="B9842" s="16" t="str">
        <f>IFERROR(__xludf.DUMMYFUNCTION("""COMPUTED_VALUE"""),"Johan Alexander Escobar Arroyo ")</f>
        <v>Johan Alexander Escobar Arroyo </v>
      </c>
      <c r="C9842" s="15" t="str">
        <f>IFERROR(__xludf.DUMMYFUNCTION("""COMPUTED_VALUE"""),"CALI")</f>
        <v>CALI</v>
      </c>
      <c r="D9842" s="15" t="str">
        <f>IFERROR(__xludf.DUMMYFUNCTION("""COMPUTED_VALUE"""),"BOGOTÁ")</f>
        <v>BOGOTÁ</v>
      </c>
      <c r="E9842" s="15" t="str">
        <f>IFERROR(__xludf.DUMMYFUNCTION("""COMPUTED_VALUE"""),"Top Spun")</f>
        <v>Top Spun</v>
      </c>
      <c r="F9842" s="17" t="str">
        <f>IFERROR(__xludf.DUMMYFUNCTION("""COMPUTED_VALUE"""),"CRA 83E #53A-33 BARRIO / APTO 404, TORRE A / BARRIO LAS VEGAS DE COMFANDI")</f>
        <v>CRA 83E #53A-33 BARRIO / APTO 404, TORRE A / BARRIO LAS VEGAS DE COMFANDI</v>
      </c>
      <c r="G9842" s="15" t="str">
        <f>IFERROR(__xludf.DUMMYFUNCTION("""COMPUTED_VALUE"""),"Martha Isabel Calambas Calambas")</f>
        <v>Martha Isabel Calambas Calambas</v>
      </c>
      <c r="H9842" s="16">
        <f>IFERROR(__xludf.DUMMYFUNCTION("""COMPUTED_VALUE"""),18472.0)</f>
        <v>18472</v>
      </c>
      <c r="I9842" s="18">
        <f>IFERROR(__xludf.DUMMYFUNCTION("""COMPUTED_VALUE"""),20.0)</f>
        <v>20</v>
      </c>
      <c r="J9842" s="18">
        <f>IFERROR(__xludf.DUMMYFUNCTION("""COMPUTED_VALUE"""),10.0)</f>
        <v>10</v>
      </c>
      <c r="K9842" s="18">
        <f>IFERROR(__xludf.DUMMYFUNCTION("""COMPUTED_VALUE"""),40.0)</f>
        <v>40</v>
      </c>
      <c r="L9842" s="17">
        <f>IFERROR(__xludf.DUMMYFUNCTION("""COMPUTED_VALUE"""),3.218528213E9)</f>
        <v>3218528213</v>
      </c>
      <c r="M9842" s="17"/>
      <c r="N9842" s="17"/>
      <c r="O9842" s="17"/>
      <c r="P9842" s="17" t="b">
        <f>IFERROR(__xludf.DUMMYFUNCTION("""COMPUTED_VALUE"""),FALSE)</f>
        <v>0</v>
      </c>
      <c r="Q9842" s="20" t="str">
        <f>IFERROR(__xludf.DUMMYFUNCTION("""COMPUTED_VALUE"""),"")</f>
        <v/>
      </c>
      <c r="R9842" s="21" t="str">
        <f>IFERROR(__xludf.DUMMYFUNCTION("""COMPUTED_VALUE"""),"https://drive.google.com/file/d/1JLOUcrER3O3ZdIU0FTbRic7aYU5pmq0A/view?usp=drivesdk")</f>
        <v>https://drive.google.com/file/d/1JLOUcrER3O3ZdIU0FTbRic7aYU5pmq0A/view?usp=drivesdk</v>
      </c>
    </row>
    <row r="9843">
      <c r="A9843" s="15">
        <f>IFERROR(__xludf.DUMMYFUNCTION("""COMPUTED_VALUE"""),45279.0)</f>
        <v>45279</v>
      </c>
      <c r="B9843" s="16" t="str">
        <f>IFERROR(__xludf.DUMMYFUNCTION("""COMPUTED_VALUE"""),"Johan Alexander Escobar Arroyo ")</f>
        <v>Johan Alexander Escobar Arroyo </v>
      </c>
      <c r="C9843" s="15" t="str">
        <f>IFERROR(__xludf.DUMMYFUNCTION("""COMPUTED_VALUE"""),"CALI")</f>
        <v>CALI</v>
      </c>
      <c r="D9843" s="15" t="str">
        <f>IFERROR(__xludf.DUMMYFUNCTION("""COMPUTED_VALUE"""),"BOGOTÁ")</f>
        <v>BOGOTÁ</v>
      </c>
      <c r="E9843" s="15" t="str">
        <f>IFERROR(__xludf.DUMMYFUNCTION("""COMPUTED_VALUE"""),"Travolge")</f>
        <v>Travolge</v>
      </c>
      <c r="F9843" s="17" t="str">
        <f>IFERROR(__xludf.DUMMYFUNCTION("""COMPUTED_VALUE"""),"Calle 34 #99-90 Unidad Baikal / APTO 1104 TORRE 1")</f>
        <v>Calle 34 #99-90 Unidad Baikal / APTO 1104 TORRE 1</v>
      </c>
      <c r="G9843" s="15" t="str">
        <f>IFERROR(__xludf.DUMMYFUNCTION("""COMPUTED_VALUE"""),"JORGE SOTO")</f>
        <v>JORGE SOTO</v>
      </c>
      <c r="H9843" s="16">
        <f>IFERROR(__xludf.DUMMYFUNCTION("""COMPUTED_VALUE"""),18546.0)</f>
        <v>18546</v>
      </c>
      <c r="I9843" s="17"/>
      <c r="J9843" s="17"/>
      <c r="K9843" s="17"/>
      <c r="L9843" s="17">
        <f>IFERROR(__xludf.DUMMYFUNCTION("""COMPUTED_VALUE"""),3.145752562E9)</f>
        <v>3145752562</v>
      </c>
      <c r="M9843" s="17"/>
      <c r="N9843" s="17"/>
      <c r="O9843" s="17"/>
      <c r="P9843" s="17" t="b">
        <f>IFERROR(__xludf.DUMMYFUNCTION("""COMPUTED_VALUE"""),FALSE)</f>
        <v>0</v>
      </c>
      <c r="Q9843" s="20" t="str">
        <f>IFERROR(__xludf.DUMMYFUNCTION("""COMPUTED_VALUE"""),"")</f>
        <v/>
      </c>
      <c r="R9843" s="21" t="str">
        <f>IFERROR(__xludf.DUMMYFUNCTION("""COMPUTED_VALUE"""),"https://drive.google.com/file/d/1fgmqARPPbqCK6qH4CQZMO8BkgmxJtYA3/view?usp=drivesdk")</f>
        <v>https://drive.google.com/file/d/1fgmqARPPbqCK6qH4CQZMO8BkgmxJtYA3/view?usp=drivesdk</v>
      </c>
    </row>
    <row r="9844">
      <c r="A9844" s="17" t="str">
        <f>IFERROR(__xludf.DUMMYFUNCTION("""COMPUTED_VALUE"""),"")</f>
        <v/>
      </c>
      <c r="B9844" s="17" t="str">
        <f>IFERROR(__xludf.DUMMYFUNCTION("""COMPUTED_VALUE"""),"")</f>
        <v/>
      </c>
      <c r="C9844" s="17" t="str">
        <f>IFERROR(__xludf.DUMMYFUNCTION("""COMPUTED_VALUE"""),"")</f>
        <v/>
      </c>
      <c r="D9844" s="17" t="str">
        <f>IFERROR(__xludf.DUMMYFUNCTION("""COMPUTED_VALUE"""),"")</f>
        <v/>
      </c>
      <c r="E9844" s="17" t="str">
        <f>IFERROR(__xludf.DUMMYFUNCTION("""COMPUTED_VALUE"""),"")</f>
        <v/>
      </c>
      <c r="F9844" s="17" t="str">
        <f>IFERROR(__xludf.DUMMYFUNCTION("""COMPUTED_VALUE"""),"")</f>
        <v/>
      </c>
      <c r="G9844" s="17" t="str">
        <f>IFERROR(__xludf.DUMMYFUNCTION("""COMPUTED_VALUE"""),"")</f>
        <v/>
      </c>
      <c r="H9844" s="17" t="str">
        <f>IFERROR(__xludf.DUMMYFUNCTION("""COMPUTED_VALUE"""),"")</f>
        <v/>
      </c>
      <c r="I9844" s="17" t="str">
        <f>IFERROR(__xludf.DUMMYFUNCTION("""COMPUTED_VALUE"""),"")</f>
        <v/>
      </c>
      <c r="J9844" s="17" t="str">
        <f>IFERROR(__xludf.DUMMYFUNCTION("""COMPUTED_VALUE"""),"")</f>
        <v/>
      </c>
      <c r="K9844" s="17" t="str">
        <f>IFERROR(__xludf.DUMMYFUNCTION("""COMPUTED_VALUE"""),"")</f>
        <v/>
      </c>
      <c r="L9844" s="17" t="str">
        <f>IFERROR(__xludf.DUMMYFUNCTION("""COMPUTED_VALUE"""),"")</f>
        <v/>
      </c>
      <c r="M9844" s="17" t="str">
        <f>IFERROR(__xludf.DUMMYFUNCTION("""COMPUTED_VALUE"""),"")</f>
        <v/>
      </c>
      <c r="N9844" s="17" t="str">
        <f>IFERROR(__xludf.DUMMYFUNCTION("""COMPUTED_VALUE"""),"")</f>
        <v/>
      </c>
      <c r="O9844" s="17" t="str">
        <f>IFERROR(__xludf.DUMMYFUNCTION("""COMPUTED_VALUE"""),"")</f>
        <v/>
      </c>
      <c r="P9844" s="17" t="str">
        <f>IFERROR(__xludf.DUMMYFUNCTION("""COMPUTED_VALUE"""),"")</f>
        <v/>
      </c>
      <c r="Q9844" s="17" t="str">
        <f>IFERROR(__xludf.DUMMYFUNCTION("""COMPUTED_VALUE"""),"")</f>
        <v/>
      </c>
      <c r="R9844" s="17" t="str">
        <f>IFERROR(__xludf.DUMMYFUNCTION("""COMPUTED_VALUE"""),"")</f>
        <v/>
      </c>
    </row>
    <row r="9845">
      <c r="A9845" s="15">
        <f>IFERROR(__xludf.DUMMYFUNCTION("""COMPUTED_VALUE"""),45279.0)</f>
        <v>45279</v>
      </c>
      <c r="B9845" s="16" t="str">
        <f>IFERROR(__xludf.DUMMYFUNCTION("""COMPUTED_VALUE"""),"Johanna Arango Barrera")</f>
        <v>Johanna Arango Barrera</v>
      </c>
      <c r="C9845" s="15" t="str">
        <f>IFERROR(__xludf.DUMMYFUNCTION("""COMPUTED_VALUE"""),"BUCARAMANGA")</f>
        <v>BUCARAMANGA</v>
      </c>
      <c r="D9845" s="15" t="str">
        <f>IFERROR(__xludf.DUMMYFUNCTION("""COMPUTED_VALUE"""),"BOGOTÁ")</f>
        <v>BOGOTÁ</v>
      </c>
      <c r="E9845" s="15" t="str">
        <f>IFERROR(__xludf.DUMMYFUNCTION("""COMPUTED_VALUE"""),"Karem foods")</f>
        <v>Karem foods</v>
      </c>
      <c r="F9845" s="17" t="str">
        <f>IFERROR(__xludf.DUMMYFUNCTION("""COMPUTED_VALUE"""),"Cra 39# 44-125  / Torre 1 apto 401  / Conjunto Casa Don David")</f>
        <v>Cra 39# 44-125  / Torre 1 apto 401  / Conjunto Casa Don David</v>
      </c>
      <c r="G9845" s="15" t="str">
        <f>IFERROR(__xludf.DUMMYFUNCTION("""COMPUTED_VALUE"""),"Auro Martinez")</f>
        <v>Auro Martinez</v>
      </c>
      <c r="H9845" s="16">
        <f>IFERROR(__xludf.DUMMYFUNCTION("""COMPUTED_VALUE"""),18521.0)</f>
        <v>18521</v>
      </c>
      <c r="I9845" s="18">
        <f>IFERROR(__xludf.DUMMYFUNCTION("""COMPUTED_VALUE"""),7.0)</f>
        <v>7</v>
      </c>
      <c r="J9845" s="18">
        <f>IFERROR(__xludf.DUMMYFUNCTION("""COMPUTED_VALUE"""),20.0)</f>
        <v>20</v>
      </c>
      <c r="K9845" s="18">
        <f>IFERROR(__xludf.DUMMYFUNCTION("""COMPUTED_VALUE"""),20.0)</f>
        <v>20</v>
      </c>
      <c r="L9845" s="17">
        <f>IFERROR(__xludf.DUMMYFUNCTION("""COMPUTED_VALUE"""),3.003039483E9)</f>
        <v>3003039483</v>
      </c>
      <c r="M9845" s="17"/>
      <c r="N9845" s="17"/>
      <c r="O9845" s="17"/>
      <c r="P9845" s="17" t="b">
        <f>IFERROR(__xludf.DUMMYFUNCTION("""COMPUTED_VALUE"""),FALSE)</f>
        <v>0</v>
      </c>
      <c r="Q9845" s="20" t="str">
        <f>IFERROR(__xludf.DUMMYFUNCTION("""COMPUTED_VALUE"""),"")</f>
        <v/>
      </c>
      <c r="R9845" s="21" t="str">
        <f>IFERROR(__xludf.DUMMYFUNCTION("""COMPUTED_VALUE"""),"https://drive.google.com/file/d/1WknSlEgHVXJwLp8cm8g-HFy7A7ULeZAX/view?usp=drivesdk")</f>
        <v>https://drive.google.com/file/d/1WknSlEgHVXJwLp8cm8g-HFy7A7ULeZAX/view?usp=drivesdk</v>
      </c>
    </row>
    <row r="9846">
      <c r="A9846" s="15">
        <f>IFERROR(__xludf.DUMMYFUNCTION("""COMPUTED_VALUE"""),45279.0)</f>
        <v>45279</v>
      </c>
      <c r="B9846" s="16" t="str">
        <f>IFERROR(__xludf.DUMMYFUNCTION("""COMPUTED_VALUE"""),"Johanna Arango Barrera")</f>
        <v>Johanna Arango Barrera</v>
      </c>
      <c r="C9846" s="15" t="str">
        <f>IFERROR(__xludf.DUMMYFUNCTION("""COMPUTED_VALUE"""),"BUCARAMANGA")</f>
        <v>BUCARAMANGA</v>
      </c>
      <c r="D9846" s="15" t="str">
        <f>IFERROR(__xludf.DUMMYFUNCTION("""COMPUTED_VALUE"""),"BOGOTÁ")</f>
        <v>BOGOTÁ</v>
      </c>
      <c r="E9846" s="15" t="str">
        <f>IFERROR(__xludf.DUMMYFUNCTION("""COMPUTED_VALUE"""),"Karem foods")</f>
        <v>Karem foods</v>
      </c>
      <c r="F9846" s="17" t="str">
        <f>IFERROR(__xludf.DUMMYFUNCTION("""COMPUTED_VALUE"""),"Transv 154 # 17-20  / casa 11 / conjunto club house Florida Cañaveral")</f>
        <v>Transv 154 # 17-20  / casa 11 / conjunto club house Florida Cañaveral</v>
      </c>
      <c r="G9846" s="15" t="str">
        <f>IFERROR(__xludf.DUMMYFUNCTION("""COMPUTED_VALUE"""),"Cesar Galvez")</f>
        <v>Cesar Galvez</v>
      </c>
      <c r="H9846" s="16">
        <f>IFERROR(__xludf.DUMMYFUNCTION("""COMPUTED_VALUE"""),18520.0)</f>
        <v>18520</v>
      </c>
      <c r="I9846" s="18">
        <f>IFERROR(__xludf.DUMMYFUNCTION("""COMPUTED_VALUE"""),7.0)</f>
        <v>7</v>
      </c>
      <c r="J9846" s="18">
        <f>IFERROR(__xludf.DUMMYFUNCTION("""COMPUTED_VALUE"""),20.0)</f>
        <v>20</v>
      </c>
      <c r="K9846" s="18">
        <f>IFERROR(__xludf.DUMMYFUNCTION("""COMPUTED_VALUE"""),20.0)</f>
        <v>20</v>
      </c>
      <c r="L9846" s="17">
        <f>IFERROR(__xludf.DUMMYFUNCTION("""COMPUTED_VALUE"""),3.003039483E9)</f>
        <v>3003039483</v>
      </c>
      <c r="M9846" s="17"/>
      <c r="N9846" s="17"/>
      <c r="O9846" s="17"/>
      <c r="P9846" s="17" t="b">
        <f>IFERROR(__xludf.DUMMYFUNCTION("""COMPUTED_VALUE"""),FALSE)</f>
        <v>0</v>
      </c>
      <c r="Q9846" s="20" t="str">
        <f>IFERROR(__xludf.DUMMYFUNCTION("""COMPUTED_VALUE"""),"")</f>
        <v/>
      </c>
      <c r="R9846" s="21" t="str">
        <f>IFERROR(__xludf.DUMMYFUNCTION("""COMPUTED_VALUE"""),"https://drive.google.com/file/d/1-HHmLzeHmhbo_9PYy2H76GuyBye3_dYG/view?usp=drivesdk")</f>
        <v>https://drive.google.com/file/d/1-HHmLzeHmhbo_9PYy2H76GuyBye3_dYG/view?usp=drivesdk</v>
      </c>
    </row>
    <row r="9847">
      <c r="A9847" s="15">
        <f>IFERROR(__xludf.DUMMYFUNCTION("""COMPUTED_VALUE"""),45279.0)</f>
        <v>45279</v>
      </c>
      <c r="B9847" s="16" t="str">
        <f>IFERROR(__xludf.DUMMYFUNCTION("""COMPUTED_VALUE"""),"Johanna Arango Barrera")</f>
        <v>Johanna Arango Barrera</v>
      </c>
      <c r="C9847" s="15" t="str">
        <f>IFERROR(__xludf.DUMMYFUNCTION("""COMPUTED_VALUE"""),"BUCARAMANGA")</f>
        <v>BUCARAMANGA</v>
      </c>
      <c r="D9847" s="15" t="str">
        <f>IFERROR(__xludf.DUMMYFUNCTION("""COMPUTED_VALUE"""),"BOGOTÁ")</f>
        <v>BOGOTÁ</v>
      </c>
      <c r="E9847" s="15" t="str">
        <f>IFERROR(__xludf.DUMMYFUNCTION("""COMPUTED_VALUE"""),"THE SMOKED HOUSE SAS")</f>
        <v>THE SMOKED HOUSE SAS</v>
      </c>
      <c r="F9847" s="17" t="str">
        <f>IFERROR(__xludf.DUMMYFUNCTION("""COMPUTED_VALUE"""),"Carrera 44 # 64 A - 73 Torre 1 Apto 1202 / Edificio Montserrat")</f>
        <v>Carrera 44 # 64 A - 73 Torre 1 Apto 1202 / Edificio Montserrat</v>
      </c>
      <c r="G9847" s="15" t="str">
        <f>IFERROR(__xludf.DUMMYFUNCTION("""COMPUTED_VALUE"""),"Alejandra Pedraza")</f>
        <v>Alejandra Pedraza</v>
      </c>
      <c r="H9847" s="16">
        <f>IFERROR(__xludf.DUMMYFUNCTION("""COMPUTED_VALUE"""),18488.0)</f>
        <v>18488</v>
      </c>
      <c r="I9847" s="17"/>
      <c r="J9847" s="17"/>
      <c r="K9847" s="17"/>
      <c r="L9847" s="17">
        <f>IFERROR(__xludf.DUMMYFUNCTION("""COMPUTED_VALUE"""),3.125133695E9)</f>
        <v>3125133695</v>
      </c>
      <c r="M9847" s="17"/>
      <c r="N9847" s="17"/>
      <c r="O9847" s="17"/>
      <c r="P9847" s="17" t="b">
        <f>IFERROR(__xludf.DUMMYFUNCTION("""COMPUTED_VALUE"""),FALSE)</f>
        <v>0</v>
      </c>
      <c r="Q9847" s="20" t="str">
        <f>IFERROR(__xludf.DUMMYFUNCTION("""COMPUTED_VALUE"""),"")</f>
        <v/>
      </c>
      <c r="R9847" s="21" t="str">
        <f>IFERROR(__xludf.DUMMYFUNCTION("""COMPUTED_VALUE"""),"https://drive.google.com/file/d/1CXt-iQRbmgFnV8qBQNJWOkX7C1_sAdVN/view?usp=drivesdk")</f>
        <v>https://drive.google.com/file/d/1CXt-iQRbmgFnV8qBQNJWOkX7C1_sAdVN/view?usp=drivesdk</v>
      </c>
    </row>
    <row r="9848">
      <c r="A9848" s="15">
        <f>IFERROR(__xludf.DUMMYFUNCTION("""COMPUTED_VALUE"""),45279.0)</f>
        <v>45279</v>
      </c>
      <c r="B9848" s="16" t="str">
        <f>IFERROR(__xludf.DUMMYFUNCTION("""COMPUTED_VALUE"""),"Johanna Arango Barrera")</f>
        <v>Johanna Arango Barrera</v>
      </c>
      <c r="C9848" s="15" t="str">
        <f>IFERROR(__xludf.DUMMYFUNCTION("""COMPUTED_VALUE"""),"BUCARAMANGA")</f>
        <v>BUCARAMANGA</v>
      </c>
      <c r="D9848" s="15" t="str">
        <f>IFERROR(__xludf.DUMMYFUNCTION("""COMPUTED_VALUE"""),"MEDELLÍN")</f>
        <v>MEDELLÍN</v>
      </c>
      <c r="E9848" s="15" t="str">
        <f>IFERROR(__xludf.DUMMYFUNCTION("""COMPUTED_VALUE"""),"Puro Verde")</f>
        <v>Puro Verde</v>
      </c>
      <c r="F9848" s="17" t="str">
        <f>IFERROR(__xludf.DUMMYFUNCTION("""COMPUTED_VALUE"""),"CALLE 51 # 23-95.  / APTO 405. EDIFICIO BONARDI / BARRIO NUEVO SOTOMAYOR")</f>
        <v>CALLE 51 # 23-95.  / APTO 405. EDIFICIO BONARDI / BARRIO NUEVO SOTOMAYOR</v>
      </c>
      <c r="G9848" s="15" t="str">
        <f>IFERROR(__xludf.DUMMYFUNCTION("""COMPUTED_VALUE"""),"SANDRA MILENA RESTREPO ACEVEDO")</f>
        <v>SANDRA MILENA RESTREPO ACEVEDO</v>
      </c>
      <c r="H9848" s="16">
        <f>IFERROR(__xludf.DUMMYFUNCTION("""COMPUTED_VALUE"""),18464.0)</f>
        <v>18464</v>
      </c>
      <c r="I9848" s="18">
        <f>IFERROR(__xludf.DUMMYFUNCTION("""COMPUTED_VALUE"""),12.0)</f>
        <v>12</v>
      </c>
      <c r="J9848" s="18">
        <f>IFERROR(__xludf.DUMMYFUNCTION("""COMPUTED_VALUE"""),18.0)</f>
        <v>18</v>
      </c>
      <c r="K9848" s="18">
        <f>IFERROR(__xludf.DUMMYFUNCTION("""COMPUTED_VALUE"""),45.0)</f>
        <v>45</v>
      </c>
      <c r="L9848" s="17">
        <f>IFERROR(__xludf.DUMMYFUNCTION("""COMPUTED_VALUE"""),3.204491255E9)</f>
        <v>3204491255</v>
      </c>
      <c r="M9848" s="17"/>
      <c r="N9848" s="17"/>
      <c r="O9848" s="17"/>
      <c r="P9848" s="17" t="b">
        <f>IFERROR(__xludf.DUMMYFUNCTION("""COMPUTED_VALUE"""),FALSE)</f>
        <v>0</v>
      </c>
      <c r="Q9848" s="20" t="str">
        <f>IFERROR(__xludf.DUMMYFUNCTION("""COMPUTED_VALUE"""),"")</f>
        <v/>
      </c>
      <c r="R9848" s="21" t="str">
        <f>IFERROR(__xludf.DUMMYFUNCTION("""COMPUTED_VALUE"""),"https://drive.google.com/file/d/1bNXpkLBk6gPxiYjGaItWmazHUMeUdDci/view?usp=drivesdk")</f>
        <v>https://drive.google.com/file/d/1bNXpkLBk6gPxiYjGaItWmazHUMeUdDci/view?usp=drivesdk</v>
      </c>
    </row>
    <row r="9849">
      <c r="A9849" s="15">
        <f>IFERROR(__xludf.DUMMYFUNCTION("""COMPUTED_VALUE"""),45279.0)</f>
        <v>45279</v>
      </c>
      <c r="B9849" s="16" t="str">
        <f>IFERROR(__xludf.DUMMYFUNCTION("""COMPUTED_VALUE"""),"Johanna Arango Barrera")</f>
        <v>Johanna Arango Barrera</v>
      </c>
      <c r="C9849" s="15" t="str">
        <f>IFERROR(__xludf.DUMMYFUNCTION("""COMPUTED_VALUE"""),"BUCARAMANGA")</f>
        <v>BUCARAMANGA</v>
      </c>
      <c r="D9849" s="15" t="str">
        <f>IFERROR(__xludf.DUMMYFUNCTION("""COMPUTED_VALUE"""),"MEDELLÍN")</f>
        <v>MEDELLÍN</v>
      </c>
      <c r="E9849" s="15" t="str">
        <f>IFERROR(__xludf.DUMMYFUNCTION("""COMPUTED_VALUE"""),"TOLEDALES S.A.S")</f>
        <v>TOLEDALES S.A.S</v>
      </c>
      <c r="F9849" s="17" t="str">
        <f>IFERROR(__xludf.DUMMYFUNCTION("""COMPUTED_VALUE"""),"carrera 38 44 103 / edificio reserva del parque apto2301")</f>
        <v>carrera 38 44 103 / edificio reserva del parque apto2301</v>
      </c>
      <c r="G9849" s="15" t="str">
        <f>IFERROR(__xludf.DUMMYFUNCTION("""COMPUTED_VALUE"""),"Raul Duarte")</f>
        <v>Raul Duarte</v>
      </c>
      <c r="H9849" s="16">
        <f>IFERROR(__xludf.DUMMYFUNCTION("""COMPUTED_VALUE"""),18330.0)</f>
        <v>18330</v>
      </c>
      <c r="I9849" s="17"/>
      <c r="J9849" s="17"/>
      <c r="K9849" s="17"/>
      <c r="L9849" s="17">
        <f>IFERROR(__xludf.DUMMYFUNCTION("""COMPUTED_VALUE"""),1.22891226E8)</f>
        <v>122891226</v>
      </c>
      <c r="M9849" s="17"/>
      <c r="N9849" s="17"/>
      <c r="O9849" s="17"/>
      <c r="P9849" s="17" t="b">
        <f>IFERROR(__xludf.DUMMYFUNCTION("""COMPUTED_VALUE"""),FALSE)</f>
        <v>0</v>
      </c>
      <c r="Q9849" s="20" t="str">
        <f>IFERROR(__xludf.DUMMYFUNCTION("""COMPUTED_VALUE"""),"")</f>
        <v/>
      </c>
      <c r="R9849" s="22" t="str">
        <f>IFERROR(__xludf.DUMMYFUNCTION("""COMPUTED_VALUE"""),"")</f>
        <v/>
      </c>
    </row>
    <row r="9850">
      <c r="A9850" s="15">
        <f>IFERROR(__xludf.DUMMYFUNCTION("""COMPUTED_VALUE"""),45279.0)</f>
        <v>45279</v>
      </c>
      <c r="B9850" s="16" t="str">
        <f>IFERROR(__xludf.DUMMYFUNCTION("""COMPUTED_VALUE"""),"Johanna Arango Barrera")</f>
        <v>Johanna Arango Barrera</v>
      </c>
      <c r="C9850" s="15" t="str">
        <f>IFERROR(__xludf.DUMMYFUNCTION("""COMPUTED_VALUE"""),"BUCARAMANGA")</f>
        <v>BUCARAMANGA</v>
      </c>
      <c r="D9850" s="15" t="str">
        <f>IFERROR(__xludf.DUMMYFUNCTION("""COMPUTED_VALUE"""),"MEDELLÍN")</f>
        <v>MEDELLÍN</v>
      </c>
      <c r="E9850" s="15" t="str">
        <f>IFERROR(__xludf.DUMMYFUNCTION("""COMPUTED_VALUE"""),"TOLEDALES S.A.S")</f>
        <v>TOLEDALES S.A.S</v>
      </c>
      <c r="F9850" s="17" t="str">
        <f>IFERROR(__xludf.DUMMYFUNCTION("""COMPUTED_VALUE"""),"cra 43 a #sur / .")</f>
        <v>cra 43 a #sur / .</v>
      </c>
      <c r="G9850" s="15" t="str">
        <f>IFERROR(__xludf.DUMMYFUNCTION("""COMPUTED_VALUE"""),"Alvaro Escobar")</f>
        <v>Alvaro Escobar</v>
      </c>
      <c r="H9850" s="16">
        <f>IFERROR(__xludf.DUMMYFUNCTION("""COMPUTED_VALUE"""),18213.0)</f>
        <v>18213</v>
      </c>
      <c r="I9850" s="17"/>
      <c r="J9850" s="17"/>
      <c r="K9850" s="17"/>
      <c r="L9850" s="17">
        <f>IFERROR(__xludf.DUMMYFUNCTION("""COMPUTED_VALUE"""),3.122891226E9)</f>
        <v>3122891226</v>
      </c>
      <c r="M9850" s="17"/>
      <c r="N9850" s="17"/>
      <c r="O9850" s="17"/>
      <c r="P9850" s="17" t="b">
        <f>IFERROR(__xludf.DUMMYFUNCTION("""COMPUTED_VALUE"""),FALSE)</f>
        <v>0</v>
      </c>
      <c r="Q9850" s="20" t="str">
        <f>IFERROR(__xludf.DUMMYFUNCTION("""COMPUTED_VALUE"""),"")</f>
        <v/>
      </c>
      <c r="R9850" s="21" t="str">
        <f>IFERROR(__xludf.DUMMYFUNCTION("""COMPUTED_VALUE"""),"https://drive.google.com/file/d/1WF5AyWgXJSZ6vG_ZHGD8Jbbo2VuJ0i2I/view?usp=drivesdk")</f>
        <v>https://drive.google.com/file/d/1WF5AyWgXJSZ6vG_ZHGD8Jbbo2VuJ0i2I/view?usp=drivesdk</v>
      </c>
    </row>
    <row r="9851">
      <c r="A9851" s="15">
        <f>IFERROR(__xludf.DUMMYFUNCTION("""COMPUTED_VALUE"""),45279.0)</f>
        <v>45279</v>
      </c>
      <c r="B9851" s="16" t="str">
        <f>IFERROR(__xludf.DUMMYFUNCTION("""COMPUTED_VALUE"""),"Johanna Arango Barrera")</f>
        <v>Johanna Arango Barrera</v>
      </c>
      <c r="C9851" s="15" t="str">
        <f>IFERROR(__xludf.DUMMYFUNCTION("""COMPUTED_VALUE"""),"FLORIDABLANCA")</f>
        <v>FLORIDABLANCA</v>
      </c>
      <c r="D9851" s="15" t="str">
        <f>IFERROR(__xludf.DUMMYFUNCTION("""COMPUTED_VALUE"""),"BOGOTÁ")</f>
        <v>BOGOTÁ</v>
      </c>
      <c r="E9851" s="15" t="str">
        <f>IFERROR(__xludf.DUMMYFUNCTION("""COMPUTED_VALUE"""),"Instinto alimento vital")</f>
        <v>Instinto alimento vital</v>
      </c>
      <c r="F9851" s="17" t="str">
        <f>IFERROR(__xludf.DUMMYFUNCTION("""COMPUTED_VALUE"""),"CALLE 116 #31-69, TR 6 AP 517 / UNIDAD RESIDENCIAL SANTA CATALINA,")</f>
        <v>CALLE 116 #31-69, TR 6 AP 517 / UNIDAD RESIDENCIAL SANTA CATALINA,</v>
      </c>
      <c r="G9851" s="15" t="str">
        <f>IFERROR(__xludf.DUMMYFUNCTION("""COMPUTED_VALUE"""),"MARIA ALEJANDRA RAMIREZ TORO")</f>
        <v>MARIA ALEJANDRA RAMIREZ TORO</v>
      </c>
      <c r="H9851" s="16">
        <f>IFERROR(__xludf.DUMMYFUNCTION("""COMPUTED_VALUE"""),18540.0)</f>
        <v>18540</v>
      </c>
      <c r="I9851" s="17"/>
      <c r="J9851" s="17"/>
      <c r="K9851" s="17"/>
      <c r="L9851" s="17">
        <f>IFERROR(__xludf.DUMMYFUNCTION("""COMPUTED_VALUE"""),3.184023538E9)</f>
        <v>3184023538</v>
      </c>
      <c r="M9851" s="17"/>
      <c r="N9851" s="17"/>
      <c r="O9851" s="17"/>
      <c r="P9851" s="17" t="b">
        <f>IFERROR(__xludf.DUMMYFUNCTION("""COMPUTED_VALUE"""),FALSE)</f>
        <v>0</v>
      </c>
      <c r="Q9851" s="20" t="str">
        <f>IFERROR(__xludf.DUMMYFUNCTION("""COMPUTED_VALUE"""),"")</f>
        <v/>
      </c>
      <c r="R9851" s="21" t="str">
        <f>IFERROR(__xludf.DUMMYFUNCTION("""COMPUTED_VALUE"""),"https://drive.google.com/file/d/1X-TmZmQcD4PQX8sHA44SEA-cKk_Tz8MG/view?usp=drivesdk")</f>
        <v>https://drive.google.com/file/d/1X-TmZmQcD4PQX8sHA44SEA-cKk_Tz8MG/view?usp=drivesdk</v>
      </c>
    </row>
    <row r="9852">
      <c r="A9852" s="15">
        <f>IFERROR(__xludf.DUMMYFUNCTION("""COMPUTED_VALUE"""),45279.0)</f>
        <v>45279</v>
      </c>
      <c r="B9852" s="16" t="str">
        <f>IFERROR(__xludf.DUMMYFUNCTION("""COMPUTED_VALUE"""),"Johanna Arango Barrera")</f>
        <v>Johanna Arango Barrera</v>
      </c>
      <c r="C9852" s="15" t="str">
        <f>IFERROR(__xludf.DUMMYFUNCTION("""COMPUTED_VALUE"""),"FLORIDABLANCA")</f>
        <v>FLORIDABLANCA</v>
      </c>
      <c r="D9852" s="15" t="str">
        <f>IFERROR(__xludf.DUMMYFUNCTION("""COMPUTED_VALUE"""),"BOGOTÁ")</f>
        <v>BOGOTÁ</v>
      </c>
      <c r="E9852" s="15" t="str">
        <f>IFERROR(__xludf.DUMMYFUNCTION("""COMPUTED_VALUE"""),"Instinto alimento vital")</f>
        <v>Instinto alimento vital</v>
      </c>
      <c r="F9852" s="17" t="str">
        <f>IFERROR(__xludf.DUMMYFUNCTION("""COMPUTED_VALUE"""),"CONDOMINIO ROUITIQUE CONJUNTO LA PRADERA CASA 39 FLORIDABLANCA / CONDOMINIO ROUITIQUE CONJUNTO LA PRADERA CASA 39 FLORIDABLANCA")</f>
        <v>CONDOMINIO ROUITIQUE CONJUNTO LA PRADERA CASA 39 FLORIDABLANCA / CONDOMINIO ROUITIQUE CONJUNTO LA PRADERA CASA 39 FLORIDABLANCA</v>
      </c>
      <c r="G9852" s="15" t="str">
        <f>IFERROR(__xludf.DUMMYFUNCTION("""COMPUTED_VALUE"""),"ADRIANA MARIA BARRERA SARMIENTO")</f>
        <v>ADRIANA MARIA BARRERA SARMIENTO</v>
      </c>
      <c r="H9852" s="16">
        <f>IFERROR(__xludf.DUMMYFUNCTION("""COMPUTED_VALUE"""),18542.0)</f>
        <v>18542</v>
      </c>
      <c r="I9852" s="17"/>
      <c r="J9852" s="17"/>
      <c r="K9852" s="17"/>
      <c r="L9852" s="17">
        <f>IFERROR(__xludf.DUMMYFUNCTION("""COMPUTED_VALUE"""),3.21372563E9)</f>
        <v>3213725630</v>
      </c>
      <c r="M9852" s="17"/>
      <c r="N9852" s="17"/>
      <c r="O9852" s="17"/>
      <c r="P9852" s="17" t="b">
        <f>IFERROR(__xludf.DUMMYFUNCTION("""COMPUTED_VALUE"""),FALSE)</f>
        <v>0</v>
      </c>
      <c r="Q9852" s="20" t="str">
        <f>IFERROR(__xludf.DUMMYFUNCTION("""COMPUTED_VALUE"""),"")</f>
        <v/>
      </c>
      <c r="R9852" s="21" t="str">
        <f>IFERROR(__xludf.DUMMYFUNCTION("""COMPUTED_VALUE"""),"https://drive.google.com/file/d/1cua81ugztflxDE8yQuD-9U_Ch3ZUkm5o/view?usp=drivesdk")</f>
        <v>https://drive.google.com/file/d/1cua81ugztflxDE8yQuD-9U_Ch3ZUkm5o/view?usp=drivesdk</v>
      </c>
    </row>
    <row r="9853">
      <c r="A9853" s="15">
        <f>IFERROR(__xludf.DUMMYFUNCTION("""COMPUTED_VALUE"""),45279.0)</f>
        <v>45279</v>
      </c>
      <c r="B9853" s="16" t="str">
        <f>IFERROR(__xludf.DUMMYFUNCTION("""COMPUTED_VALUE"""),"Johanna Arango Barrera")</f>
        <v>Johanna Arango Barrera</v>
      </c>
      <c r="C9853" s="15" t="str">
        <f>IFERROR(__xludf.DUMMYFUNCTION("""COMPUTED_VALUE"""),"FLORIDABLANCA")</f>
        <v>FLORIDABLANCA</v>
      </c>
      <c r="D9853" s="15" t="str">
        <f>IFERROR(__xludf.DUMMYFUNCTION("""COMPUTED_VALUE"""),"BOGOTÁ")</f>
        <v>BOGOTÁ</v>
      </c>
      <c r="E9853" s="15" t="str">
        <f>IFERROR(__xludf.DUMMYFUNCTION("""COMPUTED_VALUE"""),"Top Spun")</f>
        <v>Top Spun</v>
      </c>
      <c r="F9853" s="17" t="str">
        <f>IFERROR(__xludf.DUMMYFUNCTION("""COMPUTED_VALUE"""),"Transversal Santillana No. longitudinal mensuly 56 condominio Cibeles casa 3 Floridablanca Santander / condominio Cibeles casa 3 Floridablanca / floridablanca")</f>
        <v>Transversal Santillana No. longitudinal mensuly 56 condominio Cibeles casa 3 Floridablanca Santander / condominio Cibeles casa 3 Floridablanca / floridablanca</v>
      </c>
      <c r="G9853" s="15" t="str">
        <f>IFERROR(__xludf.DUMMYFUNCTION("""COMPUTED_VALUE"""),"Paola Pinzon")</f>
        <v>Paola Pinzon</v>
      </c>
      <c r="H9853" s="16">
        <f>IFERROR(__xludf.DUMMYFUNCTION("""COMPUTED_VALUE"""),18468.0)</f>
        <v>18468</v>
      </c>
      <c r="I9853" s="18">
        <f>IFERROR(__xludf.DUMMYFUNCTION("""COMPUTED_VALUE"""),10.0)</f>
        <v>10</v>
      </c>
      <c r="J9853" s="18">
        <f>IFERROR(__xludf.DUMMYFUNCTION("""COMPUTED_VALUE"""),20.0)</f>
        <v>20</v>
      </c>
      <c r="K9853" s="18">
        <f>IFERROR(__xludf.DUMMYFUNCTION("""COMPUTED_VALUE"""),40.0)</f>
        <v>40</v>
      </c>
      <c r="L9853" s="17">
        <f>IFERROR(__xludf.DUMMYFUNCTION("""COMPUTED_VALUE"""),3.208260219E9)</f>
        <v>3208260219</v>
      </c>
      <c r="M9853" s="17"/>
      <c r="N9853" s="17"/>
      <c r="O9853" s="17"/>
      <c r="P9853" s="17" t="b">
        <f>IFERROR(__xludf.DUMMYFUNCTION("""COMPUTED_VALUE"""),FALSE)</f>
        <v>0</v>
      </c>
      <c r="Q9853" s="20" t="str">
        <f>IFERROR(__xludf.DUMMYFUNCTION("""COMPUTED_VALUE"""),"")</f>
        <v/>
      </c>
      <c r="R9853" s="21" t="str">
        <f>IFERROR(__xludf.DUMMYFUNCTION("""COMPUTED_VALUE"""),"https://drive.google.com/file/d/1DMY0C0Tw2zRqM948mMNyNMKdmJ5bhZTq/view?usp=drivesdk")</f>
        <v>https://drive.google.com/file/d/1DMY0C0Tw2zRqM948mMNyNMKdmJ5bhZTq/view?usp=drivesdk</v>
      </c>
    </row>
    <row r="9854">
      <c r="A9854" s="15">
        <f>IFERROR(__xludf.DUMMYFUNCTION("""COMPUTED_VALUE"""),45279.0)</f>
        <v>45279</v>
      </c>
      <c r="B9854" s="16" t="str">
        <f>IFERROR(__xludf.DUMMYFUNCTION("""COMPUTED_VALUE"""),"Johanna Arango Barrera")</f>
        <v>Johanna Arango Barrera</v>
      </c>
      <c r="C9854" s="15" t="str">
        <f>IFERROR(__xludf.DUMMYFUNCTION("""COMPUTED_VALUE"""),"FLORIDABLANCA")</f>
        <v>FLORIDABLANCA</v>
      </c>
      <c r="D9854" s="15" t="str">
        <f>IFERROR(__xludf.DUMMYFUNCTION("""COMPUTED_VALUE"""),"MEDELLÍN")</f>
        <v>MEDELLÍN</v>
      </c>
      <c r="E9854" s="15" t="str">
        <f>IFERROR(__xludf.DUMMYFUNCTION("""COMPUTED_VALUE"""),"Baby Chef")</f>
        <v>Baby Chef</v>
      </c>
      <c r="F9854" s="17" t="str">
        <f>IFERROR(__xludf.DUMMYFUNCTION("""COMPUTED_VALUE"""),"Calle 200 no 13-36 Barrio Versalles Floridablanca, Santander Edificio Montesol apartamentos club apto 803 / . / .")</f>
        <v>Calle 200 no 13-36 Barrio Versalles Floridablanca, Santander Edificio Montesol apartamentos club apto 803 / . / .</v>
      </c>
      <c r="G9854" s="15" t="str">
        <f>IFERROR(__xludf.DUMMYFUNCTION("""COMPUTED_VALUE"""),"Cindy Castro")</f>
        <v>Cindy Castro</v>
      </c>
      <c r="H9854" s="16">
        <f>IFERROR(__xludf.DUMMYFUNCTION("""COMPUTED_VALUE"""),18570.0)</f>
        <v>18570</v>
      </c>
      <c r="I9854" s="18">
        <f>IFERROR(__xludf.DUMMYFUNCTION("""COMPUTED_VALUE"""),11.0)</f>
        <v>11</v>
      </c>
      <c r="J9854" s="18">
        <f>IFERROR(__xludf.DUMMYFUNCTION("""COMPUTED_VALUE"""),22.0)</f>
        <v>22</v>
      </c>
      <c r="K9854" s="18">
        <f>IFERROR(__xludf.DUMMYFUNCTION("""COMPUTED_VALUE"""),35.0)</f>
        <v>35</v>
      </c>
      <c r="L9854" s="17">
        <f>IFERROR(__xludf.DUMMYFUNCTION("""COMPUTED_VALUE"""),3.173678048E9)</f>
        <v>3173678048</v>
      </c>
      <c r="M9854" s="17"/>
      <c r="N9854" s="17"/>
      <c r="O9854" s="17"/>
      <c r="P9854" s="17" t="b">
        <f>IFERROR(__xludf.DUMMYFUNCTION("""COMPUTED_VALUE"""),FALSE)</f>
        <v>0</v>
      </c>
      <c r="Q9854" s="20" t="str">
        <f>IFERROR(__xludf.DUMMYFUNCTION("""COMPUTED_VALUE"""),"")</f>
        <v/>
      </c>
      <c r="R9854" s="21" t="str">
        <f>IFERROR(__xludf.DUMMYFUNCTION("""COMPUTED_VALUE"""),"https://drive.google.com/file/d/1-3RL3mV-i1-DbZaaplvS4C4If1uGFZRY/view?usp=drivesdk")</f>
        <v>https://drive.google.com/file/d/1-3RL3mV-i1-DbZaaplvS4C4If1uGFZRY/view?usp=drivesdk</v>
      </c>
    </row>
    <row r="9855">
      <c r="A9855" s="17" t="str">
        <f>IFERROR(__xludf.DUMMYFUNCTION("""COMPUTED_VALUE"""),"")</f>
        <v/>
      </c>
      <c r="B9855" s="17" t="str">
        <f>IFERROR(__xludf.DUMMYFUNCTION("""COMPUTED_VALUE"""),"")</f>
        <v/>
      </c>
      <c r="C9855" s="17" t="str">
        <f>IFERROR(__xludf.DUMMYFUNCTION("""COMPUTED_VALUE"""),"")</f>
        <v/>
      </c>
      <c r="D9855" s="17" t="str">
        <f>IFERROR(__xludf.DUMMYFUNCTION("""COMPUTED_VALUE"""),"")</f>
        <v/>
      </c>
      <c r="E9855" s="17" t="str">
        <f>IFERROR(__xludf.DUMMYFUNCTION("""COMPUTED_VALUE"""),"")</f>
        <v/>
      </c>
      <c r="F9855" s="17" t="str">
        <f>IFERROR(__xludf.DUMMYFUNCTION("""COMPUTED_VALUE"""),"")</f>
        <v/>
      </c>
      <c r="G9855" s="17" t="str">
        <f>IFERROR(__xludf.DUMMYFUNCTION("""COMPUTED_VALUE"""),"")</f>
        <v/>
      </c>
      <c r="H9855" s="17" t="str">
        <f>IFERROR(__xludf.DUMMYFUNCTION("""COMPUTED_VALUE"""),"")</f>
        <v/>
      </c>
      <c r="I9855" s="17" t="str">
        <f>IFERROR(__xludf.DUMMYFUNCTION("""COMPUTED_VALUE"""),"")</f>
        <v/>
      </c>
      <c r="J9855" s="17" t="str">
        <f>IFERROR(__xludf.DUMMYFUNCTION("""COMPUTED_VALUE"""),"")</f>
        <v/>
      </c>
      <c r="K9855" s="17" t="str">
        <f>IFERROR(__xludf.DUMMYFUNCTION("""COMPUTED_VALUE"""),"")</f>
        <v/>
      </c>
      <c r="L9855" s="17" t="str">
        <f>IFERROR(__xludf.DUMMYFUNCTION("""COMPUTED_VALUE"""),"")</f>
        <v/>
      </c>
      <c r="M9855" s="17" t="str">
        <f>IFERROR(__xludf.DUMMYFUNCTION("""COMPUTED_VALUE"""),"")</f>
        <v/>
      </c>
      <c r="N9855" s="17" t="str">
        <f>IFERROR(__xludf.DUMMYFUNCTION("""COMPUTED_VALUE"""),"")</f>
        <v/>
      </c>
      <c r="O9855" s="17" t="str">
        <f>IFERROR(__xludf.DUMMYFUNCTION("""COMPUTED_VALUE"""),"")</f>
        <v/>
      </c>
      <c r="P9855" s="17" t="str">
        <f>IFERROR(__xludf.DUMMYFUNCTION("""COMPUTED_VALUE"""),"")</f>
        <v/>
      </c>
      <c r="Q9855" s="17" t="str">
        <f>IFERROR(__xludf.DUMMYFUNCTION("""COMPUTED_VALUE"""),"")</f>
        <v/>
      </c>
      <c r="R9855" s="17" t="str">
        <f>IFERROR(__xludf.DUMMYFUNCTION("""COMPUTED_VALUE"""),"")</f>
        <v/>
      </c>
    </row>
    <row r="9856">
      <c r="A9856" s="15">
        <f>IFERROR(__xludf.DUMMYFUNCTION("""COMPUTED_VALUE"""),45279.0)</f>
        <v>45279</v>
      </c>
      <c r="B9856" s="16" t="str">
        <f>IFERROR(__xludf.DUMMYFUNCTION("""COMPUTED_VALUE"""),"Kevin Andrés puerta Jaramillo")</f>
        <v>Kevin Andrés puerta Jaramillo</v>
      </c>
      <c r="C9856" s="15" t="str">
        <f>IFERROR(__xludf.DUMMYFUNCTION("""COMPUTED_VALUE"""),"MEDELLÍN")</f>
        <v>MEDELLÍN</v>
      </c>
      <c r="D9856" s="15" t="str">
        <f>IFERROR(__xludf.DUMMYFUNCTION("""COMPUTED_VALUE"""),"BOGOTÁ")</f>
        <v>BOGOTÁ</v>
      </c>
      <c r="E9856" s="15" t="str">
        <f>IFERROR(__xludf.DUMMYFUNCTION("""COMPUTED_VALUE"""),"Hiiva Fermentados SAS")</f>
        <v>Hiiva Fermentados SAS</v>
      </c>
      <c r="F9856" s="17" t="str">
        <f>IFERROR(__xludf.DUMMYFUNCTION("""COMPUTED_VALUE"""),"Calle 98 #50b-19 primer piso / Preguntar por Doña Fabiola")</f>
        <v>Calle 98 #50b-19 primer piso / Preguntar por Doña Fabiola</v>
      </c>
      <c r="G9856" s="15" t="str">
        <f>IFERROR(__xludf.DUMMYFUNCTION("""COMPUTED_VALUE"""),"Bayron")</f>
        <v>Bayron</v>
      </c>
      <c r="H9856" s="16">
        <f>IFERROR(__xludf.DUMMYFUNCTION("""COMPUTED_VALUE"""),18552.0)</f>
        <v>18552</v>
      </c>
      <c r="I9856" s="17"/>
      <c r="J9856" s="17"/>
      <c r="K9856" s="17"/>
      <c r="L9856" s="17">
        <f>IFERROR(__xludf.DUMMYFUNCTION("""COMPUTED_VALUE"""),3.166261966E9)</f>
        <v>3166261966</v>
      </c>
      <c r="M9856" s="17"/>
      <c r="N9856" s="17"/>
      <c r="O9856" s="17"/>
      <c r="P9856" s="17" t="b">
        <f>IFERROR(__xludf.DUMMYFUNCTION("""COMPUTED_VALUE"""),FALSE)</f>
        <v>0</v>
      </c>
      <c r="Q9856" s="20" t="str">
        <f>IFERROR(__xludf.DUMMYFUNCTION("""COMPUTED_VALUE"""),"")</f>
        <v/>
      </c>
      <c r="R9856" s="21" t="str">
        <f>IFERROR(__xludf.DUMMYFUNCTION("""COMPUTED_VALUE"""),"https://drive.google.com/file/d/1P6xycaYCVJIg4Lxk-nvFhgoJv5EFRZ3b/view?usp=drivesdk")</f>
        <v>https://drive.google.com/file/d/1P6xycaYCVJIg4Lxk-nvFhgoJv5EFRZ3b/view?usp=drivesdk</v>
      </c>
    </row>
    <row r="9857">
      <c r="A9857" s="15">
        <f>IFERROR(__xludf.DUMMYFUNCTION("""COMPUTED_VALUE"""),45279.0)</f>
        <v>45279</v>
      </c>
      <c r="B9857" s="16" t="str">
        <f>IFERROR(__xludf.DUMMYFUNCTION("""COMPUTED_VALUE"""),"Kevin Andrés puerta Jaramillo")</f>
        <v>Kevin Andrés puerta Jaramillo</v>
      </c>
      <c r="C9857" s="15" t="str">
        <f>IFERROR(__xludf.DUMMYFUNCTION("""COMPUTED_VALUE"""),"MEDELLÍN")</f>
        <v>MEDELLÍN</v>
      </c>
      <c r="D9857" s="15" t="str">
        <f>IFERROR(__xludf.DUMMYFUNCTION("""COMPUTED_VALUE"""),"BOGOTÁ")</f>
        <v>BOGOTÁ</v>
      </c>
      <c r="E9857" s="15" t="str">
        <f>IFERROR(__xludf.DUMMYFUNCTION("""COMPUTED_VALUE"""),"Hiiva Fermentados SAS")</f>
        <v>Hiiva Fermentados SAS</v>
      </c>
      <c r="F9857" s="17" t="str">
        <f>IFERROR(__xludf.DUMMYFUNCTION("""COMPUTED_VALUE"""),"CR 42 # 08 -39 / LC PISO 1, siempre se envia copia de factura para que el cliente la firme")</f>
        <v>CR 42 # 08 -39 / LC PISO 1, siempre se envia copia de factura para que el cliente la firme</v>
      </c>
      <c r="G9857" s="15" t="str">
        <f>IFERROR(__xludf.DUMMYFUNCTION("""COMPUTED_VALUE"""),"Real Vegetal")</f>
        <v>Real Vegetal</v>
      </c>
      <c r="H9857" s="16">
        <f>IFERROR(__xludf.DUMMYFUNCTION("""COMPUTED_VALUE"""),18551.0)</f>
        <v>18551</v>
      </c>
      <c r="I9857" s="17"/>
      <c r="J9857" s="17"/>
      <c r="K9857" s="17"/>
      <c r="L9857" s="17">
        <f>IFERROR(__xludf.DUMMYFUNCTION("""COMPUTED_VALUE"""),3.116345472E9)</f>
        <v>3116345472</v>
      </c>
      <c r="M9857" s="17"/>
      <c r="N9857" s="17"/>
      <c r="O9857" s="17"/>
      <c r="P9857" s="17" t="b">
        <f>IFERROR(__xludf.DUMMYFUNCTION("""COMPUTED_VALUE"""),FALSE)</f>
        <v>0</v>
      </c>
      <c r="Q9857" s="20" t="str">
        <f>IFERROR(__xludf.DUMMYFUNCTION("""COMPUTED_VALUE"""),"")</f>
        <v/>
      </c>
      <c r="R9857" s="21" t="str">
        <f>IFERROR(__xludf.DUMMYFUNCTION("""COMPUTED_VALUE"""),"https://drive.google.com/file/d/18XK9OEFzoaZZMNyJ4wZuB9MgiLsv20zl/view?usp=drivesdk")</f>
        <v>https://drive.google.com/file/d/18XK9OEFzoaZZMNyJ4wZuB9MgiLsv20zl/view?usp=drivesdk</v>
      </c>
    </row>
    <row r="9858">
      <c r="A9858" s="15">
        <f>IFERROR(__xludf.DUMMYFUNCTION("""COMPUTED_VALUE"""),45279.0)</f>
        <v>45279</v>
      </c>
      <c r="B9858" s="16" t="str">
        <f>IFERROR(__xludf.DUMMYFUNCTION("""COMPUTED_VALUE"""),"Kevin Andrés puerta Jaramillo")</f>
        <v>Kevin Andrés puerta Jaramillo</v>
      </c>
      <c r="C9858" s="15" t="str">
        <f>IFERROR(__xludf.DUMMYFUNCTION("""COMPUTED_VALUE"""),"MEDELLÍN")</f>
        <v>MEDELLÍN</v>
      </c>
      <c r="D9858" s="15" t="str">
        <f>IFERROR(__xludf.DUMMYFUNCTION("""COMPUTED_VALUE"""),"BOGOTÁ")</f>
        <v>BOGOTÁ</v>
      </c>
      <c r="E9858" s="15" t="str">
        <f>IFERROR(__xludf.DUMMYFUNCTION("""COMPUTED_VALUE"""),"LINA PAOLA RAMIREZ GOMEZ - EVA MAZZITA")</f>
        <v>LINA PAOLA RAMIREZ GOMEZ - EVA MAZZITA</v>
      </c>
      <c r="F9858" s="17" t="str">
        <f>IFERROR(__xludf.DUMMYFUNCTION("""COMPUTED_VALUE"""),"CRA 15 BA No. 34D - 44 / INT 201")</f>
        <v>CRA 15 BA No. 34D - 44 / INT 201</v>
      </c>
      <c r="G9858" s="15" t="str">
        <f>IFERROR(__xludf.DUMMYFUNCTION("""COMPUTED_VALUE"""),"DANIELA BEDOYA BLANDON")</f>
        <v>DANIELA BEDOYA BLANDON</v>
      </c>
      <c r="H9858" s="16">
        <f>IFERROR(__xludf.DUMMYFUNCTION("""COMPUTED_VALUE"""),18535.0)</f>
        <v>18535</v>
      </c>
      <c r="I9858" s="17"/>
      <c r="J9858" s="17"/>
      <c r="K9858" s="17"/>
      <c r="L9858" s="17">
        <f>IFERROR(__xludf.DUMMYFUNCTION("""COMPUTED_VALUE"""),3.14672822E9)</f>
        <v>3146728220</v>
      </c>
      <c r="M9858" s="17"/>
      <c r="N9858" s="17"/>
      <c r="O9858" s="17"/>
      <c r="P9858" s="17" t="b">
        <f>IFERROR(__xludf.DUMMYFUNCTION("""COMPUTED_VALUE"""),FALSE)</f>
        <v>0</v>
      </c>
      <c r="Q9858" s="20" t="str">
        <f>IFERROR(__xludf.DUMMYFUNCTION("""COMPUTED_VALUE"""),"")</f>
        <v/>
      </c>
      <c r="R9858" s="21" t="str">
        <f>IFERROR(__xludf.DUMMYFUNCTION("""COMPUTED_VALUE"""),"https://drive.google.com/file/d/19k4biKgYVK3HSKNzcEZbbrKdAF309aZN/view?usp=drivesdk")</f>
        <v>https://drive.google.com/file/d/19k4biKgYVK3HSKNzcEZbbrKdAF309aZN/view?usp=drivesdk</v>
      </c>
    </row>
    <row r="9859">
      <c r="A9859" s="15">
        <f>IFERROR(__xludf.DUMMYFUNCTION("""COMPUTED_VALUE"""),45279.0)</f>
        <v>45279</v>
      </c>
      <c r="B9859" s="16" t="str">
        <f>IFERROR(__xludf.DUMMYFUNCTION("""COMPUTED_VALUE"""),"Kevin Andrés puerta Jaramillo")</f>
        <v>Kevin Andrés puerta Jaramillo</v>
      </c>
      <c r="C9859" s="15" t="str">
        <f>IFERROR(__xludf.DUMMYFUNCTION("""COMPUTED_VALUE"""),"MEDELLÍN")</f>
        <v>MEDELLÍN</v>
      </c>
      <c r="D9859" s="15" t="str">
        <f>IFERROR(__xludf.DUMMYFUNCTION("""COMPUTED_VALUE"""),"BOGOTÁ")</f>
        <v>BOGOTÁ</v>
      </c>
      <c r="E9859" s="15" t="str">
        <f>IFERROR(__xludf.DUMMYFUNCTION("""COMPUTED_VALUE"""),"Loomifoods")</f>
        <v>Loomifoods</v>
      </c>
      <c r="F9859" s="17" t="str">
        <f>IFERROR(__xludf.DUMMYFUNCTION("""COMPUTED_VALUE"""),"Carrera 29# 16-201  / Apt  2004   / Edificio San Marcos  Poblado- palmas")</f>
        <v>Carrera 29# 16-201  / Apt  2004   / Edificio San Marcos  Poblado- palmas</v>
      </c>
      <c r="G9859" s="15" t="str">
        <f>IFERROR(__xludf.DUMMYFUNCTION("""COMPUTED_VALUE"""),"Betsy Carmona")</f>
        <v>Betsy Carmona</v>
      </c>
      <c r="H9859" s="16">
        <f>IFERROR(__xludf.DUMMYFUNCTION("""COMPUTED_VALUE"""),18556.0)</f>
        <v>18556</v>
      </c>
      <c r="I9859" s="18">
        <f>IFERROR(__xludf.DUMMYFUNCTION("""COMPUTED_VALUE"""),19.0)</f>
        <v>19</v>
      </c>
      <c r="J9859" s="18">
        <f>IFERROR(__xludf.DUMMYFUNCTION("""COMPUTED_VALUE"""),10.0)</f>
        <v>10</v>
      </c>
      <c r="K9859" s="18">
        <f>IFERROR(__xludf.DUMMYFUNCTION("""COMPUTED_VALUE"""),16.0)</f>
        <v>16</v>
      </c>
      <c r="L9859" s="17">
        <f>IFERROR(__xludf.DUMMYFUNCTION("""COMPUTED_VALUE"""),3.016883061E9)</f>
        <v>3016883061</v>
      </c>
      <c r="M9859" s="17"/>
      <c r="N9859" s="17"/>
      <c r="O9859" s="17"/>
      <c r="P9859" s="17" t="b">
        <f>IFERROR(__xludf.DUMMYFUNCTION("""COMPUTED_VALUE"""),FALSE)</f>
        <v>0</v>
      </c>
      <c r="Q9859" s="20" t="str">
        <f>IFERROR(__xludf.DUMMYFUNCTION("""COMPUTED_VALUE"""),"")</f>
        <v/>
      </c>
      <c r="R9859" s="21" t="str">
        <f>IFERROR(__xludf.DUMMYFUNCTION("""COMPUTED_VALUE"""),"https://drive.google.com/file/d/1ONwryMQcGz_VcmCJNEn20VVYn_0Y6VaM/view?usp=drivesdk")</f>
        <v>https://drive.google.com/file/d/1ONwryMQcGz_VcmCJNEn20VVYn_0Y6VaM/view?usp=drivesdk</v>
      </c>
    </row>
    <row r="9860">
      <c r="A9860" s="15">
        <f>IFERROR(__xludf.DUMMYFUNCTION("""COMPUTED_VALUE"""),45279.0)</f>
        <v>45279</v>
      </c>
      <c r="B9860" s="16" t="str">
        <f>IFERROR(__xludf.DUMMYFUNCTION("""COMPUTED_VALUE"""),"Kevin Andrés puerta Jaramillo")</f>
        <v>Kevin Andrés puerta Jaramillo</v>
      </c>
      <c r="C9860" s="15" t="str">
        <f>IFERROR(__xludf.DUMMYFUNCTION("""COMPUTED_VALUE"""),"MEDELLÍN")</f>
        <v>MEDELLÍN</v>
      </c>
      <c r="D9860" s="15" t="str">
        <f>IFERROR(__xludf.DUMMYFUNCTION("""COMPUTED_VALUE"""),"BOGOTÁ")</f>
        <v>BOGOTÁ</v>
      </c>
      <c r="E9860" s="15" t="str">
        <f>IFERROR(__xludf.DUMMYFUNCTION("""COMPUTED_VALUE"""),"PAN DE WAFFLE")</f>
        <v>PAN DE WAFFLE</v>
      </c>
      <c r="F9860" s="17" t="str">
        <f>IFERROR(__xludf.DUMMYFUNCTION("""COMPUTED_VALUE"""),"Carrera 39 # 59 - 32")</f>
        <v>Carrera 39 # 59 - 32</v>
      </c>
      <c r="G9860" s="15" t="str">
        <f>IFERROR(__xludf.DUMMYFUNCTION("""COMPUTED_VALUE"""),"FOODOLOGY - MEDELLIN")</f>
        <v>FOODOLOGY - MEDELLIN</v>
      </c>
      <c r="H9860" s="16">
        <f>IFERROR(__xludf.DUMMYFUNCTION("""COMPUTED_VALUE"""),18529.0)</f>
        <v>18529</v>
      </c>
      <c r="I9860" s="17"/>
      <c r="J9860" s="17"/>
      <c r="K9860" s="17"/>
      <c r="L9860" s="17">
        <f>IFERROR(__xludf.DUMMYFUNCTION("""COMPUTED_VALUE"""),3.123558292E9)</f>
        <v>3123558292</v>
      </c>
      <c r="M9860" s="17"/>
      <c r="N9860" s="17"/>
      <c r="O9860" s="17"/>
      <c r="P9860" s="17" t="b">
        <f>IFERROR(__xludf.DUMMYFUNCTION("""COMPUTED_VALUE"""),FALSE)</f>
        <v>0</v>
      </c>
      <c r="Q9860" s="20" t="str">
        <f>IFERROR(__xludf.DUMMYFUNCTION("""COMPUTED_VALUE"""),"")</f>
        <v/>
      </c>
      <c r="R9860" s="21" t="str">
        <f>IFERROR(__xludf.DUMMYFUNCTION("""COMPUTED_VALUE"""),"https://drive.google.com/file/d/1q2IXfLSgSNdJnVIj1hZIhYXgyXGiJMzK/view?usp=drivesdk")</f>
        <v>https://drive.google.com/file/d/1q2IXfLSgSNdJnVIj1hZIhYXgyXGiJMzK/view?usp=drivesdk</v>
      </c>
    </row>
    <row r="9861">
      <c r="A9861" s="15">
        <f>IFERROR(__xludf.DUMMYFUNCTION("""COMPUTED_VALUE"""),45279.0)</f>
        <v>45279</v>
      </c>
      <c r="B9861" s="16" t="str">
        <f>IFERROR(__xludf.DUMMYFUNCTION("""COMPUTED_VALUE"""),"Kevin Andrés puerta Jaramillo")</f>
        <v>Kevin Andrés puerta Jaramillo</v>
      </c>
      <c r="C9861" s="15" t="str">
        <f>IFERROR(__xludf.DUMMYFUNCTION("""COMPUTED_VALUE"""),"MEDELLÍN")</f>
        <v>MEDELLÍN</v>
      </c>
      <c r="D9861" s="15" t="str">
        <f>IFERROR(__xludf.DUMMYFUNCTION("""COMPUTED_VALUE"""),"BOGOTÁ")</f>
        <v>BOGOTÁ</v>
      </c>
      <c r="E9861" s="15" t="str">
        <f>IFERROR(__xludf.DUMMYFUNCTION("""COMPUTED_VALUE"""),"Spirulina Fresca")</f>
        <v>Spirulina Fresca</v>
      </c>
      <c r="F9861" s="17" t="str">
        <f>IFERROR(__xludf.DUMMYFUNCTION("""COMPUTED_VALUE"""),"Calle 5 Sur # 25 - 130 / apartamento 801 bloque 2  edificio parques de la campiña  / El poblado  Medellín")</f>
        <v>Calle 5 Sur # 25 - 130 / apartamento 801 bloque 2  edificio parques de la campiña  / El poblado  Medellín</v>
      </c>
      <c r="G9861" s="15" t="str">
        <f>IFERROR(__xludf.DUMMYFUNCTION("""COMPUTED_VALUE"""),"Luz Emilia De Bedout")</f>
        <v>Luz Emilia De Bedout</v>
      </c>
      <c r="H9861" s="16">
        <f>IFERROR(__xludf.DUMMYFUNCTION("""COMPUTED_VALUE"""),18510.0)</f>
        <v>18510</v>
      </c>
      <c r="I9861" s="18">
        <f>IFERROR(__xludf.DUMMYFUNCTION("""COMPUTED_VALUE"""),5.0)</f>
        <v>5</v>
      </c>
      <c r="J9861" s="18">
        <f>IFERROR(__xludf.DUMMYFUNCTION("""COMPUTED_VALUE"""),5.0)</f>
        <v>5</v>
      </c>
      <c r="K9861" s="18">
        <f>IFERROR(__xludf.DUMMYFUNCTION("""COMPUTED_VALUE"""),22.0)</f>
        <v>22</v>
      </c>
      <c r="L9861" s="17">
        <f>IFERROR(__xludf.DUMMYFUNCTION("""COMPUTED_VALUE"""),3.10895785E9)</f>
        <v>3108957850</v>
      </c>
      <c r="M9861" s="17"/>
      <c r="N9861" s="17"/>
      <c r="O9861" s="17"/>
      <c r="P9861" s="17" t="b">
        <f>IFERROR(__xludf.DUMMYFUNCTION("""COMPUTED_VALUE"""),FALSE)</f>
        <v>0</v>
      </c>
      <c r="Q9861" s="20" t="str">
        <f>IFERROR(__xludf.DUMMYFUNCTION("""COMPUTED_VALUE"""),"")</f>
        <v/>
      </c>
      <c r="R9861" s="21" t="str">
        <f>IFERROR(__xludf.DUMMYFUNCTION("""COMPUTED_VALUE"""),"https://drive.google.com/file/d/1RCfROcrZfUjIkxLuAaaTYPy-LTg281Gd/view?usp=drivesdk")</f>
        <v>https://drive.google.com/file/d/1RCfROcrZfUjIkxLuAaaTYPy-LTg281Gd/view?usp=drivesdk</v>
      </c>
    </row>
    <row r="9862">
      <c r="A9862" s="15">
        <f>IFERROR(__xludf.DUMMYFUNCTION("""COMPUTED_VALUE"""),45279.0)</f>
        <v>45279</v>
      </c>
      <c r="B9862" s="16" t="str">
        <f>IFERROR(__xludf.DUMMYFUNCTION("""COMPUTED_VALUE"""),"Kevin Andrés puerta Jaramillo")</f>
        <v>Kevin Andrés puerta Jaramillo</v>
      </c>
      <c r="C9862" s="15" t="str">
        <f>IFERROR(__xludf.DUMMYFUNCTION("""COMPUTED_VALUE"""),"MEDELLÍN")</f>
        <v>MEDELLÍN</v>
      </c>
      <c r="D9862" s="15" t="str">
        <f>IFERROR(__xludf.DUMMYFUNCTION("""COMPUTED_VALUE"""),"BOGOTÁ")</f>
        <v>BOGOTÁ</v>
      </c>
      <c r="E9862" s="15" t="str">
        <f>IFERROR(__xludf.DUMMYFUNCTION("""COMPUTED_VALUE"""),"Spirulina Fresca")</f>
        <v>Spirulina Fresca</v>
      </c>
      <c r="F9862" s="17" t="str">
        <f>IFERROR(__xludf.DUMMYFUNCTION("""COMPUTED_VALUE"""),"Carrera 72#15-10 / casa Primer piso,  / Belén las Playas, Medellin")</f>
        <v>Carrera 72#15-10 / casa Primer piso,  / Belén las Playas, Medellin</v>
      </c>
      <c r="G9862" s="15" t="str">
        <f>IFERROR(__xludf.DUMMYFUNCTION("""COMPUTED_VALUE"""),"Daniela Lara")</f>
        <v>Daniela Lara</v>
      </c>
      <c r="H9862" s="16">
        <f>IFERROR(__xludf.DUMMYFUNCTION("""COMPUTED_VALUE"""),18509.0)</f>
        <v>18509</v>
      </c>
      <c r="I9862" s="18">
        <f>IFERROR(__xludf.DUMMYFUNCTION("""COMPUTED_VALUE"""),5.0)</f>
        <v>5</v>
      </c>
      <c r="J9862" s="18">
        <f>IFERROR(__xludf.DUMMYFUNCTION("""COMPUTED_VALUE"""),5.0)</f>
        <v>5</v>
      </c>
      <c r="K9862" s="18">
        <f>IFERROR(__xludf.DUMMYFUNCTION("""COMPUTED_VALUE"""),22.0)</f>
        <v>22</v>
      </c>
      <c r="L9862" s="17">
        <f>IFERROR(__xludf.DUMMYFUNCTION("""COMPUTED_VALUE"""),3.193510173E9)</f>
        <v>3193510173</v>
      </c>
      <c r="M9862" s="17"/>
      <c r="N9862" s="17"/>
      <c r="O9862" s="17"/>
      <c r="P9862" s="17" t="b">
        <f>IFERROR(__xludf.DUMMYFUNCTION("""COMPUTED_VALUE"""),FALSE)</f>
        <v>0</v>
      </c>
      <c r="Q9862" s="20" t="str">
        <f>IFERROR(__xludf.DUMMYFUNCTION("""COMPUTED_VALUE"""),"")</f>
        <v/>
      </c>
      <c r="R9862" s="21" t="str">
        <f>IFERROR(__xludf.DUMMYFUNCTION("""COMPUTED_VALUE"""),"https://drive.google.com/file/d/1KkbfmVrOR5Mt2aiyTfVljt8utlxHIVR4/view?usp=drivesdk")</f>
        <v>https://drive.google.com/file/d/1KkbfmVrOR5Mt2aiyTfVljt8utlxHIVR4/view?usp=drivesdk</v>
      </c>
    </row>
    <row r="9863">
      <c r="A9863" s="15">
        <f>IFERROR(__xludf.DUMMYFUNCTION("""COMPUTED_VALUE"""),45279.0)</f>
        <v>45279</v>
      </c>
      <c r="B9863" s="16" t="str">
        <f>IFERROR(__xludf.DUMMYFUNCTION("""COMPUTED_VALUE"""),"Kevin Andrés puerta Jaramillo")</f>
        <v>Kevin Andrés puerta Jaramillo</v>
      </c>
      <c r="C9863" s="15" t="str">
        <f>IFERROR(__xludf.DUMMYFUNCTION("""COMPUTED_VALUE"""),"MEDELLÍN")</f>
        <v>MEDELLÍN</v>
      </c>
      <c r="D9863" s="15" t="str">
        <f>IFERROR(__xludf.DUMMYFUNCTION("""COMPUTED_VALUE"""),"BOGOTÁ")</f>
        <v>BOGOTÁ</v>
      </c>
      <c r="E9863" s="15" t="str">
        <f>IFERROR(__xludf.DUMMYFUNCTION("""COMPUTED_VALUE"""),"THE SMOKED HOUSE SAS")</f>
        <v>THE SMOKED HOUSE SAS</v>
      </c>
      <c r="F9863" s="17" t="str">
        <f>IFERROR(__xludf.DUMMYFUNCTION("""COMPUTED_VALUE"""),"Calle 17 a sur # 44 - 170 Apto 1204 / Edificio Natuzzi Living")</f>
        <v>Calle 17 a sur # 44 - 170 Apto 1204 / Edificio Natuzzi Living</v>
      </c>
      <c r="G9863" s="15" t="str">
        <f>IFERROR(__xludf.DUMMYFUNCTION("""COMPUTED_VALUE"""),"Alejandro Escobar")</f>
        <v>Alejandro Escobar</v>
      </c>
      <c r="H9863" s="16">
        <f>IFERROR(__xludf.DUMMYFUNCTION("""COMPUTED_VALUE"""),18486.0)</f>
        <v>18486</v>
      </c>
      <c r="I9863" s="17"/>
      <c r="J9863" s="17"/>
      <c r="K9863" s="17"/>
      <c r="L9863" s="17">
        <f>IFERROR(__xludf.DUMMYFUNCTION("""COMPUTED_VALUE"""),3.118530023E9)</f>
        <v>3118530023</v>
      </c>
      <c r="M9863" s="17"/>
      <c r="N9863" s="17"/>
      <c r="O9863" s="17"/>
      <c r="P9863" s="17" t="b">
        <f>IFERROR(__xludf.DUMMYFUNCTION("""COMPUTED_VALUE"""),FALSE)</f>
        <v>0</v>
      </c>
      <c r="Q9863" s="20" t="str">
        <f>IFERROR(__xludf.DUMMYFUNCTION("""COMPUTED_VALUE"""),"")</f>
        <v/>
      </c>
      <c r="R9863" s="21" t="str">
        <f>IFERROR(__xludf.DUMMYFUNCTION("""COMPUTED_VALUE"""),"https://drive.google.com/file/d/18cIGYhusahDsSFH-aU7F2tJMiqlPlqoV/view?usp=drivesdk")</f>
        <v>https://drive.google.com/file/d/18cIGYhusahDsSFH-aU7F2tJMiqlPlqoV/view?usp=drivesdk</v>
      </c>
    </row>
    <row r="9864">
      <c r="A9864" s="15">
        <f>IFERROR(__xludf.DUMMYFUNCTION("""COMPUTED_VALUE"""),45279.0)</f>
        <v>45279</v>
      </c>
      <c r="B9864" s="16" t="str">
        <f>IFERROR(__xludf.DUMMYFUNCTION("""COMPUTED_VALUE"""),"Kevin Andrés puerta Jaramillo")</f>
        <v>Kevin Andrés puerta Jaramillo</v>
      </c>
      <c r="C9864" s="15" t="str">
        <f>IFERROR(__xludf.DUMMYFUNCTION("""COMPUTED_VALUE"""),"MEDELLÍN")</f>
        <v>MEDELLÍN</v>
      </c>
      <c r="D9864" s="15" t="str">
        <f>IFERROR(__xludf.DUMMYFUNCTION("""COMPUTED_VALUE"""),"BOGOTÁ")</f>
        <v>BOGOTÁ</v>
      </c>
      <c r="E9864" s="15" t="str">
        <f>IFERROR(__xludf.DUMMYFUNCTION("""COMPUTED_VALUE"""),"THE SMOKED HOUSE SAS")</f>
        <v>THE SMOKED HOUSE SAS</v>
      </c>
      <c r="F9864" s="17" t="str">
        <f>IFERROR(__xludf.DUMMYFUNCTION("""COMPUTED_VALUE"""),"Carrera 18 # 1 - 171 Apto 1907 / Urbanización Arezzo")</f>
        <v>Carrera 18 # 1 - 171 Apto 1907 / Urbanización Arezzo</v>
      </c>
      <c r="G9864" s="15" t="str">
        <f>IFERROR(__xludf.DUMMYFUNCTION("""COMPUTED_VALUE"""),"Juan Camilo Botero")</f>
        <v>Juan Camilo Botero</v>
      </c>
      <c r="H9864" s="16">
        <f>IFERROR(__xludf.DUMMYFUNCTION("""COMPUTED_VALUE"""),18485.0)</f>
        <v>18485</v>
      </c>
      <c r="I9864" s="17"/>
      <c r="J9864" s="17"/>
      <c r="K9864" s="17"/>
      <c r="L9864" s="17">
        <f>IFERROR(__xludf.DUMMYFUNCTION("""COMPUTED_VALUE"""),3.226094433E9)</f>
        <v>3226094433</v>
      </c>
      <c r="M9864" s="17"/>
      <c r="N9864" s="17"/>
      <c r="O9864" s="17"/>
      <c r="P9864" s="17" t="b">
        <f>IFERROR(__xludf.DUMMYFUNCTION("""COMPUTED_VALUE"""),FALSE)</f>
        <v>0</v>
      </c>
      <c r="Q9864" s="20" t="str">
        <f>IFERROR(__xludf.DUMMYFUNCTION("""COMPUTED_VALUE"""),"")</f>
        <v/>
      </c>
      <c r="R9864" s="21" t="str">
        <f>IFERROR(__xludf.DUMMYFUNCTION("""COMPUTED_VALUE"""),"https://drive.google.com/file/d/18RWfGekY4iJ32l7FmgYvXXzWGeqbUSQS/view?usp=drivesdk")</f>
        <v>https://drive.google.com/file/d/18RWfGekY4iJ32l7FmgYvXXzWGeqbUSQS/view?usp=drivesdk</v>
      </c>
    </row>
    <row r="9865">
      <c r="A9865" s="15">
        <f>IFERROR(__xludf.DUMMYFUNCTION("""COMPUTED_VALUE"""),45279.0)</f>
        <v>45279</v>
      </c>
      <c r="B9865" s="16" t="str">
        <f>IFERROR(__xludf.DUMMYFUNCTION("""COMPUTED_VALUE"""),"Kevin Andrés puerta Jaramillo")</f>
        <v>Kevin Andrés puerta Jaramillo</v>
      </c>
      <c r="C9865" s="15" t="str">
        <f>IFERROR(__xludf.DUMMYFUNCTION("""COMPUTED_VALUE"""),"MEDELLÍN")</f>
        <v>MEDELLÍN</v>
      </c>
      <c r="D9865" s="15" t="str">
        <f>IFERROR(__xludf.DUMMYFUNCTION("""COMPUTED_VALUE"""),"BOGOTÁ")</f>
        <v>BOGOTÁ</v>
      </c>
      <c r="E9865" s="15" t="str">
        <f>IFERROR(__xludf.DUMMYFUNCTION("""COMPUTED_VALUE"""),"THE SMOKED HOUSE SAS")</f>
        <v>THE SMOKED HOUSE SAS</v>
      </c>
      <c r="F9865" s="17" t="str">
        <f>IFERROR(__xludf.DUMMYFUNCTION("""COMPUTED_VALUE"""),"Carrera 82 C # 30 A - 100 Apto 1305 / Unidad Residencial Torres de Vicuña")</f>
        <v>Carrera 82 C # 30 A - 100 Apto 1305 / Unidad Residencial Torres de Vicuña</v>
      </c>
      <c r="G9865" s="15" t="str">
        <f>IFERROR(__xludf.DUMMYFUNCTION("""COMPUTED_VALUE"""),"Ana Upegui")</f>
        <v>Ana Upegui</v>
      </c>
      <c r="H9865" s="16">
        <f>IFERROR(__xludf.DUMMYFUNCTION("""COMPUTED_VALUE"""),18484.0)</f>
        <v>18484</v>
      </c>
      <c r="I9865" s="17"/>
      <c r="J9865" s="17"/>
      <c r="K9865" s="17"/>
      <c r="L9865" s="17">
        <f>IFERROR(__xludf.DUMMYFUNCTION("""COMPUTED_VALUE"""),3.128632907E9)</f>
        <v>3128632907</v>
      </c>
      <c r="M9865" s="17"/>
      <c r="N9865" s="17"/>
      <c r="O9865" s="17"/>
      <c r="P9865" s="17" t="b">
        <f>IFERROR(__xludf.DUMMYFUNCTION("""COMPUTED_VALUE"""),FALSE)</f>
        <v>0</v>
      </c>
      <c r="Q9865" s="20" t="str">
        <f>IFERROR(__xludf.DUMMYFUNCTION("""COMPUTED_VALUE"""),"")</f>
        <v/>
      </c>
      <c r="R9865" s="21" t="str">
        <f>IFERROR(__xludf.DUMMYFUNCTION("""COMPUTED_VALUE"""),"https://drive.google.com/file/d/1rFLdf2N_gmXLDMORPRh6BYegT2EZFTry/view?usp=drivesdk")</f>
        <v>https://drive.google.com/file/d/1rFLdf2N_gmXLDMORPRh6BYegT2EZFTry/view?usp=drivesdk</v>
      </c>
    </row>
    <row r="9866">
      <c r="A9866" s="15">
        <f>IFERROR(__xludf.DUMMYFUNCTION("""COMPUTED_VALUE"""),45279.0)</f>
        <v>45279</v>
      </c>
      <c r="B9866" s="16" t="str">
        <f>IFERROR(__xludf.DUMMYFUNCTION("""COMPUTED_VALUE"""),"Kevin Andrés puerta Jaramillo")</f>
        <v>Kevin Andrés puerta Jaramillo</v>
      </c>
      <c r="C9866" s="15" t="str">
        <f>IFERROR(__xludf.DUMMYFUNCTION("""COMPUTED_VALUE"""),"MEDELLÍN")</f>
        <v>MEDELLÍN</v>
      </c>
      <c r="D9866" s="15" t="str">
        <f>IFERROR(__xludf.DUMMYFUNCTION("""COMPUTED_VALUE"""),"BOGOTÁ")</f>
        <v>BOGOTÁ</v>
      </c>
      <c r="E9866" s="15" t="str">
        <f>IFERROR(__xludf.DUMMYFUNCTION("""COMPUTED_VALUE"""),"Top Spun")</f>
        <v>Top Spun</v>
      </c>
      <c r="F9866" s="17" t="str">
        <f>IFERROR(__xludf.DUMMYFUNCTION("""COMPUTED_VALUE"""),"Carrera 76 D # 110 A 09 / barrio santander detrás de la Parroquia San Juan Bautista  Casa tercer piso  /  barrio santander")</f>
        <v>Carrera 76 D # 110 A 09 / barrio santander detrás de la Parroquia San Juan Bautista  Casa tercer piso  /  barrio santander</v>
      </c>
      <c r="G9866" s="15" t="str">
        <f>IFERROR(__xludf.DUMMYFUNCTION("""COMPUTED_VALUE"""),"Marcela Henao")</f>
        <v>Marcela Henao</v>
      </c>
      <c r="H9866" s="16">
        <f>IFERROR(__xludf.DUMMYFUNCTION("""COMPUTED_VALUE"""),18470.0)</f>
        <v>18470</v>
      </c>
      <c r="I9866" s="18">
        <f>IFERROR(__xludf.DUMMYFUNCTION("""COMPUTED_VALUE"""),10.0)</f>
        <v>10</v>
      </c>
      <c r="J9866" s="18">
        <f>IFERROR(__xludf.DUMMYFUNCTION("""COMPUTED_VALUE"""),20.0)</f>
        <v>20</v>
      </c>
      <c r="K9866" s="18">
        <f>IFERROR(__xludf.DUMMYFUNCTION("""COMPUTED_VALUE"""),40.0)</f>
        <v>40</v>
      </c>
      <c r="L9866" s="17">
        <f>IFERROR(__xludf.DUMMYFUNCTION("""COMPUTED_VALUE"""),3.014476038E9)</f>
        <v>3014476038</v>
      </c>
      <c r="M9866" s="17"/>
      <c r="N9866" s="17"/>
      <c r="O9866" s="17"/>
      <c r="P9866" s="17" t="b">
        <f>IFERROR(__xludf.DUMMYFUNCTION("""COMPUTED_VALUE"""),FALSE)</f>
        <v>0</v>
      </c>
      <c r="Q9866" s="20" t="str">
        <f>IFERROR(__xludf.DUMMYFUNCTION("""COMPUTED_VALUE"""),"")</f>
        <v/>
      </c>
      <c r="R9866" s="21" t="str">
        <f>IFERROR(__xludf.DUMMYFUNCTION("""COMPUTED_VALUE"""),"https://drive.google.com/file/d/1mfjquiRDK7VNG_fhhMo8thNei2Obyu5K/view?usp=drivesdk")</f>
        <v>https://drive.google.com/file/d/1mfjquiRDK7VNG_fhhMo8thNei2Obyu5K/view?usp=drivesdk</v>
      </c>
    </row>
    <row r="9867">
      <c r="A9867" s="15">
        <f>IFERROR(__xludf.DUMMYFUNCTION("""COMPUTED_VALUE"""),45279.0)</f>
        <v>45279</v>
      </c>
      <c r="B9867" s="16" t="str">
        <f>IFERROR(__xludf.DUMMYFUNCTION("""COMPUTED_VALUE"""),"Kevin Andrés puerta Jaramillo")</f>
        <v>Kevin Andrés puerta Jaramillo</v>
      </c>
      <c r="C9867" s="15" t="str">
        <f>IFERROR(__xludf.DUMMYFUNCTION("""COMPUTED_VALUE"""),"MEDELLÍN")</f>
        <v>MEDELLÍN</v>
      </c>
      <c r="D9867" s="15" t="str">
        <f>IFERROR(__xludf.DUMMYFUNCTION("""COMPUTED_VALUE"""),"BOGOTÁ")</f>
        <v>BOGOTÁ</v>
      </c>
      <c r="E9867" s="15" t="str">
        <f>IFERROR(__xludf.DUMMYFUNCTION("""COMPUTED_VALUE"""),"Travolge")</f>
        <v>Travolge</v>
      </c>
      <c r="F9867" s="17" t="str">
        <f>IFERROR(__xludf.DUMMYFUNCTION("""COMPUTED_VALUE"""),"Calle 20a sur #22a-67 / CASA/APTO 802")</f>
        <v>Calle 20a sur #22a-67 / CASA/APTO 802</v>
      </c>
      <c r="G9867" s="15" t="str">
        <f>IFERROR(__xludf.DUMMYFUNCTION("""COMPUTED_VALUE"""),"LAURA POLANIA")</f>
        <v>LAURA POLANIA</v>
      </c>
      <c r="H9867" s="16">
        <f>IFERROR(__xludf.DUMMYFUNCTION("""COMPUTED_VALUE"""),18525.0)</f>
        <v>18525</v>
      </c>
      <c r="I9867" s="17"/>
      <c r="J9867" s="17"/>
      <c r="K9867" s="17"/>
      <c r="L9867" s="17">
        <f>IFERROR(__xludf.DUMMYFUNCTION("""COMPUTED_VALUE"""),3.212199954E9)</f>
        <v>3212199954</v>
      </c>
      <c r="M9867" s="17"/>
      <c r="N9867" s="17"/>
      <c r="O9867" s="17"/>
      <c r="P9867" s="17" t="b">
        <f>IFERROR(__xludf.DUMMYFUNCTION("""COMPUTED_VALUE"""),FALSE)</f>
        <v>0</v>
      </c>
      <c r="Q9867" s="20" t="str">
        <f>IFERROR(__xludf.DUMMYFUNCTION("""COMPUTED_VALUE"""),"")</f>
        <v/>
      </c>
      <c r="R9867" s="21" t="str">
        <f>IFERROR(__xludf.DUMMYFUNCTION("""COMPUTED_VALUE"""),"https://drive.google.com/file/d/1jM3AY0kYxtaIk4arAxwbZ26SdYLMblcU/view?usp=drivesdk")</f>
        <v>https://drive.google.com/file/d/1jM3AY0kYxtaIk4arAxwbZ26SdYLMblcU/view?usp=drivesdk</v>
      </c>
    </row>
    <row r="9868">
      <c r="A9868" s="15">
        <f>IFERROR(__xludf.DUMMYFUNCTION("""COMPUTED_VALUE"""),45279.0)</f>
        <v>45279</v>
      </c>
      <c r="B9868" s="16" t="str">
        <f>IFERROR(__xludf.DUMMYFUNCTION("""COMPUTED_VALUE"""),"Kevin Andrés puerta Jaramillo")</f>
        <v>Kevin Andrés puerta Jaramillo</v>
      </c>
      <c r="C9868" s="15" t="str">
        <f>IFERROR(__xludf.DUMMYFUNCTION("""COMPUTED_VALUE"""),"MEDELLÍN")</f>
        <v>MEDELLÍN</v>
      </c>
      <c r="D9868" s="15" t="str">
        <f>IFERROR(__xludf.DUMMYFUNCTION("""COMPUTED_VALUE"""),"BOGOTÁ")</f>
        <v>BOGOTÁ</v>
      </c>
      <c r="E9868" s="15" t="str">
        <f>IFERROR(__xludf.DUMMYFUNCTION("""COMPUTED_VALUE"""),"Ventura Productos Arg")</f>
        <v>Ventura Productos Arg</v>
      </c>
      <c r="F9868" s="17" t="str">
        <f>IFERROR(__xludf.DUMMYFUNCTION("""COMPUTED_VALUE"""),"Calle 8 Sur # 32-120 / Conjunto casa mediterránea Casa 138")</f>
        <v>Calle 8 Sur # 32-120 / Conjunto casa mediterránea Casa 138</v>
      </c>
      <c r="G9868" s="15" t="str">
        <f>IFERROR(__xludf.DUMMYFUNCTION("""COMPUTED_VALUE"""),"Paula Tatiana Cataño")</f>
        <v>Paula Tatiana Cataño</v>
      </c>
      <c r="H9868" s="16">
        <f>IFERROR(__xludf.DUMMYFUNCTION("""COMPUTED_VALUE"""),18480.0)</f>
        <v>18480</v>
      </c>
      <c r="I9868" s="17"/>
      <c r="J9868" s="17"/>
      <c r="K9868" s="17"/>
      <c r="L9868" s="17"/>
      <c r="M9868" s="17"/>
      <c r="N9868" s="17"/>
      <c r="O9868" s="17"/>
      <c r="P9868" s="17" t="b">
        <f>IFERROR(__xludf.DUMMYFUNCTION("""COMPUTED_VALUE"""),FALSE)</f>
        <v>0</v>
      </c>
      <c r="Q9868" s="20" t="str">
        <f>IFERROR(__xludf.DUMMYFUNCTION("""COMPUTED_VALUE"""),"")</f>
        <v/>
      </c>
      <c r="R9868" s="21" t="str">
        <f>IFERROR(__xludf.DUMMYFUNCTION("""COMPUTED_VALUE"""),"https://drive.google.com/file/d/1VqdqPUxqSRH2GU58ovWb_ik7FMFZ1IPK/view?usp=drivesdk")</f>
        <v>https://drive.google.com/file/d/1VqdqPUxqSRH2GU58ovWb_ik7FMFZ1IPK/view?usp=drivesdk</v>
      </c>
    </row>
    <row r="9869">
      <c r="A9869" s="15">
        <f>IFERROR(__xludf.DUMMYFUNCTION("""COMPUTED_VALUE"""),45279.0)</f>
        <v>45279</v>
      </c>
      <c r="B9869" s="16" t="str">
        <f>IFERROR(__xludf.DUMMYFUNCTION("""COMPUTED_VALUE"""),"Kevin Andrés puerta Jaramillo")</f>
        <v>Kevin Andrés puerta Jaramillo</v>
      </c>
      <c r="C9869" s="15" t="str">
        <f>IFERROR(__xludf.DUMMYFUNCTION("""COMPUTED_VALUE"""),"SABANETA")</f>
        <v>SABANETA</v>
      </c>
      <c r="D9869" s="15" t="str">
        <f>IFERROR(__xludf.DUMMYFUNCTION("""COMPUTED_VALUE"""),"BOGOTÁ")</f>
        <v>BOGOTÁ</v>
      </c>
      <c r="E9869" s="15" t="str">
        <f>IFERROR(__xludf.DUMMYFUNCTION("""COMPUTED_VALUE"""),"THE SMOKED HOUSE SAS")</f>
        <v>THE SMOKED HOUSE SAS</v>
      </c>
      <c r="F9869" s="17" t="str">
        <f>IFERROR(__xludf.DUMMYFUNCTION("""COMPUTED_VALUE"""),"Carrera 43 A # 61 Sur - 152 Bodega 179 / Ciudadela Industrial Sabaneta")</f>
        <v>Carrera 43 A # 61 Sur - 152 Bodega 179 / Ciudadela Industrial Sabaneta</v>
      </c>
      <c r="G9869" s="15" t="str">
        <f>IFERROR(__xludf.DUMMYFUNCTION("""COMPUTED_VALUE"""),"Fernanda Prada")</f>
        <v>Fernanda Prada</v>
      </c>
      <c r="H9869" s="16">
        <f>IFERROR(__xludf.DUMMYFUNCTION("""COMPUTED_VALUE"""),18487.0)</f>
        <v>18487</v>
      </c>
      <c r="I9869" s="17"/>
      <c r="J9869" s="17"/>
      <c r="K9869" s="17"/>
      <c r="L9869" s="17">
        <f>IFERROR(__xludf.DUMMYFUNCTION("""COMPUTED_VALUE"""),3.226094433E9)</f>
        <v>3226094433</v>
      </c>
      <c r="M9869" s="17"/>
      <c r="N9869" s="17"/>
      <c r="O9869" s="17"/>
      <c r="P9869" s="17" t="b">
        <f>IFERROR(__xludf.DUMMYFUNCTION("""COMPUTED_VALUE"""),FALSE)</f>
        <v>0</v>
      </c>
      <c r="Q9869" s="20" t="str">
        <f>IFERROR(__xludf.DUMMYFUNCTION("""COMPUTED_VALUE"""),"")</f>
        <v/>
      </c>
      <c r="R9869" s="21" t="str">
        <f>IFERROR(__xludf.DUMMYFUNCTION("""COMPUTED_VALUE"""),"https://drive.google.com/file/d/1rWllKosETTWp0rPbK4HovhkepPXitVgP/view?usp=drivesdk")</f>
        <v>https://drive.google.com/file/d/1rWllKosETTWp0rPbK4HovhkepPXitVgP/view?usp=drivesdk</v>
      </c>
    </row>
    <row r="9870">
      <c r="A9870" s="17" t="str">
        <f>IFERROR(__xludf.DUMMYFUNCTION("""COMPUTED_VALUE"""),"")</f>
        <v/>
      </c>
      <c r="B9870" s="17" t="str">
        <f>IFERROR(__xludf.DUMMYFUNCTION("""COMPUTED_VALUE"""),"")</f>
        <v/>
      </c>
      <c r="C9870" s="17" t="str">
        <f>IFERROR(__xludf.DUMMYFUNCTION("""COMPUTED_VALUE"""),"")</f>
        <v/>
      </c>
      <c r="D9870" s="17" t="str">
        <f>IFERROR(__xludf.DUMMYFUNCTION("""COMPUTED_VALUE"""),"")</f>
        <v/>
      </c>
      <c r="E9870" s="17" t="str">
        <f>IFERROR(__xludf.DUMMYFUNCTION("""COMPUTED_VALUE"""),"")</f>
        <v/>
      </c>
      <c r="F9870" s="17" t="str">
        <f>IFERROR(__xludf.DUMMYFUNCTION("""COMPUTED_VALUE"""),"")</f>
        <v/>
      </c>
      <c r="G9870" s="17" t="str">
        <f>IFERROR(__xludf.DUMMYFUNCTION("""COMPUTED_VALUE"""),"")</f>
        <v/>
      </c>
      <c r="H9870" s="17" t="str">
        <f>IFERROR(__xludf.DUMMYFUNCTION("""COMPUTED_VALUE"""),"")</f>
        <v/>
      </c>
      <c r="I9870" s="17" t="str">
        <f>IFERROR(__xludf.DUMMYFUNCTION("""COMPUTED_VALUE"""),"")</f>
        <v/>
      </c>
      <c r="J9870" s="17" t="str">
        <f>IFERROR(__xludf.DUMMYFUNCTION("""COMPUTED_VALUE"""),"")</f>
        <v/>
      </c>
      <c r="K9870" s="17" t="str">
        <f>IFERROR(__xludf.DUMMYFUNCTION("""COMPUTED_VALUE"""),"")</f>
        <v/>
      </c>
      <c r="L9870" s="17" t="str">
        <f>IFERROR(__xludf.DUMMYFUNCTION("""COMPUTED_VALUE"""),"")</f>
        <v/>
      </c>
      <c r="M9870" s="17" t="str">
        <f>IFERROR(__xludf.DUMMYFUNCTION("""COMPUTED_VALUE"""),"")</f>
        <v/>
      </c>
      <c r="N9870" s="17" t="str">
        <f>IFERROR(__xludf.DUMMYFUNCTION("""COMPUTED_VALUE"""),"")</f>
        <v/>
      </c>
      <c r="O9870" s="17" t="str">
        <f>IFERROR(__xludf.DUMMYFUNCTION("""COMPUTED_VALUE"""),"")</f>
        <v/>
      </c>
      <c r="P9870" s="17" t="str">
        <f>IFERROR(__xludf.DUMMYFUNCTION("""COMPUTED_VALUE"""),"")</f>
        <v/>
      </c>
      <c r="Q9870" s="17" t="str">
        <f>IFERROR(__xludf.DUMMYFUNCTION("""COMPUTED_VALUE"""),"")</f>
        <v/>
      </c>
      <c r="R9870" s="17" t="str">
        <f>IFERROR(__xludf.DUMMYFUNCTION("""COMPUTED_VALUE"""),"")</f>
        <v/>
      </c>
    </row>
    <row r="9871">
      <c r="A9871" s="15">
        <f>IFERROR(__xludf.DUMMYFUNCTION("""COMPUTED_VALUE"""),45279.0)</f>
        <v>45279</v>
      </c>
      <c r="B9871" s="16" t="str">
        <f>IFERROR(__xludf.DUMMYFUNCTION("""COMPUTED_VALUE"""),"Kevin esteban rua restrepo")</f>
        <v>Kevin esteban rua restrepo</v>
      </c>
      <c r="C9871" s="15" t="str">
        <f>IFERROR(__xludf.DUMMYFUNCTION("""COMPUTED_VALUE"""),"MEDELLÍN")</f>
        <v>MEDELLÍN</v>
      </c>
      <c r="D9871" s="15" t="str">
        <f>IFERROR(__xludf.DUMMYFUNCTION("""COMPUTED_VALUE"""),"BOGOTÁ")</f>
        <v>BOGOTÁ</v>
      </c>
      <c r="E9871" s="15" t="str">
        <f>IFERROR(__xludf.DUMMYFUNCTION("""COMPUTED_VALUE"""),"Orso")</f>
        <v>Orso</v>
      </c>
      <c r="F9871" s="17" t="str">
        <f>IFERROR(__xludf.DUMMYFUNCTION("""COMPUTED_VALUE"""),"Calle 01 # 29-354 / RAPPI TURBO MEDELLIN  / Tesoro")</f>
        <v>Calle 01 # 29-354 / RAPPI TURBO MEDELLIN  / Tesoro</v>
      </c>
      <c r="G9871" s="15" t="str">
        <f>IFERROR(__xludf.DUMMYFUNCTION("""COMPUTED_VALUE"""),"RAPPI TURBO MEDELLIN")</f>
        <v>RAPPI TURBO MEDELLIN</v>
      </c>
      <c r="H9871" s="16">
        <f>IFERROR(__xludf.DUMMYFUNCTION("""COMPUTED_VALUE"""),18356.0)</f>
        <v>18356</v>
      </c>
      <c r="I9871" s="18">
        <f>IFERROR(__xludf.DUMMYFUNCTION("""COMPUTED_VALUE"""),1.0)</f>
        <v>1</v>
      </c>
      <c r="J9871" s="18">
        <f>IFERROR(__xludf.DUMMYFUNCTION("""COMPUTED_VALUE"""),1.0)</f>
        <v>1</v>
      </c>
      <c r="K9871" s="18">
        <f>IFERROR(__xludf.DUMMYFUNCTION("""COMPUTED_VALUE"""),1.0)</f>
        <v>1</v>
      </c>
      <c r="L9871" s="17">
        <f>IFERROR(__xludf.DUMMYFUNCTION("""COMPUTED_VALUE"""),3.012888007E9)</f>
        <v>3012888007</v>
      </c>
      <c r="M9871" s="17"/>
      <c r="N9871" s="17"/>
      <c r="O9871" s="17"/>
      <c r="P9871" s="17" t="b">
        <f>IFERROR(__xludf.DUMMYFUNCTION("""COMPUTED_VALUE"""),FALSE)</f>
        <v>0</v>
      </c>
      <c r="Q9871" s="20" t="str">
        <f>IFERROR(__xludf.DUMMYFUNCTION("""COMPUTED_VALUE"""),"")</f>
        <v/>
      </c>
      <c r="R9871" s="22" t="str">
        <f>IFERROR(__xludf.DUMMYFUNCTION("""COMPUTED_VALUE"""),"")</f>
        <v/>
      </c>
    </row>
    <row r="9872">
      <c r="A9872" s="17" t="str">
        <f>IFERROR(__xludf.DUMMYFUNCTION("""COMPUTED_VALUE"""),"")</f>
        <v/>
      </c>
      <c r="B9872" s="17" t="str">
        <f>IFERROR(__xludf.DUMMYFUNCTION("""COMPUTED_VALUE"""),"")</f>
        <v/>
      </c>
      <c r="C9872" s="17" t="str">
        <f>IFERROR(__xludf.DUMMYFUNCTION("""COMPUTED_VALUE"""),"")</f>
        <v/>
      </c>
      <c r="D9872" s="17" t="str">
        <f>IFERROR(__xludf.DUMMYFUNCTION("""COMPUTED_VALUE"""),"")</f>
        <v/>
      </c>
      <c r="E9872" s="17" t="str">
        <f>IFERROR(__xludf.DUMMYFUNCTION("""COMPUTED_VALUE"""),"")</f>
        <v/>
      </c>
      <c r="F9872" s="17" t="str">
        <f>IFERROR(__xludf.DUMMYFUNCTION("""COMPUTED_VALUE"""),"")</f>
        <v/>
      </c>
      <c r="G9872" s="17" t="str">
        <f>IFERROR(__xludf.DUMMYFUNCTION("""COMPUTED_VALUE"""),"")</f>
        <v/>
      </c>
      <c r="H9872" s="17" t="str">
        <f>IFERROR(__xludf.DUMMYFUNCTION("""COMPUTED_VALUE"""),"")</f>
        <v/>
      </c>
      <c r="I9872" s="17" t="str">
        <f>IFERROR(__xludf.DUMMYFUNCTION("""COMPUTED_VALUE"""),"")</f>
        <v/>
      </c>
      <c r="J9872" s="17" t="str">
        <f>IFERROR(__xludf.DUMMYFUNCTION("""COMPUTED_VALUE"""),"")</f>
        <v/>
      </c>
      <c r="K9872" s="17" t="str">
        <f>IFERROR(__xludf.DUMMYFUNCTION("""COMPUTED_VALUE"""),"")</f>
        <v/>
      </c>
      <c r="L9872" s="17" t="str">
        <f>IFERROR(__xludf.DUMMYFUNCTION("""COMPUTED_VALUE"""),"")</f>
        <v/>
      </c>
      <c r="M9872" s="17" t="str">
        <f>IFERROR(__xludf.DUMMYFUNCTION("""COMPUTED_VALUE"""),"")</f>
        <v/>
      </c>
      <c r="N9872" s="17" t="str">
        <f>IFERROR(__xludf.DUMMYFUNCTION("""COMPUTED_VALUE"""),"")</f>
        <v/>
      </c>
      <c r="O9872" s="17" t="str">
        <f>IFERROR(__xludf.DUMMYFUNCTION("""COMPUTED_VALUE"""),"")</f>
        <v/>
      </c>
      <c r="P9872" s="17" t="str">
        <f>IFERROR(__xludf.DUMMYFUNCTION("""COMPUTED_VALUE"""),"")</f>
        <v/>
      </c>
      <c r="Q9872" s="17" t="str">
        <f>IFERROR(__xludf.DUMMYFUNCTION("""COMPUTED_VALUE"""),"")</f>
        <v/>
      </c>
      <c r="R9872" s="17" t="str">
        <f>IFERROR(__xludf.DUMMYFUNCTION("""COMPUTED_VALUE"""),"")</f>
        <v/>
      </c>
    </row>
    <row r="9873">
      <c r="A9873" s="15">
        <f>IFERROR(__xludf.DUMMYFUNCTION("""COMPUTED_VALUE"""),45280.0)</f>
        <v>45280</v>
      </c>
      <c r="B9873" s="17"/>
      <c r="C9873" s="15" t="str">
        <f>IFERROR(__xludf.DUMMYFUNCTION("""COMPUTED_VALUE"""),"BOGOTÁ")</f>
        <v>BOGOTÁ</v>
      </c>
      <c r="D9873" s="15" t="str">
        <f>IFERROR(__xludf.DUMMYFUNCTION("""COMPUTED_VALUE"""),"ENVIGADO")</f>
        <v>ENVIGADO</v>
      </c>
      <c r="E9873" s="15" t="str">
        <f>IFERROR(__xludf.DUMMYFUNCTION("""COMPUTED_VALUE"""),"RAMBLA")</f>
        <v>RAMBLA</v>
      </c>
      <c r="F9873" s="17" t="str">
        <f>IFERROR(__xludf.DUMMYFUNCTION("""COMPUTED_VALUE"""),"Calle 93a #11-46")</f>
        <v>Calle 93a #11-46</v>
      </c>
      <c r="G9873" s="15" t="str">
        <f>IFERROR(__xludf.DUMMYFUNCTION("""COMPUTED_VALUE"""),"Fit Hub")</f>
        <v>Fit Hub</v>
      </c>
      <c r="H9873" s="16">
        <f>IFERROR(__xludf.DUMMYFUNCTION("""COMPUTED_VALUE"""),18609.0)</f>
        <v>18609</v>
      </c>
      <c r="I9873" s="17"/>
      <c r="J9873" s="17"/>
      <c r="K9873" s="17"/>
      <c r="L9873" s="17">
        <f>IFERROR(__xludf.DUMMYFUNCTION("""COMPUTED_VALUE"""),3.015447307E9)</f>
        <v>3015447307</v>
      </c>
      <c r="M9873" s="17"/>
      <c r="N9873" s="17"/>
      <c r="O9873" s="17"/>
      <c r="P9873" s="17" t="b">
        <f>IFERROR(__xludf.DUMMYFUNCTION("""COMPUTED_VALUE"""),FALSE)</f>
        <v>0</v>
      </c>
      <c r="Q9873" s="20" t="str">
        <f>IFERROR(__xludf.DUMMYFUNCTION("""COMPUTED_VALUE"""),"")</f>
        <v/>
      </c>
      <c r="R9873" s="22" t="str">
        <f>IFERROR(__xludf.DUMMYFUNCTION("""COMPUTED_VALUE"""),"")</f>
        <v/>
      </c>
    </row>
    <row r="9874">
      <c r="A9874" s="17" t="str">
        <f>IFERROR(__xludf.DUMMYFUNCTION("""COMPUTED_VALUE"""),"")</f>
        <v/>
      </c>
      <c r="B9874" s="17" t="str">
        <f>IFERROR(__xludf.DUMMYFUNCTION("""COMPUTED_VALUE"""),"")</f>
        <v/>
      </c>
      <c r="C9874" s="17" t="str">
        <f>IFERROR(__xludf.DUMMYFUNCTION("""COMPUTED_VALUE"""),"")</f>
        <v/>
      </c>
      <c r="D9874" s="17" t="str">
        <f>IFERROR(__xludf.DUMMYFUNCTION("""COMPUTED_VALUE"""),"")</f>
        <v/>
      </c>
      <c r="E9874" s="17" t="str">
        <f>IFERROR(__xludf.DUMMYFUNCTION("""COMPUTED_VALUE"""),"")</f>
        <v/>
      </c>
      <c r="F9874" s="17" t="str">
        <f>IFERROR(__xludf.DUMMYFUNCTION("""COMPUTED_VALUE"""),"")</f>
        <v/>
      </c>
      <c r="G9874" s="17" t="str">
        <f>IFERROR(__xludf.DUMMYFUNCTION("""COMPUTED_VALUE"""),"")</f>
        <v/>
      </c>
      <c r="H9874" s="17" t="str">
        <f>IFERROR(__xludf.DUMMYFUNCTION("""COMPUTED_VALUE"""),"")</f>
        <v/>
      </c>
      <c r="I9874" s="17" t="str">
        <f>IFERROR(__xludf.DUMMYFUNCTION("""COMPUTED_VALUE"""),"")</f>
        <v/>
      </c>
      <c r="J9874" s="17" t="str">
        <f>IFERROR(__xludf.DUMMYFUNCTION("""COMPUTED_VALUE"""),"")</f>
        <v/>
      </c>
      <c r="K9874" s="17" t="str">
        <f>IFERROR(__xludf.DUMMYFUNCTION("""COMPUTED_VALUE"""),"")</f>
        <v/>
      </c>
      <c r="L9874" s="17" t="str">
        <f>IFERROR(__xludf.DUMMYFUNCTION("""COMPUTED_VALUE"""),"")</f>
        <v/>
      </c>
      <c r="M9874" s="17" t="str">
        <f>IFERROR(__xludf.DUMMYFUNCTION("""COMPUTED_VALUE"""),"")</f>
        <v/>
      </c>
      <c r="N9874" s="17" t="str">
        <f>IFERROR(__xludf.DUMMYFUNCTION("""COMPUTED_VALUE"""),"")</f>
        <v/>
      </c>
      <c r="O9874" s="17" t="str">
        <f>IFERROR(__xludf.DUMMYFUNCTION("""COMPUTED_VALUE"""),"")</f>
        <v/>
      </c>
      <c r="P9874" s="17" t="str">
        <f>IFERROR(__xludf.DUMMYFUNCTION("""COMPUTED_VALUE"""),"")</f>
        <v/>
      </c>
      <c r="Q9874" s="17" t="str">
        <f>IFERROR(__xludf.DUMMYFUNCTION("""COMPUTED_VALUE"""),"")</f>
        <v/>
      </c>
      <c r="R9874" s="17" t="str">
        <f>IFERROR(__xludf.DUMMYFUNCTION("""COMPUTED_VALUE"""),"")</f>
        <v/>
      </c>
    </row>
    <row r="9875">
      <c r="A9875" s="15">
        <f>IFERROR(__xludf.DUMMYFUNCTION("""COMPUTED_VALUE"""),45280.0)</f>
        <v>45280</v>
      </c>
      <c r="B9875" s="16" t="str">
        <f>IFERROR(__xludf.DUMMYFUNCTION("""COMPUTED_VALUE"""),"Alvaro Chacón")</f>
        <v>Alvaro Chacón</v>
      </c>
      <c r="C9875" s="15" t="str">
        <f>IFERROR(__xludf.DUMMYFUNCTION("""COMPUTED_VALUE"""),"BOGOTÁ")</f>
        <v>BOGOTÁ</v>
      </c>
      <c r="D9875" s="15" t="str">
        <f>IFERROR(__xludf.DUMMYFUNCTION("""COMPUTED_VALUE"""),"ENVIGADO")</f>
        <v>ENVIGADO</v>
      </c>
      <c r="E9875" s="15" t="str">
        <f>IFERROR(__xludf.DUMMYFUNCTION("""COMPUTED_VALUE"""),"RAMBLA")</f>
        <v>RAMBLA</v>
      </c>
      <c r="F9875" s="17" t="str">
        <f>IFERROR(__xludf.DUMMYFUNCTION("""COMPUTED_VALUE"""),"Avenida Carrera 9 # 113-52 / local 306")</f>
        <v>Avenida Carrera 9 # 113-52 / local 306</v>
      </c>
      <c r="G9875" s="15" t="str">
        <f>IFERROR(__xludf.DUMMYFUNCTION("""COMPUTED_VALUE"""),"Fresh Co")</f>
        <v>Fresh Co</v>
      </c>
      <c r="H9875" s="16">
        <f>IFERROR(__xludf.DUMMYFUNCTION("""COMPUTED_VALUE"""),18604.0)</f>
        <v>18604</v>
      </c>
      <c r="I9875" s="17"/>
      <c r="J9875" s="17"/>
      <c r="K9875" s="17"/>
      <c r="L9875" s="17">
        <f>IFERROR(__xludf.DUMMYFUNCTION("""COMPUTED_VALUE"""),3.229417869E9)</f>
        <v>3229417869</v>
      </c>
      <c r="M9875" s="17"/>
      <c r="N9875" s="17"/>
      <c r="O9875" s="17"/>
      <c r="P9875" s="17" t="b">
        <f>IFERROR(__xludf.DUMMYFUNCTION("""COMPUTED_VALUE"""),FALSE)</f>
        <v>0</v>
      </c>
      <c r="Q9875" s="20" t="str">
        <f>IFERROR(__xludf.DUMMYFUNCTION("""COMPUTED_VALUE"""),"")</f>
        <v/>
      </c>
      <c r="R9875" s="21" t="str">
        <f>IFERROR(__xludf.DUMMYFUNCTION("""COMPUTED_VALUE"""),"https://drive.google.com/file/d/16icJ_xEtete6EYrcxEMXx6ITXOWOZ8aB/view?usp=drivesdk")</f>
        <v>https://drive.google.com/file/d/16icJ_xEtete6EYrcxEMXx6ITXOWOZ8aB/view?usp=drivesdk</v>
      </c>
    </row>
    <row r="9876">
      <c r="A9876" s="15">
        <f>IFERROR(__xludf.DUMMYFUNCTION("""COMPUTED_VALUE"""),45280.0)</f>
        <v>45280</v>
      </c>
      <c r="B9876" s="16" t="str">
        <f>IFERROR(__xludf.DUMMYFUNCTION("""COMPUTED_VALUE"""),"Alvaro Chacón")</f>
        <v>Alvaro Chacón</v>
      </c>
      <c r="C9876" s="15" t="str">
        <f>IFERROR(__xludf.DUMMYFUNCTION("""COMPUTED_VALUE"""),"BOGOTÁ")</f>
        <v>BOGOTÁ</v>
      </c>
      <c r="D9876" s="15" t="str">
        <f>IFERROR(__xludf.DUMMYFUNCTION("""COMPUTED_VALUE"""),"ENVIGADO")</f>
        <v>ENVIGADO</v>
      </c>
      <c r="E9876" s="15" t="str">
        <f>IFERROR(__xludf.DUMMYFUNCTION("""COMPUTED_VALUE"""),"RAMBLA")</f>
        <v>RAMBLA</v>
      </c>
      <c r="F9876" s="17" t="str">
        <f>IFERROR(__xludf.DUMMYFUNCTION("""COMPUTED_VALUE"""),"Calle 93a #11-46")</f>
        <v>Calle 93a #11-46</v>
      </c>
      <c r="G9876" s="15" t="str">
        <f>IFERROR(__xludf.DUMMYFUNCTION("""COMPUTED_VALUE"""),"Fit Hub")</f>
        <v>Fit Hub</v>
      </c>
      <c r="H9876" s="16">
        <f>IFERROR(__xludf.DUMMYFUNCTION("""COMPUTED_VALUE"""),18607.0)</f>
        <v>18607</v>
      </c>
      <c r="I9876" s="17"/>
      <c r="J9876" s="17"/>
      <c r="K9876" s="17"/>
      <c r="L9876" s="17">
        <f>IFERROR(__xludf.DUMMYFUNCTION("""COMPUTED_VALUE"""),3.015447307E9)</f>
        <v>3015447307</v>
      </c>
      <c r="M9876" s="17"/>
      <c r="N9876" s="17"/>
      <c r="O9876" s="17"/>
      <c r="P9876" s="17" t="b">
        <f>IFERROR(__xludf.DUMMYFUNCTION("""COMPUTED_VALUE"""),FALSE)</f>
        <v>0</v>
      </c>
      <c r="Q9876" s="20" t="str">
        <f>IFERROR(__xludf.DUMMYFUNCTION("""COMPUTED_VALUE"""),"")</f>
        <v/>
      </c>
      <c r="R9876" s="21" t="str">
        <f>IFERROR(__xludf.DUMMYFUNCTION("""COMPUTED_VALUE"""),"https://drive.google.com/file/d/13NxnhtU7Lia1cVIHGk2_q6SdsdVrQbDZ/view?usp=drivesdk")</f>
        <v>https://drive.google.com/file/d/13NxnhtU7Lia1cVIHGk2_q6SdsdVrQbDZ/view?usp=drivesdk</v>
      </c>
    </row>
    <row r="9877">
      <c r="A9877" s="15">
        <f>IFERROR(__xludf.DUMMYFUNCTION("""COMPUTED_VALUE"""),45280.0)</f>
        <v>45280</v>
      </c>
      <c r="B9877" s="16" t="str">
        <f>IFERROR(__xludf.DUMMYFUNCTION("""COMPUTED_VALUE"""),"Alvaro Chacón")</f>
        <v>Alvaro Chacón</v>
      </c>
      <c r="C9877" s="15" t="str">
        <f>IFERROR(__xludf.DUMMYFUNCTION("""COMPUTED_VALUE"""),"BOGOTÁ")</f>
        <v>BOGOTÁ</v>
      </c>
      <c r="D9877" s="15" t="str">
        <f>IFERROR(__xludf.DUMMYFUNCTION("""COMPUTED_VALUE"""),"ENVIGADO")</f>
        <v>ENVIGADO</v>
      </c>
      <c r="E9877" s="15" t="str">
        <f>IFERROR(__xludf.DUMMYFUNCTION("""COMPUTED_VALUE"""),"RAMBLA")</f>
        <v>RAMBLA</v>
      </c>
      <c r="F9877" s="17" t="str">
        <f>IFERROR(__xludf.DUMMYFUNCTION("""COMPUTED_VALUE"""),"Carrera 56 A # 148-35 / torre 2 apto 602")</f>
        <v>Carrera 56 A # 148-35 / torre 2 apto 602</v>
      </c>
      <c r="G9877" s="15" t="str">
        <f>IFERROR(__xludf.DUMMYFUNCTION("""COMPUTED_VALUE"""),"Mariagabriela Alterio")</f>
        <v>Mariagabriela Alterio</v>
      </c>
      <c r="H9877" s="16">
        <f>IFERROR(__xludf.DUMMYFUNCTION("""COMPUTED_VALUE"""),18603.0)</f>
        <v>18603</v>
      </c>
      <c r="I9877" s="17"/>
      <c r="J9877" s="17"/>
      <c r="K9877" s="17"/>
      <c r="L9877" s="17">
        <f>IFERROR(__xludf.DUMMYFUNCTION("""COMPUTED_VALUE"""),3.165280629E9)</f>
        <v>3165280629</v>
      </c>
      <c r="M9877" s="17"/>
      <c r="N9877" s="17"/>
      <c r="O9877" s="17"/>
      <c r="P9877" s="17" t="b">
        <f>IFERROR(__xludf.DUMMYFUNCTION("""COMPUTED_VALUE"""),FALSE)</f>
        <v>0</v>
      </c>
      <c r="Q9877" s="20" t="str">
        <f>IFERROR(__xludf.DUMMYFUNCTION("""COMPUTED_VALUE"""),"")</f>
        <v/>
      </c>
      <c r="R9877" s="21" t="str">
        <f>IFERROR(__xludf.DUMMYFUNCTION("""COMPUTED_VALUE"""),"https://drive.google.com/file/d/1exKWrUzoO2n6v57yFRSIRx2r85OTw8AW/view?usp=drivesdk")</f>
        <v>https://drive.google.com/file/d/1exKWrUzoO2n6v57yFRSIRx2r85OTw8AW/view?usp=drivesdk</v>
      </c>
    </row>
    <row r="9878">
      <c r="A9878" s="15">
        <f>IFERROR(__xludf.DUMMYFUNCTION("""COMPUTED_VALUE"""),45280.0)</f>
        <v>45280</v>
      </c>
      <c r="B9878" s="16" t="str">
        <f>IFERROR(__xludf.DUMMYFUNCTION("""COMPUTED_VALUE"""),"Alvaro Chacón")</f>
        <v>Alvaro Chacón</v>
      </c>
      <c r="C9878" s="15" t="str">
        <f>IFERROR(__xludf.DUMMYFUNCTION("""COMPUTED_VALUE"""),"BOGOTÁ")</f>
        <v>BOGOTÁ</v>
      </c>
      <c r="D9878" s="15" t="str">
        <f>IFERROR(__xludf.DUMMYFUNCTION("""COMPUTED_VALUE"""),"ENVIGADO")</f>
        <v>ENVIGADO</v>
      </c>
      <c r="E9878" s="15" t="str">
        <f>IFERROR(__xludf.DUMMYFUNCTION("""COMPUTED_VALUE"""),"RAMBLA")</f>
        <v>RAMBLA</v>
      </c>
      <c r="F9878" s="17" t="str">
        <f>IFERROR(__xludf.DUMMYFUNCTION("""COMPUTED_VALUE"""),"Cl. 93 No. 60B-11 / Apto 201, Edificio San Nicolás")</f>
        <v>Cl. 93 No. 60B-11 / Apto 201, Edificio San Nicolás</v>
      </c>
      <c r="G9878" s="15" t="str">
        <f>IFERROR(__xludf.DUMMYFUNCTION("""COMPUTED_VALUE"""),"FANY LILIANA DÍAZ VELÁSQUEZ")</f>
        <v>FANY LILIANA DÍAZ VELÁSQUEZ</v>
      </c>
      <c r="H9878" s="16">
        <f>IFERROR(__xludf.DUMMYFUNCTION("""COMPUTED_VALUE"""),18605.0)</f>
        <v>18605</v>
      </c>
      <c r="I9878" s="17"/>
      <c r="J9878" s="17"/>
      <c r="K9878" s="17"/>
      <c r="L9878" s="17">
        <f>IFERROR(__xludf.DUMMYFUNCTION("""COMPUTED_VALUE"""),3.185570314E9)</f>
        <v>3185570314</v>
      </c>
      <c r="M9878" s="17"/>
      <c r="N9878" s="17"/>
      <c r="O9878" s="17"/>
      <c r="P9878" s="17" t="b">
        <f>IFERROR(__xludf.DUMMYFUNCTION("""COMPUTED_VALUE"""),FALSE)</f>
        <v>0</v>
      </c>
      <c r="Q9878" s="20" t="str">
        <f>IFERROR(__xludf.DUMMYFUNCTION("""COMPUTED_VALUE"""),"")</f>
        <v/>
      </c>
      <c r="R9878" s="21" t="str">
        <f>IFERROR(__xludf.DUMMYFUNCTION("""COMPUTED_VALUE"""),"https://drive.google.com/file/d/1eR2dqJEHekHTqwxk452UweE83NBpI-gv/view?usp=drivesdk")</f>
        <v>https://drive.google.com/file/d/1eR2dqJEHekHTqwxk452UweE83NBpI-gv/view?usp=drivesdk</v>
      </c>
    </row>
    <row r="9879">
      <c r="A9879" s="15">
        <f>IFERROR(__xludf.DUMMYFUNCTION("""COMPUTED_VALUE"""),45280.0)</f>
        <v>45280</v>
      </c>
      <c r="B9879" s="16" t="str">
        <f>IFERROR(__xludf.DUMMYFUNCTION("""COMPUTED_VALUE"""),"Alvaro Chacón")</f>
        <v>Alvaro Chacón</v>
      </c>
      <c r="C9879" s="15" t="str">
        <f>IFERROR(__xludf.DUMMYFUNCTION("""COMPUTED_VALUE"""),"BOGOTÁ")</f>
        <v>BOGOTÁ</v>
      </c>
      <c r="D9879" s="15" t="str">
        <f>IFERROR(__xludf.DUMMYFUNCTION("""COMPUTED_VALUE"""),"ENVIGADO")</f>
        <v>ENVIGADO</v>
      </c>
      <c r="E9879" s="15" t="str">
        <f>IFERROR(__xludf.DUMMYFUNCTION("""COMPUTED_VALUE"""),"RAMBLA")</f>
        <v>RAMBLA</v>
      </c>
      <c r="F9879" s="17" t="str">
        <f>IFERROR(__xludf.DUMMYFUNCTION("""COMPUTED_VALUE"""),"Cra 10 n 94-30 / edificio Murat")</f>
        <v>Cra 10 n 94-30 / edificio Murat</v>
      </c>
      <c r="G9879" s="15" t="str">
        <f>IFERROR(__xludf.DUMMYFUNCTION("""COMPUTED_VALUE"""),"Magdalena Torres")</f>
        <v>Magdalena Torres</v>
      </c>
      <c r="H9879" s="16">
        <f>IFERROR(__xludf.DUMMYFUNCTION("""COMPUTED_VALUE"""),18615.0)</f>
        <v>18615</v>
      </c>
      <c r="I9879" s="17"/>
      <c r="J9879" s="17"/>
      <c r="K9879" s="17"/>
      <c r="L9879" s="17">
        <f>IFERROR(__xludf.DUMMYFUNCTION("""COMPUTED_VALUE"""),3.123635357E9)</f>
        <v>3123635357</v>
      </c>
      <c r="M9879" s="17"/>
      <c r="N9879" s="17"/>
      <c r="O9879" s="17"/>
      <c r="P9879" s="17" t="b">
        <f>IFERROR(__xludf.DUMMYFUNCTION("""COMPUTED_VALUE"""),FALSE)</f>
        <v>0</v>
      </c>
      <c r="Q9879" s="20" t="str">
        <f>IFERROR(__xludf.DUMMYFUNCTION("""COMPUTED_VALUE"""),"")</f>
        <v/>
      </c>
      <c r="R9879" s="21" t="str">
        <f>IFERROR(__xludf.DUMMYFUNCTION("""COMPUTED_VALUE"""),"https://drive.google.com/file/d/1j_1xkntFxr1GhY0hXxZvSy9Yc2agBa5u/view?usp=drivesdk")</f>
        <v>https://drive.google.com/file/d/1j_1xkntFxr1GhY0hXxZvSy9Yc2agBa5u/view?usp=drivesdk</v>
      </c>
    </row>
    <row r="9880">
      <c r="A9880" s="15">
        <f>IFERROR(__xludf.DUMMYFUNCTION("""COMPUTED_VALUE"""),45280.0)</f>
        <v>45280</v>
      </c>
      <c r="B9880" s="16" t="str">
        <f>IFERROR(__xludf.DUMMYFUNCTION("""COMPUTED_VALUE"""),"Alvaro Chacón")</f>
        <v>Alvaro Chacón</v>
      </c>
      <c r="C9880" s="15" t="str">
        <f>IFERROR(__xludf.DUMMYFUNCTION("""COMPUTED_VALUE"""),"BOGOTÁ")</f>
        <v>BOGOTÁ</v>
      </c>
      <c r="D9880" s="15" t="str">
        <f>IFERROR(__xludf.DUMMYFUNCTION("""COMPUTED_VALUE"""),"MEDELLÍN")</f>
        <v>MEDELLÍN</v>
      </c>
      <c r="E9880" s="15" t="str">
        <f>IFERROR(__xludf.DUMMYFUNCTION("""COMPUTED_VALUE"""),"Baby Chef")</f>
        <v>Baby Chef</v>
      </c>
      <c r="F9880" s="17" t="str">
        <f>IFERROR(__xludf.DUMMYFUNCTION("""COMPUTED_VALUE"""),"Carrera 77b 119 61 901 Barrio gran granada / . / .")</f>
        <v>Carrera 77b 119 61 901 Barrio gran granada / . / .</v>
      </c>
      <c r="G9880" s="15" t="str">
        <f>IFERROR(__xludf.DUMMYFUNCTION("""COMPUTED_VALUE"""),"Maricel Turriago")</f>
        <v>Maricel Turriago</v>
      </c>
      <c r="H9880" s="16">
        <f>IFERROR(__xludf.DUMMYFUNCTION("""COMPUTED_VALUE"""),18582.0)</f>
        <v>18582</v>
      </c>
      <c r="I9880" s="18">
        <f>IFERROR(__xludf.DUMMYFUNCTION("""COMPUTED_VALUE"""),9.0)</f>
        <v>9</v>
      </c>
      <c r="J9880" s="18">
        <f>IFERROR(__xludf.DUMMYFUNCTION("""COMPUTED_VALUE"""),23.0)</f>
        <v>23</v>
      </c>
      <c r="K9880" s="18">
        <f>IFERROR(__xludf.DUMMYFUNCTION("""COMPUTED_VALUE"""),33.0)</f>
        <v>33</v>
      </c>
      <c r="L9880" s="17">
        <f>IFERROR(__xludf.DUMMYFUNCTION("""COMPUTED_VALUE"""),3.143360996E9)</f>
        <v>3143360996</v>
      </c>
      <c r="M9880" s="17"/>
      <c r="N9880" s="17"/>
      <c r="O9880" s="17"/>
      <c r="P9880" s="17" t="b">
        <f>IFERROR(__xludf.DUMMYFUNCTION("""COMPUTED_VALUE"""),FALSE)</f>
        <v>0</v>
      </c>
      <c r="Q9880" s="20" t="str">
        <f>IFERROR(__xludf.DUMMYFUNCTION("""COMPUTED_VALUE"""),"")</f>
        <v/>
      </c>
      <c r="R9880" s="21" t="str">
        <f>IFERROR(__xludf.DUMMYFUNCTION("""COMPUTED_VALUE"""),"https://drive.google.com/file/d/1JG7EuACpg6e2b-bGHU-Dg0cPzkHUD8aj/view?usp=drivesdk")</f>
        <v>https://drive.google.com/file/d/1JG7EuACpg6e2b-bGHU-Dg0cPzkHUD8aj/view?usp=drivesdk</v>
      </c>
    </row>
    <row r="9881">
      <c r="A9881" s="15">
        <f>IFERROR(__xludf.DUMMYFUNCTION("""COMPUTED_VALUE"""),45280.0)</f>
        <v>45280</v>
      </c>
      <c r="B9881" s="16" t="str">
        <f>IFERROR(__xludf.DUMMYFUNCTION("""COMPUTED_VALUE"""),"Alvaro Chacón")</f>
        <v>Alvaro Chacón</v>
      </c>
      <c r="C9881" s="15" t="str">
        <f>IFERROR(__xludf.DUMMYFUNCTION("""COMPUTED_VALUE"""),"BOGOTÁ")</f>
        <v>BOGOTÁ</v>
      </c>
      <c r="D9881" s="15" t="str">
        <f>IFERROR(__xludf.DUMMYFUNCTION("""COMPUTED_VALUE"""),"MEDELLÍN")</f>
        <v>MEDELLÍN</v>
      </c>
      <c r="E9881" s="15" t="str">
        <f>IFERROR(__xludf.DUMMYFUNCTION("""COMPUTED_VALUE"""),"Baby Chef")</f>
        <v>Baby Chef</v>
      </c>
      <c r="F9881" s="17" t="str">
        <f>IFERROR(__xludf.DUMMYFUNCTION("""COMPUTED_VALUE"""),"Carrera58b# 136-34 torre 16-103 / . / .")</f>
        <v>Carrera58b# 136-34 torre 16-103 / . / .</v>
      </c>
      <c r="G9881" s="15" t="str">
        <f>IFERROR(__xludf.DUMMYFUNCTION("""COMPUTED_VALUE"""),"Laura Amaya")</f>
        <v>Laura Amaya</v>
      </c>
      <c r="H9881" s="16">
        <f>IFERROR(__xludf.DUMMYFUNCTION("""COMPUTED_VALUE"""),18580.0)</f>
        <v>18580</v>
      </c>
      <c r="I9881" s="18">
        <f>IFERROR(__xludf.DUMMYFUNCTION("""COMPUTED_VALUE"""),7.0)</f>
        <v>7</v>
      </c>
      <c r="J9881" s="18">
        <f>IFERROR(__xludf.DUMMYFUNCTION("""COMPUTED_VALUE"""),21.0)</f>
        <v>21</v>
      </c>
      <c r="K9881" s="18">
        <f>IFERROR(__xludf.DUMMYFUNCTION("""COMPUTED_VALUE"""),35.0)</f>
        <v>35</v>
      </c>
      <c r="L9881" s="17">
        <f>IFERROR(__xludf.DUMMYFUNCTION("""COMPUTED_VALUE"""),3.10477505E9)</f>
        <v>3104775050</v>
      </c>
      <c r="M9881" s="17"/>
      <c r="N9881" s="17"/>
      <c r="O9881" s="17"/>
      <c r="P9881" s="17" t="b">
        <f>IFERROR(__xludf.DUMMYFUNCTION("""COMPUTED_VALUE"""),FALSE)</f>
        <v>0</v>
      </c>
      <c r="Q9881" s="20" t="str">
        <f>IFERROR(__xludf.DUMMYFUNCTION("""COMPUTED_VALUE"""),"")</f>
        <v/>
      </c>
      <c r="R9881" s="21" t="str">
        <f>IFERROR(__xludf.DUMMYFUNCTION("""COMPUTED_VALUE"""),"https://drive.google.com/file/d/1L67dM8G233PSTrc65s9oM0HSZ-0GbXzX/view?usp=drivesdk")</f>
        <v>https://drive.google.com/file/d/1L67dM8G233PSTrc65s9oM0HSZ-0GbXzX/view?usp=drivesdk</v>
      </c>
    </row>
    <row r="9882">
      <c r="A9882" s="15">
        <f>IFERROR(__xludf.DUMMYFUNCTION("""COMPUTED_VALUE"""),45280.0)</f>
        <v>45280</v>
      </c>
      <c r="B9882" s="16" t="str">
        <f>IFERROR(__xludf.DUMMYFUNCTION("""COMPUTED_VALUE"""),"Alvaro Chacón")</f>
        <v>Alvaro Chacón</v>
      </c>
      <c r="C9882" s="15" t="str">
        <f>IFERROR(__xludf.DUMMYFUNCTION("""COMPUTED_VALUE"""),"BOGOTÁ")</f>
        <v>BOGOTÁ</v>
      </c>
      <c r="D9882" s="15" t="str">
        <f>IFERROR(__xludf.DUMMYFUNCTION("""COMPUTED_VALUE"""),"MEDELLÍN")</f>
        <v>MEDELLÍN</v>
      </c>
      <c r="E9882" s="15" t="str">
        <f>IFERROR(__xludf.DUMMYFUNCTION("""COMPUTED_VALUE"""),"Baby Chef")</f>
        <v>Baby Chef</v>
      </c>
      <c r="F9882" s="17" t="str">
        <f>IFERROR(__xludf.DUMMYFUNCTION("""COMPUTED_VALUE"""),"Cra. 20 # 107 - 25 . Apto 102. Edificio Navarra lll / . / .")</f>
        <v>Cra. 20 # 107 - 25 . Apto 102. Edificio Navarra lll / . / .</v>
      </c>
      <c r="G9882" s="15" t="str">
        <f>IFERROR(__xludf.DUMMYFUNCTION("""COMPUTED_VALUE"""),"Laura Gutiérrez")</f>
        <v>Laura Gutiérrez</v>
      </c>
      <c r="H9882" s="16">
        <f>IFERROR(__xludf.DUMMYFUNCTION("""COMPUTED_VALUE"""),18585.0)</f>
        <v>18585</v>
      </c>
      <c r="I9882" s="18">
        <f>IFERROR(__xludf.DUMMYFUNCTION("""COMPUTED_VALUE"""),11.0)</f>
        <v>11</v>
      </c>
      <c r="J9882" s="18">
        <f>IFERROR(__xludf.DUMMYFUNCTION("""COMPUTED_VALUE"""),21.0)</f>
        <v>21</v>
      </c>
      <c r="K9882" s="18">
        <f>IFERROR(__xludf.DUMMYFUNCTION("""COMPUTED_VALUE"""),20.0)</f>
        <v>20</v>
      </c>
      <c r="L9882" s="17">
        <f>IFERROR(__xludf.DUMMYFUNCTION("""COMPUTED_VALUE"""),3.105047796E9)</f>
        <v>3105047796</v>
      </c>
      <c r="M9882" s="17"/>
      <c r="N9882" s="17"/>
      <c r="O9882" s="17"/>
      <c r="P9882" s="17" t="b">
        <f>IFERROR(__xludf.DUMMYFUNCTION("""COMPUTED_VALUE"""),FALSE)</f>
        <v>0</v>
      </c>
      <c r="Q9882" s="20" t="str">
        <f>IFERROR(__xludf.DUMMYFUNCTION("""COMPUTED_VALUE"""),"")</f>
        <v/>
      </c>
      <c r="R9882" s="21" t="str">
        <f>IFERROR(__xludf.DUMMYFUNCTION("""COMPUTED_VALUE"""),"https://drive.google.com/file/d/18H2gfo7KvqzOHFfFzaTnioTbkkgZ669D/view?usp=drivesdk")</f>
        <v>https://drive.google.com/file/d/18H2gfo7KvqzOHFfFzaTnioTbkkgZ669D/view?usp=drivesdk</v>
      </c>
    </row>
    <row r="9883">
      <c r="A9883" s="15">
        <f>IFERROR(__xludf.DUMMYFUNCTION("""COMPUTED_VALUE"""),45280.0)</f>
        <v>45280</v>
      </c>
      <c r="B9883" s="16" t="str">
        <f>IFERROR(__xludf.DUMMYFUNCTION("""COMPUTED_VALUE"""),"Alvaro Chacón")</f>
        <v>Alvaro Chacón</v>
      </c>
      <c r="C9883" s="15" t="str">
        <f>IFERROR(__xludf.DUMMYFUNCTION("""COMPUTED_VALUE"""),"BOGOTÁ")</f>
        <v>BOGOTÁ</v>
      </c>
      <c r="D9883" s="15" t="str">
        <f>IFERROR(__xludf.DUMMYFUNCTION("""COMPUTED_VALUE"""),"MEDELLÍN")</f>
        <v>MEDELLÍN</v>
      </c>
      <c r="E9883" s="15" t="str">
        <f>IFERROR(__xludf.DUMMYFUNCTION("""COMPUTED_VALUE"""),"Terravocado")</f>
        <v>Terravocado</v>
      </c>
      <c r="F9883" s="17" t="str">
        <f>IFERROR(__xludf.DUMMYFUNCTION("""COMPUTED_VALUE"""),"CRA 9 # 80 - 15  / NOGAL / NOGAL")</f>
        <v>CRA 9 # 80 - 15  / NOGAL / NOGAL</v>
      </c>
      <c r="G9883" s="15" t="str">
        <f>IFERROR(__xludf.DUMMYFUNCTION("""COMPUTED_VALUE"""),"RONAL BUITRAGO ( BACU NOGAL)")</f>
        <v>RONAL BUITRAGO ( BACU NOGAL)</v>
      </c>
      <c r="H9883" s="16">
        <f>IFERROR(__xludf.DUMMYFUNCTION("""COMPUTED_VALUE"""),18576.0)</f>
        <v>18576</v>
      </c>
      <c r="I9883" s="18">
        <f>IFERROR(__xludf.DUMMYFUNCTION("""COMPUTED_VALUE"""),20.0)</f>
        <v>20</v>
      </c>
      <c r="J9883" s="18">
        <f>IFERROR(__xludf.DUMMYFUNCTION("""COMPUTED_VALUE"""),24.0)</f>
        <v>24</v>
      </c>
      <c r="K9883" s="18">
        <f>IFERROR(__xludf.DUMMYFUNCTION("""COMPUTED_VALUE"""),34.0)</f>
        <v>34</v>
      </c>
      <c r="L9883" s="17">
        <f>IFERROR(__xludf.DUMMYFUNCTION("""COMPUTED_VALUE"""),3.14417373E9)</f>
        <v>3144173730</v>
      </c>
      <c r="M9883" s="17"/>
      <c r="N9883" s="17"/>
      <c r="O9883" s="17"/>
      <c r="P9883" s="17" t="b">
        <f>IFERROR(__xludf.DUMMYFUNCTION("""COMPUTED_VALUE"""),FALSE)</f>
        <v>0</v>
      </c>
      <c r="Q9883" s="20" t="str">
        <f>IFERROR(__xludf.DUMMYFUNCTION("""COMPUTED_VALUE"""),"")</f>
        <v/>
      </c>
      <c r="R9883" s="21" t="str">
        <f>IFERROR(__xludf.DUMMYFUNCTION("""COMPUTED_VALUE"""),"https://drive.google.com/file/d/1rEKDnMovmkTGVj9MXCtHZNFsmPl3qhs2/view?usp=drivesdk")</f>
        <v>https://drive.google.com/file/d/1rEKDnMovmkTGVj9MXCtHZNFsmPl3qhs2/view?usp=drivesdk</v>
      </c>
    </row>
    <row r="9884">
      <c r="A9884" s="15">
        <f>IFERROR(__xludf.DUMMYFUNCTION("""COMPUTED_VALUE"""),45280.0)</f>
        <v>45280</v>
      </c>
      <c r="B9884" s="16" t="str">
        <f>IFERROR(__xludf.DUMMYFUNCTION("""COMPUTED_VALUE"""),"Alvaro Chacón")</f>
        <v>Alvaro Chacón</v>
      </c>
      <c r="C9884" s="15" t="str">
        <f>IFERROR(__xludf.DUMMYFUNCTION("""COMPUTED_VALUE"""),"BOGOTÁ")</f>
        <v>BOGOTÁ</v>
      </c>
      <c r="D9884" s="15" t="str">
        <f>IFERROR(__xludf.DUMMYFUNCTION("""COMPUTED_VALUE"""),"MEDELLÍN")</f>
        <v>MEDELLÍN</v>
      </c>
      <c r="E9884" s="15" t="str">
        <f>IFERROR(__xludf.DUMMYFUNCTION("""COMPUTED_VALUE"""),"TOLEDALES S.A.S")</f>
        <v>TOLEDALES S.A.S</v>
      </c>
      <c r="F9884" s="17" t="str">
        <f>IFERROR(__xludf.DUMMYFUNCTION("""COMPUTED_VALUE"""),"calle 159 #7-74 / edificio séptima avenida torre 3 apartamento 1.516")</f>
        <v>calle 159 #7-74 / edificio séptima avenida torre 3 apartamento 1.516</v>
      </c>
      <c r="G9884" s="15" t="str">
        <f>IFERROR(__xludf.DUMMYFUNCTION("""COMPUTED_VALUE"""),"Ana María Lombana")</f>
        <v>Ana María Lombana</v>
      </c>
      <c r="H9884" s="16">
        <f>IFERROR(__xludf.DUMMYFUNCTION("""COMPUTED_VALUE"""),18341.0)</f>
        <v>18341</v>
      </c>
      <c r="I9884" s="17"/>
      <c r="J9884" s="17"/>
      <c r="K9884" s="17"/>
      <c r="L9884" s="17">
        <f>IFERROR(__xludf.DUMMYFUNCTION("""COMPUTED_VALUE"""),3.122891226E9)</f>
        <v>3122891226</v>
      </c>
      <c r="M9884" s="17"/>
      <c r="N9884" s="17"/>
      <c r="O9884" s="17"/>
      <c r="P9884" s="17" t="b">
        <f>IFERROR(__xludf.DUMMYFUNCTION("""COMPUTED_VALUE"""),FALSE)</f>
        <v>0</v>
      </c>
      <c r="Q9884" s="20" t="str">
        <f>IFERROR(__xludf.DUMMYFUNCTION("""COMPUTED_VALUE"""),"")</f>
        <v/>
      </c>
      <c r="R9884" s="21" t="str">
        <f>IFERROR(__xludf.DUMMYFUNCTION("""COMPUTED_VALUE"""),"https://drive.google.com/file/d/1ldcRHzIfytw1vs_NnZJZVB_eCvXYa73M/view?usp=drivesdk")</f>
        <v>https://drive.google.com/file/d/1ldcRHzIfytw1vs_NnZJZVB_eCvXYa73M/view?usp=drivesdk</v>
      </c>
    </row>
    <row r="9885">
      <c r="A9885" s="15">
        <f>IFERROR(__xludf.DUMMYFUNCTION("""COMPUTED_VALUE"""),45280.0)</f>
        <v>45280</v>
      </c>
      <c r="B9885" s="16" t="str">
        <f>IFERROR(__xludf.DUMMYFUNCTION("""COMPUTED_VALUE"""),"Alvaro Chacón")</f>
        <v>Alvaro Chacón</v>
      </c>
      <c r="C9885" s="15" t="str">
        <f>IFERROR(__xludf.DUMMYFUNCTION("""COMPUTED_VALUE"""),"BOGOTÁ")</f>
        <v>BOGOTÁ</v>
      </c>
      <c r="D9885" s="15" t="str">
        <f>IFERROR(__xludf.DUMMYFUNCTION("""COMPUTED_VALUE"""),"MEDELLÍN")</f>
        <v>MEDELLÍN</v>
      </c>
      <c r="E9885" s="15" t="str">
        <f>IFERROR(__xludf.DUMMYFUNCTION("""COMPUTED_VALUE"""),"TOLEDALES S.A.S")</f>
        <v>TOLEDALES S.A.S</v>
      </c>
      <c r="F9885" s="17" t="str">
        <f>IFERROR(__xludf.DUMMYFUNCTION("""COMPUTED_VALUE"""),"Calle 93 # 15 - 59 ofc 403 / .")</f>
        <v>Calle 93 # 15 - 59 ofc 403 / .</v>
      </c>
      <c r="G9885" s="15" t="str">
        <f>IFERROR(__xludf.DUMMYFUNCTION("""COMPUTED_VALUE"""),"Gustavo Delagdo")</f>
        <v>Gustavo Delagdo</v>
      </c>
      <c r="H9885" s="16">
        <f>IFERROR(__xludf.DUMMYFUNCTION("""COMPUTED_VALUE"""),18205.0)</f>
        <v>18205</v>
      </c>
      <c r="I9885" s="17"/>
      <c r="J9885" s="17"/>
      <c r="K9885" s="17"/>
      <c r="L9885" s="17">
        <f>IFERROR(__xludf.DUMMYFUNCTION("""COMPUTED_VALUE"""),3.005694631E9)</f>
        <v>3005694631</v>
      </c>
      <c r="M9885" s="17"/>
      <c r="N9885" s="17"/>
      <c r="O9885" s="17"/>
      <c r="P9885" s="17" t="b">
        <f>IFERROR(__xludf.DUMMYFUNCTION("""COMPUTED_VALUE"""),FALSE)</f>
        <v>0</v>
      </c>
      <c r="Q9885" s="20" t="str">
        <f>IFERROR(__xludf.DUMMYFUNCTION("""COMPUTED_VALUE"""),"")</f>
        <v/>
      </c>
      <c r="R9885" s="21" t="str">
        <f>IFERROR(__xludf.DUMMYFUNCTION("""COMPUTED_VALUE"""),"https://drive.google.com/file/d/1ImnarGyakLYXrXioEPFMY4rN97CkiueY/view?usp=drivesdk")</f>
        <v>https://drive.google.com/file/d/1ImnarGyakLYXrXioEPFMY4rN97CkiueY/view?usp=drivesdk</v>
      </c>
    </row>
    <row r="9886">
      <c r="A9886" s="15">
        <f>IFERROR(__xludf.DUMMYFUNCTION("""COMPUTED_VALUE"""),45280.0)</f>
        <v>45280</v>
      </c>
      <c r="B9886" s="16" t="str">
        <f>IFERROR(__xludf.DUMMYFUNCTION("""COMPUTED_VALUE"""),"Alvaro Chacón")</f>
        <v>Alvaro Chacón</v>
      </c>
      <c r="C9886" s="15" t="str">
        <f>IFERROR(__xludf.DUMMYFUNCTION("""COMPUTED_VALUE"""),"BOGOTÁ")</f>
        <v>BOGOTÁ</v>
      </c>
      <c r="D9886" s="15" t="str">
        <f>IFERROR(__xludf.DUMMYFUNCTION("""COMPUTED_VALUE"""),"MEDELLÍN")</f>
        <v>MEDELLÍN</v>
      </c>
      <c r="E9886" s="15" t="str">
        <f>IFERROR(__xludf.DUMMYFUNCTION("""COMPUTED_VALUE"""),"TOLEDALES S.A.S")</f>
        <v>TOLEDALES S.A.S</v>
      </c>
      <c r="F9886" s="17" t="str">
        <f>IFERROR(__xludf.DUMMYFUNCTION("""COMPUTED_VALUE"""),"Calle 93 #15 - 59 ofc 403 / .")</f>
        <v>Calle 93 #15 - 59 ofc 403 / .</v>
      </c>
      <c r="G9886" s="15" t="str">
        <f>IFERROR(__xludf.DUMMYFUNCTION("""COMPUTED_VALUE"""),"German Delgado")</f>
        <v>German Delgado</v>
      </c>
      <c r="H9886" s="16">
        <f>IFERROR(__xludf.DUMMYFUNCTION("""COMPUTED_VALUE"""),18207.0)</f>
        <v>18207</v>
      </c>
      <c r="I9886" s="17"/>
      <c r="J9886" s="17"/>
      <c r="K9886" s="17"/>
      <c r="L9886" s="17">
        <f>IFERROR(__xludf.DUMMYFUNCTION("""COMPUTED_VALUE"""),3.203398124E9)</f>
        <v>3203398124</v>
      </c>
      <c r="M9886" s="17"/>
      <c r="N9886" s="17"/>
      <c r="O9886" s="17"/>
      <c r="P9886" s="17" t="b">
        <f>IFERROR(__xludf.DUMMYFUNCTION("""COMPUTED_VALUE"""),FALSE)</f>
        <v>0</v>
      </c>
      <c r="Q9886" s="20" t="str">
        <f>IFERROR(__xludf.DUMMYFUNCTION("""COMPUTED_VALUE"""),"")</f>
        <v/>
      </c>
      <c r="R9886" s="21" t="str">
        <f>IFERROR(__xludf.DUMMYFUNCTION("""COMPUTED_VALUE"""),"https://drive.google.com/file/d/1CrAzQ_Nhb_b986JaIeB7zAgvgqxszBV4/view?usp=drivesdk")</f>
        <v>https://drive.google.com/file/d/1CrAzQ_Nhb_b986JaIeB7zAgvgqxszBV4/view?usp=drivesdk</v>
      </c>
    </row>
    <row r="9887">
      <c r="A9887" s="15">
        <f>IFERROR(__xludf.DUMMYFUNCTION("""COMPUTED_VALUE"""),45280.0)</f>
        <v>45280</v>
      </c>
      <c r="B9887" s="16" t="str">
        <f>IFERROR(__xludf.DUMMYFUNCTION("""COMPUTED_VALUE"""),"Alvaro Chacón")</f>
        <v>Alvaro Chacón</v>
      </c>
      <c r="C9887" s="15" t="str">
        <f>IFERROR(__xludf.DUMMYFUNCTION("""COMPUTED_VALUE"""),"BOGOTÁ")</f>
        <v>BOGOTÁ</v>
      </c>
      <c r="D9887" s="15" t="str">
        <f>IFERROR(__xludf.DUMMYFUNCTION("""COMPUTED_VALUE"""),"MEDELLÍN")</f>
        <v>MEDELLÍN</v>
      </c>
      <c r="E9887" s="15" t="str">
        <f>IFERROR(__xludf.DUMMYFUNCTION("""COMPUTED_VALUE"""),"TOLEDALES S.A.S")</f>
        <v>TOLEDALES S.A.S</v>
      </c>
      <c r="F9887" s="17" t="str">
        <f>IFERROR(__xludf.DUMMYFUNCTION("""COMPUTED_VALUE"""),"Calle 93 #15 - 59 ofc 403 / .")</f>
        <v>Calle 93 #15 - 59 ofc 403 / .</v>
      </c>
      <c r="G9887" s="15" t="str">
        <f>IFERROR(__xludf.DUMMYFUNCTION("""COMPUTED_VALUE"""),"Viviana Delgado")</f>
        <v>Viviana Delgado</v>
      </c>
      <c r="H9887" s="16">
        <f>IFERROR(__xludf.DUMMYFUNCTION("""COMPUTED_VALUE"""),18208.0)</f>
        <v>18208</v>
      </c>
      <c r="I9887" s="17"/>
      <c r="J9887" s="17"/>
      <c r="K9887" s="17"/>
      <c r="L9887" s="17">
        <f>IFERROR(__xludf.DUMMYFUNCTION("""COMPUTED_VALUE"""),3.203398096E9)</f>
        <v>3203398096</v>
      </c>
      <c r="M9887" s="17"/>
      <c r="N9887" s="17"/>
      <c r="O9887" s="17"/>
      <c r="P9887" s="17" t="b">
        <f>IFERROR(__xludf.DUMMYFUNCTION("""COMPUTED_VALUE"""),FALSE)</f>
        <v>0</v>
      </c>
      <c r="Q9887" s="20" t="str">
        <f>IFERROR(__xludf.DUMMYFUNCTION("""COMPUTED_VALUE"""),"")</f>
        <v/>
      </c>
      <c r="R9887" s="21" t="str">
        <f>IFERROR(__xludf.DUMMYFUNCTION("""COMPUTED_VALUE"""),"https://drive.google.com/file/d/1ilnO9blyt0w4ahyg6l1ogXsB_PeihCo6/view?usp=drivesdk")</f>
        <v>https://drive.google.com/file/d/1ilnO9blyt0w4ahyg6l1ogXsB_PeihCo6/view?usp=drivesdk</v>
      </c>
    </row>
    <row r="9888">
      <c r="A9888" s="15">
        <f>IFERROR(__xludf.DUMMYFUNCTION("""COMPUTED_VALUE"""),45280.0)</f>
        <v>45280</v>
      </c>
      <c r="B9888" s="16" t="str">
        <f>IFERROR(__xludf.DUMMYFUNCTION("""COMPUTED_VALUE"""),"Alvaro Chacón")</f>
        <v>Alvaro Chacón</v>
      </c>
      <c r="C9888" s="15" t="str">
        <f>IFERROR(__xludf.DUMMYFUNCTION("""COMPUTED_VALUE"""),"BOGOTÁ")</f>
        <v>BOGOTÁ</v>
      </c>
      <c r="D9888" s="15" t="str">
        <f>IFERROR(__xludf.DUMMYFUNCTION("""COMPUTED_VALUE"""),"MEDELLÍN")</f>
        <v>MEDELLÍN</v>
      </c>
      <c r="E9888" s="15" t="str">
        <f>IFERROR(__xludf.DUMMYFUNCTION("""COMPUTED_VALUE"""),"TOLEDALES S.A.S")</f>
        <v>TOLEDALES S.A.S</v>
      </c>
      <c r="F9888" s="17" t="str">
        <f>IFERROR(__xludf.DUMMYFUNCTION("""COMPUTED_VALUE"""),"calle 97 13 44 / .")</f>
        <v>calle 97 13 44 / .</v>
      </c>
      <c r="G9888" s="15" t="str">
        <f>IFERROR(__xludf.DUMMYFUNCTION("""COMPUTED_VALUE"""),"Andres Arenas")</f>
        <v>Andres Arenas</v>
      </c>
      <c r="H9888" s="16">
        <f>IFERROR(__xludf.DUMMYFUNCTION("""COMPUTED_VALUE"""),18340.0)</f>
        <v>18340</v>
      </c>
      <c r="I9888" s="17"/>
      <c r="J9888" s="17"/>
      <c r="K9888" s="17"/>
      <c r="L9888" s="17">
        <f>IFERROR(__xludf.DUMMYFUNCTION("""COMPUTED_VALUE"""),3.122891226E9)</f>
        <v>3122891226</v>
      </c>
      <c r="M9888" s="17"/>
      <c r="N9888" s="17"/>
      <c r="O9888" s="17"/>
      <c r="P9888" s="17" t="b">
        <f>IFERROR(__xludf.DUMMYFUNCTION("""COMPUTED_VALUE"""),FALSE)</f>
        <v>0</v>
      </c>
      <c r="Q9888" s="20" t="str">
        <f>IFERROR(__xludf.DUMMYFUNCTION("""COMPUTED_VALUE"""),"")</f>
        <v/>
      </c>
      <c r="R9888" s="21" t="str">
        <f>IFERROR(__xludf.DUMMYFUNCTION("""COMPUTED_VALUE"""),"https://drive.google.com/file/d/1zgCzvd2KQYlE07suUzgyHgcwcmC_lFKh/view?usp=drivesdk")</f>
        <v>https://drive.google.com/file/d/1zgCzvd2KQYlE07suUzgyHgcwcmC_lFKh/view?usp=drivesdk</v>
      </c>
    </row>
    <row r="9889">
      <c r="A9889" s="15">
        <f>IFERROR(__xludf.DUMMYFUNCTION("""COMPUTED_VALUE"""),45280.0)</f>
        <v>45280</v>
      </c>
      <c r="B9889" s="16" t="str">
        <f>IFERROR(__xludf.DUMMYFUNCTION("""COMPUTED_VALUE"""),"Alvaro Chacón")</f>
        <v>Alvaro Chacón</v>
      </c>
      <c r="C9889" s="15" t="str">
        <f>IFERROR(__xludf.DUMMYFUNCTION("""COMPUTED_VALUE"""),"BOGOTÁ")</f>
        <v>BOGOTÁ</v>
      </c>
      <c r="D9889" s="15" t="str">
        <f>IFERROR(__xludf.DUMMYFUNCTION("""COMPUTED_VALUE"""),"MEDELLÍN")</f>
        <v>MEDELLÍN</v>
      </c>
      <c r="E9889" s="15" t="str">
        <f>IFERROR(__xludf.DUMMYFUNCTION("""COMPUTED_VALUE"""),"TOLEDALES S.A.S")</f>
        <v>TOLEDALES S.A.S</v>
      </c>
      <c r="F9889" s="17" t="str">
        <f>IFERROR(__xludf.DUMMYFUNCTION("""COMPUTED_VALUE"""),"carrera 6 # 86-57 / apto 802")</f>
        <v>carrera 6 # 86-57 / apto 802</v>
      </c>
      <c r="G9889" s="15" t="str">
        <f>IFERROR(__xludf.DUMMYFUNCTION("""COMPUTED_VALUE"""),"Carlos y clarita")</f>
        <v>Carlos y clarita</v>
      </c>
      <c r="H9889" s="16">
        <f>IFERROR(__xludf.DUMMYFUNCTION("""COMPUTED_VALUE"""),18342.0)</f>
        <v>18342</v>
      </c>
      <c r="I9889" s="17"/>
      <c r="J9889" s="17"/>
      <c r="K9889" s="17"/>
      <c r="L9889" s="17">
        <f>IFERROR(__xludf.DUMMYFUNCTION("""COMPUTED_VALUE"""),3.103898052E9)</f>
        <v>3103898052</v>
      </c>
      <c r="M9889" s="17"/>
      <c r="N9889" s="17"/>
      <c r="O9889" s="17"/>
      <c r="P9889" s="17" t="b">
        <f>IFERROR(__xludf.DUMMYFUNCTION("""COMPUTED_VALUE"""),FALSE)</f>
        <v>0</v>
      </c>
      <c r="Q9889" s="20" t="str">
        <f>IFERROR(__xludf.DUMMYFUNCTION("""COMPUTED_VALUE"""),"")</f>
        <v/>
      </c>
      <c r="R9889" s="21" t="str">
        <f>IFERROR(__xludf.DUMMYFUNCTION("""COMPUTED_VALUE"""),"https://drive.google.com/file/d/1qblpIaAvq4QqPzMGIUNAx2VlZ0bVWu1n/view?usp=drivesdk")</f>
        <v>https://drive.google.com/file/d/1qblpIaAvq4QqPzMGIUNAx2VlZ0bVWu1n/view?usp=drivesdk</v>
      </c>
    </row>
    <row r="9890">
      <c r="A9890" s="15">
        <f>IFERROR(__xludf.DUMMYFUNCTION("""COMPUTED_VALUE"""),45280.0)</f>
        <v>45280</v>
      </c>
      <c r="B9890" s="16" t="str">
        <f>IFERROR(__xludf.DUMMYFUNCTION("""COMPUTED_VALUE"""),"Alvaro Chacón")</f>
        <v>Alvaro Chacón</v>
      </c>
      <c r="C9890" s="15" t="str">
        <f>IFERROR(__xludf.DUMMYFUNCTION("""COMPUTED_VALUE"""),"BOGOTÁ")</f>
        <v>BOGOTÁ</v>
      </c>
      <c r="D9890" s="15" t="str">
        <f>IFERROR(__xludf.DUMMYFUNCTION("""COMPUTED_VALUE"""),"MEDELLÍN")</f>
        <v>MEDELLÍN</v>
      </c>
      <c r="E9890" s="15" t="str">
        <f>IFERROR(__xludf.DUMMYFUNCTION("""COMPUTED_VALUE"""),"TOLEDALES S.A.S")</f>
        <v>TOLEDALES S.A.S</v>
      </c>
      <c r="F9890" s="17" t="str">
        <f>IFERROR(__xludf.DUMMYFUNCTION("""COMPUTED_VALUE"""),"carrera 9C # 120-48 / apartamento 101")</f>
        <v>carrera 9C # 120-48 / apartamento 101</v>
      </c>
      <c r="G9890" s="15" t="str">
        <f>IFERROR(__xludf.DUMMYFUNCTION("""COMPUTED_VALUE"""),"gloria calderón")</f>
        <v>gloria calderón</v>
      </c>
      <c r="H9890" s="16">
        <f>IFERROR(__xludf.DUMMYFUNCTION("""COMPUTED_VALUE"""),18343.0)</f>
        <v>18343</v>
      </c>
      <c r="I9890" s="17"/>
      <c r="J9890" s="17"/>
      <c r="K9890" s="17"/>
      <c r="L9890" s="17">
        <f>IFERROR(__xludf.DUMMYFUNCTION("""COMPUTED_VALUE"""),3.103898052E9)</f>
        <v>3103898052</v>
      </c>
      <c r="M9890" s="17"/>
      <c r="N9890" s="17"/>
      <c r="O9890" s="17"/>
      <c r="P9890" s="17" t="b">
        <f>IFERROR(__xludf.DUMMYFUNCTION("""COMPUTED_VALUE"""),FALSE)</f>
        <v>0</v>
      </c>
      <c r="Q9890" s="20" t="str">
        <f>IFERROR(__xludf.DUMMYFUNCTION("""COMPUTED_VALUE"""),"")</f>
        <v/>
      </c>
      <c r="R9890" s="21" t="str">
        <f>IFERROR(__xludf.DUMMYFUNCTION("""COMPUTED_VALUE"""),"https://drive.google.com/file/d/1Rh7IRJL92DnQnYZE6rN0UmIhaxccL0xf/view?usp=drivesdk")</f>
        <v>https://drive.google.com/file/d/1Rh7IRJL92DnQnYZE6rN0UmIhaxccL0xf/view?usp=drivesdk</v>
      </c>
    </row>
    <row r="9891">
      <c r="A9891" s="15">
        <f>IFERROR(__xludf.DUMMYFUNCTION("""COMPUTED_VALUE"""),45280.0)</f>
        <v>45280</v>
      </c>
      <c r="B9891" s="16" t="str">
        <f>IFERROR(__xludf.DUMMYFUNCTION("""COMPUTED_VALUE"""),"Alvaro Chacón")</f>
        <v>Alvaro Chacón</v>
      </c>
      <c r="C9891" s="15" t="str">
        <f>IFERROR(__xludf.DUMMYFUNCTION("""COMPUTED_VALUE"""),"BOGOTÁ")</f>
        <v>BOGOTÁ</v>
      </c>
      <c r="D9891" s="15" t="str">
        <f>IFERROR(__xludf.DUMMYFUNCTION("""COMPUTED_VALUE"""),"PEREIRA")</f>
        <v>PEREIRA</v>
      </c>
      <c r="E9891" s="15" t="str">
        <f>IFERROR(__xludf.DUMMYFUNCTION("""COMPUTED_VALUE"""),"BAK&amp;VEG")</f>
        <v>BAK&amp;VEG</v>
      </c>
      <c r="F9891" s="17" t="str">
        <f>IFERROR(__xludf.DUMMYFUNCTION("""COMPUTED_VALUE"""),"BOGOTA / CALLE 85 # 22 - 73 BARRIO POLO")</f>
        <v>BOGOTA / CALLE 85 # 22 - 73 BARRIO POLO</v>
      </c>
      <c r="G9891" s="15" t="str">
        <f>IFERROR(__xludf.DUMMYFUNCTION("""COMPUTED_VALUE"""),"NATALIA MENDEZ")</f>
        <v>NATALIA MENDEZ</v>
      </c>
      <c r="H9891" s="16">
        <f>IFERROR(__xludf.DUMMYFUNCTION("""COMPUTED_VALUE"""),18493.0)</f>
        <v>18493</v>
      </c>
      <c r="I9891" s="17"/>
      <c r="J9891" s="17"/>
      <c r="K9891" s="17"/>
      <c r="L9891" s="17">
        <f>IFERROR(__xludf.DUMMYFUNCTION("""COMPUTED_VALUE"""),3.2140211341E10)</f>
        <v>32140211341</v>
      </c>
      <c r="M9891" s="17"/>
      <c r="N9891" s="17"/>
      <c r="O9891" s="17"/>
      <c r="P9891" s="17" t="b">
        <f>IFERROR(__xludf.DUMMYFUNCTION("""COMPUTED_VALUE"""),FALSE)</f>
        <v>0</v>
      </c>
      <c r="Q9891" s="20" t="str">
        <f>IFERROR(__xludf.DUMMYFUNCTION("""COMPUTED_VALUE"""),"")</f>
        <v/>
      </c>
      <c r="R9891" s="21" t="str">
        <f>IFERROR(__xludf.DUMMYFUNCTION("""COMPUTED_VALUE"""),"https://drive.google.com/file/d/1Yql7LOTzz2-nQ58K9b2iLrNsrdKyZiao/view?usp=drivesdk")</f>
        <v>https://drive.google.com/file/d/1Yql7LOTzz2-nQ58K9b2iLrNsrdKyZiao/view?usp=drivesdk</v>
      </c>
    </row>
    <row r="9892">
      <c r="A9892" s="15">
        <f>IFERROR(__xludf.DUMMYFUNCTION("""COMPUTED_VALUE"""),45280.0)</f>
        <v>45280</v>
      </c>
      <c r="B9892" s="16" t="str">
        <f>IFERROR(__xludf.DUMMYFUNCTION("""COMPUTED_VALUE"""),"Alvaro Chacón")</f>
        <v>Alvaro Chacón</v>
      </c>
      <c r="C9892" s="15" t="str">
        <f>IFERROR(__xludf.DUMMYFUNCTION("""COMPUTED_VALUE"""),"BOGOTÁ")</f>
        <v>BOGOTÁ</v>
      </c>
      <c r="D9892" s="15" t="str">
        <f>IFERROR(__xludf.DUMMYFUNCTION("""COMPUTED_VALUE"""),"PEREIRA")</f>
        <v>PEREIRA</v>
      </c>
      <c r="E9892" s="15" t="str">
        <f>IFERROR(__xludf.DUMMYFUNCTION("""COMPUTED_VALUE"""),"BAK&amp;VEG")</f>
        <v>BAK&amp;VEG</v>
      </c>
      <c r="F9892" s="17" t="str">
        <f>IFERROR(__xludf.DUMMYFUNCTION("""COMPUTED_VALUE"""),"BOGOTA / carrera 12 # 146-56 casa 8")</f>
        <v>BOGOTA / carrera 12 # 146-56 casa 8</v>
      </c>
      <c r="G9892" s="15" t="str">
        <f>IFERROR(__xludf.DUMMYFUNCTION("""COMPUTED_VALUE"""),"camila jimenez")</f>
        <v>camila jimenez</v>
      </c>
      <c r="H9892" s="16">
        <f>IFERROR(__xludf.DUMMYFUNCTION("""COMPUTED_VALUE"""),18494.0)</f>
        <v>18494</v>
      </c>
      <c r="I9892" s="17"/>
      <c r="J9892" s="17"/>
      <c r="K9892" s="17"/>
      <c r="L9892" s="17">
        <f>IFERROR(__xludf.DUMMYFUNCTION("""COMPUTED_VALUE"""),3.002601282E9)</f>
        <v>3002601282</v>
      </c>
      <c r="M9892" s="17"/>
      <c r="N9892" s="17"/>
      <c r="O9892" s="17"/>
      <c r="P9892" s="17" t="b">
        <f>IFERROR(__xludf.DUMMYFUNCTION("""COMPUTED_VALUE"""),FALSE)</f>
        <v>0</v>
      </c>
      <c r="Q9892" s="20" t="str">
        <f>IFERROR(__xludf.DUMMYFUNCTION("""COMPUTED_VALUE"""),"")</f>
        <v/>
      </c>
      <c r="R9892" s="21" t="str">
        <f>IFERROR(__xludf.DUMMYFUNCTION("""COMPUTED_VALUE"""),"https://drive.google.com/file/d/1tj-lhO91bVzOFoxmer-zYCCHwsvQLbs7/view?usp=drivesdk")</f>
        <v>https://drive.google.com/file/d/1tj-lhO91bVzOFoxmer-zYCCHwsvQLbs7/view?usp=drivesdk</v>
      </c>
    </row>
    <row r="9893">
      <c r="A9893" s="17" t="str">
        <f>IFERROR(__xludf.DUMMYFUNCTION("""COMPUTED_VALUE"""),"")</f>
        <v/>
      </c>
      <c r="B9893" s="17" t="str">
        <f>IFERROR(__xludf.DUMMYFUNCTION("""COMPUTED_VALUE"""),"")</f>
        <v/>
      </c>
      <c r="C9893" s="17" t="str">
        <f>IFERROR(__xludf.DUMMYFUNCTION("""COMPUTED_VALUE"""),"")</f>
        <v/>
      </c>
      <c r="D9893" s="17" t="str">
        <f>IFERROR(__xludf.DUMMYFUNCTION("""COMPUTED_VALUE"""),"")</f>
        <v/>
      </c>
      <c r="E9893" s="17" t="str">
        <f>IFERROR(__xludf.DUMMYFUNCTION("""COMPUTED_VALUE"""),"")</f>
        <v/>
      </c>
      <c r="F9893" s="17" t="str">
        <f>IFERROR(__xludf.DUMMYFUNCTION("""COMPUTED_VALUE"""),"")</f>
        <v/>
      </c>
      <c r="G9893" s="17" t="str">
        <f>IFERROR(__xludf.DUMMYFUNCTION("""COMPUTED_VALUE"""),"")</f>
        <v/>
      </c>
      <c r="H9893" s="17" t="str">
        <f>IFERROR(__xludf.DUMMYFUNCTION("""COMPUTED_VALUE"""),"")</f>
        <v/>
      </c>
      <c r="I9893" s="17" t="str">
        <f>IFERROR(__xludf.DUMMYFUNCTION("""COMPUTED_VALUE"""),"")</f>
        <v/>
      </c>
      <c r="J9893" s="17" t="str">
        <f>IFERROR(__xludf.DUMMYFUNCTION("""COMPUTED_VALUE"""),"")</f>
        <v/>
      </c>
      <c r="K9893" s="17" t="str">
        <f>IFERROR(__xludf.DUMMYFUNCTION("""COMPUTED_VALUE"""),"")</f>
        <v/>
      </c>
      <c r="L9893" s="17" t="str">
        <f>IFERROR(__xludf.DUMMYFUNCTION("""COMPUTED_VALUE"""),"")</f>
        <v/>
      </c>
      <c r="M9893" s="17" t="str">
        <f>IFERROR(__xludf.DUMMYFUNCTION("""COMPUTED_VALUE"""),"")</f>
        <v/>
      </c>
      <c r="N9893" s="17" t="str">
        <f>IFERROR(__xludf.DUMMYFUNCTION("""COMPUTED_VALUE"""),"")</f>
        <v/>
      </c>
      <c r="O9893" s="17" t="str">
        <f>IFERROR(__xludf.DUMMYFUNCTION("""COMPUTED_VALUE"""),"")</f>
        <v/>
      </c>
      <c r="P9893" s="17" t="str">
        <f>IFERROR(__xludf.DUMMYFUNCTION("""COMPUTED_VALUE"""),"")</f>
        <v/>
      </c>
      <c r="Q9893" s="17" t="str">
        <f>IFERROR(__xludf.DUMMYFUNCTION("""COMPUTED_VALUE"""),"")</f>
        <v/>
      </c>
      <c r="R9893" s="17" t="str">
        <f>IFERROR(__xludf.DUMMYFUNCTION("""COMPUTED_VALUE"""),"")</f>
        <v/>
      </c>
    </row>
    <row r="9894">
      <c r="A9894" s="15">
        <f>IFERROR(__xludf.DUMMYFUNCTION("""COMPUTED_VALUE"""),45280.0)</f>
        <v>45280</v>
      </c>
      <c r="B9894" s="16" t="str">
        <f>IFERROR(__xludf.DUMMYFUNCTION("""COMPUTED_VALUE"""),"Anuar suarez jimenez ")</f>
        <v>Anuar suarez jimenez </v>
      </c>
      <c r="C9894" s="15" t="str">
        <f>IFERROR(__xludf.DUMMYFUNCTION("""COMPUTED_VALUE"""),"MONTERIA")</f>
        <v>MONTERIA</v>
      </c>
      <c r="D9894" s="15" t="str">
        <f>IFERROR(__xludf.DUMMYFUNCTION("""COMPUTED_VALUE"""),"BOGOTÁ")</f>
        <v>BOGOTÁ</v>
      </c>
      <c r="E9894" s="15" t="str">
        <f>IFERROR(__xludf.DUMMYFUNCTION("""COMPUTED_VALUE"""),"MAI ALIMENTOS REALES")</f>
        <v>MAI ALIMENTOS REALES</v>
      </c>
      <c r="F9894" s="17" t="str">
        <f>IFERROR(__xludf.DUMMYFUNCTION("""COMPUTED_VALUE"""),"Carrera 6#68-62 / Centro Comercial Buenavista, Piso 1, Isla 004")</f>
        <v>Carrera 6#68-62 / Centro Comercial Buenavista, Piso 1, Isla 004</v>
      </c>
      <c r="G9894" s="15" t="str">
        <f>IFERROR(__xludf.DUMMYFUNCTION("""COMPUTED_VALUE"""),"Enjoy Fit Buenavista")</f>
        <v>Enjoy Fit Buenavista</v>
      </c>
      <c r="H9894" s="16">
        <f>IFERROR(__xludf.DUMMYFUNCTION("""COMPUTED_VALUE"""),18424.0)</f>
        <v>18424</v>
      </c>
      <c r="I9894" s="17"/>
      <c r="J9894" s="17"/>
      <c r="K9894" s="17"/>
      <c r="L9894" s="17">
        <f>IFERROR(__xludf.DUMMYFUNCTION("""COMPUTED_VALUE"""),3.107294683E9)</f>
        <v>3107294683</v>
      </c>
      <c r="M9894" s="17"/>
      <c r="N9894" s="17"/>
      <c r="O9894" s="17"/>
      <c r="P9894" s="17" t="b">
        <f>IFERROR(__xludf.DUMMYFUNCTION("""COMPUTED_VALUE"""),FALSE)</f>
        <v>0</v>
      </c>
      <c r="Q9894" s="20" t="str">
        <f>IFERROR(__xludf.DUMMYFUNCTION("""COMPUTED_VALUE"""),"")</f>
        <v/>
      </c>
      <c r="R9894" s="21" t="str">
        <f>IFERROR(__xludf.DUMMYFUNCTION("""COMPUTED_VALUE"""),"https://drive.google.com/file/d/1QG0_ETy2DqMYaCa6dGKN9RTHaON_7PB8/view?usp=drivesdk")</f>
        <v>https://drive.google.com/file/d/1QG0_ETy2DqMYaCa6dGKN9RTHaON_7PB8/view?usp=drivesdk</v>
      </c>
    </row>
    <row r="9895">
      <c r="A9895" s="15">
        <f>IFERROR(__xludf.DUMMYFUNCTION("""COMPUTED_VALUE"""),45280.0)</f>
        <v>45280</v>
      </c>
      <c r="B9895" s="16" t="str">
        <f>IFERROR(__xludf.DUMMYFUNCTION("""COMPUTED_VALUE"""),"Anuar suarez jimenez ")</f>
        <v>Anuar suarez jimenez </v>
      </c>
      <c r="C9895" s="15" t="str">
        <f>IFERROR(__xludf.DUMMYFUNCTION("""COMPUTED_VALUE"""),"MONTERIA")</f>
        <v>MONTERIA</v>
      </c>
      <c r="D9895" s="15" t="str">
        <f>IFERROR(__xludf.DUMMYFUNCTION("""COMPUTED_VALUE"""),"BOGOTÁ")</f>
        <v>BOGOTÁ</v>
      </c>
      <c r="E9895" s="15" t="str">
        <f>IFERROR(__xludf.DUMMYFUNCTION("""COMPUTED_VALUE"""),"Ventura Productos Arg")</f>
        <v>Ventura Productos Arg</v>
      </c>
      <c r="F9895" s="17" t="str">
        <f>IFERROR(__xludf.DUMMYFUNCTION("""COMPUTED_VALUE"""),"calle 68 # 5-51 apto 103B, barrio el recreo. / apto 103B, barrio el recreo.")</f>
        <v>calle 68 # 5-51 apto 103B, barrio el recreo. / apto 103B, barrio el recreo.</v>
      </c>
      <c r="G9895" s="15" t="str">
        <f>IFERROR(__xludf.DUMMYFUNCTION("""COMPUTED_VALUE"""),"Maria Carolina Milanes")</f>
        <v>Maria Carolina Milanes</v>
      </c>
      <c r="H9895" s="16">
        <f>IFERROR(__xludf.DUMMYFUNCTION("""COMPUTED_VALUE"""),18482.0)</f>
        <v>18482</v>
      </c>
      <c r="I9895" s="17"/>
      <c r="J9895" s="17"/>
      <c r="K9895" s="17"/>
      <c r="L9895" s="17"/>
      <c r="M9895" s="17"/>
      <c r="N9895" s="17"/>
      <c r="O9895" s="17"/>
      <c r="P9895" s="17" t="b">
        <f>IFERROR(__xludf.DUMMYFUNCTION("""COMPUTED_VALUE"""),FALSE)</f>
        <v>0</v>
      </c>
      <c r="Q9895" s="20" t="str">
        <f>IFERROR(__xludf.DUMMYFUNCTION("""COMPUTED_VALUE"""),"")</f>
        <v/>
      </c>
      <c r="R9895" s="21" t="str">
        <f>IFERROR(__xludf.DUMMYFUNCTION("""COMPUTED_VALUE"""),"https://drive.google.com/file/d/1FUoTQJEQ-ipIcOxgOe1o1OR6i86oddMw/view?usp=drivesdk")</f>
        <v>https://drive.google.com/file/d/1FUoTQJEQ-ipIcOxgOe1o1OR6i86oddMw/view?usp=drivesdk</v>
      </c>
    </row>
    <row r="9896">
      <c r="A9896" s="15">
        <f>IFERROR(__xludf.DUMMYFUNCTION("""COMPUTED_VALUE"""),45280.0)</f>
        <v>45280</v>
      </c>
      <c r="B9896" s="16" t="str">
        <f>IFERROR(__xludf.DUMMYFUNCTION("""COMPUTED_VALUE"""),"Anuar suarez jimenez ")</f>
        <v>Anuar suarez jimenez </v>
      </c>
      <c r="C9896" s="15" t="str">
        <f>IFERROR(__xludf.DUMMYFUNCTION("""COMPUTED_VALUE"""),"MONTERIA")</f>
        <v>MONTERIA</v>
      </c>
      <c r="D9896" s="15" t="str">
        <f>IFERROR(__xludf.DUMMYFUNCTION("""COMPUTED_VALUE"""),"MEDELLÍN")</f>
        <v>MEDELLÍN</v>
      </c>
      <c r="E9896" s="15" t="str">
        <f>IFERROR(__xludf.DUMMYFUNCTION("""COMPUTED_VALUE"""),"TOLEDALES S.A.S")</f>
        <v>TOLEDALES S.A.S</v>
      </c>
      <c r="F9896" s="17" t="str">
        <f>IFERROR(__xludf.DUMMYFUNCTION("""COMPUTED_VALUE"""),"carrera 6  # 62b -32 / ofic 405")</f>
        <v>carrera 6  # 62b -32 / ofic 405</v>
      </c>
      <c r="G9896" s="15" t="str">
        <f>IFERROR(__xludf.DUMMYFUNCTION("""COMPUTED_VALUE"""),"Tabaida")</f>
        <v>Tabaida</v>
      </c>
      <c r="H9896" s="16">
        <f>IFERROR(__xludf.DUMMYFUNCTION("""COMPUTED_VALUE"""),18337.0)</f>
        <v>18337</v>
      </c>
      <c r="I9896" s="17"/>
      <c r="J9896" s="17"/>
      <c r="K9896" s="17"/>
      <c r="L9896" s="17">
        <f>IFERROR(__xludf.DUMMYFUNCTION("""COMPUTED_VALUE"""),3.122891226E9)</f>
        <v>3122891226</v>
      </c>
      <c r="M9896" s="17"/>
      <c r="N9896" s="17"/>
      <c r="O9896" s="17"/>
      <c r="P9896" s="17" t="b">
        <f>IFERROR(__xludf.DUMMYFUNCTION("""COMPUTED_VALUE"""),FALSE)</f>
        <v>0</v>
      </c>
      <c r="Q9896" s="20" t="str">
        <f>IFERROR(__xludf.DUMMYFUNCTION("""COMPUTED_VALUE"""),"")</f>
        <v/>
      </c>
      <c r="R9896" s="21" t="str">
        <f>IFERROR(__xludf.DUMMYFUNCTION("""COMPUTED_VALUE"""),"https://drive.google.com/file/d/1uyqZKoaUYUwRbuqkTqGuNAwmipidDAn1/view?usp=drivesdk")</f>
        <v>https://drive.google.com/file/d/1uyqZKoaUYUwRbuqkTqGuNAwmipidDAn1/view?usp=drivesdk</v>
      </c>
    </row>
    <row r="9897">
      <c r="A9897" s="17" t="str">
        <f>IFERROR(__xludf.DUMMYFUNCTION("""COMPUTED_VALUE"""),"")</f>
        <v/>
      </c>
      <c r="B9897" s="17" t="str">
        <f>IFERROR(__xludf.DUMMYFUNCTION("""COMPUTED_VALUE"""),"")</f>
        <v/>
      </c>
      <c r="C9897" s="17" t="str">
        <f>IFERROR(__xludf.DUMMYFUNCTION("""COMPUTED_VALUE"""),"")</f>
        <v/>
      </c>
      <c r="D9897" s="17" t="str">
        <f>IFERROR(__xludf.DUMMYFUNCTION("""COMPUTED_VALUE"""),"")</f>
        <v/>
      </c>
      <c r="E9897" s="17" t="str">
        <f>IFERROR(__xludf.DUMMYFUNCTION("""COMPUTED_VALUE"""),"")</f>
        <v/>
      </c>
      <c r="F9897" s="17" t="str">
        <f>IFERROR(__xludf.DUMMYFUNCTION("""COMPUTED_VALUE"""),"")</f>
        <v/>
      </c>
      <c r="G9897" s="17" t="str">
        <f>IFERROR(__xludf.DUMMYFUNCTION("""COMPUTED_VALUE"""),"")</f>
        <v/>
      </c>
      <c r="H9897" s="17" t="str">
        <f>IFERROR(__xludf.DUMMYFUNCTION("""COMPUTED_VALUE"""),"")</f>
        <v/>
      </c>
      <c r="I9897" s="17" t="str">
        <f>IFERROR(__xludf.DUMMYFUNCTION("""COMPUTED_VALUE"""),"")</f>
        <v/>
      </c>
      <c r="J9897" s="17" t="str">
        <f>IFERROR(__xludf.DUMMYFUNCTION("""COMPUTED_VALUE"""),"")</f>
        <v/>
      </c>
      <c r="K9897" s="17" t="str">
        <f>IFERROR(__xludf.DUMMYFUNCTION("""COMPUTED_VALUE"""),"")</f>
        <v/>
      </c>
      <c r="L9897" s="17" t="str">
        <f>IFERROR(__xludf.DUMMYFUNCTION("""COMPUTED_VALUE"""),"")</f>
        <v/>
      </c>
      <c r="M9897" s="17" t="str">
        <f>IFERROR(__xludf.DUMMYFUNCTION("""COMPUTED_VALUE"""),"")</f>
        <v/>
      </c>
      <c r="N9897" s="17" t="str">
        <f>IFERROR(__xludf.DUMMYFUNCTION("""COMPUTED_VALUE"""),"")</f>
        <v/>
      </c>
      <c r="O9897" s="17" t="str">
        <f>IFERROR(__xludf.DUMMYFUNCTION("""COMPUTED_VALUE"""),"")</f>
        <v/>
      </c>
      <c r="P9897" s="17" t="str">
        <f>IFERROR(__xludf.DUMMYFUNCTION("""COMPUTED_VALUE"""),"")</f>
        <v/>
      </c>
      <c r="Q9897" s="17" t="str">
        <f>IFERROR(__xludf.DUMMYFUNCTION("""COMPUTED_VALUE"""),"")</f>
        <v/>
      </c>
      <c r="R9897" s="17" t="str">
        <f>IFERROR(__xludf.DUMMYFUNCTION("""COMPUTED_VALUE"""),"")</f>
        <v/>
      </c>
    </row>
    <row r="9898">
      <c r="A9898" s="15">
        <f>IFERROR(__xludf.DUMMYFUNCTION("""COMPUTED_VALUE"""),45280.0)</f>
        <v>45280</v>
      </c>
      <c r="B9898" s="16" t="str">
        <f>IFERROR(__xludf.DUMMYFUNCTION("""COMPUTED_VALUE"""),"David Sanmartin Bello")</f>
        <v>David Sanmartin Bello</v>
      </c>
      <c r="C9898" s="15" t="str">
        <f>IFERROR(__xludf.DUMMYFUNCTION("""COMPUTED_VALUE"""),"CARTAGENA")</f>
        <v>CARTAGENA</v>
      </c>
      <c r="D9898" s="15" t="str">
        <f>IFERROR(__xludf.DUMMYFUNCTION("""COMPUTED_VALUE"""),"BOGOTÁ")</f>
        <v>BOGOTÁ</v>
      </c>
      <c r="E9898" s="15" t="str">
        <f>IFERROR(__xludf.DUMMYFUNCTION("""COMPUTED_VALUE"""),"Premium Choice")</f>
        <v>Premium Choice</v>
      </c>
      <c r="F9898" s="17" t="str">
        <f>IFERROR(__xludf.DUMMYFUNCTION("""COMPUTED_VALUE"""),"Calle 6 # 4 - 20  / La estación  / Bocagrande")</f>
        <v>Calle 6 # 4 - 20  / La estación  / Bocagrande</v>
      </c>
      <c r="G9898" s="15" t="str">
        <f>IFERROR(__xludf.DUMMYFUNCTION("""COMPUTED_VALUE"""),"Cocofit mercado saludable SAS")</f>
        <v>Cocofit mercado saludable SAS</v>
      </c>
      <c r="H9898" s="16">
        <f>IFERROR(__xludf.DUMMYFUNCTION("""COMPUTED_VALUE"""),18575.0)</f>
        <v>18575</v>
      </c>
      <c r="I9898" s="18">
        <f>IFERROR(__xludf.DUMMYFUNCTION("""COMPUTED_VALUE"""),16.0)</f>
        <v>16</v>
      </c>
      <c r="J9898" s="18">
        <f>IFERROR(__xludf.DUMMYFUNCTION("""COMPUTED_VALUE"""),36.0)</f>
        <v>36</v>
      </c>
      <c r="K9898" s="18">
        <f>IFERROR(__xludf.DUMMYFUNCTION("""COMPUTED_VALUE"""),25.0)</f>
        <v>25</v>
      </c>
      <c r="L9898" s="17">
        <f>IFERROR(__xludf.DUMMYFUNCTION("""COMPUTED_VALUE"""),3.102170999E9)</f>
        <v>3102170999</v>
      </c>
      <c r="M9898" s="17"/>
      <c r="N9898" s="17"/>
      <c r="O9898" s="17"/>
      <c r="P9898" s="17" t="b">
        <f>IFERROR(__xludf.DUMMYFUNCTION("""COMPUTED_VALUE"""),FALSE)</f>
        <v>0</v>
      </c>
      <c r="Q9898" s="20" t="str">
        <f>IFERROR(__xludf.DUMMYFUNCTION("""COMPUTED_VALUE"""),"")</f>
        <v/>
      </c>
      <c r="R9898" s="21" t="str">
        <f>IFERROR(__xludf.DUMMYFUNCTION("""COMPUTED_VALUE"""),"https://drive.google.com/file/d/14UnvCLMR6ojrhx3GOWKtu4Ooo2Gk8hvJ/view?usp=drivesdk")</f>
        <v>https://drive.google.com/file/d/14UnvCLMR6ojrhx3GOWKtu4Ooo2Gk8hvJ/view?usp=drivesdk</v>
      </c>
    </row>
    <row r="9899">
      <c r="A9899" s="15">
        <f>IFERROR(__xludf.DUMMYFUNCTION("""COMPUTED_VALUE"""),45280.0)</f>
        <v>45280</v>
      </c>
      <c r="B9899" s="16" t="str">
        <f>IFERROR(__xludf.DUMMYFUNCTION("""COMPUTED_VALUE"""),"David Sanmartin Bello")</f>
        <v>David Sanmartin Bello</v>
      </c>
      <c r="C9899" s="15" t="str">
        <f>IFERROR(__xludf.DUMMYFUNCTION("""COMPUTED_VALUE"""),"CARTAGENA")</f>
        <v>CARTAGENA</v>
      </c>
      <c r="D9899" s="15" t="str">
        <f>IFERROR(__xludf.DUMMYFUNCTION("""COMPUTED_VALUE"""),"BOGOTÁ")</f>
        <v>BOGOTÁ</v>
      </c>
      <c r="E9899" s="15" t="str">
        <f>IFERROR(__xludf.DUMMYFUNCTION("""COMPUTED_VALUE"""),"Premium Choice")</f>
        <v>Premium Choice</v>
      </c>
      <c r="F9899" s="17" t="str">
        <f>IFERROR(__xludf.DUMMYFUNCTION("""COMPUTED_VALUE"""),"Calle del bouquette 35 17  / Piso 2 Apt 2  / Al lado del éxito Maluna")</f>
        <v>Calle del bouquette 35 17  / Piso 2 Apt 2  / Al lado del éxito Maluna</v>
      </c>
      <c r="G9899" s="15" t="str">
        <f>IFERROR(__xludf.DUMMYFUNCTION("""COMPUTED_VALUE"""),"Inversiones ristretto")</f>
        <v>Inversiones ristretto</v>
      </c>
      <c r="H9899" s="16">
        <f>IFERROR(__xludf.DUMMYFUNCTION("""COMPUTED_VALUE"""),18573.0)</f>
        <v>18573</v>
      </c>
      <c r="I9899" s="18">
        <f>IFERROR(__xludf.DUMMYFUNCTION("""COMPUTED_VALUE"""),30.0)</f>
        <v>30</v>
      </c>
      <c r="J9899" s="18">
        <f>IFERROR(__xludf.DUMMYFUNCTION("""COMPUTED_VALUE"""),30.0)</f>
        <v>30</v>
      </c>
      <c r="K9899" s="18">
        <f>IFERROR(__xludf.DUMMYFUNCTION("""COMPUTED_VALUE"""),40.0)</f>
        <v>40</v>
      </c>
      <c r="L9899" s="17">
        <f>IFERROR(__xludf.DUMMYFUNCTION("""COMPUTED_VALUE"""),3.102170999E9)</f>
        <v>3102170999</v>
      </c>
      <c r="M9899" s="17"/>
      <c r="N9899" s="17"/>
      <c r="O9899" s="17"/>
      <c r="P9899" s="17" t="b">
        <f>IFERROR(__xludf.DUMMYFUNCTION("""COMPUTED_VALUE"""),FALSE)</f>
        <v>0</v>
      </c>
      <c r="Q9899" s="20" t="str">
        <f>IFERROR(__xludf.DUMMYFUNCTION("""COMPUTED_VALUE"""),"")</f>
        <v/>
      </c>
      <c r="R9899" s="21" t="str">
        <f>IFERROR(__xludf.DUMMYFUNCTION("""COMPUTED_VALUE"""),"https://drive.google.com/file/d/18VF6mKavWrp64_AgG5KvcxHy32itURxm/view?usp=drivesdk")</f>
        <v>https://drive.google.com/file/d/18VF6mKavWrp64_AgG5KvcxHy32itURxm/view?usp=drivesdk</v>
      </c>
    </row>
    <row r="9900">
      <c r="A9900" s="15">
        <f>IFERROR(__xludf.DUMMYFUNCTION("""COMPUTED_VALUE"""),45280.0)</f>
        <v>45280</v>
      </c>
      <c r="B9900" s="16" t="str">
        <f>IFERROR(__xludf.DUMMYFUNCTION("""COMPUTED_VALUE"""),"David Sanmartin Bello")</f>
        <v>David Sanmartin Bello</v>
      </c>
      <c r="C9900" s="15" t="str">
        <f>IFERROR(__xludf.DUMMYFUNCTION("""COMPUTED_VALUE"""),"CARTAGENA")</f>
        <v>CARTAGENA</v>
      </c>
      <c r="D9900" s="15" t="str">
        <f>IFERROR(__xludf.DUMMYFUNCTION("""COMPUTED_VALUE"""),"BOGOTÁ")</f>
        <v>BOGOTÁ</v>
      </c>
      <c r="E9900" s="15" t="str">
        <f>IFERROR(__xludf.DUMMYFUNCTION("""COMPUTED_VALUE"""),"Premium Choice")</f>
        <v>Premium Choice</v>
      </c>
      <c r="F9900" s="17" t="str">
        <f>IFERROR(__xludf.DUMMYFUNCTION("""COMPUTED_VALUE"""),"Cr 1 # 11 - 116  / Bocagrande  / Cartagena")</f>
        <v>Cr 1 # 11 - 116  / Bocagrande  / Cartagena</v>
      </c>
      <c r="G9900" s="15" t="str">
        <f>IFERROR(__xludf.DUMMYFUNCTION("""COMPUTED_VALUE"""),"Hoteles estelar")</f>
        <v>Hoteles estelar</v>
      </c>
      <c r="H9900" s="16">
        <f>IFERROR(__xludf.DUMMYFUNCTION("""COMPUTED_VALUE"""),18574.0)</f>
        <v>18574</v>
      </c>
      <c r="I9900" s="18">
        <f>IFERROR(__xludf.DUMMYFUNCTION("""COMPUTED_VALUE"""),14.0)</f>
        <v>14</v>
      </c>
      <c r="J9900" s="18">
        <f>IFERROR(__xludf.DUMMYFUNCTION("""COMPUTED_VALUE"""),17.0)</f>
        <v>17</v>
      </c>
      <c r="K9900" s="18">
        <f>IFERROR(__xludf.DUMMYFUNCTION("""COMPUTED_VALUE"""),10.0)</f>
        <v>10</v>
      </c>
      <c r="L9900" s="17">
        <f>IFERROR(__xludf.DUMMYFUNCTION("""COMPUTED_VALUE"""),3.102170999E9)</f>
        <v>3102170999</v>
      </c>
      <c r="M9900" s="17"/>
      <c r="N9900" s="17"/>
      <c r="O9900" s="17"/>
      <c r="P9900" s="17" t="b">
        <f>IFERROR(__xludf.DUMMYFUNCTION("""COMPUTED_VALUE"""),FALSE)</f>
        <v>0</v>
      </c>
      <c r="Q9900" s="20" t="str">
        <f>IFERROR(__xludf.DUMMYFUNCTION("""COMPUTED_VALUE"""),"")</f>
        <v/>
      </c>
      <c r="R9900" s="21" t="str">
        <f>IFERROR(__xludf.DUMMYFUNCTION("""COMPUTED_VALUE"""),"https://drive.google.com/file/d/1fPDTnpiKsTT6cMsLGm3bgSqRJinTjW-S/view?usp=drivesdk")</f>
        <v>https://drive.google.com/file/d/1fPDTnpiKsTT6cMsLGm3bgSqRJinTjW-S/view?usp=drivesdk</v>
      </c>
    </row>
    <row r="9901">
      <c r="A9901" s="17" t="str">
        <f>IFERROR(__xludf.DUMMYFUNCTION("""COMPUTED_VALUE"""),"")</f>
        <v/>
      </c>
      <c r="B9901" s="17" t="str">
        <f>IFERROR(__xludf.DUMMYFUNCTION("""COMPUTED_VALUE"""),"")</f>
        <v/>
      </c>
      <c r="C9901" s="17" t="str">
        <f>IFERROR(__xludf.DUMMYFUNCTION("""COMPUTED_VALUE"""),"")</f>
        <v/>
      </c>
      <c r="D9901" s="17" t="str">
        <f>IFERROR(__xludf.DUMMYFUNCTION("""COMPUTED_VALUE"""),"")</f>
        <v/>
      </c>
      <c r="E9901" s="17" t="str">
        <f>IFERROR(__xludf.DUMMYFUNCTION("""COMPUTED_VALUE"""),"")</f>
        <v/>
      </c>
      <c r="F9901" s="17" t="str">
        <f>IFERROR(__xludf.DUMMYFUNCTION("""COMPUTED_VALUE"""),"")</f>
        <v/>
      </c>
      <c r="G9901" s="17" t="str">
        <f>IFERROR(__xludf.DUMMYFUNCTION("""COMPUTED_VALUE"""),"")</f>
        <v/>
      </c>
      <c r="H9901" s="17" t="str">
        <f>IFERROR(__xludf.DUMMYFUNCTION("""COMPUTED_VALUE"""),"")</f>
        <v/>
      </c>
      <c r="I9901" s="17" t="str">
        <f>IFERROR(__xludf.DUMMYFUNCTION("""COMPUTED_VALUE"""),"")</f>
        <v/>
      </c>
      <c r="J9901" s="17" t="str">
        <f>IFERROR(__xludf.DUMMYFUNCTION("""COMPUTED_VALUE"""),"")</f>
        <v/>
      </c>
      <c r="K9901" s="17" t="str">
        <f>IFERROR(__xludf.DUMMYFUNCTION("""COMPUTED_VALUE"""),"")</f>
        <v/>
      </c>
      <c r="L9901" s="17" t="str">
        <f>IFERROR(__xludf.DUMMYFUNCTION("""COMPUTED_VALUE"""),"")</f>
        <v/>
      </c>
      <c r="M9901" s="17" t="str">
        <f>IFERROR(__xludf.DUMMYFUNCTION("""COMPUTED_VALUE"""),"")</f>
        <v/>
      </c>
      <c r="N9901" s="17" t="str">
        <f>IFERROR(__xludf.DUMMYFUNCTION("""COMPUTED_VALUE"""),"")</f>
        <v/>
      </c>
      <c r="O9901" s="17" t="str">
        <f>IFERROR(__xludf.DUMMYFUNCTION("""COMPUTED_VALUE"""),"")</f>
        <v/>
      </c>
      <c r="P9901" s="17" t="str">
        <f>IFERROR(__xludf.DUMMYFUNCTION("""COMPUTED_VALUE"""),"")</f>
        <v/>
      </c>
      <c r="Q9901" s="17" t="str">
        <f>IFERROR(__xludf.DUMMYFUNCTION("""COMPUTED_VALUE"""),"")</f>
        <v/>
      </c>
      <c r="R9901" s="17" t="str">
        <f>IFERROR(__xludf.DUMMYFUNCTION("""COMPUTED_VALUE"""),"")</f>
        <v/>
      </c>
    </row>
    <row r="9902">
      <c r="A9902" s="15">
        <f>IFERROR(__xludf.DUMMYFUNCTION("""COMPUTED_VALUE"""),45280.0)</f>
        <v>45280</v>
      </c>
      <c r="B9902" s="16" t="str">
        <f>IFERROR(__xludf.DUMMYFUNCTION("""COMPUTED_VALUE"""),"Edgardo Antonio Morales Gómez")</f>
        <v>Edgardo Antonio Morales Gómez</v>
      </c>
      <c r="C9902" s="15" t="str">
        <f>IFERROR(__xludf.DUMMYFUNCTION("""COMPUTED_VALUE"""),"SINCELEJO")</f>
        <v>SINCELEJO</v>
      </c>
      <c r="D9902" s="15" t="str">
        <f>IFERROR(__xludf.DUMMYFUNCTION("""COMPUTED_VALUE"""),"BOGOTÁ")</f>
        <v>BOGOTÁ</v>
      </c>
      <c r="E9902" s="15" t="str">
        <f>IFERROR(__xludf.DUMMYFUNCTION("""COMPUTED_VALUE"""),"Instinto alimento vital")</f>
        <v>Instinto alimento vital</v>
      </c>
      <c r="F9902" s="17" t="str">
        <f>IFERROR(__xludf.DUMMYFUNCTION("""COMPUTED_VALUE"""),"CR 10D #25C-11 / URBANIZACION LAS COLINAS")</f>
        <v>CR 10D #25C-11 / URBANIZACION LAS COLINAS</v>
      </c>
      <c r="G9902" s="15" t="str">
        <f>IFERROR(__xludf.DUMMYFUNCTION("""COMPUTED_VALUE"""),"NASSIR ELIAS SAMUR HERNANDEZ")</f>
        <v>NASSIR ELIAS SAMUR HERNANDEZ</v>
      </c>
      <c r="H9902" s="16">
        <f>IFERROR(__xludf.DUMMYFUNCTION("""COMPUTED_VALUE"""),18541.0)</f>
        <v>18541</v>
      </c>
      <c r="I9902" s="17"/>
      <c r="J9902" s="17"/>
      <c r="K9902" s="17"/>
      <c r="L9902" s="17">
        <f>IFERROR(__xludf.DUMMYFUNCTION("""COMPUTED_VALUE"""),3.215002753E9)</f>
        <v>3215002753</v>
      </c>
      <c r="M9902" s="17"/>
      <c r="N9902" s="17"/>
      <c r="O9902" s="17"/>
      <c r="P9902" s="17" t="b">
        <f>IFERROR(__xludf.DUMMYFUNCTION("""COMPUTED_VALUE"""),TRUE)</f>
        <v>1</v>
      </c>
      <c r="Q9902" s="20">
        <f>IFERROR(__xludf.DUMMYFUNCTION("""COMPUTED_VALUE"""),45281.07747643518)</f>
        <v>45281.07748</v>
      </c>
      <c r="R9902" s="22" t="str">
        <f>IFERROR(__xludf.DUMMYFUNCTION("""COMPUTED_VALUE"""),"")</f>
        <v/>
      </c>
    </row>
    <row r="9903">
      <c r="A9903" s="15">
        <f>IFERROR(__xludf.DUMMYFUNCTION("""COMPUTED_VALUE"""),45280.0)</f>
        <v>45280</v>
      </c>
      <c r="B9903" s="16" t="str">
        <f>IFERROR(__xludf.DUMMYFUNCTION("""COMPUTED_VALUE"""),"Edgardo Antonio Morales Gómez")</f>
        <v>Edgardo Antonio Morales Gómez</v>
      </c>
      <c r="C9903" s="15" t="str">
        <f>IFERROR(__xludf.DUMMYFUNCTION("""COMPUTED_VALUE"""),"SINCELEJO")</f>
        <v>SINCELEJO</v>
      </c>
      <c r="D9903" s="15" t="str">
        <f>IFERROR(__xludf.DUMMYFUNCTION("""COMPUTED_VALUE"""),"ENVIGADO")</f>
        <v>ENVIGADO</v>
      </c>
      <c r="E9903" s="15" t="str">
        <f>IFERROR(__xludf.DUMMYFUNCTION("""COMPUTED_VALUE"""),"RAMBLA")</f>
        <v>RAMBLA</v>
      </c>
      <c r="F9903" s="17" t="str">
        <f>IFERROR(__xludf.DUMMYFUNCTION("""COMPUTED_VALUE"""),"Calle 32 #33 -119 / local 101 cc living mall")</f>
        <v>Calle 32 #33 -119 / local 101 cc living mall</v>
      </c>
      <c r="G9903" s="15" t="str">
        <f>IFERROR(__xludf.DUMMYFUNCTION("""COMPUTED_VALUE"""),"Oliva")</f>
        <v>Oliva</v>
      </c>
      <c r="H9903" s="16">
        <f>IFERROR(__xludf.DUMMYFUNCTION("""COMPUTED_VALUE"""),18608.0)</f>
        <v>18608</v>
      </c>
      <c r="I9903" s="17"/>
      <c r="J9903" s="17"/>
      <c r="K9903" s="17"/>
      <c r="L9903" s="17">
        <f>IFERROR(__xludf.DUMMYFUNCTION("""COMPUTED_VALUE"""),3.022293728E9)</f>
        <v>3022293728</v>
      </c>
      <c r="M9903" s="17"/>
      <c r="N9903" s="17"/>
      <c r="O9903" s="17"/>
      <c r="P9903" s="17" t="b">
        <f>IFERROR(__xludf.DUMMYFUNCTION("""COMPUTED_VALUE"""),TRUE)</f>
        <v>1</v>
      </c>
      <c r="Q9903" s="20">
        <f>IFERROR(__xludf.DUMMYFUNCTION("""COMPUTED_VALUE"""),45280.65613524306)</f>
        <v>45280.65614</v>
      </c>
      <c r="R9903" s="22" t="str">
        <f>IFERROR(__xludf.DUMMYFUNCTION("""COMPUTED_VALUE"""),"")</f>
        <v/>
      </c>
    </row>
    <row r="9904">
      <c r="A9904" s="17" t="str">
        <f>IFERROR(__xludf.DUMMYFUNCTION("""COMPUTED_VALUE"""),"")</f>
        <v/>
      </c>
      <c r="B9904" s="17" t="str">
        <f>IFERROR(__xludf.DUMMYFUNCTION("""COMPUTED_VALUE"""),"")</f>
        <v/>
      </c>
      <c r="C9904" s="17" t="str">
        <f>IFERROR(__xludf.DUMMYFUNCTION("""COMPUTED_VALUE"""),"")</f>
        <v/>
      </c>
      <c r="D9904" s="17" t="str">
        <f>IFERROR(__xludf.DUMMYFUNCTION("""COMPUTED_VALUE"""),"")</f>
        <v/>
      </c>
      <c r="E9904" s="17" t="str">
        <f>IFERROR(__xludf.DUMMYFUNCTION("""COMPUTED_VALUE"""),"")</f>
        <v/>
      </c>
      <c r="F9904" s="17" t="str">
        <f>IFERROR(__xludf.DUMMYFUNCTION("""COMPUTED_VALUE"""),"")</f>
        <v/>
      </c>
      <c r="G9904" s="17" t="str">
        <f>IFERROR(__xludf.DUMMYFUNCTION("""COMPUTED_VALUE"""),"")</f>
        <v/>
      </c>
      <c r="H9904" s="17" t="str">
        <f>IFERROR(__xludf.DUMMYFUNCTION("""COMPUTED_VALUE"""),"")</f>
        <v/>
      </c>
      <c r="I9904" s="17" t="str">
        <f>IFERROR(__xludf.DUMMYFUNCTION("""COMPUTED_VALUE"""),"")</f>
        <v/>
      </c>
      <c r="J9904" s="17" t="str">
        <f>IFERROR(__xludf.DUMMYFUNCTION("""COMPUTED_VALUE"""),"")</f>
        <v/>
      </c>
      <c r="K9904" s="17" t="str">
        <f>IFERROR(__xludf.DUMMYFUNCTION("""COMPUTED_VALUE"""),"")</f>
        <v/>
      </c>
      <c r="L9904" s="17" t="str">
        <f>IFERROR(__xludf.DUMMYFUNCTION("""COMPUTED_VALUE"""),"")</f>
        <v/>
      </c>
      <c r="M9904" s="17" t="str">
        <f>IFERROR(__xludf.DUMMYFUNCTION("""COMPUTED_VALUE"""),"")</f>
        <v/>
      </c>
      <c r="N9904" s="17" t="str">
        <f>IFERROR(__xludf.DUMMYFUNCTION("""COMPUTED_VALUE"""),"")</f>
        <v/>
      </c>
      <c r="O9904" s="17" t="str">
        <f>IFERROR(__xludf.DUMMYFUNCTION("""COMPUTED_VALUE"""),"")</f>
        <v/>
      </c>
      <c r="P9904" s="17" t="str">
        <f>IFERROR(__xludf.DUMMYFUNCTION("""COMPUTED_VALUE"""),"")</f>
        <v/>
      </c>
      <c r="Q9904" s="17" t="str">
        <f>IFERROR(__xludf.DUMMYFUNCTION("""COMPUTED_VALUE"""),"")</f>
        <v/>
      </c>
      <c r="R9904" s="17" t="str">
        <f>IFERROR(__xludf.DUMMYFUNCTION("""COMPUTED_VALUE"""),"")</f>
        <v/>
      </c>
    </row>
    <row r="9905">
      <c r="A9905" s="15">
        <f>IFERROR(__xludf.DUMMYFUNCTION("""COMPUTED_VALUE"""),45280.0)</f>
        <v>45280</v>
      </c>
      <c r="B9905" s="16" t="str">
        <f>IFERROR(__xludf.DUMMYFUNCTION("""COMPUTED_VALUE"""),"Envia")</f>
        <v>Envia</v>
      </c>
      <c r="C9905" s="15" t="str">
        <f>IFERROR(__xludf.DUMMYFUNCTION("""COMPUTED_VALUE"""),"ARMENIA")</f>
        <v>ARMENIA</v>
      </c>
      <c r="D9905" s="15" t="str">
        <f>IFERROR(__xludf.DUMMYFUNCTION("""COMPUTED_VALUE"""),"PEREIRA")</f>
        <v>PEREIRA</v>
      </c>
      <c r="E9905" s="15" t="str">
        <f>IFERROR(__xludf.DUMMYFUNCTION("""COMPUTED_VALUE"""),"Sofis Cream")</f>
        <v>Sofis Cream</v>
      </c>
      <c r="F9905" s="17" t="str">
        <f>IFERROR(__xludf.DUMMYFUNCTION("""COMPUTED_VALUE"""),"Cra 15 22 Norte -5 / Caja de helados")</f>
        <v>Cra 15 22 Norte -5 / Caja de helados</v>
      </c>
      <c r="G9905" s="15" t="str">
        <f>IFERROR(__xludf.DUMMYFUNCTION("""COMPUTED_VALUE"""),"Tienda Fitness - Eco")</f>
        <v>Tienda Fitness - Eco</v>
      </c>
      <c r="H9905" s="16">
        <f>IFERROR(__xludf.DUMMYFUNCTION("""COMPUTED_VALUE"""),18479.0)</f>
        <v>18479</v>
      </c>
      <c r="I9905" s="17"/>
      <c r="J9905" s="17"/>
      <c r="K9905" s="17"/>
      <c r="L9905" s="17">
        <f>IFERROR(__xludf.DUMMYFUNCTION("""COMPUTED_VALUE"""),3.217007417E9)</f>
        <v>3217007417</v>
      </c>
      <c r="M9905" s="17"/>
      <c r="N9905" s="17"/>
      <c r="O9905" s="17"/>
      <c r="P9905" s="17" t="b">
        <f>IFERROR(__xludf.DUMMYFUNCTION("""COMPUTED_VALUE"""),FALSE)</f>
        <v>0</v>
      </c>
      <c r="Q9905" s="20" t="str">
        <f>IFERROR(__xludf.DUMMYFUNCTION("""COMPUTED_VALUE"""),"")</f>
        <v/>
      </c>
      <c r="R9905" s="21" t="str">
        <f>IFERROR(__xludf.DUMMYFUNCTION("""COMPUTED_VALUE"""),"https://drive.google.com/file/d/1HbBnGkqI6hUhfdwoNraY8YCFu3xbShrz/view?usp=drivesdk")</f>
        <v>https://drive.google.com/file/d/1HbBnGkqI6hUhfdwoNraY8YCFu3xbShrz/view?usp=drivesdk</v>
      </c>
    </row>
    <row r="9906">
      <c r="A9906" s="15">
        <f>IFERROR(__xludf.DUMMYFUNCTION("""COMPUTED_VALUE"""),45280.0)</f>
        <v>45280</v>
      </c>
      <c r="B9906" s="16" t="str">
        <f>IFERROR(__xludf.DUMMYFUNCTION("""COMPUTED_VALUE"""),"Envia")</f>
        <v>Envia</v>
      </c>
      <c r="C9906" s="15" t="str">
        <f>IFERROR(__xludf.DUMMYFUNCTION("""COMPUTED_VALUE"""),"CALI")</f>
        <v>CALI</v>
      </c>
      <c r="D9906" s="15" t="str">
        <f>IFERROR(__xludf.DUMMYFUNCTION("""COMPUTED_VALUE"""),"MEDELLÍN")</f>
        <v>MEDELLÍN</v>
      </c>
      <c r="E9906" s="15" t="str">
        <f>IFERROR(__xludf.DUMMYFUNCTION("""COMPUTED_VALUE"""),"JdBufala")</f>
        <v>JdBufala</v>
      </c>
      <c r="F9906" s="17" t="str">
        <f>IFERROR(__xludf.DUMMYFUNCTION("""COMPUTED_VALUE"""),"Calle 51 norte # 4bn 72 / Delhuertopizzeria")</f>
        <v>Calle 51 norte # 4bn 72 / Delhuertopizzeria</v>
      </c>
      <c r="G9906" s="15" t="str">
        <f>IFERROR(__xludf.DUMMYFUNCTION("""COMPUTED_VALUE"""),"Javier")</f>
        <v>Javier</v>
      </c>
      <c r="H9906" s="16">
        <f>IFERROR(__xludf.DUMMYFUNCTION("""COMPUTED_VALUE"""),18617.0)</f>
        <v>18617</v>
      </c>
      <c r="I9906" s="17"/>
      <c r="J9906" s="17"/>
      <c r="K9906" s="17"/>
      <c r="L9906" s="17">
        <f>IFERROR(__xludf.DUMMYFUNCTION("""COMPUTED_VALUE"""),3.206763524E9)</f>
        <v>3206763524</v>
      </c>
      <c r="M9906" s="17"/>
      <c r="N9906" s="17"/>
      <c r="O9906" s="17"/>
      <c r="P9906" s="17" t="b">
        <f>IFERROR(__xludf.DUMMYFUNCTION("""COMPUTED_VALUE"""),FALSE)</f>
        <v>0</v>
      </c>
      <c r="Q9906" s="20" t="str">
        <f>IFERROR(__xludf.DUMMYFUNCTION("""COMPUTED_VALUE"""),"")</f>
        <v/>
      </c>
      <c r="R9906" s="21" t="str">
        <f>IFERROR(__xludf.DUMMYFUNCTION("""COMPUTED_VALUE"""),"https://drive.google.com/file/d/1htgcYIQT9rh2dPY2VHXxEC1FoxgbGHvx/view?usp=drivesdk")</f>
        <v>https://drive.google.com/file/d/1htgcYIQT9rh2dPY2VHXxEC1FoxgbGHvx/view?usp=drivesdk</v>
      </c>
    </row>
    <row r="9907">
      <c r="A9907" s="15">
        <f>IFERROR(__xludf.DUMMYFUNCTION("""COMPUTED_VALUE"""),45280.0)</f>
        <v>45280</v>
      </c>
      <c r="B9907" s="16" t="str">
        <f>IFERROR(__xludf.DUMMYFUNCTION("""COMPUTED_VALUE"""),"Envia")</f>
        <v>Envia</v>
      </c>
      <c r="C9907" s="15" t="str">
        <f>IFERROR(__xludf.DUMMYFUNCTION("""COMPUTED_VALUE"""),"CALI")</f>
        <v>CALI</v>
      </c>
      <c r="D9907" s="15" t="str">
        <f>IFERROR(__xludf.DUMMYFUNCTION("""COMPUTED_VALUE"""),"MEDELLÍN")</f>
        <v>MEDELLÍN</v>
      </c>
      <c r="E9907" s="15" t="str">
        <f>IFERROR(__xludf.DUMMYFUNCTION("""COMPUTED_VALUE"""),"Todo Bufala")</f>
        <v>Todo Bufala</v>
      </c>
      <c r="F9907" s="17" t="str">
        <f>IFERROR(__xludf.DUMMYFUNCTION("""COMPUTED_VALUE"""),"Cle 51 Norte #4BN-72 / Cle 51 Norte #4BN-72")</f>
        <v>Cle 51 Norte #4BN-72 / Cle 51 Norte #4BN-72</v>
      </c>
      <c r="G9907" s="15" t="str">
        <f>IFERROR(__xludf.DUMMYFUNCTION("""COMPUTED_VALUE"""),"Jaiver Rodriguez")</f>
        <v>Jaiver Rodriguez</v>
      </c>
      <c r="H9907" s="16">
        <f>IFERROR(__xludf.DUMMYFUNCTION("""COMPUTED_VALUE"""),18508.0)</f>
        <v>18508</v>
      </c>
      <c r="I9907" s="17"/>
      <c r="J9907" s="17"/>
      <c r="K9907" s="17"/>
      <c r="L9907" s="17"/>
      <c r="M9907" s="17"/>
      <c r="N9907" s="17"/>
      <c r="O9907" s="17"/>
      <c r="P9907" s="17" t="b">
        <f>IFERROR(__xludf.DUMMYFUNCTION("""COMPUTED_VALUE"""),FALSE)</f>
        <v>0</v>
      </c>
      <c r="Q9907" s="20" t="str">
        <f>IFERROR(__xludf.DUMMYFUNCTION("""COMPUTED_VALUE"""),"")</f>
        <v/>
      </c>
      <c r="R9907" s="21" t="str">
        <f>IFERROR(__xludf.DUMMYFUNCTION("""COMPUTED_VALUE"""),"https://drive.google.com/file/d/14KevWhboDsvt5DYkQyuNQ2rnIwgzbtg4/view?usp=drivesdk")</f>
        <v>https://drive.google.com/file/d/14KevWhboDsvt5DYkQyuNQ2rnIwgzbtg4/view?usp=drivesdk</v>
      </c>
    </row>
    <row r="9908">
      <c r="A9908" s="15">
        <f>IFERROR(__xludf.DUMMYFUNCTION("""COMPUTED_VALUE"""),45280.0)</f>
        <v>45280</v>
      </c>
      <c r="B9908" s="16" t="str">
        <f>IFERROR(__xludf.DUMMYFUNCTION("""COMPUTED_VALUE"""),"Envia")</f>
        <v>Envia</v>
      </c>
      <c r="C9908" s="15" t="str">
        <f>IFERROR(__xludf.DUMMYFUNCTION("""COMPUTED_VALUE"""),"CALI")</f>
        <v>CALI</v>
      </c>
      <c r="D9908" s="15" t="str">
        <f>IFERROR(__xludf.DUMMYFUNCTION("""COMPUTED_VALUE"""),"PEREIRA")</f>
        <v>PEREIRA</v>
      </c>
      <c r="E9908" s="15" t="str">
        <f>IFERROR(__xludf.DUMMYFUNCTION("""COMPUTED_VALUE"""),"Sofis Cream")</f>
        <v>Sofis Cream</v>
      </c>
      <c r="F9908" s="17" t="str">
        <f>IFERROR(__xludf.DUMMYFUNCTION("""COMPUTED_VALUE"""),"Av 4 Norte # 7N-46 Local 129 - Centro Comercial Centenario / Caja de helados")</f>
        <v>Av 4 Norte # 7N-46 Local 129 - Centro Comercial Centenario / Caja de helados</v>
      </c>
      <c r="G9908" s="15" t="str">
        <f>IFERROR(__xludf.DUMMYFUNCTION("""COMPUTED_VALUE"""),"Vita Fitnees")</f>
        <v>Vita Fitnees</v>
      </c>
      <c r="H9908" s="16">
        <f>IFERROR(__xludf.DUMMYFUNCTION("""COMPUTED_VALUE"""),18478.0)</f>
        <v>18478</v>
      </c>
      <c r="I9908" s="17"/>
      <c r="J9908" s="17"/>
      <c r="K9908" s="17"/>
      <c r="L9908" s="17">
        <f>IFERROR(__xludf.DUMMYFUNCTION("""COMPUTED_VALUE"""),3.226927759E9)</f>
        <v>3226927759</v>
      </c>
      <c r="M9908" s="17"/>
      <c r="N9908" s="17"/>
      <c r="O9908" s="17"/>
      <c r="P9908" s="17" t="b">
        <f>IFERROR(__xludf.DUMMYFUNCTION("""COMPUTED_VALUE"""),FALSE)</f>
        <v>0</v>
      </c>
      <c r="Q9908" s="20" t="str">
        <f>IFERROR(__xludf.DUMMYFUNCTION("""COMPUTED_VALUE"""),"")</f>
        <v/>
      </c>
      <c r="R9908" s="21" t="str">
        <f>IFERROR(__xludf.DUMMYFUNCTION("""COMPUTED_VALUE"""),"https://drive.google.com/file/d/1Ugl75KC2EC7gGAES60mZ80Qj0vgURtqj/view?usp=drivesdk")</f>
        <v>https://drive.google.com/file/d/1Ugl75KC2EC7gGAES60mZ80Qj0vgURtqj/view?usp=drivesdk</v>
      </c>
    </row>
    <row r="9909">
      <c r="A9909" s="15">
        <f>IFERROR(__xludf.DUMMYFUNCTION("""COMPUTED_VALUE"""),45280.0)</f>
        <v>45280</v>
      </c>
      <c r="B9909" s="16" t="str">
        <f>IFERROR(__xludf.DUMMYFUNCTION("""COMPUTED_VALUE"""),"Envia")</f>
        <v>Envia</v>
      </c>
      <c r="C9909" s="15" t="str">
        <f>IFERROR(__xludf.DUMMYFUNCTION("""COMPUTED_VALUE"""),"CÚCUTA")</f>
        <v>CÚCUTA</v>
      </c>
      <c r="D9909" s="15" t="str">
        <f>IFERROR(__xludf.DUMMYFUNCTION("""COMPUTED_VALUE"""),"MEDELLÍN")</f>
        <v>MEDELLÍN</v>
      </c>
      <c r="E9909" s="15" t="str">
        <f>IFERROR(__xludf.DUMMYFUNCTION("""COMPUTED_VALUE"""),"Momo Tea S.A.S Gabriel Echavarría")</f>
        <v>Momo Tea S.A.S Gabriel Echavarría</v>
      </c>
      <c r="F9909" s="17" t="str">
        <f>IFERROR(__xludf.DUMMYFUNCTION("""COMPUTED_VALUE"""),"CL 11 N 16 E 35 / CA B 1")</f>
        <v>CL 11 N 16 E 35 / CA B 1</v>
      </c>
      <c r="G9909" s="15" t="str">
        <f>IFERROR(__xludf.DUMMYFUNCTION("""COMPUTED_VALUE"""),"Gabriel Echavarría")</f>
        <v>Gabriel Echavarría</v>
      </c>
      <c r="H9909" s="16">
        <f>IFERROR(__xludf.DUMMYFUNCTION("""COMPUTED_VALUE"""),18619.0)</f>
        <v>18619</v>
      </c>
      <c r="I9909" s="18">
        <f>IFERROR(__xludf.DUMMYFUNCTION("""COMPUTED_VALUE"""),21.0)</f>
        <v>21</v>
      </c>
      <c r="J9909" s="18">
        <f>IFERROR(__xludf.DUMMYFUNCTION("""COMPUTED_VALUE"""),29.0)</f>
        <v>29</v>
      </c>
      <c r="K9909" s="18">
        <f>IFERROR(__xludf.DUMMYFUNCTION("""COMPUTED_VALUE"""),29.0)</f>
        <v>29</v>
      </c>
      <c r="L9909" s="17">
        <f>IFERROR(__xludf.DUMMYFUNCTION("""COMPUTED_VALUE"""),3.017909548E9)</f>
        <v>3017909548</v>
      </c>
      <c r="M9909" s="17"/>
      <c r="N9909" s="17"/>
      <c r="O9909" s="17"/>
      <c r="P9909" s="17" t="b">
        <f>IFERROR(__xludf.DUMMYFUNCTION("""COMPUTED_VALUE"""),FALSE)</f>
        <v>0</v>
      </c>
      <c r="Q9909" s="20" t="str">
        <f>IFERROR(__xludf.DUMMYFUNCTION("""COMPUTED_VALUE"""),"")</f>
        <v/>
      </c>
      <c r="R9909" s="21" t="str">
        <f>IFERROR(__xludf.DUMMYFUNCTION("""COMPUTED_VALUE"""),"https://drive.google.com/file/d/1Qxe62UXFTR7xbHXOtKmRCjud1EjpuIVQ/view?usp=drivesdk")</f>
        <v>https://drive.google.com/file/d/1Qxe62UXFTR7xbHXOtKmRCjud1EjpuIVQ/view?usp=drivesdk</v>
      </c>
    </row>
    <row r="9910">
      <c r="A9910" s="17" t="str">
        <f>IFERROR(__xludf.DUMMYFUNCTION("""COMPUTED_VALUE"""),"")</f>
        <v/>
      </c>
      <c r="B9910" s="17" t="str">
        <f>IFERROR(__xludf.DUMMYFUNCTION("""COMPUTED_VALUE"""),"")</f>
        <v/>
      </c>
      <c r="C9910" s="17" t="str">
        <f>IFERROR(__xludf.DUMMYFUNCTION("""COMPUTED_VALUE"""),"")</f>
        <v/>
      </c>
      <c r="D9910" s="17" t="str">
        <f>IFERROR(__xludf.DUMMYFUNCTION("""COMPUTED_VALUE"""),"")</f>
        <v/>
      </c>
      <c r="E9910" s="17" t="str">
        <f>IFERROR(__xludf.DUMMYFUNCTION("""COMPUTED_VALUE"""),"")</f>
        <v/>
      </c>
      <c r="F9910" s="17" t="str">
        <f>IFERROR(__xludf.DUMMYFUNCTION("""COMPUTED_VALUE"""),"")</f>
        <v/>
      </c>
      <c r="G9910" s="17" t="str">
        <f>IFERROR(__xludf.DUMMYFUNCTION("""COMPUTED_VALUE"""),"")</f>
        <v/>
      </c>
      <c r="H9910" s="17" t="str">
        <f>IFERROR(__xludf.DUMMYFUNCTION("""COMPUTED_VALUE"""),"")</f>
        <v/>
      </c>
      <c r="I9910" s="17" t="str">
        <f>IFERROR(__xludf.DUMMYFUNCTION("""COMPUTED_VALUE"""),"")</f>
        <v/>
      </c>
      <c r="J9910" s="17" t="str">
        <f>IFERROR(__xludf.DUMMYFUNCTION("""COMPUTED_VALUE"""),"")</f>
        <v/>
      </c>
      <c r="K9910" s="17" t="str">
        <f>IFERROR(__xludf.DUMMYFUNCTION("""COMPUTED_VALUE"""),"")</f>
        <v/>
      </c>
      <c r="L9910" s="17" t="str">
        <f>IFERROR(__xludf.DUMMYFUNCTION("""COMPUTED_VALUE"""),"")</f>
        <v/>
      </c>
      <c r="M9910" s="17" t="str">
        <f>IFERROR(__xludf.DUMMYFUNCTION("""COMPUTED_VALUE"""),"")</f>
        <v/>
      </c>
      <c r="N9910" s="17" t="str">
        <f>IFERROR(__xludf.DUMMYFUNCTION("""COMPUTED_VALUE"""),"")</f>
        <v/>
      </c>
      <c r="O9910" s="17" t="str">
        <f>IFERROR(__xludf.DUMMYFUNCTION("""COMPUTED_VALUE"""),"")</f>
        <v/>
      </c>
      <c r="P9910" s="17" t="str">
        <f>IFERROR(__xludf.DUMMYFUNCTION("""COMPUTED_VALUE"""),"")</f>
        <v/>
      </c>
      <c r="Q9910" s="17" t="str">
        <f>IFERROR(__xludf.DUMMYFUNCTION("""COMPUTED_VALUE"""),"")</f>
        <v/>
      </c>
      <c r="R9910" s="17" t="str">
        <f>IFERROR(__xludf.DUMMYFUNCTION("""COMPUTED_VALUE"""),"")</f>
        <v/>
      </c>
    </row>
    <row r="9911">
      <c r="A9911" s="15">
        <f>IFERROR(__xludf.DUMMYFUNCTION("""COMPUTED_VALUE"""),45280.0)</f>
        <v>45280</v>
      </c>
      <c r="B9911" s="16" t="str">
        <f>IFERROR(__xludf.DUMMYFUNCTION("""COMPUTED_VALUE"""),"Johan Alexander Escobar Arroyo ")</f>
        <v>Johan Alexander Escobar Arroyo </v>
      </c>
      <c r="C9911" s="15" t="str">
        <f>IFERROR(__xludf.DUMMYFUNCTION("""COMPUTED_VALUE"""),"CALI")</f>
        <v>CALI</v>
      </c>
      <c r="D9911" s="15" t="str">
        <f>IFERROR(__xludf.DUMMYFUNCTION("""COMPUTED_VALUE"""),"MEDELLÍN")</f>
        <v>MEDELLÍN</v>
      </c>
      <c r="E9911" s="15" t="str">
        <f>IFERROR(__xludf.DUMMYFUNCTION("""COMPUTED_VALUE"""),"Baby Chef")</f>
        <v>Baby Chef</v>
      </c>
      <c r="F9911" s="17" t="str">
        <f>IFERROR(__xludf.DUMMYFUNCTION("""COMPUTED_VALUE"""),"Calle 45 #93-36 UNIDAD RESIDENCIAL PODIUM TORRE A AP 1501 / . / .")</f>
        <v>Calle 45 #93-36 UNIDAD RESIDENCIAL PODIUM TORRE A AP 1501 / . / .</v>
      </c>
      <c r="G9911" s="15" t="str">
        <f>IFERROR(__xludf.DUMMYFUNCTION("""COMPUTED_VALUE"""),"Jorge Gutierrez")</f>
        <v>Jorge Gutierrez</v>
      </c>
      <c r="H9911" s="16">
        <f>IFERROR(__xludf.DUMMYFUNCTION("""COMPUTED_VALUE"""),18589.0)</f>
        <v>18589</v>
      </c>
      <c r="I9911" s="18">
        <f>IFERROR(__xludf.DUMMYFUNCTION("""COMPUTED_VALUE"""),9.0)</f>
        <v>9</v>
      </c>
      <c r="J9911" s="18">
        <f>IFERROR(__xludf.DUMMYFUNCTION("""COMPUTED_VALUE"""),20.0)</f>
        <v>20</v>
      </c>
      <c r="K9911" s="18">
        <f>IFERROR(__xludf.DUMMYFUNCTION("""COMPUTED_VALUE"""),33.0)</f>
        <v>33</v>
      </c>
      <c r="L9911" s="17">
        <f>IFERROR(__xludf.DUMMYFUNCTION("""COMPUTED_VALUE"""),3.502984795E9)</f>
        <v>3502984795</v>
      </c>
      <c r="M9911" s="17"/>
      <c r="N9911" s="17"/>
      <c r="O9911" s="17"/>
      <c r="P9911" s="17" t="b">
        <f>IFERROR(__xludf.DUMMYFUNCTION("""COMPUTED_VALUE"""),FALSE)</f>
        <v>0</v>
      </c>
      <c r="Q9911" s="20" t="str">
        <f>IFERROR(__xludf.DUMMYFUNCTION("""COMPUTED_VALUE"""),"")</f>
        <v/>
      </c>
      <c r="R9911" s="21" t="str">
        <f>IFERROR(__xludf.DUMMYFUNCTION("""COMPUTED_VALUE"""),"https://drive.google.com/file/d/1XXceVX70FZR5Ca0Jdc8k55PwBFFq_qwj/view?usp=drivesdk")</f>
        <v>https://drive.google.com/file/d/1XXceVX70FZR5Ca0Jdc8k55PwBFFq_qwj/view?usp=drivesdk</v>
      </c>
    </row>
    <row r="9912">
      <c r="A9912" s="15">
        <f>IFERROR(__xludf.DUMMYFUNCTION("""COMPUTED_VALUE"""),45280.0)</f>
        <v>45280</v>
      </c>
      <c r="B9912" s="16" t="str">
        <f>IFERROR(__xludf.DUMMYFUNCTION("""COMPUTED_VALUE"""),"Johan Alexander Escobar Arroyo ")</f>
        <v>Johan Alexander Escobar Arroyo </v>
      </c>
      <c r="C9912" s="15" t="str">
        <f>IFERROR(__xludf.DUMMYFUNCTION("""COMPUTED_VALUE"""),"CALI")</f>
        <v>CALI</v>
      </c>
      <c r="D9912" s="15" t="str">
        <f>IFERROR(__xludf.DUMMYFUNCTION("""COMPUTED_VALUE"""),"MEDELLÍN")</f>
        <v>MEDELLÍN</v>
      </c>
      <c r="E9912" s="15" t="str">
        <f>IFERROR(__xludf.DUMMYFUNCTION("""COMPUTED_VALUE"""),"Baby Chef")</f>
        <v>Baby Chef</v>
      </c>
      <c r="F9912" s="17" t="str">
        <f>IFERROR(__xludf.DUMMYFUNCTION("""COMPUTED_VALUE"""),"Carrera 103 # 11 - 40 Número de apartamento Casa L2 Sendero del Polo Club casa L2, Barrio Ciudad jardín / . / .")</f>
        <v>Carrera 103 # 11 - 40 Número de apartamento Casa L2 Sendero del Polo Club casa L2, Barrio Ciudad jardín / . / .</v>
      </c>
      <c r="G9912" s="15" t="str">
        <f>IFERROR(__xludf.DUMMYFUNCTION("""COMPUTED_VALUE"""),"Manuela Escobar")</f>
        <v>Manuela Escobar</v>
      </c>
      <c r="H9912" s="16">
        <f>IFERROR(__xludf.DUMMYFUNCTION("""COMPUTED_VALUE"""),18591.0)</f>
        <v>18591</v>
      </c>
      <c r="I9912" s="18">
        <f>IFERROR(__xludf.DUMMYFUNCTION("""COMPUTED_VALUE"""),9.0)</f>
        <v>9</v>
      </c>
      <c r="J9912" s="18">
        <f>IFERROR(__xludf.DUMMYFUNCTION("""COMPUTED_VALUE"""),24.0)</f>
        <v>24</v>
      </c>
      <c r="K9912" s="18">
        <f>IFERROR(__xludf.DUMMYFUNCTION("""COMPUTED_VALUE"""),39.0)</f>
        <v>39</v>
      </c>
      <c r="L9912" s="17">
        <f>IFERROR(__xludf.DUMMYFUNCTION("""COMPUTED_VALUE"""),3.103997635E9)</f>
        <v>3103997635</v>
      </c>
      <c r="M9912" s="17"/>
      <c r="N9912" s="17"/>
      <c r="O9912" s="17"/>
      <c r="P9912" s="17" t="b">
        <f>IFERROR(__xludf.DUMMYFUNCTION("""COMPUTED_VALUE"""),FALSE)</f>
        <v>0</v>
      </c>
      <c r="Q9912" s="20" t="str">
        <f>IFERROR(__xludf.DUMMYFUNCTION("""COMPUTED_VALUE"""),"")</f>
        <v/>
      </c>
      <c r="R9912" s="21" t="str">
        <f>IFERROR(__xludf.DUMMYFUNCTION("""COMPUTED_VALUE"""),"https://drive.google.com/file/d/1UNwW9aYh7W8GzyUdZhf_5lMrN43sUSlR/view?usp=drivesdk")</f>
        <v>https://drive.google.com/file/d/1UNwW9aYh7W8GzyUdZhf_5lMrN43sUSlR/view?usp=drivesdk</v>
      </c>
    </row>
    <row r="9913">
      <c r="A9913" s="15">
        <f>IFERROR(__xludf.DUMMYFUNCTION("""COMPUTED_VALUE"""),45280.0)</f>
        <v>45280</v>
      </c>
      <c r="B9913" s="16" t="str">
        <f>IFERROR(__xludf.DUMMYFUNCTION("""COMPUTED_VALUE"""),"Johan Alexander Escobar Arroyo ")</f>
        <v>Johan Alexander Escobar Arroyo </v>
      </c>
      <c r="C9913" s="15" t="str">
        <f>IFERROR(__xludf.DUMMYFUNCTION("""COMPUTED_VALUE"""),"CALI")</f>
        <v>CALI</v>
      </c>
      <c r="D9913" s="15" t="str">
        <f>IFERROR(__xludf.DUMMYFUNCTION("""COMPUTED_VALUE"""),"MEDELLÍN")</f>
        <v>MEDELLÍN</v>
      </c>
      <c r="E9913" s="15" t="str">
        <f>IFERROR(__xludf.DUMMYFUNCTION("""COMPUTED_VALUE"""),"Baby Chef")</f>
        <v>Baby Chef</v>
      </c>
      <c r="F9913" s="17" t="str">
        <f>IFERROR(__xludf.DUMMYFUNCTION("""COMPUTED_VALUE"""),"Carrera 103 # 11-40 Sendero del Polo Club casa P1 / . / .")</f>
        <v>Carrera 103 # 11-40 Sendero del Polo Club casa P1 / . / .</v>
      </c>
      <c r="G9913" s="15" t="str">
        <f>IFERROR(__xludf.DUMMYFUNCTION("""COMPUTED_VALUE"""),"Johanna Rojas")</f>
        <v>Johanna Rojas</v>
      </c>
      <c r="H9913" s="16">
        <f>IFERROR(__xludf.DUMMYFUNCTION("""COMPUTED_VALUE"""),18590.0)</f>
        <v>18590</v>
      </c>
      <c r="I9913" s="18">
        <f>IFERROR(__xludf.DUMMYFUNCTION("""COMPUTED_VALUE"""),6.0)</f>
        <v>6</v>
      </c>
      <c r="J9913" s="18">
        <f>IFERROR(__xludf.DUMMYFUNCTION("""COMPUTED_VALUE"""),21.0)</f>
        <v>21</v>
      </c>
      <c r="K9913" s="18">
        <f>IFERROR(__xludf.DUMMYFUNCTION("""COMPUTED_VALUE"""),36.0)</f>
        <v>36</v>
      </c>
      <c r="L9913" s="17">
        <f>IFERROR(__xludf.DUMMYFUNCTION("""COMPUTED_VALUE"""),3.183307191E9)</f>
        <v>3183307191</v>
      </c>
      <c r="M9913" s="17"/>
      <c r="N9913" s="17"/>
      <c r="O9913" s="17"/>
      <c r="P9913" s="17" t="b">
        <f>IFERROR(__xludf.DUMMYFUNCTION("""COMPUTED_VALUE"""),FALSE)</f>
        <v>0</v>
      </c>
      <c r="Q9913" s="20" t="str">
        <f>IFERROR(__xludf.DUMMYFUNCTION("""COMPUTED_VALUE"""),"")</f>
        <v/>
      </c>
      <c r="R9913" s="21" t="str">
        <f>IFERROR(__xludf.DUMMYFUNCTION("""COMPUTED_VALUE"""),"https://drive.google.com/file/d/1HqccY94wqoWvsO5BVJliY5T5G4TUrN0m/view?usp=drivesdk")</f>
        <v>https://drive.google.com/file/d/1HqccY94wqoWvsO5BVJliY5T5G4TUrN0m/view?usp=drivesdk</v>
      </c>
    </row>
    <row r="9914">
      <c r="A9914" s="15">
        <f>IFERROR(__xludf.DUMMYFUNCTION("""COMPUTED_VALUE"""),45280.0)</f>
        <v>45280</v>
      </c>
      <c r="B9914" s="16" t="str">
        <f>IFERROR(__xludf.DUMMYFUNCTION("""COMPUTED_VALUE"""),"Johan Alexander Escobar Arroyo ")</f>
        <v>Johan Alexander Escobar Arroyo </v>
      </c>
      <c r="C9914" s="15" t="str">
        <f>IFERROR(__xludf.DUMMYFUNCTION("""COMPUTED_VALUE"""),"CALI")</f>
        <v>CALI</v>
      </c>
      <c r="D9914" s="15" t="str">
        <f>IFERROR(__xludf.DUMMYFUNCTION("""COMPUTED_VALUE"""),"MEDELLÍN")</f>
        <v>MEDELLÍN</v>
      </c>
      <c r="E9914" s="15" t="str">
        <f>IFERROR(__xludf.DUMMYFUNCTION("""COMPUTED_VALUE"""),"Baby Chef")</f>
        <v>Baby Chef</v>
      </c>
      <c r="F9914" s="17" t="str">
        <f>IFERROR(__xludf.DUMMYFUNCTION("""COMPUTED_VALUE"""),"Carrera 66 # 33B-35 casa B18 Cali Valle del Cauca / . / .")</f>
        <v>Carrera 66 # 33B-35 casa B18 Cali Valle del Cauca / . / .</v>
      </c>
      <c r="G9914" s="15" t="str">
        <f>IFERROR(__xludf.DUMMYFUNCTION("""COMPUTED_VALUE"""),"Valentina Herrera Ballesteros")</f>
        <v>Valentina Herrera Ballesteros</v>
      </c>
      <c r="H9914" s="16">
        <f>IFERROR(__xludf.DUMMYFUNCTION("""COMPUTED_VALUE"""),18592.0)</f>
        <v>18592</v>
      </c>
      <c r="I9914" s="18">
        <f>IFERROR(__xludf.DUMMYFUNCTION("""COMPUTED_VALUE"""),6.0)</f>
        <v>6</v>
      </c>
      <c r="J9914" s="18">
        <f>IFERROR(__xludf.DUMMYFUNCTION("""COMPUTED_VALUE"""),21.0)</f>
        <v>21</v>
      </c>
      <c r="K9914" s="18">
        <f>IFERROR(__xludf.DUMMYFUNCTION("""COMPUTED_VALUE"""),23.0)</f>
        <v>23</v>
      </c>
      <c r="L9914" s="17">
        <f>IFERROR(__xludf.DUMMYFUNCTION("""COMPUTED_VALUE"""),3.117327607E9)</f>
        <v>3117327607</v>
      </c>
      <c r="M9914" s="17"/>
      <c r="N9914" s="17"/>
      <c r="O9914" s="17"/>
      <c r="P9914" s="17" t="b">
        <f>IFERROR(__xludf.DUMMYFUNCTION("""COMPUTED_VALUE"""),FALSE)</f>
        <v>0</v>
      </c>
      <c r="Q9914" s="20" t="str">
        <f>IFERROR(__xludf.DUMMYFUNCTION("""COMPUTED_VALUE"""),"")</f>
        <v/>
      </c>
      <c r="R9914" s="21" t="str">
        <f>IFERROR(__xludf.DUMMYFUNCTION("""COMPUTED_VALUE"""),"https://drive.google.com/file/d/19Z7kCLIPD7d9ym-WsF_yVXJEl0IQERfS/view?usp=drivesdk")</f>
        <v>https://drive.google.com/file/d/19Z7kCLIPD7d9ym-WsF_yVXJEl0IQERfS/view?usp=drivesdk</v>
      </c>
    </row>
    <row r="9915">
      <c r="A9915" s="15">
        <f>IFERROR(__xludf.DUMMYFUNCTION("""COMPUTED_VALUE"""),45280.0)</f>
        <v>45280</v>
      </c>
      <c r="B9915" s="16" t="str">
        <f>IFERROR(__xludf.DUMMYFUNCTION("""COMPUTED_VALUE"""),"Johan Alexander Escobar Arroyo ")</f>
        <v>Johan Alexander Escobar Arroyo </v>
      </c>
      <c r="C9915" s="15" t="str">
        <f>IFERROR(__xludf.DUMMYFUNCTION("""COMPUTED_VALUE"""),"CALI")</f>
        <v>CALI</v>
      </c>
      <c r="D9915" s="15" t="str">
        <f>IFERROR(__xludf.DUMMYFUNCTION("""COMPUTED_VALUE"""),"MEDELLÍN")</f>
        <v>MEDELLÍN</v>
      </c>
      <c r="E9915" s="15" t="str">
        <f>IFERROR(__xludf.DUMMYFUNCTION("""COMPUTED_VALUE"""),"Baby Chef")</f>
        <v>Baby Chef</v>
      </c>
      <c r="F9915" s="17" t="str">
        <f>IFERROR(__xludf.DUMMYFUNCTION("""COMPUTED_VALUE"""),"Carrera2b 58-58 Los Andes  Cali / . / .")</f>
        <v>Carrera2b 58-58 Los Andes  Cali / . / .</v>
      </c>
      <c r="G9915" s="15" t="str">
        <f>IFERROR(__xludf.DUMMYFUNCTION("""COMPUTED_VALUE"""),"Diana leon")</f>
        <v>Diana leon</v>
      </c>
      <c r="H9915" s="16">
        <f>IFERROR(__xludf.DUMMYFUNCTION("""COMPUTED_VALUE"""),18587.0)</f>
        <v>18587</v>
      </c>
      <c r="I9915" s="18">
        <f>IFERROR(__xludf.DUMMYFUNCTION("""COMPUTED_VALUE"""),6.0)</f>
        <v>6</v>
      </c>
      <c r="J9915" s="18">
        <f>IFERROR(__xludf.DUMMYFUNCTION("""COMPUTED_VALUE"""),21.0)</f>
        <v>21</v>
      </c>
      <c r="K9915" s="18">
        <f>IFERROR(__xludf.DUMMYFUNCTION("""COMPUTED_VALUE"""),31.0)</f>
        <v>31</v>
      </c>
      <c r="L9915" s="17">
        <f>IFERROR(__xludf.DUMMYFUNCTION("""COMPUTED_VALUE"""),3.146259297E9)</f>
        <v>3146259297</v>
      </c>
      <c r="M9915" s="17"/>
      <c r="N9915" s="17"/>
      <c r="O9915" s="17"/>
      <c r="P9915" s="17" t="b">
        <f>IFERROR(__xludf.DUMMYFUNCTION("""COMPUTED_VALUE"""),FALSE)</f>
        <v>0</v>
      </c>
      <c r="Q9915" s="20" t="str">
        <f>IFERROR(__xludf.DUMMYFUNCTION("""COMPUTED_VALUE"""),"")</f>
        <v/>
      </c>
      <c r="R9915" s="21" t="str">
        <f>IFERROR(__xludf.DUMMYFUNCTION("""COMPUTED_VALUE"""),"https://drive.google.com/file/d/1SJuqWtT3TrMaeXSBkdZuv35uDGMv9yEV/view?usp=drivesdk")</f>
        <v>https://drive.google.com/file/d/1SJuqWtT3TrMaeXSBkdZuv35uDGMv9yEV/view?usp=drivesdk</v>
      </c>
    </row>
    <row r="9916">
      <c r="A9916" s="15">
        <f>IFERROR(__xludf.DUMMYFUNCTION("""COMPUTED_VALUE"""),45280.0)</f>
        <v>45280</v>
      </c>
      <c r="B9916" s="16" t="str">
        <f>IFERROR(__xludf.DUMMYFUNCTION("""COMPUTED_VALUE"""),"Johan Alexander Escobar Arroyo ")</f>
        <v>Johan Alexander Escobar Arroyo </v>
      </c>
      <c r="C9916" s="15" t="str">
        <f>IFERROR(__xludf.DUMMYFUNCTION("""COMPUTED_VALUE"""),"CALI")</f>
        <v>CALI</v>
      </c>
      <c r="D9916" s="15" t="str">
        <f>IFERROR(__xludf.DUMMYFUNCTION("""COMPUTED_VALUE"""),"MEDELLÍN")</f>
        <v>MEDELLÍN</v>
      </c>
      <c r="E9916" s="15" t="str">
        <f>IFERROR(__xludf.DUMMYFUNCTION("""COMPUTED_VALUE"""),"Baby Chef")</f>
        <v>Baby Chef</v>
      </c>
      <c r="F9916" s="17" t="str">
        <f>IFERROR(__xludf.DUMMYFUNCTION("""COMPUTED_VALUE"""),"Cra 138 # 4-133, Casa 75, Condominio “Batik”, Barrio Pance / . / .")</f>
        <v>Cra 138 # 4-133, Casa 75, Condominio “Batik”, Barrio Pance / . / .</v>
      </c>
      <c r="G9916" s="15" t="str">
        <f>IFERROR(__xludf.DUMMYFUNCTION("""COMPUTED_VALUE"""),"Carolina Cerón")</f>
        <v>Carolina Cerón</v>
      </c>
      <c r="H9916" s="16">
        <f>IFERROR(__xludf.DUMMYFUNCTION("""COMPUTED_VALUE"""),18588.0)</f>
        <v>18588</v>
      </c>
      <c r="I9916" s="18">
        <f>IFERROR(__xludf.DUMMYFUNCTION("""COMPUTED_VALUE"""),6.0)</f>
        <v>6</v>
      </c>
      <c r="J9916" s="18">
        <f>IFERROR(__xludf.DUMMYFUNCTION("""COMPUTED_VALUE"""),20.0)</f>
        <v>20</v>
      </c>
      <c r="K9916" s="18">
        <f>IFERROR(__xludf.DUMMYFUNCTION("""COMPUTED_VALUE"""),32.0)</f>
        <v>32</v>
      </c>
      <c r="L9916" s="17">
        <f>IFERROR(__xludf.DUMMYFUNCTION("""COMPUTED_VALUE"""),3.00419566E9)</f>
        <v>3004195660</v>
      </c>
      <c r="M9916" s="17"/>
      <c r="N9916" s="17"/>
      <c r="O9916" s="17"/>
      <c r="P9916" s="17" t="b">
        <f>IFERROR(__xludf.DUMMYFUNCTION("""COMPUTED_VALUE"""),FALSE)</f>
        <v>0</v>
      </c>
      <c r="Q9916" s="20" t="str">
        <f>IFERROR(__xludf.DUMMYFUNCTION("""COMPUTED_VALUE"""),"")</f>
        <v/>
      </c>
      <c r="R9916" s="21" t="str">
        <f>IFERROR(__xludf.DUMMYFUNCTION("""COMPUTED_VALUE"""),"https://drive.google.com/file/d/1HdxJDO5JNTYnOgy69jZ80z-l78PeFFkL/view?usp=drivesdk")</f>
        <v>https://drive.google.com/file/d/1HdxJDO5JNTYnOgy69jZ80z-l78PeFFkL/view?usp=drivesdk</v>
      </c>
    </row>
    <row r="9917">
      <c r="A9917" s="15">
        <f>IFERROR(__xludf.DUMMYFUNCTION("""COMPUTED_VALUE"""),45280.0)</f>
        <v>45280</v>
      </c>
      <c r="B9917" s="16" t="str">
        <f>IFERROR(__xludf.DUMMYFUNCTION("""COMPUTED_VALUE"""),"Johan Alexander Escobar Arroyo ")</f>
        <v>Johan Alexander Escobar Arroyo </v>
      </c>
      <c r="C9917" s="15" t="str">
        <f>IFERROR(__xludf.DUMMYFUNCTION("""COMPUTED_VALUE"""),"CALI")</f>
        <v>CALI</v>
      </c>
      <c r="D9917" s="15" t="str">
        <f>IFERROR(__xludf.DUMMYFUNCTION("""COMPUTED_VALUE"""),"MEDELLÍN")</f>
        <v>MEDELLÍN</v>
      </c>
      <c r="E9917" s="15" t="str">
        <f>IFERROR(__xludf.DUMMYFUNCTION("""COMPUTED_VALUE"""),"Vivente")</f>
        <v>Vivente</v>
      </c>
      <c r="F9917" s="17" t="str">
        <f>IFERROR(__xludf.DUMMYFUNCTION("""COMPUTED_VALUE"""),"calle 79a #23-22 / NA / valle grande")</f>
        <v>calle 79a #23-22 / NA / valle grande</v>
      </c>
      <c r="G9917" s="15" t="str">
        <f>IFERROR(__xludf.DUMMYFUNCTION("""COMPUTED_VALUE"""),"Jonathan ordoñez")</f>
        <v>Jonathan ordoñez</v>
      </c>
      <c r="H9917" s="16">
        <f>IFERROR(__xludf.DUMMYFUNCTION("""COMPUTED_VALUE"""),18571.0)</f>
        <v>18571</v>
      </c>
      <c r="I9917" s="18">
        <f>IFERROR(__xludf.DUMMYFUNCTION("""COMPUTED_VALUE"""),3.0)</f>
        <v>3</v>
      </c>
      <c r="J9917" s="18">
        <f>IFERROR(__xludf.DUMMYFUNCTION("""COMPUTED_VALUE"""),27.0)</f>
        <v>27</v>
      </c>
      <c r="K9917" s="18">
        <f>IFERROR(__xludf.DUMMYFUNCTION("""COMPUTED_VALUE"""),25.0)</f>
        <v>25</v>
      </c>
      <c r="L9917" s="17">
        <f>IFERROR(__xludf.DUMMYFUNCTION("""COMPUTED_VALUE"""),3.023967516E9)</f>
        <v>3023967516</v>
      </c>
      <c r="M9917" s="17"/>
      <c r="N9917" s="17"/>
      <c r="O9917" s="17"/>
      <c r="P9917" s="17" t="b">
        <f>IFERROR(__xludf.DUMMYFUNCTION("""COMPUTED_VALUE"""),FALSE)</f>
        <v>0</v>
      </c>
      <c r="Q9917" s="20" t="str">
        <f>IFERROR(__xludf.DUMMYFUNCTION("""COMPUTED_VALUE"""),"")</f>
        <v/>
      </c>
      <c r="R9917" s="21" t="str">
        <f>IFERROR(__xludf.DUMMYFUNCTION("""COMPUTED_VALUE"""),"https://drive.google.com/file/d/1iPathPB_NLY2lUdP6ipBQ372VoT29ZNS/view?usp=drivesdk")</f>
        <v>https://drive.google.com/file/d/1iPathPB_NLY2lUdP6ipBQ372VoT29ZNS/view?usp=drivesdk</v>
      </c>
    </row>
    <row r="9918">
      <c r="A9918" s="17" t="str">
        <f>IFERROR(__xludf.DUMMYFUNCTION("""COMPUTED_VALUE"""),"")</f>
        <v/>
      </c>
      <c r="B9918" s="17" t="str">
        <f>IFERROR(__xludf.DUMMYFUNCTION("""COMPUTED_VALUE"""),"")</f>
        <v/>
      </c>
      <c r="C9918" s="17" t="str">
        <f>IFERROR(__xludf.DUMMYFUNCTION("""COMPUTED_VALUE"""),"")</f>
        <v/>
      </c>
      <c r="D9918" s="17" t="str">
        <f>IFERROR(__xludf.DUMMYFUNCTION("""COMPUTED_VALUE"""),"")</f>
        <v/>
      </c>
      <c r="E9918" s="17" t="str">
        <f>IFERROR(__xludf.DUMMYFUNCTION("""COMPUTED_VALUE"""),"")</f>
        <v/>
      </c>
      <c r="F9918" s="17" t="str">
        <f>IFERROR(__xludf.DUMMYFUNCTION("""COMPUTED_VALUE"""),"")</f>
        <v/>
      </c>
      <c r="G9918" s="17" t="str">
        <f>IFERROR(__xludf.DUMMYFUNCTION("""COMPUTED_VALUE"""),"")</f>
        <v/>
      </c>
      <c r="H9918" s="17" t="str">
        <f>IFERROR(__xludf.DUMMYFUNCTION("""COMPUTED_VALUE"""),"")</f>
        <v/>
      </c>
      <c r="I9918" s="17" t="str">
        <f>IFERROR(__xludf.DUMMYFUNCTION("""COMPUTED_VALUE"""),"")</f>
        <v/>
      </c>
      <c r="J9918" s="17" t="str">
        <f>IFERROR(__xludf.DUMMYFUNCTION("""COMPUTED_VALUE"""),"")</f>
        <v/>
      </c>
      <c r="K9918" s="17" t="str">
        <f>IFERROR(__xludf.DUMMYFUNCTION("""COMPUTED_VALUE"""),"")</f>
        <v/>
      </c>
      <c r="L9918" s="17" t="str">
        <f>IFERROR(__xludf.DUMMYFUNCTION("""COMPUTED_VALUE"""),"")</f>
        <v/>
      </c>
      <c r="M9918" s="17" t="str">
        <f>IFERROR(__xludf.DUMMYFUNCTION("""COMPUTED_VALUE"""),"")</f>
        <v/>
      </c>
      <c r="N9918" s="17" t="str">
        <f>IFERROR(__xludf.DUMMYFUNCTION("""COMPUTED_VALUE"""),"")</f>
        <v/>
      </c>
      <c r="O9918" s="17" t="str">
        <f>IFERROR(__xludf.DUMMYFUNCTION("""COMPUTED_VALUE"""),"")</f>
        <v/>
      </c>
      <c r="P9918" s="17" t="str">
        <f>IFERROR(__xludf.DUMMYFUNCTION("""COMPUTED_VALUE"""),"")</f>
        <v/>
      </c>
      <c r="Q9918" s="17" t="str">
        <f>IFERROR(__xludf.DUMMYFUNCTION("""COMPUTED_VALUE"""),"")</f>
        <v/>
      </c>
      <c r="R9918" s="17" t="str">
        <f>IFERROR(__xludf.DUMMYFUNCTION("""COMPUTED_VALUE"""),"")</f>
        <v/>
      </c>
    </row>
    <row r="9919">
      <c r="A9919" s="15">
        <f>IFERROR(__xludf.DUMMYFUNCTION("""COMPUTED_VALUE"""),45280.0)</f>
        <v>45280</v>
      </c>
      <c r="B9919" s="16" t="str">
        <f>IFERROR(__xludf.DUMMYFUNCTION("""COMPUTED_VALUE"""),"JOSE ALFREDO RAMIREZ VERGARA ")</f>
        <v>JOSE ALFREDO RAMIREZ VERGARA </v>
      </c>
      <c r="C9919" s="15" t="str">
        <f>IFERROR(__xludf.DUMMYFUNCTION("""COMPUTED_VALUE"""),"BOGOTÁ")</f>
        <v>BOGOTÁ</v>
      </c>
      <c r="D9919" s="15" t="str">
        <f>IFERROR(__xludf.DUMMYFUNCTION("""COMPUTED_VALUE"""),"ENVIGADO")</f>
        <v>ENVIGADO</v>
      </c>
      <c r="E9919" s="15" t="str">
        <f>IFERROR(__xludf.DUMMYFUNCTION("""COMPUTED_VALUE"""),"RAMBLA")</f>
        <v>RAMBLA</v>
      </c>
      <c r="F9919" s="17" t="str">
        <f>IFERROR(__xludf.DUMMYFUNCTION("""COMPUTED_VALUE"""),"Av kr 104 #152-07 / torre 5 apt 701")</f>
        <v>Av kr 104 #152-07 / torre 5 apt 701</v>
      </c>
      <c r="G9919" s="15" t="str">
        <f>IFERROR(__xludf.DUMMYFUNCTION("""COMPUTED_VALUE"""),"Luz Mary Saray Urrego")</f>
        <v>Luz Mary Saray Urrego</v>
      </c>
      <c r="H9919" s="16">
        <f>IFERROR(__xludf.DUMMYFUNCTION("""COMPUTED_VALUE"""),18612.0)</f>
        <v>18612</v>
      </c>
      <c r="I9919" s="17"/>
      <c r="J9919" s="17"/>
      <c r="K9919" s="17"/>
      <c r="L9919" s="17"/>
      <c r="M9919" s="17"/>
      <c r="N9919" s="17"/>
      <c r="O9919" s="17"/>
      <c r="P9919" s="17" t="b">
        <f>IFERROR(__xludf.DUMMYFUNCTION("""COMPUTED_VALUE"""),FALSE)</f>
        <v>0</v>
      </c>
      <c r="Q9919" s="20" t="str">
        <f>IFERROR(__xludf.DUMMYFUNCTION("""COMPUTED_VALUE"""),"")</f>
        <v/>
      </c>
      <c r="R9919" s="21" t="str">
        <f>IFERROR(__xludf.DUMMYFUNCTION("""COMPUTED_VALUE"""),"https://drive.google.com/file/d/1SBFhl93KUbcaacI6gjyYjzRJQn-xbAth/view?usp=drivesdk")</f>
        <v>https://drive.google.com/file/d/1SBFhl93KUbcaacI6gjyYjzRJQn-xbAth/view?usp=drivesdk</v>
      </c>
    </row>
    <row r="9920">
      <c r="A9920" s="15">
        <f>IFERROR(__xludf.DUMMYFUNCTION("""COMPUTED_VALUE"""),45280.0)</f>
        <v>45280</v>
      </c>
      <c r="B9920" s="16" t="str">
        <f>IFERROR(__xludf.DUMMYFUNCTION("""COMPUTED_VALUE"""),"JOSE ALFREDO RAMIREZ VERGARA ")</f>
        <v>JOSE ALFREDO RAMIREZ VERGARA </v>
      </c>
      <c r="C9920" s="15" t="str">
        <f>IFERROR(__xludf.DUMMYFUNCTION("""COMPUTED_VALUE"""),"BOGOTÁ")</f>
        <v>BOGOTÁ</v>
      </c>
      <c r="D9920" s="15" t="str">
        <f>IFERROR(__xludf.DUMMYFUNCTION("""COMPUTED_VALUE"""),"ENVIGADO")</f>
        <v>ENVIGADO</v>
      </c>
      <c r="E9920" s="15" t="str">
        <f>IFERROR(__xludf.DUMMYFUNCTION("""COMPUTED_VALUE"""),"RAMBLA")</f>
        <v>RAMBLA</v>
      </c>
      <c r="F9920" s="17" t="str">
        <f>IFERROR(__xludf.DUMMYFUNCTION("""COMPUTED_VALUE"""),"Calle 41 a # 8-25 / bulevar 42 apto 707 b")</f>
        <v>Calle 41 a # 8-25 / bulevar 42 apto 707 b</v>
      </c>
      <c r="G9920" s="15" t="str">
        <f>IFERROR(__xludf.DUMMYFUNCTION("""COMPUTED_VALUE"""),"Nutriclicstore")</f>
        <v>Nutriclicstore</v>
      </c>
      <c r="H9920" s="16">
        <f>IFERROR(__xludf.DUMMYFUNCTION("""COMPUTED_VALUE"""),18616.0)</f>
        <v>18616</v>
      </c>
      <c r="I9920" s="17"/>
      <c r="J9920" s="17"/>
      <c r="K9920" s="17"/>
      <c r="L9920" s="17">
        <f>IFERROR(__xludf.DUMMYFUNCTION("""COMPUTED_VALUE"""),3.102661625E9)</f>
        <v>3102661625</v>
      </c>
      <c r="M9920" s="17"/>
      <c r="N9920" s="17"/>
      <c r="O9920" s="17"/>
      <c r="P9920" s="17" t="b">
        <f>IFERROR(__xludf.DUMMYFUNCTION("""COMPUTED_VALUE"""),FALSE)</f>
        <v>0</v>
      </c>
      <c r="Q9920" s="20" t="str">
        <f>IFERROR(__xludf.DUMMYFUNCTION("""COMPUTED_VALUE"""),"")</f>
        <v/>
      </c>
      <c r="R9920" s="21" t="str">
        <f>IFERROR(__xludf.DUMMYFUNCTION("""COMPUTED_VALUE"""),"https://drive.google.com/file/d/17wLzOyjr9g-BQvV-kw_8xn5IfkQiODQh/view?usp=drivesdk")</f>
        <v>https://drive.google.com/file/d/17wLzOyjr9g-BQvV-kw_8xn5IfkQiODQh/view?usp=drivesdk</v>
      </c>
    </row>
    <row r="9921">
      <c r="A9921" s="15">
        <f>IFERROR(__xludf.DUMMYFUNCTION("""COMPUTED_VALUE"""),45280.0)</f>
        <v>45280</v>
      </c>
      <c r="B9921" s="16" t="str">
        <f>IFERROR(__xludf.DUMMYFUNCTION("""COMPUTED_VALUE"""),"JOSE ALFREDO RAMIREZ VERGARA ")</f>
        <v>JOSE ALFREDO RAMIREZ VERGARA </v>
      </c>
      <c r="C9921" s="15" t="str">
        <f>IFERROR(__xludf.DUMMYFUNCTION("""COMPUTED_VALUE"""),"BOGOTÁ")</f>
        <v>BOGOTÁ</v>
      </c>
      <c r="D9921" s="15" t="str">
        <f>IFERROR(__xludf.DUMMYFUNCTION("""COMPUTED_VALUE"""),"ENVIGADO")</f>
        <v>ENVIGADO</v>
      </c>
      <c r="E9921" s="15" t="str">
        <f>IFERROR(__xludf.DUMMYFUNCTION("""COMPUTED_VALUE"""),"RAMBLA")</f>
        <v>RAMBLA</v>
      </c>
      <c r="F9921" s="17" t="str">
        <f>IFERROR(__xludf.DUMMYFUNCTION("""COMPUTED_VALUE"""),"Diagonal 52 sur #26-33 / Barrio el Carmen")</f>
        <v>Diagonal 52 sur #26-33 / Barrio el Carmen</v>
      </c>
      <c r="G9921" s="15" t="str">
        <f>IFERROR(__xludf.DUMMYFUNCTION("""COMPUTED_VALUE"""),"Laura Tatiana Rodriguez Olarte")</f>
        <v>Laura Tatiana Rodriguez Olarte</v>
      </c>
      <c r="H9921" s="16">
        <f>IFERROR(__xludf.DUMMYFUNCTION("""COMPUTED_VALUE"""),18611.0)</f>
        <v>18611</v>
      </c>
      <c r="I9921" s="17"/>
      <c r="J9921" s="17"/>
      <c r="K9921" s="17"/>
      <c r="L9921" s="17">
        <f>IFERROR(__xludf.DUMMYFUNCTION("""COMPUTED_VALUE"""),3.209147357E9)</f>
        <v>3209147357</v>
      </c>
      <c r="M9921" s="17"/>
      <c r="N9921" s="17"/>
      <c r="O9921" s="17"/>
      <c r="P9921" s="17" t="b">
        <f>IFERROR(__xludf.DUMMYFUNCTION("""COMPUTED_VALUE"""),FALSE)</f>
        <v>0</v>
      </c>
      <c r="Q9921" s="20" t="str">
        <f>IFERROR(__xludf.DUMMYFUNCTION("""COMPUTED_VALUE"""),"")</f>
        <v/>
      </c>
      <c r="R9921" s="21" t="str">
        <f>IFERROR(__xludf.DUMMYFUNCTION("""COMPUTED_VALUE"""),"https://drive.google.com/file/d/1q9qfcFqont-tR_xT5R_tlVglUILcHtxj/view?usp=drivesdk")</f>
        <v>https://drive.google.com/file/d/1q9qfcFqont-tR_xT5R_tlVglUILcHtxj/view?usp=drivesdk</v>
      </c>
    </row>
    <row r="9922">
      <c r="A9922" s="15">
        <f>IFERROR(__xludf.DUMMYFUNCTION("""COMPUTED_VALUE"""),45280.0)</f>
        <v>45280</v>
      </c>
      <c r="B9922" s="16" t="str">
        <f>IFERROR(__xludf.DUMMYFUNCTION("""COMPUTED_VALUE"""),"JOSE ALFREDO RAMIREZ VERGARA ")</f>
        <v>JOSE ALFREDO RAMIREZ VERGARA </v>
      </c>
      <c r="C9922" s="15" t="str">
        <f>IFERROR(__xludf.DUMMYFUNCTION("""COMPUTED_VALUE"""),"BOGOTÁ")</f>
        <v>BOGOTÁ</v>
      </c>
      <c r="D9922" s="15" t="str">
        <f>IFERROR(__xludf.DUMMYFUNCTION("""COMPUTED_VALUE"""),"IBAGUÉ")</f>
        <v>IBAGUÉ</v>
      </c>
      <c r="E9922" s="15" t="str">
        <f>IFERROR(__xludf.DUMMYFUNCTION("""COMPUTED_VALUE"""),"Nutrikids Healthy")</f>
        <v>Nutrikids Healthy</v>
      </c>
      <c r="F9922" s="17" t="str">
        <f>IFERROR(__xludf.DUMMYFUNCTION("""COMPUTED_VALUE"""),"Calle 60A#5-29  / Edificio Abedul / Edificio Abedul")</f>
        <v>Calle 60A#5-29  / Edificio Abedul / Edificio Abedul</v>
      </c>
      <c r="G9922" s="15" t="str">
        <f>IFERROR(__xludf.DUMMYFUNCTION("""COMPUTED_VALUE"""),"Pedro Montes")</f>
        <v>Pedro Montes</v>
      </c>
      <c r="H9922" s="16">
        <f>IFERROR(__xludf.DUMMYFUNCTION("""COMPUTED_VALUE"""),18474.0)</f>
        <v>18474</v>
      </c>
      <c r="I9922" s="18">
        <f>IFERROR(__xludf.DUMMYFUNCTION("""COMPUTED_VALUE"""),35.0)</f>
        <v>35</v>
      </c>
      <c r="J9922" s="18">
        <f>IFERROR(__xludf.DUMMYFUNCTION("""COMPUTED_VALUE"""),45065.0)</f>
        <v>45065</v>
      </c>
      <c r="K9922" s="18">
        <f>IFERROR(__xludf.DUMMYFUNCTION("""COMPUTED_VALUE"""),35.0)</f>
        <v>35</v>
      </c>
      <c r="L9922" s="17">
        <f>IFERROR(__xludf.DUMMYFUNCTION("""COMPUTED_VALUE"""),3.173644573E9)</f>
        <v>3173644573</v>
      </c>
      <c r="M9922" s="17"/>
      <c r="N9922" s="17"/>
      <c r="O9922" s="17"/>
      <c r="P9922" s="17" t="b">
        <f>IFERROR(__xludf.DUMMYFUNCTION("""COMPUTED_VALUE"""),FALSE)</f>
        <v>0</v>
      </c>
      <c r="Q9922" s="20" t="str">
        <f>IFERROR(__xludf.DUMMYFUNCTION("""COMPUTED_VALUE"""),"")</f>
        <v/>
      </c>
      <c r="R9922" s="21" t="str">
        <f>IFERROR(__xludf.DUMMYFUNCTION("""COMPUTED_VALUE"""),"https://drive.google.com/file/d/1EtyfnO_MRD4Vwe1IP_7QjNY107I5EQ-A/view?usp=drivesdk")</f>
        <v>https://drive.google.com/file/d/1EtyfnO_MRD4Vwe1IP_7QjNY107I5EQ-A/view?usp=drivesdk</v>
      </c>
    </row>
    <row r="9923">
      <c r="A9923" s="15">
        <f>IFERROR(__xludf.DUMMYFUNCTION("""COMPUTED_VALUE"""),45280.0)</f>
        <v>45280</v>
      </c>
      <c r="B9923" s="16" t="str">
        <f>IFERROR(__xludf.DUMMYFUNCTION("""COMPUTED_VALUE"""),"JOSE ALFREDO RAMIREZ VERGARA ")</f>
        <v>JOSE ALFREDO RAMIREZ VERGARA </v>
      </c>
      <c r="C9923" s="15" t="str">
        <f>IFERROR(__xludf.DUMMYFUNCTION("""COMPUTED_VALUE"""),"BOGOTÁ")</f>
        <v>BOGOTÁ</v>
      </c>
      <c r="D9923" s="15" t="str">
        <f>IFERROR(__xludf.DUMMYFUNCTION("""COMPUTED_VALUE"""),"MEDELLÍN")</f>
        <v>MEDELLÍN</v>
      </c>
      <c r="E9923" s="15" t="str">
        <f>IFERROR(__xludf.DUMMYFUNCTION("""COMPUTED_VALUE"""),"Baby Chef")</f>
        <v>Baby Chef</v>
      </c>
      <c r="F9923" s="17" t="str">
        <f>IFERROR(__xludf.DUMMYFUNCTION("""COMPUTED_VALUE"""),"Calle 2 sur # 72-85  Americas Occidental Bogotá / . / .")</f>
        <v>Calle 2 sur # 72-85  Americas Occidental Bogotá / . / .</v>
      </c>
      <c r="G9923" s="15" t="str">
        <f>IFERROR(__xludf.DUMMYFUNCTION("""COMPUTED_VALUE"""),"Karen Sanabria Malagon")</f>
        <v>Karen Sanabria Malagon</v>
      </c>
      <c r="H9923" s="16">
        <f>IFERROR(__xludf.DUMMYFUNCTION("""COMPUTED_VALUE"""),18578.0)</f>
        <v>18578</v>
      </c>
      <c r="I9923" s="18">
        <f>IFERROR(__xludf.DUMMYFUNCTION("""COMPUTED_VALUE"""),7.0)</f>
        <v>7</v>
      </c>
      <c r="J9923" s="18">
        <f>IFERROR(__xludf.DUMMYFUNCTION("""COMPUTED_VALUE"""),20.0)</f>
        <v>20</v>
      </c>
      <c r="K9923" s="18">
        <f>IFERROR(__xludf.DUMMYFUNCTION("""COMPUTED_VALUE"""),29.0)</f>
        <v>29</v>
      </c>
      <c r="L9923" s="17">
        <f>IFERROR(__xludf.DUMMYFUNCTION("""COMPUTED_VALUE"""),3.227018166E9)</f>
        <v>3227018166</v>
      </c>
      <c r="M9923" s="17"/>
      <c r="N9923" s="17"/>
      <c r="O9923" s="17"/>
      <c r="P9923" s="17" t="b">
        <f>IFERROR(__xludf.DUMMYFUNCTION("""COMPUTED_VALUE"""),FALSE)</f>
        <v>0</v>
      </c>
      <c r="Q9923" s="20" t="str">
        <f>IFERROR(__xludf.DUMMYFUNCTION("""COMPUTED_VALUE"""),"")</f>
        <v/>
      </c>
      <c r="R9923" s="21" t="str">
        <f>IFERROR(__xludf.DUMMYFUNCTION("""COMPUTED_VALUE"""),"https://drive.google.com/file/d/1mo0T8uCialtc0qWAnk4j7PS-G-FYMc_f/view?usp=drivesdk")</f>
        <v>https://drive.google.com/file/d/1mo0T8uCialtc0qWAnk4j7PS-G-FYMc_f/view?usp=drivesdk</v>
      </c>
    </row>
    <row r="9924">
      <c r="A9924" s="15">
        <f>IFERROR(__xludf.DUMMYFUNCTION("""COMPUTED_VALUE"""),45280.0)</f>
        <v>45280</v>
      </c>
      <c r="B9924" s="16" t="str">
        <f>IFERROR(__xludf.DUMMYFUNCTION("""COMPUTED_VALUE"""),"JOSE ALFREDO RAMIREZ VERGARA ")</f>
        <v>JOSE ALFREDO RAMIREZ VERGARA </v>
      </c>
      <c r="C9924" s="15" t="str">
        <f>IFERROR(__xludf.DUMMYFUNCTION("""COMPUTED_VALUE"""),"BOGOTÁ")</f>
        <v>BOGOTÁ</v>
      </c>
      <c r="D9924" s="15" t="str">
        <f>IFERROR(__xludf.DUMMYFUNCTION("""COMPUTED_VALUE"""),"MEDELLÍN")</f>
        <v>MEDELLÍN</v>
      </c>
      <c r="E9924" s="15" t="str">
        <f>IFERROR(__xludf.DUMMYFUNCTION("""COMPUTED_VALUE"""),"Baby Chef")</f>
        <v>Baby Chef</v>
      </c>
      <c r="F9924" s="17" t="str">
        <f>IFERROR(__xludf.DUMMYFUNCTION("""COMPUTED_VALUE"""),"Calle 29 sur #39 -42 / . / .")</f>
        <v>Calle 29 sur #39 -42 / . / .</v>
      </c>
      <c r="G9924" s="15" t="str">
        <f>IFERROR(__xludf.DUMMYFUNCTION("""COMPUTED_VALUE"""),"Dalia Viviana Dueñez Infante")</f>
        <v>Dalia Viviana Dueñez Infante</v>
      </c>
      <c r="H9924" s="16">
        <f>IFERROR(__xludf.DUMMYFUNCTION("""COMPUTED_VALUE"""),18581.0)</f>
        <v>18581</v>
      </c>
      <c r="I9924" s="18">
        <f>IFERROR(__xludf.DUMMYFUNCTION("""COMPUTED_VALUE"""),11.0)</f>
        <v>11</v>
      </c>
      <c r="J9924" s="18">
        <f>IFERROR(__xludf.DUMMYFUNCTION("""COMPUTED_VALUE"""),22.0)</f>
        <v>22</v>
      </c>
      <c r="K9924" s="18">
        <f>IFERROR(__xludf.DUMMYFUNCTION("""COMPUTED_VALUE"""),37.0)</f>
        <v>37</v>
      </c>
      <c r="L9924" s="17">
        <f>IFERROR(__xludf.DUMMYFUNCTION("""COMPUTED_VALUE"""),3.008112803E9)</f>
        <v>3008112803</v>
      </c>
      <c r="M9924" s="17"/>
      <c r="N9924" s="17"/>
      <c r="O9924" s="17"/>
      <c r="P9924" s="17" t="b">
        <f>IFERROR(__xludf.DUMMYFUNCTION("""COMPUTED_VALUE"""),FALSE)</f>
        <v>0</v>
      </c>
      <c r="Q9924" s="20" t="str">
        <f>IFERROR(__xludf.DUMMYFUNCTION("""COMPUTED_VALUE"""),"")</f>
        <v/>
      </c>
      <c r="R9924" s="21" t="str">
        <f>IFERROR(__xludf.DUMMYFUNCTION("""COMPUTED_VALUE"""),"https://drive.google.com/file/d/1lw9yVQKDIssJiFihlG2ItFGixYORy-5O/view?usp=drivesdk")</f>
        <v>https://drive.google.com/file/d/1lw9yVQKDIssJiFihlG2ItFGixYORy-5O/view?usp=drivesdk</v>
      </c>
    </row>
    <row r="9925">
      <c r="A9925" s="15">
        <f>IFERROR(__xludf.DUMMYFUNCTION("""COMPUTED_VALUE"""),45280.0)</f>
        <v>45280</v>
      </c>
      <c r="B9925" s="16" t="str">
        <f>IFERROR(__xludf.DUMMYFUNCTION("""COMPUTED_VALUE"""),"JOSE ALFREDO RAMIREZ VERGARA ")</f>
        <v>JOSE ALFREDO RAMIREZ VERGARA </v>
      </c>
      <c r="C9925" s="15" t="str">
        <f>IFERROR(__xludf.DUMMYFUNCTION("""COMPUTED_VALUE"""),"BOGOTÁ")</f>
        <v>BOGOTÁ</v>
      </c>
      <c r="D9925" s="15" t="str">
        <f>IFERROR(__xludf.DUMMYFUNCTION("""COMPUTED_VALUE"""),"MEDELLÍN")</f>
        <v>MEDELLÍN</v>
      </c>
      <c r="E9925" s="15" t="str">
        <f>IFERROR(__xludf.DUMMYFUNCTION("""COMPUTED_VALUE"""),"Baby Chef")</f>
        <v>Baby Chef</v>
      </c>
      <c r="F9925" s="17" t="str">
        <f>IFERROR(__xludf.DUMMYFUNCTION("""COMPUTED_VALUE"""),"Calle 78b # 120-95 Apt 902 Conjunto Reservas de Granada V / . / .")</f>
        <v>Calle 78b # 120-95 Apt 902 Conjunto Reservas de Granada V / . / .</v>
      </c>
      <c r="G9925" s="15" t="str">
        <f>IFERROR(__xludf.DUMMYFUNCTION("""COMPUTED_VALUE"""),"Diana Rocío Guarnizo")</f>
        <v>Diana Rocío Guarnizo</v>
      </c>
      <c r="H9925" s="16">
        <f>IFERROR(__xludf.DUMMYFUNCTION("""COMPUTED_VALUE"""),18583.0)</f>
        <v>18583</v>
      </c>
      <c r="I9925" s="18">
        <f>IFERROR(__xludf.DUMMYFUNCTION("""COMPUTED_VALUE"""),7.0)</f>
        <v>7</v>
      </c>
      <c r="J9925" s="18">
        <f>IFERROR(__xludf.DUMMYFUNCTION("""COMPUTED_VALUE"""),22.0)</f>
        <v>22</v>
      </c>
      <c r="K9925" s="18">
        <f>IFERROR(__xludf.DUMMYFUNCTION("""COMPUTED_VALUE"""),36.0)</f>
        <v>36</v>
      </c>
      <c r="L9925" s="17">
        <f>IFERROR(__xludf.DUMMYFUNCTION("""COMPUTED_VALUE"""),3.015004397E9)</f>
        <v>3015004397</v>
      </c>
      <c r="M9925" s="17"/>
      <c r="N9925" s="17"/>
      <c r="O9925" s="17"/>
      <c r="P9925" s="17" t="b">
        <f>IFERROR(__xludf.DUMMYFUNCTION("""COMPUTED_VALUE"""),FALSE)</f>
        <v>0</v>
      </c>
      <c r="Q9925" s="20" t="str">
        <f>IFERROR(__xludf.DUMMYFUNCTION("""COMPUTED_VALUE"""),"")</f>
        <v/>
      </c>
      <c r="R9925" s="21" t="str">
        <f>IFERROR(__xludf.DUMMYFUNCTION("""COMPUTED_VALUE"""),"https://drive.google.com/file/d/11yaoith1NxwkPZa7T9Mq7PyGupZAczz7/view?usp=drivesdk")</f>
        <v>https://drive.google.com/file/d/11yaoith1NxwkPZa7T9Mq7PyGupZAczz7/view?usp=drivesdk</v>
      </c>
    </row>
    <row r="9926">
      <c r="A9926" s="15">
        <f>IFERROR(__xludf.DUMMYFUNCTION("""COMPUTED_VALUE"""),45280.0)</f>
        <v>45280</v>
      </c>
      <c r="B9926" s="16" t="str">
        <f>IFERROR(__xludf.DUMMYFUNCTION("""COMPUTED_VALUE"""),"JOSE ALFREDO RAMIREZ VERGARA ")</f>
        <v>JOSE ALFREDO RAMIREZ VERGARA </v>
      </c>
      <c r="C9926" s="15" t="str">
        <f>IFERROR(__xludf.DUMMYFUNCTION("""COMPUTED_VALUE"""),"BOGOTÁ")</f>
        <v>BOGOTÁ</v>
      </c>
      <c r="D9926" s="15" t="str">
        <f>IFERROR(__xludf.DUMMYFUNCTION("""COMPUTED_VALUE"""),"MEDELLÍN")</f>
        <v>MEDELLÍN</v>
      </c>
      <c r="E9926" s="15" t="str">
        <f>IFERROR(__xludf.DUMMYFUNCTION("""COMPUTED_VALUE"""),"Baby Chef")</f>
        <v>Baby Chef</v>
      </c>
      <c r="F9926" s="17" t="str">
        <f>IFERROR(__xludf.DUMMYFUNCTION("""COMPUTED_VALUE"""),"Cll 20c #97b - 75 Bodega puerta cafe, Kolmoda sas / . / .")</f>
        <v>Cll 20c #97b - 75 Bodega puerta cafe, Kolmoda sas / . / .</v>
      </c>
      <c r="G9926" s="15" t="str">
        <f>IFERROR(__xludf.DUMMYFUNCTION("""COMPUTED_VALUE"""),"Sebastrian Suarez Acevedo  (Si no contesta, timbrar y dejarla a cualquier persona de Kolmoda)")</f>
        <v>Sebastrian Suarez Acevedo  (Si no contesta, timbrar y dejarla a cualquier persona de Kolmoda)</v>
      </c>
      <c r="H9926" s="16">
        <f>IFERROR(__xludf.DUMMYFUNCTION("""COMPUTED_VALUE"""),18579.0)</f>
        <v>18579</v>
      </c>
      <c r="I9926" s="18">
        <f>IFERROR(__xludf.DUMMYFUNCTION("""COMPUTED_VALUE"""),14.0)</f>
        <v>14</v>
      </c>
      <c r="J9926" s="18">
        <f>IFERROR(__xludf.DUMMYFUNCTION("""COMPUTED_VALUE"""),22.0)</f>
        <v>22</v>
      </c>
      <c r="K9926" s="18">
        <f>IFERROR(__xludf.DUMMYFUNCTION("""COMPUTED_VALUE"""),41.0)</f>
        <v>41</v>
      </c>
      <c r="L9926" s="17">
        <f>IFERROR(__xludf.DUMMYFUNCTION("""COMPUTED_VALUE"""),3.214205121E9)</f>
        <v>3214205121</v>
      </c>
      <c r="M9926" s="17"/>
      <c r="N9926" s="17"/>
      <c r="O9926" s="17"/>
      <c r="P9926" s="17" t="b">
        <f>IFERROR(__xludf.DUMMYFUNCTION("""COMPUTED_VALUE"""),FALSE)</f>
        <v>0</v>
      </c>
      <c r="Q9926" s="20" t="str">
        <f>IFERROR(__xludf.DUMMYFUNCTION("""COMPUTED_VALUE"""),"")</f>
        <v/>
      </c>
      <c r="R9926" s="21" t="str">
        <f>IFERROR(__xludf.DUMMYFUNCTION("""COMPUTED_VALUE"""),"https://drive.google.com/file/d/18igqeCzbpflzmjcTWrmGhesCcKfXV9fh/view?usp=drivesdk")</f>
        <v>https://drive.google.com/file/d/18igqeCzbpflzmjcTWrmGhesCcKfXV9fh/view?usp=drivesdk</v>
      </c>
    </row>
    <row r="9927">
      <c r="A9927" s="15">
        <f>IFERROR(__xludf.DUMMYFUNCTION("""COMPUTED_VALUE"""),45280.0)</f>
        <v>45280</v>
      </c>
      <c r="B9927" s="16" t="str">
        <f>IFERROR(__xludf.DUMMYFUNCTION("""COMPUTED_VALUE"""),"JOSE ALFREDO RAMIREZ VERGARA ")</f>
        <v>JOSE ALFREDO RAMIREZ VERGARA </v>
      </c>
      <c r="C9927" s="15" t="str">
        <f>IFERROR(__xludf.DUMMYFUNCTION("""COMPUTED_VALUE"""),"BOGOTÁ")</f>
        <v>BOGOTÁ</v>
      </c>
      <c r="D9927" s="15" t="str">
        <f>IFERROR(__xludf.DUMMYFUNCTION("""COMPUTED_VALUE"""),"MEDELLÍN")</f>
        <v>MEDELLÍN</v>
      </c>
      <c r="E9927" s="15" t="str">
        <f>IFERROR(__xludf.DUMMYFUNCTION("""COMPUTED_VALUE"""),"Baby Chef")</f>
        <v>Baby Chef</v>
      </c>
      <c r="F9927" s="17" t="str">
        <f>IFERROR(__xludf.DUMMYFUNCTION("""COMPUTED_VALUE"""),"Cra 92a#76-78 Barrio Santa rosita  Localidad Engativá / . / .")</f>
        <v>Cra 92a#76-78 Barrio Santa rosita  Localidad Engativá / . / .</v>
      </c>
      <c r="G9927" s="15" t="str">
        <f>IFERROR(__xludf.DUMMYFUNCTION("""COMPUTED_VALUE"""),"Diana Nava")</f>
        <v>Diana Nava</v>
      </c>
      <c r="H9927" s="16">
        <f>IFERROR(__xludf.DUMMYFUNCTION("""COMPUTED_VALUE"""),18586.0)</f>
        <v>18586</v>
      </c>
      <c r="I9927" s="18">
        <f>IFERROR(__xludf.DUMMYFUNCTION("""COMPUTED_VALUE"""),10.0)</f>
        <v>10</v>
      </c>
      <c r="J9927" s="18">
        <f>IFERROR(__xludf.DUMMYFUNCTION("""COMPUTED_VALUE"""),21.0)</f>
        <v>21</v>
      </c>
      <c r="K9927" s="18">
        <f>IFERROR(__xludf.DUMMYFUNCTION("""COMPUTED_VALUE"""),41.0)</f>
        <v>41</v>
      </c>
      <c r="L9927" s="17">
        <f>IFERROR(__xludf.DUMMYFUNCTION("""COMPUTED_VALUE"""),3.134862437E9)</f>
        <v>3134862437</v>
      </c>
      <c r="M9927" s="17"/>
      <c r="N9927" s="17"/>
      <c r="O9927" s="17"/>
      <c r="P9927" s="17" t="b">
        <f>IFERROR(__xludf.DUMMYFUNCTION("""COMPUTED_VALUE"""),FALSE)</f>
        <v>0</v>
      </c>
      <c r="Q9927" s="20" t="str">
        <f>IFERROR(__xludf.DUMMYFUNCTION("""COMPUTED_VALUE"""),"")</f>
        <v/>
      </c>
      <c r="R9927" s="21" t="str">
        <f>IFERROR(__xludf.DUMMYFUNCTION("""COMPUTED_VALUE"""),"https://drive.google.com/file/d/1dRteo2HXIQu96y-aLC5BLKiizwDzCAO0/view?usp=drivesdk")</f>
        <v>https://drive.google.com/file/d/1dRteo2HXIQu96y-aLC5BLKiizwDzCAO0/view?usp=drivesdk</v>
      </c>
    </row>
    <row r="9928">
      <c r="A9928" s="15">
        <f>IFERROR(__xludf.DUMMYFUNCTION("""COMPUTED_VALUE"""),45280.0)</f>
        <v>45280</v>
      </c>
      <c r="B9928" s="16" t="str">
        <f>IFERROR(__xludf.DUMMYFUNCTION("""COMPUTED_VALUE"""),"JOSE ALFREDO RAMIREZ VERGARA ")</f>
        <v>JOSE ALFREDO RAMIREZ VERGARA </v>
      </c>
      <c r="C9928" s="15" t="str">
        <f>IFERROR(__xludf.DUMMYFUNCTION("""COMPUTED_VALUE"""),"BOGOTÁ")</f>
        <v>BOGOTÁ</v>
      </c>
      <c r="D9928" s="15" t="str">
        <f>IFERROR(__xludf.DUMMYFUNCTION("""COMPUTED_VALUE"""),"MEDELLÍN")</f>
        <v>MEDELLÍN</v>
      </c>
      <c r="E9928" s="15" t="str">
        <f>IFERROR(__xludf.DUMMYFUNCTION("""COMPUTED_VALUE"""),"Todo Bufala")</f>
        <v>Todo Bufala</v>
      </c>
      <c r="F9928" s="17" t="str">
        <f>IFERROR(__xludf.DUMMYFUNCTION("""COMPUTED_VALUE"""),"Cl. 39 Sur #68a-31 Bodega Alquería / Alquería")</f>
        <v>Cl. 39 Sur #68a-31 Bodega Alquería / Alquería</v>
      </c>
      <c r="G9928" s="15" t="str">
        <f>IFERROR(__xludf.DUMMYFUNCTION("""COMPUTED_VALUE"""),"Fredy Alexander Cruz")</f>
        <v>Fredy Alexander Cruz</v>
      </c>
      <c r="H9928" s="16">
        <f>IFERROR(__xludf.DUMMYFUNCTION("""COMPUTED_VALUE"""),18549.0)</f>
        <v>18549</v>
      </c>
      <c r="I9928" s="17"/>
      <c r="J9928" s="17"/>
      <c r="K9928" s="17"/>
      <c r="L9928" s="17"/>
      <c r="M9928" s="17"/>
      <c r="N9928" s="17"/>
      <c r="O9928" s="17"/>
      <c r="P9928" s="17" t="b">
        <f>IFERROR(__xludf.DUMMYFUNCTION("""COMPUTED_VALUE"""),FALSE)</f>
        <v>0</v>
      </c>
      <c r="Q9928" s="20" t="str">
        <f>IFERROR(__xludf.DUMMYFUNCTION("""COMPUTED_VALUE"""),"")</f>
        <v/>
      </c>
      <c r="R9928" s="22" t="str">
        <f>IFERROR(__xludf.DUMMYFUNCTION("""COMPUTED_VALUE"""),"")</f>
        <v/>
      </c>
    </row>
    <row r="9929">
      <c r="A9929" s="15">
        <f>IFERROR(__xludf.DUMMYFUNCTION("""COMPUTED_VALUE"""),45280.0)</f>
        <v>45280</v>
      </c>
      <c r="B9929" s="16" t="str">
        <f>IFERROR(__xludf.DUMMYFUNCTION("""COMPUTED_VALUE"""),"JOSE ALFREDO RAMIREZ VERGARA ")</f>
        <v>JOSE ALFREDO RAMIREZ VERGARA </v>
      </c>
      <c r="C9929" s="15" t="str">
        <f>IFERROR(__xludf.DUMMYFUNCTION("""COMPUTED_VALUE"""),"BOGOTÁ")</f>
        <v>BOGOTÁ</v>
      </c>
      <c r="D9929" s="15" t="str">
        <f>IFERROR(__xludf.DUMMYFUNCTION("""COMPUTED_VALUE"""),"MEDELLÍN")</f>
        <v>MEDELLÍN</v>
      </c>
      <c r="E9929" s="15" t="str">
        <f>IFERROR(__xludf.DUMMYFUNCTION("""COMPUTED_VALUE"""),"TOLEDALES S.A.S")</f>
        <v>TOLEDALES S.A.S</v>
      </c>
      <c r="F9929" s="17" t="str">
        <f>IFERROR(__xludf.DUMMYFUNCTION("""COMPUTED_VALUE"""),"av carrera 80 # 2 51 / bodega 15 local  8")</f>
        <v>av carrera 80 # 2 51 / bodega 15 local  8</v>
      </c>
      <c r="G9929" s="15" t="str">
        <f>IFERROR(__xludf.DUMMYFUNCTION("""COMPUTED_VALUE"""),"El Obispo")</f>
        <v>El Obispo</v>
      </c>
      <c r="H9929" s="16">
        <f>IFERROR(__xludf.DUMMYFUNCTION("""COMPUTED_VALUE"""),18339.0)</f>
        <v>18339</v>
      </c>
      <c r="I9929" s="17"/>
      <c r="J9929" s="17"/>
      <c r="K9929" s="17"/>
      <c r="L9929" s="17">
        <f>IFERROR(__xludf.DUMMYFUNCTION("""COMPUTED_VALUE"""),3.122891226E9)</f>
        <v>3122891226</v>
      </c>
      <c r="M9929" s="17"/>
      <c r="N9929" s="17"/>
      <c r="O9929" s="17"/>
      <c r="P9929" s="17" t="b">
        <f>IFERROR(__xludf.DUMMYFUNCTION("""COMPUTED_VALUE"""),FALSE)</f>
        <v>0</v>
      </c>
      <c r="Q9929" s="20" t="str">
        <f>IFERROR(__xludf.DUMMYFUNCTION("""COMPUTED_VALUE"""),"")</f>
        <v/>
      </c>
      <c r="R9929" s="21" t="str">
        <f>IFERROR(__xludf.DUMMYFUNCTION("""COMPUTED_VALUE"""),"https://drive.google.com/file/d/1FxvyyBmBtIO-hxKJpCLMZKS_KWW0NvVY/view?usp=drivesdk")</f>
        <v>https://drive.google.com/file/d/1FxvyyBmBtIO-hxKJpCLMZKS_KWW0NvVY/view?usp=drivesdk</v>
      </c>
    </row>
    <row r="9930">
      <c r="A9930" s="15">
        <f>IFERROR(__xludf.DUMMYFUNCTION("""COMPUTED_VALUE"""),45280.0)</f>
        <v>45280</v>
      </c>
      <c r="B9930" s="16" t="str">
        <f>IFERROR(__xludf.DUMMYFUNCTION("""COMPUTED_VALUE"""),"JOSE ALFREDO RAMIREZ VERGARA ")</f>
        <v>JOSE ALFREDO RAMIREZ VERGARA </v>
      </c>
      <c r="C9930" s="15" t="str">
        <f>IFERROR(__xludf.DUMMYFUNCTION("""COMPUTED_VALUE"""),"BOGOTÁ")</f>
        <v>BOGOTÁ</v>
      </c>
      <c r="D9930" s="15" t="str">
        <f>IFERROR(__xludf.DUMMYFUNCTION("""COMPUTED_VALUE"""),"MEDELLÍN")</f>
        <v>MEDELLÍN</v>
      </c>
      <c r="E9930" s="15" t="str">
        <f>IFERROR(__xludf.DUMMYFUNCTION("""COMPUTED_VALUE"""),"TOLEDALES S.A.S")</f>
        <v>TOLEDALES S.A.S</v>
      </c>
      <c r="F9930" s="17" t="str">
        <f>IFERROR(__xludf.DUMMYFUNCTION("""COMPUTED_VALUE"""),"Cr 15 #28a - 36 apto 202 / .")</f>
        <v>Cr 15 #28a - 36 apto 202 / .</v>
      </c>
      <c r="G9930" s="15" t="str">
        <f>IFERROR(__xludf.DUMMYFUNCTION("""COMPUTED_VALUE"""),"Carlos Becerra")</f>
        <v>Carlos Becerra</v>
      </c>
      <c r="H9930" s="16">
        <f>IFERROR(__xludf.DUMMYFUNCTION("""COMPUTED_VALUE"""),18210.0)</f>
        <v>18210</v>
      </c>
      <c r="I9930" s="17"/>
      <c r="J9930" s="17"/>
      <c r="K9930" s="17"/>
      <c r="L9930" s="17">
        <f>IFERROR(__xludf.DUMMYFUNCTION("""COMPUTED_VALUE"""),3.143353642E9)</f>
        <v>3143353642</v>
      </c>
      <c r="M9930" s="17"/>
      <c r="N9930" s="17"/>
      <c r="O9930" s="17"/>
      <c r="P9930" s="17" t="b">
        <f>IFERROR(__xludf.DUMMYFUNCTION("""COMPUTED_VALUE"""),FALSE)</f>
        <v>0</v>
      </c>
      <c r="Q9930" s="20" t="str">
        <f>IFERROR(__xludf.DUMMYFUNCTION("""COMPUTED_VALUE"""),"")</f>
        <v/>
      </c>
      <c r="R9930" s="21" t="str">
        <f>IFERROR(__xludf.DUMMYFUNCTION("""COMPUTED_VALUE"""),"https://drive.google.com/file/d/1geDiT3ZLgjfFvEO_aqIOc5PT5S4y6KGU/view?usp=drivesdk")</f>
        <v>https://drive.google.com/file/d/1geDiT3ZLgjfFvEO_aqIOc5PT5S4y6KGU/view?usp=drivesdk</v>
      </c>
    </row>
    <row r="9931">
      <c r="A9931" s="15">
        <f>IFERROR(__xludf.DUMMYFUNCTION("""COMPUTED_VALUE"""),45280.0)</f>
        <v>45280</v>
      </c>
      <c r="B9931" s="16" t="str">
        <f>IFERROR(__xludf.DUMMYFUNCTION("""COMPUTED_VALUE"""),"JOSE ALFREDO RAMIREZ VERGARA ")</f>
        <v>JOSE ALFREDO RAMIREZ VERGARA </v>
      </c>
      <c r="C9931" s="15" t="str">
        <f>IFERROR(__xludf.DUMMYFUNCTION("""COMPUTED_VALUE"""),"BOGOTÁ")</f>
        <v>BOGOTÁ</v>
      </c>
      <c r="D9931" s="15" t="str">
        <f>IFERROR(__xludf.DUMMYFUNCTION("""COMPUTED_VALUE"""),"MEDELLÍN")</f>
        <v>MEDELLÍN</v>
      </c>
      <c r="E9931" s="15" t="str">
        <f>IFERROR(__xludf.DUMMYFUNCTION("""COMPUTED_VALUE"""),"TOLEDALES S.A.S")</f>
        <v>TOLEDALES S.A.S</v>
      </c>
      <c r="F9931" s="17" t="str">
        <f>IFERROR(__xludf.DUMMYFUNCTION("""COMPUTED_VALUE"""),"Cr 15 #28a - 36 apto 202 / .")</f>
        <v>Cr 15 #28a - 36 apto 202 / .</v>
      </c>
      <c r="G9931" s="15" t="str">
        <f>IFERROR(__xludf.DUMMYFUNCTION("""COMPUTED_VALUE"""),"Efraín becerra")</f>
        <v>Efraín becerra</v>
      </c>
      <c r="H9931" s="16">
        <f>IFERROR(__xludf.DUMMYFUNCTION("""COMPUTED_VALUE"""),18211.0)</f>
        <v>18211</v>
      </c>
      <c r="I9931" s="17"/>
      <c r="J9931" s="17"/>
      <c r="K9931" s="17"/>
      <c r="L9931" s="17">
        <f>IFERROR(__xludf.DUMMYFUNCTION("""COMPUTED_VALUE"""),3.103898052E9)</f>
        <v>3103898052</v>
      </c>
      <c r="M9931" s="17"/>
      <c r="N9931" s="17"/>
      <c r="O9931" s="17"/>
      <c r="P9931" s="17" t="b">
        <f>IFERROR(__xludf.DUMMYFUNCTION("""COMPUTED_VALUE"""),FALSE)</f>
        <v>0</v>
      </c>
      <c r="Q9931" s="20" t="str">
        <f>IFERROR(__xludf.DUMMYFUNCTION("""COMPUTED_VALUE"""),"")</f>
        <v/>
      </c>
      <c r="R9931" s="21" t="str">
        <f>IFERROR(__xludf.DUMMYFUNCTION("""COMPUTED_VALUE"""),"https://drive.google.com/file/d/19cszQ28VXZjcXNm0sxZ7_-jUUTPSPc22/view?usp=drivesdk")</f>
        <v>https://drive.google.com/file/d/19cszQ28VXZjcXNm0sxZ7_-jUUTPSPc22/view?usp=drivesdk</v>
      </c>
    </row>
    <row r="9932">
      <c r="A9932" s="15">
        <f>IFERROR(__xludf.DUMMYFUNCTION("""COMPUTED_VALUE"""),45280.0)</f>
        <v>45280</v>
      </c>
      <c r="B9932" s="16" t="str">
        <f>IFERROR(__xludf.DUMMYFUNCTION("""COMPUTED_VALUE"""),"JOSE ALFREDO RAMIREZ VERGARA ")</f>
        <v>JOSE ALFREDO RAMIREZ VERGARA </v>
      </c>
      <c r="C9932" s="15" t="str">
        <f>IFERROR(__xludf.DUMMYFUNCTION("""COMPUTED_VALUE"""),"BOGOTÁ")</f>
        <v>BOGOTÁ</v>
      </c>
      <c r="D9932" s="15" t="str">
        <f>IFERROR(__xludf.DUMMYFUNCTION("""COMPUTED_VALUE"""),"MEDELLÍN")</f>
        <v>MEDELLÍN</v>
      </c>
      <c r="E9932" s="15" t="str">
        <f>IFERROR(__xludf.DUMMYFUNCTION("""COMPUTED_VALUE"""),"TOLEDALES S.A.S")</f>
        <v>TOLEDALES S.A.S</v>
      </c>
      <c r="F9932" s="17" t="str">
        <f>IFERROR(__xludf.DUMMYFUNCTION("""COMPUTED_VALUE"""),"Transversal 3 #86 - 03 / .")</f>
        <v>Transversal 3 #86 - 03 / .</v>
      </c>
      <c r="G9932" s="15" t="str">
        <f>IFERROR(__xludf.DUMMYFUNCTION("""COMPUTED_VALUE"""),"Maria victoria")</f>
        <v>Maria victoria</v>
      </c>
      <c r="H9932" s="16">
        <f>IFERROR(__xludf.DUMMYFUNCTION("""COMPUTED_VALUE"""),18212.0)</f>
        <v>18212</v>
      </c>
      <c r="I9932" s="17"/>
      <c r="J9932" s="17"/>
      <c r="K9932" s="17"/>
      <c r="L9932" s="17">
        <f>IFERROR(__xludf.DUMMYFUNCTION("""COMPUTED_VALUE"""),3.103898052E9)</f>
        <v>3103898052</v>
      </c>
      <c r="M9932" s="17"/>
      <c r="N9932" s="17"/>
      <c r="O9932" s="17"/>
      <c r="P9932" s="17" t="b">
        <f>IFERROR(__xludf.DUMMYFUNCTION("""COMPUTED_VALUE"""),FALSE)</f>
        <v>0</v>
      </c>
      <c r="Q9932" s="20" t="str">
        <f>IFERROR(__xludf.DUMMYFUNCTION("""COMPUTED_VALUE"""),"")</f>
        <v/>
      </c>
      <c r="R9932" s="21" t="str">
        <f>IFERROR(__xludf.DUMMYFUNCTION("""COMPUTED_VALUE"""),"https://drive.google.com/file/d/1pbX9X2JgWBi-RxrwSdlR70zESyKmmZOi/view?usp=drivesdk")</f>
        <v>https://drive.google.com/file/d/1pbX9X2JgWBi-RxrwSdlR70zESyKmmZOi/view?usp=drivesdk</v>
      </c>
    </row>
    <row r="9933">
      <c r="A9933" s="15">
        <f>IFERROR(__xludf.DUMMYFUNCTION("""COMPUTED_VALUE"""),45280.0)</f>
        <v>45280</v>
      </c>
      <c r="B9933" s="16" t="str">
        <f>IFERROR(__xludf.DUMMYFUNCTION("""COMPUTED_VALUE"""),"JOSE ALFREDO RAMIREZ VERGARA ")</f>
        <v>JOSE ALFREDO RAMIREZ VERGARA </v>
      </c>
      <c r="C9933" s="15" t="str">
        <f>IFERROR(__xludf.DUMMYFUNCTION("""COMPUTED_VALUE"""),"BOGOTÁ")</f>
        <v>BOGOTÁ</v>
      </c>
      <c r="D9933" s="15" t="str">
        <f>IFERROR(__xludf.DUMMYFUNCTION("""COMPUTED_VALUE"""),"PEREIRA")</f>
        <v>PEREIRA</v>
      </c>
      <c r="E9933" s="15" t="str">
        <f>IFERROR(__xludf.DUMMYFUNCTION("""COMPUTED_VALUE"""),"BAK&amp;VEG")</f>
        <v>BAK&amp;VEG</v>
      </c>
      <c r="F9933" s="17" t="str">
        <f>IFERROR(__xludf.DUMMYFUNCTION("""COMPUTED_VALUE"""),"BOGOTA / Cra 13 #38 -76")</f>
        <v>BOGOTA / Cra 13 #38 -76</v>
      </c>
      <c r="G9933" s="15" t="str">
        <f>IFERROR(__xludf.DUMMYFUNCTION("""COMPUTED_VALUE"""),"Kat")</f>
        <v>Kat</v>
      </c>
      <c r="H9933" s="16">
        <f>IFERROR(__xludf.DUMMYFUNCTION("""COMPUTED_VALUE"""),18495.0)</f>
        <v>18495</v>
      </c>
      <c r="I9933" s="17"/>
      <c r="J9933" s="17"/>
      <c r="K9933" s="17"/>
      <c r="L9933" s="17">
        <f>IFERROR(__xludf.DUMMYFUNCTION("""COMPUTED_VALUE"""),3.008039556E9)</f>
        <v>3008039556</v>
      </c>
      <c r="M9933" s="17"/>
      <c r="N9933" s="17"/>
      <c r="O9933" s="17"/>
      <c r="P9933" s="17" t="b">
        <f>IFERROR(__xludf.DUMMYFUNCTION("""COMPUTED_VALUE"""),FALSE)</f>
        <v>0</v>
      </c>
      <c r="Q9933" s="20" t="str">
        <f>IFERROR(__xludf.DUMMYFUNCTION("""COMPUTED_VALUE"""),"")</f>
        <v/>
      </c>
      <c r="R9933" s="21" t="str">
        <f>IFERROR(__xludf.DUMMYFUNCTION("""COMPUTED_VALUE"""),"https://drive.google.com/file/d/1WSzOkkFASZz8a2VIXWXFxPNLwLpKCwJx/view?usp=drivesdk")</f>
        <v>https://drive.google.com/file/d/1WSzOkkFASZz8a2VIXWXFxPNLwLpKCwJx/view?usp=drivesdk</v>
      </c>
    </row>
    <row r="9934">
      <c r="A9934" s="15">
        <f>IFERROR(__xludf.DUMMYFUNCTION("""COMPUTED_VALUE"""),45280.0)</f>
        <v>45280</v>
      </c>
      <c r="B9934" s="16" t="str">
        <f>IFERROR(__xludf.DUMMYFUNCTION("""COMPUTED_VALUE"""),"JOSE ALFREDO RAMIREZ VERGARA ")</f>
        <v>JOSE ALFREDO RAMIREZ VERGARA </v>
      </c>
      <c r="C9934" s="15" t="str">
        <f>IFERROR(__xludf.DUMMYFUNCTION("""COMPUTED_VALUE"""),"CHÍA")</f>
        <v>CHÍA</v>
      </c>
      <c r="D9934" s="15" t="str">
        <f>IFERROR(__xludf.DUMMYFUNCTION("""COMPUTED_VALUE"""),"ENVIGADO")</f>
        <v>ENVIGADO</v>
      </c>
      <c r="E9934" s="15" t="str">
        <f>IFERROR(__xludf.DUMMYFUNCTION("""COMPUTED_VALUE"""),"RAMBLA")</f>
        <v>RAMBLA</v>
      </c>
      <c r="F9934" s="17" t="str">
        <f>IFERROR(__xludf.DUMMYFUNCTION("""COMPUTED_VALUE"""),"Km 1.5 via Chia Cajica 100 mts antes de Fontanar")</f>
        <v>Km 1.5 via Chia Cajica 100 mts antes de Fontanar</v>
      </c>
      <c r="G9934" s="15" t="str">
        <f>IFERROR(__xludf.DUMMYFUNCTION("""COMPUTED_VALUE"""),"The Choice Natural Market")</f>
        <v>The Choice Natural Market</v>
      </c>
      <c r="H9934" s="16">
        <f>IFERROR(__xludf.DUMMYFUNCTION("""COMPUTED_VALUE"""),18601.0)</f>
        <v>18601</v>
      </c>
      <c r="I9934" s="17"/>
      <c r="J9934" s="17"/>
      <c r="K9934" s="17"/>
      <c r="L9934" s="17">
        <f>IFERROR(__xludf.DUMMYFUNCTION("""COMPUTED_VALUE"""),3.212415592E9)</f>
        <v>3212415592</v>
      </c>
      <c r="M9934" s="17"/>
      <c r="N9934" s="17"/>
      <c r="O9934" s="17"/>
      <c r="P9934" s="17" t="b">
        <f>IFERROR(__xludf.DUMMYFUNCTION("""COMPUTED_VALUE"""),FALSE)</f>
        <v>0</v>
      </c>
      <c r="Q9934" s="20" t="str">
        <f>IFERROR(__xludf.DUMMYFUNCTION("""COMPUTED_VALUE"""),"")</f>
        <v/>
      </c>
      <c r="R9934" s="21" t="str">
        <f>IFERROR(__xludf.DUMMYFUNCTION("""COMPUTED_VALUE"""),"https://drive.google.com/file/d/1Eo5jwJC2OCkuXMgagKRgALbLOgQh1l7T/view?usp=drivesdk")</f>
        <v>https://drive.google.com/file/d/1Eo5jwJC2OCkuXMgagKRgALbLOgQh1l7T/view?usp=drivesdk</v>
      </c>
    </row>
    <row r="9935">
      <c r="A9935" s="15">
        <f>IFERROR(__xludf.DUMMYFUNCTION("""COMPUTED_VALUE"""),45280.0)</f>
        <v>45280</v>
      </c>
      <c r="B9935" s="16" t="str">
        <f>IFERROR(__xludf.DUMMYFUNCTION("""COMPUTED_VALUE"""),"JOSE ALFREDO RAMIREZ VERGARA ")</f>
        <v>JOSE ALFREDO RAMIREZ VERGARA </v>
      </c>
      <c r="C9935" s="15" t="str">
        <f>IFERROR(__xludf.DUMMYFUNCTION("""COMPUTED_VALUE"""),"CHÍA")</f>
        <v>CHÍA</v>
      </c>
      <c r="D9935" s="15" t="str">
        <f>IFERROR(__xludf.DUMMYFUNCTION("""COMPUTED_VALUE"""),"MEDELLÍN")</f>
        <v>MEDELLÍN</v>
      </c>
      <c r="E9935" s="15" t="str">
        <f>IFERROR(__xludf.DUMMYFUNCTION("""COMPUTED_VALUE"""),"Baby Chef")</f>
        <v>Baby Chef</v>
      </c>
      <c r="F9935" s="17" t="str">
        <f>IFERROR(__xludf.DUMMYFUNCTION("""COMPUTED_VALUE"""),"Dirección:  Vereda Tiquiza Sector Chato Parrilla Conjunto Sierraluna Casa 5 Barrio Vereda Tiquiza Ciudad: Chía, Cundinamarca / . / .")</f>
        <v>Dirección:  Vereda Tiquiza Sector Chato Parrilla Conjunto Sierraluna Casa 5 Barrio Vereda Tiquiza Ciudad: Chía, Cundinamarca / . / .</v>
      </c>
      <c r="G9935" s="15" t="str">
        <f>IFERROR(__xludf.DUMMYFUNCTION("""COMPUTED_VALUE"""),"Dary Helena Gómez")</f>
        <v>Dary Helena Gómez</v>
      </c>
      <c r="H9935" s="16">
        <f>IFERROR(__xludf.DUMMYFUNCTION("""COMPUTED_VALUE"""),18584.0)</f>
        <v>18584</v>
      </c>
      <c r="I9935" s="18">
        <f>IFERROR(__xludf.DUMMYFUNCTION("""COMPUTED_VALUE"""),14.0)</f>
        <v>14</v>
      </c>
      <c r="J9935" s="18">
        <f>IFERROR(__xludf.DUMMYFUNCTION("""COMPUTED_VALUE"""),21.0)</f>
        <v>21</v>
      </c>
      <c r="K9935" s="18">
        <f>IFERROR(__xludf.DUMMYFUNCTION("""COMPUTED_VALUE"""),22.0)</f>
        <v>22</v>
      </c>
      <c r="L9935" s="17">
        <f>IFERROR(__xludf.DUMMYFUNCTION("""COMPUTED_VALUE"""),3.044525777E9)</f>
        <v>3044525777</v>
      </c>
      <c r="M9935" s="17"/>
      <c r="N9935" s="17"/>
      <c r="O9935" s="17"/>
      <c r="P9935" s="17" t="b">
        <f>IFERROR(__xludf.DUMMYFUNCTION("""COMPUTED_VALUE"""),FALSE)</f>
        <v>0</v>
      </c>
      <c r="Q9935" s="20" t="str">
        <f>IFERROR(__xludf.DUMMYFUNCTION("""COMPUTED_VALUE"""),"")</f>
        <v/>
      </c>
      <c r="R9935" s="21" t="str">
        <f>IFERROR(__xludf.DUMMYFUNCTION("""COMPUTED_VALUE"""),"https://drive.google.com/file/d/1bLFsZDmVNcwMXrd0sKe49T3J0-xiRnQx/view?usp=drivesdk")</f>
        <v>https://drive.google.com/file/d/1bLFsZDmVNcwMXrd0sKe49T3J0-xiRnQx/view?usp=drivesdk</v>
      </c>
    </row>
    <row r="9936">
      <c r="A9936" s="15">
        <f>IFERROR(__xludf.DUMMYFUNCTION("""COMPUTED_VALUE"""),45280.0)</f>
        <v>45280</v>
      </c>
      <c r="B9936" s="16" t="str">
        <f>IFERROR(__xludf.DUMMYFUNCTION("""COMPUTED_VALUE"""),"JOSE ALFREDO RAMIREZ VERGARA ")</f>
        <v>JOSE ALFREDO RAMIREZ VERGARA </v>
      </c>
      <c r="C9936" s="15" t="str">
        <f>IFERROR(__xludf.DUMMYFUNCTION("""COMPUTED_VALUE"""),"MOSQUERA")</f>
        <v>MOSQUERA</v>
      </c>
      <c r="D9936" s="15" t="str">
        <f>IFERROR(__xludf.DUMMYFUNCTION("""COMPUTED_VALUE"""),"ENVIGADO")</f>
        <v>ENVIGADO</v>
      </c>
      <c r="E9936" s="15" t="str">
        <f>IFERROR(__xludf.DUMMYFUNCTION("""COMPUTED_VALUE"""),"RAMBLA")</f>
        <v>RAMBLA</v>
      </c>
      <c r="F9936" s="17" t="str">
        <f>IFERROR(__xludf.DUMMYFUNCTION("""COMPUTED_VALUE"""),"Cr 3A # 17 sur 96 LC 124 / LC 124")</f>
        <v>Cr 3A # 17 sur 96 LC 124 / LC 124</v>
      </c>
      <c r="G9936" s="15" t="str">
        <f>IFERROR(__xludf.DUMMYFUNCTION("""COMPUTED_VALUE"""),"Inversiones Bida SAS")</f>
        <v>Inversiones Bida SAS</v>
      </c>
      <c r="H9936" s="16">
        <f>IFERROR(__xludf.DUMMYFUNCTION("""COMPUTED_VALUE"""),18614.0)</f>
        <v>18614</v>
      </c>
      <c r="I9936" s="17"/>
      <c r="J9936" s="17"/>
      <c r="K9936" s="17"/>
      <c r="L9936" s="17">
        <f>IFERROR(__xludf.DUMMYFUNCTION("""COMPUTED_VALUE"""),3.124521956E9)</f>
        <v>3124521956</v>
      </c>
      <c r="M9936" s="17"/>
      <c r="N9936" s="17"/>
      <c r="O9936" s="17"/>
      <c r="P9936" s="17" t="b">
        <f>IFERROR(__xludf.DUMMYFUNCTION("""COMPUTED_VALUE"""),FALSE)</f>
        <v>0</v>
      </c>
      <c r="Q9936" s="20" t="str">
        <f>IFERROR(__xludf.DUMMYFUNCTION("""COMPUTED_VALUE"""),"")</f>
        <v/>
      </c>
      <c r="R9936" s="21" t="str">
        <f>IFERROR(__xludf.DUMMYFUNCTION("""COMPUTED_VALUE"""),"https://drive.google.com/file/d/1We4vLRtQ4EVTxieaEsV4CG8YPkBVVBw8/view?usp=drivesdk")</f>
        <v>https://drive.google.com/file/d/1We4vLRtQ4EVTxieaEsV4CG8YPkBVVBw8/view?usp=drivesdk</v>
      </c>
    </row>
    <row r="9937">
      <c r="A9937" s="17" t="str">
        <f>IFERROR(__xludf.DUMMYFUNCTION("""COMPUTED_VALUE"""),"")</f>
        <v/>
      </c>
      <c r="B9937" s="17" t="str">
        <f>IFERROR(__xludf.DUMMYFUNCTION("""COMPUTED_VALUE"""),"")</f>
        <v/>
      </c>
      <c r="C9937" s="17" t="str">
        <f>IFERROR(__xludf.DUMMYFUNCTION("""COMPUTED_VALUE"""),"")</f>
        <v/>
      </c>
      <c r="D9937" s="17" t="str">
        <f>IFERROR(__xludf.DUMMYFUNCTION("""COMPUTED_VALUE"""),"")</f>
        <v/>
      </c>
      <c r="E9937" s="17" t="str">
        <f>IFERROR(__xludf.DUMMYFUNCTION("""COMPUTED_VALUE"""),"")</f>
        <v/>
      </c>
      <c r="F9937" s="17" t="str">
        <f>IFERROR(__xludf.DUMMYFUNCTION("""COMPUTED_VALUE"""),"")</f>
        <v/>
      </c>
      <c r="G9937" s="17" t="str">
        <f>IFERROR(__xludf.DUMMYFUNCTION("""COMPUTED_VALUE"""),"")</f>
        <v/>
      </c>
      <c r="H9937" s="17" t="str">
        <f>IFERROR(__xludf.DUMMYFUNCTION("""COMPUTED_VALUE"""),"")</f>
        <v/>
      </c>
      <c r="I9937" s="17" t="str">
        <f>IFERROR(__xludf.DUMMYFUNCTION("""COMPUTED_VALUE"""),"")</f>
        <v/>
      </c>
      <c r="J9937" s="17" t="str">
        <f>IFERROR(__xludf.DUMMYFUNCTION("""COMPUTED_VALUE"""),"")</f>
        <v/>
      </c>
      <c r="K9937" s="17" t="str">
        <f>IFERROR(__xludf.DUMMYFUNCTION("""COMPUTED_VALUE"""),"")</f>
        <v/>
      </c>
      <c r="L9937" s="17" t="str">
        <f>IFERROR(__xludf.DUMMYFUNCTION("""COMPUTED_VALUE"""),"")</f>
        <v/>
      </c>
      <c r="M9937" s="17" t="str">
        <f>IFERROR(__xludf.DUMMYFUNCTION("""COMPUTED_VALUE"""),"")</f>
        <v/>
      </c>
      <c r="N9937" s="17" t="str">
        <f>IFERROR(__xludf.DUMMYFUNCTION("""COMPUTED_VALUE"""),"")</f>
        <v/>
      </c>
      <c r="O9937" s="17" t="str">
        <f>IFERROR(__xludf.DUMMYFUNCTION("""COMPUTED_VALUE"""),"")</f>
        <v/>
      </c>
      <c r="P9937" s="17" t="str">
        <f>IFERROR(__xludf.DUMMYFUNCTION("""COMPUTED_VALUE"""),"")</f>
        <v/>
      </c>
      <c r="Q9937" s="17" t="str">
        <f>IFERROR(__xludf.DUMMYFUNCTION("""COMPUTED_VALUE"""),"")</f>
        <v/>
      </c>
      <c r="R9937" s="17" t="str">
        <f>IFERROR(__xludf.DUMMYFUNCTION("""COMPUTED_VALUE"""),"")</f>
        <v/>
      </c>
    </row>
    <row r="9938">
      <c r="A9938" s="15">
        <f>IFERROR(__xludf.DUMMYFUNCTION("""COMPUTED_VALUE"""),45280.0)</f>
        <v>45280</v>
      </c>
      <c r="B9938" s="16" t="str">
        <f>IFERROR(__xludf.DUMMYFUNCTION("""COMPUTED_VALUE"""),"Kevin Andrés puerta Jaramillo")</f>
        <v>Kevin Andrés puerta Jaramillo</v>
      </c>
      <c r="C9938" s="15" t="str">
        <f>IFERROR(__xludf.DUMMYFUNCTION("""COMPUTED_VALUE"""),"MEDELLÍN")</f>
        <v>MEDELLÍN</v>
      </c>
      <c r="D9938" s="15" t="str">
        <f>IFERROR(__xludf.DUMMYFUNCTION("""COMPUTED_VALUE"""),"PEREIRA")</f>
        <v>PEREIRA</v>
      </c>
      <c r="E9938" s="15" t="str">
        <f>IFERROR(__xludf.DUMMYFUNCTION("""COMPUTED_VALUE"""),"BAK&amp;VEG")</f>
        <v>BAK&amp;VEG</v>
      </c>
      <c r="F9938" s="17" t="str">
        <f>IFERROR(__xludf.DUMMYFUNCTION("""COMPUTED_VALUE"""),"medellin / calle 76 #88c-29")</f>
        <v>medellin / calle 76 #88c-29</v>
      </c>
      <c r="G9938" s="15" t="str">
        <f>IFERROR(__xludf.DUMMYFUNCTION("""COMPUTED_VALUE"""),"Brina")</f>
        <v>Brina</v>
      </c>
      <c r="H9938" s="16">
        <f>IFERROR(__xludf.DUMMYFUNCTION("""COMPUTED_VALUE"""),18524.0)</f>
        <v>18524</v>
      </c>
      <c r="I9938" s="17"/>
      <c r="J9938" s="17"/>
      <c r="K9938" s="17"/>
      <c r="L9938" s="17">
        <f>IFERROR(__xludf.DUMMYFUNCTION("""COMPUTED_VALUE"""),3.053632511E9)</f>
        <v>3053632511</v>
      </c>
      <c r="M9938" s="17"/>
      <c r="N9938" s="17"/>
      <c r="O9938" s="17"/>
      <c r="P9938" s="17" t="b">
        <f>IFERROR(__xludf.DUMMYFUNCTION("""COMPUTED_VALUE"""),FALSE)</f>
        <v>0</v>
      </c>
      <c r="Q9938" s="20" t="str">
        <f>IFERROR(__xludf.DUMMYFUNCTION("""COMPUTED_VALUE"""),"")</f>
        <v/>
      </c>
      <c r="R9938" s="21" t="str">
        <f>IFERROR(__xludf.DUMMYFUNCTION("""COMPUTED_VALUE"""),"https://drive.google.com/file/d/1bq3bqA7AxPZhOkXb_UTgfLinezFGWeN8/view?usp=drivesdk")</f>
        <v>https://drive.google.com/file/d/1bq3bqA7AxPZhOkXb_UTgfLinezFGWeN8/view?usp=drivesdk</v>
      </c>
    </row>
    <row r="9939">
      <c r="A9939" s="17" t="str">
        <f>IFERROR(__xludf.DUMMYFUNCTION("""COMPUTED_VALUE"""),"")</f>
        <v/>
      </c>
      <c r="B9939" s="17" t="str">
        <f>IFERROR(__xludf.DUMMYFUNCTION("""COMPUTED_VALUE"""),"")</f>
        <v/>
      </c>
      <c r="C9939" s="17" t="str">
        <f>IFERROR(__xludf.DUMMYFUNCTION("""COMPUTED_VALUE"""),"")</f>
        <v/>
      </c>
      <c r="D9939" s="17" t="str">
        <f>IFERROR(__xludf.DUMMYFUNCTION("""COMPUTED_VALUE"""),"")</f>
        <v/>
      </c>
      <c r="E9939" s="17" t="str">
        <f>IFERROR(__xludf.DUMMYFUNCTION("""COMPUTED_VALUE"""),"")</f>
        <v/>
      </c>
      <c r="F9939" s="17" t="str">
        <f>IFERROR(__xludf.DUMMYFUNCTION("""COMPUTED_VALUE"""),"")</f>
        <v/>
      </c>
      <c r="G9939" s="17" t="str">
        <f>IFERROR(__xludf.DUMMYFUNCTION("""COMPUTED_VALUE"""),"")</f>
        <v/>
      </c>
      <c r="H9939" s="17" t="str">
        <f>IFERROR(__xludf.DUMMYFUNCTION("""COMPUTED_VALUE"""),"")</f>
        <v/>
      </c>
      <c r="I9939" s="17" t="str">
        <f>IFERROR(__xludf.DUMMYFUNCTION("""COMPUTED_VALUE"""),"")</f>
        <v/>
      </c>
      <c r="J9939" s="17" t="str">
        <f>IFERROR(__xludf.DUMMYFUNCTION("""COMPUTED_VALUE"""),"")</f>
        <v/>
      </c>
      <c r="K9939" s="17" t="str">
        <f>IFERROR(__xludf.DUMMYFUNCTION("""COMPUTED_VALUE"""),"")</f>
        <v/>
      </c>
      <c r="L9939" s="17" t="str">
        <f>IFERROR(__xludf.DUMMYFUNCTION("""COMPUTED_VALUE"""),"")</f>
        <v/>
      </c>
      <c r="M9939" s="17" t="str">
        <f>IFERROR(__xludf.DUMMYFUNCTION("""COMPUTED_VALUE"""),"")</f>
        <v/>
      </c>
      <c r="N9939" s="17" t="str">
        <f>IFERROR(__xludf.DUMMYFUNCTION("""COMPUTED_VALUE"""),"")</f>
        <v/>
      </c>
      <c r="O9939" s="17" t="str">
        <f>IFERROR(__xludf.DUMMYFUNCTION("""COMPUTED_VALUE"""),"")</f>
        <v/>
      </c>
      <c r="P9939" s="17" t="str">
        <f>IFERROR(__xludf.DUMMYFUNCTION("""COMPUTED_VALUE"""),"")</f>
        <v/>
      </c>
      <c r="Q9939" s="17" t="str">
        <f>IFERROR(__xludf.DUMMYFUNCTION("""COMPUTED_VALUE"""),"")</f>
        <v/>
      </c>
      <c r="R9939" s="17" t="str">
        <f>IFERROR(__xludf.DUMMYFUNCTION("""COMPUTED_VALUE"""),"")</f>
        <v/>
      </c>
    </row>
    <row r="9940">
      <c r="A9940" s="15">
        <f>IFERROR(__xludf.DUMMYFUNCTION("""COMPUTED_VALUE"""),45281.0)</f>
        <v>45281</v>
      </c>
      <c r="B9940" s="16" t="str">
        <f>IFERROR(__xludf.DUMMYFUNCTION("""COMPUTED_VALUE"""),"David Sanmartin Bello")</f>
        <v>David Sanmartin Bello</v>
      </c>
      <c r="C9940" s="15" t="str">
        <f>IFERROR(__xludf.DUMMYFUNCTION("""COMPUTED_VALUE"""),"CARTAGENA")</f>
        <v>CARTAGENA</v>
      </c>
      <c r="D9940" s="15" t="str">
        <f>IFERROR(__xludf.DUMMYFUNCTION("""COMPUTED_VALUE"""),"BOGOTÁ")</f>
        <v>BOGOTÁ</v>
      </c>
      <c r="E9940" s="15" t="str">
        <f>IFERROR(__xludf.DUMMYFUNCTION("""COMPUTED_VALUE"""),"Instinto alimento vital")</f>
        <v>Instinto alimento vital</v>
      </c>
      <c r="F9940" s="17" t="str">
        <f>IFERROR(__xludf.DUMMYFUNCTION("""COMPUTED_VALUE"""),"CR 4 #46A-29 APTO 801 / APTO 801")</f>
        <v>CR 4 #46A-29 APTO 801 / APTO 801</v>
      </c>
      <c r="G9940" s="15" t="str">
        <f>IFERROR(__xludf.DUMMYFUNCTION("""COMPUTED_VALUE"""),"MARIA CRISTINA MARQUEZ ARIZA")</f>
        <v>MARIA CRISTINA MARQUEZ ARIZA</v>
      </c>
      <c r="H9940" s="16">
        <f>IFERROR(__xludf.DUMMYFUNCTION("""COMPUTED_VALUE"""),18594.0)</f>
        <v>18594</v>
      </c>
      <c r="I9940" s="17"/>
      <c r="J9940" s="17"/>
      <c r="K9940" s="17"/>
      <c r="L9940" s="17">
        <f>IFERROR(__xludf.DUMMYFUNCTION("""COMPUTED_VALUE"""),3.214623915E9)</f>
        <v>3214623915</v>
      </c>
      <c r="M9940" s="17"/>
      <c r="N9940" s="17"/>
      <c r="O9940" s="17"/>
      <c r="P9940" s="17" t="b">
        <f>IFERROR(__xludf.DUMMYFUNCTION("""COMPUTED_VALUE"""),FALSE)</f>
        <v>0</v>
      </c>
      <c r="Q9940" s="20" t="str">
        <f>IFERROR(__xludf.DUMMYFUNCTION("""COMPUTED_VALUE"""),"")</f>
        <v/>
      </c>
      <c r="R9940" s="21" t="str">
        <f>IFERROR(__xludf.DUMMYFUNCTION("""COMPUTED_VALUE"""),"https://drive.google.com/file/d/1jmgkr4Z6rOSFxJUYA5qVo9riRVx8kylB/view?usp=drivesdk")</f>
        <v>https://drive.google.com/file/d/1jmgkr4Z6rOSFxJUYA5qVo9riRVx8kylB/view?usp=drivesdk</v>
      </c>
    </row>
    <row r="9941">
      <c r="A9941" s="15">
        <f>IFERROR(__xludf.DUMMYFUNCTION("""COMPUTED_VALUE"""),45281.0)</f>
        <v>45281</v>
      </c>
      <c r="B9941" s="16" t="str">
        <f>IFERROR(__xludf.DUMMYFUNCTION("""COMPUTED_VALUE"""),"David Sanmartin Bello")</f>
        <v>David Sanmartin Bello</v>
      </c>
      <c r="C9941" s="15" t="str">
        <f>IFERROR(__xludf.DUMMYFUNCTION("""COMPUTED_VALUE"""),"CARTAGENA")</f>
        <v>CARTAGENA</v>
      </c>
      <c r="D9941" s="15" t="str">
        <f>IFERROR(__xludf.DUMMYFUNCTION("""COMPUTED_VALUE"""),"BOGOTÁ")</f>
        <v>BOGOTÁ</v>
      </c>
      <c r="E9941" s="15" t="str">
        <f>IFERROR(__xludf.DUMMYFUNCTION("""COMPUTED_VALUE"""),"Instinto alimento vital")</f>
        <v>Instinto alimento vital</v>
      </c>
      <c r="F9941" s="17" t="str">
        <f>IFERROR(__xludf.DUMMYFUNCTION("""COMPUTED_VALUE"""),"KM 12 VIA AL MAR ENTRE MANZANILLO Y PUNTA CANOA, ALBATROS CASA 6, CONDOMINIO KARIBANA / ALBATROS CASA 6")</f>
        <v>KM 12 VIA AL MAR ENTRE MANZANILLO Y PUNTA CANOA, ALBATROS CASA 6, CONDOMINIO KARIBANA / ALBATROS CASA 6</v>
      </c>
      <c r="G9941" s="15" t="str">
        <f>IFERROR(__xludf.DUMMYFUNCTION("""COMPUTED_VALUE"""),"MARIANA CASTRO LASCHIVSKA")</f>
        <v>MARIANA CASTRO LASCHIVSKA</v>
      </c>
      <c r="H9941" s="16">
        <f>IFERROR(__xludf.DUMMYFUNCTION("""COMPUTED_VALUE"""),18595.0)</f>
        <v>18595</v>
      </c>
      <c r="I9941" s="17"/>
      <c r="J9941" s="17"/>
      <c r="K9941" s="17"/>
      <c r="L9941" s="17">
        <f>IFERROR(__xludf.DUMMYFUNCTION("""COMPUTED_VALUE"""),3.045239077E9)</f>
        <v>3045239077</v>
      </c>
      <c r="M9941" s="17"/>
      <c r="N9941" s="17"/>
      <c r="O9941" s="17"/>
      <c r="P9941" s="17" t="b">
        <f>IFERROR(__xludf.DUMMYFUNCTION("""COMPUTED_VALUE"""),FALSE)</f>
        <v>0</v>
      </c>
      <c r="Q9941" s="20" t="str">
        <f>IFERROR(__xludf.DUMMYFUNCTION("""COMPUTED_VALUE"""),"")</f>
        <v/>
      </c>
      <c r="R9941" s="21" t="str">
        <f>IFERROR(__xludf.DUMMYFUNCTION("""COMPUTED_VALUE"""),"https://drive.google.com/file/d/1Z17O7WcVs80JDXEGUF2lz3yHb1GDsXj-/view?usp=drivesdk")</f>
        <v>https://drive.google.com/file/d/1Z17O7WcVs80JDXEGUF2lz3yHb1GDsXj-/view?usp=drivesdk</v>
      </c>
    </row>
    <row r="9942">
      <c r="A9942" s="15">
        <f>IFERROR(__xludf.DUMMYFUNCTION("""COMPUTED_VALUE"""),45281.0)</f>
        <v>45281</v>
      </c>
      <c r="B9942" s="16" t="str">
        <f>IFERROR(__xludf.DUMMYFUNCTION("""COMPUTED_VALUE"""),"David Sanmartin Bello")</f>
        <v>David Sanmartin Bello</v>
      </c>
      <c r="C9942" s="15" t="str">
        <f>IFERROR(__xludf.DUMMYFUNCTION("""COMPUTED_VALUE"""),"CARTAGENA")</f>
        <v>CARTAGENA</v>
      </c>
      <c r="D9942" s="15" t="str">
        <f>IFERROR(__xludf.DUMMYFUNCTION("""COMPUTED_VALUE"""),"BOGOTÁ")</f>
        <v>BOGOTÁ</v>
      </c>
      <c r="E9942" s="15" t="str">
        <f>IFERROR(__xludf.DUMMYFUNCTION("""COMPUTED_VALUE"""),"LINA PAOLA RAMIREZ GOMEZ - EVA MAZZITA")</f>
        <v>LINA PAOLA RAMIREZ GOMEZ - EVA MAZZITA</v>
      </c>
      <c r="F9942" s="17" t="str">
        <f>IFERROR(__xludf.DUMMYFUNCTION("""COMPUTED_VALUE"""),"Calle 35 # 102 - 10 / Condominio Torres de San José Apto. 407 B")</f>
        <v>Calle 35 # 102 - 10 / Condominio Torres de San José Apto. 407 B</v>
      </c>
      <c r="G9942" s="15" t="str">
        <f>IFERROR(__xludf.DUMMYFUNCTION("""COMPUTED_VALUE"""),"FANNY CABARCAS ARTEAGA")</f>
        <v>FANNY CABARCAS ARTEAGA</v>
      </c>
      <c r="H9942" s="16">
        <f>IFERROR(__xludf.DUMMYFUNCTION("""COMPUTED_VALUE"""),18598.0)</f>
        <v>18598</v>
      </c>
      <c r="I9942" s="17"/>
      <c r="J9942" s="17"/>
      <c r="K9942" s="17"/>
      <c r="L9942" s="17">
        <f>IFERROR(__xludf.DUMMYFUNCTION("""COMPUTED_VALUE"""),3.014081162E9)</f>
        <v>3014081162</v>
      </c>
      <c r="M9942" s="17"/>
      <c r="N9942" s="17"/>
      <c r="O9942" s="17"/>
      <c r="P9942" s="17" t="b">
        <f>IFERROR(__xludf.DUMMYFUNCTION("""COMPUTED_VALUE"""),FALSE)</f>
        <v>0</v>
      </c>
      <c r="Q9942" s="20" t="str">
        <f>IFERROR(__xludf.DUMMYFUNCTION("""COMPUTED_VALUE"""),"")</f>
        <v/>
      </c>
      <c r="R9942" s="21" t="str">
        <f>IFERROR(__xludf.DUMMYFUNCTION("""COMPUTED_VALUE"""),"https://drive.google.com/file/d/1DWGDmGK89ebzGBEIHB7AhZ4UqO7EyCJ2/view?usp=drivesdk")</f>
        <v>https://drive.google.com/file/d/1DWGDmGK89ebzGBEIHB7AhZ4UqO7EyCJ2/view?usp=drivesdk</v>
      </c>
    </row>
    <row r="9943">
      <c r="A9943" s="15">
        <f>IFERROR(__xludf.DUMMYFUNCTION("""COMPUTED_VALUE"""),45281.0)</f>
        <v>45281</v>
      </c>
      <c r="B9943" s="16" t="str">
        <f>IFERROR(__xludf.DUMMYFUNCTION("""COMPUTED_VALUE"""),"David Sanmartin Bello")</f>
        <v>David Sanmartin Bello</v>
      </c>
      <c r="C9943" s="15" t="str">
        <f>IFERROR(__xludf.DUMMYFUNCTION("""COMPUTED_VALUE"""),"CARTAGENA")</f>
        <v>CARTAGENA</v>
      </c>
      <c r="D9943" s="15" t="str">
        <f>IFERROR(__xludf.DUMMYFUNCTION("""COMPUTED_VALUE"""),"BOGOTÁ")</f>
        <v>BOGOTÁ</v>
      </c>
      <c r="E9943" s="15" t="str">
        <f>IFERROR(__xludf.DUMMYFUNCTION("""COMPUTED_VALUE"""),"LINA PAOLA RAMIREZ GOMEZ - EVA MAZZITA")</f>
        <v>LINA PAOLA RAMIREZ GOMEZ - EVA MAZZITA</v>
      </c>
      <c r="F9943" s="17" t="str">
        <f>IFERROR(__xludf.DUMMYFUNCTION("""COMPUTED_VALUE"""),"Cra 20A#29b-24 / edifciio terra club house apto 701  Pie de la popa")</f>
        <v>Cra 20A#29b-24 / edifciio terra club house apto 701  Pie de la popa</v>
      </c>
      <c r="G9943" s="15" t="str">
        <f>IFERROR(__xludf.DUMMYFUNCTION("""COMPUTED_VALUE"""),"ANDREA BERDUGO OSORIO")</f>
        <v>ANDREA BERDUGO OSORIO</v>
      </c>
      <c r="H9943" s="16">
        <f>IFERROR(__xludf.DUMMYFUNCTION("""COMPUTED_VALUE"""),18600.0)</f>
        <v>18600</v>
      </c>
      <c r="I9943" s="17"/>
      <c r="J9943" s="17"/>
      <c r="K9943" s="17"/>
      <c r="L9943" s="17">
        <f>IFERROR(__xludf.DUMMYFUNCTION("""COMPUTED_VALUE"""),3.102979161E9)</f>
        <v>3102979161</v>
      </c>
      <c r="M9943" s="17"/>
      <c r="N9943" s="17"/>
      <c r="O9943" s="17"/>
      <c r="P9943" s="17" t="b">
        <f>IFERROR(__xludf.DUMMYFUNCTION("""COMPUTED_VALUE"""),FALSE)</f>
        <v>0</v>
      </c>
      <c r="Q9943" s="20" t="str">
        <f>IFERROR(__xludf.DUMMYFUNCTION("""COMPUTED_VALUE"""),"")</f>
        <v/>
      </c>
      <c r="R9943" s="21" t="str">
        <f>IFERROR(__xludf.DUMMYFUNCTION("""COMPUTED_VALUE"""),"https://drive.google.com/file/d/18pxVZN57S6-WVly2WumOsX5zSgUaaQ1v/view?usp=drivesdk")</f>
        <v>https://drive.google.com/file/d/18pxVZN57S6-WVly2WumOsX5zSgUaaQ1v/view?usp=drivesdk</v>
      </c>
    </row>
    <row r="9944">
      <c r="A9944" s="15">
        <f>IFERROR(__xludf.DUMMYFUNCTION("""COMPUTED_VALUE"""),45281.0)</f>
        <v>45281</v>
      </c>
      <c r="B9944" s="16" t="str">
        <f>IFERROR(__xludf.DUMMYFUNCTION("""COMPUTED_VALUE"""),"David Sanmartin Bello")</f>
        <v>David Sanmartin Bello</v>
      </c>
      <c r="C9944" s="15" t="str">
        <f>IFERROR(__xludf.DUMMYFUNCTION("""COMPUTED_VALUE"""),"CARTAGENA")</f>
        <v>CARTAGENA</v>
      </c>
      <c r="D9944" s="15" t="str">
        <f>IFERROR(__xludf.DUMMYFUNCTION("""COMPUTED_VALUE"""),"BOGOTÁ")</f>
        <v>BOGOTÁ</v>
      </c>
      <c r="E9944" s="15" t="str">
        <f>IFERROR(__xludf.DUMMYFUNCTION("""COMPUTED_VALUE"""),"LINA PAOLA RAMIREZ GOMEZ - EVA MAZZITA")</f>
        <v>LINA PAOLA RAMIREZ GOMEZ - EVA MAZZITA</v>
      </c>
      <c r="F9944" s="17" t="str">
        <f>IFERROR(__xludf.DUMMYFUNCTION("""COMPUTED_VALUE"""),"edificio montebianco torre 3 b apto 916. / edificio montebianco torre 3 b apto 916.")</f>
        <v>edificio montebianco torre 3 b apto 916. / edificio montebianco torre 3 b apto 916.</v>
      </c>
      <c r="G9944" s="15" t="str">
        <f>IFERROR(__xludf.DUMMYFUNCTION("""COMPUTED_VALUE"""),"LELYS THORRENS")</f>
        <v>LELYS THORRENS</v>
      </c>
      <c r="H9944" s="16">
        <f>IFERROR(__xludf.DUMMYFUNCTION("""COMPUTED_VALUE"""),18597.0)</f>
        <v>18597</v>
      </c>
      <c r="I9944" s="17"/>
      <c r="J9944" s="17"/>
      <c r="K9944" s="17"/>
      <c r="L9944" s="17">
        <f>IFERROR(__xludf.DUMMYFUNCTION("""COMPUTED_VALUE"""),3.005251631E9)</f>
        <v>3005251631</v>
      </c>
      <c r="M9944" s="17"/>
      <c r="N9944" s="17"/>
      <c r="O9944" s="17"/>
      <c r="P9944" s="17" t="b">
        <f>IFERROR(__xludf.DUMMYFUNCTION("""COMPUTED_VALUE"""),FALSE)</f>
        <v>0</v>
      </c>
      <c r="Q9944" s="20" t="str">
        <f>IFERROR(__xludf.DUMMYFUNCTION("""COMPUTED_VALUE"""),"")</f>
        <v/>
      </c>
      <c r="R9944" s="21" t="str">
        <f>IFERROR(__xludf.DUMMYFUNCTION("""COMPUTED_VALUE"""),"https://drive.google.com/file/d/1o9XDITTHomS_outYjZMeni7M0mLDIFy5/view?usp=drivesdk")</f>
        <v>https://drive.google.com/file/d/1o9XDITTHomS_outYjZMeni7M0mLDIFy5/view?usp=drivesdk</v>
      </c>
    </row>
    <row r="9945">
      <c r="A9945" s="15">
        <f>IFERROR(__xludf.DUMMYFUNCTION("""COMPUTED_VALUE"""),45281.0)</f>
        <v>45281</v>
      </c>
      <c r="B9945" s="16" t="str">
        <f>IFERROR(__xludf.DUMMYFUNCTION("""COMPUTED_VALUE"""),"David Sanmartin Bello")</f>
        <v>David Sanmartin Bello</v>
      </c>
      <c r="C9945" s="15" t="str">
        <f>IFERROR(__xludf.DUMMYFUNCTION("""COMPUTED_VALUE"""),"CARTAGENA")</f>
        <v>CARTAGENA</v>
      </c>
      <c r="D9945" s="15" t="str">
        <f>IFERROR(__xludf.DUMMYFUNCTION("""COMPUTED_VALUE"""),"BOGOTÁ")</f>
        <v>BOGOTÁ</v>
      </c>
      <c r="E9945" s="15" t="str">
        <f>IFERROR(__xludf.DUMMYFUNCTION("""COMPUTED_VALUE"""),"LINA PAOLA RAMIREZ GOMEZ - EVA MAZZITA")</f>
        <v>LINA PAOLA RAMIREZ GOMEZ - EVA MAZZITA</v>
      </c>
      <c r="F9945" s="17" t="str">
        <f>IFERROR(__xludf.DUMMYFUNCTION("""COMPUTED_VALUE"""),"Urbanización Villa del Sol Mz E Lote 4 / segundo piso, ternera")</f>
        <v>Urbanización Villa del Sol Mz E Lote 4 / segundo piso, ternera</v>
      </c>
      <c r="G9945" s="15" t="str">
        <f>IFERROR(__xludf.DUMMYFUNCTION("""COMPUTED_VALUE"""),"VANESSA ELENA CARABALLO GUZMAN")</f>
        <v>VANESSA ELENA CARABALLO GUZMAN</v>
      </c>
      <c r="H9945" s="16">
        <f>IFERROR(__xludf.DUMMYFUNCTION("""COMPUTED_VALUE"""),18596.0)</f>
        <v>18596</v>
      </c>
      <c r="I9945" s="17"/>
      <c r="J9945" s="17"/>
      <c r="K9945" s="17"/>
      <c r="L9945" s="17">
        <f>IFERROR(__xludf.DUMMYFUNCTION("""COMPUTED_VALUE"""),3.163391533E9)</f>
        <v>3163391533</v>
      </c>
      <c r="M9945" s="17"/>
      <c r="N9945" s="17"/>
      <c r="O9945" s="17"/>
      <c r="P9945" s="17" t="b">
        <f>IFERROR(__xludf.DUMMYFUNCTION("""COMPUTED_VALUE"""),FALSE)</f>
        <v>0</v>
      </c>
      <c r="Q9945" s="20" t="str">
        <f>IFERROR(__xludf.DUMMYFUNCTION("""COMPUTED_VALUE"""),"")</f>
        <v/>
      </c>
      <c r="R9945" s="21" t="str">
        <f>IFERROR(__xludf.DUMMYFUNCTION("""COMPUTED_VALUE"""),"https://drive.google.com/file/d/1b08mAh8ptyofYkHBNVpiqXjXtBl_IZQy/view?usp=drivesdk")</f>
        <v>https://drive.google.com/file/d/1b08mAh8ptyofYkHBNVpiqXjXtBl_IZQy/view?usp=drivesdk</v>
      </c>
    </row>
    <row r="9946">
      <c r="A9946" s="15">
        <f>IFERROR(__xludf.DUMMYFUNCTION("""COMPUTED_VALUE"""),45281.0)</f>
        <v>45281</v>
      </c>
      <c r="B9946" s="16" t="str">
        <f>IFERROR(__xludf.DUMMYFUNCTION("""COMPUTED_VALUE"""),"David Sanmartin Bello")</f>
        <v>David Sanmartin Bello</v>
      </c>
      <c r="C9946" s="15" t="str">
        <f>IFERROR(__xludf.DUMMYFUNCTION("""COMPUTED_VALUE"""),"CARTAGENA")</f>
        <v>CARTAGENA</v>
      </c>
      <c r="D9946" s="15" t="str">
        <f>IFERROR(__xludf.DUMMYFUNCTION("""COMPUTED_VALUE"""),"BOGOTÁ")</f>
        <v>BOGOTÁ</v>
      </c>
      <c r="E9946" s="15" t="str">
        <f>IFERROR(__xludf.DUMMYFUNCTION("""COMPUTED_VALUE"""),"PAN DE WAFFLE")</f>
        <v>PAN DE WAFFLE</v>
      </c>
      <c r="F9946" s="17" t="str">
        <f>IFERROR(__xludf.DUMMYFUNCTION("""COMPUTED_VALUE"""),"Carrera 2 # 10 - 175 / Carrera 2 # 10 - 175")</f>
        <v>Carrera 2 # 10 - 175 / Carrera 2 # 10 - 175</v>
      </c>
      <c r="G9946" s="15" t="str">
        <f>IFERROR(__xludf.DUMMYFUNCTION("""COMPUTED_VALUE"""),"RAPPI TURBO BOCAGRANDE")</f>
        <v>RAPPI TURBO BOCAGRANDE</v>
      </c>
      <c r="H9946" s="16">
        <f>IFERROR(__xludf.DUMMYFUNCTION("""COMPUTED_VALUE"""),18394.0)</f>
        <v>18394</v>
      </c>
      <c r="I9946" s="17"/>
      <c r="J9946" s="17"/>
      <c r="K9946" s="17"/>
      <c r="L9946" s="17">
        <f>IFERROR(__xludf.DUMMYFUNCTION("""COMPUTED_VALUE"""),3.214609635E9)</f>
        <v>3214609635</v>
      </c>
      <c r="M9946" s="17"/>
      <c r="N9946" s="17"/>
      <c r="O9946" s="17"/>
      <c r="P9946" s="17" t="b">
        <f>IFERROR(__xludf.DUMMYFUNCTION("""COMPUTED_VALUE"""),FALSE)</f>
        <v>0</v>
      </c>
      <c r="Q9946" s="20" t="str">
        <f>IFERROR(__xludf.DUMMYFUNCTION("""COMPUTED_VALUE"""),"")</f>
        <v/>
      </c>
      <c r="R9946" s="21" t="str">
        <f>IFERROR(__xludf.DUMMYFUNCTION("""COMPUTED_VALUE"""),"https://drive.google.com/file/d/1wHjtZcd53slvgD9gceZr7D47loJSEzNB/view?usp=drivesdk")</f>
        <v>https://drive.google.com/file/d/1wHjtZcd53slvgD9gceZr7D47loJSEzNB/view?usp=drivesdk</v>
      </c>
    </row>
    <row r="9947">
      <c r="A9947" s="15">
        <f>IFERROR(__xludf.DUMMYFUNCTION("""COMPUTED_VALUE"""),45281.0)</f>
        <v>45281</v>
      </c>
      <c r="B9947" s="16" t="str">
        <f>IFERROR(__xludf.DUMMYFUNCTION("""COMPUTED_VALUE"""),"David Sanmartin Bello")</f>
        <v>David Sanmartin Bello</v>
      </c>
      <c r="C9947" s="15" t="str">
        <f>IFERROR(__xludf.DUMMYFUNCTION("""COMPUTED_VALUE"""),"CARTAGENA")</f>
        <v>CARTAGENA</v>
      </c>
      <c r="D9947" s="15" t="str">
        <f>IFERROR(__xludf.DUMMYFUNCTION("""COMPUTED_VALUE"""),"BOGOTÁ")</f>
        <v>BOGOTÁ</v>
      </c>
      <c r="E9947" s="15" t="str">
        <f>IFERROR(__xludf.DUMMYFUNCTION("""COMPUTED_VALUE"""),"Top Spun")</f>
        <v>Top Spun</v>
      </c>
      <c r="F9947" s="17" t="str">
        <f>IFERROR(__xludf.DUMMYFUNCTION("""COMPUTED_VALUE"""),"Carrera 9 # 70-55 / Apto 907 edificio beach club. /  Barrio crespo")</f>
        <v>Carrera 9 # 70-55 / Apto 907 edificio beach club. /  Barrio crespo</v>
      </c>
      <c r="G9947" s="15" t="str">
        <f>IFERROR(__xludf.DUMMYFUNCTION("""COMPUTED_VALUE"""),"Monica Acero")</f>
        <v>Monica Acero</v>
      </c>
      <c r="H9947" s="16">
        <f>IFERROR(__xludf.DUMMYFUNCTION("""COMPUTED_VALUE"""),18559.0)</f>
        <v>18559</v>
      </c>
      <c r="I9947" s="18">
        <f>IFERROR(__xludf.DUMMYFUNCTION("""COMPUTED_VALUE"""),20.0)</f>
        <v>20</v>
      </c>
      <c r="J9947" s="18">
        <f>IFERROR(__xludf.DUMMYFUNCTION("""COMPUTED_VALUE"""),10.0)</f>
        <v>10</v>
      </c>
      <c r="K9947" s="18">
        <f>IFERROR(__xludf.DUMMYFUNCTION("""COMPUTED_VALUE"""),40.0)</f>
        <v>40</v>
      </c>
      <c r="L9947" s="17">
        <f>IFERROR(__xludf.DUMMYFUNCTION("""COMPUTED_VALUE"""),3.202721956E9)</f>
        <v>3202721956</v>
      </c>
      <c r="M9947" s="17"/>
      <c r="N9947" s="17"/>
      <c r="O9947" s="17"/>
      <c r="P9947" s="17" t="b">
        <f>IFERROR(__xludf.DUMMYFUNCTION("""COMPUTED_VALUE"""),FALSE)</f>
        <v>0</v>
      </c>
      <c r="Q9947" s="20" t="str">
        <f>IFERROR(__xludf.DUMMYFUNCTION("""COMPUTED_VALUE"""),"")</f>
        <v/>
      </c>
      <c r="R9947" s="21" t="str">
        <f>IFERROR(__xludf.DUMMYFUNCTION("""COMPUTED_VALUE"""),"https://drive.google.com/file/d/1Cwrja7SwUA2dUVBOiBjEcvfox9-_yrkW/view?usp=drivesdk")</f>
        <v>https://drive.google.com/file/d/1Cwrja7SwUA2dUVBOiBjEcvfox9-_yrkW/view?usp=drivesdk</v>
      </c>
    </row>
    <row r="9948">
      <c r="A9948" s="15">
        <f>IFERROR(__xludf.DUMMYFUNCTION("""COMPUTED_VALUE"""),45281.0)</f>
        <v>45281</v>
      </c>
      <c r="B9948" s="16" t="str">
        <f>IFERROR(__xludf.DUMMYFUNCTION("""COMPUTED_VALUE"""),"David Sanmartin Bello")</f>
        <v>David Sanmartin Bello</v>
      </c>
      <c r="C9948" s="15" t="str">
        <f>IFERROR(__xludf.DUMMYFUNCTION("""COMPUTED_VALUE"""),"CARTAGENA")</f>
        <v>CARTAGENA</v>
      </c>
      <c r="D9948" s="15" t="str">
        <f>IFERROR(__xludf.DUMMYFUNCTION("""COMPUTED_VALUE"""),"BOGOTÁ")</f>
        <v>BOGOTÁ</v>
      </c>
      <c r="E9948" s="15" t="str">
        <f>IFERROR(__xludf.DUMMYFUNCTION("""COMPUTED_VALUE"""),"Top Spun")</f>
        <v>Top Spun</v>
      </c>
      <c r="F9948" s="17" t="str">
        <f>IFERROR(__xludf.DUMMYFUNCTION("""COMPUTED_VALUE"""),"K 9 #22-620 APTO 712 LA BOQUILA Edificio Spiaggia di Cartagena Cartagena Bolívar / APTO 712  Edificio Spiaggia di Cartagena / LA BOQUILA")</f>
        <v>K 9 #22-620 APTO 712 LA BOQUILA Edificio Spiaggia di Cartagena Cartagena Bolívar / APTO 712  Edificio Spiaggia di Cartagena / LA BOQUILA</v>
      </c>
      <c r="G9948" s="15" t="str">
        <f>IFERROR(__xludf.DUMMYFUNCTION("""COMPUTED_VALUE"""),"ALEJANDRA JAIMES")</f>
        <v>ALEJANDRA JAIMES</v>
      </c>
      <c r="H9948" s="16">
        <f>IFERROR(__xludf.DUMMYFUNCTION("""COMPUTED_VALUE"""),18560.0)</f>
        <v>18560</v>
      </c>
      <c r="I9948" s="18">
        <f>IFERROR(__xludf.DUMMYFUNCTION("""COMPUTED_VALUE"""),20.0)</f>
        <v>20</v>
      </c>
      <c r="J9948" s="18">
        <f>IFERROR(__xludf.DUMMYFUNCTION("""COMPUTED_VALUE"""),10.0)</f>
        <v>10</v>
      </c>
      <c r="K9948" s="18">
        <f>IFERROR(__xludf.DUMMYFUNCTION("""COMPUTED_VALUE"""),40.0)</f>
        <v>40</v>
      </c>
      <c r="L9948" s="17">
        <f>IFERROR(__xludf.DUMMYFUNCTION("""COMPUTED_VALUE"""),3.176353543E9)</f>
        <v>3176353543</v>
      </c>
      <c r="M9948" s="17"/>
      <c r="N9948" s="17"/>
      <c r="O9948" s="17"/>
      <c r="P9948" s="17" t="b">
        <f>IFERROR(__xludf.DUMMYFUNCTION("""COMPUTED_VALUE"""),FALSE)</f>
        <v>0</v>
      </c>
      <c r="Q9948" s="20" t="str">
        <f>IFERROR(__xludf.DUMMYFUNCTION("""COMPUTED_VALUE"""),"")</f>
        <v/>
      </c>
      <c r="R9948" s="21" t="str">
        <f>IFERROR(__xludf.DUMMYFUNCTION("""COMPUTED_VALUE"""),"https://drive.google.com/file/d/1VCDdviSYsMhrSdZLP5tiABkM_3-vPMwL/view?usp=drivesdk")</f>
        <v>https://drive.google.com/file/d/1VCDdviSYsMhrSdZLP5tiABkM_3-vPMwL/view?usp=drivesdk</v>
      </c>
    </row>
    <row r="9949">
      <c r="A9949" s="15">
        <f>IFERROR(__xludf.DUMMYFUNCTION("""COMPUTED_VALUE"""),45281.0)</f>
        <v>45281</v>
      </c>
      <c r="B9949" s="16" t="str">
        <f>IFERROR(__xludf.DUMMYFUNCTION("""COMPUTED_VALUE"""),"David Sanmartin Bello")</f>
        <v>David Sanmartin Bello</v>
      </c>
      <c r="C9949" s="15" t="str">
        <f>IFERROR(__xludf.DUMMYFUNCTION("""COMPUTED_VALUE"""),"CARTAGENA")</f>
        <v>CARTAGENA</v>
      </c>
      <c r="D9949" s="15" t="str">
        <f>IFERROR(__xludf.DUMMYFUNCTION("""COMPUTED_VALUE"""),"ENVIGADO")</f>
        <v>ENVIGADO</v>
      </c>
      <c r="E9949" s="15" t="str">
        <f>IFERROR(__xludf.DUMMYFUNCTION("""COMPUTED_VALUE"""),"RAMBLA")</f>
        <v>RAMBLA</v>
      </c>
      <c r="F9949" s="17" t="str">
        <f>IFERROR(__xludf.DUMMYFUNCTION("""COMPUTED_VALUE"""),"Avenida san martin 9 -161")</f>
        <v>Avenida san martin 9 -161</v>
      </c>
      <c r="G9949" s="15" t="str">
        <f>IFERROR(__xludf.DUMMYFUNCTION("""COMPUTED_VALUE"""),"Salute Mercado")</f>
        <v>Salute Mercado</v>
      </c>
      <c r="H9949" s="16">
        <f>IFERROR(__xludf.DUMMYFUNCTION("""COMPUTED_VALUE"""),18602.0)</f>
        <v>18602</v>
      </c>
      <c r="I9949" s="17"/>
      <c r="J9949" s="17"/>
      <c r="K9949" s="17"/>
      <c r="L9949" s="17">
        <f>IFERROR(__xludf.DUMMYFUNCTION("""COMPUTED_VALUE"""),3.205661519E9)</f>
        <v>3205661519</v>
      </c>
      <c r="M9949" s="17"/>
      <c r="N9949" s="17"/>
      <c r="O9949" s="17"/>
      <c r="P9949" s="17" t="b">
        <f>IFERROR(__xludf.DUMMYFUNCTION("""COMPUTED_VALUE"""),FALSE)</f>
        <v>0</v>
      </c>
      <c r="Q9949" s="20" t="str">
        <f>IFERROR(__xludf.DUMMYFUNCTION("""COMPUTED_VALUE"""),"")</f>
        <v/>
      </c>
      <c r="R9949" s="21" t="str">
        <f>IFERROR(__xludf.DUMMYFUNCTION("""COMPUTED_VALUE"""),"https://drive.google.com/file/d/1N6Dg0iDWnSyynclH3sJSkwKjcbGho1pi/view?usp=drivesdk")</f>
        <v>https://drive.google.com/file/d/1N6Dg0iDWnSyynclH3sJSkwKjcbGho1pi/view?usp=drivesdk</v>
      </c>
    </row>
    <row r="9950">
      <c r="A9950" s="15">
        <f>IFERROR(__xludf.DUMMYFUNCTION("""COMPUTED_VALUE"""),45281.0)</f>
        <v>45281</v>
      </c>
      <c r="B9950" s="16" t="str">
        <f>IFERROR(__xludf.DUMMYFUNCTION("""COMPUTED_VALUE"""),"David Sanmartin Bello")</f>
        <v>David Sanmartin Bello</v>
      </c>
      <c r="C9950" s="15" t="str">
        <f>IFERROR(__xludf.DUMMYFUNCTION("""COMPUTED_VALUE"""),"CARTAGENA")</f>
        <v>CARTAGENA</v>
      </c>
      <c r="D9950" s="15" t="str">
        <f>IFERROR(__xludf.DUMMYFUNCTION("""COMPUTED_VALUE"""),"MEDELLÍN")</f>
        <v>MEDELLÍN</v>
      </c>
      <c r="E9950" s="15" t="str">
        <f>IFERROR(__xludf.DUMMYFUNCTION("""COMPUTED_VALUE"""),"Selva")</f>
        <v>Selva</v>
      </c>
      <c r="F9950" s="17" t="str">
        <f>IFERROR(__xludf.DUMMYFUNCTION("""COMPUTED_VALUE"""),"Cra 7 #5A-47 / Edificio Torre Isabella piso 22")</f>
        <v>Cra 7 #5A-47 / Edificio Torre Isabella piso 22</v>
      </c>
      <c r="G9950" s="15" t="str">
        <f>IFERROR(__xludf.DUMMYFUNCTION("""COMPUTED_VALUE"""),"Margarita Bustamante")</f>
        <v>Margarita Bustamante</v>
      </c>
      <c r="H9950" s="16">
        <f>IFERROR(__xludf.DUMMYFUNCTION("""COMPUTED_VALUE"""),18550.0)</f>
        <v>18550</v>
      </c>
      <c r="I9950" s="17"/>
      <c r="J9950" s="17"/>
      <c r="K9950" s="17"/>
      <c r="L9950" s="17">
        <f>IFERROR(__xludf.DUMMYFUNCTION("""COMPUTED_VALUE"""),3.104694846E9)</f>
        <v>3104694846</v>
      </c>
      <c r="M9950" s="17"/>
      <c r="N9950" s="17"/>
      <c r="O9950" s="17"/>
      <c r="P9950" s="17" t="b">
        <f>IFERROR(__xludf.DUMMYFUNCTION("""COMPUTED_VALUE"""),FALSE)</f>
        <v>0</v>
      </c>
      <c r="Q9950" s="20" t="str">
        <f>IFERROR(__xludf.DUMMYFUNCTION("""COMPUTED_VALUE"""),"")</f>
        <v/>
      </c>
      <c r="R9950" s="21" t="str">
        <f>IFERROR(__xludf.DUMMYFUNCTION("""COMPUTED_VALUE"""),"https://drive.google.com/file/d/1QJUZ8MgM8OTMOBvIhQ8lfmm_LfIiF5bm/view?usp=drivesdk")</f>
        <v>https://drive.google.com/file/d/1QJUZ8MgM8OTMOBvIhQ8lfmm_LfIiF5bm/view?usp=drivesdk</v>
      </c>
    </row>
    <row r="9951">
      <c r="A9951" s="15">
        <f>IFERROR(__xludf.DUMMYFUNCTION("""COMPUTED_VALUE"""),45281.0)</f>
        <v>45281</v>
      </c>
      <c r="B9951" s="16" t="str">
        <f>IFERROR(__xludf.DUMMYFUNCTION("""COMPUTED_VALUE"""),"David Sanmartin Bello")</f>
        <v>David Sanmartin Bello</v>
      </c>
      <c r="C9951" s="15" t="str">
        <f>IFERROR(__xludf.DUMMYFUNCTION("""COMPUTED_VALUE"""),"CARTAGENA")</f>
        <v>CARTAGENA</v>
      </c>
      <c r="D9951" s="15" t="str">
        <f>IFERROR(__xludf.DUMMYFUNCTION("""COMPUTED_VALUE"""),"PEREIRA")</f>
        <v>PEREIRA</v>
      </c>
      <c r="E9951" s="15" t="str">
        <f>IFERROR(__xludf.DUMMYFUNCTION("""COMPUTED_VALUE"""),"Sofis Cream")</f>
        <v>Sofis Cream</v>
      </c>
      <c r="F9951" s="17" t="str">
        <f>IFERROR(__xludf.DUMMYFUNCTION("""COMPUTED_VALUE"""),"Edificio 54 Park - Apto 808 / Caja de helados")</f>
        <v>Edificio 54 Park - Apto 808 / Caja de helados</v>
      </c>
      <c r="G9951" s="15" t="str">
        <f>IFERROR(__xludf.DUMMYFUNCTION("""COMPUTED_VALUE"""),"Luisa Fernanda Sanchez Hernandez")</f>
        <v>Luisa Fernanda Sanchez Hernandez</v>
      </c>
      <c r="H9951" s="16">
        <f>IFERROR(__xludf.DUMMYFUNCTION("""COMPUTED_VALUE"""),18477.0)</f>
        <v>18477</v>
      </c>
      <c r="I9951" s="17"/>
      <c r="J9951" s="17"/>
      <c r="K9951" s="17"/>
      <c r="L9951" s="17">
        <f>IFERROR(__xludf.DUMMYFUNCTION("""COMPUTED_VALUE"""),3.045825971E9)</f>
        <v>3045825971</v>
      </c>
      <c r="M9951" s="17"/>
      <c r="N9951" s="17"/>
      <c r="O9951" s="17"/>
      <c r="P9951" s="17" t="b">
        <f>IFERROR(__xludf.DUMMYFUNCTION("""COMPUTED_VALUE"""),FALSE)</f>
        <v>0</v>
      </c>
      <c r="Q9951" s="20" t="str">
        <f>IFERROR(__xludf.DUMMYFUNCTION("""COMPUTED_VALUE"""),"")</f>
        <v/>
      </c>
      <c r="R9951" s="21" t="str">
        <f>IFERROR(__xludf.DUMMYFUNCTION("""COMPUTED_VALUE"""),"https://drive.google.com/file/d/1Pd9-hgGUOIJYem7vWmvgoox9jVUNAl6r/view?usp=drivesdk")</f>
        <v>https://drive.google.com/file/d/1Pd9-hgGUOIJYem7vWmvgoox9jVUNAl6r/view?usp=drivesdk</v>
      </c>
    </row>
    <row r="9952">
      <c r="A9952" s="17" t="str">
        <f>IFERROR(__xludf.DUMMYFUNCTION("""COMPUTED_VALUE"""),"")</f>
        <v/>
      </c>
      <c r="B9952" s="17" t="str">
        <f>IFERROR(__xludf.DUMMYFUNCTION("""COMPUTED_VALUE"""),"")</f>
        <v/>
      </c>
      <c r="C9952" s="17" t="str">
        <f>IFERROR(__xludf.DUMMYFUNCTION("""COMPUTED_VALUE"""),"")</f>
        <v/>
      </c>
      <c r="D9952" s="17" t="str">
        <f>IFERROR(__xludf.DUMMYFUNCTION("""COMPUTED_VALUE"""),"")</f>
        <v/>
      </c>
      <c r="E9952" s="17" t="str">
        <f>IFERROR(__xludf.DUMMYFUNCTION("""COMPUTED_VALUE"""),"")</f>
        <v/>
      </c>
      <c r="F9952" s="17" t="str">
        <f>IFERROR(__xludf.DUMMYFUNCTION("""COMPUTED_VALUE"""),"")</f>
        <v/>
      </c>
      <c r="G9952" s="17" t="str">
        <f>IFERROR(__xludf.DUMMYFUNCTION("""COMPUTED_VALUE"""),"")</f>
        <v/>
      </c>
      <c r="H9952" s="17" t="str">
        <f>IFERROR(__xludf.DUMMYFUNCTION("""COMPUTED_VALUE"""),"")</f>
        <v/>
      </c>
      <c r="I9952" s="17" t="str">
        <f>IFERROR(__xludf.DUMMYFUNCTION("""COMPUTED_VALUE"""),"")</f>
        <v/>
      </c>
      <c r="J9952" s="17" t="str">
        <f>IFERROR(__xludf.DUMMYFUNCTION("""COMPUTED_VALUE"""),"")</f>
        <v/>
      </c>
      <c r="K9952" s="17" t="str">
        <f>IFERROR(__xludf.DUMMYFUNCTION("""COMPUTED_VALUE"""),"")</f>
        <v/>
      </c>
      <c r="L9952" s="17" t="str">
        <f>IFERROR(__xludf.DUMMYFUNCTION("""COMPUTED_VALUE"""),"")</f>
        <v/>
      </c>
      <c r="M9952" s="17" t="str">
        <f>IFERROR(__xludf.DUMMYFUNCTION("""COMPUTED_VALUE"""),"")</f>
        <v/>
      </c>
      <c r="N9952" s="17" t="str">
        <f>IFERROR(__xludf.DUMMYFUNCTION("""COMPUTED_VALUE"""),"")</f>
        <v/>
      </c>
      <c r="O9952" s="17" t="str">
        <f>IFERROR(__xludf.DUMMYFUNCTION("""COMPUTED_VALUE"""),"")</f>
        <v/>
      </c>
      <c r="P9952" s="17" t="str">
        <f>IFERROR(__xludf.DUMMYFUNCTION("""COMPUTED_VALUE"""),"")</f>
        <v/>
      </c>
      <c r="Q9952" s="17" t="str">
        <f>IFERROR(__xludf.DUMMYFUNCTION("""COMPUTED_VALUE"""),"")</f>
        <v/>
      </c>
      <c r="R9952" s="17" t="str">
        <f>IFERROR(__xludf.DUMMYFUNCTION("""COMPUTED_VALUE"""),"")</f>
        <v/>
      </c>
    </row>
    <row r="9953">
      <c r="A9953" s="15">
        <f>IFERROR(__xludf.DUMMYFUNCTION("""COMPUTED_VALUE"""),45281.0)</f>
        <v>45281</v>
      </c>
      <c r="B9953" s="16" t="str">
        <f>IFERROR(__xludf.DUMMYFUNCTION("""COMPUTED_VALUE"""),"Envia")</f>
        <v>Envia</v>
      </c>
      <c r="C9953" s="15" t="str">
        <f>IFERROR(__xludf.DUMMYFUNCTION("""COMPUTED_VALUE"""),"BARRANQUILLA")</f>
        <v>BARRANQUILLA</v>
      </c>
      <c r="D9953" s="15" t="str">
        <f>IFERROR(__xludf.DUMMYFUNCTION("""COMPUTED_VALUE"""),"BOGOTÁ")</f>
        <v>BOGOTÁ</v>
      </c>
      <c r="E9953" s="15" t="str">
        <f>IFERROR(__xludf.DUMMYFUNCTION("""COMPUTED_VALUE"""),"Premium Choice")</f>
        <v>Premium Choice</v>
      </c>
      <c r="F9953" s="17" t="str">
        <f>IFERROR(__xludf.DUMMYFUNCTION("""COMPUTED_VALUE"""),"Cr 74 # 76 - 74 / Fithub / Barranquilla")</f>
        <v>Cr 74 # 76 - 74 / Fithub / Barranquilla</v>
      </c>
      <c r="G9953" s="15" t="str">
        <f>IFERROR(__xludf.DUMMYFUNCTION("""COMPUTED_VALUE"""),"Adwellch")</f>
        <v>Adwellch</v>
      </c>
      <c r="H9953" s="16">
        <f>IFERROR(__xludf.DUMMYFUNCTION("""COMPUTED_VALUE"""),18685.0)</f>
        <v>18685</v>
      </c>
      <c r="I9953" s="18">
        <f>IFERROR(__xludf.DUMMYFUNCTION("""COMPUTED_VALUE"""),17.0)</f>
        <v>17</v>
      </c>
      <c r="J9953" s="18">
        <f>IFERROR(__xludf.DUMMYFUNCTION("""COMPUTED_VALUE"""),20.0)</f>
        <v>20</v>
      </c>
      <c r="K9953" s="18">
        <f>IFERROR(__xludf.DUMMYFUNCTION("""COMPUTED_VALUE"""),30.0)</f>
        <v>30</v>
      </c>
      <c r="L9953" s="17">
        <f>IFERROR(__xludf.DUMMYFUNCTION("""COMPUTED_VALUE"""),3.102170999E9)</f>
        <v>3102170999</v>
      </c>
      <c r="M9953" s="17"/>
      <c r="N9953" s="17"/>
      <c r="O9953" s="17"/>
      <c r="P9953" s="17" t="b">
        <f>IFERROR(__xludf.DUMMYFUNCTION("""COMPUTED_VALUE"""),FALSE)</f>
        <v>0</v>
      </c>
      <c r="Q9953" s="20" t="str">
        <f>IFERROR(__xludf.DUMMYFUNCTION("""COMPUTED_VALUE"""),"")</f>
        <v/>
      </c>
      <c r="R9953" s="21" t="str">
        <f>IFERROR(__xludf.DUMMYFUNCTION("""COMPUTED_VALUE"""),"https://drive.google.com/file/d/1p6BNFBDmQZD3Ch_IP5DbCfC08T5HQEFo/view?usp=drivesdk")</f>
        <v>https://drive.google.com/file/d/1p6BNFBDmQZD3Ch_IP5DbCfC08T5HQEFo/view?usp=drivesdk</v>
      </c>
    </row>
    <row r="9954">
      <c r="A9954" s="15">
        <f>IFERROR(__xludf.DUMMYFUNCTION("""COMPUTED_VALUE"""),45281.0)</f>
        <v>45281</v>
      </c>
      <c r="B9954" s="16" t="str">
        <f>IFERROR(__xludf.DUMMYFUNCTION("""COMPUTED_VALUE"""),"Envia")</f>
        <v>Envia</v>
      </c>
      <c r="C9954" s="15" t="str">
        <f>IFERROR(__xludf.DUMMYFUNCTION("""COMPUTED_VALUE"""),"BARRANQUILLA")</f>
        <v>BARRANQUILLA</v>
      </c>
      <c r="D9954" s="15" t="str">
        <f>IFERROR(__xludf.DUMMYFUNCTION("""COMPUTED_VALUE"""),"BOGOTÁ")</f>
        <v>BOGOTÁ</v>
      </c>
      <c r="E9954" s="15" t="str">
        <f>IFERROR(__xludf.DUMMYFUNCTION("""COMPUTED_VALUE"""),"Viral Brands")</f>
        <v>Viral Brands</v>
      </c>
      <c r="F9954" s="17" t="str">
        <f>IFERROR(__xludf.DUMMYFUNCTION("""COMPUTED_VALUE"""),"kra 49c n 75-47 lyd house prado restaurante chuzales , reciben apartir de las 10 y 30am / restaurante chuzales / oprado")</f>
        <v>kra 49c n 75-47 lyd house prado restaurante chuzales , reciben apartir de las 10 y 30am / restaurante chuzales / oprado</v>
      </c>
      <c r="G9954" s="15" t="str">
        <f>IFERROR(__xludf.DUMMYFUNCTION("""COMPUTED_VALUE"""),"restaurante chuzales")</f>
        <v>restaurante chuzales</v>
      </c>
      <c r="H9954" s="16">
        <f>IFERROR(__xludf.DUMMYFUNCTION("""COMPUTED_VALUE"""),18680.0)</f>
        <v>18680</v>
      </c>
      <c r="I9954" s="18">
        <f>IFERROR(__xludf.DUMMYFUNCTION("""COMPUTED_VALUE"""),30.0)</f>
        <v>30</v>
      </c>
      <c r="J9954" s="18">
        <f>IFERROR(__xludf.DUMMYFUNCTION("""COMPUTED_VALUE"""),50.0)</f>
        <v>50</v>
      </c>
      <c r="K9954" s="18">
        <f>IFERROR(__xludf.DUMMYFUNCTION("""COMPUTED_VALUE"""),21.0)</f>
        <v>21</v>
      </c>
      <c r="L9954" s="17">
        <f>IFERROR(__xludf.DUMMYFUNCTION("""COMPUTED_VALUE"""),3.017624858E9)</f>
        <v>3017624858</v>
      </c>
      <c r="M9954" s="17"/>
      <c r="N9954" s="17"/>
      <c r="O9954" s="17"/>
      <c r="P9954" s="17" t="b">
        <f>IFERROR(__xludf.DUMMYFUNCTION("""COMPUTED_VALUE"""),FALSE)</f>
        <v>0</v>
      </c>
      <c r="Q9954" s="20" t="str">
        <f>IFERROR(__xludf.DUMMYFUNCTION("""COMPUTED_VALUE"""),"")</f>
        <v/>
      </c>
      <c r="R9954" s="21" t="str">
        <f>IFERROR(__xludf.DUMMYFUNCTION("""COMPUTED_VALUE"""),"https://drive.google.com/file/d/1hwwlhwHqoMbX4-_QKO38xkbSgo4hqT-X/view?usp=drivesdk")</f>
        <v>https://drive.google.com/file/d/1hwwlhwHqoMbX4-_QKO38xkbSgo4hqT-X/view?usp=drivesdk</v>
      </c>
    </row>
    <row r="9955">
      <c r="A9955" s="15">
        <f>IFERROR(__xludf.DUMMYFUNCTION("""COMPUTED_VALUE"""),45281.0)</f>
        <v>45281</v>
      </c>
      <c r="B9955" s="16" t="str">
        <f>IFERROR(__xludf.DUMMYFUNCTION("""COMPUTED_VALUE"""),"Envia")</f>
        <v>Envia</v>
      </c>
      <c r="C9955" s="15" t="str">
        <f>IFERROR(__xludf.DUMMYFUNCTION("""COMPUTED_VALUE"""),"BARRANQUILLA")</f>
        <v>BARRANQUILLA</v>
      </c>
      <c r="D9955" s="15" t="str">
        <f>IFERROR(__xludf.DUMMYFUNCTION("""COMPUTED_VALUE"""),"BOGOTÁ")</f>
        <v>BOGOTÁ</v>
      </c>
      <c r="E9955" s="15" t="str">
        <f>IFERROR(__xludf.DUMMYFUNCTION("""COMPUTED_VALUE"""),"Viral Brands")</f>
        <v>Viral Brands</v>
      </c>
      <c r="F9955" s="17" t="str">
        <f>IFERROR(__xludf.DUMMYFUNCTION("""COMPUTED_VALUE"""),"kra 49c n 75-47 lyd house prado restaurante chuzales , reciben apartir de las 10 y 30am / restaurante chuzales / prado")</f>
        <v>kra 49c n 75-47 lyd house prado restaurante chuzales , reciben apartir de las 10 y 30am / restaurante chuzales / prado</v>
      </c>
      <c r="G9955" s="15" t="str">
        <f>IFERROR(__xludf.DUMMYFUNCTION("""COMPUTED_VALUE"""),"restaurante chuzales")</f>
        <v>restaurante chuzales</v>
      </c>
      <c r="H9955" s="16">
        <f>IFERROR(__xludf.DUMMYFUNCTION("""COMPUTED_VALUE"""),18679.0)</f>
        <v>18679</v>
      </c>
      <c r="I9955" s="18">
        <f>IFERROR(__xludf.DUMMYFUNCTION("""COMPUTED_VALUE"""),45.0)</f>
        <v>45</v>
      </c>
      <c r="J9955" s="18">
        <f>IFERROR(__xludf.DUMMYFUNCTION("""COMPUTED_VALUE"""),55.0)</f>
        <v>55</v>
      </c>
      <c r="K9955" s="18">
        <f>IFERROR(__xludf.DUMMYFUNCTION("""COMPUTED_VALUE"""),29.0)</f>
        <v>29</v>
      </c>
      <c r="L9955" s="17">
        <f>IFERROR(__xludf.DUMMYFUNCTION("""COMPUTED_VALUE"""),3.017624858E9)</f>
        <v>3017624858</v>
      </c>
      <c r="M9955" s="17"/>
      <c r="N9955" s="17"/>
      <c r="O9955" s="17"/>
      <c r="P9955" s="17" t="b">
        <f>IFERROR(__xludf.DUMMYFUNCTION("""COMPUTED_VALUE"""),FALSE)</f>
        <v>0</v>
      </c>
      <c r="Q9955" s="20" t="str">
        <f>IFERROR(__xludf.DUMMYFUNCTION("""COMPUTED_VALUE"""),"")</f>
        <v/>
      </c>
      <c r="R9955" s="21" t="str">
        <f>IFERROR(__xludf.DUMMYFUNCTION("""COMPUTED_VALUE"""),"https://drive.google.com/file/d/14GaYJFtUpWU6Ohel6LQ4NR0X8RA1I9ce/view?usp=drivesdk")</f>
        <v>https://drive.google.com/file/d/14GaYJFtUpWU6Ohel6LQ4NR0X8RA1I9ce/view?usp=drivesdk</v>
      </c>
    </row>
    <row r="9956">
      <c r="A9956" s="15">
        <f>IFERROR(__xludf.DUMMYFUNCTION("""COMPUTED_VALUE"""),45281.0)</f>
        <v>45281</v>
      </c>
      <c r="B9956" s="16" t="str">
        <f>IFERROR(__xludf.DUMMYFUNCTION("""COMPUTED_VALUE"""),"Envia")</f>
        <v>Envia</v>
      </c>
      <c r="C9956" s="15" t="str">
        <f>IFERROR(__xludf.DUMMYFUNCTION("""COMPUTED_VALUE"""),"BOGOTÁ")</f>
        <v>BOGOTÁ</v>
      </c>
      <c r="D9956" s="15" t="str">
        <f>IFERROR(__xludf.DUMMYFUNCTION("""COMPUTED_VALUE"""),"CALI")</f>
        <v>CALI</v>
      </c>
      <c r="E9956" s="15" t="str">
        <f>IFERROR(__xludf.DUMMYFUNCTION("""COMPUTED_VALUE"""),"Natalia Carreño")</f>
        <v>Natalia Carreño</v>
      </c>
      <c r="F9956" s="17" t="str">
        <f>IFERROR(__xludf.DUMMYFUNCTION("""COMPUTED_VALUE"""),"Carrera 27 #70-83 / Casa color curuba / Los Alcázares")</f>
        <v>Carrera 27 #70-83 / Casa color curuba / Los Alcázares</v>
      </c>
      <c r="G9956" s="15" t="str">
        <f>IFERROR(__xludf.DUMMYFUNCTION("""COMPUTED_VALUE"""),"Natalia Carreño")</f>
        <v>Natalia Carreño</v>
      </c>
      <c r="H9956" s="16">
        <f>IFERROR(__xludf.DUMMYFUNCTION("""COMPUTED_VALUE"""),18514.0)</f>
        <v>18514</v>
      </c>
      <c r="I9956" s="18">
        <f>IFERROR(__xludf.DUMMYFUNCTION("""COMPUTED_VALUE"""),60.0)</f>
        <v>60</v>
      </c>
      <c r="J9956" s="18">
        <f>IFERROR(__xludf.DUMMYFUNCTION("""COMPUTED_VALUE"""),60.0)</f>
        <v>60</v>
      </c>
      <c r="K9956" s="18">
        <f>IFERROR(__xludf.DUMMYFUNCTION("""COMPUTED_VALUE"""),60.0)</f>
        <v>60</v>
      </c>
      <c r="L9956" s="17">
        <f>IFERROR(__xludf.DUMMYFUNCTION("""COMPUTED_VALUE"""),3.11561131E9)</f>
        <v>3115611310</v>
      </c>
      <c r="M9956" s="17"/>
      <c r="N9956" s="17"/>
      <c r="O9956" s="17"/>
      <c r="P9956" s="17" t="b">
        <f>IFERROR(__xludf.DUMMYFUNCTION("""COMPUTED_VALUE"""),FALSE)</f>
        <v>0</v>
      </c>
      <c r="Q9956" s="20" t="str">
        <f>IFERROR(__xludf.DUMMYFUNCTION("""COMPUTED_VALUE"""),"")</f>
        <v/>
      </c>
      <c r="R9956" s="21" t="str">
        <f>IFERROR(__xludf.DUMMYFUNCTION("""COMPUTED_VALUE"""),"https://drive.google.com/file/d/1ZEcn44LCLs2j979OKHJrhjEaAjHguvhc/view?usp=drivesdk")</f>
        <v>https://drive.google.com/file/d/1ZEcn44LCLs2j979OKHJrhjEaAjHguvhc/view?usp=drivesdk</v>
      </c>
    </row>
    <row r="9957">
      <c r="A9957" s="15">
        <f>IFERROR(__xludf.DUMMYFUNCTION("""COMPUTED_VALUE"""),45281.0)</f>
        <v>45281</v>
      </c>
      <c r="B9957" s="16" t="str">
        <f>IFERROR(__xludf.DUMMYFUNCTION("""COMPUTED_VALUE"""),"Envia")</f>
        <v>Envia</v>
      </c>
      <c r="C9957" s="15" t="str">
        <f>IFERROR(__xludf.DUMMYFUNCTION("""COMPUTED_VALUE"""),"CALI")</f>
        <v>CALI</v>
      </c>
      <c r="D9957" s="15" t="str">
        <f>IFERROR(__xludf.DUMMYFUNCTION("""COMPUTED_VALUE"""),"BOGOTÁ")</f>
        <v>BOGOTÁ</v>
      </c>
      <c r="E9957" s="15" t="str">
        <f>IFERROR(__xludf.DUMMYFUNCTION("""COMPUTED_VALUE"""),"INVERSIONES MOCHI")</f>
        <v>INVERSIONES MOCHI</v>
      </c>
      <c r="F9957" s="17" t="str">
        <f>IFERROR(__xludf.DUMMYFUNCTION("""COMPUTED_VALUE"""),"Calle 15 norte #9n 16 / Restaurante Fish N GO al lado de cantina la 15")</f>
        <v>Calle 15 norte #9n 16 / Restaurante Fish N GO al lado de cantina la 15</v>
      </c>
      <c r="G9957" s="15" t="str">
        <f>IFERROR(__xludf.DUMMYFUNCTION("""COMPUTED_VALUE"""),"Restaurante Fish N Go")</f>
        <v>Restaurante Fish N Go</v>
      </c>
      <c r="H9957" s="16">
        <f>IFERROR(__xludf.DUMMYFUNCTION("""COMPUTED_VALUE"""),18670.0)</f>
        <v>18670</v>
      </c>
      <c r="I9957" s="17"/>
      <c r="J9957" s="17"/>
      <c r="K9957" s="17"/>
      <c r="L9957" s="17">
        <f>IFERROR(__xludf.DUMMYFUNCTION("""COMPUTED_VALUE"""),3.183028592E9)</f>
        <v>3183028592</v>
      </c>
      <c r="M9957" s="17"/>
      <c r="N9957" s="17"/>
      <c r="O9957" s="17"/>
      <c r="P9957" s="17" t="b">
        <f>IFERROR(__xludf.DUMMYFUNCTION("""COMPUTED_VALUE"""),FALSE)</f>
        <v>0</v>
      </c>
      <c r="Q9957" s="20" t="str">
        <f>IFERROR(__xludf.DUMMYFUNCTION("""COMPUTED_VALUE"""),"")</f>
        <v/>
      </c>
      <c r="R9957" s="21" t="str">
        <f>IFERROR(__xludf.DUMMYFUNCTION("""COMPUTED_VALUE"""),"https://drive.google.com/file/d/1ztg5SeFkGGx6y4e6zm9GkUPP-h9FjtSQ/view?usp=drivesdk")</f>
        <v>https://drive.google.com/file/d/1ztg5SeFkGGx6y4e6zm9GkUPP-h9FjtSQ/view?usp=drivesdk</v>
      </c>
    </row>
    <row r="9958">
      <c r="A9958" s="15">
        <f>IFERROR(__xludf.DUMMYFUNCTION("""COMPUTED_VALUE"""),45281.0)</f>
        <v>45281</v>
      </c>
      <c r="B9958" s="16" t="str">
        <f>IFERROR(__xludf.DUMMYFUNCTION("""COMPUTED_VALUE"""),"Envia")</f>
        <v>Envia</v>
      </c>
      <c r="C9958" s="15" t="str">
        <f>IFERROR(__xludf.DUMMYFUNCTION("""COMPUTED_VALUE"""),"CARTAGENA")</f>
        <v>CARTAGENA</v>
      </c>
      <c r="D9958" s="15" t="str">
        <f>IFERROR(__xludf.DUMMYFUNCTION("""COMPUTED_VALUE"""),"BOGOTÁ")</f>
        <v>BOGOTÁ</v>
      </c>
      <c r="E9958" s="15" t="str">
        <f>IFERROR(__xludf.DUMMYFUNCTION("""COMPUTED_VALUE"""),"INVERSIONES MOCHI")</f>
        <v>INVERSIONES MOCHI</v>
      </c>
      <c r="F9958" s="17" t="str">
        <f>IFERROR(__xludf.DUMMYFUNCTION("""COMPUTED_VALUE"""),"Cra 11 #39-21 / centro comercial la serrezuela")</f>
        <v>Cra 11 #39-21 / centro comercial la serrezuela</v>
      </c>
      <c r="G9958" s="15" t="str">
        <f>IFERROR(__xludf.DUMMYFUNCTION("""COMPUTED_VALUE"""),"Centro comercial la Serrezuela")</f>
        <v>Centro comercial la Serrezuela</v>
      </c>
      <c r="H9958" s="16">
        <f>IFERROR(__xludf.DUMMYFUNCTION("""COMPUTED_VALUE"""),18671.0)</f>
        <v>18671</v>
      </c>
      <c r="I9958" s="17"/>
      <c r="J9958" s="17"/>
      <c r="K9958" s="17"/>
      <c r="L9958" s="17">
        <f>IFERROR(__xludf.DUMMYFUNCTION("""COMPUTED_VALUE"""),3.116026252E9)</f>
        <v>3116026252</v>
      </c>
      <c r="M9958" s="17"/>
      <c r="N9958" s="17"/>
      <c r="O9958" s="17"/>
      <c r="P9958" s="17" t="b">
        <f>IFERROR(__xludf.DUMMYFUNCTION("""COMPUTED_VALUE"""),FALSE)</f>
        <v>0</v>
      </c>
      <c r="Q9958" s="20" t="str">
        <f>IFERROR(__xludf.DUMMYFUNCTION("""COMPUTED_VALUE"""),"")</f>
        <v/>
      </c>
      <c r="R9958" s="21" t="str">
        <f>IFERROR(__xludf.DUMMYFUNCTION("""COMPUTED_VALUE"""),"https://drive.google.com/file/d/1WiQjYaJhytXz-KMj59jVA_ocymRN94sM/view?usp=drivesdk")</f>
        <v>https://drive.google.com/file/d/1WiQjYaJhytXz-KMj59jVA_ocymRN94sM/view?usp=drivesdk</v>
      </c>
    </row>
    <row r="9959">
      <c r="A9959" s="15">
        <f>IFERROR(__xludf.DUMMYFUNCTION("""COMPUTED_VALUE"""),45281.0)</f>
        <v>45281</v>
      </c>
      <c r="B9959" s="16" t="str">
        <f>IFERROR(__xludf.DUMMYFUNCTION("""COMPUTED_VALUE"""),"Envia")</f>
        <v>Envia</v>
      </c>
      <c r="C9959" s="15" t="str">
        <f>IFERROR(__xludf.DUMMYFUNCTION("""COMPUTED_VALUE"""),"CARTAGENA")</f>
        <v>CARTAGENA</v>
      </c>
      <c r="D9959" s="15" t="str">
        <f>IFERROR(__xludf.DUMMYFUNCTION("""COMPUTED_VALUE"""),"BOGOTÁ")</f>
        <v>BOGOTÁ</v>
      </c>
      <c r="E9959" s="15" t="str">
        <f>IFERROR(__xludf.DUMMYFUNCTION("""COMPUTED_VALUE"""),"MAI ALIMENTOS REALES")</f>
        <v>MAI ALIMENTOS REALES</v>
      </c>
      <c r="F9959" s="17" t="str">
        <f>IFERROR(__xludf.DUMMYFUNCTION("""COMPUTED_VALUE"""),"Carrera 3 A # 31 - 23 / Plaza Santa teresa / Restaurante Harry Sasson")</f>
        <v>Carrera 3 A # 31 - 23 / Plaza Santa teresa / Restaurante Harry Sasson</v>
      </c>
      <c r="G9959" s="15" t="str">
        <f>IFERROR(__xludf.DUMMYFUNCTION("""COMPUTED_VALUE"""),"Hoteles Charleston SAS")</f>
        <v>Hoteles Charleston SAS</v>
      </c>
      <c r="H9959" s="16">
        <f>IFERROR(__xludf.DUMMYFUNCTION("""COMPUTED_VALUE"""),18426.0)</f>
        <v>18426</v>
      </c>
      <c r="I9959" s="17"/>
      <c r="J9959" s="17"/>
      <c r="K9959" s="17"/>
      <c r="L9959" s="17">
        <f>IFERROR(__xludf.DUMMYFUNCTION("""COMPUTED_VALUE"""),3.174374246E9)</f>
        <v>3174374246</v>
      </c>
      <c r="M9959" s="17"/>
      <c r="N9959" s="17"/>
      <c r="O9959" s="17"/>
      <c r="P9959" s="17" t="b">
        <f>IFERROR(__xludf.DUMMYFUNCTION("""COMPUTED_VALUE"""),FALSE)</f>
        <v>0</v>
      </c>
      <c r="Q9959" s="20" t="str">
        <f>IFERROR(__xludf.DUMMYFUNCTION("""COMPUTED_VALUE"""),"")</f>
        <v/>
      </c>
      <c r="R9959" s="21" t="str">
        <f>IFERROR(__xludf.DUMMYFUNCTION("""COMPUTED_VALUE"""),"https://drive.google.com/file/d/1yd_WFtHvg0dftshbzLM2fhvYbjdfrfOW/view?usp=drivesdk")</f>
        <v>https://drive.google.com/file/d/1yd_WFtHvg0dftshbzLM2fhvYbjdfrfOW/view?usp=drivesdk</v>
      </c>
    </row>
    <row r="9960">
      <c r="A9960" s="15">
        <f>IFERROR(__xludf.DUMMYFUNCTION("""COMPUTED_VALUE"""),45281.0)</f>
        <v>45281</v>
      </c>
      <c r="B9960" s="16" t="str">
        <f>IFERROR(__xludf.DUMMYFUNCTION("""COMPUTED_VALUE"""),"Envia")</f>
        <v>Envia</v>
      </c>
      <c r="C9960" s="15" t="str">
        <f>IFERROR(__xludf.DUMMYFUNCTION("""COMPUTED_VALUE"""),"DUITAMA")</f>
        <v>DUITAMA</v>
      </c>
      <c r="D9960" s="15" t="str">
        <f>IFERROR(__xludf.DUMMYFUNCTION("""COMPUTED_VALUE"""),"BOGOTÁ")</f>
        <v>BOGOTÁ</v>
      </c>
      <c r="E9960" s="15" t="str">
        <f>IFERROR(__xludf.DUMMYFUNCTION("""COMPUTED_VALUE"""),"Karem foods")</f>
        <v>Karem foods</v>
      </c>
      <c r="F9960" s="17" t="str">
        <f>IFERROR(__xludf.DUMMYFUNCTION("""COMPUTED_VALUE"""),"carrera 33#16-31  / interior 1. Llamar al llegar. No hay timbre / -")</f>
        <v>carrera 33#16-31  / interior 1. Llamar al llegar. No hay timbre / -</v>
      </c>
      <c r="G9960" s="15" t="str">
        <f>IFERROR(__xludf.DUMMYFUNCTION("""COMPUTED_VALUE"""),"Ana María  López Estupiñán")</f>
        <v>Ana María  López Estupiñán</v>
      </c>
      <c r="H9960" s="16">
        <f>IFERROR(__xludf.DUMMYFUNCTION("""COMPUTED_VALUE"""),18645.0)</f>
        <v>18645</v>
      </c>
      <c r="I9960" s="18">
        <f>IFERROR(__xludf.DUMMYFUNCTION("""COMPUTED_VALUE"""),7.0)</f>
        <v>7</v>
      </c>
      <c r="J9960" s="18">
        <f>IFERROR(__xludf.DUMMYFUNCTION("""COMPUTED_VALUE"""),20.0)</f>
        <v>20</v>
      </c>
      <c r="K9960" s="18">
        <f>IFERROR(__xludf.DUMMYFUNCTION("""COMPUTED_VALUE"""),20.0)</f>
        <v>20</v>
      </c>
      <c r="L9960" s="17">
        <f>IFERROR(__xludf.DUMMYFUNCTION("""COMPUTED_VALUE"""),3.174014008E9)</f>
        <v>3174014008</v>
      </c>
      <c r="M9960" s="17"/>
      <c r="N9960" s="17"/>
      <c r="O9960" s="17"/>
      <c r="P9960" s="17" t="b">
        <f>IFERROR(__xludf.DUMMYFUNCTION("""COMPUTED_VALUE"""),FALSE)</f>
        <v>0</v>
      </c>
      <c r="Q9960" s="20" t="str">
        <f>IFERROR(__xludf.DUMMYFUNCTION("""COMPUTED_VALUE"""),"")</f>
        <v/>
      </c>
      <c r="R9960" s="21" t="str">
        <f>IFERROR(__xludf.DUMMYFUNCTION("""COMPUTED_VALUE"""),"https://drive.google.com/file/d/1p_YV0rZGSqo9q8qc_L11wF6SO7fi773y/view?usp=drivesdk")</f>
        <v>https://drive.google.com/file/d/1p_YV0rZGSqo9q8qc_L11wF6SO7fi773y/view?usp=drivesdk</v>
      </c>
    </row>
    <row r="9961">
      <c r="A9961" s="15">
        <f>IFERROR(__xludf.DUMMYFUNCTION("""COMPUTED_VALUE"""),45281.0)</f>
        <v>45281</v>
      </c>
      <c r="B9961" s="16" t="str">
        <f>IFERROR(__xludf.DUMMYFUNCTION("""COMPUTED_VALUE"""),"Envia")</f>
        <v>Envia</v>
      </c>
      <c r="C9961" s="15" t="str">
        <f>IFERROR(__xludf.DUMMYFUNCTION("""COMPUTED_VALUE"""),"MEDELLÍN")</f>
        <v>MEDELLÍN</v>
      </c>
      <c r="D9961" s="15" t="str">
        <f>IFERROR(__xludf.DUMMYFUNCTION("""COMPUTED_VALUE"""),"BOGOTÁ")</f>
        <v>BOGOTÁ</v>
      </c>
      <c r="E9961" s="15" t="str">
        <f>IFERROR(__xludf.DUMMYFUNCTION("""COMPUTED_VALUE"""),"INVERSIONES MOCHI")</f>
        <v>INVERSIONES MOCHI</v>
      </c>
      <c r="F9961" s="17" t="str">
        <f>IFERROR(__xludf.DUMMYFUNCTION("""COMPUTED_VALUE"""),"CRA 48 #32B SUR-139 ZONA 1 / CENTRO COMERCIAL VIVA ENVIGADO")</f>
        <v>CRA 48 #32B SUR-139 ZONA 1 / CENTRO COMERCIAL VIVA ENVIGADO</v>
      </c>
      <c r="G9961" s="15" t="str">
        <f>IFERROR(__xludf.DUMMYFUNCTION("""COMPUTED_VALUE"""),"CENTRO COMERCIAL VIVA ENVIGADO")</f>
        <v>CENTRO COMERCIAL VIVA ENVIGADO</v>
      </c>
      <c r="H9961" s="16">
        <f>IFERROR(__xludf.DUMMYFUNCTION("""COMPUTED_VALUE"""),18669.0)</f>
        <v>18669</v>
      </c>
      <c r="I9961" s="17"/>
      <c r="J9961" s="17"/>
      <c r="K9961" s="17"/>
      <c r="L9961" s="17">
        <f>IFERROR(__xludf.DUMMYFUNCTION("""COMPUTED_VALUE"""),3.142587995E9)</f>
        <v>3142587995</v>
      </c>
      <c r="M9961" s="17"/>
      <c r="N9961" s="17"/>
      <c r="O9961" s="17"/>
      <c r="P9961" s="17" t="b">
        <f>IFERROR(__xludf.DUMMYFUNCTION("""COMPUTED_VALUE"""),FALSE)</f>
        <v>0</v>
      </c>
      <c r="Q9961" s="20" t="str">
        <f>IFERROR(__xludf.DUMMYFUNCTION("""COMPUTED_VALUE"""),"")</f>
        <v/>
      </c>
      <c r="R9961" s="21" t="str">
        <f>IFERROR(__xludf.DUMMYFUNCTION("""COMPUTED_VALUE"""),"https://drive.google.com/file/d/1KLj4o_Z3wQTbmdSxBIlTkj3jX1lzSPIZ/view?usp=drivesdk")</f>
        <v>https://drive.google.com/file/d/1KLj4o_Z3wQTbmdSxBIlTkj3jX1lzSPIZ/view?usp=drivesdk</v>
      </c>
    </row>
    <row r="9962">
      <c r="A9962" s="15">
        <f>IFERROR(__xludf.DUMMYFUNCTION("""COMPUTED_VALUE"""),45281.0)</f>
        <v>45281</v>
      </c>
      <c r="B9962" s="16" t="str">
        <f>IFERROR(__xludf.DUMMYFUNCTION("""COMPUTED_VALUE"""),"Envia")</f>
        <v>Envia</v>
      </c>
      <c r="C9962" s="15" t="str">
        <f>IFERROR(__xludf.DUMMYFUNCTION("""COMPUTED_VALUE"""),"MONTERIA")</f>
        <v>MONTERIA</v>
      </c>
      <c r="D9962" s="15" t="str">
        <f>IFERROR(__xludf.DUMMYFUNCTION("""COMPUTED_VALUE"""),"BOGOTÁ")</f>
        <v>BOGOTÁ</v>
      </c>
      <c r="E9962" s="15" t="str">
        <f>IFERROR(__xludf.DUMMYFUNCTION("""COMPUTED_VALUE"""),"Karem foods")</f>
        <v>Karem foods</v>
      </c>
      <c r="F9962" s="17" t="str">
        <f>IFERROR(__xludf.DUMMYFUNCTION("""COMPUTED_VALUE"""),"Cr 11 #64-52  / edificio torres de San jerónimo 1 Apto 604 / -")</f>
        <v>Cr 11 #64-52  / edificio torres de San jerónimo 1 Apto 604 / -</v>
      </c>
      <c r="G9962" s="15" t="str">
        <f>IFERROR(__xludf.DUMMYFUNCTION("""COMPUTED_VALUE"""),"Carolina Ospino Herrera")</f>
        <v>Carolina Ospino Herrera</v>
      </c>
      <c r="H9962" s="16">
        <f>IFERROR(__xludf.DUMMYFUNCTION("""COMPUTED_VALUE"""),18519.0)</f>
        <v>18519</v>
      </c>
      <c r="I9962" s="18">
        <f>IFERROR(__xludf.DUMMYFUNCTION("""COMPUTED_VALUE"""),7.0)</f>
        <v>7</v>
      </c>
      <c r="J9962" s="18">
        <f>IFERROR(__xludf.DUMMYFUNCTION("""COMPUTED_VALUE"""),20.0)</f>
        <v>20</v>
      </c>
      <c r="K9962" s="18">
        <f>IFERROR(__xludf.DUMMYFUNCTION("""COMPUTED_VALUE"""),20.0)</f>
        <v>20</v>
      </c>
      <c r="L9962" s="17">
        <f>IFERROR(__xludf.DUMMYFUNCTION("""COMPUTED_VALUE"""),3.165354787E9)</f>
        <v>3165354787</v>
      </c>
      <c r="M9962" s="17"/>
      <c r="N9962" s="17"/>
      <c r="O9962" s="17"/>
      <c r="P9962" s="17" t="b">
        <f>IFERROR(__xludf.DUMMYFUNCTION("""COMPUTED_VALUE"""),FALSE)</f>
        <v>0</v>
      </c>
      <c r="Q9962" s="20" t="str">
        <f>IFERROR(__xludf.DUMMYFUNCTION("""COMPUTED_VALUE"""),"")</f>
        <v/>
      </c>
      <c r="R9962" s="22" t="str">
        <f>IFERROR(__xludf.DUMMYFUNCTION("""COMPUTED_VALUE"""),"")</f>
        <v/>
      </c>
    </row>
    <row r="9963">
      <c r="A9963" s="15">
        <f>IFERROR(__xludf.DUMMYFUNCTION("""COMPUTED_VALUE"""),45281.0)</f>
        <v>45281</v>
      </c>
      <c r="B9963" s="16" t="str">
        <f>IFERROR(__xludf.DUMMYFUNCTION("""COMPUTED_VALUE"""),"Envia")</f>
        <v>Envia</v>
      </c>
      <c r="C9963" s="15" t="str">
        <f>IFERROR(__xludf.DUMMYFUNCTION("""COMPUTED_VALUE"""),"MONTERIA")</f>
        <v>MONTERIA</v>
      </c>
      <c r="D9963" s="15" t="str">
        <f>IFERROR(__xludf.DUMMYFUNCTION("""COMPUTED_VALUE"""),"MEDELLÍN")</f>
        <v>MEDELLÍN</v>
      </c>
      <c r="E9963" s="15" t="str">
        <f>IFERROR(__xludf.DUMMYFUNCTION("""COMPUTED_VALUE"""),"Helados swip")</f>
        <v>Helados swip</v>
      </c>
      <c r="F9963" s="17" t="str">
        <f>IFERROR(__xludf.DUMMYFUNCTION("""COMPUTED_VALUE"""),"CALLE 62 #6-45 X LA CRA 7 / LOCAL 2 / BARRIO ALCAZARES")</f>
        <v>CALLE 62 #6-45 X LA CRA 7 / LOCAL 2 / BARRIO ALCAZARES</v>
      </c>
      <c r="G9963" s="15" t="str">
        <f>IFERROR(__xludf.DUMMYFUNCTION("""COMPUTED_VALUE"""),"FEELI CAROLINA MEJIA")</f>
        <v>FEELI CAROLINA MEJIA</v>
      </c>
      <c r="H9963" s="16">
        <f>IFERROR(__xludf.DUMMYFUNCTION("""COMPUTED_VALUE"""),18639.0)</f>
        <v>18639</v>
      </c>
      <c r="I9963" s="18">
        <f>IFERROR(__xludf.DUMMYFUNCTION("""COMPUTED_VALUE"""),29.0)</f>
        <v>29</v>
      </c>
      <c r="J9963" s="18">
        <f>IFERROR(__xludf.DUMMYFUNCTION("""COMPUTED_VALUE"""),55.0)</f>
        <v>55</v>
      </c>
      <c r="K9963" s="18">
        <f>IFERROR(__xludf.DUMMYFUNCTION("""COMPUTED_VALUE"""),45.0)</f>
        <v>45</v>
      </c>
      <c r="L9963" s="17">
        <f>IFERROR(__xludf.DUMMYFUNCTION("""COMPUTED_VALUE"""),3.052261719E9)</f>
        <v>3052261719</v>
      </c>
      <c r="M9963" s="17"/>
      <c r="N9963" s="17"/>
      <c r="O9963" s="17"/>
      <c r="P9963" s="17" t="b">
        <f>IFERROR(__xludf.DUMMYFUNCTION("""COMPUTED_VALUE"""),FALSE)</f>
        <v>0</v>
      </c>
      <c r="Q9963" s="20" t="str">
        <f>IFERROR(__xludf.DUMMYFUNCTION("""COMPUTED_VALUE"""),"")</f>
        <v/>
      </c>
      <c r="R9963" s="21" t="str">
        <f>IFERROR(__xludf.DUMMYFUNCTION("""COMPUTED_VALUE"""),"https://drive.google.com/file/d/1lgG_AXZKavdWm_WOL2ezsgJGrsT-HFYK/view?usp=drivesdk")</f>
        <v>https://drive.google.com/file/d/1lgG_AXZKavdWm_WOL2ezsgJGrsT-HFYK/view?usp=drivesdk</v>
      </c>
    </row>
    <row r="9964">
      <c r="A9964" s="15">
        <f>IFERROR(__xludf.DUMMYFUNCTION("""COMPUTED_VALUE"""),45281.0)</f>
        <v>45281</v>
      </c>
      <c r="B9964" s="16" t="str">
        <f>IFERROR(__xludf.DUMMYFUNCTION("""COMPUTED_VALUE"""),"Envia")</f>
        <v>Envia</v>
      </c>
      <c r="C9964" s="15" t="str">
        <f>IFERROR(__xludf.DUMMYFUNCTION("""COMPUTED_VALUE"""),"NEIVA")</f>
        <v>NEIVA</v>
      </c>
      <c r="D9964" s="15" t="str">
        <f>IFERROR(__xludf.DUMMYFUNCTION("""COMPUTED_VALUE"""),"ENVIGADO")</f>
        <v>ENVIGADO</v>
      </c>
      <c r="E9964" s="15" t="str">
        <f>IFERROR(__xludf.DUMMYFUNCTION("""COMPUTED_VALUE"""),"RAMBLA")</f>
        <v>RAMBLA</v>
      </c>
      <c r="F9964" s="17" t="str">
        <f>IFERROR(__xludf.DUMMYFUNCTION("""COMPUTED_VALUE"""),"Carrera 15 No. 23 A - 41 sur / Conjunto multicentro Apto 103 torre 3")</f>
        <v>Carrera 15 No. 23 A - 41 sur / Conjunto multicentro Apto 103 torre 3</v>
      </c>
      <c r="G9964" s="15" t="str">
        <f>IFERROR(__xludf.DUMMYFUNCTION("""COMPUTED_VALUE"""),"Natalia Charry Pastrana")</f>
        <v>Natalia Charry Pastrana</v>
      </c>
      <c r="H9964" s="16">
        <f>IFERROR(__xludf.DUMMYFUNCTION("""COMPUTED_VALUE"""),18613.0)</f>
        <v>18613</v>
      </c>
      <c r="I9964" s="17"/>
      <c r="J9964" s="17"/>
      <c r="K9964" s="17"/>
      <c r="L9964" s="17">
        <f>IFERROR(__xludf.DUMMYFUNCTION("""COMPUTED_VALUE"""),3.023771068E9)</f>
        <v>3023771068</v>
      </c>
      <c r="M9964" s="17"/>
      <c r="N9964" s="17"/>
      <c r="O9964" s="17"/>
      <c r="P9964" s="17" t="b">
        <f>IFERROR(__xludf.DUMMYFUNCTION("""COMPUTED_VALUE"""),FALSE)</f>
        <v>0</v>
      </c>
      <c r="Q9964" s="20" t="str">
        <f>IFERROR(__xludf.DUMMYFUNCTION("""COMPUTED_VALUE"""),"")</f>
        <v/>
      </c>
      <c r="R9964" s="21" t="str">
        <f>IFERROR(__xludf.DUMMYFUNCTION("""COMPUTED_VALUE"""),"https://drive.google.com/file/d/1YWa3cS9LRMeX2d52VSaSx09BhLgp4hxl/view?usp=drivesdk")</f>
        <v>https://drive.google.com/file/d/1YWa3cS9LRMeX2d52VSaSx09BhLgp4hxl/view?usp=drivesdk</v>
      </c>
    </row>
    <row r="9965">
      <c r="A9965" s="15">
        <f>IFERROR(__xludf.DUMMYFUNCTION("""COMPUTED_VALUE"""),45281.0)</f>
        <v>45281</v>
      </c>
      <c r="B9965" s="16" t="str">
        <f>IFERROR(__xludf.DUMMYFUNCTION("""COMPUTED_VALUE"""),"Envia")</f>
        <v>Envia</v>
      </c>
      <c r="C9965" s="15" t="str">
        <f>IFERROR(__xludf.DUMMYFUNCTION("""COMPUTED_VALUE"""),"PEREIRA")</f>
        <v>PEREIRA</v>
      </c>
      <c r="D9965" s="15" t="str">
        <f>IFERROR(__xludf.DUMMYFUNCTION("""COMPUTED_VALUE"""),"BOGOTÁ")</f>
        <v>BOGOTÁ</v>
      </c>
      <c r="E9965" s="15" t="str">
        <f>IFERROR(__xludf.DUMMYFUNCTION("""COMPUTED_VALUE"""),"Athenas")</f>
        <v>Athenas</v>
      </c>
      <c r="F9965" s="17" t="str">
        <f>IFERROR(__xludf.DUMMYFUNCTION("""COMPUTED_VALUE"""),"Av Circunvalar Cra 13 # 12B - 25 Centro comercial Uniplex Piso 5 y 6 / BODYTECH CAFETERIA / AV CIRCUNVALAR")</f>
        <v>Av Circunvalar Cra 13 # 12B - 25 Centro comercial Uniplex Piso 5 y 6 / BODYTECH CAFETERIA / AV CIRCUNVALAR</v>
      </c>
      <c r="G9965" s="15" t="str">
        <f>IFERROR(__xludf.DUMMYFUNCTION("""COMPUTED_VALUE"""),"ADRIANA CASTRO")</f>
        <v>ADRIANA CASTRO</v>
      </c>
      <c r="H9965" s="16">
        <f>IFERROR(__xludf.DUMMYFUNCTION("""COMPUTED_VALUE"""),18628.0)</f>
        <v>18628</v>
      </c>
      <c r="I9965" s="18">
        <f>IFERROR(__xludf.DUMMYFUNCTION("""COMPUTED_VALUE"""),29.0)</f>
        <v>29</v>
      </c>
      <c r="J9965" s="18">
        <f>IFERROR(__xludf.DUMMYFUNCTION("""COMPUTED_VALUE"""),55.0)</f>
        <v>55</v>
      </c>
      <c r="K9965" s="18">
        <f>IFERROR(__xludf.DUMMYFUNCTION("""COMPUTED_VALUE"""),45.0)</f>
        <v>45</v>
      </c>
      <c r="L9965" s="17">
        <f>IFERROR(__xludf.DUMMYFUNCTION("""COMPUTED_VALUE"""),3.104011367E9)</f>
        <v>3104011367</v>
      </c>
      <c r="M9965" s="17"/>
      <c r="N9965" s="17"/>
      <c r="O9965" s="17"/>
      <c r="P9965" s="17" t="b">
        <f>IFERROR(__xludf.DUMMYFUNCTION("""COMPUTED_VALUE"""),FALSE)</f>
        <v>0</v>
      </c>
      <c r="Q9965" s="20" t="str">
        <f>IFERROR(__xludf.DUMMYFUNCTION("""COMPUTED_VALUE"""),"")</f>
        <v/>
      </c>
      <c r="R9965" s="21" t="str">
        <f>IFERROR(__xludf.DUMMYFUNCTION("""COMPUTED_VALUE"""),"https://drive.google.com/file/d/1WqUuhX1WgNe4cYYmkqzlZ6PiSuIXXXkn/view?usp=drivesdk")</f>
        <v>https://drive.google.com/file/d/1WqUuhX1WgNe4cYYmkqzlZ6PiSuIXXXkn/view?usp=drivesdk</v>
      </c>
    </row>
    <row r="9966">
      <c r="A9966" s="15">
        <f>IFERROR(__xludf.DUMMYFUNCTION("""COMPUTED_VALUE"""),45281.0)</f>
        <v>45281</v>
      </c>
      <c r="B9966" s="16" t="str">
        <f>IFERROR(__xludf.DUMMYFUNCTION("""COMPUTED_VALUE"""),"Envia")</f>
        <v>Envia</v>
      </c>
      <c r="C9966" s="15" t="str">
        <f>IFERROR(__xludf.DUMMYFUNCTION("""COMPUTED_VALUE"""),"SINCELEJO")</f>
        <v>SINCELEJO</v>
      </c>
      <c r="D9966" s="15" t="str">
        <f>IFERROR(__xludf.DUMMYFUNCTION("""COMPUTED_VALUE"""),"MEDELLÍN")</f>
        <v>MEDELLÍN</v>
      </c>
      <c r="E9966" s="15" t="str">
        <f>IFERROR(__xludf.DUMMYFUNCTION("""COMPUTED_VALUE"""),"Helados swip")</f>
        <v>Helados swip</v>
      </c>
      <c r="F9966" s="17" t="str">
        <f>IFERROR(__xludf.DUMMYFUNCTION("""COMPUTED_VALUE"""),"CALLE 32 #33-119  / LOCAL 101 / ED.LIVING MALL DE VENECIA")</f>
        <v>CALLE 32 #33-119  / LOCAL 101 / ED.LIVING MALL DE VENECIA</v>
      </c>
      <c r="G9966" s="15" t="str">
        <f>IFERROR(__xludf.DUMMYFUNCTION("""COMPUTED_VALUE"""),"INVERSIONES ZALI (OLIVA)")</f>
        <v>INVERSIONES ZALI (OLIVA)</v>
      </c>
      <c r="H9966" s="16">
        <f>IFERROR(__xludf.DUMMYFUNCTION("""COMPUTED_VALUE"""),18638.0)</f>
        <v>18638</v>
      </c>
      <c r="I9966" s="18">
        <f>IFERROR(__xludf.DUMMYFUNCTION("""COMPUTED_VALUE"""),50.0)</f>
        <v>50</v>
      </c>
      <c r="J9966" s="18">
        <f>IFERROR(__xludf.DUMMYFUNCTION("""COMPUTED_VALUE"""),30.0)</f>
        <v>30</v>
      </c>
      <c r="K9966" s="18">
        <f>IFERROR(__xludf.DUMMYFUNCTION("""COMPUTED_VALUE"""),21.0)</f>
        <v>21</v>
      </c>
      <c r="L9966" s="17">
        <f>IFERROR(__xludf.DUMMYFUNCTION("""COMPUTED_VALUE"""),3.022293728E9)</f>
        <v>3022293728</v>
      </c>
      <c r="M9966" s="17"/>
      <c r="N9966" s="17"/>
      <c r="O9966" s="17"/>
      <c r="P9966" s="17" t="b">
        <f>IFERROR(__xludf.DUMMYFUNCTION("""COMPUTED_VALUE"""),FALSE)</f>
        <v>0</v>
      </c>
      <c r="Q9966" s="20" t="str">
        <f>IFERROR(__xludf.DUMMYFUNCTION("""COMPUTED_VALUE"""),"")</f>
        <v/>
      </c>
      <c r="R9966" s="21" t="str">
        <f>IFERROR(__xludf.DUMMYFUNCTION("""COMPUTED_VALUE"""),"https://drive.google.com/file/d/1YL72Q0plVlWvMpRwHju0PyZ6C6T-iDgJ/view?usp=drivesdk")</f>
        <v>https://drive.google.com/file/d/1YL72Q0plVlWvMpRwHju0PyZ6C6T-iDgJ/view?usp=drivesdk</v>
      </c>
    </row>
    <row r="9967">
      <c r="A9967" s="15">
        <f>IFERROR(__xludf.DUMMYFUNCTION("""COMPUTED_VALUE"""),45281.0)</f>
        <v>45281</v>
      </c>
      <c r="B9967" s="16" t="str">
        <f>IFERROR(__xludf.DUMMYFUNCTION("""COMPUTED_VALUE"""),"Envia")</f>
        <v>Envia</v>
      </c>
      <c r="C9967" s="15" t="str">
        <f>IFERROR(__xludf.DUMMYFUNCTION("""COMPUTED_VALUE"""),"VILLAVICENCIO")</f>
        <v>VILLAVICENCIO</v>
      </c>
      <c r="D9967" s="15" t="str">
        <f>IFERROR(__xludf.DUMMYFUNCTION("""COMPUTED_VALUE"""),"PEREIRA")</f>
        <v>PEREIRA</v>
      </c>
      <c r="E9967" s="15" t="str">
        <f>IFERROR(__xludf.DUMMYFUNCTION("""COMPUTED_VALUE"""),"YULIED")</f>
        <v>YULIED</v>
      </c>
      <c r="F9967" s="17" t="str">
        <f>IFERROR(__xludf.DUMMYFUNCTION("""COMPUTED_VALUE"""),"CALLE 15 # 44D - 28 / EDIFICIOS PALOS DE CAÑA LOCAL 1")</f>
        <v>CALLE 15 # 44D - 28 / EDIFICIOS PALOS DE CAÑA LOCAL 1</v>
      </c>
      <c r="G9967" s="15" t="str">
        <f>IFERROR(__xludf.DUMMYFUNCTION("""COMPUTED_VALUE"""),"SANA TENTACION/ ELSA LILIANA STEPA")</f>
        <v>SANA TENTACION/ ELSA LILIANA STEPA</v>
      </c>
      <c r="H9967" s="16">
        <f>IFERROR(__xludf.DUMMYFUNCTION("""COMPUTED_VALUE"""),18558.0)</f>
        <v>18558</v>
      </c>
      <c r="I9967" s="17"/>
      <c r="J9967" s="17"/>
      <c r="K9967" s="17"/>
      <c r="L9967" s="17">
        <f>IFERROR(__xludf.DUMMYFUNCTION("""COMPUTED_VALUE"""),3.008383044E9)</f>
        <v>3008383044</v>
      </c>
      <c r="M9967" s="17"/>
      <c r="N9967" s="17"/>
      <c r="O9967" s="17"/>
      <c r="P9967" s="17" t="b">
        <f>IFERROR(__xludf.DUMMYFUNCTION("""COMPUTED_VALUE"""),TRUE)</f>
        <v>1</v>
      </c>
      <c r="Q9967" s="20">
        <f>IFERROR(__xludf.DUMMYFUNCTION("""COMPUTED_VALUE"""),45293.078602106485)</f>
        <v>45293.0786</v>
      </c>
      <c r="R9967" s="22" t="str">
        <f>IFERROR(__xludf.DUMMYFUNCTION("""COMPUTED_VALUE"""),"")</f>
        <v/>
      </c>
    </row>
    <row r="9968">
      <c r="A9968" s="15">
        <f>IFERROR(__xludf.DUMMYFUNCTION("""COMPUTED_VALUE"""),45281.0)</f>
        <v>45281</v>
      </c>
      <c r="B9968" s="16" t="str">
        <f>IFERROR(__xludf.DUMMYFUNCTION("""COMPUTED_VALUE"""),"Envia")</f>
        <v>Envia</v>
      </c>
      <c r="C9968" s="15" t="str">
        <f>IFERROR(__xludf.DUMMYFUNCTION("""COMPUTED_VALUE"""),"ZIPAQUIRA")</f>
        <v>ZIPAQUIRA</v>
      </c>
      <c r="D9968" s="15" t="str">
        <f>IFERROR(__xludf.DUMMYFUNCTION("""COMPUTED_VALUE"""),"BOGOTÁ")</f>
        <v>BOGOTÁ</v>
      </c>
      <c r="E9968" s="15" t="str">
        <f>IFERROR(__xludf.DUMMYFUNCTION("""COMPUTED_VALUE"""),"Karem foods")</f>
        <v>Karem foods</v>
      </c>
      <c r="F9968" s="17" t="str">
        <f>IFERROR(__xludf.DUMMYFUNCTION("""COMPUTED_VALUE"""),"Carrera 22 No 7D-67 / Hacienda la quinta 2 Torre 4 Apto 801 / -")</f>
        <v>Carrera 22 No 7D-67 / Hacienda la quinta 2 Torre 4 Apto 801 / -</v>
      </c>
      <c r="G9968" s="15" t="str">
        <f>IFERROR(__xludf.DUMMYFUNCTION("""COMPUTED_VALUE"""),"Eliana Isabelvi Vanegas Angarita (GRAMELIA MERCADO SALUDABLE)")</f>
        <v>Eliana Isabelvi Vanegas Angarita (GRAMELIA MERCADO SALUDABLE)</v>
      </c>
      <c r="H9968" s="16">
        <f>IFERROR(__xludf.DUMMYFUNCTION("""COMPUTED_VALUE"""),18644.0)</f>
        <v>18644</v>
      </c>
      <c r="I9968" s="18">
        <f>IFERROR(__xludf.DUMMYFUNCTION("""COMPUTED_VALUE"""),40.0)</f>
        <v>40</v>
      </c>
      <c r="J9968" s="18">
        <f>IFERROR(__xludf.DUMMYFUNCTION("""COMPUTED_VALUE"""),20.0)</f>
        <v>20</v>
      </c>
      <c r="K9968" s="18">
        <f>IFERROR(__xludf.DUMMYFUNCTION("""COMPUTED_VALUE"""),20.0)</f>
        <v>20</v>
      </c>
      <c r="L9968" s="17">
        <f>IFERROR(__xludf.DUMMYFUNCTION("""COMPUTED_VALUE"""),3.11479662E9)</f>
        <v>3114796620</v>
      </c>
      <c r="M9968" s="17"/>
      <c r="N9968" s="17"/>
      <c r="O9968" s="17"/>
      <c r="P9968" s="17" t="b">
        <f>IFERROR(__xludf.DUMMYFUNCTION("""COMPUTED_VALUE"""),FALSE)</f>
        <v>0</v>
      </c>
      <c r="Q9968" s="20" t="str">
        <f>IFERROR(__xludf.DUMMYFUNCTION("""COMPUTED_VALUE"""),"")</f>
        <v/>
      </c>
      <c r="R9968" s="21" t="str">
        <f>IFERROR(__xludf.DUMMYFUNCTION("""COMPUTED_VALUE"""),"https://drive.google.com/file/d/1DPgCPeRXX13LLZtTsq7UZ7WWabvwfBgI/view?usp=drivesdk")</f>
        <v>https://drive.google.com/file/d/1DPgCPeRXX13LLZtTsq7UZ7WWabvwfBgI/view?usp=drivesdk</v>
      </c>
    </row>
    <row r="9969">
      <c r="A9969" s="17" t="str">
        <f>IFERROR(__xludf.DUMMYFUNCTION("""COMPUTED_VALUE"""),"")</f>
        <v/>
      </c>
      <c r="B9969" s="17" t="str">
        <f>IFERROR(__xludf.DUMMYFUNCTION("""COMPUTED_VALUE"""),"")</f>
        <v/>
      </c>
      <c r="C9969" s="17" t="str">
        <f>IFERROR(__xludf.DUMMYFUNCTION("""COMPUTED_VALUE"""),"")</f>
        <v/>
      </c>
      <c r="D9969" s="17" t="str">
        <f>IFERROR(__xludf.DUMMYFUNCTION("""COMPUTED_VALUE"""),"")</f>
        <v/>
      </c>
      <c r="E9969" s="17" t="str">
        <f>IFERROR(__xludf.DUMMYFUNCTION("""COMPUTED_VALUE"""),"")</f>
        <v/>
      </c>
      <c r="F9969" s="17" t="str">
        <f>IFERROR(__xludf.DUMMYFUNCTION("""COMPUTED_VALUE"""),"")</f>
        <v/>
      </c>
      <c r="G9969" s="17" t="str">
        <f>IFERROR(__xludf.DUMMYFUNCTION("""COMPUTED_VALUE"""),"")</f>
        <v/>
      </c>
      <c r="H9969" s="17" t="str">
        <f>IFERROR(__xludf.DUMMYFUNCTION("""COMPUTED_VALUE"""),"")</f>
        <v/>
      </c>
      <c r="I9969" s="17" t="str">
        <f>IFERROR(__xludf.DUMMYFUNCTION("""COMPUTED_VALUE"""),"")</f>
        <v/>
      </c>
      <c r="J9969" s="17" t="str">
        <f>IFERROR(__xludf.DUMMYFUNCTION("""COMPUTED_VALUE"""),"")</f>
        <v/>
      </c>
      <c r="K9969" s="17" t="str">
        <f>IFERROR(__xludf.DUMMYFUNCTION("""COMPUTED_VALUE"""),"")</f>
        <v/>
      </c>
      <c r="L9969" s="17" t="str">
        <f>IFERROR(__xludf.DUMMYFUNCTION("""COMPUTED_VALUE"""),"")</f>
        <v/>
      </c>
      <c r="M9969" s="17" t="str">
        <f>IFERROR(__xludf.DUMMYFUNCTION("""COMPUTED_VALUE"""),"")</f>
        <v/>
      </c>
      <c r="N9969" s="17" t="str">
        <f>IFERROR(__xludf.DUMMYFUNCTION("""COMPUTED_VALUE"""),"")</f>
        <v/>
      </c>
      <c r="O9969" s="17" t="str">
        <f>IFERROR(__xludf.DUMMYFUNCTION("""COMPUTED_VALUE"""),"")</f>
        <v/>
      </c>
      <c r="P9969" s="17" t="str">
        <f>IFERROR(__xludf.DUMMYFUNCTION("""COMPUTED_VALUE"""),"")</f>
        <v/>
      </c>
      <c r="Q9969" s="17" t="str">
        <f>IFERROR(__xludf.DUMMYFUNCTION("""COMPUTED_VALUE"""),"")</f>
        <v/>
      </c>
      <c r="R9969" s="17" t="str">
        <f>IFERROR(__xludf.DUMMYFUNCTION("""COMPUTED_VALUE"""),"")</f>
        <v/>
      </c>
    </row>
    <row r="9970">
      <c r="A9970" s="15">
        <f>IFERROR(__xludf.DUMMYFUNCTION("""COMPUTED_VALUE"""),45281.0)</f>
        <v>45281</v>
      </c>
      <c r="B9970" s="16" t="str">
        <f>IFERROR(__xludf.DUMMYFUNCTION("""COMPUTED_VALUE"""),"Johanna Arango Barrera")</f>
        <v>Johanna Arango Barrera</v>
      </c>
      <c r="C9970" s="15" t="str">
        <f>IFERROR(__xludf.DUMMYFUNCTION("""COMPUTED_VALUE"""),"BUCARAMANGA")</f>
        <v>BUCARAMANGA</v>
      </c>
      <c r="D9970" s="15" t="str">
        <f>IFERROR(__xludf.DUMMYFUNCTION("""COMPUTED_VALUE"""),"BOGOTÁ")</f>
        <v>BOGOTÁ</v>
      </c>
      <c r="E9970" s="15" t="str">
        <f>IFERROR(__xludf.DUMMYFUNCTION("""COMPUTED_VALUE"""),"LINA PAOLA RAMIREZ GOMEZ - EVA MAZZITA")</f>
        <v>LINA PAOLA RAMIREZ GOMEZ - EVA MAZZITA</v>
      </c>
      <c r="F9970" s="17" t="str">
        <f>IFERROR(__xludf.DUMMYFUNCTION("""COMPUTED_VALUE"""),"Bloque 14 apt 101 Campo hermoso quinta estrella / Bloque 14 apt 101 Campo hermoso quinta estrella")</f>
        <v>Bloque 14 apt 101 Campo hermoso quinta estrella / Bloque 14 apt 101 Campo hermoso quinta estrella</v>
      </c>
      <c r="G9970" s="15" t="str">
        <f>IFERROR(__xludf.DUMMYFUNCTION("""COMPUTED_VALUE"""),"JIMENA OCHOA")</f>
        <v>JIMENA OCHOA</v>
      </c>
      <c r="H9970" s="16">
        <f>IFERROR(__xludf.DUMMYFUNCTION("""COMPUTED_VALUE"""),18668.0)</f>
        <v>18668</v>
      </c>
      <c r="I9970" s="17"/>
      <c r="J9970" s="17"/>
      <c r="K9970" s="17"/>
      <c r="L9970" s="17">
        <f>IFERROR(__xludf.DUMMYFUNCTION("""COMPUTED_VALUE"""),3.00358854E9)</f>
        <v>3003588540</v>
      </c>
      <c r="M9970" s="17"/>
      <c r="N9970" s="17"/>
      <c r="O9970" s="17"/>
      <c r="P9970" s="17" t="b">
        <f>IFERROR(__xludf.DUMMYFUNCTION("""COMPUTED_VALUE"""),FALSE)</f>
        <v>0</v>
      </c>
      <c r="Q9970" s="20" t="str">
        <f>IFERROR(__xludf.DUMMYFUNCTION("""COMPUTED_VALUE"""),"")</f>
        <v/>
      </c>
      <c r="R9970" s="21" t="str">
        <f>IFERROR(__xludf.DUMMYFUNCTION("""COMPUTED_VALUE"""),"https://drive.google.com/file/d/1Ta94GLm5-eBsVa25BpdrQZ6iuDkWrWEH/view?usp=drivesdk")</f>
        <v>https://drive.google.com/file/d/1Ta94GLm5-eBsVa25BpdrQZ6iuDkWrWEH/view?usp=drivesdk</v>
      </c>
    </row>
    <row r="9971">
      <c r="A9971" s="15">
        <f>IFERROR(__xludf.DUMMYFUNCTION("""COMPUTED_VALUE"""),45281.0)</f>
        <v>45281</v>
      </c>
      <c r="B9971" s="16" t="str">
        <f>IFERROR(__xludf.DUMMYFUNCTION("""COMPUTED_VALUE"""),"Johanna Arango Barrera")</f>
        <v>Johanna Arango Barrera</v>
      </c>
      <c r="C9971" s="15" t="str">
        <f>IFERROR(__xludf.DUMMYFUNCTION("""COMPUTED_VALUE"""),"BUCARAMANGA")</f>
        <v>BUCARAMANGA</v>
      </c>
      <c r="D9971" s="15" t="str">
        <f>IFERROR(__xludf.DUMMYFUNCTION("""COMPUTED_VALUE"""),"BOGOTÁ")</f>
        <v>BOGOTÁ</v>
      </c>
      <c r="E9971" s="15" t="str">
        <f>IFERROR(__xludf.DUMMYFUNCTION("""COMPUTED_VALUE"""),"LINA PAOLA RAMIREZ GOMEZ - EVA MAZZITA")</f>
        <v>LINA PAOLA RAMIREZ GOMEZ - EVA MAZZITA</v>
      </c>
      <c r="F9971" s="17" t="str">
        <f>IFERROR(__xludf.DUMMYFUNCTION("""COMPUTED_VALUE"""),"Calle 64a # 17a-50 / BARRIO LA CEIBA")</f>
        <v>Calle 64a # 17a-50 / BARRIO LA CEIBA</v>
      </c>
      <c r="G9971" s="15" t="str">
        <f>IFERROR(__xludf.DUMMYFUNCTION("""COMPUTED_VALUE"""),"MARIA JOSE REYES")</f>
        <v>MARIA JOSE REYES</v>
      </c>
      <c r="H9971" s="16">
        <f>IFERROR(__xludf.DUMMYFUNCTION("""COMPUTED_VALUE"""),18657.0)</f>
        <v>18657</v>
      </c>
      <c r="I9971" s="17"/>
      <c r="J9971" s="17"/>
      <c r="K9971" s="17"/>
      <c r="L9971" s="17">
        <f>IFERROR(__xludf.DUMMYFUNCTION("""COMPUTED_VALUE"""),3.124206903E9)</f>
        <v>3124206903</v>
      </c>
      <c r="M9971" s="17"/>
      <c r="N9971" s="17"/>
      <c r="O9971" s="17"/>
      <c r="P9971" s="17" t="b">
        <f>IFERROR(__xludf.DUMMYFUNCTION("""COMPUTED_VALUE"""),FALSE)</f>
        <v>0</v>
      </c>
      <c r="Q9971" s="20" t="str">
        <f>IFERROR(__xludf.DUMMYFUNCTION("""COMPUTED_VALUE"""),"")</f>
        <v/>
      </c>
      <c r="R9971" s="21" t="str">
        <f>IFERROR(__xludf.DUMMYFUNCTION("""COMPUTED_VALUE"""),"https://drive.google.com/file/d/18hKR3ypIi2Me1uT9ETZxXz1MxbdKIrB0/view?usp=drivesdk")</f>
        <v>https://drive.google.com/file/d/18hKR3ypIi2Me1uT9ETZxXz1MxbdKIrB0/view?usp=drivesdk</v>
      </c>
    </row>
    <row r="9972">
      <c r="A9972" s="15">
        <f>IFERROR(__xludf.DUMMYFUNCTION("""COMPUTED_VALUE"""),45281.0)</f>
        <v>45281</v>
      </c>
      <c r="B9972" s="16" t="str">
        <f>IFERROR(__xludf.DUMMYFUNCTION("""COMPUTED_VALUE"""),"Johanna Arango Barrera")</f>
        <v>Johanna Arango Barrera</v>
      </c>
      <c r="C9972" s="15" t="str">
        <f>IFERROR(__xludf.DUMMYFUNCTION("""COMPUTED_VALUE"""),"BUCARAMANGA")</f>
        <v>BUCARAMANGA</v>
      </c>
      <c r="D9972" s="15" t="str">
        <f>IFERROR(__xludf.DUMMYFUNCTION("""COMPUTED_VALUE"""),"BOGOTÁ")</f>
        <v>BOGOTÁ</v>
      </c>
      <c r="E9972" s="15" t="str">
        <f>IFERROR(__xludf.DUMMYFUNCTION("""COMPUTED_VALUE"""),"LINA PAOLA RAMIREZ GOMEZ - EVA MAZZITA")</f>
        <v>LINA PAOLA RAMIREZ GOMEZ - EVA MAZZITA</v>
      </c>
      <c r="F9972" s="17" t="str">
        <f>IFERROR(__xludf.DUMMYFUNCTION("""COMPUTED_VALUE"""),"Carrera 20 #104-30 torre 1 apto 104 / Carrera 20 #104-30 torre 1 apto 104 .")</f>
        <v>Carrera 20 #104-30 torre 1 apto 104 / Carrera 20 #104-30 torre 1 apto 104 .</v>
      </c>
      <c r="G9972" s="15" t="str">
        <f>IFERROR(__xludf.DUMMYFUNCTION("""COMPUTED_VALUE"""),"LEIDY JOHANNA AFANADOR FORERO")</f>
        <v>LEIDY JOHANNA AFANADOR FORERO</v>
      </c>
      <c r="H9972" s="16">
        <f>IFERROR(__xludf.DUMMYFUNCTION("""COMPUTED_VALUE"""),18655.0)</f>
        <v>18655</v>
      </c>
      <c r="I9972" s="17"/>
      <c r="J9972" s="17"/>
      <c r="K9972" s="17"/>
      <c r="L9972" s="17">
        <f>IFERROR(__xludf.DUMMYFUNCTION("""COMPUTED_VALUE"""),3.043433481E9)</f>
        <v>3043433481</v>
      </c>
      <c r="M9972" s="17"/>
      <c r="N9972" s="17"/>
      <c r="O9972" s="17"/>
      <c r="P9972" s="17" t="b">
        <f>IFERROR(__xludf.DUMMYFUNCTION("""COMPUTED_VALUE"""),FALSE)</f>
        <v>0</v>
      </c>
      <c r="Q9972" s="20" t="str">
        <f>IFERROR(__xludf.DUMMYFUNCTION("""COMPUTED_VALUE"""),"")</f>
        <v/>
      </c>
      <c r="R9972" s="21" t="str">
        <f>IFERROR(__xludf.DUMMYFUNCTION("""COMPUTED_VALUE"""),"https://drive.google.com/file/d/1BAhPpPFoHvH0bKgiXXtKdxGnCDYcHn70/view?usp=drivesdk")</f>
        <v>https://drive.google.com/file/d/1BAhPpPFoHvH0bKgiXXtKdxGnCDYcHn70/view?usp=drivesdk</v>
      </c>
    </row>
    <row r="9973">
      <c r="A9973" s="15">
        <f>IFERROR(__xludf.DUMMYFUNCTION("""COMPUTED_VALUE"""),45281.0)</f>
        <v>45281</v>
      </c>
      <c r="B9973" s="16" t="str">
        <f>IFERROR(__xludf.DUMMYFUNCTION("""COMPUTED_VALUE"""),"Johanna Arango Barrera")</f>
        <v>Johanna Arango Barrera</v>
      </c>
      <c r="C9973" s="15" t="str">
        <f>IFERROR(__xludf.DUMMYFUNCTION("""COMPUTED_VALUE"""),"BUCARAMANGA")</f>
        <v>BUCARAMANGA</v>
      </c>
      <c r="D9973" s="15" t="str">
        <f>IFERROR(__xludf.DUMMYFUNCTION("""COMPUTED_VALUE"""),"BOGOTÁ")</f>
        <v>BOGOTÁ</v>
      </c>
      <c r="E9973" s="15" t="str">
        <f>IFERROR(__xludf.DUMMYFUNCTION("""COMPUTED_VALUE"""),"LINA PAOLA RAMIREZ GOMEZ - EVA MAZZITA")</f>
        <v>LINA PAOLA RAMIREZ GOMEZ - EVA MAZZITA</v>
      </c>
      <c r="F9973" s="17" t="str">
        <f>IFERROR(__xludf.DUMMYFUNCTION("""COMPUTED_VALUE"""),"Condominio mediterrane / conjunto la toscana casa 40  Floridablanca santander")</f>
        <v>Condominio mediterrane / conjunto la toscana casa 40  Floridablanca santander</v>
      </c>
      <c r="G9973" s="15" t="str">
        <f>IFERROR(__xludf.DUMMYFUNCTION("""COMPUTED_VALUE"""),"ANA MARIA BAEZ")</f>
        <v>ANA MARIA BAEZ</v>
      </c>
      <c r="H9973" s="16">
        <f>IFERROR(__xludf.DUMMYFUNCTION("""COMPUTED_VALUE"""),18659.0)</f>
        <v>18659</v>
      </c>
      <c r="I9973" s="17"/>
      <c r="J9973" s="17"/>
      <c r="K9973" s="17"/>
      <c r="L9973" s="17">
        <f>IFERROR(__xludf.DUMMYFUNCTION("""COMPUTED_VALUE"""),3.176769662E9)</f>
        <v>3176769662</v>
      </c>
      <c r="M9973" s="17"/>
      <c r="N9973" s="17"/>
      <c r="O9973" s="17"/>
      <c r="P9973" s="17" t="b">
        <f>IFERROR(__xludf.DUMMYFUNCTION("""COMPUTED_VALUE"""),FALSE)</f>
        <v>0</v>
      </c>
      <c r="Q9973" s="20" t="str">
        <f>IFERROR(__xludf.DUMMYFUNCTION("""COMPUTED_VALUE"""),"")</f>
        <v/>
      </c>
      <c r="R9973" s="21" t="str">
        <f>IFERROR(__xludf.DUMMYFUNCTION("""COMPUTED_VALUE"""),"https://drive.google.com/file/d/1zF6EQkLKrfQNYJpJJV48LY5Emj-Lzf0p/view?usp=drivesdk")</f>
        <v>https://drive.google.com/file/d/1zF6EQkLKrfQNYJpJJV48LY5Emj-Lzf0p/view?usp=drivesdk</v>
      </c>
    </row>
    <row r="9974">
      <c r="A9974" s="15">
        <f>IFERROR(__xludf.DUMMYFUNCTION("""COMPUTED_VALUE"""),45281.0)</f>
        <v>45281</v>
      </c>
      <c r="B9974" s="16" t="str">
        <f>IFERROR(__xludf.DUMMYFUNCTION("""COMPUTED_VALUE"""),"Johanna Arango Barrera")</f>
        <v>Johanna Arango Barrera</v>
      </c>
      <c r="C9974" s="15" t="str">
        <f>IFERROR(__xludf.DUMMYFUNCTION("""COMPUTED_VALUE"""),"BUCARAMANGA")</f>
        <v>BUCARAMANGA</v>
      </c>
      <c r="D9974" s="15" t="str">
        <f>IFERROR(__xludf.DUMMYFUNCTION("""COMPUTED_VALUE"""),"BOGOTÁ")</f>
        <v>BOGOTÁ</v>
      </c>
      <c r="E9974" s="15" t="str">
        <f>IFERROR(__xludf.DUMMYFUNCTION("""COMPUTED_VALUE"""),"LINA PAOLA RAMIREZ GOMEZ - EVA MAZZITA")</f>
        <v>LINA PAOLA RAMIREZ GOMEZ - EVA MAZZITA</v>
      </c>
      <c r="F9974" s="17" t="str">
        <f>IFERROR(__xludf.DUMMYFUNCTION("""COMPUTED_VALUE"""),"Cra 13 #51A-25 / Apto 201 Barrio San Miguel")</f>
        <v>Cra 13 #51A-25 / Apto 201 Barrio San Miguel</v>
      </c>
      <c r="G9974" s="15" t="str">
        <f>IFERROR(__xludf.DUMMYFUNCTION("""COMPUTED_VALUE"""),"LUDY MARCELA ORTIZ COLMENARES")</f>
        <v>LUDY MARCELA ORTIZ COLMENARES</v>
      </c>
      <c r="H9974" s="16">
        <f>IFERROR(__xludf.DUMMYFUNCTION("""COMPUTED_VALUE"""),18662.0)</f>
        <v>18662</v>
      </c>
      <c r="I9974" s="17"/>
      <c r="J9974" s="17"/>
      <c r="K9974" s="17"/>
      <c r="L9974" s="17">
        <f>IFERROR(__xludf.DUMMYFUNCTION("""COMPUTED_VALUE"""),3.105650147E9)</f>
        <v>3105650147</v>
      </c>
      <c r="M9974" s="17"/>
      <c r="N9974" s="17"/>
      <c r="O9974" s="17"/>
      <c r="P9974" s="17" t="b">
        <f>IFERROR(__xludf.DUMMYFUNCTION("""COMPUTED_VALUE"""),FALSE)</f>
        <v>0</v>
      </c>
      <c r="Q9974" s="20" t="str">
        <f>IFERROR(__xludf.DUMMYFUNCTION("""COMPUTED_VALUE"""),"")</f>
        <v/>
      </c>
      <c r="R9974" s="21" t="str">
        <f>IFERROR(__xludf.DUMMYFUNCTION("""COMPUTED_VALUE"""),"https://drive.google.com/file/d/1h2ztcdU9LFyDDsY-47Tw6MeoPR5UTM6_/view?usp=drivesdk")</f>
        <v>https://drive.google.com/file/d/1h2ztcdU9LFyDDsY-47Tw6MeoPR5UTM6_/view?usp=drivesdk</v>
      </c>
    </row>
    <row r="9975">
      <c r="A9975" s="15">
        <f>IFERROR(__xludf.DUMMYFUNCTION("""COMPUTED_VALUE"""),45281.0)</f>
        <v>45281</v>
      </c>
      <c r="B9975" s="16" t="str">
        <f>IFERROR(__xludf.DUMMYFUNCTION("""COMPUTED_VALUE"""),"Johanna Arango Barrera")</f>
        <v>Johanna Arango Barrera</v>
      </c>
      <c r="C9975" s="15" t="str">
        <f>IFERROR(__xludf.DUMMYFUNCTION("""COMPUTED_VALUE"""),"BUCARAMANGA")</f>
        <v>BUCARAMANGA</v>
      </c>
      <c r="D9975" s="15" t="str">
        <f>IFERROR(__xludf.DUMMYFUNCTION("""COMPUTED_VALUE"""),"BOGOTÁ")</f>
        <v>BOGOTÁ</v>
      </c>
      <c r="E9975" s="15" t="str">
        <f>IFERROR(__xludf.DUMMYFUNCTION("""COMPUTED_VALUE"""),"LINA PAOLA RAMIREZ GOMEZ - EVA MAZZITA")</f>
        <v>LINA PAOLA RAMIREZ GOMEZ - EVA MAZZITA</v>
      </c>
      <c r="F9975" s="17" t="str">
        <f>IFERROR(__xludf.DUMMYFUNCTION("""COMPUTED_VALUE"""),"CRA 19 No. 8 - 45 / TORRE 3 APTO 604 COMUNEROS")</f>
        <v>CRA 19 No. 8 - 45 / TORRE 3 APTO 604 COMUNEROS</v>
      </c>
      <c r="G9975" s="15" t="str">
        <f>IFERROR(__xludf.DUMMYFUNCTION("""COMPUTED_VALUE"""),"MAYRA FERNANDA LOZADA MOTTA")</f>
        <v>MAYRA FERNANDA LOZADA MOTTA</v>
      </c>
      <c r="H9975" s="16">
        <f>IFERROR(__xludf.DUMMYFUNCTION("""COMPUTED_VALUE"""),18663.0)</f>
        <v>18663</v>
      </c>
      <c r="I9975" s="17"/>
      <c r="J9975" s="17"/>
      <c r="K9975" s="17"/>
      <c r="L9975" s="17">
        <f>IFERROR(__xludf.DUMMYFUNCTION("""COMPUTED_VALUE"""),3.214080448E9)</f>
        <v>3214080448</v>
      </c>
      <c r="M9975" s="17"/>
      <c r="N9975" s="17"/>
      <c r="O9975" s="17"/>
      <c r="P9975" s="17" t="b">
        <f>IFERROR(__xludf.DUMMYFUNCTION("""COMPUTED_VALUE"""),FALSE)</f>
        <v>0</v>
      </c>
      <c r="Q9975" s="20" t="str">
        <f>IFERROR(__xludf.DUMMYFUNCTION("""COMPUTED_VALUE"""),"")</f>
        <v/>
      </c>
      <c r="R9975" s="21" t="str">
        <f>IFERROR(__xludf.DUMMYFUNCTION("""COMPUTED_VALUE"""),"https://drive.google.com/file/d/1m_J6hvEnNyy_Vmoj1JCIE9ypkHzTc_Cu/view?usp=drivesdk")</f>
        <v>https://drive.google.com/file/d/1m_J6hvEnNyy_Vmoj1JCIE9ypkHzTc_Cu/view?usp=drivesdk</v>
      </c>
    </row>
    <row r="9976">
      <c r="A9976" s="15">
        <f>IFERROR(__xludf.DUMMYFUNCTION("""COMPUTED_VALUE"""),45281.0)</f>
        <v>45281</v>
      </c>
      <c r="B9976" s="16" t="str">
        <f>IFERROR(__xludf.DUMMYFUNCTION("""COMPUTED_VALUE"""),"Johanna Arango Barrera")</f>
        <v>Johanna Arango Barrera</v>
      </c>
      <c r="C9976" s="15" t="str">
        <f>IFERROR(__xludf.DUMMYFUNCTION("""COMPUTED_VALUE"""),"BUCARAMANGA")</f>
        <v>BUCARAMANGA</v>
      </c>
      <c r="D9976" s="15" t="str">
        <f>IFERROR(__xludf.DUMMYFUNCTION("""COMPUTED_VALUE"""),"BOGOTÁ")</f>
        <v>BOGOTÁ</v>
      </c>
      <c r="E9976" s="15" t="str">
        <f>IFERROR(__xludf.DUMMYFUNCTION("""COMPUTED_VALUE"""),"LINA PAOLA RAMIREZ GOMEZ - EVA MAZZITA")</f>
        <v>LINA PAOLA RAMIREZ GOMEZ - EVA MAZZITA</v>
      </c>
      <c r="F9976" s="17" t="str">
        <f>IFERROR(__xludf.DUMMYFUNCTION("""COMPUTED_VALUE"""),"Transversal Oriental # 90-223 / Recibe: Gabriela Jalabe (despues de las 12 pm) Torre 3 Apto 711  Frente al Cacique al lado de la pis")</f>
        <v>Transversal Oriental # 90-223 / Recibe: Gabriela Jalabe (despues de las 12 pm) Torre 3 Apto 711  Frente al Cacique al lado de la pis</v>
      </c>
      <c r="G9976" s="15" t="str">
        <f>IFERROR(__xludf.DUMMYFUNCTION("""COMPUTED_VALUE"""),"ASTRID SERRANO")</f>
        <v>ASTRID SERRANO</v>
      </c>
      <c r="H9976" s="16">
        <f>IFERROR(__xludf.DUMMYFUNCTION("""COMPUTED_VALUE"""),18667.0)</f>
        <v>18667</v>
      </c>
      <c r="I9976" s="17"/>
      <c r="J9976" s="17"/>
      <c r="K9976" s="17"/>
      <c r="L9976" s="17">
        <f>IFERROR(__xludf.DUMMYFUNCTION("""COMPUTED_VALUE"""),3.004420245E9)</f>
        <v>3004420245</v>
      </c>
      <c r="M9976" s="17"/>
      <c r="N9976" s="17"/>
      <c r="O9976" s="17"/>
      <c r="P9976" s="17" t="b">
        <f>IFERROR(__xludf.DUMMYFUNCTION("""COMPUTED_VALUE"""),FALSE)</f>
        <v>0</v>
      </c>
      <c r="Q9976" s="20" t="str">
        <f>IFERROR(__xludf.DUMMYFUNCTION("""COMPUTED_VALUE"""),"")</f>
        <v/>
      </c>
      <c r="R9976" s="21" t="str">
        <f>IFERROR(__xludf.DUMMYFUNCTION("""COMPUTED_VALUE"""),"https://drive.google.com/file/d/1_l-SXv5WT_8fUiMZ89CMLDWoV4IHDpS8/view?usp=drivesdk")</f>
        <v>https://drive.google.com/file/d/1_l-SXv5WT_8fUiMZ89CMLDWoV4IHDpS8/view?usp=drivesdk</v>
      </c>
    </row>
    <row r="9977">
      <c r="A9977" s="15">
        <f>IFERROR(__xludf.DUMMYFUNCTION("""COMPUTED_VALUE"""),45281.0)</f>
        <v>45281</v>
      </c>
      <c r="B9977" s="16" t="str">
        <f>IFERROR(__xludf.DUMMYFUNCTION("""COMPUTED_VALUE"""),"Johanna Arango Barrera")</f>
        <v>Johanna Arango Barrera</v>
      </c>
      <c r="C9977" s="15" t="str">
        <f>IFERROR(__xludf.DUMMYFUNCTION("""COMPUTED_VALUE"""),"BUCARAMANGA")</f>
        <v>BUCARAMANGA</v>
      </c>
      <c r="D9977" s="15" t="str">
        <f>IFERROR(__xludf.DUMMYFUNCTION("""COMPUTED_VALUE"""),"BOGOTÁ")</f>
        <v>BOGOTÁ</v>
      </c>
      <c r="E9977" s="15" t="str">
        <f>IFERROR(__xludf.DUMMYFUNCTION("""COMPUTED_VALUE"""),"PAN DE WAFFLE")</f>
        <v>PAN DE WAFFLE</v>
      </c>
      <c r="F9977" s="17" t="str">
        <f>IFERROR(__xludf.DUMMYFUNCTION("""COMPUTED_VALUE"""),"Carrera 31 # 50 - 27 / Carrera 31 # 50 - 27")</f>
        <v>Carrera 31 # 50 - 27 / Carrera 31 # 50 - 27</v>
      </c>
      <c r="G9977" s="15" t="str">
        <f>IFERROR(__xludf.DUMMYFUNCTION("""COMPUTED_VALUE"""),"FOODOLOGY")</f>
        <v>FOODOLOGY</v>
      </c>
      <c r="H9977" s="16">
        <f>IFERROR(__xludf.DUMMYFUNCTION("""COMPUTED_VALUE"""),18563.0)</f>
        <v>18563</v>
      </c>
      <c r="I9977" s="17"/>
      <c r="J9977" s="17"/>
      <c r="K9977" s="17"/>
      <c r="L9977" s="17"/>
      <c r="M9977" s="17"/>
      <c r="N9977" s="17"/>
      <c r="O9977" s="17"/>
      <c r="P9977" s="17" t="b">
        <f>IFERROR(__xludf.DUMMYFUNCTION("""COMPUTED_VALUE"""),FALSE)</f>
        <v>0</v>
      </c>
      <c r="Q9977" s="20" t="str">
        <f>IFERROR(__xludf.DUMMYFUNCTION("""COMPUTED_VALUE"""),"")</f>
        <v/>
      </c>
      <c r="R9977" s="21" t="str">
        <f>IFERROR(__xludf.DUMMYFUNCTION("""COMPUTED_VALUE"""),"https://drive.google.com/file/d/1LDy6-ajiDh5gV4kb2slB7hnyPEhiT9te/view?usp=drivesdk")</f>
        <v>https://drive.google.com/file/d/1LDy6-ajiDh5gV4kb2slB7hnyPEhiT9te/view?usp=drivesdk</v>
      </c>
    </row>
    <row r="9978">
      <c r="A9978" s="15">
        <f>IFERROR(__xludf.DUMMYFUNCTION("""COMPUTED_VALUE"""),45281.0)</f>
        <v>45281</v>
      </c>
      <c r="B9978" s="16" t="str">
        <f>IFERROR(__xludf.DUMMYFUNCTION("""COMPUTED_VALUE"""),"Johanna Arango Barrera")</f>
        <v>Johanna Arango Barrera</v>
      </c>
      <c r="C9978" s="15" t="str">
        <f>IFERROR(__xludf.DUMMYFUNCTION("""COMPUTED_VALUE"""),"FLORIDABLANCA")</f>
        <v>FLORIDABLANCA</v>
      </c>
      <c r="D9978" s="15" t="str">
        <f>IFERROR(__xludf.DUMMYFUNCTION("""COMPUTED_VALUE"""),"BOGOTÁ")</f>
        <v>BOGOTÁ</v>
      </c>
      <c r="E9978" s="15" t="str">
        <f>IFERROR(__xludf.DUMMYFUNCTION("""COMPUTED_VALUE"""),"LINA PAOLA RAMIREZ GOMEZ - EVA MAZZITA")</f>
        <v>LINA PAOLA RAMIREZ GOMEZ - EVA MAZZITA</v>
      </c>
      <c r="F9978" s="17" t="str">
        <f>IFERROR(__xludf.DUMMYFUNCTION("""COMPUTED_VALUE"""),"Km1 #21-462 / torre 2 apto 2001 Condominio Caminos de Provvidenza, Anillo vial- Floridablanca")</f>
        <v>Km1 #21-462 / torre 2 apto 2001 Condominio Caminos de Provvidenza, Anillo vial- Floridablanca</v>
      </c>
      <c r="G9978" s="15" t="str">
        <f>IFERROR(__xludf.DUMMYFUNCTION("""COMPUTED_VALUE"""),"LILIANA RUIZ SOSA")</f>
        <v>LILIANA RUIZ SOSA</v>
      </c>
      <c r="H9978" s="16">
        <f>IFERROR(__xludf.DUMMYFUNCTION("""COMPUTED_VALUE"""),18664.0)</f>
        <v>18664</v>
      </c>
      <c r="I9978" s="17"/>
      <c r="J9978" s="17"/>
      <c r="K9978" s="17"/>
      <c r="L9978" s="17">
        <f>IFERROR(__xludf.DUMMYFUNCTION("""COMPUTED_VALUE"""),3.165107994E9)</f>
        <v>3165107994</v>
      </c>
      <c r="M9978" s="17"/>
      <c r="N9978" s="17"/>
      <c r="O9978" s="17"/>
      <c r="P9978" s="17" t="b">
        <f>IFERROR(__xludf.DUMMYFUNCTION("""COMPUTED_VALUE"""),FALSE)</f>
        <v>0</v>
      </c>
      <c r="Q9978" s="20" t="str">
        <f>IFERROR(__xludf.DUMMYFUNCTION("""COMPUTED_VALUE"""),"")</f>
        <v/>
      </c>
      <c r="R9978" s="21" t="str">
        <f>IFERROR(__xludf.DUMMYFUNCTION("""COMPUTED_VALUE"""),"https://drive.google.com/file/d/1zVVmKF1graXaMaSx7Hwj3xgeZcJz6VfA/view?usp=drivesdk")</f>
        <v>https://drive.google.com/file/d/1zVVmKF1graXaMaSx7Hwj3xgeZcJz6VfA/view?usp=drivesdk</v>
      </c>
    </row>
    <row r="9979">
      <c r="A9979" s="17" t="str">
        <f>IFERROR(__xludf.DUMMYFUNCTION("""COMPUTED_VALUE"""),"")</f>
        <v/>
      </c>
      <c r="B9979" s="17" t="str">
        <f>IFERROR(__xludf.DUMMYFUNCTION("""COMPUTED_VALUE"""),"")</f>
        <v/>
      </c>
      <c r="C9979" s="17" t="str">
        <f>IFERROR(__xludf.DUMMYFUNCTION("""COMPUTED_VALUE"""),"")</f>
        <v/>
      </c>
      <c r="D9979" s="17" t="str">
        <f>IFERROR(__xludf.DUMMYFUNCTION("""COMPUTED_VALUE"""),"")</f>
        <v/>
      </c>
      <c r="E9979" s="17" t="str">
        <f>IFERROR(__xludf.DUMMYFUNCTION("""COMPUTED_VALUE"""),"")</f>
        <v/>
      </c>
      <c r="F9979" s="17" t="str">
        <f>IFERROR(__xludf.DUMMYFUNCTION("""COMPUTED_VALUE"""),"")</f>
        <v/>
      </c>
      <c r="G9979" s="17" t="str">
        <f>IFERROR(__xludf.DUMMYFUNCTION("""COMPUTED_VALUE"""),"")</f>
        <v/>
      </c>
      <c r="H9979" s="17" t="str">
        <f>IFERROR(__xludf.DUMMYFUNCTION("""COMPUTED_VALUE"""),"")</f>
        <v/>
      </c>
      <c r="I9979" s="17" t="str">
        <f>IFERROR(__xludf.DUMMYFUNCTION("""COMPUTED_VALUE"""),"")</f>
        <v/>
      </c>
      <c r="J9979" s="17" t="str">
        <f>IFERROR(__xludf.DUMMYFUNCTION("""COMPUTED_VALUE"""),"")</f>
        <v/>
      </c>
      <c r="K9979" s="17" t="str">
        <f>IFERROR(__xludf.DUMMYFUNCTION("""COMPUTED_VALUE"""),"")</f>
        <v/>
      </c>
      <c r="L9979" s="17" t="str">
        <f>IFERROR(__xludf.DUMMYFUNCTION("""COMPUTED_VALUE"""),"")</f>
        <v/>
      </c>
      <c r="M9979" s="17" t="str">
        <f>IFERROR(__xludf.DUMMYFUNCTION("""COMPUTED_VALUE"""),"")</f>
        <v/>
      </c>
      <c r="N9979" s="17" t="str">
        <f>IFERROR(__xludf.DUMMYFUNCTION("""COMPUTED_VALUE"""),"")</f>
        <v/>
      </c>
      <c r="O9979" s="17" t="str">
        <f>IFERROR(__xludf.DUMMYFUNCTION("""COMPUTED_VALUE"""),"")</f>
        <v/>
      </c>
      <c r="P9979" s="17" t="str">
        <f>IFERROR(__xludf.DUMMYFUNCTION("""COMPUTED_VALUE"""),"")</f>
        <v/>
      </c>
      <c r="Q9979" s="17" t="str">
        <f>IFERROR(__xludf.DUMMYFUNCTION("""COMPUTED_VALUE"""),"")</f>
        <v/>
      </c>
      <c r="R9979" s="17" t="str">
        <f>IFERROR(__xludf.DUMMYFUNCTION("""COMPUTED_VALUE"""),"")</f>
        <v/>
      </c>
    </row>
    <row r="9980">
      <c r="A9980" s="15">
        <f>IFERROR(__xludf.DUMMYFUNCTION("""COMPUTED_VALUE"""),45281.0)</f>
        <v>45281</v>
      </c>
      <c r="B9980" s="16" t="str">
        <f>IFERROR(__xludf.DUMMYFUNCTION("""COMPUTED_VALUE"""),"JOSE ALFREDO RAMIREZ VERGARA ")</f>
        <v>JOSE ALFREDO RAMIREZ VERGARA </v>
      </c>
      <c r="C9980" s="15" t="str">
        <f>IFERROR(__xludf.DUMMYFUNCTION("""COMPUTED_VALUE"""),"BOGOTÁ")</f>
        <v>BOGOTÁ</v>
      </c>
      <c r="D9980" s="15" t="str">
        <f>IFERROR(__xludf.DUMMYFUNCTION("""COMPUTED_VALUE"""),"CALI")</f>
        <v>CALI</v>
      </c>
      <c r="E9980" s="15" t="str">
        <f>IFERROR(__xludf.DUMMYFUNCTION("""COMPUTED_VALUE"""),"Sabor Típico")</f>
        <v>Sabor Típico</v>
      </c>
      <c r="F9980" s="17" t="str">
        <f>IFERROR(__xludf.DUMMYFUNCTION("""COMPUTED_VALUE"""),"calle 159 #7-74 conjunto septima avenida torre 3 apto 1515 / calle 159 #7-74 conjunto septima avenida torre 3 apto 1515 / calle 159 #7-74 conjunto septima avenida torre 3 apto 1515")</f>
        <v>calle 159 #7-74 conjunto septima avenida torre 3 apto 1515 / calle 159 #7-74 conjunto septima avenida torre 3 apto 1515 / calle 159 #7-74 conjunto septima avenida torre 3 apto 1515</v>
      </c>
      <c r="G9980" s="15" t="str">
        <f>IFERROR(__xludf.DUMMYFUNCTION("""COMPUTED_VALUE"""),"Paola Rocha")</f>
        <v>Paola Rocha</v>
      </c>
      <c r="H9980" s="16">
        <f>IFERROR(__xludf.DUMMYFUNCTION("""COMPUTED_VALUE"""),18631.0)</f>
        <v>18631</v>
      </c>
      <c r="I9980" s="18">
        <f>IFERROR(__xludf.DUMMYFUNCTION("""COMPUTED_VALUE"""),18.0)</f>
        <v>18</v>
      </c>
      <c r="J9980" s="18">
        <f>IFERROR(__xludf.DUMMYFUNCTION("""COMPUTED_VALUE"""),30.0)</f>
        <v>30</v>
      </c>
      <c r="K9980" s="18">
        <f>IFERROR(__xludf.DUMMYFUNCTION("""COMPUTED_VALUE"""),22.0)</f>
        <v>22</v>
      </c>
      <c r="L9980" s="17">
        <f>IFERROR(__xludf.DUMMYFUNCTION("""COMPUTED_VALUE"""),6.1416858134E10)</f>
        <v>61416858134</v>
      </c>
      <c r="M9980" s="17"/>
      <c r="N9980" s="17"/>
      <c r="O9980" s="17"/>
      <c r="P9980" s="17" t="b">
        <f>IFERROR(__xludf.DUMMYFUNCTION("""COMPUTED_VALUE"""),FALSE)</f>
        <v>0</v>
      </c>
      <c r="Q9980" s="20" t="str">
        <f>IFERROR(__xludf.DUMMYFUNCTION("""COMPUTED_VALUE"""),"")</f>
        <v/>
      </c>
      <c r="R9980" s="21" t="str">
        <f>IFERROR(__xludf.DUMMYFUNCTION("""COMPUTED_VALUE"""),"https://drive.google.com/file/d/1Lfqk5a-tmrOHYB2SiQeslfo28oW_kzWX/view?usp=drivesdk")</f>
        <v>https://drive.google.com/file/d/1Lfqk5a-tmrOHYB2SiQeslfo28oW_kzWX/view?usp=drivesdk</v>
      </c>
    </row>
    <row r="9981">
      <c r="A9981" s="15">
        <f>IFERROR(__xludf.DUMMYFUNCTION("""COMPUTED_VALUE"""),45281.0)</f>
        <v>45281</v>
      </c>
      <c r="B9981" s="16" t="str">
        <f>IFERROR(__xludf.DUMMYFUNCTION("""COMPUTED_VALUE"""),"JOSE ALFREDO RAMIREZ VERGARA ")</f>
        <v>JOSE ALFREDO RAMIREZ VERGARA </v>
      </c>
      <c r="C9981" s="15" t="str">
        <f>IFERROR(__xludf.DUMMYFUNCTION("""COMPUTED_VALUE"""),"BOGOTÁ")</f>
        <v>BOGOTÁ</v>
      </c>
      <c r="D9981" s="15" t="str">
        <f>IFERROR(__xludf.DUMMYFUNCTION("""COMPUTED_VALUE"""),"CALI")</f>
        <v>CALI</v>
      </c>
      <c r="E9981" s="15" t="str">
        <f>IFERROR(__xludf.DUMMYFUNCTION("""COMPUTED_VALUE"""),"Sabor Típico")</f>
        <v>Sabor Típico</v>
      </c>
      <c r="F9981" s="17" t="str">
        <f>IFERROR(__xludf.DUMMYFUNCTION("""COMPUTED_VALUE"""),"Cra 5 # 12 - 67 Sur, Santa Ana / Cra 5 # 12 - 67 Sur, Santa Ana / Cra 5 # 12 - 67 Sur, Santa Ana")</f>
        <v>Cra 5 # 12 - 67 Sur, Santa Ana / Cra 5 # 12 - 67 Sur, Santa Ana / Cra 5 # 12 - 67 Sur, Santa Ana</v>
      </c>
      <c r="G9981" s="15" t="str">
        <f>IFERROR(__xludf.DUMMYFUNCTION("""COMPUTED_VALUE"""),"Camilo Florez")</f>
        <v>Camilo Florez</v>
      </c>
      <c r="H9981" s="16">
        <f>IFERROR(__xludf.DUMMYFUNCTION("""COMPUTED_VALUE"""),18632.0)</f>
        <v>18632</v>
      </c>
      <c r="I9981" s="18">
        <f>IFERROR(__xludf.DUMMYFUNCTION("""COMPUTED_VALUE"""),9.0)</f>
        <v>9</v>
      </c>
      <c r="J9981" s="18">
        <f>IFERROR(__xludf.DUMMYFUNCTION("""COMPUTED_VALUE"""),30.0)</f>
        <v>30</v>
      </c>
      <c r="K9981" s="18">
        <f>IFERROR(__xludf.DUMMYFUNCTION("""COMPUTED_VALUE"""),22.0)</f>
        <v>22</v>
      </c>
      <c r="L9981" s="17">
        <f>IFERROR(__xludf.DUMMYFUNCTION("""COMPUTED_VALUE"""),3.016427229E9)</f>
        <v>3016427229</v>
      </c>
      <c r="M9981" s="17"/>
      <c r="N9981" s="17"/>
      <c r="O9981" s="17"/>
      <c r="P9981" s="17" t="b">
        <f>IFERROR(__xludf.DUMMYFUNCTION("""COMPUTED_VALUE"""),FALSE)</f>
        <v>0</v>
      </c>
      <c r="Q9981" s="20" t="str">
        <f>IFERROR(__xludf.DUMMYFUNCTION("""COMPUTED_VALUE"""),"")</f>
        <v/>
      </c>
      <c r="R9981" s="21" t="str">
        <f>IFERROR(__xludf.DUMMYFUNCTION("""COMPUTED_VALUE"""),"https://drive.google.com/file/d/1Onr_TBwTdCN1pI74ICm1J0O3MO8EFRZE/view?usp=drivesdk")</f>
        <v>https://drive.google.com/file/d/1Onr_TBwTdCN1pI74ICm1J0O3MO8EFRZE/view?usp=drivesdk</v>
      </c>
    </row>
    <row r="9982">
      <c r="A9982" s="17" t="str">
        <f>IFERROR(__xludf.DUMMYFUNCTION("""COMPUTED_VALUE"""),"")</f>
        <v/>
      </c>
      <c r="B9982" s="17" t="str">
        <f>IFERROR(__xludf.DUMMYFUNCTION("""COMPUTED_VALUE"""),"")</f>
        <v/>
      </c>
      <c r="C9982" s="17" t="str">
        <f>IFERROR(__xludf.DUMMYFUNCTION("""COMPUTED_VALUE"""),"")</f>
        <v/>
      </c>
      <c r="D9982" s="17" t="str">
        <f>IFERROR(__xludf.DUMMYFUNCTION("""COMPUTED_VALUE"""),"")</f>
        <v/>
      </c>
      <c r="E9982" s="17" t="str">
        <f>IFERROR(__xludf.DUMMYFUNCTION("""COMPUTED_VALUE"""),"")</f>
        <v/>
      </c>
      <c r="F9982" s="17" t="str">
        <f>IFERROR(__xludf.DUMMYFUNCTION("""COMPUTED_VALUE"""),"")</f>
        <v/>
      </c>
      <c r="G9982" s="17" t="str">
        <f>IFERROR(__xludf.DUMMYFUNCTION("""COMPUTED_VALUE"""),"")</f>
        <v/>
      </c>
      <c r="H9982" s="17" t="str">
        <f>IFERROR(__xludf.DUMMYFUNCTION("""COMPUTED_VALUE"""),"")</f>
        <v/>
      </c>
      <c r="I9982" s="17" t="str">
        <f>IFERROR(__xludf.DUMMYFUNCTION("""COMPUTED_VALUE"""),"")</f>
        <v/>
      </c>
      <c r="J9982" s="17" t="str">
        <f>IFERROR(__xludf.DUMMYFUNCTION("""COMPUTED_VALUE"""),"")</f>
        <v/>
      </c>
      <c r="K9982" s="17" t="str">
        <f>IFERROR(__xludf.DUMMYFUNCTION("""COMPUTED_VALUE"""),"")</f>
        <v/>
      </c>
      <c r="L9982" s="17" t="str">
        <f>IFERROR(__xludf.DUMMYFUNCTION("""COMPUTED_VALUE"""),"")</f>
        <v/>
      </c>
      <c r="M9982" s="17" t="str">
        <f>IFERROR(__xludf.DUMMYFUNCTION("""COMPUTED_VALUE"""),"")</f>
        <v/>
      </c>
      <c r="N9982" s="17" t="str">
        <f>IFERROR(__xludf.DUMMYFUNCTION("""COMPUTED_VALUE"""),"")</f>
        <v/>
      </c>
      <c r="O9982" s="17" t="str">
        <f>IFERROR(__xludf.DUMMYFUNCTION("""COMPUTED_VALUE"""),"")</f>
        <v/>
      </c>
      <c r="P9982" s="17" t="str">
        <f>IFERROR(__xludf.DUMMYFUNCTION("""COMPUTED_VALUE"""),"")</f>
        <v/>
      </c>
      <c r="Q9982" s="17" t="str">
        <f>IFERROR(__xludf.DUMMYFUNCTION("""COMPUTED_VALUE"""),"")</f>
        <v/>
      </c>
      <c r="R9982" s="17" t="str">
        <f>IFERROR(__xludf.DUMMYFUNCTION("""COMPUTED_VALUE"""),"")</f>
        <v/>
      </c>
    </row>
    <row r="9983">
      <c r="A9983" s="15">
        <f>IFERROR(__xludf.DUMMYFUNCTION("""COMPUTED_VALUE"""),45282.0)</f>
        <v>45282</v>
      </c>
      <c r="B9983" s="17"/>
      <c r="C9983" s="15" t="str">
        <f>IFERROR(__xludf.DUMMYFUNCTION("""COMPUTED_VALUE"""),"BOGOTÁ")</f>
        <v>BOGOTÁ</v>
      </c>
      <c r="D9983" s="15" t="str">
        <f>IFERROR(__xludf.DUMMYFUNCTION("""COMPUTED_VALUE"""),"ENVIGADO")</f>
        <v>ENVIGADO</v>
      </c>
      <c r="E9983" s="15" t="str">
        <f>IFERROR(__xludf.DUMMYFUNCTION("""COMPUTED_VALUE"""),"RAMBLA")</f>
        <v>RAMBLA</v>
      </c>
      <c r="F9983" s="17" t="str">
        <f>IFERROR(__xludf.DUMMYFUNCTION("""COMPUTED_VALUE"""),"calle 134c # 53b 52 / apto 301 casa gris tercer piso")</f>
        <v>calle 134c # 53b 52 / apto 301 casa gris tercer piso</v>
      </c>
      <c r="G9983" s="15" t="str">
        <f>IFERROR(__xludf.DUMMYFUNCTION("""COMPUTED_VALUE"""),"ANA MARIA RIOS MORENO")</f>
        <v>ANA MARIA RIOS MORENO</v>
      </c>
      <c r="H9983" s="16">
        <f>IFERROR(__xludf.DUMMYFUNCTION("""COMPUTED_VALUE"""),18731.0)</f>
        <v>18731</v>
      </c>
      <c r="I9983" s="17"/>
      <c r="J9983" s="17"/>
      <c r="K9983" s="17"/>
      <c r="L9983" s="17">
        <f>IFERROR(__xludf.DUMMYFUNCTION("""COMPUTED_VALUE"""),3.00661678E9)</f>
        <v>3006616780</v>
      </c>
      <c r="M9983" s="17"/>
      <c r="N9983" s="17"/>
      <c r="O9983" s="17"/>
      <c r="P9983" s="17" t="b">
        <f>IFERROR(__xludf.DUMMYFUNCTION("""COMPUTED_VALUE"""),TRUE)</f>
        <v>1</v>
      </c>
      <c r="Q9983" s="20">
        <f>IFERROR(__xludf.DUMMYFUNCTION("""COMPUTED_VALUE"""),45282.566833055556)</f>
        <v>45282.56683</v>
      </c>
      <c r="R9983" s="22" t="str">
        <f>IFERROR(__xludf.DUMMYFUNCTION("""COMPUTED_VALUE"""),"")</f>
        <v/>
      </c>
    </row>
    <row r="9984">
      <c r="A9984" s="15">
        <f>IFERROR(__xludf.DUMMYFUNCTION("""COMPUTED_VALUE"""),45282.0)</f>
        <v>45282</v>
      </c>
      <c r="B9984" s="17"/>
      <c r="C9984" s="15" t="str">
        <f>IFERROR(__xludf.DUMMYFUNCTION("""COMPUTED_VALUE"""),"BOGOTÁ")</f>
        <v>BOGOTÁ</v>
      </c>
      <c r="D9984" s="15" t="str">
        <f>IFERROR(__xludf.DUMMYFUNCTION("""COMPUTED_VALUE"""),"ENVIGADO")</f>
        <v>ENVIGADO</v>
      </c>
      <c r="E9984" s="15" t="str">
        <f>IFERROR(__xludf.DUMMYFUNCTION("""COMPUTED_VALUE"""),"RAMBLA")</f>
        <v>RAMBLA</v>
      </c>
      <c r="F9984" s="17" t="str">
        <f>IFERROR(__xludf.DUMMYFUNCTION("""COMPUTED_VALUE"""),"Calle 20 sur # 12B 26 / apto 402")</f>
        <v>Calle 20 sur # 12B 26 / apto 402</v>
      </c>
      <c r="G9984" s="15" t="str">
        <f>IFERROR(__xludf.DUMMYFUNCTION("""COMPUTED_VALUE"""),"ELISA JOYA")</f>
        <v>ELISA JOYA</v>
      </c>
      <c r="H9984" s="16">
        <f>IFERROR(__xludf.DUMMYFUNCTION("""COMPUTED_VALUE"""),18730.0)</f>
        <v>18730</v>
      </c>
      <c r="I9984" s="17"/>
      <c r="J9984" s="17"/>
      <c r="K9984" s="17"/>
      <c r="L9984" s="17">
        <f>IFERROR(__xludf.DUMMYFUNCTION("""COMPUTED_VALUE"""),3.115842241E9)</f>
        <v>3115842241</v>
      </c>
      <c r="M9984" s="17"/>
      <c r="N9984" s="17"/>
      <c r="O9984" s="17"/>
      <c r="P9984" s="17" t="b">
        <f>IFERROR(__xludf.DUMMYFUNCTION("""COMPUTED_VALUE"""),TRUE)</f>
        <v>1</v>
      </c>
      <c r="Q9984" s="20">
        <f>IFERROR(__xludf.DUMMYFUNCTION("""COMPUTED_VALUE"""),45286.244319942125)</f>
        <v>45286.24432</v>
      </c>
      <c r="R9984" s="22" t="str">
        <f>IFERROR(__xludf.DUMMYFUNCTION("""COMPUTED_VALUE"""),"")</f>
        <v/>
      </c>
    </row>
    <row r="9985">
      <c r="A9985" s="15">
        <f>IFERROR(__xludf.DUMMYFUNCTION("""COMPUTED_VALUE"""),45282.0)</f>
        <v>45282</v>
      </c>
      <c r="B9985" s="17"/>
      <c r="C9985" s="15" t="str">
        <f>IFERROR(__xludf.DUMMYFUNCTION("""COMPUTED_VALUE"""),"BOGOTÁ")</f>
        <v>BOGOTÁ</v>
      </c>
      <c r="D9985" s="15" t="str">
        <f>IFERROR(__xludf.DUMMYFUNCTION("""COMPUTED_VALUE"""),"ENVIGADO")</f>
        <v>ENVIGADO</v>
      </c>
      <c r="E9985" s="15" t="str">
        <f>IFERROR(__xludf.DUMMYFUNCTION("""COMPUTED_VALUE"""),"RAMBLA")</f>
        <v>RAMBLA</v>
      </c>
      <c r="F9985" s="17" t="str">
        <f>IFERROR(__xludf.DUMMYFUNCTION("""COMPUTED_VALUE"""),"Carrera 74#138-69 / torre 5 apto 1401")</f>
        <v>Carrera 74#138-69 / torre 5 apto 1401</v>
      </c>
      <c r="G9985" s="15" t="str">
        <f>IFERROR(__xludf.DUMMYFUNCTION("""COMPUTED_VALUE"""),"GLORIA GOMEZ")</f>
        <v>GLORIA GOMEZ</v>
      </c>
      <c r="H9985" s="16">
        <f>IFERROR(__xludf.DUMMYFUNCTION("""COMPUTED_VALUE"""),18732.0)</f>
        <v>18732</v>
      </c>
      <c r="I9985" s="17"/>
      <c r="J9985" s="17"/>
      <c r="K9985" s="17"/>
      <c r="L9985" s="17">
        <f>IFERROR(__xludf.DUMMYFUNCTION("""COMPUTED_VALUE"""),3.157801803E9)</f>
        <v>3157801803</v>
      </c>
      <c r="M9985" s="17"/>
      <c r="N9985" s="17"/>
      <c r="O9985" s="17"/>
      <c r="P9985" s="17" t="b">
        <f>IFERROR(__xludf.DUMMYFUNCTION("""COMPUTED_VALUE"""),TRUE)</f>
        <v>1</v>
      </c>
      <c r="Q9985" s="20">
        <f>IFERROR(__xludf.DUMMYFUNCTION("""COMPUTED_VALUE"""),45282.56724549769)</f>
        <v>45282.56725</v>
      </c>
      <c r="R9985" s="22" t="str">
        <f>IFERROR(__xludf.DUMMYFUNCTION("""COMPUTED_VALUE"""),"")</f>
        <v/>
      </c>
    </row>
    <row r="9986">
      <c r="A9986" s="15">
        <f>IFERROR(__xludf.DUMMYFUNCTION("""COMPUTED_VALUE"""),45282.0)</f>
        <v>45282</v>
      </c>
      <c r="B9986" s="17"/>
      <c r="C9986" s="15" t="str">
        <f>IFERROR(__xludf.DUMMYFUNCTION("""COMPUTED_VALUE"""),"BOGOTÁ")</f>
        <v>BOGOTÁ</v>
      </c>
      <c r="D9986" s="15" t="str">
        <f>IFERROR(__xludf.DUMMYFUNCTION("""COMPUTED_VALUE"""),"ENVIGADO")</f>
        <v>ENVIGADO</v>
      </c>
      <c r="E9986" s="15" t="str">
        <f>IFERROR(__xludf.DUMMYFUNCTION("""COMPUTED_VALUE"""),"RAMBLA")</f>
        <v>RAMBLA</v>
      </c>
      <c r="F9986" s="17" t="str">
        <f>IFERROR(__xludf.DUMMYFUNCTION("""COMPUTED_VALUE"""),"Cra. 69D #1-51 sur / Torre 4 apto. 1130")</f>
        <v>Cra. 69D #1-51 sur / Torre 4 apto. 1130</v>
      </c>
      <c r="G9986" s="15" t="str">
        <f>IFERROR(__xludf.DUMMYFUNCTION("""COMPUTED_VALUE"""),"DIANA MARIA VEGA")</f>
        <v>DIANA MARIA VEGA</v>
      </c>
      <c r="H9986" s="16">
        <f>IFERROR(__xludf.DUMMYFUNCTION("""COMPUTED_VALUE"""),18729.0)</f>
        <v>18729</v>
      </c>
      <c r="I9986" s="17"/>
      <c r="J9986" s="17"/>
      <c r="K9986" s="17"/>
      <c r="L9986" s="17"/>
      <c r="M9986" s="17"/>
      <c r="N9986" s="17"/>
      <c r="O9986" s="17"/>
      <c r="P9986" s="17" t="b">
        <f>IFERROR(__xludf.DUMMYFUNCTION("""COMPUTED_VALUE"""),TRUE)</f>
        <v>1</v>
      </c>
      <c r="Q9986" s="20">
        <f>IFERROR(__xludf.DUMMYFUNCTION("""COMPUTED_VALUE"""),45282.60495142361)</f>
        <v>45282.60495</v>
      </c>
      <c r="R9986" s="22" t="str">
        <f>IFERROR(__xludf.DUMMYFUNCTION("""COMPUTED_VALUE"""),"")</f>
        <v/>
      </c>
    </row>
    <row r="9987">
      <c r="A9987" s="15">
        <f>IFERROR(__xludf.DUMMYFUNCTION("""COMPUTED_VALUE"""),45282.0)</f>
        <v>45282</v>
      </c>
      <c r="B9987" s="17"/>
      <c r="C9987" s="15" t="str">
        <f>IFERROR(__xludf.DUMMYFUNCTION("""COMPUTED_VALUE"""),"BOGOTÁ")</f>
        <v>BOGOTÁ</v>
      </c>
      <c r="D9987" s="15" t="str">
        <f>IFERROR(__xludf.DUMMYFUNCTION("""COMPUTED_VALUE"""),"MEDELLÍN")</f>
        <v>MEDELLÍN</v>
      </c>
      <c r="E9987" s="15" t="str">
        <f>IFERROR(__xludf.DUMMYFUNCTION("""COMPUTED_VALUE"""),"Baby Chef")</f>
        <v>Baby Chef</v>
      </c>
      <c r="F9987" s="17" t="str">
        <f>IFERROR(__xludf.DUMMYFUNCTION("""COMPUTED_VALUE"""),"carrera 104b bis 23b 56 fontibon la giralda  / . / .")</f>
        <v>carrera 104b bis 23b 56 fontibon la giralda  / . / .</v>
      </c>
      <c r="G9987" s="15" t="str">
        <f>IFERROR(__xludf.DUMMYFUNCTION("""COMPUTED_VALUE"""),"Paola Elles")</f>
        <v>Paola Elles</v>
      </c>
      <c r="H9987" s="16">
        <f>IFERROR(__xludf.DUMMYFUNCTION("""COMPUTED_VALUE"""),18722.0)</f>
        <v>18722</v>
      </c>
      <c r="I9987" s="18">
        <f>IFERROR(__xludf.DUMMYFUNCTION("""COMPUTED_VALUE"""),13.0)</f>
        <v>13</v>
      </c>
      <c r="J9987" s="18">
        <f>IFERROR(__xludf.DUMMYFUNCTION("""COMPUTED_VALUE"""),22.0)</f>
        <v>22</v>
      </c>
      <c r="K9987" s="18">
        <f>IFERROR(__xludf.DUMMYFUNCTION("""COMPUTED_VALUE"""),42.0)</f>
        <v>42</v>
      </c>
      <c r="L9987" s="17">
        <f>IFERROR(__xludf.DUMMYFUNCTION("""COMPUTED_VALUE"""),3.115531515E9)</f>
        <v>3115531515</v>
      </c>
      <c r="M9987" s="17"/>
      <c r="N9987" s="17"/>
      <c r="O9987" s="17"/>
      <c r="P9987" s="17" t="b">
        <f>IFERROR(__xludf.DUMMYFUNCTION("""COMPUTED_VALUE"""),TRUE)</f>
        <v>1</v>
      </c>
      <c r="Q9987" s="20">
        <f>IFERROR(__xludf.DUMMYFUNCTION("""COMPUTED_VALUE"""),45286.244319942125)</f>
        <v>45286.24432</v>
      </c>
      <c r="R9987" s="22" t="str">
        <f>IFERROR(__xludf.DUMMYFUNCTION("""COMPUTED_VALUE"""),"")</f>
        <v/>
      </c>
    </row>
    <row r="9988">
      <c r="A9988" s="15">
        <f>IFERROR(__xludf.DUMMYFUNCTION("""COMPUTED_VALUE"""),45282.0)</f>
        <v>45282</v>
      </c>
      <c r="B9988" s="17"/>
      <c r="C9988" s="15" t="str">
        <f>IFERROR(__xludf.DUMMYFUNCTION("""COMPUTED_VALUE"""),"BOGOTÁ")</f>
        <v>BOGOTÁ</v>
      </c>
      <c r="D9988" s="15" t="str">
        <f>IFERROR(__xludf.DUMMYFUNCTION("""COMPUTED_VALUE"""),"MEDELLÍN")</f>
        <v>MEDELLÍN</v>
      </c>
      <c r="E9988" s="15" t="str">
        <f>IFERROR(__xludf.DUMMYFUNCTION("""COMPUTED_VALUE"""),"Moloso S.A.S")</f>
        <v>Moloso S.A.S</v>
      </c>
      <c r="F9988" s="17" t="str">
        <f>IFERROR(__xludf.DUMMYFUNCTION("""COMPUTED_VALUE"""),"CR 18C 112 76 / AP 402")</f>
        <v>CR 18C 112 76 / AP 402</v>
      </c>
      <c r="G9988" s="15" t="str">
        <f>IFERROR(__xludf.DUMMYFUNCTION("""COMPUTED_VALUE"""),"MARIA OCHOA MARTELO")</f>
        <v>MARIA OCHOA MARTELO</v>
      </c>
      <c r="H9988" s="16">
        <f>IFERROR(__xludf.DUMMYFUNCTION("""COMPUTED_VALUE"""),18739.0)</f>
        <v>18739</v>
      </c>
      <c r="I9988" s="17"/>
      <c r="J9988" s="17"/>
      <c r="K9988" s="17"/>
      <c r="L9988" s="17"/>
      <c r="M9988" s="17"/>
      <c r="N9988" s="17"/>
      <c r="O9988" s="17"/>
      <c r="P9988" s="17" t="b">
        <f>IFERROR(__xludf.DUMMYFUNCTION("""COMPUTED_VALUE"""),TRUE)</f>
        <v>1</v>
      </c>
      <c r="Q9988" s="20">
        <f>IFERROR(__xludf.DUMMYFUNCTION("""COMPUTED_VALUE"""),45282.53779987268)</f>
        <v>45282.5378</v>
      </c>
      <c r="R9988" s="22" t="str">
        <f>IFERROR(__xludf.DUMMYFUNCTION("""COMPUTED_VALUE"""),"")</f>
        <v/>
      </c>
    </row>
    <row r="9989">
      <c r="A9989" s="15">
        <f>IFERROR(__xludf.DUMMYFUNCTION("""COMPUTED_VALUE"""),45282.0)</f>
        <v>45282</v>
      </c>
      <c r="B9989" s="17"/>
      <c r="C9989" s="15" t="str">
        <f>IFERROR(__xludf.DUMMYFUNCTION("""COMPUTED_VALUE"""),"BOGOTÁ")</f>
        <v>BOGOTÁ</v>
      </c>
      <c r="D9989" s="15" t="str">
        <f>IFERROR(__xludf.DUMMYFUNCTION("""COMPUTED_VALUE"""),"MEDELLÍN")</f>
        <v>MEDELLÍN</v>
      </c>
      <c r="E9989" s="15" t="str">
        <f>IFERROR(__xludf.DUMMYFUNCTION("""COMPUTED_VALUE"""),"Salón Ahumado")</f>
        <v>Salón Ahumado</v>
      </c>
      <c r="F9989" s="17" t="str">
        <f>IFERROR(__xludf.DUMMYFUNCTION("""COMPUTED_VALUE"""),"Calle 90 #12-44 / Edificio Square 90, piso 6 / Bogotá")</f>
        <v>Calle 90 #12-44 / Edificio Square 90, piso 6 / Bogotá</v>
      </c>
      <c r="G9989" s="15" t="str">
        <f>IFERROR(__xludf.DUMMYFUNCTION("""COMPUTED_VALUE"""),"Ricardo Rincon")</f>
        <v>Ricardo Rincon</v>
      </c>
      <c r="H9989" s="16">
        <f>IFERROR(__xludf.DUMMYFUNCTION("""COMPUTED_VALUE"""),18736.0)</f>
        <v>18736</v>
      </c>
      <c r="I9989" s="18">
        <f>IFERROR(__xludf.DUMMYFUNCTION("""COMPUTED_VALUE"""),15.0)</f>
        <v>15</v>
      </c>
      <c r="J9989" s="18">
        <f>IFERROR(__xludf.DUMMYFUNCTION("""COMPUTED_VALUE"""),28.0)</f>
        <v>28</v>
      </c>
      <c r="K9989" s="18">
        <f>IFERROR(__xludf.DUMMYFUNCTION("""COMPUTED_VALUE"""),47.0)</f>
        <v>47</v>
      </c>
      <c r="L9989" s="17">
        <f>IFERROR(__xludf.DUMMYFUNCTION("""COMPUTED_VALUE"""),3.1325141E9)</f>
        <v>3132514100</v>
      </c>
      <c r="M9989" s="17"/>
      <c r="N9989" s="17"/>
      <c r="O9989" s="17"/>
      <c r="P9989" s="17" t="b">
        <f>IFERROR(__xludf.DUMMYFUNCTION("""COMPUTED_VALUE"""),TRUE)</f>
        <v>1</v>
      </c>
      <c r="Q9989" s="20">
        <f>IFERROR(__xludf.DUMMYFUNCTION("""COMPUTED_VALUE"""),45282.53137409722)</f>
        <v>45282.53137</v>
      </c>
      <c r="R9989" s="22" t="str">
        <f>IFERROR(__xludf.DUMMYFUNCTION("""COMPUTED_VALUE"""),"")</f>
        <v/>
      </c>
    </row>
    <row r="9990">
      <c r="A9990" s="15">
        <f>IFERROR(__xludf.DUMMYFUNCTION("""COMPUTED_VALUE"""),45282.0)</f>
        <v>45282</v>
      </c>
      <c r="B9990" s="17"/>
      <c r="C9990" s="15" t="str">
        <f>IFERROR(__xludf.DUMMYFUNCTION("""COMPUTED_VALUE"""),"BOGOTÁ")</f>
        <v>BOGOTÁ</v>
      </c>
      <c r="D9990" s="15" t="str">
        <f>IFERROR(__xludf.DUMMYFUNCTION("""COMPUTED_VALUE"""),"MEDELLÍN")</f>
        <v>MEDELLÍN</v>
      </c>
      <c r="E9990" s="15" t="str">
        <f>IFERROR(__xludf.DUMMYFUNCTION("""COMPUTED_VALUE"""),"TOLEDALES S.A.S")</f>
        <v>TOLEDALES S.A.S</v>
      </c>
      <c r="F9990" s="17" t="str">
        <f>IFERROR(__xludf.DUMMYFUNCTION("""COMPUTED_VALUE"""),"Calle 86 #7 - 59 apto 301 / .")</f>
        <v>Calle 86 #7 - 59 apto 301 / .</v>
      </c>
      <c r="G9990" s="15" t="str">
        <f>IFERROR(__xludf.DUMMYFUNCTION("""COMPUTED_VALUE"""),"lissy de ulloa")</f>
        <v>lissy de ulloa</v>
      </c>
      <c r="H9990" s="16">
        <f>IFERROR(__xludf.DUMMYFUNCTION("""COMPUTED_VALUE"""),18675.0)</f>
        <v>18675</v>
      </c>
      <c r="I9990" s="17"/>
      <c r="J9990" s="17"/>
      <c r="K9990" s="17"/>
      <c r="L9990" s="17">
        <f>IFERROR(__xludf.DUMMYFUNCTION("""COMPUTED_VALUE"""),3.103898052E9)</f>
        <v>3103898052</v>
      </c>
      <c r="M9990" s="17"/>
      <c r="N9990" s="17"/>
      <c r="O9990" s="17"/>
      <c r="P9990" s="17" t="b">
        <f>IFERROR(__xludf.DUMMYFUNCTION("""COMPUTED_VALUE"""),TRUE)</f>
        <v>1</v>
      </c>
      <c r="Q9990" s="20">
        <f>IFERROR(__xludf.DUMMYFUNCTION("""COMPUTED_VALUE"""),45282.53032760417)</f>
        <v>45282.53033</v>
      </c>
      <c r="R9990" s="22" t="str">
        <f>IFERROR(__xludf.DUMMYFUNCTION("""COMPUTED_VALUE"""),"")</f>
        <v/>
      </c>
    </row>
    <row r="9991">
      <c r="A9991" s="15">
        <f>IFERROR(__xludf.DUMMYFUNCTION("""COMPUTED_VALUE"""),45282.0)</f>
        <v>45282</v>
      </c>
      <c r="B9991" s="17"/>
      <c r="C9991" s="15" t="str">
        <f>IFERROR(__xludf.DUMMYFUNCTION("""COMPUTED_VALUE"""),"BOGOTÁ")</f>
        <v>BOGOTÁ</v>
      </c>
      <c r="D9991" s="15" t="str">
        <f>IFERROR(__xludf.DUMMYFUNCTION("""COMPUTED_VALUE"""),"MEDELLÍN")</f>
        <v>MEDELLÍN</v>
      </c>
      <c r="E9991" s="15" t="str">
        <f>IFERROR(__xludf.DUMMYFUNCTION("""COMPUTED_VALUE"""),"TOLEDALES S.A.S")</f>
        <v>TOLEDALES S.A.S</v>
      </c>
      <c r="F9991" s="17" t="str">
        <f>IFERROR(__xludf.DUMMYFUNCTION("""COMPUTED_VALUE"""),"Calle 90 19a 46 of 601 / .")</f>
        <v>Calle 90 19a 46 of 601 / .</v>
      </c>
      <c r="G9991" s="15" t="str">
        <f>IFERROR(__xludf.DUMMYFUNCTION("""COMPUTED_VALUE"""),"Mauricio Ortega y familia")</f>
        <v>Mauricio Ortega y familia</v>
      </c>
      <c r="H9991" s="16">
        <f>IFERROR(__xludf.DUMMYFUNCTION("""COMPUTED_VALUE"""),18674.0)</f>
        <v>18674</v>
      </c>
      <c r="I9991" s="17"/>
      <c r="J9991" s="17"/>
      <c r="K9991" s="17"/>
      <c r="L9991" s="17">
        <f>IFERROR(__xludf.DUMMYFUNCTION("""COMPUTED_VALUE"""),3.103898052E9)</f>
        <v>3103898052</v>
      </c>
      <c r="M9991" s="17"/>
      <c r="N9991" s="17"/>
      <c r="O9991" s="17"/>
      <c r="P9991" s="17" t="b">
        <f>IFERROR(__xludf.DUMMYFUNCTION("""COMPUTED_VALUE"""),TRUE)</f>
        <v>1</v>
      </c>
      <c r="Q9991" s="20">
        <f>IFERROR(__xludf.DUMMYFUNCTION("""COMPUTED_VALUE"""),45282.53102846065)</f>
        <v>45282.53103</v>
      </c>
      <c r="R9991" s="22" t="str">
        <f>IFERROR(__xludf.DUMMYFUNCTION("""COMPUTED_VALUE"""),"")</f>
        <v/>
      </c>
    </row>
    <row r="9992">
      <c r="A9992" s="15">
        <f>IFERROR(__xludf.DUMMYFUNCTION("""COMPUTED_VALUE"""),45282.0)</f>
        <v>45282</v>
      </c>
      <c r="B9992" s="17"/>
      <c r="C9992" s="15" t="str">
        <f>IFERROR(__xludf.DUMMYFUNCTION("""COMPUTED_VALUE"""),"BOGOTÁ")</f>
        <v>BOGOTÁ</v>
      </c>
      <c r="D9992" s="15" t="str">
        <f>IFERROR(__xludf.DUMMYFUNCTION("""COMPUTED_VALUE"""),"MEDELLÍN")</f>
        <v>MEDELLÍN</v>
      </c>
      <c r="E9992" s="15" t="str">
        <f>IFERROR(__xludf.DUMMYFUNCTION("""COMPUTED_VALUE"""),"TOLEDALES S.A.S")</f>
        <v>TOLEDALES S.A.S</v>
      </c>
      <c r="F9992" s="17" t="str">
        <f>IFERROR(__xludf.DUMMYFUNCTION("""COMPUTED_VALUE"""),"Transversal 3 # 83-80 / .")</f>
        <v>Transversal 3 # 83-80 / .</v>
      </c>
      <c r="G9992" s="15" t="str">
        <f>IFERROR(__xludf.DUMMYFUNCTION("""COMPUTED_VALUE"""),"Adriana Mejía y Roberto Junguito")</f>
        <v>Adriana Mejía y Roberto Junguito</v>
      </c>
      <c r="H9992" s="16">
        <f>IFERROR(__xludf.DUMMYFUNCTION("""COMPUTED_VALUE"""),18676.0)</f>
        <v>18676</v>
      </c>
      <c r="I9992" s="17"/>
      <c r="J9992" s="17"/>
      <c r="K9992" s="17"/>
      <c r="L9992" s="17">
        <f>IFERROR(__xludf.DUMMYFUNCTION("""COMPUTED_VALUE"""),3.103898052E9)</f>
        <v>3103898052</v>
      </c>
      <c r="M9992" s="17"/>
      <c r="N9992" s="17"/>
      <c r="O9992" s="17"/>
      <c r="P9992" s="17" t="b">
        <f>IFERROR(__xludf.DUMMYFUNCTION("""COMPUTED_VALUE"""),TRUE)</f>
        <v>1</v>
      </c>
      <c r="Q9992" s="20">
        <f>IFERROR(__xludf.DUMMYFUNCTION("""COMPUTED_VALUE"""),45282.52993927083)</f>
        <v>45282.52994</v>
      </c>
      <c r="R9992" s="22" t="str">
        <f>IFERROR(__xludf.DUMMYFUNCTION("""COMPUTED_VALUE"""),"")</f>
        <v/>
      </c>
    </row>
    <row r="9993">
      <c r="A9993" s="15">
        <f>IFERROR(__xludf.DUMMYFUNCTION("""COMPUTED_VALUE"""),45282.0)</f>
        <v>45282</v>
      </c>
      <c r="B9993" s="17"/>
      <c r="C9993" s="15" t="str">
        <f>IFERROR(__xludf.DUMMYFUNCTION("""COMPUTED_VALUE"""),"BOGOTÁ")</f>
        <v>BOGOTÁ</v>
      </c>
      <c r="D9993" s="15" t="str">
        <f>IFERROR(__xludf.DUMMYFUNCTION("""COMPUTED_VALUE"""),"MEDELLÍN")</f>
        <v>MEDELLÍN</v>
      </c>
      <c r="E9993" s="15" t="str">
        <f>IFERROR(__xludf.DUMMYFUNCTION("""COMPUTED_VALUE"""),"TOLEDALES S.A.S")</f>
        <v>TOLEDALES S.A.S</v>
      </c>
      <c r="F9993" s="17" t="str">
        <f>IFERROR(__xludf.DUMMYFUNCTION("""COMPUTED_VALUE"""),"Transversal 3 # 83-80 / .")</f>
        <v>Transversal 3 # 83-80 / .</v>
      </c>
      <c r="G9993" s="15" t="str">
        <f>IFERROR(__xludf.DUMMYFUNCTION("""COMPUTED_VALUE"""),"Adriana Mejía y Roberto Junguito")</f>
        <v>Adriana Mejía y Roberto Junguito</v>
      </c>
      <c r="H9993" s="16">
        <f>IFERROR(__xludf.DUMMYFUNCTION("""COMPUTED_VALUE"""),18728.0)</f>
        <v>18728</v>
      </c>
      <c r="I9993" s="17"/>
      <c r="J9993" s="17"/>
      <c r="K9993" s="17"/>
      <c r="L9993" s="17">
        <f>IFERROR(__xludf.DUMMYFUNCTION("""COMPUTED_VALUE"""),3.103898052E9)</f>
        <v>3103898052</v>
      </c>
      <c r="M9993" s="17"/>
      <c r="N9993" s="17"/>
      <c r="O9993" s="17"/>
      <c r="P9993" s="17" t="b">
        <f>IFERROR(__xludf.DUMMYFUNCTION("""COMPUTED_VALUE"""),TRUE)</f>
        <v>1</v>
      </c>
      <c r="Q9993" s="20">
        <f>IFERROR(__xludf.DUMMYFUNCTION("""COMPUTED_VALUE"""),45286.244319942125)</f>
        <v>45286.24432</v>
      </c>
      <c r="R9993" s="22" t="str">
        <f>IFERROR(__xludf.DUMMYFUNCTION("""COMPUTED_VALUE"""),"")</f>
        <v/>
      </c>
    </row>
    <row r="9994">
      <c r="A9994" s="15">
        <f>IFERROR(__xludf.DUMMYFUNCTION("""COMPUTED_VALUE"""),45282.0)</f>
        <v>45282</v>
      </c>
      <c r="B9994" s="17"/>
      <c r="C9994" s="15" t="str">
        <f>IFERROR(__xludf.DUMMYFUNCTION("""COMPUTED_VALUE"""),"FLORIDABLANCA")</f>
        <v>FLORIDABLANCA</v>
      </c>
      <c r="D9994" s="15" t="str">
        <f>IFERROR(__xludf.DUMMYFUNCTION("""COMPUTED_VALUE"""),"BOGOTÁ")</f>
        <v>BOGOTÁ</v>
      </c>
      <c r="E9994" s="15" t="str">
        <f>IFERROR(__xludf.DUMMYFUNCTION("""COMPUTED_VALUE"""),"Instinto alimento vital")</f>
        <v>Instinto alimento vital</v>
      </c>
      <c r="F9994" s="17" t="str">
        <f>IFERROR(__xludf.DUMMYFUNCTION("""COMPUTED_VALUE"""),"CRA 21 # 35-264 / CASA 47 QUINTAS CAMPESTRES")</f>
        <v>CRA 21 # 35-264 / CASA 47 QUINTAS CAMPESTRES</v>
      </c>
      <c r="G9994" s="15" t="str">
        <f>IFERROR(__xludf.DUMMYFUNCTION("""COMPUTED_VALUE"""),"KAROL JAMES LEMUS")</f>
        <v>KAROL JAMES LEMUS</v>
      </c>
      <c r="H9994" s="16">
        <f>IFERROR(__xludf.DUMMYFUNCTION("""COMPUTED_VALUE"""),18734.0)</f>
        <v>18734</v>
      </c>
      <c r="I9994" s="17"/>
      <c r="J9994" s="17"/>
      <c r="K9994" s="17"/>
      <c r="L9994" s="17">
        <f>IFERROR(__xludf.DUMMYFUNCTION("""COMPUTED_VALUE"""),3.11228878E9)</f>
        <v>3112288780</v>
      </c>
      <c r="M9994" s="17"/>
      <c r="N9994" s="17"/>
      <c r="O9994" s="17"/>
      <c r="P9994" s="17" t="b">
        <f>IFERROR(__xludf.DUMMYFUNCTION("""COMPUTED_VALUE"""),FALSE)</f>
        <v>0</v>
      </c>
      <c r="Q9994" s="20" t="str">
        <f>IFERROR(__xludf.DUMMYFUNCTION("""COMPUTED_VALUE"""),"")</f>
        <v/>
      </c>
      <c r="R9994" s="22" t="str">
        <f>IFERROR(__xludf.DUMMYFUNCTION("""COMPUTED_VALUE"""),"")</f>
        <v/>
      </c>
    </row>
    <row r="9995">
      <c r="A9995" s="17" t="str">
        <f>IFERROR(__xludf.DUMMYFUNCTION("""COMPUTED_VALUE"""),"")</f>
        <v/>
      </c>
      <c r="B9995" s="17" t="str">
        <f>IFERROR(__xludf.DUMMYFUNCTION("""COMPUTED_VALUE"""),"")</f>
        <v/>
      </c>
      <c r="C9995" s="17" t="str">
        <f>IFERROR(__xludf.DUMMYFUNCTION("""COMPUTED_VALUE"""),"")</f>
        <v/>
      </c>
      <c r="D9995" s="17" t="str">
        <f>IFERROR(__xludf.DUMMYFUNCTION("""COMPUTED_VALUE"""),"")</f>
        <v/>
      </c>
      <c r="E9995" s="17" t="str">
        <f>IFERROR(__xludf.DUMMYFUNCTION("""COMPUTED_VALUE"""),"")</f>
        <v/>
      </c>
      <c r="F9995" s="17" t="str">
        <f>IFERROR(__xludf.DUMMYFUNCTION("""COMPUTED_VALUE"""),"")</f>
        <v/>
      </c>
      <c r="G9995" s="17" t="str">
        <f>IFERROR(__xludf.DUMMYFUNCTION("""COMPUTED_VALUE"""),"")</f>
        <v/>
      </c>
      <c r="H9995" s="17" t="str">
        <f>IFERROR(__xludf.DUMMYFUNCTION("""COMPUTED_VALUE"""),"")</f>
        <v/>
      </c>
      <c r="I9995" s="17" t="str">
        <f>IFERROR(__xludf.DUMMYFUNCTION("""COMPUTED_VALUE"""),"")</f>
        <v/>
      </c>
      <c r="J9995" s="17" t="str">
        <f>IFERROR(__xludf.DUMMYFUNCTION("""COMPUTED_VALUE"""),"")</f>
        <v/>
      </c>
      <c r="K9995" s="17" t="str">
        <f>IFERROR(__xludf.DUMMYFUNCTION("""COMPUTED_VALUE"""),"")</f>
        <v/>
      </c>
      <c r="L9995" s="17" t="str">
        <f>IFERROR(__xludf.DUMMYFUNCTION("""COMPUTED_VALUE"""),"")</f>
        <v/>
      </c>
      <c r="M9995" s="17" t="str">
        <f>IFERROR(__xludf.DUMMYFUNCTION("""COMPUTED_VALUE"""),"")</f>
        <v/>
      </c>
      <c r="N9995" s="17" t="str">
        <f>IFERROR(__xludf.DUMMYFUNCTION("""COMPUTED_VALUE"""),"")</f>
        <v/>
      </c>
      <c r="O9995" s="17" t="str">
        <f>IFERROR(__xludf.DUMMYFUNCTION("""COMPUTED_VALUE"""),"")</f>
        <v/>
      </c>
      <c r="P9995" s="17" t="str">
        <f>IFERROR(__xludf.DUMMYFUNCTION("""COMPUTED_VALUE"""),"")</f>
        <v/>
      </c>
      <c r="Q9995" s="17" t="str">
        <f>IFERROR(__xludf.DUMMYFUNCTION("""COMPUTED_VALUE"""),"")</f>
        <v/>
      </c>
      <c r="R9995" s="17" t="str">
        <f>IFERROR(__xludf.DUMMYFUNCTION("""COMPUTED_VALUE"""),"")</f>
        <v/>
      </c>
    </row>
    <row r="9996">
      <c r="A9996" s="15">
        <f>IFERROR(__xludf.DUMMYFUNCTION("""COMPUTED_VALUE"""),45282.0)</f>
        <v>45282</v>
      </c>
      <c r="B9996" s="16" t="str">
        <f>IFERROR(__xludf.DUMMYFUNCTION("""COMPUTED_VALUE"""),"Angie Daniela Meneses ")</f>
        <v>Angie Daniela Meneses </v>
      </c>
      <c r="C9996" s="15" t="str">
        <f>IFERROR(__xludf.DUMMYFUNCTION("""COMPUTED_VALUE"""),"POPAYAN")</f>
        <v>POPAYAN</v>
      </c>
      <c r="D9996" s="15" t="str">
        <f>IFERROR(__xludf.DUMMYFUNCTION("""COMPUTED_VALUE"""),"BOGOTÁ")</f>
        <v>BOGOTÁ</v>
      </c>
      <c r="E9996" s="15" t="str">
        <f>IFERROR(__xludf.DUMMYFUNCTION("""COMPUTED_VALUE"""),"Instinto alimento vital")</f>
        <v>Instinto alimento vital</v>
      </c>
      <c r="F9996" s="17" t="str">
        <f>IFERROR(__xludf.DUMMYFUNCTION("""COMPUTED_VALUE"""),"CRA 17 # 15 - 40 / CAS A")</f>
        <v>CRA 17 # 15 - 40 / CAS A</v>
      </c>
      <c r="G9996" s="15" t="str">
        <f>IFERROR(__xludf.DUMMYFUNCTION("""COMPUTED_VALUE"""),"MARCELA GAVIRIA PAZ")</f>
        <v>MARCELA GAVIRIA PAZ</v>
      </c>
      <c r="H9996" s="16">
        <f>IFERROR(__xludf.DUMMYFUNCTION("""COMPUTED_VALUE"""),18658.0)</f>
        <v>18658</v>
      </c>
      <c r="I9996" s="17"/>
      <c r="J9996" s="17"/>
      <c r="K9996" s="17"/>
      <c r="L9996" s="17">
        <f>IFERROR(__xludf.DUMMYFUNCTION("""COMPUTED_VALUE"""),3.117038837E9)</f>
        <v>3117038837</v>
      </c>
      <c r="M9996" s="17"/>
      <c r="N9996" s="17"/>
      <c r="O9996" s="17"/>
      <c r="P9996" s="17" t="b">
        <f>IFERROR(__xludf.DUMMYFUNCTION("""COMPUTED_VALUE"""),TRUE)</f>
        <v>1</v>
      </c>
      <c r="Q9996" s="20">
        <f>IFERROR(__xludf.DUMMYFUNCTION("""COMPUTED_VALUE"""),45282.446750636576)</f>
        <v>45282.44675</v>
      </c>
      <c r="R9996" s="22" t="str">
        <f>IFERROR(__xludf.DUMMYFUNCTION("""COMPUTED_VALUE"""),"")</f>
        <v/>
      </c>
    </row>
    <row r="9997">
      <c r="A9997" s="15">
        <f>IFERROR(__xludf.DUMMYFUNCTION("""COMPUTED_VALUE"""),45282.0)</f>
        <v>45282</v>
      </c>
      <c r="B9997" s="16" t="str">
        <f>IFERROR(__xludf.DUMMYFUNCTION("""COMPUTED_VALUE"""),"Angie Daniela Meneses ")</f>
        <v>Angie Daniela Meneses </v>
      </c>
      <c r="C9997" s="15" t="str">
        <f>IFERROR(__xludf.DUMMYFUNCTION("""COMPUTED_VALUE"""),"POPAYAN")</f>
        <v>POPAYAN</v>
      </c>
      <c r="D9997" s="15" t="str">
        <f>IFERROR(__xludf.DUMMYFUNCTION("""COMPUTED_VALUE"""),"BOGOTÁ")</f>
        <v>BOGOTÁ</v>
      </c>
      <c r="E9997" s="15" t="str">
        <f>IFERROR(__xludf.DUMMYFUNCTION("""COMPUTED_VALUE"""),"Karem foods")</f>
        <v>Karem foods</v>
      </c>
      <c r="F9997" s="17" t="str">
        <f>IFERROR(__xludf.DUMMYFUNCTION("""COMPUTED_VALUE"""),"Calle 5N #9-12 barrio Loma Linda / - / -")</f>
        <v>Calle 5N #9-12 barrio Loma Linda / - / -</v>
      </c>
      <c r="G9997" s="15" t="str">
        <f>IFERROR(__xludf.DUMMYFUNCTION("""COMPUTED_VALUE"""),"Alicia Quessep")</f>
        <v>Alicia Quessep</v>
      </c>
      <c r="H9997" s="16">
        <f>IFERROR(__xludf.DUMMYFUNCTION("""COMPUTED_VALUE"""),18646.0)</f>
        <v>18646</v>
      </c>
      <c r="I9997" s="18">
        <f>IFERROR(__xludf.DUMMYFUNCTION("""COMPUTED_VALUE"""),7.0)</f>
        <v>7</v>
      </c>
      <c r="J9997" s="18">
        <f>IFERROR(__xludf.DUMMYFUNCTION("""COMPUTED_VALUE"""),20.0)</f>
        <v>20</v>
      </c>
      <c r="K9997" s="18">
        <f>IFERROR(__xludf.DUMMYFUNCTION("""COMPUTED_VALUE"""),20.0)</f>
        <v>20</v>
      </c>
      <c r="L9997" s="17">
        <f>IFERROR(__xludf.DUMMYFUNCTION("""COMPUTED_VALUE"""),3.006129922E9)</f>
        <v>3006129922</v>
      </c>
      <c r="M9997" s="17"/>
      <c r="N9997" s="17"/>
      <c r="O9997" s="17"/>
      <c r="P9997" s="17" t="b">
        <f>IFERROR(__xludf.DUMMYFUNCTION("""COMPUTED_VALUE"""),TRUE)</f>
        <v>1</v>
      </c>
      <c r="Q9997" s="20">
        <f>IFERROR(__xludf.DUMMYFUNCTION("""COMPUTED_VALUE"""),45282.44697302084)</f>
        <v>45282.44697</v>
      </c>
      <c r="R9997" s="22" t="str">
        <f>IFERROR(__xludf.DUMMYFUNCTION("""COMPUTED_VALUE"""),"")</f>
        <v/>
      </c>
    </row>
    <row r="9998">
      <c r="A9998" s="15">
        <f>IFERROR(__xludf.DUMMYFUNCTION("""COMPUTED_VALUE"""),45282.0)</f>
        <v>45282</v>
      </c>
      <c r="B9998" s="16" t="str">
        <f>IFERROR(__xludf.DUMMYFUNCTION("""COMPUTED_VALUE"""),"Angie Daniela Meneses ")</f>
        <v>Angie Daniela Meneses </v>
      </c>
      <c r="C9998" s="15" t="str">
        <f>IFERROR(__xludf.DUMMYFUNCTION("""COMPUTED_VALUE"""),"POPAYAN")</f>
        <v>POPAYAN</v>
      </c>
      <c r="D9998" s="15" t="str">
        <f>IFERROR(__xludf.DUMMYFUNCTION("""COMPUTED_VALUE"""),"MEDELLÍN")</f>
        <v>MEDELLÍN</v>
      </c>
      <c r="E9998" s="15" t="str">
        <f>IFERROR(__xludf.DUMMYFUNCTION("""COMPUTED_VALUE"""),"Baby Chef")</f>
        <v>Baby Chef</v>
      </c>
      <c r="F9998" s="17" t="str">
        <f>IFERROR(__xludf.DUMMYFUNCTION("""COMPUTED_VALUE"""),"Yanaconas (Pinar de la Vega) CASA16 Popayan   cra 2 # 27an21 / . / .")</f>
        <v>Yanaconas (Pinar de la Vega) CASA16 Popayan   cra 2 # 27an21 / . / .</v>
      </c>
      <c r="G9998" s="15" t="str">
        <f>IFERROR(__xludf.DUMMYFUNCTION("""COMPUTED_VALUE"""),"Viviana Millán")</f>
        <v>Viviana Millán</v>
      </c>
      <c r="H9998" s="16">
        <f>IFERROR(__xludf.DUMMYFUNCTION("""COMPUTED_VALUE"""),18626.0)</f>
        <v>18626</v>
      </c>
      <c r="I9998" s="18">
        <f>IFERROR(__xludf.DUMMYFUNCTION("""COMPUTED_VALUE"""),10.0)</f>
        <v>10</v>
      </c>
      <c r="J9998" s="18">
        <f>IFERROR(__xludf.DUMMYFUNCTION("""COMPUTED_VALUE"""),22.0)</f>
        <v>22</v>
      </c>
      <c r="K9998" s="18">
        <f>IFERROR(__xludf.DUMMYFUNCTION("""COMPUTED_VALUE"""),25.0)</f>
        <v>25</v>
      </c>
      <c r="L9998" s="17">
        <f>IFERROR(__xludf.DUMMYFUNCTION("""COMPUTED_VALUE"""),3.227408431E9)</f>
        <v>3227408431</v>
      </c>
      <c r="M9998" s="17"/>
      <c r="N9998" s="17"/>
      <c r="O9998" s="17"/>
      <c r="P9998" s="17" t="b">
        <f>IFERROR(__xludf.DUMMYFUNCTION("""COMPUTED_VALUE"""),TRUE)</f>
        <v>1</v>
      </c>
      <c r="Q9998" s="20">
        <f>IFERROR(__xludf.DUMMYFUNCTION("""COMPUTED_VALUE"""),45282.446973032405)</f>
        <v>45282.44697</v>
      </c>
      <c r="R9998" s="22" t="str">
        <f>IFERROR(__xludf.DUMMYFUNCTION("""COMPUTED_VALUE"""),"")</f>
        <v/>
      </c>
    </row>
    <row r="9999">
      <c r="A9999" s="17" t="str">
        <f>IFERROR(__xludf.DUMMYFUNCTION("""COMPUTED_VALUE"""),"")</f>
        <v/>
      </c>
      <c r="B9999" s="17" t="str">
        <f>IFERROR(__xludf.DUMMYFUNCTION("""COMPUTED_VALUE"""),"")</f>
        <v/>
      </c>
      <c r="C9999" s="17" t="str">
        <f>IFERROR(__xludf.DUMMYFUNCTION("""COMPUTED_VALUE"""),"")</f>
        <v/>
      </c>
      <c r="D9999" s="17" t="str">
        <f>IFERROR(__xludf.DUMMYFUNCTION("""COMPUTED_VALUE"""),"")</f>
        <v/>
      </c>
      <c r="E9999" s="17" t="str">
        <f>IFERROR(__xludf.DUMMYFUNCTION("""COMPUTED_VALUE"""),"")</f>
        <v/>
      </c>
      <c r="F9999" s="17" t="str">
        <f>IFERROR(__xludf.DUMMYFUNCTION("""COMPUTED_VALUE"""),"")</f>
        <v/>
      </c>
      <c r="G9999" s="17" t="str">
        <f>IFERROR(__xludf.DUMMYFUNCTION("""COMPUTED_VALUE"""),"")</f>
        <v/>
      </c>
      <c r="H9999" s="17" t="str">
        <f>IFERROR(__xludf.DUMMYFUNCTION("""COMPUTED_VALUE"""),"")</f>
        <v/>
      </c>
      <c r="I9999" s="17" t="str">
        <f>IFERROR(__xludf.DUMMYFUNCTION("""COMPUTED_VALUE"""),"")</f>
        <v/>
      </c>
      <c r="J9999" s="17" t="str">
        <f>IFERROR(__xludf.DUMMYFUNCTION("""COMPUTED_VALUE"""),"")</f>
        <v/>
      </c>
      <c r="K9999" s="17" t="str">
        <f>IFERROR(__xludf.DUMMYFUNCTION("""COMPUTED_VALUE"""),"")</f>
        <v/>
      </c>
      <c r="L9999" s="17" t="str">
        <f>IFERROR(__xludf.DUMMYFUNCTION("""COMPUTED_VALUE"""),"")</f>
        <v/>
      </c>
      <c r="M9999" s="17" t="str">
        <f>IFERROR(__xludf.DUMMYFUNCTION("""COMPUTED_VALUE"""),"")</f>
        <v/>
      </c>
      <c r="N9999" s="17" t="str">
        <f>IFERROR(__xludf.DUMMYFUNCTION("""COMPUTED_VALUE"""),"")</f>
        <v/>
      </c>
      <c r="O9999" s="17" t="str">
        <f>IFERROR(__xludf.DUMMYFUNCTION("""COMPUTED_VALUE"""),"")</f>
        <v/>
      </c>
      <c r="P9999" s="17" t="str">
        <f>IFERROR(__xludf.DUMMYFUNCTION("""COMPUTED_VALUE"""),"")</f>
        <v/>
      </c>
      <c r="Q9999" s="17" t="str">
        <f>IFERROR(__xludf.DUMMYFUNCTION("""COMPUTED_VALUE"""),"")</f>
        <v/>
      </c>
      <c r="R9999" s="17" t="str">
        <f>IFERROR(__xludf.DUMMYFUNCTION("""COMPUTED_VALUE"""),"")</f>
        <v/>
      </c>
    </row>
    <row r="10000">
      <c r="A10000" s="15">
        <f>IFERROR(__xludf.DUMMYFUNCTION("""COMPUTED_VALUE"""),45282.0)</f>
        <v>45282</v>
      </c>
      <c r="B10000" s="16" t="str">
        <f>IFERROR(__xludf.DUMMYFUNCTION("""COMPUTED_VALUE"""),"Daniel José sandoval gonzalez")</f>
        <v>Daniel José sandoval gonzalez</v>
      </c>
      <c r="C10000" s="15" t="str">
        <f>IFERROR(__xludf.DUMMYFUNCTION("""COMPUTED_VALUE"""),"BARRANQUILLA")</f>
        <v>BARRANQUILLA</v>
      </c>
      <c r="D10000" s="15" t="str">
        <f>IFERROR(__xludf.DUMMYFUNCTION("""COMPUTED_VALUE"""),"BOGOTÁ")</f>
        <v>BOGOTÁ</v>
      </c>
      <c r="E10000" s="15" t="str">
        <f>IFERROR(__xludf.DUMMYFUNCTION("""COMPUTED_VALUE"""),"Hiiva Fermentados SAS")</f>
        <v>Hiiva Fermentados SAS</v>
      </c>
      <c r="F10000" s="17" t="str">
        <f>IFERROR(__xludf.DUMMYFUNCTION("""COMPUTED_VALUE"""),"Carrera 58#96-74 / AP 202Edificio Torreladera")</f>
        <v>Carrera 58#96-74 / AP 202Edificio Torreladera</v>
      </c>
      <c r="G10000" s="15" t="str">
        <f>IFERROR(__xludf.DUMMYFUNCTION("""COMPUTED_VALUE"""),"BAQ - Hugo José Zuleta Angulo")</f>
        <v>BAQ - Hugo José Zuleta Angulo</v>
      </c>
      <c r="H10000" s="16">
        <f>IFERROR(__xludf.DUMMYFUNCTION("""COMPUTED_VALUE"""),18553.0)</f>
        <v>18553</v>
      </c>
      <c r="I10000" s="17"/>
      <c r="J10000" s="17"/>
      <c r="K10000" s="17"/>
      <c r="L10000" s="17">
        <f>IFERROR(__xludf.DUMMYFUNCTION("""COMPUTED_VALUE"""),3.1454107E9)</f>
        <v>3145410700</v>
      </c>
      <c r="M10000" s="17"/>
      <c r="N10000" s="17"/>
      <c r="O10000" s="17"/>
      <c r="P10000" s="17" t="b">
        <f>IFERROR(__xludf.DUMMYFUNCTION("""COMPUTED_VALUE"""),FALSE)</f>
        <v>0</v>
      </c>
      <c r="Q10000" s="20" t="str">
        <f>IFERROR(__xludf.DUMMYFUNCTION("""COMPUTED_VALUE"""),"")</f>
        <v/>
      </c>
      <c r="R10000" s="21" t="str">
        <f>IFERROR(__xludf.DUMMYFUNCTION("""COMPUTED_VALUE"""),"https://drive.google.com/file/d/1Jd06JYe9ZQ7S-5U99YkeU4gRacEWWjuB/view?usp=drivesdk")</f>
        <v>https://drive.google.com/file/d/1Jd06JYe9ZQ7S-5U99YkeU4gRacEWWjuB/view?usp=drivesdk</v>
      </c>
    </row>
    <row r="10001">
      <c r="A10001" s="15">
        <f>IFERROR(__xludf.DUMMYFUNCTION("""COMPUTED_VALUE"""),45282.0)</f>
        <v>45282</v>
      </c>
      <c r="B10001" s="16" t="str">
        <f>IFERROR(__xludf.DUMMYFUNCTION("""COMPUTED_VALUE"""),"Daniel José sandoval gonzalez")</f>
        <v>Daniel José sandoval gonzalez</v>
      </c>
      <c r="C10001" s="15" t="str">
        <f>IFERROR(__xludf.DUMMYFUNCTION("""COMPUTED_VALUE"""),"BARRANQUILLA")</f>
        <v>BARRANQUILLA</v>
      </c>
      <c r="D10001" s="15" t="str">
        <f>IFERROR(__xludf.DUMMYFUNCTION("""COMPUTED_VALUE"""),"BOGOTÁ")</f>
        <v>BOGOTÁ</v>
      </c>
      <c r="E10001" s="15" t="str">
        <f>IFERROR(__xludf.DUMMYFUNCTION("""COMPUTED_VALUE"""),"LINA PAOLA RAMIREZ GOMEZ - EVA MAZZITA")</f>
        <v>LINA PAOLA RAMIREZ GOMEZ - EVA MAZZITA</v>
      </c>
      <c r="F10001" s="17" t="str">
        <f>IFERROR(__xludf.DUMMYFUNCTION("""COMPUTED_VALUE"""),"CRA 42C No. 83 - 99 / APTO 508  EDIFICIO SANTORINI BARRIO NUEVO HORIZONTE")</f>
        <v>CRA 42C No. 83 - 99 / APTO 508  EDIFICIO SANTORINI BARRIO NUEVO HORIZONTE</v>
      </c>
      <c r="G10001" s="15" t="str">
        <f>IFERROR(__xludf.DUMMYFUNCTION("""COMPUTED_VALUE"""),"SILVANA ROBLES")</f>
        <v>SILVANA ROBLES</v>
      </c>
      <c r="H10001" s="16">
        <f>IFERROR(__xludf.DUMMYFUNCTION("""COMPUTED_VALUE"""),18666.0)</f>
        <v>18666</v>
      </c>
      <c r="I10001" s="17"/>
      <c r="J10001" s="17"/>
      <c r="K10001" s="17"/>
      <c r="L10001" s="17">
        <f>IFERROR(__xludf.DUMMYFUNCTION("""COMPUTED_VALUE"""),3.13564513E9)</f>
        <v>3135645130</v>
      </c>
      <c r="M10001" s="17"/>
      <c r="N10001" s="17"/>
      <c r="O10001" s="17"/>
      <c r="P10001" s="17" t="b">
        <f>IFERROR(__xludf.DUMMYFUNCTION("""COMPUTED_VALUE"""),FALSE)</f>
        <v>0</v>
      </c>
      <c r="Q10001" s="20" t="str">
        <f>IFERROR(__xludf.DUMMYFUNCTION("""COMPUTED_VALUE"""),"")</f>
        <v/>
      </c>
      <c r="R10001" s="21" t="str">
        <f>IFERROR(__xludf.DUMMYFUNCTION("""COMPUTED_VALUE"""),"https://drive.google.com/file/d/183icFhdxmfJAxZeZeMhI4feV_A1719gC/view?usp=drivesdk")</f>
        <v>https://drive.google.com/file/d/183icFhdxmfJAxZeZeMhI4feV_A1719gC/view?usp=drivesdk</v>
      </c>
    </row>
    <row r="10002">
      <c r="A10002" s="15">
        <f>IFERROR(__xludf.DUMMYFUNCTION("""COMPUTED_VALUE"""),45282.0)</f>
        <v>45282</v>
      </c>
      <c r="B10002" s="16" t="str">
        <f>IFERROR(__xludf.DUMMYFUNCTION("""COMPUTED_VALUE"""),"Daniel José sandoval gonzalez")</f>
        <v>Daniel José sandoval gonzalez</v>
      </c>
      <c r="C10002" s="15" t="str">
        <f>IFERROR(__xludf.DUMMYFUNCTION("""COMPUTED_VALUE"""),"BARRANQUILLA")</f>
        <v>BARRANQUILLA</v>
      </c>
      <c r="D10002" s="15" t="str">
        <f>IFERROR(__xludf.DUMMYFUNCTION("""COMPUTED_VALUE"""),"BOGOTÁ")</f>
        <v>BOGOTÁ</v>
      </c>
      <c r="E10002" s="15" t="str">
        <f>IFERROR(__xludf.DUMMYFUNCTION("""COMPUTED_VALUE"""),"PAN DE WAFFLE")</f>
        <v>PAN DE WAFFLE</v>
      </c>
      <c r="F10002" s="17" t="str">
        <f>IFERROR(__xludf.DUMMYFUNCTION("""COMPUTED_VALUE"""),"Calle 80 # 65 - 07 / Calle 80 # 65 - 07")</f>
        <v>Calle 80 # 65 - 07 / Calle 80 # 65 - 07</v>
      </c>
      <c r="G10002" s="15" t="str">
        <f>IFERROR(__xludf.DUMMYFUNCTION("""COMPUTED_VALUE"""),"RAPPI TURBO VILLA ANDA LUCIA BAQ")</f>
        <v>RAPPI TURBO VILLA ANDA LUCIA BAQ</v>
      </c>
      <c r="H10002" s="16">
        <f>IFERROR(__xludf.DUMMYFUNCTION("""COMPUTED_VALUE"""),18393.0)</f>
        <v>18393</v>
      </c>
      <c r="I10002" s="17"/>
      <c r="J10002" s="17"/>
      <c r="K10002" s="17"/>
      <c r="L10002" s="17">
        <f>IFERROR(__xludf.DUMMYFUNCTION("""COMPUTED_VALUE"""),3.017032143E9)</f>
        <v>3017032143</v>
      </c>
      <c r="M10002" s="17"/>
      <c r="N10002" s="17"/>
      <c r="O10002" s="17"/>
      <c r="P10002" s="17" t="b">
        <f>IFERROR(__xludf.DUMMYFUNCTION("""COMPUTED_VALUE"""),FALSE)</f>
        <v>0</v>
      </c>
      <c r="Q10002" s="20" t="str">
        <f>IFERROR(__xludf.DUMMYFUNCTION("""COMPUTED_VALUE"""),"")</f>
        <v/>
      </c>
      <c r="R10002" s="21" t="str">
        <f>IFERROR(__xludf.DUMMYFUNCTION("""COMPUTED_VALUE"""),"https://drive.google.com/file/d/1TqM4nF3Xdd8xBIvDxRBJ9WaZPSCLhLh5/view?usp=drivesdk")</f>
        <v>https://drive.google.com/file/d/1TqM4nF3Xdd8xBIvDxRBJ9WaZPSCLhLh5/view?usp=drivesdk</v>
      </c>
    </row>
    <row r="10003">
      <c r="A10003" s="15">
        <f>IFERROR(__xludf.DUMMYFUNCTION("""COMPUTED_VALUE"""),45282.0)</f>
        <v>45282</v>
      </c>
      <c r="B10003" s="16" t="str">
        <f>IFERROR(__xludf.DUMMYFUNCTION("""COMPUTED_VALUE"""),"Daniel José sandoval gonzalez")</f>
        <v>Daniel José sandoval gonzalez</v>
      </c>
      <c r="C10003" s="15" t="str">
        <f>IFERROR(__xludf.DUMMYFUNCTION("""COMPUTED_VALUE"""),"BARRANQUILLA")</f>
        <v>BARRANQUILLA</v>
      </c>
      <c r="D10003" s="15" t="str">
        <f>IFERROR(__xludf.DUMMYFUNCTION("""COMPUTED_VALUE"""),"BOGOTÁ")</f>
        <v>BOGOTÁ</v>
      </c>
      <c r="E10003" s="15" t="str">
        <f>IFERROR(__xludf.DUMMYFUNCTION("""COMPUTED_VALUE"""),"Pan de Yuca")</f>
        <v>Pan de Yuca</v>
      </c>
      <c r="F10003" s="17" t="str">
        <f>IFERROR(__xludf.DUMMYFUNCTION("""COMPUTED_VALUE"""),"Calle 84 No 58-47  (centro comercial plaza 59) / Local 9 / Centro comercial plaza 59")</f>
        <v>Calle 84 No 58-47  (centro comercial plaza 59) / Local 9 / Centro comercial plaza 59</v>
      </c>
      <c r="G10003" s="15" t="str">
        <f>IFERROR(__xludf.DUMMYFUNCTION("""COMPUTED_VALUE"""),"Alejandro Córdoba")</f>
        <v>Alejandro Córdoba</v>
      </c>
      <c r="H10003" s="16">
        <f>IFERROR(__xludf.DUMMYFUNCTION("""COMPUTED_VALUE"""),18641.0)</f>
        <v>18641</v>
      </c>
      <c r="I10003" s="18">
        <f>IFERROR(__xludf.DUMMYFUNCTION("""COMPUTED_VALUE"""),17.0)</f>
        <v>17</v>
      </c>
      <c r="J10003" s="18">
        <f>IFERROR(__xludf.DUMMYFUNCTION("""COMPUTED_VALUE"""),30.0)</f>
        <v>30</v>
      </c>
      <c r="K10003" s="18">
        <f>IFERROR(__xludf.DUMMYFUNCTION("""COMPUTED_VALUE"""),40.0)</f>
        <v>40</v>
      </c>
      <c r="L10003" s="17">
        <f>IFERROR(__xludf.DUMMYFUNCTION("""COMPUTED_VALUE"""),3.003219814E9)</f>
        <v>3003219814</v>
      </c>
      <c r="M10003" s="17"/>
      <c r="N10003" s="17"/>
      <c r="O10003" s="17"/>
      <c r="P10003" s="17" t="b">
        <f>IFERROR(__xludf.DUMMYFUNCTION("""COMPUTED_VALUE"""),FALSE)</f>
        <v>0</v>
      </c>
      <c r="Q10003" s="20" t="str">
        <f>IFERROR(__xludf.DUMMYFUNCTION("""COMPUTED_VALUE"""),"")</f>
        <v/>
      </c>
      <c r="R10003" s="21" t="str">
        <f>IFERROR(__xludf.DUMMYFUNCTION("""COMPUTED_VALUE"""),"https://drive.google.com/file/d/18hAn6Zl54MB9Vd9Pqux2_ImOQc3MYx3z/view?usp=drivesdk")</f>
        <v>https://drive.google.com/file/d/18hAn6Zl54MB9Vd9Pqux2_ImOQc3MYx3z/view?usp=drivesdk</v>
      </c>
    </row>
    <row r="10004">
      <c r="A10004" s="15">
        <f>IFERROR(__xludf.DUMMYFUNCTION("""COMPUTED_VALUE"""),45282.0)</f>
        <v>45282</v>
      </c>
      <c r="B10004" s="16" t="str">
        <f>IFERROR(__xludf.DUMMYFUNCTION("""COMPUTED_VALUE"""),"Daniel José sandoval gonzalez")</f>
        <v>Daniel José sandoval gonzalez</v>
      </c>
      <c r="C10004" s="15" t="str">
        <f>IFERROR(__xludf.DUMMYFUNCTION("""COMPUTED_VALUE"""),"BARRANQUILLA")</f>
        <v>BARRANQUILLA</v>
      </c>
      <c r="D10004" s="15" t="str">
        <f>IFERROR(__xludf.DUMMYFUNCTION("""COMPUTED_VALUE"""),"BOGOTÁ")</f>
        <v>BOGOTÁ</v>
      </c>
      <c r="E10004" s="15" t="str">
        <f>IFERROR(__xludf.DUMMYFUNCTION("""COMPUTED_VALUE"""),"THE SMOKED HOUSE SAS")</f>
        <v>THE SMOKED HOUSE SAS</v>
      </c>
      <c r="F10004" s="17" t="str">
        <f>IFERROR(__xludf.DUMMYFUNCTION("""COMPUTED_VALUE"""),"Carrera 10 dg # 135 - 170 / Parques de Bolivar")</f>
        <v>Carrera 10 dg # 135 - 170 / Parques de Bolivar</v>
      </c>
      <c r="G10004" s="15" t="str">
        <f>IFERROR(__xludf.DUMMYFUNCTION("""COMPUTED_VALUE"""),"Sharon de León")</f>
        <v>Sharon de León</v>
      </c>
      <c r="H10004" s="16">
        <f>IFERROR(__xludf.DUMMYFUNCTION("""COMPUTED_VALUE"""),18483.0)</f>
        <v>18483</v>
      </c>
      <c r="I10004" s="17"/>
      <c r="J10004" s="17"/>
      <c r="K10004" s="17"/>
      <c r="L10004" s="17">
        <f>IFERROR(__xludf.DUMMYFUNCTION("""COMPUTED_VALUE"""),3.014652782E9)</f>
        <v>3014652782</v>
      </c>
      <c r="M10004" s="17"/>
      <c r="N10004" s="17"/>
      <c r="O10004" s="17"/>
      <c r="P10004" s="17" t="b">
        <f>IFERROR(__xludf.DUMMYFUNCTION("""COMPUTED_VALUE"""),FALSE)</f>
        <v>0</v>
      </c>
      <c r="Q10004" s="20" t="str">
        <f>IFERROR(__xludf.DUMMYFUNCTION("""COMPUTED_VALUE"""),"")</f>
        <v/>
      </c>
      <c r="R10004" s="21" t="str">
        <f>IFERROR(__xludf.DUMMYFUNCTION("""COMPUTED_VALUE"""),"https://drive.google.com/file/d/1dv-YaNwkN8GMOmwbkYZcC2Ix0bXpKUjL/view?usp=drivesdk")</f>
        <v>https://drive.google.com/file/d/1dv-YaNwkN8GMOmwbkYZcC2Ix0bXpKUjL/view?usp=drivesdk</v>
      </c>
    </row>
    <row r="10005">
      <c r="A10005" s="15">
        <f>IFERROR(__xludf.DUMMYFUNCTION("""COMPUTED_VALUE"""),45282.0)</f>
        <v>45282</v>
      </c>
      <c r="B10005" s="16" t="str">
        <f>IFERROR(__xludf.DUMMYFUNCTION("""COMPUTED_VALUE"""),"Daniel José sandoval gonzalez")</f>
        <v>Daniel José sandoval gonzalez</v>
      </c>
      <c r="C10005" s="15" t="str">
        <f>IFERROR(__xludf.DUMMYFUNCTION("""COMPUTED_VALUE"""),"BARRANQUILLA")</f>
        <v>BARRANQUILLA</v>
      </c>
      <c r="D10005" s="15" t="str">
        <f>IFERROR(__xludf.DUMMYFUNCTION("""COMPUTED_VALUE"""),"BOGOTÁ")</f>
        <v>BOGOTÁ</v>
      </c>
      <c r="E10005" s="15" t="str">
        <f>IFERROR(__xludf.DUMMYFUNCTION("""COMPUTED_VALUE"""),"THE SMOKED HOUSE SAS")</f>
        <v>THE SMOKED HOUSE SAS</v>
      </c>
      <c r="F10005" s="17" t="str">
        <f>IFERROR(__xludf.DUMMYFUNCTION("""COMPUTED_VALUE"""),"Carrera 21 # 10 - 12 / Municipio de Galapa")</f>
        <v>Carrera 21 # 10 - 12 / Municipio de Galapa</v>
      </c>
      <c r="G10005" s="15" t="str">
        <f>IFERROR(__xludf.DUMMYFUNCTION("""COMPUTED_VALUE"""),"Leidy Navarro")</f>
        <v>Leidy Navarro</v>
      </c>
      <c r="H10005" s="16">
        <f>IFERROR(__xludf.DUMMYFUNCTION("""COMPUTED_VALUE"""),18481.0)</f>
        <v>18481</v>
      </c>
      <c r="I10005" s="17"/>
      <c r="J10005" s="17"/>
      <c r="K10005" s="17"/>
      <c r="L10005" s="17">
        <f>IFERROR(__xludf.DUMMYFUNCTION("""COMPUTED_VALUE"""),3.015073981E9)</f>
        <v>3015073981</v>
      </c>
      <c r="M10005" s="17"/>
      <c r="N10005" s="17"/>
      <c r="O10005" s="17"/>
      <c r="P10005" s="17" t="b">
        <f>IFERROR(__xludf.DUMMYFUNCTION("""COMPUTED_VALUE"""),FALSE)</f>
        <v>0</v>
      </c>
      <c r="Q10005" s="20" t="str">
        <f>IFERROR(__xludf.DUMMYFUNCTION("""COMPUTED_VALUE"""),"")</f>
        <v/>
      </c>
      <c r="R10005" s="21" t="str">
        <f>IFERROR(__xludf.DUMMYFUNCTION("""COMPUTED_VALUE"""),"https://drive.google.com/file/d/1X4eCjXNxi_PRagEPB0DGLw0wKxYSxcKU/view?usp=drivesdk")</f>
        <v>https://drive.google.com/file/d/1X4eCjXNxi_PRagEPB0DGLw0wKxYSxcKU/view?usp=drivesdk</v>
      </c>
    </row>
    <row r="10006">
      <c r="A10006" s="15">
        <f>IFERROR(__xludf.DUMMYFUNCTION("""COMPUTED_VALUE"""),45282.0)</f>
        <v>45282</v>
      </c>
      <c r="B10006" s="16" t="str">
        <f>IFERROR(__xludf.DUMMYFUNCTION("""COMPUTED_VALUE"""),"Daniel José sandoval gonzalez")</f>
        <v>Daniel José sandoval gonzalez</v>
      </c>
      <c r="C10006" s="15" t="str">
        <f>IFERROR(__xludf.DUMMYFUNCTION("""COMPUTED_VALUE"""),"BARRANQUILLA")</f>
        <v>BARRANQUILLA</v>
      </c>
      <c r="D10006" s="15" t="str">
        <f>IFERROR(__xludf.DUMMYFUNCTION("""COMPUTED_VALUE"""),"BOGOTÁ")</f>
        <v>BOGOTÁ</v>
      </c>
      <c r="E10006" s="15" t="str">
        <f>IFERROR(__xludf.DUMMYFUNCTION("""COMPUTED_VALUE"""),"Travolge")</f>
        <v>Travolge</v>
      </c>
      <c r="F10006" s="17" t="str">
        <f>IFERROR(__xludf.DUMMYFUNCTION("""COMPUTED_VALUE"""),"CRA 72 #94-63 APTO 502 BLOQUE D / APTO 502 BLOQUE D")</f>
        <v>CRA 72 #94-63 APTO 502 BLOQUE D / APTO 502 BLOQUE D</v>
      </c>
      <c r="G10006" s="15" t="str">
        <f>IFERROR(__xludf.DUMMYFUNCTION("""COMPUTED_VALUE"""),"DAYAN")</f>
        <v>DAYAN</v>
      </c>
      <c r="H10006" s="16">
        <f>IFERROR(__xludf.DUMMYFUNCTION("""COMPUTED_VALUE"""),18649.0)</f>
        <v>18649</v>
      </c>
      <c r="I10006" s="17"/>
      <c r="J10006" s="17"/>
      <c r="K10006" s="17"/>
      <c r="L10006" s="17">
        <f>IFERROR(__xludf.DUMMYFUNCTION("""COMPUTED_VALUE"""),3.176572363E9)</f>
        <v>3176572363</v>
      </c>
      <c r="M10006" s="17"/>
      <c r="N10006" s="17"/>
      <c r="O10006" s="17"/>
      <c r="P10006" s="17" t="b">
        <f>IFERROR(__xludf.DUMMYFUNCTION("""COMPUTED_VALUE"""),FALSE)</f>
        <v>0</v>
      </c>
      <c r="Q10006" s="20" t="str">
        <f>IFERROR(__xludf.DUMMYFUNCTION("""COMPUTED_VALUE"""),"")</f>
        <v/>
      </c>
      <c r="R10006" s="22" t="str">
        <f>IFERROR(__xludf.DUMMYFUNCTION("""COMPUTED_VALUE"""),"")</f>
        <v/>
      </c>
    </row>
    <row r="10007">
      <c r="A10007" s="15">
        <f>IFERROR(__xludf.DUMMYFUNCTION("""COMPUTED_VALUE"""),45282.0)</f>
        <v>45282</v>
      </c>
      <c r="B10007" s="16" t="str">
        <f>IFERROR(__xludf.DUMMYFUNCTION("""COMPUTED_VALUE"""),"Daniel José sandoval gonzalez")</f>
        <v>Daniel José sandoval gonzalez</v>
      </c>
      <c r="C10007" s="15" t="str">
        <f>IFERROR(__xludf.DUMMYFUNCTION("""COMPUTED_VALUE"""),"BARRANQUILLA")</f>
        <v>BARRANQUILLA</v>
      </c>
      <c r="D10007" s="15" t="str">
        <f>IFERROR(__xludf.DUMMYFUNCTION("""COMPUTED_VALUE"""),"BUCARAMANGA")</f>
        <v>BUCARAMANGA</v>
      </c>
      <c r="E10007" s="15" t="str">
        <f>IFERROR(__xludf.DUMMYFUNCTION("""COMPUTED_VALUE"""),"Yo Como Solito")</f>
        <v>Yo Como Solito</v>
      </c>
      <c r="F10007" s="17" t="str">
        <f>IFERROR(__xludf.DUMMYFUNCTION("""COMPUTED_VALUE"""),"Calle 87 # 77c 95 - Barrio la floresta (conjunto Balcones de San Marino torre 5 apto 217) / Calle 87 # 77c 95 - Barrio la floresta (conjunto Balcones de San Marino torre 5 apto 217) / Calle 87 # 77c 95 - Barrio la floresta (conjunto Balcones de San Marino"&amp;" torre 5 apto 217)")</f>
        <v>Calle 87 # 77c 95 - Barrio la floresta (conjunto Balcones de San Marino torre 5 apto 217) / Calle 87 # 77c 95 - Barrio la floresta (conjunto Balcones de San Marino torre 5 apto 217) / Calle 87 # 77c 95 - Barrio la floresta (conjunto Balcones de San Marino torre 5 apto 217)</v>
      </c>
      <c r="G10007" s="15" t="str">
        <f>IFERROR(__xludf.DUMMYFUNCTION("""COMPUTED_VALUE"""),"Angelica Maria Redondo")</f>
        <v>Angelica Maria Redondo</v>
      </c>
      <c r="H10007" s="16">
        <f>IFERROR(__xludf.DUMMYFUNCTION("""COMPUTED_VALUE"""),18572.0)</f>
        <v>18572</v>
      </c>
      <c r="I10007" s="18">
        <f>IFERROR(__xludf.DUMMYFUNCTION("""COMPUTED_VALUE"""),45068.0)</f>
        <v>45068</v>
      </c>
      <c r="J10007" s="18">
        <f>IFERROR(__xludf.DUMMYFUNCTION("""COMPUTED_VALUE"""),45072.0)</f>
        <v>45072</v>
      </c>
      <c r="K10007" s="18">
        <f>IFERROR(__xludf.DUMMYFUNCTION("""COMPUTED_VALUE"""),40.0)</f>
        <v>40</v>
      </c>
      <c r="L10007" s="17">
        <f>IFERROR(__xludf.DUMMYFUNCTION("""COMPUTED_VALUE"""),3.016474572E9)</f>
        <v>3016474572</v>
      </c>
      <c r="M10007" s="17"/>
      <c r="N10007" s="17"/>
      <c r="O10007" s="17"/>
      <c r="P10007" s="17" t="b">
        <f>IFERROR(__xludf.DUMMYFUNCTION("""COMPUTED_VALUE"""),FALSE)</f>
        <v>0</v>
      </c>
      <c r="Q10007" s="20" t="str">
        <f>IFERROR(__xludf.DUMMYFUNCTION("""COMPUTED_VALUE"""),"")</f>
        <v/>
      </c>
      <c r="R10007" s="21" t="str">
        <f>IFERROR(__xludf.DUMMYFUNCTION("""COMPUTED_VALUE"""),"https://drive.google.com/file/d/1YDw7TitptcQNDkeNTifQmaUuZ4bxF60P/view?usp=drivesdk")</f>
        <v>https://drive.google.com/file/d/1YDw7TitptcQNDkeNTifQmaUuZ4bxF60P/view?usp=drivesdk</v>
      </c>
    </row>
    <row r="10008">
      <c r="A10008" s="15">
        <f>IFERROR(__xludf.DUMMYFUNCTION("""COMPUTED_VALUE"""),45282.0)</f>
        <v>45282</v>
      </c>
      <c r="B10008" s="16" t="str">
        <f>IFERROR(__xludf.DUMMYFUNCTION("""COMPUTED_VALUE"""),"Daniel José sandoval gonzalez")</f>
        <v>Daniel José sandoval gonzalez</v>
      </c>
      <c r="C10008" s="15" t="str">
        <f>IFERROR(__xludf.DUMMYFUNCTION("""COMPUTED_VALUE"""),"BARRANQUILLA")</f>
        <v>BARRANQUILLA</v>
      </c>
      <c r="D10008" s="15" t="str">
        <f>IFERROR(__xludf.DUMMYFUNCTION("""COMPUTED_VALUE"""),"ENVIGADO")</f>
        <v>ENVIGADO</v>
      </c>
      <c r="E10008" s="15" t="str">
        <f>IFERROR(__xludf.DUMMYFUNCTION("""COMPUTED_VALUE"""),"RAMBLA")</f>
        <v>RAMBLA</v>
      </c>
      <c r="F10008" s="17" t="str">
        <f>IFERROR(__xludf.DUMMYFUNCTION("""COMPUTED_VALUE"""),"Carrera 67 no 81-95")</f>
        <v>Carrera 67 no 81-95</v>
      </c>
      <c r="G10008" s="15" t="str">
        <f>IFERROR(__xludf.DUMMYFUNCTION("""COMPUTED_VALUE"""),"Santiago Arbelaez")</f>
        <v>Santiago Arbelaez</v>
      </c>
      <c r="H10008" s="16">
        <f>IFERROR(__xludf.DUMMYFUNCTION("""COMPUTED_VALUE"""),18652.0)</f>
        <v>18652</v>
      </c>
      <c r="I10008" s="17"/>
      <c r="J10008" s="17"/>
      <c r="K10008" s="17"/>
      <c r="L10008" s="17">
        <f>IFERROR(__xludf.DUMMYFUNCTION("""COMPUTED_VALUE"""),3.204749856E9)</f>
        <v>3204749856</v>
      </c>
      <c r="M10008" s="17"/>
      <c r="N10008" s="17"/>
      <c r="O10008" s="17"/>
      <c r="P10008" s="17" t="b">
        <f>IFERROR(__xludf.DUMMYFUNCTION("""COMPUTED_VALUE"""),FALSE)</f>
        <v>0</v>
      </c>
      <c r="Q10008" s="20" t="str">
        <f>IFERROR(__xludf.DUMMYFUNCTION("""COMPUTED_VALUE"""),"")</f>
        <v/>
      </c>
      <c r="R10008" s="21" t="str">
        <f>IFERROR(__xludf.DUMMYFUNCTION("""COMPUTED_VALUE"""),"https://drive.google.com/file/d/1qwuw5xVTFWroFOm6z7rwD_EtsyuZsHJs/view?usp=drivesdk")</f>
        <v>https://drive.google.com/file/d/1qwuw5xVTFWroFOm6z7rwD_EtsyuZsHJs/view?usp=drivesdk</v>
      </c>
    </row>
    <row r="10009">
      <c r="A10009" s="15">
        <f>IFERROR(__xludf.DUMMYFUNCTION("""COMPUTED_VALUE"""),45282.0)</f>
        <v>45282</v>
      </c>
      <c r="B10009" s="16" t="str">
        <f>IFERROR(__xludf.DUMMYFUNCTION("""COMPUTED_VALUE"""),"Daniel José sandoval gonzalez")</f>
        <v>Daniel José sandoval gonzalez</v>
      </c>
      <c r="C10009" s="15" t="str">
        <f>IFERROR(__xludf.DUMMYFUNCTION("""COMPUTED_VALUE"""),"BARRANQUILLA")</f>
        <v>BARRANQUILLA</v>
      </c>
      <c r="D10009" s="15" t="str">
        <f>IFERROR(__xludf.DUMMYFUNCTION("""COMPUTED_VALUE"""),"ENVIGADO")</f>
        <v>ENVIGADO</v>
      </c>
      <c r="E10009" s="15" t="str">
        <f>IFERROR(__xludf.DUMMYFUNCTION("""COMPUTED_VALUE"""),"RAMBLA")</f>
        <v>RAMBLA</v>
      </c>
      <c r="F10009" s="17" t="str">
        <f>IFERROR(__xludf.DUMMYFUNCTION("""COMPUTED_VALUE"""),"Carrera 74 #76-74")</f>
        <v>Carrera 74 #76-74</v>
      </c>
      <c r="G10009" s="15" t="str">
        <f>IFERROR(__xludf.DUMMYFUNCTION("""COMPUTED_VALUE"""),"Fit Hub")</f>
        <v>Fit Hub</v>
      </c>
      <c r="H10009" s="16">
        <f>IFERROR(__xludf.DUMMYFUNCTION("""COMPUTED_VALUE"""),18653.0)</f>
        <v>18653</v>
      </c>
      <c r="I10009" s="17"/>
      <c r="J10009" s="17"/>
      <c r="K10009" s="17"/>
      <c r="L10009" s="17">
        <f>IFERROR(__xludf.DUMMYFUNCTION("""COMPUTED_VALUE"""),3.157039547E9)</f>
        <v>3157039547</v>
      </c>
      <c r="M10009" s="17"/>
      <c r="N10009" s="17"/>
      <c r="O10009" s="17"/>
      <c r="P10009" s="17" t="b">
        <f>IFERROR(__xludf.DUMMYFUNCTION("""COMPUTED_VALUE"""),FALSE)</f>
        <v>0</v>
      </c>
      <c r="Q10009" s="20" t="str">
        <f>IFERROR(__xludf.DUMMYFUNCTION("""COMPUTED_VALUE"""),"")</f>
        <v/>
      </c>
      <c r="R10009" s="21" t="str">
        <f>IFERROR(__xludf.DUMMYFUNCTION("""COMPUTED_VALUE"""),"https://drive.google.com/file/d/131whlcqbaxVq-DckFFYl2Wz6omsO7rho/view?usp=drivesdk")</f>
        <v>https://drive.google.com/file/d/131whlcqbaxVq-DckFFYl2Wz6omsO7rho/view?usp=drivesdk</v>
      </c>
    </row>
    <row r="10010">
      <c r="A10010" s="15">
        <f>IFERROR(__xludf.DUMMYFUNCTION("""COMPUTED_VALUE"""),45282.0)</f>
        <v>45282</v>
      </c>
      <c r="B10010" s="16" t="str">
        <f>IFERROR(__xludf.DUMMYFUNCTION("""COMPUTED_VALUE"""),"Daniel José sandoval gonzalez")</f>
        <v>Daniel José sandoval gonzalez</v>
      </c>
      <c r="C10010" s="15" t="str">
        <f>IFERROR(__xludf.DUMMYFUNCTION("""COMPUTED_VALUE"""),"BARRANQUILLA")</f>
        <v>BARRANQUILLA</v>
      </c>
      <c r="D10010" s="15" t="str">
        <f>IFERROR(__xludf.DUMMYFUNCTION("""COMPUTED_VALUE"""),"MEDELLÍN")</f>
        <v>MEDELLÍN</v>
      </c>
      <c r="E10010" s="15" t="str">
        <f>IFERROR(__xludf.DUMMYFUNCTION("""COMPUTED_VALUE"""),"Baby Chef")</f>
        <v>Baby Chef</v>
      </c>
      <c r="F10010" s="17" t="str">
        <f>IFERROR(__xludf.DUMMYFUNCTION("""COMPUTED_VALUE"""),"Calle 81 B# - 64 - 27 Apartamento 203 Edificio Valle de Ordesa / . / .")</f>
        <v>Calle 81 B# - 64 - 27 Apartamento 203 Edificio Valle de Ordesa / . / .</v>
      </c>
      <c r="G10010" s="15" t="str">
        <f>IFERROR(__xludf.DUMMYFUNCTION("""COMPUTED_VALUE"""),"Fabiola Alcalá")</f>
        <v>Fabiola Alcalá</v>
      </c>
      <c r="H10010" s="16">
        <f>IFERROR(__xludf.DUMMYFUNCTION("""COMPUTED_VALUE"""),18636.0)</f>
        <v>18636</v>
      </c>
      <c r="I10010" s="18">
        <f>IFERROR(__xludf.DUMMYFUNCTION("""COMPUTED_VALUE"""),8.0)</f>
        <v>8</v>
      </c>
      <c r="J10010" s="18">
        <f>IFERROR(__xludf.DUMMYFUNCTION("""COMPUTED_VALUE"""),22.0)</f>
        <v>22</v>
      </c>
      <c r="K10010" s="18">
        <f>IFERROR(__xludf.DUMMYFUNCTION("""COMPUTED_VALUE"""),39.0)</f>
        <v>39</v>
      </c>
      <c r="L10010" s="17">
        <f>IFERROR(__xludf.DUMMYFUNCTION("""COMPUTED_VALUE"""),3.007540313E9)</f>
        <v>3007540313</v>
      </c>
      <c r="M10010" s="17"/>
      <c r="N10010" s="17"/>
      <c r="O10010" s="17"/>
      <c r="P10010" s="17" t="b">
        <f>IFERROR(__xludf.DUMMYFUNCTION("""COMPUTED_VALUE"""),FALSE)</f>
        <v>0</v>
      </c>
      <c r="Q10010" s="20" t="str">
        <f>IFERROR(__xludf.DUMMYFUNCTION("""COMPUTED_VALUE"""),"")</f>
        <v/>
      </c>
      <c r="R10010" s="21" t="str">
        <f>IFERROR(__xludf.DUMMYFUNCTION("""COMPUTED_VALUE"""),"https://drive.google.com/file/d/10mI0B12Xd-tTzRJ7XbR-wKvFegUWBM0-/view?usp=drivesdk")</f>
        <v>https://drive.google.com/file/d/10mI0B12Xd-tTzRJ7XbR-wKvFegUWBM0-/view?usp=drivesdk</v>
      </c>
    </row>
    <row r="10011">
      <c r="A10011" s="15">
        <f>IFERROR(__xludf.DUMMYFUNCTION("""COMPUTED_VALUE"""),45282.0)</f>
        <v>45282</v>
      </c>
      <c r="B10011" s="16" t="str">
        <f>IFERROR(__xludf.DUMMYFUNCTION("""COMPUTED_VALUE"""),"Daniel José sandoval gonzalez")</f>
        <v>Daniel José sandoval gonzalez</v>
      </c>
      <c r="C10011" s="15" t="str">
        <f>IFERROR(__xludf.DUMMYFUNCTION("""COMPUTED_VALUE"""),"BARRANQUILLA")</f>
        <v>BARRANQUILLA</v>
      </c>
      <c r="D10011" s="15" t="str">
        <f>IFERROR(__xludf.DUMMYFUNCTION("""COMPUTED_VALUE"""),"MEDELLÍN")</f>
        <v>MEDELLÍN</v>
      </c>
      <c r="E10011" s="15" t="str">
        <f>IFERROR(__xludf.DUMMYFUNCTION("""COMPUTED_VALUE"""),"Baby Chef")</f>
        <v>Baby Chef</v>
      </c>
      <c r="F10011" s="17" t="str">
        <f>IFERROR(__xludf.DUMMYFUNCTION("""COMPUTED_VALUE"""),"Cra 42#82-20 timbre 1 / . / .")</f>
        <v>Cra 42#82-20 timbre 1 / . / .</v>
      </c>
      <c r="G10011" s="15" t="str">
        <f>IFERROR(__xludf.DUMMYFUNCTION("""COMPUTED_VALUE"""),"Roxana De la hoz")</f>
        <v>Roxana De la hoz</v>
      </c>
      <c r="H10011" s="16">
        <f>IFERROR(__xludf.DUMMYFUNCTION("""COMPUTED_VALUE"""),18642.0)</f>
        <v>18642</v>
      </c>
      <c r="I10011" s="18">
        <f>IFERROR(__xludf.DUMMYFUNCTION("""COMPUTED_VALUE"""),6.0)</f>
        <v>6</v>
      </c>
      <c r="J10011" s="18">
        <f>IFERROR(__xludf.DUMMYFUNCTION("""COMPUTED_VALUE"""),21.0)</f>
        <v>21</v>
      </c>
      <c r="K10011" s="18">
        <f>IFERROR(__xludf.DUMMYFUNCTION("""COMPUTED_VALUE"""),33.0)</f>
        <v>33</v>
      </c>
      <c r="L10011" s="17">
        <f>IFERROR(__xludf.DUMMYFUNCTION("""COMPUTED_VALUE"""),3.005268733E9)</f>
        <v>3005268733</v>
      </c>
      <c r="M10011" s="17"/>
      <c r="N10011" s="17"/>
      <c r="O10011" s="17"/>
      <c r="P10011" s="17" t="b">
        <f>IFERROR(__xludf.DUMMYFUNCTION("""COMPUTED_VALUE"""),FALSE)</f>
        <v>0</v>
      </c>
      <c r="Q10011" s="20" t="str">
        <f>IFERROR(__xludf.DUMMYFUNCTION("""COMPUTED_VALUE"""),"")</f>
        <v/>
      </c>
      <c r="R10011" s="21" t="str">
        <f>IFERROR(__xludf.DUMMYFUNCTION("""COMPUTED_VALUE"""),"https://drive.google.com/file/d/1fyPTnWaXhdLCMwfTjMbRzk6oRrtA57OT/view?usp=drivesdk")</f>
        <v>https://drive.google.com/file/d/1fyPTnWaXhdLCMwfTjMbRzk6oRrtA57OT/view?usp=drivesdk</v>
      </c>
    </row>
    <row r="10012">
      <c r="A10012" s="15">
        <f>IFERROR(__xludf.DUMMYFUNCTION("""COMPUTED_VALUE"""),45282.0)</f>
        <v>45282</v>
      </c>
      <c r="B10012" s="16" t="str">
        <f>IFERROR(__xludf.DUMMYFUNCTION("""COMPUTED_VALUE"""),"Daniel José sandoval gonzalez")</f>
        <v>Daniel José sandoval gonzalez</v>
      </c>
      <c r="C10012" s="15" t="str">
        <f>IFERROR(__xludf.DUMMYFUNCTION("""COMPUTED_VALUE"""),"BARRANQUILLA")</f>
        <v>BARRANQUILLA</v>
      </c>
      <c r="D10012" s="15" t="str">
        <f>IFERROR(__xludf.DUMMYFUNCTION("""COMPUTED_VALUE"""),"MEDELLÍN")</f>
        <v>MEDELLÍN</v>
      </c>
      <c r="E10012" s="15" t="str">
        <f>IFERROR(__xludf.DUMMYFUNCTION("""COMPUTED_VALUE"""),"Orobroy")</f>
        <v>Orobroy</v>
      </c>
      <c r="F10012" s="17" t="str">
        <f>IFERROR(__xludf.DUMMYFUNCTION("""COMPUTED_VALUE"""),"Cra 43 n 85 18 apto 4c edificio sharon / Edificio sharon barranquilla")</f>
        <v>Cra 43 n 85 18 apto 4c edificio sharon / Edificio sharon barranquilla</v>
      </c>
      <c r="G10012" s="15" t="str">
        <f>IFERROR(__xludf.DUMMYFUNCTION("""COMPUTED_VALUE"""),"JYM SERVICIOS LOGISTICOS")</f>
        <v>JYM SERVICIOS LOGISTICOS</v>
      </c>
      <c r="H10012" s="16">
        <f>IFERROR(__xludf.DUMMYFUNCTION("""COMPUTED_VALUE"""),18439.0)</f>
        <v>18439</v>
      </c>
      <c r="I10012" s="17"/>
      <c r="J10012" s="17"/>
      <c r="K10012" s="17"/>
      <c r="L10012" s="17"/>
      <c r="M10012" s="17"/>
      <c r="N10012" s="17"/>
      <c r="O10012" s="17"/>
      <c r="P10012" s="17" t="b">
        <f>IFERROR(__xludf.DUMMYFUNCTION("""COMPUTED_VALUE"""),FALSE)</f>
        <v>0</v>
      </c>
      <c r="Q10012" s="20" t="str">
        <f>IFERROR(__xludf.DUMMYFUNCTION("""COMPUTED_VALUE"""),"")</f>
        <v/>
      </c>
      <c r="R10012" s="22" t="str">
        <f>IFERROR(__xludf.DUMMYFUNCTION("""COMPUTED_VALUE"""),"")</f>
        <v/>
      </c>
    </row>
    <row r="10013">
      <c r="A10013" s="15">
        <f>IFERROR(__xludf.DUMMYFUNCTION("""COMPUTED_VALUE"""),45282.0)</f>
        <v>45282</v>
      </c>
      <c r="B10013" s="16" t="str">
        <f>IFERROR(__xludf.DUMMYFUNCTION("""COMPUTED_VALUE"""),"Daniel José sandoval gonzalez")</f>
        <v>Daniel José sandoval gonzalez</v>
      </c>
      <c r="C10013" s="15" t="str">
        <f>IFERROR(__xludf.DUMMYFUNCTION("""COMPUTED_VALUE"""),"BARRANQUILLA")</f>
        <v>BARRANQUILLA</v>
      </c>
      <c r="D10013" s="15" t="str">
        <f>IFERROR(__xludf.DUMMYFUNCTION("""COMPUTED_VALUE"""),"MEDELLÍN")</f>
        <v>MEDELLÍN</v>
      </c>
      <c r="E10013" s="15" t="str">
        <f>IFERROR(__xludf.DUMMYFUNCTION("""COMPUTED_VALUE"""),"Puro Verde")</f>
        <v>Puro Verde</v>
      </c>
      <c r="F10013" s="17" t="str">
        <f>IFERROR(__xludf.DUMMYFUNCTION("""COMPUTED_VALUE"""),"CALLE 96 # 71-165 / TORRE 2A. APTO 602. EDIFICIO ALTARES / BARRANQUILLA")</f>
        <v>CALLE 96 # 71-165 / TORRE 2A. APTO 602. EDIFICIO ALTARES / BARRANQUILLA</v>
      </c>
      <c r="G10013" s="15" t="str">
        <f>IFERROR(__xludf.DUMMYFUNCTION("""COMPUTED_VALUE"""),"MONICA PINZÓN")</f>
        <v>MONICA PINZÓN</v>
      </c>
      <c r="H10013" s="16">
        <f>IFERROR(__xludf.DUMMYFUNCTION("""COMPUTED_VALUE"""),18512.0)</f>
        <v>18512</v>
      </c>
      <c r="I10013" s="18">
        <f>IFERROR(__xludf.DUMMYFUNCTION("""COMPUTED_VALUE"""),45034.0)</f>
        <v>45034</v>
      </c>
      <c r="J10013" s="18" t="str">
        <f>IFERROR(__xludf.DUMMYFUNCTION("""COMPUTED_VALUE"""),"32.2")</f>
        <v>32.2</v>
      </c>
      <c r="K10013" s="18" t="str">
        <f>IFERROR(__xludf.DUMMYFUNCTION("""COMPUTED_VALUE"""),"39.4")</f>
        <v>39.4</v>
      </c>
      <c r="L10013" s="17">
        <f>IFERROR(__xludf.DUMMYFUNCTION("""COMPUTED_VALUE"""),3.013280217E9)</f>
        <v>3013280217</v>
      </c>
      <c r="M10013" s="17"/>
      <c r="N10013" s="17"/>
      <c r="O10013" s="17"/>
      <c r="P10013" s="17" t="b">
        <f>IFERROR(__xludf.DUMMYFUNCTION("""COMPUTED_VALUE"""),FALSE)</f>
        <v>0</v>
      </c>
      <c r="Q10013" s="20" t="str">
        <f>IFERROR(__xludf.DUMMYFUNCTION("""COMPUTED_VALUE"""),"")</f>
        <v/>
      </c>
      <c r="R10013" s="21" t="str">
        <f>IFERROR(__xludf.DUMMYFUNCTION("""COMPUTED_VALUE"""),"https://drive.google.com/file/d/1ewl8E268zVXttUJlnlJrh6Vx8CdAGn_Q/view?usp=drivesdk")</f>
        <v>https://drive.google.com/file/d/1ewl8E268zVXttUJlnlJrh6Vx8CdAGn_Q/view?usp=drivesdk</v>
      </c>
    </row>
    <row r="10014">
      <c r="A10014" s="17" t="str">
        <f>IFERROR(__xludf.DUMMYFUNCTION("""COMPUTED_VALUE"""),"")</f>
        <v/>
      </c>
      <c r="B10014" s="17" t="str">
        <f>IFERROR(__xludf.DUMMYFUNCTION("""COMPUTED_VALUE"""),"")</f>
        <v/>
      </c>
      <c r="C10014" s="17" t="str">
        <f>IFERROR(__xludf.DUMMYFUNCTION("""COMPUTED_VALUE"""),"")</f>
        <v/>
      </c>
      <c r="D10014" s="17" t="str">
        <f>IFERROR(__xludf.DUMMYFUNCTION("""COMPUTED_VALUE"""),"")</f>
        <v/>
      </c>
      <c r="E10014" s="17" t="str">
        <f>IFERROR(__xludf.DUMMYFUNCTION("""COMPUTED_VALUE"""),"")</f>
        <v/>
      </c>
      <c r="F10014" s="17" t="str">
        <f>IFERROR(__xludf.DUMMYFUNCTION("""COMPUTED_VALUE"""),"")</f>
        <v/>
      </c>
      <c r="G10014" s="17" t="str">
        <f>IFERROR(__xludf.DUMMYFUNCTION("""COMPUTED_VALUE"""),"")</f>
        <v/>
      </c>
      <c r="H10014" s="17" t="str">
        <f>IFERROR(__xludf.DUMMYFUNCTION("""COMPUTED_VALUE"""),"")</f>
        <v/>
      </c>
      <c r="I10014" s="17" t="str">
        <f>IFERROR(__xludf.DUMMYFUNCTION("""COMPUTED_VALUE"""),"")</f>
        <v/>
      </c>
      <c r="J10014" s="17" t="str">
        <f>IFERROR(__xludf.DUMMYFUNCTION("""COMPUTED_VALUE"""),"")</f>
        <v/>
      </c>
      <c r="K10014" s="17" t="str">
        <f>IFERROR(__xludf.DUMMYFUNCTION("""COMPUTED_VALUE"""),"")</f>
        <v/>
      </c>
      <c r="L10014" s="17" t="str">
        <f>IFERROR(__xludf.DUMMYFUNCTION("""COMPUTED_VALUE"""),"")</f>
        <v/>
      </c>
      <c r="M10014" s="17" t="str">
        <f>IFERROR(__xludf.DUMMYFUNCTION("""COMPUTED_VALUE"""),"")</f>
        <v/>
      </c>
      <c r="N10014" s="17" t="str">
        <f>IFERROR(__xludf.DUMMYFUNCTION("""COMPUTED_VALUE"""),"")</f>
        <v/>
      </c>
      <c r="O10014" s="17" t="str">
        <f>IFERROR(__xludf.DUMMYFUNCTION("""COMPUTED_VALUE"""),"")</f>
        <v/>
      </c>
      <c r="P10014" s="17" t="str">
        <f>IFERROR(__xludf.DUMMYFUNCTION("""COMPUTED_VALUE"""),"")</f>
        <v/>
      </c>
      <c r="Q10014" s="17" t="str">
        <f>IFERROR(__xludf.DUMMYFUNCTION("""COMPUTED_VALUE"""),"")</f>
        <v/>
      </c>
      <c r="R10014" s="17" t="str">
        <f>IFERROR(__xludf.DUMMYFUNCTION("""COMPUTED_VALUE"""),"")</f>
        <v/>
      </c>
    </row>
    <row r="10015">
      <c r="A10015" s="15">
        <f>IFERROR(__xludf.DUMMYFUNCTION("""COMPUTED_VALUE"""),45282.0)</f>
        <v>45282</v>
      </c>
      <c r="B10015" s="16" t="str">
        <f>IFERROR(__xludf.DUMMYFUNCTION("""COMPUTED_VALUE"""),"Envia")</f>
        <v>Envia</v>
      </c>
      <c r="C10015" s="15" t="str">
        <f>IFERROR(__xludf.DUMMYFUNCTION("""COMPUTED_VALUE"""),"BARRANQUILLA")</f>
        <v>BARRANQUILLA</v>
      </c>
      <c r="D10015" s="15" t="str">
        <f>IFERROR(__xludf.DUMMYFUNCTION("""COMPUTED_VALUE"""),"BOGOTÁ")</f>
        <v>BOGOTÁ</v>
      </c>
      <c r="E10015" s="15" t="str">
        <f>IFERROR(__xludf.DUMMYFUNCTION("""COMPUTED_VALUE"""),"MAI ALIMENTOS REALES")</f>
        <v>MAI ALIMENTOS REALES</v>
      </c>
      <c r="F10015" s="17" t="str">
        <f>IFERROR(__xludf.DUMMYFUNCTION("""COMPUTED_VALUE"""),"Calle 110 # 6 – 335 / Bod. M10 - M11 Centro Industrial Metroparque")</f>
        <v>Calle 110 # 6 – 335 / Bod. M10 - M11 Centro Industrial Metroparque</v>
      </c>
      <c r="G10015" s="15" t="str">
        <f>IFERROR(__xludf.DUMMYFUNCTION("""COMPUTED_VALUE"""),"NOVAVENTAS BARRANQUILLA")</f>
        <v>NOVAVENTAS BARRANQUILLA</v>
      </c>
      <c r="H10015" s="16">
        <f>IFERROR(__xludf.DUMMYFUNCTION("""COMPUTED_VALUE"""),18547.0)</f>
        <v>18547</v>
      </c>
      <c r="I10015" s="17"/>
      <c r="J10015" s="17"/>
      <c r="K10015" s="17"/>
      <c r="L10015" s="17"/>
      <c r="M10015" s="17"/>
      <c r="N10015" s="17"/>
      <c r="O10015" s="17"/>
      <c r="P10015" s="17" t="b">
        <f>IFERROR(__xludf.DUMMYFUNCTION("""COMPUTED_VALUE"""),FALSE)</f>
        <v>0</v>
      </c>
      <c r="Q10015" s="20" t="str">
        <f>IFERROR(__xludf.DUMMYFUNCTION("""COMPUTED_VALUE"""),"")</f>
        <v/>
      </c>
      <c r="R10015" s="21" t="str">
        <f>IFERROR(__xludf.DUMMYFUNCTION("""COMPUTED_VALUE"""),"https://drive.google.com/file/d/1PPOmTyo-O6mKUt4HD3KxE8PKxbDAHYPq/view?usp=drivesdk")</f>
        <v>https://drive.google.com/file/d/1PPOmTyo-O6mKUt4HD3KxE8PKxbDAHYPq/view?usp=drivesdk</v>
      </c>
    </row>
    <row r="10016">
      <c r="A10016" s="15">
        <f>IFERROR(__xludf.DUMMYFUNCTION("""COMPUTED_VALUE"""),45282.0)</f>
        <v>45282</v>
      </c>
      <c r="B10016" s="16" t="str">
        <f>IFERROR(__xludf.DUMMYFUNCTION("""COMPUTED_VALUE"""),"Envia")</f>
        <v>Envia</v>
      </c>
      <c r="C10016" s="15" t="str">
        <f>IFERROR(__xludf.DUMMYFUNCTION("""COMPUTED_VALUE"""),"BARRANQUILLA")</f>
        <v>BARRANQUILLA</v>
      </c>
      <c r="D10016" s="15" t="str">
        <f>IFERROR(__xludf.DUMMYFUNCTION("""COMPUTED_VALUE"""),"BOGOTÁ")</f>
        <v>BOGOTÁ</v>
      </c>
      <c r="E10016" s="15" t="str">
        <f>IFERROR(__xludf.DUMMYFUNCTION("""COMPUTED_VALUE"""),"Premium Choice")</f>
        <v>Premium Choice</v>
      </c>
      <c r="F10016" s="17" t="str">
        <f>IFERROR(__xludf.DUMMYFUNCTION("""COMPUTED_VALUE"""),"Carrera 68 # 81 - 23  / Barrio paraíso  / Barranquilla")</f>
        <v>Carrera 68 # 81 - 23  / Barrio paraíso  / Barranquilla</v>
      </c>
      <c r="G10016" s="15" t="str">
        <f>IFERROR(__xludf.DUMMYFUNCTION("""COMPUTED_VALUE"""),"Distribuciones arpol")</f>
        <v>Distribuciones arpol</v>
      </c>
      <c r="H10016" s="16">
        <f>IFERROR(__xludf.DUMMYFUNCTION("""COMPUTED_VALUE"""),18682.0)</f>
        <v>18682</v>
      </c>
      <c r="I10016" s="18">
        <f>IFERROR(__xludf.DUMMYFUNCTION("""COMPUTED_VALUE"""),17.0)</f>
        <v>17</v>
      </c>
      <c r="J10016" s="18">
        <f>IFERROR(__xludf.DUMMYFUNCTION("""COMPUTED_VALUE"""),20.0)</f>
        <v>20</v>
      </c>
      <c r="K10016" s="18">
        <f>IFERROR(__xludf.DUMMYFUNCTION("""COMPUTED_VALUE"""),20.0)</f>
        <v>20</v>
      </c>
      <c r="L10016" s="17">
        <f>IFERROR(__xludf.DUMMYFUNCTION("""COMPUTED_VALUE"""),3.102170999E9)</f>
        <v>3102170999</v>
      </c>
      <c r="M10016" s="17"/>
      <c r="N10016" s="17"/>
      <c r="O10016" s="17"/>
      <c r="P10016" s="17" t="b">
        <f>IFERROR(__xludf.DUMMYFUNCTION("""COMPUTED_VALUE"""),FALSE)</f>
        <v>0</v>
      </c>
      <c r="Q10016" s="20" t="str">
        <f>IFERROR(__xludf.DUMMYFUNCTION("""COMPUTED_VALUE"""),"")</f>
        <v/>
      </c>
      <c r="R10016" s="21" t="str">
        <f>IFERROR(__xludf.DUMMYFUNCTION("""COMPUTED_VALUE"""),"https://drive.google.com/file/d/1_79nuBkjh_-Hr5hGNg-nW6ppe5rwzXkg/view?usp=drivesdk")</f>
        <v>https://drive.google.com/file/d/1_79nuBkjh_-Hr5hGNg-nW6ppe5rwzXkg/view?usp=drivesdk</v>
      </c>
    </row>
    <row r="10017">
      <c r="A10017" s="15">
        <f>IFERROR(__xludf.DUMMYFUNCTION("""COMPUTED_VALUE"""),45282.0)</f>
        <v>45282</v>
      </c>
      <c r="B10017" s="16" t="str">
        <f>IFERROR(__xludf.DUMMYFUNCTION("""COMPUTED_VALUE"""),"Envia")</f>
        <v>Envia</v>
      </c>
      <c r="C10017" s="15" t="str">
        <f>IFERROR(__xludf.DUMMYFUNCTION("""COMPUTED_VALUE"""),"BARRANQUILLA")</f>
        <v>BARRANQUILLA</v>
      </c>
      <c r="D10017" s="15" t="str">
        <f>IFERROR(__xludf.DUMMYFUNCTION("""COMPUTED_VALUE"""),"BOGOTÁ")</f>
        <v>BOGOTÁ</v>
      </c>
      <c r="E10017" s="15" t="str">
        <f>IFERROR(__xludf.DUMMYFUNCTION("""COMPUTED_VALUE"""),"Premium Choice")</f>
        <v>Premium Choice</v>
      </c>
      <c r="F10017" s="17" t="str">
        <f>IFERROR(__xludf.DUMMYFUNCTION("""COMPUTED_VALUE"""),"Cr 52 # 80 - 43  / Barranquilla  / Barranquilla")</f>
        <v>Cr 52 # 80 - 43  / Barranquilla  / Barranquilla</v>
      </c>
      <c r="G10017" s="15" t="str">
        <f>IFERROR(__xludf.DUMMYFUNCTION("""COMPUTED_VALUE"""),"Amore group")</f>
        <v>Amore group</v>
      </c>
      <c r="H10017" s="16">
        <f>IFERROR(__xludf.DUMMYFUNCTION("""COMPUTED_VALUE"""),18683.0)</f>
        <v>18683</v>
      </c>
      <c r="I10017" s="18">
        <f>IFERROR(__xludf.DUMMYFUNCTION("""COMPUTED_VALUE"""),17.0)</f>
        <v>17</v>
      </c>
      <c r="J10017" s="18">
        <f>IFERROR(__xludf.DUMMYFUNCTION("""COMPUTED_VALUE"""),20.0)</f>
        <v>20</v>
      </c>
      <c r="K10017" s="18">
        <f>IFERROR(__xludf.DUMMYFUNCTION("""COMPUTED_VALUE"""),20.0)</f>
        <v>20</v>
      </c>
      <c r="L10017" s="17">
        <f>IFERROR(__xludf.DUMMYFUNCTION("""COMPUTED_VALUE"""),3.102170999E9)</f>
        <v>3102170999</v>
      </c>
      <c r="M10017" s="17"/>
      <c r="N10017" s="17"/>
      <c r="O10017" s="17"/>
      <c r="P10017" s="17" t="b">
        <f>IFERROR(__xludf.DUMMYFUNCTION("""COMPUTED_VALUE"""),FALSE)</f>
        <v>0</v>
      </c>
      <c r="Q10017" s="20" t="str">
        <f>IFERROR(__xludf.DUMMYFUNCTION("""COMPUTED_VALUE"""),"")</f>
        <v/>
      </c>
      <c r="R10017" s="21" t="str">
        <f>IFERROR(__xludf.DUMMYFUNCTION("""COMPUTED_VALUE"""),"https://drive.google.com/file/d/10qrfSI6el5Rp2NClK8mQRBN2-92NFPzA/view?usp=drivesdk")</f>
        <v>https://drive.google.com/file/d/10qrfSI6el5Rp2NClK8mQRBN2-92NFPzA/view?usp=drivesdk</v>
      </c>
    </row>
    <row r="10018">
      <c r="A10018" s="15">
        <f>IFERROR(__xludf.DUMMYFUNCTION("""COMPUTED_VALUE"""),45282.0)</f>
        <v>45282</v>
      </c>
      <c r="B10018" s="16" t="str">
        <f>IFERROR(__xludf.DUMMYFUNCTION("""COMPUTED_VALUE"""),"Envia")</f>
        <v>Envia</v>
      </c>
      <c r="C10018" s="15" t="str">
        <f>IFERROR(__xludf.DUMMYFUNCTION("""COMPUTED_VALUE"""),"BARRANQUILLA")</f>
        <v>BARRANQUILLA</v>
      </c>
      <c r="D10018" s="15" t="str">
        <f>IFERROR(__xludf.DUMMYFUNCTION("""COMPUTED_VALUE"""),"BOGOTÁ")</f>
        <v>BOGOTÁ</v>
      </c>
      <c r="E10018" s="15" t="str">
        <f>IFERROR(__xludf.DUMMYFUNCTION("""COMPUTED_VALUE"""),"Premium Choice")</f>
        <v>Premium Choice</v>
      </c>
      <c r="F10018" s="17" t="str">
        <f>IFERROR(__xludf.DUMMYFUNCTION("""COMPUTED_VALUE"""),"Cr 54 # 70 - 69  / Local 101  / Barranquilla")</f>
        <v>Cr 54 # 70 - 69  / Local 101  / Barranquilla</v>
      </c>
      <c r="G10018" s="15" t="str">
        <f>IFERROR(__xludf.DUMMYFUNCTION("""COMPUTED_VALUE"""),"Galia alimentos")</f>
        <v>Galia alimentos</v>
      </c>
      <c r="H10018" s="16">
        <f>IFERROR(__xludf.DUMMYFUNCTION("""COMPUTED_VALUE"""),18681.0)</f>
        <v>18681</v>
      </c>
      <c r="I10018" s="18">
        <f>IFERROR(__xludf.DUMMYFUNCTION("""COMPUTED_VALUE"""),30.0)</f>
        <v>30</v>
      </c>
      <c r="J10018" s="18">
        <f>IFERROR(__xludf.DUMMYFUNCTION("""COMPUTED_VALUE"""),30.0)</f>
        <v>30</v>
      </c>
      <c r="K10018" s="18">
        <f>IFERROR(__xludf.DUMMYFUNCTION("""COMPUTED_VALUE"""),30.0)</f>
        <v>30</v>
      </c>
      <c r="L10018" s="17">
        <f>IFERROR(__xludf.DUMMYFUNCTION("""COMPUTED_VALUE"""),3.102170999E9)</f>
        <v>3102170999</v>
      </c>
      <c r="M10018" s="17"/>
      <c r="N10018" s="17"/>
      <c r="O10018" s="17"/>
      <c r="P10018" s="17" t="b">
        <f>IFERROR(__xludf.DUMMYFUNCTION("""COMPUTED_VALUE"""),FALSE)</f>
        <v>0</v>
      </c>
      <c r="Q10018" s="20" t="str">
        <f>IFERROR(__xludf.DUMMYFUNCTION("""COMPUTED_VALUE"""),"")</f>
        <v/>
      </c>
      <c r="R10018" s="21" t="str">
        <f>IFERROR(__xludf.DUMMYFUNCTION("""COMPUTED_VALUE"""),"https://drive.google.com/file/d/1wvkVv86_uj1hcRBpBrzj0TlNsmZoMrRO/view?usp=drivesdk")</f>
        <v>https://drive.google.com/file/d/1wvkVv86_uj1hcRBpBrzj0TlNsmZoMrRO/view?usp=drivesdk</v>
      </c>
    </row>
    <row r="10019">
      <c r="A10019" s="15">
        <f>IFERROR(__xludf.DUMMYFUNCTION("""COMPUTED_VALUE"""),45282.0)</f>
        <v>45282</v>
      </c>
      <c r="B10019" s="16" t="str">
        <f>IFERROR(__xludf.DUMMYFUNCTION("""COMPUTED_VALUE"""),"Envia")</f>
        <v>Envia</v>
      </c>
      <c r="C10019" s="15" t="str">
        <f>IFERROR(__xludf.DUMMYFUNCTION("""COMPUTED_VALUE"""),"BOGOTÁ")</f>
        <v>BOGOTÁ</v>
      </c>
      <c r="D10019" s="15" t="str">
        <f>IFERROR(__xludf.DUMMYFUNCTION("""COMPUTED_VALUE"""),"MEDELLÍN")</f>
        <v>MEDELLÍN</v>
      </c>
      <c r="E10019" s="15" t="str">
        <f>IFERROR(__xludf.DUMMYFUNCTION("""COMPUTED_VALUE"""),"Hielos IGLU")</f>
        <v>Hielos IGLU</v>
      </c>
      <c r="F10019" s="17" t="str">
        <f>IFERROR(__xludf.DUMMYFUNCTION("""COMPUTED_VALUE"""),"Cl 73 A No. 69-63 / Bodega / Barrio Ferias")</f>
        <v>Cl 73 A No. 69-63 / Bodega / Barrio Ferias</v>
      </c>
      <c r="G10019" s="15" t="str">
        <f>IFERROR(__xludf.DUMMYFUNCTION("""COMPUTED_VALUE"""),"Anderson García")</f>
        <v>Anderson García</v>
      </c>
      <c r="H10019" s="16">
        <f>IFERROR(__xludf.DUMMYFUNCTION("""COMPUTED_VALUE"""),18719.0)</f>
        <v>18719</v>
      </c>
      <c r="I10019" s="18">
        <f>IFERROR(__xludf.DUMMYFUNCTION("""COMPUTED_VALUE"""),52.0)</f>
        <v>52</v>
      </c>
      <c r="J10019" s="18">
        <f>IFERROR(__xludf.DUMMYFUNCTION("""COMPUTED_VALUE"""),45.0)</f>
        <v>45</v>
      </c>
      <c r="K10019" s="18">
        <f>IFERROR(__xludf.DUMMYFUNCTION("""COMPUTED_VALUE"""),55.0)</f>
        <v>55</v>
      </c>
      <c r="L10019" s="17">
        <f>IFERROR(__xludf.DUMMYFUNCTION("""COMPUTED_VALUE"""),3.167537656E9)</f>
        <v>3167537656</v>
      </c>
      <c r="M10019" s="17"/>
      <c r="N10019" s="17"/>
      <c r="O10019" s="17"/>
      <c r="P10019" s="17" t="b">
        <f>IFERROR(__xludf.DUMMYFUNCTION("""COMPUTED_VALUE"""),FALSE)</f>
        <v>0</v>
      </c>
      <c r="Q10019" s="20" t="str">
        <f>IFERROR(__xludf.DUMMYFUNCTION("""COMPUTED_VALUE"""),"")</f>
        <v/>
      </c>
      <c r="R10019" s="21" t="str">
        <f>IFERROR(__xludf.DUMMYFUNCTION("""COMPUTED_VALUE"""),"https://drive.google.com/file/d/1oC_39qWsacumeTOBuEp5tjAO_KXkc0PB/view?usp=drivesdk")</f>
        <v>https://drive.google.com/file/d/1oC_39qWsacumeTOBuEp5tjAO_KXkc0PB/view?usp=drivesdk</v>
      </c>
    </row>
    <row r="10020">
      <c r="A10020" s="15">
        <f>IFERROR(__xludf.DUMMYFUNCTION("""COMPUTED_VALUE"""),45282.0)</f>
        <v>45282</v>
      </c>
      <c r="B10020" s="16" t="str">
        <f>IFERROR(__xludf.DUMMYFUNCTION("""COMPUTED_VALUE"""),"Envia")</f>
        <v>Envia</v>
      </c>
      <c r="C10020" s="15" t="str">
        <f>IFERROR(__xludf.DUMMYFUNCTION("""COMPUTED_VALUE"""),"CALI")</f>
        <v>CALI</v>
      </c>
      <c r="D10020" s="15" t="str">
        <f>IFERROR(__xludf.DUMMYFUNCTION("""COMPUTED_VALUE"""),"BOGOTÁ")</f>
        <v>BOGOTÁ</v>
      </c>
      <c r="E10020" s="15" t="str">
        <f>IFERROR(__xludf.DUMMYFUNCTION("""COMPUTED_VALUE"""),"Athenas")</f>
        <v>Athenas</v>
      </c>
      <c r="F10020" s="17" t="str">
        <f>IFERROR(__xludf.DUMMYFUNCTION("""COMPUTED_VALUE"""),"Calle 48# 85-54 / BODYTECH CAFETERIA / CANEY")</f>
        <v>Calle 48# 85-54 / BODYTECH CAFETERIA / CANEY</v>
      </c>
      <c r="G10020" s="15" t="str">
        <f>IFERROR(__xludf.DUMMYFUNCTION("""COMPUTED_VALUE"""),"GINA PANESSO")</f>
        <v>GINA PANESSO</v>
      </c>
      <c r="H10020" s="16">
        <f>IFERROR(__xludf.DUMMYFUNCTION("""COMPUTED_VALUE"""),18630.0)</f>
        <v>18630</v>
      </c>
      <c r="I10020" s="18" t="str">
        <f>IFERROR(__xludf.DUMMYFUNCTION("""COMPUTED_VALUE"""),"52.5")</f>
        <v>52.5</v>
      </c>
      <c r="J10020" s="18">
        <f>IFERROR(__xludf.DUMMYFUNCTION("""COMPUTED_VALUE"""),55.0)</f>
        <v>55</v>
      </c>
      <c r="K10020" s="18">
        <f>IFERROR(__xludf.DUMMYFUNCTION("""COMPUTED_VALUE"""),45.0)</f>
        <v>45</v>
      </c>
      <c r="L10020" s="17">
        <f>IFERROR(__xludf.DUMMYFUNCTION("""COMPUTED_VALUE"""),3.103897576E9)</f>
        <v>3103897576</v>
      </c>
      <c r="M10020" s="17"/>
      <c r="N10020" s="17"/>
      <c r="O10020" s="17"/>
      <c r="P10020" s="17" t="b">
        <f>IFERROR(__xludf.DUMMYFUNCTION("""COMPUTED_VALUE"""),FALSE)</f>
        <v>0</v>
      </c>
      <c r="Q10020" s="20" t="str">
        <f>IFERROR(__xludf.DUMMYFUNCTION("""COMPUTED_VALUE"""),"")</f>
        <v/>
      </c>
      <c r="R10020" s="21" t="str">
        <f>IFERROR(__xludf.DUMMYFUNCTION("""COMPUTED_VALUE"""),"https://drive.google.com/file/d/1ZU5Ac3usFzSvq7AfC3p-ArwZuvNCkL70/view?usp=drivesdk")</f>
        <v>https://drive.google.com/file/d/1ZU5Ac3usFzSvq7AfC3p-ArwZuvNCkL70/view?usp=drivesdk</v>
      </c>
    </row>
    <row r="10021">
      <c r="A10021" s="15">
        <f>IFERROR(__xludf.DUMMYFUNCTION("""COMPUTED_VALUE"""),45282.0)</f>
        <v>45282</v>
      </c>
      <c r="B10021" s="16" t="str">
        <f>IFERROR(__xludf.DUMMYFUNCTION("""COMPUTED_VALUE"""),"Envia")</f>
        <v>Envia</v>
      </c>
      <c r="C10021" s="15" t="str">
        <f>IFERROR(__xludf.DUMMYFUNCTION("""COMPUTED_VALUE"""),"CALI")</f>
        <v>CALI</v>
      </c>
      <c r="D10021" s="15" t="str">
        <f>IFERROR(__xludf.DUMMYFUNCTION("""COMPUTED_VALUE"""),"BOGOTÁ")</f>
        <v>BOGOTÁ</v>
      </c>
      <c r="E10021" s="15" t="str">
        <f>IFERROR(__xludf.DUMMYFUNCTION("""COMPUTED_VALUE"""),"Athenas")</f>
        <v>Athenas</v>
      </c>
      <c r="F10021" s="17" t="str">
        <f>IFERROR(__xludf.DUMMYFUNCTION("""COMPUTED_VALUE"""),"Carrera 98 #16-200 C.C.Jardín Plaza Piso 3 / BODYTECH CAFETERIA / CIUDAD JARDIN")</f>
        <v>Carrera 98 #16-200 C.C.Jardín Plaza Piso 3 / BODYTECH CAFETERIA / CIUDAD JARDIN</v>
      </c>
      <c r="G10021" s="15" t="str">
        <f>IFERROR(__xludf.DUMMYFUNCTION("""COMPUTED_VALUE"""),"JORGE PARRA")</f>
        <v>JORGE PARRA</v>
      </c>
      <c r="H10021" s="16">
        <f>IFERROR(__xludf.DUMMYFUNCTION("""COMPUTED_VALUE"""),18629.0)</f>
        <v>18629</v>
      </c>
      <c r="I10021" s="18" t="str">
        <f>IFERROR(__xludf.DUMMYFUNCTION("""COMPUTED_VALUE"""),"52.5")</f>
        <v>52.5</v>
      </c>
      <c r="J10021" s="18">
        <f>IFERROR(__xludf.DUMMYFUNCTION("""COMPUTED_VALUE"""),55.0)</f>
        <v>55</v>
      </c>
      <c r="K10021" s="18">
        <f>IFERROR(__xludf.DUMMYFUNCTION("""COMPUTED_VALUE"""),45.0)</f>
        <v>45</v>
      </c>
      <c r="L10021" s="17">
        <f>IFERROR(__xludf.DUMMYFUNCTION("""COMPUTED_VALUE"""),3.246801614E9)</f>
        <v>3246801614</v>
      </c>
      <c r="M10021" s="17"/>
      <c r="N10021" s="17"/>
      <c r="O10021" s="17"/>
      <c r="P10021" s="17" t="b">
        <f>IFERROR(__xludf.DUMMYFUNCTION("""COMPUTED_VALUE"""),FALSE)</f>
        <v>0</v>
      </c>
      <c r="Q10021" s="20" t="str">
        <f>IFERROR(__xludf.DUMMYFUNCTION("""COMPUTED_VALUE"""),"")</f>
        <v/>
      </c>
      <c r="R10021" s="21" t="str">
        <f>IFERROR(__xludf.DUMMYFUNCTION("""COMPUTED_VALUE"""),"https://drive.google.com/file/d/1flS_4_iFPHd0i8nsPszSW-tX7-QBq-lt/view?usp=drivesdk")</f>
        <v>https://drive.google.com/file/d/1flS_4_iFPHd0i8nsPszSW-tX7-QBq-lt/view?usp=drivesdk</v>
      </c>
    </row>
    <row r="10022">
      <c r="A10022" s="15">
        <f>IFERROR(__xludf.DUMMYFUNCTION("""COMPUTED_VALUE"""),45282.0)</f>
        <v>45282</v>
      </c>
      <c r="B10022" s="16" t="str">
        <f>IFERROR(__xludf.DUMMYFUNCTION("""COMPUTED_VALUE"""),"Envia")</f>
        <v>Envia</v>
      </c>
      <c r="C10022" s="15" t="str">
        <f>IFERROR(__xludf.DUMMYFUNCTION("""COMPUTED_VALUE"""),"CALI")</f>
        <v>CALI</v>
      </c>
      <c r="D10022" s="15" t="str">
        <f>IFERROR(__xludf.DUMMYFUNCTION("""COMPUTED_VALUE"""),"BOGOTÁ")</f>
        <v>BOGOTÁ</v>
      </c>
      <c r="E10022" s="15" t="str">
        <f>IFERROR(__xludf.DUMMYFUNCTION("""COMPUTED_VALUE"""),"Renata")</f>
        <v>Renata</v>
      </c>
      <c r="F10022" s="17" t="str">
        <f>IFERROR(__xludf.DUMMYFUNCTION("""COMPUTED_VALUE"""),"Carrera 3#a-83 / Restaurante  / Patio 34 food containers")</f>
        <v>Carrera 3#a-83 / Restaurante  / Patio 34 food containers</v>
      </c>
      <c r="G10022" s="15" t="str">
        <f>IFERROR(__xludf.DUMMYFUNCTION("""COMPUTED_VALUE"""),"Renata cali")</f>
        <v>Renata cali</v>
      </c>
      <c r="H10022" s="16">
        <f>IFERROR(__xludf.DUMMYFUNCTION("""COMPUTED_VALUE"""),18720.0)</f>
        <v>18720</v>
      </c>
      <c r="I10022" s="18">
        <f>IFERROR(__xludf.DUMMYFUNCTION("""COMPUTED_VALUE"""),90.0)</f>
        <v>90</v>
      </c>
      <c r="J10022" s="18">
        <f>IFERROR(__xludf.DUMMYFUNCTION("""COMPUTED_VALUE"""),90.0)</f>
        <v>90</v>
      </c>
      <c r="K10022" s="18">
        <f>IFERROR(__xludf.DUMMYFUNCTION("""COMPUTED_VALUE"""),90.0)</f>
        <v>90</v>
      </c>
      <c r="L10022" s="17">
        <f>IFERROR(__xludf.DUMMYFUNCTION("""COMPUTED_VALUE"""),3.134720976E9)</f>
        <v>3134720976</v>
      </c>
      <c r="M10022" s="17"/>
      <c r="N10022" s="17"/>
      <c r="O10022" s="17"/>
      <c r="P10022" s="17" t="b">
        <f>IFERROR(__xludf.DUMMYFUNCTION("""COMPUTED_VALUE"""),FALSE)</f>
        <v>0</v>
      </c>
      <c r="Q10022" s="20" t="str">
        <f>IFERROR(__xludf.DUMMYFUNCTION("""COMPUTED_VALUE"""),"")</f>
        <v/>
      </c>
      <c r="R10022" s="21" t="str">
        <f>IFERROR(__xludf.DUMMYFUNCTION("""COMPUTED_VALUE"""),"https://drive.google.com/file/d/1Fz291mp_p-Qa452rFFMYbeY2gXGKCpwV/view?usp=drivesdk")</f>
        <v>https://drive.google.com/file/d/1Fz291mp_p-Qa452rFFMYbeY2gXGKCpwV/view?usp=drivesdk</v>
      </c>
    </row>
    <row r="10023">
      <c r="A10023" s="15">
        <f>IFERROR(__xludf.DUMMYFUNCTION("""COMPUTED_VALUE"""),45282.0)</f>
        <v>45282</v>
      </c>
      <c r="B10023" s="16" t="str">
        <f>IFERROR(__xludf.DUMMYFUNCTION("""COMPUTED_VALUE"""),"Envia")</f>
        <v>Envia</v>
      </c>
      <c r="C10023" s="15" t="str">
        <f>IFERROR(__xludf.DUMMYFUNCTION("""COMPUTED_VALUE"""),"CARTAGENA")</f>
        <v>CARTAGENA</v>
      </c>
      <c r="D10023" s="15" t="str">
        <f>IFERROR(__xludf.DUMMYFUNCTION("""COMPUTED_VALUE"""),"MEDELLÍN")</f>
        <v>MEDELLÍN</v>
      </c>
      <c r="E10023" s="15" t="str">
        <f>IFERROR(__xludf.DUMMYFUNCTION("""COMPUTED_VALUE"""),"Gastro INC")</f>
        <v>Gastro INC</v>
      </c>
      <c r="F10023" s="17" t="str">
        <f>IFERROR(__xludf.DUMMYFUNCTION("""COMPUTED_VALUE"""),"Calle 38 # 8-19, Calle del Santísimo, Provincia de Cartagena, Bolívar / Restaurante Carmen Cartagena / Ciudad vieja")</f>
        <v>Calle 38 # 8-19, Calle del Santísimo, Provincia de Cartagena, Bolívar / Restaurante Carmen Cartagena / Ciudad vieja</v>
      </c>
      <c r="G10023" s="15" t="str">
        <f>IFERROR(__xludf.DUMMYFUNCTION("""COMPUTED_VALUE"""),"Restaurante Carmen Cartagena. Angelica Herrera")</f>
        <v>Restaurante Carmen Cartagena. Angelica Herrera</v>
      </c>
      <c r="H10023" s="16">
        <f>IFERROR(__xludf.DUMMYFUNCTION("""COMPUTED_VALUE"""),18643.0)</f>
        <v>18643</v>
      </c>
      <c r="I10023" s="18">
        <f>IFERROR(__xludf.DUMMYFUNCTION("""COMPUTED_VALUE"""),105.0)</f>
        <v>105</v>
      </c>
      <c r="J10023" s="18">
        <f>IFERROR(__xludf.DUMMYFUNCTION("""COMPUTED_VALUE"""),55.0)</f>
        <v>55</v>
      </c>
      <c r="K10023" s="18">
        <f>IFERROR(__xludf.DUMMYFUNCTION("""COMPUTED_VALUE"""),45.0)</f>
        <v>45</v>
      </c>
      <c r="L10023" s="17">
        <f>IFERROR(__xludf.DUMMYFUNCTION("""COMPUTED_VALUE"""),3.219791983E9)</f>
        <v>3219791983</v>
      </c>
      <c r="M10023" s="17"/>
      <c r="N10023" s="17"/>
      <c r="O10023" s="17"/>
      <c r="P10023" s="17" t="b">
        <f>IFERROR(__xludf.DUMMYFUNCTION("""COMPUTED_VALUE"""),FALSE)</f>
        <v>0</v>
      </c>
      <c r="Q10023" s="20" t="str">
        <f>IFERROR(__xludf.DUMMYFUNCTION("""COMPUTED_VALUE"""),"")</f>
        <v/>
      </c>
      <c r="R10023" s="21" t="str">
        <f>IFERROR(__xludf.DUMMYFUNCTION("""COMPUTED_VALUE"""),"https://drive.google.com/file/d/1mhHUtTyr-rPJb458tLJ75ljKTbs56sAy/view?usp=drivesdk")</f>
        <v>https://drive.google.com/file/d/1mhHUtTyr-rPJb458tLJ75ljKTbs56sAy/view?usp=drivesdk</v>
      </c>
    </row>
    <row r="10024">
      <c r="A10024" s="15">
        <f>IFERROR(__xludf.DUMMYFUNCTION("""COMPUTED_VALUE"""),45282.0)</f>
        <v>45282</v>
      </c>
      <c r="B10024" s="16" t="str">
        <f>IFERROR(__xludf.DUMMYFUNCTION("""COMPUTED_VALUE"""),"Envia")</f>
        <v>Envia</v>
      </c>
      <c r="C10024" s="15" t="str">
        <f>IFERROR(__xludf.DUMMYFUNCTION("""COMPUTED_VALUE"""),"CÚCUTA")</f>
        <v>CÚCUTA</v>
      </c>
      <c r="D10024" s="15" t="str">
        <f>IFERROR(__xludf.DUMMYFUNCTION("""COMPUTED_VALUE"""),"BOGOTÁ")</f>
        <v>BOGOTÁ</v>
      </c>
      <c r="E10024" s="15" t="str">
        <f>IFERROR(__xludf.DUMMYFUNCTION("""COMPUTED_VALUE"""),"Athenas")</f>
        <v>Athenas</v>
      </c>
      <c r="F10024" s="17" t="str">
        <f>IFERROR(__xludf.DUMMYFUNCTION("""COMPUTED_VALUE"""),"Calle 11 # 2E-10 Centro Comercial Quinta Vélez Piso 3 - Local 301 / BODYTECH CAFETERIAS / CAOBOS")</f>
        <v>Calle 11 # 2E-10 Centro Comercial Quinta Vélez Piso 3 - Local 301 / BODYTECH CAFETERIAS / CAOBOS</v>
      </c>
      <c r="G10024" s="15" t="str">
        <f>IFERROR(__xludf.DUMMYFUNCTION("""COMPUTED_VALUE"""),"JENIFER RODRIGUEZ")</f>
        <v>JENIFER RODRIGUEZ</v>
      </c>
      <c r="H10024" s="16">
        <f>IFERROR(__xludf.DUMMYFUNCTION("""COMPUTED_VALUE"""),18627.0)</f>
        <v>18627</v>
      </c>
      <c r="I10024" s="18">
        <f>IFERROR(__xludf.DUMMYFUNCTION("""COMPUTED_VALUE"""),29.0)</f>
        <v>29</v>
      </c>
      <c r="J10024" s="18">
        <f>IFERROR(__xludf.DUMMYFUNCTION("""COMPUTED_VALUE"""),55.0)</f>
        <v>55</v>
      </c>
      <c r="K10024" s="18">
        <f>IFERROR(__xludf.DUMMYFUNCTION("""COMPUTED_VALUE"""),45.0)</f>
        <v>45</v>
      </c>
      <c r="L10024" s="17">
        <f>IFERROR(__xludf.DUMMYFUNCTION("""COMPUTED_VALUE"""),3.166748316E9)</f>
        <v>3166748316</v>
      </c>
      <c r="M10024" s="17"/>
      <c r="N10024" s="17"/>
      <c r="O10024" s="17"/>
      <c r="P10024" s="17" t="b">
        <f>IFERROR(__xludf.DUMMYFUNCTION("""COMPUTED_VALUE"""),FALSE)</f>
        <v>0</v>
      </c>
      <c r="Q10024" s="20" t="str">
        <f>IFERROR(__xludf.DUMMYFUNCTION("""COMPUTED_VALUE"""),"")</f>
        <v/>
      </c>
      <c r="R10024" s="21" t="str">
        <f>IFERROR(__xludf.DUMMYFUNCTION("""COMPUTED_VALUE"""),"https://drive.google.com/file/d/1rVnl0_e5VURtuoR9FIFjKJ-UbOLdnwod/view?usp=drivesdk")</f>
        <v>https://drive.google.com/file/d/1rVnl0_e5VURtuoR9FIFjKJ-UbOLdnwod/view?usp=drivesdk</v>
      </c>
    </row>
    <row r="10025">
      <c r="A10025" s="15">
        <f>IFERROR(__xludf.DUMMYFUNCTION("""COMPUTED_VALUE"""),45282.0)</f>
        <v>45282</v>
      </c>
      <c r="B10025" s="16" t="str">
        <f>IFERROR(__xludf.DUMMYFUNCTION("""COMPUTED_VALUE"""),"Envia")</f>
        <v>Envia</v>
      </c>
      <c r="C10025" s="15" t="str">
        <f>IFERROR(__xludf.DUMMYFUNCTION("""COMPUTED_VALUE"""),"CÚCUTA")</f>
        <v>CÚCUTA</v>
      </c>
      <c r="D10025" s="15" t="str">
        <f>IFERROR(__xludf.DUMMYFUNCTION("""COMPUTED_VALUE"""),"BOGOTÁ")</f>
        <v>BOGOTÁ</v>
      </c>
      <c r="E10025" s="15" t="str">
        <f>IFERROR(__xludf.DUMMYFUNCTION("""COMPUTED_VALUE"""),"LINA PAOLA RAMIREZ GOMEZ - EVA MAZZITA")</f>
        <v>LINA PAOLA RAMIREZ GOMEZ - EVA MAZZITA</v>
      </c>
      <c r="F10025" s="17" t="str">
        <f>IFERROR(__xludf.DUMMYFUNCTION("""COMPUTED_VALUE"""),"Av 2E # 15A -17 Caobos / Caobos")</f>
        <v>Av 2E # 15A -17 Caobos / Caobos</v>
      </c>
      <c r="G10025" s="15" t="str">
        <f>IFERROR(__xludf.DUMMYFUNCTION("""COMPUTED_VALUE"""),"DACCY KARINA LOPEZ MORENO")</f>
        <v>DACCY KARINA LOPEZ MORENO</v>
      </c>
      <c r="H10025" s="16">
        <f>IFERROR(__xludf.DUMMYFUNCTION("""COMPUTED_VALUE"""),18665.0)</f>
        <v>18665</v>
      </c>
      <c r="I10025" s="17"/>
      <c r="J10025" s="17"/>
      <c r="K10025" s="17"/>
      <c r="L10025" s="17">
        <f>IFERROR(__xludf.DUMMYFUNCTION("""COMPUTED_VALUE"""),3.208615379E9)</f>
        <v>3208615379</v>
      </c>
      <c r="M10025" s="17"/>
      <c r="N10025" s="17"/>
      <c r="O10025" s="17"/>
      <c r="P10025" s="17" t="b">
        <f>IFERROR(__xludf.DUMMYFUNCTION("""COMPUTED_VALUE"""),FALSE)</f>
        <v>0</v>
      </c>
      <c r="Q10025" s="20" t="str">
        <f>IFERROR(__xludf.DUMMYFUNCTION("""COMPUTED_VALUE"""),"")</f>
        <v/>
      </c>
      <c r="R10025" s="21" t="str">
        <f>IFERROR(__xludf.DUMMYFUNCTION("""COMPUTED_VALUE"""),"https://drive.google.com/file/d/1nvIcrvk6EivhLOYJGJuNv_o-hNCEakzv/view?usp=drivesdk")</f>
        <v>https://drive.google.com/file/d/1nvIcrvk6EivhLOYJGJuNv_o-hNCEakzv/view?usp=drivesdk</v>
      </c>
    </row>
    <row r="10026">
      <c r="A10026" s="15">
        <f>IFERROR(__xludf.DUMMYFUNCTION("""COMPUTED_VALUE"""),45282.0)</f>
        <v>45282</v>
      </c>
      <c r="B10026" s="16" t="str">
        <f>IFERROR(__xludf.DUMMYFUNCTION("""COMPUTED_VALUE"""),"Envia")</f>
        <v>Envia</v>
      </c>
      <c r="C10026" s="15" t="str">
        <f>IFERROR(__xludf.DUMMYFUNCTION("""COMPUTED_VALUE"""),"CÚCUTA")</f>
        <v>CÚCUTA</v>
      </c>
      <c r="D10026" s="15" t="str">
        <f>IFERROR(__xludf.DUMMYFUNCTION("""COMPUTED_VALUE"""),"MEDELLÍN")</f>
        <v>MEDELLÍN</v>
      </c>
      <c r="E10026" s="15" t="str">
        <f>IFERROR(__xludf.DUMMYFUNCTION("""COMPUTED_VALUE"""),"Helados swip")</f>
        <v>Helados swip</v>
      </c>
      <c r="F10026" s="17" t="str">
        <f>IFERROR(__xludf.DUMMYFUNCTION("""COMPUTED_VALUE"""),"AV 3 E CON 15 A ESQUINA LOS CAOBOS / ESQUINA LOS CAOBOS  / MERCADO Y RESTAURANTE CABERNET")</f>
        <v>AV 3 E CON 15 A ESQUINA LOS CAOBOS / ESQUINA LOS CAOBOS  / MERCADO Y RESTAURANTE CABERNET</v>
      </c>
      <c r="G10026" s="15" t="str">
        <f>IFERROR(__xludf.DUMMYFUNCTION("""COMPUTED_VALUE"""),"GENJIBRE CAROLINA ESPINOSA")</f>
        <v>GENJIBRE CAROLINA ESPINOSA</v>
      </c>
      <c r="H10026" s="16">
        <f>IFERROR(__xludf.DUMMYFUNCTION("""COMPUTED_VALUE"""),18640.0)</f>
        <v>18640</v>
      </c>
      <c r="I10026" s="18">
        <f>IFERROR(__xludf.DUMMYFUNCTION("""COMPUTED_VALUE"""),50.0)</f>
        <v>50</v>
      </c>
      <c r="J10026" s="18">
        <f>IFERROR(__xludf.DUMMYFUNCTION("""COMPUTED_VALUE"""),30.0)</f>
        <v>30</v>
      </c>
      <c r="K10026" s="18">
        <f>IFERROR(__xludf.DUMMYFUNCTION("""COMPUTED_VALUE"""),21.0)</f>
        <v>21</v>
      </c>
      <c r="L10026" s="17">
        <f>IFERROR(__xludf.DUMMYFUNCTION("""COMPUTED_VALUE"""),3.005618715E9)</f>
        <v>3005618715</v>
      </c>
      <c r="M10026" s="17"/>
      <c r="N10026" s="17"/>
      <c r="O10026" s="17"/>
      <c r="P10026" s="17" t="b">
        <f>IFERROR(__xludf.DUMMYFUNCTION("""COMPUTED_VALUE"""),FALSE)</f>
        <v>0</v>
      </c>
      <c r="Q10026" s="20" t="str">
        <f>IFERROR(__xludf.DUMMYFUNCTION("""COMPUTED_VALUE"""),"")</f>
        <v/>
      </c>
      <c r="R10026" s="22" t="str">
        <f>IFERROR(__xludf.DUMMYFUNCTION("""COMPUTED_VALUE"""),"")</f>
        <v/>
      </c>
    </row>
    <row r="10027">
      <c r="A10027" s="15">
        <f>IFERROR(__xludf.DUMMYFUNCTION("""COMPUTED_VALUE"""),45282.0)</f>
        <v>45282</v>
      </c>
      <c r="B10027" s="16" t="str">
        <f>IFERROR(__xludf.DUMMYFUNCTION("""COMPUTED_VALUE"""),"Envia")</f>
        <v>Envia</v>
      </c>
      <c r="C10027" s="15" t="str">
        <f>IFERROR(__xludf.DUMMYFUNCTION("""COMPUTED_VALUE"""),"ITAGÜI")</f>
        <v>ITAGÜI</v>
      </c>
      <c r="D10027" s="15" t="str">
        <f>IFERROR(__xludf.DUMMYFUNCTION("""COMPUTED_VALUE"""),"BOGOTÁ")</f>
        <v>BOGOTÁ</v>
      </c>
      <c r="E10027" s="15" t="str">
        <f>IFERROR(__xludf.DUMMYFUNCTION("""COMPUTED_VALUE"""),"Travolge")</f>
        <v>Travolge</v>
      </c>
      <c r="F10027" s="17" t="str">
        <f>IFERROR(__xludf.DUMMYFUNCTION("""COMPUTED_VALUE"""),"CALLE 71 #58-102 APTO 1812 / ITAGUI ANTIOQUIA")</f>
        <v>CALLE 71 #58-102 APTO 1812 / ITAGUI ANTIOQUIA</v>
      </c>
      <c r="G10027" s="15" t="str">
        <f>IFERROR(__xludf.DUMMYFUNCTION("""COMPUTED_VALUE"""),"MARCE AGUILAR")</f>
        <v>MARCE AGUILAR</v>
      </c>
      <c r="H10027" s="16">
        <f>IFERROR(__xludf.DUMMYFUNCTION("""COMPUTED_VALUE"""),18648.0)</f>
        <v>18648</v>
      </c>
      <c r="I10027" s="17"/>
      <c r="J10027" s="17"/>
      <c r="K10027" s="17"/>
      <c r="L10027" s="17">
        <f>IFERROR(__xludf.DUMMYFUNCTION("""COMPUTED_VALUE"""),3.176572363E9)</f>
        <v>3176572363</v>
      </c>
      <c r="M10027" s="17"/>
      <c r="N10027" s="17"/>
      <c r="O10027" s="17"/>
      <c r="P10027" s="17" t="b">
        <f>IFERROR(__xludf.DUMMYFUNCTION("""COMPUTED_VALUE"""),FALSE)</f>
        <v>0</v>
      </c>
      <c r="Q10027" s="20" t="str">
        <f>IFERROR(__xludf.DUMMYFUNCTION("""COMPUTED_VALUE"""),"")</f>
        <v/>
      </c>
      <c r="R10027" s="21" t="str">
        <f>IFERROR(__xludf.DUMMYFUNCTION("""COMPUTED_VALUE"""),"https://drive.google.com/file/d/1-tXBJcFdbp5pSpCN-tkhysLkbUZ04h1y/view?usp=drivesdk")</f>
        <v>https://drive.google.com/file/d/1-tXBJcFdbp5pSpCN-tkhysLkbUZ04h1y/view?usp=drivesdk</v>
      </c>
    </row>
    <row r="10028">
      <c r="A10028" s="15">
        <f>IFERROR(__xludf.DUMMYFUNCTION("""COMPUTED_VALUE"""),45282.0)</f>
        <v>45282</v>
      </c>
      <c r="B10028" s="16" t="str">
        <f>IFERROR(__xludf.DUMMYFUNCTION("""COMPUTED_VALUE"""),"Envia")</f>
        <v>Envia</v>
      </c>
      <c r="C10028" s="15" t="str">
        <f>IFERROR(__xludf.DUMMYFUNCTION("""COMPUTED_VALUE"""),"MEDELLÍN")</f>
        <v>MEDELLÍN</v>
      </c>
      <c r="D10028" s="15" t="str">
        <f>IFERROR(__xludf.DUMMYFUNCTION("""COMPUTED_VALUE"""),"BOGOTÁ")</f>
        <v>BOGOTÁ</v>
      </c>
      <c r="E10028" s="15" t="str">
        <f>IFERROR(__xludf.DUMMYFUNCTION("""COMPUTED_VALUE"""),"Renata")</f>
        <v>Renata</v>
      </c>
      <c r="F10028" s="17" t="str">
        <f>IFERROR(__xludf.DUMMYFUNCTION("""COMPUTED_VALUE"""),"Carrera 32d 9-43 / Restaurante  / Seline medellin y cowark")</f>
        <v>Carrera 32d 9-43 / Restaurante  / Seline medellin y cowark</v>
      </c>
      <c r="G10028" s="15" t="str">
        <f>IFERROR(__xludf.DUMMYFUNCTION("""COMPUTED_VALUE"""),"Frant y back hospitality group s.a.s")</f>
        <v>Frant y back hospitality group s.a.s</v>
      </c>
      <c r="H10028" s="16">
        <f>IFERROR(__xludf.DUMMYFUNCTION("""COMPUTED_VALUE"""),18721.0)</f>
        <v>18721</v>
      </c>
      <c r="I10028" s="18">
        <f>IFERROR(__xludf.DUMMYFUNCTION("""COMPUTED_VALUE"""),90.0)</f>
        <v>90</v>
      </c>
      <c r="J10028" s="18">
        <f>IFERROR(__xludf.DUMMYFUNCTION("""COMPUTED_VALUE"""),90.0)</f>
        <v>90</v>
      </c>
      <c r="K10028" s="18">
        <f>IFERROR(__xludf.DUMMYFUNCTION("""COMPUTED_VALUE"""),90.0)</f>
        <v>90</v>
      </c>
      <c r="L10028" s="17">
        <f>IFERROR(__xludf.DUMMYFUNCTION("""COMPUTED_VALUE"""),3.104047368E9)</f>
        <v>3104047368</v>
      </c>
      <c r="M10028" s="17"/>
      <c r="N10028" s="17"/>
      <c r="O10028" s="17"/>
      <c r="P10028" s="17" t="b">
        <f>IFERROR(__xludf.DUMMYFUNCTION("""COMPUTED_VALUE"""),FALSE)</f>
        <v>0</v>
      </c>
      <c r="Q10028" s="20" t="str">
        <f>IFERROR(__xludf.DUMMYFUNCTION("""COMPUTED_VALUE"""),"")</f>
        <v/>
      </c>
      <c r="R10028" s="21" t="str">
        <f>IFERROR(__xludf.DUMMYFUNCTION("""COMPUTED_VALUE"""),"https://drive.google.com/file/d/1-SgjlxazB00ZiIzQmMondSkuZFZ4zjqv/view?usp=drivesdk")</f>
        <v>https://drive.google.com/file/d/1-SgjlxazB00ZiIzQmMondSkuZFZ4zjqv/view?usp=drivesdk</v>
      </c>
    </row>
    <row r="10029">
      <c r="A10029" s="15">
        <f>IFERROR(__xludf.DUMMYFUNCTION("""COMPUTED_VALUE"""),45282.0)</f>
        <v>45282</v>
      </c>
      <c r="B10029" s="16" t="str">
        <f>IFERROR(__xludf.DUMMYFUNCTION("""COMPUTED_VALUE"""),"Envia")</f>
        <v>Envia</v>
      </c>
      <c r="C10029" s="15" t="str">
        <f>IFERROR(__xludf.DUMMYFUNCTION("""COMPUTED_VALUE"""),"SANTA MARTA")</f>
        <v>SANTA MARTA</v>
      </c>
      <c r="D10029" s="15" t="str">
        <f>IFERROR(__xludf.DUMMYFUNCTION("""COMPUTED_VALUE"""),"MEDELLÍN")</f>
        <v>MEDELLÍN</v>
      </c>
      <c r="E10029" s="15" t="str">
        <f>IFERROR(__xludf.DUMMYFUNCTION("""COMPUTED_VALUE"""),"Terravocado")</f>
        <v>Terravocado</v>
      </c>
      <c r="F10029" s="17" t="str">
        <f>IFERROR(__xludf.DUMMYFUNCTION("""COMPUTED_VALUE"""),"CLL 18 # 4 - 05 / BARRIO CENTRO  / BARRIO CENTRO")</f>
        <v>CLL 18 # 4 - 05 / BARRIO CENTRO  / BARRIO CENTRO</v>
      </c>
      <c r="G10029" s="15" t="str">
        <f>IFERROR(__xludf.DUMMYFUNCTION("""COMPUTED_VALUE"""),"GOOD FEAST")</f>
        <v>GOOD FEAST</v>
      </c>
      <c r="H10029" s="16">
        <f>IFERROR(__xludf.DUMMYFUNCTION("""COMPUTED_VALUE"""),18686.0)</f>
        <v>18686</v>
      </c>
      <c r="I10029" s="18">
        <f>IFERROR(__xludf.DUMMYFUNCTION("""COMPUTED_VALUE"""),20.0)</f>
        <v>20</v>
      </c>
      <c r="J10029" s="18">
        <f>IFERROR(__xludf.DUMMYFUNCTION("""COMPUTED_VALUE"""),24.0)</f>
        <v>24</v>
      </c>
      <c r="K10029" s="18">
        <f>IFERROR(__xludf.DUMMYFUNCTION("""COMPUTED_VALUE"""),34.0)</f>
        <v>34</v>
      </c>
      <c r="L10029" s="17">
        <f>IFERROR(__xludf.DUMMYFUNCTION("""COMPUTED_VALUE"""),3.13672152E9)</f>
        <v>3136721520</v>
      </c>
      <c r="M10029" s="17"/>
      <c r="N10029" s="17"/>
      <c r="O10029" s="17"/>
      <c r="P10029" s="17" t="b">
        <f>IFERROR(__xludf.DUMMYFUNCTION("""COMPUTED_VALUE"""),FALSE)</f>
        <v>0</v>
      </c>
      <c r="Q10029" s="20" t="str">
        <f>IFERROR(__xludf.DUMMYFUNCTION("""COMPUTED_VALUE"""),"")</f>
        <v/>
      </c>
      <c r="R10029" s="22" t="str">
        <f>IFERROR(__xludf.DUMMYFUNCTION("""COMPUTED_VALUE"""),"")</f>
        <v/>
      </c>
    </row>
    <row r="10030">
      <c r="A10030" s="17" t="str">
        <f>IFERROR(__xludf.DUMMYFUNCTION("""COMPUTED_VALUE"""),"")</f>
        <v/>
      </c>
      <c r="B10030" s="17" t="str">
        <f>IFERROR(__xludf.DUMMYFUNCTION("""COMPUTED_VALUE"""),"")</f>
        <v/>
      </c>
      <c r="C10030" s="17" t="str">
        <f>IFERROR(__xludf.DUMMYFUNCTION("""COMPUTED_VALUE"""),"")</f>
        <v/>
      </c>
      <c r="D10030" s="17" t="str">
        <f>IFERROR(__xludf.DUMMYFUNCTION("""COMPUTED_VALUE"""),"")</f>
        <v/>
      </c>
      <c r="E10030" s="17" t="str">
        <f>IFERROR(__xludf.DUMMYFUNCTION("""COMPUTED_VALUE"""),"")</f>
        <v/>
      </c>
      <c r="F10030" s="17" t="str">
        <f>IFERROR(__xludf.DUMMYFUNCTION("""COMPUTED_VALUE"""),"")</f>
        <v/>
      </c>
      <c r="G10030" s="17" t="str">
        <f>IFERROR(__xludf.DUMMYFUNCTION("""COMPUTED_VALUE"""),"")</f>
        <v/>
      </c>
      <c r="H10030" s="17" t="str">
        <f>IFERROR(__xludf.DUMMYFUNCTION("""COMPUTED_VALUE"""),"")</f>
        <v/>
      </c>
      <c r="I10030" s="17" t="str">
        <f>IFERROR(__xludf.DUMMYFUNCTION("""COMPUTED_VALUE"""),"")</f>
        <v/>
      </c>
      <c r="J10030" s="17" t="str">
        <f>IFERROR(__xludf.DUMMYFUNCTION("""COMPUTED_VALUE"""),"")</f>
        <v/>
      </c>
      <c r="K10030" s="17" t="str">
        <f>IFERROR(__xludf.DUMMYFUNCTION("""COMPUTED_VALUE"""),"")</f>
        <v/>
      </c>
      <c r="L10030" s="17" t="str">
        <f>IFERROR(__xludf.DUMMYFUNCTION("""COMPUTED_VALUE"""),"")</f>
        <v/>
      </c>
      <c r="M10030" s="17" t="str">
        <f>IFERROR(__xludf.DUMMYFUNCTION("""COMPUTED_VALUE"""),"")</f>
        <v/>
      </c>
      <c r="N10030" s="17" t="str">
        <f>IFERROR(__xludf.DUMMYFUNCTION("""COMPUTED_VALUE"""),"")</f>
        <v/>
      </c>
      <c r="O10030" s="17" t="str">
        <f>IFERROR(__xludf.DUMMYFUNCTION("""COMPUTED_VALUE"""),"")</f>
        <v/>
      </c>
      <c r="P10030" s="17" t="str">
        <f>IFERROR(__xludf.DUMMYFUNCTION("""COMPUTED_VALUE"""),"")</f>
        <v/>
      </c>
      <c r="Q10030" s="17" t="str">
        <f>IFERROR(__xludf.DUMMYFUNCTION("""COMPUTED_VALUE"""),"")</f>
        <v/>
      </c>
      <c r="R10030" s="17" t="str">
        <f>IFERROR(__xludf.DUMMYFUNCTION("""COMPUTED_VALUE"""),"")</f>
        <v/>
      </c>
    </row>
    <row r="10031">
      <c r="A10031" s="15">
        <f>IFERROR(__xludf.DUMMYFUNCTION("""COMPUTED_VALUE"""),45282.0)</f>
        <v>45282</v>
      </c>
      <c r="B10031" s="16" t="str">
        <f>IFERROR(__xludf.DUMMYFUNCTION("""COMPUTED_VALUE"""),"JOSE ALFREDO RAMIREZ VERGARA ")</f>
        <v>JOSE ALFREDO RAMIREZ VERGARA </v>
      </c>
      <c r="C10031" s="15" t="str">
        <f>IFERROR(__xludf.DUMMYFUNCTION("""COMPUTED_VALUE"""),"BOGOTÁ")</f>
        <v>BOGOTÁ</v>
      </c>
      <c r="D10031" s="15" t="str">
        <f>IFERROR(__xludf.DUMMYFUNCTION("""COMPUTED_VALUE"""),"BARRANQUILLA")</f>
        <v>BARRANQUILLA</v>
      </c>
      <c r="E10031" s="15" t="str">
        <f>IFERROR(__xludf.DUMMYFUNCTION("""COMPUTED_VALUE"""),"Yelii")</f>
        <v>Yelii</v>
      </c>
      <c r="F10031" s="17" t="str">
        <f>IFERROR(__xludf.DUMMYFUNCTION("""COMPUTED_VALUE"""),"CRA 7D BIS # 129-40  / EDIF VALSESIA APTO 508 / NA")</f>
        <v>CRA 7D BIS # 129-40  / EDIF VALSESIA APTO 508 / NA</v>
      </c>
      <c r="G10031" s="15" t="str">
        <f>IFERROR(__xludf.DUMMYFUNCTION("""COMPUTED_VALUE"""),"Alejandra Londoño")</f>
        <v>Alejandra Londoño</v>
      </c>
      <c r="H10031" s="16">
        <f>IFERROR(__xludf.DUMMYFUNCTION("""COMPUTED_VALUE"""),18738.0)</f>
        <v>18738</v>
      </c>
      <c r="I10031" s="18">
        <f>IFERROR(__xludf.DUMMYFUNCTION("""COMPUTED_VALUE"""),21.0)</f>
        <v>21</v>
      </c>
      <c r="J10031" s="18">
        <f>IFERROR(__xludf.DUMMYFUNCTION("""COMPUTED_VALUE"""),30.0)</f>
        <v>30</v>
      </c>
      <c r="K10031" s="18">
        <f>IFERROR(__xludf.DUMMYFUNCTION("""COMPUTED_VALUE"""),50.0)</f>
        <v>50</v>
      </c>
      <c r="L10031" s="17">
        <f>IFERROR(__xludf.DUMMYFUNCTION("""COMPUTED_VALUE"""),3.186965499E9)</f>
        <v>3186965499</v>
      </c>
      <c r="M10031" s="17"/>
      <c r="N10031" s="17"/>
      <c r="O10031" s="17"/>
      <c r="P10031" s="17" t="b">
        <f>IFERROR(__xludf.DUMMYFUNCTION("""COMPUTED_VALUE"""),FALSE)</f>
        <v>0</v>
      </c>
      <c r="Q10031" s="20" t="str">
        <f>IFERROR(__xludf.DUMMYFUNCTION("""COMPUTED_VALUE"""),"")</f>
        <v/>
      </c>
      <c r="R10031" s="22" t="str">
        <f>IFERROR(__xludf.DUMMYFUNCTION("""COMPUTED_VALUE"""),"")</f>
        <v/>
      </c>
    </row>
    <row r="10032">
      <c r="A10032" s="17" t="str">
        <f>IFERROR(__xludf.DUMMYFUNCTION("""COMPUTED_VALUE"""),"")</f>
        <v/>
      </c>
      <c r="B10032" s="17" t="str">
        <f>IFERROR(__xludf.DUMMYFUNCTION("""COMPUTED_VALUE"""),"")</f>
        <v/>
      </c>
      <c r="C10032" s="17" t="str">
        <f>IFERROR(__xludf.DUMMYFUNCTION("""COMPUTED_VALUE"""),"")</f>
        <v/>
      </c>
      <c r="D10032" s="17" t="str">
        <f>IFERROR(__xludf.DUMMYFUNCTION("""COMPUTED_VALUE"""),"")</f>
        <v/>
      </c>
      <c r="E10032" s="17" t="str">
        <f>IFERROR(__xludf.DUMMYFUNCTION("""COMPUTED_VALUE"""),"")</f>
        <v/>
      </c>
      <c r="F10032" s="17" t="str">
        <f>IFERROR(__xludf.DUMMYFUNCTION("""COMPUTED_VALUE"""),"")</f>
        <v/>
      </c>
      <c r="G10032" s="17" t="str">
        <f>IFERROR(__xludf.DUMMYFUNCTION("""COMPUTED_VALUE"""),"")</f>
        <v/>
      </c>
      <c r="H10032" s="17" t="str">
        <f>IFERROR(__xludf.DUMMYFUNCTION("""COMPUTED_VALUE"""),"")</f>
        <v/>
      </c>
      <c r="I10032" s="17" t="str">
        <f>IFERROR(__xludf.DUMMYFUNCTION("""COMPUTED_VALUE"""),"")</f>
        <v/>
      </c>
      <c r="J10032" s="17" t="str">
        <f>IFERROR(__xludf.DUMMYFUNCTION("""COMPUTED_VALUE"""),"")</f>
        <v/>
      </c>
      <c r="K10032" s="17" t="str">
        <f>IFERROR(__xludf.DUMMYFUNCTION("""COMPUTED_VALUE"""),"")</f>
        <v/>
      </c>
      <c r="L10032" s="17" t="str">
        <f>IFERROR(__xludf.DUMMYFUNCTION("""COMPUTED_VALUE"""),"")</f>
        <v/>
      </c>
      <c r="M10032" s="17" t="str">
        <f>IFERROR(__xludf.DUMMYFUNCTION("""COMPUTED_VALUE"""),"")</f>
        <v/>
      </c>
      <c r="N10032" s="17" t="str">
        <f>IFERROR(__xludf.DUMMYFUNCTION("""COMPUTED_VALUE"""),"")</f>
        <v/>
      </c>
      <c r="O10032" s="17" t="str">
        <f>IFERROR(__xludf.DUMMYFUNCTION("""COMPUTED_VALUE"""),"")</f>
        <v/>
      </c>
      <c r="P10032" s="17" t="str">
        <f>IFERROR(__xludf.DUMMYFUNCTION("""COMPUTED_VALUE"""),"")</f>
        <v/>
      </c>
      <c r="Q10032" s="17" t="str">
        <f>IFERROR(__xludf.DUMMYFUNCTION("""COMPUTED_VALUE"""),"")</f>
        <v/>
      </c>
      <c r="R10032" s="17" t="str">
        <f>IFERROR(__xludf.DUMMYFUNCTION("""COMPUTED_VALUE"""),"")</f>
        <v/>
      </c>
    </row>
    <row r="10033">
      <c r="A10033" s="15">
        <f>IFERROR(__xludf.DUMMYFUNCTION("""COMPUTED_VALUE"""),45282.0)</f>
        <v>45282</v>
      </c>
      <c r="B10033" s="16" t="str">
        <f>IFERROR(__xludf.DUMMYFUNCTION("""COMPUTED_VALUE"""),"Kevin Andrés puerta Jaramillo")</f>
        <v>Kevin Andrés puerta Jaramillo</v>
      </c>
      <c r="C10033" s="15" t="str">
        <f>IFERROR(__xludf.DUMMYFUNCTION("""COMPUTED_VALUE"""),"MEDELLÍN")</f>
        <v>MEDELLÍN</v>
      </c>
      <c r="D10033" s="15" t="str">
        <f>IFERROR(__xludf.DUMMYFUNCTION("""COMPUTED_VALUE"""),"BOGOTÁ")</f>
        <v>BOGOTÁ</v>
      </c>
      <c r="E10033" s="15" t="str">
        <f>IFERROR(__xludf.DUMMYFUNCTION("""COMPUTED_VALUE"""),"Forever Dog")</f>
        <v>Forever Dog</v>
      </c>
      <c r="F10033" s="17" t="str">
        <f>IFERROR(__xludf.DUMMYFUNCTION("""COMPUTED_VALUE"""),"Cra 28# 37b sur /  Edf. Torre san miguel apto 501 Envigado / Barrio Loma de las Brujas")</f>
        <v>Cra 28# 37b sur /  Edf. Torre san miguel apto 501 Envigado / Barrio Loma de las Brujas</v>
      </c>
      <c r="G10033" s="15" t="str">
        <f>IFERROR(__xludf.DUMMYFUNCTION("""COMPUTED_VALUE"""),"Dustin Torres")</f>
        <v>Dustin Torres</v>
      </c>
      <c r="H10033" s="16">
        <f>IFERROR(__xludf.DUMMYFUNCTION("""COMPUTED_VALUE"""),18635.0)</f>
        <v>18635</v>
      </c>
      <c r="I10033" s="18">
        <f>IFERROR(__xludf.DUMMYFUNCTION("""COMPUTED_VALUE"""),21.0)</f>
        <v>21</v>
      </c>
      <c r="J10033" s="18">
        <f>IFERROR(__xludf.DUMMYFUNCTION("""COMPUTED_VALUE"""),30.0)</f>
        <v>30</v>
      </c>
      <c r="K10033" s="18">
        <f>IFERROR(__xludf.DUMMYFUNCTION("""COMPUTED_VALUE"""),50.0)</f>
        <v>50</v>
      </c>
      <c r="L10033" s="17">
        <f>IFERROR(__xludf.DUMMYFUNCTION("""COMPUTED_VALUE"""),3.013390836E9)</f>
        <v>3013390836</v>
      </c>
      <c r="M10033" s="17"/>
      <c r="N10033" s="17"/>
      <c r="O10033" s="17"/>
      <c r="P10033" s="17" t="b">
        <f>IFERROR(__xludf.DUMMYFUNCTION("""COMPUTED_VALUE"""),FALSE)</f>
        <v>0</v>
      </c>
      <c r="Q10033" s="20" t="str">
        <f>IFERROR(__xludf.DUMMYFUNCTION("""COMPUTED_VALUE"""),"")</f>
        <v/>
      </c>
      <c r="R10033" s="21" t="str">
        <f>IFERROR(__xludf.DUMMYFUNCTION("""COMPUTED_VALUE"""),"https://drive.google.com/file/d/1qW4faMcHu2h_snMoGwj8MrEoUL9dpnNG/view?usp=drivesdk")</f>
        <v>https://drive.google.com/file/d/1qW4faMcHu2h_snMoGwj8MrEoUL9dpnNG/view?usp=drivesdk</v>
      </c>
    </row>
    <row r="10034">
      <c r="A10034" s="15">
        <f>IFERROR(__xludf.DUMMYFUNCTION("""COMPUTED_VALUE"""),45282.0)</f>
        <v>45282</v>
      </c>
      <c r="B10034" s="16" t="str">
        <f>IFERROR(__xludf.DUMMYFUNCTION("""COMPUTED_VALUE"""),"Kevin Andrés puerta Jaramillo")</f>
        <v>Kevin Andrés puerta Jaramillo</v>
      </c>
      <c r="C10034" s="15" t="str">
        <f>IFERROR(__xludf.DUMMYFUNCTION("""COMPUTED_VALUE"""),"MEDELLÍN")</f>
        <v>MEDELLÍN</v>
      </c>
      <c r="D10034" s="15" t="str">
        <f>IFERROR(__xludf.DUMMYFUNCTION("""COMPUTED_VALUE"""),"BOGOTÁ")</f>
        <v>BOGOTÁ</v>
      </c>
      <c r="E10034" s="15" t="str">
        <f>IFERROR(__xludf.DUMMYFUNCTION("""COMPUTED_VALUE"""),"Natural Foodie")</f>
        <v>Natural Foodie</v>
      </c>
      <c r="F10034" s="17" t="str">
        <f>IFERROR(__xludf.DUMMYFUNCTION("""COMPUTED_VALUE"""),"Cra 46 75 sur 150  / Torre 2 apto 2107 / Sabaneta")</f>
        <v>Cra 46 75 sur 150  / Torre 2 apto 2107 / Sabaneta</v>
      </c>
      <c r="G10034" s="15" t="str">
        <f>IFERROR(__xludf.DUMMYFUNCTION("""COMPUTED_VALUE"""),"Víctor castaño")</f>
        <v>Víctor castaño</v>
      </c>
      <c r="H10034" s="16">
        <f>IFERROR(__xludf.DUMMYFUNCTION("""COMPUTED_VALUE"""),18717.0)</f>
        <v>18717</v>
      </c>
      <c r="I10034" s="18">
        <f>IFERROR(__xludf.DUMMYFUNCTION("""COMPUTED_VALUE"""),22.0)</f>
        <v>22</v>
      </c>
      <c r="J10034" s="18">
        <f>IFERROR(__xludf.DUMMYFUNCTION("""COMPUTED_VALUE"""),30.0)</f>
        <v>30</v>
      </c>
      <c r="K10034" s="18">
        <f>IFERROR(__xludf.DUMMYFUNCTION("""COMPUTED_VALUE"""),20.0)</f>
        <v>20</v>
      </c>
      <c r="L10034" s="17">
        <f>IFERROR(__xludf.DUMMYFUNCTION("""COMPUTED_VALUE"""),3.156749841E9)</f>
        <v>3156749841</v>
      </c>
      <c r="M10034" s="17"/>
      <c r="N10034" s="17"/>
      <c r="O10034" s="17"/>
      <c r="P10034" s="17" t="b">
        <f>IFERROR(__xludf.DUMMYFUNCTION("""COMPUTED_VALUE"""),FALSE)</f>
        <v>0</v>
      </c>
      <c r="Q10034" s="20" t="str">
        <f>IFERROR(__xludf.DUMMYFUNCTION("""COMPUTED_VALUE"""),"")</f>
        <v/>
      </c>
      <c r="R10034" s="21" t="str">
        <f>IFERROR(__xludf.DUMMYFUNCTION("""COMPUTED_VALUE"""),"https://drive.google.com/file/d/1t6AqH0K_7_pfBk4ENXaLKNjqU0F8hT13/view?usp=drivesdk")</f>
        <v>https://drive.google.com/file/d/1t6AqH0K_7_pfBk4ENXaLKNjqU0F8hT13/view?usp=drivesdk</v>
      </c>
    </row>
    <row r="10035">
      <c r="A10035" s="15">
        <f>IFERROR(__xludf.DUMMYFUNCTION("""COMPUTED_VALUE"""),45282.0)</f>
        <v>45282</v>
      </c>
      <c r="B10035" s="16" t="str">
        <f>IFERROR(__xludf.DUMMYFUNCTION("""COMPUTED_VALUE"""),"Kevin Andrés puerta Jaramillo")</f>
        <v>Kevin Andrés puerta Jaramillo</v>
      </c>
      <c r="C10035" s="15" t="str">
        <f>IFERROR(__xludf.DUMMYFUNCTION("""COMPUTED_VALUE"""),"MEDELLÍN")</f>
        <v>MEDELLÍN</v>
      </c>
      <c r="D10035" s="15" t="str">
        <f>IFERROR(__xludf.DUMMYFUNCTION("""COMPUTED_VALUE"""),"BOGOTÁ")</f>
        <v>BOGOTÁ</v>
      </c>
      <c r="E10035" s="15" t="str">
        <f>IFERROR(__xludf.DUMMYFUNCTION("""COMPUTED_VALUE"""),"Spirulina Fresca")</f>
        <v>Spirulina Fresca</v>
      </c>
      <c r="F10035" s="17" t="str">
        <f>IFERROR(__xludf.DUMMYFUNCTION("""COMPUTED_VALUE"""),"Calle 33AA 82-40    / apto 801  edificio San Lorenzo    / La Castellana")</f>
        <v>Calle 33AA 82-40    / apto 801  edificio San Lorenzo    / La Castellana</v>
      </c>
      <c r="G10035" s="15" t="str">
        <f>IFERROR(__xludf.DUMMYFUNCTION("""COMPUTED_VALUE"""),"María del Socorro Patiño Arcila")</f>
        <v>María del Socorro Patiño Arcila</v>
      </c>
      <c r="H10035" s="16">
        <f>IFERROR(__xludf.DUMMYFUNCTION("""COMPUTED_VALUE"""),18716.0)</f>
        <v>18716</v>
      </c>
      <c r="I10035" s="18">
        <f>IFERROR(__xludf.DUMMYFUNCTION("""COMPUTED_VALUE"""),5.0)</f>
        <v>5</v>
      </c>
      <c r="J10035" s="18">
        <f>IFERROR(__xludf.DUMMYFUNCTION("""COMPUTED_VALUE"""),5.0)</f>
        <v>5</v>
      </c>
      <c r="K10035" s="18">
        <f>IFERROR(__xludf.DUMMYFUNCTION("""COMPUTED_VALUE"""),22.0)</f>
        <v>22</v>
      </c>
      <c r="L10035" s="17">
        <f>IFERROR(__xludf.DUMMYFUNCTION("""COMPUTED_VALUE"""),3.122860396E9)</f>
        <v>3122860396</v>
      </c>
      <c r="M10035" s="17"/>
      <c r="N10035" s="17"/>
      <c r="O10035" s="17"/>
      <c r="P10035" s="17" t="b">
        <f>IFERROR(__xludf.DUMMYFUNCTION("""COMPUTED_VALUE"""),FALSE)</f>
        <v>0</v>
      </c>
      <c r="Q10035" s="20" t="str">
        <f>IFERROR(__xludf.DUMMYFUNCTION("""COMPUTED_VALUE"""),"")</f>
        <v/>
      </c>
      <c r="R10035" s="21" t="str">
        <f>IFERROR(__xludf.DUMMYFUNCTION("""COMPUTED_VALUE"""),"https://drive.google.com/file/d/1eErNg2GFt1yo03WnkgBAE9dLVxHKk4hR/view?usp=drivesdk")</f>
        <v>https://drive.google.com/file/d/1eErNg2GFt1yo03WnkgBAE9dLVxHKk4hR/view?usp=drivesdk</v>
      </c>
    </row>
    <row r="10036">
      <c r="A10036" s="15">
        <f>IFERROR(__xludf.DUMMYFUNCTION("""COMPUTED_VALUE"""),45282.0)</f>
        <v>45282</v>
      </c>
      <c r="B10036" s="16" t="str">
        <f>IFERROR(__xludf.DUMMYFUNCTION("""COMPUTED_VALUE"""),"Kevin Andrés puerta Jaramillo")</f>
        <v>Kevin Andrés puerta Jaramillo</v>
      </c>
      <c r="C10036" s="15" t="str">
        <f>IFERROR(__xludf.DUMMYFUNCTION("""COMPUTED_VALUE"""),"MEDELLÍN")</f>
        <v>MEDELLÍN</v>
      </c>
      <c r="D10036" s="15" t="str">
        <f>IFERROR(__xludf.DUMMYFUNCTION("""COMPUTED_VALUE"""),"BOGOTÁ")</f>
        <v>BOGOTÁ</v>
      </c>
      <c r="E10036" s="15" t="str">
        <f>IFERROR(__xludf.DUMMYFUNCTION("""COMPUTED_VALUE"""),"Spirulina Fresca")</f>
        <v>Spirulina Fresca</v>
      </c>
      <c r="F10036" s="17" t="str">
        <f>IFERROR(__xludf.DUMMYFUNCTION("""COMPUTED_VALUE"""),"Calle 5 A 33-06  casa 25  /  Conjunto Residencial VILLAS DE SAUZALITO /  El Poblado Medellin")</f>
        <v>Calle 5 A 33-06  casa 25  /  Conjunto Residencial VILLAS DE SAUZALITO /  El Poblado Medellin</v>
      </c>
      <c r="G10036" s="15" t="str">
        <f>IFERROR(__xludf.DUMMYFUNCTION("""COMPUTED_VALUE"""),"Milton Humberto Zambrano")</f>
        <v>Milton Humberto Zambrano</v>
      </c>
      <c r="H10036" s="16">
        <f>IFERROR(__xludf.DUMMYFUNCTION("""COMPUTED_VALUE"""),18715.0)</f>
        <v>18715</v>
      </c>
      <c r="I10036" s="18">
        <f>IFERROR(__xludf.DUMMYFUNCTION("""COMPUTED_VALUE"""),5.0)</f>
        <v>5</v>
      </c>
      <c r="J10036" s="18">
        <f>IFERROR(__xludf.DUMMYFUNCTION("""COMPUTED_VALUE"""),5.0)</f>
        <v>5</v>
      </c>
      <c r="K10036" s="18">
        <f>IFERROR(__xludf.DUMMYFUNCTION("""COMPUTED_VALUE"""),22.0)</f>
        <v>22</v>
      </c>
      <c r="L10036" s="17">
        <f>IFERROR(__xludf.DUMMYFUNCTION("""COMPUTED_VALUE"""),3.16521172E9)</f>
        <v>3165211720</v>
      </c>
      <c r="M10036" s="17"/>
      <c r="N10036" s="17"/>
      <c r="O10036" s="17"/>
      <c r="P10036" s="17" t="b">
        <f>IFERROR(__xludf.DUMMYFUNCTION("""COMPUTED_VALUE"""),FALSE)</f>
        <v>0</v>
      </c>
      <c r="Q10036" s="20" t="str">
        <f>IFERROR(__xludf.DUMMYFUNCTION("""COMPUTED_VALUE"""),"")</f>
        <v/>
      </c>
      <c r="R10036" s="21" t="str">
        <f>IFERROR(__xludf.DUMMYFUNCTION("""COMPUTED_VALUE"""),"https://drive.google.com/file/d/1htuktriK5fWSaBUnBFiPjY8wlIb-sLKW/view?usp=drivesdk")</f>
        <v>https://drive.google.com/file/d/1htuktriK5fWSaBUnBFiPjY8wlIb-sLKW/view?usp=drivesdk</v>
      </c>
    </row>
    <row r="10037">
      <c r="A10037" s="15">
        <f>IFERROR(__xludf.DUMMYFUNCTION("""COMPUTED_VALUE"""),45282.0)</f>
        <v>45282</v>
      </c>
      <c r="B10037" s="16" t="str">
        <f>IFERROR(__xludf.DUMMYFUNCTION("""COMPUTED_VALUE"""),"Kevin Andrés puerta Jaramillo")</f>
        <v>Kevin Andrés puerta Jaramillo</v>
      </c>
      <c r="C10037" s="15" t="str">
        <f>IFERROR(__xludf.DUMMYFUNCTION("""COMPUTED_VALUE"""),"MEDELLÍN")</f>
        <v>MEDELLÍN</v>
      </c>
      <c r="D10037" s="15" t="str">
        <f>IFERROR(__xludf.DUMMYFUNCTION("""COMPUTED_VALUE"""),"BOGOTÁ")</f>
        <v>BOGOTÁ</v>
      </c>
      <c r="E10037" s="15" t="str">
        <f>IFERROR(__xludf.DUMMYFUNCTION("""COMPUTED_VALUE"""),"THE SMOKED HOUSE SAS")</f>
        <v>THE SMOKED HOUSE SAS</v>
      </c>
      <c r="F10037" s="17" t="str">
        <f>IFERROR(__xludf.DUMMYFUNCTION("""COMPUTED_VALUE"""),"CRA 25B#36AA SUR-151 / Loma del escobero /Envigado")</f>
        <v>CRA 25B#36AA SUR-151 / Loma del escobero /Envigado</v>
      </c>
      <c r="G10037" s="15" t="str">
        <f>IFERROR(__xludf.DUMMYFUNCTION("""COMPUTED_VALUE"""),"rodrigo londoño /PROMOTORA DE CARNES")</f>
        <v>rodrigo londoño /PROMOTORA DE CARNES</v>
      </c>
      <c r="H10037" s="16">
        <f>IFERROR(__xludf.DUMMYFUNCTION("""COMPUTED_VALUE"""),18724.0)</f>
        <v>18724</v>
      </c>
      <c r="I10037" s="17"/>
      <c r="J10037" s="17"/>
      <c r="K10037" s="17"/>
      <c r="L10037" s="17">
        <f>IFERROR(__xludf.DUMMYFUNCTION("""COMPUTED_VALUE"""),3.158825395E9)</f>
        <v>3158825395</v>
      </c>
      <c r="M10037" s="17"/>
      <c r="N10037" s="17"/>
      <c r="O10037" s="17"/>
      <c r="P10037" s="17" t="b">
        <f>IFERROR(__xludf.DUMMYFUNCTION("""COMPUTED_VALUE"""),FALSE)</f>
        <v>0</v>
      </c>
      <c r="Q10037" s="20" t="str">
        <f>IFERROR(__xludf.DUMMYFUNCTION("""COMPUTED_VALUE"""),"")</f>
        <v/>
      </c>
      <c r="R10037" s="21" t="str">
        <f>IFERROR(__xludf.DUMMYFUNCTION("""COMPUTED_VALUE"""),"https://drive.google.com/file/d/1lp3fAuonbpwKh0H3p4QjdbHQF8xTFHqB/view?usp=drivesdk")</f>
        <v>https://drive.google.com/file/d/1lp3fAuonbpwKh0H3p4QjdbHQF8xTFHqB/view?usp=drivesdk</v>
      </c>
    </row>
    <row r="10038">
      <c r="A10038" s="15">
        <f>IFERROR(__xludf.DUMMYFUNCTION("""COMPUTED_VALUE"""),45282.0)</f>
        <v>45282</v>
      </c>
      <c r="B10038" s="16" t="str">
        <f>IFERROR(__xludf.DUMMYFUNCTION("""COMPUTED_VALUE"""),"Kevin Andrés puerta Jaramillo")</f>
        <v>Kevin Andrés puerta Jaramillo</v>
      </c>
      <c r="C10038" s="15" t="str">
        <f>IFERROR(__xludf.DUMMYFUNCTION("""COMPUTED_VALUE"""),"MEDELLÍN")</f>
        <v>MEDELLÍN</v>
      </c>
      <c r="D10038" s="15" t="str">
        <f>IFERROR(__xludf.DUMMYFUNCTION("""COMPUTED_VALUE"""),"BOGOTÁ")</f>
        <v>BOGOTÁ</v>
      </c>
      <c r="E10038" s="15" t="str">
        <f>IFERROR(__xludf.DUMMYFUNCTION("""COMPUTED_VALUE"""),"Trigoletta")</f>
        <v>Trigoletta</v>
      </c>
      <c r="F10038" s="17" t="str">
        <f>IFERROR(__xludf.DUMMYFUNCTION("""COMPUTED_VALUE"""),"Cll 39 # 52-95 / Apto 1806 Unidad Oceana (Sector Ciudad Fabricato)")</f>
        <v>Cll 39 # 52-95 / Apto 1806 Unidad Oceana (Sector Ciudad Fabricato)</v>
      </c>
      <c r="G10038" s="15" t="str">
        <f>IFERROR(__xludf.DUMMYFUNCTION("""COMPUTED_VALUE"""),"Juan David Romero")</f>
        <v>Juan David Romero</v>
      </c>
      <c r="H10038" s="16">
        <f>IFERROR(__xludf.DUMMYFUNCTION("""COMPUTED_VALUE"""),18673.0)</f>
        <v>18673</v>
      </c>
      <c r="I10038" s="17"/>
      <c r="J10038" s="17"/>
      <c r="K10038" s="17"/>
      <c r="L10038" s="17">
        <f>IFERROR(__xludf.DUMMYFUNCTION("""COMPUTED_VALUE"""),3.003311806E9)</f>
        <v>3003311806</v>
      </c>
      <c r="M10038" s="17"/>
      <c r="N10038" s="17"/>
      <c r="O10038" s="17"/>
      <c r="P10038" s="17" t="b">
        <f>IFERROR(__xludf.DUMMYFUNCTION("""COMPUTED_VALUE"""),FALSE)</f>
        <v>0</v>
      </c>
      <c r="Q10038" s="20" t="str">
        <f>IFERROR(__xludf.DUMMYFUNCTION("""COMPUTED_VALUE"""),"")</f>
        <v/>
      </c>
      <c r="R10038" s="21" t="str">
        <f>IFERROR(__xludf.DUMMYFUNCTION("""COMPUTED_VALUE"""),"https://drive.google.com/file/d/1sYnixma2MXYjMKteyNBVuv5Wd0z11LZo/view?usp=drivesdk")</f>
        <v>https://drive.google.com/file/d/1sYnixma2MXYjMKteyNBVuv5Wd0z11LZo/view?usp=drivesdk</v>
      </c>
    </row>
    <row r="10039">
      <c r="A10039" s="17" t="str">
        <f>IFERROR(__xludf.DUMMYFUNCTION("""COMPUTED_VALUE"""),"")</f>
        <v/>
      </c>
      <c r="B10039" s="17" t="str">
        <f>IFERROR(__xludf.DUMMYFUNCTION("""COMPUTED_VALUE"""),"")</f>
        <v/>
      </c>
      <c r="C10039" s="17" t="str">
        <f>IFERROR(__xludf.DUMMYFUNCTION("""COMPUTED_VALUE"""),"")</f>
        <v/>
      </c>
      <c r="D10039" s="17" t="str">
        <f>IFERROR(__xludf.DUMMYFUNCTION("""COMPUTED_VALUE"""),"")</f>
        <v/>
      </c>
      <c r="E10039" s="17" t="str">
        <f>IFERROR(__xludf.DUMMYFUNCTION("""COMPUTED_VALUE"""),"")</f>
        <v/>
      </c>
      <c r="F10039" s="17" t="str">
        <f>IFERROR(__xludf.DUMMYFUNCTION("""COMPUTED_VALUE"""),"")</f>
        <v/>
      </c>
      <c r="G10039" s="17" t="str">
        <f>IFERROR(__xludf.DUMMYFUNCTION("""COMPUTED_VALUE"""),"")</f>
        <v/>
      </c>
      <c r="H10039" s="17" t="str">
        <f>IFERROR(__xludf.DUMMYFUNCTION("""COMPUTED_VALUE"""),"")</f>
        <v/>
      </c>
      <c r="I10039" s="17" t="str">
        <f>IFERROR(__xludf.DUMMYFUNCTION("""COMPUTED_VALUE"""),"")</f>
        <v/>
      </c>
      <c r="J10039" s="17" t="str">
        <f>IFERROR(__xludf.DUMMYFUNCTION("""COMPUTED_VALUE"""),"")</f>
        <v/>
      </c>
      <c r="K10039" s="17" t="str">
        <f>IFERROR(__xludf.DUMMYFUNCTION("""COMPUTED_VALUE"""),"")</f>
        <v/>
      </c>
      <c r="L10039" s="17" t="str">
        <f>IFERROR(__xludf.DUMMYFUNCTION("""COMPUTED_VALUE"""),"")</f>
        <v/>
      </c>
      <c r="M10039" s="17" t="str">
        <f>IFERROR(__xludf.DUMMYFUNCTION("""COMPUTED_VALUE"""),"")</f>
        <v/>
      </c>
      <c r="N10039" s="17" t="str">
        <f>IFERROR(__xludf.DUMMYFUNCTION("""COMPUTED_VALUE"""),"")</f>
        <v/>
      </c>
      <c r="O10039" s="17" t="str">
        <f>IFERROR(__xludf.DUMMYFUNCTION("""COMPUTED_VALUE"""),"")</f>
        <v/>
      </c>
      <c r="P10039" s="17" t="str">
        <f>IFERROR(__xludf.DUMMYFUNCTION("""COMPUTED_VALUE"""),"")</f>
        <v/>
      </c>
      <c r="Q10039" s="17" t="str">
        <f>IFERROR(__xludf.DUMMYFUNCTION("""COMPUTED_VALUE"""),"")</f>
        <v/>
      </c>
      <c r="R10039" s="17" t="str">
        <f>IFERROR(__xludf.DUMMYFUNCTION("""COMPUTED_VALUE"""),"")</f>
        <v/>
      </c>
    </row>
    <row r="10040">
      <c r="A10040" s="15">
        <f>IFERROR(__xludf.DUMMYFUNCTION("""COMPUTED_VALUE"""),45282.0)</f>
        <v>45282</v>
      </c>
      <c r="B10040" s="16" t="str">
        <f>IFERROR(__xludf.DUMMYFUNCTION("""COMPUTED_VALUE"""),"Lina Gaona")</f>
        <v>Lina Gaona</v>
      </c>
      <c r="C10040" s="15" t="str">
        <f>IFERROR(__xludf.DUMMYFUNCTION("""COMPUTED_VALUE"""),"CÚCUTA")</f>
        <v>CÚCUTA</v>
      </c>
      <c r="D10040" s="15" t="str">
        <f>IFERROR(__xludf.DUMMYFUNCTION("""COMPUTED_VALUE"""),"BOGOTÁ")</f>
        <v>BOGOTÁ</v>
      </c>
      <c r="E10040" s="15" t="str">
        <f>IFERROR(__xludf.DUMMYFUNCTION("""COMPUTED_VALUE"""),"Asociacion Agropecuaria Juana Maria")</f>
        <v>Asociacion Agropecuaria Juana Maria</v>
      </c>
      <c r="F10040" s="17" t="str">
        <f>IFERROR(__xludf.DUMMYFUNCTION("""COMPUTED_VALUE"""),"AV. 2E # 15 A -17 / PISTACHO FIT MARKET BARRIO CAOBOS")</f>
        <v>AV. 2E # 15 A -17 / PISTACHO FIT MARKET BARRIO CAOBOS</v>
      </c>
      <c r="G10040" s="15" t="str">
        <f>IFERROR(__xludf.DUMMYFUNCTION("""COMPUTED_VALUE"""),"DACCY KARINA LOPEZ")</f>
        <v>DACCY KARINA LOPEZ</v>
      </c>
      <c r="H10040" s="16">
        <f>IFERROR(__xludf.DUMMYFUNCTION("""COMPUTED_VALUE"""),18500.0)</f>
        <v>18500</v>
      </c>
      <c r="I10040" s="17"/>
      <c r="J10040" s="17"/>
      <c r="K10040" s="17"/>
      <c r="L10040" s="17">
        <f>IFERROR(__xludf.DUMMYFUNCTION("""COMPUTED_VALUE"""),3.208615379E9)</f>
        <v>3208615379</v>
      </c>
      <c r="M10040" s="17"/>
      <c r="N10040" s="17"/>
      <c r="O10040" s="17"/>
      <c r="P10040" s="17" t="b">
        <f>IFERROR(__xludf.DUMMYFUNCTION("""COMPUTED_VALUE"""),FALSE)</f>
        <v>0</v>
      </c>
      <c r="Q10040" s="20" t="str">
        <f>IFERROR(__xludf.DUMMYFUNCTION("""COMPUTED_VALUE"""),"")</f>
        <v/>
      </c>
      <c r="R10040" s="22" t="str">
        <f>IFERROR(__xludf.DUMMYFUNCTION("""COMPUTED_VALUE"""),"")</f>
        <v/>
      </c>
    </row>
    <row r="10041">
      <c r="A10041" s="15">
        <f>IFERROR(__xludf.DUMMYFUNCTION("""COMPUTED_VALUE"""),45282.0)</f>
        <v>45282</v>
      </c>
      <c r="B10041" s="16" t="str">
        <f>IFERROR(__xludf.DUMMYFUNCTION("""COMPUTED_VALUE"""),"Lina Gaona")</f>
        <v>Lina Gaona</v>
      </c>
      <c r="C10041" s="15" t="str">
        <f>IFERROR(__xludf.DUMMYFUNCTION("""COMPUTED_VALUE"""),"CÚCUTA")</f>
        <v>CÚCUTA</v>
      </c>
      <c r="D10041" s="15" t="str">
        <f>IFERROR(__xludf.DUMMYFUNCTION("""COMPUTED_VALUE"""),"BOGOTÁ")</f>
        <v>BOGOTÁ</v>
      </c>
      <c r="E10041" s="15" t="str">
        <f>IFERROR(__xludf.DUMMYFUNCTION("""COMPUTED_VALUE"""),"Instinto alimento vital")</f>
        <v>Instinto alimento vital</v>
      </c>
      <c r="F10041" s="17" t="str">
        <f>IFERROR(__xludf.DUMMYFUNCTION("""COMPUTED_VALUE"""),"CONJUNTO CERRADO VILLA CECILIA CASA 5 VILLA DEL ROSARIO / CONJUNTO CERRADO VILLA CECILIA CASA 5 VILLA DEL ROSARIO")</f>
        <v>CONJUNTO CERRADO VILLA CECILIA CASA 5 VILLA DEL ROSARIO / CONJUNTO CERRADO VILLA CECILIA CASA 5 VILLA DEL ROSARIO</v>
      </c>
      <c r="G10041" s="15" t="str">
        <f>IFERROR(__xludf.DUMMYFUNCTION("""COMPUTED_VALUE"""),"WILLIAM DIAZ PEÑALOZA")</f>
        <v>WILLIAM DIAZ PEÑALOZA</v>
      </c>
      <c r="H10041" s="16">
        <f>IFERROR(__xludf.DUMMYFUNCTION("""COMPUTED_VALUE"""),18660.0)</f>
        <v>18660</v>
      </c>
      <c r="I10041" s="17"/>
      <c r="J10041" s="17"/>
      <c r="K10041" s="17"/>
      <c r="L10041" s="17">
        <f>IFERROR(__xludf.DUMMYFUNCTION("""COMPUTED_VALUE"""),3.222766084E9)</f>
        <v>3222766084</v>
      </c>
      <c r="M10041" s="17"/>
      <c r="N10041" s="17"/>
      <c r="O10041" s="17"/>
      <c r="P10041" s="17" t="b">
        <f>IFERROR(__xludf.DUMMYFUNCTION("""COMPUTED_VALUE"""),FALSE)</f>
        <v>0</v>
      </c>
      <c r="Q10041" s="20" t="str">
        <f>IFERROR(__xludf.DUMMYFUNCTION("""COMPUTED_VALUE"""),"")</f>
        <v/>
      </c>
      <c r="R10041" s="21" t="str">
        <f>IFERROR(__xludf.DUMMYFUNCTION("""COMPUTED_VALUE"""),"https://drive.google.com/file/d/13sQpy5uEomAVC9zoiULsGZc-kXE_vyNN/view?usp=drivesdk")</f>
        <v>https://drive.google.com/file/d/13sQpy5uEomAVC9zoiULsGZc-kXE_vyNN/view?usp=drivesdk</v>
      </c>
    </row>
    <row r="10042">
      <c r="A10042" s="15">
        <f>IFERROR(__xludf.DUMMYFUNCTION("""COMPUTED_VALUE"""),45282.0)</f>
        <v>45282</v>
      </c>
      <c r="B10042" s="16" t="str">
        <f>IFERROR(__xludf.DUMMYFUNCTION("""COMPUTED_VALUE"""),"Lina Gaona")</f>
        <v>Lina Gaona</v>
      </c>
      <c r="C10042" s="15" t="str">
        <f>IFERROR(__xludf.DUMMYFUNCTION("""COMPUTED_VALUE"""),"CÚCUTA")</f>
        <v>CÚCUTA</v>
      </c>
      <c r="D10042" s="15" t="str">
        <f>IFERROR(__xludf.DUMMYFUNCTION("""COMPUTED_VALUE"""),"BOGOTÁ")</f>
        <v>BOGOTÁ</v>
      </c>
      <c r="E10042" s="15" t="str">
        <f>IFERROR(__xludf.DUMMYFUNCTION("""COMPUTED_VALUE"""),"PAN DE WAFFLE")</f>
        <v>PAN DE WAFFLE</v>
      </c>
      <c r="F10042" s="17" t="str">
        <f>IFERROR(__xludf.DUMMYFUNCTION("""COMPUTED_VALUE"""),"Av. 17e # 2N - 65 Conjunto El Retiro Casa 2 via bocono cerca a la clinica duarte / Av. 17e # 2N - 65 Conjunto El Retiro Casa 2 via bocono cerca a la clinica duarte")</f>
        <v>Av. 17e # 2N - 65 Conjunto El Retiro Casa 2 via bocono cerca a la clinica duarte / Av. 17e # 2N - 65 Conjunto El Retiro Casa 2 via bocono cerca a la clinica duarte</v>
      </c>
      <c r="G10042" s="15" t="str">
        <f>IFERROR(__xludf.DUMMYFUNCTION("""COMPUTED_VALUE"""),"DANIELA VILLAMIZAR")</f>
        <v>DANIELA VILLAMIZAR</v>
      </c>
      <c r="H10042" s="16">
        <f>IFERROR(__xludf.DUMMYFUNCTION("""COMPUTED_VALUE"""),18562.0)</f>
        <v>18562</v>
      </c>
      <c r="I10042" s="17"/>
      <c r="J10042" s="17"/>
      <c r="K10042" s="17"/>
      <c r="L10042" s="17">
        <f>IFERROR(__xludf.DUMMYFUNCTION("""COMPUTED_VALUE"""),3.155828995E9)</f>
        <v>3155828995</v>
      </c>
      <c r="M10042" s="17"/>
      <c r="N10042" s="17"/>
      <c r="O10042" s="17"/>
      <c r="P10042" s="17" t="b">
        <f>IFERROR(__xludf.DUMMYFUNCTION("""COMPUTED_VALUE"""),FALSE)</f>
        <v>0</v>
      </c>
      <c r="Q10042" s="20" t="str">
        <f>IFERROR(__xludf.DUMMYFUNCTION("""COMPUTED_VALUE"""),"")</f>
        <v/>
      </c>
      <c r="R10042" s="21" t="str">
        <f>IFERROR(__xludf.DUMMYFUNCTION("""COMPUTED_VALUE"""),"https://drive.google.com/file/d/1SRTk4lX7PRfipu9gECF2ERjanlgii1gj/view?usp=drivesdk")</f>
        <v>https://drive.google.com/file/d/1SRTk4lX7PRfipu9gECF2ERjanlgii1gj/view?usp=drivesdk</v>
      </c>
    </row>
    <row r="10043">
      <c r="A10043" s="15">
        <f>IFERROR(__xludf.DUMMYFUNCTION("""COMPUTED_VALUE"""),45282.0)</f>
        <v>45282</v>
      </c>
      <c r="B10043" s="16" t="str">
        <f>IFERROR(__xludf.DUMMYFUNCTION("""COMPUTED_VALUE"""),"Lina Gaona")</f>
        <v>Lina Gaona</v>
      </c>
      <c r="C10043" s="15" t="str">
        <f>IFERROR(__xludf.DUMMYFUNCTION("""COMPUTED_VALUE"""),"CÚCUTA")</f>
        <v>CÚCUTA</v>
      </c>
      <c r="D10043" s="15" t="str">
        <f>IFERROR(__xludf.DUMMYFUNCTION("""COMPUTED_VALUE"""),"BOGOTÁ")</f>
        <v>BOGOTÁ</v>
      </c>
      <c r="E10043" s="15" t="str">
        <f>IFERROR(__xludf.DUMMYFUNCTION("""COMPUTED_VALUE"""),"Top Spun")</f>
        <v>Top Spun</v>
      </c>
      <c r="F10043" s="17" t="str">
        <f>IFERROR(__xludf.DUMMYFUNCTION("""COMPUTED_VALUE"""),"Calle 15 # 2-83 Apartamento 201 / apartamento 201 / Cúcuta Norte de Santande")</f>
        <v>Calle 15 # 2-83 Apartamento 201 / apartamento 201 / Cúcuta Norte de Santande</v>
      </c>
      <c r="G10043" s="15" t="str">
        <f>IFERROR(__xludf.DUMMYFUNCTION("""COMPUTED_VALUE"""),"Kelly Quiceno")</f>
        <v>Kelly Quiceno</v>
      </c>
      <c r="H10043" s="16">
        <f>IFERROR(__xludf.DUMMYFUNCTION("""COMPUTED_VALUE"""),18561.0)</f>
        <v>18561</v>
      </c>
      <c r="I10043" s="18">
        <f>IFERROR(__xludf.DUMMYFUNCTION("""COMPUTED_VALUE"""),20.0)</f>
        <v>20</v>
      </c>
      <c r="J10043" s="18">
        <f>IFERROR(__xludf.DUMMYFUNCTION("""COMPUTED_VALUE"""),10.0)</f>
        <v>10</v>
      </c>
      <c r="K10043" s="18">
        <f>IFERROR(__xludf.DUMMYFUNCTION("""COMPUTED_VALUE"""),40.0)</f>
        <v>40</v>
      </c>
      <c r="L10043" s="17">
        <f>IFERROR(__xludf.DUMMYFUNCTION("""COMPUTED_VALUE"""),3.143542391E9)</f>
        <v>3143542391</v>
      </c>
      <c r="M10043" s="17"/>
      <c r="N10043" s="17"/>
      <c r="O10043" s="17"/>
      <c r="P10043" s="17" t="b">
        <f>IFERROR(__xludf.DUMMYFUNCTION("""COMPUTED_VALUE"""),FALSE)</f>
        <v>0</v>
      </c>
      <c r="Q10043" s="20" t="str">
        <f>IFERROR(__xludf.DUMMYFUNCTION("""COMPUTED_VALUE"""),"")</f>
        <v/>
      </c>
      <c r="R10043" s="21" t="str">
        <f>IFERROR(__xludf.DUMMYFUNCTION("""COMPUTED_VALUE"""),"https://drive.google.com/file/d/18EfvBT1h5fs3EwOfoFV_CdsW3J0VQfH7/view?usp=drivesdk")</f>
        <v>https://drive.google.com/file/d/18EfvBT1h5fs3EwOfoFV_CdsW3J0VQfH7/view?usp=drivesdk</v>
      </c>
    </row>
    <row r="10044">
      <c r="A10044" s="15">
        <f>IFERROR(__xludf.DUMMYFUNCTION("""COMPUTED_VALUE"""),45282.0)</f>
        <v>45282</v>
      </c>
      <c r="B10044" s="16" t="str">
        <f>IFERROR(__xludf.DUMMYFUNCTION("""COMPUTED_VALUE"""),"Lina Gaona")</f>
        <v>Lina Gaona</v>
      </c>
      <c r="C10044" s="15" t="str">
        <f>IFERROR(__xludf.DUMMYFUNCTION("""COMPUTED_VALUE"""),"CÚCUTA")</f>
        <v>CÚCUTA</v>
      </c>
      <c r="D10044" s="15" t="str">
        <f>IFERROR(__xludf.DUMMYFUNCTION("""COMPUTED_VALUE"""),"MEDELLÍN")</f>
        <v>MEDELLÍN</v>
      </c>
      <c r="E10044" s="15" t="str">
        <f>IFERROR(__xludf.DUMMYFUNCTION("""COMPUTED_VALUE"""),"AREPAS LA MARY")</f>
        <v>AREPAS LA MARY</v>
      </c>
      <c r="F10044" s="17" t="str">
        <f>IFERROR(__xludf.DUMMYFUNCTION("""COMPUTED_VALUE"""),"Calle 7 #10e-30 / colsag edificio San Carlos apartamento 501")</f>
        <v>Calle 7 #10e-30 / colsag edificio San Carlos apartamento 501</v>
      </c>
      <c r="G10044" s="15" t="str">
        <f>IFERROR(__xludf.DUMMYFUNCTION("""COMPUTED_VALUE"""),"CIELO CONTRERAS")</f>
        <v>CIELO CONTRERAS</v>
      </c>
      <c r="H10044" s="16">
        <f>IFERROR(__xludf.DUMMYFUNCTION("""COMPUTED_VALUE"""),18677.0)</f>
        <v>18677</v>
      </c>
      <c r="I10044" s="17"/>
      <c r="J10044" s="17"/>
      <c r="K10044" s="17"/>
      <c r="L10044" s="17"/>
      <c r="M10044" s="17"/>
      <c r="N10044" s="17"/>
      <c r="O10044" s="17"/>
      <c r="P10044" s="17" t="b">
        <f>IFERROR(__xludf.DUMMYFUNCTION("""COMPUTED_VALUE"""),FALSE)</f>
        <v>0</v>
      </c>
      <c r="Q10044" s="20" t="str">
        <f>IFERROR(__xludf.DUMMYFUNCTION("""COMPUTED_VALUE"""),"")</f>
        <v/>
      </c>
      <c r="R10044" s="21" t="str">
        <f>IFERROR(__xludf.DUMMYFUNCTION("""COMPUTED_VALUE"""),"https://drive.google.com/file/d/1L9QSQfPkc5xLdCGWsI5p4p5OltORY31r/view?usp=drivesdk")</f>
        <v>https://drive.google.com/file/d/1L9QSQfPkc5xLdCGWsI5p4p5OltORY31r/view?usp=drivesdk</v>
      </c>
    </row>
    <row r="10045">
      <c r="A10045" s="15">
        <f>IFERROR(__xludf.DUMMYFUNCTION("""COMPUTED_VALUE"""),45282.0)</f>
        <v>45282</v>
      </c>
      <c r="B10045" s="16" t="str">
        <f>IFERROR(__xludf.DUMMYFUNCTION("""COMPUTED_VALUE"""),"Lina Gaona")</f>
        <v>Lina Gaona</v>
      </c>
      <c r="C10045" s="15" t="str">
        <f>IFERROR(__xludf.DUMMYFUNCTION("""COMPUTED_VALUE"""),"CÚCUTA")</f>
        <v>CÚCUTA</v>
      </c>
      <c r="D10045" s="15" t="str">
        <f>IFERROR(__xludf.DUMMYFUNCTION("""COMPUTED_VALUE"""),"MEDELLÍN")</f>
        <v>MEDELLÍN</v>
      </c>
      <c r="E10045" s="15" t="str">
        <f>IFERROR(__xludf.DUMMYFUNCTION("""COMPUTED_VALUE"""),"Baby Chef")</f>
        <v>Baby Chef</v>
      </c>
      <c r="F10045" s="17" t="str">
        <f>IFERROR(__xludf.DUMMYFUNCTION("""COMPUTED_VALUE"""),"Av. 5 Bis # 9-26 prados del este. Callejas A, Casa B3 Callejas A, casa B3 / . / .")</f>
        <v>Av. 5 Bis # 9-26 prados del este. Callejas A, Casa B3 Callejas A, casa B3 / . / .</v>
      </c>
      <c r="G10045" s="15" t="str">
        <f>IFERROR(__xludf.DUMMYFUNCTION("""COMPUTED_VALUE"""),"Stephany Carreño Paez")</f>
        <v>Stephany Carreño Paez</v>
      </c>
      <c r="H10045" s="16">
        <f>IFERROR(__xludf.DUMMYFUNCTION("""COMPUTED_VALUE"""),18637.0)</f>
        <v>18637</v>
      </c>
      <c r="I10045" s="18">
        <f>IFERROR(__xludf.DUMMYFUNCTION("""COMPUTED_VALUE"""),10.0)</f>
        <v>10</v>
      </c>
      <c r="J10045" s="18">
        <f>IFERROR(__xludf.DUMMYFUNCTION("""COMPUTED_VALUE"""),21.0)</f>
        <v>21</v>
      </c>
      <c r="K10045" s="18">
        <f>IFERROR(__xludf.DUMMYFUNCTION("""COMPUTED_VALUE"""),35.0)</f>
        <v>35</v>
      </c>
      <c r="L10045" s="17">
        <f>IFERROR(__xludf.DUMMYFUNCTION("""COMPUTED_VALUE"""),3.246827585E9)</f>
        <v>3246827585</v>
      </c>
      <c r="M10045" s="17"/>
      <c r="N10045" s="17"/>
      <c r="O10045" s="17"/>
      <c r="P10045" s="17" t="b">
        <f>IFERROR(__xludf.DUMMYFUNCTION("""COMPUTED_VALUE"""),FALSE)</f>
        <v>0</v>
      </c>
      <c r="Q10045" s="20" t="str">
        <f>IFERROR(__xludf.DUMMYFUNCTION("""COMPUTED_VALUE"""),"")</f>
        <v/>
      </c>
      <c r="R10045" s="22" t="str">
        <f>IFERROR(__xludf.DUMMYFUNCTION("""COMPUTED_VALUE"""),"")</f>
        <v/>
      </c>
    </row>
    <row r="10046">
      <c r="A10046" s="15">
        <f>IFERROR(__xludf.DUMMYFUNCTION("""COMPUTED_VALUE"""),45282.0)</f>
        <v>45282</v>
      </c>
      <c r="B10046" s="16" t="str">
        <f>IFERROR(__xludf.DUMMYFUNCTION("""COMPUTED_VALUE"""),"Lina Gaona")</f>
        <v>Lina Gaona</v>
      </c>
      <c r="C10046" s="15" t="str">
        <f>IFERROR(__xludf.DUMMYFUNCTION("""COMPUTED_VALUE"""),"CÚCUTA")</f>
        <v>CÚCUTA</v>
      </c>
      <c r="D10046" s="15" t="str">
        <f>IFERROR(__xludf.DUMMYFUNCTION("""COMPUTED_VALUE"""),"MEDELLÍN")</f>
        <v>MEDELLÍN</v>
      </c>
      <c r="E10046" s="15" t="str">
        <f>IFERROR(__xludf.DUMMYFUNCTION("""COMPUTED_VALUE"""),"Moloso S.A.S")</f>
        <v>Moloso S.A.S</v>
      </c>
      <c r="F10046" s="17" t="str">
        <f>IFERROR(__xludf.DUMMYFUNCTION("""COMPUTED_VALUE"""),"CALLE 7N 18 09 / ASTURIAS TORRES TO A AP 402")</f>
        <v>CALLE 7N 18 09 / ASTURIAS TORRES TO A AP 402</v>
      </c>
      <c r="G10046" s="15" t="str">
        <f>IFERROR(__xludf.DUMMYFUNCTION("""COMPUTED_VALUE"""),"GENESIS VICTORIA MELENDEZ")</f>
        <v>GENESIS VICTORIA MELENDEZ</v>
      </c>
      <c r="H10046" s="16">
        <f>IFERROR(__xludf.DUMMYFUNCTION("""COMPUTED_VALUE"""),18672.0)</f>
        <v>18672</v>
      </c>
      <c r="I10046" s="17"/>
      <c r="J10046" s="17"/>
      <c r="K10046" s="17"/>
      <c r="L10046" s="17"/>
      <c r="M10046" s="17"/>
      <c r="N10046" s="17"/>
      <c r="O10046" s="17"/>
      <c r="P10046" s="17" t="b">
        <f>IFERROR(__xludf.DUMMYFUNCTION("""COMPUTED_VALUE"""),FALSE)</f>
        <v>0</v>
      </c>
      <c r="Q10046" s="20" t="str">
        <f>IFERROR(__xludf.DUMMYFUNCTION("""COMPUTED_VALUE"""),"")</f>
        <v/>
      </c>
      <c r="R10046" s="21" t="str">
        <f>IFERROR(__xludf.DUMMYFUNCTION("""COMPUTED_VALUE"""),"https://drive.google.com/file/d/1bVSNtl1TCvTCkwK0j84jWQrNJKD-UHFJ/view?usp=drivesdk")</f>
        <v>https://drive.google.com/file/d/1bVSNtl1TCvTCkwK0j84jWQrNJKD-UHFJ/view?usp=drivesdk</v>
      </c>
    </row>
    <row r="10047">
      <c r="A10047" s="17" t="str">
        <f>IFERROR(__xludf.DUMMYFUNCTION("""COMPUTED_VALUE"""),"")</f>
        <v/>
      </c>
      <c r="B10047" s="17" t="str">
        <f>IFERROR(__xludf.DUMMYFUNCTION("""COMPUTED_VALUE"""),"")</f>
        <v/>
      </c>
      <c r="C10047" s="17" t="str">
        <f>IFERROR(__xludf.DUMMYFUNCTION("""COMPUTED_VALUE"""),"")</f>
        <v/>
      </c>
      <c r="D10047" s="17" t="str">
        <f>IFERROR(__xludf.DUMMYFUNCTION("""COMPUTED_VALUE"""),"")</f>
        <v/>
      </c>
      <c r="E10047" s="17" t="str">
        <f>IFERROR(__xludf.DUMMYFUNCTION("""COMPUTED_VALUE"""),"")</f>
        <v/>
      </c>
      <c r="F10047" s="17" t="str">
        <f>IFERROR(__xludf.DUMMYFUNCTION("""COMPUTED_VALUE"""),"")</f>
        <v/>
      </c>
      <c r="G10047" s="17" t="str">
        <f>IFERROR(__xludf.DUMMYFUNCTION("""COMPUTED_VALUE"""),"")</f>
        <v/>
      </c>
      <c r="H10047" s="17" t="str">
        <f>IFERROR(__xludf.DUMMYFUNCTION("""COMPUTED_VALUE"""),"")</f>
        <v/>
      </c>
      <c r="I10047" s="17" t="str">
        <f>IFERROR(__xludf.DUMMYFUNCTION("""COMPUTED_VALUE"""),"")</f>
        <v/>
      </c>
      <c r="J10047" s="17" t="str">
        <f>IFERROR(__xludf.DUMMYFUNCTION("""COMPUTED_VALUE"""),"")</f>
        <v/>
      </c>
      <c r="K10047" s="17" t="str">
        <f>IFERROR(__xludf.DUMMYFUNCTION("""COMPUTED_VALUE"""),"")</f>
        <v/>
      </c>
      <c r="L10047" s="17" t="str">
        <f>IFERROR(__xludf.DUMMYFUNCTION("""COMPUTED_VALUE"""),"")</f>
        <v/>
      </c>
      <c r="M10047" s="17" t="str">
        <f>IFERROR(__xludf.DUMMYFUNCTION("""COMPUTED_VALUE"""),"")</f>
        <v/>
      </c>
      <c r="N10047" s="17" t="str">
        <f>IFERROR(__xludf.DUMMYFUNCTION("""COMPUTED_VALUE"""),"")</f>
        <v/>
      </c>
      <c r="O10047" s="17" t="str">
        <f>IFERROR(__xludf.DUMMYFUNCTION("""COMPUTED_VALUE"""),"")</f>
        <v/>
      </c>
      <c r="P10047" s="17" t="str">
        <f>IFERROR(__xludf.DUMMYFUNCTION("""COMPUTED_VALUE"""),"")</f>
        <v/>
      </c>
      <c r="Q10047" s="17" t="str">
        <f>IFERROR(__xludf.DUMMYFUNCTION("""COMPUTED_VALUE"""),"")</f>
        <v/>
      </c>
      <c r="R10047" s="17" t="str">
        <f>IFERROR(__xludf.DUMMYFUNCTION("""COMPUTED_VALUE"""),"")</f>
        <v/>
      </c>
    </row>
    <row r="10048">
      <c r="A10048" s="15">
        <f>IFERROR(__xludf.DUMMYFUNCTION("""COMPUTED_VALUE"""),45282.0)</f>
        <v>45282</v>
      </c>
      <c r="B10048" s="16" t="str">
        <f>IFERROR(__xludf.DUMMYFUNCTION("""COMPUTED_VALUE"""),"Orlando Urdaneta Rincon ")</f>
        <v>Orlando Urdaneta Rincon </v>
      </c>
      <c r="C10048" s="15" t="str">
        <f>IFERROR(__xludf.DUMMYFUNCTION("""COMPUTED_VALUE"""),"SANTA MARTA")</f>
        <v>SANTA MARTA</v>
      </c>
      <c r="D10048" s="15" t="str">
        <f>IFERROR(__xludf.DUMMYFUNCTION("""COMPUTED_VALUE"""),"BOGOTÁ")</f>
        <v>BOGOTÁ</v>
      </c>
      <c r="E10048" s="15" t="str">
        <f>IFERROR(__xludf.DUMMYFUNCTION("""COMPUTED_VALUE"""),"Instinto alimento vital")</f>
        <v>Instinto alimento vital</v>
      </c>
      <c r="F10048" s="17" t="str">
        <f>IFERROR(__xludf.DUMMYFUNCTION("""COMPUTED_VALUE"""),"CR 1 B 26 A 109 / EDIFICIO ALMIRANTE APT 501")</f>
        <v>CR 1 B 26 A 109 / EDIFICIO ALMIRANTE APT 501</v>
      </c>
      <c r="G10048" s="15" t="str">
        <f>IFERROR(__xludf.DUMMYFUNCTION("""COMPUTED_VALUE"""),"VERONICA GOMEZ DE ZUBIRIA")</f>
        <v>VERONICA GOMEZ DE ZUBIRIA</v>
      </c>
      <c r="H10048" s="16">
        <f>IFERROR(__xludf.DUMMYFUNCTION("""COMPUTED_VALUE"""),18661.0)</f>
        <v>18661</v>
      </c>
      <c r="I10048" s="17"/>
      <c r="J10048" s="17"/>
      <c r="K10048" s="17"/>
      <c r="L10048" s="17">
        <f>IFERROR(__xludf.DUMMYFUNCTION("""COMPUTED_VALUE"""),3.107893555E9)</f>
        <v>3107893555</v>
      </c>
      <c r="M10048" s="17"/>
      <c r="N10048" s="17"/>
      <c r="O10048" s="17"/>
      <c r="P10048" s="17" t="b">
        <f>IFERROR(__xludf.DUMMYFUNCTION("""COMPUTED_VALUE"""),FALSE)</f>
        <v>0</v>
      </c>
      <c r="Q10048" s="20" t="str">
        <f>IFERROR(__xludf.DUMMYFUNCTION("""COMPUTED_VALUE"""),"")</f>
        <v/>
      </c>
      <c r="R10048" s="21" t="str">
        <f>IFERROR(__xludf.DUMMYFUNCTION("""COMPUTED_VALUE"""),"https://drive.google.com/file/d/1ylkrYhrD6TF5UYs8h0-TjOty6ri_FiBm/view?usp=drivesdk")</f>
        <v>https://drive.google.com/file/d/1ylkrYhrD6TF5UYs8h0-TjOty6ri_FiBm/view?usp=drivesdk</v>
      </c>
    </row>
    <row r="10049">
      <c r="A10049" s="15">
        <f>IFERROR(__xludf.DUMMYFUNCTION("""COMPUTED_VALUE"""),45282.0)</f>
        <v>45282</v>
      </c>
      <c r="B10049" s="16" t="str">
        <f>IFERROR(__xludf.DUMMYFUNCTION("""COMPUTED_VALUE"""),"Orlando Urdaneta Rincon ")</f>
        <v>Orlando Urdaneta Rincon </v>
      </c>
      <c r="C10049" s="15" t="str">
        <f>IFERROR(__xludf.DUMMYFUNCTION("""COMPUTED_VALUE"""),"SANTA MARTA")</f>
        <v>SANTA MARTA</v>
      </c>
      <c r="D10049" s="15" t="str">
        <f>IFERROR(__xludf.DUMMYFUNCTION("""COMPUTED_VALUE"""),"BOGOTÁ")</f>
        <v>BOGOTÁ</v>
      </c>
      <c r="E10049" s="15" t="str">
        <f>IFERROR(__xludf.DUMMYFUNCTION("""COMPUTED_VALUE"""),"Instinto alimento vital")</f>
        <v>Instinto alimento vital</v>
      </c>
      <c r="F10049" s="17" t="str">
        <f>IFERROR(__xludf.DUMMYFUNCTION("""COMPUTED_VALUE"""),"CR 21 12 50, EDIFICIO TWINS / TR 1 APTO 1504")</f>
        <v>CR 21 12 50, EDIFICIO TWINS / TR 1 APTO 1504</v>
      </c>
      <c r="G10049" s="15" t="str">
        <f>IFERROR(__xludf.DUMMYFUNCTION("""COMPUTED_VALUE"""),"JUANITA SOLANO BOTERO")</f>
        <v>JUANITA SOLANO BOTERO</v>
      </c>
      <c r="H10049" s="16">
        <f>IFERROR(__xludf.DUMMYFUNCTION("""COMPUTED_VALUE"""),18656.0)</f>
        <v>18656</v>
      </c>
      <c r="I10049" s="17"/>
      <c r="J10049" s="17"/>
      <c r="K10049" s="17"/>
      <c r="L10049" s="17">
        <f>IFERROR(__xludf.DUMMYFUNCTION("""COMPUTED_VALUE"""),3.00838302E9)</f>
        <v>3008383020</v>
      </c>
      <c r="M10049" s="17"/>
      <c r="N10049" s="17"/>
      <c r="O10049" s="17"/>
      <c r="P10049" s="17" t="b">
        <f>IFERROR(__xludf.DUMMYFUNCTION("""COMPUTED_VALUE"""),FALSE)</f>
        <v>0</v>
      </c>
      <c r="Q10049" s="20" t="str">
        <f>IFERROR(__xludf.DUMMYFUNCTION("""COMPUTED_VALUE"""),"")</f>
        <v/>
      </c>
      <c r="R10049" s="21" t="str">
        <f>IFERROR(__xludf.DUMMYFUNCTION("""COMPUTED_VALUE"""),"https://drive.google.com/file/d/1e3mq-r7zcOamwMe9I77Kgt6BqkOTA49A/view?usp=drivesdk")</f>
        <v>https://drive.google.com/file/d/1e3mq-r7zcOamwMe9I77Kgt6BqkOTA49A/view?usp=drivesdk</v>
      </c>
    </row>
    <row r="10050">
      <c r="A10050" s="15">
        <f>IFERROR(__xludf.DUMMYFUNCTION("""COMPUTED_VALUE"""),45282.0)</f>
        <v>45282</v>
      </c>
      <c r="B10050" s="16" t="str">
        <f>IFERROR(__xludf.DUMMYFUNCTION("""COMPUTED_VALUE"""),"Orlando Urdaneta Rincon ")</f>
        <v>Orlando Urdaneta Rincon </v>
      </c>
      <c r="C10050" s="15" t="str">
        <f>IFERROR(__xludf.DUMMYFUNCTION("""COMPUTED_VALUE"""),"SANTA MARTA")</f>
        <v>SANTA MARTA</v>
      </c>
      <c r="D10050" s="15" t="str">
        <f>IFERROR(__xludf.DUMMYFUNCTION("""COMPUTED_VALUE"""),"BOGOTÁ")</f>
        <v>BOGOTÁ</v>
      </c>
      <c r="E10050" s="15" t="str">
        <f>IFERROR(__xludf.DUMMYFUNCTION("""COMPUTED_VALUE"""),"Premium Choice")</f>
        <v>Premium Choice</v>
      </c>
      <c r="F10050" s="17" t="str">
        <f>IFERROR(__xludf.DUMMYFUNCTION("""COMPUTED_VALUE"""),"Cr 3 # 145 - 126  / Vía de acceso al aeropuerto  / Sta Marta")</f>
        <v>Cr 3 # 145 - 126  / Vía de acceso al aeropuerto  / Sta Marta</v>
      </c>
      <c r="G10050" s="15" t="str">
        <f>IFERROR(__xludf.DUMMYFUNCTION("""COMPUTED_VALUE"""),"Luxury landmarks")</f>
        <v>Luxury landmarks</v>
      </c>
      <c r="H10050" s="16">
        <f>IFERROR(__xludf.DUMMYFUNCTION("""COMPUTED_VALUE"""),18684.0)</f>
        <v>18684</v>
      </c>
      <c r="I10050" s="18">
        <f>IFERROR(__xludf.DUMMYFUNCTION("""COMPUTED_VALUE"""),17.0)</f>
        <v>17</v>
      </c>
      <c r="J10050" s="18">
        <f>IFERROR(__xludf.DUMMYFUNCTION("""COMPUTED_VALUE"""),20.0)</f>
        <v>20</v>
      </c>
      <c r="K10050" s="18">
        <f>IFERROR(__xludf.DUMMYFUNCTION("""COMPUTED_VALUE"""),20.0)</f>
        <v>20</v>
      </c>
      <c r="L10050" s="17">
        <f>IFERROR(__xludf.DUMMYFUNCTION("""COMPUTED_VALUE"""),3.102170999E9)</f>
        <v>3102170999</v>
      </c>
      <c r="M10050" s="17"/>
      <c r="N10050" s="17"/>
      <c r="O10050" s="17"/>
      <c r="P10050" s="17" t="b">
        <f>IFERROR(__xludf.DUMMYFUNCTION("""COMPUTED_VALUE"""),FALSE)</f>
        <v>0</v>
      </c>
      <c r="Q10050" s="20" t="str">
        <f>IFERROR(__xludf.DUMMYFUNCTION("""COMPUTED_VALUE"""),"")</f>
        <v/>
      </c>
      <c r="R10050" s="21" t="str">
        <f>IFERROR(__xludf.DUMMYFUNCTION("""COMPUTED_VALUE"""),"https://drive.google.com/file/d/1ooVcW-0O2a14AcEprMbOA9jPdndjbK19/view?usp=drivesdk")</f>
        <v>https://drive.google.com/file/d/1ooVcW-0O2a14AcEprMbOA9jPdndjbK19/view?usp=drivesdk</v>
      </c>
    </row>
    <row r="10051">
      <c r="A10051" s="15">
        <f>IFERROR(__xludf.DUMMYFUNCTION("""COMPUTED_VALUE"""),45282.0)</f>
        <v>45282</v>
      </c>
      <c r="B10051" s="16" t="str">
        <f>IFERROR(__xludf.DUMMYFUNCTION("""COMPUTED_VALUE"""),"Orlando Urdaneta Rincon ")</f>
        <v>Orlando Urdaneta Rincon </v>
      </c>
      <c r="C10051" s="15" t="str">
        <f>IFERROR(__xludf.DUMMYFUNCTION("""COMPUTED_VALUE"""),"SANTA MARTA")</f>
        <v>SANTA MARTA</v>
      </c>
      <c r="D10051" s="15" t="str">
        <f>IFERROR(__xludf.DUMMYFUNCTION("""COMPUTED_VALUE"""),"ENVIGADO")</f>
        <v>ENVIGADO</v>
      </c>
      <c r="E10051" s="15" t="str">
        <f>IFERROR(__xludf.DUMMYFUNCTION("""COMPUTED_VALUE"""),"RAMBLA")</f>
        <v>RAMBLA</v>
      </c>
      <c r="F10051" s="17" t="str">
        <f>IFERROR(__xludf.DUMMYFUNCTION("""COMPUTED_VALUE"""),"Carrera 21 #21-153 / local 105 centro comercial plaza jardin")</f>
        <v>Carrera 21 #21-153 / local 105 centro comercial plaza jardin</v>
      </c>
      <c r="G10051" s="15" t="str">
        <f>IFERROR(__xludf.DUMMYFUNCTION("""COMPUTED_VALUE"""),"Punto Saludable")</f>
        <v>Punto Saludable</v>
      </c>
      <c r="H10051" s="16">
        <f>IFERROR(__xludf.DUMMYFUNCTION("""COMPUTED_VALUE"""),18651.0)</f>
        <v>18651</v>
      </c>
      <c r="I10051" s="17"/>
      <c r="J10051" s="17"/>
      <c r="K10051" s="17"/>
      <c r="L10051" s="17">
        <f>IFERROR(__xludf.DUMMYFUNCTION("""COMPUTED_VALUE"""),3.013146331E9)</f>
        <v>3013146331</v>
      </c>
      <c r="M10051" s="17"/>
      <c r="N10051" s="17"/>
      <c r="O10051" s="17"/>
      <c r="P10051" s="17" t="b">
        <f>IFERROR(__xludf.DUMMYFUNCTION("""COMPUTED_VALUE"""),FALSE)</f>
        <v>0</v>
      </c>
      <c r="Q10051" s="20" t="str">
        <f>IFERROR(__xludf.DUMMYFUNCTION("""COMPUTED_VALUE"""),"")</f>
        <v/>
      </c>
      <c r="R10051" s="21" t="str">
        <f>IFERROR(__xludf.DUMMYFUNCTION("""COMPUTED_VALUE"""),"https://drive.google.com/file/d/1qflcZnNALHnsxXezS33X5SVcatIAB1XI/view?usp=drivesdk")</f>
        <v>https://drive.google.com/file/d/1qflcZnNALHnsxXezS33X5SVcatIAB1XI/view?usp=drivesdk</v>
      </c>
    </row>
    <row r="10052">
      <c r="A10052" s="17" t="str">
        <f>IFERROR(__xludf.DUMMYFUNCTION("""COMPUTED_VALUE"""),"")</f>
        <v/>
      </c>
      <c r="B10052" s="17" t="str">
        <f>IFERROR(__xludf.DUMMYFUNCTION("""COMPUTED_VALUE"""),"")</f>
        <v/>
      </c>
      <c r="C10052" s="17" t="str">
        <f>IFERROR(__xludf.DUMMYFUNCTION("""COMPUTED_VALUE"""),"")</f>
        <v/>
      </c>
      <c r="D10052" s="17" t="str">
        <f>IFERROR(__xludf.DUMMYFUNCTION("""COMPUTED_VALUE"""),"")</f>
        <v/>
      </c>
      <c r="E10052" s="17" t="str">
        <f>IFERROR(__xludf.DUMMYFUNCTION("""COMPUTED_VALUE"""),"")</f>
        <v/>
      </c>
      <c r="F10052" s="17" t="str">
        <f>IFERROR(__xludf.DUMMYFUNCTION("""COMPUTED_VALUE"""),"")</f>
        <v/>
      </c>
      <c r="G10052" s="17" t="str">
        <f>IFERROR(__xludf.DUMMYFUNCTION("""COMPUTED_VALUE"""),"")</f>
        <v/>
      </c>
      <c r="H10052" s="17" t="str">
        <f>IFERROR(__xludf.DUMMYFUNCTION("""COMPUTED_VALUE"""),"")</f>
        <v/>
      </c>
      <c r="I10052" s="17" t="str">
        <f>IFERROR(__xludf.DUMMYFUNCTION("""COMPUTED_VALUE"""),"")</f>
        <v/>
      </c>
      <c r="J10052" s="17" t="str">
        <f>IFERROR(__xludf.DUMMYFUNCTION("""COMPUTED_VALUE"""),"")</f>
        <v/>
      </c>
      <c r="K10052" s="17" t="str">
        <f>IFERROR(__xludf.DUMMYFUNCTION("""COMPUTED_VALUE"""),"")</f>
        <v/>
      </c>
      <c r="L10052" s="17" t="str">
        <f>IFERROR(__xludf.DUMMYFUNCTION("""COMPUTED_VALUE"""),"")</f>
        <v/>
      </c>
      <c r="M10052" s="17" t="str">
        <f>IFERROR(__xludf.DUMMYFUNCTION("""COMPUTED_VALUE"""),"")</f>
        <v/>
      </c>
      <c r="N10052" s="17" t="str">
        <f>IFERROR(__xludf.DUMMYFUNCTION("""COMPUTED_VALUE"""),"")</f>
        <v/>
      </c>
      <c r="O10052" s="17" t="str">
        <f>IFERROR(__xludf.DUMMYFUNCTION("""COMPUTED_VALUE"""),"")</f>
        <v/>
      </c>
      <c r="P10052" s="17" t="str">
        <f>IFERROR(__xludf.DUMMYFUNCTION("""COMPUTED_VALUE"""),"")</f>
        <v/>
      </c>
      <c r="Q10052" s="17" t="str">
        <f>IFERROR(__xludf.DUMMYFUNCTION("""COMPUTED_VALUE"""),"")</f>
        <v/>
      </c>
      <c r="R10052" s="17" t="str">
        <f>IFERROR(__xludf.DUMMYFUNCTION("""COMPUTED_VALUE"""),"")</f>
        <v/>
      </c>
    </row>
    <row r="10053">
      <c r="A10053" s="15">
        <f>IFERROR(__xludf.DUMMYFUNCTION("""COMPUTED_VALUE"""),45287.0)</f>
        <v>45287</v>
      </c>
      <c r="B10053" s="16" t="str">
        <f>IFERROR(__xludf.DUMMYFUNCTION("""COMPUTED_VALUE"""),"Alvaro Chacón")</f>
        <v>Alvaro Chacón</v>
      </c>
      <c r="C10053" s="15" t="str">
        <f>IFERROR(__xludf.DUMMYFUNCTION("""COMPUTED_VALUE"""),"BOGOTÁ")</f>
        <v>BOGOTÁ</v>
      </c>
      <c r="D10053" s="15" t="str">
        <f>IFERROR(__xludf.DUMMYFUNCTION("""COMPUTED_VALUE"""),"MEDELLÍN")</f>
        <v>MEDELLÍN</v>
      </c>
      <c r="E10053" s="15" t="str">
        <f>IFERROR(__xludf.DUMMYFUNCTION("""COMPUTED_VALUE"""),"AREPAS LA MARY")</f>
        <v>AREPAS LA MARY</v>
      </c>
      <c r="F10053" s="17" t="str">
        <f>IFERROR(__xludf.DUMMYFUNCTION("""COMPUTED_VALUE"""),"Calle 120 # 50-37 / Casa")</f>
        <v>Calle 120 # 50-37 / Casa</v>
      </c>
      <c r="G10053" s="15" t="str">
        <f>IFERROR(__xludf.DUMMYFUNCTION("""COMPUTED_VALUE"""),"Jessica paola ibañez enciso")</f>
        <v>Jessica paola ibañez enciso</v>
      </c>
      <c r="H10053" s="16">
        <f>IFERROR(__xludf.DUMMYFUNCTION("""COMPUTED_VALUE"""),18797.0)</f>
        <v>18797</v>
      </c>
      <c r="I10053" s="17"/>
      <c r="J10053" s="17"/>
      <c r="K10053" s="17"/>
      <c r="L10053" s="17">
        <f>IFERROR(__xludf.DUMMYFUNCTION("""COMPUTED_VALUE"""),3.197727111E9)</f>
        <v>3197727111</v>
      </c>
      <c r="M10053" s="17"/>
      <c r="N10053" s="17"/>
      <c r="O10053" s="17"/>
      <c r="P10053" s="17" t="b">
        <f>IFERROR(__xludf.DUMMYFUNCTION("""COMPUTED_VALUE"""),FALSE)</f>
        <v>0</v>
      </c>
      <c r="Q10053" s="20" t="str">
        <f>IFERROR(__xludf.DUMMYFUNCTION("""COMPUTED_VALUE"""),"")</f>
        <v/>
      </c>
      <c r="R10053" s="21" t="str">
        <f>IFERROR(__xludf.DUMMYFUNCTION("""COMPUTED_VALUE"""),"https://drive.google.com/file/d/129QUtW896vKS9MqGT-bfkJB_1gc6o_mx/view?usp=drivesdk")</f>
        <v>https://drive.google.com/file/d/129QUtW896vKS9MqGT-bfkJB_1gc6o_mx/view?usp=drivesdk</v>
      </c>
    </row>
    <row r="10054">
      <c r="A10054" s="15">
        <f>IFERROR(__xludf.DUMMYFUNCTION("""COMPUTED_VALUE"""),45287.0)</f>
        <v>45287</v>
      </c>
      <c r="B10054" s="16" t="str">
        <f>IFERROR(__xludf.DUMMYFUNCTION("""COMPUTED_VALUE"""),"Alvaro Chacón")</f>
        <v>Alvaro Chacón</v>
      </c>
      <c r="C10054" s="15" t="str">
        <f>IFERROR(__xludf.DUMMYFUNCTION("""COMPUTED_VALUE"""),"BOGOTÁ")</f>
        <v>BOGOTÁ</v>
      </c>
      <c r="D10054" s="15" t="str">
        <f>IFERROR(__xludf.DUMMYFUNCTION("""COMPUTED_VALUE"""),"MEDELLÍN")</f>
        <v>MEDELLÍN</v>
      </c>
      <c r="E10054" s="15" t="str">
        <f>IFERROR(__xludf.DUMMYFUNCTION("""COMPUTED_VALUE"""),"Baby Chef")</f>
        <v>Baby Chef</v>
      </c>
      <c r="F10054" s="17" t="str">
        <f>IFERROR(__xludf.DUMMYFUNCTION("""COMPUTED_VALUE"""),"Calle 151 n 11-32 conjunto Lombardía torre 4 apto 914 cedritos usaquen / . / .")</f>
        <v>Calle 151 n 11-32 conjunto Lombardía torre 4 apto 914 cedritos usaquen / . / .</v>
      </c>
      <c r="G10054" s="15" t="str">
        <f>IFERROR(__xludf.DUMMYFUNCTION("""COMPUTED_VALUE"""),"Nathali Vargas")</f>
        <v>Nathali Vargas</v>
      </c>
      <c r="H10054" s="16">
        <f>IFERROR(__xludf.DUMMYFUNCTION("""COMPUTED_VALUE"""),18762.0)</f>
        <v>18762</v>
      </c>
      <c r="I10054" s="18">
        <f>IFERROR(__xludf.DUMMYFUNCTION("""COMPUTED_VALUE"""),10.0)</f>
        <v>10</v>
      </c>
      <c r="J10054" s="18">
        <f>IFERROR(__xludf.DUMMYFUNCTION("""COMPUTED_VALUE"""),22.0)</f>
        <v>22</v>
      </c>
      <c r="K10054" s="18">
        <f>IFERROR(__xludf.DUMMYFUNCTION("""COMPUTED_VALUE"""),40.0)</f>
        <v>40</v>
      </c>
      <c r="L10054" s="17">
        <f>IFERROR(__xludf.DUMMYFUNCTION("""COMPUTED_VALUE"""),3.233254363E9)</f>
        <v>3233254363</v>
      </c>
      <c r="M10054" s="17"/>
      <c r="N10054" s="17"/>
      <c r="O10054" s="17"/>
      <c r="P10054" s="17" t="b">
        <f>IFERROR(__xludf.DUMMYFUNCTION("""COMPUTED_VALUE"""),FALSE)</f>
        <v>0</v>
      </c>
      <c r="Q10054" s="20" t="str">
        <f>IFERROR(__xludf.DUMMYFUNCTION("""COMPUTED_VALUE"""),"")</f>
        <v/>
      </c>
      <c r="R10054" s="21" t="str">
        <f>IFERROR(__xludf.DUMMYFUNCTION("""COMPUTED_VALUE"""),"https://drive.google.com/file/d/15DPP-2TbPMY1_wAtyrirk46ONe70ImJJ/view?usp=drivesdk")</f>
        <v>https://drive.google.com/file/d/15DPP-2TbPMY1_wAtyrirk46ONe70ImJJ/view?usp=drivesdk</v>
      </c>
    </row>
    <row r="10055">
      <c r="A10055" s="15">
        <f>IFERROR(__xludf.DUMMYFUNCTION("""COMPUTED_VALUE"""),45287.0)</f>
        <v>45287</v>
      </c>
      <c r="B10055" s="16" t="str">
        <f>IFERROR(__xludf.DUMMYFUNCTION("""COMPUTED_VALUE"""),"Alvaro Chacón")</f>
        <v>Alvaro Chacón</v>
      </c>
      <c r="C10055" s="15" t="str">
        <f>IFERROR(__xludf.DUMMYFUNCTION("""COMPUTED_VALUE"""),"BOGOTÁ")</f>
        <v>BOGOTÁ</v>
      </c>
      <c r="D10055" s="15" t="str">
        <f>IFERROR(__xludf.DUMMYFUNCTION("""COMPUTED_VALUE"""),"MEDELLÍN")</f>
        <v>MEDELLÍN</v>
      </c>
      <c r="E10055" s="15" t="str">
        <f>IFERROR(__xludf.DUMMYFUNCTION("""COMPUTED_VALUE"""),"Moloso S.A.S")</f>
        <v>Moloso S.A.S</v>
      </c>
      <c r="F10055" s="17" t="str">
        <f>IFERROR(__xludf.DUMMYFUNCTION("""COMPUTED_VALUE"""),"CL 118 16 32 / AP 502")</f>
        <v>CL 118 16 32 / AP 502</v>
      </c>
      <c r="G10055" s="15" t="str">
        <f>IFERROR(__xludf.DUMMYFUNCTION("""COMPUTED_VALUE"""),"ANGELICA MANCILLA")</f>
        <v>ANGELICA MANCILLA</v>
      </c>
      <c r="H10055" s="16">
        <f>IFERROR(__xludf.DUMMYFUNCTION("""COMPUTED_VALUE"""),18778.0)</f>
        <v>18778</v>
      </c>
      <c r="I10055" s="17"/>
      <c r="J10055" s="17"/>
      <c r="K10055" s="17"/>
      <c r="L10055" s="17">
        <f>IFERROR(__xludf.DUMMYFUNCTION("""COMPUTED_VALUE"""),3.174401028E9)</f>
        <v>3174401028</v>
      </c>
      <c r="M10055" s="17"/>
      <c r="N10055" s="17"/>
      <c r="O10055" s="17"/>
      <c r="P10055" s="17" t="b">
        <f>IFERROR(__xludf.DUMMYFUNCTION("""COMPUTED_VALUE"""),FALSE)</f>
        <v>0</v>
      </c>
      <c r="Q10055" s="20" t="str">
        <f>IFERROR(__xludf.DUMMYFUNCTION("""COMPUTED_VALUE"""),"")</f>
        <v/>
      </c>
      <c r="R10055" s="21" t="str">
        <f>IFERROR(__xludf.DUMMYFUNCTION("""COMPUTED_VALUE"""),"https://drive.google.com/file/d/1kijygPCMLduEUNcSNqC0h1VPBFQL1Gjp/view?usp=drivesdk")</f>
        <v>https://drive.google.com/file/d/1kijygPCMLduEUNcSNqC0h1VPBFQL1Gjp/view?usp=drivesdk</v>
      </c>
    </row>
    <row r="10056">
      <c r="A10056" s="15">
        <f>IFERROR(__xludf.DUMMYFUNCTION("""COMPUTED_VALUE"""),45287.0)</f>
        <v>45287</v>
      </c>
      <c r="B10056" s="16" t="str">
        <f>IFERROR(__xludf.DUMMYFUNCTION("""COMPUTED_VALUE"""),"Alvaro Chacón")</f>
        <v>Alvaro Chacón</v>
      </c>
      <c r="C10056" s="15" t="str">
        <f>IFERROR(__xludf.DUMMYFUNCTION("""COMPUTED_VALUE"""),"BOGOTÁ")</f>
        <v>BOGOTÁ</v>
      </c>
      <c r="D10056" s="15" t="str">
        <f>IFERROR(__xludf.DUMMYFUNCTION("""COMPUTED_VALUE"""),"MEDELLÍN")</f>
        <v>MEDELLÍN</v>
      </c>
      <c r="E10056" s="15" t="str">
        <f>IFERROR(__xludf.DUMMYFUNCTION("""COMPUTED_VALUE"""),"Moloso S.A.S")</f>
        <v>Moloso S.A.S</v>
      </c>
      <c r="F10056" s="17" t="str">
        <f>IFERROR(__xludf.DUMMYFUNCTION("""COMPUTED_VALUE"""),"CL 90 9A 51 / ED MT3 AP 403")</f>
        <v>CL 90 9A 51 / ED MT3 AP 403</v>
      </c>
      <c r="G10056" s="15" t="str">
        <f>IFERROR(__xludf.DUMMYFUNCTION("""COMPUTED_VALUE"""),"MARIA XIMENA GUZMAN DEL CASTILLO")</f>
        <v>MARIA XIMENA GUZMAN DEL CASTILLO</v>
      </c>
      <c r="H10056" s="16">
        <f>IFERROR(__xludf.DUMMYFUNCTION("""COMPUTED_VALUE"""),18779.0)</f>
        <v>18779</v>
      </c>
      <c r="I10056" s="17"/>
      <c r="J10056" s="17"/>
      <c r="K10056" s="17"/>
      <c r="L10056" s="17"/>
      <c r="M10056" s="17"/>
      <c r="N10056" s="17"/>
      <c r="O10056" s="17"/>
      <c r="P10056" s="17" t="b">
        <f>IFERROR(__xludf.DUMMYFUNCTION("""COMPUTED_VALUE"""),FALSE)</f>
        <v>0</v>
      </c>
      <c r="Q10056" s="20" t="str">
        <f>IFERROR(__xludf.DUMMYFUNCTION("""COMPUTED_VALUE"""),"")</f>
        <v/>
      </c>
      <c r="R10056" s="21" t="str">
        <f>IFERROR(__xludf.DUMMYFUNCTION("""COMPUTED_VALUE"""),"https://drive.google.com/file/d/1-and4ZDjNz8G4orCCcGLXpneCxBaTVfa/view?usp=drivesdk")</f>
        <v>https://drive.google.com/file/d/1-and4ZDjNz8G4orCCcGLXpneCxBaTVfa/view?usp=drivesdk</v>
      </c>
    </row>
    <row r="10057">
      <c r="A10057" s="15">
        <f>IFERROR(__xludf.DUMMYFUNCTION("""COMPUTED_VALUE"""),45287.0)</f>
        <v>45287</v>
      </c>
      <c r="B10057" s="16" t="str">
        <f>IFERROR(__xludf.DUMMYFUNCTION("""COMPUTED_VALUE"""),"Alvaro Chacón")</f>
        <v>Alvaro Chacón</v>
      </c>
      <c r="C10057" s="15" t="str">
        <f>IFERROR(__xludf.DUMMYFUNCTION("""COMPUTED_VALUE"""),"BOGOTÁ")</f>
        <v>BOGOTÁ</v>
      </c>
      <c r="D10057" s="15" t="str">
        <f>IFERROR(__xludf.DUMMYFUNCTION("""COMPUTED_VALUE"""),"MEDELLÍN")</f>
        <v>MEDELLÍN</v>
      </c>
      <c r="E10057" s="15" t="str">
        <f>IFERROR(__xludf.DUMMYFUNCTION("""COMPUTED_VALUE"""),"Moloso S.A.S")</f>
        <v>Moloso S.A.S</v>
      </c>
      <c r="F10057" s="17" t="str">
        <f>IFERROR(__xludf.DUMMYFUNCTION("""COMPUTED_VALUE"""),"CR 14B 161 49 / ED TRINITARIOS AP 103")</f>
        <v>CR 14B 161 49 / ED TRINITARIOS AP 103</v>
      </c>
      <c r="G10057" s="15" t="str">
        <f>IFERROR(__xludf.DUMMYFUNCTION("""COMPUTED_VALUE"""),"MANUEL LEAL CASTELLANOS")</f>
        <v>MANUEL LEAL CASTELLANOS</v>
      </c>
      <c r="H10057" s="16">
        <f>IFERROR(__xludf.DUMMYFUNCTION("""COMPUTED_VALUE"""),18774.0)</f>
        <v>18774</v>
      </c>
      <c r="I10057" s="17"/>
      <c r="J10057" s="17"/>
      <c r="K10057" s="17"/>
      <c r="L10057" s="17"/>
      <c r="M10057" s="17"/>
      <c r="N10057" s="17"/>
      <c r="O10057" s="17"/>
      <c r="P10057" s="17" t="b">
        <f>IFERROR(__xludf.DUMMYFUNCTION("""COMPUTED_VALUE"""),FALSE)</f>
        <v>0</v>
      </c>
      <c r="Q10057" s="20" t="str">
        <f>IFERROR(__xludf.DUMMYFUNCTION("""COMPUTED_VALUE"""),"")</f>
        <v/>
      </c>
      <c r="R10057" s="21" t="str">
        <f>IFERROR(__xludf.DUMMYFUNCTION("""COMPUTED_VALUE"""),"https://drive.google.com/file/d/11cXgifcW2_1ULlicJIaQk2oTFzx1qIYx/view?usp=drivesdk")</f>
        <v>https://drive.google.com/file/d/11cXgifcW2_1ULlicJIaQk2oTFzx1qIYx/view?usp=drivesdk</v>
      </c>
    </row>
    <row r="10058">
      <c r="A10058" s="17" t="str">
        <f>IFERROR(__xludf.DUMMYFUNCTION("""COMPUTED_VALUE"""),"")</f>
        <v/>
      </c>
      <c r="B10058" s="17" t="str">
        <f>IFERROR(__xludf.DUMMYFUNCTION("""COMPUTED_VALUE"""),"")</f>
        <v/>
      </c>
      <c r="C10058" s="17" t="str">
        <f>IFERROR(__xludf.DUMMYFUNCTION("""COMPUTED_VALUE"""),"")</f>
        <v/>
      </c>
      <c r="D10058" s="17" t="str">
        <f>IFERROR(__xludf.DUMMYFUNCTION("""COMPUTED_VALUE"""),"")</f>
        <v/>
      </c>
      <c r="E10058" s="17" t="str">
        <f>IFERROR(__xludf.DUMMYFUNCTION("""COMPUTED_VALUE"""),"")</f>
        <v/>
      </c>
      <c r="F10058" s="17" t="str">
        <f>IFERROR(__xludf.DUMMYFUNCTION("""COMPUTED_VALUE"""),"")</f>
        <v/>
      </c>
      <c r="G10058" s="17" t="str">
        <f>IFERROR(__xludf.DUMMYFUNCTION("""COMPUTED_VALUE"""),"")</f>
        <v/>
      </c>
      <c r="H10058" s="17" t="str">
        <f>IFERROR(__xludf.DUMMYFUNCTION("""COMPUTED_VALUE"""),"")</f>
        <v/>
      </c>
      <c r="I10058" s="17" t="str">
        <f>IFERROR(__xludf.DUMMYFUNCTION("""COMPUTED_VALUE"""),"")</f>
        <v/>
      </c>
      <c r="J10058" s="17" t="str">
        <f>IFERROR(__xludf.DUMMYFUNCTION("""COMPUTED_VALUE"""),"")</f>
        <v/>
      </c>
      <c r="K10058" s="17" t="str">
        <f>IFERROR(__xludf.DUMMYFUNCTION("""COMPUTED_VALUE"""),"")</f>
        <v/>
      </c>
      <c r="L10058" s="17" t="str">
        <f>IFERROR(__xludf.DUMMYFUNCTION("""COMPUTED_VALUE"""),"")</f>
        <v/>
      </c>
      <c r="M10058" s="17" t="str">
        <f>IFERROR(__xludf.DUMMYFUNCTION("""COMPUTED_VALUE"""),"")</f>
        <v/>
      </c>
      <c r="N10058" s="17" t="str">
        <f>IFERROR(__xludf.DUMMYFUNCTION("""COMPUTED_VALUE"""),"")</f>
        <v/>
      </c>
      <c r="O10058" s="17" t="str">
        <f>IFERROR(__xludf.DUMMYFUNCTION("""COMPUTED_VALUE"""),"")</f>
        <v/>
      </c>
      <c r="P10058" s="17" t="str">
        <f>IFERROR(__xludf.DUMMYFUNCTION("""COMPUTED_VALUE"""),"")</f>
        <v/>
      </c>
      <c r="Q10058" s="17" t="str">
        <f>IFERROR(__xludf.DUMMYFUNCTION("""COMPUTED_VALUE"""),"")</f>
        <v/>
      </c>
      <c r="R10058" s="17" t="str">
        <f>IFERROR(__xludf.DUMMYFUNCTION("""COMPUTED_VALUE"""),"")</f>
        <v/>
      </c>
    </row>
    <row r="10059">
      <c r="A10059" s="15">
        <f>IFERROR(__xludf.DUMMYFUNCTION("""COMPUTED_VALUE"""),45287.0)</f>
        <v>45287</v>
      </c>
      <c r="B10059" s="16" t="str">
        <f>IFERROR(__xludf.DUMMYFUNCTION("""COMPUTED_VALUE"""),"David Sanmartin Bello")</f>
        <v>David Sanmartin Bello</v>
      </c>
      <c r="C10059" s="15" t="str">
        <f>IFERROR(__xludf.DUMMYFUNCTION("""COMPUTED_VALUE"""),"CARTAGENA")</f>
        <v>CARTAGENA</v>
      </c>
      <c r="D10059" s="15" t="str">
        <f>IFERROR(__xludf.DUMMYFUNCTION("""COMPUTED_VALUE"""),"BOGOTÁ")</f>
        <v>BOGOTÁ</v>
      </c>
      <c r="E10059" s="15" t="str">
        <f>IFERROR(__xludf.DUMMYFUNCTION("""COMPUTED_VALUE"""),"goodboycookiez")</f>
        <v>goodboycookiez</v>
      </c>
      <c r="F10059" s="17" t="str">
        <f>IFERROR(__xludf.DUMMYFUNCTION("""COMPUTED_VALUE"""),"CARRERA 10#30-14 / 8AM-5PM")</f>
        <v>CARRERA 10#30-14 / 8AM-5PM</v>
      </c>
      <c r="G10059" s="15" t="str">
        <f>IFERROR(__xludf.DUMMYFUNCTION("""COMPUTED_VALUE"""),"LIBERTARIO COFFEE ROASTERS")</f>
        <v>LIBERTARIO COFFEE ROASTERS</v>
      </c>
      <c r="H10059" s="16">
        <f>IFERROR(__xludf.DUMMYFUNCTION("""COMPUTED_VALUE"""),18650.0)</f>
        <v>18650</v>
      </c>
      <c r="I10059" s="17"/>
      <c r="J10059" s="17"/>
      <c r="K10059" s="17"/>
      <c r="L10059" s="17">
        <f>IFERROR(__xludf.DUMMYFUNCTION("""COMPUTED_VALUE"""),3.225112476E9)</f>
        <v>3225112476</v>
      </c>
      <c r="M10059" s="17"/>
      <c r="N10059" s="17"/>
      <c r="O10059" s="17"/>
      <c r="P10059" s="17" t="b">
        <f>IFERROR(__xludf.DUMMYFUNCTION("""COMPUTED_VALUE"""),FALSE)</f>
        <v>0</v>
      </c>
      <c r="Q10059" s="20" t="str">
        <f>IFERROR(__xludf.DUMMYFUNCTION("""COMPUTED_VALUE"""),"")</f>
        <v/>
      </c>
      <c r="R10059" s="21" t="str">
        <f>IFERROR(__xludf.DUMMYFUNCTION("""COMPUTED_VALUE"""),"https://drive.google.com/file/d/1p8XhKM92up72GTK2BTRXZyietAeF_6-X/view?usp=drivesdk")</f>
        <v>https://drive.google.com/file/d/1p8XhKM92up72GTK2BTRXZyietAeF_6-X/view?usp=drivesdk</v>
      </c>
    </row>
    <row r="10060">
      <c r="A10060" s="15">
        <f>IFERROR(__xludf.DUMMYFUNCTION("""COMPUTED_VALUE"""),45287.0)</f>
        <v>45287</v>
      </c>
      <c r="B10060" s="16" t="str">
        <f>IFERROR(__xludf.DUMMYFUNCTION("""COMPUTED_VALUE"""),"David Sanmartin Bello")</f>
        <v>David Sanmartin Bello</v>
      </c>
      <c r="C10060" s="15" t="str">
        <f>IFERROR(__xludf.DUMMYFUNCTION("""COMPUTED_VALUE"""),"CARTAGENA")</f>
        <v>CARTAGENA</v>
      </c>
      <c r="D10060" s="15" t="str">
        <f>IFERROR(__xludf.DUMMYFUNCTION("""COMPUTED_VALUE"""),"BOGOTÁ")</f>
        <v>BOGOTÁ</v>
      </c>
      <c r="E10060" s="15" t="str">
        <f>IFERROR(__xludf.DUMMYFUNCTION("""COMPUTED_VALUE"""),"Instinto alimento vital")</f>
        <v>Instinto alimento vital</v>
      </c>
      <c r="F10060" s="17" t="str">
        <f>IFERROR(__xludf.DUMMYFUNCTION("""COMPUTED_VALUE"""),"K 71A 31 09 / CASA 15")</f>
        <v>K 71A 31 09 / CASA 15</v>
      </c>
      <c r="G10060" s="15" t="str">
        <f>IFERROR(__xludf.DUMMYFUNCTION("""COMPUTED_VALUE"""),"LAURA VANESA SABOGAL VILLADIEGO")</f>
        <v>LAURA VANESA SABOGAL VILLADIEGO</v>
      </c>
      <c r="H10060" s="16">
        <f>IFERROR(__xludf.DUMMYFUNCTION("""COMPUTED_VALUE"""),18819.0)</f>
        <v>18819</v>
      </c>
      <c r="I10060" s="17"/>
      <c r="J10060" s="17"/>
      <c r="K10060" s="17"/>
      <c r="L10060" s="17">
        <f>IFERROR(__xludf.DUMMYFUNCTION("""COMPUTED_VALUE"""),3.209402467E9)</f>
        <v>3209402467</v>
      </c>
      <c r="M10060" s="17"/>
      <c r="N10060" s="17"/>
      <c r="O10060" s="17"/>
      <c r="P10060" s="17" t="b">
        <f>IFERROR(__xludf.DUMMYFUNCTION("""COMPUTED_VALUE"""),FALSE)</f>
        <v>0</v>
      </c>
      <c r="Q10060" s="20" t="str">
        <f>IFERROR(__xludf.DUMMYFUNCTION("""COMPUTED_VALUE"""),"")</f>
        <v/>
      </c>
      <c r="R10060" s="21" t="str">
        <f>IFERROR(__xludf.DUMMYFUNCTION("""COMPUTED_VALUE"""),"https://drive.google.com/file/d/1TQBuMXRoqgL7X2KDxDRYKM-T0DaOyosD/view?usp=drivesdk")</f>
        <v>https://drive.google.com/file/d/1TQBuMXRoqgL7X2KDxDRYKM-T0DaOyosD/view?usp=drivesdk</v>
      </c>
    </row>
    <row r="10061">
      <c r="A10061" s="15">
        <f>IFERROR(__xludf.DUMMYFUNCTION("""COMPUTED_VALUE"""),45287.0)</f>
        <v>45287</v>
      </c>
      <c r="B10061" s="16" t="str">
        <f>IFERROR(__xludf.DUMMYFUNCTION("""COMPUTED_VALUE"""),"David Sanmartin Bello")</f>
        <v>David Sanmartin Bello</v>
      </c>
      <c r="C10061" s="15" t="str">
        <f>IFERROR(__xludf.DUMMYFUNCTION("""COMPUTED_VALUE"""),"CARTAGENA")</f>
        <v>CARTAGENA</v>
      </c>
      <c r="D10061" s="15" t="str">
        <f>IFERROR(__xludf.DUMMYFUNCTION("""COMPUTED_VALUE"""),"BOGOTÁ")</f>
        <v>BOGOTÁ</v>
      </c>
      <c r="E10061" s="15" t="str">
        <f>IFERROR(__xludf.DUMMYFUNCTION("""COMPUTED_VALUE"""),"MAI ALIMENTOS REALES")</f>
        <v>MAI ALIMENTOS REALES</v>
      </c>
      <c r="F10061" s="17" t="str">
        <f>IFERROR(__xludf.DUMMYFUNCTION("""COMPUTED_VALUE"""),"Carrera 3 A # 31 - 23 / Plaza Santa teresa / Restaurante Harry Sasson")</f>
        <v>Carrera 3 A # 31 - 23 / Plaza Santa teresa / Restaurante Harry Sasson</v>
      </c>
      <c r="G10061" s="15" t="str">
        <f>IFERROR(__xludf.DUMMYFUNCTION("""COMPUTED_VALUE"""),"Hoteles Charleston SAS")</f>
        <v>Hoteles Charleston SAS</v>
      </c>
      <c r="H10061" s="16">
        <f>IFERROR(__xludf.DUMMYFUNCTION("""COMPUTED_VALUE"""),18678.0)</f>
        <v>18678</v>
      </c>
      <c r="I10061" s="17"/>
      <c r="J10061" s="17"/>
      <c r="K10061" s="17"/>
      <c r="L10061" s="17">
        <f>IFERROR(__xludf.DUMMYFUNCTION("""COMPUTED_VALUE"""),3.174374246E9)</f>
        <v>3174374246</v>
      </c>
      <c r="M10061" s="17"/>
      <c r="N10061" s="17"/>
      <c r="O10061" s="17"/>
      <c r="P10061" s="17" t="b">
        <f>IFERROR(__xludf.DUMMYFUNCTION("""COMPUTED_VALUE"""),FALSE)</f>
        <v>0</v>
      </c>
      <c r="Q10061" s="20" t="str">
        <f>IFERROR(__xludf.DUMMYFUNCTION("""COMPUTED_VALUE"""),"")</f>
        <v/>
      </c>
      <c r="R10061" s="21" t="str">
        <f>IFERROR(__xludf.DUMMYFUNCTION("""COMPUTED_VALUE"""),"https://drive.google.com/file/d/1MOCh1awUmwigwgqrt20goYhc3PnenY-v/view?usp=drivesdk")</f>
        <v>https://drive.google.com/file/d/1MOCh1awUmwigwgqrt20goYhc3PnenY-v/view?usp=drivesdk</v>
      </c>
    </row>
    <row r="10062">
      <c r="A10062" s="15">
        <f>IFERROR(__xludf.DUMMYFUNCTION("""COMPUTED_VALUE"""),45287.0)</f>
        <v>45287</v>
      </c>
      <c r="B10062" s="16" t="str">
        <f>IFERROR(__xludf.DUMMYFUNCTION("""COMPUTED_VALUE"""),"David Sanmartin Bello")</f>
        <v>David Sanmartin Bello</v>
      </c>
      <c r="C10062" s="15" t="str">
        <f>IFERROR(__xludf.DUMMYFUNCTION("""COMPUTED_VALUE"""),"CARTAGENA")</f>
        <v>CARTAGENA</v>
      </c>
      <c r="D10062" s="15" t="str">
        <f>IFERROR(__xludf.DUMMYFUNCTION("""COMPUTED_VALUE"""),"BOGOTÁ")</f>
        <v>BOGOTÁ</v>
      </c>
      <c r="E10062" s="15" t="str">
        <f>IFERROR(__xludf.DUMMYFUNCTION("""COMPUTED_VALUE"""),"PAN DE WAFFLE")</f>
        <v>PAN DE WAFFLE</v>
      </c>
      <c r="F10062" s="17" t="str">
        <f>IFERROR(__xludf.DUMMYFUNCTION("""COMPUTED_VALUE"""),"Carrera 2 # 10 - 175 / Carrera 2 # 10 - 175")</f>
        <v>Carrera 2 # 10 - 175 / Carrera 2 # 10 - 175</v>
      </c>
      <c r="G10062" s="15" t="str">
        <f>IFERROR(__xludf.DUMMYFUNCTION("""COMPUTED_VALUE"""),"RAPPI TURBO BOCAGRANDE")</f>
        <v>RAPPI TURBO BOCAGRANDE</v>
      </c>
      <c r="H10062" s="16">
        <f>IFERROR(__xludf.DUMMYFUNCTION("""COMPUTED_VALUE"""),18654.0)</f>
        <v>18654</v>
      </c>
      <c r="I10062" s="17"/>
      <c r="J10062" s="17"/>
      <c r="K10062" s="17"/>
      <c r="L10062" s="17">
        <f>IFERROR(__xludf.DUMMYFUNCTION("""COMPUTED_VALUE"""),3.214609635E9)</f>
        <v>3214609635</v>
      </c>
      <c r="M10062" s="17"/>
      <c r="N10062" s="17"/>
      <c r="O10062" s="17"/>
      <c r="P10062" s="17" t="b">
        <f>IFERROR(__xludf.DUMMYFUNCTION("""COMPUTED_VALUE"""),FALSE)</f>
        <v>0</v>
      </c>
      <c r="Q10062" s="20" t="str">
        <f>IFERROR(__xludf.DUMMYFUNCTION("""COMPUTED_VALUE"""),"")</f>
        <v/>
      </c>
      <c r="R10062" s="21" t="str">
        <f>IFERROR(__xludf.DUMMYFUNCTION("""COMPUTED_VALUE"""),"https://drive.google.com/file/d/1uBGcwRI1SJ9HU7V4toyv_MOEpLc0mo7Z/view?usp=drivesdk")</f>
        <v>https://drive.google.com/file/d/1uBGcwRI1SJ9HU7V4toyv_MOEpLc0mo7Z/view?usp=drivesdk</v>
      </c>
    </row>
    <row r="10063">
      <c r="A10063" s="15">
        <f>IFERROR(__xludf.DUMMYFUNCTION("""COMPUTED_VALUE"""),45287.0)</f>
        <v>45287</v>
      </c>
      <c r="B10063" s="16" t="str">
        <f>IFERROR(__xludf.DUMMYFUNCTION("""COMPUTED_VALUE"""),"David Sanmartin Bello")</f>
        <v>David Sanmartin Bello</v>
      </c>
      <c r="C10063" s="15" t="str">
        <f>IFERROR(__xludf.DUMMYFUNCTION("""COMPUTED_VALUE"""),"CARTAGENA")</f>
        <v>CARTAGENA</v>
      </c>
      <c r="D10063" s="15" t="str">
        <f>IFERROR(__xludf.DUMMYFUNCTION("""COMPUTED_VALUE"""),"BOGOTÁ")</f>
        <v>BOGOTÁ</v>
      </c>
      <c r="E10063" s="15" t="str">
        <f>IFERROR(__xludf.DUMMYFUNCTION("""COMPUTED_VALUE"""),"Premium Choice")</f>
        <v>Premium Choice</v>
      </c>
      <c r="F10063" s="17" t="str">
        <f>IFERROR(__xludf.DUMMYFUNCTION("""COMPUTED_VALUE"""),"Cr 1 # 11- 116 / Hoteles estelar Cartagena  / Hoteles estelar boca grande")</f>
        <v>Cr 1 # 11- 116 / Hoteles estelar Cartagena  / Hoteles estelar boca grande</v>
      </c>
      <c r="G10063" s="15" t="str">
        <f>IFERROR(__xludf.DUMMYFUNCTION("""COMPUTED_VALUE"""),"Hoteles estelar Cartagena")</f>
        <v>Hoteles estelar Cartagena</v>
      </c>
      <c r="H10063" s="16">
        <f>IFERROR(__xludf.DUMMYFUNCTION("""COMPUTED_VALUE"""),18758.0)</f>
        <v>18758</v>
      </c>
      <c r="I10063" s="18">
        <f>IFERROR(__xludf.DUMMYFUNCTION("""COMPUTED_VALUE"""),17.0)</f>
        <v>17</v>
      </c>
      <c r="J10063" s="18">
        <f>IFERROR(__xludf.DUMMYFUNCTION("""COMPUTED_VALUE"""),20.0)</f>
        <v>20</v>
      </c>
      <c r="K10063" s="18">
        <f>IFERROR(__xludf.DUMMYFUNCTION("""COMPUTED_VALUE"""),30.0)</f>
        <v>30</v>
      </c>
      <c r="L10063" s="17">
        <f>IFERROR(__xludf.DUMMYFUNCTION("""COMPUTED_VALUE"""),3.102170999E9)</f>
        <v>3102170999</v>
      </c>
      <c r="M10063" s="17"/>
      <c r="N10063" s="17"/>
      <c r="O10063" s="17"/>
      <c r="P10063" s="17" t="b">
        <f>IFERROR(__xludf.DUMMYFUNCTION("""COMPUTED_VALUE"""),FALSE)</f>
        <v>0</v>
      </c>
      <c r="Q10063" s="20" t="str">
        <f>IFERROR(__xludf.DUMMYFUNCTION("""COMPUTED_VALUE"""),"")</f>
        <v/>
      </c>
      <c r="R10063" s="21" t="str">
        <f>IFERROR(__xludf.DUMMYFUNCTION("""COMPUTED_VALUE"""),"https://drive.google.com/file/d/1wbWI_LBTkzxl2jXybzS9_7RH4l3o1RqA/view?usp=drivesdk")</f>
        <v>https://drive.google.com/file/d/1wbWI_LBTkzxl2jXybzS9_7RH4l3o1RqA/view?usp=drivesdk</v>
      </c>
    </row>
    <row r="10064">
      <c r="A10064" s="17" t="str">
        <f>IFERROR(__xludf.DUMMYFUNCTION("""COMPUTED_VALUE"""),"")</f>
        <v/>
      </c>
      <c r="B10064" s="17" t="str">
        <f>IFERROR(__xludf.DUMMYFUNCTION("""COMPUTED_VALUE"""),"")</f>
        <v/>
      </c>
      <c r="C10064" s="17" t="str">
        <f>IFERROR(__xludf.DUMMYFUNCTION("""COMPUTED_VALUE"""),"")</f>
        <v/>
      </c>
      <c r="D10064" s="17" t="str">
        <f>IFERROR(__xludf.DUMMYFUNCTION("""COMPUTED_VALUE"""),"")</f>
        <v/>
      </c>
      <c r="E10064" s="17" t="str">
        <f>IFERROR(__xludf.DUMMYFUNCTION("""COMPUTED_VALUE"""),"")</f>
        <v/>
      </c>
      <c r="F10064" s="17" t="str">
        <f>IFERROR(__xludf.DUMMYFUNCTION("""COMPUTED_VALUE"""),"")</f>
        <v/>
      </c>
      <c r="G10064" s="17" t="str">
        <f>IFERROR(__xludf.DUMMYFUNCTION("""COMPUTED_VALUE"""),"")</f>
        <v/>
      </c>
      <c r="H10064" s="17" t="str">
        <f>IFERROR(__xludf.DUMMYFUNCTION("""COMPUTED_VALUE"""),"")</f>
        <v/>
      </c>
      <c r="I10064" s="17" t="str">
        <f>IFERROR(__xludf.DUMMYFUNCTION("""COMPUTED_VALUE"""),"")</f>
        <v/>
      </c>
      <c r="J10064" s="17" t="str">
        <f>IFERROR(__xludf.DUMMYFUNCTION("""COMPUTED_VALUE"""),"")</f>
        <v/>
      </c>
      <c r="K10064" s="17" t="str">
        <f>IFERROR(__xludf.DUMMYFUNCTION("""COMPUTED_VALUE"""),"")</f>
        <v/>
      </c>
      <c r="L10064" s="17" t="str">
        <f>IFERROR(__xludf.DUMMYFUNCTION("""COMPUTED_VALUE"""),"")</f>
        <v/>
      </c>
      <c r="M10064" s="17" t="str">
        <f>IFERROR(__xludf.DUMMYFUNCTION("""COMPUTED_VALUE"""),"")</f>
        <v/>
      </c>
      <c r="N10064" s="17" t="str">
        <f>IFERROR(__xludf.DUMMYFUNCTION("""COMPUTED_VALUE"""),"")</f>
        <v/>
      </c>
      <c r="O10064" s="17" t="str">
        <f>IFERROR(__xludf.DUMMYFUNCTION("""COMPUTED_VALUE"""),"")</f>
        <v/>
      </c>
      <c r="P10064" s="17" t="str">
        <f>IFERROR(__xludf.DUMMYFUNCTION("""COMPUTED_VALUE"""),"")</f>
        <v/>
      </c>
      <c r="Q10064" s="17" t="str">
        <f>IFERROR(__xludf.DUMMYFUNCTION("""COMPUTED_VALUE"""),"")</f>
        <v/>
      </c>
      <c r="R10064" s="17" t="str">
        <f>IFERROR(__xludf.DUMMYFUNCTION("""COMPUTED_VALUE"""),"")</f>
        <v/>
      </c>
    </row>
    <row r="10065">
      <c r="A10065" s="15">
        <f>IFERROR(__xludf.DUMMYFUNCTION("""COMPUTED_VALUE"""),45287.0)</f>
        <v>45287</v>
      </c>
      <c r="B10065" s="16" t="str">
        <f>IFERROR(__xludf.DUMMYFUNCTION("""COMPUTED_VALUE"""),"Deivi Alejandro Quintero Corrales")</f>
        <v>Deivi Alejandro Quintero Corrales</v>
      </c>
      <c r="C10065" s="15" t="str">
        <f>IFERROR(__xludf.DUMMYFUNCTION("""COMPUTED_VALUE"""),"PEREIRA")</f>
        <v>PEREIRA</v>
      </c>
      <c r="D10065" s="15" t="str">
        <f>IFERROR(__xludf.DUMMYFUNCTION("""COMPUTED_VALUE"""),"BOGOTÁ")</f>
        <v>BOGOTÁ</v>
      </c>
      <c r="E10065" s="15" t="str">
        <f>IFERROR(__xludf.DUMMYFUNCTION("""COMPUTED_VALUE"""),"LINA PAOLA RAMIREZ GOMEZ - EVA MAZZITA")</f>
        <v>LINA PAOLA RAMIREZ GOMEZ - EVA MAZZITA</v>
      </c>
      <c r="F10065" s="17" t="str">
        <f>IFERROR(__xludf.DUMMYFUNCTION("""COMPUTED_VALUE"""),"calle 30 # 36B-10 / Balcones de villa verde manzana 4 casa 27")</f>
        <v>calle 30 # 36B-10 / Balcones de villa verde manzana 4 casa 27</v>
      </c>
      <c r="G10065" s="15" t="str">
        <f>IFERROR(__xludf.DUMMYFUNCTION("""COMPUTED_VALUE"""),"YENI ALEJANDRA CALVO BUENO")</f>
        <v>YENI ALEJANDRA CALVO BUENO</v>
      </c>
      <c r="H10065" s="16">
        <f>IFERROR(__xludf.DUMMYFUNCTION("""COMPUTED_VALUE"""),18785.0)</f>
        <v>18785</v>
      </c>
      <c r="I10065" s="17"/>
      <c r="J10065" s="17"/>
      <c r="K10065" s="17"/>
      <c r="L10065" s="17">
        <f>IFERROR(__xludf.DUMMYFUNCTION("""COMPUTED_VALUE"""),3.172490191E9)</f>
        <v>3172490191</v>
      </c>
      <c r="M10065" s="17"/>
      <c r="N10065" s="17"/>
      <c r="O10065" s="17"/>
      <c r="P10065" s="17" t="b">
        <f>IFERROR(__xludf.DUMMYFUNCTION("""COMPUTED_VALUE"""),FALSE)</f>
        <v>0</v>
      </c>
      <c r="Q10065" s="20" t="str">
        <f>IFERROR(__xludf.DUMMYFUNCTION("""COMPUTED_VALUE"""),"")</f>
        <v/>
      </c>
      <c r="R10065" s="21" t="str">
        <f>IFERROR(__xludf.DUMMYFUNCTION("""COMPUTED_VALUE"""),"https://drive.google.com/file/d/1PbXSo_a1RyKr8ns7Y1DM0E4-SMxjhI9q/view?usp=drivesdk")</f>
        <v>https://drive.google.com/file/d/1PbXSo_a1RyKr8ns7Y1DM0E4-SMxjhI9q/view?usp=drivesdk</v>
      </c>
    </row>
    <row r="10066">
      <c r="A10066" s="15">
        <f>IFERROR(__xludf.DUMMYFUNCTION("""COMPUTED_VALUE"""),45287.0)</f>
        <v>45287</v>
      </c>
      <c r="B10066" s="16" t="str">
        <f>IFERROR(__xludf.DUMMYFUNCTION("""COMPUTED_VALUE"""),"Deivi Alejandro Quintero Corrales")</f>
        <v>Deivi Alejandro Quintero Corrales</v>
      </c>
      <c r="C10066" s="15" t="str">
        <f>IFERROR(__xludf.DUMMYFUNCTION("""COMPUTED_VALUE"""),"PEREIRA")</f>
        <v>PEREIRA</v>
      </c>
      <c r="D10066" s="15" t="str">
        <f>IFERROR(__xludf.DUMMYFUNCTION("""COMPUTED_VALUE"""),"BOGOTÁ")</f>
        <v>BOGOTÁ</v>
      </c>
      <c r="E10066" s="15" t="str">
        <f>IFERROR(__xludf.DUMMYFUNCTION("""COMPUTED_VALUE"""),"PAN DE WAFFLE")</f>
        <v>PAN DE WAFFLE</v>
      </c>
      <c r="F10066" s="17" t="str">
        <f>IFERROR(__xludf.DUMMYFUNCTION("""COMPUTED_VALUE"""),"Av. De las Americas Mercasa, zp 17 Bodega 2 - Pereira / Av. De las Americas Mercasa, zp 17 Bodega 2 - Pereira")</f>
        <v>Av. De las Americas Mercasa, zp 17 Bodega 2 - Pereira / Av. De las Americas Mercasa, zp 17 Bodega 2 - Pereira</v>
      </c>
      <c r="G10066" s="15" t="str">
        <f>IFERROR(__xludf.DUMMYFUNCTION("""COMPUTED_VALUE"""),"EL ORIGEN")</f>
        <v>EL ORIGEN</v>
      </c>
      <c r="H10066" s="16">
        <f>IFERROR(__xludf.DUMMYFUNCTION("""COMPUTED_VALUE"""),18610.0)</f>
        <v>18610</v>
      </c>
      <c r="I10066" s="17"/>
      <c r="J10066" s="17"/>
      <c r="K10066" s="17"/>
      <c r="L10066" s="17">
        <f>IFERROR(__xludf.DUMMYFUNCTION("""COMPUTED_VALUE"""),3.184341572E9)</f>
        <v>3184341572</v>
      </c>
      <c r="M10066" s="17"/>
      <c r="N10066" s="17"/>
      <c r="O10066" s="17"/>
      <c r="P10066" s="17" t="b">
        <f>IFERROR(__xludf.DUMMYFUNCTION("""COMPUTED_VALUE"""),FALSE)</f>
        <v>0</v>
      </c>
      <c r="Q10066" s="20" t="str">
        <f>IFERROR(__xludf.DUMMYFUNCTION("""COMPUTED_VALUE"""),"")</f>
        <v/>
      </c>
      <c r="R10066" s="21" t="str">
        <f>IFERROR(__xludf.DUMMYFUNCTION("""COMPUTED_VALUE"""),"https://drive.google.com/file/d/1YrwdKI8JOiST4aKmZ1J5a6eHLlqtKcxs/view?usp=drivesdk")</f>
        <v>https://drive.google.com/file/d/1YrwdKI8JOiST4aKmZ1J5a6eHLlqtKcxs/view?usp=drivesdk</v>
      </c>
    </row>
    <row r="10067">
      <c r="A10067" s="15">
        <f>IFERROR(__xludf.DUMMYFUNCTION("""COMPUTED_VALUE"""),45287.0)</f>
        <v>45287</v>
      </c>
      <c r="B10067" s="16" t="str">
        <f>IFERROR(__xludf.DUMMYFUNCTION("""COMPUTED_VALUE"""),"Deivi Alejandro Quintero Corrales")</f>
        <v>Deivi Alejandro Quintero Corrales</v>
      </c>
      <c r="C10067" s="15" t="str">
        <f>IFERROR(__xludf.DUMMYFUNCTION("""COMPUTED_VALUE"""),"PEREIRA")</f>
        <v>PEREIRA</v>
      </c>
      <c r="D10067" s="15" t="str">
        <f>IFERROR(__xludf.DUMMYFUNCTION("""COMPUTED_VALUE"""),"MEDELLÍN")</f>
        <v>MEDELLÍN</v>
      </c>
      <c r="E10067" s="15" t="str">
        <f>IFERROR(__xludf.DUMMYFUNCTION("""COMPUTED_VALUE"""),"AREPAS LA MARY")</f>
        <v>AREPAS LA MARY</v>
      </c>
      <c r="F10067" s="17" t="str">
        <f>IFERROR(__xludf.DUMMYFUNCTION("""COMPUTED_VALUE"""),"carrera 4n15-55 / edificio alquitrabe")</f>
        <v>carrera 4n15-55 / edificio alquitrabe</v>
      </c>
      <c r="G10067" s="15" t="str">
        <f>IFERROR(__xludf.DUMMYFUNCTION("""COMPUTED_VALUE"""),"ANGELA MARIA NAVARRO")</f>
        <v>ANGELA MARIA NAVARRO</v>
      </c>
      <c r="H10067" s="16">
        <f>IFERROR(__xludf.DUMMYFUNCTION("""COMPUTED_VALUE"""),18792.0)</f>
        <v>18792</v>
      </c>
      <c r="I10067" s="17"/>
      <c r="J10067" s="17"/>
      <c r="K10067" s="17"/>
      <c r="L10067" s="17">
        <f>IFERROR(__xludf.DUMMYFUNCTION("""COMPUTED_VALUE"""),3.012413317E9)</f>
        <v>3012413317</v>
      </c>
      <c r="M10067" s="17"/>
      <c r="N10067" s="17"/>
      <c r="O10067" s="17"/>
      <c r="P10067" s="17" t="b">
        <f>IFERROR(__xludf.DUMMYFUNCTION("""COMPUTED_VALUE"""),FALSE)</f>
        <v>0</v>
      </c>
      <c r="Q10067" s="20" t="str">
        <f>IFERROR(__xludf.DUMMYFUNCTION("""COMPUTED_VALUE"""),"")</f>
        <v/>
      </c>
      <c r="R10067" s="21" t="str">
        <f>IFERROR(__xludf.DUMMYFUNCTION("""COMPUTED_VALUE"""),"https://drive.google.com/file/d/1NYvaSVdVQcOFA11oDcff_bwUhg3PUiJH/view?usp=drivesdk")</f>
        <v>https://drive.google.com/file/d/1NYvaSVdVQcOFA11oDcff_bwUhg3PUiJH/view?usp=drivesdk</v>
      </c>
    </row>
    <row r="10068">
      <c r="A10068" s="15">
        <f>IFERROR(__xludf.DUMMYFUNCTION("""COMPUTED_VALUE"""),45287.0)</f>
        <v>45287</v>
      </c>
      <c r="B10068" s="16" t="str">
        <f>IFERROR(__xludf.DUMMYFUNCTION("""COMPUTED_VALUE"""),"Deivi Alejandro Quintero Corrales")</f>
        <v>Deivi Alejandro Quintero Corrales</v>
      </c>
      <c r="C10068" s="15" t="str">
        <f>IFERROR(__xludf.DUMMYFUNCTION("""COMPUTED_VALUE"""),"PEREIRA")</f>
        <v>PEREIRA</v>
      </c>
      <c r="D10068" s="15" t="str">
        <f>IFERROR(__xludf.DUMMYFUNCTION("""COMPUTED_VALUE"""),"MEDELLÍN")</f>
        <v>MEDELLÍN</v>
      </c>
      <c r="E10068" s="15" t="str">
        <f>IFERROR(__xludf.DUMMYFUNCTION("""COMPUTED_VALUE"""),"Baby Chef")</f>
        <v>Baby Chef</v>
      </c>
      <c r="F10068" s="17" t="str">
        <f>IFERROR(__xludf.DUMMYFUNCTION("""COMPUTED_VALUE"""),"Parque Residencial Papiro, Transversal 10 #9-220 Dosquebradas / . / .")</f>
        <v>Parque Residencial Papiro, Transversal 10 #9-220 Dosquebradas / . / .</v>
      </c>
      <c r="G10068" s="15" t="str">
        <f>IFERROR(__xludf.DUMMYFUNCTION("""COMPUTED_VALUE"""),"Andrea Mesa Quiceno")</f>
        <v>Andrea Mesa Quiceno</v>
      </c>
      <c r="H10068" s="16">
        <f>IFERROR(__xludf.DUMMYFUNCTION("""COMPUTED_VALUE"""),18759.0)</f>
        <v>18759</v>
      </c>
      <c r="I10068" s="18">
        <f>IFERROR(__xludf.DUMMYFUNCTION("""COMPUTED_VALUE"""),7.0)</f>
        <v>7</v>
      </c>
      <c r="J10068" s="18">
        <f>IFERROR(__xludf.DUMMYFUNCTION("""COMPUTED_VALUE"""),21.0)</f>
        <v>21</v>
      </c>
      <c r="K10068" s="18">
        <f>IFERROR(__xludf.DUMMYFUNCTION("""COMPUTED_VALUE"""),35.0)</f>
        <v>35</v>
      </c>
      <c r="L10068" s="17">
        <f>IFERROR(__xludf.DUMMYFUNCTION("""COMPUTED_VALUE"""),3.128677028E9)</f>
        <v>3128677028</v>
      </c>
      <c r="M10068" s="17"/>
      <c r="N10068" s="17"/>
      <c r="O10068" s="17"/>
      <c r="P10068" s="17" t="b">
        <f>IFERROR(__xludf.DUMMYFUNCTION("""COMPUTED_VALUE"""),FALSE)</f>
        <v>0</v>
      </c>
      <c r="Q10068" s="20" t="str">
        <f>IFERROR(__xludf.DUMMYFUNCTION("""COMPUTED_VALUE"""),"")</f>
        <v/>
      </c>
      <c r="R10068" s="21" t="str">
        <f>IFERROR(__xludf.DUMMYFUNCTION("""COMPUTED_VALUE"""),"https://drive.google.com/file/d/1owKsAVFrhhoQ7Z5HbgWzoRzMpKjpQ0C-/view?usp=drivesdk")</f>
        <v>https://drive.google.com/file/d/1owKsAVFrhhoQ7Z5HbgWzoRzMpKjpQ0C-/view?usp=drivesdk</v>
      </c>
    </row>
    <row r="10069">
      <c r="A10069" s="15">
        <f>IFERROR(__xludf.DUMMYFUNCTION("""COMPUTED_VALUE"""),45287.0)</f>
        <v>45287</v>
      </c>
      <c r="B10069" s="16" t="str">
        <f>IFERROR(__xludf.DUMMYFUNCTION("""COMPUTED_VALUE"""),"Deivi Alejandro Quintero Corrales")</f>
        <v>Deivi Alejandro Quintero Corrales</v>
      </c>
      <c r="C10069" s="15" t="str">
        <f>IFERROR(__xludf.DUMMYFUNCTION("""COMPUTED_VALUE"""),"PEREIRA")</f>
        <v>PEREIRA</v>
      </c>
      <c r="D10069" s="15" t="str">
        <f>IFERROR(__xludf.DUMMYFUNCTION("""COMPUTED_VALUE"""),"MEDELLÍN")</f>
        <v>MEDELLÍN</v>
      </c>
      <c r="E10069" s="15" t="str">
        <f>IFERROR(__xludf.DUMMYFUNCTION("""COMPUTED_VALUE"""),"Goyo Todo por ellos")</f>
        <v>Goyo Todo por ellos</v>
      </c>
      <c r="F10069" s="17" t="str">
        <f>IFERROR(__xludf.DUMMYFUNCTION("""COMPUTED_VALUE"""),"Calle 12 bis #16 18  / Casa Hoja Comunidad Consciente  / Barrio Pinares")</f>
        <v>Calle 12 bis #16 18  / Casa Hoja Comunidad Consciente  / Barrio Pinares</v>
      </c>
      <c r="G10069" s="15" t="str">
        <f>IFERROR(__xludf.DUMMYFUNCTION("""COMPUTED_VALUE"""),"Hector Hernandez")</f>
        <v>Hector Hernandez</v>
      </c>
      <c r="H10069" s="16">
        <f>IFERROR(__xludf.DUMMYFUNCTION("""COMPUTED_VALUE"""),18763.0)</f>
        <v>18763</v>
      </c>
      <c r="I10069" s="18">
        <f>IFERROR(__xludf.DUMMYFUNCTION("""COMPUTED_VALUE"""),16.0)</f>
        <v>16</v>
      </c>
      <c r="J10069" s="18">
        <f>IFERROR(__xludf.DUMMYFUNCTION("""COMPUTED_VALUE"""),42.0)</f>
        <v>42</v>
      </c>
      <c r="K10069" s="18">
        <f>IFERROR(__xludf.DUMMYFUNCTION("""COMPUTED_VALUE"""),24.0)</f>
        <v>24</v>
      </c>
      <c r="L10069" s="17">
        <f>IFERROR(__xludf.DUMMYFUNCTION("""COMPUTED_VALUE"""),3.18591145E9)</f>
        <v>3185911450</v>
      </c>
      <c r="M10069" s="17"/>
      <c r="N10069" s="17"/>
      <c r="O10069" s="17"/>
      <c r="P10069" s="17" t="b">
        <f>IFERROR(__xludf.DUMMYFUNCTION("""COMPUTED_VALUE"""),FALSE)</f>
        <v>0</v>
      </c>
      <c r="Q10069" s="20" t="str">
        <f>IFERROR(__xludf.DUMMYFUNCTION("""COMPUTED_VALUE"""),"")</f>
        <v/>
      </c>
      <c r="R10069" s="21" t="str">
        <f>IFERROR(__xludf.DUMMYFUNCTION("""COMPUTED_VALUE"""),"https://drive.google.com/file/d/1RKVoDQZGLDzfJDTCX1HItVAcsFqaXHTk/view?usp=drivesdk")</f>
        <v>https://drive.google.com/file/d/1RKVoDQZGLDzfJDTCX1HItVAcsFqaXHTk/view?usp=drivesdk</v>
      </c>
    </row>
    <row r="10070">
      <c r="A10070" s="15">
        <f>IFERROR(__xludf.DUMMYFUNCTION("""COMPUTED_VALUE"""),45287.0)</f>
        <v>45287</v>
      </c>
      <c r="B10070" s="16" t="str">
        <f>IFERROR(__xludf.DUMMYFUNCTION("""COMPUTED_VALUE"""),"Deivi Alejandro Quintero Corrales")</f>
        <v>Deivi Alejandro Quintero Corrales</v>
      </c>
      <c r="C10070" s="15" t="str">
        <f>IFERROR(__xludf.DUMMYFUNCTION("""COMPUTED_VALUE"""),"PEREIRA")</f>
        <v>PEREIRA</v>
      </c>
      <c r="D10070" s="15" t="str">
        <f>IFERROR(__xludf.DUMMYFUNCTION("""COMPUTED_VALUE"""),"MEDELLÍN")</f>
        <v>MEDELLÍN</v>
      </c>
      <c r="E10070" s="15" t="str">
        <f>IFERROR(__xludf.DUMMYFUNCTION("""COMPUTED_VALUE"""),"Moloso S.A.S")</f>
        <v>Moloso S.A.S</v>
      </c>
      <c r="F10070" s="17" t="str">
        <f>IFERROR(__xludf.DUMMYFUNCTION("""COMPUTED_VALUE"""),"CL 11 22 34 / ED LOS SAMANES AP 301")</f>
        <v>CL 11 22 34 / ED LOS SAMANES AP 301</v>
      </c>
      <c r="G10070" s="15" t="str">
        <f>IFERROR(__xludf.DUMMYFUNCTION("""COMPUTED_VALUE"""),"MARIANA TORO BETANCUR")</f>
        <v>MARIANA TORO BETANCUR</v>
      </c>
      <c r="H10070" s="16">
        <f>IFERROR(__xludf.DUMMYFUNCTION("""COMPUTED_VALUE"""),18793.0)</f>
        <v>18793</v>
      </c>
      <c r="I10070" s="17"/>
      <c r="J10070" s="17"/>
      <c r="K10070" s="17"/>
      <c r="L10070" s="17">
        <f>IFERROR(__xludf.DUMMYFUNCTION("""COMPUTED_VALUE"""),3.10504805E9)</f>
        <v>3105048050</v>
      </c>
      <c r="M10070" s="17"/>
      <c r="N10070" s="17"/>
      <c r="O10070" s="17"/>
      <c r="P10070" s="17" t="b">
        <f>IFERROR(__xludf.DUMMYFUNCTION("""COMPUTED_VALUE"""),FALSE)</f>
        <v>0</v>
      </c>
      <c r="Q10070" s="20" t="str">
        <f>IFERROR(__xludf.DUMMYFUNCTION("""COMPUTED_VALUE"""),"")</f>
        <v/>
      </c>
      <c r="R10070" s="21" t="str">
        <f>IFERROR(__xludf.DUMMYFUNCTION("""COMPUTED_VALUE"""),"https://drive.google.com/file/d/17nAoxLMb2yK_zPy4JfqmRdbND4N19DKD/view?usp=drivesdk")</f>
        <v>https://drive.google.com/file/d/17nAoxLMb2yK_zPy4JfqmRdbND4N19DKD/view?usp=drivesdk</v>
      </c>
    </row>
    <row r="10071">
      <c r="A10071" s="17" t="str">
        <f>IFERROR(__xludf.DUMMYFUNCTION("""COMPUTED_VALUE"""),"")</f>
        <v/>
      </c>
      <c r="B10071" s="17" t="str">
        <f>IFERROR(__xludf.DUMMYFUNCTION("""COMPUTED_VALUE"""),"")</f>
        <v/>
      </c>
      <c r="C10071" s="17" t="str">
        <f>IFERROR(__xludf.DUMMYFUNCTION("""COMPUTED_VALUE"""),"")</f>
        <v/>
      </c>
      <c r="D10071" s="17" t="str">
        <f>IFERROR(__xludf.DUMMYFUNCTION("""COMPUTED_VALUE"""),"")</f>
        <v/>
      </c>
      <c r="E10071" s="17" t="str">
        <f>IFERROR(__xludf.DUMMYFUNCTION("""COMPUTED_VALUE"""),"")</f>
        <v/>
      </c>
      <c r="F10071" s="17" t="str">
        <f>IFERROR(__xludf.DUMMYFUNCTION("""COMPUTED_VALUE"""),"")</f>
        <v/>
      </c>
      <c r="G10071" s="17" t="str">
        <f>IFERROR(__xludf.DUMMYFUNCTION("""COMPUTED_VALUE"""),"")</f>
        <v/>
      </c>
      <c r="H10071" s="17" t="str">
        <f>IFERROR(__xludf.DUMMYFUNCTION("""COMPUTED_VALUE"""),"")</f>
        <v/>
      </c>
      <c r="I10071" s="17" t="str">
        <f>IFERROR(__xludf.DUMMYFUNCTION("""COMPUTED_VALUE"""),"")</f>
        <v/>
      </c>
      <c r="J10071" s="17" t="str">
        <f>IFERROR(__xludf.DUMMYFUNCTION("""COMPUTED_VALUE"""),"")</f>
        <v/>
      </c>
      <c r="K10071" s="17" t="str">
        <f>IFERROR(__xludf.DUMMYFUNCTION("""COMPUTED_VALUE"""),"")</f>
        <v/>
      </c>
      <c r="L10071" s="17" t="str">
        <f>IFERROR(__xludf.DUMMYFUNCTION("""COMPUTED_VALUE"""),"")</f>
        <v/>
      </c>
      <c r="M10071" s="17" t="str">
        <f>IFERROR(__xludf.DUMMYFUNCTION("""COMPUTED_VALUE"""),"")</f>
        <v/>
      </c>
      <c r="N10071" s="17" t="str">
        <f>IFERROR(__xludf.DUMMYFUNCTION("""COMPUTED_VALUE"""),"")</f>
        <v/>
      </c>
      <c r="O10071" s="17" t="str">
        <f>IFERROR(__xludf.DUMMYFUNCTION("""COMPUTED_VALUE"""),"")</f>
        <v/>
      </c>
      <c r="P10071" s="17" t="str">
        <f>IFERROR(__xludf.DUMMYFUNCTION("""COMPUTED_VALUE"""),"")</f>
        <v/>
      </c>
      <c r="Q10071" s="17" t="str">
        <f>IFERROR(__xludf.DUMMYFUNCTION("""COMPUTED_VALUE"""),"")</f>
        <v/>
      </c>
      <c r="R10071" s="17" t="str">
        <f>IFERROR(__xludf.DUMMYFUNCTION("""COMPUTED_VALUE"""),"")</f>
        <v/>
      </c>
    </row>
    <row r="10072">
      <c r="A10072" s="15">
        <f>IFERROR(__xludf.DUMMYFUNCTION("""COMPUTED_VALUE"""),45287.0)</f>
        <v>45287</v>
      </c>
      <c r="B10072" s="16" t="str">
        <f>IFERROR(__xludf.DUMMYFUNCTION("""COMPUTED_VALUE"""),"Diego Alexis Ramirez Zamora ")</f>
        <v>Diego Alexis Ramirez Zamora </v>
      </c>
      <c r="C10072" s="15" t="str">
        <f>IFERROR(__xludf.DUMMYFUNCTION("""COMPUTED_VALUE"""),"ARMENIA")</f>
        <v>ARMENIA</v>
      </c>
      <c r="D10072" s="15" t="str">
        <f>IFERROR(__xludf.DUMMYFUNCTION("""COMPUTED_VALUE"""),"BOGOTÁ")</f>
        <v>BOGOTÁ</v>
      </c>
      <c r="E10072" s="15" t="str">
        <f>IFERROR(__xludf.DUMMYFUNCTION("""COMPUTED_VALUE"""),"Instinto alimento vital")</f>
        <v>Instinto alimento vital</v>
      </c>
      <c r="F10072" s="17" t="str">
        <f>IFERROR(__xludf.DUMMYFUNCTION("""COMPUTED_VALUE"""),"CALLE14 NORTE 10 49 / EDIFICIO LA CASTELLANA APTO 502")</f>
        <v>CALLE14 NORTE 10 49 / EDIFICIO LA CASTELLANA APTO 502</v>
      </c>
      <c r="G10072" s="15" t="str">
        <f>IFERROR(__xludf.DUMMYFUNCTION("""COMPUTED_VALUE"""),"JIMENA PALACIO")</f>
        <v>JIMENA PALACIO</v>
      </c>
      <c r="H10072" s="16">
        <f>IFERROR(__xludf.DUMMYFUNCTION("""COMPUTED_VALUE"""),18769.0)</f>
        <v>18769</v>
      </c>
      <c r="I10072" s="17"/>
      <c r="J10072" s="17"/>
      <c r="K10072" s="17"/>
      <c r="L10072" s="17">
        <f>IFERROR(__xludf.DUMMYFUNCTION("""COMPUTED_VALUE"""),3.105042231E9)</f>
        <v>3105042231</v>
      </c>
      <c r="M10072" s="17"/>
      <c r="N10072" s="17"/>
      <c r="O10072" s="17"/>
      <c r="P10072" s="17" t="b">
        <f>IFERROR(__xludf.DUMMYFUNCTION("""COMPUTED_VALUE"""),FALSE)</f>
        <v>0</v>
      </c>
      <c r="Q10072" s="20" t="str">
        <f>IFERROR(__xludf.DUMMYFUNCTION("""COMPUTED_VALUE"""),"")</f>
        <v/>
      </c>
      <c r="R10072" s="21" t="str">
        <f>IFERROR(__xludf.DUMMYFUNCTION("""COMPUTED_VALUE"""),"https://drive.google.com/file/d/1S2E4eONValgT3Rv_G9bdPoYceeJJc2Od/view?usp=drivesdk")</f>
        <v>https://drive.google.com/file/d/1S2E4eONValgT3Rv_G9bdPoYceeJJc2Od/view?usp=drivesdk</v>
      </c>
    </row>
    <row r="10073">
      <c r="A10073" s="15">
        <f>IFERROR(__xludf.DUMMYFUNCTION("""COMPUTED_VALUE"""),45287.0)</f>
        <v>45287</v>
      </c>
      <c r="B10073" s="16" t="str">
        <f>IFERROR(__xludf.DUMMYFUNCTION("""COMPUTED_VALUE"""),"Diego Alexis Ramirez Zamora ")</f>
        <v>Diego Alexis Ramirez Zamora </v>
      </c>
      <c r="C10073" s="15" t="str">
        <f>IFERROR(__xludf.DUMMYFUNCTION("""COMPUTED_VALUE"""),"ARMENIA")</f>
        <v>ARMENIA</v>
      </c>
      <c r="D10073" s="15" t="str">
        <f>IFERROR(__xludf.DUMMYFUNCTION("""COMPUTED_VALUE"""),"BOGOTÁ")</f>
        <v>BOGOTÁ</v>
      </c>
      <c r="E10073" s="15" t="str">
        <f>IFERROR(__xludf.DUMMYFUNCTION("""COMPUTED_VALUE"""),"Top Spun")</f>
        <v>Top Spun</v>
      </c>
      <c r="F10073" s="17" t="str">
        <f>IFERROR(__xludf.DUMMYFUNCTION("""COMPUTED_VALUE"""),"Carrera 14 no. 11 norte 109 / armenia /  Armenia Quindío")</f>
        <v>Carrera 14 no. 11 norte 109 / armenia /  Armenia Quindío</v>
      </c>
      <c r="G10073" s="15" t="str">
        <f>IFERROR(__xludf.DUMMYFUNCTION("""COMPUTED_VALUE"""),"Ines Escobar")</f>
        <v>Ines Escobar</v>
      </c>
      <c r="H10073" s="16">
        <f>IFERROR(__xludf.DUMMYFUNCTION("""COMPUTED_VALUE"""),18745.0)</f>
        <v>18745</v>
      </c>
      <c r="I10073" s="18">
        <f>IFERROR(__xludf.DUMMYFUNCTION("""COMPUTED_VALUE"""),20.0)</f>
        <v>20</v>
      </c>
      <c r="J10073" s="18">
        <f>IFERROR(__xludf.DUMMYFUNCTION("""COMPUTED_VALUE"""),10.0)</f>
        <v>10</v>
      </c>
      <c r="K10073" s="18">
        <f>IFERROR(__xludf.DUMMYFUNCTION("""COMPUTED_VALUE"""),40.0)</f>
        <v>40</v>
      </c>
      <c r="L10073" s="17">
        <f>IFERROR(__xludf.DUMMYFUNCTION("""COMPUTED_VALUE"""),3.007107094E9)</f>
        <v>3007107094</v>
      </c>
      <c r="M10073" s="17"/>
      <c r="N10073" s="17"/>
      <c r="O10073" s="17"/>
      <c r="P10073" s="17" t="b">
        <f>IFERROR(__xludf.DUMMYFUNCTION("""COMPUTED_VALUE"""),FALSE)</f>
        <v>0</v>
      </c>
      <c r="Q10073" s="20" t="str">
        <f>IFERROR(__xludf.DUMMYFUNCTION("""COMPUTED_VALUE"""),"")</f>
        <v/>
      </c>
      <c r="R10073" s="21" t="str">
        <f>IFERROR(__xludf.DUMMYFUNCTION("""COMPUTED_VALUE"""),"https://drive.google.com/file/d/1luevSl4qCl--6tj3Ikb5MZvBjhfUuW8l/view?usp=drivesdk")</f>
        <v>https://drive.google.com/file/d/1luevSl4qCl--6tj3Ikb5MZvBjhfUuW8l/view?usp=drivesdk</v>
      </c>
    </row>
    <row r="10074">
      <c r="A10074" s="15">
        <f>IFERROR(__xludf.DUMMYFUNCTION("""COMPUTED_VALUE"""),45287.0)</f>
        <v>45287</v>
      </c>
      <c r="B10074" s="16" t="str">
        <f>IFERROR(__xludf.DUMMYFUNCTION("""COMPUTED_VALUE"""),"Diego Alexis Ramirez Zamora ")</f>
        <v>Diego Alexis Ramirez Zamora </v>
      </c>
      <c r="C10074" s="15" t="str">
        <f>IFERROR(__xludf.DUMMYFUNCTION("""COMPUTED_VALUE"""),"ARMENIA")</f>
        <v>ARMENIA</v>
      </c>
      <c r="D10074" s="15" t="str">
        <f>IFERROR(__xludf.DUMMYFUNCTION("""COMPUTED_VALUE"""),"ENVIGADO")</f>
        <v>ENVIGADO</v>
      </c>
      <c r="E10074" s="15" t="str">
        <f>IFERROR(__xludf.DUMMYFUNCTION("""COMPUTED_VALUE"""),"RAMBLA")</f>
        <v>RAMBLA</v>
      </c>
      <c r="F10074" s="17" t="str">
        <f>IFERROR(__xludf.DUMMYFUNCTION("""COMPUTED_VALUE"""),"Carrera 23 #18 n 03 / Casa 2b Palmares de alameda")</f>
        <v>Carrera 23 #18 n 03 / Casa 2b Palmares de alameda</v>
      </c>
      <c r="G10074" s="15" t="str">
        <f>IFERROR(__xludf.DUMMYFUNCTION("""COMPUTED_VALUE"""),"CAROLINA RODRIGUEZ")</f>
        <v>CAROLINA RODRIGUEZ</v>
      </c>
      <c r="H10074" s="16">
        <f>IFERROR(__xludf.DUMMYFUNCTION("""COMPUTED_VALUE"""),18772.0)</f>
        <v>18772</v>
      </c>
      <c r="I10074" s="17"/>
      <c r="J10074" s="17"/>
      <c r="K10074" s="17"/>
      <c r="L10074" s="17">
        <f>IFERROR(__xludf.DUMMYFUNCTION("""COMPUTED_VALUE"""),3.016139787E9)</f>
        <v>3016139787</v>
      </c>
      <c r="M10074" s="17"/>
      <c r="N10074" s="17"/>
      <c r="O10074" s="17"/>
      <c r="P10074" s="17" t="b">
        <f>IFERROR(__xludf.DUMMYFUNCTION("""COMPUTED_VALUE"""),FALSE)</f>
        <v>0</v>
      </c>
      <c r="Q10074" s="20" t="str">
        <f>IFERROR(__xludf.DUMMYFUNCTION("""COMPUTED_VALUE"""),"")</f>
        <v/>
      </c>
      <c r="R10074" s="21" t="str">
        <f>IFERROR(__xludf.DUMMYFUNCTION("""COMPUTED_VALUE"""),"https://drive.google.com/file/d/1sac82J-VCADa9yzDfvO0S2OnS93mvuuL/view?usp=drivesdk")</f>
        <v>https://drive.google.com/file/d/1sac82J-VCADa9yzDfvO0S2OnS93mvuuL/view?usp=drivesdk</v>
      </c>
    </row>
    <row r="10075">
      <c r="A10075" s="15">
        <f>IFERROR(__xludf.DUMMYFUNCTION("""COMPUTED_VALUE"""),45287.0)</f>
        <v>45287</v>
      </c>
      <c r="B10075" s="16" t="str">
        <f>IFERROR(__xludf.DUMMYFUNCTION("""COMPUTED_VALUE"""),"Diego Alexis Ramirez Zamora ")</f>
        <v>Diego Alexis Ramirez Zamora </v>
      </c>
      <c r="C10075" s="15" t="str">
        <f>IFERROR(__xludf.DUMMYFUNCTION("""COMPUTED_VALUE"""),"ARMENIA")</f>
        <v>ARMENIA</v>
      </c>
      <c r="D10075" s="15" t="str">
        <f>IFERROR(__xludf.DUMMYFUNCTION("""COMPUTED_VALUE"""),"MEDELLÍN")</f>
        <v>MEDELLÍN</v>
      </c>
      <c r="E10075" s="15" t="str">
        <f>IFERROR(__xludf.DUMMYFUNCTION("""COMPUTED_VALUE"""),"TOLEDALES S.A.S")</f>
        <v>TOLEDALES S.A.S</v>
      </c>
      <c r="F10075" s="17" t="str">
        <f>IFERROR(__xludf.DUMMYFUNCTION("""COMPUTED_VALUE"""),"Cll 23 A norte 19 47 / casa 2")</f>
        <v>Cll 23 A norte 19 47 / casa 2</v>
      </c>
      <c r="G10075" s="15" t="str">
        <f>IFERROR(__xludf.DUMMYFUNCTION("""COMPUTED_VALUE"""),"sandra salas")</f>
        <v>sandra salas</v>
      </c>
      <c r="H10075" s="16">
        <f>IFERROR(__xludf.DUMMYFUNCTION("""COMPUTED_VALUE"""),18753.0)</f>
        <v>18753</v>
      </c>
      <c r="I10075" s="17"/>
      <c r="J10075" s="17"/>
      <c r="K10075" s="17"/>
      <c r="L10075" s="17">
        <f>IFERROR(__xludf.DUMMYFUNCTION("""COMPUTED_VALUE"""),3.176643506E9)</f>
        <v>3176643506</v>
      </c>
      <c r="M10075" s="17"/>
      <c r="N10075" s="17"/>
      <c r="O10075" s="17"/>
      <c r="P10075" s="17" t="b">
        <f>IFERROR(__xludf.DUMMYFUNCTION("""COMPUTED_VALUE"""),FALSE)</f>
        <v>0</v>
      </c>
      <c r="Q10075" s="20" t="str">
        <f>IFERROR(__xludf.DUMMYFUNCTION("""COMPUTED_VALUE"""),"")</f>
        <v/>
      </c>
      <c r="R10075" s="21" t="str">
        <f>IFERROR(__xludf.DUMMYFUNCTION("""COMPUTED_VALUE"""),"https://drive.google.com/file/d/1vcdJiELeabjW7oX7GTIi8gMKzOf3hnJC/view?usp=drivesdk")</f>
        <v>https://drive.google.com/file/d/1vcdJiELeabjW7oX7GTIi8gMKzOf3hnJC/view?usp=drivesdk</v>
      </c>
    </row>
    <row r="10076">
      <c r="A10076" s="17" t="str">
        <f>IFERROR(__xludf.DUMMYFUNCTION("""COMPUTED_VALUE"""),"")</f>
        <v/>
      </c>
      <c r="B10076" s="17" t="str">
        <f>IFERROR(__xludf.DUMMYFUNCTION("""COMPUTED_VALUE"""),"")</f>
        <v/>
      </c>
      <c r="C10076" s="17" t="str">
        <f>IFERROR(__xludf.DUMMYFUNCTION("""COMPUTED_VALUE"""),"")</f>
        <v/>
      </c>
      <c r="D10076" s="17" t="str">
        <f>IFERROR(__xludf.DUMMYFUNCTION("""COMPUTED_VALUE"""),"")</f>
        <v/>
      </c>
      <c r="E10076" s="17" t="str">
        <f>IFERROR(__xludf.DUMMYFUNCTION("""COMPUTED_VALUE"""),"")</f>
        <v/>
      </c>
      <c r="F10076" s="17" t="str">
        <f>IFERROR(__xludf.DUMMYFUNCTION("""COMPUTED_VALUE"""),"")</f>
        <v/>
      </c>
      <c r="G10076" s="17" t="str">
        <f>IFERROR(__xludf.DUMMYFUNCTION("""COMPUTED_VALUE"""),"")</f>
        <v/>
      </c>
      <c r="H10076" s="17" t="str">
        <f>IFERROR(__xludf.DUMMYFUNCTION("""COMPUTED_VALUE"""),"")</f>
        <v/>
      </c>
      <c r="I10076" s="17" t="str">
        <f>IFERROR(__xludf.DUMMYFUNCTION("""COMPUTED_VALUE"""),"")</f>
        <v/>
      </c>
      <c r="J10076" s="17" t="str">
        <f>IFERROR(__xludf.DUMMYFUNCTION("""COMPUTED_VALUE"""),"")</f>
        <v/>
      </c>
      <c r="K10076" s="17" t="str">
        <f>IFERROR(__xludf.DUMMYFUNCTION("""COMPUTED_VALUE"""),"")</f>
        <v/>
      </c>
      <c r="L10076" s="17" t="str">
        <f>IFERROR(__xludf.DUMMYFUNCTION("""COMPUTED_VALUE"""),"")</f>
        <v/>
      </c>
      <c r="M10076" s="17" t="str">
        <f>IFERROR(__xludf.DUMMYFUNCTION("""COMPUTED_VALUE"""),"")</f>
        <v/>
      </c>
      <c r="N10076" s="17" t="str">
        <f>IFERROR(__xludf.DUMMYFUNCTION("""COMPUTED_VALUE"""),"")</f>
        <v/>
      </c>
      <c r="O10076" s="17" t="str">
        <f>IFERROR(__xludf.DUMMYFUNCTION("""COMPUTED_VALUE"""),"")</f>
        <v/>
      </c>
      <c r="P10076" s="17" t="str">
        <f>IFERROR(__xludf.DUMMYFUNCTION("""COMPUTED_VALUE"""),"")</f>
        <v/>
      </c>
      <c r="Q10076" s="17" t="str">
        <f>IFERROR(__xludf.DUMMYFUNCTION("""COMPUTED_VALUE"""),"")</f>
        <v/>
      </c>
      <c r="R10076" s="17" t="str">
        <f>IFERROR(__xludf.DUMMYFUNCTION("""COMPUTED_VALUE"""),"")</f>
        <v/>
      </c>
    </row>
    <row r="10077">
      <c r="A10077" s="15">
        <f>IFERROR(__xludf.DUMMYFUNCTION("""COMPUTED_VALUE"""),45287.0)</f>
        <v>45287</v>
      </c>
      <c r="B10077" s="16" t="str">
        <f>IFERROR(__xludf.DUMMYFUNCTION("""COMPUTED_VALUE"""),"Duvan Gabriel Alvarez Giron")</f>
        <v>Duvan Gabriel Alvarez Giron</v>
      </c>
      <c r="C10077" s="15" t="str">
        <f>IFERROR(__xludf.DUMMYFUNCTION("""COMPUTED_VALUE"""),"IBAGUÉ")</f>
        <v>IBAGUÉ</v>
      </c>
      <c r="D10077" s="15" t="str">
        <f>IFERROR(__xludf.DUMMYFUNCTION("""COMPUTED_VALUE"""),"BOGOTÁ")</f>
        <v>BOGOTÁ</v>
      </c>
      <c r="E10077" s="15" t="str">
        <f>IFERROR(__xludf.DUMMYFUNCTION("""COMPUTED_VALUE"""),"LINA PAOLA RAMIREZ GOMEZ - EVA MAZZITA")</f>
        <v>LINA PAOLA RAMIREZ GOMEZ - EVA MAZZITA</v>
      </c>
      <c r="F10077" s="17" t="str">
        <f>IFERROR(__xludf.DUMMYFUNCTION("""COMPUTED_VALUE"""),"Calle 93 #20-40 Sur / Torre1 Apto 1102 Mirador De Los Andes")</f>
        <v>Calle 93 #20-40 Sur / Torre1 Apto 1102 Mirador De Los Andes</v>
      </c>
      <c r="G10077" s="15" t="str">
        <f>IFERROR(__xludf.DUMMYFUNCTION("""COMPUTED_VALUE"""),"MONICA ALEJANDRA SUAREZ GUZMAN")</f>
        <v>MONICA ALEJANDRA SUAREZ GUZMAN</v>
      </c>
      <c r="H10077" s="16">
        <f>IFERROR(__xludf.DUMMYFUNCTION("""COMPUTED_VALUE"""),18789.0)</f>
        <v>18789</v>
      </c>
      <c r="I10077" s="17"/>
      <c r="J10077" s="17"/>
      <c r="K10077" s="17"/>
      <c r="L10077" s="17">
        <f>IFERROR(__xludf.DUMMYFUNCTION("""COMPUTED_VALUE"""),3.154282865E9)</f>
        <v>3154282865</v>
      </c>
      <c r="M10077" s="17"/>
      <c r="N10077" s="17"/>
      <c r="O10077" s="17"/>
      <c r="P10077" s="17" t="b">
        <f>IFERROR(__xludf.DUMMYFUNCTION("""COMPUTED_VALUE"""),FALSE)</f>
        <v>0</v>
      </c>
      <c r="Q10077" s="20" t="str">
        <f>IFERROR(__xludf.DUMMYFUNCTION("""COMPUTED_VALUE"""),"")</f>
        <v/>
      </c>
      <c r="R10077" s="21" t="str">
        <f>IFERROR(__xludf.DUMMYFUNCTION("""COMPUTED_VALUE"""),"https://drive.google.com/file/d/1iqiUp8B3h9OCADvuznGf2XiGrOevDypx/view?usp=drivesdk")</f>
        <v>https://drive.google.com/file/d/1iqiUp8B3h9OCADvuznGf2XiGrOevDypx/view?usp=drivesdk</v>
      </c>
    </row>
    <row r="10078">
      <c r="A10078" s="15">
        <f>IFERROR(__xludf.DUMMYFUNCTION("""COMPUTED_VALUE"""),45287.0)</f>
        <v>45287</v>
      </c>
      <c r="B10078" s="16" t="str">
        <f>IFERROR(__xludf.DUMMYFUNCTION("""COMPUTED_VALUE"""),"Duvan Gabriel Alvarez Giron")</f>
        <v>Duvan Gabriel Alvarez Giron</v>
      </c>
      <c r="C10078" s="15" t="str">
        <f>IFERROR(__xludf.DUMMYFUNCTION("""COMPUTED_VALUE"""),"IBAGUÉ")</f>
        <v>IBAGUÉ</v>
      </c>
      <c r="D10078" s="15" t="str">
        <f>IFERROR(__xludf.DUMMYFUNCTION("""COMPUTED_VALUE"""),"BOGOTÁ")</f>
        <v>BOGOTÁ</v>
      </c>
      <c r="E10078" s="15" t="str">
        <f>IFERROR(__xludf.DUMMYFUNCTION("""COMPUTED_VALUE"""),"LINA PAOLA RAMIREZ GOMEZ - EVA MAZZITA")</f>
        <v>LINA PAOLA RAMIREZ GOMEZ - EVA MAZZITA</v>
      </c>
      <c r="F10078" s="17" t="str">
        <f>IFERROR(__xludf.DUMMYFUNCTION("""COMPUTED_VALUE"""),"Carrera 6 Sur No 66 - 40 / conjunto SantaFe de Varsovia torre 3 apto 705")</f>
        <v>Carrera 6 Sur No 66 - 40 / conjunto SantaFe de Varsovia torre 3 apto 705</v>
      </c>
      <c r="G10078" s="15" t="str">
        <f>IFERROR(__xludf.DUMMYFUNCTION("""COMPUTED_VALUE"""),"DIANA MILENA RUIZ")</f>
        <v>DIANA MILENA RUIZ</v>
      </c>
      <c r="H10078" s="16">
        <f>IFERROR(__xludf.DUMMYFUNCTION("""COMPUTED_VALUE"""),18788.0)</f>
        <v>18788</v>
      </c>
      <c r="I10078" s="17"/>
      <c r="J10078" s="17"/>
      <c r="K10078" s="17"/>
      <c r="L10078" s="17">
        <f>IFERROR(__xludf.DUMMYFUNCTION("""COMPUTED_VALUE"""),3.178860628E9)</f>
        <v>3178860628</v>
      </c>
      <c r="M10078" s="17"/>
      <c r="N10078" s="17"/>
      <c r="O10078" s="17"/>
      <c r="P10078" s="17" t="b">
        <f>IFERROR(__xludf.DUMMYFUNCTION("""COMPUTED_VALUE"""),FALSE)</f>
        <v>0</v>
      </c>
      <c r="Q10078" s="20" t="str">
        <f>IFERROR(__xludf.DUMMYFUNCTION("""COMPUTED_VALUE"""),"")</f>
        <v/>
      </c>
      <c r="R10078" s="21" t="str">
        <f>IFERROR(__xludf.DUMMYFUNCTION("""COMPUTED_VALUE"""),"https://drive.google.com/file/d/1RTwvnTSCJDbYbGHOHb7vA60IpGx8-SsI/view?usp=drivesdk")</f>
        <v>https://drive.google.com/file/d/1RTwvnTSCJDbYbGHOHb7vA60IpGx8-SsI/view?usp=drivesdk</v>
      </c>
    </row>
    <row r="10079">
      <c r="A10079" s="15">
        <f>IFERROR(__xludf.DUMMYFUNCTION("""COMPUTED_VALUE"""),45287.0)</f>
        <v>45287</v>
      </c>
      <c r="B10079" s="16" t="str">
        <f>IFERROR(__xludf.DUMMYFUNCTION("""COMPUTED_VALUE"""),"Duvan Gabriel Alvarez Giron")</f>
        <v>Duvan Gabriel Alvarez Giron</v>
      </c>
      <c r="C10079" s="15" t="str">
        <f>IFERROR(__xludf.DUMMYFUNCTION("""COMPUTED_VALUE"""),"IBAGUÉ")</f>
        <v>IBAGUÉ</v>
      </c>
      <c r="D10079" s="15" t="str">
        <f>IFERROR(__xludf.DUMMYFUNCTION("""COMPUTED_VALUE"""),"BOGOTÁ")</f>
        <v>BOGOTÁ</v>
      </c>
      <c r="E10079" s="15" t="str">
        <f>IFERROR(__xludf.DUMMYFUNCTION("""COMPUTED_VALUE"""),"Premium Choice")</f>
        <v>Premium Choice</v>
      </c>
      <c r="F10079" s="17" t="str">
        <f>IFERROR(__xludf.DUMMYFUNCTION("""COMPUTED_VALUE"""),"Carrera 1 # 45 - 50  / Hoteles estelar  / Hoteles estelar Ibague")</f>
        <v>Carrera 1 # 45 - 50  / Hoteles estelar  / Hoteles estelar Ibague</v>
      </c>
      <c r="G10079" s="15" t="str">
        <f>IFERROR(__xludf.DUMMYFUNCTION("""COMPUTED_VALUE"""),"Hoteles estelar")</f>
        <v>Hoteles estelar</v>
      </c>
      <c r="H10079" s="16">
        <f>IFERROR(__xludf.DUMMYFUNCTION("""COMPUTED_VALUE"""),18755.0)</f>
        <v>18755</v>
      </c>
      <c r="I10079" s="18">
        <f>IFERROR(__xludf.DUMMYFUNCTION("""COMPUTED_VALUE"""),17.0)</f>
        <v>17</v>
      </c>
      <c r="J10079" s="18">
        <f>IFERROR(__xludf.DUMMYFUNCTION("""COMPUTED_VALUE"""),20.0)</f>
        <v>20</v>
      </c>
      <c r="K10079" s="18">
        <f>IFERROR(__xludf.DUMMYFUNCTION("""COMPUTED_VALUE"""),30.0)</f>
        <v>30</v>
      </c>
      <c r="L10079" s="17">
        <f>IFERROR(__xludf.DUMMYFUNCTION("""COMPUTED_VALUE"""),3.102170999E9)</f>
        <v>3102170999</v>
      </c>
      <c r="M10079" s="17"/>
      <c r="N10079" s="17"/>
      <c r="O10079" s="17"/>
      <c r="P10079" s="17" t="b">
        <f>IFERROR(__xludf.DUMMYFUNCTION("""COMPUTED_VALUE"""),FALSE)</f>
        <v>0</v>
      </c>
      <c r="Q10079" s="20" t="str">
        <f>IFERROR(__xludf.DUMMYFUNCTION("""COMPUTED_VALUE"""),"")</f>
        <v/>
      </c>
      <c r="R10079" s="21" t="str">
        <f>IFERROR(__xludf.DUMMYFUNCTION("""COMPUTED_VALUE"""),"https://drive.google.com/file/d/1dP0JDceRTEyeuVO03y85Fl9s8QQNaeWA/view?usp=drivesdk")</f>
        <v>https://drive.google.com/file/d/1dP0JDceRTEyeuVO03y85Fl9s8QQNaeWA/view?usp=drivesdk</v>
      </c>
    </row>
    <row r="10080">
      <c r="A10080" s="15">
        <f>IFERROR(__xludf.DUMMYFUNCTION("""COMPUTED_VALUE"""),45287.0)</f>
        <v>45287</v>
      </c>
      <c r="B10080" s="16" t="str">
        <f>IFERROR(__xludf.DUMMYFUNCTION("""COMPUTED_VALUE"""),"Duvan Gabriel Alvarez Giron")</f>
        <v>Duvan Gabriel Alvarez Giron</v>
      </c>
      <c r="C10080" s="15" t="str">
        <f>IFERROR(__xludf.DUMMYFUNCTION("""COMPUTED_VALUE"""),"IBAGUÉ")</f>
        <v>IBAGUÉ</v>
      </c>
      <c r="D10080" s="15" t="str">
        <f>IFERROR(__xludf.DUMMYFUNCTION("""COMPUTED_VALUE"""),"BOGOTÁ")</f>
        <v>BOGOTÁ</v>
      </c>
      <c r="E10080" s="15" t="str">
        <f>IFERROR(__xludf.DUMMYFUNCTION("""COMPUTED_VALUE"""),"Spirulina Fresca")</f>
        <v>Spirulina Fresca</v>
      </c>
      <c r="F10080" s="17" t="str">
        <f>IFERROR(__xludf.DUMMYFUNCTION("""COMPUTED_VALUE"""),"Avda ambala # 65-152 /  apto 801 edificio palmetto inn / Ibague")</f>
        <v>Avda ambala # 65-152 /  apto 801 edificio palmetto inn / Ibague</v>
      </c>
      <c r="G10080" s="15" t="str">
        <f>IFERROR(__xludf.DUMMYFUNCTION("""COMPUTED_VALUE"""),"Donary Carvaja")</f>
        <v>Donary Carvaja</v>
      </c>
      <c r="H10080" s="16">
        <f>IFERROR(__xludf.DUMMYFUNCTION("""COMPUTED_VALUE"""),18754.0)</f>
        <v>18754</v>
      </c>
      <c r="I10080" s="18">
        <f>IFERROR(__xludf.DUMMYFUNCTION("""COMPUTED_VALUE"""),5.0)</f>
        <v>5</v>
      </c>
      <c r="J10080" s="18">
        <f>IFERROR(__xludf.DUMMYFUNCTION("""COMPUTED_VALUE"""),5.0)</f>
        <v>5</v>
      </c>
      <c r="K10080" s="18">
        <f>IFERROR(__xludf.DUMMYFUNCTION("""COMPUTED_VALUE"""),22.0)</f>
        <v>22</v>
      </c>
      <c r="L10080" s="17">
        <f>IFERROR(__xludf.DUMMYFUNCTION("""COMPUTED_VALUE"""),3.112310337E9)</f>
        <v>3112310337</v>
      </c>
      <c r="M10080" s="17"/>
      <c r="N10080" s="17"/>
      <c r="O10080" s="17"/>
      <c r="P10080" s="17" t="b">
        <f>IFERROR(__xludf.DUMMYFUNCTION("""COMPUTED_VALUE"""),FALSE)</f>
        <v>0</v>
      </c>
      <c r="Q10080" s="20" t="str">
        <f>IFERROR(__xludf.DUMMYFUNCTION("""COMPUTED_VALUE"""),"")</f>
        <v/>
      </c>
      <c r="R10080" s="21" t="str">
        <f>IFERROR(__xludf.DUMMYFUNCTION("""COMPUTED_VALUE"""),"https://drive.google.com/file/d/11xcxtUujvbPYRq2hHRRs6B37Cz3A7-sn/view?usp=drivesdk")</f>
        <v>https://drive.google.com/file/d/11xcxtUujvbPYRq2hHRRs6B37Cz3A7-sn/view?usp=drivesdk</v>
      </c>
    </row>
    <row r="10081">
      <c r="A10081" s="15">
        <f>IFERROR(__xludf.DUMMYFUNCTION("""COMPUTED_VALUE"""),45287.0)</f>
        <v>45287</v>
      </c>
      <c r="B10081" s="16" t="str">
        <f>IFERROR(__xludf.DUMMYFUNCTION("""COMPUTED_VALUE"""),"Duvan Gabriel Alvarez Giron")</f>
        <v>Duvan Gabriel Alvarez Giron</v>
      </c>
      <c r="C10081" s="15" t="str">
        <f>IFERROR(__xludf.DUMMYFUNCTION("""COMPUTED_VALUE"""),"IBAGUÉ")</f>
        <v>IBAGUÉ</v>
      </c>
      <c r="D10081" s="15" t="str">
        <f>IFERROR(__xludf.DUMMYFUNCTION("""COMPUTED_VALUE"""),"BOGOTÁ")</f>
        <v>BOGOTÁ</v>
      </c>
      <c r="E10081" s="15" t="str">
        <f>IFERROR(__xludf.DUMMYFUNCTION("""COMPUTED_VALUE"""),"Top Spun")</f>
        <v>Top Spun</v>
      </c>
      <c r="F10081" s="17" t="str">
        <f>IFERROR(__xludf.DUMMYFUNCTION("""COMPUTED_VALUE"""),"Carrera 20 sur 102-124 /   apto 801 torre c Ibague Tolima / Altos de la Carolina")</f>
        <v>Carrera 20 sur 102-124 /   apto 801 torre c Ibague Tolima / Altos de la Carolina</v>
      </c>
      <c r="G10081" s="15" t="str">
        <f>IFERROR(__xludf.DUMMYFUNCTION("""COMPUTED_VALUE"""),"Carolina Zapata")</f>
        <v>Carolina Zapata</v>
      </c>
      <c r="H10081" s="16">
        <f>IFERROR(__xludf.DUMMYFUNCTION("""COMPUTED_VALUE"""),18746.0)</f>
        <v>18746</v>
      </c>
      <c r="I10081" s="18">
        <f>IFERROR(__xludf.DUMMYFUNCTION("""COMPUTED_VALUE"""),20.0)</f>
        <v>20</v>
      </c>
      <c r="J10081" s="18">
        <f>IFERROR(__xludf.DUMMYFUNCTION("""COMPUTED_VALUE"""),10.0)</f>
        <v>10</v>
      </c>
      <c r="K10081" s="18">
        <f>IFERROR(__xludf.DUMMYFUNCTION("""COMPUTED_VALUE"""),40.0)</f>
        <v>40</v>
      </c>
      <c r="L10081" s="17">
        <f>IFERROR(__xludf.DUMMYFUNCTION("""COMPUTED_VALUE"""),3.212130403E9)</f>
        <v>3212130403</v>
      </c>
      <c r="M10081" s="17"/>
      <c r="N10081" s="17"/>
      <c r="O10081" s="17"/>
      <c r="P10081" s="17" t="b">
        <f>IFERROR(__xludf.DUMMYFUNCTION("""COMPUTED_VALUE"""),FALSE)</f>
        <v>0</v>
      </c>
      <c r="Q10081" s="20" t="str">
        <f>IFERROR(__xludf.DUMMYFUNCTION("""COMPUTED_VALUE"""),"")</f>
        <v/>
      </c>
      <c r="R10081" s="21" t="str">
        <f>IFERROR(__xludf.DUMMYFUNCTION("""COMPUTED_VALUE"""),"https://drive.google.com/file/d/1udwz7FRTejmRdWhIMYRPq1yjYcxkKD2s/view?usp=drivesdk")</f>
        <v>https://drive.google.com/file/d/1udwz7FRTejmRdWhIMYRPq1yjYcxkKD2s/view?usp=drivesdk</v>
      </c>
    </row>
    <row r="10082">
      <c r="A10082" s="17" t="str">
        <f>IFERROR(__xludf.DUMMYFUNCTION("""COMPUTED_VALUE"""),"")</f>
        <v/>
      </c>
      <c r="B10082" s="17" t="str">
        <f>IFERROR(__xludf.DUMMYFUNCTION("""COMPUTED_VALUE"""),"")</f>
        <v/>
      </c>
      <c r="C10082" s="17" t="str">
        <f>IFERROR(__xludf.DUMMYFUNCTION("""COMPUTED_VALUE"""),"")</f>
        <v/>
      </c>
      <c r="D10082" s="17" t="str">
        <f>IFERROR(__xludf.DUMMYFUNCTION("""COMPUTED_VALUE"""),"")</f>
        <v/>
      </c>
      <c r="E10082" s="17" t="str">
        <f>IFERROR(__xludf.DUMMYFUNCTION("""COMPUTED_VALUE"""),"")</f>
        <v/>
      </c>
      <c r="F10082" s="17" t="str">
        <f>IFERROR(__xludf.DUMMYFUNCTION("""COMPUTED_VALUE"""),"")</f>
        <v/>
      </c>
      <c r="G10082" s="17" t="str">
        <f>IFERROR(__xludf.DUMMYFUNCTION("""COMPUTED_VALUE"""),"")</f>
        <v/>
      </c>
      <c r="H10082" s="17" t="str">
        <f>IFERROR(__xludf.DUMMYFUNCTION("""COMPUTED_VALUE"""),"")</f>
        <v/>
      </c>
      <c r="I10082" s="17" t="str">
        <f>IFERROR(__xludf.DUMMYFUNCTION("""COMPUTED_VALUE"""),"")</f>
        <v/>
      </c>
      <c r="J10082" s="17" t="str">
        <f>IFERROR(__xludf.DUMMYFUNCTION("""COMPUTED_VALUE"""),"")</f>
        <v/>
      </c>
      <c r="K10082" s="17" t="str">
        <f>IFERROR(__xludf.DUMMYFUNCTION("""COMPUTED_VALUE"""),"")</f>
        <v/>
      </c>
      <c r="L10082" s="17" t="str">
        <f>IFERROR(__xludf.DUMMYFUNCTION("""COMPUTED_VALUE"""),"")</f>
        <v/>
      </c>
      <c r="M10082" s="17" t="str">
        <f>IFERROR(__xludf.DUMMYFUNCTION("""COMPUTED_VALUE"""),"")</f>
        <v/>
      </c>
      <c r="N10082" s="17" t="str">
        <f>IFERROR(__xludf.DUMMYFUNCTION("""COMPUTED_VALUE"""),"")</f>
        <v/>
      </c>
      <c r="O10082" s="17" t="str">
        <f>IFERROR(__xludf.DUMMYFUNCTION("""COMPUTED_VALUE"""),"")</f>
        <v/>
      </c>
      <c r="P10082" s="17" t="str">
        <f>IFERROR(__xludf.DUMMYFUNCTION("""COMPUTED_VALUE"""),"")</f>
        <v/>
      </c>
      <c r="Q10082" s="17" t="str">
        <f>IFERROR(__xludf.DUMMYFUNCTION("""COMPUTED_VALUE"""),"")</f>
        <v/>
      </c>
      <c r="R10082" s="17" t="str">
        <f>IFERROR(__xludf.DUMMYFUNCTION("""COMPUTED_VALUE"""),"")</f>
        <v/>
      </c>
    </row>
    <row r="10083">
      <c r="A10083" s="15">
        <f>IFERROR(__xludf.DUMMYFUNCTION("""COMPUTED_VALUE"""),45287.0)</f>
        <v>45287</v>
      </c>
      <c r="B10083" s="16" t="str">
        <f>IFERROR(__xludf.DUMMYFUNCTION("""COMPUTED_VALUE"""),"Envia")</f>
        <v>Envia</v>
      </c>
      <c r="C10083" s="15" t="str">
        <f>IFERROR(__xludf.DUMMYFUNCTION("""COMPUTED_VALUE"""),"ARMENIA")</f>
        <v>ARMENIA</v>
      </c>
      <c r="D10083" s="15" t="str">
        <f>IFERROR(__xludf.DUMMYFUNCTION("""COMPUTED_VALUE"""),"BOGOTÁ")</f>
        <v>BOGOTÁ</v>
      </c>
      <c r="E10083" s="15" t="str">
        <f>IFERROR(__xludf.DUMMYFUNCTION("""COMPUTED_VALUE"""),"Instinto alimento vital")</f>
        <v>Instinto alimento vital</v>
      </c>
      <c r="F10083" s="17" t="str">
        <f>IFERROR(__xludf.DUMMYFUNCTION("""COMPUTED_VALUE"""),"CALLE 14 NORTE 10-49 / EDF LA CASTELLANA APTO 502")</f>
        <v>CALLE 14 NORTE 10-49 / EDF LA CASTELLANA APTO 502</v>
      </c>
      <c r="G10083" s="15" t="str">
        <f>IFERROR(__xludf.DUMMYFUNCTION("""COMPUTED_VALUE"""),"NICOLE REGNIER PALACIO")</f>
        <v>NICOLE REGNIER PALACIO</v>
      </c>
      <c r="H10083" s="16">
        <f>IFERROR(__xludf.DUMMYFUNCTION("""COMPUTED_VALUE"""),18770.0)</f>
        <v>18770</v>
      </c>
      <c r="I10083" s="17"/>
      <c r="J10083" s="17"/>
      <c r="K10083" s="17"/>
      <c r="L10083" s="17">
        <f>IFERROR(__xludf.DUMMYFUNCTION("""COMPUTED_VALUE"""),3.105042231E9)</f>
        <v>3105042231</v>
      </c>
      <c r="M10083" s="17"/>
      <c r="N10083" s="17"/>
      <c r="O10083" s="17"/>
      <c r="P10083" s="17" t="b">
        <f>IFERROR(__xludf.DUMMYFUNCTION("""COMPUTED_VALUE"""),FALSE)</f>
        <v>0</v>
      </c>
      <c r="Q10083" s="20" t="str">
        <f>IFERROR(__xludf.DUMMYFUNCTION("""COMPUTED_VALUE"""),"")</f>
        <v/>
      </c>
      <c r="R10083" s="21" t="str">
        <f>IFERROR(__xludf.DUMMYFUNCTION("""COMPUTED_VALUE"""),"https://drive.google.com/file/d/1YYrZaeVglogIFXksAO3ZxxcbJADjLN86/view?usp=drivesdk")</f>
        <v>https://drive.google.com/file/d/1YYrZaeVglogIFXksAO3ZxxcbJADjLN86/view?usp=drivesdk</v>
      </c>
    </row>
    <row r="10084">
      <c r="A10084" s="15">
        <f>IFERROR(__xludf.DUMMYFUNCTION("""COMPUTED_VALUE"""),45287.0)</f>
        <v>45287</v>
      </c>
      <c r="B10084" s="16" t="str">
        <f>IFERROR(__xludf.DUMMYFUNCTION("""COMPUTED_VALUE"""),"Envia")</f>
        <v>Envia</v>
      </c>
      <c r="C10084" s="15" t="str">
        <f>IFERROR(__xludf.DUMMYFUNCTION("""COMPUTED_VALUE"""),"ARMENIA")</f>
        <v>ARMENIA</v>
      </c>
      <c r="D10084" s="15" t="str">
        <f>IFERROR(__xludf.DUMMYFUNCTION("""COMPUTED_VALUE"""),"BOGOTÁ")</f>
        <v>BOGOTÁ</v>
      </c>
      <c r="E10084" s="15" t="str">
        <f>IFERROR(__xludf.DUMMYFUNCTION("""COMPUTED_VALUE"""),"Premium Choice")</f>
        <v>Premium Choice</v>
      </c>
      <c r="F10084" s="17" t="str">
        <f>IFERROR(__xludf.DUMMYFUNCTION("""COMPUTED_VALUE"""),"Calle 22 norte # 14 - 31  / Supermercado  / Supermercado")</f>
        <v>Calle 22 norte # 14 - 31  / Supermercado  / Supermercado</v>
      </c>
      <c r="G10084" s="15" t="str">
        <f>IFERROR(__xludf.DUMMYFUNCTION("""COMPUTED_VALUE"""),"Laureles norte")</f>
        <v>Laureles norte</v>
      </c>
      <c r="H10084" s="16">
        <f>IFERROR(__xludf.DUMMYFUNCTION("""COMPUTED_VALUE"""),18756.0)</f>
        <v>18756</v>
      </c>
      <c r="I10084" s="18">
        <f>IFERROR(__xludf.DUMMYFUNCTION("""COMPUTED_VALUE"""),17.0)</f>
        <v>17</v>
      </c>
      <c r="J10084" s="18">
        <f>IFERROR(__xludf.DUMMYFUNCTION("""COMPUTED_VALUE"""),20.0)</f>
        <v>20</v>
      </c>
      <c r="K10084" s="18">
        <f>IFERROR(__xludf.DUMMYFUNCTION("""COMPUTED_VALUE"""),30.0)</f>
        <v>30</v>
      </c>
      <c r="L10084" s="17">
        <f>IFERROR(__xludf.DUMMYFUNCTION("""COMPUTED_VALUE"""),3.102170999E9)</f>
        <v>3102170999</v>
      </c>
      <c r="M10084" s="17"/>
      <c r="N10084" s="17"/>
      <c r="O10084" s="17"/>
      <c r="P10084" s="17" t="b">
        <f>IFERROR(__xludf.DUMMYFUNCTION("""COMPUTED_VALUE"""),FALSE)</f>
        <v>0</v>
      </c>
      <c r="Q10084" s="20" t="str">
        <f>IFERROR(__xludf.DUMMYFUNCTION("""COMPUTED_VALUE"""),"")</f>
        <v/>
      </c>
      <c r="R10084" s="21" t="str">
        <f>IFERROR(__xludf.DUMMYFUNCTION("""COMPUTED_VALUE"""),"https://drive.google.com/file/d/1KMFUT3wxWKivBFFVv5zHh7a37vXEnsk9/view?usp=drivesdk")</f>
        <v>https://drive.google.com/file/d/1KMFUT3wxWKivBFFVv5zHh7a37vXEnsk9/view?usp=drivesdk</v>
      </c>
    </row>
    <row r="10085">
      <c r="A10085" s="15">
        <f>IFERROR(__xludf.DUMMYFUNCTION("""COMPUTED_VALUE"""),45287.0)</f>
        <v>45287</v>
      </c>
      <c r="B10085" s="16" t="str">
        <f>IFERROR(__xludf.DUMMYFUNCTION("""COMPUTED_VALUE"""),"Envia")</f>
        <v>Envia</v>
      </c>
      <c r="C10085" s="15" t="str">
        <f>IFERROR(__xludf.DUMMYFUNCTION("""COMPUTED_VALUE"""),"BOGOTÁ")</f>
        <v>BOGOTÁ</v>
      </c>
      <c r="D10085" s="15" t="str">
        <f>IFERROR(__xludf.DUMMYFUNCTION("""COMPUTED_VALUE"""),"MEDELLÍN")</f>
        <v>MEDELLÍN</v>
      </c>
      <c r="E10085" s="15" t="str">
        <f>IFERROR(__xludf.DUMMYFUNCTION("""COMPUTED_VALUE"""),"Helados swip")</f>
        <v>Helados swip</v>
      </c>
      <c r="F10085" s="17" t="str">
        <f>IFERROR(__xludf.DUMMYFUNCTION("""COMPUTED_VALUE"""),"CALLE 140# 13-50 / FIT MARKET 140  / FIT MARKET 140")</f>
        <v>CALLE 140# 13-50 / FIT MARKET 140  / FIT MARKET 140</v>
      </c>
      <c r="G10085" s="15" t="str">
        <f>IFERROR(__xludf.DUMMYFUNCTION("""COMPUTED_VALUE"""),"FIT MARKET 140")</f>
        <v>FIT MARKET 140</v>
      </c>
      <c r="H10085" s="16">
        <f>IFERROR(__xludf.DUMMYFUNCTION("""COMPUTED_VALUE"""),18814.0)</f>
        <v>18814</v>
      </c>
      <c r="I10085" s="18">
        <f>IFERROR(__xludf.DUMMYFUNCTION("""COMPUTED_VALUE"""),50.0)</f>
        <v>50</v>
      </c>
      <c r="J10085" s="18">
        <f>IFERROR(__xludf.DUMMYFUNCTION("""COMPUTED_VALUE"""),30.0)</f>
        <v>30</v>
      </c>
      <c r="K10085" s="18">
        <f>IFERROR(__xludf.DUMMYFUNCTION("""COMPUTED_VALUE"""),21.0)</f>
        <v>21</v>
      </c>
      <c r="L10085" s="17">
        <f>IFERROR(__xludf.DUMMYFUNCTION("""COMPUTED_VALUE"""),3.232201702E9)</f>
        <v>3232201702</v>
      </c>
      <c r="M10085" s="17"/>
      <c r="N10085" s="17"/>
      <c r="O10085" s="17"/>
      <c r="P10085" s="17" t="b">
        <f>IFERROR(__xludf.DUMMYFUNCTION("""COMPUTED_VALUE"""),FALSE)</f>
        <v>0</v>
      </c>
      <c r="Q10085" s="20" t="str">
        <f>IFERROR(__xludf.DUMMYFUNCTION("""COMPUTED_VALUE"""),"")</f>
        <v/>
      </c>
      <c r="R10085" s="21" t="str">
        <f>IFERROR(__xludf.DUMMYFUNCTION("""COMPUTED_VALUE"""),"https://drive.google.com/file/d/13f249ZD7xLIf4FqZHk0CwsqU2kh9MBj-/view?usp=drivesdk")</f>
        <v>https://drive.google.com/file/d/13f249ZD7xLIf4FqZHk0CwsqU2kh9MBj-/view?usp=drivesdk</v>
      </c>
    </row>
    <row r="10086">
      <c r="A10086" s="15">
        <f>IFERROR(__xludf.DUMMYFUNCTION("""COMPUTED_VALUE"""),45287.0)</f>
        <v>45287</v>
      </c>
      <c r="B10086" s="16" t="str">
        <f>IFERROR(__xludf.DUMMYFUNCTION("""COMPUTED_VALUE"""),"Envia")</f>
        <v>Envia</v>
      </c>
      <c r="C10086" s="15" t="str">
        <f>IFERROR(__xludf.DUMMYFUNCTION("""COMPUTED_VALUE"""),"BOGOTÁ")</f>
        <v>BOGOTÁ</v>
      </c>
      <c r="D10086" s="15" t="str">
        <f>IFERROR(__xludf.DUMMYFUNCTION("""COMPUTED_VALUE"""),"MEDELLÍN")</f>
        <v>MEDELLÍN</v>
      </c>
      <c r="E10086" s="15" t="str">
        <f>IFERROR(__xludf.DUMMYFUNCTION("""COMPUTED_VALUE"""),"Helados swip")</f>
        <v>Helados swip</v>
      </c>
      <c r="F10086" s="17" t="str">
        <f>IFERROR(__xludf.DUMMYFUNCTION("""COMPUTED_VALUE"""),"CARRERA 7 B # 146-90  / LOCAL 20 / BONSANTE MERCADO SALUDABLE")</f>
        <v>CARRERA 7 B # 146-90  / LOCAL 20 / BONSANTE MERCADO SALUDABLE</v>
      </c>
      <c r="G10086" s="15" t="str">
        <f>IFERROR(__xludf.DUMMYFUNCTION("""COMPUTED_VALUE"""),"INVERSIONES BONSANTE")</f>
        <v>INVERSIONES BONSANTE</v>
      </c>
      <c r="H10086" s="16">
        <f>IFERROR(__xludf.DUMMYFUNCTION("""COMPUTED_VALUE"""),18813.0)</f>
        <v>18813</v>
      </c>
      <c r="I10086" s="18">
        <f>IFERROR(__xludf.DUMMYFUNCTION("""COMPUTED_VALUE"""),50.0)</f>
        <v>50</v>
      </c>
      <c r="J10086" s="18">
        <f>IFERROR(__xludf.DUMMYFUNCTION("""COMPUTED_VALUE"""),30.0)</f>
        <v>30</v>
      </c>
      <c r="K10086" s="18">
        <f>IFERROR(__xludf.DUMMYFUNCTION("""COMPUTED_VALUE"""),21.0)</f>
        <v>21</v>
      </c>
      <c r="L10086" s="17">
        <f>IFERROR(__xludf.DUMMYFUNCTION("""COMPUTED_VALUE"""),3.174291837E9)</f>
        <v>3174291837</v>
      </c>
      <c r="M10086" s="17"/>
      <c r="N10086" s="17"/>
      <c r="O10086" s="17"/>
      <c r="P10086" s="17" t="b">
        <f>IFERROR(__xludf.DUMMYFUNCTION("""COMPUTED_VALUE"""),FALSE)</f>
        <v>0</v>
      </c>
      <c r="Q10086" s="20" t="str">
        <f>IFERROR(__xludf.DUMMYFUNCTION("""COMPUTED_VALUE"""),"")</f>
        <v/>
      </c>
      <c r="R10086" s="21" t="str">
        <f>IFERROR(__xludf.DUMMYFUNCTION("""COMPUTED_VALUE"""),"https://drive.google.com/file/d/18QsH1j3ZeEYChvi3zV6_0lCUJkL4WS47/view?usp=drivesdk")</f>
        <v>https://drive.google.com/file/d/18QsH1j3ZeEYChvi3zV6_0lCUJkL4WS47/view?usp=drivesdk</v>
      </c>
    </row>
    <row r="10087">
      <c r="A10087" s="15">
        <f>IFERROR(__xludf.DUMMYFUNCTION("""COMPUTED_VALUE"""),45287.0)</f>
        <v>45287</v>
      </c>
      <c r="B10087" s="16" t="str">
        <f>IFERROR(__xludf.DUMMYFUNCTION("""COMPUTED_VALUE"""),"Envia")</f>
        <v>Envia</v>
      </c>
      <c r="C10087" s="15" t="str">
        <f>IFERROR(__xludf.DUMMYFUNCTION("""COMPUTED_VALUE"""),"BOGOTÁ")</f>
        <v>BOGOTÁ</v>
      </c>
      <c r="D10087" s="15" t="str">
        <f>IFERROR(__xludf.DUMMYFUNCTION("""COMPUTED_VALUE"""),"MEDELLÍN")</f>
        <v>MEDELLÍN</v>
      </c>
      <c r="E10087" s="15" t="str">
        <f>IFERROR(__xludf.DUMMYFUNCTION("""COMPUTED_VALUE"""),"Puro Verde")</f>
        <v>Puro Verde</v>
      </c>
      <c r="F10087" s="17" t="str">
        <f>IFERROR(__xludf.DUMMYFUNCTION("""COMPUTED_VALUE"""),"CRA 16A # 77-23.  / LOCAL 4 / BARRIO LE LAGO")</f>
        <v>CRA 16A # 77-23.  / LOCAL 4 / BARRIO LE LAGO</v>
      </c>
      <c r="G10087" s="15" t="str">
        <f>IFERROR(__xludf.DUMMYFUNCTION("""COMPUTED_VALUE"""),"DANDO CUERDA")</f>
        <v>DANDO CUERDA</v>
      </c>
      <c r="H10087" s="16">
        <f>IFERROR(__xludf.DUMMYFUNCTION("""COMPUTED_VALUE"""),18741.0)</f>
        <v>18741</v>
      </c>
      <c r="I10087" s="18">
        <f>IFERROR(__xludf.DUMMYFUNCTION("""COMPUTED_VALUE"""),55.0)</f>
        <v>55</v>
      </c>
      <c r="J10087" s="18">
        <f>IFERROR(__xludf.DUMMYFUNCTION("""COMPUTED_VALUE"""),45.0)</f>
        <v>45</v>
      </c>
      <c r="K10087" s="18" t="str">
        <f>IFERROR(__xludf.DUMMYFUNCTION("""COMPUTED_VALUE"""),"52.5")</f>
        <v>52.5</v>
      </c>
      <c r="L10087" s="17">
        <f>IFERROR(__xludf.DUMMYFUNCTION("""COMPUTED_VALUE"""),3.163816691E9)</f>
        <v>3163816691</v>
      </c>
      <c r="M10087" s="17"/>
      <c r="N10087" s="17"/>
      <c r="O10087" s="17"/>
      <c r="P10087" s="17" t="b">
        <f>IFERROR(__xludf.DUMMYFUNCTION("""COMPUTED_VALUE"""),FALSE)</f>
        <v>0</v>
      </c>
      <c r="Q10087" s="20" t="str">
        <f>IFERROR(__xludf.DUMMYFUNCTION("""COMPUTED_VALUE"""),"")</f>
        <v/>
      </c>
      <c r="R10087" s="21" t="str">
        <f>IFERROR(__xludf.DUMMYFUNCTION("""COMPUTED_VALUE"""),"https://drive.google.com/file/d/1yKS35arNh6aSGVv0Ts6iq4hc1ByZaP_A/view?usp=drivesdk")</f>
        <v>https://drive.google.com/file/d/1yKS35arNh6aSGVv0Ts6iq4hc1ByZaP_A/view?usp=drivesdk</v>
      </c>
    </row>
    <row r="10088">
      <c r="A10088" s="15">
        <f>IFERROR(__xludf.DUMMYFUNCTION("""COMPUTED_VALUE"""),45287.0)</f>
        <v>45287</v>
      </c>
      <c r="B10088" s="16" t="str">
        <f>IFERROR(__xludf.DUMMYFUNCTION("""COMPUTED_VALUE"""),"Envia")</f>
        <v>Envia</v>
      </c>
      <c r="C10088" s="15" t="str">
        <f>IFERROR(__xludf.DUMMYFUNCTION("""COMPUTED_VALUE"""),"CALI")</f>
        <v>CALI</v>
      </c>
      <c r="D10088" s="15" t="str">
        <f>IFERROR(__xludf.DUMMYFUNCTION("""COMPUTED_VALUE"""),"BOGOTÁ")</f>
        <v>BOGOTÁ</v>
      </c>
      <c r="E10088" s="15" t="str">
        <f>IFERROR(__xludf.DUMMYFUNCTION("""COMPUTED_VALUE"""),"Grupo Hakim")</f>
        <v>Grupo Hakim</v>
      </c>
      <c r="F10088" s="17" t="str">
        <f>IFERROR(__xludf.DUMMYFUNCTION("""COMPUTED_VALUE"""),"Calle 27 norte # 6an -20 / Decoraciones Oly / Barrio Santa Monica")</f>
        <v>Calle 27 norte # 6an -20 / Decoraciones Oly / Barrio Santa Monica</v>
      </c>
      <c r="G10088" s="15" t="str">
        <f>IFERROR(__xludf.DUMMYFUNCTION("""COMPUTED_VALUE"""),"Denise Hakim")</f>
        <v>Denise Hakim</v>
      </c>
      <c r="H10088" s="16">
        <f>IFERROR(__xludf.DUMMYFUNCTION("""COMPUTED_VALUE"""),18803.0)</f>
        <v>18803</v>
      </c>
      <c r="I10088" s="18">
        <f>IFERROR(__xludf.DUMMYFUNCTION("""COMPUTED_VALUE"""),105.0)</f>
        <v>105</v>
      </c>
      <c r="J10088" s="18">
        <f>IFERROR(__xludf.DUMMYFUNCTION("""COMPUTED_VALUE"""),55.0)</f>
        <v>55</v>
      </c>
      <c r="K10088" s="18">
        <f>IFERROR(__xludf.DUMMYFUNCTION("""COMPUTED_VALUE"""),45.0)</f>
        <v>45</v>
      </c>
      <c r="L10088" s="17">
        <f>IFERROR(__xludf.DUMMYFUNCTION("""COMPUTED_VALUE"""),3.124797615E9)</f>
        <v>3124797615</v>
      </c>
      <c r="M10088" s="17"/>
      <c r="N10088" s="17"/>
      <c r="O10088" s="17"/>
      <c r="P10088" s="17" t="b">
        <f>IFERROR(__xludf.DUMMYFUNCTION("""COMPUTED_VALUE"""),FALSE)</f>
        <v>0</v>
      </c>
      <c r="Q10088" s="20" t="str">
        <f>IFERROR(__xludf.DUMMYFUNCTION("""COMPUTED_VALUE"""),"")</f>
        <v/>
      </c>
      <c r="R10088" s="21" t="str">
        <f>IFERROR(__xludf.DUMMYFUNCTION("""COMPUTED_VALUE"""),"https://drive.google.com/file/d/15ktnSyF5sBajwvFFkGQGQo_qfvYpK4PC/view?usp=drivesdk")</f>
        <v>https://drive.google.com/file/d/15ktnSyF5sBajwvFFkGQGQo_qfvYpK4PC/view?usp=drivesdk</v>
      </c>
    </row>
    <row r="10089">
      <c r="A10089" s="15">
        <f>IFERROR(__xludf.DUMMYFUNCTION("""COMPUTED_VALUE"""),45287.0)</f>
        <v>45287</v>
      </c>
      <c r="B10089" s="16" t="str">
        <f>IFERROR(__xludf.DUMMYFUNCTION("""COMPUTED_VALUE"""),"Envia")</f>
        <v>Envia</v>
      </c>
      <c r="C10089" s="15" t="str">
        <f>IFERROR(__xludf.DUMMYFUNCTION("""COMPUTED_VALUE"""),"CALI")</f>
        <v>CALI</v>
      </c>
      <c r="D10089" s="15" t="str">
        <f>IFERROR(__xludf.DUMMYFUNCTION("""COMPUTED_VALUE"""),"BOGOTÁ")</f>
        <v>BOGOTÁ</v>
      </c>
      <c r="E10089" s="15" t="str">
        <f>IFERROR(__xludf.DUMMYFUNCTION("""COMPUTED_VALUE"""),"Instinto alimento vital")</f>
        <v>Instinto alimento vital</v>
      </c>
      <c r="F10089" s="17" t="str">
        <f>IFERROR(__xludf.DUMMYFUNCTION("""COMPUTED_VALUE"""),"CL 33 #4C-23 / BARRIO PORVENIR")</f>
        <v>CL 33 #4C-23 / BARRIO PORVENIR</v>
      </c>
      <c r="G10089" s="15" t="str">
        <f>IFERROR(__xludf.DUMMYFUNCTION("""COMPUTED_VALUE"""),"NICOLAS OLAYA")</f>
        <v>NICOLAS OLAYA</v>
      </c>
      <c r="H10089" s="16">
        <f>IFERROR(__xludf.DUMMYFUNCTION("""COMPUTED_VALUE"""),18765.0)</f>
        <v>18765</v>
      </c>
      <c r="I10089" s="17"/>
      <c r="J10089" s="17"/>
      <c r="K10089" s="17"/>
      <c r="L10089" s="17">
        <f>IFERROR(__xludf.DUMMYFUNCTION("""COMPUTED_VALUE"""),3.006539011E9)</f>
        <v>3006539011</v>
      </c>
      <c r="M10089" s="17"/>
      <c r="N10089" s="17"/>
      <c r="O10089" s="17"/>
      <c r="P10089" s="17" t="b">
        <f>IFERROR(__xludf.DUMMYFUNCTION("""COMPUTED_VALUE"""),FALSE)</f>
        <v>0</v>
      </c>
      <c r="Q10089" s="20" t="str">
        <f>IFERROR(__xludf.DUMMYFUNCTION("""COMPUTED_VALUE"""),"")</f>
        <v/>
      </c>
      <c r="R10089" s="21" t="str">
        <f>IFERROR(__xludf.DUMMYFUNCTION("""COMPUTED_VALUE"""),"https://drive.google.com/file/d/1ZSRAh7sjKhZcPWbgpXT32nx37hKRTGmJ/view?usp=drivesdk")</f>
        <v>https://drive.google.com/file/d/1ZSRAh7sjKhZcPWbgpXT32nx37hKRTGmJ/view?usp=drivesdk</v>
      </c>
    </row>
    <row r="10090">
      <c r="A10090" s="15">
        <f>IFERROR(__xludf.DUMMYFUNCTION("""COMPUTED_VALUE"""),45287.0)</f>
        <v>45287</v>
      </c>
      <c r="B10090" s="16" t="str">
        <f>IFERROR(__xludf.DUMMYFUNCTION("""COMPUTED_VALUE"""),"Envia")</f>
        <v>Envia</v>
      </c>
      <c r="C10090" s="15" t="str">
        <f>IFERROR(__xludf.DUMMYFUNCTION("""COMPUTED_VALUE"""),"CARTAGENA")</f>
        <v>CARTAGENA</v>
      </c>
      <c r="D10090" s="15" t="str">
        <f>IFERROR(__xludf.DUMMYFUNCTION("""COMPUTED_VALUE"""),"BOGOTÁ")</f>
        <v>BOGOTÁ</v>
      </c>
      <c r="E10090" s="15" t="str">
        <f>IFERROR(__xludf.DUMMYFUNCTION("""COMPUTED_VALUE"""),"Hiiva Fermentados SAS")</f>
        <v>Hiiva Fermentados SAS</v>
      </c>
      <c r="F10090" s="17" t="str">
        <f>IFERROR(__xludf.DUMMYFUNCTION("""COMPUTED_VALUE"""),"Carrera 2 #9-161 / Salute Mercado Angélica Amaris")</f>
        <v>Carrera 2 #9-161 / Salute Mercado Angélica Amaris</v>
      </c>
      <c r="G10090" s="15" t="str">
        <f>IFERROR(__xludf.DUMMYFUNCTION("""COMPUTED_VALUE"""),"Cartagena - Salute")</f>
        <v>Cartagena - Salute</v>
      </c>
      <c r="H10090" s="16">
        <f>IFERROR(__xludf.DUMMYFUNCTION("""COMPUTED_VALUE"""),18752.0)</f>
        <v>18752</v>
      </c>
      <c r="I10090" s="17"/>
      <c r="J10090" s="17"/>
      <c r="K10090" s="17"/>
      <c r="L10090" s="17"/>
      <c r="M10090" s="17"/>
      <c r="N10090" s="17"/>
      <c r="O10090" s="17"/>
      <c r="P10090" s="17" t="b">
        <f>IFERROR(__xludf.DUMMYFUNCTION("""COMPUTED_VALUE"""),FALSE)</f>
        <v>0</v>
      </c>
      <c r="Q10090" s="20" t="str">
        <f>IFERROR(__xludf.DUMMYFUNCTION("""COMPUTED_VALUE"""),"")</f>
        <v/>
      </c>
      <c r="R10090" s="21" t="str">
        <f>IFERROR(__xludf.DUMMYFUNCTION("""COMPUTED_VALUE"""),"https://drive.google.com/file/d/1CYMXohM9X8AD69g7kdxiysxWbcGeMs5q/view?usp=drivesdk")</f>
        <v>https://drive.google.com/file/d/1CYMXohM9X8AD69g7kdxiysxWbcGeMs5q/view?usp=drivesdk</v>
      </c>
    </row>
    <row r="10091">
      <c r="A10091" s="15">
        <f>IFERROR(__xludf.DUMMYFUNCTION("""COMPUTED_VALUE"""),45287.0)</f>
        <v>45287</v>
      </c>
      <c r="B10091" s="16" t="str">
        <f>IFERROR(__xludf.DUMMYFUNCTION("""COMPUTED_VALUE"""),"Envia")</f>
        <v>Envia</v>
      </c>
      <c r="C10091" s="15" t="str">
        <f>IFERROR(__xludf.DUMMYFUNCTION("""COMPUTED_VALUE"""),"CARTAGENA")</f>
        <v>CARTAGENA</v>
      </c>
      <c r="D10091" s="15" t="str">
        <f>IFERROR(__xludf.DUMMYFUNCTION("""COMPUTED_VALUE"""),"BOGOTÁ")</f>
        <v>BOGOTÁ</v>
      </c>
      <c r="E10091" s="15" t="str">
        <f>IFERROR(__xludf.DUMMYFUNCTION("""COMPUTED_VALUE"""),"Premium Choice")</f>
        <v>Premium Choice</v>
      </c>
      <c r="F10091" s="17" t="str">
        <f>IFERROR(__xludf.DUMMYFUNCTION("""COMPUTED_VALUE"""),"Carrera 2 # 35 - 28  / Torre d p1 Apt 1  / Café del mar")</f>
        <v>Carrera 2 # 35 - 28  / Torre d p1 Apt 1  / Café del mar</v>
      </c>
      <c r="G10091" s="15" t="str">
        <f>IFERROR(__xludf.DUMMYFUNCTION("""COMPUTED_VALUE"""),"Café del mar")</f>
        <v>Café del mar</v>
      </c>
      <c r="H10091" s="16">
        <f>IFERROR(__xludf.DUMMYFUNCTION("""COMPUTED_VALUE"""),18757.0)</f>
        <v>18757</v>
      </c>
      <c r="I10091" s="18">
        <f>IFERROR(__xludf.DUMMYFUNCTION("""COMPUTED_VALUE"""),17.0)</f>
        <v>17</v>
      </c>
      <c r="J10091" s="18">
        <f>IFERROR(__xludf.DUMMYFUNCTION("""COMPUTED_VALUE"""),20.0)</f>
        <v>20</v>
      </c>
      <c r="K10091" s="18">
        <f>IFERROR(__xludf.DUMMYFUNCTION("""COMPUTED_VALUE"""),30.0)</f>
        <v>30</v>
      </c>
      <c r="L10091" s="17">
        <f>IFERROR(__xludf.DUMMYFUNCTION("""COMPUTED_VALUE"""),3.102170999E9)</f>
        <v>3102170999</v>
      </c>
      <c r="M10091" s="17"/>
      <c r="N10091" s="17"/>
      <c r="O10091" s="17"/>
      <c r="P10091" s="17" t="b">
        <f>IFERROR(__xludf.DUMMYFUNCTION("""COMPUTED_VALUE"""),FALSE)</f>
        <v>0</v>
      </c>
      <c r="Q10091" s="20" t="str">
        <f>IFERROR(__xludf.DUMMYFUNCTION("""COMPUTED_VALUE"""),"")</f>
        <v/>
      </c>
      <c r="R10091" s="21" t="str">
        <f>IFERROR(__xludf.DUMMYFUNCTION("""COMPUTED_VALUE"""),"https://drive.google.com/file/d/1VOVIlwYVNONFp2QpnYabDpENpIiuAMds/view?usp=drivesdk")</f>
        <v>https://drive.google.com/file/d/1VOVIlwYVNONFp2QpnYabDpENpIiuAMds/view?usp=drivesdk</v>
      </c>
    </row>
    <row r="10092">
      <c r="A10092" s="15">
        <f>IFERROR(__xludf.DUMMYFUNCTION("""COMPUTED_VALUE"""),45287.0)</f>
        <v>45287</v>
      </c>
      <c r="B10092" s="16" t="str">
        <f>IFERROR(__xludf.DUMMYFUNCTION("""COMPUTED_VALUE"""),"Envia")</f>
        <v>Envia</v>
      </c>
      <c r="C10092" s="15" t="str">
        <f>IFERROR(__xludf.DUMMYFUNCTION("""COMPUTED_VALUE"""),"IBAGUÉ")</f>
        <v>IBAGUÉ</v>
      </c>
      <c r="D10092" s="15" t="str">
        <f>IFERROR(__xludf.DUMMYFUNCTION("""COMPUTED_VALUE"""),"ENVIGADO")</f>
        <v>ENVIGADO</v>
      </c>
      <c r="E10092" s="15" t="str">
        <f>IFERROR(__xludf.DUMMYFUNCTION("""COMPUTED_VALUE"""),"RAMBLA")</f>
        <v>RAMBLA</v>
      </c>
      <c r="F10092" s="17" t="str">
        <f>IFERROR(__xludf.DUMMYFUNCTION("""COMPUTED_VALUE"""),"calle 67 #7-21 / Torre 2 apto 1508, torres de Barlovento")</f>
        <v>calle 67 #7-21 / Torre 2 apto 1508, torres de Barlovento</v>
      </c>
      <c r="G10092" s="15" t="str">
        <f>IFERROR(__xludf.DUMMYFUNCTION("""COMPUTED_VALUE"""),"Erika Leal Mejía")</f>
        <v>Erika Leal Mejía</v>
      </c>
      <c r="H10092" s="16">
        <f>IFERROR(__xludf.DUMMYFUNCTION("""COMPUTED_VALUE"""),18771.0)</f>
        <v>18771</v>
      </c>
      <c r="I10092" s="17"/>
      <c r="J10092" s="17"/>
      <c r="K10092" s="17"/>
      <c r="L10092" s="17"/>
      <c r="M10092" s="17"/>
      <c r="N10092" s="17"/>
      <c r="O10092" s="17"/>
      <c r="P10092" s="17" t="b">
        <f>IFERROR(__xludf.DUMMYFUNCTION("""COMPUTED_VALUE"""),FALSE)</f>
        <v>0</v>
      </c>
      <c r="Q10092" s="20" t="str">
        <f>IFERROR(__xludf.DUMMYFUNCTION("""COMPUTED_VALUE"""),"")</f>
        <v/>
      </c>
      <c r="R10092" s="21" t="str">
        <f>IFERROR(__xludf.DUMMYFUNCTION("""COMPUTED_VALUE"""),"https://drive.google.com/file/d/13A3y0GVxq-Q7-7ItLcG98k75CGwgB80G/view?usp=drivesdk")</f>
        <v>https://drive.google.com/file/d/13A3y0GVxq-Q7-7ItLcG98k75CGwgB80G/view?usp=drivesdk</v>
      </c>
    </row>
    <row r="10093">
      <c r="A10093" s="15">
        <f>IFERROR(__xludf.DUMMYFUNCTION("""COMPUTED_VALUE"""),45287.0)</f>
        <v>45287</v>
      </c>
      <c r="B10093" s="16" t="str">
        <f>IFERROR(__xludf.DUMMYFUNCTION("""COMPUTED_VALUE"""),"Envia")</f>
        <v>Envia</v>
      </c>
      <c r="C10093" s="15" t="str">
        <f>IFERROR(__xludf.DUMMYFUNCTION("""COMPUTED_VALUE"""),"MANIZALES")</f>
        <v>MANIZALES</v>
      </c>
      <c r="D10093" s="15" t="str">
        <f>IFERROR(__xludf.DUMMYFUNCTION("""COMPUTED_VALUE"""),"MEDELLÍN")</f>
        <v>MEDELLÍN</v>
      </c>
      <c r="E10093" s="15" t="str">
        <f>IFERROR(__xludf.DUMMYFUNCTION("""COMPUTED_VALUE"""),"Todo Bufala")</f>
        <v>Todo Bufala</v>
      </c>
      <c r="F10093" s="17" t="str">
        <f>IFERROR(__xludf.DUMMYFUNCTION("""COMPUTED_VALUE"""),"Calle 66 #23B - 211 / Edifico calle larga, local 5c")</f>
        <v>Calle 66 #23B - 211 / Edifico calle larga, local 5c</v>
      </c>
      <c r="G10093" s="15" t="str">
        <f>IFERROR(__xludf.DUMMYFUNCTION("""COMPUTED_VALUE"""),"Sebastian Perez Pineda")</f>
        <v>Sebastian Perez Pineda</v>
      </c>
      <c r="H10093" s="16">
        <f>IFERROR(__xludf.DUMMYFUNCTION("""COMPUTED_VALUE"""),18750.0)</f>
        <v>18750</v>
      </c>
      <c r="I10093" s="17"/>
      <c r="J10093" s="17"/>
      <c r="K10093" s="17"/>
      <c r="L10093" s="17">
        <f>IFERROR(__xludf.DUMMYFUNCTION("""COMPUTED_VALUE"""),3.106974621E9)</f>
        <v>3106974621</v>
      </c>
      <c r="M10093" s="17"/>
      <c r="N10093" s="17"/>
      <c r="O10093" s="17"/>
      <c r="P10093" s="17" t="b">
        <f>IFERROR(__xludf.DUMMYFUNCTION("""COMPUTED_VALUE"""),FALSE)</f>
        <v>0</v>
      </c>
      <c r="Q10093" s="20" t="str">
        <f>IFERROR(__xludf.DUMMYFUNCTION("""COMPUTED_VALUE"""),"")</f>
        <v/>
      </c>
      <c r="R10093" s="21" t="str">
        <f>IFERROR(__xludf.DUMMYFUNCTION("""COMPUTED_VALUE"""),"https://drive.google.com/file/d/1iAridaEOkADQ9VEe9m9LvG4aX-_4dElv/view?usp=drivesdk")</f>
        <v>https://drive.google.com/file/d/1iAridaEOkADQ9VEe9m9LvG4aX-_4dElv/view?usp=drivesdk</v>
      </c>
    </row>
    <row r="10094">
      <c r="A10094" s="15">
        <f>IFERROR(__xludf.DUMMYFUNCTION("""COMPUTED_VALUE"""),45287.0)</f>
        <v>45287</v>
      </c>
      <c r="B10094" s="16" t="str">
        <f>IFERROR(__xludf.DUMMYFUNCTION("""COMPUTED_VALUE"""),"Envia")</f>
        <v>Envia</v>
      </c>
      <c r="C10094" s="15" t="str">
        <f>IFERROR(__xludf.DUMMYFUNCTION("""COMPUTED_VALUE"""),"MEDELLÍN")</f>
        <v>MEDELLÍN</v>
      </c>
      <c r="D10094" s="15" t="str">
        <f>IFERROR(__xludf.DUMMYFUNCTION("""COMPUTED_VALUE"""),"BOGOTÁ")</f>
        <v>BOGOTÁ</v>
      </c>
      <c r="E10094" s="15" t="str">
        <f>IFERROR(__xludf.DUMMYFUNCTION("""COMPUTED_VALUE"""),"Instinto alimento vital")</f>
        <v>Instinto alimento vital</v>
      </c>
      <c r="F10094" s="17" t="str">
        <f>IFERROR(__xludf.DUMMYFUNCTION("""COMPUTED_VALUE"""),"Calle 45 # 79-26 / Dos cuadras abajo de la Lázaro de la América")</f>
        <v>Calle 45 # 79-26 / Dos cuadras abajo de la Lázaro de la América</v>
      </c>
      <c r="G10094" s="15" t="str">
        <f>IFERROR(__xludf.DUMMYFUNCTION("""COMPUTED_VALUE"""),"MADO EXPRESS // JAIME ANDRES BLANDON LOPEZ,")</f>
        <v>MADO EXPRESS // JAIME ANDRES BLANDON LOPEZ,</v>
      </c>
      <c r="H10094" s="16">
        <f>IFERROR(__xludf.DUMMYFUNCTION("""COMPUTED_VALUE"""),18766.0)</f>
        <v>18766</v>
      </c>
      <c r="I10094" s="17"/>
      <c r="J10094" s="17"/>
      <c r="K10094" s="17"/>
      <c r="L10094" s="17">
        <f>IFERROR(__xludf.DUMMYFUNCTION("""COMPUTED_VALUE"""),3.002842264E9)</f>
        <v>3002842264</v>
      </c>
      <c r="M10094" s="17"/>
      <c r="N10094" s="17"/>
      <c r="O10094" s="17"/>
      <c r="P10094" s="17" t="b">
        <f>IFERROR(__xludf.DUMMYFUNCTION("""COMPUTED_VALUE"""),FALSE)</f>
        <v>0</v>
      </c>
      <c r="Q10094" s="20" t="str">
        <f>IFERROR(__xludf.DUMMYFUNCTION("""COMPUTED_VALUE"""),"")</f>
        <v/>
      </c>
      <c r="R10094" s="21" t="str">
        <f>IFERROR(__xludf.DUMMYFUNCTION("""COMPUTED_VALUE"""),"https://drive.google.com/file/d/1O2vzrbA6n0qGeLzx0YP2sC4qPj_IGv0Q/view?usp=drivesdk")</f>
        <v>https://drive.google.com/file/d/1O2vzrbA6n0qGeLzx0YP2sC4qPj_IGv0Q/view?usp=drivesdk</v>
      </c>
    </row>
    <row r="10095">
      <c r="A10095" s="15">
        <f>IFERROR(__xludf.DUMMYFUNCTION("""COMPUTED_VALUE"""),45287.0)</f>
        <v>45287</v>
      </c>
      <c r="B10095" s="16" t="str">
        <f>IFERROR(__xludf.DUMMYFUNCTION("""COMPUTED_VALUE"""),"Envia")</f>
        <v>Envia</v>
      </c>
      <c r="C10095" s="15" t="str">
        <f>IFERROR(__xludf.DUMMYFUNCTION("""COMPUTED_VALUE"""),"MEDELLÍN")</f>
        <v>MEDELLÍN</v>
      </c>
      <c r="D10095" s="15" t="str">
        <f>IFERROR(__xludf.DUMMYFUNCTION("""COMPUTED_VALUE"""),"BOGOTÁ")</f>
        <v>BOGOTÁ</v>
      </c>
      <c r="E10095" s="15" t="str">
        <f>IFERROR(__xludf.DUMMYFUNCTION("""COMPUTED_VALUE"""),"MAI ALIMENTOS REALES")</f>
        <v>MAI ALIMENTOS REALES</v>
      </c>
      <c r="F10095" s="17" t="str">
        <f>IFERROR(__xludf.DUMMYFUNCTION("""COMPUTED_VALUE"""),"Carrera 42 # 75 – 367 / Novaventa, Bodega 111- 112, Centro Industrial del Sur. Bodega 111- 112. Itagui, Antioquia,")</f>
        <v>Carrera 42 # 75 – 367 / Novaventa, Bodega 111- 112, Centro Industrial del Sur. Bodega 111- 112. Itagui, Antioquia,</v>
      </c>
      <c r="G10095" s="15" t="str">
        <f>IFERROR(__xludf.DUMMYFUNCTION("""COMPUTED_VALUE"""),"Novaventas")</f>
        <v>Novaventas</v>
      </c>
      <c r="H10095" s="16">
        <f>IFERROR(__xludf.DUMMYFUNCTION("""COMPUTED_VALUE"""),18725.0)</f>
        <v>18725</v>
      </c>
      <c r="I10095" s="17"/>
      <c r="J10095" s="17"/>
      <c r="K10095" s="17"/>
      <c r="L10095" s="17">
        <f>IFERROR(__xludf.DUMMYFUNCTION("""COMPUTED_VALUE"""),3.187351593E9)</f>
        <v>3187351593</v>
      </c>
      <c r="M10095" s="17"/>
      <c r="N10095" s="17"/>
      <c r="O10095" s="17"/>
      <c r="P10095" s="17" t="b">
        <f>IFERROR(__xludf.DUMMYFUNCTION("""COMPUTED_VALUE"""),FALSE)</f>
        <v>0</v>
      </c>
      <c r="Q10095" s="20" t="str">
        <f>IFERROR(__xludf.DUMMYFUNCTION("""COMPUTED_VALUE"""),"")</f>
        <v/>
      </c>
      <c r="R10095" s="21" t="str">
        <f>IFERROR(__xludf.DUMMYFUNCTION("""COMPUTED_VALUE"""),"https://drive.google.com/file/d/1zfqpPZfTCllFtZcVxCDDKU9NjTX2UspH/view?usp=drivesdk")</f>
        <v>https://drive.google.com/file/d/1zfqpPZfTCllFtZcVxCDDKU9NjTX2UspH/view?usp=drivesdk</v>
      </c>
    </row>
    <row r="10096">
      <c r="A10096" s="15">
        <f>IFERROR(__xludf.DUMMYFUNCTION("""COMPUTED_VALUE"""),45287.0)</f>
        <v>45287</v>
      </c>
      <c r="B10096" s="16" t="str">
        <f>IFERROR(__xludf.DUMMYFUNCTION("""COMPUTED_VALUE"""),"Envia")</f>
        <v>Envia</v>
      </c>
      <c r="C10096" s="15" t="str">
        <f>IFERROR(__xludf.DUMMYFUNCTION("""COMPUTED_VALUE"""),"MEDELLÍN")</f>
        <v>MEDELLÍN</v>
      </c>
      <c r="D10096" s="15" t="str">
        <f>IFERROR(__xludf.DUMMYFUNCTION("""COMPUTED_VALUE"""),"BOGOTÁ")</f>
        <v>BOGOTÁ</v>
      </c>
      <c r="E10096" s="15" t="str">
        <f>IFERROR(__xludf.DUMMYFUNCTION("""COMPUTED_VALUE"""),"Orso")</f>
        <v>Orso</v>
      </c>
      <c r="F10096" s="17" t="str">
        <f>IFERROR(__xludf.DUMMYFUNCTION("""COMPUTED_VALUE"""),"Calle 01 # 29-354, Medellin. / RAPPI TURBO MEDELLIN  / TESORO")</f>
        <v>Calle 01 # 29-354, Medellin. / RAPPI TURBO MEDELLIN  / TESORO</v>
      </c>
      <c r="G10096" s="15" t="str">
        <f>IFERROR(__xludf.DUMMYFUNCTION("""COMPUTED_VALUE"""),"RAPPI TURBO MEDELLIN")</f>
        <v>RAPPI TURBO MEDELLIN</v>
      </c>
      <c r="H10096" s="16">
        <f>IFERROR(__xludf.DUMMYFUNCTION("""COMPUTED_VALUE"""),18633.0)</f>
        <v>18633</v>
      </c>
      <c r="I10096" s="18">
        <f>IFERROR(__xludf.DUMMYFUNCTION("""COMPUTED_VALUE"""),1.0)</f>
        <v>1</v>
      </c>
      <c r="J10096" s="18">
        <f>IFERROR(__xludf.DUMMYFUNCTION("""COMPUTED_VALUE"""),1.0)</f>
        <v>1</v>
      </c>
      <c r="K10096" s="18">
        <f>IFERROR(__xludf.DUMMYFUNCTION("""COMPUTED_VALUE"""),1.0)</f>
        <v>1</v>
      </c>
      <c r="L10096" s="17">
        <f>IFERROR(__xludf.DUMMYFUNCTION("""COMPUTED_VALUE"""),3.012888007E9)</f>
        <v>3012888007</v>
      </c>
      <c r="M10096" s="17"/>
      <c r="N10096" s="17"/>
      <c r="O10096" s="17"/>
      <c r="P10096" s="17" t="b">
        <f>IFERROR(__xludf.DUMMYFUNCTION("""COMPUTED_VALUE"""),FALSE)</f>
        <v>0</v>
      </c>
      <c r="Q10096" s="20" t="str">
        <f>IFERROR(__xludf.DUMMYFUNCTION("""COMPUTED_VALUE"""),"")</f>
        <v/>
      </c>
      <c r="R10096" s="21" t="str">
        <f>IFERROR(__xludf.DUMMYFUNCTION("""COMPUTED_VALUE"""),"https://drive.google.com/file/d/1M0pgzuelqraEjGkJN0N6gPSrnwvhiZ6d/view?usp=drivesdk")</f>
        <v>https://drive.google.com/file/d/1M0pgzuelqraEjGkJN0N6gPSrnwvhiZ6d/view?usp=drivesdk</v>
      </c>
    </row>
    <row r="10097">
      <c r="A10097" s="15">
        <f>IFERROR(__xludf.DUMMYFUNCTION("""COMPUTED_VALUE"""),45287.0)</f>
        <v>45287</v>
      </c>
      <c r="B10097" s="16" t="str">
        <f>IFERROR(__xludf.DUMMYFUNCTION("""COMPUTED_VALUE"""),"Envia")</f>
        <v>Envia</v>
      </c>
      <c r="C10097" s="15" t="str">
        <f>IFERROR(__xludf.DUMMYFUNCTION("""COMPUTED_VALUE"""),"MEDELLÍN")</f>
        <v>MEDELLÍN</v>
      </c>
      <c r="D10097" s="15" t="str">
        <f>IFERROR(__xludf.DUMMYFUNCTION("""COMPUTED_VALUE"""),"BOGOTÁ")</f>
        <v>BOGOTÁ</v>
      </c>
      <c r="E10097" s="15" t="str">
        <f>IFERROR(__xludf.DUMMYFUNCTION("""COMPUTED_VALUE"""),"Orso")</f>
        <v>Orso</v>
      </c>
      <c r="F10097" s="17" t="str">
        <f>IFERROR(__xludf.DUMMYFUNCTION("""COMPUTED_VALUE"""),"Cra. 27 #23 Sur-120, San Jorge, Envigado, Antioquia / EDIFICIO / LA FRONTERA")</f>
        <v>Cra. 27 #23 Sur-120, San Jorge, Envigado, Antioquia / EDIFICIO / LA FRONTERA</v>
      </c>
      <c r="G10097" s="15" t="str">
        <f>IFERROR(__xludf.DUMMYFUNCTION("""COMPUTED_VALUE"""),"RAPPI TURBO MEDELLIN")</f>
        <v>RAPPI TURBO MEDELLIN</v>
      </c>
      <c r="H10097" s="16">
        <f>IFERROR(__xludf.DUMMYFUNCTION("""COMPUTED_VALUE"""),18634.0)</f>
        <v>18634</v>
      </c>
      <c r="I10097" s="18">
        <f>IFERROR(__xludf.DUMMYFUNCTION("""COMPUTED_VALUE"""),1.0)</f>
        <v>1</v>
      </c>
      <c r="J10097" s="18">
        <f>IFERROR(__xludf.DUMMYFUNCTION("""COMPUTED_VALUE"""),1.0)</f>
        <v>1</v>
      </c>
      <c r="K10097" s="18">
        <f>IFERROR(__xludf.DUMMYFUNCTION("""COMPUTED_VALUE"""),1.0)</f>
        <v>1</v>
      </c>
      <c r="L10097" s="17">
        <f>IFERROR(__xludf.DUMMYFUNCTION("""COMPUTED_VALUE"""),3.012888007E9)</f>
        <v>3012888007</v>
      </c>
      <c r="M10097" s="17"/>
      <c r="N10097" s="17"/>
      <c r="O10097" s="17"/>
      <c r="P10097" s="17" t="b">
        <f>IFERROR(__xludf.DUMMYFUNCTION("""COMPUTED_VALUE"""),FALSE)</f>
        <v>0</v>
      </c>
      <c r="Q10097" s="20" t="str">
        <f>IFERROR(__xludf.DUMMYFUNCTION("""COMPUTED_VALUE"""),"")</f>
        <v/>
      </c>
      <c r="R10097" s="21" t="str">
        <f>IFERROR(__xludf.DUMMYFUNCTION("""COMPUTED_VALUE"""),"https://drive.google.com/file/d/1FKmqL5XuT4nq3_tbE4Jy0ciGegp-ioVz/view?usp=drivesdk")</f>
        <v>https://drive.google.com/file/d/1FKmqL5XuT4nq3_tbE4Jy0ciGegp-ioVz/view?usp=drivesdk</v>
      </c>
    </row>
    <row r="10098">
      <c r="A10098" s="15">
        <f>IFERROR(__xludf.DUMMYFUNCTION("""COMPUTED_VALUE"""),45287.0)</f>
        <v>45287</v>
      </c>
      <c r="B10098" s="16" t="str">
        <f>IFERROR(__xludf.DUMMYFUNCTION("""COMPUTED_VALUE"""),"Envia")</f>
        <v>Envia</v>
      </c>
      <c r="C10098" s="15" t="str">
        <f>IFERROR(__xludf.DUMMYFUNCTION("""COMPUTED_VALUE"""),"MEDELLÍN")</f>
        <v>MEDELLÍN</v>
      </c>
      <c r="D10098" s="15" t="str">
        <f>IFERROR(__xludf.DUMMYFUNCTION("""COMPUTED_VALUE"""),"BOGOTÁ")</f>
        <v>BOGOTÁ</v>
      </c>
      <c r="E10098" s="15" t="str">
        <f>IFERROR(__xludf.DUMMYFUNCTION("""COMPUTED_VALUE"""),"PAN DE WAFFLE")</f>
        <v>PAN DE WAFFLE</v>
      </c>
      <c r="F10098" s="17" t="str">
        <f>IFERROR(__xludf.DUMMYFUNCTION("""COMPUTED_VALUE"""),"Transveral 39b # 77 - 40 Laureles / Transveral 39b # 77 - 40 Laureles")</f>
        <v>Transveral 39b # 77 - 40 Laureles / Transveral 39b # 77 - 40 Laureles</v>
      </c>
      <c r="G10098" s="15" t="str">
        <f>IFERROR(__xludf.DUMMYFUNCTION("""COMPUTED_VALUE"""),"VITA INTEGRAL")</f>
        <v>VITA INTEGRAL</v>
      </c>
      <c r="H10098" s="16">
        <f>IFERROR(__xludf.DUMMYFUNCTION("""COMPUTED_VALUE"""),18606.0)</f>
        <v>18606</v>
      </c>
      <c r="I10098" s="17"/>
      <c r="J10098" s="17"/>
      <c r="K10098" s="17"/>
      <c r="L10098" s="17"/>
      <c r="M10098" s="17"/>
      <c r="N10098" s="17"/>
      <c r="O10098" s="17"/>
      <c r="P10098" s="17" t="b">
        <f>IFERROR(__xludf.DUMMYFUNCTION("""COMPUTED_VALUE"""),FALSE)</f>
        <v>0</v>
      </c>
      <c r="Q10098" s="20" t="str">
        <f>IFERROR(__xludf.DUMMYFUNCTION("""COMPUTED_VALUE"""),"")</f>
        <v/>
      </c>
      <c r="R10098" s="21" t="str">
        <f>IFERROR(__xludf.DUMMYFUNCTION("""COMPUTED_VALUE"""),"https://drive.google.com/file/d/1pdft2KfzZjXS48Qt77Q7K1gI9X_Lrqfd/view?usp=drivesdk")</f>
        <v>https://drive.google.com/file/d/1pdft2KfzZjXS48Qt77Q7K1gI9X_Lrqfd/view?usp=drivesdk</v>
      </c>
    </row>
    <row r="10099">
      <c r="A10099" s="15">
        <f>IFERROR(__xludf.DUMMYFUNCTION("""COMPUTED_VALUE"""),45287.0)</f>
        <v>45287</v>
      </c>
      <c r="B10099" s="16" t="str">
        <f>IFERROR(__xludf.DUMMYFUNCTION("""COMPUTED_VALUE"""),"Envia")</f>
        <v>Envia</v>
      </c>
      <c r="C10099" s="15" t="str">
        <f>IFERROR(__xludf.DUMMYFUNCTION("""COMPUTED_VALUE"""),"PEREIRA")</f>
        <v>PEREIRA</v>
      </c>
      <c r="D10099" s="15" t="str">
        <f>IFERROR(__xludf.DUMMYFUNCTION("""COMPUTED_VALUE"""),"BOGOTÁ")</f>
        <v>BOGOTÁ</v>
      </c>
      <c r="E10099" s="15" t="str">
        <f>IFERROR(__xludf.DUMMYFUNCTION("""COMPUTED_VALUE"""),"Athenas")</f>
        <v>Athenas</v>
      </c>
      <c r="F10099" s="17" t="str">
        <f>IFERROR(__xludf.DUMMYFUNCTION("""COMPUTED_VALUE"""),"Carrera 16 #43 centro comercial El progreso local 208 / Bodytech Cafeteria / Dosquebradas Risaralda")</f>
        <v>Carrera 16 #43 centro comercial El progreso local 208 / Bodytech Cafeteria / Dosquebradas Risaralda</v>
      </c>
      <c r="G10099" s="15" t="str">
        <f>IFERROR(__xludf.DUMMYFUNCTION("""COMPUTED_VALUE"""),"Adriana Castro")</f>
        <v>Adriana Castro</v>
      </c>
      <c r="H10099" s="16">
        <f>IFERROR(__xludf.DUMMYFUNCTION("""COMPUTED_VALUE"""),18802.0)</f>
        <v>18802</v>
      </c>
      <c r="I10099" s="18">
        <f>IFERROR(__xludf.DUMMYFUNCTION("""COMPUTED_VALUE"""),50.0)</f>
        <v>50</v>
      </c>
      <c r="J10099" s="18">
        <f>IFERROR(__xludf.DUMMYFUNCTION("""COMPUTED_VALUE"""),30.0)</f>
        <v>30</v>
      </c>
      <c r="K10099" s="18">
        <f>IFERROR(__xludf.DUMMYFUNCTION("""COMPUTED_VALUE"""),21.0)</f>
        <v>21</v>
      </c>
      <c r="L10099" s="17">
        <f>IFERROR(__xludf.DUMMYFUNCTION("""COMPUTED_VALUE"""),3.104011367E9)</f>
        <v>3104011367</v>
      </c>
      <c r="M10099" s="17"/>
      <c r="N10099" s="17"/>
      <c r="O10099" s="17"/>
      <c r="P10099" s="17" t="b">
        <f>IFERROR(__xludf.DUMMYFUNCTION("""COMPUTED_VALUE"""),FALSE)</f>
        <v>0</v>
      </c>
      <c r="Q10099" s="20" t="str">
        <f>IFERROR(__xludf.DUMMYFUNCTION("""COMPUTED_VALUE"""),"")</f>
        <v/>
      </c>
      <c r="R10099" s="21" t="str">
        <f>IFERROR(__xludf.DUMMYFUNCTION("""COMPUTED_VALUE"""),"https://drive.google.com/file/d/1vJyFFgWy7ilcyO-_0NfB3Y1OHXfBCsAZ/view?usp=drivesdk")</f>
        <v>https://drive.google.com/file/d/1vJyFFgWy7ilcyO-_0NfB3Y1OHXfBCsAZ/view?usp=drivesdk</v>
      </c>
    </row>
    <row r="10100">
      <c r="A10100" s="15">
        <f>IFERROR(__xludf.DUMMYFUNCTION("""COMPUTED_VALUE"""),45287.0)</f>
        <v>45287</v>
      </c>
      <c r="B10100" s="16" t="str">
        <f>IFERROR(__xludf.DUMMYFUNCTION("""COMPUTED_VALUE"""),"Envia")</f>
        <v>Envia</v>
      </c>
      <c r="C10100" s="15" t="str">
        <f>IFERROR(__xludf.DUMMYFUNCTION("""COMPUTED_VALUE"""),"PEREIRA")</f>
        <v>PEREIRA</v>
      </c>
      <c r="D10100" s="15" t="str">
        <f>IFERROR(__xludf.DUMMYFUNCTION("""COMPUTED_VALUE"""),"BOGOTÁ")</f>
        <v>BOGOTÁ</v>
      </c>
      <c r="E10100" s="15" t="str">
        <f>IFERROR(__xludf.DUMMYFUNCTION("""COMPUTED_VALUE"""),"Instinto alimento vital")</f>
        <v>Instinto alimento vital</v>
      </c>
      <c r="F10100" s="17" t="str">
        <f>IFERROR(__xludf.DUMMYFUNCTION("""COMPUTED_VALUE"""),"CRA 5 # 18 - 43 / MERCANCIA REQUIERE CONGELACION - CONTACTO CON MOISES")</f>
        <v>CRA 5 # 18 - 43 / MERCANCIA REQUIERE CONGELACION - CONTACTO CON MOISES</v>
      </c>
      <c r="G10100" s="15" t="str">
        <f>IFERROR(__xludf.DUMMYFUNCTION("""COMPUTED_VALUE"""),"BODEGA PEREIRA")</f>
        <v>BODEGA PEREIRA</v>
      </c>
      <c r="H10100" s="16">
        <f>IFERROR(__xludf.DUMMYFUNCTION("""COMPUTED_VALUE"""),18767.0)</f>
        <v>18767</v>
      </c>
      <c r="I10100" s="17"/>
      <c r="J10100" s="17"/>
      <c r="K10100" s="17"/>
      <c r="L10100" s="17">
        <f>IFERROR(__xludf.DUMMYFUNCTION("""COMPUTED_VALUE"""),3.008252529E9)</f>
        <v>3008252529</v>
      </c>
      <c r="M10100" s="17"/>
      <c r="N10100" s="17"/>
      <c r="O10100" s="17"/>
      <c r="P10100" s="17" t="b">
        <f>IFERROR(__xludf.DUMMYFUNCTION("""COMPUTED_VALUE"""),FALSE)</f>
        <v>0</v>
      </c>
      <c r="Q10100" s="20" t="str">
        <f>IFERROR(__xludf.DUMMYFUNCTION("""COMPUTED_VALUE"""),"")</f>
        <v/>
      </c>
      <c r="R10100" s="21" t="str">
        <f>IFERROR(__xludf.DUMMYFUNCTION("""COMPUTED_VALUE"""),"https://drive.google.com/file/d/1pPX3xmUhPS8lWoq4Z-GnNGbbrFlTE3bl/view?usp=drivesdk")</f>
        <v>https://drive.google.com/file/d/1pPX3xmUhPS8lWoq4Z-GnNGbbrFlTE3bl/view?usp=drivesdk</v>
      </c>
    </row>
    <row r="10101">
      <c r="A10101" s="15">
        <f>IFERROR(__xludf.DUMMYFUNCTION("""COMPUTED_VALUE"""),45287.0)</f>
        <v>45287</v>
      </c>
      <c r="B10101" s="16" t="str">
        <f>IFERROR(__xludf.DUMMYFUNCTION("""COMPUTED_VALUE"""),"Envia")</f>
        <v>Envia</v>
      </c>
      <c r="C10101" s="15" t="str">
        <f>IFERROR(__xludf.DUMMYFUNCTION("""COMPUTED_VALUE"""),"PEREIRA")</f>
        <v>PEREIRA</v>
      </c>
      <c r="D10101" s="15" t="str">
        <f>IFERROR(__xludf.DUMMYFUNCTION("""COMPUTED_VALUE"""),"BOGOTÁ")</f>
        <v>BOGOTÁ</v>
      </c>
      <c r="E10101" s="15" t="str">
        <f>IFERROR(__xludf.DUMMYFUNCTION("""COMPUTED_VALUE"""),"MAI ALIMENTOS REALES")</f>
        <v>MAI ALIMENTOS REALES</v>
      </c>
      <c r="F10101" s="17" t="str">
        <f>IFERROR(__xludf.DUMMYFUNCTION("""COMPUTED_VALUE"""),"Carrera 8 #14-132 / Bodega 2 Multicentro Macarena, Dosquebrabas")</f>
        <v>Carrera 8 #14-132 / Bodega 2 Multicentro Macarena, Dosquebrabas</v>
      </c>
      <c r="G10101" s="15" t="str">
        <f>IFERROR(__xludf.DUMMYFUNCTION("""COMPUTED_VALUE"""),"NOVAVENTAS PERERIA")</f>
        <v>NOVAVENTAS PERERIA</v>
      </c>
      <c r="H10101" s="16">
        <f>IFERROR(__xludf.DUMMYFUNCTION("""COMPUTED_VALUE"""),18726.0)</f>
        <v>18726</v>
      </c>
      <c r="I10101" s="17"/>
      <c r="J10101" s="17"/>
      <c r="K10101" s="17"/>
      <c r="L10101" s="17">
        <f>IFERROR(__xludf.DUMMYFUNCTION("""COMPUTED_VALUE"""),3.136760965E9)</f>
        <v>3136760965</v>
      </c>
      <c r="M10101" s="17"/>
      <c r="N10101" s="17"/>
      <c r="O10101" s="17"/>
      <c r="P10101" s="17" t="b">
        <f>IFERROR(__xludf.DUMMYFUNCTION("""COMPUTED_VALUE"""),FALSE)</f>
        <v>0</v>
      </c>
      <c r="Q10101" s="20" t="str">
        <f>IFERROR(__xludf.DUMMYFUNCTION("""COMPUTED_VALUE"""),"")</f>
        <v/>
      </c>
      <c r="R10101" s="21" t="str">
        <f>IFERROR(__xludf.DUMMYFUNCTION("""COMPUTED_VALUE"""),"https://drive.google.com/file/d/12Kq_iPxhIPb798kxyuvsCwlSuTS_5zes/view?usp=drivesdk")</f>
        <v>https://drive.google.com/file/d/12Kq_iPxhIPb798kxyuvsCwlSuTS_5zes/view?usp=drivesdk</v>
      </c>
    </row>
    <row r="10102">
      <c r="A10102" s="15">
        <f>IFERROR(__xludf.DUMMYFUNCTION("""COMPUTED_VALUE"""),45287.0)</f>
        <v>45287</v>
      </c>
      <c r="B10102" s="16" t="str">
        <f>IFERROR(__xludf.DUMMYFUNCTION("""COMPUTED_VALUE"""),"Envia")</f>
        <v>Envia</v>
      </c>
      <c r="C10102" s="15" t="str">
        <f>IFERROR(__xludf.DUMMYFUNCTION("""COMPUTED_VALUE"""),"PEREIRA")</f>
        <v>PEREIRA</v>
      </c>
      <c r="D10102" s="15" t="str">
        <f>IFERROR(__xludf.DUMMYFUNCTION("""COMPUTED_VALUE"""),"BOGOTÁ")</f>
        <v>BOGOTÁ</v>
      </c>
      <c r="E10102" s="15" t="str">
        <f>IFERROR(__xludf.DUMMYFUNCTION("""COMPUTED_VALUE"""),"PAN DE WAFFLE")</f>
        <v>PAN DE WAFFLE</v>
      </c>
      <c r="F10102" s="17" t="str">
        <f>IFERROR(__xludf.DUMMYFUNCTION("""COMPUTED_VALUE"""),"Carrera 14 # 12 - 55")</f>
        <v>Carrera 14 # 12 - 55</v>
      </c>
      <c r="G10102" s="15" t="str">
        <f>IFERROR(__xludf.DUMMYFUNCTION("""COMPUTED_VALUE"""),"VITA ECO MARKET")</f>
        <v>VITA ECO MARKET</v>
      </c>
      <c r="H10102" s="16">
        <f>IFERROR(__xludf.DUMMYFUNCTION("""COMPUTED_VALUE"""),18735.0)</f>
        <v>18735</v>
      </c>
      <c r="I10102" s="17"/>
      <c r="J10102" s="17"/>
      <c r="K10102" s="17"/>
      <c r="L10102" s="17">
        <f>IFERROR(__xludf.DUMMYFUNCTION("""COMPUTED_VALUE"""),3.215501948E9)</f>
        <v>3215501948</v>
      </c>
      <c r="M10102" s="17"/>
      <c r="N10102" s="17"/>
      <c r="O10102" s="17"/>
      <c r="P10102" s="17" t="b">
        <f>IFERROR(__xludf.DUMMYFUNCTION("""COMPUTED_VALUE"""),FALSE)</f>
        <v>0</v>
      </c>
      <c r="Q10102" s="20" t="str">
        <f>IFERROR(__xludf.DUMMYFUNCTION("""COMPUTED_VALUE"""),"")</f>
        <v/>
      </c>
      <c r="R10102" s="21" t="str">
        <f>IFERROR(__xludf.DUMMYFUNCTION("""COMPUTED_VALUE"""),"https://drive.google.com/file/d/1cjy4XWVmeW6NLDKVjA4gbNv_VAIOUpSd/view?usp=drivesdk")</f>
        <v>https://drive.google.com/file/d/1cjy4XWVmeW6NLDKVjA4gbNv_VAIOUpSd/view?usp=drivesdk</v>
      </c>
    </row>
    <row r="10103">
      <c r="A10103" s="15">
        <f>IFERROR(__xludf.DUMMYFUNCTION("""COMPUTED_VALUE"""),45287.0)</f>
        <v>45287</v>
      </c>
      <c r="B10103" s="16" t="str">
        <f>IFERROR(__xludf.DUMMYFUNCTION("""COMPUTED_VALUE"""),"Envia")</f>
        <v>Envia</v>
      </c>
      <c r="C10103" s="15" t="str">
        <f>IFERROR(__xludf.DUMMYFUNCTION("""COMPUTED_VALUE"""),"TUNJA")</f>
        <v>TUNJA</v>
      </c>
      <c r="D10103" s="15" t="str">
        <f>IFERROR(__xludf.DUMMYFUNCTION("""COMPUTED_VALUE"""),"MEDELLÍN")</f>
        <v>MEDELLÍN</v>
      </c>
      <c r="E10103" s="15" t="str">
        <f>IFERROR(__xludf.DUMMYFUNCTION("""COMPUTED_VALUE"""),"Baby Chef")</f>
        <v>Baby Chef</v>
      </c>
      <c r="F10103" s="17" t="str">
        <f>IFERROR(__xludf.DUMMYFUNCTION("""COMPUTED_VALUE"""),"Calle 19#9-39 edificio lotería de Boyacá primer piso local foto digital Tunja centro / . / .")</f>
        <v>Calle 19#9-39 edificio lotería de Boyacá primer piso local foto digital Tunja centro / . / .</v>
      </c>
      <c r="G10103" s="15" t="str">
        <f>IFERROR(__xludf.DUMMYFUNCTION("""COMPUTED_VALUE"""),"Yenny parada")</f>
        <v>Yenny parada</v>
      </c>
      <c r="H10103" s="16">
        <f>IFERROR(__xludf.DUMMYFUNCTION("""COMPUTED_VALUE"""),18723.0)</f>
        <v>18723</v>
      </c>
      <c r="I10103" s="18">
        <f>IFERROR(__xludf.DUMMYFUNCTION("""COMPUTED_VALUE"""),10.0)</f>
        <v>10</v>
      </c>
      <c r="J10103" s="18">
        <f>IFERROR(__xludf.DUMMYFUNCTION("""COMPUTED_VALUE"""),22.0)</f>
        <v>22</v>
      </c>
      <c r="K10103" s="18">
        <f>IFERROR(__xludf.DUMMYFUNCTION("""COMPUTED_VALUE"""),36.0)</f>
        <v>36</v>
      </c>
      <c r="L10103" s="17">
        <f>IFERROR(__xludf.DUMMYFUNCTION("""COMPUTED_VALUE"""),3.106729313E9)</f>
        <v>3106729313</v>
      </c>
      <c r="M10103" s="17"/>
      <c r="N10103" s="17"/>
      <c r="O10103" s="17"/>
      <c r="P10103" s="17" t="b">
        <f>IFERROR(__xludf.DUMMYFUNCTION("""COMPUTED_VALUE"""),FALSE)</f>
        <v>0</v>
      </c>
      <c r="Q10103" s="20" t="str">
        <f>IFERROR(__xludf.DUMMYFUNCTION("""COMPUTED_VALUE"""),"")</f>
        <v/>
      </c>
      <c r="R10103" s="21" t="str">
        <f>IFERROR(__xludf.DUMMYFUNCTION("""COMPUTED_VALUE"""),"https://drive.google.com/file/d/1M1Cr1s5a0imwhmPBaXCLdcZ3FMp0-Itj/view?usp=drivesdk")</f>
        <v>https://drive.google.com/file/d/1M1Cr1s5a0imwhmPBaXCLdcZ3FMp0-Itj/view?usp=drivesdk</v>
      </c>
    </row>
    <row r="10104">
      <c r="A10104" s="15">
        <f>IFERROR(__xludf.DUMMYFUNCTION("""COMPUTED_VALUE"""),45287.0)</f>
        <v>45287</v>
      </c>
      <c r="B10104" s="16" t="str">
        <f>IFERROR(__xludf.DUMMYFUNCTION("""COMPUTED_VALUE"""),"Envia")</f>
        <v>Envia</v>
      </c>
      <c r="C10104" s="15" t="str">
        <f>IFERROR(__xludf.DUMMYFUNCTION("""COMPUTED_VALUE"""),"YUMBO")</f>
        <v>YUMBO</v>
      </c>
      <c r="D10104" s="15" t="str">
        <f>IFERROR(__xludf.DUMMYFUNCTION("""COMPUTED_VALUE"""),"BOGOTÁ")</f>
        <v>BOGOTÁ</v>
      </c>
      <c r="E10104" s="15" t="str">
        <f>IFERROR(__xludf.DUMMYFUNCTION("""COMPUTED_VALUE"""),"MAI ALIMENTOS REALES")</f>
        <v>MAI ALIMENTOS REALES</v>
      </c>
      <c r="F10104" s="17" t="str">
        <f>IFERROR(__xludf.DUMMYFUNCTION("""COMPUTED_VALUE"""),"Carrera 35 # 10 – 592 / Bodega 6 , Conjunto Industrial Nueva Era")</f>
        <v>Carrera 35 # 10 – 592 / Bodega 6 , Conjunto Industrial Nueva Era</v>
      </c>
      <c r="G10104" s="15" t="str">
        <f>IFERROR(__xludf.DUMMYFUNCTION("""COMPUTED_VALUE"""),"NOVAVENTAS CALI")</f>
        <v>NOVAVENTAS CALI</v>
      </c>
      <c r="H10104" s="16">
        <f>IFERROR(__xludf.DUMMYFUNCTION("""COMPUTED_VALUE"""),18727.0)</f>
        <v>18727</v>
      </c>
      <c r="I10104" s="17"/>
      <c r="J10104" s="17"/>
      <c r="K10104" s="17"/>
      <c r="L10104" s="17">
        <f>IFERROR(__xludf.DUMMYFUNCTION("""COMPUTED_VALUE"""),3.146714539E9)</f>
        <v>3146714539</v>
      </c>
      <c r="M10104" s="17"/>
      <c r="N10104" s="17"/>
      <c r="O10104" s="17"/>
      <c r="P10104" s="17" t="b">
        <f>IFERROR(__xludf.DUMMYFUNCTION("""COMPUTED_VALUE"""),FALSE)</f>
        <v>0</v>
      </c>
      <c r="Q10104" s="20" t="str">
        <f>IFERROR(__xludf.DUMMYFUNCTION("""COMPUTED_VALUE"""),"")</f>
        <v/>
      </c>
      <c r="R10104" s="21" t="str">
        <f>IFERROR(__xludf.DUMMYFUNCTION("""COMPUTED_VALUE"""),"https://drive.google.com/file/d/1id5yUkU-VkpspYO-VnrtFPKGpNLUQHab/view?usp=drivesdk")</f>
        <v>https://drive.google.com/file/d/1id5yUkU-VkpspYO-VnrtFPKGpNLUQHab/view?usp=drivesdk</v>
      </c>
    </row>
    <row r="10105">
      <c r="A10105" s="17" t="str">
        <f>IFERROR(__xludf.DUMMYFUNCTION("""COMPUTED_VALUE"""),"")</f>
        <v/>
      </c>
      <c r="B10105" s="17" t="str">
        <f>IFERROR(__xludf.DUMMYFUNCTION("""COMPUTED_VALUE"""),"")</f>
        <v/>
      </c>
      <c r="C10105" s="17" t="str">
        <f>IFERROR(__xludf.DUMMYFUNCTION("""COMPUTED_VALUE"""),"")</f>
        <v/>
      </c>
      <c r="D10105" s="17" t="str">
        <f>IFERROR(__xludf.DUMMYFUNCTION("""COMPUTED_VALUE"""),"")</f>
        <v/>
      </c>
      <c r="E10105" s="17" t="str">
        <f>IFERROR(__xludf.DUMMYFUNCTION("""COMPUTED_VALUE"""),"")</f>
        <v/>
      </c>
      <c r="F10105" s="17" t="str">
        <f>IFERROR(__xludf.DUMMYFUNCTION("""COMPUTED_VALUE"""),"")</f>
        <v/>
      </c>
      <c r="G10105" s="17" t="str">
        <f>IFERROR(__xludf.DUMMYFUNCTION("""COMPUTED_VALUE"""),"")</f>
        <v/>
      </c>
      <c r="H10105" s="17" t="str">
        <f>IFERROR(__xludf.DUMMYFUNCTION("""COMPUTED_VALUE"""),"")</f>
        <v/>
      </c>
      <c r="I10105" s="17" t="str">
        <f>IFERROR(__xludf.DUMMYFUNCTION("""COMPUTED_VALUE"""),"")</f>
        <v/>
      </c>
      <c r="J10105" s="17" t="str">
        <f>IFERROR(__xludf.DUMMYFUNCTION("""COMPUTED_VALUE"""),"")</f>
        <v/>
      </c>
      <c r="K10105" s="17" t="str">
        <f>IFERROR(__xludf.DUMMYFUNCTION("""COMPUTED_VALUE"""),"")</f>
        <v/>
      </c>
      <c r="L10105" s="17" t="str">
        <f>IFERROR(__xludf.DUMMYFUNCTION("""COMPUTED_VALUE"""),"")</f>
        <v/>
      </c>
      <c r="M10105" s="17" t="str">
        <f>IFERROR(__xludf.DUMMYFUNCTION("""COMPUTED_VALUE"""),"")</f>
        <v/>
      </c>
      <c r="N10105" s="17" t="str">
        <f>IFERROR(__xludf.DUMMYFUNCTION("""COMPUTED_VALUE"""),"")</f>
        <v/>
      </c>
      <c r="O10105" s="17" t="str">
        <f>IFERROR(__xludf.DUMMYFUNCTION("""COMPUTED_VALUE"""),"")</f>
        <v/>
      </c>
      <c r="P10105" s="17" t="str">
        <f>IFERROR(__xludf.DUMMYFUNCTION("""COMPUTED_VALUE"""),"")</f>
        <v/>
      </c>
      <c r="Q10105" s="17" t="str">
        <f>IFERROR(__xludf.DUMMYFUNCTION("""COMPUTED_VALUE"""),"")</f>
        <v/>
      </c>
      <c r="R10105" s="17" t="str">
        <f>IFERROR(__xludf.DUMMYFUNCTION("""COMPUTED_VALUE"""),"")</f>
        <v/>
      </c>
    </row>
    <row r="10106">
      <c r="A10106" s="15">
        <f>IFERROR(__xludf.DUMMYFUNCTION("""COMPUTED_VALUE"""),45287.0)</f>
        <v>45287</v>
      </c>
      <c r="B10106" s="16" t="str">
        <f>IFERROR(__xludf.DUMMYFUNCTION("""COMPUTED_VALUE"""),"Jhon Anderson Ceballos Hernandez")</f>
        <v>Jhon Anderson Ceballos Hernandez</v>
      </c>
      <c r="C10106" s="15" t="str">
        <f>IFERROR(__xludf.DUMMYFUNCTION("""COMPUTED_VALUE"""),"MANIZALES")</f>
        <v>MANIZALES</v>
      </c>
      <c r="D10106" s="15" t="str">
        <f>IFERROR(__xludf.DUMMYFUNCTION("""COMPUTED_VALUE"""),"BOGOTÁ")</f>
        <v>BOGOTÁ</v>
      </c>
      <c r="E10106" s="15" t="str">
        <f>IFERROR(__xludf.DUMMYFUNCTION("""COMPUTED_VALUE"""),"LINA PAOLA RAMIREZ GOMEZ - EVA MAZZITA")</f>
        <v>LINA PAOLA RAMIREZ GOMEZ - EVA MAZZITA</v>
      </c>
      <c r="F10106" s="17" t="str">
        <f>IFERROR(__xludf.DUMMYFUNCTION("""COMPUTED_VALUE"""),"CALLE 4D No. 34A - 14 / BARRIO ASTURIAS")</f>
        <v>CALLE 4D No. 34A - 14 / BARRIO ASTURIAS</v>
      </c>
      <c r="G10106" s="15" t="str">
        <f>IFERROR(__xludf.DUMMYFUNCTION("""COMPUTED_VALUE"""),"SANDRA ARISTIZABAL")</f>
        <v>SANDRA ARISTIZABAL</v>
      </c>
      <c r="H10106" s="16">
        <f>IFERROR(__xludf.DUMMYFUNCTION("""COMPUTED_VALUE"""),18791.0)</f>
        <v>18791</v>
      </c>
      <c r="I10106" s="17"/>
      <c r="J10106" s="17"/>
      <c r="K10106" s="17"/>
      <c r="L10106" s="17">
        <f>IFERROR(__xludf.DUMMYFUNCTION("""COMPUTED_VALUE"""),3.122756054E9)</f>
        <v>3122756054</v>
      </c>
      <c r="M10106" s="17"/>
      <c r="N10106" s="17"/>
      <c r="O10106" s="17"/>
      <c r="P10106" s="17" t="b">
        <f>IFERROR(__xludf.DUMMYFUNCTION("""COMPUTED_VALUE"""),FALSE)</f>
        <v>0</v>
      </c>
      <c r="Q10106" s="20" t="str">
        <f>IFERROR(__xludf.DUMMYFUNCTION("""COMPUTED_VALUE"""),"")</f>
        <v/>
      </c>
      <c r="R10106" s="22" t="str">
        <f>IFERROR(__xludf.DUMMYFUNCTION("""COMPUTED_VALUE"""),"")</f>
        <v/>
      </c>
    </row>
    <row r="10107">
      <c r="A10107" s="15">
        <f>IFERROR(__xludf.DUMMYFUNCTION("""COMPUTED_VALUE"""),45287.0)</f>
        <v>45287</v>
      </c>
      <c r="B10107" s="16" t="str">
        <f>IFERROR(__xludf.DUMMYFUNCTION("""COMPUTED_VALUE"""),"Jhon Anderson Ceballos Hernandez")</f>
        <v>Jhon Anderson Ceballos Hernandez</v>
      </c>
      <c r="C10107" s="15" t="str">
        <f>IFERROR(__xludf.DUMMYFUNCTION("""COMPUTED_VALUE"""),"MANIZALES")</f>
        <v>MANIZALES</v>
      </c>
      <c r="D10107" s="15" t="str">
        <f>IFERROR(__xludf.DUMMYFUNCTION("""COMPUTED_VALUE"""),"BOGOTÁ")</f>
        <v>BOGOTÁ</v>
      </c>
      <c r="E10107" s="15" t="str">
        <f>IFERROR(__xludf.DUMMYFUNCTION("""COMPUTED_VALUE"""),"LINA PAOLA RAMIREZ GOMEZ - EVA MAZZITA")</f>
        <v>LINA PAOLA RAMIREZ GOMEZ - EVA MAZZITA</v>
      </c>
      <c r="F10107" s="17" t="str">
        <f>IFERROR(__xludf.DUMMYFUNCTION("""COMPUTED_VALUE"""),"Cra 28D#70-46 / Palermo")</f>
        <v>Cra 28D#70-46 / Palermo</v>
      </c>
      <c r="G10107" s="15" t="str">
        <f>IFERROR(__xludf.DUMMYFUNCTION("""COMPUTED_VALUE"""),"PAULA XIMENA BOLAÑOS")</f>
        <v>PAULA XIMENA BOLAÑOS</v>
      </c>
      <c r="H10107" s="16">
        <f>IFERROR(__xludf.DUMMYFUNCTION("""COMPUTED_VALUE"""),18790.0)</f>
        <v>18790</v>
      </c>
      <c r="I10107" s="17"/>
      <c r="J10107" s="17"/>
      <c r="K10107" s="17"/>
      <c r="L10107" s="17">
        <f>IFERROR(__xludf.DUMMYFUNCTION("""COMPUTED_VALUE"""),3.10398467E9)</f>
        <v>3103984670</v>
      </c>
      <c r="M10107" s="17"/>
      <c r="N10107" s="17"/>
      <c r="O10107" s="17"/>
      <c r="P10107" s="17" t="b">
        <f>IFERROR(__xludf.DUMMYFUNCTION("""COMPUTED_VALUE"""),FALSE)</f>
        <v>0</v>
      </c>
      <c r="Q10107" s="20" t="str">
        <f>IFERROR(__xludf.DUMMYFUNCTION("""COMPUTED_VALUE"""),"")</f>
        <v/>
      </c>
      <c r="R10107" s="22" t="str">
        <f>IFERROR(__xludf.DUMMYFUNCTION("""COMPUTED_VALUE"""),"")</f>
        <v/>
      </c>
    </row>
    <row r="10108">
      <c r="A10108" s="17" t="str">
        <f>IFERROR(__xludf.DUMMYFUNCTION("""COMPUTED_VALUE"""),"")</f>
        <v/>
      </c>
      <c r="B10108" s="17" t="str">
        <f>IFERROR(__xludf.DUMMYFUNCTION("""COMPUTED_VALUE"""),"")</f>
        <v/>
      </c>
      <c r="C10108" s="17" t="str">
        <f>IFERROR(__xludf.DUMMYFUNCTION("""COMPUTED_VALUE"""),"")</f>
        <v/>
      </c>
      <c r="D10108" s="17" t="str">
        <f>IFERROR(__xludf.DUMMYFUNCTION("""COMPUTED_VALUE"""),"")</f>
        <v/>
      </c>
      <c r="E10108" s="17" t="str">
        <f>IFERROR(__xludf.DUMMYFUNCTION("""COMPUTED_VALUE"""),"")</f>
        <v/>
      </c>
      <c r="F10108" s="17" t="str">
        <f>IFERROR(__xludf.DUMMYFUNCTION("""COMPUTED_VALUE"""),"")</f>
        <v/>
      </c>
      <c r="G10108" s="17" t="str">
        <f>IFERROR(__xludf.DUMMYFUNCTION("""COMPUTED_VALUE"""),"")</f>
        <v/>
      </c>
      <c r="H10108" s="17" t="str">
        <f>IFERROR(__xludf.DUMMYFUNCTION("""COMPUTED_VALUE"""),"")</f>
        <v/>
      </c>
      <c r="I10108" s="17" t="str">
        <f>IFERROR(__xludf.DUMMYFUNCTION("""COMPUTED_VALUE"""),"")</f>
        <v/>
      </c>
      <c r="J10108" s="17" t="str">
        <f>IFERROR(__xludf.DUMMYFUNCTION("""COMPUTED_VALUE"""),"")</f>
        <v/>
      </c>
      <c r="K10108" s="17" t="str">
        <f>IFERROR(__xludf.DUMMYFUNCTION("""COMPUTED_VALUE"""),"")</f>
        <v/>
      </c>
      <c r="L10108" s="17" t="str">
        <f>IFERROR(__xludf.DUMMYFUNCTION("""COMPUTED_VALUE"""),"")</f>
        <v/>
      </c>
      <c r="M10108" s="17" t="str">
        <f>IFERROR(__xludf.DUMMYFUNCTION("""COMPUTED_VALUE"""),"")</f>
        <v/>
      </c>
      <c r="N10108" s="17" t="str">
        <f>IFERROR(__xludf.DUMMYFUNCTION("""COMPUTED_VALUE"""),"")</f>
        <v/>
      </c>
      <c r="O10108" s="17" t="str">
        <f>IFERROR(__xludf.DUMMYFUNCTION("""COMPUTED_VALUE"""),"")</f>
        <v/>
      </c>
      <c r="P10108" s="17" t="str">
        <f>IFERROR(__xludf.DUMMYFUNCTION("""COMPUTED_VALUE"""),"")</f>
        <v/>
      </c>
      <c r="Q10108" s="17" t="str">
        <f>IFERROR(__xludf.DUMMYFUNCTION("""COMPUTED_VALUE"""),"")</f>
        <v/>
      </c>
      <c r="R10108" s="17" t="str">
        <f>IFERROR(__xludf.DUMMYFUNCTION("""COMPUTED_VALUE"""),"")</f>
        <v/>
      </c>
    </row>
    <row r="10109">
      <c r="A10109" s="15">
        <f>IFERROR(__xludf.DUMMYFUNCTION("""COMPUTED_VALUE"""),45287.0)</f>
        <v>45287</v>
      </c>
      <c r="B10109" s="16" t="str">
        <f>IFERROR(__xludf.DUMMYFUNCTION("""COMPUTED_VALUE"""),"Johan Alexander Escobar Arroyo ")</f>
        <v>Johan Alexander Escobar Arroyo </v>
      </c>
      <c r="C10109" s="15" t="str">
        <f>IFERROR(__xludf.DUMMYFUNCTION("""COMPUTED_VALUE"""),"CALI")</f>
        <v>CALI</v>
      </c>
      <c r="D10109" s="15" t="str">
        <f>IFERROR(__xludf.DUMMYFUNCTION("""COMPUTED_VALUE"""),"BOGOTÁ")</f>
        <v>BOGOTÁ</v>
      </c>
      <c r="E10109" s="15" t="str">
        <f>IFERROR(__xludf.DUMMYFUNCTION("""COMPUTED_VALUE"""),"LINA PAOLA RAMIREZ GOMEZ - EVA MAZZITA")</f>
        <v>LINA PAOLA RAMIREZ GOMEZ - EVA MAZZITA</v>
      </c>
      <c r="F10109" s="17" t="str">
        <f>IFERROR(__xludf.DUMMYFUNCTION("""COMPUTED_VALUE"""),"Recibe: Jhonatan Castillo Cel.: 3128308962 Calle 6 # 29-104 / avenida Roosvelt Cali. Local Ferrollaves Ortiz")</f>
        <v>Recibe: Jhonatan Castillo Cel.: 3128308962 Calle 6 # 29-104 / avenida Roosvelt Cali. Local Ferrollaves Ortiz</v>
      </c>
      <c r="G10109" s="15" t="str">
        <f>IFERROR(__xludf.DUMMYFUNCTION("""COMPUTED_VALUE"""),"YINA MARCELA GUERRERO ESPAÑA")</f>
        <v>YINA MARCELA GUERRERO ESPAÑA</v>
      </c>
      <c r="H10109" s="16">
        <f>IFERROR(__xludf.DUMMYFUNCTION("""COMPUTED_VALUE"""),18786.0)</f>
        <v>18786</v>
      </c>
      <c r="I10109" s="17"/>
      <c r="J10109" s="17"/>
      <c r="K10109" s="17"/>
      <c r="L10109" s="17">
        <f>IFERROR(__xludf.DUMMYFUNCTION("""COMPUTED_VALUE"""),3.157731149E9)</f>
        <v>3157731149</v>
      </c>
      <c r="M10109" s="17"/>
      <c r="N10109" s="17"/>
      <c r="O10109" s="17"/>
      <c r="P10109" s="17" t="b">
        <f>IFERROR(__xludf.DUMMYFUNCTION("""COMPUTED_VALUE"""),FALSE)</f>
        <v>0</v>
      </c>
      <c r="Q10109" s="20" t="str">
        <f>IFERROR(__xludf.DUMMYFUNCTION("""COMPUTED_VALUE"""),"")</f>
        <v/>
      </c>
      <c r="R10109" s="21" t="str">
        <f>IFERROR(__xludf.DUMMYFUNCTION("""COMPUTED_VALUE"""),"https://drive.google.com/file/d/1JMwq413nUEj73gpiWFvxmqq2SITPOS8w/view?usp=drivesdk")</f>
        <v>https://drive.google.com/file/d/1JMwq413nUEj73gpiWFvxmqq2SITPOS8w/view?usp=drivesdk</v>
      </c>
    </row>
    <row r="10110">
      <c r="A10110" s="15">
        <f>IFERROR(__xludf.DUMMYFUNCTION("""COMPUTED_VALUE"""),45287.0)</f>
        <v>45287</v>
      </c>
      <c r="B10110" s="16" t="str">
        <f>IFERROR(__xludf.DUMMYFUNCTION("""COMPUTED_VALUE"""),"Johan Alexander Escobar Arroyo ")</f>
        <v>Johan Alexander Escobar Arroyo </v>
      </c>
      <c r="C10110" s="15" t="str">
        <f>IFERROR(__xludf.DUMMYFUNCTION("""COMPUTED_VALUE"""),"CALI")</f>
        <v>CALI</v>
      </c>
      <c r="D10110" s="15" t="str">
        <f>IFERROR(__xludf.DUMMYFUNCTION("""COMPUTED_VALUE"""),"BOGOTÁ")</f>
        <v>BOGOTÁ</v>
      </c>
      <c r="E10110" s="15" t="str">
        <f>IFERROR(__xludf.DUMMYFUNCTION("""COMPUTED_VALUE"""),"Top Spun")</f>
        <v>Top Spun</v>
      </c>
      <c r="F10110" s="17" t="str">
        <f>IFERROR(__xludf.DUMMYFUNCTION("""COMPUTED_VALUE"""),"carrera 85c#13a-120 / unidad villas del ingenio, casa 14. / Cali Valle del Cauca")</f>
        <v>carrera 85c#13a-120 / unidad villas del ingenio, casa 14. / Cali Valle del Cauca</v>
      </c>
      <c r="G10110" s="15" t="str">
        <f>IFERROR(__xludf.DUMMYFUNCTION("""COMPUTED_VALUE"""),"katherine avila")</f>
        <v>katherine avila</v>
      </c>
      <c r="H10110" s="16">
        <f>IFERROR(__xludf.DUMMYFUNCTION("""COMPUTED_VALUE"""),18618.0)</f>
        <v>18618</v>
      </c>
      <c r="I10110" s="18">
        <f>IFERROR(__xludf.DUMMYFUNCTION("""COMPUTED_VALUE"""),20.0)</f>
        <v>20</v>
      </c>
      <c r="J10110" s="18">
        <f>IFERROR(__xludf.DUMMYFUNCTION("""COMPUTED_VALUE"""),10.0)</f>
        <v>10</v>
      </c>
      <c r="K10110" s="18">
        <f>IFERROR(__xludf.DUMMYFUNCTION("""COMPUTED_VALUE"""),40.0)</f>
        <v>40</v>
      </c>
      <c r="L10110" s="17">
        <f>IFERROR(__xludf.DUMMYFUNCTION("""COMPUTED_VALUE"""),3.183904278E9)</f>
        <v>3183904278</v>
      </c>
      <c r="M10110" s="17"/>
      <c r="N10110" s="17"/>
      <c r="O10110" s="17"/>
      <c r="P10110" s="17" t="b">
        <f>IFERROR(__xludf.DUMMYFUNCTION("""COMPUTED_VALUE"""),FALSE)</f>
        <v>0</v>
      </c>
      <c r="Q10110" s="20" t="str">
        <f>IFERROR(__xludf.DUMMYFUNCTION("""COMPUTED_VALUE"""),"")</f>
        <v/>
      </c>
      <c r="R10110" s="21" t="str">
        <f>IFERROR(__xludf.DUMMYFUNCTION("""COMPUTED_VALUE"""),"https://drive.google.com/file/d/1xplgKS_pa6kZgPglk95vp0EcgaamKfUP/view?usp=drivesdk")</f>
        <v>https://drive.google.com/file/d/1xplgKS_pa6kZgPglk95vp0EcgaamKfUP/view?usp=drivesdk</v>
      </c>
    </row>
    <row r="10111">
      <c r="A10111" s="15">
        <f>IFERROR(__xludf.DUMMYFUNCTION("""COMPUTED_VALUE"""),45287.0)</f>
        <v>45287</v>
      </c>
      <c r="B10111" s="16" t="str">
        <f>IFERROR(__xludf.DUMMYFUNCTION("""COMPUTED_VALUE"""),"Johan Alexander Escobar Arroyo ")</f>
        <v>Johan Alexander Escobar Arroyo </v>
      </c>
      <c r="C10111" s="15" t="str">
        <f>IFERROR(__xludf.DUMMYFUNCTION("""COMPUTED_VALUE"""),"PALMIRA")</f>
        <v>PALMIRA</v>
      </c>
      <c r="D10111" s="15" t="str">
        <f>IFERROR(__xludf.DUMMYFUNCTION("""COMPUTED_VALUE"""),"BOGOTÁ")</f>
        <v>BOGOTÁ</v>
      </c>
      <c r="E10111" s="15" t="str">
        <f>IFERROR(__xludf.DUMMYFUNCTION("""COMPUTED_VALUE"""),"Instinto alimento vital")</f>
        <v>Instinto alimento vital</v>
      </c>
      <c r="F10111" s="17" t="str">
        <f>IFERROR(__xludf.DUMMYFUNCTION("""COMPUTED_VALUE"""),"CL 58 #30 70 / PALMIRA")</f>
        <v>CL 58 #30 70 / PALMIRA</v>
      </c>
      <c r="G10111" s="15" t="str">
        <f>IFERROR(__xludf.DUMMYFUNCTION("""COMPUTED_VALUE"""),"JORGE ARMANDO DURAN MESSA")</f>
        <v>JORGE ARMANDO DURAN MESSA</v>
      </c>
      <c r="H10111" s="16">
        <f>IFERROR(__xludf.DUMMYFUNCTION("""COMPUTED_VALUE"""),18780.0)</f>
        <v>18780</v>
      </c>
      <c r="I10111" s="17"/>
      <c r="J10111" s="17"/>
      <c r="K10111" s="17"/>
      <c r="L10111" s="17">
        <f>IFERROR(__xludf.DUMMYFUNCTION("""COMPUTED_VALUE"""),3.17432635E9)</f>
        <v>3174326350</v>
      </c>
      <c r="M10111" s="17"/>
      <c r="N10111" s="17"/>
      <c r="O10111" s="17"/>
      <c r="P10111" s="17" t="b">
        <f>IFERROR(__xludf.DUMMYFUNCTION("""COMPUTED_VALUE"""),FALSE)</f>
        <v>0</v>
      </c>
      <c r="Q10111" s="20" t="str">
        <f>IFERROR(__xludf.DUMMYFUNCTION("""COMPUTED_VALUE"""),"")</f>
        <v/>
      </c>
      <c r="R10111" s="21" t="str">
        <f>IFERROR(__xludf.DUMMYFUNCTION("""COMPUTED_VALUE"""),"https://drive.google.com/file/d/1ls9gh64E987cvmb8rYxZN0n-0LTC0sHw/view?usp=drivesdk")</f>
        <v>https://drive.google.com/file/d/1ls9gh64E987cvmb8rYxZN0n-0LTC0sHw/view?usp=drivesdk</v>
      </c>
    </row>
    <row r="10112">
      <c r="A10112" s="17" t="str">
        <f>IFERROR(__xludf.DUMMYFUNCTION("""COMPUTED_VALUE"""),"")</f>
        <v/>
      </c>
      <c r="B10112" s="17" t="str">
        <f>IFERROR(__xludf.DUMMYFUNCTION("""COMPUTED_VALUE"""),"")</f>
        <v/>
      </c>
      <c r="C10112" s="17" t="str">
        <f>IFERROR(__xludf.DUMMYFUNCTION("""COMPUTED_VALUE"""),"")</f>
        <v/>
      </c>
      <c r="D10112" s="17" t="str">
        <f>IFERROR(__xludf.DUMMYFUNCTION("""COMPUTED_VALUE"""),"")</f>
        <v/>
      </c>
      <c r="E10112" s="17" t="str">
        <f>IFERROR(__xludf.DUMMYFUNCTION("""COMPUTED_VALUE"""),"")</f>
        <v/>
      </c>
      <c r="F10112" s="17" t="str">
        <f>IFERROR(__xludf.DUMMYFUNCTION("""COMPUTED_VALUE"""),"")</f>
        <v/>
      </c>
      <c r="G10112" s="17" t="str">
        <f>IFERROR(__xludf.DUMMYFUNCTION("""COMPUTED_VALUE"""),"")</f>
        <v/>
      </c>
      <c r="H10112" s="17" t="str">
        <f>IFERROR(__xludf.DUMMYFUNCTION("""COMPUTED_VALUE"""),"")</f>
        <v/>
      </c>
      <c r="I10112" s="17" t="str">
        <f>IFERROR(__xludf.DUMMYFUNCTION("""COMPUTED_VALUE"""),"")</f>
        <v/>
      </c>
      <c r="J10112" s="17" t="str">
        <f>IFERROR(__xludf.DUMMYFUNCTION("""COMPUTED_VALUE"""),"")</f>
        <v/>
      </c>
      <c r="K10112" s="17" t="str">
        <f>IFERROR(__xludf.DUMMYFUNCTION("""COMPUTED_VALUE"""),"")</f>
        <v/>
      </c>
      <c r="L10112" s="17" t="str">
        <f>IFERROR(__xludf.DUMMYFUNCTION("""COMPUTED_VALUE"""),"")</f>
        <v/>
      </c>
      <c r="M10112" s="17" t="str">
        <f>IFERROR(__xludf.DUMMYFUNCTION("""COMPUTED_VALUE"""),"")</f>
        <v/>
      </c>
      <c r="N10112" s="17" t="str">
        <f>IFERROR(__xludf.DUMMYFUNCTION("""COMPUTED_VALUE"""),"")</f>
        <v/>
      </c>
      <c r="O10112" s="17" t="str">
        <f>IFERROR(__xludf.DUMMYFUNCTION("""COMPUTED_VALUE"""),"")</f>
        <v/>
      </c>
      <c r="P10112" s="17" t="str">
        <f>IFERROR(__xludf.DUMMYFUNCTION("""COMPUTED_VALUE"""),"")</f>
        <v/>
      </c>
      <c r="Q10112" s="17" t="str">
        <f>IFERROR(__xludf.DUMMYFUNCTION("""COMPUTED_VALUE"""),"")</f>
        <v/>
      </c>
      <c r="R10112" s="17" t="str">
        <f>IFERROR(__xludf.DUMMYFUNCTION("""COMPUTED_VALUE"""),"")</f>
        <v/>
      </c>
    </row>
    <row r="10113">
      <c r="A10113" s="15">
        <f>IFERROR(__xludf.DUMMYFUNCTION("""COMPUTED_VALUE"""),45287.0)</f>
        <v>45287</v>
      </c>
      <c r="B10113" s="16" t="str">
        <f>IFERROR(__xludf.DUMMYFUNCTION("""COMPUTED_VALUE"""),"Johanna Arango Barrera")</f>
        <v>Johanna Arango Barrera</v>
      </c>
      <c r="C10113" s="15" t="str">
        <f>IFERROR(__xludf.DUMMYFUNCTION("""COMPUTED_VALUE"""),"BUCARAMANGA")</f>
        <v>BUCARAMANGA</v>
      </c>
      <c r="D10113" s="15" t="str">
        <f>IFERROR(__xludf.DUMMYFUNCTION("""COMPUTED_VALUE"""),"MEDELLÍN")</f>
        <v>MEDELLÍN</v>
      </c>
      <c r="E10113" s="15" t="str">
        <f>IFERROR(__xludf.DUMMYFUNCTION("""COMPUTED_VALUE"""),"Baby Chef")</f>
        <v>Baby Chef</v>
      </c>
      <c r="F10113" s="17" t="str">
        <f>IFERROR(__xludf.DUMMYFUNCTION("""COMPUTED_VALUE"""),"Calle 18#25-49 apto 1401 / . / .")</f>
        <v>Calle 18#25-49 apto 1401 / . / .</v>
      </c>
      <c r="G10113" s="15" t="str">
        <f>IFERROR(__xludf.DUMMYFUNCTION("""COMPUTED_VALUE"""),"Shirley Alvarado")</f>
        <v>Shirley Alvarado</v>
      </c>
      <c r="H10113" s="16">
        <f>IFERROR(__xludf.DUMMYFUNCTION("""COMPUTED_VALUE"""),18761.0)</f>
        <v>18761</v>
      </c>
      <c r="I10113" s="18">
        <f>IFERROR(__xludf.DUMMYFUNCTION("""COMPUTED_VALUE"""),15.0)</f>
        <v>15</v>
      </c>
      <c r="J10113" s="18">
        <f>IFERROR(__xludf.DUMMYFUNCTION("""COMPUTED_VALUE"""),20.0)</f>
        <v>20</v>
      </c>
      <c r="K10113" s="18">
        <f>IFERROR(__xludf.DUMMYFUNCTION("""COMPUTED_VALUE"""),44.0)</f>
        <v>44</v>
      </c>
      <c r="L10113" s="17">
        <f>IFERROR(__xludf.DUMMYFUNCTION("""COMPUTED_VALUE"""),3.203548295E9)</f>
        <v>3203548295</v>
      </c>
      <c r="M10113" s="17"/>
      <c r="N10113" s="17"/>
      <c r="O10113" s="17"/>
      <c r="P10113" s="17" t="b">
        <f>IFERROR(__xludf.DUMMYFUNCTION("""COMPUTED_VALUE"""),FALSE)</f>
        <v>0</v>
      </c>
      <c r="Q10113" s="20" t="str">
        <f>IFERROR(__xludf.DUMMYFUNCTION("""COMPUTED_VALUE"""),"")</f>
        <v/>
      </c>
      <c r="R10113" s="21" t="str">
        <f>IFERROR(__xludf.DUMMYFUNCTION("""COMPUTED_VALUE"""),"https://drive.google.com/file/d/10onMFkx983GwPU3EGfBHeBsgt0EzNcaZ/view?usp=drivesdk")</f>
        <v>https://drive.google.com/file/d/10onMFkx983GwPU3EGfBHeBsgt0EzNcaZ/view?usp=drivesdk</v>
      </c>
    </row>
    <row r="10114">
      <c r="A10114" s="15">
        <f>IFERROR(__xludf.DUMMYFUNCTION("""COMPUTED_VALUE"""),45287.0)</f>
        <v>45287</v>
      </c>
      <c r="B10114" s="16" t="str">
        <f>IFERROR(__xludf.DUMMYFUNCTION("""COMPUTED_VALUE"""),"Johanna Arango Barrera")</f>
        <v>Johanna Arango Barrera</v>
      </c>
      <c r="C10114" s="15" t="str">
        <f>IFERROR(__xludf.DUMMYFUNCTION("""COMPUTED_VALUE"""),"BUCARAMANGA")</f>
        <v>BUCARAMANGA</v>
      </c>
      <c r="D10114" s="15" t="str">
        <f>IFERROR(__xludf.DUMMYFUNCTION("""COMPUTED_VALUE"""),"MEDELLÍN")</f>
        <v>MEDELLÍN</v>
      </c>
      <c r="E10114" s="15" t="str">
        <f>IFERROR(__xludf.DUMMYFUNCTION("""COMPUTED_VALUE"""),"Terravocado")</f>
        <v>Terravocado</v>
      </c>
      <c r="F10114" s="17" t="str">
        <f>IFERROR(__xludf.DUMMYFUNCTION("""COMPUTED_VALUE"""),"CLL 22 # 15 - 38  / APT 222 TORRE 3  / GIRON")</f>
        <v>CLL 22 # 15 - 38  / APT 222 TORRE 3  / GIRON</v>
      </c>
      <c r="G10114" s="15" t="str">
        <f>IFERROR(__xludf.DUMMYFUNCTION("""COMPUTED_VALUE"""),"RAFAEL CONTRERAS")</f>
        <v>RAFAEL CONTRERAS</v>
      </c>
      <c r="H10114" s="16">
        <f>IFERROR(__xludf.DUMMYFUNCTION("""COMPUTED_VALUE"""),18593.0)</f>
        <v>18593</v>
      </c>
      <c r="I10114" s="18">
        <f>IFERROR(__xludf.DUMMYFUNCTION("""COMPUTED_VALUE"""),20.0)</f>
        <v>20</v>
      </c>
      <c r="J10114" s="18">
        <f>IFERROR(__xludf.DUMMYFUNCTION("""COMPUTED_VALUE"""),24.0)</f>
        <v>24</v>
      </c>
      <c r="K10114" s="18">
        <f>IFERROR(__xludf.DUMMYFUNCTION("""COMPUTED_VALUE"""),34.0)</f>
        <v>34</v>
      </c>
      <c r="L10114" s="17">
        <f>IFERROR(__xludf.DUMMYFUNCTION("""COMPUTED_VALUE"""),3.223626148E9)</f>
        <v>3223626148</v>
      </c>
      <c r="M10114" s="17"/>
      <c r="N10114" s="17"/>
      <c r="O10114" s="17"/>
      <c r="P10114" s="17" t="b">
        <f>IFERROR(__xludf.DUMMYFUNCTION("""COMPUTED_VALUE"""),FALSE)</f>
        <v>0</v>
      </c>
      <c r="Q10114" s="20" t="str">
        <f>IFERROR(__xludf.DUMMYFUNCTION("""COMPUTED_VALUE"""),"")</f>
        <v/>
      </c>
      <c r="R10114" s="21" t="str">
        <f>IFERROR(__xludf.DUMMYFUNCTION("""COMPUTED_VALUE"""),"https://drive.google.com/file/d/11LgdHAAZsXEGUkxDB-U6BHXAMUaa1z7D/view?usp=drivesdk")</f>
        <v>https://drive.google.com/file/d/11LgdHAAZsXEGUkxDB-U6BHXAMUaa1z7D/view?usp=drivesdk</v>
      </c>
    </row>
    <row r="10115">
      <c r="A10115" s="15">
        <f>IFERROR(__xludf.DUMMYFUNCTION("""COMPUTED_VALUE"""),45287.0)</f>
        <v>45287</v>
      </c>
      <c r="B10115" s="16" t="str">
        <f>IFERROR(__xludf.DUMMYFUNCTION("""COMPUTED_VALUE"""),"Johanna Arango Barrera")</f>
        <v>Johanna Arango Barrera</v>
      </c>
      <c r="C10115" s="15" t="str">
        <f>IFERROR(__xludf.DUMMYFUNCTION("""COMPUTED_VALUE"""),"BUCARAMANGA")</f>
        <v>BUCARAMANGA</v>
      </c>
      <c r="D10115" s="15" t="str">
        <f>IFERROR(__xludf.DUMMYFUNCTION("""COMPUTED_VALUE"""),"MEDELLÍN")</f>
        <v>MEDELLÍN</v>
      </c>
      <c r="E10115" s="15" t="str">
        <f>IFERROR(__xludf.DUMMYFUNCTION("""COMPUTED_VALUE"""),"Vivente")</f>
        <v>Vivente</v>
      </c>
      <c r="F10115" s="17" t="str">
        <f>IFERROR(__xludf.DUMMYFUNCTION("""COMPUTED_VALUE"""),"cr 40a #41-56 / edificio torre del vento apto 601 / cabecera")</f>
        <v>cr 40a #41-56 / edificio torre del vento apto 601 / cabecera</v>
      </c>
      <c r="G10115" s="15" t="str">
        <f>IFERROR(__xludf.DUMMYFUNCTION("""COMPUTED_VALUE"""),"Diana fonseca")</f>
        <v>Diana fonseca</v>
      </c>
      <c r="H10115" s="16">
        <f>IFERROR(__xludf.DUMMYFUNCTION("""COMPUTED_VALUE"""),18764.0)</f>
        <v>18764</v>
      </c>
      <c r="I10115" s="18">
        <f>IFERROR(__xludf.DUMMYFUNCTION("""COMPUTED_VALUE"""),3.0)</f>
        <v>3</v>
      </c>
      <c r="J10115" s="18">
        <f>IFERROR(__xludf.DUMMYFUNCTION("""COMPUTED_VALUE"""),27.0)</f>
        <v>27</v>
      </c>
      <c r="K10115" s="18">
        <f>IFERROR(__xludf.DUMMYFUNCTION("""COMPUTED_VALUE"""),25.0)</f>
        <v>25</v>
      </c>
      <c r="L10115" s="17">
        <f>IFERROR(__xludf.DUMMYFUNCTION("""COMPUTED_VALUE"""),3.166375264E9)</f>
        <v>3166375264</v>
      </c>
      <c r="M10115" s="17"/>
      <c r="N10115" s="17"/>
      <c r="O10115" s="17"/>
      <c r="P10115" s="17" t="b">
        <f>IFERROR(__xludf.DUMMYFUNCTION("""COMPUTED_VALUE"""),FALSE)</f>
        <v>0</v>
      </c>
      <c r="Q10115" s="20" t="str">
        <f>IFERROR(__xludf.DUMMYFUNCTION("""COMPUTED_VALUE"""),"")</f>
        <v/>
      </c>
      <c r="R10115" s="21" t="str">
        <f>IFERROR(__xludf.DUMMYFUNCTION("""COMPUTED_VALUE"""),"https://drive.google.com/file/d/1wEHAl1ssbp6Nt_Yzazf4zBA1624Pbj4U/view?usp=drivesdk")</f>
        <v>https://drive.google.com/file/d/1wEHAl1ssbp6Nt_Yzazf4zBA1624Pbj4U/view?usp=drivesdk</v>
      </c>
    </row>
    <row r="10116">
      <c r="A10116" s="15">
        <f>IFERROR(__xludf.DUMMYFUNCTION("""COMPUTED_VALUE"""),45287.0)</f>
        <v>45287</v>
      </c>
      <c r="B10116" s="16" t="str">
        <f>IFERROR(__xludf.DUMMYFUNCTION("""COMPUTED_VALUE"""),"Johanna Arango Barrera")</f>
        <v>Johanna Arango Barrera</v>
      </c>
      <c r="C10116" s="15" t="str">
        <f>IFERROR(__xludf.DUMMYFUNCTION("""COMPUTED_VALUE"""),"FLORIDABLANCA")</f>
        <v>FLORIDABLANCA</v>
      </c>
      <c r="D10116" s="15" t="str">
        <f>IFERROR(__xludf.DUMMYFUNCTION("""COMPUTED_VALUE"""),"BOGOTÁ")</f>
        <v>BOGOTÁ</v>
      </c>
      <c r="E10116" s="15" t="str">
        <f>IFERROR(__xludf.DUMMYFUNCTION("""COMPUTED_VALUE"""),"Instinto alimento vital")</f>
        <v>Instinto alimento vital</v>
      </c>
      <c r="F10116" s="17" t="str">
        <f>IFERROR(__xludf.DUMMYFUNCTION("""COMPUTED_VALUE"""),"CL 158 N 23 60 / AP 201 TR 2 TRAYRONA 2")</f>
        <v>CL 158 N 23 60 / AP 201 TR 2 TRAYRONA 2</v>
      </c>
      <c r="G10116" s="15" t="str">
        <f>IFERROR(__xludf.DUMMYFUNCTION("""COMPUTED_VALUE"""),"GUSTAVO GOMEZ")</f>
        <v>GUSTAVO GOMEZ</v>
      </c>
      <c r="H10116" s="16">
        <f>IFERROR(__xludf.DUMMYFUNCTION("""COMPUTED_VALUE"""),18787.0)</f>
        <v>18787</v>
      </c>
      <c r="I10116" s="17"/>
      <c r="J10116" s="17"/>
      <c r="K10116" s="17"/>
      <c r="L10116" s="17">
        <f>IFERROR(__xludf.DUMMYFUNCTION("""COMPUTED_VALUE"""),3.219516971E9)</f>
        <v>3219516971</v>
      </c>
      <c r="M10116" s="17"/>
      <c r="N10116" s="17"/>
      <c r="O10116" s="17"/>
      <c r="P10116" s="17" t="b">
        <f>IFERROR(__xludf.DUMMYFUNCTION("""COMPUTED_VALUE"""),FALSE)</f>
        <v>0</v>
      </c>
      <c r="Q10116" s="20" t="str">
        <f>IFERROR(__xludf.DUMMYFUNCTION("""COMPUTED_VALUE"""),"")</f>
        <v/>
      </c>
      <c r="R10116" s="21" t="str">
        <f>IFERROR(__xludf.DUMMYFUNCTION("""COMPUTED_VALUE"""),"https://drive.google.com/file/d/1Zygy9bLB-nWF0WVyeYrK6RxHrIs9576-/view?usp=drivesdk")</f>
        <v>https://drive.google.com/file/d/1Zygy9bLB-nWF0WVyeYrK6RxHrIs9576-/view?usp=drivesdk</v>
      </c>
    </row>
    <row r="10117">
      <c r="A10117" s="15">
        <f>IFERROR(__xludf.DUMMYFUNCTION("""COMPUTED_VALUE"""),45287.0)</f>
        <v>45287</v>
      </c>
      <c r="B10117" s="16" t="str">
        <f>IFERROR(__xludf.DUMMYFUNCTION("""COMPUTED_VALUE"""),"Johanna Arango Barrera")</f>
        <v>Johanna Arango Barrera</v>
      </c>
      <c r="C10117" s="15" t="str">
        <f>IFERROR(__xludf.DUMMYFUNCTION("""COMPUTED_VALUE"""),"FLORIDABLANCA")</f>
        <v>FLORIDABLANCA</v>
      </c>
      <c r="D10117" s="15" t="str">
        <f>IFERROR(__xludf.DUMMYFUNCTION("""COMPUTED_VALUE"""),"BOGOTÁ")</f>
        <v>BOGOTÁ</v>
      </c>
      <c r="E10117" s="15" t="str">
        <f>IFERROR(__xludf.DUMMYFUNCTION("""COMPUTED_VALUE"""),"Instinto alimento vital")</f>
        <v>Instinto alimento vital</v>
      </c>
      <c r="F10117" s="17" t="str">
        <f>IFERROR(__xludf.DUMMYFUNCTION("""COMPUTED_VALUE"""),"CRA 21 # 35-264 / CASA 47 QUINTAS CAMPESTRES")</f>
        <v>CRA 21 # 35-264 / CASA 47 QUINTAS CAMPESTRES</v>
      </c>
      <c r="G10117" s="15" t="str">
        <f>IFERROR(__xludf.DUMMYFUNCTION("""COMPUTED_VALUE"""),"KAROL JAMES LEMUS")</f>
        <v>KAROL JAMES LEMUS</v>
      </c>
      <c r="H10117" s="16">
        <f>IFERROR(__xludf.DUMMYFUNCTION("""COMPUTED_VALUE"""),18796.0)</f>
        <v>18796</v>
      </c>
      <c r="I10117" s="17"/>
      <c r="J10117" s="17"/>
      <c r="K10117" s="17"/>
      <c r="L10117" s="17">
        <f>IFERROR(__xludf.DUMMYFUNCTION("""COMPUTED_VALUE"""),3.11228878E9)</f>
        <v>3112288780</v>
      </c>
      <c r="M10117" s="17"/>
      <c r="N10117" s="17"/>
      <c r="O10117" s="17"/>
      <c r="P10117" s="17" t="b">
        <f>IFERROR(__xludf.DUMMYFUNCTION("""COMPUTED_VALUE"""),FALSE)</f>
        <v>0</v>
      </c>
      <c r="Q10117" s="20" t="str">
        <f>IFERROR(__xludf.DUMMYFUNCTION("""COMPUTED_VALUE"""),"")</f>
        <v/>
      </c>
      <c r="R10117" s="21" t="str">
        <f>IFERROR(__xludf.DUMMYFUNCTION("""COMPUTED_VALUE"""),"https://drive.google.com/file/d/1r0YjJ5EnuidA9fEGdvql-QAxllugPH56/view?usp=drivesdk")</f>
        <v>https://drive.google.com/file/d/1r0YjJ5EnuidA9fEGdvql-QAxllugPH56/view?usp=drivesdk</v>
      </c>
    </row>
    <row r="10118">
      <c r="A10118" s="17" t="str">
        <f>IFERROR(__xludf.DUMMYFUNCTION("""COMPUTED_VALUE"""),"")</f>
        <v/>
      </c>
      <c r="B10118" s="17" t="str">
        <f>IFERROR(__xludf.DUMMYFUNCTION("""COMPUTED_VALUE"""),"")</f>
        <v/>
      </c>
      <c r="C10118" s="17" t="str">
        <f>IFERROR(__xludf.DUMMYFUNCTION("""COMPUTED_VALUE"""),"")</f>
        <v/>
      </c>
      <c r="D10118" s="17" t="str">
        <f>IFERROR(__xludf.DUMMYFUNCTION("""COMPUTED_VALUE"""),"")</f>
        <v/>
      </c>
      <c r="E10118" s="17" t="str">
        <f>IFERROR(__xludf.DUMMYFUNCTION("""COMPUTED_VALUE"""),"")</f>
        <v/>
      </c>
      <c r="F10118" s="17" t="str">
        <f>IFERROR(__xludf.DUMMYFUNCTION("""COMPUTED_VALUE"""),"")</f>
        <v/>
      </c>
      <c r="G10118" s="17" t="str">
        <f>IFERROR(__xludf.DUMMYFUNCTION("""COMPUTED_VALUE"""),"")</f>
        <v/>
      </c>
      <c r="H10118" s="17" t="str">
        <f>IFERROR(__xludf.DUMMYFUNCTION("""COMPUTED_VALUE"""),"")</f>
        <v/>
      </c>
      <c r="I10118" s="17" t="str">
        <f>IFERROR(__xludf.DUMMYFUNCTION("""COMPUTED_VALUE"""),"")</f>
        <v/>
      </c>
      <c r="J10118" s="17" t="str">
        <f>IFERROR(__xludf.DUMMYFUNCTION("""COMPUTED_VALUE"""),"")</f>
        <v/>
      </c>
      <c r="K10118" s="17" t="str">
        <f>IFERROR(__xludf.DUMMYFUNCTION("""COMPUTED_VALUE"""),"")</f>
        <v/>
      </c>
      <c r="L10118" s="17" t="str">
        <f>IFERROR(__xludf.DUMMYFUNCTION("""COMPUTED_VALUE"""),"")</f>
        <v/>
      </c>
      <c r="M10118" s="17" t="str">
        <f>IFERROR(__xludf.DUMMYFUNCTION("""COMPUTED_VALUE"""),"")</f>
        <v/>
      </c>
      <c r="N10118" s="17" t="str">
        <f>IFERROR(__xludf.DUMMYFUNCTION("""COMPUTED_VALUE"""),"")</f>
        <v/>
      </c>
      <c r="O10118" s="17" t="str">
        <f>IFERROR(__xludf.DUMMYFUNCTION("""COMPUTED_VALUE"""),"")</f>
        <v/>
      </c>
      <c r="P10118" s="17" t="str">
        <f>IFERROR(__xludf.DUMMYFUNCTION("""COMPUTED_VALUE"""),"")</f>
        <v/>
      </c>
      <c r="Q10118" s="17" t="str">
        <f>IFERROR(__xludf.DUMMYFUNCTION("""COMPUTED_VALUE"""),"")</f>
        <v/>
      </c>
      <c r="R10118" s="17" t="str">
        <f>IFERROR(__xludf.DUMMYFUNCTION("""COMPUTED_VALUE"""),"")</f>
        <v/>
      </c>
    </row>
    <row r="10119">
      <c r="A10119" s="15">
        <f>IFERROR(__xludf.DUMMYFUNCTION("""COMPUTED_VALUE"""),45287.0)</f>
        <v>45287</v>
      </c>
      <c r="B10119" s="16" t="str">
        <f>IFERROR(__xludf.DUMMYFUNCTION("""COMPUTED_VALUE"""),"JOSE ALFREDO RAMIREZ VERGARA ")</f>
        <v>JOSE ALFREDO RAMIREZ VERGARA </v>
      </c>
      <c r="C10119" s="15" t="str">
        <f>IFERROR(__xludf.DUMMYFUNCTION("""COMPUTED_VALUE"""),"BOGOTÁ")</f>
        <v>BOGOTÁ</v>
      </c>
      <c r="D10119" s="15" t="str">
        <f>IFERROR(__xludf.DUMMYFUNCTION("""COMPUTED_VALUE"""),"MEDELLÍN")</f>
        <v>MEDELLÍN</v>
      </c>
      <c r="E10119" s="15" t="str">
        <f>IFERROR(__xludf.DUMMYFUNCTION("""COMPUTED_VALUE"""),"Moloso S.A.S")</f>
        <v>Moloso S.A.S</v>
      </c>
      <c r="F10119" s="17" t="str">
        <f>IFERROR(__xludf.DUMMYFUNCTION("""COMPUTED_VALUE"""),"CR 10B 135A 20 / ED AGAVE AP 301")</f>
        <v>CR 10B 135A 20 / ED AGAVE AP 301</v>
      </c>
      <c r="G10119" s="15" t="str">
        <f>IFERROR(__xludf.DUMMYFUNCTION("""COMPUTED_VALUE"""),"ALEJANDRA MARIA QUIÑONES CEDEÑO")</f>
        <v>ALEJANDRA MARIA QUIÑONES CEDEÑO</v>
      </c>
      <c r="H10119" s="16">
        <f>IFERROR(__xludf.DUMMYFUNCTION("""COMPUTED_VALUE"""),18777.0)</f>
        <v>18777</v>
      </c>
      <c r="I10119" s="17"/>
      <c r="J10119" s="17"/>
      <c r="K10119" s="17"/>
      <c r="L10119" s="17"/>
      <c r="M10119" s="17"/>
      <c r="N10119" s="17"/>
      <c r="O10119" s="17"/>
      <c r="P10119" s="17" t="b">
        <f>IFERROR(__xludf.DUMMYFUNCTION("""COMPUTED_VALUE"""),FALSE)</f>
        <v>0</v>
      </c>
      <c r="Q10119" s="20" t="str">
        <f>IFERROR(__xludf.DUMMYFUNCTION("""COMPUTED_VALUE"""),"")</f>
        <v/>
      </c>
      <c r="R10119" s="21" t="str">
        <f>IFERROR(__xludf.DUMMYFUNCTION("""COMPUTED_VALUE"""),"https://drive.google.com/file/d/1yDqEOLethPU1DmcHpq9ox3Oqc-3y1XhO/view?usp=drivesdk")</f>
        <v>https://drive.google.com/file/d/1yDqEOLethPU1DmcHpq9ox3Oqc-3y1XhO/view?usp=drivesdk</v>
      </c>
    </row>
    <row r="10120">
      <c r="A10120" s="15">
        <f>IFERROR(__xludf.DUMMYFUNCTION("""COMPUTED_VALUE"""),45287.0)</f>
        <v>45287</v>
      </c>
      <c r="B10120" s="16" t="str">
        <f>IFERROR(__xludf.DUMMYFUNCTION("""COMPUTED_VALUE"""),"JOSE ALFREDO RAMIREZ VERGARA ")</f>
        <v>JOSE ALFREDO RAMIREZ VERGARA </v>
      </c>
      <c r="C10120" s="15" t="str">
        <f>IFERROR(__xludf.DUMMYFUNCTION("""COMPUTED_VALUE"""),"BOGOTÁ")</f>
        <v>BOGOTÁ</v>
      </c>
      <c r="D10120" s="15" t="str">
        <f>IFERROR(__xludf.DUMMYFUNCTION("""COMPUTED_VALUE"""),"MEDELLÍN")</f>
        <v>MEDELLÍN</v>
      </c>
      <c r="E10120" s="15" t="str">
        <f>IFERROR(__xludf.DUMMYFUNCTION("""COMPUTED_VALUE"""),"Moloso S.A.S")</f>
        <v>Moloso S.A.S</v>
      </c>
      <c r="F10120" s="17" t="str">
        <f>IFERROR(__xludf.DUMMYFUNCTION("""COMPUTED_VALUE"""),"CR 55 149 09 / CONJUNTO MONTECARLO 3 CA 16")</f>
        <v>CR 55 149 09 / CONJUNTO MONTECARLO 3 CA 16</v>
      </c>
      <c r="G10120" s="15" t="str">
        <f>IFERROR(__xludf.DUMMYFUNCTION("""COMPUTED_VALUE"""),"CLAUDIA ADRIANA GARCÍA FINO")</f>
        <v>CLAUDIA ADRIANA GARCÍA FINO</v>
      </c>
      <c r="H10120" s="16">
        <f>IFERROR(__xludf.DUMMYFUNCTION("""COMPUTED_VALUE"""),18775.0)</f>
        <v>18775</v>
      </c>
      <c r="I10120" s="17"/>
      <c r="J10120" s="17"/>
      <c r="K10120" s="17"/>
      <c r="L10120" s="17"/>
      <c r="M10120" s="17"/>
      <c r="N10120" s="17"/>
      <c r="O10120" s="17"/>
      <c r="P10120" s="17" t="b">
        <f>IFERROR(__xludf.DUMMYFUNCTION("""COMPUTED_VALUE"""),FALSE)</f>
        <v>0</v>
      </c>
      <c r="Q10120" s="20" t="str">
        <f>IFERROR(__xludf.DUMMYFUNCTION("""COMPUTED_VALUE"""),"")</f>
        <v/>
      </c>
      <c r="R10120" s="21" t="str">
        <f>IFERROR(__xludf.DUMMYFUNCTION("""COMPUTED_VALUE"""),"https://drive.google.com/file/d/1OB6DnRinfYxpPnwgeIQ3gxbB_mP6o99c/view?usp=drivesdk")</f>
        <v>https://drive.google.com/file/d/1OB6DnRinfYxpPnwgeIQ3gxbB_mP6o99c/view?usp=drivesdk</v>
      </c>
    </row>
    <row r="10121">
      <c r="A10121" s="15">
        <f>IFERROR(__xludf.DUMMYFUNCTION("""COMPUTED_VALUE"""),45287.0)</f>
        <v>45287</v>
      </c>
      <c r="B10121" s="16" t="str">
        <f>IFERROR(__xludf.DUMMYFUNCTION("""COMPUTED_VALUE"""),"JOSE ALFREDO RAMIREZ VERGARA ")</f>
        <v>JOSE ALFREDO RAMIREZ VERGARA </v>
      </c>
      <c r="C10121" s="15" t="str">
        <f>IFERROR(__xludf.DUMMYFUNCTION("""COMPUTED_VALUE"""),"BOGOTÁ")</f>
        <v>BOGOTÁ</v>
      </c>
      <c r="D10121" s="15" t="str">
        <f>IFERROR(__xludf.DUMMYFUNCTION("""COMPUTED_VALUE"""),"MEDELLÍN")</f>
        <v>MEDELLÍN</v>
      </c>
      <c r="E10121" s="15" t="str">
        <f>IFERROR(__xludf.DUMMYFUNCTION("""COMPUTED_VALUE"""),"Moloso S.A.S")</f>
        <v>Moloso S.A.S</v>
      </c>
      <c r="F10121" s="17" t="str">
        <f>IFERROR(__xludf.DUMMYFUNCTION("""COMPUTED_VALUE"""),"CR 75 24D 70 / LA CIGARRERIA ,QUEDA AL LADO DE LA FLORISTERIA")</f>
        <v>CR 75 24D 70 / LA CIGARRERIA ,QUEDA AL LADO DE LA FLORISTERIA</v>
      </c>
      <c r="G10121" s="15" t="str">
        <f>IFERROR(__xludf.DUMMYFUNCTION("""COMPUTED_VALUE"""),"MARIA JOSE MELO BONILLA")</f>
        <v>MARIA JOSE MELO BONILLA</v>
      </c>
      <c r="H10121" s="16">
        <f>IFERROR(__xludf.DUMMYFUNCTION("""COMPUTED_VALUE"""),18773.0)</f>
        <v>18773</v>
      </c>
      <c r="I10121" s="17"/>
      <c r="J10121" s="17"/>
      <c r="K10121" s="17"/>
      <c r="L10121" s="17"/>
      <c r="M10121" s="17"/>
      <c r="N10121" s="17"/>
      <c r="O10121" s="17"/>
      <c r="P10121" s="17" t="b">
        <f>IFERROR(__xludf.DUMMYFUNCTION("""COMPUTED_VALUE"""),FALSE)</f>
        <v>0</v>
      </c>
      <c r="Q10121" s="20" t="str">
        <f>IFERROR(__xludf.DUMMYFUNCTION("""COMPUTED_VALUE"""),"")</f>
        <v/>
      </c>
      <c r="R10121" s="21" t="str">
        <f>IFERROR(__xludf.DUMMYFUNCTION("""COMPUTED_VALUE"""),"https://drive.google.com/file/d/1ePbZ7Ob9MnFGila8T2y_YhSw16VSBPxW/view?usp=drivesdk")</f>
        <v>https://drive.google.com/file/d/1ePbZ7Ob9MnFGila8T2y_YhSw16VSBPxW/view?usp=drivesdk</v>
      </c>
    </row>
    <row r="10122">
      <c r="A10122" s="15">
        <f>IFERROR(__xludf.DUMMYFUNCTION("""COMPUTED_VALUE"""),45287.0)</f>
        <v>45287</v>
      </c>
      <c r="B10122" s="16" t="str">
        <f>IFERROR(__xludf.DUMMYFUNCTION("""COMPUTED_VALUE"""),"JOSE ALFREDO RAMIREZ VERGARA ")</f>
        <v>JOSE ALFREDO RAMIREZ VERGARA </v>
      </c>
      <c r="C10122" s="15" t="str">
        <f>IFERROR(__xludf.DUMMYFUNCTION("""COMPUTED_VALUE"""),"BOGOTÁ")</f>
        <v>BOGOTÁ</v>
      </c>
      <c r="D10122" s="15" t="str">
        <f>IFERROR(__xludf.DUMMYFUNCTION("""COMPUTED_VALUE"""),"MEDELLÍN")</f>
        <v>MEDELLÍN</v>
      </c>
      <c r="E10122" s="15" t="str">
        <f>IFERROR(__xludf.DUMMYFUNCTION("""COMPUTED_VALUE"""),"Moloso S.A.S")</f>
        <v>Moloso S.A.S</v>
      </c>
      <c r="F10122" s="17" t="str">
        <f>IFERROR(__xludf.DUMMYFUNCTION("""COMPUTED_VALUE"""),"CR 78AN 58M 88 SUR / BOGOTA ANDALUCIA")</f>
        <v>CR 78AN 58M 88 SUR / BOGOTA ANDALUCIA</v>
      </c>
      <c r="G10122" s="15" t="str">
        <f>IFERROR(__xludf.DUMMYFUNCTION("""COMPUTED_VALUE"""),"VANESSA BELTRAN BUITRAGO")</f>
        <v>VANESSA BELTRAN BUITRAGO</v>
      </c>
      <c r="H10122" s="16">
        <f>IFERROR(__xludf.DUMMYFUNCTION("""COMPUTED_VALUE"""),18776.0)</f>
        <v>18776</v>
      </c>
      <c r="I10122" s="17"/>
      <c r="J10122" s="17"/>
      <c r="K10122" s="17"/>
      <c r="L10122" s="17"/>
      <c r="M10122" s="17"/>
      <c r="N10122" s="17"/>
      <c r="O10122" s="17"/>
      <c r="P10122" s="17" t="b">
        <f>IFERROR(__xludf.DUMMYFUNCTION("""COMPUTED_VALUE"""),FALSE)</f>
        <v>0</v>
      </c>
      <c r="Q10122" s="20" t="str">
        <f>IFERROR(__xludf.DUMMYFUNCTION("""COMPUTED_VALUE"""),"")</f>
        <v/>
      </c>
      <c r="R10122" s="21" t="str">
        <f>IFERROR(__xludf.DUMMYFUNCTION("""COMPUTED_VALUE"""),"https://drive.google.com/file/d/1UxukunKMwvkIsI0QnaJ0dJahPRVz_rHx/view?usp=drivesdk")</f>
        <v>https://drive.google.com/file/d/1UxukunKMwvkIsI0QnaJ0dJahPRVz_rHx/view?usp=drivesdk</v>
      </c>
    </row>
    <row r="10123">
      <c r="A10123" s="15">
        <f>IFERROR(__xludf.DUMMYFUNCTION("""COMPUTED_VALUE"""),45287.0)</f>
        <v>45287</v>
      </c>
      <c r="B10123" s="16" t="str">
        <f>IFERROR(__xludf.DUMMYFUNCTION("""COMPUTED_VALUE"""),"JOSE ALFREDO RAMIREZ VERGARA ")</f>
        <v>JOSE ALFREDO RAMIREZ VERGARA </v>
      </c>
      <c r="C10123" s="15" t="str">
        <f>IFERROR(__xludf.DUMMYFUNCTION("""COMPUTED_VALUE"""),"MADRID")</f>
        <v>MADRID</v>
      </c>
      <c r="D10123" s="15" t="str">
        <f>IFERROR(__xludf.DUMMYFUNCTION("""COMPUTED_VALUE"""),"BOGOTÁ")</f>
        <v>BOGOTÁ</v>
      </c>
      <c r="E10123" s="15" t="str">
        <f>IFERROR(__xludf.DUMMYFUNCTION("""COMPUTED_VALUE"""),"Hiiva Fermentados SAS")</f>
        <v>Hiiva Fermentados SAS</v>
      </c>
      <c r="F10123" s="17" t="str">
        <f>IFERROR(__xludf.DUMMYFUNCTION("""COMPUTED_VALUE"""),"calle 24 # 1 - 60 Este / Super manzana 8 torre 16 apt 103.")</f>
        <v>calle 24 # 1 - 60 Este / Super manzana 8 torre 16 apt 103.</v>
      </c>
      <c r="G10123" s="15" t="str">
        <f>IFERROR(__xludf.DUMMYFUNCTION("""COMPUTED_VALUE"""),"Madrid - Diego Hernandez")</f>
        <v>Madrid - Diego Hernandez</v>
      </c>
      <c r="H10123" s="16">
        <f>IFERROR(__xludf.DUMMYFUNCTION("""COMPUTED_VALUE"""),18799.0)</f>
        <v>18799</v>
      </c>
      <c r="I10123" s="17"/>
      <c r="J10123" s="17"/>
      <c r="K10123" s="17"/>
      <c r="L10123" s="17"/>
      <c r="M10123" s="17"/>
      <c r="N10123" s="17"/>
      <c r="O10123" s="17"/>
      <c r="P10123" s="17" t="b">
        <f>IFERROR(__xludf.DUMMYFUNCTION("""COMPUTED_VALUE"""),FALSE)</f>
        <v>0</v>
      </c>
      <c r="Q10123" s="20" t="str">
        <f>IFERROR(__xludf.DUMMYFUNCTION("""COMPUTED_VALUE"""),"")</f>
        <v/>
      </c>
      <c r="R10123" s="21" t="str">
        <f>IFERROR(__xludf.DUMMYFUNCTION("""COMPUTED_VALUE"""),"https://drive.google.com/file/d/13qs6lXRu18B2PVRjWfsfJdEyhSspcDar/view?usp=drivesdk")</f>
        <v>https://drive.google.com/file/d/13qs6lXRu18B2PVRjWfsfJdEyhSspcDar/view?usp=drivesdk</v>
      </c>
    </row>
    <row r="10124">
      <c r="A10124" s="17" t="str">
        <f>IFERROR(__xludf.DUMMYFUNCTION("""COMPUTED_VALUE"""),"")</f>
        <v/>
      </c>
      <c r="B10124" s="17" t="str">
        <f>IFERROR(__xludf.DUMMYFUNCTION("""COMPUTED_VALUE"""),"")</f>
        <v/>
      </c>
      <c r="C10124" s="17" t="str">
        <f>IFERROR(__xludf.DUMMYFUNCTION("""COMPUTED_VALUE"""),"")</f>
        <v/>
      </c>
      <c r="D10124" s="17" t="str">
        <f>IFERROR(__xludf.DUMMYFUNCTION("""COMPUTED_VALUE"""),"")</f>
        <v/>
      </c>
      <c r="E10124" s="17" t="str">
        <f>IFERROR(__xludf.DUMMYFUNCTION("""COMPUTED_VALUE"""),"")</f>
        <v/>
      </c>
      <c r="F10124" s="17" t="str">
        <f>IFERROR(__xludf.DUMMYFUNCTION("""COMPUTED_VALUE"""),"")</f>
        <v/>
      </c>
      <c r="G10124" s="17" t="str">
        <f>IFERROR(__xludf.DUMMYFUNCTION("""COMPUTED_VALUE"""),"")</f>
        <v/>
      </c>
      <c r="H10124" s="17" t="str">
        <f>IFERROR(__xludf.DUMMYFUNCTION("""COMPUTED_VALUE"""),"")</f>
        <v/>
      </c>
      <c r="I10124" s="17" t="str">
        <f>IFERROR(__xludf.DUMMYFUNCTION("""COMPUTED_VALUE"""),"")</f>
        <v/>
      </c>
      <c r="J10124" s="17" t="str">
        <f>IFERROR(__xludf.DUMMYFUNCTION("""COMPUTED_VALUE"""),"")</f>
        <v/>
      </c>
      <c r="K10124" s="17" t="str">
        <f>IFERROR(__xludf.DUMMYFUNCTION("""COMPUTED_VALUE"""),"")</f>
        <v/>
      </c>
      <c r="L10124" s="17" t="str">
        <f>IFERROR(__xludf.DUMMYFUNCTION("""COMPUTED_VALUE"""),"")</f>
        <v/>
      </c>
      <c r="M10124" s="17" t="str">
        <f>IFERROR(__xludf.DUMMYFUNCTION("""COMPUTED_VALUE"""),"")</f>
        <v/>
      </c>
      <c r="N10124" s="17" t="str">
        <f>IFERROR(__xludf.DUMMYFUNCTION("""COMPUTED_VALUE"""),"")</f>
        <v/>
      </c>
      <c r="O10124" s="17" t="str">
        <f>IFERROR(__xludf.DUMMYFUNCTION("""COMPUTED_VALUE"""),"")</f>
        <v/>
      </c>
      <c r="P10124" s="17" t="str">
        <f>IFERROR(__xludf.DUMMYFUNCTION("""COMPUTED_VALUE"""),"")</f>
        <v/>
      </c>
      <c r="Q10124" s="17" t="str">
        <f>IFERROR(__xludf.DUMMYFUNCTION("""COMPUTED_VALUE"""),"")</f>
        <v/>
      </c>
      <c r="R10124" s="17" t="str">
        <f>IFERROR(__xludf.DUMMYFUNCTION("""COMPUTED_VALUE"""),"")</f>
        <v/>
      </c>
    </row>
    <row r="10125">
      <c r="A10125" s="15">
        <f>IFERROR(__xludf.DUMMYFUNCTION("""COMPUTED_VALUE"""),45287.0)</f>
        <v>45287</v>
      </c>
      <c r="B10125" s="16" t="str">
        <f>IFERROR(__xludf.DUMMYFUNCTION("""COMPUTED_VALUE"""),"Kevin Andrés puerta Jaramillo")</f>
        <v>Kevin Andrés puerta Jaramillo</v>
      </c>
      <c r="C10125" s="15" t="str">
        <f>IFERROR(__xludf.DUMMYFUNCTION("""COMPUTED_VALUE"""),"BELLO")</f>
        <v>BELLO</v>
      </c>
      <c r="D10125" s="15" t="str">
        <f>IFERROR(__xludf.DUMMYFUNCTION("""COMPUTED_VALUE"""),"BOGOTÁ")</f>
        <v>BOGOTÁ</v>
      </c>
      <c r="E10125" s="15" t="str">
        <f>IFERROR(__xludf.DUMMYFUNCTION("""COMPUTED_VALUE"""),"LINA PAOLA RAMIREZ GOMEZ - EVA MAZZITA")</f>
        <v>LINA PAOLA RAMIREZ GOMEZ - EVA MAZZITA</v>
      </c>
      <c r="F10125" s="17" t="str">
        <f>IFERROR(__xludf.DUMMYFUNCTION("""COMPUTED_VALUE"""),"Avenida 31 # 66 - 29 / unidad cerro azul torre 1 apt 602")</f>
        <v>Avenida 31 # 66 - 29 / unidad cerro azul torre 1 apt 602</v>
      </c>
      <c r="G10125" s="15" t="str">
        <f>IFERROR(__xludf.DUMMYFUNCTION("""COMPUTED_VALUE"""),"CLAUDIA CRISTINA CALLE RUIZ")</f>
        <v>CLAUDIA CRISTINA CALLE RUIZ</v>
      </c>
      <c r="H10125" s="16">
        <f>IFERROR(__xludf.DUMMYFUNCTION("""COMPUTED_VALUE"""),18781.0)</f>
        <v>18781</v>
      </c>
      <c r="I10125" s="17"/>
      <c r="J10125" s="17"/>
      <c r="K10125" s="17"/>
      <c r="L10125" s="17">
        <f>IFERROR(__xludf.DUMMYFUNCTION("""COMPUTED_VALUE"""),3.117192332E9)</f>
        <v>3117192332</v>
      </c>
      <c r="M10125" s="17"/>
      <c r="N10125" s="17"/>
      <c r="O10125" s="17"/>
      <c r="P10125" s="17" t="b">
        <f>IFERROR(__xludf.DUMMYFUNCTION("""COMPUTED_VALUE"""),FALSE)</f>
        <v>0</v>
      </c>
      <c r="Q10125" s="20" t="str">
        <f>IFERROR(__xludf.DUMMYFUNCTION("""COMPUTED_VALUE"""),"")</f>
        <v/>
      </c>
      <c r="R10125" s="21" t="str">
        <f>IFERROR(__xludf.DUMMYFUNCTION("""COMPUTED_VALUE"""),"https://drive.google.com/file/d/1pHccW9aKKXkVrC8rCcs3EJBuaKZqbcYc/view?usp=drivesdk")</f>
        <v>https://drive.google.com/file/d/1pHccW9aKKXkVrC8rCcs3EJBuaKZqbcYc/view?usp=drivesdk</v>
      </c>
    </row>
    <row r="10126">
      <c r="A10126" s="15">
        <f>IFERROR(__xludf.DUMMYFUNCTION("""COMPUTED_VALUE"""),45287.0)</f>
        <v>45287</v>
      </c>
      <c r="B10126" s="16" t="str">
        <f>IFERROR(__xludf.DUMMYFUNCTION("""COMPUTED_VALUE"""),"Kevin Andrés puerta Jaramillo")</f>
        <v>Kevin Andrés puerta Jaramillo</v>
      </c>
      <c r="C10126" s="15" t="str">
        <f>IFERROR(__xludf.DUMMYFUNCTION("""COMPUTED_VALUE"""),"ENVIGADO")</f>
        <v>ENVIGADO</v>
      </c>
      <c r="D10126" s="15" t="str">
        <f>IFERROR(__xludf.DUMMYFUNCTION("""COMPUTED_VALUE"""),"BOGOTÁ")</f>
        <v>BOGOTÁ</v>
      </c>
      <c r="E10126" s="15" t="str">
        <f>IFERROR(__xludf.DUMMYFUNCTION("""COMPUTED_VALUE"""),"LINA PAOLA RAMIREZ GOMEZ - EVA MAZZITA")</f>
        <v>LINA PAOLA RAMIREZ GOMEZ - EVA MAZZITA</v>
      </c>
      <c r="F10126" s="17" t="str">
        <f>IFERROR(__xludf.DUMMYFUNCTION("""COMPUTED_VALUE"""),"Cra 27G#35sur-175 / Apto 728/ urb Saltamonte")</f>
        <v>Cra 27G#35sur-175 / Apto 728/ urb Saltamonte</v>
      </c>
      <c r="G10126" s="15" t="str">
        <f>IFERROR(__xludf.DUMMYFUNCTION("""COMPUTED_VALUE"""),"GISELL GARCIA GIRALDO")</f>
        <v>GISELL GARCIA GIRALDO</v>
      </c>
      <c r="H10126" s="16">
        <f>IFERROR(__xludf.DUMMYFUNCTION("""COMPUTED_VALUE"""),18794.0)</f>
        <v>18794</v>
      </c>
      <c r="I10126" s="17"/>
      <c r="J10126" s="17"/>
      <c r="K10126" s="17"/>
      <c r="L10126" s="17">
        <f>IFERROR(__xludf.DUMMYFUNCTION("""COMPUTED_VALUE"""),3.168576931E9)</f>
        <v>3168576931</v>
      </c>
      <c r="M10126" s="17"/>
      <c r="N10126" s="17"/>
      <c r="O10126" s="17"/>
      <c r="P10126" s="17" t="b">
        <f>IFERROR(__xludf.DUMMYFUNCTION("""COMPUTED_VALUE"""),FALSE)</f>
        <v>0</v>
      </c>
      <c r="Q10126" s="20" t="str">
        <f>IFERROR(__xludf.DUMMYFUNCTION("""COMPUTED_VALUE"""),"")</f>
        <v/>
      </c>
      <c r="R10126" s="21" t="str">
        <f>IFERROR(__xludf.DUMMYFUNCTION("""COMPUTED_VALUE"""),"https://drive.google.com/file/d/1cgU6y7X6GcswDVXrtBvjPMOb3EW7mt-c/view?usp=drivesdk")</f>
        <v>https://drive.google.com/file/d/1cgU6y7X6GcswDVXrtBvjPMOb3EW7mt-c/view?usp=drivesdk</v>
      </c>
    </row>
    <row r="10127">
      <c r="A10127" s="15">
        <f>IFERROR(__xludf.DUMMYFUNCTION("""COMPUTED_VALUE"""),45287.0)</f>
        <v>45287</v>
      </c>
      <c r="B10127" s="16" t="str">
        <f>IFERROR(__xludf.DUMMYFUNCTION("""COMPUTED_VALUE"""),"Kevin Andrés puerta Jaramillo")</f>
        <v>Kevin Andrés puerta Jaramillo</v>
      </c>
      <c r="C10127" s="15" t="str">
        <f>IFERROR(__xludf.DUMMYFUNCTION("""COMPUTED_VALUE"""),"ITAGÜI")</f>
        <v>ITAGÜI</v>
      </c>
      <c r="D10127" s="15" t="str">
        <f>IFERROR(__xludf.DUMMYFUNCTION("""COMPUTED_VALUE"""),"BOGOTÁ")</f>
        <v>BOGOTÁ</v>
      </c>
      <c r="E10127" s="15" t="str">
        <f>IFERROR(__xludf.DUMMYFUNCTION("""COMPUTED_VALUE"""),"LINA PAOLA RAMIREZ GOMEZ - EVA MAZZITA")</f>
        <v>LINA PAOLA RAMIREZ GOMEZ - EVA MAZZITA</v>
      </c>
      <c r="F10127" s="17" t="str">
        <f>IFERROR(__xludf.DUMMYFUNCTION("""COMPUTED_VALUE"""),"Calle 61 # 55a-55 / apartamento 202")</f>
        <v>Calle 61 # 55a-55 / apartamento 202</v>
      </c>
      <c r="G10127" s="15" t="str">
        <f>IFERROR(__xludf.DUMMYFUNCTION("""COMPUTED_VALUE"""),"JOHANA OSORIO MARULANDA")</f>
        <v>JOHANA OSORIO MARULANDA</v>
      </c>
      <c r="H10127" s="16">
        <f>IFERROR(__xludf.DUMMYFUNCTION("""COMPUTED_VALUE"""),18782.0)</f>
        <v>18782</v>
      </c>
      <c r="I10127" s="17"/>
      <c r="J10127" s="17"/>
      <c r="K10127" s="17"/>
      <c r="L10127" s="17">
        <f>IFERROR(__xludf.DUMMYFUNCTION("""COMPUTED_VALUE"""),3.187881623E9)</f>
        <v>3187881623</v>
      </c>
      <c r="M10127" s="17"/>
      <c r="N10127" s="17"/>
      <c r="O10127" s="17"/>
      <c r="P10127" s="17" t="b">
        <f>IFERROR(__xludf.DUMMYFUNCTION("""COMPUTED_VALUE"""),FALSE)</f>
        <v>0</v>
      </c>
      <c r="Q10127" s="20" t="str">
        <f>IFERROR(__xludf.DUMMYFUNCTION("""COMPUTED_VALUE"""),"")</f>
        <v/>
      </c>
      <c r="R10127" s="21" t="str">
        <f>IFERROR(__xludf.DUMMYFUNCTION("""COMPUTED_VALUE"""),"https://drive.google.com/file/d/10whECmhY97JwK3S6IWJaXTubHil7BPwv/view?usp=drivesdk")</f>
        <v>https://drive.google.com/file/d/10whECmhY97JwK3S6IWJaXTubHil7BPwv/view?usp=drivesdk</v>
      </c>
    </row>
    <row r="10128">
      <c r="A10128" s="15">
        <f>IFERROR(__xludf.DUMMYFUNCTION("""COMPUTED_VALUE"""),45287.0)</f>
        <v>45287</v>
      </c>
      <c r="B10128" s="16" t="str">
        <f>IFERROR(__xludf.DUMMYFUNCTION("""COMPUTED_VALUE"""),"Kevin Andrés puerta Jaramillo")</f>
        <v>Kevin Andrés puerta Jaramillo</v>
      </c>
      <c r="C10128" s="15" t="str">
        <f>IFERROR(__xludf.DUMMYFUNCTION("""COMPUTED_VALUE"""),"MEDELLÍN")</f>
        <v>MEDELLÍN</v>
      </c>
      <c r="D10128" s="15" t="str">
        <f>IFERROR(__xludf.DUMMYFUNCTION("""COMPUTED_VALUE"""),"BOGOTÁ")</f>
        <v>BOGOTÁ</v>
      </c>
      <c r="E10128" s="15" t="str">
        <f>IFERROR(__xludf.DUMMYFUNCTION("""COMPUTED_VALUE"""),"Frubits")</f>
        <v>Frubits</v>
      </c>
      <c r="F10128" s="17" t="str">
        <f>IFERROR(__xludf.DUMMYFUNCTION("""COMPUTED_VALUE"""),"Cra 48 nro 32 B Sur 139, centro comercial viva envigado. /  Cra 48 nro 32 B Sur 139, centro comercial viva envigado. /  Cra 48 nro 32 B Sur 139, centro comercial viva envigado.")</f>
        <v>Cra 48 nro 32 B Sur 139, centro comercial viva envigado. /  Cra 48 nro 32 B Sur 139, centro comercial viva envigado. /  Cra 48 nro 32 B Sur 139, centro comercial viva envigado.</v>
      </c>
      <c r="G10128" s="15" t="str">
        <f>IFERROR(__xludf.DUMMYFUNCTION("""COMPUTED_VALUE"""),"Catalina Zea Garcia")</f>
        <v>Catalina Zea Garcia</v>
      </c>
      <c r="H10128" s="16">
        <f>IFERROR(__xludf.DUMMYFUNCTION("""COMPUTED_VALUE"""),18812.0)</f>
        <v>18812</v>
      </c>
      <c r="I10128" s="18">
        <f>IFERROR(__xludf.DUMMYFUNCTION("""COMPUTED_VALUE"""),1.0)</f>
        <v>1</v>
      </c>
      <c r="J10128" s="18">
        <f>IFERROR(__xludf.DUMMYFUNCTION("""COMPUTED_VALUE"""),1.0)</f>
        <v>1</v>
      </c>
      <c r="K10128" s="18">
        <f>IFERROR(__xludf.DUMMYFUNCTION("""COMPUTED_VALUE"""),1.0)</f>
        <v>1</v>
      </c>
      <c r="L10128" s="17">
        <f>IFERROR(__xludf.DUMMYFUNCTION("""COMPUTED_VALUE"""),3.112551341E9)</f>
        <v>3112551341</v>
      </c>
      <c r="M10128" s="17"/>
      <c r="N10128" s="17"/>
      <c r="O10128" s="17"/>
      <c r="P10128" s="17" t="b">
        <f>IFERROR(__xludf.DUMMYFUNCTION("""COMPUTED_VALUE"""),FALSE)</f>
        <v>0</v>
      </c>
      <c r="Q10128" s="20" t="str">
        <f>IFERROR(__xludf.DUMMYFUNCTION("""COMPUTED_VALUE"""),"")</f>
        <v/>
      </c>
      <c r="R10128" s="21" t="str">
        <f>IFERROR(__xludf.DUMMYFUNCTION("""COMPUTED_VALUE"""),"https://drive.google.com/file/d/16lIxgNO_R8sobxAKfOlQc8B6pgEFGYFK/view?usp=drivesdk")</f>
        <v>https://drive.google.com/file/d/16lIxgNO_R8sobxAKfOlQc8B6pgEFGYFK/view?usp=drivesdk</v>
      </c>
    </row>
    <row r="10129">
      <c r="A10129" s="15">
        <f>IFERROR(__xludf.DUMMYFUNCTION("""COMPUTED_VALUE"""),45287.0)</f>
        <v>45287</v>
      </c>
      <c r="B10129" s="16" t="str">
        <f>IFERROR(__xludf.DUMMYFUNCTION("""COMPUTED_VALUE"""),"Kevin Andrés puerta Jaramillo")</f>
        <v>Kevin Andrés puerta Jaramillo</v>
      </c>
      <c r="C10129" s="15" t="str">
        <f>IFERROR(__xludf.DUMMYFUNCTION("""COMPUTED_VALUE"""),"MEDELLÍN")</f>
        <v>MEDELLÍN</v>
      </c>
      <c r="D10129" s="15" t="str">
        <f>IFERROR(__xludf.DUMMYFUNCTION("""COMPUTED_VALUE"""),"BOGOTÁ")</f>
        <v>BOGOTÁ</v>
      </c>
      <c r="E10129" s="15" t="str">
        <f>IFERROR(__xludf.DUMMYFUNCTION("""COMPUTED_VALUE"""),"Hiiva Fermentados SAS")</f>
        <v>Hiiva Fermentados SAS</v>
      </c>
      <c r="F10129" s="17" t="str">
        <f>IFERROR(__xludf.DUMMYFUNCTION("""COMPUTED_VALUE"""),"Calle 98 #50b-19 primer piso / Preguntar por Doña Fabiola")</f>
        <v>Calle 98 #50b-19 primer piso / Preguntar por Doña Fabiola</v>
      </c>
      <c r="G10129" s="15" t="str">
        <f>IFERROR(__xludf.DUMMYFUNCTION("""COMPUTED_VALUE"""),"Bayron")</f>
        <v>Bayron</v>
      </c>
      <c r="H10129" s="16">
        <f>IFERROR(__xludf.DUMMYFUNCTION("""COMPUTED_VALUE"""),18798.0)</f>
        <v>18798</v>
      </c>
      <c r="I10129" s="17"/>
      <c r="J10129" s="17"/>
      <c r="K10129" s="17"/>
      <c r="L10129" s="17">
        <f>IFERROR(__xludf.DUMMYFUNCTION("""COMPUTED_VALUE"""),3.166261966E9)</f>
        <v>3166261966</v>
      </c>
      <c r="M10129" s="17"/>
      <c r="N10129" s="17"/>
      <c r="O10129" s="17"/>
      <c r="P10129" s="17" t="b">
        <f>IFERROR(__xludf.DUMMYFUNCTION("""COMPUTED_VALUE"""),FALSE)</f>
        <v>0</v>
      </c>
      <c r="Q10129" s="20" t="str">
        <f>IFERROR(__xludf.DUMMYFUNCTION("""COMPUTED_VALUE"""),"")</f>
        <v/>
      </c>
      <c r="R10129" s="21" t="str">
        <f>IFERROR(__xludf.DUMMYFUNCTION("""COMPUTED_VALUE"""),"https://drive.google.com/file/d/1H38SMm5HxIErRVbrttdUmtU8q9IygDuG/view?usp=drivesdk")</f>
        <v>https://drive.google.com/file/d/1H38SMm5HxIErRVbrttdUmtU8q9IygDuG/view?usp=drivesdk</v>
      </c>
    </row>
    <row r="10130">
      <c r="A10130" s="15">
        <f>IFERROR(__xludf.DUMMYFUNCTION("""COMPUTED_VALUE"""),45287.0)</f>
        <v>45287</v>
      </c>
      <c r="B10130" s="16" t="str">
        <f>IFERROR(__xludf.DUMMYFUNCTION("""COMPUTED_VALUE"""),"Kevin Andrés puerta Jaramillo")</f>
        <v>Kevin Andrés puerta Jaramillo</v>
      </c>
      <c r="C10130" s="15" t="str">
        <f>IFERROR(__xludf.DUMMYFUNCTION("""COMPUTED_VALUE"""),"MEDELLÍN")</f>
        <v>MEDELLÍN</v>
      </c>
      <c r="D10130" s="15" t="str">
        <f>IFERROR(__xludf.DUMMYFUNCTION("""COMPUTED_VALUE"""),"BOGOTÁ")</f>
        <v>BOGOTÁ</v>
      </c>
      <c r="E10130" s="15" t="str">
        <f>IFERROR(__xludf.DUMMYFUNCTION("""COMPUTED_VALUE"""),"LINA PAOLA RAMIREZ GOMEZ - EVA MAZZITA")</f>
        <v>LINA PAOLA RAMIREZ GOMEZ - EVA MAZZITA</v>
      </c>
      <c r="F10130" s="17" t="str">
        <f>IFERROR(__xludf.DUMMYFUNCTION("""COMPUTED_VALUE"""),"calle 47 A # 98-20 / Apto 302")</f>
        <v>calle 47 A # 98-20 / Apto 302</v>
      </c>
      <c r="G10130" s="15" t="str">
        <f>IFERROR(__xludf.DUMMYFUNCTION("""COMPUTED_VALUE"""),"DANIELA ORTIZ ZAPATA")</f>
        <v>DANIELA ORTIZ ZAPATA</v>
      </c>
      <c r="H10130" s="16">
        <f>IFERROR(__xludf.DUMMYFUNCTION("""COMPUTED_VALUE"""),18784.0)</f>
        <v>18784</v>
      </c>
      <c r="I10130" s="17"/>
      <c r="J10130" s="17"/>
      <c r="K10130" s="17"/>
      <c r="L10130" s="17">
        <f>IFERROR(__xludf.DUMMYFUNCTION("""COMPUTED_VALUE"""),3.012167273E9)</f>
        <v>3012167273</v>
      </c>
      <c r="M10130" s="17"/>
      <c r="N10130" s="17"/>
      <c r="O10130" s="17"/>
      <c r="P10130" s="17" t="b">
        <f>IFERROR(__xludf.DUMMYFUNCTION("""COMPUTED_VALUE"""),FALSE)</f>
        <v>0</v>
      </c>
      <c r="Q10130" s="20" t="str">
        <f>IFERROR(__xludf.DUMMYFUNCTION("""COMPUTED_VALUE"""),"")</f>
        <v/>
      </c>
      <c r="R10130" s="21" t="str">
        <f>IFERROR(__xludf.DUMMYFUNCTION("""COMPUTED_VALUE"""),"https://drive.google.com/file/d/12uzUHBl8tpArVddNA0NGIb-ChlyEq1vQ/view?usp=drivesdk")</f>
        <v>https://drive.google.com/file/d/12uzUHBl8tpArVddNA0NGIb-ChlyEq1vQ/view?usp=drivesdk</v>
      </c>
    </row>
    <row r="10131">
      <c r="A10131" s="15">
        <f>IFERROR(__xludf.DUMMYFUNCTION("""COMPUTED_VALUE"""),45287.0)</f>
        <v>45287</v>
      </c>
      <c r="B10131" s="16" t="str">
        <f>IFERROR(__xludf.DUMMYFUNCTION("""COMPUTED_VALUE"""),"Kevin Andrés puerta Jaramillo")</f>
        <v>Kevin Andrés puerta Jaramillo</v>
      </c>
      <c r="C10131" s="15" t="str">
        <f>IFERROR(__xludf.DUMMYFUNCTION("""COMPUTED_VALUE"""),"MEDELLÍN")</f>
        <v>MEDELLÍN</v>
      </c>
      <c r="D10131" s="15" t="str">
        <f>IFERROR(__xludf.DUMMYFUNCTION("""COMPUTED_VALUE"""),"BOGOTÁ")</f>
        <v>BOGOTÁ</v>
      </c>
      <c r="E10131" s="15" t="str">
        <f>IFERROR(__xludf.DUMMYFUNCTION("""COMPUTED_VALUE"""),"Loomifoods")</f>
        <v>Loomifoods</v>
      </c>
      <c r="F10131" s="17" t="str">
        <f>IFERROR(__xludf.DUMMYFUNCTION("""COMPUTED_VALUE"""),"Calle 48 sur # 40 23 /  El Trianon /  envigado")</f>
        <v>Calle 48 sur # 40 23 /  El Trianon /  envigado</v>
      </c>
      <c r="G10131" s="15" t="str">
        <f>IFERROR(__xludf.DUMMYFUNCTION("""COMPUTED_VALUE"""),"Natalia Moreno")</f>
        <v>Natalia Moreno</v>
      </c>
      <c r="H10131" s="16">
        <f>IFERROR(__xludf.DUMMYFUNCTION("""COMPUTED_VALUE"""),18800.0)</f>
        <v>18800</v>
      </c>
      <c r="I10131" s="18">
        <f>IFERROR(__xludf.DUMMYFUNCTION("""COMPUTED_VALUE"""),19.0)</f>
        <v>19</v>
      </c>
      <c r="J10131" s="18">
        <f>IFERROR(__xludf.DUMMYFUNCTION("""COMPUTED_VALUE"""),10.0)</f>
        <v>10</v>
      </c>
      <c r="K10131" s="18">
        <f>IFERROR(__xludf.DUMMYFUNCTION("""COMPUTED_VALUE"""),16.0)</f>
        <v>16</v>
      </c>
      <c r="L10131" s="17">
        <f>IFERROR(__xludf.DUMMYFUNCTION("""COMPUTED_VALUE"""),3.217218709E9)</f>
        <v>3217218709</v>
      </c>
      <c r="M10131" s="17"/>
      <c r="N10131" s="17"/>
      <c r="O10131" s="17"/>
      <c r="P10131" s="17" t="b">
        <f>IFERROR(__xludf.DUMMYFUNCTION("""COMPUTED_VALUE"""),FALSE)</f>
        <v>0</v>
      </c>
      <c r="Q10131" s="20" t="str">
        <f>IFERROR(__xludf.DUMMYFUNCTION("""COMPUTED_VALUE"""),"")</f>
        <v/>
      </c>
      <c r="R10131" s="21" t="str">
        <f>IFERROR(__xludf.DUMMYFUNCTION("""COMPUTED_VALUE"""),"https://drive.google.com/file/d/1-fNEQzsgdiNrc-2XUNFeo5NIGUmYnZNH/view?usp=drivesdk")</f>
        <v>https://drive.google.com/file/d/1-fNEQzsgdiNrc-2XUNFeo5NIGUmYnZNH/view?usp=drivesdk</v>
      </c>
    </row>
    <row r="10132">
      <c r="A10132" s="15">
        <f>IFERROR(__xludf.DUMMYFUNCTION("""COMPUTED_VALUE"""),45287.0)</f>
        <v>45287</v>
      </c>
      <c r="B10132" s="16" t="str">
        <f>IFERROR(__xludf.DUMMYFUNCTION("""COMPUTED_VALUE"""),"Kevin Andrés puerta Jaramillo")</f>
        <v>Kevin Andrés puerta Jaramillo</v>
      </c>
      <c r="C10132" s="15" t="str">
        <f>IFERROR(__xludf.DUMMYFUNCTION("""COMPUTED_VALUE"""),"MEDELLÍN")</f>
        <v>MEDELLÍN</v>
      </c>
      <c r="D10132" s="15" t="str">
        <f>IFERROR(__xludf.DUMMYFUNCTION("""COMPUTED_VALUE"""),"BOGOTÁ")</f>
        <v>BOGOTÁ</v>
      </c>
      <c r="E10132" s="15" t="str">
        <f>IFERROR(__xludf.DUMMYFUNCTION("""COMPUTED_VALUE"""),"Top Spun")</f>
        <v>Top Spun</v>
      </c>
      <c r="F10132" s="17" t="str">
        <f>IFERROR(__xludf.DUMMYFUNCTION("""COMPUTED_VALUE"""),"Calle 38#96-02 / Urbanización plaza Linares, Apto 119 bloque 2  /  barrio Santa Mónica II Medellín Antioquia")</f>
        <v>Calle 38#96-02 / Urbanización plaza Linares, Apto 119 bloque 2  /  barrio Santa Mónica II Medellín Antioquia</v>
      </c>
      <c r="G10132" s="15" t="str">
        <f>IFERROR(__xludf.DUMMYFUNCTION("""COMPUTED_VALUE"""),"Martina González")</f>
        <v>Martina González</v>
      </c>
      <c r="H10132" s="16">
        <f>IFERROR(__xludf.DUMMYFUNCTION("""COMPUTED_VALUE"""),18747.0)</f>
        <v>18747</v>
      </c>
      <c r="I10132" s="18">
        <f>IFERROR(__xludf.DUMMYFUNCTION("""COMPUTED_VALUE"""),20.0)</f>
        <v>20</v>
      </c>
      <c r="J10132" s="18">
        <f>IFERROR(__xludf.DUMMYFUNCTION("""COMPUTED_VALUE"""),10.0)</f>
        <v>10</v>
      </c>
      <c r="K10132" s="18">
        <f>IFERROR(__xludf.DUMMYFUNCTION("""COMPUTED_VALUE"""),40.0)</f>
        <v>40</v>
      </c>
      <c r="L10132" s="17">
        <f>IFERROR(__xludf.DUMMYFUNCTION("""COMPUTED_VALUE"""),3.005376362E9)</f>
        <v>3005376362</v>
      </c>
      <c r="M10132" s="17"/>
      <c r="N10132" s="17"/>
      <c r="O10132" s="17"/>
      <c r="P10132" s="17" t="b">
        <f>IFERROR(__xludf.DUMMYFUNCTION("""COMPUTED_VALUE"""),FALSE)</f>
        <v>0</v>
      </c>
      <c r="Q10132" s="20" t="str">
        <f>IFERROR(__xludf.DUMMYFUNCTION("""COMPUTED_VALUE"""),"")</f>
        <v/>
      </c>
      <c r="R10132" s="21" t="str">
        <f>IFERROR(__xludf.DUMMYFUNCTION("""COMPUTED_VALUE"""),"https://drive.google.com/file/d/19l7f1eMz4pxNr2dP7MTrueV8ulwLG_tt/view?usp=drivesdk")</f>
        <v>https://drive.google.com/file/d/19l7f1eMz4pxNr2dP7MTrueV8ulwLG_tt/view?usp=drivesdk</v>
      </c>
    </row>
    <row r="10133">
      <c r="A10133" s="15">
        <f>IFERROR(__xludf.DUMMYFUNCTION("""COMPUTED_VALUE"""),45287.0)</f>
        <v>45287</v>
      </c>
      <c r="B10133" s="16" t="str">
        <f>IFERROR(__xludf.DUMMYFUNCTION("""COMPUTED_VALUE"""),"Kevin Andrés puerta Jaramillo")</f>
        <v>Kevin Andrés puerta Jaramillo</v>
      </c>
      <c r="C10133" s="15" t="str">
        <f>IFERROR(__xludf.DUMMYFUNCTION("""COMPUTED_VALUE"""),"MEDELLÍN")</f>
        <v>MEDELLÍN</v>
      </c>
      <c r="D10133" s="15" t="str">
        <f>IFERROR(__xludf.DUMMYFUNCTION("""COMPUTED_VALUE"""),"BOGOTÁ")</f>
        <v>BOGOTÁ</v>
      </c>
      <c r="E10133" s="15" t="str">
        <f>IFERROR(__xludf.DUMMYFUNCTION("""COMPUTED_VALUE"""),"Top Spun")</f>
        <v>Top Spun</v>
      </c>
      <c r="F10133" s="17" t="str">
        <f>IFERROR(__xludf.DUMMYFUNCTION("""COMPUTED_VALUE"""),"Carrera 84 A # 63-55 301  /  APTO 301 / Robledo parque Medellín Antioquia")</f>
        <v>Carrera 84 A # 63-55 301  /  APTO 301 / Robledo parque Medellín Antioquia</v>
      </c>
      <c r="G10133" s="15" t="str">
        <f>IFERROR(__xludf.DUMMYFUNCTION("""COMPUTED_VALUE"""),"KAREN MARTINEZ VILLA")</f>
        <v>KAREN MARTINEZ VILLA</v>
      </c>
      <c r="H10133" s="16">
        <f>IFERROR(__xludf.DUMMYFUNCTION("""COMPUTED_VALUE"""),18742.0)</f>
        <v>18742</v>
      </c>
      <c r="I10133" s="18">
        <f>IFERROR(__xludf.DUMMYFUNCTION("""COMPUTED_VALUE"""),20.0)</f>
        <v>20</v>
      </c>
      <c r="J10133" s="18">
        <f>IFERROR(__xludf.DUMMYFUNCTION("""COMPUTED_VALUE"""),10.0)</f>
        <v>10</v>
      </c>
      <c r="K10133" s="18">
        <f>IFERROR(__xludf.DUMMYFUNCTION("""COMPUTED_VALUE"""),40.0)</f>
        <v>40</v>
      </c>
      <c r="L10133" s="17">
        <f>IFERROR(__xludf.DUMMYFUNCTION("""COMPUTED_VALUE"""),3.00547152E9)</f>
        <v>3005471520</v>
      </c>
      <c r="M10133" s="17"/>
      <c r="N10133" s="17"/>
      <c r="O10133" s="17"/>
      <c r="P10133" s="17" t="b">
        <f>IFERROR(__xludf.DUMMYFUNCTION("""COMPUTED_VALUE"""),FALSE)</f>
        <v>0</v>
      </c>
      <c r="Q10133" s="20" t="str">
        <f>IFERROR(__xludf.DUMMYFUNCTION("""COMPUTED_VALUE"""),"")</f>
        <v/>
      </c>
      <c r="R10133" s="21" t="str">
        <f>IFERROR(__xludf.DUMMYFUNCTION("""COMPUTED_VALUE"""),"https://drive.google.com/file/d/1pavURb9RwW9bzRxkij9jzsnO4gZXzdM3/view?usp=drivesdk")</f>
        <v>https://drive.google.com/file/d/1pavURb9RwW9bzRxkij9jzsnO4gZXzdM3/view?usp=drivesdk</v>
      </c>
    </row>
    <row r="10134">
      <c r="A10134" s="15">
        <f>IFERROR(__xludf.DUMMYFUNCTION("""COMPUTED_VALUE"""),45287.0)</f>
        <v>45287</v>
      </c>
      <c r="B10134" s="16" t="str">
        <f>IFERROR(__xludf.DUMMYFUNCTION("""COMPUTED_VALUE"""),"Kevin Andrés puerta Jaramillo")</f>
        <v>Kevin Andrés puerta Jaramillo</v>
      </c>
      <c r="C10134" s="15" t="str">
        <f>IFERROR(__xludf.DUMMYFUNCTION("""COMPUTED_VALUE"""),"MEDELLÍN")</f>
        <v>MEDELLÍN</v>
      </c>
      <c r="D10134" s="15" t="str">
        <f>IFERROR(__xludf.DUMMYFUNCTION("""COMPUTED_VALUE"""),"BOGOTÁ")</f>
        <v>BOGOTÁ</v>
      </c>
      <c r="E10134" s="15" t="str">
        <f>IFERROR(__xludf.DUMMYFUNCTION("""COMPUTED_VALUE"""),"Top Spun")</f>
        <v>Top Spun</v>
      </c>
      <c r="F10134" s="17" t="str">
        <f>IFERROR(__xludf.DUMMYFUNCTION("""COMPUTED_VALUE"""),"CRA 46 #75SUR-150  / APTO 1304, APARTAMENTOS KORE  / Sabaneta Antioquia")</f>
        <v>CRA 46 #75SUR-150  / APTO 1304, APARTAMENTOS KORE  / Sabaneta Antioquia</v>
      </c>
      <c r="G10134" s="15" t="str">
        <f>IFERROR(__xludf.DUMMYFUNCTION("""COMPUTED_VALUE"""),"YULY VIVIANA ZAPATA")</f>
        <v>YULY VIVIANA ZAPATA</v>
      </c>
      <c r="H10134" s="16">
        <f>IFERROR(__xludf.DUMMYFUNCTION("""COMPUTED_VALUE"""),18743.0)</f>
        <v>18743</v>
      </c>
      <c r="I10134" s="18">
        <f>IFERROR(__xludf.DUMMYFUNCTION("""COMPUTED_VALUE"""),20.0)</f>
        <v>20</v>
      </c>
      <c r="J10134" s="18">
        <f>IFERROR(__xludf.DUMMYFUNCTION("""COMPUTED_VALUE"""),10.0)</f>
        <v>10</v>
      </c>
      <c r="K10134" s="18">
        <f>IFERROR(__xludf.DUMMYFUNCTION("""COMPUTED_VALUE"""),40.0)</f>
        <v>40</v>
      </c>
      <c r="L10134" s="17">
        <f>IFERROR(__xludf.DUMMYFUNCTION("""COMPUTED_VALUE"""),3.148048123E9)</f>
        <v>3148048123</v>
      </c>
      <c r="M10134" s="17"/>
      <c r="N10134" s="17"/>
      <c r="O10134" s="17"/>
      <c r="P10134" s="17" t="b">
        <f>IFERROR(__xludf.DUMMYFUNCTION("""COMPUTED_VALUE"""),FALSE)</f>
        <v>0</v>
      </c>
      <c r="Q10134" s="20" t="str">
        <f>IFERROR(__xludf.DUMMYFUNCTION("""COMPUTED_VALUE"""),"")</f>
        <v/>
      </c>
      <c r="R10134" s="21" t="str">
        <f>IFERROR(__xludf.DUMMYFUNCTION("""COMPUTED_VALUE"""),"https://drive.google.com/file/d/1DXSHEWoMjbk94KsFhJqefQRlyAvR0cBU/view?usp=drivesdk")</f>
        <v>https://drive.google.com/file/d/1DXSHEWoMjbk94KsFhJqefQRlyAvR0cBU/view?usp=drivesdk</v>
      </c>
    </row>
    <row r="10135">
      <c r="A10135" s="15">
        <f>IFERROR(__xludf.DUMMYFUNCTION("""COMPUTED_VALUE"""),45287.0)</f>
        <v>45287</v>
      </c>
      <c r="B10135" s="16" t="str">
        <f>IFERROR(__xludf.DUMMYFUNCTION("""COMPUTED_VALUE"""),"Kevin Andrés puerta Jaramillo")</f>
        <v>Kevin Andrés puerta Jaramillo</v>
      </c>
      <c r="C10135" s="15" t="str">
        <f>IFERROR(__xludf.DUMMYFUNCTION("""COMPUTED_VALUE"""),"SABANETA")</f>
        <v>SABANETA</v>
      </c>
      <c r="D10135" s="15" t="str">
        <f>IFERROR(__xludf.DUMMYFUNCTION("""COMPUTED_VALUE"""),"BOGOTÁ")</f>
        <v>BOGOTÁ</v>
      </c>
      <c r="E10135" s="15" t="str">
        <f>IFERROR(__xludf.DUMMYFUNCTION("""COMPUTED_VALUE"""),"LINA PAOLA RAMIREZ GOMEZ - EVA MAZZITA")</f>
        <v>LINA PAOLA RAMIREZ GOMEZ - EVA MAZZITA</v>
      </c>
      <c r="F10135" s="17" t="str">
        <f>IFERROR(__xludf.DUMMYFUNCTION("""COMPUTED_VALUE"""),"Cra 32 # 77 sur 205 / Apartamento 1926")</f>
        <v>Cra 32 # 77 sur 205 / Apartamento 1926</v>
      </c>
      <c r="G10135" s="15" t="str">
        <f>IFERROR(__xludf.DUMMYFUNCTION("""COMPUTED_VALUE"""),"ALEJANDRA ACOSTA MORALES")</f>
        <v>ALEJANDRA ACOSTA MORALES</v>
      </c>
      <c r="H10135" s="16">
        <f>IFERROR(__xludf.DUMMYFUNCTION("""COMPUTED_VALUE"""),18783.0)</f>
        <v>18783</v>
      </c>
      <c r="I10135" s="17"/>
      <c r="J10135" s="17"/>
      <c r="K10135" s="17"/>
      <c r="L10135" s="17">
        <f>IFERROR(__xludf.DUMMYFUNCTION("""COMPUTED_VALUE"""),3.023734592E9)</f>
        <v>3023734592</v>
      </c>
      <c r="M10135" s="17"/>
      <c r="N10135" s="17"/>
      <c r="O10135" s="17"/>
      <c r="P10135" s="17" t="b">
        <f>IFERROR(__xludf.DUMMYFUNCTION("""COMPUTED_VALUE"""),FALSE)</f>
        <v>0</v>
      </c>
      <c r="Q10135" s="20" t="str">
        <f>IFERROR(__xludf.DUMMYFUNCTION("""COMPUTED_VALUE"""),"")</f>
        <v/>
      </c>
      <c r="R10135" s="21" t="str">
        <f>IFERROR(__xludf.DUMMYFUNCTION("""COMPUTED_VALUE"""),"https://drive.google.com/file/d/1MlaGFzd4-U6QpXDWc0VV8w8jUZOZChuV/view?usp=drivesdk")</f>
        <v>https://drive.google.com/file/d/1MlaGFzd4-U6QpXDWc0VV8w8jUZOZChuV/view?usp=drivesdk</v>
      </c>
    </row>
    <row r="10136">
      <c r="A10136" s="17" t="str">
        <f>IFERROR(__xludf.DUMMYFUNCTION("""COMPUTED_VALUE"""),"")</f>
        <v/>
      </c>
      <c r="B10136" s="17" t="str">
        <f>IFERROR(__xludf.DUMMYFUNCTION("""COMPUTED_VALUE"""),"")</f>
        <v/>
      </c>
      <c r="C10136" s="17" t="str">
        <f>IFERROR(__xludf.DUMMYFUNCTION("""COMPUTED_VALUE"""),"")</f>
        <v/>
      </c>
      <c r="D10136" s="17" t="str">
        <f>IFERROR(__xludf.DUMMYFUNCTION("""COMPUTED_VALUE"""),"")</f>
        <v/>
      </c>
      <c r="E10136" s="17" t="str">
        <f>IFERROR(__xludf.DUMMYFUNCTION("""COMPUTED_VALUE"""),"")</f>
        <v/>
      </c>
      <c r="F10136" s="17" t="str">
        <f>IFERROR(__xludf.DUMMYFUNCTION("""COMPUTED_VALUE"""),"")</f>
        <v/>
      </c>
      <c r="G10136" s="17" t="str">
        <f>IFERROR(__xludf.DUMMYFUNCTION("""COMPUTED_VALUE"""),"")</f>
        <v/>
      </c>
      <c r="H10136" s="17" t="str">
        <f>IFERROR(__xludf.DUMMYFUNCTION("""COMPUTED_VALUE"""),"")</f>
        <v/>
      </c>
      <c r="I10136" s="17" t="str">
        <f>IFERROR(__xludf.DUMMYFUNCTION("""COMPUTED_VALUE"""),"")</f>
        <v/>
      </c>
      <c r="J10136" s="17" t="str">
        <f>IFERROR(__xludf.DUMMYFUNCTION("""COMPUTED_VALUE"""),"")</f>
        <v/>
      </c>
      <c r="K10136" s="17" t="str">
        <f>IFERROR(__xludf.DUMMYFUNCTION("""COMPUTED_VALUE"""),"")</f>
        <v/>
      </c>
      <c r="L10136" s="17" t="str">
        <f>IFERROR(__xludf.DUMMYFUNCTION("""COMPUTED_VALUE"""),"")</f>
        <v/>
      </c>
      <c r="M10136" s="17" t="str">
        <f>IFERROR(__xludf.DUMMYFUNCTION("""COMPUTED_VALUE"""),"")</f>
        <v/>
      </c>
      <c r="N10136" s="17" t="str">
        <f>IFERROR(__xludf.DUMMYFUNCTION("""COMPUTED_VALUE"""),"")</f>
        <v/>
      </c>
      <c r="O10136" s="17" t="str">
        <f>IFERROR(__xludf.DUMMYFUNCTION("""COMPUTED_VALUE"""),"")</f>
        <v/>
      </c>
      <c r="P10136" s="17" t="str">
        <f>IFERROR(__xludf.DUMMYFUNCTION("""COMPUTED_VALUE"""),"")</f>
        <v/>
      </c>
      <c r="Q10136" s="17" t="str">
        <f>IFERROR(__xludf.DUMMYFUNCTION("""COMPUTED_VALUE"""),"")</f>
        <v/>
      </c>
      <c r="R10136" s="17" t="str">
        <f>IFERROR(__xludf.DUMMYFUNCTION("""COMPUTED_VALUE"""),"")</f>
        <v/>
      </c>
    </row>
    <row r="10137">
      <c r="A10137" s="15">
        <f>IFERROR(__xludf.DUMMYFUNCTION("""COMPUTED_VALUE"""),45288.0)</f>
        <v>45288</v>
      </c>
      <c r="B10137" s="17"/>
      <c r="C10137" s="15" t="str">
        <f>IFERROR(__xludf.DUMMYFUNCTION("""COMPUTED_VALUE"""),"BOGOTÁ")</f>
        <v>BOGOTÁ</v>
      </c>
      <c r="D10137" s="15" t="str">
        <f>IFERROR(__xludf.DUMMYFUNCTION("""COMPUTED_VALUE"""),"ARMENIA")</f>
        <v>ARMENIA</v>
      </c>
      <c r="E10137" s="15" t="str">
        <f>IFERROR(__xludf.DUMMYFUNCTION("""COMPUTED_VALUE"""),"Natalia Carreño")</f>
        <v>Natalia Carreño</v>
      </c>
      <c r="F10137" s="17" t="str">
        <f>IFERROR(__xludf.DUMMYFUNCTION("""COMPUTED_VALUE"""),"Carrera 27 #70-83 / Casa color curuba / Los Alcázares")</f>
        <v>Carrera 27 #70-83 / Casa color curuba / Los Alcázares</v>
      </c>
      <c r="G10137" s="15" t="str">
        <f>IFERROR(__xludf.DUMMYFUNCTION("""COMPUTED_VALUE"""),"Natalia Carreño")</f>
        <v>Natalia Carreño</v>
      </c>
      <c r="H10137" s="16">
        <f>IFERROR(__xludf.DUMMYFUNCTION("""COMPUTED_VALUE"""),18815.0)</f>
        <v>18815</v>
      </c>
      <c r="I10137" s="18">
        <f>IFERROR(__xludf.DUMMYFUNCTION("""COMPUTED_VALUE"""),60.0)</f>
        <v>60</v>
      </c>
      <c r="J10137" s="18">
        <f>IFERROR(__xludf.DUMMYFUNCTION("""COMPUTED_VALUE"""),60.0)</f>
        <v>60</v>
      </c>
      <c r="K10137" s="18">
        <f>IFERROR(__xludf.DUMMYFUNCTION("""COMPUTED_VALUE"""),60.0)</f>
        <v>60</v>
      </c>
      <c r="L10137" s="17">
        <f>IFERROR(__xludf.DUMMYFUNCTION("""COMPUTED_VALUE"""),3.11561131E9)</f>
        <v>3115611310</v>
      </c>
      <c r="M10137" s="17"/>
      <c r="N10137" s="17"/>
      <c r="O10137" s="17"/>
      <c r="P10137" s="17" t="b">
        <f>IFERROR(__xludf.DUMMYFUNCTION("""COMPUTED_VALUE"""),FALSE)</f>
        <v>0</v>
      </c>
      <c r="Q10137" s="20" t="str">
        <f>IFERROR(__xludf.DUMMYFUNCTION("""COMPUTED_VALUE"""),"")</f>
        <v/>
      </c>
      <c r="R10137" s="22" t="str">
        <f>IFERROR(__xludf.DUMMYFUNCTION("""COMPUTED_VALUE"""),"")</f>
        <v/>
      </c>
    </row>
    <row r="10138">
      <c r="A10138" s="15">
        <f>IFERROR(__xludf.DUMMYFUNCTION("""COMPUTED_VALUE"""),45288.0)</f>
        <v>45288</v>
      </c>
      <c r="B10138" s="17"/>
      <c r="C10138" s="15" t="str">
        <f>IFERROR(__xludf.DUMMYFUNCTION("""COMPUTED_VALUE"""),"BOGOTÁ")</f>
        <v>BOGOTÁ</v>
      </c>
      <c r="D10138" s="15" t="str">
        <f>IFERROR(__xludf.DUMMYFUNCTION("""COMPUTED_VALUE"""),"CALI")</f>
        <v>CALI</v>
      </c>
      <c r="E10138" s="15" t="str">
        <f>IFERROR(__xludf.DUMMYFUNCTION("""COMPUTED_VALUE"""),"Natalia Carreño")</f>
        <v>Natalia Carreño</v>
      </c>
      <c r="F10138" s="17" t="str">
        <f>IFERROR(__xludf.DUMMYFUNCTION("""COMPUTED_VALUE"""),"Carrera 27 #70-83 / Casa color curuba / los alcázares")</f>
        <v>Carrera 27 #70-83 / Casa color curuba / los alcázares</v>
      </c>
      <c r="G10138" s="15" t="str">
        <f>IFERROR(__xludf.DUMMYFUNCTION("""COMPUTED_VALUE"""),"Natalia Carreño")</f>
        <v>Natalia Carreño</v>
      </c>
      <c r="H10138" s="16">
        <f>IFERROR(__xludf.DUMMYFUNCTION("""COMPUTED_VALUE"""),18821.0)</f>
        <v>18821</v>
      </c>
      <c r="I10138" s="18">
        <f>IFERROR(__xludf.DUMMYFUNCTION("""COMPUTED_VALUE"""),60.0)</f>
        <v>60</v>
      </c>
      <c r="J10138" s="18">
        <f>IFERROR(__xludf.DUMMYFUNCTION("""COMPUTED_VALUE"""),60.0)</f>
        <v>60</v>
      </c>
      <c r="K10138" s="18">
        <f>IFERROR(__xludf.DUMMYFUNCTION("""COMPUTED_VALUE"""),60.0)</f>
        <v>60</v>
      </c>
      <c r="L10138" s="17">
        <f>IFERROR(__xludf.DUMMYFUNCTION("""COMPUTED_VALUE"""),3.11561131E9)</f>
        <v>3115611310</v>
      </c>
      <c r="M10138" s="17"/>
      <c r="N10138" s="17"/>
      <c r="O10138" s="17"/>
      <c r="P10138" s="17" t="b">
        <f>IFERROR(__xludf.DUMMYFUNCTION("""COMPUTED_VALUE"""),FALSE)</f>
        <v>0</v>
      </c>
      <c r="Q10138" s="20" t="str">
        <f>IFERROR(__xludf.DUMMYFUNCTION("""COMPUTED_VALUE"""),"")</f>
        <v/>
      </c>
      <c r="R10138" s="22" t="str">
        <f>IFERROR(__xludf.DUMMYFUNCTION("""COMPUTED_VALUE"""),"")</f>
        <v/>
      </c>
    </row>
    <row r="10139">
      <c r="A10139" s="17" t="str">
        <f>IFERROR(__xludf.DUMMYFUNCTION("""COMPUTED_VALUE"""),"")</f>
        <v/>
      </c>
      <c r="B10139" s="17" t="str">
        <f>IFERROR(__xludf.DUMMYFUNCTION("""COMPUTED_VALUE"""),"")</f>
        <v/>
      </c>
      <c r="C10139" s="17" t="str">
        <f>IFERROR(__xludf.DUMMYFUNCTION("""COMPUTED_VALUE"""),"")</f>
        <v/>
      </c>
      <c r="D10139" s="17" t="str">
        <f>IFERROR(__xludf.DUMMYFUNCTION("""COMPUTED_VALUE"""),"")</f>
        <v/>
      </c>
      <c r="E10139" s="17" t="str">
        <f>IFERROR(__xludf.DUMMYFUNCTION("""COMPUTED_VALUE"""),"")</f>
        <v/>
      </c>
      <c r="F10139" s="17" t="str">
        <f>IFERROR(__xludf.DUMMYFUNCTION("""COMPUTED_VALUE"""),"")</f>
        <v/>
      </c>
      <c r="G10139" s="17" t="str">
        <f>IFERROR(__xludf.DUMMYFUNCTION("""COMPUTED_VALUE"""),"")</f>
        <v/>
      </c>
      <c r="H10139" s="17" t="str">
        <f>IFERROR(__xludf.DUMMYFUNCTION("""COMPUTED_VALUE"""),"")</f>
        <v/>
      </c>
      <c r="I10139" s="17" t="str">
        <f>IFERROR(__xludf.DUMMYFUNCTION("""COMPUTED_VALUE"""),"")</f>
        <v/>
      </c>
      <c r="J10139" s="17" t="str">
        <f>IFERROR(__xludf.DUMMYFUNCTION("""COMPUTED_VALUE"""),"")</f>
        <v/>
      </c>
      <c r="K10139" s="17" t="str">
        <f>IFERROR(__xludf.DUMMYFUNCTION("""COMPUTED_VALUE"""),"")</f>
        <v/>
      </c>
      <c r="L10139" s="17" t="str">
        <f>IFERROR(__xludf.DUMMYFUNCTION("""COMPUTED_VALUE"""),"")</f>
        <v/>
      </c>
      <c r="M10139" s="17" t="str">
        <f>IFERROR(__xludf.DUMMYFUNCTION("""COMPUTED_VALUE"""),"")</f>
        <v/>
      </c>
      <c r="N10139" s="17" t="str">
        <f>IFERROR(__xludf.DUMMYFUNCTION("""COMPUTED_VALUE"""),"")</f>
        <v/>
      </c>
      <c r="O10139" s="17" t="str">
        <f>IFERROR(__xludf.DUMMYFUNCTION("""COMPUTED_VALUE"""),"")</f>
        <v/>
      </c>
      <c r="P10139" s="17" t="str">
        <f>IFERROR(__xludf.DUMMYFUNCTION("""COMPUTED_VALUE"""),"")</f>
        <v/>
      </c>
      <c r="Q10139" s="17" t="str">
        <f>IFERROR(__xludf.DUMMYFUNCTION("""COMPUTED_VALUE"""),"")</f>
        <v/>
      </c>
      <c r="R10139" s="17" t="str">
        <f>IFERROR(__xludf.DUMMYFUNCTION("""COMPUTED_VALUE"""),"")</f>
        <v/>
      </c>
    </row>
    <row r="10140">
      <c r="A10140" s="15">
        <f>IFERROR(__xludf.DUMMYFUNCTION("""COMPUTED_VALUE"""),45288.0)</f>
        <v>45288</v>
      </c>
      <c r="B10140" s="16" t="str">
        <f>IFERROR(__xludf.DUMMYFUNCTION("""COMPUTED_VALUE"""),"Daniel José sandoval gonzalez")</f>
        <v>Daniel José sandoval gonzalez</v>
      </c>
      <c r="C10140" s="15" t="str">
        <f>IFERROR(__xludf.DUMMYFUNCTION("""COMPUTED_VALUE"""),"BARRANQUILLA")</f>
        <v>BARRANQUILLA</v>
      </c>
      <c r="D10140" s="15" t="str">
        <f>IFERROR(__xludf.DUMMYFUNCTION("""COMPUTED_VALUE"""),"BOGOTÁ")</f>
        <v>BOGOTÁ</v>
      </c>
      <c r="E10140" s="15" t="str">
        <f>IFERROR(__xludf.DUMMYFUNCTION("""COMPUTED_VALUE"""),"Premium Choice")</f>
        <v>Premium Choice</v>
      </c>
      <c r="F10140" s="17" t="str">
        <f>IFERROR(__xludf.DUMMYFUNCTION("""COMPUTED_VALUE"""),"Calle 99 # 52 - 53  / Cc comercial vista ll local 405  / Barranquilla")</f>
        <v>Calle 99 # 52 - 53  / Cc comercial vista ll local 405  / Barranquilla</v>
      </c>
      <c r="G10140" s="15" t="str">
        <f>IFERROR(__xludf.DUMMYFUNCTION("""COMPUTED_VALUE"""),"Badillo López Jhonatan")</f>
        <v>Badillo López Jhonatan</v>
      </c>
      <c r="H10140" s="16">
        <f>IFERROR(__xludf.DUMMYFUNCTION("""COMPUTED_VALUE"""),18838.0)</f>
        <v>18838</v>
      </c>
      <c r="I10140" s="18">
        <f>IFERROR(__xludf.DUMMYFUNCTION("""COMPUTED_VALUE"""),17.0)</f>
        <v>17</v>
      </c>
      <c r="J10140" s="18">
        <f>IFERROR(__xludf.DUMMYFUNCTION("""COMPUTED_VALUE"""),20.0)</f>
        <v>20</v>
      </c>
      <c r="K10140" s="18">
        <f>IFERROR(__xludf.DUMMYFUNCTION("""COMPUTED_VALUE"""),30.0)</f>
        <v>30</v>
      </c>
      <c r="L10140" s="17">
        <f>IFERROR(__xludf.DUMMYFUNCTION("""COMPUTED_VALUE"""),3.102170999E9)</f>
        <v>3102170999</v>
      </c>
      <c r="M10140" s="17"/>
      <c r="N10140" s="17"/>
      <c r="O10140" s="17"/>
      <c r="P10140" s="17" t="b">
        <f>IFERROR(__xludf.DUMMYFUNCTION("""COMPUTED_VALUE"""),FALSE)</f>
        <v>0</v>
      </c>
      <c r="Q10140" s="20" t="str">
        <f>IFERROR(__xludf.DUMMYFUNCTION("""COMPUTED_VALUE"""),"")</f>
        <v/>
      </c>
      <c r="R10140" s="21" t="str">
        <f>IFERROR(__xludf.DUMMYFUNCTION("""COMPUTED_VALUE"""),"https://drive.google.com/file/d/1y3_9-ngk4z8hVZbbJKt5-ghz4a_lfBg9/view?usp=drivesdk")</f>
        <v>https://drive.google.com/file/d/1y3_9-ngk4z8hVZbbJKt5-ghz4a_lfBg9/view?usp=drivesdk</v>
      </c>
    </row>
    <row r="10141">
      <c r="A10141" s="17" t="str">
        <f>IFERROR(__xludf.DUMMYFUNCTION("""COMPUTED_VALUE"""),"")</f>
        <v/>
      </c>
      <c r="B10141" s="17" t="str">
        <f>IFERROR(__xludf.DUMMYFUNCTION("""COMPUTED_VALUE"""),"")</f>
        <v/>
      </c>
      <c r="C10141" s="17" t="str">
        <f>IFERROR(__xludf.DUMMYFUNCTION("""COMPUTED_VALUE"""),"")</f>
        <v/>
      </c>
      <c r="D10141" s="17" t="str">
        <f>IFERROR(__xludf.DUMMYFUNCTION("""COMPUTED_VALUE"""),"")</f>
        <v/>
      </c>
      <c r="E10141" s="17" t="str">
        <f>IFERROR(__xludf.DUMMYFUNCTION("""COMPUTED_VALUE"""),"")</f>
        <v/>
      </c>
      <c r="F10141" s="17" t="str">
        <f>IFERROR(__xludf.DUMMYFUNCTION("""COMPUTED_VALUE"""),"")</f>
        <v/>
      </c>
      <c r="G10141" s="17" t="str">
        <f>IFERROR(__xludf.DUMMYFUNCTION("""COMPUTED_VALUE"""),"")</f>
        <v/>
      </c>
      <c r="H10141" s="17" t="str">
        <f>IFERROR(__xludf.DUMMYFUNCTION("""COMPUTED_VALUE"""),"")</f>
        <v/>
      </c>
      <c r="I10141" s="17" t="str">
        <f>IFERROR(__xludf.DUMMYFUNCTION("""COMPUTED_VALUE"""),"")</f>
        <v/>
      </c>
      <c r="J10141" s="17" t="str">
        <f>IFERROR(__xludf.DUMMYFUNCTION("""COMPUTED_VALUE"""),"")</f>
        <v/>
      </c>
      <c r="K10141" s="17" t="str">
        <f>IFERROR(__xludf.DUMMYFUNCTION("""COMPUTED_VALUE"""),"")</f>
        <v/>
      </c>
      <c r="L10141" s="17" t="str">
        <f>IFERROR(__xludf.DUMMYFUNCTION("""COMPUTED_VALUE"""),"")</f>
        <v/>
      </c>
      <c r="M10141" s="17" t="str">
        <f>IFERROR(__xludf.DUMMYFUNCTION("""COMPUTED_VALUE"""),"")</f>
        <v/>
      </c>
      <c r="N10141" s="17" t="str">
        <f>IFERROR(__xludf.DUMMYFUNCTION("""COMPUTED_VALUE"""),"")</f>
        <v/>
      </c>
      <c r="O10141" s="17" t="str">
        <f>IFERROR(__xludf.DUMMYFUNCTION("""COMPUTED_VALUE"""),"")</f>
        <v/>
      </c>
      <c r="P10141" s="17" t="str">
        <f>IFERROR(__xludf.DUMMYFUNCTION("""COMPUTED_VALUE"""),"")</f>
        <v/>
      </c>
      <c r="Q10141" s="17" t="str">
        <f>IFERROR(__xludf.DUMMYFUNCTION("""COMPUTED_VALUE"""),"")</f>
        <v/>
      </c>
      <c r="R10141" s="17" t="str">
        <f>IFERROR(__xludf.DUMMYFUNCTION("""COMPUTED_VALUE"""),"")</f>
        <v/>
      </c>
    </row>
    <row r="10142">
      <c r="A10142" s="15">
        <f>IFERROR(__xludf.DUMMYFUNCTION("""COMPUTED_VALUE"""),45288.0)</f>
        <v>45288</v>
      </c>
      <c r="B10142" s="16" t="str">
        <f>IFERROR(__xludf.DUMMYFUNCTION("""COMPUTED_VALUE"""),"Envia")</f>
        <v>Envia</v>
      </c>
      <c r="C10142" s="15" t="str">
        <f>IFERROR(__xludf.DUMMYFUNCTION("""COMPUTED_VALUE"""),"BARRANQUILLA")</f>
        <v>BARRANQUILLA</v>
      </c>
      <c r="D10142" s="15" t="str">
        <f>IFERROR(__xludf.DUMMYFUNCTION("""COMPUTED_VALUE"""),"BOGOTÁ")</f>
        <v>BOGOTÁ</v>
      </c>
      <c r="E10142" s="15" t="str">
        <f>IFERROR(__xludf.DUMMYFUNCTION("""COMPUTED_VALUE"""),"Chalupo")</f>
        <v>Chalupo</v>
      </c>
      <c r="F10142" s="17" t="str">
        <f>IFERROR(__xludf.DUMMYFUNCTION("""COMPUTED_VALUE"""),"Calle 93 #43-41 / Cityhub / Cityhub Bquilla")</f>
        <v>Calle 93 #43-41 / Cityhub / Cityhub Bquilla</v>
      </c>
      <c r="G10142" s="15" t="str">
        <f>IFERROR(__xludf.DUMMYFUNCTION("""COMPUTED_VALUE"""),"Cristina de la Cuesta")</f>
        <v>Cristina de la Cuesta</v>
      </c>
      <c r="H10142" s="16">
        <f>IFERROR(__xludf.DUMMYFUNCTION("""COMPUTED_VALUE"""),18848.0)</f>
        <v>18848</v>
      </c>
      <c r="I10142" s="18">
        <f>IFERROR(__xludf.DUMMYFUNCTION("""COMPUTED_VALUE"""),29.0)</f>
        <v>29</v>
      </c>
      <c r="J10142" s="18">
        <f>IFERROR(__xludf.DUMMYFUNCTION("""COMPUTED_VALUE"""),45.0)</f>
        <v>45</v>
      </c>
      <c r="K10142" s="18">
        <f>IFERROR(__xludf.DUMMYFUNCTION("""COMPUTED_VALUE"""),55.0)</f>
        <v>55</v>
      </c>
      <c r="L10142" s="17">
        <f>IFERROR(__xludf.DUMMYFUNCTION("""COMPUTED_VALUE"""),3.205236596E9)</f>
        <v>3205236596</v>
      </c>
      <c r="M10142" s="17"/>
      <c r="N10142" s="17"/>
      <c r="O10142" s="17"/>
      <c r="P10142" s="17" t="b">
        <f>IFERROR(__xludf.DUMMYFUNCTION("""COMPUTED_VALUE"""),FALSE)</f>
        <v>0</v>
      </c>
      <c r="Q10142" s="20" t="str">
        <f>IFERROR(__xludf.DUMMYFUNCTION("""COMPUTED_VALUE"""),"")</f>
        <v/>
      </c>
      <c r="R10142" s="21" t="str">
        <f>IFERROR(__xludf.DUMMYFUNCTION("""COMPUTED_VALUE"""),"https://drive.google.com/file/d/1ddhV673cKg-yTGqGR8I8ufv-ly6dXHuT/view?usp=drivesdk")</f>
        <v>https://drive.google.com/file/d/1ddhV673cKg-yTGqGR8I8ufv-ly6dXHuT/view?usp=drivesdk</v>
      </c>
    </row>
    <row r="10143">
      <c r="A10143" s="15">
        <f>IFERROR(__xludf.DUMMYFUNCTION("""COMPUTED_VALUE"""),45288.0)</f>
        <v>45288</v>
      </c>
      <c r="B10143" s="16" t="str">
        <f>IFERROR(__xludf.DUMMYFUNCTION("""COMPUTED_VALUE"""),"Envia")</f>
        <v>Envia</v>
      </c>
      <c r="C10143" s="15" t="str">
        <f>IFERROR(__xludf.DUMMYFUNCTION("""COMPUTED_VALUE"""),"BARRANQUILLA")</f>
        <v>BARRANQUILLA</v>
      </c>
      <c r="D10143" s="15" t="str">
        <f>IFERROR(__xludf.DUMMYFUNCTION("""COMPUTED_VALUE"""),"BOGOTÁ")</f>
        <v>BOGOTÁ</v>
      </c>
      <c r="E10143" s="15" t="str">
        <f>IFERROR(__xludf.DUMMYFUNCTION("""COMPUTED_VALUE"""),"Premium Choice")</f>
        <v>Premium Choice</v>
      </c>
      <c r="F10143" s="17" t="str">
        <f>IFERROR(__xludf.DUMMYFUNCTION("""COMPUTED_VALUE"""),"Cr 53 # 80 - 284  / Local 1  / Cc Aranjuez")</f>
        <v>Cr 53 # 80 - 284  / Local 1  / Cc Aranjuez</v>
      </c>
      <c r="G10143" s="15" t="str">
        <f>IFERROR(__xludf.DUMMYFUNCTION("""COMPUTED_VALUE"""),"Corpofit S.A.S.")</f>
        <v>Corpofit S.A.S.</v>
      </c>
      <c r="H10143" s="16">
        <f>IFERROR(__xludf.DUMMYFUNCTION("""COMPUTED_VALUE"""),18836.0)</f>
        <v>18836</v>
      </c>
      <c r="I10143" s="18">
        <f>IFERROR(__xludf.DUMMYFUNCTION("""COMPUTED_VALUE"""),17.0)</f>
        <v>17</v>
      </c>
      <c r="J10143" s="18">
        <f>IFERROR(__xludf.DUMMYFUNCTION("""COMPUTED_VALUE"""),20.0)</f>
        <v>20</v>
      </c>
      <c r="K10143" s="18">
        <f>IFERROR(__xludf.DUMMYFUNCTION("""COMPUTED_VALUE"""),30.0)</f>
        <v>30</v>
      </c>
      <c r="L10143" s="17">
        <f>IFERROR(__xludf.DUMMYFUNCTION("""COMPUTED_VALUE"""),3.102170999E9)</f>
        <v>3102170999</v>
      </c>
      <c r="M10143" s="17"/>
      <c r="N10143" s="17"/>
      <c r="O10143" s="17"/>
      <c r="P10143" s="17" t="b">
        <f>IFERROR(__xludf.DUMMYFUNCTION("""COMPUTED_VALUE"""),FALSE)</f>
        <v>0</v>
      </c>
      <c r="Q10143" s="20" t="str">
        <f>IFERROR(__xludf.DUMMYFUNCTION("""COMPUTED_VALUE"""),"")</f>
        <v/>
      </c>
      <c r="R10143" s="21" t="str">
        <f>IFERROR(__xludf.DUMMYFUNCTION("""COMPUTED_VALUE"""),"https://drive.google.com/file/d/111eQtoPPo5oL9TmT0K4EkmO37vfv5VkP/view?usp=drivesdk")</f>
        <v>https://drive.google.com/file/d/111eQtoPPo5oL9TmT0K4EkmO37vfv5VkP/view?usp=drivesdk</v>
      </c>
    </row>
    <row r="10144">
      <c r="A10144" s="15">
        <f>IFERROR(__xludf.DUMMYFUNCTION("""COMPUTED_VALUE"""),45288.0)</f>
        <v>45288</v>
      </c>
      <c r="B10144" s="16" t="str">
        <f>IFERROR(__xludf.DUMMYFUNCTION("""COMPUTED_VALUE"""),"Envia")</f>
        <v>Envia</v>
      </c>
      <c r="C10144" s="15" t="str">
        <f>IFERROR(__xludf.DUMMYFUNCTION("""COMPUTED_VALUE"""),"BARRANQUILLA")</f>
        <v>BARRANQUILLA</v>
      </c>
      <c r="D10144" s="15" t="str">
        <f>IFERROR(__xludf.DUMMYFUNCTION("""COMPUTED_VALUE"""),"BOGOTÁ")</f>
        <v>BOGOTÁ</v>
      </c>
      <c r="E10144" s="15" t="str">
        <f>IFERROR(__xludf.DUMMYFUNCTION("""COMPUTED_VALUE"""),"Viral Brands")</f>
        <v>Viral Brands</v>
      </c>
      <c r="F10144" s="17" t="str">
        <f>IFERROR(__xludf.DUMMYFUNCTION("""COMPUTED_VALUE"""),"kra 49 n 75 47 reciben despues de 10 y 30 / lyd house prado restaurante chuzales / prado")</f>
        <v>kra 49 n 75 47 reciben despues de 10 y 30 / lyd house prado restaurante chuzales / prado</v>
      </c>
      <c r="G10144" s="15" t="str">
        <f>IFERROR(__xludf.DUMMYFUNCTION("""COMPUTED_VALUE"""),"chuzales barranquilla")</f>
        <v>chuzales barranquilla</v>
      </c>
      <c r="H10144" s="16">
        <f>IFERROR(__xludf.DUMMYFUNCTION("""COMPUTED_VALUE"""),18844.0)</f>
        <v>18844</v>
      </c>
      <c r="I10144" s="18">
        <f>IFERROR(__xludf.DUMMYFUNCTION("""COMPUTED_VALUE"""),45.0)</f>
        <v>45</v>
      </c>
      <c r="J10144" s="18">
        <f>IFERROR(__xludf.DUMMYFUNCTION("""COMPUTED_VALUE"""),55.0)</f>
        <v>55</v>
      </c>
      <c r="K10144" s="18">
        <f>IFERROR(__xludf.DUMMYFUNCTION("""COMPUTED_VALUE"""),29.0)</f>
        <v>29</v>
      </c>
      <c r="L10144" s="17">
        <f>IFERROR(__xludf.DUMMYFUNCTION("""COMPUTED_VALUE"""),3.017624858E9)</f>
        <v>3017624858</v>
      </c>
      <c r="M10144" s="17"/>
      <c r="N10144" s="17"/>
      <c r="O10144" s="17"/>
      <c r="P10144" s="17" t="b">
        <f>IFERROR(__xludf.DUMMYFUNCTION("""COMPUTED_VALUE"""),FALSE)</f>
        <v>0</v>
      </c>
      <c r="Q10144" s="20" t="str">
        <f>IFERROR(__xludf.DUMMYFUNCTION("""COMPUTED_VALUE"""),"")</f>
        <v/>
      </c>
      <c r="R10144" s="21" t="str">
        <f>IFERROR(__xludf.DUMMYFUNCTION("""COMPUTED_VALUE"""),"https://drive.google.com/file/d/1ZUxgmLZ1lcs8VdifEmbPULpxM7fxkZ_A/view?usp=drivesdk")</f>
        <v>https://drive.google.com/file/d/1ZUxgmLZ1lcs8VdifEmbPULpxM7fxkZ_A/view?usp=drivesdk</v>
      </c>
    </row>
    <row r="10145">
      <c r="A10145" s="15">
        <f>IFERROR(__xludf.DUMMYFUNCTION("""COMPUTED_VALUE"""),45288.0)</f>
        <v>45288</v>
      </c>
      <c r="B10145" s="16" t="str">
        <f>IFERROR(__xludf.DUMMYFUNCTION("""COMPUTED_VALUE"""),"Envia")</f>
        <v>Envia</v>
      </c>
      <c r="C10145" s="15" t="str">
        <f>IFERROR(__xludf.DUMMYFUNCTION("""COMPUTED_VALUE"""),"BOGOTÁ")</f>
        <v>BOGOTÁ</v>
      </c>
      <c r="D10145" s="15" t="str">
        <f>IFERROR(__xludf.DUMMYFUNCTION("""COMPUTED_VALUE"""),"CALI")</f>
        <v>CALI</v>
      </c>
      <c r="E10145" s="15" t="str">
        <f>IFERROR(__xludf.DUMMYFUNCTION("""COMPUTED_VALUE"""),"Natalia Carreño")</f>
        <v>Natalia Carreño</v>
      </c>
      <c r="F10145" s="17" t="str">
        <f>IFERROR(__xludf.DUMMYFUNCTION("""COMPUTED_VALUE"""),"Carrera 27 #70-83 / Casa Color curuba / Los alcázares")</f>
        <v>Carrera 27 #70-83 / Casa Color curuba / Los alcázares</v>
      </c>
      <c r="G10145" s="15" t="str">
        <f>IFERROR(__xludf.DUMMYFUNCTION("""COMPUTED_VALUE"""),"Natalia Carreño Pombo")</f>
        <v>Natalia Carreño Pombo</v>
      </c>
      <c r="H10145" s="16">
        <f>IFERROR(__xludf.DUMMYFUNCTION("""COMPUTED_VALUE"""),18816.0)</f>
        <v>18816</v>
      </c>
      <c r="I10145" s="18">
        <f>IFERROR(__xludf.DUMMYFUNCTION("""COMPUTED_VALUE"""),60.0)</f>
        <v>60</v>
      </c>
      <c r="J10145" s="18">
        <f>IFERROR(__xludf.DUMMYFUNCTION("""COMPUTED_VALUE"""),60.0)</f>
        <v>60</v>
      </c>
      <c r="K10145" s="18">
        <f>IFERROR(__xludf.DUMMYFUNCTION("""COMPUTED_VALUE"""),60.0)</f>
        <v>60</v>
      </c>
      <c r="L10145" s="17">
        <f>IFERROR(__xludf.DUMMYFUNCTION("""COMPUTED_VALUE"""),3.11561131E9)</f>
        <v>3115611310</v>
      </c>
      <c r="M10145" s="17"/>
      <c r="N10145" s="17"/>
      <c r="O10145" s="17"/>
      <c r="P10145" s="17" t="b">
        <f>IFERROR(__xludf.DUMMYFUNCTION("""COMPUTED_VALUE"""),FALSE)</f>
        <v>0</v>
      </c>
      <c r="Q10145" s="20" t="str">
        <f>IFERROR(__xludf.DUMMYFUNCTION("""COMPUTED_VALUE"""),"")</f>
        <v/>
      </c>
      <c r="R10145" s="21" t="str">
        <f>IFERROR(__xludf.DUMMYFUNCTION("""COMPUTED_VALUE"""),"https://drive.google.com/file/d/1j07ICvRo-glF5iXGnReHlW-0keIbxfHd/view?usp=drivesdk")</f>
        <v>https://drive.google.com/file/d/1j07ICvRo-glF5iXGnReHlW-0keIbxfHd/view?usp=drivesdk</v>
      </c>
    </row>
    <row r="10146">
      <c r="A10146" s="15">
        <f>IFERROR(__xludf.DUMMYFUNCTION("""COMPUTED_VALUE"""),45288.0)</f>
        <v>45288</v>
      </c>
      <c r="B10146" s="16" t="str">
        <f>IFERROR(__xludf.DUMMYFUNCTION("""COMPUTED_VALUE"""),"Envia")</f>
        <v>Envia</v>
      </c>
      <c r="C10146" s="15" t="str">
        <f>IFERROR(__xludf.DUMMYFUNCTION("""COMPUTED_VALUE"""),"CALI")</f>
        <v>CALI</v>
      </c>
      <c r="D10146" s="15" t="str">
        <f>IFERROR(__xludf.DUMMYFUNCTION("""COMPUTED_VALUE"""),"MEDELLÍN")</f>
        <v>MEDELLÍN</v>
      </c>
      <c r="E10146" s="15" t="str">
        <f>IFERROR(__xludf.DUMMYFUNCTION("""COMPUTED_VALUE"""),"JdBufala")</f>
        <v>JdBufala</v>
      </c>
      <c r="F10146" s="17" t="str">
        <f>IFERROR(__xludf.DUMMYFUNCTION("""COMPUTED_VALUE"""),"Calle 51 norte # 4bn 72 / Delhuertopizzeria")</f>
        <v>Calle 51 norte # 4bn 72 / Delhuertopizzeria</v>
      </c>
      <c r="G10146" s="15" t="str">
        <f>IFERROR(__xludf.DUMMYFUNCTION("""COMPUTED_VALUE"""),"Javier")</f>
        <v>Javier</v>
      </c>
      <c r="H10146" s="16">
        <f>IFERROR(__xludf.DUMMYFUNCTION("""COMPUTED_VALUE"""),18832.0)</f>
        <v>18832</v>
      </c>
      <c r="I10146" s="17"/>
      <c r="J10146" s="17"/>
      <c r="K10146" s="17"/>
      <c r="L10146" s="17">
        <f>IFERROR(__xludf.DUMMYFUNCTION("""COMPUTED_VALUE"""),3.206763524E9)</f>
        <v>3206763524</v>
      </c>
      <c r="M10146" s="17"/>
      <c r="N10146" s="17"/>
      <c r="O10146" s="17"/>
      <c r="P10146" s="17" t="b">
        <f>IFERROR(__xludf.DUMMYFUNCTION("""COMPUTED_VALUE"""),FALSE)</f>
        <v>0</v>
      </c>
      <c r="Q10146" s="20" t="str">
        <f>IFERROR(__xludf.DUMMYFUNCTION("""COMPUTED_VALUE"""),"")</f>
        <v/>
      </c>
      <c r="R10146" s="21" t="str">
        <f>IFERROR(__xludf.DUMMYFUNCTION("""COMPUTED_VALUE"""),"https://drive.google.com/file/d/1CZdJHIlMeLs9BiEXwJeH7BCxQke71UcC/view?usp=drivesdk")</f>
        <v>https://drive.google.com/file/d/1CZdJHIlMeLs9BiEXwJeH7BCxQke71UcC/view?usp=drivesdk</v>
      </c>
    </row>
    <row r="10147">
      <c r="A10147" s="15">
        <f>IFERROR(__xludf.DUMMYFUNCTION("""COMPUTED_VALUE"""),45288.0)</f>
        <v>45288</v>
      </c>
      <c r="B10147" s="16" t="str">
        <f>IFERROR(__xludf.DUMMYFUNCTION("""COMPUTED_VALUE"""),"Envia")</f>
        <v>Envia</v>
      </c>
      <c r="C10147" s="15" t="str">
        <f>IFERROR(__xludf.DUMMYFUNCTION("""COMPUTED_VALUE"""),"CARTAGENA")</f>
        <v>CARTAGENA</v>
      </c>
      <c r="D10147" s="15" t="str">
        <f>IFERROR(__xludf.DUMMYFUNCTION("""COMPUTED_VALUE"""),"MEDELLÍN")</f>
        <v>MEDELLÍN</v>
      </c>
      <c r="E10147" s="15" t="str">
        <f>IFERROR(__xludf.DUMMYFUNCTION("""COMPUTED_VALUE"""),"Baby Chef")</f>
        <v>Baby Chef</v>
      </c>
      <c r="F10147" s="17" t="str">
        <f>IFERROR(__xludf.DUMMYFUNCTION("""COMPUTED_VALUE"""),"Calle 36 # 15-104 / . / .")</f>
        <v>Calle 36 # 15-104 / . / .</v>
      </c>
      <c r="G10147" s="15" t="str">
        <f>IFERROR(__xludf.DUMMYFUNCTION("""COMPUTED_VALUE"""),"Dayana Hermosilla")</f>
        <v>Dayana Hermosilla</v>
      </c>
      <c r="H10147" s="16">
        <f>IFERROR(__xludf.DUMMYFUNCTION("""COMPUTED_VALUE"""),18760.0)</f>
        <v>18760</v>
      </c>
      <c r="I10147" s="18">
        <f>IFERROR(__xludf.DUMMYFUNCTION("""COMPUTED_VALUE"""),7.0)</f>
        <v>7</v>
      </c>
      <c r="J10147" s="18">
        <f>IFERROR(__xludf.DUMMYFUNCTION("""COMPUTED_VALUE"""),21.0)</f>
        <v>21</v>
      </c>
      <c r="K10147" s="18">
        <f>IFERROR(__xludf.DUMMYFUNCTION("""COMPUTED_VALUE"""),21.0)</f>
        <v>21</v>
      </c>
      <c r="L10147" s="17">
        <f>IFERROR(__xludf.DUMMYFUNCTION("""COMPUTED_VALUE"""),3.00881061E9)</f>
        <v>3008810610</v>
      </c>
      <c r="M10147" s="17"/>
      <c r="N10147" s="17"/>
      <c r="O10147" s="17"/>
      <c r="P10147" s="17" t="b">
        <f>IFERROR(__xludf.DUMMYFUNCTION("""COMPUTED_VALUE"""),FALSE)</f>
        <v>0</v>
      </c>
      <c r="Q10147" s="20" t="str">
        <f>IFERROR(__xludf.DUMMYFUNCTION("""COMPUTED_VALUE"""),"")</f>
        <v/>
      </c>
      <c r="R10147" s="21" t="str">
        <f>IFERROR(__xludf.DUMMYFUNCTION("""COMPUTED_VALUE"""),"https://drive.google.com/file/d/18QD05zUIeJzz-urT4Xn4UxgwU3dqTp30/view?usp=drivesdk")</f>
        <v>https://drive.google.com/file/d/18QD05zUIeJzz-urT4Xn4UxgwU3dqTp30/view?usp=drivesdk</v>
      </c>
    </row>
    <row r="10148">
      <c r="A10148" s="15">
        <f>IFERROR(__xludf.DUMMYFUNCTION("""COMPUTED_VALUE"""),45288.0)</f>
        <v>45288</v>
      </c>
      <c r="B10148" s="16" t="str">
        <f>IFERROR(__xludf.DUMMYFUNCTION("""COMPUTED_VALUE"""),"Envia")</f>
        <v>Envia</v>
      </c>
      <c r="C10148" s="15" t="str">
        <f>IFERROR(__xludf.DUMMYFUNCTION("""COMPUTED_VALUE"""),"CÚCUTA")</f>
        <v>CÚCUTA</v>
      </c>
      <c r="D10148" s="15" t="str">
        <f>IFERROR(__xludf.DUMMYFUNCTION("""COMPUTED_VALUE"""),"MEDELLÍN")</f>
        <v>MEDELLÍN</v>
      </c>
      <c r="E10148" s="15" t="str">
        <f>IFERROR(__xludf.DUMMYFUNCTION("""COMPUTED_VALUE"""),"Momo Tea S.A.S Gabriel Echavarría")</f>
        <v>Momo Tea S.A.S Gabriel Echavarría</v>
      </c>
      <c r="F10148" s="17" t="str">
        <f>IFERROR(__xludf.DUMMYFUNCTION("""COMPUTED_VALUE"""),"CL 11 N 16 E 35 / CA B 1")</f>
        <v>CL 11 N 16 E 35 / CA B 1</v>
      </c>
      <c r="G10148" s="15" t="str">
        <f>IFERROR(__xludf.DUMMYFUNCTION("""COMPUTED_VALUE"""),"Gabriel Echavarría")</f>
        <v>Gabriel Echavarría</v>
      </c>
      <c r="H10148" s="16">
        <f>IFERROR(__xludf.DUMMYFUNCTION("""COMPUTED_VALUE"""),18804.0)</f>
        <v>18804</v>
      </c>
      <c r="I10148" s="18">
        <f>IFERROR(__xludf.DUMMYFUNCTION("""COMPUTED_VALUE"""),21.0)</f>
        <v>21</v>
      </c>
      <c r="J10148" s="18">
        <f>IFERROR(__xludf.DUMMYFUNCTION("""COMPUTED_VALUE"""),29.0)</f>
        <v>29</v>
      </c>
      <c r="K10148" s="18">
        <f>IFERROR(__xludf.DUMMYFUNCTION("""COMPUTED_VALUE"""),29.0)</f>
        <v>29</v>
      </c>
      <c r="L10148" s="17">
        <f>IFERROR(__xludf.DUMMYFUNCTION("""COMPUTED_VALUE"""),3.017909548E9)</f>
        <v>3017909548</v>
      </c>
      <c r="M10148" s="17"/>
      <c r="N10148" s="17"/>
      <c r="O10148" s="17"/>
      <c r="P10148" s="17" t="b">
        <f>IFERROR(__xludf.DUMMYFUNCTION("""COMPUTED_VALUE"""),FALSE)</f>
        <v>0</v>
      </c>
      <c r="Q10148" s="20" t="str">
        <f>IFERROR(__xludf.DUMMYFUNCTION("""COMPUTED_VALUE"""),"")</f>
        <v/>
      </c>
      <c r="R10148" s="21" t="str">
        <f>IFERROR(__xludf.DUMMYFUNCTION("""COMPUTED_VALUE"""),"https://drive.google.com/file/d/1OFNnl1GPGyEmukvs1JlHWHaO6mHIgDE1/view?usp=drivesdk")</f>
        <v>https://drive.google.com/file/d/1OFNnl1GPGyEmukvs1JlHWHaO6mHIgDE1/view?usp=drivesdk</v>
      </c>
    </row>
    <row r="10149">
      <c r="A10149" s="15">
        <f>IFERROR(__xludf.DUMMYFUNCTION("""COMPUTED_VALUE"""),45288.0)</f>
        <v>45288</v>
      </c>
      <c r="B10149" s="16" t="str">
        <f>IFERROR(__xludf.DUMMYFUNCTION("""COMPUTED_VALUE"""),"Envia")</f>
        <v>Envia</v>
      </c>
      <c r="C10149" s="15" t="str">
        <f>IFERROR(__xludf.DUMMYFUNCTION("""COMPUTED_VALUE"""),"NEIVA")</f>
        <v>NEIVA</v>
      </c>
      <c r="D10149" s="15" t="str">
        <f>IFERROR(__xludf.DUMMYFUNCTION("""COMPUTED_VALUE"""),"BOGOTÁ")</f>
        <v>BOGOTÁ</v>
      </c>
      <c r="E10149" s="15" t="str">
        <f>IFERROR(__xludf.DUMMYFUNCTION("""COMPUTED_VALUE"""),"Loomifoods")</f>
        <v>Loomifoods</v>
      </c>
      <c r="F10149" s="17" t="str">
        <f>IFERROR(__xludf.DUMMYFUNCTION("""COMPUTED_VALUE"""),"calle 7 no. 29a - 107 / apto 703 / neiva")</f>
        <v>calle 7 no. 29a - 107 / apto 703 / neiva</v>
      </c>
      <c r="G10149" s="15" t="str">
        <f>IFERROR(__xludf.DUMMYFUNCTION("""COMPUTED_VALUE"""),"Alejandra Gutierrez")</f>
        <v>Alejandra Gutierrez</v>
      </c>
      <c r="H10149" s="16">
        <f>IFERROR(__xludf.DUMMYFUNCTION("""COMPUTED_VALUE"""),18801.0)</f>
        <v>18801</v>
      </c>
      <c r="I10149" s="18">
        <f>IFERROR(__xludf.DUMMYFUNCTION("""COMPUTED_VALUE"""),19.0)</f>
        <v>19</v>
      </c>
      <c r="J10149" s="18">
        <f>IFERROR(__xludf.DUMMYFUNCTION("""COMPUTED_VALUE"""),10.0)</f>
        <v>10</v>
      </c>
      <c r="K10149" s="18">
        <f>IFERROR(__xludf.DUMMYFUNCTION("""COMPUTED_VALUE"""),16.0)</f>
        <v>16</v>
      </c>
      <c r="L10149" s="17">
        <f>IFERROR(__xludf.DUMMYFUNCTION("""COMPUTED_VALUE"""),3.002706127E9)</f>
        <v>3002706127</v>
      </c>
      <c r="M10149" s="17"/>
      <c r="N10149" s="17"/>
      <c r="O10149" s="17"/>
      <c r="P10149" s="17" t="b">
        <f>IFERROR(__xludf.DUMMYFUNCTION("""COMPUTED_VALUE"""),FALSE)</f>
        <v>0</v>
      </c>
      <c r="Q10149" s="20" t="str">
        <f>IFERROR(__xludf.DUMMYFUNCTION("""COMPUTED_VALUE"""),"")</f>
        <v/>
      </c>
      <c r="R10149" s="21" t="str">
        <f>IFERROR(__xludf.DUMMYFUNCTION("""COMPUTED_VALUE"""),"https://drive.google.com/file/d/150d-j_LoEEM9X7AdpK3sfwaoe0cdPaTI/view?usp=drivesdk")</f>
        <v>https://drive.google.com/file/d/150d-j_LoEEM9X7AdpK3sfwaoe0cdPaTI/view?usp=drivesdk</v>
      </c>
    </row>
    <row r="10150">
      <c r="A10150" s="15">
        <f>IFERROR(__xludf.DUMMYFUNCTION("""COMPUTED_VALUE"""),45288.0)</f>
        <v>45288</v>
      </c>
      <c r="B10150" s="16" t="str">
        <f>IFERROR(__xludf.DUMMYFUNCTION("""COMPUTED_VALUE"""),"Envia")</f>
        <v>Envia</v>
      </c>
      <c r="C10150" s="15" t="str">
        <f>IFERROR(__xludf.DUMMYFUNCTION("""COMPUTED_VALUE"""),"NEIVA")</f>
        <v>NEIVA</v>
      </c>
      <c r="D10150" s="15" t="str">
        <f>IFERROR(__xludf.DUMMYFUNCTION("""COMPUTED_VALUE"""),"BUCARAMANGA")</f>
        <v>BUCARAMANGA</v>
      </c>
      <c r="E10150" s="15" t="str">
        <f>IFERROR(__xludf.DUMMYFUNCTION("""COMPUTED_VALUE"""),"Yo Como Solito")</f>
        <v>Yo Como Solito</v>
      </c>
      <c r="F10150" s="17" t="str">
        <f>IFERROR(__xludf.DUMMYFUNCTION("""COMPUTED_VALUE"""),"CARRERA 20 SUR # 16 A - 10 SUR TIMANCO / CARRERA 20 SUR # 16 A - 10 SUR TIMANCO / CARRERA 20 SUR # 16 A - 10 SUR TIMANCO")</f>
        <v>CARRERA 20 SUR # 16 A - 10 SUR TIMANCO / CARRERA 20 SUR # 16 A - 10 SUR TIMANCO / CARRERA 20 SUR # 16 A - 10 SUR TIMANCO</v>
      </c>
      <c r="G10150" s="15" t="str">
        <f>IFERROR(__xludf.DUMMYFUNCTION("""COMPUTED_VALUE"""),"LEIDY SANDOVAL CASTRO")</f>
        <v>LEIDY SANDOVAL CASTRO</v>
      </c>
      <c r="H10150" s="16">
        <f>IFERROR(__xludf.DUMMYFUNCTION("""COMPUTED_VALUE"""),18718.0)</f>
        <v>18718</v>
      </c>
      <c r="I10150" s="18">
        <f>IFERROR(__xludf.DUMMYFUNCTION("""COMPUTED_VALUE"""),17.0)</f>
        <v>17</v>
      </c>
      <c r="J10150" s="18">
        <f>IFERROR(__xludf.DUMMYFUNCTION("""COMPUTED_VALUE"""),23.0)</f>
        <v>23</v>
      </c>
      <c r="K10150" s="18">
        <f>IFERROR(__xludf.DUMMYFUNCTION("""COMPUTED_VALUE"""),29.0)</f>
        <v>29</v>
      </c>
      <c r="L10150" s="17">
        <f>IFERROR(__xludf.DUMMYFUNCTION("""COMPUTED_VALUE"""),3.154698874E9)</f>
        <v>3154698874</v>
      </c>
      <c r="M10150" s="17"/>
      <c r="N10150" s="17"/>
      <c r="O10150" s="17"/>
      <c r="P10150" s="17" t="b">
        <f>IFERROR(__xludf.DUMMYFUNCTION("""COMPUTED_VALUE"""),FALSE)</f>
        <v>0</v>
      </c>
      <c r="Q10150" s="20" t="str">
        <f>IFERROR(__xludf.DUMMYFUNCTION("""COMPUTED_VALUE"""),"")</f>
        <v/>
      </c>
      <c r="R10150" s="21" t="str">
        <f>IFERROR(__xludf.DUMMYFUNCTION("""COMPUTED_VALUE"""),"https://drive.google.com/file/d/1C3M0zV6akvY0i53bXFcMPr0fIo0I_qSX/view?usp=drivesdk")</f>
        <v>https://drive.google.com/file/d/1C3M0zV6akvY0i53bXFcMPr0fIo0I_qSX/view?usp=drivesdk</v>
      </c>
    </row>
    <row r="10151">
      <c r="A10151" s="15">
        <f>IFERROR(__xludf.DUMMYFUNCTION("""COMPUTED_VALUE"""),45288.0)</f>
        <v>45288</v>
      </c>
      <c r="B10151" s="16" t="str">
        <f>IFERROR(__xludf.DUMMYFUNCTION("""COMPUTED_VALUE"""),"Envia")</f>
        <v>Envia</v>
      </c>
      <c r="C10151" s="15" t="str">
        <f>IFERROR(__xludf.DUMMYFUNCTION("""COMPUTED_VALUE"""),"SINCELEJO")</f>
        <v>SINCELEJO</v>
      </c>
      <c r="D10151" s="15" t="str">
        <f>IFERROR(__xludf.DUMMYFUNCTION("""COMPUTED_VALUE"""),"BOGOTÁ")</f>
        <v>BOGOTÁ</v>
      </c>
      <c r="E10151" s="15" t="str">
        <f>IFERROR(__xludf.DUMMYFUNCTION("""COMPUTED_VALUE"""),"Instinto alimento vital")</f>
        <v>Instinto alimento vital</v>
      </c>
      <c r="F10151" s="17" t="str">
        <f>IFERROR(__xludf.DUMMYFUNCTION("""COMPUTED_VALUE"""),"CR 12A #17-26 / CASA")</f>
        <v>CR 12A #17-26 / CASA</v>
      </c>
      <c r="G10151" s="15" t="str">
        <f>IFERROR(__xludf.DUMMYFUNCTION("""COMPUTED_VALUE"""),"MARCELA ALEJANDRA HERNANDEZ RODRIGUEZ")</f>
        <v>MARCELA ALEJANDRA HERNANDEZ RODRIGUEZ</v>
      </c>
      <c r="H10151" s="16">
        <f>IFERROR(__xludf.DUMMYFUNCTION("""COMPUTED_VALUE"""),18768.0)</f>
        <v>18768</v>
      </c>
      <c r="I10151" s="17"/>
      <c r="J10151" s="17"/>
      <c r="K10151" s="17"/>
      <c r="L10151" s="17">
        <f>IFERROR(__xludf.DUMMYFUNCTION("""COMPUTED_VALUE"""),3.005325294E9)</f>
        <v>3005325294</v>
      </c>
      <c r="M10151" s="17"/>
      <c r="N10151" s="17"/>
      <c r="O10151" s="17"/>
      <c r="P10151" s="17" t="b">
        <f>IFERROR(__xludf.DUMMYFUNCTION("""COMPUTED_VALUE"""),FALSE)</f>
        <v>0</v>
      </c>
      <c r="Q10151" s="20" t="str">
        <f>IFERROR(__xludf.DUMMYFUNCTION("""COMPUTED_VALUE"""),"")</f>
        <v/>
      </c>
      <c r="R10151" s="21" t="str">
        <f>IFERROR(__xludf.DUMMYFUNCTION("""COMPUTED_VALUE"""),"https://drive.google.com/file/d/1u2wNculy4fpkIf5g8V_8h00Cv4PLTfj1/view?usp=drivesdk")</f>
        <v>https://drive.google.com/file/d/1u2wNculy4fpkIf5g8V_8h00Cv4PLTfj1/view?usp=drivesdk</v>
      </c>
    </row>
    <row r="10152">
      <c r="A10152" s="15">
        <f>IFERROR(__xludf.DUMMYFUNCTION("""COMPUTED_VALUE"""),45288.0)</f>
        <v>45288</v>
      </c>
      <c r="B10152" s="16" t="str">
        <f>IFERROR(__xludf.DUMMYFUNCTION("""COMPUTED_VALUE"""),"Envia")</f>
        <v>Envia</v>
      </c>
      <c r="C10152" s="15" t="str">
        <f>IFERROR(__xludf.DUMMYFUNCTION("""COMPUTED_VALUE"""),"YOPAL")</f>
        <v>YOPAL</v>
      </c>
      <c r="D10152" s="15" t="str">
        <f>IFERROR(__xludf.DUMMYFUNCTION("""COMPUTED_VALUE"""),"BOGOTÁ")</f>
        <v>BOGOTÁ</v>
      </c>
      <c r="E10152" s="15" t="str">
        <f>IFERROR(__xludf.DUMMYFUNCTION("""COMPUTED_VALUE"""),"Instinto alimento vital")</f>
        <v>Instinto alimento vital</v>
      </c>
      <c r="F10152" s="17" t="str">
        <f>IFERROR(__xludf.DUMMYFUNCTION("""COMPUTED_VALUE"""),"CL 31 # 5-71 / BARRIO PARAISO")</f>
        <v>CL 31 # 5-71 / BARRIO PARAISO</v>
      </c>
      <c r="G10152" s="15" t="str">
        <f>IFERROR(__xludf.DUMMYFUNCTION("""COMPUTED_VALUE"""),"LINA MARIA CAÑIZALEZ BALCARCEL")</f>
        <v>LINA MARIA CAÑIZALEZ BALCARCEL</v>
      </c>
      <c r="H10152" s="16">
        <f>IFERROR(__xludf.DUMMYFUNCTION("""COMPUTED_VALUE"""),18827.0)</f>
        <v>18827</v>
      </c>
      <c r="I10152" s="17"/>
      <c r="J10152" s="17"/>
      <c r="K10152" s="17"/>
      <c r="L10152" s="17">
        <f>IFERROR(__xludf.DUMMYFUNCTION("""COMPUTED_VALUE"""),3.138031133E9)</f>
        <v>3138031133</v>
      </c>
      <c r="M10152" s="17"/>
      <c r="N10152" s="17"/>
      <c r="O10152" s="17"/>
      <c r="P10152" s="17" t="b">
        <f>IFERROR(__xludf.DUMMYFUNCTION("""COMPUTED_VALUE"""),FALSE)</f>
        <v>0</v>
      </c>
      <c r="Q10152" s="20" t="str">
        <f>IFERROR(__xludf.DUMMYFUNCTION("""COMPUTED_VALUE"""),"")</f>
        <v/>
      </c>
      <c r="R10152" s="21" t="str">
        <f>IFERROR(__xludf.DUMMYFUNCTION("""COMPUTED_VALUE"""),"https://drive.google.com/file/d/1Hr8j-Nmy1AfABKQIsXnNOfGgvkDWKpP3/view?usp=drivesdk")</f>
        <v>https://drive.google.com/file/d/1Hr8j-Nmy1AfABKQIsXnNOfGgvkDWKpP3/view?usp=drivesdk</v>
      </c>
    </row>
    <row r="10153">
      <c r="A10153" s="17" t="str">
        <f>IFERROR(__xludf.DUMMYFUNCTION("""COMPUTED_VALUE"""),"")</f>
        <v/>
      </c>
      <c r="B10153" s="17" t="str">
        <f>IFERROR(__xludf.DUMMYFUNCTION("""COMPUTED_VALUE"""),"")</f>
        <v/>
      </c>
      <c r="C10153" s="17" t="str">
        <f>IFERROR(__xludf.DUMMYFUNCTION("""COMPUTED_VALUE"""),"")</f>
        <v/>
      </c>
      <c r="D10153" s="17" t="str">
        <f>IFERROR(__xludf.DUMMYFUNCTION("""COMPUTED_VALUE"""),"")</f>
        <v/>
      </c>
      <c r="E10153" s="17" t="str">
        <f>IFERROR(__xludf.DUMMYFUNCTION("""COMPUTED_VALUE"""),"")</f>
        <v/>
      </c>
      <c r="F10153" s="17" t="str">
        <f>IFERROR(__xludf.DUMMYFUNCTION("""COMPUTED_VALUE"""),"")</f>
        <v/>
      </c>
      <c r="G10153" s="17" t="str">
        <f>IFERROR(__xludf.DUMMYFUNCTION("""COMPUTED_VALUE"""),"")</f>
        <v/>
      </c>
      <c r="H10153" s="17" t="str">
        <f>IFERROR(__xludf.DUMMYFUNCTION("""COMPUTED_VALUE"""),"")</f>
        <v/>
      </c>
      <c r="I10153" s="17" t="str">
        <f>IFERROR(__xludf.DUMMYFUNCTION("""COMPUTED_VALUE"""),"")</f>
        <v/>
      </c>
      <c r="J10153" s="17" t="str">
        <f>IFERROR(__xludf.DUMMYFUNCTION("""COMPUTED_VALUE"""),"")</f>
        <v/>
      </c>
      <c r="K10153" s="17" t="str">
        <f>IFERROR(__xludf.DUMMYFUNCTION("""COMPUTED_VALUE"""),"")</f>
        <v/>
      </c>
      <c r="L10153" s="17" t="str">
        <f>IFERROR(__xludf.DUMMYFUNCTION("""COMPUTED_VALUE"""),"")</f>
        <v/>
      </c>
      <c r="M10153" s="17" t="str">
        <f>IFERROR(__xludf.DUMMYFUNCTION("""COMPUTED_VALUE"""),"")</f>
        <v/>
      </c>
      <c r="N10153" s="17" t="str">
        <f>IFERROR(__xludf.DUMMYFUNCTION("""COMPUTED_VALUE"""),"")</f>
        <v/>
      </c>
      <c r="O10153" s="17" t="str">
        <f>IFERROR(__xludf.DUMMYFUNCTION("""COMPUTED_VALUE"""),"")</f>
        <v/>
      </c>
      <c r="P10153" s="17" t="str">
        <f>IFERROR(__xludf.DUMMYFUNCTION("""COMPUTED_VALUE"""),"")</f>
        <v/>
      </c>
      <c r="Q10153" s="17" t="str">
        <f>IFERROR(__xludf.DUMMYFUNCTION("""COMPUTED_VALUE"""),"")</f>
        <v/>
      </c>
      <c r="R10153" s="17" t="str">
        <f>IFERROR(__xludf.DUMMYFUNCTION("""COMPUTED_VALUE"""),"")</f>
        <v/>
      </c>
    </row>
    <row r="10154">
      <c r="A10154" s="15">
        <f>IFERROR(__xludf.DUMMYFUNCTION("""COMPUTED_VALUE"""),45288.0)</f>
        <v>45288</v>
      </c>
      <c r="B10154" s="16" t="str">
        <f>IFERROR(__xludf.DUMMYFUNCTION("""COMPUTED_VALUE"""),"Johan Alexander Escobar Arroyo ")</f>
        <v>Johan Alexander Escobar Arroyo </v>
      </c>
      <c r="C10154" s="15" t="str">
        <f>IFERROR(__xludf.DUMMYFUNCTION("""COMPUTED_VALUE"""),"CALI")</f>
        <v>CALI</v>
      </c>
      <c r="D10154" s="15" t="str">
        <f>IFERROR(__xludf.DUMMYFUNCTION("""COMPUTED_VALUE"""),"ENVIGADO")</f>
        <v>ENVIGADO</v>
      </c>
      <c r="E10154" s="15" t="str">
        <f>IFERROR(__xludf.DUMMYFUNCTION("""COMPUTED_VALUE"""),"RAMBLA")</f>
        <v>RAMBLA</v>
      </c>
      <c r="F10154" s="17" t="str">
        <f>IFERROR(__xludf.DUMMYFUNCTION("""COMPUTED_VALUE"""),"Avenida 4 norte #7n-46 lc 129 / centro comercial centenario")</f>
        <v>Avenida 4 norte #7n-46 lc 129 / centro comercial centenario</v>
      </c>
      <c r="G10154" s="15" t="str">
        <f>IFERROR(__xludf.DUMMYFUNCTION("""COMPUTED_VALUE"""),"Vita Fitness")</f>
        <v>Vita Fitness</v>
      </c>
      <c r="H10154" s="16">
        <f>IFERROR(__xludf.DUMMYFUNCTION("""COMPUTED_VALUE"""),18829.0)</f>
        <v>18829</v>
      </c>
      <c r="I10154" s="17"/>
      <c r="J10154" s="17"/>
      <c r="K10154" s="17"/>
      <c r="L10154" s="17">
        <f>IFERROR(__xludf.DUMMYFUNCTION("""COMPUTED_VALUE"""),3.226925759E9)</f>
        <v>3226925759</v>
      </c>
      <c r="M10154" s="17"/>
      <c r="N10154" s="17"/>
      <c r="O10154" s="17"/>
      <c r="P10154" s="17" t="b">
        <f>IFERROR(__xludf.DUMMYFUNCTION("""COMPUTED_VALUE"""),FALSE)</f>
        <v>0</v>
      </c>
      <c r="Q10154" s="20" t="str">
        <f>IFERROR(__xludf.DUMMYFUNCTION("""COMPUTED_VALUE"""),"")</f>
        <v/>
      </c>
      <c r="R10154" s="21" t="str">
        <f>IFERROR(__xludf.DUMMYFUNCTION("""COMPUTED_VALUE"""),"https://drive.google.com/file/d/1RiY_2K4sEER6fgSGx-sMwxJxr4R_NSC8/view?usp=drivesdk")</f>
        <v>https://drive.google.com/file/d/1RiY_2K4sEER6fgSGx-sMwxJxr4R_NSC8/view?usp=drivesdk</v>
      </c>
    </row>
    <row r="10155">
      <c r="A10155" s="15">
        <f>IFERROR(__xludf.DUMMYFUNCTION("""COMPUTED_VALUE"""),45288.0)</f>
        <v>45288</v>
      </c>
      <c r="B10155" s="16" t="str">
        <f>IFERROR(__xludf.DUMMYFUNCTION("""COMPUTED_VALUE"""),"Johan Alexander Escobar Arroyo ")</f>
        <v>Johan Alexander Escobar Arroyo </v>
      </c>
      <c r="C10155" s="15" t="str">
        <f>IFERROR(__xludf.DUMMYFUNCTION("""COMPUTED_VALUE"""),"CALI")</f>
        <v>CALI</v>
      </c>
      <c r="D10155" s="15" t="str">
        <f>IFERROR(__xludf.DUMMYFUNCTION("""COMPUTED_VALUE"""),"MEDELLÍN")</f>
        <v>MEDELLÍN</v>
      </c>
      <c r="E10155" s="15" t="str">
        <f>IFERROR(__xludf.DUMMYFUNCTION("""COMPUTED_VALUE"""),"AREPAS LA MARY")</f>
        <v>AREPAS LA MARY</v>
      </c>
      <c r="F10155" s="17" t="str">
        <f>IFERROR(__xludf.DUMMYFUNCTION("""COMPUTED_VALUE"""),"Calle 15 #121-25 casa 24 / Condominio Acuarelas de Umbria")</f>
        <v>Calle 15 #121-25 casa 24 / Condominio Acuarelas de Umbria</v>
      </c>
      <c r="G10155" s="15" t="str">
        <f>IFERROR(__xludf.DUMMYFUNCTION("""COMPUTED_VALUE"""),"ANGELA CRUZ")</f>
        <v>ANGELA CRUZ</v>
      </c>
      <c r="H10155" s="16">
        <f>IFERROR(__xludf.DUMMYFUNCTION("""COMPUTED_VALUE"""),18823.0)</f>
        <v>18823</v>
      </c>
      <c r="I10155" s="17"/>
      <c r="J10155" s="17"/>
      <c r="K10155" s="17"/>
      <c r="L10155" s="17">
        <f>IFERROR(__xludf.DUMMYFUNCTION("""COMPUTED_VALUE"""),3.042308146E9)</f>
        <v>3042308146</v>
      </c>
      <c r="M10155" s="17"/>
      <c r="N10155" s="17"/>
      <c r="O10155" s="17"/>
      <c r="P10155" s="17" t="b">
        <f>IFERROR(__xludf.DUMMYFUNCTION("""COMPUTED_VALUE"""),FALSE)</f>
        <v>0</v>
      </c>
      <c r="Q10155" s="20" t="str">
        <f>IFERROR(__xludf.DUMMYFUNCTION("""COMPUTED_VALUE"""),"")</f>
        <v/>
      </c>
      <c r="R10155" s="21" t="str">
        <f>IFERROR(__xludf.DUMMYFUNCTION("""COMPUTED_VALUE"""),"https://drive.google.com/file/d/1w_RDDreRZL_iDN9koud3Z2u3IgR5Ia54/view?usp=drivesdk")</f>
        <v>https://drive.google.com/file/d/1w_RDDreRZL_iDN9koud3Z2u3IgR5Ia54/view?usp=drivesdk</v>
      </c>
    </row>
    <row r="10156">
      <c r="A10156" s="15">
        <f>IFERROR(__xludf.DUMMYFUNCTION("""COMPUTED_VALUE"""),45288.0)</f>
        <v>45288</v>
      </c>
      <c r="B10156" s="16" t="str">
        <f>IFERROR(__xludf.DUMMYFUNCTION("""COMPUTED_VALUE"""),"Johan Alexander Escobar Arroyo ")</f>
        <v>Johan Alexander Escobar Arroyo </v>
      </c>
      <c r="C10156" s="15" t="str">
        <f>IFERROR(__xludf.DUMMYFUNCTION("""COMPUTED_VALUE"""),"CALI")</f>
        <v>CALI</v>
      </c>
      <c r="D10156" s="15" t="str">
        <f>IFERROR(__xludf.DUMMYFUNCTION("""COMPUTED_VALUE"""),"MEDELLÍN")</f>
        <v>MEDELLÍN</v>
      </c>
      <c r="E10156" s="15" t="str">
        <f>IFERROR(__xludf.DUMMYFUNCTION("""COMPUTED_VALUE"""),"Baby Chef")</f>
        <v>Baby Chef</v>
      </c>
      <c r="F10156" s="17" t="str">
        <f>IFERROR(__xludf.DUMMYFUNCTION("""COMPUTED_VALUE"""),"Carrera 103 # 11 - 40 Casa L2  Sendero del Polo Club casa L2, Barrio Ciudad jardín / . / .")</f>
        <v>Carrera 103 # 11 - 40 Casa L2  Sendero del Polo Club casa L2, Barrio Ciudad jardín / . / .</v>
      </c>
      <c r="G10156" s="15" t="str">
        <f>IFERROR(__xludf.DUMMYFUNCTION("""COMPUTED_VALUE"""),"Manuela Escobar")</f>
        <v>Manuela Escobar</v>
      </c>
      <c r="H10156" s="16">
        <f>IFERROR(__xludf.DUMMYFUNCTION("""COMPUTED_VALUE"""),18842.0)</f>
        <v>18842</v>
      </c>
      <c r="I10156" s="18">
        <f>IFERROR(__xludf.DUMMYFUNCTION("""COMPUTED_VALUE"""),8.0)</f>
        <v>8</v>
      </c>
      <c r="J10156" s="18">
        <f>IFERROR(__xludf.DUMMYFUNCTION("""COMPUTED_VALUE"""),16.0)</f>
        <v>16</v>
      </c>
      <c r="K10156" s="18">
        <f>IFERROR(__xludf.DUMMYFUNCTION("""COMPUTED_VALUE"""),20.0)</f>
        <v>20</v>
      </c>
      <c r="L10156" s="17">
        <f>IFERROR(__xludf.DUMMYFUNCTION("""COMPUTED_VALUE"""),3.103997635E9)</f>
        <v>3103997635</v>
      </c>
      <c r="M10156" s="17"/>
      <c r="N10156" s="17"/>
      <c r="O10156" s="17"/>
      <c r="P10156" s="17" t="b">
        <f>IFERROR(__xludf.DUMMYFUNCTION("""COMPUTED_VALUE"""),FALSE)</f>
        <v>0</v>
      </c>
      <c r="Q10156" s="20" t="str">
        <f>IFERROR(__xludf.DUMMYFUNCTION("""COMPUTED_VALUE"""),"")</f>
        <v/>
      </c>
      <c r="R10156" s="21" t="str">
        <f>IFERROR(__xludf.DUMMYFUNCTION("""COMPUTED_VALUE"""),"https://drive.google.com/file/d/1aqyo2gYXBVhkDnEKk37L4FCRaQ5Fq_-_/view?usp=drivesdk")</f>
        <v>https://drive.google.com/file/d/1aqyo2gYXBVhkDnEKk37L4FCRaQ5Fq_-_/view?usp=drivesdk</v>
      </c>
    </row>
    <row r="10157">
      <c r="A10157" s="15">
        <f>IFERROR(__xludf.DUMMYFUNCTION("""COMPUTED_VALUE"""),45288.0)</f>
        <v>45288</v>
      </c>
      <c r="B10157" s="16" t="str">
        <f>IFERROR(__xludf.DUMMYFUNCTION("""COMPUTED_VALUE"""),"Johan Alexander Escobar Arroyo ")</f>
        <v>Johan Alexander Escobar Arroyo </v>
      </c>
      <c r="C10157" s="15" t="str">
        <f>IFERROR(__xludf.DUMMYFUNCTION("""COMPUTED_VALUE"""),"JAMUNDI")</f>
        <v>JAMUNDI</v>
      </c>
      <c r="D10157" s="15" t="str">
        <f>IFERROR(__xludf.DUMMYFUNCTION("""COMPUTED_VALUE"""),"MEDELLÍN")</f>
        <v>MEDELLÍN</v>
      </c>
      <c r="E10157" s="15" t="str">
        <f>IFERROR(__xludf.DUMMYFUNCTION("""COMPUTED_VALUE"""),"Goyo Todo por ellos")</f>
        <v>Goyo Todo por ellos</v>
      </c>
      <c r="F10157" s="17" t="str">
        <f>IFERROR(__xludf.DUMMYFUNCTION("""COMPUTED_VALUE"""),"Parcelación la Morada,  Conjunto Paraiso de la Morada casa 25 / Parcelación la Morada, Conjunto Paraiso de la Morada casa 25 / Parcelación la Morada")</f>
        <v>Parcelación la Morada,  Conjunto Paraiso de la Morada casa 25 / Parcelación la Morada, Conjunto Paraiso de la Morada casa 25 / Parcelación la Morada</v>
      </c>
      <c r="G10157" s="15" t="str">
        <f>IFERROR(__xludf.DUMMYFUNCTION("""COMPUTED_VALUE"""),"Claudia Alvarez")</f>
        <v>Claudia Alvarez</v>
      </c>
      <c r="H10157" s="16">
        <f>IFERROR(__xludf.DUMMYFUNCTION("""COMPUTED_VALUE"""),18822.0)</f>
        <v>18822</v>
      </c>
      <c r="I10157" s="18">
        <f>IFERROR(__xludf.DUMMYFUNCTION("""COMPUTED_VALUE"""),14.0)</f>
        <v>14</v>
      </c>
      <c r="J10157" s="18">
        <f>IFERROR(__xludf.DUMMYFUNCTION("""COMPUTED_VALUE"""),25.0)</f>
        <v>25</v>
      </c>
      <c r="K10157" s="18">
        <f>IFERROR(__xludf.DUMMYFUNCTION("""COMPUTED_VALUE"""),23.0)</f>
        <v>23</v>
      </c>
      <c r="L10157" s="17">
        <f>IFERROR(__xludf.DUMMYFUNCTION("""COMPUTED_VALUE"""),3.164803581E9)</f>
        <v>3164803581</v>
      </c>
      <c r="M10157" s="17"/>
      <c r="N10157" s="17"/>
      <c r="O10157" s="17"/>
      <c r="P10157" s="17" t="b">
        <f>IFERROR(__xludf.DUMMYFUNCTION("""COMPUTED_VALUE"""),FALSE)</f>
        <v>0</v>
      </c>
      <c r="Q10157" s="20" t="str">
        <f>IFERROR(__xludf.DUMMYFUNCTION("""COMPUTED_VALUE"""),"")</f>
        <v/>
      </c>
      <c r="R10157" s="21" t="str">
        <f>IFERROR(__xludf.DUMMYFUNCTION("""COMPUTED_VALUE"""),"https://drive.google.com/file/d/1AtrYniiasALc8GhCyNpIetW-jFuozHlK/view?usp=drivesdk")</f>
        <v>https://drive.google.com/file/d/1AtrYniiasALc8GhCyNpIetW-jFuozHlK/view?usp=drivesdk</v>
      </c>
    </row>
    <row r="10158">
      <c r="A10158" s="17" t="str">
        <f>IFERROR(__xludf.DUMMYFUNCTION("""COMPUTED_VALUE"""),"")</f>
        <v/>
      </c>
      <c r="B10158" s="17" t="str">
        <f>IFERROR(__xludf.DUMMYFUNCTION("""COMPUTED_VALUE"""),"")</f>
        <v/>
      </c>
      <c r="C10158" s="17" t="str">
        <f>IFERROR(__xludf.DUMMYFUNCTION("""COMPUTED_VALUE"""),"")</f>
        <v/>
      </c>
      <c r="D10158" s="17" t="str">
        <f>IFERROR(__xludf.DUMMYFUNCTION("""COMPUTED_VALUE"""),"")</f>
        <v/>
      </c>
      <c r="E10158" s="17" t="str">
        <f>IFERROR(__xludf.DUMMYFUNCTION("""COMPUTED_VALUE"""),"")</f>
        <v/>
      </c>
      <c r="F10158" s="17" t="str">
        <f>IFERROR(__xludf.DUMMYFUNCTION("""COMPUTED_VALUE"""),"")</f>
        <v/>
      </c>
      <c r="G10158" s="17" t="str">
        <f>IFERROR(__xludf.DUMMYFUNCTION("""COMPUTED_VALUE"""),"")</f>
        <v/>
      </c>
      <c r="H10158" s="17" t="str">
        <f>IFERROR(__xludf.DUMMYFUNCTION("""COMPUTED_VALUE"""),"")</f>
        <v/>
      </c>
      <c r="I10158" s="17" t="str">
        <f>IFERROR(__xludf.DUMMYFUNCTION("""COMPUTED_VALUE"""),"")</f>
        <v/>
      </c>
      <c r="J10158" s="17" t="str">
        <f>IFERROR(__xludf.DUMMYFUNCTION("""COMPUTED_VALUE"""),"")</f>
        <v/>
      </c>
      <c r="K10158" s="17" t="str">
        <f>IFERROR(__xludf.DUMMYFUNCTION("""COMPUTED_VALUE"""),"")</f>
        <v/>
      </c>
      <c r="L10158" s="17" t="str">
        <f>IFERROR(__xludf.DUMMYFUNCTION("""COMPUTED_VALUE"""),"")</f>
        <v/>
      </c>
      <c r="M10158" s="17" t="str">
        <f>IFERROR(__xludf.DUMMYFUNCTION("""COMPUTED_VALUE"""),"")</f>
        <v/>
      </c>
      <c r="N10158" s="17" t="str">
        <f>IFERROR(__xludf.DUMMYFUNCTION("""COMPUTED_VALUE"""),"")</f>
        <v/>
      </c>
      <c r="O10158" s="17" t="str">
        <f>IFERROR(__xludf.DUMMYFUNCTION("""COMPUTED_VALUE"""),"")</f>
        <v/>
      </c>
      <c r="P10158" s="17" t="str">
        <f>IFERROR(__xludf.DUMMYFUNCTION("""COMPUTED_VALUE"""),"")</f>
        <v/>
      </c>
      <c r="Q10158" s="17" t="str">
        <f>IFERROR(__xludf.DUMMYFUNCTION("""COMPUTED_VALUE"""),"")</f>
        <v/>
      </c>
      <c r="R10158" s="17" t="str">
        <f>IFERROR(__xludf.DUMMYFUNCTION("""COMPUTED_VALUE"""),"")</f>
        <v/>
      </c>
    </row>
    <row r="10159">
      <c r="A10159" s="15">
        <f>IFERROR(__xludf.DUMMYFUNCTION("""COMPUTED_VALUE"""),45288.0)</f>
        <v>45288</v>
      </c>
      <c r="B10159" s="16" t="str">
        <f>IFERROR(__xludf.DUMMYFUNCTION("""COMPUTED_VALUE"""),"JOSE ALFREDO RAMIREZ VERGARA ")</f>
        <v>JOSE ALFREDO RAMIREZ VERGARA </v>
      </c>
      <c r="C10159" s="15" t="str">
        <f>IFERROR(__xludf.DUMMYFUNCTION("""COMPUTED_VALUE"""),"BOGOTÁ")</f>
        <v>BOGOTÁ</v>
      </c>
      <c r="D10159" s="15" t="str">
        <f>IFERROR(__xludf.DUMMYFUNCTION("""COMPUTED_VALUE"""),"BUCARAMANGA")</f>
        <v>BUCARAMANGA</v>
      </c>
      <c r="E10159" s="15" t="str">
        <f>IFERROR(__xludf.DUMMYFUNCTION("""COMPUTED_VALUE"""),"Yo Como Solito")</f>
        <v>Yo Como Solito</v>
      </c>
      <c r="F10159" s="17" t="str">
        <f>IFERROR(__xludf.DUMMYFUNCTION("""COMPUTED_VALUE"""),"CALLE 137 A # 58-70 T2 APTO 704 CONJUNTO ACCANTO BARRIO COLINA CAMESTRE / CALLE 137 A # 58-70 T2 APTO 704 CONJUNTO ACCANTO BARRIO COLINA CAMESTRE / CALLE 137 A # 58-70 T2 APTO 704 CONJUNTO ACCANTO BARRIO COLINA CAMESTRE")</f>
        <v>CALLE 137 A # 58-70 T2 APTO 704 CONJUNTO ACCANTO BARRIO COLINA CAMESTRE / CALLE 137 A # 58-70 T2 APTO 704 CONJUNTO ACCANTO BARRIO COLINA CAMESTRE / CALLE 137 A # 58-70 T2 APTO 704 CONJUNTO ACCANTO BARRIO COLINA CAMESTRE</v>
      </c>
      <c r="G10159" s="15" t="str">
        <f>IFERROR(__xludf.DUMMYFUNCTION("""COMPUTED_VALUE"""),"YOHANNA DIAZ MARTINE")</f>
        <v>YOHANNA DIAZ MARTINE</v>
      </c>
      <c r="H10159" s="16">
        <f>IFERROR(__xludf.DUMMYFUNCTION("""COMPUTED_VALUE"""),18849.0)</f>
        <v>18849</v>
      </c>
      <c r="I10159" s="18">
        <f>IFERROR(__xludf.DUMMYFUNCTION("""COMPUTED_VALUE"""),13.0)</f>
        <v>13</v>
      </c>
      <c r="J10159" s="18">
        <f>IFERROR(__xludf.DUMMYFUNCTION("""COMPUTED_VALUE"""),31.0)</f>
        <v>31</v>
      </c>
      <c r="K10159" s="18">
        <f>IFERROR(__xludf.DUMMYFUNCTION("""COMPUTED_VALUE"""),41.0)</f>
        <v>41</v>
      </c>
      <c r="L10159" s="17">
        <f>IFERROR(__xludf.DUMMYFUNCTION("""COMPUTED_VALUE"""),3.184635688E9)</f>
        <v>3184635688</v>
      </c>
      <c r="M10159" s="17"/>
      <c r="N10159" s="17"/>
      <c r="O10159" s="17"/>
      <c r="P10159" s="17" t="b">
        <f>IFERROR(__xludf.DUMMYFUNCTION("""COMPUTED_VALUE"""),FALSE)</f>
        <v>0</v>
      </c>
      <c r="Q10159" s="20" t="str">
        <f>IFERROR(__xludf.DUMMYFUNCTION("""COMPUTED_VALUE"""),"")</f>
        <v/>
      </c>
      <c r="R10159" s="21" t="str">
        <f>IFERROR(__xludf.DUMMYFUNCTION("""COMPUTED_VALUE"""),"https://drive.google.com/file/d/1nDNCPFi6tSnLes1OXZh_MXndIqi5DfOr/view?usp=drivesdk")</f>
        <v>https://drive.google.com/file/d/1nDNCPFi6tSnLes1OXZh_MXndIqi5DfOr/view?usp=drivesdk</v>
      </c>
    </row>
    <row r="10160">
      <c r="A10160" s="17" t="str">
        <f>IFERROR(__xludf.DUMMYFUNCTION("""COMPUTED_VALUE"""),"")</f>
        <v/>
      </c>
      <c r="B10160" s="17" t="str">
        <f>IFERROR(__xludf.DUMMYFUNCTION("""COMPUTED_VALUE"""),"")</f>
        <v/>
      </c>
      <c r="C10160" s="17" t="str">
        <f>IFERROR(__xludf.DUMMYFUNCTION("""COMPUTED_VALUE"""),"")</f>
        <v/>
      </c>
      <c r="D10160" s="17" t="str">
        <f>IFERROR(__xludf.DUMMYFUNCTION("""COMPUTED_VALUE"""),"")</f>
        <v/>
      </c>
      <c r="E10160" s="17" t="str">
        <f>IFERROR(__xludf.DUMMYFUNCTION("""COMPUTED_VALUE"""),"")</f>
        <v/>
      </c>
      <c r="F10160" s="17" t="str">
        <f>IFERROR(__xludf.DUMMYFUNCTION("""COMPUTED_VALUE"""),"")</f>
        <v/>
      </c>
      <c r="G10160" s="17" t="str">
        <f>IFERROR(__xludf.DUMMYFUNCTION("""COMPUTED_VALUE"""),"")</f>
        <v/>
      </c>
      <c r="H10160" s="17" t="str">
        <f>IFERROR(__xludf.DUMMYFUNCTION("""COMPUTED_VALUE"""),"")</f>
        <v/>
      </c>
      <c r="I10160" s="17" t="str">
        <f>IFERROR(__xludf.DUMMYFUNCTION("""COMPUTED_VALUE"""),"")</f>
        <v/>
      </c>
      <c r="J10160" s="17" t="str">
        <f>IFERROR(__xludf.DUMMYFUNCTION("""COMPUTED_VALUE"""),"")</f>
        <v/>
      </c>
      <c r="K10160" s="17" t="str">
        <f>IFERROR(__xludf.DUMMYFUNCTION("""COMPUTED_VALUE"""),"")</f>
        <v/>
      </c>
      <c r="L10160" s="17" t="str">
        <f>IFERROR(__xludf.DUMMYFUNCTION("""COMPUTED_VALUE"""),"")</f>
        <v/>
      </c>
      <c r="M10160" s="17" t="str">
        <f>IFERROR(__xludf.DUMMYFUNCTION("""COMPUTED_VALUE"""),"")</f>
        <v/>
      </c>
      <c r="N10160" s="17" t="str">
        <f>IFERROR(__xludf.DUMMYFUNCTION("""COMPUTED_VALUE"""),"")</f>
        <v/>
      </c>
      <c r="O10160" s="17" t="str">
        <f>IFERROR(__xludf.DUMMYFUNCTION("""COMPUTED_VALUE"""),"")</f>
        <v/>
      </c>
      <c r="P10160" s="17" t="str">
        <f>IFERROR(__xludf.DUMMYFUNCTION("""COMPUTED_VALUE"""),"")</f>
        <v/>
      </c>
      <c r="Q10160" s="17" t="str">
        <f>IFERROR(__xludf.DUMMYFUNCTION("""COMPUTED_VALUE"""),"")</f>
        <v/>
      </c>
      <c r="R10160" s="17" t="str">
        <f>IFERROR(__xludf.DUMMYFUNCTION("""COMPUTED_VALUE"""),"")</f>
        <v/>
      </c>
    </row>
    <row r="10161">
      <c r="A10161" s="15">
        <f>IFERROR(__xludf.DUMMYFUNCTION("""COMPUTED_VALUE"""),45289.0)</f>
        <v>45289</v>
      </c>
      <c r="B10161" s="16" t="str">
        <f>IFERROR(__xludf.DUMMYFUNCTION("""COMPUTED_VALUE"""),"Alvaro Chacón")</f>
        <v>Alvaro Chacón</v>
      </c>
      <c r="C10161" s="15" t="str">
        <f>IFERROR(__xludf.DUMMYFUNCTION("""COMPUTED_VALUE"""),"BOGOTÁ")</f>
        <v>BOGOTÁ</v>
      </c>
      <c r="D10161" s="15" t="str">
        <f>IFERROR(__xludf.DUMMYFUNCTION("""COMPUTED_VALUE"""),"ENVIGADO")</f>
        <v>ENVIGADO</v>
      </c>
      <c r="E10161" s="15" t="str">
        <f>IFERROR(__xludf.DUMMYFUNCTION("""COMPUTED_VALUE"""),"RAMBLA")</f>
        <v>RAMBLA</v>
      </c>
      <c r="F10161" s="17" t="str">
        <f>IFERROR(__xludf.DUMMYFUNCTION("""COMPUTED_VALUE"""),"Calle 93a #11-46")</f>
        <v>Calle 93a #11-46</v>
      </c>
      <c r="G10161" s="15" t="str">
        <f>IFERROR(__xludf.DUMMYFUNCTION("""COMPUTED_VALUE"""),"Fit Hub")</f>
        <v>Fit Hub</v>
      </c>
      <c r="H10161" s="16">
        <f>IFERROR(__xludf.DUMMYFUNCTION("""COMPUTED_VALUE"""),18872.0)</f>
        <v>18872</v>
      </c>
      <c r="I10161" s="17"/>
      <c r="J10161" s="17"/>
      <c r="K10161" s="17"/>
      <c r="L10161" s="17">
        <f>IFERROR(__xludf.DUMMYFUNCTION("""COMPUTED_VALUE"""),3.015447307E9)</f>
        <v>3015447307</v>
      </c>
      <c r="M10161" s="17"/>
      <c r="N10161" s="17"/>
      <c r="O10161" s="17"/>
      <c r="P10161" s="17" t="b">
        <f>IFERROR(__xludf.DUMMYFUNCTION("""COMPUTED_VALUE"""),FALSE)</f>
        <v>0</v>
      </c>
      <c r="Q10161" s="20" t="str">
        <f>IFERROR(__xludf.DUMMYFUNCTION("""COMPUTED_VALUE"""),"")</f>
        <v/>
      </c>
      <c r="R10161" s="21" t="str">
        <f>IFERROR(__xludf.DUMMYFUNCTION("""COMPUTED_VALUE"""),"https://drive.google.com/file/d/1s12SdC_WwwMe-M03-BBUv8e-gdXIXnP8/view?usp=drivesdk")</f>
        <v>https://drive.google.com/file/d/1s12SdC_WwwMe-M03-BBUv8e-gdXIXnP8/view?usp=drivesdk</v>
      </c>
    </row>
    <row r="10162">
      <c r="A10162" s="15">
        <f>IFERROR(__xludf.DUMMYFUNCTION("""COMPUTED_VALUE"""),45289.0)</f>
        <v>45289</v>
      </c>
      <c r="B10162" s="16" t="str">
        <f>IFERROR(__xludf.DUMMYFUNCTION("""COMPUTED_VALUE"""),"Alvaro Chacón")</f>
        <v>Alvaro Chacón</v>
      </c>
      <c r="C10162" s="15" t="str">
        <f>IFERROR(__xludf.DUMMYFUNCTION("""COMPUTED_VALUE"""),"BOGOTÁ")</f>
        <v>BOGOTÁ</v>
      </c>
      <c r="D10162" s="15" t="str">
        <f>IFERROR(__xludf.DUMMYFUNCTION("""COMPUTED_VALUE"""),"MEDELLÍN")</f>
        <v>MEDELLÍN</v>
      </c>
      <c r="E10162" s="15" t="str">
        <f>IFERROR(__xludf.DUMMYFUNCTION("""COMPUTED_VALUE"""),"Baby Chef")</f>
        <v>Baby Chef</v>
      </c>
      <c r="F10162" s="17" t="str">
        <f>IFERROR(__xludf.DUMMYFUNCTION("""COMPUTED_VALUE"""),"Carrera 19B # 86A 47 apt 401  Barrio Antiguo Country Bogotá / . / .")</f>
        <v>Carrera 19B # 86A 47 apt 401  Barrio Antiguo Country Bogotá / . / .</v>
      </c>
      <c r="G10162" s="15" t="str">
        <f>IFERROR(__xludf.DUMMYFUNCTION("""COMPUTED_VALUE"""),"Olga Lucía Mariño")</f>
        <v>Olga Lucía Mariño</v>
      </c>
      <c r="H10162" s="16">
        <f>IFERROR(__xludf.DUMMYFUNCTION("""COMPUTED_VALUE"""),18856.0)</f>
        <v>18856</v>
      </c>
      <c r="I10162" s="18">
        <f>IFERROR(__xludf.DUMMYFUNCTION("""COMPUTED_VALUE"""),7.0)</f>
        <v>7</v>
      </c>
      <c r="J10162" s="18">
        <f>IFERROR(__xludf.DUMMYFUNCTION("""COMPUTED_VALUE"""),20.0)</f>
        <v>20</v>
      </c>
      <c r="K10162" s="18">
        <f>IFERROR(__xludf.DUMMYFUNCTION("""COMPUTED_VALUE"""),34.0)</f>
        <v>34</v>
      </c>
      <c r="L10162" s="17">
        <f>IFERROR(__xludf.DUMMYFUNCTION("""COMPUTED_VALUE"""),3.005548003E9)</f>
        <v>3005548003</v>
      </c>
      <c r="M10162" s="17"/>
      <c r="N10162" s="17"/>
      <c r="O10162" s="17"/>
      <c r="P10162" s="17" t="b">
        <f>IFERROR(__xludf.DUMMYFUNCTION("""COMPUTED_VALUE"""),FALSE)</f>
        <v>0</v>
      </c>
      <c r="Q10162" s="20" t="str">
        <f>IFERROR(__xludf.DUMMYFUNCTION("""COMPUTED_VALUE"""),"")</f>
        <v/>
      </c>
      <c r="R10162" s="21" t="str">
        <f>IFERROR(__xludf.DUMMYFUNCTION("""COMPUTED_VALUE"""),"https://drive.google.com/file/d/1TLBTzb5t9miz0SSCnG0zaTe3nW7Utw5a/view?usp=drivesdk")</f>
        <v>https://drive.google.com/file/d/1TLBTzb5t9miz0SSCnG0zaTe3nW7Utw5a/view?usp=drivesdk</v>
      </c>
    </row>
    <row r="10163">
      <c r="A10163" s="15">
        <f>IFERROR(__xludf.DUMMYFUNCTION("""COMPUTED_VALUE"""),45289.0)</f>
        <v>45289</v>
      </c>
      <c r="B10163" s="16" t="str">
        <f>IFERROR(__xludf.DUMMYFUNCTION("""COMPUTED_VALUE"""),"Alvaro Chacón")</f>
        <v>Alvaro Chacón</v>
      </c>
      <c r="C10163" s="15" t="str">
        <f>IFERROR(__xludf.DUMMYFUNCTION("""COMPUTED_VALUE"""),"BOGOTÁ")</f>
        <v>BOGOTÁ</v>
      </c>
      <c r="D10163" s="15" t="str">
        <f>IFERROR(__xludf.DUMMYFUNCTION("""COMPUTED_VALUE"""),"MEDELLÍN")</f>
        <v>MEDELLÍN</v>
      </c>
      <c r="E10163" s="15" t="str">
        <f>IFERROR(__xludf.DUMMYFUNCTION("""COMPUTED_VALUE"""),"Goyo Todo por ellos")</f>
        <v>Goyo Todo por ellos</v>
      </c>
      <c r="F10163" s="17" t="str">
        <f>IFERROR(__xludf.DUMMYFUNCTION("""COMPUTED_VALUE"""),"Transversal 60 # 104 94 / Clinica Veterinaria Morada / Puente Largo Suba Estación Transmilenio")</f>
        <v>Transversal 60 # 104 94 / Clinica Veterinaria Morada / Puente Largo Suba Estación Transmilenio</v>
      </c>
      <c r="G10163" s="15" t="str">
        <f>IFERROR(__xludf.DUMMYFUNCTION("""COMPUTED_VALUE"""),"Valentina Martinez")</f>
        <v>Valentina Martinez</v>
      </c>
      <c r="H10163" s="16">
        <f>IFERROR(__xludf.DUMMYFUNCTION("""COMPUTED_VALUE"""),18853.0)</f>
        <v>18853</v>
      </c>
      <c r="I10163" s="18">
        <f>IFERROR(__xludf.DUMMYFUNCTION("""COMPUTED_VALUE"""),14.0)</f>
        <v>14</v>
      </c>
      <c r="J10163" s="18">
        <f>IFERROR(__xludf.DUMMYFUNCTION("""COMPUTED_VALUE"""),27.0)</f>
        <v>27</v>
      </c>
      <c r="K10163" s="18">
        <f>IFERROR(__xludf.DUMMYFUNCTION("""COMPUTED_VALUE"""),26.0)</f>
        <v>26</v>
      </c>
      <c r="L10163" s="17">
        <f>IFERROR(__xludf.DUMMYFUNCTION("""COMPUTED_VALUE"""),3.05801839E9)</f>
        <v>3058018390</v>
      </c>
      <c r="M10163" s="17"/>
      <c r="N10163" s="17"/>
      <c r="O10163" s="17"/>
      <c r="P10163" s="17" t="b">
        <f>IFERROR(__xludf.DUMMYFUNCTION("""COMPUTED_VALUE"""),FALSE)</f>
        <v>0</v>
      </c>
      <c r="Q10163" s="20" t="str">
        <f>IFERROR(__xludf.DUMMYFUNCTION("""COMPUTED_VALUE"""),"")</f>
        <v/>
      </c>
      <c r="R10163" s="21" t="str">
        <f>IFERROR(__xludf.DUMMYFUNCTION("""COMPUTED_VALUE"""),"https://drive.google.com/file/d/1xAfguHY66dvtVqfIsEzwegu0w-oOjNVh/view?usp=drivesdk")</f>
        <v>https://drive.google.com/file/d/1xAfguHY66dvtVqfIsEzwegu0w-oOjNVh/view?usp=drivesdk</v>
      </c>
    </row>
    <row r="10164">
      <c r="A10164" s="17" t="str">
        <f>IFERROR(__xludf.DUMMYFUNCTION("""COMPUTED_VALUE"""),"")</f>
        <v/>
      </c>
      <c r="B10164" s="17" t="str">
        <f>IFERROR(__xludf.DUMMYFUNCTION("""COMPUTED_VALUE"""),"")</f>
        <v/>
      </c>
      <c r="C10164" s="17" t="str">
        <f>IFERROR(__xludf.DUMMYFUNCTION("""COMPUTED_VALUE"""),"")</f>
        <v/>
      </c>
      <c r="D10164" s="17" t="str">
        <f>IFERROR(__xludf.DUMMYFUNCTION("""COMPUTED_VALUE"""),"")</f>
        <v/>
      </c>
      <c r="E10164" s="17" t="str">
        <f>IFERROR(__xludf.DUMMYFUNCTION("""COMPUTED_VALUE"""),"")</f>
        <v/>
      </c>
      <c r="F10164" s="17" t="str">
        <f>IFERROR(__xludf.DUMMYFUNCTION("""COMPUTED_VALUE"""),"")</f>
        <v/>
      </c>
      <c r="G10164" s="17" t="str">
        <f>IFERROR(__xludf.DUMMYFUNCTION("""COMPUTED_VALUE"""),"")</f>
        <v/>
      </c>
      <c r="H10164" s="17" t="str">
        <f>IFERROR(__xludf.DUMMYFUNCTION("""COMPUTED_VALUE"""),"")</f>
        <v/>
      </c>
      <c r="I10164" s="17" t="str">
        <f>IFERROR(__xludf.DUMMYFUNCTION("""COMPUTED_VALUE"""),"")</f>
        <v/>
      </c>
      <c r="J10164" s="17" t="str">
        <f>IFERROR(__xludf.DUMMYFUNCTION("""COMPUTED_VALUE"""),"")</f>
        <v/>
      </c>
      <c r="K10164" s="17" t="str">
        <f>IFERROR(__xludf.DUMMYFUNCTION("""COMPUTED_VALUE"""),"")</f>
        <v/>
      </c>
      <c r="L10164" s="17" t="str">
        <f>IFERROR(__xludf.DUMMYFUNCTION("""COMPUTED_VALUE"""),"")</f>
        <v/>
      </c>
      <c r="M10164" s="17" t="str">
        <f>IFERROR(__xludf.DUMMYFUNCTION("""COMPUTED_VALUE"""),"")</f>
        <v/>
      </c>
      <c r="N10164" s="17" t="str">
        <f>IFERROR(__xludf.DUMMYFUNCTION("""COMPUTED_VALUE"""),"")</f>
        <v/>
      </c>
      <c r="O10164" s="17" t="str">
        <f>IFERROR(__xludf.DUMMYFUNCTION("""COMPUTED_VALUE"""),"")</f>
        <v/>
      </c>
      <c r="P10164" s="17" t="str">
        <f>IFERROR(__xludf.DUMMYFUNCTION("""COMPUTED_VALUE"""),"")</f>
        <v/>
      </c>
      <c r="Q10164" s="17" t="str">
        <f>IFERROR(__xludf.DUMMYFUNCTION("""COMPUTED_VALUE"""),"")</f>
        <v/>
      </c>
      <c r="R10164" s="17" t="str">
        <f>IFERROR(__xludf.DUMMYFUNCTION("""COMPUTED_VALUE"""),"")</f>
        <v/>
      </c>
    </row>
    <row r="10165">
      <c r="A10165" s="15">
        <f>IFERROR(__xludf.DUMMYFUNCTION("""COMPUTED_VALUE"""),45289.0)</f>
        <v>45289</v>
      </c>
      <c r="B10165" s="16" t="str">
        <f>IFERROR(__xludf.DUMMYFUNCTION("""COMPUTED_VALUE"""),"Daniel José sandoval gonzalez")</f>
        <v>Daniel José sandoval gonzalez</v>
      </c>
      <c r="C10165" s="15" t="str">
        <f>IFERROR(__xludf.DUMMYFUNCTION("""COMPUTED_VALUE"""),"BARRANQUILLA")</f>
        <v>BARRANQUILLA</v>
      </c>
      <c r="D10165" s="15" t="str">
        <f>IFERROR(__xludf.DUMMYFUNCTION("""COMPUTED_VALUE"""),"BOGOTÁ")</f>
        <v>BOGOTÁ</v>
      </c>
      <c r="E10165" s="15" t="str">
        <f>IFERROR(__xludf.DUMMYFUNCTION("""COMPUTED_VALUE"""),"Premium Choice")</f>
        <v>Premium Choice</v>
      </c>
      <c r="F10165" s="17" t="str">
        <f>IFERROR(__xludf.DUMMYFUNCTION("""COMPUTED_VALUE"""),"Cr 52 # 80 - 43  / Amore group / Barranquilla")</f>
        <v>Cr 52 # 80 - 43  / Amore group / Barranquilla</v>
      </c>
      <c r="G10165" s="15" t="str">
        <f>IFERROR(__xludf.DUMMYFUNCTION("""COMPUTED_VALUE"""),"Amore Barranquilla")</f>
        <v>Amore Barranquilla</v>
      </c>
      <c r="H10165" s="16">
        <f>IFERROR(__xludf.DUMMYFUNCTION("""COMPUTED_VALUE"""),18839.0)</f>
        <v>18839</v>
      </c>
      <c r="I10165" s="18">
        <f>IFERROR(__xludf.DUMMYFUNCTION("""COMPUTED_VALUE"""),17.0)</f>
        <v>17</v>
      </c>
      <c r="J10165" s="18">
        <f>IFERROR(__xludf.DUMMYFUNCTION("""COMPUTED_VALUE"""),20.0)</f>
        <v>20</v>
      </c>
      <c r="K10165" s="18">
        <f>IFERROR(__xludf.DUMMYFUNCTION("""COMPUTED_VALUE"""),30.0)</f>
        <v>30</v>
      </c>
      <c r="L10165" s="17">
        <f>IFERROR(__xludf.DUMMYFUNCTION("""COMPUTED_VALUE"""),3.102170999E9)</f>
        <v>3102170999</v>
      </c>
      <c r="M10165" s="17"/>
      <c r="N10165" s="17"/>
      <c r="O10165" s="17"/>
      <c r="P10165" s="17" t="b">
        <f>IFERROR(__xludf.DUMMYFUNCTION("""COMPUTED_VALUE"""),FALSE)</f>
        <v>0</v>
      </c>
      <c r="Q10165" s="20" t="str">
        <f>IFERROR(__xludf.DUMMYFUNCTION("""COMPUTED_VALUE"""),"")</f>
        <v/>
      </c>
      <c r="R10165" s="21" t="str">
        <f>IFERROR(__xludf.DUMMYFUNCTION("""COMPUTED_VALUE"""),"https://drive.google.com/file/d/1508DjXqIxFwfeLOSQTVJi-6uD6SWEo2f/view?usp=drivesdk")</f>
        <v>https://drive.google.com/file/d/1508DjXqIxFwfeLOSQTVJi-6uD6SWEo2f/view?usp=drivesdk</v>
      </c>
    </row>
    <row r="10166">
      <c r="A10166" s="15">
        <f>IFERROR(__xludf.DUMMYFUNCTION("""COMPUTED_VALUE"""),45289.0)</f>
        <v>45289</v>
      </c>
      <c r="B10166" s="16" t="str">
        <f>IFERROR(__xludf.DUMMYFUNCTION("""COMPUTED_VALUE"""),"Daniel José sandoval gonzalez")</f>
        <v>Daniel José sandoval gonzalez</v>
      </c>
      <c r="C10166" s="15" t="str">
        <f>IFERROR(__xludf.DUMMYFUNCTION("""COMPUTED_VALUE"""),"BARRANQUILLA")</f>
        <v>BARRANQUILLA</v>
      </c>
      <c r="D10166" s="15" t="str">
        <f>IFERROR(__xludf.DUMMYFUNCTION("""COMPUTED_VALUE"""),"BOGOTÁ")</f>
        <v>BOGOTÁ</v>
      </c>
      <c r="E10166" s="15" t="str">
        <f>IFERROR(__xludf.DUMMYFUNCTION("""COMPUTED_VALUE"""),"Premium Choice")</f>
        <v>Premium Choice</v>
      </c>
      <c r="F10166" s="17" t="str">
        <f>IFERROR(__xludf.DUMMYFUNCTION("""COMPUTED_VALUE"""),"Cr 64c # 86 - 170  / Barrio Andalucía  / Barranquilla")</f>
        <v>Cr 64c # 86 - 170  / Barrio Andalucía  / Barranquilla</v>
      </c>
      <c r="G10166" s="15" t="str">
        <f>IFERROR(__xludf.DUMMYFUNCTION("""COMPUTED_VALUE"""),"Hernández Issa antonella")</f>
        <v>Hernández Issa antonella</v>
      </c>
      <c r="H10166" s="16">
        <f>IFERROR(__xludf.DUMMYFUNCTION("""COMPUTED_VALUE"""),18835.0)</f>
        <v>18835</v>
      </c>
      <c r="I10166" s="18">
        <f>IFERROR(__xludf.DUMMYFUNCTION("""COMPUTED_VALUE"""),17.0)</f>
        <v>17</v>
      </c>
      <c r="J10166" s="18">
        <f>IFERROR(__xludf.DUMMYFUNCTION("""COMPUTED_VALUE"""),20.0)</f>
        <v>20</v>
      </c>
      <c r="K10166" s="18">
        <f>IFERROR(__xludf.DUMMYFUNCTION("""COMPUTED_VALUE"""),30.0)</f>
        <v>30</v>
      </c>
      <c r="L10166" s="17">
        <f>IFERROR(__xludf.DUMMYFUNCTION("""COMPUTED_VALUE"""),3.102170999E9)</f>
        <v>3102170999</v>
      </c>
      <c r="M10166" s="17"/>
      <c r="N10166" s="17"/>
      <c r="O10166" s="17"/>
      <c r="P10166" s="17" t="b">
        <f>IFERROR(__xludf.DUMMYFUNCTION("""COMPUTED_VALUE"""),FALSE)</f>
        <v>0</v>
      </c>
      <c r="Q10166" s="20" t="str">
        <f>IFERROR(__xludf.DUMMYFUNCTION("""COMPUTED_VALUE"""),"")</f>
        <v/>
      </c>
      <c r="R10166" s="21" t="str">
        <f>IFERROR(__xludf.DUMMYFUNCTION("""COMPUTED_VALUE"""),"https://drive.google.com/file/d/1zFFYWZM44_VyZS7yuEiisxuwQDGeOSPo/view?usp=drivesdk")</f>
        <v>https://drive.google.com/file/d/1zFFYWZM44_VyZS7yuEiisxuwQDGeOSPo/view?usp=drivesdk</v>
      </c>
    </row>
    <row r="10167">
      <c r="A10167" s="15">
        <f>IFERROR(__xludf.DUMMYFUNCTION("""COMPUTED_VALUE"""),45289.0)</f>
        <v>45289</v>
      </c>
      <c r="B10167" s="16" t="str">
        <f>IFERROR(__xludf.DUMMYFUNCTION("""COMPUTED_VALUE"""),"Daniel José sandoval gonzalez")</f>
        <v>Daniel José sandoval gonzalez</v>
      </c>
      <c r="C10167" s="15" t="str">
        <f>IFERROR(__xludf.DUMMYFUNCTION("""COMPUTED_VALUE"""),"BARRANQUILLA")</f>
        <v>BARRANQUILLA</v>
      </c>
      <c r="D10167" s="15" t="str">
        <f>IFERROR(__xludf.DUMMYFUNCTION("""COMPUTED_VALUE"""),"BOGOTÁ")</f>
        <v>BOGOTÁ</v>
      </c>
      <c r="E10167" s="15" t="str">
        <f>IFERROR(__xludf.DUMMYFUNCTION("""COMPUTED_VALUE"""),"Ser Fit")</f>
        <v>Ser Fit</v>
      </c>
      <c r="F10167" s="17" t="str">
        <f>IFERROR(__xludf.DUMMYFUNCTION("""COMPUTED_VALUE"""),"cra. 51 #82-223 / cra. 51 #82-223 / barranquilla")</f>
        <v>cra. 51 #82-223 / cra. 51 #82-223 / barranquilla</v>
      </c>
      <c r="G10167" s="15" t="str">
        <f>IFERROR(__xludf.DUMMYFUNCTION("""COMPUTED_VALUE"""),"fit hub barranquilla")</f>
        <v>fit hub barranquilla</v>
      </c>
      <c r="H10167" s="16">
        <f>IFERROR(__xludf.DUMMYFUNCTION("""COMPUTED_VALUE"""),18820.0)</f>
        <v>18820</v>
      </c>
      <c r="I10167" s="18">
        <f>IFERROR(__xludf.DUMMYFUNCTION("""COMPUTED_VALUE"""),24.0)</f>
        <v>24</v>
      </c>
      <c r="J10167" s="18">
        <f>IFERROR(__xludf.DUMMYFUNCTION("""COMPUTED_VALUE"""),17.0)</f>
        <v>17</v>
      </c>
      <c r="K10167" s="18">
        <f>IFERROR(__xludf.DUMMYFUNCTION("""COMPUTED_VALUE"""),21.0)</f>
        <v>21</v>
      </c>
      <c r="L10167" s="17">
        <f>IFERROR(__xludf.DUMMYFUNCTION("""COMPUTED_VALUE"""),3.157237432E9)</f>
        <v>3157237432</v>
      </c>
      <c r="M10167" s="17"/>
      <c r="N10167" s="17"/>
      <c r="O10167" s="17"/>
      <c r="P10167" s="17" t="b">
        <f>IFERROR(__xludf.DUMMYFUNCTION("""COMPUTED_VALUE"""),FALSE)</f>
        <v>0</v>
      </c>
      <c r="Q10167" s="20" t="str">
        <f>IFERROR(__xludf.DUMMYFUNCTION("""COMPUTED_VALUE"""),"")</f>
        <v/>
      </c>
      <c r="R10167" s="21" t="str">
        <f>IFERROR(__xludf.DUMMYFUNCTION("""COMPUTED_VALUE"""),"https://drive.google.com/file/d/10Xbm-O5dCKriTp2Tfw0QueN5jGVD4oVa/view?usp=drivesdk")</f>
        <v>https://drive.google.com/file/d/10Xbm-O5dCKriTp2Tfw0QueN5jGVD4oVa/view?usp=drivesdk</v>
      </c>
    </row>
    <row r="10168">
      <c r="A10168" s="15">
        <f>IFERROR(__xludf.DUMMYFUNCTION("""COMPUTED_VALUE"""),45289.0)</f>
        <v>45289</v>
      </c>
      <c r="B10168" s="16" t="str">
        <f>IFERROR(__xludf.DUMMYFUNCTION("""COMPUTED_VALUE"""),"Daniel José sandoval gonzalez")</f>
        <v>Daniel José sandoval gonzalez</v>
      </c>
      <c r="C10168" s="15" t="str">
        <f>IFERROR(__xludf.DUMMYFUNCTION("""COMPUTED_VALUE"""),"BARRANQUILLA")</f>
        <v>BARRANQUILLA</v>
      </c>
      <c r="D10168" s="15" t="str">
        <f>IFERROR(__xludf.DUMMYFUNCTION("""COMPUTED_VALUE"""),"BOGOTÁ")</f>
        <v>BOGOTÁ</v>
      </c>
      <c r="E10168" s="15" t="str">
        <f>IFERROR(__xludf.DUMMYFUNCTION("""COMPUTED_VALUE"""),"Top Spun")</f>
        <v>Top Spun</v>
      </c>
      <c r="F10168" s="17" t="str">
        <f>IFERROR(__xludf.DUMMYFUNCTION("""COMPUTED_VALUE"""),"Cra 42#82-20 Timbre 1 / TIMBRE 1 /  Barranquilla Atlántico")</f>
        <v>Cra 42#82-20 Timbre 1 / TIMBRE 1 /  Barranquilla Atlántico</v>
      </c>
      <c r="G10168" s="15" t="str">
        <f>IFERROR(__xludf.DUMMYFUNCTION("""COMPUTED_VALUE"""),"Roxana De la hoz Benitez")</f>
        <v>Roxana De la hoz Benitez</v>
      </c>
      <c r="H10168" s="16">
        <f>IFERROR(__xludf.DUMMYFUNCTION("""COMPUTED_VALUE"""),18744.0)</f>
        <v>18744</v>
      </c>
      <c r="I10168" s="18">
        <f>IFERROR(__xludf.DUMMYFUNCTION("""COMPUTED_VALUE"""),20.0)</f>
        <v>20</v>
      </c>
      <c r="J10168" s="18">
        <f>IFERROR(__xludf.DUMMYFUNCTION("""COMPUTED_VALUE"""),10.0)</f>
        <v>10</v>
      </c>
      <c r="K10168" s="18">
        <f>IFERROR(__xludf.DUMMYFUNCTION("""COMPUTED_VALUE"""),40.0)</f>
        <v>40</v>
      </c>
      <c r="L10168" s="17">
        <f>IFERROR(__xludf.DUMMYFUNCTION("""COMPUTED_VALUE"""),3.005549288E9)</f>
        <v>3005549288</v>
      </c>
      <c r="M10168" s="17"/>
      <c r="N10168" s="17"/>
      <c r="O10168" s="17"/>
      <c r="P10168" s="17" t="b">
        <f>IFERROR(__xludf.DUMMYFUNCTION("""COMPUTED_VALUE"""),FALSE)</f>
        <v>0</v>
      </c>
      <c r="Q10168" s="20" t="str">
        <f>IFERROR(__xludf.DUMMYFUNCTION("""COMPUTED_VALUE"""),"")</f>
        <v/>
      </c>
      <c r="R10168" s="21" t="str">
        <f>IFERROR(__xludf.DUMMYFUNCTION("""COMPUTED_VALUE"""),"https://drive.google.com/file/d/1mK05xoV9uh-WslPPUx3z2HzS99hpDcwe/view?usp=drivesdk")</f>
        <v>https://drive.google.com/file/d/1mK05xoV9uh-WslPPUx3z2HzS99hpDcwe/view?usp=drivesdk</v>
      </c>
    </row>
    <row r="10169">
      <c r="A10169" s="15">
        <f>IFERROR(__xludf.DUMMYFUNCTION("""COMPUTED_VALUE"""),45289.0)</f>
        <v>45289</v>
      </c>
      <c r="B10169" s="16" t="str">
        <f>IFERROR(__xludf.DUMMYFUNCTION("""COMPUTED_VALUE"""),"Daniel José sandoval gonzalez")</f>
        <v>Daniel José sandoval gonzalez</v>
      </c>
      <c r="C10169" s="15" t="str">
        <f>IFERROR(__xludf.DUMMYFUNCTION("""COMPUTED_VALUE"""),"BARRANQUILLA")</f>
        <v>BARRANQUILLA</v>
      </c>
      <c r="D10169" s="15" t="str">
        <f>IFERROR(__xludf.DUMMYFUNCTION("""COMPUTED_VALUE"""),"ENVIGADO")</f>
        <v>ENVIGADO</v>
      </c>
      <c r="E10169" s="15" t="str">
        <f>IFERROR(__xludf.DUMMYFUNCTION("""COMPUTED_VALUE"""),"RAMBLA")</f>
        <v>RAMBLA</v>
      </c>
      <c r="F10169" s="17" t="str">
        <f>IFERROR(__xludf.DUMMYFUNCTION("""COMPUTED_VALUE"""),"Carrera 74 #76-74")</f>
        <v>Carrera 74 #76-74</v>
      </c>
      <c r="G10169" s="15" t="str">
        <f>IFERROR(__xludf.DUMMYFUNCTION("""COMPUTED_VALUE"""),"Fit Hub")</f>
        <v>Fit Hub</v>
      </c>
      <c r="H10169" s="16">
        <f>IFERROR(__xludf.DUMMYFUNCTION("""COMPUTED_VALUE"""),18828.0)</f>
        <v>18828</v>
      </c>
      <c r="I10169" s="17"/>
      <c r="J10169" s="17"/>
      <c r="K10169" s="17"/>
      <c r="L10169" s="17">
        <f>IFERROR(__xludf.DUMMYFUNCTION("""COMPUTED_VALUE"""),3.157039547E9)</f>
        <v>3157039547</v>
      </c>
      <c r="M10169" s="17"/>
      <c r="N10169" s="17"/>
      <c r="O10169" s="17"/>
      <c r="P10169" s="17" t="b">
        <f>IFERROR(__xludf.DUMMYFUNCTION("""COMPUTED_VALUE"""),FALSE)</f>
        <v>0</v>
      </c>
      <c r="Q10169" s="20" t="str">
        <f>IFERROR(__xludf.DUMMYFUNCTION("""COMPUTED_VALUE"""),"")</f>
        <v/>
      </c>
      <c r="R10169" s="21" t="str">
        <f>IFERROR(__xludf.DUMMYFUNCTION("""COMPUTED_VALUE"""),"https://drive.google.com/file/d/1GgXy86ZmX4gfhKT4PapFLbnwun7COfgw/view?usp=drivesdk")</f>
        <v>https://drive.google.com/file/d/1GgXy86ZmX4gfhKT4PapFLbnwun7COfgw/view?usp=drivesdk</v>
      </c>
    </row>
    <row r="10170">
      <c r="A10170" s="15">
        <f>IFERROR(__xludf.DUMMYFUNCTION("""COMPUTED_VALUE"""),45289.0)</f>
        <v>45289</v>
      </c>
      <c r="B10170" s="16" t="str">
        <f>IFERROR(__xludf.DUMMYFUNCTION("""COMPUTED_VALUE"""),"Daniel José sandoval gonzalez")</f>
        <v>Daniel José sandoval gonzalez</v>
      </c>
      <c r="C10170" s="15" t="str">
        <f>IFERROR(__xludf.DUMMYFUNCTION("""COMPUTED_VALUE"""),"BARRANQUILLA")</f>
        <v>BARRANQUILLA</v>
      </c>
      <c r="D10170" s="15" t="str">
        <f>IFERROR(__xludf.DUMMYFUNCTION("""COMPUTED_VALUE"""),"MEDELLÍN")</f>
        <v>MEDELLÍN</v>
      </c>
      <c r="E10170" s="15" t="str">
        <f>IFERROR(__xludf.DUMMYFUNCTION("""COMPUTED_VALUE"""),"Baby Chef")</f>
        <v>Baby Chef</v>
      </c>
      <c r="F10170" s="17" t="str">
        <f>IFERROR(__xludf.DUMMYFUNCTION("""COMPUTED_VALUE"""),"Calle 84 # 42 c - 181 apto 406 Edificio Más house Nuevo horizonte  Barrio Nuevo Horizonte / . / .")</f>
        <v>Calle 84 # 42 c - 181 apto 406 Edificio Más house Nuevo horizonte  Barrio Nuevo Horizonte / . / .</v>
      </c>
      <c r="G10170" s="15" t="str">
        <f>IFERROR(__xludf.DUMMYFUNCTION("""COMPUTED_VALUE"""),"Viviana Fontalvo")</f>
        <v>Viviana Fontalvo</v>
      </c>
      <c r="H10170" s="16">
        <f>IFERROR(__xludf.DUMMYFUNCTION("""COMPUTED_VALUE"""),18841.0)</f>
        <v>18841</v>
      </c>
      <c r="I10170" s="18">
        <f>IFERROR(__xludf.DUMMYFUNCTION("""COMPUTED_VALUE"""),8.0)</f>
        <v>8</v>
      </c>
      <c r="J10170" s="18">
        <f>IFERROR(__xludf.DUMMYFUNCTION("""COMPUTED_VALUE"""),22.0)</f>
        <v>22</v>
      </c>
      <c r="K10170" s="18">
        <f>IFERROR(__xludf.DUMMYFUNCTION("""COMPUTED_VALUE"""),34.0)</f>
        <v>34</v>
      </c>
      <c r="L10170" s="17">
        <f>IFERROR(__xludf.DUMMYFUNCTION("""COMPUTED_VALUE"""),3.003883187E9)</f>
        <v>3003883187</v>
      </c>
      <c r="M10170" s="17"/>
      <c r="N10170" s="17"/>
      <c r="O10170" s="17"/>
      <c r="P10170" s="17" t="b">
        <f>IFERROR(__xludf.DUMMYFUNCTION("""COMPUTED_VALUE"""),FALSE)</f>
        <v>0</v>
      </c>
      <c r="Q10170" s="20" t="str">
        <f>IFERROR(__xludf.DUMMYFUNCTION("""COMPUTED_VALUE"""),"")</f>
        <v/>
      </c>
      <c r="R10170" s="21" t="str">
        <f>IFERROR(__xludf.DUMMYFUNCTION("""COMPUTED_VALUE"""),"https://drive.google.com/file/d/1h9i-NnINjSe9UY_7ae9YVP_0gRHjI9dd/view?usp=drivesdk")</f>
        <v>https://drive.google.com/file/d/1h9i-NnINjSe9UY_7ae9YVP_0gRHjI9dd/view?usp=drivesdk</v>
      </c>
    </row>
    <row r="10171">
      <c r="A10171" s="15">
        <f>IFERROR(__xludf.DUMMYFUNCTION("""COMPUTED_VALUE"""),45289.0)</f>
        <v>45289</v>
      </c>
      <c r="B10171" s="16" t="str">
        <f>IFERROR(__xludf.DUMMYFUNCTION("""COMPUTED_VALUE"""),"Daniel José sandoval gonzalez")</f>
        <v>Daniel José sandoval gonzalez</v>
      </c>
      <c r="C10171" s="15" t="str">
        <f>IFERROR(__xludf.DUMMYFUNCTION("""COMPUTED_VALUE"""),"BARRANQUILLA")</f>
        <v>BARRANQUILLA</v>
      </c>
      <c r="D10171" s="15" t="str">
        <f>IFERROR(__xludf.DUMMYFUNCTION("""COMPUTED_VALUE"""),"MEDELLÍN")</f>
        <v>MEDELLÍN</v>
      </c>
      <c r="E10171" s="15" t="str">
        <f>IFERROR(__xludf.DUMMYFUNCTION("""COMPUTED_VALUE"""),"Baby Chef")</f>
        <v>Baby Chef</v>
      </c>
      <c r="F10171" s="17" t="str">
        <f>IFERROR(__xludf.DUMMYFUNCTION("""COMPUTED_VALUE"""),"Cra 49c #99-30 edificio skorpio 304 torre 1 Barranquilla / . / .")</f>
        <v>Cra 49c #99-30 edificio skorpio 304 torre 1 Barranquilla / . / .</v>
      </c>
      <c r="G10171" s="15" t="str">
        <f>IFERROR(__xludf.DUMMYFUNCTION("""COMPUTED_VALUE"""),"Diana Grau")</f>
        <v>Diana Grau</v>
      </c>
      <c r="H10171" s="16">
        <f>IFERROR(__xludf.DUMMYFUNCTION("""COMPUTED_VALUE"""),18840.0)</f>
        <v>18840</v>
      </c>
      <c r="I10171" s="18">
        <f>IFERROR(__xludf.DUMMYFUNCTION("""COMPUTED_VALUE"""),5.0)</f>
        <v>5</v>
      </c>
      <c r="J10171" s="18">
        <f>IFERROR(__xludf.DUMMYFUNCTION("""COMPUTED_VALUE"""),11.0)</f>
        <v>11</v>
      </c>
      <c r="K10171" s="18">
        <f>IFERROR(__xludf.DUMMYFUNCTION("""COMPUTED_VALUE"""),19.0)</f>
        <v>19</v>
      </c>
      <c r="L10171" s="17">
        <f>IFERROR(__xludf.DUMMYFUNCTION("""COMPUTED_VALUE"""),3.043694832E9)</f>
        <v>3043694832</v>
      </c>
      <c r="M10171" s="17"/>
      <c r="N10171" s="17"/>
      <c r="O10171" s="17"/>
      <c r="P10171" s="17" t="b">
        <f>IFERROR(__xludf.DUMMYFUNCTION("""COMPUTED_VALUE"""),FALSE)</f>
        <v>0</v>
      </c>
      <c r="Q10171" s="20" t="str">
        <f>IFERROR(__xludf.DUMMYFUNCTION("""COMPUTED_VALUE"""),"")</f>
        <v/>
      </c>
      <c r="R10171" s="21" t="str">
        <f>IFERROR(__xludf.DUMMYFUNCTION("""COMPUTED_VALUE"""),"https://drive.google.com/file/d/1reM1f97Jwl-3GwpFhy40tFl1vNJ13tgm/view?usp=drivesdk")</f>
        <v>https://drive.google.com/file/d/1reM1f97Jwl-3GwpFhy40tFl1vNJ13tgm/view?usp=drivesdk</v>
      </c>
    </row>
    <row r="10172">
      <c r="A10172" s="17" t="str">
        <f>IFERROR(__xludf.DUMMYFUNCTION("""COMPUTED_VALUE"""),"")</f>
        <v/>
      </c>
      <c r="B10172" s="17" t="str">
        <f>IFERROR(__xludf.DUMMYFUNCTION("""COMPUTED_VALUE"""),"")</f>
        <v/>
      </c>
      <c r="C10172" s="17" t="str">
        <f>IFERROR(__xludf.DUMMYFUNCTION("""COMPUTED_VALUE"""),"")</f>
        <v/>
      </c>
      <c r="D10172" s="17" t="str">
        <f>IFERROR(__xludf.DUMMYFUNCTION("""COMPUTED_VALUE"""),"")</f>
        <v/>
      </c>
      <c r="E10172" s="17" t="str">
        <f>IFERROR(__xludf.DUMMYFUNCTION("""COMPUTED_VALUE"""),"")</f>
        <v/>
      </c>
      <c r="F10172" s="17" t="str">
        <f>IFERROR(__xludf.DUMMYFUNCTION("""COMPUTED_VALUE"""),"")</f>
        <v/>
      </c>
      <c r="G10172" s="17" t="str">
        <f>IFERROR(__xludf.DUMMYFUNCTION("""COMPUTED_VALUE"""),"")</f>
        <v/>
      </c>
      <c r="H10172" s="17" t="str">
        <f>IFERROR(__xludf.DUMMYFUNCTION("""COMPUTED_VALUE"""),"")</f>
        <v/>
      </c>
      <c r="I10172" s="17" t="str">
        <f>IFERROR(__xludf.DUMMYFUNCTION("""COMPUTED_VALUE"""),"")</f>
        <v/>
      </c>
      <c r="J10172" s="17" t="str">
        <f>IFERROR(__xludf.DUMMYFUNCTION("""COMPUTED_VALUE"""),"")</f>
        <v/>
      </c>
      <c r="K10172" s="17" t="str">
        <f>IFERROR(__xludf.DUMMYFUNCTION("""COMPUTED_VALUE"""),"")</f>
        <v/>
      </c>
      <c r="L10172" s="17" t="str">
        <f>IFERROR(__xludf.DUMMYFUNCTION("""COMPUTED_VALUE"""),"")</f>
        <v/>
      </c>
      <c r="M10172" s="17" t="str">
        <f>IFERROR(__xludf.DUMMYFUNCTION("""COMPUTED_VALUE"""),"")</f>
        <v/>
      </c>
      <c r="N10172" s="17" t="str">
        <f>IFERROR(__xludf.DUMMYFUNCTION("""COMPUTED_VALUE"""),"")</f>
        <v/>
      </c>
      <c r="O10172" s="17" t="str">
        <f>IFERROR(__xludf.DUMMYFUNCTION("""COMPUTED_VALUE"""),"")</f>
        <v/>
      </c>
      <c r="P10172" s="17" t="str">
        <f>IFERROR(__xludf.DUMMYFUNCTION("""COMPUTED_VALUE"""),"")</f>
        <v/>
      </c>
      <c r="Q10172" s="17" t="str">
        <f>IFERROR(__xludf.DUMMYFUNCTION("""COMPUTED_VALUE"""),"")</f>
        <v/>
      </c>
      <c r="R10172" s="17" t="str">
        <f>IFERROR(__xludf.DUMMYFUNCTION("""COMPUTED_VALUE"""),"")</f>
        <v/>
      </c>
    </row>
    <row r="10173">
      <c r="A10173" s="15">
        <f>IFERROR(__xludf.DUMMYFUNCTION("""COMPUTED_VALUE"""),45289.0)</f>
        <v>45289</v>
      </c>
      <c r="B10173" s="16" t="str">
        <f>IFERROR(__xludf.DUMMYFUNCTION("""COMPUTED_VALUE"""),"Envia")</f>
        <v>Envia</v>
      </c>
      <c r="C10173" s="15" t="str">
        <f>IFERROR(__xludf.DUMMYFUNCTION("""COMPUTED_VALUE"""),"BARRANQUILLA")</f>
        <v>BARRANQUILLA</v>
      </c>
      <c r="D10173" s="15" t="str">
        <f>IFERROR(__xludf.DUMMYFUNCTION("""COMPUTED_VALUE"""),"BOGOTÁ")</f>
        <v>BOGOTÁ</v>
      </c>
      <c r="E10173" s="15" t="str">
        <f>IFERROR(__xludf.DUMMYFUNCTION("""COMPUTED_VALUE"""),"INVERSIONES MOCHI")</f>
        <v>INVERSIONES MOCHI</v>
      </c>
      <c r="F10173" s="17" t="str">
        <f>IFERROR(__xludf.DUMMYFUNCTION("""COMPUTED_VALUE"""),"cra 51b #87-50 / centro comercial viva barranquilla")</f>
        <v>cra 51b #87-50 / centro comercial viva barranquilla</v>
      </c>
      <c r="G10173" s="15" t="str">
        <f>IFERROR(__xludf.DUMMYFUNCTION("""COMPUTED_VALUE"""),"centro comercial viva Barranquilla")</f>
        <v>centro comercial viva Barranquilla</v>
      </c>
      <c r="H10173" s="16">
        <f>IFERROR(__xludf.DUMMYFUNCTION("""COMPUTED_VALUE"""),18876.0)</f>
        <v>18876</v>
      </c>
      <c r="I10173" s="17"/>
      <c r="J10173" s="17"/>
      <c r="K10173" s="17"/>
      <c r="L10173" s="17">
        <f>IFERROR(__xludf.DUMMYFUNCTION("""COMPUTED_VALUE"""),3.116026252E9)</f>
        <v>3116026252</v>
      </c>
      <c r="M10173" s="17"/>
      <c r="N10173" s="17"/>
      <c r="O10173" s="17"/>
      <c r="P10173" s="17" t="b">
        <f>IFERROR(__xludf.DUMMYFUNCTION("""COMPUTED_VALUE"""),FALSE)</f>
        <v>0</v>
      </c>
      <c r="Q10173" s="20" t="str">
        <f>IFERROR(__xludf.DUMMYFUNCTION("""COMPUTED_VALUE"""),"")</f>
        <v/>
      </c>
      <c r="R10173" s="21" t="str">
        <f>IFERROR(__xludf.DUMMYFUNCTION("""COMPUTED_VALUE"""),"https://drive.google.com/file/d/1CdMb8njAGdhCfsp-1PKJb3xu9JdqtvDD/view?usp=drivesdk")</f>
        <v>https://drive.google.com/file/d/1CdMb8njAGdhCfsp-1PKJb3xu9JdqtvDD/view?usp=drivesdk</v>
      </c>
    </row>
    <row r="10174">
      <c r="A10174" s="15">
        <f>IFERROR(__xludf.DUMMYFUNCTION("""COMPUTED_VALUE"""),45289.0)</f>
        <v>45289</v>
      </c>
      <c r="B10174" s="16" t="str">
        <f>IFERROR(__xludf.DUMMYFUNCTION("""COMPUTED_VALUE"""),"Envia")</f>
        <v>Envia</v>
      </c>
      <c r="C10174" s="15" t="str">
        <f>IFERROR(__xludf.DUMMYFUNCTION("""COMPUTED_VALUE"""),"BARRANQUILLA")</f>
        <v>BARRANQUILLA</v>
      </c>
      <c r="D10174" s="15" t="str">
        <f>IFERROR(__xludf.DUMMYFUNCTION("""COMPUTED_VALUE"""),"BOGOTÁ")</f>
        <v>BOGOTÁ</v>
      </c>
      <c r="E10174" s="15" t="str">
        <f>IFERROR(__xludf.DUMMYFUNCTION("""COMPUTED_VALUE"""),"Premium Choice")</f>
        <v>Premium Choice</v>
      </c>
      <c r="F10174" s="17" t="str">
        <f>IFERROR(__xludf.DUMMYFUNCTION("""COMPUTED_VALUE"""),"Carrera 68 # 81 - 23 / Barrio paraíso  / Barranquilla")</f>
        <v>Carrera 68 # 81 - 23 / Barrio paraíso  / Barranquilla</v>
      </c>
      <c r="G10174" s="15" t="str">
        <f>IFERROR(__xludf.DUMMYFUNCTION("""COMPUTED_VALUE"""),"Distribuciones Arpol")</f>
        <v>Distribuciones Arpol</v>
      </c>
      <c r="H10174" s="16">
        <f>IFERROR(__xludf.DUMMYFUNCTION("""COMPUTED_VALUE"""),18837.0)</f>
        <v>18837</v>
      </c>
      <c r="I10174" s="18">
        <f>IFERROR(__xludf.DUMMYFUNCTION("""COMPUTED_VALUE"""),17.0)</f>
        <v>17</v>
      </c>
      <c r="J10174" s="18">
        <f>IFERROR(__xludf.DUMMYFUNCTION("""COMPUTED_VALUE"""),20.0)</f>
        <v>20</v>
      </c>
      <c r="K10174" s="18">
        <f>IFERROR(__xludf.DUMMYFUNCTION("""COMPUTED_VALUE"""),30.0)</f>
        <v>30</v>
      </c>
      <c r="L10174" s="17">
        <f>IFERROR(__xludf.DUMMYFUNCTION("""COMPUTED_VALUE"""),3.102170999E9)</f>
        <v>3102170999</v>
      </c>
      <c r="M10174" s="17"/>
      <c r="N10174" s="17"/>
      <c r="O10174" s="17"/>
      <c r="P10174" s="17" t="b">
        <f>IFERROR(__xludf.DUMMYFUNCTION("""COMPUTED_VALUE"""),FALSE)</f>
        <v>0</v>
      </c>
      <c r="Q10174" s="20" t="str">
        <f>IFERROR(__xludf.DUMMYFUNCTION("""COMPUTED_VALUE"""),"")</f>
        <v/>
      </c>
      <c r="R10174" s="21" t="str">
        <f>IFERROR(__xludf.DUMMYFUNCTION("""COMPUTED_VALUE"""),"https://drive.google.com/file/d/1I8DwyznmUg8QuR6UGxQzYf0cD1DtoOtH/view?usp=drivesdk")</f>
        <v>https://drive.google.com/file/d/1I8DwyznmUg8QuR6UGxQzYf0cD1DtoOtH/view?usp=drivesdk</v>
      </c>
    </row>
    <row r="10175">
      <c r="A10175" s="15">
        <f>IFERROR(__xludf.DUMMYFUNCTION("""COMPUTED_VALUE"""),45289.0)</f>
        <v>45289</v>
      </c>
      <c r="B10175" s="16" t="str">
        <f>IFERROR(__xludf.DUMMYFUNCTION("""COMPUTED_VALUE"""),"Envia")</f>
        <v>Envia</v>
      </c>
      <c r="C10175" s="15" t="str">
        <f>IFERROR(__xludf.DUMMYFUNCTION("""COMPUTED_VALUE"""),"BARRANQUILLA")</f>
        <v>BARRANQUILLA</v>
      </c>
      <c r="D10175" s="15" t="str">
        <f>IFERROR(__xludf.DUMMYFUNCTION("""COMPUTED_VALUE"""),"BOGOTÁ")</f>
        <v>BOGOTÁ</v>
      </c>
      <c r="E10175" s="15" t="str">
        <f>IFERROR(__xludf.DUMMYFUNCTION("""COMPUTED_VALUE"""),"Viral Brands")</f>
        <v>Viral Brands</v>
      </c>
      <c r="F10175" s="17" t="str">
        <f>IFERROR(__xludf.DUMMYFUNCTION("""COMPUTED_VALUE"""),"kra 49 n 75 47 / restaurante prado / prado")</f>
        <v>kra 49 n 75 47 / restaurante prado / prado</v>
      </c>
      <c r="G10175" s="15" t="str">
        <f>IFERROR(__xludf.DUMMYFUNCTION("""COMPUTED_VALUE"""),"restaurante chuzales")</f>
        <v>restaurante chuzales</v>
      </c>
      <c r="H10175" s="16">
        <f>IFERROR(__xludf.DUMMYFUNCTION("""COMPUTED_VALUE"""),18845.0)</f>
        <v>18845</v>
      </c>
      <c r="I10175" s="18">
        <f>IFERROR(__xludf.DUMMYFUNCTION("""COMPUTED_VALUE"""),45.0)</f>
        <v>45</v>
      </c>
      <c r="J10175" s="18">
        <f>IFERROR(__xludf.DUMMYFUNCTION("""COMPUTED_VALUE"""),55.0)</f>
        <v>55</v>
      </c>
      <c r="K10175" s="18">
        <f>IFERROR(__xludf.DUMMYFUNCTION("""COMPUTED_VALUE"""),29.0)</f>
        <v>29</v>
      </c>
      <c r="L10175" s="17">
        <f>IFERROR(__xludf.DUMMYFUNCTION("""COMPUTED_VALUE"""),3.017624858E9)</f>
        <v>3017624858</v>
      </c>
      <c r="M10175" s="17"/>
      <c r="N10175" s="17"/>
      <c r="O10175" s="17"/>
      <c r="P10175" s="17" t="b">
        <f>IFERROR(__xludf.DUMMYFUNCTION("""COMPUTED_VALUE"""),FALSE)</f>
        <v>0</v>
      </c>
      <c r="Q10175" s="20" t="str">
        <f>IFERROR(__xludf.DUMMYFUNCTION("""COMPUTED_VALUE"""),"")</f>
        <v/>
      </c>
      <c r="R10175" s="21" t="str">
        <f>IFERROR(__xludf.DUMMYFUNCTION("""COMPUTED_VALUE"""),"https://drive.google.com/file/d/17WGVSw_XMY3YES0Xl70Vw_YXfRQ3_Jlj/view?usp=drivesdk")</f>
        <v>https://drive.google.com/file/d/17WGVSw_XMY3YES0Xl70Vw_YXfRQ3_Jlj/view?usp=drivesdk</v>
      </c>
    </row>
    <row r="10176">
      <c r="A10176" s="15">
        <f>IFERROR(__xludf.DUMMYFUNCTION("""COMPUTED_VALUE"""),45289.0)</f>
        <v>45289</v>
      </c>
      <c r="B10176" s="16" t="str">
        <f>IFERROR(__xludf.DUMMYFUNCTION("""COMPUTED_VALUE"""),"Envia")</f>
        <v>Envia</v>
      </c>
      <c r="C10176" s="15" t="str">
        <f>IFERROR(__xludf.DUMMYFUNCTION("""COMPUTED_VALUE"""),"BARRANQUILLA")</f>
        <v>BARRANQUILLA</v>
      </c>
      <c r="D10176" s="15" t="str">
        <f>IFERROR(__xludf.DUMMYFUNCTION("""COMPUTED_VALUE"""),"MEDELLÍN")</f>
        <v>MEDELLÍN</v>
      </c>
      <c r="E10176" s="15" t="str">
        <f>IFERROR(__xludf.DUMMYFUNCTION("""COMPUTED_VALUE"""),"HELADERIA MAGDA")</f>
        <v>HELADERIA MAGDA</v>
      </c>
      <c r="F10176" s="17" t="str">
        <f>IFERROR(__xludf.DUMMYFUNCTION("""COMPUTED_VALUE"""),"CALLE 93 #43-41 / COCINA OCULTA")</f>
        <v>CALLE 93 #43-41 / COCINA OCULTA</v>
      </c>
      <c r="G10176" s="15" t="str">
        <f>IFERROR(__xludf.DUMMYFUNCTION("""COMPUTED_VALUE"""),"CITY HUB")</f>
        <v>CITY HUB</v>
      </c>
      <c r="H10176" s="16">
        <f>IFERROR(__xludf.DUMMYFUNCTION("""COMPUTED_VALUE"""),18833.0)</f>
        <v>18833</v>
      </c>
      <c r="I10176" s="17"/>
      <c r="J10176" s="17"/>
      <c r="K10176" s="17"/>
      <c r="L10176" s="17">
        <f>IFERROR(__xludf.DUMMYFUNCTION("""COMPUTED_VALUE"""),3.235800359E9)</f>
        <v>3235800359</v>
      </c>
      <c r="M10176" s="17"/>
      <c r="N10176" s="17"/>
      <c r="O10176" s="17"/>
      <c r="P10176" s="17" t="b">
        <f>IFERROR(__xludf.DUMMYFUNCTION("""COMPUTED_VALUE"""),FALSE)</f>
        <v>0</v>
      </c>
      <c r="Q10176" s="20" t="str">
        <f>IFERROR(__xludf.DUMMYFUNCTION("""COMPUTED_VALUE"""),"")</f>
        <v/>
      </c>
      <c r="R10176" s="21" t="str">
        <f>IFERROR(__xludf.DUMMYFUNCTION("""COMPUTED_VALUE"""),"https://drive.google.com/file/d/1-8pdTkzC5ikRY3dtW5IF5CcYMtu4bzxg/view?usp=drivesdk")</f>
        <v>https://drive.google.com/file/d/1-8pdTkzC5ikRY3dtW5IF5CcYMtu4bzxg/view?usp=drivesdk</v>
      </c>
    </row>
    <row r="10177">
      <c r="A10177" s="15">
        <f>IFERROR(__xludf.DUMMYFUNCTION("""COMPUTED_VALUE"""),45289.0)</f>
        <v>45289</v>
      </c>
      <c r="B10177" s="16" t="str">
        <f>IFERROR(__xludf.DUMMYFUNCTION("""COMPUTED_VALUE"""),"Envia")</f>
        <v>Envia</v>
      </c>
      <c r="C10177" s="15" t="str">
        <f>IFERROR(__xludf.DUMMYFUNCTION("""COMPUTED_VALUE"""),"BOGOTÁ")</f>
        <v>BOGOTÁ</v>
      </c>
      <c r="D10177" s="15" t="str">
        <f>IFERROR(__xludf.DUMMYFUNCTION("""COMPUTED_VALUE"""),"MEDELLÍN")</f>
        <v>MEDELLÍN</v>
      </c>
      <c r="E10177" s="15" t="str">
        <f>IFERROR(__xludf.DUMMYFUNCTION("""COMPUTED_VALUE"""),"Felicidad Bakery")</f>
        <v>Felicidad Bakery</v>
      </c>
      <c r="F10177" s="17" t="str">
        <f>IFERROR(__xludf.DUMMYFUNCTION("""COMPUTED_VALUE"""),"Calle 92 #15-62 / Edificio centro Chicó Local 103")</f>
        <v>Calle 92 #15-62 / Edificio centro Chicó Local 103</v>
      </c>
      <c r="G10177" s="15" t="str">
        <f>IFERROR(__xludf.DUMMYFUNCTION("""COMPUTED_VALUE"""),"Felicidad Bogota")</f>
        <v>Felicidad Bogota</v>
      </c>
      <c r="H10177" s="16">
        <f>IFERROR(__xludf.DUMMYFUNCTION("""COMPUTED_VALUE"""),18879.0)</f>
        <v>18879</v>
      </c>
      <c r="I10177" s="17"/>
      <c r="J10177" s="17"/>
      <c r="K10177" s="17"/>
      <c r="L10177" s="17">
        <f>IFERROR(__xludf.DUMMYFUNCTION("""COMPUTED_VALUE"""),3.013527163E9)</f>
        <v>3013527163</v>
      </c>
      <c r="M10177" s="17"/>
      <c r="N10177" s="17"/>
      <c r="O10177" s="17"/>
      <c r="P10177" s="17" t="b">
        <f>IFERROR(__xludf.DUMMYFUNCTION("""COMPUTED_VALUE"""),FALSE)</f>
        <v>0</v>
      </c>
      <c r="Q10177" s="20" t="str">
        <f>IFERROR(__xludf.DUMMYFUNCTION("""COMPUTED_VALUE"""),"")</f>
        <v/>
      </c>
      <c r="R10177" s="21" t="str">
        <f>IFERROR(__xludf.DUMMYFUNCTION("""COMPUTED_VALUE"""),"https://drive.google.com/file/d/1ERAXncwbUkkw4j8GCLjsPpSZANYR7Tcg/view?usp=drivesdk")</f>
        <v>https://drive.google.com/file/d/1ERAXncwbUkkw4j8GCLjsPpSZANYR7Tcg/view?usp=drivesdk</v>
      </c>
    </row>
    <row r="10178">
      <c r="A10178" s="15">
        <f>IFERROR(__xludf.DUMMYFUNCTION("""COMPUTED_VALUE"""),45289.0)</f>
        <v>45289</v>
      </c>
      <c r="B10178" s="16" t="str">
        <f>IFERROR(__xludf.DUMMYFUNCTION("""COMPUTED_VALUE"""),"Envia")</f>
        <v>Envia</v>
      </c>
      <c r="C10178" s="15" t="str">
        <f>IFERROR(__xludf.DUMMYFUNCTION("""COMPUTED_VALUE"""),"BOGOTÁ")</f>
        <v>BOGOTÁ</v>
      </c>
      <c r="D10178" s="15" t="str">
        <f>IFERROR(__xludf.DUMMYFUNCTION("""COMPUTED_VALUE"""),"MEDELLÍN")</f>
        <v>MEDELLÍN</v>
      </c>
      <c r="E10178" s="15" t="str">
        <f>IFERROR(__xludf.DUMMYFUNCTION("""COMPUTED_VALUE"""),"HELADERIA MAGDA")</f>
        <v>HELADERIA MAGDA</v>
      </c>
      <c r="F10178" s="17" t="str">
        <f>IFERROR(__xludf.DUMMYFUNCTION("""COMPUTED_VALUE"""),"Cra. 16A #77-23 / Bodega")</f>
        <v>Cra. 16A #77-23 / Bodega</v>
      </c>
      <c r="G10178" s="15" t="str">
        <f>IFERROR(__xludf.DUMMYFUNCTION("""COMPUTED_VALUE"""),"Dando Cuerda")</f>
        <v>Dando Cuerda</v>
      </c>
      <c r="H10178" s="16">
        <f>IFERROR(__xludf.DUMMYFUNCTION("""COMPUTED_VALUE"""),18878.0)</f>
        <v>18878</v>
      </c>
      <c r="I10178" s="17"/>
      <c r="J10178" s="17"/>
      <c r="K10178" s="17"/>
      <c r="L10178" s="17"/>
      <c r="M10178" s="17"/>
      <c r="N10178" s="17"/>
      <c r="O10178" s="17"/>
      <c r="P10178" s="17" t="b">
        <f>IFERROR(__xludf.DUMMYFUNCTION("""COMPUTED_VALUE"""),FALSE)</f>
        <v>0</v>
      </c>
      <c r="Q10178" s="20" t="str">
        <f>IFERROR(__xludf.DUMMYFUNCTION("""COMPUTED_VALUE"""),"")</f>
        <v/>
      </c>
      <c r="R10178" s="21" t="str">
        <f>IFERROR(__xludf.DUMMYFUNCTION("""COMPUTED_VALUE"""),"https://drive.google.com/file/d/1lUH1VE5cYUDkkemiDPBstDKIqQbIO2rA/view?usp=drivesdk")</f>
        <v>https://drive.google.com/file/d/1lUH1VE5cYUDkkemiDPBstDKIqQbIO2rA/view?usp=drivesdk</v>
      </c>
    </row>
    <row r="10179">
      <c r="A10179" s="15">
        <f>IFERROR(__xludf.DUMMYFUNCTION("""COMPUTED_VALUE"""),45289.0)</f>
        <v>45289</v>
      </c>
      <c r="B10179" s="16" t="str">
        <f>IFERROR(__xludf.DUMMYFUNCTION("""COMPUTED_VALUE"""),"Envia")</f>
        <v>Envia</v>
      </c>
      <c r="C10179" s="15" t="str">
        <f>IFERROR(__xludf.DUMMYFUNCTION("""COMPUTED_VALUE"""),"BOGOTÁ")</f>
        <v>BOGOTÁ</v>
      </c>
      <c r="D10179" s="15" t="str">
        <f>IFERROR(__xludf.DUMMYFUNCTION("""COMPUTED_VALUE"""),"MEDELLÍN")</f>
        <v>MEDELLÍN</v>
      </c>
      <c r="E10179" s="15" t="str">
        <f>IFERROR(__xludf.DUMMYFUNCTION("""COMPUTED_VALUE"""),"Helados swip")</f>
        <v>Helados swip</v>
      </c>
      <c r="F10179" s="17" t="str">
        <f>IFERROR(__xludf.DUMMYFUNCTION("""COMPUTED_VALUE"""),"CALLE 71 #4-55 / FIT MARKET 71 / FIT MARKET 71")</f>
        <v>CALLE 71 #4-55 / FIT MARKET 71 / FIT MARKET 71</v>
      </c>
      <c r="G10179" s="15" t="str">
        <f>IFERROR(__xludf.DUMMYFUNCTION("""COMPUTED_VALUE"""),"FIT MARKET 71")</f>
        <v>FIT MARKET 71</v>
      </c>
      <c r="H10179" s="16">
        <f>IFERROR(__xludf.DUMMYFUNCTION("""COMPUTED_VALUE"""),18860.0)</f>
        <v>18860</v>
      </c>
      <c r="I10179" s="18">
        <f>IFERROR(__xludf.DUMMYFUNCTION("""COMPUTED_VALUE"""),50.0)</f>
        <v>50</v>
      </c>
      <c r="J10179" s="18">
        <f>IFERROR(__xludf.DUMMYFUNCTION("""COMPUTED_VALUE"""),30.0)</f>
        <v>30</v>
      </c>
      <c r="K10179" s="18">
        <f>IFERROR(__xludf.DUMMYFUNCTION("""COMPUTED_VALUE"""),21.0)</f>
        <v>21</v>
      </c>
      <c r="L10179" s="17">
        <f>IFERROR(__xludf.DUMMYFUNCTION("""COMPUTED_VALUE"""),3.232200591E9)</f>
        <v>3232200591</v>
      </c>
      <c r="M10179" s="17"/>
      <c r="N10179" s="17"/>
      <c r="O10179" s="17"/>
      <c r="P10179" s="17" t="b">
        <f>IFERROR(__xludf.DUMMYFUNCTION("""COMPUTED_VALUE"""),FALSE)</f>
        <v>0</v>
      </c>
      <c r="Q10179" s="20" t="str">
        <f>IFERROR(__xludf.DUMMYFUNCTION("""COMPUTED_VALUE"""),"")</f>
        <v/>
      </c>
      <c r="R10179" s="21" t="str">
        <f>IFERROR(__xludf.DUMMYFUNCTION("""COMPUTED_VALUE"""),"https://drive.google.com/file/d/1RKoAJCb-EwLQVnYbaXuti_okdY2XFKRN/view?usp=drivesdk")</f>
        <v>https://drive.google.com/file/d/1RKoAJCb-EwLQVnYbaXuti_okdY2XFKRN/view?usp=drivesdk</v>
      </c>
    </row>
    <row r="10180">
      <c r="A10180" s="15">
        <f>IFERROR(__xludf.DUMMYFUNCTION("""COMPUTED_VALUE"""),45289.0)</f>
        <v>45289</v>
      </c>
      <c r="B10180" s="16" t="str">
        <f>IFERROR(__xludf.DUMMYFUNCTION("""COMPUTED_VALUE"""),"Envia")</f>
        <v>Envia</v>
      </c>
      <c r="C10180" s="15" t="str">
        <f>IFERROR(__xludf.DUMMYFUNCTION("""COMPUTED_VALUE"""),"BOGOTÁ")</f>
        <v>BOGOTÁ</v>
      </c>
      <c r="D10180" s="15" t="str">
        <f>IFERROR(__xludf.DUMMYFUNCTION("""COMPUTED_VALUE"""),"MEDELLÍN")</f>
        <v>MEDELLÍN</v>
      </c>
      <c r="E10180" s="15" t="str">
        <f>IFERROR(__xludf.DUMMYFUNCTION("""COMPUTED_VALUE"""),"Helados swip")</f>
        <v>Helados swip</v>
      </c>
      <c r="F10180" s="17" t="str">
        <f>IFERROR(__xludf.DUMMYFUNCTION("""COMPUTED_VALUE"""),"CALLE 90 # 16-56 / FIT MARKET 90 / MERCADO DEL CHICO")</f>
        <v>CALLE 90 # 16-56 / FIT MARKET 90 / MERCADO DEL CHICO</v>
      </c>
      <c r="G10180" s="15" t="str">
        <f>IFERROR(__xludf.DUMMYFUNCTION("""COMPUTED_VALUE"""),"FIT MARKET 90")</f>
        <v>FIT MARKET 90</v>
      </c>
      <c r="H10180" s="16">
        <f>IFERROR(__xludf.DUMMYFUNCTION("""COMPUTED_VALUE"""),18859.0)</f>
        <v>18859</v>
      </c>
      <c r="I10180" s="18">
        <f>IFERROR(__xludf.DUMMYFUNCTION("""COMPUTED_VALUE"""),50.0)</f>
        <v>50</v>
      </c>
      <c r="J10180" s="18">
        <f>IFERROR(__xludf.DUMMYFUNCTION("""COMPUTED_VALUE"""),30.0)</f>
        <v>30</v>
      </c>
      <c r="K10180" s="18">
        <f>IFERROR(__xludf.DUMMYFUNCTION("""COMPUTED_VALUE"""),21.0)</f>
        <v>21</v>
      </c>
      <c r="L10180" s="17">
        <f>IFERROR(__xludf.DUMMYFUNCTION("""COMPUTED_VALUE"""),3.183545455E9)</f>
        <v>3183545455</v>
      </c>
      <c r="M10180" s="17"/>
      <c r="N10180" s="17"/>
      <c r="O10180" s="17"/>
      <c r="P10180" s="17" t="b">
        <f>IFERROR(__xludf.DUMMYFUNCTION("""COMPUTED_VALUE"""),FALSE)</f>
        <v>0</v>
      </c>
      <c r="Q10180" s="20" t="str">
        <f>IFERROR(__xludf.DUMMYFUNCTION("""COMPUTED_VALUE"""),"")</f>
        <v/>
      </c>
      <c r="R10180" s="21" t="str">
        <f>IFERROR(__xludf.DUMMYFUNCTION("""COMPUTED_VALUE"""),"https://drive.google.com/file/d/1TkhRDHmM0Nqgb9lDEqJXD0-Me7FJGhrO/view?usp=drivesdk")</f>
        <v>https://drive.google.com/file/d/1TkhRDHmM0Nqgb9lDEqJXD0-Me7FJGhrO/view?usp=drivesdk</v>
      </c>
    </row>
    <row r="10181">
      <c r="A10181" s="15">
        <f>IFERROR(__xludf.DUMMYFUNCTION("""COMPUTED_VALUE"""),45289.0)</f>
        <v>45289</v>
      </c>
      <c r="B10181" s="16" t="str">
        <f>IFERROR(__xludf.DUMMYFUNCTION("""COMPUTED_VALUE"""),"Envia")</f>
        <v>Envia</v>
      </c>
      <c r="C10181" s="15" t="str">
        <f>IFERROR(__xludf.DUMMYFUNCTION("""COMPUTED_VALUE"""),"BOGOTÁ")</f>
        <v>BOGOTÁ</v>
      </c>
      <c r="D10181" s="15" t="str">
        <f>IFERROR(__xludf.DUMMYFUNCTION("""COMPUTED_VALUE"""),"MEDELLÍN")</f>
        <v>MEDELLÍN</v>
      </c>
      <c r="E10181" s="15" t="str">
        <f>IFERROR(__xludf.DUMMYFUNCTION("""COMPUTED_VALUE"""),"Inv. Jelb")</f>
        <v>Inv. Jelb</v>
      </c>
      <c r="F10181" s="17" t="str">
        <f>IFERROR(__xludf.DUMMYFUNCTION("""COMPUTED_VALUE"""),"Cra 13 # 138-62 / Edificio el arbol barrio el trebol / Barrio el trebol")</f>
        <v>Cra 13 # 138-62 / Edificio el arbol barrio el trebol / Barrio el trebol</v>
      </c>
      <c r="G10181" s="15" t="str">
        <f>IFERROR(__xludf.DUMMYFUNCTION("""COMPUTED_VALUE"""),"Carolina luque")</f>
        <v>Carolina luque</v>
      </c>
      <c r="H10181" s="16">
        <f>IFERROR(__xludf.DUMMYFUNCTION("""COMPUTED_VALUE"""),18862.0)</f>
        <v>18862</v>
      </c>
      <c r="I10181" s="18">
        <f>IFERROR(__xludf.DUMMYFUNCTION("""COMPUTED_VALUE"""),31.0)</f>
        <v>31</v>
      </c>
      <c r="J10181" s="18">
        <f>IFERROR(__xludf.DUMMYFUNCTION("""COMPUTED_VALUE"""),30.0)</f>
        <v>30</v>
      </c>
      <c r="K10181" s="18">
        <f>IFERROR(__xludf.DUMMYFUNCTION("""COMPUTED_VALUE"""),50.0)</f>
        <v>50</v>
      </c>
      <c r="L10181" s="17">
        <f>IFERROR(__xludf.DUMMYFUNCTION("""COMPUTED_VALUE"""),3.102337926E9)</f>
        <v>3102337926</v>
      </c>
      <c r="M10181" s="17"/>
      <c r="N10181" s="17"/>
      <c r="O10181" s="17"/>
      <c r="P10181" s="17" t="b">
        <f>IFERROR(__xludf.DUMMYFUNCTION("""COMPUTED_VALUE"""),FALSE)</f>
        <v>0</v>
      </c>
      <c r="Q10181" s="20" t="str">
        <f>IFERROR(__xludf.DUMMYFUNCTION("""COMPUTED_VALUE"""),"")</f>
        <v/>
      </c>
      <c r="R10181" s="21" t="str">
        <f>IFERROR(__xludf.DUMMYFUNCTION("""COMPUTED_VALUE"""),"https://drive.google.com/file/d/1NTk1TZLUla6cQEhmbzWE03E_mGxK7R8w/view?usp=drivesdk")</f>
        <v>https://drive.google.com/file/d/1NTk1TZLUla6cQEhmbzWE03E_mGxK7R8w/view?usp=drivesdk</v>
      </c>
    </row>
    <row r="10182">
      <c r="A10182" s="15">
        <f>IFERROR(__xludf.DUMMYFUNCTION("""COMPUTED_VALUE"""),45289.0)</f>
        <v>45289</v>
      </c>
      <c r="B10182" s="16" t="str">
        <f>IFERROR(__xludf.DUMMYFUNCTION("""COMPUTED_VALUE"""),"Envia")</f>
        <v>Envia</v>
      </c>
      <c r="C10182" s="15" t="str">
        <f>IFERROR(__xludf.DUMMYFUNCTION("""COMPUTED_VALUE"""),"BOGOTÁ")</f>
        <v>BOGOTÁ</v>
      </c>
      <c r="D10182" s="15" t="str">
        <f>IFERROR(__xludf.DUMMYFUNCTION("""COMPUTED_VALUE"""),"MEDELLÍN")</f>
        <v>MEDELLÍN</v>
      </c>
      <c r="E10182" s="15" t="str">
        <f>IFERROR(__xludf.DUMMYFUNCTION("""COMPUTED_VALUE"""),"Inv. Jelb")</f>
        <v>Inv. Jelb</v>
      </c>
      <c r="F10182" s="17" t="str">
        <f>IFERROR(__xludf.DUMMYFUNCTION("""COMPUTED_VALUE"""),"Cra 16 A # 77-23 local 4 / Centro de acopio Henry David  Cubides / Centro de acopio Henry David Cubides")</f>
        <v>Cra 16 A # 77-23 local 4 / Centro de acopio Henry David  Cubides / Centro de acopio Henry David Cubides</v>
      </c>
      <c r="G10182" s="15" t="str">
        <f>IFERROR(__xludf.DUMMYFUNCTION("""COMPUTED_VALUE"""),"Henry David Cubides")</f>
        <v>Henry David Cubides</v>
      </c>
      <c r="H10182" s="16">
        <f>IFERROR(__xludf.DUMMYFUNCTION("""COMPUTED_VALUE"""),18861.0)</f>
        <v>18861</v>
      </c>
      <c r="I10182" s="18">
        <f>IFERROR(__xludf.DUMMYFUNCTION("""COMPUTED_VALUE"""),31.0)</f>
        <v>31</v>
      </c>
      <c r="J10182" s="18">
        <f>IFERROR(__xludf.DUMMYFUNCTION("""COMPUTED_VALUE"""),30.0)</f>
        <v>30</v>
      </c>
      <c r="K10182" s="18">
        <f>IFERROR(__xludf.DUMMYFUNCTION("""COMPUTED_VALUE"""),51.0)</f>
        <v>51</v>
      </c>
      <c r="L10182" s="17">
        <f>IFERROR(__xludf.DUMMYFUNCTION("""COMPUTED_VALUE"""),3.113007777E9)</f>
        <v>3113007777</v>
      </c>
      <c r="M10182" s="17"/>
      <c r="N10182" s="17"/>
      <c r="O10182" s="17"/>
      <c r="P10182" s="17" t="b">
        <f>IFERROR(__xludf.DUMMYFUNCTION("""COMPUTED_VALUE"""),FALSE)</f>
        <v>0</v>
      </c>
      <c r="Q10182" s="20" t="str">
        <f>IFERROR(__xludf.DUMMYFUNCTION("""COMPUTED_VALUE"""),"")</f>
        <v/>
      </c>
      <c r="R10182" s="21" t="str">
        <f>IFERROR(__xludf.DUMMYFUNCTION("""COMPUTED_VALUE"""),"https://drive.google.com/file/d/1GzmrbTEMi1Ct2sDnre0CH2s_xlrnw-52/view?usp=drivesdk")</f>
        <v>https://drive.google.com/file/d/1GzmrbTEMi1Ct2sDnre0CH2s_xlrnw-52/view?usp=drivesdk</v>
      </c>
    </row>
    <row r="10183">
      <c r="A10183" s="15">
        <f>IFERROR(__xludf.DUMMYFUNCTION("""COMPUTED_VALUE"""),45289.0)</f>
        <v>45289</v>
      </c>
      <c r="B10183" s="16" t="str">
        <f>IFERROR(__xludf.DUMMYFUNCTION("""COMPUTED_VALUE"""),"Envia")</f>
        <v>Envia</v>
      </c>
      <c r="C10183" s="15" t="str">
        <f>IFERROR(__xludf.DUMMYFUNCTION("""COMPUTED_VALUE"""),"BOGOTÁ")</f>
        <v>BOGOTÁ</v>
      </c>
      <c r="D10183" s="15" t="str">
        <f>IFERROR(__xludf.DUMMYFUNCTION("""COMPUTED_VALUE"""),"NEIVA")</f>
        <v>NEIVA</v>
      </c>
      <c r="E10183" s="15" t="str">
        <f>IFERROR(__xludf.DUMMYFUNCTION("""COMPUTED_VALUE"""),"Natalia Carreño")</f>
        <v>Natalia Carreño</v>
      </c>
      <c r="F10183" s="17" t="str">
        <f>IFERROR(__xludf.DUMMYFUNCTION("""COMPUTED_VALUE"""),"Carrera 27 #70-83 / Casa color curuba / Los alcázares")</f>
        <v>Carrera 27 #70-83 / Casa color curuba / Los alcázares</v>
      </c>
      <c r="G10183" s="15" t="str">
        <f>IFERROR(__xludf.DUMMYFUNCTION("""COMPUTED_VALUE"""),"Natalia Carreño Pombo")</f>
        <v>Natalia Carreño Pombo</v>
      </c>
      <c r="H10183" s="16">
        <f>IFERROR(__xludf.DUMMYFUNCTION("""COMPUTED_VALUE"""),18817.0)</f>
        <v>18817</v>
      </c>
      <c r="I10183" s="18">
        <f>IFERROR(__xludf.DUMMYFUNCTION("""COMPUTED_VALUE"""),60.0)</f>
        <v>60</v>
      </c>
      <c r="J10183" s="18">
        <f>IFERROR(__xludf.DUMMYFUNCTION("""COMPUTED_VALUE"""),60.0)</f>
        <v>60</v>
      </c>
      <c r="K10183" s="18">
        <f>IFERROR(__xludf.DUMMYFUNCTION("""COMPUTED_VALUE"""),60.0)</f>
        <v>60</v>
      </c>
      <c r="L10183" s="17">
        <f>IFERROR(__xludf.DUMMYFUNCTION("""COMPUTED_VALUE"""),3.11561131E9)</f>
        <v>3115611310</v>
      </c>
      <c r="M10183" s="17"/>
      <c r="N10183" s="17"/>
      <c r="O10183" s="17"/>
      <c r="P10183" s="17" t="b">
        <f>IFERROR(__xludf.DUMMYFUNCTION("""COMPUTED_VALUE"""),FALSE)</f>
        <v>0</v>
      </c>
      <c r="Q10183" s="20" t="str">
        <f>IFERROR(__xludf.DUMMYFUNCTION("""COMPUTED_VALUE"""),"")</f>
        <v/>
      </c>
      <c r="R10183" s="21" t="str">
        <f>IFERROR(__xludf.DUMMYFUNCTION("""COMPUTED_VALUE"""),"https://drive.google.com/file/d/153wn0WVlW_FZUxScqASeODXT8lNPfZJj/view?usp=drivesdk")</f>
        <v>https://drive.google.com/file/d/153wn0WVlW_FZUxScqASeODXT8lNPfZJj/view?usp=drivesdk</v>
      </c>
    </row>
    <row r="10184">
      <c r="A10184" s="15">
        <f>IFERROR(__xludf.DUMMYFUNCTION("""COMPUTED_VALUE"""),45289.0)</f>
        <v>45289</v>
      </c>
      <c r="B10184" s="16" t="str">
        <f>IFERROR(__xludf.DUMMYFUNCTION("""COMPUTED_VALUE"""),"Envia")</f>
        <v>Envia</v>
      </c>
      <c r="C10184" s="15" t="str">
        <f>IFERROR(__xludf.DUMMYFUNCTION("""COMPUTED_VALUE"""),"CALI")</f>
        <v>CALI</v>
      </c>
      <c r="D10184" s="15" t="str">
        <f>IFERROR(__xludf.DUMMYFUNCTION("""COMPUTED_VALUE"""),"BOGOTÁ")</f>
        <v>BOGOTÁ</v>
      </c>
      <c r="E10184" s="15" t="str">
        <f>IFERROR(__xludf.DUMMYFUNCTION("""COMPUTED_VALUE"""),"Lykke")</f>
        <v>Lykke</v>
      </c>
      <c r="F10184" s="17" t="str">
        <f>IFERROR(__xludf.DUMMYFUNCTION("""COMPUTED_VALUE"""),"Cra 100B #11A 99 Cali, Colombia / HOTEL NH ROYAL CALI")</f>
        <v>Cra 100B #11A 99 Cali, Colombia / HOTEL NH ROYAL CALI</v>
      </c>
      <c r="G10184" s="15" t="str">
        <f>IFERROR(__xludf.DUMMYFUNCTION("""COMPUTED_VALUE"""),"HITEL NH ROYAL CALI")</f>
        <v>HITEL NH ROYAL CALI</v>
      </c>
      <c r="H10184" s="16">
        <f>IFERROR(__xludf.DUMMYFUNCTION("""COMPUTED_VALUE"""),18883.0)</f>
        <v>18883</v>
      </c>
      <c r="I10184" s="17"/>
      <c r="J10184" s="17"/>
      <c r="K10184" s="17"/>
      <c r="L10184" s="17">
        <f>IFERROR(__xludf.DUMMYFUNCTION("""COMPUTED_VALUE"""),3.507594648E9)</f>
        <v>3507594648</v>
      </c>
      <c r="M10184" s="17"/>
      <c r="N10184" s="17"/>
      <c r="O10184" s="17"/>
      <c r="P10184" s="17" t="b">
        <f>IFERROR(__xludf.DUMMYFUNCTION("""COMPUTED_VALUE"""),FALSE)</f>
        <v>0</v>
      </c>
      <c r="Q10184" s="20" t="str">
        <f>IFERROR(__xludf.DUMMYFUNCTION("""COMPUTED_VALUE"""),"")</f>
        <v/>
      </c>
      <c r="R10184" s="21" t="str">
        <f>IFERROR(__xludf.DUMMYFUNCTION("""COMPUTED_VALUE"""),"https://drive.google.com/file/d/1MZhJY7-yOsx7oDk071O_rU2ILb3J45Og/view?usp=drivesdk")</f>
        <v>https://drive.google.com/file/d/1MZhJY7-yOsx7oDk071O_rU2ILb3J45Og/view?usp=drivesdk</v>
      </c>
    </row>
    <row r="10185">
      <c r="A10185" s="15">
        <f>IFERROR(__xludf.DUMMYFUNCTION("""COMPUTED_VALUE"""),45289.0)</f>
        <v>45289</v>
      </c>
      <c r="B10185" s="16" t="str">
        <f>IFERROR(__xludf.DUMMYFUNCTION("""COMPUTED_VALUE"""),"Envia")</f>
        <v>Envia</v>
      </c>
      <c r="C10185" s="15" t="str">
        <f>IFERROR(__xludf.DUMMYFUNCTION("""COMPUTED_VALUE"""),"CALI")</f>
        <v>CALI</v>
      </c>
      <c r="D10185" s="15" t="str">
        <f>IFERROR(__xludf.DUMMYFUNCTION("""COMPUTED_VALUE"""),"BOGOTÁ")</f>
        <v>BOGOTÁ</v>
      </c>
      <c r="E10185" s="15" t="str">
        <f>IFERROR(__xludf.DUMMYFUNCTION("""COMPUTED_VALUE"""),"Renata")</f>
        <v>Renata</v>
      </c>
      <c r="F10185" s="17" t="str">
        <f>IFERROR(__xludf.DUMMYFUNCTION("""COMPUTED_VALUE"""),"Carrera 3#3a-83 / Patio 34 food containers -restaurante  / San Fernando")</f>
        <v>Carrera 3#3a-83 / Patio 34 food containers -restaurante  / San Fernando</v>
      </c>
      <c r="G10185" s="15" t="str">
        <f>IFERROR(__xludf.DUMMYFUNCTION("""COMPUTED_VALUE"""),"Retaco sas")</f>
        <v>Retaco sas</v>
      </c>
      <c r="H10185" s="16">
        <f>IFERROR(__xludf.DUMMYFUNCTION("""COMPUTED_VALUE"""),18851.0)</f>
        <v>18851</v>
      </c>
      <c r="I10185" s="18">
        <f>IFERROR(__xludf.DUMMYFUNCTION("""COMPUTED_VALUE"""),60.0)</f>
        <v>60</v>
      </c>
      <c r="J10185" s="18">
        <f>IFERROR(__xludf.DUMMYFUNCTION("""COMPUTED_VALUE"""),70.0)</f>
        <v>70</v>
      </c>
      <c r="K10185" s="18">
        <f>IFERROR(__xludf.DUMMYFUNCTION("""COMPUTED_VALUE"""),60.0)</f>
        <v>60</v>
      </c>
      <c r="L10185" s="17">
        <f>IFERROR(__xludf.DUMMYFUNCTION("""COMPUTED_VALUE"""),1.3134720976E10)</f>
        <v>13134720976</v>
      </c>
      <c r="M10185" s="17"/>
      <c r="N10185" s="17"/>
      <c r="O10185" s="17"/>
      <c r="P10185" s="17" t="b">
        <f>IFERROR(__xludf.DUMMYFUNCTION("""COMPUTED_VALUE"""),FALSE)</f>
        <v>0</v>
      </c>
      <c r="Q10185" s="20" t="str">
        <f>IFERROR(__xludf.DUMMYFUNCTION("""COMPUTED_VALUE"""),"")</f>
        <v/>
      </c>
      <c r="R10185" s="21" t="str">
        <f>IFERROR(__xludf.DUMMYFUNCTION("""COMPUTED_VALUE"""),"https://drive.google.com/file/d/1lNTWHbvDoKe_43QpeCQUcU6KBy3JR0ih/view?usp=drivesdk")</f>
        <v>https://drive.google.com/file/d/1lNTWHbvDoKe_43QpeCQUcU6KBy3JR0ih/view?usp=drivesdk</v>
      </c>
    </row>
    <row r="10186">
      <c r="A10186" s="15">
        <f>IFERROR(__xludf.DUMMYFUNCTION("""COMPUTED_VALUE"""),45289.0)</f>
        <v>45289</v>
      </c>
      <c r="B10186" s="16" t="str">
        <f>IFERROR(__xludf.DUMMYFUNCTION("""COMPUTED_VALUE"""),"Envia")</f>
        <v>Envia</v>
      </c>
      <c r="C10186" s="15" t="str">
        <f>IFERROR(__xludf.DUMMYFUNCTION("""COMPUTED_VALUE"""),"CARTAGENA")</f>
        <v>CARTAGENA</v>
      </c>
      <c r="D10186" s="15" t="str">
        <f>IFERROR(__xludf.DUMMYFUNCTION("""COMPUTED_VALUE"""),"BOGOTÁ")</f>
        <v>BOGOTÁ</v>
      </c>
      <c r="E10186" s="15" t="str">
        <f>IFERROR(__xludf.DUMMYFUNCTION("""COMPUTED_VALUE"""),"INVERSIONES MOCHI")</f>
        <v>INVERSIONES MOCHI</v>
      </c>
      <c r="F10186" s="17" t="str">
        <f>IFERROR(__xludf.DUMMYFUNCTION("""COMPUTED_VALUE"""),"Cra 11 #39-21 / centro comercial la serrezuela")</f>
        <v>Cra 11 #39-21 / centro comercial la serrezuela</v>
      </c>
      <c r="G10186" s="15" t="str">
        <f>IFERROR(__xludf.DUMMYFUNCTION("""COMPUTED_VALUE"""),"Centro comercial la Serrezuela")</f>
        <v>Centro comercial la Serrezuela</v>
      </c>
      <c r="H10186" s="16">
        <f>IFERROR(__xludf.DUMMYFUNCTION("""COMPUTED_VALUE"""),18875.0)</f>
        <v>18875</v>
      </c>
      <c r="I10186" s="17"/>
      <c r="J10186" s="17"/>
      <c r="K10186" s="17"/>
      <c r="L10186" s="17">
        <f>IFERROR(__xludf.DUMMYFUNCTION("""COMPUTED_VALUE"""),3.116026252E9)</f>
        <v>3116026252</v>
      </c>
      <c r="M10186" s="17"/>
      <c r="N10186" s="17"/>
      <c r="O10186" s="17"/>
      <c r="P10186" s="17" t="b">
        <f>IFERROR(__xludf.DUMMYFUNCTION("""COMPUTED_VALUE"""),FALSE)</f>
        <v>0</v>
      </c>
      <c r="Q10186" s="20" t="str">
        <f>IFERROR(__xludf.DUMMYFUNCTION("""COMPUTED_VALUE"""),"")</f>
        <v/>
      </c>
      <c r="R10186" s="21" t="str">
        <f>IFERROR(__xludf.DUMMYFUNCTION("""COMPUTED_VALUE"""),"https://drive.google.com/file/d/1hzDP1XHZsZQ2Q9cI-z10FLkEBa94SgNZ/view?usp=drivesdk")</f>
        <v>https://drive.google.com/file/d/1hzDP1XHZsZQ2Q9cI-z10FLkEBa94SgNZ/view?usp=drivesdk</v>
      </c>
    </row>
    <row r="10187">
      <c r="A10187" s="15">
        <f>IFERROR(__xludf.DUMMYFUNCTION("""COMPUTED_VALUE"""),45289.0)</f>
        <v>45289</v>
      </c>
      <c r="B10187" s="16" t="str">
        <f>IFERROR(__xludf.DUMMYFUNCTION("""COMPUTED_VALUE"""),"Envia")</f>
        <v>Envia</v>
      </c>
      <c r="C10187" s="15" t="str">
        <f>IFERROR(__xludf.DUMMYFUNCTION("""COMPUTED_VALUE"""),"CARTAGENA")</f>
        <v>CARTAGENA</v>
      </c>
      <c r="D10187" s="15" t="str">
        <f>IFERROR(__xludf.DUMMYFUNCTION("""COMPUTED_VALUE"""),"MEDELLÍN")</f>
        <v>MEDELLÍN</v>
      </c>
      <c r="E10187" s="15" t="str">
        <f>IFERROR(__xludf.DUMMYFUNCTION("""COMPUTED_VALUE"""),"Gastro INC")</f>
        <v>Gastro INC</v>
      </c>
      <c r="F10187" s="17" t="str">
        <f>IFERROR(__xludf.DUMMYFUNCTION("""COMPUTED_VALUE"""),"Calle 38 # 8-19, Calle del Santísimo, Provincia de Cartagena, Bolívar / Restaurante Carmen / Ciudad vieja")</f>
        <v>Calle 38 # 8-19, Calle del Santísimo, Provincia de Cartagena, Bolívar / Restaurante Carmen / Ciudad vieja</v>
      </c>
      <c r="G10187" s="15" t="str">
        <f>IFERROR(__xludf.DUMMYFUNCTION("""COMPUTED_VALUE"""),"Restaurante Carmen . Angelica Herrera")</f>
        <v>Restaurante Carmen . Angelica Herrera</v>
      </c>
      <c r="H10187" s="16">
        <f>IFERROR(__xludf.DUMMYFUNCTION("""COMPUTED_VALUE"""),18843.0)</f>
        <v>18843</v>
      </c>
      <c r="I10187" s="18">
        <f>IFERROR(__xludf.DUMMYFUNCTION("""COMPUTED_VALUE"""),105.0)</f>
        <v>105</v>
      </c>
      <c r="J10187" s="18">
        <f>IFERROR(__xludf.DUMMYFUNCTION("""COMPUTED_VALUE"""),55.0)</f>
        <v>55</v>
      </c>
      <c r="K10187" s="18">
        <f>IFERROR(__xludf.DUMMYFUNCTION("""COMPUTED_VALUE"""),45.0)</f>
        <v>45</v>
      </c>
      <c r="L10187" s="17">
        <f>IFERROR(__xludf.DUMMYFUNCTION("""COMPUTED_VALUE"""),3.103949344E9)</f>
        <v>3103949344</v>
      </c>
      <c r="M10187" s="17"/>
      <c r="N10187" s="17"/>
      <c r="O10187" s="17"/>
      <c r="P10187" s="17" t="b">
        <f>IFERROR(__xludf.DUMMYFUNCTION("""COMPUTED_VALUE"""),FALSE)</f>
        <v>0</v>
      </c>
      <c r="Q10187" s="20" t="str">
        <f>IFERROR(__xludf.DUMMYFUNCTION("""COMPUTED_VALUE"""),"")</f>
        <v/>
      </c>
      <c r="R10187" s="21" t="str">
        <f>IFERROR(__xludf.DUMMYFUNCTION("""COMPUTED_VALUE"""),"https://drive.google.com/file/d/136p-5PEwm53_WV0kE6cSQnAT8-17GR43/view?usp=drivesdk")</f>
        <v>https://drive.google.com/file/d/136p-5PEwm53_WV0kE6cSQnAT8-17GR43/view?usp=drivesdk</v>
      </c>
    </row>
    <row r="10188">
      <c r="A10188" s="15">
        <f>IFERROR(__xludf.DUMMYFUNCTION("""COMPUTED_VALUE"""),45289.0)</f>
        <v>45289</v>
      </c>
      <c r="B10188" s="16" t="str">
        <f>IFERROR(__xludf.DUMMYFUNCTION("""COMPUTED_VALUE"""),"Envia")</f>
        <v>Envia</v>
      </c>
      <c r="C10188" s="15" t="str">
        <f>IFERROR(__xludf.DUMMYFUNCTION("""COMPUTED_VALUE"""),"CÚCUTA")</f>
        <v>CÚCUTA</v>
      </c>
      <c r="D10188" s="15" t="str">
        <f>IFERROR(__xludf.DUMMYFUNCTION("""COMPUTED_VALUE"""),"BOGOTÁ")</f>
        <v>BOGOTÁ</v>
      </c>
      <c r="E10188" s="15" t="str">
        <f>IFERROR(__xludf.DUMMYFUNCTION("""COMPUTED_VALUE"""),"LINA PAOLA RAMIREZ GOMEZ - EVA MAZZITA")</f>
        <v>LINA PAOLA RAMIREZ GOMEZ - EVA MAZZITA</v>
      </c>
      <c r="F10188" s="17" t="str">
        <f>IFERROR(__xludf.DUMMYFUNCTION("""COMPUTED_VALUE"""),"Av 2E # 15A -17 Caobos / Caobos")</f>
        <v>Av 2E # 15A -17 Caobos / Caobos</v>
      </c>
      <c r="G10188" s="15" t="str">
        <f>IFERROR(__xludf.DUMMYFUNCTION("""COMPUTED_VALUE"""),"DACCY KARINA LOPEZ MORENO")</f>
        <v>DACCY KARINA LOPEZ MORENO</v>
      </c>
      <c r="H10188" s="16">
        <f>IFERROR(__xludf.DUMMYFUNCTION("""COMPUTED_VALUE"""),18830.0)</f>
        <v>18830</v>
      </c>
      <c r="I10188" s="17"/>
      <c r="J10188" s="17"/>
      <c r="K10188" s="17"/>
      <c r="L10188" s="17">
        <f>IFERROR(__xludf.DUMMYFUNCTION("""COMPUTED_VALUE"""),3.208615379E9)</f>
        <v>3208615379</v>
      </c>
      <c r="M10188" s="17"/>
      <c r="N10188" s="17"/>
      <c r="O10188" s="17"/>
      <c r="P10188" s="17" t="b">
        <f>IFERROR(__xludf.DUMMYFUNCTION("""COMPUTED_VALUE"""),FALSE)</f>
        <v>0</v>
      </c>
      <c r="Q10188" s="20" t="str">
        <f>IFERROR(__xludf.DUMMYFUNCTION("""COMPUTED_VALUE"""),"")</f>
        <v/>
      </c>
      <c r="R10188" s="21" t="str">
        <f>IFERROR(__xludf.DUMMYFUNCTION("""COMPUTED_VALUE"""),"https://drive.google.com/file/d/1NiEck2uzihVTrxLXB0lLUjPL-IfGYtAH/view?usp=drivesdk")</f>
        <v>https://drive.google.com/file/d/1NiEck2uzihVTrxLXB0lLUjPL-IfGYtAH/view?usp=drivesdk</v>
      </c>
    </row>
    <row r="10189">
      <c r="A10189" s="15">
        <f>IFERROR(__xludf.DUMMYFUNCTION("""COMPUTED_VALUE"""),45289.0)</f>
        <v>45289</v>
      </c>
      <c r="B10189" s="16" t="str">
        <f>IFERROR(__xludf.DUMMYFUNCTION("""COMPUTED_VALUE"""),"Envia")</f>
        <v>Envia</v>
      </c>
      <c r="C10189" s="15" t="str">
        <f>IFERROR(__xludf.DUMMYFUNCTION("""COMPUTED_VALUE"""),"IBAGUÉ")</f>
        <v>IBAGUÉ</v>
      </c>
      <c r="D10189" s="15" t="str">
        <f>IFERROR(__xludf.DUMMYFUNCTION("""COMPUTED_VALUE"""),"BOGOTÁ")</f>
        <v>BOGOTÁ</v>
      </c>
      <c r="E10189" s="15" t="str">
        <f>IFERROR(__xludf.DUMMYFUNCTION("""COMPUTED_VALUE"""),"INVERSIONES MOCHI")</f>
        <v>INVERSIONES MOCHI</v>
      </c>
      <c r="F10189" s="17" t="str">
        <f>IFERROR(__xludf.DUMMYFUNCTION("""COMPUTED_VALUE"""),"hacienda el vergel / casa el lago")</f>
        <v>hacienda el vergel / casa el lago</v>
      </c>
      <c r="G10189" s="15" t="str">
        <f>IFERROR(__xludf.DUMMYFUNCTION("""COMPUTED_VALUE"""),"hacienda el vergel casa el lago")</f>
        <v>hacienda el vergel casa el lago</v>
      </c>
      <c r="H10189" s="16">
        <f>IFERROR(__xludf.DUMMYFUNCTION("""COMPUTED_VALUE"""),18882.0)</f>
        <v>18882</v>
      </c>
      <c r="I10189" s="17"/>
      <c r="J10189" s="17"/>
      <c r="K10189" s="17"/>
      <c r="L10189" s="17">
        <f>IFERROR(__xludf.DUMMYFUNCTION("""COMPUTED_VALUE"""),3.184027089E9)</f>
        <v>3184027089</v>
      </c>
      <c r="M10189" s="17"/>
      <c r="N10189" s="17"/>
      <c r="O10189" s="17"/>
      <c r="P10189" s="17" t="b">
        <f>IFERROR(__xludf.DUMMYFUNCTION("""COMPUTED_VALUE"""),FALSE)</f>
        <v>0</v>
      </c>
      <c r="Q10189" s="20" t="str">
        <f>IFERROR(__xludf.DUMMYFUNCTION("""COMPUTED_VALUE"""),"")</f>
        <v/>
      </c>
      <c r="R10189" s="21" t="str">
        <f>IFERROR(__xludf.DUMMYFUNCTION("""COMPUTED_VALUE"""),"https://drive.google.com/file/d/15xy6ZWTC-drgHkhgyHn_FinHF1il0IyL/view?usp=drivesdk")</f>
        <v>https://drive.google.com/file/d/15xy6ZWTC-drgHkhgyHn_FinHF1il0IyL/view?usp=drivesdk</v>
      </c>
    </row>
    <row r="10190">
      <c r="A10190" s="15">
        <f>IFERROR(__xludf.DUMMYFUNCTION("""COMPUTED_VALUE"""),45289.0)</f>
        <v>45289</v>
      </c>
      <c r="B10190" s="16" t="str">
        <f>IFERROR(__xludf.DUMMYFUNCTION("""COMPUTED_VALUE"""),"Envia")</f>
        <v>Envia</v>
      </c>
      <c r="C10190" s="15" t="str">
        <f>IFERROR(__xludf.DUMMYFUNCTION("""COMPUTED_VALUE"""),"MEDELLÍN")</f>
        <v>MEDELLÍN</v>
      </c>
      <c r="D10190" s="15" t="str">
        <f>IFERROR(__xludf.DUMMYFUNCTION("""COMPUTED_VALUE"""),"BOGOTÁ")</f>
        <v>BOGOTÁ</v>
      </c>
      <c r="E10190" s="15" t="str">
        <f>IFERROR(__xludf.DUMMYFUNCTION("""COMPUTED_VALUE"""),"Forever Dog")</f>
        <v>Forever Dog</v>
      </c>
      <c r="F10190" s="17" t="str">
        <f>IFERROR(__xludf.DUMMYFUNCTION("""COMPUTED_VALUE"""),"Calle 36 sur # 27 - 10 / apto 9615 / torre 3 unidad residencial entreparques")</f>
        <v>Calle 36 sur # 27 - 10 / apto 9615 / torre 3 unidad residencial entreparques</v>
      </c>
      <c r="G10190" s="15" t="str">
        <f>IFERROR(__xludf.DUMMYFUNCTION("""COMPUTED_VALUE"""),"Alejandra Maya")</f>
        <v>Alejandra Maya</v>
      </c>
      <c r="H10190" s="16">
        <f>IFERROR(__xludf.DUMMYFUNCTION("""COMPUTED_VALUE"""),18748.0)</f>
        <v>18748</v>
      </c>
      <c r="I10190" s="18">
        <f>IFERROR(__xludf.DUMMYFUNCTION("""COMPUTED_VALUE"""),51.0)</f>
        <v>51</v>
      </c>
      <c r="J10190" s="18">
        <f>IFERROR(__xludf.DUMMYFUNCTION("""COMPUTED_VALUE"""),30.0)</f>
        <v>30</v>
      </c>
      <c r="K10190" s="18">
        <f>IFERROR(__xludf.DUMMYFUNCTION("""COMPUTED_VALUE"""),20.0)</f>
        <v>20</v>
      </c>
      <c r="L10190" s="17">
        <f>IFERROR(__xludf.DUMMYFUNCTION("""COMPUTED_VALUE"""),3.016427229E9)</f>
        <v>3016427229</v>
      </c>
      <c r="M10190" s="17"/>
      <c r="N10190" s="17"/>
      <c r="O10190" s="17"/>
      <c r="P10190" s="17" t="b">
        <f>IFERROR(__xludf.DUMMYFUNCTION("""COMPUTED_VALUE"""),FALSE)</f>
        <v>0</v>
      </c>
      <c r="Q10190" s="20" t="str">
        <f>IFERROR(__xludf.DUMMYFUNCTION("""COMPUTED_VALUE"""),"")</f>
        <v/>
      </c>
      <c r="R10190" s="21" t="str">
        <f>IFERROR(__xludf.DUMMYFUNCTION("""COMPUTED_VALUE"""),"https://drive.google.com/file/d/1ZPf76Iye9ihsi0J1AWq5i38Q6zxdUz1-/view?usp=drivesdk")</f>
        <v>https://drive.google.com/file/d/1ZPf76Iye9ihsi0J1AWq5i38Q6zxdUz1-/view?usp=drivesdk</v>
      </c>
    </row>
    <row r="10191">
      <c r="A10191" s="15">
        <f>IFERROR(__xludf.DUMMYFUNCTION("""COMPUTED_VALUE"""),45289.0)</f>
        <v>45289</v>
      </c>
      <c r="B10191" s="16" t="str">
        <f>IFERROR(__xludf.DUMMYFUNCTION("""COMPUTED_VALUE"""),"Envia")</f>
        <v>Envia</v>
      </c>
      <c r="C10191" s="15" t="str">
        <f>IFERROR(__xludf.DUMMYFUNCTION("""COMPUTED_VALUE"""),"MEDELLÍN")</f>
        <v>MEDELLÍN</v>
      </c>
      <c r="D10191" s="15" t="str">
        <f>IFERROR(__xludf.DUMMYFUNCTION("""COMPUTED_VALUE"""),"BOGOTÁ")</f>
        <v>BOGOTÁ</v>
      </c>
      <c r="E10191" s="15" t="str">
        <f>IFERROR(__xludf.DUMMYFUNCTION("""COMPUTED_VALUE"""),"INVERSIONES MOCHI")</f>
        <v>INVERSIONES MOCHI</v>
      </c>
      <c r="F10191" s="17" t="str">
        <f>IFERROR(__xludf.DUMMYFUNCTION("""COMPUTED_VALUE"""),"CRA 48 #32B SUR-139 ZONA 1 / CENTRO COMERCIAL VIVA ENVIGADO")</f>
        <v>CRA 48 #32B SUR-139 ZONA 1 / CENTRO COMERCIAL VIVA ENVIGADO</v>
      </c>
      <c r="G10191" s="15" t="str">
        <f>IFERROR(__xludf.DUMMYFUNCTION("""COMPUTED_VALUE"""),"CENTRO COMERCIAL VIVA ENVIGADO")</f>
        <v>CENTRO COMERCIAL VIVA ENVIGADO</v>
      </c>
      <c r="H10191" s="16">
        <f>IFERROR(__xludf.DUMMYFUNCTION("""COMPUTED_VALUE"""),18874.0)</f>
        <v>18874</v>
      </c>
      <c r="I10191" s="17"/>
      <c r="J10191" s="17"/>
      <c r="K10191" s="17"/>
      <c r="L10191" s="17">
        <f>IFERROR(__xludf.DUMMYFUNCTION("""COMPUTED_VALUE"""),3.142587995E9)</f>
        <v>3142587995</v>
      </c>
      <c r="M10191" s="17"/>
      <c r="N10191" s="17"/>
      <c r="O10191" s="17"/>
      <c r="P10191" s="17" t="b">
        <f>IFERROR(__xludf.DUMMYFUNCTION("""COMPUTED_VALUE"""),FALSE)</f>
        <v>0</v>
      </c>
      <c r="Q10191" s="20" t="str">
        <f>IFERROR(__xludf.DUMMYFUNCTION("""COMPUTED_VALUE"""),"")</f>
        <v/>
      </c>
      <c r="R10191" s="21" t="str">
        <f>IFERROR(__xludf.DUMMYFUNCTION("""COMPUTED_VALUE"""),"https://drive.google.com/file/d/1uJ5uWa7sjTbwZ8hYWa_Jt-vH_iyrse7G/view?usp=drivesdk")</f>
        <v>https://drive.google.com/file/d/1uJ5uWa7sjTbwZ8hYWa_Jt-vH_iyrse7G/view?usp=drivesdk</v>
      </c>
    </row>
    <row r="10192">
      <c r="A10192" s="15">
        <f>IFERROR(__xludf.DUMMYFUNCTION("""COMPUTED_VALUE"""),45289.0)</f>
        <v>45289</v>
      </c>
      <c r="B10192" s="16" t="str">
        <f>IFERROR(__xludf.DUMMYFUNCTION("""COMPUTED_VALUE"""),"Envia")</f>
        <v>Envia</v>
      </c>
      <c r="C10192" s="15" t="str">
        <f>IFERROR(__xludf.DUMMYFUNCTION("""COMPUTED_VALUE"""),"MEDELLÍN")</f>
        <v>MEDELLÍN</v>
      </c>
      <c r="D10192" s="15" t="str">
        <f>IFERROR(__xludf.DUMMYFUNCTION("""COMPUTED_VALUE"""),"BOGOTÁ")</f>
        <v>BOGOTÁ</v>
      </c>
      <c r="E10192" s="15" t="str">
        <f>IFERROR(__xludf.DUMMYFUNCTION("""COMPUTED_VALUE"""),"Renata")</f>
        <v>Renata</v>
      </c>
      <c r="F10192" s="17" t="str">
        <f>IFERROR(__xludf.DUMMYFUNCTION("""COMPUTED_VALUE"""),"Carrera 31d#9-43 / Seline y cowork -restaurante  / Provenza")</f>
        <v>Carrera 31d#9-43 / Seline y cowork -restaurante  / Provenza</v>
      </c>
      <c r="G10192" s="15" t="str">
        <f>IFERROR(__xludf.DUMMYFUNCTION("""COMPUTED_VALUE"""),"Front y back hospitality group")</f>
        <v>Front y back hospitality group</v>
      </c>
      <c r="H10192" s="16">
        <f>IFERROR(__xludf.DUMMYFUNCTION("""COMPUTED_VALUE"""),18852.0)</f>
        <v>18852</v>
      </c>
      <c r="I10192" s="18">
        <f>IFERROR(__xludf.DUMMYFUNCTION("""COMPUTED_VALUE"""),60.0)</f>
        <v>60</v>
      </c>
      <c r="J10192" s="18">
        <f>IFERROR(__xludf.DUMMYFUNCTION("""COMPUTED_VALUE"""),70.0)</f>
        <v>70</v>
      </c>
      <c r="K10192" s="18">
        <f>IFERROR(__xludf.DUMMYFUNCTION("""COMPUTED_VALUE"""),60.0)</f>
        <v>60</v>
      </c>
      <c r="L10192" s="17">
        <f>IFERROR(__xludf.DUMMYFUNCTION("""COMPUTED_VALUE"""),3.104047368E9)</f>
        <v>3104047368</v>
      </c>
      <c r="M10192" s="17"/>
      <c r="N10192" s="17"/>
      <c r="O10192" s="17"/>
      <c r="P10192" s="17" t="b">
        <f>IFERROR(__xludf.DUMMYFUNCTION("""COMPUTED_VALUE"""),FALSE)</f>
        <v>0</v>
      </c>
      <c r="Q10192" s="20" t="str">
        <f>IFERROR(__xludf.DUMMYFUNCTION("""COMPUTED_VALUE"""),"")</f>
        <v/>
      </c>
      <c r="R10192" s="21" t="str">
        <f>IFERROR(__xludf.DUMMYFUNCTION("""COMPUTED_VALUE"""),"https://drive.google.com/file/d/1nhPIRlC20ZmJK2OQdfPNrn9O-Oe4Mj7R/view?usp=drivesdk")</f>
        <v>https://drive.google.com/file/d/1nhPIRlC20ZmJK2OQdfPNrn9O-Oe4Mj7R/view?usp=drivesdk</v>
      </c>
    </row>
    <row r="10193">
      <c r="A10193" s="15">
        <f>IFERROR(__xludf.DUMMYFUNCTION("""COMPUTED_VALUE"""),45289.0)</f>
        <v>45289</v>
      </c>
      <c r="B10193" s="16" t="str">
        <f>IFERROR(__xludf.DUMMYFUNCTION("""COMPUTED_VALUE"""),"Envia")</f>
        <v>Envia</v>
      </c>
      <c r="C10193" s="15" t="str">
        <f>IFERROR(__xludf.DUMMYFUNCTION("""COMPUTED_VALUE"""),"SANTA MARTA")</f>
        <v>SANTA MARTA</v>
      </c>
      <c r="D10193" s="15" t="str">
        <f>IFERROR(__xludf.DUMMYFUNCTION("""COMPUTED_VALUE"""),"MEDELLÍN")</f>
        <v>MEDELLÍN</v>
      </c>
      <c r="E10193" s="15" t="str">
        <f>IFERROR(__xludf.DUMMYFUNCTION("""COMPUTED_VALUE"""),"HELADERIA MAGDA")</f>
        <v>HELADERIA MAGDA</v>
      </c>
      <c r="F10193" s="17" t="str">
        <f>IFERROR(__xludf.DUMMYFUNCTION("""COMPUTED_VALUE"""),"CALLE 22 #6-82 / PLAZUELA 22 LOCAL 27")</f>
        <v>CALLE 22 #6-82 / PLAZUELA 22 LOCAL 27</v>
      </c>
      <c r="G10193" s="15" t="str">
        <f>IFERROR(__xludf.DUMMYFUNCTION("""COMPUTED_VALUE"""),"HELADERIA MAGDA SANTA MARTA")</f>
        <v>HELADERIA MAGDA SANTA MARTA</v>
      </c>
      <c r="H10193" s="16">
        <f>IFERROR(__xludf.DUMMYFUNCTION("""COMPUTED_VALUE"""),18834.0)</f>
        <v>18834</v>
      </c>
      <c r="I10193" s="17"/>
      <c r="J10193" s="17"/>
      <c r="K10193" s="17"/>
      <c r="L10193" s="17">
        <f>IFERROR(__xludf.DUMMYFUNCTION("""COMPUTED_VALUE"""),3.054269156E9)</f>
        <v>3054269156</v>
      </c>
      <c r="M10193" s="17"/>
      <c r="N10193" s="17"/>
      <c r="O10193" s="17"/>
      <c r="P10193" s="17" t="b">
        <f>IFERROR(__xludf.DUMMYFUNCTION("""COMPUTED_VALUE"""),FALSE)</f>
        <v>0</v>
      </c>
      <c r="Q10193" s="20" t="str">
        <f>IFERROR(__xludf.DUMMYFUNCTION("""COMPUTED_VALUE"""),"")</f>
        <v/>
      </c>
      <c r="R10193" s="21" t="str">
        <f>IFERROR(__xludf.DUMMYFUNCTION("""COMPUTED_VALUE"""),"https://drive.google.com/file/d/1pKkxVRnEdaqJ9-dFija6HpVHRcGsP-fR/view?usp=drivesdk")</f>
        <v>https://drive.google.com/file/d/1pKkxVRnEdaqJ9-dFija6HpVHRcGsP-fR/view?usp=drivesdk</v>
      </c>
    </row>
    <row r="10194">
      <c r="A10194" s="15">
        <f>IFERROR(__xludf.DUMMYFUNCTION("""COMPUTED_VALUE"""),45289.0)</f>
        <v>45289</v>
      </c>
      <c r="B10194" s="16" t="str">
        <f>IFERROR(__xludf.DUMMYFUNCTION("""COMPUTED_VALUE"""),"Envia")</f>
        <v>Envia</v>
      </c>
      <c r="C10194" s="15" t="str">
        <f>IFERROR(__xludf.DUMMYFUNCTION("""COMPUTED_VALUE"""),"TULUA")</f>
        <v>TULUA</v>
      </c>
      <c r="D10194" s="15" t="str">
        <f>IFERROR(__xludf.DUMMYFUNCTION("""COMPUTED_VALUE"""),"BUCARAMANGA")</f>
        <v>BUCARAMANGA</v>
      </c>
      <c r="E10194" s="15" t="str">
        <f>IFERROR(__xludf.DUMMYFUNCTION("""COMPUTED_VALUE"""),"Yo Como Solito")</f>
        <v>Yo Como Solito</v>
      </c>
      <c r="F10194" s="17" t="str">
        <f>IFERROR(__xludf.DUMMYFUNCTION("""COMPUTED_VALUE"""),"MANZANA 17 CASA 5 BOSQUES DE MARAIBO  / MANZANA 17 CASA 5 BOSQUES DE MARAIBO / MANZANA 17 CASA 5 BOSQUES DE MARAIBO")</f>
        <v>MANZANA 17 CASA 5 BOSQUES DE MARAIBO  / MANZANA 17 CASA 5 BOSQUES DE MARAIBO / MANZANA 17 CASA 5 BOSQUES DE MARAIBO</v>
      </c>
      <c r="G10194" s="15" t="str">
        <f>IFERROR(__xludf.DUMMYFUNCTION("""COMPUTED_VALUE"""),"DIANA CAROLINA MOLINA")</f>
        <v>DIANA CAROLINA MOLINA</v>
      </c>
      <c r="H10194" s="16">
        <f>IFERROR(__xludf.DUMMYFUNCTION("""COMPUTED_VALUE"""),18850.0)</f>
        <v>18850</v>
      </c>
      <c r="I10194" s="18">
        <f>IFERROR(__xludf.DUMMYFUNCTION("""COMPUTED_VALUE"""),24.0)</f>
        <v>24</v>
      </c>
      <c r="J10194" s="18">
        <f>IFERROR(__xludf.DUMMYFUNCTION("""COMPUTED_VALUE"""),38.0)</f>
        <v>38</v>
      </c>
      <c r="K10194" s="18">
        <f>IFERROR(__xludf.DUMMYFUNCTION("""COMPUTED_VALUE"""),48.0)</f>
        <v>48</v>
      </c>
      <c r="L10194" s="17">
        <f>IFERROR(__xludf.DUMMYFUNCTION("""COMPUTED_VALUE"""),3.104417918E9)</f>
        <v>3104417918</v>
      </c>
      <c r="M10194" s="17"/>
      <c r="N10194" s="17"/>
      <c r="O10194" s="17"/>
      <c r="P10194" s="17" t="b">
        <f>IFERROR(__xludf.DUMMYFUNCTION("""COMPUTED_VALUE"""),FALSE)</f>
        <v>0</v>
      </c>
      <c r="Q10194" s="20" t="str">
        <f>IFERROR(__xludf.DUMMYFUNCTION("""COMPUTED_VALUE"""),"")</f>
        <v/>
      </c>
      <c r="R10194" s="21" t="str">
        <f>IFERROR(__xludf.DUMMYFUNCTION("""COMPUTED_VALUE"""),"https://drive.google.com/file/d/1Bxn1qpHy2lMfdDQ67p7U78YGk4nxw1s4/view?usp=drivesdk")</f>
        <v>https://drive.google.com/file/d/1Bxn1qpHy2lMfdDQ67p7U78YGk4nxw1s4/view?usp=drivesdk</v>
      </c>
    </row>
    <row r="10195">
      <c r="A10195" s="17" t="str">
        <f>IFERROR(__xludf.DUMMYFUNCTION("""COMPUTED_VALUE"""),"")</f>
        <v/>
      </c>
      <c r="B10195" s="17" t="str">
        <f>IFERROR(__xludf.DUMMYFUNCTION("""COMPUTED_VALUE"""),"")</f>
        <v/>
      </c>
      <c r="C10195" s="17" t="str">
        <f>IFERROR(__xludf.DUMMYFUNCTION("""COMPUTED_VALUE"""),"")</f>
        <v/>
      </c>
      <c r="D10195" s="17" t="str">
        <f>IFERROR(__xludf.DUMMYFUNCTION("""COMPUTED_VALUE"""),"")</f>
        <v/>
      </c>
      <c r="E10195" s="17" t="str">
        <f>IFERROR(__xludf.DUMMYFUNCTION("""COMPUTED_VALUE"""),"")</f>
        <v/>
      </c>
      <c r="F10195" s="17" t="str">
        <f>IFERROR(__xludf.DUMMYFUNCTION("""COMPUTED_VALUE"""),"")</f>
        <v/>
      </c>
      <c r="G10195" s="17" t="str">
        <f>IFERROR(__xludf.DUMMYFUNCTION("""COMPUTED_VALUE"""),"")</f>
        <v/>
      </c>
      <c r="H10195" s="17" t="str">
        <f>IFERROR(__xludf.DUMMYFUNCTION("""COMPUTED_VALUE"""),"")</f>
        <v/>
      </c>
      <c r="I10195" s="17" t="str">
        <f>IFERROR(__xludf.DUMMYFUNCTION("""COMPUTED_VALUE"""),"")</f>
        <v/>
      </c>
      <c r="J10195" s="17" t="str">
        <f>IFERROR(__xludf.DUMMYFUNCTION("""COMPUTED_VALUE"""),"")</f>
        <v/>
      </c>
      <c r="K10195" s="17" t="str">
        <f>IFERROR(__xludf.DUMMYFUNCTION("""COMPUTED_VALUE"""),"")</f>
        <v/>
      </c>
      <c r="L10195" s="17" t="str">
        <f>IFERROR(__xludf.DUMMYFUNCTION("""COMPUTED_VALUE"""),"")</f>
        <v/>
      </c>
      <c r="M10195" s="17" t="str">
        <f>IFERROR(__xludf.DUMMYFUNCTION("""COMPUTED_VALUE"""),"")</f>
        <v/>
      </c>
      <c r="N10195" s="17" t="str">
        <f>IFERROR(__xludf.DUMMYFUNCTION("""COMPUTED_VALUE"""),"")</f>
        <v/>
      </c>
      <c r="O10195" s="17" t="str">
        <f>IFERROR(__xludf.DUMMYFUNCTION("""COMPUTED_VALUE"""),"")</f>
        <v/>
      </c>
      <c r="P10195" s="17" t="str">
        <f>IFERROR(__xludf.DUMMYFUNCTION("""COMPUTED_VALUE"""),"")</f>
        <v/>
      </c>
      <c r="Q10195" s="17" t="str">
        <f>IFERROR(__xludf.DUMMYFUNCTION("""COMPUTED_VALUE"""),"")</f>
        <v/>
      </c>
      <c r="R10195" s="17" t="str">
        <f>IFERROR(__xludf.DUMMYFUNCTION("""COMPUTED_VALUE"""),"")</f>
        <v/>
      </c>
    </row>
    <row r="10196">
      <c r="A10196" s="15">
        <f>IFERROR(__xludf.DUMMYFUNCTION("""COMPUTED_VALUE"""),45289.0)</f>
        <v>45289</v>
      </c>
      <c r="B10196" s="16" t="str">
        <f>IFERROR(__xludf.DUMMYFUNCTION("""COMPUTED_VALUE"""),"Johanna Arango Barrera")</f>
        <v>Johanna Arango Barrera</v>
      </c>
      <c r="C10196" s="15" t="str">
        <f>IFERROR(__xludf.DUMMYFUNCTION("""COMPUTED_VALUE"""),"BUCARAMANGA")</f>
        <v>BUCARAMANGA</v>
      </c>
      <c r="D10196" s="15" t="str">
        <f>IFERROR(__xludf.DUMMYFUNCTION("""COMPUTED_VALUE"""),"BOGOTÁ")</f>
        <v>BOGOTÁ</v>
      </c>
      <c r="E10196" s="15" t="str">
        <f>IFERROR(__xludf.DUMMYFUNCTION("""COMPUTED_VALUE"""),"Instinto alimento vital")</f>
        <v>Instinto alimento vital</v>
      </c>
      <c r="F10196" s="17" t="str">
        <f>IFERROR(__xludf.DUMMYFUNCTION("""COMPUTED_VALUE"""),"CL 71 # 53 97 / CA 12 CON ALTOS DE CANTARELA")</f>
        <v>CL 71 # 53 97 / CA 12 CON ALTOS DE CANTARELA</v>
      </c>
      <c r="G10196" s="15" t="str">
        <f>IFERROR(__xludf.DUMMYFUNCTION("""COMPUTED_VALUE"""),"YAMILE EDILMA FRANCO RUEDA")</f>
        <v>YAMILE EDILMA FRANCO RUEDA</v>
      </c>
      <c r="H10196" s="16">
        <f>IFERROR(__xludf.DUMMYFUNCTION("""COMPUTED_VALUE"""),18868.0)</f>
        <v>18868</v>
      </c>
      <c r="I10196" s="17"/>
      <c r="J10196" s="17"/>
      <c r="K10196" s="17"/>
      <c r="L10196" s="17">
        <f>IFERROR(__xludf.DUMMYFUNCTION("""COMPUTED_VALUE"""),3.144711356E9)</f>
        <v>3144711356</v>
      </c>
      <c r="M10196" s="17"/>
      <c r="N10196" s="17"/>
      <c r="O10196" s="17"/>
      <c r="P10196" s="17" t="b">
        <f>IFERROR(__xludf.DUMMYFUNCTION("""COMPUTED_VALUE"""),FALSE)</f>
        <v>0</v>
      </c>
      <c r="Q10196" s="20" t="str">
        <f>IFERROR(__xludf.DUMMYFUNCTION("""COMPUTED_VALUE"""),"")</f>
        <v/>
      </c>
      <c r="R10196" s="21" t="str">
        <f>IFERROR(__xludf.DUMMYFUNCTION("""COMPUTED_VALUE"""),"https://drive.google.com/file/d/17C5CLtsm-SP7sWz43r2N3-WfuBkegx1I/view?usp=drivesdk")</f>
        <v>https://drive.google.com/file/d/17C5CLtsm-SP7sWz43r2N3-WfuBkegx1I/view?usp=drivesdk</v>
      </c>
    </row>
    <row r="10197">
      <c r="A10197" s="15">
        <f>IFERROR(__xludf.DUMMYFUNCTION("""COMPUTED_VALUE"""),45289.0)</f>
        <v>45289</v>
      </c>
      <c r="B10197" s="16" t="str">
        <f>IFERROR(__xludf.DUMMYFUNCTION("""COMPUTED_VALUE"""),"Johanna Arango Barrera")</f>
        <v>Johanna Arango Barrera</v>
      </c>
      <c r="C10197" s="15" t="str">
        <f>IFERROR(__xludf.DUMMYFUNCTION("""COMPUTED_VALUE"""),"BUCARAMANGA")</f>
        <v>BUCARAMANGA</v>
      </c>
      <c r="D10197" s="15" t="str">
        <f>IFERROR(__xludf.DUMMYFUNCTION("""COMPUTED_VALUE"""),"BOGOTÁ")</f>
        <v>BOGOTÁ</v>
      </c>
      <c r="E10197" s="15" t="str">
        <f>IFERROR(__xludf.DUMMYFUNCTION("""COMPUTED_VALUE"""),"LINA PAOLA RAMIREZ GOMEZ - EVA MAZZITA")</f>
        <v>LINA PAOLA RAMIREZ GOMEZ - EVA MAZZITA</v>
      </c>
      <c r="F10197" s="17" t="str">
        <f>IFERROR(__xludf.DUMMYFUNCTION("""COMPUTED_VALUE"""),"AVDA. 87 No. 24 - 09 / TORRE 1 APTO 2007 CONJUNTO DIMANTI BARRIO DIAMANTE 2")</f>
        <v>AVDA. 87 No. 24 - 09 / TORRE 1 APTO 2007 CONJUNTO DIMANTI BARRIO DIAMANTE 2</v>
      </c>
      <c r="G10197" s="15" t="str">
        <f>IFERROR(__xludf.DUMMYFUNCTION("""COMPUTED_VALUE"""),"ADRIANA TRUJILLO")</f>
        <v>ADRIANA TRUJILLO</v>
      </c>
      <c r="H10197" s="16">
        <f>IFERROR(__xludf.DUMMYFUNCTION("""COMPUTED_VALUE"""),18881.0)</f>
        <v>18881</v>
      </c>
      <c r="I10197" s="17"/>
      <c r="J10197" s="17"/>
      <c r="K10197" s="17"/>
      <c r="L10197" s="17">
        <f>IFERROR(__xludf.DUMMYFUNCTION("""COMPUTED_VALUE"""),3.125405063E9)</f>
        <v>3125405063</v>
      </c>
      <c r="M10197" s="17"/>
      <c r="N10197" s="17"/>
      <c r="O10197" s="17"/>
      <c r="P10197" s="17" t="b">
        <f>IFERROR(__xludf.DUMMYFUNCTION("""COMPUTED_VALUE"""),FALSE)</f>
        <v>0</v>
      </c>
      <c r="Q10197" s="20" t="str">
        <f>IFERROR(__xludf.DUMMYFUNCTION("""COMPUTED_VALUE"""),"")</f>
        <v/>
      </c>
      <c r="R10197" s="21" t="str">
        <f>IFERROR(__xludf.DUMMYFUNCTION("""COMPUTED_VALUE"""),"https://drive.google.com/file/d/1G-ax1CoecHeo4mnd9uheNMTkZTHENGQc/view?usp=drivesdk")</f>
        <v>https://drive.google.com/file/d/1G-ax1CoecHeo4mnd9uheNMTkZTHENGQc/view?usp=drivesdk</v>
      </c>
    </row>
    <row r="10198">
      <c r="A10198" s="15">
        <f>IFERROR(__xludf.DUMMYFUNCTION("""COMPUTED_VALUE"""),45289.0)</f>
        <v>45289</v>
      </c>
      <c r="B10198" s="16" t="str">
        <f>IFERROR(__xludf.DUMMYFUNCTION("""COMPUTED_VALUE"""),"Johanna Arango Barrera")</f>
        <v>Johanna Arango Barrera</v>
      </c>
      <c r="C10198" s="15" t="str">
        <f>IFERROR(__xludf.DUMMYFUNCTION("""COMPUTED_VALUE"""),"BUCARAMANGA")</f>
        <v>BUCARAMANGA</v>
      </c>
      <c r="D10198" s="15" t="str">
        <f>IFERROR(__xludf.DUMMYFUNCTION("""COMPUTED_VALUE"""),"BOGOTÁ")</f>
        <v>BOGOTÁ</v>
      </c>
      <c r="E10198" s="15" t="str">
        <f>IFERROR(__xludf.DUMMYFUNCTION("""COMPUTED_VALUE"""),"LINA PAOLA RAMIREZ GOMEZ - EVA MAZZITA")</f>
        <v>LINA PAOLA RAMIREZ GOMEZ - EVA MAZZITA</v>
      </c>
      <c r="F10198" s="17" t="str">
        <f>IFERROR(__xludf.DUMMYFUNCTION("""COMPUTED_VALUE"""),"CALLE 90 # 20 - 133 / BARRIO DIAMANTE 2")</f>
        <v>CALLE 90 # 20 - 133 / BARRIO DIAMANTE 2</v>
      </c>
      <c r="G10198" s="15" t="str">
        <f>IFERROR(__xludf.DUMMYFUNCTION("""COMPUTED_VALUE"""),"SILVIA JULIANA RIOS")</f>
        <v>SILVIA JULIANA RIOS</v>
      </c>
      <c r="H10198" s="16">
        <f>IFERROR(__xludf.DUMMYFUNCTION("""COMPUTED_VALUE"""),18880.0)</f>
        <v>18880</v>
      </c>
      <c r="I10198" s="17"/>
      <c r="J10198" s="17"/>
      <c r="K10198" s="17"/>
      <c r="L10198" s="17">
        <f>IFERROR(__xludf.DUMMYFUNCTION("""COMPUTED_VALUE"""),3.18576826E9)</f>
        <v>3185768260</v>
      </c>
      <c r="M10198" s="17"/>
      <c r="N10198" s="17"/>
      <c r="O10198" s="17"/>
      <c r="P10198" s="17" t="b">
        <f>IFERROR(__xludf.DUMMYFUNCTION("""COMPUTED_VALUE"""),FALSE)</f>
        <v>0</v>
      </c>
      <c r="Q10198" s="20" t="str">
        <f>IFERROR(__xludf.DUMMYFUNCTION("""COMPUTED_VALUE"""),"")</f>
        <v/>
      </c>
      <c r="R10198" s="21" t="str">
        <f>IFERROR(__xludf.DUMMYFUNCTION("""COMPUTED_VALUE"""),"https://drive.google.com/file/d/1uqyJBEtlTjIzD0-mEcOWim_xr5bg4qzV/view?usp=drivesdk")</f>
        <v>https://drive.google.com/file/d/1uqyJBEtlTjIzD0-mEcOWim_xr5bg4qzV/view?usp=drivesdk</v>
      </c>
    </row>
    <row r="10199">
      <c r="A10199" s="15">
        <f>IFERROR(__xludf.DUMMYFUNCTION("""COMPUTED_VALUE"""),45289.0)</f>
        <v>45289</v>
      </c>
      <c r="B10199" s="16" t="str">
        <f>IFERROR(__xludf.DUMMYFUNCTION("""COMPUTED_VALUE"""),"Johanna Arango Barrera")</f>
        <v>Johanna Arango Barrera</v>
      </c>
      <c r="C10199" s="15" t="str">
        <f>IFERROR(__xludf.DUMMYFUNCTION("""COMPUTED_VALUE"""),"FLORIDABLANCA")</f>
        <v>FLORIDABLANCA</v>
      </c>
      <c r="D10199" s="15" t="str">
        <f>IFERROR(__xludf.DUMMYFUNCTION("""COMPUTED_VALUE"""),"BOGOTÁ")</f>
        <v>BOGOTÁ</v>
      </c>
      <c r="E10199" s="15" t="str">
        <f>IFERROR(__xludf.DUMMYFUNCTION("""COMPUTED_VALUE"""),"Instinto alimento vital")</f>
        <v>Instinto alimento vital</v>
      </c>
      <c r="F10199" s="17" t="str">
        <f>IFERROR(__xludf.DUMMYFUNCTION("""COMPUTED_VALUE"""),"CALLE 119 # 36-20 / ZAPAMANGA 3 ETAPA FLORIDABLANCA - SANTANDER")</f>
        <v>CALLE 119 # 36-20 / ZAPAMANGA 3 ETAPA FLORIDABLANCA - SANTANDER</v>
      </c>
      <c r="G10199" s="15" t="str">
        <f>IFERROR(__xludf.DUMMYFUNCTION("""COMPUTED_VALUE"""),"JONNY ALBERTO LOPEZ MACANA")</f>
        <v>JONNY ALBERTO LOPEZ MACANA</v>
      </c>
      <c r="H10199" s="16">
        <f>IFERROR(__xludf.DUMMYFUNCTION("""COMPUTED_VALUE"""),18869.0)</f>
        <v>18869</v>
      </c>
      <c r="I10199" s="17"/>
      <c r="J10199" s="17"/>
      <c r="K10199" s="17"/>
      <c r="L10199" s="17">
        <f>IFERROR(__xludf.DUMMYFUNCTION("""COMPUTED_VALUE"""),3.165331773E9)</f>
        <v>3165331773</v>
      </c>
      <c r="M10199" s="17"/>
      <c r="N10199" s="17"/>
      <c r="O10199" s="17"/>
      <c r="P10199" s="17" t="b">
        <f>IFERROR(__xludf.DUMMYFUNCTION("""COMPUTED_VALUE"""),FALSE)</f>
        <v>0</v>
      </c>
      <c r="Q10199" s="20" t="str">
        <f>IFERROR(__xludf.DUMMYFUNCTION("""COMPUTED_VALUE"""),"")</f>
        <v/>
      </c>
      <c r="R10199" s="21" t="str">
        <f>IFERROR(__xludf.DUMMYFUNCTION("""COMPUTED_VALUE"""),"https://drive.google.com/file/d/1WQEuVrDcIIGXFXm3D9nY6fV40dYqJotm/view?usp=drivesdk")</f>
        <v>https://drive.google.com/file/d/1WQEuVrDcIIGXFXm3D9nY6fV40dYqJotm/view?usp=drivesdk</v>
      </c>
    </row>
    <row r="10200">
      <c r="A10200" s="17" t="str">
        <f>IFERROR(__xludf.DUMMYFUNCTION("""COMPUTED_VALUE"""),"")</f>
        <v/>
      </c>
      <c r="B10200" s="17" t="str">
        <f>IFERROR(__xludf.DUMMYFUNCTION("""COMPUTED_VALUE"""),"")</f>
        <v/>
      </c>
      <c r="C10200" s="17" t="str">
        <f>IFERROR(__xludf.DUMMYFUNCTION("""COMPUTED_VALUE"""),"")</f>
        <v/>
      </c>
      <c r="D10200" s="17" t="str">
        <f>IFERROR(__xludf.DUMMYFUNCTION("""COMPUTED_VALUE"""),"")</f>
        <v/>
      </c>
      <c r="E10200" s="17" t="str">
        <f>IFERROR(__xludf.DUMMYFUNCTION("""COMPUTED_VALUE"""),"")</f>
        <v/>
      </c>
      <c r="F10200" s="17" t="str">
        <f>IFERROR(__xludf.DUMMYFUNCTION("""COMPUTED_VALUE"""),"")</f>
        <v/>
      </c>
      <c r="G10200" s="17" t="str">
        <f>IFERROR(__xludf.DUMMYFUNCTION("""COMPUTED_VALUE"""),"")</f>
        <v/>
      </c>
      <c r="H10200" s="17" t="str">
        <f>IFERROR(__xludf.DUMMYFUNCTION("""COMPUTED_VALUE"""),"")</f>
        <v/>
      </c>
      <c r="I10200" s="17" t="str">
        <f>IFERROR(__xludf.DUMMYFUNCTION("""COMPUTED_VALUE"""),"")</f>
        <v/>
      </c>
      <c r="J10200" s="17" t="str">
        <f>IFERROR(__xludf.DUMMYFUNCTION("""COMPUTED_VALUE"""),"")</f>
        <v/>
      </c>
      <c r="K10200" s="17" t="str">
        <f>IFERROR(__xludf.DUMMYFUNCTION("""COMPUTED_VALUE"""),"")</f>
        <v/>
      </c>
      <c r="L10200" s="17" t="str">
        <f>IFERROR(__xludf.DUMMYFUNCTION("""COMPUTED_VALUE"""),"")</f>
        <v/>
      </c>
      <c r="M10200" s="17" t="str">
        <f>IFERROR(__xludf.DUMMYFUNCTION("""COMPUTED_VALUE"""),"")</f>
        <v/>
      </c>
      <c r="N10200" s="17" t="str">
        <f>IFERROR(__xludf.DUMMYFUNCTION("""COMPUTED_VALUE"""),"")</f>
        <v/>
      </c>
      <c r="O10200" s="17" t="str">
        <f>IFERROR(__xludf.DUMMYFUNCTION("""COMPUTED_VALUE"""),"")</f>
        <v/>
      </c>
      <c r="P10200" s="17" t="str">
        <f>IFERROR(__xludf.DUMMYFUNCTION("""COMPUTED_VALUE"""),"")</f>
        <v/>
      </c>
      <c r="Q10200" s="17" t="str">
        <f>IFERROR(__xludf.DUMMYFUNCTION("""COMPUTED_VALUE"""),"")</f>
        <v/>
      </c>
      <c r="R10200" s="17" t="str">
        <f>IFERROR(__xludf.DUMMYFUNCTION("""COMPUTED_VALUE"""),"")</f>
        <v/>
      </c>
    </row>
    <row r="10201">
      <c r="A10201" s="15">
        <f>IFERROR(__xludf.DUMMYFUNCTION("""COMPUTED_VALUE"""),45289.0)</f>
        <v>45289</v>
      </c>
      <c r="B10201" s="16" t="str">
        <f>IFERROR(__xludf.DUMMYFUNCTION("""COMPUTED_VALUE"""),"JOSE ALFREDO RAMIREZ VERGARA ")</f>
        <v>JOSE ALFREDO RAMIREZ VERGARA </v>
      </c>
      <c r="C10201" s="15" t="str">
        <f>IFERROR(__xludf.DUMMYFUNCTION("""COMPUTED_VALUE"""),"BOGOTÁ")</f>
        <v>BOGOTÁ</v>
      </c>
      <c r="D10201" s="15" t="str">
        <f>IFERROR(__xludf.DUMMYFUNCTION("""COMPUTED_VALUE"""),"ENVIGADO")</f>
        <v>ENVIGADO</v>
      </c>
      <c r="E10201" s="15" t="str">
        <f>IFERROR(__xludf.DUMMYFUNCTION("""COMPUTED_VALUE"""),"RAMBLA")</f>
        <v>RAMBLA</v>
      </c>
      <c r="F10201" s="17" t="str">
        <f>IFERROR(__xludf.DUMMYFUNCTION("""COMPUTED_VALUE"""),"Calle 25B # 70B - 50 / Conjunto Gran reserva de Mallorca, Torre 3, Apto 1207")</f>
        <v>Calle 25B # 70B - 50 / Conjunto Gran reserva de Mallorca, Torre 3, Apto 1207</v>
      </c>
      <c r="G10201" s="15" t="str">
        <f>IFERROR(__xludf.DUMMYFUNCTION("""COMPUTED_VALUE"""),"Andrés Hamón Silva")</f>
        <v>Andrés Hamón Silva</v>
      </c>
      <c r="H10201" s="16">
        <f>IFERROR(__xludf.DUMMYFUNCTION("""COMPUTED_VALUE"""),18873.0)</f>
        <v>18873</v>
      </c>
      <c r="I10201" s="17"/>
      <c r="J10201" s="17"/>
      <c r="K10201" s="17"/>
      <c r="L10201" s="17">
        <f>IFERROR(__xludf.DUMMYFUNCTION("""COMPUTED_VALUE"""),3.014772992E9)</f>
        <v>3014772992</v>
      </c>
      <c r="M10201" s="17"/>
      <c r="N10201" s="17"/>
      <c r="O10201" s="17"/>
      <c r="P10201" s="17" t="b">
        <f>IFERROR(__xludf.DUMMYFUNCTION("""COMPUTED_VALUE"""),FALSE)</f>
        <v>0</v>
      </c>
      <c r="Q10201" s="20" t="str">
        <f>IFERROR(__xludf.DUMMYFUNCTION("""COMPUTED_VALUE"""),"")</f>
        <v/>
      </c>
      <c r="R10201" s="21" t="str">
        <f>IFERROR(__xludf.DUMMYFUNCTION("""COMPUTED_VALUE"""),"https://drive.google.com/file/d/1CZPzr5Gb4dYQKl23X0SBgeASKNjlXN4M/view?usp=drivesdk")</f>
        <v>https://drive.google.com/file/d/1CZPzr5Gb4dYQKl23X0SBgeASKNjlXN4M/view?usp=drivesdk</v>
      </c>
    </row>
    <row r="10202">
      <c r="A10202" s="15">
        <f>IFERROR(__xludf.DUMMYFUNCTION("""COMPUTED_VALUE"""),45289.0)</f>
        <v>45289</v>
      </c>
      <c r="B10202" s="16" t="str">
        <f>IFERROR(__xludf.DUMMYFUNCTION("""COMPUTED_VALUE"""),"JOSE ALFREDO RAMIREZ VERGARA ")</f>
        <v>JOSE ALFREDO RAMIREZ VERGARA </v>
      </c>
      <c r="C10202" s="15" t="str">
        <f>IFERROR(__xludf.DUMMYFUNCTION("""COMPUTED_VALUE"""),"BOGOTÁ")</f>
        <v>BOGOTÁ</v>
      </c>
      <c r="D10202" s="15" t="str">
        <f>IFERROR(__xludf.DUMMYFUNCTION("""COMPUTED_VALUE"""),"MEDELLÍN")</f>
        <v>MEDELLÍN</v>
      </c>
      <c r="E10202" s="15" t="str">
        <f>IFERROR(__xludf.DUMMYFUNCTION("""COMPUTED_VALUE"""),"AREPAS LA MARY")</f>
        <v>AREPAS LA MARY</v>
      </c>
      <c r="F10202" s="17" t="str">
        <f>IFERROR(__xludf.DUMMYFUNCTION("""COMPUTED_VALUE"""),"Cra. 69b #23c-36 Torre 3 Apto 804 / PANORAMA")</f>
        <v>Cra. 69b #23c-36 Torre 3 Apto 804 / PANORAMA</v>
      </c>
      <c r="G10202" s="15" t="str">
        <f>IFERROR(__xludf.DUMMYFUNCTION("""COMPUTED_VALUE"""),"GUILLERMO LIZARAZO")</f>
        <v>GUILLERMO LIZARAZO</v>
      </c>
      <c r="H10202" s="16">
        <f>IFERROR(__xludf.DUMMYFUNCTION("""COMPUTED_VALUE"""),18871.0)</f>
        <v>18871</v>
      </c>
      <c r="I10202" s="17"/>
      <c r="J10202" s="17"/>
      <c r="K10202" s="17"/>
      <c r="L10202" s="17">
        <f>IFERROR(__xludf.DUMMYFUNCTION("""COMPUTED_VALUE"""),3.123500818E9)</f>
        <v>3123500818</v>
      </c>
      <c r="M10202" s="17"/>
      <c r="N10202" s="17"/>
      <c r="O10202" s="17"/>
      <c r="P10202" s="17" t="b">
        <f>IFERROR(__xludf.DUMMYFUNCTION("""COMPUTED_VALUE"""),FALSE)</f>
        <v>0</v>
      </c>
      <c r="Q10202" s="20" t="str">
        <f>IFERROR(__xludf.DUMMYFUNCTION("""COMPUTED_VALUE"""),"")</f>
        <v/>
      </c>
      <c r="R10202" s="21" t="str">
        <f>IFERROR(__xludf.DUMMYFUNCTION("""COMPUTED_VALUE"""),"https://drive.google.com/file/d/1kXIPDQpP9H4k_ipMvgRGBVSHgzp92XUQ/view?usp=drivesdk")</f>
        <v>https://drive.google.com/file/d/1kXIPDQpP9H4k_ipMvgRGBVSHgzp92XUQ/view?usp=drivesdk</v>
      </c>
    </row>
    <row r="10203">
      <c r="A10203" s="15">
        <f>IFERROR(__xludf.DUMMYFUNCTION("""COMPUTED_VALUE"""),45289.0)</f>
        <v>45289</v>
      </c>
      <c r="B10203" s="16" t="str">
        <f>IFERROR(__xludf.DUMMYFUNCTION("""COMPUTED_VALUE"""),"JOSE ALFREDO RAMIREZ VERGARA ")</f>
        <v>JOSE ALFREDO RAMIREZ VERGARA </v>
      </c>
      <c r="C10203" s="15" t="str">
        <f>IFERROR(__xludf.DUMMYFUNCTION("""COMPUTED_VALUE"""),"BOGOTÁ")</f>
        <v>BOGOTÁ</v>
      </c>
      <c r="D10203" s="15" t="str">
        <f>IFERROR(__xludf.DUMMYFUNCTION("""COMPUTED_VALUE"""),"MEDELLÍN")</f>
        <v>MEDELLÍN</v>
      </c>
      <c r="E10203" s="15" t="str">
        <f>IFERROR(__xludf.DUMMYFUNCTION("""COMPUTED_VALUE"""),"AREPAS LA MARY")</f>
        <v>AREPAS LA MARY</v>
      </c>
      <c r="F10203" s="17" t="str">
        <f>IFERROR(__xludf.DUMMYFUNCTION("""COMPUTED_VALUE"""),"transversal 35 Bis número 29 39 sur / casa esquinera de tres pisos")</f>
        <v>transversal 35 Bis número 29 39 sur / casa esquinera de tres pisos</v>
      </c>
      <c r="G10203" s="15" t="str">
        <f>IFERROR(__xludf.DUMMYFUNCTION("""COMPUTED_VALUE"""),"ALCIRA GARCIA")</f>
        <v>ALCIRA GARCIA</v>
      </c>
      <c r="H10203" s="16">
        <f>IFERROR(__xludf.DUMMYFUNCTION("""COMPUTED_VALUE"""),18870.0)</f>
        <v>18870</v>
      </c>
      <c r="I10203" s="17"/>
      <c r="J10203" s="17"/>
      <c r="K10203" s="17"/>
      <c r="L10203" s="17">
        <f>IFERROR(__xludf.DUMMYFUNCTION("""COMPUTED_VALUE"""),3.10325047E9)</f>
        <v>3103250470</v>
      </c>
      <c r="M10203" s="17"/>
      <c r="N10203" s="17"/>
      <c r="O10203" s="17"/>
      <c r="P10203" s="17" t="b">
        <f>IFERROR(__xludf.DUMMYFUNCTION("""COMPUTED_VALUE"""),FALSE)</f>
        <v>0</v>
      </c>
      <c r="Q10203" s="20" t="str">
        <f>IFERROR(__xludf.DUMMYFUNCTION("""COMPUTED_VALUE"""),"")</f>
        <v/>
      </c>
      <c r="R10203" s="21" t="str">
        <f>IFERROR(__xludf.DUMMYFUNCTION("""COMPUTED_VALUE"""),"https://drive.google.com/file/d/1_RNHZlBFPTenTt80FCAkJZHMiYtO0KOw/view?usp=drivesdk")</f>
        <v>https://drive.google.com/file/d/1_RNHZlBFPTenTt80FCAkJZHMiYtO0KOw/view?usp=drivesdk</v>
      </c>
    </row>
    <row r="10204">
      <c r="A10204" s="15">
        <f>IFERROR(__xludf.DUMMYFUNCTION("""COMPUTED_VALUE"""),45289.0)</f>
        <v>45289</v>
      </c>
      <c r="B10204" s="16" t="str">
        <f>IFERROR(__xludf.DUMMYFUNCTION("""COMPUTED_VALUE"""),"JOSE ALFREDO RAMIREZ VERGARA ")</f>
        <v>JOSE ALFREDO RAMIREZ VERGARA </v>
      </c>
      <c r="C10204" s="15" t="str">
        <f>IFERROR(__xludf.DUMMYFUNCTION("""COMPUTED_VALUE"""),"BOGOTÁ")</f>
        <v>BOGOTÁ</v>
      </c>
      <c r="D10204" s="15" t="str">
        <f>IFERROR(__xludf.DUMMYFUNCTION("""COMPUTED_VALUE"""),"MEDELLÍN")</f>
        <v>MEDELLÍN</v>
      </c>
      <c r="E10204" s="15" t="str">
        <f>IFERROR(__xludf.DUMMYFUNCTION("""COMPUTED_VALUE"""),"Baby Chef")</f>
        <v>Baby Chef</v>
      </c>
      <c r="F10204" s="17" t="str">
        <f>IFERROR(__xludf.DUMMYFUNCTION("""COMPUTED_VALUE"""),"Calle 12 #71b-60 Casa 77 Conjunto Jardines de Alsacia Ciudadela Alsacia  bogota / . / .")</f>
        <v>Calle 12 #71b-60 Casa 77 Conjunto Jardines de Alsacia Ciudadela Alsacia  bogota / . / .</v>
      </c>
      <c r="G10204" s="15" t="str">
        <f>IFERROR(__xludf.DUMMYFUNCTION("""COMPUTED_VALUE"""),"Camila Burgos")</f>
        <v>Camila Burgos</v>
      </c>
      <c r="H10204" s="16">
        <f>IFERROR(__xludf.DUMMYFUNCTION("""COMPUTED_VALUE"""),18854.0)</f>
        <v>18854</v>
      </c>
      <c r="I10204" s="18">
        <f>IFERROR(__xludf.DUMMYFUNCTION("""COMPUTED_VALUE"""),8.0)</f>
        <v>8</v>
      </c>
      <c r="J10204" s="18">
        <f>IFERROR(__xludf.DUMMYFUNCTION("""COMPUTED_VALUE"""),21.0)</f>
        <v>21</v>
      </c>
      <c r="K10204" s="18">
        <f>IFERROR(__xludf.DUMMYFUNCTION("""COMPUTED_VALUE"""),23.0)</f>
        <v>23</v>
      </c>
      <c r="L10204" s="17">
        <f>IFERROR(__xludf.DUMMYFUNCTION("""COMPUTED_VALUE"""),3.04300421E9)</f>
        <v>3043004210</v>
      </c>
      <c r="M10204" s="17"/>
      <c r="N10204" s="17"/>
      <c r="O10204" s="17"/>
      <c r="P10204" s="17" t="b">
        <f>IFERROR(__xludf.DUMMYFUNCTION("""COMPUTED_VALUE"""),FALSE)</f>
        <v>0</v>
      </c>
      <c r="Q10204" s="20" t="str">
        <f>IFERROR(__xludf.DUMMYFUNCTION("""COMPUTED_VALUE"""),"")</f>
        <v/>
      </c>
      <c r="R10204" s="21" t="str">
        <f>IFERROR(__xludf.DUMMYFUNCTION("""COMPUTED_VALUE"""),"https://drive.google.com/file/d/1pu6qVm_9mtBgluViPOXQ26p8DTUwrPde/view?usp=drivesdk")</f>
        <v>https://drive.google.com/file/d/1pu6qVm_9mtBgluViPOXQ26p8DTUwrPde/view?usp=drivesdk</v>
      </c>
    </row>
    <row r="10205">
      <c r="A10205" s="15">
        <f>IFERROR(__xludf.DUMMYFUNCTION("""COMPUTED_VALUE"""),45289.0)</f>
        <v>45289</v>
      </c>
      <c r="B10205" s="16" t="str">
        <f>IFERROR(__xludf.DUMMYFUNCTION("""COMPUTED_VALUE"""),"JOSE ALFREDO RAMIREZ VERGARA ")</f>
        <v>JOSE ALFREDO RAMIREZ VERGARA </v>
      </c>
      <c r="C10205" s="15" t="str">
        <f>IFERROR(__xludf.DUMMYFUNCTION("""COMPUTED_VALUE"""),"BOGOTÁ")</f>
        <v>BOGOTÁ</v>
      </c>
      <c r="D10205" s="15" t="str">
        <f>IFERROR(__xludf.DUMMYFUNCTION("""COMPUTED_VALUE"""),"MEDELLÍN")</f>
        <v>MEDELLÍN</v>
      </c>
      <c r="E10205" s="15" t="str">
        <f>IFERROR(__xludf.DUMMYFUNCTION("""COMPUTED_VALUE"""),"Baby Chef")</f>
        <v>Baby Chef</v>
      </c>
      <c r="F10205" s="17" t="str">
        <f>IFERROR(__xludf.DUMMYFUNCTION("""COMPUTED_VALUE"""),"Cra 92a#76-78 casa Localidad Engativá Barrio santa rosita / . / .")</f>
        <v>Cra 92a#76-78 casa Localidad Engativá Barrio santa rosita / . / .</v>
      </c>
      <c r="G10205" s="15" t="str">
        <f>IFERROR(__xludf.DUMMYFUNCTION("""COMPUTED_VALUE"""),"Diana Nava")</f>
        <v>Diana Nava</v>
      </c>
      <c r="H10205" s="16">
        <f>IFERROR(__xludf.DUMMYFUNCTION("""COMPUTED_VALUE"""),18855.0)</f>
        <v>18855</v>
      </c>
      <c r="I10205" s="18">
        <f>IFERROR(__xludf.DUMMYFUNCTION("""COMPUTED_VALUE"""),5.0)</f>
        <v>5</v>
      </c>
      <c r="J10205" s="18">
        <f>IFERROR(__xludf.DUMMYFUNCTION("""COMPUTED_VALUE"""),13.0)</f>
        <v>13</v>
      </c>
      <c r="K10205" s="18">
        <f>IFERROR(__xludf.DUMMYFUNCTION("""COMPUTED_VALUE"""),20.0)</f>
        <v>20</v>
      </c>
      <c r="L10205" s="17">
        <f>IFERROR(__xludf.DUMMYFUNCTION("""COMPUTED_VALUE"""),3.134862436E9)</f>
        <v>3134862436</v>
      </c>
      <c r="M10205" s="17"/>
      <c r="N10205" s="17"/>
      <c r="O10205" s="17"/>
      <c r="P10205" s="17" t="b">
        <f>IFERROR(__xludf.DUMMYFUNCTION("""COMPUTED_VALUE"""),FALSE)</f>
        <v>0</v>
      </c>
      <c r="Q10205" s="20" t="str">
        <f>IFERROR(__xludf.DUMMYFUNCTION("""COMPUTED_VALUE"""),"")</f>
        <v/>
      </c>
      <c r="R10205" s="21" t="str">
        <f>IFERROR(__xludf.DUMMYFUNCTION("""COMPUTED_VALUE"""),"https://drive.google.com/file/d/12wxDJBuUzM1zjMLyPy8d_Ta_JMM_DpO9/view?usp=drivesdk")</f>
        <v>https://drive.google.com/file/d/12wxDJBuUzM1zjMLyPy8d_Ta_JMM_DpO9/view?usp=drivesdk</v>
      </c>
    </row>
    <row r="10206">
      <c r="A10206" s="15">
        <f>IFERROR(__xludf.DUMMYFUNCTION("""COMPUTED_VALUE"""),45289.0)</f>
        <v>45289</v>
      </c>
      <c r="B10206" s="16" t="str">
        <f>IFERROR(__xludf.DUMMYFUNCTION("""COMPUTED_VALUE"""),"JOSE ALFREDO RAMIREZ VERGARA ")</f>
        <v>JOSE ALFREDO RAMIREZ VERGARA </v>
      </c>
      <c r="C10206" s="15" t="str">
        <f>IFERROR(__xludf.DUMMYFUNCTION("""COMPUTED_VALUE"""),"BOGOTÁ")</f>
        <v>BOGOTÁ</v>
      </c>
      <c r="D10206" s="15" t="str">
        <f>IFERROR(__xludf.DUMMYFUNCTION("""COMPUTED_VALUE"""),"MEDELLÍN")</f>
        <v>MEDELLÍN</v>
      </c>
      <c r="E10206" s="15" t="str">
        <f>IFERROR(__xludf.DUMMYFUNCTION("""COMPUTED_VALUE"""),"Baby Chef")</f>
        <v>Baby Chef</v>
      </c>
      <c r="F10206" s="17" t="str">
        <f>IFERROR(__xludf.DUMMYFUNCTION("""COMPUTED_VALUE"""),"Diagonal 16B #104-23 int 9 apto 303 lote 2 primera etapa Centenario Fontibon Ciudad Bogota / . / .")</f>
        <v>Diagonal 16B #104-23 int 9 apto 303 lote 2 primera etapa Centenario Fontibon Ciudad Bogota / . / .</v>
      </c>
      <c r="G10206" s="15" t="str">
        <f>IFERROR(__xludf.DUMMYFUNCTION("""COMPUTED_VALUE"""),"Lina Jacquelyn Caicedo Velasco")</f>
        <v>Lina Jacquelyn Caicedo Velasco</v>
      </c>
      <c r="H10206" s="16">
        <f>IFERROR(__xludf.DUMMYFUNCTION("""COMPUTED_VALUE"""),18857.0)</f>
        <v>18857</v>
      </c>
      <c r="I10206" s="18">
        <f>IFERROR(__xludf.DUMMYFUNCTION("""COMPUTED_VALUE"""),9.0)</f>
        <v>9</v>
      </c>
      <c r="J10206" s="18">
        <f>IFERROR(__xludf.DUMMYFUNCTION("""COMPUTED_VALUE"""),20.0)</f>
        <v>20</v>
      </c>
      <c r="K10206" s="18">
        <f>IFERROR(__xludf.DUMMYFUNCTION("""COMPUTED_VALUE"""),40.0)</f>
        <v>40</v>
      </c>
      <c r="L10206" s="17">
        <f>IFERROR(__xludf.DUMMYFUNCTION("""COMPUTED_VALUE"""),3.108888253E9)</f>
        <v>3108888253</v>
      </c>
      <c r="M10206" s="17"/>
      <c r="N10206" s="17"/>
      <c r="O10206" s="17"/>
      <c r="P10206" s="17" t="b">
        <f>IFERROR(__xludf.DUMMYFUNCTION("""COMPUTED_VALUE"""),FALSE)</f>
        <v>0</v>
      </c>
      <c r="Q10206" s="20" t="str">
        <f>IFERROR(__xludf.DUMMYFUNCTION("""COMPUTED_VALUE"""),"")</f>
        <v/>
      </c>
      <c r="R10206" s="21" t="str">
        <f>IFERROR(__xludf.DUMMYFUNCTION("""COMPUTED_VALUE"""),"https://drive.google.com/file/d/1jfUUyxnQxBkaKalO0HxBDCk9VAfDsBCe/view?usp=drivesdk")</f>
        <v>https://drive.google.com/file/d/1jfUUyxnQxBkaKalO0HxBDCk9VAfDsBCe/view?usp=drivesdk</v>
      </c>
    </row>
    <row r="10207">
      <c r="A10207" s="15">
        <f>IFERROR(__xludf.DUMMYFUNCTION("""COMPUTED_VALUE"""),45289.0)</f>
        <v>45289</v>
      </c>
      <c r="B10207" s="16" t="str">
        <f>IFERROR(__xludf.DUMMYFUNCTION("""COMPUTED_VALUE"""),"JOSE ALFREDO RAMIREZ VERGARA ")</f>
        <v>JOSE ALFREDO RAMIREZ VERGARA </v>
      </c>
      <c r="C10207" s="15" t="str">
        <f>IFERROR(__xludf.DUMMYFUNCTION("""COMPUTED_VALUE"""),"CAJICÁ")</f>
        <v>CAJICÁ</v>
      </c>
      <c r="D10207" s="15" t="str">
        <f>IFERROR(__xludf.DUMMYFUNCTION("""COMPUTED_VALUE"""),"MEDELLÍN")</f>
        <v>MEDELLÍN</v>
      </c>
      <c r="E10207" s="15" t="str">
        <f>IFERROR(__xludf.DUMMYFUNCTION("""COMPUTED_VALUE"""),"Baby Chef")</f>
        <v>Baby Chef</v>
      </c>
      <c r="F10207" s="17" t="str">
        <f>IFERROR(__xludf.DUMMYFUNCTION("""COMPUTED_VALUE"""),"Calle 15#2-37e conjunto san jose casa1 Cajicá / . / .")</f>
        <v>Calle 15#2-37e conjunto san jose casa1 Cajicá / . / .</v>
      </c>
      <c r="G10207" s="15" t="str">
        <f>IFERROR(__xludf.DUMMYFUNCTION("""COMPUTED_VALUE"""),"Caty Mancera")</f>
        <v>Caty Mancera</v>
      </c>
      <c r="H10207" s="16">
        <f>IFERROR(__xludf.DUMMYFUNCTION("""COMPUTED_VALUE"""),18858.0)</f>
        <v>18858</v>
      </c>
      <c r="I10207" s="18">
        <f>IFERROR(__xludf.DUMMYFUNCTION("""COMPUTED_VALUE"""),7.0)</f>
        <v>7</v>
      </c>
      <c r="J10207" s="18">
        <f>IFERROR(__xludf.DUMMYFUNCTION("""COMPUTED_VALUE"""),22.0)</f>
        <v>22</v>
      </c>
      <c r="K10207" s="18">
        <f>IFERROR(__xludf.DUMMYFUNCTION("""COMPUTED_VALUE"""),37.0)</f>
        <v>37</v>
      </c>
      <c r="L10207" s="17">
        <f>IFERROR(__xludf.DUMMYFUNCTION("""COMPUTED_VALUE"""),3.04604446E9)</f>
        <v>3046044460</v>
      </c>
      <c r="M10207" s="17"/>
      <c r="N10207" s="17"/>
      <c r="O10207" s="17"/>
      <c r="P10207" s="17" t="b">
        <f>IFERROR(__xludf.DUMMYFUNCTION("""COMPUTED_VALUE"""),FALSE)</f>
        <v>0</v>
      </c>
      <c r="Q10207" s="20" t="str">
        <f>IFERROR(__xludf.DUMMYFUNCTION("""COMPUTED_VALUE"""),"")</f>
        <v/>
      </c>
      <c r="R10207" s="21" t="str">
        <f>IFERROR(__xludf.DUMMYFUNCTION("""COMPUTED_VALUE"""),"https://drive.google.com/file/d/1rOyvDCHcEYjzd7mt7OCxezDjoGip0BXC/view?usp=drivesdk")</f>
        <v>https://drive.google.com/file/d/1rOyvDCHcEYjzd7mt7OCxezDjoGip0BXC/view?usp=drivesdk</v>
      </c>
    </row>
    <row r="10208">
      <c r="A10208" s="17" t="str">
        <f>IFERROR(__xludf.DUMMYFUNCTION("""COMPUTED_VALUE"""),"")</f>
        <v/>
      </c>
      <c r="B10208" s="17" t="str">
        <f>IFERROR(__xludf.DUMMYFUNCTION("""COMPUTED_VALUE"""),"")</f>
        <v/>
      </c>
      <c r="C10208" s="17" t="str">
        <f>IFERROR(__xludf.DUMMYFUNCTION("""COMPUTED_VALUE"""),"")</f>
        <v/>
      </c>
      <c r="D10208" s="17" t="str">
        <f>IFERROR(__xludf.DUMMYFUNCTION("""COMPUTED_VALUE"""),"")</f>
        <v/>
      </c>
      <c r="E10208" s="17" t="str">
        <f>IFERROR(__xludf.DUMMYFUNCTION("""COMPUTED_VALUE"""),"")</f>
        <v/>
      </c>
      <c r="F10208" s="17" t="str">
        <f>IFERROR(__xludf.DUMMYFUNCTION("""COMPUTED_VALUE"""),"")</f>
        <v/>
      </c>
      <c r="G10208" s="17" t="str">
        <f>IFERROR(__xludf.DUMMYFUNCTION("""COMPUTED_VALUE"""),"")</f>
        <v/>
      </c>
      <c r="H10208" s="17" t="str">
        <f>IFERROR(__xludf.DUMMYFUNCTION("""COMPUTED_VALUE"""),"")</f>
        <v/>
      </c>
      <c r="I10208" s="17" t="str">
        <f>IFERROR(__xludf.DUMMYFUNCTION("""COMPUTED_VALUE"""),"")</f>
        <v/>
      </c>
      <c r="J10208" s="17" t="str">
        <f>IFERROR(__xludf.DUMMYFUNCTION("""COMPUTED_VALUE"""),"")</f>
        <v/>
      </c>
      <c r="K10208" s="17" t="str">
        <f>IFERROR(__xludf.DUMMYFUNCTION("""COMPUTED_VALUE"""),"")</f>
        <v/>
      </c>
      <c r="L10208" s="17" t="str">
        <f>IFERROR(__xludf.DUMMYFUNCTION("""COMPUTED_VALUE"""),"")</f>
        <v/>
      </c>
      <c r="M10208" s="17" t="str">
        <f>IFERROR(__xludf.DUMMYFUNCTION("""COMPUTED_VALUE"""),"")</f>
        <v/>
      </c>
      <c r="N10208" s="17" t="str">
        <f>IFERROR(__xludf.DUMMYFUNCTION("""COMPUTED_VALUE"""),"")</f>
        <v/>
      </c>
      <c r="O10208" s="17" t="str">
        <f>IFERROR(__xludf.DUMMYFUNCTION("""COMPUTED_VALUE"""),"")</f>
        <v/>
      </c>
      <c r="P10208" s="17" t="str">
        <f>IFERROR(__xludf.DUMMYFUNCTION("""COMPUTED_VALUE"""),"")</f>
        <v/>
      </c>
      <c r="Q10208" s="17" t="str">
        <f>IFERROR(__xludf.DUMMYFUNCTION("""COMPUTED_VALUE"""),"")</f>
        <v/>
      </c>
      <c r="R10208" s="17" t="str">
        <f>IFERROR(__xludf.DUMMYFUNCTION("""COMPUTED_VALUE"""),"")</f>
        <v/>
      </c>
    </row>
    <row r="10209">
      <c r="A10209" s="15">
        <f>IFERROR(__xludf.DUMMYFUNCTION("""COMPUTED_VALUE"""),45289.0)</f>
        <v>45289</v>
      </c>
      <c r="B10209" s="16" t="str">
        <f>IFERROR(__xludf.DUMMYFUNCTION("""COMPUTED_VALUE"""),"Kevin Andrés puerta Jaramillo")</f>
        <v>Kevin Andrés puerta Jaramillo</v>
      </c>
      <c r="C10209" s="15" t="str">
        <f>IFERROR(__xludf.DUMMYFUNCTION("""COMPUTED_VALUE"""),"MEDELLÍN")</f>
        <v>MEDELLÍN</v>
      </c>
      <c r="D10209" s="15" t="str">
        <f>IFERROR(__xludf.DUMMYFUNCTION("""COMPUTED_VALUE"""),"BOGOTÁ")</f>
        <v>BOGOTÁ</v>
      </c>
      <c r="E10209" s="15" t="str">
        <f>IFERROR(__xludf.DUMMYFUNCTION("""COMPUTED_VALUE"""),"FamiliaReal S.A.S")</f>
        <v>FamiliaReal S.A.S</v>
      </c>
      <c r="F10209" s="17" t="str">
        <f>IFERROR(__xludf.DUMMYFUNCTION("""COMPUTED_VALUE"""),"Carrera 41 # 57 sur 60 Urbanización Laurel apto 1205 / Urbanización Laurel apto 1205")</f>
        <v>Carrera 41 # 57 sur 60 Urbanización Laurel apto 1205 / Urbanización Laurel apto 1205</v>
      </c>
      <c r="G10209" s="15" t="str">
        <f>IFERROR(__xludf.DUMMYFUNCTION("""COMPUTED_VALUE"""),"Alejandra Bastidas")</f>
        <v>Alejandra Bastidas</v>
      </c>
      <c r="H10209" s="16">
        <f>IFERROR(__xludf.DUMMYFUNCTION("""COMPUTED_VALUE"""),18847.0)</f>
        <v>18847</v>
      </c>
      <c r="I10209" s="17"/>
      <c r="J10209" s="17"/>
      <c r="K10209" s="17"/>
      <c r="L10209" s="17">
        <f>IFERROR(__xludf.DUMMYFUNCTION("""COMPUTED_VALUE"""),3.107761095E9)</f>
        <v>3107761095</v>
      </c>
      <c r="M10209" s="17"/>
      <c r="N10209" s="17"/>
      <c r="O10209" s="17"/>
      <c r="P10209" s="17" t="b">
        <f>IFERROR(__xludf.DUMMYFUNCTION("""COMPUTED_VALUE"""),FALSE)</f>
        <v>0</v>
      </c>
      <c r="Q10209" s="20" t="str">
        <f>IFERROR(__xludf.DUMMYFUNCTION("""COMPUTED_VALUE"""),"")</f>
        <v/>
      </c>
      <c r="R10209" s="21" t="str">
        <f>IFERROR(__xludf.DUMMYFUNCTION("""COMPUTED_VALUE"""),"https://drive.google.com/file/d/1gpGOm4Rl53G34N60dxzaBEmNf08HKMO1/view?usp=drivesdk")</f>
        <v>https://drive.google.com/file/d/1gpGOm4Rl53G34N60dxzaBEmNf08HKMO1/view?usp=drivesdk</v>
      </c>
    </row>
    <row r="10210">
      <c r="A10210" s="15">
        <f>IFERROR(__xludf.DUMMYFUNCTION("""COMPUTED_VALUE"""),45289.0)</f>
        <v>45289</v>
      </c>
      <c r="B10210" s="16" t="str">
        <f>IFERROR(__xludf.DUMMYFUNCTION("""COMPUTED_VALUE"""),"Kevin Andrés puerta Jaramillo")</f>
        <v>Kevin Andrés puerta Jaramillo</v>
      </c>
      <c r="C10210" s="15" t="str">
        <f>IFERROR(__xludf.DUMMYFUNCTION("""COMPUTED_VALUE"""),"MEDELLÍN")</f>
        <v>MEDELLÍN</v>
      </c>
      <c r="D10210" s="15" t="str">
        <f>IFERROR(__xludf.DUMMYFUNCTION("""COMPUTED_VALUE"""),"BOGOTÁ")</f>
        <v>BOGOTÁ</v>
      </c>
      <c r="E10210" s="15" t="str">
        <f>IFERROR(__xludf.DUMMYFUNCTION("""COMPUTED_VALUE"""),"FamiliaReal S.A.S")</f>
        <v>FamiliaReal S.A.S</v>
      </c>
      <c r="F10210" s="17" t="str">
        <f>IFERROR(__xludf.DUMMYFUNCTION("""COMPUTED_VALUE"""),"Carrera 82 # 33AA 48 apto 201 edificio la Castellana / Barrio Laureles. Apto 201- preguntar por Natalia Castro.")</f>
        <v>Carrera 82 # 33AA 48 apto 201 edificio la Castellana / Barrio Laureles. Apto 201- preguntar por Natalia Castro.</v>
      </c>
      <c r="G10210" s="15" t="str">
        <f>IFERROR(__xludf.DUMMYFUNCTION("""COMPUTED_VALUE"""),"Liliana Marcela Padierna Gutiérrez")</f>
        <v>Liliana Marcela Padierna Gutiérrez</v>
      </c>
      <c r="H10210" s="16">
        <f>IFERROR(__xludf.DUMMYFUNCTION("""COMPUTED_VALUE"""),18846.0)</f>
        <v>18846</v>
      </c>
      <c r="I10210" s="17"/>
      <c r="J10210" s="17"/>
      <c r="K10210" s="17"/>
      <c r="L10210" s="17">
        <f>IFERROR(__xludf.DUMMYFUNCTION("""COMPUTED_VALUE"""),3.008483315E9)</f>
        <v>3008483315</v>
      </c>
      <c r="M10210" s="17"/>
      <c r="N10210" s="17"/>
      <c r="O10210" s="17"/>
      <c r="P10210" s="17" t="b">
        <f>IFERROR(__xludf.DUMMYFUNCTION("""COMPUTED_VALUE"""),FALSE)</f>
        <v>0</v>
      </c>
      <c r="Q10210" s="20" t="str">
        <f>IFERROR(__xludf.DUMMYFUNCTION("""COMPUTED_VALUE"""),"")</f>
        <v/>
      </c>
      <c r="R10210" s="21" t="str">
        <f>IFERROR(__xludf.DUMMYFUNCTION("""COMPUTED_VALUE"""),"https://drive.google.com/file/d/1NyxLLvWpi1Ao54Ay9tYylMTGPAcXN1I7/view?usp=drivesdk")</f>
        <v>https://drive.google.com/file/d/1NyxLLvWpi1Ao54Ay9tYylMTGPAcXN1I7/view?usp=drivesdk</v>
      </c>
    </row>
    <row r="10211">
      <c r="A10211" s="15">
        <f>IFERROR(__xludf.DUMMYFUNCTION("""COMPUTED_VALUE"""),45289.0)</f>
        <v>45289</v>
      </c>
      <c r="B10211" s="16" t="str">
        <f>IFERROR(__xludf.DUMMYFUNCTION("""COMPUTED_VALUE"""),"Kevin Andrés puerta Jaramillo")</f>
        <v>Kevin Andrés puerta Jaramillo</v>
      </c>
      <c r="C10211" s="15" t="str">
        <f>IFERROR(__xludf.DUMMYFUNCTION("""COMPUTED_VALUE"""),"MEDELLÍN")</f>
        <v>MEDELLÍN</v>
      </c>
      <c r="D10211" s="15" t="str">
        <f>IFERROR(__xludf.DUMMYFUNCTION("""COMPUTED_VALUE"""),"BOGOTÁ")</f>
        <v>BOGOTÁ</v>
      </c>
      <c r="E10211" s="15" t="str">
        <f>IFERROR(__xludf.DUMMYFUNCTION("""COMPUTED_VALUE"""),"Top Spun")</f>
        <v>Top Spun</v>
      </c>
      <c r="F10211" s="17" t="str">
        <f>IFERROR(__xludf.DUMMYFUNCTION("""COMPUTED_VALUE"""),"Calle 2 Sur 18 191 / Edificio Chapelet apto 2101 / Medellín Antioquia")</f>
        <v>Calle 2 Sur 18 191 / Edificio Chapelet apto 2101 / Medellín Antioquia</v>
      </c>
      <c r="G10211" s="15" t="str">
        <f>IFERROR(__xludf.DUMMYFUNCTION("""COMPUTED_VALUE"""),"Ana Lopez")</f>
        <v>Ana Lopez</v>
      </c>
      <c r="H10211" s="16">
        <f>IFERROR(__xludf.DUMMYFUNCTION("""COMPUTED_VALUE"""),18866.0)</f>
        <v>18866</v>
      </c>
      <c r="I10211" s="18">
        <f>IFERROR(__xludf.DUMMYFUNCTION("""COMPUTED_VALUE"""),10.0)</f>
        <v>10</v>
      </c>
      <c r="J10211" s="18">
        <f>IFERROR(__xludf.DUMMYFUNCTION("""COMPUTED_VALUE"""),20.0)</f>
        <v>20</v>
      </c>
      <c r="K10211" s="18">
        <f>IFERROR(__xludf.DUMMYFUNCTION("""COMPUTED_VALUE"""),40.0)</f>
        <v>40</v>
      </c>
      <c r="L10211" s="17">
        <f>IFERROR(__xludf.DUMMYFUNCTION("""COMPUTED_VALUE"""),3.13381661E9)</f>
        <v>3133816610</v>
      </c>
      <c r="M10211" s="17"/>
      <c r="N10211" s="17"/>
      <c r="O10211" s="17"/>
      <c r="P10211" s="17" t="b">
        <f>IFERROR(__xludf.DUMMYFUNCTION("""COMPUTED_VALUE"""),FALSE)</f>
        <v>0</v>
      </c>
      <c r="Q10211" s="20" t="str">
        <f>IFERROR(__xludf.DUMMYFUNCTION("""COMPUTED_VALUE"""),"")</f>
        <v/>
      </c>
      <c r="R10211" s="21" t="str">
        <f>IFERROR(__xludf.DUMMYFUNCTION("""COMPUTED_VALUE"""),"https://drive.google.com/file/d/1n73mi0HwaQYfQqou_7j645BBEpGdpJlf/view?usp=drivesdk")</f>
        <v>https://drive.google.com/file/d/1n73mi0HwaQYfQqou_7j645BBEpGdpJlf/view?usp=drivesdk</v>
      </c>
    </row>
    <row r="10212">
      <c r="A10212" s="15">
        <f>IFERROR(__xludf.DUMMYFUNCTION("""COMPUTED_VALUE"""),45289.0)</f>
        <v>45289</v>
      </c>
      <c r="B10212" s="16" t="str">
        <f>IFERROR(__xludf.DUMMYFUNCTION("""COMPUTED_VALUE"""),"Kevin Andrés puerta Jaramillo")</f>
        <v>Kevin Andrés puerta Jaramillo</v>
      </c>
      <c r="C10212" s="15" t="str">
        <f>IFERROR(__xludf.DUMMYFUNCTION("""COMPUTED_VALUE"""),"MEDELLÍN")</f>
        <v>MEDELLÍN</v>
      </c>
      <c r="D10212" s="15" t="str">
        <f>IFERROR(__xludf.DUMMYFUNCTION("""COMPUTED_VALUE"""),"BOGOTÁ")</f>
        <v>BOGOTÁ</v>
      </c>
      <c r="E10212" s="15" t="str">
        <f>IFERROR(__xludf.DUMMYFUNCTION("""COMPUTED_VALUE"""),"Top Spun")</f>
        <v>Top Spun</v>
      </c>
      <c r="F10212" s="17" t="str">
        <f>IFERROR(__xludf.DUMMYFUNCTION("""COMPUTED_VALUE"""),"cra 27da 34dd sur 85   / Palo alto apt 707 / cerca a colegio cumbres Envigado Antioquia")</f>
        <v>cra 27da 34dd sur 85   / Palo alto apt 707 / cerca a colegio cumbres Envigado Antioquia</v>
      </c>
      <c r="G10212" s="15" t="str">
        <f>IFERROR(__xludf.DUMMYFUNCTION("""COMPUTED_VALUE"""),"Sandra vega Posada")</f>
        <v>Sandra vega Posada</v>
      </c>
      <c r="H10212" s="16">
        <f>IFERROR(__xludf.DUMMYFUNCTION("""COMPUTED_VALUE"""),18863.0)</f>
        <v>18863</v>
      </c>
      <c r="I10212" s="18">
        <f>IFERROR(__xludf.DUMMYFUNCTION("""COMPUTED_VALUE"""),10.0)</f>
        <v>10</v>
      </c>
      <c r="J10212" s="18">
        <f>IFERROR(__xludf.DUMMYFUNCTION("""COMPUTED_VALUE"""),20.0)</f>
        <v>20</v>
      </c>
      <c r="K10212" s="18">
        <f>IFERROR(__xludf.DUMMYFUNCTION("""COMPUTED_VALUE"""),40.0)</f>
        <v>40</v>
      </c>
      <c r="L10212" s="17">
        <f>IFERROR(__xludf.DUMMYFUNCTION("""COMPUTED_VALUE"""),3.188647879E9)</f>
        <v>3188647879</v>
      </c>
      <c r="M10212" s="17"/>
      <c r="N10212" s="17"/>
      <c r="O10212" s="17"/>
      <c r="P10212" s="17" t="b">
        <f>IFERROR(__xludf.DUMMYFUNCTION("""COMPUTED_VALUE"""),FALSE)</f>
        <v>0</v>
      </c>
      <c r="Q10212" s="20" t="str">
        <f>IFERROR(__xludf.DUMMYFUNCTION("""COMPUTED_VALUE"""),"")</f>
        <v/>
      </c>
      <c r="R10212" s="22" t="str">
        <f>IFERROR(__xludf.DUMMYFUNCTION("""COMPUTED_VALUE"""),"")</f>
        <v/>
      </c>
    </row>
    <row r="10213">
      <c r="A10213" s="15">
        <f>IFERROR(__xludf.DUMMYFUNCTION("""COMPUTED_VALUE"""),45289.0)</f>
        <v>45289</v>
      </c>
      <c r="B10213" s="16" t="str">
        <f>IFERROR(__xludf.DUMMYFUNCTION("""COMPUTED_VALUE"""),"Kevin Andrés puerta Jaramillo")</f>
        <v>Kevin Andrés puerta Jaramillo</v>
      </c>
      <c r="C10213" s="15" t="str">
        <f>IFERROR(__xludf.DUMMYFUNCTION("""COMPUTED_VALUE"""),"MEDELLÍN")</f>
        <v>MEDELLÍN</v>
      </c>
      <c r="D10213" s="15" t="str">
        <f>IFERROR(__xludf.DUMMYFUNCTION("""COMPUTED_VALUE"""),"BOGOTÁ")</f>
        <v>BOGOTÁ</v>
      </c>
      <c r="E10213" s="15" t="str">
        <f>IFERROR(__xludf.DUMMYFUNCTION("""COMPUTED_VALUE"""),"Top Spun")</f>
        <v>Top Spun</v>
      </c>
      <c r="F10213" s="17" t="str">
        <f>IFERROR(__xludf.DUMMYFUNCTION("""COMPUTED_VALUE"""),"cra 27da 34dd sur 85 /  Palo alto apt 707  / cerca a colegio cumbres")</f>
        <v>cra 27da 34dd sur 85 /  Palo alto apt 707  / cerca a colegio cumbres</v>
      </c>
      <c r="G10213" s="15" t="str">
        <f>IFERROR(__xludf.DUMMYFUNCTION("""COMPUTED_VALUE"""),"Sandra vega Posada")</f>
        <v>Sandra vega Posada</v>
      </c>
      <c r="H10213" s="16">
        <f>IFERROR(__xludf.DUMMYFUNCTION("""COMPUTED_VALUE"""),18867.0)</f>
        <v>18867</v>
      </c>
      <c r="I10213" s="18">
        <f>IFERROR(__xludf.DUMMYFUNCTION("""COMPUTED_VALUE"""),10.0)</f>
        <v>10</v>
      </c>
      <c r="J10213" s="18">
        <f>IFERROR(__xludf.DUMMYFUNCTION("""COMPUTED_VALUE"""),20.0)</f>
        <v>20</v>
      </c>
      <c r="K10213" s="18">
        <f>IFERROR(__xludf.DUMMYFUNCTION("""COMPUTED_VALUE"""),40.0)</f>
        <v>40</v>
      </c>
      <c r="L10213" s="17">
        <f>IFERROR(__xludf.DUMMYFUNCTION("""COMPUTED_VALUE"""),3.188647879E9)</f>
        <v>3188647879</v>
      </c>
      <c r="M10213" s="17"/>
      <c r="N10213" s="17"/>
      <c r="O10213" s="17"/>
      <c r="P10213" s="17" t="b">
        <f>IFERROR(__xludf.DUMMYFUNCTION("""COMPUTED_VALUE"""),FALSE)</f>
        <v>0</v>
      </c>
      <c r="Q10213" s="20" t="str">
        <f>IFERROR(__xludf.DUMMYFUNCTION("""COMPUTED_VALUE"""),"")</f>
        <v/>
      </c>
      <c r="R10213" s="21" t="str">
        <f>IFERROR(__xludf.DUMMYFUNCTION("""COMPUTED_VALUE"""),"https://drive.google.com/file/d/1_ICapgqFP0jKzmerxLohk13Wug239ZjQ/view?usp=drivesdk")</f>
        <v>https://drive.google.com/file/d/1_ICapgqFP0jKzmerxLohk13Wug239ZjQ/view?usp=drivesdk</v>
      </c>
    </row>
    <row r="10214">
      <c r="A10214" s="17" t="str">
        <f>IFERROR(__xludf.DUMMYFUNCTION("""COMPUTED_VALUE"""),"")</f>
        <v/>
      </c>
      <c r="B10214" s="17" t="str">
        <f>IFERROR(__xludf.DUMMYFUNCTION("""COMPUTED_VALUE"""),"")</f>
        <v/>
      </c>
      <c r="C10214" s="17" t="str">
        <f>IFERROR(__xludf.DUMMYFUNCTION("""COMPUTED_VALUE"""),"")</f>
        <v/>
      </c>
      <c r="D10214" s="17" t="str">
        <f>IFERROR(__xludf.DUMMYFUNCTION("""COMPUTED_VALUE"""),"")</f>
        <v/>
      </c>
      <c r="E10214" s="17" t="str">
        <f>IFERROR(__xludf.DUMMYFUNCTION("""COMPUTED_VALUE"""),"")</f>
        <v/>
      </c>
      <c r="F10214" s="17" t="str">
        <f>IFERROR(__xludf.DUMMYFUNCTION("""COMPUTED_VALUE"""),"")</f>
        <v/>
      </c>
      <c r="G10214" s="17" t="str">
        <f>IFERROR(__xludf.DUMMYFUNCTION("""COMPUTED_VALUE"""),"")</f>
        <v/>
      </c>
      <c r="H10214" s="17" t="str">
        <f>IFERROR(__xludf.DUMMYFUNCTION("""COMPUTED_VALUE"""),"")</f>
        <v/>
      </c>
      <c r="I10214" s="17" t="str">
        <f>IFERROR(__xludf.DUMMYFUNCTION("""COMPUTED_VALUE"""),"")</f>
        <v/>
      </c>
      <c r="J10214" s="17" t="str">
        <f>IFERROR(__xludf.DUMMYFUNCTION("""COMPUTED_VALUE"""),"")</f>
        <v/>
      </c>
      <c r="K10214" s="17" t="str">
        <f>IFERROR(__xludf.DUMMYFUNCTION("""COMPUTED_VALUE"""),"")</f>
        <v/>
      </c>
      <c r="L10214" s="17" t="str">
        <f>IFERROR(__xludf.DUMMYFUNCTION("""COMPUTED_VALUE"""),"")</f>
        <v/>
      </c>
      <c r="M10214" s="17" t="str">
        <f>IFERROR(__xludf.DUMMYFUNCTION("""COMPUTED_VALUE"""),"")</f>
        <v/>
      </c>
      <c r="N10214" s="17" t="str">
        <f>IFERROR(__xludf.DUMMYFUNCTION("""COMPUTED_VALUE"""),"")</f>
        <v/>
      </c>
      <c r="O10214" s="17" t="str">
        <f>IFERROR(__xludf.DUMMYFUNCTION("""COMPUTED_VALUE"""),"")</f>
        <v/>
      </c>
      <c r="P10214" s="17" t="str">
        <f>IFERROR(__xludf.DUMMYFUNCTION("""COMPUTED_VALUE"""),"")</f>
        <v/>
      </c>
      <c r="Q10214" s="17" t="str">
        <f>IFERROR(__xludf.DUMMYFUNCTION("""COMPUTED_VALUE"""),"")</f>
        <v/>
      </c>
      <c r="R10214" s="17" t="str">
        <f>IFERROR(__xludf.DUMMYFUNCTION("""COMPUTED_VALUE"""),"")</f>
        <v/>
      </c>
    </row>
    <row r="10215">
      <c r="A10215" s="15">
        <f>IFERROR(__xludf.DUMMYFUNCTION("""COMPUTED_VALUE"""),45289.0)</f>
        <v>45289</v>
      </c>
      <c r="B10215" s="16" t="str">
        <f>IFERROR(__xludf.DUMMYFUNCTION("""COMPUTED_VALUE"""),"Orlando Urdaneta Rincon ")</f>
        <v>Orlando Urdaneta Rincon </v>
      </c>
      <c r="C10215" s="15" t="str">
        <f>IFERROR(__xludf.DUMMYFUNCTION("""COMPUTED_VALUE"""),"SANTA MARTA")</f>
        <v>SANTA MARTA</v>
      </c>
      <c r="D10215" s="15" t="str">
        <f>IFERROR(__xludf.DUMMYFUNCTION("""COMPUTED_VALUE"""),"BOGOTÁ")</f>
        <v>BOGOTÁ</v>
      </c>
      <c r="E10215" s="15" t="str">
        <f>IFERROR(__xludf.DUMMYFUNCTION("""COMPUTED_VALUE"""),"Instinto alimento vital")</f>
        <v>Instinto alimento vital</v>
      </c>
      <c r="F10215" s="17" t="str">
        <f>IFERROR(__xludf.DUMMYFUNCTION("""COMPUTED_VALUE"""),"CL 74 #1-169 / APTO 208 SECTOR LAGOS DEL DULCINO")</f>
        <v>CL 74 #1-169 / APTO 208 SECTOR LAGOS DEL DULCINO</v>
      </c>
      <c r="G10215" s="15" t="str">
        <f>IFERROR(__xludf.DUMMYFUNCTION("""COMPUTED_VALUE"""),"MARIA FERNANDA PEÑA GOMEZ")</f>
        <v>MARIA FERNANDA PEÑA GOMEZ</v>
      </c>
      <c r="H10215" s="16">
        <f>IFERROR(__xludf.DUMMYFUNCTION("""COMPUTED_VALUE"""),18826.0)</f>
        <v>18826</v>
      </c>
      <c r="I10215" s="17"/>
      <c r="J10215" s="17"/>
      <c r="K10215" s="17"/>
      <c r="L10215" s="17">
        <f>IFERROR(__xludf.DUMMYFUNCTION("""COMPUTED_VALUE"""),3.132648497E9)</f>
        <v>3132648497</v>
      </c>
      <c r="M10215" s="17"/>
      <c r="N10215" s="17"/>
      <c r="O10215" s="17"/>
      <c r="P10215" s="17" t="b">
        <f>IFERROR(__xludf.DUMMYFUNCTION("""COMPUTED_VALUE"""),FALSE)</f>
        <v>0</v>
      </c>
      <c r="Q10215" s="20" t="str">
        <f>IFERROR(__xludf.DUMMYFUNCTION("""COMPUTED_VALUE"""),"")</f>
        <v/>
      </c>
      <c r="R10215" s="21" t="str">
        <f>IFERROR(__xludf.DUMMYFUNCTION("""COMPUTED_VALUE"""),"https://drive.google.com/file/d/1hjPNWDd5-zk96LhsRzjZ62lQ-tb1uWuX/view?usp=drivesdk")</f>
        <v>https://drive.google.com/file/d/1hjPNWDd5-zk96LhsRzjZ62lQ-tb1uWuX/view?usp=drivesdk</v>
      </c>
    </row>
    <row r="10216">
      <c r="A10216" s="15">
        <f>IFERROR(__xludf.DUMMYFUNCTION("""COMPUTED_VALUE"""),45289.0)</f>
        <v>45289</v>
      </c>
      <c r="B10216" s="16" t="str">
        <f>IFERROR(__xludf.DUMMYFUNCTION("""COMPUTED_VALUE"""),"Orlando Urdaneta Rincon ")</f>
        <v>Orlando Urdaneta Rincon </v>
      </c>
      <c r="C10216" s="15" t="str">
        <f>IFERROR(__xludf.DUMMYFUNCTION("""COMPUTED_VALUE"""),"SANTA MARTA")</f>
        <v>SANTA MARTA</v>
      </c>
      <c r="D10216" s="15" t="str">
        <f>IFERROR(__xludf.DUMMYFUNCTION("""COMPUTED_VALUE"""),"BOGOTÁ")</f>
        <v>BOGOTÁ</v>
      </c>
      <c r="E10216" s="15" t="str">
        <f>IFERROR(__xludf.DUMMYFUNCTION("""COMPUTED_VALUE"""),"Instinto alimento vital")</f>
        <v>Instinto alimento vital</v>
      </c>
      <c r="F10216" s="17" t="str">
        <f>IFERROR(__xludf.DUMMYFUNCTION("""COMPUTED_VALUE"""),"CR 2 # 16-28 / CASA 10")</f>
        <v>CR 2 # 16-28 / CASA 10</v>
      </c>
      <c r="G10216" s="15" t="str">
        <f>IFERROR(__xludf.DUMMYFUNCTION("""COMPUTED_VALUE"""),"LILIANA DDEL CARMEN RODRIGUEZ ACEVEDO")</f>
        <v>LILIANA DDEL CARMEN RODRIGUEZ ACEVEDO</v>
      </c>
      <c r="H10216" s="16">
        <f>IFERROR(__xludf.DUMMYFUNCTION("""COMPUTED_VALUE"""),18733.0)</f>
        <v>18733</v>
      </c>
      <c r="I10216" s="17"/>
      <c r="J10216" s="17"/>
      <c r="K10216" s="17"/>
      <c r="L10216" s="17">
        <f>IFERROR(__xludf.DUMMYFUNCTION("""COMPUTED_VALUE"""),3.008165296E9)</f>
        <v>3008165296</v>
      </c>
      <c r="M10216" s="17"/>
      <c r="N10216" s="17"/>
      <c r="O10216" s="17"/>
      <c r="P10216" s="17" t="b">
        <f>IFERROR(__xludf.DUMMYFUNCTION("""COMPUTED_VALUE"""),FALSE)</f>
        <v>0</v>
      </c>
      <c r="Q10216" s="20" t="str">
        <f>IFERROR(__xludf.DUMMYFUNCTION("""COMPUTED_VALUE"""),"")</f>
        <v/>
      </c>
      <c r="R10216" s="21" t="str">
        <f>IFERROR(__xludf.DUMMYFUNCTION("""COMPUTED_VALUE"""),"https://drive.google.com/file/d/1dtZyekgF74Oe6i-TkaDYaiyhP34xz_8K/view?usp=drivesdk")</f>
        <v>https://drive.google.com/file/d/1dtZyekgF74Oe6i-TkaDYaiyhP34xz_8K/view?usp=drivesdk</v>
      </c>
    </row>
    <row r="10217">
      <c r="A10217" s="15">
        <f>IFERROR(__xludf.DUMMYFUNCTION("""COMPUTED_VALUE"""),45289.0)</f>
        <v>45289</v>
      </c>
      <c r="B10217" s="16" t="str">
        <f>IFERROR(__xludf.DUMMYFUNCTION("""COMPUTED_VALUE"""),"Orlando Urdaneta Rincon ")</f>
        <v>Orlando Urdaneta Rincon </v>
      </c>
      <c r="C10217" s="15" t="str">
        <f>IFERROR(__xludf.DUMMYFUNCTION("""COMPUTED_VALUE"""),"SANTA MARTA")</f>
        <v>SANTA MARTA</v>
      </c>
      <c r="D10217" s="15" t="str">
        <f>IFERROR(__xludf.DUMMYFUNCTION("""COMPUTED_VALUE"""),"BOGOTÁ")</f>
        <v>BOGOTÁ</v>
      </c>
      <c r="E10217" s="15" t="str">
        <f>IFERROR(__xludf.DUMMYFUNCTION("""COMPUTED_VALUE"""),"Instinto alimento vital")</f>
        <v>Instinto alimento vital</v>
      </c>
      <c r="F10217" s="17" t="str">
        <f>IFERROR(__xludf.DUMMYFUNCTION("""COMPUTED_VALUE"""),"CR 2 # 16-28 / CASA 10")</f>
        <v>CR 2 # 16-28 / CASA 10</v>
      </c>
      <c r="G10217" s="15" t="str">
        <f>IFERROR(__xludf.DUMMYFUNCTION("""COMPUTED_VALUE"""),"LILIANA DDEL CARMEN RODRIGUEZ ACEVEDO")</f>
        <v>LILIANA DDEL CARMEN RODRIGUEZ ACEVEDO</v>
      </c>
      <c r="H10217" s="16">
        <f>IFERROR(__xludf.DUMMYFUNCTION("""COMPUTED_VALUE"""),18825.0)</f>
        <v>18825</v>
      </c>
      <c r="I10217" s="17"/>
      <c r="J10217" s="17"/>
      <c r="K10217" s="17"/>
      <c r="L10217" s="17">
        <f>IFERROR(__xludf.DUMMYFUNCTION("""COMPUTED_VALUE"""),3.008165296E9)</f>
        <v>3008165296</v>
      </c>
      <c r="M10217" s="17"/>
      <c r="N10217" s="17"/>
      <c r="O10217" s="17"/>
      <c r="P10217" s="17" t="b">
        <f>IFERROR(__xludf.DUMMYFUNCTION("""COMPUTED_VALUE"""),FALSE)</f>
        <v>0</v>
      </c>
      <c r="Q10217" s="20" t="str">
        <f>IFERROR(__xludf.DUMMYFUNCTION("""COMPUTED_VALUE"""),"")</f>
        <v/>
      </c>
      <c r="R10217" s="21" t="str">
        <f>IFERROR(__xludf.DUMMYFUNCTION("""COMPUTED_VALUE"""),"https://drive.google.com/file/d/1qOmoxP0RyWt_-FPDWhQcyRSezOWTJeXj/view?usp=drivesdk")</f>
        <v>https://drive.google.com/file/d/1qOmoxP0RyWt_-FPDWhQcyRSezOWTJeXj/view?usp=drivesdk</v>
      </c>
    </row>
    <row r="10218">
      <c r="A10218" s="15">
        <f>IFERROR(__xludf.DUMMYFUNCTION("""COMPUTED_VALUE"""),45289.0)</f>
        <v>45289</v>
      </c>
      <c r="B10218" s="16" t="str">
        <f>IFERROR(__xludf.DUMMYFUNCTION("""COMPUTED_VALUE"""),"Orlando Urdaneta Rincon ")</f>
        <v>Orlando Urdaneta Rincon </v>
      </c>
      <c r="C10218" s="15" t="str">
        <f>IFERROR(__xludf.DUMMYFUNCTION("""COMPUTED_VALUE"""),"SANTA MARTA")</f>
        <v>SANTA MARTA</v>
      </c>
      <c r="D10218" s="15" t="str">
        <f>IFERROR(__xludf.DUMMYFUNCTION("""COMPUTED_VALUE"""),"BOGOTÁ")</f>
        <v>BOGOTÁ</v>
      </c>
      <c r="E10218" s="15" t="str">
        <f>IFERROR(__xludf.DUMMYFUNCTION("""COMPUTED_VALUE"""),"Instinto alimento vital")</f>
        <v>Instinto alimento vital</v>
      </c>
      <c r="F10218" s="17" t="str">
        <f>IFERROR(__xludf.DUMMYFUNCTION("""COMPUTED_VALUE"""),"CR 4 #21-180 / TORRE A, APTO 701")</f>
        <v>CR 4 #21-180 / TORRE A, APTO 701</v>
      </c>
      <c r="G10218" s="15" t="str">
        <f>IFERROR(__xludf.DUMMYFUNCTION("""COMPUTED_VALUE"""),"CATALINA ARTEAGA FLOREZ")</f>
        <v>CATALINA ARTEAGA FLOREZ</v>
      </c>
      <c r="H10218" s="16">
        <f>IFERROR(__xludf.DUMMYFUNCTION("""COMPUTED_VALUE"""),18831.0)</f>
        <v>18831</v>
      </c>
      <c r="I10218" s="17"/>
      <c r="J10218" s="17"/>
      <c r="K10218" s="17"/>
      <c r="L10218" s="17">
        <f>IFERROR(__xludf.DUMMYFUNCTION("""COMPUTED_VALUE"""),3.013624908E9)</f>
        <v>3013624908</v>
      </c>
      <c r="M10218" s="17"/>
      <c r="N10218" s="17"/>
      <c r="O10218" s="17"/>
      <c r="P10218" s="17" t="b">
        <f>IFERROR(__xludf.DUMMYFUNCTION("""COMPUTED_VALUE"""),FALSE)</f>
        <v>0</v>
      </c>
      <c r="Q10218" s="20" t="str">
        <f>IFERROR(__xludf.DUMMYFUNCTION("""COMPUTED_VALUE"""),"")</f>
        <v/>
      </c>
      <c r="R10218" s="21" t="str">
        <f>IFERROR(__xludf.DUMMYFUNCTION("""COMPUTED_VALUE"""),"https://drive.google.com/file/d/1ILe8GHrWeDwAZ6nIcRgd85dOYIZB5uVL/view?usp=drivesdk")</f>
        <v>https://drive.google.com/file/d/1ILe8GHrWeDwAZ6nIcRgd85dOYIZB5uVL/view?usp=drivesdk</v>
      </c>
    </row>
    <row r="10219">
      <c r="A10219" s="15">
        <f>IFERROR(__xludf.DUMMYFUNCTION("""COMPUTED_VALUE"""),45289.0)</f>
        <v>45289</v>
      </c>
      <c r="B10219" s="16" t="str">
        <f>IFERROR(__xludf.DUMMYFUNCTION("""COMPUTED_VALUE"""),"Orlando Urdaneta Rincon ")</f>
        <v>Orlando Urdaneta Rincon </v>
      </c>
      <c r="C10219" s="15" t="str">
        <f>IFERROR(__xludf.DUMMYFUNCTION("""COMPUTED_VALUE"""),"SANTA MARTA")</f>
        <v>SANTA MARTA</v>
      </c>
      <c r="D10219" s="15" t="str">
        <f>IFERROR(__xludf.DUMMYFUNCTION("""COMPUTED_VALUE"""),"MEDELLÍN")</f>
        <v>MEDELLÍN</v>
      </c>
      <c r="E10219" s="15" t="str">
        <f>IFERROR(__xludf.DUMMYFUNCTION("""COMPUTED_VALUE"""),"AREPAS LA MARY")</f>
        <v>AREPAS LA MARY</v>
      </c>
      <c r="F10219" s="17" t="str">
        <f>IFERROR(__xludf.DUMMYFUNCTION("""COMPUTED_VALUE"""),"Calle 142 # 1-99torre 2 apto 211 / Playa dormida")</f>
        <v>Calle 142 # 1-99torre 2 apto 211 / Playa dormida</v>
      </c>
      <c r="G10219" s="15" t="str">
        <f>IFERROR(__xludf.DUMMYFUNCTION("""COMPUTED_VALUE"""),"JHON MOSCOSO")</f>
        <v>JHON MOSCOSO</v>
      </c>
      <c r="H10219" s="16">
        <f>IFERROR(__xludf.DUMMYFUNCTION("""COMPUTED_VALUE"""),18795.0)</f>
        <v>18795</v>
      </c>
      <c r="I10219" s="17"/>
      <c r="J10219" s="17"/>
      <c r="K10219" s="17"/>
      <c r="L10219" s="17">
        <f>IFERROR(__xludf.DUMMYFUNCTION("""COMPUTED_VALUE"""),3.102170887E9)</f>
        <v>3102170887</v>
      </c>
      <c r="M10219" s="17"/>
      <c r="N10219" s="17"/>
      <c r="O10219" s="17"/>
      <c r="P10219" s="17" t="b">
        <f>IFERROR(__xludf.DUMMYFUNCTION("""COMPUTED_VALUE"""),FALSE)</f>
        <v>0</v>
      </c>
      <c r="Q10219" s="20" t="str">
        <f>IFERROR(__xludf.DUMMYFUNCTION("""COMPUTED_VALUE"""),"")</f>
        <v/>
      </c>
      <c r="R10219" s="21" t="str">
        <f>IFERROR(__xludf.DUMMYFUNCTION("""COMPUTED_VALUE"""),"https://drive.google.com/file/d/1ykPlRU_GbreAnA_dsEDQoy_FJiOUC1ut/view?usp=drivesdk")</f>
        <v>https://drive.google.com/file/d/1ykPlRU_GbreAnA_dsEDQoy_FJiOUC1ut/view?usp=drivesdk</v>
      </c>
    </row>
    <row r="10220">
      <c r="A10220" s="15">
        <f>IFERROR(__xludf.DUMMYFUNCTION("""COMPUTED_VALUE"""),45289.0)</f>
        <v>45289</v>
      </c>
      <c r="B10220" s="16" t="str">
        <f>IFERROR(__xludf.DUMMYFUNCTION("""COMPUTED_VALUE"""),"Orlando Urdaneta Rincon ")</f>
        <v>Orlando Urdaneta Rincon </v>
      </c>
      <c r="C10220" s="15" t="str">
        <f>IFERROR(__xludf.DUMMYFUNCTION("""COMPUTED_VALUE"""),"SANTA MARTA")</f>
        <v>SANTA MARTA</v>
      </c>
      <c r="D10220" s="15" t="str">
        <f>IFERROR(__xludf.DUMMYFUNCTION("""COMPUTED_VALUE"""),"MEDELLÍN")</f>
        <v>MEDELLÍN</v>
      </c>
      <c r="E10220" s="15" t="str">
        <f>IFERROR(__xludf.DUMMYFUNCTION("""COMPUTED_VALUE"""),"Selva")</f>
        <v>Selva</v>
      </c>
      <c r="F10220" s="17" t="str">
        <f>IFERROR(__xludf.DUMMYFUNCTION("""COMPUTED_VALUE"""),"CR 4 # 26 40 / HECHO EN CASA, Centro comercial Prado Plaza, local 117")</f>
        <v>CR 4 # 26 40 / HECHO EN CASA, Centro comercial Prado Plaza, local 117</v>
      </c>
      <c r="G10220" s="15" t="str">
        <f>IFERROR(__xludf.DUMMYFUNCTION("""COMPUTED_VALUE"""),"Hecho en Casa Vipla S.A.S")</f>
        <v>Hecho en Casa Vipla S.A.S</v>
      </c>
      <c r="H10220" s="16">
        <f>IFERROR(__xludf.DUMMYFUNCTION("""COMPUTED_VALUE"""),18751.0)</f>
        <v>18751</v>
      </c>
      <c r="I10220" s="17"/>
      <c r="J10220" s="17"/>
      <c r="K10220" s="17"/>
      <c r="L10220" s="17">
        <f>IFERROR(__xludf.DUMMYFUNCTION("""COMPUTED_VALUE"""),3.108949751E9)</f>
        <v>3108949751</v>
      </c>
      <c r="M10220" s="17"/>
      <c r="N10220" s="17"/>
      <c r="O10220" s="17"/>
      <c r="P10220" s="17" t="b">
        <f>IFERROR(__xludf.DUMMYFUNCTION("""COMPUTED_VALUE"""),FALSE)</f>
        <v>0</v>
      </c>
      <c r="Q10220" s="20" t="str">
        <f>IFERROR(__xludf.DUMMYFUNCTION("""COMPUTED_VALUE"""),"")</f>
        <v/>
      </c>
      <c r="R10220" s="21" t="str">
        <f>IFERROR(__xludf.DUMMYFUNCTION("""COMPUTED_VALUE"""),"https://drive.google.com/file/d/1Vo4byL9PNZ-YclwVlussS96wdJsg-t8d/view?usp=drivesdk")</f>
        <v>https://drive.google.com/file/d/1Vo4byL9PNZ-YclwVlussS96wdJsg-t8d/view?usp=drivesdk</v>
      </c>
    </row>
    <row r="10221">
      <c r="A10221" s="17" t="str">
        <f>IFERROR(__xludf.DUMMYFUNCTION("""COMPUTED_VALUE"""),"")</f>
        <v/>
      </c>
      <c r="B10221" s="17" t="str">
        <f>IFERROR(__xludf.DUMMYFUNCTION("""COMPUTED_VALUE"""),"")</f>
        <v/>
      </c>
      <c r="C10221" s="17" t="str">
        <f>IFERROR(__xludf.DUMMYFUNCTION("""COMPUTED_VALUE"""),"")</f>
        <v/>
      </c>
      <c r="D10221" s="17" t="str">
        <f>IFERROR(__xludf.DUMMYFUNCTION("""COMPUTED_VALUE"""),"")</f>
        <v/>
      </c>
      <c r="E10221" s="17" t="str">
        <f>IFERROR(__xludf.DUMMYFUNCTION("""COMPUTED_VALUE"""),"")</f>
        <v/>
      </c>
      <c r="F10221" s="17" t="str">
        <f>IFERROR(__xludf.DUMMYFUNCTION("""COMPUTED_VALUE"""),"")</f>
        <v/>
      </c>
      <c r="G10221" s="17" t="str">
        <f>IFERROR(__xludf.DUMMYFUNCTION("""COMPUTED_VALUE"""),"")</f>
        <v/>
      </c>
      <c r="H10221" s="17" t="str">
        <f>IFERROR(__xludf.DUMMYFUNCTION("""COMPUTED_VALUE"""),"")</f>
        <v/>
      </c>
      <c r="I10221" s="17" t="str">
        <f>IFERROR(__xludf.DUMMYFUNCTION("""COMPUTED_VALUE"""),"")</f>
        <v/>
      </c>
      <c r="J10221" s="17" t="str">
        <f>IFERROR(__xludf.DUMMYFUNCTION("""COMPUTED_VALUE"""),"")</f>
        <v/>
      </c>
      <c r="K10221" s="17" t="str">
        <f>IFERROR(__xludf.DUMMYFUNCTION("""COMPUTED_VALUE"""),"")</f>
        <v/>
      </c>
      <c r="L10221" s="17" t="str">
        <f>IFERROR(__xludf.DUMMYFUNCTION("""COMPUTED_VALUE"""),"")</f>
        <v/>
      </c>
      <c r="M10221" s="17" t="str">
        <f>IFERROR(__xludf.DUMMYFUNCTION("""COMPUTED_VALUE"""),"")</f>
        <v/>
      </c>
      <c r="N10221" s="17" t="str">
        <f>IFERROR(__xludf.DUMMYFUNCTION("""COMPUTED_VALUE"""),"")</f>
        <v/>
      </c>
      <c r="O10221" s="17" t="str">
        <f>IFERROR(__xludf.DUMMYFUNCTION("""COMPUTED_VALUE"""),"")</f>
        <v/>
      </c>
      <c r="P10221" s="17" t="str">
        <f>IFERROR(__xludf.DUMMYFUNCTION("""COMPUTED_VALUE"""),"")</f>
        <v/>
      </c>
      <c r="Q10221" s="17" t="str">
        <f>IFERROR(__xludf.DUMMYFUNCTION("""COMPUTED_VALUE"""),"")</f>
        <v/>
      </c>
      <c r="R10221" s="17" t="str">
        <f>IFERROR(__xludf.DUMMYFUNCTION("""COMPUTED_VALUE"""),"")</f>
        <v/>
      </c>
    </row>
  </sheetData>
  <hyperlinks>
    <hyperlink r:id="rId1" ref="R3"/>
    <hyperlink r:id="rId2" ref="R4"/>
    <hyperlink r:id="rId3" ref="R5"/>
    <hyperlink r:id="rId4" ref="R6"/>
    <hyperlink r:id="rId5" ref="R7"/>
    <hyperlink r:id="rId6" ref="R8"/>
    <hyperlink r:id="rId7" ref="R9"/>
    <hyperlink r:id="rId8" ref="R11"/>
    <hyperlink r:id="rId9" ref="R12"/>
    <hyperlink r:id="rId10" ref="R13"/>
    <hyperlink r:id="rId11" ref="R14"/>
    <hyperlink r:id="rId12" ref="R15"/>
    <hyperlink r:id="rId13" ref="R16"/>
    <hyperlink r:id="rId14" ref="R17"/>
    <hyperlink r:id="rId15" ref="R18"/>
    <hyperlink r:id="rId16" ref="R19"/>
    <hyperlink r:id="rId17" ref="R20"/>
    <hyperlink r:id="rId18" ref="R22"/>
    <hyperlink r:id="rId19" ref="R23"/>
    <hyperlink r:id="rId20" ref="R26"/>
    <hyperlink r:id="rId21" ref="R27"/>
    <hyperlink r:id="rId22" ref="R29"/>
    <hyperlink r:id="rId23" ref="R38"/>
    <hyperlink r:id="rId24" ref="R41"/>
    <hyperlink r:id="rId25" ref="R46"/>
    <hyperlink r:id="rId26" ref="R47"/>
    <hyperlink r:id="rId27" ref="R48"/>
    <hyperlink r:id="rId28" ref="R49"/>
    <hyperlink r:id="rId29" ref="R50"/>
    <hyperlink r:id="rId30" ref="R54"/>
    <hyperlink r:id="rId31" ref="R58"/>
    <hyperlink r:id="rId32" ref="R59"/>
    <hyperlink r:id="rId33" ref="R63"/>
    <hyperlink r:id="rId34" ref="R64"/>
    <hyperlink r:id="rId35" ref="R65"/>
    <hyperlink r:id="rId36" ref="R66"/>
    <hyperlink r:id="rId37" ref="R68"/>
    <hyperlink r:id="rId38" ref="R69"/>
    <hyperlink r:id="rId39" ref="R70"/>
    <hyperlink r:id="rId40" ref="R72"/>
    <hyperlink r:id="rId41" ref="R73"/>
    <hyperlink r:id="rId42" ref="R75"/>
    <hyperlink r:id="rId43" ref="R76"/>
    <hyperlink r:id="rId44" ref="R77"/>
    <hyperlink r:id="rId45" ref="R78"/>
    <hyperlink r:id="rId46" ref="R91"/>
    <hyperlink r:id="rId47" ref="R94"/>
    <hyperlink r:id="rId48" ref="R95"/>
    <hyperlink r:id="rId49" ref="R96"/>
    <hyperlink r:id="rId50" ref="R97"/>
    <hyperlink r:id="rId51" ref="R98"/>
    <hyperlink r:id="rId52" ref="R99"/>
    <hyperlink r:id="rId53" ref="R100"/>
    <hyperlink r:id="rId54" ref="R102"/>
    <hyperlink r:id="rId55" ref="R103"/>
    <hyperlink r:id="rId56" ref="R104"/>
    <hyperlink r:id="rId57" ref="R114"/>
    <hyperlink r:id="rId58" ref="R115"/>
    <hyperlink r:id="rId59" ref="R116"/>
    <hyperlink r:id="rId60" ref="R117"/>
    <hyperlink r:id="rId61" ref="R118"/>
    <hyperlink r:id="rId62" ref="R119"/>
    <hyperlink r:id="rId63" ref="R120"/>
    <hyperlink r:id="rId64" ref="R121"/>
    <hyperlink r:id="rId65" ref="R122"/>
    <hyperlink r:id="rId66" ref="R123"/>
    <hyperlink r:id="rId67" ref="R124"/>
    <hyperlink r:id="rId68" ref="R127"/>
    <hyperlink r:id="rId69" ref="R128"/>
    <hyperlink r:id="rId70" ref="R129"/>
    <hyperlink r:id="rId71" ref="R130"/>
    <hyperlink r:id="rId72" ref="R132"/>
    <hyperlink r:id="rId73" ref="R134"/>
    <hyperlink r:id="rId74" ref="R135"/>
    <hyperlink r:id="rId75" ref="R136"/>
    <hyperlink r:id="rId76" ref="R137"/>
    <hyperlink r:id="rId77" ref="R141"/>
    <hyperlink r:id="rId78" ref="R142"/>
    <hyperlink r:id="rId79" ref="R143"/>
    <hyperlink r:id="rId80" ref="R144"/>
    <hyperlink r:id="rId81" ref="R145"/>
    <hyperlink r:id="rId82" ref="R153"/>
    <hyperlink r:id="rId83" ref="R157"/>
    <hyperlink r:id="rId84" ref="R158"/>
    <hyperlink r:id="rId85" ref="R159"/>
    <hyperlink r:id="rId86" ref="R160"/>
    <hyperlink r:id="rId87" ref="R162"/>
    <hyperlink r:id="rId88" ref="R163"/>
    <hyperlink r:id="rId89" ref="R164"/>
    <hyperlink r:id="rId90" ref="R166"/>
    <hyperlink r:id="rId91" ref="R170"/>
    <hyperlink r:id="rId92" ref="R171"/>
    <hyperlink r:id="rId93" ref="R172"/>
    <hyperlink r:id="rId94" ref="R173"/>
    <hyperlink r:id="rId95" ref="R174"/>
    <hyperlink r:id="rId96" ref="R175"/>
    <hyperlink r:id="rId97" ref="R194"/>
    <hyperlink r:id="rId98" ref="R198"/>
    <hyperlink r:id="rId99" ref="R199"/>
    <hyperlink r:id="rId100" ref="R200"/>
    <hyperlink r:id="rId101" ref="R201"/>
    <hyperlink r:id="rId102" ref="R210"/>
    <hyperlink r:id="rId103" ref="R225"/>
    <hyperlink r:id="rId104" ref="R226"/>
    <hyperlink r:id="rId105" ref="R227"/>
    <hyperlink r:id="rId106" ref="R238"/>
    <hyperlink r:id="rId107" ref="R243"/>
    <hyperlink r:id="rId108" ref="R244"/>
    <hyperlink r:id="rId109" ref="R246"/>
    <hyperlink r:id="rId110" ref="R247"/>
    <hyperlink r:id="rId111" ref="R248"/>
    <hyperlink r:id="rId112" ref="R257"/>
    <hyperlink r:id="rId113" ref="R266"/>
    <hyperlink r:id="rId114" ref="R273"/>
    <hyperlink r:id="rId115" ref="R300"/>
    <hyperlink r:id="rId116" ref="R301"/>
    <hyperlink r:id="rId117" ref="R303"/>
    <hyperlink r:id="rId118" ref="R313"/>
    <hyperlink r:id="rId119" ref="R314"/>
    <hyperlink r:id="rId120" ref="R318"/>
    <hyperlink r:id="rId121" ref="R320"/>
    <hyperlink r:id="rId122" ref="R342"/>
    <hyperlink r:id="rId123" ref="R343"/>
    <hyperlink r:id="rId124" ref="R344"/>
    <hyperlink r:id="rId125" ref="R352"/>
    <hyperlink r:id="rId126" ref="R353"/>
    <hyperlink r:id="rId127" ref="R354"/>
    <hyperlink r:id="rId128" ref="R355"/>
    <hyperlink r:id="rId129" ref="R356"/>
    <hyperlink r:id="rId130" ref="R357"/>
    <hyperlink r:id="rId131" ref="R358"/>
    <hyperlink r:id="rId132" ref="R364"/>
    <hyperlink r:id="rId133" ref="R369"/>
    <hyperlink r:id="rId134" ref="R391"/>
    <hyperlink r:id="rId135" ref="R392"/>
    <hyperlink r:id="rId136" ref="R393"/>
    <hyperlink r:id="rId137" ref="R394"/>
    <hyperlink r:id="rId138" ref="R395"/>
    <hyperlink r:id="rId139" ref="R396"/>
    <hyperlink r:id="rId140" ref="R397"/>
    <hyperlink r:id="rId141" ref="R400"/>
    <hyperlink r:id="rId142" ref="R401"/>
    <hyperlink r:id="rId143" ref="R402"/>
    <hyperlink r:id="rId144" ref="R403"/>
    <hyperlink r:id="rId145" ref="R404"/>
    <hyperlink r:id="rId146" ref="R405"/>
    <hyperlink r:id="rId147" ref="R406"/>
    <hyperlink r:id="rId148" ref="R407"/>
    <hyperlink r:id="rId149" ref="R409"/>
    <hyperlink r:id="rId150" ref="R425"/>
    <hyperlink r:id="rId151" ref="R443"/>
    <hyperlink r:id="rId152" ref="R445"/>
    <hyperlink r:id="rId153" ref="R446"/>
    <hyperlink r:id="rId154" ref="R447"/>
    <hyperlink r:id="rId155" ref="R449"/>
    <hyperlink r:id="rId156" ref="R450"/>
    <hyperlink r:id="rId157" ref="R453"/>
    <hyperlink r:id="rId158" ref="R455"/>
    <hyperlink r:id="rId159" ref="R456"/>
    <hyperlink r:id="rId160" ref="R472"/>
    <hyperlink r:id="rId161" ref="R477"/>
    <hyperlink r:id="rId162" ref="R486"/>
    <hyperlink r:id="rId163" ref="R487"/>
    <hyperlink r:id="rId164" ref="R490"/>
    <hyperlink r:id="rId165" ref="R504"/>
    <hyperlink r:id="rId166" ref="R506"/>
    <hyperlink r:id="rId167" ref="R507"/>
    <hyperlink r:id="rId168" ref="R508"/>
    <hyperlink r:id="rId169" ref="R510"/>
    <hyperlink r:id="rId170" ref="R511"/>
    <hyperlink r:id="rId171" ref="R512"/>
    <hyperlink r:id="rId172" ref="R513"/>
    <hyperlink r:id="rId173" ref="R514"/>
    <hyperlink r:id="rId174" ref="R516"/>
    <hyperlink r:id="rId175" ref="R517"/>
    <hyperlink r:id="rId176" ref="R518"/>
    <hyperlink r:id="rId177" ref="R521"/>
    <hyperlink r:id="rId178" ref="R522"/>
    <hyperlink r:id="rId179" ref="R523"/>
    <hyperlink r:id="rId180" ref="R524"/>
    <hyperlink r:id="rId181" ref="R525"/>
    <hyperlink r:id="rId182" ref="R526"/>
    <hyperlink r:id="rId183" ref="R527"/>
    <hyperlink r:id="rId184" ref="R529"/>
    <hyperlink r:id="rId185" ref="R541"/>
    <hyperlink r:id="rId186" ref="R542"/>
    <hyperlink r:id="rId187" ref="R543"/>
    <hyperlink r:id="rId188" ref="R544"/>
    <hyperlink r:id="rId189" ref="R545"/>
    <hyperlink r:id="rId190" ref="R546"/>
    <hyperlink r:id="rId191" ref="R548"/>
    <hyperlink r:id="rId192" ref="R549"/>
    <hyperlink r:id="rId193" ref="R550"/>
    <hyperlink r:id="rId194" ref="R551"/>
    <hyperlink r:id="rId195" ref="R552"/>
    <hyperlink r:id="rId196" ref="R553"/>
    <hyperlink r:id="rId197" ref="R558"/>
    <hyperlink r:id="rId198" ref="R559"/>
    <hyperlink r:id="rId199" ref="R561"/>
    <hyperlink r:id="rId200" ref="R562"/>
    <hyperlink r:id="rId201" ref="R564"/>
    <hyperlink r:id="rId202" ref="R565"/>
    <hyperlink r:id="rId203" ref="R2281"/>
    <hyperlink r:id="rId204" ref="R2282"/>
    <hyperlink r:id="rId205" ref="R2285"/>
    <hyperlink r:id="rId206" ref="R2288"/>
    <hyperlink r:id="rId207" ref="R2290"/>
    <hyperlink r:id="rId208" ref="R2292"/>
    <hyperlink r:id="rId209" ref="R2293"/>
    <hyperlink r:id="rId210" ref="R2295"/>
    <hyperlink r:id="rId211" ref="R2296"/>
    <hyperlink r:id="rId212" ref="R2299"/>
    <hyperlink r:id="rId213" ref="R2300"/>
    <hyperlink r:id="rId214" ref="R2301"/>
    <hyperlink r:id="rId215" ref="R2302"/>
    <hyperlink r:id="rId216" ref="R2303"/>
    <hyperlink r:id="rId217" ref="R2305"/>
    <hyperlink r:id="rId218" ref="R2307"/>
    <hyperlink r:id="rId219" ref="R2308"/>
    <hyperlink r:id="rId220" ref="R2309"/>
    <hyperlink r:id="rId221" ref="R2311"/>
    <hyperlink r:id="rId222" ref="R2316"/>
    <hyperlink r:id="rId223" ref="R2317"/>
    <hyperlink r:id="rId224" ref="R2318"/>
    <hyperlink r:id="rId225" ref="R2320"/>
    <hyperlink r:id="rId226" ref="R2321"/>
    <hyperlink r:id="rId227" ref="R2322"/>
    <hyperlink r:id="rId228" ref="R2326"/>
    <hyperlink r:id="rId229" ref="R2327"/>
    <hyperlink r:id="rId230" ref="R2328"/>
    <hyperlink r:id="rId231" ref="R2329"/>
    <hyperlink r:id="rId232" ref="R2330"/>
    <hyperlink r:id="rId233" ref="R2331"/>
    <hyperlink r:id="rId234" ref="R2333"/>
    <hyperlink r:id="rId235" ref="R2335"/>
    <hyperlink r:id="rId236" ref="R2336"/>
    <hyperlink r:id="rId237" ref="R2337"/>
    <hyperlink r:id="rId238" ref="R2339"/>
    <hyperlink r:id="rId239" ref="R2344"/>
    <hyperlink r:id="rId240" ref="R2346"/>
    <hyperlink r:id="rId241" ref="R2348"/>
    <hyperlink r:id="rId242" ref="R2351"/>
    <hyperlink r:id="rId243" ref="R2352"/>
    <hyperlink r:id="rId244" ref="R2353"/>
    <hyperlink r:id="rId245" ref="R2354"/>
    <hyperlink r:id="rId246" ref="R2356"/>
    <hyperlink r:id="rId247" ref="R2358"/>
    <hyperlink r:id="rId248" ref="R2359"/>
    <hyperlink r:id="rId249" ref="R2364"/>
    <hyperlink r:id="rId250" ref="R2366"/>
    <hyperlink r:id="rId251" ref="R2367"/>
    <hyperlink r:id="rId252" ref="R2368"/>
    <hyperlink r:id="rId253" ref="R2369"/>
    <hyperlink r:id="rId254" ref="R2370"/>
    <hyperlink r:id="rId255" ref="R2372"/>
    <hyperlink r:id="rId256" ref="R2373"/>
    <hyperlink r:id="rId257" ref="R2374"/>
    <hyperlink r:id="rId258" ref="R2375"/>
    <hyperlink r:id="rId259" ref="R2376"/>
    <hyperlink r:id="rId260" ref="R2377"/>
    <hyperlink r:id="rId261" ref="R2378"/>
    <hyperlink r:id="rId262" ref="R2379"/>
    <hyperlink r:id="rId263" ref="R2380"/>
    <hyperlink r:id="rId264" ref="R2382"/>
    <hyperlink r:id="rId265" ref="R2383"/>
    <hyperlink r:id="rId266" ref="R2384"/>
    <hyperlink r:id="rId267" ref="R2385"/>
    <hyperlink r:id="rId268" ref="R2388"/>
    <hyperlink r:id="rId269" ref="R2389"/>
    <hyperlink r:id="rId270" ref="R2390"/>
    <hyperlink r:id="rId271" ref="R2391"/>
    <hyperlink r:id="rId272" ref="R2392"/>
    <hyperlink r:id="rId273" ref="R2393"/>
    <hyperlink r:id="rId274" ref="R2394"/>
    <hyperlink r:id="rId275" ref="R2395"/>
    <hyperlink r:id="rId276" ref="R2396"/>
    <hyperlink r:id="rId277" ref="R2397"/>
    <hyperlink r:id="rId278" ref="R2398"/>
    <hyperlink r:id="rId279" ref="R2399"/>
    <hyperlink r:id="rId280" ref="R2401"/>
    <hyperlink r:id="rId281" ref="R2402"/>
    <hyperlink r:id="rId282" ref="R2403"/>
    <hyperlink r:id="rId283" ref="R2404"/>
    <hyperlink r:id="rId284" ref="R2405"/>
    <hyperlink r:id="rId285" ref="R2406"/>
    <hyperlink r:id="rId286" ref="R2408"/>
    <hyperlink r:id="rId287" ref="R2414"/>
    <hyperlink r:id="rId288" ref="R2416"/>
    <hyperlink r:id="rId289" ref="R2417"/>
    <hyperlink r:id="rId290" ref="R2418"/>
    <hyperlink r:id="rId291" ref="R2419"/>
    <hyperlink r:id="rId292" ref="R2420"/>
    <hyperlink r:id="rId293" ref="R2421"/>
    <hyperlink r:id="rId294" ref="R2422"/>
    <hyperlink r:id="rId295" ref="R2423"/>
    <hyperlink r:id="rId296" ref="R2424"/>
    <hyperlink r:id="rId297" ref="R2425"/>
    <hyperlink r:id="rId298" ref="R2426"/>
    <hyperlink r:id="rId299" ref="R2428"/>
    <hyperlink r:id="rId300" ref="R2429"/>
    <hyperlink r:id="rId301" ref="R2430"/>
    <hyperlink r:id="rId302" ref="R2431"/>
    <hyperlink r:id="rId303" ref="R2432"/>
    <hyperlink r:id="rId304" ref="R2433"/>
    <hyperlink r:id="rId305" ref="R2434"/>
    <hyperlink r:id="rId306" ref="R2435"/>
    <hyperlink r:id="rId307" ref="R2436"/>
    <hyperlink r:id="rId308" ref="R2437"/>
    <hyperlink r:id="rId309" ref="R2438"/>
    <hyperlink r:id="rId310" ref="R2439"/>
    <hyperlink r:id="rId311" ref="R2440"/>
    <hyperlink r:id="rId312" ref="R2441"/>
    <hyperlink r:id="rId313" ref="R2444"/>
    <hyperlink r:id="rId314" ref="R2445"/>
    <hyperlink r:id="rId315" ref="R2447"/>
    <hyperlink r:id="rId316" ref="R2448"/>
    <hyperlink r:id="rId317" ref="R2449"/>
    <hyperlink r:id="rId318" ref="R2450"/>
    <hyperlink r:id="rId319" ref="R2451"/>
    <hyperlink r:id="rId320" ref="R2452"/>
    <hyperlink r:id="rId321" ref="R2454"/>
    <hyperlink r:id="rId322" ref="R2456"/>
    <hyperlink r:id="rId323" ref="R2457"/>
    <hyperlink r:id="rId324" ref="R2458"/>
    <hyperlink r:id="rId325" ref="R2459"/>
    <hyperlink r:id="rId326" ref="R2467"/>
    <hyperlink r:id="rId327" ref="R2468"/>
    <hyperlink r:id="rId328" ref="R2471"/>
    <hyperlink r:id="rId329" ref="R2472"/>
    <hyperlink r:id="rId330" ref="R2473"/>
    <hyperlink r:id="rId331" ref="R2474"/>
    <hyperlink r:id="rId332" ref="R2476"/>
    <hyperlink r:id="rId333" ref="R2477"/>
    <hyperlink r:id="rId334" ref="R2478"/>
    <hyperlink r:id="rId335" ref="R2483"/>
    <hyperlink r:id="rId336" ref="R2484"/>
    <hyperlink r:id="rId337" ref="R2485"/>
    <hyperlink r:id="rId338" ref="R2487"/>
    <hyperlink r:id="rId339" ref="R2488"/>
    <hyperlink r:id="rId340" ref="R2489"/>
    <hyperlink r:id="rId341" ref="R2490"/>
    <hyperlink r:id="rId342" ref="R2491"/>
    <hyperlink r:id="rId343" ref="R2492"/>
    <hyperlink r:id="rId344" ref="R2493"/>
    <hyperlink r:id="rId345" ref="R2494"/>
    <hyperlink r:id="rId346" ref="R2495"/>
    <hyperlink r:id="rId347" ref="R2499"/>
    <hyperlink r:id="rId348" ref="R2500"/>
    <hyperlink r:id="rId349" ref="R2501"/>
    <hyperlink r:id="rId350" ref="R2502"/>
    <hyperlink r:id="rId351" ref="R2503"/>
    <hyperlink r:id="rId352" ref="R2505"/>
    <hyperlink r:id="rId353" ref="R2507"/>
    <hyperlink r:id="rId354" ref="R2508"/>
    <hyperlink r:id="rId355" ref="R2509"/>
    <hyperlink r:id="rId356" ref="R2510"/>
    <hyperlink r:id="rId357" ref="R2511"/>
    <hyperlink r:id="rId358" ref="R2512"/>
    <hyperlink r:id="rId359" ref="R2513"/>
    <hyperlink r:id="rId360" ref="R2514"/>
    <hyperlink r:id="rId361" ref="R2515"/>
    <hyperlink r:id="rId362" ref="R2516"/>
    <hyperlink r:id="rId363" ref="R2517"/>
    <hyperlink r:id="rId364" ref="R2518"/>
    <hyperlink r:id="rId365" ref="R2519"/>
    <hyperlink r:id="rId366" ref="R2520"/>
    <hyperlink r:id="rId367" ref="R2521"/>
    <hyperlink r:id="rId368" ref="R2530"/>
    <hyperlink r:id="rId369" ref="R2531"/>
    <hyperlink r:id="rId370" ref="R2532"/>
    <hyperlink r:id="rId371" ref="R2534"/>
    <hyperlink r:id="rId372" ref="R2535"/>
    <hyperlink r:id="rId373" ref="R2536"/>
    <hyperlink r:id="rId374" ref="R2538"/>
    <hyperlink r:id="rId375" ref="R2539"/>
    <hyperlink r:id="rId376" ref="R2541"/>
    <hyperlink r:id="rId377" ref="R2542"/>
    <hyperlink r:id="rId378" ref="R2543"/>
    <hyperlink r:id="rId379" ref="R2544"/>
    <hyperlink r:id="rId380" ref="R2545"/>
    <hyperlink r:id="rId381" ref="R2546"/>
    <hyperlink r:id="rId382" ref="R2547"/>
    <hyperlink r:id="rId383" ref="R2548"/>
    <hyperlink r:id="rId384" ref="R2551"/>
    <hyperlink r:id="rId385" ref="R2553"/>
    <hyperlink r:id="rId386" ref="R2554"/>
    <hyperlink r:id="rId387" ref="R2555"/>
    <hyperlink r:id="rId388" ref="R2556"/>
    <hyperlink r:id="rId389" ref="R2558"/>
    <hyperlink r:id="rId390" ref="R2559"/>
    <hyperlink r:id="rId391" ref="R2560"/>
    <hyperlink r:id="rId392" ref="R2561"/>
    <hyperlink r:id="rId393" ref="R2562"/>
    <hyperlink r:id="rId394" ref="R2563"/>
    <hyperlink r:id="rId395" ref="R2564"/>
    <hyperlink r:id="rId396" ref="R2567"/>
    <hyperlink r:id="rId397" ref="R2568"/>
    <hyperlink r:id="rId398" ref="R2569"/>
    <hyperlink r:id="rId399" ref="R2570"/>
    <hyperlink r:id="rId400" ref="R2572"/>
    <hyperlink r:id="rId401" ref="R2573"/>
    <hyperlink r:id="rId402" ref="R2574"/>
    <hyperlink r:id="rId403" ref="R2575"/>
    <hyperlink r:id="rId404" ref="R2577"/>
    <hyperlink r:id="rId405" ref="R2578"/>
    <hyperlink r:id="rId406" ref="R2580"/>
    <hyperlink r:id="rId407" ref="R2582"/>
    <hyperlink r:id="rId408" ref="R2583"/>
    <hyperlink r:id="rId409" ref="R2584"/>
    <hyperlink r:id="rId410" ref="R2585"/>
    <hyperlink r:id="rId411" ref="R2586"/>
    <hyperlink r:id="rId412" ref="R2587"/>
    <hyperlink r:id="rId413" ref="R2588"/>
    <hyperlink r:id="rId414" ref="R2589"/>
    <hyperlink r:id="rId415" ref="R2590"/>
    <hyperlink r:id="rId416" ref="R2591"/>
    <hyperlink r:id="rId417" ref="R2594"/>
    <hyperlink r:id="rId418" ref="R2595"/>
    <hyperlink r:id="rId419" ref="R2596"/>
    <hyperlink r:id="rId420" ref="R2597"/>
    <hyperlink r:id="rId421" ref="R2599"/>
    <hyperlink r:id="rId422" ref="R2600"/>
    <hyperlink r:id="rId423" ref="R2601"/>
    <hyperlink r:id="rId424" ref="R2602"/>
    <hyperlink r:id="rId425" ref="R2603"/>
    <hyperlink r:id="rId426" ref="R2604"/>
    <hyperlink r:id="rId427" ref="R2606"/>
    <hyperlink r:id="rId428" ref="R2607"/>
    <hyperlink r:id="rId429" ref="R2608"/>
    <hyperlink r:id="rId430" ref="R2609"/>
    <hyperlink r:id="rId431" ref="R2610"/>
    <hyperlink r:id="rId432" ref="R2611"/>
    <hyperlink r:id="rId433" ref="R2615"/>
    <hyperlink r:id="rId434" ref="R2616"/>
    <hyperlink r:id="rId435" ref="R2620"/>
    <hyperlink r:id="rId436" ref="R2624"/>
    <hyperlink r:id="rId437" ref="R2625"/>
    <hyperlink r:id="rId438" ref="R2627"/>
    <hyperlink r:id="rId439" ref="R2628"/>
    <hyperlink r:id="rId440" ref="R2629"/>
    <hyperlink r:id="rId441" ref="R2630"/>
    <hyperlink r:id="rId442" ref="R2637"/>
    <hyperlink r:id="rId443" ref="R2638"/>
    <hyperlink r:id="rId444" ref="R2642"/>
    <hyperlink r:id="rId445" ref="R2643"/>
    <hyperlink r:id="rId446" ref="R2644"/>
    <hyperlink r:id="rId447" ref="R2645"/>
    <hyperlink r:id="rId448" ref="R2646"/>
    <hyperlink r:id="rId449" ref="R2649"/>
    <hyperlink r:id="rId450" ref="R2652"/>
    <hyperlink r:id="rId451" ref="R2653"/>
    <hyperlink r:id="rId452" ref="R2655"/>
    <hyperlink r:id="rId453" ref="R2656"/>
    <hyperlink r:id="rId454" ref="R2659"/>
    <hyperlink r:id="rId455" ref="R2662"/>
    <hyperlink r:id="rId456" ref="R2663"/>
    <hyperlink r:id="rId457" ref="R2664"/>
    <hyperlink r:id="rId458" ref="R2665"/>
    <hyperlink r:id="rId459" ref="R2666"/>
    <hyperlink r:id="rId460" ref="R2667"/>
    <hyperlink r:id="rId461" ref="R2668"/>
    <hyperlink r:id="rId462" ref="R2669"/>
    <hyperlink r:id="rId463" ref="R2670"/>
    <hyperlink r:id="rId464" ref="R2671"/>
    <hyperlink r:id="rId465" ref="R2672"/>
    <hyperlink r:id="rId466" ref="R2673"/>
    <hyperlink r:id="rId467" ref="R2674"/>
    <hyperlink r:id="rId468" ref="R2675"/>
    <hyperlink r:id="rId469" ref="R2677"/>
    <hyperlink r:id="rId470" ref="R2678"/>
    <hyperlink r:id="rId471" ref="R2679"/>
    <hyperlink r:id="rId472" ref="R2681"/>
    <hyperlink r:id="rId473" ref="R2682"/>
    <hyperlink r:id="rId474" ref="R2683"/>
    <hyperlink r:id="rId475" ref="R2684"/>
    <hyperlink r:id="rId476" ref="R2685"/>
    <hyperlink r:id="rId477" ref="R2686"/>
    <hyperlink r:id="rId478" ref="R2687"/>
    <hyperlink r:id="rId479" ref="R2688"/>
    <hyperlink r:id="rId480" ref="R2689"/>
    <hyperlink r:id="rId481" ref="R2690"/>
    <hyperlink r:id="rId482" ref="R2691"/>
    <hyperlink r:id="rId483" ref="R2692"/>
    <hyperlink r:id="rId484" ref="R2693"/>
    <hyperlink r:id="rId485" ref="R2696"/>
    <hyperlink r:id="rId486" ref="R2697"/>
    <hyperlink r:id="rId487" ref="R2698"/>
    <hyperlink r:id="rId488" ref="R2699"/>
    <hyperlink r:id="rId489" ref="R2700"/>
    <hyperlink r:id="rId490" ref="R2701"/>
    <hyperlink r:id="rId491" ref="R2702"/>
    <hyperlink r:id="rId492" ref="R2705"/>
    <hyperlink r:id="rId493" ref="R2706"/>
    <hyperlink r:id="rId494" ref="R2707"/>
    <hyperlink r:id="rId495" ref="R2708"/>
    <hyperlink r:id="rId496" ref="R2709"/>
    <hyperlink r:id="rId497" ref="R2710"/>
    <hyperlink r:id="rId498" ref="R2712"/>
    <hyperlink r:id="rId499" ref="R2713"/>
    <hyperlink r:id="rId500" ref="R2714"/>
    <hyperlink r:id="rId501" ref="R2715"/>
    <hyperlink r:id="rId502" ref="R2717"/>
    <hyperlink r:id="rId503" ref="R2718"/>
    <hyperlink r:id="rId504" ref="R2719"/>
    <hyperlink r:id="rId505" ref="R2720"/>
    <hyperlink r:id="rId506" ref="R2721"/>
    <hyperlink r:id="rId507" ref="R2722"/>
    <hyperlink r:id="rId508" ref="R2723"/>
    <hyperlink r:id="rId509" ref="R2725"/>
    <hyperlink r:id="rId510" ref="R2726"/>
    <hyperlink r:id="rId511" ref="R2727"/>
    <hyperlink r:id="rId512" ref="R2728"/>
    <hyperlink r:id="rId513" ref="R2731"/>
    <hyperlink r:id="rId514" ref="R2732"/>
    <hyperlink r:id="rId515" ref="R2734"/>
    <hyperlink r:id="rId516" ref="R2736"/>
    <hyperlink r:id="rId517" ref="R2737"/>
    <hyperlink r:id="rId518" ref="R2747"/>
    <hyperlink r:id="rId519" ref="R2749"/>
    <hyperlink r:id="rId520" ref="R2750"/>
    <hyperlink r:id="rId521" ref="R2751"/>
    <hyperlink r:id="rId522" ref="R2752"/>
    <hyperlink r:id="rId523" ref="R2753"/>
    <hyperlink r:id="rId524" ref="R2754"/>
    <hyperlink r:id="rId525" ref="R2755"/>
    <hyperlink r:id="rId526" ref="R2756"/>
    <hyperlink r:id="rId527" ref="R2757"/>
    <hyperlink r:id="rId528" ref="R2759"/>
    <hyperlink r:id="rId529" ref="R2760"/>
    <hyperlink r:id="rId530" ref="R2761"/>
    <hyperlink r:id="rId531" ref="R2763"/>
    <hyperlink r:id="rId532" ref="R2764"/>
    <hyperlink r:id="rId533" ref="R2765"/>
    <hyperlink r:id="rId534" ref="R2766"/>
    <hyperlink r:id="rId535" ref="R2767"/>
    <hyperlink r:id="rId536" ref="R2768"/>
    <hyperlink r:id="rId537" ref="R2769"/>
    <hyperlink r:id="rId538" ref="R2770"/>
    <hyperlink r:id="rId539" ref="R2771"/>
    <hyperlink r:id="rId540" ref="R2776"/>
    <hyperlink r:id="rId541" ref="R2777"/>
    <hyperlink r:id="rId542" ref="R2778"/>
    <hyperlink r:id="rId543" ref="R2779"/>
    <hyperlink r:id="rId544" ref="R2780"/>
    <hyperlink r:id="rId545" ref="R2781"/>
    <hyperlink r:id="rId546" ref="R2782"/>
    <hyperlink r:id="rId547" ref="R2783"/>
    <hyperlink r:id="rId548" ref="R2784"/>
    <hyperlink r:id="rId549" ref="R2785"/>
    <hyperlink r:id="rId550" ref="R2786"/>
    <hyperlink r:id="rId551" ref="R2787"/>
    <hyperlink r:id="rId552" ref="R2788"/>
    <hyperlink r:id="rId553" ref="R2789"/>
    <hyperlink r:id="rId554" ref="R2790"/>
    <hyperlink r:id="rId555" ref="R2791"/>
    <hyperlink r:id="rId556" ref="R2792"/>
    <hyperlink r:id="rId557" ref="R2794"/>
    <hyperlink r:id="rId558" ref="R2795"/>
    <hyperlink r:id="rId559" ref="R2796"/>
    <hyperlink r:id="rId560" ref="R2797"/>
    <hyperlink r:id="rId561" ref="R2799"/>
    <hyperlink r:id="rId562" ref="R2800"/>
    <hyperlink r:id="rId563" ref="R2801"/>
    <hyperlink r:id="rId564" ref="R2802"/>
    <hyperlink r:id="rId565" ref="R2803"/>
    <hyperlink r:id="rId566" ref="R2804"/>
    <hyperlink r:id="rId567" ref="R2805"/>
    <hyperlink r:id="rId568" ref="R2806"/>
    <hyperlink r:id="rId569" ref="R2807"/>
    <hyperlink r:id="rId570" ref="R2808"/>
    <hyperlink r:id="rId571" ref="R2810"/>
    <hyperlink r:id="rId572" ref="R2811"/>
    <hyperlink r:id="rId573" ref="R2812"/>
    <hyperlink r:id="rId574" ref="R2813"/>
    <hyperlink r:id="rId575" ref="R2814"/>
    <hyperlink r:id="rId576" ref="R2815"/>
    <hyperlink r:id="rId577" ref="R2816"/>
    <hyperlink r:id="rId578" ref="R2817"/>
    <hyperlink r:id="rId579" ref="R2818"/>
    <hyperlink r:id="rId580" ref="R2819"/>
    <hyperlink r:id="rId581" ref="R2820"/>
    <hyperlink r:id="rId582" ref="R2821"/>
    <hyperlink r:id="rId583" ref="R2822"/>
    <hyperlink r:id="rId584" ref="R2823"/>
    <hyperlink r:id="rId585" ref="R2824"/>
    <hyperlink r:id="rId586" ref="R2825"/>
    <hyperlink r:id="rId587" ref="R2826"/>
    <hyperlink r:id="rId588" ref="R2827"/>
    <hyperlink r:id="rId589" ref="R2828"/>
    <hyperlink r:id="rId590" ref="R2830"/>
    <hyperlink r:id="rId591" ref="R2831"/>
    <hyperlink r:id="rId592" ref="R2832"/>
    <hyperlink r:id="rId593" ref="R2833"/>
    <hyperlink r:id="rId594" ref="R2834"/>
    <hyperlink r:id="rId595" ref="R2836"/>
    <hyperlink r:id="rId596" ref="R2837"/>
    <hyperlink r:id="rId597" ref="R2838"/>
    <hyperlink r:id="rId598" ref="R2840"/>
    <hyperlink r:id="rId599" ref="R2842"/>
    <hyperlink r:id="rId600" ref="R2844"/>
    <hyperlink r:id="rId601" ref="R2845"/>
    <hyperlink r:id="rId602" ref="R2846"/>
    <hyperlink r:id="rId603" ref="R2848"/>
    <hyperlink r:id="rId604" ref="R2849"/>
    <hyperlink r:id="rId605" ref="R2850"/>
    <hyperlink r:id="rId606" ref="R2851"/>
    <hyperlink r:id="rId607" ref="R2852"/>
    <hyperlink r:id="rId608" ref="R2853"/>
    <hyperlink r:id="rId609" ref="R2854"/>
    <hyperlink r:id="rId610" ref="R2855"/>
    <hyperlink r:id="rId611" ref="R2856"/>
    <hyperlink r:id="rId612" ref="R2857"/>
    <hyperlink r:id="rId613" ref="R2858"/>
    <hyperlink r:id="rId614" ref="R2859"/>
    <hyperlink r:id="rId615" ref="R2860"/>
    <hyperlink r:id="rId616" ref="R2861"/>
    <hyperlink r:id="rId617" ref="R2862"/>
    <hyperlink r:id="rId618" ref="R2864"/>
    <hyperlink r:id="rId619" ref="R2865"/>
    <hyperlink r:id="rId620" ref="R2866"/>
    <hyperlink r:id="rId621" ref="R2867"/>
    <hyperlink r:id="rId622" ref="R2868"/>
    <hyperlink r:id="rId623" ref="R2869"/>
    <hyperlink r:id="rId624" ref="R2870"/>
    <hyperlink r:id="rId625" ref="R2871"/>
    <hyperlink r:id="rId626" ref="R2872"/>
    <hyperlink r:id="rId627" ref="R2873"/>
    <hyperlink r:id="rId628" ref="R2878"/>
    <hyperlink r:id="rId629" ref="R2879"/>
    <hyperlink r:id="rId630" ref="R2880"/>
    <hyperlink r:id="rId631" ref="R2881"/>
    <hyperlink r:id="rId632" ref="R2882"/>
    <hyperlink r:id="rId633" ref="R2883"/>
    <hyperlink r:id="rId634" ref="R2884"/>
    <hyperlink r:id="rId635" ref="R2885"/>
    <hyperlink r:id="rId636" ref="R2886"/>
    <hyperlink r:id="rId637" ref="R2888"/>
    <hyperlink r:id="rId638" ref="R2889"/>
    <hyperlink r:id="rId639" ref="R2895"/>
    <hyperlink r:id="rId640" ref="R2896"/>
    <hyperlink r:id="rId641" ref="R2897"/>
    <hyperlink r:id="rId642" ref="R2898"/>
    <hyperlink r:id="rId643" ref="R2899"/>
    <hyperlink r:id="rId644" ref="R2901"/>
    <hyperlink r:id="rId645" ref="R2902"/>
    <hyperlink r:id="rId646" ref="R2903"/>
    <hyperlink r:id="rId647" ref="R2906"/>
    <hyperlink r:id="rId648" ref="R2907"/>
    <hyperlink r:id="rId649" ref="R2908"/>
    <hyperlink r:id="rId650" ref="R2912"/>
    <hyperlink r:id="rId651" ref="R2913"/>
    <hyperlink r:id="rId652" ref="R2914"/>
    <hyperlink r:id="rId653" ref="R2915"/>
    <hyperlink r:id="rId654" ref="R2919"/>
    <hyperlink r:id="rId655" ref="R2923"/>
    <hyperlink r:id="rId656" ref="R2924"/>
    <hyperlink r:id="rId657" ref="R2927"/>
    <hyperlink r:id="rId658" ref="R2929"/>
    <hyperlink r:id="rId659" ref="R2930"/>
    <hyperlink r:id="rId660" ref="R2931"/>
    <hyperlink r:id="rId661" ref="R2932"/>
    <hyperlink r:id="rId662" ref="R2933"/>
    <hyperlink r:id="rId663" ref="R2934"/>
    <hyperlink r:id="rId664" ref="R2935"/>
    <hyperlink r:id="rId665" ref="R2937"/>
    <hyperlink r:id="rId666" ref="R2938"/>
    <hyperlink r:id="rId667" ref="R2939"/>
    <hyperlink r:id="rId668" ref="R2943"/>
    <hyperlink r:id="rId669" ref="R2944"/>
    <hyperlink r:id="rId670" ref="R2945"/>
    <hyperlink r:id="rId671" ref="R2946"/>
    <hyperlink r:id="rId672" ref="R2947"/>
    <hyperlink r:id="rId673" ref="R2948"/>
    <hyperlink r:id="rId674" ref="R2949"/>
    <hyperlink r:id="rId675" ref="R2950"/>
    <hyperlink r:id="rId676" ref="R2951"/>
    <hyperlink r:id="rId677" ref="R2952"/>
    <hyperlink r:id="rId678" ref="R2953"/>
    <hyperlink r:id="rId679" ref="R2954"/>
    <hyperlink r:id="rId680" ref="R2955"/>
    <hyperlink r:id="rId681" ref="R2956"/>
    <hyperlink r:id="rId682" ref="R2957"/>
    <hyperlink r:id="rId683" ref="R2958"/>
    <hyperlink r:id="rId684" ref="R2959"/>
    <hyperlink r:id="rId685" ref="R2964"/>
    <hyperlink r:id="rId686" ref="R2965"/>
    <hyperlink r:id="rId687" ref="R2967"/>
    <hyperlink r:id="rId688" ref="R2969"/>
    <hyperlink r:id="rId689" ref="R2970"/>
    <hyperlink r:id="rId690" ref="R2972"/>
    <hyperlink r:id="rId691" ref="R2976"/>
    <hyperlink r:id="rId692" ref="R2978"/>
    <hyperlink r:id="rId693" ref="R2979"/>
    <hyperlink r:id="rId694" ref="R2980"/>
    <hyperlink r:id="rId695" ref="R2981"/>
    <hyperlink r:id="rId696" ref="R2983"/>
    <hyperlink r:id="rId697" ref="R2984"/>
    <hyperlink r:id="rId698" ref="R2987"/>
    <hyperlink r:id="rId699" ref="R2990"/>
    <hyperlink r:id="rId700" ref="R2991"/>
    <hyperlink r:id="rId701" ref="R2993"/>
    <hyperlink r:id="rId702" ref="R2994"/>
    <hyperlink r:id="rId703" ref="R2997"/>
    <hyperlink r:id="rId704" ref="R2998"/>
    <hyperlink r:id="rId705" ref="R2999"/>
    <hyperlink r:id="rId706" ref="R3000"/>
    <hyperlink r:id="rId707" ref="R3001"/>
    <hyperlink r:id="rId708" ref="R3002"/>
    <hyperlink r:id="rId709" ref="R3004"/>
    <hyperlink r:id="rId710" ref="R3005"/>
    <hyperlink r:id="rId711" ref="R3007"/>
    <hyperlink r:id="rId712" ref="R3010"/>
    <hyperlink r:id="rId713" ref="R3011"/>
    <hyperlink r:id="rId714" ref="R3012"/>
    <hyperlink r:id="rId715" ref="R3013"/>
    <hyperlink r:id="rId716" ref="R3014"/>
    <hyperlink r:id="rId717" ref="R3015"/>
    <hyperlink r:id="rId718" ref="R3016"/>
    <hyperlink r:id="rId719" ref="R3017"/>
    <hyperlink r:id="rId720" ref="R3018"/>
    <hyperlink r:id="rId721" ref="R3020"/>
    <hyperlink r:id="rId722" ref="R3021"/>
    <hyperlink r:id="rId723" ref="R3022"/>
    <hyperlink r:id="rId724" ref="R3023"/>
    <hyperlink r:id="rId725" ref="R3025"/>
    <hyperlink r:id="rId726" ref="R3026"/>
    <hyperlink r:id="rId727" ref="R3027"/>
    <hyperlink r:id="rId728" ref="R3028"/>
    <hyperlink r:id="rId729" ref="R3029"/>
    <hyperlink r:id="rId730" ref="R3030"/>
    <hyperlink r:id="rId731" ref="R3031"/>
    <hyperlink r:id="rId732" ref="R3032"/>
    <hyperlink r:id="rId733" ref="R3033"/>
    <hyperlink r:id="rId734" ref="R3034"/>
    <hyperlink r:id="rId735" ref="R3035"/>
    <hyperlink r:id="rId736" ref="R3036"/>
    <hyperlink r:id="rId737" ref="R3037"/>
    <hyperlink r:id="rId738" ref="R3038"/>
    <hyperlink r:id="rId739" ref="R3039"/>
    <hyperlink r:id="rId740" ref="R3040"/>
    <hyperlink r:id="rId741" ref="R3042"/>
    <hyperlink r:id="rId742" ref="R3043"/>
    <hyperlink r:id="rId743" ref="R3044"/>
    <hyperlink r:id="rId744" ref="R3045"/>
    <hyperlink r:id="rId745" ref="R3046"/>
    <hyperlink r:id="rId746" ref="R3047"/>
    <hyperlink r:id="rId747" ref="R3048"/>
    <hyperlink r:id="rId748" ref="R3049"/>
    <hyperlink r:id="rId749" ref="R3051"/>
    <hyperlink r:id="rId750" ref="R3052"/>
    <hyperlink r:id="rId751" ref="R3053"/>
    <hyperlink r:id="rId752" ref="R3054"/>
    <hyperlink r:id="rId753" ref="R3055"/>
    <hyperlink r:id="rId754" ref="R3056"/>
    <hyperlink r:id="rId755" ref="R3059"/>
    <hyperlink r:id="rId756" ref="R3060"/>
    <hyperlink r:id="rId757" ref="R3061"/>
    <hyperlink r:id="rId758" ref="R3062"/>
    <hyperlink r:id="rId759" ref="R3063"/>
    <hyperlink r:id="rId760" ref="R3064"/>
    <hyperlink r:id="rId761" ref="R3065"/>
    <hyperlink r:id="rId762" ref="R3066"/>
    <hyperlink r:id="rId763" ref="R3067"/>
    <hyperlink r:id="rId764" ref="R3068"/>
    <hyperlink r:id="rId765" ref="R3070"/>
    <hyperlink r:id="rId766" ref="R3071"/>
    <hyperlink r:id="rId767" ref="R3072"/>
    <hyperlink r:id="rId768" ref="R3073"/>
    <hyperlink r:id="rId769" ref="R3074"/>
    <hyperlink r:id="rId770" ref="R3075"/>
    <hyperlink r:id="rId771" ref="R3078"/>
    <hyperlink r:id="rId772" ref="R3079"/>
    <hyperlink r:id="rId773" ref="R3080"/>
    <hyperlink r:id="rId774" ref="R3081"/>
    <hyperlink r:id="rId775" ref="R3082"/>
    <hyperlink r:id="rId776" ref="R3083"/>
    <hyperlink r:id="rId777" ref="R3085"/>
    <hyperlink r:id="rId778" ref="R3086"/>
    <hyperlink r:id="rId779" ref="R3087"/>
    <hyperlink r:id="rId780" ref="R3088"/>
    <hyperlink r:id="rId781" ref="R3089"/>
    <hyperlink r:id="rId782" ref="R3090"/>
    <hyperlink r:id="rId783" ref="R3092"/>
    <hyperlink r:id="rId784" ref="R3093"/>
    <hyperlink r:id="rId785" ref="R3095"/>
    <hyperlink r:id="rId786" ref="R3096"/>
    <hyperlink r:id="rId787" ref="R3097"/>
    <hyperlink r:id="rId788" ref="R3098"/>
    <hyperlink r:id="rId789" ref="R3099"/>
    <hyperlink r:id="rId790" ref="R3100"/>
    <hyperlink r:id="rId791" ref="R3101"/>
    <hyperlink r:id="rId792" ref="R3102"/>
    <hyperlink r:id="rId793" ref="R3103"/>
    <hyperlink r:id="rId794" ref="R3104"/>
    <hyperlink r:id="rId795" ref="R3105"/>
    <hyperlink r:id="rId796" ref="R3106"/>
    <hyperlink r:id="rId797" ref="R3107"/>
    <hyperlink r:id="rId798" ref="R3109"/>
    <hyperlink r:id="rId799" ref="R3110"/>
    <hyperlink r:id="rId800" ref="R3112"/>
    <hyperlink r:id="rId801" ref="R3114"/>
    <hyperlink r:id="rId802" ref="R3115"/>
    <hyperlink r:id="rId803" ref="R3116"/>
    <hyperlink r:id="rId804" ref="R3117"/>
    <hyperlink r:id="rId805" ref="R3119"/>
    <hyperlink r:id="rId806" ref="R3120"/>
    <hyperlink r:id="rId807" ref="R3121"/>
    <hyperlink r:id="rId808" ref="R3123"/>
    <hyperlink r:id="rId809" ref="R3126"/>
    <hyperlink r:id="rId810" ref="R3128"/>
    <hyperlink r:id="rId811" ref="R3129"/>
    <hyperlink r:id="rId812" ref="R3130"/>
    <hyperlink r:id="rId813" ref="R3131"/>
    <hyperlink r:id="rId814" ref="R3137"/>
    <hyperlink r:id="rId815" ref="R3141"/>
    <hyperlink r:id="rId816" ref="R3142"/>
    <hyperlink r:id="rId817" ref="R3143"/>
    <hyperlink r:id="rId818" ref="R3144"/>
    <hyperlink r:id="rId819" ref="R3145"/>
    <hyperlink r:id="rId820" ref="R3148"/>
    <hyperlink r:id="rId821" ref="R3149"/>
    <hyperlink r:id="rId822" ref="R3151"/>
    <hyperlink r:id="rId823" ref="R3152"/>
    <hyperlink r:id="rId824" ref="R3153"/>
    <hyperlink r:id="rId825" ref="R3154"/>
    <hyperlink r:id="rId826" ref="R3155"/>
    <hyperlink r:id="rId827" ref="R3156"/>
    <hyperlink r:id="rId828" ref="R3157"/>
    <hyperlink r:id="rId829" ref="R3159"/>
    <hyperlink r:id="rId830" ref="R3163"/>
    <hyperlink r:id="rId831" ref="R3164"/>
    <hyperlink r:id="rId832" ref="R3165"/>
    <hyperlink r:id="rId833" ref="R3166"/>
    <hyperlink r:id="rId834" ref="R3169"/>
    <hyperlink r:id="rId835" ref="R3170"/>
    <hyperlink r:id="rId836" ref="R3172"/>
    <hyperlink r:id="rId837" ref="R3173"/>
    <hyperlink r:id="rId838" ref="R3174"/>
    <hyperlink r:id="rId839" ref="R3175"/>
    <hyperlink r:id="rId840" ref="R3176"/>
    <hyperlink r:id="rId841" ref="R3177"/>
    <hyperlink r:id="rId842" ref="R3179"/>
    <hyperlink r:id="rId843" ref="R3180"/>
    <hyperlink r:id="rId844" ref="R3181"/>
    <hyperlink r:id="rId845" ref="R3182"/>
    <hyperlink r:id="rId846" ref="R3183"/>
    <hyperlink r:id="rId847" ref="R3184"/>
    <hyperlink r:id="rId848" ref="R3186"/>
    <hyperlink r:id="rId849" ref="R3187"/>
    <hyperlink r:id="rId850" ref="R3188"/>
    <hyperlink r:id="rId851" ref="R3189"/>
    <hyperlink r:id="rId852" ref="R3190"/>
    <hyperlink r:id="rId853" ref="R3191"/>
    <hyperlink r:id="rId854" ref="R3192"/>
    <hyperlink r:id="rId855" ref="R3193"/>
    <hyperlink r:id="rId856" ref="R3194"/>
    <hyperlink r:id="rId857" ref="R3195"/>
    <hyperlink r:id="rId858" ref="R3196"/>
    <hyperlink r:id="rId859" ref="R3197"/>
    <hyperlink r:id="rId860" ref="R3198"/>
    <hyperlink r:id="rId861" ref="R3199"/>
    <hyperlink r:id="rId862" ref="R3201"/>
    <hyperlink r:id="rId863" ref="R3202"/>
    <hyperlink r:id="rId864" ref="R3203"/>
    <hyperlink r:id="rId865" ref="R3204"/>
    <hyperlink r:id="rId866" ref="R3205"/>
    <hyperlink r:id="rId867" ref="R3206"/>
    <hyperlink r:id="rId868" ref="R3207"/>
    <hyperlink r:id="rId869" ref="R3208"/>
    <hyperlink r:id="rId870" ref="R3209"/>
    <hyperlink r:id="rId871" ref="R3210"/>
    <hyperlink r:id="rId872" ref="R3211"/>
    <hyperlink r:id="rId873" ref="R3212"/>
    <hyperlink r:id="rId874" ref="R3213"/>
    <hyperlink r:id="rId875" ref="R3214"/>
    <hyperlink r:id="rId876" ref="R3215"/>
    <hyperlink r:id="rId877" ref="R3216"/>
    <hyperlink r:id="rId878" ref="R3217"/>
    <hyperlink r:id="rId879" ref="R3218"/>
    <hyperlink r:id="rId880" ref="R3219"/>
    <hyperlink r:id="rId881" ref="R3220"/>
    <hyperlink r:id="rId882" ref="R3222"/>
    <hyperlink r:id="rId883" ref="R3224"/>
    <hyperlink r:id="rId884" ref="R3225"/>
    <hyperlink r:id="rId885" ref="R3226"/>
    <hyperlink r:id="rId886" ref="R3227"/>
    <hyperlink r:id="rId887" ref="R3229"/>
    <hyperlink r:id="rId888" ref="R3231"/>
    <hyperlink r:id="rId889" ref="R3232"/>
    <hyperlink r:id="rId890" ref="R3233"/>
    <hyperlink r:id="rId891" ref="R3234"/>
    <hyperlink r:id="rId892" ref="R3236"/>
    <hyperlink r:id="rId893" ref="R3238"/>
    <hyperlink r:id="rId894" ref="R3243"/>
    <hyperlink r:id="rId895" ref="R3244"/>
    <hyperlink r:id="rId896" ref="R3245"/>
    <hyperlink r:id="rId897" ref="R3248"/>
    <hyperlink r:id="rId898" ref="R3249"/>
    <hyperlink r:id="rId899" ref="R3250"/>
    <hyperlink r:id="rId900" ref="R3251"/>
    <hyperlink r:id="rId901" ref="R3253"/>
    <hyperlink r:id="rId902" ref="R3254"/>
    <hyperlink r:id="rId903" ref="R3256"/>
    <hyperlink r:id="rId904" ref="R3257"/>
    <hyperlink r:id="rId905" ref="R3258"/>
    <hyperlink r:id="rId906" ref="R3259"/>
    <hyperlink r:id="rId907" ref="R3261"/>
    <hyperlink r:id="rId908" ref="R3262"/>
    <hyperlink r:id="rId909" ref="R3263"/>
    <hyperlink r:id="rId910" ref="R3264"/>
    <hyperlink r:id="rId911" ref="R3265"/>
    <hyperlink r:id="rId912" ref="R3266"/>
    <hyperlink r:id="rId913" ref="R3267"/>
    <hyperlink r:id="rId914" ref="R3268"/>
    <hyperlink r:id="rId915" ref="R3269"/>
    <hyperlink r:id="rId916" ref="R3270"/>
    <hyperlink r:id="rId917" ref="R3271"/>
    <hyperlink r:id="rId918" ref="R3272"/>
    <hyperlink r:id="rId919" ref="R3274"/>
    <hyperlink r:id="rId920" ref="R3275"/>
    <hyperlink r:id="rId921" ref="R3276"/>
    <hyperlink r:id="rId922" ref="R3277"/>
    <hyperlink r:id="rId923" ref="R3278"/>
    <hyperlink r:id="rId924" ref="R3281"/>
    <hyperlink r:id="rId925" ref="R3283"/>
    <hyperlink r:id="rId926" ref="R3284"/>
    <hyperlink r:id="rId927" ref="R3285"/>
    <hyperlink r:id="rId928" ref="R3288"/>
    <hyperlink r:id="rId929" ref="R3289"/>
    <hyperlink r:id="rId930" ref="R3290"/>
    <hyperlink r:id="rId931" ref="R3291"/>
    <hyperlink r:id="rId932" ref="R3292"/>
    <hyperlink r:id="rId933" ref="R3293"/>
    <hyperlink r:id="rId934" ref="R3294"/>
    <hyperlink r:id="rId935" ref="R3295"/>
    <hyperlink r:id="rId936" ref="R3296"/>
    <hyperlink r:id="rId937" ref="R3297"/>
    <hyperlink r:id="rId938" ref="R3298"/>
    <hyperlink r:id="rId939" ref="R3299"/>
    <hyperlink r:id="rId940" ref="R3300"/>
    <hyperlink r:id="rId941" ref="R3301"/>
    <hyperlink r:id="rId942" ref="R3303"/>
    <hyperlink r:id="rId943" ref="R3304"/>
    <hyperlink r:id="rId944" ref="R3305"/>
    <hyperlink r:id="rId945" ref="R3307"/>
    <hyperlink r:id="rId946" ref="R3308"/>
    <hyperlink r:id="rId947" ref="R3309"/>
    <hyperlink r:id="rId948" ref="R3310"/>
    <hyperlink r:id="rId949" ref="R3311"/>
    <hyperlink r:id="rId950" ref="R3312"/>
    <hyperlink r:id="rId951" ref="R3313"/>
    <hyperlink r:id="rId952" ref="R3314"/>
    <hyperlink r:id="rId953" ref="R3315"/>
    <hyperlink r:id="rId954" ref="R3316"/>
    <hyperlink r:id="rId955" ref="R3317"/>
    <hyperlink r:id="rId956" ref="R3318"/>
    <hyperlink r:id="rId957" ref="R3319"/>
    <hyperlink r:id="rId958" ref="R3321"/>
    <hyperlink r:id="rId959" ref="R3322"/>
    <hyperlink r:id="rId960" ref="R3323"/>
    <hyperlink r:id="rId961" ref="R3325"/>
    <hyperlink r:id="rId962" ref="R3326"/>
    <hyperlink r:id="rId963" ref="R3327"/>
    <hyperlink r:id="rId964" ref="R3328"/>
    <hyperlink r:id="rId965" ref="R3330"/>
    <hyperlink r:id="rId966" ref="R3331"/>
    <hyperlink r:id="rId967" ref="R3332"/>
    <hyperlink r:id="rId968" ref="R3333"/>
    <hyperlink r:id="rId969" ref="R3334"/>
    <hyperlink r:id="rId970" ref="R3335"/>
    <hyperlink r:id="rId971" ref="R3337"/>
    <hyperlink r:id="rId972" ref="R3338"/>
    <hyperlink r:id="rId973" ref="R3339"/>
    <hyperlink r:id="rId974" ref="R3340"/>
    <hyperlink r:id="rId975" ref="R3341"/>
    <hyperlink r:id="rId976" ref="R3342"/>
    <hyperlink r:id="rId977" ref="R3345"/>
    <hyperlink r:id="rId978" ref="R3346"/>
    <hyperlink r:id="rId979" ref="R3348"/>
    <hyperlink r:id="rId980" ref="R3350"/>
    <hyperlink r:id="rId981" ref="R3351"/>
    <hyperlink r:id="rId982" ref="R3354"/>
    <hyperlink r:id="rId983" ref="R3355"/>
    <hyperlink r:id="rId984" ref="R3356"/>
    <hyperlink r:id="rId985" ref="R3357"/>
    <hyperlink r:id="rId986" ref="R3358"/>
    <hyperlink r:id="rId987" ref="R3359"/>
    <hyperlink r:id="rId988" ref="R3361"/>
    <hyperlink r:id="rId989" ref="R3362"/>
    <hyperlink r:id="rId990" ref="R3373"/>
    <hyperlink r:id="rId991" ref="R3374"/>
    <hyperlink r:id="rId992" ref="R3376"/>
    <hyperlink r:id="rId993" ref="R3377"/>
    <hyperlink r:id="rId994" ref="R3378"/>
    <hyperlink r:id="rId995" ref="R3379"/>
    <hyperlink r:id="rId996" ref="R3380"/>
    <hyperlink r:id="rId997" ref="R3385"/>
    <hyperlink r:id="rId998" ref="R3388"/>
    <hyperlink r:id="rId999" ref="R3393"/>
    <hyperlink r:id="rId1000" ref="R3395"/>
    <hyperlink r:id="rId1001" ref="R3397"/>
    <hyperlink r:id="rId1002" ref="R3400"/>
    <hyperlink r:id="rId1003" ref="R3401"/>
    <hyperlink r:id="rId1004" ref="R3402"/>
    <hyperlink r:id="rId1005" ref="R3403"/>
    <hyperlink r:id="rId1006" ref="R3404"/>
    <hyperlink r:id="rId1007" ref="R3405"/>
    <hyperlink r:id="rId1008" ref="R3410"/>
    <hyperlink r:id="rId1009" ref="R3412"/>
    <hyperlink r:id="rId1010" ref="R3414"/>
    <hyperlink r:id="rId1011" ref="R3417"/>
    <hyperlink r:id="rId1012" ref="R3418"/>
    <hyperlink r:id="rId1013" ref="R3420"/>
    <hyperlink r:id="rId1014" ref="R3421"/>
    <hyperlink r:id="rId1015" ref="R3422"/>
    <hyperlink r:id="rId1016" ref="R3423"/>
    <hyperlink r:id="rId1017" ref="R3424"/>
    <hyperlink r:id="rId1018" ref="R3425"/>
    <hyperlink r:id="rId1019" ref="R3426"/>
    <hyperlink r:id="rId1020" ref="R3427"/>
    <hyperlink r:id="rId1021" ref="R3428"/>
    <hyperlink r:id="rId1022" ref="R3429"/>
    <hyperlink r:id="rId1023" ref="R3430"/>
    <hyperlink r:id="rId1024" ref="R3431"/>
    <hyperlink r:id="rId1025" ref="R3432"/>
    <hyperlink r:id="rId1026" ref="R3433"/>
    <hyperlink r:id="rId1027" ref="R3434"/>
    <hyperlink r:id="rId1028" ref="R3436"/>
    <hyperlink r:id="rId1029" ref="R3437"/>
    <hyperlink r:id="rId1030" ref="R3438"/>
    <hyperlink r:id="rId1031" ref="R3439"/>
    <hyperlink r:id="rId1032" ref="R3440"/>
    <hyperlink r:id="rId1033" ref="R3441"/>
    <hyperlink r:id="rId1034" ref="R3442"/>
    <hyperlink r:id="rId1035" ref="R3443"/>
    <hyperlink r:id="rId1036" ref="R3444"/>
    <hyperlink r:id="rId1037" ref="R3449"/>
    <hyperlink r:id="rId1038" ref="R3450"/>
    <hyperlink r:id="rId1039" ref="R3452"/>
    <hyperlink r:id="rId1040" ref="R3454"/>
    <hyperlink r:id="rId1041" ref="R3455"/>
    <hyperlink r:id="rId1042" ref="R3456"/>
    <hyperlink r:id="rId1043" ref="R3462"/>
    <hyperlink r:id="rId1044" ref="R3463"/>
    <hyperlink r:id="rId1045" ref="R3465"/>
    <hyperlink r:id="rId1046" ref="R3466"/>
    <hyperlink r:id="rId1047" ref="R3467"/>
    <hyperlink r:id="rId1048" ref="R3471"/>
    <hyperlink r:id="rId1049" ref="R3472"/>
    <hyperlink r:id="rId1050" ref="R3473"/>
    <hyperlink r:id="rId1051" ref="R3476"/>
    <hyperlink r:id="rId1052" ref="R3481"/>
    <hyperlink r:id="rId1053" ref="R3482"/>
    <hyperlink r:id="rId1054" ref="R3483"/>
    <hyperlink r:id="rId1055" ref="R3486"/>
    <hyperlink r:id="rId1056" ref="R3487"/>
    <hyperlink r:id="rId1057" ref="R3488"/>
    <hyperlink r:id="rId1058" ref="R3489"/>
    <hyperlink r:id="rId1059" ref="R3490"/>
    <hyperlink r:id="rId1060" ref="R3491"/>
    <hyperlink r:id="rId1061" ref="R3492"/>
    <hyperlink r:id="rId1062" ref="R3493"/>
    <hyperlink r:id="rId1063" ref="R3494"/>
    <hyperlink r:id="rId1064" ref="R3495"/>
    <hyperlink r:id="rId1065" ref="R3498"/>
    <hyperlink r:id="rId1066" ref="R3499"/>
    <hyperlink r:id="rId1067" ref="R3501"/>
    <hyperlink r:id="rId1068" ref="R3503"/>
    <hyperlink r:id="rId1069" ref="R3504"/>
    <hyperlink r:id="rId1070" ref="R3506"/>
    <hyperlink r:id="rId1071" ref="R3507"/>
    <hyperlink r:id="rId1072" ref="R3509"/>
    <hyperlink r:id="rId1073" ref="R3510"/>
    <hyperlink r:id="rId1074" ref="R3511"/>
    <hyperlink r:id="rId1075" ref="R3512"/>
    <hyperlink r:id="rId1076" ref="R3513"/>
    <hyperlink r:id="rId1077" ref="R3514"/>
    <hyperlink r:id="rId1078" ref="R3515"/>
    <hyperlink r:id="rId1079" ref="R3516"/>
    <hyperlink r:id="rId1080" ref="R3519"/>
    <hyperlink r:id="rId1081" ref="R3520"/>
    <hyperlink r:id="rId1082" ref="R3524"/>
    <hyperlink r:id="rId1083" ref="R3526"/>
    <hyperlink r:id="rId1084" ref="R3527"/>
    <hyperlink r:id="rId1085" ref="R3529"/>
    <hyperlink r:id="rId1086" ref="R3530"/>
    <hyperlink r:id="rId1087" ref="R3531"/>
    <hyperlink r:id="rId1088" ref="R3532"/>
    <hyperlink r:id="rId1089" ref="R3533"/>
    <hyperlink r:id="rId1090" ref="R3534"/>
    <hyperlink r:id="rId1091" ref="R3535"/>
    <hyperlink r:id="rId1092" ref="R3536"/>
    <hyperlink r:id="rId1093" ref="R3537"/>
    <hyperlink r:id="rId1094" ref="R3538"/>
    <hyperlink r:id="rId1095" ref="R3539"/>
    <hyperlink r:id="rId1096" ref="R3540"/>
    <hyperlink r:id="rId1097" ref="R3541"/>
    <hyperlink r:id="rId1098" ref="R3543"/>
    <hyperlink r:id="rId1099" ref="R3544"/>
    <hyperlink r:id="rId1100" ref="R3551"/>
    <hyperlink r:id="rId1101" ref="R3552"/>
    <hyperlink r:id="rId1102" ref="R3553"/>
    <hyperlink r:id="rId1103" ref="R3562"/>
    <hyperlink r:id="rId1104" ref="R3563"/>
    <hyperlink r:id="rId1105" ref="R3565"/>
    <hyperlink r:id="rId1106" ref="R3566"/>
    <hyperlink r:id="rId1107" ref="R3567"/>
    <hyperlink r:id="rId1108" ref="R3568"/>
    <hyperlink r:id="rId1109" ref="R3569"/>
    <hyperlink r:id="rId1110" ref="R3571"/>
    <hyperlink r:id="rId1111" ref="R3572"/>
    <hyperlink r:id="rId1112" ref="R3574"/>
    <hyperlink r:id="rId1113" ref="R3579"/>
    <hyperlink r:id="rId1114" ref="R3580"/>
    <hyperlink r:id="rId1115" ref="R3581"/>
    <hyperlink r:id="rId1116" ref="R3583"/>
    <hyperlink r:id="rId1117" ref="R3584"/>
    <hyperlink r:id="rId1118" ref="R3585"/>
    <hyperlink r:id="rId1119" ref="R3593"/>
    <hyperlink r:id="rId1120" ref="R3600"/>
    <hyperlink r:id="rId1121" ref="R3601"/>
    <hyperlink r:id="rId1122" ref="R3602"/>
    <hyperlink r:id="rId1123" ref="R3603"/>
    <hyperlink r:id="rId1124" ref="R3609"/>
    <hyperlink r:id="rId1125" ref="R3610"/>
    <hyperlink r:id="rId1126" ref="R3614"/>
    <hyperlink r:id="rId1127" ref="R3616"/>
    <hyperlink r:id="rId1128" ref="R3617"/>
    <hyperlink r:id="rId1129" ref="R3618"/>
    <hyperlink r:id="rId1130" ref="R3619"/>
    <hyperlink r:id="rId1131" ref="R3621"/>
    <hyperlink r:id="rId1132" ref="R3623"/>
    <hyperlink r:id="rId1133" ref="R3625"/>
    <hyperlink r:id="rId1134" ref="R3627"/>
    <hyperlink r:id="rId1135" ref="R3628"/>
    <hyperlink r:id="rId1136" ref="R3629"/>
    <hyperlink r:id="rId1137" ref="R3632"/>
    <hyperlink r:id="rId1138" ref="R3633"/>
    <hyperlink r:id="rId1139" ref="R3634"/>
    <hyperlink r:id="rId1140" ref="R3636"/>
    <hyperlink r:id="rId1141" ref="R3637"/>
    <hyperlink r:id="rId1142" ref="R3638"/>
    <hyperlink r:id="rId1143" ref="R3639"/>
    <hyperlink r:id="rId1144" ref="R3640"/>
    <hyperlink r:id="rId1145" ref="R3641"/>
    <hyperlink r:id="rId1146" ref="R3643"/>
    <hyperlink r:id="rId1147" ref="R3644"/>
    <hyperlink r:id="rId1148" ref="R3645"/>
    <hyperlink r:id="rId1149" ref="R3647"/>
    <hyperlink r:id="rId1150" ref="R3648"/>
    <hyperlink r:id="rId1151" ref="R3649"/>
    <hyperlink r:id="rId1152" ref="R3650"/>
    <hyperlink r:id="rId1153" ref="R3651"/>
    <hyperlink r:id="rId1154" ref="R3652"/>
    <hyperlink r:id="rId1155" ref="R3653"/>
    <hyperlink r:id="rId1156" ref="R3654"/>
    <hyperlink r:id="rId1157" ref="R3655"/>
    <hyperlink r:id="rId1158" ref="R3656"/>
    <hyperlink r:id="rId1159" ref="R3657"/>
    <hyperlink r:id="rId1160" ref="R3658"/>
    <hyperlink r:id="rId1161" ref="R3659"/>
    <hyperlink r:id="rId1162" ref="R3661"/>
    <hyperlink r:id="rId1163" ref="R3663"/>
    <hyperlink r:id="rId1164" ref="R3664"/>
    <hyperlink r:id="rId1165" ref="R3665"/>
    <hyperlink r:id="rId1166" ref="R3666"/>
    <hyperlink r:id="rId1167" ref="R3667"/>
    <hyperlink r:id="rId1168" ref="R3668"/>
    <hyperlink r:id="rId1169" ref="R3669"/>
    <hyperlink r:id="rId1170" ref="R3671"/>
    <hyperlink r:id="rId1171" ref="R3672"/>
    <hyperlink r:id="rId1172" ref="R3674"/>
    <hyperlink r:id="rId1173" ref="R3675"/>
    <hyperlink r:id="rId1174" ref="R3676"/>
    <hyperlink r:id="rId1175" ref="R3677"/>
    <hyperlink r:id="rId1176" ref="R3678"/>
    <hyperlink r:id="rId1177" ref="R3679"/>
    <hyperlink r:id="rId1178" ref="R3680"/>
    <hyperlink r:id="rId1179" ref="R3681"/>
    <hyperlink r:id="rId1180" ref="R3685"/>
    <hyperlink r:id="rId1181" ref="R3686"/>
    <hyperlink r:id="rId1182" ref="R3687"/>
    <hyperlink r:id="rId1183" ref="R3688"/>
    <hyperlink r:id="rId1184" ref="R3689"/>
    <hyperlink r:id="rId1185" ref="R3690"/>
    <hyperlink r:id="rId1186" ref="R3691"/>
    <hyperlink r:id="rId1187" ref="R3692"/>
    <hyperlink r:id="rId1188" ref="R3693"/>
    <hyperlink r:id="rId1189" ref="R3695"/>
    <hyperlink r:id="rId1190" ref="R3697"/>
    <hyperlink r:id="rId1191" ref="R3698"/>
    <hyperlink r:id="rId1192" ref="R3699"/>
    <hyperlink r:id="rId1193" ref="R3700"/>
    <hyperlink r:id="rId1194" ref="R3702"/>
    <hyperlink r:id="rId1195" ref="R3706"/>
    <hyperlink r:id="rId1196" ref="R3707"/>
    <hyperlink r:id="rId1197" ref="R3710"/>
    <hyperlink r:id="rId1198" ref="R3712"/>
    <hyperlink r:id="rId1199" ref="R3713"/>
    <hyperlink r:id="rId1200" ref="R3714"/>
    <hyperlink r:id="rId1201" ref="R3715"/>
    <hyperlink r:id="rId1202" ref="R3718"/>
    <hyperlink r:id="rId1203" ref="R3719"/>
    <hyperlink r:id="rId1204" ref="R3721"/>
    <hyperlink r:id="rId1205" ref="R3723"/>
    <hyperlink r:id="rId1206" ref="R3724"/>
    <hyperlink r:id="rId1207" ref="R3726"/>
    <hyperlink r:id="rId1208" ref="R3727"/>
    <hyperlink r:id="rId1209" ref="R3728"/>
    <hyperlink r:id="rId1210" ref="R3729"/>
    <hyperlink r:id="rId1211" ref="R3731"/>
    <hyperlink r:id="rId1212" ref="R3732"/>
    <hyperlink r:id="rId1213" ref="R3733"/>
    <hyperlink r:id="rId1214" ref="R3734"/>
    <hyperlink r:id="rId1215" ref="R3735"/>
    <hyperlink r:id="rId1216" ref="R3736"/>
    <hyperlink r:id="rId1217" ref="R3737"/>
    <hyperlink r:id="rId1218" ref="R3738"/>
    <hyperlink r:id="rId1219" ref="R3739"/>
    <hyperlink r:id="rId1220" ref="R3740"/>
    <hyperlink r:id="rId1221" ref="R3742"/>
    <hyperlink r:id="rId1222" ref="R3743"/>
    <hyperlink r:id="rId1223" ref="R3744"/>
    <hyperlink r:id="rId1224" ref="R3745"/>
    <hyperlink r:id="rId1225" ref="R3748"/>
    <hyperlink r:id="rId1226" ref="R3749"/>
    <hyperlink r:id="rId1227" ref="R3750"/>
    <hyperlink r:id="rId1228" ref="R3752"/>
    <hyperlink r:id="rId1229" ref="R3754"/>
    <hyperlink r:id="rId1230" ref="R3755"/>
    <hyperlink r:id="rId1231" ref="R3756"/>
    <hyperlink r:id="rId1232" ref="R3757"/>
    <hyperlink r:id="rId1233" ref="R3758"/>
    <hyperlink r:id="rId1234" ref="R3759"/>
    <hyperlink r:id="rId1235" ref="R3760"/>
    <hyperlink r:id="rId1236" ref="R3761"/>
    <hyperlink r:id="rId1237" ref="R3762"/>
    <hyperlink r:id="rId1238" ref="R3763"/>
    <hyperlink r:id="rId1239" ref="R3764"/>
    <hyperlink r:id="rId1240" ref="R3766"/>
    <hyperlink r:id="rId1241" ref="R3767"/>
    <hyperlink r:id="rId1242" ref="R3768"/>
    <hyperlink r:id="rId1243" ref="R3772"/>
    <hyperlink r:id="rId1244" ref="R3773"/>
    <hyperlink r:id="rId1245" ref="R3777"/>
    <hyperlink r:id="rId1246" ref="R3778"/>
    <hyperlink r:id="rId1247" ref="R3779"/>
    <hyperlink r:id="rId1248" ref="R3780"/>
    <hyperlink r:id="rId1249" ref="R3781"/>
    <hyperlink r:id="rId1250" ref="R3782"/>
    <hyperlink r:id="rId1251" ref="R3783"/>
    <hyperlink r:id="rId1252" ref="R3784"/>
    <hyperlink r:id="rId1253" ref="R3785"/>
    <hyperlink r:id="rId1254" ref="R3786"/>
    <hyperlink r:id="rId1255" ref="R3787"/>
    <hyperlink r:id="rId1256" ref="R3788"/>
    <hyperlink r:id="rId1257" ref="R3789"/>
    <hyperlink r:id="rId1258" ref="R3790"/>
    <hyperlink r:id="rId1259" ref="R3791"/>
    <hyperlink r:id="rId1260" ref="R3792"/>
    <hyperlink r:id="rId1261" ref="R3793"/>
    <hyperlink r:id="rId1262" ref="R3794"/>
    <hyperlink r:id="rId1263" ref="R3796"/>
    <hyperlink r:id="rId1264" ref="R3798"/>
    <hyperlink r:id="rId1265" ref="R3799"/>
    <hyperlink r:id="rId1266" ref="R3800"/>
    <hyperlink r:id="rId1267" ref="R3801"/>
    <hyperlink r:id="rId1268" ref="R3802"/>
    <hyperlink r:id="rId1269" ref="R3803"/>
    <hyperlink r:id="rId1270" ref="R3804"/>
    <hyperlink r:id="rId1271" ref="R3805"/>
    <hyperlink r:id="rId1272" ref="R3807"/>
    <hyperlink r:id="rId1273" ref="R3808"/>
    <hyperlink r:id="rId1274" ref="R3809"/>
    <hyperlink r:id="rId1275" ref="R3810"/>
    <hyperlink r:id="rId1276" ref="R3811"/>
    <hyperlink r:id="rId1277" ref="R3812"/>
    <hyperlink r:id="rId1278" ref="R3813"/>
    <hyperlink r:id="rId1279" ref="R3814"/>
    <hyperlink r:id="rId1280" ref="R3817"/>
    <hyperlink r:id="rId1281" ref="R3818"/>
    <hyperlink r:id="rId1282" ref="R3819"/>
    <hyperlink r:id="rId1283" ref="R3820"/>
    <hyperlink r:id="rId1284" ref="R3821"/>
    <hyperlink r:id="rId1285" ref="R3822"/>
    <hyperlink r:id="rId1286" ref="R3823"/>
    <hyperlink r:id="rId1287" ref="R3824"/>
    <hyperlink r:id="rId1288" ref="R3825"/>
    <hyperlink r:id="rId1289" ref="R3826"/>
    <hyperlink r:id="rId1290" ref="R3828"/>
    <hyperlink r:id="rId1291" ref="R3829"/>
    <hyperlink r:id="rId1292" ref="R3830"/>
    <hyperlink r:id="rId1293" ref="R3831"/>
    <hyperlink r:id="rId1294" ref="R3832"/>
    <hyperlink r:id="rId1295" ref="R3833"/>
    <hyperlink r:id="rId1296" ref="R3834"/>
    <hyperlink r:id="rId1297" ref="R3835"/>
    <hyperlink r:id="rId1298" ref="R3836"/>
    <hyperlink r:id="rId1299" ref="R3837"/>
    <hyperlink r:id="rId1300" ref="R3840"/>
    <hyperlink r:id="rId1301" ref="R3841"/>
    <hyperlink r:id="rId1302" ref="R3842"/>
    <hyperlink r:id="rId1303" ref="R3843"/>
    <hyperlink r:id="rId1304" ref="R3845"/>
    <hyperlink r:id="rId1305" ref="R3848"/>
    <hyperlink r:id="rId1306" ref="R3850"/>
    <hyperlink r:id="rId1307" ref="R3851"/>
    <hyperlink r:id="rId1308" ref="R3852"/>
    <hyperlink r:id="rId1309" ref="R3853"/>
    <hyperlink r:id="rId1310" ref="R3861"/>
    <hyperlink r:id="rId1311" ref="R3862"/>
    <hyperlink r:id="rId1312" ref="R3863"/>
    <hyperlink r:id="rId1313" ref="R3864"/>
    <hyperlink r:id="rId1314" ref="R3865"/>
    <hyperlink r:id="rId1315" ref="R3867"/>
    <hyperlink r:id="rId1316" ref="R3868"/>
    <hyperlink r:id="rId1317" ref="R3869"/>
    <hyperlink r:id="rId1318" ref="R3870"/>
    <hyperlink r:id="rId1319" ref="R3871"/>
    <hyperlink r:id="rId1320" ref="R3872"/>
    <hyperlink r:id="rId1321" ref="R3873"/>
    <hyperlink r:id="rId1322" ref="R3877"/>
    <hyperlink r:id="rId1323" ref="R3879"/>
    <hyperlink r:id="rId1324" ref="R3881"/>
    <hyperlink r:id="rId1325" ref="R3882"/>
    <hyperlink r:id="rId1326" ref="R3884"/>
    <hyperlink r:id="rId1327" ref="R3885"/>
    <hyperlink r:id="rId1328" ref="R3886"/>
    <hyperlink r:id="rId1329" ref="R3887"/>
    <hyperlink r:id="rId1330" ref="R3888"/>
    <hyperlink r:id="rId1331" ref="R3889"/>
    <hyperlink r:id="rId1332" ref="R3890"/>
    <hyperlink r:id="rId1333" ref="R3892"/>
    <hyperlink r:id="rId1334" ref="R3894"/>
    <hyperlink r:id="rId1335" ref="R3895"/>
    <hyperlink r:id="rId1336" ref="R3897"/>
    <hyperlink r:id="rId1337" ref="R3898"/>
    <hyperlink r:id="rId1338" ref="R3899"/>
    <hyperlink r:id="rId1339" ref="R3900"/>
    <hyperlink r:id="rId1340" ref="R3901"/>
    <hyperlink r:id="rId1341" ref="R3902"/>
    <hyperlink r:id="rId1342" ref="R3904"/>
    <hyperlink r:id="rId1343" ref="R3905"/>
    <hyperlink r:id="rId1344" ref="R3906"/>
    <hyperlink r:id="rId1345" ref="R3907"/>
    <hyperlink r:id="rId1346" ref="R3908"/>
    <hyperlink r:id="rId1347" ref="R3909"/>
    <hyperlink r:id="rId1348" ref="R3912"/>
    <hyperlink r:id="rId1349" ref="R3913"/>
    <hyperlink r:id="rId1350" ref="R3914"/>
    <hyperlink r:id="rId1351" ref="R3915"/>
    <hyperlink r:id="rId1352" ref="R3916"/>
    <hyperlink r:id="rId1353" ref="R3917"/>
    <hyperlink r:id="rId1354" ref="R3920"/>
    <hyperlink r:id="rId1355" ref="R3921"/>
    <hyperlink r:id="rId1356" ref="R3922"/>
    <hyperlink r:id="rId1357" ref="R3923"/>
    <hyperlink r:id="rId1358" ref="R3924"/>
    <hyperlink r:id="rId1359" ref="R3925"/>
    <hyperlink r:id="rId1360" ref="R3926"/>
    <hyperlink r:id="rId1361" ref="R3929"/>
    <hyperlink r:id="rId1362" ref="R3930"/>
    <hyperlink r:id="rId1363" ref="R3931"/>
    <hyperlink r:id="rId1364" ref="R3932"/>
    <hyperlink r:id="rId1365" ref="R3933"/>
    <hyperlink r:id="rId1366" ref="R3934"/>
    <hyperlink r:id="rId1367" ref="R3935"/>
    <hyperlink r:id="rId1368" ref="R3936"/>
    <hyperlink r:id="rId1369" ref="R3937"/>
    <hyperlink r:id="rId1370" ref="R3938"/>
    <hyperlink r:id="rId1371" ref="R3939"/>
    <hyperlink r:id="rId1372" ref="R3940"/>
    <hyperlink r:id="rId1373" ref="R3941"/>
    <hyperlink r:id="rId1374" ref="R3943"/>
    <hyperlink r:id="rId1375" ref="R3944"/>
    <hyperlink r:id="rId1376" ref="R3947"/>
    <hyperlink r:id="rId1377" ref="R3948"/>
    <hyperlink r:id="rId1378" ref="R3949"/>
    <hyperlink r:id="rId1379" ref="R3950"/>
    <hyperlink r:id="rId1380" ref="R3953"/>
    <hyperlink r:id="rId1381" ref="R3954"/>
    <hyperlink r:id="rId1382" ref="R3955"/>
    <hyperlink r:id="rId1383" ref="R3960"/>
    <hyperlink r:id="rId1384" ref="R3961"/>
    <hyperlink r:id="rId1385" ref="R3963"/>
    <hyperlink r:id="rId1386" ref="R3967"/>
    <hyperlink r:id="rId1387" ref="R3969"/>
    <hyperlink r:id="rId1388" ref="R3970"/>
    <hyperlink r:id="rId1389" ref="R3971"/>
    <hyperlink r:id="rId1390" ref="R3972"/>
    <hyperlink r:id="rId1391" ref="R3975"/>
    <hyperlink r:id="rId1392" ref="R3976"/>
    <hyperlink r:id="rId1393" ref="R3977"/>
    <hyperlink r:id="rId1394" ref="R3978"/>
    <hyperlink r:id="rId1395" ref="R3979"/>
    <hyperlink r:id="rId1396" ref="R3980"/>
    <hyperlink r:id="rId1397" ref="R3981"/>
    <hyperlink r:id="rId1398" ref="R3982"/>
    <hyperlink r:id="rId1399" ref="R3985"/>
    <hyperlink r:id="rId1400" ref="R3986"/>
    <hyperlink r:id="rId1401" ref="R3987"/>
    <hyperlink r:id="rId1402" ref="R3988"/>
    <hyperlink r:id="rId1403" ref="R3990"/>
    <hyperlink r:id="rId1404" ref="R3991"/>
    <hyperlink r:id="rId1405" ref="R3992"/>
    <hyperlink r:id="rId1406" ref="R3993"/>
    <hyperlink r:id="rId1407" ref="R3994"/>
    <hyperlink r:id="rId1408" ref="R3996"/>
    <hyperlink r:id="rId1409" ref="R3999"/>
    <hyperlink r:id="rId1410" ref="R4001"/>
    <hyperlink r:id="rId1411" ref="R4002"/>
    <hyperlink r:id="rId1412" ref="R4003"/>
    <hyperlink r:id="rId1413" ref="R4004"/>
    <hyperlink r:id="rId1414" ref="R4005"/>
    <hyperlink r:id="rId1415" ref="R4006"/>
    <hyperlink r:id="rId1416" ref="R4007"/>
    <hyperlink r:id="rId1417" ref="R4008"/>
    <hyperlink r:id="rId1418" ref="R4011"/>
    <hyperlink r:id="rId1419" ref="R4013"/>
    <hyperlink r:id="rId1420" ref="R4015"/>
    <hyperlink r:id="rId1421" ref="R4016"/>
    <hyperlink r:id="rId1422" ref="R4017"/>
    <hyperlink r:id="rId1423" ref="R4019"/>
    <hyperlink r:id="rId1424" ref="R4020"/>
    <hyperlink r:id="rId1425" ref="R4021"/>
    <hyperlink r:id="rId1426" ref="R4022"/>
    <hyperlink r:id="rId1427" ref="R4024"/>
    <hyperlink r:id="rId1428" ref="R4028"/>
    <hyperlink r:id="rId1429" ref="R4029"/>
    <hyperlink r:id="rId1430" ref="R4030"/>
    <hyperlink r:id="rId1431" ref="R4031"/>
    <hyperlink r:id="rId1432" ref="R4032"/>
    <hyperlink r:id="rId1433" ref="R4034"/>
    <hyperlink r:id="rId1434" ref="R4035"/>
    <hyperlink r:id="rId1435" ref="R4036"/>
    <hyperlink r:id="rId1436" ref="R4037"/>
    <hyperlink r:id="rId1437" ref="R4039"/>
    <hyperlink r:id="rId1438" ref="R4040"/>
    <hyperlink r:id="rId1439" ref="R4043"/>
    <hyperlink r:id="rId1440" ref="R4044"/>
    <hyperlink r:id="rId1441" ref="R4045"/>
    <hyperlink r:id="rId1442" ref="R4046"/>
    <hyperlink r:id="rId1443" ref="R4047"/>
    <hyperlink r:id="rId1444" ref="R4050"/>
    <hyperlink r:id="rId1445" ref="R4051"/>
    <hyperlink r:id="rId1446" ref="R4053"/>
    <hyperlink r:id="rId1447" ref="R4054"/>
    <hyperlink r:id="rId1448" ref="R4055"/>
    <hyperlink r:id="rId1449" ref="R4060"/>
    <hyperlink r:id="rId1450" ref="R4061"/>
    <hyperlink r:id="rId1451" ref="R4062"/>
    <hyperlink r:id="rId1452" ref="R4063"/>
    <hyperlink r:id="rId1453" ref="R4064"/>
    <hyperlink r:id="rId1454" ref="R4065"/>
    <hyperlink r:id="rId1455" ref="R4066"/>
    <hyperlink r:id="rId1456" ref="R4067"/>
    <hyperlink r:id="rId1457" ref="R4069"/>
    <hyperlink r:id="rId1458" ref="R4070"/>
    <hyperlink r:id="rId1459" ref="R4071"/>
    <hyperlink r:id="rId1460" ref="R4079"/>
    <hyperlink r:id="rId1461" ref="R4080"/>
    <hyperlink r:id="rId1462" ref="R4083"/>
    <hyperlink r:id="rId1463" ref="R4085"/>
    <hyperlink r:id="rId1464" ref="R4093"/>
    <hyperlink r:id="rId1465" ref="R4096"/>
    <hyperlink r:id="rId1466" ref="R4108"/>
    <hyperlink r:id="rId1467" ref="R4109"/>
    <hyperlink r:id="rId1468" ref="R4110"/>
    <hyperlink r:id="rId1469" ref="R4111"/>
    <hyperlink r:id="rId1470" ref="R4112"/>
    <hyperlink r:id="rId1471" ref="R4113"/>
    <hyperlink r:id="rId1472" ref="R4114"/>
    <hyperlink r:id="rId1473" ref="R4115"/>
    <hyperlink r:id="rId1474" ref="R4116"/>
    <hyperlink r:id="rId1475" ref="R4117"/>
    <hyperlink r:id="rId1476" ref="R4118"/>
    <hyperlink r:id="rId1477" ref="R4119"/>
    <hyperlink r:id="rId1478" ref="R4120"/>
    <hyperlink r:id="rId1479" ref="R4124"/>
    <hyperlink r:id="rId1480" ref="R4125"/>
    <hyperlink r:id="rId1481" ref="R4126"/>
    <hyperlink r:id="rId1482" ref="R4127"/>
    <hyperlink r:id="rId1483" ref="R4131"/>
    <hyperlink r:id="rId1484" ref="R4136"/>
    <hyperlink r:id="rId1485" ref="R4137"/>
    <hyperlink r:id="rId1486" ref="R4138"/>
    <hyperlink r:id="rId1487" ref="R4139"/>
    <hyperlink r:id="rId1488" ref="R4140"/>
    <hyperlink r:id="rId1489" ref="R4141"/>
    <hyperlink r:id="rId1490" ref="R4143"/>
    <hyperlink r:id="rId1491" ref="R4145"/>
    <hyperlink r:id="rId1492" ref="R4148"/>
    <hyperlink r:id="rId1493" ref="R4150"/>
    <hyperlink r:id="rId1494" ref="R4151"/>
    <hyperlink r:id="rId1495" ref="R4158"/>
    <hyperlink r:id="rId1496" ref="R4159"/>
    <hyperlink r:id="rId1497" ref="R4160"/>
    <hyperlink r:id="rId1498" ref="R4162"/>
    <hyperlink r:id="rId1499" ref="R4163"/>
    <hyperlink r:id="rId1500" ref="R4164"/>
    <hyperlink r:id="rId1501" ref="R4165"/>
    <hyperlink r:id="rId1502" ref="R4166"/>
    <hyperlink r:id="rId1503" ref="R4167"/>
    <hyperlink r:id="rId1504" ref="R4168"/>
    <hyperlink r:id="rId1505" ref="R4169"/>
    <hyperlink r:id="rId1506" ref="R4170"/>
    <hyperlink r:id="rId1507" ref="R4171"/>
    <hyperlink r:id="rId1508" ref="R4172"/>
    <hyperlink r:id="rId1509" ref="R4173"/>
    <hyperlink r:id="rId1510" ref="R4174"/>
    <hyperlink r:id="rId1511" ref="R4175"/>
    <hyperlink r:id="rId1512" ref="R4176"/>
    <hyperlink r:id="rId1513" ref="R4177"/>
    <hyperlink r:id="rId1514" ref="R4178"/>
    <hyperlink r:id="rId1515" ref="R4179"/>
    <hyperlink r:id="rId1516" ref="R4180"/>
    <hyperlink r:id="rId1517" ref="R4181"/>
    <hyperlink r:id="rId1518" ref="R4182"/>
    <hyperlink r:id="rId1519" ref="R4183"/>
    <hyperlink r:id="rId1520" ref="R4184"/>
    <hyperlink r:id="rId1521" ref="R4185"/>
    <hyperlink r:id="rId1522" ref="R4186"/>
    <hyperlink r:id="rId1523" ref="R4191"/>
    <hyperlink r:id="rId1524" ref="R4192"/>
    <hyperlink r:id="rId1525" ref="R4193"/>
    <hyperlink r:id="rId1526" ref="R4194"/>
    <hyperlink r:id="rId1527" ref="R4197"/>
    <hyperlink r:id="rId1528" ref="R4198"/>
    <hyperlink r:id="rId1529" ref="R4199"/>
    <hyperlink r:id="rId1530" ref="R4200"/>
    <hyperlink r:id="rId1531" ref="R4201"/>
    <hyperlink r:id="rId1532" ref="R4203"/>
    <hyperlink r:id="rId1533" ref="R4207"/>
    <hyperlink r:id="rId1534" ref="R4219"/>
    <hyperlink r:id="rId1535" ref="R4232"/>
    <hyperlink r:id="rId1536" ref="R4235"/>
    <hyperlink r:id="rId1537" ref="R4236"/>
    <hyperlink r:id="rId1538" ref="R4237"/>
    <hyperlink r:id="rId1539" ref="R4241"/>
    <hyperlink r:id="rId1540" ref="R4243"/>
    <hyperlink r:id="rId1541" ref="R4245"/>
    <hyperlink r:id="rId1542" ref="R4246"/>
    <hyperlink r:id="rId1543" ref="R4248"/>
    <hyperlink r:id="rId1544" ref="R4249"/>
    <hyperlink r:id="rId1545" ref="R4251"/>
    <hyperlink r:id="rId1546" ref="R4254"/>
    <hyperlink r:id="rId1547" ref="R4258"/>
    <hyperlink r:id="rId1548" ref="R4260"/>
    <hyperlink r:id="rId1549" ref="R4261"/>
    <hyperlink r:id="rId1550" ref="R4271"/>
    <hyperlink r:id="rId1551" ref="R4272"/>
    <hyperlink r:id="rId1552" ref="R4278"/>
    <hyperlink r:id="rId1553" ref="R4279"/>
    <hyperlink r:id="rId1554" ref="R4280"/>
    <hyperlink r:id="rId1555" ref="R4281"/>
    <hyperlink r:id="rId1556" ref="R4282"/>
    <hyperlink r:id="rId1557" ref="R4283"/>
    <hyperlink r:id="rId1558" ref="R4284"/>
    <hyperlink r:id="rId1559" ref="R4285"/>
    <hyperlink r:id="rId1560" ref="R4286"/>
    <hyperlink r:id="rId1561" ref="R4287"/>
    <hyperlink r:id="rId1562" ref="R4293"/>
    <hyperlink r:id="rId1563" ref="R4296"/>
    <hyperlink r:id="rId1564" ref="R4297"/>
    <hyperlink r:id="rId1565" ref="R4298"/>
    <hyperlink r:id="rId1566" ref="R4299"/>
    <hyperlink r:id="rId1567" ref="R4300"/>
    <hyperlink r:id="rId1568" ref="R4301"/>
    <hyperlink r:id="rId1569" ref="R4302"/>
    <hyperlink r:id="rId1570" ref="R4306"/>
    <hyperlink r:id="rId1571" ref="R4307"/>
    <hyperlink r:id="rId1572" ref="R4308"/>
    <hyperlink r:id="rId1573" ref="R4309"/>
    <hyperlink r:id="rId1574" ref="R4311"/>
    <hyperlink r:id="rId1575" ref="R4312"/>
    <hyperlink r:id="rId1576" ref="R4313"/>
    <hyperlink r:id="rId1577" ref="R4314"/>
    <hyperlink r:id="rId1578" ref="R4317"/>
    <hyperlink r:id="rId1579" ref="R4320"/>
    <hyperlink r:id="rId1580" ref="R4322"/>
    <hyperlink r:id="rId1581" ref="R4323"/>
    <hyperlink r:id="rId1582" ref="R4324"/>
    <hyperlink r:id="rId1583" ref="R4327"/>
    <hyperlink r:id="rId1584" ref="R4328"/>
    <hyperlink r:id="rId1585" ref="R4329"/>
    <hyperlink r:id="rId1586" ref="R4330"/>
    <hyperlink r:id="rId1587" ref="R4332"/>
    <hyperlink r:id="rId1588" ref="R4339"/>
    <hyperlink r:id="rId1589" ref="R4340"/>
    <hyperlink r:id="rId1590" ref="R4342"/>
    <hyperlink r:id="rId1591" ref="R4344"/>
    <hyperlink r:id="rId1592" ref="R4345"/>
    <hyperlink r:id="rId1593" ref="R4348"/>
    <hyperlink r:id="rId1594" ref="R4350"/>
    <hyperlink r:id="rId1595" ref="R4353"/>
    <hyperlink r:id="rId1596" ref="R4354"/>
    <hyperlink r:id="rId1597" ref="R4356"/>
    <hyperlink r:id="rId1598" ref="R4357"/>
    <hyperlink r:id="rId1599" ref="R4358"/>
    <hyperlink r:id="rId1600" ref="R4359"/>
    <hyperlink r:id="rId1601" ref="R4360"/>
    <hyperlink r:id="rId1602" ref="R4362"/>
    <hyperlink r:id="rId1603" ref="R4363"/>
    <hyperlink r:id="rId1604" ref="R4364"/>
    <hyperlink r:id="rId1605" ref="R4368"/>
    <hyperlink r:id="rId1606" ref="R4369"/>
    <hyperlink r:id="rId1607" ref="R4370"/>
    <hyperlink r:id="rId1608" ref="R4373"/>
    <hyperlink r:id="rId1609" ref="R4375"/>
    <hyperlink r:id="rId1610" ref="R4379"/>
    <hyperlink r:id="rId1611" ref="R4380"/>
    <hyperlink r:id="rId1612" ref="R4381"/>
    <hyperlink r:id="rId1613" ref="R4393"/>
    <hyperlink r:id="rId1614" ref="R4394"/>
    <hyperlink r:id="rId1615" ref="R4395"/>
    <hyperlink r:id="rId1616" ref="R4397"/>
    <hyperlink r:id="rId1617" ref="R4398"/>
    <hyperlink r:id="rId1618" ref="R4399"/>
    <hyperlink r:id="rId1619" ref="R4400"/>
    <hyperlink r:id="rId1620" ref="R4401"/>
    <hyperlink r:id="rId1621" ref="R4402"/>
    <hyperlink r:id="rId1622" ref="R4403"/>
    <hyperlink r:id="rId1623" ref="R4404"/>
    <hyperlink r:id="rId1624" ref="R4406"/>
    <hyperlink r:id="rId1625" ref="R4407"/>
    <hyperlink r:id="rId1626" ref="R4409"/>
    <hyperlink r:id="rId1627" ref="R4415"/>
    <hyperlink r:id="rId1628" ref="R4416"/>
    <hyperlink r:id="rId1629" ref="R4417"/>
    <hyperlink r:id="rId1630" ref="R4418"/>
    <hyperlink r:id="rId1631" ref="R4419"/>
    <hyperlink r:id="rId1632" ref="R4423"/>
    <hyperlink r:id="rId1633" ref="R4425"/>
    <hyperlink r:id="rId1634" ref="R4437"/>
    <hyperlink r:id="rId1635" ref="R4439"/>
    <hyperlink r:id="rId1636" ref="R4440"/>
    <hyperlink r:id="rId1637" ref="R4441"/>
    <hyperlink r:id="rId1638" ref="R4442"/>
    <hyperlink r:id="rId1639" ref="R4443"/>
    <hyperlink r:id="rId1640" ref="R4445"/>
    <hyperlink r:id="rId1641" ref="R4446"/>
    <hyperlink r:id="rId1642" ref="R4447"/>
    <hyperlink r:id="rId1643" ref="R4453"/>
    <hyperlink r:id="rId1644" ref="R4457"/>
    <hyperlink r:id="rId1645" ref="R4459"/>
    <hyperlink r:id="rId1646" ref="R4460"/>
    <hyperlink r:id="rId1647" ref="R4462"/>
    <hyperlink r:id="rId1648" ref="R4466"/>
    <hyperlink r:id="rId1649" ref="R4467"/>
    <hyperlink r:id="rId1650" ref="R4468"/>
    <hyperlink r:id="rId1651" ref="R4470"/>
    <hyperlink r:id="rId1652" ref="R4472"/>
    <hyperlink r:id="rId1653" ref="R4477"/>
    <hyperlink r:id="rId1654" ref="R4480"/>
    <hyperlink r:id="rId1655" ref="R4481"/>
    <hyperlink r:id="rId1656" ref="R4482"/>
    <hyperlink r:id="rId1657" ref="R4483"/>
    <hyperlink r:id="rId1658" ref="R4484"/>
    <hyperlink r:id="rId1659" ref="R4485"/>
    <hyperlink r:id="rId1660" ref="R4486"/>
    <hyperlink r:id="rId1661" ref="R4494"/>
    <hyperlink r:id="rId1662" ref="R4495"/>
    <hyperlink r:id="rId1663" ref="R4496"/>
    <hyperlink r:id="rId1664" ref="R4497"/>
    <hyperlink r:id="rId1665" ref="R4498"/>
    <hyperlink r:id="rId1666" ref="R4499"/>
    <hyperlink r:id="rId1667" ref="R4500"/>
    <hyperlink r:id="rId1668" ref="R4503"/>
    <hyperlink r:id="rId1669" ref="R4504"/>
    <hyperlink r:id="rId1670" ref="R4506"/>
    <hyperlink r:id="rId1671" ref="R4507"/>
    <hyperlink r:id="rId1672" ref="R4508"/>
    <hyperlink r:id="rId1673" ref="R4509"/>
    <hyperlink r:id="rId1674" ref="R4510"/>
    <hyperlink r:id="rId1675" ref="R4511"/>
    <hyperlink r:id="rId1676" ref="R4512"/>
    <hyperlink r:id="rId1677" ref="R4513"/>
    <hyperlink r:id="rId1678" ref="R4516"/>
    <hyperlink r:id="rId1679" ref="R4517"/>
    <hyperlink r:id="rId1680" ref="R4519"/>
    <hyperlink r:id="rId1681" ref="R4520"/>
    <hyperlink r:id="rId1682" ref="R4521"/>
    <hyperlink r:id="rId1683" ref="R4526"/>
    <hyperlink r:id="rId1684" ref="R4528"/>
    <hyperlink r:id="rId1685" ref="R4529"/>
    <hyperlink r:id="rId1686" ref="R4530"/>
    <hyperlink r:id="rId1687" ref="R4533"/>
    <hyperlink r:id="rId1688" ref="R4535"/>
    <hyperlink r:id="rId1689" ref="R4536"/>
    <hyperlink r:id="rId1690" ref="R4537"/>
    <hyperlink r:id="rId1691" ref="R4538"/>
    <hyperlink r:id="rId1692" ref="R4539"/>
    <hyperlink r:id="rId1693" ref="R4540"/>
    <hyperlink r:id="rId1694" ref="R4541"/>
    <hyperlink r:id="rId1695" ref="R4542"/>
    <hyperlink r:id="rId1696" ref="R4544"/>
    <hyperlink r:id="rId1697" ref="R4545"/>
    <hyperlink r:id="rId1698" ref="R4546"/>
    <hyperlink r:id="rId1699" ref="R4547"/>
    <hyperlink r:id="rId1700" ref="R4548"/>
    <hyperlink r:id="rId1701" ref="R4549"/>
    <hyperlink r:id="rId1702" ref="R4550"/>
    <hyperlink r:id="rId1703" ref="R4551"/>
    <hyperlink r:id="rId1704" ref="R4552"/>
    <hyperlink r:id="rId1705" ref="R4553"/>
    <hyperlink r:id="rId1706" ref="R4555"/>
    <hyperlink r:id="rId1707" ref="R4560"/>
    <hyperlink r:id="rId1708" ref="R4562"/>
    <hyperlink r:id="rId1709" ref="R4563"/>
    <hyperlink r:id="rId1710" ref="R4564"/>
    <hyperlink r:id="rId1711" ref="R4566"/>
    <hyperlink r:id="rId1712" ref="R4567"/>
    <hyperlink r:id="rId1713" ref="R4568"/>
    <hyperlink r:id="rId1714" ref="R4571"/>
    <hyperlink r:id="rId1715" ref="R4572"/>
    <hyperlink r:id="rId1716" ref="R4579"/>
    <hyperlink r:id="rId1717" ref="R4580"/>
    <hyperlink r:id="rId1718" ref="R4584"/>
    <hyperlink r:id="rId1719" ref="R4585"/>
    <hyperlink r:id="rId1720" ref="R4586"/>
    <hyperlink r:id="rId1721" ref="R4587"/>
    <hyperlink r:id="rId1722" ref="R4588"/>
    <hyperlink r:id="rId1723" ref="R4589"/>
    <hyperlink r:id="rId1724" ref="R4590"/>
    <hyperlink r:id="rId1725" ref="R4591"/>
    <hyperlink r:id="rId1726" ref="R4592"/>
    <hyperlink r:id="rId1727" ref="R4593"/>
    <hyperlink r:id="rId1728" ref="R4594"/>
    <hyperlink r:id="rId1729" ref="R4595"/>
    <hyperlink r:id="rId1730" ref="R4599"/>
    <hyperlink r:id="rId1731" ref="R4610"/>
    <hyperlink r:id="rId1732" ref="R4611"/>
    <hyperlink r:id="rId1733" ref="R4612"/>
    <hyperlink r:id="rId1734" ref="R4613"/>
    <hyperlink r:id="rId1735" ref="R4614"/>
    <hyperlink r:id="rId1736" ref="R4615"/>
    <hyperlink r:id="rId1737" ref="R4616"/>
    <hyperlink r:id="rId1738" ref="R4617"/>
    <hyperlink r:id="rId1739" ref="R4619"/>
    <hyperlink r:id="rId1740" ref="R4620"/>
    <hyperlink r:id="rId1741" ref="R4621"/>
    <hyperlink r:id="rId1742" ref="R4622"/>
    <hyperlink r:id="rId1743" ref="R4625"/>
    <hyperlink r:id="rId1744" ref="R4634"/>
    <hyperlink r:id="rId1745" ref="R4638"/>
    <hyperlink r:id="rId1746" ref="R4639"/>
    <hyperlink r:id="rId1747" ref="R4640"/>
    <hyperlink r:id="rId1748" ref="R4641"/>
    <hyperlink r:id="rId1749" ref="R4642"/>
    <hyperlink r:id="rId1750" ref="R4643"/>
    <hyperlink r:id="rId1751" ref="R4644"/>
    <hyperlink r:id="rId1752" ref="R4645"/>
    <hyperlink r:id="rId1753" ref="R4646"/>
    <hyperlink r:id="rId1754" ref="R4647"/>
    <hyperlink r:id="rId1755" ref="R4648"/>
    <hyperlink r:id="rId1756" ref="R4649"/>
    <hyperlink r:id="rId1757" ref="R4651"/>
    <hyperlink r:id="rId1758" ref="R4652"/>
    <hyperlink r:id="rId1759" ref="R4653"/>
    <hyperlink r:id="rId1760" ref="R4654"/>
    <hyperlink r:id="rId1761" ref="R4656"/>
    <hyperlink r:id="rId1762" ref="R4657"/>
    <hyperlink r:id="rId1763" ref="R4658"/>
    <hyperlink r:id="rId1764" ref="R4659"/>
    <hyperlink r:id="rId1765" ref="R4664"/>
    <hyperlink r:id="rId1766" ref="R4665"/>
    <hyperlink r:id="rId1767" ref="R4666"/>
    <hyperlink r:id="rId1768" ref="R4667"/>
    <hyperlink r:id="rId1769" ref="R4670"/>
    <hyperlink r:id="rId1770" ref="R4672"/>
    <hyperlink r:id="rId1771" ref="R4673"/>
    <hyperlink r:id="rId1772" ref="R4675"/>
    <hyperlink r:id="rId1773" ref="R4676"/>
    <hyperlink r:id="rId1774" ref="R4678"/>
    <hyperlink r:id="rId1775" ref="R4679"/>
    <hyperlink r:id="rId1776" ref="R4704"/>
    <hyperlink r:id="rId1777" ref="R4705"/>
    <hyperlink r:id="rId1778" ref="R4709"/>
    <hyperlink r:id="rId1779" ref="R4711"/>
    <hyperlink r:id="rId1780" ref="R4712"/>
    <hyperlink r:id="rId1781" ref="R4713"/>
    <hyperlink r:id="rId1782" ref="R4714"/>
    <hyperlink r:id="rId1783" ref="R4717"/>
    <hyperlink r:id="rId1784" ref="R4718"/>
    <hyperlink r:id="rId1785" ref="R4722"/>
    <hyperlink r:id="rId1786" ref="R4723"/>
    <hyperlink r:id="rId1787" ref="R4724"/>
    <hyperlink r:id="rId1788" ref="R4725"/>
    <hyperlink r:id="rId1789" ref="R4727"/>
    <hyperlink r:id="rId1790" ref="R4728"/>
    <hyperlink r:id="rId1791" ref="R4739"/>
    <hyperlink r:id="rId1792" ref="R4741"/>
    <hyperlink r:id="rId1793" ref="R4743"/>
    <hyperlink r:id="rId1794" ref="R4744"/>
    <hyperlink r:id="rId1795" ref="R4745"/>
    <hyperlink r:id="rId1796" ref="R4746"/>
    <hyperlink r:id="rId1797" ref="R4747"/>
    <hyperlink r:id="rId1798" ref="R4749"/>
    <hyperlink r:id="rId1799" ref="R4752"/>
    <hyperlink r:id="rId1800" ref="R4753"/>
    <hyperlink r:id="rId1801" ref="R4754"/>
    <hyperlink r:id="rId1802" ref="R4755"/>
    <hyperlink r:id="rId1803" ref="R4756"/>
    <hyperlink r:id="rId1804" ref="R4759"/>
    <hyperlink r:id="rId1805" ref="R4761"/>
    <hyperlink r:id="rId1806" ref="R4763"/>
    <hyperlink r:id="rId1807" ref="R4764"/>
    <hyperlink r:id="rId1808" ref="R4772"/>
    <hyperlink r:id="rId1809" ref="R4774"/>
    <hyperlink r:id="rId1810" ref="R4776"/>
    <hyperlink r:id="rId1811" ref="R4778"/>
    <hyperlink r:id="rId1812" ref="R4781"/>
    <hyperlink r:id="rId1813" ref="R4782"/>
    <hyperlink r:id="rId1814" ref="R4783"/>
    <hyperlink r:id="rId1815" ref="R4784"/>
    <hyperlink r:id="rId1816" ref="R4785"/>
    <hyperlink r:id="rId1817" ref="R4786"/>
    <hyperlink r:id="rId1818" ref="R4787"/>
    <hyperlink r:id="rId1819" ref="R4788"/>
    <hyperlink r:id="rId1820" ref="R4789"/>
    <hyperlink r:id="rId1821" ref="R4790"/>
    <hyperlink r:id="rId1822" ref="R4791"/>
    <hyperlink r:id="rId1823" ref="R4792"/>
    <hyperlink r:id="rId1824" ref="R4793"/>
    <hyperlink r:id="rId1825" ref="R4794"/>
    <hyperlink r:id="rId1826" ref="R4795"/>
    <hyperlink r:id="rId1827" ref="R4796"/>
    <hyperlink r:id="rId1828" ref="R4797"/>
    <hyperlink r:id="rId1829" ref="R4798"/>
    <hyperlink r:id="rId1830" ref="R4799"/>
    <hyperlink r:id="rId1831" ref="R4801"/>
    <hyperlink r:id="rId1832" ref="R4803"/>
    <hyperlink r:id="rId1833" ref="R4805"/>
    <hyperlink r:id="rId1834" ref="R4806"/>
    <hyperlink r:id="rId1835" ref="R4809"/>
    <hyperlink r:id="rId1836" ref="R4810"/>
    <hyperlink r:id="rId1837" ref="R4812"/>
    <hyperlink r:id="rId1838" ref="R4813"/>
    <hyperlink r:id="rId1839" ref="R4817"/>
    <hyperlink r:id="rId1840" ref="R4818"/>
    <hyperlink r:id="rId1841" ref="R4820"/>
    <hyperlink r:id="rId1842" ref="R4821"/>
    <hyperlink r:id="rId1843" ref="R4822"/>
    <hyperlink r:id="rId1844" ref="R4823"/>
    <hyperlink r:id="rId1845" ref="R4825"/>
    <hyperlink r:id="rId1846" ref="R4827"/>
    <hyperlink r:id="rId1847" ref="R4828"/>
    <hyperlink r:id="rId1848" ref="R4829"/>
    <hyperlink r:id="rId1849" ref="R4830"/>
    <hyperlink r:id="rId1850" ref="R4833"/>
    <hyperlink r:id="rId1851" ref="R4842"/>
    <hyperlink r:id="rId1852" ref="R4843"/>
    <hyperlink r:id="rId1853" ref="R4844"/>
    <hyperlink r:id="rId1854" ref="R4845"/>
    <hyperlink r:id="rId1855" ref="R4846"/>
    <hyperlink r:id="rId1856" ref="R4847"/>
    <hyperlink r:id="rId1857" ref="R4848"/>
    <hyperlink r:id="rId1858" ref="R4849"/>
    <hyperlink r:id="rId1859" ref="R4850"/>
    <hyperlink r:id="rId1860" ref="R4851"/>
    <hyperlink r:id="rId1861" ref="R4852"/>
    <hyperlink r:id="rId1862" ref="R4853"/>
    <hyperlink r:id="rId1863" ref="R4857"/>
    <hyperlink r:id="rId1864" ref="R4858"/>
    <hyperlink r:id="rId1865" ref="R4859"/>
    <hyperlink r:id="rId1866" ref="R4863"/>
    <hyperlink r:id="rId1867" ref="R4869"/>
    <hyperlink r:id="rId1868" ref="R4874"/>
    <hyperlink r:id="rId1869" ref="R4875"/>
    <hyperlink r:id="rId1870" ref="R4876"/>
    <hyperlink r:id="rId1871" ref="R4877"/>
    <hyperlink r:id="rId1872" ref="R4880"/>
    <hyperlink r:id="rId1873" ref="R4881"/>
    <hyperlink r:id="rId1874" ref="R4883"/>
    <hyperlink r:id="rId1875" ref="R4886"/>
    <hyperlink r:id="rId1876" ref="R4887"/>
    <hyperlink r:id="rId1877" ref="R4890"/>
    <hyperlink r:id="rId1878" ref="R4893"/>
    <hyperlink r:id="rId1879" ref="R4894"/>
    <hyperlink r:id="rId1880" ref="R4895"/>
    <hyperlink r:id="rId1881" ref="R4896"/>
    <hyperlink r:id="rId1882" ref="R4897"/>
    <hyperlink r:id="rId1883" ref="R4898"/>
    <hyperlink r:id="rId1884" ref="R4902"/>
    <hyperlink r:id="rId1885" ref="R4903"/>
    <hyperlink r:id="rId1886" ref="R4905"/>
    <hyperlink r:id="rId1887" ref="R4906"/>
    <hyperlink r:id="rId1888" ref="R4907"/>
    <hyperlink r:id="rId1889" ref="R4908"/>
    <hyperlink r:id="rId1890" ref="R4909"/>
    <hyperlink r:id="rId1891" ref="R4910"/>
    <hyperlink r:id="rId1892" ref="R4917"/>
    <hyperlink r:id="rId1893" ref="R4918"/>
    <hyperlink r:id="rId1894" ref="R4919"/>
    <hyperlink r:id="rId1895" ref="R4923"/>
    <hyperlink r:id="rId1896" ref="R4927"/>
    <hyperlink r:id="rId1897" ref="R4935"/>
    <hyperlink r:id="rId1898" ref="R4944"/>
    <hyperlink r:id="rId1899" ref="R4945"/>
    <hyperlink r:id="rId1900" ref="R4946"/>
    <hyperlink r:id="rId1901" ref="R4951"/>
    <hyperlink r:id="rId1902" ref="R4952"/>
    <hyperlink r:id="rId1903" ref="R4956"/>
    <hyperlink r:id="rId1904" ref="R4959"/>
    <hyperlink r:id="rId1905" ref="R4960"/>
    <hyperlink r:id="rId1906" ref="R4961"/>
    <hyperlink r:id="rId1907" ref="R4963"/>
    <hyperlink r:id="rId1908" ref="R4964"/>
    <hyperlink r:id="rId1909" ref="R4966"/>
    <hyperlink r:id="rId1910" ref="R4967"/>
    <hyperlink r:id="rId1911" ref="R4970"/>
    <hyperlink r:id="rId1912" ref="R4971"/>
    <hyperlink r:id="rId1913" ref="R4972"/>
    <hyperlink r:id="rId1914" ref="R4975"/>
    <hyperlink r:id="rId1915" ref="R4978"/>
    <hyperlink r:id="rId1916" ref="R4980"/>
    <hyperlink r:id="rId1917" ref="R4981"/>
    <hyperlink r:id="rId1918" ref="R4982"/>
    <hyperlink r:id="rId1919" ref="R4983"/>
    <hyperlink r:id="rId1920" ref="R4984"/>
    <hyperlink r:id="rId1921" ref="R4987"/>
    <hyperlink r:id="rId1922" ref="R4989"/>
    <hyperlink r:id="rId1923" ref="R4990"/>
    <hyperlink r:id="rId1924" ref="R4991"/>
    <hyperlink r:id="rId1925" ref="R4992"/>
    <hyperlink r:id="rId1926" ref="R4993"/>
    <hyperlink r:id="rId1927" ref="R4994"/>
    <hyperlink r:id="rId1928" ref="R4995"/>
    <hyperlink r:id="rId1929" ref="R4996"/>
    <hyperlink r:id="rId1930" ref="R4997"/>
    <hyperlink r:id="rId1931" ref="R4998"/>
    <hyperlink r:id="rId1932" ref="R4999"/>
    <hyperlink r:id="rId1933" ref="R5002"/>
    <hyperlink r:id="rId1934" ref="R5003"/>
    <hyperlink r:id="rId1935" ref="R5004"/>
    <hyperlink r:id="rId1936" ref="R5012"/>
    <hyperlink r:id="rId1937" ref="R5013"/>
    <hyperlink r:id="rId1938" ref="R5014"/>
    <hyperlink r:id="rId1939" ref="R5015"/>
    <hyperlink r:id="rId1940" ref="R5016"/>
    <hyperlink r:id="rId1941" ref="R5017"/>
    <hyperlink r:id="rId1942" ref="R5018"/>
    <hyperlink r:id="rId1943" ref="R5019"/>
    <hyperlink r:id="rId1944" ref="R5020"/>
    <hyperlink r:id="rId1945" ref="R5024"/>
    <hyperlink r:id="rId1946" ref="R5029"/>
    <hyperlink r:id="rId1947" ref="R5030"/>
    <hyperlink r:id="rId1948" ref="R5032"/>
    <hyperlink r:id="rId1949" ref="R5034"/>
    <hyperlink r:id="rId1950" ref="R5039"/>
    <hyperlink r:id="rId1951" ref="R5040"/>
    <hyperlink r:id="rId1952" ref="R5041"/>
    <hyperlink r:id="rId1953" ref="R5043"/>
    <hyperlink r:id="rId1954" ref="R5044"/>
    <hyperlink r:id="rId1955" ref="R5053"/>
    <hyperlink r:id="rId1956" ref="R5054"/>
    <hyperlink r:id="rId1957" ref="R5055"/>
    <hyperlink r:id="rId1958" ref="R5061"/>
    <hyperlink r:id="rId1959" ref="R5062"/>
    <hyperlink r:id="rId1960" ref="R5065"/>
    <hyperlink r:id="rId1961" ref="R5068"/>
    <hyperlink r:id="rId1962" ref="R5074"/>
    <hyperlink r:id="rId1963" ref="R5076"/>
    <hyperlink r:id="rId1964" ref="R5077"/>
    <hyperlink r:id="rId1965" ref="R5078"/>
    <hyperlink r:id="rId1966" ref="R5079"/>
    <hyperlink r:id="rId1967" ref="R5080"/>
    <hyperlink r:id="rId1968" ref="R5081"/>
    <hyperlink r:id="rId1969" ref="R5082"/>
    <hyperlink r:id="rId1970" ref="R5083"/>
    <hyperlink r:id="rId1971" ref="R5084"/>
    <hyperlink r:id="rId1972" ref="R5085"/>
    <hyperlink r:id="rId1973" ref="R5086"/>
    <hyperlink r:id="rId1974" ref="R5090"/>
    <hyperlink r:id="rId1975" ref="R5091"/>
    <hyperlink r:id="rId1976" ref="R5092"/>
    <hyperlink r:id="rId1977" ref="R5093"/>
    <hyperlink r:id="rId1978" ref="R5095"/>
    <hyperlink r:id="rId1979" ref="R5102"/>
    <hyperlink r:id="rId1980" ref="R5103"/>
    <hyperlink r:id="rId1981" ref="R5109"/>
    <hyperlink r:id="rId1982" ref="R5111"/>
    <hyperlink r:id="rId1983" ref="R5112"/>
    <hyperlink r:id="rId1984" ref="R5115"/>
    <hyperlink r:id="rId1985" ref="R5116"/>
    <hyperlink r:id="rId1986" ref="R5117"/>
    <hyperlink r:id="rId1987" ref="R5118"/>
    <hyperlink r:id="rId1988" ref="R5119"/>
    <hyperlink r:id="rId1989" ref="R5120"/>
    <hyperlink r:id="rId1990" ref="R5121"/>
    <hyperlink r:id="rId1991" ref="R5122"/>
    <hyperlink r:id="rId1992" ref="R5125"/>
    <hyperlink r:id="rId1993" ref="R5126"/>
    <hyperlink r:id="rId1994" ref="R5127"/>
    <hyperlink r:id="rId1995" ref="R5128"/>
    <hyperlink r:id="rId1996" ref="R5129"/>
    <hyperlink r:id="rId1997" ref="R5130"/>
    <hyperlink r:id="rId1998" ref="R5131"/>
    <hyperlink r:id="rId1999" ref="R5134"/>
    <hyperlink r:id="rId2000" ref="R5136"/>
    <hyperlink r:id="rId2001" ref="R5137"/>
    <hyperlink r:id="rId2002" ref="R5138"/>
    <hyperlink r:id="rId2003" ref="R5143"/>
    <hyperlink r:id="rId2004" ref="R5144"/>
    <hyperlink r:id="rId2005" ref="R5147"/>
    <hyperlink r:id="rId2006" ref="R5149"/>
    <hyperlink r:id="rId2007" ref="R5150"/>
    <hyperlink r:id="rId2008" ref="R5151"/>
    <hyperlink r:id="rId2009" ref="R5152"/>
    <hyperlink r:id="rId2010" ref="R5162"/>
    <hyperlink r:id="rId2011" ref="R5163"/>
    <hyperlink r:id="rId2012" ref="R5164"/>
    <hyperlink r:id="rId2013" ref="R5166"/>
    <hyperlink r:id="rId2014" ref="R5172"/>
    <hyperlink r:id="rId2015" ref="R5181"/>
    <hyperlink r:id="rId2016" ref="R5183"/>
    <hyperlink r:id="rId2017" ref="R5184"/>
    <hyperlink r:id="rId2018" ref="R5185"/>
    <hyperlink r:id="rId2019" ref="R5186"/>
    <hyperlink r:id="rId2020" ref="R5187"/>
    <hyperlink r:id="rId2021" ref="R5188"/>
    <hyperlink r:id="rId2022" ref="R5190"/>
    <hyperlink r:id="rId2023" ref="R5191"/>
    <hyperlink r:id="rId2024" ref="R5192"/>
    <hyperlink r:id="rId2025" ref="R5193"/>
    <hyperlink r:id="rId2026" ref="R5200"/>
    <hyperlink r:id="rId2027" ref="R5201"/>
    <hyperlink r:id="rId2028" ref="R5202"/>
    <hyperlink r:id="rId2029" ref="R5203"/>
    <hyperlink r:id="rId2030" ref="R5204"/>
    <hyperlink r:id="rId2031" ref="R5207"/>
    <hyperlink r:id="rId2032" ref="R5208"/>
    <hyperlink r:id="rId2033" ref="R5212"/>
    <hyperlink r:id="rId2034" ref="R5213"/>
    <hyperlink r:id="rId2035" ref="R5214"/>
    <hyperlink r:id="rId2036" ref="R5218"/>
    <hyperlink r:id="rId2037" ref="R5220"/>
    <hyperlink r:id="rId2038" ref="R5222"/>
    <hyperlink r:id="rId2039" ref="R5223"/>
    <hyperlink r:id="rId2040" ref="R5224"/>
    <hyperlink r:id="rId2041" ref="R5225"/>
    <hyperlink r:id="rId2042" ref="R5226"/>
    <hyperlink r:id="rId2043" ref="R5229"/>
    <hyperlink r:id="rId2044" ref="R5230"/>
    <hyperlink r:id="rId2045" ref="R5240"/>
    <hyperlink r:id="rId2046" ref="R5241"/>
    <hyperlink r:id="rId2047" ref="R5242"/>
    <hyperlink r:id="rId2048" ref="R5243"/>
    <hyperlink r:id="rId2049" ref="R5244"/>
    <hyperlink r:id="rId2050" ref="R5245"/>
    <hyperlink r:id="rId2051" ref="R5246"/>
    <hyperlink r:id="rId2052" ref="R5247"/>
    <hyperlink r:id="rId2053" ref="R5248"/>
    <hyperlink r:id="rId2054" ref="R5249"/>
    <hyperlink r:id="rId2055" ref="R5250"/>
    <hyperlink r:id="rId2056" ref="R5251"/>
    <hyperlink r:id="rId2057" ref="R5252"/>
    <hyperlink r:id="rId2058" ref="R5253"/>
    <hyperlink r:id="rId2059" ref="R5259"/>
    <hyperlink r:id="rId2060" ref="R5260"/>
    <hyperlink r:id="rId2061" ref="R5261"/>
    <hyperlink r:id="rId2062" ref="R5262"/>
    <hyperlink r:id="rId2063" ref="R5263"/>
    <hyperlink r:id="rId2064" ref="R5264"/>
    <hyperlink r:id="rId2065" ref="R5265"/>
    <hyperlink r:id="rId2066" ref="R5266"/>
    <hyperlink r:id="rId2067" ref="R5268"/>
    <hyperlink r:id="rId2068" ref="R5270"/>
    <hyperlink r:id="rId2069" ref="R5272"/>
    <hyperlink r:id="rId2070" ref="R5277"/>
    <hyperlink r:id="rId2071" ref="R5278"/>
    <hyperlink r:id="rId2072" ref="R5287"/>
    <hyperlink r:id="rId2073" ref="R5289"/>
    <hyperlink r:id="rId2074" ref="R5290"/>
    <hyperlink r:id="rId2075" ref="R5291"/>
    <hyperlink r:id="rId2076" ref="R5292"/>
    <hyperlink r:id="rId2077" ref="R5293"/>
    <hyperlink r:id="rId2078" ref="R5295"/>
    <hyperlink r:id="rId2079" ref="R5297"/>
    <hyperlink r:id="rId2080" ref="R5298"/>
    <hyperlink r:id="rId2081" ref="R5300"/>
    <hyperlink r:id="rId2082" ref="R5301"/>
    <hyperlink r:id="rId2083" ref="R5303"/>
    <hyperlink r:id="rId2084" ref="R5304"/>
    <hyperlink r:id="rId2085" ref="R5305"/>
    <hyperlink r:id="rId2086" ref="R5310"/>
    <hyperlink r:id="rId2087" ref="R5317"/>
    <hyperlink r:id="rId2088" ref="R5318"/>
    <hyperlink r:id="rId2089" ref="R5323"/>
    <hyperlink r:id="rId2090" ref="R5325"/>
    <hyperlink r:id="rId2091" ref="R5326"/>
    <hyperlink r:id="rId2092" ref="R5333"/>
    <hyperlink r:id="rId2093" ref="R5345"/>
    <hyperlink r:id="rId2094" ref="R5346"/>
    <hyperlink r:id="rId2095" ref="R5349"/>
    <hyperlink r:id="rId2096" ref="R5350"/>
    <hyperlink r:id="rId2097" ref="R5351"/>
    <hyperlink r:id="rId2098" ref="R5354"/>
    <hyperlink r:id="rId2099" ref="R5357"/>
    <hyperlink r:id="rId2100" ref="R5369"/>
    <hyperlink r:id="rId2101" ref="R5370"/>
    <hyperlink r:id="rId2102" ref="R5378"/>
    <hyperlink r:id="rId2103" ref="R5379"/>
    <hyperlink r:id="rId2104" ref="R5380"/>
    <hyperlink r:id="rId2105" ref="R5381"/>
    <hyperlink r:id="rId2106" ref="R5383"/>
    <hyperlink r:id="rId2107" ref="R5385"/>
    <hyperlink r:id="rId2108" ref="R5387"/>
    <hyperlink r:id="rId2109" ref="R5391"/>
    <hyperlink r:id="rId2110" ref="R5392"/>
    <hyperlink r:id="rId2111" ref="R5394"/>
    <hyperlink r:id="rId2112" ref="R5402"/>
    <hyperlink r:id="rId2113" ref="R5403"/>
    <hyperlink r:id="rId2114" ref="R5404"/>
    <hyperlink r:id="rId2115" ref="R5407"/>
    <hyperlink r:id="rId2116" ref="R5408"/>
    <hyperlink r:id="rId2117" ref="R5409"/>
    <hyperlink r:id="rId2118" ref="R5411"/>
    <hyperlink r:id="rId2119" ref="R5415"/>
    <hyperlink r:id="rId2120" ref="R5417"/>
    <hyperlink r:id="rId2121" ref="R5418"/>
    <hyperlink r:id="rId2122" ref="R5419"/>
    <hyperlink r:id="rId2123" ref="R5420"/>
    <hyperlink r:id="rId2124" ref="R5428"/>
    <hyperlink r:id="rId2125" ref="R5429"/>
    <hyperlink r:id="rId2126" ref="R5433"/>
    <hyperlink r:id="rId2127" ref="R5435"/>
    <hyperlink r:id="rId2128" ref="R5439"/>
    <hyperlink r:id="rId2129" ref="R5440"/>
    <hyperlink r:id="rId2130" ref="R5447"/>
    <hyperlink r:id="rId2131" ref="R5449"/>
    <hyperlink r:id="rId2132" ref="R5450"/>
    <hyperlink r:id="rId2133" ref="R5454"/>
    <hyperlink r:id="rId2134" ref="R5455"/>
    <hyperlink r:id="rId2135" ref="R5456"/>
    <hyperlink r:id="rId2136" ref="R5457"/>
    <hyperlink r:id="rId2137" ref="R5458"/>
    <hyperlink r:id="rId2138" ref="R5461"/>
    <hyperlink r:id="rId2139" ref="R5465"/>
    <hyperlink r:id="rId2140" ref="R5466"/>
    <hyperlink r:id="rId2141" ref="R5467"/>
    <hyperlink r:id="rId2142" ref="R5468"/>
    <hyperlink r:id="rId2143" ref="R5469"/>
    <hyperlink r:id="rId2144" ref="R5470"/>
    <hyperlink r:id="rId2145" ref="R5472"/>
    <hyperlink r:id="rId2146" ref="R5473"/>
    <hyperlink r:id="rId2147" ref="R5475"/>
    <hyperlink r:id="rId2148" ref="R5476"/>
    <hyperlink r:id="rId2149" ref="R5480"/>
    <hyperlink r:id="rId2150" ref="R5483"/>
    <hyperlink r:id="rId2151" ref="R5484"/>
    <hyperlink r:id="rId2152" ref="R5485"/>
    <hyperlink r:id="rId2153" ref="R5497"/>
    <hyperlink r:id="rId2154" ref="R5499"/>
    <hyperlink r:id="rId2155" ref="R5502"/>
    <hyperlink r:id="rId2156" ref="R5504"/>
    <hyperlink r:id="rId2157" ref="R5505"/>
    <hyperlink r:id="rId2158" ref="R5507"/>
    <hyperlink r:id="rId2159" ref="R5509"/>
    <hyperlink r:id="rId2160" ref="R5511"/>
    <hyperlink r:id="rId2161" ref="R5515"/>
    <hyperlink r:id="rId2162" ref="R5518"/>
    <hyperlink r:id="rId2163" ref="R5521"/>
    <hyperlink r:id="rId2164" ref="R5522"/>
    <hyperlink r:id="rId2165" ref="R5523"/>
    <hyperlink r:id="rId2166" ref="R5525"/>
    <hyperlink r:id="rId2167" ref="R5533"/>
    <hyperlink r:id="rId2168" ref="R5534"/>
    <hyperlink r:id="rId2169" ref="R5535"/>
    <hyperlink r:id="rId2170" ref="R5536"/>
    <hyperlink r:id="rId2171" ref="R5537"/>
    <hyperlink r:id="rId2172" ref="R5538"/>
    <hyperlink r:id="rId2173" ref="R5540"/>
    <hyperlink r:id="rId2174" ref="R5541"/>
    <hyperlink r:id="rId2175" ref="R5543"/>
    <hyperlink r:id="rId2176" ref="R5544"/>
    <hyperlink r:id="rId2177" ref="R5566"/>
    <hyperlink r:id="rId2178" ref="R5567"/>
    <hyperlink r:id="rId2179" ref="R5571"/>
    <hyperlink r:id="rId2180" ref="R5572"/>
    <hyperlink r:id="rId2181" ref="R5573"/>
    <hyperlink r:id="rId2182" ref="R5577"/>
    <hyperlink r:id="rId2183" ref="R5578"/>
    <hyperlink r:id="rId2184" ref="R5579"/>
    <hyperlink r:id="rId2185" ref="R5580"/>
    <hyperlink r:id="rId2186" ref="R5582"/>
    <hyperlink r:id="rId2187" ref="R5587"/>
    <hyperlink r:id="rId2188" ref="R5589"/>
    <hyperlink r:id="rId2189" ref="R5590"/>
    <hyperlink r:id="rId2190" ref="R5591"/>
    <hyperlink r:id="rId2191" ref="R5593"/>
    <hyperlink r:id="rId2192" ref="R5597"/>
    <hyperlink r:id="rId2193" ref="R5600"/>
    <hyperlink r:id="rId2194" ref="R5601"/>
    <hyperlink r:id="rId2195" ref="R5603"/>
    <hyperlink r:id="rId2196" ref="R5605"/>
    <hyperlink r:id="rId2197" ref="R5606"/>
    <hyperlink r:id="rId2198" ref="R5608"/>
    <hyperlink r:id="rId2199" ref="R5609"/>
    <hyperlink r:id="rId2200" ref="R5612"/>
    <hyperlink r:id="rId2201" ref="R5613"/>
    <hyperlink r:id="rId2202" ref="R5616"/>
    <hyperlink r:id="rId2203" ref="R5617"/>
    <hyperlink r:id="rId2204" ref="R5619"/>
    <hyperlink r:id="rId2205" ref="R5620"/>
    <hyperlink r:id="rId2206" ref="R5627"/>
    <hyperlink r:id="rId2207" ref="R5628"/>
    <hyperlink r:id="rId2208" ref="R5630"/>
    <hyperlink r:id="rId2209" ref="R5632"/>
    <hyperlink r:id="rId2210" ref="R5633"/>
    <hyperlink r:id="rId2211" ref="R5637"/>
    <hyperlink r:id="rId2212" ref="R5638"/>
    <hyperlink r:id="rId2213" ref="R5639"/>
    <hyperlink r:id="rId2214" ref="R5640"/>
    <hyperlink r:id="rId2215" ref="R5643"/>
    <hyperlink r:id="rId2216" ref="R5644"/>
    <hyperlink r:id="rId2217" ref="R5645"/>
    <hyperlink r:id="rId2218" ref="R5646"/>
    <hyperlink r:id="rId2219" ref="R5647"/>
    <hyperlink r:id="rId2220" ref="R5648"/>
    <hyperlink r:id="rId2221" ref="R5650"/>
    <hyperlink r:id="rId2222" ref="R5651"/>
    <hyperlink r:id="rId2223" ref="R5652"/>
    <hyperlink r:id="rId2224" ref="R5653"/>
    <hyperlink r:id="rId2225" ref="R5660"/>
    <hyperlink r:id="rId2226" ref="R5661"/>
    <hyperlink r:id="rId2227" ref="R5663"/>
    <hyperlink r:id="rId2228" ref="R5665"/>
    <hyperlink r:id="rId2229" ref="R5670"/>
    <hyperlink r:id="rId2230" ref="R5671"/>
    <hyperlink r:id="rId2231" ref="R5672"/>
    <hyperlink r:id="rId2232" ref="R5675"/>
    <hyperlink r:id="rId2233" ref="R5680"/>
    <hyperlink r:id="rId2234" ref="R5681"/>
    <hyperlink r:id="rId2235" ref="R5683"/>
    <hyperlink r:id="rId2236" ref="R5685"/>
    <hyperlink r:id="rId2237" ref="R5686"/>
    <hyperlink r:id="rId2238" ref="R5687"/>
    <hyperlink r:id="rId2239" ref="R5688"/>
    <hyperlink r:id="rId2240" ref="R5689"/>
    <hyperlink r:id="rId2241" ref="R5690"/>
    <hyperlink r:id="rId2242" ref="R5693"/>
    <hyperlink r:id="rId2243" ref="R5695"/>
    <hyperlink r:id="rId2244" ref="R5697"/>
    <hyperlink r:id="rId2245" ref="R5699"/>
    <hyperlink r:id="rId2246" ref="R5700"/>
    <hyperlink r:id="rId2247" ref="R5705"/>
    <hyperlink r:id="rId2248" ref="R5707"/>
    <hyperlink r:id="rId2249" ref="R5708"/>
    <hyperlink r:id="rId2250" ref="R5709"/>
    <hyperlink r:id="rId2251" ref="R5711"/>
    <hyperlink r:id="rId2252" ref="R5729"/>
    <hyperlink r:id="rId2253" ref="R5730"/>
    <hyperlink r:id="rId2254" ref="R5732"/>
    <hyperlink r:id="rId2255" ref="R5733"/>
    <hyperlink r:id="rId2256" ref="R5734"/>
    <hyperlink r:id="rId2257" ref="R5735"/>
    <hyperlink r:id="rId2258" ref="R5736"/>
    <hyperlink r:id="rId2259" ref="R5740"/>
    <hyperlink r:id="rId2260" ref="R5741"/>
    <hyperlink r:id="rId2261" ref="R5742"/>
    <hyperlink r:id="rId2262" ref="R5743"/>
    <hyperlink r:id="rId2263" ref="R5744"/>
    <hyperlink r:id="rId2264" ref="R5745"/>
    <hyperlink r:id="rId2265" ref="R5746"/>
    <hyperlink r:id="rId2266" ref="R5747"/>
    <hyperlink r:id="rId2267" ref="R5748"/>
    <hyperlink r:id="rId2268" ref="R5749"/>
    <hyperlink r:id="rId2269" ref="R5750"/>
    <hyperlink r:id="rId2270" ref="R5752"/>
    <hyperlink r:id="rId2271" ref="R5753"/>
    <hyperlink r:id="rId2272" ref="R5762"/>
    <hyperlink r:id="rId2273" ref="R5763"/>
    <hyperlink r:id="rId2274" ref="R5765"/>
    <hyperlink r:id="rId2275" ref="R5766"/>
    <hyperlink r:id="rId2276" ref="R5767"/>
    <hyperlink r:id="rId2277" ref="R5769"/>
    <hyperlink r:id="rId2278" ref="R5771"/>
    <hyperlink r:id="rId2279" ref="R5772"/>
    <hyperlink r:id="rId2280" ref="R5776"/>
    <hyperlink r:id="rId2281" ref="R5777"/>
    <hyperlink r:id="rId2282" ref="R5780"/>
    <hyperlink r:id="rId2283" ref="R5782"/>
    <hyperlink r:id="rId2284" ref="R5783"/>
    <hyperlink r:id="rId2285" ref="R5784"/>
    <hyperlink r:id="rId2286" ref="R5790"/>
    <hyperlink r:id="rId2287" ref="R5791"/>
    <hyperlink r:id="rId2288" ref="R5792"/>
    <hyperlink r:id="rId2289" ref="R5793"/>
    <hyperlink r:id="rId2290" ref="R5794"/>
    <hyperlink r:id="rId2291" ref="R5795"/>
    <hyperlink r:id="rId2292" ref="R5796"/>
    <hyperlink r:id="rId2293" ref="R5797"/>
    <hyperlink r:id="rId2294" ref="R5798"/>
    <hyperlink r:id="rId2295" ref="R5799"/>
    <hyperlink r:id="rId2296" ref="R5800"/>
    <hyperlink r:id="rId2297" ref="R5801"/>
    <hyperlink r:id="rId2298" ref="R5802"/>
    <hyperlink r:id="rId2299" ref="R5803"/>
    <hyperlink r:id="rId2300" ref="R5804"/>
    <hyperlink r:id="rId2301" ref="R5805"/>
    <hyperlink r:id="rId2302" ref="R5807"/>
    <hyperlink r:id="rId2303" ref="R5808"/>
    <hyperlink r:id="rId2304" ref="R5810"/>
    <hyperlink r:id="rId2305" ref="R5811"/>
    <hyperlink r:id="rId2306" ref="R5812"/>
    <hyperlink r:id="rId2307" ref="R5813"/>
    <hyperlink r:id="rId2308" ref="R5817"/>
    <hyperlink r:id="rId2309" ref="R5818"/>
    <hyperlink r:id="rId2310" ref="R5821"/>
    <hyperlink r:id="rId2311" ref="R5822"/>
    <hyperlink r:id="rId2312" ref="R5827"/>
    <hyperlink r:id="rId2313" ref="R5831"/>
    <hyperlink r:id="rId2314" ref="R5832"/>
    <hyperlink r:id="rId2315" ref="R5833"/>
    <hyperlink r:id="rId2316" ref="R5840"/>
    <hyperlink r:id="rId2317" ref="R5850"/>
    <hyperlink r:id="rId2318" ref="R5851"/>
    <hyperlink r:id="rId2319" ref="R5852"/>
    <hyperlink r:id="rId2320" ref="R5853"/>
    <hyperlink r:id="rId2321" ref="R5854"/>
    <hyperlink r:id="rId2322" ref="R5855"/>
    <hyperlink r:id="rId2323" ref="R5856"/>
    <hyperlink r:id="rId2324" ref="R5857"/>
    <hyperlink r:id="rId2325" ref="R5858"/>
    <hyperlink r:id="rId2326" ref="R5859"/>
    <hyperlink r:id="rId2327" ref="R5860"/>
    <hyperlink r:id="rId2328" ref="R5861"/>
    <hyperlink r:id="rId2329" ref="R5862"/>
    <hyperlink r:id="rId2330" ref="R5863"/>
    <hyperlink r:id="rId2331" ref="R5864"/>
    <hyperlink r:id="rId2332" ref="R5872"/>
    <hyperlink r:id="rId2333" ref="R5873"/>
    <hyperlink r:id="rId2334" ref="R5879"/>
    <hyperlink r:id="rId2335" ref="R5881"/>
    <hyperlink r:id="rId2336" ref="R5882"/>
    <hyperlink r:id="rId2337" ref="R5885"/>
    <hyperlink r:id="rId2338" ref="R5887"/>
    <hyperlink r:id="rId2339" ref="R5891"/>
    <hyperlink r:id="rId2340" ref="R5892"/>
    <hyperlink r:id="rId2341" ref="R5893"/>
    <hyperlink r:id="rId2342" ref="R5894"/>
    <hyperlink r:id="rId2343" ref="R5896"/>
    <hyperlink r:id="rId2344" ref="R5897"/>
    <hyperlink r:id="rId2345" ref="R5898"/>
    <hyperlink r:id="rId2346" ref="R5907"/>
    <hyperlink r:id="rId2347" ref="R5908"/>
    <hyperlink r:id="rId2348" ref="R5909"/>
    <hyperlink r:id="rId2349" ref="R5910"/>
    <hyperlink r:id="rId2350" ref="R5911"/>
    <hyperlink r:id="rId2351" ref="R5912"/>
    <hyperlink r:id="rId2352" ref="R5913"/>
    <hyperlink r:id="rId2353" ref="R5914"/>
    <hyperlink r:id="rId2354" ref="R5915"/>
    <hyperlink r:id="rId2355" ref="R5916"/>
    <hyperlink r:id="rId2356" ref="R5917"/>
    <hyperlink r:id="rId2357" ref="R5918"/>
    <hyperlink r:id="rId2358" ref="R5919"/>
    <hyperlink r:id="rId2359" ref="R5920"/>
    <hyperlink r:id="rId2360" ref="R5921"/>
    <hyperlink r:id="rId2361" ref="R5923"/>
    <hyperlink r:id="rId2362" ref="R5924"/>
    <hyperlink r:id="rId2363" ref="R5925"/>
    <hyperlink r:id="rId2364" ref="R5926"/>
    <hyperlink r:id="rId2365" ref="R5928"/>
    <hyperlink r:id="rId2366" ref="R5935"/>
    <hyperlink r:id="rId2367" ref="R5936"/>
    <hyperlink r:id="rId2368" ref="R5938"/>
    <hyperlink r:id="rId2369" ref="R5939"/>
    <hyperlink r:id="rId2370" ref="R5940"/>
    <hyperlink r:id="rId2371" ref="R5941"/>
    <hyperlink r:id="rId2372" ref="R5945"/>
    <hyperlink r:id="rId2373" ref="R5946"/>
    <hyperlink r:id="rId2374" ref="R5947"/>
    <hyperlink r:id="rId2375" ref="R5950"/>
    <hyperlink r:id="rId2376" ref="R5951"/>
    <hyperlink r:id="rId2377" ref="R5952"/>
    <hyperlink r:id="rId2378" ref="R5956"/>
    <hyperlink r:id="rId2379" ref="R5961"/>
    <hyperlink r:id="rId2380" ref="R5963"/>
    <hyperlink r:id="rId2381" ref="R5964"/>
    <hyperlink r:id="rId2382" ref="R5967"/>
    <hyperlink r:id="rId2383" ref="R5969"/>
    <hyperlink r:id="rId2384" ref="R5970"/>
    <hyperlink r:id="rId2385" ref="R5971"/>
    <hyperlink r:id="rId2386" ref="R5972"/>
    <hyperlink r:id="rId2387" ref="R5973"/>
    <hyperlink r:id="rId2388" ref="R5975"/>
    <hyperlink r:id="rId2389" ref="R5976"/>
    <hyperlink r:id="rId2390" ref="R5977"/>
    <hyperlink r:id="rId2391" ref="R5978"/>
    <hyperlink r:id="rId2392" ref="R5979"/>
    <hyperlink r:id="rId2393" ref="R5981"/>
    <hyperlink r:id="rId2394" ref="R5982"/>
    <hyperlink r:id="rId2395" ref="R5985"/>
    <hyperlink r:id="rId2396" ref="R5986"/>
    <hyperlink r:id="rId2397" ref="R5987"/>
    <hyperlink r:id="rId2398" ref="R5992"/>
    <hyperlink r:id="rId2399" ref="R5993"/>
    <hyperlink r:id="rId2400" ref="R5996"/>
    <hyperlink r:id="rId2401" ref="R5997"/>
    <hyperlink r:id="rId2402" ref="R5998"/>
    <hyperlink r:id="rId2403" ref="R5999"/>
    <hyperlink r:id="rId2404" ref="R6000"/>
    <hyperlink r:id="rId2405" ref="R6001"/>
    <hyperlink r:id="rId2406" ref="R6005"/>
    <hyperlink r:id="rId2407" ref="R6006"/>
    <hyperlink r:id="rId2408" ref="R6008"/>
    <hyperlink r:id="rId2409" ref="R6009"/>
    <hyperlink r:id="rId2410" ref="R6010"/>
    <hyperlink r:id="rId2411" ref="R6011"/>
    <hyperlink r:id="rId2412" ref="R6012"/>
    <hyperlink r:id="rId2413" ref="R6013"/>
    <hyperlink r:id="rId2414" ref="R6014"/>
    <hyperlink r:id="rId2415" ref="R6015"/>
    <hyperlink r:id="rId2416" ref="R6016"/>
    <hyperlink r:id="rId2417" ref="R6017"/>
    <hyperlink r:id="rId2418" ref="R6018"/>
    <hyperlink r:id="rId2419" ref="R6019"/>
    <hyperlink r:id="rId2420" ref="R6020"/>
    <hyperlink r:id="rId2421" ref="R6021"/>
    <hyperlink r:id="rId2422" ref="R6023"/>
    <hyperlink r:id="rId2423" ref="R6025"/>
    <hyperlink r:id="rId2424" ref="R6026"/>
    <hyperlink r:id="rId2425" ref="R6027"/>
    <hyperlink r:id="rId2426" ref="R6028"/>
    <hyperlink r:id="rId2427" ref="R6029"/>
    <hyperlink r:id="rId2428" ref="R6030"/>
    <hyperlink r:id="rId2429" ref="R6034"/>
    <hyperlink r:id="rId2430" ref="R6036"/>
    <hyperlink r:id="rId2431" ref="R6038"/>
    <hyperlink r:id="rId2432" ref="R6042"/>
    <hyperlink r:id="rId2433" ref="R6043"/>
    <hyperlink r:id="rId2434" ref="R6044"/>
    <hyperlink r:id="rId2435" ref="R6045"/>
    <hyperlink r:id="rId2436" ref="R6046"/>
    <hyperlink r:id="rId2437" ref="R6047"/>
    <hyperlink r:id="rId2438" ref="R6049"/>
    <hyperlink r:id="rId2439" ref="R6050"/>
    <hyperlink r:id="rId2440" ref="R6052"/>
    <hyperlink r:id="rId2441" ref="R6053"/>
    <hyperlink r:id="rId2442" ref="R6054"/>
    <hyperlink r:id="rId2443" ref="R6055"/>
    <hyperlink r:id="rId2444" ref="R6056"/>
    <hyperlink r:id="rId2445" ref="R6057"/>
    <hyperlink r:id="rId2446" ref="R6059"/>
    <hyperlink r:id="rId2447" ref="R6060"/>
    <hyperlink r:id="rId2448" ref="R6061"/>
    <hyperlink r:id="rId2449" ref="R6063"/>
    <hyperlink r:id="rId2450" ref="R6065"/>
    <hyperlink r:id="rId2451" ref="R6066"/>
    <hyperlink r:id="rId2452" ref="R6067"/>
    <hyperlink r:id="rId2453" ref="R6068"/>
    <hyperlink r:id="rId2454" ref="R6069"/>
    <hyperlink r:id="rId2455" ref="R6070"/>
    <hyperlink r:id="rId2456" ref="R6071"/>
    <hyperlink r:id="rId2457" ref="R6072"/>
    <hyperlink r:id="rId2458" ref="R6073"/>
    <hyperlink r:id="rId2459" ref="R6074"/>
    <hyperlink r:id="rId2460" ref="R6075"/>
    <hyperlink r:id="rId2461" ref="R6076"/>
    <hyperlink r:id="rId2462" ref="R6077"/>
    <hyperlink r:id="rId2463" ref="R6078"/>
    <hyperlink r:id="rId2464" ref="R6079"/>
    <hyperlink r:id="rId2465" ref="R6080"/>
    <hyperlink r:id="rId2466" ref="R6081"/>
    <hyperlink r:id="rId2467" ref="R6082"/>
    <hyperlink r:id="rId2468" ref="R6083"/>
    <hyperlink r:id="rId2469" ref="R6084"/>
    <hyperlink r:id="rId2470" ref="R6085"/>
    <hyperlink r:id="rId2471" ref="R6086"/>
    <hyperlink r:id="rId2472" ref="R6089"/>
    <hyperlink r:id="rId2473" ref="R6090"/>
    <hyperlink r:id="rId2474" ref="R6091"/>
    <hyperlink r:id="rId2475" ref="R6092"/>
    <hyperlink r:id="rId2476" ref="R6093"/>
    <hyperlink r:id="rId2477" ref="R6094"/>
    <hyperlink r:id="rId2478" ref="R6101"/>
    <hyperlink r:id="rId2479" ref="R6106"/>
    <hyperlink r:id="rId2480" ref="R6107"/>
    <hyperlink r:id="rId2481" ref="R6109"/>
    <hyperlink r:id="rId2482" ref="R6110"/>
    <hyperlink r:id="rId2483" ref="R6118"/>
    <hyperlink r:id="rId2484" ref="R6119"/>
    <hyperlink r:id="rId2485" ref="R6120"/>
    <hyperlink r:id="rId2486" ref="R6121"/>
    <hyperlink r:id="rId2487" ref="R6122"/>
    <hyperlink r:id="rId2488" ref="R6123"/>
    <hyperlink r:id="rId2489" ref="R6124"/>
    <hyperlink r:id="rId2490" ref="R6125"/>
    <hyperlink r:id="rId2491" ref="R6126"/>
    <hyperlink r:id="rId2492" ref="R6127"/>
    <hyperlink r:id="rId2493" ref="R6128"/>
    <hyperlink r:id="rId2494" ref="R6129"/>
    <hyperlink r:id="rId2495" ref="R6130"/>
    <hyperlink r:id="rId2496" ref="R6134"/>
    <hyperlink r:id="rId2497" ref="R6135"/>
    <hyperlink r:id="rId2498" ref="R6142"/>
    <hyperlink r:id="rId2499" ref="R6143"/>
    <hyperlink r:id="rId2500" ref="R6144"/>
    <hyperlink r:id="rId2501" ref="R6145"/>
    <hyperlink r:id="rId2502" ref="R6146"/>
    <hyperlink r:id="rId2503" ref="R6147"/>
    <hyperlink r:id="rId2504" ref="R6149"/>
    <hyperlink r:id="rId2505" ref="R6150"/>
    <hyperlink r:id="rId2506" ref="R6151"/>
    <hyperlink r:id="rId2507" ref="R6153"/>
    <hyperlink r:id="rId2508" ref="R6155"/>
    <hyperlink r:id="rId2509" ref="R6163"/>
    <hyperlink r:id="rId2510" ref="R6164"/>
    <hyperlink r:id="rId2511" ref="R6170"/>
    <hyperlink r:id="rId2512" ref="R6174"/>
    <hyperlink r:id="rId2513" ref="R6180"/>
    <hyperlink r:id="rId2514" ref="R6182"/>
    <hyperlink r:id="rId2515" ref="R6183"/>
    <hyperlink r:id="rId2516" ref="R6184"/>
    <hyperlink r:id="rId2517" ref="R6185"/>
    <hyperlink r:id="rId2518" ref="R6187"/>
    <hyperlink r:id="rId2519" ref="R6188"/>
    <hyperlink r:id="rId2520" ref="R6189"/>
    <hyperlink r:id="rId2521" ref="R6190"/>
    <hyperlink r:id="rId2522" ref="R6191"/>
    <hyperlink r:id="rId2523" ref="R6192"/>
    <hyperlink r:id="rId2524" ref="R6193"/>
    <hyperlink r:id="rId2525" ref="R6196"/>
    <hyperlink r:id="rId2526" ref="R6197"/>
    <hyperlink r:id="rId2527" ref="R6198"/>
    <hyperlink r:id="rId2528" ref="R6199"/>
    <hyperlink r:id="rId2529" ref="R6200"/>
    <hyperlink r:id="rId2530" ref="R6201"/>
    <hyperlink r:id="rId2531" ref="R6203"/>
    <hyperlink r:id="rId2532" ref="R6204"/>
    <hyperlink r:id="rId2533" ref="R6205"/>
    <hyperlink r:id="rId2534" ref="R6206"/>
    <hyperlink r:id="rId2535" ref="R6216"/>
    <hyperlink r:id="rId2536" ref="R6217"/>
    <hyperlink r:id="rId2537" ref="R6218"/>
    <hyperlink r:id="rId2538" ref="R6219"/>
    <hyperlink r:id="rId2539" ref="R6221"/>
    <hyperlink r:id="rId2540" ref="R6225"/>
    <hyperlink r:id="rId2541" ref="R6226"/>
    <hyperlink r:id="rId2542" ref="R6227"/>
    <hyperlink r:id="rId2543" ref="R6228"/>
    <hyperlink r:id="rId2544" ref="R6229"/>
    <hyperlink r:id="rId2545" ref="R6232"/>
    <hyperlink r:id="rId2546" ref="R6233"/>
    <hyperlink r:id="rId2547" ref="R6234"/>
    <hyperlink r:id="rId2548" ref="R6235"/>
    <hyperlink r:id="rId2549" ref="R6242"/>
    <hyperlink r:id="rId2550" ref="R6243"/>
    <hyperlink r:id="rId2551" ref="R6248"/>
    <hyperlink r:id="rId2552" ref="R6249"/>
    <hyperlink r:id="rId2553" ref="R6250"/>
    <hyperlink r:id="rId2554" ref="R6251"/>
    <hyperlink r:id="rId2555" ref="R6252"/>
    <hyperlink r:id="rId2556" ref="R6253"/>
    <hyperlink r:id="rId2557" ref="R6254"/>
    <hyperlink r:id="rId2558" ref="R6255"/>
    <hyperlink r:id="rId2559" ref="R6256"/>
    <hyperlink r:id="rId2560" ref="R6257"/>
    <hyperlink r:id="rId2561" ref="R6259"/>
    <hyperlink r:id="rId2562" ref="R6260"/>
    <hyperlink r:id="rId2563" ref="R6265"/>
    <hyperlink r:id="rId2564" ref="R6266"/>
    <hyperlink r:id="rId2565" ref="R6269"/>
    <hyperlink r:id="rId2566" ref="R6272"/>
    <hyperlink r:id="rId2567" ref="R6283"/>
    <hyperlink r:id="rId2568" ref="R6284"/>
    <hyperlink r:id="rId2569" ref="R6285"/>
    <hyperlink r:id="rId2570" ref="R6286"/>
    <hyperlink r:id="rId2571" ref="R6293"/>
    <hyperlink r:id="rId2572" ref="R6294"/>
    <hyperlink r:id="rId2573" ref="R6295"/>
    <hyperlink r:id="rId2574" ref="R6298"/>
    <hyperlink r:id="rId2575" ref="R6299"/>
    <hyperlink r:id="rId2576" ref="R6300"/>
    <hyperlink r:id="rId2577" ref="R6304"/>
    <hyperlink r:id="rId2578" ref="R6305"/>
    <hyperlink r:id="rId2579" ref="R6306"/>
    <hyperlink r:id="rId2580" ref="R6307"/>
    <hyperlink r:id="rId2581" ref="R6308"/>
    <hyperlink r:id="rId2582" ref="R6309"/>
    <hyperlink r:id="rId2583" ref="R6310"/>
    <hyperlink r:id="rId2584" ref="R6311"/>
    <hyperlink r:id="rId2585" ref="R6312"/>
    <hyperlink r:id="rId2586" ref="R6313"/>
    <hyperlink r:id="rId2587" ref="R6314"/>
    <hyperlink r:id="rId2588" ref="R6315"/>
    <hyperlink r:id="rId2589" ref="R6316"/>
    <hyperlink r:id="rId2590" ref="R6317"/>
    <hyperlink r:id="rId2591" ref="R6318"/>
    <hyperlink r:id="rId2592" ref="R6319"/>
    <hyperlink r:id="rId2593" ref="R6320"/>
    <hyperlink r:id="rId2594" ref="R6321"/>
    <hyperlink r:id="rId2595" ref="R6323"/>
    <hyperlink r:id="rId2596" ref="R6325"/>
    <hyperlink r:id="rId2597" ref="R6327"/>
    <hyperlink r:id="rId2598" ref="R6328"/>
    <hyperlink r:id="rId2599" ref="R6329"/>
    <hyperlink r:id="rId2600" ref="R6336"/>
    <hyperlink r:id="rId2601" ref="R6337"/>
    <hyperlink r:id="rId2602" ref="R6338"/>
    <hyperlink r:id="rId2603" ref="R6340"/>
    <hyperlink r:id="rId2604" ref="R6341"/>
    <hyperlink r:id="rId2605" ref="R6342"/>
    <hyperlink r:id="rId2606" ref="R6348"/>
    <hyperlink r:id="rId2607" ref="R6349"/>
    <hyperlink r:id="rId2608" ref="R6358"/>
    <hyperlink r:id="rId2609" ref="R6362"/>
    <hyperlink r:id="rId2610" ref="R6365"/>
    <hyperlink r:id="rId2611" ref="R6370"/>
    <hyperlink r:id="rId2612" ref="R6371"/>
    <hyperlink r:id="rId2613" ref="R6375"/>
    <hyperlink r:id="rId2614" ref="R6376"/>
    <hyperlink r:id="rId2615" ref="R6377"/>
    <hyperlink r:id="rId2616" ref="R6380"/>
    <hyperlink r:id="rId2617" ref="R6382"/>
    <hyperlink r:id="rId2618" ref="R6386"/>
    <hyperlink r:id="rId2619" ref="R6388"/>
    <hyperlink r:id="rId2620" ref="R6389"/>
    <hyperlink r:id="rId2621" ref="R6390"/>
    <hyperlink r:id="rId2622" ref="R6391"/>
    <hyperlink r:id="rId2623" ref="R6392"/>
    <hyperlink r:id="rId2624" ref="R6393"/>
    <hyperlink r:id="rId2625" ref="R6394"/>
    <hyperlink r:id="rId2626" ref="R6395"/>
    <hyperlink r:id="rId2627" ref="R6396"/>
    <hyperlink r:id="rId2628" ref="R6397"/>
    <hyperlink r:id="rId2629" ref="R6398"/>
    <hyperlink r:id="rId2630" ref="R6399"/>
    <hyperlink r:id="rId2631" ref="R6400"/>
    <hyperlink r:id="rId2632" ref="R6401"/>
    <hyperlink r:id="rId2633" ref="R6402"/>
    <hyperlink r:id="rId2634" ref="R6403"/>
    <hyperlink r:id="rId2635" ref="R6404"/>
    <hyperlink r:id="rId2636" ref="R6405"/>
    <hyperlink r:id="rId2637" ref="R6406"/>
    <hyperlink r:id="rId2638" ref="R6407"/>
    <hyperlink r:id="rId2639" ref="R6408"/>
    <hyperlink r:id="rId2640" ref="R6409"/>
    <hyperlink r:id="rId2641" ref="R6413"/>
    <hyperlink r:id="rId2642" ref="R6415"/>
    <hyperlink r:id="rId2643" ref="R6416"/>
    <hyperlink r:id="rId2644" ref="R6417"/>
    <hyperlink r:id="rId2645" ref="R6422"/>
    <hyperlink r:id="rId2646" ref="R6425"/>
    <hyperlink r:id="rId2647" ref="R6442"/>
    <hyperlink r:id="rId2648" ref="R6443"/>
    <hyperlink r:id="rId2649" ref="R6450"/>
    <hyperlink r:id="rId2650" ref="R6451"/>
    <hyperlink r:id="rId2651" ref="R6452"/>
    <hyperlink r:id="rId2652" ref="R6454"/>
    <hyperlink r:id="rId2653" ref="R6455"/>
    <hyperlink r:id="rId2654" ref="R6456"/>
    <hyperlink r:id="rId2655" ref="R6458"/>
    <hyperlink r:id="rId2656" ref="R6459"/>
    <hyperlink r:id="rId2657" ref="R6461"/>
    <hyperlink r:id="rId2658" ref="R6462"/>
    <hyperlink r:id="rId2659" ref="R6464"/>
    <hyperlink r:id="rId2660" ref="R6465"/>
    <hyperlink r:id="rId2661" ref="R6468"/>
    <hyperlink r:id="rId2662" ref="R6469"/>
    <hyperlink r:id="rId2663" ref="R6470"/>
    <hyperlink r:id="rId2664" ref="R6471"/>
    <hyperlink r:id="rId2665" ref="R6474"/>
    <hyperlink r:id="rId2666" ref="R6475"/>
    <hyperlink r:id="rId2667" ref="R6477"/>
    <hyperlink r:id="rId2668" ref="R6478"/>
    <hyperlink r:id="rId2669" ref="R6483"/>
    <hyperlink r:id="rId2670" ref="R6484"/>
    <hyperlink r:id="rId2671" ref="R6488"/>
    <hyperlink r:id="rId2672" ref="R6490"/>
    <hyperlink r:id="rId2673" ref="R6491"/>
    <hyperlink r:id="rId2674" ref="R6495"/>
    <hyperlink r:id="rId2675" ref="R6498"/>
    <hyperlink r:id="rId2676" ref="R6499"/>
    <hyperlink r:id="rId2677" ref="R6506"/>
    <hyperlink r:id="rId2678" ref="R6514"/>
    <hyperlink r:id="rId2679" ref="R6515"/>
    <hyperlink r:id="rId2680" ref="R6516"/>
    <hyperlink r:id="rId2681" ref="R6522"/>
    <hyperlink r:id="rId2682" ref="R6523"/>
    <hyperlink r:id="rId2683" ref="R6525"/>
    <hyperlink r:id="rId2684" ref="R6527"/>
    <hyperlink r:id="rId2685" ref="R6533"/>
    <hyperlink r:id="rId2686" ref="R6537"/>
    <hyperlink r:id="rId2687" ref="R6538"/>
    <hyperlink r:id="rId2688" ref="R6541"/>
    <hyperlink r:id="rId2689" ref="R6543"/>
    <hyperlink r:id="rId2690" ref="R6547"/>
    <hyperlink r:id="rId2691" ref="R6556"/>
    <hyperlink r:id="rId2692" ref="R6558"/>
    <hyperlink r:id="rId2693" ref="R6559"/>
    <hyperlink r:id="rId2694" ref="R6562"/>
    <hyperlink r:id="rId2695" ref="R6581"/>
    <hyperlink r:id="rId2696" ref="R6583"/>
    <hyperlink r:id="rId2697" ref="R6585"/>
    <hyperlink r:id="rId2698" ref="R6587"/>
    <hyperlink r:id="rId2699" ref="R6588"/>
    <hyperlink r:id="rId2700" ref="R6592"/>
    <hyperlink r:id="rId2701" ref="R6593"/>
    <hyperlink r:id="rId2702" ref="R6594"/>
    <hyperlink r:id="rId2703" ref="R6595"/>
    <hyperlink r:id="rId2704" ref="R6596"/>
    <hyperlink r:id="rId2705" ref="R6601"/>
    <hyperlink r:id="rId2706" ref="R6602"/>
    <hyperlink r:id="rId2707" ref="R6603"/>
    <hyperlink r:id="rId2708" ref="R6604"/>
    <hyperlink r:id="rId2709" ref="R6605"/>
    <hyperlink r:id="rId2710" ref="R6606"/>
    <hyperlink r:id="rId2711" ref="R6607"/>
    <hyperlink r:id="rId2712" ref="R6611"/>
    <hyperlink r:id="rId2713" ref="R6614"/>
    <hyperlink r:id="rId2714" ref="R6615"/>
    <hyperlink r:id="rId2715" ref="R6616"/>
    <hyperlink r:id="rId2716" ref="R6619"/>
    <hyperlink r:id="rId2717" ref="R6620"/>
    <hyperlink r:id="rId2718" ref="R6642"/>
    <hyperlink r:id="rId2719" ref="R6643"/>
    <hyperlink r:id="rId2720" ref="R6645"/>
    <hyperlink r:id="rId2721" ref="R6646"/>
    <hyperlink r:id="rId2722" ref="R6647"/>
    <hyperlink r:id="rId2723" ref="R6648"/>
    <hyperlink r:id="rId2724" ref="R6650"/>
    <hyperlink r:id="rId2725" ref="R6652"/>
    <hyperlink r:id="rId2726" ref="R6653"/>
    <hyperlink r:id="rId2727" ref="R6654"/>
    <hyperlink r:id="rId2728" ref="R6657"/>
    <hyperlink r:id="rId2729" ref="R6658"/>
    <hyperlink r:id="rId2730" ref="R6659"/>
    <hyperlink r:id="rId2731" ref="R6661"/>
    <hyperlink r:id="rId2732" ref="R6668"/>
    <hyperlink r:id="rId2733" ref="R6673"/>
    <hyperlink r:id="rId2734" ref="R6675"/>
    <hyperlink r:id="rId2735" ref="R6676"/>
    <hyperlink r:id="rId2736" ref="R6677"/>
    <hyperlink r:id="rId2737" ref="R6678"/>
    <hyperlink r:id="rId2738" ref="R6680"/>
    <hyperlink r:id="rId2739" ref="R6683"/>
    <hyperlink r:id="rId2740" ref="R6684"/>
    <hyperlink r:id="rId2741" ref="R6686"/>
    <hyperlink r:id="rId2742" ref="R6705"/>
    <hyperlink r:id="rId2743" ref="R6728"/>
    <hyperlink r:id="rId2744" ref="R6733"/>
    <hyperlink r:id="rId2745" ref="R6740"/>
    <hyperlink r:id="rId2746" ref="R6749"/>
    <hyperlink r:id="rId2747" ref="R6759"/>
    <hyperlink r:id="rId2748" ref="R6760"/>
    <hyperlink r:id="rId2749" ref="R6761"/>
    <hyperlink r:id="rId2750" ref="R6762"/>
    <hyperlink r:id="rId2751" ref="R6763"/>
    <hyperlink r:id="rId2752" ref="R6780"/>
    <hyperlink r:id="rId2753" ref="R6781"/>
    <hyperlink r:id="rId2754" ref="R6782"/>
    <hyperlink r:id="rId2755" ref="R6784"/>
    <hyperlink r:id="rId2756" ref="R6787"/>
    <hyperlink r:id="rId2757" ref="R6789"/>
    <hyperlink r:id="rId2758" ref="R6791"/>
    <hyperlink r:id="rId2759" ref="R6792"/>
    <hyperlink r:id="rId2760" ref="R6806"/>
    <hyperlink r:id="rId2761" ref="R6808"/>
    <hyperlink r:id="rId2762" ref="R6809"/>
    <hyperlink r:id="rId2763" ref="R6810"/>
    <hyperlink r:id="rId2764" ref="R6819"/>
    <hyperlink r:id="rId2765" ref="R6820"/>
    <hyperlink r:id="rId2766" ref="R6822"/>
    <hyperlink r:id="rId2767" ref="R6827"/>
    <hyperlink r:id="rId2768" ref="R6838"/>
    <hyperlink r:id="rId2769" ref="R6839"/>
    <hyperlink r:id="rId2770" ref="R6840"/>
    <hyperlink r:id="rId2771" ref="R6842"/>
    <hyperlink r:id="rId2772" ref="R6844"/>
    <hyperlink r:id="rId2773" ref="R6845"/>
    <hyperlink r:id="rId2774" ref="R6849"/>
    <hyperlink r:id="rId2775" ref="R6851"/>
    <hyperlink r:id="rId2776" ref="R6861"/>
    <hyperlink r:id="rId2777" ref="R6862"/>
    <hyperlink r:id="rId2778" ref="R6864"/>
    <hyperlink r:id="rId2779" ref="R6865"/>
    <hyperlink r:id="rId2780" ref="R6866"/>
    <hyperlink r:id="rId2781" ref="R6867"/>
    <hyperlink r:id="rId2782" ref="R6869"/>
    <hyperlink r:id="rId2783" ref="R6870"/>
    <hyperlink r:id="rId2784" ref="R6872"/>
    <hyperlink r:id="rId2785" ref="R6873"/>
    <hyperlink r:id="rId2786" ref="R6881"/>
    <hyperlink r:id="rId2787" ref="R6882"/>
    <hyperlink r:id="rId2788" ref="R6889"/>
    <hyperlink r:id="rId2789" ref="R6890"/>
    <hyperlink r:id="rId2790" ref="R6892"/>
    <hyperlink r:id="rId2791" ref="R6895"/>
    <hyperlink r:id="rId2792" ref="R6897"/>
    <hyperlink r:id="rId2793" ref="R6898"/>
    <hyperlink r:id="rId2794" ref="R6899"/>
    <hyperlink r:id="rId2795" ref="R6903"/>
    <hyperlink r:id="rId2796" ref="R6904"/>
    <hyperlink r:id="rId2797" ref="R6906"/>
    <hyperlink r:id="rId2798" ref="R6909"/>
    <hyperlink r:id="rId2799" ref="R6910"/>
    <hyperlink r:id="rId2800" ref="R6919"/>
    <hyperlink r:id="rId2801" ref="R6923"/>
    <hyperlink r:id="rId2802" ref="R6931"/>
    <hyperlink r:id="rId2803" ref="R6935"/>
    <hyperlink r:id="rId2804" ref="R6938"/>
    <hyperlink r:id="rId2805" ref="R6943"/>
    <hyperlink r:id="rId2806" ref="R6944"/>
    <hyperlink r:id="rId2807" ref="R6947"/>
    <hyperlink r:id="rId2808" ref="R6948"/>
    <hyperlink r:id="rId2809" ref="R6949"/>
    <hyperlink r:id="rId2810" ref="R6952"/>
    <hyperlink r:id="rId2811" ref="R6953"/>
    <hyperlink r:id="rId2812" ref="R6958"/>
    <hyperlink r:id="rId2813" ref="R6959"/>
    <hyperlink r:id="rId2814" ref="R6961"/>
    <hyperlink r:id="rId2815" ref="R6968"/>
    <hyperlink r:id="rId2816" ref="R6970"/>
    <hyperlink r:id="rId2817" ref="R6971"/>
    <hyperlink r:id="rId2818" ref="R6972"/>
    <hyperlink r:id="rId2819" ref="R6983"/>
    <hyperlink r:id="rId2820" ref="R6994"/>
    <hyperlink r:id="rId2821" ref="R6998"/>
    <hyperlink r:id="rId2822" ref="R6999"/>
    <hyperlink r:id="rId2823" ref="R7003"/>
    <hyperlink r:id="rId2824" ref="R7005"/>
    <hyperlink r:id="rId2825" ref="R7006"/>
    <hyperlink r:id="rId2826" ref="R7007"/>
    <hyperlink r:id="rId2827" ref="R7008"/>
    <hyperlink r:id="rId2828" ref="R7010"/>
    <hyperlink r:id="rId2829" ref="R7011"/>
    <hyperlink r:id="rId2830" ref="R7033"/>
    <hyperlink r:id="rId2831" ref="R7034"/>
    <hyperlink r:id="rId2832" ref="R7035"/>
    <hyperlink r:id="rId2833" ref="R7036"/>
    <hyperlink r:id="rId2834" ref="R7040"/>
    <hyperlink r:id="rId2835" ref="R7041"/>
    <hyperlink r:id="rId2836" ref="R7046"/>
    <hyperlink r:id="rId2837" ref="R7047"/>
    <hyperlink r:id="rId2838" ref="R7048"/>
    <hyperlink r:id="rId2839" ref="R7049"/>
    <hyperlink r:id="rId2840" ref="R7050"/>
    <hyperlink r:id="rId2841" ref="R7053"/>
    <hyperlink r:id="rId2842" ref="R7055"/>
    <hyperlink r:id="rId2843" ref="R7058"/>
    <hyperlink r:id="rId2844" ref="R7062"/>
    <hyperlink r:id="rId2845" ref="R7065"/>
    <hyperlink r:id="rId2846" ref="R7069"/>
    <hyperlink r:id="rId2847" ref="R7071"/>
    <hyperlink r:id="rId2848" ref="R7072"/>
    <hyperlink r:id="rId2849" ref="R7073"/>
    <hyperlink r:id="rId2850" ref="R7075"/>
    <hyperlink r:id="rId2851" ref="R7076"/>
    <hyperlink r:id="rId2852" ref="R7077"/>
    <hyperlink r:id="rId2853" ref="R7078"/>
    <hyperlink r:id="rId2854" ref="R7079"/>
    <hyperlink r:id="rId2855" ref="R7087"/>
    <hyperlink r:id="rId2856" ref="R7089"/>
    <hyperlink r:id="rId2857" ref="R7091"/>
    <hyperlink r:id="rId2858" ref="R7092"/>
    <hyperlink r:id="rId2859" ref="R7096"/>
    <hyperlink r:id="rId2860" ref="R7097"/>
    <hyperlink r:id="rId2861" ref="R7099"/>
    <hyperlink r:id="rId2862" ref="R7100"/>
    <hyperlink r:id="rId2863" ref="R7103"/>
    <hyperlink r:id="rId2864" ref="R7104"/>
    <hyperlink r:id="rId2865" ref="R7105"/>
    <hyperlink r:id="rId2866" ref="R7106"/>
    <hyperlink r:id="rId2867" ref="R7108"/>
    <hyperlink r:id="rId2868" ref="R7112"/>
    <hyperlink r:id="rId2869" ref="R7113"/>
    <hyperlink r:id="rId2870" ref="R7114"/>
    <hyperlink r:id="rId2871" ref="R7116"/>
    <hyperlink r:id="rId2872" ref="R7117"/>
    <hyperlink r:id="rId2873" ref="R7118"/>
    <hyperlink r:id="rId2874" ref="R7123"/>
    <hyperlink r:id="rId2875" ref="R7125"/>
    <hyperlink r:id="rId2876" ref="R7127"/>
    <hyperlink r:id="rId2877" ref="R7128"/>
    <hyperlink r:id="rId2878" ref="R7129"/>
    <hyperlink r:id="rId2879" ref="R7130"/>
    <hyperlink r:id="rId2880" ref="R7131"/>
    <hyperlink r:id="rId2881" ref="R7134"/>
    <hyperlink r:id="rId2882" ref="R7135"/>
    <hyperlink r:id="rId2883" ref="R7137"/>
    <hyperlink r:id="rId2884" ref="R7138"/>
    <hyperlink r:id="rId2885" ref="R7139"/>
    <hyperlink r:id="rId2886" ref="R7140"/>
    <hyperlink r:id="rId2887" ref="R7144"/>
    <hyperlink r:id="rId2888" ref="R7145"/>
    <hyperlink r:id="rId2889" ref="R7146"/>
    <hyperlink r:id="rId2890" ref="R7148"/>
    <hyperlink r:id="rId2891" ref="R7149"/>
    <hyperlink r:id="rId2892" ref="R7151"/>
    <hyperlink r:id="rId2893" ref="R7154"/>
    <hyperlink r:id="rId2894" ref="R7181"/>
    <hyperlink r:id="rId2895" ref="R7182"/>
    <hyperlink r:id="rId2896" ref="R7188"/>
    <hyperlink r:id="rId2897" ref="R7189"/>
    <hyperlink r:id="rId2898" ref="R7192"/>
    <hyperlink r:id="rId2899" ref="R7193"/>
    <hyperlink r:id="rId2900" ref="R7194"/>
    <hyperlink r:id="rId2901" ref="R7195"/>
    <hyperlink r:id="rId2902" ref="R7196"/>
    <hyperlink r:id="rId2903" ref="R7197"/>
    <hyperlink r:id="rId2904" ref="R7198"/>
    <hyperlink r:id="rId2905" ref="R7199"/>
    <hyperlink r:id="rId2906" ref="R7201"/>
    <hyperlink r:id="rId2907" ref="R7202"/>
    <hyperlink r:id="rId2908" ref="R7203"/>
    <hyperlink r:id="rId2909" ref="R7204"/>
    <hyperlink r:id="rId2910" ref="R7205"/>
    <hyperlink r:id="rId2911" ref="R7206"/>
    <hyperlink r:id="rId2912" ref="R7207"/>
    <hyperlink r:id="rId2913" ref="R7210"/>
    <hyperlink r:id="rId2914" ref="R7212"/>
    <hyperlink r:id="rId2915" ref="R7213"/>
    <hyperlink r:id="rId2916" ref="R7214"/>
    <hyperlink r:id="rId2917" ref="R7215"/>
    <hyperlink r:id="rId2918" ref="R7216"/>
    <hyperlink r:id="rId2919" ref="R7217"/>
    <hyperlink r:id="rId2920" ref="R7218"/>
    <hyperlink r:id="rId2921" ref="R7219"/>
    <hyperlink r:id="rId2922" ref="R7220"/>
    <hyperlink r:id="rId2923" ref="R7222"/>
    <hyperlink r:id="rId2924" ref="R7223"/>
    <hyperlink r:id="rId2925" ref="R7227"/>
    <hyperlink r:id="rId2926" ref="R7229"/>
    <hyperlink r:id="rId2927" ref="R7230"/>
    <hyperlink r:id="rId2928" ref="R7231"/>
    <hyperlink r:id="rId2929" ref="R7232"/>
    <hyperlink r:id="rId2930" ref="R7233"/>
    <hyperlink r:id="rId2931" ref="R7234"/>
    <hyperlink r:id="rId2932" ref="R7236"/>
    <hyperlink r:id="rId2933" ref="R7239"/>
    <hyperlink r:id="rId2934" ref="R7247"/>
    <hyperlink r:id="rId2935" ref="R7259"/>
    <hyperlink r:id="rId2936" ref="R7264"/>
    <hyperlink r:id="rId2937" ref="R7265"/>
    <hyperlink r:id="rId2938" ref="R7266"/>
    <hyperlink r:id="rId2939" ref="R7267"/>
    <hyperlink r:id="rId2940" ref="R7275"/>
    <hyperlink r:id="rId2941" ref="R7277"/>
    <hyperlink r:id="rId2942" ref="R7278"/>
    <hyperlink r:id="rId2943" ref="R7279"/>
    <hyperlink r:id="rId2944" ref="R7280"/>
    <hyperlink r:id="rId2945" ref="R7281"/>
    <hyperlink r:id="rId2946" ref="R7282"/>
    <hyperlink r:id="rId2947" ref="R7283"/>
    <hyperlink r:id="rId2948" ref="R7284"/>
    <hyperlink r:id="rId2949" ref="R7286"/>
    <hyperlink r:id="rId2950" ref="R7291"/>
    <hyperlink r:id="rId2951" ref="R7293"/>
    <hyperlink r:id="rId2952" ref="R7302"/>
    <hyperlink r:id="rId2953" ref="R7303"/>
    <hyperlink r:id="rId2954" ref="R7305"/>
    <hyperlink r:id="rId2955" ref="R7306"/>
    <hyperlink r:id="rId2956" ref="R7309"/>
    <hyperlink r:id="rId2957" ref="R7311"/>
    <hyperlink r:id="rId2958" ref="R7312"/>
    <hyperlink r:id="rId2959" ref="R7313"/>
    <hyperlink r:id="rId2960" ref="R7314"/>
    <hyperlink r:id="rId2961" ref="R7315"/>
    <hyperlink r:id="rId2962" ref="R7316"/>
    <hyperlink r:id="rId2963" ref="R7317"/>
    <hyperlink r:id="rId2964" ref="R7318"/>
    <hyperlink r:id="rId2965" ref="R7319"/>
    <hyperlink r:id="rId2966" ref="R7321"/>
    <hyperlink r:id="rId2967" ref="R7323"/>
    <hyperlink r:id="rId2968" ref="R7325"/>
    <hyperlink r:id="rId2969" ref="R7328"/>
    <hyperlink r:id="rId2970" ref="R7333"/>
    <hyperlink r:id="rId2971" ref="R7336"/>
    <hyperlink r:id="rId2972" ref="R7337"/>
    <hyperlink r:id="rId2973" ref="R7338"/>
    <hyperlink r:id="rId2974" ref="R7339"/>
    <hyperlink r:id="rId2975" ref="R7340"/>
    <hyperlink r:id="rId2976" ref="R7341"/>
    <hyperlink r:id="rId2977" ref="R7342"/>
    <hyperlink r:id="rId2978" ref="R7343"/>
    <hyperlink r:id="rId2979" ref="R7344"/>
    <hyperlink r:id="rId2980" ref="R7345"/>
    <hyperlink r:id="rId2981" ref="R7346"/>
    <hyperlink r:id="rId2982" ref="R7348"/>
    <hyperlink r:id="rId2983" ref="R7352"/>
    <hyperlink r:id="rId2984" ref="R7353"/>
    <hyperlink r:id="rId2985" ref="R7354"/>
    <hyperlink r:id="rId2986" ref="R7356"/>
    <hyperlink r:id="rId2987" ref="R7357"/>
    <hyperlink r:id="rId2988" ref="R7358"/>
    <hyperlink r:id="rId2989" ref="R7359"/>
    <hyperlink r:id="rId2990" ref="R7361"/>
    <hyperlink r:id="rId2991" ref="R7363"/>
    <hyperlink r:id="rId2992" ref="R7364"/>
    <hyperlink r:id="rId2993" ref="R7365"/>
    <hyperlink r:id="rId2994" ref="R7366"/>
    <hyperlink r:id="rId2995" ref="R7367"/>
    <hyperlink r:id="rId2996" ref="R7368"/>
    <hyperlink r:id="rId2997" ref="R7369"/>
    <hyperlink r:id="rId2998" ref="R7370"/>
    <hyperlink r:id="rId2999" ref="R7372"/>
    <hyperlink r:id="rId3000" ref="R7373"/>
    <hyperlink r:id="rId3001" ref="R7374"/>
    <hyperlink r:id="rId3002" ref="R7375"/>
    <hyperlink r:id="rId3003" ref="R7376"/>
    <hyperlink r:id="rId3004" ref="R7377"/>
    <hyperlink r:id="rId3005" ref="R7378"/>
    <hyperlink r:id="rId3006" ref="R7379"/>
    <hyperlink r:id="rId3007" ref="R7380"/>
    <hyperlink r:id="rId3008" ref="R7382"/>
    <hyperlink r:id="rId3009" ref="R7383"/>
    <hyperlink r:id="rId3010" ref="R7384"/>
    <hyperlink r:id="rId3011" ref="R7387"/>
    <hyperlink r:id="rId3012" ref="R7389"/>
    <hyperlink r:id="rId3013" ref="R7390"/>
    <hyperlink r:id="rId3014" ref="R7391"/>
    <hyperlink r:id="rId3015" ref="R7392"/>
    <hyperlink r:id="rId3016" ref="R7393"/>
    <hyperlink r:id="rId3017" ref="R7395"/>
    <hyperlink r:id="rId3018" ref="R7396"/>
    <hyperlink r:id="rId3019" ref="R7397"/>
    <hyperlink r:id="rId3020" ref="R7398"/>
    <hyperlink r:id="rId3021" ref="R7399"/>
    <hyperlink r:id="rId3022" ref="R7400"/>
    <hyperlink r:id="rId3023" ref="R7401"/>
    <hyperlink r:id="rId3024" ref="R7402"/>
    <hyperlink r:id="rId3025" ref="R7403"/>
    <hyperlink r:id="rId3026" ref="R7404"/>
    <hyperlink r:id="rId3027" ref="R7405"/>
    <hyperlink r:id="rId3028" ref="R7407"/>
    <hyperlink r:id="rId3029" ref="R7409"/>
    <hyperlink r:id="rId3030" ref="R7410"/>
    <hyperlink r:id="rId3031" ref="R7412"/>
    <hyperlink r:id="rId3032" ref="R7413"/>
    <hyperlink r:id="rId3033" ref="R7415"/>
    <hyperlink r:id="rId3034" ref="R7416"/>
    <hyperlink r:id="rId3035" ref="R7418"/>
    <hyperlink r:id="rId3036" ref="R7419"/>
    <hyperlink r:id="rId3037" ref="R7420"/>
    <hyperlink r:id="rId3038" ref="R7421"/>
    <hyperlink r:id="rId3039" ref="R7422"/>
    <hyperlink r:id="rId3040" ref="R7423"/>
    <hyperlink r:id="rId3041" ref="R7424"/>
    <hyperlink r:id="rId3042" ref="R7425"/>
    <hyperlink r:id="rId3043" ref="R7426"/>
    <hyperlink r:id="rId3044" ref="R7428"/>
    <hyperlink r:id="rId3045" ref="R7430"/>
    <hyperlink r:id="rId3046" ref="R7431"/>
    <hyperlink r:id="rId3047" ref="R7446"/>
    <hyperlink r:id="rId3048" ref="R7453"/>
    <hyperlink r:id="rId3049" ref="R7454"/>
    <hyperlink r:id="rId3050" ref="R7455"/>
    <hyperlink r:id="rId3051" ref="R7457"/>
    <hyperlink r:id="rId3052" ref="R7458"/>
    <hyperlink r:id="rId3053" ref="R7459"/>
    <hyperlink r:id="rId3054" ref="R7460"/>
    <hyperlink r:id="rId3055" ref="R7461"/>
    <hyperlink r:id="rId3056" ref="R7462"/>
    <hyperlink r:id="rId3057" ref="R7463"/>
    <hyperlink r:id="rId3058" ref="R7465"/>
    <hyperlink r:id="rId3059" ref="R7466"/>
    <hyperlink r:id="rId3060" ref="R7468"/>
    <hyperlink r:id="rId3061" ref="R7470"/>
    <hyperlink r:id="rId3062" ref="R7471"/>
    <hyperlink r:id="rId3063" ref="R7472"/>
    <hyperlink r:id="rId3064" ref="R7473"/>
    <hyperlink r:id="rId3065" ref="R7474"/>
    <hyperlink r:id="rId3066" ref="R7475"/>
    <hyperlink r:id="rId3067" ref="R7476"/>
    <hyperlink r:id="rId3068" ref="R7479"/>
    <hyperlink r:id="rId3069" ref="R7480"/>
    <hyperlink r:id="rId3070" ref="R7481"/>
    <hyperlink r:id="rId3071" ref="R7482"/>
    <hyperlink r:id="rId3072" ref="R7483"/>
    <hyperlink r:id="rId3073" ref="R7485"/>
    <hyperlink r:id="rId3074" ref="R7486"/>
    <hyperlink r:id="rId3075" ref="R7489"/>
    <hyperlink r:id="rId3076" ref="R7490"/>
    <hyperlink r:id="rId3077" ref="R7491"/>
    <hyperlink r:id="rId3078" ref="R7492"/>
    <hyperlink r:id="rId3079" ref="R7493"/>
    <hyperlink r:id="rId3080" ref="R7495"/>
    <hyperlink r:id="rId3081" ref="R7496"/>
    <hyperlink r:id="rId3082" ref="R7498"/>
    <hyperlink r:id="rId3083" ref="R7500"/>
    <hyperlink r:id="rId3084" ref="R7501"/>
    <hyperlink r:id="rId3085" ref="R7502"/>
    <hyperlink r:id="rId3086" ref="R7503"/>
    <hyperlink r:id="rId3087" ref="R7504"/>
    <hyperlink r:id="rId3088" ref="R7505"/>
    <hyperlink r:id="rId3089" ref="R7506"/>
    <hyperlink r:id="rId3090" ref="R7507"/>
    <hyperlink r:id="rId3091" ref="R7508"/>
    <hyperlink r:id="rId3092" ref="R7509"/>
    <hyperlink r:id="rId3093" ref="R7510"/>
    <hyperlink r:id="rId3094" ref="R7511"/>
    <hyperlink r:id="rId3095" ref="R7513"/>
    <hyperlink r:id="rId3096" ref="R7514"/>
    <hyperlink r:id="rId3097" ref="R7515"/>
    <hyperlink r:id="rId3098" ref="R7519"/>
    <hyperlink r:id="rId3099" ref="R7520"/>
    <hyperlink r:id="rId3100" ref="R7522"/>
    <hyperlink r:id="rId3101" ref="R7523"/>
    <hyperlink r:id="rId3102" ref="R7525"/>
    <hyperlink r:id="rId3103" ref="R7526"/>
    <hyperlink r:id="rId3104" ref="R7527"/>
    <hyperlink r:id="rId3105" ref="R7529"/>
    <hyperlink r:id="rId3106" ref="R7530"/>
    <hyperlink r:id="rId3107" ref="R7531"/>
    <hyperlink r:id="rId3108" ref="R7533"/>
    <hyperlink r:id="rId3109" ref="R7534"/>
    <hyperlink r:id="rId3110" ref="R7535"/>
    <hyperlink r:id="rId3111" ref="R7536"/>
    <hyperlink r:id="rId3112" ref="R7537"/>
    <hyperlink r:id="rId3113" ref="R7538"/>
    <hyperlink r:id="rId3114" ref="R7539"/>
    <hyperlink r:id="rId3115" ref="R7540"/>
    <hyperlink r:id="rId3116" ref="R7542"/>
    <hyperlink r:id="rId3117" ref="R7547"/>
    <hyperlink r:id="rId3118" ref="R7548"/>
    <hyperlink r:id="rId3119" ref="R7549"/>
    <hyperlink r:id="rId3120" ref="R7550"/>
    <hyperlink r:id="rId3121" ref="R7551"/>
    <hyperlink r:id="rId3122" ref="R7557"/>
    <hyperlink r:id="rId3123" ref="R7558"/>
    <hyperlink r:id="rId3124" ref="R7560"/>
    <hyperlink r:id="rId3125" ref="R7561"/>
    <hyperlink r:id="rId3126" ref="R7562"/>
    <hyperlink r:id="rId3127" ref="R7563"/>
    <hyperlink r:id="rId3128" ref="R7565"/>
    <hyperlink r:id="rId3129" ref="R7566"/>
    <hyperlink r:id="rId3130" ref="R7570"/>
    <hyperlink r:id="rId3131" ref="R7571"/>
    <hyperlink r:id="rId3132" ref="R7577"/>
    <hyperlink r:id="rId3133" ref="R7580"/>
    <hyperlink r:id="rId3134" ref="R7581"/>
    <hyperlink r:id="rId3135" ref="R7583"/>
    <hyperlink r:id="rId3136" ref="R7584"/>
    <hyperlink r:id="rId3137" ref="R7585"/>
    <hyperlink r:id="rId3138" ref="R7586"/>
    <hyperlink r:id="rId3139" ref="R7589"/>
    <hyperlink r:id="rId3140" ref="R7590"/>
    <hyperlink r:id="rId3141" ref="R7595"/>
    <hyperlink r:id="rId3142" ref="R7596"/>
    <hyperlink r:id="rId3143" ref="R7599"/>
    <hyperlink r:id="rId3144" ref="R7600"/>
    <hyperlink r:id="rId3145" ref="R7601"/>
    <hyperlink r:id="rId3146" ref="R7602"/>
    <hyperlink r:id="rId3147" ref="R7603"/>
    <hyperlink r:id="rId3148" ref="R7606"/>
    <hyperlink r:id="rId3149" ref="R7608"/>
    <hyperlink r:id="rId3150" ref="R7609"/>
    <hyperlink r:id="rId3151" ref="R7610"/>
    <hyperlink r:id="rId3152" ref="R7611"/>
    <hyperlink r:id="rId3153" ref="R7612"/>
    <hyperlink r:id="rId3154" ref="R7613"/>
    <hyperlink r:id="rId3155" ref="R7614"/>
    <hyperlink r:id="rId3156" ref="R7615"/>
    <hyperlink r:id="rId3157" ref="R7616"/>
    <hyperlink r:id="rId3158" ref="R7618"/>
    <hyperlink r:id="rId3159" ref="R7619"/>
    <hyperlink r:id="rId3160" ref="R7620"/>
    <hyperlink r:id="rId3161" ref="R7623"/>
    <hyperlink r:id="rId3162" ref="R7624"/>
    <hyperlink r:id="rId3163" ref="R7625"/>
    <hyperlink r:id="rId3164" ref="R7626"/>
    <hyperlink r:id="rId3165" ref="R7627"/>
    <hyperlink r:id="rId3166" ref="R7628"/>
    <hyperlink r:id="rId3167" ref="R7629"/>
    <hyperlink r:id="rId3168" ref="R7630"/>
    <hyperlink r:id="rId3169" ref="R7631"/>
    <hyperlink r:id="rId3170" ref="R7632"/>
    <hyperlink r:id="rId3171" ref="R7634"/>
    <hyperlink r:id="rId3172" ref="R7635"/>
    <hyperlink r:id="rId3173" ref="R7636"/>
    <hyperlink r:id="rId3174" ref="R7637"/>
    <hyperlink r:id="rId3175" ref="R7638"/>
    <hyperlink r:id="rId3176" ref="R7639"/>
    <hyperlink r:id="rId3177" ref="R7640"/>
    <hyperlink r:id="rId3178" ref="R7644"/>
    <hyperlink r:id="rId3179" ref="R7645"/>
    <hyperlink r:id="rId3180" ref="R7646"/>
    <hyperlink r:id="rId3181" ref="R7647"/>
    <hyperlink r:id="rId3182" ref="R7648"/>
    <hyperlink r:id="rId3183" ref="R7649"/>
    <hyperlink r:id="rId3184" ref="R7651"/>
    <hyperlink r:id="rId3185" ref="R7652"/>
    <hyperlink r:id="rId3186" ref="R7654"/>
    <hyperlink r:id="rId3187" ref="R7655"/>
    <hyperlink r:id="rId3188" ref="R7656"/>
    <hyperlink r:id="rId3189" ref="R7657"/>
    <hyperlink r:id="rId3190" ref="R7658"/>
    <hyperlink r:id="rId3191" ref="R7659"/>
    <hyperlink r:id="rId3192" ref="R7660"/>
    <hyperlink r:id="rId3193" ref="R7661"/>
    <hyperlink r:id="rId3194" ref="R7662"/>
    <hyperlink r:id="rId3195" ref="R7663"/>
    <hyperlink r:id="rId3196" ref="R7664"/>
    <hyperlink r:id="rId3197" ref="R7666"/>
    <hyperlink r:id="rId3198" ref="R7667"/>
    <hyperlink r:id="rId3199" ref="R7669"/>
    <hyperlink r:id="rId3200" ref="R7670"/>
    <hyperlink r:id="rId3201" ref="R7671"/>
    <hyperlink r:id="rId3202" ref="R7673"/>
    <hyperlink r:id="rId3203" ref="R7674"/>
    <hyperlink r:id="rId3204" ref="R7675"/>
    <hyperlink r:id="rId3205" ref="R7676"/>
    <hyperlink r:id="rId3206" ref="R7677"/>
    <hyperlink r:id="rId3207" ref="R7678"/>
    <hyperlink r:id="rId3208" ref="R7679"/>
    <hyperlink r:id="rId3209" ref="R7680"/>
    <hyperlink r:id="rId3210" ref="R7681"/>
    <hyperlink r:id="rId3211" ref="R7683"/>
    <hyperlink r:id="rId3212" ref="R7685"/>
    <hyperlink r:id="rId3213" ref="R7686"/>
    <hyperlink r:id="rId3214" ref="R7687"/>
    <hyperlink r:id="rId3215" ref="R7688"/>
    <hyperlink r:id="rId3216" ref="R7691"/>
    <hyperlink r:id="rId3217" ref="R7692"/>
    <hyperlink r:id="rId3218" ref="R7693"/>
    <hyperlink r:id="rId3219" ref="R7694"/>
    <hyperlink r:id="rId3220" ref="R7695"/>
    <hyperlink r:id="rId3221" ref="R7696"/>
    <hyperlink r:id="rId3222" ref="R7697"/>
    <hyperlink r:id="rId3223" ref="R7699"/>
    <hyperlink r:id="rId3224" ref="R7700"/>
    <hyperlink r:id="rId3225" ref="R7701"/>
    <hyperlink r:id="rId3226" ref="R7702"/>
    <hyperlink r:id="rId3227" ref="R7703"/>
    <hyperlink r:id="rId3228" ref="R7704"/>
    <hyperlink r:id="rId3229" ref="R7705"/>
    <hyperlink r:id="rId3230" ref="R7706"/>
    <hyperlink r:id="rId3231" ref="R7707"/>
    <hyperlink r:id="rId3232" ref="R7708"/>
    <hyperlink r:id="rId3233" ref="R7709"/>
    <hyperlink r:id="rId3234" ref="R7710"/>
    <hyperlink r:id="rId3235" ref="R7711"/>
    <hyperlink r:id="rId3236" ref="R7712"/>
    <hyperlink r:id="rId3237" ref="R7713"/>
    <hyperlink r:id="rId3238" ref="R7715"/>
    <hyperlink r:id="rId3239" ref="R7717"/>
    <hyperlink r:id="rId3240" ref="R7718"/>
    <hyperlink r:id="rId3241" ref="R7720"/>
    <hyperlink r:id="rId3242" ref="R7722"/>
    <hyperlink r:id="rId3243" ref="R7723"/>
    <hyperlink r:id="rId3244" ref="R7724"/>
    <hyperlink r:id="rId3245" ref="R7725"/>
    <hyperlink r:id="rId3246" ref="R7726"/>
    <hyperlink r:id="rId3247" ref="R7727"/>
    <hyperlink r:id="rId3248" ref="R7728"/>
    <hyperlink r:id="rId3249" ref="R7729"/>
    <hyperlink r:id="rId3250" ref="R7730"/>
    <hyperlink r:id="rId3251" ref="R7731"/>
    <hyperlink r:id="rId3252" ref="R7732"/>
    <hyperlink r:id="rId3253" ref="R7734"/>
    <hyperlink r:id="rId3254" ref="R7735"/>
    <hyperlink r:id="rId3255" ref="R7736"/>
    <hyperlink r:id="rId3256" ref="R7737"/>
    <hyperlink r:id="rId3257" ref="R7738"/>
    <hyperlink r:id="rId3258" ref="R7739"/>
    <hyperlink r:id="rId3259" ref="R7740"/>
    <hyperlink r:id="rId3260" ref="R7741"/>
    <hyperlink r:id="rId3261" ref="R7743"/>
    <hyperlink r:id="rId3262" ref="R7744"/>
    <hyperlink r:id="rId3263" ref="R7745"/>
    <hyperlink r:id="rId3264" ref="R7746"/>
    <hyperlink r:id="rId3265" ref="R7747"/>
    <hyperlink r:id="rId3266" ref="R7748"/>
    <hyperlink r:id="rId3267" ref="R7749"/>
    <hyperlink r:id="rId3268" ref="R7750"/>
    <hyperlink r:id="rId3269" ref="R7752"/>
    <hyperlink r:id="rId3270" ref="R7753"/>
    <hyperlink r:id="rId3271" ref="R7754"/>
    <hyperlink r:id="rId3272" ref="R7755"/>
    <hyperlink r:id="rId3273" ref="R7756"/>
    <hyperlink r:id="rId3274" ref="R7757"/>
    <hyperlink r:id="rId3275" ref="R7758"/>
    <hyperlink r:id="rId3276" ref="R7760"/>
    <hyperlink r:id="rId3277" ref="R7761"/>
    <hyperlink r:id="rId3278" ref="R7763"/>
    <hyperlink r:id="rId3279" ref="R7765"/>
    <hyperlink r:id="rId3280" ref="R7766"/>
    <hyperlink r:id="rId3281" ref="R7767"/>
    <hyperlink r:id="rId3282" ref="R7768"/>
    <hyperlink r:id="rId3283" ref="R7769"/>
    <hyperlink r:id="rId3284" ref="R7770"/>
    <hyperlink r:id="rId3285" ref="R7771"/>
    <hyperlink r:id="rId3286" ref="R7772"/>
    <hyperlink r:id="rId3287" ref="R7773"/>
    <hyperlink r:id="rId3288" ref="R7774"/>
    <hyperlink r:id="rId3289" ref="R7775"/>
    <hyperlink r:id="rId3290" ref="R7776"/>
    <hyperlink r:id="rId3291" ref="R7777"/>
    <hyperlink r:id="rId3292" ref="R7779"/>
    <hyperlink r:id="rId3293" ref="R7780"/>
    <hyperlink r:id="rId3294" ref="R7782"/>
    <hyperlink r:id="rId3295" ref="R7783"/>
    <hyperlink r:id="rId3296" ref="R7784"/>
    <hyperlink r:id="rId3297" ref="R7786"/>
    <hyperlink r:id="rId3298" ref="R7787"/>
    <hyperlink r:id="rId3299" ref="R7788"/>
    <hyperlink r:id="rId3300" ref="R7789"/>
    <hyperlink r:id="rId3301" ref="R7791"/>
    <hyperlink r:id="rId3302" ref="R7792"/>
    <hyperlink r:id="rId3303" ref="R7793"/>
    <hyperlink r:id="rId3304" ref="R7794"/>
    <hyperlink r:id="rId3305" ref="R7795"/>
    <hyperlink r:id="rId3306" ref="R7797"/>
    <hyperlink r:id="rId3307" ref="R7798"/>
    <hyperlink r:id="rId3308" ref="R7800"/>
    <hyperlink r:id="rId3309" ref="R7801"/>
    <hyperlink r:id="rId3310" ref="R7802"/>
    <hyperlink r:id="rId3311" ref="R7803"/>
    <hyperlink r:id="rId3312" ref="R7804"/>
    <hyperlink r:id="rId3313" ref="R7805"/>
    <hyperlink r:id="rId3314" ref="R7806"/>
    <hyperlink r:id="rId3315" ref="R7807"/>
    <hyperlink r:id="rId3316" ref="R7808"/>
    <hyperlink r:id="rId3317" ref="R7809"/>
    <hyperlink r:id="rId3318" ref="R7810"/>
    <hyperlink r:id="rId3319" ref="R7812"/>
    <hyperlink r:id="rId3320" ref="R7813"/>
    <hyperlink r:id="rId3321" ref="R7814"/>
    <hyperlink r:id="rId3322" ref="R7815"/>
    <hyperlink r:id="rId3323" ref="R7816"/>
    <hyperlink r:id="rId3324" ref="R7817"/>
    <hyperlink r:id="rId3325" ref="R7818"/>
    <hyperlink r:id="rId3326" ref="R7819"/>
    <hyperlink r:id="rId3327" ref="R7821"/>
    <hyperlink r:id="rId3328" ref="R7822"/>
    <hyperlink r:id="rId3329" ref="R7824"/>
    <hyperlink r:id="rId3330" ref="R7825"/>
    <hyperlink r:id="rId3331" ref="R7826"/>
    <hyperlink r:id="rId3332" ref="R7827"/>
    <hyperlink r:id="rId3333" ref="R7833"/>
    <hyperlink r:id="rId3334" ref="R7836"/>
    <hyperlink r:id="rId3335" ref="R7838"/>
    <hyperlink r:id="rId3336" ref="R7840"/>
    <hyperlink r:id="rId3337" ref="R7841"/>
    <hyperlink r:id="rId3338" ref="R7842"/>
    <hyperlink r:id="rId3339" ref="R7843"/>
    <hyperlink r:id="rId3340" ref="R7844"/>
    <hyperlink r:id="rId3341" ref="R7845"/>
    <hyperlink r:id="rId3342" ref="R7846"/>
    <hyperlink r:id="rId3343" ref="R7847"/>
    <hyperlink r:id="rId3344" ref="R7848"/>
    <hyperlink r:id="rId3345" ref="R7849"/>
    <hyperlink r:id="rId3346" ref="R7851"/>
    <hyperlink r:id="rId3347" ref="R7852"/>
    <hyperlink r:id="rId3348" ref="R7853"/>
    <hyperlink r:id="rId3349" ref="R7854"/>
    <hyperlink r:id="rId3350" ref="R7855"/>
    <hyperlink r:id="rId3351" ref="R7856"/>
    <hyperlink r:id="rId3352" ref="R7857"/>
    <hyperlink r:id="rId3353" ref="R7858"/>
    <hyperlink r:id="rId3354" ref="R7859"/>
    <hyperlink r:id="rId3355" ref="R7861"/>
    <hyperlink r:id="rId3356" ref="R7863"/>
    <hyperlink r:id="rId3357" ref="R7864"/>
    <hyperlink r:id="rId3358" ref="R7865"/>
    <hyperlink r:id="rId3359" ref="R7869"/>
    <hyperlink r:id="rId3360" ref="R7871"/>
    <hyperlink r:id="rId3361" ref="R7873"/>
    <hyperlink r:id="rId3362" ref="R7877"/>
    <hyperlink r:id="rId3363" ref="R7878"/>
    <hyperlink r:id="rId3364" ref="R7884"/>
    <hyperlink r:id="rId3365" ref="R7885"/>
    <hyperlink r:id="rId3366" ref="R7886"/>
    <hyperlink r:id="rId3367" ref="R7887"/>
    <hyperlink r:id="rId3368" ref="R7888"/>
    <hyperlink r:id="rId3369" ref="R7889"/>
    <hyperlink r:id="rId3370" ref="R7890"/>
    <hyperlink r:id="rId3371" ref="R7891"/>
    <hyperlink r:id="rId3372" ref="R7892"/>
    <hyperlink r:id="rId3373" ref="R7893"/>
    <hyperlink r:id="rId3374" ref="R7894"/>
    <hyperlink r:id="rId3375" ref="R7895"/>
    <hyperlink r:id="rId3376" ref="R7896"/>
    <hyperlink r:id="rId3377" ref="R7898"/>
    <hyperlink r:id="rId3378" ref="R7899"/>
    <hyperlink r:id="rId3379" ref="R7901"/>
    <hyperlink r:id="rId3380" ref="R7902"/>
    <hyperlink r:id="rId3381" ref="R7903"/>
    <hyperlink r:id="rId3382" ref="R7904"/>
    <hyperlink r:id="rId3383" ref="R7906"/>
    <hyperlink r:id="rId3384" ref="R7907"/>
    <hyperlink r:id="rId3385" ref="R7908"/>
    <hyperlink r:id="rId3386" ref="R7909"/>
    <hyperlink r:id="rId3387" ref="R7910"/>
    <hyperlink r:id="rId3388" ref="R7912"/>
    <hyperlink r:id="rId3389" ref="R7913"/>
    <hyperlink r:id="rId3390" ref="R7914"/>
    <hyperlink r:id="rId3391" ref="R7915"/>
    <hyperlink r:id="rId3392" ref="R7916"/>
    <hyperlink r:id="rId3393" ref="R7917"/>
    <hyperlink r:id="rId3394" ref="R7918"/>
    <hyperlink r:id="rId3395" ref="R7920"/>
    <hyperlink r:id="rId3396" ref="R7921"/>
    <hyperlink r:id="rId3397" ref="R7922"/>
    <hyperlink r:id="rId3398" ref="R7923"/>
    <hyperlink r:id="rId3399" ref="R7924"/>
    <hyperlink r:id="rId3400" ref="R7925"/>
    <hyperlink r:id="rId3401" ref="R7926"/>
    <hyperlink r:id="rId3402" ref="R7927"/>
    <hyperlink r:id="rId3403" ref="R7928"/>
    <hyperlink r:id="rId3404" ref="R7929"/>
    <hyperlink r:id="rId3405" ref="R7930"/>
    <hyperlink r:id="rId3406" ref="R7931"/>
    <hyperlink r:id="rId3407" ref="R7933"/>
    <hyperlink r:id="rId3408" ref="R7935"/>
    <hyperlink r:id="rId3409" ref="R7936"/>
    <hyperlink r:id="rId3410" ref="R7937"/>
    <hyperlink r:id="rId3411" ref="R7939"/>
    <hyperlink r:id="rId3412" ref="R7940"/>
    <hyperlink r:id="rId3413" ref="R7941"/>
    <hyperlink r:id="rId3414" ref="R7942"/>
    <hyperlink r:id="rId3415" ref="R7945"/>
    <hyperlink r:id="rId3416" ref="R7946"/>
    <hyperlink r:id="rId3417" ref="R7947"/>
    <hyperlink r:id="rId3418" ref="R7948"/>
    <hyperlink r:id="rId3419" ref="R7949"/>
    <hyperlink r:id="rId3420" ref="R7950"/>
    <hyperlink r:id="rId3421" ref="R7951"/>
    <hyperlink r:id="rId3422" ref="R7952"/>
    <hyperlink r:id="rId3423" ref="R7954"/>
    <hyperlink r:id="rId3424" ref="R7955"/>
    <hyperlink r:id="rId3425" ref="R7956"/>
    <hyperlink r:id="rId3426" ref="R7957"/>
    <hyperlink r:id="rId3427" ref="R7958"/>
    <hyperlink r:id="rId3428" ref="R7959"/>
    <hyperlink r:id="rId3429" ref="R7960"/>
    <hyperlink r:id="rId3430" ref="R7961"/>
    <hyperlink r:id="rId3431" ref="R7962"/>
    <hyperlink r:id="rId3432" ref="R7963"/>
    <hyperlink r:id="rId3433" ref="R7964"/>
    <hyperlink r:id="rId3434" ref="R7965"/>
    <hyperlink r:id="rId3435" ref="R7966"/>
    <hyperlink r:id="rId3436" ref="R7967"/>
    <hyperlink r:id="rId3437" ref="R7968"/>
    <hyperlink r:id="rId3438" ref="R7969"/>
    <hyperlink r:id="rId3439" ref="R7971"/>
    <hyperlink r:id="rId3440" ref="R7972"/>
    <hyperlink r:id="rId3441" ref="R7973"/>
    <hyperlink r:id="rId3442" ref="R7975"/>
    <hyperlink r:id="rId3443" ref="R7976"/>
    <hyperlink r:id="rId3444" ref="R7977"/>
    <hyperlink r:id="rId3445" ref="R7978"/>
    <hyperlink r:id="rId3446" ref="R7979"/>
    <hyperlink r:id="rId3447" ref="R7983"/>
    <hyperlink r:id="rId3448" ref="R7984"/>
    <hyperlink r:id="rId3449" ref="R7987"/>
    <hyperlink r:id="rId3450" ref="R7988"/>
    <hyperlink r:id="rId3451" ref="R7989"/>
    <hyperlink r:id="rId3452" ref="R7990"/>
    <hyperlink r:id="rId3453" ref="R7991"/>
    <hyperlink r:id="rId3454" ref="R7992"/>
    <hyperlink r:id="rId3455" ref="R7996"/>
    <hyperlink r:id="rId3456" ref="R7998"/>
    <hyperlink r:id="rId3457" ref="R7999"/>
    <hyperlink r:id="rId3458" ref="R8000"/>
    <hyperlink r:id="rId3459" ref="R8001"/>
    <hyperlink r:id="rId3460" ref="R8002"/>
    <hyperlink r:id="rId3461" ref="R8003"/>
    <hyperlink r:id="rId3462" ref="R8004"/>
    <hyperlink r:id="rId3463" ref="R8005"/>
    <hyperlink r:id="rId3464" ref="R8006"/>
    <hyperlink r:id="rId3465" ref="R8007"/>
    <hyperlink r:id="rId3466" ref="R8009"/>
    <hyperlink r:id="rId3467" ref="R8010"/>
    <hyperlink r:id="rId3468" ref="R8011"/>
    <hyperlink r:id="rId3469" ref="R8012"/>
    <hyperlink r:id="rId3470" ref="R8013"/>
    <hyperlink r:id="rId3471" ref="R8015"/>
    <hyperlink r:id="rId3472" ref="R8018"/>
    <hyperlink r:id="rId3473" ref="R8019"/>
    <hyperlink r:id="rId3474" ref="R8020"/>
    <hyperlink r:id="rId3475" ref="R8021"/>
    <hyperlink r:id="rId3476" ref="R8022"/>
    <hyperlink r:id="rId3477" ref="R8023"/>
    <hyperlink r:id="rId3478" ref="R8024"/>
    <hyperlink r:id="rId3479" ref="R8026"/>
    <hyperlink r:id="rId3480" ref="R8027"/>
    <hyperlink r:id="rId3481" ref="R8029"/>
    <hyperlink r:id="rId3482" ref="R8030"/>
    <hyperlink r:id="rId3483" ref="R8031"/>
    <hyperlink r:id="rId3484" ref="R8032"/>
    <hyperlink r:id="rId3485" ref="R8033"/>
    <hyperlink r:id="rId3486" ref="R8035"/>
    <hyperlink r:id="rId3487" ref="R8037"/>
    <hyperlink r:id="rId3488" ref="R8038"/>
    <hyperlink r:id="rId3489" ref="R8039"/>
    <hyperlink r:id="rId3490" ref="R8040"/>
    <hyperlink r:id="rId3491" ref="R8041"/>
    <hyperlink r:id="rId3492" ref="R8042"/>
    <hyperlink r:id="rId3493" ref="R8043"/>
    <hyperlink r:id="rId3494" ref="R8050"/>
    <hyperlink r:id="rId3495" ref="R8051"/>
    <hyperlink r:id="rId3496" ref="R8053"/>
    <hyperlink r:id="rId3497" ref="R8054"/>
    <hyperlink r:id="rId3498" ref="R8055"/>
    <hyperlink r:id="rId3499" ref="R8058"/>
    <hyperlink r:id="rId3500" ref="R8059"/>
    <hyperlink r:id="rId3501" ref="R8060"/>
    <hyperlink r:id="rId3502" ref="R8061"/>
    <hyperlink r:id="rId3503" ref="R8062"/>
    <hyperlink r:id="rId3504" ref="R8064"/>
    <hyperlink r:id="rId3505" ref="R8065"/>
    <hyperlink r:id="rId3506" ref="R8066"/>
    <hyperlink r:id="rId3507" ref="R8068"/>
    <hyperlink r:id="rId3508" ref="R8069"/>
    <hyperlink r:id="rId3509" ref="R8070"/>
    <hyperlink r:id="rId3510" ref="R8071"/>
    <hyperlink r:id="rId3511" ref="R8072"/>
    <hyperlink r:id="rId3512" ref="R8073"/>
    <hyperlink r:id="rId3513" ref="R8074"/>
    <hyperlink r:id="rId3514" ref="R8075"/>
    <hyperlink r:id="rId3515" ref="R8077"/>
    <hyperlink r:id="rId3516" ref="R8078"/>
    <hyperlink r:id="rId3517" ref="R8079"/>
    <hyperlink r:id="rId3518" ref="R8080"/>
    <hyperlink r:id="rId3519" ref="R8081"/>
    <hyperlink r:id="rId3520" ref="R8083"/>
    <hyperlink r:id="rId3521" ref="R8084"/>
    <hyperlink r:id="rId3522" ref="R8085"/>
    <hyperlink r:id="rId3523" ref="R8086"/>
    <hyperlink r:id="rId3524" ref="R8087"/>
    <hyperlink r:id="rId3525" ref="R8088"/>
    <hyperlink r:id="rId3526" ref="R8089"/>
    <hyperlink r:id="rId3527" ref="R8091"/>
    <hyperlink r:id="rId3528" ref="R8092"/>
    <hyperlink r:id="rId3529" ref="R8093"/>
    <hyperlink r:id="rId3530" ref="R8094"/>
    <hyperlink r:id="rId3531" ref="R8095"/>
    <hyperlink r:id="rId3532" ref="R8096"/>
    <hyperlink r:id="rId3533" ref="R8097"/>
    <hyperlink r:id="rId3534" ref="R8098"/>
    <hyperlink r:id="rId3535" ref="R8099"/>
    <hyperlink r:id="rId3536" ref="R8100"/>
    <hyperlink r:id="rId3537" ref="R8101"/>
    <hyperlink r:id="rId3538" ref="R8103"/>
    <hyperlink r:id="rId3539" ref="R8104"/>
    <hyperlink r:id="rId3540" ref="R8105"/>
    <hyperlink r:id="rId3541" ref="R8106"/>
    <hyperlink r:id="rId3542" ref="R8107"/>
    <hyperlink r:id="rId3543" ref="R8108"/>
    <hyperlink r:id="rId3544" ref="R8111"/>
    <hyperlink r:id="rId3545" ref="R8112"/>
    <hyperlink r:id="rId3546" ref="R8113"/>
    <hyperlink r:id="rId3547" ref="R8114"/>
    <hyperlink r:id="rId3548" ref="R8115"/>
    <hyperlink r:id="rId3549" ref="R8116"/>
    <hyperlink r:id="rId3550" ref="R8117"/>
    <hyperlink r:id="rId3551" ref="R8118"/>
    <hyperlink r:id="rId3552" ref="R8119"/>
    <hyperlink r:id="rId3553" ref="R8120"/>
    <hyperlink r:id="rId3554" ref="R8122"/>
    <hyperlink r:id="rId3555" ref="R8124"/>
    <hyperlink r:id="rId3556" ref="R8125"/>
    <hyperlink r:id="rId3557" ref="R8126"/>
    <hyperlink r:id="rId3558" ref="R8127"/>
    <hyperlink r:id="rId3559" ref="R8128"/>
    <hyperlink r:id="rId3560" ref="R8129"/>
    <hyperlink r:id="rId3561" ref="R8130"/>
    <hyperlink r:id="rId3562" ref="R8131"/>
    <hyperlink r:id="rId3563" ref="R8135"/>
    <hyperlink r:id="rId3564" ref="R8137"/>
    <hyperlink r:id="rId3565" ref="R8138"/>
    <hyperlink r:id="rId3566" ref="R8139"/>
    <hyperlink r:id="rId3567" ref="R8140"/>
    <hyperlink r:id="rId3568" ref="R8141"/>
    <hyperlink r:id="rId3569" ref="R8142"/>
    <hyperlink r:id="rId3570" ref="R8144"/>
    <hyperlink r:id="rId3571" ref="R8145"/>
    <hyperlink r:id="rId3572" ref="R8147"/>
    <hyperlink r:id="rId3573" ref="R8148"/>
    <hyperlink r:id="rId3574" ref="R8149"/>
    <hyperlink r:id="rId3575" ref="R8150"/>
    <hyperlink r:id="rId3576" ref="R8151"/>
    <hyperlink r:id="rId3577" ref="R8152"/>
    <hyperlink r:id="rId3578" ref="R8153"/>
    <hyperlink r:id="rId3579" ref="R8154"/>
    <hyperlink r:id="rId3580" ref="R8155"/>
    <hyperlink r:id="rId3581" ref="R8156"/>
    <hyperlink r:id="rId3582" ref="R8157"/>
    <hyperlink r:id="rId3583" ref="R8159"/>
    <hyperlink r:id="rId3584" ref="R8160"/>
    <hyperlink r:id="rId3585" ref="R8161"/>
    <hyperlink r:id="rId3586" ref="R8162"/>
    <hyperlink r:id="rId3587" ref="R8163"/>
    <hyperlink r:id="rId3588" ref="R8164"/>
    <hyperlink r:id="rId3589" ref="R8165"/>
    <hyperlink r:id="rId3590" ref="R8166"/>
    <hyperlink r:id="rId3591" ref="R8167"/>
    <hyperlink r:id="rId3592" ref="R8168"/>
    <hyperlink r:id="rId3593" ref="R8171"/>
    <hyperlink r:id="rId3594" ref="R8172"/>
    <hyperlink r:id="rId3595" ref="R8174"/>
    <hyperlink r:id="rId3596" ref="R8175"/>
    <hyperlink r:id="rId3597" ref="R8176"/>
    <hyperlink r:id="rId3598" ref="R8177"/>
    <hyperlink r:id="rId3599" ref="R8178"/>
    <hyperlink r:id="rId3600" ref="R8179"/>
    <hyperlink r:id="rId3601" ref="R8180"/>
    <hyperlink r:id="rId3602" ref="R8181"/>
    <hyperlink r:id="rId3603" ref="R8182"/>
    <hyperlink r:id="rId3604" ref="R8184"/>
    <hyperlink r:id="rId3605" ref="R8185"/>
    <hyperlink r:id="rId3606" ref="R8186"/>
    <hyperlink r:id="rId3607" ref="R8187"/>
    <hyperlink r:id="rId3608" ref="R8188"/>
    <hyperlink r:id="rId3609" ref="R8190"/>
    <hyperlink r:id="rId3610" ref="R8192"/>
    <hyperlink r:id="rId3611" ref="R8193"/>
    <hyperlink r:id="rId3612" ref="R8194"/>
    <hyperlink r:id="rId3613" ref="R8195"/>
    <hyperlink r:id="rId3614" ref="R8196"/>
    <hyperlink r:id="rId3615" ref="R8198"/>
    <hyperlink r:id="rId3616" ref="R8199"/>
    <hyperlink r:id="rId3617" ref="R8200"/>
    <hyperlink r:id="rId3618" ref="R8201"/>
    <hyperlink r:id="rId3619" ref="R8202"/>
    <hyperlink r:id="rId3620" ref="R8203"/>
    <hyperlink r:id="rId3621" ref="R8204"/>
    <hyperlink r:id="rId3622" ref="R8205"/>
    <hyperlink r:id="rId3623" ref="R8208"/>
    <hyperlink r:id="rId3624" ref="R8209"/>
    <hyperlink r:id="rId3625" ref="R8210"/>
    <hyperlink r:id="rId3626" ref="R8211"/>
    <hyperlink r:id="rId3627" ref="R8212"/>
    <hyperlink r:id="rId3628" ref="R8214"/>
    <hyperlink r:id="rId3629" ref="R8216"/>
    <hyperlink r:id="rId3630" ref="R8217"/>
    <hyperlink r:id="rId3631" ref="R8218"/>
    <hyperlink r:id="rId3632" ref="R8219"/>
    <hyperlink r:id="rId3633" ref="R8221"/>
    <hyperlink r:id="rId3634" ref="R8222"/>
    <hyperlink r:id="rId3635" ref="R8224"/>
    <hyperlink r:id="rId3636" ref="R8225"/>
    <hyperlink r:id="rId3637" ref="R8226"/>
    <hyperlink r:id="rId3638" ref="R8229"/>
    <hyperlink r:id="rId3639" ref="R8230"/>
    <hyperlink r:id="rId3640" ref="R8231"/>
    <hyperlink r:id="rId3641" ref="R8232"/>
    <hyperlink r:id="rId3642" ref="R8233"/>
    <hyperlink r:id="rId3643" ref="R8234"/>
    <hyperlink r:id="rId3644" ref="R8237"/>
    <hyperlink r:id="rId3645" ref="R8238"/>
    <hyperlink r:id="rId3646" ref="R8239"/>
    <hyperlink r:id="rId3647" ref="R8240"/>
    <hyperlink r:id="rId3648" ref="R8241"/>
    <hyperlink r:id="rId3649" ref="R8243"/>
    <hyperlink r:id="rId3650" ref="R8244"/>
    <hyperlink r:id="rId3651" ref="R8245"/>
    <hyperlink r:id="rId3652" ref="R8246"/>
    <hyperlink r:id="rId3653" ref="R8247"/>
    <hyperlink r:id="rId3654" ref="R8248"/>
    <hyperlink r:id="rId3655" ref="R8249"/>
    <hyperlink r:id="rId3656" ref="R8251"/>
    <hyperlink r:id="rId3657" ref="R8252"/>
    <hyperlink r:id="rId3658" ref="R8253"/>
    <hyperlink r:id="rId3659" ref="R8254"/>
    <hyperlink r:id="rId3660" ref="R8255"/>
    <hyperlink r:id="rId3661" ref="R8257"/>
    <hyperlink r:id="rId3662" ref="R8258"/>
    <hyperlink r:id="rId3663" ref="R8259"/>
    <hyperlink r:id="rId3664" ref="R8260"/>
    <hyperlink r:id="rId3665" ref="R8263"/>
    <hyperlink r:id="rId3666" ref="R8264"/>
    <hyperlink r:id="rId3667" ref="R8266"/>
    <hyperlink r:id="rId3668" ref="R8267"/>
    <hyperlink r:id="rId3669" ref="R8268"/>
    <hyperlink r:id="rId3670" ref="R8269"/>
    <hyperlink r:id="rId3671" ref="R8270"/>
    <hyperlink r:id="rId3672" ref="R8271"/>
    <hyperlink r:id="rId3673" ref="R8273"/>
    <hyperlink r:id="rId3674" ref="R8276"/>
    <hyperlink r:id="rId3675" ref="R8277"/>
    <hyperlink r:id="rId3676" ref="R8278"/>
    <hyperlink r:id="rId3677" ref="R8279"/>
    <hyperlink r:id="rId3678" ref="R8281"/>
    <hyperlink r:id="rId3679" ref="R8282"/>
    <hyperlink r:id="rId3680" ref="R8283"/>
    <hyperlink r:id="rId3681" ref="R8284"/>
    <hyperlink r:id="rId3682" ref="R8285"/>
    <hyperlink r:id="rId3683" ref="R8287"/>
    <hyperlink r:id="rId3684" ref="R8289"/>
    <hyperlink r:id="rId3685" ref="R8290"/>
    <hyperlink r:id="rId3686" ref="R8293"/>
    <hyperlink r:id="rId3687" ref="R8296"/>
    <hyperlink r:id="rId3688" ref="R8297"/>
    <hyperlink r:id="rId3689" ref="R8298"/>
    <hyperlink r:id="rId3690" ref="R8299"/>
    <hyperlink r:id="rId3691" ref="R8300"/>
    <hyperlink r:id="rId3692" ref="R8302"/>
    <hyperlink r:id="rId3693" ref="R8303"/>
    <hyperlink r:id="rId3694" ref="R8307"/>
    <hyperlink r:id="rId3695" ref="R8308"/>
    <hyperlink r:id="rId3696" ref="R8310"/>
    <hyperlink r:id="rId3697" ref="R8311"/>
    <hyperlink r:id="rId3698" ref="R8313"/>
    <hyperlink r:id="rId3699" ref="R8314"/>
    <hyperlink r:id="rId3700" ref="R8316"/>
    <hyperlink r:id="rId3701" ref="R8317"/>
    <hyperlink r:id="rId3702" ref="R8319"/>
    <hyperlink r:id="rId3703" ref="R8321"/>
    <hyperlink r:id="rId3704" ref="R8322"/>
    <hyperlink r:id="rId3705" ref="R8323"/>
    <hyperlink r:id="rId3706" ref="R8324"/>
    <hyperlink r:id="rId3707" ref="R8325"/>
    <hyperlink r:id="rId3708" ref="R8327"/>
    <hyperlink r:id="rId3709" ref="R8329"/>
    <hyperlink r:id="rId3710" ref="R8330"/>
    <hyperlink r:id="rId3711" ref="R8331"/>
    <hyperlink r:id="rId3712" ref="R8332"/>
    <hyperlink r:id="rId3713" ref="R8336"/>
    <hyperlink r:id="rId3714" ref="R8337"/>
    <hyperlink r:id="rId3715" ref="R8341"/>
    <hyperlink r:id="rId3716" ref="R8342"/>
    <hyperlink r:id="rId3717" ref="R8343"/>
    <hyperlink r:id="rId3718" ref="R8344"/>
    <hyperlink r:id="rId3719" ref="R8345"/>
    <hyperlink r:id="rId3720" ref="R8346"/>
    <hyperlink r:id="rId3721" ref="R8347"/>
    <hyperlink r:id="rId3722" ref="R8348"/>
    <hyperlink r:id="rId3723" ref="R8349"/>
    <hyperlink r:id="rId3724" ref="R8350"/>
    <hyperlink r:id="rId3725" ref="R8351"/>
    <hyperlink r:id="rId3726" ref="R8352"/>
    <hyperlink r:id="rId3727" ref="R8353"/>
    <hyperlink r:id="rId3728" ref="R8354"/>
    <hyperlink r:id="rId3729" ref="R8355"/>
    <hyperlink r:id="rId3730" ref="R8357"/>
    <hyperlink r:id="rId3731" ref="R8359"/>
    <hyperlink r:id="rId3732" ref="R8360"/>
    <hyperlink r:id="rId3733" ref="R8361"/>
    <hyperlink r:id="rId3734" ref="R8362"/>
    <hyperlink r:id="rId3735" ref="R8363"/>
    <hyperlink r:id="rId3736" ref="R8365"/>
    <hyperlink r:id="rId3737" ref="R8368"/>
    <hyperlink r:id="rId3738" ref="R8369"/>
    <hyperlink r:id="rId3739" ref="R8371"/>
    <hyperlink r:id="rId3740" ref="R8373"/>
    <hyperlink r:id="rId3741" ref="R8375"/>
    <hyperlink r:id="rId3742" ref="R8376"/>
    <hyperlink r:id="rId3743" ref="R8377"/>
    <hyperlink r:id="rId3744" ref="R8378"/>
    <hyperlink r:id="rId3745" ref="R8381"/>
    <hyperlink r:id="rId3746" ref="R8383"/>
    <hyperlink r:id="rId3747" ref="R8384"/>
    <hyperlink r:id="rId3748" ref="R8385"/>
    <hyperlink r:id="rId3749" ref="R8386"/>
    <hyperlink r:id="rId3750" ref="R8387"/>
    <hyperlink r:id="rId3751" ref="R8395"/>
    <hyperlink r:id="rId3752" ref="R8396"/>
    <hyperlink r:id="rId3753" ref="R8398"/>
    <hyperlink r:id="rId3754" ref="R8399"/>
    <hyperlink r:id="rId3755" ref="R8400"/>
    <hyperlink r:id="rId3756" ref="R8401"/>
    <hyperlink r:id="rId3757" ref="R8403"/>
    <hyperlink r:id="rId3758" ref="R8405"/>
    <hyperlink r:id="rId3759" ref="R8406"/>
    <hyperlink r:id="rId3760" ref="R8407"/>
    <hyperlink r:id="rId3761" ref="R8408"/>
    <hyperlink r:id="rId3762" ref="R8410"/>
    <hyperlink r:id="rId3763" ref="R8411"/>
    <hyperlink r:id="rId3764" ref="R8412"/>
    <hyperlink r:id="rId3765" ref="R8415"/>
    <hyperlink r:id="rId3766" ref="R8416"/>
    <hyperlink r:id="rId3767" ref="R8417"/>
    <hyperlink r:id="rId3768" ref="R8419"/>
    <hyperlink r:id="rId3769" ref="R8420"/>
    <hyperlink r:id="rId3770" ref="R8422"/>
    <hyperlink r:id="rId3771" ref="R8423"/>
    <hyperlink r:id="rId3772" ref="R8424"/>
    <hyperlink r:id="rId3773" ref="R8425"/>
    <hyperlink r:id="rId3774" ref="R8426"/>
    <hyperlink r:id="rId3775" ref="R8428"/>
    <hyperlink r:id="rId3776" ref="R8430"/>
    <hyperlink r:id="rId3777" ref="R8431"/>
    <hyperlink r:id="rId3778" ref="R8432"/>
    <hyperlink r:id="rId3779" ref="R8434"/>
    <hyperlink r:id="rId3780" ref="R8439"/>
    <hyperlink r:id="rId3781" ref="R8440"/>
    <hyperlink r:id="rId3782" ref="R8441"/>
    <hyperlink r:id="rId3783" ref="R8443"/>
    <hyperlink r:id="rId3784" ref="R8444"/>
    <hyperlink r:id="rId3785" ref="R8445"/>
    <hyperlink r:id="rId3786" ref="R8446"/>
    <hyperlink r:id="rId3787" ref="R8448"/>
    <hyperlink r:id="rId3788" ref="R8449"/>
    <hyperlink r:id="rId3789" ref="R8451"/>
    <hyperlink r:id="rId3790" ref="R8453"/>
    <hyperlink r:id="rId3791" ref="R8454"/>
    <hyperlink r:id="rId3792" ref="R8455"/>
    <hyperlink r:id="rId3793" ref="R8456"/>
    <hyperlink r:id="rId3794" ref="R8459"/>
    <hyperlink r:id="rId3795" ref="R8461"/>
    <hyperlink r:id="rId3796" ref="R8462"/>
    <hyperlink r:id="rId3797" ref="R8463"/>
    <hyperlink r:id="rId3798" ref="R8464"/>
    <hyperlink r:id="rId3799" ref="R8465"/>
    <hyperlink r:id="rId3800" ref="R8466"/>
    <hyperlink r:id="rId3801" ref="R8467"/>
    <hyperlink r:id="rId3802" ref="R8468"/>
    <hyperlink r:id="rId3803" ref="R8469"/>
    <hyperlink r:id="rId3804" ref="R8470"/>
    <hyperlink r:id="rId3805" ref="R8471"/>
    <hyperlink r:id="rId3806" ref="R8472"/>
    <hyperlink r:id="rId3807" ref="R8475"/>
    <hyperlink r:id="rId3808" ref="R8476"/>
    <hyperlink r:id="rId3809" ref="R8478"/>
    <hyperlink r:id="rId3810" ref="R8479"/>
    <hyperlink r:id="rId3811" ref="R8481"/>
    <hyperlink r:id="rId3812" ref="R8482"/>
    <hyperlink r:id="rId3813" ref="R8483"/>
    <hyperlink r:id="rId3814" ref="R8484"/>
    <hyperlink r:id="rId3815" ref="R8485"/>
    <hyperlink r:id="rId3816" ref="R8486"/>
    <hyperlink r:id="rId3817" ref="R8487"/>
    <hyperlink r:id="rId3818" ref="R8490"/>
    <hyperlink r:id="rId3819" ref="R8491"/>
    <hyperlink r:id="rId3820" ref="R8492"/>
    <hyperlink r:id="rId3821" ref="R8493"/>
    <hyperlink r:id="rId3822" ref="R8494"/>
    <hyperlink r:id="rId3823" ref="R8495"/>
    <hyperlink r:id="rId3824" ref="R8496"/>
    <hyperlink r:id="rId3825" ref="R8497"/>
    <hyperlink r:id="rId3826" ref="R8498"/>
    <hyperlink r:id="rId3827" ref="R8499"/>
    <hyperlink r:id="rId3828" ref="R8502"/>
    <hyperlink r:id="rId3829" ref="R8503"/>
    <hyperlink r:id="rId3830" ref="R8504"/>
    <hyperlink r:id="rId3831" ref="R8505"/>
    <hyperlink r:id="rId3832" ref="R8506"/>
    <hyperlink r:id="rId3833" ref="R8508"/>
    <hyperlink r:id="rId3834" ref="R8509"/>
    <hyperlink r:id="rId3835" ref="R8511"/>
    <hyperlink r:id="rId3836" ref="R8513"/>
    <hyperlink r:id="rId3837" ref="R8514"/>
    <hyperlink r:id="rId3838" ref="R8527"/>
    <hyperlink r:id="rId3839" ref="R8528"/>
    <hyperlink r:id="rId3840" ref="R8531"/>
    <hyperlink r:id="rId3841" ref="R8532"/>
    <hyperlink r:id="rId3842" ref="R8533"/>
    <hyperlink r:id="rId3843" ref="R8534"/>
    <hyperlink r:id="rId3844" ref="R8535"/>
    <hyperlink r:id="rId3845" ref="R8538"/>
    <hyperlink r:id="rId3846" ref="R8543"/>
    <hyperlink r:id="rId3847" ref="R8545"/>
    <hyperlink r:id="rId3848" ref="R8546"/>
    <hyperlink r:id="rId3849" ref="R8547"/>
    <hyperlink r:id="rId3850" ref="R8548"/>
    <hyperlink r:id="rId3851" ref="R8552"/>
    <hyperlink r:id="rId3852" ref="R8554"/>
    <hyperlink r:id="rId3853" ref="R8556"/>
    <hyperlink r:id="rId3854" ref="R8557"/>
    <hyperlink r:id="rId3855" ref="R8558"/>
    <hyperlink r:id="rId3856" ref="R8560"/>
    <hyperlink r:id="rId3857" ref="R8561"/>
    <hyperlink r:id="rId3858" ref="R8562"/>
    <hyperlink r:id="rId3859" ref="R8563"/>
    <hyperlink r:id="rId3860" ref="R8564"/>
    <hyperlink r:id="rId3861" ref="R8567"/>
    <hyperlink r:id="rId3862" ref="R8568"/>
    <hyperlink r:id="rId3863" ref="R8569"/>
    <hyperlink r:id="rId3864" ref="R8570"/>
    <hyperlink r:id="rId3865" ref="R8571"/>
    <hyperlink r:id="rId3866" ref="R8572"/>
    <hyperlink r:id="rId3867" ref="R8573"/>
    <hyperlink r:id="rId3868" ref="R8575"/>
    <hyperlink r:id="rId3869" ref="R8576"/>
    <hyperlink r:id="rId3870" ref="R8578"/>
    <hyperlink r:id="rId3871" ref="R8580"/>
    <hyperlink r:id="rId3872" ref="R8582"/>
    <hyperlink r:id="rId3873" ref="R8583"/>
    <hyperlink r:id="rId3874" ref="R8584"/>
    <hyperlink r:id="rId3875" ref="R8588"/>
    <hyperlink r:id="rId3876" ref="R8589"/>
    <hyperlink r:id="rId3877" ref="R8590"/>
    <hyperlink r:id="rId3878" ref="R8591"/>
    <hyperlink r:id="rId3879" ref="R8592"/>
    <hyperlink r:id="rId3880" ref="R8593"/>
    <hyperlink r:id="rId3881" ref="R8594"/>
    <hyperlink r:id="rId3882" ref="R8595"/>
    <hyperlink r:id="rId3883" ref="R8598"/>
    <hyperlink r:id="rId3884" ref="R8599"/>
    <hyperlink r:id="rId3885" ref="R8600"/>
    <hyperlink r:id="rId3886" ref="R8601"/>
    <hyperlink r:id="rId3887" ref="R8602"/>
    <hyperlink r:id="rId3888" ref="R8603"/>
    <hyperlink r:id="rId3889" ref="R8606"/>
    <hyperlink r:id="rId3890" ref="R8609"/>
    <hyperlink r:id="rId3891" ref="R8610"/>
    <hyperlink r:id="rId3892" ref="R8616"/>
    <hyperlink r:id="rId3893" ref="R8621"/>
    <hyperlink r:id="rId3894" ref="R8622"/>
    <hyperlink r:id="rId3895" ref="R8624"/>
    <hyperlink r:id="rId3896" ref="R8625"/>
    <hyperlink r:id="rId3897" ref="R8626"/>
    <hyperlink r:id="rId3898" ref="R8627"/>
    <hyperlink r:id="rId3899" ref="R8628"/>
    <hyperlink r:id="rId3900" ref="R8630"/>
    <hyperlink r:id="rId3901" ref="R8631"/>
    <hyperlink r:id="rId3902" ref="R8632"/>
    <hyperlink r:id="rId3903" ref="R8633"/>
    <hyperlink r:id="rId3904" ref="R8634"/>
    <hyperlink r:id="rId3905" ref="R8636"/>
    <hyperlink r:id="rId3906" ref="R8637"/>
    <hyperlink r:id="rId3907" ref="R8638"/>
    <hyperlink r:id="rId3908" ref="R8639"/>
    <hyperlink r:id="rId3909" ref="R8640"/>
    <hyperlink r:id="rId3910" ref="R8641"/>
    <hyperlink r:id="rId3911" ref="R8642"/>
    <hyperlink r:id="rId3912" ref="R8643"/>
    <hyperlink r:id="rId3913" ref="R8645"/>
    <hyperlink r:id="rId3914" ref="R8646"/>
    <hyperlink r:id="rId3915" ref="R8647"/>
    <hyperlink r:id="rId3916" ref="R8649"/>
    <hyperlink r:id="rId3917" ref="R8650"/>
    <hyperlink r:id="rId3918" ref="R8652"/>
    <hyperlink r:id="rId3919" ref="R8654"/>
    <hyperlink r:id="rId3920" ref="R8656"/>
    <hyperlink r:id="rId3921" ref="R8658"/>
    <hyperlink r:id="rId3922" ref="R8659"/>
    <hyperlink r:id="rId3923" ref="R8660"/>
    <hyperlink r:id="rId3924" ref="R8661"/>
    <hyperlink r:id="rId3925" ref="R8662"/>
    <hyperlink r:id="rId3926" ref="R8663"/>
    <hyperlink r:id="rId3927" ref="R8664"/>
    <hyperlink r:id="rId3928" ref="R8665"/>
    <hyperlink r:id="rId3929" ref="R8666"/>
    <hyperlink r:id="rId3930" ref="R8667"/>
    <hyperlink r:id="rId3931" ref="R8669"/>
    <hyperlink r:id="rId3932" ref="R8670"/>
    <hyperlink r:id="rId3933" ref="R8671"/>
    <hyperlink r:id="rId3934" ref="R8672"/>
    <hyperlink r:id="rId3935" ref="R8673"/>
    <hyperlink r:id="rId3936" ref="R8674"/>
    <hyperlink r:id="rId3937" ref="R8675"/>
    <hyperlink r:id="rId3938" ref="R8676"/>
    <hyperlink r:id="rId3939" ref="R8677"/>
    <hyperlink r:id="rId3940" ref="R8679"/>
    <hyperlink r:id="rId3941" ref="R8681"/>
    <hyperlink r:id="rId3942" ref="R8682"/>
    <hyperlink r:id="rId3943" ref="R8684"/>
    <hyperlink r:id="rId3944" ref="R8685"/>
    <hyperlink r:id="rId3945" ref="R8686"/>
    <hyperlink r:id="rId3946" ref="R8687"/>
    <hyperlink r:id="rId3947" ref="R8688"/>
    <hyperlink r:id="rId3948" ref="R8689"/>
    <hyperlink r:id="rId3949" ref="R8690"/>
    <hyperlink r:id="rId3950" ref="R8691"/>
    <hyperlink r:id="rId3951" ref="R8692"/>
    <hyperlink r:id="rId3952" ref="R8693"/>
    <hyperlink r:id="rId3953" ref="R8695"/>
    <hyperlink r:id="rId3954" ref="R8697"/>
    <hyperlink r:id="rId3955" ref="R8698"/>
    <hyperlink r:id="rId3956" ref="R8699"/>
    <hyperlink r:id="rId3957" ref="R8700"/>
    <hyperlink r:id="rId3958" ref="R8701"/>
    <hyperlink r:id="rId3959" ref="R8703"/>
    <hyperlink r:id="rId3960" ref="R8704"/>
    <hyperlink r:id="rId3961" ref="R8705"/>
    <hyperlink r:id="rId3962" ref="R8706"/>
    <hyperlink r:id="rId3963" ref="R8707"/>
    <hyperlink r:id="rId3964" ref="R8708"/>
    <hyperlink r:id="rId3965" ref="R8709"/>
    <hyperlink r:id="rId3966" ref="R8710"/>
    <hyperlink r:id="rId3967" ref="R8711"/>
    <hyperlink r:id="rId3968" ref="R8712"/>
    <hyperlink r:id="rId3969" ref="R8713"/>
    <hyperlink r:id="rId3970" ref="R8717"/>
    <hyperlink r:id="rId3971" ref="R8735"/>
    <hyperlink r:id="rId3972" ref="R8738"/>
    <hyperlink r:id="rId3973" ref="R8740"/>
    <hyperlink r:id="rId3974" ref="R8741"/>
    <hyperlink r:id="rId3975" ref="R8743"/>
    <hyperlink r:id="rId3976" ref="R8744"/>
    <hyperlink r:id="rId3977" ref="R8745"/>
    <hyperlink r:id="rId3978" ref="R8746"/>
    <hyperlink r:id="rId3979" ref="R8747"/>
    <hyperlink r:id="rId3980" ref="R8748"/>
    <hyperlink r:id="rId3981" ref="R8750"/>
    <hyperlink r:id="rId3982" ref="R8754"/>
    <hyperlink r:id="rId3983" ref="R8756"/>
    <hyperlink r:id="rId3984" ref="R8757"/>
    <hyperlink r:id="rId3985" ref="R8758"/>
    <hyperlink r:id="rId3986" ref="R8759"/>
    <hyperlink r:id="rId3987" ref="R8760"/>
    <hyperlink r:id="rId3988" ref="R8761"/>
    <hyperlink r:id="rId3989" ref="R8763"/>
    <hyperlink r:id="rId3990" ref="R8765"/>
    <hyperlink r:id="rId3991" ref="R8767"/>
    <hyperlink r:id="rId3992" ref="R8768"/>
    <hyperlink r:id="rId3993" ref="R8770"/>
    <hyperlink r:id="rId3994" ref="R8771"/>
    <hyperlink r:id="rId3995" ref="R8773"/>
    <hyperlink r:id="rId3996" ref="R8774"/>
    <hyperlink r:id="rId3997" ref="R8776"/>
    <hyperlink r:id="rId3998" ref="R8777"/>
    <hyperlink r:id="rId3999" ref="R8778"/>
    <hyperlink r:id="rId4000" ref="R8779"/>
    <hyperlink r:id="rId4001" ref="R8780"/>
    <hyperlink r:id="rId4002" ref="R8783"/>
    <hyperlink r:id="rId4003" ref="R8784"/>
    <hyperlink r:id="rId4004" ref="R8785"/>
    <hyperlink r:id="rId4005" ref="R8786"/>
    <hyperlink r:id="rId4006" ref="R8788"/>
    <hyperlink r:id="rId4007" ref="R8793"/>
    <hyperlink r:id="rId4008" ref="R8794"/>
    <hyperlink r:id="rId4009" ref="R8795"/>
    <hyperlink r:id="rId4010" ref="R8797"/>
    <hyperlink r:id="rId4011" ref="R8798"/>
    <hyperlink r:id="rId4012" ref="R8799"/>
    <hyperlink r:id="rId4013" ref="R8800"/>
    <hyperlink r:id="rId4014" ref="R8801"/>
    <hyperlink r:id="rId4015" ref="R8802"/>
    <hyperlink r:id="rId4016" ref="R8803"/>
    <hyperlink r:id="rId4017" ref="R8804"/>
    <hyperlink r:id="rId4018" ref="R8805"/>
    <hyperlink r:id="rId4019" ref="R8806"/>
    <hyperlink r:id="rId4020" ref="R8807"/>
    <hyperlink r:id="rId4021" ref="R8808"/>
    <hyperlink r:id="rId4022" ref="R8810"/>
    <hyperlink r:id="rId4023" ref="R8812"/>
    <hyperlink r:id="rId4024" ref="R8815"/>
    <hyperlink r:id="rId4025" ref="R8820"/>
    <hyperlink r:id="rId4026" ref="R8821"/>
    <hyperlink r:id="rId4027" ref="R8822"/>
    <hyperlink r:id="rId4028" ref="R8823"/>
    <hyperlink r:id="rId4029" ref="R8824"/>
    <hyperlink r:id="rId4030" ref="R8825"/>
    <hyperlink r:id="rId4031" ref="R8826"/>
    <hyperlink r:id="rId4032" ref="R8827"/>
    <hyperlink r:id="rId4033" ref="R8829"/>
    <hyperlink r:id="rId4034" ref="R8830"/>
    <hyperlink r:id="rId4035" ref="R8832"/>
    <hyperlink r:id="rId4036" ref="R8833"/>
    <hyperlink r:id="rId4037" ref="R8834"/>
    <hyperlink r:id="rId4038" ref="R8835"/>
    <hyperlink r:id="rId4039" ref="R8836"/>
    <hyperlink r:id="rId4040" ref="R8837"/>
    <hyperlink r:id="rId4041" ref="R8838"/>
    <hyperlink r:id="rId4042" ref="R8839"/>
    <hyperlink r:id="rId4043" ref="R8843"/>
    <hyperlink r:id="rId4044" ref="R8844"/>
    <hyperlink r:id="rId4045" ref="R8845"/>
    <hyperlink r:id="rId4046" ref="R8846"/>
    <hyperlink r:id="rId4047" ref="R8847"/>
    <hyperlink r:id="rId4048" ref="R8848"/>
    <hyperlink r:id="rId4049" ref="R8849"/>
    <hyperlink r:id="rId4050" ref="R8850"/>
    <hyperlink r:id="rId4051" ref="R8852"/>
    <hyperlink r:id="rId4052" ref="R8853"/>
    <hyperlink r:id="rId4053" ref="R8854"/>
    <hyperlink r:id="rId4054" ref="R8855"/>
    <hyperlink r:id="rId4055" ref="R8856"/>
    <hyperlink r:id="rId4056" ref="R8857"/>
    <hyperlink r:id="rId4057" ref="R8858"/>
    <hyperlink r:id="rId4058" ref="R8859"/>
    <hyperlink r:id="rId4059" ref="R8860"/>
    <hyperlink r:id="rId4060" ref="R8861"/>
    <hyperlink r:id="rId4061" ref="R8863"/>
    <hyperlink r:id="rId4062" ref="R8864"/>
    <hyperlink r:id="rId4063" ref="R8865"/>
    <hyperlink r:id="rId4064" ref="R8866"/>
    <hyperlink r:id="rId4065" ref="R8869"/>
    <hyperlink r:id="rId4066" ref="R8870"/>
    <hyperlink r:id="rId4067" ref="R8872"/>
    <hyperlink r:id="rId4068" ref="R8873"/>
    <hyperlink r:id="rId4069" ref="R8875"/>
    <hyperlink r:id="rId4070" ref="R8876"/>
    <hyperlink r:id="rId4071" ref="R8877"/>
    <hyperlink r:id="rId4072" ref="R8879"/>
    <hyperlink r:id="rId4073" ref="R8880"/>
    <hyperlink r:id="rId4074" ref="R8881"/>
    <hyperlink r:id="rId4075" ref="R8882"/>
    <hyperlink r:id="rId4076" ref="R8883"/>
    <hyperlink r:id="rId4077" ref="R8884"/>
    <hyperlink r:id="rId4078" ref="R8886"/>
    <hyperlink r:id="rId4079" ref="R8888"/>
    <hyperlink r:id="rId4080" ref="R8892"/>
    <hyperlink r:id="rId4081" ref="R8897"/>
    <hyperlink r:id="rId4082" ref="R8898"/>
    <hyperlink r:id="rId4083" ref="R8899"/>
    <hyperlink r:id="rId4084" ref="R8900"/>
    <hyperlink r:id="rId4085" ref="R8902"/>
    <hyperlink r:id="rId4086" ref="R8904"/>
    <hyperlink r:id="rId4087" ref="R8905"/>
    <hyperlink r:id="rId4088" ref="R8906"/>
    <hyperlink r:id="rId4089" ref="R8908"/>
    <hyperlink r:id="rId4090" ref="R8910"/>
    <hyperlink r:id="rId4091" ref="R8912"/>
    <hyperlink r:id="rId4092" ref="R8913"/>
    <hyperlink r:id="rId4093" ref="R8914"/>
    <hyperlink r:id="rId4094" ref="R8918"/>
    <hyperlink r:id="rId4095" ref="R8921"/>
    <hyperlink r:id="rId4096" ref="R8922"/>
    <hyperlink r:id="rId4097" ref="R8928"/>
    <hyperlink r:id="rId4098" ref="R8929"/>
    <hyperlink r:id="rId4099" ref="R8933"/>
    <hyperlink r:id="rId4100" ref="R8934"/>
    <hyperlink r:id="rId4101" ref="R8935"/>
    <hyperlink r:id="rId4102" ref="R8936"/>
    <hyperlink r:id="rId4103" ref="R8937"/>
    <hyperlink r:id="rId4104" ref="R8938"/>
    <hyperlink r:id="rId4105" ref="R8939"/>
    <hyperlink r:id="rId4106" ref="R8940"/>
    <hyperlink r:id="rId4107" ref="R8941"/>
    <hyperlink r:id="rId4108" ref="R8942"/>
    <hyperlink r:id="rId4109" ref="R8944"/>
    <hyperlink r:id="rId4110" ref="R8948"/>
    <hyperlink r:id="rId4111" ref="R8950"/>
    <hyperlink r:id="rId4112" ref="R8956"/>
    <hyperlink r:id="rId4113" ref="R8959"/>
    <hyperlink r:id="rId4114" ref="R8961"/>
    <hyperlink r:id="rId4115" ref="R8967"/>
    <hyperlink r:id="rId4116" ref="R8968"/>
    <hyperlink r:id="rId4117" ref="R8972"/>
    <hyperlink r:id="rId4118" ref="R8973"/>
    <hyperlink r:id="rId4119" ref="R8976"/>
    <hyperlink r:id="rId4120" ref="R8977"/>
    <hyperlink r:id="rId4121" ref="R8978"/>
    <hyperlink r:id="rId4122" ref="R8979"/>
    <hyperlink r:id="rId4123" ref="R8980"/>
    <hyperlink r:id="rId4124" ref="R8981"/>
    <hyperlink r:id="rId4125" ref="R8982"/>
    <hyperlink r:id="rId4126" ref="R8984"/>
    <hyperlink r:id="rId4127" ref="R8985"/>
    <hyperlink r:id="rId4128" ref="R8986"/>
    <hyperlink r:id="rId4129" ref="R8989"/>
    <hyperlink r:id="rId4130" ref="R8990"/>
    <hyperlink r:id="rId4131" ref="R8991"/>
    <hyperlink r:id="rId4132" ref="R8992"/>
    <hyperlink r:id="rId4133" ref="R8993"/>
    <hyperlink r:id="rId4134" ref="R8994"/>
    <hyperlink r:id="rId4135" ref="R8995"/>
    <hyperlink r:id="rId4136" ref="R8996"/>
    <hyperlink r:id="rId4137" ref="R8997"/>
    <hyperlink r:id="rId4138" ref="R8998"/>
    <hyperlink r:id="rId4139" ref="R8999"/>
    <hyperlink r:id="rId4140" ref="R9000"/>
    <hyperlink r:id="rId4141" ref="R9001"/>
    <hyperlink r:id="rId4142" ref="R9002"/>
    <hyperlink r:id="rId4143" ref="R9003"/>
    <hyperlink r:id="rId4144" ref="R9005"/>
    <hyperlink r:id="rId4145" ref="R9006"/>
    <hyperlink r:id="rId4146" ref="R9007"/>
    <hyperlink r:id="rId4147" ref="R9008"/>
    <hyperlink r:id="rId4148" ref="R9009"/>
    <hyperlink r:id="rId4149" ref="R9010"/>
    <hyperlink r:id="rId4150" ref="R9011"/>
    <hyperlink r:id="rId4151" ref="R9012"/>
    <hyperlink r:id="rId4152" ref="R9014"/>
    <hyperlink r:id="rId4153" ref="R9015"/>
    <hyperlink r:id="rId4154" ref="R9016"/>
    <hyperlink r:id="rId4155" ref="R9017"/>
    <hyperlink r:id="rId4156" ref="R9018"/>
    <hyperlink r:id="rId4157" ref="R9019"/>
    <hyperlink r:id="rId4158" ref="R9020"/>
    <hyperlink r:id="rId4159" ref="R9021"/>
    <hyperlink r:id="rId4160" ref="R9022"/>
    <hyperlink r:id="rId4161" ref="R9023"/>
    <hyperlink r:id="rId4162" ref="R9024"/>
    <hyperlink r:id="rId4163" ref="R9025"/>
    <hyperlink r:id="rId4164" ref="R9026"/>
    <hyperlink r:id="rId4165" ref="R9027"/>
    <hyperlink r:id="rId4166" ref="R9028"/>
    <hyperlink r:id="rId4167" ref="R9029"/>
    <hyperlink r:id="rId4168" ref="R9030"/>
    <hyperlink r:id="rId4169" ref="R9031"/>
    <hyperlink r:id="rId4170" ref="R9032"/>
    <hyperlink r:id="rId4171" ref="R9033"/>
    <hyperlink r:id="rId4172" ref="R9035"/>
    <hyperlink r:id="rId4173" ref="R9036"/>
    <hyperlink r:id="rId4174" ref="R9037"/>
    <hyperlink r:id="rId4175" ref="R9038"/>
    <hyperlink r:id="rId4176" ref="R9039"/>
    <hyperlink r:id="rId4177" ref="R9040"/>
    <hyperlink r:id="rId4178" ref="R9041"/>
    <hyperlink r:id="rId4179" ref="R9042"/>
    <hyperlink r:id="rId4180" ref="R9043"/>
    <hyperlink r:id="rId4181" ref="R9045"/>
    <hyperlink r:id="rId4182" ref="R9047"/>
    <hyperlink r:id="rId4183" ref="R9049"/>
    <hyperlink r:id="rId4184" ref="R9050"/>
    <hyperlink r:id="rId4185" ref="R9051"/>
    <hyperlink r:id="rId4186" ref="R9052"/>
    <hyperlink r:id="rId4187" ref="R9053"/>
    <hyperlink r:id="rId4188" ref="R9054"/>
    <hyperlink r:id="rId4189" ref="R9055"/>
    <hyperlink r:id="rId4190" ref="R9056"/>
    <hyperlink r:id="rId4191" ref="R9057"/>
    <hyperlink r:id="rId4192" ref="R9058"/>
    <hyperlink r:id="rId4193" ref="R9059"/>
    <hyperlink r:id="rId4194" ref="R9060"/>
    <hyperlink r:id="rId4195" ref="R9061"/>
    <hyperlink r:id="rId4196" ref="R9062"/>
    <hyperlink r:id="rId4197" ref="R9063"/>
    <hyperlink r:id="rId4198" ref="R9064"/>
    <hyperlink r:id="rId4199" ref="R9065"/>
    <hyperlink r:id="rId4200" ref="R9066"/>
    <hyperlink r:id="rId4201" ref="R9067"/>
    <hyperlink r:id="rId4202" ref="R9068"/>
    <hyperlink r:id="rId4203" ref="R9069"/>
    <hyperlink r:id="rId4204" ref="R9071"/>
    <hyperlink r:id="rId4205" ref="R9072"/>
    <hyperlink r:id="rId4206" ref="R9073"/>
    <hyperlink r:id="rId4207" ref="R9074"/>
    <hyperlink r:id="rId4208" ref="R9075"/>
    <hyperlink r:id="rId4209" ref="R9076"/>
    <hyperlink r:id="rId4210" ref="R9077"/>
    <hyperlink r:id="rId4211" ref="R9079"/>
    <hyperlink r:id="rId4212" ref="R9080"/>
    <hyperlink r:id="rId4213" ref="R9081"/>
    <hyperlink r:id="rId4214" ref="R9082"/>
    <hyperlink r:id="rId4215" ref="R9083"/>
    <hyperlink r:id="rId4216" ref="R9084"/>
    <hyperlink r:id="rId4217" ref="R9085"/>
    <hyperlink r:id="rId4218" ref="R9086"/>
    <hyperlink r:id="rId4219" ref="R9087"/>
    <hyperlink r:id="rId4220" ref="R9089"/>
    <hyperlink r:id="rId4221" ref="R9090"/>
    <hyperlink r:id="rId4222" ref="R9091"/>
    <hyperlink r:id="rId4223" ref="R9092"/>
    <hyperlink r:id="rId4224" ref="R9093"/>
    <hyperlink r:id="rId4225" ref="R9094"/>
    <hyperlink r:id="rId4226" ref="R9095"/>
    <hyperlink r:id="rId4227" ref="R9096"/>
    <hyperlink r:id="rId4228" ref="R9097"/>
    <hyperlink r:id="rId4229" ref="R9098"/>
    <hyperlink r:id="rId4230" ref="R9099"/>
    <hyperlink r:id="rId4231" ref="R9100"/>
    <hyperlink r:id="rId4232" ref="R9103"/>
    <hyperlink r:id="rId4233" ref="R9104"/>
    <hyperlink r:id="rId4234" ref="R9105"/>
    <hyperlink r:id="rId4235" ref="R9106"/>
    <hyperlink r:id="rId4236" ref="R9107"/>
    <hyperlink r:id="rId4237" ref="R9108"/>
    <hyperlink r:id="rId4238" ref="R9109"/>
    <hyperlink r:id="rId4239" ref="R9110"/>
    <hyperlink r:id="rId4240" ref="R9112"/>
    <hyperlink r:id="rId4241" ref="R9113"/>
    <hyperlink r:id="rId4242" ref="R9114"/>
    <hyperlink r:id="rId4243" ref="R9115"/>
    <hyperlink r:id="rId4244" ref="R9116"/>
    <hyperlink r:id="rId4245" ref="R9117"/>
    <hyperlink r:id="rId4246" ref="R9118"/>
    <hyperlink r:id="rId4247" ref="R9119"/>
    <hyperlink r:id="rId4248" ref="R9120"/>
    <hyperlink r:id="rId4249" ref="R9121"/>
    <hyperlink r:id="rId4250" ref="R9122"/>
    <hyperlink r:id="rId4251" ref="R9123"/>
    <hyperlink r:id="rId4252" ref="R9124"/>
    <hyperlink r:id="rId4253" ref="R9125"/>
    <hyperlink r:id="rId4254" ref="R9126"/>
    <hyperlink r:id="rId4255" ref="R9127"/>
    <hyperlink r:id="rId4256" ref="R9128"/>
    <hyperlink r:id="rId4257" ref="R9130"/>
    <hyperlink r:id="rId4258" ref="R9131"/>
    <hyperlink r:id="rId4259" ref="R9132"/>
    <hyperlink r:id="rId4260" ref="R9134"/>
    <hyperlink r:id="rId4261" ref="R9135"/>
    <hyperlink r:id="rId4262" ref="R9138"/>
    <hyperlink r:id="rId4263" ref="R9139"/>
    <hyperlink r:id="rId4264" ref="R9140"/>
    <hyperlink r:id="rId4265" ref="R9141"/>
    <hyperlink r:id="rId4266" ref="R9142"/>
    <hyperlink r:id="rId4267" ref="R9143"/>
    <hyperlink r:id="rId4268" ref="R9144"/>
    <hyperlink r:id="rId4269" ref="R9145"/>
    <hyperlink r:id="rId4270" ref="R9147"/>
    <hyperlink r:id="rId4271" ref="R9150"/>
    <hyperlink r:id="rId4272" ref="R9151"/>
    <hyperlink r:id="rId4273" ref="R9152"/>
    <hyperlink r:id="rId4274" ref="R9154"/>
    <hyperlink r:id="rId4275" ref="R9155"/>
    <hyperlink r:id="rId4276" ref="R9156"/>
    <hyperlink r:id="rId4277" ref="R9157"/>
    <hyperlink r:id="rId4278" ref="R9158"/>
    <hyperlink r:id="rId4279" ref="R9159"/>
    <hyperlink r:id="rId4280" ref="R9160"/>
    <hyperlink r:id="rId4281" ref="R9161"/>
    <hyperlink r:id="rId4282" ref="R9162"/>
    <hyperlink r:id="rId4283" ref="R9163"/>
    <hyperlink r:id="rId4284" ref="R9164"/>
    <hyperlink r:id="rId4285" ref="R9165"/>
    <hyperlink r:id="rId4286" ref="R9166"/>
    <hyperlink r:id="rId4287" ref="R9167"/>
    <hyperlink r:id="rId4288" ref="R9168"/>
    <hyperlink r:id="rId4289" ref="R9170"/>
    <hyperlink r:id="rId4290" ref="R9171"/>
    <hyperlink r:id="rId4291" ref="R9173"/>
    <hyperlink r:id="rId4292" ref="R9174"/>
    <hyperlink r:id="rId4293" ref="R9175"/>
    <hyperlink r:id="rId4294" ref="R9176"/>
    <hyperlink r:id="rId4295" ref="R9177"/>
    <hyperlink r:id="rId4296" ref="R9178"/>
    <hyperlink r:id="rId4297" ref="R9179"/>
    <hyperlink r:id="rId4298" ref="R9180"/>
    <hyperlink r:id="rId4299" ref="R9181"/>
    <hyperlink r:id="rId4300" ref="R9182"/>
    <hyperlink r:id="rId4301" ref="R9183"/>
    <hyperlink r:id="rId4302" ref="R9184"/>
    <hyperlink r:id="rId4303" ref="R9186"/>
    <hyperlink r:id="rId4304" ref="R9188"/>
    <hyperlink r:id="rId4305" ref="R9189"/>
    <hyperlink r:id="rId4306" ref="R9190"/>
    <hyperlink r:id="rId4307" ref="R9191"/>
    <hyperlink r:id="rId4308" ref="R9192"/>
    <hyperlink r:id="rId4309" ref="R9193"/>
    <hyperlink r:id="rId4310" ref="R9195"/>
    <hyperlink r:id="rId4311" ref="R9197"/>
    <hyperlink r:id="rId4312" ref="R9198"/>
    <hyperlink r:id="rId4313" ref="R9199"/>
    <hyperlink r:id="rId4314" ref="R9201"/>
    <hyperlink r:id="rId4315" ref="R9203"/>
    <hyperlink r:id="rId4316" ref="R9204"/>
    <hyperlink r:id="rId4317" ref="R9205"/>
    <hyperlink r:id="rId4318" ref="R9206"/>
    <hyperlink r:id="rId4319" ref="R9208"/>
    <hyperlink r:id="rId4320" ref="R9209"/>
    <hyperlink r:id="rId4321" ref="R9211"/>
    <hyperlink r:id="rId4322" ref="R9212"/>
    <hyperlink r:id="rId4323" ref="R9213"/>
    <hyperlink r:id="rId4324" ref="R9214"/>
    <hyperlink r:id="rId4325" ref="R9215"/>
    <hyperlink r:id="rId4326" ref="R9216"/>
    <hyperlink r:id="rId4327" ref="R9217"/>
    <hyperlink r:id="rId4328" ref="R9218"/>
    <hyperlink r:id="rId4329" ref="R9219"/>
    <hyperlink r:id="rId4330" ref="R9221"/>
    <hyperlink r:id="rId4331" ref="R9223"/>
    <hyperlink r:id="rId4332" ref="R9224"/>
    <hyperlink r:id="rId4333" ref="R9225"/>
    <hyperlink r:id="rId4334" ref="R9226"/>
    <hyperlink r:id="rId4335" ref="R9227"/>
    <hyperlink r:id="rId4336" ref="R9228"/>
    <hyperlink r:id="rId4337" ref="R9229"/>
    <hyperlink r:id="rId4338" ref="R9230"/>
    <hyperlink r:id="rId4339" ref="R9231"/>
    <hyperlink r:id="rId4340" ref="R9232"/>
    <hyperlink r:id="rId4341" ref="R9233"/>
    <hyperlink r:id="rId4342" ref="R9234"/>
    <hyperlink r:id="rId4343" ref="R9235"/>
    <hyperlink r:id="rId4344" ref="R9236"/>
    <hyperlink r:id="rId4345" ref="R9237"/>
    <hyperlink r:id="rId4346" ref="R9238"/>
    <hyperlink r:id="rId4347" ref="R9240"/>
    <hyperlink r:id="rId4348" ref="R9242"/>
    <hyperlink r:id="rId4349" ref="R9244"/>
    <hyperlink r:id="rId4350" ref="R9245"/>
    <hyperlink r:id="rId4351" ref="R9246"/>
    <hyperlink r:id="rId4352" ref="R9248"/>
    <hyperlink r:id="rId4353" ref="R9249"/>
    <hyperlink r:id="rId4354" ref="R9250"/>
    <hyperlink r:id="rId4355" ref="R9251"/>
    <hyperlink r:id="rId4356" ref="R9252"/>
    <hyperlink r:id="rId4357" ref="R9254"/>
    <hyperlink r:id="rId4358" ref="R9255"/>
    <hyperlink r:id="rId4359" ref="R9256"/>
    <hyperlink r:id="rId4360" ref="R9257"/>
    <hyperlink r:id="rId4361" ref="R9258"/>
    <hyperlink r:id="rId4362" ref="R9259"/>
    <hyperlink r:id="rId4363" ref="R9260"/>
    <hyperlink r:id="rId4364" ref="R9261"/>
    <hyperlink r:id="rId4365" ref="R9262"/>
    <hyperlink r:id="rId4366" ref="R9264"/>
    <hyperlink r:id="rId4367" ref="R9265"/>
    <hyperlink r:id="rId4368" ref="R9266"/>
    <hyperlink r:id="rId4369" ref="R9267"/>
    <hyperlink r:id="rId4370" ref="R9270"/>
    <hyperlink r:id="rId4371" ref="R9271"/>
    <hyperlink r:id="rId4372" ref="R9272"/>
    <hyperlink r:id="rId4373" ref="R9274"/>
    <hyperlink r:id="rId4374" ref="R9276"/>
    <hyperlink r:id="rId4375" ref="R9281"/>
    <hyperlink r:id="rId4376" ref="R9282"/>
    <hyperlink r:id="rId4377" ref="R9286"/>
    <hyperlink r:id="rId4378" ref="R9287"/>
    <hyperlink r:id="rId4379" ref="R9288"/>
    <hyperlink r:id="rId4380" ref="R9289"/>
    <hyperlink r:id="rId4381" ref="R9290"/>
    <hyperlink r:id="rId4382" ref="R9291"/>
    <hyperlink r:id="rId4383" ref="R9292"/>
    <hyperlink r:id="rId4384" ref="R9293"/>
    <hyperlink r:id="rId4385" ref="R9295"/>
    <hyperlink r:id="rId4386" ref="R9296"/>
    <hyperlink r:id="rId4387" ref="R9297"/>
    <hyperlink r:id="rId4388" ref="R9298"/>
    <hyperlink r:id="rId4389" ref="R9299"/>
    <hyperlink r:id="rId4390" ref="R9302"/>
    <hyperlink r:id="rId4391" ref="R9303"/>
    <hyperlink r:id="rId4392" ref="R9305"/>
    <hyperlink r:id="rId4393" ref="R9306"/>
    <hyperlink r:id="rId4394" ref="R9307"/>
    <hyperlink r:id="rId4395" ref="R9308"/>
    <hyperlink r:id="rId4396" ref="R9309"/>
    <hyperlink r:id="rId4397" ref="R9310"/>
    <hyperlink r:id="rId4398" ref="R9311"/>
    <hyperlink r:id="rId4399" ref="R9312"/>
    <hyperlink r:id="rId4400" ref="R9313"/>
    <hyperlink r:id="rId4401" ref="R9314"/>
    <hyperlink r:id="rId4402" ref="R9315"/>
    <hyperlink r:id="rId4403" ref="R9316"/>
    <hyperlink r:id="rId4404" ref="R9317"/>
    <hyperlink r:id="rId4405" ref="R9318"/>
    <hyperlink r:id="rId4406" ref="R9319"/>
    <hyperlink r:id="rId4407" ref="R9320"/>
    <hyperlink r:id="rId4408" ref="R9322"/>
    <hyperlink r:id="rId4409" ref="R9325"/>
    <hyperlink r:id="rId4410" ref="R9328"/>
    <hyperlink r:id="rId4411" ref="R9329"/>
    <hyperlink r:id="rId4412" ref="R9330"/>
    <hyperlink r:id="rId4413" ref="R9331"/>
    <hyperlink r:id="rId4414" ref="R9332"/>
    <hyperlink r:id="rId4415" ref="R9333"/>
    <hyperlink r:id="rId4416" ref="R9334"/>
    <hyperlink r:id="rId4417" ref="R9337"/>
    <hyperlink r:id="rId4418" ref="R9338"/>
    <hyperlink r:id="rId4419" ref="R9339"/>
    <hyperlink r:id="rId4420" ref="R9340"/>
    <hyperlink r:id="rId4421" ref="R9341"/>
    <hyperlink r:id="rId4422" ref="R9342"/>
    <hyperlink r:id="rId4423" ref="R9343"/>
    <hyperlink r:id="rId4424" ref="R9344"/>
    <hyperlink r:id="rId4425" ref="R9345"/>
    <hyperlink r:id="rId4426" ref="R9346"/>
    <hyperlink r:id="rId4427" ref="R9347"/>
    <hyperlink r:id="rId4428" ref="R9348"/>
    <hyperlink r:id="rId4429" ref="R9350"/>
    <hyperlink r:id="rId4430" ref="R9351"/>
    <hyperlink r:id="rId4431" ref="R9354"/>
    <hyperlink r:id="rId4432" ref="R9356"/>
    <hyperlink r:id="rId4433" ref="R9357"/>
    <hyperlink r:id="rId4434" ref="R9358"/>
    <hyperlink r:id="rId4435" ref="R9359"/>
    <hyperlink r:id="rId4436" ref="R9360"/>
    <hyperlink r:id="rId4437" ref="R9361"/>
    <hyperlink r:id="rId4438" ref="R9362"/>
    <hyperlink r:id="rId4439" ref="R9363"/>
    <hyperlink r:id="rId4440" ref="R9364"/>
    <hyperlink r:id="rId4441" ref="R9365"/>
    <hyperlink r:id="rId4442" ref="R9366"/>
    <hyperlink r:id="rId4443" ref="R9367"/>
    <hyperlink r:id="rId4444" ref="R9368"/>
    <hyperlink r:id="rId4445" ref="R9369"/>
    <hyperlink r:id="rId4446" ref="R9371"/>
    <hyperlink r:id="rId4447" ref="R9372"/>
    <hyperlink r:id="rId4448" ref="R9373"/>
    <hyperlink r:id="rId4449" ref="R9374"/>
    <hyperlink r:id="rId4450" ref="R9375"/>
    <hyperlink r:id="rId4451" ref="R9376"/>
    <hyperlink r:id="rId4452" ref="R9377"/>
    <hyperlink r:id="rId4453" ref="R9378"/>
    <hyperlink r:id="rId4454" ref="R9379"/>
    <hyperlink r:id="rId4455" ref="R9381"/>
    <hyperlink r:id="rId4456" ref="R9382"/>
    <hyperlink r:id="rId4457" ref="R9384"/>
    <hyperlink r:id="rId4458" ref="R9385"/>
    <hyperlink r:id="rId4459" ref="R9386"/>
    <hyperlink r:id="rId4460" ref="R9387"/>
    <hyperlink r:id="rId4461" ref="R9388"/>
    <hyperlink r:id="rId4462" ref="R9389"/>
    <hyperlink r:id="rId4463" ref="R9390"/>
    <hyperlink r:id="rId4464" ref="R9391"/>
    <hyperlink r:id="rId4465" ref="R9393"/>
    <hyperlink r:id="rId4466" ref="R9394"/>
    <hyperlink r:id="rId4467" ref="R9395"/>
    <hyperlink r:id="rId4468" ref="R9396"/>
    <hyperlink r:id="rId4469" ref="R9397"/>
    <hyperlink r:id="rId4470" ref="R9398"/>
    <hyperlink r:id="rId4471" ref="R9399"/>
    <hyperlink r:id="rId4472" ref="R9400"/>
    <hyperlink r:id="rId4473" ref="R9402"/>
    <hyperlink r:id="rId4474" ref="R9403"/>
    <hyperlink r:id="rId4475" ref="R9404"/>
    <hyperlink r:id="rId4476" ref="R9405"/>
    <hyperlink r:id="rId4477" ref="R9406"/>
    <hyperlink r:id="rId4478" ref="R9407"/>
    <hyperlink r:id="rId4479" ref="R9408"/>
    <hyperlink r:id="rId4480" ref="R9409"/>
    <hyperlink r:id="rId4481" ref="R9410"/>
    <hyperlink r:id="rId4482" ref="R9412"/>
    <hyperlink r:id="rId4483" ref="R9413"/>
    <hyperlink r:id="rId4484" ref="R9415"/>
    <hyperlink r:id="rId4485" ref="R9416"/>
    <hyperlink r:id="rId4486" ref="R9418"/>
    <hyperlink r:id="rId4487" ref="R9419"/>
    <hyperlink r:id="rId4488" ref="R9421"/>
    <hyperlink r:id="rId4489" ref="R9422"/>
    <hyperlink r:id="rId4490" ref="R9423"/>
    <hyperlink r:id="rId4491" ref="R9424"/>
    <hyperlink r:id="rId4492" ref="R9425"/>
    <hyperlink r:id="rId4493" ref="R9426"/>
    <hyperlink r:id="rId4494" ref="R9427"/>
    <hyperlink r:id="rId4495" ref="R9428"/>
    <hyperlink r:id="rId4496" ref="R9430"/>
    <hyperlink r:id="rId4497" ref="R9431"/>
    <hyperlink r:id="rId4498" ref="R9432"/>
    <hyperlink r:id="rId4499" ref="R9433"/>
    <hyperlink r:id="rId4500" ref="R9435"/>
    <hyperlink r:id="rId4501" ref="R9437"/>
    <hyperlink r:id="rId4502" ref="R9438"/>
    <hyperlink r:id="rId4503" ref="R9439"/>
    <hyperlink r:id="rId4504" ref="R9440"/>
    <hyperlink r:id="rId4505" ref="R9441"/>
    <hyperlink r:id="rId4506" ref="R9442"/>
    <hyperlink r:id="rId4507" ref="R9443"/>
    <hyperlink r:id="rId4508" ref="R9444"/>
    <hyperlink r:id="rId4509" ref="R9445"/>
    <hyperlink r:id="rId4510" ref="R9446"/>
    <hyperlink r:id="rId4511" ref="R9447"/>
    <hyperlink r:id="rId4512" ref="R9448"/>
    <hyperlink r:id="rId4513" ref="R9449"/>
    <hyperlink r:id="rId4514" ref="R9450"/>
    <hyperlink r:id="rId4515" ref="R9451"/>
    <hyperlink r:id="rId4516" ref="R9452"/>
    <hyperlink r:id="rId4517" ref="R9453"/>
    <hyperlink r:id="rId4518" ref="R9454"/>
    <hyperlink r:id="rId4519" ref="R9455"/>
    <hyperlink r:id="rId4520" ref="R9456"/>
    <hyperlink r:id="rId4521" ref="R9457"/>
    <hyperlink r:id="rId4522" ref="R9458"/>
    <hyperlink r:id="rId4523" ref="R9459"/>
    <hyperlink r:id="rId4524" ref="R9460"/>
    <hyperlink r:id="rId4525" ref="R9461"/>
    <hyperlink r:id="rId4526" ref="R9462"/>
    <hyperlink r:id="rId4527" ref="R9463"/>
    <hyperlink r:id="rId4528" ref="R9464"/>
    <hyperlink r:id="rId4529" ref="R9466"/>
    <hyperlink r:id="rId4530" ref="R9467"/>
    <hyperlink r:id="rId4531" ref="R9468"/>
    <hyperlink r:id="rId4532" ref="R9469"/>
    <hyperlink r:id="rId4533" ref="R9470"/>
    <hyperlink r:id="rId4534" ref="R9471"/>
    <hyperlink r:id="rId4535" ref="R9472"/>
    <hyperlink r:id="rId4536" ref="R9473"/>
    <hyperlink r:id="rId4537" ref="R9474"/>
    <hyperlink r:id="rId4538" ref="R9475"/>
    <hyperlink r:id="rId4539" ref="R9476"/>
    <hyperlink r:id="rId4540" ref="R9477"/>
    <hyperlink r:id="rId4541" ref="R9479"/>
    <hyperlink r:id="rId4542" ref="R9480"/>
    <hyperlink r:id="rId4543" ref="R9481"/>
    <hyperlink r:id="rId4544" ref="R9482"/>
    <hyperlink r:id="rId4545" ref="R9483"/>
    <hyperlink r:id="rId4546" ref="R9485"/>
    <hyperlink r:id="rId4547" ref="R9486"/>
    <hyperlink r:id="rId4548" ref="R9488"/>
    <hyperlink r:id="rId4549" ref="R9489"/>
    <hyperlink r:id="rId4550" ref="R9490"/>
    <hyperlink r:id="rId4551" ref="R9491"/>
    <hyperlink r:id="rId4552" ref="R9493"/>
    <hyperlink r:id="rId4553" ref="R9496"/>
    <hyperlink r:id="rId4554" ref="R9498"/>
    <hyperlink r:id="rId4555" ref="R9499"/>
    <hyperlink r:id="rId4556" ref="R9500"/>
    <hyperlink r:id="rId4557" ref="R9501"/>
    <hyperlink r:id="rId4558" ref="R9502"/>
    <hyperlink r:id="rId4559" ref="R9503"/>
    <hyperlink r:id="rId4560" ref="R9504"/>
    <hyperlink r:id="rId4561" ref="R9505"/>
    <hyperlink r:id="rId4562" ref="R9507"/>
    <hyperlink r:id="rId4563" ref="R9508"/>
    <hyperlink r:id="rId4564" ref="R9509"/>
    <hyperlink r:id="rId4565" ref="R9510"/>
    <hyperlink r:id="rId4566" ref="R9511"/>
    <hyperlink r:id="rId4567" ref="R9512"/>
    <hyperlink r:id="rId4568" ref="R9517"/>
    <hyperlink r:id="rId4569" ref="R9518"/>
    <hyperlink r:id="rId4570" ref="R9519"/>
    <hyperlink r:id="rId4571" ref="R9520"/>
    <hyperlink r:id="rId4572" ref="R9521"/>
    <hyperlink r:id="rId4573" ref="R9523"/>
    <hyperlink r:id="rId4574" ref="R9524"/>
    <hyperlink r:id="rId4575" ref="R9525"/>
    <hyperlink r:id="rId4576" ref="R9526"/>
    <hyperlink r:id="rId4577" ref="R9527"/>
    <hyperlink r:id="rId4578" ref="R9528"/>
    <hyperlink r:id="rId4579" ref="R9529"/>
    <hyperlink r:id="rId4580" ref="R9530"/>
    <hyperlink r:id="rId4581" ref="R9531"/>
    <hyperlink r:id="rId4582" ref="R9532"/>
    <hyperlink r:id="rId4583" ref="R9533"/>
    <hyperlink r:id="rId4584" ref="R9534"/>
    <hyperlink r:id="rId4585" ref="R9536"/>
    <hyperlink r:id="rId4586" ref="R9537"/>
    <hyperlink r:id="rId4587" ref="R9538"/>
    <hyperlink r:id="rId4588" ref="R9539"/>
    <hyperlink r:id="rId4589" ref="R9540"/>
    <hyperlink r:id="rId4590" ref="R9541"/>
    <hyperlink r:id="rId4591" ref="R9542"/>
    <hyperlink r:id="rId4592" ref="R9544"/>
    <hyperlink r:id="rId4593" ref="R9545"/>
    <hyperlink r:id="rId4594" ref="R9546"/>
    <hyperlink r:id="rId4595" ref="R9547"/>
    <hyperlink r:id="rId4596" ref="R9548"/>
    <hyperlink r:id="rId4597" ref="R9549"/>
    <hyperlink r:id="rId4598" ref="R9550"/>
    <hyperlink r:id="rId4599" ref="R9551"/>
    <hyperlink r:id="rId4600" ref="R9552"/>
    <hyperlink r:id="rId4601" ref="R9553"/>
    <hyperlink r:id="rId4602" ref="R9554"/>
    <hyperlink r:id="rId4603" ref="R9556"/>
    <hyperlink r:id="rId4604" ref="R9557"/>
    <hyperlink r:id="rId4605" ref="R9558"/>
    <hyperlink r:id="rId4606" ref="R9559"/>
    <hyperlink r:id="rId4607" ref="R9560"/>
    <hyperlink r:id="rId4608" ref="R9561"/>
    <hyperlink r:id="rId4609" ref="R9562"/>
    <hyperlink r:id="rId4610" ref="R9563"/>
    <hyperlink r:id="rId4611" ref="R9565"/>
    <hyperlink r:id="rId4612" ref="R9567"/>
    <hyperlink r:id="rId4613" ref="R9569"/>
    <hyperlink r:id="rId4614" ref="R9570"/>
    <hyperlink r:id="rId4615" ref="R9571"/>
    <hyperlink r:id="rId4616" ref="R9572"/>
    <hyperlink r:id="rId4617" ref="R9573"/>
    <hyperlink r:id="rId4618" ref="R9574"/>
    <hyperlink r:id="rId4619" ref="R9575"/>
    <hyperlink r:id="rId4620" ref="R9576"/>
    <hyperlink r:id="rId4621" ref="R9577"/>
    <hyperlink r:id="rId4622" ref="R9578"/>
    <hyperlink r:id="rId4623" ref="R9579"/>
    <hyperlink r:id="rId4624" ref="R9580"/>
    <hyperlink r:id="rId4625" ref="R9581"/>
    <hyperlink r:id="rId4626" ref="R9582"/>
    <hyperlink r:id="rId4627" ref="R9583"/>
    <hyperlink r:id="rId4628" ref="R9588"/>
    <hyperlink r:id="rId4629" ref="R9589"/>
    <hyperlink r:id="rId4630" ref="R9590"/>
    <hyperlink r:id="rId4631" ref="R9591"/>
    <hyperlink r:id="rId4632" ref="R9592"/>
    <hyperlink r:id="rId4633" ref="R9593"/>
    <hyperlink r:id="rId4634" ref="R9594"/>
    <hyperlink r:id="rId4635" ref="R9595"/>
    <hyperlink r:id="rId4636" ref="R9596"/>
    <hyperlink r:id="rId4637" ref="R9597"/>
    <hyperlink r:id="rId4638" ref="R9598"/>
    <hyperlink r:id="rId4639" ref="R9600"/>
    <hyperlink r:id="rId4640" ref="R9601"/>
    <hyperlink r:id="rId4641" ref="R9602"/>
    <hyperlink r:id="rId4642" ref="R9604"/>
    <hyperlink r:id="rId4643" ref="R9605"/>
    <hyperlink r:id="rId4644" ref="R9606"/>
    <hyperlink r:id="rId4645" ref="R9607"/>
    <hyperlink r:id="rId4646" ref="R9608"/>
    <hyperlink r:id="rId4647" ref="R9610"/>
    <hyperlink r:id="rId4648" ref="R9611"/>
    <hyperlink r:id="rId4649" ref="R9612"/>
    <hyperlink r:id="rId4650" ref="R9615"/>
    <hyperlink r:id="rId4651" ref="R9616"/>
    <hyperlink r:id="rId4652" ref="R9617"/>
    <hyperlink r:id="rId4653" ref="R9618"/>
    <hyperlink r:id="rId4654" ref="R9619"/>
    <hyperlink r:id="rId4655" ref="R9620"/>
    <hyperlink r:id="rId4656" ref="R9622"/>
    <hyperlink r:id="rId4657" ref="R9623"/>
    <hyperlink r:id="rId4658" ref="R9624"/>
    <hyperlink r:id="rId4659" ref="R9625"/>
    <hyperlink r:id="rId4660" ref="R9626"/>
    <hyperlink r:id="rId4661" ref="R9627"/>
    <hyperlink r:id="rId4662" ref="R9628"/>
    <hyperlink r:id="rId4663" ref="R9629"/>
    <hyperlink r:id="rId4664" ref="R9630"/>
    <hyperlink r:id="rId4665" ref="R9631"/>
    <hyperlink r:id="rId4666" ref="R9632"/>
    <hyperlink r:id="rId4667" ref="R9633"/>
    <hyperlink r:id="rId4668" ref="R9634"/>
    <hyperlink r:id="rId4669" ref="R9635"/>
    <hyperlink r:id="rId4670" ref="R9638"/>
    <hyperlink r:id="rId4671" ref="R9639"/>
    <hyperlink r:id="rId4672" ref="R9640"/>
    <hyperlink r:id="rId4673" ref="R9641"/>
    <hyperlink r:id="rId4674" ref="R9642"/>
    <hyperlink r:id="rId4675" ref="R9643"/>
    <hyperlink r:id="rId4676" ref="R9644"/>
    <hyperlink r:id="rId4677" ref="R9645"/>
    <hyperlink r:id="rId4678" ref="R9646"/>
    <hyperlink r:id="rId4679" ref="R9647"/>
    <hyperlink r:id="rId4680" ref="R9648"/>
    <hyperlink r:id="rId4681" ref="R9649"/>
    <hyperlink r:id="rId4682" ref="R9650"/>
    <hyperlink r:id="rId4683" ref="R9652"/>
    <hyperlink r:id="rId4684" ref="R9656"/>
    <hyperlink r:id="rId4685" ref="R9657"/>
    <hyperlink r:id="rId4686" ref="R9658"/>
    <hyperlink r:id="rId4687" ref="R9659"/>
    <hyperlink r:id="rId4688" ref="R9660"/>
    <hyperlink r:id="rId4689" ref="R9661"/>
    <hyperlink r:id="rId4690" ref="R9662"/>
    <hyperlink r:id="rId4691" ref="R9663"/>
    <hyperlink r:id="rId4692" ref="R9665"/>
    <hyperlink r:id="rId4693" ref="R9666"/>
    <hyperlink r:id="rId4694" ref="R9667"/>
    <hyperlink r:id="rId4695" ref="R9672"/>
    <hyperlink r:id="rId4696" ref="R9673"/>
    <hyperlink r:id="rId4697" ref="R9675"/>
    <hyperlink r:id="rId4698" ref="R9676"/>
    <hyperlink r:id="rId4699" ref="R9677"/>
    <hyperlink r:id="rId4700" ref="R9678"/>
    <hyperlink r:id="rId4701" ref="R9679"/>
    <hyperlink r:id="rId4702" ref="R9680"/>
    <hyperlink r:id="rId4703" ref="R9681"/>
    <hyperlink r:id="rId4704" ref="R9682"/>
    <hyperlink r:id="rId4705" ref="R9684"/>
    <hyperlink r:id="rId4706" ref="R9685"/>
    <hyperlink r:id="rId4707" ref="R9687"/>
    <hyperlink r:id="rId4708" ref="R9688"/>
    <hyperlink r:id="rId4709" ref="R9690"/>
    <hyperlink r:id="rId4710" ref="R9694"/>
    <hyperlink r:id="rId4711" ref="R9695"/>
    <hyperlink r:id="rId4712" ref="R9696"/>
    <hyperlink r:id="rId4713" ref="R9697"/>
    <hyperlink r:id="rId4714" ref="R9705"/>
    <hyperlink r:id="rId4715" ref="R9706"/>
    <hyperlink r:id="rId4716" ref="R9707"/>
    <hyperlink r:id="rId4717" ref="R9708"/>
    <hyperlink r:id="rId4718" ref="R9709"/>
    <hyperlink r:id="rId4719" ref="R9710"/>
    <hyperlink r:id="rId4720" ref="R9711"/>
    <hyperlink r:id="rId4721" ref="R9712"/>
    <hyperlink r:id="rId4722" ref="R9713"/>
    <hyperlink r:id="rId4723" ref="R9714"/>
    <hyperlink r:id="rId4724" ref="R9715"/>
    <hyperlink r:id="rId4725" ref="R9716"/>
    <hyperlink r:id="rId4726" ref="R9717"/>
    <hyperlink r:id="rId4727" ref="R9718"/>
    <hyperlink r:id="rId4728" ref="R9720"/>
    <hyperlink r:id="rId4729" ref="R9721"/>
    <hyperlink r:id="rId4730" ref="R9722"/>
    <hyperlink r:id="rId4731" ref="R9723"/>
    <hyperlink r:id="rId4732" ref="R9724"/>
    <hyperlink r:id="rId4733" ref="R9725"/>
    <hyperlink r:id="rId4734" ref="R9726"/>
    <hyperlink r:id="rId4735" ref="R9727"/>
    <hyperlink r:id="rId4736" ref="R9728"/>
    <hyperlink r:id="rId4737" ref="R9729"/>
    <hyperlink r:id="rId4738" ref="R9730"/>
    <hyperlink r:id="rId4739" ref="R9731"/>
    <hyperlink r:id="rId4740" ref="R9732"/>
    <hyperlink r:id="rId4741" ref="R9733"/>
    <hyperlink r:id="rId4742" ref="R9734"/>
    <hyperlink r:id="rId4743" ref="R9735"/>
    <hyperlink r:id="rId4744" ref="R9736"/>
    <hyperlink r:id="rId4745" ref="R9737"/>
    <hyperlink r:id="rId4746" ref="R9738"/>
    <hyperlink r:id="rId4747" ref="R9739"/>
    <hyperlink r:id="rId4748" ref="R9741"/>
    <hyperlink r:id="rId4749" ref="R9742"/>
    <hyperlink r:id="rId4750" ref="R9743"/>
    <hyperlink r:id="rId4751" ref="R9744"/>
    <hyperlink r:id="rId4752" ref="R9745"/>
    <hyperlink r:id="rId4753" ref="R9747"/>
    <hyperlink r:id="rId4754" ref="R9748"/>
    <hyperlink r:id="rId4755" ref="R9749"/>
    <hyperlink r:id="rId4756" ref="R9750"/>
    <hyperlink r:id="rId4757" ref="R9751"/>
    <hyperlink r:id="rId4758" ref="R9752"/>
    <hyperlink r:id="rId4759" ref="R9753"/>
    <hyperlink r:id="rId4760" ref="R9754"/>
    <hyperlink r:id="rId4761" ref="R9755"/>
    <hyperlink r:id="rId4762" ref="R9756"/>
    <hyperlink r:id="rId4763" ref="R9758"/>
    <hyperlink r:id="rId4764" ref="R9759"/>
    <hyperlink r:id="rId4765" ref="R9760"/>
    <hyperlink r:id="rId4766" ref="R9761"/>
    <hyperlink r:id="rId4767" ref="R9762"/>
    <hyperlink r:id="rId4768" ref="R9763"/>
    <hyperlink r:id="rId4769" ref="R9765"/>
    <hyperlink r:id="rId4770" ref="R9767"/>
    <hyperlink r:id="rId4771" ref="R9768"/>
    <hyperlink r:id="rId4772" ref="R9786"/>
    <hyperlink r:id="rId4773" ref="R9788"/>
    <hyperlink r:id="rId4774" ref="R9789"/>
    <hyperlink r:id="rId4775" ref="R9791"/>
    <hyperlink r:id="rId4776" ref="R9792"/>
    <hyperlink r:id="rId4777" ref="R9793"/>
    <hyperlink r:id="rId4778" ref="R9794"/>
    <hyperlink r:id="rId4779" ref="R9796"/>
    <hyperlink r:id="rId4780" ref="R9797"/>
    <hyperlink r:id="rId4781" ref="R9798"/>
    <hyperlink r:id="rId4782" ref="R9799"/>
    <hyperlink r:id="rId4783" ref="R9801"/>
    <hyperlink r:id="rId4784" ref="R9802"/>
    <hyperlink r:id="rId4785" ref="R9803"/>
    <hyperlink r:id="rId4786" ref="R9805"/>
    <hyperlink r:id="rId4787" ref="R9808"/>
    <hyperlink r:id="rId4788" ref="R9809"/>
    <hyperlink r:id="rId4789" ref="R9810"/>
    <hyperlink r:id="rId4790" ref="R9811"/>
    <hyperlink r:id="rId4791" ref="R9812"/>
    <hyperlink r:id="rId4792" ref="R9813"/>
    <hyperlink r:id="rId4793" ref="R9814"/>
    <hyperlink r:id="rId4794" ref="R9815"/>
    <hyperlink r:id="rId4795" ref="R9816"/>
    <hyperlink r:id="rId4796" ref="R9817"/>
    <hyperlink r:id="rId4797" ref="R9818"/>
    <hyperlink r:id="rId4798" ref="R9819"/>
    <hyperlink r:id="rId4799" ref="R9820"/>
    <hyperlink r:id="rId4800" ref="R9821"/>
    <hyperlink r:id="rId4801" ref="R9822"/>
    <hyperlink r:id="rId4802" ref="R9823"/>
    <hyperlink r:id="rId4803" ref="R9824"/>
    <hyperlink r:id="rId4804" ref="R9825"/>
    <hyperlink r:id="rId4805" ref="R9826"/>
    <hyperlink r:id="rId4806" ref="R9827"/>
    <hyperlink r:id="rId4807" ref="R9829"/>
    <hyperlink r:id="rId4808" ref="R9830"/>
    <hyperlink r:id="rId4809" ref="R9831"/>
    <hyperlink r:id="rId4810" ref="R9832"/>
    <hyperlink r:id="rId4811" ref="R9833"/>
    <hyperlink r:id="rId4812" ref="R9834"/>
    <hyperlink r:id="rId4813" ref="R9836"/>
    <hyperlink r:id="rId4814" ref="R9837"/>
    <hyperlink r:id="rId4815" ref="R9838"/>
    <hyperlink r:id="rId4816" ref="R9839"/>
    <hyperlink r:id="rId4817" ref="R9840"/>
    <hyperlink r:id="rId4818" ref="R9841"/>
    <hyperlink r:id="rId4819" ref="R9842"/>
    <hyperlink r:id="rId4820" ref="R9843"/>
    <hyperlink r:id="rId4821" ref="R9845"/>
    <hyperlink r:id="rId4822" ref="R9846"/>
    <hyperlink r:id="rId4823" ref="R9847"/>
    <hyperlink r:id="rId4824" ref="R9848"/>
    <hyperlink r:id="rId4825" ref="R9850"/>
    <hyperlink r:id="rId4826" ref="R9851"/>
    <hyperlink r:id="rId4827" ref="R9852"/>
    <hyperlink r:id="rId4828" ref="R9853"/>
    <hyperlink r:id="rId4829" ref="R9854"/>
    <hyperlink r:id="rId4830" ref="R9856"/>
    <hyperlink r:id="rId4831" ref="R9857"/>
    <hyperlink r:id="rId4832" ref="R9858"/>
    <hyperlink r:id="rId4833" ref="R9859"/>
    <hyperlink r:id="rId4834" ref="R9860"/>
    <hyperlink r:id="rId4835" ref="R9861"/>
    <hyperlink r:id="rId4836" ref="R9862"/>
    <hyperlink r:id="rId4837" ref="R9863"/>
    <hyperlink r:id="rId4838" ref="R9864"/>
    <hyperlink r:id="rId4839" ref="R9865"/>
    <hyperlink r:id="rId4840" ref="R9866"/>
    <hyperlink r:id="rId4841" ref="R9867"/>
    <hyperlink r:id="rId4842" ref="R9868"/>
    <hyperlink r:id="rId4843" ref="R9869"/>
    <hyperlink r:id="rId4844" ref="R9875"/>
    <hyperlink r:id="rId4845" ref="R9876"/>
    <hyperlink r:id="rId4846" ref="R9877"/>
    <hyperlink r:id="rId4847" ref="R9878"/>
    <hyperlink r:id="rId4848" ref="R9879"/>
    <hyperlink r:id="rId4849" ref="R9880"/>
    <hyperlink r:id="rId4850" ref="R9881"/>
    <hyperlink r:id="rId4851" ref="R9882"/>
    <hyperlink r:id="rId4852" ref="R9883"/>
    <hyperlink r:id="rId4853" ref="R9884"/>
    <hyperlink r:id="rId4854" ref="R9885"/>
    <hyperlink r:id="rId4855" ref="R9886"/>
    <hyperlink r:id="rId4856" ref="R9887"/>
    <hyperlink r:id="rId4857" ref="R9888"/>
    <hyperlink r:id="rId4858" ref="R9889"/>
    <hyperlink r:id="rId4859" ref="R9890"/>
    <hyperlink r:id="rId4860" ref="R9891"/>
    <hyperlink r:id="rId4861" ref="R9892"/>
    <hyperlink r:id="rId4862" ref="R9894"/>
    <hyperlink r:id="rId4863" ref="R9895"/>
    <hyperlink r:id="rId4864" ref="R9896"/>
    <hyperlink r:id="rId4865" ref="R9898"/>
    <hyperlink r:id="rId4866" ref="R9899"/>
    <hyperlink r:id="rId4867" ref="R9900"/>
    <hyperlink r:id="rId4868" ref="R9905"/>
    <hyperlink r:id="rId4869" ref="R9906"/>
    <hyperlink r:id="rId4870" ref="R9907"/>
    <hyperlink r:id="rId4871" ref="R9908"/>
    <hyperlink r:id="rId4872" ref="R9909"/>
    <hyperlink r:id="rId4873" ref="R9911"/>
    <hyperlink r:id="rId4874" ref="R9912"/>
    <hyperlink r:id="rId4875" ref="R9913"/>
    <hyperlink r:id="rId4876" ref="R9914"/>
    <hyperlink r:id="rId4877" ref="R9915"/>
    <hyperlink r:id="rId4878" ref="R9916"/>
    <hyperlink r:id="rId4879" ref="R9917"/>
    <hyperlink r:id="rId4880" ref="R9919"/>
    <hyperlink r:id="rId4881" ref="R9920"/>
    <hyperlink r:id="rId4882" ref="R9921"/>
    <hyperlink r:id="rId4883" ref="R9922"/>
    <hyperlink r:id="rId4884" ref="R9923"/>
    <hyperlink r:id="rId4885" ref="R9924"/>
    <hyperlink r:id="rId4886" ref="R9925"/>
    <hyperlink r:id="rId4887" ref="R9926"/>
    <hyperlink r:id="rId4888" ref="R9927"/>
    <hyperlink r:id="rId4889" ref="R9929"/>
    <hyperlink r:id="rId4890" ref="R9930"/>
    <hyperlink r:id="rId4891" ref="R9931"/>
    <hyperlink r:id="rId4892" ref="R9932"/>
    <hyperlink r:id="rId4893" ref="R9933"/>
    <hyperlink r:id="rId4894" ref="R9934"/>
    <hyperlink r:id="rId4895" ref="R9935"/>
    <hyperlink r:id="rId4896" ref="R9936"/>
    <hyperlink r:id="rId4897" ref="R9938"/>
    <hyperlink r:id="rId4898" ref="R9940"/>
    <hyperlink r:id="rId4899" ref="R9941"/>
    <hyperlink r:id="rId4900" ref="R9942"/>
    <hyperlink r:id="rId4901" ref="R9943"/>
    <hyperlink r:id="rId4902" ref="R9944"/>
    <hyperlink r:id="rId4903" ref="R9945"/>
    <hyperlink r:id="rId4904" ref="R9946"/>
    <hyperlink r:id="rId4905" ref="R9947"/>
    <hyperlink r:id="rId4906" ref="R9948"/>
    <hyperlink r:id="rId4907" ref="R9949"/>
    <hyperlink r:id="rId4908" ref="R9950"/>
    <hyperlink r:id="rId4909" ref="R9951"/>
    <hyperlink r:id="rId4910" ref="R9953"/>
    <hyperlink r:id="rId4911" ref="R9954"/>
    <hyperlink r:id="rId4912" ref="R9955"/>
    <hyperlink r:id="rId4913" ref="R9956"/>
    <hyperlink r:id="rId4914" ref="R9957"/>
    <hyperlink r:id="rId4915" ref="R9958"/>
    <hyperlink r:id="rId4916" ref="R9959"/>
    <hyperlink r:id="rId4917" ref="R9960"/>
    <hyperlink r:id="rId4918" ref="R9961"/>
    <hyperlink r:id="rId4919" ref="R9963"/>
    <hyperlink r:id="rId4920" ref="R9964"/>
    <hyperlink r:id="rId4921" ref="R9965"/>
    <hyperlink r:id="rId4922" ref="R9966"/>
    <hyperlink r:id="rId4923" ref="R9968"/>
    <hyperlink r:id="rId4924" ref="R9970"/>
    <hyperlink r:id="rId4925" ref="R9971"/>
    <hyperlink r:id="rId4926" ref="R9972"/>
    <hyperlink r:id="rId4927" ref="R9973"/>
    <hyperlink r:id="rId4928" ref="R9974"/>
    <hyperlink r:id="rId4929" ref="R9975"/>
    <hyperlink r:id="rId4930" ref="R9976"/>
    <hyperlink r:id="rId4931" ref="R9977"/>
    <hyperlink r:id="rId4932" ref="R9978"/>
    <hyperlink r:id="rId4933" ref="R9980"/>
    <hyperlink r:id="rId4934" ref="R9981"/>
    <hyperlink r:id="rId4935" ref="R10000"/>
    <hyperlink r:id="rId4936" ref="R10001"/>
    <hyperlink r:id="rId4937" ref="R10002"/>
    <hyperlink r:id="rId4938" ref="R10003"/>
    <hyperlink r:id="rId4939" ref="R10004"/>
    <hyperlink r:id="rId4940" ref="R10005"/>
    <hyperlink r:id="rId4941" ref="R10007"/>
    <hyperlink r:id="rId4942" ref="R10008"/>
    <hyperlink r:id="rId4943" ref="R10009"/>
    <hyperlink r:id="rId4944" ref="R10010"/>
    <hyperlink r:id="rId4945" ref="R10011"/>
    <hyperlink r:id="rId4946" ref="R10013"/>
    <hyperlink r:id="rId4947" ref="R10015"/>
    <hyperlink r:id="rId4948" ref="R10016"/>
    <hyperlink r:id="rId4949" ref="R10017"/>
    <hyperlink r:id="rId4950" ref="R10018"/>
    <hyperlink r:id="rId4951" ref="R10019"/>
    <hyperlink r:id="rId4952" ref="R10020"/>
    <hyperlink r:id="rId4953" ref="R10021"/>
    <hyperlink r:id="rId4954" ref="R10022"/>
    <hyperlink r:id="rId4955" ref="R10023"/>
    <hyperlink r:id="rId4956" ref="R10024"/>
    <hyperlink r:id="rId4957" ref="R10025"/>
    <hyperlink r:id="rId4958" ref="R10027"/>
    <hyperlink r:id="rId4959" ref="R10028"/>
    <hyperlink r:id="rId4960" ref="R10033"/>
    <hyperlink r:id="rId4961" ref="R10034"/>
    <hyperlink r:id="rId4962" ref="R10035"/>
    <hyperlink r:id="rId4963" ref="R10036"/>
    <hyperlink r:id="rId4964" ref="R10037"/>
    <hyperlink r:id="rId4965" ref="R10038"/>
    <hyperlink r:id="rId4966" ref="R10041"/>
    <hyperlink r:id="rId4967" ref="R10042"/>
    <hyperlink r:id="rId4968" ref="R10043"/>
    <hyperlink r:id="rId4969" ref="R10044"/>
    <hyperlink r:id="rId4970" ref="R10046"/>
    <hyperlink r:id="rId4971" ref="R10048"/>
    <hyperlink r:id="rId4972" ref="R10049"/>
    <hyperlink r:id="rId4973" ref="R10050"/>
    <hyperlink r:id="rId4974" ref="R10051"/>
    <hyperlink r:id="rId4975" ref="R10053"/>
    <hyperlink r:id="rId4976" ref="R10054"/>
    <hyperlink r:id="rId4977" ref="R10055"/>
    <hyperlink r:id="rId4978" ref="R10056"/>
    <hyperlink r:id="rId4979" ref="R10057"/>
    <hyperlink r:id="rId4980" ref="R10059"/>
    <hyperlink r:id="rId4981" ref="R10060"/>
    <hyperlink r:id="rId4982" ref="R10061"/>
    <hyperlink r:id="rId4983" ref="R10062"/>
    <hyperlink r:id="rId4984" ref="R10063"/>
    <hyperlink r:id="rId4985" ref="R10065"/>
    <hyperlink r:id="rId4986" ref="R10066"/>
    <hyperlink r:id="rId4987" ref="R10067"/>
    <hyperlink r:id="rId4988" ref="R10068"/>
    <hyperlink r:id="rId4989" ref="R10069"/>
    <hyperlink r:id="rId4990" ref="R10070"/>
    <hyperlink r:id="rId4991" ref="R10072"/>
    <hyperlink r:id="rId4992" ref="R10073"/>
    <hyperlink r:id="rId4993" ref="R10074"/>
    <hyperlink r:id="rId4994" ref="R10075"/>
    <hyperlink r:id="rId4995" ref="R10077"/>
    <hyperlink r:id="rId4996" ref="R10078"/>
    <hyperlink r:id="rId4997" ref="R10079"/>
    <hyperlink r:id="rId4998" ref="R10080"/>
    <hyperlink r:id="rId4999" ref="R10081"/>
    <hyperlink r:id="rId5000" ref="R10083"/>
    <hyperlink r:id="rId5001" ref="R10084"/>
    <hyperlink r:id="rId5002" ref="R10085"/>
    <hyperlink r:id="rId5003" ref="R10086"/>
    <hyperlink r:id="rId5004" ref="R10087"/>
    <hyperlink r:id="rId5005" ref="R10088"/>
    <hyperlink r:id="rId5006" ref="R10089"/>
    <hyperlink r:id="rId5007" ref="R10090"/>
    <hyperlink r:id="rId5008" ref="R10091"/>
    <hyperlink r:id="rId5009" ref="R10092"/>
    <hyperlink r:id="rId5010" ref="R10093"/>
    <hyperlink r:id="rId5011" ref="R10094"/>
    <hyperlink r:id="rId5012" ref="R10095"/>
    <hyperlink r:id="rId5013" ref="R10096"/>
    <hyperlink r:id="rId5014" ref="R10097"/>
    <hyperlink r:id="rId5015" ref="R10098"/>
    <hyperlink r:id="rId5016" ref="R10099"/>
    <hyperlink r:id="rId5017" ref="R10100"/>
    <hyperlink r:id="rId5018" ref="R10101"/>
    <hyperlink r:id="rId5019" ref="R10102"/>
    <hyperlink r:id="rId5020" ref="R10103"/>
    <hyperlink r:id="rId5021" ref="R10104"/>
    <hyperlink r:id="rId5022" ref="R10109"/>
    <hyperlink r:id="rId5023" ref="R10110"/>
    <hyperlink r:id="rId5024" ref="R10111"/>
    <hyperlink r:id="rId5025" ref="R10113"/>
    <hyperlink r:id="rId5026" ref="R10114"/>
    <hyperlink r:id="rId5027" ref="R10115"/>
    <hyperlink r:id="rId5028" ref="R10116"/>
    <hyperlink r:id="rId5029" ref="R10117"/>
    <hyperlink r:id="rId5030" ref="R10119"/>
    <hyperlink r:id="rId5031" ref="R10120"/>
    <hyperlink r:id="rId5032" ref="R10121"/>
    <hyperlink r:id="rId5033" ref="R10122"/>
    <hyperlink r:id="rId5034" ref="R10123"/>
    <hyperlink r:id="rId5035" ref="R10125"/>
    <hyperlink r:id="rId5036" ref="R10126"/>
    <hyperlink r:id="rId5037" ref="R10127"/>
    <hyperlink r:id="rId5038" ref="R10128"/>
    <hyperlink r:id="rId5039" ref="R10129"/>
    <hyperlink r:id="rId5040" ref="R10130"/>
    <hyperlink r:id="rId5041" ref="R10131"/>
    <hyperlink r:id="rId5042" ref="R10132"/>
    <hyperlink r:id="rId5043" ref="R10133"/>
    <hyperlink r:id="rId5044" ref="R10134"/>
    <hyperlink r:id="rId5045" ref="R10135"/>
    <hyperlink r:id="rId5046" ref="R10140"/>
    <hyperlink r:id="rId5047" ref="R10142"/>
    <hyperlink r:id="rId5048" ref="R10143"/>
    <hyperlink r:id="rId5049" ref="R10144"/>
    <hyperlink r:id="rId5050" ref="R10145"/>
    <hyperlink r:id="rId5051" ref="R10146"/>
    <hyperlink r:id="rId5052" ref="R10147"/>
    <hyperlink r:id="rId5053" ref="R10148"/>
    <hyperlink r:id="rId5054" ref="R10149"/>
    <hyperlink r:id="rId5055" ref="R10150"/>
    <hyperlink r:id="rId5056" ref="R10151"/>
    <hyperlink r:id="rId5057" ref="R10152"/>
    <hyperlink r:id="rId5058" ref="R10154"/>
    <hyperlink r:id="rId5059" ref="R10155"/>
    <hyperlink r:id="rId5060" ref="R10156"/>
    <hyperlink r:id="rId5061" ref="R10157"/>
    <hyperlink r:id="rId5062" ref="R10159"/>
    <hyperlink r:id="rId5063" ref="R10161"/>
    <hyperlink r:id="rId5064" ref="R10162"/>
    <hyperlink r:id="rId5065" ref="R10163"/>
    <hyperlink r:id="rId5066" ref="R10165"/>
    <hyperlink r:id="rId5067" ref="R10166"/>
    <hyperlink r:id="rId5068" ref="R10167"/>
    <hyperlink r:id="rId5069" ref="R10168"/>
    <hyperlink r:id="rId5070" ref="R10169"/>
    <hyperlink r:id="rId5071" ref="R10170"/>
    <hyperlink r:id="rId5072" ref="R10171"/>
    <hyperlink r:id="rId5073" ref="R10173"/>
    <hyperlink r:id="rId5074" ref="R10174"/>
    <hyperlink r:id="rId5075" ref="R10175"/>
    <hyperlink r:id="rId5076" ref="R10176"/>
    <hyperlink r:id="rId5077" ref="R10177"/>
    <hyperlink r:id="rId5078" ref="R10178"/>
    <hyperlink r:id="rId5079" ref="R10179"/>
    <hyperlink r:id="rId5080" ref="R10180"/>
    <hyperlink r:id="rId5081" ref="R10181"/>
    <hyperlink r:id="rId5082" ref="R10182"/>
    <hyperlink r:id="rId5083" ref="R10183"/>
    <hyperlink r:id="rId5084" ref="R10184"/>
    <hyperlink r:id="rId5085" ref="R10185"/>
    <hyperlink r:id="rId5086" ref="R10186"/>
    <hyperlink r:id="rId5087" ref="R10187"/>
    <hyperlink r:id="rId5088" ref="R10188"/>
    <hyperlink r:id="rId5089" ref="R10189"/>
    <hyperlink r:id="rId5090" ref="R10190"/>
    <hyperlink r:id="rId5091" ref="R10191"/>
    <hyperlink r:id="rId5092" ref="R10192"/>
    <hyperlink r:id="rId5093" ref="R10193"/>
    <hyperlink r:id="rId5094" ref="R10194"/>
    <hyperlink r:id="rId5095" ref="R10196"/>
    <hyperlink r:id="rId5096" ref="R10197"/>
    <hyperlink r:id="rId5097" ref="R10198"/>
    <hyperlink r:id="rId5098" ref="R10199"/>
    <hyperlink r:id="rId5099" ref="R10201"/>
    <hyperlink r:id="rId5100" ref="R10202"/>
    <hyperlink r:id="rId5101" ref="R10203"/>
    <hyperlink r:id="rId5102" ref="R10204"/>
    <hyperlink r:id="rId5103" ref="R10205"/>
    <hyperlink r:id="rId5104" ref="R10206"/>
    <hyperlink r:id="rId5105" ref="R10207"/>
    <hyperlink r:id="rId5106" ref="R10209"/>
    <hyperlink r:id="rId5107" ref="R10210"/>
    <hyperlink r:id="rId5108" ref="R10211"/>
    <hyperlink r:id="rId5109" ref="R10213"/>
    <hyperlink r:id="rId5110" ref="R10215"/>
    <hyperlink r:id="rId5111" ref="R10216"/>
    <hyperlink r:id="rId5112" ref="R10217"/>
    <hyperlink r:id="rId5113" ref="R10218"/>
    <hyperlink r:id="rId5114" ref="R10219"/>
    <hyperlink r:id="rId5115" ref="R10220"/>
  </hyperlinks>
  <drawing r:id="rId5116"/>
</worksheet>
</file>